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C:\Users\Gabriel Rojas\Documents\CUBHIC 2\Calculadoras finales\"/>
    </mc:Choice>
  </mc:AlternateContent>
  <xr:revisionPtr revIDLastSave="0" documentId="13_ncr:1_{AE3F00E8-ED01-4F66-B814-8397D152171D}" xr6:coauthVersionLast="47" xr6:coauthVersionMax="47" xr10:uidLastSave="{00000000-0000-0000-0000-000000000000}"/>
  <bookViews>
    <workbookView xWindow="-110" yWindow="-110" windowWidth="19420" windowHeight="10420" xr2:uid="{9D49EF46-7918-4CF4-A6C7-B14DCD27E2D9}"/>
  </bookViews>
  <sheets>
    <sheet name="Instrucciones" sheetId="13" r:id="rId1"/>
    <sheet name="Entradas" sheetId="6" r:id="rId2"/>
    <sheet name="Observaciones" sheetId="1" r:id="rId3"/>
    <sheet name="Escenarios" sheetId="8" r:id="rId4"/>
    <sheet name="Constantes" sheetId="3" r:id="rId5"/>
    <sheet name="ETo" sheetId="7" r:id="rId6"/>
    <sheet name="LíneaBase" sheetId="4" r:id="rId7"/>
    <sheet name="Escenario1" sheetId="16" r:id="rId8"/>
    <sheet name="Escenario2" sheetId="17" r:id="rId9"/>
    <sheet name="Gráficos" sheetId="15" r:id="rId10"/>
    <sheet name="EvaluaciónLB" sheetId="12" r:id="rId11"/>
    <sheet name="EvaluaciónE1" sheetId="14"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17" i="15" l="1"/>
  <c r="AW16" i="15"/>
  <c r="AW15" i="15"/>
  <c r="AW14" i="15"/>
  <c r="AW13" i="15"/>
  <c r="AW12" i="15"/>
  <c r="AW11" i="15"/>
  <c r="AW10" i="15"/>
  <c r="AW9" i="15"/>
  <c r="AW8" i="15"/>
  <c r="AW7" i="15"/>
  <c r="AW6" i="15"/>
  <c r="AU17" i="15"/>
  <c r="AU16" i="15"/>
  <c r="AU15" i="15"/>
  <c r="AU13" i="15"/>
  <c r="AU12" i="15"/>
  <c r="AV12" i="15" s="1"/>
  <c r="AU11" i="15"/>
  <c r="AU10" i="15"/>
  <c r="AU9" i="15"/>
  <c r="AU8" i="15"/>
  <c r="AU7" i="15"/>
  <c r="AU6" i="15"/>
  <c r="AU14" i="15"/>
  <c r="BC735" i="15"/>
  <c r="BC734" i="15"/>
  <c r="BC733" i="15"/>
  <c r="BC732" i="15"/>
  <c r="BC731" i="15"/>
  <c r="BC730" i="15"/>
  <c r="BC729" i="15"/>
  <c r="BC728" i="15"/>
  <c r="BC727" i="15"/>
  <c r="BC726" i="15"/>
  <c r="BC725" i="15"/>
  <c r="BC724" i="15"/>
  <c r="BC723" i="15"/>
  <c r="BC722" i="15"/>
  <c r="BC721" i="15"/>
  <c r="BC720" i="15"/>
  <c r="BC719" i="15"/>
  <c r="BC718" i="15"/>
  <c r="BC717" i="15"/>
  <c r="BC716" i="15"/>
  <c r="BC715" i="15"/>
  <c r="BC714" i="15"/>
  <c r="BC713" i="15"/>
  <c r="BC712" i="15"/>
  <c r="BC711" i="15"/>
  <c r="BC710" i="15"/>
  <c r="BC709" i="15"/>
  <c r="BC708" i="15"/>
  <c r="BC707" i="15"/>
  <c r="BC706" i="15"/>
  <c r="BC705" i="15"/>
  <c r="BC704" i="15"/>
  <c r="BC703" i="15"/>
  <c r="BC702" i="15"/>
  <c r="BC701" i="15"/>
  <c r="BC700" i="15"/>
  <c r="BC699" i="15"/>
  <c r="BC698" i="15"/>
  <c r="BC697" i="15"/>
  <c r="BC696" i="15"/>
  <c r="BC695" i="15"/>
  <c r="BC694" i="15"/>
  <c r="BC693" i="15"/>
  <c r="BC692" i="15"/>
  <c r="BC691" i="15"/>
  <c r="BC690" i="15"/>
  <c r="BC689" i="15"/>
  <c r="BC688" i="15"/>
  <c r="BC687" i="15"/>
  <c r="BC686" i="15"/>
  <c r="BC685" i="15"/>
  <c r="BC684" i="15"/>
  <c r="BC683" i="15"/>
  <c r="BC682" i="15"/>
  <c r="BC681" i="15"/>
  <c r="BC680" i="15"/>
  <c r="BC679" i="15"/>
  <c r="BC678" i="15"/>
  <c r="BC677" i="15"/>
  <c r="BC676" i="15"/>
  <c r="BC675" i="15"/>
  <c r="BC674" i="15"/>
  <c r="BC673" i="15"/>
  <c r="BC672" i="15"/>
  <c r="BC671" i="15"/>
  <c r="BC670" i="15"/>
  <c r="BC669" i="15"/>
  <c r="BC668" i="15"/>
  <c r="BC667" i="15"/>
  <c r="BC666" i="15"/>
  <c r="BC665" i="15"/>
  <c r="BC664" i="15"/>
  <c r="BC663" i="15"/>
  <c r="BC662" i="15"/>
  <c r="BC661" i="15"/>
  <c r="BC660" i="15"/>
  <c r="BC659" i="15"/>
  <c r="BC658" i="15"/>
  <c r="BC657" i="15"/>
  <c r="BC656" i="15"/>
  <c r="BC655" i="15"/>
  <c r="BC654" i="15"/>
  <c r="BC653" i="15"/>
  <c r="BC652" i="15"/>
  <c r="BC651" i="15"/>
  <c r="BC650" i="15"/>
  <c r="BC649" i="15"/>
  <c r="BC648" i="15"/>
  <c r="BC647" i="15"/>
  <c r="BC646" i="15"/>
  <c r="BC645" i="15"/>
  <c r="BC644" i="15"/>
  <c r="BC643" i="15"/>
  <c r="BC642" i="15"/>
  <c r="BC641" i="15"/>
  <c r="BC640" i="15"/>
  <c r="BC639" i="15"/>
  <c r="BC638" i="15"/>
  <c r="BC637" i="15"/>
  <c r="BC636" i="15"/>
  <c r="BC635" i="15"/>
  <c r="BC634" i="15"/>
  <c r="BC633" i="15"/>
  <c r="BC632" i="15"/>
  <c r="BC631" i="15"/>
  <c r="BC630" i="15"/>
  <c r="BC629" i="15"/>
  <c r="BC628" i="15"/>
  <c r="BC627" i="15"/>
  <c r="BC626" i="15"/>
  <c r="BC625" i="15"/>
  <c r="BC624" i="15"/>
  <c r="BC623" i="15"/>
  <c r="BC622" i="15"/>
  <c r="BC621" i="15"/>
  <c r="BC620" i="15"/>
  <c r="BC619" i="15"/>
  <c r="BC618" i="15"/>
  <c r="BC617" i="15"/>
  <c r="BC616" i="15"/>
  <c r="BC615" i="15"/>
  <c r="BC614" i="15"/>
  <c r="BC613" i="15"/>
  <c r="BC612" i="15"/>
  <c r="BC611" i="15"/>
  <c r="BC610" i="15"/>
  <c r="BC609" i="15"/>
  <c r="BC608" i="15"/>
  <c r="BC607" i="15"/>
  <c r="BC606" i="15"/>
  <c r="BC605" i="15"/>
  <c r="BC604" i="15"/>
  <c r="BC603" i="15"/>
  <c r="BC602" i="15"/>
  <c r="BC601" i="15"/>
  <c r="BC600" i="15"/>
  <c r="BC599" i="15"/>
  <c r="BC598" i="15"/>
  <c r="BC597" i="15"/>
  <c r="BC596" i="15"/>
  <c r="BC595" i="15"/>
  <c r="BC594" i="15"/>
  <c r="BC593" i="15"/>
  <c r="BC592" i="15"/>
  <c r="BC591" i="15"/>
  <c r="BC590" i="15"/>
  <c r="BC589" i="15"/>
  <c r="BC588" i="15"/>
  <c r="BC587" i="15"/>
  <c r="BC586" i="15"/>
  <c r="BC585" i="15"/>
  <c r="BC584" i="15"/>
  <c r="BC583" i="15"/>
  <c r="BC582" i="15"/>
  <c r="BC581" i="15"/>
  <c r="BC580" i="15"/>
  <c r="BC579" i="15"/>
  <c r="BC578" i="15"/>
  <c r="BC577" i="15"/>
  <c r="BC576" i="15"/>
  <c r="BC575" i="15"/>
  <c r="BC574" i="15"/>
  <c r="BC573" i="15"/>
  <c r="BC572" i="15"/>
  <c r="BC571" i="15"/>
  <c r="BC570" i="15"/>
  <c r="BC569" i="15"/>
  <c r="BC568" i="15"/>
  <c r="BC567" i="15"/>
  <c r="BC566" i="15"/>
  <c r="BC565" i="15"/>
  <c r="BC564" i="15"/>
  <c r="BC563" i="15"/>
  <c r="BC562" i="15"/>
  <c r="BC561" i="15"/>
  <c r="BC560" i="15"/>
  <c r="BC559" i="15"/>
  <c r="BC558" i="15"/>
  <c r="BC557" i="15"/>
  <c r="BC556" i="15"/>
  <c r="BC555" i="15"/>
  <c r="BC554" i="15"/>
  <c r="BC553" i="15"/>
  <c r="BC552" i="15"/>
  <c r="BC551" i="15"/>
  <c r="BC550" i="15"/>
  <c r="BC549" i="15"/>
  <c r="BC548" i="15"/>
  <c r="BC547" i="15"/>
  <c r="BC546" i="15"/>
  <c r="BC545" i="15"/>
  <c r="BC544" i="15"/>
  <c r="BC543" i="15"/>
  <c r="BC542" i="15"/>
  <c r="BC541" i="15"/>
  <c r="BC540" i="15"/>
  <c r="BC539" i="15"/>
  <c r="BC538" i="15"/>
  <c r="BC537" i="15"/>
  <c r="BC536" i="15"/>
  <c r="BC535" i="15"/>
  <c r="BC534" i="15"/>
  <c r="BC533" i="15"/>
  <c r="BC532" i="15"/>
  <c r="BC531" i="15"/>
  <c r="BC530" i="15"/>
  <c r="BC529" i="15"/>
  <c r="BC528" i="15"/>
  <c r="BC527" i="15"/>
  <c r="BC526" i="15"/>
  <c r="BC525" i="15"/>
  <c r="BC524" i="15"/>
  <c r="BC523" i="15"/>
  <c r="BC522" i="15"/>
  <c r="BC521" i="15"/>
  <c r="BC520" i="15"/>
  <c r="BC519" i="15"/>
  <c r="BC518" i="15"/>
  <c r="BC517" i="15"/>
  <c r="BC516" i="15"/>
  <c r="BC515" i="15"/>
  <c r="BC514" i="15"/>
  <c r="BC513" i="15"/>
  <c r="BC512" i="15"/>
  <c r="BC511" i="15"/>
  <c r="BC510" i="15"/>
  <c r="BC509" i="15"/>
  <c r="BC508" i="15"/>
  <c r="BC507" i="15"/>
  <c r="BC506" i="15"/>
  <c r="BC505" i="15"/>
  <c r="BC504" i="15"/>
  <c r="BC503" i="15"/>
  <c r="BC502" i="15"/>
  <c r="BC501" i="15"/>
  <c r="BC500" i="15"/>
  <c r="BC499" i="15"/>
  <c r="BC498" i="15"/>
  <c r="BC497" i="15"/>
  <c r="BC496" i="15"/>
  <c r="BC495" i="15"/>
  <c r="BC494" i="15"/>
  <c r="BC493" i="15"/>
  <c r="BC492" i="15"/>
  <c r="BC491" i="15"/>
  <c r="BC490" i="15"/>
  <c r="BC489" i="15"/>
  <c r="BC488" i="15"/>
  <c r="BC487" i="15"/>
  <c r="BC486" i="15"/>
  <c r="BC485" i="15"/>
  <c r="BC484" i="15"/>
  <c r="BC483" i="15"/>
  <c r="BC482" i="15"/>
  <c r="BC481" i="15"/>
  <c r="BC480" i="15"/>
  <c r="BC479" i="15"/>
  <c r="BC478" i="15"/>
  <c r="BC477" i="15"/>
  <c r="BC476" i="15"/>
  <c r="BC475" i="15"/>
  <c r="BC474" i="15"/>
  <c r="BC473" i="15"/>
  <c r="BC472" i="15"/>
  <c r="BC471" i="15"/>
  <c r="BC470" i="15"/>
  <c r="BC469" i="15"/>
  <c r="BC468" i="15"/>
  <c r="BC467" i="15"/>
  <c r="BC466" i="15"/>
  <c r="BC465" i="15"/>
  <c r="BC464" i="15"/>
  <c r="BC463" i="15"/>
  <c r="BC462" i="15"/>
  <c r="BC461" i="15"/>
  <c r="BC460" i="15"/>
  <c r="BC459" i="15"/>
  <c r="BC458" i="15"/>
  <c r="BC457" i="15"/>
  <c r="BC456" i="15"/>
  <c r="BC455" i="15"/>
  <c r="BC454" i="15"/>
  <c r="BC453" i="15"/>
  <c r="BC452" i="15"/>
  <c r="BC451" i="15"/>
  <c r="BC450" i="15"/>
  <c r="BC449" i="15"/>
  <c r="BC448" i="15"/>
  <c r="BC447" i="15"/>
  <c r="BC446" i="15"/>
  <c r="BC445" i="15"/>
  <c r="BC444" i="15"/>
  <c r="BC443" i="15"/>
  <c r="BC442" i="15"/>
  <c r="BC441" i="15"/>
  <c r="BC440" i="15"/>
  <c r="BC439" i="15"/>
  <c r="BC438" i="15"/>
  <c r="BC437" i="15"/>
  <c r="BC436" i="15"/>
  <c r="BC435" i="15"/>
  <c r="BC434" i="15"/>
  <c r="BC433" i="15"/>
  <c r="BC432" i="15"/>
  <c r="BC431" i="15"/>
  <c r="BC430" i="15"/>
  <c r="BC429" i="15"/>
  <c r="BC428" i="15"/>
  <c r="BC427" i="15"/>
  <c r="BC426" i="15"/>
  <c r="BC425" i="15"/>
  <c r="BC424" i="15"/>
  <c r="BC423" i="15"/>
  <c r="BC422" i="15"/>
  <c r="BC421" i="15"/>
  <c r="BC420" i="15"/>
  <c r="BC419" i="15"/>
  <c r="BC418" i="15"/>
  <c r="BC417" i="15"/>
  <c r="BC416" i="15"/>
  <c r="BC415" i="15"/>
  <c r="BC414" i="15"/>
  <c r="BC413" i="15"/>
  <c r="BC412" i="15"/>
  <c r="BC411" i="15"/>
  <c r="BC410" i="15"/>
  <c r="BC409" i="15"/>
  <c r="BC408" i="15"/>
  <c r="BC407" i="15"/>
  <c r="BC406" i="15"/>
  <c r="BC405" i="15"/>
  <c r="BC404" i="15"/>
  <c r="BC403" i="15"/>
  <c r="BC402" i="15"/>
  <c r="BC401" i="15"/>
  <c r="BC400" i="15"/>
  <c r="BC399" i="15"/>
  <c r="BC398" i="15"/>
  <c r="BC397" i="15"/>
  <c r="BC396" i="15"/>
  <c r="BC395" i="15"/>
  <c r="BC394" i="15"/>
  <c r="BC393" i="15"/>
  <c r="BC392" i="15"/>
  <c r="BC391" i="15"/>
  <c r="BC390" i="15"/>
  <c r="BC389" i="15"/>
  <c r="BC388" i="15"/>
  <c r="BC387" i="15"/>
  <c r="BC386" i="15"/>
  <c r="BC385" i="15"/>
  <c r="BC384" i="15"/>
  <c r="BC383" i="15"/>
  <c r="BC382" i="15"/>
  <c r="BC381" i="15"/>
  <c r="BC380" i="15"/>
  <c r="BC379" i="15"/>
  <c r="BC378" i="15"/>
  <c r="BC377" i="15"/>
  <c r="BC736" i="15" s="1"/>
  <c r="K37" i="8" s="1"/>
  <c r="BC376" i="15"/>
  <c r="BC375" i="15"/>
  <c r="BC374" i="15"/>
  <c r="BC373" i="15"/>
  <c r="BC372" i="15"/>
  <c r="BC371" i="15"/>
  <c r="BC370" i="15"/>
  <c r="BC369" i="15"/>
  <c r="BC368" i="15"/>
  <c r="BC367" i="15"/>
  <c r="BC366" i="15"/>
  <c r="BC365" i="15"/>
  <c r="BC364" i="15"/>
  <c r="BC363" i="15"/>
  <c r="BC362" i="15"/>
  <c r="BC361" i="15"/>
  <c r="BC360" i="15"/>
  <c r="BC359" i="15"/>
  <c r="BC358" i="15"/>
  <c r="BC357" i="15"/>
  <c r="BC356" i="15"/>
  <c r="BC355" i="15"/>
  <c r="BC354" i="15"/>
  <c r="BC353" i="15"/>
  <c r="BC352" i="15"/>
  <c r="BC351" i="15"/>
  <c r="BC350" i="15"/>
  <c r="BC349" i="15"/>
  <c r="BC348" i="15"/>
  <c r="BC347" i="15"/>
  <c r="BC346" i="15"/>
  <c r="BC345" i="15"/>
  <c r="BC344" i="15"/>
  <c r="BC343" i="15"/>
  <c r="BC342" i="15"/>
  <c r="BC341" i="15"/>
  <c r="BC340" i="15"/>
  <c r="BC339" i="15"/>
  <c r="BC338" i="15"/>
  <c r="BC337" i="15"/>
  <c r="BC336" i="15"/>
  <c r="BC335" i="15"/>
  <c r="BC334" i="15"/>
  <c r="BC333" i="15"/>
  <c r="BC332" i="15"/>
  <c r="BC331" i="15"/>
  <c r="BC330" i="15"/>
  <c r="BC329" i="15"/>
  <c r="BC328" i="15"/>
  <c r="BC327" i="15"/>
  <c r="BC326" i="15"/>
  <c r="BC325" i="15"/>
  <c r="BC324" i="15"/>
  <c r="BC323" i="15"/>
  <c r="BC322" i="15"/>
  <c r="BC321" i="15"/>
  <c r="BC320" i="15"/>
  <c r="BC319" i="15"/>
  <c r="BC318" i="15"/>
  <c r="BC317" i="15"/>
  <c r="BC316" i="15"/>
  <c r="BC315" i="15"/>
  <c r="BC314" i="15"/>
  <c r="BC313" i="15"/>
  <c r="BC312" i="15"/>
  <c r="BC311" i="15"/>
  <c r="BC310" i="15"/>
  <c r="BC309" i="15"/>
  <c r="BC308" i="15"/>
  <c r="BC307" i="15"/>
  <c r="BC306" i="15"/>
  <c r="BC305" i="15"/>
  <c r="BC304" i="15"/>
  <c r="BC303" i="15"/>
  <c r="BC302" i="15"/>
  <c r="BC301" i="15"/>
  <c r="BC300" i="15"/>
  <c r="BC299" i="15"/>
  <c r="BC298" i="15"/>
  <c r="BC297" i="15"/>
  <c r="BC296" i="15"/>
  <c r="BC295" i="15"/>
  <c r="BC294" i="15"/>
  <c r="BC293" i="15"/>
  <c r="BC292" i="15"/>
  <c r="BC291" i="15"/>
  <c r="BC290" i="15"/>
  <c r="BC289" i="15"/>
  <c r="BC288" i="15"/>
  <c r="BC287" i="15"/>
  <c r="BC286" i="15"/>
  <c r="BC285" i="15"/>
  <c r="BC284" i="15"/>
  <c r="BC283" i="15"/>
  <c r="BC282" i="15"/>
  <c r="BC281" i="15"/>
  <c r="BC280" i="15"/>
  <c r="BC279" i="15"/>
  <c r="BC278" i="15"/>
  <c r="BC277" i="15"/>
  <c r="BC276" i="15"/>
  <c r="BC275" i="15"/>
  <c r="BC274" i="15"/>
  <c r="BC273" i="15"/>
  <c r="BC272" i="15"/>
  <c r="BC271" i="15"/>
  <c r="BC270" i="15"/>
  <c r="BC269" i="15"/>
  <c r="BC268" i="15"/>
  <c r="BC267" i="15"/>
  <c r="BC266" i="15"/>
  <c r="BC265" i="15"/>
  <c r="BC264" i="15"/>
  <c r="BC263" i="15"/>
  <c r="BC262" i="15"/>
  <c r="BC261" i="15"/>
  <c r="BC260" i="15"/>
  <c r="BC259" i="15"/>
  <c r="BC258" i="15"/>
  <c r="BC257" i="15"/>
  <c r="BC256" i="15"/>
  <c r="BC255" i="15"/>
  <c r="BC254" i="15"/>
  <c r="BC253" i="15"/>
  <c r="BC252" i="15"/>
  <c r="BC251" i="15"/>
  <c r="BC250" i="15"/>
  <c r="BC249" i="15"/>
  <c r="BC248" i="15"/>
  <c r="BC247" i="15"/>
  <c r="BC246" i="15"/>
  <c r="BC245" i="15"/>
  <c r="BC244" i="15"/>
  <c r="BC243" i="15"/>
  <c r="BC242" i="15"/>
  <c r="BC241" i="15"/>
  <c r="BC240" i="15"/>
  <c r="BC239" i="15"/>
  <c r="BC238" i="15"/>
  <c r="BC237" i="15"/>
  <c r="BC236" i="15"/>
  <c r="BC235" i="15"/>
  <c r="BC234" i="15"/>
  <c r="BC233" i="15"/>
  <c r="BC232" i="15"/>
  <c r="BC231" i="15"/>
  <c r="BC230" i="15"/>
  <c r="BC229" i="15"/>
  <c r="BC228" i="15"/>
  <c r="BC227" i="15"/>
  <c r="BC226" i="15"/>
  <c r="BC225" i="15"/>
  <c r="BC224" i="15"/>
  <c r="BC223" i="15"/>
  <c r="BC222" i="15"/>
  <c r="BC221" i="15"/>
  <c r="BC220" i="15"/>
  <c r="BC219" i="15"/>
  <c r="BC218" i="15"/>
  <c r="BC217" i="15"/>
  <c r="BC216" i="15"/>
  <c r="BC215" i="15"/>
  <c r="BC214" i="15"/>
  <c r="BC213" i="15"/>
  <c r="BC212" i="15"/>
  <c r="BC211" i="15"/>
  <c r="BC210" i="15"/>
  <c r="BC209" i="15"/>
  <c r="BC208" i="15"/>
  <c r="BC207" i="15"/>
  <c r="BC206" i="15"/>
  <c r="BC205" i="15"/>
  <c r="BC204" i="15"/>
  <c r="BC203" i="15"/>
  <c r="BC202" i="15"/>
  <c r="BC201" i="15"/>
  <c r="BC200" i="15"/>
  <c r="BC199" i="15"/>
  <c r="BC198" i="15"/>
  <c r="BC197" i="15"/>
  <c r="BC196" i="15"/>
  <c r="BC195" i="15"/>
  <c r="BC194" i="15"/>
  <c r="BC193" i="15"/>
  <c r="BC192" i="15"/>
  <c r="BC191" i="15"/>
  <c r="BC190" i="15"/>
  <c r="BC189" i="15"/>
  <c r="BC188" i="15"/>
  <c r="BC187" i="15"/>
  <c r="BC186" i="15"/>
  <c r="BC185" i="15"/>
  <c r="BC184" i="15"/>
  <c r="BC183" i="15"/>
  <c r="BC182" i="15"/>
  <c r="BC181" i="15"/>
  <c r="BC180" i="15"/>
  <c r="BC179" i="15"/>
  <c r="BC178" i="15"/>
  <c r="BC177" i="15"/>
  <c r="BC176" i="15"/>
  <c r="BC175" i="15"/>
  <c r="BC174" i="15"/>
  <c r="BC173" i="15"/>
  <c r="BC172" i="15"/>
  <c r="BC171" i="15"/>
  <c r="BC170" i="15"/>
  <c r="BC169" i="15"/>
  <c r="BC168" i="15"/>
  <c r="BC167" i="15"/>
  <c r="BC166" i="15"/>
  <c r="BC165" i="15"/>
  <c r="BC164" i="15"/>
  <c r="BC163" i="15"/>
  <c r="BC162" i="15"/>
  <c r="BC161" i="15"/>
  <c r="BC160" i="15"/>
  <c r="BC159" i="15"/>
  <c r="BC158" i="15"/>
  <c r="BC157" i="15"/>
  <c r="BC156" i="15"/>
  <c r="BC155" i="15"/>
  <c r="BC154" i="15"/>
  <c r="BC153" i="15"/>
  <c r="BC152" i="15"/>
  <c r="BC151" i="15"/>
  <c r="BC150" i="15"/>
  <c r="BC149" i="15"/>
  <c r="BC148" i="15"/>
  <c r="BC147" i="15"/>
  <c r="BC146" i="15"/>
  <c r="BC145" i="15"/>
  <c r="BC144" i="15"/>
  <c r="BC143" i="15"/>
  <c r="BC142" i="15"/>
  <c r="BC141" i="15"/>
  <c r="BC140" i="15"/>
  <c r="BC139" i="15"/>
  <c r="BC138" i="15"/>
  <c r="BC137" i="15"/>
  <c r="BC136" i="15"/>
  <c r="BC135" i="15"/>
  <c r="BC134" i="15"/>
  <c r="BC133" i="15"/>
  <c r="BC132" i="15"/>
  <c r="BC131" i="15"/>
  <c r="BC130" i="15"/>
  <c r="BC129" i="15"/>
  <c r="BC128" i="15"/>
  <c r="BC127" i="15"/>
  <c r="BC126" i="15"/>
  <c r="BC125" i="15"/>
  <c r="BC124" i="15"/>
  <c r="BC123" i="15"/>
  <c r="BC122" i="15"/>
  <c r="BC121" i="15"/>
  <c r="BC120" i="15"/>
  <c r="BC119" i="15"/>
  <c r="BC118" i="15"/>
  <c r="BC117" i="15"/>
  <c r="BC116" i="15"/>
  <c r="BC115" i="15"/>
  <c r="BC114" i="15"/>
  <c r="BC113" i="15"/>
  <c r="BC112" i="15"/>
  <c r="BC111" i="15"/>
  <c r="BC110" i="15"/>
  <c r="BC109" i="15"/>
  <c r="BC108" i="15"/>
  <c r="BC107" i="15"/>
  <c r="BC106" i="15"/>
  <c r="BC105" i="15"/>
  <c r="BC104" i="15"/>
  <c r="BC103" i="15"/>
  <c r="BC102" i="15"/>
  <c r="BC101" i="15"/>
  <c r="BC100" i="15"/>
  <c r="BC99" i="15"/>
  <c r="BC98" i="15"/>
  <c r="BC97" i="15"/>
  <c r="BC96" i="15"/>
  <c r="BC95" i="15"/>
  <c r="BC94" i="15"/>
  <c r="BC93" i="15"/>
  <c r="BC92" i="15"/>
  <c r="BC91" i="15"/>
  <c r="BC90" i="15"/>
  <c r="BC89" i="15"/>
  <c r="BC88" i="15"/>
  <c r="BC87" i="15"/>
  <c r="BC86" i="15"/>
  <c r="BC85" i="15"/>
  <c r="BC84" i="15"/>
  <c r="BC83" i="15"/>
  <c r="BC82" i="15"/>
  <c r="BC81" i="15"/>
  <c r="BC80" i="15"/>
  <c r="BC79" i="15"/>
  <c r="BC78" i="15"/>
  <c r="BC77" i="15"/>
  <c r="BC76" i="15"/>
  <c r="BC75" i="15"/>
  <c r="BC74" i="15"/>
  <c r="BC73" i="15"/>
  <c r="BC72" i="15"/>
  <c r="BC71" i="15"/>
  <c r="BC70" i="15"/>
  <c r="BC69" i="15"/>
  <c r="BC68" i="15"/>
  <c r="BC67" i="15"/>
  <c r="BC66" i="15"/>
  <c r="BC65" i="15"/>
  <c r="BC64" i="15"/>
  <c r="BC63" i="15"/>
  <c r="BC62" i="15"/>
  <c r="BC61" i="15"/>
  <c r="BC60" i="15"/>
  <c r="BC59" i="15"/>
  <c r="BC58" i="15"/>
  <c r="BC57" i="15"/>
  <c r="BC56" i="15"/>
  <c r="BC55" i="15"/>
  <c r="BC54" i="15"/>
  <c r="BC53" i="15"/>
  <c r="BC52" i="15"/>
  <c r="BC51" i="15"/>
  <c r="BC50" i="15"/>
  <c r="BC49" i="15"/>
  <c r="BC48" i="15"/>
  <c r="BC47" i="15"/>
  <c r="BC46" i="15"/>
  <c r="BC45" i="15"/>
  <c r="BC44" i="15"/>
  <c r="BC43" i="15"/>
  <c r="BC42" i="15"/>
  <c r="BC41" i="15"/>
  <c r="BC40" i="15"/>
  <c r="BC39" i="15"/>
  <c r="BC38" i="15"/>
  <c r="BC37" i="15"/>
  <c r="BC36" i="15"/>
  <c r="BC35" i="15"/>
  <c r="BC34" i="15"/>
  <c r="BC33" i="15"/>
  <c r="BC32" i="15"/>
  <c r="BC31" i="15"/>
  <c r="BC30" i="15"/>
  <c r="BC29" i="15"/>
  <c r="BC28" i="15"/>
  <c r="BC27" i="15"/>
  <c r="BC26" i="15"/>
  <c r="BC25" i="15"/>
  <c r="BC24" i="15"/>
  <c r="BC23" i="15"/>
  <c r="BC22" i="15"/>
  <c r="BC21" i="15"/>
  <c r="BC20" i="15"/>
  <c r="BC19" i="15"/>
  <c r="BC18" i="15"/>
  <c r="BC17" i="15"/>
  <c r="BC16" i="15"/>
  <c r="BC15" i="15"/>
  <c r="BC14" i="15"/>
  <c r="BC13" i="15"/>
  <c r="BC12" i="15"/>
  <c r="BC11" i="15"/>
  <c r="BC10" i="15"/>
  <c r="BC9" i="15"/>
  <c r="BC8" i="15"/>
  <c r="BC7" i="15"/>
  <c r="AU19" i="15"/>
  <c r="AV13" i="15" s="1"/>
  <c r="BD735" i="15"/>
  <c r="BD734" i="15"/>
  <c r="BD733" i="15"/>
  <c r="BD732" i="15"/>
  <c r="BD731" i="15"/>
  <c r="BD730" i="15"/>
  <c r="BD729" i="15"/>
  <c r="BD728" i="15"/>
  <c r="BD727" i="15"/>
  <c r="BD726" i="15"/>
  <c r="BD725" i="15"/>
  <c r="BD724" i="15"/>
  <c r="BD723" i="15"/>
  <c r="BD722" i="15"/>
  <c r="BD721" i="15"/>
  <c r="BD720" i="15"/>
  <c r="BD719" i="15"/>
  <c r="BD718" i="15"/>
  <c r="BD717" i="15"/>
  <c r="BD716" i="15"/>
  <c r="BD715" i="15"/>
  <c r="BD714" i="15"/>
  <c r="BD713" i="15"/>
  <c r="BD712" i="15"/>
  <c r="BD711" i="15"/>
  <c r="BD710" i="15"/>
  <c r="BD709" i="15"/>
  <c r="BD708" i="15"/>
  <c r="BD707" i="15"/>
  <c r="BD706" i="15"/>
  <c r="BD705" i="15"/>
  <c r="BD704" i="15"/>
  <c r="BD703" i="15"/>
  <c r="BD702" i="15"/>
  <c r="BD701" i="15"/>
  <c r="BD700" i="15"/>
  <c r="BD699" i="15"/>
  <c r="BD698" i="15"/>
  <c r="BD697" i="15"/>
  <c r="BD696" i="15"/>
  <c r="BD695" i="15"/>
  <c r="BD694" i="15"/>
  <c r="BD693" i="15"/>
  <c r="BD692" i="15"/>
  <c r="BD691" i="15"/>
  <c r="BD690" i="15"/>
  <c r="BD689" i="15"/>
  <c r="BD688" i="15"/>
  <c r="BD687" i="15"/>
  <c r="BD686" i="15"/>
  <c r="BD685" i="15"/>
  <c r="BD684" i="15"/>
  <c r="BD683" i="15"/>
  <c r="BD682" i="15"/>
  <c r="BD681" i="15"/>
  <c r="BD680" i="15"/>
  <c r="BD679" i="15"/>
  <c r="BD678" i="15"/>
  <c r="BD677" i="15"/>
  <c r="BD676" i="15"/>
  <c r="BD675" i="15"/>
  <c r="BD674" i="15"/>
  <c r="BD673" i="15"/>
  <c r="BD672" i="15"/>
  <c r="BD671" i="15"/>
  <c r="BD670" i="15"/>
  <c r="BD669" i="15"/>
  <c r="BD668" i="15"/>
  <c r="BD667" i="15"/>
  <c r="BD666" i="15"/>
  <c r="BD665" i="15"/>
  <c r="BD664" i="15"/>
  <c r="BD663" i="15"/>
  <c r="BD662" i="15"/>
  <c r="BD661" i="15"/>
  <c r="BD660" i="15"/>
  <c r="BD659" i="15"/>
  <c r="BD658" i="15"/>
  <c r="BD657" i="15"/>
  <c r="BD656" i="15"/>
  <c r="BD655" i="15"/>
  <c r="BD654" i="15"/>
  <c r="BD653" i="15"/>
  <c r="BD652" i="15"/>
  <c r="BD651" i="15"/>
  <c r="BD650" i="15"/>
  <c r="BD649" i="15"/>
  <c r="BD648" i="15"/>
  <c r="BD647" i="15"/>
  <c r="BD646" i="15"/>
  <c r="BD645" i="15"/>
  <c r="BD644" i="15"/>
  <c r="BD643" i="15"/>
  <c r="BD642" i="15"/>
  <c r="BD641" i="15"/>
  <c r="BD640" i="15"/>
  <c r="BD639" i="15"/>
  <c r="BD638" i="15"/>
  <c r="BD637" i="15"/>
  <c r="BD636" i="15"/>
  <c r="BD635" i="15"/>
  <c r="BD634" i="15"/>
  <c r="BD633" i="15"/>
  <c r="BD632" i="15"/>
  <c r="BD631" i="15"/>
  <c r="BD630" i="15"/>
  <c r="BD629" i="15"/>
  <c r="BD628" i="15"/>
  <c r="BD627" i="15"/>
  <c r="BD626" i="15"/>
  <c r="BD625" i="15"/>
  <c r="BD624" i="15"/>
  <c r="BD623" i="15"/>
  <c r="BD622" i="15"/>
  <c r="BD621" i="15"/>
  <c r="BD620" i="15"/>
  <c r="BD619" i="15"/>
  <c r="BD618" i="15"/>
  <c r="BD617" i="15"/>
  <c r="BD616" i="15"/>
  <c r="BD615" i="15"/>
  <c r="BD614" i="15"/>
  <c r="BD613" i="15"/>
  <c r="BD612" i="15"/>
  <c r="BD611" i="15"/>
  <c r="BD610" i="15"/>
  <c r="BD609" i="15"/>
  <c r="BD608" i="15"/>
  <c r="BD607" i="15"/>
  <c r="BD606" i="15"/>
  <c r="BD605" i="15"/>
  <c r="BD604" i="15"/>
  <c r="BD603" i="15"/>
  <c r="BD602" i="15"/>
  <c r="BD601" i="15"/>
  <c r="BD600" i="15"/>
  <c r="BD599" i="15"/>
  <c r="BD598" i="15"/>
  <c r="BD597" i="15"/>
  <c r="BD596" i="15"/>
  <c r="BD595" i="15"/>
  <c r="BD594" i="15"/>
  <c r="BD593" i="15"/>
  <c r="BD592" i="15"/>
  <c r="BD591" i="15"/>
  <c r="BD590" i="15"/>
  <c r="BD589" i="15"/>
  <c r="BD588" i="15"/>
  <c r="BD587" i="15"/>
  <c r="BD586" i="15"/>
  <c r="BD585" i="15"/>
  <c r="BD584" i="15"/>
  <c r="BD583" i="15"/>
  <c r="BD582" i="15"/>
  <c r="BD581" i="15"/>
  <c r="BD580" i="15"/>
  <c r="BD579" i="15"/>
  <c r="BD578" i="15"/>
  <c r="BD577" i="15"/>
  <c r="BD576" i="15"/>
  <c r="BD575" i="15"/>
  <c r="BD574" i="15"/>
  <c r="BD573" i="15"/>
  <c r="BD572" i="15"/>
  <c r="BD571" i="15"/>
  <c r="BD570" i="15"/>
  <c r="BD569" i="15"/>
  <c r="BD568" i="15"/>
  <c r="BD567" i="15"/>
  <c r="BD566" i="15"/>
  <c r="BD565" i="15"/>
  <c r="BD564" i="15"/>
  <c r="BD563" i="15"/>
  <c r="BD562" i="15"/>
  <c r="BD561" i="15"/>
  <c r="BD560" i="15"/>
  <c r="BD559" i="15"/>
  <c r="BD558" i="15"/>
  <c r="BD557" i="15"/>
  <c r="BD556" i="15"/>
  <c r="BD555" i="15"/>
  <c r="BD554" i="15"/>
  <c r="BD553" i="15"/>
  <c r="BD552" i="15"/>
  <c r="BD551" i="15"/>
  <c r="BD550" i="15"/>
  <c r="BD549" i="15"/>
  <c r="BD548" i="15"/>
  <c r="BD547" i="15"/>
  <c r="BD546" i="15"/>
  <c r="BD545" i="15"/>
  <c r="BD544" i="15"/>
  <c r="BD543" i="15"/>
  <c r="BD542" i="15"/>
  <c r="BD541" i="15"/>
  <c r="BD540" i="15"/>
  <c r="BD539" i="15"/>
  <c r="BD538" i="15"/>
  <c r="BD537" i="15"/>
  <c r="BD536" i="15"/>
  <c r="BD535" i="15"/>
  <c r="BD534" i="15"/>
  <c r="BD533" i="15"/>
  <c r="BD532" i="15"/>
  <c r="BD531" i="15"/>
  <c r="BD530" i="15"/>
  <c r="BD529" i="15"/>
  <c r="BD528" i="15"/>
  <c r="BD527" i="15"/>
  <c r="BD526" i="15"/>
  <c r="BD525" i="15"/>
  <c r="BD524" i="15"/>
  <c r="BD523" i="15"/>
  <c r="BD522" i="15"/>
  <c r="BD521" i="15"/>
  <c r="BD520" i="15"/>
  <c r="BD519" i="15"/>
  <c r="BD518" i="15"/>
  <c r="BD517" i="15"/>
  <c r="BD516" i="15"/>
  <c r="BD515" i="15"/>
  <c r="BD514" i="15"/>
  <c r="BD513" i="15"/>
  <c r="BD512" i="15"/>
  <c r="BD511" i="15"/>
  <c r="BD510" i="15"/>
  <c r="BD509" i="15"/>
  <c r="BD508" i="15"/>
  <c r="BD507" i="15"/>
  <c r="BD506" i="15"/>
  <c r="BD505" i="15"/>
  <c r="BD504" i="15"/>
  <c r="BD503" i="15"/>
  <c r="BD502" i="15"/>
  <c r="BD501" i="15"/>
  <c r="BD500" i="15"/>
  <c r="BD499" i="15"/>
  <c r="BD498" i="15"/>
  <c r="BD497" i="15"/>
  <c r="BD496" i="15"/>
  <c r="BD495" i="15"/>
  <c r="BD494" i="15"/>
  <c r="BD493" i="15"/>
  <c r="BD492" i="15"/>
  <c r="BD491" i="15"/>
  <c r="BD490" i="15"/>
  <c r="BD489" i="15"/>
  <c r="BD488" i="15"/>
  <c r="BD487" i="15"/>
  <c r="BD486" i="15"/>
  <c r="BD485" i="15"/>
  <c r="BD484" i="15"/>
  <c r="BD483" i="15"/>
  <c r="BD482" i="15"/>
  <c r="BD481" i="15"/>
  <c r="BD480" i="15"/>
  <c r="BD479" i="15"/>
  <c r="BD478" i="15"/>
  <c r="BD477" i="15"/>
  <c r="BD476" i="15"/>
  <c r="BD475" i="15"/>
  <c r="BD474" i="15"/>
  <c r="BD473" i="15"/>
  <c r="BD472" i="15"/>
  <c r="BD471" i="15"/>
  <c r="BD470" i="15"/>
  <c r="BD469" i="15"/>
  <c r="BD468" i="15"/>
  <c r="BD467" i="15"/>
  <c r="BD466" i="15"/>
  <c r="BD465" i="15"/>
  <c r="BD464" i="15"/>
  <c r="BD463" i="15"/>
  <c r="BD462" i="15"/>
  <c r="BD461" i="15"/>
  <c r="BD460" i="15"/>
  <c r="BD459" i="15"/>
  <c r="BD458" i="15"/>
  <c r="BD457" i="15"/>
  <c r="BD456" i="15"/>
  <c r="BD455" i="15"/>
  <c r="BD454" i="15"/>
  <c r="BD453" i="15"/>
  <c r="BD452" i="15"/>
  <c r="BD451" i="15"/>
  <c r="BD450" i="15"/>
  <c r="BD449" i="15"/>
  <c r="BD448" i="15"/>
  <c r="BD447" i="15"/>
  <c r="BD446" i="15"/>
  <c r="BD445" i="15"/>
  <c r="BD444" i="15"/>
  <c r="BD443" i="15"/>
  <c r="BD442" i="15"/>
  <c r="BD441" i="15"/>
  <c r="BD440" i="15"/>
  <c r="BD439" i="15"/>
  <c r="BD438" i="15"/>
  <c r="BD437" i="15"/>
  <c r="BD436" i="15"/>
  <c r="BD435" i="15"/>
  <c r="BD434" i="15"/>
  <c r="BD433" i="15"/>
  <c r="BD432" i="15"/>
  <c r="BD431" i="15"/>
  <c r="BD430" i="15"/>
  <c r="BD429" i="15"/>
  <c r="BD428" i="15"/>
  <c r="BD427" i="15"/>
  <c r="BD426" i="15"/>
  <c r="BD425" i="15"/>
  <c r="BD424" i="15"/>
  <c r="BD423" i="15"/>
  <c r="BD422" i="15"/>
  <c r="BD421" i="15"/>
  <c r="BD420" i="15"/>
  <c r="BD419" i="15"/>
  <c r="BD418" i="15"/>
  <c r="BD417" i="15"/>
  <c r="BD416" i="15"/>
  <c r="BD415" i="15"/>
  <c r="BD414" i="15"/>
  <c r="BD413" i="15"/>
  <c r="BD412" i="15"/>
  <c r="BD411" i="15"/>
  <c r="BD410" i="15"/>
  <c r="BD409" i="15"/>
  <c r="BD408" i="15"/>
  <c r="BD407" i="15"/>
  <c r="BD406" i="15"/>
  <c r="BD405" i="15"/>
  <c r="BD404" i="15"/>
  <c r="BD403" i="15"/>
  <c r="BD402" i="15"/>
  <c r="BD401" i="15"/>
  <c r="BD400" i="15"/>
  <c r="BD399" i="15"/>
  <c r="BD398" i="15"/>
  <c r="BD397" i="15"/>
  <c r="BD396" i="15"/>
  <c r="BD395" i="15"/>
  <c r="BD394" i="15"/>
  <c r="BD393" i="15"/>
  <c r="BD392" i="15"/>
  <c r="BD391" i="15"/>
  <c r="BD390" i="15"/>
  <c r="BD389" i="15"/>
  <c r="BD388" i="15"/>
  <c r="BD387" i="15"/>
  <c r="BD386" i="15"/>
  <c r="BD385" i="15"/>
  <c r="BD384" i="15"/>
  <c r="BD383" i="15"/>
  <c r="BD382" i="15"/>
  <c r="BD381" i="15"/>
  <c r="BD380" i="15"/>
  <c r="BD379" i="15"/>
  <c r="BD378" i="15"/>
  <c r="BD377" i="15"/>
  <c r="BD376" i="15"/>
  <c r="BD736" i="15" s="1"/>
  <c r="L37" i="8" s="1"/>
  <c r="BD375" i="15"/>
  <c r="BD374" i="15"/>
  <c r="BD373" i="15"/>
  <c r="BD372" i="15"/>
  <c r="BD371" i="15"/>
  <c r="BD370" i="15"/>
  <c r="BD369" i="15"/>
  <c r="BD368" i="15"/>
  <c r="BD367" i="15"/>
  <c r="BD366" i="15"/>
  <c r="BD365" i="15"/>
  <c r="BD364" i="15"/>
  <c r="BD363" i="15"/>
  <c r="BD362" i="15"/>
  <c r="BD361" i="15"/>
  <c r="BD360" i="15"/>
  <c r="BD359" i="15"/>
  <c r="BD358" i="15"/>
  <c r="BD357" i="15"/>
  <c r="BD356" i="15"/>
  <c r="BD355" i="15"/>
  <c r="BD354" i="15"/>
  <c r="BD353" i="15"/>
  <c r="BD352" i="15"/>
  <c r="BD351" i="15"/>
  <c r="BD350" i="15"/>
  <c r="BD349" i="15"/>
  <c r="BD348" i="15"/>
  <c r="BD347" i="15"/>
  <c r="BD346" i="15"/>
  <c r="BD345" i="15"/>
  <c r="BD344" i="15"/>
  <c r="BD343" i="15"/>
  <c r="BD342" i="15"/>
  <c r="BD341" i="15"/>
  <c r="BD340" i="15"/>
  <c r="BD339" i="15"/>
  <c r="BD338" i="15"/>
  <c r="BD337" i="15"/>
  <c r="BD336" i="15"/>
  <c r="BD335" i="15"/>
  <c r="BD334" i="15"/>
  <c r="BD333" i="15"/>
  <c r="BD332" i="15"/>
  <c r="BD331" i="15"/>
  <c r="BD330" i="15"/>
  <c r="BD329" i="15"/>
  <c r="BD328" i="15"/>
  <c r="BD327" i="15"/>
  <c r="BD326" i="15"/>
  <c r="BD325" i="15"/>
  <c r="BD324" i="15"/>
  <c r="BD323" i="15"/>
  <c r="BD322" i="15"/>
  <c r="BD321" i="15"/>
  <c r="BD320" i="15"/>
  <c r="BD319" i="15"/>
  <c r="BD318" i="15"/>
  <c r="BD317" i="15"/>
  <c r="BD316" i="15"/>
  <c r="BD315" i="15"/>
  <c r="BD314" i="15"/>
  <c r="BD313" i="15"/>
  <c r="BD312" i="15"/>
  <c r="BD311" i="15"/>
  <c r="BD310" i="15"/>
  <c r="BD309" i="15"/>
  <c r="BD308" i="15"/>
  <c r="BD307" i="15"/>
  <c r="BD306" i="15"/>
  <c r="BD305" i="15"/>
  <c r="BD304" i="15"/>
  <c r="BD303" i="15"/>
  <c r="BD302" i="15"/>
  <c r="BD301" i="15"/>
  <c r="BD300" i="15"/>
  <c r="BD299" i="15"/>
  <c r="BD298" i="15"/>
  <c r="BD297" i="15"/>
  <c r="BD296" i="15"/>
  <c r="BD295" i="15"/>
  <c r="BD294" i="15"/>
  <c r="BD293" i="15"/>
  <c r="BD292" i="15"/>
  <c r="BD291" i="15"/>
  <c r="BD290" i="15"/>
  <c r="BD289" i="15"/>
  <c r="BD288" i="15"/>
  <c r="BD287" i="15"/>
  <c r="BD286" i="15"/>
  <c r="BD285" i="15"/>
  <c r="BD284" i="15"/>
  <c r="BD283" i="15"/>
  <c r="BD282" i="15"/>
  <c r="BD281" i="15"/>
  <c r="BD280" i="15"/>
  <c r="BD279" i="15"/>
  <c r="BD278" i="15"/>
  <c r="BD277" i="15"/>
  <c r="BD276" i="15"/>
  <c r="BD275" i="15"/>
  <c r="BD274" i="15"/>
  <c r="BD273" i="15"/>
  <c r="BD272" i="15"/>
  <c r="BD271" i="15"/>
  <c r="BD270" i="15"/>
  <c r="BD269" i="15"/>
  <c r="BD268" i="15"/>
  <c r="BD267" i="15"/>
  <c r="BD266" i="15"/>
  <c r="BD265" i="15"/>
  <c r="BD264" i="15"/>
  <c r="BD263" i="15"/>
  <c r="BD262" i="15"/>
  <c r="BD261" i="15"/>
  <c r="BD260" i="15"/>
  <c r="BD259" i="15"/>
  <c r="BD258" i="15"/>
  <c r="BD257" i="15"/>
  <c r="BD256" i="15"/>
  <c r="BD255" i="15"/>
  <c r="BD254" i="15"/>
  <c r="BD253" i="15"/>
  <c r="BD252" i="15"/>
  <c r="BD251" i="15"/>
  <c r="BD250" i="15"/>
  <c r="BD249" i="15"/>
  <c r="BD248" i="15"/>
  <c r="BD247" i="15"/>
  <c r="BD246" i="15"/>
  <c r="BD245" i="15"/>
  <c r="BD244" i="15"/>
  <c r="BD243" i="15"/>
  <c r="BD242" i="15"/>
  <c r="BD241" i="15"/>
  <c r="BD240" i="15"/>
  <c r="BD239" i="15"/>
  <c r="BD238" i="15"/>
  <c r="BD237" i="15"/>
  <c r="BD236" i="15"/>
  <c r="BD235" i="15"/>
  <c r="BD234" i="15"/>
  <c r="BD233" i="15"/>
  <c r="BD232" i="15"/>
  <c r="BD231" i="15"/>
  <c r="BD230" i="15"/>
  <c r="BD229" i="15"/>
  <c r="BD228" i="15"/>
  <c r="BD227" i="15"/>
  <c r="BD226" i="15"/>
  <c r="BD225" i="15"/>
  <c r="BD224" i="15"/>
  <c r="BD223" i="15"/>
  <c r="BD222" i="15"/>
  <c r="BD221" i="15"/>
  <c r="BD220" i="15"/>
  <c r="BD219" i="15"/>
  <c r="BD218" i="15"/>
  <c r="BD217" i="15"/>
  <c r="BD216" i="15"/>
  <c r="BD215" i="15"/>
  <c r="BD214" i="15"/>
  <c r="BD213" i="15"/>
  <c r="BD212" i="15"/>
  <c r="BD211" i="15"/>
  <c r="BD210" i="15"/>
  <c r="BD209" i="15"/>
  <c r="BD208" i="15"/>
  <c r="BD207" i="15"/>
  <c r="BD206" i="15"/>
  <c r="BD205" i="15"/>
  <c r="BD204" i="15"/>
  <c r="BD203" i="15"/>
  <c r="BD202" i="15"/>
  <c r="BD201" i="15"/>
  <c r="BD200" i="15"/>
  <c r="BD199" i="15"/>
  <c r="BD198" i="15"/>
  <c r="BD197" i="15"/>
  <c r="BD196" i="15"/>
  <c r="BD195" i="15"/>
  <c r="BD194" i="15"/>
  <c r="BD193" i="15"/>
  <c r="BD192" i="15"/>
  <c r="BD191" i="15"/>
  <c r="BD190" i="15"/>
  <c r="BD189" i="15"/>
  <c r="BD188" i="15"/>
  <c r="BD187" i="15"/>
  <c r="BD186" i="15"/>
  <c r="BD185" i="15"/>
  <c r="BD184" i="15"/>
  <c r="BD183" i="15"/>
  <c r="BD182" i="15"/>
  <c r="BD181" i="15"/>
  <c r="BD180" i="15"/>
  <c r="BD179" i="15"/>
  <c r="BD178" i="15"/>
  <c r="BD177" i="15"/>
  <c r="BD176" i="15"/>
  <c r="BD175" i="15"/>
  <c r="BD174" i="15"/>
  <c r="BD173" i="15"/>
  <c r="BD172" i="15"/>
  <c r="BD171" i="15"/>
  <c r="BD170" i="15"/>
  <c r="BD169" i="15"/>
  <c r="BD168" i="15"/>
  <c r="BD167" i="15"/>
  <c r="BD166" i="15"/>
  <c r="BD165" i="15"/>
  <c r="BD164" i="15"/>
  <c r="BD163" i="15"/>
  <c r="BD162" i="15"/>
  <c r="BD161" i="15"/>
  <c r="BD160" i="15"/>
  <c r="BD159" i="15"/>
  <c r="BD158" i="15"/>
  <c r="BD157" i="15"/>
  <c r="BD156" i="15"/>
  <c r="BD155" i="15"/>
  <c r="BD154" i="15"/>
  <c r="BD153" i="15"/>
  <c r="BD152" i="15"/>
  <c r="BD151" i="15"/>
  <c r="BD150" i="15"/>
  <c r="BD149" i="15"/>
  <c r="BD148" i="15"/>
  <c r="BD147" i="15"/>
  <c r="BD146" i="15"/>
  <c r="BD145" i="15"/>
  <c r="BD144" i="15"/>
  <c r="BD143" i="15"/>
  <c r="BD142" i="15"/>
  <c r="BD141" i="15"/>
  <c r="BD140" i="15"/>
  <c r="BD139" i="15"/>
  <c r="BD138" i="15"/>
  <c r="BD137" i="15"/>
  <c r="BD136" i="15"/>
  <c r="BD135" i="15"/>
  <c r="BD134" i="15"/>
  <c r="BD133" i="15"/>
  <c r="BD132" i="15"/>
  <c r="BD131" i="15"/>
  <c r="BD130" i="15"/>
  <c r="BD129" i="15"/>
  <c r="BD128" i="15"/>
  <c r="BD127" i="15"/>
  <c r="BD126" i="15"/>
  <c r="BD125" i="15"/>
  <c r="BD124" i="15"/>
  <c r="BD123" i="15"/>
  <c r="BD122" i="15"/>
  <c r="BD121" i="15"/>
  <c r="BD120" i="15"/>
  <c r="BD119" i="15"/>
  <c r="BD118" i="15"/>
  <c r="BD117" i="15"/>
  <c r="BD116" i="15"/>
  <c r="BD115" i="15"/>
  <c r="BD114" i="15"/>
  <c r="BD113" i="15"/>
  <c r="BD112" i="15"/>
  <c r="BD111" i="15"/>
  <c r="BD110" i="15"/>
  <c r="BD109" i="15"/>
  <c r="BD108" i="15"/>
  <c r="BD107" i="15"/>
  <c r="BD106" i="15"/>
  <c r="BD105" i="15"/>
  <c r="BD104" i="15"/>
  <c r="BD103" i="15"/>
  <c r="BD102" i="15"/>
  <c r="BD101" i="15"/>
  <c r="BD100" i="15"/>
  <c r="BD99" i="15"/>
  <c r="BD98" i="15"/>
  <c r="BD97" i="15"/>
  <c r="BD96" i="15"/>
  <c r="BD95" i="15"/>
  <c r="BD94" i="15"/>
  <c r="BD93" i="15"/>
  <c r="BD92" i="15"/>
  <c r="BD91" i="15"/>
  <c r="BD90" i="15"/>
  <c r="BD89" i="15"/>
  <c r="BD88" i="15"/>
  <c r="BD87" i="15"/>
  <c r="BD86" i="15"/>
  <c r="BD85" i="15"/>
  <c r="BD84" i="15"/>
  <c r="BD83" i="15"/>
  <c r="BD82" i="15"/>
  <c r="BD81" i="15"/>
  <c r="BD80" i="15"/>
  <c r="BD79" i="15"/>
  <c r="BD78" i="15"/>
  <c r="BD77" i="15"/>
  <c r="BD76" i="15"/>
  <c r="BD75" i="15"/>
  <c r="BD74" i="15"/>
  <c r="BD73" i="15"/>
  <c r="BD72" i="15"/>
  <c r="BD71" i="15"/>
  <c r="BD70" i="15"/>
  <c r="BD69" i="15"/>
  <c r="BD68" i="15"/>
  <c r="BD67" i="15"/>
  <c r="BD66" i="15"/>
  <c r="BD65" i="15"/>
  <c r="BD64" i="15"/>
  <c r="BD63" i="15"/>
  <c r="BD62" i="15"/>
  <c r="BD61" i="15"/>
  <c r="BD60" i="15"/>
  <c r="BD59" i="15"/>
  <c r="BD58" i="15"/>
  <c r="BD57" i="15"/>
  <c r="BD56" i="15"/>
  <c r="BD55" i="15"/>
  <c r="BD54" i="15"/>
  <c r="BD53" i="15"/>
  <c r="BD52" i="15"/>
  <c r="BD51" i="15"/>
  <c r="BD50" i="15"/>
  <c r="BD49" i="15"/>
  <c r="BD48" i="15"/>
  <c r="BD47" i="15"/>
  <c r="BD46" i="15"/>
  <c r="BD45" i="15"/>
  <c r="BD44" i="15"/>
  <c r="BD43" i="15"/>
  <c r="BD42" i="15"/>
  <c r="BD41" i="15"/>
  <c r="BD40" i="15"/>
  <c r="BD39" i="15"/>
  <c r="BD38" i="15"/>
  <c r="BD37" i="15"/>
  <c r="BD36" i="15"/>
  <c r="BD35" i="15"/>
  <c r="BD34" i="15"/>
  <c r="BD33" i="15"/>
  <c r="BD32" i="15"/>
  <c r="BD31" i="15"/>
  <c r="BD30" i="15"/>
  <c r="BD29" i="15"/>
  <c r="BD28" i="15"/>
  <c r="BD27" i="15"/>
  <c r="BD26" i="15"/>
  <c r="BD25" i="15"/>
  <c r="BD24" i="15"/>
  <c r="BD23" i="15"/>
  <c r="BD22" i="15"/>
  <c r="BD21" i="15"/>
  <c r="BD20" i="15"/>
  <c r="BD19" i="15"/>
  <c r="BD18" i="15"/>
  <c r="BD17" i="15"/>
  <c r="BD16" i="15"/>
  <c r="BD15" i="15"/>
  <c r="BD14" i="15"/>
  <c r="BD13" i="15"/>
  <c r="BD12" i="15"/>
  <c r="BD11" i="15"/>
  <c r="BD10" i="15"/>
  <c r="BD9" i="15"/>
  <c r="BD8" i="15"/>
  <c r="BD7" i="15"/>
  <c r="BE735" i="15"/>
  <c r="BE734" i="15"/>
  <c r="BE733" i="15"/>
  <c r="BE732" i="15"/>
  <c r="BE731" i="15"/>
  <c r="BE730" i="15"/>
  <c r="BE729" i="15"/>
  <c r="BE728" i="15"/>
  <c r="BE727" i="15"/>
  <c r="BE726" i="15"/>
  <c r="BE725" i="15"/>
  <c r="BE724" i="15"/>
  <c r="BE723" i="15"/>
  <c r="BE722" i="15"/>
  <c r="BE721" i="15"/>
  <c r="BE720" i="15"/>
  <c r="BE719" i="15"/>
  <c r="BE718" i="15"/>
  <c r="BE717" i="15"/>
  <c r="BE716" i="15"/>
  <c r="BE715" i="15"/>
  <c r="BE714" i="15"/>
  <c r="BE713" i="15"/>
  <c r="BE712" i="15"/>
  <c r="BE711" i="15"/>
  <c r="BE710" i="15"/>
  <c r="BE709" i="15"/>
  <c r="BE708" i="15"/>
  <c r="BE707" i="15"/>
  <c r="BE706" i="15"/>
  <c r="BE705" i="15"/>
  <c r="BE704" i="15"/>
  <c r="BE703" i="15"/>
  <c r="BE702" i="15"/>
  <c r="BE701" i="15"/>
  <c r="BE700" i="15"/>
  <c r="BE699" i="15"/>
  <c r="BE698" i="15"/>
  <c r="BE697" i="15"/>
  <c r="BE696" i="15"/>
  <c r="BE695" i="15"/>
  <c r="BE694" i="15"/>
  <c r="BE693" i="15"/>
  <c r="BE692" i="15"/>
  <c r="BE691" i="15"/>
  <c r="BE690" i="15"/>
  <c r="BE689" i="15"/>
  <c r="BE688" i="15"/>
  <c r="BE687" i="15"/>
  <c r="BE686" i="15"/>
  <c r="BE685" i="15"/>
  <c r="BE684" i="15"/>
  <c r="BE683" i="15"/>
  <c r="BE682" i="15"/>
  <c r="BE681" i="15"/>
  <c r="BE680" i="15"/>
  <c r="BE679" i="15"/>
  <c r="BE678" i="15"/>
  <c r="BE677" i="15"/>
  <c r="BE676" i="15"/>
  <c r="BE675" i="15"/>
  <c r="BE674" i="15"/>
  <c r="BE673" i="15"/>
  <c r="BE672" i="15"/>
  <c r="BE671" i="15"/>
  <c r="BE670" i="15"/>
  <c r="BE669" i="15"/>
  <c r="BE668" i="15"/>
  <c r="BE667" i="15"/>
  <c r="BE666" i="15"/>
  <c r="BE665" i="15"/>
  <c r="BE664" i="15"/>
  <c r="BE663" i="15"/>
  <c r="BE662" i="15"/>
  <c r="BE661" i="15"/>
  <c r="BE660" i="15"/>
  <c r="BE659" i="15"/>
  <c r="BE658" i="15"/>
  <c r="BE657" i="15"/>
  <c r="BE656" i="15"/>
  <c r="BE655" i="15"/>
  <c r="BE654" i="15"/>
  <c r="BE653" i="15"/>
  <c r="BE652" i="15"/>
  <c r="BE651" i="15"/>
  <c r="BE650" i="15"/>
  <c r="BE649" i="15"/>
  <c r="BE648" i="15"/>
  <c r="BE647" i="15"/>
  <c r="BE646" i="15"/>
  <c r="BE645" i="15"/>
  <c r="BE644" i="15"/>
  <c r="BE643" i="15"/>
  <c r="BE642" i="15"/>
  <c r="BE641" i="15"/>
  <c r="BE640" i="15"/>
  <c r="BE639" i="15"/>
  <c r="BE638" i="15"/>
  <c r="BE637" i="15"/>
  <c r="BE636" i="15"/>
  <c r="BE635" i="15"/>
  <c r="BE634" i="15"/>
  <c r="BE633" i="15"/>
  <c r="BE632" i="15"/>
  <c r="BE631" i="15"/>
  <c r="BE630" i="15"/>
  <c r="BE629" i="15"/>
  <c r="BE628" i="15"/>
  <c r="BE627" i="15"/>
  <c r="BE626" i="15"/>
  <c r="BE625" i="15"/>
  <c r="BE624" i="15"/>
  <c r="BE623" i="15"/>
  <c r="BE622" i="15"/>
  <c r="BE621" i="15"/>
  <c r="BE620" i="15"/>
  <c r="BE619" i="15"/>
  <c r="BE618" i="15"/>
  <c r="BE617" i="15"/>
  <c r="BE616" i="15"/>
  <c r="BE615" i="15"/>
  <c r="BE614" i="15"/>
  <c r="BE613" i="15"/>
  <c r="BE612" i="15"/>
  <c r="BE611" i="15"/>
  <c r="BE610" i="15"/>
  <c r="BE609" i="15"/>
  <c r="BE608" i="15"/>
  <c r="BE607" i="15"/>
  <c r="BE606" i="15"/>
  <c r="BE605" i="15"/>
  <c r="BE604" i="15"/>
  <c r="BE603" i="15"/>
  <c r="BE602" i="15"/>
  <c r="BE601" i="15"/>
  <c r="BE600" i="15"/>
  <c r="BE599" i="15"/>
  <c r="BE598" i="15"/>
  <c r="BE597" i="15"/>
  <c r="BE596" i="15"/>
  <c r="BE595" i="15"/>
  <c r="BE594" i="15"/>
  <c r="BE593" i="15"/>
  <c r="BE592" i="15"/>
  <c r="BE591" i="15"/>
  <c r="BE590" i="15"/>
  <c r="BE589" i="15"/>
  <c r="BE588" i="15"/>
  <c r="BE587" i="15"/>
  <c r="BE586" i="15"/>
  <c r="BE585" i="15"/>
  <c r="BE584" i="15"/>
  <c r="BE583" i="15"/>
  <c r="BE582" i="15"/>
  <c r="BE581" i="15"/>
  <c r="BE580" i="15"/>
  <c r="BE579" i="15"/>
  <c r="BE578" i="15"/>
  <c r="BE577" i="15"/>
  <c r="BE576" i="15"/>
  <c r="BE575" i="15"/>
  <c r="BE574" i="15"/>
  <c r="BE573" i="15"/>
  <c r="BE572" i="15"/>
  <c r="BE571" i="15"/>
  <c r="BE570" i="15"/>
  <c r="BE569" i="15"/>
  <c r="BE568" i="15"/>
  <c r="BE567" i="15"/>
  <c r="BE566" i="15"/>
  <c r="BE565" i="15"/>
  <c r="BE564" i="15"/>
  <c r="BE563" i="15"/>
  <c r="BE562" i="15"/>
  <c r="BE561" i="15"/>
  <c r="BE560" i="15"/>
  <c r="BE559" i="15"/>
  <c r="BE558" i="15"/>
  <c r="BE557" i="15"/>
  <c r="BE556" i="15"/>
  <c r="BE555" i="15"/>
  <c r="BE554" i="15"/>
  <c r="BE553" i="15"/>
  <c r="BE552" i="15"/>
  <c r="BE551" i="15"/>
  <c r="BE550" i="15"/>
  <c r="BE549" i="15"/>
  <c r="BE548" i="15"/>
  <c r="BE547" i="15"/>
  <c r="BE546" i="15"/>
  <c r="BE545" i="15"/>
  <c r="BE544" i="15"/>
  <c r="BE543" i="15"/>
  <c r="BE542" i="15"/>
  <c r="BE541" i="15"/>
  <c r="BE540" i="15"/>
  <c r="BE539" i="15"/>
  <c r="BE538" i="15"/>
  <c r="BE537" i="15"/>
  <c r="BE536" i="15"/>
  <c r="BE535" i="15"/>
  <c r="BE534" i="15"/>
  <c r="BE533" i="15"/>
  <c r="BE532" i="15"/>
  <c r="BE531" i="15"/>
  <c r="BE530" i="15"/>
  <c r="BE529" i="15"/>
  <c r="BE528" i="15"/>
  <c r="BE527" i="15"/>
  <c r="BE526" i="15"/>
  <c r="BE525" i="15"/>
  <c r="BE524" i="15"/>
  <c r="BE523" i="15"/>
  <c r="BE522" i="15"/>
  <c r="BE521" i="15"/>
  <c r="BE520" i="15"/>
  <c r="BE519" i="15"/>
  <c r="BE518" i="15"/>
  <c r="BE517" i="15"/>
  <c r="BE516" i="15"/>
  <c r="BE515" i="15"/>
  <c r="BE514" i="15"/>
  <c r="BE513" i="15"/>
  <c r="BE512" i="15"/>
  <c r="BE511" i="15"/>
  <c r="BE510" i="15"/>
  <c r="BE509" i="15"/>
  <c r="BE508" i="15"/>
  <c r="BE507" i="15"/>
  <c r="BE506" i="15"/>
  <c r="BE505" i="15"/>
  <c r="BE504" i="15"/>
  <c r="BE503" i="15"/>
  <c r="BE502" i="15"/>
  <c r="BE501" i="15"/>
  <c r="BE500" i="15"/>
  <c r="BE499" i="15"/>
  <c r="BE498" i="15"/>
  <c r="BE497" i="15"/>
  <c r="BE496" i="15"/>
  <c r="BE495" i="15"/>
  <c r="BE494" i="15"/>
  <c r="BE493" i="15"/>
  <c r="BE492" i="15"/>
  <c r="BE491" i="15"/>
  <c r="BE490" i="15"/>
  <c r="BE489" i="15"/>
  <c r="BE488" i="15"/>
  <c r="BE487" i="15"/>
  <c r="BE486" i="15"/>
  <c r="BE485" i="15"/>
  <c r="BE484" i="15"/>
  <c r="BE483" i="15"/>
  <c r="BE482" i="15"/>
  <c r="BE481" i="15"/>
  <c r="BE480" i="15"/>
  <c r="BE479" i="15"/>
  <c r="BE478" i="15"/>
  <c r="BE477" i="15"/>
  <c r="BE476" i="15"/>
  <c r="BE475" i="15"/>
  <c r="BE474" i="15"/>
  <c r="BE473" i="15"/>
  <c r="BE472" i="15"/>
  <c r="BE471" i="15"/>
  <c r="BE470" i="15"/>
  <c r="BE469" i="15"/>
  <c r="BE468" i="15"/>
  <c r="BE467" i="15"/>
  <c r="BE466" i="15"/>
  <c r="BE465" i="15"/>
  <c r="BE464" i="15"/>
  <c r="BE463" i="15"/>
  <c r="BE462" i="15"/>
  <c r="BE461" i="15"/>
  <c r="BE460" i="15"/>
  <c r="BE459" i="15"/>
  <c r="BE458" i="15"/>
  <c r="BE457" i="15"/>
  <c r="BE456" i="15"/>
  <c r="BE455" i="15"/>
  <c r="BE454" i="15"/>
  <c r="BE453" i="15"/>
  <c r="BE452" i="15"/>
  <c r="BE451" i="15"/>
  <c r="BE450" i="15"/>
  <c r="BE449" i="15"/>
  <c r="BE448" i="15"/>
  <c r="BE447" i="15"/>
  <c r="BE446" i="15"/>
  <c r="BE445" i="15"/>
  <c r="BE444" i="15"/>
  <c r="BE443" i="15"/>
  <c r="BE442" i="15"/>
  <c r="BE441" i="15"/>
  <c r="BE440" i="15"/>
  <c r="BE439" i="15"/>
  <c r="BE438" i="15"/>
  <c r="BE437" i="15"/>
  <c r="BE436" i="15"/>
  <c r="BE435" i="15"/>
  <c r="BE434" i="15"/>
  <c r="BE433" i="15"/>
  <c r="BE432" i="15"/>
  <c r="BE431" i="15"/>
  <c r="BE430" i="15"/>
  <c r="BE429" i="15"/>
  <c r="BE428" i="15"/>
  <c r="BE427" i="15"/>
  <c r="BE426" i="15"/>
  <c r="BE425" i="15"/>
  <c r="BE424" i="15"/>
  <c r="BE423" i="15"/>
  <c r="BE422" i="15"/>
  <c r="BE421" i="15"/>
  <c r="BE420" i="15"/>
  <c r="BE419" i="15"/>
  <c r="BE418" i="15"/>
  <c r="BE417" i="15"/>
  <c r="BE416" i="15"/>
  <c r="BE415" i="15"/>
  <c r="BE414" i="15"/>
  <c r="BE413" i="15"/>
  <c r="BE412" i="15"/>
  <c r="BE411" i="15"/>
  <c r="BE410" i="15"/>
  <c r="BE409" i="15"/>
  <c r="BE408" i="15"/>
  <c r="BE407" i="15"/>
  <c r="BE406" i="15"/>
  <c r="BE405" i="15"/>
  <c r="BE404" i="15"/>
  <c r="BE403" i="15"/>
  <c r="BE402" i="15"/>
  <c r="BE401" i="15"/>
  <c r="BE400" i="15"/>
  <c r="BE399" i="15"/>
  <c r="BE398" i="15"/>
  <c r="BE397" i="15"/>
  <c r="BE396" i="15"/>
  <c r="BE395" i="15"/>
  <c r="BE394" i="15"/>
  <c r="BE393" i="15"/>
  <c r="BE392" i="15"/>
  <c r="BE391" i="15"/>
  <c r="BE390" i="15"/>
  <c r="BE389" i="15"/>
  <c r="BE388" i="15"/>
  <c r="BE387" i="15"/>
  <c r="BE386" i="15"/>
  <c r="BE385" i="15"/>
  <c r="BE384" i="15"/>
  <c r="BE383" i="15"/>
  <c r="BE382" i="15"/>
  <c r="BE381" i="15"/>
  <c r="BE380" i="15"/>
  <c r="BE379" i="15"/>
  <c r="BE378" i="15"/>
  <c r="BE377" i="15"/>
  <c r="BE376" i="15"/>
  <c r="BE375" i="15"/>
  <c r="BE374" i="15"/>
  <c r="BE373" i="15"/>
  <c r="BE372" i="15"/>
  <c r="BE371" i="15"/>
  <c r="BE736" i="15" s="1"/>
  <c r="M37" i="8" s="1"/>
  <c r="BE370" i="15"/>
  <c r="BE369" i="15"/>
  <c r="BE368" i="15"/>
  <c r="BE367" i="15"/>
  <c r="BE366" i="15"/>
  <c r="BE365" i="15"/>
  <c r="BE364" i="15"/>
  <c r="BE363" i="15"/>
  <c r="BE362" i="15"/>
  <c r="BE361" i="15"/>
  <c r="BE360" i="15"/>
  <c r="BE359" i="15"/>
  <c r="BE358" i="15"/>
  <c r="BE357" i="15"/>
  <c r="BE356" i="15"/>
  <c r="BE355" i="15"/>
  <c r="BE354" i="15"/>
  <c r="BE353" i="15"/>
  <c r="BE352" i="15"/>
  <c r="BE351" i="15"/>
  <c r="BE350" i="15"/>
  <c r="BE349" i="15"/>
  <c r="BE348" i="15"/>
  <c r="BE347" i="15"/>
  <c r="BE346" i="15"/>
  <c r="BE345" i="15"/>
  <c r="BE344" i="15"/>
  <c r="BE343" i="15"/>
  <c r="BE342" i="15"/>
  <c r="BE341" i="15"/>
  <c r="BE340" i="15"/>
  <c r="BE339" i="15"/>
  <c r="BE338" i="15"/>
  <c r="BE337" i="15"/>
  <c r="BE336" i="15"/>
  <c r="BE335" i="15"/>
  <c r="BE334" i="15"/>
  <c r="BE333" i="15"/>
  <c r="BE332" i="15"/>
  <c r="BE331" i="15"/>
  <c r="BE330" i="15"/>
  <c r="BE329" i="15"/>
  <c r="BE328" i="15"/>
  <c r="BE327" i="15"/>
  <c r="BE326" i="15"/>
  <c r="BE325" i="15"/>
  <c r="BE324" i="15"/>
  <c r="BE323" i="15"/>
  <c r="BE322" i="15"/>
  <c r="BE321" i="15"/>
  <c r="BE320" i="15"/>
  <c r="BE319" i="15"/>
  <c r="BE318" i="15"/>
  <c r="BE317" i="15"/>
  <c r="BE316" i="15"/>
  <c r="BE315" i="15"/>
  <c r="BE314" i="15"/>
  <c r="BE313" i="15"/>
  <c r="BE312" i="15"/>
  <c r="BE311" i="15"/>
  <c r="BE310" i="15"/>
  <c r="BE309" i="15"/>
  <c r="BE308" i="15"/>
  <c r="BE307" i="15"/>
  <c r="BE306" i="15"/>
  <c r="BE305" i="15"/>
  <c r="BE304" i="15"/>
  <c r="BE303" i="15"/>
  <c r="BE302" i="15"/>
  <c r="BE301" i="15"/>
  <c r="BE300" i="15"/>
  <c r="BE299" i="15"/>
  <c r="BE298" i="15"/>
  <c r="BE297" i="15"/>
  <c r="BE296" i="15"/>
  <c r="BE295" i="15"/>
  <c r="BE294" i="15"/>
  <c r="BE293" i="15"/>
  <c r="BE292" i="15"/>
  <c r="BE291" i="15"/>
  <c r="BE290" i="15"/>
  <c r="BE289" i="15"/>
  <c r="BE288" i="15"/>
  <c r="BE287" i="15"/>
  <c r="BE286" i="15"/>
  <c r="BE285" i="15"/>
  <c r="BE284" i="15"/>
  <c r="BE283" i="15"/>
  <c r="BE282" i="15"/>
  <c r="BE281" i="15"/>
  <c r="BE280" i="15"/>
  <c r="BE279" i="15"/>
  <c r="BE278" i="15"/>
  <c r="BE277" i="15"/>
  <c r="BE276" i="15"/>
  <c r="BE275" i="15"/>
  <c r="BE274" i="15"/>
  <c r="BE273" i="15"/>
  <c r="BE272" i="15"/>
  <c r="BE271" i="15"/>
  <c r="BE270" i="15"/>
  <c r="BE269" i="15"/>
  <c r="BE268" i="15"/>
  <c r="BE267" i="15"/>
  <c r="BE266" i="15"/>
  <c r="BE265" i="15"/>
  <c r="BE264" i="15"/>
  <c r="BE263" i="15"/>
  <c r="BE262" i="15"/>
  <c r="BE261" i="15"/>
  <c r="BE260" i="15"/>
  <c r="BE259" i="15"/>
  <c r="BE258" i="15"/>
  <c r="BE257" i="15"/>
  <c r="BE256" i="15"/>
  <c r="BE255" i="15"/>
  <c r="BE254" i="15"/>
  <c r="BE253" i="15"/>
  <c r="BE252" i="15"/>
  <c r="BE251" i="15"/>
  <c r="BE250" i="15"/>
  <c r="BE249" i="15"/>
  <c r="BE248" i="15"/>
  <c r="BE247" i="15"/>
  <c r="BE246" i="15"/>
  <c r="BE245" i="15"/>
  <c r="BE244" i="15"/>
  <c r="BE243" i="15"/>
  <c r="BE242" i="15"/>
  <c r="BE241" i="15"/>
  <c r="BE240" i="15"/>
  <c r="BE239" i="15"/>
  <c r="BE238" i="15"/>
  <c r="BE237" i="15"/>
  <c r="BE236" i="15"/>
  <c r="BE235" i="15"/>
  <c r="BE234" i="15"/>
  <c r="BE233" i="15"/>
  <c r="BE232" i="15"/>
  <c r="BE231" i="15"/>
  <c r="BE230" i="15"/>
  <c r="BE229" i="15"/>
  <c r="BE228" i="15"/>
  <c r="BE227" i="15"/>
  <c r="BE226" i="15"/>
  <c r="BE225" i="15"/>
  <c r="BE224" i="15"/>
  <c r="BE223" i="15"/>
  <c r="BE222" i="15"/>
  <c r="BE221" i="15"/>
  <c r="BE220" i="15"/>
  <c r="BE219" i="15"/>
  <c r="BE218" i="15"/>
  <c r="BE217" i="15"/>
  <c r="BE216" i="15"/>
  <c r="BE215" i="15"/>
  <c r="BE214" i="15"/>
  <c r="BE213" i="15"/>
  <c r="BE212" i="15"/>
  <c r="BE211" i="15"/>
  <c r="BE210" i="15"/>
  <c r="BE209" i="15"/>
  <c r="BE208" i="15"/>
  <c r="BE207" i="15"/>
  <c r="BE206" i="15"/>
  <c r="BE205" i="15"/>
  <c r="BE204" i="15"/>
  <c r="BE203" i="15"/>
  <c r="BE202" i="15"/>
  <c r="BE201" i="15"/>
  <c r="BE200" i="15"/>
  <c r="BE199" i="15"/>
  <c r="BE198" i="15"/>
  <c r="BE197" i="15"/>
  <c r="BE196" i="15"/>
  <c r="BE195" i="15"/>
  <c r="BE194" i="15"/>
  <c r="BE193" i="15"/>
  <c r="BE192" i="15"/>
  <c r="BE191" i="15"/>
  <c r="BE190" i="15"/>
  <c r="BE189" i="15"/>
  <c r="BE188" i="15"/>
  <c r="BE187" i="15"/>
  <c r="BE186" i="15"/>
  <c r="BE185" i="15"/>
  <c r="BE184" i="15"/>
  <c r="BE183" i="15"/>
  <c r="BE182" i="15"/>
  <c r="BE181" i="15"/>
  <c r="BE180" i="15"/>
  <c r="BE179" i="15"/>
  <c r="BE178" i="15"/>
  <c r="BE177" i="15"/>
  <c r="BE176" i="15"/>
  <c r="BE175" i="15"/>
  <c r="BE174" i="15"/>
  <c r="BE173" i="15"/>
  <c r="BE172" i="15"/>
  <c r="BE171" i="15"/>
  <c r="BE170" i="15"/>
  <c r="BE169" i="15"/>
  <c r="BE168" i="15"/>
  <c r="BE167" i="15"/>
  <c r="BE166" i="15"/>
  <c r="BE165" i="15"/>
  <c r="BE164" i="15"/>
  <c r="BE163" i="15"/>
  <c r="BE162" i="15"/>
  <c r="BE161" i="15"/>
  <c r="BE160" i="15"/>
  <c r="BE159" i="15"/>
  <c r="BE158" i="15"/>
  <c r="BE157" i="15"/>
  <c r="BE156" i="15"/>
  <c r="BE155" i="15"/>
  <c r="BE154" i="15"/>
  <c r="BE153" i="15"/>
  <c r="BE152" i="15"/>
  <c r="BE151" i="15"/>
  <c r="BE150" i="15"/>
  <c r="BE149" i="15"/>
  <c r="BE148" i="15"/>
  <c r="BE147" i="15"/>
  <c r="BE146" i="15"/>
  <c r="BE145" i="15"/>
  <c r="BE144" i="15"/>
  <c r="BE143" i="15"/>
  <c r="BE142" i="15"/>
  <c r="BE141" i="15"/>
  <c r="BE140" i="15"/>
  <c r="BE139" i="15"/>
  <c r="BE138" i="15"/>
  <c r="BE137" i="15"/>
  <c r="BE136" i="15"/>
  <c r="BE135" i="15"/>
  <c r="BE134" i="15"/>
  <c r="BE133" i="15"/>
  <c r="BE132" i="15"/>
  <c r="BE131" i="15"/>
  <c r="BE130" i="15"/>
  <c r="BE129" i="15"/>
  <c r="BE128" i="15"/>
  <c r="BE127" i="15"/>
  <c r="BE126" i="15"/>
  <c r="BE125" i="15"/>
  <c r="BE124" i="15"/>
  <c r="BE123" i="15"/>
  <c r="BE122" i="15"/>
  <c r="BE121" i="15"/>
  <c r="BE120" i="15"/>
  <c r="BE119" i="15"/>
  <c r="BE118" i="15"/>
  <c r="BE117" i="15"/>
  <c r="BE116" i="15"/>
  <c r="BE115" i="15"/>
  <c r="BE114" i="15"/>
  <c r="BE113" i="15"/>
  <c r="BE112" i="15"/>
  <c r="BE111" i="15"/>
  <c r="BE110" i="15"/>
  <c r="BE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BE78" i="15"/>
  <c r="BE77" i="15"/>
  <c r="BE76" i="15"/>
  <c r="BE75" i="15"/>
  <c r="BE74" i="15"/>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BE48" i="15"/>
  <c r="BE47" i="15"/>
  <c r="BE46" i="15"/>
  <c r="BE45" i="15"/>
  <c r="BE44" i="15"/>
  <c r="BE43" i="15"/>
  <c r="BE42" i="15"/>
  <c r="BE41" i="15"/>
  <c r="BE40" i="15"/>
  <c r="BE39" i="15"/>
  <c r="BE38" i="15"/>
  <c r="BE37" i="15"/>
  <c r="BE36" i="15"/>
  <c r="BE35" i="15"/>
  <c r="BE34" i="15"/>
  <c r="BE33" i="15"/>
  <c r="BE32" i="15"/>
  <c r="BE31" i="15"/>
  <c r="BE30" i="15"/>
  <c r="BE29" i="15"/>
  <c r="BE28" i="15"/>
  <c r="BE27" i="15"/>
  <c r="BE26" i="15"/>
  <c r="BE25" i="15"/>
  <c r="BE24" i="15"/>
  <c r="BE23" i="15"/>
  <c r="BE22" i="15"/>
  <c r="BE21" i="15"/>
  <c r="BE20" i="15"/>
  <c r="BE19" i="15"/>
  <c r="BE18" i="15"/>
  <c r="BE17" i="15"/>
  <c r="BE16" i="15"/>
  <c r="BE15" i="15"/>
  <c r="BE14" i="15"/>
  <c r="BE13" i="15"/>
  <c r="BE12" i="15"/>
  <c r="BE11" i="15"/>
  <c r="BE10" i="15"/>
  <c r="BE9" i="15"/>
  <c r="BE8" i="15"/>
  <c r="BE7" i="15"/>
  <c r="AW18" i="15"/>
  <c r="AS17" i="15"/>
  <c r="AS16" i="15"/>
  <c r="AS15" i="15"/>
  <c r="AS14" i="15"/>
  <c r="AS13" i="15"/>
  <c r="AS12" i="15"/>
  <c r="AS11" i="15"/>
  <c r="AS10" i="15"/>
  <c r="AS9" i="15"/>
  <c r="AS8" i="15"/>
  <c r="AS7" i="15"/>
  <c r="AS6" i="15"/>
  <c r="AQ17" i="15"/>
  <c r="AQ16" i="15"/>
  <c r="AQ15" i="15"/>
  <c r="AQ14" i="15"/>
  <c r="AQ13" i="15"/>
  <c r="AQ12" i="15"/>
  <c r="AQ11" i="15"/>
  <c r="AQ10" i="15"/>
  <c r="AQ19" i="15" s="1"/>
  <c r="AR15" i="15" s="1"/>
  <c r="AQ9" i="15"/>
  <c r="AQ8" i="15"/>
  <c r="AQ7" i="15"/>
  <c r="AQ6" i="15"/>
  <c r="AQ18" i="15" s="1"/>
  <c r="M41" i="8"/>
  <c r="M78" i="8" s="1"/>
  <c r="T78" i="8" s="1"/>
  <c r="L41" i="8"/>
  <c r="L78" i="8" s="1"/>
  <c r="S78" i="8" s="1"/>
  <c r="L39" i="8"/>
  <c r="M39" i="8"/>
  <c r="M36" i="8"/>
  <c r="L36" i="8"/>
  <c r="K41" i="8"/>
  <c r="K39" i="8"/>
  <c r="K36" i="8"/>
  <c r="K31" i="8"/>
  <c r="S77" i="8"/>
  <c r="S72" i="8"/>
  <c r="S71" i="8"/>
  <c r="S70" i="8"/>
  <c r="S69" i="8"/>
  <c r="T77" i="8"/>
  <c r="T72" i="8"/>
  <c r="T71" i="8"/>
  <c r="T70" i="8"/>
  <c r="T69" i="8"/>
  <c r="L69" i="8"/>
  <c r="M77" i="8"/>
  <c r="L77" i="8"/>
  <c r="M72" i="8"/>
  <c r="L72" i="8"/>
  <c r="M71" i="8"/>
  <c r="L71" i="8"/>
  <c r="M70" i="8"/>
  <c r="L70" i="8"/>
  <c r="M69" i="8"/>
  <c r="M146" i="6"/>
  <c r="F40" i="3"/>
  <c r="E40" i="3"/>
  <c r="F39" i="3"/>
  <c r="E39" i="3"/>
  <c r="M74" i="8" l="1"/>
  <c r="T74" i="8" s="1"/>
  <c r="AV8" i="15"/>
  <c r="AV17" i="15"/>
  <c r="AV10" i="15"/>
  <c r="AV16" i="15"/>
  <c r="AU18" i="15"/>
  <c r="AR7" i="15"/>
  <c r="L74" i="8"/>
  <c r="S74" i="8" s="1"/>
  <c r="L76" i="8"/>
  <c r="S76" i="8" s="1"/>
  <c r="M76" i="8"/>
  <c r="T76" i="8" s="1"/>
  <c r="L73" i="8"/>
  <c r="S73" i="8" s="1"/>
  <c r="M73" i="8"/>
  <c r="T73" i="8" s="1"/>
  <c r="AR11" i="15"/>
  <c r="AR10" i="15"/>
  <c r="AR16" i="15"/>
  <c r="AR13" i="15"/>
  <c r="AR14" i="15"/>
  <c r="AR12" i="15"/>
  <c r="AV7" i="15"/>
  <c r="AV6" i="15"/>
  <c r="AV14" i="15"/>
  <c r="AV15" i="15"/>
  <c r="AR9" i="15"/>
  <c r="AV11" i="15"/>
  <c r="AR17" i="15"/>
  <c r="AR8" i="15"/>
  <c r="AV9" i="15"/>
  <c r="AW19" i="15"/>
  <c r="AX15" i="15" s="1"/>
  <c r="AS18" i="15"/>
  <c r="AS19" i="15"/>
  <c r="AR6" i="15"/>
  <c r="S17" i="8"/>
  <c r="AT13" i="15" l="1"/>
  <c r="AT12" i="15"/>
  <c r="AT10" i="15"/>
  <c r="AT6" i="15"/>
  <c r="AT9" i="15"/>
  <c r="AT14" i="15"/>
  <c r="AX16" i="15"/>
  <c r="AX17" i="15"/>
  <c r="AX9" i="15"/>
  <c r="AX8" i="15"/>
  <c r="AX7" i="15"/>
  <c r="AX10" i="15"/>
  <c r="AV19" i="15"/>
  <c r="AV18" i="15"/>
  <c r="AU20" i="15" s="1"/>
  <c r="L38" i="8" s="1"/>
  <c r="AT7" i="15"/>
  <c r="AT16" i="15"/>
  <c r="AT15" i="15"/>
  <c r="AT17" i="15"/>
  <c r="AR19" i="15"/>
  <c r="AR18" i="15"/>
  <c r="AQ20" i="15" s="1"/>
  <c r="K30" i="8" s="1"/>
  <c r="AX12" i="15"/>
  <c r="AX13" i="15"/>
  <c r="AT8" i="15"/>
  <c r="AX6" i="15"/>
  <c r="AT11" i="15"/>
  <c r="AX14" i="15"/>
  <c r="AX11" i="15"/>
  <c r="S20" i="8"/>
  <c r="AX18" i="15" l="1"/>
  <c r="AW20" i="15" s="1"/>
  <c r="M38" i="8" s="1"/>
  <c r="AX19" i="15"/>
  <c r="AT19" i="15"/>
  <c r="AT18" i="15"/>
  <c r="AS20" i="15" s="1"/>
  <c r="K38" i="8" s="1"/>
  <c r="T8" i="17"/>
  <c r="X8" i="17"/>
  <c r="BA8" i="17"/>
  <c r="BB8" i="17"/>
  <c r="T9" i="17"/>
  <c r="X9" i="17"/>
  <c r="BA9" i="17"/>
  <c r="BB9" i="17"/>
  <c r="T10" i="17"/>
  <c r="X10" i="17"/>
  <c r="BA10" i="17"/>
  <c r="BB10" i="17"/>
  <c r="T11" i="17"/>
  <c r="X11" i="17"/>
  <c r="BA11" i="17"/>
  <c r="BB11" i="17"/>
  <c r="T12" i="17"/>
  <c r="X12" i="17"/>
  <c r="BA12" i="17"/>
  <c r="BB12" i="17"/>
  <c r="T13" i="17"/>
  <c r="X13" i="17"/>
  <c r="BA13" i="17"/>
  <c r="BB13" i="17"/>
  <c r="T14" i="17"/>
  <c r="X14" i="17"/>
  <c r="BA14" i="17"/>
  <c r="BB14" i="17"/>
  <c r="T15" i="17"/>
  <c r="X15" i="17"/>
  <c r="BA15" i="17"/>
  <c r="BB15" i="17"/>
  <c r="T16" i="17"/>
  <c r="X16" i="17"/>
  <c r="BA16" i="17"/>
  <c r="BB16" i="17"/>
  <c r="T17" i="17"/>
  <c r="X17" i="17"/>
  <c r="BA17" i="17"/>
  <c r="BB17" i="17"/>
  <c r="T18" i="17"/>
  <c r="X18" i="17"/>
  <c r="BA18" i="17"/>
  <c r="BB18" i="17"/>
  <c r="T19" i="17"/>
  <c r="X19" i="17"/>
  <c r="BA19" i="17"/>
  <c r="BB19" i="17"/>
  <c r="T20" i="17"/>
  <c r="X20" i="17"/>
  <c r="BA20" i="17"/>
  <c r="BB20" i="17"/>
  <c r="T21" i="17"/>
  <c r="X21" i="17"/>
  <c r="BA21" i="17"/>
  <c r="BB21" i="17"/>
  <c r="T22" i="17"/>
  <c r="X22" i="17"/>
  <c r="BA22" i="17"/>
  <c r="BB22" i="17"/>
  <c r="T23" i="17"/>
  <c r="X23" i="17"/>
  <c r="BA23" i="17"/>
  <c r="BB23" i="17"/>
  <c r="T24" i="17"/>
  <c r="X24" i="17"/>
  <c r="BA24" i="17"/>
  <c r="BB24" i="17"/>
  <c r="T25" i="17"/>
  <c r="X25" i="17"/>
  <c r="BA25" i="17"/>
  <c r="BB25" i="17"/>
  <c r="T26" i="17"/>
  <c r="X26" i="17"/>
  <c r="BA26" i="17"/>
  <c r="BB26" i="17"/>
  <c r="T27" i="17"/>
  <c r="X27" i="17"/>
  <c r="BA27" i="17"/>
  <c r="BB27" i="17"/>
  <c r="T28" i="17"/>
  <c r="X28" i="17"/>
  <c r="BA28" i="17"/>
  <c r="BB28" i="17"/>
  <c r="T29" i="17"/>
  <c r="X29" i="17"/>
  <c r="BA29" i="17"/>
  <c r="BB29" i="17"/>
  <c r="T30" i="17"/>
  <c r="X30" i="17"/>
  <c r="BA30" i="17"/>
  <c r="BB30" i="17"/>
  <c r="T31" i="17"/>
  <c r="X31" i="17"/>
  <c r="BA31" i="17"/>
  <c r="BB31" i="17"/>
  <c r="T32" i="17"/>
  <c r="X32" i="17"/>
  <c r="BA32" i="17"/>
  <c r="BB32" i="17"/>
  <c r="T33" i="17"/>
  <c r="X33" i="17"/>
  <c r="BA33" i="17"/>
  <c r="BB33" i="17"/>
  <c r="T34" i="17"/>
  <c r="X34" i="17"/>
  <c r="BA34" i="17"/>
  <c r="BB34" i="17"/>
  <c r="T35" i="17"/>
  <c r="X35" i="17"/>
  <c r="BA35" i="17"/>
  <c r="BB35" i="17"/>
  <c r="T36" i="17"/>
  <c r="X36" i="17"/>
  <c r="BA36" i="17"/>
  <c r="BB36" i="17"/>
  <c r="T37" i="17"/>
  <c r="X37" i="17"/>
  <c r="BA37" i="17"/>
  <c r="BB37" i="17"/>
  <c r="T38" i="17"/>
  <c r="X38" i="17"/>
  <c r="BA38" i="17"/>
  <c r="BB38" i="17"/>
  <c r="T39" i="17"/>
  <c r="X39" i="17"/>
  <c r="BA39" i="17"/>
  <c r="BB39" i="17"/>
  <c r="T40" i="17"/>
  <c r="X40" i="17"/>
  <c r="BA40" i="17"/>
  <c r="BB40" i="17"/>
  <c r="T41" i="17"/>
  <c r="X41" i="17"/>
  <c r="BA41" i="17"/>
  <c r="BB41" i="17"/>
  <c r="T42" i="17"/>
  <c r="X42" i="17"/>
  <c r="BA42" i="17"/>
  <c r="BB42" i="17"/>
  <c r="T43" i="17"/>
  <c r="X43" i="17"/>
  <c r="BA43" i="17"/>
  <c r="BB43" i="17"/>
  <c r="T44" i="17"/>
  <c r="X44" i="17"/>
  <c r="BA44" i="17"/>
  <c r="BB44" i="17"/>
  <c r="T45" i="17"/>
  <c r="X45" i="17"/>
  <c r="BA45" i="17"/>
  <c r="BB45" i="17"/>
  <c r="T46" i="17"/>
  <c r="X46" i="17"/>
  <c r="BA46" i="17"/>
  <c r="BB46" i="17"/>
  <c r="T47" i="17"/>
  <c r="X47" i="17"/>
  <c r="BA47" i="17"/>
  <c r="BB47" i="17"/>
  <c r="T48" i="17"/>
  <c r="X48" i="17"/>
  <c r="BA48" i="17"/>
  <c r="BB48" i="17"/>
  <c r="T49" i="17"/>
  <c r="X49" i="17"/>
  <c r="BA49" i="17"/>
  <c r="BB49" i="17"/>
  <c r="T50" i="17"/>
  <c r="X50" i="17"/>
  <c r="BA50" i="17"/>
  <c r="BB50" i="17"/>
  <c r="T51" i="17"/>
  <c r="X51" i="17"/>
  <c r="BA51" i="17"/>
  <c r="BB51" i="17"/>
  <c r="T52" i="17"/>
  <c r="X52" i="17"/>
  <c r="BA52" i="17"/>
  <c r="BB52" i="17"/>
  <c r="T53" i="17"/>
  <c r="X53" i="17"/>
  <c r="BA53" i="17"/>
  <c r="BB53" i="17"/>
  <c r="T54" i="17"/>
  <c r="X54" i="17"/>
  <c r="BA54" i="17"/>
  <c r="BB54" i="17"/>
  <c r="T55" i="17"/>
  <c r="X55" i="17"/>
  <c r="BA55" i="17"/>
  <c r="BB55" i="17"/>
  <c r="T56" i="17"/>
  <c r="X56" i="17"/>
  <c r="BA56" i="17"/>
  <c r="BB56" i="17"/>
  <c r="T57" i="17"/>
  <c r="X57" i="17"/>
  <c r="BA57" i="17"/>
  <c r="BB57" i="17"/>
  <c r="T58" i="17"/>
  <c r="X58" i="17"/>
  <c r="BA58" i="17"/>
  <c r="BB58" i="17"/>
  <c r="T59" i="17"/>
  <c r="X59" i="17"/>
  <c r="BA59" i="17"/>
  <c r="BB59" i="17"/>
  <c r="T60" i="17"/>
  <c r="X60" i="17"/>
  <c r="BA60" i="17"/>
  <c r="BB60" i="17"/>
  <c r="T61" i="17"/>
  <c r="X61" i="17"/>
  <c r="BA61" i="17"/>
  <c r="BB61" i="17"/>
  <c r="T62" i="17"/>
  <c r="X62" i="17"/>
  <c r="BA62" i="17"/>
  <c r="BB62" i="17"/>
  <c r="T63" i="17"/>
  <c r="X63" i="17"/>
  <c r="BA63" i="17"/>
  <c r="BB63" i="17"/>
  <c r="T64" i="17"/>
  <c r="X64" i="17"/>
  <c r="BA64" i="17"/>
  <c r="BB64" i="17"/>
  <c r="T65" i="17"/>
  <c r="X65" i="17"/>
  <c r="BA65" i="17"/>
  <c r="BB65" i="17"/>
  <c r="T66" i="17"/>
  <c r="X66" i="17"/>
  <c r="BA66" i="17"/>
  <c r="BB66" i="17"/>
  <c r="T67" i="17"/>
  <c r="X67" i="17"/>
  <c r="BA67" i="17"/>
  <c r="BB67" i="17"/>
  <c r="T68" i="17"/>
  <c r="X68" i="17"/>
  <c r="BA68" i="17"/>
  <c r="BB68" i="17"/>
  <c r="T69" i="17"/>
  <c r="X69" i="17"/>
  <c r="BA69" i="17"/>
  <c r="BB69" i="17"/>
  <c r="T70" i="17"/>
  <c r="X70" i="17"/>
  <c r="BA70" i="17"/>
  <c r="BB70" i="17"/>
  <c r="T71" i="17"/>
  <c r="X71" i="17"/>
  <c r="BA71" i="17"/>
  <c r="BB71" i="17"/>
  <c r="T72" i="17"/>
  <c r="X72" i="17"/>
  <c r="BA72" i="17"/>
  <c r="BB72" i="17"/>
  <c r="T73" i="17"/>
  <c r="X73" i="17"/>
  <c r="BA73" i="17"/>
  <c r="BB73" i="17"/>
  <c r="T74" i="17"/>
  <c r="X74" i="17"/>
  <c r="BA74" i="17"/>
  <c r="BB74" i="17"/>
  <c r="T75" i="17"/>
  <c r="X75" i="17"/>
  <c r="BA75" i="17"/>
  <c r="BB75" i="17"/>
  <c r="T76" i="17"/>
  <c r="X76" i="17"/>
  <c r="BA76" i="17"/>
  <c r="BB76" i="17"/>
  <c r="T77" i="17"/>
  <c r="X77" i="17"/>
  <c r="BA77" i="17"/>
  <c r="BB77" i="17"/>
  <c r="T78" i="17"/>
  <c r="X78" i="17"/>
  <c r="BA78" i="17"/>
  <c r="BB78" i="17"/>
  <c r="T79" i="17"/>
  <c r="X79" i="17"/>
  <c r="BA79" i="17"/>
  <c r="BB79" i="17"/>
  <c r="T80" i="17"/>
  <c r="X80" i="17"/>
  <c r="BA80" i="17"/>
  <c r="BB80" i="17"/>
  <c r="T81" i="17"/>
  <c r="X81" i="17"/>
  <c r="BA81" i="17"/>
  <c r="BB81" i="17"/>
  <c r="T82" i="17"/>
  <c r="X82" i="17"/>
  <c r="BA82" i="17"/>
  <c r="BB82" i="17"/>
  <c r="T83" i="17"/>
  <c r="X83" i="17"/>
  <c r="BA83" i="17"/>
  <c r="BB83" i="17"/>
  <c r="T84" i="17"/>
  <c r="X84" i="17"/>
  <c r="BA84" i="17"/>
  <c r="BB84" i="17"/>
  <c r="T85" i="17"/>
  <c r="X85" i="17"/>
  <c r="BA85" i="17"/>
  <c r="BB85" i="17"/>
  <c r="T86" i="17"/>
  <c r="X86" i="17"/>
  <c r="BA86" i="17"/>
  <c r="BB86" i="17"/>
  <c r="T87" i="17"/>
  <c r="X87" i="17"/>
  <c r="BA87" i="17"/>
  <c r="BB87" i="17"/>
  <c r="T88" i="17"/>
  <c r="X88" i="17"/>
  <c r="BA88" i="17"/>
  <c r="BB88" i="17"/>
  <c r="T89" i="17"/>
  <c r="X89" i="17"/>
  <c r="BA89" i="17"/>
  <c r="BB89" i="17"/>
  <c r="T90" i="17"/>
  <c r="X90" i="17"/>
  <c r="BA90" i="17"/>
  <c r="BB90" i="17"/>
  <c r="T91" i="17"/>
  <c r="X91" i="17"/>
  <c r="BA91" i="17"/>
  <c r="BB91" i="17"/>
  <c r="T92" i="17"/>
  <c r="X92" i="17"/>
  <c r="BA92" i="17"/>
  <c r="BB92" i="17"/>
  <c r="T93" i="17"/>
  <c r="X93" i="17"/>
  <c r="BA93" i="17"/>
  <c r="BB93" i="17"/>
  <c r="T94" i="17"/>
  <c r="X94" i="17"/>
  <c r="BA94" i="17"/>
  <c r="BB94" i="17"/>
  <c r="T95" i="17"/>
  <c r="X95" i="17"/>
  <c r="BA95" i="17"/>
  <c r="BB95" i="17"/>
  <c r="T96" i="17"/>
  <c r="X96" i="17"/>
  <c r="BA96" i="17"/>
  <c r="BB96" i="17"/>
  <c r="T97" i="17"/>
  <c r="X97" i="17"/>
  <c r="BA97" i="17"/>
  <c r="BB97" i="17"/>
  <c r="T98" i="17"/>
  <c r="X98" i="17"/>
  <c r="BA98" i="17"/>
  <c r="BB98" i="17"/>
  <c r="T99" i="17"/>
  <c r="X99" i="17"/>
  <c r="BA99" i="17"/>
  <c r="BB99" i="17"/>
  <c r="T100" i="17"/>
  <c r="X100" i="17"/>
  <c r="BA100" i="17"/>
  <c r="BB100" i="17"/>
  <c r="T101" i="17"/>
  <c r="X101" i="17"/>
  <c r="BA101" i="17"/>
  <c r="BB101" i="17"/>
  <c r="T102" i="17"/>
  <c r="X102" i="17"/>
  <c r="BA102" i="17"/>
  <c r="BB102" i="17"/>
  <c r="T103" i="17"/>
  <c r="X103" i="17"/>
  <c r="BA103" i="17"/>
  <c r="BB103" i="17"/>
  <c r="T104" i="17"/>
  <c r="X104" i="17"/>
  <c r="BA104" i="17"/>
  <c r="BB104" i="17"/>
  <c r="T105" i="17"/>
  <c r="X105" i="17"/>
  <c r="BA105" i="17"/>
  <c r="BB105" i="17"/>
  <c r="T106" i="17"/>
  <c r="X106" i="17"/>
  <c r="BA106" i="17"/>
  <c r="BB106" i="17"/>
  <c r="T107" i="17"/>
  <c r="X107" i="17"/>
  <c r="BA107" i="17"/>
  <c r="BB107" i="17"/>
  <c r="T108" i="17"/>
  <c r="X108" i="17"/>
  <c r="BA108" i="17"/>
  <c r="BB108" i="17"/>
  <c r="T109" i="17"/>
  <c r="X109" i="17"/>
  <c r="BA109" i="17"/>
  <c r="BB109" i="17"/>
  <c r="T110" i="17"/>
  <c r="X110" i="17"/>
  <c r="BA110" i="17"/>
  <c r="BB110" i="17"/>
  <c r="T111" i="17"/>
  <c r="X111" i="17"/>
  <c r="BA111" i="17"/>
  <c r="BB111" i="17"/>
  <c r="T112" i="17"/>
  <c r="X112" i="17"/>
  <c r="BA112" i="17"/>
  <c r="BB112" i="17"/>
  <c r="T113" i="17"/>
  <c r="X113" i="17"/>
  <c r="BA113" i="17"/>
  <c r="BB113" i="17"/>
  <c r="T114" i="17"/>
  <c r="X114" i="17"/>
  <c r="BA114" i="17"/>
  <c r="BB114" i="17"/>
  <c r="T115" i="17"/>
  <c r="X115" i="17"/>
  <c r="BA115" i="17"/>
  <c r="BB115" i="17"/>
  <c r="T116" i="17"/>
  <c r="X116" i="17"/>
  <c r="BA116" i="17"/>
  <c r="BB116" i="17"/>
  <c r="T117" i="17"/>
  <c r="X117" i="17"/>
  <c r="BA117" i="17"/>
  <c r="BB117" i="17"/>
  <c r="T118" i="17"/>
  <c r="X118" i="17"/>
  <c r="BA118" i="17"/>
  <c r="BB118" i="17"/>
  <c r="T119" i="17"/>
  <c r="X119" i="17"/>
  <c r="BA119" i="17"/>
  <c r="BB119" i="17"/>
  <c r="T120" i="17"/>
  <c r="X120" i="17"/>
  <c r="BA120" i="17"/>
  <c r="BB120" i="17"/>
  <c r="T121" i="17"/>
  <c r="X121" i="17"/>
  <c r="BA121" i="17"/>
  <c r="BB121" i="17"/>
  <c r="T122" i="17"/>
  <c r="X122" i="17"/>
  <c r="BA122" i="17"/>
  <c r="BB122" i="17"/>
  <c r="T123" i="17"/>
  <c r="X123" i="17"/>
  <c r="BA123" i="17"/>
  <c r="BB123" i="17"/>
  <c r="T124" i="17"/>
  <c r="X124" i="17"/>
  <c r="BA124" i="17"/>
  <c r="BB124" i="17"/>
  <c r="T125" i="17"/>
  <c r="X125" i="17"/>
  <c r="BA125" i="17"/>
  <c r="BB125" i="17"/>
  <c r="T126" i="17"/>
  <c r="X126" i="17"/>
  <c r="BA126" i="17"/>
  <c r="BB126" i="17"/>
  <c r="T127" i="17"/>
  <c r="X127" i="17"/>
  <c r="BA127" i="17"/>
  <c r="BB127" i="17"/>
  <c r="T128" i="17"/>
  <c r="X128" i="17"/>
  <c r="BA128" i="17"/>
  <c r="BB128" i="17"/>
  <c r="T129" i="17"/>
  <c r="X129" i="17"/>
  <c r="BA129" i="17"/>
  <c r="BB129" i="17"/>
  <c r="T130" i="17"/>
  <c r="X130" i="17"/>
  <c r="BA130" i="17"/>
  <c r="BB130" i="17"/>
  <c r="T131" i="17"/>
  <c r="X131" i="17"/>
  <c r="BA131" i="17"/>
  <c r="BB131" i="17"/>
  <c r="T132" i="17"/>
  <c r="X132" i="17"/>
  <c r="BA132" i="17"/>
  <c r="BB132" i="17"/>
  <c r="T133" i="17"/>
  <c r="X133" i="17"/>
  <c r="BA133" i="17"/>
  <c r="BB133" i="17"/>
  <c r="T134" i="17"/>
  <c r="X134" i="17"/>
  <c r="BA134" i="17"/>
  <c r="BB134" i="17"/>
  <c r="T135" i="17"/>
  <c r="X135" i="17"/>
  <c r="BA135" i="17"/>
  <c r="BB135" i="17"/>
  <c r="T136" i="17"/>
  <c r="X136" i="17"/>
  <c r="BA136" i="17"/>
  <c r="BB136" i="17"/>
  <c r="T137" i="17"/>
  <c r="X137" i="17"/>
  <c r="BA137" i="17"/>
  <c r="BB137" i="17"/>
  <c r="T138" i="17"/>
  <c r="X138" i="17"/>
  <c r="BA138" i="17"/>
  <c r="BB138" i="17"/>
  <c r="T139" i="17"/>
  <c r="X139" i="17"/>
  <c r="BA139" i="17"/>
  <c r="BB139" i="17"/>
  <c r="T140" i="17"/>
  <c r="X140" i="17"/>
  <c r="BA140" i="17"/>
  <c r="BB140" i="17"/>
  <c r="T141" i="17"/>
  <c r="X141" i="17"/>
  <c r="BA141" i="17"/>
  <c r="BB141" i="17"/>
  <c r="T142" i="17"/>
  <c r="X142" i="17"/>
  <c r="BA142" i="17"/>
  <c r="BB142" i="17"/>
  <c r="T143" i="17"/>
  <c r="X143" i="17"/>
  <c r="BA143" i="17"/>
  <c r="BB143" i="17"/>
  <c r="T144" i="17"/>
  <c r="X144" i="17"/>
  <c r="BA144" i="17"/>
  <c r="BB144" i="17"/>
  <c r="T145" i="17"/>
  <c r="X145" i="17"/>
  <c r="BA145" i="17"/>
  <c r="BB145" i="17"/>
  <c r="T146" i="17"/>
  <c r="X146" i="17"/>
  <c r="BA146" i="17"/>
  <c r="BB146" i="17"/>
  <c r="T147" i="17"/>
  <c r="X147" i="17"/>
  <c r="BA147" i="17"/>
  <c r="BB147" i="17"/>
  <c r="T148" i="17"/>
  <c r="X148" i="17"/>
  <c r="BA148" i="17"/>
  <c r="BB148" i="17"/>
  <c r="T149" i="17"/>
  <c r="X149" i="17"/>
  <c r="BA149" i="17"/>
  <c r="BB149" i="17"/>
  <c r="T150" i="17"/>
  <c r="X150" i="17"/>
  <c r="BA150" i="17"/>
  <c r="BB150" i="17"/>
  <c r="T151" i="17"/>
  <c r="X151" i="17"/>
  <c r="BA151" i="17"/>
  <c r="BB151" i="17"/>
  <c r="T152" i="17"/>
  <c r="X152" i="17"/>
  <c r="BA152" i="17"/>
  <c r="BB152" i="17"/>
  <c r="T153" i="17"/>
  <c r="X153" i="17"/>
  <c r="BA153" i="17"/>
  <c r="BB153" i="17"/>
  <c r="T154" i="17"/>
  <c r="X154" i="17"/>
  <c r="BA154" i="17"/>
  <c r="BB154" i="17"/>
  <c r="T155" i="17"/>
  <c r="X155" i="17"/>
  <c r="BA155" i="17"/>
  <c r="BB155" i="17"/>
  <c r="T156" i="17"/>
  <c r="X156" i="17"/>
  <c r="BA156" i="17"/>
  <c r="BB156" i="17"/>
  <c r="T157" i="17"/>
  <c r="X157" i="17"/>
  <c r="BA157" i="17"/>
  <c r="BB157" i="17"/>
  <c r="T158" i="17"/>
  <c r="X158" i="17"/>
  <c r="BA158" i="17"/>
  <c r="BB158" i="17"/>
  <c r="T159" i="17"/>
  <c r="X159" i="17"/>
  <c r="BA159" i="17"/>
  <c r="BB159" i="17"/>
  <c r="T160" i="17"/>
  <c r="X160" i="17"/>
  <c r="BA160" i="17"/>
  <c r="BB160" i="17"/>
  <c r="T161" i="17"/>
  <c r="X161" i="17"/>
  <c r="BA161" i="17"/>
  <c r="BB161" i="17"/>
  <c r="T162" i="17"/>
  <c r="X162" i="17"/>
  <c r="BA162" i="17"/>
  <c r="BB162" i="17"/>
  <c r="T163" i="17"/>
  <c r="X163" i="17"/>
  <c r="BA163" i="17"/>
  <c r="BB163" i="17"/>
  <c r="T164" i="17"/>
  <c r="X164" i="17"/>
  <c r="BA164" i="17"/>
  <c r="BB164" i="17"/>
  <c r="T165" i="17"/>
  <c r="X165" i="17"/>
  <c r="BA165" i="17"/>
  <c r="BB165" i="17"/>
  <c r="T166" i="17"/>
  <c r="X166" i="17"/>
  <c r="BA166" i="17"/>
  <c r="BB166" i="17"/>
  <c r="T167" i="17"/>
  <c r="X167" i="17"/>
  <c r="BA167" i="17"/>
  <c r="BB167" i="17"/>
  <c r="T168" i="17"/>
  <c r="X168" i="17"/>
  <c r="BA168" i="17"/>
  <c r="BB168" i="17"/>
  <c r="T169" i="17"/>
  <c r="X169" i="17"/>
  <c r="BA169" i="17"/>
  <c r="BB169" i="17"/>
  <c r="T170" i="17"/>
  <c r="X170" i="17"/>
  <c r="BA170" i="17"/>
  <c r="BB170" i="17"/>
  <c r="T171" i="17"/>
  <c r="X171" i="17"/>
  <c r="BA171" i="17"/>
  <c r="BB171" i="17"/>
  <c r="T172" i="17"/>
  <c r="X172" i="17"/>
  <c r="BA172" i="17"/>
  <c r="BB172" i="17"/>
  <c r="T173" i="17"/>
  <c r="X173" i="17"/>
  <c r="BA173" i="17"/>
  <c r="BB173" i="17"/>
  <c r="T174" i="17"/>
  <c r="X174" i="17"/>
  <c r="BA174" i="17"/>
  <c r="BB174" i="17"/>
  <c r="T175" i="17"/>
  <c r="X175" i="17"/>
  <c r="BA175" i="17"/>
  <c r="BB175" i="17"/>
  <c r="T176" i="17"/>
  <c r="X176" i="17"/>
  <c r="BA176" i="17"/>
  <c r="BB176" i="17"/>
  <c r="T177" i="17"/>
  <c r="X177" i="17"/>
  <c r="BA177" i="17"/>
  <c r="BB177" i="17"/>
  <c r="T178" i="17"/>
  <c r="X178" i="17"/>
  <c r="BA178" i="17"/>
  <c r="BB178" i="17"/>
  <c r="T179" i="17"/>
  <c r="X179" i="17"/>
  <c r="BA179" i="17"/>
  <c r="BB179" i="17"/>
  <c r="T180" i="17"/>
  <c r="X180" i="17"/>
  <c r="BA180" i="17"/>
  <c r="BB180" i="17"/>
  <c r="T181" i="17"/>
  <c r="X181" i="17"/>
  <c r="BA181" i="17"/>
  <c r="BB181" i="17"/>
  <c r="T182" i="17"/>
  <c r="X182" i="17"/>
  <c r="BA182" i="17"/>
  <c r="BB182" i="17"/>
  <c r="T183" i="17"/>
  <c r="X183" i="17"/>
  <c r="BA183" i="17"/>
  <c r="BB183" i="17"/>
  <c r="T184" i="17"/>
  <c r="X184" i="17"/>
  <c r="BA184" i="17"/>
  <c r="BB184" i="17"/>
  <c r="T185" i="17"/>
  <c r="X185" i="17"/>
  <c r="BA185" i="17"/>
  <c r="BB185" i="17"/>
  <c r="T186" i="17"/>
  <c r="X186" i="17"/>
  <c r="BA186" i="17"/>
  <c r="BB186" i="17"/>
  <c r="T187" i="17"/>
  <c r="X187" i="17"/>
  <c r="BA187" i="17"/>
  <c r="BB187" i="17"/>
  <c r="T188" i="17"/>
  <c r="X188" i="17"/>
  <c r="BA188" i="17"/>
  <c r="BB188" i="17"/>
  <c r="T189" i="17"/>
  <c r="X189" i="17"/>
  <c r="BA189" i="17"/>
  <c r="BB189" i="17"/>
  <c r="T190" i="17"/>
  <c r="X190" i="17"/>
  <c r="BA190" i="17"/>
  <c r="BB190" i="17"/>
  <c r="T191" i="17"/>
  <c r="X191" i="17"/>
  <c r="BA191" i="17"/>
  <c r="BB191" i="17"/>
  <c r="T192" i="17"/>
  <c r="X192" i="17"/>
  <c r="BA192" i="17"/>
  <c r="BB192" i="17"/>
  <c r="T193" i="17"/>
  <c r="X193" i="17"/>
  <c r="BA193" i="17"/>
  <c r="BB193" i="17"/>
  <c r="T194" i="17"/>
  <c r="X194" i="17"/>
  <c r="BA194" i="17"/>
  <c r="BB194" i="17"/>
  <c r="T195" i="17"/>
  <c r="X195" i="17"/>
  <c r="BA195" i="17"/>
  <c r="BB195" i="17"/>
  <c r="T196" i="17"/>
  <c r="X196" i="17"/>
  <c r="BA196" i="17"/>
  <c r="BB196" i="17"/>
  <c r="T197" i="17"/>
  <c r="X197" i="17"/>
  <c r="BA197" i="17"/>
  <c r="BB197" i="17"/>
  <c r="T198" i="17"/>
  <c r="X198" i="17"/>
  <c r="BA198" i="17"/>
  <c r="BB198" i="17"/>
  <c r="T199" i="17"/>
  <c r="X199" i="17"/>
  <c r="BA199" i="17"/>
  <c r="BB199" i="17"/>
  <c r="T200" i="17"/>
  <c r="X200" i="17"/>
  <c r="BA200" i="17"/>
  <c r="BB200" i="17"/>
  <c r="T201" i="17"/>
  <c r="X201" i="17"/>
  <c r="BA201" i="17"/>
  <c r="BB201" i="17"/>
  <c r="T202" i="17"/>
  <c r="X202" i="17"/>
  <c r="BA202" i="17"/>
  <c r="BB202" i="17"/>
  <c r="T203" i="17"/>
  <c r="X203" i="17"/>
  <c r="BA203" i="17"/>
  <c r="BB203" i="17"/>
  <c r="T204" i="17"/>
  <c r="X204" i="17"/>
  <c r="BA204" i="17"/>
  <c r="BB204" i="17"/>
  <c r="T205" i="17"/>
  <c r="X205" i="17"/>
  <c r="BA205" i="17"/>
  <c r="BB205" i="17"/>
  <c r="T206" i="17"/>
  <c r="X206" i="17"/>
  <c r="BA206" i="17"/>
  <c r="BB206" i="17"/>
  <c r="T207" i="17"/>
  <c r="X207" i="17"/>
  <c r="BA207" i="17"/>
  <c r="BB207" i="17"/>
  <c r="T208" i="17"/>
  <c r="X208" i="17"/>
  <c r="BA208" i="17"/>
  <c r="BB208" i="17"/>
  <c r="T209" i="17"/>
  <c r="X209" i="17"/>
  <c r="BA209" i="17"/>
  <c r="BB209" i="17"/>
  <c r="T210" i="17"/>
  <c r="X210" i="17"/>
  <c r="BA210" i="17"/>
  <c r="BB210" i="17"/>
  <c r="T211" i="17"/>
  <c r="X211" i="17"/>
  <c r="BA211" i="17"/>
  <c r="BB211" i="17"/>
  <c r="T212" i="17"/>
  <c r="X212" i="17"/>
  <c r="BA212" i="17"/>
  <c r="BB212" i="17"/>
  <c r="T213" i="17"/>
  <c r="X213" i="17"/>
  <c r="BA213" i="17"/>
  <c r="BB213" i="17"/>
  <c r="T214" i="17"/>
  <c r="X214" i="17"/>
  <c r="BA214" i="17"/>
  <c r="BB214" i="17"/>
  <c r="T215" i="17"/>
  <c r="X215" i="17"/>
  <c r="BA215" i="17"/>
  <c r="BB215" i="17"/>
  <c r="T216" i="17"/>
  <c r="X216" i="17"/>
  <c r="BA216" i="17"/>
  <c r="BB216" i="17"/>
  <c r="T217" i="17"/>
  <c r="X217" i="17"/>
  <c r="BA217" i="17"/>
  <c r="BB217" i="17"/>
  <c r="T218" i="17"/>
  <c r="X218" i="17"/>
  <c r="BA218" i="17"/>
  <c r="BB218" i="17"/>
  <c r="T219" i="17"/>
  <c r="X219" i="17"/>
  <c r="BA219" i="17"/>
  <c r="BB219" i="17"/>
  <c r="T220" i="17"/>
  <c r="X220" i="17"/>
  <c r="BA220" i="17"/>
  <c r="BB220" i="17"/>
  <c r="T221" i="17"/>
  <c r="X221" i="17"/>
  <c r="BA221" i="17"/>
  <c r="BB221" i="17"/>
  <c r="T222" i="17"/>
  <c r="X222" i="17"/>
  <c r="BA222" i="17"/>
  <c r="BB222" i="17"/>
  <c r="T223" i="17"/>
  <c r="X223" i="17"/>
  <c r="BA223" i="17"/>
  <c r="BB223" i="17"/>
  <c r="T224" i="17"/>
  <c r="X224" i="17"/>
  <c r="BA224" i="17"/>
  <c r="BB224" i="17"/>
  <c r="T225" i="17"/>
  <c r="X225" i="17"/>
  <c r="BA225" i="17"/>
  <c r="BB225" i="17"/>
  <c r="T226" i="17"/>
  <c r="X226" i="17"/>
  <c r="BA226" i="17"/>
  <c r="BB226" i="17"/>
  <c r="T227" i="17"/>
  <c r="X227" i="17"/>
  <c r="BA227" i="17"/>
  <c r="BB227" i="17"/>
  <c r="T228" i="17"/>
  <c r="X228" i="17"/>
  <c r="BA228" i="17"/>
  <c r="BB228" i="17"/>
  <c r="T229" i="17"/>
  <c r="X229" i="17"/>
  <c r="BA229" i="17"/>
  <c r="BB229" i="17"/>
  <c r="T230" i="17"/>
  <c r="X230" i="17"/>
  <c r="BA230" i="17"/>
  <c r="BB230" i="17"/>
  <c r="T231" i="17"/>
  <c r="X231" i="17"/>
  <c r="BA231" i="17"/>
  <c r="BB231" i="17"/>
  <c r="T232" i="17"/>
  <c r="X232" i="17"/>
  <c r="BA232" i="17"/>
  <c r="BB232" i="17"/>
  <c r="T233" i="17"/>
  <c r="X233" i="17"/>
  <c r="BA233" i="17"/>
  <c r="BB233" i="17"/>
  <c r="T234" i="17"/>
  <c r="X234" i="17"/>
  <c r="BA234" i="17"/>
  <c r="BB234" i="17"/>
  <c r="T235" i="17"/>
  <c r="X235" i="17"/>
  <c r="BA235" i="17"/>
  <c r="BB235" i="17"/>
  <c r="T236" i="17"/>
  <c r="X236" i="17"/>
  <c r="BA236" i="17"/>
  <c r="BB236" i="17"/>
  <c r="T237" i="17"/>
  <c r="X237" i="17"/>
  <c r="BA237" i="17"/>
  <c r="BB237" i="17"/>
  <c r="T238" i="17"/>
  <c r="X238" i="17"/>
  <c r="BA238" i="17"/>
  <c r="BB238" i="17"/>
  <c r="T239" i="17"/>
  <c r="X239" i="17"/>
  <c r="BA239" i="17"/>
  <c r="BB239" i="17"/>
  <c r="T240" i="17"/>
  <c r="X240" i="17"/>
  <c r="BA240" i="17"/>
  <c r="BB240" i="17"/>
  <c r="T241" i="17"/>
  <c r="X241" i="17"/>
  <c r="BA241" i="17"/>
  <c r="BB241" i="17"/>
  <c r="T242" i="17"/>
  <c r="X242" i="17"/>
  <c r="BA242" i="17"/>
  <c r="BB242" i="17"/>
  <c r="T243" i="17"/>
  <c r="X243" i="17"/>
  <c r="BA243" i="17"/>
  <c r="BB243" i="17"/>
  <c r="T244" i="17"/>
  <c r="X244" i="17"/>
  <c r="BA244" i="17"/>
  <c r="BB244" i="17"/>
  <c r="T245" i="17"/>
  <c r="X245" i="17"/>
  <c r="BA245" i="17"/>
  <c r="BB245" i="17"/>
  <c r="T246" i="17"/>
  <c r="X246" i="17"/>
  <c r="BA246" i="17"/>
  <c r="BB246" i="17"/>
  <c r="T247" i="17"/>
  <c r="X247" i="17"/>
  <c r="BA247" i="17"/>
  <c r="BB247" i="17"/>
  <c r="T248" i="17"/>
  <c r="X248" i="17"/>
  <c r="BA248" i="17"/>
  <c r="BB248" i="17"/>
  <c r="T249" i="17"/>
  <c r="X249" i="17"/>
  <c r="BA249" i="17"/>
  <c r="BB249" i="17"/>
  <c r="T250" i="17"/>
  <c r="X250" i="17"/>
  <c r="BA250" i="17"/>
  <c r="BB250" i="17"/>
  <c r="T251" i="17"/>
  <c r="X251" i="17"/>
  <c r="BA251" i="17"/>
  <c r="BB251" i="17"/>
  <c r="T252" i="17"/>
  <c r="X252" i="17"/>
  <c r="BA252" i="17"/>
  <c r="BB252" i="17"/>
  <c r="T253" i="17"/>
  <c r="X253" i="17"/>
  <c r="BA253" i="17"/>
  <c r="BB253" i="17"/>
  <c r="T254" i="17"/>
  <c r="X254" i="17"/>
  <c r="BA254" i="17"/>
  <c r="BB254" i="17"/>
  <c r="T255" i="17"/>
  <c r="X255" i="17"/>
  <c r="BA255" i="17"/>
  <c r="BB255" i="17"/>
  <c r="T256" i="17"/>
  <c r="X256" i="17"/>
  <c r="BA256" i="17"/>
  <c r="BB256" i="17"/>
  <c r="T257" i="17"/>
  <c r="X257" i="17"/>
  <c r="BA257" i="17"/>
  <c r="BB257" i="17"/>
  <c r="T258" i="17"/>
  <c r="X258" i="17"/>
  <c r="BA258" i="17"/>
  <c r="BB258" i="17"/>
  <c r="T259" i="17"/>
  <c r="X259" i="17"/>
  <c r="BA259" i="17"/>
  <c r="BB259" i="17"/>
  <c r="T260" i="17"/>
  <c r="X260" i="17"/>
  <c r="BA260" i="17"/>
  <c r="BB260" i="17"/>
  <c r="T261" i="17"/>
  <c r="X261" i="17"/>
  <c r="BA261" i="17"/>
  <c r="BB261" i="17"/>
  <c r="T262" i="17"/>
  <c r="X262" i="17"/>
  <c r="BA262" i="17"/>
  <c r="BB262" i="17"/>
  <c r="T263" i="17"/>
  <c r="X263" i="17"/>
  <c r="BA263" i="17"/>
  <c r="BB263" i="17"/>
  <c r="T264" i="17"/>
  <c r="X264" i="17"/>
  <c r="BA264" i="17"/>
  <c r="BB264" i="17"/>
  <c r="T265" i="17"/>
  <c r="X265" i="17"/>
  <c r="BA265" i="17"/>
  <c r="BB265" i="17"/>
  <c r="T266" i="17"/>
  <c r="X266" i="17"/>
  <c r="BA266" i="17"/>
  <c r="BB266" i="17"/>
  <c r="T267" i="17"/>
  <c r="X267" i="17"/>
  <c r="BA267" i="17"/>
  <c r="BB267" i="17"/>
  <c r="T268" i="17"/>
  <c r="X268" i="17"/>
  <c r="BA268" i="17"/>
  <c r="BB268" i="17"/>
  <c r="T269" i="17"/>
  <c r="X269" i="17"/>
  <c r="BA269" i="17"/>
  <c r="BB269" i="17"/>
  <c r="T270" i="17"/>
  <c r="X270" i="17"/>
  <c r="BA270" i="17"/>
  <c r="BB270" i="17"/>
  <c r="T271" i="17"/>
  <c r="X271" i="17"/>
  <c r="BA271" i="17"/>
  <c r="BB271" i="17"/>
  <c r="T272" i="17"/>
  <c r="X272" i="17"/>
  <c r="BA272" i="17"/>
  <c r="BB272" i="17"/>
  <c r="T273" i="17"/>
  <c r="X273" i="17"/>
  <c r="BA273" i="17"/>
  <c r="BB273" i="17"/>
  <c r="T274" i="17"/>
  <c r="X274" i="17"/>
  <c r="BA274" i="17"/>
  <c r="BB274" i="17"/>
  <c r="T275" i="17"/>
  <c r="X275" i="17"/>
  <c r="BA275" i="17"/>
  <c r="BB275" i="17"/>
  <c r="T276" i="17"/>
  <c r="X276" i="17"/>
  <c r="BA276" i="17"/>
  <c r="BB276" i="17"/>
  <c r="T277" i="17"/>
  <c r="X277" i="17"/>
  <c r="BA277" i="17"/>
  <c r="BB277" i="17"/>
  <c r="T278" i="17"/>
  <c r="X278" i="17"/>
  <c r="BA278" i="17"/>
  <c r="BB278" i="17"/>
  <c r="T279" i="17"/>
  <c r="X279" i="17"/>
  <c r="BA279" i="17"/>
  <c r="BB279" i="17"/>
  <c r="T280" i="17"/>
  <c r="X280" i="17"/>
  <c r="BA280" i="17"/>
  <c r="BB280" i="17"/>
  <c r="T281" i="17"/>
  <c r="X281" i="17"/>
  <c r="BA281" i="17"/>
  <c r="BB281" i="17"/>
  <c r="T282" i="17"/>
  <c r="X282" i="17"/>
  <c r="BA282" i="17"/>
  <c r="BB282" i="17"/>
  <c r="T283" i="17"/>
  <c r="X283" i="17"/>
  <c r="BA283" i="17"/>
  <c r="BB283" i="17"/>
  <c r="T284" i="17"/>
  <c r="X284" i="17"/>
  <c r="BA284" i="17"/>
  <c r="BB284" i="17"/>
  <c r="T285" i="17"/>
  <c r="X285" i="17"/>
  <c r="BA285" i="17"/>
  <c r="BB285" i="17"/>
  <c r="T286" i="17"/>
  <c r="X286" i="17"/>
  <c r="BA286" i="17"/>
  <c r="BB286" i="17"/>
  <c r="T287" i="17"/>
  <c r="X287" i="17"/>
  <c r="BA287" i="17"/>
  <c r="BB287" i="17"/>
  <c r="T288" i="17"/>
  <c r="X288" i="17"/>
  <c r="BA288" i="17"/>
  <c r="BB288" i="17"/>
  <c r="T289" i="17"/>
  <c r="X289" i="17"/>
  <c r="BA289" i="17"/>
  <c r="BB289" i="17"/>
  <c r="T290" i="17"/>
  <c r="X290" i="17"/>
  <c r="BA290" i="17"/>
  <c r="BB290" i="17"/>
  <c r="T291" i="17"/>
  <c r="X291" i="17"/>
  <c r="BA291" i="17"/>
  <c r="BB291" i="17"/>
  <c r="T292" i="17"/>
  <c r="X292" i="17"/>
  <c r="BA292" i="17"/>
  <c r="BB292" i="17"/>
  <c r="T293" i="17"/>
  <c r="X293" i="17"/>
  <c r="BA293" i="17"/>
  <c r="BB293" i="17"/>
  <c r="T294" i="17"/>
  <c r="X294" i="17"/>
  <c r="BA294" i="17"/>
  <c r="BB294" i="17"/>
  <c r="T295" i="17"/>
  <c r="X295" i="17"/>
  <c r="BA295" i="17"/>
  <c r="BB295" i="17"/>
  <c r="T296" i="17"/>
  <c r="X296" i="17"/>
  <c r="BA296" i="17"/>
  <c r="BB296" i="17"/>
  <c r="T297" i="17"/>
  <c r="X297" i="17"/>
  <c r="BA297" i="17"/>
  <c r="BB297" i="17"/>
  <c r="T298" i="17"/>
  <c r="X298" i="17"/>
  <c r="BA298" i="17"/>
  <c r="BB298" i="17"/>
  <c r="T299" i="17"/>
  <c r="X299" i="17"/>
  <c r="BA299" i="17"/>
  <c r="BB299" i="17"/>
  <c r="T300" i="17"/>
  <c r="X300" i="17"/>
  <c r="BA300" i="17"/>
  <c r="BB300" i="17"/>
  <c r="T301" i="17"/>
  <c r="X301" i="17"/>
  <c r="BA301" i="17"/>
  <c r="BB301" i="17"/>
  <c r="T302" i="17"/>
  <c r="X302" i="17"/>
  <c r="BA302" i="17"/>
  <c r="BB302" i="17"/>
  <c r="T303" i="17"/>
  <c r="X303" i="17"/>
  <c r="BA303" i="17"/>
  <c r="BB303" i="17"/>
  <c r="T304" i="17"/>
  <c r="X304" i="17"/>
  <c r="BA304" i="17"/>
  <c r="BB304" i="17"/>
  <c r="T305" i="17"/>
  <c r="X305" i="17"/>
  <c r="BA305" i="17"/>
  <c r="BB305" i="17"/>
  <c r="T306" i="17"/>
  <c r="X306" i="17"/>
  <c r="BA306" i="17"/>
  <c r="BB306" i="17"/>
  <c r="T307" i="17"/>
  <c r="X307" i="17"/>
  <c r="BA307" i="17"/>
  <c r="BB307" i="17"/>
  <c r="T308" i="17"/>
  <c r="X308" i="17"/>
  <c r="BA308" i="17"/>
  <c r="BB308" i="17"/>
  <c r="T309" i="17"/>
  <c r="X309" i="17"/>
  <c r="BA309" i="17"/>
  <c r="BB309" i="17"/>
  <c r="T310" i="17"/>
  <c r="X310" i="17"/>
  <c r="BA310" i="17"/>
  <c r="BB310" i="17"/>
  <c r="T311" i="17"/>
  <c r="X311" i="17"/>
  <c r="BA311" i="17"/>
  <c r="BB311" i="17"/>
  <c r="T312" i="17"/>
  <c r="X312" i="17"/>
  <c r="BA312" i="17"/>
  <c r="BB312" i="17"/>
  <c r="T313" i="17"/>
  <c r="X313" i="17"/>
  <c r="BA313" i="17"/>
  <c r="BB313" i="17"/>
  <c r="T314" i="17"/>
  <c r="X314" i="17"/>
  <c r="BA314" i="17"/>
  <c r="BB314" i="17"/>
  <c r="T315" i="17"/>
  <c r="X315" i="17"/>
  <c r="BA315" i="17"/>
  <c r="BB315" i="17"/>
  <c r="T316" i="17"/>
  <c r="X316" i="17"/>
  <c r="BA316" i="17"/>
  <c r="BB316" i="17"/>
  <c r="T317" i="17"/>
  <c r="X317" i="17"/>
  <c r="BA317" i="17"/>
  <c r="BB317" i="17"/>
  <c r="T318" i="17"/>
  <c r="X318" i="17"/>
  <c r="BA318" i="17"/>
  <c r="BB318" i="17"/>
  <c r="T319" i="17"/>
  <c r="X319" i="17"/>
  <c r="BA319" i="17"/>
  <c r="BB319" i="17"/>
  <c r="T320" i="17"/>
  <c r="X320" i="17"/>
  <c r="BA320" i="17"/>
  <c r="BB320" i="17"/>
  <c r="T321" i="17"/>
  <c r="X321" i="17"/>
  <c r="BA321" i="17"/>
  <c r="BB321" i="17"/>
  <c r="T322" i="17"/>
  <c r="X322" i="17"/>
  <c r="BA322" i="17"/>
  <c r="BB322" i="17"/>
  <c r="T323" i="17"/>
  <c r="X323" i="17"/>
  <c r="BA323" i="17"/>
  <c r="BB323" i="17"/>
  <c r="T324" i="17"/>
  <c r="X324" i="17"/>
  <c r="BA324" i="17"/>
  <c r="BB324" i="17"/>
  <c r="T325" i="17"/>
  <c r="X325" i="17"/>
  <c r="BA325" i="17"/>
  <c r="BB325" i="17"/>
  <c r="T326" i="17"/>
  <c r="X326" i="17"/>
  <c r="BA326" i="17"/>
  <c r="BB326" i="17"/>
  <c r="T327" i="17"/>
  <c r="X327" i="17"/>
  <c r="BA327" i="17"/>
  <c r="BB327" i="17"/>
  <c r="T328" i="17"/>
  <c r="X328" i="17"/>
  <c r="BA328" i="17"/>
  <c r="BB328" i="17"/>
  <c r="T329" i="17"/>
  <c r="X329" i="17"/>
  <c r="BA329" i="17"/>
  <c r="BB329" i="17"/>
  <c r="T330" i="17"/>
  <c r="X330" i="17"/>
  <c r="BA330" i="17"/>
  <c r="BB330" i="17"/>
  <c r="T331" i="17"/>
  <c r="X331" i="17"/>
  <c r="BA331" i="17"/>
  <c r="BB331" i="17"/>
  <c r="T332" i="17"/>
  <c r="X332" i="17"/>
  <c r="BA332" i="17"/>
  <c r="BB332" i="17"/>
  <c r="T333" i="17"/>
  <c r="X333" i="17"/>
  <c r="BA333" i="17"/>
  <c r="BB333" i="17"/>
  <c r="T334" i="17"/>
  <c r="X334" i="17"/>
  <c r="BA334" i="17"/>
  <c r="BB334" i="17"/>
  <c r="T335" i="17"/>
  <c r="X335" i="17"/>
  <c r="BA335" i="17"/>
  <c r="BB335" i="17"/>
  <c r="T336" i="17"/>
  <c r="X336" i="17"/>
  <c r="BA336" i="17"/>
  <c r="BB336" i="17"/>
  <c r="T337" i="17"/>
  <c r="X337" i="17"/>
  <c r="BA337" i="17"/>
  <c r="BB337" i="17"/>
  <c r="T338" i="17"/>
  <c r="X338" i="17"/>
  <c r="BA338" i="17"/>
  <c r="BB338" i="17"/>
  <c r="T339" i="17"/>
  <c r="X339" i="17"/>
  <c r="BA339" i="17"/>
  <c r="BB339" i="17"/>
  <c r="T340" i="17"/>
  <c r="X340" i="17"/>
  <c r="BA340" i="17"/>
  <c r="BB340" i="17"/>
  <c r="T341" i="17"/>
  <c r="X341" i="17"/>
  <c r="BA341" i="17"/>
  <c r="BB341" i="17"/>
  <c r="T342" i="17"/>
  <c r="X342" i="17"/>
  <c r="BA342" i="17"/>
  <c r="BB342" i="17"/>
  <c r="T343" i="17"/>
  <c r="X343" i="17"/>
  <c r="BA343" i="17"/>
  <c r="BB343" i="17"/>
  <c r="T344" i="17"/>
  <c r="X344" i="17"/>
  <c r="BA344" i="17"/>
  <c r="BB344" i="17"/>
  <c r="T345" i="17"/>
  <c r="X345" i="17"/>
  <c r="BA345" i="17"/>
  <c r="BB345" i="17"/>
  <c r="T346" i="17"/>
  <c r="X346" i="17"/>
  <c r="BA346" i="17"/>
  <c r="BB346" i="17"/>
  <c r="T347" i="17"/>
  <c r="X347" i="17"/>
  <c r="BA347" i="17"/>
  <c r="BB347" i="17"/>
  <c r="T348" i="17"/>
  <c r="X348" i="17"/>
  <c r="BA348" i="17"/>
  <c r="BB348" i="17"/>
  <c r="T349" i="17"/>
  <c r="X349" i="17"/>
  <c r="BA349" i="17"/>
  <c r="BB349" i="17"/>
  <c r="T350" i="17"/>
  <c r="X350" i="17"/>
  <c r="BA350" i="17"/>
  <c r="BB350" i="17"/>
  <c r="T351" i="17"/>
  <c r="X351" i="17"/>
  <c r="BA351" i="17"/>
  <c r="BB351" i="17"/>
  <c r="T352" i="17"/>
  <c r="X352" i="17"/>
  <c r="BA352" i="17"/>
  <c r="BB352" i="17"/>
  <c r="T353" i="17"/>
  <c r="X353" i="17"/>
  <c r="BA353" i="17"/>
  <c r="BB353" i="17"/>
  <c r="T354" i="17"/>
  <c r="X354" i="17"/>
  <c r="BA354" i="17"/>
  <c r="BB354" i="17"/>
  <c r="T355" i="17"/>
  <c r="X355" i="17"/>
  <c r="BA355" i="17"/>
  <c r="BB355" i="17"/>
  <c r="T356" i="17"/>
  <c r="X356" i="17"/>
  <c r="BA356" i="17"/>
  <c r="BB356" i="17"/>
  <c r="T357" i="17"/>
  <c r="X357" i="17"/>
  <c r="BA357" i="17"/>
  <c r="BB357" i="17"/>
  <c r="T358" i="17"/>
  <c r="X358" i="17"/>
  <c r="BA358" i="17"/>
  <c r="BB358" i="17"/>
  <c r="T359" i="17"/>
  <c r="X359" i="17"/>
  <c r="BA359" i="17"/>
  <c r="BB359" i="17"/>
  <c r="T360" i="17"/>
  <c r="X360" i="17"/>
  <c r="BA360" i="17"/>
  <c r="BB360" i="17"/>
  <c r="T361" i="17"/>
  <c r="X361" i="17"/>
  <c r="BA361" i="17"/>
  <c r="BB361" i="17"/>
  <c r="T362" i="17"/>
  <c r="X362" i="17"/>
  <c r="BA362" i="17"/>
  <c r="BB362" i="17"/>
  <c r="T363" i="17"/>
  <c r="X363" i="17"/>
  <c r="BA363" i="17"/>
  <c r="BB363" i="17"/>
  <c r="T364" i="17"/>
  <c r="X364" i="17"/>
  <c r="BA364" i="17"/>
  <c r="BB364" i="17"/>
  <c r="T365" i="17"/>
  <c r="X365" i="17"/>
  <c r="BA365" i="17"/>
  <c r="BB365" i="17"/>
  <c r="T366" i="17"/>
  <c r="X366" i="17"/>
  <c r="BA366" i="17"/>
  <c r="BB366" i="17"/>
  <c r="T367" i="17"/>
  <c r="X367" i="17"/>
  <c r="BA367" i="17"/>
  <c r="BB367" i="17"/>
  <c r="T368" i="17"/>
  <c r="X368" i="17"/>
  <c r="BA368" i="17"/>
  <c r="BB368" i="17"/>
  <c r="T369" i="17"/>
  <c r="X369" i="17"/>
  <c r="BA369" i="17"/>
  <c r="BB369" i="17"/>
  <c r="T370" i="17"/>
  <c r="X370" i="17"/>
  <c r="BA370" i="17"/>
  <c r="BB370" i="17"/>
  <c r="T371" i="17"/>
  <c r="X371" i="17"/>
  <c r="BA371" i="17"/>
  <c r="BB371" i="17"/>
  <c r="T372" i="17"/>
  <c r="X372" i="17"/>
  <c r="BA372" i="17"/>
  <c r="BB372" i="17"/>
  <c r="T373" i="17"/>
  <c r="X373" i="17"/>
  <c r="BA373" i="17"/>
  <c r="BB373" i="17"/>
  <c r="T374" i="17"/>
  <c r="X374" i="17"/>
  <c r="BA374" i="17"/>
  <c r="BB374" i="17"/>
  <c r="T375" i="17"/>
  <c r="X375" i="17"/>
  <c r="BA375" i="17"/>
  <c r="BB375" i="17"/>
  <c r="T376" i="17"/>
  <c r="X376" i="17"/>
  <c r="BA376" i="17"/>
  <c r="BB376" i="17"/>
  <c r="T377" i="17"/>
  <c r="X377" i="17"/>
  <c r="BA377" i="17"/>
  <c r="BB377" i="17"/>
  <c r="T378" i="17"/>
  <c r="X378" i="17"/>
  <c r="BA378" i="17"/>
  <c r="BB378" i="17"/>
  <c r="T379" i="17"/>
  <c r="X379" i="17"/>
  <c r="BA379" i="17"/>
  <c r="BB379" i="17"/>
  <c r="T380" i="17"/>
  <c r="X380" i="17"/>
  <c r="BA380" i="17"/>
  <c r="BB380" i="17"/>
  <c r="T381" i="17"/>
  <c r="X381" i="17"/>
  <c r="BA381" i="17"/>
  <c r="BB381" i="17"/>
  <c r="T382" i="17"/>
  <c r="X382" i="17"/>
  <c r="BA382" i="17"/>
  <c r="BB382" i="17"/>
  <c r="T383" i="17"/>
  <c r="X383" i="17"/>
  <c r="BA383" i="17"/>
  <c r="BB383" i="17"/>
  <c r="T384" i="17"/>
  <c r="X384" i="17"/>
  <c r="BA384" i="17"/>
  <c r="BB384" i="17"/>
  <c r="T385" i="17"/>
  <c r="X385" i="17"/>
  <c r="BA385" i="17"/>
  <c r="BB385" i="17"/>
  <c r="T386" i="17"/>
  <c r="X386" i="17"/>
  <c r="BA386" i="17"/>
  <c r="BB386" i="17"/>
  <c r="T387" i="17"/>
  <c r="X387" i="17"/>
  <c r="BA387" i="17"/>
  <c r="BB387" i="17"/>
  <c r="T388" i="17"/>
  <c r="X388" i="17"/>
  <c r="BA388" i="17"/>
  <c r="BB388" i="17"/>
  <c r="T389" i="17"/>
  <c r="X389" i="17"/>
  <c r="BA389" i="17"/>
  <c r="BB389" i="17"/>
  <c r="T390" i="17"/>
  <c r="X390" i="17"/>
  <c r="BA390" i="17"/>
  <c r="BB390" i="17"/>
  <c r="T391" i="17"/>
  <c r="X391" i="17"/>
  <c r="BA391" i="17"/>
  <c r="BB391" i="17"/>
  <c r="T392" i="17"/>
  <c r="X392" i="17"/>
  <c r="BA392" i="17"/>
  <c r="BB392" i="17"/>
  <c r="T393" i="17"/>
  <c r="X393" i="17"/>
  <c r="BA393" i="17"/>
  <c r="BB393" i="17"/>
  <c r="T394" i="17"/>
  <c r="X394" i="17"/>
  <c r="BA394" i="17"/>
  <c r="BB394" i="17"/>
  <c r="T395" i="17"/>
  <c r="X395" i="17"/>
  <c r="BA395" i="17"/>
  <c r="BB395" i="17"/>
  <c r="T396" i="17"/>
  <c r="X396" i="17"/>
  <c r="BA396" i="17"/>
  <c r="BB396" i="17"/>
  <c r="T397" i="17"/>
  <c r="X397" i="17"/>
  <c r="BA397" i="17"/>
  <c r="BB397" i="17"/>
  <c r="T398" i="17"/>
  <c r="X398" i="17"/>
  <c r="BA398" i="17"/>
  <c r="BB398" i="17"/>
  <c r="T399" i="17"/>
  <c r="X399" i="17"/>
  <c r="BA399" i="17"/>
  <c r="BB399" i="17"/>
  <c r="T400" i="17"/>
  <c r="X400" i="17"/>
  <c r="BA400" i="17"/>
  <c r="BB400" i="17"/>
  <c r="T401" i="17"/>
  <c r="X401" i="17"/>
  <c r="BA401" i="17"/>
  <c r="BB401" i="17"/>
  <c r="T402" i="17"/>
  <c r="X402" i="17"/>
  <c r="BA402" i="17"/>
  <c r="BB402" i="17"/>
  <c r="T403" i="17"/>
  <c r="X403" i="17"/>
  <c r="BA403" i="17"/>
  <c r="BB403" i="17"/>
  <c r="T404" i="17"/>
  <c r="X404" i="17"/>
  <c r="BA404" i="17"/>
  <c r="BB404" i="17"/>
  <c r="T405" i="17"/>
  <c r="X405" i="17"/>
  <c r="BA405" i="17"/>
  <c r="BB405" i="17"/>
  <c r="T406" i="17"/>
  <c r="X406" i="17"/>
  <c r="BA406" i="17"/>
  <c r="BB406" i="17"/>
  <c r="T407" i="17"/>
  <c r="X407" i="17"/>
  <c r="BA407" i="17"/>
  <c r="BB407" i="17"/>
  <c r="T408" i="17"/>
  <c r="X408" i="17"/>
  <c r="BA408" i="17"/>
  <c r="BB408" i="17"/>
  <c r="T409" i="17"/>
  <c r="X409" i="17"/>
  <c r="BA409" i="17"/>
  <c r="BB409" i="17"/>
  <c r="T410" i="17"/>
  <c r="X410" i="17"/>
  <c r="BA410" i="17"/>
  <c r="BB410" i="17"/>
  <c r="T411" i="17"/>
  <c r="X411" i="17"/>
  <c r="BA411" i="17"/>
  <c r="BB411" i="17"/>
  <c r="T412" i="17"/>
  <c r="X412" i="17"/>
  <c r="BA412" i="17"/>
  <c r="BB412" i="17"/>
  <c r="T413" i="17"/>
  <c r="X413" i="17"/>
  <c r="BA413" i="17"/>
  <c r="BB413" i="17"/>
  <c r="T414" i="17"/>
  <c r="X414" i="17"/>
  <c r="BA414" i="17"/>
  <c r="BB414" i="17"/>
  <c r="T415" i="17"/>
  <c r="X415" i="17"/>
  <c r="BA415" i="17"/>
  <c r="BB415" i="17"/>
  <c r="T416" i="17"/>
  <c r="X416" i="17"/>
  <c r="BA416" i="17"/>
  <c r="BB416" i="17"/>
  <c r="T417" i="17"/>
  <c r="X417" i="17"/>
  <c r="BA417" i="17"/>
  <c r="BB417" i="17"/>
  <c r="T418" i="17"/>
  <c r="X418" i="17"/>
  <c r="BA418" i="17"/>
  <c r="BB418" i="17"/>
  <c r="T419" i="17"/>
  <c r="X419" i="17"/>
  <c r="BA419" i="17"/>
  <c r="BB419" i="17"/>
  <c r="T420" i="17"/>
  <c r="X420" i="17"/>
  <c r="BA420" i="17"/>
  <c r="BB420" i="17"/>
  <c r="T421" i="17"/>
  <c r="X421" i="17"/>
  <c r="BA421" i="17"/>
  <c r="BB421" i="17"/>
  <c r="T422" i="17"/>
  <c r="X422" i="17"/>
  <c r="BA422" i="17"/>
  <c r="BB422" i="17"/>
  <c r="T423" i="17"/>
  <c r="X423" i="17"/>
  <c r="BA423" i="17"/>
  <c r="BB423" i="17"/>
  <c r="T424" i="17"/>
  <c r="X424" i="17"/>
  <c r="BA424" i="17"/>
  <c r="BB424" i="17"/>
  <c r="T425" i="17"/>
  <c r="X425" i="17"/>
  <c r="BA425" i="17"/>
  <c r="BB425" i="17"/>
  <c r="T426" i="17"/>
  <c r="X426" i="17"/>
  <c r="BA426" i="17"/>
  <c r="BB426" i="17"/>
  <c r="T427" i="17"/>
  <c r="X427" i="17"/>
  <c r="BA427" i="17"/>
  <c r="BB427" i="17"/>
  <c r="T428" i="17"/>
  <c r="X428" i="17"/>
  <c r="BA428" i="17"/>
  <c r="BB428" i="17"/>
  <c r="T429" i="17"/>
  <c r="X429" i="17"/>
  <c r="BA429" i="17"/>
  <c r="BB429" i="17"/>
  <c r="T430" i="17"/>
  <c r="X430" i="17"/>
  <c r="BA430" i="17"/>
  <c r="BB430" i="17"/>
  <c r="T431" i="17"/>
  <c r="X431" i="17"/>
  <c r="BA431" i="17"/>
  <c r="BB431" i="17"/>
  <c r="T432" i="17"/>
  <c r="X432" i="17"/>
  <c r="BA432" i="17"/>
  <c r="BB432" i="17"/>
  <c r="T433" i="17"/>
  <c r="X433" i="17"/>
  <c r="BA433" i="17"/>
  <c r="BB433" i="17"/>
  <c r="T434" i="17"/>
  <c r="X434" i="17"/>
  <c r="BA434" i="17"/>
  <c r="BB434" i="17"/>
  <c r="T435" i="17"/>
  <c r="X435" i="17"/>
  <c r="BA435" i="17"/>
  <c r="BB435" i="17"/>
  <c r="T436" i="17"/>
  <c r="X436" i="17"/>
  <c r="BA436" i="17"/>
  <c r="BB436" i="17"/>
  <c r="T437" i="17"/>
  <c r="X437" i="17"/>
  <c r="BA437" i="17"/>
  <c r="BB437" i="17"/>
  <c r="T438" i="17"/>
  <c r="X438" i="17"/>
  <c r="BA438" i="17"/>
  <c r="BB438" i="17"/>
  <c r="T439" i="17"/>
  <c r="X439" i="17"/>
  <c r="BA439" i="17"/>
  <c r="BB439" i="17"/>
  <c r="T440" i="17"/>
  <c r="X440" i="17"/>
  <c r="BA440" i="17"/>
  <c r="BB440" i="17"/>
  <c r="T441" i="17"/>
  <c r="X441" i="17"/>
  <c r="BA441" i="17"/>
  <c r="BB441" i="17"/>
  <c r="T442" i="17"/>
  <c r="X442" i="17"/>
  <c r="BA442" i="17"/>
  <c r="BB442" i="17"/>
  <c r="T443" i="17"/>
  <c r="X443" i="17"/>
  <c r="BA443" i="17"/>
  <c r="BB443" i="17"/>
  <c r="T444" i="17"/>
  <c r="X444" i="17"/>
  <c r="BA444" i="17"/>
  <c r="BB444" i="17"/>
  <c r="T445" i="17"/>
  <c r="X445" i="17"/>
  <c r="BA445" i="17"/>
  <c r="BB445" i="17"/>
  <c r="T446" i="17"/>
  <c r="X446" i="17"/>
  <c r="BA446" i="17"/>
  <c r="BB446" i="17"/>
  <c r="T447" i="17"/>
  <c r="X447" i="17"/>
  <c r="BA447" i="17"/>
  <c r="BB447" i="17"/>
  <c r="T448" i="17"/>
  <c r="X448" i="17"/>
  <c r="BA448" i="17"/>
  <c r="BB448" i="17"/>
  <c r="T449" i="17"/>
  <c r="X449" i="17"/>
  <c r="BA449" i="17"/>
  <c r="BB449" i="17"/>
  <c r="T450" i="17"/>
  <c r="X450" i="17"/>
  <c r="BA450" i="17"/>
  <c r="BB450" i="17"/>
  <c r="T451" i="17"/>
  <c r="X451" i="17"/>
  <c r="BA451" i="17"/>
  <c r="BB451" i="17"/>
  <c r="T452" i="17"/>
  <c r="X452" i="17"/>
  <c r="BA452" i="17"/>
  <c r="BB452" i="17"/>
  <c r="T453" i="17"/>
  <c r="X453" i="17"/>
  <c r="BA453" i="17"/>
  <c r="BB453" i="17"/>
  <c r="T454" i="17"/>
  <c r="X454" i="17"/>
  <c r="BA454" i="17"/>
  <c r="BB454" i="17"/>
  <c r="T455" i="17"/>
  <c r="X455" i="17"/>
  <c r="BA455" i="17"/>
  <c r="BB455" i="17"/>
  <c r="T456" i="17"/>
  <c r="X456" i="17"/>
  <c r="BA456" i="17"/>
  <c r="BB456" i="17"/>
  <c r="T457" i="17"/>
  <c r="X457" i="17"/>
  <c r="BA457" i="17"/>
  <c r="BB457" i="17"/>
  <c r="T458" i="17"/>
  <c r="X458" i="17"/>
  <c r="BA458" i="17"/>
  <c r="BB458" i="17"/>
  <c r="T459" i="17"/>
  <c r="X459" i="17"/>
  <c r="BA459" i="17"/>
  <c r="BB459" i="17"/>
  <c r="T460" i="17"/>
  <c r="X460" i="17"/>
  <c r="BA460" i="17"/>
  <c r="BB460" i="17"/>
  <c r="T461" i="17"/>
  <c r="X461" i="17"/>
  <c r="BA461" i="17"/>
  <c r="BB461" i="17"/>
  <c r="T462" i="17"/>
  <c r="X462" i="17"/>
  <c r="BA462" i="17"/>
  <c r="BB462" i="17"/>
  <c r="T463" i="17"/>
  <c r="X463" i="17"/>
  <c r="BA463" i="17"/>
  <c r="BB463" i="17"/>
  <c r="T464" i="17"/>
  <c r="X464" i="17"/>
  <c r="BA464" i="17"/>
  <c r="BB464" i="17"/>
  <c r="T465" i="17"/>
  <c r="X465" i="17"/>
  <c r="BA465" i="17"/>
  <c r="BB465" i="17"/>
  <c r="T466" i="17"/>
  <c r="X466" i="17"/>
  <c r="BA466" i="17"/>
  <c r="BB466" i="17"/>
  <c r="T467" i="17"/>
  <c r="X467" i="17"/>
  <c r="BA467" i="17"/>
  <c r="BB467" i="17"/>
  <c r="T468" i="17"/>
  <c r="X468" i="17"/>
  <c r="BA468" i="17"/>
  <c r="BB468" i="17"/>
  <c r="T469" i="17"/>
  <c r="X469" i="17"/>
  <c r="BA469" i="17"/>
  <c r="BB469" i="17"/>
  <c r="T470" i="17"/>
  <c r="X470" i="17"/>
  <c r="BA470" i="17"/>
  <c r="BB470" i="17"/>
  <c r="T471" i="17"/>
  <c r="X471" i="17"/>
  <c r="BA471" i="17"/>
  <c r="BB471" i="17"/>
  <c r="T472" i="17"/>
  <c r="X472" i="17"/>
  <c r="BA472" i="17"/>
  <c r="BB472" i="17"/>
  <c r="T473" i="17"/>
  <c r="X473" i="17"/>
  <c r="BA473" i="17"/>
  <c r="BB473" i="17"/>
  <c r="T474" i="17"/>
  <c r="X474" i="17"/>
  <c r="BA474" i="17"/>
  <c r="BB474" i="17"/>
  <c r="T475" i="17"/>
  <c r="X475" i="17"/>
  <c r="BA475" i="17"/>
  <c r="BB475" i="17"/>
  <c r="T476" i="17"/>
  <c r="X476" i="17"/>
  <c r="BA476" i="17"/>
  <c r="BB476" i="17"/>
  <c r="T477" i="17"/>
  <c r="X477" i="17"/>
  <c r="BA477" i="17"/>
  <c r="BB477" i="17"/>
  <c r="T478" i="17"/>
  <c r="X478" i="17"/>
  <c r="BA478" i="17"/>
  <c r="BB478" i="17"/>
  <c r="T479" i="17"/>
  <c r="X479" i="17"/>
  <c r="BA479" i="17"/>
  <c r="BB479" i="17"/>
  <c r="T480" i="17"/>
  <c r="X480" i="17"/>
  <c r="BA480" i="17"/>
  <c r="BB480" i="17"/>
  <c r="T481" i="17"/>
  <c r="X481" i="17"/>
  <c r="BA481" i="17"/>
  <c r="BB481" i="17"/>
  <c r="T482" i="17"/>
  <c r="X482" i="17"/>
  <c r="BA482" i="17"/>
  <c r="BB482" i="17"/>
  <c r="T483" i="17"/>
  <c r="X483" i="17"/>
  <c r="BA483" i="17"/>
  <c r="BB483" i="17"/>
  <c r="T484" i="17"/>
  <c r="X484" i="17"/>
  <c r="BA484" i="17"/>
  <c r="BB484" i="17"/>
  <c r="T485" i="17"/>
  <c r="X485" i="17"/>
  <c r="BA485" i="17"/>
  <c r="BB485" i="17"/>
  <c r="T486" i="17"/>
  <c r="X486" i="17"/>
  <c r="BA486" i="17"/>
  <c r="BB486" i="17"/>
  <c r="T487" i="17"/>
  <c r="X487" i="17"/>
  <c r="BA487" i="17"/>
  <c r="BB487" i="17"/>
  <c r="T488" i="17"/>
  <c r="X488" i="17"/>
  <c r="BA488" i="17"/>
  <c r="BB488" i="17"/>
  <c r="T489" i="17"/>
  <c r="X489" i="17"/>
  <c r="BA489" i="17"/>
  <c r="BB489" i="17"/>
  <c r="T490" i="17"/>
  <c r="X490" i="17"/>
  <c r="BA490" i="17"/>
  <c r="BB490" i="17"/>
  <c r="T491" i="17"/>
  <c r="X491" i="17"/>
  <c r="BA491" i="17"/>
  <c r="BB491" i="17"/>
  <c r="T492" i="17"/>
  <c r="X492" i="17"/>
  <c r="BA492" i="17"/>
  <c r="BB492" i="17"/>
  <c r="T493" i="17"/>
  <c r="X493" i="17"/>
  <c r="BA493" i="17"/>
  <c r="BB493" i="17"/>
  <c r="T494" i="17"/>
  <c r="X494" i="17"/>
  <c r="BA494" i="17"/>
  <c r="BB494" i="17"/>
  <c r="T495" i="17"/>
  <c r="X495" i="17"/>
  <c r="BA495" i="17"/>
  <c r="BB495" i="17"/>
  <c r="T496" i="17"/>
  <c r="X496" i="17"/>
  <c r="BA496" i="17"/>
  <c r="BB496" i="17"/>
  <c r="T497" i="17"/>
  <c r="X497" i="17"/>
  <c r="BA497" i="17"/>
  <c r="BB497" i="17"/>
  <c r="T498" i="17"/>
  <c r="X498" i="17"/>
  <c r="BA498" i="17"/>
  <c r="BB498" i="17"/>
  <c r="T499" i="17"/>
  <c r="X499" i="17"/>
  <c r="BA499" i="17"/>
  <c r="BB499" i="17"/>
  <c r="T500" i="17"/>
  <c r="X500" i="17"/>
  <c r="BA500" i="17"/>
  <c r="BB500" i="17"/>
  <c r="T501" i="17"/>
  <c r="X501" i="17"/>
  <c r="BA501" i="17"/>
  <c r="BB501" i="17"/>
  <c r="T502" i="17"/>
  <c r="X502" i="17"/>
  <c r="BA502" i="17"/>
  <c r="BB502" i="17"/>
  <c r="T503" i="17"/>
  <c r="X503" i="17"/>
  <c r="BA503" i="17"/>
  <c r="BB503" i="17"/>
  <c r="T504" i="17"/>
  <c r="X504" i="17"/>
  <c r="BA504" i="17"/>
  <c r="BB504" i="17"/>
  <c r="T505" i="17"/>
  <c r="X505" i="17"/>
  <c r="BA505" i="17"/>
  <c r="BB505" i="17"/>
  <c r="T506" i="17"/>
  <c r="X506" i="17"/>
  <c r="BA506" i="17"/>
  <c r="BB506" i="17"/>
  <c r="T507" i="17"/>
  <c r="X507" i="17"/>
  <c r="BA507" i="17"/>
  <c r="BB507" i="17"/>
  <c r="T508" i="17"/>
  <c r="X508" i="17"/>
  <c r="BA508" i="17"/>
  <c r="BB508" i="17"/>
  <c r="T509" i="17"/>
  <c r="X509" i="17"/>
  <c r="BA509" i="17"/>
  <c r="BB509" i="17"/>
  <c r="T510" i="17"/>
  <c r="X510" i="17"/>
  <c r="BA510" i="17"/>
  <c r="BB510" i="17"/>
  <c r="T511" i="17"/>
  <c r="X511" i="17"/>
  <c r="BA511" i="17"/>
  <c r="BB511" i="17"/>
  <c r="T512" i="17"/>
  <c r="X512" i="17"/>
  <c r="BA512" i="17"/>
  <c r="BB512" i="17"/>
  <c r="T513" i="17"/>
  <c r="X513" i="17"/>
  <c r="BA513" i="17"/>
  <c r="BB513" i="17"/>
  <c r="T514" i="17"/>
  <c r="X514" i="17"/>
  <c r="BA514" i="17"/>
  <c r="BB514" i="17"/>
  <c r="T515" i="17"/>
  <c r="X515" i="17"/>
  <c r="BA515" i="17"/>
  <c r="BB515" i="17"/>
  <c r="T516" i="17"/>
  <c r="X516" i="17"/>
  <c r="BA516" i="17"/>
  <c r="BB516" i="17"/>
  <c r="T517" i="17"/>
  <c r="X517" i="17"/>
  <c r="BA517" i="17"/>
  <c r="BB517" i="17"/>
  <c r="T518" i="17"/>
  <c r="X518" i="17"/>
  <c r="BA518" i="17"/>
  <c r="BB518" i="17"/>
  <c r="T519" i="17"/>
  <c r="X519" i="17"/>
  <c r="BA519" i="17"/>
  <c r="BB519" i="17"/>
  <c r="T520" i="17"/>
  <c r="X520" i="17"/>
  <c r="BA520" i="17"/>
  <c r="BB520" i="17"/>
  <c r="T521" i="17"/>
  <c r="X521" i="17"/>
  <c r="BA521" i="17"/>
  <c r="BB521" i="17"/>
  <c r="T522" i="17"/>
  <c r="X522" i="17"/>
  <c r="BA522" i="17"/>
  <c r="BB522" i="17"/>
  <c r="T523" i="17"/>
  <c r="X523" i="17"/>
  <c r="BA523" i="17"/>
  <c r="BB523" i="17"/>
  <c r="T524" i="17"/>
  <c r="X524" i="17"/>
  <c r="BA524" i="17"/>
  <c r="BB524" i="17"/>
  <c r="T525" i="17"/>
  <c r="X525" i="17"/>
  <c r="BA525" i="17"/>
  <c r="BB525" i="17"/>
  <c r="T526" i="17"/>
  <c r="X526" i="17"/>
  <c r="BA526" i="17"/>
  <c r="BB526" i="17"/>
  <c r="T527" i="17"/>
  <c r="X527" i="17"/>
  <c r="BA527" i="17"/>
  <c r="BB527" i="17"/>
  <c r="T528" i="17"/>
  <c r="X528" i="17"/>
  <c r="BA528" i="17"/>
  <c r="BB528" i="17"/>
  <c r="T529" i="17"/>
  <c r="X529" i="17"/>
  <c r="BA529" i="17"/>
  <c r="BB529" i="17"/>
  <c r="T530" i="17"/>
  <c r="X530" i="17"/>
  <c r="BA530" i="17"/>
  <c r="BB530" i="17"/>
  <c r="T531" i="17"/>
  <c r="X531" i="17"/>
  <c r="BA531" i="17"/>
  <c r="BB531" i="17"/>
  <c r="T532" i="17"/>
  <c r="X532" i="17"/>
  <c r="BA532" i="17"/>
  <c r="BB532" i="17"/>
  <c r="T533" i="17"/>
  <c r="X533" i="17"/>
  <c r="BA533" i="17"/>
  <c r="BB533" i="17"/>
  <c r="T534" i="17"/>
  <c r="X534" i="17"/>
  <c r="BA534" i="17"/>
  <c r="BB534" i="17"/>
  <c r="T535" i="17"/>
  <c r="X535" i="17"/>
  <c r="BA535" i="17"/>
  <c r="BB535" i="17"/>
  <c r="T536" i="17"/>
  <c r="X536" i="17"/>
  <c r="BA536" i="17"/>
  <c r="BB536" i="17"/>
  <c r="T537" i="17"/>
  <c r="X537" i="17"/>
  <c r="BA537" i="17"/>
  <c r="BB537" i="17"/>
  <c r="T538" i="17"/>
  <c r="X538" i="17"/>
  <c r="BA538" i="17"/>
  <c r="BB538" i="17"/>
  <c r="T539" i="17"/>
  <c r="X539" i="17"/>
  <c r="BA539" i="17"/>
  <c r="BB539" i="17"/>
  <c r="T540" i="17"/>
  <c r="X540" i="17"/>
  <c r="BA540" i="17"/>
  <c r="BB540" i="17"/>
  <c r="T541" i="17"/>
  <c r="X541" i="17"/>
  <c r="BA541" i="17"/>
  <c r="BB541" i="17"/>
  <c r="T542" i="17"/>
  <c r="X542" i="17"/>
  <c r="BA542" i="17"/>
  <c r="BB542" i="17"/>
  <c r="T543" i="17"/>
  <c r="X543" i="17"/>
  <c r="BA543" i="17"/>
  <c r="BB543" i="17"/>
  <c r="T544" i="17"/>
  <c r="X544" i="17"/>
  <c r="BA544" i="17"/>
  <c r="BB544" i="17"/>
  <c r="T545" i="17"/>
  <c r="X545" i="17"/>
  <c r="BA545" i="17"/>
  <c r="BB545" i="17"/>
  <c r="T546" i="17"/>
  <c r="X546" i="17"/>
  <c r="BA546" i="17"/>
  <c r="BB546" i="17"/>
  <c r="T547" i="17"/>
  <c r="X547" i="17"/>
  <c r="BA547" i="17"/>
  <c r="BB547" i="17"/>
  <c r="T548" i="17"/>
  <c r="X548" i="17"/>
  <c r="BA548" i="17"/>
  <c r="BB548" i="17"/>
  <c r="T549" i="17"/>
  <c r="X549" i="17"/>
  <c r="BA549" i="17"/>
  <c r="BB549" i="17"/>
  <c r="T550" i="17"/>
  <c r="X550" i="17"/>
  <c r="BA550" i="17"/>
  <c r="BB550" i="17"/>
  <c r="T551" i="17"/>
  <c r="X551" i="17"/>
  <c r="BA551" i="17"/>
  <c r="BB551" i="17"/>
  <c r="T552" i="17"/>
  <c r="X552" i="17"/>
  <c r="BA552" i="17"/>
  <c r="BB552" i="17"/>
  <c r="T553" i="17"/>
  <c r="X553" i="17"/>
  <c r="BA553" i="17"/>
  <c r="BB553" i="17"/>
  <c r="T554" i="17"/>
  <c r="X554" i="17"/>
  <c r="BA554" i="17"/>
  <c r="BB554" i="17"/>
  <c r="T555" i="17"/>
  <c r="X555" i="17"/>
  <c r="BA555" i="17"/>
  <c r="BB555" i="17"/>
  <c r="T556" i="17"/>
  <c r="X556" i="17"/>
  <c r="BA556" i="17"/>
  <c r="BB556" i="17"/>
  <c r="T557" i="17"/>
  <c r="X557" i="17"/>
  <c r="BA557" i="17"/>
  <c r="BB557" i="17"/>
  <c r="T558" i="17"/>
  <c r="X558" i="17"/>
  <c r="BA558" i="17"/>
  <c r="BB558" i="17"/>
  <c r="T559" i="17"/>
  <c r="X559" i="17"/>
  <c r="BA559" i="17"/>
  <c r="BB559" i="17"/>
  <c r="T560" i="17"/>
  <c r="X560" i="17"/>
  <c r="BA560" i="17"/>
  <c r="BB560" i="17"/>
  <c r="T561" i="17"/>
  <c r="X561" i="17"/>
  <c r="BA561" i="17"/>
  <c r="BB561" i="17"/>
  <c r="T562" i="17"/>
  <c r="X562" i="17"/>
  <c r="BA562" i="17"/>
  <c r="BB562" i="17"/>
  <c r="T563" i="17"/>
  <c r="X563" i="17"/>
  <c r="BA563" i="17"/>
  <c r="BB563" i="17"/>
  <c r="T564" i="17"/>
  <c r="X564" i="17"/>
  <c r="BA564" i="17"/>
  <c r="BB564" i="17"/>
  <c r="T565" i="17"/>
  <c r="X565" i="17"/>
  <c r="BA565" i="17"/>
  <c r="BB565" i="17"/>
  <c r="T566" i="17"/>
  <c r="X566" i="17"/>
  <c r="BA566" i="17"/>
  <c r="BB566" i="17"/>
  <c r="T567" i="17"/>
  <c r="X567" i="17"/>
  <c r="BA567" i="17"/>
  <c r="BB567" i="17"/>
  <c r="T568" i="17"/>
  <c r="X568" i="17"/>
  <c r="BA568" i="17"/>
  <c r="BB568" i="17"/>
  <c r="T569" i="17"/>
  <c r="X569" i="17"/>
  <c r="BA569" i="17"/>
  <c r="BB569" i="17"/>
  <c r="T570" i="17"/>
  <c r="X570" i="17"/>
  <c r="BA570" i="17"/>
  <c r="BB570" i="17"/>
  <c r="T571" i="17"/>
  <c r="X571" i="17"/>
  <c r="BA571" i="17"/>
  <c r="BB571" i="17"/>
  <c r="T572" i="17"/>
  <c r="X572" i="17"/>
  <c r="BA572" i="17"/>
  <c r="BB572" i="17"/>
  <c r="T573" i="17"/>
  <c r="X573" i="17"/>
  <c r="BA573" i="17"/>
  <c r="BB573" i="17"/>
  <c r="T574" i="17"/>
  <c r="X574" i="17"/>
  <c r="BA574" i="17"/>
  <c r="BB574" i="17"/>
  <c r="T575" i="17"/>
  <c r="X575" i="17"/>
  <c r="BA575" i="17"/>
  <c r="BB575" i="17"/>
  <c r="T576" i="17"/>
  <c r="X576" i="17"/>
  <c r="BA576" i="17"/>
  <c r="BB576" i="17"/>
  <c r="T577" i="17"/>
  <c r="X577" i="17"/>
  <c r="BA577" i="17"/>
  <c r="BB577" i="17"/>
  <c r="T578" i="17"/>
  <c r="X578" i="17"/>
  <c r="BA578" i="17"/>
  <c r="BB578" i="17"/>
  <c r="T579" i="17"/>
  <c r="X579" i="17"/>
  <c r="BA579" i="17"/>
  <c r="BB579" i="17"/>
  <c r="T580" i="17"/>
  <c r="X580" i="17"/>
  <c r="BA580" i="17"/>
  <c r="BB580" i="17"/>
  <c r="T581" i="17"/>
  <c r="X581" i="17"/>
  <c r="BA581" i="17"/>
  <c r="BB581" i="17"/>
  <c r="T582" i="17"/>
  <c r="X582" i="17"/>
  <c r="BA582" i="17"/>
  <c r="BB582" i="17"/>
  <c r="T583" i="17"/>
  <c r="X583" i="17"/>
  <c r="BA583" i="17"/>
  <c r="BB583" i="17"/>
  <c r="T584" i="17"/>
  <c r="X584" i="17"/>
  <c r="BA584" i="17"/>
  <c r="BB584" i="17"/>
  <c r="T585" i="17"/>
  <c r="X585" i="17"/>
  <c r="BA585" i="17"/>
  <c r="BB585" i="17"/>
  <c r="T586" i="17"/>
  <c r="X586" i="17"/>
  <c r="BA586" i="17"/>
  <c r="BB586" i="17"/>
  <c r="T587" i="17"/>
  <c r="X587" i="17"/>
  <c r="BA587" i="17"/>
  <c r="BB587" i="17"/>
  <c r="T588" i="17"/>
  <c r="X588" i="17"/>
  <c r="BA588" i="17"/>
  <c r="BB588" i="17"/>
  <c r="T589" i="17"/>
  <c r="X589" i="17"/>
  <c r="BA589" i="17"/>
  <c r="BB589" i="17"/>
  <c r="T590" i="17"/>
  <c r="X590" i="17"/>
  <c r="BA590" i="17"/>
  <c r="BB590" i="17"/>
  <c r="T591" i="17"/>
  <c r="X591" i="17"/>
  <c r="BA591" i="17"/>
  <c r="BB591" i="17"/>
  <c r="T592" i="17"/>
  <c r="X592" i="17"/>
  <c r="BA592" i="17"/>
  <c r="BB592" i="17"/>
  <c r="T593" i="17"/>
  <c r="X593" i="17"/>
  <c r="BA593" i="17"/>
  <c r="BB593" i="17"/>
  <c r="T594" i="17"/>
  <c r="X594" i="17"/>
  <c r="BA594" i="17"/>
  <c r="BB594" i="17"/>
  <c r="T595" i="17"/>
  <c r="X595" i="17"/>
  <c r="BA595" i="17"/>
  <c r="BB595" i="17"/>
  <c r="T596" i="17"/>
  <c r="X596" i="17"/>
  <c r="BA596" i="17"/>
  <c r="BB596" i="17"/>
  <c r="T597" i="17"/>
  <c r="X597" i="17"/>
  <c r="BA597" i="17"/>
  <c r="BB597" i="17"/>
  <c r="T598" i="17"/>
  <c r="X598" i="17"/>
  <c r="BA598" i="17"/>
  <c r="BB598" i="17"/>
  <c r="T599" i="17"/>
  <c r="X599" i="17"/>
  <c r="BA599" i="17"/>
  <c r="BB599" i="17"/>
  <c r="T600" i="17"/>
  <c r="X600" i="17"/>
  <c r="BA600" i="17"/>
  <c r="BB600" i="17"/>
  <c r="T601" i="17"/>
  <c r="X601" i="17"/>
  <c r="BA601" i="17"/>
  <c r="BB601" i="17"/>
  <c r="T602" i="17"/>
  <c r="X602" i="17"/>
  <c r="BA602" i="17"/>
  <c r="BB602" i="17"/>
  <c r="T603" i="17"/>
  <c r="X603" i="17"/>
  <c r="BA603" i="17"/>
  <c r="BB603" i="17"/>
  <c r="T604" i="17"/>
  <c r="X604" i="17"/>
  <c r="BA604" i="17"/>
  <c r="BB604" i="17"/>
  <c r="T605" i="17"/>
  <c r="X605" i="17"/>
  <c r="BA605" i="17"/>
  <c r="BB605" i="17"/>
  <c r="T606" i="17"/>
  <c r="X606" i="17"/>
  <c r="BA606" i="17"/>
  <c r="BB606" i="17"/>
  <c r="T607" i="17"/>
  <c r="X607" i="17"/>
  <c r="BA607" i="17"/>
  <c r="BB607" i="17"/>
  <c r="T608" i="17"/>
  <c r="X608" i="17"/>
  <c r="BA608" i="17"/>
  <c r="BB608" i="17"/>
  <c r="T609" i="17"/>
  <c r="X609" i="17"/>
  <c r="BA609" i="17"/>
  <c r="BB609" i="17"/>
  <c r="T610" i="17"/>
  <c r="X610" i="17"/>
  <c r="BA610" i="17"/>
  <c r="BB610" i="17"/>
  <c r="T611" i="17"/>
  <c r="X611" i="17"/>
  <c r="BA611" i="17"/>
  <c r="BB611" i="17"/>
  <c r="T612" i="17"/>
  <c r="X612" i="17"/>
  <c r="BA612" i="17"/>
  <c r="BB612" i="17"/>
  <c r="T613" i="17"/>
  <c r="X613" i="17"/>
  <c r="BA613" i="17"/>
  <c r="BB613" i="17"/>
  <c r="T614" i="17"/>
  <c r="X614" i="17"/>
  <c r="BA614" i="17"/>
  <c r="BB614" i="17"/>
  <c r="T615" i="17"/>
  <c r="X615" i="17"/>
  <c r="BA615" i="17"/>
  <c r="BB615" i="17"/>
  <c r="T616" i="17"/>
  <c r="X616" i="17"/>
  <c r="BA616" i="17"/>
  <c r="BB616" i="17"/>
  <c r="T617" i="17"/>
  <c r="X617" i="17"/>
  <c r="BA617" i="17"/>
  <c r="BB617" i="17"/>
  <c r="T618" i="17"/>
  <c r="X618" i="17"/>
  <c r="BA618" i="17"/>
  <c r="BB618" i="17"/>
  <c r="T619" i="17"/>
  <c r="X619" i="17"/>
  <c r="BA619" i="17"/>
  <c r="BB619" i="17"/>
  <c r="T620" i="17"/>
  <c r="X620" i="17"/>
  <c r="BA620" i="17"/>
  <c r="BB620" i="17"/>
  <c r="T621" i="17"/>
  <c r="X621" i="17"/>
  <c r="BA621" i="17"/>
  <c r="BB621" i="17"/>
  <c r="T622" i="17"/>
  <c r="X622" i="17"/>
  <c r="BA622" i="17"/>
  <c r="BB622" i="17"/>
  <c r="T623" i="17"/>
  <c r="X623" i="17"/>
  <c r="BA623" i="17"/>
  <c r="BB623" i="17"/>
  <c r="T624" i="17"/>
  <c r="X624" i="17"/>
  <c r="BA624" i="17"/>
  <c r="BB624" i="17"/>
  <c r="T625" i="17"/>
  <c r="X625" i="17"/>
  <c r="BA625" i="17"/>
  <c r="BB625" i="17"/>
  <c r="T626" i="17"/>
  <c r="X626" i="17"/>
  <c r="BA626" i="17"/>
  <c r="BB626" i="17"/>
  <c r="T627" i="17"/>
  <c r="X627" i="17"/>
  <c r="BA627" i="17"/>
  <c r="BB627" i="17"/>
  <c r="T628" i="17"/>
  <c r="X628" i="17"/>
  <c r="BA628" i="17"/>
  <c r="BB628" i="17"/>
  <c r="T629" i="17"/>
  <c r="X629" i="17"/>
  <c r="BA629" i="17"/>
  <c r="BB629" i="17"/>
  <c r="T630" i="17"/>
  <c r="X630" i="17"/>
  <c r="BA630" i="17"/>
  <c r="BB630" i="17"/>
  <c r="T631" i="17"/>
  <c r="X631" i="17"/>
  <c r="BA631" i="17"/>
  <c r="BB631" i="17"/>
  <c r="T632" i="17"/>
  <c r="X632" i="17"/>
  <c r="BA632" i="17"/>
  <c r="BB632" i="17"/>
  <c r="T633" i="17"/>
  <c r="X633" i="17"/>
  <c r="BA633" i="17"/>
  <c r="BB633" i="17"/>
  <c r="T634" i="17"/>
  <c r="X634" i="17"/>
  <c r="BA634" i="17"/>
  <c r="BB634" i="17"/>
  <c r="T635" i="17"/>
  <c r="X635" i="17"/>
  <c r="BA635" i="17"/>
  <c r="BB635" i="17"/>
  <c r="T636" i="17"/>
  <c r="X636" i="17"/>
  <c r="BA636" i="17"/>
  <c r="BB636" i="17"/>
  <c r="T637" i="17"/>
  <c r="X637" i="17"/>
  <c r="BA637" i="17"/>
  <c r="BB637" i="17"/>
  <c r="T638" i="17"/>
  <c r="X638" i="17"/>
  <c r="BA638" i="17"/>
  <c r="BB638" i="17"/>
  <c r="T639" i="17"/>
  <c r="X639" i="17"/>
  <c r="BA639" i="17"/>
  <c r="BB639" i="17"/>
  <c r="T640" i="17"/>
  <c r="X640" i="17"/>
  <c r="BA640" i="17"/>
  <c r="BB640" i="17"/>
  <c r="T641" i="17"/>
  <c r="X641" i="17"/>
  <c r="BA641" i="17"/>
  <c r="BB641" i="17"/>
  <c r="T642" i="17"/>
  <c r="X642" i="17"/>
  <c r="BA642" i="17"/>
  <c r="BB642" i="17"/>
  <c r="T643" i="17"/>
  <c r="X643" i="17"/>
  <c r="BA643" i="17"/>
  <c r="BB643" i="17"/>
  <c r="T644" i="17"/>
  <c r="X644" i="17"/>
  <c r="BA644" i="17"/>
  <c r="BB644" i="17"/>
  <c r="T645" i="17"/>
  <c r="X645" i="17"/>
  <c r="BA645" i="17"/>
  <c r="BB645" i="17"/>
  <c r="T646" i="17"/>
  <c r="X646" i="17"/>
  <c r="BA646" i="17"/>
  <c r="BB646" i="17"/>
  <c r="T647" i="17"/>
  <c r="X647" i="17"/>
  <c r="BA647" i="17"/>
  <c r="BB647" i="17"/>
  <c r="T648" i="17"/>
  <c r="X648" i="17"/>
  <c r="BA648" i="17"/>
  <c r="BB648" i="17"/>
  <c r="T649" i="17"/>
  <c r="X649" i="17"/>
  <c r="BA649" i="17"/>
  <c r="BB649" i="17"/>
  <c r="T650" i="17"/>
  <c r="X650" i="17"/>
  <c r="BA650" i="17"/>
  <c r="BB650" i="17"/>
  <c r="T651" i="17"/>
  <c r="X651" i="17"/>
  <c r="BA651" i="17"/>
  <c r="BB651" i="17"/>
  <c r="T652" i="17"/>
  <c r="X652" i="17"/>
  <c r="BA652" i="17"/>
  <c r="BB652" i="17"/>
  <c r="T653" i="17"/>
  <c r="X653" i="17"/>
  <c r="BA653" i="17"/>
  <c r="BB653" i="17"/>
  <c r="T654" i="17"/>
  <c r="X654" i="17"/>
  <c r="BA654" i="17"/>
  <c r="BB654" i="17"/>
  <c r="T655" i="17"/>
  <c r="X655" i="17"/>
  <c r="BA655" i="17"/>
  <c r="BB655" i="17"/>
  <c r="T656" i="17"/>
  <c r="X656" i="17"/>
  <c r="BA656" i="17"/>
  <c r="BB656" i="17"/>
  <c r="T657" i="17"/>
  <c r="X657" i="17"/>
  <c r="BA657" i="17"/>
  <c r="BB657" i="17"/>
  <c r="T658" i="17"/>
  <c r="X658" i="17"/>
  <c r="BA658" i="17"/>
  <c r="BB658" i="17"/>
  <c r="T659" i="17"/>
  <c r="X659" i="17"/>
  <c r="BA659" i="17"/>
  <c r="BB659" i="17"/>
  <c r="T660" i="17"/>
  <c r="X660" i="17"/>
  <c r="BA660" i="17"/>
  <c r="BB660" i="17"/>
  <c r="T661" i="17"/>
  <c r="X661" i="17"/>
  <c r="BA661" i="17"/>
  <c r="BB661" i="17"/>
  <c r="T662" i="17"/>
  <c r="X662" i="17"/>
  <c r="BA662" i="17"/>
  <c r="BB662" i="17"/>
  <c r="T663" i="17"/>
  <c r="X663" i="17"/>
  <c r="BA663" i="17"/>
  <c r="BB663" i="17"/>
  <c r="T664" i="17"/>
  <c r="X664" i="17"/>
  <c r="BA664" i="17"/>
  <c r="BB664" i="17"/>
  <c r="T665" i="17"/>
  <c r="X665" i="17"/>
  <c r="BA665" i="17"/>
  <c r="BB665" i="17"/>
  <c r="T666" i="17"/>
  <c r="X666" i="17"/>
  <c r="BA666" i="17"/>
  <c r="BB666" i="17"/>
  <c r="T667" i="17"/>
  <c r="X667" i="17"/>
  <c r="BA667" i="17"/>
  <c r="BB667" i="17"/>
  <c r="T668" i="17"/>
  <c r="X668" i="17"/>
  <c r="BA668" i="17"/>
  <c r="BB668" i="17"/>
  <c r="T669" i="17"/>
  <c r="X669" i="17"/>
  <c r="BA669" i="17"/>
  <c r="BB669" i="17"/>
  <c r="T670" i="17"/>
  <c r="X670" i="17"/>
  <c r="BA670" i="17"/>
  <c r="BB670" i="17"/>
  <c r="T671" i="17"/>
  <c r="X671" i="17"/>
  <c r="BA671" i="17"/>
  <c r="BB671" i="17"/>
  <c r="T672" i="17"/>
  <c r="X672" i="17"/>
  <c r="BA672" i="17"/>
  <c r="BB672" i="17"/>
  <c r="T673" i="17"/>
  <c r="X673" i="17"/>
  <c r="BA673" i="17"/>
  <c r="BB673" i="17"/>
  <c r="T674" i="17"/>
  <c r="X674" i="17"/>
  <c r="BA674" i="17"/>
  <c r="BB674" i="17"/>
  <c r="T675" i="17"/>
  <c r="X675" i="17"/>
  <c r="BA675" i="17"/>
  <c r="BB675" i="17"/>
  <c r="T676" i="17"/>
  <c r="X676" i="17"/>
  <c r="BA676" i="17"/>
  <c r="BB676" i="17"/>
  <c r="T677" i="17"/>
  <c r="X677" i="17"/>
  <c r="BA677" i="17"/>
  <c r="BB677" i="17"/>
  <c r="T678" i="17"/>
  <c r="X678" i="17"/>
  <c r="BA678" i="17"/>
  <c r="BB678" i="17"/>
  <c r="T679" i="17"/>
  <c r="X679" i="17"/>
  <c r="BA679" i="17"/>
  <c r="BB679" i="17"/>
  <c r="T680" i="17"/>
  <c r="X680" i="17"/>
  <c r="BA680" i="17"/>
  <c r="BB680" i="17"/>
  <c r="T681" i="17"/>
  <c r="X681" i="17"/>
  <c r="BA681" i="17"/>
  <c r="BB681" i="17"/>
  <c r="T682" i="17"/>
  <c r="X682" i="17"/>
  <c r="BA682" i="17"/>
  <c r="BB682" i="17"/>
  <c r="T683" i="17"/>
  <c r="X683" i="17"/>
  <c r="BA683" i="17"/>
  <c r="BB683" i="17"/>
  <c r="T684" i="17"/>
  <c r="X684" i="17"/>
  <c r="BA684" i="17"/>
  <c r="BB684" i="17"/>
  <c r="T685" i="17"/>
  <c r="X685" i="17"/>
  <c r="BA685" i="17"/>
  <c r="BB685" i="17"/>
  <c r="T686" i="17"/>
  <c r="X686" i="17"/>
  <c r="BA686" i="17"/>
  <c r="BB686" i="17"/>
  <c r="T687" i="17"/>
  <c r="X687" i="17"/>
  <c r="BA687" i="17"/>
  <c r="BB687" i="17"/>
  <c r="T688" i="17"/>
  <c r="X688" i="17"/>
  <c r="BA688" i="17"/>
  <c r="BB688" i="17"/>
  <c r="T689" i="17"/>
  <c r="X689" i="17"/>
  <c r="BA689" i="17"/>
  <c r="BB689" i="17"/>
  <c r="T690" i="17"/>
  <c r="X690" i="17"/>
  <c r="BA690" i="17"/>
  <c r="BB690" i="17"/>
  <c r="T691" i="17"/>
  <c r="X691" i="17"/>
  <c r="BA691" i="17"/>
  <c r="BB691" i="17"/>
  <c r="T692" i="17"/>
  <c r="X692" i="17"/>
  <c r="BA692" i="17"/>
  <c r="BB692" i="17"/>
  <c r="T693" i="17"/>
  <c r="X693" i="17"/>
  <c r="BA693" i="17"/>
  <c r="BB693" i="17"/>
  <c r="T694" i="17"/>
  <c r="X694" i="17"/>
  <c r="BA694" i="17"/>
  <c r="BB694" i="17"/>
  <c r="T695" i="17"/>
  <c r="X695" i="17"/>
  <c r="BA695" i="17"/>
  <c r="BB695" i="17"/>
  <c r="T696" i="17"/>
  <c r="X696" i="17"/>
  <c r="BA696" i="17"/>
  <c r="BB696" i="17"/>
  <c r="T697" i="17"/>
  <c r="X697" i="17"/>
  <c r="BA697" i="17"/>
  <c r="BB697" i="17"/>
  <c r="T698" i="17"/>
  <c r="X698" i="17"/>
  <c r="BA698" i="17"/>
  <c r="BB698" i="17"/>
  <c r="T699" i="17"/>
  <c r="X699" i="17"/>
  <c r="BA699" i="17"/>
  <c r="BB699" i="17"/>
  <c r="T700" i="17"/>
  <c r="X700" i="17"/>
  <c r="BA700" i="17"/>
  <c r="BB700" i="17"/>
  <c r="T701" i="17"/>
  <c r="X701" i="17"/>
  <c r="BA701" i="17"/>
  <c r="BB701" i="17"/>
  <c r="T702" i="17"/>
  <c r="X702" i="17"/>
  <c r="BA702" i="17"/>
  <c r="BB702" i="17"/>
  <c r="T703" i="17"/>
  <c r="X703" i="17"/>
  <c r="BA703" i="17"/>
  <c r="BB703" i="17"/>
  <c r="T704" i="17"/>
  <c r="X704" i="17"/>
  <c r="BA704" i="17"/>
  <c r="BB704" i="17"/>
  <c r="T705" i="17"/>
  <c r="X705" i="17"/>
  <c r="BA705" i="17"/>
  <c r="BB705" i="17"/>
  <c r="T706" i="17"/>
  <c r="X706" i="17"/>
  <c r="BA706" i="17"/>
  <c r="BB706" i="17"/>
  <c r="T707" i="17"/>
  <c r="X707" i="17"/>
  <c r="BA707" i="17"/>
  <c r="BB707" i="17"/>
  <c r="T708" i="17"/>
  <c r="X708" i="17"/>
  <c r="BA708" i="17"/>
  <c r="BB708" i="17"/>
  <c r="T709" i="17"/>
  <c r="X709" i="17"/>
  <c r="BA709" i="17"/>
  <c r="BB709" i="17"/>
  <c r="T710" i="17"/>
  <c r="X710" i="17"/>
  <c r="BA710" i="17"/>
  <c r="BB710" i="17"/>
  <c r="T711" i="17"/>
  <c r="X711" i="17"/>
  <c r="BA711" i="17"/>
  <c r="BB711" i="17"/>
  <c r="T712" i="17"/>
  <c r="X712" i="17"/>
  <c r="BA712" i="17"/>
  <c r="BB712" i="17"/>
  <c r="T713" i="17"/>
  <c r="X713" i="17"/>
  <c r="BA713" i="17"/>
  <c r="BB713" i="17"/>
  <c r="T714" i="17"/>
  <c r="X714" i="17"/>
  <c r="BA714" i="17"/>
  <c r="BB714" i="17"/>
  <c r="T715" i="17"/>
  <c r="X715" i="17"/>
  <c r="BA715" i="17"/>
  <c r="BB715" i="17"/>
  <c r="T716" i="17"/>
  <c r="X716" i="17"/>
  <c r="BA716" i="17"/>
  <c r="BB716" i="17"/>
  <c r="T717" i="17"/>
  <c r="X717" i="17"/>
  <c r="BA717" i="17"/>
  <c r="BB717" i="17"/>
  <c r="T718" i="17"/>
  <c r="X718" i="17"/>
  <c r="BA718" i="17"/>
  <c r="BB718" i="17"/>
  <c r="T719" i="17"/>
  <c r="X719" i="17"/>
  <c r="BA719" i="17"/>
  <c r="BB719" i="17"/>
  <c r="T720" i="17"/>
  <c r="X720" i="17"/>
  <c r="BA720" i="17"/>
  <c r="BB720" i="17"/>
  <c r="T721" i="17"/>
  <c r="X721" i="17"/>
  <c r="BA721" i="17"/>
  <c r="BB721" i="17"/>
  <c r="T722" i="17"/>
  <c r="X722" i="17"/>
  <c r="BA722" i="17"/>
  <c r="BB722" i="17"/>
  <c r="T723" i="17"/>
  <c r="X723" i="17"/>
  <c r="BA723" i="17"/>
  <c r="BB723" i="17"/>
  <c r="T724" i="17"/>
  <c r="X724" i="17"/>
  <c r="BA724" i="17"/>
  <c r="BB724" i="17"/>
  <c r="T725" i="17"/>
  <c r="X725" i="17"/>
  <c r="BA725" i="17"/>
  <c r="BB725" i="17"/>
  <c r="T726" i="17"/>
  <c r="X726" i="17"/>
  <c r="BA726" i="17"/>
  <c r="BB726" i="17"/>
  <c r="T727" i="17"/>
  <c r="X727" i="17"/>
  <c r="BA727" i="17"/>
  <c r="BB727" i="17"/>
  <c r="T728" i="17"/>
  <c r="X728" i="17"/>
  <c r="BA728" i="17"/>
  <c r="BB728" i="17"/>
  <c r="T729" i="17"/>
  <c r="X729" i="17"/>
  <c r="BA729" i="17"/>
  <c r="BB729" i="17"/>
  <c r="T730" i="17"/>
  <c r="X730" i="17"/>
  <c r="BA730" i="17"/>
  <c r="BB730" i="17"/>
  <c r="T731" i="17"/>
  <c r="X731" i="17"/>
  <c r="BA731" i="17"/>
  <c r="BB731" i="17"/>
  <c r="T732" i="17"/>
  <c r="X732" i="17"/>
  <c r="BA732" i="17"/>
  <c r="BB732" i="17"/>
  <c r="T733" i="17"/>
  <c r="X733" i="17"/>
  <c r="BA733" i="17"/>
  <c r="BB733" i="17"/>
  <c r="T734" i="17"/>
  <c r="X734" i="17"/>
  <c r="BA734" i="17"/>
  <c r="BB734" i="17"/>
  <c r="T735" i="17"/>
  <c r="X735" i="17"/>
  <c r="BA735" i="17"/>
  <c r="BB735" i="17"/>
  <c r="T736" i="17"/>
  <c r="X736" i="17"/>
  <c r="BA736" i="17"/>
  <c r="BB736" i="17"/>
  <c r="BB7" i="17"/>
  <c r="BA7" i="17"/>
  <c r="X7" i="17"/>
  <c r="T7" i="17"/>
  <c r="BG6" i="17"/>
  <c r="AW6" i="17"/>
  <c r="P6" i="17"/>
  <c r="BG6" i="16"/>
  <c r="BB8" i="16"/>
  <c r="BB9" i="16"/>
  <c r="BB10" i="16"/>
  <c r="BB11" i="16"/>
  <c r="BB12" i="16"/>
  <c r="BB13" i="16"/>
  <c r="BB14" i="16"/>
  <c r="BB15" i="16"/>
  <c r="BB16" i="16"/>
  <c r="BB17" i="16"/>
  <c r="BB18" i="16"/>
  <c r="BB19" i="16"/>
  <c r="BB20" i="16"/>
  <c r="BB21" i="16"/>
  <c r="BB22" i="16"/>
  <c r="BB23" i="16"/>
  <c r="BB24" i="16"/>
  <c r="BB25" i="16"/>
  <c r="BB26" i="16"/>
  <c r="BB27" i="16"/>
  <c r="BB28" i="16"/>
  <c r="BB29" i="16"/>
  <c r="BB30" i="16"/>
  <c r="BB31" i="16"/>
  <c r="BB32" i="16"/>
  <c r="BB33" i="16"/>
  <c r="BB34" i="16"/>
  <c r="BB35" i="16"/>
  <c r="BB36" i="16"/>
  <c r="BB37" i="16"/>
  <c r="BB38" i="16"/>
  <c r="BB39" i="16"/>
  <c r="BB40" i="16"/>
  <c r="BB41" i="16"/>
  <c r="BB42" i="16"/>
  <c r="BB43" i="16"/>
  <c r="BB44" i="16"/>
  <c r="BB45" i="16"/>
  <c r="BB46" i="16"/>
  <c r="BB47" i="16"/>
  <c r="BB48" i="16"/>
  <c r="BB49" i="16"/>
  <c r="BB50" i="16"/>
  <c r="BB51" i="16"/>
  <c r="BB52" i="16"/>
  <c r="BB53" i="16"/>
  <c r="BB54" i="16"/>
  <c r="BB55" i="16"/>
  <c r="BB56" i="16"/>
  <c r="BB57" i="16"/>
  <c r="BB58" i="16"/>
  <c r="BB59" i="16"/>
  <c r="BB60" i="16"/>
  <c r="BB61" i="16"/>
  <c r="BB62" i="16"/>
  <c r="BB63" i="16"/>
  <c r="BB64" i="16"/>
  <c r="BB65" i="16"/>
  <c r="BB66" i="16"/>
  <c r="BB67" i="16"/>
  <c r="BB68" i="16"/>
  <c r="BB69" i="16"/>
  <c r="BB70" i="16"/>
  <c r="BB71" i="16"/>
  <c r="BB72" i="16"/>
  <c r="BB73" i="16"/>
  <c r="BB74" i="16"/>
  <c r="BB75" i="16"/>
  <c r="BB76" i="16"/>
  <c r="BB77" i="16"/>
  <c r="BB78" i="16"/>
  <c r="BB79" i="16"/>
  <c r="BB80" i="16"/>
  <c r="BB81" i="16"/>
  <c r="BB82" i="16"/>
  <c r="BB83" i="16"/>
  <c r="BB84" i="16"/>
  <c r="BB85" i="16"/>
  <c r="BB86" i="16"/>
  <c r="BB87" i="16"/>
  <c r="BB88" i="16"/>
  <c r="BB89" i="16"/>
  <c r="BB90" i="16"/>
  <c r="BB91" i="16"/>
  <c r="BB92" i="16"/>
  <c r="BB93" i="16"/>
  <c r="BB94" i="16"/>
  <c r="BB95" i="16"/>
  <c r="BB96" i="16"/>
  <c r="BB97" i="16"/>
  <c r="BB98" i="16"/>
  <c r="BB99" i="16"/>
  <c r="BB100" i="16"/>
  <c r="BB101" i="16"/>
  <c r="BB102" i="16"/>
  <c r="BB103" i="16"/>
  <c r="BB104" i="16"/>
  <c r="BB105" i="16"/>
  <c r="BB106" i="16"/>
  <c r="BB107" i="16"/>
  <c r="BB108" i="16"/>
  <c r="BB109" i="16"/>
  <c r="BB110" i="16"/>
  <c r="BB111" i="16"/>
  <c r="BB112" i="16"/>
  <c r="BB113" i="16"/>
  <c r="BB114" i="16"/>
  <c r="BB115" i="16"/>
  <c r="BB116" i="16"/>
  <c r="BB117" i="16"/>
  <c r="BB118" i="16"/>
  <c r="BB119" i="16"/>
  <c r="BB120" i="16"/>
  <c r="BB121" i="16"/>
  <c r="BB122" i="16"/>
  <c r="BB123" i="16"/>
  <c r="BB124" i="16"/>
  <c r="BB125" i="16"/>
  <c r="BB126" i="16"/>
  <c r="BB127" i="16"/>
  <c r="BB128" i="16"/>
  <c r="BB129" i="16"/>
  <c r="BB130" i="16"/>
  <c r="BB131" i="16"/>
  <c r="BB132" i="16"/>
  <c r="BB133" i="16"/>
  <c r="BB134" i="16"/>
  <c r="BB135" i="16"/>
  <c r="BB136" i="16"/>
  <c r="BB137" i="16"/>
  <c r="BB138" i="16"/>
  <c r="BB139" i="16"/>
  <c r="BB140" i="16"/>
  <c r="BB141" i="16"/>
  <c r="BB142" i="16"/>
  <c r="BB143" i="16"/>
  <c r="BB144" i="16"/>
  <c r="BB145" i="16"/>
  <c r="BB146" i="16"/>
  <c r="BB147" i="16"/>
  <c r="BB148" i="16"/>
  <c r="BB149" i="16"/>
  <c r="BB150" i="16"/>
  <c r="BB151" i="16"/>
  <c r="BB152" i="16"/>
  <c r="BB153" i="16"/>
  <c r="BB154" i="16"/>
  <c r="BB155" i="16"/>
  <c r="BB156" i="16"/>
  <c r="BB157" i="16"/>
  <c r="BB158" i="16"/>
  <c r="BB159" i="16"/>
  <c r="BB160" i="16"/>
  <c r="BB161" i="16"/>
  <c r="BB162" i="16"/>
  <c r="BB163" i="16"/>
  <c r="BB164" i="16"/>
  <c r="BB165" i="16"/>
  <c r="BB166" i="16"/>
  <c r="BB167" i="16"/>
  <c r="BB168" i="16"/>
  <c r="BB169" i="16"/>
  <c r="BB170" i="16"/>
  <c r="BB171" i="16"/>
  <c r="BB172" i="16"/>
  <c r="BB173" i="16"/>
  <c r="BB174" i="16"/>
  <c r="BB175" i="16"/>
  <c r="BB176" i="16"/>
  <c r="BB177" i="16"/>
  <c r="BB178" i="16"/>
  <c r="BB179" i="16"/>
  <c r="BB180" i="16"/>
  <c r="BB181" i="16"/>
  <c r="BB182" i="16"/>
  <c r="BB183" i="16"/>
  <c r="BB184" i="16"/>
  <c r="BB185" i="16"/>
  <c r="BB186" i="16"/>
  <c r="BB187" i="16"/>
  <c r="BB188" i="16"/>
  <c r="BB189" i="16"/>
  <c r="BB190" i="16"/>
  <c r="BB191" i="16"/>
  <c r="BB192" i="16"/>
  <c r="BB193" i="16"/>
  <c r="BB194" i="16"/>
  <c r="BB195" i="16"/>
  <c r="BB196" i="16"/>
  <c r="BB197" i="16"/>
  <c r="BB198" i="16"/>
  <c r="BB199" i="16"/>
  <c r="BB200" i="16"/>
  <c r="BB201" i="16"/>
  <c r="BB202" i="16"/>
  <c r="BB203" i="16"/>
  <c r="BB204" i="16"/>
  <c r="BB205" i="16"/>
  <c r="BB206" i="16"/>
  <c r="BB207" i="16"/>
  <c r="BB208" i="16"/>
  <c r="BB209" i="16"/>
  <c r="BB210" i="16"/>
  <c r="BB211" i="16"/>
  <c r="BB212" i="16"/>
  <c r="BB213" i="16"/>
  <c r="BB214" i="16"/>
  <c r="BB215" i="16"/>
  <c r="BB216" i="16"/>
  <c r="BB217" i="16"/>
  <c r="BB218" i="16"/>
  <c r="BB219" i="16"/>
  <c r="BB220" i="16"/>
  <c r="BB221" i="16"/>
  <c r="BB222" i="16"/>
  <c r="BB223" i="16"/>
  <c r="BB224" i="16"/>
  <c r="BB225" i="16"/>
  <c r="BB226" i="16"/>
  <c r="BB227" i="16"/>
  <c r="BB228" i="16"/>
  <c r="BB229" i="16"/>
  <c r="BB230" i="16"/>
  <c r="BB231" i="16"/>
  <c r="BB232" i="16"/>
  <c r="BB233" i="16"/>
  <c r="BB234" i="16"/>
  <c r="BB235" i="16"/>
  <c r="BB236" i="16"/>
  <c r="BB237" i="16"/>
  <c r="BB238" i="16"/>
  <c r="BB239" i="16"/>
  <c r="BB240" i="16"/>
  <c r="BB241" i="16"/>
  <c r="BB242" i="16"/>
  <c r="BB243" i="16"/>
  <c r="BB244" i="16"/>
  <c r="BB245" i="16"/>
  <c r="BB246" i="16"/>
  <c r="BB247" i="16"/>
  <c r="BB248" i="16"/>
  <c r="BB249" i="16"/>
  <c r="BB250" i="16"/>
  <c r="BB251" i="16"/>
  <c r="BB252" i="16"/>
  <c r="BB253" i="16"/>
  <c r="BB254" i="16"/>
  <c r="BB255" i="16"/>
  <c r="BB256" i="16"/>
  <c r="BB257" i="16"/>
  <c r="BB258" i="16"/>
  <c r="BB259" i="16"/>
  <c r="BB260" i="16"/>
  <c r="BB261" i="16"/>
  <c r="BB262" i="16"/>
  <c r="BB263" i="16"/>
  <c r="BB264" i="16"/>
  <c r="BB265" i="16"/>
  <c r="BB266" i="16"/>
  <c r="BB267" i="16"/>
  <c r="BB268" i="16"/>
  <c r="BB269" i="16"/>
  <c r="BB270" i="16"/>
  <c r="BB271" i="16"/>
  <c r="BB272" i="16"/>
  <c r="BB273" i="16"/>
  <c r="BB274" i="16"/>
  <c r="BB275" i="16"/>
  <c r="BB276" i="16"/>
  <c r="BB277" i="16"/>
  <c r="BB278" i="16"/>
  <c r="BB279" i="16"/>
  <c r="BB280" i="16"/>
  <c r="BB281" i="16"/>
  <c r="BB282" i="16"/>
  <c r="BB283" i="16"/>
  <c r="BB284" i="16"/>
  <c r="BB285" i="16"/>
  <c r="BB286" i="16"/>
  <c r="BB287" i="16"/>
  <c r="BB288" i="16"/>
  <c r="BB289" i="16"/>
  <c r="BB290" i="16"/>
  <c r="BB291" i="16"/>
  <c r="BB292" i="16"/>
  <c r="BB293" i="16"/>
  <c r="BB294" i="16"/>
  <c r="BB295" i="16"/>
  <c r="BB296" i="16"/>
  <c r="BB297" i="16"/>
  <c r="BB298" i="16"/>
  <c r="BB299" i="16"/>
  <c r="BB300" i="16"/>
  <c r="BB301" i="16"/>
  <c r="BB302" i="16"/>
  <c r="BB303" i="16"/>
  <c r="BB304" i="16"/>
  <c r="BB305" i="16"/>
  <c r="BB306" i="16"/>
  <c r="BB307" i="16"/>
  <c r="BB308" i="16"/>
  <c r="BB309" i="16"/>
  <c r="BB310" i="16"/>
  <c r="BB311" i="16"/>
  <c r="BB312" i="16"/>
  <c r="BB313" i="16"/>
  <c r="BB314" i="16"/>
  <c r="BB315" i="16"/>
  <c r="BB316" i="16"/>
  <c r="BB317" i="16"/>
  <c r="BB318" i="16"/>
  <c r="BB319" i="16"/>
  <c r="BB320" i="16"/>
  <c r="BB321" i="16"/>
  <c r="BB322" i="16"/>
  <c r="BB323" i="16"/>
  <c r="BB324" i="16"/>
  <c r="BB325" i="16"/>
  <c r="BB326" i="16"/>
  <c r="BB327" i="16"/>
  <c r="BB328" i="16"/>
  <c r="BB329" i="16"/>
  <c r="BB330" i="16"/>
  <c r="BB331" i="16"/>
  <c r="BB332" i="16"/>
  <c r="BB333" i="16"/>
  <c r="BB334" i="16"/>
  <c r="BB335" i="16"/>
  <c r="BB336" i="16"/>
  <c r="BB337" i="16"/>
  <c r="BB338" i="16"/>
  <c r="BB339" i="16"/>
  <c r="BB340" i="16"/>
  <c r="BB341" i="16"/>
  <c r="BB342" i="16"/>
  <c r="BB343" i="16"/>
  <c r="BB344" i="16"/>
  <c r="BB345" i="16"/>
  <c r="BB346" i="16"/>
  <c r="BB347" i="16"/>
  <c r="BB348" i="16"/>
  <c r="BB349" i="16"/>
  <c r="BB350" i="16"/>
  <c r="BB351" i="16"/>
  <c r="BB352" i="16"/>
  <c r="BB353" i="16"/>
  <c r="BB354" i="16"/>
  <c r="BB355" i="16"/>
  <c r="BB356" i="16"/>
  <c r="BB357" i="16"/>
  <c r="BB358" i="16"/>
  <c r="BB359" i="16"/>
  <c r="BB360" i="16"/>
  <c r="BB361" i="16"/>
  <c r="BB362" i="16"/>
  <c r="BB363" i="16"/>
  <c r="BB364" i="16"/>
  <c r="BB365" i="16"/>
  <c r="BB366" i="16"/>
  <c r="BB367" i="16"/>
  <c r="BB368" i="16"/>
  <c r="BB369" i="16"/>
  <c r="BB370" i="16"/>
  <c r="BB371" i="16"/>
  <c r="BB372" i="16"/>
  <c r="BB373" i="16"/>
  <c r="BB374" i="16"/>
  <c r="BB375" i="16"/>
  <c r="BB376" i="16"/>
  <c r="BB377" i="16"/>
  <c r="BB378" i="16"/>
  <c r="BB379" i="16"/>
  <c r="BB380" i="16"/>
  <c r="BB381" i="16"/>
  <c r="BB382" i="16"/>
  <c r="BB383" i="16"/>
  <c r="BB384" i="16"/>
  <c r="BB385" i="16"/>
  <c r="BB386" i="16"/>
  <c r="BB387" i="16"/>
  <c r="BB388" i="16"/>
  <c r="BB389" i="16"/>
  <c r="BB390" i="16"/>
  <c r="BB391" i="16"/>
  <c r="BB392" i="16"/>
  <c r="BB393" i="16"/>
  <c r="BB394" i="16"/>
  <c r="BB395" i="16"/>
  <c r="BB396" i="16"/>
  <c r="BB397" i="16"/>
  <c r="BB398" i="16"/>
  <c r="BB399" i="16"/>
  <c r="BB400" i="16"/>
  <c r="BB401" i="16"/>
  <c r="BB402" i="16"/>
  <c r="BB403" i="16"/>
  <c r="BB404" i="16"/>
  <c r="BB405" i="16"/>
  <c r="BB406" i="16"/>
  <c r="BB407" i="16"/>
  <c r="BB408" i="16"/>
  <c r="BB409" i="16"/>
  <c r="BB410" i="16"/>
  <c r="BB411" i="16"/>
  <c r="BB412" i="16"/>
  <c r="BB413" i="16"/>
  <c r="BB414" i="16"/>
  <c r="BB415" i="16"/>
  <c r="BB416" i="16"/>
  <c r="BB417" i="16"/>
  <c r="BB418" i="16"/>
  <c r="BB419" i="16"/>
  <c r="BB420" i="16"/>
  <c r="BB421" i="16"/>
  <c r="BB422" i="16"/>
  <c r="BB423" i="16"/>
  <c r="BB424" i="16"/>
  <c r="BB425" i="16"/>
  <c r="BB426" i="16"/>
  <c r="BB427" i="16"/>
  <c r="BB428" i="16"/>
  <c r="BB429" i="16"/>
  <c r="BB430" i="16"/>
  <c r="BB431" i="16"/>
  <c r="BB432" i="16"/>
  <c r="BB433" i="16"/>
  <c r="BB434" i="16"/>
  <c r="BB435" i="16"/>
  <c r="BB436" i="16"/>
  <c r="BB437" i="16"/>
  <c r="BB438" i="16"/>
  <c r="BB439" i="16"/>
  <c r="BB440" i="16"/>
  <c r="BB441" i="16"/>
  <c r="BB442" i="16"/>
  <c r="BB443" i="16"/>
  <c r="BB444" i="16"/>
  <c r="BB445" i="16"/>
  <c r="BB446" i="16"/>
  <c r="BB447" i="16"/>
  <c r="BB448" i="16"/>
  <c r="BB449" i="16"/>
  <c r="BB450" i="16"/>
  <c r="BB451" i="16"/>
  <c r="BB452" i="16"/>
  <c r="BB453" i="16"/>
  <c r="BB454" i="16"/>
  <c r="BB455" i="16"/>
  <c r="BB456" i="16"/>
  <c r="BB457" i="16"/>
  <c r="BB458" i="16"/>
  <c r="BB459" i="16"/>
  <c r="BB460" i="16"/>
  <c r="BB461" i="16"/>
  <c r="BB462" i="16"/>
  <c r="BB463" i="16"/>
  <c r="BB464" i="16"/>
  <c r="BB465" i="16"/>
  <c r="BB466" i="16"/>
  <c r="BB467" i="16"/>
  <c r="BB468" i="16"/>
  <c r="BB469" i="16"/>
  <c r="BB470" i="16"/>
  <c r="BB471" i="16"/>
  <c r="BB472" i="16"/>
  <c r="BB473" i="16"/>
  <c r="BB474" i="16"/>
  <c r="BB475" i="16"/>
  <c r="BB476" i="16"/>
  <c r="BB477" i="16"/>
  <c r="BB478" i="16"/>
  <c r="BB479" i="16"/>
  <c r="BB480" i="16"/>
  <c r="BB481" i="16"/>
  <c r="BB482" i="16"/>
  <c r="BB483" i="16"/>
  <c r="BB484" i="16"/>
  <c r="BB485" i="16"/>
  <c r="BB486" i="16"/>
  <c r="BB487" i="16"/>
  <c r="BB488" i="16"/>
  <c r="BB489" i="16"/>
  <c r="BB490" i="16"/>
  <c r="BB491" i="16"/>
  <c r="BB492" i="16"/>
  <c r="BB493" i="16"/>
  <c r="BB494" i="16"/>
  <c r="BB495" i="16"/>
  <c r="BB496" i="16"/>
  <c r="BB497" i="16"/>
  <c r="BB498" i="16"/>
  <c r="BB499" i="16"/>
  <c r="BB500" i="16"/>
  <c r="BB501" i="16"/>
  <c r="BB502" i="16"/>
  <c r="BB503" i="16"/>
  <c r="BB504" i="16"/>
  <c r="BB505" i="16"/>
  <c r="BB506" i="16"/>
  <c r="BB507" i="16"/>
  <c r="BB508" i="16"/>
  <c r="BB509" i="16"/>
  <c r="BB510" i="16"/>
  <c r="BB511" i="16"/>
  <c r="BB512" i="16"/>
  <c r="BB513" i="16"/>
  <c r="BB514" i="16"/>
  <c r="BB515" i="16"/>
  <c r="BB516" i="16"/>
  <c r="BB517" i="16"/>
  <c r="BB518" i="16"/>
  <c r="BB519" i="16"/>
  <c r="BB520" i="16"/>
  <c r="BB521" i="16"/>
  <c r="BB522" i="16"/>
  <c r="BB523" i="16"/>
  <c r="BB524" i="16"/>
  <c r="BB525" i="16"/>
  <c r="BB526" i="16"/>
  <c r="BB527" i="16"/>
  <c r="BB528" i="16"/>
  <c r="BB529" i="16"/>
  <c r="BB530" i="16"/>
  <c r="BB531" i="16"/>
  <c r="BB532" i="16"/>
  <c r="BB533" i="16"/>
  <c r="BB534" i="16"/>
  <c r="BB535" i="16"/>
  <c r="BB536" i="16"/>
  <c r="BB537" i="16"/>
  <c r="BB538" i="16"/>
  <c r="BB539" i="16"/>
  <c r="BB540" i="16"/>
  <c r="BB541" i="16"/>
  <c r="BB542" i="16"/>
  <c r="BB543" i="16"/>
  <c r="BB544" i="16"/>
  <c r="BB545" i="16"/>
  <c r="BB546" i="16"/>
  <c r="BB547" i="16"/>
  <c r="BB548" i="16"/>
  <c r="BB549" i="16"/>
  <c r="BB550" i="16"/>
  <c r="BB551" i="16"/>
  <c r="BB552" i="16"/>
  <c r="BB553" i="16"/>
  <c r="BB554" i="16"/>
  <c r="BB555" i="16"/>
  <c r="BB556" i="16"/>
  <c r="BB557" i="16"/>
  <c r="BB558" i="16"/>
  <c r="BB559" i="16"/>
  <c r="BB560" i="16"/>
  <c r="BB561" i="16"/>
  <c r="BB562" i="16"/>
  <c r="BB563" i="16"/>
  <c r="BB564" i="16"/>
  <c r="BB565" i="16"/>
  <c r="BB566" i="16"/>
  <c r="BB567" i="16"/>
  <c r="BB568" i="16"/>
  <c r="BB569" i="16"/>
  <c r="BB570" i="16"/>
  <c r="BB571" i="16"/>
  <c r="BB572" i="16"/>
  <c r="BB573" i="16"/>
  <c r="BB574" i="16"/>
  <c r="BB575" i="16"/>
  <c r="BB576" i="16"/>
  <c r="BB577" i="16"/>
  <c r="BB578" i="16"/>
  <c r="BB579" i="16"/>
  <c r="BB580" i="16"/>
  <c r="BB581" i="16"/>
  <c r="BB582" i="16"/>
  <c r="BB583" i="16"/>
  <c r="BB584" i="16"/>
  <c r="BB585" i="16"/>
  <c r="BB586" i="16"/>
  <c r="BB587" i="16"/>
  <c r="BB588" i="16"/>
  <c r="BB589" i="16"/>
  <c r="BB590" i="16"/>
  <c r="BB591" i="16"/>
  <c r="BB592" i="16"/>
  <c r="BB593" i="16"/>
  <c r="BB594" i="16"/>
  <c r="BB595" i="16"/>
  <c r="BB596" i="16"/>
  <c r="BB597" i="16"/>
  <c r="BB598" i="16"/>
  <c r="BB599" i="16"/>
  <c r="BB600" i="16"/>
  <c r="BB601" i="16"/>
  <c r="BB602" i="16"/>
  <c r="BB603" i="16"/>
  <c r="BB604" i="16"/>
  <c r="BB605" i="16"/>
  <c r="BB606" i="16"/>
  <c r="BB607" i="16"/>
  <c r="BB608" i="16"/>
  <c r="BB609" i="16"/>
  <c r="BB610" i="16"/>
  <c r="BB611" i="16"/>
  <c r="BB612" i="16"/>
  <c r="BB613" i="16"/>
  <c r="BB614" i="16"/>
  <c r="BB615" i="16"/>
  <c r="BB616" i="16"/>
  <c r="BB617" i="16"/>
  <c r="BB618" i="16"/>
  <c r="BB619" i="16"/>
  <c r="BB620" i="16"/>
  <c r="BB621" i="16"/>
  <c r="BB622" i="16"/>
  <c r="BB623" i="16"/>
  <c r="BB624" i="16"/>
  <c r="BB625" i="16"/>
  <c r="BB626" i="16"/>
  <c r="BB627" i="16"/>
  <c r="BB628" i="16"/>
  <c r="BB629" i="16"/>
  <c r="BB630" i="16"/>
  <c r="BB631" i="16"/>
  <c r="BB632" i="16"/>
  <c r="BB633" i="16"/>
  <c r="BB634" i="16"/>
  <c r="BB635" i="16"/>
  <c r="BB636" i="16"/>
  <c r="BB637" i="16"/>
  <c r="BB638" i="16"/>
  <c r="BB639" i="16"/>
  <c r="BB640" i="16"/>
  <c r="BB641" i="16"/>
  <c r="BB642" i="16"/>
  <c r="BB643" i="16"/>
  <c r="BB644" i="16"/>
  <c r="BB645" i="16"/>
  <c r="BB646" i="16"/>
  <c r="BB647" i="16"/>
  <c r="BB648" i="16"/>
  <c r="BB649" i="16"/>
  <c r="BB650" i="16"/>
  <c r="BB651" i="16"/>
  <c r="BB652" i="16"/>
  <c r="BB653" i="16"/>
  <c r="BB654" i="16"/>
  <c r="BB655" i="16"/>
  <c r="BB656" i="16"/>
  <c r="BB657" i="16"/>
  <c r="BB658" i="16"/>
  <c r="BB659" i="16"/>
  <c r="BB660" i="16"/>
  <c r="BB661" i="16"/>
  <c r="BB662" i="16"/>
  <c r="BB663" i="16"/>
  <c r="BB664" i="16"/>
  <c r="BB665" i="16"/>
  <c r="BB666" i="16"/>
  <c r="BB667" i="16"/>
  <c r="BB668" i="16"/>
  <c r="BB669" i="16"/>
  <c r="BB670" i="16"/>
  <c r="BB671" i="16"/>
  <c r="BB672" i="16"/>
  <c r="BB673" i="16"/>
  <c r="BB674" i="16"/>
  <c r="BB675" i="16"/>
  <c r="BB676" i="16"/>
  <c r="BB677" i="16"/>
  <c r="BB678" i="16"/>
  <c r="BB679" i="16"/>
  <c r="BB680" i="16"/>
  <c r="BB681" i="16"/>
  <c r="BB682" i="16"/>
  <c r="BB683" i="16"/>
  <c r="BB684" i="16"/>
  <c r="BB685" i="16"/>
  <c r="BB686" i="16"/>
  <c r="BB687" i="16"/>
  <c r="BB688" i="16"/>
  <c r="BB689" i="16"/>
  <c r="BB690" i="16"/>
  <c r="BB691" i="16"/>
  <c r="BB692" i="16"/>
  <c r="BB693" i="16"/>
  <c r="BB694" i="16"/>
  <c r="BB695" i="16"/>
  <c r="BB696" i="16"/>
  <c r="BB697" i="16"/>
  <c r="BB698" i="16"/>
  <c r="BB699" i="16"/>
  <c r="BB700" i="16"/>
  <c r="BB701" i="16"/>
  <c r="BB702" i="16"/>
  <c r="BB703" i="16"/>
  <c r="BB704" i="16"/>
  <c r="BB705" i="16"/>
  <c r="BB706" i="16"/>
  <c r="BB707" i="16"/>
  <c r="BB708" i="16"/>
  <c r="BB709" i="16"/>
  <c r="BB710" i="16"/>
  <c r="BB711" i="16"/>
  <c r="BB712" i="16"/>
  <c r="BB713" i="16"/>
  <c r="BB714" i="16"/>
  <c r="BB715" i="16"/>
  <c r="BB716" i="16"/>
  <c r="BB717" i="16"/>
  <c r="BB718" i="16"/>
  <c r="BB719" i="16"/>
  <c r="BB720" i="16"/>
  <c r="BB721" i="16"/>
  <c r="BB722" i="16"/>
  <c r="BB723" i="16"/>
  <c r="BB724" i="16"/>
  <c r="BB725" i="16"/>
  <c r="BB726" i="16"/>
  <c r="BB727" i="16"/>
  <c r="BB728" i="16"/>
  <c r="BB729" i="16"/>
  <c r="BB730" i="16"/>
  <c r="BB731" i="16"/>
  <c r="BB732" i="16"/>
  <c r="BB733" i="16"/>
  <c r="BB734" i="16"/>
  <c r="BB735" i="16"/>
  <c r="BB736" i="16"/>
  <c r="BB7" i="16"/>
  <c r="BA8" i="16"/>
  <c r="BA9" i="16"/>
  <c r="BA10" i="16"/>
  <c r="BA11" i="16"/>
  <c r="BA12" i="16"/>
  <c r="BA13" i="16"/>
  <c r="BA14" i="16"/>
  <c r="BA15" i="16"/>
  <c r="BA16" i="16"/>
  <c r="BA17" i="16"/>
  <c r="BA18" i="16"/>
  <c r="BA19" i="16"/>
  <c r="BA20" i="16"/>
  <c r="BA21" i="16"/>
  <c r="BA22" i="16"/>
  <c r="BA23" i="16"/>
  <c r="BA24" i="16"/>
  <c r="BA25" i="16"/>
  <c r="BA26" i="16"/>
  <c r="BA27" i="16"/>
  <c r="BA28" i="16"/>
  <c r="BA29" i="16"/>
  <c r="BA30" i="16"/>
  <c r="BA31" i="16"/>
  <c r="BA32" i="16"/>
  <c r="BA33" i="16"/>
  <c r="BA34" i="16"/>
  <c r="BA35" i="16"/>
  <c r="BA36" i="16"/>
  <c r="BA37" i="16"/>
  <c r="BA38" i="16"/>
  <c r="BA39" i="16"/>
  <c r="BA40" i="16"/>
  <c r="BA41" i="16"/>
  <c r="BA42" i="16"/>
  <c r="BA43" i="16"/>
  <c r="BA44" i="16"/>
  <c r="BA45" i="16"/>
  <c r="BA46" i="16"/>
  <c r="BA47" i="16"/>
  <c r="BA48" i="16"/>
  <c r="BA49" i="16"/>
  <c r="BA50" i="16"/>
  <c r="BA51" i="16"/>
  <c r="BA52" i="16"/>
  <c r="BA53" i="16"/>
  <c r="BA54" i="16"/>
  <c r="BA55" i="16"/>
  <c r="BA56" i="16"/>
  <c r="BA57" i="16"/>
  <c r="BA58" i="16"/>
  <c r="BA59" i="16"/>
  <c r="BA60" i="16"/>
  <c r="BA61" i="16"/>
  <c r="BA62" i="16"/>
  <c r="BA63" i="16"/>
  <c r="BA64" i="16"/>
  <c r="BA65" i="16"/>
  <c r="BA66" i="16"/>
  <c r="BA67" i="16"/>
  <c r="BA68" i="16"/>
  <c r="BA69" i="16"/>
  <c r="BA70" i="16"/>
  <c r="BA71" i="16"/>
  <c r="BA72" i="16"/>
  <c r="BA73" i="16"/>
  <c r="BA74" i="16"/>
  <c r="BA75" i="16"/>
  <c r="BA76" i="16"/>
  <c r="BA77" i="16"/>
  <c r="BA78" i="16"/>
  <c r="BA79" i="16"/>
  <c r="BA80" i="16"/>
  <c r="BA81" i="16"/>
  <c r="BA82" i="16"/>
  <c r="BA83" i="16"/>
  <c r="BA84" i="16"/>
  <c r="BA85" i="16"/>
  <c r="BA86" i="16"/>
  <c r="BA87" i="16"/>
  <c r="BA88" i="16"/>
  <c r="BA89" i="16"/>
  <c r="BA90" i="16"/>
  <c r="BA91" i="16"/>
  <c r="BA92" i="16"/>
  <c r="BA93" i="16"/>
  <c r="BA94" i="16"/>
  <c r="BA95" i="16"/>
  <c r="BA96" i="16"/>
  <c r="BA97" i="16"/>
  <c r="BA98" i="16"/>
  <c r="BA99" i="16"/>
  <c r="BA100" i="16"/>
  <c r="BA101" i="16"/>
  <c r="BA102" i="16"/>
  <c r="BA103" i="16"/>
  <c r="BA104" i="16"/>
  <c r="BA105" i="16"/>
  <c r="BA106" i="16"/>
  <c r="BA107" i="16"/>
  <c r="BA108" i="16"/>
  <c r="BA109" i="16"/>
  <c r="BA110" i="16"/>
  <c r="BA111" i="16"/>
  <c r="BA112" i="16"/>
  <c r="BA113" i="16"/>
  <c r="BA114" i="16"/>
  <c r="BA115" i="16"/>
  <c r="BA116" i="16"/>
  <c r="BA117" i="16"/>
  <c r="BA118" i="16"/>
  <c r="BA119" i="16"/>
  <c r="BA120" i="16"/>
  <c r="BA121" i="16"/>
  <c r="BA122" i="16"/>
  <c r="BA123" i="16"/>
  <c r="BA124" i="16"/>
  <c r="BA125" i="16"/>
  <c r="BA126" i="16"/>
  <c r="BA127" i="16"/>
  <c r="BA128" i="16"/>
  <c r="BA129" i="16"/>
  <c r="BA130" i="16"/>
  <c r="BA131" i="16"/>
  <c r="BA132" i="16"/>
  <c r="BA133" i="16"/>
  <c r="BA134" i="16"/>
  <c r="BA135" i="16"/>
  <c r="BA136" i="16"/>
  <c r="BA137" i="16"/>
  <c r="BA138" i="16"/>
  <c r="BA139" i="16"/>
  <c r="BA140" i="16"/>
  <c r="BA141" i="16"/>
  <c r="BA142" i="16"/>
  <c r="BA143" i="16"/>
  <c r="BA144" i="16"/>
  <c r="BA145" i="16"/>
  <c r="BA146" i="16"/>
  <c r="BA147" i="16"/>
  <c r="BA148" i="16"/>
  <c r="BA149" i="16"/>
  <c r="BA150" i="16"/>
  <c r="BA151" i="16"/>
  <c r="BA152" i="16"/>
  <c r="BA153" i="16"/>
  <c r="BA154" i="16"/>
  <c r="BA155" i="16"/>
  <c r="BA156" i="16"/>
  <c r="BA157" i="16"/>
  <c r="BA158" i="16"/>
  <c r="BA159" i="16"/>
  <c r="BA160" i="16"/>
  <c r="BA161" i="16"/>
  <c r="BA162" i="16"/>
  <c r="BA163" i="16"/>
  <c r="BA164" i="16"/>
  <c r="BA165" i="16"/>
  <c r="BA166" i="16"/>
  <c r="BA167" i="16"/>
  <c r="BA168" i="16"/>
  <c r="BA169" i="16"/>
  <c r="BA170" i="16"/>
  <c r="BA171" i="16"/>
  <c r="BA172" i="16"/>
  <c r="BA173" i="16"/>
  <c r="BA174" i="16"/>
  <c r="BA175" i="16"/>
  <c r="BA176" i="16"/>
  <c r="BA177" i="16"/>
  <c r="BA178" i="16"/>
  <c r="BA179" i="16"/>
  <c r="BA180" i="16"/>
  <c r="BA181" i="16"/>
  <c r="BA182" i="16"/>
  <c r="BA183" i="16"/>
  <c r="BA184" i="16"/>
  <c r="BA185" i="16"/>
  <c r="BA186" i="16"/>
  <c r="BA187" i="16"/>
  <c r="BA188" i="16"/>
  <c r="BA189" i="16"/>
  <c r="BA190" i="16"/>
  <c r="BA191" i="16"/>
  <c r="BA192" i="16"/>
  <c r="BA193" i="16"/>
  <c r="BA194" i="16"/>
  <c r="BA195" i="16"/>
  <c r="BA196" i="16"/>
  <c r="BA197" i="16"/>
  <c r="BA198" i="16"/>
  <c r="BA199" i="16"/>
  <c r="BA200" i="16"/>
  <c r="BA201" i="16"/>
  <c r="BA202" i="16"/>
  <c r="BA203" i="16"/>
  <c r="BA204" i="16"/>
  <c r="BA205" i="16"/>
  <c r="BA206" i="16"/>
  <c r="BA207" i="16"/>
  <c r="BA208" i="16"/>
  <c r="BA209" i="16"/>
  <c r="BA210" i="16"/>
  <c r="BA211" i="16"/>
  <c r="BA212" i="16"/>
  <c r="BA213" i="16"/>
  <c r="BA214" i="16"/>
  <c r="BA215" i="16"/>
  <c r="BA216" i="16"/>
  <c r="BA217" i="16"/>
  <c r="BA218" i="16"/>
  <c r="BA219" i="16"/>
  <c r="BA220" i="16"/>
  <c r="BA221" i="16"/>
  <c r="BA222" i="16"/>
  <c r="BA223" i="16"/>
  <c r="BA224" i="16"/>
  <c r="BA225" i="16"/>
  <c r="BA226" i="16"/>
  <c r="BA227" i="16"/>
  <c r="BA228" i="16"/>
  <c r="BA229" i="16"/>
  <c r="BA230" i="16"/>
  <c r="BA231" i="16"/>
  <c r="BA232" i="16"/>
  <c r="BA233" i="16"/>
  <c r="BA234" i="16"/>
  <c r="BA235" i="16"/>
  <c r="BA236" i="16"/>
  <c r="BA237" i="16"/>
  <c r="BA238" i="16"/>
  <c r="BA239" i="16"/>
  <c r="BA240" i="16"/>
  <c r="BA241" i="16"/>
  <c r="BA242" i="16"/>
  <c r="BA243" i="16"/>
  <c r="BA244" i="16"/>
  <c r="BA245" i="16"/>
  <c r="BA246" i="16"/>
  <c r="BA247" i="16"/>
  <c r="BA248" i="16"/>
  <c r="BA249" i="16"/>
  <c r="BA250" i="16"/>
  <c r="BA251" i="16"/>
  <c r="BA252" i="16"/>
  <c r="BA253" i="16"/>
  <c r="BA254" i="16"/>
  <c r="BA255" i="16"/>
  <c r="BA256" i="16"/>
  <c r="BA257" i="16"/>
  <c r="BA258" i="16"/>
  <c r="BA259" i="16"/>
  <c r="BA260" i="16"/>
  <c r="BA261" i="16"/>
  <c r="BA262" i="16"/>
  <c r="BA263" i="16"/>
  <c r="BA264" i="16"/>
  <c r="BA265" i="16"/>
  <c r="BA266" i="16"/>
  <c r="BA267" i="16"/>
  <c r="BA268" i="16"/>
  <c r="BA269" i="16"/>
  <c r="BA270" i="16"/>
  <c r="BA271" i="16"/>
  <c r="BA272" i="16"/>
  <c r="BA273" i="16"/>
  <c r="BA274" i="16"/>
  <c r="BA275" i="16"/>
  <c r="BA276" i="16"/>
  <c r="BA277" i="16"/>
  <c r="BA278" i="16"/>
  <c r="BA279" i="16"/>
  <c r="BA280" i="16"/>
  <c r="BA281" i="16"/>
  <c r="BA282" i="16"/>
  <c r="BA283" i="16"/>
  <c r="BA284" i="16"/>
  <c r="BA285" i="16"/>
  <c r="BA286" i="16"/>
  <c r="BA287" i="16"/>
  <c r="BA288" i="16"/>
  <c r="BA289" i="16"/>
  <c r="BA290" i="16"/>
  <c r="BA291" i="16"/>
  <c r="BA292" i="16"/>
  <c r="BA293" i="16"/>
  <c r="BA294" i="16"/>
  <c r="BA295" i="16"/>
  <c r="BA296" i="16"/>
  <c r="BA297" i="16"/>
  <c r="BA298" i="16"/>
  <c r="BA299" i="16"/>
  <c r="BA300" i="16"/>
  <c r="BA301" i="16"/>
  <c r="BA302" i="16"/>
  <c r="BA303" i="16"/>
  <c r="BA304" i="16"/>
  <c r="BA305" i="16"/>
  <c r="BA306" i="16"/>
  <c r="BA307" i="16"/>
  <c r="BA308" i="16"/>
  <c r="BA309" i="16"/>
  <c r="BA310" i="16"/>
  <c r="BA311" i="16"/>
  <c r="BA312" i="16"/>
  <c r="BA313" i="16"/>
  <c r="BA314" i="16"/>
  <c r="BA315" i="16"/>
  <c r="BA316" i="16"/>
  <c r="BA317" i="16"/>
  <c r="BA318" i="16"/>
  <c r="BA319" i="16"/>
  <c r="BA320" i="16"/>
  <c r="BA321" i="16"/>
  <c r="BA322" i="16"/>
  <c r="BA323" i="16"/>
  <c r="BA324" i="16"/>
  <c r="BA325" i="16"/>
  <c r="BA326" i="16"/>
  <c r="BA327" i="16"/>
  <c r="BA328" i="16"/>
  <c r="BA329" i="16"/>
  <c r="BA330" i="16"/>
  <c r="BA331" i="16"/>
  <c r="BA332" i="16"/>
  <c r="BA333" i="16"/>
  <c r="BA334" i="16"/>
  <c r="BA335" i="16"/>
  <c r="BA336" i="16"/>
  <c r="BA337" i="16"/>
  <c r="BA338" i="16"/>
  <c r="BA339" i="16"/>
  <c r="BA340" i="16"/>
  <c r="BA341" i="16"/>
  <c r="BA342" i="16"/>
  <c r="BA343" i="16"/>
  <c r="BA344" i="16"/>
  <c r="BA345" i="16"/>
  <c r="BA346" i="16"/>
  <c r="BA347" i="16"/>
  <c r="BA348" i="16"/>
  <c r="BA349" i="16"/>
  <c r="BA350" i="16"/>
  <c r="BA351" i="16"/>
  <c r="BA352" i="16"/>
  <c r="BA353" i="16"/>
  <c r="BA354" i="16"/>
  <c r="BA355" i="16"/>
  <c r="BA356" i="16"/>
  <c r="BA357" i="16"/>
  <c r="BA358" i="16"/>
  <c r="BA359" i="16"/>
  <c r="BA360" i="16"/>
  <c r="BA361" i="16"/>
  <c r="BA362" i="16"/>
  <c r="BA363" i="16"/>
  <c r="BA364" i="16"/>
  <c r="BA365" i="16"/>
  <c r="BA366" i="16"/>
  <c r="BA367" i="16"/>
  <c r="BA368" i="16"/>
  <c r="BA369" i="16"/>
  <c r="BA370" i="16"/>
  <c r="BA371" i="16"/>
  <c r="BA372" i="16"/>
  <c r="BA373" i="16"/>
  <c r="BA374" i="16"/>
  <c r="BA375" i="16"/>
  <c r="BA376" i="16"/>
  <c r="BA377" i="16"/>
  <c r="BA378" i="16"/>
  <c r="BA379" i="16"/>
  <c r="BA380" i="16"/>
  <c r="BA381" i="16"/>
  <c r="BA382" i="16"/>
  <c r="BA383" i="16"/>
  <c r="BA384" i="16"/>
  <c r="BA385" i="16"/>
  <c r="BA386" i="16"/>
  <c r="BA387" i="16"/>
  <c r="BA388" i="16"/>
  <c r="BA389" i="16"/>
  <c r="BA390" i="16"/>
  <c r="BA391" i="16"/>
  <c r="BA392" i="16"/>
  <c r="BA393" i="16"/>
  <c r="BA394" i="16"/>
  <c r="BA395" i="16"/>
  <c r="BA396" i="16"/>
  <c r="BA397" i="16"/>
  <c r="BA398" i="16"/>
  <c r="BA399" i="16"/>
  <c r="BA400" i="16"/>
  <c r="BA401" i="16"/>
  <c r="BA402" i="16"/>
  <c r="BA403" i="16"/>
  <c r="BA404" i="16"/>
  <c r="BA405" i="16"/>
  <c r="BA406" i="16"/>
  <c r="BA407" i="16"/>
  <c r="BA408" i="16"/>
  <c r="BA409" i="16"/>
  <c r="BA410" i="16"/>
  <c r="BA411" i="16"/>
  <c r="BA412" i="16"/>
  <c r="BA413" i="16"/>
  <c r="BA414" i="16"/>
  <c r="BA415" i="16"/>
  <c r="BA416" i="16"/>
  <c r="BA417" i="16"/>
  <c r="BA418" i="16"/>
  <c r="BA419" i="16"/>
  <c r="BA420" i="16"/>
  <c r="BA421" i="16"/>
  <c r="BA422" i="16"/>
  <c r="BA423" i="16"/>
  <c r="BA424" i="16"/>
  <c r="BA425" i="16"/>
  <c r="BA426" i="16"/>
  <c r="BA427" i="16"/>
  <c r="BA428" i="16"/>
  <c r="BA429" i="16"/>
  <c r="BA430" i="16"/>
  <c r="BA431" i="16"/>
  <c r="BA432" i="16"/>
  <c r="BA433" i="16"/>
  <c r="BA434" i="16"/>
  <c r="BA435" i="16"/>
  <c r="BA436" i="16"/>
  <c r="BA437" i="16"/>
  <c r="BA438" i="16"/>
  <c r="BA439" i="16"/>
  <c r="BA440" i="16"/>
  <c r="BA441" i="16"/>
  <c r="BA442" i="16"/>
  <c r="BA443" i="16"/>
  <c r="BA444" i="16"/>
  <c r="BA445" i="16"/>
  <c r="BA446" i="16"/>
  <c r="BA447" i="16"/>
  <c r="BA448" i="16"/>
  <c r="BA449" i="16"/>
  <c r="BA450" i="16"/>
  <c r="BA451" i="16"/>
  <c r="BA452" i="16"/>
  <c r="BA453" i="16"/>
  <c r="BA454" i="16"/>
  <c r="BA455" i="16"/>
  <c r="BA456" i="16"/>
  <c r="BA457" i="16"/>
  <c r="BA458" i="16"/>
  <c r="BA459" i="16"/>
  <c r="BA460" i="16"/>
  <c r="BA461" i="16"/>
  <c r="BA462" i="16"/>
  <c r="BA463" i="16"/>
  <c r="BA464" i="16"/>
  <c r="BA465" i="16"/>
  <c r="BA466" i="16"/>
  <c r="BA467" i="16"/>
  <c r="BA468" i="16"/>
  <c r="BA469" i="16"/>
  <c r="BA470" i="16"/>
  <c r="BA471" i="16"/>
  <c r="BA472" i="16"/>
  <c r="BA473" i="16"/>
  <c r="BA474" i="16"/>
  <c r="BA475" i="16"/>
  <c r="BA476" i="16"/>
  <c r="BA477" i="16"/>
  <c r="BA478" i="16"/>
  <c r="BA479" i="16"/>
  <c r="BA480" i="16"/>
  <c r="BA481" i="16"/>
  <c r="BA482" i="16"/>
  <c r="BA483" i="16"/>
  <c r="BA484" i="16"/>
  <c r="BA485" i="16"/>
  <c r="BA486" i="16"/>
  <c r="BA487" i="16"/>
  <c r="BA488" i="16"/>
  <c r="BA489" i="16"/>
  <c r="BA490" i="16"/>
  <c r="BA491" i="16"/>
  <c r="BA492" i="16"/>
  <c r="BA493" i="16"/>
  <c r="BA494" i="16"/>
  <c r="BA495" i="16"/>
  <c r="BA496" i="16"/>
  <c r="BA497" i="16"/>
  <c r="BA498" i="16"/>
  <c r="BA499" i="16"/>
  <c r="BA500" i="16"/>
  <c r="BA501" i="16"/>
  <c r="BA502" i="16"/>
  <c r="BA503" i="16"/>
  <c r="BA504" i="16"/>
  <c r="BA505" i="16"/>
  <c r="BA506" i="16"/>
  <c r="BA507" i="16"/>
  <c r="BA508" i="16"/>
  <c r="BA509" i="16"/>
  <c r="BA510" i="16"/>
  <c r="BA511" i="16"/>
  <c r="BA512" i="16"/>
  <c r="BA513" i="16"/>
  <c r="BA514" i="16"/>
  <c r="BA515" i="16"/>
  <c r="BA516" i="16"/>
  <c r="BA517" i="16"/>
  <c r="BA518" i="16"/>
  <c r="BA519" i="16"/>
  <c r="BA520" i="16"/>
  <c r="BA521" i="16"/>
  <c r="BA522" i="16"/>
  <c r="BA523" i="16"/>
  <c r="BA524" i="16"/>
  <c r="BA525" i="16"/>
  <c r="BA526" i="16"/>
  <c r="BA527" i="16"/>
  <c r="BA528" i="16"/>
  <c r="BA529" i="16"/>
  <c r="BA530" i="16"/>
  <c r="BA531" i="16"/>
  <c r="BA532" i="16"/>
  <c r="BA533" i="16"/>
  <c r="BA534" i="16"/>
  <c r="BA535" i="16"/>
  <c r="BA536" i="16"/>
  <c r="BA537" i="16"/>
  <c r="BA538" i="16"/>
  <c r="BA539" i="16"/>
  <c r="BA540" i="16"/>
  <c r="BA541" i="16"/>
  <c r="BA542" i="16"/>
  <c r="BA543" i="16"/>
  <c r="BA544" i="16"/>
  <c r="BA545" i="16"/>
  <c r="BA546" i="16"/>
  <c r="BA547" i="16"/>
  <c r="BA548" i="16"/>
  <c r="BA549" i="16"/>
  <c r="BA550" i="16"/>
  <c r="BA551" i="16"/>
  <c r="BA552" i="16"/>
  <c r="BA553" i="16"/>
  <c r="BA554" i="16"/>
  <c r="BA555" i="16"/>
  <c r="BA556" i="16"/>
  <c r="BA557" i="16"/>
  <c r="BA558" i="16"/>
  <c r="BA559" i="16"/>
  <c r="BA560" i="16"/>
  <c r="BA561" i="16"/>
  <c r="BA562" i="16"/>
  <c r="BA563" i="16"/>
  <c r="BA564" i="16"/>
  <c r="BA565" i="16"/>
  <c r="BA566" i="16"/>
  <c r="BA567" i="16"/>
  <c r="BA568" i="16"/>
  <c r="BA569" i="16"/>
  <c r="BA570" i="16"/>
  <c r="BA571" i="16"/>
  <c r="BA572" i="16"/>
  <c r="BA573" i="16"/>
  <c r="BA574" i="16"/>
  <c r="BA575" i="16"/>
  <c r="BA576" i="16"/>
  <c r="BA577" i="16"/>
  <c r="BA578" i="16"/>
  <c r="BA579" i="16"/>
  <c r="BA580" i="16"/>
  <c r="BA581" i="16"/>
  <c r="BA582" i="16"/>
  <c r="BA583" i="16"/>
  <c r="BA584" i="16"/>
  <c r="BA585" i="16"/>
  <c r="BA586" i="16"/>
  <c r="BA587" i="16"/>
  <c r="BA588" i="16"/>
  <c r="BA589" i="16"/>
  <c r="BA590" i="16"/>
  <c r="BA591" i="16"/>
  <c r="BA592" i="16"/>
  <c r="BA593" i="16"/>
  <c r="BA594" i="16"/>
  <c r="BA595" i="16"/>
  <c r="BA596" i="16"/>
  <c r="BA597" i="16"/>
  <c r="BA598" i="16"/>
  <c r="BA599" i="16"/>
  <c r="BA600" i="16"/>
  <c r="BA601" i="16"/>
  <c r="BA602" i="16"/>
  <c r="BA603" i="16"/>
  <c r="BA604" i="16"/>
  <c r="BA605" i="16"/>
  <c r="BA606" i="16"/>
  <c r="BA607" i="16"/>
  <c r="BA608" i="16"/>
  <c r="BA609" i="16"/>
  <c r="BA610" i="16"/>
  <c r="BA611" i="16"/>
  <c r="BA612" i="16"/>
  <c r="BA613" i="16"/>
  <c r="BA614" i="16"/>
  <c r="BA615" i="16"/>
  <c r="BA616" i="16"/>
  <c r="BA617" i="16"/>
  <c r="BA618" i="16"/>
  <c r="BA619" i="16"/>
  <c r="BA620" i="16"/>
  <c r="BA621" i="16"/>
  <c r="BA622" i="16"/>
  <c r="BA623" i="16"/>
  <c r="BA624" i="16"/>
  <c r="BA625" i="16"/>
  <c r="BA626" i="16"/>
  <c r="BA627" i="16"/>
  <c r="BA628" i="16"/>
  <c r="BA629" i="16"/>
  <c r="BA630" i="16"/>
  <c r="BA631" i="16"/>
  <c r="BA632" i="16"/>
  <c r="BA633" i="16"/>
  <c r="BA634" i="16"/>
  <c r="BA635" i="16"/>
  <c r="BA636" i="16"/>
  <c r="BA637" i="16"/>
  <c r="BA638" i="16"/>
  <c r="BA639" i="16"/>
  <c r="BA640" i="16"/>
  <c r="BA641" i="16"/>
  <c r="BA642" i="16"/>
  <c r="BA643" i="16"/>
  <c r="BA644" i="16"/>
  <c r="BA645" i="16"/>
  <c r="BA646" i="16"/>
  <c r="BA647" i="16"/>
  <c r="BA648" i="16"/>
  <c r="BA649" i="16"/>
  <c r="BA650" i="16"/>
  <c r="BA651" i="16"/>
  <c r="BA652" i="16"/>
  <c r="BA653" i="16"/>
  <c r="BA654" i="16"/>
  <c r="BA655" i="16"/>
  <c r="BA656" i="16"/>
  <c r="BA657" i="16"/>
  <c r="BA658" i="16"/>
  <c r="BA659" i="16"/>
  <c r="BA660" i="16"/>
  <c r="BA661" i="16"/>
  <c r="BA662" i="16"/>
  <c r="BA663" i="16"/>
  <c r="BA664" i="16"/>
  <c r="BA665" i="16"/>
  <c r="BA666" i="16"/>
  <c r="BA667" i="16"/>
  <c r="BA668" i="16"/>
  <c r="BA669" i="16"/>
  <c r="BA670" i="16"/>
  <c r="BA671" i="16"/>
  <c r="BA672" i="16"/>
  <c r="BA673" i="16"/>
  <c r="BA674" i="16"/>
  <c r="BA675" i="16"/>
  <c r="BA676" i="16"/>
  <c r="BA677" i="16"/>
  <c r="BA678" i="16"/>
  <c r="BA679" i="16"/>
  <c r="BA680" i="16"/>
  <c r="BA681" i="16"/>
  <c r="BA682" i="16"/>
  <c r="BA683" i="16"/>
  <c r="BA684" i="16"/>
  <c r="BA685" i="16"/>
  <c r="BA686" i="16"/>
  <c r="BA687" i="16"/>
  <c r="BA688" i="16"/>
  <c r="BA689" i="16"/>
  <c r="BA690" i="16"/>
  <c r="BA691" i="16"/>
  <c r="BA692" i="16"/>
  <c r="BA693" i="16"/>
  <c r="BA694" i="16"/>
  <c r="BA695" i="16"/>
  <c r="BA696" i="16"/>
  <c r="BA697" i="16"/>
  <c r="BA698" i="16"/>
  <c r="BA699" i="16"/>
  <c r="BA700" i="16"/>
  <c r="BA701" i="16"/>
  <c r="BA702" i="16"/>
  <c r="BA703" i="16"/>
  <c r="BA704" i="16"/>
  <c r="BA705" i="16"/>
  <c r="BA706" i="16"/>
  <c r="BA707" i="16"/>
  <c r="BA708" i="16"/>
  <c r="BA709" i="16"/>
  <c r="BA710" i="16"/>
  <c r="BA711" i="16"/>
  <c r="BA712" i="16"/>
  <c r="BA713" i="16"/>
  <c r="BA714" i="16"/>
  <c r="BA715" i="16"/>
  <c r="BA716" i="16"/>
  <c r="BA717" i="16"/>
  <c r="BA718" i="16"/>
  <c r="BA719" i="16"/>
  <c r="BA720" i="16"/>
  <c r="BA721" i="16"/>
  <c r="BA722" i="16"/>
  <c r="BA723" i="16"/>
  <c r="BA724" i="16"/>
  <c r="BA725" i="16"/>
  <c r="BA726" i="16"/>
  <c r="BA727" i="16"/>
  <c r="BA728" i="16"/>
  <c r="BA729" i="16"/>
  <c r="BA730" i="16"/>
  <c r="BA731" i="16"/>
  <c r="BA732" i="16"/>
  <c r="BA733" i="16"/>
  <c r="BA734" i="16"/>
  <c r="BA735" i="16"/>
  <c r="BA736" i="16"/>
  <c r="BA7" i="16"/>
  <c r="T8" i="16"/>
  <c r="T9" i="16"/>
  <c r="T10" i="16"/>
  <c r="T11" i="16"/>
  <c r="T12" i="16"/>
  <c r="T13" i="16"/>
  <c r="T14" i="16"/>
  <c r="T15" i="16"/>
  <c r="T16" i="16"/>
  <c r="T17" i="16"/>
  <c r="T18" i="16"/>
  <c r="T19" i="16"/>
  <c r="T20" i="16"/>
  <c r="T21" i="16"/>
  <c r="T22" i="16"/>
  <c r="T23" i="16"/>
  <c r="T24" i="16"/>
  <c r="T25" i="16"/>
  <c r="T26" i="16"/>
  <c r="T27" i="16"/>
  <c r="T28" i="16"/>
  <c r="T29" i="16"/>
  <c r="T30" i="16"/>
  <c r="T31" i="16"/>
  <c r="T32" i="16"/>
  <c r="T33" i="16"/>
  <c r="T34" i="16"/>
  <c r="T35" i="16"/>
  <c r="T36" i="16"/>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4" i="16"/>
  <c r="T85" i="16"/>
  <c r="T86" i="16"/>
  <c r="T87" i="16"/>
  <c r="T88" i="16"/>
  <c r="T89" i="16"/>
  <c r="T90" i="16"/>
  <c r="T91" i="16"/>
  <c r="T92" i="16"/>
  <c r="T93" i="16"/>
  <c r="T94" i="16"/>
  <c r="T95" i="16"/>
  <c r="T96" i="16"/>
  <c r="T97" i="16"/>
  <c r="T98" i="16"/>
  <c r="T99" i="16"/>
  <c r="T100" i="16"/>
  <c r="T101" i="16"/>
  <c r="T102" i="16"/>
  <c r="T103" i="16"/>
  <c r="T104" i="16"/>
  <c r="T105" i="16"/>
  <c r="T106" i="16"/>
  <c r="T107" i="16"/>
  <c r="T108" i="16"/>
  <c r="T109" i="16"/>
  <c r="T110" i="16"/>
  <c r="T111" i="16"/>
  <c r="T112" i="16"/>
  <c r="T113" i="16"/>
  <c r="T114" i="16"/>
  <c r="T115" i="16"/>
  <c r="T116" i="16"/>
  <c r="T117" i="16"/>
  <c r="T118" i="16"/>
  <c r="T119" i="16"/>
  <c r="T120" i="16"/>
  <c r="T121" i="16"/>
  <c r="T122" i="16"/>
  <c r="T123" i="16"/>
  <c r="T124" i="16"/>
  <c r="T125" i="16"/>
  <c r="T126" i="16"/>
  <c r="T127" i="16"/>
  <c r="T128" i="16"/>
  <c r="T129" i="16"/>
  <c r="T130" i="16"/>
  <c r="T131" i="16"/>
  <c r="T132" i="16"/>
  <c r="T133" i="16"/>
  <c r="T134" i="16"/>
  <c r="T135" i="16"/>
  <c r="T136" i="16"/>
  <c r="T137" i="16"/>
  <c r="T138" i="16"/>
  <c r="T139" i="16"/>
  <c r="T140" i="16"/>
  <c r="T141" i="16"/>
  <c r="T142" i="16"/>
  <c r="T143" i="16"/>
  <c r="T144" i="16"/>
  <c r="T145" i="16"/>
  <c r="T146" i="16"/>
  <c r="T147" i="16"/>
  <c r="T148" i="16"/>
  <c r="T149" i="16"/>
  <c r="T150" i="16"/>
  <c r="T151" i="16"/>
  <c r="T152" i="16"/>
  <c r="T153" i="16"/>
  <c r="T154" i="16"/>
  <c r="T155" i="16"/>
  <c r="T156" i="16"/>
  <c r="T157" i="16"/>
  <c r="T158" i="16"/>
  <c r="T159" i="16"/>
  <c r="T160" i="16"/>
  <c r="T161" i="16"/>
  <c r="T162" i="16"/>
  <c r="T163" i="16"/>
  <c r="T164" i="16"/>
  <c r="T165" i="16"/>
  <c r="T166" i="16"/>
  <c r="T167" i="16"/>
  <c r="T168" i="16"/>
  <c r="T169" i="16"/>
  <c r="T170" i="16"/>
  <c r="T171" i="16"/>
  <c r="T172" i="16"/>
  <c r="T173" i="16"/>
  <c r="T174" i="16"/>
  <c r="T175" i="16"/>
  <c r="T176" i="16"/>
  <c r="T177" i="16"/>
  <c r="T178" i="16"/>
  <c r="T179" i="16"/>
  <c r="T180" i="16"/>
  <c r="T181" i="16"/>
  <c r="T182" i="16"/>
  <c r="T183" i="16"/>
  <c r="T184" i="16"/>
  <c r="T185" i="16"/>
  <c r="T186" i="16"/>
  <c r="T187" i="16"/>
  <c r="T188" i="16"/>
  <c r="T189" i="16"/>
  <c r="T190" i="16"/>
  <c r="T191" i="16"/>
  <c r="T192" i="16"/>
  <c r="T193" i="16"/>
  <c r="T194" i="16"/>
  <c r="T195" i="16"/>
  <c r="T196" i="16"/>
  <c r="T197" i="16"/>
  <c r="T198" i="16"/>
  <c r="T199" i="16"/>
  <c r="T200" i="16"/>
  <c r="T201" i="16"/>
  <c r="T202" i="16"/>
  <c r="T203" i="16"/>
  <c r="T204" i="16"/>
  <c r="T205" i="16"/>
  <c r="T206" i="16"/>
  <c r="T207" i="16"/>
  <c r="T208" i="16"/>
  <c r="T209" i="16"/>
  <c r="T210" i="16"/>
  <c r="T211" i="16"/>
  <c r="T212" i="16"/>
  <c r="T213" i="16"/>
  <c r="T214" i="16"/>
  <c r="T215" i="16"/>
  <c r="T216" i="16"/>
  <c r="T217" i="16"/>
  <c r="T218" i="16"/>
  <c r="T219" i="16"/>
  <c r="T220" i="16"/>
  <c r="T221" i="16"/>
  <c r="T222" i="16"/>
  <c r="T223" i="16"/>
  <c r="T224" i="16"/>
  <c r="T225" i="16"/>
  <c r="T226" i="16"/>
  <c r="T227" i="16"/>
  <c r="T228" i="16"/>
  <c r="T229" i="16"/>
  <c r="T230" i="16"/>
  <c r="T231" i="16"/>
  <c r="T232" i="16"/>
  <c r="T233" i="16"/>
  <c r="T234" i="16"/>
  <c r="T235" i="16"/>
  <c r="T236" i="16"/>
  <c r="T237" i="16"/>
  <c r="T238" i="16"/>
  <c r="T239" i="16"/>
  <c r="T240" i="16"/>
  <c r="T241" i="16"/>
  <c r="T242" i="16"/>
  <c r="T243" i="16"/>
  <c r="T244" i="16"/>
  <c r="T245" i="16"/>
  <c r="T246" i="16"/>
  <c r="T247" i="16"/>
  <c r="T248" i="16"/>
  <c r="T249" i="16"/>
  <c r="T250" i="16"/>
  <c r="T251" i="16"/>
  <c r="T252" i="16"/>
  <c r="T253" i="16"/>
  <c r="T254" i="16"/>
  <c r="T255" i="16"/>
  <c r="T256" i="16"/>
  <c r="T257" i="16"/>
  <c r="T258" i="16"/>
  <c r="T259" i="16"/>
  <c r="T260" i="16"/>
  <c r="T261" i="16"/>
  <c r="T262" i="16"/>
  <c r="T263" i="16"/>
  <c r="T264" i="16"/>
  <c r="T265" i="16"/>
  <c r="T266" i="16"/>
  <c r="T267" i="16"/>
  <c r="T268" i="16"/>
  <c r="T269" i="16"/>
  <c r="T270" i="16"/>
  <c r="T271" i="16"/>
  <c r="T272" i="16"/>
  <c r="T273" i="16"/>
  <c r="T274" i="16"/>
  <c r="T275" i="16"/>
  <c r="T276" i="16"/>
  <c r="T277" i="16"/>
  <c r="T278" i="16"/>
  <c r="T279" i="16"/>
  <c r="T280" i="16"/>
  <c r="T281" i="16"/>
  <c r="T282" i="16"/>
  <c r="T283" i="16"/>
  <c r="T284" i="16"/>
  <c r="T285" i="16"/>
  <c r="T286" i="16"/>
  <c r="T287" i="16"/>
  <c r="T288" i="16"/>
  <c r="T289" i="16"/>
  <c r="T290" i="16"/>
  <c r="T291" i="16"/>
  <c r="T292" i="16"/>
  <c r="T293" i="16"/>
  <c r="T294" i="16"/>
  <c r="T295" i="16"/>
  <c r="T296" i="16"/>
  <c r="T297" i="16"/>
  <c r="T298" i="16"/>
  <c r="T299" i="16"/>
  <c r="T300" i="16"/>
  <c r="T301" i="16"/>
  <c r="T302" i="16"/>
  <c r="T303" i="16"/>
  <c r="T304" i="16"/>
  <c r="T305" i="16"/>
  <c r="T306" i="16"/>
  <c r="T307" i="16"/>
  <c r="T308" i="16"/>
  <c r="T309" i="16"/>
  <c r="T310" i="16"/>
  <c r="T311" i="16"/>
  <c r="T312" i="16"/>
  <c r="T313" i="16"/>
  <c r="T314" i="16"/>
  <c r="T315" i="16"/>
  <c r="T316" i="16"/>
  <c r="T317" i="16"/>
  <c r="T318" i="16"/>
  <c r="T319" i="16"/>
  <c r="T320" i="16"/>
  <c r="T321" i="16"/>
  <c r="T322" i="16"/>
  <c r="T323" i="16"/>
  <c r="T324" i="16"/>
  <c r="T325" i="16"/>
  <c r="T326" i="16"/>
  <c r="T327" i="16"/>
  <c r="T328" i="16"/>
  <c r="T329" i="16"/>
  <c r="T330" i="16"/>
  <c r="T331" i="16"/>
  <c r="T332" i="16"/>
  <c r="T333" i="16"/>
  <c r="T334" i="16"/>
  <c r="T335" i="16"/>
  <c r="T336" i="16"/>
  <c r="T337" i="16"/>
  <c r="T338" i="16"/>
  <c r="T339" i="16"/>
  <c r="T340" i="16"/>
  <c r="T341" i="16"/>
  <c r="T342" i="16"/>
  <c r="T343" i="16"/>
  <c r="T344" i="16"/>
  <c r="T345" i="16"/>
  <c r="T346" i="16"/>
  <c r="T347" i="16"/>
  <c r="T348" i="16"/>
  <c r="T349" i="16"/>
  <c r="T350" i="16"/>
  <c r="T351" i="16"/>
  <c r="T352" i="16"/>
  <c r="T353" i="16"/>
  <c r="T354" i="16"/>
  <c r="T355" i="16"/>
  <c r="T356" i="16"/>
  <c r="T357" i="16"/>
  <c r="T358" i="16"/>
  <c r="T359" i="16"/>
  <c r="T360" i="16"/>
  <c r="T361" i="16"/>
  <c r="T362" i="16"/>
  <c r="T363" i="16"/>
  <c r="T364" i="16"/>
  <c r="T365" i="16"/>
  <c r="T366" i="16"/>
  <c r="T367" i="16"/>
  <c r="T368" i="16"/>
  <c r="T369" i="16"/>
  <c r="T370" i="16"/>
  <c r="T371" i="16"/>
  <c r="T372" i="16"/>
  <c r="T373" i="16"/>
  <c r="T374" i="16"/>
  <c r="T375" i="16"/>
  <c r="T376" i="16"/>
  <c r="T377" i="16"/>
  <c r="T378" i="16"/>
  <c r="T379" i="16"/>
  <c r="T380" i="16"/>
  <c r="T381" i="16"/>
  <c r="T382" i="16"/>
  <c r="T383" i="16"/>
  <c r="T384" i="16"/>
  <c r="T385" i="16"/>
  <c r="T386" i="16"/>
  <c r="T387" i="16"/>
  <c r="T388" i="16"/>
  <c r="T389" i="16"/>
  <c r="T390" i="16"/>
  <c r="T391" i="16"/>
  <c r="T392" i="16"/>
  <c r="T393" i="16"/>
  <c r="T394" i="16"/>
  <c r="T395" i="16"/>
  <c r="T396" i="16"/>
  <c r="T397" i="16"/>
  <c r="T398" i="16"/>
  <c r="T399" i="16"/>
  <c r="T400" i="16"/>
  <c r="T401" i="16"/>
  <c r="T402" i="16"/>
  <c r="T403" i="16"/>
  <c r="T404" i="16"/>
  <c r="T405" i="16"/>
  <c r="T406" i="16"/>
  <c r="T407" i="16"/>
  <c r="T408" i="16"/>
  <c r="T409" i="16"/>
  <c r="T410" i="16"/>
  <c r="T411" i="16"/>
  <c r="T412" i="16"/>
  <c r="T413" i="16"/>
  <c r="T414" i="16"/>
  <c r="T415" i="16"/>
  <c r="T416" i="16"/>
  <c r="T417" i="16"/>
  <c r="T418" i="16"/>
  <c r="T419" i="16"/>
  <c r="T420" i="16"/>
  <c r="T421" i="16"/>
  <c r="T422" i="16"/>
  <c r="T423" i="16"/>
  <c r="T424" i="16"/>
  <c r="T425" i="16"/>
  <c r="T426" i="16"/>
  <c r="T427" i="16"/>
  <c r="T428" i="16"/>
  <c r="T429" i="16"/>
  <c r="T430" i="16"/>
  <c r="T431" i="16"/>
  <c r="T432" i="16"/>
  <c r="T433" i="16"/>
  <c r="T434" i="16"/>
  <c r="T435" i="16"/>
  <c r="T436" i="16"/>
  <c r="T437" i="16"/>
  <c r="T438" i="16"/>
  <c r="T439" i="16"/>
  <c r="T440" i="16"/>
  <c r="T441" i="16"/>
  <c r="T442" i="16"/>
  <c r="T443" i="16"/>
  <c r="T444" i="16"/>
  <c r="T445" i="16"/>
  <c r="T446" i="16"/>
  <c r="T447" i="16"/>
  <c r="T448" i="16"/>
  <c r="T449" i="16"/>
  <c r="T450" i="16"/>
  <c r="T451" i="16"/>
  <c r="T452" i="16"/>
  <c r="T453" i="16"/>
  <c r="T454" i="16"/>
  <c r="T455" i="16"/>
  <c r="T456" i="16"/>
  <c r="T457" i="16"/>
  <c r="T458" i="16"/>
  <c r="T459" i="16"/>
  <c r="T460" i="16"/>
  <c r="T461" i="16"/>
  <c r="T462" i="16"/>
  <c r="T463" i="16"/>
  <c r="T464" i="16"/>
  <c r="T465" i="16"/>
  <c r="T466" i="16"/>
  <c r="T467" i="16"/>
  <c r="T468" i="16"/>
  <c r="T469" i="16"/>
  <c r="T470" i="16"/>
  <c r="T471" i="16"/>
  <c r="T472" i="16"/>
  <c r="T473" i="16"/>
  <c r="T474" i="16"/>
  <c r="T475" i="16"/>
  <c r="T476" i="16"/>
  <c r="T477" i="16"/>
  <c r="T478" i="16"/>
  <c r="T479" i="16"/>
  <c r="T480" i="16"/>
  <c r="T481" i="16"/>
  <c r="T482" i="16"/>
  <c r="T483" i="16"/>
  <c r="T484" i="16"/>
  <c r="T485" i="16"/>
  <c r="T486" i="16"/>
  <c r="T487" i="16"/>
  <c r="T488" i="16"/>
  <c r="T489" i="16"/>
  <c r="T490" i="16"/>
  <c r="T491" i="16"/>
  <c r="T492" i="16"/>
  <c r="T493" i="16"/>
  <c r="T494" i="16"/>
  <c r="T495" i="16"/>
  <c r="T496" i="16"/>
  <c r="T497" i="16"/>
  <c r="T498" i="16"/>
  <c r="T499" i="16"/>
  <c r="T500" i="16"/>
  <c r="T501" i="16"/>
  <c r="T502" i="16"/>
  <c r="T503" i="16"/>
  <c r="T504" i="16"/>
  <c r="T505" i="16"/>
  <c r="T506" i="16"/>
  <c r="T507" i="16"/>
  <c r="T508" i="16"/>
  <c r="T509" i="16"/>
  <c r="T510" i="16"/>
  <c r="T511" i="16"/>
  <c r="T512" i="16"/>
  <c r="T513" i="16"/>
  <c r="T514" i="16"/>
  <c r="T515" i="16"/>
  <c r="T516" i="16"/>
  <c r="T517" i="16"/>
  <c r="T518" i="16"/>
  <c r="T519" i="16"/>
  <c r="T520" i="16"/>
  <c r="T521" i="16"/>
  <c r="T522" i="16"/>
  <c r="T523" i="16"/>
  <c r="T524" i="16"/>
  <c r="T525" i="16"/>
  <c r="T526" i="16"/>
  <c r="T527" i="16"/>
  <c r="T528" i="16"/>
  <c r="T529" i="16"/>
  <c r="T530" i="16"/>
  <c r="T531" i="16"/>
  <c r="T532" i="16"/>
  <c r="T533" i="16"/>
  <c r="T534" i="16"/>
  <c r="T535" i="16"/>
  <c r="T536" i="16"/>
  <c r="T537" i="16"/>
  <c r="T538" i="16"/>
  <c r="T539" i="16"/>
  <c r="T540" i="16"/>
  <c r="T541" i="16"/>
  <c r="T542" i="16"/>
  <c r="T543" i="16"/>
  <c r="T544" i="16"/>
  <c r="T545" i="16"/>
  <c r="T546" i="16"/>
  <c r="T547" i="16"/>
  <c r="T548" i="16"/>
  <c r="T549" i="16"/>
  <c r="T550" i="16"/>
  <c r="T551" i="16"/>
  <c r="T552" i="16"/>
  <c r="T553" i="16"/>
  <c r="T554" i="16"/>
  <c r="T555" i="16"/>
  <c r="T556" i="16"/>
  <c r="T557" i="16"/>
  <c r="T558" i="16"/>
  <c r="T559" i="16"/>
  <c r="T560" i="16"/>
  <c r="T561" i="16"/>
  <c r="T562" i="16"/>
  <c r="T563" i="16"/>
  <c r="T564" i="16"/>
  <c r="T565" i="16"/>
  <c r="T566" i="16"/>
  <c r="T567" i="16"/>
  <c r="T568" i="16"/>
  <c r="T569" i="16"/>
  <c r="T570" i="16"/>
  <c r="T571" i="16"/>
  <c r="T572" i="16"/>
  <c r="T573" i="16"/>
  <c r="T574" i="16"/>
  <c r="T575" i="16"/>
  <c r="T576" i="16"/>
  <c r="T577" i="16"/>
  <c r="T578" i="16"/>
  <c r="T579" i="16"/>
  <c r="T580" i="16"/>
  <c r="T581" i="16"/>
  <c r="T582" i="16"/>
  <c r="T583" i="16"/>
  <c r="T584" i="16"/>
  <c r="T585" i="16"/>
  <c r="T586" i="16"/>
  <c r="T587" i="16"/>
  <c r="T588" i="16"/>
  <c r="T589" i="16"/>
  <c r="T590" i="16"/>
  <c r="T591" i="16"/>
  <c r="T592" i="16"/>
  <c r="T593" i="16"/>
  <c r="T594" i="16"/>
  <c r="T595" i="16"/>
  <c r="T596" i="16"/>
  <c r="T597" i="16"/>
  <c r="T598" i="16"/>
  <c r="T599" i="16"/>
  <c r="T600" i="16"/>
  <c r="T601" i="16"/>
  <c r="T602" i="16"/>
  <c r="T603" i="16"/>
  <c r="T604" i="16"/>
  <c r="T605" i="16"/>
  <c r="T606" i="16"/>
  <c r="T607" i="16"/>
  <c r="T608" i="16"/>
  <c r="T609" i="16"/>
  <c r="T610" i="16"/>
  <c r="T611" i="16"/>
  <c r="T612" i="16"/>
  <c r="T613" i="16"/>
  <c r="T614" i="16"/>
  <c r="T615" i="16"/>
  <c r="T616" i="16"/>
  <c r="T617" i="16"/>
  <c r="T618" i="16"/>
  <c r="T619" i="16"/>
  <c r="T620" i="16"/>
  <c r="T621" i="16"/>
  <c r="T622" i="16"/>
  <c r="T623" i="16"/>
  <c r="T624" i="16"/>
  <c r="T625" i="16"/>
  <c r="T626" i="16"/>
  <c r="T627" i="16"/>
  <c r="T628" i="16"/>
  <c r="T629" i="16"/>
  <c r="T630" i="16"/>
  <c r="T631" i="16"/>
  <c r="T632" i="16"/>
  <c r="T633" i="16"/>
  <c r="T634" i="16"/>
  <c r="T635" i="16"/>
  <c r="T636" i="16"/>
  <c r="T637" i="16"/>
  <c r="T638" i="16"/>
  <c r="T639" i="16"/>
  <c r="T640" i="16"/>
  <c r="T641" i="16"/>
  <c r="T642" i="16"/>
  <c r="T643" i="16"/>
  <c r="T644" i="16"/>
  <c r="T645" i="16"/>
  <c r="T646" i="16"/>
  <c r="T647" i="16"/>
  <c r="T648" i="16"/>
  <c r="T649" i="16"/>
  <c r="T650" i="16"/>
  <c r="T651" i="16"/>
  <c r="T652" i="16"/>
  <c r="T653" i="16"/>
  <c r="T654" i="16"/>
  <c r="T655" i="16"/>
  <c r="T656" i="16"/>
  <c r="T657" i="16"/>
  <c r="T658" i="16"/>
  <c r="T659" i="16"/>
  <c r="T660" i="16"/>
  <c r="T661" i="16"/>
  <c r="T662" i="16"/>
  <c r="T663" i="16"/>
  <c r="T664" i="16"/>
  <c r="T665" i="16"/>
  <c r="T666" i="16"/>
  <c r="T667" i="16"/>
  <c r="T668" i="16"/>
  <c r="T669" i="16"/>
  <c r="T670" i="16"/>
  <c r="T671" i="16"/>
  <c r="T672" i="16"/>
  <c r="T673" i="16"/>
  <c r="T674" i="16"/>
  <c r="T675" i="16"/>
  <c r="T676" i="16"/>
  <c r="T677" i="16"/>
  <c r="T678" i="16"/>
  <c r="T679" i="16"/>
  <c r="T680" i="16"/>
  <c r="T681" i="16"/>
  <c r="T682" i="16"/>
  <c r="T683" i="16"/>
  <c r="T684" i="16"/>
  <c r="T685" i="16"/>
  <c r="T686" i="16"/>
  <c r="T687" i="16"/>
  <c r="T688" i="16"/>
  <c r="T689" i="16"/>
  <c r="T690" i="16"/>
  <c r="T691" i="16"/>
  <c r="T692" i="16"/>
  <c r="T693" i="16"/>
  <c r="T694" i="16"/>
  <c r="T695" i="16"/>
  <c r="T696" i="16"/>
  <c r="T697" i="16"/>
  <c r="T698" i="16"/>
  <c r="T699" i="16"/>
  <c r="T700" i="16"/>
  <c r="T701" i="16"/>
  <c r="T702" i="16"/>
  <c r="T703" i="16"/>
  <c r="T704" i="16"/>
  <c r="T705" i="16"/>
  <c r="T706" i="16"/>
  <c r="T707" i="16"/>
  <c r="T708" i="16"/>
  <c r="T709" i="16"/>
  <c r="T710" i="16"/>
  <c r="T711" i="16"/>
  <c r="T712" i="16"/>
  <c r="T713" i="16"/>
  <c r="T714" i="16"/>
  <c r="T715" i="16"/>
  <c r="T716" i="16"/>
  <c r="T717" i="16"/>
  <c r="T718" i="16"/>
  <c r="T719" i="16"/>
  <c r="T720" i="16"/>
  <c r="T721" i="16"/>
  <c r="T722" i="16"/>
  <c r="T723" i="16"/>
  <c r="T724" i="16"/>
  <c r="T725" i="16"/>
  <c r="T726" i="16"/>
  <c r="T727" i="16"/>
  <c r="T728" i="16"/>
  <c r="T729" i="16"/>
  <c r="T730" i="16"/>
  <c r="T731" i="16"/>
  <c r="T732" i="16"/>
  <c r="T733" i="16"/>
  <c r="T734" i="16"/>
  <c r="T735" i="16"/>
  <c r="T736" i="16"/>
  <c r="T7" i="16"/>
  <c r="X8" i="16"/>
  <c r="X9" i="16"/>
  <c r="X10" i="16"/>
  <c r="X11" i="16"/>
  <c r="X12" i="16"/>
  <c r="X13" i="16"/>
  <c r="X14" i="16"/>
  <c r="X15" i="16"/>
  <c r="X16" i="16"/>
  <c r="X17" i="16"/>
  <c r="X18"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X209" i="16"/>
  <c r="X210" i="16"/>
  <c r="X211" i="16"/>
  <c r="X212" i="16"/>
  <c r="X213" i="16"/>
  <c r="X214" i="16"/>
  <c r="X215" i="16"/>
  <c r="X216" i="16"/>
  <c r="X217" i="16"/>
  <c r="X218" i="16"/>
  <c r="X219" i="16"/>
  <c r="X220" i="16"/>
  <c r="X221" i="16"/>
  <c r="X222" i="16"/>
  <c r="X223" i="16"/>
  <c r="X224" i="16"/>
  <c r="X225" i="16"/>
  <c r="X226" i="16"/>
  <c r="X227" i="16"/>
  <c r="X228" i="16"/>
  <c r="X229" i="16"/>
  <c r="X230" i="16"/>
  <c r="X231" i="16"/>
  <c r="X232" i="16"/>
  <c r="X233" i="16"/>
  <c r="X234" i="16"/>
  <c r="X235" i="16"/>
  <c r="X236" i="16"/>
  <c r="X237" i="16"/>
  <c r="X238" i="16"/>
  <c r="X239" i="16"/>
  <c r="X240" i="16"/>
  <c r="X241" i="16"/>
  <c r="X242" i="16"/>
  <c r="X243" i="16"/>
  <c r="X244" i="16"/>
  <c r="X245" i="16"/>
  <c r="X246" i="16"/>
  <c r="X247" i="16"/>
  <c r="X248" i="16"/>
  <c r="X249" i="16"/>
  <c r="X250" i="16"/>
  <c r="X251" i="16"/>
  <c r="X252" i="16"/>
  <c r="X253" i="16"/>
  <c r="X254" i="16"/>
  <c r="X255" i="16"/>
  <c r="X256" i="16"/>
  <c r="X257" i="16"/>
  <c r="X258" i="16"/>
  <c r="X259" i="16"/>
  <c r="X260" i="16"/>
  <c r="X261" i="16"/>
  <c r="X262" i="16"/>
  <c r="X263" i="16"/>
  <c r="X264" i="16"/>
  <c r="X265" i="16"/>
  <c r="X266" i="16"/>
  <c r="X267" i="16"/>
  <c r="X268" i="16"/>
  <c r="X269" i="16"/>
  <c r="X270" i="16"/>
  <c r="X271" i="16"/>
  <c r="X272" i="16"/>
  <c r="X273" i="16"/>
  <c r="X274" i="16"/>
  <c r="X275" i="16"/>
  <c r="X276" i="16"/>
  <c r="X277" i="16"/>
  <c r="X278" i="16"/>
  <c r="X279" i="16"/>
  <c r="X280" i="16"/>
  <c r="X281" i="16"/>
  <c r="X282" i="16"/>
  <c r="X283" i="16"/>
  <c r="X284" i="16"/>
  <c r="X285" i="16"/>
  <c r="X286" i="16"/>
  <c r="X287" i="16"/>
  <c r="X288" i="16"/>
  <c r="X289" i="16"/>
  <c r="X290" i="16"/>
  <c r="X291" i="16"/>
  <c r="X292" i="16"/>
  <c r="X293" i="16"/>
  <c r="X294" i="16"/>
  <c r="X295" i="16"/>
  <c r="X296" i="16"/>
  <c r="X297" i="16"/>
  <c r="X298" i="16"/>
  <c r="X299" i="16"/>
  <c r="X300" i="16"/>
  <c r="X301" i="16"/>
  <c r="X302" i="16"/>
  <c r="X303" i="16"/>
  <c r="X304" i="16"/>
  <c r="X305" i="16"/>
  <c r="X306" i="16"/>
  <c r="X307" i="16"/>
  <c r="X308" i="16"/>
  <c r="X309" i="16"/>
  <c r="X310" i="16"/>
  <c r="X311" i="16"/>
  <c r="X312" i="16"/>
  <c r="X313" i="16"/>
  <c r="X314" i="16"/>
  <c r="X315" i="16"/>
  <c r="X316" i="16"/>
  <c r="X317" i="16"/>
  <c r="X318" i="16"/>
  <c r="X319" i="16"/>
  <c r="X320" i="16"/>
  <c r="X321" i="16"/>
  <c r="X322" i="16"/>
  <c r="X323" i="16"/>
  <c r="X324" i="16"/>
  <c r="X325" i="16"/>
  <c r="X326" i="16"/>
  <c r="X327" i="16"/>
  <c r="X328" i="16"/>
  <c r="X329" i="16"/>
  <c r="X330" i="16"/>
  <c r="X331" i="16"/>
  <c r="X332" i="16"/>
  <c r="X333" i="16"/>
  <c r="X334" i="16"/>
  <c r="X335" i="16"/>
  <c r="X336" i="16"/>
  <c r="X337" i="16"/>
  <c r="X338" i="16"/>
  <c r="X339" i="16"/>
  <c r="X340" i="16"/>
  <c r="X341" i="16"/>
  <c r="X342" i="16"/>
  <c r="X343" i="16"/>
  <c r="X344" i="16"/>
  <c r="X345" i="16"/>
  <c r="X346" i="16"/>
  <c r="X347" i="16"/>
  <c r="X348" i="16"/>
  <c r="X349" i="16"/>
  <c r="X350" i="16"/>
  <c r="X351" i="16"/>
  <c r="X352" i="16"/>
  <c r="X353" i="16"/>
  <c r="X354" i="16"/>
  <c r="X355" i="16"/>
  <c r="X356" i="16"/>
  <c r="X357" i="16"/>
  <c r="X358" i="16"/>
  <c r="X359" i="16"/>
  <c r="X360" i="16"/>
  <c r="X361" i="16"/>
  <c r="X362" i="16"/>
  <c r="X363" i="16"/>
  <c r="X364" i="16"/>
  <c r="X365" i="16"/>
  <c r="X366" i="16"/>
  <c r="X367" i="16"/>
  <c r="X368" i="16"/>
  <c r="X369" i="16"/>
  <c r="X370" i="16"/>
  <c r="X371" i="16"/>
  <c r="X372" i="16"/>
  <c r="X373" i="16"/>
  <c r="X374" i="16"/>
  <c r="X375" i="16"/>
  <c r="X376" i="16"/>
  <c r="X377" i="16"/>
  <c r="X378" i="16"/>
  <c r="X379" i="16"/>
  <c r="X380" i="16"/>
  <c r="X381" i="16"/>
  <c r="X382" i="16"/>
  <c r="X383" i="16"/>
  <c r="X384" i="16"/>
  <c r="X385" i="16"/>
  <c r="X386" i="16"/>
  <c r="X387" i="16"/>
  <c r="X388" i="16"/>
  <c r="X389" i="16"/>
  <c r="X390" i="16"/>
  <c r="X391" i="16"/>
  <c r="X392" i="16"/>
  <c r="X393" i="16"/>
  <c r="X394" i="16"/>
  <c r="X395" i="16"/>
  <c r="X396" i="16"/>
  <c r="X397" i="16"/>
  <c r="X398" i="16"/>
  <c r="X399" i="16"/>
  <c r="X400" i="16"/>
  <c r="X401" i="16"/>
  <c r="X402" i="16"/>
  <c r="X403" i="16"/>
  <c r="X404" i="16"/>
  <c r="X405" i="16"/>
  <c r="X406" i="16"/>
  <c r="X407" i="16"/>
  <c r="X408" i="16"/>
  <c r="X409" i="16"/>
  <c r="X410" i="16"/>
  <c r="X411" i="16"/>
  <c r="X412" i="16"/>
  <c r="X413" i="16"/>
  <c r="X414" i="16"/>
  <c r="X415" i="16"/>
  <c r="X416" i="16"/>
  <c r="X417" i="16"/>
  <c r="X418" i="16"/>
  <c r="X419" i="16"/>
  <c r="X420" i="16"/>
  <c r="X421" i="16"/>
  <c r="X422" i="16"/>
  <c r="X423" i="16"/>
  <c r="X424" i="16"/>
  <c r="X425" i="16"/>
  <c r="X426" i="16"/>
  <c r="X427" i="16"/>
  <c r="X428" i="16"/>
  <c r="X429" i="16"/>
  <c r="X430" i="16"/>
  <c r="X431" i="16"/>
  <c r="X432" i="16"/>
  <c r="X433" i="16"/>
  <c r="X434" i="16"/>
  <c r="X435" i="16"/>
  <c r="X436" i="16"/>
  <c r="X437" i="16"/>
  <c r="X438" i="16"/>
  <c r="X439" i="16"/>
  <c r="X440" i="16"/>
  <c r="X441" i="16"/>
  <c r="X442" i="16"/>
  <c r="X443" i="16"/>
  <c r="X444" i="16"/>
  <c r="X445" i="16"/>
  <c r="X446" i="16"/>
  <c r="X447" i="16"/>
  <c r="X448" i="16"/>
  <c r="X449" i="16"/>
  <c r="X450" i="16"/>
  <c r="X451" i="16"/>
  <c r="X452" i="16"/>
  <c r="X453" i="16"/>
  <c r="X454" i="16"/>
  <c r="X455" i="16"/>
  <c r="X456" i="16"/>
  <c r="X457" i="16"/>
  <c r="X458" i="16"/>
  <c r="X459" i="16"/>
  <c r="X460" i="16"/>
  <c r="X461" i="16"/>
  <c r="X462" i="16"/>
  <c r="X463" i="16"/>
  <c r="X464" i="16"/>
  <c r="X465" i="16"/>
  <c r="X466" i="16"/>
  <c r="X467" i="16"/>
  <c r="X468" i="16"/>
  <c r="X469" i="16"/>
  <c r="X470" i="16"/>
  <c r="X471" i="16"/>
  <c r="X472" i="16"/>
  <c r="X473" i="16"/>
  <c r="X474" i="16"/>
  <c r="X475" i="16"/>
  <c r="X476" i="16"/>
  <c r="X477" i="16"/>
  <c r="X478" i="16"/>
  <c r="X479" i="16"/>
  <c r="X480" i="16"/>
  <c r="X481" i="16"/>
  <c r="X482" i="16"/>
  <c r="X483" i="16"/>
  <c r="X484" i="16"/>
  <c r="X485" i="16"/>
  <c r="X486" i="16"/>
  <c r="X487" i="16"/>
  <c r="X488" i="16"/>
  <c r="X489" i="16"/>
  <c r="X490" i="16"/>
  <c r="X491" i="16"/>
  <c r="X492" i="16"/>
  <c r="X493" i="16"/>
  <c r="X494" i="16"/>
  <c r="X495" i="16"/>
  <c r="X496" i="16"/>
  <c r="X497" i="16"/>
  <c r="X498" i="16"/>
  <c r="X499" i="16"/>
  <c r="X500" i="16"/>
  <c r="X501" i="16"/>
  <c r="X502" i="16"/>
  <c r="X503" i="16"/>
  <c r="X504" i="16"/>
  <c r="X505" i="16"/>
  <c r="X506" i="16"/>
  <c r="X507" i="16"/>
  <c r="X508" i="16"/>
  <c r="X509" i="16"/>
  <c r="X510" i="16"/>
  <c r="X511" i="16"/>
  <c r="X512" i="16"/>
  <c r="X513" i="16"/>
  <c r="X514" i="16"/>
  <c r="X515" i="16"/>
  <c r="X516" i="16"/>
  <c r="X517" i="16"/>
  <c r="X518" i="16"/>
  <c r="X519" i="16"/>
  <c r="X520" i="16"/>
  <c r="X521" i="16"/>
  <c r="X522" i="16"/>
  <c r="X523" i="16"/>
  <c r="X524" i="16"/>
  <c r="X525" i="16"/>
  <c r="X526" i="16"/>
  <c r="X527" i="16"/>
  <c r="X528" i="16"/>
  <c r="X529" i="16"/>
  <c r="X530" i="16"/>
  <c r="X531" i="16"/>
  <c r="X532" i="16"/>
  <c r="X533" i="16"/>
  <c r="X534" i="16"/>
  <c r="X535" i="16"/>
  <c r="X536" i="16"/>
  <c r="X537" i="16"/>
  <c r="X538" i="16"/>
  <c r="X539" i="16"/>
  <c r="X540" i="16"/>
  <c r="X541" i="16"/>
  <c r="X542" i="16"/>
  <c r="X543" i="16"/>
  <c r="X544" i="16"/>
  <c r="X545" i="16"/>
  <c r="X546" i="16"/>
  <c r="X547" i="16"/>
  <c r="X548" i="16"/>
  <c r="X549" i="16"/>
  <c r="X550" i="16"/>
  <c r="X551" i="16"/>
  <c r="X552" i="16"/>
  <c r="X553" i="16"/>
  <c r="X554" i="16"/>
  <c r="X555" i="16"/>
  <c r="X556" i="16"/>
  <c r="X557" i="16"/>
  <c r="X558" i="16"/>
  <c r="X559" i="16"/>
  <c r="X560" i="16"/>
  <c r="X561" i="16"/>
  <c r="X562" i="16"/>
  <c r="X563" i="16"/>
  <c r="X564" i="16"/>
  <c r="X565" i="16"/>
  <c r="X566" i="16"/>
  <c r="X567" i="16"/>
  <c r="X568" i="16"/>
  <c r="X569" i="16"/>
  <c r="X570" i="16"/>
  <c r="X571" i="16"/>
  <c r="X572" i="16"/>
  <c r="X573" i="16"/>
  <c r="X574" i="16"/>
  <c r="X575" i="16"/>
  <c r="X576" i="16"/>
  <c r="X577" i="16"/>
  <c r="X578" i="16"/>
  <c r="X579" i="16"/>
  <c r="X580" i="16"/>
  <c r="X581" i="16"/>
  <c r="X582" i="16"/>
  <c r="X583" i="16"/>
  <c r="X584" i="16"/>
  <c r="X585" i="16"/>
  <c r="X586" i="16"/>
  <c r="X587" i="16"/>
  <c r="X588" i="16"/>
  <c r="X589" i="16"/>
  <c r="X590" i="16"/>
  <c r="X591" i="16"/>
  <c r="X592" i="16"/>
  <c r="X593" i="16"/>
  <c r="X594" i="16"/>
  <c r="X595" i="16"/>
  <c r="X596" i="16"/>
  <c r="X597" i="16"/>
  <c r="X598" i="16"/>
  <c r="X599" i="16"/>
  <c r="X600" i="16"/>
  <c r="X601" i="16"/>
  <c r="X602" i="16"/>
  <c r="X603" i="16"/>
  <c r="X604" i="16"/>
  <c r="X605" i="16"/>
  <c r="X606" i="16"/>
  <c r="X607" i="16"/>
  <c r="X608" i="16"/>
  <c r="X609" i="16"/>
  <c r="X610" i="16"/>
  <c r="X611" i="16"/>
  <c r="X612" i="16"/>
  <c r="X613" i="16"/>
  <c r="X614" i="16"/>
  <c r="X615" i="16"/>
  <c r="X616" i="16"/>
  <c r="X617" i="16"/>
  <c r="X618" i="16"/>
  <c r="X619" i="16"/>
  <c r="X620" i="16"/>
  <c r="X621" i="16"/>
  <c r="X622" i="16"/>
  <c r="X623" i="16"/>
  <c r="X624" i="16"/>
  <c r="X625" i="16"/>
  <c r="X626" i="16"/>
  <c r="X627" i="16"/>
  <c r="X628" i="16"/>
  <c r="X629" i="16"/>
  <c r="X630" i="16"/>
  <c r="X631" i="16"/>
  <c r="X632" i="16"/>
  <c r="X633" i="16"/>
  <c r="X634" i="16"/>
  <c r="X635" i="16"/>
  <c r="X636" i="16"/>
  <c r="X637" i="16"/>
  <c r="X638" i="16"/>
  <c r="X639" i="16"/>
  <c r="X640" i="16"/>
  <c r="X641" i="16"/>
  <c r="X642" i="16"/>
  <c r="X643" i="16"/>
  <c r="X644" i="16"/>
  <c r="X645" i="16"/>
  <c r="X646" i="16"/>
  <c r="X647" i="16"/>
  <c r="X648" i="16"/>
  <c r="X649" i="16"/>
  <c r="X650" i="16"/>
  <c r="X651" i="16"/>
  <c r="X652" i="16"/>
  <c r="X653" i="16"/>
  <c r="X654" i="16"/>
  <c r="X655" i="16"/>
  <c r="X656" i="16"/>
  <c r="X657" i="16"/>
  <c r="X658" i="16"/>
  <c r="X659" i="16"/>
  <c r="X660" i="16"/>
  <c r="X661" i="16"/>
  <c r="X662" i="16"/>
  <c r="X663" i="16"/>
  <c r="X664" i="16"/>
  <c r="X665" i="16"/>
  <c r="X666" i="16"/>
  <c r="X667" i="16"/>
  <c r="X668" i="16"/>
  <c r="X669" i="16"/>
  <c r="X670" i="16"/>
  <c r="X671" i="16"/>
  <c r="X672" i="16"/>
  <c r="X673" i="16"/>
  <c r="X674" i="16"/>
  <c r="X675" i="16"/>
  <c r="X676" i="16"/>
  <c r="X677" i="16"/>
  <c r="X678" i="16"/>
  <c r="X679" i="16"/>
  <c r="X680" i="16"/>
  <c r="X681" i="16"/>
  <c r="X682" i="16"/>
  <c r="X683" i="16"/>
  <c r="X684" i="16"/>
  <c r="X685" i="16"/>
  <c r="X686" i="16"/>
  <c r="X687" i="16"/>
  <c r="X688" i="16"/>
  <c r="X689" i="16"/>
  <c r="X690" i="16"/>
  <c r="X691" i="16"/>
  <c r="X692" i="16"/>
  <c r="X693" i="16"/>
  <c r="X694" i="16"/>
  <c r="X695" i="16"/>
  <c r="X696" i="16"/>
  <c r="X697" i="16"/>
  <c r="X698" i="16"/>
  <c r="X699" i="16"/>
  <c r="X700" i="16"/>
  <c r="X701" i="16"/>
  <c r="X702" i="16"/>
  <c r="X703" i="16"/>
  <c r="X704" i="16"/>
  <c r="X705" i="16"/>
  <c r="X706" i="16"/>
  <c r="X707" i="16"/>
  <c r="X708" i="16"/>
  <c r="X709" i="16"/>
  <c r="X710" i="16"/>
  <c r="X711" i="16"/>
  <c r="X712" i="16"/>
  <c r="X713" i="16"/>
  <c r="X714" i="16"/>
  <c r="X715" i="16"/>
  <c r="X716" i="16"/>
  <c r="X717" i="16"/>
  <c r="X718" i="16"/>
  <c r="X719" i="16"/>
  <c r="X720" i="16"/>
  <c r="X721" i="16"/>
  <c r="X722" i="16"/>
  <c r="X723" i="16"/>
  <c r="X724" i="16"/>
  <c r="X725" i="16"/>
  <c r="X726" i="16"/>
  <c r="X727" i="16"/>
  <c r="X728" i="16"/>
  <c r="X729" i="16"/>
  <c r="X730" i="16"/>
  <c r="X731" i="16"/>
  <c r="X732" i="16"/>
  <c r="X733" i="16"/>
  <c r="X734" i="16"/>
  <c r="X735" i="16"/>
  <c r="X736" i="16"/>
  <c r="X7" i="16"/>
  <c r="T5" i="8"/>
  <c r="S5" i="8"/>
  <c r="T22" i="8"/>
  <c r="S22" i="8"/>
  <c r="T16" i="8"/>
  <c r="S16" i="8"/>
  <c r="T13" i="8"/>
  <c r="S13" i="8"/>
  <c r="T8" i="8"/>
  <c r="S8" i="8"/>
  <c r="T24" i="8"/>
  <c r="S24" i="8"/>
  <c r="T23" i="8"/>
  <c r="T25" i="8" s="1"/>
  <c r="S23" i="8"/>
  <c r="S25" i="8" s="1"/>
  <c r="T18" i="8"/>
  <c r="S18" i="8"/>
  <c r="T14" i="8"/>
  <c r="S14" i="8"/>
  <c r="M75" i="8" l="1"/>
  <c r="T75" i="8" s="1"/>
  <c r="L75" i="8"/>
  <c r="S75" i="8" s="1"/>
  <c r="U15" i="15"/>
  <c r="U14" i="15"/>
  <c r="U19" i="15"/>
  <c r="U18" i="15"/>
  <c r="U11" i="15"/>
  <c r="U10" i="15"/>
  <c r="U7" i="15"/>
  <c r="U6" i="15"/>
  <c r="Z735" i="15"/>
  <c r="Z734" i="15"/>
  <c r="Z733" i="15"/>
  <c r="Z732" i="15"/>
  <c r="Z731" i="15"/>
  <c r="Z730" i="15"/>
  <c r="Z729" i="15"/>
  <c r="Z728" i="15"/>
  <c r="Z727" i="15"/>
  <c r="Z726" i="15"/>
  <c r="Z725" i="15"/>
  <c r="Z724" i="15"/>
  <c r="Z723" i="15"/>
  <c r="Z722" i="15"/>
  <c r="Z721" i="15"/>
  <c r="Z720" i="15"/>
  <c r="Z719" i="15"/>
  <c r="Z718" i="15"/>
  <c r="Z717" i="15"/>
  <c r="Z716" i="15"/>
  <c r="Z715" i="15"/>
  <c r="Z714" i="15"/>
  <c r="Z713" i="15"/>
  <c r="Z712" i="15"/>
  <c r="Z711" i="15"/>
  <c r="Z710" i="15"/>
  <c r="Z709" i="15"/>
  <c r="Z708" i="15"/>
  <c r="Z707" i="15"/>
  <c r="Z706" i="15"/>
  <c r="Z705" i="15"/>
  <c r="Z704" i="15"/>
  <c r="Z703" i="15"/>
  <c r="Z702" i="15"/>
  <c r="Z701" i="15"/>
  <c r="Z700" i="15"/>
  <c r="Z699" i="15"/>
  <c r="Z698" i="15"/>
  <c r="Z697" i="15"/>
  <c r="Z696" i="15"/>
  <c r="Z695" i="15"/>
  <c r="Z694" i="15"/>
  <c r="Z693" i="15"/>
  <c r="Z692" i="15"/>
  <c r="Z691" i="15"/>
  <c r="Z690" i="15"/>
  <c r="Z689" i="15"/>
  <c r="Z688" i="15"/>
  <c r="Z687" i="15"/>
  <c r="Z686" i="15"/>
  <c r="Z685" i="15"/>
  <c r="Z684" i="15"/>
  <c r="Z683" i="15"/>
  <c r="Z682" i="15"/>
  <c r="Z681" i="15"/>
  <c r="Z680" i="15"/>
  <c r="Z679" i="15"/>
  <c r="Z678" i="15"/>
  <c r="Z677" i="15"/>
  <c r="Z676" i="15"/>
  <c r="Z675" i="15"/>
  <c r="Z674" i="15"/>
  <c r="Z673" i="15"/>
  <c r="Z672" i="15"/>
  <c r="Z671" i="15"/>
  <c r="Z670" i="15"/>
  <c r="Z669" i="15"/>
  <c r="Z668" i="15"/>
  <c r="Z667" i="15"/>
  <c r="Z666" i="15"/>
  <c r="Z665" i="15"/>
  <c r="Z664" i="15"/>
  <c r="Z663" i="15"/>
  <c r="Z662" i="15"/>
  <c r="Z661" i="15"/>
  <c r="Z660" i="15"/>
  <c r="Z659" i="15"/>
  <c r="Z658" i="15"/>
  <c r="Z657" i="15"/>
  <c r="Z656" i="15"/>
  <c r="Z655" i="15"/>
  <c r="Z654" i="15"/>
  <c r="Z653" i="15"/>
  <c r="Z652" i="15"/>
  <c r="Z651" i="15"/>
  <c r="Z650" i="15"/>
  <c r="Z649" i="15"/>
  <c r="Z648" i="15"/>
  <c r="Z647" i="15"/>
  <c r="Z646" i="15"/>
  <c r="Z645" i="15"/>
  <c r="Z644" i="15"/>
  <c r="Z643" i="15"/>
  <c r="Z642" i="15"/>
  <c r="Z641" i="15"/>
  <c r="Z640" i="15"/>
  <c r="Z639" i="15"/>
  <c r="Z638" i="15"/>
  <c r="Z637" i="15"/>
  <c r="Z636" i="15"/>
  <c r="Z635" i="15"/>
  <c r="Z634" i="15"/>
  <c r="Z633" i="15"/>
  <c r="Z632" i="15"/>
  <c r="Z631" i="15"/>
  <c r="Z630" i="15"/>
  <c r="Z629" i="15"/>
  <c r="Z628" i="15"/>
  <c r="Z627" i="15"/>
  <c r="Z626" i="15"/>
  <c r="Z625" i="15"/>
  <c r="Z624" i="15"/>
  <c r="Z623" i="15"/>
  <c r="Z622" i="15"/>
  <c r="Z621" i="15"/>
  <c r="Z620" i="15"/>
  <c r="Z619" i="15"/>
  <c r="Z618" i="15"/>
  <c r="Z617" i="15"/>
  <c r="Z616" i="15"/>
  <c r="Z615" i="15"/>
  <c r="Z614" i="15"/>
  <c r="Z613" i="15"/>
  <c r="Z612" i="15"/>
  <c r="Z611" i="15"/>
  <c r="Z610" i="15"/>
  <c r="Z609" i="15"/>
  <c r="Z608" i="15"/>
  <c r="Z607" i="15"/>
  <c r="Z606" i="15"/>
  <c r="Z605" i="15"/>
  <c r="Z604" i="15"/>
  <c r="Z603" i="15"/>
  <c r="Z602" i="15"/>
  <c r="Z601" i="15"/>
  <c r="Z600" i="15"/>
  <c r="Z599" i="15"/>
  <c r="Z598" i="15"/>
  <c r="Z597" i="15"/>
  <c r="Z596" i="15"/>
  <c r="Z595" i="15"/>
  <c r="Z594" i="15"/>
  <c r="Z593" i="15"/>
  <c r="Z592" i="15"/>
  <c r="Z591" i="15"/>
  <c r="Z590" i="15"/>
  <c r="Z589" i="15"/>
  <c r="Z588" i="15"/>
  <c r="Z587" i="15"/>
  <c r="Z586" i="15"/>
  <c r="Z585" i="15"/>
  <c r="Z584" i="15"/>
  <c r="Z583" i="15"/>
  <c r="Z582" i="15"/>
  <c r="Z581" i="15"/>
  <c r="Z580" i="15"/>
  <c r="Z579" i="15"/>
  <c r="Z578" i="15"/>
  <c r="Z577" i="15"/>
  <c r="Z576" i="15"/>
  <c r="Z575" i="15"/>
  <c r="Z574" i="15"/>
  <c r="Z573" i="15"/>
  <c r="Z572" i="15"/>
  <c r="Z571" i="15"/>
  <c r="Z570" i="15"/>
  <c r="Z569" i="15"/>
  <c r="Z568" i="15"/>
  <c r="Z567" i="15"/>
  <c r="Z566" i="15"/>
  <c r="Z565" i="15"/>
  <c r="Z564" i="15"/>
  <c r="Z563" i="15"/>
  <c r="Z562" i="15"/>
  <c r="Z561" i="15"/>
  <c r="Z560" i="15"/>
  <c r="Z559" i="15"/>
  <c r="Z558" i="15"/>
  <c r="Z557" i="15"/>
  <c r="Z556" i="15"/>
  <c r="Z555" i="15"/>
  <c r="Z554" i="15"/>
  <c r="Z553" i="15"/>
  <c r="Z552" i="15"/>
  <c r="Z551" i="15"/>
  <c r="Z550" i="15"/>
  <c r="Z549" i="15"/>
  <c r="Z548" i="15"/>
  <c r="Z547" i="15"/>
  <c r="Z546" i="15"/>
  <c r="Z545" i="15"/>
  <c r="Z544" i="15"/>
  <c r="Z543" i="15"/>
  <c r="Z542" i="15"/>
  <c r="Z541" i="15"/>
  <c r="Z540" i="15"/>
  <c r="Z539" i="15"/>
  <c r="Z538" i="15"/>
  <c r="Z537" i="15"/>
  <c r="Z536" i="15"/>
  <c r="Z535" i="15"/>
  <c r="Z534" i="15"/>
  <c r="Z533" i="15"/>
  <c r="Z532" i="15"/>
  <c r="Z531" i="15"/>
  <c r="Z530" i="15"/>
  <c r="Z529" i="15"/>
  <c r="Z528" i="15"/>
  <c r="Z527" i="15"/>
  <c r="Z526" i="15"/>
  <c r="Z525" i="15"/>
  <c r="Z524" i="15"/>
  <c r="Z523" i="15"/>
  <c r="Z522" i="15"/>
  <c r="Z521" i="15"/>
  <c r="Z520" i="15"/>
  <c r="Z519" i="15"/>
  <c r="Z518" i="15"/>
  <c r="Z517" i="15"/>
  <c r="Z516" i="15"/>
  <c r="Z515" i="15"/>
  <c r="Z514" i="15"/>
  <c r="Z513" i="15"/>
  <c r="Z512" i="15"/>
  <c r="Z511" i="15"/>
  <c r="Z510" i="15"/>
  <c r="Z509" i="15"/>
  <c r="Z508" i="15"/>
  <c r="Z507" i="15"/>
  <c r="Z506" i="15"/>
  <c r="Z505" i="15"/>
  <c r="Z504" i="15"/>
  <c r="Z503" i="15"/>
  <c r="Z502" i="15"/>
  <c r="Z501" i="15"/>
  <c r="Z500" i="15"/>
  <c r="Z499" i="15"/>
  <c r="Z498" i="15"/>
  <c r="Z497" i="15"/>
  <c r="Z496" i="15"/>
  <c r="Z495" i="15"/>
  <c r="Z494" i="15"/>
  <c r="Z493" i="15"/>
  <c r="Z492" i="15"/>
  <c r="Z491" i="15"/>
  <c r="Z490" i="15"/>
  <c r="Z489" i="15"/>
  <c r="Z488" i="15"/>
  <c r="Z487" i="15"/>
  <c r="Z486" i="15"/>
  <c r="Z485" i="15"/>
  <c r="Z484" i="15"/>
  <c r="Z483" i="15"/>
  <c r="Z482" i="15"/>
  <c r="Z481" i="15"/>
  <c r="Z480" i="15"/>
  <c r="Z479" i="15"/>
  <c r="Z478" i="15"/>
  <c r="Z477" i="15"/>
  <c r="Z476" i="15"/>
  <c r="Z475" i="15"/>
  <c r="Z474" i="15"/>
  <c r="Z473" i="15"/>
  <c r="Z472" i="15"/>
  <c r="Z471" i="15"/>
  <c r="Z470" i="15"/>
  <c r="Z469" i="15"/>
  <c r="Z468" i="15"/>
  <c r="Z467" i="15"/>
  <c r="Z466" i="15"/>
  <c r="Z465" i="15"/>
  <c r="Z464" i="15"/>
  <c r="Z463" i="15"/>
  <c r="Z462" i="15"/>
  <c r="Z461" i="15"/>
  <c r="Z460" i="15"/>
  <c r="Z459" i="15"/>
  <c r="Z458" i="15"/>
  <c r="Z457" i="15"/>
  <c r="Z456" i="15"/>
  <c r="Z455" i="15"/>
  <c r="Z454" i="15"/>
  <c r="Z453" i="15"/>
  <c r="Z452" i="15"/>
  <c r="Z451" i="15"/>
  <c r="Z450" i="15"/>
  <c r="Z449" i="15"/>
  <c r="Z448" i="15"/>
  <c r="Z447" i="15"/>
  <c r="Z446" i="15"/>
  <c r="Z445" i="15"/>
  <c r="Z444" i="15"/>
  <c r="Z443" i="15"/>
  <c r="Z442" i="15"/>
  <c r="Z441" i="15"/>
  <c r="Z440" i="15"/>
  <c r="Z439" i="15"/>
  <c r="Z438" i="15"/>
  <c r="Z437" i="15"/>
  <c r="Z436" i="15"/>
  <c r="Z435" i="15"/>
  <c r="Z434" i="15"/>
  <c r="Z433" i="15"/>
  <c r="Z432" i="15"/>
  <c r="Z431" i="15"/>
  <c r="Z430" i="15"/>
  <c r="Z429" i="15"/>
  <c r="Z428" i="15"/>
  <c r="Z427" i="15"/>
  <c r="Z426" i="15"/>
  <c r="Z425" i="15"/>
  <c r="Z424" i="15"/>
  <c r="Z423" i="15"/>
  <c r="Z422" i="15"/>
  <c r="Z421" i="15"/>
  <c r="Z420" i="15"/>
  <c r="Z419" i="15"/>
  <c r="Z418" i="15"/>
  <c r="Z417" i="15"/>
  <c r="Z416" i="15"/>
  <c r="Z415" i="15"/>
  <c r="Z414" i="15"/>
  <c r="Z413" i="15"/>
  <c r="Z412" i="15"/>
  <c r="Z411" i="15"/>
  <c r="Z410" i="15"/>
  <c r="Z409" i="15"/>
  <c r="Z408" i="15"/>
  <c r="Z407" i="15"/>
  <c r="Z406" i="15"/>
  <c r="Z405" i="15"/>
  <c r="Z404" i="15"/>
  <c r="Z403" i="15"/>
  <c r="Z402" i="15"/>
  <c r="Z401" i="15"/>
  <c r="Z400" i="15"/>
  <c r="Z399" i="15"/>
  <c r="Z398" i="15"/>
  <c r="Z397" i="15"/>
  <c r="Z396" i="15"/>
  <c r="Z395" i="15"/>
  <c r="Z394" i="15"/>
  <c r="Z393" i="15"/>
  <c r="Z392" i="15"/>
  <c r="Z391" i="15"/>
  <c r="Z390" i="15"/>
  <c r="Z389" i="15"/>
  <c r="Z388" i="15"/>
  <c r="Z387" i="15"/>
  <c r="Z386" i="15"/>
  <c r="Z385" i="15"/>
  <c r="Z384" i="15"/>
  <c r="Z383" i="15"/>
  <c r="Z382" i="15"/>
  <c r="Z381" i="15"/>
  <c r="Z380" i="15"/>
  <c r="Z379" i="15"/>
  <c r="Z378" i="15"/>
  <c r="Z377" i="15"/>
  <c r="Z376" i="15"/>
  <c r="Z375" i="15"/>
  <c r="Z374" i="15"/>
  <c r="Z373" i="15"/>
  <c r="Z372" i="15"/>
  <c r="Z371" i="15"/>
  <c r="Z370" i="15"/>
  <c r="Z369" i="15"/>
  <c r="Z368" i="15"/>
  <c r="Z367" i="15"/>
  <c r="Z366" i="15"/>
  <c r="Z365" i="15"/>
  <c r="Z364" i="15"/>
  <c r="Z363" i="15"/>
  <c r="Z362" i="15"/>
  <c r="Z361" i="15"/>
  <c r="Z360" i="15"/>
  <c r="Z359" i="15"/>
  <c r="Z358" i="15"/>
  <c r="Z357" i="15"/>
  <c r="Z356" i="15"/>
  <c r="Z355" i="15"/>
  <c r="Z354" i="15"/>
  <c r="Z353" i="15"/>
  <c r="Z352" i="15"/>
  <c r="Z351" i="15"/>
  <c r="Z350" i="15"/>
  <c r="Z349" i="15"/>
  <c r="Z348" i="15"/>
  <c r="Z347" i="15"/>
  <c r="Z346" i="15"/>
  <c r="Z345" i="15"/>
  <c r="Z344" i="15"/>
  <c r="Z343" i="15"/>
  <c r="Z342" i="15"/>
  <c r="Z341" i="15"/>
  <c r="Z340" i="15"/>
  <c r="Z339" i="15"/>
  <c r="Z338" i="15"/>
  <c r="Z337" i="15"/>
  <c r="Z336" i="15"/>
  <c r="Z335" i="15"/>
  <c r="Z334" i="15"/>
  <c r="Z333" i="15"/>
  <c r="Z332" i="15"/>
  <c r="Z331" i="15"/>
  <c r="Z330" i="15"/>
  <c r="Z329" i="15"/>
  <c r="Z328" i="15"/>
  <c r="Z327" i="15"/>
  <c r="Z326" i="15"/>
  <c r="Z325" i="15"/>
  <c r="Z324" i="15"/>
  <c r="Z323" i="15"/>
  <c r="Z322" i="15"/>
  <c r="Z321" i="15"/>
  <c r="Z320" i="15"/>
  <c r="Z319" i="15"/>
  <c r="Z318" i="15"/>
  <c r="Z317" i="15"/>
  <c r="Z316" i="15"/>
  <c r="Z315" i="15"/>
  <c r="Z314" i="15"/>
  <c r="Z313" i="15"/>
  <c r="Z312" i="15"/>
  <c r="Z311" i="15"/>
  <c r="Z310" i="15"/>
  <c r="Z309" i="15"/>
  <c r="Z308" i="15"/>
  <c r="Z307" i="15"/>
  <c r="Z306" i="15"/>
  <c r="Z305" i="15"/>
  <c r="Z304" i="15"/>
  <c r="Z303" i="15"/>
  <c r="Z302" i="15"/>
  <c r="Z301" i="15"/>
  <c r="Z300" i="15"/>
  <c r="Z299" i="15"/>
  <c r="Z298" i="15"/>
  <c r="Z297" i="15"/>
  <c r="Z296" i="15"/>
  <c r="Z295" i="15"/>
  <c r="Z294" i="15"/>
  <c r="Z293" i="15"/>
  <c r="Z292" i="15"/>
  <c r="Z291" i="15"/>
  <c r="Z290" i="15"/>
  <c r="Z289" i="15"/>
  <c r="Z288" i="15"/>
  <c r="Z287" i="15"/>
  <c r="Z286" i="15"/>
  <c r="Z285" i="15"/>
  <c r="Z284" i="15"/>
  <c r="Z283" i="15"/>
  <c r="Z282" i="15"/>
  <c r="Z281" i="15"/>
  <c r="Z280" i="15"/>
  <c r="Z279" i="15"/>
  <c r="Z278" i="15"/>
  <c r="Z277" i="15"/>
  <c r="Z276" i="15"/>
  <c r="Z275" i="15"/>
  <c r="Z274" i="15"/>
  <c r="Z273" i="15"/>
  <c r="Z272" i="15"/>
  <c r="Z271" i="15"/>
  <c r="Z270" i="15"/>
  <c r="Z269" i="15"/>
  <c r="Z268" i="15"/>
  <c r="Z267" i="15"/>
  <c r="Z266" i="15"/>
  <c r="Z265" i="15"/>
  <c r="Z264" i="15"/>
  <c r="Z263" i="15"/>
  <c r="Z262" i="15"/>
  <c r="Z261" i="15"/>
  <c r="Z260" i="15"/>
  <c r="Z259" i="15"/>
  <c r="Z258" i="15"/>
  <c r="Z257" i="15"/>
  <c r="Z256" i="15"/>
  <c r="Z255" i="15"/>
  <c r="Z254" i="15"/>
  <c r="Z253" i="15"/>
  <c r="Z252" i="15"/>
  <c r="Z251" i="15"/>
  <c r="Z250" i="15"/>
  <c r="Z249" i="15"/>
  <c r="Z248" i="15"/>
  <c r="Z247" i="15"/>
  <c r="Z246" i="15"/>
  <c r="Z245" i="15"/>
  <c r="Z244" i="15"/>
  <c r="Z243" i="15"/>
  <c r="Z242" i="15"/>
  <c r="Z241" i="15"/>
  <c r="Z240" i="15"/>
  <c r="Z239" i="15"/>
  <c r="Z238" i="15"/>
  <c r="Z237" i="15"/>
  <c r="Z236" i="15"/>
  <c r="Z235" i="15"/>
  <c r="Z234" i="15"/>
  <c r="Z233" i="15"/>
  <c r="Z232" i="15"/>
  <c r="Z231" i="15"/>
  <c r="Z230" i="15"/>
  <c r="Z229" i="15"/>
  <c r="Z228" i="15"/>
  <c r="Z227" i="15"/>
  <c r="Z226" i="15"/>
  <c r="Z225" i="15"/>
  <c r="Z224" i="15"/>
  <c r="Z223" i="15"/>
  <c r="Z222" i="15"/>
  <c r="Z221" i="15"/>
  <c r="Z220" i="15"/>
  <c r="Z219" i="15"/>
  <c r="Z218" i="15"/>
  <c r="Z217" i="15"/>
  <c r="Z216" i="15"/>
  <c r="Z215" i="15"/>
  <c r="Z214" i="15"/>
  <c r="Z213" i="15"/>
  <c r="Z212" i="15"/>
  <c r="Z211" i="15"/>
  <c r="Z210" i="15"/>
  <c r="Z209" i="15"/>
  <c r="Z208" i="15"/>
  <c r="Z207" i="15"/>
  <c r="Z206" i="15"/>
  <c r="Z205" i="15"/>
  <c r="Z204" i="15"/>
  <c r="Z203" i="15"/>
  <c r="Z202" i="15"/>
  <c r="Z201" i="15"/>
  <c r="Z200" i="15"/>
  <c r="Z199" i="15"/>
  <c r="Z198" i="15"/>
  <c r="Z197" i="15"/>
  <c r="Z196" i="15"/>
  <c r="Z195" i="15"/>
  <c r="Z194" i="15"/>
  <c r="Z193" i="15"/>
  <c r="Z192" i="15"/>
  <c r="Z191" i="15"/>
  <c r="Z190" i="15"/>
  <c r="Z189" i="15"/>
  <c r="Z188" i="15"/>
  <c r="Z187" i="15"/>
  <c r="Z186" i="15"/>
  <c r="Z185" i="15"/>
  <c r="Z184" i="15"/>
  <c r="Z183" i="15"/>
  <c r="Z182" i="15"/>
  <c r="Z181" i="15"/>
  <c r="Z180" i="15"/>
  <c r="Z179" i="15"/>
  <c r="Z178" i="15"/>
  <c r="Z177" i="15"/>
  <c r="Z176" i="15"/>
  <c r="Z175" i="15"/>
  <c r="Z174" i="15"/>
  <c r="Z173" i="15"/>
  <c r="Z172" i="15"/>
  <c r="Z171" i="15"/>
  <c r="Z170" i="15"/>
  <c r="Z169" i="15"/>
  <c r="Z168" i="15"/>
  <c r="Z167" i="15"/>
  <c r="Z166" i="15"/>
  <c r="Z165" i="15"/>
  <c r="Z164" i="15"/>
  <c r="Z163" i="15"/>
  <c r="Z162" i="15"/>
  <c r="Z161" i="15"/>
  <c r="Z160" i="15"/>
  <c r="Z159" i="15"/>
  <c r="Z158" i="15"/>
  <c r="Z157" i="15"/>
  <c r="Z156" i="15"/>
  <c r="Z155" i="15"/>
  <c r="Z154" i="15"/>
  <c r="Z153" i="15"/>
  <c r="Z152" i="15"/>
  <c r="Z151" i="15"/>
  <c r="Z150" i="15"/>
  <c r="Z149" i="15"/>
  <c r="Z148" i="15"/>
  <c r="Z147" i="15"/>
  <c r="Z146" i="15"/>
  <c r="Z145" i="15"/>
  <c r="Z144" i="15"/>
  <c r="Z143" i="15"/>
  <c r="Z142" i="15"/>
  <c r="Z141" i="15"/>
  <c r="Z140" i="15"/>
  <c r="Z139" i="15"/>
  <c r="Z138" i="15"/>
  <c r="Z137" i="15"/>
  <c r="Z136" i="15"/>
  <c r="Z135" i="15"/>
  <c r="Z134" i="15"/>
  <c r="Z133" i="15"/>
  <c r="Z132" i="15"/>
  <c r="Z131" i="15"/>
  <c r="Z130" i="15"/>
  <c r="Z129" i="15"/>
  <c r="Z128" i="15"/>
  <c r="Z127" i="15"/>
  <c r="Z126" i="15"/>
  <c r="Z125" i="15"/>
  <c r="Z124" i="15"/>
  <c r="Z123" i="15"/>
  <c r="Z122" i="15"/>
  <c r="Z121" i="15"/>
  <c r="Z120" i="15"/>
  <c r="Z119" i="15"/>
  <c r="Z118" i="15"/>
  <c r="Z117" i="15"/>
  <c r="Z116" i="15"/>
  <c r="Z115" i="15"/>
  <c r="Z114" i="15"/>
  <c r="Z113" i="15"/>
  <c r="Z112" i="15"/>
  <c r="Z111" i="15"/>
  <c r="Z110" i="15"/>
  <c r="Z109" i="15"/>
  <c r="Z108" i="15"/>
  <c r="Z107" i="15"/>
  <c r="Z106" i="15"/>
  <c r="Z105" i="15"/>
  <c r="Z104" i="15"/>
  <c r="Z103" i="15"/>
  <c r="Z102" i="15"/>
  <c r="Z101" i="15"/>
  <c r="Z100" i="15"/>
  <c r="Z99" i="15"/>
  <c r="Z98" i="15"/>
  <c r="Z97" i="15"/>
  <c r="Z96" i="15"/>
  <c r="Z95" i="15"/>
  <c r="Z94" i="15"/>
  <c r="Z93" i="15"/>
  <c r="Z92" i="15"/>
  <c r="Z91" i="15"/>
  <c r="Z90" i="15"/>
  <c r="Z89" i="15"/>
  <c r="Z88" i="15"/>
  <c r="Z87" i="15"/>
  <c r="Z86" i="15"/>
  <c r="Z85" i="15"/>
  <c r="Z84" i="15"/>
  <c r="Z83" i="15"/>
  <c r="Z82" i="15"/>
  <c r="Z81" i="15"/>
  <c r="Z80" i="15"/>
  <c r="Z79" i="15"/>
  <c r="Z78" i="15"/>
  <c r="Z77" i="15"/>
  <c r="Z76" i="15"/>
  <c r="Z75" i="15"/>
  <c r="Z74" i="15"/>
  <c r="Z73" i="15"/>
  <c r="Z72" i="15"/>
  <c r="Z71" i="15"/>
  <c r="Z70" i="15"/>
  <c r="Z69" i="15"/>
  <c r="Z68" i="15"/>
  <c r="Z67" i="15"/>
  <c r="Z66" i="15"/>
  <c r="Z65" i="15"/>
  <c r="Z64" i="15"/>
  <c r="Z63" i="15"/>
  <c r="Z62" i="15"/>
  <c r="Z61" i="15"/>
  <c r="Z60" i="15"/>
  <c r="Z59" i="15"/>
  <c r="Z58" i="15"/>
  <c r="Z57" i="15"/>
  <c r="Z56" i="15"/>
  <c r="Z55" i="15"/>
  <c r="Z54" i="15"/>
  <c r="Z53" i="15"/>
  <c r="Z52" i="15"/>
  <c r="Z51" i="15"/>
  <c r="Z50" i="15"/>
  <c r="Z49" i="15"/>
  <c r="Z48" i="15"/>
  <c r="Z47" i="15"/>
  <c r="Z46" i="15"/>
  <c r="Z45" i="15"/>
  <c r="Z44" i="15"/>
  <c r="Z43" i="15"/>
  <c r="Z42" i="15"/>
  <c r="Z41" i="15"/>
  <c r="Z40" i="15"/>
  <c r="Z39" i="15"/>
  <c r="Z38" i="15"/>
  <c r="Z37" i="15"/>
  <c r="Z36" i="15"/>
  <c r="Z35" i="15"/>
  <c r="Z34" i="15"/>
  <c r="Z33" i="15"/>
  <c r="Z32" i="15"/>
  <c r="Z31" i="15"/>
  <c r="Z30" i="15"/>
  <c r="Z29" i="15"/>
  <c r="Z28" i="15"/>
  <c r="Z27" i="15"/>
  <c r="Z26" i="15"/>
  <c r="Z25" i="15"/>
  <c r="Z24" i="15"/>
  <c r="Z23" i="15"/>
  <c r="Z22" i="15"/>
  <c r="Z21" i="15"/>
  <c r="Z20" i="15"/>
  <c r="Z19" i="15"/>
  <c r="Z18" i="15"/>
  <c r="Z17" i="15"/>
  <c r="Z16" i="15"/>
  <c r="Z15" i="15"/>
  <c r="Z14" i="15"/>
  <c r="Z13" i="15"/>
  <c r="Z12" i="15"/>
  <c r="Z11" i="15"/>
  <c r="Z10" i="15"/>
  <c r="Z9" i="15"/>
  <c r="Z8" i="15"/>
  <c r="Z7" i="15"/>
  <c r="Z6" i="15"/>
  <c r="AW6" i="16"/>
  <c r="F16" i="8"/>
  <c r="E16" i="8"/>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F18" i="8"/>
  <c r="E18" i="8"/>
  <c r="F13" i="8"/>
  <c r="E13" i="8"/>
  <c r="D16" i="8"/>
  <c r="AJ10" i="16" l="1"/>
  <c r="AJ14" i="16"/>
  <c r="AJ18" i="16"/>
  <c r="AJ22" i="16"/>
  <c r="AJ26" i="16"/>
  <c r="AJ30" i="16"/>
  <c r="AJ34" i="16"/>
  <c r="AJ38" i="16"/>
  <c r="AJ42" i="16"/>
  <c r="AJ46" i="16"/>
  <c r="AJ50" i="16"/>
  <c r="AJ54" i="16"/>
  <c r="AJ58" i="16"/>
  <c r="AJ62" i="16"/>
  <c r="AJ66" i="16"/>
  <c r="AJ70" i="16"/>
  <c r="AJ74" i="16"/>
  <c r="AJ78" i="16"/>
  <c r="AJ82" i="16"/>
  <c r="AJ86" i="16"/>
  <c r="AJ90" i="16"/>
  <c r="AJ94" i="16"/>
  <c r="AJ98" i="16"/>
  <c r="AJ102" i="16"/>
  <c r="AJ106" i="16"/>
  <c r="AJ110" i="16"/>
  <c r="AJ114" i="16"/>
  <c r="AJ118" i="16"/>
  <c r="AJ122" i="16"/>
  <c r="AJ126" i="16"/>
  <c r="AJ130" i="16"/>
  <c r="AJ134" i="16"/>
  <c r="AJ138" i="16"/>
  <c r="AJ142" i="16"/>
  <c r="AJ146" i="16"/>
  <c r="AJ150" i="16"/>
  <c r="AJ154" i="16"/>
  <c r="AJ158" i="16"/>
  <c r="AJ162" i="16"/>
  <c r="AJ166" i="16"/>
  <c r="AJ170" i="16"/>
  <c r="AJ174" i="16"/>
  <c r="AJ178" i="16"/>
  <c r="AJ182" i="16"/>
  <c r="AJ186" i="16"/>
  <c r="AJ190" i="16"/>
  <c r="AJ194" i="16"/>
  <c r="AJ198" i="16"/>
  <c r="AJ202" i="16"/>
  <c r="AJ206" i="16"/>
  <c r="AJ210" i="16"/>
  <c r="AJ214" i="16"/>
  <c r="AJ218" i="16"/>
  <c r="AJ222" i="16"/>
  <c r="AJ226" i="16"/>
  <c r="AJ230" i="16"/>
  <c r="AJ234" i="16"/>
  <c r="AJ238" i="16"/>
  <c r="AJ242" i="16"/>
  <c r="AJ246" i="16"/>
  <c r="AJ250" i="16"/>
  <c r="AJ254" i="16"/>
  <c r="AJ258" i="16"/>
  <c r="AJ262" i="16"/>
  <c r="AJ266" i="16"/>
  <c r="AJ270" i="16"/>
  <c r="AJ274" i="16"/>
  <c r="AJ278" i="16"/>
  <c r="AJ282" i="16"/>
  <c r="AJ286" i="16"/>
  <c r="AJ290" i="16"/>
  <c r="AJ294" i="16"/>
  <c r="AJ298" i="16"/>
  <c r="AJ302" i="16"/>
  <c r="AJ306" i="16"/>
  <c r="AJ310" i="16"/>
  <c r="AJ314" i="16"/>
  <c r="AJ318" i="16"/>
  <c r="AJ322" i="16"/>
  <c r="AJ326" i="16"/>
  <c r="AJ330" i="16"/>
  <c r="AJ334" i="16"/>
  <c r="AJ338" i="16"/>
  <c r="AJ342" i="16"/>
  <c r="AJ346" i="16"/>
  <c r="AJ11" i="16"/>
  <c r="AJ15" i="16"/>
  <c r="AJ19" i="16"/>
  <c r="AJ23" i="16"/>
  <c r="AJ27" i="16"/>
  <c r="AJ31" i="16"/>
  <c r="AJ35" i="16"/>
  <c r="AJ39" i="16"/>
  <c r="AJ43" i="16"/>
  <c r="AJ47" i="16"/>
  <c r="AJ51" i="16"/>
  <c r="AJ55" i="16"/>
  <c r="AJ59" i="16"/>
  <c r="AJ63" i="16"/>
  <c r="AJ67" i="16"/>
  <c r="AJ71" i="16"/>
  <c r="AJ75" i="16"/>
  <c r="AJ79" i="16"/>
  <c r="AJ83" i="16"/>
  <c r="AJ87" i="16"/>
  <c r="AJ91" i="16"/>
  <c r="AJ95" i="16"/>
  <c r="AJ99" i="16"/>
  <c r="AJ103" i="16"/>
  <c r="AJ107" i="16"/>
  <c r="AJ111" i="16"/>
  <c r="AJ115" i="16"/>
  <c r="AJ119" i="16"/>
  <c r="AJ123" i="16"/>
  <c r="AJ127" i="16"/>
  <c r="AJ131" i="16"/>
  <c r="AJ135" i="16"/>
  <c r="AJ139" i="16"/>
  <c r="AJ143" i="16"/>
  <c r="AJ147" i="16"/>
  <c r="AJ151" i="16"/>
  <c r="AJ155" i="16"/>
  <c r="AJ159" i="16"/>
  <c r="AJ163" i="16"/>
  <c r="AJ167" i="16"/>
  <c r="AJ171" i="16"/>
  <c r="AJ175" i="16"/>
  <c r="AJ179" i="16"/>
  <c r="AJ183" i="16"/>
  <c r="AJ187" i="16"/>
  <c r="AJ191" i="16"/>
  <c r="AJ195" i="16"/>
  <c r="AJ199" i="16"/>
  <c r="AJ203" i="16"/>
  <c r="AJ207" i="16"/>
  <c r="AJ211" i="16"/>
  <c r="AJ215" i="16"/>
  <c r="AJ219" i="16"/>
  <c r="AJ223" i="16"/>
  <c r="AJ227" i="16"/>
  <c r="AJ231" i="16"/>
  <c r="AJ235" i="16"/>
  <c r="AJ239" i="16"/>
  <c r="AJ243" i="16"/>
  <c r="AJ247" i="16"/>
  <c r="AJ251" i="16"/>
  <c r="AJ255" i="16"/>
  <c r="AJ259" i="16"/>
  <c r="AJ263" i="16"/>
  <c r="AJ267" i="16"/>
  <c r="AJ271" i="16"/>
  <c r="AJ275" i="16"/>
  <c r="AJ279" i="16"/>
  <c r="AJ283" i="16"/>
  <c r="AJ287" i="16"/>
  <c r="AJ291" i="16"/>
  <c r="AJ295" i="16"/>
  <c r="AJ299" i="16"/>
  <c r="AJ303" i="16"/>
  <c r="AJ307" i="16"/>
  <c r="AJ311" i="16"/>
  <c r="AJ315" i="16"/>
  <c r="AJ319" i="16"/>
  <c r="AJ323" i="16"/>
  <c r="AJ327" i="16"/>
  <c r="AJ331" i="16"/>
  <c r="AJ335" i="16"/>
  <c r="AJ339" i="16"/>
  <c r="AJ343" i="16"/>
  <c r="AJ347" i="16"/>
  <c r="AJ8" i="16"/>
  <c r="AJ12" i="16"/>
  <c r="AJ16" i="16"/>
  <c r="AJ20" i="16"/>
  <c r="AJ24" i="16"/>
  <c r="AJ28" i="16"/>
  <c r="AJ32" i="16"/>
  <c r="AJ36" i="16"/>
  <c r="AJ40" i="16"/>
  <c r="AJ44" i="16"/>
  <c r="AJ48" i="16"/>
  <c r="AJ52" i="16"/>
  <c r="AJ56" i="16"/>
  <c r="AJ60" i="16"/>
  <c r="AJ64" i="16"/>
  <c r="AJ68" i="16"/>
  <c r="AJ72" i="16"/>
  <c r="AJ76" i="16"/>
  <c r="AJ80" i="16"/>
  <c r="AJ84" i="16"/>
  <c r="AJ88" i="16"/>
  <c r="AJ92" i="16"/>
  <c r="AJ96" i="16"/>
  <c r="AJ100" i="16"/>
  <c r="AJ104" i="16"/>
  <c r="AJ108" i="16"/>
  <c r="AJ112" i="16"/>
  <c r="AJ116" i="16"/>
  <c r="AJ120" i="16"/>
  <c r="AJ124" i="16"/>
  <c r="AJ128" i="16"/>
  <c r="AJ132" i="16"/>
  <c r="AJ136" i="16"/>
  <c r="AJ140" i="16"/>
  <c r="AJ144" i="16"/>
  <c r="AJ148" i="16"/>
  <c r="AJ152" i="16"/>
  <c r="AJ156" i="16"/>
  <c r="AJ160" i="16"/>
  <c r="AJ164" i="16"/>
  <c r="AJ168" i="16"/>
  <c r="AJ172" i="16"/>
  <c r="AJ176" i="16"/>
  <c r="AJ180" i="16"/>
  <c r="AJ184" i="16"/>
  <c r="AJ188" i="16"/>
  <c r="AJ192" i="16"/>
  <c r="AJ196" i="16"/>
  <c r="AJ200" i="16"/>
  <c r="AJ204" i="16"/>
  <c r="AJ208" i="16"/>
  <c r="AJ212" i="16"/>
  <c r="AJ216" i="16"/>
  <c r="AJ220" i="16"/>
  <c r="AJ224" i="16"/>
  <c r="AJ228" i="16"/>
  <c r="AJ232" i="16"/>
  <c r="AJ236" i="16"/>
  <c r="AJ240" i="16"/>
  <c r="AJ244" i="16"/>
  <c r="AJ248" i="16"/>
  <c r="AJ252" i="16"/>
  <c r="AJ256" i="16"/>
  <c r="AJ260" i="16"/>
  <c r="AJ264" i="16"/>
  <c r="AJ268" i="16"/>
  <c r="AJ272" i="16"/>
  <c r="AJ276" i="16"/>
  <c r="AJ280" i="16"/>
  <c r="AJ284" i="16"/>
  <c r="AJ288" i="16"/>
  <c r="AJ292" i="16"/>
  <c r="AJ296" i="16"/>
  <c r="AJ300" i="16"/>
  <c r="AJ304" i="16"/>
  <c r="AJ308" i="16"/>
  <c r="AJ312" i="16"/>
  <c r="AJ316" i="16"/>
  <c r="AJ320" i="16"/>
  <c r="AJ324" i="16"/>
  <c r="AJ328" i="16"/>
  <c r="AJ332" i="16"/>
  <c r="AJ336" i="16"/>
  <c r="AJ340" i="16"/>
  <c r="AJ344" i="16"/>
  <c r="AJ9" i="16"/>
  <c r="AJ13" i="16"/>
  <c r="AJ17" i="16"/>
  <c r="AJ21" i="16"/>
  <c r="AJ25" i="16"/>
  <c r="AJ29" i="16"/>
  <c r="AJ33" i="16"/>
  <c r="AJ37" i="16"/>
  <c r="AJ41" i="16"/>
  <c r="AJ45" i="16"/>
  <c r="AJ49" i="16"/>
  <c r="AJ53" i="16"/>
  <c r="AJ57" i="16"/>
  <c r="AJ61" i="16"/>
  <c r="AJ65" i="16"/>
  <c r="AJ69" i="16"/>
  <c r="AJ73" i="16"/>
  <c r="AJ77" i="16"/>
  <c r="AJ81" i="16"/>
  <c r="AJ85" i="16"/>
  <c r="AJ89" i="16"/>
  <c r="AJ93" i="16"/>
  <c r="AJ97" i="16"/>
  <c r="AJ101" i="16"/>
  <c r="AJ105" i="16"/>
  <c r="AJ109" i="16"/>
  <c r="AJ113" i="16"/>
  <c r="AJ117" i="16"/>
  <c r="AJ121" i="16"/>
  <c r="AJ125" i="16"/>
  <c r="AJ129" i="16"/>
  <c r="AJ133" i="16"/>
  <c r="AJ137" i="16"/>
  <c r="AJ141" i="16"/>
  <c r="AJ145" i="16"/>
  <c r="AJ149" i="16"/>
  <c r="AJ153" i="16"/>
  <c r="AJ157" i="16"/>
  <c r="AJ161" i="16"/>
  <c r="AJ165" i="16"/>
  <c r="AJ169" i="16"/>
  <c r="AJ173" i="16"/>
  <c r="AJ177" i="16"/>
  <c r="AJ181" i="16"/>
  <c r="AJ185" i="16"/>
  <c r="AJ189" i="16"/>
  <c r="AJ193" i="16"/>
  <c r="AJ197" i="16"/>
  <c r="AJ201" i="16"/>
  <c r="AJ205" i="16"/>
  <c r="AJ209" i="16"/>
  <c r="AJ213" i="16"/>
  <c r="AJ217" i="16"/>
  <c r="AJ221" i="16"/>
  <c r="AJ225" i="16"/>
  <c r="AJ229" i="16"/>
  <c r="AJ233" i="16"/>
  <c r="AJ237" i="16"/>
  <c r="AJ241" i="16"/>
  <c r="AJ245" i="16"/>
  <c r="AJ249" i="16"/>
  <c r="AJ253" i="16"/>
  <c r="AJ257" i="16"/>
  <c r="AJ261" i="16"/>
  <c r="AJ265" i="16"/>
  <c r="AJ269" i="16"/>
  <c r="AJ273" i="16"/>
  <c r="AJ277" i="16"/>
  <c r="AJ281" i="16"/>
  <c r="AJ285" i="16"/>
  <c r="AJ289" i="16"/>
  <c r="AJ293" i="16"/>
  <c r="AJ297" i="16"/>
  <c r="AJ301" i="16"/>
  <c r="AJ305" i="16"/>
  <c r="AJ309" i="16"/>
  <c r="AJ313" i="16"/>
  <c r="AJ317" i="16"/>
  <c r="AJ321" i="16"/>
  <c r="AJ325" i="16"/>
  <c r="AJ329" i="16"/>
  <c r="AJ333" i="16"/>
  <c r="AJ337" i="16"/>
  <c r="AJ341" i="16"/>
  <c r="AJ345" i="16"/>
  <c r="AJ350" i="16"/>
  <c r="AJ354" i="16"/>
  <c r="AJ358" i="16"/>
  <c r="AJ362" i="16"/>
  <c r="AJ366" i="16"/>
  <c r="AJ370" i="16"/>
  <c r="AJ374" i="16"/>
  <c r="AJ378" i="16"/>
  <c r="AJ382" i="16"/>
  <c r="AJ386" i="16"/>
  <c r="AJ390" i="16"/>
  <c r="AJ394" i="16"/>
  <c r="AJ398" i="16"/>
  <c r="AJ402" i="16"/>
  <c r="AJ406" i="16"/>
  <c r="AJ410" i="16"/>
  <c r="AJ414" i="16"/>
  <c r="AJ418" i="16"/>
  <c r="AJ422" i="16"/>
  <c r="AJ426" i="16"/>
  <c r="AJ430" i="16"/>
  <c r="AJ434" i="16"/>
  <c r="AJ438" i="16"/>
  <c r="AJ442" i="16"/>
  <c r="AJ446" i="16"/>
  <c r="AJ450" i="16"/>
  <c r="AJ454" i="16"/>
  <c r="AJ458" i="16"/>
  <c r="AJ462" i="16"/>
  <c r="AJ466" i="16"/>
  <c r="AJ470" i="16"/>
  <c r="AJ474" i="16"/>
  <c r="AJ478" i="16"/>
  <c r="AJ482" i="16"/>
  <c r="AJ486" i="16"/>
  <c r="AJ490" i="16"/>
  <c r="AJ494" i="16"/>
  <c r="AJ498" i="16"/>
  <c r="AJ502" i="16"/>
  <c r="AJ506" i="16"/>
  <c r="AJ510" i="16"/>
  <c r="AJ514" i="16"/>
  <c r="AJ518" i="16"/>
  <c r="AJ522" i="16"/>
  <c r="AJ526" i="16"/>
  <c r="AJ530" i="16"/>
  <c r="AJ534" i="16"/>
  <c r="AJ538" i="16"/>
  <c r="AJ542" i="16"/>
  <c r="AJ546" i="16"/>
  <c r="AJ550" i="16"/>
  <c r="AJ554" i="16"/>
  <c r="AJ558" i="16"/>
  <c r="AJ562" i="16"/>
  <c r="AJ566" i="16"/>
  <c r="AJ570" i="16"/>
  <c r="AJ574" i="16"/>
  <c r="AJ578" i="16"/>
  <c r="AJ582" i="16"/>
  <c r="AJ586" i="16"/>
  <c r="AJ590" i="16"/>
  <c r="AJ594" i="16"/>
  <c r="AJ598" i="16"/>
  <c r="AJ602" i="16"/>
  <c r="AJ606" i="16"/>
  <c r="AJ610" i="16"/>
  <c r="AJ614" i="16"/>
  <c r="AJ618" i="16"/>
  <c r="AJ622" i="16"/>
  <c r="AJ626" i="16"/>
  <c r="AJ630" i="16"/>
  <c r="AJ634" i="16"/>
  <c r="AJ638" i="16"/>
  <c r="AJ642" i="16"/>
  <c r="AJ646" i="16"/>
  <c r="AJ650" i="16"/>
  <c r="AJ654" i="16"/>
  <c r="AJ658" i="16"/>
  <c r="AJ662" i="16"/>
  <c r="AJ666" i="16"/>
  <c r="AJ670" i="16"/>
  <c r="AJ674" i="16"/>
  <c r="AJ678" i="16"/>
  <c r="AJ682" i="16"/>
  <c r="AJ686" i="16"/>
  <c r="AJ351" i="16"/>
  <c r="AJ355" i="16"/>
  <c r="AJ359" i="16"/>
  <c r="AJ363" i="16"/>
  <c r="AJ367" i="16"/>
  <c r="AJ371" i="16"/>
  <c r="AJ375" i="16"/>
  <c r="AJ379" i="16"/>
  <c r="AJ383" i="16"/>
  <c r="AJ387" i="16"/>
  <c r="AJ391" i="16"/>
  <c r="AJ395" i="16"/>
  <c r="AJ399" i="16"/>
  <c r="AJ403" i="16"/>
  <c r="AJ407" i="16"/>
  <c r="AJ411" i="16"/>
  <c r="AJ415" i="16"/>
  <c r="AJ419" i="16"/>
  <c r="AJ423" i="16"/>
  <c r="AJ427" i="16"/>
  <c r="AJ431" i="16"/>
  <c r="AJ435" i="16"/>
  <c r="AJ439" i="16"/>
  <c r="AJ443" i="16"/>
  <c r="AJ447" i="16"/>
  <c r="AJ451" i="16"/>
  <c r="AJ455" i="16"/>
  <c r="AJ459" i="16"/>
  <c r="AJ463" i="16"/>
  <c r="AJ467" i="16"/>
  <c r="AJ471" i="16"/>
  <c r="AJ475" i="16"/>
  <c r="AJ479" i="16"/>
  <c r="AJ483" i="16"/>
  <c r="AJ487" i="16"/>
  <c r="AJ491" i="16"/>
  <c r="AJ495" i="16"/>
  <c r="AJ499" i="16"/>
  <c r="AJ503" i="16"/>
  <c r="AJ507" i="16"/>
  <c r="AJ511" i="16"/>
  <c r="AJ515" i="16"/>
  <c r="AJ348" i="16"/>
  <c r="AJ352" i="16"/>
  <c r="AJ356" i="16"/>
  <c r="AJ360" i="16"/>
  <c r="AJ364" i="16"/>
  <c r="AJ368" i="16"/>
  <c r="AJ372" i="16"/>
  <c r="AJ376" i="16"/>
  <c r="AJ380" i="16"/>
  <c r="AJ384" i="16"/>
  <c r="AJ388" i="16"/>
  <c r="AJ392" i="16"/>
  <c r="AJ396" i="16"/>
  <c r="AJ400" i="16"/>
  <c r="AJ404" i="16"/>
  <c r="AJ408" i="16"/>
  <c r="AJ412" i="16"/>
  <c r="AJ416" i="16"/>
  <c r="AJ420" i="16"/>
  <c r="AJ424" i="16"/>
  <c r="AJ428" i="16"/>
  <c r="AJ432" i="16"/>
  <c r="AJ436" i="16"/>
  <c r="AJ440" i="16"/>
  <c r="AJ444" i="16"/>
  <c r="AJ448" i="16"/>
  <c r="AJ452" i="16"/>
  <c r="AJ456" i="16"/>
  <c r="AJ460" i="16"/>
  <c r="AJ464" i="16"/>
  <c r="AJ468" i="16"/>
  <c r="AJ472" i="16"/>
  <c r="AJ476" i="16"/>
  <c r="AJ480" i="16"/>
  <c r="AJ484" i="16"/>
  <c r="AJ488" i="16"/>
  <c r="AJ492" i="16"/>
  <c r="AJ496" i="16"/>
  <c r="AJ500" i="16"/>
  <c r="AJ504" i="16"/>
  <c r="AJ508" i="16"/>
  <c r="AJ512" i="16"/>
  <c r="AJ516" i="16"/>
  <c r="AJ357" i="16"/>
  <c r="AJ373" i="16"/>
  <c r="AJ389" i="16"/>
  <c r="AJ405" i="16"/>
  <c r="AJ421" i="16"/>
  <c r="AJ437" i="16"/>
  <c r="AJ453" i="16"/>
  <c r="AJ469" i="16"/>
  <c r="AJ485" i="16"/>
  <c r="AJ501" i="16"/>
  <c r="AJ517" i="16"/>
  <c r="AJ523" i="16"/>
  <c r="AJ528" i="16"/>
  <c r="AJ533" i="16"/>
  <c r="AJ539" i="16"/>
  <c r="AJ544" i="16"/>
  <c r="AJ549" i="16"/>
  <c r="AJ555" i="16"/>
  <c r="AJ560" i="16"/>
  <c r="AJ565" i="16"/>
  <c r="AJ571" i="16"/>
  <c r="AJ576" i="16"/>
  <c r="AJ581" i="16"/>
  <c r="AJ587" i="16"/>
  <c r="AJ592" i="16"/>
  <c r="AJ597" i="16"/>
  <c r="AJ603" i="16"/>
  <c r="AJ608" i="16"/>
  <c r="AJ613" i="16"/>
  <c r="AJ619" i="16"/>
  <c r="AJ624" i="16"/>
  <c r="AJ629" i="16"/>
  <c r="AJ635" i="16"/>
  <c r="AJ640" i="16"/>
  <c r="AJ645" i="16"/>
  <c r="AJ651" i="16"/>
  <c r="AJ656" i="16"/>
  <c r="AJ661" i="16"/>
  <c r="AJ667" i="16"/>
  <c r="AJ672" i="16"/>
  <c r="AJ677" i="16"/>
  <c r="AJ683" i="16"/>
  <c r="AJ688" i="16"/>
  <c r="AJ692" i="16"/>
  <c r="AJ696" i="16"/>
  <c r="AJ700" i="16"/>
  <c r="AJ704" i="16"/>
  <c r="AJ708" i="16"/>
  <c r="AJ712" i="16"/>
  <c r="AJ716" i="16"/>
  <c r="AJ720" i="16"/>
  <c r="AJ724" i="16"/>
  <c r="AJ728" i="16"/>
  <c r="AJ732" i="16"/>
  <c r="AJ736" i="16"/>
  <c r="AJ353" i="16"/>
  <c r="AJ401" i="16"/>
  <c r="AJ433" i="16"/>
  <c r="AJ465" i="16"/>
  <c r="AJ513" i="16"/>
  <c r="AJ532" i="16"/>
  <c r="AJ537" i="16"/>
  <c r="AJ553" i="16"/>
  <c r="AJ559" i="16"/>
  <c r="AJ575" i="16"/>
  <c r="AJ591" i="16"/>
  <c r="AJ596" i="16"/>
  <c r="AJ612" i="16"/>
  <c r="AJ628" i="16"/>
  <c r="AJ633" i="16"/>
  <c r="AJ649" i="16"/>
  <c r="AJ655" i="16"/>
  <c r="AJ671" i="16"/>
  <c r="AJ681" i="16"/>
  <c r="AJ691" i="16"/>
  <c r="AJ703" i="16"/>
  <c r="AJ715" i="16"/>
  <c r="AJ723" i="16"/>
  <c r="AJ731" i="16"/>
  <c r="AJ361" i="16"/>
  <c r="AJ377" i="16"/>
  <c r="AJ393" i="16"/>
  <c r="AJ409" i="16"/>
  <c r="AJ425" i="16"/>
  <c r="AJ441" i="16"/>
  <c r="AJ457" i="16"/>
  <c r="AJ473" i="16"/>
  <c r="AJ489" i="16"/>
  <c r="AJ505" i="16"/>
  <c r="AJ519" i="16"/>
  <c r="AJ524" i="16"/>
  <c r="AJ529" i="16"/>
  <c r="AJ535" i="16"/>
  <c r="AJ540" i="16"/>
  <c r="AJ545" i="16"/>
  <c r="AJ551" i="16"/>
  <c r="AJ556" i="16"/>
  <c r="AJ561" i="16"/>
  <c r="AJ567" i="16"/>
  <c r="AJ572" i="16"/>
  <c r="AJ577" i="16"/>
  <c r="AJ583" i="16"/>
  <c r="AJ588" i="16"/>
  <c r="AJ593" i="16"/>
  <c r="AJ599" i="16"/>
  <c r="AJ604" i="16"/>
  <c r="AJ609" i="16"/>
  <c r="AJ615" i="16"/>
  <c r="AJ620" i="16"/>
  <c r="AJ625" i="16"/>
  <c r="AJ631" i="16"/>
  <c r="AJ636" i="16"/>
  <c r="AJ641" i="16"/>
  <c r="AJ647" i="16"/>
  <c r="AJ652" i="16"/>
  <c r="AJ657" i="16"/>
  <c r="AJ663" i="16"/>
  <c r="AJ668" i="16"/>
  <c r="AJ673" i="16"/>
  <c r="AJ679" i="16"/>
  <c r="AJ684" i="16"/>
  <c r="AJ689" i="16"/>
  <c r="AJ693" i="16"/>
  <c r="AJ697" i="16"/>
  <c r="AJ701" i="16"/>
  <c r="AJ705" i="16"/>
  <c r="AJ709" i="16"/>
  <c r="AJ713" i="16"/>
  <c r="AJ717" i="16"/>
  <c r="AJ721" i="16"/>
  <c r="AJ725" i="16"/>
  <c r="AJ729" i="16"/>
  <c r="AJ733" i="16"/>
  <c r="AJ7" i="16"/>
  <c r="AJ369" i="16"/>
  <c r="AJ449" i="16"/>
  <c r="AJ497" i="16"/>
  <c r="AJ527" i="16"/>
  <c r="AJ543" i="16"/>
  <c r="AJ564" i="16"/>
  <c r="AJ580" i="16"/>
  <c r="AJ601" i="16"/>
  <c r="AJ617" i="16"/>
  <c r="AJ639" i="16"/>
  <c r="AJ665" i="16"/>
  <c r="AJ676" i="16"/>
  <c r="AJ695" i="16"/>
  <c r="AJ707" i="16"/>
  <c r="AJ719" i="16"/>
  <c r="AJ735" i="16"/>
  <c r="AJ349" i="16"/>
  <c r="AJ365" i="16"/>
  <c r="AJ381" i="16"/>
  <c r="AJ397" i="16"/>
  <c r="AJ413" i="16"/>
  <c r="AJ429" i="16"/>
  <c r="AJ445" i="16"/>
  <c r="AJ461" i="16"/>
  <c r="AJ477" i="16"/>
  <c r="AJ493" i="16"/>
  <c r="AJ509" i="16"/>
  <c r="AJ520" i="16"/>
  <c r="AJ525" i="16"/>
  <c r="AJ531" i="16"/>
  <c r="AJ536" i="16"/>
  <c r="AJ541" i="16"/>
  <c r="AJ547" i="16"/>
  <c r="AJ552" i="16"/>
  <c r="AJ557" i="16"/>
  <c r="AJ563" i="16"/>
  <c r="AJ568" i="16"/>
  <c r="AJ573" i="16"/>
  <c r="AJ579" i="16"/>
  <c r="AJ584" i="16"/>
  <c r="AJ589" i="16"/>
  <c r="AJ595" i="16"/>
  <c r="AJ600" i="16"/>
  <c r="AJ605" i="16"/>
  <c r="AJ611" i="16"/>
  <c r="AJ616" i="16"/>
  <c r="AJ621" i="16"/>
  <c r="AJ627" i="16"/>
  <c r="AJ632" i="16"/>
  <c r="AJ637" i="16"/>
  <c r="AJ643" i="16"/>
  <c r="AJ648" i="16"/>
  <c r="AJ653" i="16"/>
  <c r="AJ659" i="16"/>
  <c r="AJ664" i="16"/>
  <c r="AJ669" i="16"/>
  <c r="AJ675" i="16"/>
  <c r="AJ680" i="16"/>
  <c r="AJ685" i="16"/>
  <c r="AJ690" i="16"/>
  <c r="AJ694" i="16"/>
  <c r="AJ698" i="16"/>
  <c r="AJ702" i="16"/>
  <c r="AJ706" i="16"/>
  <c r="AJ710" i="16"/>
  <c r="AJ714" i="16"/>
  <c r="AJ718" i="16"/>
  <c r="AJ722" i="16"/>
  <c r="AJ726" i="16"/>
  <c r="AJ730" i="16"/>
  <c r="AJ734" i="16"/>
  <c r="AJ385" i="16"/>
  <c r="AJ417" i="16"/>
  <c r="AJ481" i="16"/>
  <c r="AJ521" i="16"/>
  <c r="AJ548" i="16"/>
  <c r="AJ569" i="16"/>
  <c r="AJ585" i="16"/>
  <c r="AJ607" i="16"/>
  <c r="AJ623" i="16"/>
  <c r="AJ644" i="16"/>
  <c r="AJ660" i="16"/>
  <c r="AJ687" i="16"/>
  <c r="AJ699" i="16"/>
  <c r="AJ711" i="16"/>
  <c r="AJ727" i="16"/>
  <c r="AJ9" i="17"/>
  <c r="AJ11" i="17"/>
  <c r="AJ13" i="17"/>
  <c r="AJ15" i="17"/>
  <c r="AJ17" i="17"/>
  <c r="AJ19" i="17"/>
  <c r="AJ21" i="17"/>
  <c r="AJ23" i="17"/>
  <c r="AJ25" i="17"/>
  <c r="AJ27" i="17"/>
  <c r="AJ29" i="17"/>
  <c r="AJ31" i="17"/>
  <c r="AJ33" i="17"/>
  <c r="AJ35" i="17"/>
  <c r="AJ37" i="17"/>
  <c r="AJ39" i="17"/>
  <c r="AJ41" i="17"/>
  <c r="AJ43" i="17"/>
  <c r="AJ45" i="17"/>
  <c r="AJ47" i="17"/>
  <c r="AJ49" i="17"/>
  <c r="AJ51" i="17"/>
  <c r="AJ53" i="17"/>
  <c r="AJ55" i="17"/>
  <c r="AJ57" i="17"/>
  <c r="AJ59" i="17"/>
  <c r="AJ61" i="17"/>
  <c r="AJ63" i="17"/>
  <c r="AJ65" i="17"/>
  <c r="AJ67" i="17"/>
  <c r="AJ69" i="17"/>
  <c r="AJ71" i="17"/>
  <c r="AJ73" i="17"/>
  <c r="AJ75" i="17"/>
  <c r="AJ77" i="17"/>
  <c r="AJ79" i="17"/>
  <c r="AJ81" i="17"/>
  <c r="AJ83" i="17"/>
  <c r="AJ85" i="17"/>
  <c r="AJ87" i="17"/>
  <c r="AJ89" i="17"/>
  <c r="AJ91" i="17"/>
  <c r="AJ93" i="17"/>
  <c r="AJ95" i="17"/>
  <c r="AJ97" i="17"/>
  <c r="AJ99" i="17"/>
  <c r="AJ101" i="17"/>
  <c r="AJ103" i="17"/>
  <c r="AJ105" i="17"/>
  <c r="AJ107" i="17"/>
  <c r="AJ109" i="17"/>
  <c r="AJ111" i="17"/>
  <c r="AJ113" i="17"/>
  <c r="AJ115" i="17"/>
  <c r="AJ117" i="17"/>
  <c r="AJ119" i="17"/>
  <c r="AJ121" i="17"/>
  <c r="AJ123" i="17"/>
  <c r="AJ125" i="17"/>
  <c r="AJ127" i="17"/>
  <c r="AJ129" i="17"/>
  <c r="AJ131" i="17"/>
  <c r="AJ133" i="17"/>
  <c r="AJ135" i="17"/>
  <c r="AJ137" i="17"/>
  <c r="AJ139" i="17"/>
  <c r="AJ141" i="17"/>
  <c r="AJ143" i="17"/>
  <c r="AJ145" i="17"/>
  <c r="AJ147" i="17"/>
  <c r="AJ149" i="17"/>
  <c r="AJ151" i="17"/>
  <c r="AJ153" i="17"/>
  <c r="AJ155" i="17"/>
  <c r="AJ157" i="17"/>
  <c r="AJ159" i="17"/>
  <c r="AJ161" i="17"/>
  <c r="AJ163" i="17"/>
  <c r="AJ165" i="17"/>
  <c r="AJ167" i="17"/>
  <c r="AJ169" i="17"/>
  <c r="AJ171" i="17"/>
  <c r="AJ173" i="17"/>
  <c r="AJ175" i="17"/>
  <c r="AJ177" i="17"/>
  <c r="AJ8" i="17"/>
  <c r="AJ10" i="17"/>
  <c r="AJ12" i="17"/>
  <c r="AJ14" i="17"/>
  <c r="AJ16" i="17"/>
  <c r="AJ18" i="17"/>
  <c r="AJ20" i="17"/>
  <c r="AJ22" i="17"/>
  <c r="AJ24" i="17"/>
  <c r="AJ26" i="17"/>
  <c r="AJ28" i="17"/>
  <c r="AJ30" i="17"/>
  <c r="AJ32" i="17"/>
  <c r="AJ34" i="17"/>
  <c r="AJ36" i="17"/>
  <c r="AJ38" i="17"/>
  <c r="AJ40" i="17"/>
  <c r="AJ42" i="17"/>
  <c r="AJ44" i="17"/>
  <c r="AJ46" i="17"/>
  <c r="AJ48" i="17"/>
  <c r="AJ50" i="17"/>
  <c r="AJ52" i="17"/>
  <c r="AJ54" i="17"/>
  <c r="AJ56" i="17"/>
  <c r="AJ58" i="17"/>
  <c r="AJ60" i="17"/>
  <c r="AJ62" i="17"/>
  <c r="AJ64" i="17"/>
  <c r="AJ66" i="17"/>
  <c r="AJ68" i="17"/>
  <c r="AJ70" i="17"/>
  <c r="AJ72" i="17"/>
  <c r="AJ74" i="17"/>
  <c r="AJ76" i="17"/>
  <c r="AJ78" i="17"/>
  <c r="AJ80" i="17"/>
  <c r="AJ82" i="17"/>
  <c r="AJ84" i="17"/>
  <c r="AJ86" i="17"/>
  <c r="AJ88" i="17"/>
  <c r="AJ90" i="17"/>
  <c r="AJ92" i="17"/>
  <c r="AJ94" i="17"/>
  <c r="AJ96" i="17"/>
  <c r="AJ98" i="17"/>
  <c r="AJ100" i="17"/>
  <c r="AJ102" i="17"/>
  <c r="AJ104" i="17"/>
  <c r="AJ106" i="17"/>
  <c r="AJ108" i="17"/>
  <c r="AJ110" i="17"/>
  <c r="AJ112" i="17"/>
  <c r="AJ114" i="17"/>
  <c r="AJ116" i="17"/>
  <c r="AJ118" i="17"/>
  <c r="AJ120" i="17"/>
  <c r="AJ122" i="17"/>
  <c r="AJ124" i="17"/>
  <c r="AJ126" i="17"/>
  <c r="AJ128" i="17"/>
  <c r="AJ130" i="17"/>
  <c r="AJ132" i="17"/>
  <c r="AJ134" i="17"/>
  <c r="AJ136" i="17"/>
  <c r="AJ138" i="17"/>
  <c r="AJ140" i="17"/>
  <c r="AJ142" i="17"/>
  <c r="AJ144" i="17"/>
  <c r="AJ146" i="17"/>
  <c r="AJ148" i="17"/>
  <c r="AJ150" i="17"/>
  <c r="AJ152" i="17"/>
  <c r="AJ154" i="17"/>
  <c r="AJ156" i="17"/>
  <c r="AJ158" i="17"/>
  <c r="AJ160" i="17"/>
  <c r="AJ162" i="17"/>
  <c r="AJ164" i="17"/>
  <c r="AJ166" i="17"/>
  <c r="AJ168" i="17"/>
  <c r="AJ170" i="17"/>
  <c r="AJ172" i="17"/>
  <c r="AJ174" i="17"/>
  <c r="AJ176" i="17"/>
  <c r="AJ178" i="17"/>
  <c r="AJ180" i="17"/>
  <c r="AJ182" i="17"/>
  <c r="AJ184" i="17"/>
  <c r="AJ186" i="17"/>
  <c r="AJ188" i="17"/>
  <c r="AJ190" i="17"/>
  <c r="AJ192" i="17"/>
  <c r="AJ194" i="17"/>
  <c r="AJ196" i="17"/>
  <c r="AJ198" i="17"/>
  <c r="AJ200" i="17"/>
  <c r="AJ202" i="17"/>
  <c r="AJ204" i="17"/>
  <c r="AJ206" i="17"/>
  <c r="AJ208" i="17"/>
  <c r="AJ210" i="17"/>
  <c r="AJ212" i="17"/>
  <c r="AJ214" i="17"/>
  <c r="AJ216" i="17"/>
  <c r="AJ218" i="17"/>
  <c r="AJ220" i="17"/>
  <c r="AJ222" i="17"/>
  <c r="AJ224" i="17"/>
  <c r="AJ226" i="17"/>
  <c r="AJ228" i="17"/>
  <c r="AJ230" i="17"/>
  <c r="AJ232" i="17"/>
  <c r="AJ234" i="17"/>
  <c r="AJ236" i="17"/>
  <c r="AJ238" i="17"/>
  <c r="AJ240" i="17"/>
  <c r="AJ242" i="17"/>
  <c r="AJ244" i="17"/>
  <c r="AJ246" i="17"/>
  <c r="AJ248" i="17"/>
  <c r="AJ250" i="17"/>
  <c r="AJ252" i="17"/>
  <c r="AJ254" i="17"/>
  <c r="AJ256" i="17"/>
  <c r="AJ258" i="17"/>
  <c r="AJ260" i="17"/>
  <c r="AJ262" i="17"/>
  <c r="AJ264" i="17"/>
  <c r="AJ266" i="17"/>
  <c r="AJ268" i="17"/>
  <c r="AJ270" i="17"/>
  <c r="AJ272" i="17"/>
  <c r="AJ274" i="17"/>
  <c r="AJ276" i="17"/>
  <c r="AJ278" i="17"/>
  <c r="AJ280" i="17"/>
  <c r="AJ282" i="17"/>
  <c r="AJ284" i="17"/>
  <c r="AJ286" i="17"/>
  <c r="AJ288" i="17"/>
  <c r="AJ290" i="17"/>
  <c r="AJ292" i="17"/>
  <c r="AJ294" i="17"/>
  <c r="AJ296" i="17"/>
  <c r="AJ298" i="17"/>
  <c r="AJ300" i="17"/>
  <c r="AJ302" i="17"/>
  <c r="AJ304" i="17"/>
  <c r="AJ306" i="17"/>
  <c r="AJ308" i="17"/>
  <c r="AJ310" i="17"/>
  <c r="AJ312" i="17"/>
  <c r="AJ314" i="17"/>
  <c r="AJ316" i="17"/>
  <c r="AJ318" i="17"/>
  <c r="AJ320" i="17"/>
  <c r="AJ322" i="17"/>
  <c r="AJ324" i="17"/>
  <c r="AJ326" i="17"/>
  <c r="AJ328" i="17"/>
  <c r="AJ330" i="17"/>
  <c r="AJ332" i="17"/>
  <c r="AJ334" i="17"/>
  <c r="AJ336" i="17"/>
  <c r="AJ338" i="17"/>
  <c r="AJ340" i="17"/>
  <c r="AJ342" i="17"/>
  <c r="AJ344" i="17"/>
  <c r="AJ346" i="17"/>
  <c r="AJ179" i="17"/>
  <c r="AJ181" i="17"/>
  <c r="AJ183" i="17"/>
  <c r="AJ185" i="17"/>
  <c r="AJ187" i="17"/>
  <c r="AJ189" i="17"/>
  <c r="AJ191" i="17"/>
  <c r="AJ193" i="17"/>
  <c r="AJ195" i="17"/>
  <c r="AJ197" i="17"/>
  <c r="AJ199" i="17"/>
  <c r="AJ201" i="17"/>
  <c r="AJ203" i="17"/>
  <c r="AJ205" i="17"/>
  <c r="AJ207" i="17"/>
  <c r="AJ209" i="17"/>
  <c r="AJ211" i="17"/>
  <c r="AJ213" i="17"/>
  <c r="AJ215" i="17"/>
  <c r="AJ217" i="17"/>
  <c r="AJ219" i="17"/>
  <c r="AJ221" i="17"/>
  <c r="AJ223" i="17"/>
  <c r="AJ225" i="17"/>
  <c r="AJ227" i="17"/>
  <c r="AJ229" i="17"/>
  <c r="AJ231" i="17"/>
  <c r="AJ233" i="17"/>
  <c r="AJ235" i="17"/>
  <c r="AJ237" i="17"/>
  <c r="AJ239" i="17"/>
  <c r="AJ241" i="17"/>
  <c r="AJ243" i="17"/>
  <c r="AJ245" i="17"/>
  <c r="AJ247" i="17"/>
  <c r="AJ249" i="17"/>
  <c r="AJ251" i="17"/>
  <c r="AJ253" i="17"/>
  <c r="AJ255" i="17"/>
  <c r="AJ257" i="17"/>
  <c r="AJ259" i="17"/>
  <c r="AJ261" i="17"/>
  <c r="AJ263" i="17"/>
  <c r="AJ265" i="17"/>
  <c r="AJ267" i="17"/>
  <c r="AJ269" i="17"/>
  <c r="AJ271" i="17"/>
  <c r="AJ273" i="17"/>
  <c r="AJ275" i="17"/>
  <c r="AJ277" i="17"/>
  <c r="AJ279" i="17"/>
  <c r="AJ281" i="17"/>
  <c r="AJ283" i="17"/>
  <c r="AJ285" i="17"/>
  <c r="AJ287" i="17"/>
  <c r="AJ289" i="17"/>
  <c r="AJ291" i="17"/>
  <c r="AJ293" i="17"/>
  <c r="AJ295" i="17"/>
  <c r="AJ297" i="17"/>
  <c r="AJ299" i="17"/>
  <c r="AJ301" i="17"/>
  <c r="AJ303" i="17"/>
  <c r="AJ305" i="17"/>
  <c r="AJ307" i="17"/>
  <c r="AJ309" i="17"/>
  <c r="AJ311" i="17"/>
  <c r="AJ313" i="17"/>
  <c r="AJ315" i="17"/>
  <c r="AJ317" i="17"/>
  <c r="AJ319" i="17"/>
  <c r="AJ321" i="17"/>
  <c r="AJ323" i="17"/>
  <c r="AJ325" i="17"/>
  <c r="AJ327" i="17"/>
  <c r="AJ329" i="17"/>
  <c r="AJ331" i="17"/>
  <c r="AJ333" i="17"/>
  <c r="AJ335" i="17"/>
  <c r="AJ337" i="17"/>
  <c r="AJ339" i="17"/>
  <c r="AJ341" i="17"/>
  <c r="AJ343" i="17"/>
  <c r="AJ345" i="17"/>
  <c r="AJ347" i="17"/>
  <c r="AJ349" i="17"/>
  <c r="AJ351" i="17"/>
  <c r="AJ352" i="17"/>
  <c r="AJ354" i="17"/>
  <c r="AJ356" i="17"/>
  <c r="AJ358" i="17"/>
  <c r="AJ360" i="17"/>
  <c r="AJ362" i="17"/>
  <c r="AJ364" i="17"/>
  <c r="AJ366" i="17"/>
  <c r="AJ368" i="17"/>
  <c r="AJ370" i="17"/>
  <c r="AJ372" i="17"/>
  <c r="AJ374" i="17"/>
  <c r="AJ376" i="17"/>
  <c r="AJ378" i="17"/>
  <c r="AJ380" i="17"/>
  <c r="AJ382" i="17"/>
  <c r="AJ384" i="17"/>
  <c r="AJ386" i="17"/>
  <c r="AJ388" i="17"/>
  <c r="AJ390" i="17"/>
  <c r="AJ392" i="17"/>
  <c r="AJ394" i="17"/>
  <c r="AJ396" i="17"/>
  <c r="AJ398" i="17"/>
  <c r="AJ400" i="17"/>
  <c r="AJ402" i="17"/>
  <c r="AJ404" i="17"/>
  <c r="AJ406" i="17"/>
  <c r="AJ408" i="17"/>
  <c r="AJ410" i="17"/>
  <c r="AJ412" i="17"/>
  <c r="AJ414" i="17"/>
  <c r="AJ416" i="17"/>
  <c r="AJ418" i="17"/>
  <c r="AJ420" i="17"/>
  <c r="AJ422" i="17"/>
  <c r="AJ424" i="17"/>
  <c r="AJ426" i="17"/>
  <c r="AJ428" i="17"/>
  <c r="AJ430" i="17"/>
  <c r="AJ432" i="17"/>
  <c r="AJ434" i="17"/>
  <c r="AJ436" i="17"/>
  <c r="AJ438" i="17"/>
  <c r="AJ440" i="17"/>
  <c r="AJ442" i="17"/>
  <c r="AJ444" i="17"/>
  <c r="AJ446" i="17"/>
  <c r="AJ448" i="17"/>
  <c r="AJ450" i="17"/>
  <c r="AJ452" i="17"/>
  <c r="AJ454" i="17"/>
  <c r="AJ456" i="17"/>
  <c r="AJ458" i="17"/>
  <c r="AJ460" i="17"/>
  <c r="AJ462" i="17"/>
  <c r="AJ464" i="17"/>
  <c r="AJ466" i="17"/>
  <c r="AJ468" i="17"/>
  <c r="AJ470" i="17"/>
  <c r="AJ472" i="17"/>
  <c r="AJ474" i="17"/>
  <c r="AJ476" i="17"/>
  <c r="AJ478" i="17"/>
  <c r="AJ480" i="17"/>
  <c r="AJ482" i="17"/>
  <c r="AJ484" i="17"/>
  <c r="AJ486" i="17"/>
  <c r="AJ488" i="17"/>
  <c r="AJ490" i="17"/>
  <c r="AJ492" i="17"/>
  <c r="AJ494" i="17"/>
  <c r="AJ496" i="17"/>
  <c r="AJ498" i="17"/>
  <c r="AJ500" i="17"/>
  <c r="AJ502" i="17"/>
  <c r="AJ504" i="17"/>
  <c r="AJ506" i="17"/>
  <c r="AJ508" i="17"/>
  <c r="AJ510" i="17"/>
  <c r="AJ512" i="17"/>
  <c r="AJ514" i="17"/>
  <c r="AJ516" i="17"/>
  <c r="AJ518" i="17"/>
  <c r="AJ520" i="17"/>
  <c r="AJ522" i="17"/>
  <c r="AJ524" i="17"/>
  <c r="AJ526" i="17"/>
  <c r="AJ528" i="17"/>
  <c r="AJ530" i="17"/>
  <c r="AJ532" i="17"/>
  <c r="AJ534" i="17"/>
  <c r="AJ536" i="17"/>
  <c r="AJ538" i="17"/>
  <c r="AJ540" i="17"/>
  <c r="AJ542" i="17"/>
  <c r="AJ544" i="17"/>
  <c r="AJ546" i="17"/>
  <c r="AJ548" i="17"/>
  <c r="AJ550" i="17"/>
  <c r="AJ552" i="17"/>
  <c r="AJ554" i="17"/>
  <c r="AJ556" i="17"/>
  <c r="AJ558" i="17"/>
  <c r="AJ560" i="17"/>
  <c r="AJ562" i="17"/>
  <c r="AJ564" i="17"/>
  <c r="AJ566" i="17"/>
  <c r="AJ568" i="17"/>
  <c r="AJ570" i="17"/>
  <c r="AJ572" i="17"/>
  <c r="AJ574" i="17"/>
  <c r="AJ576" i="17"/>
  <c r="AJ578" i="17"/>
  <c r="AJ580" i="17"/>
  <c r="AJ582" i="17"/>
  <c r="AJ584" i="17"/>
  <c r="AJ586" i="17"/>
  <c r="AJ588" i="17"/>
  <c r="AJ590" i="17"/>
  <c r="AJ592" i="17"/>
  <c r="AJ594" i="17"/>
  <c r="AJ596" i="17"/>
  <c r="AJ598" i="17"/>
  <c r="AJ600" i="17"/>
  <c r="AJ602" i="17"/>
  <c r="AJ604" i="17"/>
  <c r="AJ606" i="17"/>
  <c r="AJ608" i="17"/>
  <c r="AJ610" i="17"/>
  <c r="AJ612" i="17"/>
  <c r="AJ614" i="17"/>
  <c r="AJ616" i="17"/>
  <c r="AJ618" i="17"/>
  <c r="AJ620" i="17"/>
  <c r="AJ622" i="17"/>
  <c r="AJ624" i="17"/>
  <c r="AJ626" i="17"/>
  <c r="AJ628" i="17"/>
  <c r="AJ630" i="17"/>
  <c r="AJ632" i="17"/>
  <c r="AJ634" i="17"/>
  <c r="AJ636" i="17"/>
  <c r="AJ638" i="17"/>
  <c r="AJ640" i="17"/>
  <c r="AJ642" i="17"/>
  <c r="AJ644" i="17"/>
  <c r="AJ646" i="17"/>
  <c r="AJ648" i="17"/>
  <c r="AJ650" i="17"/>
  <c r="AJ652" i="17"/>
  <c r="AJ654" i="17"/>
  <c r="AJ656" i="17"/>
  <c r="AJ658" i="17"/>
  <c r="AJ660" i="17"/>
  <c r="AJ662" i="17"/>
  <c r="AJ664" i="17"/>
  <c r="AJ666" i="17"/>
  <c r="AJ668" i="17"/>
  <c r="AJ670" i="17"/>
  <c r="AJ672" i="17"/>
  <c r="AJ674" i="17"/>
  <c r="AJ676" i="17"/>
  <c r="AJ678" i="17"/>
  <c r="AJ680" i="17"/>
  <c r="AJ682" i="17"/>
  <c r="AJ684" i="17"/>
  <c r="AJ686" i="17"/>
  <c r="AJ688" i="17"/>
  <c r="AJ690" i="17"/>
  <c r="AJ350" i="17"/>
  <c r="AJ7" i="17"/>
  <c r="AJ348" i="17"/>
  <c r="AJ353" i="17"/>
  <c r="AJ355" i="17"/>
  <c r="AJ357" i="17"/>
  <c r="AJ359" i="17"/>
  <c r="AJ361" i="17"/>
  <c r="AJ363" i="17"/>
  <c r="AJ365" i="17"/>
  <c r="AJ367" i="17"/>
  <c r="AJ369" i="17"/>
  <c r="AJ371" i="17"/>
  <c r="AJ373" i="17"/>
  <c r="AJ375" i="17"/>
  <c r="AJ377" i="17"/>
  <c r="AJ379" i="17"/>
  <c r="AJ381" i="17"/>
  <c r="AJ383" i="17"/>
  <c r="AJ385" i="17"/>
  <c r="AJ387" i="17"/>
  <c r="AJ389" i="17"/>
  <c r="AJ391" i="17"/>
  <c r="AJ393" i="17"/>
  <c r="AJ395" i="17"/>
  <c r="AJ397" i="17"/>
  <c r="AJ399" i="17"/>
  <c r="AJ401" i="17"/>
  <c r="AJ403" i="17"/>
  <c r="AJ405" i="17"/>
  <c r="AJ407" i="17"/>
  <c r="AJ409" i="17"/>
  <c r="AJ411" i="17"/>
  <c r="AJ413" i="17"/>
  <c r="AJ415" i="17"/>
  <c r="AJ417" i="17"/>
  <c r="AJ419" i="17"/>
  <c r="AJ421" i="17"/>
  <c r="AJ423" i="17"/>
  <c r="AJ425" i="17"/>
  <c r="AJ427" i="17"/>
  <c r="AJ429" i="17"/>
  <c r="AJ431" i="17"/>
  <c r="AJ433" i="17"/>
  <c r="AJ435" i="17"/>
  <c r="AJ437" i="17"/>
  <c r="AJ439" i="17"/>
  <c r="AJ441" i="17"/>
  <c r="AJ443" i="17"/>
  <c r="AJ445" i="17"/>
  <c r="AJ447" i="17"/>
  <c r="AJ449" i="17"/>
  <c r="AJ451" i="17"/>
  <c r="AJ453" i="17"/>
  <c r="AJ455" i="17"/>
  <c r="AJ457" i="17"/>
  <c r="AJ459" i="17"/>
  <c r="AJ461" i="17"/>
  <c r="AJ463" i="17"/>
  <c r="AJ465" i="17"/>
  <c r="AJ467" i="17"/>
  <c r="AJ469" i="17"/>
  <c r="AJ471" i="17"/>
  <c r="AJ473" i="17"/>
  <c r="AJ475" i="17"/>
  <c r="AJ477" i="17"/>
  <c r="AJ479" i="17"/>
  <c r="AJ481" i="17"/>
  <c r="AJ483" i="17"/>
  <c r="AJ485" i="17"/>
  <c r="AJ487" i="17"/>
  <c r="AJ489" i="17"/>
  <c r="AJ491" i="17"/>
  <c r="AJ493" i="17"/>
  <c r="AJ495" i="17"/>
  <c r="AJ497" i="17"/>
  <c r="AJ499" i="17"/>
  <c r="AJ501" i="17"/>
  <c r="AJ503" i="17"/>
  <c r="AJ505" i="17"/>
  <c r="AJ507" i="17"/>
  <c r="AJ509" i="17"/>
  <c r="AJ511" i="17"/>
  <c r="AJ513" i="17"/>
  <c r="AJ515" i="17"/>
  <c r="AJ517" i="17"/>
  <c r="AJ519" i="17"/>
  <c r="AJ521" i="17"/>
  <c r="AJ523" i="17"/>
  <c r="AJ525" i="17"/>
  <c r="AJ527" i="17"/>
  <c r="AJ529" i="17"/>
  <c r="AJ531" i="17"/>
  <c r="AJ533" i="17"/>
  <c r="AJ535" i="17"/>
  <c r="AJ537" i="17"/>
  <c r="AJ539" i="17"/>
  <c r="AJ541" i="17"/>
  <c r="AJ543" i="17"/>
  <c r="AJ545" i="17"/>
  <c r="AJ547" i="17"/>
  <c r="AJ549" i="17"/>
  <c r="AJ551" i="17"/>
  <c r="AJ553" i="17"/>
  <c r="AJ555" i="17"/>
  <c r="AJ557" i="17"/>
  <c r="AJ559" i="17"/>
  <c r="AJ561" i="17"/>
  <c r="AJ563" i="17"/>
  <c r="AJ565" i="17"/>
  <c r="AJ567" i="17"/>
  <c r="AJ569" i="17"/>
  <c r="AJ571" i="17"/>
  <c r="AJ573" i="17"/>
  <c r="AJ575" i="17"/>
  <c r="AJ577" i="17"/>
  <c r="AJ579" i="17"/>
  <c r="AJ581" i="17"/>
  <c r="AJ583" i="17"/>
  <c r="AJ585" i="17"/>
  <c r="AJ587" i="17"/>
  <c r="AJ589" i="17"/>
  <c r="AJ591" i="17"/>
  <c r="AJ593" i="17"/>
  <c r="AJ595" i="17"/>
  <c r="AJ597" i="17"/>
  <c r="AJ599" i="17"/>
  <c r="AJ601" i="17"/>
  <c r="AJ603" i="17"/>
  <c r="AJ605" i="17"/>
  <c r="AJ607" i="17"/>
  <c r="AJ609" i="17"/>
  <c r="AJ611" i="17"/>
  <c r="AJ613" i="17"/>
  <c r="AJ615" i="17"/>
  <c r="AJ617" i="17"/>
  <c r="AJ619" i="17"/>
  <c r="AJ621" i="17"/>
  <c r="AJ623" i="17"/>
  <c r="AJ625" i="17"/>
  <c r="AJ627" i="17"/>
  <c r="AJ629" i="17"/>
  <c r="AJ631" i="17"/>
  <c r="AJ633" i="17"/>
  <c r="AJ635" i="17"/>
  <c r="AJ637" i="17"/>
  <c r="AJ639" i="17"/>
  <c r="AJ641" i="17"/>
  <c r="AJ643" i="17"/>
  <c r="AJ645" i="17"/>
  <c r="AJ647" i="17"/>
  <c r="AJ649" i="17"/>
  <c r="AJ651" i="17"/>
  <c r="AJ653" i="17"/>
  <c r="AJ655" i="17"/>
  <c r="AJ657" i="17"/>
  <c r="AJ659" i="17"/>
  <c r="AJ661" i="17"/>
  <c r="AJ663" i="17"/>
  <c r="AJ665" i="17"/>
  <c r="AJ667" i="17"/>
  <c r="AJ669" i="17"/>
  <c r="AJ671" i="17"/>
  <c r="AJ673" i="17"/>
  <c r="AJ675" i="17"/>
  <c r="AJ677" i="17"/>
  <c r="AJ679" i="17"/>
  <c r="AJ681" i="17"/>
  <c r="AJ683" i="17"/>
  <c r="AJ685" i="17"/>
  <c r="AJ687" i="17"/>
  <c r="AJ689" i="17"/>
  <c r="AJ692" i="17"/>
  <c r="AJ694" i="17"/>
  <c r="AJ696" i="17"/>
  <c r="AJ698" i="17"/>
  <c r="AJ700" i="17"/>
  <c r="AJ702" i="17"/>
  <c r="AJ704" i="17"/>
  <c r="AJ706" i="17"/>
  <c r="AJ708" i="17"/>
  <c r="AJ710" i="17"/>
  <c r="AJ712" i="17"/>
  <c r="AJ714" i="17"/>
  <c r="AJ716" i="17"/>
  <c r="AJ718" i="17"/>
  <c r="AJ720" i="17"/>
  <c r="AJ722" i="17"/>
  <c r="AJ724" i="17"/>
  <c r="AJ726" i="17"/>
  <c r="AJ728" i="17"/>
  <c r="AJ730" i="17"/>
  <c r="AJ732" i="17"/>
  <c r="AJ734" i="17"/>
  <c r="AJ736" i="17"/>
  <c r="AJ691" i="17"/>
  <c r="AJ693" i="17"/>
  <c r="AJ695" i="17"/>
  <c r="AJ697" i="17"/>
  <c r="AJ699" i="17"/>
  <c r="AJ701" i="17"/>
  <c r="AJ703" i="17"/>
  <c r="AJ705" i="17"/>
  <c r="AJ707" i="17"/>
  <c r="AJ709" i="17"/>
  <c r="AJ711" i="17"/>
  <c r="AJ713" i="17"/>
  <c r="AJ715" i="17"/>
  <c r="AJ717" i="17"/>
  <c r="AJ719" i="17"/>
  <c r="AJ721" i="17"/>
  <c r="AJ723" i="17"/>
  <c r="AJ725" i="17"/>
  <c r="AJ727" i="17"/>
  <c r="AJ729" i="17"/>
  <c r="AJ731" i="17"/>
  <c r="AJ733" i="17"/>
  <c r="AJ735" i="17"/>
  <c r="F15" i="8"/>
  <c r="F19" i="8"/>
  <c r="E19" i="8"/>
  <c r="E15" i="8"/>
  <c r="P6" i="16" l="1"/>
  <c r="F44" i="3"/>
  <c r="E44" i="3"/>
  <c r="E35" i="3"/>
  <c r="F35" i="3"/>
  <c r="F34" i="3"/>
  <c r="E34" i="3"/>
  <c r="F33" i="3"/>
  <c r="E33" i="3"/>
  <c r="F12" i="8"/>
  <c r="E12" i="8"/>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F36" i="3" l="1"/>
  <c r="Z6" i="17"/>
  <c r="Z6" i="16"/>
  <c r="E36" i="3"/>
  <c r="F43" i="3"/>
  <c r="F45" i="3" s="1"/>
  <c r="E43" i="3"/>
  <c r="E45" i="3" s="1"/>
  <c r="Q6" i="17" l="1"/>
  <c r="AX6" i="17"/>
  <c r="Q6" i="16"/>
  <c r="AX6" i="16"/>
  <c r="F30" i="3" l="1"/>
  <c r="T9" i="8" s="1"/>
  <c r="T11" i="8" s="1"/>
  <c r="F28" i="3"/>
  <c r="T10" i="8" s="1"/>
  <c r="E30" i="3"/>
  <c r="S9" i="8" s="1"/>
  <c r="S11" i="8" s="1"/>
  <c r="E28" i="3"/>
  <c r="T6" i="8"/>
  <c r="S6" i="8"/>
  <c r="E27" i="3" l="1"/>
  <c r="F27" i="3"/>
  <c r="F29" i="3" s="1"/>
  <c r="C10" i="8"/>
  <c r="C9" i="8"/>
  <c r="H52" i="6"/>
  <c r="G52" i="6"/>
  <c r="M176" i="6"/>
  <c r="M175" i="6"/>
  <c r="M147" i="6"/>
  <c r="H8" i="17" l="1"/>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60" i="17"/>
  <c r="H364" i="17"/>
  <c r="H368" i="17"/>
  <c r="H372" i="17"/>
  <c r="H342" i="17"/>
  <c r="H344" i="17"/>
  <c r="H346" i="17"/>
  <c r="H348" i="17"/>
  <c r="H350" i="17"/>
  <c r="H352" i="17"/>
  <c r="H354" i="17"/>
  <c r="H356" i="17"/>
  <c r="H359" i="17"/>
  <c r="H363" i="17"/>
  <c r="H367" i="17"/>
  <c r="H371"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358" i="17"/>
  <c r="H362" i="17"/>
  <c r="H366" i="17"/>
  <c r="H370" i="17"/>
  <c r="H374"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502" i="17"/>
  <c r="H503" i="17"/>
  <c r="H504" i="17"/>
  <c r="H505" i="17"/>
  <c r="H506" i="17"/>
  <c r="H507" i="17"/>
  <c r="H508" i="17"/>
  <c r="H509" i="17"/>
  <c r="H510" i="17"/>
  <c r="H511" i="17"/>
  <c r="H512" i="17"/>
  <c r="H513" i="17"/>
  <c r="H514" i="17"/>
  <c r="H515" i="17"/>
  <c r="H516" i="17"/>
  <c r="H343" i="17"/>
  <c r="H345" i="17"/>
  <c r="H347" i="17"/>
  <c r="H349" i="17"/>
  <c r="H351" i="17"/>
  <c r="H353" i="17"/>
  <c r="H355" i="17"/>
  <c r="H357" i="17"/>
  <c r="H361" i="17"/>
  <c r="H365" i="17"/>
  <c r="H369" i="17"/>
  <c r="H373" i="17"/>
  <c r="H517" i="17"/>
  <c r="H518" i="17"/>
  <c r="H519" i="17"/>
  <c r="H520" i="17"/>
  <c r="H521" i="17"/>
  <c r="H522" i="17"/>
  <c r="H523" i="17"/>
  <c r="H524" i="17"/>
  <c r="H525" i="17"/>
  <c r="H526" i="17"/>
  <c r="H527" i="17"/>
  <c r="H528" i="17"/>
  <c r="H529" i="17"/>
  <c r="H530" i="17"/>
  <c r="H531" i="17"/>
  <c r="H532" i="17"/>
  <c r="H533" i="17"/>
  <c r="H534" i="17"/>
  <c r="H535" i="17"/>
  <c r="H536" i="17"/>
  <c r="H537" i="17"/>
  <c r="H538" i="17"/>
  <c r="H539" i="17"/>
  <c r="H540" i="17"/>
  <c r="H541" i="17"/>
  <c r="H542" i="17"/>
  <c r="H543" i="17"/>
  <c r="H544" i="17"/>
  <c r="H545" i="17"/>
  <c r="H546" i="17"/>
  <c r="H547" i="17"/>
  <c r="H548" i="17"/>
  <c r="H549" i="17"/>
  <c r="H550" i="17"/>
  <c r="H551" i="17"/>
  <c r="H552" i="17"/>
  <c r="H553" i="17"/>
  <c r="H554" i="17"/>
  <c r="H555" i="17"/>
  <c r="H556" i="17"/>
  <c r="H557" i="17"/>
  <c r="H558" i="17"/>
  <c r="H559" i="17"/>
  <c r="H563" i="17"/>
  <c r="H567" i="17"/>
  <c r="H571" i="17"/>
  <c r="H575" i="17"/>
  <c r="H579" i="17"/>
  <c r="H583" i="17"/>
  <c r="H587" i="17"/>
  <c r="H588" i="17"/>
  <c r="H589" i="17"/>
  <c r="H590" i="17"/>
  <c r="H591" i="17"/>
  <c r="H592" i="17"/>
  <c r="H593" i="17"/>
  <c r="H594" i="17"/>
  <c r="H595" i="17"/>
  <c r="H596" i="17"/>
  <c r="H597" i="17"/>
  <c r="H598" i="17"/>
  <c r="H599" i="17"/>
  <c r="H600" i="17"/>
  <c r="H601" i="17"/>
  <c r="H602" i="17"/>
  <c r="H603" i="17"/>
  <c r="H604" i="17"/>
  <c r="H605" i="17"/>
  <c r="H606" i="17"/>
  <c r="H607" i="17"/>
  <c r="H608" i="17"/>
  <c r="H609" i="17"/>
  <c r="H610" i="17"/>
  <c r="H611" i="17"/>
  <c r="H612" i="17"/>
  <c r="H613" i="17"/>
  <c r="H614" i="17"/>
  <c r="H615" i="17"/>
  <c r="H693" i="17"/>
  <c r="H694" i="17"/>
  <c r="H695" i="17"/>
  <c r="H696" i="17"/>
  <c r="H697" i="17"/>
  <c r="H698" i="17"/>
  <c r="H699" i="17"/>
  <c r="H700" i="17"/>
  <c r="H701" i="17"/>
  <c r="H702" i="17"/>
  <c r="H703" i="17"/>
  <c r="H704" i="17"/>
  <c r="H705" i="17"/>
  <c r="H706" i="17"/>
  <c r="H707" i="17"/>
  <c r="H708" i="17"/>
  <c r="H709" i="17"/>
  <c r="H710" i="17"/>
  <c r="H711" i="17"/>
  <c r="H712" i="17"/>
  <c r="H713" i="17"/>
  <c r="H714" i="17"/>
  <c r="H715" i="17"/>
  <c r="H716" i="17"/>
  <c r="H717" i="17"/>
  <c r="H718" i="17"/>
  <c r="H719" i="17"/>
  <c r="H720" i="17"/>
  <c r="H721" i="17"/>
  <c r="H722" i="17"/>
  <c r="H723" i="17"/>
  <c r="H724" i="17"/>
  <c r="H725" i="17"/>
  <c r="H726" i="17"/>
  <c r="H727" i="17"/>
  <c r="H728" i="17"/>
  <c r="H729" i="17"/>
  <c r="H730" i="17"/>
  <c r="H731" i="17"/>
  <c r="H732" i="17"/>
  <c r="H733" i="17"/>
  <c r="H734" i="17"/>
  <c r="H735" i="17"/>
  <c r="H736" i="17"/>
  <c r="H562" i="17"/>
  <c r="H566" i="17"/>
  <c r="H570" i="17"/>
  <c r="H574" i="17"/>
  <c r="H578" i="17"/>
  <c r="H582" i="17"/>
  <c r="H586" i="17"/>
  <c r="H616" i="17"/>
  <c r="H617" i="17"/>
  <c r="H618" i="17"/>
  <c r="H619" i="17"/>
  <c r="H620" i="17"/>
  <c r="H621" i="17"/>
  <c r="H7" i="17"/>
  <c r="H561" i="17"/>
  <c r="H565" i="17"/>
  <c r="H569" i="17"/>
  <c r="H573" i="17"/>
  <c r="H577" i="17"/>
  <c r="H581" i="17"/>
  <c r="H585" i="17"/>
  <c r="H622" i="17"/>
  <c r="H623" i="17"/>
  <c r="H624" i="17"/>
  <c r="H625" i="17"/>
  <c r="H626" i="17"/>
  <c r="H627" i="17"/>
  <c r="H628" i="17"/>
  <c r="H629" i="17"/>
  <c r="H630" i="17"/>
  <c r="H631" i="17"/>
  <c r="H632" i="17"/>
  <c r="H633" i="17"/>
  <c r="H634" i="17"/>
  <c r="H635" i="17"/>
  <c r="H636" i="17"/>
  <c r="H637" i="17"/>
  <c r="H638" i="17"/>
  <c r="H639" i="17"/>
  <c r="H640" i="17"/>
  <c r="H641" i="17"/>
  <c r="H642" i="17"/>
  <c r="H643" i="17"/>
  <c r="H644" i="17"/>
  <c r="H645" i="17"/>
  <c r="H646" i="17"/>
  <c r="H647" i="17"/>
  <c r="H648" i="17"/>
  <c r="H649" i="17"/>
  <c r="H650" i="17"/>
  <c r="H651" i="17"/>
  <c r="H652" i="17"/>
  <c r="H653" i="17"/>
  <c r="H654" i="17"/>
  <c r="H655" i="17"/>
  <c r="H656" i="17"/>
  <c r="H657" i="17"/>
  <c r="H658" i="17"/>
  <c r="H659" i="17"/>
  <c r="H660" i="17"/>
  <c r="H560" i="17"/>
  <c r="H564" i="17"/>
  <c r="H568" i="17"/>
  <c r="H572" i="17"/>
  <c r="H576" i="17"/>
  <c r="H580" i="17"/>
  <c r="H584" i="17"/>
  <c r="H661" i="17"/>
  <c r="H662" i="17"/>
  <c r="H663" i="17"/>
  <c r="H664" i="17"/>
  <c r="H665" i="17"/>
  <c r="H666" i="17"/>
  <c r="H667" i="17"/>
  <c r="H668" i="17"/>
  <c r="H669" i="17"/>
  <c r="H670" i="17"/>
  <c r="H671" i="17"/>
  <c r="H672" i="17"/>
  <c r="H673" i="17"/>
  <c r="H674" i="17"/>
  <c r="H675" i="17"/>
  <c r="H676" i="17"/>
  <c r="H677" i="17"/>
  <c r="H678" i="17"/>
  <c r="H679" i="17"/>
  <c r="H680" i="17"/>
  <c r="H681" i="17"/>
  <c r="H682" i="17"/>
  <c r="H683" i="17"/>
  <c r="H684" i="17"/>
  <c r="H685" i="17"/>
  <c r="H686" i="17"/>
  <c r="H687" i="17"/>
  <c r="H688" i="17"/>
  <c r="H689" i="17"/>
  <c r="H690" i="17"/>
  <c r="H691" i="17"/>
  <c r="H692" i="17"/>
  <c r="D24" i="8"/>
  <c r="D25" i="8"/>
  <c r="D22" i="8"/>
  <c r="D26" i="8"/>
  <c r="D23" i="8"/>
  <c r="V19" i="15"/>
  <c r="V18" i="15"/>
  <c r="V15" i="15"/>
  <c r="V14" i="15"/>
  <c r="V11" i="15"/>
  <c r="V10" i="15"/>
  <c r="V7" i="15"/>
  <c r="V6" i="15"/>
  <c r="T19" i="15"/>
  <c r="T18" i="15"/>
  <c r="T15" i="15"/>
  <c r="T14" i="15"/>
  <c r="T11" i="15"/>
  <c r="T10" i="15"/>
  <c r="T7" i="15"/>
  <c r="T6" i="15"/>
  <c r="E33" i="8" l="1"/>
  <c r="F52" i="6" l="1"/>
  <c r="E52" i="6"/>
  <c r="D52" i="6"/>
  <c r="E159" i="6"/>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6" i="14"/>
  <c r="L735" i="1"/>
  <c r="D735" i="14" s="1"/>
  <c r="L734" i="1"/>
  <c r="D734" i="14" s="1"/>
  <c r="L733" i="1"/>
  <c r="D733" i="14" s="1"/>
  <c r="L732" i="1"/>
  <c r="D732" i="14" s="1"/>
  <c r="L731" i="1"/>
  <c r="D731" i="14" s="1"/>
  <c r="L730" i="1"/>
  <c r="D730" i="14" s="1"/>
  <c r="L729" i="1"/>
  <c r="D729" i="14" s="1"/>
  <c r="L728" i="1"/>
  <c r="D728" i="14" s="1"/>
  <c r="L727" i="1"/>
  <c r="D727" i="14" s="1"/>
  <c r="L726" i="1"/>
  <c r="D726" i="14" s="1"/>
  <c r="L725" i="1"/>
  <c r="D725" i="14" s="1"/>
  <c r="L724" i="1"/>
  <c r="D724" i="14" s="1"/>
  <c r="L723" i="1"/>
  <c r="D723" i="14" s="1"/>
  <c r="L722" i="1"/>
  <c r="D722" i="14" s="1"/>
  <c r="L721" i="1"/>
  <c r="D721" i="14" s="1"/>
  <c r="L720" i="1"/>
  <c r="D720" i="14" s="1"/>
  <c r="L719" i="1"/>
  <c r="D719" i="14" s="1"/>
  <c r="L718" i="1"/>
  <c r="D718" i="14" s="1"/>
  <c r="L717" i="1"/>
  <c r="D717" i="14" s="1"/>
  <c r="L716" i="1"/>
  <c r="D716" i="14" s="1"/>
  <c r="L715" i="1"/>
  <c r="D715" i="14" s="1"/>
  <c r="L714" i="1"/>
  <c r="D714" i="14" s="1"/>
  <c r="L713" i="1"/>
  <c r="D713" i="14" s="1"/>
  <c r="L712" i="1"/>
  <c r="D712" i="14" s="1"/>
  <c r="L711" i="1"/>
  <c r="D711" i="14" s="1"/>
  <c r="L710" i="1"/>
  <c r="D710" i="14" s="1"/>
  <c r="L709" i="1"/>
  <c r="D709" i="14" s="1"/>
  <c r="L708" i="1"/>
  <c r="D708" i="14" s="1"/>
  <c r="L707" i="1"/>
  <c r="D707" i="14" s="1"/>
  <c r="L706" i="1"/>
  <c r="D706" i="14" s="1"/>
  <c r="L705" i="1"/>
  <c r="D705" i="14" s="1"/>
  <c r="L704" i="1"/>
  <c r="D704" i="14" s="1"/>
  <c r="L703" i="1"/>
  <c r="D703" i="14" s="1"/>
  <c r="L702" i="1"/>
  <c r="D702" i="14" s="1"/>
  <c r="L701" i="1"/>
  <c r="D701" i="14" s="1"/>
  <c r="L700" i="1"/>
  <c r="D700" i="14" s="1"/>
  <c r="L699" i="1"/>
  <c r="D699" i="14" s="1"/>
  <c r="L698" i="1"/>
  <c r="D698" i="14" s="1"/>
  <c r="L697" i="1"/>
  <c r="D697" i="14" s="1"/>
  <c r="L696" i="1"/>
  <c r="D696" i="14" s="1"/>
  <c r="L695" i="1"/>
  <c r="D695" i="14" s="1"/>
  <c r="L694" i="1"/>
  <c r="D694" i="14" s="1"/>
  <c r="L693" i="1"/>
  <c r="D693" i="14" s="1"/>
  <c r="L692" i="1"/>
  <c r="D692" i="14" s="1"/>
  <c r="L691" i="1"/>
  <c r="D691" i="14" s="1"/>
  <c r="L690" i="1"/>
  <c r="D690" i="14" s="1"/>
  <c r="L689" i="1"/>
  <c r="D689" i="14" s="1"/>
  <c r="L688" i="1"/>
  <c r="D688" i="14" s="1"/>
  <c r="L687" i="1"/>
  <c r="D687" i="14" s="1"/>
  <c r="L686" i="1"/>
  <c r="D686" i="14" s="1"/>
  <c r="L685" i="1"/>
  <c r="D685" i="14" s="1"/>
  <c r="L684" i="1"/>
  <c r="D684" i="14" s="1"/>
  <c r="L683" i="1"/>
  <c r="D683" i="14" s="1"/>
  <c r="L682" i="1"/>
  <c r="D682" i="14" s="1"/>
  <c r="L681" i="1"/>
  <c r="D681" i="14" s="1"/>
  <c r="L680" i="1"/>
  <c r="D680" i="14" s="1"/>
  <c r="L679" i="1"/>
  <c r="D679" i="14" s="1"/>
  <c r="L678" i="1"/>
  <c r="D678" i="14" s="1"/>
  <c r="L677" i="1"/>
  <c r="D677" i="14" s="1"/>
  <c r="L676" i="1"/>
  <c r="D676" i="14" s="1"/>
  <c r="L675" i="1"/>
  <c r="D675" i="14" s="1"/>
  <c r="L674" i="1"/>
  <c r="D674" i="14" s="1"/>
  <c r="L673" i="1"/>
  <c r="D673" i="14" s="1"/>
  <c r="L672" i="1"/>
  <c r="D672" i="14" s="1"/>
  <c r="L671" i="1"/>
  <c r="D671" i="14" s="1"/>
  <c r="L670" i="1"/>
  <c r="D670" i="14" s="1"/>
  <c r="L669" i="1"/>
  <c r="D669" i="14" s="1"/>
  <c r="L668" i="1"/>
  <c r="D668" i="14" s="1"/>
  <c r="L667" i="1"/>
  <c r="D667" i="14" s="1"/>
  <c r="L666" i="1"/>
  <c r="D666" i="14" s="1"/>
  <c r="L665" i="1"/>
  <c r="D665" i="14" s="1"/>
  <c r="L664" i="1"/>
  <c r="D664" i="14" s="1"/>
  <c r="L663" i="1"/>
  <c r="D663" i="14" s="1"/>
  <c r="L662" i="1"/>
  <c r="D662" i="14" s="1"/>
  <c r="L661" i="1"/>
  <c r="D661" i="14" s="1"/>
  <c r="L660" i="1"/>
  <c r="D660" i="14" s="1"/>
  <c r="L659" i="1"/>
  <c r="D659" i="14" s="1"/>
  <c r="L658" i="1"/>
  <c r="D658" i="14" s="1"/>
  <c r="L657" i="1"/>
  <c r="D657" i="14" s="1"/>
  <c r="L656" i="1"/>
  <c r="D656" i="14" s="1"/>
  <c r="L655" i="1"/>
  <c r="D655" i="14" s="1"/>
  <c r="L654" i="1"/>
  <c r="D654" i="14" s="1"/>
  <c r="L653" i="1"/>
  <c r="D653" i="14" s="1"/>
  <c r="L652" i="1"/>
  <c r="D652" i="14" s="1"/>
  <c r="L651" i="1"/>
  <c r="D651" i="14" s="1"/>
  <c r="L650" i="1"/>
  <c r="D650" i="14" s="1"/>
  <c r="L649" i="1"/>
  <c r="D649" i="14" s="1"/>
  <c r="L648" i="1"/>
  <c r="D648" i="14" s="1"/>
  <c r="L647" i="1"/>
  <c r="D647" i="14" s="1"/>
  <c r="L646" i="1"/>
  <c r="D646" i="14" s="1"/>
  <c r="L645" i="1"/>
  <c r="D645" i="14" s="1"/>
  <c r="L644" i="1"/>
  <c r="D644" i="14" s="1"/>
  <c r="L643" i="1"/>
  <c r="D643" i="14" s="1"/>
  <c r="L642" i="1"/>
  <c r="D642" i="14" s="1"/>
  <c r="L641" i="1"/>
  <c r="D641" i="14" s="1"/>
  <c r="L640" i="1"/>
  <c r="D640" i="14" s="1"/>
  <c r="L639" i="1"/>
  <c r="D639" i="14" s="1"/>
  <c r="L638" i="1"/>
  <c r="D638" i="14" s="1"/>
  <c r="L637" i="1"/>
  <c r="D637" i="14" s="1"/>
  <c r="L636" i="1"/>
  <c r="D636" i="14" s="1"/>
  <c r="L635" i="1"/>
  <c r="D635" i="14" s="1"/>
  <c r="L634" i="1"/>
  <c r="D634" i="14" s="1"/>
  <c r="L633" i="1"/>
  <c r="D633" i="14" s="1"/>
  <c r="L632" i="1"/>
  <c r="D632" i="14" s="1"/>
  <c r="L631" i="1"/>
  <c r="D631" i="14" s="1"/>
  <c r="L630" i="1"/>
  <c r="D630" i="14" s="1"/>
  <c r="L629" i="1"/>
  <c r="D629" i="14" s="1"/>
  <c r="L628" i="1"/>
  <c r="D628" i="14" s="1"/>
  <c r="L627" i="1"/>
  <c r="D627" i="14" s="1"/>
  <c r="L626" i="1"/>
  <c r="D626" i="14" s="1"/>
  <c r="L625" i="1"/>
  <c r="D625" i="14" s="1"/>
  <c r="L624" i="1"/>
  <c r="D624" i="14" s="1"/>
  <c r="L623" i="1"/>
  <c r="D623" i="14" s="1"/>
  <c r="L622" i="1"/>
  <c r="D622" i="14" s="1"/>
  <c r="L621" i="1"/>
  <c r="D621" i="14" s="1"/>
  <c r="L620" i="1"/>
  <c r="D620" i="14" s="1"/>
  <c r="L619" i="1"/>
  <c r="D619" i="14" s="1"/>
  <c r="L618" i="1"/>
  <c r="D618" i="14" s="1"/>
  <c r="L617" i="1"/>
  <c r="D617" i="14" s="1"/>
  <c r="L616" i="1"/>
  <c r="D616" i="14" s="1"/>
  <c r="L615" i="1"/>
  <c r="D615" i="14" s="1"/>
  <c r="L614" i="1"/>
  <c r="D614" i="14" s="1"/>
  <c r="L613" i="1"/>
  <c r="D613" i="14" s="1"/>
  <c r="L612" i="1"/>
  <c r="D612" i="14" s="1"/>
  <c r="L611" i="1"/>
  <c r="D611" i="14" s="1"/>
  <c r="L610" i="1"/>
  <c r="D610" i="14" s="1"/>
  <c r="L609" i="1"/>
  <c r="D609" i="14" s="1"/>
  <c r="L608" i="1"/>
  <c r="D608" i="14" s="1"/>
  <c r="L607" i="1"/>
  <c r="D607" i="14" s="1"/>
  <c r="L606" i="1"/>
  <c r="D606" i="14" s="1"/>
  <c r="L605" i="1"/>
  <c r="D605" i="14" s="1"/>
  <c r="L604" i="1"/>
  <c r="D604" i="14" s="1"/>
  <c r="L603" i="1"/>
  <c r="D603" i="14" s="1"/>
  <c r="L602" i="1"/>
  <c r="D602" i="14" s="1"/>
  <c r="L601" i="1"/>
  <c r="D601" i="14" s="1"/>
  <c r="L600" i="1"/>
  <c r="D600" i="14" s="1"/>
  <c r="L599" i="1"/>
  <c r="D599" i="14" s="1"/>
  <c r="L598" i="1"/>
  <c r="D598" i="14" s="1"/>
  <c r="L597" i="1"/>
  <c r="D597" i="14" s="1"/>
  <c r="L596" i="1"/>
  <c r="D596" i="14" s="1"/>
  <c r="L595" i="1"/>
  <c r="D595" i="14" s="1"/>
  <c r="L594" i="1"/>
  <c r="D594" i="14" s="1"/>
  <c r="L593" i="1"/>
  <c r="D593" i="14" s="1"/>
  <c r="L592" i="1"/>
  <c r="D592" i="14" s="1"/>
  <c r="L591" i="1"/>
  <c r="D591" i="14" s="1"/>
  <c r="L590" i="1"/>
  <c r="D590" i="14" s="1"/>
  <c r="L589" i="1"/>
  <c r="D589" i="14" s="1"/>
  <c r="L588" i="1"/>
  <c r="D588" i="14" s="1"/>
  <c r="L587" i="1"/>
  <c r="D587" i="14" s="1"/>
  <c r="L586" i="1"/>
  <c r="D586" i="14" s="1"/>
  <c r="L585" i="1"/>
  <c r="D585" i="14" s="1"/>
  <c r="L584" i="1"/>
  <c r="D584" i="14" s="1"/>
  <c r="L583" i="1"/>
  <c r="D583" i="14" s="1"/>
  <c r="L582" i="1"/>
  <c r="D582" i="14" s="1"/>
  <c r="L581" i="1"/>
  <c r="D581" i="14" s="1"/>
  <c r="L580" i="1"/>
  <c r="D580" i="14" s="1"/>
  <c r="L579" i="1"/>
  <c r="D579" i="14" s="1"/>
  <c r="L578" i="1"/>
  <c r="D578" i="14" s="1"/>
  <c r="L577" i="1"/>
  <c r="D577" i="14" s="1"/>
  <c r="L576" i="1"/>
  <c r="D576" i="14" s="1"/>
  <c r="L575" i="1"/>
  <c r="D575" i="14" s="1"/>
  <c r="L574" i="1"/>
  <c r="D574" i="14" s="1"/>
  <c r="L573" i="1"/>
  <c r="D573" i="14" s="1"/>
  <c r="L572" i="1"/>
  <c r="D572" i="14" s="1"/>
  <c r="L571" i="1"/>
  <c r="D571" i="14" s="1"/>
  <c r="L570" i="1"/>
  <c r="D570" i="14" s="1"/>
  <c r="L569" i="1"/>
  <c r="D569" i="14" s="1"/>
  <c r="L568" i="1"/>
  <c r="D568" i="14" s="1"/>
  <c r="L567" i="1"/>
  <c r="D567" i="14" s="1"/>
  <c r="L566" i="1"/>
  <c r="D566" i="14" s="1"/>
  <c r="L565" i="1"/>
  <c r="D565" i="14" s="1"/>
  <c r="L564" i="1"/>
  <c r="D564" i="14" s="1"/>
  <c r="L563" i="1"/>
  <c r="D563" i="14" s="1"/>
  <c r="L562" i="1"/>
  <c r="D562" i="14" s="1"/>
  <c r="L561" i="1"/>
  <c r="D561" i="14" s="1"/>
  <c r="L560" i="1"/>
  <c r="D560" i="14" s="1"/>
  <c r="L559" i="1"/>
  <c r="D559" i="14" s="1"/>
  <c r="L558" i="1"/>
  <c r="D558" i="14" s="1"/>
  <c r="L557" i="1"/>
  <c r="D557" i="14" s="1"/>
  <c r="L556" i="1"/>
  <c r="D556" i="14" s="1"/>
  <c r="L555" i="1"/>
  <c r="D555" i="14" s="1"/>
  <c r="L554" i="1"/>
  <c r="D554" i="14" s="1"/>
  <c r="L553" i="1"/>
  <c r="D553" i="14" s="1"/>
  <c r="L552" i="1"/>
  <c r="D552" i="14" s="1"/>
  <c r="L551" i="1"/>
  <c r="D551" i="14" s="1"/>
  <c r="L550" i="1"/>
  <c r="D550" i="14" s="1"/>
  <c r="L549" i="1"/>
  <c r="D549" i="14" s="1"/>
  <c r="L548" i="1"/>
  <c r="D548" i="14" s="1"/>
  <c r="L547" i="1"/>
  <c r="D547" i="14" s="1"/>
  <c r="L546" i="1"/>
  <c r="D546" i="14" s="1"/>
  <c r="L545" i="1"/>
  <c r="D545" i="14" s="1"/>
  <c r="L544" i="1"/>
  <c r="D544" i="14" s="1"/>
  <c r="L543" i="1"/>
  <c r="D543" i="14" s="1"/>
  <c r="L542" i="1"/>
  <c r="D542" i="14" s="1"/>
  <c r="L541" i="1"/>
  <c r="D541" i="14" s="1"/>
  <c r="L540" i="1"/>
  <c r="D540" i="14" s="1"/>
  <c r="L539" i="1"/>
  <c r="D539" i="14" s="1"/>
  <c r="L538" i="1"/>
  <c r="D538" i="14" s="1"/>
  <c r="L537" i="1"/>
  <c r="D537" i="14" s="1"/>
  <c r="L536" i="1"/>
  <c r="D536" i="14" s="1"/>
  <c r="L535" i="1"/>
  <c r="D535" i="14" s="1"/>
  <c r="L534" i="1"/>
  <c r="D534" i="14" s="1"/>
  <c r="L533" i="1"/>
  <c r="D533" i="14" s="1"/>
  <c r="L532" i="1"/>
  <c r="D532" i="14" s="1"/>
  <c r="L531" i="1"/>
  <c r="D531" i="14" s="1"/>
  <c r="L530" i="1"/>
  <c r="D530" i="14" s="1"/>
  <c r="L529" i="1"/>
  <c r="D529" i="14" s="1"/>
  <c r="L528" i="1"/>
  <c r="D528" i="14" s="1"/>
  <c r="L527" i="1"/>
  <c r="D527" i="14" s="1"/>
  <c r="L526" i="1"/>
  <c r="D526" i="14" s="1"/>
  <c r="L525" i="1"/>
  <c r="D525" i="14" s="1"/>
  <c r="L524" i="1"/>
  <c r="D524" i="14" s="1"/>
  <c r="L523" i="1"/>
  <c r="D523" i="14" s="1"/>
  <c r="L522" i="1"/>
  <c r="D522" i="14" s="1"/>
  <c r="L521" i="1"/>
  <c r="D521" i="14" s="1"/>
  <c r="L520" i="1"/>
  <c r="D520" i="14" s="1"/>
  <c r="L519" i="1"/>
  <c r="D519" i="14" s="1"/>
  <c r="L518" i="1"/>
  <c r="D518" i="14" s="1"/>
  <c r="L517" i="1"/>
  <c r="D517" i="14" s="1"/>
  <c r="L516" i="1"/>
  <c r="D516" i="14" s="1"/>
  <c r="L515" i="1"/>
  <c r="D515" i="14" s="1"/>
  <c r="L514" i="1"/>
  <c r="D514" i="14" s="1"/>
  <c r="L513" i="1"/>
  <c r="D513" i="14" s="1"/>
  <c r="L512" i="1"/>
  <c r="D512" i="14" s="1"/>
  <c r="L511" i="1"/>
  <c r="D511" i="14" s="1"/>
  <c r="L510" i="1"/>
  <c r="D510" i="14" s="1"/>
  <c r="L509" i="1"/>
  <c r="D509" i="14" s="1"/>
  <c r="L508" i="1"/>
  <c r="D508" i="14" s="1"/>
  <c r="L507" i="1"/>
  <c r="D507" i="14" s="1"/>
  <c r="L506" i="1"/>
  <c r="D506" i="14" s="1"/>
  <c r="L505" i="1"/>
  <c r="D505" i="14" s="1"/>
  <c r="L504" i="1"/>
  <c r="D504" i="14" s="1"/>
  <c r="L503" i="1"/>
  <c r="D503" i="14" s="1"/>
  <c r="L502" i="1"/>
  <c r="D502" i="14" s="1"/>
  <c r="L501" i="1"/>
  <c r="D501" i="14" s="1"/>
  <c r="L500" i="1"/>
  <c r="D500" i="14" s="1"/>
  <c r="L499" i="1"/>
  <c r="D499" i="14" s="1"/>
  <c r="L498" i="1"/>
  <c r="D498" i="14" s="1"/>
  <c r="L497" i="1"/>
  <c r="D497" i="14" s="1"/>
  <c r="L496" i="1"/>
  <c r="D496" i="14" s="1"/>
  <c r="L495" i="1"/>
  <c r="D495" i="14" s="1"/>
  <c r="L494" i="1"/>
  <c r="D494" i="14" s="1"/>
  <c r="L493" i="1"/>
  <c r="D493" i="14" s="1"/>
  <c r="L492" i="1"/>
  <c r="D492" i="14" s="1"/>
  <c r="L491" i="1"/>
  <c r="D491" i="14" s="1"/>
  <c r="L490" i="1"/>
  <c r="D490" i="14" s="1"/>
  <c r="L489" i="1"/>
  <c r="D489" i="14" s="1"/>
  <c r="L488" i="1"/>
  <c r="D488" i="14" s="1"/>
  <c r="L487" i="1"/>
  <c r="D487" i="14" s="1"/>
  <c r="L486" i="1"/>
  <c r="D486" i="14" s="1"/>
  <c r="L485" i="1"/>
  <c r="D485" i="14" s="1"/>
  <c r="L484" i="1"/>
  <c r="D484" i="14" s="1"/>
  <c r="L483" i="1"/>
  <c r="D483" i="14" s="1"/>
  <c r="L482" i="1"/>
  <c r="D482" i="14" s="1"/>
  <c r="L481" i="1"/>
  <c r="D481" i="14" s="1"/>
  <c r="L480" i="1"/>
  <c r="D480" i="14" s="1"/>
  <c r="L479" i="1"/>
  <c r="D479" i="14" s="1"/>
  <c r="L478" i="1"/>
  <c r="D478" i="14" s="1"/>
  <c r="L477" i="1"/>
  <c r="D477" i="14" s="1"/>
  <c r="L476" i="1"/>
  <c r="D476" i="14" s="1"/>
  <c r="L475" i="1"/>
  <c r="D475" i="14" s="1"/>
  <c r="L474" i="1"/>
  <c r="D474" i="14" s="1"/>
  <c r="L473" i="1"/>
  <c r="D473" i="14" s="1"/>
  <c r="L472" i="1"/>
  <c r="D472" i="14" s="1"/>
  <c r="L471" i="1"/>
  <c r="D471" i="14" s="1"/>
  <c r="L470" i="1"/>
  <c r="D470" i="14" s="1"/>
  <c r="L469" i="1"/>
  <c r="D469" i="14" s="1"/>
  <c r="L468" i="1"/>
  <c r="D468" i="14" s="1"/>
  <c r="L467" i="1"/>
  <c r="D467" i="14" s="1"/>
  <c r="L466" i="1"/>
  <c r="D466" i="14" s="1"/>
  <c r="L465" i="1"/>
  <c r="D465" i="14" s="1"/>
  <c r="L464" i="1"/>
  <c r="D464" i="14" s="1"/>
  <c r="L463" i="1"/>
  <c r="D463" i="14" s="1"/>
  <c r="L462" i="1"/>
  <c r="D462" i="14" s="1"/>
  <c r="L461" i="1"/>
  <c r="D461" i="14" s="1"/>
  <c r="L460" i="1"/>
  <c r="D460" i="14" s="1"/>
  <c r="L459" i="1"/>
  <c r="D459" i="14" s="1"/>
  <c r="L458" i="1"/>
  <c r="D458" i="14" s="1"/>
  <c r="L457" i="1"/>
  <c r="D457" i="14" s="1"/>
  <c r="L456" i="1"/>
  <c r="D456" i="14" s="1"/>
  <c r="L455" i="1"/>
  <c r="D455" i="14" s="1"/>
  <c r="L454" i="1"/>
  <c r="D454" i="14" s="1"/>
  <c r="L453" i="1"/>
  <c r="D453" i="14" s="1"/>
  <c r="L452" i="1"/>
  <c r="D452" i="14" s="1"/>
  <c r="L451" i="1"/>
  <c r="D451" i="14" s="1"/>
  <c r="L450" i="1"/>
  <c r="D450" i="14" s="1"/>
  <c r="L449" i="1"/>
  <c r="D449" i="14" s="1"/>
  <c r="L448" i="1"/>
  <c r="D448" i="14" s="1"/>
  <c r="L447" i="1"/>
  <c r="D447" i="14" s="1"/>
  <c r="L446" i="1"/>
  <c r="D446" i="14" s="1"/>
  <c r="L445" i="1"/>
  <c r="D445" i="14" s="1"/>
  <c r="L444" i="1"/>
  <c r="D444" i="14" s="1"/>
  <c r="L443" i="1"/>
  <c r="D443" i="14" s="1"/>
  <c r="L442" i="1"/>
  <c r="D442" i="14" s="1"/>
  <c r="L441" i="1"/>
  <c r="D441" i="14" s="1"/>
  <c r="L440" i="1"/>
  <c r="D440" i="14" s="1"/>
  <c r="L439" i="1"/>
  <c r="D439" i="14" s="1"/>
  <c r="L438" i="1"/>
  <c r="D438" i="14" s="1"/>
  <c r="L437" i="1"/>
  <c r="D437" i="14" s="1"/>
  <c r="L436" i="1"/>
  <c r="D436" i="14" s="1"/>
  <c r="L435" i="1"/>
  <c r="D435" i="14" s="1"/>
  <c r="L434" i="1"/>
  <c r="D434" i="14" s="1"/>
  <c r="L433" i="1"/>
  <c r="D433" i="14" s="1"/>
  <c r="L432" i="1"/>
  <c r="D432" i="14" s="1"/>
  <c r="L431" i="1"/>
  <c r="D431" i="14" s="1"/>
  <c r="L430" i="1"/>
  <c r="D430" i="14" s="1"/>
  <c r="L429" i="1"/>
  <c r="D429" i="14" s="1"/>
  <c r="L428" i="1"/>
  <c r="D428" i="14" s="1"/>
  <c r="L427" i="1"/>
  <c r="D427" i="14" s="1"/>
  <c r="L426" i="1"/>
  <c r="D426" i="14" s="1"/>
  <c r="L425" i="1"/>
  <c r="D425" i="14" s="1"/>
  <c r="L424" i="1"/>
  <c r="D424" i="14" s="1"/>
  <c r="L423" i="1"/>
  <c r="D423" i="14" s="1"/>
  <c r="L422" i="1"/>
  <c r="D422" i="14" s="1"/>
  <c r="L421" i="1"/>
  <c r="D421" i="14" s="1"/>
  <c r="L420" i="1"/>
  <c r="D420" i="14" s="1"/>
  <c r="L419" i="1"/>
  <c r="D419" i="14" s="1"/>
  <c r="L418" i="1"/>
  <c r="D418" i="14" s="1"/>
  <c r="L417" i="1"/>
  <c r="D417" i="14" s="1"/>
  <c r="L416" i="1"/>
  <c r="D416" i="14" s="1"/>
  <c r="L415" i="1"/>
  <c r="D415" i="14" s="1"/>
  <c r="L414" i="1"/>
  <c r="D414" i="14" s="1"/>
  <c r="L413" i="1"/>
  <c r="D413" i="14" s="1"/>
  <c r="L412" i="1"/>
  <c r="D412" i="14" s="1"/>
  <c r="L411" i="1"/>
  <c r="D411" i="14" s="1"/>
  <c r="L410" i="1"/>
  <c r="D410" i="14" s="1"/>
  <c r="L409" i="1"/>
  <c r="D409" i="14" s="1"/>
  <c r="L408" i="1"/>
  <c r="D408" i="14" s="1"/>
  <c r="L407" i="1"/>
  <c r="D407" i="14" s="1"/>
  <c r="L406" i="1"/>
  <c r="D406" i="14" s="1"/>
  <c r="L405" i="1"/>
  <c r="D405" i="14" s="1"/>
  <c r="L404" i="1"/>
  <c r="D404" i="14" s="1"/>
  <c r="L403" i="1"/>
  <c r="D403" i="14" s="1"/>
  <c r="L402" i="1"/>
  <c r="D402" i="14" s="1"/>
  <c r="L401" i="1"/>
  <c r="D401" i="14" s="1"/>
  <c r="L400" i="1"/>
  <c r="D400" i="14" s="1"/>
  <c r="L399" i="1"/>
  <c r="D399" i="14" s="1"/>
  <c r="L398" i="1"/>
  <c r="D398" i="14" s="1"/>
  <c r="L397" i="1"/>
  <c r="D397" i="14" s="1"/>
  <c r="L396" i="1"/>
  <c r="D396" i="14" s="1"/>
  <c r="L395" i="1"/>
  <c r="D395" i="14" s="1"/>
  <c r="L394" i="1"/>
  <c r="D394" i="14" s="1"/>
  <c r="L393" i="1"/>
  <c r="D393" i="14" s="1"/>
  <c r="L392" i="1"/>
  <c r="D392" i="14" s="1"/>
  <c r="L391" i="1"/>
  <c r="D391" i="14" s="1"/>
  <c r="L390" i="1"/>
  <c r="D390" i="14" s="1"/>
  <c r="L389" i="1"/>
  <c r="D389" i="14" s="1"/>
  <c r="L388" i="1"/>
  <c r="D388" i="14" s="1"/>
  <c r="L387" i="1"/>
  <c r="D387" i="14" s="1"/>
  <c r="L386" i="1"/>
  <c r="D386" i="14" s="1"/>
  <c r="L385" i="1"/>
  <c r="D385" i="14" s="1"/>
  <c r="L384" i="1"/>
  <c r="D384" i="14" s="1"/>
  <c r="L383" i="1"/>
  <c r="D383" i="14" s="1"/>
  <c r="L382" i="1"/>
  <c r="D382" i="14" s="1"/>
  <c r="L381" i="1"/>
  <c r="D381" i="14" s="1"/>
  <c r="L380" i="1"/>
  <c r="D380" i="14" s="1"/>
  <c r="L379" i="1"/>
  <c r="D379" i="14" s="1"/>
  <c r="L378" i="1"/>
  <c r="D378" i="14" s="1"/>
  <c r="L377" i="1"/>
  <c r="D377" i="14" s="1"/>
  <c r="L376" i="1"/>
  <c r="D376" i="14" s="1"/>
  <c r="L375" i="1"/>
  <c r="D375" i="14" s="1"/>
  <c r="L374" i="1"/>
  <c r="D374" i="14" s="1"/>
  <c r="L373" i="1"/>
  <c r="D373" i="14" s="1"/>
  <c r="L372" i="1"/>
  <c r="D372" i="14" s="1"/>
  <c r="L371" i="1"/>
  <c r="D371" i="14" s="1"/>
  <c r="C8" i="8"/>
  <c r="C7" i="8"/>
  <c r="C6" i="8"/>
  <c r="F33" i="8"/>
  <c r="G123" i="14" l="1"/>
  <c r="G119" i="14"/>
  <c r="G115" i="14"/>
  <c r="G111" i="14"/>
  <c r="G107" i="14"/>
  <c r="G103" i="14"/>
  <c r="G99" i="14"/>
  <c r="G95" i="14"/>
  <c r="G122" i="14"/>
  <c r="G118" i="14"/>
  <c r="G114" i="14"/>
  <c r="G110" i="14"/>
  <c r="G106" i="14"/>
  <c r="G102" i="14"/>
  <c r="G98" i="14"/>
  <c r="G94" i="14"/>
  <c r="G90" i="14"/>
  <c r="G86" i="14"/>
  <c r="G82" i="14"/>
  <c r="G78" i="14"/>
  <c r="G74" i="14"/>
  <c r="G70" i="14"/>
  <c r="G66" i="14"/>
  <c r="G62" i="14"/>
  <c r="G125" i="14"/>
  <c r="G121" i="14"/>
  <c r="G117" i="14"/>
  <c r="G113" i="14"/>
  <c r="G109" i="14"/>
  <c r="G105" i="14"/>
  <c r="G101" i="14"/>
  <c r="G97" i="14"/>
  <c r="G93" i="14"/>
  <c r="G89" i="14"/>
  <c r="G85" i="14"/>
  <c r="G81" i="14"/>
  <c r="G77" i="14"/>
  <c r="G73" i="14"/>
  <c r="G69" i="14"/>
  <c r="G65" i="14"/>
  <c r="F65" i="14"/>
  <c r="H65" i="14" s="1"/>
  <c r="G61" i="14"/>
  <c r="F61" i="14"/>
  <c r="H61" i="14" s="1"/>
  <c r="G57" i="14"/>
  <c r="F57" i="14"/>
  <c r="H57" i="14" s="1"/>
  <c r="G53" i="14"/>
  <c r="F53" i="14"/>
  <c r="H53" i="14" s="1"/>
  <c r="G49" i="14"/>
  <c r="F49" i="14"/>
  <c r="H49" i="14" s="1"/>
  <c r="G45" i="14"/>
  <c r="F45" i="14"/>
  <c r="H45" i="14" s="1"/>
  <c r="G41" i="14"/>
  <c r="F41" i="14"/>
  <c r="H41" i="14" s="1"/>
  <c r="G37" i="14"/>
  <c r="F37" i="14"/>
  <c r="H37" i="14" s="1"/>
  <c r="G33" i="14"/>
  <c r="F33" i="14"/>
  <c r="H33" i="14" s="1"/>
  <c r="G29" i="14"/>
  <c r="F29" i="14"/>
  <c r="H29" i="14" s="1"/>
  <c r="G25" i="14"/>
  <c r="F25" i="14"/>
  <c r="H25" i="14" s="1"/>
  <c r="G21" i="14"/>
  <c r="F21" i="14"/>
  <c r="H21" i="14" s="1"/>
  <c r="G17" i="14"/>
  <c r="F17" i="14"/>
  <c r="H17" i="14" s="1"/>
  <c r="G13" i="14"/>
  <c r="F13" i="14"/>
  <c r="H13" i="14" s="1"/>
  <c r="G9" i="14"/>
  <c r="F9" i="14"/>
  <c r="H9" i="14" s="1"/>
  <c r="F6" i="14"/>
  <c r="H6" i="14" s="1"/>
  <c r="G6" i="14"/>
  <c r="G124" i="14"/>
  <c r="G120" i="14"/>
  <c r="G116" i="14"/>
  <c r="G112" i="14"/>
  <c r="G108" i="14"/>
  <c r="G104" i="14"/>
  <c r="G100" i="14"/>
  <c r="G96" i="14"/>
  <c r="G92" i="14"/>
  <c r="G88" i="14"/>
  <c r="G84" i="14"/>
  <c r="G80" i="14"/>
  <c r="G76" i="14"/>
  <c r="G72" i="14"/>
  <c r="G68" i="14"/>
  <c r="G64" i="14"/>
  <c r="G60" i="14"/>
  <c r="G56" i="14"/>
  <c r="G52" i="14"/>
  <c r="G48" i="14"/>
  <c r="G44" i="14"/>
  <c r="G40" i="14"/>
  <c r="G36" i="14"/>
  <c r="G32" i="14"/>
  <c r="G28" i="14"/>
  <c r="G24" i="14"/>
  <c r="G20" i="14"/>
  <c r="G16" i="14"/>
  <c r="G12" i="14"/>
  <c r="G8" i="14"/>
  <c r="J62" i="14"/>
  <c r="K62" i="14" s="1"/>
  <c r="J58" i="14"/>
  <c r="K58" i="14" s="1"/>
  <c r="J54" i="14"/>
  <c r="K54" i="14" s="1"/>
  <c r="J50" i="14"/>
  <c r="K50" i="14" s="1"/>
  <c r="J46" i="14"/>
  <c r="K46" i="14" s="1"/>
  <c r="J42" i="14"/>
  <c r="K42" i="14" s="1"/>
  <c r="J38" i="14"/>
  <c r="K38" i="14" s="1"/>
  <c r="J34" i="14"/>
  <c r="K34" i="14" s="1"/>
  <c r="J30" i="14"/>
  <c r="K30" i="14" s="1"/>
  <c r="J26" i="14"/>
  <c r="K26" i="14" s="1"/>
  <c r="J22" i="14"/>
  <c r="K22" i="14" s="1"/>
  <c r="J18" i="14"/>
  <c r="K18" i="14" s="1"/>
  <c r="J14" i="14"/>
  <c r="K14" i="14" s="1"/>
  <c r="J10" i="14"/>
  <c r="K10" i="14" s="1"/>
  <c r="G91" i="14"/>
  <c r="G87" i="14"/>
  <c r="G83" i="14"/>
  <c r="G79" i="14"/>
  <c r="G75" i="14"/>
  <c r="G71" i="14"/>
  <c r="G67" i="14"/>
  <c r="G63" i="14"/>
  <c r="G59" i="14"/>
  <c r="G55" i="14"/>
  <c r="G51" i="14"/>
  <c r="G47" i="14"/>
  <c r="G43" i="14"/>
  <c r="G39" i="14"/>
  <c r="G35" i="14"/>
  <c r="G31" i="14"/>
  <c r="G27" i="14"/>
  <c r="G23" i="14"/>
  <c r="G19" i="14"/>
  <c r="G15" i="14"/>
  <c r="G11" i="14"/>
  <c r="G7" i="14"/>
  <c r="J65" i="14"/>
  <c r="K65" i="14" s="1"/>
  <c r="J61" i="14"/>
  <c r="K61" i="14" s="1"/>
  <c r="J57" i="14"/>
  <c r="K57" i="14" s="1"/>
  <c r="J53" i="14"/>
  <c r="K53" i="14" s="1"/>
  <c r="J49" i="14"/>
  <c r="K49" i="14" s="1"/>
  <c r="J45" i="14"/>
  <c r="K45" i="14" s="1"/>
  <c r="J41" i="14"/>
  <c r="K41" i="14" s="1"/>
  <c r="J37" i="14"/>
  <c r="K37" i="14" s="1"/>
  <c r="J33" i="14"/>
  <c r="K33" i="14" s="1"/>
  <c r="J29" i="14"/>
  <c r="K29" i="14" s="1"/>
  <c r="J25" i="14"/>
  <c r="K25" i="14" s="1"/>
  <c r="J21" i="14"/>
  <c r="K21" i="14" s="1"/>
  <c r="J17" i="14"/>
  <c r="K17" i="14" s="1"/>
  <c r="J13" i="14"/>
  <c r="K13" i="14" s="1"/>
  <c r="J9" i="14"/>
  <c r="K9" i="14" s="1"/>
  <c r="F64" i="14"/>
  <c r="H64" i="14" s="1"/>
  <c r="F60" i="14"/>
  <c r="H60" i="14" s="1"/>
  <c r="F56" i="14"/>
  <c r="H56" i="14" s="1"/>
  <c r="F52" i="14"/>
  <c r="H52" i="14" s="1"/>
  <c r="F48" i="14"/>
  <c r="H48" i="14" s="1"/>
  <c r="F44" i="14"/>
  <c r="H44" i="14" s="1"/>
  <c r="F40" i="14"/>
  <c r="H40" i="14" s="1"/>
  <c r="F36" i="14"/>
  <c r="H36" i="14" s="1"/>
  <c r="F32" i="14"/>
  <c r="H32" i="14" s="1"/>
  <c r="F28" i="14"/>
  <c r="H28" i="14" s="1"/>
  <c r="F24" i="14"/>
  <c r="H24" i="14" s="1"/>
  <c r="F20" i="14"/>
  <c r="H20" i="14" s="1"/>
  <c r="F16" i="14"/>
  <c r="H16" i="14" s="1"/>
  <c r="F12" i="14"/>
  <c r="H12" i="14" s="1"/>
  <c r="F8" i="14"/>
  <c r="H8" i="14" s="1"/>
  <c r="G58" i="14"/>
  <c r="G54" i="14"/>
  <c r="G50" i="14"/>
  <c r="G46" i="14"/>
  <c r="G42" i="14"/>
  <c r="G38" i="14"/>
  <c r="G34" i="14"/>
  <c r="G30" i="14"/>
  <c r="G26" i="14"/>
  <c r="G22" i="14"/>
  <c r="G18" i="14"/>
  <c r="G14" i="14"/>
  <c r="G10" i="14"/>
  <c r="J6" i="14"/>
  <c r="K6" i="14" s="1"/>
  <c r="J64" i="14"/>
  <c r="K64" i="14" s="1"/>
  <c r="J60" i="14"/>
  <c r="K60" i="14" s="1"/>
  <c r="J56" i="14"/>
  <c r="K56" i="14" s="1"/>
  <c r="J52" i="14"/>
  <c r="K52" i="14" s="1"/>
  <c r="J48" i="14"/>
  <c r="K48" i="14" s="1"/>
  <c r="J44" i="14"/>
  <c r="K44" i="14" s="1"/>
  <c r="J40" i="14"/>
  <c r="K40" i="14" s="1"/>
  <c r="J36" i="14"/>
  <c r="K36" i="14" s="1"/>
  <c r="J32" i="14"/>
  <c r="K32" i="14" s="1"/>
  <c r="J28" i="14"/>
  <c r="K28" i="14" s="1"/>
  <c r="J24" i="14"/>
  <c r="K24" i="14" s="1"/>
  <c r="J20" i="14"/>
  <c r="K20" i="14" s="1"/>
  <c r="J16" i="14"/>
  <c r="K16" i="14" s="1"/>
  <c r="J12" i="14"/>
  <c r="K12" i="14" s="1"/>
  <c r="J8" i="14"/>
  <c r="K8" i="14" s="1"/>
  <c r="F63" i="14"/>
  <c r="H63" i="14" s="1"/>
  <c r="F59" i="14"/>
  <c r="H59" i="14" s="1"/>
  <c r="F55" i="14"/>
  <c r="H55" i="14" s="1"/>
  <c r="F51" i="14"/>
  <c r="H51" i="14" s="1"/>
  <c r="F47" i="14"/>
  <c r="H47" i="14" s="1"/>
  <c r="F43" i="14"/>
  <c r="H43" i="14" s="1"/>
  <c r="F39" i="14"/>
  <c r="H39" i="14" s="1"/>
  <c r="F35" i="14"/>
  <c r="H35" i="14" s="1"/>
  <c r="F31" i="14"/>
  <c r="H31" i="14" s="1"/>
  <c r="F27" i="14"/>
  <c r="H27" i="14" s="1"/>
  <c r="F23" i="14"/>
  <c r="H23" i="14" s="1"/>
  <c r="F19" i="14"/>
  <c r="H19" i="14" s="1"/>
  <c r="F15" i="14"/>
  <c r="H15" i="14" s="1"/>
  <c r="F11" i="14"/>
  <c r="H11" i="14" s="1"/>
  <c r="F7" i="14"/>
  <c r="H7" i="14" s="1"/>
  <c r="J63" i="14"/>
  <c r="K63" i="14" s="1"/>
  <c r="J59" i="14"/>
  <c r="K59" i="14" s="1"/>
  <c r="J55" i="14"/>
  <c r="K55" i="14" s="1"/>
  <c r="J51" i="14"/>
  <c r="K51" i="14" s="1"/>
  <c r="J47" i="14"/>
  <c r="K47" i="14" s="1"/>
  <c r="J43" i="14"/>
  <c r="K43" i="14" s="1"/>
  <c r="J39" i="14"/>
  <c r="K39" i="14" s="1"/>
  <c r="J35" i="14"/>
  <c r="K35" i="14" s="1"/>
  <c r="J31" i="14"/>
  <c r="K31" i="14" s="1"/>
  <c r="J27" i="14"/>
  <c r="K27" i="14" s="1"/>
  <c r="J23" i="14"/>
  <c r="K23" i="14" s="1"/>
  <c r="J19" i="14"/>
  <c r="K19" i="14" s="1"/>
  <c r="J15" i="14"/>
  <c r="K15" i="14" s="1"/>
  <c r="J11" i="14"/>
  <c r="K11" i="14" s="1"/>
  <c r="J7" i="14"/>
  <c r="K7" i="14" s="1"/>
  <c r="F62" i="14"/>
  <c r="H62" i="14" s="1"/>
  <c r="F58" i="14"/>
  <c r="H58" i="14" s="1"/>
  <c r="F54" i="14"/>
  <c r="H54" i="14" s="1"/>
  <c r="F50" i="14"/>
  <c r="H50" i="14" s="1"/>
  <c r="F46" i="14"/>
  <c r="H46" i="14" s="1"/>
  <c r="F42" i="14"/>
  <c r="H42" i="14" s="1"/>
  <c r="F38" i="14"/>
  <c r="H38" i="14" s="1"/>
  <c r="F34" i="14"/>
  <c r="H34" i="14" s="1"/>
  <c r="F30" i="14"/>
  <c r="H30" i="14" s="1"/>
  <c r="F26" i="14"/>
  <c r="H26" i="14" s="1"/>
  <c r="F22" i="14"/>
  <c r="H22" i="14" s="1"/>
  <c r="F18" i="14"/>
  <c r="H18" i="14" s="1"/>
  <c r="F14" i="14"/>
  <c r="H14" i="14" s="1"/>
  <c r="F10" i="14"/>
  <c r="H10" i="14" s="1"/>
  <c r="G733" i="14"/>
  <c r="G717" i="14"/>
  <c r="G701" i="14"/>
  <c r="G681" i="14"/>
  <c r="G665" i="14"/>
  <c r="G649" i="14"/>
  <c r="G633" i="14"/>
  <c r="G617" i="14"/>
  <c r="G601" i="14"/>
  <c r="G585" i="14"/>
  <c r="G569" i="14"/>
  <c r="G557" i="14"/>
  <c r="G541" i="14"/>
  <c r="G525" i="14"/>
  <c r="G509" i="14"/>
  <c r="G493" i="14"/>
  <c r="G477" i="14"/>
  <c r="G461" i="14"/>
  <c r="G445" i="14"/>
  <c r="G429" i="14"/>
  <c r="G413" i="14"/>
  <c r="G397" i="14"/>
  <c r="G381" i="14"/>
  <c r="G365" i="14"/>
  <c r="G341" i="14"/>
  <c r="G329" i="14"/>
  <c r="G309" i="14"/>
  <c r="G293" i="14"/>
  <c r="G277" i="14"/>
  <c r="G261" i="14"/>
  <c r="G245" i="14"/>
  <c r="G229" i="14"/>
  <c r="G209" i="14"/>
  <c r="G197" i="14"/>
  <c r="G181" i="14"/>
  <c r="G161" i="14"/>
  <c r="G149" i="14"/>
  <c r="G133" i="14"/>
  <c r="G728" i="14"/>
  <c r="G716" i="14"/>
  <c r="G708" i="14"/>
  <c r="G700" i="14"/>
  <c r="G684" i="14"/>
  <c r="G735" i="14"/>
  <c r="G731" i="14"/>
  <c r="G727" i="14"/>
  <c r="G723" i="14"/>
  <c r="G719" i="14"/>
  <c r="G715" i="14"/>
  <c r="G711" i="14"/>
  <c r="G707" i="14"/>
  <c r="G703" i="14"/>
  <c r="G699" i="14"/>
  <c r="G695" i="14"/>
  <c r="G691" i="14"/>
  <c r="G687" i="14"/>
  <c r="G683" i="14"/>
  <c r="G679" i="14"/>
  <c r="G675" i="14"/>
  <c r="G671" i="14"/>
  <c r="G667" i="14"/>
  <c r="G663" i="14"/>
  <c r="G659" i="14"/>
  <c r="G655" i="14"/>
  <c r="G651" i="14"/>
  <c r="G647" i="14"/>
  <c r="G643" i="14"/>
  <c r="G639" i="14"/>
  <c r="G635" i="14"/>
  <c r="G631" i="14"/>
  <c r="G627" i="14"/>
  <c r="G623" i="14"/>
  <c r="G619" i="14"/>
  <c r="G615" i="14"/>
  <c r="G611" i="14"/>
  <c r="G607" i="14"/>
  <c r="G603" i="14"/>
  <c r="G599" i="14"/>
  <c r="G595" i="14"/>
  <c r="G591" i="14"/>
  <c r="G587" i="14"/>
  <c r="G583" i="14"/>
  <c r="G579" i="14"/>
  <c r="G575" i="14"/>
  <c r="G571" i="14"/>
  <c r="G567" i="14"/>
  <c r="G563" i="14"/>
  <c r="G559" i="14"/>
  <c r="G555" i="14"/>
  <c r="G551" i="14"/>
  <c r="G547" i="14"/>
  <c r="G543" i="14"/>
  <c r="G539" i="14"/>
  <c r="G535" i="14"/>
  <c r="G531" i="14"/>
  <c r="G527" i="14"/>
  <c r="G523" i="14"/>
  <c r="G519" i="14"/>
  <c r="G515" i="14"/>
  <c r="G511" i="14"/>
  <c r="G507" i="14"/>
  <c r="G503" i="14"/>
  <c r="G499" i="14"/>
  <c r="G495" i="14"/>
  <c r="G491" i="14"/>
  <c r="G487" i="14"/>
  <c r="G483" i="14"/>
  <c r="G479" i="14"/>
  <c r="G475" i="14"/>
  <c r="G471" i="14"/>
  <c r="G467" i="14"/>
  <c r="G463" i="14"/>
  <c r="G459" i="14"/>
  <c r="G455" i="14"/>
  <c r="G451" i="14"/>
  <c r="G447" i="14"/>
  <c r="G443" i="14"/>
  <c r="G439" i="14"/>
  <c r="G435" i="14"/>
  <c r="G431" i="14"/>
  <c r="G427" i="14"/>
  <c r="G423" i="14"/>
  <c r="G419" i="14"/>
  <c r="G415" i="14"/>
  <c r="G411" i="14"/>
  <c r="G407" i="14"/>
  <c r="G403" i="14"/>
  <c r="G399" i="14"/>
  <c r="G395" i="14"/>
  <c r="G391" i="14"/>
  <c r="G387" i="14"/>
  <c r="G383" i="14"/>
  <c r="G379" i="14"/>
  <c r="G375" i="14"/>
  <c r="G371" i="14"/>
  <c r="G367" i="14"/>
  <c r="G363" i="14"/>
  <c r="G359" i="14"/>
  <c r="G355" i="14"/>
  <c r="G351" i="14"/>
  <c r="G347" i="14"/>
  <c r="G343" i="14"/>
  <c r="G339" i="14"/>
  <c r="G335" i="14"/>
  <c r="G331" i="14"/>
  <c r="G327" i="14"/>
  <c r="G323" i="14"/>
  <c r="G319" i="14"/>
  <c r="G315" i="14"/>
  <c r="G311" i="14"/>
  <c r="G307" i="14"/>
  <c r="G303" i="14"/>
  <c r="G299" i="14"/>
  <c r="G295" i="14"/>
  <c r="G291" i="14"/>
  <c r="G287" i="14"/>
  <c r="G283" i="14"/>
  <c r="G721" i="14"/>
  <c r="G705" i="14"/>
  <c r="G693" i="14"/>
  <c r="G677" i="14"/>
  <c r="G661" i="14"/>
  <c r="G641" i="14"/>
  <c r="G625" i="14"/>
  <c r="G609" i="14"/>
  <c r="G593" i="14"/>
  <c r="G577" i="14"/>
  <c r="G561" i="14"/>
  <c r="G545" i="14"/>
  <c r="G533" i="14"/>
  <c r="G517" i="14"/>
  <c r="G497" i="14"/>
  <c r="G481" i="14"/>
  <c r="G469" i="14"/>
  <c r="G449" i="14"/>
  <c r="G433" i="14"/>
  <c r="G417" i="14"/>
  <c r="G405" i="14"/>
  <c r="G389" i="14"/>
  <c r="G373" i="14"/>
  <c r="G361" i="14"/>
  <c r="G349" i="14"/>
  <c r="G333" i="14"/>
  <c r="G317" i="14"/>
  <c r="G301" i="14"/>
  <c r="G285" i="14"/>
  <c r="G269" i="14"/>
  <c r="G253" i="14"/>
  <c r="G237" i="14"/>
  <c r="G217" i="14"/>
  <c r="G201" i="14"/>
  <c r="G185" i="14"/>
  <c r="G173" i="14"/>
  <c r="G153" i="14"/>
  <c r="G137" i="14"/>
  <c r="G734" i="14"/>
  <c r="G730" i="14"/>
  <c r="G726" i="14"/>
  <c r="G722" i="14"/>
  <c r="G718" i="14"/>
  <c r="G714" i="14"/>
  <c r="G710" i="14"/>
  <c r="G706" i="14"/>
  <c r="G702" i="14"/>
  <c r="G698" i="14"/>
  <c r="G694" i="14"/>
  <c r="G690" i="14"/>
  <c r="G686" i="14"/>
  <c r="G682" i="14"/>
  <c r="G678" i="14"/>
  <c r="G674" i="14"/>
  <c r="G670" i="14"/>
  <c r="G666" i="14"/>
  <c r="G662" i="14"/>
  <c r="G658" i="14"/>
  <c r="G654" i="14"/>
  <c r="G650" i="14"/>
  <c r="G646" i="14"/>
  <c r="G642" i="14"/>
  <c r="G638" i="14"/>
  <c r="G634" i="14"/>
  <c r="G630" i="14"/>
  <c r="G626" i="14"/>
  <c r="G622" i="14"/>
  <c r="G618" i="14"/>
  <c r="G614" i="14"/>
  <c r="G610" i="14"/>
  <c r="G606" i="14"/>
  <c r="G602" i="14"/>
  <c r="G598" i="14"/>
  <c r="G594" i="14"/>
  <c r="G590" i="14"/>
  <c r="G586" i="14"/>
  <c r="G582" i="14"/>
  <c r="G578" i="14"/>
  <c r="G574" i="14"/>
  <c r="G570" i="14"/>
  <c r="G566" i="14"/>
  <c r="G562" i="14"/>
  <c r="G558" i="14"/>
  <c r="G554" i="14"/>
  <c r="G550" i="14"/>
  <c r="G546" i="14"/>
  <c r="G542" i="14"/>
  <c r="G538" i="14"/>
  <c r="G534" i="14"/>
  <c r="G530" i="14"/>
  <c r="G526" i="14"/>
  <c r="G522" i="14"/>
  <c r="G518" i="14"/>
  <c r="G514" i="14"/>
  <c r="G510" i="14"/>
  <c r="G506" i="14"/>
  <c r="G502" i="14"/>
  <c r="G498" i="14"/>
  <c r="G494" i="14"/>
  <c r="G490" i="14"/>
  <c r="G486" i="14"/>
  <c r="G482" i="14"/>
  <c r="G478" i="14"/>
  <c r="G474" i="14"/>
  <c r="G470" i="14"/>
  <c r="G466" i="14"/>
  <c r="G462" i="14"/>
  <c r="G458" i="14"/>
  <c r="G454" i="14"/>
  <c r="G450" i="14"/>
  <c r="G446" i="14"/>
  <c r="G442" i="14"/>
  <c r="G438" i="14"/>
  <c r="G434" i="14"/>
  <c r="G430" i="14"/>
  <c r="G426" i="14"/>
  <c r="G422" i="14"/>
  <c r="G418" i="14"/>
  <c r="G414" i="14"/>
  <c r="G410" i="14"/>
  <c r="G406" i="14"/>
  <c r="G402" i="14"/>
  <c r="G398" i="14"/>
  <c r="G394" i="14"/>
  <c r="G390" i="14"/>
  <c r="G386" i="14"/>
  <c r="G382" i="14"/>
  <c r="G378" i="14"/>
  <c r="G374" i="14"/>
  <c r="G370" i="14"/>
  <c r="G366" i="14"/>
  <c r="G362" i="14"/>
  <c r="G358" i="14"/>
  <c r="G354" i="14"/>
  <c r="G350" i="14"/>
  <c r="G346" i="14"/>
  <c r="G725" i="14"/>
  <c r="G709" i="14"/>
  <c r="G689" i="14"/>
  <c r="G673" i="14"/>
  <c r="G657" i="14"/>
  <c r="G645" i="14"/>
  <c r="G629" i="14"/>
  <c r="G613" i="14"/>
  <c r="G597" i="14"/>
  <c r="G581" i="14"/>
  <c r="G565" i="14"/>
  <c r="G549" i="14"/>
  <c r="G529" i="14"/>
  <c r="G513" i="14"/>
  <c r="G501" i="14"/>
  <c r="G485" i="14"/>
  <c r="G465" i="14"/>
  <c r="G453" i="14"/>
  <c r="G437" i="14"/>
  <c r="G421" i="14"/>
  <c r="G401" i="14"/>
  <c r="G385" i="14"/>
  <c r="G369" i="14"/>
  <c r="G353" i="14"/>
  <c r="G337" i="14"/>
  <c r="G321" i="14"/>
  <c r="G305" i="14"/>
  <c r="G297" i="14"/>
  <c r="G281" i="14"/>
  <c r="G265" i="14"/>
  <c r="G249" i="14"/>
  <c r="G233" i="14"/>
  <c r="G221" i="14"/>
  <c r="G205" i="14"/>
  <c r="G189" i="14"/>
  <c r="G169" i="14"/>
  <c r="G157" i="14"/>
  <c r="G141" i="14"/>
  <c r="G729" i="14"/>
  <c r="G713" i="14"/>
  <c r="G697" i="14"/>
  <c r="G685" i="14"/>
  <c r="G669" i="14"/>
  <c r="G653" i="14"/>
  <c r="G637" i="14"/>
  <c r="G621" i="14"/>
  <c r="G605" i="14"/>
  <c r="G589" i="14"/>
  <c r="G573" i="14"/>
  <c r="G553" i="14"/>
  <c r="G537" i="14"/>
  <c r="G521" i="14"/>
  <c r="G505" i="14"/>
  <c r="G489" i="14"/>
  <c r="G473" i="14"/>
  <c r="G457" i="14"/>
  <c r="G441" i="14"/>
  <c r="G425" i="14"/>
  <c r="G409" i="14"/>
  <c r="G393" i="14"/>
  <c r="G377" i="14"/>
  <c r="G357" i="14"/>
  <c r="G345" i="14"/>
  <c r="G325" i="14"/>
  <c r="G313" i="14"/>
  <c r="G289" i="14"/>
  <c r="G273" i="14"/>
  <c r="G257" i="14"/>
  <c r="G241" i="14"/>
  <c r="G225" i="14"/>
  <c r="G213" i="14"/>
  <c r="G193" i="14"/>
  <c r="G177" i="14"/>
  <c r="G165" i="14"/>
  <c r="G145" i="14"/>
  <c r="G129" i="14"/>
  <c r="G732" i="14"/>
  <c r="G724" i="14"/>
  <c r="G720" i="14"/>
  <c r="G712" i="14"/>
  <c r="G704" i="14"/>
  <c r="G696" i="14"/>
  <c r="G692" i="14"/>
  <c r="G688" i="14"/>
  <c r="G680" i="14"/>
  <c r="G676" i="14"/>
  <c r="G672" i="14"/>
  <c r="G668" i="14"/>
  <c r="G664" i="14"/>
  <c r="G660" i="14"/>
  <c r="G656" i="14"/>
  <c r="G652" i="14"/>
  <c r="G648" i="14"/>
  <c r="G644" i="14"/>
  <c r="G640" i="14"/>
  <c r="G636" i="14"/>
  <c r="G632" i="14"/>
  <c r="G628" i="14"/>
  <c r="G624" i="14"/>
  <c r="G620" i="14"/>
  <c r="G616" i="14"/>
  <c r="G612" i="14"/>
  <c r="G608" i="14"/>
  <c r="G604" i="14"/>
  <c r="G600" i="14"/>
  <c r="G596" i="14"/>
  <c r="G592" i="14"/>
  <c r="G588" i="14"/>
  <c r="G584" i="14"/>
  <c r="G580" i="14"/>
  <c r="G576" i="14"/>
  <c r="G572" i="14"/>
  <c r="G568" i="14"/>
  <c r="G564" i="14"/>
  <c r="G560" i="14"/>
  <c r="G556" i="14"/>
  <c r="G552" i="14"/>
  <c r="G548" i="14"/>
  <c r="G544" i="14"/>
  <c r="G540" i="14"/>
  <c r="G536" i="14"/>
  <c r="G532" i="14"/>
  <c r="G528" i="14"/>
  <c r="G524" i="14"/>
  <c r="G520" i="14"/>
  <c r="G516" i="14"/>
  <c r="G512" i="14"/>
  <c r="G508" i="14"/>
  <c r="G504" i="14"/>
  <c r="G500" i="14"/>
  <c r="G496" i="14"/>
  <c r="G492" i="14"/>
  <c r="G488" i="14"/>
  <c r="G484" i="14"/>
  <c r="G480" i="14"/>
  <c r="G476" i="14"/>
  <c r="G472" i="14"/>
  <c r="G468" i="14"/>
  <c r="G464" i="14"/>
  <c r="G460" i="14"/>
  <c r="G456" i="14"/>
  <c r="G452" i="14"/>
  <c r="G448" i="14"/>
  <c r="G444" i="14"/>
  <c r="G440" i="14"/>
  <c r="G436" i="14"/>
  <c r="G432" i="14"/>
  <c r="G428" i="14"/>
  <c r="G424" i="14"/>
  <c r="G420" i="14"/>
  <c r="G416" i="14"/>
  <c r="G412" i="14"/>
  <c r="G408" i="14"/>
  <c r="G404" i="14"/>
  <c r="G400" i="14"/>
  <c r="G396" i="14"/>
  <c r="G392" i="14"/>
  <c r="G388" i="14"/>
  <c r="G384" i="14"/>
  <c r="G380" i="14"/>
  <c r="G376" i="14"/>
  <c r="G372" i="14"/>
  <c r="G368" i="14"/>
  <c r="G364" i="14"/>
  <c r="G360" i="14"/>
  <c r="G356" i="14"/>
  <c r="G352" i="14"/>
  <c r="G348" i="14"/>
  <c r="G344" i="14"/>
  <c r="G340" i="14"/>
  <c r="G336" i="14"/>
  <c r="G332" i="14"/>
  <c r="G328" i="14"/>
  <c r="G324" i="14"/>
  <c r="G320" i="14"/>
  <c r="G316" i="14"/>
  <c r="G312" i="14"/>
  <c r="G308" i="14"/>
  <c r="G304" i="14"/>
  <c r="G300" i="14"/>
  <c r="G296" i="14"/>
  <c r="G292" i="14"/>
  <c r="G288" i="14"/>
  <c r="G284" i="14"/>
  <c r="G280" i="14"/>
  <c r="G276" i="14"/>
  <c r="G272" i="14"/>
  <c r="G268" i="14"/>
  <c r="G264" i="14"/>
  <c r="G260" i="14"/>
  <c r="G256" i="14"/>
  <c r="G252" i="14"/>
  <c r="G248" i="14"/>
  <c r="G244" i="14"/>
  <c r="G240" i="14"/>
  <c r="G236" i="14"/>
  <c r="G232" i="14"/>
  <c r="G228" i="14"/>
  <c r="G224" i="14"/>
  <c r="G220" i="14"/>
  <c r="G216" i="14"/>
  <c r="G212" i="14"/>
  <c r="G208" i="14"/>
  <c r="G204" i="14"/>
  <c r="G200" i="14"/>
  <c r="G196" i="14"/>
  <c r="G192" i="14"/>
  <c r="G188" i="14"/>
  <c r="G184" i="14"/>
  <c r="G180" i="14"/>
  <c r="G176" i="14"/>
  <c r="G172" i="14"/>
  <c r="G168" i="14"/>
  <c r="G164" i="14"/>
  <c r="G160" i="14"/>
  <c r="G156" i="14"/>
  <c r="G152" i="14"/>
  <c r="G148" i="14"/>
  <c r="G144" i="14"/>
  <c r="G140" i="14"/>
  <c r="G136" i="14"/>
  <c r="G132" i="14"/>
  <c r="G279" i="14"/>
  <c r="G275" i="14"/>
  <c r="G271" i="14"/>
  <c r="G267" i="14"/>
  <c r="G263" i="14"/>
  <c r="G259" i="14"/>
  <c r="G255" i="14"/>
  <c r="G251" i="14"/>
  <c r="G247" i="14"/>
  <c r="G243" i="14"/>
  <c r="G239" i="14"/>
  <c r="G235" i="14"/>
  <c r="G231" i="14"/>
  <c r="G227" i="14"/>
  <c r="G223" i="14"/>
  <c r="G219" i="14"/>
  <c r="G215" i="14"/>
  <c r="G211" i="14"/>
  <c r="G207" i="14"/>
  <c r="G203" i="14"/>
  <c r="G199" i="14"/>
  <c r="G195" i="14"/>
  <c r="G191" i="14"/>
  <c r="G187" i="14"/>
  <c r="G183" i="14"/>
  <c r="G179" i="14"/>
  <c r="G175" i="14"/>
  <c r="G171" i="14"/>
  <c r="G167" i="14"/>
  <c r="G163" i="14"/>
  <c r="G159" i="14"/>
  <c r="G155" i="14"/>
  <c r="G151" i="14"/>
  <c r="G147" i="14"/>
  <c r="G143" i="14"/>
  <c r="G139" i="14"/>
  <c r="G135" i="14"/>
  <c r="G131" i="14"/>
  <c r="G127" i="14"/>
  <c r="G342" i="14"/>
  <c r="G338" i="14"/>
  <c r="G334" i="14"/>
  <c r="G330" i="14"/>
  <c r="G326" i="14"/>
  <c r="G322" i="14"/>
  <c r="G318" i="14"/>
  <c r="G314" i="14"/>
  <c r="G310" i="14"/>
  <c r="G306" i="14"/>
  <c r="G302" i="14"/>
  <c r="G298" i="14"/>
  <c r="G294" i="14"/>
  <c r="G290" i="14"/>
  <c r="G286" i="14"/>
  <c r="G282" i="14"/>
  <c r="G278" i="14"/>
  <c r="G274" i="14"/>
  <c r="G270" i="14"/>
  <c r="G266" i="14"/>
  <c r="G262" i="14"/>
  <c r="G258" i="14"/>
  <c r="G254" i="14"/>
  <c r="G250" i="14"/>
  <c r="G246" i="14"/>
  <c r="G242" i="14"/>
  <c r="G238" i="14"/>
  <c r="G234" i="14"/>
  <c r="G230" i="14"/>
  <c r="G226" i="14"/>
  <c r="G222" i="14"/>
  <c r="G218" i="14"/>
  <c r="G214" i="14"/>
  <c r="G210" i="14"/>
  <c r="G206" i="14"/>
  <c r="G202" i="14"/>
  <c r="G198" i="14"/>
  <c r="G194" i="14"/>
  <c r="G190" i="14"/>
  <c r="G186" i="14"/>
  <c r="G182" i="14"/>
  <c r="G178" i="14"/>
  <c r="G174" i="14"/>
  <c r="G170" i="14"/>
  <c r="G166" i="14"/>
  <c r="G162" i="14"/>
  <c r="G158" i="14"/>
  <c r="G154" i="14"/>
  <c r="G150" i="14"/>
  <c r="G146" i="14"/>
  <c r="G142" i="14"/>
  <c r="G138" i="14"/>
  <c r="G134" i="14"/>
  <c r="G130" i="14"/>
  <c r="G126" i="14"/>
  <c r="G128" i="14"/>
  <c r="L22" i="14" l="1"/>
  <c r="I22" i="14"/>
  <c r="L38" i="14"/>
  <c r="I38" i="14"/>
  <c r="L54" i="14"/>
  <c r="I54" i="14"/>
  <c r="L15" i="14"/>
  <c r="I15" i="14"/>
  <c r="L31" i="14"/>
  <c r="I31" i="14"/>
  <c r="L47" i="14"/>
  <c r="I47" i="14"/>
  <c r="L63" i="14"/>
  <c r="I63" i="14"/>
  <c r="I79" i="14"/>
  <c r="L20" i="14"/>
  <c r="I20" i="14"/>
  <c r="L36" i="14"/>
  <c r="I36" i="14"/>
  <c r="L52" i="14"/>
  <c r="I52" i="14"/>
  <c r="I68" i="14"/>
  <c r="I84" i="14"/>
  <c r="I96" i="14"/>
  <c r="I104" i="14"/>
  <c r="I112" i="14"/>
  <c r="I120" i="14"/>
  <c r="L13" i="14"/>
  <c r="I13" i="14"/>
  <c r="L21" i="14"/>
  <c r="I21" i="14"/>
  <c r="L29" i="14"/>
  <c r="I29" i="14"/>
  <c r="L37" i="14"/>
  <c r="I37" i="14"/>
  <c r="L45" i="14"/>
  <c r="I45" i="14"/>
  <c r="L53" i="14"/>
  <c r="I53" i="14"/>
  <c r="L61" i="14"/>
  <c r="I61" i="14"/>
  <c r="I69" i="14"/>
  <c r="I77" i="14"/>
  <c r="I85" i="14"/>
  <c r="I93" i="14"/>
  <c r="I101" i="14"/>
  <c r="I109" i="14"/>
  <c r="I117" i="14"/>
  <c r="I125" i="14"/>
  <c r="L10" i="14"/>
  <c r="I10" i="14"/>
  <c r="L26" i="14"/>
  <c r="I26" i="14"/>
  <c r="L42" i="14"/>
  <c r="I42" i="14"/>
  <c r="L58" i="14"/>
  <c r="I58" i="14"/>
  <c r="I19" i="14"/>
  <c r="L19" i="14"/>
  <c r="I35" i="14"/>
  <c r="L35" i="14"/>
  <c r="I51" i="14"/>
  <c r="L51" i="14"/>
  <c r="I67" i="14"/>
  <c r="I83" i="14"/>
  <c r="L8" i="14"/>
  <c r="I8" i="14"/>
  <c r="L24" i="14"/>
  <c r="I24" i="14"/>
  <c r="L40" i="14"/>
  <c r="I40" i="14"/>
  <c r="L56" i="14"/>
  <c r="I56" i="14"/>
  <c r="I72" i="14"/>
  <c r="I88" i="14"/>
  <c r="L62" i="14"/>
  <c r="I62" i="14"/>
  <c r="I70" i="14"/>
  <c r="I78" i="14"/>
  <c r="I86" i="14"/>
  <c r="I94" i="14"/>
  <c r="I102" i="14"/>
  <c r="I110" i="14"/>
  <c r="I118" i="14"/>
  <c r="I95" i="14"/>
  <c r="I103" i="14"/>
  <c r="I111" i="14"/>
  <c r="I119" i="14"/>
  <c r="L14" i="14"/>
  <c r="I14" i="14"/>
  <c r="L30" i="14"/>
  <c r="I30" i="14"/>
  <c r="L46" i="14"/>
  <c r="I46" i="14"/>
  <c r="L7" i="14"/>
  <c r="I7" i="14"/>
  <c r="L23" i="14"/>
  <c r="I23" i="14"/>
  <c r="L39" i="14"/>
  <c r="I39" i="14"/>
  <c r="L55" i="14"/>
  <c r="I55" i="14"/>
  <c r="I71" i="14"/>
  <c r="I87" i="14"/>
  <c r="L12" i="14"/>
  <c r="I12" i="14"/>
  <c r="L28" i="14"/>
  <c r="I28" i="14"/>
  <c r="L44" i="14"/>
  <c r="I44" i="14"/>
  <c r="L60" i="14"/>
  <c r="I60" i="14"/>
  <c r="I76" i="14"/>
  <c r="I92" i="14"/>
  <c r="I100" i="14"/>
  <c r="I108" i="14"/>
  <c r="I116" i="14"/>
  <c r="I124" i="14"/>
  <c r="L9" i="14"/>
  <c r="I9" i="14"/>
  <c r="L17" i="14"/>
  <c r="I17" i="14"/>
  <c r="L25" i="14"/>
  <c r="I25" i="14"/>
  <c r="L33" i="14"/>
  <c r="I33" i="14"/>
  <c r="L41" i="14"/>
  <c r="I41" i="14"/>
  <c r="L49" i="14"/>
  <c r="I49" i="14"/>
  <c r="L57" i="14"/>
  <c r="I57" i="14"/>
  <c r="L65" i="14"/>
  <c r="I65" i="14"/>
  <c r="I73" i="14"/>
  <c r="I81" i="14"/>
  <c r="I89" i="14"/>
  <c r="I97" i="14"/>
  <c r="I105" i="14"/>
  <c r="I113" i="14"/>
  <c r="I121" i="14"/>
  <c r="L18" i="14"/>
  <c r="I18" i="14"/>
  <c r="L34" i="14"/>
  <c r="I34" i="14"/>
  <c r="L50" i="14"/>
  <c r="I50" i="14"/>
  <c r="I11" i="14"/>
  <c r="L11" i="14"/>
  <c r="I27" i="14"/>
  <c r="L27" i="14"/>
  <c r="I43" i="14"/>
  <c r="L43" i="14"/>
  <c r="I59" i="14"/>
  <c r="L59" i="14"/>
  <c r="I75" i="14"/>
  <c r="I91" i="14"/>
  <c r="L16" i="14"/>
  <c r="I16" i="14"/>
  <c r="L32" i="14"/>
  <c r="I32" i="14"/>
  <c r="L48" i="14"/>
  <c r="I48" i="14"/>
  <c r="L64" i="14"/>
  <c r="I64" i="14"/>
  <c r="I80" i="14"/>
  <c r="L6" i="14"/>
  <c r="I6" i="14"/>
  <c r="I66" i="14"/>
  <c r="I74" i="14"/>
  <c r="I82" i="14"/>
  <c r="I90" i="14"/>
  <c r="I98" i="14"/>
  <c r="I106" i="14"/>
  <c r="I114" i="14"/>
  <c r="I122" i="14"/>
  <c r="I99" i="14"/>
  <c r="I107" i="14"/>
  <c r="I115" i="14"/>
  <c r="I123" i="14"/>
  <c r="I146" i="14"/>
  <c r="I178" i="14"/>
  <c r="I210" i="14"/>
  <c r="I242" i="14"/>
  <c r="I274" i="14"/>
  <c r="I306" i="14"/>
  <c r="I338" i="14"/>
  <c r="I223" i="14"/>
  <c r="I255" i="14"/>
  <c r="I132" i="14"/>
  <c r="I148" i="14"/>
  <c r="I164" i="14"/>
  <c r="I180" i="14"/>
  <c r="I196" i="14"/>
  <c r="I236" i="14"/>
  <c r="I252" i="14"/>
  <c r="I268" i="14"/>
  <c r="I284" i="14"/>
  <c r="I300" i="14"/>
  <c r="I316" i="14"/>
  <c r="I332" i="14"/>
  <c r="I348" i="14"/>
  <c r="I364" i="14"/>
  <c r="I380" i="14"/>
  <c r="I396" i="14"/>
  <c r="I412" i="14"/>
  <c r="I428" i="14"/>
  <c r="I444" i="14"/>
  <c r="I460" i="14"/>
  <c r="I476" i="14"/>
  <c r="I492" i="14"/>
  <c r="I508" i="14"/>
  <c r="I524" i="14"/>
  <c r="I540" i="14"/>
  <c r="I556" i="14"/>
  <c r="I572" i="14"/>
  <c r="I588" i="14"/>
  <c r="I604" i="14"/>
  <c r="I620" i="14"/>
  <c r="I636" i="14"/>
  <c r="I652" i="14"/>
  <c r="I668" i="14"/>
  <c r="I688" i="14"/>
  <c r="I712" i="14"/>
  <c r="I145" i="14"/>
  <c r="I241" i="14"/>
  <c r="I313" i="14"/>
  <c r="I377" i="14"/>
  <c r="I441" i="14"/>
  <c r="I505" i="14"/>
  <c r="I573" i="14"/>
  <c r="I637" i="14"/>
  <c r="I697" i="14"/>
  <c r="I141" i="14"/>
  <c r="I265" i="14"/>
  <c r="I321" i="14"/>
  <c r="I385" i="14"/>
  <c r="I453" i="14"/>
  <c r="I513" i="14"/>
  <c r="I581" i="14"/>
  <c r="I645" i="14"/>
  <c r="I709" i="14"/>
  <c r="I354" i="14"/>
  <c r="I378" i="14"/>
  <c r="I128" i="14"/>
  <c r="I134" i="14"/>
  <c r="I150" i="14"/>
  <c r="I166" i="14"/>
  <c r="I182" i="14"/>
  <c r="I198" i="14"/>
  <c r="I214" i="14"/>
  <c r="I230" i="14"/>
  <c r="I246" i="14"/>
  <c r="I262" i="14"/>
  <c r="I278" i="14"/>
  <c r="I294" i="14"/>
  <c r="I310" i="14"/>
  <c r="I326" i="14"/>
  <c r="I342" i="14"/>
  <c r="I127" i="14"/>
  <c r="I135" i="14"/>
  <c r="I143" i="14"/>
  <c r="I151" i="14"/>
  <c r="I159" i="14"/>
  <c r="I167" i="14"/>
  <c r="I175" i="14"/>
  <c r="I183" i="14"/>
  <c r="I191" i="14"/>
  <c r="I199" i="14"/>
  <c r="I211" i="14"/>
  <c r="I227" i="14"/>
  <c r="I243" i="14"/>
  <c r="I259" i="14"/>
  <c r="I275" i="14"/>
  <c r="I208" i="14"/>
  <c r="I216" i="14"/>
  <c r="I224" i="14"/>
  <c r="I189" i="14"/>
  <c r="I221" i="14"/>
  <c r="I173" i="14"/>
  <c r="I201" i="14"/>
  <c r="I154" i="14"/>
  <c r="I186" i="14"/>
  <c r="I218" i="14"/>
  <c r="I250" i="14"/>
  <c r="I282" i="14"/>
  <c r="I314" i="14"/>
  <c r="I231" i="14"/>
  <c r="I263" i="14"/>
  <c r="I136" i="14"/>
  <c r="I152" i="14"/>
  <c r="I168" i="14"/>
  <c r="I184" i="14"/>
  <c r="I200" i="14"/>
  <c r="I240" i="14"/>
  <c r="I256" i="14"/>
  <c r="I272" i="14"/>
  <c r="I288" i="14"/>
  <c r="I304" i="14"/>
  <c r="I320" i="14"/>
  <c r="I336" i="14"/>
  <c r="I352" i="14"/>
  <c r="I368" i="14"/>
  <c r="I384" i="14"/>
  <c r="I400" i="14"/>
  <c r="I416" i="14"/>
  <c r="I432" i="14"/>
  <c r="I448" i="14"/>
  <c r="I464" i="14"/>
  <c r="I480" i="14"/>
  <c r="I496" i="14"/>
  <c r="I512" i="14"/>
  <c r="I528" i="14"/>
  <c r="I544" i="14"/>
  <c r="I560" i="14"/>
  <c r="I576" i="14"/>
  <c r="I592" i="14"/>
  <c r="I608" i="14"/>
  <c r="I616" i="14"/>
  <c r="I632" i="14"/>
  <c r="I640" i="14"/>
  <c r="I648" i="14"/>
  <c r="I656" i="14"/>
  <c r="I664" i="14"/>
  <c r="I672" i="14"/>
  <c r="I680" i="14"/>
  <c r="I692" i="14"/>
  <c r="I704" i="14"/>
  <c r="I720" i="14"/>
  <c r="I732" i="14"/>
  <c r="I129" i="14"/>
  <c r="I165" i="14"/>
  <c r="I193" i="14"/>
  <c r="I225" i="14"/>
  <c r="I257" i="14"/>
  <c r="I289" i="14"/>
  <c r="I325" i="14"/>
  <c r="I357" i="14"/>
  <c r="I393" i="14"/>
  <c r="I425" i="14"/>
  <c r="I457" i="14"/>
  <c r="I489" i="14"/>
  <c r="I521" i="14"/>
  <c r="I553" i="14"/>
  <c r="I589" i="14"/>
  <c r="I621" i="14"/>
  <c r="I653" i="14"/>
  <c r="I685" i="14"/>
  <c r="I713" i="14"/>
  <c r="I157" i="14"/>
  <c r="I249" i="14"/>
  <c r="I281" i="14"/>
  <c r="I305" i="14"/>
  <c r="I337" i="14"/>
  <c r="I369" i="14"/>
  <c r="I401" i="14"/>
  <c r="I437" i="14"/>
  <c r="I465" i="14"/>
  <c r="I501" i="14"/>
  <c r="I529" i="14"/>
  <c r="I565" i="14"/>
  <c r="I597" i="14"/>
  <c r="I629" i="14"/>
  <c r="I657" i="14"/>
  <c r="I689" i="14"/>
  <c r="I725" i="14"/>
  <c r="I350" i="14"/>
  <c r="I358" i="14"/>
  <c r="I366" i="14"/>
  <c r="I374" i="14"/>
  <c r="I382" i="14"/>
  <c r="I390" i="14"/>
  <c r="I398" i="14"/>
  <c r="I406" i="14"/>
  <c r="I414" i="14"/>
  <c r="I422" i="14"/>
  <c r="I430" i="14"/>
  <c r="I438" i="14"/>
  <c r="I446" i="14"/>
  <c r="I454" i="14"/>
  <c r="I462" i="14"/>
  <c r="I470" i="14"/>
  <c r="I478" i="14"/>
  <c r="I486" i="14"/>
  <c r="I494" i="14"/>
  <c r="I502" i="14"/>
  <c r="I510" i="14"/>
  <c r="I518" i="14"/>
  <c r="I526" i="14"/>
  <c r="I534" i="14"/>
  <c r="I542" i="14"/>
  <c r="I550" i="14"/>
  <c r="I558" i="14"/>
  <c r="I566" i="14"/>
  <c r="I574" i="14"/>
  <c r="I582" i="14"/>
  <c r="I590" i="14"/>
  <c r="I598" i="14"/>
  <c r="I606" i="14"/>
  <c r="I614" i="14"/>
  <c r="I622" i="14"/>
  <c r="I630" i="14"/>
  <c r="I638" i="14"/>
  <c r="I646" i="14"/>
  <c r="I654" i="14"/>
  <c r="I662" i="14"/>
  <c r="I670" i="14"/>
  <c r="I678" i="14"/>
  <c r="I686" i="14"/>
  <c r="I694" i="14"/>
  <c r="I702" i="14"/>
  <c r="I710" i="14"/>
  <c r="I718" i="14"/>
  <c r="I726" i="14"/>
  <c r="I734" i="14"/>
  <c r="I137" i="14"/>
  <c r="I237" i="14"/>
  <c r="I269" i="14"/>
  <c r="I301" i="14"/>
  <c r="I333" i="14"/>
  <c r="I361" i="14"/>
  <c r="I389" i="14"/>
  <c r="I417" i="14"/>
  <c r="I449" i="14"/>
  <c r="I481" i="14"/>
  <c r="I517" i="14"/>
  <c r="I545" i="14"/>
  <c r="I577" i="14"/>
  <c r="I609" i="14"/>
  <c r="I641" i="14"/>
  <c r="I677" i="14"/>
  <c r="I705" i="14"/>
  <c r="I283" i="14"/>
  <c r="I291" i="14"/>
  <c r="I299" i="14"/>
  <c r="I307" i="14"/>
  <c r="I315" i="14"/>
  <c r="I323" i="14"/>
  <c r="I331" i="14"/>
  <c r="I339" i="14"/>
  <c r="I347" i="14"/>
  <c r="I355" i="14"/>
  <c r="I363" i="14"/>
  <c r="I371" i="14"/>
  <c r="I379" i="14"/>
  <c r="I387" i="14"/>
  <c r="I395" i="14"/>
  <c r="I403" i="14"/>
  <c r="I411" i="14"/>
  <c r="I419" i="14"/>
  <c r="I427" i="14"/>
  <c r="I435" i="14"/>
  <c r="I443" i="14"/>
  <c r="I451" i="14"/>
  <c r="I459" i="14"/>
  <c r="I467" i="14"/>
  <c r="I475" i="14"/>
  <c r="I483" i="14"/>
  <c r="I491" i="14"/>
  <c r="I499" i="14"/>
  <c r="I507" i="14"/>
  <c r="I515" i="14"/>
  <c r="I523" i="14"/>
  <c r="I531" i="14"/>
  <c r="I539" i="14"/>
  <c r="I547" i="14"/>
  <c r="I555" i="14"/>
  <c r="I563" i="14"/>
  <c r="I571" i="14"/>
  <c r="I579" i="14"/>
  <c r="I587" i="14"/>
  <c r="I595" i="14"/>
  <c r="I603" i="14"/>
  <c r="I611" i="14"/>
  <c r="I619" i="14"/>
  <c r="I627" i="14"/>
  <c r="I635" i="14"/>
  <c r="I643" i="14"/>
  <c r="I651" i="14"/>
  <c r="I659" i="14"/>
  <c r="I667" i="14"/>
  <c r="I675" i="14"/>
  <c r="I683" i="14"/>
  <c r="I691" i="14"/>
  <c r="I699" i="14"/>
  <c r="I707" i="14"/>
  <c r="I715" i="14"/>
  <c r="I723" i="14"/>
  <c r="I731" i="14"/>
  <c r="I684" i="14"/>
  <c r="I708" i="14"/>
  <c r="I728" i="14"/>
  <c r="I133" i="14"/>
  <c r="I161" i="14"/>
  <c r="I197" i="14"/>
  <c r="I229" i="14"/>
  <c r="I261" i="14"/>
  <c r="I293" i="14"/>
  <c r="I329" i="14"/>
  <c r="I365" i="14"/>
  <c r="I397" i="14"/>
  <c r="I429" i="14"/>
  <c r="I461" i="14"/>
  <c r="I493" i="14"/>
  <c r="I525" i="14"/>
  <c r="I557" i="14"/>
  <c r="I585" i="14"/>
  <c r="I617" i="14"/>
  <c r="I649" i="14"/>
  <c r="I681" i="14"/>
  <c r="I717" i="14"/>
  <c r="I138" i="14"/>
  <c r="I170" i="14"/>
  <c r="I202" i="14"/>
  <c r="I234" i="14"/>
  <c r="I266" i="14"/>
  <c r="I298" i="14"/>
  <c r="I330" i="14"/>
  <c r="I215" i="14"/>
  <c r="I247" i="14"/>
  <c r="I279" i="14"/>
  <c r="I144" i="14"/>
  <c r="I160" i="14"/>
  <c r="I176" i="14"/>
  <c r="I192" i="14"/>
  <c r="I232" i="14"/>
  <c r="I248" i="14"/>
  <c r="I264" i="14"/>
  <c r="I280" i="14"/>
  <c r="I296" i="14"/>
  <c r="I312" i="14"/>
  <c r="I328" i="14"/>
  <c r="I344" i="14"/>
  <c r="I360" i="14"/>
  <c r="I376" i="14"/>
  <c r="I392" i="14"/>
  <c r="I408" i="14"/>
  <c r="I424" i="14"/>
  <c r="I440" i="14"/>
  <c r="I456" i="14"/>
  <c r="I472" i="14"/>
  <c r="I488" i="14"/>
  <c r="I504" i="14"/>
  <c r="I520" i="14"/>
  <c r="I536" i="14"/>
  <c r="I552" i="14"/>
  <c r="I568" i="14"/>
  <c r="I584" i="14"/>
  <c r="I600" i="14"/>
  <c r="I624" i="14"/>
  <c r="I126" i="14"/>
  <c r="I142" i="14"/>
  <c r="I158" i="14"/>
  <c r="I174" i="14"/>
  <c r="I190" i="14"/>
  <c r="I206" i="14"/>
  <c r="I222" i="14"/>
  <c r="I238" i="14"/>
  <c r="I254" i="14"/>
  <c r="I270" i="14"/>
  <c r="I286" i="14"/>
  <c r="I302" i="14"/>
  <c r="I318" i="14"/>
  <c r="I334" i="14"/>
  <c r="I131" i="14"/>
  <c r="I139" i="14"/>
  <c r="I147" i="14"/>
  <c r="I155" i="14"/>
  <c r="I163" i="14"/>
  <c r="I171" i="14"/>
  <c r="I179" i="14"/>
  <c r="I187" i="14"/>
  <c r="I195" i="14"/>
  <c r="I203" i="14"/>
  <c r="I219" i="14"/>
  <c r="I235" i="14"/>
  <c r="I251" i="14"/>
  <c r="I267" i="14"/>
  <c r="I204" i="14"/>
  <c r="I212" i="14"/>
  <c r="I220" i="14"/>
  <c r="I213" i="14"/>
  <c r="I169" i="14"/>
  <c r="I205" i="14"/>
  <c r="I185" i="14"/>
  <c r="I217" i="14"/>
  <c r="I209" i="14"/>
  <c r="I130" i="14"/>
  <c r="I162" i="14"/>
  <c r="I194" i="14"/>
  <c r="I226" i="14"/>
  <c r="I258" i="14"/>
  <c r="I290" i="14"/>
  <c r="I322" i="14"/>
  <c r="I207" i="14"/>
  <c r="I239" i="14"/>
  <c r="I271" i="14"/>
  <c r="I140" i="14"/>
  <c r="I156" i="14"/>
  <c r="I172" i="14"/>
  <c r="I188" i="14"/>
  <c r="I228" i="14"/>
  <c r="I244" i="14"/>
  <c r="I260" i="14"/>
  <c r="I276" i="14"/>
  <c r="I292" i="14"/>
  <c r="I308" i="14"/>
  <c r="I324" i="14"/>
  <c r="I340" i="14"/>
  <c r="I356" i="14"/>
  <c r="I372" i="14"/>
  <c r="I388" i="14"/>
  <c r="I404" i="14"/>
  <c r="I420" i="14"/>
  <c r="I436" i="14"/>
  <c r="I452" i="14"/>
  <c r="I468" i="14"/>
  <c r="I484" i="14"/>
  <c r="I500" i="14"/>
  <c r="I516" i="14"/>
  <c r="I532" i="14"/>
  <c r="I548" i="14"/>
  <c r="I564" i="14"/>
  <c r="I580" i="14"/>
  <c r="I596" i="14"/>
  <c r="I612" i="14"/>
  <c r="I628" i="14"/>
  <c r="I644" i="14"/>
  <c r="I660" i="14"/>
  <c r="I676" i="14"/>
  <c r="I696" i="14"/>
  <c r="I724" i="14"/>
  <c r="I177" i="14"/>
  <c r="I273" i="14"/>
  <c r="I345" i="14"/>
  <c r="I409" i="14"/>
  <c r="I473" i="14"/>
  <c r="I537" i="14"/>
  <c r="I605" i="14"/>
  <c r="I669" i="14"/>
  <c r="I729" i="14"/>
  <c r="I233" i="14"/>
  <c r="I297" i="14"/>
  <c r="I353" i="14"/>
  <c r="I421" i="14"/>
  <c r="I485" i="14"/>
  <c r="I549" i="14"/>
  <c r="I613" i="14"/>
  <c r="I673" i="14"/>
  <c r="I346" i="14"/>
  <c r="I362" i="14"/>
  <c r="I370" i="14"/>
  <c r="I386" i="14"/>
  <c r="I394" i="14"/>
  <c r="I402" i="14"/>
  <c r="I410" i="14"/>
  <c r="I418" i="14"/>
  <c r="I426" i="14"/>
  <c r="I434" i="14"/>
  <c r="I442" i="14"/>
  <c r="I450" i="14"/>
  <c r="I458" i="14"/>
  <c r="I466" i="14"/>
  <c r="I474" i="14"/>
  <c r="I482" i="14"/>
  <c r="I490" i="14"/>
  <c r="I498" i="14"/>
  <c r="I506" i="14"/>
  <c r="I514" i="14"/>
  <c r="I522" i="14"/>
  <c r="I530" i="14"/>
  <c r="I538" i="14"/>
  <c r="I546" i="14"/>
  <c r="I554" i="14"/>
  <c r="I562" i="14"/>
  <c r="I570" i="14"/>
  <c r="I578" i="14"/>
  <c r="I586" i="14"/>
  <c r="I594" i="14"/>
  <c r="I602" i="14"/>
  <c r="I610" i="14"/>
  <c r="I618" i="14"/>
  <c r="I626" i="14"/>
  <c r="I634" i="14"/>
  <c r="I642" i="14"/>
  <c r="I650" i="14"/>
  <c r="I658" i="14"/>
  <c r="I666" i="14"/>
  <c r="I674" i="14"/>
  <c r="I682" i="14"/>
  <c r="I690" i="14"/>
  <c r="I698" i="14"/>
  <c r="I706" i="14"/>
  <c r="I714" i="14"/>
  <c r="I722" i="14"/>
  <c r="I730" i="14"/>
  <c r="I153" i="14"/>
  <c r="I253" i="14"/>
  <c r="I285" i="14"/>
  <c r="I317" i="14"/>
  <c r="I349" i="14"/>
  <c r="I373" i="14"/>
  <c r="I405" i="14"/>
  <c r="I433" i="14"/>
  <c r="I469" i="14"/>
  <c r="I497" i="14"/>
  <c r="I533" i="14"/>
  <c r="I561" i="14"/>
  <c r="I593" i="14"/>
  <c r="I625" i="14"/>
  <c r="I661" i="14"/>
  <c r="I693" i="14"/>
  <c r="I721" i="14"/>
  <c r="I287" i="14"/>
  <c r="I295" i="14"/>
  <c r="I303" i="14"/>
  <c r="I311" i="14"/>
  <c r="I319" i="14"/>
  <c r="I327" i="14"/>
  <c r="I335" i="14"/>
  <c r="I343" i="14"/>
  <c r="I351" i="14"/>
  <c r="I359" i="14"/>
  <c r="I367" i="14"/>
  <c r="I375" i="14"/>
  <c r="I383" i="14"/>
  <c r="I391" i="14"/>
  <c r="I399" i="14"/>
  <c r="I407" i="14"/>
  <c r="I415" i="14"/>
  <c r="I423" i="14"/>
  <c r="I431" i="14"/>
  <c r="I439" i="14"/>
  <c r="I447" i="14"/>
  <c r="I455" i="14"/>
  <c r="I463" i="14"/>
  <c r="I471" i="14"/>
  <c r="I479" i="14"/>
  <c r="I487" i="14"/>
  <c r="I495" i="14"/>
  <c r="I503" i="14"/>
  <c r="I511" i="14"/>
  <c r="I519" i="14"/>
  <c r="I527" i="14"/>
  <c r="I535" i="14"/>
  <c r="I543" i="14"/>
  <c r="I551" i="14"/>
  <c r="I559" i="14"/>
  <c r="I567" i="14"/>
  <c r="I575" i="14"/>
  <c r="I583" i="14"/>
  <c r="I591" i="14"/>
  <c r="I599" i="14"/>
  <c r="I607" i="14"/>
  <c r="I615" i="14"/>
  <c r="I623" i="14"/>
  <c r="I631" i="14"/>
  <c r="I639" i="14"/>
  <c r="I647" i="14"/>
  <c r="I655" i="14"/>
  <c r="I663" i="14"/>
  <c r="I671" i="14"/>
  <c r="I679" i="14"/>
  <c r="I687" i="14"/>
  <c r="I695" i="14"/>
  <c r="I703" i="14"/>
  <c r="I711" i="14"/>
  <c r="I719" i="14"/>
  <c r="I727" i="14"/>
  <c r="I735" i="14"/>
  <c r="I700" i="14"/>
  <c r="I716" i="14"/>
  <c r="I149" i="14"/>
  <c r="I181" i="14"/>
  <c r="I245" i="14"/>
  <c r="I277" i="14"/>
  <c r="I309" i="14"/>
  <c r="I341" i="14"/>
  <c r="I381" i="14"/>
  <c r="I413" i="14"/>
  <c r="I445" i="14"/>
  <c r="I477" i="14"/>
  <c r="I509" i="14"/>
  <c r="I541" i="14"/>
  <c r="I569" i="14"/>
  <c r="I601" i="14"/>
  <c r="I633" i="14"/>
  <c r="I665" i="14"/>
  <c r="I701" i="14"/>
  <c r="I733" i="14"/>
  <c r="E29" i="8" l="1"/>
  <c r="F29" i="8"/>
  <c r="D24" i="3"/>
  <c r="E30" i="8" l="1"/>
  <c r="S19" i="8" s="1"/>
  <c r="E31" i="8"/>
  <c r="F30" i="8"/>
  <c r="F31" i="8"/>
  <c r="T20" i="8" s="1"/>
  <c r="D7" i="12"/>
  <c r="E7" i="12"/>
  <c r="F7" i="12"/>
  <c r="G7" i="12"/>
  <c r="H7" i="12"/>
  <c r="I7" i="12"/>
  <c r="J7" i="12"/>
  <c r="K7" i="12"/>
  <c r="L7" i="12"/>
  <c r="D8" i="12"/>
  <c r="E8" i="12"/>
  <c r="F8" i="12"/>
  <c r="G8" i="12"/>
  <c r="H8" i="12"/>
  <c r="I8" i="12"/>
  <c r="J8" i="12"/>
  <c r="K8" i="12"/>
  <c r="L8" i="12"/>
  <c r="D9" i="12"/>
  <c r="E9" i="12"/>
  <c r="F9" i="12"/>
  <c r="G9" i="12"/>
  <c r="H9" i="12"/>
  <c r="I9" i="12"/>
  <c r="J9" i="12"/>
  <c r="K9" i="12"/>
  <c r="L9" i="12"/>
  <c r="D10" i="12"/>
  <c r="E10" i="12"/>
  <c r="F10" i="12"/>
  <c r="G10" i="12"/>
  <c r="H10" i="12"/>
  <c r="I10" i="12"/>
  <c r="J10" i="12"/>
  <c r="K10" i="12"/>
  <c r="L10" i="12"/>
  <c r="D11" i="12"/>
  <c r="E11" i="12"/>
  <c r="F11" i="12"/>
  <c r="G11" i="12"/>
  <c r="H11" i="12"/>
  <c r="I11" i="12"/>
  <c r="J11" i="12"/>
  <c r="K11" i="12"/>
  <c r="L11" i="12"/>
  <c r="D12" i="12"/>
  <c r="E12" i="12"/>
  <c r="F12" i="12"/>
  <c r="G12" i="12"/>
  <c r="H12" i="12"/>
  <c r="I12" i="12"/>
  <c r="J12" i="12"/>
  <c r="K12" i="12"/>
  <c r="L12" i="12"/>
  <c r="D13" i="12"/>
  <c r="E13" i="12"/>
  <c r="F13" i="12"/>
  <c r="G13" i="12"/>
  <c r="H13" i="12"/>
  <c r="I13" i="12"/>
  <c r="J13" i="12"/>
  <c r="K13" i="12"/>
  <c r="L13" i="12"/>
  <c r="D14" i="12"/>
  <c r="E14" i="12"/>
  <c r="F14" i="12"/>
  <c r="G14" i="12"/>
  <c r="H14" i="12"/>
  <c r="I14" i="12"/>
  <c r="J14" i="12"/>
  <c r="K14" i="12"/>
  <c r="L14" i="12"/>
  <c r="D15" i="12"/>
  <c r="E15" i="12"/>
  <c r="F15" i="12"/>
  <c r="G15" i="12"/>
  <c r="H15" i="12"/>
  <c r="I15" i="12"/>
  <c r="J15" i="12"/>
  <c r="K15" i="12"/>
  <c r="L15" i="12"/>
  <c r="D16" i="12"/>
  <c r="E16" i="12"/>
  <c r="F16" i="12"/>
  <c r="G16" i="12"/>
  <c r="H16" i="12"/>
  <c r="I16" i="12"/>
  <c r="J16" i="12"/>
  <c r="K16" i="12"/>
  <c r="L16" i="12"/>
  <c r="D17" i="12"/>
  <c r="E17" i="12"/>
  <c r="F17" i="12"/>
  <c r="G17" i="12"/>
  <c r="H17" i="12"/>
  <c r="I17" i="12"/>
  <c r="J17" i="12"/>
  <c r="K17" i="12"/>
  <c r="L17" i="12"/>
  <c r="D18" i="12"/>
  <c r="E18" i="12"/>
  <c r="F18" i="12"/>
  <c r="G18" i="12"/>
  <c r="H18" i="12"/>
  <c r="I18" i="12"/>
  <c r="J18" i="12"/>
  <c r="K18" i="12"/>
  <c r="L18" i="12"/>
  <c r="D19" i="12"/>
  <c r="E19" i="12"/>
  <c r="F19" i="12"/>
  <c r="G19" i="12"/>
  <c r="H19" i="12"/>
  <c r="I19" i="12"/>
  <c r="J19" i="12"/>
  <c r="K19" i="12"/>
  <c r="L19" i="12"/>
  <c r="D20" i="12"/>
  <c r="E20" i="12"/>
  <c r="F20" i="12"/>
  <c r="G20" i="12"/>
  <c r="H20" i="12"/>
  <c r="I20" i="12"/>
  <c r="J20" i="12"/>
  <c r="K20" i="12"/>
  <c r="L20" i="12"/>
  <c r="D21" i="12"/>
  <c r="E21" i="12"/>
  <c r="F21" i="12"/>
  <c r="G21" i="12"/>
  <c r="H21" i="12"/>
  <c r="I21" i="12"/>
  <c r="J21" i="12"/>
  <c r="K21" i="12"/>
  <c r="L21" i="12"/>
  <c r="D22" i="12"/>
  <c r="E22" i="12"/>
  <c r="F22" i="12"/>
  <c r="G22" i="12"/>
  <c r="H22" i="12"/>
  <c r="I22" i="12"/>
  <c r="J22" i="12"/>
  <c r="K22" i="12"/>
  <c r="L22" i="12"/>
  <c r="D23" i="12"/>
  <c r="E23" i="12"/>
  <c r="F23" i="12"/>
  <c r="G23" i="12"/>
  <c r="H23" i="12"/>
  <c r="I23" i="12"/>
  <c r="J23" i="12"/>
  <c r="K23" i="12"/>
  <c r="L23" i="12"/>
  <c r="D24" i="12"/>
  <c r="E24" i="12"/>
  <c r="F24" i="12"/>
  <c r="G24" i="12"/>
  <c r="H24" i="12"/>
  <c r="I24" i="12"/>
  <c r="J24" i="12"/>
  <c r="K24" i="12"/>
  <c r="L24" i="12"/>
  <c r="D25" i="12"/>
  <c r="E25" i="12"/>
  <c r="F25" i="12"/>
  <c r="G25" i="12"/>
  <c r="H25" i="12"/>
  <c r="I25" i="12"/>
  <c r="J25" i="12"/>
  <c r="K25" i="12"/>
  <c r="L25" i="12"/>
  <c r="D26" i="12"/>
  <c r="E26" i="12"/>
  <c r="F26" i="12"/>
  <c r="G26" i="12"/>
  <c r="H26" i="12"/>
  <c r="I26" i="12"/>
  <c r="J26" i="12"/>
  <c r="K26" i="12"/>
  <c r="L26" i="12"/>
  <c r="D27" i="12"/>
  <c r="E27" i="12"/>
  <c r="F27" i="12"/>
  <c r="G27" i="12"/>
  <c r="H27" i="12"/>
  <c r="I27" i="12"/>
  <c r="J27" i="12"/>
  <c r="K27" i="12"/>
  <c r="L27" i="12"/>
  <c r="D28" i="12"/>
  <c r="E28" i="12"/>
  <c r="F28" i="12"/>
  <c r="G28" i="12"/>
  <c r="H28" i="12"/>
  <c r="I28" i="12"/>
  <c r="J28" i="12"/>
  <c r="K28" i="12"/>
  <c r="L28" i="12"/>
  <c r="D29" i="12"/>
  <c r="E29" i="12"/>
  <c r="F29" i="12"/>
  <c r="G29" i="12"/>
  <c r="H29" i="12"/>
  <c r="I29" i="12"/>
  <c r="J29" i="12"/>
  <c r="K29" i="12"/>
  <c r="L29" i="12"/>
  <c r="D30" i="12"/>
  <c r="E30" i="12"/>
  <c r="F30" i="12"/>
  <c r="G30" i="12"/>
  <c r="H30" i="12"/>
  <c r="I30" i="12"/>
  <c r="J30" i="12"/>
  <c r="K30" i="12"/>
  <c r="L30" i="12"/>
  <c r="D31" i="12"/>
  <c r="E31" i="12"/>
  <c r="F31" i="12"/>
  <c r="G31" i="12"/>
  <c r="H31" i="12"/>
  <c r="I31" i="12"/>
  <c r="J31" i="12"/>
  <c r="K31" i="12"/>
  <c r="L31" i="12"/>
  <c r="D32" i="12"/>
  <c r="E32" i="12"/>
  <c r="F32" i="12"/>
  <c r="G32" i="12"/>
  <c r="H32" i="12"/>
  <c r="I32" i="12"/>
  <c r="J32" i="12"/>
  <c r="K32" i="12"/>
  <c r="L32" i="12"/>
  <c r="D33" i="12"/>
  <c r="E33" i="12"/>
  <c r="F33" i="12"/>
  <c r="G33" i="12"/>
  <c r="H33" i="12"/>
  <c r="I33" i="12"/>
  <c r="J33" i="12"/>
  <c r="K33" i="12"/>
  <c r="L33" i="12"/>
  <c r="D34" i="12"/>
  <c r="E34" i="12"/>
  <c r="F34" i="12"/>
  <c r="G34" i="12"/>
  <c r="H34" i="12"/>
  <c r="I34" i="12"/>
  <c r="J34" i="12"/>
  <c r="K34" i="12"/>
  <c r="L34" i="12"/>
  <c r="D35" i="12"/>
  <c r="E35" i="12"/>
  <c r="F35" i="12"/>
  <c r="G35" i="12"/>
  <c r="H35" i="12"/>
  <c r="I35" i="12"/>
  <c r="J35" i="12"/>
  <c r="K35" i="12"/>
  <c r="L35" i="12"/>
  <c r="D36" i="12"/>
  <c r="E36" i="12"/>
  <c r="F36" i="12"/>
  <c r="G36" i="12"/>
  <c r="H36" i="12"/>
  <c r="I36" i="12"/>
  <c r="J36" i="12"/>
  <c r="K36" i="12"/>
  <c r="L36" i="12"/>
  <c r="D37" i="12"/>
  <c r="E37" i="12"/>
  <c r="F37" i="12"/>
  <c r="G37" i="12"/>
  <c r="H37" i="12"/>
  <c r="I37" i="12"/>
  <c r="J37" i="12"/>
  <c r="K37" i="12"/>
  <c r="L37" i="12"/>
  <c r="D38" i="12"/>
  <c r="E38" i="12"/>
  <c r="F38" i="12"/>
  <c r="G38" i="12"/>
  <c r="H38" i="12"/>
  <c r="I38" i="12"/>
  <c r="J38" i="12"/>
  <c r="K38" i="12"/>
  <c r="L38" i="12"/>
  <c r="D39" i="12"/>
  <c r="E39" i="12"/>
  <c r="F39" i="12"/>
  <c r="G39" i="12"/>
  <c r="H39" i="12"/>
  <c r="I39" i="12"/>
  <c r="J39" i="12"/>
  <c r="K39" i="12"/>
  <c r="L39" i="12"/>
  <c r="D40" i="12"/>
  <c r="E40" i="12"/>
  <c r="F40" i="12"/>
  <c r="G40" i="12"/>
  <c r="H40" i="12"/>
  <c r="I40" i="12"/>
  <c r="J40" i="12"/>
  <c r="K40" i="12"/>
  <c r="L40" i="12"/>
  <c r="D41" i="12"/>
  <c r="E41" i="12"/>
  <c r="F41" i="12"/>
  <c r="G41" i="12"/>
  <c r="H41" i="12"/>
  <c r="I41" i="12"/>
  <c r="J41" i="12"/>
  <c r="K41" i="12"/>
  <c r="L41" i="12"/>
  <c r="D42" i="12"/>
  <c r="E42" i="12"/>
  <c r="F42" i="12"/>
  <c r="G42" i="12"/>
  <c r="H42" i="12"/>
  <c r="I42" i="12"/>
  <c r="J42" i="12"/>
  <c r="K42" i="12"/>
  <c r="L42" i="12"/>
  <c r="D43" i="12"/>
  <c r="E43" i="12"/>
  <c r="F43" i="12"/>
  <c r="G43" i="12"/>
  <c r="H43" i="12"/>
  <c r="I43" i="12"/>
  <c r="J43" i="12"/>
  <c r="K43" i="12"/>
  <c r="L43" i="12"/>
  <c r="D44" i="12"/>
  <c r="E44" i="12"/>
  <c r="F44" i="12"/>
  <c r="G44" i="12"/>
  <c r="H44" i="12"/>
  <c r="I44" i="12"/>
  <c r="J44" i="12"/>
  <c r="K44" i="12"/>
  <c r="L44" i="12"/>
  <c r="D45" i="12"/>
  <c r="E45" i="12"/>
  <c r="F45" i="12"/>
  <c r="G45" i="12"/>
  <c r="H45" i="12"/>
  <c r="I45" i="12"/>
  <c r="J45" i="12"/>
  <c r="K45" i="12"/>
  <c r="L45" i="12"/>
  <c r="D46" i="12"/>
  <c r="E46" i="12"/>
  <c r="F46" i="12"/>
  <c r="G46" i="12"/>
  <c r="H46" i="12"/>
  <c r="I46" i="12"/>
  <c r="J46" i="12"/>
  <c r="K46" i="12"/>
  <c r="L46" i="12"/>
  <c r="D47" i="12"/>
  <c r="E47" i="12"/>
  <c r="F47" i="12"/>
  <c r="G47" i="12"/>
  <c r="H47" i="12"/>
  <c r="I47" i="12"/>
  <c r="J47" i="12"/>
  <c r="K47" i="12"/>
  <c r="L47" i="12"/>
  <c r="D48" i="12"/>
  <c r="E48" i="12"/>
  <c r="F48" i="12"/>
  <c r="G48" i="12"/>
  <c r="H48" i="12"/>
  <c r="I48" i="12"/>
  <c r="J48" i="12"/>
  <c r="K48" i="12"/>
  <c r="L48" i="12"/>
  <c r="D49" i="12"/>
  <c r="E49" i="12"/>
  <c r="F49" i="12"/>
  <c r="G49" i="12"/>
  <c r="H49" i="12"/>
  <c r="I49" i="12"/>
  <c r="J49" i="12"/>
  <c r="K49" i="12"/>
  <c r="L49" i="12"/>
  <c r="D50" i="12"/>
  <c r="E50" i="12"/>
  <c r="F50" i="12"/>
  <c r="G50" i="12"/>
  <c r="H50" i="12"/>
  <c r="I50" i="12"/>
  <c r="J50" i="12"/>
  <c r="K50" i="12"/>
  <c r="L50" i="12"/>
  <c r="D51" i="12"/>
  <c r="E51" i="12"/>
  <c r="F51" i="12"/>
  <c r="G51" i="12"/>
  <c r="H51" i="12"/>
  <c r="I51" i="12"/>
  <c r="J51" i="12"/>
  <c r="K51" i="12"/>
  <c r="L51" i="12"/>
  <c r="D52" i="12"/>
  <c r="E52" i="12"/>
  <c r="F52" i="12"/>
  <c r="G52" i="12"/>
  <c r="H52" i="12"/>
  <c r="I52" i="12"/>
  <c r="J52" i="12"/>
  <c r="K52" i="12"/>
  <c r="L52" i="12"/>
  <c r="D53" i="12"/>
  <c r="E53" i="12"/>
  <c r="F53" i="12"/>
  <c r="G53" i="12"/>
  <c r="H53" i="12"/>
  <c r="I53" i="12"/>
  <c r="J53" i="12"/>
  <c r="K53" i="12"/>
  <c r="L53" i="12"/>
  <c r="D54" i="12"/>
  <c r="E54" i="12"/>
  <c r="F54" i="12"/>
  <c r="G54" i="12"/>
  <c r="H54" i="12"/>
  <c r="I54" i="12"/>
  <c r="J54" i="12"/>
  <c r="K54" i="12"/>
  <c r="L54" i="12"/>
  <c r="D55" i="12"/>
  <c r="E55" i="12"/>
  <c r="F55" i="12"/>
  <c r="G55" i="12"/>
  <c r="H55" i="12"/>
  <c r="I55" i="12"/>
  <c r="J55" i="12"/>
  <c r="K55" i="12"/>
  <c r="L55" i="12"/>
  <c r="D56" i="12"/>
  <c r="E56" i="12"/>
  <c r="F56" i="12"/>
  <c r="G56" i="12"/>
  <c r="H56" i="12"/>
  <c r="I56" i="12"/>
  <c r="J56" i="12"/>
  <c r="K56" i="12"/>
  <c r="L56" i="12"/>
  <c r="D57" i="12"/>
  <c r="E57" i="12"/>
  <c r="F57" i="12"/>
  <c r="G57" i="12"/>
  <c r="H57" i="12"/>
  <c r="I57" i="12"/>
  <c r="J57" i="12"/>
  <c r="K57" i="12"/>
  <c r="L57" i="12"/>
  <c r="D58" i="12"/>
  <c r="E58" i="12"/>
  <c r="F58" i="12"/>
  <c r="G58" i="12"/>
  <c r="H58" i="12"/>
  <c r="I58" i="12"/>
  <c r="J58" i="12"/>
  <c r="K58" i="12"/>
  <c r="L58" i="12"/>
  <c r="D59" i="12"/>
  <c r="E59" i="12"/>
  <c r="F59" i="12"/>
  <c r="G59" i="12"/>
  <c r="H59" i="12"/>
  <c r="I59" i="12"/>
  <c r="J59" i="12"/>
  <c r="K59" i="12"/>
  <c r="L59" i="12"/>
  <c r="D60" i="12"/>
  <c r="E60" i="12"/>
  <c r="F60" i="12"/>
  <c r="G60" i="12"/>
  <c r="H60" i="12"/>
  <c r="I60" i="12"/>
  <c r="J60" i="12"/>
  <c r="K60" i="12"/>
  <c r="L60" i="12"/>
  <c r="D61" i="12"/>
  <c r="E61" i="12"/>
  <c r="F61" i="12"/>
  <c r="G61" i="12"/>
  <c r="H61" i="12"/>
  <c r="I61" i="12"/>
  <c r="J61" i="12"/>
  <c r="K61" i="12"/>
  <c r="L61" i="12"/>
  <c r="D62" i="12"/>
  <c r="E62" i="12"/>
  <c r="F62" i="12"/>
  <c r="G62" i="12"/>
  <c r="H62" i="12"/>
  <c r="I62" i="12"/>
  <c r="J62" i="12"/>
  <c r="K62" i="12"/>
  <c r="L62" i="12"/>
  <c r="D63" i="12"/>
  <c r="E63" i="12"/>
  <c r="F63" i="12"/>
  <c r="G63" i="12"/>
  <c r="H63" i="12"/>
  <c r="I63" i="12"/>
  <c r="J63" i="12"/>
  <c r="K63" i="12"/>
  <c r="L63" i="12"/>
  <c r="D64" i="12"/>
  <c r="E64" i="12"/>
  <c r="F64" i="12"/>
  <c r="G64" i="12"/>
  <c r="H64" i="12"/>
  <c r="I64" i="12"/>
  <c r="J64" i="12"/>
  <c r="K64" i="12"/>
  <c r="L64" i="12"/>
  <c r="D65" i="12"/>
  <c r="E65" i="12"/>
  <c r="F65" i="12"/>
  <c r="G65" i="12"/>
  <c r="H65" i="12"/>
  <c r="I65" i="12"/>
  <c r="J65" i="12"/>
  <c r="K65" i="12"/>
  <c r="L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L6" i="12"/>
  <c r="K6" i="12"/>
  <c r="J6" i="12"/>
  <c r="I6" i="12"/>
  <c r="H6" i="12"/>
  <c r="G6" i="12"/>
  <c r="F6" i="12"/>
  <c r="E6" i="12"/>
  <c r="D6" i="12"/>
  <c r="E130" i="6"/>
  <c r="D372" i="1"/>
  <c r="E372" i="1"/>
  <c r="F372" i="1"/>
  <c r="H372" i="1"/>
  <c r="D372" i="12" s="1"/>
  <c r="D373" i="1"/>
  <c r="E373" i="1"/>
  <c r="F373" i="1"/>
  <c r="H373" i="1"/>
  <c r="D373" i="12" s="1"/>
  <c r="D374" i="1"/>
  <c r="E374" i="1"/>
  <c r="F374" i="1"/>
  <c r="H374" i="1"/>
  <c r="D374" i="12" s="1"/>
  <c r="D375" i="1"/>
  <c r="E375" i="1"/>
  <c r="F375" i="1"/>
  <c r="H375" i="1"/>
  <c r="D375" i="12" s="1"/>
  <c r="D376" i="1"/>
  <c r="E376" i="1"/>
  <c r="F376" i="1"/>
  <c r="H376" i="1"/>
  <c r="D376" i="12" s="1"/>
  <c r="D377" i="1"/>
  <c r="E377" i="1"/>
  <c r="F377" i="1"/>
  <c r="H377" i="1"/>
  <c r="D377" i="12" s="1"/>
  <c r="D378" i="1"/>
  <c r="E378" i="1"/>
  <c r="F378" i="1"/>
  <c r="H378" i="1"/>
  <c r="D378" i="12" s="1"/>
  <c r="D379" i="1"/>
  <c r="E379" i="1"/>
  <c r="F379" i="1"/>
  <c r="H379" i="1"/>
  <c r="D379" i="12" s="1"/>
  <c r="D380" i="1"/>
  <c r="E380" i="1"/>
  <c r="F380" i="1"/>
  <c r="H380" i="1"/>
  <c r="D380" i="12" s="1"/>
  <c r="D381" i="1"/>
  <c r="E381" i="1"/>
  <c r="F381" i="1"/>
  <c r="H381" i="1"/>
  <c r="D381" i="12" s="1"/>
  <c r="D382" i="1"/>
  <c r="E382" i="1"/>
  <c r="F382" i="1"/>
  <c r="H382" i="1"/>
  <c r="D382" i="12" s="1"/>
  <c r="D383" i="1"/>
  <c r="E383" i="1"/>
  <c r="F383" i="1"/>
  <c r="H383" i="1"/>
  <c r="D383" i="12" s="1"/>
  <c r="D384" i="1"/>
  <c r="E384" i="1"/>
  <c r="F384" i="1"/>
  <c r="H384" i="1"/>
  <c r="D384" i="12" s="1"/>
  <c r="D385" i="1"/>
  <c r="E385" i="1"/>
  <c r="F385" i="1"/>
  <c r="H385" i="1"/>
  <c r="D385" i="12" s="1"/>
  <c r="D386" i="1"/>
  <c r="E386" i="1"/>
  <c r="F386" i="1"/>
  <c r="H386" i="1"/>
  <c r="D386" i="12" s="1"/>
  <c r="D387" i="1"/>
  <c r="E387" i="1"/>
  <c r="F387" i="1"/>
  <c r="H387" i="1"/>
  <c r="D387" i="12" s="1"/>
  <c r="D388" i="1"/>
  <c r="E388" i="1"/>
  <c r="F388" i="1"/>
  <c r="H388" i="1"/>
  <c r="D388" i="12" s="1"/>
  <c r="D389" i="1"/>
  <c r="E389" i="1"/>
  <c r="F389" i="1"/>
  <c r="H389" i="1"/>
  <c r="D389" i="12" s="1"/>
  <c r="D390" i="1"/>
  <c r="E390" i="1"/>
  <c r="F390" i="1"/>
  <c r="H390" i="1"/>
  <c r="D390" i="12" s="1"/>
  <c r="D391" i="1"/>
  <c r="E391" i="1"/>
  <c r="F391" i="1"/>
  <c r="H391" i="1"/>
  <c r="D391" i="12" s="1"/>
  <c r="D392" i="1"/>
  <c r="E392" i="1"/>
  <c r="F392" i="1"/>
  <c r="H392" i="1"/>
  <c r="D392" i="12" s="1"/>
  <c r="D393" i="1"/>
  <c r="E393" i="1"/>
  <c r="F393" i="1"/>
  <c r="H393" i="1"/>
  <c r="D393" i="12" s="1"/>
  <c r="D394" i="1"/>
  <c r="E394" i="1"/>
  <c r="F394" i="1"/>
  <c r="H394" i="1"/>
  <c r="D394" i="12" s="1"/>
  <c r="D395" i="1"/>
  <c r="E395" i="1"/>
  <c r="F395" i="1"/>
  <c r="H395" i="1"/>
  <c r="D395" i="12" s="1"/>
  <c r="D396" i="1"/>
  <c r="E396" i="1"/>
  <c r="F396" i="1"/>
  <c r="H396" i="1"/>
  <c r="D396" i="12" s="1"/>
  <c r="D397" i="1"/>
  <c r="E397" i="1"/>
  <c r="F397" i="1"/>
  <c r="H397" i="1"/>
  <c r="D397" i="12" s="1"/>
  <c r="D398" i="1"/>
  <c r="E398" i="1"/>
  <c r="F398" i="1"/>
  <c r="H398" i="1"/>
  <c r="D398" i="12" s="1"/>
  <c r="D399" i="1"/>
  <c r="E399" i="1"/>
  <c r="F399" i="1"/>
  <c r="H399" i="1"/>
  <c r="D399" i="12" s="1"/>
  <c r="D400" i="1"/>
  <c r="E400" i="1"/>
  <c r="F400" i="1"/>
  <c r="H400" i="1"/>
  <c r="D400" i="12" s="1"/>
  <c r="D401" i="1"/>
  <c r="E401" i="1"/>
  <c r="F401" i="1"/>
  <c r="H401" i="1"/>
  <c r="D401" i="12" s="1"/>
  <c r="D402" i="1"/>
  <c r="E402" i="1"/>
  <c r="F402" i="1"/>
  <c r="H402" i="1"/>
  <c r="D402" i="12" s="1"/>
  <c r="D403" i="1"/>
  <c r="E403" i="1"/>
  <c r="F403" i="1"/>
  <c r="H403" i="1"/>
  <c r="D403" i="12" s="1"/>
  <c r="D404" i="1"/>
  <c r="E404" i="1"/>
  <c r="F404" i="1"/>
  <c r="H404" i="1"/>
  <c r="D404" i="12" s="1"/>
  <c r="D405" i="1"/>
  <c r="E405" i="1"/>
  <c r="F405" i="1"/>
  <c r="H405" i="1"/>
  <c r="D405" i="12" s="1"/>
  <c r="D406" i="1"/>
  <c r="E406" i="1"/>
  <c r="F406" i="1"/>
  <c r="H406" i="1"/>
  <c r="D406" i="12" s="1"/>
  <c r="D407" i="1"/>
  <c r="E407" i="1"/>
  <c r="F407" i="1"/>
  <c r="H407" i="1"/>
  <c r="D407" i="12" s="1"/>
  <c r="D408" i="1"/>
  <c r="E408" i="1"/>
  <c r="F408" i="1"/>
  <c r="H408" i="1"/>
  <c r="D408" i="12" s="1"/>
  <c r="D409" i="1"/>
  <c r="E409" i="1"/>
  <c r="F409" i="1"/>
  <c r="H409" i="1"/>
  <c r="D409" i="12" s="1"/>
  <c r="D410" i="1"/>
  <c r="E410" i="1"/>
  <c r="F410" i="1"/>
  <c r="H410" i="1"/>
  <c r="D410" i="12" s="1"/>
  <c r="D411" i="1"/>
  <c r="E411" i="1"/>
  <c r="F411" i="1"/>
  <c r="H411" i="1"/>
  <c r="D411" i="12" s="1"/>
  <c r="D412" i="1"/>
  <c r="E412" i="1"/>
  <c r="F412" i="1"/>
  <c r="H412" i="1"/>
  <c r="D412" i="12" s="1"/>
  <c r="D413" i="1"/>
  <c r="E413" i="1"/>
  <c r="F413" i="1"/>
  <c r="H413" i="1"/>
  <c r="D413" i="12" s="1"/>
  <c r="D414" i="1"/>
  <c r="E414" i="1"/>
  <c r="F414" i="1"/>
  <c r="H414" i="1"/>
  <c r="D414" i="12" s="1"/>
  <c r="D415" i="1"/>
  <c r="E415" i="1"/>
  <c r="F415" i="1"/>
  <c r="H415" i="1"/>
  <c r="D415" i="12" s="1"/>
  <c r="D416" i="1"/>
  <c r="E416" i="1"/>
  <c r="F416" i="1"/>
  <c r="H416" i="1"/>
  <c r="D416" i="12" s="1"/>
  <c r="D417" i="1"/>
  <c r="E417" i="1"/>
  <c r="F417" i="1"/>
  <c r="H417" i="1"/>
  <c r="D417" i="12" s="1"/>
  <c r="D418" i="1"/>
  <c r="E418" i="1"/>
  <c r="F418" i="1"/>
  <c r="H418" i="1"/>
  <c r="D418" i="12" s="1"/>
  <c r="D419" i="1"/>
  <c r="E419" i="1"/>
  <c r="F419" i="1"/>
  <c r="H419" i="1"/>
  <c r="D419" i="12" s="1"/>
  <c r="D420" i="1"/>
  <c r="E420" i="1"/>
  <c r="F420" i="1"/>
  <c r="H420" i="1"/>
  <c r="D420" i="12" s="1"/>
  <c r="D421" i="1"/>
  <c r="E421" i="1"/>
  <c r="F421" i="1"/>
  <c r="H421" i="1"/>
  <c r="D421" i="12" s="1"/>
  <c r="D422" i="1"/>
  <c r="E422" i="1"/>
  <c r="F422" i="1"/>
  <c r="H422" i="1"/>
  <c r="D422" i="12" s="1"/>
  <c r="D423" i="1"/>
  <c r="E423" i="1"/>
  <c r="F423" i="1"/>
  <c r="H423" i="1"/>
  <c r="D423" i="12" s="1"/>
  <c r="D424" i="1"/>
  <c r="E424" i="1"/>
  <c r="F424" i="1"/>
  <c r="H424" i="1"/>
  <c r="D424" i="12" s="1"/>
  <c r="D425" i="1"/>
  <c r="E425" i="1"/>
  <c r="F425" i="1"/>
  <c r="H425" i="1"/>
  <c r="D425" i="12" s="1"/>
  <c r="D426" i="1"/>
  <c r="E426" i="1"/>
  <c r="F426" i="1"/>
  <c r="H426" i="1"/>
  <c r="D426" i="12" s="1"/>
  <c r="D427" i="1"/>
  <c r="E427" i="1"/>
  <c r="F427" i="1"/>
  <c r="H427" i="1"/>
  <c r="D427" i="12" s="1"/>
  <c r="D428" i="1"/>
  <c r="E428" i="1"/>
  <c r="F428" i="1"/>
  <c r="H428" i="1"/>
  <c r="D428" i="12" s="1"/>
  <c r="D429" i="1"/>
  <c r="E429" i="1"/>
  <c r="F429" i="1"/>
  <c r="H429" i="1"/>
  <c r="D429" i="12" s="1"/>
  <c r="D430" i="1"/>
  <c r="E430" i="1"/>
  <c r="F430" i="1"/>
  <c r="H430" i="1"/>
  <c r="D430" i="12" s="1"/>
  <c r="D431" i="1"/>
  <c r="E431" i="1"/>
  <c r="F431" i="1"/>
  <c r="H431" i="1"/>
  <c r="D431" i="12" s="1"/>
  <c r="D432" i="1"/>
  <c r="E432" i="1"/>
  <c r="F432" i="1"/>
  <c r="H432" i="1"/>
  <c r="D432" i="12" s="1"/>
  <c r="D433" i="1"/>
  <c r="E433" i="1"/>
  <c r="F433" i="1"/>
  <c r="H433" i="1"/>
  <c r="D433" i="12" s="1"/>
  <c r="D434" i="1"/>
  <c r="E434" i="1"/>
  <c r="F434" i="1"/>
  <c r="H434" i="1"/>
  <c r="D434" i="12" s="1"/>
  <c r="D435" i="1"/>
  <c r="E435" i="1"/>
  <c r="F435" i="1"/>
  <c r="H435" i="1"/>
  <c r="D435" i="12" s="1"/>
  <c r="D436" i="1"/>
  <c r="E436" i="1"/>
  <c r="F436" i="1"/>
  <c r="H436" i="1"/>
  <c r="D436" i="12" s="1"/>
  <c r="D437" i="1"/>
  <c r="E437" i="1"/>
  <c r="F437" i="1"/>
  <c r="H437" i="1"/>
  <c r="D437" i="12" s="1"/>
  <c r="D438" i="1"/>
  <c r="E438" i="1"/>
  <c r="F438" i="1"/>
  <c r="H438" i="1"/>
  <c r="D438" i="12" s="1"/>
  <c r="D439" i="1"/>
  <c r="E439" i="1"/>
  <c r="F439" i="1"/>
  <c r="H439" i="1"/>
  <c r="D439" i="12" s="1"/>
  <c r="D440" i="1"/>
  <c r="E440" i="1"/>
  <c r="F440" i="1"/>
  <c r="H440" i="1"/>
  <c r="D440" i="12" s="1"/>
  <c r="D441" i="1"/>
  <c r="E441" i="1"/>
  <c r="F441" i="1"/>
  <c r="H441" i="1"/>
  <c r="D441" i="12" s="1"/>
  <c r="D442" i="1"/>
  <c r="E442" i="1"/>
  <c r="F442" i="1"/>
  <c r="H442" i="1"/>
  <c r="D442" i="12" s="1"/>
  <c r="D443" i="1"/>
  <c r="E443" i="1"/>
  <c r="F443" i="1"/>
  <c r="H443" i="1"/>
  <c r="D443" i="12" s="1"/>
  <c r="D444" i="1"/>
  <c r="E444" i="1"/>
  <c r="F444" i="1"/>
  <c r="H444" i="1"/>
  <c r="D444" i="12" s="1"/>
  <c r="D445" i="1"/>
  <c r="E445" i="1"/>
  <c r="F445" i="1"/>
  <c r="H445" i="1"/>
  <c r="D445" i="12" s="1"/>
  <c r="D446" i="1"/>
  <c r="E446" i="1"/>
  <c r="F446" i="1"/>
  <c r="H446" i="1"/>
  <c r="D446" i="12" s="1"/>
  <c r="D447" i="1"/>
  <c r="E447" i="1"/>
  <c r="F447" i="1"/>
  <c r="H447" i="1"/>
  <c r="D447" i="12" s="1"/>
  <c r="D448" i="1"/>
  <c r="E448" i="1"/>
  <c r="F448" i="1"/>
  <c r="H448" i="1"/>
  <c r="D448" i="12" s="1"/>
  <c r="D449" i="1"/>
  <c r="E449" i="1"/>
  <c r="F449" i="1"/>
  <c r="H449" i="1"/>
  <c r="D449" i="12" s="1"/>
  <c r="D450" i="1"/>
  <c r="E450" i="1"/>
  <c r="F450" i="1"/>
  <c r="H450" i="1"/>
  <c r="D450" i="12" s="1"/>
  <c r="D451" i="1"/>
  <c r="E451" i="1"/>
  <c r="F451" i="1"/>
  <c r="H451" i="1"/>
  <c r="D451" i="12" s="1"/>
  <c r="D452" i="1"/>
  <c r="E452" i="1"/>
  <c r="F452" i="1"/>
  <c r="H452" i="1"/>
  <c r="D452" i="12" s="1"/>
  <c r="D453" i="1"/>
  <c r="E453" i="1"/>
  <c r="F453" i="1"/>
  <c r="H453" i="1"/>
  <c r="D453" i="12" s="1"/>
  <c r="D454" i="1"/>
  <c r="E454" i="1"/>
  <c r="F454" i="1"/>
  <c r="H454" i="1"/>
  <c r="D454" i="12" s="1"/>
  <c r="D455" i="1"/>
  <c r="E455" i="1"/>
  <c r="F455" i="1"/>
  <c r="H455" i="1"/>
  <c r="D455" i="12" s="1"/>
  <c r="D456" i="1"/>
  <c r="E456" i="1"/>
  <c r="F456" i="1"/>
  <c r="H456" i="1"/>
  <c r="D456" i="12" s="1"/>
  <c r="D457" i="1"/>
  <c r="E457" i="1"/>
  <c r="F457" i="1"/>
  <c r="H457" i="1"/>
  <c r="D457" i="12" s="1"/>
  <c r="D458" i="1"/>
  <c r="E458" i="1"/>
  <c r="F458" i="1"/>
  <c r="H458" i="1"/>
  <c r="D458" i="12" s="1"/>
  <c r="D459" i="1"/>
  <c r="E459" i="1"/>
  <c r="F459" i="1"/>
  <c r="H459" i="1"/>
  <c r="D459" i="12" s="1"/>
  <c r="D460" i="1"/>
  <c r="E460" i="1"/>
  <c r="F460" i="1"/>
  <c r="H460" i="1"/>
  <c r="D460" i="12" s="1"/>
  <c r="D461" i="1"/>
  <c r="E461" i="1"/>
  <c r="F461" i="1"/>
  <c r="H461" i="1"/>
  <c r="D461" i="12" s="1"/>
  <c r="D462" i="1"/>
  <c r="E462" i="1"/>
  <c r="F462" i="1"/>
  <c r="H462" i="1"/>
  <c r="D462" i="12" s="1"/>
  <c r="D463" i="1"/>
  <c r="E463" i="1"/>
  <c r="F463" i="1"/>
  <c r="H463" i="1"/>
  <c r="D463" i="12" s="1"/>
  <c r="D464" i="1"/>
  <c r="E464" i="1"/>
  <c r="F464" i="1"/>
  <c r="H464" i="1"/>
  <c r="D464" i="12" s="1"/>
  <c r="D465" i="1"/>
  <c r="E465" i="1"/>
  <c r="F465" i="1"/>
  <c r="H465" i="1"/>
  <c r="D465" i="12" s="1"/>
  <c r="D466" i="1"/>
  <c r="E466" i="1"/>
  <c r="F466" i="1"/>
  <c r="H466" i="1"/>
  <c r="D466" i="12" s="1"/>
  <c r="D467" i="1"/>
  <c r="E467" i="1"/>
  <c r="F467" i="1"/>
  <c r="H467" i="1"/>
  <c r="D467" i="12" s="1"/>
  <c r="D468" i="1"/>
  <c r="E468" i="1"/>
  <c r="F468" i="1"/>
  <c r="H468" i="1"/>
  <c r="D468" i="12" s="1"/>
  <c r="D469" i="1"/>
  <c r="E469" i="1"/>
  <c r="F469" i="1"/>
  <c r="H469" i="1"/>
  <c r="D469" i="12" s="1"/>
  <c r="D470" i="1"/>
  <c r="E470" i="1"/>
  <c r="F470" i="1"/>
  <c r="H470" i="1"/>
  <c r="D470" i="12" s="1"/>
  <c r="D471" i="1"/>
  <c r="E471" i="1"/>
  <c r="F471" i="1"/>
  <c r="H471" i="1"/>
  <c r="D471" i="12" s="1"/>
  <c r="D472" i="1"/>
  <c r="E472" i="1"/>
  <c r="F472" i="1"/>
  <c r="H472" i="1"/>
  <c r="D472" i="12" s="1"/>
  <c r="D473" i="1"/>
  <c r="E473" i="1"/>
  <c r="F473" i="1"/>
  <c r="H473" i="1"/>
  <c r="D473" i="12" s="1"/>
  <c r="D474" i="1"/>
  <c r="E474" i="1"/>
  <c r="F474" i="1"/>
  <c r="H474" i="1"/>
  <c r="D474" i="12" s="1"/>
  <c r="D475" i="1"/>
  <c r="E475" i="1"/>
  <c r="F475" i="1"/>
  <c r="H475" i="1"/>
  <c r="D475" i="12" s="1"/>
  <c r="D476" i="1"/>
  <c r="E476" i="1"/>
  <c r="F476" i="1"/>
  <c r="H476" i="1"/>
  <c r="D476" i="12" s="1"/>
  <c r="D477" i="1"/>
  <c r="E477" i="1"/>
  <c r="F477" i="1"/>
  <c r="H477" i="1"/>
  <c r="D477" i="12" s="1"/>
  <c r="D478" i="1"/>
  <c r="E478" i="1"/>
  <c r="F478" i="1"/>
  <c r="H478" i="1"/>
  <c r="D478" i="12" s="1"/>
  <c r="D479" i="1"/>
  <c r="E479" i="1"/>
  <c r="F479" i="1"/>
  <c r="H479" i="1"/>
  <c r="D479" i="12" s="1"/>
  <c r="D480" i="1"/>
  <c r="E480" i="1"/>
  <c r="F480" i="1"/>
  <c r="H480" i="1"/>
  <c r="D480" i="12" s="1"/>
  <c r="D481" i="1"/>
  <c r="E481" i="1"/>
  <c r="F481" i="1"/>
  <c r="H481" i="1"/>
  <c r="D481" i="12" s="1"/>
  <c r="D482" i="1"/>
  <c r="E482" i="1"/>
  <c r="F482" i="1"/>
  <c r="H482" i="1"/>
  <c r="D482" i="12" s="1"/>
  <c r="D483" i="1"/>
  <c r="E483" i="1"/>
  <c r="F483" i="1"/>
  <c r="H483" i="1"/>
  <c r="D483" i="12" s="1"/>
  <c r="D484" i="1"/>
  <c r="E484" i="1"/>
  <c r="F484" i="1"/>
  <c r="H484" i="1"/>
  <c r="D484" i="12" s="1"/>
  <c r="D485" i="1"/>
  <c r="E485" i="1"/>
  <c r="F485" i="1"/>
  <c r="H485" i="1"/>
  <c r="D485" i="12" s="1"/>
  <c r="D486" i="1"/>
  <c r="E486" i="1"/>
  <c r="F486" i="1"/>
  <c r="H486" i="1"/>
  <c r="D486" i="12" s="1"/>
  <c r="D487" i="1"/>
  <c r="E487" i="1"/>
  <c r="F487" i="1"/>
  <c r="H487" i="1"/>
  <c r="D487" i="12" s="1"/>
  <c r="D488" i="1"/>
  <c r="E488" i="1"/>
  <c r="F488" i="1"/>
  <c r="H488" i="1"/>
  <c r="D488" i="12" s="1"/>
  <c r="D489" i="1"/>
  <c r="E489" i="1"/>
  <c r="F489" i="1"/>
  <c r="H489" i="1"/>
  <c r="D489" i="12" s="1"/>
  <c r="D490" i="1"/>
  <c r="E490" i="1"/>
  <c r="F490" i="1"/>
  <c r="H490" i="1"/>
  <c r="D490" i="12" s="1"/>
  <c r="D491" i="1"/>
  <c r="E491" i="1"/>
  <c r="F491" i="1"/>
  <c r="H491" i="1"/>
  <c r="D491" i="12" s="1"/>
  <c r="D492" i="1"/>
  <c r="E492" i="1"/>
  <c r="F492" i="1"/>
  <c r="H492" i="1"/>
  <c r="D492" i="12" s="1"/>
  <c r="D493" i="1"/>
  <c r="E493" i="1"/>
  <c r="F493" i="1"/>
  <c r="H493" i="1"/>
  <c r="D493" i="12" s="1"/>
  <c r="D494" i="1"/>
  <c r="E494" i="1"/>
  <c r="F494" i="1"/>
  <c r="H494" i="1"/>
  <c r="D494" i="12" s="1"/>
  <c r="D495" i="1"/>
  <c r="E495" i="1"/>
  <c r="F495" i="1"/>
  <c r="H495" i="1"/>
  <c r="D495" i="12" s="1"/>
  <c r="D496" i="1"/>
  <c r="E496" i="1"/>
  <c r="F496" i="1"/>
  <c r="H496" i="1"/>
  <c r="D496" i="12" s="1"/>
  <c r="D497" i="1"/>
  <c r="E497" i="1"/>
  <c r="F497" i="1"/>
  <c r="H497" i="1"/>
  <c r="D497" i="12" s="1"/>
  <c r="D498" i="1"/>
  <c r="E498" i="1"/>
  <c r="F498" i="1"/>
  <c r="H498" i="1"/>
  <c r="D498" i="12" s="1"/>
  <c r="D499" i="1"/>
  <c r="E499" i="1"/>
  <c r="F499" i="1"/>
  <c r="H499" i="1"/>
  <c r="D499" i="12" s="1"/>
  <c r="D500" i="1"/>
  <c r="E500" i="1"/>
  <c r="F500" i="1"/>
  <c r="H500" i="1"/>
  <c r="D500" i="12" s="1"/>
  <c r="D501" i="1"/>
  <c r="E501" i="1"/>
  <c r="F501" i="1"/>
  <c r="H501" i="1"/>
  <c r="D501" i="12" s="1"/>
  <c r="D502" i="1"/>
  <c r="E502" i="1"/>
  <c r="F502" i="1"/>
  <c r="H502" i="1"/>
  <c r="D502" i="12" s="1"/>
  <c r="D503" i="1"/>
  <c r="E503" i="1"/>
  <c r="F503" i="1"/>
  <c r="H503" i="1"/>
  <c r="D503" i="12" s="1"/>
  <c r="D504" i="1"/>
  <c r="E504" i="1"/>
  <c r="F504" i="1"/>
  <c r="H504" i="1"/>
  <c r="D504" i="12" s="1"/>
  <c r="D505" i="1"/>
  <c r="E505" i="1"/>
  <c r="F505" i="1"/>
  <c r="H505" i="1"/>
  <c r="D505" i="12" s="1"/>
  <c r="D506" i="1"/>
  <c r="E506" i="1"/>
  <c r="F506" i="1"/>
  <c r="H506" i="1"/>
  <c r="D506" i="12" s="1"/>
  <c r="D507" i="1"/>
  <c r="E507" i="1"/>
  <c r="F507" i="1"/>
  <c r="H507" i="1"/>
  <c r="D507" i="12" s="1"/>
  <c r="D508" i="1"/>
  <c r="E508" i="1"/>
  <c r="F508" i="1"/>
  <c r="H508" i="1"/>
  <c r="D508" i="12" s="1"/>
  <c r="D509" i="1"/>
  <c r="E509" i="1"/>
  <c r="F509" i="1"/>
  <c r="H509" i="1"/>
  <c r="D509" i="12" s="1"/>
  <c r="D510" i="1"/>
  <c r="E510" i="1"/>
  <c r="F510" i="1"/>
  <c r="H510" i="1"/>
  <c r="D510" i="12" s="1"/>
  <c r="D511" i="1"/>
  <c r="E511" i="1"/>
  <c r="F511" i="1"/>
  <c r="H511" i="1"/>
  <c r="D511" i="12" s="1"/>
  <c r="D512" i="1"/>
  <c r="E512" i="1"/>
  <c r="F512" i="1"/>
  <c r="H512" i="1"/>
  <c r="D512" i="12" s="1"/>
  <c r="D513" i="1"/>
  <c r="E513" i="1"/>
  <c r="F513" i="1"/>
  <c r="H513" i="1"/>
  <c r="D513" i="12" s="1"/>
  <c r="D514" i="1"/>
  <c r="E514" i="1"/>
  <c r="F514" i="1"/>
  <c r="H514" i="1"/>
  <c r="D514" i="12" s="1"/>
  <c r="D515" i="1"/>
  <c r="E515" i="1"/>
  <c r="F515" i="1"/>
  <c r="H515" i="1"/>
  <c r="D515" i="12" s="1"/>
  <c r="D516" i="1"/>
  <c r="E516" i="1"/>
  <c r="F516" i="1"/>
  <c r="H516" i="1"/>
  <c r="D516" i="12" s="1"/>
  <c r="D517" i="1"/>
  <c r="E517" i="1"/>
  <c r="F517" i="1"/>
  <c r="H517" i="1"/>
  <c r="D517" i="12" s="1"/>
  <c r="D518" i="1"/>
  <c r="E518" i="1"/>
  <c r="F518" i="1"/>
  <c r="H518" i="1"/>
  <c r="D518" i="12" s="1"/>
  <c r="D519" i="1"/>
  <c r="E519" i="1"/>
  <c r="F519" i="1"/>
  <c r="H519" i="1"/>
  <c r="D519" i="12" s="1"/>
  <c r="D520" i="1"/>
  <c r="E520" i="1"/>
  <c r="F520" i="1"/>
  <c r="H520" i="1"/>
  <c r="D520" i="12" s="1"/>
  <c r="D521" i="1"/>
  <c r="E521" i="1"/>
  <c r="F521" i="1"/>
  <c r="H521" i="1"/>
  <c r="D521" i="12" s="1"/>
  <c r="D522" i="1"/>
  <c r="E522" i="1"/>
  <c r="F522" i="1"/>
  <c r="H522" i="1"/>
  <c r="D522" i="12" s="1"/>
  <c r="D523" i="1"/>
  <c r="E523" i="1"/>
  <c r="F523" i="1"/>
  <c r="H523" i="1"/>
  <c r="D523" i="12" s="1"/>
  <c r="D524" i="1"/>
  <c r="E524" i="1"/>
  <c r="F524" i="1"/>
  <c r="H524" i="1"/>
  <c r="D524" i="12" s="1"/>
  <c r="D525" i="1"/>
  <c r="E525" i="1"/>
  <c r="F525" i="1"/>
  <c r="H525" i="1"/>
  <c r="D525" i="12" s="1"/>
  <c r="D526" i="1"/>
  <c r="E526" i="1"/>
  <c r="F526" i="1"/>
  <c r="H526" i="1"/>
  <c r="D526" i="12" s="1"/>
  <c r="D527" i="1"/>
  <c r="E527" i="1"/>
  <c r="F527" i="1"/>
  <c r="H527" i="1"/>
  <c r="D527" i="12" s="1"/>
  <c r="D528" i="1"/>
  <c r="E528" i="1"/>
  <c r="F528" i="1"/>
  <c r="H528" i="1"/>
  <c r="D528" i="12" s="1"/>
  <c r="D529" i="1"/>
  <c r="E529" i="1"/>
  <c r="F529" i="1"/>
  <c r="H529" i="1"/>
  <c r="D529" i="12" s="1"/>
  <c r="D530" i="1"/>
  <c r="E530" i="1"/>
  <c r="F530" i="1"/>
  <c r="H530" i="1"/>
  <c r="D530" i="12" s="1"/>
  <c r="D531" i="1"/>
  <c r="E531" i="1"/>
  <c r="F531" i="1"/>
  <c r="H531" i="1"/>
  <c r="D531" i="12" s="1"/>
  <c r="D532" i="1"/>
  <c r="E532" i="1"/>
  <c r="F532" i="1"/>
  <c r="H532" i="1"/>
  <c r="D532" i="12" s="1"/>
  <c r="D533" i="1"/>
  <c r="E533" i="1"/>
  <c r="F533" i="1"/>
  <c r="H533" i="1"/>
  <c r="D533" i="12" s="1"/>
  <c r="D534" i="1"/>
  <c r="E534" i="1"/>
  <c r="F534" i="1"/>
  <c r="H534" i="1"/>
  <c r="D534" i="12" s="1"/>
  <c r="D535" i="1"/>
  <c r="E535" i="1"/>
  <c r="F535" i="1"/>
  <c r="H535" i="1"/>
  <c r="D535" i="12" s="1"/>
  <c r="D536" i="1"/>
  <c r="E536" i="1"/>
  <c r="F536" i="1"/>
  <c r="H536" i="1"/>
  <c r="D536" i="12" s="1"/>
  <c r="D537" i="1"/>
  <c r="E537" i="1"/>
  <c r="F537" i="1"/>
  <c r="H537" i="1"/>
  <c r="D537" i="12" s="1"/>
  <c r="D538" i="1"/>
  <c r="E538" i="1"/>
  <c r="F538" i="1"/>
  <c r="H538" i="1"/>
  <c r="D538" i="12" s="1"/>
  <c r="D539" i="1"/>
  <c r="E539" i="1"/>
  <c r="F539" i="1"/>
  <c r="H539" i="1"/>
  <c r="D539" i="12" s="1"/>
  <c r="D540" i="1"/>
  <c r="E540" i="1"/>
  <c r="F540" i="1"/>
  <c r="H540" i="1"/>
  <c r="D540" i="12" s="1"/>
  <c r="D541" i="1"/>
  <c r="E541" i="1"/>
  <c r="F541" i="1"/>
  <c r="H541" i="1"/>
  <c r="D541" i="12" s="1"/>
  <c r="D542" i="1"/>
  <c r="E542" i="1"/>
  <c r="F542" i="1"/>
  <c r="H542" i="1"/>
  <c r="D542" i="12" s="1"/>
  <c r="D543" i="1"/>
  <c r="E543" i="1"/>
  <c r="F543" i="1"/>
  <c r="H543" i="1"/>
  <c r="D543" i="12" s="1"/>
  <c r="D544" i="1"/>
  <c r="E544" i="1"/>
  <c r="F544" i="1"/>
  <c r="H544" i="1"/>
  <c r="D544" i="12" s="1"/>
  <c r="D545" i="1"/>
  <c r="E545" i="1"/>
  <c r="F545" i="1"/>
  <c r="H545" i="1"/>
  <c r="D545" i="12" s="1"/>
  <c r="D546" i="1"/>
  <c r="E546" i="1"/>
  <c r="F546" i="1"/>
  <c r="H546" i="1"/>
  <c r="D546" i="12" s="1"/>
  <c r="D547" i="1"/>
  <c r="E547" i="1"/>
  <c r="F547" i="1"/>
  <c r="H547" i="1"/>
  <c r="D547" i="12" s="1"/>
  <c r="D548" i="1"/>
  <c r="E548" i="1"/>
  <c r="F548" i="1"/>
  <c r="H548" i="1"/>
  <c r="D548" i="12" s="1"/>
  <c r="D549" i="1"/>
  <c r="E549" i="1"/>
  <c r="F549" i="1"/>
  <c r="H549" i="1"/>
  <c r="D549" i="12" s="1"/>
  <c r="D550" i="1"/>
  <c r="E550" i="1"/>
  <c r="F550" i="1"/>
  <c r="H550" i="1"/>
  <c r="D550" i="12" s="1"/>
  <c r="D551" i="1"/>
  <c r="E551" i="1"/>
  <c r="F551" i="1"/>
  <c r="H551" i="1"/>
  <c r="D551" i="12" s="1"/>
  <c r="D552" i="1"/>
  <c r="E552" i="1"/>
  <c r="F552" i="1"/>
  <c r="H552" i="1"/>
  <c r="D552" i="12" s="1"/>
  <c r="D553" i="1"/>
  <c r="E553" i="1"/>
  <c r="F553" i="1"/>
  <c r="H553" i="1"/>
  <c r="D553" i="12" s="1"/>
  <c r="D554" i="1"/>
  <c r="E554" i="1"/>
  <c r="F554" i="1"/>
  <c r="H554" i="1"/>
  <c r="D554" i="12" s="1"/>
  <c r="D555" i="1"/>
  <c r="E555" i="1"/>
  <c r="F555" i="1"/>
  <c r="H555" i="1"/>
  <c r="D555" i="12" s="1"/>
  <c r="D556" i="1"/>
  <c r="E556" i="1"/>
  <c r="F556" i="1"/>
  <c r="H556" i="1"/>
  <c r="D556" i="12" s="1"/>
  <c r="D557" i="1"/>
  <c r="E557" i="1"/>
  <c r="F557" i="1"/>
  <c r="H557" i="1"/>
  <c r="D557" i="12" s="1"/>
  <c r="D558" i="1"/>
  <c r="E558" i="1"/>
  <c r="F558" i="1"/>
  <c r="H558" i="1"/>
  <c r="D558" i="12" s="1"/>
  <c r="D559" i="1"/>
  <c r="E559" i="1"/>
  <c r="F559" i="1"/>
  <c r="H559" i="1"/>
  <c r="D559" i="12" s="1"/>
  <c r="D560" i="1"/>
  <c r="E560" i="1"/>
  <c r="F560" i="1"/>
  <c r="H560" i="1"/>
  <c r="D560" i="12" s="1"/>
  <c r="D561" i="1"/>
  <c r="E561" i="1"/>
  <c r="F561" i="1"/>
  <c r="H561" i="1"/>
  <c r="D561" i="12" s="1"/>
  <c r="D562" i="1"/>
  <c r="E562" i="1"/>
  <c r="F562" i="1"/>
  <c r="H562" i="1"/>
  <c r="D562" i="12" s="1"/>
  <c r="D563" i="1"/>
  <c r="E563" i="1"/>
  <c r="F563" i="1"/>
  <c r="H563" i="1"/>
  <c r="D563" i="12" s="1"/>
  <c r="D564" i="1"/>
  <c r="E564" i="1"/>
  <c r="F564" i="1"/>
  <c r="H564" i="1"/>
  <c r="D564" i="12" s="1"/>
  <c r="D565" i="1"/>
  <c r="E565" i="1"/>
  <c r="F565" i="1"/>
  <c r="H565" i="1"/>
  <c r="D565" i="12" s="1"/>
  <c r="D566" i="1"/>
  <c r="E566" i="1"/>
  <c r="F566" i="1"/>
  <c r="H566" i="1"/>
  <c r="D566" i="12" s="1"/>
  <c r="D567" i="1"/>
  <c r="E567" i="1"/>
  <c r="F567" i="1"/>
  <c r="H567" i="1"/>
  <c r="D567" i="12" s="1"/>
  <c r="D568" i="1"/>
  <c r="E568" i="1"/>
  <c r="F568" i="1"/>
  <c r="H568" i="1"/>
  <c r="D568" i="12" s="1"/>
  <c r="D569" i="1"/>
  <c r="E569" i="1"/>
  <c r="F569" i="1"/>
  <c r="H569" i="1"/>
  <c r="D569" i="12" s="1"/>
  <c r="D570" i="1"/>
  <c r="E570" i="1"/>
  <c r="F570" i="1"/>
  <c r="H570" i="1"/>
  <c r="D570" i="12" s="1"/>
  <c r="D571" i="1"/>
  <c r="E571" i="1"/>
  <c r="F571" i="1"/>
  <c r="H571" i="1"/>
  <c r="D571" i="12" s="1"/>
  <c r="D572" i="1"/>
  <c r="E572" i="1"/>
  <c r="F572" i="1"/>
  <c r="H572" i="1"/>
  <c r="D572" i="12" s="1"/>
  <c r="D573" i="1"/>
  <c r="E573" i="1"/>
  <c r="F573" i="1"/>
  <c r="H573" i="1"/>
  <c r="D573" i="12" s="1"/>
  <c r="D574" i="1"/>
  <c r="E574" i="1"/>
  <c r="F574" i="1"/>
  <c r="H574" i="1"/>
  <c r="D574" i="12" s="1"/>
  <c r="D575" i="1"/>
  <c r="E575" i="1"/>
  <c r="F575" i="1"/>
  <c r="H575" i="1"/>
  <c r="D575" i="12" s="1"/>
  <c r="D576" i="1"/>
  <c r="E576" i="1"/>
  <c r="F576" i="1"/>
  <c r="H576" i="1"/>
  <c r="D576" i="12" s="1"/>
  <c r="D577" i="1"/>
  <c r="E577" i="1"/>
  <c r="F577" i="1"/>
  <c r="H577" i="1"/>
  <c r="D577" i="12" s="1"/>
  <c r="D578" i="1"/>
  <c r="E578" i="1"/>
  <c r="F578" i="1"/>
  <c r="H578" i="1"/>
  <c r="D578" i="12" s="1"/>
  <c r="D579" i="1"/>
  <c r="E579" i="1"/>
  <c r="F579" i="1"/>
  <c r="H579" i="1"/>
  <c r="D579" i="12" s="1"/>
  <c r="D580" i="1"/>
  <c r="E580" i="1"/>
  <c r="F580" i="1"/>
  <c r="H580" i="1"/>
  <c r="D580" i="12" s="1"/>
  <c r="D581" i="1"/>
  <c r="E581" i="1"/>
  <c r="F581" i="1"/>
  <c r="H581" i="1"/>
  <c r="D581" i="12" s="1"/>
  <c r="D582" i="1"/>
  <c r="E582" i="1"/>
  <c r="F582" i="1"/>
  <c r="H582" i="1"/>
  <c r="D582" i="12" s="1"/>
  <c r="D583" i="1"/>
  <c r="E583" i="1"/>
  <c r="F583" i="1"/>
  <c r="H583" i="1"/>
  <c r="D583" i="12" s="1"/>
  <c r="D584" i="1"/>
  <c r="E584" i="1"/>
  <c r="F584" i="1"/>
  <c r="H584" i="1"/>
  <c r="D584" i="12" s="1"/>
  <c r="D585" i="1"/>
  <c r="E585" i="1"/>
  <c r="F585" i="1"/>
  <c r="H585" i="1"/>
  <c r="D585" i="12" s="1"/>
  <c r="D586" i="1"/>
  <c r="E586" i="1"/>
  <c r="F586" i="1"/>
  <c r="H586" i="1"/>
  <c r="D586" i="12" s="1"/>
  <c r="D587" i="1"/>
  <c r="E587" i="1"/>
  <c r="F587" i="1"/>
  <c r="H587" i="1"/>
  <c r="D587" i="12" s="1"/>
  <c r="D588" i="1"/>
  <c r="E588" i="1"/>
  <c r="F588" i="1"/>
  <c r="H588" i="1"/>
  <c r="D588" i="12" s="1"/>
  <c r="D589" i="1"/>
  <c r="E589" i="1"/>
  <c r="F589" i="1"/>
  <c r="H589" i="1"/>
  <c r="D589" i="12" s="1"/>
  <c r="D590" i="1"/>
  <c r="E590" i="1"/>
  <c r="F590" i="1"/>
  <c r="H590" i="1"/>
  <c r="D590" i="12" s="1"/>
  <c r="D591" i="1"/>
  <c r="E591" i="1"/>
  <c r="F591" i="1"/>
  <c r="H591" i="1"/>
  <c r="D591" i="12" s="1"/>
  <c r="D592" i="1"/>
  <c r="E592" i="1"/>
  <c r="F592" i="1"/>
  <c r="H592" i="1"/>
  <c r="D592" i="12" s="1"/>
  <c r="D593" i="1"/>
  <c r="E593" i="1"/>
  <c r="F593" i="1"/>
  <c r="H593" i="1"/>
  <c r="D593" i="12" s="1"/>
  <c r="D594" i="1"/>
  <c r="E594" i="1"/>
  <c r="F594" i="1"/>
  <c r="H594" i="1"/>
  <c r="D594" i="12" s="1"/>
  <c r="D595" i="1"/>
  <c r="E595" i="1"/>
  <c r="F595" i="1"/>
  <c r="H595" i="1"/>
  <c r="D595" i="12" s="1"/>
  <c r="D596" i="1"/>
  <c r="E596" i="1"/>
  <c r="F596" i="1"/>
  <c r="H596" i="1"/>
  <c r="D596" i="12" s="1"/>
  <c r="D597" i="1"/>
  <c r="E597" i="1"/>
  <c r="F597" i="1"/>
  <c r="H597" i="1"/>
  <c r="D597" i="12" s="1"/>
  <c r="D598" i="1"/>
  <c r="E598" i="1"/>
  <c r="F598" i="1"/>
  <c r="H598" i="1"/>
  <c r="D598" i="12" s="1"/>
  <c r="D599" i="1"/>
  <c r="E599" i="1"/>
  <c r="F599" i="1"/>
  <c r="H599" i="1"/>
  <c r="D599" i="12" s="1"/>
  <c r="D600" i="1"/>
  <c r="E600" i="1"/>
  <c r="F600" i="1"/>
  <c r="H600" i="1"/>
  <c r="D600" i="12" s="1"/>
  <c r="D601" i="1"/>
  <c r="E601" i="1"/>
  <c r="F601" i="1"/>
  <c r="H601" i="1"/>
  <c r="D601" i="12" s="1"/>
  <c r="D602" i="1"/>
  <c r="E602" i="1"/>
  <c r="F602" i="1"/>
  <c r="H602" i="1"/>
  <c r="D602" i="12" s="1"/>
  <c r="D603" i="1"/>
  <c r="E603" i="1"/>
  <c r="F603" i="1"/>
  <c r="H603" i="1"/>
  <c r="D603" i="12" s="1"/>
  <c r="D604" i="1"/>
  <c r="E604" i="1"/>
  <c r="F604" i="1"/>
  <c r="H604" i="1"/>
  <c r="D604" i="12" s="1"/>
  <c r="D605" i="1"/>
  <c r="E605" i="1"/>
  <c r="F605" i="1"/>
  <c r="H605" i="1"/>
  <c r="D605" i="12" s="1"/>
  <c r="D606" i="1"/>
  <c r="E606" i="1"/>
  <c r="F606" i="1"/>
  <c r="H606" i="1"/>
  <c r="D606" i="12" s="1"/>
  <c r="D607" i="1"/>
  <c r="E607" i="1"/>
  <c r="F607" i="1"/>
  <c r="H607" i="1"/>
  <c r="D607" i="12" s="1"/>
  <c r="D608" i="1"/>
  <c r="E608" i="1"/>
  <c r="F608" i="1"/>
  <c r="H608" i="1"/>
  <c r="D608" i="12" s="1"/>
  <c r="D609" i="1"/>
  <c r="E609" i="1"/>
  <c r="F609" i="1"/>
  <c r="H609" i="1"/>
  <c r="D609" i="12" s="1"/>
  <c r="D610" i="1"/>
  <c r="E610" i="1"/>
  <c r="F610" i="1"/>
  <c r="H610" i="1"/>
  <c r="D610" i="12" s="1"/>
  <c r="D611" i="1"/>
  <c r="E611" i="1"/>
  <c r="F611" i="1"/>
  <c r="H611" i="1"/>
  <c r="D611" i="12" s="1"/>
  <c r="D612" i="1"/>
  <c r="E612" i="1"/>
  <c r="F612" i="1"/>
  <c r="H612" i="1"/>
  <c r="D612" i="12" s="1"/>
  <c r="D613" i="1"/>
  <c r="E613" i="1"/>
  <c r="F613" i="1"/>
  <c r="H613" i="1"/>
  <c r="D613" i="12" s="1"/>
  <c r="D614" i="1"/>
  <c r="E614" i="1"/>
  <c r="F614" i="1"/>
  <c r="H614" i="1"/>
  <c r="D614" i="12" s="1"/>
  <c r="D615" i="1"/>
  <c r="E615" i="1"/>
  <c r="F615" i="1"/>
  <c r="H615" i="1"/>
  <c r="D615" i="12" s="1"/>
  <c r="D616" i="1"/>
  <c r="E616" i="1"/>
  <c r="F616" i="1"/>
  <c r="H616" i="1"/>
  <c r="D616" i="12" s="1"/>
  <c r="D617" i="1"/>
  <c r="E617" i="1"/>
  <c r="F617" i="1"/>
  <c r="H617" i="1"/>
  <c r="D617" i="12" s="1"/>
  <c r="D618" i="1"/>
  <c r="E618" i="1"/>
  <c r="F618" i="1"/>
  <c r="H618" i="1"/>
  <c r="D618" i="12" s="1"/>
  <c r="D619" i="1"/>
  <c r="E619" i="1"/>
  <c r="F619" i="1"/>
  <c r="H619" i="1"/>
  <c r="D619" i="12" s="1"/>
  <c r="D620" i="1"/>
  <c r="E620" i="1"/>
  <c r="F620" i="1"/>
  <c r="H620" i="1"/>
  <c r="D620" i="12" s="1"/>
  <c r="D621" i="1"/>
  <c r="E621" i="1"/>
  <c r="F621" i="1"/>
  <c r="H621" i="1"/>
  <c r="D621" i="12" s="1"/>
  <c r="D622" i="1"/>
  <c r="E622" i="1"/>
  <c r="F622" i="1"/>
  <c r="H622" i="1"/>
  <c r="D622" i="12" s="1"/>
  <c r="D623" i="1"/>
  <c r="E623" i="1"/>
  <c r="F623" i="1"/>
  <c r="H623" i="1"/>
  <c r="D623" i="12" s="1"/>
  <c r="D624" i="1"/>
  <c r="E624" i="1"/>
  <c r="F624" i="1"/>
  <c r="H624" i="1"/>
  <c r="D624" i="12" s="1"/>
  <c r="D625" i="1"/>
  <c r="E625" i="1"/>
  <c r="F625" i="1"/>
  <c r="H625" i="1"/>
  <c r="D625" i="12" s="1"/>
  <c r="D626" i="1"/>
  <c r="E626" i="1"/>
  <c r="F626" i="1"/>
  <c r="H626" i="1"/>
  <c r="D626" i="12" s="1"/>
  <c r="D627" i="1"/>
  <c r="E627" i="1"/>
  <c r="F627" i="1"/>
  <c r="H627" i="1"/>
  <c r="D627" i="12" s="1"/>
  <c r="D628" i="1"/>
  <c r="E628" i="1"/>
  <c r="F628" i="1"/>
  <c r="H628" i="1"/>
  <c r="D628" i="12" s="1"/>
  <c r="D629" i="1"/>
  <c r="E629" i="1"/>
  <c r="F629" i="1"/>
  <c r="H629" i="1"/>
  <c r="D629" i="12" s="1"/>
  <c r="D630" i="1"/>
  <c r="E630" i="1"/>
  <c r="F630" i="1"/>
  <c r="H630" i="1"/>
  <c r="D630" i="12" s="1"/>
  <c r="D631" i="1"/>
  <c r="E631" i="1"/>
  <c r="F631" i="1"/>
  <c r="H631" i="1"/>
  <c r="D631" i="12" s="1"/>
  <c r="D632" i="1"/>
  <c r="E632" i="1"/>
  <c r="F632" i="1"/>
  <c r="H632" i="1"/>
  <c r="D632" i="12" s="1"/>
  <c r="D633" i="1"/>
  <c r="E633" i="1"/>
  <c r="F633" i="1"/>
  <c r="H633" i="1"/>
  <c r="D633" i="12" s="1"/>
  <c r="D634" i="1"/>
  <c r="E634" i="1"/>
  <c r="F634" i="1"/>
  <c r="H634" i="1"/>
  <c r="D634" i="12" s="1"/>
  <c r="D635" i="1"/>
  <c r="E635" i="1"/>
  <c r="F635" i="1"/>
  <c r="H635" i="1"/>
  <c r="D635" i="12" s="1"/>
  <c r="D636" i="1"/>
  <c r="E636" i="1"/>
  <c r="F636" i="1"/>
  <c r="H636" i="1"/>
  <c r="D636" i="12" s="1"/>
  <c r="D637" i="1"/>
  <c r="E637" i="1"/>
  <c r="F637" i="1"/>
  <c r="H637" i="1"/>
  <c r="D637" i="12" s="1"/>
  <c r="D638" i="1"/>
  <c r="E638" i="1"/>
  <c r="F638" i="1"/>
  <c r="H638" i="1"/>
  <c r="D638" i="12" s="1"/>
  <c r="D639" i="1"/>
  <c r="E639" i="1"/>
  <c r="F639" i="1"/>
  <c r="H639" i="1"/>
  <c r="D639" i="12" s="1"/>
  <c r="D640" i="1"/>
  <c r="E640" i="1"/>
  <c r="F640" i="1"/>
  <c r="H640" i="1"/>
  <c r="D640" i="12" s="1"/>
  <c r="D641" i="1"/>
  <c r="E641" i="1"/>
  <c r="F641" i="1"/>
  <c r="H641" i="1"/>
  <c r="D641" i="12" s="1"/>
  <c r="D642" i="1"/>
  <c r="E642" i="1"/>
  <c r="F642" i="1"/>
  <c r="H642" i="1"/>
  <c r="D642" i="12" s="1"/>
  <c r="D643" i="1"/>
  <c r="E643" i="1"/>
  <c r="F643" i="1"/>
  <c r="H643" i="1"/>
  <c r="D643" i="12" s="1"/>
  <c r="D644" i="1"/>
  <c r="E644" i="1"/>
  <c r="F644" i="1"/>
  <c r="H644" i="1"/>
  <c r="D644" i="12" s="1"/>
  <c r="D645" i="1"/>
  <c r="E645" i="1"/>
  <c r="F645" i="1"/>
  <c r="H645" i="1"/>
  <c r="D645" i="12" s="1"/>
  <c r="D646" i="1"/>
  <c r="E646" i="1"/>
  <c r="F646" i="1"/>
  <c r="H646" i="1"/>
  <c r="D646" i="12" s="1"/>
  <c r="D647" i="1"/>
  <c r="E647" i="1"/>
  <c r="F647" i="1"/>
  <c r="H647" i="1"/>
  <c r="D647" i="12" s="1"/>
  <c r="D648" i="1"/>
  <c r="E648" i="1"/>
  <c r="F648" i="1"/>
  <c r="H648" i="1"/>
  <c r="D648" i="12" s="1"/>
  <c r="D649" i="1"/>
  <c r="E649" i="1"/>
  <c r="F649" i="1"/>
  <c r="H649" i="1"/>
  <c r="D649" i="12" s="1"/>
  <c r="D650" i="1"/>
  <c r="E650" i="1"/>
  <c r="F650" i="1"/>
  <c r="H650" i="1"/>
  <c r="D650" i="12" s="1"/>
  <c r="D651" i="1"/>
  <c r="E651" i="1"/>
  <c r="F651" i="1"/>
  <c r="H651" i="1"/>
  <c r="D651" i="12" s="1"/>
  <c r="D652" i="1"/>
  <c r="E652" i="1"/>
  <c r="F652" i="1"/>
  <c r="H652" i="1"/>
  <c r="D652" i="12" s="1"/>
  <c r="D653" i="1"/>
  <c r="E653" i="1"/>
  <c r="F653" i="1"/>
  <c r="H653" i="1"/>
  <c r="D653" i="12" s="1"/>
  <c r="D654" i="1"/>
  <c r="E654" i="1"/>
  <c r="F654" i="1"/>
  <c r="H654" i="1"/>
  <c r="D654" i="12" s="1"/>
  <c r="D655" i="1"/>
  <c r="E655" i="1"/>
  <c r="F655" i="1"/>
  <c r="H655" i="1"/>
  <c r="D655" i="12" s="1"/>
  <c r="D656" i="1"/>
  <c r="E656" i="1"/>
  <c r="F656" i="1"/>
  <c r="H656" i="1"/>
  <c r="D656" i="12" s="1"/>
  <c r="D657" i="1"/>
  <c r="E657" i="1"/>
  <c r="F657" i="1"/>
  <c r="H657" i="1"/>
  <c r="D657" i="12" s="1"/>
  <c r="D658" i="1"/>
  <c r="E658" i="1"/>
  <c r="F658" i="1"/>
  <c r="H658" i="1"/>
  <c r="D658" i="12" s="1"/>
  <c r="D659" i="1"/>
  <c r="E659" i="1"/>
  <c r="F659" i="1"/>
  <c r="H659" i="1"/>
  <c r="D659" i="12" s="1"/>
  <c r="D660" i="1"/>
  <c r="E660" i="1"/>
  <c r="F660" i="1"/>
  <c r="H660" i="1"/>
  <c r="D660" i="12" s="1"/>
  <c r="D661" i="1"/>
  <c r="E661" i="1"/>
  <c r="F661" i="1"/>
  <c r="H661" i="1"/>
  <c r="D661" i="12" s="1"/>
  <c r="D662" i="1"/>
  <c r="E662" i="1"/>
  <c r="F662" i="1"/>
  <c r="H662" i="1"/>
  <c r="D662" i="12" s="1"/>
  <c r="D663" i="1"/>
  <c r="E663" i="1"/>
  <c r="F663" i="1"/>
  <c r="H663" i="1"/>
  <c r="D663" i="12" s="1"/>
  <c r="D664" i="1"/>
  <c r="E664" i="1"/>
  <c r="F664" i="1"/>
  <c r="H664" i="1"/>
  <c r="D664" i="12" s="1"/>
  <c r="D665" i="1"/>
  <c r="E665" i="1"/>
  <c r="F665" i="1"/>
  <c r="H665" i="1"/>
  <c r="D665" i="12" s="1"/>
  <c r="D666" i="1"/>
  <c r="E666" i="1"/>
  <c r="F666" i="1"/>
  <c r="H666" i="1"/>
  <c r="D666" i="12" s="1"/>
  <c r="D667" i="1"/>
  <c r="E667" i="1"/>
  <c r="F667" i="1"/>
  <c r="H667" i="1"/>
  <c r="D667" i="12" s="1"/>
  <c r="D668" i="1"/>
  <c r="E668" i="1"/>
  <c r="F668" i="1"/>
  <c r="H668" i="1"/>
  <c r="D668" i="12" s="1"/>
  <c r="D669" i="1"/>
  <c r="E669" i="1"/>
  <c r="F669" i="1"/>
  <c r="H669" i="1"/>
  <c r="D669" i="12" s="1"/>
  <c r="D670" i="1"/>
  <c r="E670" i="1"/>
  <c r="F670" i="1"/>
  <c r="H670" i="1"/>
  <c r="D670" i="12" s="1"/>
  <c r="D671" i="1"/>
  <c r="E671" i="1"/>
  <c r="F671" i="1"/>
  <c r="H671" i="1"/>
  <c r="D671" i="12" s="1"/>
  <c r="D672" i="1"/>
  <c r="E672" i="1"/>
  <c r="F672" i="1"/>
  <c r="H672" i="1"/>
  <c r="D672" i="12" s="1"/>
  <c r="D673" i="1"/>
  <c r="E673" i="1"/>
  <c r="F673" i="1"/>
  <c r="H673" i="1"/>
  <c r="D673" i="12" s="1"/>
  <c r="D674" i="1"/>
  <c r="E674" i="1"/>
  <c r="F674" i="1"/>
  <c r="H674" i="1"/>
  <c r="D674" i="12" s="1"/>
  <c r="D675" i="1"/>
  <c r="E675" i="1"/>
  <c r="F675" i="1"/>
  <c r="H675" i="1"/>
  <c r="D675" i="12" s="1"/>
  <c r="D676" i="1"/>
  <c r="E676" i="1"/>
  <c r="F676" i="1"/>
  <c r="H676" i="1"/>
  <c r="D676" i="12" s="1"/>
  <c r="D677" i="1"/>
  <c r="E677" i="1"/>
  <c r="F677" i="1"/>
  <c r="H677" i="1"/>
  <c r="D677" i="12" s="1"/>
  <c r="D678" i="1"/>
  <c r="E678" i="1"/>
  <c r="F678" i="1"/>
  <c r="H678" i="1"/>
  <c r="D678" i="12" s="1"/>
  <c r="D679" i="1"/>
  <c r="E679" i="1"/>
  <c r="F679" i="1"/>
  <c r="H679" i="1"/>
  <c r="D679" i="12" s="1"/>
  <c r="D680" i="1"/>
  <c r="E680" i="1"/>
  <c r="F680" i="1"/>
  <c r="H680" i="1"/>
  <c r="D680" i="12" s="1"/>
  <c r="D681" i="1"/>
  <c r="E681" i="1"/>
  <c r="F681" i="1"/>
  <c r="H681" i="1"/>
  <c r="D681" i="12" s="1"/>
  <c r="D682" i="1"/>
  <c r="E682" i="1"/>
  <c r="F682" i="1"/>
  <c r="H682" i="1"/>
  <c r="D682" i="12" s="1"/>
  <c r="D683" i="1"/>
  <c r="E683" i="1"/>
  <c r="F683" i="1"/>
  <c r="H683" i="1"/>
  <c r="D683" i="12" s="1"/>
  <c r="D684" i="1"/>
  <c r="E684" i="1"/>
  <c r="F684" i="1"/>
  <c r="H684" i="1"/>
  <c r="D684" i="12" s="1"/>
  <c r="D685" i="1"/>
  <c r="E685" i="1"/>
  <c r="F685" i="1"/>
  <c r="H685" i="1"/>
  <c r="D685" i="12" s="1"/>
  <c r="D686" i="1"/>
  <c r="E686" i="1"/>
  <c r="F686" i="1"/>
  <c r="H686" i="1"/>
  <c r="D686" i="12" s="1"/>
  <c r="D687" i="1"/>
  <c r="E687" i="1"/>
  <c r="F687" i="1"/>
  <c r="H687" i="1"/>
  <c r="D687" i="12" s="1"/>
  <c r="D688" i="1"/>
  <c r="E688" i="1"/>
  <c r="F688" i="1"/>
  <c r="H688" i="1"/>
  <c r="D688" i="12" s="1"/>
  <c r="D689" i="1"/>
  <c r="E689" i="1"/>
  <c r="F689" i="1"/>
  <c r="H689" i="1"/>
  <c r="D689" i="12" s="1"/>
  <c r="D690" i="1"/>
  <c r="E690" i="1"/>
  <c r="F690" i="1"/>
  <c r="H690" i="1"/>
  <c r="D690" i="12" s="1"/>
  <c r="D691" i="1"/>
  <c r="E691" i="1"/>
  <c r="F691" i="1"/>
  <c r="H691" i="1"/>
  <c r="D691" i="12" s="1"/>
  <c r="D692" i="1"/>
  <c r="E692" i="1"/>
  <c r="F692" i="1"/>
  <c r="H692" i="1"/>
  <c r="D692" i="12" s="1"/>
  <c r="D693" i="1"/>
  <c r="E693" i="1"/>
  <c r="F693" i="1"/>
  <c r="H693" i="1"/>
  <c r="D693" i="12" s="1"/>
  <c r="D694" i="1"/>
  <c r="E694" i="1"/>
  <c r="F694" i="1"/>
  <c r="H694" i="1"/>
  <c r="D694" i="12" s="1"/>
  <c r="D695" i="1"/>
  <c r="E695" i="1"/>
  <c r="F695" i="1"/>
  <c r="H695" i="1"/>
  <c r="D695" i="12" s="1"/>
  <c r="D696" i="1"/>
  <c r="E696" i="1"/>
  <c r="F696" i="1"/>
  <c r="H696" i="1"/>
  <c r="D696" i="12" s="1"/>
  <c r="D697" i="1"/>
  <c r="E697" i="1"/>
  <c r="F697" i="1"/>
  <c r="H697" i="1"/>
  <c r="D697" i="12" s="1"/>
  <c r="D698" i="1"/>
  <c r="E698" i="1"/>
  <c r="F698" i="1"/>
  <c r="H698" i="1"/>
  <c r="D698" i="12" s="1"/>
  <c r="D699" i="1"/>
  <c r="E699" i="1"/>
  <c r="F699" i="1"/>
  <c r="H699" i="1"/>
  <c r="D699" i="12" s="1"/>
  <c r="D700" i="1"/>
  <c r="E700" i="1"/>
  <c r="F700" i="1"/>
  <c r="H700" i="1"/>
  <c r="D700" i="12" s="1"/>
  <c r="D701" i="1"/>
  <c r="E701" i="1"/>
  <c r="F701" i="1"/>
  <c r="H701" i="1"/>
  <c r="D701" i="12" s="1"/>
  <c r="D702" i="1"/>
  <c r="E702" i="1"/>
  <c r="F702" i="1"/>
  <c r="H702" i="1"/>
  <c r="D702" i="12" s="1"/>
  <c r="D703" i="1"/>
  <c r="E703" i="1"/>
  <c r="F703" i="1"/>
  <c r="H703" i="1"/>
  <c r="D703" i="12" s="1"/>
  <c r="D704" i="1"/>
  <c r="E704" i="1"/>
  <c r="F704" i="1"/>
  <c r="H704" i="1"/>
  <c r="D704" i="12" s="1"/>
  <c r="D705" i="1"/>
  <c r="E705" i="1"/>
  <c r="F705" i="1"/>
  <c r="H705" i="1"/>
  <c r="D705" i="12" s="1"/>
  <c r="D706" i="1"/>
  <c r="E706" i="1"/>
  <c r="F706" i="1"/>
  <c r="H706" i="1"/>
  <c r="D706" i="12" s="1"/>
  <c r="D707" i="1"/>
  <c r="E707" i="1"/>
  <c r="F707" i="1"/>
  <c r="H707" i="1"/>
  <c r="D707" i="12" s="1"/>
  <c r="D708" i="1"/>
  <c r="E708" i="1"/>
  <c r="F708" i="1"/>
  <c r="H708" i="1"/>
  <c r="D708" i="12" s="1"/>
  <c r="D709" i="1"/>
  <c r="E709" i="1"/>
  <c r="F709" i="1"/>
  <c r="H709" i="1"/>
  <c r="D709" i="12" s="1"/>
  <c r="D710" i="1"/>
  <c r="E710" i="1"/>
  <c r="F710" i="1"/>
  <c r="H710" i="1"/>
  <c r="D710" i="12" s="1"/>
  <c r="D711" i="1"/>
  <c r="E711" i="1"/>
  <c r="F711" i="1"/>
  <c r="H711" i="1"/>
  <c r="D711" i="12" s="1"/>
  <c r="D712" i="1"/>
  <c r="E712" i="1"/>
  <c r="F712" i="1"/>
  <c r="H712" i="1"/>
  <c r="D712" i="12" s="1"/>
  <c r="D713" i="1"/>
  <c r="E713" i="1"/>
  <c r="F713" i="1"/>
  <c r="H713" i="1"/>
  <c r="D713" i="12" s="1"/>
  <c r="D714" i="1"/>
  <c r="E714" i="1"/>
  <c r="F714" i="1"/>
  <c r="H714" i="1"/>
  <c r="D714" i="12" s="1"/>
  <c r="D715" i="1"/>
  <c r="E715" i="1"/>
  <c r="F715" i="1"/>
  <c r="H715" i="1"/>
  <c r="D715" i="12" s="1"/>
  <c r="D716" i="1"/>
  <c r="E716" i="1"/>
  <c r="F716" i="1"/>
  <c r="H716" i="1"/>
  <c r="D716" i="12" s="1"/>
  <c r="D717" i="1"/>
  <c r="E717" i="1"/>
  <c r="F717" i="1"/>
  <c r="H717" i="1"/>
  <c r="D717" i="12" s="1"/>
  <c r="D718" i="1"/>
  <c r="E718" i="1"/>
  <c r="F718" i="1"/>
  <c r="H718" i="1"/>
  <c r="D718" i="12" s="1"/>
  <c r="D719" i="1"/>
  <c r="E719" i="1"/>
  <c r="F719" i="1"/>
  <c r="H719" i="1"/>
  <c r="D719" i="12" s="1"/>
  <c r="D720" i="1"/>
  <c r="E720" i="1"/>
  <c r="F720" i="1"/>
  <c r="H720" i="1"/>
  <c r="D720" i="12" s="1"/>
  <c r="D721" i="1"/>
  <c r="E721" i="1"/>
  <c r="F721" i="1"/>
  <c r="H721" i="1"/>
  <c r="D721" i="12" s="1"/>
  <c r="D722" i="1"/>
  <c r="E722" i="1"/>
  <c r="F722" i="1"/>
  <c r="H722" i="1"/>
  <c r="D722" i="12" s="1"/>
  <c r="D723" i="1"/>
  <c r="E723" i="1"/>
  <c r="F723" i="1"/>
  <c r="H723" i="1"/>
  <c r="D723" i="12" s="1"/>
  <c r="D724" i="1"/>
  <c r="E724" i="1"/>
  <c r="F724" i="1"/>
  <c r="H724" i="1"/>
  <c r="D724" i="12" s="1"/>
  <c r="D725" i="1"/>
  <c r="E725" i="1"/>
  <c r="F725" i="1"/>
  <c r="H725" i="1"/>
  <c r="D725" i="12" s="1"/>
  <c r="D726" i="1"/>
  <c r="E726" i="1"/>
  <c r="F726" i="1"/>
  <c r="H726" i="1"/>
  <c r="D726" i="12" s="1"/>
  <c r="D727" i="1"/>
  <c r="E727" i="1"/>
  <c r="F727" i="1"/>
  <c r="H727" i="1"/>
  <c r="D727" i="12" s="1"/>
  <c r="D728" i="1"/>
  <c r="E728" i="1"/>
  <c r="F728" i="1"/>
  <c r="H728" i="1"/>
  <c r="D728" i="12" s="1"/>
  <c r="D729" i="1"/>
  <c r="E729" i="1"/>
  <c r="F729" i="1"/>
  <c r="H729" i="1"/>
  <c r="D729" i="12" s="1"/>
  <c r="D730" i="1"/>
  <c r="E730" i="1"/>
  <c r="F730" i="1"/>
  <c r="H730" i="1"/>
  <c r="D730" i="12" s="1"/>
  <c r="D731" i="1"/>
  <c r="E731" i="1"/>
  <c r="F731" i="1"/>
  <c r="H731" i="1"/>
  <c r="D731" i="12" s="1"/>
  <c r="D732" i="1"/>
  <c r="E732" i="1"/>
  <c r="F732" i="1"/>
  <c r="H732" i="1"/>
  <c r="D732" i="12" s="1"/>
  <c r="D733" i="1"/>
  <c r="E733" i="1"/>
  <c r="F733" i="1"/>
  <c r="H733" i="1"/>
  <c r="D733" i="12" s="1"/>
  <c r="D734" i="1"/>
  <c r="E734" i="1"/>
  <c r="F734" i="1"/>
  <c r="H734" i="1"/>
  <c r="D734" i="12" s="1"/>
  <c r="D735" i="1"/>
  <c r="E735" i="1"/>
  <c r="F735" i="1"/>
  <c r="H735" i="1"/>
  <c r="D735" i="12" s="1"/>
  <c r="E371" i="1"/>
  <c r="F371" i="1"/>
  <c r="K6" i="8" s="1"/>
  <c r="H371" i="1"/>
  <c r="D371" i="1"/>
  <c r="W7" i="4"/>
  <c r="S7" i="4" s="1"/>
  <c r="T7" i="4" s="1"/>
  <c r="R7" i="4"/>
  <c r="T17" i="8" l="1"/>
  <c r="T19" i="8" s="1"/>
  <c r="T29" i="8" s="1"/>
  <c r="D371" i="12"/>
  <c r="G532" i="12" s="1"/>
  <c r="E39" i="6"/>
  <c r="E38" i="6"/>
  <c r="F32" i="8"/>
  <c r="E32" i="8"/>
  <c r="E34" i="8" s="1"/>
  <c r="E35" i="8" s="1"/>
  <c r="L6" i="8"/>
  <c r="M6" i="8"/>
  <c r="G727" i="12"/>
  <c r="G375" i="12"/>
  <c r="G697" i="12"/>
  <c r="G633" i="12"/>
  <c r="G463" i="12"/>
  <c r="G542" i="12"/>
  <c r="G228" i="12"/>
  <c r="G700" i="12"/>
  <c r="G668" i="12"/>
  <c r="G636" i="12"/>
  <c r="G569" i="12"/>
  <c r="G446" i="12"/>
  <c r="G344" i="12"/>
  <c r="G324" i="12"/>
  <c r="G501" i="12"/>
  <c r="G549" i="12"/>
  <c r="G485" i="12"/>
  <c r="G458" i="12"/>
  <c r="G403" i="12"/>
  <c r="G399" i="12"/>
  <c r="G513" i="12"/>
  <c r="G382" i="12"/>
  <c r="G336" i="12"/>
  <c r="G299" i="12"/>
  <c r="G429" i="12"/>
  <c r="G413" i="12"/>
  <c r="G313" i="12"/>
  <c r="G300" i="12"/>
  <c r="G270" i="12"/>
  <c r="G265" i="12"/>
  <c r="G288" i="12"/>
  <c r="G272" i="12"/>
  <c r="G230" i="12"/>
  <c r="G266" i="12"/>
  <c r="G250" i="12"/>
  <c r="G224" i="12"/>
  <c r="G218" i="12"/>
  <c r="G264" i="12"/>
  <c r="G261" i="12"/>
  <c r="G234" i="12"/>
  <c r="G226" i="12"/>
  <c r="G207" i="12"/>
  <c r="G206" i="12"/>
  <c r="G203" i="12"/>
  <c r="G200" i="12"/>
  <c r="G192" i="12"/>
  <c r="G215" i="12"/>
  <c r="G197" i="12"/>
  <c r="G193" i="12"/>
  <c r="G173" i="12"/>
  <c r="G166" i="12"/>
  <c r="G188" i="12"/>
  <c r="G183" i="12"/>
  <c r="G167" i="12"/>
  <c r="G160" i="12"/>
  <c r="G191" i="12"/>
  <c r="G187" i="12"/>
  <c r="G169" i="12"/>
  <c r="G186" i="12"/>
  <c r="G172" i="12"/>
  <c r="G171" i="12"/>
  <c r="G158" i="12"/>
  <c r="G156" i="12"/>
  <c r="G155" i="12"/>
  <c r="G146" i="12"/>
  <c r="G141" i="12"/>
  <c r="G140" i="12"/>
  <c r="G129" i="12"/>
  <c r="G126" i="12"/>
  <c r="G153" i="12"/>
  <c r="G133" i="12"/>
  <c r="G147" i="12"/>
  <c r="G130" i="12"/>
  <c r="G117" i="12"/>
  <c r="G113" i="12"/>
  <c r="G100" i="12"/>
  <c r="G99" i="12"/>
  <c r="G72" i="12"/>
  <c r="G69" i="12"/>
  <c r="G120" i="12"/>
  <c r="G116" i="12"/>
  <c r="G86" i="12"/>
  <c r="G135" i="12"/>
  <c r="G119" i="12"/>
  <c r="G115" i="12"/>
  <c r="G98" i="12"/>
  <c r="G96" i="12"/>
  <c r="G110" i="12"/>
  <c r="G102" i="12"/>
  <c r="G76" i="12"/>
  <c r="G95" i="12"/>
  <c r="G79" i="12"/>
  <c r="G75" i="12"/>
  <c r="G78" i="12"/>
  <c r="G70" i="12"/>
  <c r="G85" i="12"/>
  <c r="R372" i="4"/>
  <c r="S372" i="4"/>
  <c r="T372" i="4" s="1"/>
  <c r="R373" i="4"/>
  <c r="S373" i="4"/>
  <c r="T373" i="4" s="1"/>
  <c r="R374" i="4"/>
  <c r="S374" i="4"/>
  <c r="T374" i="4" s="1"/>
  <c r="R375" i="4"/>
  <c r="S375" i="4"/>
  <c r="T375" i="4" s="1"/>
  <c r="R376" i="4"/>
  <c r="S376" i="4"/>
  <c r="T376" i="4" s="1"/>
  <c r="R377" i="4"/>
  <c r="S377" i="4"/>
  <c r="T377" i="4" s="1"/>
  <c r="R378" i="4"/>
  <c r="S378" i="4"/>
  <c r="T378" i="4" s="1"/>
  <c r="R379" i="4"/>
  <c r="S379" i="4"/>
  <c r="T379" i="4" s="1"/>
  <c r="R380" i="4"/>
  <c r="S380" i="4"/>
  <c r="T380" i="4" s="1"/>
  <c r="R381" i="4"/>
  <c r="S381" i="4"/>
  <c r="T381" i="4" s="1"/>
  <c r="R382" i="4"/>
  <c r="S382" i="4"/>
  <c r="T382" i="4" s="1"/>
  <c r="R383" i="4"/>
  <c r="S383" i="4"/>
  <c r="T383" i="4" s="1"/>
  <c r="R384" i="4"/>
  <c r="S384" i="4"/>
  <c r="T384" i="4" s="1"/>
  <c r="R385" i="4"/>
  <c r="S385" i="4"/>
  <c r="T385" i="4" s="1"/>
  <c r="R386" i="4"/>
  <c r="S386" i="4"/>
  <c r="T386" i="4" s="1"/>
  <c r="R387" i="4"/>
  <c r="S387" i="4"/>
  <c r="T387" i="4" s="1"/>
  <c r="R388" i="4"/>
  <c r="S388" i="4"/>
  <c r="T388" i="4" s="1"/>
  <c r="R389" i="4"/>
  <c r="S389" i="4"/>
  <c r="T389" i="4" s="1"/>
  <c r="R390" i="4"/>
  <c r="S390" i="4"/>
  <c r="T390" i="4" s="1"/>
  <c r="R391" i="4"/>
  <c r="S391" i="4"/>
  <c r="T391" i="4" s="1"/>
  <c r="R392" i="4"/>
  <c r="S392" i="4"/>
  <c r="T392" i="4" s="1"/>
  <c r="R393" i="4"/>
  <c r="S393" i="4"/>
  <c r="T393" i="4" s="1"/>
  <c r="R394" i="4"/>
  <c r="S394" i="4"/>
  <c r="T394" i="4" s="1"/>
  <c r="R395" i="4"/>
  <c r="S395" i="4"/>
  <c r="T395" i="4" s="1"/>
  <c r="R396" i="4"/>
  <c r="S396" i="4"/>
  <c r="T396" i="4" s="1"/>
  <c r="R397" i="4"/>
  <c r="S397" i="4"/>
  <c r="T397" i="4" s="1"/>
  <c r="R398" i="4"/>
  <c r="S398" i="4"/>
  <c r="T398" i="4" s="1"/>
  <c r="R399" i="4"/>
  <c r="S399" i="4"/>
  <c r="T399" i="4" s="1"/>
  <c r="R400" i="4"/>
  <c r="S400" i="4"/>
  <c r="T400" i="4" s="1"/>
  <c r="R401" i="4"/>
  <c r="S401" i="4"/>
  <c r="T401" i="4" s="1"/>
  <c r="R402" i="4"/>
  <c r="S402" i="4"/>
  <c r="T402" i="4" s="1"/>
  <c r="R403" i="4"/>
  <c r="S403" i="4"/>
  <c r="T403" i="4" s="1"/>
  <c r="R404" i="4"/>
  <c r="S404" i="4"/>
  <c r="T404" i="4" s="1"/>
  <c r="R405" i="4"/>
  <c r="S405" i="4"/>
  <c r="T405" i="4" s="1"/>
  <c r="R406" i="4"/>
  <c r="S406" i="4"/>
  <c r="T406" i="4" s="1"/>
  <c r="R407" i="4"/>
  <c r="S407" i="4"/>
  <c r="T407" i="4" s="1"/>
  <c r="R408" i="4"/>
  <c r="S408" i="4"/>
  <c r="T408" i="4" s="1"/>
  <c r="R409" i="4"/>
  <c r="S409" i="4"/>
  <c r="T409" i="4" s="1"/>
  <c r="R410" i="4"/>
  <c r="S410" i="4"/>
  <c r="T410" i="4" s="1"/>
  <c r="R411" i="4"/>
  <c r="S411" i="4"/>
  <c r="T411" i="4" s="1"/>
  <c r="R412" i="4"/>
  <c r="S412" i="4"/>
  <c r="T412" i="4" s="1"/>
  <c r="R413" i="4"/>
  <c r="S413" i="4"/>
  <c r="T413" i="4" s="1"/>
  <c r="R414" i="4"/>
  <c r="S414" i="4"/>
  <c r="T414" i="4" s="1"/>
  <c r="R415" i="4"/>
  <c r="S415" i="4"/>
  <c r="T415" i="4" s="1"/>
  <c r="R416" i="4"/>
  <c r="S416" i="4"/>
  <c r="T416" i="4" s="1"/>
  <c r="R417" i="4"/>
  <c r="S417" i="4"/>
  <c r="T417" i="4" s="1"/>
  <c r="R418" i="4"/>
  <c r="S418" i="4"/>
  <c r="T418" i="4" s="1"/>
  <c r="R419" i="4"/>
  <c r="S419" i="4"/>
  <c r="T419" i="4" s="1"/>
  <c r="R420" i="4"/>
  <c r="S420" i="4"/>
  <c r="T420" i="4" s="1"/>
  <c r="R421" i="4"/>
  <c r="S421" i="4"/>
  <c r="T421" i="4" s="1"/>
  <c r="R422" i="4"/>
  <c r="S422" i="4"/>
  <c r="T422" i="4" s="1"/>
  <c r="R423" i="4"/>
  <c r="S423" i="4"/>
  <c r="T423" i="4" s="1"/>
  <c r="R424" i="4"/>
  <c r="S424" i="4"/>
  <c r="T424" i="4" s="1"/>
  <c r="R425" i="4"/>
  <c r="S425" i="4"/>
  <c r="T425" i="4" s="1"/>
  <c r="R426" i="4"/>
  <c r="S426" i="4"/>
  <c r="T426" i="4" s="1"/>
  <c r="R427" i="4"/>
  <c r="S427" i="4"/>
  <c r="T427" i="4" s="1"/>
  <c r="R428" i="4"/>
  <c r="S428" i="4"/>
  <c r="T428" i="4" s="1"/>
  <c r="R429" i="4"/>
  <c r="S429" i="4"/>
  <c r="T429" i="4" s="1"/>
  <c r="R430" i="4"/>
  <c r="S430" i="4"/>
  <c r="T430" i="4" s="1"/>
  <c r="R431" i="4"/>
  <c r="S431" i="4"/>
  <c r="T431" i="4" s="1"/>
  <c r="R432" i="4"/>
  <c r="S432" i="4"/>
  <c r="T432" i="4" s="1"/>
  <c r="R433" i="4"/>
  <c r="S433" i="4"/>
  <c r="T433" i="4" s="1"/>
  <c r="R434" i="4"/>
  <c r="S434" i="4"/>
  <c r="T434" i="4" s="1"/>
  <c r="R435" i="4"/>
  <c r="S435" i="4"/>
  <c r="T435" i="4" s="1"/>
  <c r="R436" i="4"/>
  <c r="S436" i="4"/>
  <c r="T436" i="4" s="1"/>
  <c r="R437" i="4"/>
  <c r="S437" i="4"/>
  <c r="T437" i="4" s="1"/>
  <c r="R438" i="4"/>
  <c r="S438" i="4"/>
  <c r="T438" i="4" s="1"/>
  <c r="R439" i="4"/>
  <c r="S439" i="4"/>
  <c r="T439" i="4" s="1"/>
  <c r="R440" i="4"/>
  <c r="S440" i="4"/>
  <c r="T440" i="4" s="1"/>
  <c r="R441" i="4"/>
  <c r="S441" i="4"/>
  <c r="T441" i="4" s="1"/>
  <c r="R442" i="4"/>
  <c r="S442" i="4"/>
  <c r="T442" i="4" s="1"/>
  <c r="R443" i="4"/>
  <c r="S443" i="4"/>
  <c r="T443" i="4" s="1"/>
  <c r="R444" i="4"/>
  <c r="S444" i="4"/>
  <c r="T444" i="4" s="1"/>
  <c r="R445" i="4"/>
  <c r="S445" i="4"/>
  <c r="T445" i="4" s="1"/>
  <c r="R446" i="4"/>
  <c r="S446" i="4"/>
  <c r="T446" i="4" s="1"/>
  <c r="R447" i="4"/>
  <c r="S447" i="4"/>
  <c r="T447" i="4" s="1"/>
  <c r="R448" i="4"/>
  <c r="S448" i="4"/>
  <c r="T448" i="4" s="1"/>
  <c r="R449" i="4"/>
  <c r="S449" i="4"/>
  <c r="T449" i="4" s="1"/>
  <c r="R450" i="4"/>
  <c r="S450" i="4"/>
  <c r="T450" i="4" s="1"/>
  <c r="R451" i="4"/>
  <c r="S451" i="4"/>
  <c r="T451" i="4" s="1"/>
  <c r="R452" i="4"/>
  <c r="S452" i="4"/>
  <c r="T452" i="4" s="1"/>
  <c r="R453" i="4"/>
  <c r="S453" i="4"/>
  <c r="T453" i="4" s="1"/>
  <c r="R454" i="4"/>
  <c r="S454" i="4"/>
  <c r="T454" i="4" s="1"/>
  <c r="R455" i="4"/>
  <c r="S455" i="4"/>
  <c r="T455" i="4" s="1"/>
  <c r="R456" i="4"/>
  <c r="S456" i="4"/>
  <c r="T456" i="4" s="1"/>
  <c r="R457" i="4"/>
  <c r="S457" i="4"/>
  <c r="T457" i="4" s="1"/>
  <c r="R458" i="4"/>
  <c r="S458" i="4"/>
  <c r="T458" i="4" s="1"/>
  <c r="R459" i="4"/>
  <c r="S459" i="4"/>
  <c r="T459" i="4" s="1"/>
  <c r="R460" i="4"/>
  <c r="S460" i="4"/>
  <c r="T460" i="4" s="1"/>
  <c r="R461" i="4"/>
  <c r="S461" i="4"/>
  <c r="T461" i="4" s="1"/>
  <c r="R462" i="4"/>
  <c r="S462" i="4"/>
  <c r="T462" i="4" s="1"/>
  <c r="R463" i="4"/>
  <c r="S463" i="4"/>
  <c r="T463" i="4" s="1"/>
  <c r="R464" i="4"/>
  <c r="S464" i="4"/>
  <c r="T464" i="4" s="1"/>
  <c r="R465" i="4"/>
  <c r="S465" i="4"/>
  <c r="T465" i="4" s="1"/>
  <c r="R466" i="4"/>
  <c r="S466" i="4"/>
  <c r="T466" i="4" s="1"/>
  <c r="R467" i="4"/>
  <c r="S467" i="4"/>
  <c r="T467" i="4" s="1"/>
  <c r="R468" i="4"/>
  <c r="S468" i="4"/>
  <c r="T468" i="4" s="1"/>
  <c r="R469" i="4"/>
  <c r="S469" i="4"/>
  <c r="T469" i="4" s="1"/>
  <c r="R470" i="4"/>
  <c r="S470" i="4"/>
  <c r="T470" i="4" s="1"/>
  <c r="R471" i="4"/>
  <c r="S471" i="4"/>
  <c r="T471" i="4" s="1"/>
  <c r="R472" i="4"/>
  <c r="S472" i="4"/>
  <c r="T472" i="4" s="1"/>
  <c r="R473" i="4"/>
  <c r="S473" i="4"/>
  <c r="T473" i="4" s="1"/>
  <c r="R474" i="4"/>
  <c r="S474" i="4"/>
  <c r="T474" i="4" s="1"/>
  <c r="R475" i="4"/>
  <c r="S475" i="4"/>
  <c r="T475" i="4" s="1"/>
  <c r="R476" i="4"/>
  <c r="S476" i="4"/>
  <c r="T476" i="4" s="1"/>
  <c r="R477" i="4"/>
  <c r="S477" i="4"/>
  <c r="T477" i="4" s="1"/>
  <c r="R478" i="4"/>
  <c r="S478" i="4"/>
  <c r="T478" i="4" s="1"/>
  <c r="R479" i="4"/>
  <c r="S479" i="4"/>
  <c r="T479" i="4" s="1"/>
  <c r="R480" i="4"/>
  <c r="S480" i="4"/>
  <c r="T480" i="4" s="1"/>
  <c r="R481" i="4"/>
  <c r="S481" i="4"/>
  <c r="T481" i="4" s="1"/>
  <c r="R482" i="4"/>
  <c r="S482" i="4"/>
  <c r="T482" i="4" s="1"/>
  <c r="R483" i="4"/>
  <c r="S483" i="4"/>
  <c r="T483" i="4" s="1"/>
  <c r="R484" i="4"/>
  <c r="S484" i="4"/>
  <c r="T484" i="4" s="1"/>
  <c r="R485" i="4"/>
  <c r="S485" i="4"/>
  <c r="T485" i="4" s="1"/>
  <c r="R486" i="4"/>
  <c r="S486" i="4"/>
  <c r="T486" i="4" s="1"/>
  <c r="R487" i="4"/>
  <c r="S487" i="4"/>
  <c r="T487" i="4" s="1"/>
  <c r="R488" i="4"/>
  <c r="S488" i="4"/>
  <c r="T488" i="4" s="1"/>
  <c r="R489" i="4"/>
  <c r="S489" i="4"/>
  <c r="T489" i="4" s="1"/>
  <c r="R490" i="4"/>
  <c r="S490" i="4"/>
  <c r="T490" i="4" s="1"/>
  <c r="R491" i="4"/>
  <c r="S491" i="4"/>
  <c r="T491" i="4" s="1"/>
  <c r="R492" i="4"/>
  <c r="S492" i="4"/>
  <c r="T492" i="4" s="1"/>
  <c r="R493" i="4"/>
  <c r="S493" i="4"/>
  <c r="T493" i="4" s="1"/>
  <c r="R494" i="4"/>
  <c r="S494" i="4"/>
  <c r="T494" i="4" s="1"/>
  <c r="R495" i="4"/>
  <c r="S495" i="4"/>
  <c r="T495" i="4" s="1"/>
  <c r="R496" i="4"/>
  <c r="S496" i="4"/>
  <c r="T496" i="4" s="1"/>
  <c r="R497" i="4"/>
  <c r="S497" i="4"/>
  <c r="T497" i="4" s="1"/>
  <c r="R498" i="4"/>
  <c r="S498" i="4"/>
  <c r="T498" i="4" s="1"/>
  <c r="R499" i="4"/>
  <c r="S499" i="4"/>
  <c r="T499" i="4" s="1"/>
  <c r="R500" i="4"/>
  <c r="S500" i="4"/>
  <c r="T500" i="4" s="1"/>
  <c r="R501" i="4"/>
  <c r="S501" i="4"/>
  <c r="T501" i="4" s="1"/>
  <c r="R502" i="4"/>
  <c r="S502" i="4"/>
  <c r="T502" i="4" s="1"/>
  <c r="R503" i="4"/>
  <c r="S503" i="4"/>
  <c r="T503" i="4" s="1"/>
  <c r="R504" i="4"/>
  <c r="S504" i="4"/>
  <c r="T504" i="4" s="1"/>
  <c r="R505" i="4"/>
  <c r="S505" i="4"/>
  <c r="T505" i="4" s="1"/>
  <c r="R506" i="4"/>
  <c r="S506" i="4"/>
  <c r="T506" i="4" s="1"/>
  <c r="R507" i="4"/>
  <c r="S507" i="4"/>
  <c r="T507" i="4" s="1"/>
  <c r="R508" i="4"/>
  <c r="S508" i="4"/>
  <c r="T508" i="4" s="1"/>
  <c r="R509" i="4"/>
  <c r="S509" i="4"/>
  <c r="T509" i="4" s="1"/>
  <c r="R510" i="4"/>
  <c r="S510" i="4"/>
  <c r="T510" i="4" s="1"/>
  <c r="R511" i="4"/>
  <c r="S511" i="4"/>
  <c r="T511" i="4" s="1"/>
  <c r="R512" i="4"/>
  <c r="S512" i="4"/>
  <c r="T512" i="4" s="1"/>
  <c r="R513" i="4"/>
  <c r="S513" i="4"/>
  <c r="T513" i="4" s="1"/>
  <c r="R514" i="4"/>
  <c r="S514" i="4"/>
  <c r="T514" i="4" s="1"/>
  <c r="R515" i="4"/>
  <c r="S515" i="4"/>
  <c r="T515" i="4" s="1"/>
  <c r="R516" i="4"/>
  <c r="S516" i="4"/>
  <c r="T516" i="4" s="1"/>
  <c r="R517" i="4"/>
  <c r="S517" i="4"/>
  <c r="T517" i="4" s="1"/>
  <c r="R518" i="4"/>
  <c r="S518" i="4"/>
  <c r="T518" i="4" s="1"/>
  <c r="R519" i="4"/>
  <c r="S519" i="4"/>
  <c r="T519" i="4" s="1"/>
  <c r="R520" i="4"/>
  <c r="S520" i="4"/>
  <c r="T520" i="4" s="1"/>
  <c r="R521" i="4"/>
  <c r="S521" i="4"/>
  <c r="T521" i="4" s="1"/>
  <c r="R522" i="4"/>
  <c r="S522" i="4"/>
  <c r="T522" i="4" s="1"/>
  <c r="R523" i="4"/>
  <c r="S523" i="4"/>
  <c r="T523" i="4" s="1"/>
  <c r="R524" i="4"/>
  <c r="S524" i="4"/>
  <c r="T524" i="4" s="1"/>
  <c r="R525" i="4"/>
  <c r="S525" i="4"/>
  <c r="T525" i="4" s="1"/>
  <c r="R526" i="4"/>
  <c r="S526" i="4"/>
  <c r="T526" i="4" s="1"/>
  <c r="R527" i="4"/>
  <c r="S527" i="4"/>
  <c r="T527" i="4" s="1"/>
  <c r="R528" i="4"/>
  <c r="S528" i="4"/>
  <c r="T528" i="4" s="1"/>
  <c r="R529" i="4"/>
  <c r="S529" i="4"/>
  <c r="T529" i="4" s="1"/>
  <c r="R530" i="4"/>
  <c r="S530" i="4"/>
  <c r="T530" i="4" s="1"/>
  <c r="R531" i="4"/>
  <c r="S531" i="4"/>
  <c r="T531" i="4" s="1"/>
  <c r="R532" i="4"/>
  <c r="S532" i="4"/>
  <c r="T532" i="4" s="1"/>
  <c r="R533" i="4"/>
  <c r="S533" i="4"/>
  <c r="T533" i="4" s="1"/>
  <c r="R534" i="4"/>
  <c r="S534" i="4"/>
  <c r="T534" i="4" s="1"/>
  <c r="R535" i="4"/>
  <c r="S535" i="4"/>
  <c r="T535" i="4" s="1"/>
  <c r="R536" i="4"/>
  <c r="S536" i="4"/>
  <c r="T536" i="4" s="1"/>
  <c r="R537" i="4"/>
  <c r="S537" i="4"/>
  <c r="T537" i="4" s="1"/>
  <c r="R538" i="4"/>
  <c r="S538" i="4"/>
  <c r="T538" i="4" s="1"/>
  <c r="R539" i="4"/>
  <c r="S539" i="4"/>
  <c r="T539" i="4" s="1"/>
  <c r="R540" i="4"/>
  <c r="S540" i="4"/>
  <c r="T540" i="4" s="1"/>
  <c r="R541" i="4"/>
  <c r="S541" i="4"/>
  <c r="T541" i="4" s="1"/>
  <c r="R542" i="4"/>
  <c r="S542" i="4"/>
  <c r="T542" i="4" s="1"/>
  <c r="R543" i="4"/>
  <c r="S543" i="4"/>
  <c r="T543" i="4" s="1"/>
  <c r="R544" i="4"/>
  <c r="S544" i="4"/>
  <c r="T544" i="4" s="1"/>
  <c r="R545" i="4"/>
  <c r="S545" i="4"/>
  <c r="T545" i="4" s="1"/>
  <c r="R546" i="4"/>
  <c r="S546" i="4"/>
  <c r="T546" i="4" s="1"/>
  <c r="R547" i="4"/>
  <c r="S547" i="4"/>
  <c r="T547" i="4" s="1"/>
  <c r="R548" i="4"/>
  <c r="S548" i="4"/>
  <c r="T548" i="4" s="1"/>
  <c r="R549" i="4"/>
  <c r="S549" i="4"/>
  <c r="T549" i="4" s="1"/>
  <c r="R550" i="4"/>
  <c r="S550" i="4"/>
  <c r="T550" i="4" s="1"/>
  <c r="R551" i="4"/>
  <c r="S551" i="4"/>
  <c r="T551" i="4" s="1"/>
  <c r="R552" i="4"/>
  <c r="S552" i="4"/>
  <c r="T552" i="4" s="1"/>
  <c r="R553" i="4"/>
  <c r="S553" i="4"/>
  <c r="T553" i="4" s="1"/>
  <c r="R554" i="4"/>
  <c r="S554" i="4"/>
  <c r="T554" i="4" s="1"/>
  <c r="R555" i="4"/>
  <c r="S555" i="4"/>
  <c r="T555" i="4" s="1"/>
  <c r="R556" i="4"/>
  <c r="S556" i="4"/>
  <c r="T556" i="4" s="1"/>
  <c r="R557" i="4"/>
  <c r="S557" i="4"/>
  <c r="T557" i="4" s="1"/>
  <c r="R558" i="4"/>
  <c r="S558" i="4"/>
  <c r="T558" i="4" s="1"/>
  <c r="R559" i="4"/>
  <c r="S559" i="4"/>
  <c r="T559" i="4" s="1"/>
  <c r="R560" i="4"/>
  <c r="S560" i="4"/>
  <c r="T560" i="4" s="1"/>
  <c r="R561" i="4"/>
  <c r="S561" i="4"/>
  <c r="T561" i="4" s="1"/>
  <c r="R562" i="4"/>
  <c r="S562" i="4"/>
  <c r="T562" i="4" s="1"/>
  <c r="R563" i="4"/>
  <c r="S563" i="4"/>
  <c r="T563" i="4" s="1"/>
  <c r="R564" i="4"/>
  <c r="S564" i="4"/>
  <c r="T564" i="4" s="1"/>
  <c r="R565" i="4"/>
  <c r="S565" i="4"/>
  <c r="T565" i="4" s="1"/>
  <c r="R566" i="4"/>
  <c r="S566" i="4"/>
  <c r="T566" i="4" s="1"/>
  <c r="R567" i="4"/>
  <c r="S567" i="4"/>
  <c r="T567" i="4" s="1"/>
  <c r="R568" i="4"/>
  <c r="S568" i="4"/>
  <c r="T568" i="4" s="1"/>
  <c r="R569" i="4"/>
  <c r="S569" i="4"/>
  <c r="T569" i="4" s="1"/>
  <c r="R570" i="4"/>
  <c r="S570" i="4"/>
  <c r="T570" i="4" s="1"/>
  <c r="R571" i="4"/>
  <c r="S571" i="4"/>
  <c r="T571" i="4" s="1"/>
  <c r="R572" i="4"/>
  <c r="S572" i="4"/>
  <c r="T572" i="4" s="1"/>
  <c r="R573" i="4"/>
  <c r="S573" i="4"/>
  <c r="T573" i="4" s="1"/>
  <c r="R574" i="4"/>
  <c r="S574" i="4"/>
  <c r="T574" i="4" s="1"/>
  <c r="R575" i="4"/>
  <c r="S575" i="4"/>
  <c r="T575" i="4" s="1"/>
  <c r="R576" i="4"/>
  <c r="S576" i="4"/>
  <c r="T576" i="4" s="1"/>
  <c r="R577" i="4"/>
  <c r="S577" i="4"/>
  <c r="T577" i="4" s="1"/>
  <c r="R578" i="4"/>
  <c r="S578" i="4"/>
  <c r="T578" i="4" s="1"/>
  <c r="R579" i="4"/>
  <c r="S579" i="4"/>
  <c r="T579" i="4" s="1"/>
  <c r="R580" i="4"/>
  <c r="S580" i="4"/>
  <c r="T580" i="4" s="1"/>
  <c r="R581" i="4"/>
  <c r="S581" i="4"/>
  <c r="T581" i="4" s="1"/>
  <c r="R582" i="4"/>
  <c r="S582" i="4"/>
  <c r="T582" i="4" s="1"/>
  <c r="R583" i="4"/>
  <c r="S583" i="4"/>
  <c r="T583" i="4" s="1"/>
  <c r="R584" i="4"/>
  <c r="S584" i="4"/>
  <c r="T584" i="4" s="1"/>
  <c r="R585" i="4"/>
  <c r="S585" i="4"/>
  <c r="T585" i="4" s="1"/>
  <c r="R586" i="4"/>
  <c r="S586" i="4"/>
  <c r="T586" i="4" s="1"/>
  <c r="R587" i="4"/>
  <c r="S587" i="4"/>
  <c r="T587" i="4" s="1"/>
  <c r="R588" i="4"/>
  <c r="S588" i="4"/>
  <c r="T588" i="4" s="1"/>
  <c r="R589" i="4"/>
  <c r="S589" i="4"/>
  <c r="T589" i="4" s="1"/>
  <c r="R590" i="4"/>
  <c r="S590" i="4"/>
  <c r="T590" i="4" s="1"/>
  <c r="R591" i="4"/>
  <c r="S591" i="4"/>
  <c r="T591" i="4" s="1"/>
  <c r="R592" i="4"/>
  <c r="S592" i="4"/>
  <c r="T592" i="4" s="1"/>
  <c r="R593" i="4"/>
  <c r="S593" i="4"/>
  <c r="T593" i="4" s="1"/>
  <c r="R594" i="4"/>
  <c r="S594" i="4"/>
  <c r="T594" i="4" s="1"/>
  <c r="R595" i="4"/>
  <c r="S595" i="4"/>
  <c r="T595" i="4" s="1"/>
  <c r="R596" i="4"/>
  <c r="S596" i="4"/>
  <c r="T596" i="4" s="1"/>
  <c r="R597" i="4"/>
  <c r="S597" i="4"/>
  <c r="T597" i="4" s="1"/>
  <c r="R598" i="4"/>
  <c r="S598" i="4"/>
  <c r="T598" i="4" s="1"/>
  <c r="R599" i="4"/>
  <c r="S599" i="4"/>
  <c r="T599" i="4" s="1"/>
  <c r="R600" i="4"/>
  <c r="S600" i="4"/>
  <c r="T600" i="4" s="1"/>
  <c r="R601" i="4"/>
  <c r="S601" i="4"/>
  <c r="T601" i="4" s="1"/>
  <c r="R602" i="4"/>
  <c r="S602" i="4"/>
  <c r="T602" i="4" s="1"/>
  <c r="R603" i="4"/>
  <c r="S603" i="4"/>
  <c r="T603" i="4" s="1"/>
  <c r="R604" i="4"/>
  <c r="S604" i="4"/>
  <c r="T604" i="4" s="1"/>
  <c r="R605" i="4"/>
  <c r="S605" i="4"/>
  <c r="T605" i="4" s="1"/>
  <c r="R606" i="4"/>
  <c r="S606" i="4"/>
  <c r="T606" i="4" s="1"/>
  <c r="R607" i="4"/>
  <c r="S607" i="4"/>
  <c r="T607" i="4" s="1"/>
  <c r="R608" i="4"/>
  <c r="S608" i="4"/>
  <c r="T608" i="4" s="1"/>
  <c r="R609" i="4"/>
  <c r="S609" i="4"/>
  <c r="T609" i="4" s="1"/>
  <c r="R610" i="4"/>
  <c r="S610" i="4"/>
  <c r="T610" i="4" s="1"/>
  <c r="R611" i="4"/>
  <c r="S611" i="4"/>
  <c r="T611" i="4" s="1"/>
  <c r="R612" i="4"/>
  <c r="S612" i="4"/>
  <c r="T612" i="4" s="1"/>
  <c r="R613" i="4"/>
  <c r="S613" i="4"/>
  <c r="T613" i="4" s="1"/>
  <c r="R614" i="4"/>
  <c r="S614" i="4"/>
  <c r="T614" i="4" s="1"/>
  <c r="R615" i="4"/>
  <c r="S615" i="4"/>
  <c r="T615" i="4" s="1"/>
  <c r="R616" i="4"/>
  <c r="S616" i="4"/>
  <c r="T616" i="4" s="1"/>
  <c r="R617" i="4"/>
  <c r="S617" i="4"/>
  <c r="T617" i="4" s="1"/>
  <c r="R618" i="4"/>
  <c r="S618" i="4"/>
  <c r="T618" i="4" s="1"/>
  <c r="R619" i="4"/>
  <c r="S619" i="4"/>
  <c r="T619" i="4" s="1"/>
  <c r="R620" i="4"/>
  <c r="S620" i="4"/>
  <c r="T620" i="4" s="1"/>
  <c r="R621" i="4"/>
  <c r="S621" i="4"/>
  <c r="T621" i="4" s="1"/>
  <c r="R622" i="4"/>
  <c r="S622" i="4"/>
  <c r="T622" i="4" s="1"/>
  <c r="R623" i="4"/>
  <c r="S623" i="4"/>
  <c r="T623" i="4" s="1"/>
  <c r="R624" i="4"/>
  <c r="S624" i="4"/>
  <c r="T624" i="4" s="1"/>
  <c r="R625" i="4"/>
  <c r="S625" i="4"/>
  <c r="T625" i="4" s="1"/>
  <c r="R626" i="4"/>
  <c r="S626" i="4"/>
  <c r="T626" i="4" s="1"/>
  <c r="R627" i="4"/>
  <c r="S627" i="4"/>
  <c r="T627" i="4" s="1"/>
  <c r="R628" i="4"/>
  <c r="S628" i="4"/>
  <c r="T628" i="4" s="1"/>
  <c r="R629" i="4"/>
  <c r="S629" i="4"/>
  <c r="T629" i="4" s="1"/>
  <c r="R630" i="4"/>
  <c r="S630" i="4"/>
  <c r="T630" i="4" s="1"/>
  <c r="R631" i="4"/>
  <c r="S631" i="4"/>
  <c r="T631" i="4" s="1"/>
  <c r="R632" i="4"/>
  <c r="S632" i="4"/>
  <c r="T632" i="4" s="1"/>
  <c r="R633" i="4"/>
  <c r="S633" i="4"/>
  <c r="T633" i="4" s="1"/>
  <c r="R634" i="4"/>
  <c r="S634" i="4"/>
  <c r="T634" i="4" s="1"/>
  <c r="R635" i="4"/>
  <c r="S635" i="4"/>
  <c r="T635" i="4" s="1"/>
  <c r="R636" i="4"/>
  <c r="S636" i="4"/>
  <c r="T636" i="4" s="1"/>
  <c r="R637" i="4"/>
  <c r="S637" i="4"/>
  <c r="T637" i="4" s="1"/>
  <c r="R638" i="4"/>
  <c r="S638" i="4"/>
  <c r="T638" i="4" s="1"/>
  <c r="R639" i="4"/>
  <c r="S639" i="4"/>
  <c r="T639" i="4" s="1"/>
  <c r="R640" i="4"/>
  <c r="S640" i="4"/>
  <c r="T640" i="4" s="1"/>
  <c r="R641" i="4"/>
  <c r="S641" i="4"/>
  <c r="T641" i="4" s="1"/>
  <c r="R642" i="4"/>
  <c r="S642" i="4"/>
  <c r="T642" i="4" s="1"/>
  <c r="R643" i="4"/>
  <c r="S643" i="4"/>
  <c r="T643" i="4" s="1"/>
  <c r="R644" i="4"/>
  <c r="S644" i="4"/>
  <c r="T644" i="4" s="1"/>
  <c r="R645" i="4"/>
  <c r="S645" i="4"/>
  <c r="T645" i="4" s="1"/>
  <c r="R646" i="4"/>
  <c r="S646" i="4"/>
  <c r="T646" i="4" s="1"/>
  <c r="R647" i="4"/>
  <c r="S647" i="4"/>
  <c r="T647" i="4" s="1"/>
  <c r="R648" i="4"/>
  <c r="S648" i="4"/>
  <c r="T648" i="4" s="1"/>
  <c r="R649" i="4"/>
  <c r="S649" i="4"/>
  <c r="T649" i="4" s="1"/>
  <c r="R650" i="4"/>
  <c r="S650" i="4"/>
  <c r="T650" i="4" s="1"/>
  <c r="R651" i="4"/>
  <c r="S651" i="4"/>
  <c r="T651" i="4" s="1"/>
  <c r="R652" i="4"/>
  <c r="S652" i="4"/>
  <c r="T652" i="4" s="1"/>
  <c r="R653" i="4"/>
  <c r="S653" i="4"/>
  <c r="T653" i="4" s="1"/>
  <c r="R654" i="4"/>
  <c r="S654" i="4"/>
  <c r="T654" i="4" s="1"/>
  <c r="R655" i="4"/>
  <c r="S655" i="4"/>
  <c r="T655" i="4" s="1"/>
  <c r="R656" i="4"/>
  <c r="S656" i="4"/>
  <c r="T656" i="4" s="1"/>
  <c r="R657" i="4"/>
  <c r="S657" i="4"/>
  <c r="T657" i="4" s="1"/>
  <c r="R658" i="4"/>
  <c r="S658" i="4"/>
  <c r="T658" i="4" s="1"/>
  <c r="R659" i="4"/>
  <c r="S659" i="4"/>
  <c r="T659" i="4" s="1"/>
  <c r="R660" i="4"/>
  <c r="S660" i="4"/>
  <c r="T660" i="4" s="1"/>
  <c r="R661" i="4"/>
  <c r="S661" i="4"/>
  <c r="T661" i="4" s="1"/>
  <c r="R662" i="4"/>
  <c r="S662" i="4"/>
  <c r="T662" i="4" s="1"/>
  <c r="R663" i="4"/>
  <c r="S663" i="4"/>
  <c r="T663" i="4" s="1"/>
  <c r="R664" i="4"/>
  <c r="S664" i="4"/>
  <c r="T664" i="4" s="1"/>
  <c r="R665" i="4"/>
  <c r="S665" i="4"/>
  <c r="T665" i="4" s="1"/>
  <c r="R666" i="4"/>
  <c r="S666" i="4"/>
  <c r="T666" i="4" s="1"/>
  <c r="R667" i="4"/>
  <c r="S667" i="4"/>
  <c r="T667" i="4" s="1"/>
  <c r="R668" i="4"/>
  <c r="S668" i="4"/>
  <c r="T668" i="4" s="1"/>
  <c r="R669" i="4"/>
  <c r="S669" i="4"/>
  <c r="T669" i="4" s="1"/>
  <c r="R670" i="4"/>
  <c r="S670" i="4"/>
  <c r="T670" i="4" s="1"/>
  <c r="R671" i="4"/>
  <c r="S671" i="4"/>
  <c r="T671" i="4" s="1"/>
  <c r="R672" i="4"/>
  <c r="S672" i="4"/>
  <c r="T672" i="4" s="1"/>
  <c r="R673" i="4"/>
  <c r="S673" i="4"/>
  <c r="T673" i="4" s="1"/>
  <c r="R674" i="4"/>
  <c r="S674" i="4"/>
  <c r="T674" i="4" s="1"/>
  <c r="R675" i="4"/>
  <c r="S675" i="4"/>
  <c r="T675" i="4" s="1"/>
  <c r="R676" i="4"/>
  <c r="S676" i="4"/>
  <c r="T676" i="4" s="1"/>
  <c r="R677" i="4"/>
  <c r="S677" i="4"/>
  <c r="T677" i="4" s="1"/>
  <c r="R678" i="4"/>
  <c r="S678" i="4"/>
  <c r="T678" i="4" s="1"/>
  <c r="R679" i="4"/>
  <c r="S679" i="4"/>
  <c r="T679" i="4" s="1"/>
  <c r="R680" i="4"/>
  <c r="S680" i="4"/>
  <c r="T680" i="4" s="1"/>
  <c r="R681" i="4"/>
  <c r="S681" i="4"/>
  <c r="T681" i="4" s="1"/>
  <c r="R682" i="4"/>
  <c r="S682" i="4"/>
  <c r="T682" i="4" s="1"/>
  <c r="R683" i="4"/>
  <c r="S683" i="4"/>
  <c r="T683" i="4" s="1"/>
  <c r="R684" i="4"/>
  <c r="S684" i="4"/>
  <c r="T684" i="4" s="1"/>
  <c r="R685" i="4"/>
  <c r="S685" i="4"/>
  <c r="T685" i="4" s="1"/>
  <c r="R686" i="4"/>
  <c r="S686" i="4"/>
  <c r="T686" i="4" s="1"/>
  <c r="R687" i="4"/>
  <c r="S687" i="4"/>
  <c r="T687" i="4" s="1"/>
  <c r="R688" i="4"/>
  <c r="S688" i="4"/>
  <c r="T688" i="4" s="1"/>
  <c r="R689" i="4"/>
  <c r="S689" i="4"/>
  <c r="T689" i="4" s="1"/>
  <c r="R690" i="4"/>
  <c r="S690" i="4"/>
  <c r="T690" i="4" s="1"/>
  <c r="R691" i="4"/>
  <c r="S691" i="4"/>
  <c r="T691" i="4" s="1"/>
  <c r="R692" i="4"/>
  <c r="S692" i="4"/>
  <c r="T692" i="4" s="1"/>
  <c r="R693" i="4"/>
  <c r="S693" i="4"/>
  <c r="T693" i="4" s="1"/>
  <c r="R694" i="4"/>
  <c r="S694" i="4"/>
  <c r="T694" i="4" s="1"/>
  <c r="R695" i="4"/>
  <c r="S695" i="4"/>
  <c r="T695" i="4" s="1"/>
  <c r="R696" i="4"/>
  <c r="S696" i="4"/>
  <c r="T696" i="4" s="1"/>
  <c r="R697" i="4"/>
  <c r="S697" i="4"/>
  <c r="T697" i="4" s="1"/>
  <c r="R698" i="4"/>
  <c r="S698" i="4"/>
  <c r="T698" i="4" s="1"/>
  <c r="R699" i="4"/>
  <c r="S699" i="4"/>
  <c r="T699" i="4" s="1"/>
  <c r="R700" i="4"/>
  <c r="S700" i="4"/>
  <c r="T700" i="4" s="1"/>
  <c r="R701" i="4"/>
  <c r="S701" i="4"/>
  <c r="T701" i="4" s="1"/>
  <c r="R702" i="4"/>
  <c r="S702" i="4"/>
  <c r="T702" i="4" s="1"/>
  <c r="R703" i="4"/>
  <c r="S703" i="4"/>
  <c r="T703" i="4" s="1"/>
  <c r="R704" i="4"/>
  <c r="S704" i="4"/>
  <c r="T704" i="4" s="1"/>
  <c r="R705" i="4"/>
  <c r="S705" i="4"/>
  <c r="T705" i="4" s="1"/>
  <c r="R706" i="4"/>
  <c r="S706" i="4"/>
  <c r="T706" i="4" s="1"/>
  <c r="R707" i="4"/>
  <c r="S707" i="4"/>
  <c r="T707" i="4" s="1"/>
  <c r="R708" i="4"/>
  <c r="S708" i="4"/>
  <c r="T708" i="4" s="1"/>
  <c r="R709" i="4"/>
  <c r="S709" i="4"/>
  <c r="T709" i="4" s="1"/>
  <c r="R710" i="4"/>
  <c r="S710" i="4"/>
  <c r="T710" i="4" s="1"/>
  <c r="R711" i="4"/>
  <c r="S711" i="4"/>
  <c r="T711" i="4" s="1"/>
  <c r="R712" i="4"/>
  <c r="S712" i="4"/>
  <c r="T712" i="4" s="1"/>
  <c r="R713" i="4"/>
  <c r="S713" i="4"/>
  <c r="T713" i="4" s="1"/>
  <c r="R714" i="4"/>
  <c r="S714" i="4"/>
  <c r="T714" i="4" s="1"/>
  <c r="R715" i="4"/>
  <c r="S715" i="4"/>
  <c r="T715" i="4" s="1"/>
  <c r="R716" i="4"/>
  <c r="S716" i="4"/>
  <c r="T716" i="4" s="1"/>
  <c r="R717" i="4"/>
  <c r="S717" i="4"/>
  <c r="T717" i="4" s="1"/>
  <c r="R718" i="4"/>
  <c r="S718" i="4"/>
  <c r="T718" i="4" s="1"/>
  <c r="R719" i="4"/>
  <c r="S719" i="4"/>
  <c r="T719" i="4" s="1"/>
  <c r="R720" i="4"/>
  <c r="S720" i="4"/>
  <c r="T720" i="4" s="1"/>
  <c r="R721" i="4"/>
  <c r="S721" i="4"/>
  <c r="T721" i="4" s="1"/>
  <c r="R722" i="4"/>
  <c r="S722" i="4"/>
  <c r="T722" i="4" s="1"/>
  <c r="R723" i="4"/>
  <c r="S723" i="4"/>
  <c r="T723" i="4" s="1"/>
  <c r="R724" i="4"/>
  <c r="S724" i="4"/>
  <c r="T724" i="4" s="1"/>
  <c r="R725" i="4"/>
  <c r="S725" i="4"/>
  <c r="T725" i="4" s="1"/>
  <c r="R726" i="4"/>
  <c r="S726" i="4"/>
  <c r="T726" i="4" s="1"/>
  <c r="R727" i="4"/>
  <c r="S727" i="4"/>
  <c r="T727" i="4" s="1"/>
  <c r="R728" i="4"/>
  <c r="S728" i="4"/>
  <c r="T728" i="4" s="1"/>
  <c r="R729" i="4"/>
  <c r="S729" i="4"/>
  <c r="T729" i="4" s="1"/>
  <c r="R730" i="4"/>
  <c r="S730" i="4"/>
  <c r="T730" i="4" s="1"/>
  <c r="R731" i="4"/>
  <c r="S731" i="4"/>
  <c r="T731" i="4" s="1"/>
  <c r="R732" i="4"/>
  <c r="S732" i="4"/>
  <c r="T732" i="4" s="1"/>
  <c r="R733" i="4"/>
  <c r="S733" i="4"/>
  <c r="T733" i="4" s="1"/>
  <c r="R734" i="4"/>
  <c r="S734" i="4"/>
  <c r="T734" i="4" s="1"/>
  <c r="R735" i="4"/>
  <c r="S735" i="4"/>
  <c r="T735" i="4" s="1"/>
  <c r="R736" i="4"/>
  <c r="S736" i="4"/>
  <c r="T736" i="4" s="1"/>
  <c r="D371" i="7"/>
  <c r="E371" i="7" s="1"/>
  <c r="F371" i="7" s="1"/>
  <c r="J371" i="7"/>
  <c r="D372" i="7"/>
  <c r="E372" i="7" s="1"/>
  <c r="F372" i="7" s="1"/>
  <c r="J372" i="7"/>
  <c r="D373" i="7"/>
  <c r="G373" i="7" s="1"/>
  <c r="J373" i="7"/>
  <c r="D374" i="7"/>
  <c r="J374" i="7"/>
  <c r="D375" i="7"/>
  <c r="E375" i="7" s="1"/>
  <c r="F375" i="7" s="1"/>
  <c r="J375" i="7"/>
  <c r="D376" i="7"/>
  <c r="E376" i="7" s="1"/>
  <c r="F376" i="7" s="1"/>
  <c r="J376" i="7"/>
  <c r="D377" i="7"/>
  <c r="G377" i="7" s="1"/>
  <c r="J377" i="7"/>
  <c r="D378" i="7"/>
  <c r="J378" i="7"/>
  <c r="D379" i="7"/>
  <c r="E379" i="7" s="1"/>
  <c r="F379" i="7" s="1"/>
  <c r="J379" i="7"/>
  <c r="D380" i="7"/>
  <c r="E380" i="7" s="1"/>
  <c r="F380" i="7" s="1"/>
  <c r="J380" i="7"/>
  <c r="D381" i="7"/>
  <c r="G381" i="7" s="1"/>
  <c r="J381" i="7"/>
  <c r="D382" i="7"/>
  <c r="J382" i="7"/>
  <c r="D383" i="7"/>
  <c r="E383" i="7" s="1"/>
  <c r="F383" i="7" s="1"/>
  <c r="J383" i="7"/>
  <c r="D384" i="7"/>
  <c r="E384" i="7" s="1"/>
  <c r="F384" i="7" s="1"/>
  <c r="J384" i="7"/>
  <c r="D385" i="7"/>
  <c r="G385" i="7" s="1"/>
  <c r="J385" i="7"/>
  <c r="D386" i="7"/>
  <c r="J386" i="7"/>
  <c r="D387" i="7"/>
  <c r="E387" i="7" s="1"/>
  <c r="F387" i="7" s="1"/>
  <c r="J387" i="7"/>
  <c r="D388" i="7"/>
  <c r="E388" i="7" s="1"/>
  <c r="F388" i="7" s="1"/>
  <c r="J388" i="7"/>
  <c r="D389" i="7"/>
  <c r="G389" i="7" s="1"/>
  <c r="J389" i="7"/>
  <c r="D390" i="7"/>
  <c r="J390" i="7"/>
  <c r="D391" i="7"/>
  <c r="E391" i="7" s="1"/>
  <c r="F391" i="7" s="1"/>
  <c r="J391" i="7"/>
  <c r="D392" i="7"/>
  <c r="E392" i="7" s="1"/>
  <c r="F392" i="7" s="1"/>
  <c r="J392" i="7"/>
  <c r="D393" i="7"/>
  <c r="G393" i="7" s="1"/>
  <c r="J393" i="7"/>
  <c r="D394" i="7"/>
  <c r="J394" i="7"/>
  <c r="D395" i="7"/>
  <c r="E395" i="7" s="1"/>
  <c r="F395" i="7" s="1"/>
  <c r="J395" i="7"/>
  <c r="D396" i="7"/>
  <c r="E396" i="7" s="1"/>
  <c r="F396" i="7" s="1"/>
  <c r="J396" i="7"/>
  <c r="D397" i="7"/>
  <c r="G397" i="7" s="1"/>
  <c r="J397" i="7"/>
  <c r="D398" i="7"/>
  <c r="J398" i="7"/>
  <c r="D399" i="7"/>
  <c r="E399" i="7" s="1"/>
  <c r="F399" i="7" s="1"/>
  <c r="J399" i="7"/>
  <c r="D400" i="7"/>
  <c r="G400" i="7" s="1"/>
  <c r="J400" i="7"/>
  <c r="D401" i="7"/>
  <c r="G401" i="7" s="1"/>
  <c r="J401" i="7"/>
  <c r="D402" i="7"/>
  <c r="J402" i="7"/>
  <c r="D403" i="7"/>
  <c r="E403" i="7" s="1"/>
  <c r="F403" i="7" s="1"/>
  <c r="J403" i="7"/>
  <c r="D404" i="7"/>
  <c r="E404" i="7" s="1"/>
  <c r="F404" i="7" s="1"/>
  <c r="J404" i="7"/>
  <c r="D405" i="7"/>
  <c r="G405" i="7" s="1"/>
  <c r="J405" i="7"/>
  <c r="D406" i="7"/>
  <c r="J406" i="7"/>
  <c r="D407" i="7"/>
  <c r="E407" i="7" s="1"/>
  <c r="F407" i="7" s="1"/>
  <c r="J407" i="7"/>
  <c r="D408" i="7"/>
  <c r="E408" i="7" s="1"/>
  <c r="F408" i="7" s="1"/>
  <c r="J408" i="7"/>
  <c r="D409" i="7"/>
  <c r="G409" i="7" s="1"/>
  <c r="J409" i="7"/>
  <c r="D410" i="7"/>
  <c r="J410" i="7"/>
  <c r="D411" i="7"/>
  <c r="E411" i="7" s="1"/>
  <c r="F411" i="7" s="1"/>
  <c r="J411" i="7"/>
  <c r="D412" i="7"/>
  <c r="E412" i="7" s="1"/>
  <c r="F412" i="7" s="1"/>
  <c r="J412" i="7"/>
  <c r="D413" i="7"/>
  <c r="G413" i="7" s="1"/>
  <c r="J413" i="7"/>
  <c r="D414" i="7"/>
  <c r="G414" i="7" s="1"/>
  <c r="J414" i="7"/>
  <c r="D415" i="7"/>
  <c r="G415" i="7" s="1"/>
  <c r="J415" i="7"/>
  <c r="D416" i="7"/>
  <c r="E416" i="7" s="1"/>
  <c r="F416" i="7" s="1"/>
  <c r="J416" i="7"/>
  <c r="D417" i="7"/>
  <c r="G417" i="7" s="1"/>
  <c r="J417" i="7"/>
  <c r="D418" i="7"/>
  <c r="G418" i="7" s="1"/>
  <c r="J418" i="7"/>
  <c r="D419" i="7"/>
  <c r="G419" i="7" s="1"/>
  <c r="J419" i="7"/>
  <c r="D420" i="7"/>
  <c r="E420" i="7" s="1"/>
  <c r="F420" i="7" s="1"/>
  <c r="J420" i="7"/>
  <c r="D421" i="7"/>
  <c r="G421" i="7" s="1"/>
  <c r="J421" i="7"/>
  <c r="D422" i="7"/>
  <c r="E422" i="7" s="1"/>
  <c r="F422" i="7" s="1"/>
  <c r="J422" i="7"/>
  <c r="D423" i="7"/>
  <c r="G423" i="7" s="1"/>
  <c r="J423" i="7"/>
  <c r="D424" i="7"/>
  <c r="E424" i="7" s="1"/>
  <c r="F424" i="7" s="1"/>
  <c r="J424" i="7"/>
  <c r="D425" i="7"/>
  <c r="G425" i="7" s="1"/>
  <c r="J425" i="7"/>
  <c r="D426" i="7"/>
  <c r="G426" i="7" s="1"/>
  <c r="J426" i="7"/>
  <c r="D427" i="7"/>
  <c r="E427" i="7" s="1"/>
  <c r="F427" i="7" s="1"/>
  <c r="J427" i="7"/>
  <c r="D428" i="7"/>
  <c r="G428" i="7" s="1"/>
  <c r="J428" i="7"/>
  <c r="D429" i="7"/>
  <c r="E429" i="7" s="1"/>
  <c r="F429" i="7" s="1"/>
  <c r="J429" i="7"/>
  <c r="D430" i="7"/>
  <c r="E430" i="7" s="1"/>
  <c r="F430" i="7" s="1"/>
  <c r="J430" i="7"/>
  <c r="D431" i="7"/>
  <c r="E431" i="7" s="1"/>
  <c r="F431" i="7" s="1"/>
  <c r="J431" i="7"/>
  <c r="D432" i="7"/>
  <c r="G432" i="7" s="1"/>
  <c r="J432" i="7"/>
  <c r="D433" i="7"/>
  <c r="E433" i="7" s="1"/>
  <c r="F433" i="7" s="1"/>
  <c r="J433" i="7"/>
  <c r="D434" i="7"/>
  <c r="E434" i="7" s="1"/>
  <c r="F434" i="7" s="1"/>
  <c r="J434" i="7"/>
  <c r="D435" i="7"/>
  <c r="E435" i="7" s="1"/>
  <c r="F435" i="7" s="1"/>
  <c r="J435" i="7"/>
  <c r="D436" i="7"/>
  <c r="G436" i="7" s="1"/>
  <c r="J436" i="7"/>
  <c r="D437" i="7"/>
  <c r="E437" i="7" s="1"/>
  <c r="F437" i="7" s="1"/>
  <c r="J437" i="7"/>
  <c r="D438" i="7"/>
  <c r="E438" i="7" s="1"/>
  <c r="F438" i="7" s="1"/>
  <c r="J438" i="7"/>
  <c r="D439" i="7"/>
  <c r="E439" i="7" s="1"/>
  <c r="F439" i="7" s="1"/>
  <c r="J439" i="7"/>
  <c r="D440" i="7"/>
  <c r="G440" i="7" s="1"/>
  <c r="J440" i="7"/>
  <c r="D441" i="7"/>
  <c r="E441" i="7" s="1"/>
  <c r="F441" i="7" s="1"/>
  <c r="J441" i="7"/>
  <c r="D442" i="7"/>
  <c r="E442" i="7" s="1"/>
  <c r="F442" i="7" s="1"/>
  <c r="J442" i="7"/>
  <c r="D443" i="7"/>
  <c r="E443" i="7" s="1"/>
  <c r="F443" i="7" s="1"/>
  <c r="J443" i="7"/>
  <c r="D444" i="7"/>
  <c r="G444" i="7" s="1"/>
  <c r="J444" i="7"/>
  <c r="D445" i="7"/>
  <c r="E445" i="7" s="1"/>
  <c r="F445" i="7" s="1"/>
  <c r="J445" i="7"/>
  <c r="D446" i="7"/>
  <c r="J446" i="7"/>
  <c r="D447" i="7"/>
  <c r="E447" i="7" s="1"/>
  <c r="F447" i="7" s="1"/>
  <c r="J447" i="7"/>
  <c r="D448" i="7"/>
  <c r="J448" i="7"/>
  <c r="D449" i="7"/>
  <c r="E449" i="7" s="1"/>
  <c r="F449" i="7" s="1"/>
  <c r="J449" i="7"/>
  <c r="D450" i="7"/>
  <c r="J450" i="7"/>
  <c r="D451" i="7"/>
  <c r="E451" i="7" s="1"/>
  <c r="F451" i="7" s="1"/>
  <c r="J451" i="7"/>
  <c r="D452" i="7"/>
  <c r="J452" i="7"/>
  <c r="D453" i="7"/>
  <c r="E453" i="7" s="1"/>
  <c r="F453" i="7" s="1"/>
  <c r="J453" i="7"/>
  <c r="D454" i="7"/>
  <c r="J454" i="7"/>
  <c r="D455" i="7"/>
  <c r="E455" i="7" s="1"/>
  <c r="F455" i="7" s="1"/>
  <c r="J455" i="7"/>
  <c r="D456" i="7"/>
  <c r="J456" i="7"/>
  <c r="D457" i="7"/>
  <c r="E457" i="7" s="1"/>
  <c r="F457" i="7" s="1"/>
  <c r="J457" i="7"/>
  <c r="D458" i="7"/>
  <c r="J458" i="7"/>
  <c r="D459" i="7"/>
  <c r="E459" i="7" s="1"/>
  <c r="F459" i="7" s="1"/>
  <c r="J459" i="7"/>
  <c r="D460" i="7"/>
  <c r="J460" i="7"/>
  <c r="D461" i="7"/>
  <c r="E461" i="7" s="1"/>
  <c r="F461" i="7" s="1"/>
  <c r="J461" i="7"/>
  <c r="D462" i="7"/>
  <c r="J462" i="7"/>
  <c r="D463" i="7"/>
  <c r="E463" i="7" s="1"/>
  <c r="F463" i="7" s="1"/>
  <c r="J463" i="7"/>
  <c r="D464" i="7"/>
  <c r="J464" i="7"/>
  <c r="D465" i="7"/>
  <c r="G465" i="7" s="1"/>
  <c r="J465" i="7"/>
  <c r="D466" i="7"/>
  <c r="G466" i="7" s="1"/>
  <c r="J466" i="7"/>
  <c r="D467" i="7"/>
  <c r="E467" i="7" s="1"/>
  <c r="F467" i="7" s="1"/>
  <c r="J467" i="7"/>
  <c r="D468" i="7"/>
  <c r="G468" i="7" s="1"/>
  <c r="J468" i="7"/>
  <c r="D469" i="7"/>
  <c r="G469" i="7" s="1"/>
  <c r="J469" i="7"/>
  <c r="D470" i="7"/>
  <c r="G470" i="7" s="1"/>
  <c r="J470" i="7"/>
  <c r="D471" i="7"/>
  <c r="E471" i="7" s="1"/>
  <c r="F471" i="7" s="1"/>
  <c r="J471" i="7"/>
  <c r="D472" i="7"/>
  <c r="G472" i="7" s="1"/>
  <c r="J472" i="7"/>
  <c r="D473" i="7"/>
  <c r="G473" i="7" s="1"/>
  <c r="J473" i="7"/>
  <c r="D474" i="7"/>
  <c r="G474" i="7" s="1"/>
  <c r="J474" i="7"/>
  <c r="D475" i="7"/>
  <c r="G475" i="7" s="1"/>
  <c r="J475" i="7"/>
  <c r="D476" i="7"/>
  <c r="G476" i="7" s="1"/>
  <c r="J476" i="7"/>
  <c r="D477" i="7"/>
  <c r="G477" i="7" s="1"/>
  <c r="J477" i="7"/>
  <c r="D478" i="7"/>
  <c r="J478" i="7"/>
  <c r="D479" i="7"/>
  <c r="J479" i="7"/>
  <c r="D480" i="7"/>
  <c r="G480" i="7" s="1"/>
  <c r="J480" i="7"/>
  <c r="D481" i="7"/>
  <c r="J481" i="7"/>
  <c r="D482" i="7"/>
  <c r="G482" i="7" s="1"/>
  <c r="J482" i="7"/>
  <c r="D483" i="7"/>
  <c r="E483" i="7" s="1"/>
  <c r="F483" i="7" s="1"/>
  <c r="J483" i="7"/>
  <c r="D484" i="7"/>
  <c r="J484" i="7"/>
  <c r="D485" i="7"/>
  <c r="G485" i="7" s="1"/>
  <c r="J485" i="7"/>
  <c r="D486" i="7"/>
  <c r="G486" i="7" s="1"/>
  <c r="J486" i="7"/>
  <c r="D487" i="7"/>
  <c r="G487" i="7" s="1"/>
  <c r="J487" i="7"/>
  <c r="D488" i="7"/>
  <c r="G488" i="7" s="1"/>
  <c r="J488" i="7"/>
  <c r="D489" i="7"/>
  <c r="G489" i="7" s="1"/>
  <c r="J489" i="7"/>
  <c r="D490" i="7"/>
  <c r="G490" i="7" s="1"/>
  <c r="J490" i="7"/>
  <c r="D491" i="7"/>
  <c r="G491" i="7" s="1"/>
  <c r="J491" i="7"/>
  <c r="D492" i="7"/>
  <c r="G492" i="7" s="1"/>
  <c r="J492" i="7"/>
  <c r="D493" i="7"/>
  <c r="G493" i="7" s="1"/>
  <c r="J493" i="7"/>
  <c r="D494" i="7"/>
  <c r="J494" i="7"/>
  <c r="D495" i="7"/>
  <c r="J495" i="7"/>
  <c r="D496" i="7"/>
  <c r="G496" i="7" s="1"/>
  <c r="J496" i="7"/>
  <c r="D497" i="7"/>
  <c r="J497" i="7"/>
  <c r="D498" i="7"/>
  <c r="G498" i="7" s="1"/>
  <c r="J498" i="7"/>
  <c r="D499" i="7"/>
  <c r="E499" i="7" s="1"/>
  <c r="F499" i="7" s="1"/>
  <c r="J499" i="7"/>
  <c r="D500" i="7"/>
  <c r="J500" i="7"/>
  <c r="D501" i="7"/>
  <c r="G501" i="7" s="1"/>
  <c r="J501" i="7"/>
  <c r="D502" i="7"/>
  <c r="G502" i="7" s="1"/>
  <c r="J502" i="7"/>
  <c r="D503" i="7"/>
  <c r="E503" i="7" s="1"/>
  <c r="F503" i="7" s="1"/>
  <c r="J503" i="7"/>
  <c r="D504" i="7"/>
  <c r="G504" i="7" s="1"/>
  <c r="J504" i="7"/>
  <c r="D505" i="7"/>
  <c r="G505" i="7" s="1"/>
  <c r="J505" i="7"/>
  <c r="D506" i="7"/>
  <c r="G506" i="7" s="1"/>
  <c r="J506" i="7"/>
  <c r="D507" i="7"/>
  <c r="G507" i="7" s="1"/>
  <c r="J507" i="7"/>
  <c r="D508" i="7"/>
  <c r="G508" i="7" s="1"/>
  <c r="J508" i="7"/>
  <c r="D509" i="7"/>
  <c r="G509" i="7" s="1"/>
  <c r="J509" i="7"/>
  <c r="D510" i="7"/>
  <c r="J510" i="7"/>
  <c r="D511" i="7"/>
  <c r="J511" i="7"/>
  <c r="D512" i="7"/>
  <c r="G512" i="7" s="1"/>
  <c r="J512" i="7"/>
  <c r="D513" i="7"/>
  <c r="J513" i="7"/>
  <c r="D514" i="7"/>
  <c r="G514" i="7" s="1"/>
  <c r="J514" i="7"/>
  <c r="D515" i="7"/>
  <c r="E515" i="7" s="1"/>
  <c r="F515" i="7" s="1"/>
  <c r="J515" i="7"/>
  <c r="D516" i="7"/>
  <c r="J516" i="7"/>
  <c r="D517" i="7"/>
  <c r="G517" i="7" s="1"/>
  <c r="J517" i="7"/>
  <c r="D518" i="7"/>
  <c r="G518" i="7" s="1"/>
  <c r="J518" i="7"/>
  <c r="D519" i="7"/>
  <c r="G519" i="7" s="1"/>
  <c r="J519" i="7"/>
  <c r="D520" i="7"/>
  <c r="J520" i="7"/>
  <c r="D521" i="7"/>
  <c r="G521" i="7" s="1"/>
  <c r="J521" i="7"/>
  <c r="D522" i="7"/>
  <c r="G522" i="7" s="1"/>
  <c r="J522" i="7"/>
  <c r="D523" i="7"/>
  <c r="G523" i="7" s="1"/>
  <c r="J523" i="7"/>
  <c r="D524" i="7"/>
  <c r="G524" i="7" s="1"/>
  <c r="J524" i="7"/>
  <c r="D525" i="7"/>
  <c r="G525" i="7" s="1"/>
  <c r="J525" i="7"/>
  <c r="D526" i="7"/>
  <c r="G526" i="7" s="1"/>
  <c r="J526" i="7"/>
  <c r="D527" i="7"/>
  <c r="J527" i="7"/>
  <c r="D528" i="7"/>
  <c r="G528" i="7" s="1"/>
  <c r="J528" i="7"/>
  <c r="D529" i="7"/>
  <c r="G529" i="7" s="1"/>
  <c r="J529" i="7"/>
  <c r="D530" i="7"/>
  <c r="G530" i="7" s="1"/>
  <c r="J530" i="7"/>
  <c r="D531" i="7"/>
  <c r="G531" i="7" s="1"/>
  <c r="J531" i="7"/>
  <c r="D532" i="7"/>
  <c r="G532" i="7" s="1"/>
  <c r="J532" i="7"/>
  <c r="D533" i="7"/>
  <c r="G533" i="7" s="1"/>
  <c r="J533" i="7"/>
  <c r="D534" i="7"/>
  <c r="J534" i="7"/>
  <c r="D535" i="7"/>
  <c r="G535" i="7" s="1"/>
  <c r="J535" i="7"/>
  <c r="D536" i="7"/>
  <c r="G536" i="7" s="1"/>
  <c r="J536" i="7"/>
  <c r="D537" i="7"/>
  <c r="G537" i="7" s="1"/>
  <c r="J537" i="7"/>
  <c r="D538" i="7"/>
  <c r="G538" i="7" s="1"/>
  <c r="J538" i="7"/>
  <c r="D539" i="7"/>
  <c r="G539" i="7" s="1"/>
  <c r="J539" i="7"/>
  <c r="D540" i="7"/>
  <c r="G540" i="7" s="1"/>
  <c r="E540" i="7"/>
  <c r="F540" i="7" s="1"/>
  <c r="J540" i="7"/>
  <c r="D541" i="7"/>
  <c r="G541" i="7" s="1"/>
  <c r="J541" i="7"/>
  <c r="D542" i="7"/>
  <c r="J542" i="7"/>
  <c r="D543" i="7"/>
  <c r="E543" i="7" s="1"/>
  <c r="F543" i="7" s="1"/>
  <c r="J543" i="7"/>
  <c r="D544" i="7"/>
  <c r="G544" i="7" s="1"/>
  <c r="J544" i="7"/>
  <c r="D545" i="7"/>
  <c r="E545" i="7" s="1"/>
  <c r="F545" i="7" s="1"/>
  <c r="J545" i="7"/>
  <c r="D546" i="7"/>
  <c r="G546" i="7" s="1"/>
  <c r="J546" i="7"/>
  <c r="D547" i="7"/>
  <c r="G547" i="7" s="1"/>
  <c r="J547" i="7"/>
  <c r="D548" i="7"/>
  <c r="G548" i="7" s="1"/>
  <c r="J548" i="7"/>
  <c r="D549" i="7"/>
  <c r="G549" i="7" s="1"/>
  <c r="J549" i="7"/>
  <c r="D550" i="7"/>
  <c r="J550" i="7"/>
  <c r="D551" i="7"/>
  <c r="E551" i="7" s="1"/>
  <c r="F551" i="7" s="1"/>
  <c r="J551" i="7"/>
  <c r="D552" i="7"/>
  <c r="G552" i="7" s="1"/>
  <c r="J552" i="7"/>
  <c r="D553" i="7"/>
  <c r="E553" i="7" s="1"/>
  <c r="F553" i="7" s="1"/>
  <c r="J553" i="7"/>
  <c r="D554" i="7"/>
  <c r="G554" i="7" s="1"/>
  <c r="J554" i="7"/>
  <c r="D555" i="7"/>
  <c r="G555" i="7" s="1"/>
  <c r="J555" i="7"/>
  <c r="D556" i="7"/>
  <c r="G556" i="7" s="1"/>
  <c r="J556" i="7"/>
  <c r="D557" i="7"/>
  <c r="G557" i="7" s="1"/>
  <c r="J557" i="7"/>
  <c r="D558" i="7"/>
  <c r="J558" i="7"/>
  <c r="D559" i="7"/>
  <c r="G559" i="7" s="1"/>
  <c r="J559" i="7"/>
  <c r="D560" i="7"/>
  <c r="G560" i="7" s="1"/>
  <c r="J560" i="7"/>
  <c r="D561" i="7"/>
  <c r="E561" i="7" s="1"/>
  <c r="F561" i="7" s="1"/>
  <c r="J561" i="7"/>
  <c r="D562" i="7"/>
  <c r="G562" i="7" s="1"/>
  <c r="J562" i="7"/>
  <c r="D563" i="7"/>
  <c r="G563" i="7" s="1"/>
  <c r="J563" i="7"/>
  <c r="D564" i="7"/>
  <c r="G564" i="7" s="1"/>
  <c r="J564" i="7"/>
  <c r="D565" i="7"/>
  <c r="G565" i="7" s="1"/>
  <c r="J565" i="7"/>
  <c r="D566" i="7"/>
  <c r="J566" i="7"/>
  <c r="D567" i="7"/>
  <c r="G567" i="7" s="1"/>
  <c r="J567" i="7"/>
  <c r="D568" i="7"/>
  <c r="G568" i="7" s="1"/>
  <c r="J568" i="7"/>
  <c r="D569" i="7"/>
  <c r="J569" i="7"/>
  <c r="D570" i="7"/>
  <c r="G570" i="7" s="1"/>
  <c r="J570" i="7"/>
  <c r="D571" i="7"/>
  <c r="G571" i="7" s="1"/>
  <c r="J571" i="7"/>
  <c r="D572" i="7"/>
  <c r="G572" i="7" s="1"/>
  <c r="J572" i="7"/>
  <c r="D573" i="7"/>
  <c r="G573" i="7" s="1"/>
  <c r="J573" i="7"/>
  <c r="D574" i="7"/>
  <c r="G574" i="7" s="1"/>
  <c r="J574" i="7"/>
  <c r="D575" i="7"/>
  <c r="G575" i="7" s="1"/>
  <c r="J575" i="7"/>
  <c r="D576" i="7"/>
  <c r="G576" i="7" s="1"/>
  <c r="J576" i="7"/>
  <c r="D577" i="7"/>
  <c r="G577" i="7" s="1"/>
  <c r="J577" i="7"/>
  <c r="D578" i="7"/>
  <c r="G578" i="7" s="1"/>
  <c r="J578" i="7"/>
  <c r="D579" i="7"/>
  <c r="G579" i="7" s="1"/>
  <c r="J579" i="7"/>
  <c r="D580" i="7"/>
  <c r="G580" i="7" s="1"/>
  <c r="J580" i="7"/>
  <c r="D581" i="7"/>
  <c r="G581" i="7" s="1"/>
  <c r="J581" i="7"/>
  <c r="D582" i="7"/>
  <c r="G582" i="7" s="1"/>
  <c r="J582" i="7"/>
  <c r="D583" i="7"/>
  <c r="G583" i="7" s="1"/>
  <c r="J583" i="7"/>
  <c r="D584" i="7"/>
  <c r="G584" i="7" s="1"/>
  <c r="J584" i="7"/>
  <c r="D585" i="7"/>
  <c r="J585" i="7"/>
  <c r="D586" i="7"/>
  <c r="G586" i="7" s="1"/>
  <c r="J586" i="7"/>
  <c r="D587" i="7"/>
  <c r="G587" i="7" s="1"/>
  <c r="J587" i="7"/>
  <c r="D588" i="7"/>
  <c r="G588" i="7" s="1"/>
  <c r="J588" i="7"/>
  <c r="D589" i="7"/>
  <c r="E589" i="7" s="1"/>
  <c r="F589" i="7" s="1"/>
  <c r="J589" i="7"/>
  <c r="D590" i="7"/>
  <c r="G590" i="7" s="1"/>
  <c r="J590" i="7"/>
  <c r="D591" i="7"/>
  <c r="G591" i="7" s="1"/>
  <c r="J591" i="7"/>
  <c r="D592" i="7"/>
  <c r="G592" i="7" s="1"/>
  <c r="J592" i="7"/>
  <c r="D593" i="7"/>
  <c r="G593" i="7" s="1"/>
  <c r="J593" i="7"/>
  <c r="D594" i="7"/>
  <c r="G594" i="7" s="1"/>
  <c r="J594" i="7"/>
  <c r="D595" i="7"/>
  <c r="G595" i="7" s="1"/>
  <c r="J595" i="7"/>
  <c r="D596" i="7"/>
  <c r="G596" i="7" s="1"/>
  <c r="J596" i="7"/>
  <c r="D597" i="7"/>
  <c r="G597" i="7" s="1"/>
  <c r="J597" i="7"/>
  <c r="D598" i="7"/>
  <c r="G598" i="7" s="1"/>
  <c r="J598" i="7"/>
  <c r="D599" i="7"/>
  <c r="G599" i="7" s="1"/>
  <c r="J599" i="7"/>
  <c r="D600" i="7"/>
  <c r="G600" i="7" s="1"/>
  <c r="J600" i="7"/>
  <c r="D601" i="7"/>
  <c r="J601" i="7"/>
  <c r="D602" i="7"/>
  <c r="G602" i="7" s="1"/>
  <c r="J602" i="7"/>
  <c r="D603" i="7"/>
  <c r="G603" i="7" s="1"/>
  <c r="J603" i="7"/>
  <c r="D604" i="7"/>
  <c r="G604" i="7" s="1"/>
  <c r="J604" i="7"/>
  <c r="D605" i="7"/>
  <c r="G605" i="7" s="1"/>
  <c r="J605" i="7"/>
  <c r="D606" i="7"/>
  <c r="G606" i="7" s="1"/>
  <c r="J606" i="7"/>
  <c r="D607" i="7"/>
  <c r="G607" i="7" s="1"/>
  <c r="J607" i="7"/>
  <c r="D608" i="7"/>
  <c r="G608" i="7" s="1"/>
  <c r="J608" i="7"/>
  <c r="D609" i="7"/>
  <c r="G609" i="7" s="1"/>
  <c r="J609" i="7"/>
  <c r="D610" i="7"/>
  <c r="G610" i="7" s="1"/>
  <c r="J610" i="7"/>
  <c r="D611" i="7"/>
  <c r="G611" i="7" s="1"/>
  <c r="J611" i="7"/>
  <c r="D612" i="7"/>
  <c r="J612" i="7"/>
  <c r="D613" i="7"/>
  <c r="G613" i="7" s="1"/>
  <c r="J613" i="7"/>
  <c r="D614" i="7"/>
  <c r="G614" i="7" s="1"/>
  <c r="J614" i="7"/>
  <c r="D615" i="7"/>
  <c r="G615" i="7" s="1"/>
  <c r="J615" i="7"/>
  <c r="D616" i="7"/>
  <c r="J616" i="7"/>
  <c r="D617" i="7"/>
  <c r="G617" i="7" s="1"/>
  <c r="J617" i="7"/>
  <c r="D618" i="7"/>
  <c r="G618" i="7" s="1"/>
  <c r="J618" i="7"/>
  <c r="D619" i="7"/>
  <c r="J619" i="7"/>
  <c r="D620" i="7"/>
  <c r="G620" i="7" s="1"/>
  <c r="J620" i="7"/>
  <c r="D621" i="7"/>
  <c r="J621" i="7"/>
  <c r="D622" i="7"/>
  <c r="G622" i="7" s="1"/>
  <c r="J622" i="7"/>
  <c r="D623" i="7"/>
  <c r="G623" i="7" s="1"/>
  <c r="J623" i="7"/>
  <c r="D624" i="7"/>
  <c r="J624" i="7"/>
  <c r="D625" i="7"/>
  <c r="G625" i="7" s="1"/>
  <c r="J625" i="7"/>
  <c r="D626" i="7"/>
  <c r="J626" i="7"/>
  <c r="D627" i="7"/>
  <c r="J627" i="7"/>
  <c r="D628" i="7"/>
  <c r="G628" i="7" s="1"/>
  <c r="J628" i="7"/>
  <c r="D629" i="7"/>
  <c r="G629" i="7" s="1"/>
  <c r="J629" i="7"/>
  <c r="D630" i="7"/>
  <c r="G630" i="7" s="1"/>
  <c r="J630" i="7"/>
  <c r="D631" i="7"/>
  <c r="E631" i="7" s="1"/>
  <c r="F631" i="7" s="1"/>
  <c r="J631" i="7"/>
  <c r="D632" i="7"/>
  <c r="J632" i="7"/>
  <c r="D633" i="7"/>
  <c r="E633" i="7" s="1"/>
  <c r="F633" i="7" s="1"/>
  <c r="J633" i="7"/>
  <c r="D634" i="7"/>
  <c r="E634" i="7" s="1"/>
  <c r="F634" i="7" s="1"/>
  <c r="J634" i="7"/>
  <c r="D635" i="7"/>
  <c r="G635" i="7" s="1"/>
  <c r="J635" i="7"/>
  <c r="D636" i="7"/>
  <c r="G636" i="7" s="1"/>
  <c r="J636" i="7"/>
  <c r="D637" i="7"/>
  <c r="G637" i="7" s="1"/>
  <c r="J637" i="7"/>
  <c r="D638" i="7"/>
  <c r="G638" i="7" s="1"/>
  <c r="J638" i="7"/>
  <c r="D639" i="7"/>
  <c r="E639" i="7" s="1"/>
  <c r="F639" i="7" s="1"/>
  <c r="J639" i="7"/>
  <c r="D640" i="7"/>
  <c r="J640" i="7"/>
  <c r="D641" i="7"/>
  <c r="G641" i="7" s="1"/>
  <c r="J641" i="7"/>
  <c r="D642" i="7"/>
  <c r="E642" i="7" s="1"/>
  <c r="F642" i="7" s="1"/>
  <c r="J642" i="7"/>
  <c r="D643" i="7"/>
  <c r="E643" i="7" s="1"/>
  <c r="F643" i="7" s="1"/>
  <c r="J643" i="7"/>
  <c r="D644" i="7"/>
  <c r="G644" i="7" s="1"/>
  <c r="J644" i="7"/>
  <c r="D645" i="7"/>
  <c r="G645" i="7" s="1"/>
  <c r="J645" i="7"/>
  <c r="D646" i="7"/>
  <c r="G646" i="7" s="1"/>
  <c r="J646" i="7"/>
  <c r="D647" i="7"/>
  <c r="E647" i="7" s="1"/>
  <c r="F647" i="7" s="1"/>
  <c r="J647" i="7"/>
  <c r="D648" i="7"/>
  <c r="E648" i="7" s="1"/>
  <c r="F648" i="7" s="1"/>
  <c r="J648" i="7"/>
  <c r="D649" i="7"/>
  <c r="G649" i="7" s="1"/>
  <c r="J649" i="7"/>
  <c r="D650" i="7"/>
  <c r="G650" i="7" s="1"/>
  <c r="J650" i="7"/>
  <c r="D651" i="7"/>
  <c r="E651" i="7" s="1"/>
  <c r="F651" i="7" s="1"/>
  <c r="J651" i="7"/>
  <c r="D652" i="7"/>
  <c r="E652" i="7" s="1"/>
  <c r="F652" i="7" s="1"/>
  <c r="J652" i="7"/>
  <c r="D653" i="7"/>
  <c r="E653" i="7" s="1"/>
  <c r="F653" i="7" s="1"/>
  <c r="J653" i="7"/>
  <c r="D654" i="7"/>
  <c r="G654" i="7" s="1"/>
  <c r="J654" i="7"/>
  <c r="D655" i="7"/>
  <c r="E655" i="7" s="1"/>
  <c r="F655" i="7" s="1"/>
  <c r="J655" i="7"/>
  <c r="D656" i="7"/>
  <c r="E656" i="7" s="1"/>
  <c r="F656" i="7" s="1"/>
  <c r="J656" i="7"/>
  <c r="D657" i="7"/>
  <c r="G657" i="7" s="1"/>
  <c r="J657" i="7"/>
  <c r="D658" i="7"/>
  <c r="G658" i="7" s="1"/>
  <c r="J658" i="7"/>
  <c r="D659" i="7"/>
  <c r="E659" i="7" s="1"/>
  <c r="F659" i="7" s="1"/>
  <c r="J659" i="7"/>
  <c r="D660" i="7"/>
  <c r="E660" i="7" s="1"/>
  <c r="F660" i="7" s="1"/>
  <c r="J660" i="7"/>
  <c r="D661" i="7"/>
  <c r="G661" i="7" s="1"/>
  <c r="J661" i="7"/>
  <c r="D662" i="7"/>
  <c r="G662" i="7" s="1"/>
  <c r="J662" i="7"/>
  <c r="D663" i="7"/>
  <c r="E663" i="7" s="1"/>
  <c r="F663" i="7" s="1"/>
  <c r="J663" i="7"/>
  <c r="D664" i="7"/>
  <c r="E664" i="7" s="1"/>
  <c r="F664" i="7" s="1"/>
  <c r="J664" i="7"/>
  <c r="D665" i="7"/>
  <c r="G665" i="7" s="1"/>
  <c r="J665" i="7"/>
  <c r="D666" i="7"/>
  <c r="G666" i="7" s="1"/>
  <c r="J666" i="7"/>
  <c r="D667" i="7"/>
  <c r="E667" i="7" s="1"/>
  <c r="F667" i="7" s="1"/>
  <c r="J667" i="7"/>
  <c r="D668" i="7"/>
  <c r="E668" i="7" s="1"/>
  <c r="F668" i="7" s="1"/>
  <c r="J668" i="7"/>
  <c r="D669" i="7"/>
  <c r="E669" i="7" s="1"/>
  <c r="F669" i="7" s="1"/>
  <c r="J669" i="7"/>
  <c r="D670" i="7"/>
  <c r="G670" i="7" s="1"/>
  <c r="J670" i="7"/>
  <c r="D671" i="7"/>
  <c r="E671" i="7" s="1"/>
  <c r="F671" i="7" s="1"/>
  <c r="J671" i="7"/>
  <c r="D672" i="7"/>
  <c r="E672" i="7" s="1"/>
  <c r="F672" i="7" s="1"/>
  <c r="J672" i="7"/>
  <c r="D673" i="7"/>
  <c r="G673" i="7" s="1"/>
  <c r="J673" i="7"/>
  <c r="D674" i="7"/>
  <c r="G674" i="7" s="1"/>
  <c r="J674" i="7"/>
  <c r="D675" i="7"/>
  <c r="E675" i="7" s="1"/>
  <c r="F675" i="7" s="1"/>
  <c r="J675" i="7"/>
  <c r="D676" i="7"/>
  <c r="E676" i="7" s="1"/>
  <c r="F676" i="7" s="1"/>
  <c r="J676" i="7"/>
  <c r="D677" i="7"/>
  <c r="G677" i="7" s="1"/>
  <c r="J677" i="7"/>
  <c r="D678" i="7"/>
  <c r="G678" i="7" s="1"/>
  <c r="J678" i="7"/>
  <c r="D679" i="7"/>
  <c r="J679" i="7"/>
  <c r="D680" i="7"/>
  <c r="E680" i="7" s="1"/>
  <c r="F680" i="7" s="1"/>
  <c r="J680" i="7"/>
  <c r="D681" i="7"/>
  <c r="G681" i="7" s="1"/>
  <c r="J681" i="7"/>
  <c r="D682" i="7"/>
  <c r="G682" i="7" s="1"/>
  <c r="J682" i="7"/>
  <c r="D683" i="7"/>
  <c r="J683" i="7"/>
  <c r="D684" i="7"/>
  <c r="E684" i="7" s="1"/>
  <c r="F684" i="7" s="1"/>
  <c r="J684" i="7"/>
  <c r="D685" i="7"/>
  <c r="G685" i="7" s="1"/>
  <c r="J685" i="7"/>
  <c r="D686" i="7"/>
  <c r="G686" i="7" s="1"/>
  <c r="J686" i="7"/>
  <c r="D687" i="7"/>
  <c r="J687" i="7"/>
  <c r="D688" i="7"/>
  <c r="E688" i="7" s="1"/>
  <c r="F688" i="7" s="1"/>
  <c r="J688" i="7"/>
  <c r="D689" i="7"/>
  <c r="E689" i="7" s="1"/>
  <c r="F689" i="7" s="1"/>
  <c r="G689" i="7"/>
  <c r="J689" i="7"/>
  <c r="D690" i="7"/>
  <c r="G690" i="7" s="1"/>
  <c r="J690" i="7"/>
  <c r="D691" i="7"/>
  <c r="J691" i="7"/>
  <c r="D692" i="7"/>
  <c r="E692" i="7" s="1"/>
  <c r="F692" i="7" s="1"/>
  <c r="J692" i="7"/>
  <c r="D693" i="7"/>
  <c r="G693" i="7" s="1"/>
  <c r="J693" i="7"/>
  <c r="D694" i="7"/>
  <c r="G694" i="7" s="1"/>
  <c r="J694" i="7"/>
  <c r="D695" i="7"/>
  <c r="G695" i="7" s="1"/>
  <c r="J695" i="7"/>
  <c r="D696" i="7"/>
  <c r="E696" i="7" s="1"/>
  <c r="F696" i="7" s="1"/>
  <c r="J696" i="7"/>
  <c r="D697" i="7"/>
  <c r="G697" i="7" s="1"/>
  <c r="J697" i="7"/>
  <c r="D698" i="7"/>
  <c r="G698" i="7" s="1"/>
  <c r="J698" i="7"/>
  <c r="D699" i="7"/>
  <c r="G699" i="7" s="1"/>
  <c r="J699" i="7"/>
  <c r="D700" i="7"/>
  <c r="E700" i="7" s="1"/>
  <c r="F700" i="7" s="1"/>
  <c r="J700" i="7"/>
  <c r="D701" i="7"/>
  <c r="G701" i="7" s="1"/>
  <c r="J701" i="7"/>
  <c r="D702" i="7"/>
  <c r="G702" i="7" s="1"/>
  <c r="J702" i="7"/>
  <c r="D703" i="7"/>
  <c r="E703" i="7" s="1"/>
  <c r="F703" i="7" s="1"/>
  <c r="J703" i="7"/>
  <c r="D704" i="7"/>
  <c r="G704" i="7" s="1"/>
  <c r="J704" i="7"/>
  <c r="D705" i="7"/>
  <c r="G705" i="7" s="1"/>
  <c r="J705" i="7"/>
  <c r="D706" i="7"/>
  <c r="E706" i="7" s="1"/>
  <c r="F706" i="7" s="1"/>
  <c r="J706" i="7"/>
  <c r="D707" i="7"/>
  <c r="E707" i="7" s="1"/>
  <c r="F707" i="7" s="1"/>
  <c r="J707" i="7"/>
  <c r="D708" i="7"/>
  <c r="G708" i="7" s="1"/>
  <c r="J708" i="7"/>
  <c r="D709" i="7"/>
  <c r="G709" i="7" s="1"/>
  <c r="J709" i="7"/>
  <c r="D710" i="7"/>
  <c r="E710" i="7" s="1"/>
  <c r="F710" i="7" s="1"/>
  <c r="J710" i="7"/>
  <c r="D711" i="7"/>
  <c r="E711" i="7" s="1"/>
  <c r="F711" i="7" s="1"/>
  <c r="J711" i="7"/>
  <c r="D712" i="7"/>
  <c r="E712" i="7" s="1"/>
  <c r="F712" i="7" s="1"/>
  <c r="J712" i="7"/>
  <c r="D713" i="7"/>
  <c r="G713" i="7" s="1"/>
  <c r="J713" i="7"/>
  <c r="D714" i="7"/>
  <c r="E714" i="7" s="1"/>
  <c r="F714" i="7" s="1"/>
  <c r="J714" i="7"/>
  <c r="D715" i="7"/>
  <c r="E715" i="7" s="1"/>
  <c r="F715" i="7" s="1"/>
  <c r="J715" i="7"/>
  <c r="D716" i="7"/>
  <c r="G716" i="7" s="1"/>
  <c r="J716" i="7"/>
  <c r="D717" i="7"/>
  <c r="G717" i="7" s="1"/>
  <c r="J717" i="7"/>
  <c r="D718" i="7"/>
  <c r="G718" i="7" s="1"/>
  <c r="J718" i="7"/>
  <c r="D719" i="7"/>
  <c r="E719" i="7" s="1"/>
  <c r="F719" i="7" s="1"/>
  <c r="J719" i="7"/>
  <c r="D720" i="7"/>
  <c r="E720" i="7" s="1"/>
  <c r="F720" i="7" s="1"/>
  <c r="J720" i="7"/>
  <c r="D721" i="7"/>
  <c r="G721" i="7" s="1"/>
  <c r="J721" i="7"/>
  <c r="D722" i="7"/>
  <c r="E722" i="7" s="1"/>
  <c r="F722" i="7" s="1"/>
  <c r="J722" i="7"/>
  <c r="D723" i="7"/>
  <c r="E723" i="7" s="1"/>
  <c r="F723" i="7" s="1"/>
  <c r="J723" i="7"/>
  <c r="D724" i="7"/>
  <c r="G724" i="7" s="1"/>
  <c r="J724" i="7"/>
  <c r="D725" i="7"/>
  <c r="G725" i="7" s="1"/>
  <c r="J725" i="7"/>
  <c r="D726" i="7"/>
  <c r="E726" i="7" s="1"/>
  <c r="F726" i="7" s="1"/>
  <c r="J726" i="7"/>
  <c r="D727" i="7"/>
  <c r="E727" i="7" s="1"/>
  <c r="F727" i="7" s="1"/>
  <c r="J727" i="7"/>
  <c r="D728" i="7"/>
  <c r="E728" i="7" s="1"/>
  <c r="F728" i="7" s="1"/>
  <c r="J728" i="7"/>
  <c r="D729" i="7"/>
  <c r="G729" i="7" s="1"/>
  <c r="J729" i="7"/>
  <c r="D730" i="7"/>
  <c r="E730" i="7" s="1"/>
  <c r="F730" i="7" s="1"/>
  <c r="J730" i="7"/>
  <c r="D731" i="7"/>
  <c r="E731" i="7" s="1"/>
  <c r="F731" i="7" s="1"/>
  <c r="J731" i="7"/>
  <c r="D732" i="7"/>
  <c r="G732" i="7" s="1"/>
  <c r="J732" i="7"/>
  <c r="D733" i="7"/>
  <c r="G733" i="7" s="1"/>
  <c r="J733" i="7"/>
  <c r="D734" i="7"/>
  <c r="E734" i="7" s="1"/>
  <c r="F734" i="7" s="1"/>
  <c r="J734" i="7"/>
  <c r="D735" i="7"/>
  <c r="E735" i="7" s="1"/>
  <c r="F735" i="7" s="1"/>
  <c r="J735" i="7"/>
  <c r="G447" i="12" l="1"/>
  <c r="G360" i="12"/>
  <c r="G669" i="12"/>
  <c r="G277" i="12"/>
  <c r="G372" i="12"/>
  <c r="G546" i="12"/>
  <c r="G567" i="12"/>
  <c r="G392" i="12"/>
  <c r="G305" i="12"/>
  <c r="G222" i="12"/>
  <c r="G307" i="12"/>
  <c r="G497" i="12"/>
  <c r="G474" i="12"/>
  <c r="G604" i="12"/>
  <c r="G573" i="12"/>
  <c r="G540" i="12"/>
  <c r="G351" i="12"/>
  <c r="G630" i="12"/>
  <c r="G730" i="12"/>
  <c r="G586" i="12"/>
  <c r="G556" i="12"/>
  <c r="G663" i="12"/>
  <c r="I663" i="12" s="1"/>
  <c r="G734" i="12"/>
  <c r="I734" i="12" s="1"/>
  <c r="G690" i="12"/>
  <c r="G561" i="12"/>
  <c r="I561" i="12" s="1"/>
  <c r="G654" i="12"/>
  <c r="I654" i="12" s="1"/>
  <c r="G404" i="12"/>
  <c r="E577" i="7"/>
  <c r="F577" i="7" s="1"/>
  <c r="G392" i="7"/>
  <c r="G734" i="7"/>
  <c r="G643" i="7"/>
  <c r="E649" i="7"/>
  <c r="F649" i="7" s="1"/>
  <c r="E559" i="7"/>
  <c r="F559" i="7" s="1"/>
  <c r="E607" i="7"/>
  <c r="F607" i="7" s="1"/>
  <c r="G449" i="7"/>
  <c r="G414" i="12"/>
  <c r="G306" i="12"/>
  <c r="I306" i="12" s="1"/>
  <c r="G310" i="12"/>
  <c r="I310" i="12" s="1"/>
  <c r="G318" i="12"/>
  <c r="G476" i="12"/>
  <c r="G416" i="12"/>
  <c r="I416" i="12" s="1"/>
  <c r="G472" i="12"/>
  <c r="I472" i="12" s="1"/>
  <c r="G579" i="12"/>
  <c r="G643" i="12"/>
  <c r="I643" i="12" s="1"/>
  <c r="G679" i="12"/>
  <c r="I679" i="12" s="1"/>
  <c r="G711" i="12"/>
  <c r="I711" i="12" s="1"/>
  <c r="G435" i="12"/>
  <c r="G520" i="12"/>
  <c r="G369" i="12"/>
  <c r="I369" i="12" s="1"/>
  <c r="G568" i="12"/>
  <c r="I568" i="12" s="1"/>
  <c r="G439" i="12"/>
  <c r="G516" i="12"/>
  <c r="I516" i="12" s="1"/>
  <c r="G213" i="12"/>
  <c r="I213" i="12" s="1"/>
  <c r="G685" i="12"/>
  <c r="I685" i="12" s="1"/>
  <c r="G625" i="12"/>
  <c r="G589" i="12"/>
  <c r="I589" i="12" s="1"/>
  <c r="G710" i="12"/>
  <c r="I710" i="12" s="1"/>
  <c r="G670" i="12"/>
  <c r="I670" i="12" s="1"/>
  <c r="G638" i="12"/>
  <c r="G606" i="12"/>
  <c r="G574" i="12"/>
  <c r="I574" i="12" s="1"/>
  <c r="G713" i="12"/>
  <c r="I713" i="12" s="1"/>
  <c r="G681" i="12"/>
  <c r="G649" i="12"/>
  <c r="G617" i="12"/>
  <c r="I617" i="12" s="1"/>
  <c r="G585" i="12"/>
  <c r="I585" i="12" s="1"/>
  <c r="G726" i="12"/>
  <c r="G386" i="12"/>
  <c r="G566" i="12"/>
  <c r="I566" i="12" s="1"/>
  <c r="G526" i="12"/>
  <c r="I526" i="12" s="1"/>
  <c r="G366" i="12"/>
  <c r="G641" i="12"/>
  <c r="G527" i="12"/>
  <c r="I527" i="12" s="1"/>
  <c r="G714" i="12"/>
  <c r="I714" i="12" s="1"/>
  <c r="G674" i="12"/>
  <c r="G642" i="12"/>
  <c r="G614" i="12"/>
  <c r="I614" i="12" s="1"/>
  <c r="G582" i="12"/>
  <c r="I582" i="12" s="1"/>
  <c r="G495" i="12"/>
  <c r="G421" i="12"/>
  <c r="G732" i="12"/>
  <c r="I732" i="12" s="1"/>
  <c r="G494" i="12"/>
  <c r="I494" i="12" s="1"/>
  <c r="G533" i="12"/>
  <c r="G430" i="12"/>
  <c r="G724" i="12"/>
  <c r="I724" i="12" s="1"/>
  <c r="G708" i="12"/>
  <c r="I708" i="12" s="1"/>
  <c r="G692" i="12"/>
  <c r="I692" i="12" s="1"/>
  <c r="G676" i="12"/>
  <c r="G660" i="12"/>
  <c r="I660" i="12" s="1"/>
  <c r="G644" i="12"/>
  <c r="I644" i="12" s="1"/>
  <c r="G628" i="12"/>
  <c r="I628" i="12" s="1"/>
  <c r="G612" i="12"/>
  <c r="I612" i="12" s="1"/>
  <c r="G596" i="12"/>
  <c r="I596" i="12" s="1"/>
  <c r="G580" i="12"/>
  <c r="I580" i="12" s="1"/>
  <c r="G553" i="12"/>
  <c r="I553" i="12" s="1"/>
  <c r="G479" i="12"/>
  <c r="G395" i="12"/>
  <c r="I395" i="12" s="1"/>
  <c r="G385" i="12"/>
  <c r="I385" i="12" s="1"/>
  <c r="G319" i="12"/>
  <c r="I319" i="12" s="1"/>
  <c r="G506" i="12"/>
  <c r="G473" i="12"/>
  <c r="I473" i="12" s="1"/>
  <c r="G565" i="12"/>
  <c r="I565" i="12" s="1"/>
  <c r="G541" i="12"/>
  <c r="I541" i="12" s="1"/>
  <c r="G490" i="12"/>
  <c r="G457" i="12"/>
  <c r="I457" i="12" s="1"/>
  <c r="G409" i="12"/>
  <c r="I409" i="12" s="1"/>
  <c r="G398" i="12"/>
  <c r="G349" i="12"/>
  <c r="G481" i="12"/>
  <c r="I481" i="12" s="1"/>
  <c r="G417" i="12"/>
  <c r="I417" i="12" s="1"/>
  <c r="G365" i="12"/>
  <c r="I365" i="12" s="1"/>
  <c r="G341" i="12"/>
  <c r="G525" i="12"/>
  <c r="I525" i="12" s="1"/>
  <c r="G461" i="12"/>
  <c r="I461" i="12" s="1"/>
  <c r="G397" i="12"/>
  <c r="G368" i="12"/>
  <c r="I368" i="12" s="1"/>
  <c r="G286" i="12"/>
  <c r="I286" i="12" s="1"/>
  <c r="G312" i="12"/>
  <c r="I312" i="12" s="1"/>
  <c r="G276" i="12"/>
  <c r="I276" i="12" s="1"/>
  <c r="G282" i="12"/>
  <c r="G254" i="12"/>
  <c r="I254" i="12" s="1"/>
  <c r="G292" i="12"/>
  <c r="I292" i="12" s="1"/>
  <c r="G240" i="12"/>
  <c r="G219" i="12"/>
  <c r="G252" i="12"/>
  <c r="I252" i="12" s="1"/>
  <c r="G225" i="12"/>
  <c r="I225" i="12" s="1"/>
  <c r="G296" i="12"/>
  <c r="I296" i="12" s="1"/>
  <c r="G248" i="12"/>
  <c r="G227" i="12"/>
  <c r="I227" i="12" s="1"/>
  <c r="G211" i="12"/>
  <c r="I211" i="12" s="1"/>
  <c r="G204" i="12"/>
  <c r="G196" i="12"/>
  <c r="G189" i="12"/>
  <c r="I189" i="12" s="1"/>
  <c r="G201" i="12"/>
  <c r="I201" i="12" s="1"/>
  <c r="G181" i="12"/>
  <c r="I181" i="12" s="1"/>
  <c r="G165" i="12"/>
  <c r="G184" i="12"/>
  <c r="I184" i="12" s="1"/>
  <c r="G168" i="12"/>
  <c r="I168" i="12" s="1"/>
  <c r="G199" i="12"/>
  <c r="G178" i="12"/>
  <c r="G194" i="12"/>
  <c r="I194" i="12" s="1"/>
  <c r="G179" i="12"/>
  <c r="I179" i="12" s="1"/>
  <c r="G162" i="12"/>
  <c r="I162" i="12" s="1"/>
  <c r="G154" i="12"/>
  <c r="G151" i="12"/>
  <c r="I151" i="12" s="1"/>
  <c r="G142" i="12"/>
  <c r="I142" i="12" s="1"/>
  <c r="G136" i="12"/>
  <c r="I136" i="12" s="1"/>
  <c r="G118" i="12"/>
  <c r="I118" i="12" s="1"/>
  <c r="G137" i="12"/>
  <c r="I137" i="12" s="1"/>
  <c r="G148" i="12"/>
  <c r="I148" i="12" s="1"/>
  <c r="G125" i="12"/>
  <c r="I125" i="12" s="1"/>
  <c r="G112" i="12"/>
  <c r="G97" i="12"/>
  <c r="I97" i="12" s="1"/>
  <c r="G73" i="12"/>
  <c r="I73" i="12" s="1"/>
  <c r="G128" i="12"/>
  <c r="I128" i="12" s="1"/>
  <c r="G114" i="12"/>
  <c r="G84" i="12"/>
  <c r="I84" i="12" s="1"/>
  <c r="G123" i="12"/>
  <c r="I123" i="12" s="1"/>
  <c r="G108" i="12"/>
  <c r="I108" i="12" s="1"/>
  <c r="G81" i="12"/>
  <c r="G103" i="12"/>
  <c r="I103" i="12" s="1"/>
  <c r="G77" i="12"/>
  <c r="I77" i="12" s="1"/>
  <c r="G87" i="12"/>
  <c r="I87" i="12" s="1"/>
  <c r="G71" i="12"/>
  <c r="G74" i="12"/>
  <c r="G89" i="12"/>
  <c r="I89" i="12" s="1"/>
  <c r="G426" i="12"/>
  <c r="I426" i="12" s="1"/>
  <c r="G443" i="12"/>
  <c r="I443" i="12" s="1"/>
  <c r="G333" i="12"/>
  <c r="I333" i="12" s="1"/>
  <c r="G720" i="12"/>
  <c r="I720" i="12" s="1"/>
  <c r="G704" i="12"/>
  <c r="G688" i="12"/>
  <c r="I688" i="12" s="1"/>
  <c r="G672" i="12"/>
  <c r="I672" i="12" s="1"/>
  <c r="G656" i="12"/>
  <c r="I656" i="12" s="1"/>
  <c r="G640" i="12"/>
  <c r="I640" i="12" s="1"/>
  <c r="G624" i="12"/>
  <c r="G608" i="12"/>
  <c r="I608" i="12" s="1"/>
  <c r="G592" i="12"/>
  <c r="I592" i="12" s="1"/>
  <c r="G576" i="12"/>
  <c r="G551" i="12"/>
  <c r="G478" i="12"/>
  <c r="I478" i="12" s="1"/>
  <c r="G394" i="12"/>
  <c r="I394" i="12" s="1"/>
  <c r="G348" i="12"/>
  <c r="I348" i="12" s="1"/>
  <c r="G236" i="12"/>
  <c r="I236" i="12" s="1"/>
  <c r="G505" i="12"/>
  <c r="I505" i="12" s="1"/>
  <c r="G469" i="12"/>
  <c r="I469" i="12" s="1"/>
  <c r="G562" i="12"/>
  <c r="I562" i="12" s="1"/>
  <c r="G522" i="12"/>
  <c r="G489" i="12"/>
  <c r="I489" i="12" s="1"/>
  <c r="G453" i="12"/>
  <c r="I453" i="12" s="1"/>
  <c r="G405" i="12"/>
  <c r="I405" i="12" s="1"/>
  <c r="G380" i="12"/>
  <c r="G529" i="12"/>
  <c r="I529" i="12" s="1"/>
  <c r="G465" i="12"/>
  <c r="I465" i="12" s="1"/>
  <c r="G401" i="12"/>
  <c r="G357" i="12"/>
  <c r="I357" i="12" s="1"/>
  <c r="G340" i="12"/>
  <c r="I340" i="12" s="1"/>
  <c r="G509" i="12"/>
  <c r="I509" i="12" s="1"/>
  <c r="G445" i="12"/>
  <c r="I445" i="12" s="1"/>
  <c r="G388" i="12"/>
  <c r="G329" i="12"/>
  <c r="I329" i="12" s="1"/>
  <c r="G260" i="12"/>
  <c r="I260" i="12" s="1"/>
  <c r="G308" i="12"/>
  <c r="I308" i="12" s="1"/>
  <c r="G327" i="12"/>
  <c r="G281" i="12"/>
  <c r="I281" i="12" s="1"/>
  <c r="G249" i="12"/>
  <c r="I249" i="12" s="1"/>
  <c r="G223" i="12"/>
  <c r="I223" i="12" s="1"/>
  <c r="G335" i="12"/>
  <c r="G346" i="12"/>
  <c r="I346" i="12" s="1"/>
  <c r="G508" i="12"/>
  <c r="I508" i="12" s="1"/>
  <c r="G480" i="12"/>
  <c r="I480" i="12" s="1"/>
  <c r="G502" i="12"/>
  <c r="G595" i="12"/>
  <c r="I595" i="12" s="1"/>
  <c r="G659" i="12"/>
  <c r="I659" i="12" s="1"/>
  <c r="G691" i="12"/>
  <c r="I691" i="12" s="1"/>
  <c r="G723" i="12"/>
  <c r="G466" i="12"/>
  <c r="I466" i="12" s="1"/>
  <c r="G572" i="12"/>
  <c r="I572" i="12" s="1"/>
  <c r="G420" i="12"/>
  <c r="I420" i="12" s="1"/>
  <c r="G316" i="12"/>
  <c r="I316" i="12" s="1"/>
  <c r="G452" i="12"/>
  <c r="I452" i="12" s="1"/>
  <c r="G530" i="12"/>
  <c r="I530" i="12" s="1"/>
  <c r="G210" i="12"/>
  <c r="I210" i="12" s="1"/>
  <c r="G673" i="12"/>
  <c r="I673" i="12" s="1"/>
  <c r="G621" i="12"/>
  <c r="I621" i="12" s="1"/>
  <c r="G545" i="12"/>
  <c r="I545" i="12" s="1"/>
  <c r="G702" i="12"/>
  <c r="I702" i="12" s="1"/>
  <c r="G662" i="12"/>
  <c r="G626" i="12"/>
  <c r="I626" i="12" s="1"/>
  <c r="G598" i="12"/>
  <c r="I598" i="12" s="1"/>
  <c r="G515" i="12"/>
  <c r="I515" i="12" s="1"/>
  <c r="G709" i="12"/>
  <c r="G677" i="12"/>
  <c r="I677" i="12" s="1"/>
  <c r="G645" i="12"/>
  <c r="I645" i="12" s="1"/>
  <c r="G613" i="12"/>
  <c r="I613" i="12" s="1"/>
  <c r="G581" i="12"/>
  <c r="I581" i="12" s="1"/>
  <c r="G706" i="12"/>
  <c r="I706" i="12" s="1"/>
  <c r="G332" i="12"/>
  <c r="I332" i="12" s="1"/>
  <c r="G559" i="12"/>
  <c r="I559" i="12" s="1"/>
  <c r="G483" i="12"/>
  <c r="G338" i="12"/>
  <c r="I338" i="12" s="1"/>
  <c r="G637" i="12"/>
  <c r="I637" i="12" s="1"/>
  <c r="G462" i="12"/>
  <c r="I462" i="12" s="1"/>
  <c r="G698" i="12"/>
  <c r="I698" i="12" s="1"/>
  <c r="G666" i="12"/>
  <c r="I666" i="12" s="1"/>
  <c r="G634" i="12"/>
  <c r="I634" i="12" s="1"/>
  <c r="G602" i="12"/>
  <c r="I602" i="12" s="1"/>
  <c r="G560" i="12"/>
  <c r="G427" i="12"/>
  <c r="I427" i="12" s="1"/>
  <c r="G419" i="12"/>
  <c r="I419" i="12" s="1"/>
  <c r="G733" i="12"/>
  <c r="G93" i="12"/>
  <c r="G82" i="12"/>
  <c r="I82" i="12" s="1"/>
  <c r="G83" i="12"/>
  <c r="I83" i="12" s="1"/>
  <c r="G92" i="12"/>
  <c r="I92" i="12" s="1"/>
  <c r="G111" i="12"/>
  <c r="G101" i="12"/>
  <c r="I101" i="12" s="1"/>
  <c r="G127" i="12"/>
  <c r="I127" i="12" s="1"/>
  <c r="G106" i="12"/>
  <c r="I106" i="12" s="1"/>
  <c r="G124" i="12"/>
  <c r="G88" i="12"/>
  <c r="I88" i="12" s="1"/>
  <c r="G104" i="12"/>
  <c r="I104" i="12" s="1"/>
  <c r="G121" i="12"/>
  <c r="I121" i="12" s="1"/>
  <c r="G149" i="12"/>
  <c r="I149" i="12" s="1"/>
  <c r="G157" i="12"/>
  <c r="I157" i="12" s="1"/>
  <c r="G132" i="12"/>
  <c r="I132" i="12" s="1"/>
  <c r="G134" i="12"/>
  <c r="G159" i="12"/>
  <c r="G163" i="12"/>
  <c r="I163" i="12" s="1"/>
  <c r="G180" i="12"/>
  <c r="I180" i="12" s="1"/>
  <c r="G170" i="12"/>
  <c r="I170" i="12" s="1"/>
  <c r="G195" i="12"/>
  <c r="I195" i="12" s="1"/>
  <c r="G175" i="12"/>
  <c r="I175" i="12" s="1"/>
  <c r="G145" i="12"/>
  <c r="I145" i="12" s="1"/>
  <c r="G174" i="12"/>
  <c r="G212" i="12"/>
  <c r="G202" i="12"/>
  <c r="I202" i="12" s="1"/>
  <c r="G190" i="12"/>
  <c r="I190" i="12" s="1"/>
  <c r="G216" i="12"/>
  <c r="I216" i="12" s="1"/>
  <c r="G235" i="12"/>
  <c r="I235" i="12" s="1"/>
  <c r="G280" i="12"/>
  <c r="I280" i="12" s="1"/>
  <c r="G232" i="12"/>
  <c r="I232" i="12" s="1"/>
  <c r="G268" i="12"/>
  <c r="I268" i="12" s="1"/>
  <c r="G238" i="12"/>
  <c r="G293" i="12"/>
  <c r="I293" i="12" s="1"/>
  <c r="G303" i="12"/>
  <c r="I303" i="12" s="1"/>
  <c r="G315" i="12"/>
  <c r="I315" i="12" s="1"/>
  <c r="G384" i="12"/>
  <c r="G477" i="12"/>
  <c r="I477" i="12" s="1"/>
  <c r="G352" i="12"/>
  <c r="I352" i="12" s="1"/>
  <c r="G433" i="12"/>
  <c r="I433" i="12" s="1"/>
  <c r="G364" i="12"/>
  <c r="G410" i="12"/>
  <c r="I410" i="12" s="1"/>
  <c r="G517" i="12"/>
  <c r="I517" i="12" s="1"/>
  <c r="G441" i="12"/>
  <c r="I441" i="12" s="1"/>
  <c r="G537" i="12"/>
  <c r="G389" i="12"/>
  <c r="I389" i="12" s="1"/>
  <c r="G510" i="12"/>
  <c r="I510" i="12" s="1"/>
  <c r="G584" i="12"/>
  <c r="I584" i="12" s="1"/>
  <c r="G616" i="12"/>
  <c r="I616" i="12" s="1"/>
  <c r="G648" i="12"/>
  <c r="I648" i="12" s="1"/>
  <c r="G680" i="12"/>
  <c r="I680" i="12" s="1"/>
  <c r="G712" i="12"/>
  <c r="I712" i="12" s="1"/>
  <c r="G431" i="12"/>
  <c r="G538" i="12"/>
  <c r="I538" i="12" s="1"/>
  <c r="G423" i="12"/>
  <c r="I423" i="12" s="1"/>
  <c r="G590" i="12"/>
  <c r="I590" i="12" s="1"/>
  <c r="G650" i="12"/>
  <c r="I650" i="12" s="1"/>
  <c r="G722" i="12"/>
  <c r="I722" i="12" s="1"/>
  <c r="G717" i="12"/>
  <c r="I717" i="12" s="1"/>
  <c r="G550" i="12"/>
  <c r="I550" i="12" s="1"/>
  <c r="G390" i="12"/>
  <c r="I390" i="12" s="1"/>
  <c r="G597" i="12"/>
  <c r="I597" i="12" s="1"/>
  <c r="G661" i="12"/>
  <c r="I661" i="12" s="1"/>
  <c r="G725" i="12"/>
  <c r="I725" i="12" s="1"/>
  <c r="G610" i="12"/>
  <c r="I610" i="12" s="1"/>
  <c r="G678" i="12"/>
  <c r="I678" i="12" s="1"/>
  <c r="G593" i="12"/>
  <c r="I593" i="12" s="1"/>
  <c r="G701" i="12"/>
  <c r="I701" i="12" s="1"/>
  <c r="G503" i="12"/>
  <c r="G552" i="12"/>
  <c r="I552" i="12" s="1"/>
  <c r="G518" i="12"/>
  <c r="I518" i="12" s="1"/>
  <c r="G707" i="12"/>
  <c r="I707" i="12" s="1"/>
  <c r="G627" i="12"/>
  <c r="G450" i="12"/>
  <c r="I450" i="12" s="1"/>
  <c r="G444" i="12"/>
  <c r="I444" i="12" s="1"/>
  <c r="G304" i="12"/>
  <c r="I304" i="12" s="1"/>
  <c r="G66" i="12"/>
  <c r="I66" i="12" s="1"/>
  <c r="G67" i="12"/>
  <c r="I67" i="12" s="1"/>
  <c r="G91" i="12"/>
  <c r="I91" i="12" s="1"/>
  <c r="G94" i="12"/>
  <c r="G80" i="12"/>
  <c r="G109" i="12"/>
  <c r="I109" i="12" s="1"/>
  <c r="G131" i="12"/>
  <c r="I131" i="12" s="1"/>
  <c r="G107" i="12"/>
  <c r="I107" i="12" s="1"/>
  <c r="G68" i="12"/>
  <c r="I68" i="12" s="1"/>
  <c r="G90" i="12"/>
  <c r="I90" i="12" s="1"/>
  <c r="G105" i="12"/>
  <c r="I105" i="12" s="1"/>
  <c r="G122" i="12"/>
  <c r="I122" i="12" s="1"/>
  <c r="G150" i="12"/>
  <c r="G161" i="12"/>
  <c r="I161" i="12" s="1"/>
  <c r="G139" i="12"/>
  <c r="I139" i="12" s="1"/>
  <c r="G138" i="12"/>
  <c r="I138" i="12" s="1"/>
  <c r="G143" i="12"/>
  <c r="G164" i="12"/>
  <c r="I164" i="12" s="1"/>
  <c r="G185" i="12"/>
  <c r="I185" i="12" s="1"/>
  <c r="G177" i="12"/>
  <c r="I177" i="12" s="1"/>
  <c r="G144" i="12"/>
  <c r="I144" i="12" s="1"/>
  <c r="G176" i="12"/>
  <c r="I176" i="12" s="1"/>
  <c r="G152" i="12"/>
  <c r="I152" i="12" s="1"/>
  <c r="G182" i="12"/>
  <c r="I182" i="12" s="1"/>
  <c r="G214" i="12"/>
  <c r="G198" i="12"/>
  <c r="I198" i="12" s="1"/>
  <c r="G205" i="12"/>
  <c r="I205" i="12" s="1"/>
  <c r="G217" i="12"/>
  <c r="I217" i="12" s="1"/>
  <c r="G245" i="12"/>
  <c r="G208" i="12"/>
  <c r="I208" i="12" s="1"/>
  <c r="G233" i="12"/>
  <c r="I233" i="12" s="1"/>
  <c r="G284" i="12"/>
  <c r="I284" i="12" s="1"/>
  <c r="G256" i="12"/>
  <c r="I256" i="12" s="1"/>
  <c r="G323" i="12"/>
  <c r="I323" i="12" s="1"/>
  <c r="G311" i="12"/>
  <c r="I311" i="12" s="1"/>
  <c r="G328" i="12"/>
  <c r="I328" i="12" s="1"/>
  <c r="G381" i="12"/>
  <c r="G493" i="12"/>
  <c r="I493" i="12" s="1"/>
  <c r="G356" i="12"/>
  <c r="I356" i="12" s="1"/>
  <c r="G449" i="12"/>
  <c r="I449" i="12" s="1"/>
  <c r="G376" i="12"/>
  <c r="G411" i="12"/>
  <c r="I411" i="12" s="1"/>
  <c r="G521" i="12"/>
  <c r="I521" i="12" s="1"/>
  <c r="G442" i="12"/>
  <c r="I442" i="12" s="1"/>
  <c r="G557" i="12"/>
  <c r="I557" i="12" s="1"/>
  <c r="G393" i="12"/>
  <c r="I393" i="12" s="1"/>
  <c r="G511" i="12"/>
  <c r="I511" i="12" s="1"/>
  <c r="G588" i="12"/>
  <c r="I588" i="12" s="1"/>
  <c r="G620" i="12"/>
  <c r="G652" i="12"/>
  <c r="I652" i="12" s="1"/>
  <c r="G684" i="12"/>
  <c r="I684" i="12" s="1"/>
  <c r="G716" i="12"/>
  <c r="I716" i="12" s="1"/>
  <c r="G437" i="12"/>
  <c r="G558" i="12"/>
  <c r="I558" i="12" s="1"/>
  <c r="G425" i="12"/>
  <c r="I425" i="12" s="1"/>
  <c r="G594" i="12"/>
  <c r="I594" i="12" s="1"/>
  <c r="G658" i="12"/>
  <c r="I658" i="12" s="1"/>
  <c r="G379" i="12"/>
  <c r="I379" i="12" s="1"/>
  <c r="G721" i="12"/>
  <c r="I721" i="12" s="1"/>
  <c r="G555" i="12"/>
  <c r="I555" i="12" s="1"/>
  <c r="G402" i="12"/>
  <c r="G601" i="12"/>
  <c r="I601" i="12" s="1"/>
  <c r="G665" i="12"/>
  <c r="I665" i="12" s="1"/>
  <c r="G467" i="12"/>
  <c r="I467" i="12" s="1"/>
  <c r="G622" i="12"/>
  <c r="G694" i="12"/>
  <c r="I694" i="12" s="1"/>
  <c r="G605" i="12"/>
  <c r="I605" i="12" s="1"/>
  <c r="G705" i="12"/>
  <c r="I705" i="12" s="1"/>
  <c r="G471" i="12"/>
  <c r="G422" i="12"/>
  <c r="I422" i="12" s="1"/>
  <c r="G486" i="12"/>
  <c r="I486" i="12" s="1"/>
  <c r="G695" i="12"/>
  <c r="I695" i="12" s="1"/>
  <c r="G611" i="12"/>
  <c r="G407" i="12"/>
  <c r="I407" i="12" s="1"/>
  <c r="G378" i="12"/>
  <c r="I378" i="12" s="1"/>
  <c r="G273" i="12"/>
  <c r="I273" i="12" s="1"/>
  <c r="G600" i="12"/>
  <c r="G632" i="12"/>
  <c r="I632" i="12" s="1"/>
  <c r="G664" i="12"/>
  <c r="I664" i="12" s="1"/>
  <c r="G696" i="12"/>
  <c r="I696" i="12" s="1"/>
  <c r="G728" i="12"/>
  <c r="G350" i="12"/>
  <c r="I350" i="12" s="1"/>
  <c r="G377" i="12"/>
  <c r="I377" i="12" s="1"/>
  <c r="G499" i="12"/>
  <c r="I499" i="12" s="1"/>
  <c r="G618" i="12"/>
  <c r="G682" i="12"/>
  <c r="I682" i="12" s="1"/>
  <c r="G531" i="12"/>
  <c r="I531" i="12" s="1"/>
  <c r="G415" i="12"/>
  <c r="I415" i="12" s="1"/>
  <c r="G571" i="12"/>
  <c r="G451" i="12"/>
  <c r="I451" i="12" s="1"/>
  <c r="G629" i="12"/>
  <c r="I629" i="12" s="1"/>
  <c r="G693" i="12"/>
  <c r="I693" i="12" s="1"/>
  <c r="G578" i="12"/>
  <c r="G646" i="12"/>
  <c r="I646" i="12" s="1"/>
  <c r="G729" i="12"/>
  <c r="I729" i="12" s="1"/>
  <c r="G653" i="12"/>
  <c r="I653" i="12" s="1"/>
  <c r="G570" i="12"/>
  <c r="G406" i="12"/>
  <c r="I406" i="12" s="1"/>
  <c r="G361" i="12"/>
  <c r="I361" i="12" s="1"/>
  <c r="G408" i="12"/>
  <c r="I408" i="12" s="1"/>
  <c r="G675" i="12"/>
  <c r="G548" i="12"/>
  <c r="I548" i="12" s="1"/>
  <c r="G362" i="12"/>
  <c r="I362" i="12" s="1"/>
  <c r="G291" i="12"/>
  <c r="I291" i="12" s="1"/>
  <c r="G244" i="12"/>
  <c r="G229" i="12"/>
  <c r="I229" i="12" s="1"/>
  <c r="G294" i="12"/>
  <c r="I294" i="12" s="1"/>
  <c r="G259" i="12"/>
  <c r="I259" i="12" s="1"/>
  <c r="G242" i="12"/>
  <c r="I242" i="12" s="1"/>
  <c r="G255" i="12"/>
  <c r="I255" i="12" s="1"/>
  <c r="G262" i="12"/>
  <c r="I262" i="12" s="1"/>
  <c r="G434" i="12"/>
  <c r="I434" i="12" s="1"/>
  <c r="G391" i="12"/>
  <c r="I391" i="12" s="1"/>
  <c r="G354" i="12"/>
  <c r="I354" i="12" s="1"/>
  <c r="G554" i="12"/>
  <c r="I554" i="12" s="1"/>
  <c r="G498" i="12"/>
  <c r="I498" i="12" s="1"/>
  <c r="G456" i="12"/>
  <c r="I456" i="12" s="1"/>
  <c r="G735" i="12"/>
  <c r="I735" i="12" s="1"/>
  <c r="G719" i="12"/>
  <c r="I719" i="12" s="1"/>
  <c r="G703" i="12"/>
  <c r="I703" i="12" s="1"/>
  <c r="G687" i="12"/>
  <c r="I687" i="12" s="1"/>
  <c r="G671" i="12"/>
  <c r="I671" i="12" s="1"/>
  <c r="G655" i="12"/>
  <c r="I655" i="12" s="1"/>
  <c r="G639" i="12"/>
  <c r="I639" i="12" s="1"/>
  <c r="G623" i="12"/>
  <c r="I623" i="12" s="1"/>
  <c r="G607" i="12"/>
  <c r="I607" i="12" s="1"/>
  <c r="G591" i="12"/>
  <c r="I591" i="12" s="1"/>
  <c r="G575" i="12"/>
  <c r="I575" i="12" s="1"/>
  <c r="G547" i="12"/>
  <c r="I547" i="12" s="1"/>
  <c r="G519" i="12"/>
  <c r="I519" i="12" s="1"/>
  <c r="G500" i="12"/>
  <c r="I500" i="12" s="1"/>
  <c r="G470" i="12"/>
  <c r="I470" i="12" s="1"/>
  <c r="G440" i="12"/>
  <c r="I440" i="12" s="1"/>
  <c r="G528" i="12"/>
  <c r="I528" i="12" s="1"/>
  <c r="G464" i="12"/>
  <c r="I464" i="12" s="1"/>
  <c r="G400" i="12"/>
  <c r="I400" i="12" s="1"/>
  <c r="G358" i="12"/>
  <c r="I358" i="12" s="1"/>
  <c r="G536" i="12"/>
  <c r="I536" i="12" s="1"/>
  <c r="G507" i="12"/>
  <c r="I507" i="12" s="1"/>
  <c r="G475" i="12"/>
  <c r="I475" i="12" s="1"/>
  <c r="G428" i="12"/>
  <c r="I428" i="12" s="1"/>
  <c r="G374" i="12"/>
  <c r="I374" i="12" s="1"/>
  <c r="G337" i="12"/>
  <c r="I337" i="12" s="1"/>
  <c r="G317" i="12"/>
  <c r="I317" i="12" s="1"/>
  <c r="G289" i="12"/>
  <c r="I289" i="12" s="1"/>
  <c r="G243" i="12"/>
  <c r="I243" i="12" s="1"/>
  <c r="G347" i="12"/>
  <c r="I347" i="12" s="1"/>
  <c r="G331" i="12"/>
  <c r="I331" i="12" s="1"/>
  <c r="G309" i="12"/>
  <c r="I309" i="12" s="1"/>
  <c r="G322" i="12"/>
  <c r="I322" i="12" s="1"/>
  <c r="G290" i="12"/>
  <c r="I290" i="12" s="1"/>
  <c r="G257" i="12"/>
  <c r="I257" i="12" s="1"/>
  <c r="G221" i="12"/>
  <c r="I221" i="12" s="1"/>
  <c r="G253" i="12"/>
  <c r="I253" i="12" s="1"/>
  <c r="G283" i="12"/>
  <c r="I283" i="12" s="1"/>
  <c r="G302" i="12"/>
  <c r="I302" i="12" s="1"/>
  <c r="G279" i="12"/>
  <c r="I279" i="12" s="1"/>
  <c r="G247" i="12"/>
  <c r="I247" i="12" s="1"/>
  <c r="G345" i="12"/>
  <c r="I345" i="12" s="1"/>
  <c r="G686" i="12"/>
  <c r="I686" i="12" s="1"/>
  <c r="G718" i="12"/>
  <c r="I718" i="12" s="1"/>
  <c r="G577" i="12"/>
  <c r="I577" i="12" s="1"/>
  <c r="G609" i="12"/>
  <c r="I609" i="12" s="1"/>
  <c r="G657" i="12"/>
  <c r="I657" i="12" s="1"/>
  <c r="G689" i="12"/>
  <c r="I689" i="12" s="1"/>
  <c r="G209" i="12"/>
  <c r="I209" i="12" s="1"/>
  <c r="G535" i="12"/>
  <c r="I535" i="12" s="1"/>
  <c r="G484" i="12"/>
  <c r="I484" i="12" s="1"/>
  <c r="G418" i="12"/>
  <c r="I418" i="12" s="1"/>
  <c r="G297" i="12"/>
  <c r="I297" i="12" s="1"/>
  <c r="G424" i="12"/>
  <c r="I424" i="12" s="1"/>
  <c r="G371" i="12"/>
  <c r="I371" i="12" s="1"/>
  <c r="G334" i="12"/>
  <c r="I334" i="12" s="1"/>
  <c r="G543" i="12"/>
  <c r="I543" i="12" s="1"/>
  <c r="G488" i="12"/>
  <c r="I488" i="12" s="1"/>
  <c r="G454" i="12"/>
  <c r="I454" i="12" s="1"/>
  <c r="G731" i="12"/>
  <c r="I731" i="12" s="1"/>
  <c r="G715" i="12"/>
  <c r="I715" i="12" s="1"/>
  <c r="G699" i="12"/>
  <c r="I699" i="12" s="1"/>
  <c r="G683" i="12"/>
  <c r="I683" i="12" s="1"/>
  <c r="G667" i="12"/>
  <c r="I667" i="12" s="1"/>
  <c r="G651" i="12"/>
  <c r="I651" i="12" s="1"/>
  <c r="G635" i="12"/>
  <c r="I635" i="12" s="1"/>
  <c r="G619" i="12"/>
  <c r="I619" i="12" s="1"/>
  <c r="G603" i="12"/>
  <c r="I603" i="12" s="1"/>
  <c r="G587" i="12"/>
  <c r="I587" i="12" s="1"/>
  <c r="G564" i="12"/>
  <c r="I564" i="12" s="1"/>
  <c r="G539" i="12"/>
  <c r="I539" i="12" s="1"/>
  <c r="G514" i="12"/>
  <c r="I514" i="12" s="1"/>
  <c r="G487" i="12"/>
  <c r="I487" i="12" s="1"/>
  <c r="G468" i="12"/>
  <c r="I468" i="12" s="1"/>
  <c r="G438" i="12"/>
  <c r="I438" i="12" s="1"/>
  <c r="G512" i="12"/>
  <c r="I512" i="12" s="1"/>
  <c r="G448" i="12"/>
  <c r="I448" i="12" s="1"/>
  <c r="G387" i="12"/>
  <c r="I387" i="12" s="1"/>
  <c r="G342" i="12"/>
  <c r="I342" i="12" s="1"/>
  <c r="G524" i="12"/>
  <c r="I524" i="12" s="1"/>
  <c r="G492" i="12"/>
  <c r="I492" i="12" s="1"/>
  <c r="G460" i="12"/>
  <c r="I460" i="12" s="1"/>
  <c r="G412" i="12"/>
  <c r="I412" i="12" s="1"/>
  <c r="G363" i="12"/>
  <c r="I363" i="12" s="1"/>
  <c r="G383" i="12"/>
  <c r="I383" i="12" s="1"/>
  <c r="G330" i="12"/>
  <c r="I330" i="12" s="1"/>
  <c r="G287" i="12"/>
  <c r="I287" i="12" s="1"/>
  <c r="G359" i="12"/>
  <c r="I359" i="12" s="1"/>
  <c r="G343" i="12"/>
  <c r="I343" i="12" s="1"/>
  <c r="G326" i="12"/>
  <c r="I326" i="12" s="1"/>
  <c r="G301" i="12"/>
  <c r="I301" i="12" s="1"/>
  <c r="G321" i="12"/>
  <c r="I321" i="12" s="1"/>
  <c r="G285" i="12"/>
  <c r="I285" i="12" s="1"/>
  <c r="G241" i="12"/>
  <c r="I241" i="12" s="1"/>
  <c r="G271" i="12"/>
  <c r="I271" i="12" s="1"/>
  <c r="G239" i="12"/>
  <c r="I239" i="12" s="1"/>
  <c r="G267" i="12"/>
  <c r="I267" i="12" s="1"/>
  <c r="G298" i="12"/>
  <c r="I298" i="12" s="1"/>
  <c r="G278" i="12"/>
  <c r="I278" i="12" s="1"/>
  <c r="G246" i="12"/>
  <c r="I246" i="12" s="1"/>
  <c r="G370" i="12"/>
  <c r="I370" i="12" s="1"/>
  <c r="G647" i="12"/>
  <c r="I647" i="12" s="1"/>
  <c r="G631" i="12"/>
  <c r="I631" i="12" s="1"/>
  <c r="G615" i="12"/>
  <c r="I615" i="12" s="1"/>
  <c r="G599" i="12"/>
  <c r="I599" i="12" s="1"/>
  <c r="G583" i="12"/>
  <c r="I583" i="12" s="1"/>
  <c r="G563" i="12"/>
  <c r="I563" i="12" s="1"/>
  <c r="G534" i="12"/>
  <c r="I534" i="12" s="1"/>
  <c r="G504" i="12"/>
  <c r="I504" i="12" s="1"/>
  <c r="G482" i="12"/>
  <c r="I482" i="12" s="1"/>
  <c r="G455" i="12"/>
  <c r="I455" i="12" s="1"/>
  <c r="G436" i="12"/>
  <c r="I436" i="12" s="1"/>
  <c r="G496" i="12"/>
  <c r="I496" i="12" s="1"/>
  <c r="G432" i="12"/>
  <c r="I432" i="12" s="1"/>
  <c r="G373" i="12"/>
  <c r="I373" i="12" s="1"/>
  <c r="G544" i="12"/>
  <c r="I544" i="12" s="1"/>
  <c r="G523" i="12"/>
  <c r="I523" i="12" s="1"/>
  <c r="G491" i="12"/>
  <c r="I491" i="12" s="1"/>
  <c r="G459" i="12"/>
  <c r="I459" i="12" s="1"/>
  <c r="G396" i="12"/>
  <c r="I396" i="12" s="1"/>
  <c r="G353" i="12"/>
  <c r="I353" i="12" s="1"/>
  <c r="G367" i="12"/>
  <c r="I367" i="12" s="1"/>
  <c r="G314" i="12"/>
  <c r="I314" i="12" s="1"/>
  <c r="G274" i="12"/>
  <c r="I274" i="12" s="1"/>
  <c r="G355" i="12"/>
  <c r="I355" i="12" s="1"/>
  <c r="G339" i="12"/>
  <c r="I339" i="12" s="1"/>
  <c r="G325" i="12"/>
  <c r="I325" i="12" s="1"/>
  <c r="G258" i="12"/>
  <c r="I258" i="12" s="1"/>
  <c r="G320" i="12"/>
  <c r="I320" i="12" s="1"/>
  <c r="G275" i="12"/>
  <c r="I275" i="12" s="1"/>
  <c r="G237" i="12"/>
  <c r="I237" i="12" s="1"/>
  <c r="G269" i="12"/>
  <c r="I269" i="12" s="1"/>
  <c r="G231" i="12"/>
  <c r="I231" i="12" s="1"/>
  <c r="G251" i="12"/>
  <c r="I251" i="12" s="1"/>
  <c r="G295" i="12"/>
  <c r="I295" i="12" s="1"/>
  <c r="G263" i="12"/>
  <c r="I263" i="12" s="1"/>
  <c r="G220" i="12"/>
  <c r="I220" i="12" s="1"/>
  <c r="E718" i="7"/>
  <c r="F718" i="7" s="1"/>
  <c r="G669" i="7"/>
  <c r="E583" i="7"/>
  <c r="F583" i="7" s="1"/>
  <c r="E560" i="7"/>
  <c r="F560" i="7" s="1"/>
  <c r="G551" i="7"/>
  <c r="G427" i="7"/>
  <c r="G503" i="7"/>
  <c r="E681" i="7"/>
  <c r="F681" i="7" s="1"/>
  <c r="E629" i="7"/>
  <c r="F629" i="7" s="1"/>
  <c r="E523" i="7"/>
  <c r="F523" i="7" s="1"/>
  <c r="E657" i="7"/>
  <c r="F657" i="7" s="1"/>
  <c r="E611" i="7"/>
  <c r="F611" i="7" s="1"/>
  <c r="E556" i="7"/>
  <c r="F556" i="7" s="1"/>
  <c r="G545" i="7"/>
  <c r="G483" i="7"/>
  <c r="G684" i="7"/>
  <c r="G664" i="7"/>
  <c r="E646" i="7"/>
  <c r="F646" i="7" s="1"/>
  <c r="E555" i="7"/>
  <c r="F555" i="7" s="1"/>
  <c r="E491" i="7"/>
  <c r="F491" i="7" s="1"/>
  <c r="G395" i="7"/>
  <c r="G431" i="7"/>
  <c r="E690" i="7"/>
  <c r="F690" i="7" s="1"/>
  <c r="E678" i="7"/>
  <c r="F678" i="7" s="1"/>
  <c r="G652" i="7"/>
  <c r="E610" i="7"/>
  <c r="F610" i="7" s="1"/>
  <c r="E605" i="7"/>
  <c r="F605" i="7" s="1"/>
  <c r="E582" i="7"/>
  <c r="F582" i="7" s="1"/>
  <c r="E567" i="7"/>
  <c r="F567" i="7" s="1"/>
  <c r="E525" i="7"/>
  <c r="F525" i="7" s="1"/>
  <c r="E524" i="7"/>
  <c r="F524" i="7" s="1"/>
  <c r="E521" i="7"/>
  <c r="F521" i="7" s="1"/>
  <c r="E465" i="7"/>
  <c r="F465" i="7" s="1"/>
  <c r="I74" i="12"/>
  <c r="I75" i="12"/>
  <c r="I111" i="12"/>
  <c r="I116" i="12"/>
  <c r="I133" i="12"/>
  <c r="I158" i="12"/>
  <c r="I171" i="12"/>
  <c r="I160" i="12"/>
  <c r="I167" i="12"/>
  <c r="I183" i="12"/>
  <c r="I215" i="12"/>
  <c r="I192" i="12"/>
  <c r="I196" i="12"/>
  <c r="I203" i="12"/>
  <c r="I204" i="12"/>
  <c r="I250" i="12"/>
  <c r="I266" i="12"/>
  <c r="I272" i="12"/>
  <c r="I313" i="12"/>
  <c r="I429" i="12"/>
  <c r="I382" i="12"/>
  <c r="I497" i="12"/>
  <c r="I485" i="12"/>
  <c r="I501" i="12"/>
  <c r="I324" i="12"/>
  <c r="I344" i="12"/>
  <c r="I446" i="12"/>
  <c r="I604" i="12"/>
  <c r="I620" i="12"/>
  <c r="I636" i="12"/>
  <c r="I668" i="12"/>
  <c r="I700" i="12"/>
  <c r="I437" i="12"/>
  <c r="I733" i="12"/>
  <c r="I392" i="12"/>
  <c r="I542" i="12"/>
  <c r="I618" i="12"/>
  <c r="I641" i="12"/>
  <c r="I730" i="12"/>
  <c r="I386" i="12"/>
  <c r="I726" i="12"/>
  <c r="I697" i="12"/>
  <c r="I709" i="12"/>
  <c r="I662" i="12"/>
  <c r="I625" i="12"/>
  <c r="I244" i="12"/>
  <c r="I124" i="12"/>
  <c r="I153" i="12"/>
  <c r="I85" i="12"/>
  <c r="I71" i="12"/>
  <c r="I96" i="12"/>
  <c r="I119" i="12"/>
  <c r="I135" i="12"/>
  <c r="I69" i="12"/>
  <c r="I99" i="12"/>
  <c r="I112" i="12"/>
  <c r="I117" i="12"/>
  <c r="I150" i="12"/>
  <c r="I126" i="12"/>
  <c r="I159" i="12"/>
  <c r="I143" i="12"/>
  <c r="I187" i="12"/>
  <c r="I199" i="12"/>
  <c r="I165" i="12"/>
  <c r="I173" i="12"/>
  <c r="I193" i="12"/>
  <c r="I219" i="12"/>
  <c r="I222" i="12"/>
  <c r="I238" i="12"/>
  <c r="I327" i="12"/>
  <c r="I388" i="12"/>
  <c r="I413" i="12"/>
  <c r="I349" i="12"/>
  <c r="I364" i="12"/>
  <c r="I376" i="12"/>
  <c r="I399" i="12"/>
  <c r="I546" i="12"/>
  <c r="I474" i="12"/>
  <c r="I537" i="12"/>
  <c r="I479" i="12"/>
  <c r="I576" i="12"/>
  <c r="I624" i="12"/>
  <c r="I704" i="12"/>
  <c r="I228" i="12"/>
  <c r="I431" i="12"/>
  <c r="I560" i="12"/>
  <c r="I630" i="12"/>
  <c r="I690" i="12"/>
  <c r="I483" i="12"/>
  <c r="I571" i="12"/>
  <c r="I633" i="12"/>
  <c r="I649" i="12"/>
  <c r="I606" i="12"/>
  <c r="I638" i="12"/>
  <c r="I471" i="12"/>
  <c r="I305" i="12"/>
  <c r="I520" i="12"/>
  <c r="I435" i="12"/>
  <c r="I727" i="12"/>
  <c r="I414" i="12"/>
  <c r="I70" i="12"/>
  <c r="I94" i="12"/>
  <c r="I80" i="12"/>
  <c r="I120" i="12"/>
  <c r="I72" i="12"/>
  <c r="I130" i="12"/>
  <c r="I147" i="12"/>
  <c r="I140" i="12"/>
  <c r="I134" i="12"/>
  <c r="I146" i="12"/>
  <c r="I154" i="12"/>
  <c r="I172" i="12"/>
  <c r="I178" i="12"/>
  <c r="I197" i="12"/>
  <c r="I212" i="12"/>
  <c r="I200" i="12"/>
  <c r="I206" i="12"/>
  <c r="I226" i="12"/>
  <c r="I245" i="12"/>
  <c r="I261" i="12"/>
  <c r="I218" i="12"/>
  <c r="I224" i="12"/>
  <c r="I240" i="12"/>
  <c r="I288" i="12"/>
  <c r="I270" i="12"/>
  <c r="I300" i="12"/>
  <c r="I307" i="12"/>
  <c r="I384" i="12"/>
  <c r="I397" i="12"/>
  <c r="I336" i="12"/>
  <c r="I341" i="12"/>
  <c r="I372" i="12"/>
  <c r="I401" i="12"/>
  <c r="I549" i="12"/>
  <c r="I447" i="12"/>
  <c r="I567" i="12"/>
  <c r="I676" i="12"/>
  <c r="I360" i="12"/>
  <c r="I402" i="12"/>
  <c r="I578" i="12"/>
  <c r="I375" i="12"/>
  <c r="I669" i="12"/>
  <c r="I570" i="12"/>
  <c r="I404" i="12"/>
  <c r="I723" i="12"/>
  <c r="I675" i="12"/>
  <c r="I627" i="12"/>
  <c r="I611" i="12"/>
  <c r="I579" i="12"/>
  <c r="I532" i="12"/>
  <c r="I502" i="12"/>
  <c r="I540" i="12"/>
  <c r="I476" i="12"/>
  <c r="I318" i="12"/>
  <c r="I351" i="12"/>
  <c r="I335" i="12"/>
  <c r="I78" i="12"/>
  <c r="I76" i="12"/>
  <c r="I110" i="12"/>
  <c r="I98" i="12"/>
  <c r="I86" i="12"/>
  <c r="I93" i="12"/>
  <c r="I79" i="12"/>
  <c r="I95" i="12"/>
  <c r="I102" i="12"/>
  <c r="I81" i="12"/>
  <c r="I115" i="12"/>
  <c r="I114" i="12"/>
  <c r="I100" i="12"/>
  <c r="I113" i="12"/>
  <c r="I129" i="12"/>
  <c r="I141" i="12"/>
  <c r="I155" i="12"/>
  <c r="I156" i="12"/>
  <c r="I186" i="12"/>
  <c r="I169" i="12"/>
  <c r="I191" i="12"/>
  <c r="I188" i="12"/>
  <c r="I166" i="12"/>
  <c r="I174" i="12"/>
  <c r="I214" i="12"/>
  <c r="I207" i="12"/>
  <c r="I234" i="12"/>
  <c r="I248" i="12"/>
  <c r="I264" i="12"/>
  <c r="I230" i="12"/>
  <c r="I265" i="12"/>
  <c r="I282" i="12"/>
  <c r="I277" i="12"/>
  <c r="I381" i="12"/>
  <c r="I299" i="12"/>
  <c r="I513" i="12"/>
  <c r="I380" i="12"/>
  <c r="I398" i="12"/>
  <c r="I403" i="12"/>
  <c r="I458" i="12"/>
  <c r="I490" i="12"/>
  <c r="I522" i="12"/>
  <c r="I506" i="12"/>
  <c r="I551" i="12"/>
  <c r="I569" i="12"/>
  <c r="I600" i="12"/>
  <c r="I728" i="12"/>
  <c r="I430" i="12"/>
  <c r="I533" i="12"/>
  <c r="I421" i="12"/>
  <c r="I495" i="12"/>
  <c r="I642" i="12"/>
  <c r="I674" i="12"/>
  <c r="I573" i="12"/>
  <c r="I366" i="12"/>
  <c r="I463" i="12"/>
  <c r="I681" i="12"/>
  <c r="I586" i="12"/>
  <c r="I622" i="12"/>
  <c r="I556" i="12"/>
  <c r="I503" i="12"/>
  <c r="I439" i="12"/>
  <c r="G457" i="7"/>
  <c r="G439" i="7"/>
  <c r="G726" i="7"/>
  <c r="E665" i="7"/>
  <c r="F665" i="7" s="1"/>
  <c r="E662" i="7"/>
  <c r="F662" i="7" s="1"/>
  <c r="G653" i="7"/>
  <c r="E641" i="7"/>
  <c r="F641" i="7" s="1"/>
  <c r="E614" i="7"/>
  <c r="F614" i="7" s="1"/>
  <c r="E597" i="7"/>
  <c r="F597" i="7" s="1"/>
  <c r="E586" i="7"/>
  <c r="F586" i="7" s="1"/>
  <c r="E578" i="7"/>
  <c r="F578" i="7" s="1"/>
  <c r="E575" i="7"/>
  <c r="F575" i="7" s="1"/>
  <c r="G561" i="7"/>
  <c r="E519" i="7"/>
  <c r="F519" i="7" s="1"/>
  <c r="E512" i="7"/>
  <c r="F512" i="7" s="1"/>
  <c r="E493" i="7"/>
  <c r="F493" i="7" s="1"/>
  <c r="E492" i="7"/>
  <c r="F492" i="7" s="1"/>
  <c r="E489" i="7"/>
  <c r="F489" i="7" s="1"/>
  <c r="G471" i="7"/>
  <c r="G420" i="7"/>
  <c r="G404" i="7"/>
  <c r="E393" i="7"/>
  <c r="F393" i="7" s="1"/>
  <c r="G384" i="7"/>
  <c r="G379" i="7"/>
  <c r="G376" i="7"/>
  <c r="G680" i="7"/>
  <c r="E673" i="7"/>
  <c r="F673" i="7" s="1"/>
  <c r="G668" i="7"/>
  <c r="G648" i="7"/>
  <c r="E635" i="7"/>
  <c r="F635" i="7" s="1"/>
  <c r="E617" i="7"/>
  <c r="F617" i="7" s="1"/>
  <c r="E609" i="7"/>
  <c r="F609" i="7" s="1"/>
  <c r="G589" i="7"/>
  <c r="E579" i="7"/>
  <c r="F579" i="7" s="1"/>
  <c r="E573" i="7"/>
  <c r="F573" i="7" s="1"/>
  <c r="E564" i="7"/>
  <c r="F564" i="7" s="1"/>
  <c r="E544" i="7"/>
  <c r="F544" i="7" s="1"/>
  <c r="E539" i="7"/>
  <c r="F539" i="7" s="1"/>
  <c r="E536" i="7"/>
  <c r="F536" i="7" s="1"/>
  <c r="E535" i="7"/>
  <c r="F535" i="7" s="1"/>
  <c r="G515" i="7"/>
  <c r="E487" i="7"/>
  <c r="F487" i="7" s="1"/>
  <c r="E480" i="7"/>
  <c r="F480" i="7" s="1"/>
  <c r="E421" i="7"/>
  <c r="F421" i="7" s="1"/>
  <c r="E409" i="7"/>
  <c r="F409" i="7" s="1"/>
  <c r="E377" i="7"/>
  <c r="F377" i="7" s="1"/>
  <c r="G372" i="7"/>
  <c r="G720" i="7"/>
  <c r="G388" i="7"/>
  <c r="W9" i="4"/>
  <c r="G728" i="7"/>
  <c r="G712" i="7"/>
  <c r="E694" i="7"/>
  <c r="F694" i="7" s="1"/>
  <c r="E685" i="7"/>
  <c r="F685" i="7" s="1"/>
  <c r="E682" i="7"/>
  <c r="F682" i="7" s="1"/>
  <c r="G676" i="7"/>
  <c r="E666" i="7"/>
  <c r="F666" i="7" s="1"/>
  <c r="G660" i="7"/>
  <c r="E650" i="7"/>
  <c r="F650" i="7" s="1"/>
  <c r="G633" i="7"/>
  <c r="E622" i="7"/>
  <c r="F622" i="7" s="1"/>
  <c r="E618" i="7"/>
  <c r="F618" i="7" s="1"/>
  <c r="E599" i="7"/>
  <c r="F599" i="7" s="1"/>
  <c r="E598" i="7"/>
  <c r="F598" i="7" s="1"/>
  <c r="E595" i="7"/>
  <c r="F595" i="7" s="1"/>
  <c r="E594" i="7"/>
  <c r="F594" i="7" s="1"/>
  <c r="E593" i="7"/>
  <c r="F593" i="7" s="1"/>
  <c r="G553" i="7"/>
  <c r="E552" i="7"/>
  <c r="F552" i="7" s="1"/>
  <c r="E547" i="7"/>
  <c r="F547" i="7" s="1"/>
  <c r="E533" i="7"/>
  <c r="F533" i="7" s="1"/>
  <c r="E532" i="7"/>
  <c r="F532" i="7" s="1"/>
  <c r="E531" i="7"/>
  <c r="F531" i="7" s="1"/>
  <c r="E528" i="7"/>
  <c r="F528" i="7" s="1"/>
  <c r="E507" i="7"/>
  <c r="F507" i="7" s="1"/>
  <c r="E496" i="7"/>
  <c r="F496" i="7" s="1"/>
  <c r="E475" i="7"/>
  <c r="F475" i="7" s="1"/>
  <c r="G461" i="7"/>
  <c r="G453" i="7"/>
  <c r="G445" i="7"/>
  <c r="G437" i="7"/>
  <c r="G429" i="7"/>
  <c r="E413" i="7"/>
  <c r="F413" i="7" s="1"/>
  <c r="G399" i="7"/>
  <c r="W8" i="4"/>
  <c r="G710" i="7"/>
  <c r="G692" i="7"/>
  <c r="E674" i="7"/>
  <c r="F674" i="7" s="1"/>
  <c r="E658" i="7"/>
  <c r="F658" i="7" s="1"/>
  <c r="E637" i="7"/>
  <c r="F637" i="7" s="1"/>
  <c r="E625" i="7"/>
  <c r="F625" i="7" s="1"/>
  <c r="E613" i="7"/>
  <c r="F613" i="7" s="1"/>
  <c r="E602" i="7"/>
  <c r="F602" i="7" s="1"/>
  <c r="E591" i="7"/>
  <c r="F591" i="7" s="1"/>
  <c r="E581" i="7"/>
  <c r="F581" i="7" s="1"/>
  <c r="E570" i="7"/>
  <c r="F570" i="7" s="1"/>
  <c r="E563" i="7"/>
  <c r="F563" i="7" s="1"/>
  <c r="E548" i="7"/>
  <c r="F548" i="7" s="1"/>
  <c r="G543" i="7"/>
  <c r="E509" i="7"/>
  <c r="F509" i="7" s="1"/>
  <c r="E508" i="7"/>
  <c r="F508" i="7" s="1"/>
  <c r="E505" i="7"/>
  <c r="F505" i="7" s="1"/>
  <c r="G499" i="7"/>
  <c r="E477" i="7"/>
  <c r="F477" i="7" s="1"/>
  <c r="E476" i="7"/>
  <c r="F476" i="7" s="1"/>
  <c r="E473" i="7"/>
  <c r="F473" i="7" s="1"/>
  <c r="G467" i="7"/>
  <c r="E425" i="7"/>
  <c r="F425" i="7" s="1"/>
  <c r="G411" i="7"/>
  <c r="G408" i="7"/>
  <c r="E400" i="7"/>
  <c r="F400" i="7" s="1"/>
  <c r="E397" i="7"/>
  <c r="F397" i="7" s="1"/>
  <c r="E732" i="7"/>
  <c r="F732" i="7" s="1"/>
  <c r="G730" i="7"/>
  <c r="E724" i="7"/>
  <c r="F724" i="7" s="1"/>
  <c r="G722" i="7"/>
  <c r="E716" i="7"/>
  <c r="F716" i="7" s="1"/>
  <c r="G714" i="7"/>
  <c r="E708" i="7"/>
  <c r="F708" i="7" s="1"/>
  <c r="G706" i="7"/>
  <c r="E705" i="7"/>
  <c r="F705" i="7" s="1"/>
  <c r="G703" i="7"/>
  <c r="E701" i="7"/>
  <c r="F701" i="7" s="1"/>
  <c r="E697" i="7"/>
  <c r="F697" i="7" s="1"/>
  <c r="G696" i="7"/>
  <c r="E693" i="7"/>
  <c r="F693" i="7" s="1"/>
  <c r="G688" i="7"/>
  <c r="E686" i="7"/>
  <c r="F686" i="7" s="1"/>
  <c r="E677" i="7"/>
  <c r="F677" i="7" s="1"/>
  <c r="G672" i="7"/>
  <c r="E670" i="7"/>
  <c r="F670" i="7" s="1"/>
  <c r="E661" i="7"/>
  <c r="F661" i="7" s="1"/>
  <c r="G656" i="7"/>
  <c r="E654" i="7"/>
  <c r="F654" i="7" s="1"/>
  <c r="E645" i="7"/>
  <c r="F645" i="7" s="1"/>
  <c r="G626" i="7"/>
  <c r="E626" i="7"/>
  <c r="F626" i="7" s="1"/>
  <c r="E702" i="7"/>
  <c r="F702" i="7" s="1"/>
  <c r="G700" i="7"/>
  <c r="E644" i="7"/>
  <c r="F644" i="7" s="1"/>
  <c r="G642" i="7"/>
  <c r="G634" i="7"/>
  <c r="G627" i="7"/>
  <c r="E627" i="7"/>
  <c r="F627" i="7" s="1"/>
  <c r="G621" i="7"/>
  <c r="E621" i="7"/>
  <c r="F621" i="7" s="1"/>
  <c r="G619" i="7"/>
  <c r="E619" i="7"/>
  <c r="F619" i="7" s="1"/>
  <c r="E606" i="7"/>
  <c r="F606" i="7" s="1"/>
  <c r="E603" i="7"/>
  <c r="F603" i="7" s="1"/>
  <c r="E601" i="7"/>
  <c r="F601" i="7" s="1"/>
  <c r="E590" i="7"/>
  <c r="F590" i="7" s="1"/>
  <c r="E587" i="7"/>
  <c r="F587" i="7" s="1"/>
  <c r="E585" i="7"/>
  <c r="F585" i="7" s="1"/>
  <c r="E574" i="7"/>
  <c r="F574" i="7" s="1"/>
  <c r="E571" i="7"/>
  <c r="F571" i="7" s="1"/>
  <c r="E569" i="7"/>
  <c r="F569" i="7" s="1"/>
  <c r="E529" i="7"/>
  <c r="F529" i="7" s="1"/>
  <c r="E527" i="7"/>
  <c r="F527" i="7" s="1"/>
  <c r="E511" i="7"/>
  <c r="F511" i="7" s="1"/>
  <c r="G511" i="7"/>
  <c r="G500" i="7"/>
  <c r="E500" i="7"/>
  <c r="F500" i="7" s="1"/>
  <c r="E479" i="7"/>
  <c r="F479" i="7" s="1"/>
  <c r="G479" i="7"/>
  <c r="G516" i="7"/>
  <c r="E516" i="7"/>
  <c r="F516" i="7" s="1"/>
  <c r="G497" i="7"/>
  <c r="E497" i="7"/>
  <c r="F497" i="7" s="1"/>
  <c r="G494" i="7"/>
  <c r="G601" i="7"/>
  <c r="G585" i="7"/>
  <c r="G569" i="7"/>
  <c r="G527" i="7"/>
  <c r="G513" i="7"/>
  <c r="E513" i="7"/>
  <c r="F513" i="7" s="1"/>
  <c r="G510" i="7"/>
  <c r="G481" i="7"/>
  <c r="E481" i="7"/>
  <c r="F481" i="7" s="1"/>
  <c r="G478" i="7"/>
  <c r="G520" i="7"/>
  <c r="E520" i="7"/>
  <c r="F520" i="7" s="1"/>
  <c r="E495" i="7"/>
  <c r="F495" i="7" s="1"/>
  <c r="G495" i="7"/>
  <c r="G484" i="7"/>
  <c r="E484" i="7"/>
  <c r="F484" i="7" s="1"/>
  <c r="G443" i="7"/>
  <c r="G435" i="7"/>
  <c r="G424" i="7"/>
  <c r="G412" i="7"/>
  <c r="G396" i="7"/>
  <c r="G383" i="7"/>
  <c r="E381" i="7"/>
  <c r="F381" i="7" s="1"/>
  <c r="G380" i="7"/>
  <c r="E517" i="7"/>
  <c r="F517" i="7" s="1"/>
  <c r="E504" i="7"/>
  <c r="F504" i="7" s="1"/>
  <c r="E501" i="7"/>
  <c r="F501" i="7" s="1"/>
  <c r="E488" i="7"/>
  <c r="F488" i="7" s="1"/>
  <c r="E485" i="7"/>
  <c r="F485" i="7" s="1"/>
  <c r="E472" i="7"/>
  <c r="F472" i="7" s="1"/>
  <c r="E469" i="7"/>
  <c r="F469" i="7" s="1"/>
  <c r="G463" i="7"/>
  <c r="G459" i="7"/>
  <c r="G455" i="7"/>
  <c r="G451" i="7"/>
  <c r="G447" i="7"/>
  <c r="G441" i="7"/>
  <c r="G433" i="7"/>
  <c r="E417" i="7"/>
  <c r="F417" i="7" s="1"/>
  <c r="G416" i="7"/>
  <c r="G403" i="7"/>
  <c r="E401" i="7"/>
  <c r="F401" i="7" s="1"/>
  <c r="G387" i="7"/>
  <c r="E385" i="7"/>
  <c r="F385" i="7" s="1"/>
  <c r="G371" i="7"/>
  <c r="E468" i="7"/>
  <c r="F468" i="7" s="1"/>
  <c r="G407" i="7"/>
  <c r="E405" i="7"/>
  <c r="F405" i="7" s="1"/>
  <c r="G391" i="7"/>
  <c r="E389" i="7"/>
  <c r="F389" i="7" s="1"/>
  <c r="G375" i="7"/>
  <c r="E373" i="7"/>
  <c r="F373" i="7" s="1"/>
  <c r="E691" i="7"/>
  <c r="F691" i="7" s="1"/>
  <c r="G691" i="7"/>
  <c r="G735" i="7"/>
  <c r="E733" i="7"/>
  <c r="F733" i="7" s="1"/>
  <c r="G731" i="7"/>
  <c r="E729" i="7"/>
  <c r="F729" i="7" s="1"/>
  <c r="G727" i="7"/>
  <c r="E725" i="7"/>
  <c r="F725" i="7" s="1"/>
  <c r="G723" i="7"/>
  <c r="E721" i="7"/>
  <c r="F721" i="7" s="1"/>
  <c r="G719" i="7"/>
  <c r="E717" i="7"/>
  <c r="F717" i="7" s="1"/>
  <c r="G715" i="7"/>
  <c r="E713" i="7"/>
  <c r="F713" i="7" s="1"/>
  <c r="G711" i="7"/>
  <c r="E709" i="7"/>
  <c r="F709" i="7" s="1"/>
  <c r="G707" i="7"/>
  <c r="E704" i="7"/>
  <c r="F704" i="7" s="1"/>
  <c r="E687" i="7"/>
  <c r="F687" i="7" s="1"/>
  <c r="G687" i="7"/>
  <c r="E699" i="7"/>
  <c r="F699" i="7" s="1"/>
  <c r="E683" i="7"/>
  <c r="F683" i="7" s="1"/>
  <c r="G683" i="7"/>
  <c r="E698" i="7"/>
  <c r="F698" i="7" s="1"/>
  <c r="E695" i="7"/>
  <c r="F695" i="7" s="1"/>
  <c r="E679" i="7"/>
  <c r="F679" i="7" s="1"/>
  <c r="G679" i="7"/>
  <c r="E640" i="7"/>
  <c r="F640" i="7" s="1"/>
  <c r="E632" i="7"/>
  <c r="F632" i="7" s="1"/>
  <c r="E624" i="7"/>
  <c r="F624" i="7" s="1"/>
  <c r="E616" i="7"/>
  <c r="F616" i="7" s="1"/>
  <c r="G675" i="7"/>
  <c r="G671" i="7"/>
  <c r="G667" i="7"/>
  <c r="G663" i="7"/>
  <c r="G659" i="7"/>
  <c r="G655" i="7"/>
  <c r="G651" i="7"/>
  <c r="G647" i="7"/>
  <c r="G612" i="7"/>
  <c r="E612" i="7"/>
  <c r="F612" i="7" s="1"/>
  <c r="G640" i="7"/>
  <c r="G639" i="7"/>
  <c r="E638" i="7"/>
  <c r="F638" i="7" s="1"/>
  <c r="E636" i="7"/>
  <c r="F636" i="7" s="1"/>
  <c r="G632" i="7"/>
  <c r="G631" i="7"/>
  <c r="E630" i="7"/>
  <c r="F630" i="7" s="1"/>
  <c r="E628" i="7"/>
  <c r="F628" i="7" s="1"/>
  <c r="G624" i="7"/>
  <c r="E623" i="7"/>
  <c r="F623" i="7" s="1"/>
  <c r="E620" i="7"/>
  <c r="F620" i="7" s="1"/>
  <c r="E615" i="7"/>
  <c r="F615" i="7" s="1"/>
  <c r="G616" i="7"/>
  <c r="E608" i="7"/>
  <c r="F608" i="7" s="1"/>
  <c r="E604" i="7"/>
  <c r="F604" i="7" s="1"/>
  <c r="E600" i="7"/>
  <c r="F600" i="7" s="1"/>
  <c r="E596" i="7"/>
  <c r="F596" i="7" s="1"/>
  <c r="E592" i="7"/>
  <c r="F592" i="7" s="1"/>
  <c r="E588" i="7"/>
  <c r="F588" i="7" s="1"/>
  <c r="E584" i="7"/>
  <c r="F584" i="7" s="1"/>
  <c r="E580" i="7"/>
  <c r="F580" i="7" s="1"/>
  <c r="E576" i="7"/>
  <c r="F576" i="7" s="1"/>
  <c r="E572" i="7"/>
  <c r="F572" i="7" s="1"/>
  <c r="E568" i="7"/>
  <c r="F568" i="7" s="1"/>
  <c r="E565" i="7"/>
  <c r="F565" i="7" s="1"/>
  <c r="E557" i="7"/>
  <c r="F557" i="7" s="1"/>
  <c r="E549" i="7"/>
  <c r="F549" i="7" s="1"/>
  <c r="E541" i="7"/>
  <c r="F541" i="7" s="1"/>
  <c r="E537" i="7"/>
  <c r="F537" i="7" s="1"/>
  <c r="E534" i="7"/>
  <c r="F534" i="7" s="1"/>
  <c r="E566" i="7"/>
  <c r="F566" i="7" s="1"/>
  <c r="E558" i="7"/>
  <c r="F558" i="7" s="1"/>
  <c r="E550" i="7"/>
  <c r="F550" i="7" s="1"/>
  <c r="E542" i="7"/>
  <c r="F542" i="7" s="1"/>
  <c r="E538" i="7"/>
  <c r="F538" i="7" s="1"/>
  <c r="G566" i="7"/>
  <c r="E562" i="7"/>
  <c r="F562" i="7" s="1"/>
  <c r="G558" i="7"/>
  <c r="E554" i="7"/>
  <c r="F554" i="7" s="1"/>
  <c r="G550" i="7"/>
  <c r="E546" i="7"/>
  <c r="F546" i="7" s="1"/>
  <c r="G542" i="7"/>
  <c r="G534" i="7"/>
  <c r="E530" i="7"/>
  <c r="F530" i="7" s="1"/>
  <c r="E526" i="7"/>
  <c r="F526" i="7" s="1"/>
  <c r="E522" i="7"/>
  <c r="F522" i="7" s="1"/>
  <c r="E518" i="7"/>
  <c r="F518" i="7" s="1"/>
  <c r="E514" i="7"/>
  <c r="F514" i="7" s="1"/>
  <c r="E510" i="7"/>
  <c r="F510" i="7" s="1"/>
  <c r="E506" i="7"/>
  <c r="F506" i="7" s="1"/>
  <c r="E502" i="7"/>
  <c r="F502" i="7" s="1"/>
  <c r="E498" i="7"/>
  <c r="F498" i="7" s="1"/>
  <c r="E494" i="7"/>
  <c r="F494" i="7" s="1"/>
  <c r="E490" i="7"/>
  <c r="F490" i="7" s="1"/>
  <c r="E486" i="7"/>
  <c r="F486" i="7" s="1"/>
  <c r="E482" i="7"/>
  <c r="F482" i="7" s="1"/>
  <c r="E478" i="7"/>
  <c r="F478" i="7" s="1"/>
  <c r="E474" i="7"/>
  <c r="F474" i="7" s="1"/>
  <c r="E470" i="7"/>
  <c r="F470" i="7" s="1"/>
  <c r="E466" i="7"/>
  <c r="F466" i="7" s="1"/>
  <c r="G464" i="7"/>
  <c r="E464" i="7"/>
  <c r="F464" i="7" s="1"/>
  <c r="E462" i="7"/>
  <c r="F462" i="7" s="1"/>
  <c r="G462" i="7"/>
  <c r="G460" i="7"/>
  <c r="E460" i="7"/>
  <c r="F460" i="7" s="1"/>
  <c r="E458" i="7"/>
  <c r="F458" i="7" s="1"/>
  <c r="G458" i="7"/>
  <c r="G456" i="7"/>
  <c r="E456" i="7"/>
  <c r="F456" i="7" s="1"/>
  <c r="E454" i="7"/>
  <c r="F454" i="7" s="1"/>
  <c r="G454" i="7"/>
  <c r="G452" i="7"/>
  <c r="E452" i="7"/>
  <c r="F452" i="7" s="1"/>
  <c r="E450" i="7"/>
  <c r="F450" i="7" s="1"/>
  <c r="G450" i="7"/>
  <c r="G448" i="7"/>
  <c r="E448" i="7"/>
  <c r="F448" i="7" s="1"/>
  <c r="E446" i="7"/>
  <c r="F446" i="7" s="1"/>
  <c r="G446" i="7"/>
  <c r="E444" i="7"/>
  <c r="F444" i="7" s="1"/>
  <c r="G442" i="7"/>
  <c r="E440" i="7"/>
  <c r="F440" i="7" s="1"/>
  <c r="G438" i="7"/>
  <c r="E436" i="7"/>
  <c r="F436" i="7" s="1"/>
  <c r="G434" i="7"/>
  <c r="E432" i="7"/>
  <c r="F432" i="7" s="1"/>
  <c r="G430" i="7"/>
  <c r="E428" i="7"/>
  <c r="F428" i="7" s="1"/>
  <c r="E426" i="7"/>
  <c r="F426" i="7" s="1"/>
  <c r="E418" i="7"/>
  <c r="F418" i="7" s="1"/>
  <c r="E402" i="7"/>
  <c r="F402" i="7" s="1"/>
  <c r="G402" i="7"/>
  <c r="E386" i="7"/>
  <c r="F386" i="7" s="1"/>
  <c r="G386" i="7"/>
  <c r="G422" i="7"/>
  <c r="E419" i="7"/>
  <c r="F419" i="7" s="1"/>
  <c r="E414" i="7"/>
  <c r="F414" i="7" s="1"/>
  <c r="E398" i="7"/>
  <c r="F398" i="7" s="1"/>
  <c r="G398" i="7"/>
  <c r="E382" i="7"/>
  <c r="F382" i="7" s="1"/>
  <c r="G382" i="7"/>
  <c r="E410" i="7"/>
  <c r="F410" i="7" s="1"/>
  <c r="G410" i="7"/>
  <c r="E394" i="7"/>
  <c r="F394" i="7" s="1"/>
  <c r="G394" i="7"/>
  <c r="E378" i="7"/>
  <c r="F378" i="7" s="1"/>
  <c r="G378" i="7"/>
  <c r="E423" i="7"/>
  <c r="F423" i="7" s="1"/>
  <c r="E415" i="7"/>
  <c r="F415" i="7" s="1"/>
  <c r="E406" i="7"/>
  <c r="F406" i="7" s="1"/>
  <c r="G406" i="7"/>
  <c r="E390" i="7"/>
  <c r="F390" i="7" s="1"/>
  <c r="G390" i="7"/>
  <c r="E374" i="7"/>
  <c r="F374" i="7" s="1"/>
  <c r="G374" i="7"/>
  <c r="D17" i="3"/>
  <c r="W10" i="4" l="1"/>
  <c r="E36" i="8"/>
  <c r="F34" i="8"/>
  <c r="F35" i="8" s="1"/>
  <c r="F36" i="8" s="1"/>
  <c r="D22" i="3"/>
  <c r="D23" i="3" l="1"/>
  <c r="J6" i="7" l="1"/>
  <c r="D49" i="3"/>
  <c r="D50" i="3" s="1"/>
  <c r="D48" i="3"/>
  <c r="D6" i="3"/>
  <c r="H483" i="7" l="1"/>
  <c r="I483" i="7" s="1"/>
  <c r="H689" i="7"/>
  <c r="I689" i="7" s="1"/>
  <c r="H635" i="7"/>
  <c r="I635" i="7" s="1"/>
  <c r="H594" i="7"/>
  <c r="I594" i="7" s="1"/>
  <c r="H562" i="7"/>
  <c r="I562" i="7" s="1"/>
  <c r="H489" i="7"/>
  <c r="I489" i="7" s="1"/>
  <c r="H717" i="7"/>
  <c r="I717" i="7" s="1"/>
  <c r="H701" i="7"/>
  <c r="I701" i="7" s="1"/>
  <c r="H665" i="7"/>
  <c r="I665" i="7" s="1"/>
  <c r="H629" i="7"/>
  <c r="I629" i="7" s="1"/>
  <c r="H571" i="7"/>
  <c r="I571" i="7" s="1"/>
  <c r="H549" i="7"/>
  <c r="I549" i="7" s="1"/>
  <c r="H535" i="7"/>
  <c r="I535" i="7" s="1"/>
  <c r="H523" i="7"/>
  <c r="I523" i="7" s="1"/>
  <c r="H492" i="7"/>
  <c r="I492" i="7" s="1"/>
  <c r="H469" i="7"/>
  <c r="I469" i="7" s="1"/>
  <c r="H400" i="7"/>
  <c r="I400" i="7" s="1"/>
  <c r="H377" i="7"/>
  <c r="I377" i="7" s="1"/>
  <c r="H669" i="7"/>
  <c r="I669" i="7" s="1"/>
  <c r="H609" i="7"/>
  <c r="I609" i="7" s="1"/>
  <c r="H586" i="7"/>
  <c r="I586" i="7" s="1"/>
  <c r="H541" i="7"/>
  <c r="I541" i="7" s="1"/>
  <c r="H504" i="7"/>
  <c r="I504" i="7" s="1"/>
  <c r="H697" i="7"/>
  <c r="I697" i="7" s="1"/>
  <c r="H670" i="7"/>
  <c r="I670" i="7" s="1"/>
  <c r="H643" i="7"/>
  <c r="I643" i="7" s="1"/>
  <c r="H617" i="7"/>
  <c r="I617" i="7" s="1"/>
  <c r="H608" i="7"/>
  <c r="I608" i="7" s="1"/>
  <c r="H597" i="7"/>
  <c r="I597" i="7" s="1"/>
  <c r="H587" i="7"/>
  <c r="I587" i="7" s="1"/>
  <c r="H578" i="7"/>
  <c r="I578" i="7" s="1"/>
  <c r="H554" i="7"/>
  <c r="I554" i="7" s="1"/>
  <c r="H525" i="7"/>
  <c r="I525" i="7" s="1"/>
  <c r="H517" i="7"/>
  <c r="I517" i="7" s="1"/>
  <c r="H503" i="7"/>
  <c r="I503" i="7" s="1"/>
  <c r="H465" i="7"/>
  <c r="I465" i="7" s="1"/>
  <c r="H436" i="7"/>
  <c r="I436" i="7" s="1"/>
  <c r="H673" i="7"/>
  <c r="I673" i="7" s="1"/>
  <c r="H590" i="7"/>
  <c r="I590" i="7" s="1"/>
  <c r="H729" i="7"/>
  <c r="I729" i="7" s="1"/>
  <c r="H708" i="7"/>
  <c r="I708" i="7" s="1"/>
  <c r="H693" i="7"/>
  <c r="I693" i="7" s="1"/>
  <c r="H666" i="7"/>
  <c r="I666" i="7" s="1"/>
  <c r="H622" i="7"/>
  <c r="I622" i="7" s="1"/>
  <c r="H583" i="7"/>
  <c r="I583" i="7" s="1"/>
  <c r="H570" i="7"/>
  <c r="I570" i="7" s="1"/>
  <c r="H546" i="7"/>
  <c r="I546" i="7" s="1"/>
  <c r="H532" i="7"/>
  <c r="I532" i="7" s="1"/>
  <c r="H522" i="7"/>
  <c r="I522" i="7" s="1"/>
  <c r="H480" i="7"/>
  <c r="I480" i="7" s="1"/>
  <c r="H470" i="7"/>
  <c r="I470" i="7" s="1"/>
  <c r="H423" i="7"/>
  <c r="I423" i="7" s="1"/>
  <c r="H415" i="7"/>
  <c r="I415" i="7" s="1"/>
  <c r="H401" i="7"/>
  <c r="I401" i="7" s="1"/>
  <c r="H431" i="7"/>
  <c r="I431" i="7" s="1"/>
  <c r="H677" i="7"/>
  <c r="I677" i="7" s="1"/>
  <c r="H618" i="7"/>
  <c r="I618" i="7" s="1"/>
  <c r="H588" i="7"/>
  <c r="I588" i="7" s="1"/>
  <c r="H551" i="7"/>
  <c r="I551" i="7" s="1"/>
  <c r="H732" i="7"/>
  <c r="I732" i="7" s="1"/>
  <c r="H713" i="7"/>
  <c r="I713" i="7" s="1"/>
  <c r="H694" i="7"/>
  <c r="I694" i="7" s="1"/>
  <c r="H654" i="7"/>
  <c r="I654" i="7" s="1"/>
  <c r="H625" i="7"/>
  <c r="I625" i="7" s="1"/>
  <c r="H577" i="7"/>
  <c r="I577" i="7" s="1"/>
  <c r="H560" i="7"/>
  <c r="I560" i="7" s="1"/>
  <c r="H547" i="7"/>
  <c r="I547" i="7" s="1"/>
  <c r="H533" i="7"/>
  <c r="I533" i="7" s="1"/>
  <c r="H502" i="7"/>
  <c r="I502" i="7" s="1"/>
  <c r="H477" i="7"/>
  <c r="I477" i="7" s="1"/>
  <c r="H426" i="7"/>
  <c r="I426" i="7" s="1"/>
  <c r="H389" i="7"/>
  <c r="I389" i="7" s="1"/>
  <c r="H373" i="7"/>
  <c r="I373" i="7" s="1"/>
  <c r="H658" i="7"/>
  <c r="I658" i="7" s="1"/>
  <c r="H600" i="7"/>
  <c r="I600" i="7" s="1"/>
  <c r="H581" i="7"/>
  <c r="I581" i="7" s="1"/>
  <c r="H514" i="7"/>
  <c r="I514" i="7" s="1"/>
  <c r="H491" i="7"/>
  <c r="I491" i="7" s="1"/>
  <c r="H690" i="7"/>
  <c r="I690" i="7" s="1"/>
  <c r="H661" i="7"/>
  <c r="I661" i="7" s="1"/>
  <c r="H638" i="7"/>
  <c r="I638" i="7" s="1"/>
  <c r="H615" i="7"/>
  <c r="I615" i="7" s="1"/>
  <c r="H605" i="7"/>
  <c r="I605" i="7" s="1"/>
  <c r="H595" i="7"/>
  <c r="I595" i="7" s="1"/>
  <c r="H567" i="7"/>
  <c r="I567" i="7" s="1"/>
  <c r="H552" i="7"/>
  <c r="I552" i="7" s="1"/>
  <c r="H524" i="7"/>
  <c r="I524" i="7" s="1"/>
  <c r="H509" i="7"/>
  <c r="I509" i="7" s="1"/>
  <c r="H490" i="7"/>
  <c r="I490" i="7" s="1"/>
  <c r="H449" i="7"/>
  <c r="I449" i="7" s="1"/>
  <c r="H432" i="7"/>
  <c r="I432" i="7" s="1"/>
  <c r="H646" i="7"/>
  <c r="I646" i="7" s="1"/>
  <c r="H487" i="7"/>
  <c r="I487" i="7" s="1"/>
  <c r="H725" i="7"/>
  <c r="I725" i="7" s="1"/>
  <c r="H704" i="7"/>
  <c r="I704" i="7" s="1"/>
  <c r="H686" i="7"/>
  <c r="I686" i="7" s="1"/>
  <c r="H664" i="7"/>
  <c r="I664" i="7" s="1"/>
  <c r="H620" i="7"/>
  <c r="I620" i="7" s="1"/>
  <c r="H576" i="7"/>
  <c r="I576" i="7" s="1"/>
  <c r="H568" i="7"/>
  <c r="I568" i="7" s="1"/>
  <c r="H540" i="7"/>
  <c r="I540" i="7" s="1"/>
  <c r="H530" i="7"/>
  <c r="I530" i="7" s="1"/>
  <c r="H501" i="7"/>
  <c r="I501" i="7" s="1"/>
  <c r="H476" i="7"/>
  <c r="I476" i="7" s="1"/>
  <c r="H468" i="7"/>
  <c r="I468" i="7" s="1"/>
  <c r="H421" i="7"/>
  <c r="I421" i="7" s="1"/>
  <c r="H413" i="7"/>
  <c r="I413" i="7" s="1"/>
  <c r="H397" i="7"/>
  <c r="I397" i="7" s="1"/>
  <c r="H428" i="7"/>
  <c r="I428" i="7" s="1"/>
  <c r="H662" i="7"/>
  <c r="I662" i="7" s="1"/>
  <c r="H604" i="7"/>
  <c r="I604" i="7" s="1"/>
  <c r="H584" i="7"/>
  <c r="I584" i="7" s="1"/>
  <c r="H518" i="7"/>
  <c r="I518" i="7" s="1"/>
  <c r="H724" i="7"/>
  <c r="I724" i="7" s="1"/>
  <c r="H709" i="7"/>
  <c r="I709" i="7" s="1"/>
  <c r="H652" i="7"/>
  <c r="I652" i="7" s="1"/>
  <c r="H623" i="7"/>
  <c r="I623" i="7" s="1"/>
  <c r="H575" i="7"/>
  <c r="I575" i="7" s="1"/>
  <c r="H557" i="7"/>
  <c r="I557" i="7" s="1"/>
  <c r="H539" i="7"/>
  <c r="I539" i="7" s="1"/>
  <c r="H531" i="7"/>
  <c r="I531" i="7" s="1"/>
  <c r="H498" i="7"/>
  <c r="I498" i="7" s="1"/>
  <c r="H475" i="7"/>
  <c r="I475" i="7" s="1"/>
  <c r="H418" i="7"/>
  <c r="I418" i="7" s="1"/>
  <c r="H385" i="7"/>
  <c r="I385" i="7" s="1"/>
  <c r="H698" i="7"/>
  <c r="I698" i="7" s="1"/>
  <c r="H641" i="7"/>
  <c r="I641" i="7" s="1"/>
  <c r="H596" i="7"/>
  <c r="I596" i="7" s="1"/>
  <c r="H564" i="7"/>
  <c r="I564" i="7" s="1"/>
  <c r="H508" i="7"/>
  <c r="I508" i="7" s="1"/>
  <c r="H485" i="7"/>
  <c r="I485" i="7" s="1"/>
  <c r="H678" i="7"/>
  <c r="I678" i="7" s="1"/>
  <c r="H650" i="7"/>
  <c r="I650" i="7" s="1"/>
  <c r="H636" i="7"/>
  <c r="I636" i="7" s="1"/>
  <c r="H613" i="7"/>
  <c r="I613" i="7" s="1"/>
  <c r="H603" i="7"/>
  <c r="I603" i="7" s="1"/>
  <c r="H593" i="7"/>
  <c r="I593" i="7" s="1"/>
  <c r="H582" i="7"/>
  <c r="I582" i="7" s="1"/>
  <c r="H565" i="7"/>
  <c r="I565" i="7" s="1"/>
  <c r="H545" i="7"/>
  <c r="I545" i="7" s="1"/>
  <c r="H521" i="7"/>
  <c r="I521" i="7" s="1"/>
  <c r="H507" i="7"/>
  <c r="I507" i="7" s="1"/>
  <c r="H488" i="7"/>
  <c r="I488" i="7" s="1"/>
  <c r="H444" i="7"/>
  <c r="I444" i="7" s="1"/>
  <c r="H427" i="7"/>
  <c r="I427" i="7" s="1"/>
  <c r="H637" i="7"/>
  <c r="I637" i="7" s="1"/>
  <c r="H734" i="7"/>
  <c r="I734" i="7" s="1"/>
  <c r="H721" i="7"/>
  <c r="I721" i="7" s="1"/>
  <c r="H702" i="7"/>
  <c r="I702" i="7" s="1"/>
  <c r="H684" i="7"/>
  <c r="I684" i="7" s="1"/>
  <c r="H657" i="7"/>
  <c r="I657" i="7" s="1"/>
  <c r="H611" i="7"/>
  <c r="I611" i="7" s="1"/>
  <c r="H574" i="7"/>
  <c r="I574" i="7" s="1"/>
  <c r="H559" i="7"/>
  <c r="I559" i="7" s="1"/>
  <c r="H538" i="7"/>
  <c r="I538" i="7" s="1"/>
  <c r="H528" i="7"/>
  <c r="I528" i="7" s="1"/>
  <c r="H493" i="7"/>
  <c r="I493" i="7" s="1"/>
  <c r="H474" i="7"/>
  <c r="I474" i="7" s="1"/>
  <c r="H466" i="7"/>
  <c r="I466" i="7" s="1"/>
  <c r="H419" i="7"/>
  <c r="I419" i="7" s="1"/>
  <c r="H409" i="7"/>
  <c r="I409" i="7" s="1"/>
  <c r="H395" i="7"/>
  <c r="I395" i="7" s="1"/>
  <c r="H393" i="7"/>
  <c r="I393" i="7" s="1"/>
  <c r="H644" i="7"/>
  <c r="I644" i="7" s="1"/>
  <c r="H598" i="7"/>
  <c r="I598" i="7" s="1"/>
  <c r="H579" i="7"/>
  <c r="I579" i="7" s="1"/>
  <c r="H512" i="7"/>
  <c r="I512" i="7" s="1"/>
  <c r="H718" i="7"/>
  <c r="I718" i="7" s="1"/>
  <c r="H705" i="7"/>
  <c r="I705" i="7" s="1"/>
  <c r="H685" i="7"/>
  <c r="I685" i="7" s="1"/>
  <c r="H649" i="7"/>
  <c r="I649" i="7" s="1"/>
  <c r="H607" i="7"/>
  <c r="I607" i="7" s="1"/>
  <c r="H573" i="7"/>
  <c r="I573" i="7" s="1"/>
  <c r="H556" i="7"/>
  <c r="I556" i="7" s="1"/>
  <c r="H537" i="7"/>
  <c r="I537" i="7" s="1"/>
  <c r="H529" i="7"/>
  <c r="I529" i="7" s="1"/>
  <c r="H496" i="7"/>
  <c r="I496" i="7" s="1"/>
  <c r="H473" i="7"/>
  <c r="I473" i="7" s="1"/>
  <c r="H414" i="7"/>
  <c r="I414" i="7" s="1"/>
  <c r="H381" i="7"/>
  <c r="I381" i="7" s="1"/>
  <c r="H682" i="7"/>
  <c r="I682" i="7" s="1"/>
  <c r="H614" i="7"/>
  <c r="I614" i="7" s="1"/>
  <c r="H592" i="7"/>
  <c r="I592" i="7" s="1"/>
  <c r="H555" i="7"/>
  <c r="I555" i="7" s="1"/>
  <c r="H506" i="7"/>
  <c r="I506" i="7" s="1"/>
  <c r="H699" i="7"/>
  <c r="I699" i="7" s="1"/>
  <c r="H674" i="7"/>
  <c r="I674" i="7" s="1"/>
  <c r="H645" i="7"/>
  <c r="I645" i="7" s="1"/>
  <c r="H630" i="7"/>
  <c r="I630" i="7" s="1"/>
  <c r="H610" i="7"/>
  <c r="I610" i="7" s="1"/>
  <c r="H599" i="7"/>
  <c r="I599" i="7" s="1"/>
  <c r="H591" i="7"/>
  <c r="I591" i="7" s="1"/>
  <c r="H580" i="7"/>
  <c r="I580" i="7" s="1"/>
  <c r="H563" i="7"/>
  <c r="I563" i="7" s="1"/>
  <c r="H544" i="7"/>
  <c r="I544" i="7" s="1"/>
  <c r="H519" i="7"/>
  <c r="I519" i="7" s="1"/>
  <c r="H505" i="7"/>
  <c r="I505" i="7" s="1"/>
  <c r="H486" i="7"/>
  <c r="I486" i="7" s="1"/>
  <c r="H440" i="7"/>
  <c r="I440" i="7" s="1"/>
  <c r="H392" i="7"/>
  <c r="I392" i="7" s="1"/>
  <c r="H602" i="7"/>
  <c r="I602" i="7" s="1"/>
  <c r="H733" i="7"/>
  <c r="I733" i="7" s="1"/>
  <c r="H716" i="7"/>
  <c r="I716" i="7" s="1"/>
  <c r="H695" i="7"/>
  <c r="I695" i="7" s="1"/>
  <c r="H681" i="7"/>
  <c r="I681" i="7" s="1"/>
  <c r="H628" i="7"/>
  <c r="I628" i="7" s="1"/>
  <c r="H606" i="7"/>
  <c r="I606" i="7" s="1"/>
  <c r="H572" i="7"/>
  <c r="I572" i="7" s="1"/>
  <c r="H548" i="7"/>
  <c r="I548" i="7" s="1"/>
  <c r="H536" i="7"/>
  <c r="I536" i="7" s="1"/>
  <c r="H526" i="7"/>
  <c r="I526" i="7" s="1"/>
  <c r="H482" i="7"/>
  <c r="I482" i="7" s="1"/>
  <c r="H472" i="7"/>
  <c r="I472" i="7" s="1"/>
  <c r="H425" i="7"/>
  <c r="I425" i="7" s="1"/>
  <c r="H417" i="7"/>
  <c r="I417" i="7" s="1"/>
  <c r="H405" i="7"/>
  <c r="I405" i="7" s="1"/>
  <c r="H446" i="7"/>
  <c r="I446" i="7" s="1"/>
  <c r="H542" i="7"/>
  <c r="I542" i="7" s="1"/>
  <c r="H458" i="7"/>
  <c r="I458" i="7" s="1"/>
  <c r="H450" i="7"/>
  <c r="I450" i="7" s="1"/>
  <c r="H663" i="7"/>
  <c r="I663" i="7" s="1"/>
  <c r="H510" i="7"/>
  <c r="I510" i="7" s="1"/>
  <c r="H406" i="7"/>
  <c r="I406" i="7" s="1"/>
  <c r="H382" i="7"/>
  <c r="I382" i="7" s="1"/>
  <c r="H460" i="7"/>
  <c r="I460" i="7" s="1"/>
  <c r="H687" i="7"/>
  <c r="I687" i="7" s="1"/>
  <c r="H731" i="7"/>
  <c r="I731" i="7" s="1"/>
  <c r="H403" i="7"/>
  <c r="I403" i="7" s="1"/>
  <c r="H601" i="7"/>
  <c r="I601" i="7" s="1"/>
  <c r="H627" i="7"/>
  <c r="I627" i="7" s="1"/>
  <c r="H651" i="7"/>
  <c r="I651" i="7" s="1"/>
  <c r="H719" i="7"/>
  <c r="I719" i="7" s="1"/>
  <c r="H387" i="7"/>
  <c r="I387" i="7" s="1"/>
  <c r="H511" i="7"/>
  <c r="I511" i="7" s="1"/>
  <c r="H550" i="7"/>
  <c r="I550" i="7" s="1"/>
  <c r="H640" i="7"/>
  <c r="I640" i="7" s="1"/>
  <c r="H481" i="7"/>
  <c r="I481" i="7" s="1"/>
  <c r="H626" i="7"/>
  <c r="I626" i="7" s="1"/>
  <c r="H722" i="7"/>
  <c r="I722" i="7" s="1"/>
  <c r="H437" i="7"/>
  <c r="I437" i="7" s="1"/>
  <c r="H668" i="7"/>
  <c r="I668" i="7" s="1"/>
  <c r="H467" i="7"/>
  <c r="I467" i="7" s="1"/>
  <c r="H692" i="7"/>
  <c r="I692" i="7" s="1"/>
  <c r="H553" i="7"/>
  <c r="I553" i="7" s="1"/>
  <c r="H457" i="7"/>
  <c r="I457" i="7" s="1"/>
  <c r="H730" i="7"/>
  <c r="I730" i="7" s="1"/>
  <c r="H710" i="7"/>
  <c r="I710" i="7" s="1"/>
  <c r="H515" i="7"/>
  <c r="I515" i="7" s="1"/>
  <c r="H726" i="7"/>
  <c r="I726" i="7" s="1"/>
  <c r="H656" i="7"/>
  <c r="I656" i="7" s="1"/>
  <c r="H411" i="7"/>
  <c r="I411" i="7" s="1"/>
  <c r="H728" i="7"/>
  <c r="I728" i="7" s="1"/>
  <c r="H404" i="7"/>
  <c r="I404" i="7" s="1"/>
  <c r="H454" i="7"/>
  <c r="I454" i="7" s="1"/>
  <c r="H402" i="7"/>
  <c r="I402" i="7" s="1"/>
  <c r="H435" i="7"/>
  <c r="I435" i="7" s="1"/>
  <c r="H416" i="7"/>
  <c r="I416" i="7" s="1"/>
  <c r="H380" i="7"/>
  <c r="I380" i="7" s="1"/>
  <c r="H434" i="7"/>
  <c r="I434" i="7" s="1"/>
  <c r="H683" i="7"/>
  <c r="I683" i="7" s="1"/>
  <c r="H494" i="7"/>
  <c r="I494" i="7" s="1"/>
  <c r="H390" i="7"/>
  <c r="I390" i="7" s="1"/>
  <c r="H422" i="7"/>
  <c r="I422" i="7" s="1"/>
  <c r="H448" i="7"/>
  <c r="I448" i="7" s="1"/>
  <c r="H464" i="7"/>
  <c r="I464" i="7" s="1"/>
  <c r="H616" i="7"/>
  <c r="I616" i="7" s="1"/>
  <c r="H612" i="7"/>
  <c r="I612" i="7" s="1"/>
  <c r="H707" i="7"/>
  <c r="I707" i="7" s="1"/>
  <c r="H441" i="7"/>
  <c r="I441" i="7" s="1"/>
  <c r="H396" i="7"/>
  <c r="I396" i="7" s="1"/>
  <c r="H500" i="7"/>
  <c r="I500" i="7" s="1"/>
  <c r="H378" i="7"/>
  <c r="I378" i="7" s="1"/>
  <c r="H667" i="7"/>
  <c r="I667" i="7" s="1"/>
  <c r="H727" i="7"/>
  <c r="I727" i="7" s="1"/>
  <c r="H569" i="7"/>
  <c r="I569" i="7" s="1"/>
  <c r="H374" i="7"/>
  <c r="I374" i="7" s="1"/>
  <c r="H566" i="7"/>
  <c r="I566" i="7" s="1"/>
  <c r="H655" i="7"/>
  <c r="I655" i="7" s="1"/>
  <c r="H433" i="7"/>
  <c r="I433" i="7" s="1"/>
  <c r="H383" i="7"/>
  <c r="I383" i="7" s="1"/>
  <c r="H513" i="7"/>
  <c r="I513" i="7" s="1"/>
  <c r="H672" i="7"/>
  <c r="I672" i="7" s="1"/>
  <c r="H372" i="7"/>
  <c r="I372" i="7" s="1"/>
  <c r="H379" i="7"/>
  <c r="I379" i="7" s="1"/>
  <c r="H439" i="7"/>
  <c r="I439" i="7" s="1"/>
  <c r="H499" i="7"/>
  <c r="I499" i="7" s="1"/>
  <c r="H399" i="7"/>
  <c r="I399" i="7" s="1"/>
  <c r="H384" i="7"/>
  <c r="I384" i="7" s="1"/>
  <c r="H408" i="7"/>
  <c r="I408" i="7" s="1"/>
  <c r="H589" i="7"/>
  <c r="I589" i="7" s="1"/>
  <c r="H619" i="7"/>
  <c r="I619" i="7" s="1"/>
  <c r="H388" i="7"/>
  <c r="I388" i="7" s="1"/>
  <c r="H478" i="7"/>
  <c r="I478" i="7" s="1"/>
  <c r="H558" i="7"/>
  <c r="I558" i="7" s="1"/>
  <c r="H463" i="7"/>
  <c r="I463" i="7" s="1"/>
  <c r="H691" i="7"/>
  <c r="I691" i="7" s="1"/>
  <c r="H647" i="7"/>
  <c r="I647" i="7" s="1"/>
  <c r="H520" i="7"/>
  <c r="I520" i="7" s="1"/>
  <c r="H479" i="7"/>
  <c r="I479" i="7" s="1"/>
  <c r="H394" i="7"/>
  <c r="I394" i="7" s="1"/>
  <c r="H456" i="7"/>
  <c r="I456" i="7" s="1"/>
  <c r="H534" i="7"/>
  <c r="I534" i="7" s="1"/>
  <c r="H675" i="7"/>
  <c r="I675" i="7" s="1"/>
  <c r="H723" i="7"/>
  <c r="I723" i="7" s="1"/>
  <c r="H371" i="7"/>
  <c r="I371" i="7" s="1"/>
  <c r="H527" i="7"/>
  <c r="I527" i="7" s="1"/>
  <c r="H386" i="7"/>
  <c r="I386" i="7" s="1"/>
  <c r="H639" i="7"/>
  <c r="I639" i="7" s="1"/>
  <c r="H711" i="7"/>
  <c r="I711" i="7" s="1"/>
  <c r="H398" i="7"/>
  <c r="I398" i="7" s="1"/>
  <c r="H438" i="7"/>
  <c r="I438" i="7" s="1"/>
  <c r="H632" i="7"/>
  <c r="I632" i="7" s="1"/>
  <c r="H679" i="7"/>
  <c r="I679" i="7" s="1"/>
  <c r="H497" i="7"/>
  <c r="I497" i="7" s="1"/>
  <c r="H700" i="7"/>
  <c r="I700" i="7" s="1"/>
  <c r="H706" i="7"/>
  <c r="I706" i="7" s="1"/>
  <c r="H561" i="7"/>
  <c r="I561" i="7" s="1"/>
  <c r="H676" i="7"/>
  <c r="I676" i="7" s="1"/>
  <c r="H714" i="7"/>
  <c r="I714" i="7" s="1"/>
  <c r="H712" i="7"/>
  <c r="I712" i="7" s="1"/>
  <c r="H680" i="7"/>
  <c r="I680" i="7" s="1"/>
  <c r="H461" i="7"/>
  <c r="I461" i="7" s="1"/>
  <c r="H376" i="7"/>
  <c r="I376" i="7" s="1"/>
  <c r="H462" i="7"/>
  <c r="I462" i="7" s="1"/>
  <c r="H442" i="7"/>
  <c r="I442" i="7" s="1"/>
  <c r="H407" i="7"/>
  <c r="I407" i="7" s="1"/>
  <c r="H631" i="7"/>
  <c r="I631" i="7" s="1"/>
  <c r="H443" i="7"/>
  <c r="I443" i="7" s="1"/>
  <c r="H430" i="7"/>
  <c r="I430" i="7" s="1"/>
  <c r="H671" i="7"/>
  <c r="I671" i="7" s="1"/>
  <c r="H424" i="7"/>
  <c r="I424" i="7" s="1"/>
  <c r="H420" i="7"/>
  <c r="I420" i="7" s="1"/>
  <c r="H633" i="7"/>
  <c r="I633" i="7" s="1"/>
  <c r="H453" i="7"/>
  <c r="I453" i="7" s="1"/>
  <c r="H696" i="7"/>
  <c r="I696" i="7" s="1"/>
  <c r="H720" i="7"/>
  <c r="I720" i="7" s="1"/>
  <c r="H447" i="7"/>
  <c r="I447" i="7" s="1"/>
  <c r="H459" i="7"/>
  <c r="I459" i="7" s="1"/>
  <c r="H642" i="7"/>
  <c r="I642" i="7" s="1"/>
  <c r="H585" i="7"/>
  <c r="I585" i="7" s="1"/>
  <c r="H471" i="7"/>
  <c r="I471" i="7" s="1"/>
  <c r="H653" i="7"/>
  <c r="I653" i="7" s="1"/>
  <c r="H412" i="7"/>
  <c r="I412" i="7" s="1"/>
  <c r="H391" i="7"/>
  <c r="I391" i="7" s="1"/>
  <c r="H452" i="7"/>
  <c r="I452" i="7" s="1"/>
  <c r="H659" i="7"/>
  <c r="I659" i="7" s="1"/>
  <c r="H484" i="7"/>
  <c r="I484" i="7" s="1"/>
  <c r="H735" i="7"/>
  <c r="I735" i="7" s="1"/>
  <c r="H688" i="7"/>
  <c r="I688" i="7" s="1"/>
  <c r="H375" i="7"/>
  <c r="I375" i="7" s="1"/>
  <c r="H621" i="7"/>
  <c r="I621" i="7" s="1"/>
  <c r="H543" i="7"/>
  <c r="I543" i="7" s="1"/>
  <c r="H703" i="7"/>
  <c r="I703" i="7" s="1"/>
  <c r="H648" i="7"/>
  <c r="I648" i="7" s="1"/>
  <c r="H429" i="7"/>
  <c r="I429" i="7" s="1"/>
  <c r="H495" i="7"/>
  <c r="I495" i="7" s="1"/>
  <c r="H516" i="7"/>
  <c r="I516" i="7" s="1"/>
  <c r="H715" i="7"/>
  <c r="I715" i="7" s="1"/>
  <c r="H451" i="7"/>
  <c r="I451" i="7" s="1"/>
  <c r="H410" i="7"/>
  <c r="I410" i="7" s="1"/>
  <c r="H624" i="7"/>
  <c r="I624" i="7" s="1"/>
  <c r="H455" i="7"/>
  <c r="I455" i="7" s="1"/>
  <c r="H445" i="7"/>
  <c r="I445" i="7" s="1"/>
  <c r="H634" i="7"/>
  <c r="I634" i="7" s="1"/>
  <c r="H660" i="7"/>
  <c r="I660" i="7" s="1"/>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F35" i="6" l="1"/>
  <c r="S8" i="4"/>
  <c r="T8" i="4" s="1"/>
  <c r="S10" i="4"/>
  <c r="T10" i="4" s="1"/>
  <c r="S12" i="4"/>
  <c r="T12" i="4" s="1"/>
  <c r="S14" i="4"/>
  <c r="T14" i="4" s="1"/>
  <c r="S16" i="4"/>
  <c r="T16" i="4" s="1"/>
  <c r="S18" i="4"/>
  <c r="T18" i="4" s="1"/>
  <c r="S20" i="4"/>
  <c r="T20" i="4" s="1"/>
  <c r="S22" i="4"/>
  <c r="T22" i="4" s="1"/>
  <c r="S24" i="4"/>
  <c r="T24" i="4" s="1"/>
  <c r="S26" i="4"/>
  <c r="T26" i="4" s="1"/>
  <c r="S28" i="4"/>
  <c r="T28" i="4" s="1"/>
  <c r="S30" i="4"/>
  <c r="T30" i="4" s="1"/>
  <c r="S32" i="4"/>
  <c r="T32" i="4" s="1"/>
  <c r="S34" i="4"/>
  <c r="T34" i="4" s="1"/>
  <c r="S36" i="4"/>
  <c r="T36" i="4" s="1"/>
  <c r="S38" i="4"/>
  <c r="T38" i="4" s="1"/>
  <c r="S40" i="4"/>
  <c r="T40" i="4" s="1"/>
  <c r="S42" i="4"/>
  <c r="T42" i="4" s="1"/>
  <c r="S44" i="4"/>
  <c r="T44" i="4" s="1"/>
  <c r="S46" i="4"/>
  <c r="T46" i="4" s="1"/>
  <c r="S48" i="4"/>
  <c r="T48" i="4" s="1"/>
  <c r="S50" i="4"/>
  <c r="T50" i="4" s="1"/>
  <c r="S52" i="4"/>
  <c r="T52" i="4" s="1"/>
  <c r="S54" i="4"/>
  <c r="T54" i="4" s="1"/>
  <c r="S56" i="4"/>
  <c r="T56" i="4" s="1"/>
  <c r="S58" i="4"/>
  <c r="T58" i="4" s="1"/>
  <c r="S60" i="4"/>
  <c r="T60" i="4" s="1"/>
  <c r="S62" i="4"/>
  <c r="T62" i="4" s="1"/>
  <c r="S64" i="4"/>
  <c r="T64" i="4" s="1"/>
  <c r="S66" i="4"/>
  <c r="T66" i="4" s="1"/>
  <c r="S68" i="4"/>
  <c r="T68" i="4" s="1"/>
  <c r="S70" i="4"/>
  <c r="T70" i="4" s="1"/>
  <c r="S72" i="4"/>
  <c r="T72" i="4" s="1"/>
  <c r="S74" i="4"/>
  <c r="T74" i="4" s="1"/>
  <c r="S76" i="4"/>
  <c r="T76" i="4" s="1"/>
  <c r="S78" i="4"/>
  <c r="T78" i="4" s="1"/>
  <c r="S80" i="4"/>
  <c r="T80" i="4" s="1"/>
  <c r="S82" i="4"/>
  <c r="T82" i="4" s="1"/>
  <c r="S84" i="4"/>
  <c r="T84" i="4" s="1"/>
  <c r="S86" i="4"/>
  <c r="T86" i="4" s="1"/>
  <c r="S88" i="4"/>
  <c r="T88" i="4" s="1"/>
  <c r="S90" i="4"/>
  <c r="T90" i="4" s="1"/>
  <c r="S92" i="4"/>
  <c r="T92" i="4" s="1"/>
  <c r="S94" i="4"/>
  <c r="T94" i="4" s="1"/>
  <c r="S96" i="4"/>
  <c r="T96" i="4" s="1"/>
  <c r="S98" i="4"/>
  <c r="T98" i="4" s="1"/>
  <c r="S100" i="4"/>
  <c r="T100" i="4" s="1"/>
  <c r="S102" i="4"/>
  <c r="T102" i="4" s="1"/>
  <c r="S104" i="4"/>
  <c r="T104" i="4" s="1"/>
  <c r="S106" i="4"/>
  <c r="T106" i="4" s="1"/>
  <c r="S108" i="4"/>
  <c r="T108" i="4" s="1"/>
  <c r="S110" i="4"/>
  <c r="T110" i="4" s="1"/>
  <c r="S112" i="4"/>
  <c r="T112" i="4" s="1"/>
  <c r="S114" i="4"/>
  <c r="T114" i="4" s="1"/>
  <c r="S116" i="4"/>
  <c r="T116" i="4" s="1"/>
  <c r="S118" i="4"/>
  <c r="T118" i="4" s="1"/>
  <c r="S120" i="4"/>
  <c r="T120" i="4" s="1"/>
  <c r="S122" i="4"/>
  <c r="T122" i="4" s="1"/>
  <c r="S124" i="4"/>
  <c r="T124" i="4" s="1"/>
  <c r="S126" i="4"/>
  <c r="T126" i="4" s="1"/>
  <c r="S128" i="4"/>
  <c r="T128" i="4" s="1"/>
  <c r="S130" i="4"/>
  <c r="T130" i="4" s="1"/>
  <c r="S132" i="4"/>
  <c r="T132" i="4" s="1"/>
  <c r="S134" i="4"/>
  <c r="T134" i="4" s="1"/>
  <c r="S136" i="4"/>
  <c r="T136" i="4" s="1"/>
  <c r="S138" i="4"/>
  <c r="T138" i="4" s="1"/>
  <c r="S140" i="4"/>
  <c r="T140" i="4" s="1"/>
  <c r="S142" i="4"/>
  <c r="T142" i="4" s="1"/>
  <c r="S144" i="4"/>
  <c r="T144" i="4" s="1"/>
  <c r="S146" i="4"/>
  <c r="T146" i="4" s="1"/>
  <c r="S148" i="4"/>
  <c r="T148" i="4" s="1"/>
  <c r="S150" i="4"/>
  <c r="T150" i="4" s="1"/>
  <c r="S152" i="4"/>
  <c r="T152" i="4" s="1"/>
  <c r="S154" i="4"/>
  <c r="T154" i="4" s="1"/>
  <c r="S156" i="4"/>
  <c r="T156" i="4" s="1"/>
  <c r="S158" i="4"/>
  <c r="T158" i="4" s="1"/>
  <c r="S160" i="4"/>
  <c r="T160" i="4" s="1"/>
  <c r="S162" i="4"/>
  <c r="T162" i="4" s="1"/>
  <c r="S164" i="4"/>
  <c r="T164" i="4" s="1"/>
  <c r="S166" i="4"/>
  <c r="T166" i="4" s="1"/>
  <c r="S168" i="4"/>
  <c r="T168" i="4" s="1"/>
  <c r="S170" i="4"/>
  <c r="T170" i="4" s="1"/>
  <c r="S172" i="4"/>
  <c r="T172" i="4" s="1"/>
  <c r="S174" i="4"/>
  <c r="T174" i="4" s="1"/>
  <c r="S176" i="4"/>
  <c r="T176" i="4" s="1"/>
  <c r="S9" i="4"/>
  <c r="T9" i="4" s="1"/>
  <c r="S13" i="4"/>
  <c r="T13" i="4" s="1"/>
  <c r="S17" i="4"/>
  <c r="T17" i="4" s="1"/>
  <c r="S21" i="4"/>
  <c r="T21" i="4" s="1"/>
  <c r="S25" i="4"/>
  <c r="T25" i="4" s="1"/>
  <c r="S29" i="4"/>
  <c r="T29" i="4" s="1"/>
  <c r="S33" i="4"/>
  <c r="T33" i="4" s="1"/>
  <c r="S37" i="4"/>
  <c r="T37" i="4" s="1"/>
  <c r="S41" i="4"/>
  <c r="T41" i="4" s="1"/>
  <c r="S45" i="4"/>
  <c r="T45" i="4" s="1"/>
  <c r="S49" i="4"/>
  <c r="T49" i="4" s="1"/>
  <c r="S53" i="4"/>
  <c r="T53" i="4" s="1"/>
  <c r="S57" i="4"/>
  <c r="T57" i="4" s="1"/>
  <c r="S61" i="4"/>
  <c r="T61" i="4" s="1"/>
  <c r="S65" i="4"/>
  <c r="T65" i="4" s="1"/>
  <c r="S69" i="4"/>
  <c r="T69" i="4" s="1"/>
  <c r="S73" i="4"/>
  <c r="T73" i="4" s="1"/>
  <c r="S77" i="4"/>
  <c r="T77" i="4" s="1"/>
  <c r="S81" i="4"/>
  <c r="T81" i="4" s="1"/>
  <c r="S85" i="4"/>
  <c r="T85" i="4" s="1"/>
  <c r="S89" i="4"/>
  <c r="T89" i="4" s="1"/>
  <c r="S93" i="4"/>
  <c r="T93" i="4" s="1"/>
  <c r="S97" i="4"/>
  <c r="T97" i="4" s="1"/>
  <c r="S101" i="4"/>
  <c r="T101" i="4" s="1"/>
  <c r="S105" i="4"/>
  <c r="T105" i="4" s="1"/>
  <c r="S109" i="4"/>
  <c r="T109" i="4" s="1"/>
  <c r="S113" i="4"/>
  <c r="T113" i="4" s="1"/>
  <c r="S117" i="4"/>
  <c r="T117" i="4" s="1"/>
  <c r="S121" i="4"/>
  <c r="T121" i="4" s="1"/>
  <c r="S125" i="4"/>
  <c r="T125" i="4" s="1"/>
  <c r="S129" i="4"/>
  <c r="T129" i="4" s="1"/>
  <c r="S133" i="4"/>
  <c r="T133" i="4" s="1"/>
  <c r="S137" i="4"/>
  <c r="T137" i="4" s="1"/>
  <c r="S141" i="4"/>
  <c r="T141" i="4" s="1"/>
  <c r="S145" i="4"/>
  <c r="T145" i="4" s="1"/>
  <c r="S149" i="4"/>
  <c r="T149" i="4" s="1"/>
  <c r="S153" i="4"/>
  <c r="T153" i="4" s="1"/>
  <c r="S157" i="4"/>
  <c r="T157" i="4" s="1"/>
  <c r="S161" i="4"/>
  <c r="T161" i="4" s="1"/>
  <c r="S165" i="4"/>
  <c r="T165" i="4" s="1"/>
  <c r="S169" i="4"/>
  <c r="T169" i="4" s="1"/>
  <c r="S173" i="4"/>
  <c r="T173" i="4" s="1"/>
  <c r="S177" i="4"/>
  <c r="T177" i="4" s="1"/>
  <c r="S179" i="4"/>
  <c r="T179" i="4" s="1"/>
  <c r="S181" i="4"/>
  <c r="T181" i="4" s="1"/>
  <c r="S183" i="4"/>
  <c r="T183" i="4" s="1"/>
  <c r="S185" i="4"/>
  <c r="T185" i="4" s="1"/>
  <c r="S187" i="4"/>
  <c r="T187" i="4" s="1"/>
  <c r="S189" i="4"/>
  <c r="T189" i="4" s="1"/>
  <c r="S191" i="4"/>
  <c r="T191" i="4" s="1"/>
  <c r="S193" i="4"/>
  <c r="T193" i="4" s="1"/>
  <c r="S195" i="4"/>
  <c r="T195" i="4" s="1"/>
  <c r="S197" i="4"/>
  <c r="T197" i="4" s="1"/>
  <c r="S199" i="4"/>
  <c r="T199" i="4" s="1"/>
  <c r="S201" i="4"/>
  <c r="T201" i="4" s="1"/>
  <c r="S203" i="4"/>
  <c r="T203" i="4" s="1"/>
  <c r="S205" i="4"/>
  <c r="T205" i="4" s="1"/>
  <c r="S207" i="4"/>
  <c r="T207" i="4" s="1"/>
  <c r="S209" i="4"/>
  <c r="T209" i="4" s="1"/>
  <c r="S211" i="4"/>
  <c r="T211" i="4" s="1"/>
  <c r="S213" i="4"/>
  <c r="T213" i="4" s="1"/>
  <c r="S215" i="4"/>
  <c r="T215" i="4" s="1"/>
  <c r="S217" i="4"/>
  <c r="T217" i="4" s="1"/>
  <c r="S219" i="4"/>
  <c r="T219" i="4" s="1"/>
  <c r="S221" i="4"/>
  <c r="T221" i="4" s="1"/>
  <c r="S223" i="4"/>
  <c r="T223" i="4" s="1"/>
  <c r="S225" i="4"/>
  <c r="T225" i="4" s="1"/>
  <c r="S227" i="4"/>
  <c r="T227" i="4" s="1"/>
  <c r="S229" i="4"/>
  <c r="T229" i="4" s="1"/>
  <c r="S231" i="4"/>
  <c r="T231" i="4" s="1"/>
  <c r="S233" i="4"/>
  <c r="T233" i="4" s="1"/>
  <c r="S235" i="4"/>
  <c r="T235" i="4" s="1"/>
  <c r="S237" i="4"/>
  <c r="T237" i="4" s="1"/>
  <c r="S239" i="4"/>
  <c r="T239" i="4" s="1"/>
  <c r="S241" i="4"/>
  <c r="T241" i="4" s="1"/>
  <c r="S243" i="4"/>
  <c r="T243" i="4" s="1"/>
  <c r="S245" i="4"/>
  <c r="T245" i="4" s="1"/>
  <c r="S247" i="4"/>
  <c r="T247" i="4" s="1"/>
  <c r="S249" i="4"/>
  <c r="T249" i="4" s="1"/>
  <c r="S251" i="4"/>
  <c r="T251" i="4" s="1"/>
  <c r="S253" i="4"/>
  <c r="T253" i="4" s="1"/>
  <c r="S255" i="4"/>
  <c r="T255" i="4" s="1"/>
  <c r="S257" i="4"/>
  <c r="T257" i="4" s="1"/>
  <c r="S259" i="4"/>
  <c r="T259" i="4" s="1"/>
  <c r="S261" i="4"/>
  <c r="T261" i="4" s="1"/>
  <c r="S263" i="4"/>
  <c r="T263" i="4" s="1"/>
  <c r="S11" i="4"/>
  <c r="T11" i="4" s="1"/>
  <c r="S15" i="4"/>
  <c r="T15" i="4" s="1"/>
  <c r="S19" i="4"/>
  <c r="T19" i="4" s="1"/>
  <c r="S23" i="4"/>
  <c r="T23" i="4" s="1"/>
  <c r="S27" i="4"/>
  <c r="T27" i="4" s="1"/>
  <c r="S31" i="4"/>
  <c r="T31" i="4" s="1"/>
  <c r="S35" i="4"/>
  <c r="T35" i="4" s="1"/>
  <c r="S39" i="4"/>
  <c r="T39" i="4" s="1"/>
  <c r="S43" i="4"/>
  <c r="T43" i="4" s="1"/>
  <c r="S47" i="4"/>
  <c r="T47" i="4" s="1"/>
  <c r="S51" i="4"/>
  <c r="T51" i="4" s="1"/>
  <c r="S55" i="4"/>
  <c r="T55" i="4" s="1"/>
  <c r="S59" i="4"/>
  <c r="T59" i="4" s="1"/>
  <c r="S63" i="4"/>
  <c r="T63" i="4" s="1"/>
  <c r="S67" i="4"/>
  <c r="T67" i="4" s="1"/>
  <c r="S71" i="4"/>
  <c r="T71" i="4" s="1"/>
  <c r="S75" i="4"/>
  <c r="T75" i="4" s="1"/>
  <c r="S79" i="4"/>
  <c r="T79" i="4" s="1"/>
  <c r="S83" i="4"/>
  <c r="T83" i="4" s="1"/>
  <c r="S87" i="4"/>
  <c r="T87" i="4" s="1"/>
  <c r="S91" i="4"/>
  <c r="T91" i="4" s="1"/>
  <c r="S95" i="4"/>
  <c r="T95" i="4" s="1"/>
  <c r="S99" i="4"/>
  <c r="T99" i="4" s="1"/>
  <c r="S103" i="4"/>
  <c r="T103" i="4" s="1"/>
  <c r="S107" i="4"/>
  <c r="T107" i="4" s="1"/>
  <c r="S111" i="4"/>
  <c r="T111" i="4" s="1"/>
  <c r="S115" i="4"/>
  <c r="T115" i="4" s="1"/>
  <c r="S119" i="4"/>
  <c r="T119" i="4" s="1"/>
  <c r="S123" i="4"/>
  <c r="T123" i="4" s="1"/>
  <c r="S127" i="4"/>
  <c r="T127" i="4" s="1"/>
  <c r="S131" i="4"/>
  <c r="T131" i="4" s="1"/>
  <c r="S135" i="4"/>
  <c r="T135" i="4" s="1"/>
  <c r="S139" i="4"/>
  <c r="T139" i="4" s="1"/>
  <c r="S143" i="4"/>
  <c r="T143" i="4" s="1"/>
  <c r="S147" i="4"/>
  <c r="T147" i="4" s="1"/>
  <c r="S151" i="4"/>
  <c r="T151" i="4" s="1"/>
  <c r="S155" i="4"/>
  <c r="T155" i="4" s="1"/>
  <c r="S159" i="4"/>
  <c r="T159" i="4" s="1"/>
  <c r="S163" i="4"/>
  <c r="T163" i="4" s="1"/>
  <c r="S167" i="4"/>
  <c r="T167" i="4" s="1"/>
  <c r="S171" i="4"/>
  <c r="T171" i="4" s="1"/>
  <c r="S175" i="4"/>
  <c r="T175" i="4" s="1"/>
  <c r="S178" i="4"/>
  <c r="T178" i="4" s="1"/>
  <c r="S180" i="4"/>
  <c r="T180" i="4" s="1"/>
  <c r="S182" i="4"/>
  <c r="T182" i="4" s="1"/>
  <c r="S184" i="4"/>
  <c r="T184" i="4" s="1"/>
  <c r="S186" i="4"/>
  <c r="T186" i="4" s="1"/>
  <c r="S188" i="4"/>
  <c r="T188" i="4" s="1"/>
  <c r="S190" i="4"/>
  <c r="T190" i="4" s="1"/>
  <c r="S192" i="4"/>
  <c r="T192" i="4" s="1"/>
  <c r="S194" i="4"/>
  <c r="T194" i="4" s="1"/>
  <c r="S196" i="4"/>
  <c r="T196" i="4" s="1"/>
  <c r="S198" i="4"/>
  <c r="T198" i="4" s="1"/>
  <c r="S200" i="4"/>
  <c r="T200" i="4" s="1"/>
  <c r="S202" i="4"/>
  <c r="T202" i="4" s="1"/>
  <c r="S204" i="4"/>
  <c r="T204" i="4" s="1"/>
  <c r="S206" i="4"/>
  <c r="T206" i="4" s="1"/>
  <c r="S208" i="4"/>
  <c r="T208" i="4" s="1"/>
  <c r="S210" i="4"/>
  <c r="T210" i="4" s="1"/>
  <c r="S212" i="4"/>
  <c r="T212" i="4" s="1"/>
  <c r="S214" i="4"/>
  <c r="T214" i="4" s="1"/>
  <c r="S216" i="4"/>
  <c r="T216" i="4" s="1"/>
  <c r="S218" i="4"/>
  <c r="T218" i="4" s="1"/>
  <c r="S220" i="4"/>
  <c r="T220" i="4" s="1"/>
  <c r="S222" i="4"/>
  <c r="T222" i="4" s="1"/>
  <c r="S224" i="4"/>
  <c r="T224" i="4" s="1"/>
  <c r="S226" i="4"/>
  <c r="T226" i="4" s="1"/>
  <c r="S228" i="4"/>
  <c r="T228" i="4" s="1"/>
  <c r="S230" i="4"/>
  <c r="T230" i="4" s="1"/>
  <c r="S232" i="4"/>
  <c r="T232" i="4" s="1"/>
  <c r="S234" i="4"/>
  <c r="T234" i="4" s="1"/>
  <c r="S236" i="4"/>
  <c r="T236" i="4" s="1"/>
  <c r="S238" i="4"/>
  <c r="T238" i="4" s="1"/>
  <c r="S240" i="4"/>
  <c r="T240" i="4" s="1"/>
  <c r="S242" i="4"/>
  <c r="T242" i="4" s="1"/>
  <c r="S244" i="4"/>
  <c r="T244" i="4" s="1"/>
  <c r="S246" i="4"/>
  <c r="T246" i="4" s="1"/>
  <c r="S248" i="4"/>
  <c r="T248" i="4" s="1"/>
  <c r="S250" i="4"/>
  <c r="T250" i="4" s="1"/>
  <c r="S252" i="4"/>
  <c r="T252" i="4" s="1"/>
  <c r="S254" i="4"/>
  <c r="T254" i="4" s="1"/>
  <c r="S256" i="4"/>
  <c r="T256" i="4" s="1"/>
  <c r="S258" i="4"/>
  <c r="T258" i="4" s="1"/>
  <c r="S260" i="4"/>
  <c r="T260" i="4" s="1"/>
  <c r="S262" i="4"/>
  <c r="T262" i="4" s="1"/>
  <c r="S371" i="4"/>
  <c r="T371" i="4" s="1"/>
  <c r="S369" i="4"/>
  <c r="T369" i="4" s="1"/>
  <c r="S367" i="4"/>
  <c r="T367" i="4" s="1"/>
  <c r="S365" i="4"/>
  <c r="T365" i="4" s="1"/>
  <c r="S363" i="4"/>
  <c r="T363" i="4" s="1"/>
  <c r="S361" i="4"/>
  <c r="T361" i="4" s="1"/>
  <c r="S359" i="4"/>
  <c r="T359" i="4" s="1"/>
  <c r="S357" i="4"/>
  <c r="T357" i="4" s="1"/>
  <c r="S355" i="4"/>
  <c r="T355" i="4" s="1"/>
  <c r="S353" i="4"/>
  <c r="T353" i="4" s="1"/>
  <c r="S351" i="4"/>
  <c r="T351" i="4" s="1"/>
  <c r="S349" i="4"/>
  <c r="T349" i="4" s="1"/>
  <c r="S347" i="4"/>
  <c r="T347" i="4" s="1"/>
  <c r="S345" i="4"/>
  <c r="T345" i="4" s="1"/>
  <c r="S343" i="4"/>
  <c r="T343" i="4" s="1"/>
  <c r="S341" i="4"/>
  <c r="T341" i="4" s="1"/>
  <c r="S339" i="4"/>
  <c r="T339" i="4" s="1"/>
  <c r="S337" i="4"/>
  <c r="T337" i="4" s="1"/>
  <c r="S335" i="4"/>
  <c r="T335" i="4" s="1"/>
  <c r="S333" i="4"/>
  <c r="T333" i="4" s="1"/>
  <c r="S331" i="4"/>
  <c r="T331" i="4" s="1"/>
  <c r="S329" i="4"/>
  <c r="T329" i="4" s="1"/>
  <c r="S327" i="4"/>
  <c r="T327" i="4" s="1"/>
  <c r="S325" i="4"/>
  <c r="T325" i="4" s="1"/>
  <c r="S323" i="4"/>
  <c r="T323" i="4" s="1"/>
  <c r="S321" i="4"/>
  <c r="T321" i="4" s="1"/>
  <c r="S319" i="4"/>
  <c r="T319" i="4" s="1"/>
  <c r="S317" i="4"/>
  <c r="T317" i="4" s="1"/>
  <c r="S315" i="4"/>
  <c r="T315" i="4" s="1"/>
  <c r="S313" i="4"/>
  <c r="T313" i="4" s="1"/>
  <c r="S311" i="4"/>
  <c r="T311" i="4" s="1"/>
  <c r="S309" i="4"/>
  <c r="T309" i="4" s="1"/>
  <c r="S307" i="4"/>
  <c r="T307" i="4" s="1"/>
  <c r="S305" i="4"/>
  <c r="T305" i="4" s="1"/>
  <c r="S303" i="4"/>
  <c r="T303" i="4" s="1"/>
  <c r="S301" i="4"/>
  <c r="T301" i="4" s="1"/>
  <c r="S299" i="4"/>
  <c r="T299" i="4" s="1"/>
  <c r="S297" i="4"/>
  <c r="T297" i="4" s="1"/>
  <c r="S295" i="4"/>
  <c r="T295" i="4" s="1"/>
  <c r="S293" i="4"/>
  <c r="T293" i="4" s="1"/>
  <c r="S291" i="4"/>
  <c r="T291" i="4" s="1"/>
  <c r="S289" i="4"/>
  <c r="T289" i="4" s="1"/>
  <c r="S287" i="4"/>
  <c r="T287" i="4" s="1"/>
  <c r="S285" i="4"/>
  <c r="T285" i="4" s="1"/>
  <c r="S283" i="4"/>
  <c r="T283" i="4" s="1"/>
  <c r="S281" i="4"/>
  <c r="T281" i="4" s="1"/>
  <c r="S279" i="4"/>
  <c r="T279" i="4" s="1"/>
  <c r="S277" i="4"/>
  <c r="T277" i="4" s="1"/>
  <c r="S275" i="4"/>
  <c r="T275" i="4" s="1"/>
  <c r="S273" i="4"/>
  <c r="T273" i="4" s="1"/>
  <c r="S271" i="4"/>
  <c r="T271" i="4" s="1"/>
  <c r="S269" i="4"/>
  <c r="T269" i="4" s="1"/>
  <c r="S267" i="4"/>
  <c r="T267" i="4" s="1"/>
  <c r="S265" i="4"/>
  <c r="T265" i="4" s="1"/>
  <c r="S370" i="4"/>
  <c r="T370" i="4" s="1"/>
  <c r="S368" i="4"/>
  <c r="T368" i="4" s="1"/>
  <c r="S366" i="4"/>
  <c r="T366" i="4" s="1"/>
  <c r="S364" i="4"/>
  <c r="T364" i="4" s="1"/>
  <c r="S362" i="4"/>
  <c r="T362" i="4" s="1"/>
  <c r="S360" i="4"/>
  <c r="T360" i="4" s="1"/>
  <c r="S358" i="4"/>
  <c r="T358" i="4" s="1"/>
  <c r="S356" i="4"/>
  <c r="T356" i="4" s="1"/>
  <c r="S354" i="4"/>
  <c r="T354" i="4" s="1"/>
  <c r="S352" i="4"/>
  <c r="T352" i="4" s="1"/>
  <c r="S350" i="4"/>
  <c r="T350" i="4" s="1"/>
  <c r="S348" i="4"/>
  <c r="T348" i="4" s="1"/>
  <c r="S346" i="4"/>
  <c r="T346" i="4" s="1"/>
  <c r="S344" i="4"/>
  <c r="T344" i="4" s="1"/>
  <c r="S342" i="4"/>
  <c r="T342" i="4" s="1"/>
  <c r="S340" i="4"/>
  <c r="T340" i="4" s="1"/>
  <c r="S338" i="4"/>
  <c r="T338" i="4" s="1"/>
  <c r="S336" i="4"/>
  <c r="T336" i="4" s="1"/>
  <c r="S334" i="4"/>
  <c r="T334" i="4" s="1"/>
  <c r="S332" i="4"/>
  <c r="T332" i="4" s="1"/>
  <c r="S330" i="4"/>
  <c r="T330" i="4" s="1"/>
  <c r="S328" i="4"/>
  <c r="T328" i="4" s="1"/>
  <c r="S326" i="4"/>
  <c r="T326" i="4" s="1"/>
  <c r="S324" i="4"/>
  <c r="T324" i="4" s="1"/>
  <c r="S322" i="4"/>
  <c r="T322" i="4" s="1"/>
  <c r="S320" i="4"/>
  <c r="T320" i="4" s="1"/>
  <c r="S318" i="4"/>
  <c r="T318" i="4" s="1"/>
  <c r="S316" i="4"/>
  <c r="T316" i="4" s="1"/>
  <c r="S314" i="4"/>
  <c r="T314" i="4" s="1"/>
  <c r="S312" i="4"/>
  <c r="T312" i="4" s="1"/>
  <c r="S310" i="4"/>
  <c r="T310" i="4" s="1"/>
  <c r="S308" i="4"/>
  <c r="T308" i="4" s="1"/>
  <c r="S306" i="4"/>
  <c r="T306" i="4" s="1"/>
  <c r="S304" i="4"/>
  <c r="T304" i="4" s="1"/>
  <c r="S302" i="4"/>
  <c r="T302" i="4" s="1"/>
  <c r="S300" i="4"/>
  <c r="T300" i="4" s="1"/>
  <c r="S298" i="4"/>
  <c r="T298" i="4" s="1"/>
  <c r="S296" i="4"/>
  <c r="T296" i="4" s="1"/>
  <c r="S294" i="4"/>
  <c r="T294" i="4" s="1"/>
  <c r="S292" i="4"/>
  <c r="T292" i="4" s="1"/>
  <c r="S290" i="4"/>
  <c r="T290" i="4" s="1"/>
  <c r="S288" i="4"/>
  <c r="T288" i="4" s="1"/>
  <c r="S286" i="4"/>
  <c r="T286" i="4" s="1"/>
  <c r="S284" i="4"/>
  <c r="T284" i="4" s="1"/>
  <c r="S282" i="4"/>
  <c r="T282" i="4" s="1"/>
  <c r="S280" i="4"/>
  <c r="T280" i="4" s="1"/>
  <c r="S278" i="4"/>
  <c r="T278" i="4" s="1"/>
  <c r="S276" i="4"/>
  <c r="T276" i="4" s="1"/>
  <c r="S274" i="4"/>
  <c r="T274" i="4" s="1"/>
  <c r="S272" i="4"/>
  <c r="T272" i="4" s="1"/>
  <c r="S270" i="4"/>
  <c r="T270" i="4" s="1"/>
  <c r="S268" i="4"/>
  <c r="T268" i="4" s="1"/>
  <c r="S266" i="4"/>
  <c r="T266" i="4" s="1"/>
  <c r="S264" i="4"/>
  <c r="T264" i="4" s="1"/>
  <c r="D7" i="7" l="1"/>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6" i="7"/>
  <c r="E6" i="7" l="1"/>
  <c r="F6" i="7" s="1"/>
  <c r="G6" i="7"/>
  <c r="H6" i="7" s="1"/>
  <c r="I6" i="7" l="1"/>
  <c r="J370" i="7" l="1"/>
  <c r="J369" i="7"/>
  <c r="J368" i="7"/>
  <c r="J367" i="7"/>
  <c r="J366" i="7"/>
  <c r="J365" i="7"/>
  <c r="J364" i="7"/>
  <c r="J363" i="7"/>
  <c r="J362" i="7"/>
  <c r="J361" i="7"/>
  <c r="J360" i="7"/>
  <c r="J359" i="7"/>
  <c r="J358" i="7"/>
  <c r="J357" i="7"/>
  <c r="J356" i="7"/>
  <c r="J355" i="7"/>
  <c r="J354" i="7"/>
  <c r="J353" i="7"/>
  <c r="J352" i="7"/>
  <c r="J351" i="7"/>
  <c r="J350" i="7"/>
  <c r="J349" i="7"/>
  <c r="J348" i="7"/>
  <c r="J347" i="7"/>
  <c r="J346" i="7"/>
  <c r="J345" i="7"/>
  <c r="J344" i="7"/>
  <c r="J343" i="7"/>
  <c r="J342" i="7"/>
  <c r="J341" i="7"/>
  <c r="J340" i="7"/>
  <c r="J339" i="7"/>
  <c r="J338" i="7"/>
  <c r="J337" i="7"/>
  <c r="J336" i="7"/>
  <c r="J335" i="7"/>
  <c r="J334" i="7"/>
  <c r="J333" i="7"/>
  <c r="J332" i="7"/>
  <c r="J331" i="7"/>
  <c r="J330" i="7"/>
  <c r="J329" i="7"/>
  <c r="J328" i="7"/>
  <c r="J327" i="7"/>
  <c r="J326" i="7"/>
  <c r="J325" i="7"/>
  <c r="J324" i="7"/>
  <c r="J323" i="7"/>
  <c r="J322" i="7"/>
  <c r="J321" i="7"/>
  <c r="J320" i="7"/>
  <c r="J319" i="7"/>
  <c r="J318" i="7"/>
  <c r="J317" i="7"/>
  <c r="J316" i="7"/>
  <c r="J315" i="7"/>
  <c r="J314" i="7"/>
  <c r="J313" i="7"/>
  <c r="J312" i="7"/>
  <c r="J311" i="7"/>
  <c r="J310" i="7"/>
  <c r="J309" i="7"/>
  <c r="J308" i="7"/>
  <c r="J307" i="7"/>
  <c r="J306" i="7"/>
  <c r="J305" i="7"/>
  <c r="J304" i="7"/>
  <c r="J303" i="7"/>
  <c r="J302" i="7"/>
  <c r="J301" i="7"/>
  <c r="J300" i="7"/>
  <c r="J299" i="7"/>
  <c r="J298" i="7"/>
  <c r="J297" i="7"/>
  <c r="J296" i="7"/>
  <c r="J295" i="7"/>
  <c r="J294" i="7"/>
  <c r="J293" i="7"/>
  <c r="J292" i="7"/>
  <c r="J291" i="7"/>
  <c r="J290" i="7"/>
  <c r="J289" i="7"/>
  <c r="J288" i="7"/>
  <c r="J287" i="7"/>
  <c r="J286" i="7"/>
  <c r="J285" i="7"/>
  <c r="J284" i="7"/>
  <c r="J283" i="7"/>
  <c r="J282" i="7"/>
  <c r="J281" i="7"/>
  <c r="J280" i="7"/>
  <c r="J279" i="7"/>
  <c r="J278" i="7"/>
  <c r="J277" i="7"/>
  <c r="J276" i="7"/>
  <c r="J275" i="7"/>
  <c r="J274" i="7"/>
  <c r="J273" i="7"/>
  <c r="J272" i="7"/>
  <c r="J271" i="7"/>
  <c r="J270" i="7"/>
  <c r="J269" i="7"/>
  <c r="J268" i="7"/>
  <c r="J267" i="7"/>
  <c r="J266" i="7"/>
  <c r="J265" i="7"/>
  <c r="J264" i="7"/>
  <c r="J263" i="7"/>
  <c r="J262" i="7"/>
  <c r="J261" i="7"/>
  <c r="J260" i="7"/>
  <c r="J259" i="7"/>
  <c r="J258" i="7"/>
  <c r="J257" i="7"/>
  <c r="J256" i="7"/>
  <c r="J255" i="7"/>
  <c r="J254" i="7"/>
  <c r="J253" i="7"/>
  <c r="J252" i="7"/>
  <c r="J251" i="7"/>
  <c r="J250"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1" i="7"/>
  <c r="J210" i="7"/>
  <c r="J209" i="7"/>
  <c r="J208" i="7"/>
  <c r="J207" i="7"/>
  <c r="J206" i="7"/>
  <c r="J205" i="7"/>
  <c r="J204" i="7"/>
  <c r="J203" i="7"/>
  <c r="J202" i="7"/>
  <c r="J201" i="7"/>
  <c r="J200" i="7"/>
  <c r="J199" i="7"/>
  <c r="J198" i="7"/>
  <c r="J197" i="7"/>
  <c r="J196" i="7"/>
  <c r="J195"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J168" i="7"/>
  <c r="J167" i="7"/>
  <c r="J166" i="7"/>
  <c r="J165" i="7"/>
  <c r="J164" i="7"/>
  <c r="J163" i="7"/>
  <c r="J162" i="7"/>
  <c r="J161" i="7"/>
  <c r="J160" i="7"/>
  <c r="J159" i="7"/>
  <c r="J158" i="7"/>
  <c r="J157"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J12" i="7"/>
  <c r="J11" i="7"/>
  <c r="J10" i="7"/>
  <c r="J9" i="7"/>
  <c r="J8" i="7"/>
  <c r="J7" i="7"/>
  <c r="D14" i="3"/>
  <c r="D13" i="3"/>
  <c r="D9" i="3"/>
  <c r="D8" i="3"/>
  <c r="D7" i="3"/>
  <c r="D12" i="3"/>
  <c r="BK6" i="17" l="1"/>
  <c r="BL6" i="17" s="1"/>
  <c r="N6" i="17"/>
  <c r="O6" i="17" s="1"/>
  <c r="AN6" i="17" s="1"/>
  <c r="AU6" i="17"/>
  <c r="AV6" i="17" s="1"/>
  <c r="AD6" i="17"/>
  <c r="AE6" i="17" s="1"/>
  <c r="AP6" i="17" s="1"/>
  <c r="BK6" i="16"/>
  <c r="BL6" i="16" s="1"/>
  <c r="N6" i="16"/>
  <c r="O6" i="16" s="1"/>
  <c r="AN6" i="16" s="1"/>
  <c r="AD6" i="16"/>
  <c r="AU6" i="16"/>
  <c r="AV6" i="16" s="1"/>
  <c r="L377" i="7"/>
  <c r="L381" i="7"/>
  <c r="L382" i="7"/>
  <c r="L384" i="7"/>
  <c r="L391" i="7"/>
  <c r="L404" i="7"/>
  <c r="L407" i="7"/>
  <c r="L411" i="7"/>
  <c r="L419" i="7"/>
  <c r="L429" i="7"/>
  <c r="L431" i="7"/>
  <c r="L434" i="7"/>
  <c r="K445" i="7"/>
  <c r="L448" i="7"/>
  <c r="L457" i="7"/>
  <c r="K461" i="7"/>
  <c r="L464" i="7"/>
  <c r="K469" i="7"/>
  <c r="K470" i="7"/>
  <c r="L471" i="7"/>
  <c r="L484" i="7"/>
  <c r="L485" i="7"/>
  <c r="L486" i="7"/>
  <c r="L498" i="7"/>
  <c r="K503" i="7"/>
  <c r="L504" i="7"/>
  <c r="L505" i="7"/>
  <c r="L507" i="7"/>
  <c r="L521" i="7"/>
  <c r="L525" i="7"/>
  <c r="K529" i="7"/>
  <c r="L531" i="7"/>
  <c r="K535" i="7"/>
  <c r="L539" i="7"/>
  <c r="L554" i="7"/>
  <c r="K555" i="7"/>
  <c r="K557" i="7"/>
  <c r="K371" i="7"/>
  <c r="L375" i="7"/>
  <c r="L388" i="7"/>
  <c r="L395" i="7"/>
  <c r="K402" i="7"/>
  <c r="K403" i="7"/>
  <c r="K414" i="7"/>
  <c r="L417" i="7"/>
  <c r="L420" i="7"/>
  <c r="L424" i="7"/>
  <c r="K433" i="7"/>
  <c r="L436" i="7"/>
  <c r="K439" i="7"/>
  <c r="L445" i="7"/>
  <c r="K449" i="7"/>
  <c r="L452" i="7"/>
  <c r="L461" i="7"/>
  <c r="K465" i="7"/>
  <c r="K466" i="7"/>
  <c r="L468" i="7"/>
  <c r="L469" i="7"/>
  <c r="L470" i="7"/>
  <c r="K475" i="7"/>
  <c r="K482" i="7"/>
  <c r="L490" i="7"/>
  <c r="K491" i="7"/>
  <c r="K501" i="7"/>
  <c r="K502" i="7"/>
  <c r="L503" i="7"/>
  <c r="L508" i="7"/>
  <c r="L509" i="7"/>
  <c r="L512" i="7"/>
  <c r="K519" i="7"/>
  <c r="L528" i="7"/>
  <c r="L529" i="7"/>
  <c r="K530" i="7"/>
  <c r="L532" i="7"/>
  <c r="L533" i="7"/>
  <c r="L535" i="7"/>
  <c r="K537" i="7"/>
  <c r="K538" i="7"/>
  <c r="L546" i="7"/>
  <c r="K547" i="7"/>
  <c r="L551" i="7"/>
  <c r="L556" i="7"/>
  <c r="L371" i="7"/>
  <c r="L372" i="7"/>
  <c r="K386" i="7"/>
  <c r="K387" i="7"/>
  <c r="K398" i="7"/>
  <c r="L401" i="7"/>
  <c r="L402" i="7"/>
  <c r="L403" i="7"/>
  <c r="L413" i="7"/>
  <c r="L416" i="7"/>
  <c r="L423" i="7"/>
  <c r="L425" i="7"/>
  <c r="L437" i="7"/>
  <c r="L439" i="7"/>
  <c r="L442" i="7"/>
  <c r="L449" i="7"/>
  <c r="K453" i="7"/>
  <c r="L456" i="7"/>
  <c r="L465" i="7"/>
  <c r="L466" i="7"/>
  <c r="L467" i="7"/>
  <c r="L475" i="7"/>
  <c r="K481" i="7"/>
  <c r="L482" i="7"/>
  <c r="K487" i="7"/>
  <c r="L488" i="7"/>
  <c r="L489" i="7"/>
  <c r="L491" i="7"/>
  <c r="L500" i="7"/>
  <c r="L501" i="7"/>
  <c r="L502" i="7"/>
  <c r="L514" i="7"/>
  <c r="K517" i="7"/>
  <c r="K518" i="7"/>
  <c r="L519" i="7"/>
  <c r="K523" i="7"/>
  <c r="L530" i="7"/>
  <c r="L536" i="7"/>
  <c r="L538" i="7"/>
  <c r="L540" i="7"/>
  <c r="L543" i="7"/>
  <c r="K549" i="7"/>
  <c r="L562" i="7"/>
  <c r="L378" i="7"/>
  <c r="L379" i="7"/>
  <c r="K382" i="7"/>
  <c r="L383" i="7"/>
  <c r="L385" i="7"/>
  <c r="L386" i="7"/>
  <c r="L387" i="7"/>
  <c r="L393" i="7"/>
  <c r="L397" i="7"/>
  <c r="L398" i="7"/>
  <c r="L399" i="7"/>
  <c r="L400" i="7"/>
  <c r="K407" i="7"/>
  <c r="L428" i="7"/>
  <c r="K431" i="7"/>
  <c r="K441" i="7"/>
  <c r="L444" i="7"/>
  <c r="L453" i="7"/>
  <c r="K457" i="7"/>
  <c r="L460" i="7"/>
  <c r="K471" i="7"/>
  <c r="L472" i="7"/>
  <c r="L473" i="7"/>
  <c r="L476" i="7"/>
  <c r="L477" i="7"/>
  <c r="L480" i="7"/>
  <c r="K485" i="7"/>
  <c r="K486" i="7"/>
  <c r="L487" i="7"/>
  <c r="L492" i="7"/>
  <c r="L493" i="7"/>
  <c r="L496" i="7"/>
  <c r="L506" i="7"/>
  <c r="K507" i="7"/>
  <c r="L517" i="7"/>
  <c r="L518" i="7"/>
  <c r="L524" i="7"/>
  <c r="K525" i="7"/>
  <c r="K526" i="7"/>
  <c r="K531" i="7"/>
  <c r="K539" i="7"/>
  <c r="L548" i="7"/>
  <c r="L559" i="7"/>
  <c r="L564" i="7"/>
  <c r="L567" i="7"/>
  <c r="K568" i="7"/>
  <c r="K573" i="7"/>
  <c r="L574" i="7"/>
  <c r="K575" i="7"/>
  <c r="K576" i="7"/>
  <c r="L586" i="7"/>
  <c r="L587" i="7"/>
  <c r="L588" i="7"/>
  <c r="L593" i="7"/>
  <c r="L598" i="7"/>
  <c r="K599" i="7"/>
  <c r="K600" i="7"/>
  <c r="K605" i="7"/>
  <c r="L606" i="7"/>
  <c r="K607" i="7"/>
  <c r="K608" i="7"/>
  <c r="K615" i="7"/>
  <c r="L618" i="7"/>
  <c r="K620" i="7"/>
  <c r="K627" i="7"/>
  <c r="L628" i="7"/>
  <c r="K629" i="7"/>
  <c r="L635" i="7"/>
  <c r="K636" i="7"/>
  <c r="L641" i="7"/>
  <c r="K643" i="7"/>
  <c r="K644" i="7"/>
  <c r="L657" i="7"/>
  <c r="L669" i="7"/>
  <c r="L678" i="7"/>
  <c r="L689" i="7"/>
  <c r="L694" i="7"/>
  <c r="L695" i="7"/>
  <c r="L696" i="7"/>
  <c r="K700" i="7"/>
  <c r="L704" i="7"/>
  <c r="K722" i="7"/>
  <c r="L725" i="7"/>
  <c r="K728" i="7"/>
  <c r="L731" i="7"/>
  <c r="K730" i="7"/>
  <c r="K565" i="7"/>
  <c r="K567" i="7"/>
  <c r="K571" i="7"/>
  <c r="K572" i="7"/>
  <c r="L573" i="7"/>
  <c r="L575" i="7"/>
  <c r="K577" i="7"/>
  <c r="K581" i="7"/>
  <c r="L594" i="7"/>
  <c r="L595" i="7"/>
  <c r="L599" i="7"/>
  <c r="K603" i="7"/>
  <c r="K604" i="7"/>
  <c r="L605" i="7"/>
  <c r="L607" i="7"/>
  <c r="K609" i="7"/>
  <c r="L613" i="7"/>
  <c r="L614" i="7"/>
  <c r="L620" i="7"/>
  <c r="K623" i="7"/>
  <c r="L633" i="7"/>
  <c r="L636" i="7"/>
  <c r="K639" i="7"/>
  <c r="L643" i="7"/>
  <c r="K647" i="7"/>
  <c r="K651" i="7"/>
  <c r="K655" i="7"/>
  <c r="K656" i="7"/>
  <c r="L660" i="7"/>
  <c r="L673" i="7"/>
  <c r="K687" i="7"/>
  <c r="K688" i="7"/>
  <c r="K692" i="7"/>
  <c r="K699" i="7"/>
  <c r="L700" i="7"/>
  <c r="L707" i="7"/>
  <c r="L712" i="7"/>
  <c r="L715" i="7"/>
  <c r="K563" i="7"/>
  <c r="L570" i="7"/>
  <c r="L571" i="7"/>
  <c r="L572" i="7"/>
  <c r="L577" i="7"/>
  <c r="L582" i="7"/>
  <c r="K583" i="7"/>
  <c r="K584" i="7"/>
  <c r="K589" i="7"/>
  <c r="L590" i="7"/>
  <c r="K591" i="7"/>
  <c r="K592" i="7"/>
  <c r="L602" i="7"/>
  <c r="L603" i="7"/>
  <c r="L604" i="7"/>
  <c r="L609" i="7"/>
  <c r="K631" i="7"/>
  <c r="K637" i="7"/>
  <c r="L646" i="7"/>
  <c r="L647" i="7"/>
  <c r="L648" i="7"/>
  <c r="L649" i="7"/>
  <c r="L650" i="7"/>
  <c r="L651" i="7"/>
  <c r="L652" i="7"/>
  <c r="L654" i="7"/>
  <c r="L655" i="7"/>
  <c r="L656" i="7"/>
  <c r="K663" i="7"/>
  <c r="K667" i="7"/>
  <c r="K671" i="7"/>
  <c r="K672" i="7"/>
  <c r="L676" i="7"/>
  <c r="K683" i="7"/>
  <c r="L686" i="7"/>
  <c r="L687" i="7"/>
  <c r="L688" i="7"/>
  <c r="L692" i="7"/>
  <c r="K706" i="7"/>
  <c r="L709" i="7"/>
  <c r="L710" i="7"/>
  <c r="K714" i="7"/>
  <c r="L717" i="7"/>
  <c r="K720" i="7"/>
  <c r="L733" i="7"/>
  <c r="L578" i="7"/>
  <c r="L579" i="7"/>
  <c r="L583" i="7"/>
  <c r="K587" i="7"/>
  <c r="K588" i="7"/>
  <c r="L589" i="7"/>
  <c r="L591" i="7"/>
  <c r="K593" i="7"/>
  <c r="K597" i="7"/>
  <c r="L610" i="7"/>
  <c r="L611" i="7"/>
  <c r="K616" i="7"/>
  <c r="K617" i="7"/>
  <c r="K619" i="7"/>
  <c r="L625" i="7"/>
  <c r="K635" i="7"/>
  <c r="L637" i="7"/>
  <c r="L653" i="7"/>
  <c r="L662" i="7"/>
  <c r="L663" i="7"/>
  <c r="L664" i="7"/>
  <c r="L665" i="7"/>
  <c r="L666" i="7"/>
  <c r="L667" i="7"/>
  <c r="L668" i="7"/>
  <c r="L670" i="7"/>
  <c r="L671" i="7"/>
  <c r="L672" i="7"/>
  <c r="K679" i="7"/>
  <c r="L680" i="7"/>
  <c r="L681" i="7"/>
  <c r="L682" i="7"/>
  <c r="L683" i="7"/>
  <c r="L684" i="7"/>
  <c r="L685" i="7"/>
  <c r="L697" i="7"/>
  <c r="L718" i="7"/>
  <c r="L720" i="7"/>
  <c r="L723" i="7"/>
  <c r="L734" i="7"/>
  <c r="L726" i="7"/>
  <c r="L728" i="7"/>
  <c r="K723" i="7"/>
  <c r="K727" i="7"/>
  <c r="K708" i="7"/>
  <c r="K695" i="7"/>
  <c r="K678" i="7"/>
  <c r="K657" i="7"/>
  <c r="K634" i="7"/>
  <c r="K621" i="7"/>
  <c r="K596" i="7"/>
  <c r="K566" i="7"/>
  <c r="K698" i="7"/>
  <c r="K682" i="7"/>
  <c r="K670" i="7"/>
  <c r="K664" i="7"/>
  <c r="K638" i="7"/>
  <c r="K610" i="7"/>
  <c r="K569" i="7"/>
  <c r="K733" i="7"/>
  <c r="L705" i="7"/>
  <c r="K676" i="7"/>
  <c r="K650" i="7"/>
  <c r="K626" i="7"/>
  <c r="K590" i="7"/>
  <c r="L569" i="7"/>
  <c r="K731" i="7"/>
  <c r="K711" i="7"/>
  <c r="K693" i="7"/>
  <c r="K673" i="7"/>
  <c r="K614" i="7"/>
  <c r="K594" i="7"/>
  <c r="K534" i="7"/>
  <c r="K513" i="7"/>
  <c r="K499" i="7"/>
  <c r="K479" i="7"/>
  <c r="L450" i="7"/>
  <c r="K429" i="7"/>
  <c r="K415" i="7"/>
  <c r="L406" i="7"/>
  <c r="K391" i="7"/>
  <c r="K377" i="7"/>
  <c r="K558" i="7"/>
  <c r="K524" i="7"/>
  <c r="K496" i="7"/>
  <c r="K477" i="7"/>
  <c r="L462" i="7"/>
  <c r="L446" i="7"/>
  <c r="K430" i="7"/>
  <c r="K409" i="7"/>
  <c r="K397" i="7"/>
  <c r="K379" i="7"/>
  <c r="K545" i="7"/>
  <c r="K536" i="7"/>
  <c r="K511" i="7"/>
  <c r="K489" i="7"/>
  <c r="K474" i="7"/>
  <c r="K456" i="7"/>
  <c r="K437" i="7"/>
  <c r="K421" i="7"/>
  <c r="K394" i="7"/>
  <c r="K372" i="7"/>
  <c r="K551" i="7"/>
  <c r="K533" i="7"/>
  <c r="K520" i="7"/>
  <c r="K490" i="7"/>
  <c r="K452" i="7"/>
  <c r="K438" i="7"/>
  <c r="K420" i="7"/>
  <c r="K406" i="7"/>
  <c r="K388" i="7"/>
  <c r="L693" i="7"/>
  <c r="L677" i="7"/>
  <c r="L661" i="7"/>
  <c r="L645" i="7"/>
  <c r="L714" i="7"/>
  <c r="L642" i="7"/>
  <c r="L702" i="7"/>
  <c r="L659" i="7"/>
  <c r="L619" i="7"/>
  <c r="L617" i="7"/>
  <c r="L555" i="7"/>
  <c r="L523" i="7"/>
  <c r="L511" i="7"/>
  <c r="L494" i="7"/>
  <c r="L584" i="7"/>
  <c r="L580" i="7"/>
  <c r="K719" i="7"/>
  <c r="K725" i="7"/>
  <c r="K705" i="7"/>
  <c r="K694" i="7"/>
  <c r="K669" i="7"/>
  <c r="K642" i="7"/>
  <c r="K630" i="7"/>
  <c r="K618" i="7"/>
  <c r="K586" i="7"/>
  <c r="K718" i="7"/>
  <c r="K697" i="7"/>
  <c r="K681" i="7"/>
  <c r="K668" i="7"/>
  <c r="K662" i="7"/>
  <c r="K625" i="7"/>
  <c r="K601" i="7"/>
  <c r="K564" i="7"/>
  <c r="K724" i="7"/>
  <c r="K691" i="7"/>
  <c r="K659" i="7"/>
  <c r="K649" i="7"/>
  <c r="K612" i="7"/>
  <c r="K582" i="7"/>
  <c r="K735" i="7"/>
  <c r="K726" i="7"/>
  <c r="K707" i="7"/>
  <c r="L691" i="7"/>
  <c r="K660" i="7"/>
  <c r="K613" i="7"/>
  <c r="K585" i="7"/>
  <c r="K521" i="7"/>
  <c r="K510" i="7"/>
  <c r="K498" i="7"/>
  <c r="K464" i="7"/>
  <c r="K448" i="7"/>
  <c r="L426" i="7"/>
  <c r="K411" i="7"/>
  <c r="K404" i="7"/>
  <c r="K389" i="7"/>
  <c r="K561" i="7"/>
  <c r="K548" i="7"/>
  <c r="K522" i="7"/>
  <c r="K493" i="7"/>
  <c r="K476" i="7"/>
  <c r="K460" i="7"/>
  <c r="K444" i="7"/>
  <c r="K428" i="7"/>
  <c r="K405" i="7"/>
  <c r="K393" i="7"/>
  <c r="K378" i="7"/>
  <c r="K544" i="7"/>
  <c r="K527" i="7"/>
  <c r="K500" i="7"/>
  <c r="K488" i="7"/>
  <c r="K467" i="7"/>
  <c r="K454" i="7"/>
  <c r="K426" i="7"/>
  <c r="K416" i="7"/>
  <c r="K390" i="7"/>
  <c r="K556" i="7"/>
  <c r="K550" i="7"/>
  <c r="K532" i="7"/>
  <c r="K512" i="7"/>
  <c r="K468" i="7"/>
  <c r="K450" i="7"/>
  <c r="K436" i="7"/>
  <c r="K418" i="7"/>
  <c r="K395" i="7"/>
  <c r="K376" i="7"/>
  <c r="L706" i="7"/>
  <c r="L644" i="7"/>
  <c r="L621" i="7"/>
  <c r="L721" i="7"/>
  <c r="L690" i="7"/>
  <c r="L658" i="7"/>
  <c r="L629" i="7"/>
  <c r="L608" i="7"/>
  <c r="L597" i="7"/>
  <c r="L547" i="7"/>
  <c r="L479" i="7"/>
  <c r="L526" i="7"/>
  <c r="L510" i="7"/>
  <c r="L522" i="7"/>
  <c r="K732" i="7"/>
  <c r="K716" i="7"/>
  <c r="K704" i="7"/>
  <c r="K690" i="7"/>
  <c r="K661" i="7"/>
  <c r="K641" i="7"/>
  <c r="K628" i="7"/>
  <c r="K606" i="7"/>
  <c r="L585" i="7"/>
  <c r="K702" i="7"/>
  <c r="K685" i="7"/>
  <c r="K680" i="7"/>
  <c r="K666" i="7"/>
  <c r="K653" i="7"/>
  <c r="K622" i="7"/>
  <c r="K579" i="7"/>
  <c r="K562" i="7"/>
  <c r="K710" i="7"/>
  <c r="K686" i="7"/>
  <c r="K654" i="7"/>
  <c r="K648" i="7"/>
  <c r="K602" i="7"/>
  <c r="K580" i="7"/>
  <c r="K721" i="7"/>
  <c r="K715" i="7"/>
  <c r="K703" i="7"/>
  <c r="K677" i="7"/>
  <c r="K633" i="7"/>
  <c r="L612" i="7"/>
  <c r="L561" i="7"/>
  <c r="L520" i="7"/>
  <c r="K505" i="7"/>
  <c r="K495" i="7"/>
  <c r="K462" i="7"/>
  <c r="K446" i="7"/>
  <c r="K422" i="7"/>
  <c r="L410" i="7"/>
  <c r="K396" i="7"/>
  <c r="K384" i="7"/>
  <c r="K560" i="7"/>
  <c r="L545" i="7"/>
  <c r="L513" i="7"/>
  <c r="K492" i="7"/>
  <c r="K473" i="7"/>
  <c r="K458" i="7"/>
  <c r="K435" i="7"/>
  <c r="L418" i="7"/>
  <c r="K400" i="7"/>
  <c r="K385" i="7"/>
  <c r="K374" i="7"/>
  <c r="K543" i="7"/>
  <c r="K515" i="7"/>
  <c r="K497" i="7"/>
  <c r="K483" i="7"/>
  <c r="K463" i="7"/>
  <c r="K447" i="7"/>
  <c r="K425" i="7"/>
  <c r="K413" i="7"/>
  <c r="K380" i="7"/>
  <c r="K553" i="7"/>
  <c r="K546" i="7"/>
  <c r="K528" i="7"/>
  <c r="K509" i="7"/>
  <c r="K459" i="7"/>
  <c r="K443" i="7"/>
  <c r="K427" i="7"/>
  <c r="K417" i="7"/>
  <c r="L394" i="7"/>
  <c r="K375" i="7"/>
  <c r="L735" i="7"/>
  <c r="L727" i="7"/>
  <c r="L719" i="7"/>
  <c r="L711" i="7"/>
  <c r="L730" i="7"/>
  <c r="K729" i="7"/>
  <c r="K713" i="7"/>
  <c r="K696" i="7"/>
  <c r="K689" i="7"/>
  <c r="K658" i="7"/>
  <c r="K640" i="7"/>
  <c r="K624" i="7"/>
  <c r="K598" i="7"/>
  <c r="K574" i="7"/>
  <c r="L701" i="7"/>
  <c r="K684" i="7"/>
  <c r="K675" i="7"/>
  <c r="K665" i="7"/>
  <c r="K645" i="7"/>
  <c r="K611" i="7"/>
  <c r="K578" i="7"/>
  <c r="K734" i="7"/>
  <c r="K709" i="7"/>
  <c r="L679" i="7"/>
  <c r="K652" i="7"/>
  <c r="K646" i="7"/>
  <c r="L601" i="7"/>
  <c r="K570" i="7"/>
  <c r="K717" i="7"/>
  <c r="K712" i="7"/>
  <c r="K701" i="7"/>
  <c r="K674" i="7"/>
  <c r="K632" i="7"/>
  <c r="K595" i="7"/>
  <c r="K554" i="7"/>
  <c r="K516" i="7"/>
  <c r="K504" i="7"/>
  <c r="K484" i="7"/>
  <c r="K455" i="7"/>
  <c r="K434" i="7"/>
  <c r="K419" i="7"/>
  <c r="K408" i="7"/>
  <c r="K392" i="7"/>
  <c r="K381" i="7"/>
  <c r="K559" i="7"/>
  <c r="K542" i="7"/>
  <c r="K506" i="7"/>
  <c r="K480" i="7"/>
  <c r="K472" i="7"/>
  <c r="K451" i="7"/>
  <c r="K432" i="7"/>
  <c r="K412" i="7"/>
  <c r="K399" i="7"/>
  <c r="K383" i="7"/>
  <c r="L553" i="7"/>
  <c r="K540" i="7"/>
  <c r="K514" i="7"/>
  <c r="K494" i="7"/>
  <c r="K478" i="7"/>
  <c r="L458" i="7"/>
  <c r="K442" i="7"/>
  <c r="K423" i="7"/>
  <c r="K401" i="7"/>
  <c r="L374" i="7"/>
  <c r="K552" i="7"/>
  <c r="K541" i="7"/>
  <c r="L527" i="7"/>
  <c r="K508" i="7"/>
  <c r="L454" i="7"/>
  <c r="K440" i="7"/>
  <c r="K424" i="7"/>
  <c r="K410" i="7"/>
  <c r="L390" i="7"/>
  <c r="K373" i="7"/>
  <c r="L732" i="7"/>
  <c r="L724" i="7"/>
  <c r="L716" i="7"/>
  <c r="L708" i="7"/>
  <c r="L703" i="7"/>
  <c r="L626" i="7"/>
  <c r="L722" i="7"/>
  <c r="L576" i="7"/>
  <c r="L563" i="7"/>
  <c r="L568" i="7"/>
  <c r="L497" i="7"/>
  <c r="L499" i="7"/>
  <c r="L440" i="7"/>
  <c r="L459" i="7"/>
  <c r="L451" i="7"/>
  <c r="L443" i="7"/>
  <c r="L409" i="7"/>
  <c r="L392" i="7"/>
  <c r="L441" i="7"/>
  <c r="L698" i="7"/>
  <c r="L639" i="7"/>
  <c r="L623" i="7"/>
  <c r="L632" i="7"/>
  <c r="L565" i="7"/>
  <c r="L542" i="7"/>
  <c r="L421" i="7"/>
  <c r="L729" i="7"/>
  <c r="L495" i="7"/>
  <c r="L481" i="7"/>
  <c r="L455" i="7"/>
  <c r="L438" i="7"/>
  <c r="L396" i="7"/>
  <c r="L631" i="7"/>
  <c r="L566" i="7"/>
  <c r="L537" i="7"/>
  <c r="L414" i="7"/>
  <c r="L560" i="7"/>
  <c r="L427" i="7"/>
  <c r="L713" i="7"/>
  <c r="L600" i="7"/>
  <c r="L483" i="7"/>
  <c r="L415" i="7"/>
  <c r="L389" i="7"/>
  <c r="L373" i="7"/>
  <c r="L430" i="7"/>
  <c r="L408" i="7"/>
  <c r="L433" i="7"/>
  <c r="L638" i="7"/>
  <c r="L615" i="7"/>
  <c r="L624" i="7"/>
  <c r="L616" i="7"/>
  <c r="L552" i="7"/>
  <c r="L557" i="7"/>
  <c r="L550" i="7"/>
  <c r="L675" i="7"/>
  <c r="L516" i="7"/>
  <c r="L463" i="7"/>
  <c r="L412" i="7"/>
  <c r="L380" i="7"/>
  <c r="L640" i="7"/>
  <c r="L549" i="7"/>
  <c r="L558" i="7"/>
  <c r="L544" i="7"/>
  <c r="L422" i="7"/>
  <c r="L627" i="7"/>
  <c r="L622" i="7"/>
  <c r="L478" i="7"/>
  <c r="L447" i="7"/>
  <c r="L634" i="7"/>
  <c r="L674" i="7"/>
  <c r="L592" i="7"/>
  <c r="L581" i="7"/>
  <c r="L596" i="7"/>
  <c r="L541" i="7"/>
  <c r="L515" i="7"/>
  <c r="L432" i="7"/>
  <c r="L405" i="7"/>
  <c r="L474" i="7"/>
  <c r="L435" i="7"/>
  <c r="L376" i="7"/>
  <c r="L699" i="7"/>
  <c r="L630" i="7"/>
  <c r="L534" i="7"/>
  <c r="H6" i="4"/>
  <c r="I6" i="4" s="1"/>
  <c r="J6" i="4"/>
  <c r="K6" i="4" s="1"/>
  <c r="K6" i="7"/>
  <c r="L6" i="7"/>
  <c r="E14" i="7"/>
  <c r="F14" i="7" s="1"/>
  <c r="G14" i="7"/>
  <c r="H14" i="7" s="1"/>
  <c r="G20" i="7"/>
  <c r="H20" i="7" s="1"/>
  <c r="E20" i="7"/>
  <c r="F20" i="7" s="1"/>
  <c r="G24" i="7"/>
  <c r="H24" i="7" s="1"/>
  <c r="E24" i="7"/>
  <c r="F24" i="7" s="1"/>
  <c r="G30" i="7"/>
  <c r="H30" i="7" s="1"/>
  <c r="E30" i="7"/>
  <c r="F30" i="7" s="1"/>
  <c r="E38" i="7"/>
  <c r="F38" i="7" s="1"/>
  <c r="G38" i="7"/>
  <c r="H38" i="7" s="1"/>
  <c r="G44" i="7"/>
  <c r="H44" i="7" s="1"/>
  <c r="E44" i="7"/>
  <c r="F44" i="7" s="1"/>
  <c r="E50" i="7"/>
  <c r="F50" i="7" s="1"/>
  <c r="G50" i="7"/>
  <c r="H50" i="7" s="1"/>
  <c r="E54" i="7"/>
  <c r="F54" i="7" s="1"/>
  <c r="G54" i="7"/>
  <c r="H54" i="7" s="1"/>
  <c r="E60" i="7"/>
  <c r="F60" i="7" s="1"/>
  <c r="G60" i="7"/>
  <c r="H60" i="7" s="1"/>
  <c r="E64" i="7"/>
  <c r="F64" i="7" s="1"/>
  <c r="G64" i="7"/>
  <c r="H64" i="7" s="1"/>
  <c r="G68" i="7"/>
  <c r="H68" i="7" s="1"/>
  <c r="E68" i="7"/>
  <c r="F68" i="7" s="1"/>
  <c r="E74" i="7"/>
  <c r="F74" i="7" s="1"/>
  <c r="G74" i="7"/>
  <c r="H74" i="7" s="1"/>
  <c r="E78" i="7"/>
  <c r="F78" i="7" s="1"/>
  <c r="G78" i="7"/>
  <c r="H78" i="7" s="1"/>
  <c r="E82" i="7"/>
  <c r="F82" i="7" s="1"/>
  <c r="G82" i="7"/>
  <c r="H82" i="7" s="1"/>
  <c r="G86" i="7"/>
  <c r="H86" i="7" s="1"/>
  <c r="E86" i="7"/>
  <c r="F86" i="7" s="1"/>
  <c r="G90" i="7"/>
  <c r="H90" i="7" s="1"/>
  <c r="E90" i="7"/>
  <c r="F90" i="7" s="1"/>
  <c r="E92" i="7"/>
  <c r="F92" i="7" s="1"/>
  <c r="G92" i="7"/>
  <c r="H92" i="7" s="1"/>
  <c r="E96" i="7"/>
  <c r="F96" i="7" s="1"/>
  <c r="G96" i="7"/>
  <c r="H96" i="7" s="1"/>
  <c r="G100" i="7"/>
  <c r="H100" i="7" s="1"/>
  <c r="E100" i="7"/>
  <c r="F100" i="7" s="1"/>
  <c r="E106" i="7"/>
  <c r="F106" i="7" s="1"/>
  <c r="G106" i="7"/>
  <c r="H106" i="7" s="1"/>
  <c r="G108" i="7"/>
  <c r="H108" i="7" s="1"/>
  <c r="E108" i="7"/>
  <c r="F108" i="7" s="1"/>
  <c r="G112" i="7"/>
  <c r="H112" i="7" s="1"/>
  <c r="E112" i="7"/>
  <c r="F112" i="7" s="1"/>
  <c r="G116" i="7"/>
  <c r="H116" i="7" s="1"/>
  <c r="E116" i="7"/>
  <c r="F116" i="7" s="1"/>
  <c r="E122" i="7"/>
  <c r="F122" i="7" s="1"/>
  <c r="G122" i="7"/>
  <c r="H122" i="7" s="1"/>
  <c r="E128" i="7"/>
  <c r="F128" i="7" s="1"/>
  <c r="G128" i="7"/>
  <c r="H128" i="7" s="1"/>
  <c r="G134" i="7"/>
  <c r="H134" i="7" s="1"/>
  <c r="E134" i="7"/>
  <c r="F134" i="7" s="1"/>
  <c r="E138" i="7"/>
  <c r="F138" i="7" s="1"/>
  <c r="G138" i="7"/>
  <c r="H138" i="7" s="1"/>
  <c r="E142" i="7"/>
  <c r="F142" i="7" s="1"/>
  <c r="G142" i="7"/>
  <c r="H142" i="7" s="1"/>
  <c r="E146" i="7"/>
  <c r="F146" i="7" s="1"/>
  <c r="G146" i="7"/>
  <c r="H146" i="7" s="1"/>
  <c r="E150" i="7"/>
  <c r="F150" i="7" s="1"/>
  <c r="G150" i="7"/>
  <c r="H150" i="7" s="1"/>
  <c r="G154" i="7"/>
  <c r="H154" i="7" s="1"/>
  <c r="E154" i="7"/>
  <c r="F154" i="7" s="1"/>
  <c r="G158" i="7"/>
  <c r="H158" i="7" s="1"/>
  <c r="E158" i="7"/>
  <c r="F158" i="7" s="1"/>
  <c r="G162" i="7"/>
  <c r="H162" i="7" s="1"/>
  <c r="E162" i="7"/>
  <c r="F162" i="7" s="1"/>
  <c r="G166" i="7"/>
  <c r="H166" i="7" s="1"/>
  <c r="E166" i="7"/>
  <c r="F166" i="7" s="1"/>
  <c r="G168" i="7"/>
  <c r="H168" i="7" s="1"/>
  <c r="E168" i="7"/>
  <c r="F168" i="7" s="1"/>
  <c r="G172" i="7"/>
  <c r="H172" i="7" s="1"/>
  <c r="E172" i="7"/>
  <c r="F172" i="7" s="1"/>
  <c r="G176" i="7"/>
  <c r="H176" i="7" s="1"/>
  <c r="E176" i="7"/>
  <c r="F176" i="7" s="1"/>
  <c r="G180" i="7"/>
  <c r="H180" i="7" s="1"/>
  <c r="E180" i="7"/>
  <c r="F180" i="7" s="1"/>
  <c r="E184" i="7"/>
  <c r="F184" i="7" s="1"/>
  <c r="G184" i="7"/>
  <c r="H184" i="7" s="1"/>
  <c r="E188" i="7"/>
  <c r="F188" i="7" s="1"/>
  <c r="G188" i="7"/>
  <c r="H188" i="7" s="1"/>
  <c r="G192" i="7"/>
  <c r="H192" i="7" s="1"/>
  <c r="E192" i="7"/>
  <c r="F192" i="7" s="1"/>
  <c r="G196" i="7"/>
  <c r="H196" i="7" s="1"/>
  <c r="E196" i="7"/>
  <c r="F196" i="7" s="1"/>
  <c r="E198" i="7"/>
  <c r="F198" i="7" s="1"/>
  <c r="G198" i="7"/>
  <c r="H198" i="7" s="1"/>
  <c r="G202" i="7"/>
  <c r="H202" i="7" s="1"/>
  <c r="E202" i="7"/>
  <c r="F202" i="7" s="1"/>
  <c r="G208" i="7"/>
  <c r="H208" i="7" s="1"/>
  <c r="E208" i="7"/>
  <c r="F208" i="7" s="1"/>
  <c r="E212" i="7"/>
  <c r="F212" i="7" s="1"/>
  <c r="G212" i="7"/>
  <c r="H212" i="7" s="1"/>
  <c r="G216" i="7"/>
  <c r="H216" i="7" s="1"/>
  <c r="E216" i="7"/>
  <c r="F216" i="7" s="1"/>
  <c r="E220" i="7"/>
  <c r="F220" i="7" s="1"/>
  <c r="G220" i="7"/>
  <c r="H220" i="7" s="1"/>
  <c r="G224" i="7"/>
  <c r="H224" i="7" s="1"/>
  <c r="E224" i="7"/>
  <c r="F224" i="7" s="1"/>
  <c r="E228" i="7"/>
  <c r="F228" i="7" s="1"/>
  <c r="G228" i="7"/>
  <c r="H228" i="7" s="1"/>
  <c r="G230" i="7"/>
  <c r="H230" i="7" s="1"/>
  <c r="E230" i="7"/>
  <c r="F230" i="7" s="1"/>
  <c r="E234" i="7"/>
  <c r="F234" i="7" s="1"/>
  <c r="G234" i="7"/>
  <c r="H234" i="7" s="1"/>
  <c r="G238" i="7"/>
  <c r="H238" i="7" s="1"/>
  <c r="E238" i="7"/>
  <c r="F238" i="7" s="1"/>
  <c r="E242" i="7"/>
  <c r="F242" i="7" s="1"/>
  <c r="G242" i="7"/>
  <c r="H242" i="7" s="1"/>
  <c r="G246" i="7"/>
  <c r="H246" i="7" s="1"/>
  <c r="E246" i="7"/>
  <c r="F246" i="7" s="1"/>
  <c r="E250" i="7"/>
  <c r="F250" i="7" s="1"/>
  <c r="G250" i="7"/>
  <c r="H250" i="7" s="1"/>
  <c r="G254" i="7"/>
  <c r="H254" i="7" s="1"/>
  <c r="E254" i="7"/>
  <c r="F254" i="7" s="1"/>
  <c r="E258" i="7"/>
  <c r="F258" i="7" s="1"/>
  <c r="G258" i="7"/>
  <c r="H258" i="7" s="1"/>
  <c r="G262" i="7"/>
  <c r="H262" i="7" s="1"/>
  <c r="E262" i="7"/>
  <c r="F262" i="7" s="1"/>
  <c r="E266" i="7"/>
  <c r="F266" i="7" s="1"/>
  <c r="G266" i="7"/>
  <c r="H266" i="7" s="1"/>
  <c r="G270" i="7"/>
  <c r="H270" i="7" s="1"/>
  <c r="E270" i="7"/>
  <c r="F270" i="7" s="1"/>
  <c r="E274" i="7"/>
  <c r="F274" i="7" s="1"/>
  <c r="G274" i="7"/>
  <c r="H274" i="7" s="1"/>
  <c r="E278" i="7"/>
  <c r="F278" i="7" s="1"/>
  <c r="G278" i="7"/>
  <c r="H278" i="7" s="1"/>
  <c r="E282" i="7"/>
  <c r="F282" i="7" s="1"/>
  <c r="G282" i="7"/>
  <c r="H282" i="7" s="1"/>
  <c r="E284" i="7"/>
  <c r="F284" i="7" s="1"/>
  <c r="G284" i="7"/>
  <c r="H284" i="7" s="1"/>
  <c r="G288" i="7"/>
  <c r="H288" i="7" s="1"/>
  <c r="E288" i="7"/>
  <c r="F288" i="7" s="1"/>
  <c r="E290" i="7"/>
  <c r="F290" i="7" s="1"/>
  <c r="G290" i="7"/>
  <c r="H290" i="7" s="1"/>
  <c r="E292" i="7"/>
  <c r="F292" i="7" s="1"/>
  <c r="G292" i="7"/>
  <c r="H292" i="7" s="1"/>
  <c r="G296" i="7"/>
  <c r="H296" i="7" s="1"/>
  <c r="E296" i="7"/>
  <c r="F296" i="7" s="1"/>
  <c r="E298" i="7"/>
  <c r="F298" i="7" s="1"/>
  <c r="G298" i="7"/>
  <c r="H298" i="7" s="1"/>
  <c r="E300" i="7"/>
  <c r="F300" i="7" s="1"/>
  <c r="G300" i="7"/>
  <c r="H300" i="7" s="1"/>
  <c r="G302" i="7"/>
  <c r="H302" i="7" s="1"/>
  <c r="E302" i="7"/>
  <c r="F302" i="7" s="1"/>
  <c r="G304" i="7"/>
  <c r="H304" i="7" s="1"/>
  <c r="E304" i="7"/>
  <c r="F304" i="7" s="1"/>
  <c r="E306" i="7"/>
  <c r="F306" i="7" s="1"/>
  <c r="G306" i="7"/>
  <c r="H306" i="7" s="1"/>
  <c r="E308" i="7"/>
  <c r="F308" i="7" s="1"/>
  <c r="G308" i="7"/>
  <c r="H308" i="7" s="1"/>
  <c r="G310" i="7"/>
  <c r="H310" i="7" s="1"/>
  <c r="E310" i="7"/>
  <c r="F310" i="7" s="1"/>
  <c r="E314" i="7"/>
  <c r="F314" i="7" s="1"/>
  <c r="G314" i="7"/>
  <c r="H314" i="7" s="1"/>
  <c r="E316" i="7"/>
  <c r="F316" i="7" s="1"/>
  <c r="G316" i="7"/>
  <c r="H316" i="7" s="1"/>
  <c r="G318" i="7"/>
  <c r="H318" i="7" s="1"/>
  <c r="E318" i="7"/>
  <c r="F318" i="7" s="1"/>
  <c r="G320" i="7"/>
  <c r="H320" i="7" s="1"/>
  <c r="E320" i="7"/>
  <c r="F320" i="7" s="1"/>
  <c r="E322" i="7"/>
  <c r="F322" i="7" s="1"/>
  <c r="G322" i="7"/>
  <c r="H322" i="7" s="1"/>
  <c r="E324" i="7"/>
  <c r="F324" i="7" s="1"/>
  <c r="G324" i="7"/>
  <c r="H324" i="7" s="1"/>
  <c r="G326" i="7"/>
  <c r="H326" i="7" s="1"/>
  <c r="E326" i="7"/>
  <c r="F326" i="7" s="1"/>
  <c r="G328" i="7"/>
  <c r="H328" i="7" s="1"/>
  <c r="E328" i="7"/>
  <c r="F328" i="7" s="1"/>
  <c r="E330" i="7"/>
  <c r="F330" i="7" s="1"/>
  <c r="G330" i="7"/>
  <c r="H330" i="7" s="1"/>
  <c r="E332" i="7"/>
  <c r="F332" i="7" s="1"/>
  <c r="G332" i="7"/>
  <c r="H332" i="7" s="1"/>
  <c r="G334" i="7"/>
  <c r="H334" i="7" s="1"/>
  <c r="E334" i="7"/>
  <c r="F334" i="7" s="1"/>
  <c r="G336" i="7"/>
  <c r="H336" i="7" s="1"/>
  <c r="E336" i="7"/>
  <c r="F336" i="7" s="1"/>
  <c r="E338" i="7"/>
  <c r="F338" i="7" s="1"/>
  <c r="G338" i="7"/>
  <c r="H338" i="7" s="1"/>
  <c r="E340" i="7"/>
  <c r="F340" i="7" s="1"/>
  <c r="G340" i="7"/>
  <c r="H340" i="7" s="1"/>
  <c r="E342" i="7"/>
  <c r="F342" i="7" s="1"/>
  <c r="G342" i="7"/>
  <c r="H342" i="7" s="1"/>
  <c r="G344" i="7"/>
  <c r="H344" i="7" s="1"/>
  <c r="E344" i="7"/>
  <c r="F344" i="7" s="1"/>
  <c r="E346" i="7"/>
  <c r="F346" i="7" s="1"/>
  <c r="G346" i="7"/>
  <c r="H346" i="7" s="1"/>
  <c r="G348" i="7"/>
  <c r="H348" i="7" s="1"/>
  <c r="E348" i="7"/>
  <c r="F348" i="7" s="1"/>
  <c r="E350" i="7"/>
  <c r="F350" i="7" s="1"/>
  <c r="G350" i="7"/>
  <c r="H350" i="7" s="1"/>
  <c r="E352" i="7"/>
  <c r="F352" i="7" s="1"/>
  <c r="G352" i="7"/>
  <c r="H352" i="7" s="1"/>
  <c r="G354" i="7"/>
  <c r="H354" i="7" s="1"/>
  <c r="E354" i="7"/>
  <c r="F354" i="7" s="1"/>
  <c r="G356" i="7"/>
  <c r="H356" i="7" s="1"/>
  <c r="E356" i="7"/>
  <c r="F356" i="7" s="1"/>
  <c r="E358" i="7"/>
  <c r="F358" i="7" s="1"/>
  <c r="G358" i="7"/>
  <c r="H358" i="7" s="1"/>
  <c r="E360" i="7"/>
  <c r="F360" i="7" s="1"/>
  <c r="G360" i="7"/>
  <c r="H360" i="7" s="1"/>
  <c r="E362" i="7"/>
  <c r="F362" i="7" s="1"/>
  <c r="G362" i="7"/>
  <c r="H362" i="7" s="1"/>
  <c r="E364" i="7"/>
  <c r="F364" i="7" s="1"/>
  <c r="G364" i="7"/>
  <c r="H364" i="7" s="1"/>
  <c r="G366" i="7"/>
  <c r="H366" i="7" s="1"/>
  <c r="E366" i="7"/>
  <c r="F366" i="7" s="1"/>
  <c r="G368" i="7"/>
  <c r="H368" i="7" s="1"/>
  <c r="E368" i="7"/>
  <c r="F368" i="7" s="1"/>
  <c r="E370" i="7"/>
  <c r="F370" i="7" s="1"/>
  <c r="G370" i="7"/>
  <c r="H370" i="7" s="1"/>
  <c r="E8" i="7"/>
  <c r="F8" i="7" s="1"/>
  <c r="G8" i="7"/>
  <c r="H8" i="7" s="1"/>
  <c r="G12" i="7"/>
  <c r="H12" i="7" s="1"/>
  <c r="E12" i="7"/>
  <c r="F12" i="7" s="1"/>
  <c r="E16" i="7"/>
  <c r="F16" i="7" s="1"/>
  <c r="G16" i="7"/>
  <c r="H16" i="7" s="1"/>
  <c r="E22" i="7"/>
  <c r="F22" i="7" s="1"/>
  <c r="G22" i="7"/>
  <c r="H22" i="7" s="1"/>
  <c r="E28" i="7"/>
  <c r="F28" i="7" s="1"/>
  <c r="G28" i="7"/>
  <c r="H28" i="7" s="1"/>
  <c r="E32" i="7"/>
  <c r="F32" i="7" s="1"/>
  <c r="G32" i="7"/>
  <c r="H32" i="7" s="1"/>
  <c r="G36" i="7"/>
  <c r="H36" i="7" s="1"/>
  <c r="E36" i="7"/>
  <c r="F36" i="7" s="1"/>
  <c r="E40" i="7"/>
  <c r="F40" i="7" s="1"/>
  <c r="G40" i="7"/>
  <c r="H40" i="7" s="1"/>
  <c r="G48" i="7"/>
  <c r="H48" i="7" s="1"/>
  <c r="E48" i="7"/>
  <c r="F48" i="7" s="1"/>
  <c r="E58" i="7"/>
  <c r="F58" i="7" s="1"/>
  <c r="G58" i="7"/>
  <c r="H58" i="7" s="1"/>
  <c r="E72" i="7"/>
  <c r="F72" i="7" s="1"/>
  <c r="G72" i="7"/>
  <c r="H72" i="7" s="1"/>
  <c r="E102" i="7"/>
  <c r="F102" i="7" s="1"/>
  <c r="G102" i="7"/>
  <c r="H102" i="7" s="1"/>
  <c r="E7" i="7"/>
  <c r="F7" i="7" s="1"/>
  <c r="G7" i="7"/>
  <c r="H7" i="7" s="1"/>
  <c r="E9" i="7"/>
  <c r="F9" i="7" s="1"/>
  <c r="G9" i="7"/>
  <c r="H9" i="7" s="1"/>
  <c r="G11" i="7"/>
  <c r="H11" i="7" s="1"/>
  <c r="E11" i="7"/>
  <c r="F11" i="7" s="1"/>
  <c r="G13" i="7"/>
  <c r="H13" i="7" s="1"/>
  <c r="E13" i="7"/>
  <c r="F13" i="7" s="1"/>
  <c r="E15" i="7"/>
  <c r="F15" i="7" s="1"/>
  <c r="G15" i="7"/>
  <c r="H15" i="7" s="1"/>
  <c r="E17" i="7"/>
  <c r="F17" i="7" s="1"/>
  <c r="G17" i="7"/>
  <c r="H17" i="7" s="1"/>
  <c r="G19" i="7"/>
  <c r="H19" i="7" s="1"/>
  <c r="E19" i="7"/>
  <c r="F19" i="7" s="1"/>
  <c r="G21" i="7"/>
  <c r="H21" i="7" s="1"/>
  <c r="E21" i="7"/>
  <c r="F21" i="7" s="1"/>
  <c r="G23" i="7"/>
  <c r="H23" i="7" s="1"/>
  <c r="E23" i="7"/>
  <c r="F23" i="7" s="1"/>
  <c r="G25" i="7"/>
  <c r="H25" i="7" s="1"/>
  <c r="E25" i="7"/>
  <c r="F25" i="7" s="1"/>
  <c r="E27" i="7"/>
  <c r="F27" i="7" s="1"/>
  <c r="G27" i="7"/>
  <c r="H27" i="7" s="1"/>
  <c r="G29" i="7"/>
  <c r="H29" i="7" s="1"/>
  <c r="E29" i="7"/>
  <c r="F29" i="7" s="1"/>
  <c r="E31" i="7"/>
  <c r="F31" i="7" s="1"/>
  <c r="G31" i="7"/>
  <c r="H31" i="7" s="1"/>
  <c r="E33" i="7"/>
  <c r="F33" i="7" s="1"/>
  <c r="G33" i="7"/>
  <c r="H33" i="7" s="1"/>
  <c r="G35" i="7"/>
  <c r="H35" i="7" s="1"/>
  <c r="E35" i="7"/>
  <c r="F35" i="7" s="1"/>
  <c r="E37" i="7"/>
  <c r="F37" i="7" s="1"/>
  <c r="G37" i="7"/>
  <c r="H37" i="7" s="1"/>
  <c r="E39" i="7"/>
  <c r="F39" i="7" s="1"/>
  <c r="G39" i="7"/>
  <c r="H39" i="7" s="1"/>
  <c r="E41" i="7"/>
  <c r="F41" i="7" s="1"/>
  <c r="G41" i="7"/>
  <c r="H41" i="7" s="1"/>
  <c r="G43" i="7"/>
  <c r="H43" i="7" s="1"/>
  <c r="E43" i="7"/>
  <c r="F43" i="7" s="1"/>
  <c r="G45" i="7"/>
  <c r="H45" i="7" s="1"/>
  <c r="E45" i="7"/>
  <c r="F45" i="7" s="1"/>
  <c r="E47" i="7"/>
  <c r="F47" i="7" s="1"/>
  <c r="G47" i="7"/>
  <c r="H47" i="7" s="1"/>
  <c r="G49" i="7"/>
  <c r="H49" i="7" s="1"/>
  <c r="E49" i="7"/>
  <c r="F49" i="7" s="1"/>
  <c r="E51" i="7"/>
  <c r="F51" i="7" s="1"/>
  <c r="G51" i="7"/>
  <c r="H51" i="7" s="1"/>
  <c r="G53" i="7"/>
  <c r="H53" i="7" s="1"/>
  <c r="E53" i="7"/>
  <c r="F53" i="7" s="1"/>
  <c r="G55" i="7"/>
  <c r="H55" i="7" s="1"/>
  <c r="E55" i="7"/>
  <c r="F55" i="7" s="1"/>
  <c r="G57" i="7"/>
  <c r="H57" i="7" s="1"/>
  <c r="E57" i="7"/>
  <c r="F57" i="7" s="1"/>
  <c r="E59" i="7"/>
  <c r="F59" i="7" s="1"/>
  <c r="G59" i="7"/>
  <c r="H59" i="7" s="1"/>
  <c r="G61" i="7"/>
  <c r="H61" i="7" s="1"/>
  <c r="E61" i="7"/>
  <c r="F61" i="7" s="1"/>
  <c r="E63" i="7"/>
  <c r="F63" i="7" s="1"/>
  <c r="G63" i="7"/>
  <c r="H63" i="7" s="1"/>
  <c r="E65" i="7"/>
  <c r="F65" i="7" s="1"/>
  <c r="G65" i="7"/>
  <c r="H65" i="7" s="1"/>
  <c r="G67" i="7"/>
  <c r="H67" i="7" s="1"/>
  <c r="E67" i="7"/>
  <c r="F67" i="7" s="1"/>
  <c r="E69" i="7"/>
  <c r="F69" i="7" s="1"/>
  <c r="G69" i="7"/>
  <c r="H69" i="7" s="1"/>
  <c r="E71" i="7"/>
  <c r="F71" i="7" s="1"/>
  <c r="G71" i="7"/>
  <c r="H71" i="7" s="1"/>
  <c r="E73" i="7"/>
  <c r="F73" i="7" s="1"/>
  <c r="G73" i="7"/>
  <c r="H73" i="7" s="1"/>
  <c r="G75" i="7"/>
  <c r="H75" i="7" s="1"/>
  <c r="E75" i="7"/>
  <c r="F75" i="7" s="1"/>
  <c r="E77" i="7"/>
  <c r="F77" i="7" s="1"/>
  <c r="G77" i="7"/>
  <c r="H77" i="7" s="1"/>
  <c r="G79" i="7"/>
  <c r="H79" i="7" s="1"/>
  <c r="E79" i="7"/>
  <c r="F79" i="7" s="1"/>
  <c r="G81" i="7"/>
  <c r="H81" i="7" s="1"/>
  <c r="E81" i="7"/>
  <c r="F81" i="7" s="1"/>
  <c r="E83" i="7"/>
  <c r="F83" i="7" s="1"/>
  <c r="G83" i="7"/>
  <c r="H83" i="7" s="1"/>
  <c r="G85" i="7"/>
  <c r="H85" i="7" s="1"/>
  <c r="E85" i="7"/>
  <c r="F85" i="7" s="1"/>
  <c r="G87" i="7"/>
  <c r="H87" i="7" s="1"/>
  <c r="E87" i="7"/>
  <c r="F87" i="7" s="1"/>
  <c r="G89" i="7"/>
  <c r="H89" i="7" s="1"/>
  <c r="E89" i="7"/>
  <c r="F89" i="7" s="1"/>
  <c r="E91" i="7"/>
  <c r="F91" i="7" s="1"/>
  <c r="G91" i="7"/>
  <c r="H91" i="7" s="1"/>
  <c r="G93" i="7"/>
  <c r="H93" i="7" s="1"/>
  <c r="E93" i="7"/>
  <c r="F93" i="7" s="1"/>
  <c r="E95" i="7"/>
  <c r="F95" i="7" s="1"/>
  <c r="G95" i="7"/>
  <c r="H95" i="7" s="1"/>
  <c r="E97" i="7"/>
  <c r="F97" i="7" s="1"/>
  <c r="G97" i="7"/>
  <c r="H97" i="7" s="1"/>
  <c r="G99" i="7"/>
  <c r="H99" i="7" s="1"/>
  <c r="E99" i="7"/>
  <c r="F99" i="7" s="1"/>
  <c r="E101" i="7"/>
  <c r="F101" i="7" s="1"/>
  <c r="G101" i="7"/>
  <c r="H101" i="7" s="1"/>
  <c r="E103" i="7"/>
  <c r="F103" i="7" s="1"/>
  <c r="G103" i="7"/>
  <c r="H103" i="7" s="1"/>
  <c r="E105" i="7"/>
  <c r="F105" i="7" s="1"/>
  <c r="G105" i="7"/>
  <c r="H105" i="7" s="1"/>
  <c r="G107" i="7"/>
  <c r="H107" i="7" s="1"/>
  <c r="E107" i="7"/>
  <c r="F107" i="7" s="1"/>
  <c r="E109" i="7"/>
  <c r="F109" i="7" s="1"/>
  <c r="G109" i="7"/>
  <c r="H109" i="7" s="1"/>
  <c r="E111" i="7"/>
  <c r="F111" i="7" s="1"/>
  <c r="G111" i="7"/>
  <c r="H111" i="7" s="1"/>
  <c r="E113" i="7"/>
  <c r="F113" i="7" s="1"/>
  <c r="G113" i="7"/>
  <c r="H113" i="7" s="1"/>
  <c r="G115" i="7"/>
  <c r="H115" i="7" s="1"/>
  <c r="E115" i="7"/>
  <c r="F115" i="7" s="1"/>
  <c r="G117" i="7"/>
  <c r="H117" i="7" s="1"/>
  <c r="E117" i="7"/>
  <c r="F117" i="7" s="1"/>
  <c r="E119" i="7"/>
  <c r="F119" i="7" s="1"/>
  <c r="G119" i="7"/>
  <c r="H119" i="7" s="1"/>
  <c r="G121" i="7"/>
  <c r="H121" i="7" s="1"/>
  <c r="E121" i="7"/>
  <c r="F121" i="7" s="1"/>
  <c r="E123" i="7"/>
  <c r="F123" i="7" s="1"/>
  <c r="G123" i="7"/>
  <c r="H123" i="7" s="1"/>
  <c r="E125" i="7"/>
  <c r="F125" i="7" s="1"/>
  <c r="G125" i="7"/>
  <c r="H125" i="7" s="1"/>
  <c r="E127" i="7"/>
  <c r="F127" i="7" s="1"/>
  <c r="G127" i="7"/>
  <c r="H127" i="7" s="1"/>
  <c r="E129" i="7"/>
  <c r="F129" i="7" s="1"/>
  <c r="G129" i="7"/>
  <c r="H129" i="7" s="1"/>
  <c r="E131" i="7"/>
  <c r="F131" i="7" s="1"/>
  <c r="G131" i="7"/>
  <c r="H131" i="7" s="1"/>
  <c r="E133" i="7"/>
  <c r="F133" i="7" s="1"/>
  <c r="G133" i="7"/>
  <c r="H133" i="7" s="1"/>
  <c r="G135" i="7"/>
  <c r="H135" i="7" s="1"/>
  <c r="E135" i="7"/>
  <c r="F135" i="7" s="1"/>
  <c r="E137" i="7"/>
  <c r="F137" i="7" s="1"/>
  <c r="G137" i="7"/>
  <c r="H137" i="7" s="1"/>
  <c r="E139" i="7"/>
  <c r="F139" i="7" s="1"/>
  <c r="G139" i="7"/>
  <c r="H139" i="7" s="1"/>
  <c r="E141" i="7"/>
  <c r="F141" i="7" s="1"/>
  <c r="G141" i="7"/>
  <c r="H141" i="7" s="1"/>
  <c r="E143" i="7"/>
  <c r="F143" i="7" s="1"/>
  <c r="G143" i="7"/>
  <c r="H143" i="7" s="1"/>
  <c r="E145" i="7"/>
  <c r="F145" i="7" s="1"/>
  <c r="G145" i="7"/>
  <c r="H145" i="7" s="1"/>
  <c r="E147" i="7"/>
  <c r="F147" i="7" s="1"/>
  <c r="G147" i="7"/>
  <c r="H147" i="7" s="1"/>
  <c r="G149" i="7"/>
  <c r="H149" i="7" s="1"/>
  <c r="E149" i="7"/>
  <c r="F149" i="7" s="1"/>
  <c r="E151" i="7"/>
  <c r="F151" i="7" s="1"/>
  <c r="G151" i="7"/>
  <c r="H151" i="7" s="1"/>
  <c r="E153" i="7"/>
  <c r="F153" i="7" s="1"/>
  <c r="G153" i="7"/>
  <c r="H153" i="7" s="1"/>
  <c r="E155" i="7"/>
  <c r="F155" i="7" s="1"/>
  <c r="G155" i="7"/>
  <c r="H155" i="7" s="1"/>
  <c r="E157" i="7"/>
  <c r="F157" i="7" s="1"/>
  <c r="G157" i="7"/>
  <c r="H157" i="7" s="1"/>
  <c r="E159" i="7"/>
  <c r="F159" i="7" s="1"/>
  <c r="G159" i="7"/>
  <c r="H159" i="7" s="1"/>
  <c r="E161" i="7"/>
  <c r="F161" i="7" s="1"/>
  <c r="G161" i="7"/>
  <c r="H161" i="7" s="1"/>
  <c r="E163" i="7"/>
  <c r="F163" i="7" s="1"/>
  <c r="G163" i="7"/>
  <c r="H163" i="7" s="1"/>
  <c r="E165" i="7"/>
  <c r="F165" i="7" s="1"/>
  <c r="G165" i="7"/>
  <c r="H165" i="7" s="1"/>
  <c r="G167" i="7"/>
  <c r="H167" i="7" s="1"/>
  <c r="E167" i="7"/>
  <c r="F167" i="7" s="1"/>
  <c r="E169" i="7"/>
  <c r="F169" i="7" s="1"/>
  <c r="G169" i="7"/>
  <c r="H169" i="7" s="1"/>
  <c r="E171" i="7"/>
  <c r="F171" i="7" s="1"/>
  <c r="G171" i="7"/>
  <c r="H171" i="7" s="1"/>
  <c r="E173" i="7"/>
  <c r="F173" i="7" s="1"/>
  <c r="G173" i="7"/>
  <c r="H173" i="7" s="1"/>
  <c r="E175" i="7"/>
  <c r="F175" i="7" s="1"/>
  <c r="G175" i="7"/>
  <c r="H175" i="7" s="1"/>
  <c r="E177" i="7"/>
  <c r="F177" i="7" s="1"/>
  <c r="G177" i="7"/>
  <c r="H177" i="7" s="1"/>
  <c r="E179" i="7"/>
  <c r="F179" i="7" s="1"/>
  <c r="G179" i="7"/>
  <c r="H179" i="7" s="1"/>
  <c r="G181" i="7"/>
  <c r="H181" i="7" s="1"/>
  <c r="E181" i="7"/>
  <c r="F181" i="7" s="1"/>
  <c r="E183" i="7"/>
  <c r="F183" i="7" s="1"/>
  <c r="G183" i="7"/>
  <c r="H183" i="7" s="1"/>
  <c r="E185" i="7"/>
  <c r="F185" i="7" s="1"/>
  <c r="G185" i="7"/>
  <c r="H185" i="7" s="1"/>
  <c r="E187" i="7"/>
  <c r="F187" i="7" s="1"/>
  <c r="G187" i="7"/>
  <c r="H187" i="7" s="1"/>
  <c r="E189" i="7"/>
  <c r="F189" i="7" s="1"/>
  <c r="G189" i="7"/>
  <c r="H189" i="7" s="1"/>
  <c r="E191" i="7"/>
  <c r="F191" i="7" s="1"/>
  <c r="G191" i="7"/>
  <c r="H191" i="7" s="1"/>
  <c r="E193" i="7"/>
  <c r="F193" i="7" s="1"/>
  <c r="G193" i="7"/>
  <c r="H193" i="7" s="1"/>
  <c r="E195" i="7"/>
  <c r="F195" i="7" s="1"/>
  <c r="G195" i="7"/>
  <c r="H195" i="7" s="1"/>
  <c r="G197" i="7"/>
  <c r="H197" i="7" s="1"/>
  <c r="E197" i="7"/>
  <c r="F197" i="7" s="1"/>
  <c r="E199" i="7"/>
  <c r="F199" i="7" s="1"/>
  <c r="G199" i="7"/>
  <c r="H199" i="7" s="1"/>
  <c r="G201" i="7"/>
  <c r="H201" i="7" s="1"/>
  <c r="E201" i="7"/>
  <c r="F201" i="7" s="1"/>
  <c r="E203" i="7"/>
  <c r="F203" i="7" s="1"/>
  <c r="G203" i="7"/>
  <c r="H203" i="7" s="1"/>
  <c r="E205" i="7"/>
  <c r="F205" i="7" s="1"/>
  <c r="G205" i="7"/>
  <c r="H205" i="7" s="1"/>
  <c r="G207" i="7"/>
  <c r="H207" i="7" s="1"/>
  <c r="E207" i="7"/>
  <c r="F207" i="7" s="1"/>
  <c r="E209" i="7"/>
  <c r="F209" i="7" s="1"/>
  <c r="G209" i="7"/>
  <c r="H209" i="7" s="1"/>
  <c r="E211" i="7"/>
  <c r="F211" i="7" s="1"/>
  <c r="G211" i="7"/>
  <c r="H211" i="7" s="1"/>
  <c r="G213" i="7"/>
  <c r="H213" i="7" s="1"/>
  <c r="E213" i="7"/>
  <c r="F213" i="7" s="1"/>
  <c r="G215" i="7"/>
  <c r="H215" i="7" s="1"/>
  <c r="E215" i="7"/>
  <c r="F215" i="7" s="1"/>
  <c r="E217" i="7"/>
  <c r="F217" i="7" s="1"/>
  <c r="G217" i="7"/>
  <c r="H217" i="7" s="1"/>
  <c r="E219" i="7"/>
  <c r="F219" i="7" s="1"/>
  <c r="G219" i="7"/>
  <c r="H219" i="7" s="1"/>
  <c r="G221" i="7"/>
  <c r="H221" i="7" s="1"/>
  <c r="E221" i="7"/>
  <c r="F221" i="7" s="1"/>
  <c r="G223" i="7"/>
  <c r="H223" i="7" s="1"/>
  <c r="E223" i="7"/>
  <c r="F223" i="7" s="1"/>
  <c r="E225" i="7"/>
  <c r="F225" i="7" s="1"/>
  <c r="G225" i="7"/>
  <c r="H225" i="7" s="1"/>
  <c r="E227" i="7"/>
  <c r="F227" i="7" s="1"/>
  <c r="G227" i="7"/>
  <c r="H227" i="7" s="1"/>
  <c r="G229" i="7"/>
  <c r="H229" i="7" s="1"/>
  <c r="E229" i="7"/>
  <c r="F229" i="7" s="1"/>
  <c r="G231" i="7"/>
  <c r="H231" i="7" s="1"/>
  <c r="E231" i="7"/>
  <c r="F231" i="7" s="1"/>
  <c r="E233" i="7"/>
  <c r="F233" i="7" s="1"/>
  <c r="G233" i="7"/>
  <c r="H233" i="7" s="1"/>
  <c r="E235" i="7"/>
  <c r="F235" i="7" s="1"/>
  <c r="G235" i="7"/>
  <c r="H235" i="7" s="1"/>
  <c r="G237" i="7"/>
  <c r="H237" i="7" s="1"/>
  <c r="E237" i="7"/>
  <c r="F237" i="7" s="1"/>
  <c r="G239" i="7"/>
  <c r="H239" i="7" s="1"/>
  <c r="E239" i="7"/>
  <c r="F239" i="7" s="1"/>
  <c r="E241" i="7"/>
  <c r="F241" i="7" s="1"/>
  <c r="G241" i="7"/>
  <c r="H241" i="7" s="1"/>
  <c r="E243" i="7"/>
  <c r="F243" i="7" s="1"/>
  <c r="G243" i="7"/>
  <c r="H243" i="7" s="1"/>
  <c r="G245" i="7"/>
  <c r="H245" i="7" s="1"/>
  <c r="E245" i="7"/>
  <c r="F245" i="7" s="1"/>
  <c r="G247" i="7"/>
  <c r="H247" i="7" s="1"/>
  <c r="E247" i="7"/>
  <c r="F247" i="7" s="1"/>
  <c r="E249" i="7"/>
  <c r="F249" i="7" s="1"/>
  <c r="G249" i="7"/>
  <c r="H249" i="7" s="1"/>
  <c r="E251" i="7"/>
  <c r="F251" i="7" s="1"/>
  <c r="G251" i="7"/>
  <c r="H251" i="7" s="1"/>
  <c r="G253" i="7"/>
  <c r="H253" i="7" s="1"/>
  <c r="E253" i="7"/>
  <c r="F253" i="7" s="1"/>
  <c r="G255" i="7"/>
  <c r="H255" i="7" s="1"/>
  <c r="E255" i="7"/>
  <c r="F255" i="7" s="1"/>
  <c r="E257" i="7"/>
  <c r="F257" i="7" s="1"/>
  <c r="G257" i="7"/>
  <c r="H257" i="7" s="1"/>
  <c r="E259" i="7"/>
  <c r="F259" i="7" s="1"/>
  <c r="G259" i="7"/>
  <c r="H259" i="7" s="1"/>
  <c r="G261" i="7"/>
  <c r="H261" i="7" s="1"/>
  <c r="E261" i="7"/>
  <c r="F261" i="7" s="1"/>
  <c r="G263" i="7"/>
  <c r="H263" i="7" s="1"/>
  <c r="E263" i="7"/>
  <c r="F263" i="7" s="1"/>
  <c r="E265" i="7"/>
  <c r="F265" i="7" s="1"/>
  <c r="G265" i="7"/>
  <c r="H265" i="7" s="1"/>
  <c r="E267" i="7"/>
  <c r="F267" i="7" s="1"/>
  <c r="G267" i="7"/>
  <c r="H267" i="7" s="1"/>
  <c r="G269" i="7"/>
  <c r="H269" i="7" s="1"/>
  <c r="E269" i="7"/>
  <c r="F269" i="7" s="1"/>
  <c r="G271" i="7"/>
  <c r="H271" i="7" s="1"/>
  <c r="E271" i="7"/>
  <c r="F271" i="7" s="1"/>
  <c r="E273" i="7"/>
  <c r="F273" i="7" s="1"/>
  <c r="G273" i="7"/>
  <c r="H273" i="7" s="1"/>
  <c r="E275" i="7"/>
  <c r="F275" i="7" s="1"/>
  <c r="G275" i="7"/>
  <c r="H275" i="7" s="1"/>
  <c r="G277" i="7"/>
  <c r="H277" i="7" s="1"/>
  <c r="E277" i="7"/>
  <c r="F277" i="7" s="1"/>
  <c r="G279" i="7"/>
  <c r="H279" i="7" s="1"/>
  <c r="E279" i="7"/>
  <c r="F279" i="7" s="1"/>
  <c r="E281" i="7"/>
  <c r="F281" i="7" s="1"/>
  <c r="G281" i="7"/>
  <c r="H281" i="7" s="1"/>
  <c r="E283" i="7"/>
  <c r="F283" i="7" s="1"/>
  <c r="G283" i="7"/>
  <c r="H283" i="7" s="1"/>
  <c r="G285" i="7"/>
  <c r="H285" i="7" s="1"/>
  <c r="E285" i="7"/>
  <c r="F285" i="7" s="1"/>
  <c r="G287" i="7"/>
  <c r="H287" i="7" s="1"/>
  <c r="E287" i="7"/>
  <c r="F287" i="7" s="1"/>
  <c r="E289" i="7"/>
  <c r="F289" i="7" s="1"/>
  <c r="G289" i="7"/>
  <c r="H289" i="7" s="1"/>
  <c r="E291" i="7"/>
  <c r="F291" i="7" s="1"/>
  <c r="G291" i="7"/>
  <c r="H291" i="7" s="1"/>
  <c r="G293" i="7"/>
  <c r="H293" i="7" s="1"/>
  <c r="E293" i="7"/>
  <c r="F293" i="7" s="1"/>
  <c r="G295" i="7"/>
  <c r="H295" i="7" s="1"/>
  <c r="E295" i="7"/>
  <c r="F295" i="7" s="1"/>
  <c r="E297" i="7"/>
  <c r="F297" i="7" s="1"/>
  <c r="G297" i="7"/>
  <c r="H297" i="7" s="1"/>
  <c r="E299" i="7"/>
  <c r="F299" i="7" s="1"/>
  <c r="G299" i="7"/>
  <c r="H299" i="7" s="1"/>
  <c r="G301" i="7"/>
  <c r="H301" i="7" s="1"/>
  <c r="E301" i="7"/>
  <c r="F301" i="7" s="1"/>
  <c r="G303" i="7"/>
  <c r="H303" i="7" s="1"/>
  <c r="E303" i="7"/>
  <c r="F303" i="7" s="1"/>
  <c r="E305" i="7"/>
  <c r="F305" i="7" s="1"/>
  <c r="G305" i="7"/>
  <c r="H305" i="7" s="1"/>
  <c r="E307" i="7"/>
  <c r="F307" i="7" s="1"/>
  <c r="G307" i="7"/>
  <c r="H307" i="7" s="1"/>
  <c r="G309" i="7"/>
  <c r="H309" i="7" s="1"/>
  <c r="E309" i="7"/>
  <c r="F309" i="7" s="1"/>
  <c r="G311" i="7"/>
  <c r="H311" i="7" s="1"/>
  <c r="E311" i="7"/>
  <c r="F311" i="7" s="1"/>
  <c r="E313" i="7"/>
  <c r="F313" i="7" s="1"/>
  <c r="G313" i="7"/>
  <c r="H313" i="7" s="1"/>
  <c r="E315" i="7"/>
  <c r="F315" i="7" s="1"/>
  <c r="G315" i="7"/>
  <c r="H315" i="7" s="1"/>
  <c r="G317" i="7"/>
  <c r="H317" i="7" s="1"/>
  <c r="E317" i="7"/>
  <c r="F317" i="7" s="1"/>
  <c r="G319" i="7"/>
  <c r="H319" i="7" s="1"/>
  <c r="E319" i="7"/>
  <c r="F319" i="7" s="1"/>
  <c r="E321" i="7"/>
  <c r="F321" i="7" s="1"/>
  <c r="G321" i="7"/>
  <c r="H321" i="7" s="1"/>
  <c r="E323" i="7"/>
  <c r="F323" i="7" s="1"/>
  <c r="G323" i="7"/>
  <c r="H323" i="7" s="1"/>
  <c r="G325" i="7"/>
  <c r="H325" i="7" s="1"/>
  <c r="E325" i="7"/>
  <c r="F325" i="7" s="1"/>
  <c r="G327" i="7"/>
  <c r="H327" i="7" s="1"/>
  <c r="E327" i="7"/>
  <c r="F327" i="7" s="1"/>
  <c r="E329" i="7"/>
  <c r="F329" i="7" s="1"/>
  <c r="G329" i="7"/>
  <c r="H329" i="7" s="1"/>
  <c r="E331" i="7"/>
  <c r="F331" i="7" s="1"/>
  <c r="G331" i="7"/>
  <c r="H331" i="7" s="1"/>
  <c r="G333" i="7"/>
  <c r="H333" i="7" s="1"/>
  <c r="E333" i="7"/>
  <c r="F333" i="7" s="1"/>
  <c r="G335" i="7"/>
  <c r="H335" i="7" s="1"/>
  <c r="E335" i="7"/>
  <c r="F335" i="7" s="1"/>
  <c r="E337" i="7"/>
  <c r="F337" i="7" s="1"/>
  <c r="G337" i="7"/>
  <c r="H337" i="7" s="1"/>
  <c r="E339" i="7"/>
  <c r="F339" i="7" s="1"/>
  <c r="G339" i="7"/>
  <c r="H339" i="7" s="1"/>
  <c r="E341" i="7"/>
  <c r="F341" i="7" s="1"/>
  <c r="G341" i="7"/>
  <c r="H341" i="7" s="1"/>
  <c r="G343" i="7"/>
  <c r="H343" i="7" s="1"/>
  <c r="E343" i="7"/>
  <c r="F343" i="7" s="1"/>
  <c r="G345" i="7"/>
  <c r="H345" i="7" s="1"/>
  <c r="E345" i="7"/>
  <c r="F345" i="7" s="1"/>
  <c r="G347" i="7"/>
  <c r="H347" i="7" s="1"/>
  <c r="E347" i="7"/>
  <c r="F347" i="7" s="1"/>
  <c r="E349" i="7"/>
  <c r="F349" i="7" s="1"/>
  <c r="G349" i="7"/>
  <c r="H349" i="7" s="1"/>
  <c r="E351" i="7"/>
  <c r="F351" i="7" s="1"/>
  <c r="G351" i="7"/>
  <c r="H351" i="7" s="1"/>
  <c r="G353" i="7"/>
  <c r="H353" i="7" s="1"/>
  <c r="E353" i="7"/>
  <c r="F353" i="7" s="1"/>
  <c r="G355" i="7"/>
  <c r="H355" i="7" s="1"/>
  <c r="E355" i="7"/>
  <c r="F355" i="7" s="1"/>
  <c r="G357" i="7"/>
  <c r="H357" i="7" s="1"/>
  <c r="E357" i="7"/>
  <c r="F357" i="7" s="1"/>
  <c r="E359" i="7"/>
  <c r="F359" i="7" s="1"/>
  <c r="G359" i="7"/>
  <c r="H359" i="7" s="1"/>
  <c r="E361" i="7"/>
  <c r="F361" i="7" s="1"/>
  <c r="G361" i="7"/>
  <c r="H361" i="7" s="1"/>
  <c r="E363" i="7"/>
  <c r="F363" i="7" s="1"/>
  <c r="G363" i="7"/>
  <c r="H363" i="7" s="1"/>
  <c r="G365" i="7"/>
  <c r="H365" i="7" s="1"/>
  <c r="E365" i="7"/>
  <c r="F365" i="7" s="1"/>
  <c r="G367" i="7"/>
  <c r="H367" i="7" s="1"/>
  <c r="E367" i="7"/>
  <c r="F367" i="7" s="1"/>
  <c r="E369" i="7"/>
  <c r="F369" i="7" s="1"/>
  <c r="G369" i="7"/>
  <c r="H369" i="7" s="1"/>
  <c r="E10" i="7"/>
  <c r="F10" i="7" s="1"/>
  <c r="G10" i="7"/>
  <c r="H10" i="7" s="1"/>
  <c r="E18" i="7"/>
  <c r="F18" i="7" s="1"/>
  <c r="G18" i="7"/>
  <c r="H18" i="7" s="1"/>
  <c r="E26" i="7"/>
  <c r="F26" i="7" s="1"/>
  <c r="G26" i="7"/>
  <c r="H26" i="7" s="1"/>
  <c r="E34" i="7"/>
  <c r="F34" i="7" s="1"/>
  <c r="G34" i="7"/>
  <c r="H34" i="7" s="1"/>
  <c r="E42" i="7"/>
  <c r="F42" i="7" s="1"/>
  <c r="G42" i="7"/>
  <c r="H42" i="7" s="1"/>
  <c r="E46" i="7"/>
  <c r="F46" i="7" s="1"/>
  <c r="G46" i="7"/>
  <c r="H46" i="7" s="1"/>
  <c r="E52" i="7"/>
  <c r="F52" i="7" s="1"/>
  <c r="G52" i="7"/>
  <c r="H52" i="7" s="1"/>
  <c r="G56" i="7"/>
  <c r="H56" i="7" s="1"/>
  <c r="E56" i="7"/>
  <c r="F56" i="7" s="1"/>
  <c r="G62" i="7"/>
  <c r="H62" i="7" s="1"/>
  <c r="E62" i="7"/>
  <c r="F62" i="7" s="1"/>
  <c r="E66" i="7"/>
  <c r="F66" i="7" s="1"/>
  <c r="G66" i="7"/>
  <c r="H66" i="7" s="1"/>
  <c r="E70" i="7"/>
  <c r="F70" i="7" s="1"/>
  <c r="G70" i="7"/>
  <c r="H70" i="7" s="1"/>
  <c r="G76" i="7"/>
  <c r="H76" i="7" s="1"/>
  <c r="E76" i="7"/>
  <c r="F76" i="7" s="1"/>
  <c r="G80" i="7"/>
  <c r="H80" i="7" s="1"/>
  <c r="E80" i="7"/>
  <c r="F80" i="7" s="1"/>
  <c r="E84" i="7"/>
  <c r="F84" i="7" s="1"/>
  <c r="G84" i="7"/>
  <c r="H84" i="7" s="1"/>
  <c r="G88" i="7"/>
  <c r="H88" i="7" s="1"/>
  <c r="E88" i="7"/>
  <c r="F88" i="7" s="1"/>
  <c r="G94" i="7"/>
  <c r="H94" i="7" s="1"/>
  <c r="E94" i="7"/>
  <c r="F94" i="7" s="1"/>
  <c r="E98" i="7"/>
  <c r="F98" i="7" s="1"/>
  <c r="G98" i="7"/>
  <c r="H98" i="7" s="1"/>
  <c r="E104" i="7"/>
  <c r="F104" i="7" s="1"/>
  <c r="G104" i="7"/>
  <c r="H104" i="7" s="1"/>
  <c r="G110" i="7"/>
  <c r="H110" i="7" s="1"/>
  <c r="E110" i="7"/>
  <c r="F110" i="7" s="1"/>
  <c r="E114" i="7"/>
  <c r="F114" i="7" s="1"/>
  <c r="G114" i="7"/>
  <c r="H114" i="7" s="1"/>
  <c r="E118" i="7"/>
  <c r="F118" i="7" s="1"/>
  <c r="G118" i="7"/>
  <c r="H118" i="7" s="1"/>
  <c r="E120" i="7"/>
  <c r="F120" i="7" s="1"/>
  <c r="G120" i="7"/>
  <c r="H120" i="7" s="1"/>
  <c r="E124" i="7"/>
  <c r="F124" i="7" s="1"/>
  <c r="G124" i="7"/>
  <c r="H124" i="7" s="1"/>
  <c r="G126" i="7"/>
  <c r="H126" i="7" s="1"/>
  <c r="E126" i="7"/>
  <c r="F126" i="7" s="1"/>
  <c r="G130" i="7"/>
  <c r="H130" i="7" s="1"/>
  <c r="E130" i="7"/>
  <c r="F130" i="7" s="1"/>
  <c r="E132" i="7"/>
  <c r="F132" i="7" s="1"/>
  <c r="G132" i="7"/>
  <c r="H132" i="7" s="1"/>
  <c r="G136" i="7"/>
  <c r="H136" i="7" s="1"/>
  <c r="E136" i="7"/>
  <c r="F136" i="7" s="1"/>
  <c r="G140" i="7"/>
  <c r="H140" i="7" s="1"/>
  <c r="E140" i="7"/>
  <c r="F140" i="7" s="1"/>
  <c r="G144" i="7"/>
  <c r="H144" i="7" s="1"/>
  <c r="E144" i="7"/>
  <c r="F144" i="7" s="1"/>
  <c r="G148" i="7"/>
  <c r="H148" i="7" s="1"/>
  <c r="E148" i="7"/>
  <c r="F148" i="7" s="1"/>
  <c r="E152" i="7"/>
  <c r="F152" i="7" s="1"/>
  <c r="G152" i="7"/>
  <c r="H152" i="7" s="1"/>
  <c r="E156" i="7"/>
  <c r="F156" i="7" s="1"/>
  <c r="G156" i="7"/>
  <c r="H156" i="7" s="1"/>
  <c r="E160" i="7"/>
  <c r="F160" i="7" s="1"/>
  <c r="G160" i="7"/>
  <c r="H160" i="7" s="1"/>
  <c r="E164" i="7"/>
  <c r="F164" i="7" s="1"/>
  <c r="G164" i="7"/>
  <c r="H164" i="7" s="1"/>
  <c r="E170" i="7"/>
  <c r="F170" i="7" s="1"/>
  <c r="G170" i="7"/>
  <c r="H170" i="7" s="1"/>
  <c r="E174" i="7"/>
  <c r="F174" i="7" s="1"/>
  <c r="G174" i="7"/>
  <c r="H174" i="7" s="1"/>
  <c r="E178" i="7"/>
  <c r="F178" i="7" s="1"/>
  <c r="G178" i="7"/>
  <c r="H178" i="7" s="1"/>
  <c r="G182" i="7"/>
  <c r="H182" i="7" s="1"/>
  <c r="E182" i="7"/>
  <c r="F182" i="7" s="1"/>
  <c r="G186" i="7"/>
  <c r="H186" i="7" s="1"/>
  <c r="E186" i="7"/>
  <c r="F186" i="7" s="1"/>
  <c r="E190" i="7"/>
  <c r="F190" i="7" s="1"/>
  <c r="G190" i="7"/>
  <c r="H190" i="7" s="1"/>
  <c r="E194" i="7"/>
  <c r="F194" i="7" s="1"/>
  <c r="G194" i="7"/>
  <c r="H194" i="7" s="1"/>
  <c r="G200" i="7"/>
  <c r="H200" i="7" s="1"/>
  <c r="E200" i="7"/>
  <c r="F200" i="7" s="1"/>
  <c r="E204" i="7"/>
  <c r="F204" i="7" s="1"/>
  <c r="G204" i="7"/>
  <c r="H204" i="7" s="1"/>
  <c r="G206" i="7"/>
  <c r="H206" i="7" s="1"/>
  <c r="E206" i="7"/>
  <c r="F206" i="7" s="1"/>
  <c r="E210" i="7"/>
  <c r="F210" i="7" s="1"/>
  <c r="G210" i="7"/>
  <c r="H210" i="7" s="1"/>
  <c r="G214" i="7"/>
  <c r="H214" i="7" s="1"/>
  <c r="E214" i="7"/>
  <c r="F214" i="7" s="1"/>
  <c r="E218" i="7"/>
  <c r="F218" i="7" s="1"/>
  <c r="G218" i="7"/>
  <c r="H218" i="7" s="1"/>
  <c r="G222" i="7"/>
  <c r="H222" i="7" s="1"/>
  <c r="E222" i="7"/>
  <c r="F222" i="7" s="1"/>
  <c r="E226" i="7"/>
  <c r="F226" i="7" s="1"/>
  <c r="G226" i="7"/>
  <c r="H226" i="7" s="1"/>
  <c r="G232" i="7"/>
  <c r="H232" i="7" s="1"/>
  <c r="E232" i="7"/>
  <c r="F232" i="7" s="1"/>
  <c r="E236" i="7"/>
  <c r="F236" i="7" s="1"/>
  <c r="G236" i="7"/>
  <c r="H236" i="7" s="1"/>
  <c r="G240" i="7"/>
  <c r="H240" i="7" s="1"/>
  <c r="E240" i="7"/>
  <c r="F240" i="7" s="1"/>
  <c r="E244" i="7"/>
  <c r="F244" i="7" s="1"/>
  <c r="G244" i="7"/>
  <c r="H244" i="7" s="1"/>
  <c r="G248" i="7"/>
  <c r="H248" i="7" s="1"/>
  <c r="E248" i="7"/>
  <c r="F248" i="7" s="1"/>
  <c r="E252" i="7"/>
  <c r="F252" i="7" s="1"/>
  <c r="G252" i="7"/>
  <c r="H252" i="7" s="1"/>
  <c r="G256" i="7"/>
  <c r="H256" i="7" s="1"/>
  <c r="E256" i="7"/>
  <c r="F256" i="7" s="1"/>
  <c r="E260" i="7"/>
  <c r="F260" i="7" s="1"/>
  <c r="G260" i="7"/>
  <c r="H260" i="7" s="1"/>
  <c r="G264" i="7"/>
  <c r="H264" i="7" s="1"/>
  <c r="E264" i="7"/>
  <c r="F264" i="7" s="1"/>
  <c r="E268" i="7"/>
  <c r="F268" i="7" s="1"/>
  <c r="G268" i="7"/>
  <c r="H268" i="7" s="1"/>
  <c r="G272" i="7"/>
  <c r="H272" i="7" s="1"/>
  <c r="E272" i="7"/>
  <c r="F272" i="7" s="1"/>
  <c r="E276" i="7"/>
  <c r="F276" i="7" s="1"/>
  <c r="G276" i="7"/>
  <c r="H276" i="7" s="1"/>
  <c r="G280" i="7"/>
  <c r="H280" i="7" s="1"/>
  <c r="E280" i="7"/>
  <c r="F280" i="7" s="1"/>
  <c r="G286" i="7"/>
  <c r="H286" i="7" s="1"/>
  <c r="E286" i="7"/>
  <c r="F286" i="7" s="1"/>
  <c r="G294" i="7"/>
  <c r="H294" i="7" s="1"/>
  <c r="E294" i="7"/>
  <c r="F294" i="7" s="1"/>
  <c r="G312" i="7"/>
  <c r="H312" i="7" s="1"/>
  <c r="E312" i="7"/>
  <c r="F312" i="7" s="1"/>
  <c r="K359" i="7"/>
  <c r="K8" i="7"/>
  <c r="K12" i="7"/>
  <c r="K16" i="7"/>
  <c r="K20" i="7"/>
  <c r="L30" i="7"/>
  <c r="L34" i="7"/>
  <c r="L38" i="7"/>
  <c r="L42" i="7"/>
  <c r="K44" i="7"/>
  <c r="L50" i="7"/>
  <c r="L59" i="7"/>
  <c r="K63" i="7"/>
  <c r="K68" i="7"/>
  <c r="L73" i="7"/>
  <c r="K87" i="7"/>
  <c r="L99" i="7"/>
  <c r="K109" i="7"/>
  <c r="K113" i="7"/>
  <c r="L123" i="7"/>
  <c r="L126" i="7"/>
  <c r="K130" i="7"/>
  <c r="L133" i="7"/>
  <c r="K153" i="7"/>
  <c r="K181" i="7"/>
  <c r="K198" i="7"/>
  <c r="K231" i="7"/>
  <c r="L269" i="7"/>
  <c r="K303" i="7"/>
  <c r="K7" i="7"/>
  <c r="K11" i="7"/>
  <c r="K15" i="7"/>
  <c r="K19" i="7"/>
  <c r="K23" i="7"/>
  <c r="K27" i="7"/>
  <c r="K31" i="7"/>
  <c r="K35" i="7"/>
  <c r="K39" i="7"/>
  <c r="K43" i="7"/>
  <c r="K47" i="7"/>
  <c r="K51" i="7"/>
  <c r="K54" i="7"/>
  <c r="L56" i="7"/>
  <c r="K57" i="7"/>
  <c r="K62" i="7"/>
  <c r="L64" i="7"/>
  <c r="K65" i="7"/>
  <c r="L69" i="7"/>
  <c r="K70" i="7"/>
  <c r="K74" i="7"/>
  <c r="K75" i="7"/>
  <c r="L77" i="7"/>
  <c r="L81" i="7"/>
  <c r="K84" i="7"/>
  <c r="L87" i="7"/>
  <c r="L90" i="7"/>
  <c r="K91" i="7"/>
  <c r="L93" i="7"/>
  <c r="L97" i="7"/>
  <c r="K100" i="7"/>
  <c r="L103" i="7"/>
  <c r="L106" i="7"/>
  <c r="K107" i="7"/>
  <c r="L109" i="7"/>
  <c r="L113" i="7"/>
  <c r="K116" i="7"/>
  <c r="K117" i="7"/>
  <c r="K120" i="7"/>
  <c r="K121" i="7"/>
  <c r="K124" i="7"/>
  <c r="K125" i="7"/>
  <c r="L127" i="7"/>
  <c r="L130" i="7"/>
  <c r="K131" i="7"/>
  <c r="K134" i="7"/>
  <c r="K135" i="7"/>
  <c r="L139" i="7"/>
  <c r="K152" i="7"/>
  <c r="K163" i="7"/>
  <c r="K168" i="7"/>
  <c r="K189" i="7"/>
  <c r="K209" i="7"/>
  <c r="K230" i="7"/>
  <c r="L236" i="7"/>
  <c r="L310" i="7"/>
  <c r="L334" i="7"/>
  <c r="L18" i="7"/>
  <c r="L26" i="7"/>
  <c r="K28" i="7"/>
  <c r="K55" i="7"/>
  <c r="K60" i="7"/>
  <c r="L67" i="7"/>
  <c r="L70" i="7"/>
  <c r="K71" i="7"/>
  <c r="L76" i="7"/>
  <c r="K80" i="7"/>
  <c r="L83" i="7"/>
  <c r="L92" i="7"/>
  <c r="K96" i="7"/>
  <c r="K97" i="7"/>
  <c r="K106" i="7"/>
  <c r="K127" i="7"/>
  <c r="L169" i="7"/>
  <c r="L190" i="7"/>
  <c r="L204" i="7"/>
  <c r="K220" i="7"/>
  <c r="K261" i="7"/>
  <c r="L8" i="7"/>
  <c r="K10" i="7"/>
  <c r="L12" i="7"/>
  <c r="K14" i="7"/>
  <c r="L16" i="7"/>
  <c r="K18" i="7"/>
  <c r="L20" i="7"/>
  <c r="K22" i="7"/>
  <c r="K26" i="7"/>
  <c r="L28" i="7"/>
  <c r="K30" i="7"/>
  <c r="K34" i="7"/>
  <c r="K38" i="7"/>
  <c r="K42" i="7"/>
  <c r="K46" i="7"/>
  <c r="K50" i="7"/>
  <c r="L55" i="7"/>
  <c r="K56" i="7"/>
  <c r="K59" i="7"/>
  <c r="L63" i="7"/>
  <c r="K64" i="7"/>
  <c r="K67" i="7"/>
  <c r="L71" i="7"/>
  <c r="K72" i="7"/>
  <c r="L74" i="7"/>
  <c r="K78" i="7"/>
  <c r="K79" i="7"/>
  <c r="K82" i="7"/>
  <c r="L84" i="7"/>
  <c r="K85" i="7"/>
  <c r="K88" i="7"/>
  <c r="K89" i="7"/>
  <c r="L91" i="7"/>
  <c r="K94" i="7"/>
  <c r="K95" i="7"/>
  <c r="K98" i="7"/>
  <c r="L100" i="7"/>
  <c r="K101" i="7"/>
  <c r="K104" i="7"/>
  <c r="K105" i="7"/>
  <c r="L107" i="7"/>
  <c r="K110" i="7"/>
  <c r="K111" i="7"/>
  <c r="K114" i="7"/>
  <c r="L117" i="7"/>
  <c r="L121" i="7"/>
  <c r="L125" i="7"/>
  <c r="K128" i="7"/>
  <c r="K129" i="7"/>
  <c r="L131" i="7"/>
  <c r="L135" i="7"/>
  <c r="K142" i="7"/>
  <c r="K149" i="7"/>
  <c r="L162" i="7"/>
  <c r="L167" i="7"/>
  <c r="K183" i="7"/>
  <c r="L201" i="7"/>
  <c r="L203" i="7"/>
  <c r="K208" i="7"/>
  <c r="L213" i="7"/>
  <c r="L223" i="7"/>
  <c r="K241" i="7"/>
  <c r="L257" i="7"/>
  <c r="L295" i="7"/>
  <c r="K346" i="7"/>
  <c r="K368" i="7"/>
  <c r="K356" i="7"/>
  <c r="K355" i="7"/>
  <c r="K351" i="7"/>
  <c r="K347" i="7"/>
  <c r="L343" i="7"/>
  <c r="K324" i="7"/>
  <c r="K352" i="7"/>
  <c r="K348" i="7"/>
  <c r="K344" i="7"/>
  <c r="K343" i="7"/>
  <c r="L339" i="7"/>
  <c r="K364" i="7"/>
  <c r="K340" i="7"/>
  <c r="L327" i="7"/>
  <c r="L323" i="7"/>
  <c r="K304" i="7"/>
  <c r="K300" i="7"/>
  <c r="K296" i="7"/>
  <c r="K295" i="7"/>
  <c r="L291" i="7"/>
  <c r="K283" i="7"/>
  <c r="L279" i="7"/>
  <c r="L278" i="7"/>
  <c r="K276" i="7"/>
  <c r="K273" i="7"/>
  <c r="L262" i="7"/>
  <c r="K260" i="7"/>
  <c r="K259" i="7"/>
  <c r="K247" i="7"/>
  <c r="K243" i="7"/>
  <c r="K242" i="7"/>
  <c r="K331" i="7"/>
  <c r="K328" i="7"/>
  <c r="K327" i="7"/>
  <c r="K323" i="7"/>
  <c r="K319" i="7"/>
  <c r="K315" i="7"/>
  <c r="L311" i="7"/>
  <c r="K292" i="7"/>
  <c r="K291" i="7"/>
  <c r="K287" i="7"/>
  <c r="K280" i="7"/>
  <c r="K279" i="7"/>
  <c r="L264" i="7"/>
  <c r="K263" i="7"/>
  <c r="K239" i="7"/>
  <c r="L359" i="7"/>
  <c r="L355" i="7"/>
  <c r="K335" i="7"/>
  <c r="K332" i="7"/>
  <c r="K320" i="7"/>
  <c r="K316" i="7"/>
  <c r="K312" i="7"/>
  <c r="K311" i="7"/>
  <c r="L307" i="7"/>
  <c r="K288" i="7"/>
  <c r="K271" i="7"/>
  <c r="K267" i="7"/>
  <c r="L266" i="7"/>
  <c r="K264" i="7"/>
  <c r="K254" i="7"/>
  <c r="L250" i="7"/>
  <c r="K363" i="7"/>
  <c r="K360" i="7"/>
  <c r="K275" i="7"/>
  <c r="L242" i="7"/>
  <c r="K235" i="7"/>
  <c r="L234" i="7"/>
  <c r="K233" i="7"/>
  <c r="K223" i="7"/>
  <c r="K222" i="7"/>
  <c r="K213" i="7"/>
  <c r="K210" i="7"/>
  <c r="K203" i="7"/>
  <c r="L202" i="7"/>
  <c r="K201" i="7"/>
  <c r="K190" i="7"/>
  <c r="K182" i="7"/>
  <c r="K173" i="7"/>
  <c r="L172" i="7"/>
  <c r="K171" i="7"/>
  <c r="L170" i="7"/>
  <c r="K169" i="7"/>
  <c r="K166" i="7"/>
  <c r="K145" i="7"/>
  <c r="K339" i="7"/>
  <c r="K336" i="7"/>
  <c r="K307" i="7"/>
  <c r="K299" i="7"/>
  <c r="L276" i="7"/>
  <c r="L259" i="7"/>
  <c r="K246" i="7"/>
  <c r="K234" i="7"/>
  <c r="K227" i="7"/>
  <c r="L226" i="7"/>
  <c r="K225" i="7"/>
  <c r="K215" i="7"/>
  <c r="K214" i="7"/>
  <c r="K205" i="7"/>
  <c r="K202" i="7"/>
  <c r="K195" i="7"/>
  <c r="L194" i="7"/>
  <c r="K193" i="7"/>
  <c r="K187" i="7"/>
  <c r="L186" i="7"/>
  <c r="K185" i="7"/>
  <c r="K179" i="7"/>
  <c r="L178" i="7"/>
  <c r="K177" i="7"/>
  <c r="K174" i="7"/>
  <c r="K157" i="7"/>
  <c r="L156" i="7"/>
  <c r="K155" i="7"/>
  <c r="K151" i="7"/>
  <c r="K147" i="7"/>
  <c r="L146" i="7"/>
  <c r="K141" i="7"/>
  <c r="K137" i="7"/>
  <c r="K308" i="7"/>
  <c r="K277" i="7"/>
  <c r="L260" i="7"/>
  <c r="K255" i="7"/>
  <c r="K250" i="7"/>
  <c r="K237" i="7"/>
  <c r="K229" i="7"/>
  <c r="K226" i="7"/>
  <c r="K219" i="7"/>
  <c r="L218" i="7"/>
  <c r="K217" i="7"/>
  <c r="K207" i="7"/>
  <c r="K206" i="7"/>
  <c r="K197" i="7"/>
  <c r="K194" i="7"/>
  <c r="K186" i="7"/>
  <c r="K178" i="7"/>
  <c r="K161" i="7"/>
  <c r="K158" i="7"/>
  <c r="K143" i="7"/>
  <c r="L142" i="7"/>
  <c r="L10" i="7"/>
  <c r="L14" i="7"/>
  <c r="L22" i="7"/>
  <c r="K24" i="7"/>
  <c r="K32" i="7"/>
  <c r="K36" i="7"/>
  <c r="K40" i="7"/>
  <c r="L46" i="7"/>
  <c r="K48" i="7"/>
  <c r="K52" i="7"/>
  <c r="K77" i="7"/>
  <c r="K81" i="7"/>
  <c r="K86" i="7"/>
  <c r="K90" i="7"/>
  <c r="K93" i="7"/>
  <c r="K102" i="7"/>
  <c r="K103" i="7"/>
  <c r="L108" i="7"/>
  <c r="K112" i="7"/>
  <c r="L115" i="7"/>
  <c r="L119" i="7"/>
  <c r="K138" i="7"/>
  <c r="L164" i="7"/>
  <c r="L210" i="7"/>
  <c r="K218" i="7"/>
  <c r="L224" i="7"/>
  <c r="L7" i="7"/>
  <c r="K9" i="7"/>
  <c r="L11" i="7"/>
  <c r="K13" i="7"/>
  <c r="L15" i="7"/>
  <c r="K17" i="7"/>
  <c r="L19" i="7"/>
  <c r="K21" i="7"/>
  <c r="L23" i="7"/>
  <c r="K25" i="7"/>
  <c r="L27" i="7"/>
  <c r="K29" i="7"/>
  <c r="L31" i="7"/>
  <c r="K33" i="7"/>
  <c r="L35" i="7"/>
  <c r="K37" i="7"/>
  <c r="L39" i="7"/>
  <c r="K41" i="7"/>
  <c r="L43" i="7"/>
  <c r="K45" i="7"/>
  <c r="L47" i="7"/>
  <c r="K49" i="7"/>
  <c r="L51" i="7"/>
  <c r="K53" i="7"/>
  <c r="K58" i="7"/>
  <c r="L60" i="7"/>
  <c r="K61" i="7"/>
  <c r="K66" i="7"/>
  <c r="K69" i="7"/>
  <c r="L72" i="7"/>
  <c r="K73" i="7"/>
  <c r="K76" i="7"/>
  <c r="L79" i="7"/>
  <c r="L82" i="7"/>
  <c r="K83" i="7"/>
  <c r="L85" i="7"/>
  <c r="L89" i="7"/>
  <c r="K92" i="7"/>
  <c r="L95" i="7"/>
  <c r="L98" i="7"/>
  <c r="K99" i="7"/>
  <c r="L101" i="7"/>
  <c r="L105" i="7"/>
  <c r="K108" i="7"/>
  <c r="L111" i="7"/>
  <c r="L114" i="7"/>
  <c r="K115" i="7"/>
  <c r="K118" i="7"/>
  <c r="K119" i="7"/>
  <c r="K122" i="7"/>
  <c r="K123" i="7"/>
  <c r="K126" i="7"/>
  <c r="L129" i="7"/>
  <c r="K132" i="7"/>
  <c r="K133" i="7"/>
  <c r="K139" i="7"/>
  <c r="L145" i="7"/>
  <c r="K148" i="7"/>
  <c r="K159" i="7"/>
  <c r="K165" i="7"/>
  <c r="L171" i="7"/>
  <c r="L173" i="7"/>
  <c r="L182" i="7"/>
  <c r="K191" i="7"/>
  <c r="K199" i="7"/>
  <c r="K211" i="7"/>
  <c r="K221" i="7"/>
  <c r="L233" i="7"/>
  <c r="L235" i="7"/>
  <c r="K238" i="7"/>
  <c r="K251" i="7"/>
  <c r="K282" i="7"/>
  <c r="K146" i="7"/>
  <c r="L149" i="7"/>
  <c r="L153" i="7"/>
  <c r="K156" i="7"/>
  <c r="L163" i="7"/>
  <c r="L165" i="7"/>
  <c r="K175" i="7"/>
  <c r="K180" i="7"/>
  <c r="L183" i="7"/>
  <c r="L184" i="7"/>
  <c r="K188" i="7"/>
  <c r="L191" i="7"/>
  <c r="L192" i="7"/>
  <c r="K196" i="7"/>
  <c r="L199" i="7"/>
  <c r="L200" i="7"/>
  <c r="L209" i="7"/>
  <c r="L211" i="7"/>
  <c r="L212" i="7"/>
  <c r="K216" i="7"/>
  <c r="L221" i="7"/>
  <c r="K228" i="7"/>
  <c r="L231" i="7"/>
  <c r="L232" i="7"/>
  <c r="K240" i="7"/>
  <c r="L248" i="7"/>
  <c r="L273" i="7"/>
  <c r="K294" i="7"/>
  <c r="L301" i="7"/>
  <c r="L357" i="7"/>
  <c r="K136" i="7"/>
  <c r="K140" i="7"/>
  <c r="L143" i="7"/>
  <c r="K150" i="7"/>
  <c r="K154" i="7"/>
  <c r="L159" i="7"/>
  <c r="K160" i="7"/>
  <c r="K167" i="7"/>
  <c r="K170" i="7"/>
  <c r="K172" i="7"/>
  <c r="L197" i="7"/>
  <c r="K204" i="7"/>
  <c r="L207" i="7"/>
  <c r="L208" i="7"/>
  <c r="L217" i="7"/>
  <c r="L219" i="7"/>
  <c r="L220" i="7"/>
  <c r="K224" i="7"/>
  <c r="L229" i="7"/>
  <c r="K236" i="7"/>
  <c r="L244" i="7"/>
  <c r="K249" i="7"/>
  <c r="K285" i="7"/>
  <c r="K289" i="7"/>
  <c r="K353" i="7"/>
  <c r="L365" i="7"/>
  <c r="L137" i="7"/>
  <c r="L141" i="7"/>
  <c r="K144" i="7"/>
  <c r="L147" i="7"/>
  <c r="L151" i="7"/>
  <c r="L155" i="7"/>
  <c r="L157" i="7"/>
  <c r="K162" i="7"/>
  <c r="K164" i="7"/>
  <c r="L175" i="7"/>
  <c r="K176" i="7"/>
  <c r="L179" i="7"/>
  <c r="L180" i="7"/>
  <c r="K184" i="7"/>
  <c r="L187" i="7"/>
  <c r="L188" i="7"/>
  <c r="K192" i="7"/>
  <c r="L195" i="7"/>
  <c r="L196" i="7"/>
  <c r="K200" i="7"/>
  <c r="L205" i="7"/>
  <c r="K212" i="7"/>
  <c r="L215" i="7"/>
  <c r="L216" i="7"/>
  <c r="L225" i="7"/>
  <c r="L227" i="7"/>
  <c r="L228" i="7"/>
  <c r="K232" i="7"/>
  <c r="L237" i="7"/>
  <c r="L240" i="7"/>
  <c r="K245" i="7"/>
  <c r="L253" i="7"/>
  <c r="K258" i="7"/>
  <c r="K266" i="7"/>
  <c r="L297" i="7"/>
  <c r="L305" i="7"/>
  <c r="K313" i="7"/>
  <c r="K317" i="7"/>
  <c r="K321" i="7"/>
  <c r="K325" i="7"/>
  <c r="L252" i="7"/>
  <c r="L256" i="7"/>
  <c r="L261" i="7"/>
  <c r="K265" i="7"/>
  <c r="K270" i="7"/>
  <c r="K274" i="7"/>
  <c r="L277" i="7"/>
  <c r="K281" i="7"/>
  <c r="K284" i="7"/>
  <c r="L286" i="7"/>
  <c r="L290" i="7"/>
  <c r="K293" i="7"/>
  <c r="K298" i="7"/>
  <c r="K302" i="7"/>
  <c r="K306" i="7"/>
  <c r="L309" i="7"/>
  <c r="L314" i="7"/>
  <c r="L318" i="7"/>
  <c r="L322" i="7"/>
  <c r="L330" i="7"/>
  <c r="L337" i="7"/>
  <c r="K341" i="7"/>
  <c r="K350" i="7"/>
  <c r="K358" i="7"/>
  <c r="L361" i="7"/>
  <c r="L369" i="7"/>
  <c r="L241" i="7"/>
  <c r="K244" i="7"/>
  <c r="K248" i="7"/>
  <c r="K253" i="7"/>
  <c r="K257" i="7"/>
  <c r="K262" i="7"/>
  <c r="L267" i="7"/>
  <c r="K269" i="7"/>
  <c r="L271" i="7"/>
  <c r="K278" i="7"/>
  <c r="L282" i="7"/>
  <c r="L285" i="7"/>
  <c r="L289" i="7"/>
  <c r="L294" i="7"/>
  <c r="K297" i="7"/>
  <c r="K301" i="7"/>
  <c r="K305" i="7"/>
  <c r="K310" i="7"/>
  <c r="L313" i="7"/>
  <c r="L317" i="7"/>
  <c r="L321" i="7"/>
  <c r="L325" i="7"/>
  <c r="L333" i="7"/>
  <c r="L342" i="7"/>
  <c r="K345" i="7"/>
  <c r="K354" i="7"/>
  <c r="L366" i="7"/>
  <c r="K367" i="7"/>
  <c r="L245" i="7"/>
  <c r="L249" i="7"/>
  <c r="K252" i="7"/>
  <c r="K256" i="7"/>
  <c r="L265" i="7"/>
  <c r="K268" i="7"/>
  <c r="L270" i="7"/>
  <c r="K272" i="7"/>
  <c r="L281" i="7"/>
  <c r="K286" i="7"/>
  <c r="K290" i="7"/>
  <c r="L293" i="7"/>
  <c r="L298" i="7"/>
  <c r="L302" i="7"/>
  <c r="L306" i="7"/>
  <c r="K309" i="7"/>
  <c r="K314" i="7"/>
  <c r="K318" i="7"/>
  <c r="K322" i="7"/>
  <c r="K326" i="7"/>
  <c r="L329" i="7"/>
  <c r="L338" i="7"/>
  <c r="K349" i="7"/>
  <c r="L362" i="7"/>
  <c r="K370" i="7"/>
  <c r="K330" i="7"/>
  <c r="K334" i="7"/>
  <c r="K338" i="7"/>
  <c r="L341" i="7"/>
  <c r="L346" i="7"/>
  <c r="L350" i="7"/>
  <c r="L354" i="7"/>
  <c r="K357" i="7"/>
  <c r="K362" i="7"/>
  <c r="K366" i="7"/>
  <c r="K369" i="7"/>
  <c r="L326" i="7"/>
  <c r="K329" i="7"/>
  <c r="K333" i="7"/>
  <c r="K337" i="7"/>
  <c r="K342" i="7"/>
  <c r="L345" i="7"/>
  <c r="L349" i="7"/>
  <c r="L353" i="7"/>
  <c r="L358" i="7"/>
  <c r="K361" i="7"/>
  <c r="K365" i="7"/>
  <c r="L370" i="7"/>
  <c r="L24" i="7"/>
  <c r="L32" i="7"/>
  <c r="L36" i="7"/>
  <c r="L40" i="7"/>
  <c r="L44" i="7"/>
  <c r="L48" i="7"/>
  <c r="L52" i="7"/>
  <c r="L9" i="7"/>
  <c r="L13" i="7"/>
  <c r="L17" i="7"/>
  <c r="L21" i="7"/>
  <c r="L25" i="7"/>
  <c r="L29" i="7"/>
  <c r="L33" i="7"/>
  <c r="L37" i="7"/>
  <c r="L41" i="7"/>
  <c r="L45" i="7"/>
  <c r="L49" i="7"/>
  <c r="L53" i="7"/>
  <c r="L57" i="7"/>
  <c r="L61" i="7"/>
  <c r="L65" i="7"/>
  <c r="L75" i="7"/>
  <c r="L272" i="7"/>
  <c r="L275" i="7"/>
  <c r="L168" i="7"/>
  <c r="L206" i="7"/>
  <c r="L238" i="7"/>
  <c r="L54" i="7"/>
  <c r="L58" i="7"/>
  <c r="L62" i="7"/>
  <c r="L66" i="7"/>
  <c r="L80" i="7"/>
  <c r="L88" i="7"/>
  <c r="L96" i="7"/>
  <c r="L104" i="7"/>
  <c r="L112" i="7"/>
  <c r="L118" i="7"/>
  <c r="L134" i="7"/>
  <c r="L150" i="7"/>
  <c r="L166" i="7"/>
  <c r="L222" i="7"/>
  <c r="L254" i="7"/>
  <c r="L68" i="7"/>
  <c r="L78" i="7"/>
  <c r="L86" i="7"/>
  <c r="L94" i="7"/>
  <c r="L102" i="7"/>
  <c r="L110" i="7"/>
  <c r="L122" i="7"/>
  <c r="L138" i="7"/>
  <c r="L154" i="7"/>
  <c r="L158" i="7"/>
  <c r="L160" i="7"/>
  <c r="L174" i="7"/>
  <c r="L176" i="7"/>
  <c r="L198" i="7"/>
  <c r="L214" i="7"/>
  <c r="L230" i="7"/>
  <c r="L246" i="7"/>
  <c r="L258" i="7"/>
  <c r="L303" i="7"/>
  <c r="L335" i="7"/>
  <c r="L367" i="7"/>
  <c r="L116" i="7"/>
  <c r="L120" i="7"/>
  <c r="L124" i="7"/>
  <c r="L128" i="7"/>
  <c r="L132" i="7"/>
  <c r="L136" i="7"/>
  <c r="L140" i="7"/>
  <c r="L144" i="7"/>
  <c r="L148" i="7"/>
  <c r="L152" i="7"/>
  <c r="L161" i="7"/>
  <c r="L177" i="7"/>
  <c r="L181" i="7"/>
  <c r="L185" i="7"/>
  <c r="L189" i="7"/>
  <c r="L193" i="7"/>
  <c r="L274" i="7"/>
  <c r="L287" i="7"/>
  <c r="L319" i="7"/>
  <c r="L351" i="7"/>
  <c r="L239" i="7"/>
  <c r="L243" i="7"/>
  <c r="L247" i="7"/>
  <c r="L251" i="7"/>
  <c r="L255" i="7"/>
  <c r="L263" i="7"/>
  <c r="L268" i="7"/>
  <c r="L283" i="7"/>
  <c r="L299" i="7"/>
  <c r="L315" i="7"/>
  <c r="L331" i="7"/>
  <c r="L347" i="7"/>
  <c r="L363" i="7"/>
  <c r="L280" i="7"/>
  <c r="L284" i="7"/>
  <c r="L288" i="7"/>
  <c r="L292" i="7"/>
  <c r="L296" i="7"/>
  <c r="L300" i="7"/>
  <c r="L304" i="7"/>
  <c r="L308" i="7"/>
  <c r="L312" i="7"/>
  <c r="L316" i="7"/>
  <c r="L320" i="7"/>
  <c r="L324" i="7"/>
  <c r="L328" i="7"/>
  <c r="L332" i="7"/>
  <c r="L336" i="7"/>
  <c r="L340" i="7"/>
  <c r="L344" i="7"/>
  <c r="L348" i="7"/>
  <c r="L352" i="7"/>
  <c r="L356" i="7"/>
  <c r="L360" i="7"/>
  <c r="L364" i="7"/>
  <c r="L368" i="7"/>
  <c r="BM6" i="17" l="1"/>
  <c r="V425" i="17"/>
  <c r="V425" i="16"/>
  <c r="M424" i="7"/>
  <c r="M401" i="7"/>
  <c r="V402" i="17"/>
  <c r="V402" i="16"/>
  <c r="V479" i="17"/>
  <c r="M478" i="7"/>
  <c r="V479" i="16"/>
  <c r="V433" i="17"/>
  <c r="V433" i="16"/>
  <c r="M432" i="7"/>
  <c r="V507" i="17"/>
  <c r="V507" i="16"/>
  <c r="M506" i="7"/>
  <c r="V393" i="16"/>
  <c r="M392" i="7"/>
  <c r="V393" i="17"/>
  <c r="V456" i="17"/>
  <c r="V456" i="16"/>
  <c r="M455" i="7"/>
  <c r="V555" i="17"/>
  <c r="V555" i="16"/>
  <c r="M554" i="7"/>
  <c r="V702" i="16"/>
  <c r="M701" i="7"/>
  <c r="V702" i="17"/>
  <c r="V710" i="16"/>
  <c r="M709" i="7"/>
  <c r="V710" i="17"/>
  <c r="V646" i="17"/>
  <c r="M645" i="7"/>
  <c r="V646" i="16"/>
  <c r="V641" i="17"/>
  <c r="V641" i="16"/>
  <c r="M640" i="7"/>
  <c r="M713" i="7"/>
  <c r="V714" i="17"/>
  <c r="V714" i="16"/>
  <c r="M459" i="7"/>
  <c r="V460" i="17"/>
  <c r="V460" i="16"/>
  <c r="V554" i="17"/>
  <c r="V554" i="16"/>
  <c r="M553" i="7"/>
  <c r="V448" i="16"/>
  <c r="V448" i="17"/>
  <c r="M447" i="7"/>
  <c r="V516" i="17"/>
  <c r="V516" i="16"/>
  <c r="M515" i="7"/>
  <c r="V401" i="16"/>
  <c r="M400" i="7"/>
  <c r="V401" i="17"/>
  <c r="M473" i="7"/>
  <c r="V474" i="17"/>
  <c r="V474" i="16"/>
  <c r="V561" i="16"/>
  <c r="V561" i="17"/>
  <c r="M560" i="7"/>
  <c r="V423" i="17"/>
  <c r="V423" i="16"/>
  <c r="M422" i="7"/>
  <c r="V506" i="17"/>
  <c r="V506" i="16"/>
  <c r="M505" i="7"/>
  <c r="M633" i="7"/>
  <c r="V634" i="17"/>
  <c r="V634" i="16"/>
  <c r="V722" i="17"/>
  <c r="V722" i="16"/>
  <c r="M721" i="7"/>
  <c r="M654" i="7"/>
  <c r="V655" i="17"/>
  <c r="V655" i="16"/>
  <c r="V580" i="16"/>
  <c r="M579" i="7"/>
  <c r="V580" i="17"/>
  <c r="V681" i="16"/>
  <c r="M680" i="7"/>
  <c r="V681" i="17"/>
  <c r="M606" i="7"/>
  <c r="V607" i="17"/>
  <c r="V607" i="16"/>
  <c r="M690" i="7"/>
  <c r="V691" i="17"/>
  <c r="V691" i="16"/>
  <c r="V419" i="17"/>
  <c r="V419" i="16"/>
  <c r="M418" i="7"/>
  <c r="V513" i="17"/>
  <c r="V513" i="16"/>
  <c r="M512" i="7"/>
  <c r="V391" i="16"/>
  <c r="M390" i="7"/>
  <c r="V391" i="17"/>
  <c r="M467" i="7"/>
  <c r="V468" i="17"/>
  <c r="V468" i="16"/>
  <c r="V545" i="16"/>
  <c r="M544" i="7"/>
  <c r="V545" i="17"/>
  <c r="M428" i="7"/>
  <c r="V429" i="16"/>
  <c r="V429" i="17"/>
  <c r="M493" i="7"/>
  <c r="V494" i="17"/>
  <c r="V494" i="16"/>
  <c r="V390" i="16"/>
  <c r="M389" i="7"/>
  <c r="V390" i="17"/>
  <c r="V449" i="16"/>
  <c r="M448" i="7"/>
  <c r="V449" i="17"/>
  <c r="M521" i="7"/>
  <c r="V522" i="17"/>
  <c r="V522" i="16"/>
  <c r="V583" i="17"/>
  <c r="V583" i="16"/>
  <c r="M582" i="7"/>
  <c r="V692" i="17"/>
  <c r="V692" i="16"/>
  <c r="M691" i="7"/>
  <c r="V626" i="17"/>
  <c r="V626" i="16"/>
  <c r="M625" i="7"/>
  <c r="V698" i="16"/>
  <c r="M697" i="7"/>
  <c r="V698" i="17"/>
  <c r="M630" i="7"/>
  <c r="V631" i="17"/>
  <c r="V631" i="16"/>
  <c r="V706" i="16"/>
  <c r="M705" i="7"/>
  <c r="V706" i="17"/>
  <c r="M406" i="7"/>
  <c r="V407" i="17"/>
  <c r="V407" i="16"/>
  <c r="V491" i="16"/>
  <c r="M490" i="7"/>
  <c r="V491" i="17"/>
  <c r="V373" i="17"/>
  <c r="V373" i="16"/>
  <c r="M372" i="7"/>
  <c r="M456" i="7"/>
  <c r="V457" i="17"/>
  <c r="V457" i="16"/>
  <c r="M536" i="7"/>
  <c r="V537" i="17"/>
  <c r="V537" i="16"/>
  <c r="V410" i="16"/>
  <c r="M409" i="7"/>
  <c r="V410" i="17"/>
  <c r="M477" i="7"/>
  <c r="V478" i="17"/>
  <c r="V478" i="16"/>
  <c r="V378" i="17"/>
  <c r="V378" i="16"/>
  <c r="M377" i="7"/>
  <c r="V430" i="16"/>
  <c r="M429" i="7"/>
  <c r="V430" i="17"/>
  <c r="V514" i="16"/>
  <c r="V514" i="17"/>
  <c r="M513" i="7"/>
  <c r="M673" i="7"/>
  <c r="V674" i="17"/>
  <c r="V674" i="16"/>
  <c r="V677" i="17"/>
  <c r="V677" i="16"/>
  <c r="M676" i="7"/>
  <c r="V611" i="17"/>
  <c r="V611" i="16"/>
  <c r="M610" i="7"/>
  <c r="V683" i="17"/>
  <c r="M682" i="7"/>
  <c r="V683" i="16"/>
  <c r="M621" i="7"/>
  <c r="V622" i="17"/>
  <c r="V622" i="16"/>
  <c r="V696" i="17"/>
  <c r="V696" i="16"/>
  <c r="M695" i="7"/>
  <c r="V620" i="16"/>
  <c r="M619" i="7"/>
  <c r="V620" i="17"/>
  <c r="V707" i="17"/>
  <c r="V707" i="16"/>
  <c r="M706" i="7"/>
  <c r="V672" i="17"/>
  <c r="V672" i="16"/>
  <c r="M671" i="7"/>
  <c r="M591" i="7"/>
  <c r="V592" i="17"/>
  <c r="V592" i="16"/>
  <c r="M583" i="7"/>
  <c r="V584" i="16"/>
  <c r="V584" i="17"/>
  <c r="V693" i="16"/>
  <c r="M692" i="7"/>
  <c r="V693" i="17"/>
  <c r="M647" i="7"/>
  <c r="V648" i="17"/>
  <c r="V648" i="16"/>
  <c r="M604" i="7"/>
  <c r="V605" i="17"/>
  <c r="V605" i="16"/>
  <c r="V566" i="17"/>
  <c r="V566" i="16"/>
  <c r="M565" i="7"/>
  <c r="V644" i="16"/>
  <c r="M643" i="7"/>
  <c r="V644" i="17"/>
  <c r="V630" i="16"/>
  <c r="V630" i="17"/>
  <c r="M629" i="7"/>
  <c r="M573" i="7"/>
  <c r="V574" i="17"/>
  <c r="V574" i="16"/>
  <c r="V527" i="16"/>
  <c r="M526" i="7"/>
  <c r="V527" i="17"/>
  <c r="V486" i="16"/>
  <c r="M485" i="7"/>
  <c r="V486" i="17"/>
  <c r="V458" i="17"/>
  <c r="V458" i="16"/>
  <c r="M457" i="7"/>
  <c r="V432" i="17"/>
  <c r="V432" i="16"/>
  <c r="M431" i="7"/>
  <c r="V383" i="17"/>
  <c r="V383" i="16"/>
  <c r="M382" i="7"/>
  <c r="V550" i="17"/>
  <c r="V550" i="16"/>
  <c r="M549" i="7"/>
  <c r="V519" i="16"/>
  <c r="M518" i="7"/>
  <c r="V519" i="17"/>
  <c r="V548" i="16"/>
  <c r="M547" i="7"/>
  <c r="V548" i="17"/>
  <c r="V502" i="17"/>
  <c r="V502" i="16"/>
  <c r="M501" i="7"/>
  <c r="V476" i="17"/>
  <c r="V476" i="16"/>
  <c r="M475" i="7"/>
  <c r="M466" i="7"/>
  <c r="V467" i="17"/>
  <c r="V467" i="16"/>
  <c r="V450" i="16"/>
  <c r="V450" i="17"/>
  <c r="M449" i="7"/>
  <c r="V434" i="17"/>
  <c r="V434" i="16"/>
  <c r="M433" i="7"/>
  <c r="V415" i="16"/>
  <c r="M414" i="7"/>
  <c r="V415" i="17"/>
  <c r="V556" i="17"/>
  <c r="V556" i="16"/>
  <c r="M555" i="7"/>
  <c r="M461" i="7"/>
  <c r="V462" i="17"/>
  <c r="V462" i="16"/>
  <c r="V374" i="17"/>
  <c r="V374" i="16"/>
  <c r="M373" i="7"/>
  <c r="V441" i="17"/>
  <c r="V441" i="16"/>
  <c r="M440" i="7"/>
  <c r="M541" i="7"/>
  <c r="V542" i="17"/>
  <c r="V542" i="16"/>
  <c r="M423" i="7"/>
  <c r="V424" i="17"/>
  <c r="V424" i="16"/>
  <c r="V495" i="17"/>
  <c r="M494" i="7"/>
  <c r="V495" i="16"/>
  <c r="M383" i="7"/>
  <c r="V384" i="17"/>
  <c r="V384" i="16"/>
  <c r="V452" i="17"/>
  <c r="V452" i="16"/>
  <c r="M451" i="7"/>
  <c r="V543" i="17"/>
  <c r="V543" i="16"/>
  <c r="M542" i="7"/>
  <c r="V409" i="16"/>
  <c r="M408" i="7"/>
  <c r="V409" i="17"/>
  <c r="V485" i="17"/>
  <c r="V485" i="16"/>
  <c r="M484" i="7"/>
  <c r="M595" i="7"/>
  <c r="V596" i="17"/>
  <c r="V596" i="16"/>
  <c r="V713" i="17"/>
  <c r="V713" i="16"/>
  <c r="M712" i="7"/>
  <c r="V647" i="17"/>
  <c r="V647" i="16"/>
  <c r="M646" i="7"/>
  <c r="V735" i="16"/>
  <c r="M734" i="7"/>
  <c r="V735" i="17"/>
  <c r="V666" i="17"/>
  <c r="V666" i="16"/>
  <c r="M665" i="7"/>
  <c r="V575" i="17"/>
  <c r="V575" i="16"/>
  <c r="M574" i="7"/>
  <c r="V659" i="16"/>
  <c r="V659" i="17"/>
  <c r="M658" i="7"/>
  <c r="V730" i="16"/>
  <c r="M729" i="7"/>
  <c r="V730" i="17"/>
  <c r="V418" i="17"/>
  <c r="V418" i="16"/>
  <c r="M417" i="7"/>
  <c r="V510" i="16"/>
  <c r="M509" i="7"/>
  <c r="V510" i="17"/>
  <c r="M380" i="7"/>
  <c r="V381" i="17"/>
  <c r="V381" i="16"/>
  <c r="V464" i="17"/>
  <c r="V464" i="16"/>
  <c r="M463" i="7"/>
  <c r="V544" i="17"/>
  <c r="V544" i="16"/>
  <c r="M543" i="7"/>
  <c r="M492" i="7"/>
  <c r="V493" i="17"/>
  <c r="V493" i="16"/>
  <c r="V385" i="17"/>
  <c r="V385" i="16"/>
  <c r="M384" i="7"/>
  <c r="V447" i="16"/>
  <c r="V447" i="17"/>
  <c r="M446" i="7"/>
  <c r="V678" i="16"/>
  <c r="M677" i="7"/>
  <c r="V678" i="17"/>
  <c r="V581" i="16"/>
  <c r="M580" i="7"/>
  <c r="V581" i="17"/>
  <c r="V687" i="17"/>
  <c r="V687" i="16"/>
  <c r="M686" i="7"/>
  <c r="V623" i="17"/>
  <c r="V623" i="16"/>
  <c r="M622" i="7"/>
  <c r="V686" i="17"/>
  <c r="V686" i="16"/>
  <c r="M685" i="7"/>
  <c r="V629" i="17"/>
  <c r="M628" i="7"/>
  <c r="V629" i="16"/>
  <c r="M704" i="7"/>
  <c r="V705" i="17"/>
  <c r="V705" i="16"/>
  <c r="V437" i="17"/>
  <c r="V437" i="16"/>
  <c r="M436" i="7"/>
  <c r="V533" i="17"/>
  <c r="V533" i="16"/>
  <c r="M532" i="7"/>
  <c r="V417" i="16"/>
  <c r="M416" i="7"/>
  <c r="V417" i="17"/>
  <c r="M488" i="7"/>
  <c r="V489" i="17"/>
  <c r="V489" i="16"/>
  <c r="V379" i="16"/>
  <c r="M378" i="7"/>
  <c r="V379" i="17"/>
  <c r="V445" i="17"/>
  <c r="V445" i="16"/>
  <c r="M444" i="7"/>
  <c r="V523" i="16"/>
  <c r="M522" i="7"/>
  <c r="V523" i="17"/>
  <c r="M404" i="7"/>
  <c r="V405" i="16"/>
  <c r="V405" i="17"/>
  <c r="M464" i="7"/>
  <c r="V465" i="17"/>
  <c r="V465" i="16"/>
  <c r="V586" i="17"/>
  <c r="V586" i="16"/>
  <c r="M585" i="7"/>
  <c r="V708" i="16"/>
  <c r="M707" i="7"/>
  <c r="V708" i="17"/>
  <c r="V613" i="17"/>
  <c r="V613" i="16"/>
  <c r="M612" i="7"/>
  <c r="M724" i="7"/>
  <c r="V725" i="17"/>
  <c r="V725" i="16"/>
  <c r="V663" i="17"/>
  <c r="M662" i="7"/>
  <c r="V663" i="16"/>
  <c r="V719" i="17"/>
  <c r="V719" i="16"/>
  <c r="M718" i="7"/>
  <c r="V643" i="16"/>
  <c r="M642" i="7"/>
  <c r="V643" i="17"/>
  <c r="V726" i="17"/>
  <c r="V726" i="16"/>
  <c r="M725" i="7"/>
  <c r="M420" i="7"/>
  <c r="V421" i="17"/>
  <c r="V421" i="16"/>
  <c r="V521" i="17"/>
  <c r="V521" i="16"/>
  <c r="M520" i="7"/>
  <c r="M394" i="7"/>
  <c r="V395" i="17"/>
  <c r="V395" i="16"/>
  <c r="V475" i="17"/>
  <c r="V475" i="16"/>
  <c r="M474" i="7"/>
  <c r="V546" i="17"/>
  <c r="V546" i="16"/>
  <c r="M545" i="7"/>
  <c r="M430" i="7"/>
  <c r="V431" i="17"/>
  <c r="V431" i="16"/>
  <c r="V497" i="16"/>
  <c r="V497" i="17"/>
  <c r="M496" i="7"/>
  <c r="V392" i="16"/>
  <c r="M391" i="7"/>
  <c r="V392" i="17"/>
  <c r="V535" i="17"/>
  <c r="V535" i="16"/>
  <c r="M534" i="7"/>
  <c r="V694" i="16"/>
  <c r="V694" i="17"/>
  <c r="M693" i="7"/>
  <c r="V591" i="17"/>
  <c r="V591" i="16"/>
  <c r="M590" i="7"/>
  <c r="V639" i="16"/>
  <c r="M638" i="7"/>
  <c r="V639" i="17"/>
  <c r="V699" i="17"/>
  <c r="V699" i="16"/>
  <c r="M698" i="7"/>
  <c r="M634" i="7"/>
  <c r="V635" i="17"/>
  <c r="V635" i="16"/>
  <c r="V709" i="16"/>
  <c r="V709" i="17"/>
  <c r="M708" i="7"/>
  <c r="V680" i="16"/>
  <c r="V680" i="17"/>
  <c r="M679" i="7"/>
  <c r="V618" i="17"/>
  <c r="V618" i="16"/>
  <c r="M617" i="7"/>
  <c r="M597" i="7"/>
  <c r="V598" i="17"/>
  <c r="V598" i="16"/>
  <c r="V589" i="16"/>
  <c r="V589" i="17"/>
  <c r="M588" i="7"/>
  <c r="M714" i="7"/>
  <c r="V715" i="17"/>
  <c r="V715" i="16"/>
  <c r="M683" i="7"/>
  <c r="V684" i="17"/>
  <c r="V684" i="16"/>
  <c r="V668" i="16"/>
  <c r="M667" i="7"/>
  <c r="V668" i="17"/>
  <c r="M637" i="7"/>
  <c r="V638" i="17"/>
  <c r="V638" i="16"/>
  <c r="M688" i="7"/>
  <c r="V689" i="16"/>
  <c r="V689" i="17"/>
  <c r="V657" i="17"/>
  <c r="V657" i="16"/>
  <c r="M656" i="7"/>
  <c r="V624" i="17"/>
  <c r="V624" i="16"/>
  <c r="M623" i="7"/>
  <c r="M609" i="7"/>
  <c r="V610" i="17"/>
  <c r="V610" i="16"/>
  <c r="V604" i="16"/>
  <c r="M603" i="7"/>
  <c r="V604" i="17"/>
  <c r="V582" i="17"/>
  <c r="V582" i="16"/>
  <c r="M581" i="7"/>
  <c r="V573" i="16"/>
  <c r="M572" i="7"/>
  <c r="V573" i="17"/>
  <c r="V731" i="16"/>
  <c r="M730" i="7"/>
  <c r="V731" i="17"/>
  <c r="M722" i="7"/>
  <c r="V723" i="17"/>
  <c r="V723" i="16"/>
  <c r="M615" i="7"/>
  <c r="V616" i="17"/>
  <c r="V616" i="16"/>
  <c r="V606" i="16"/>
  <c r="M605" i="7"/>
  <c r="V606" i="17"/>
  <c r="V577" i="16"/>
  <c r="M576" i="7"/>
  <c r="V577" i="17"/>
  <c r="M568" i="7"/>
  <c r="V569" i="17"/>
  <c r="V569" i="16"/>
  <c r="V526" i="16"/>
  <c r="M525" i="7"/>
  <c r="V526" i="17"/>
  <c r="V508" i="17"/>
  <c r="V508" i="16"/>
  <c r="M507" i="7"/>
  <c r="V518" i="16"/>
  <c r="M517" i="7"/>
  <c r="V518" i="17"/>
  <c r="M487" i="7"/>
  <c r="V488" i="17"/>
  <c r="V488" i="16"/>
  <c r="V454" i="17"/>
  <c r="V454" i="16"/>
  <c r="M453" i="7"/>
  <c r="V399" i="16"/>
  <c r="M398" i="7"/>
  <c r="V399" i="17"/>
  <c r="V492" i="17"/>
  <c r="M491" i="7"/>
  <c r="V492" i="16"/>
  <c r="M465" i="7"/>
  <c r="V466" i="17"/>
  <c r="V466" i="16"/>
  <c r="M403" i="7"/>
  <c r="V404" i="17"/>
  <c r="V404" i="16"/>
  <c r="V530" i="16"/>
  <c r="M529" i="7"/>
  <c r="V530" i="17"/>
  <c r="V471" i="16"/>
  <c r="M470" i="7"/>
  <c r="V471" i="17"/>
  <c r="M552" i="7"/>
  <c r="V553" i="17"/>
  <c r="V553" i="16"/>
  <c r="V443" i="17"/>
  <c r="M442" i="7"/>
  <c r="V443" i="16"/>
  <c r="M514" i="7"/>
  <c r="V515" i="17"/>
  <c r="V515" i="16"/>
  <c r="M399" i="7"/>
  <c r="V400" i="17"/>
  <c r="V400" i="16"/>
  <c r="V473" i="17"/>
  <c r="V473" i="16"/>
  <c r="M472" i="7"/>
  <c r="V560" i="17"/>
  <c r="V560" i="16"/>
  <c r="M559" i="7"/>
  <c r="V420" i="16"/>
  <c r="M419" i="7"/>
  <c r="V420" i="17"/>
  <c r="V505" i="17"/>
  <c r="V505" i="16"/>
  <c r="M504" i="7"/>
  <c r="M632" i="7"/>
  <c r="V633" i="17"/>
  <c r="V633" i="16"/>
  <c r="V718" i="17"/>
  <c r="V718" i="16"/>
  <c r="M717" i="7"/>
  <c r="M652" i="7"/>
  <c r="V653" i="17"/>
  <c r="V653" i="16"/>
  <c r="M578" i="7"/>
  <c r="V579" i="17"/>
  <c r="V579" i="16"/>
  <c r="M675" i="7"/>
  <c r="V676" i="17"/>
  <c r="V676" i="16"/>
  <c r="V599" i="17"/>
  <c r="V599" i="16"/>
  <c r="M598" i="7"/>
  <c r="V690" i="16"/>
  <c r="M689" i="7"/>
  <c r="V690" i="17"/>
  <c r="V428" i="16"/>
  <c r="V428" i="17"/>
  <c r="M427" i="7"/>
  <c r="M528" i="7"/>
  <c r="V529" i="17"/>
  <c r="V529" i="16"/>
  <c r="V414" i="17"/>
  <c r="V414" i="16"/>
  <c r="M413" i="7"/>
  <c r="V484" i="16"/>
  <c r="M483" i="7"/>
  <c r="V484" i="17"/>
  <c r="V375" i="17"/>
  <c r="V375" i="16"/>
  <c r="M374" i="7"/>
  <c r="V436" i="17"/>
  <c r="V436" i="16"/>
  <c r="M435" i="7"/>
  <c r="V397" i="17"/>
  <c r="V397" i="16"/>
  <c r="M396" i="7"/>
  <c r="V463" i="16"/>
  <c r="M462" i="7"/>
  <c r="V463" i="17"/>
  <c r="V704" i="16"/>
  <c r="M703" i="7"/>
  <c r="V704" i="17"/>
  <c r="M602" i="7"/>
  <c r="V603" i="17"/>
  <c r="V603" i="16"/>
  <c r="V711" i="17"/>
  <c r="V711" i="16"/>
  <c r="M710" i="7"/>
  <c r="V654" i="16"/>
  <c r="M653" i="7"/>
  <c r="V654" i="17"/>
  <c r="V703" i="17"/>
  <c r="M702" i="7"/>
  <c r="V703" i="16"/>
  <c r="M641" i="7"/>
  <c r="V642" i="17"/>
  <c r="V642" i="16"/>
  <c r="V717" i="17"/>
  <c r="V717" i="16"/>
  <c r="M716" i="7"/>
  <c r="V377" i="16"/>
  <c r="M376" i="7"/>
  <c r="V377" i="17"/>
  <c r="V451" i="17"/>
  <c r="V451" i="16"/>
  <c r="M450" i="7"/>
  <c r="V551" i="17"/>
  <c r="V551" i="16"/>
  <c r="M550" i="7"/>
  <c r="V427" i="17"/>
  <c r="V427" i="16"/>
  <c r="M426" i="7"/>
  <c r="M500" i="7"/>
  <c r="V501" i="17"/>
  <c r="V501" i="16"/>
  <c r="V394" i="16"/>
  <c r="M393" i="7"/>
  <c r="V394" i="17"/>
  <c r="V461" i="16"/>
  <c r="M460" i="7"/>
  <c r="V461" i="17"/>
  <c r="V549" i="16"/>
  <c r="V549" i="17"/>
  <c r="M548" i="7"/>
  <c r="V412" i="17"/>
  <c r="V412" i="16"/>
  <c r="M411" i="7"/>
  <c r="V499" i="16"/>
  <c r="V499" i="17"/>
  <c r="M498" i="7"/>
  <c r="V614" i="17"/>
  <c r="V614" i="16"/>
  <c r="M613" i="7"/>
  <c r="V727" i="16"/>
  <c r="V727" i="17"/>
  <c r="M726" i="7"/>
  <c r="V650" i="17"/>
  <c r="V650" i="16"/>
  <c r="M649" i="7"/>
  <c r="V565" i="16"/>
  <c r="M564" i="7"/>
  <c r="V565" i="17"/>
  <c r="V669" i="16"/>
  <c r="V669" i="17"/>
  <c r="M668" i="7"/>
  <c r="V587" i="17"/>
  <c r="V587" i="16"/>
  <c r="M586" i="7"/>
  <c r="V670" i="16"/>
  <c r="M669" i="7"/>
  <c r="V670" i="17"/>
  <c r="V720" i="16"/>
  <c r="M719" i="7"/>
  <c r="V720" i="17"/>
  <c r="V439" i="17"/>
  <c r="V439" i="16"/>
  <c r="M438" i="7"/>
  <c r="M533" i="7"/>
  <c r="V534" i="17"/>
  <c r="V534" i="16"/>
  <c r="V422" i="16"/>
  <c r="V422" i="17"/>
  <c r="M421" i="7"/>
  <c r="M489" i="7"/>
  <c r="V490" i="17"/>
  <c r="V490" i="16"/>
  <c r="V380" i="17"/>
  <c r="V380" i="16"/>
  <c r="M379" i="7"/>
  <c r="V525" i="17"/>
  <c r="V525" i="16"/>
  <c r="M524" i="7"/>
  <c r="V480" i="17"/>
  <c r="V480" i="16"/>
  <c r="M479" i="7"/>
  <c r="M594" i="7"/>
  <c r="V595" i="17"/>
  <c r="V595" i="16"/>
  <c r="V712" i="17"/>
  <c r="V712" i="16"/>
  <c r="M711" i="7"/>
  <c r="V627" i="17"/>
  <c r="V627" i="16"/>
  <c r="M626" i="7"/>
  <c r="V734" i="17"/>
  <c r="V734" i="16"/>
  <c r="M733" i="7"/>
  <c r="V665" i="16"/>
  <c r="V665" i="17"/>
  <c r="M664" i="7"/>
  <c r="V567" i="17"/>
  <c r="V567" i="16"/>
  <c r="M566" i="7"/>
  <c r="V658" i="17"/>
  <c r="V658" i="16"/>
  <c r="M657" i="7"/>
  <c r="M727" i="7"/>
  <c r="V728" i="17"/>
  <c r="V728" i="16"/>
  <c r="V636" i="16"/>
  <c r="M635" i="7"/>
  <c r="V636" i="17"/>
  <c r="V617" i="17"/>
  <c r="V617" i="16"/>
  <c r="M616" i="7"/>
  <c r="V594" i="16"/>
  <c r="M593" i="7"/>
  <c r="V594" i="17"/>
  <c r="V588" i="17"/>
  <c r="V588" i="16"/>
  <c r="M587" i="7"/>
  <c r="M663" i="7"/>
  <c r="V664" i="16"/>
  <c r="V664" i="17"/>
  <c r="V632" i="17"/>
  <c r="V632" i="16"/>
  <c r="M631" i="7"/>
  <c r="M589" i="7"/>
  <c r="V590" i="17"/>
  <c r="V590" i="16"/>
  <c r="M563" i="7"/>
  <c r="V564" i="17"/>
  <c r="V564" i="16"/>
  <c r="M687" i="7"/>
  <c r="V688" i="17"/>
  <c r="V688" i="16"/>
  <c r="V656" i="16"/>
  <c r="M655" i="7"/>
  <c r="V656" i="17"/>
  <c r="V640" i="16"/>
  <c r="M639" i="7"/>
  <c r="V640" i="17"/>
  <c r="V578" i="16"/>
  <c r="V578" i="17"/>
  <c r="M577" i="7"/>
  <c r="V572" i="17"/>
  <c r="V572" i="16"/>
  <c r="M571" i="7"/>
  <c r="V637" i="16"/>
  <c r="M636" i="7"/>
  <c r="V637" i="17"/>
  <c r="V628" i="16"/>
  <c r="M627" i="7"/>
  <c r="V628" i="17"/>
  <c r="V609" i="17"/>
  <c r="V609" i="16"/>
  <c r="M608" i="7"/>
  <c r="V601" i="17"/>
  <c r="V601" i="16"/>
  <c r="M600" i="7"/>
  <c r="M575" i="7"/>
  <c r="V576" i="17"/>
  <c r="V576" i="16"/>
  <c r="V540" i="16"/>
  <c r="M539" i="7"/>
  <c r="V540" i="17"/>
  <c r="V472" i="17"/>
  <c r="V472" i="16"/>
  <c r="M471" i="7"/>
  <c r="V408" i="16"/>
  <c r="M407" i="7"/>
  <c r="V408" i="17"/>
  <c r="V524" i="17"/>
  <c r="M523" i="7"/>
  <c r="V524" i="16"/>
  <c r="M387" i="7"/>
  <c r="V388" i="17"/>
  <c r="V388" i="16"/>
  <c r="V539" i="17"/>
  <c r="V539" i="16"/>
  <c r="M538" i="7"/>
  <c r="M519" i="7"/>
  <c r="V520" i="17"/>
  <c r="V520" i="16"/>
  <c r="M439" i="7"/>
  <c r="V440" i="16"/>
  <c r="V440" i="17"/>
  <c r="M402" i="7"/>
  <c r="V403" i="17"/>
  <c r="V403" i="16"/>
  <c r="V372" i="16"/>
  <c r="V372" i="17"/>
  <c r="M371" i="7"/>
  <c r="V470" i="17"/>
  <c r="V470" i="16"/>
  <c r="M469" i="7"/>
  <c r="V7" i="17"/>
  <c r="V7" i="16"/>
  <c r="M6" i="7"/>
  <c r="V411" i="17"/>
  <c r="V411" i="16"/>
  <c r="M410" i="7"/>
  <c r="M508" i="7"/>
  <c r="V509" i="17"/>
  <c r="V509" i="16"/>
  <c r="V541" i="17"/>
  <c r="M540" i="7"/>
  <c r="V541" i="16"/>
  <c r="V413" i="17"/>
  <c r="V413" i="16"/>
  <c r="M412" i="7"/>
  <c r="M480" i="7"/>
  <c r="V481" i="17"/>
  <c r="V481" i="16"/>
  <c r="V382" i="17"/>
  <c r="V382" i="16"/>
  <c r="M381" i="7"/>
  <c r="V435" i="16"/>
  <c r="M434" i="7"/>
  <c r="V435" i="17"/>
  <c r="V517" i="17"/>
  <c r="M516" i="7"/>
  <c r="V517" i="16"/>
  <c r="V675" i="17"/>
  <c r="V675" i="16"/>
  <c r="M674" i="7"/>
  <c r="V571" i="17"/>
  <c r="M570" i="7"/>
  <c r="V571" i="16"/>
  <c r="V612" i="16"/>
  <c r="V612" i="17"/>
  <c r="M611" i="7"/>
  <c r="V685" i="16"/>
  <c r="M684" i="7"/>
  <c r="V685" i="17"/>
  <c r="M624" i="7"/>
  <c r="V625" i="17"/>
  <c r="V625" i="16"/>
  <c r="M696" i="7"/>
  <c r="V697" i="17"/>
  <c r="V697" i="16"/>
  <c r="V376" i="17"/>
  <c r="V376" i="16"/>
  <c r="M375" i="7"/>
  <c r="V444" i="17"/>
  <c r="V444" i="16"/>
  <c r="M443" i="7"/>
  <c r="M546" i="7"/>
  <c r="V547" i="17"/>
  <c r="V547" i="16"/>
  <c r="V426" i="16"/>
  <c r="M425" i="7"/>
  <c r="V426" i="17"/>
  <c r="V498" i="17"/>
  <c r="V498" i="16"/>
  <c r="M497" i="7"/>
  <c r="M385" i="7"/>
  <c r="V386" i="16"/>
  <c r="V386" i="17"/>
  <c r="V459" i="17"/>
  <c r="V459" i="16"/>
  <c r="M458" i="7"/>
  <c r="V496" i="17"/>
  <c r="V496" i="16"/>
  <c r="M495" i="7"/>
  <c r="V716" i="16"/>
  <c r="M715" i="7"/>
  <c r="V716" i="17"/>
  <c r="M648" i="7"/>
  <c r="V649" i="17"/>
  <c r="V649" i="16"/>
  <c r="V563" i="17"/>
  <c r="V563" i="16"/>
  <c r="M562" i="7"/>
  <c r="V667" i="17"/>
  <c r="V667" i="16"/>
  <c r="M666" i="7"/>
  <c r="V662" i="17"/>
  <c r="V662" i="16"/>
  <c r="M661" i="7"/>
  <c r="V733" i="17"/>
  <c r="V733" i="16"/>
  <c r="M732" i="7"/>
  <c r="M395" i="7"/>
  <c r="V396" i="16"/>
  <c r="V396" i="17"/>
  <c r="V469" i="16"/>
  <c r="V469" i="17"/>
  <c r="M468" i="7"/>
  <c r="V557" i="17"/>
  <c r="V557" i="16"/>
  <c r="M556" i="7"/>
  <c r="V455" i="17"/>
  <c r="V455" i="16"/>
  <c r="M454" i="7"/>
  <c r="M527" i="7"/>
  <c r="V528" i="17"/>
  <c r="V528" i="16"/>
  <c r="M405" i="7"/>
  <c r="V406" i="17"/>
  <c r="V406" i="16"/>
  <c r="V477" i="16"/>
  <c r="M476" i="7"/>
  <c r="V477" i="17"/>
  <c r="M561" i="7"/>
  <c r="V562" i="16"/>
  <c r="V562" i="17"/>
  <c r="V511" i="17"/>
  <c r="V511" i="16"/>
  <c r="M510" i="7"/>
  <c r="M660" i="7"/>
  <c r="V661" i="17"/>
  <c r="V661" i="16"/>
  <c r="V736" i="16"/>
  <c r="M735" i="7"/>
  <c r="V736" i="17"/>
  <c r="V660" i="17"/>
  <c r="V660" i="16"/>
  <c r="M659" i="7"/>
  <c r="V602" i="17"/>
  <c r="M601" i="7"/>
  <c r="V602" i="16"/>
  <c r="M681" i="7"/>
  <c r="V682" i="17"/>
  <c r="V682" i="16"/>
  <c r="M618" i="7"/>
  <c r="V619" i="17"/>
  <c r="V619" i="16"/>
  <c r="V695" i="17"/>
  <c r="V695" i="16"/>
  <c r="M694" i="7"/>
  <c r="V389" i="16"/>
  <c r="V389" i="17"/>
  <c r="M388" i="7"/>
  <c r="V453" i="16"/>
  <c r="V453" i="17"/>
  <c r="M452" i="7"/>
  <c r="V552" i="17"/>
  <c r="V552" i="16"/>
  <c r="M551" i="7"/>
  <c r="V438" i="16"/>
  <c r="M437" i="7"/>
  <c r="V438" i="17"/>
  <c r="V512" i="17"/>
  <c r="V512" i="16"/>
  <c r="M511" i="7"/>
  <c r="V398" i="17"/>
  <c r="V398" i="16"/>
  <c r="M397" i="7"/>
  <c r="V559" i="16"/>
  <c r="M558" i="7"/>
  <c r="V559" i="17"/>
  <c r="V416" i="17"/>
  <c r="M415" i="7"/>
  <c r="V416" i="16"/>
  <c r="V500" i="17"/>
  <c r="V500" i="16"/>
  <c r="M499" i="7"/>
  <c r="V615" i="16"/>
  <c r="M614" i="7"/>
  <c r="V615" i="17"/>
  <c r="V732" i="16"/>
  <c r="M731" i="7"/>
  <c r="V732" i="17"/>
  <c r="V651" i="17"/>
  <c r="M650" i="7"/>
  <c r="V651" i="16"/>
  <c r="V570" i="16"/>
  <c r="M569" i="7"/>
  <c r="V570" i="17"/>
  <c r="M670" i="7"/>
  <c r="V671" i="17"/>
  <c r="V671" i="16"/>
  <c r="V597" i="17"/>
  <c r="V597" i="16"/>
  <c r="M596" i="7"/>
  <c r="M678" i="7"/>
  <c r="V679" i="17"/>
  <c r="V679" i="16"/>
  <c r="V724" i="17"/>
  <c r="M723" i="7"/>
  <c r="V724" i="16"/>
  <c r="M720" i="7"/>
  <c r="V721" i="17"/>
  <c r="V721" i="16"/>
  <c r="V673" i="17"/>
  <c r="V673" i="16"/>
  <c r="M672" i="7"/>
  <c r="V593" i="17"/>
  <c r="V593" i="16"/>
  <c r="M592" i="7"/>
  <c r="V585" i="17"/>
  <c r="V585" i="16"/>
  <c r="M584" i="7"/>
  <c r="V700" i="17"/>
  <c r="V700" i="16"/>
  <c r="M699" i="7"/>
  <c r="V652" i="17"/>
  <c r="V652" i="16"/>
  <c r="M651" i="7"/>
  <c r="V568" i="17"/>
  <c r="V568" i="16"/>
  <c r="M567" i="7"/>
  <c r="M728" i="7"/>
  <c r="V729" i="17"/>
  <c r="V729" i="16"/>
  <c r="V701" i="17"/>
  <c r="V701" i="16"/>
  <c r="M700" i="7"/>
  <c r="V645" i="17"/>
  <c r="V645" i="16"/>
  <c r="M644" i="7"/>
  <c r="V621" i="16"/>
  <c r="V621" i="17"/>
  <c r="M620" i="7"/>
  <c r="M607" i="7"/>
  <c r="V608" i="17"/>
  <c r="V608" i="16"/>
  <c r="M599" i="7"/>
  <c r="V600" i="17"/>
  <c r="V600" i="16"/>
  <c r="V532" i="16"/>
  <c r="V532" i="17"/>
  <c r="M531" i="7"/>
  <c r="V487" i="16"/>
  <c r="M486" i="7"/>
  <c r="V487" i="17"/>
  <c r="M441" i="7"/>
  <c r="V442" i="17"/>
  <c r="V442" i="16"/>
  <c r="M481" i="7"/>
  <c r="V482" i="17"/>
  <c r="V482" i="16"/>
  <c r="V387" i="16"/>
  <c r="M386" i="7"/>
  <c r="V387" i="17"/>
  <c r="M537" i="7"/>
  <c r="V538" i="17"/>
  <c r="V538" i="16"/>
  <c r="M530" i="7"/>
  <c r="V531" i="17"/>
  <c r="V531" i="16"/>
  <c r="V503" i="17"/>
  <c r="V503" i="16"/>
  <c r="M502" i="7"/>
  <c r="V483" i="17"/>
  <c r="V483" i="16"/>
  <c r="M482" i="7"/>
  <c r="V558" i="17"/>
  <c r="V558" i="16"/>
  <c r="M557" i="7"/>
  <c r="M535" i="7"/>
  <c r="V536" i="17"/>
  <c r="V536" i="16"/>
  <c r="V504" i="16"/>
  <c r="M503" i="7"/>
  <c r="V504" i="17"/>
  <c r="V446" i="17"/>
  <c r="V446" i="16"/>
  <c r="M445" i="7"/>
  <c r="AE6" i="16"/>
  <c r="AP6" i="16" s="1"/>
  <c r="BM6" i="16" s="1"/>
  <c r="I280" i="7"/>
  <c r="I264" i="7"/>
  <c r="I256" i="7"/>
  <c r="I248" i="7"/>
  <c r="I240" i="7"/>
  <c r="I232" i="7"/>
  <c r="I222" i="7"/>
  <c r="I214" i="7"/>
  <c r="I206" i="7"/>
  <c r="I200" i="7"/>
  <c r="I182" i="7"/>
  <c r="I148" i="7"/>
  <c r="I140" i="7"/>
  <c r="I126" i="7"/>
  <c r="I12" i="7"/>
  <c r="I318" i="7"/>
  <c r="I304" i="7"/>
  <c r="I296" i="7"/>
  <c r="I270" i="7"/>
  <c r="I262" i="7"/>
  <c r="I254" i="7"/>
  <c r="I246" i="7"/>
  <c r="I238" i="7"/>
  <c r="I230" i="7"/>
  <c r="I224" i="7"/>
  <c r="I216" i="7"/>
  <c r="I208" i="7"/>
  <c r="I192" i="7"/>
  <c r="I176" i="7"/>
  <c r="I168" i="7"/>
  <c r="I162" i="7"/>
  <c r="I154" i="7"/>
  <c r="I116" i="7"/>
  <c r="I108" i="7"/>
  <c r="I100" i="7"/>
  <c r="I86" i="7"/>
  <c r="I272" i="7"/>
  <c r="I68" i="7"/>
  <c r="I7" i="7"/>
  <c r="I312" i="7"/>
  <c r="I186" i="7"/>
  <c r="I144" i="7"/>
  <c r="I136" i="7"/>
  <c r="I130" i="7"/>
  <c r="I110" i="7"/>
  <c r="I88" i="7"/>
  <c r="I80" i="7"/>
  <c r="I62" i="7"/>
  <c r="I367" i="7"/>
  <c r="I355" i="7"/>
  <c r="I347" i="7"/>
  <c r="I343" i="7"/>
  <c r="I335" i="7"/>
  <c r="I327" i="7"/>
  <c r="I319" i="7"/>
  <c r="I311" i="7"/>
  <c r="I303" i="7"/>
  <c r="I295" i="7"/>
  <c r="I287" i="7"/>
  <c r="I279" i="7"/>
  <c r="I271" i="7"/>
  <c r="I263" i="7"/>
  <c r="I255" i="7"/>
  <c r="I247" i="7"/>
  <c r="I239" i="7"/>
  <c r="I231" i="7"/>
  <c r="I135" i="7"/>
  <c r="I115" i="7"/>
  <c r="I107" i="7"/>
  <c r="I99" i="7"/>
  <c r="I87" i="7"/>
  <c r="I79" i="7"/>
  <c r="I75" i="7"/>
  <c r="I67" i="7"/>
  <c r="I55" i="7"/>
  <c r="I43" i="7"/>
  <c r="I35" i="7"/>
  <c r="I23" i="7"/>
  <c r="I19" i="7"/>
  <c r="I48" i="7"/>
  <c r="I310" i="7"/>
  <c r="I302" i="7"/>
  <c r="I288" i="7"/>
  <c r="I202" i="7"/>
  <c r="I196" i="7"/>
  <c r="I180" i="7"/>
  <c r="I172" i="7"/>
  <c r="I166" i="7"/>
  <c r="I158" i="7"/>
  <c r="I134" i="7"/>
  <c r="I112" i="7"/>
  <c r="I90" i="7"/>
  <c r="I44" i="7"/>
  <c r="I286" i="7"/>
  <c r="I223" i="7"/>
  <c r="I215" i="7"/>
  <c r="I207" i="7"/>
  <c r="I167" i="7"/>
  <c r="I11" i="7"/>
  <c r="I36" i="7"/>
  <c r="I368" i="7"/>
  <c r="I356" i="7"/>
  <c r="I348" i="7"/>
  <c r="I344" i="7"/>
  <c r="I336" i="7"/>
  <c r="I328" i="7"/>
  <c r="I320" i="7"/>
  <c r="I30" i="7"/>
  <c r="I20" i="7"/>
  <c r="I94" i="7"/>
  <c r="I76" i="7"/>
  <c r="I56" i="7"/>
  <c r="I365" i="7"/>
  <c r="I357" i="7"/>
  <c r="I353" i="7"/>
  <c r="I345" i="7"/>
  <c r="I333" i="7"/>
  <c r="I325" i="7"/>
  <c r="I317" i="7"/>
  <c r="I309" i="7"/>
  <c r="I301" i="7"/>
  <c r="I293" i="7"/>
  <c r="I285" i="7"/>
  <c r="I334" i="7"/>
  <c r="I326" i="7"/>
  <c r="I294" i="7"/>
  <c r="I277" i="7"/>
  <c r="I269" i="7"/>
  <c r="I261" i="7"/>
  <c r="I253" i="7"/>
  <c r="I245" i="7"/>
  <c r="I237" i="7"/>
  <c r="I229" i="7"/>
  <c r="I221" i="7"/>
  <c r="I213" i="7"/>
  <c r="I201" i="7"/>
  <c r="I197" i="7"/>
  <c r="I181" i="7"/>
  <c r="I149" i="7"/>
  <c r="I121" i="7"/>
  <c r="I117" i="7"/>
  <c r="I93" i="7"/>
  <c r="I89" i="7"/>
  <c r="I85" i="7"/>
  <c r="I81" i="7"/>
  <c r="I61" i="7"/>
  <c r="I57" i="7"/>
  <c r="I53" i="7"/>
  <c r="I49" i="7"/>
  <c r="I45" i="7"/>
  <c r="I29" i="7"/>
  <c r="I25" i="7"/>
  <c r="I21" i="7"/>
  <c r="I13" i="7"/>
  <c r="I366" i="7"/>
  <c r="I354" i="7"/>
  <c r="I24" i="7"/>
  <c r="I276" i="7"/>
  <c r="I268" i="7"/>
  <c r="I260" i="7"/>
  <c r="I252" i="7"/>
  <c r="I244" i="7"/>
  <c r="I236" i="7"/>
  <c r="I226" i="7"/>
  <c r="I218" i="7"/>
  <c r="I210" i="7"/>
  <c r="I204" i="7"/>
  <c r="I194" i="7"/>
  <c r="I178" i="7"/>
  <c r="I170" i="7"/>
  <c r="I160" i="7"/>
  <c r="I152" i="7"/>
  <c r="I124" i="7"/>
  <c r="I118" i="7"/>
  <c r="I98" i="7"/>
  <c r="I70" i="7"/>
  <c r="I52" i="7"/>
  <c r="I42" i="7"/>
  <c r="I26" i="7"/>
  <c r="I10" i="7"/>
  <c r="I363" i="7"/>
  <c r="I359" i="7"/>
  <c r="I351" i="7"/>
  <c r="I339" i="7"/>
  <c r="I331" i="7"/>
  <c r="I323" i="7"/>
  <c r="I315" i="7"/>
  <c r="I307" i="7"/>
  <c r="I299" i="7"/>
  <c r="I291" i="7"/>
  <c r="I283" i="7"/>
  <c r="I275" i="7"/>
  <c r="I267" i="7"/>
  <c r="I259" i="7"/>
  <c r="I251" i="7"/>
  <c r="I243" i="7"/>
  <c r="I235" i="7"/>
  <c r="I227" i="7"/>
  <c r="I219" i="7"/>
  <c r="I211" i="7"/>
  <c r="I203" i="7"/>
  <c r="I199" i="7"/>
  <c r="I195" i="7"/>
  <c r="I191" i="7"/>
  <c r="I187" i="7"/>
  <c r="I183" i="7"/>
  <c r="I179" i="7"/>
  <c r="I175" i="7"/>
  <c r="I171" i="7"/>
  <c r="I163" i="7"/>
  <c r="I159" i="7"/>
  <c r="I155" i="7"/>
  <c r="I151" i="7"/>
  <c r="I147" i="7"/>
  <c r="I143" i="7"/>
  <c r="I139" i="7"/>
  <c r="I131" i="7"/>
  <c r="I127" i="7"/>
  <c r="I123" i="7"/>
  <c r="I119" i="7"/>
  <c r="I111" i="7"/>
  <c r="I103" i="7"/>
  <c r="I95" i="7"/>
  <c r="I91" i="7"/>
  <c r="I83" i="7"/>
  <c r="I71" i="7"/>
  <c r="I63" i="7"/>
  <c r="I59" i="7"/>
  <c r="I51" i="7"/>
  <c r="I47" i="7"/>
  <c r="I39" i="7"/>
  <c r="I31" i="7"/>
  <c r="I27" i="7"/>
  <c r="I15" i="7"/>
  <c r="I72" i="7"/>
  <c r="I28" i="7"/>
  <c r="I16" i="7"/>
  <c r="I8" i="7"/>
  <c r="I364" i="7"/>
  <c r="I360" i="7"/>
  <c r="I352" i="7"/>
  <c r="I340" i="7"/>
  <c r="I332" i="7"/>
  <c r="I324" i="7"/>
  <c r="I316" i="7"/>
  <c r="I306" i="7"/>
  <c r="I298" i="7"/>
  <c r="I292" i="7"/>
  <c r="I282" i="7"/>
  <c r="I274" i="7"/>
  <c r="I266" i="7"/>
  <c r="I258" i="7"/>
  <c r="I250" i="7"/>
  <c r="I242" i="7"/>
  <c r="I234" i="7"/>
  <c r="I228" i="7"/>
  <c r="I220" i="7"/>
  <c r="I212" i="7"/>
  <c r="I188" i="7"/>
  <c r="I150" i="7"/>
  <c r="I142" i="7"/>
  <c r="I122" i="7"/>
  <c r="I106" i="7"/>
  <c r="I96" i="7"/>
  <c r="I82" i="7"/>
  <c r="I74" i="7"/>
  <c r="I64" i="7"/>
  <c r="I54" i="7"/>
  <c r="I190" i="7"/>
  <c r="I174" i="7"/>
  <c r="I164" i="7"/>
  <c r="I156" i="7"/>
  <c r="I132" i="7"/>
  <c r="I120" i="7"/>
  <c r="I114" i="7"/>
  <c r="I104" i="7"/>
  <c r="I84" i="7"/>
  <c r="I66" i="7"/>
  <c r="I46" i="7"/>
  <c r="I34" i="7"/>
  <c r="I18" i="7"/>
  <c r="I369" i="7"/>
  <c r="I361" i="7"/>
  <c r="I349" i="7"/>
  <c r="I341" i="7"/>
  <c r="I337" i="7"/>
  <c r="I329" i="7"/>
  <c r="I321" i="7"/>
  <c r="I313" i="7"/>
  <c r="I305" i="7"/>
  <c r="I297" i="7"/>
  <c r="I289" i="7"/>
  <c r="I281" i="7"/>
  <c r="I273" i="7"/>
  <c r="I265" i="7"/>
  <c r="I257" i="7"/>
  <c r="I249" i="7"/>
  <c r="I241" i="7"/>
  <c r="I233" i="7"/>
  <c r="I225" i="7"/>
  <c r="I217" i="7"/>
  <c r="I209" i="7"/>
  <c r="I205" i="7"/>
  <c r="I193" i="7"/>
  <c r="I189" i="7"/>
  <c r="I185" i="7"/>
  <c r="I177" i="7"/>
  <c r="I173" i="7"/>
  <c r="I169" i="7"/>
  <c r="I165" i="7"/>
  <c r="I161" i="7"/>
  <c r="I157" i="7"/>
  <c r="I153" i="7"/>
  <c r="I145" i="7"/>
  <c r="I141" i="7"/>
  <c r="I137" i="7"/>
  <c r="I133" i="7"/>
  <c r="I129" i="7"/>
  <c r="I125" i="7"/>
  <c r="I113" i="7"/>
  <c r="I109" i="7"/>
  <c r="I105" i="7"/>
  <c r="I101" i="7"/>
  <c r="I97" i="7"/>
  <c r="I77" i="7"/>
  <c r="I73" i="7"/>
  <c r="I69" i="7"/>
  <c r="I65" i="7"/>
  <c r="I41" i="7"/>
  <c r="I37" i="7"/>
  <c r="I33" i="7"/>
  <c r="I17" i="7"/>
  <c r="I9" i="7"/>
  <c r="I102" i="7"/>
  <c r="I58" i="7"/>
  <c r="I40" i="7"/>
  <c r="I32" i="7"/>
  <c r="I22" i="7"/>
  <c r="I370" i="7"/>
  <c r="I362" i="7"/>
  <c r="I358" i="7"/>
  <c r="I350" i="7"/>
  <c r="I346" i="7"/>
  <c r="I342" i="7"/>
  <c r="I338" i="7"/>
  <c r="I330" i="7"/>
  <c r="I322" i="7"/>
  <c r="I314" i="7"/>
  <c r="I308" i="7"/>
  <c r="I300" i="7"/>
  <c r="I290" i="7"/>
  <c r="I284" i="7"/>
  <c r="I278" i="7"/>
  <c r="I198" i="7"/>
  <c r="I184" i="7"/>
  <c r="I146" i="7"/>
  <c r="I138" i="7"/>
  <c r="I128" i="7"/>
  <c r="I92" i="7"/>
  <c r="I78" i="7"/>
  <c r="I60" i="7"/>
  <c r="I50" i="7"/>
  <c r="I38" i="7"/>
  <c r="I14" i="7"/>
  <c r="V139" i="17" l="1"/>
  <c r="V139" i="16"/>
  <c r="M138" i="7"/>
  <c r="V359" i="17"/>
  <c r="V359" i="16"/>
  <c r="M358" i="7"/>
  <c r="V42" i="17"/>
  <c r="V42" i="16"/>
  <c r="M41" i="7"/>
  <c r="V154" i="17"/>
  <c r="V154" i="16"/>
  <c r="M153" i="7"/>
  <c r="V250" i="17"/>
  <c r="V250" i="16"/>
  <c r="M249" i="7"/>
  <c r="V19" i="17"/>
  <c r="V19" i="16"/>
  <c r="M18" i="7"/>
  <c r="V191" i="17"/>
  <c r="V191" i="16"/>
  <c r="M190" i="7"/>
  <c r="V251" i="17"/>
  <c r="V251" i="16"/>
  <c r="M250" i="7"/>
  <c r="V17" i="17"/>
  <c r="V17" i="16"/>
  <c r="M16" i="7"/>
  <c r="V112" i="17"/>
  <c r="V112" i="16"/>
  <c r="M111" i="7"/>
  <c r="V188" i="17"/>
  <c r="V188" i="16"/>
  <c r="M187" i="7"/>
  <c r="V268" i="17"/>
  <c r="V268" i="16"/>
  <c r="M267" i="7"/>
  <c r="V53" i="17"/>
  <c r="V53" i="16"/>
  <c r="M52" i="7"/>
  <c r="V253" i="17"/>
  <c r="V253" i="16"/>
  <c r="M252" i="7"/>
  <c r="V82" i="17"/>
  <c r="V82" i="16"/>
  <c r="M81" i="7"/>
  <c r="V262" i="17"/>
  <c r="V262" i="16"/>
  <c r="M261" i="7"/>
  <c r="V366" i="17"/>
  <c r="V366" i="16"/>
  <c r="M365" i="7"/>
  <c r="V208" i="17"/>
  <c r="V208" i="16"/>
  <c r="M207" i="7"/>
  <c r="V197" i="17"/>
  <c r="V197" i="16"/>
  <c r="M196" i="7"/>
  <c r="V108" i="17"/>
  <c r="V108" i="16"/>
  <c r="M107" i="7"/>
  <c r="V336" i="17"/>
  <c r="V336" i="16"/>
  <c r="M335" i="7"/>
  <c r="V273" i="17"/>
  <c r="V273" i="16"/>
  <c r="M272" i="7"/>
  <c r="V255" i="17"/>
  <c r="V255" i="16"/>
  <c r="M254" i="7"/>
  <c r="V241" i="17"/>
  <c r="V241" i="16"/>
  <c r="M240" i="7"/>
  <c r="V15" i="17"/>
  <c r="V15" i="16"/>
  <c r="M14" i="7"/>
  <c r="V315" i="17"/>
  <c r="V315" i="16"/>
  <c r="M314" i="7"/>
  <c r="V41" i="17"/>
  <c r="V41" i="16"/>
  <c r="M40" i="7"/>
  <c r="V114" i="17"/>
  <c r="V114" i="16"/>
  <c r="M113" i="7"/>
  <c r="V174" i="17"/>
  <c r="V174" i="16"/>
  <c r="M173" i="7"/>
  <c r="V322" i="17"/>
  <c r="V322" i="16"/>
  <c r="M321" i="7"/>
  <c r="V157" i="17"/>
  <c r="V157" i="16"/>
  <c r="M156" i="7"/>
  <c r="V151" i="17"/>
  <c r="V151" i="16"/>
  <c r="M150" i="7"/>
  <c r="V325" i="17"/>
  <c r="V325" i="16"/>
  <c r="M324" i="7"/>
  <c r="V60" i="17"/>
  <c r="V60" i="16"/>
  <c r="M59" i="7"/>
  <c r="V156" i="17"/>
  <c r="V156" i="16"/>
  <c r="M155" i="7"/>
  <c r="V244" i="17"/>
  <c r="V244" i="16"/>
  <c r="M243" i="7"/>
  <c r="V11" i="17"/>
  <c r="V11" i="16"/>
  <c r="M10" i="7"/>
  <c r="V195" i="17"/>
  <c r="V195" i="16"/>
  <c r="M194" i="7"/>
  <c r="V26" i="17"/>
  <c r="V26" i="16"/>
  <c r="M25" i="7"/>
  <c r="V202" i="17"/>
  <c r="V202" i="16"/>
  <c r="M201" i="7"/>
  <c r="V310" i="17"/>
  <c r="V310" i="16"/>
  <c r="M309" i="7"/>
  <c r="V37" i="17"/>
  <c r="V37" i="16"/>
  <c r="M36" i="7"/>
  <c r="V203" i="17"/>
  <c r="V203" i="16"/>
  <c r="M202" i="7"/>
  <c r="V80" i="17"/>
  <c r="V80" i="16"/>
  <c r="M79" i="7"/>
  <c r="V312" i="17"/>
  <c r="V312" i="16"/>
  <c r="M311" i="7"/>
  <c r="V131" i="17"/>
  <c r="V131" i="16"/>
  <c r="M130" i="7"/>
  <c r="V155" i="17"/>
  <c r="V155" i="16"/>
  <c r="M154" i="7"/>
  <c r="V231" i="17"/>
  <c r="V231" i="16"/>
  <c r="M230" i="7"/>
  <c r="V319" i="17"/>
  <c r="V319" i="16"/>
  <c r="M318" i="7"/>
  <c r="V215" i="17"/>
  <c r="V215" i="16"/>
  <c r="M214" i="7"/>
  <c r="V61" i="17"/>
  <c r="V61" i="16"/>
  <c r="M60" i="7"/>
  <c r="V339" i="17"/>
  <c r="V339" i="16"/>
  <c r="M338" i="7"/>
  <c r="V10" i="17"/>
  <c r="V10" i="16"/>
  <c r="M9" i="7"/>
  <c r="V134" i="17"/>
  <c r="V134" i="16"/>
  <c r="M133" i="7"/>
  <c r="V218" i="17"/>
  <c r="V218" i="16"/>
  <c r="M217" i="7"/>
  <c r="V342" i="17"/>
  <c r="V342" i="16"/>
  <c r="M341" i="7"/>
  <c r="V133" i="17"/>
  <c r="V133" i="16"/>
  <c r="M132" i="7"/>
  <c r="V221" i="17"/>
  <c r="V221" i="16"/>
  <c r="M220" i="7"/>
  <c r="V353" i="17"/>
  <c r="V353" i="16"/>
  <c r="M352" i="7"/>
  <c r="V84" i="17"/>
  <c r="V84" i="16"/>
  <c r="M83" i="7"/>
  <c r="V172" i="17"/>
  <c r="V172" i="16"/>
  <c r="M171" i="7"/>
  <c r="V236" i="17"/>
  <c r="V236" i="16"/>
  <c r="M235" i="7"/>
  <c r="V364" i="17"/>
  <c r="V364" i="16"/>
  <c r="M363" i="7"/>
  <c r="V219" i="17"/>
  <c r="V219" i="16"/>
  <c r="M218" i="7"/>
  <c r="V50" i="17"/>
  <c r="V50" i="16"/>
  <c r="M49" i="7"/>
  <c r="V230" i="17"/>
  <c r="V230" i="16"/>
  <c r="M229" i="7"/>
  <c r="V334" i="17"/>
  <c r="V334" i="16"/>
  <c r="M333" i="7"/>
  <c r="V337" i="17"/>
  <c r="V337" i="16"/>
  <c r="M336" i="7"/>
  <c r="V159" i="17"/>
  <c r="V159" i="16"/>
  <c r="M158" i="7"/>
  <c r="V76" i="17"/>
  <c r="V76" i="16"/>
  <c r="M75" i="7"/>
  <c r="V304" i="17"/>
  <c r="V304" i="16"/>
  <c r="M303" i="7"/>
  <c r="V187" i="17"/>
  <c r="V187" i="16"/>
  <c r="M186" i="7"/>
  <c r="V225" i="17"/>
  <c r="V225" i="16"/>
  <c r="M224" i="7"/>
  <c r="V207" i="17"/>
  <c r="V207" i="16"/>
  <c r="M206" i="7"/>
  <c r="V79" i="17"/>
  <c r="V79" i="16"/>
  <c r="M78" i="7"/>
  <c r="V343" i="17"/>
  <c r="V343" i="16"/>
  <c r="M342" i="7"/>
  <c r="V18" i="17"/>
  <c r="V18" i="16"/>
  <c r="M17" i="7"/>
  <c r="V138" i="17"/>
  <c r="V138" i="16"/>
  <c r="M137" i="7"/>
  <c r="V226" i="17"/>
  <c r="V226" i="16"/>
  <c r="M225" i="7"/>
  <c r="V350" i="17"/>
  <c r="V350" i="16"/>
  <c r="M349" i="7"/>
  <c r="V55" i="17"/>
  <c r="V55" i="16"/>
  <c r="M54" i="7"/>
  <c r="V259" i="17"/>
  <c r="V259" i="16"/>
  <c r="M258" i="7"/>
  <c r="V361" i="17"/>
  <c r="V361" i="16"/>
  <c r="M360" i="7"/>
  <c r="V92" i="17"/>
  <c r="V92" i="16"/>
  <c r="M91" i="7"/>
  <c r="V176" i="17"/>
  <c r="V176" i="16"/>
  <c r="M175" i="7"/>
  <c r="V276" i="17"/>
  <c r="V276" i="16"/>
  <c r="M275" i="7"/>
  <c r="V71" i="17"/>
  <c r="V71" i="16"/>
  <c r="M70" i="7"/>
  <c r="V227" i="17"/>
  <c r="V227" i="16"/>
  <c r="M226" i="7"/>
  <c r="V54" i="17"/>
  <c r="V54" i="16"/>
  <c r="M53" i="7"/>
  <c r="V238" i="17"/>
  <c r="V238" i="16"/>
  <c r="M237" i="7"/>
  <c r="V346" i="17"/>
  <c r="V346" i="16"/>
  <c r="M345" i="7"/>
  <c r="V345" i="17"/>
  <c r="V345" i="16"/>
  <c r="M344" i="7"/>
  <c r="V91" i="17"/>
  <c r="V91" i="16"/>
  <c r="M90" i="7"/>
  <c r="V44" i="17"/>
  <c r="V44" i="16"/>
  <c r="M43" i="7"/>
  <c r="V248" i="17"/>
  <c r="V248" i="16"/>
  <c r="M247" i="7"/>
  <c r="V63" i="17"/>
  <c r="V63" i="16"/>
  <c r="M62" i="7"/>
  <c r="V313" i="17"/>
  <c r="V313" i="16"/>
  <c r="M312" i="7"/>
  <c r="V193" i="17"/>
  <c r="V193" i="16"/>
  <c r="M192" i="7"/>
  <c r="V263" i="17"/>
  <c r="V263" i="16"/>
  <c r="M262" i="7"/>
  <c r="V149" i="17"/>
  <c r="V149" i="16"/>
  <c r="M148" i="7"/>
  <c r="V249" i="17"/>
  <c r="V249" i="16"/>
  <c r="M248" i="7"/>
  <c r="V93" i="17"/>
  <c r="V93" i="16"/>
  <c r="M92" i="7"/>
  <c r="V347" i="17"/>
  <c r="V347" i="16"/>
  <c r="M346" i="7"/>
  <c r="V70" i="17"/>
  <c r="V70" i="16"/>
  <c r="M69" i="7"/>
  <c r="V162" i="17"/>
  <c r="V162" i="16"/>
  <c r="M161" i="7"/>
  <c r="V266" i="17"/>
  <c r="V266" i="16"/>
  <c r="M265" i="7"/>
  <c r="V47" i="17"/>
  <c r="V47" i="16"/>
  <c r="M46" i="7"/>
  <c r="V107" i="17"/>
  <c r="V107" i="16"/>
  <c r="M106" i="7"/>
  <c r="V267" i="17"/>
  <c r="V267" i="16"/>
  <c r="M266" i="7"/>
  <c r="V73" i="17"/>
  <c r="V73" i="16"/>
  <c r="M72" i="7"/>
  <c r="V124" i="17"/>
  <c r="V124" i="16"/>
  <c r="M123" i="7"/>
  <c r="V196" i="17"/>
  <c r="V196" i="16"/>
  <c r="M195" i="7"/>
  <c r="V316" i="17"/>
  <c r="V316" i="16"/>
  <c r="M315" i="7"/>
  <c r="V99" i="17"/>
  <c r="V99" i="16"/>
  <c r="M98" i="7"/>
  <c r="V269" i="17"/>
  <c r="V269" i="16"/>
  <c r="M268" i="7"/>
  <c r="V90" i="17"/>
  <c r="V90" i="16"/>
  <c r="M89" i="7"/>
  <c r="V278" i="17"/>
  <c r="V278" i="16"/>
  <c r="M277" i="7"/>
  <c r="V77" i="17"/>
  <c r="V77" i="16"/>
  <c r="M76" i="7"/>
  <c r="V113" i="17"/>
  <c r="V113" i="16"/>
  <c r="M112" i="7"/>
  <c r="V56" i="17"/>
  <c r="V56" i="16"/>
  <c r="M55" i="7"/>
  <c r="V320" i="17"/>
  <c r="V320" i="16"/>
  <c r="M319" i="7"/>
  <c r="V101" i="17"/>
  <c r="V101" i="16"/>
  <c r="M100" i="7"/>
  <c r="V223" i="17"/>
  <c r="V223" i="16"/>
  <c r="M222" i="7"/>
  <c r="V279" i="17"/>
  <c r="V279" i="16"/>
  <c r="M278" i="7"/>
  <c r="V309" i="17"/>
  <c r="V309" i="16"/>
  <c r="M308" i="7"/>
  <c r="V33" i="17"/>
  <c r="V33" i="16"/>
  <c r="M32" i="7"/>
  <c r="V78" i="17"/>
  <c r="V78" i="16"/>
  <c r="M77" i="7"/>
  <c r="V110" i="17"/>
  <c r="V110" i="16"/>
  <c r="M109" i="7"/>
  <c r="V170" i="17"/>
  <c r="V170" i="16"/>
  <c r="M169" i="7"/>
  <c r="V190" i="17"/>
  <c r="V190" i="16"/>
  <c r="M189" i="7"/>
  <c r="V282" i="17"/>
  <c r="V282" i="16"/>
  <c r="M281" i="7"/>
  <c r="V314" i="17"/>
  <c r="V314" i="16"/>
  <c r="M313" i="7"/>
  <c r="V85" i="17"/>
  <c r="V85" i="16"/>
  <c r="M84" i="7"/>
  <c r="V83" i="17"/>
  <c r="V83" i="16"/>
  <c r="M82" i="7"/>
  <c r="V143" i="17"/>
  <c r="V143" i="16"/>
  <c r="M142" i="7"/>
  <c r="V283" i="17"/>
  <c r="V283" i="16"/>
  <c r="M282" i="7"/>
  <c r="V317" i="17"/>
  <c r="V317" i="16"/>
  <c r="M316" i="7"/>
  <c r="V28" i="17"/>
  <c r="V28" i="16"/>
  <c r="M27" i="7"/>
  <c r="V52" i="17"/>
  <c r="V52" i="16"/>
  <c r="M51" i="7"/>
  <c r="V132" i="17"/>
  <c r="V132" i="16"/>
  <c r="M131" i="7"/>
  <c r="V152" i="17"/>
  <c r="V152" i="16"/>
  <c r="M151" i="7"/>
  <c r="V204" i="17"/>
  <c r="V204" i="16"/>
  <c r="M203" i="7"/>
  <c r="V300" i="17"/>
  <c r="V300" i="16"/>
  <c r="M299" i="7"/>
  <c r="V332" i="17"/>
  <c r="V332" i="16"/>
  <c r="M331" i="7"/>
  <c r="V125" i="17"/>
  <c r="V125" i="16"/>
  <c r="M124" i="7"/>
  <c r="V179" i="17"/>
  <c r="V179" i="16"/>
  <c r="M178" i="7"/>
  <c r="V25" i="17"/>
  <c r="V25" i="16"/>
  <c r="M24" i="7"/>
  <c r="V22" i="17"/>
  <c r="V22" i="16"/>
  <c r="M21" i="7"/>
  <c r="V118" i="17"/>
  <c r="V118" i="16"/>
  <c r="M117" i="7"/>
  <c r="V198" i="17"/>
  <c r="V198" i="16"/>
  <c r="M197" i="7"/>
  <c r="V327" i="17"/>
  <c r="V327" i="16"/>
  <c r="M326" i="7"/>
  <c r="V302" i="17"/>
  <c r="V302" i="16"/>
  <c r="M301" i="7"/>
  <c r="V21" i="17"/>
  <c r="V21" i="16"/>
  <c r="M20" i="7"/>
  <c r="V369" i="17"/>
  <c r="V369" i="16"/>
  <c r="M368" i="7"/>
  <c r="V45" i="17"/>
  <c r="V45" i="16"/>
  <c r="M44" i="7"/>
  <c r="V311" i="17"/>
  <c r="V311" i="16"/>
  <c r="M310" i="7"/>
  <c r="V36" i="17"/>
  <c r="V36" i="16"/>
  <c r="M35" i="7"/>
  <c r="V240" i="17"/>
  <c r="V240" i="16"/>
  <c r="M239" i="7"/>
  <c r="V272" i="17"/>
  <c r="V272" i="16"/>
  <c r="M271" i="7"/>
  <c r="V368" i="17"/>
  <c r="V368" i="16"/>
  <c r="M367" i="7"/>
  <c r="V111" i="17"/>
  <c r="V111" i="16"/>
  <c r="M110" i="7"/>
  <c r="V117" i="17"/>
  <c r="V117" i="16"/>
  <c r="M116" i="7"/>
  <c r="V177" i="17"/>
  <c r="V177" i="16"/>
  <c r="M176" i="7"/>
  <c r="V305" i="17"/>
  <c r="V305" i="16"/>
  <c r="M304" i="7"/>
  <c r="V141" i="17"/>
  <c r="V141" i="16"/>
  <c r="M140" i="7"/>
  <c r="V281" i="17"/>
  <c r="V281" i="16"/>
  <c r="M280" i="7"/>
  <c r="V147" i="17"/>
  <c r="V147" i="16"/>
  <c r="M146" i="7"/>
  <c r="V285" i="17"/>
  <c r="V285" i="16"/>
  <c r="M284" i="7"/>
  <c r="V363" i="17"/>
  <c r="V363" i="16"/>
  <c r="M362" i="7"/>
  <c r="V66" i="17"/>
  <c r="V66" i="16"/>
  <c r="M65" i="7"/>
  <c r="V98" i="17"/>
  <c r="V98" i="16"/>
  <c r="M97" i="7"/>
  <c r="V158" i="17"/>
  <c r="V158" i="16"/>
  <c r="M157" i="7"/>
  <c r="V194" i="17"/>
  <c r="V194" i="16"/>
  <c r="M193" i="7"/>
  <c r="V258" i="17"/>
  <c r="V258" i="16"/>
  <c r="M257" i="7"/>
  <c r="V290" i="17"/>
  <c r="V290" i="16"/>
  <c r="M289" i="7"/>
  <c r="V35" i="17"/>
  <c r="V35" i="16"/>
  <c r="M34" i="7"/>
  <c r="V105" i="17"/>
  <c r="V105" i="16"/>
  <c r="M104" i="7"/>
  <c r="V97" i="17"/>
  <c r="V97" i="16"/>
  <c r="M96" i="7"/>
  <c r="V229" i="17"/>
  <c r="V229" i="16"/>
  <c r="M228" i="7"/>
  <c r="V293" i="17"/>
  <c r="V293" i="16"/>
  <c r="M292" i="7"/>
  <c r="V29" i="17"/>
  <c r="V29" i="16"/>
  <c r="M28" i="7"/>
  <c r="V32" i="17"/>
  <c r="V32" i="16"/>
  <c r="M31" i="7"/>
  <c r="V120" i="17"/>
  <c r="V120" i="16"/>
  <c r="M119" i="7"/>
  <c r="V140" i="17"/>
  <c r="V140" i="16"/>
  <c r="M139" i="7"/>
  <c r="V192" i="17"/>
  <c r="V192" i="16"/>
  <c r="M191" i="7"/>
  <c r="V212" i="17"/>
  <c r="V212" i="16"/>
  <c r="M211" i="7"/>
  <c r="V308" i="17"/>
  <c r="V308" i="16"/>
  <c r="M307" i="7"/>
  <c r="V340" i="17"/>
  <c r="V340" i="16"/>
  <c r="M339" i="7"/>
  <c r="V153" i="17"/>
  <c r="V153" i="16"/>
  <c r="M152" i="7"/>
  <c r="V261" i="17"/>
  <c r="V261" i="16"/>
  <c r="M260" i="7"/>
  <c r="V355" i="17"/>
  <c r="V355" i="16"/>
  <c r="M354" i="7"/>
  <c r="V86" i="17"/>
  <c r="V86" i="16"/>
  <c r="M85" i="7"/>
  <c r="V122" i="17"/>
  <c r="V122" i="16"/>
  <c r="M121" i="7"/>
  <c r="V270" i="17"/>
  <c r="V270" i="16"/>
  <c r="M269" i="7"/>
  <c r="V335" i="17"/>
  <c r="V335" i="16"/>
  <c r="M334" i="7"/>
  <c r="V57" i="17"/>
  <c r="V57" i="16"/>
  <c r="M56" i="7"/>
  <c r="V31" i="17"/>
  <c r="V31" i="16"/>
  <c r="M30" i="7"/>
  <c r="V216" i="17"/>
  <c r="V216" i="16"/>
  <c r="M215" i="7"/>
  <c r="V167" i="17"/>
  <c r="V167" i="16"/>
  <c r="M166" i="7"/>
  <c r="V49" i="17"/>
  <c r="V49" i="16"/>
  <c r="M48" i="7"/>
  <c r="V116" i="17"/>
  <c r="V116" i="16"/>
  <c r="M115" i="7"/>
  <c r="V280" i="17"/>
  <c r="V280" i="16"/>
  <c r="M279" i="7"/>
  <c r="V344" i="17"/>
  <c r="V344" i="16"/>
  <c r="M343" i="7"/>
  <c r="V87" i="17"/>
  <c r="V87" i="16"/>
  <c r="M86" i="7"/>
  <c r="V39" i="17"/>
  <c r="V39" i="16"/>
  <c r="M38" i="7"/>
  <c r="V185" i="17"/>
  <c r="V185" i="16"/>
  <c r="M184" i="7"/>
  <c r="V291" i="17"/>
  <c r="V291" i="16"/>
  <c r="M290" i="7"/>
  <c r="V323" i="17"/>
  <c r="V323" i="16"/>
  <c r="M322" i="7"/>
  <c r="V371" i="17"/>
  <c r="V371" i="16"/>
  <c r="M370" i="7"/>
  <c r="V59" i="17"/>
  <c r="V59" i="16"/>
  <c r="M58" i="7"/>
  <c r="V34" i="17"/>
  <c r="V34" i="16"/>
  <c r="M33" i="7"/>
  <c r="V102" i="17"/>
  <c r="V102" i="16"/>
  <c r="M101" i="7"/>
  <c r="V126" i="17"/>
  <c r="V126" i="16"/>
  <c r="M125" i="7"/>
  <c r="V142" i="17"/>
  <c r="V142" i="16"/>
  <c r="M141" i="7"/>
  <c r="V178" i="17"/>
  <c r="V178" i="16"/>
  <c r="M177" i="7"/>
  <c r="V206" i="17"/>
  <c r="V206" i="16"/>
  <c r="M205" i="7"/>
  <c r="V234" i="17"/>
  <c r="V234" i="16"/>
  <c r="M233" i="7"/>
  <c r="V298" i="17"/>
  <c r="V298" i="16"/>
  <c r="M297" i="7"/>
  <c r="V330" i="17"/>
  <c r="V330" i="16"/>
  <c r="M329" i="7"/>
  <c r="V362" i="17"/>
  <c r="V362" i="16"/>
  <c r="M361" i="7"/>
  <c r="V115" i="17"/>
  <c r="V115" i="16"/>
  <c r="M114" i="7"/>
  <c r="V165" i="17"/>
  <c r="V165" i="16"/>
  <c r="M164" i="7"/>
  <c r="V65" i="17"/>
  <c r="V65" i="16"/>
  <c r="M64" i="7"/>
  <c r="V189" i="17"/>
  <c r="V189" i="16"/>
  <c r="M188" i="7"/>
  <c r="V235" i="17"/>
  <c r="V235" i="16"/>
  <c r="M234" i="7"/>
  <c r="V299" i="17"/>
  <c r="V299" i="16"/>
  <c r="M298" i="7"/>
  <c r="V333" i="17"/>
  <c r="V333" i="16"/>
  <c r="M332" i="7"/>
  <c r="V365" i="17"/>
  <c r="V365" i="16"/>
  <c r="M364" i="7"/>
  <c r="V40" i="17"/>
  <c r="V40" i="16"/>
  <c r="M39" i="7"/>
  <c r="V64" i="17"/>
  <c r="V64" i="16"/>
  <c r="M63" i="7"/>
  <c r="V96" i="17"/>
  <c r="V96" i="16"/>
  <c r="M95" i="7"/>
  <c r="V144" i="17"/>
  <c r="V144" i="16"/>
  <c r="M143" i="7"/>
  <c r="V160" i="17"/>
  <c r="V160" i="16"/>
  <c r="M159" i="7"/>
  <c r="V180" i="17"/>
  <c r="V180" i="16"/>
  <c r="M179" i="7"/>
  <c r="V220" i="17"/>
  <c r="V220" i="16"/>
  <c r="M219" i="7"/>
  <c r="V252" i="17"/>
  <c r="V252" i="16"/>
  <c r="M251" i="7"/>
  <c r="V284" i="17"/>
  <c r="V284" i="16"/>
  <c r="M283" i="7"/>
  <c r="V352" i="17"/>
  <c r="V352" i="16"/>
  <c r="M351" i="7"/>
  <c r="V27" i="17"/>
  <c r="V27" i="16"/>
  <c r="M26" i="7"/>
  <c r="V161" i="17"/>
  <c r="V161" i="16"/>
  <c r="M160" i="7"/>
  <c r="V205" i="17"/>
  <c r="V205" i="16"/>
  <c r="M204" i="7"/>
  <c r="V237" i="17"/>
  <c r="V237" i="16"/>
  <c r="M236" i="7"/>
  <c r="V367" i="17"/>
  <c r="V367" i="16"/>
  <c r="M366" i="7"/>
  <c r="V30" i="17"/>
  <c r="V30" i="16"/>
  <c r="M29" i="7"/>
  <c r="V58" i="17"/>
  <c r="V58" i="16"/>
  <c r="M57" i="7"/>
  <c r="V150" i="17"/>
  <c r="V150" i="16"/>
  <c r="M149" i="7"/>
  <c r="V214" i="17"/>
  <c r="V214" i="16"/>
  <c r="M213" i="7"/>
  <c r="V246" i="17"/>
  <c r="V246" i="16"/>
  <c r="M245" i="7"/>
  <c r="V286" i="17"/>
  <c r="V286" i="16"/>
  <c r="M285" i="7"/>
  <c r="V318" i="17"/>
  <c r="V318" i="16"/>
  <c r="M317" i="7"/>
  <c r="V354" i="17"/>
  <c r="V354" i="16"/>
  <c r="M353" i="7"/>
  <c r="V321" i="17"/>
  <c r="V321" i="16"/>
  <c r="M320" i="7"/>
  <c r="V349" i="17"/>
  <c r="V349" i="16"/>
  <c r="M348" i="7"/>
  <c r="V12" i="17"/>
  <c r="V12" i="16"/>
  <c r="M11" i="7"/>
  <c r="V224" i="17"/>
  <c r="V224" i="16"/>
  <c r="M223" i="7"/>
  <c r="V173" i="17"/>
  <c r="V173" i="16"/>
  <c r="M172" i="7"/>
  <c r="V289" i="17"/>
  <c r="V289" i="16"/>
  <c r="M288" i="7"/>
  <c r="V20" i="17"/>
  <c r="V20" i="16"/>
  <c r="M19" i="7"/>
  <c r="V88" i="17"/>
  <c r="V88" i="16"/>
  <c r="M87" i="7"/>
  <c r="V136" i="17"/>
  <c r="V136" i="16"/>
  <c r="M135" i="7"/>
  <c r="V256" i="17"/>
  <c r="V256" i="16"/>
  <c r="M255" i="7"/>
  <c r="V288" i="17"/>
  <c r="V288" i="16"/>
  <c r="M287" i="7"/>
  <c r="V348" i="17"/>
  <c r="V348" i="16"/>
  <c r="M347" i="7"/>
  <c r="V81" i="17"/>
  <c r="V81" i="16"/>
  <c r="M80" i="7"/>
  <c r="V137" i="17"/>
  <c r="V137" i="16"/>
  <c r="M136" i="7"/>
  <c r="V8" i="17"/>
  <c r="V8" i="16"/>
  <c r="M7" i="7"/>
  <c r="V163" i="17"/>
  <c r="V163" i="16"/>
  <c r="M162" i="7"/>
  <c r="V209" i="17"/>
  <c r="V209" i="16"/>
  <c r="M208" i="7"/>
  <c r="V239" i="17"/>
  <c r="V239" i="16"/>
  <c r="M238" i="7"/>
  <c r="V271" i="17"/>
  <c r="V271" i="16"/>
  <c r="M270" i="7"/>
  <c r="V13" i="17"/>
  <c r="V13" i="16"/>
  <c r="M12" i="7"/>
  <c r="V183" i="17"/>
  <c r="V183" i="16"/>
  <c r="M182" i="7"/>
  <c r="V257" i="17"/>
  <c r="V257" i="16"/>
  <c r="M256" i="7"/>
  <c r="V51" i="17"/>
  <c r="V51" i="16"/>
  <c r="M50" i="7"/>
  <c r="V129" i="17"/>
  <c r="V129" i="16"/>
  <c r="M128" i="7"/>
  <c r="V199" i="17"/>
  <c r="V199" i="16"/>
  <c r="M198" i="7"/>
  <c r="V301" i="17"/>
  <c r="V301" i="16"/>
  <c r="M300" i="7"/>
  <c r="V331" i="17"/>
  <c r="V331" i="16"/>
  <c r="M330" i="7"/>
  <c r="V351" i="17"/>
  <c r="V351" i="16"/>
  <c r="M350" i="7"/>
  <c r="V23" i="17"/>
  <c r="V23" i="16"/>
  <c r="M22" i="7"/>
  <c r="V103" i="17"/>
  <c r="V103" i="16"/>
  <c r="M102" i="7"/>
  <c r="V38" i="17"/>
  <c r="V38" i="16"/>
  <c r="M37" i="7"/>
  <c r="V74" i="17"/>
  <c r="V74" i="16"/>
  <c r="M73" i="7"/>
  <c r="V106" i="17"/>
  <c r="V106" i="16"/>
  <c r="M105" i="7"/>
  <c r="V130" i="17"/>
  <c r="V130" i="16"/>
  <c r="M129" i="7"/>
  <c r="V146" i="17"/>
  <c r="V146" i="16"/>
  <c r="M145" i="7"/>
  <c r="V166" i="17"/>
  <c r="V166" i="16"/>
  <c r="M165" i="7"/>
  <c r="V186" i="17"/>
  <c r="V186" i="16"/>
  <c r="M185" i="7"/>
  <c r="V210" i="17"/>
  <c r="V210" i="16"/>
  <c r="M209" i="7"/>
  <c r="V242" i="17"/>
  <c r="V242" i="16"/>
  <c r="M241" i="7"/>
  <c r="V274" i="17"/>
  <c r="V274" i="16"/>
  <c r="M273" i="7"/>
  <c r="V306" i="17"/>
  <c r="V306" i="16"/>
  <c r="M305" i="7"/>
  <c r="V338" i="17"/>
  <c r="V338" i="16"/>
  <c r="M337" i="7"/>
  <c r="V370" i="17"/>
  <c r="V370" i="16"/>
  <c r="M369" i="7"/>
  <c r="V67" i="17"/>
  <c r="V67" i="16"/>
  <c r="M66" i="7"/>
  <c r="V121" i="17"/>
  <c r="V121" i="16"/>
  <c r="M120" i="7"/>
  <c r="V175" i="17"/>
  <c r="V175" i="16"/>
  <c r="M174" i="7"/>
  <c r="V75" i="17"/>
  <c r="V75" i="16"/>
  <c r="M74" i="7"/>
  <c r="V123" i="17"/>
  <c r="V123" i="16"/>
  <c r="M122" i="7"/>
  <c r="V213" i="17"/>
  <c r="V213" i="16"/>
  <c r="M212" i="7"/>
  <c r="V243" i="17"/>
  <c r="V243" i="16"/>
  <c r="M242" i="7"/>
  <c r="V275" i="17"/>
  <c r="V275" i="16"/>
  <c r="M274" i="7"/>
  <c r="V307" i="17"/>
  <c r="V307" i="16"/>
  <c r="M306" i="7"/>
  <c r="V341" i="17"/>
  <c r="V341" i="16"/>
  <c r="M340" i="7"/>
  <c r="V9" i="17"/>
  <c r="V9" i="16"/>
  <c r="M8" i="7"/>
  <c r="V16" i="17"/>
  <c r="V16" i="16"/>
  <c r="M15" i="7"/>
  <c r="V48" i="17"/>
  <c r="V48" i="16"/>
  <c r="M47" i="7"/>
  <c r="V72" i="17"/>
  <c r="V72" i="16"/>
  <c r="M71" i="7"/>
  <c r="V104" i="17"/>
  <c r="V104" i="16"/>
  <c r="M103" i="7"/>
  <c r="V128" i="17"/>
  <c r="V128" i="16"/>
  <c r="M127" i="7"/>
  <c r="V148" i="17"/>
  <c r="V148" i="16"/>
  <c r="M147" i="7"/>
  <c r="V164" i="17"/>
  <c r="V164" i="16"/>
  <c r="M163" i="7"/>
  <c r="V184" i="17"/>
  <c r="V184" i="16"/>
  <c r="M183" i="7"/>
  <c r="V200" i="17"/>
  <c r="V200" i="16"/>
  <c r="M199" i="7"/>
  <c r="V228" i="17"/>
  <c r="V228" i="16"/>
  <c r="M227" i="7"/>
  <c r="V260" i="17"/>
  <c r="V260" i="16"/>
  <c r="M259" i="7"/>
  <c r="V292" i="17"/>
  <c r="V292" i="16"/>
  <c r="M291" i="7"/>
  <c r="V324" i="17"/>
  <c r="V324" i="16"/>
  <c r="M323" i="7"/>
  <c r="V360" i="17"/>
  <c r="V360" i="16"/>
  <c r="M359" i="7"/>
  <c r="V43" i="17"/>
  <c r="V43" i="16"/>
  <c r="M42" i="7"/>
  <c r="V119" i="17"/>
  <c r="V119" i="16"/>
  <c r="M118" i="7"/>
  <c r="V171" i="17"/>
  <c r="V171" i="16"/>
  <c r="M170" i="7"/>
  <c r="V211" i="17"/>
  <c r="V211" i="16"/>
  <c r="M210" i="7"/>
  <c r="V245" i="17"/>
  <c r="V245" i="16"/>
  <c r="M244" i="7"/>
  <c r="V277" i="17"/>
  <c r="V277" i="16"/>
  <c r="M276" i="7"/>
  <c r="V14" i="17"/>
  <c r="V14" i="16"/>
  <c r="M13" i="7"/>
  <c r="V46" i="17"/>
  <c r="V46" i="16"/>
  <c r="M45" i="7"/>
  <c r="V62" i="17"/>
  <c r="V62" i="16"/>
  <c r="M61" i="7"/>
  <c r="V94" i="17"/>
  <c r="V94" i="16"/>
  <c r="M93" i="7"/>
  <c r="V182" i="17"/>
  <c r="V182" i="16"/>
  <c r="M181" i="7"/>
  <c r="V222" i="17"/>
  <c r="V222" i="16"/>
  <c r="M221" i="7"/>
  <c r="V254" i="17"/>
  <c r="V254" i="16"/>
  <c r="M253" i="7"/>
  <c r="V295" i="17"/>
  <c r="V295" i="16"/>
  <c r="M294" i="7"/>
  <c r="V294" i="17"/>
  <c r="V294" i="16"/>
  <c r="M293" i="7"/>
  <c r="V326" i="17"/>
  <c r="V326" i="16"/>
  <c r="M325" i="7"/>
  <c r="V358" i="17"/>
  <c r="V358" i="16"/>
  <c r="M357" i="7"/>
  <c r="V95" i="17"/>
  <c r="V95" i="16"/>
  <c r="M94" i="7"/>
  <c r="V329" i="17"/>
  <c r="V329" i="16"/>
  <c r="M328" i="7"/>
  <c r="V357" i="17"/>
  <c r="V357" i="16"/>
  <c r="M356" i="7"/>
  <c r="V168" i="17"/>
  <c r="V168" i="16"/>
  <c r="M167" i="7"/>
  <c r="V287" i="17"/>
  <c r="V287" i="16"/>
  <c r="M286" i="7"/>
  <c r="V135" i="17"/>
  <c r="V135" i="16"/>
  <c r="M134" i="7"/>
  <c r="V181" i="17"/>
  <c r="V181" i="16"/>
  <c r="M180" i="7"/>
  <c r="V303" i="17"/>
  <c r="V303" i="16"/>
  <c r="M302" i="7"/>
  <c r="V24" i="17"/>
  <c r="V24" i="16"/>
  <c r="M23" i="7"/>
  <c r="V68" i="17"/>
  <c r="V68" i="16"/>
  <c r="M67" i="7"/>
  <c r="V100" i="17"/>
  <c r="V100" i="16"/>
  <c r="M99" i="7"/>
  <c r="V232" i="17"/>
  <c r="V232" i="16"/>
  <c r="M231" i="7"/>
  <c r="V264" i="17"/>
  <c r="V264" i="16"/>
  <c r="M263" i="7"/>
  <c r="V296" i="17"/>
  <c r="V296" i="16"/>
  <c r="M295" i="7"/>
  <c r="V328" i="17"/>
  <c r="V328" i="16"/>
  <c r="M327" i="7"/>
  <c r="V356" i="17"/>
  <c r="V356" i="16"/>
  <c r="M355" i="7"/>
  <c r="V89" i="17"/>
  <c r="V89" i="16"/>
  <c r="M88" i="7"/>
  <c r="V145" i="17"/>
  <c r="V145" i="16"/>
  <c r="M144" i="7"/>
  <c r="V69" i="17"/>
  <c r="V69" i="16"/>
  <c r="M68" i="7"/>
  <c r="V109" i="17"/>
  <c r="V109" i="16"/>
  <c r="M108" i="7"/>
  <c r="V169" i="17"/>
  <c r="V169" i="16"/>
  <c r="M168" i="7"/>
  <c r="V217" i="17"/>
  <c r="V217" i="16"/>
  <c r="M216" i="7"/>
  <c r="V247" i="17"/>
  <c r="V247" i="16"/>
  <c r="M246" i="7"/>
  <c r="V297" i="17"/>
  <c r="V297" i="16"/>
  <c r="M296" i="7"/>
  <c r="V127" i="17"/>
  <c r="V127" i="16"/>
  <c r="M126" i="7"/>
  <c r="V201" i="17"/>
  <c r="V201" i="16"/>
  <c r="M200" i="7"/>
  <c r="V233" i="17"/>
  <c r="V233" i="16"/>
  <c r="M232" i="7"/>
  <c r="V265" i="17"/>
  <c r="V265" i="16"/>
  <c r="M264" i="7"/>
  <c r="D51" i="3"/>
  <c r="D18" i="3"/>
  <c r="D19" i="3"/>
  <c r="G6" i="1" l="1"/>
  <c r="G371" i="1" s="1"/>
  <c r="D7" i="4"/>
  <c r="G132" i="1"/>
  <c r="G497" i="1" s="1"/>
  <c r="G138" i="1"/>
  <c r="G503" i="1" s="1"/>
  <c r="G358" i="1"/>
  <c r="G723" i="1" s="1"/>
  <c r="G77" i="1"/>
  <c r="G442" i="1" s="1"/>
  <c r="G169" i="1"/>
  <c r="G534" i="1" s="1"/>
  <c r="G281" i="1"/>
  <c r="G646" i="1" s="1"/>
  <c r="G190" i="1"/>
  <c r="G555" i="1" s="1"/>
  <c r="G27" i="1"/>
  <c r="G392" i="1" s="1"/>
  <c r="G203" i="1"/>
  <c r="G568" i="1" s="1"/>
  <c r="G178" i="1"/>
  <c r="G543" i="1" s="1"/>
  <c r="G197" i="1"/>
  <c r="G562" i="1" s="1"/>
  <c r="G336" i="1"/>
  <c r="G701" i="1" s="1"/>
  <c r="G75" i="1"/>
  <c r="G440" i="1" s="1"/>
  <c r="G186" i="1"/>
  <c r="G551" i="1" s="1"/>
  <c r="G206" i="1"/>
  <c r="G571" i="1" s="1"/>
  <c r="G314" i="1"/>
  <c r="G679" i="1" s="1"/>
  <c r="G137" i="1"/>
  <c r="G502" i="1" s="1"/>
  <c r="G34" i="1"/>
  <c r="G399" i="1" s="1"/>
  <c r="G292" i="1"/>
  <c r="G657" i="1" s="1"/>
  <c r="G139" i="1"/>
  <c r="G504" i="1" s="1"/>
  <c r="G339" i="1"/>
  <c r="G704" i="1" s="1"/>
  <c r="G25" i="1"/>
  <c r="G390" i="1" s="1"/>
  <c r="G309" i="1"/>
  <c r="G674" i="1" s="1"/>
  <c r="G166" i="1"/>
  <c r="G531" i="1" s="1"/>
  <c r="G311" i="1"/>
  <c r="G676" i="1" s="1"/>
  <c r="G230" i="1"/>
  <c r="G595" i="1" s="1"/>
  <c r="G92" i="1"/>
  <c r="G457" i="1" s="1"/>
  <c r="G346" i="1"/>
  <c r="G711" i="1" s="1"/>
  <c r="G69" i="1"/>
  <c r="G434" i="1" s="1"/>
  <c r="G161" i="1"/>
  <c r="G526" i="1" s="1"/>
  <c r="G265" i="1"/>
  <c r="G630" i="1" s="1"/>
  <c r="G46" i="1"/>
  <c r="G411" i="1" s="1"/>
  <c r="G106" i="1"/>
  <c r="G471" i="1" s="1"/>
  <c r="G298" i="1"/>
  <c r="G663" i="1" s="1"/>
  <c r="G39" i="1"/>
  <c r="G404" i="1" s="1"/>
  <c r="G143" i="1"/>
  <c r="G508" i="1" s="1"/>
  <c r="G219" i="1"/>
  <c r="G584" i="1" s="1"/>
  <c r="G351" i="1"/>
  <c r="G716" i="1" s="1"/>
  <c r="G204" i="1"/>
  <c r="G569" i="1" s="1"/>
  <c r="G29" i="1"/>
  <c r="G394" i="1" s="1"/>
  <c r="G213" i="1"/>
  <c r="G578" i="1" s="1"/>
  <c r="G317" i="1"/>
  <c r="G682" i="1" s="1"/>
  <c r="G348" i="1"/>
  <c r="G713" i="1" s="1"/>
  <c r="G172" i="1"/>
  <c r="G537" i="1" s="1"/>
  <c r="G87" i="1"/>
  <c r="G452" i="1" s="1"/>
  <c r="G319" i="1"/>
  <c r="G684" i="1" s="1"/>
  <c r="G7" i="1"/>
  <c r="G372" i="1" s="1"/>
  <c r="G238" i="1"/>
  <c r="G603" i="1" s="1"/>
  <c r="G222" i="1"/>
  <c r="G587" i="1" s="1"/>
  <c r="G316" i="1"/>
  <c r="G681" i="1" s="1"/>
  <c r="G151" i="1"/>
  <c r="G516" i="1" s="1"/>
  <c r="G363" i="1"/>
  <c r="G728" i="1" s="1"/>
  <c r="G49" i="1"/>
  <c r="G414" i="1" s="1"/>
  <c r="G333" i="1"/>
  <c r="G698" i="1" s="1"/>
  <c r="G196" i="1"/>
  <c r="G561" i="1" s="1"/>
  <c r="G335" i="1"/>
  <c r="G700" i="1" s="1"/>
  <c r="G254" i="1"/>
  <c r="G619" i="1" s="1"/>
  <c r="G284" i="1"/>
  <c r="G649" i="1" s="1"/>
  <c r="G113" i="1"/>
  <c r="G478" i="1" s="1"/>
  <c r="G321" i="1"/>
  <c r="G686" i="1" s="1"/>
  <c r="G150" i="1"/>
  <c r="G515" i="1" s="1"/>
  <c r="G59" i="1"/>
  <c r="G424" i="1" s="1"/>
  <c r="G243" i="1"/>
  <c r="G608" i="1" s="1"/>
  <c r="G226" i="1"/>
  <c r="G591" i="1" s="1"/>
  <c r="G237" i="1"/>
  <c r="G602" i="1" s="1"/>
  <c r="G36" i="1"/>
  <c r="G401" i="1" s="1"/>
  <c r="G115" i="1"/>
  <c r="G480" i="1" s="1"/>
  <c r="G86" i="1"/>
  <c r="G451" i="1" s="1"/>
  <c r="G248" i="1"/>
  <c r="G613" i="1" s="1"/>
  <c r="G300" i="1"/>
  <c r="G665" i="1" s="1"/>
  <c r="G102" i="1"/>
  <c r="G467" i="1" s="1"/>
  <c r="G129" i="1"/>
  <c r="G494" i="1" s="1"/>
  <c r="G209" i="1"/>
  <c r="G574" i="1" s="1"/>
  <c r="G337" i="1"/>
  <c r="G702" i="1" s="1"/>
  <c r="G174" i="1"/>
  <c r="G539" i="1" s="1"/>
  <c r="G242" i="1"/>
  <c r="G607" i="1" s="1"/>
  <c r="G8" i="1"/>
  <c r="G373" i="1" s="1"/>
  <c r="G103" i="1"/>
  <c r="G468" i="1" s="1"/>
  <c r="G183" i="1"/>
  <c r="G548" i="1" s="1"/>
  <c r="G291" i="1"/>
  <c r="G656" i="1" s="1"/>
  <c r="G118" i="1"/>
  <c r="G483" i="1" s="1"/>
  <c r="G276" i="1"/>
  <c r="G641" i="1" s="1"/>
  <c r="G93" i="1"/>
  <c r="G458" i="1" s="1"/>
  <c r="G294" i="1"/>
  <c r="G659" i="1" s="1"/>
  <c r="G94" i="1"/>
  <c r="G459" i="1" s="1"/>
  <c r="G286" i="1"/>
  <c r="G651" i="1" s="1"/>
  <c r="G23" i="1"/>
  <c r="G388" i="1" s="1"/>
  <c r="G263" i="1"/>
  <c r="G628" i="1" s="1"/>
  <c r="G88" i="1"/>
  <c r="G453" i="1" s="1"/>
  <c r="G168" i="1"/>
  <c r="G533" i="1" s="1"/>
  <c r="G126" i="1"/>
  <c r="G491" i="1" s="1"/>
  <c r="G308" i="1"/>
  <c r="G673" i="1" s="1"/>
  <c r="G133" i="1"/>
  <c r="G498" i="1" s="1"/>
  <c r="G282" i="1"/>
  <c r="G647" i="1" s="1"/>
  <c r="G21" i="1"/>
  <c r="G386" i="1" s="1"/>
  <c r="G158" i="1"/>
  <c r="G523" i="1" s="1"/>
  <c r="G14" i="1"/>
  <c r="G379" i="1" s="1"/>
  <c r="G225" i="1"/>
  <c r="G590" i="1" s="1"/>
  <c r="G211" i="1"/>
  <c r="G576" i="1" s="1"/>
  <c r="G344" i="1"/>
  <c r="G709" i="1" s="1"/>
  <c r="G312" i="1"/>
  <c r="G677" i="1" s="1"/>
  <c r="G290" i="1"/>
  <c r="G655" i="1" s="1"/>
  <c r="G205" i="1"/>
  <c r="G570" i="1" s="1"/>
  <c r="G234" i="1"/>
  <c r="G599" i="1" s="1"/>
  <c r="G283" i="1"/>
  <c r="G648" i="1" s="1"/>
  <c r="G89" i="1"/>
  <c r="G454" i="1" s="1"/>
  <c r="G223" i="1"/>
  <c r="G588" i="1" s="1"/>
  <c r="G255" i="1"/>
  <c r="G620" i="1" s="1"/>
  <c r="G12" i="1"/>
  <c r="G377" i="1" s="1"/>
  <c r="G51" i="1"/>
  <c r="G416" i="1" s="1"/>
  <c r="G368" i="1"/>
  <c r="G733" i="1" s="1"/>
  <c r="G272" i="1"/>
  <c r="G637" i="1" s="1"/>
  <c r="G104" i="1"/>
  <c r="G469" i="1" s="1"/>
  <c r="G155" i="1"/>
  <c r="G520" i="1" s="1"/>
  <c r="G53" i="1"/>
  <c r="G418" i="1" s="1"/>
  <c r="G343" i="1"/>
  <c r="G708" i="1" s="1"/>
  <c r="G73" i="1"/>
  <c r="G438" i="1" s="1"/>
  <c r="G165" i="1"/>
  <c r="G530" i="1" s="1"/>
  <c r="G306" i="1"/>
  <c r="G671" i="1" s="1"/>
  <c r="G147" i="1"/>
  <c r="G512" i="1" s="1"/>
  <c r="G45" i="1"/>
  <c r="G410" i="1" s="1"/>
  <c r="G356" i="1"/>
  <c r="G721" i="1" s="1"/>
  <c r="G99" i="1"/>
  <c r="G464" i="1" s="1"/>
  <c r="G68" i="1"/>
  <c r="G433" i="1" s="1"/>
  <c r="G84" i="1"/>
  <c r="G449" i="1" s="1"/>
  <c r="G278" i="1"/>
  <c r="G643" i="1" s="1"/>
  <c r="G32" i="1"/>
  <c r="G397" i="1" s="1"/>
  <c r="G109" i="1"/>
  <c r="G474" i="1" s="1"/>
  <c r="G189" i="1"/>
  <c r="G554" i="1" s="1"/>
  <c r="G313" i="1"/>
  <c r="G678" i="1" s="1"/>
  <c r="G220" i="1"/>
  <c r="G585" i="1" s="1"/>
  <c r="G83" i="1"/>
  <c r="G448" i="1" s="1"/>
  <c r="G267" i="1"/>
  <c r="G632" i="1" s="1"/>
  <c r="G252" i="1"/>
  <c r="G617" i="1" s="1"/>
  <c r="G261" i="1"/>
  <c r="G626" i="1" s="1"/>
  <c r="G207" i="1"/>
  <c r="G572" i="1" s="1"/>
  <c r="G239" i="1"/>
  <c r="G604" i="1" s="1"/>
  <c r="G116" i="1"/>
  <c r="G481" i="1" s="1"/>
  <c r="G280" i="1"/>
  <c r="G645" i="1" s="1"/>
  <c r="G362" i="1"/>
  <c r="G727" i="1" s="1"/>
  <c r="G173" i="1"/>
  <c r="G538" i="1" s="1"/>
  <c r="G156" i="1"/>
  <c r="G521" i="1" s="1"/>
  <c r="G360" i="1"/>
  <c r="G725" i="1" s="1"/>
  <c r="G175" i="1"/>
  <c r="G540" i="1" s="1"/>
  <c r="G70" i="1"/>
  <c r="G435" i="1" s="1"/>
  <c r="G85" i="1"/>
  <c r="G450" i="1" s="1"/>
  <c r="G56" i="1"/>
  <c r="G421" i="1" s="1"/>
  <c r="G48" i="1"/>
  <c r="G413" i="1" s="1"/>
  <c r="G62" i="1"/>
  <c r="G427" i="1" s="1"/>
  <c r="G318" i="1"/>
  <c r="G683" i="1" s="1"/>
  <c r="G184" i="1"/>
  <c r="G549" i="1" s="1"/>
  <c r="G370" i="1"/>
  <c r="G735" i="1" s="1"/>
  <c r="G101" i="1"/>
  <c r="G466" i="1" s="1"/>
  <c r="G177" i="1"/>
  <c r="G542" i="1" s="1"/>
  <c r="G297" i="1"/>
  <c r="G662" i="1" s="1"/>
  <c r="G114" i="1"/>
  <c r="G479" i="1" s="1"/>
  <c r="G188" i="1"/>
  <c r="G553" i="1" s="1"/>
  <c r="G332" i="1"/>
  <c r="G697" i="1" s="1"/>
  <c r="G63" i="1"/>
  <c r="G428" i="1" s="1"/>
  <c r="G159" i="1"/>
  <c r="G524" i="1" s="1"/>
  <c r="G251" i="1"/>
  <c r="G616" i="1" s="1"/>
  <c r="G26" i="1"/>
  <c r="G391" i="1" s="1"/>
  <c r="G236" i="1"/>
  <c r="G601" i="1" s="1"/>
  <c r="G57" i="1"/>
  <c r="G422" i="1" s="1"/>
  <c r="G245" i="1"/>
  <c r="G610" i="1" s="1"/>
  <c r="G353" i="1"/>
  <c r="G718" i="1" s="1"/>
  <c r="G11" i="1"/>
  <c r="G376" i="1" s="1"/>
  <c r="G288" i="1"/>
  <c r="G653" i="1" s="1"/>
  <c r="G135" i="1"/>
  <c r="G500" i="1" s="1"/>
  <c r="G347" i="1"/>
  <c r="G712" i="1" s="1"/>
  <c r="G100" i="1"/>
  <c r="G465" i="1" s="1"/>
  <c r="G270" i="1"/>
  <c r="G635" i="1" s="1"/>
  <c r="G256" i="1"/>
  <c r="G621" i="1" s="1"/>
  <c r="G16" i="1"/>
  <c r="G381" i="1" s="1"/>
  <c r="G187" i="1"/>
  <c r="G552" i="1" s="1"/>
  <c r="G124" i="1"/>
  <c r="G489" i="1" s="1"/>
  <c r="G117" i="1"/>
  <c r="G482" i="1" s="1"/>
  <c r="G20" i="1"/>
  <c r="G385" i="1" s="1"/>
  <c r="G35" i="1"/>
  <c r="G400" i="1" s="1"/>
  <c r="G110" i="1"/>
  <c r="G475" i="1" s="1"/>
  <c r="G140" i="1"/>
  <c r="G505" i="1" s="1"/>
  <c r="G342" i="1"/>
  <c r="G707" i="1" s="1"/>
  <c r="G157" i="1"/>
  <c r="G522" i="1" s="1"/>
  <c r="G349" i="1"/>
  <c r="G714" i="1" s="1"/>
  <c r="G258" i="1"/>
  <c r="G623" i="1" s="1"/>
  <c r="G119" i="1"/>
  <c r="G484" i="1" s="1"/>
  <c r="G307" i="1"/>
  <c r="G672" i="1" s="1"/>
  <c r="G354" i="1"/>
  <c r="G719" i="1" s="1"/>
  <c r="G334" i="1"/>
  <c r="G699" i="1" s="1"/>
  <c r="G90" i="1"/>
  <c r="G455" i="1" s="1"/>
  <c r="G279" i="1"/>
  <c r="G644" i="1" s="1"/>
  <c r="G192" i="1"/>
  <c r="G557" i="1" s="1"/>
  <c r="G50" i="1"/>
  <c r="G415" i="1" s="1"/>
  <c r="G330" i="1"/>
  <c r="G695" i="1" s="1"/>
  <c r="G37" i="1"/>
  <c r="G402" i="1" s="1"/>
  <c r="G145" i="1"/>
  <c r="G510" i="1" s="1"/>
  <c r="G241" i="1"/>
  <c r="G606" i="1" s="1"/>
  <c r="G369" i="1"/>
  <c r="G734" i="1" s="1"/>
  <c r="G74" i="1"/>
  <c r="G439" i="1" s="1"/>
  <c r="G274" i="1"/>
  <c r="G639" i="1" s="1"/>
  <c r="G15" i="1"/>
  <c r="G380" i="1" s="1"/>
  <c r="G127" i="1"/>
  <c r="G492" i="1" s="1"/>
  <c r="G199" i="1"/>
  <c r="G564" i="1" s="1"/>
  <c r="G323" i="1"/>
  <c r="G688" i="1" s="1"/>
  <c r="G170" i="1"/>
  <c r="G535" i="1" s="1"/>
  <c r="G13" i="1"/>
  <c r="G378" i="1" s="1"/>
  <c r="G181" i="1"/>
  <c r="G546" i="1" s="1"/>
  <c r="G293" i="1"/>
  <c r="G658" i="1" s="1"/>
  <c r="G328" i="1"/>
  <c r="G693" i="1" s="1"/>
  <c r="G134" i="1"/>
  <c r="G499" i="1" s="1"/>
  <c r="G67" i="1"/>
  <c r="G432" i="1" s="1"/>
  <c r="G295" i="1"/>
  <c r="G660" i="1" s="1"/>
  <c r="G144" i="1"/>
  <c r="G509" i="1" s="1"/>
  <c r="G216" i="1"/>
  <c r="G581" i="1" s="1"/>
  <c r="G200" i="1"/>
  <c r="G565" i="1" s="1"/>
  <c r="G82" i="1"/>
  <c r="G447" i="1" s="1"/>
  <c r="G217" i="1"/>
  <c r="G582" i="1" s="1"/>
  <c r="G131" i="1"/>
  <c r="G496" i="1" s="1"/>
  <c r="G301" i="1"/>
  <c r="G666" i="1" s="1"/>
  <c r="G303" i="1"/>
  <c r="G668" i="1" s="1"/>
  <c r="G17" i="1"/>
  <c r="G382" i="1" s="1"/>
  <c r="G96" i="1"/>
  <c r="G461" i="1" s="1"/>
  <c r="G194" i="1"/>
  <c r="G559" i="1" s="1"/>
  <c r="G201" i="1"/>
  <c r="G566" i="1" s="1"/>
  <c r="G214" i="1"/>
  <c r="G579" i="1" s="1"/>
  <c r="G58" i="1"/>
  <c r="G423" i="1" s="1"/>
  <c r="G329" i="1"/>
  <c r="G694" i="1" s="1"/>
  <c r="G364" i="1"/>
  <c r="G729" i="1" s="1"/>
  <c r="G179" i="1"/>
  <c r="G544" i="1" s="1"/>
  <c r="G268" i="1"/>
  <c r="G633" i="1" s="1"/>
  <c r="G76" i="1"/>
  <c r="G441" i="1" s="1"/>
  <c r="G80" i="1"/>
  <c r="G445" i="1" s="1"/>
  <c r="G142" i="1"/>
  <c r="G507" i="1" s="1"/>
  <c r="G235" i="1"/>
  <c r="G600" i="1" s="1"/>
  <c r="G229" i="1"/>
  <c r="G594" i="1" s="1"/>
  <c r="G240" i="1"/>
  <c r="G605" i="1" s="1"/>
  <c r="G193" i="1"/>
  <c r="G558" i="1" s="1"/>
  <c r="G324" i="1"/>
  <c r="G689" i="1" s="1"/>
  <c r="G345" i="1"/>
  <c r="G710" i="1" s="1"/>
  <c r="G262" i="1"/>
  <c r="G627" i="1" s="1"/>
  <c r="G350" i="1"/>
  <c r="G715" i="1" s="1"/>
  <c r="G273" i="1"/>
  <c r="G638" i="1" s="1"/>
  <c r="G122" i="1"/>
  <c r="G487" i="1" s="1"/>
  <c r="G227" i="1"/>
  <c r="G592" i="1" s="1"/>
  <c r="G210" i="1"/>
  <c r="G575" i="1" s="1"/>
  <c r="G325" i="1"/>
  <c r="G690" i="1" s="1"/>
  <c r="G327" i="1"/>
  <c r="G692" i="1" s="1"/>
  <c r="G246" i="1"/>
  <c r="G611" i="1" s="1"/>
  <c r="G9" i="1"/>
  <c r="G374" i="1" s="1"/>
  <c r="G341" i="1"/>
  <c r="G706" i="1" s="1"/>
  <c r="G331" i="1"/>
  <c r="G696" i="1" s="1"/>
  <c r="G224" i="1"/>
  <c r="G589" i="1" s="1"/>
  <c r="G31" i="1"/>
  <c r="G396" i="1" s="1"/>
  <c r="G79" i="1"/>
  <c r="G444" i="1" s="1"/>
  <c r="G125" i="1"/>
  <c r="G490" i="1" s="1"/>
  <c r="G164" i="1"/>
  <c r="G529" i="1" s="1"/>
  <c r="G95" i="1"/>
  <c r="G460" i="1" s="1"/>
  <c r="G98" i="1"/>
  <c r="G463" i="1" s="1"/>
  <c r="G277" i="1"/>
  <c r="G642" i="1" s="1"/>
  <c r="G19" i="1"/>
  <c r="G384" i="1" s="1"/>
  <c r="G162" i="1"/>
  <c r="G527" i="1" s="1"/>
  <c r="G218" i="1"/>
  <c r="G583" i="1" s="1"/>
  <c r="G107" i="1"/>
  <c r="G472" i="1" s="1"/>
  <c r="G40" i="1"/>
  <c r="G405" i="1" s="1"/>
  <c r="G10" i="1"/>
  <c r="G375" i="1" s="1"/>
  <c r="G202" i="1"/>
  <c r="G567" i="1" s="1"/>
  <c r="G128" i="1"/>
  <c r="G493" i="1" s="1"/>
  <c r="G66" i="1"/>
  <c r="G431" i="1" s="1"/>
  <c r="G47" i="1"/>
  <c r="G412" i="1" s="1"/>
  <c r="G359" i="1"/>
  <c r="G724" i="1" s="1"/>
  <c r="G221" i="1"/>
  <c r="G586" i="1" s="1"/>
  <c r="G180" i="1"/>
  <c r="G545" i="1" s="1"/>
  <c r="G232" i="1"/>
  <c r="G597" i="1" s="1"/>
  <c r="G60" i="1"/>
  <c r="G425" i="1" s="1"/>
  <c r="G338" i="1"/>
  <c r="G703" i="1" s="1"/>
  <c r="G41" i="1"/>
  <c r="G406" i="1" s="1"/>
  <c r="G153" i="1"/>
  <c r="G518" i="1" s="1"/>
  <c r="G249" i="1"/>
  <c r="G614" i="1" s="1"/>
  <c r="G18" i="1"/>
  <c r="G383" i="1" s="1"/>
  <c r="G352" i="1"/>
  <c r="G717" i="1" s="1"/>
  <c r="G171" i="1"/>
  <c r="G536" i="1" s="1"/>
  <c r="G52" i="1"/>
  <c r="G417" i="1" s="1"/>
  <c r="G81" i="1"/>
  <c r="G446" i="1" s="1"/>
  <c r="G365" i="1"/>
  <c r="G730" i="1" s="1"/>
  <c r="G310" i="1"/>
  <c r="G675" i="1" s="1"/>
  <c r="G367" i="1"/>
  <c r="G732" i="1" s="1"/>
  <c r="G304" i="1"/>
  <c r="G669" i="1" s="1"/>
  <c r="G146" i="1"/>
  <c r="G511" i="1" s="1"/>
  <c r="G97" i="1"/>
  <c r="G462" i="1" s="1"/>
  <c r="G289" i="1"/>
  <c r="G654" i="1" s="1"/>
  <c r="G228" i="1"/>
  <c r="G593" i="1" s="1"/>
  <c r="G91" i="1"/>
  <c r="G456" i="1" s="1"/>
  <c r="G275" i="1"/>
  <c r="G640" i="1" s="1"/>
  <c r="G260" i="1"/>
  <c r="G625" i="1" s="1"/>
  <c r="G269" i="1"/>
  <c r="G634" i="1" s="1"/>
  <c r="G215" i="1"/>
  <c r="G580" i="1" s="1"/>
  <c r="G247" i="1"/>
  <c r="G612" i="1" s="1"/>
  <c r="G154" i="1"/>
  <c r="G519" i="1" s="1"/>
  <c r="G38" i="1"/>
  <c r="G403" i="1" s="1"/>
  <c r="G322" i="1"/>
  <c r="G687" i="1" s="1"/>
  <c r="G33" i="1"/>
  <c r="G398" i="1" s="1"/>
  <c r="G141" i="1"/>
  <c r="G506" i="1" s="1"/>
  <c r="G233" i="1"/>
  <c r="G598" i="1" s="1"/>
  <c r="G361" i="1"/>
  <c r="G726" i="1" s="1"/>
  <c r="G64" i="1"/>
  <c r="G429" i="1" s="1"/>
  <c r="G266" i="1"/>
  <c r="G631" i="1" s="1"/>
  <c r="G72" i="1"/>
  <c r="G437" i="1" s="1"/>
  <c r="G123" i="1"/>
  <c r="G488" i="1" s="1"/>
  <c r="G195" i="1"/>
  <c r="G560" i="1" s="1"/>
  <c r="G315" i="1"/>
  <c r="G680" i="1" s="1"/>
  <c r="G160" i="1"/>
  <c r="G525" i="1" s="1"/>
  <c r="G366" i="1"/>
  <c r="G731" i="1" s="1"/>
  <c r="G149" i="1"/>
  <c r="G514" i="1" s="1"/>
  <c r="G285" i="1"/>
  <c r="G650" i="1" s="1"/>
  <c r="G320" i="1"/>
  <c r="G685" i="1" s="1"/>
  <c r="G112" i="1"/>
  <c r="G477" i="1" s="1"/>
  <c r="G55" i="1"/>
  <c r="G420" i="1" s="1"/>
  <c r="G287" i="1"/>
  <c r="G652" i="1" s="1"/>
  <c r="G136" i="1"/>
  <c r="G501" i="1" s="1"/>
  <c r="G208" i="1"/>
  <c r="G573" i="1" s="1"/>
  <c r="G182" i="1"/>
  <c r="G547" i="1" s="1"/>
  <c r="G250" i="1"/>
  <c r="G615" i="1" s="1"/>
  <c r="G111" i="1"/>
  <c r="G476" i="1" s="1"/>
  <c r="G299" i="1"/>
  <c r="G664" i="1" s="1"/>
  <c r="G24" i="1"/>
  <c r="G389" i="1" s="1"/>
  <c r="G326" i="1"/>
  <c r="G691" i="1" s="1"/>
  <c r="G44" i="1"/>
  <c r="G409" i="1" s="1"/>
  <c r="G271" i="1"/>
  <c r="G636" i="1" s="1"/>
  <c r="G176" i="1"/>
  <c r="G541" i="1" s="1"/>
  <c r="G78" i="1"/>
  <c r="G443" i="1" s="1"/>
  <c r="G65" i="1"/>
  <c r="G430" i="1" s="1"/>
  <c r="G257" i="1"/>
  <c r="G622" i="1" s="1"/>
  <c r="G54" i="1"/>
  <c r="G419" i="1" s="1"/>
  <c r="G28" i="1"/>
  <c r="G393" i="1" s="1"/>
  <c r="G191" i="1"/>
  <c r="G556" i="1" s="1"/>
  <c r="G152" i="1"/>
  <c r="G517" i="1" s="1"/>
  <c r="G121" i="1"/>
  <c r="G486" i="1" s="1"/>
  <c r="G30" i="1"/>
  <c r="G395" i="1" s="1"/>
  <c r="G43" i="1"/>
  <c r="G408" i="1" s="1"/>
  <c r="G130" i="1"/>
  <c r="G495" i="1" s="1"/>
  <c r="G148" i="1"/>
  <c r="G513" i="1" s="1"/>
  <c r="G198" i="1"/>
  <c r="G563" i="1" s="1"/>
  <c r="G22" i="1"/>
  <c r="G387" i="1" s="1"/>
  <c r="G105" i="1"/>
  <c r="G470" i="1" s="1"/>
  <c r="G185" i="1"/>
  <c r="G550" i="1" s="1"/>
  <c r="G305" i="1"/>
  <c r="G670" i="1" s="1"/>
  <c r="G120" i="1"/>
  <c r="G485" i="1" s="1"/>
  <c r="G212" i="1"/>
  <c r="G577" i="1" s="1"/>
  <c r="G340" i="1"/>
  <c r="G705" i="1" s="1"/>
  <c r="G71" i="1"/>
  <c r="G436" i="1" s="1"/>
  <c r="G163" i="1"/>
  <c r="G528" i="1" s="1"/>
  <c r="G259" i="1"/>
  <c r="G624" i="1" s="1"/>
  <c r="G42" i="1"/>
  <c r="G407" i="1" s="1"/>
  <c r="G244" i="1"/>
  <c r="G609" i="1" s="1"/>
  <c r="G61" i="1"/>
  <c r="G426" i="1" s="1"/>
  <c r="G253" i="1"/>
  <c r="G618" i="1" s="1"/>
  <c r="G357" i="1"/>
  <c r="G722" i="1" s="1"/>
  <c r="G167" i="1"/>
  <c r="G532" i="1" s="1"/>
  <c r="G108" i="1"/>
  <c r="G473" i="1" s="1"/>
  <c r="G355" i="1"/>
  <c r="G720" i="1" s="1"/>
  <c r="G264" i="1"/>
  <c r="G629" i="1" s="1"/>
  <c r="G231" i="1"/>
  <c r="G596" i="1" s="1"/>
  <c r="G296" i="1"/>
  <c r="G661" i="1" s="1"/>
  <c r="G302" i="1"/>
  <c r="G667" i="1" s="1"/>
  <c r="D373" i="4"/>
  <c r="D377" i="4"/>
  <c r="D381" i="4"/>
  <c r="D385" i="4"/>
  <c r="D389" i="4"/>
  <c r="D393" i="4"/>
  <c r="D397" i="4"/>
  <c r="D401" i="4"/>
  <c r="D405" i="4"/>
  <c r="D409" i="4"/>
  <c r="D413" i="4"/>
  <c r="D417" i="4"/>
  <c r="D421" i="4"/>
  <c r="D425" i="4"/>
  <c r="D429" i="4"/>
  <c r="D433" i="4"/>
  <c r="D437" i="4"/>
  <c r="D441" i="4"/>
  <c r="D445" i="4"/>
  <c r="D449" i="4"/>
  <c r="D453" i="4"/>
  <c r="D457" i="4"/>
  <c r="D461" i="4"/>
  <c r="D465" i="4"/>
  <c r="D469" i="4"/>
  <c r="D473" i="4"/>
  <c r="D477" i="4"/>
  <c r="D481" i="4"/>
  <c r="D485" i="4"/>
  <c r="D489" i="4"/>
  <c r="D493" i="4"/>
  <c r="D497" i="4"/>
  <c r="D501" i="4"/>
  <c r="D505" i="4"/>
  <c r="D509" i="4"/>
  <c r="D513" i="4"/>
  <c r="D517" i="4"/>
  <c r="D521" i="4"/>
  <c r="D525" i="4"/>
  <c r="D529" i="4"/>
  <c r="D533" i="4"/>
  <c r="D537" i="4"/>
  <c r="D541" i="4"/>
  <c r="D545" i="4"/>
  <c r="D549" i="4"/>
  <c r="D553" i="4"/>
  <c r="D557" i="4"/>
  <c r="D561" i="4"/>
  <c r="D565" i="4"/>
  <c r="D569" i="4"/>
  <c r="D573" i="4"/>
  <c r="D577" i="4"/>
  <c r="D581" i="4"/>
  <c r="D585" i="4"/>
  <c r="D589" i="4"/>
  <c r="D593" i="4"/>
  <c r="D597" i="4"/>
  <c r="D601" i="4"/>
  <c r="D605" i="4"/>
  <c r="D609" i="4"/>
  <c r="D613" i="4"/>
  <c r="D617" i="4"/>
  <c r="D621" i="4"/>
  <c r="D625" i="4"/>
  <c r="D629" i="4"/>
  <c r="D633" i="4"/>
  <c r="D637" i="4"/>
  <c r="D641" i="4"/>
  <c r="D645" i="4"/>
  <c r="D649" i="4"/>
  <c r="D653" i="4"/>
  <c r="D657" i="4"/>
  <c r="D661" i="4"/>
  <c r="D665" i="4"/>
  <c r="D669" i="4"/>
  <c r="D673" i="4"/>
  <c r="D677" i="4"/>
  <c r="D681" i="4"/>
  <c r="D685" i="4"/>
  <c r="D689" i="4"/>
  <c r="D693" i="4"/>
  <c r="D697" i="4"/>
  <c r="D701" i="4"/>
  <c r="D705" i="4"/>
  <c r="D709" i="4"/>
  <c r="D374" i="4"/>
  <c r="D378" i="4"/>
  <c r="D382" i="4"/>
  <c r="D386" i="4"/>
  <c r="D390" i="4"/>
  <c r="D394" i="4"/>
  <c r="D398" i="4"/>
  <c r="D402" i="4"/>
  <c r="D406" i="4"/>
  <c r="D410" i="4"/>
  <c r="D414" i="4"/>
  <c r="D418" i="4"/>
  <c r="D422" i="4"/>
  <c r="D426" i="4"/>
  <c r="D430" i="4"/>
  <c r="D434" i="4"/>
  <c r="D438" i="4"/>
  <c r="D442" i="4"/>
  <c r="D446" i="4"/>
  <c r="D450" i="4"/>
  <c r="D454" i="4"/>
  <c r="D458" i="4"/>
  <c r="D462" i="4"/>
  <c r="D466" i="4"/>
  <c r="D470" i="4"/>
  <c r="D474" i="4"/>
  <c r="D478" i="4"/>
  <c r="D482" i="4"/>
  <c r="D486" i="4"/>
  <c r="D490" i="4"/>
  <c r="D494" i="4"/>
  <c r="D498" i="4"/>
  <c r="D502" i="4"/>
  <c r="D506" i="4"/>
  <c r="D510" i="4"/>
  <c r="D514" i="4"/>
  <c r="D518" i="4"/>
  <c r="D522" i="4"/>
  <c r="D526" i="4"/>
  <c r="D530" i="4"/>
  <c r="D534" i="4"/>
  <c r="D538" i="4"/>
  <c r="D542" i="4"/>
  <c r="D546" i="4"/>
  <c r="D550" i="4"/>
  <c r="D554" i="4"/>
  <c r="D558" i="4"/>
  <c r="D562" i="4"/>
  <c r="D566" i="4"/>
  <c r="D570" i="4"/>
  <c r="D574" i="4"/>
  <c r="D578" i="4"/>
  <c r="D582" i="4"/>
  <c r="D586" i="4"/>
  <c r="D590" i="4"/>
  <c r="D594" i="4"/>
  <c r="D598" i="4"/>
  <c r="D602" i="4"/>
  <c r="D606" i="4"/>
  <c r="D610" i="4"/>
  <c r="D614" i="4"/>
  <c r="D618" i="4"/>
  <c r="D622" i="4"/>
  <c r="D626" i="4"/>
  <c r="D630" i="4"/>
  <c r="D634" i="4"/>
  <c r="D638" i="4"/>
  <c r="D642" i="4"/>
  <c r="D646" i="4"/>
  <c r="D650" i="4"/>
  <c r="D654" i="4"/>
  <c r="D658" i="4"/>
  <c r="D662" i="4"/>
  <c r="D666" i="4"/>
  <c r="D670" i="4"/>
  <c r="D674" i="4"/>
  <c r="D678" i="4"/>
  <c r="D682" i="4"/>
  <c r="D686" i="4"/>
  <c r="D690" i="4"/>
  <c r="D694" i="4"/>
  <c r="D698" i="4"/>
  <c r="D702" i="4"/>
  <c r="D706" i="4"/>
  <c r="D710" i="4"/>
  <c r="D375" i="4"/>
  <c r="D379" i="4"/>
  <c r="D383" i="4"/>
  <c r="D387" i="4"/>
  <c r="D391" i="4"/>
  <c r="D395" i="4"/>
  <c r="D399" i="4"/>
  <c r="D403" i="4"/>
  <c r="D407" i="4"/>
  <c r="D411" i="4"/>
  <c r="D415" i="4"/>
  <c r="D419" i="4"/>
  <c r="D423" i="4"/>
  <c r="D427" i="4"/>
  <c r="D431" i="4"/>
  <c r="D435" i="4"/>
  <c r="D439" i="4"/>
  <c r="D443" i="4"/>
  <c r="D447" i="4"/>
  <c r="D451" i="4"/>
  <c r="D455" i="4"/>
  <c r="D459" i="4"/>
  <c r="D463" i="4"/>
  <c r="D467" i="4"/>
  <c r="D471" i="4"/>
  <c r="D475" i="4"/>
  <c r="D479" i="4"/>
  <c r="D483" i="4"/>
  <c r="D487" i="4"/>
  <c r="D491" i="4"/>
  <c r="D495" i="4"/>
  <c r="D499" i="4"/>
  <c r="D503" i="4"/>
  <c r="D507" i="4"/>
  <c r="D511" i="4"/>
  <c r="D515" i="4"/>
  <c r="D519" i="4"/>
  <c r="D523" i="4"/>
  <c r="D527" i="4"/>
  <c r="D531" i="4"/>
  <c r="D535" i="4"/>
  <c r="D539" i="4"/>
  <c r="D543" i="4"/>
  <c r="D547" i="4"/>
  <c r="D551" i="4"/>
  <c r="D555" i="4"/>
  <c r="D559" i="4"/>
  <c r="D563" i="4"/>
  <c r="D567" i="4"/>
  <c r="D571" i="4"/>
  <c r="D575" i="4"/>
  <c r="D579" i="4"/>
  <c r="D583" i="4"/>
  <c r="D587" i="4"/>
  <c r="D591" i="4"/>
  <c r="D595" i="4"/>
  <c r="D599" i="4"/>
  <c r="D603" i="4"/>
  <c r="D607" i="4"/>
  <c r="D611" i="4"/>
  <c r="D615" i="4"/>
  <c r="D619" i="4"/>
  <c r="D623" i="4"/>
  <c r="D627" i="4"/>
  <c r="D631" i="4"/>
  <c r="D635" i="4"/>
  <c r="D639" i="4"/>
  <c r="D643" i="4"/>
  <c r="D647" i="4"/>
  <c r="D651" i="4"/>
  <c r="D655" i="4"/>
  <c r="D659" i="4"/>
  <c r="D663" i="4"/>
  <c r="D667" i="4"/>
  <c r="D671" i="4"/>
  <c r="D675" i="4"/>
  <c r="D679" i="4"/>
  <c r="D683" i="4"/>
  <c r="D687" i="4"/>
  <c r="D691" i="4"/>
  <c r="D695" i="4"/>
  <c r="D699" i="4"/>
  <c r="D703" i="4"/>
  <c r="D707" i="4"/>
  <c r="D711" i="4"/>
  <c r="D372" i="4"/>
  <c r="D376" i="4"/>
  <c r="D380" i="4"/>
  <c r="D384" i="4"/>
  <c r="D388" i="4"/>
  <c r="D392" i="4"/>
  <c r="D396" i="4"/>
  <c r="D400" i="4"/>
  <c r="D404" i="4"/>
  <c r="D408" i="4"/>
  <c r="D412" i="4"/>
  <c r="D416" i="4"/>
  <c r="D420" i="4"/>
  <c r="D424" i="4"/>
  <c r="D428" i="4"/>
  <c r="D432" i="4"/>
  <c r="D436" i="4"/>
  <c r="D440" i="4"/>
  <c r="D444" i="4"/>
  <c r="D448" i="4"/>
  <c r="D452" i="4"/>
  <c r="D456" i="4"/>
  <c r="D460" i="4"/>
  <c r="D464" i="4"/>
  <c r="D468" i="4"/>
  <c r="D472" i="4"/>
  <c r="D476" i="4"/>
  <c r="D480" i="4"/>
  <c r="D484" i="4"/>
  <c r="D488" i="4"/>
  <c r="D492" i="4"/>
  <c r="D496" i="4"/>
  <c r="D500" i="4"/>
  <c r="D504" i="4"/>
  <c r="D508" i="4"/>
  <c r="D512" i="4"/>
  <c r="D516" i="4"/>
  <c r="D520" i="4"/>
  <c r="D524" i="4"/>
  <c r="D528" i="4"/>
  <c r="D532" i="4"/>
  <c r="D536" i="4"/>
  <c r="D540" i="4"/>
  <c r="D544" i="4"/>
  <c r="D548" i="4"/>
  <c r="D552" i="4"/>
  <c r="D556" i="4"/>
  <c r="D560" i="4"/>
  <c r="D564" i="4"/>
  <c r="D568" i="4"/>
  <c r="D572" i="4"/>
  <c r="D576" i="4"/>
  <c r="D580" i="4"/>
  <c r="D584" i="4"/>
  <c r="D588" i="4"/>
  <c r="D592" i="4"/>
  <c r="D596" i="4"/>
  <c r="D600" i="4"/>
  <c r="D604" i="4"/>
  <c r="D608" i="4"/>
  <c r="D612" i="4"/>
  <c r="D616" i="4"/>
  <c r="D620" i="4"/>
  <c r="D624" i="4"/>
  <c r="D628" i="4"/>
  <c r="D632" i="4"/>
  <c r="D636" i="4"/>
  <c r="D640" i="4"/>
  <c r="D644" i="4"/>
  <c r="D648" i="4"/>
  <c r="D652" i="4"/>
  <c r="D656" i="4"/>
  <c r="D660" i="4"/>
  <c r="D664" i="4"/>
  <c r="D668" i="4"/>
  <c r="D672" i="4"/>
  <c r="D676" i="4"/>
  <c r="D680" i="4"/>
  <c r="D684" i="4"/>
  <c r="D688" i="4"/>
  <c r="D692" i="4"/>
  <c r="D696" i="4"/>
  <c r="D700" i="4"/>
  <c r="D704" i="4"/>
  <c r="D708" i="4"/>
  <c r="D713" i="4"/>
  <c r="D717" i="4"/>
  <c r="D721" i="4"/>
  <c r="D725" i="4"/>
  <c r="D729" i="4"/>
  <c r="D733" i="4"/>
  <c r="D714" i="4"/>
  <c r="D718" i="4"/>
  <c r="D722" i="4"/>
  <c r="D726" i="4"/>
  <c r="D730" i="4"/>
  <c r="D734" i="4"/>
  <c r="D715" i="4"/>
  <c r="D719" i="4"/>
  <c r="D723" i="4"/>
  <c r="D727" i="4"/>
  <c r="D731" i="4"/>
  <c r="D735" i="4"/>
  <c r="D712" i="4"/>
  <c r="D716" i="4"/>
  <c r="D720" i="4"/>
  <c r="D724" i="4"/>
  <c r="D728" i="4"/>
  <c r="D732" i="4"/>
  <c r="D736" i="4"/>
  <c r="F375" i="4"/>
  <c r="F377" i="4"/>
  <c r="F384" i="4"/>
  <c r="F386" i="4"/>
  <c r="F389" i="4"/>
  <c r="F392" i="4"/>
  <c r="F394" i="4"/>
  <c r="F397" i="4"/>
  <c r="F400" i="4"/>
  <c r="F402" i="4"/>
  <c r="F406" i="4"/>
  <c r="F409" i="4"/>
  <c r="F411" i="4"/>
  <c r="F418" i="4"/>
  <c r="M418" i="4" s="1"/>
  <c r="N418" i="4" s="1"/>
  <c r="AH27" i="15" s="1"/>
  <c r="F421" i="4"/>
  <c r="F424" i="4"/>
  <c r="F427" i="4"/>
  <c r="F434" i="4"/>
  <c r="F437" i="4"/>
  <c r="F440" i="4"/>
  <c r="F443" i="4"/>
  <c r="F449" i="4"/>
  <c r="F452" i="4"/>
  <c r="F456" i="4"/>
  <c r="F459" i="4"/>
  <c r="F462" i="4"/>
  <c r="F465" i="4"/>
  <c r="F472" i="4"/>
  <c r="F475" i="4"/>
  <c r="F478" i="4"/>
  <c r="F481" i="4"/>
  <c r="F484" i="4"/>
  <c r="F486" i="4"/>
  <c r="F489" i="4"/>
  <c r="F490" i="4"/>
  <c r="F492" i="4"/>
  <c r="F495" i="4"/>
  <c r="F498" i="4"/>
  <c r="F501" i="4"/>
  <c r="M501" i="4" s="1"/>
  <c r="N501" i="4" s="1"/>
  <c r="AH527" i="15" s="1"/>
  <c r="F504" i="4"/>
  <c r="F511" i="4"/>
  <c r="F514" i="4"/>
  <c r="F517" i="4"/>
  <c r="F520" i="4"/>
  <c r="F527" i="4"/>
  <c r="F530" i="4"/>
  <c r="F538" i="4"/>
  <c r="M538" i="4" s="1"/>
  <c r="N538" i="4" s="1"/>
  <c r="AH563" i="15" s="1"/>
  <c r="F544" i="4"/>
  <c r="F552" i="4"/>
  <c r="F560" i="4"/>
  <c r="F568" i="4"/>
  <c r="F576" i="4"/>
  <c r="F584" i="4"/>
  <c r="F590" i="4"/>
  <c r="F593" i="4"/>
  <c r="F600" i="4"/>
  <c r="F603" i="4"/>
  <c r="F606" i="4"/>
  <c r="F609" i="4"/>
  <c r="F616" i="4"/>
  <c r="M616" i="4" s="1"/>
  <c r="N616" i="4" s="1"/>
  <c r="AH639" i="15" s="1"/>
  <c r="F619" i="4"/>
  <c r="F622" i="4"/>
  <c r="F625" i="4"/>
  <c r="F632" i="4"/>
  <c r="F634" i="4"/>
  <c r="F637" i="4"/>
  <c r="F643" i="4"/>
  <c r="F645" i="4"/>
  <c r="F652" i="4"/>
  <c r="F654" i="4"/>
  <c r="F659" i="4"/>
  <c r="F661" i="4"/>
  <c r="F664" i="4"/>
  <c r="F667" i="4"/>
  <c r="F669" i="4"/>
  <c r="F674" i="4"/>
  <c r="F682" i="4"/>
  <c r="F687" i="4"/>
  <c r="F689" i="4"/>
  <c r="F696" i="4"/>
  <c r="F698" i="4"/>
  <c r="F700" i="4"/>
  <c r="F703" i="4"/>
  <c r="F705" i="4"/>
  <c r="F708" i="4"/>
  <c r="F711" i="4"/>
  <c r="F713" i="4"/>
  <c r="F716" i="4"/>
  <c r="F719" i="4"/>
  <c r="F721" i="4"/>
  <c r="F724" i="4"/>
  <c r="F727" i="4"/>
  <c r="F729" i="4"/>
  <c r="F732" i="4"/>
  <c r="F735" i="4"/>
  <c r="F374" i="4"/>
  <c r="F379" i="4"/>
  <c r="F381" i="4"/>
  <c r="F391" i="4"/>
  <c r="F399" i="4"/>
  <c r="F405" i="4"/>
  <c r="F408" i="4"/>
  <c r="F414" i="4"/>
  <c r="M414" i="4" s="1"/>
  <c r="N414" i="4" s="1"/>
  <c r="AH461" i="15" s="1"/>
  <c r="F417" i="4"/>
  <c r="F420" i="4"/>
  <c r="F423" i="4"/>
  <c r="F430" i="4"/>
  <c r="F433" i="4"/>
  <c r="F436" i="4"/>
  <c r="F439" i="4"/>
  <c r="F446" i="4"/>
  <c r="F448" i="4"/>
  <c r="F451" i="4"/>
  <c r="F455" i="4"/>
  <c r="F458" i="4"/>
  <c r="F461" i="4"/>
  <c r="F468" i="4"/>
  <c r="F471" i="4"/>
  <c r="F474" i="4"/>
  <c r="F477" i="4"/>
  <c r="F483" i="4"/>
  <c r="F497" i="4"/>
  <c r="M497" i="4" s="1"/>
  <c r="N497" i="4" s="1"/>
  <c r="AH523" i="15" s="1"/>
  <c r="F500" i="4"/>
  <c r="F507" i="4"/>
  <c r="F510" i="4"/>
  <c r="F513" i="4"/>
  <c r="F516" i="4"/>
  <c r="F523" i="4"/>
  <c r="F526" i="4"/>
  <c r="F529" i="4"/>
  <c r="F532" i="4"/>
  <c r="F535" i="4"/>
  <c r="F537" i="4"/>
  <c r="F541" i="4"/>
  <c r="F543" i="4"/>
  <c r="F546" i="4"/>
  <c r="F549" i="4"/>
  <c r="F551" i="4"/>
  <c r="M551" i="4" s="1"/>
  <c r="N551" i="4" s="1"/>
  <c r="AH576" i="15" s="1"/>
  <c r="F554" i="4"/>
  <c r="F557" i="4"/>
  <c r="F559" i="4"/>
  <c r="F562" i="4"/>
  <c r="M562" i="4" s="1"/>
  <c r="N562" i="4" s="1"/>
  <c r="AH587" i="15" s="1"/>
  <c r="F565" i="4"/>
  <c r="F567" i="4"/>
  <c r="F570" i="4"/>
  <c r="F573" i="4"/>
  <c r="F575" i="4"/>
  <c r="F578" i="4"/>
  <c r="F581" i="4"/>
  <c r="F583" i="4"/>
  <c r="F586" i="4"/>
  <c r="F587" i="4"/>
  <c r="F589" i="4"/>
  <c r="F596" i="4"/>
  <c r="F599" i="4"/>
  <c r="F602" i="4"/>
  <c r="F605" i="4"/>
  <c r="M605" i="4" s="1"/>
  <c r="N605" i="4" s="1"/>
  <c r="AH628" i="15" s="1"/>
  <c r="F612" i="4"/>
  <c r="M612" i="4" s="1"/>
  <c r="N612" i="4" s="1"/>
  <c r="AH635" i="15" s="1"/>
  <c r="F615" i="4"/>
  <c r="F618" i="4"/>
  <c r="F621" i="4"/>
  <c r="F628" i="4"/>
  <c r="F631" i="4"/>
  <c r="F640" i="4"/>
  <c r="F642" i="4"/>
  <c r="F647" i="4"/>
  <c r="F649" i="4"/>
  <c r="F656" i="4"/>
  <c r="F658" i="4"/>
  <c r="F666" i="4"/>
  <c r="F671" i="4"/>
  <c r="F673" i="4"/>
  <c r="F676" i="4"/>
  <c r="F679" i="4"/>
  <c r="F681" i="4"/>
  <c r="F684" i="4"/>
  <c r="F686" i="4"/>
  <c r="F691" i="4"/>
  <c r="F693" i="4"/>
  <c r="F702" i="4"/>
  <c r="F710" i="4"/>
  <c r="F718" i="4"/>
  <c r="F726" i="4"/>
  <c r="F734" i="4"/>
  <c r="F376" i="4"/>
  <c r="F378" i="4"/>
  <c r="F383" i="4"/>
  <c r="F385" i="4"/>
  <c r="F388" i="4"/>
  <c r="F390" i="4"/>
  <c r="F393" i="4"/>
  <c r="F396" i="4"/>
  <c r="F398" i="4"/>
  <c r="F401" i="4"/>
  <c r="F404" i="4"/>
  <c r="F407" i="4"/>
  <c r="F410" i="4"/>
  <c r="F413" i="4"/>
  <c r="F416" i="4"/>
  <c r="F419" i="4"/>
  <c r="F426" i="4"/>
  <c r="F429" i="4"/>
  <c r="F432" i="4"/>
  <c r="F435" i="4"/>
  <c r="F442" i="4"/>
  <c r="F445" i="4"/>
  <c r="M445" i="4" s="1"/>
  <c r="N445" i="4" s="1"/>
  <c r="AH95" i="15" s="1"/>
  <c r="F454" i="4"/>
  <c r="F457" i="4"/>
  <c r="F464" i="4"/>
  <c r="F467" i="4"/>
  <c r="F470" i="4"/>
  <c r="F473" i="4"/>
  <c r="F480" i="4"/>
  <c r="F482" i="4"/>
  <c r="F485" i="4"/>
  <c r="F488" i="4"/>
  <c r="F491" i="4"/>
  <c r="F494" i="4"/>
  <c r="F496" i="4"/>
  <c r="F503" i="4"/>
  <c r="F506" i="4"/>
  <c r="F509" i="4"/>
  <c r="F512" i="4"/>
  <c r="F519" i="4"/>
  <c r="F522" i="4"/>
  <c r="F525" i="4"/>
  <c r="F528" i="4"/>
  <c r="F534" i="4"/>
  <c r="M534" i="4" s="1"/>
  <c r="N534" i="4" s="1"/>
  <c r="AH559" i="15" s="1"/>
  <c r="F540" i="4"/>
  <c r="F548" i="4"/>
  <c r="F556" i="4"/>
  <c r="F564" i="4"/>
  <c r="F572" i="4"/>
  <c r="F580" i="4"/>
  <c r="F592" i="4"/>
  <c r="F595" i="4"/>
  <c r="F598" i="4"/>
  <c r="F601" i="4"/>
  <c r="M601" i="4" s="1"/>
  <c r="N601" i="4" s="1"/>
  <c r="AH624" i="15" s="1"/>
  <c r="F608" i="4"/>
  <c r="F611" i="4"/>
  <c r="F614" i="4"/>
  <c r="F617" i="4"/>
  <c r="F624" i="4"/>
  <c r="M624" i="4" s="1"/>
  <c r="N624" i="4" s="1"/>
  <c r="AH647" i="15" s="1"/>
  <c r="F627" i="4"/>
  <c r="F630" i="4"/>
  <c r="F633" i="4"/>
  <c r="F636" i="4"/>
  <c r="F639" i="4"/>
  <c r="F644" i="4"/>
  <c r="F646" i="4"/>
  <c r="F651" i="4"/>
  <c r="F653" i="4"/>
  <c r="F660" i="4"/>
  <c r="M660" i="4" s="1"/>
  <c r="N660" i="4" s="1"/>
  <c r="AH49" i="15" s="1"/>
  <c r="F663" i="4"/>
  <c r="F665" i="4"/>
  <c r="F668" i="4"/>
  <c r="F670" i="4"/>
  <c r="F678" i="4"/>
  <c r="F688" i="4"/>
  <c r="F690" i="4"/>
  <c r="F695" i="4"/>
  <c r="F697" i="4"/>
  <c r="F699" i="4"/>
  <c r="F701" i="4"/>
  <c r="F704" i="4"/>
  <c r="F707" i="4"/>
  <c r="F709" i="4"/>
  <c r="F712" i="4"/>
  <c r="F715" i="4"/>
  <c r="F717" i="4"/>
  <c r="F720" i="4"/>
  <c r="F723" i="4"/>
  <c r="F725" i="4"/>
  <c r="F728" i="4"/>
  <c r="F731" i="4"/>
  <c r="F733" i="4"/>
  <c r="F736" i="4"/>
  <c r="F372" i="4"/>
  <c r="F373" i="4"/>
  <c r="F380" i="4"/>
  <c r="F382" i="4"/>
  <c r="F387" i="4"/>
  <c r="F395" i="4"/>
  <c r="F403" i="4"/>
  <c r="F412" i="4"/>
  <c r="F415" i="4"/>
  <c r="F422" i="4"/>
  <c r="M422" i="4" s="1"/>
  <c r="N422" i="4" s="1"/>
  <c r="AH11" i="15" s="1"/>
  <c r="F425" i="4"/>
  <c r="F428" i="4"/>
  <c r="F431" i="4"/>
  <c r="F438" i="4"/>
  <c r="F441" i="4"/>
  <c r="F444" i="4"/>
  <c r="F447" i="4"/>
  <c r="F450" i="4"/>
  <c r="F453" i="4"/>
  <c r="F460" i="4"/>
  <c r="F463" i="4"/>
  <c r="F466" i="4"/>
  <c r="F469" i="4"/>
  <c r="F476" i="4"/>
  <c r="F479" i="4"/>
  <c r="F487" i="4"/>
  <c r="F493" i="4"/>
  <c r="M493" i="4" s="1"/>
  <c r="N493" i="4" s="1"/>
  <c r="AH519" i="15" s="1"/>
  <c r="F499" i="4"/>
  <c r="F502" i="4"/>
  <c r="F505" i="4"/>
  <c r="F508" i="4"/>
  <c r="F515" i="4"/>
  <c r="F518" i="4"/>
  <c r="F521" i="4"/>
  <c r="F524" i="4"/>
  <c r="F531" i="4"/>
  <c r="F533" i="4"/>
  <c r="F536" i="4"/>
  <c r="F539" i="4"/>
  <c r="F542" i="4"/>
  <c r="M542" i="4" s="1"/>
  <c r="N542" i="4" s="1"/>
  <c r="AH567" i="15" s="1"/>
  <c r="F545" i="4"/>
  <c r="F547" i="4"/>
  <c r="M547" i="4" s="1"/>
  <c r="N547" i="4" s="1"/>
  <c r="AH572" i="15" s="1"/>
  <c r="F550" i="4"/>
  <c r="F553" i="4"/>
  <c r="F555" i="4"/>
  <c r="F558" i="4"/>
  <c r="M558" i="4" s="1"/>
  <c r="N558" i="4" s="1"/>
  <c r="AH583" i="15" s="1"/>
  <c r="F561" i="4"/>
  <c r="F563" i="4"/>
  <c r="F566" i="4"/>
  <c r="F569" i="4"/>
  <c r="F571" i="4"/>
  <c r="F574" i="4"/>
  <c r="F577" i="4"/>
  <c r="F579" i="4"/>
  <c r="F582" i="4"/>
  <c r="F585" i="4"/>
  <c r="F588" i="4"/>
  <c r="F591" i="4"/>
  <c r="F594" i="4"/>
  <c r="F597" i="4"/>
  <c r="F604" i="4"/>
  <c r="F607" i="4"/>
  <c r="F610" i="4"/>
  <c r="F613" i="4"/>
  <c r="F620" i="4"/>
  <c r="M620" i="4" s="1"/>
  <c r="N620" i="4" s="1"/>
  <c r="AH643" i="15" s="1"/>
  <c r="F623" i="4"/>
  <c r="F626" i="4"/>
  <c r="F629" i="4"/>
  <c r="F635" i="4"/>
  <c r="F638" i="4"/>
  <c r="F641" i="4"/>
  <c r="F648" i="4"/>
  <c r="F650" i="4"/>
  <c r="F655" i="4"/>
  <c r="F657" i="4"/>
  <c r="F662" i="4"/>
  <c r="F672" i="4"/>
  <c r="F675" i="4"/>
  <c r="F677" i="4"/>
  <c r="F680" i="4"/>
  <c r="F683" i="4"/>
  <c r="F685" i="4"/>
  <c r="F692" i="4"/>
  <c r="F694" i="4"/>
  <c r="F706" i="4"/>
  <c r="F714" i="4"/>
  <c r="F722" i="4"/>
  <c r="F730" i="4"/>
  <c r="D158" i="4"/>
  <c r="D21" i="4"/>
  <c r="D52" i="4"/>
  <c r="D63" i="4"/>
  <c r="F357" i="4"/>
  <c r="F370" i="4"/>
  <c r="F353" i="4"/>
  <c r="F359" i="4"/>
  <c r="F276" i="4"/>
  <c r="F352" i="4"/>
  <c r="F324" i="4"/>
  <c r="F356" i="4"/>
  <c r="F354" i="4"/>
  <c r="F332" i="4"/>
  <c r="F287" i="4"/>
  <c r="F313" i="4"/>
  <c r="F341" i="4"/>
  <c r="F318" i="4"/>
  <c r="F334" i="4"/>
  <c r="F361" i="4"/>
  <c r="F366" i="4"/>
  <c r="F304" i="4"/>
  <c r="F321" i="4"/>
  <c r="F333" i="4"/>
  <c r="F344" i="4"/>
  <c r="F260" i="4"/>
  <c r="F270" i="4"/>
  <c r="F360" i="4"/>
  <c r="F364" i="4"/>
  <c r="F347" i="4"/>
  <c r="F363" i="4"/>
  <c r="F358" i="4"/>
  <c r="F323" i="4"/>
  <c r="F336" i="4"/>
  <c r="F371" i="4"/>
  <c r="F367" i="4"/>
  <c r="F369" i="4"/>
  <c r="F365" i="4"/>
  <c r="F362" i="4"/>
  <c r="F303" i="4"/>
  <c r="F255" i="4"/>
  <c r="F355" i="4"/>
  <c r="F267" i="4"/>
  <c r="F291" i="4"/>
  <c r="F277" i="4"/>
  <c r="F327" i="4"/>
  <c r="F335" i="4"/>
  <c r="F309" i="4"/>
  <c r="F296" i="4"/>
  <c r="F268" i="4"/>
  <c r="F274" i="4"/>
  <c r="F330" i="4"/>
  <c r="F343" i="4"/>
  <c r="F346" i="4"/>
  <c r="F257" i="4"/>
  <c r="F264" i="4"/>
  <c r="F300" i="4"/>
  <c r="F299" i="4"/>
  <c r="F368" i="4"/>
  <c r="F351" i="4"/>
  <c r="F315" i="4"/>
  <c r="F338" i="4"/>
  <c r="F273" i="4"/>
  <c r="F284" i="4"/>
  <c r="F308" i="4"/>
  <c r="F310" i="4"/>
  <c r="F342" i="4"/>
  <c r="F328" i="4"/>
  <c r="F281" i="4"/>
  <c r="F286" i="4"/>
  <c r="F340" i="4"/>
  <c r="F322" i="4"/>
  <c r="F285" i="4"/>
  <c r="F298" i="4"/>
  <c r="F306" i="4"/>
  <c r="F305" i="4"/>
  <c r="F259" i="4"/>
  <c r="F320" i="4"/>
  <c r="F283" i="4"/>
  <c r="F265" i="4"/>
  <c r="F339" i="4"/>
  <c r="F345" i="4"/>
  <c r="F295" i="4"/>
  <c r="F326" i="4"/>
  <c r="F261" i="4"/>
  <c r="F349" i="4"/>
  <c r="F263" i="4"/>
  <c r="F294" i="4"/>
  <c r="F317" i="4"/>
  <c r="F256" i="4"/>
  <c r="F166" i="4"/>
  <c r="F208" i="4"/>
  <c r="F325" i="4"/>
  <c r="F275" i="4"/>
  <c r="F216" i="4"/>
  <c r="F246" i="4"/>
  <c r="F282" i="4"/>
  <c r="F348" i="4"/>
  <c r="F331" i="4"/>
  <c r="F262" i="4"/>
  <c r="F266" i="4"/>
  <c r="F129" i="4"/>
  <c r="F168" i="4"/>
  <c r="F307" i="4"/>
  <c r="F154" i="4"/>
  <c r="F207" i="4"/>
  <c r="F185" i="4"/>
  <c r="F253" i="4"/>
  <c r="F250" i="4"/>
  <c r="F258" i="4"/>
  <c r="F311" i="4"/>
  <c r="F272" i="4"/>
  <c r="F280" i="4"/>
  <c r="F290" i="4"/>
  <c r="F292" i="4"/>
  <c r="F269" i="4"/>
  <c r="F182" i="4"/>
  <c r="F254" i="4"/>
  <c r="F209" i="4"/>
  <c r="F314" i="4"/>
  <c r="F288" i="4"/>
  <c r="F293" i="4"/>
  <c r="F319" i="4"/>
  <c r="F231" i="4"/>
  <c r="F249" i="4"/>
  <c r="F252" i="4"/>
  <c r="F329" i="4"/>
  <c r="F302" i="4"/>
  <c r="F152" i="4"/>
  <c r="F279" i="4"/>
  <c r="F193" i="4"/>
  <c r="F350" i="4"/>
  <c r="F233" i="4"/>
  <c r="F225" i="4"/>
  <c r="F201" i="4"/>
  <c r="F103" i="4"/>
  <c r="F143" i="4"/>
  <c r="F224" i="4"/>
  <c r="F228" i="4"/>
  <c r="F217" i="4"/>
  <c r="F165" i="4"/>
  <c r="F337" i="4"/>
  <c r="F149" i="4"/>
  <c r="F173" i="4"/>
  <c r="F199" i="4"/>
  <c r="F301" i="4"/>
  <c r="F200" i="4"/>
  <c r="F271" i="4"/>
  <c r="F236" i="4"/>
  <c r="F181" i="4"/>
  <c r="F195" i="4"/>
  <c r="F278" i="4"/>
  <c r="F153" i="4"/>
  <c r="F204" i="4"/>
  <c r="F187" i="4"/>
  <c r="F218" i="4"/>
  <c r="F191" i="4"/>
  <c r="F243" i="4"/>
  <c r="F188" i="4"/>
  <c r="F163" i="4"/>
  <c r="F238" i="4"/>
  <c r="F184" i="4"/>
  <c r="F170" i="4"/>
  <c r="F244" i="4"/>
  <c r="F159" i="4"/>
  <c r="F175" i="4"/>
  <c r="F289" i="4"/>
  <c r="F162" i="4"/>
  <c r="F180" i="4"/>
  <c r="F297" i="4"/>
  <c r="F194" i="4"/>
  <c r="F211" i="4"/>
  <c r="F172" i="4"/>
  <c r="F131" i="4"/>
  <c r="F202" i="4"/>
  <c r="F189" i="4"/>
  <c r="F136" i="4"/>
  <c r="F91" i="4"/>
  <c r="F234" i="4"/>
  <c r="F147" i="4"/>
  <c r="F135" i="4"/>
  <c r="F205" i="4"/>
  <c r="F117" i="4"/>
  <c r="F177" i="4"/>
  <c r="F85" i="4"/>
  <c r="F232" i="4"/>
  <c r="F312" i="4"/>
  <c r="F241" i="4"/>
  <c r="F237" i="4"/>
  <c r="F223" i="4"/>
  <c r="F130" i="4"/>
  <c r="F90" i="4"/>
  <c r="F150" i="4"/>
  <c r="F95" i="4"/>
  <c r="F210" i="4"/>
  <c r="F104" i="4"/>
  <c r="F81" i="4"/>
  <c r="F141" i="4"/>
  <c r="F219" i="4"/>
  <c r="F83" i="4"/>
  <c r="F251" i="4"/>
  <c r="F183" i="4"/>
  <c r="F171" i="4"/>
  <c r="F192" i="4"/>
  <c r="F240" i="4"/>
  <c r="F245" i="4"/>
  <c r="F178" i="4"/>
  <c r="F316" i="4"/>
  <c r="F230" i="4"/>
  <c r="F226" i="4"/>
  <c r="F196" i="4"/>
  <c r="F157" i="4"/>
  <c r="F100" i="4"/>
  <c r="F206" i="4"/>
  <c r="F102" i="4"/>
  <c r="F169" i="4"/>
  <c r="F151" i="4"/>
  <c r="F222" i="4"/>
  <c r="F148" i="4"/>
  <c r="F107" i="4"/>
  <c r="F144" i="4"/>
  <c r="F221" i="4"/>
  <c r="F248" i="4"/>
  <c r="F247" i="4"/>
  <c r="F190" i="4"/>
  <c r="F242" i="4"/>
  <c r="F167" i="4"/>
  <c r="F215" i="4"/>
  <c r="F198" i="4"/>
  <c r="F235" i="4"/>
  <c r="F137" i="4"/>
  <c r="F220" i="4"/>
  <c r="F239" i="4"/>
  <c r="F98" i="4"/>
  <c r="F82" i="4"/>
  <c r="F155" i="4"/>
  <c r="F212" i="4"/>
  <c r="F179" i="4"/>
  <c r="F164" i="4"/>
  <c r="F34" i="4"/>
  <c r="F101" i="4"/>
  <c r="F146" i="4"/>
  <c r="F72" i="4"/>
  <c r="F116" i="4"/>
  <c r="F68" i="4"/>
  <c r="F44" i="4"/>
  <c r="D54" i="4"/>
  <c r="F26" i="4"/>
  <c r="F57" i="4"/>
  <c r="F42" i="4"/>
  <c r="F36" i="4"/>
  <c r="D121" i="4"/>
  <c r="D30" i="4"/>
  <c r="D59" i="4"/>
  <c r="F52" i="4"/>
  <c r="F96" i="4"/>
  <c r="F64" i="4"/>
  <c r="D132" i="4"/>
  <c r="D35" i="4"/>
  <c r="D22" i="4"/>
  <c r="F15" i="4"/>
  <c r="F32" i="4"/>
  <c r="D147" i="4"/>
  <c r="D76" i="4"/>
  <c r="D90" i="4"/>
  <c r="D26" i="4"/>
  <c r="F69" i="4"/>
  <c r="F28" i="4"/>
  <c r="D51" i="4"/>
  <c r="F59" i="4"/>
  <c r="D16" i="4"/>
  <c r="D144" i="4"/>
  <c r="D164" i="4"/>
  <c r="D55" i="4"/>
  <c r="F19" i="4"/>
  <c r="F132" i="4"/>
  <c r="D77" i="4"/>
  <c r="F186" i="4"/>
  <c r="D148" i="4"/>
  <c r="D24" i="4"/>
  <c r="D60" i="4"/>
  <c r="D41" i="4"/>
  <c r="F24" i="4"/>
  <c r="F39" i="4"/>
  <c r="F227" i="4"/>
  <c r="F124" i="4"/>
  <c r="D116" i="4"/>
  <c r="F145" i="4"/>
  <c r="D10" i="4"/>
  <c r="D96" i="4"/>
  <c r="F123" i="4"/>
  <c r="F13" i="4"/>
  <c r="F53" i="4"/>
  <c r="F75" i="4"/>
  <c r="F229" i="4"/>
  <c r="D17" i="4"/>
  <c r="F140" i="4"/>
  <c r="D19" i="4"/>
  <c r="D67" i="4"/>
  <c r="F7" i="4"/>
  <c r="F139" i="4"/>
  <c r="F56" i="4"/>
  <c r="F63" i="4"/>
  <c r="F92" i="4"/>
  <c r="F18" i="4"/>
  <c r="F48" i="4"/>
  <c r="F22" i="4"/>
  <c r="F94" i="4"/>
  <c r="D85" i="4"/>
  <c r="D98" i="4"/>
  <c r="D61" i="4"/>
  <c r="F112" i="4"/>
  <c r="F88" i="4"/>
  <c r="F51" i="4"/>
  <c r="D18" i="4"/>
  <c r="D42" i="4"/>
  <c r="D101" i="4"/>
  <c r="D112" i="4"/>
  <c r="F23" i="4"/>
  <c r="F40" i="4"/>
  <c r="F114" i="4"/>
  <c r="F58" i="4"/>
  <c r="D139" i="4"/>
  <c r="D46" i="4"/>
  <c r="D8" i="4"/>
  <c r="D113" i="4"/>
  <c r="D65" i="4"/>
  <c r="D201" i="4"/>
  <c r="F27" i="4"/>
  <c r="F89" i="4"/>
  <c r="F108" i="4"/>
  <c r="D53" i="4"/>
  <c r="F86" i="4"/>
  <c r="F78" i="4"/>
  <c r="F161" i="4"/>
  <c r="F160" i="4"/>
  <c r="D224" i="4"/>
  <c r="D47" i="4"/>
  <c r="F46" i="4"/>
  <c r="D207" i="4"/>
  <c r="D78" i="4"/>
  <c r="F49" i="4"/>
  <c r="D40" i="4"/>
  <c r="D27" i="4"/>
  <c r="D128" i="4"/>
  <c r="F176" i="4"/>
  <c r="D364" i="4"/>
  <c r="D360" i="4"/>
  <c r="D371" i="4"/>
  <c r="D326" i="4"/>
  <c r="D358" i="4"/>
  <c r="D366" i="4"/>
  <c r="D290" i="4"/>
  <c r="D356" i="4"/>
  <c r="D368" i="4"/>
  <c r="D365" i="4"/>
  <c r="D351" i="4"/>
  <c r="D332" i="4"/>
  <c r="D340" i="4"/>
  <c r="D354" i="4"/>
  <c r="D338" i="4"/>
  <c r="D307" i="4"/>
  <c r="D346" i="4"/>
  <c r="D355" i="4"/>
  <c r="D359" i="4"/>
  <c r="D336" i="4"/>
  <c r="D369" i="4"/>
  <c r="D357" i="4"/>
  <c r="D352" i="4"/>
  <c r="D300" i="4"/>
  <c r="D321" i="4"/>
  <c r="D329" i="4"/>
  <c r="D282" i="4"/>
  <c r="D347" i="4"/>
  <c r="D362" i="4"/>
  <c r="D361" i="4"/>
  <c r="D312" i="4"/>
  <c r="D348" i="4"/>
  <c r="D298" i="4"/>
  <c r="D269" i="4"/>
  <c r="D257" i="4"/>
  <c r="D303" i="4"/>
  <c r="D280" i="4"/>
  <c r="D254" i="4"/>
  <c r="D320" i="4"/>
  <c r="D341" i="4"/>
  <c r="D230" i="4"/>
  <c r="D335" i="4"/>
  <c r="D319" i="4"/>
  <c r="D339" i="4"/>
  <c r="D323" i="4"/>
  <c r="D284" i="4"/>
  <c r="D337" i="4"/>
  <c r="D299" i="4"/>
  <c r="D265" i="4"/>
  <c r="D314" i="4"/>
  <c r="D239" i="4"/>
  <c r="D256" i="4"/>
  <c r="D313" i="4"/>
  <c r="D277" i="4"/>
  <c r="D292" i="4"/>
  <c r="D270" i="4"/>
  <c r="D316" i="4"/>
  <c r="D342" i="4"/>
  <c r="D293" i="4"/>
  <c r="D370" i="4"/>
  <c r="D302" i="4"/>
  <c r="D273" i="4"/>
  <c r="D253" i="4"/>
  <c r="D267" i="4"/>
  <c r="D234" i="4"/>
  <c r="D211" i="4"/>
  <c r="D291" i="4"/>
  <c r="D266" i="4"/>
  <c r="D176" i="4"/>
  <c r="D197" i="4"/>
  <c r="D305" i="4"/>
  <c r="D344" i="4"/>
  <c r="D309" i="4"/>
  <c r="D263" i="4"/>
  <c r="D311" i="4"/>
  <c r="D246" i="4"/>
  <c r="D279" i="4"/>
  <c r="D301" i="4"/>
  <c r="D294" i="4"/>
  <c r="D272" i="4"/>
  <c r="D261" i="4"/>
  <c r="D333" i="4"/>
  <c r="D331" i="4"/>
  <c r="D343" i="4"/>
  <c r="D296" i="4"/>
  <c r="D363" i="4"/>
  <c r="D274" i="4"/>
  <c r="D251" i="4"/>
  <c r="D327" i="4"/>
  <c r="D353" i="4"/>
  <c r="D334" i="4"/>
  <c r="D330" i="4"/>
  <c r="D262" i="4"/>
  <c r="D260" i="4"/>
  <c r="D349" i="4"/>
  <c r="D350" i="4"/>
  <c r="D275" i="4"/>
  <c r="D169" i="4"/>
  <c r="D221" i="4"/>
  <c r="D310" i="4"/>
  <c r="D276" i="4"/>
  <c r="D198" i="4"/>
  <c r="D192" i="4"/>
  <c r="D289" i="4"/>
  <c r="D248" i="4"/>
  <c r="D105" i="4"/>
  <c r="D322" i="4"/>
  <c r="D283" i="4"/>
  <c r="D345" i="4"/>
  <c r="D271" i="4"/>
  <c r="D308" i="4"/>
  <c r="D245" i="4"/>
  <c r="D186" i="4"/>
  <c r="D157" i="4"/>
  <c r="D208" i="4"/>
  <c r="D125" i="4"/>
  <c r="D178" i="4"/>
  <c r="D205" i="4"/>
  <c r="D235" i="4"/>
  <c r="D228" i="4"/>
  <c r="D324" i="4"/>
  <c r="D232" i="4"/>
  <c r="D286" i="4"/>
  <c r="D315" i="4"/>
  <c r="D209" i="4"/>
  <c r="D222" i="4"/>
  <c r="D285" i="4"/>
  <c r="D318" i="4"/>
  <c r="D236" i="4"/>
  <c r="D242" i="4"/>
  <c r="D163" i="4"/>
  <c r="D367" i="4"/>
  <c r="D325" i="4"/>
  <c r="D297" i="4"/>
  <c r="D304" i="4"/>
  <c r="D317" i="4"/>
  <c r="D75" i="4"/>
  <c r="D278" i="4"/>
  <c r="D287" i="4"/>
  <c r="D155" i="4"/>
  <c r="D281" i="4"/>
  <c r="D216" i="4"/>
  <c r="D215" i="4"/>
  <c r="D172" i="4"/>
  <c r="D161" i="4"/>
  <c r="D150" i="4"/>
  <c r="D179" i="4"/>
  <c r="D115" i="4"/>
  <c r="D206" i="4"/>
  <c r="D218" i="4"/>
  <c r="D118" i="4"/>
  <c r="D217" i="4"/>
  <c r="D210" i="4"/>
  <c r="D237" i="4"/>
  <c r="D264" i="4"/>
  <c r="D136" i="4"/>
  <c r="D240" i="4"/>
  <c r="D152" i="4"/>
  <c r="D219" i="4"/>
  <c r="D182" i="4"/>
  <c r="D244" i="4"/>
  <c r="D62" i="4"/>
  <c r="D168" i="4"/>
  <c r="D252" i="4"/>
  <c r="D249" i="4"/>
  <c r="D187" i="4"/>
  <c r="D111" i="4"/>
  <c r="D162" i="4"/>
  <c r="D212" i="4"/>
  <c r="D102" i="4"/>
  <c r="D174" i="4"/>
  <c r="D196" i="4"/>
  <c r="D181" i="4"/>
  <c r="D220" i="4"/>
  <c r="D231" i="4"/>
  <c r="D227" i="4"/>
  <c r="D306" i="4"/>
  <c r="D250" i="4"/>
  <c r="D166" i="4"/>
  <c r="D159" i="4"/>
  <c r="D193" i="4"/>
  <c r="D84" i="4"/>
  <c r="D288" i="4"/>
  <c r="D70" i="4"/>
  <c r="D173" i="4"/>
  <c r="D91" i="4"/>
  <c r="D126" i="4"/>
  <c r="D233" i="4"/>
  <c r="D151" i="4"/>
  <c r="D133" i="4"/>
  <c r="D194" i="4"/>
  <c r="D34" i="4"/>
  <c r="D141" i="4"/>
  <c r="D12" i="4"/>
  <c r="D160" i="4"/>
  <c r="D268" i="4"/>
  <c r="D241" i="4"/>
  <c r="D177" i="4"/>
  <c r="D258" i="4"/>
  <c r="D71" i="4"/>
  <c r="D255" i="4"/>
  <c r="D188" i="4"/>
  <c r="D171" i="4"/>
  <c r="D226" i="4"/>
  <c r="D328" i="4"/>
  <c r="D170" i="4"/>
  <c r="D146" i="4"/>
  <c r="D238" i="4"/>
  <c r="D73" i="4"/>
  <c r="D183" i="4"/>
  <c r="D45" i="4"/>
  <c r="D184" i="4"/>
  <c r="D167" i="4"/>
  <c r="D81" i="4"/>
  <c r="D123" i="4"/>
  <c r="D145" i="4"/>
  <c r="D29" i="4"/>
  <c r="D48" i="4"/>
  <c r="D165" i="4"/>
  <c r="D203" i="4"/>
  <c r="D243" i="4"/>
  <c r="D295" i="4"/>
  <c r="D185" i="4"/>
  <c r="D130" i="4"/>
  <c r="D180" i="4"/>
  <c r="D134" i="4"/>
  <c r="D86" i="4"/>
  <c r="D32" i="4"/>
  <c r="D189" i="4"/>
  <c r="D80" i="4"/>
  <c r="D223" i="4"/>
  <c r="D190" i="4"/>
  <c r="D58" i="4"/>
  <c r="D88" i="4"/>
  <c r="D100" i="4"/>
  <c r="D119" i="4"/>
  <c r="D72" i="4"/>
  <c r="D64" i="4"/>
  <c r="D247" i="4"/>
  <c r="D175" i="4"/>
  <c r="D57" i="4"/>
  <c r="D214" i="4"/>
  <c r="D191" i="4"/>
  <c r="D154" i="4"/>
  <c r="D104" i="4"/>
  <c r="D259" i="4"/>
  <c r="D106" i="4"/>
  <c r="D120" i="4"/>
  <c r="D23" i="4"/>
  <c r="D199" i="4"/>
  <c r="D213" i="4"/>
  <c r="D117" i="4"/>
  <c r="D9" i="4"/>
  <c r="D39" i="4"/>
  <c r="D143" i="4"/>
  <c r="D229" i="4"/>
  <c r="D129" i="4"/>
  <c r="D114" i="4"/>
  <c r="D28" i="4"/>
  <c r="D156" i="4"/>
  <c r="D204" i="4"/>
  <c r="D138" i="4"/>
  <c r="D195" i="4"/>
  <c r="D49" i="4"/>
  <c r="F25" i="4"/>
  <c r="F126" i="4"/>
  <c r="F35" i="4"/>
  <c r="F113" i="4"/>
  <c r="D110" i="4"/>
  <c r="F47" i="4"/>
  <c r="D25" i="4"/>
  <c r="F128" i="4"/>
  <c r="F12" i="4"/>
  <c r="F97" i="4"/>
  <c r="D108" i="4"/>
  <c r="F61" i="4"/>
  <c r="D122" i="4"/>
  <c r="D99" i="4"/>
  <c r="F65" i="4"/>
  <c r="D137" i="4"/>
  <c r="F9" i="4"/>
  <c r="D124" i="4"/>
  <c r="D74" i="4"/>
  <c r="F62" i="4"/>
  <c r="F84" i="4"/>
  <c r="F74" i="4"/>
  <c r="F30" i="4"/>
  <c r="D15" i="4"/>
  <c r="D36" i="4"/>
  <c r="D31" i="4"/>
  <c r="D56" i="4"/>
  <c r="F50" i="4"/>
  <c r="D20" i="4"/>
  <c r="D82" i="4"/>
  <c r="D127" i="4"/>
  <c r="F174" i="4"/>
  <c r="D142" i="4"/>
  <c r="D103" i="4"/>
  <c r="D33" i="4"/>
  <c r="F77" i="4"/>
  <c r="D37" i="4"/>
  <c r="F213" i="4"/>
  <c r="F197" i="4"/>
  <c r="F70" i="4"/>
  <c r="D50" i="4"/>
  <c r="D95" i="4"/>
  <c r="F110" i="4"/>
  <c r="F138" i="4"/>
  <c r="F106" i="4"/>
  <c r="F120" i="4"/>
  <c r="F214" i="4"/>
  <c r="F55" i="4"/>
  <c r="F119" i="4"/>
  <c r="D97" i="4"/>
  <c r="D38" i="4"/>
  <c r="D92" i="4"/>
  <c r="F109" i="4"/>
  <c r="F45" i="4"/>
  <c r="D89" i="4"/>
  <c r="D140" i="4"/>
  <c r="F156" i="4"/>
  <c r="F122" i="4"/>
  <c r="F105" i="4"/>
  <c r="F76" i="4"/>
  <c r="D202" i="4"/>
  <c r="F115" i="4"/>
  <c r="D109" i="4"/>
  <c r="F16" i="4"/>
  <c r="F17" i="4"/>
  <c r="F11" i="4"/>
  <c r="F54" i="4"/>
  <c r="D13" i="4"/>
  <c r="D14" i="4"/>
  <c r="D131" i="4"/>
  <c r="D69" i="4"/>
  <c r="F66" i="4"/>
  <c r="F41" i="4"/>
  <c r="F133" i="4"/>
  <c r="F10" i="4"/>
  <c r="F21" i="4"/>
  <c r="F99" i="4"/>
  <c r="F29" i="4"/>
  <c r="F111" i="4"/>
  <c r="F134" i="4"/>
  <c r="F73" i="4"/>
  <c r="F80" i="4"/>
  <c r="F118" i="4"/>
  <c r="D44" i="4"/>
  <c r="F38" i="4"/>
  <c r="F93" i="4"/>
  <c r="F43" i="4"/>
  <c r="F79" i="4"/>
  <c r="F20" i="4"/>
  <c r="F121" i="4"/>
  <c r="F142" i="4"/>
  <c r="D68" i="4"/>
  <c r="F33" i="4"/>
  <c r="F67" i="4"/>
  <c r="F8" i="4"/>
  <c r="F37" i="4"/>
  <c r="F125" i="4"/>
  <c r="D107" i="4"/>
  <c r="F31" i="4"/>
  <c r="F203" i="4"/>
  <c r="F60" i="4"/>
  <c r="D11" i="4"/>
  <c r="F14" i="4"/>
  <c r="D200" i="4"/>
  <c r="D93" i="4"/>
  <c r="D87" i="4"/>
  <c r="D135" i="4"/>
  <c r="F71" i="4"/>
  <c r="D153" i="4"/>
  <c r="D94" i="4"/>
  <c r="D43" i="4"/>
  <c r="F87" i="4"/>
  <c r="D83" i="4"/>
  <c r="F127" i="4"/>
  <c r="D66" i="4"/>
  <c r="F158" i="4"/>
  <c r="D149" i="4"/>
  <c r="D79" i="4"/>
  <c r="D225" i="4"/>
  <c r="K8" i="8" l="1"/>
  <c r="M722" i="4"/>
  <c r="N722" i="4" s="1"/>
  <c r="AH728" i="15" s="1"/>
  <c r="M657" i="4"/>
  <c r="N657" i="4" s="1"/>
  <c r="AH678" i="15" s="1"/>
  <c r="M610" i="4"/>
  <c r="N610" i="4" s="1"/>
  <c r="AH633" i="15" s="1"/>
  <c r="M571" i="4"/>
  <c r="N571" i="4" s="1"/>
  <c r="AH596" i="15" s="1"/>
  <c r="M561" i="4"/>
  <c r="N561" i="4" s="1"/>
  <c r="AH586" i="15" s="1"/>
  <c r="M524" i="4"/>
  <c r="N524" i="4" s="1"/>
  <c r="AH59" i="15" s="1"/>
  <c r="M441" i="4"/>
  <c r="N441" i="4" s="1"/>
  <c r="AH97" i="15" s="1"/>
  <c r="M733" i="4"/>
  <c r="N733" i="4" s="1"/>
  <c r="AH87" i="15" s="1"/>
  <c r="M701" i="4"/>
  <c r="N701" i="4" s="1"/>
  <c r="AH47" i="15" s="1"/>
  <c r="M653" i="4"/>
  <c r="N653" i="4" s="1"/>
  <c r="AH675" i="15" s="1"/>
  <c r="M627" i="4"/>
  <c r="N627" i="4" s="1"/>
  <c r="AH650" i="15" s="1"/>
  <c r="M611" i="4"/>
  <c r="N611" i="4" s="1"/>
  <c r="AH634" i="15" s="1"/>
  <c r="M564" i="4"/>
  <c r="N564" i="4" s="1"/>
  <c r="AH589" i="15" s="1"/>
  <c r="M488" i="4"/>
  <c r="N488" i="4" s="1"/>
  <c r="AH514" i="15" s="1"/>
  <c r="M435" i="4"/>
  <c r="N435" i="4" s="1"/>
  <c r="AH474" i="15" s="1"/>
  <c r="M396" i="4"/>
  <c r="N396" i="4" s="1"/>
  <c r="AH447" i="15" s="1"/>
  <c r="M702" i="4"/>
  <c r="N702" i="4" s="1"/>
  <c r="AH710" i="15" s="1"/>
  <c r="M684" i="4"/>
  <c r="N684" i="4" s="1"/>
  <c r="AH699" i="15" s="1"/>
  <c r="M640" i="4"/>
  <c r="N640" i="4" s="1"/>
  <c r="AH662" i="15" s="1"/>
  <c r="M587" i="4"/>
  <c r="N587" i="4" s="1"/>
  <c r="AH610" i="15" s="1"/>
  <c r="M557" i="4"/>
  <c r="N557" i="4" s="1"/>
  <c r="AH582" i="15" s="1"/>
  <c r="M523" i="4"/>
  <c r="N523" i="4" s="1"/>
  <c r="AH549" i="15" s="1"/>
  <c r="M507" i="4"/>
  <c r="N507" i="4" s="1"/>
  <c r="AH533" i="15" s="1"/>
  <c r="M448" i="4"/>
  <c r="N448" i="4" s="1"/>
  <c r="AH478" i="15" s="1"/>
  <c r="M399" i="4"/>
  <c r="N399" i="4" s="1"/>
  <c r="AH449" i="15" s="1"/>
  <c r="M727" i="4"/>
  <c r="N727" i="4" s="1"/>
  <c r="AH37" i="15" s="1"/>
  <c r="M705" i="4"/>
  <c r="N705" i="4" s="1"/>
  <c r="AH713" i="15" s="1"/>
  <c r="M674" i="4"/>
  <c r="N674" i="4" s="1"/>
  <c r="AH689" i="15" s="1"/>
  <c r="M576" i="4"/>
  <c r="N576" i="4" s="1"/>
  <c r="AH599" i="15" s="1"/>
  <c r="M520" i="4"/>
  <c r="N520" i="4" s="1"/>
  <c r="AH546" i="15" s="1"/>
  <c r="M492" i="4"/>
  <c r="N492" i="4" s="1"/>
  <c r="AH518" i="15" s="1"/>
  <c r="M484" i="4"/>
  <c r="N484" i="4" s="1"/>
  <c r="AH511" i="15" s="1"/>
  <c r="M456" i="4"/>
  <c r="N456" i="4" s="1"/>
  <c r="AH485" i="15" s="1"/>
  <c r="M424" i="4"/>
  <c r="N424" i="4" s="1"/>
  <c r="AH81" i="15" s="1"/>
  <c r="M386" i="4"/>
  <c r="N386" i="4" s="1"/>
  <c r="AH442" i="15" s="1"/>
  <c r="M714" i="4"/>
  <c r="N714" i="4" s="1"/>
  <c r="AH722" i="15" s="1"/>
  <c r="M685" i="4"/>
  <c r="N685" i="4" s="1"/>
  <c r="AH700" i="15" s="1"/>
  <c r="M675" i="4"/>
  <c r="N675" i="4" s="1"/>
  <c r="AH690" i="15" s="1"/>
  <c r="M655" i="4"/>
  <c r="N655" i="4" s="1"/>
  <c r="AH677" i="15" s="1"/>
  <c r="M638" i="4"/>
  <c r="N638" i="4" s="1"/>
  <c r="AH661" i="15" s="1"/>
  <c r="M623" i="4"/>
  <c r="N623" i="4" s="1"/>
  <c r="AH646" i="15" s="1"/>
  <c r="M607" i="4"/>
  <c r="N607" i="4" s="1"/>
  <c r="AH630" i="15" s="1"/>
  <c r="M591" i="4"/>
  <c r="N591" i="4" s="1"/>
  <c r="AH614" i="15" s="1"/>
  <c r="M579" i="4"/>
  <c r="N579" i="4" s="1"/>
  <c r="AH602" i="15" s="1"/>
  <c r="M569" i="4"/>
  <c r="N569" i="4" s="1"/>
  <c r="AH594" i="15" s="1"/>
  <c r="M536" i="4"/>
  <c r="N536" i="4" s="1"/>
  <c r="AH561" i="15" s="1"/>
  <c r="M521" i="4"/>
  <c r="N521" i="4" s="1"/>
  <c r="AH547" i="15" s="1"/>
  <c r="M505" i="4"/>
  <c r="N505" i="4" s="1"/>
  <c r="AH531" i="15" s="1"/>
  <c r="M487" i="4"/>
  <c r="N487" i="4" s="1"/>
  <c r="AH53" i="15" s="1"/>
  <c r="M466" i="4"/>
  <c r="N466" i="4" s="1"/>
  <c r="AH494" i="15" s="1"/>
  <c r="M450" i="4"/>
  <c r="N450" i="4" s="1"/>
  <c r="AH121" i="15" s="1"/>
  <c r="M438" i="4"/>
  <c r="N438" i="4" s="1"/>
  <c r="AH7" i="15" s="1"/>
  <c r="M395" i="4"/>
  <c r="N395" i="4" s="1"/>
  <c r="AH446" i="15" s="1"/>
  <c r="M373" i="4"/>
  <c r="N373" i="4" s="1"/>
  <c r="AH433" i="15" s="1"/>
  <c r="M731" i="4"/>
  <c r="N731" i="4" s="1"/>
  <c r="AH117" i="15" s="1"/>
  <c r="M720" i="4"/>
  <c r="N720" i="4" s="1"/>
  <c r="AH727" i="15" s="1"/>
  <c r="M709" i="4"/>
  <c r="N709" i="4" s="1"/>
  <c r="AH717" i="15" s="1"/>
  <c r="M699" i="4"/>
  <c r="N699" i="4" s="1"/>
  <c r="AH709" i="15" s="1"/>
  <c r="M688" i="4"/>
  <c r="N688" i="4" s="1"/>
  <c r="AH703" i="15" s="1"/>
  <c r="M665" i="4"/>
  <c r="N665" i="4" s="1"/>
  <c r="AH681" i="15" s="1"/>
  <c r="M651" i="4"/>
  <c r="N651" i="4" s="1"/>
  <c r="AH673" i="15" s="1"/>
  <c r="M636" i="4"/>
  <c r="N636" i="4" s="1"/>
  <c r="AH659" i="15" s="1"/>
  <c r="M608" i="4"/>
  <c r="N608" i="4" s="1"/>
  <c r="AH631" i="15" s="1"/>
  <c r="M592" i="4"/>
  <c r="N592" i="4" s="1"/>
  <c r="AH615" i="15" s="1"/>
  <c r="M556" i="4"/>
  <c r="N556" i="4" s="1"/>
  <c r="AH581" i="15" s="1"/>
  <c r="M528" i="4"/>
  <c r="N528" i="4" s="1"/>
  <c r="AH553" i="15" s="1"/>
  <c r="M512" i="4"/>
  <c r="N512" i="4" s="1"/>
  <c r="AH538" i="15" s="1"/>
  <c r="M496" i="4"/>
  <c r="N496" i="4" s="1"/>
  <c r="AH522" i="15" s="1"/>
  <c r="M485" i="4"/>
  <c r="N485" i="4" s="1"/>
  <c r="AH512" i="15" s="1"/>
  <c r="M470" i="4"/>
  <c r="N470" i="4" s="1"/>
  <c r="AH498" i="15" s="1"/>
  <c r="M454" i="4"/>
  <c r="N454" i="4" s="1"/>
  <c r="AH483" i="15" s="1"/>
  <c r="M432" i="4"/>
  <c r="N432" i="4" s="1"/>
  <c r="AH127" i="15" s="1"/>
  <c r="M416" i="4"/>
  <c r="N416" i="4" s="1"/>
  <c r="AH463" i="15" s="1"/>
  <c r="M404" i="4"/>
  <c r="N404" i="4" s="1"/>
  <c r="AH453" i="15" s="1"/>
  <c r="M393" i="4"/>
  <c r="N393" i="4" s="1"/>
  <c r="AH445" i="15" s="1"/>
  <c r="M383" i="4"/>
  <c r="N383" i="4" s="1"/>
  <c r="AH29" i="15" s="1"/>
  <c r="M726" i="4"/>
  <c r="N726" i="4" s="1"/>
  <c r="AH731" i="15" s="1"/>
  <c r="M693" i="4"/>
  <c r="N693" i="4" s="1"/>
  <c r="AH706" i="15" s="1"/>
  <c r="M681" i="4"/>
  <c r="N681" i="4" s="1"/>
  <c r="AH696" i="15" s="1"/>
  <c r="M671" i="4"/>
  <c r="N671" i="4" s="1"/>
  <c r="AH686" i="15" s="1"/>
  <c r="M649" i="4"/>
  <c r="N649" i="4" s="1"/>
  <c r="AH671" i="15" s="1"/>
  <c r="M631" i="4"/>
  <c r="N631" i="4" s="1"/>
  <c r="AH654" i="15" s="1"/>
  <c r="M615" i="4"/>
  <c r="N615" i="4" s="1"/>
  <c r="AH638" i="15" s="1"/>
  <c r="M599" i="4"/>
  <c r="N599" i="4" s="1"/>
  <c r="AH622" i="15" s="1"/>
  <c r="M586" i="4"/>
  <c r="N586" i="4" s="1"/>
  <c r="AH609" i="15" s="1"/>
  <c r="M575" i="4"/>
  <c r="N575" i="4" s="1"/>
  <c r="AH598" i="15" s="1"/>
  <c r="M565" i="4"/>
  <c r="N565" i="4" s="1"/>
  <c r="AH590" i="15" s="1"/>
  <c r="M554" i="4"/>
  <c r="N554" i="4" s="1"/>
  <c r="AH579" i="15" s="1"/>
  <c r="M543" i="4"/>
  <c r="N543" i="4" s="1"/>
  <c r="AH568" i="15" s="1"/>
  <c r="M532" i="4"/>
  <c r="N532" i="4" s="1"/>
  <c r="AH557" i="15" s="1"/>
  <c r="M516" i="4"/>
  <c r="N516" i="4" s="1"/>
  <c r="AH542" i="15" s="1"/>
  <c r="M500" i="4"/>
  <c r="N500" i="4" s="1"/>
  <c r="AH526" i="15" s="1"/>
  <c r="M474" i="4"/>
  <c r="N474" i="4" s="1"/>
  <c r="AH501" i="15" s="1"/>
  <c r="M458" i="4"/>
  <c r="N458" i="4" s="1"/>
  <c r="AH57" i="15" s="1"/>
  <c r="M446" i="4"/>
  <c r="N446" i="4" s="1"/>
  <c r="AH25" i="15" s="1"/>
  <c r="M430" i="4"/>
  <c r="N430" i="4" s="1"/>
  <c r="AH470" i="15" s="1"/>
  <c r="M391" i="4"/>
  <c r="N391" i="4" s="1"/>
  <c r="AH103" i="15" s="1"/>
  <c r="M735" i="4"/>
  <c r="N735" i="4" s="1"/>
  <c r="AH111" i="15" s="1"/>
  <c r="M724" i="4"/>
  <c r="N724" i="4" s="1"/>
  <c r="AH31" i="15" s="1"/>
  <c r="M713" i="4"/>
  <c r="N713" i="4" s="1"/>
  <c r="AH721" i="15" s="1"/>
  <c r="M703" i="4"/>
  <c r="N703" i="4" s="1"/>
  <c r="AH711" i="15" s="1"/>
  <c r="M689" i="4"/>
  <c r="N689" i="4" s="1"/>
  <c r="AH704" i="15" s="1"/>
  <c r="M669" i="4"/>
  <c r="N669" i="4" s="1"/>
  <c r="AH93" i="15" s="1"/>
  <c r="M659" i="4"/>
  <c r="N659" i="4" s="1"/>
  <c r="AH107" i="15" s="1"/>
  <c r="M643" i="4"/>
  <c r="N643" i="4" s="1"/>
  <c r="AH665" i="15" s="1"/>
  <c r="M625" i="4"/>
  <c r="N625" i="4" s="1"/>
  <c r="AH648" i="15" s="1"/>
  <c r="M609" i="4"/>
  <c r="N609" i="4" s="1"/>
  <c r="AH632" i="15" s="1"/>
  <c r="M593" i="4"/>
  <c r="N593" i="4" s="1"/>
  <c r="AH616" i="15" s="1"/>
  <c r="M568" i="4"/>
  <c r="N568" i="4" s="1"/>
  <c r="AH593" i="15" s="1"/>
  <c r="M517" i="4"/>
  <c r="N517" i="4" s="1"/>
  <c r="AH543" i="15" s="1"/>
  <c r="M490" i="4"/>
  <c r="N490" i="4" s="1"/>
  <c r="AH516" i="15" s="1"/>
  <c r="M481" i="4"/>
  <c r="N481" i="4" s="1"/>
  <c r="AH508" i="15" s="1"/>
  <c r="M465" i="4"/>
  <c r="N465" i="4" s="1"/>
  <c r="AH493" i="15" s="1"/>
  <c r="M452" i="4"/>
  <c r="N452" i="4" s="1"/>
  <c r="AH481" i="15" s="1"/>
  <c r="M437" i="4"/>
  <c r="N437" i="4" s="1"/>
  <c r="AH475" i="15" s="1"/>
  <c r="M421" i="4"/>
  <c r="N421" i="4" s="1"/>
  <c r="AH466" i="15" s="1"/>
  <c r="M406" i="4"/>
  <c r="N406" i="4" s="1"/>
  <c r="AH455" i="15" s="1"/>
  <c r="M394" i="4"/>
  <c r="N394" i="4" s="1"/>
  <c r="AH23" i="15" s="1"/>
  <c r="M384" i="4"/>
  <c r="N384" i="4" s="1"/>
  <c r="AH440" i="15" s="1"/>
  <c r="M692" i="4"/>
  <c r="N692" i="4" s="1"/>
  <c r="AH705" i="15" s="1"/>
  <c r="M641" i="4"/>
  <c r="N641" i="4" s="1"/>
  <c r="AH663" i="15" s="1"/>
  <c r="M594" i="4"/>
  <c r="N594" i="4" s="1"/>
  <c r="AH617" i="15" s="1"/>
  <c r="M453" i="4"/>
  <c r="N453" i="4" s="1"/>
  <c r="AH482" i="15" s="1"/>
  <c r="M403" i="4"/>
  <c r="N403" i="4" s="1"/>
  <c r="AH452" i="15" s="1"/>
  <c r="M723" i="4"/>
  <c r="N723" i="4" s="1"/>
  <c r="AH729" i="15" s="1"/>
  <c r="M690" i="4"/>
  <c r="N690" i="4" s="1"/>
  <c r="AH43" i="15" s="1"/>
  <c r="M639" i="4"/>
  <c r="N639" i="4" s="1"/>
  <c r="AH105" i="15" s="1"/>
  <c r="M595" i="4"/>
  <c r="N595" i="4" s="1"/>
  <c r="AH618" i="15" s="1"/>
  <c r="M519" i="4"/>
  <c r="N519" i="4" s="1"/>
  <c r="AH545" i="15" s="1"/>
  <c r="M503" i="4"/>
  <c r="N503" i="4" s="1"/>
  <c r="AH529" i="15" s="1"/>
  <c r="M457" i="4"/>
  <c r="N457" i="4" s="1"/>
  <c r="AH486" i="15" s="1"/>
  <c r="M407" i="4"/>
  <c r="N407" i="4" s="1"/>
  <c r="AH456" i="15" s="1"/>
  <c r="M385" i="4"/>
  <c r="N385" i="4" s="1"/>
  <c r="AH441" i="15" s="1"/>
  <c r="M656" i="4"/>
  <c r="N656" i="4" s="1"/>
  <c r="AH86" i="15" s="1"/>
  <c r="M602" i="4"/>
  <c r="N602" i="4" s="1"/>
  <c r="AH625" i="15" s="1"/>
  <c r="M578" i="4"/>
  <c r="N578" i="4" s="1"/>
  <c r="AH601" i="15" s="1"/>
  <c r="M546" i="4"/>
  <c r="N546" i="4" s="1"/>
  <c r="AH571" i="15" s="1"/>
  <c r="M461" i="4"/>
  <c r="N461" i="4" s="1"/>
  <c r="AH489" i="15" s="1"/>
  <c r="M433" i="4"/>
  <c r="N433" i="4" s="1"/>
  <c r="AH472" i="15" s="1"/>
  <c r="M374" i="4"/>
  <c r="N374" i="4" s="1"/>
  <c r="AH35" i="15" s="1"/>
  <c r="M716" i="4"/>
  <c r="N716" i="4" s="1"/>
  <c r="AH724" i="15" s="1"/>
  <c r="M696" i="4"/>
  <c r="N696" i="4" s="1"/>
  <c r="AH79" i="15" s="1"/>
  <c r="M661" i="4"/>
  <c r="N661" i="4" s="1"/>
  <c r="AH679" i="15" s="1"/>
  <c r="M645" i="4"/>
  <c r="N645" i="4" s="1"/>
  <c r="AH667" i="15" s="1"/>
  <c r="M632" i="4"/>
  <c r="N632" i="4" s="1"/>
  <c r="AH655" i="15" s="1"/>
  <c r="M600" i="4"/>
  <c r="N600" i="4" s="1"/>
  <c r="AH623" i="15" s="1"/>
  <c r="M544" i="4"/>
  <c r="N544" i="4" s="1"/>
  <c r="AH569" i="15" s="1"/>
  <c r="M504" i="4"/>
  <c r="N504" i="4" s="1"/>
  <c r="AH530" i="15" s="1"/>
  <c r="M472" i="4"/>
  <c r="N472" i="4" s="1"/>
  <c r="AH500" i="15" s="1"/>
  <c r="M440" i="4"/>
  <c r="N440" i="4" s="1"/>
  <c r="AH45" i="15" s="1"/>
  <c r="M397" i="4"/>
  <c r="N397" i="4" s="1"/>
  <c r="AH113" i="15" s="1"/>
  <c r="M706" i="4"/>
  <c r="N706" i="4" s="1"/>
  <c r="AH714" i="15" s="1"/>
  <c r="M683" i="4"/>
  <c r="N683" i="4" s="1"/>
  <c r="AH698" i="15" s="1"/>
  <c r="M672" i="4"/>
  <c r="N672" i="4" s="1"/>
  <c r="AH687" i="15" s="1"/>
  <c r="M650" i="4"/>
  <c r="N650" i="4" s="1"/>
  <c r="AH672" i="15" s="1"/>
  <c r="M635" i="4"/>
  <c r="N635" i="4" s="1"/>
  <c r="AH658" i="15" s="1"/>
  <c r="M604" i="4"/>
  <c r="N604" i="4" s="1"/>
  <c r="AH627" i="15" s="1"/>
  <c r="M588" i="4"/>
  <c r="N588" i="4" s="1"/>
  <c r="AH611" i="15" s="1"/>
  <c r="M577" i="4"/>
  <c r="N577" i="4" s="1"/>
  <c r="AH600" i="15" s="1"/>
  <c r="M566" i="4"/>
  <c r="N566" i="4" s="1"/>
  <c r="AH591" i="15" s="1"/>
  <c r="M555" i="4"/>
  <c r="N555" i="4" s="1"/>
  <c r="AH580" i="15" s="1"/>
  <c r="M545" i="4"/>
  <c r="N545" i="4" s="1"/>
  <c r="AH570" i="15" s="1"/>
  <c r="M533" i="4"/>
  <c r="N533" i="4" s="1"/>
  <c r="AH558" i="15" s="1"/>
  <c r="M518" i="4"/>
  <c r="N518" i="4" s="1"/>
  <c r="AH544" i="15" s="1"/>
  <c r="M502" i="4"/>
  <c r="N502" i="4" s="1"/>
  <c r="AH528" i="15" s="1"/>
  <c r="M479" i="4"/>
  <c r="N479" i="4" s="1"/>
  <c r="AH506" i="15" s="1"/>
  <c r="M463" i="4"/>
  <c r="N463" i="4" s="1"/>
  <c r="AH491" i="15" s="1"/>
  <c r="M447" i="4"/>
  <c r="N447" i="4" s="1"/>
  <c r="AH477" i="15" s="1"/>
  <c r="M431" i="4"/>
  <c r="N431" i="4" s="1"/>
  <c r="AH471" i="15" s="1"/>
  <c r="M415" i="4"/>
  <c r="N415" i="4" s="1"/>
  <c r="AH462" i="15" s="1"/>
  <c r="M387" i="4"/>
  <c r="N387" i="4" s="1"/>
  <c r="AH443" i="15" s="1"/>
  <c r="M372" i="4"/>
  <c r="N372" i="4" s="1"/>
  <c r="AH18" i="15" s="1"/>
  <c r="M728" i="4"/>
  <c r="N728" i="4" s="1"/>
  <c r="AH732" i="15" s="1"/>
  <c r="M717" i="4"/>
  <c r="N717" i="4" s="1"/>
  <c r="AH725" i="15" s="1"/>
  <c r="M707" i="4"/>
  <c r="N707" i="4" s="1"/>
  <c r="AH715" i="15" s="1"/>
  <c r="M697" i="4"/>
  <c r="N697" i="4" s="1"/>
  <c r="AH707" i="15" s="1"/>
  <c r="M678" i="4"/>
  <c r="N678" i="4" s="1"/>
  <c r="AH693" i="15" s="1"/>
  <c r="M663" i="4"/>
  <c r="N663" i="4" s="1"/>
  <c r="AH71" i="15" s="1"/>
  <c r="M646" i="4"/>
  <c r="N646" i="4" s="1"/>
  <c r="AH668" i="15" s="1"/>
  <c r="M633" i="4"/>
  <c r="N633" i="4" s="1"/>
  <c r="AH656" i="15" s="1"/>
  <c r="M617" i="4"/>
  <c r="N617" i="4" s="1"/>
  <c r="AH640" i="15" s="1"/>
  <c r="M580" i="4"/>
  <c r="N580" i="4" s="1"/>
  <c r="AH603" i="15" s="1"/>
  <c r="M548" i="4"/>
  <c r="N548" i="4" s="1"/>
  <c r="AH573" i="15" s="1"/>
  <c r="M525" i="4"/>
  <c r="N525" i="4" s="1"/>
  <c r="AH550" i="15" s="1"/>
  <c r="M509" i="4"/>
  <c r="N509" i="4" s="1"/>
  <c r="AH535" i="15" s="1"/>
  <c r="M494" i="4"/>
  <c r="N494" i="4" s="1"/>
  <c r="AH520" i="15" s="1"/>
  <c r="M482" i="4"/>
  <c r="N482" i="4" s="1"/>
  <c r="AH509" i="15" s="1"/>
  <c r="M467" i="4"/>
  <c r="N467" i="4" s="1"/>
  <c r="AH495" i="15" s="1"/>
  <c r="M429" i="4"/>
  <c r="N429" i="4" s="1"/>
  <c r="AH469" i="15" s="1"/>
  <c r="M413" i="4"/>
  <c r="N413" i="4" s="1"/>
  <c r="AH460" i="15" s="1"/>
  <c r="M401" i="4"/>
  <c r="N401" i="4" s="1"/>
  <c r="AH99" i="15" s="1"/>
  <c r="M390" i="4"/>
  <c r="N390" i="4" s="1"/>
  <c r="AH75" i="15" s="1"/>
  <c r="M378" i="4"/>
  <c r="N378" i="4" s="1"/>
  <c r="AH435" i="15" s="1"/>
  <c r="M718" i="4"/>
  <c r="N718" i="4" s="1"/>
  <c r="AH110" i="15" s="1"/>
  <c r="M691" i="4"/>
  <c r="N691" i="4" s="1"/>
  <c r="AH63" i="15" s="1"/>
  <c r="M679" i="4"/>
  <c r="N679" i="4" s="1"/>
  <c r="AH694" i="15" s="1"/>
  <c r="M666" i="4"/>
  <c r="N666" i="4" s="1"/>
  <c r="AH682" i="15" s="1"/>
  <c r="M647" i="4"/>
  <c r="N647" i="4" s="1"/>
  <c r="AH669" i="15" s="1"/>
  <c r="M628" i="4"/>
  <c r="N628" i="4" s="1"/>
  <c r="AH651" i="15" s="1"/>
  <c r="M596" i="4"/>
  <c r="N596" i="4" s="1"/>
  <c r="AH619" i="15" s="1"/>
  <c r="M583" i="4"/>
  <c r="N583" i="4" s="1"/>
  <c r="AH606" i="15" s="1"/>
  <c r="M573" i="4"/>
  <c r="N573" i="4" s="1"/>
  <c r="AH83" i="15" s="1"/>
  <c r="M541" i="4"/>
  <c r="N541" i="4" s="1"/>
  <c r="AH566" i="15" s="1"/>
  <c r="M529" i="4"/>
  <c r="N529" i="4" s="1"/>
  <c r="AH554" i="15" s="1"/>
  <c r="M513" i="4"/>
  <c r="N513" i="4" s="1"/>
  <c r="AH539" i="15" s="1"/>
  <c r="M471" i="4"/>
  <c r="N471" i="4" s="1"/>
  <c r="AH499" i="15" s="1"/>
  <c r="M455" i="4"/>
  <c r="N455" i="4" s="1"/>
  <c r="AH484" i="15" s="1"/>
  <c r="M439" i="4"/>
  <c r="N439" i="4" s="1"/>
  <c r="AH476" i="15" s="1"/>
  <c r="M423" i="4"/>
  <c r="N423" i="4" s="1"/>
  <c r="AH55" i="15" s="1"/>
  <c r="M408" i="4"/>
  <c r="N408" i="4" s="1"/>
  <c r="AH457" i="15" s="1"/>
  <c r="M381" i="4"/>
  <c r="N381" i="4" s="1"/>
  <c r="AH438" i="15" s="1"/>
  <c r="M732" i="4"/>
  <c r="N732" i="4" s="1"/>
  <c r="AH734" i="15" s="1"/>
  <c r="M721" i="4"/>
  <c r="N721" i="4" s="1"/>
  <c r="AH73" i="15" s="1"/>
  <c r="M711" i="4"/>
  <c r="N711" i="4" s="1"/>
  <c r="AH719" i="15" s="1"/>
  <c r="M700" i="4"/>
  <c r="N700" i="4" s="1"/>
  <c r="AH77" i="15" s="1"/>
  <c r="M687" i="4"/>
  <c r="N687" i="4" s="1"/>
  <c r="AH702" i="15" s="1"/>
  <c r="M667" i="4"/>
  <c r="N667" i="4" s="1"/>
  <c r="AH683" i="15" s="1"/>
  <c r="M654" i="4"/>
  <c r="N654" i="4" s="1"/>
  <c r="AH676" i="15" s="1"/>
  <c r="M637" i="4"/>
  <c r="N637" i="4" s="1"/>
  <c r="AH660" i="15" s="1"/>
  <c r="M622" i="4"/>
  <c r="N622" i="4" s="1"/>
  <c r="AH645" i="15" s="1"/>
  <c r="M606" i="4"/>
  <c r="N606" i="4" s="1"/>
  <c r="AH629" i="15" s="1"/>
  <c r="M590" i="4"/>
  <c r="N590" i="4" s="1"/>
  <c r="AH613" i="15" s="1"/>
  <c r="M560" i="4"/>
  <c r="N560" i="4" s="1"/>
  <c r="AH585" i="15" s="1"/>
  <c r="M530" i="4"/>
  <c r="N530" i="4" s="1"/>
  <c r="AH555" i="15" s="1"/>
  <c r="M514" i="4"/>
  <c r="N514" i="4" s="1"/>
  <c r="AH540" i="15" s="1"/>
  <c r="M498" i="4"/>
  <c r="N498" i="4" s="1"/>
  <c r="AH524" i="15" s="1"/>
  <c r="M489" i="4"/>
  <c r="N489" i="4" s="1"/>
  <c r="AH515" i="15" s="1"/>
  <c r="M478" i="4"/>
  <c r="N478" i="4" s="1"/>
  <c r="AH505" i="15" s="1"/>
  <c r="M462" i="4"/>
  <c r="N462" i="4" s="1"/>
  <c r="AH490" i="15" s="1"/>
  <c r="M449" i="4"/>
  <c r="N449" i="4" s="1"/>
  <c r="AH479" i="15" s="1"/>
  <c r="M434" i="4"/>
  <c r="N434" i="4" s="1"/>
  <c r="AH473" i="15" s="1"/>
  <c r="M402" i="4"/>
  <c r="N402" i="4" s="1"/>
  <c r="AH451" i="15" s="1"/>
  <c r="M392" i="4"/>
  <c r="N392" i="4" s="1"/>
  <c r="AH89" i="15" s="1"/>
  <c r="M377" i="4"/>
  <c r="N377" i="4" s="1"/>
  <c r="AH33" i="15" s="1"/>
  <c r="M677" i="4"/>
  <c r="N677" i="4" s="1"/>
  <c r="AH692" i="15" s="1"/>
  <c r="M626" i="4"/>
  <c r="N626" i="4" s="1"/>
  <c r="AH649" i="15" s="1"/>
  <c r="M582" i="4"/>
  <c r="N582" i="4" s="1"/>
  <c r="AH605" i="15" s="1"/>
  <c r="M550" i="4"/>
  <c r="N550" i="4" s="1"/>
  <c r="AH575" i="15" s="1"/>
  <c r="M539" i="4"/>
  <c r="N539" i="4" s="1"/>
  <c r="AH564" i="15" s="1"/>
  <c r="M508" i="4"/>
  <c r="N508" i="4" s="1"/>
  <c r="AH534" i="15" s="1"/>
  <c r="M469" i="4"/>
  <c r="N469" i="4" s="1"/>
  <c r="AH497" i="15" s="1"/>
  <c r="M425" i="4"/>
  <c r="N425" i="4" s="1"/>
  <c r="AH9" i="15" s="1"/>
  <c r="M380" i="4"/>
  <c r="N380" i="4" s="1"/>
  <c r="AH437" i="15" s="1"/>
  <c r="M712" i="4"/>
  <c r="N712" i="4" s="1"/>
  <c r="AH720" i="15" s="1"/>
  <c r="M668" i="4"/>
  <c r="N668" i="4" s="1"/>
  <c r="AH684" i="15" s="1"/>
  <c r="M473" i="4"/>
  <c r="N473" i="4" s="1"/>
  <c r="AH123" i="15" s="1"/>
  <c r="M419" i="4"/>
  <c r="N419" i="4" s="1"/>
  <c r="AH465" i="15" s="1"/>
  <c r="M734" i="4"/>
  <c r="N734" i="4" s="1"/>
  <c r="AH115" i="15" s="1"/>
  <c r="M673" i="4"/>
  <c r="N673" i="4" s="1"/>
  <c r="AH688" i="15" s="1"/>
  <c r="M618" i="4"/>
  <c r="N618" i="4" s="1"/>
  <c r="AH641" i="15" s="1"/>
  <c r="M567" i="4"/>
  <c r="N567" i="4" s="1"/>
  <c r="AH592" i="15" s="1"/>
  <c r="M535" i="4"/>
  <c r="N535" i="4" s="1"/>
  <c r="AH560" i="15" s="1"/>
  <c r="M477" i="4"/>
  <c r="N477" i="4" s="1"/>
  <c r="AH504" i="15" s="1"/>
  <c r="M417" i="4"/>
  <c r="N417" i="4" s="1"/>
  <c r="AH464" i="15" s="1"/>
  <c r="M409" i="4"/>
  <c r="N409" i="4" s="1"/>
  <c r="AH42" i="15" s="1"/>
  <c r="M730" i="4"/>
  <c r="N730" i="4" s="1"/>
  <c r="AH13" i="15" s="1"/>
  <c r="M694" i="4"/>
  <c r="N694" i="4" s="1"/>
  <c r="AH119" i="15" s="1"/>
  <c r="M680" i="4"/>
  <c r="N680" i="4" s="1"/>
  <c r="AH695" i="15" s="1"/>
  <c r="M662" i="4"/>
  <c r="N662" i="4" s="1"/>
  <c r="AH680" i="15" s="1"/>
  <c r="M648" i="4"/>
  <c r="N648" i="4" s="1"/>
  <c r="AH670" i="15" s="1"/>
  <c r="M629" i="4"/>
  <c r="N629" i="4" s="1"/>
  <c r="AH652" i="15" s="1"/>
  <c r="M613" i="4"/>
  <c r="N613" i="4" s="1"/>
  <c r="AH636" i="15" s="1"/>
  <c r="M597" i="4"/>
  <c r="N597" i="4" s="1"/>
  <c r="AH620" i="15" s="1"/>
  <c r="M585" i="4"/>
  <c r="N585" i="4" s="1"/>
  <c r="AH608" i="15" s="1"/>
  <c r="M574" i="4"/>
  <c r="N574" i="4" s="1"/>
  <c r="AH597" i="15" s="1"/>
  <c r="M563" i="4"/>
  <c r="N563" i="4" s="1"/>
  <c r="AH588" i="15" s="1"/>
  <c r="M553" i="4"/>
  <c r="N553" i="4" s="1"/>
  <c r="AH578" i="15" s="1"/>
  <c r="M531" i="4"/>
  <c r="N531" i="4" s="1"/>
  <c r="AH556" i="15" s="1"/>
  <c r="M515" i="4"/>
  <c r="N515" i="4" s="1"/>
  <c r="AH541" i="15" s="1"/>
  <c r="M499" i="4"/>
  <c r="N499" i="4" s="1"/>
  <c r="AH525" i="15" s="1"/>
  <c r="M476" i="4"/>
  <c r="N476" i="4" s="1"/>
  <c r="AH503" i="15" s="1"/>
  <c r="M460" i="4"/>
  <c r="N460" i="4" s="1"/>
  <c r="AH488" i="15" s="1"/>
  <c r="M444" i="4"/>
  <c r="N444" i="4" s="1"/>
  <c r="AH128" i="15" s="1"/>
  <c r="M428" i="4"/>
  <c r="N428" i="4" s="1"/>
  <c r="AH468" i="15" s="1"/>
  <c r="M412" i="4"/>
  <c r="N412" i="4" s="1"/>
  <c r="AH15" i="15" s="1"/>
  <c r="M382" i="4"/>
  <c r="N382" i="4" s="1"/>
  <c r="AH439" i="15" s="1"/>
  <c r="M736" i="4"/>
  <c r="N736" i="4" s="1"/>
  <c r="AH735" i="15" s="1"/>
  <c r="M725" i="4"/>
  <c r="N725" i="4" s="1"/>
  <c r="AH730" i="15" s="1"/>
  <c r="M715" i="4"/>
  <c r="N715" i="4" s="1"/>
  <c r="AH723" i="15" s="1"/>
  <c r="M704" i="4"/>
  <c r="N704" i="4" s="1"/>
  <c r="AH712" i="15" s="1"/>
  <c r="M695" i="4"/>
  <c r="N695" i="4" s="1"/>
  <c r="AH39" i="15" s="1"/>
  <c r="M670" i="4"/>
  <c r="N670" i="4" s="1"/>
  <c r="AH685" i="15" s="1"/>
  <c r="M644" i="4"/>
  <c r="N644" i="4" s="1"/>
  <c r="AH666" i="15" s="1"/>
  <c r="M630" i="4"/>
  <c r="N630" i="4" s="1"/>
  <c r="AH653" i="15" s="1"/>
  <c r="M614" i="4"/>
  <c r="N614" i="4" s="1"/>
  <c r="AH637" i="15" s="1"/>
  <c r="M598" i="4"/>
  <c r="N598" i="4" s="1"/>
  <c r="AH621" i="15" s="1"/>
  <c r="M572" i="4"/>
  <c r="N572" i="4" s="1"/>
  <c r="AH101" i="15" s="1"/>
  <c r="M540" i="4"/>
  <c r="N540" i="4" s="1"/>
  <c r="AH565" i="15" s="1"/>
  <c r="M522" i="4"/>
  <c r="N522" i="4" s="1"/>
  <c r="AH548" i="15" s="1"/>
  <c r="M506" i="4"/>
  <c r="N506" i="4" s="1"/>
  <c r="AH532" i="15" s="1"/>
  <c r="M491" i="4"/>
  <c r="N491" i="4" s="1"/>
  <c r="AH517" i="15" s="1"/>
  <c r="M480" i="4"/>
  <c r="N480" i="4" s="1"/>
  <c r="AH507" i="15" s="1"/>
  <c r="M464" i="4"/>
  <c r="N464" i="4" s="1"/>
  <c r="AH492" i="15" s="1"/>
  <c r="M442" i="4"/>
  <c r="N442" i="4" s="1"/>
  <c r="AH19" i="15" s="1"/>
  <c r="M426" i="4"/>
  <c r="N426" i="4" s="1"/>
  <c r="AH65" i="15" s="1"/>
  <c r="M410" i="4"/>
  <c r="N410" i="4" s="1"/>
  <c r="AH458" i="15" s="1"/>
  <c r="M398" i="4"/>
  <c r="N398" i="4" s="1"/>
  <c r="AH448" i="15" s="1"/>
  <c r="M388" i="4"/>
  <c r="N388" i="4" s="1"/>
  <c r="AH67" i="15" s="1"/>
  <c r="M376" i="4"/>
  <c r="N376" i="4" s="1"/>
  <c r="AH61" i="15" s="1"/>
  <c r="M710" i="4"/>
  <c r="N710" i="4" s="1"/>
  <c r="AH718" i="15" s="1"/>
  <c r="M686" i="4"/>
  <c r="N686" i="4" s="1"/>
  <c r="AH701" i="15" s="1"/>
  <c r="M676" i="4"/>
  <c r="N676" i="4" s="1"/>
  <c r="AH691" i="15" s="1"/>
  <c r="M658" i="4"/>
  <c r="N658" i="4" s="1"/>
  <c r="AH21" i="15" s="1"/>
  <c r="M642" i="4"/>
  <c r="N642" i="4" s="1"/>
  <c r="AH664" i="15" s="1"/>
  <c r="M621" i="4"/>
  <c r="N621" i="4" s="1"/>
  <c r="AH644" i="15" s="1"/>
  <c r="M589" i="4"/>
  <c r="N589" i="4" s="1"/>
  <c r="AH612" i="15" s="1"/>
  <c r="M581" i="4"/>
  <c r="N581" i="4" s="1"/>
  <c r="AH604" i="15" s="1"/>
  <c r="M570" i="4"/>
  <c r="N570" i="4" s="1"/>
  <c r="AH595" i="15" s="1"/>
  <c r="M559" i="4"/>
  <c r="N559" i="4" s="1"/>
  <c r="AH584" i="15" s="1"/>
  <c r="M549" i="4"/>
  <c r="N549" i="4" s="1"/>
  <c r="AH574" i="15" s="1"/>
  <c r="M537" i="4"/>
  <c r="N537" i="4" s="1"/>
  <c r="AH562" i="15" s="1"/>
  <c r="M526" i="4"/>
  <c r="N526" i="4" s="1"/>
  <c r="AH551" i="15" s="1"/>
  <c r="M510" i="4"/>
  <c r="N510" i="4" s="1"/>
  <c r="AH536" i="15" s="1"/>
  <c r="M483" i="4"/>
  <c r="N483" i="4" s="1"/>
  <c r="AH510" i="15" s="1"/>
  <c r="M468" i="4"/>
  <c r="N468" i="4" s="1"/>
  <c r="AH496" i="15" s="1"/>
  <c r="M451" i="4"/>
  <c r="N451" i="4" s="1"/>
  <c r="AH480" i="15" s="1"/>
  <c r="M436" i="4"/>
  <c r="N436" i="4" s="1"/>
  <c r="AH92" i="15" s="1"/>
  <c r="M420" i="4"/>
  <c r="N420" i="4" s="1"/>
  <c r="AH52" i="15" s="1"/>
  <c r="M405" i="4"/>
  <c r="N405" i="4" s="1"/>
  <c r="AH454" i="15" s="1"/>
  <c r="M379" i="4"/>
  <c r="N379" i="4" s="1"/>
  <c r="AH436" i="15" s="1"/>
  <c r="M729" i="4"/>
  <c r="N729" i="4" s="1"/>
  <c r="AH733" i="15" s="1"/>
  <c r="M719" i="4"/>
  <c r="N719" i="4" s="1"/>
  <c r="AH726" i="15" s="1"/>
  <c r="M708" i="4"/>
  <c r="N708" i="4" s="1"/>
  <c r="AH716" i="15" s="1"/>
  <c r="M698" i="4"/>
  <c r="N698" i="4" s="1"/>
  <c r="AH708" i="15" s="1"/>
  <c r="M682" i="4"/>
  <c r="N682" i="4" s="1"/>
  <c r="AH697" i="15" s="1"/>
  <c r="M664" i="4"/>
  <c r="N664" i="4" s="1"/>
  <c r="AH129" i="15" s="1"/>
  <c r="M652" i="4"/>
  <c r="N652" i="4" s="1"/>
  <c r="AH674" i="15" s="1"/>
  <c r="M634" i="4"/>
  <c r="N634" i="4" s="1"/>
  <c r="AH657" i="15" s="1"/>
  <c r="M619" i="4"/>
  <c r="N619" i="4" s="1"/>
  <c r="AH642" i="15" s="1"/>
  <c r="M603" i="4"/>
  <c r="N603" i="4" s="1"/>
  <c r="AH626" i="15" s="1"/>
  <c r="M584" i="4"/>
  <c r="N584" i="4" s="1"/>
  <c r="AH607" i="15" s="1"/>
  <c r="M552" i="4"/>
  <c r="N552" i="4" s="1"/>
  <c r="AH577" i="15" s="1"/>
  <c r="M527" i="4"/>
  <c r="N527" i="4" s="1"/>
  <c r="AH552" i="15" s="1"/>
  <c r="M511" i="4"/>
  <c r="N511" i="4" s="1"/>
  <c r="AH537" i="15" s="1"/>
  <c r="M495" i="4"/>
  <c r="N495" i="4" s="1"/>
  <c r="AH521" i="15" s="1"/>
  <c r="M486" i="4"/>
  <c r="N486" i="4" s="1"/>
  <c r="AH513" i="15" s="1"/>
  <c r="M475" i="4"/>
  <c r="N475" i="4" s="1"/>
  <c r="AH502" i="15" s="1"/>
  <c r="M459" i="4"/>
  <c r="N459" i="4" s="1"/>
  <c r="AH487" i="15" s="1"/>
  <c r="M443" i="4"/>
  <c r="N443" i="4" s="1"/>
  <c r="AH69" i="15" s="1"/>
  <c r="M427" i="4"/>
  <c r="N427" i="4" s="1"/>
  <c r="AH467" i="15" s="1"/>
  <c r="M411" i="4"/>
  <c r="N411" i="4" s="1"/>
  <c r="AH459" i="15" s="1"/>
  <c r="M400" i="4"/>
  <c r="N400" i="4" s="1"/>
  <c r="AH450" i="15" s="1"/>
  <c r="M389" i="4"/>
  <c r="N389" i="4" s="1"/>
  <c r="AH444" i="15" s="1"/>
  <c r="M375" i="4"/>
  <c r="N375" i="4" s="1"/>
  <c r="AH434" i="15" s="1"/>
  <c r="M121" i="4"/>
  <c r="N121" i="4" s="1"/>
  <c r="AH210" i="15" s="1"/>
  <c r="M60" i="4"/>
  <c r="N60" i="4" s="1"/>
  <c r="AH8" i="15" s="1"/>
  <c r="M73" i="4"/>
  <c r="N73" i="4" s="1"/>
  <c r="AH6" i="15" s="1"/>
  <c r="M119" i="4"/>
  <c r="N119" i="4" s="1"/>
  <c r="AH208" i="15" s="1"/>
  <c r="M25" i="4"/>
  <c r="N25" i="4" s="1"/>
  <c r="AH74" i="15" s="1"/>
  <c r="M160" i="4"/>
  <c r="N160" i="4" s="1"/>
  <c r="AH247" i="15" s="1"/>
  <c r="M40" i="4"/>
  <c r="N40" i="4" s="1"/>
  <c r="AH151" i="15" s="1"/>
  <c r="M112" i="4"/>
  <c r="N112" i="4" s="1"/>
  <c r="AH201" i="15" s="1"/>
  <c r="M94" i="4"/>
  <c r="N94" i="4" s="1"/>
  <c r="AH184" i="15" s="1"/>
  <c r="M92" i="4"/>
  <c r="N92" i="4" s="1"/>
  <c r="AH183" i="15" s="1"/>
  <c r="M7" i="4"/>
  <c r="N7" i="4" s="1"/>
  <c r="AH16" i="15" s="1"/>
  <c r="G7" i="4"/>
  <c r="M13" i="4"/>
  <c r="N13" i="4" s="1"/>
  <c r="AH132" i="15" s="1"/>
  <c r="M145" i="4"/>
  <c r="N145" i="4" s="1"/>
  <c r="AH233" i="15" s="1"/>
  <c r="M39" i="4"/>
  <c r="N39" i="4" s="1"/>
  <c r="AH150" i="15" s="1"/>
  <c r="M132" i="4"/>
  <c r="N132" i="4" s="1"/>
  <c r="AH220" i="15" s="1"/>
  <c r="M28" i="4"/>
  <c r="N28" i="4" s="1"/>
  <c r="AH142" i="15" s="1"/>
  <c r="M96" i="4"/>
  <c r="N96" i="4" s="1"/>
  <c r="AH186" i="15" s="1"/>
  <c r="M26" i="4"/>
  <c r="N26" i="4" s="1"/>
  <c r="AH102" i="15" s="1"/>
  <c r="M116" i="4"/>
  <c r="N116" i="4" s="1"/>
  <c r="AH205" i="15" s="1"/>
  <c r="M34" i="4"/>
  <c r="N34" i="4" s="1"/>
  <c r="AH146" i="15" s="1"/>
  <c r="M155" i="4"/>
  <c r="N155" i="4" s="1"/>
  <c r="AH243" i="15" s="1"/>
  <c r="M220" i="4"/>
  <c r="N220" i="4" s="1"/>
  <c r="AH305" i="15" s="1"/>
  <c r="M215" i="4"/>
  <c r="N215" i="4" s="1"/>
  <c r="AH300" i="15" s="1"/>
  <c r="M247" i="4"/>
  <c r="N247" i="4" s="1"/>
  <c r="AH332" i="15" s="1"/>
  <c r="M107" i="4"/>
  <c r="N107" i="4" s="1"/>
  <c r="AH197" i="15" s="1"/>
  <c r="M169" i="4"/>
  <c r="N169" i="4" s="1"/>
  <c r="AH256" i="15" s="1"/>
  <c r="M157" i="4"/>
  <c r="N157" i="4" s="1"/>
  <c r="AH245" i="15" s="1"/>
  <c r="M316" i="4"/>
  <c r="N316" i="4" s="1"/>
  <c r="AH393" i="15" s="1"/>
  <c r="M192" i="4"/>
  <c r="N192" i="4" s="1"/>
  <c r="AH279" i="15" s="1"/>
  <c r="M83" i="4"/>
  <c r="N83" i="4" s="1"/>
  <c r="AH175" i="15" s="1"/>
  <c r="M104" i="4"/>
  <c r="N104" i="4" s="1"/>
  <c r="AH194" i="15" s="1"/>
  <c r="M90" i="4"/>
  <c r="N90" i="4" s="1"/>
  <c r="AH181" i="15" s="1"/>
  <c r="M241" i="4"/>
  <c r="N241" i="4" s="1"/>
  <c r="AH326" i="15" s="1"/>
  <c r="M177" i="4"/>
  <c r="N177" i="4" s="1"/>
  <c r="AH264" i="15" s="1"/>
  <c r="M147" i="4"/>
  <c r="N147" i="4" s="1"/>
  <c r="AH235" i="15" s="1"/>
  <c r="M189" i="4"/>
  <c r="N189" i="4" s="1"/>
  <c r="AH276" i="15" s="1"/>
  <c r="M211" i="4"/>
  <c r="N211" i="4" s="1"/>
  <c r="AH296" i="15" s="1"/>
  <c r="M162" i="4"/>
  <c r="N162" i="4" s="1"/>
  <c r="AH249" i="15" s="1"/>
  <c r="M244" i="4"/>
  <c r="N244" i="4" s="1"/>
  <c r="AH329" i="15" s="1"/>
  <c r="M163" i="4"/>
  <c r="N163" i="4" s="1"/>
  <c r="AH250" i="15" s="1"/>
  <c r="M218" i="4"/>
  <c r="N218" i="4" s="1"/>
  <c r="AH303" i="15" s="1"/>
  <c r="M278" i="4"/>
  <c r="N278" i="4" s="1"/>
  <c r="AH362" i="15" s="1"/>
  <c r="M271" i="4"/>
  <c r="N271" i="4" s="1"/>
  <c r="AH356" i="15" s="1"/>
  <c r="M173" i="4"/>
  <c r="N173" i="4" s="1"/>
  <c r="AH260" i="15" s="1"/>
  <c r="M217" i="4"/>
  <c r="N217" i="4" s="1"/>
  <c r="AH302" i="15" s="1"/>
  <c r="M103" i="4"/>
  <c r="N103" i="4" s="1"/>
  <c r="AH193" i="15" s="1"/>
  <c r="M350" i="4"/>
  <c r="N350" i="4" s="1"/>
  <c r="AH420" i="15" s="1"/>
  <c r="M302" i="4"/>
  <c r="N302" i="4" s="1"/>
  <c r="AH380" i="15" s="1"/>
  <c r="M231" i="4"/>
  <c r="N231" i="4" s="1"/>
  <c r="AH316" i="15" s="1"/>
  <c r="M314" i="4"/>
  <c r="N314" i="4" s="1"/>
  <c r="AH391" i="15" s="1"/>
  <c r="M269" i="4"/>
  <c r="N269" i="4" s="1"/>
  <c r="AH354" i="15" s="1"/>
  <c r="M272" i="4"/>
  <c r="N272" i="4" s="1"/>
  <c r="AH357" i="15" s="1"/>
  <c r="M253" i="4"/>
  <c r="N253" i="4" s="1"/>
  <c r="AH338" i="15" s="1"/>
  <c r="M307" i="4"/>
  <c r="N307" i="4" s="1"/>
  <c r="AH384" i="15" s="1"/>
  <c r="M262" i="4"/>
  <c r="N262" i="4" s="1"/>
  <c r="AH347" i="15" s="1"/>
  <c r="M246" i="4"/>
  <c r="N246" i="4" s="1"/>
  <c r="AH331" i="15" s="1"/>
  <c r="M208" i="4"/>
  <c r="N208" i="4" s="1"/>
  <c r="AH82" i="15" s="1"/>
  <c r="M294" i="4"/>
  <c r="N294" i="4" s="1"/>
  <c r="AH106" i="15" s="1"/>
  <c r="M326" i="4"/>
  <c r="N326" i="4" s="1"/>
  <c r="AH62" i="15" s="1"/>
  <c r="M265" i="4"/>
  <c r="N265" i="4" s="1"/>
  <c r="AH350" i="15" s="1"/>
  <c r="M305" i="4"/>
  <c r="N305" i="4" s="1"/>
  <c r="AH382" i="15" s="1"/>
  <c r="M322" i="4"/>
  <c r="N322" i="4" s="1"/>
  <c r="AH399" i="15" s="1"/>
  <c r="M328" i="4"/>
  <c r="N328" i="4" s="1"/>
  <c r="AH403" i="15" s="1"/>
  <c r="M284" i="4"/>
  <c r="N284" i="4" s="1"/>
  <c r="AH368" i="15" s="1"/>
  <c r="M351" i="4"/>
  <c r="N351" i="4" s="1"/>
  <c r="AH421" i="15" s="1"/>
  <c r="M264" i="4"/>
  <c r="N264" i="4" s="1"/>
  <c r="AH349" i="15" s="1"/>
  <c r="M330" i="4"/>
  <c r="N330" i="4" s="1"/>
  <c r="AH38" i="15" s="1"/>
  <c r="M309" i="4"/>
  <c r="N309" i="4" s="1"/>
  <c r="AH386" i="15" s="1"/>
  <c r="M291" i="4"/>
  <c r="N291" i="4" s="1"/>
  <c r="AH84" i="15" s="1"/>
  <c r="M303" i="4"/>
  <c r="N303" i="4" s="1"/>
  <c r="AH381" i="15" s="1"/>
  <c r="M367" i="4"/>
  <c r="N367" i="4" s="1"/>
  <c r="AH431" i="15" s="1"/>
  <c r="M358" i="4"/>
  <c r="N358" i="4" s="1"/>
  <c r="AH426" i="15" s="1"/>
  <c r="M360" i="4"/>
  <c r="N360" i="4" s="1"/>
  <c r="AH427" i="15" s="1"/>
  <c r="M333" i="4"/>
  <c r="N333" i="4" s="1"/>
  <c r="AH405" i="15" s="1"/>
  <c r="M361" i="4"/>
  <c r="N361" i="4" s="1"/>
  <c r="AH428" i="15" s="1"/>
  <c r="M313" i="4"/>
  <c r="N313" i="4" s="1"/>
  <c r="AH390" i="15" s="1"/>
  <c r="M356" i="4"/>
  <c r="N356" i="4" s="1"/>
  <c r="AH72" i="15" s="1"/>
  <c r="M359" i="4"/>
  <c r="N359" i="4" s="1"/>
  <c r="AH30" i="15" s="1"/>
  <c r="M127" i="4"/>
  <c r="N127" i="4" s="1"/>
  <c r="AH215" i="15" s="1"/>
  <c r="M93" i="4"/>
  <c r="N93" i="4" s="1"/>
  <c r="AH56" i="15" s="1"/>
  <c r="M133" i="4"/>
  <c r="N133" i="4" s="1"/>
  <c r="AH221" i="15" s="1"/>
  <c r="M115" i="4"/>
  <c r="N115" i="4" s="1"/>
  <c r="AH204" i="15" s="1"/>
  <c r="M33" i="4"/>
  <c r="N33" i="4" s="1"/>
  <c r="AH145" i="15" s="1"/>
  <c r="M20" i="4"/>
  <c r="N20" i="4" s="1"/>
  <c r="AH138" i="15" s="1"/>
  <c r="M99" i="4"/>
  <c r="N99" i="4" s="1"/>
  <c r="AH189" i="15" s="1"/>
  <c r="M156" i="4"/>
  <c r="N156" i="4" s="1"/>
  <c r="AH244" i="15" s="1"/>
  <c r="M84" i="4"/>
  <c r="N84" i="4" s="1"/>
  <c r="AH176" i="15" s="1"/>
  <c r="M12" i="4"/>
  <c r="N12" i="4" s="1"/>
  <c r="AH32" i="15" s="1"/>
  <c r="M158" i="4"/>
  <c r="N158" i="4" s="1"/>
  <c r="AH246" i="15" s="1"/>
  <c r="M87" i="4"/>
  <c r="N87" i="4" s="1"/>
  <c r="AH178" i="15" s="1"/>
  <c r="M71" i="4"/>
  <c r="N71" i="4" s="1"/>
  <c r="AH90" i="15" s="1"/>
  <c r="M203" i="4"/>
  <c r="N203" i="4" s="1"/>
  <c r="AH290" i="15" s="1"/>
  <c r="M37" i="4"/>
  <c r="N37" i="4" s="1"/>
  <c r="AH148" i="15" s="1"/>
  <c r="M79" i="4"/>
  <c r="N79" i="4" s="1"/>
  <c r="AH125" i="15" s="1"/>
  <c r="M134" i="4"/>
  <c r="N134" i="4" s="1"/>
  <c r="AH222" i="15" s="1"/>
  <c r="M21" i="4"/>
  <c r="N21" i="4" s="1"/>
  <c r="AH139" i="15" s="1"/>
  <c r="M66" i="4"/>
  <c r="N66" i="4" s="1"/>
  <c r="AH168" i="15" s="1"/>
  <c r="M16" i="4"/>
  <c r="N16" i="4" s="1"/>
  <c r="AH135" i="15" s="1"/>
  <c r="M76" i="4"/>
  <c r="N76" i="4" s="1"/>
  <c r="AH96" i="15" s="1"/>
  <c r="M55" i="4"/>
  <c r="N55" i="4" s="1"/>
  <c r="AH50" i="15" s="1"/>
  <c r="M138" i="4"/>
  <c r="N138" i="4" s="1"/>
  <c r="AH226" i="15" s="1"/>
  <c r="M70" i="4"/>
  <c r="N70" i="4" s="1"/>
  <c r="AH171" i="15" s="1"/>
  <c r="M77" i="4"/>
  <c r="N77" i="4" s="1"/>
  <c r="AH17" i="15" s="1"/>
  <c r="M174" i="4"/>
  <c r="N174" i="4" s="1"/>
  <c r="AH261" i="15" s="1"/>
  <c r="M50" i="4"/>
  <c r="N50" i="4" s="1"/>
  <c r="AH159" i="15" s="1"/>
  <c r="M62" i="4"/>
  <c r="N62" i="4" s="1"/>
  <c r="AH164" i="15" s="1"/>
  <c r="M61" i="4"/>
  <c r="N61" i="4" s="1"/>
  <c r="AH64" i="15" s="1"/>
  <c r="M128" i="4"/>
  <c r="N128" i="4" s="1"/>
  <c r="AH216" i="15" s="1"/>
  <c r="M113" i="4"/>
  <c r="N113" i="4" s="1"/>
  <c r="AH202" i="15" s="1"/>
  <c r="M46" i="4"/>
  <c r="N46" i="4" s="1"/>
  <c r="AH156" i="15" s="1"/>
  <c r="M161" i="4"/>
  <c r="N161" i="4" s="1"/>
  <c r="AH248" i="15" s="1"/>
  <c r="M108" i="4"/>
  <c r="N108" i="4" s="1"/>
  <c r="AH122" i="15" s="1"/>
  <c r="M23" i="4"/>
  <c r="N23" i="4" s="1"/>
  <c r="AH66" i="15" s="1"/>
  <c r="M22" i="4"/>
  <c r="N22" i="4" s="1"/>
  <c r="AH140" i="15" s="1"/>
  <c r="M63" i="4"/>
  <c r="N63" i="4" s="1"/>
  <c r="AH165" i="15" s="1"/>
  <c r="M229" i="4"/>
  <c r="N229" i="4" s="1"/>
  <c r="AH314" i="15" s="1"/>
  <c r="M123" i="4"/>
  <c r="N123" i="4" s="1"/>
  <c r="AH211" i="15" s="1"/>
  <c r="M24" i="4"/>
  <c r="N24" i="4" s="1"/>
  <c r="AH141" i="15" s="1"/>
  <c r="M19" i="4"/>
  <c r="N19" i="4" s="1"/>
  <c r="AH137" i="15" s="1"/>
  <c r="M69" i="4"/>
  <c r="N69" i="4" s="1"/>
  <c r="AH170" i="15" s="1"/>
  <c r="M52" i="4"/>
  <c r="N52" i="4" s="1"/>
  <c r="AH161" i="15" s="1"/>
  <c r="M36" i="4"/>
  <c r="N36" i="4" s="1"/>
  <c r="AH98" i="15" s="1"/>
  <c r="M72" i="4"/>
  <c r="N72" i="4" s="1"/>
  <c r="AH172" i="15" s="1"/>
  <c r="M164" i="4"/>
  <c r="N164" i="4" s="1"/>
  <c r="AH251" i="15" s="1"/>
  <c r="M82" i="4"/>
  <c r="N82" i="4" s="1"/>
  <c r="AH174" i="15" s="1"/>
  <c r="M137" i="4"/>
  <c r="N137" i="4" s="1"/>
  <c r="AH225" i="15" s="1"/>
  <c r="M167" i="4"/>
  <c r="N167" i="4" s="1"/>
  <c r="AH254" i="15" s="1"/>
  <c r="M248" i="4"/>
  <c r="N248" i="4" s="1"/>
  <c r="AH333" i="15" s="1"/>
  <c r="M148" i="4"/>
  <c r="N148" i="4" s="1"/>
  <c r="AH236" i="15" s="1"/>
  <c r="M102" i="4"/>
  <c r="N102" i="4" s="1"/>
  <c r="AH192" i="15" s="1"/>
  <c r="M196" i="4"/>
  <c r="N196" i="4" s="1"/>
  <c r="AH283" i="15" s="1"/>
  <c r="M178" i="4"/>
  <c r="N178" i="4" s="1"/>
  <c r="AH265" i="15" s="1"/>
  <c r="M171" i="4"/>
  <c r="N171" i="4" s="1"/>
  <c r="AH258" i="15" s="1"/>
  <c r="M219" i="4"/>
  <c r="N219" i="4" s="1"/>
  <c r="AH304" i="15" s="1"/>
  <c r="M210" i="4"/>
  <c r="N210" i="4" s="1"/>
  <c r="AH295" i="15" s="1"/>
  <c r="M130" i="4"/>
  <c r="N130" i="4" s="1"/>
  <c r="AH218" i="15" s="1"/>
  <c r="M312" i="4"/>
  <c r="N312" i="4" s="1"/>
  <c r="AH389" i="15" s="1"/>
  <c r="M117" i="4"/>
  <c r="N117" i="4" s="1"/>
  <c r="AH206" i="15" s="1"/>
  <c r="M234" i="4"/>
  <c r="N234" i="4" s="1"/>
  <c r="AH319" i="15" s="1"/>
  <c r="M202" i="4"/>
  <c r="N202" i="4" s="1"/>
  <c r="AH289" i="15" s="1"/>
  <c r="M194" i="4"/>
  <c r="N194" i="4" s="1"/>
  <c r="AH281" i="15" s="1"/>
  <c r="M289" i="4"/>
  <c r="N289" i="4" s="1"/>
  <c r="AH373" i="15" s="1"/>
  <c r="M170" i="4"/>
  <c r="N170" i="4" s="1"/>
  <c r="AH257" i="15" s="1"/>
  <c r="M188" i="4"/>
  <c r="N188" i="4" s="1"/>
  <c r="AH275" i="15" s="1"/>
  <c r="M187" i="4"/>
  <c r="N187" i="4" s="1"/>
  <c r="AH274" i="15" s="1"/>
  <c r="M195" i="4"/>
  <c r="N195" i="4" s="1"/>
  <c r="AH282" i="15" s="1"/>
  <c r="M200" i="4"/>
  <c r="N200" i="4" s="1"/>
  <c r="AH287" i="15" s="1"/>
  <c r="M149" i="4"/>
  <c r="N149" i="4" s="1"/>
  <c r="AH237" i="15" s="1"/>
  <c r="M228" i="4"/>
  <c r="N228" i="4" s="1"/>
  <c r="AH313" i="15" s="1"/>
  <c r="M201" i="4"/>
  <c r="N201" i="4" s="1"/>
  <c r="AH288" i="15" s="1"/>
  <c r="M193" i="4"/>
  <c r="N193" i="4" s="1"/>
  <c r="AH280" i="15" s="1"/>
  <c r="M329" i="4"/>
  <c r="N329" i="4" s="1"/>
  <c r="AH118" i="15" s="1"/>
  <c r="M319" i="4"/>
  <c r="N319" i="4" s="1"/>
  <c r="AH396" i="15" s="1"/>
  <c r="M209" i="4"/>
  <c r="N209" i="4" s="1"/>
  <c r="AH294" i="15" s="1"/>
  <c r="M292" i="4"/>
  <c r="N292" i="4" s="1"/>
  <c r="AH375" i="15" s="1"/>
  <c r="M311" i="4"/>
  <c r="N311" i="4" s="1"/>
  <c r="AH388" i="15" s="1"/>
  <c r="M185" i="4"/>
  <c r="N185" i="4" s="1"/>
  <c r="AH272" i="15" s="1"/>
  <c r="M168" i="4"/>
  <c r="N168" i="4" s="1"/>
  <c r="AH255" i="15" s="1"/>
  <c r="M331" i="4"/>
  <c r="N331" i="4" s="1"/>
  <c r="AH78" i="15" s="1"/>
  <c r="M216" i="4"/>
  <c r="N216" i="4" s="1"/>
  <c r="AH301" i="15" s="1"/>
  <c r="M166" i="4"/>
  <c r="N166" i="4" s="1"/>
  <c r="AH253" i="15" s="1"/>
  <c r="M263" i="4"/>
  <c r="N263" i="4" s="1"/>
  <c r="AH348" i="15" s="1"/>
  <c r="M295" i="4"/>
  <c r="N295" i="4" s="1"/>
  <c r="AH48" i="15" s="1"/>
  <c r="M283" i="4"/>
  <c r="N283" i="4" s="1"/>
  <c r="AH367" i="15" s="1"/>
  <c r="M306" i="4"/>
  <c r="N306" i="4" s="1"/>
  <c r="AH383" i="15" s="1"/>
  <c r="M340" i="4"/>
  <c r="N340" i="4" s="1"/>
  <c r="AH410" i="15" s="1"/>
  <c r="M342" i="4"/>
  <c r="N342" i="4" s="1"/>
  <c r="AH412" i="15" s="1"/>
  <c r="M273" i="4"/>
  <c r="N273" i="4" s="1"/>
  <c r="AH358" i="15" s="1"/>
  <c r="M368" i="4"/>
  <c r="N368" i="4" s="1"/>
  <c r="AH85" i="15" s="1"/>
  <c r="M257" i="4"/>
  <c r="N257" i="4" s="1"/>
  <c r="AH342" i="15" s="1"/>
  <c r="M274" i="4"/>
  <c r="N274" i="4" s="1"/>
  <c r="AH104" i="15" s="1"/>
  <c r="M335" i="4"/>
  <c r="N335" i="4" s="1"/>
  <c r="AH76" i="15" s="1"/>
  <c r="M267" i="4"/>
  <c r="N267" i="4" s="1"/>
  <c r="AH352" i="15" s="1"/>
  <c r="M362" i="4"/>
  <c r="N362" i="4" s="1"/>
  <c r="AH36" i="15" s="1"/>
  <c r="M371" i="4"/>
  <c r="N371" i="4" s="1"/>
  <c r="AH432" i="15" s="1"/>
  <c r="M363" i="4"/>
  <c r="N363" i="4" s="1"/>
  <c r="AH429" i="15" s="1"/>
  <c r="M270" i="4"/>
  <c r="N270" i="4" s="1"/>
  <c r="AH355" i="15" s="1"/>
  <c r="M321" i="4"/>
  <c r="N321" i="4" s="1"/>
  <c r="AH398" i="15" s="1"/>
  <c r="M334" i="4"/>
  <c r="N334" i="4" s="1"/>
  <c r="AH406" i="15" s="1"/>
  <c r="M287" i="4"/>
  <c r="N287" i="4" s="1"/>
  <c r="AH371" i="15" s="1"/>
  <c r="M324" i="4"/>
  <c r="N324" i="4" s="1"/>
  <c r="AH401" i="15" s="1"/>
  <c r="M353" i="4"/>
  <c r="N353" i="4" s="1"/>
  <c r="AH108" i="15" s="1"/>
  <c r="M80" i="4"/>
  <c r="N80" i="4" s="1"/>
  <c r="AH94" i="15" s="1"/>
  <c r="M11" i="4"/>
  <c r="N11" i="4" s="1"/>
  <c r="AH60" i="15" s="1"/>
  <c r="M45" i="4"/>
  <c r="N45" i="4" s="1"/>
  <c r="AH155" i="15" s="1"/>
  <c r="M125" i="4"/>
  <c r="N125" i="4" s="1"/>
  <c r="AH213" i="15" s="1"/>
  <c r="M38" i="4"/>
  <c r="N38" i="4" s="1"/>
  <c r="AH149" i="15" s="1"/>
  <c r="M41" i="4"/>
  <c r="N41" i="4" s="1"/>
  <c r="AH152" i="15" s="1"/>
  <c r="M17" i="4"/>
  <c r="N17" i="4" s="1"/>
  <c r="AH136" i="15" s="1"/>
  <c r="M109" i="4"/>
  <c r="N109" i="4" s="1"/>
  <c r="AH198" i="15" s="1"/>
  <c r="M106" i="4"/>
  <c r="N106" i="4" s="1"/>
  <c r="AH196" i="15" s="1"/>
  <c r="M9" i="4"/>
  <c r="N9" i="4" s="1"/>
  <c r="AH34" i="15" s="1"/>
  <c r="M14" i="4"/>
  <c r="N14" i="4" s="1"/>
  <c r="AH133" i="15" s="1"/>
  <c r="M31" i="4"/>
  <c r="N31" i="4" s="1"/>
  <c r="AH144" i="15" s="1"/>
  <c r="M8" i="4"/>
  <c r="N8" i="4" s="1"/>
  <c r="AH130" i="15" s="1"/>
  <c r="M142" i="4"/>
  <c r="N142" i="4" s="1"/>
  <c r="AH230" i="15" s="1"/>
  <c r="M43" i="4"/>
  <c r="N43" i="4" s="1"/>
  <c r="AH154" i="15" s="1"/>
  <c r="M118" i="4"/>
  <c r="N118" i="4" s="1"/>
  <c r="AH207" i="15" s="1"/>
  <c r="M111" i="4"/>
  <c r="N111" i="4" s="1"/>
  <c r="AH200" i="15" s="1"/>
  <c r="M10" i="4"/>
  <c r="N10" i="4" s="1"/>
  <c r="AH131" i="15" s="1"/>
  <c r="M54" i="4"/>
  <c r="N54" i="4" s="1"/>
  <c r="AH162" i="15" s="1"/>
  <c r="M105" i="4"/>
  <c r="N105" i="4" s="1"/>
  <c r="AH195" i="15" s="1"/>
  <c r="M214" i="4"/>
  <c r="N214" i="4" s="1"/>
  <c r="AH299" i="15" s="1"/>
  <c r="M110" i="4"/>
  <c r="N110" i="4" s="1"/>
  <c r="AH199" i="15" s="1"/>
  <c r="M197" i="4"/>
  <c r="N197" i="4" s="1"/>
  <c r="AH284" i="15" s="1"/>
  <c r="M30" i="4"/>
  <c r="N30" i="4" s="1"/>
  <c r="AH143" i="15" s="1"/>
  <c r="M65" i="4"/>
  <c r="N65" i="4" s="1"/>
  <c r="AH167" i="15" s="1"/>
  <c r="M35" i="4"/>
  <c r="N35" i="4" s="1"/>
  <c r="AH147" i="15" s="1"/>
  <c r="M176" i="4"/>
  <c r="N176" i="4" s="1"/>
  <c r="AH263" i="15" s="1"/>
  <c r="M49" i="4"/>
  <c r="N49" i="4" s="1"/>
  <c r="AH158" i="15" s="1"/>
  <c r="M78" i="4"/>
  <c r="N78" i="4" s="1"/>
  <c r="AH68" i="15" s="1"/>
  <c r="M89" i="4"/>
  <c r="N89" i="4" s="1"/>
  <c r="AH180" i="15" s="1"/>
  <c r="M58" i="4"/>
  <c r="N58" i="4" s="1"/>
  <c r="AH54" i="15" s="1"/>
  <c r="M51" i="4"/>
  <c r="N51" i="4" s="1"/>
  <c r="AH160" i="15" s="1"/>
  <c r="M48" i="4"/>
  <c r="N48" i="4" s="1"/>
  <c r="AH157" i="15" s="1"/>
  <c r="M56" i="4"/>
  <c r="N56" i="4" s="1"/>
  <c r="AH163" i="15" s="1"/>
  <c r="M75" i="4"/>
  <c r="N75" i="4" s="1"/>
  <c r="AH44" i="15" s="1"/>
  <c r="M124" i="4"/>
  <c r="N124" i="4" s="1"/>
  <c r="AH212" i="15" s="1"/>
  <c r="M186" i="4"/>
  <c r="N186" i="4" s="1"/>
  <c r="AH273" i="15" s="1"/>
  <c r="M59" i="4"/>
  <c r="N59" i="4" s="1"/>
  <c r="AH80" i="15" s="1"/>
  <c r="M32" i="4"/>
  <c r="N32" i="4" s="1"/>
  <c r="AH112" i="15" s="1"/>
  <c r="M42" i="4"/>
  <c r="N42" i="4" s="1"/>
  <c r="AH153" i="15" s="1"/>
  <c r="M44" i="4"/>
  <c r="N44" i="4" s="1"/>
  <c r="AH40" i="15" s="1"/>
  <c r="M146" i="4"/>
  <c r="N146" i="4" s="1"/>
  <c r="AH234" i="15" s="1"/>
  <c r="M179" i="4"/>
  <c r="N179" i="4" s="1"/>
  <c r="AH266" i="15" s="1"/>
  <c r="M98" i="4"/>
  <c r="N98" i="4" s="1"/>
  <c r="AH188" i="15" s="1"/>
  <c r="M235" i="4"/>
  <c r="N235" i="4" s="1"/>
  <c r="AH320" i="15" s="1"/>
  <c r="M242" i="4"/>
  <c r="N242" i="4" s="1"/>
  <c r="AH327" i="15" s="1"/>
  <c r="M221" i="4"/>
  <c r="N221" i="4" s="1"/>
  <c r="AH306" i="15" s="1"/>
  <c r="M222" i="4"/>
  <c r="N222" i="4" s="1"/>
  <c r="AH307" i="15" s="1"/>
  <c r="M206" i="4"/>
  <c r="N206" i="4" s="1"/>
  <c r="AH293" i="15" s="1"/>
  <c r="M226" i="4"/>
  <c r="N226" i="4" s="1"/>
  <c r="AH311" i="15" s="1"/>
  <c r="M245" i="4"/>
  <c r="N245" i="4" s="1"/>
  <c r="AH330" i="15" s="1"/>
  <c r="M183" i="4"/>
  <c r="N183" i="4" s="1"/>
  <c r="AH270" i="15" s="1"/>
  <c r="M141" i="4"/>
  <c r="N141" i="4" s="1"/>
  <c r="AH229" i="15" s="1"/>
  <c r="M95" i="4"/>
  <c r="N95" i="4" s="1"/>
  <c r="AH185" i="15" s="1"/>
  <c r="M223" i="4"/>
  <c r="N223" i="4" s="1"/>
  <c r="AH308" i="15" s="1"/>
  <c r="M232" i="4"/>
  <c r="N232" i="4" s="1"/>
  <c r="AH317" i="15" s="1"/>
  <c r="M205" i="4"/>
  <c r="N205" i="4" s="1"/>
  <c r="AH292" i="15" s="1"/>
  <c r="M91" i="4"/>
  <c r="N91" i="4" s="1"/>
  <c r="AH182" i="15" s="1"/>
  <c r="M131" i="4"/>
  <c r="N131" i="4" s="1"/>
  <c r="AH219" i="15" s="1"/>
  <c r="M297" i="4"/>
  <c r="N297" i="4" s="1"/>
  <c r="AH377" i="15" s="1"/>
  <c r="M175" i="4"/>
  <c r="N175" i="4" s="1"/>
  <c r="AH262" i="15" s="1"/>
  <c r="M184" i="4"/>
  <c r="N184" i="4" s="1"/>
  <c r="AH271" i="15" s="1"/>
  <c r="M243" i="4"/>
  <c r="N243" i="4" s="1"/>
  <c r="AH328" i="15" s="1"/>
  <c r="M204" i="4"/>
  <c r="N204" i="4" s="1"/>
  <c r="AH291" i="15" s="1"/>
  <c r="M181" i="4"/>
  <c r="N181" i="4" s="1"/>
  <c r="AH268" i="15" s="1"/>
  <c r="M301" i="4"/>
  <c r="N301" i="4" s="1"/>
  <c r="AH379" i="15" s="1"/>
  <c r="M337" i="4"/>
  <c r="N337" i="4" s="1"/>
  <c r="AH407" i="15" s="1"/>
  <c r="M224" i="4"/>
  <c r="N224" i="4" s="1"/>
  <c r="AH309" i="15" s="1"/>
  <c r="M225" i="4"/>
  <c r="N225" i="4" s="1"/>
  <c r="AH310" i="15" s="1"/>
  <c r="M279" i="4"/>
  <c r="N279" i="4" s="1"/>
  <c r="AH363" i="15" s="1"/>
  <c r="M252" i="4"/>
  <c r="N252" i="4" s="1"/>
  <c r="AH337" i="15" s="1"/>
  <c r="M293" i="4"/>
  <c r="N293" i="4" s="1"/>
  <c r="AH20" i="15" s="1"/>
  <c r="M254" i="4"/>
  <c r="N254" i="4" s="1"/>
  <c r="AH339" i="15" s="1"/>
  <c r="M290" i="4"/>
  <c r="N290" i="4" s="1"/>
  <c r="AH374" i="15" s="1"/>
  <c r="M258" i="4"/>
  <c r="N258" i="4" s="1"/>
  <c r="AH343" i="15" s="1"/>
  <c r="M207" i="4"/>
  <c r="N207" i="4" s="1"/>
  <c r="AH100" i="15" s="1"/>
  <c r="M129" i="4"/>
  <c r="N129" i="4" s="1"/>
  <c r="AH217" i="15" s="1"/>
  <c r="M348" i="4"/>
  <c r="N348" i="4" s="1"/>
  <c r="AH418" i="15" s="1"/>
  <c r="M275" i="4"/>
  <c r="N275" i="4" s="1"/>
  <c r="AH359" i="15" s="1"/>
  <c r="M256" i="4"/>
  <c r="N256" i="4" s="1"/>
  <c r="AH341" i="15" s="1"/>
  <c r="M349" i="4"/>
  <c r="N349" i="4" s="1"/>
  <c r="AH419" i="15" s="1"/>
  <c r="M345" i="4"/>
  <c r="N345" i="4" s="1"/>
  <c r="AH415" i="15" s="1"/>
  <c r="M320" i="4"/>
  <c r="N320" i="4" s="1"/>
  <c r="AH397" i="15" s="1"/>
  <c r="M298" i="4"/>
  <c r="N298" i="4" s="1"/>
  <c r="AH70" i="15" s="1"/>
  <c r="M286" i="4"/>
  <c r="N286" i="4" s="1"/>
  <c r="AH370" i="15" s="1"/>
  <c r="M310" i="4"/>
  <c r="N310" i="4" s="1"/>
  <c r="AH387" i="15" s="1"/>
  <c r="M338" i="4"/>
  <c r="N338" i="4" s="1"/>
  <c r="AH408" i="15" s="1"/>
  <c r="M299" i="4"/>
  <c r="N299" i="4" s="1"/>
  <c r="AH126" i="15" s="1"/>
  <c r="M346" i="4"/>
  <c r="N346" i="4" s="1"/>
  <c r="AH416" i="15" s="1"/>
  <c r="M268" i="4"/>
  <c r="N268" i="4" s="1"/>
  <c r="AH353" i="15" s="1"/>
  <c r="M327" i="4"/>
  <c r="N327" i="4" s="1"/>
  <c r="AH402" i="15" s="1"/>
  <c r="M355" i="4"/>
  <c r="N355" i="4" s="1"/>
  <c r="AH424" i="15" s="1"/>
  <c r="M365" i="4"/>
  <c r="N365" i="4" s="1"/>
  <c r="AH12" i="15" s="1"/>
  <c r="M336" i="4"/>
  <c r="N336" i="4" s="1"/>
  <c r="AH46" i="15" s="1"/>
  <c r="M347" i="4"/>
  <c r="N347" i="4" s="1"/>
  <c r="AH417" i="15" s="1"/>
  <c r="M260" i="4"/>
  <c r="N260" i="4" s="1"/>
  <c r="AH345" i="15" s="1"/>
  <c r="M304" i="4"/>
  <c r="N304" i="4" s="1"/>
  <c r="AH91" i="15" s="1"/>
  <c r="M318" i="4"/>
  <c r="N318" i="4" s="1"/>
  <c r="AH395" i="15" s="1"/>
  <c r="M332" i="4"/>
  <c r="N332" i="4" s="1"/>
  <c r="AH404" i="15" s="1"/>
  <c r="M352" i="4"/>
  <c r="N352" i="4" s="1"/>
  <c r="AH422" i="15" s="1"/>
  <c r="M370" i="4"/>
  <c r="N370" i="4" s="1"/>
  <c r="AH109" i="15" s="1"/>
  <c r="M67" i="4"/>
  <c r="N67" i="4" s="1"/>
  <c r="AH124" i="15" s="1"/>
  <c r="M29" i="4"/>
  <c r="N29" i="4" s="1"/>
  <c r="AH22" i="15" s="1"/>
  <c r="M122" i="4"/>
  <c r="N122" i="4" s="1"/>
  <c r="AH51" i="15" s="1"/>
  <c r="M120" i="4"/>
  <c r="N120" i="4" s="1"/>
  <c r="AH209" i="15" s="1"/>
  <c r="M213" i="4"/>
  <c r="N213" i="4" s="1"/>
  <c r="AH298" i="15" s="1"/>
  <c r="M74" i="4"/>
  <c r="N74" i="4" s="1"/>
  <c r="AH173" i="15" s="1"/>
  <c r="M97" i="4"/>
  <c r="N97" i="4" s="1"/>
  <c r="AH187" i="15" s="1"/>
  <c r="M47" i="4"/>
  <c r="N47" i="4" s="1"/>
  <c r="AH14" i="15" s="1"/>
  <c r="M126" i="4"/>
  <c r="N126" i="4" s="1"/>
  <c r="AH214" i="15" s="1"/>
  <c r="M86" i="4"/>
  <c r="N86" i="4" s="1"/>
  <c r="AH177" i="15" s="1"/>
  <c r="M27" i="4"/>
  <c r="N27" i="4" s="1"/>
  <c r="AH88" i="15" s="1"/>
  <c r="M114" i="4"/>
  <c r="N114" i="4" s="1"/>
  <c r="AH203" i="15" s="1"/>
  <c r="M88" i="4"/>
  <c r="N88" i="4" s="1"/>
  <c r="AH179" i="15" s="1"/>
  <c r="M18" i="4"/>
  <c r="N18" i="4" s="1"/>
  <c r="AH28" i="15" s="1"/>
  <c r="M139" i="4"/>
  <c r="N139" i="4" s="1"/>
  <c r="AH227" i="15" s="1"/>
  <c r="M140" i="4"/>
  <c r="N140" i="4" s="1"/>
  <c r="AH228" i="15" s="1"/>
  <c r="M53" i="4"/>
  <c r="N53" i="4" s="1"/>
  <c r="AH26" i="15" s="1"/>
  <c r="M227" i="4"/>
  <c r="N227" i="4" s="1"/>
  <c r="AH312" i="15" s="1"/>
  <c r="M15" i="4"/>
  <c r="N15" i="4" s="1"/>
  <c r="AH134" i="15" s="1"/>
  <c r="M64" i="4"/>
  <c r="N64" i="4" s="1"/>
  <c r="AH166" i="15" s="1"/>
  <c r="M57" i="4"/>
  <c r="N57" i="4" s="1"/>
  <c r="AH10" i="15" s="1"/>
  <c r="M68" i="4"/>
  <c r="N68" i="4" s="1"/>
  <c r="AH169" i="15" s="1"/>
  <c r="M101" i="4"/>
  <c r="N101" i="4" s="1"/>
  <c r="AH191" i="15" s="1"/>
  <c r="M212" i="4"/>
  <c r="N212" i="4" s="1"/>
  <c r="AH297" i="15" s="1"/>
  <c r="M239" i="4"/>
  <c r="N239" i="4" s="1"/>
  <c r="AH324" i="15" s="1"/>
  <c r="M198" i="4"/>
  <c r="N198" i="4" s="1"/>
  <c r="AH285" i="15" s="1"/>
  <c r="M190" i="4"/>
  <c r="N190" i="4" s="1"/>
  <c r="AH277" i="15" s="1"/>
  <c r="M144" i="4"/>
  <c r="N144" i="4" s="1"/>
  <c r="AH232" i="15" s="1"/>
  <c r="M151" i="4"/>
  <c r="N151" i="4" s="1"/>
  <c r="AH239" i="15" s="1"/>
  <c r="M100" i="4"/>
  <c r="N100" i="4" s="1"/>
  <c r="AH190" i="15" s="1"/>
  <c r="M230" i="4"/>
  <c r="N230" i="4" s="1"/>
  <c r="AH315" i="15" s="1"/>
  <c r="M240" i="4"/>
  <c r="N240" i="4" s="1"/>
  <c r="AH325" i="15" s="1"/>
  <c r="M251" i="4"/>
  <c r="N251" i="4" s="1"/>
  <c r="AH336" i="15" s="1"/>
  <c r="M81" i="4"/>
  <c r="N81" i="4" s="1"/>
  <c r="AH24" i="15" s="1"/>
  <c r="M150" i="4"/>
  <c r="N150" i="4" s="1"/>
  <c r="AH238" i="15" s="1"/>
  <c r="M237" i="4"/>
  <c r="N237" i="4" s="1"/>
  <c r="AH322" i="15" s="1"/>
  <c r="M85" i="4"/>
  <c r="N85" i="4" s="1"/>
  <c r="AH120" i="15" s="1"/>
  <c r="M135" i="4"/>
  <c r="N135" i="4" s="1"/>
  <c r="AH223" i="15" s="1"/>
  <c r="M136" i="4"/>
  <c r="N136" i="4" s="1"/>
  <c r="AH224" i="15" s="1"/>
  <c r="M172" i="4"/>
  <c r="N172" i="4" s="1"/>
  <c r="AH259" i="15" s="1"/>
  <c r="M180" i="4"/>
  <c r="N180" i="4" s="1"/>
  <c r="AH267" i="15" s="1"/>
  <c r="M159" i="4"/>
  <c r="N159" i="4" s="1"/>
  <c r="AH58" i="15" s="1"/>
  <c r="M238" i="4"/>
  <c r="N238" i="4" s="1"/>
  <c r="AH323" i="15" s="1"/>
  <c r="M191" i="4"/>
  <c r="N191" i="4" s="1"/>
  <c r="AH278" i="15" s="1"/>
  <c r="M153" i="4"/>
  <c r="N153" i="4" s="1"/>
  <c r="AH241" i="15" s="1"/>
  <c r="M236" i="4"/>
  <c r="N236" i="4" s="1"/>
  <c r="AH321" i="15" s="1"/>
  <c r="M199" i="4"/>
  <c r="N199" i="4" s="1"/>
  <c r="AH286" i="15" s="1"/>
  <c r="M165" i="4"/>
  <c r="N165" i="4" s="1"/>
  <c r="AH252" i="15" s="1"/>
  <c r="M143" i="4"/>
  <c r="N143" i="4" s="1"/>
  <c r="AH231" i="15" s="1"/>
  <c r="M233" i="4"/>
  <c r="N233" i="4" s="1"/>
  <c r="AH318" i="15" s="1"/>
  <c r="M152" i="4"/>
  <c r="N152" i="4" s="1"/>
  <c r="AH240" i="15" s="1"/>
  <c r="M249" i="4"/>
  <c r="N249" i="4" s="1"/>
  <c r="AH334" i="15" s="1"/>
  <c r="M288" i="4"/>
  <c r="N288" i="4" s="1"/>
  <c r="AH372" i="15" s="1"/>
  <c r="M182" i="4"/>
  <c r="N182" i="4" s="1"/>
  <c r="AH269" i="15" s="1"/>
  <c r="M280" i="4"/>
  <c r="N280" i="4" s="1"/>
  <c r="AH364" i="15" s="1"/>
  <c r="M250" i="4"/>
  <c r="N250" i="4" s="1"/>
  <c r="AH335" i="15" s="1"/>
  <c r="M154" i="4"/>
  <c r="N154" i="4" s="1"/>
  <c r="AH242" i="15" s="1"/>
  <c r="M266" i="4"/>
  <c r="N266" i="4" s="1"/>
  <c r="AH351" i="15" s="1"/>
  <c r="M282" i="4"/>
  <c r="N282" i="4" s="1"/>
  <c r="AH366" i="15" s="1"/>
  <c r="M325" i="4"/>
  <c r="N325" i="4" s="1"/>
  <c r="AH41" i="15" s="1"/>
  <c r="M317" i="4"/>
  <c r="N317" i="4" s="1"/>
  <c r="AH394" i="15" s="1"/>
  <c r="M261" i="4"/>
  <c r="N261" i="4" s="1"/>
  <c r="AH346" i="15" s="1"/>
  <c r="M339" i="4"/>
  <c r="N339" i="4" s="1"/>
  <c r="AH409" i="15" s="1"/>
  <c r="M259" i="4"/>
  <c r="N259" i="4" s="1"/>
  <c r="AH344" i="15" s="1"/>
  <c r="M285" i="4"/>
  <c r="N285" i="4" s="1"/>
  <c r="AH369" i="15" s="1"/>
  <c r="M281" i="4"/>
  <c r="N281" i="4" s="1"/>
  <c r="AH365" i="15" s="1"/>
  <c r="M308" i="4"/>
  <c r="N308" i="4" s="1"/>
  <c r="AH385" i="15" s="1"/>
  <c r="M315" i="4"/>
  <c r="N315" i="4" s="1"/>
  <c r="AH392" i="15" s="1"/>
  <c r="M300" i="4"/>
  <c r="N300" i="4" s="1"/>
  <c r="AH378" i="15" s="1"/>
  <c r="M343" i="4"/>
  <c r="N343" i="4" s="1"/>
  <c r="AH413" i="15" s="1"/>
  <c r="M296" i="4"/>
  <c r="N296" i="4" s="1"/>
  <c r="AH376" i="15" s="1"/>
  <c r="M277" i="4"/>
  <c r="N277" i="4" s="1"/>
  <c r="AH361" i="15" s="1"/>
  <c r="M255" i="4"/>
  <c r="N255" i="4" s="1"/>
  <c r="AH340" i="15" s="1"/>
  <c r="M369" i="4"/>
  <c r="N369" i="4" s="1"/>
  <c r="AH114" i="15" s="1"/>
  <c r="M323" i="4"/>
  <c r="N323" i="4" s="1"/>
  <c r="AH400" i="15" s="1"/>
  <c r="M364" i="4"/>
  <c r="N364" i="4" s="1"/>
  <c r="AH430" i="15" s="1"/>
  <c r="M344" i="4"/>
  <c r="N344" i="4" s="1"/>
  <c r="AH414" i="15" s="1"/>
  <c r="M366" i="4"/>
  <c r="N366" i="4" s="1"/>
  <c r="AH116" i="15" s="1"/>
  <c r="M341" i="4"/>
  <c r="N341" i="4" s="1"/>
  <c r="AH411" i="15" s="1"/>
  <c r="M354" i="4"/>
  <c r="N354" i="4" s="1"/>
  <c r="AH423" i="15" s="1"/>
  <c r="M276" i="4"/>
  <c r="N276" i="4" s="1"/>
  <c r="AH360" i="15" s="1"/>
  <c r="M357" i="4"/>
  <c r="N357" i="4" s="1"/>
  <c r="AH425" i="15" s="1"/>
  <c r="K25" i="8" l="1"/>
  <c r="K27" i="8"/>
  <c r="K26" i="8"/>
  <c r="K24" i="8"/>
  <c r="K22" i="8"/>
  <c r="K23" i="8" s="1"/>
  <c r="E41" i="6"/>
  <c r="E40" i="6"/>
  <c r="K12" i="8"/>
  <c r="E7" i="4"/>
  <c r="J7" i="4"/>
  <c r="K7" i="4" s="1"/>
  <c r="H7" i="4" l="1"/>
  <c r="I7" i="4" l="1"/>
  <c r="L7" i="4" s="1"/>
  <c r="G8" i="4"/>
  <c r="J8" i="4" s="1"/>
  <c r="K8" i="4" s="1"/>
  <c r="AB23" i="15" l="1"/>
  <c r="E8" i="4"/>
  <c r="H8" i="4" s="1"/>
  <c r="O7" i="4"/>
  <c r="G9" i="4" l="1"/>
  <c r="E9" i="4" s="1"/>
  <c r="I8" i="4"/>
  <c r="J9" i="4" l="1"/>
  <c r="K9" i="4" s="1"/>
  <c r="L8" i="4"/>
  <c r="AB200" i="15" l="1"/>
  <c r="H9" i="4"/>
  <c r="O8" i="4"/>
  <c r="I9" i="4" l="1"/>
  <c r="L9" i="4" s="1"/>
  <c r="G10" i="4"/>
  <c r="J10" i="4" s="1"/>
  <c r="K10" i="4" s="1"/>
  <c r="AB35" i="15" l="1"/>
  <c r="E10" i="4"/>
  <c r="O9" i="4"/>
  <c r="H10" i="4" l="1"/>
  <c r="I10" i="4" s="1"/>
  <c r="L10" i="4" s="1"/>
  <c r="AB165" i="15" l="1"/>
  <c r="G11" i="4"/>
  <c r="J11" i="4" s="1"/>
  <c r="K11" i="4" s="1"/>
  <c r="O10" i="4"/>
  <c r="E11" i="4" l="1"/>
  <c r="H11" i="4" s="1"/>
  <c r="G12" i="4" s="1"/>
  <c r="E12" i="4" s="1"/>
  <c r="I11" i="4" l="1"/>
  <c r="L11" i="4" s="1"/>
  <c r="J12" i="4"/>
  <c r="K12" i="4" s="1"/>
  <c r="O11" i="4" l="1"/>
  <c r="AB87" i="15"/>
  <c r="H12" i="4"/>
  <c r="G13" i="4" s="1"/>
  <c r="J13" i="4" s="1"/>
  <c r="K13" i="4" s="1"/>
  <c r="I12" i="4" l="1"/>
  <c r="L12" i="4" s="1"/>
  <c r="E13" i="4"/>
  <c r="O12" i="4" l="1"/>
  <c r="AB31" i="15"/>
  <c r="H13" i="4"/>
  <c r="G14" i="4" s="1"/>
  <c r="J14" i="4" s="1"/>
  <c r="K14" i="4" s="1"/>
  <c r="I13" i="4" l="1"/>
  <c r="L13" i="4" s="1"/>
  <c r="E14" i="4"/>
  <c r="O13" i="4" l="1"/>
  <c r="AB144" i="15"/>
  <c r="H14" i="4"/>
  <c r="G15" i="4" s="1"/>
  <c r="J15" i="4" s="1"/>
  <c r="K15" i="4" s="1"/>
  <c r="I14" i="4" l="1"/>
  <c r="L14" i="4" s="1"/>
  <c r="E15" i="4"/>
  <c r="O14" i="4" l="1"/>
  <c r="AB168" i="15"/>
  <c r="H15" i="4"/>
  <c r="G16" i="4" s="1"/>
  <c r="J16" i="4" s="1"/>
  <c r="K16" i="4" s="1"/>
  <c r="I15" i="4" l="1"/>
  <c r="L15" i="4" s="1"/>
  <c r="E16" i="4"/>
  <c r="O15" i="4" l="1"/>
  <c r="AB199" i="15"/>
  <c r="H16" i="4"/>
  <c r="G17" i="4" s="1"/>
  <c r="J17" i="4" s="1"/>
  <c r="K17" i="4" s="1"/>
  <c r="I16" i="4" l="1"/>
  <c r="L16" i="4" s="1"/>
  <c r="E17" i="4"/>
  <c r="O16" i="4" l="1"/>
  <c r="AB226" i="15"/>
  <c r="H17" i="4"/>
  <c r="G18" i="4" s="1"/>
  <c r="J18" i="4" s="1"/>
  <c r="K18" i="4" s="1"/>
  <c r="I17" i="4" l="1"/>
  <c r="L17" i="4" s="1"/>
  <c r="E18" i="4"/>
  <c r="O17" i="4" l="1"/>
  <c r="AB227" i="15"/>
  <c r="H18" i="4"/>
  <c r="I18" i="4" s="1"/>
  <c r="L18" i="4" s="1"/>
  <c r="O18" i="4" l="1"/>
  <c r="AB29" i="15"/>
  <c r="G19" i="4"/>
  <c r="E19" i="4" s="1"/>
  <c r="H19" i="4" l="1"/>
  <c r="I19" i="4" s="1"/>
  <c r="J19" i="4"/>
  <c r="K19" i="4" s="1"/>
  <c r="L19" i="4" l="1"/>
  <c r="G20" i="4"/>
  <c r="E20" i="4" s="1"/>
  <c r="O19" i="4" l="1"/>
  <c r="AB148" i="15"/>
  <c r="J20" i="4"/>
  <c r="K20" i="4" s="1"/>
  <c r="H20" i="4"/>
  <c r="G21" i="4" l="1"/>
  <c r="E21" i="4" s="1"/>
  <c r="I20" i="4"/>
  <c r="J21" i="4" l="1"/>
  <c r="K21" i="4" s="1"/>
  <c r="H21" i="4"/>
  <c r="L20" i="4"/>
  <c r="AB170" i="15" s="1"/>
  <c r="G22" i="4" l="1"/>
  <c r="J22" i="4" s="1"/>
  <c r="K22" i="4" s="1"/>
  <c r="I21" i="4"/>
  <c r="L21" i="4" s="1"/>
  <c r="AB193" i="15" s="1"/>
  <c r="O20" i="4"/>
  <c r="E22" i="4" l="1"/>
  <c r="O21" i="4"/>
  <c r="H22" i="4" l="1"/>
  <c r="G23" i="4" s="1"/>
  <c r="J23" i="4" s="1"/>
  <c r="K23" i="4" s="1"/>
  <c r="I22" i="4" l="1"/>
  <c r="L22" i="4" s="1"/>
  <c r="E23" i="4"/>
  <c r="O22" i="4" l="1"/>
  <c r="AB222" i="15"/>
  <c r="H23" i="4"/>
  <c r="I23" i="4" s="1"/>
  <c r="L23" i="4" s="1"/>
  <c r="AB104" i="15" s="1"/>
  <c r="G24" i="4" l="1"/>
  <c r="E24" i="4" s="1"/>
  <c r="O23" i="4"/>
  <c r="J24" i="4" l="1"/>
  <c r="K24" i="4" s="1"/>
  <c r="H24" i="4"/>
  <c r="I24" i="4" l="1"/>
  <c r="L24" i="4" s="1"/>
  <c r="AB180" i="15" s="1"/>
  <c r="G25" i="4"/>
  <c r="J25" i="4" s="1"/>
  <c r="K25" i="4" s="1"/>
  <c r="O24" i="4" l="1"/>
  <c r="E25" i="4"/>
  <c r="H25" i="4" l="1"/>
  <c r="G26" i="4" s="1"/>
  <c r="E26" i="4" s="1"/>
  <c r="I25" i="4" l="1"/>
  <c r="L25" i="4" s="1"/>
  <c r="AB101" i="15" s="1"/>
  <c r="J26" i="4"/>
  <c r="K26" i="4" s="1"/>
  <c r="O25" i="4" l="1"/>
  <c r="H26" i="4"/>
  <c r="I26" i="4" l="1"/>
  <c r="G27" i="4"/>
  <c r="E27" i="4" s="1"/>
  <c r="J27" i="4" l="1"/>
  <c r="K27" i="4" s="1"/>
  <c r="L26" i="4"/>
  <c r="AB126" i="15" s="1"/>
  <c r="O26" i="4" l="1"/>
  <c r="H27" i="4"/>
  <c r="I27" i="4" l="1"/>
  <c r="G28" i="4"/>
  <c r="E28" i="4" s="1"/>
  <c r="J28" i="4" l="1"/>
  <c r="K28" i="4" s="1"/>
  <c r="L27" i="4"/>
  <c r="AB113" i="15" s="1"/>
  <c r="H28" i="4" l="1"/>
  <c r="O27" i="4"/>
  <c r="I28" i="4" l="1"/>
  <c r="L28" i="4" s="1"/>
  <c r="AB154" i="15" s="1"/>
  <c r="G29" i="4"/>
  <c r="J29" i="4" s="1"/>
  <c r="K29" i="4" s="1"/>
  <c r="E29" i="4" l="1"/>
  <c r="O28" i="4"/>
  <c r="H29" i="4" l="1"/>
  <c r="I29" i="4" s="1"/>
  <c r="L29" i="4" s="1"/>
  <c r="AB21" i="15" s="1"/>
  <c r="G30" i="4" l="1"/>
  <c r="J30" i="4" s="1"/>
  <c r="K30" i="4" s="1"/>
  <c r="O29" i="4"/>
  <c r="E30" i="4" l="1"/>
  <c r="H30" i="4" s="1"/>
  <c r="I30" i="4" l="1"/>
  <c r="L30" i="4" s="1"/>
  <c r="AB115" i="15" s="1"/>
  <c r="G31" i="4"/>
  <c r="E31" i="4" s="1"/>
  <c r="J31" i="4" l="1"/>
  <c r="K31" i="4" s="1"/>
  <c r="O30" i="4"/>
  <c r="H31" i="4"/>
  <c r="I31" i="4" l="1"/>
  <c r="G32" i="4"/>
  <c r="E32" i="4" s="1"/>
  <c r="J32" i="4" l="1"/>
  <c r="K32" i="4" s="1"/>
  <c r="L31" i="4"/>
  <c r="AB140" i="15" s="1"/>
  <c r="H32" i="4" l="1"/>
  <c r="O31" i="4"/>
  <c r="I32" i="4" l="1"/>
  <c r="L32" i="4" s="1"/>
  <c r="AB132" i="15" s="1"/>
  <c r="G33" i="4"/>
  <c r="J33" i="4" s="1"/>
  <c r="K33" i="4" s="1"/>
  <c r="E33" i="4" l="1"/>
  <c r="O32" i="4"/>
  <c r="H33" i="4" l="1"/>
  <c r="G34" i="4" s="1"/>
  <c r="J34" i="4" s="1"/>
  <c r="K34" i="4" s="1"/>
  <c r="I33" i="4" l="1"/>
  <c r="L33" i="4" s="1"/>
  <c r="E34" i="4"/>
  <c r="O33" i="4" l="1"/>
  <c r="AB159" i="15"/>
  <c r="H34" i="4"/>
  <c r="I34" i="4" s="1"/>
  <c r="L34" i="4" s="1"/>
  <c r="AB186" i="15" s="1"/>
  <c r="G35" i="4" l="1"/>
  <c r="E35" i="4" s="1"/>
  <c r="O34" i="4"/>
  <c r="J35" i="4" l="1"/>
  <c r="K35" i="4" s="1"/>
  <c r="H35" i="4"/>
  <c r="I35" i="4" s="1"/>
  <c r="L35" i="4" l="1"/>
  <c r="G36" i="4"/>
  <c r="J36" i="4" s="1"/>
  <c r="K36" i="4" s="1"/>
  <c r="O35" i="4" l="1"/>
  <c r="AB196" i="15"/>
  <c r="E36" i="4"/>
  <c r="H36" i="4" l="1"/>
  <c r="I36" i="4" s="1"/>
  <c r="L36" i="4" s="1"/>
  <c r="O36" i="4" l="1"/>
  <c r="AB174" i="15"/>
  <c r="G37" i="4"/>
  <c r="J37" i="4" l="1"/>
  <c r="K37" i="4" s="1"/>
  <c r="E37" i="4"/>
  <c r="H37" i="4" l="1"/>
  <c r="I37" i="4" l="1"/>
  <c r="L37" i="4" s="1"/>
  <c r="G38" i="4"/>
  <c r="O37" i="4" l="1"/>
  <c r="AB178" i="15"/>
  <c r="E38" i="4"/>
  <c r="J38" i="4"/>
  <c r="K38" i="4" s="1"/>
  <c r="H38" i="4" l="1"/>
  <c r="I38" i="4" l="1"/>
  <c r="L38" i="4" s="1"/>
  <c r="G39" i="4"/>
  <c r="O38" i="4" l="1"/>
  <c r="AB194" i="15"/>
  <c r="E39" i="4"/>
  <c r="J39" i="4"/>
  <c r="K39" i="4" s="1"/>
  <c r="H39" i="4" l="1"/>
  <c r="I39" i="4" l="1"/>
  <c r="L39" i="4" s="1"/>
  <c r="G40" i="4"/>
  <c r="J40" i="4" s="1"/>
  <c r="K40" i="4" s="1"/>
  <c r="O39" i="4" l="1"/>
  <c r="AB204" i="15"/>
  <c r="E40" i="4"/>
  <c r="H40" i="4" l="1"/>
  <c r="I40" i="4" l="1"/>
  <c r="L40" i="4" s="1"/>
  <c r="G41" i="4"/>
  <c r="J41" i="4" s="1"/>
  <c r="K41" i="4" s="1"/>
  <c r="O40" i="4" l="1"/>
  <c r="AB231" i="15"/>
  <c r="E41" i="4"/>
  <c r="H41" i="4" l="1"/>
  <c r="G42" i="4" l="1"/>
  <c r="J42" i="4" s="1"/>
  <c r="K42" i="4" s="1"/>
  <c r="I41" i="4"/>
  <c r="L41" i="4" s="1"/>
  <c r="O41" i="4" l="1"/>
  <c r="AB229" i="15"/>
  <c r="E42" i="4"/>
  <c r="H42" i="4" l="1"/>
  <c r="I42" i="4" l="1"/>
  <c r="L42" i="4" s="1"/>
  <c r="G43" i="4"/>
  <c r="J43" i="4" s="1"/>
  <c r="K43" i="4" s="1"/>
  <c r="O42" i="4" l="1"/>
  <c r="AB254" i="15"/>
  <c r="E43" i="4"/>
  <c r="H43" i="4" l="1"/>
  <c r="I43" i="4" l="1"/>
  <c r="L43" i="4" s="1"/>
  <c r="G44" i="4"/>
  <c r="O43" i="4" l="1"/>
  <c r="AB281" i="15"/>
  <c r="J44" i="4"/>
  <c r="K44" i="4" s="1"/>
  <c r="E44" i="4"/>
  <c r="H44" i="4" l="1"/>
  <c r="G45" i="4" l="1"/>
  <c r="J45" i="4" s="1"/>
  <c r="K45" i="4" s="1"/>
  <c r="I44" i="4"/>
  <c r="L44" i="4" s="1"/>
  <c r="O44" i="4" l="1"/>
  <c r="AB49" i="15"/>
  <c r="E45" i="4"/>
  <c r="H45" i="4" l="1"/>
  <c r="I45" i="4" l="1"/>
  <c r="L45" i="4" s="1"/>
  <c r="G46" i="4"/>
  <c r="J46" i="4" s="1"/>
  <c r="K46" i="4" s="1"/>
  <c r="O45" i="4" l="1"/>
  <c r="AB228" i="15"/>
  <c r="E46" i="4"/>
  <c r="H46" i="4" l="1"/>
  <c r="I46" i="4" l="1"/>
  <c r="L46" i="4" s="1"/>
  <c r="G47" i="4"/>
  <c r="O46" i="4" l="1"/>
  <c r="AB233" i="15"/>
  <c r="E47" i="4"/>
  <c r="J47" i="4"/>
  <c r="K47" i="4" s="1"/>
  <c r="H47" i="4" l="1"/>
  <c r="G48" i="4" l="1"/>
  <c r="I47" i="4"/>
  <c r="L47" i="4" s="1"/>
  <c r="O47" i="4" l="1"/>
  <c r="AB17" i="15"/>
  <c r="J48" i="4"/>
  <c r="K48" i="4" s="1"/>
  <c r="E48" i="4"/>
  <c r="H48" i="4" l="1"/>
  <c r="G49" i="4" l="1"/>
  <c r="I48" i="4"/>
  <c r="L48" i="4" s="1"/>
  <c r="O48" i="4" l="1"/>
  <c r="AB145" i="15"/>
  <c r="J49" i="4"/>
  <c r="K49" i="4" s="1"/>
  <c r="E49" i="4"/>
  <c r="H49" i="4" l="1"/>
  <c r="I49" i="4" l="1"/>
  <c r="L49" i="4" s="1"/>
  <c r="G50" i="4"/>
  <c r="J50" i="4" s="1"/>
  <c r="K50" i="4" s="1"/>
  <c r="O49" i="4" l="1"/>
  <c r="AB155" i="15"/>
  <c r="E50" i="4"/>
  <c r="H50" i="4" l="1"/>
  <c r="G51" i="4" l="1"/>
  <c r="J51" i="4" s="1"/>
  <c r="K51" i="4" s="1"/>
  <c r="I50" i="4"/>
  <c r="L50" i="4" s="1"/>
  <c r="O50" i="4" l="1"/>
  <c r="AB177" i="15"/>
  <c r="E51" i="4"/>
  <c r="H51" i="4" s="1"/>
  <c r="G52" i="4" s="1"/>
  <c r="I51" i="4" l="1"/>
  <c r="L51" i="4" s="1"/>
  <c r="E52" i="4"/>
  <c r="J52" i="4"/>
  <c r="O51" i="4" l="1"/>
  <c r="AB205" i="15"/>
  <c r="H52" i="4"/>
  <c r="K52" i="4"/>
  <c r="I52" i="4" l="1"/>
  <c r="L52" i="4" s="1"/>
  <c r="G53" i="4"/>
  <c r="O52" i="4" l="1"/>
  <c r="AB213" i="15"/>
  <c r="E53" i="4"/>
  <c r="J53" i="4"/>
  <c r="K53" i="4" s="1"/>
  <c r="H53" i="4" l="1"/>
  <c r="I53" i="4" l="1"/>
  <c r="L53" i="4" s="1"/>
  <c r="G54" i="4"/>
  <c r="J54" i="4" s="1"/>
  <c r="O53" i="4" l="1"/>
  <c r="AB25" i="15"/>
  <c r="E54" i="4"/>
  <c r="K54" i="4"/>
  <c r="H54" i="4" l="1"/>
  <c r="I54" i="4" l="1"/>
  <c r="L54" i="4" s="1"/>
  <c r="G55" i="4"/>
  <c r="O54" i="4" l="1"/>
  <c r="AB136" i="15"/>
  <c r="E55" i="4"/>
  <c r="J55" i="4"/>
  <c r="K55" i="4" l="1"/>
  <c r="H55" i="4"/>
  <c r="G56" i="4" l="1"/>
  <c r="I55" i="4"/>
  <c r="L55" i="4" s="1"/>
  <c r="O55" i="4" l="1"/>
  <c r="AB44" i="15"/>
  <c r="E56" i="4"/>
  <c r="J56" i="4"/>
  <c r="K56" i="4" l="1"/>
  <c r="H56" i="4"/>
  <c r="I56" i="4" l="1"/>
  <c r="L56" i="4" s="1"/>
  <c r="G57" i="4"/>
  <c r="J57" i="4" s="1"/>
  <c r="K57" i="4" s="1"/>
  <c r="O56" i="4" l="1"/>
  <c r="AB138" i="15"/>
  <c r="E57" i="4"/>
  <c r="H57" i="4" l="1"/>
  <c r="G58" i="4" l="1"/>
  <c r="J58" i="4" s="1"/>
  <c r="I57" i="4"/>
  <c r="L57" i="4" s="1"/>
  <c r="O57" i="4" l="1"/>
  <c r="AB11" i="15"/>
  <c r="E58" i="4"/>
  <c r="K58" i="4"/>
  <c r="H58" i="4" l="1"/>
  <c r="I58" i="4" l="1"/>
  <c r="L58" i="4" s="1"/>
  <c r="G59" i="4"/>
  <c r="J59" i="4" s="1"/>
  <c r="O58" i="4" l="1"/>
  <c r="AB39" i="15"/>
  <c r="E59" i="4"/>
  <c r="K59" i="4"/>
  <c r="H59" i="4" l="1"/>
  <c r="I59" i="4" l="1"/>
  <c r="L59" i="4" s="1"/>
  <c r="G60" i="4"/>
  <c r="J60" i="4" s="1"/>
  <c r="O59" i="4" l="1"/>
  <c r="AB80" i="15"/>
  <c r="E60" i="4"/>
  <c r="K60" i="4"/>
  <c r="H60" i="4" l="1"/>
  <c r="I60" i="4" l="1"/>
  <c r="L60" i="4" s="1"/>
  <c r="G61" i="4"/>
  <c r="J61" i="4" s="1"/>
  <c r="O60" i="4" l="1"/>
  <c r="AB9" i="15"/>
  <c r="E61" i="4"/>
  <c r="K61" i="4"/>
  <c r="H61" i="4" l="1"/>
  <c r="I61" i="4" l="1"/>
  <c r="L61" i="4" s="1"/>
  <c r="G62" i="4"/>
  <c r="J62" i="4" s="1"/>
  <c r="O61" i="4" l="1"/>
  <c r="AB48" i="15"/>
  <c r="E62" i="4"/>
  <c r="K62" i="4"/>
  <c r="H62" i="4" l="1"/>
  <c r="G63" i="4" l="1"/>
  <c r="J63" i="4" s="1"/>
  <c r="I62" i="4"/>
  <c r="L62" i="4" s="1"/>
  <c r="O62" i="4" l="1"/>
  <c r="AB83" i="15"/>
  <c r="E63" i="4"/>
  <c r="K63" i="4"/>
  <c r="H63" i="4" l="1"/>
  <c r="G64" i="4" l="1"/>
  <c r="I63" i="4"/>
  <c r="L63" i="4" s="1"/>
  <c r="O63" i="4" l="1"/>
  <c r="AB90" i="15"/>
  <c r="E64" i="4"/>
  <c r="J64" i="4"/>
  <c r="H64" i="4" l="1"/>
  <c r="K64" i="4"/>
  <c r="G65" i="4" l="1"/>
  <c r="J65" i="4" s="1"/>
  <c r="K65" i="4" s="1"/>
  <c r="I64" i="4"/>
  <c r="L64" i="4" s="1"/>
  <c r="O64" i="4" l="1"/>
  <c r="AB93" i="15"/>
  <c r="E65" i="4"/>
  <c r="H65" i="4" l="1"/>
  <c r="G66" i="4" l="1"/>
  <c r="J66" i="4" s="1"/>
  <c r="K66" i="4" s="1"/>
  <c r="I65" i="4"/>
  <c r="L65" i="4" s="1"/>
  <c r="O65" i="4" l="1"/>
  <c r="AB106" i="15"/>
  <c r="E66" i="4"/>
  <c r="H66" i="4" l="1"/>
  <c r="I66" i="4" l="1"/>
  <c r="L66" i="4" s="1"/>
  <c r="G67" i="4"/>
  <c r="O66" i="4" l="1"/>
  <c r="AB123" i="15"/>
  <c r="J67" i="4"/>
  <c r="K67" i="4" s="1"/>
  <c r="E67" i="4"/>
  <c r="H67" i="4" l="1"/>
  <c r="I67" i="4" l="1"/>
  <c r="L67" i="4" s="1"/>
  <c r="AB120" i="15" s="1"/>
  <c r="G68" i="4"/>
  <c r="J68" i="4" s="1"/>
  <c r="K68" i="4" s="1"/>
  <c r="E68" i="4" l="1"/>
  <c r="O67" i="4"/>
  <c r="E66" i="12"/>
  <c r="F66" i="12" s="1"/>
  <c r="H66" i="12" s="1"/>
  <c r="H68" i="4" l="1"/>
  <c r="G69" i="4" l="1"/>
  <c r="I68" i="4"/>
  <c r="L68" i="4" s="1"/>
  <c r="AB146" i="15" s="1"/>
  <c r="E67" i="12" l="1"/>
  <c r="F67" i="12" s="1"/>
  <c r="H67" i="12" s="1"/>
  <c r="O68" i="4"/>
  <c r="J69" i="4"/>
  <c r="K69" i="4" s="1"/>
  <c r="E69" i="4"/>
  <c r="H69" i="4" l="1"/>
  <c r="I69" i="4" l="1"/>
  <c r="L69" i="4" s="1"/>
  <c r="AB149" i="15" s="1"/>
  <c r="G70" i="4"/>
  <c r="J70" i="4" l="1"/>
  <c r="K70" i="4" s="1"/>
  <c r="E70" i="4"/>
  <c r="E68" i="12"/>
  <c r="F68" i="12" s="1"/>
  <c r="H68" i="12" s="1"/>
  <c r="O69" i="4"/>
  <c r="H70" i="4" l="1"/>
  <c r="G71" i="4" l="1"/>
  <c r="J71" i="4" s="1"/>
  <c r="K71" i="4" s="1"/>
  <c r="I70" i="4"/>
  <c r="L70" i="4" s="1"/>
  <c r="AB172" i="15" s="1"/>
  <c r="E71" i="4" l="1"/>
  <c r="O70" i="4"/>
  <c r="E69" i="12"/>
  <c r="F69" i="12" s="1"/>
  <c r="H69" i="12" s="1"/>
  <c r="H71" i="4" l="1"/>
  <c r="G72" i="4" l="1"/>
  <c r="J72" i="4" s="1"/>
  <c r="K72" i="4" s="1"/>
  <c r="I71" i="4"/>
  <c r="L71" i="4" s="1"/>
  <c r="AB133" i="15" s="1"/>
  <c r="E72" i="4" l="1"/>
  <c r="O71" i="4"/>
  <c r="E70" i="12"/>
  <c r="F70" i="12" s="1"/>
  <c r="H70" i="12" s="1"/>
  <c r="H72" i="4" l="1"/>
  <c r="I72" i="4" s="1"/>
  <c r="L72" i="4" s="1"/>
  <c r="AB169" i="15" s="1"/>
  <c r="G73" i="4" l="1"/>
  <c r="J73" i="4" s="1"/>
  <c r="K73" i="4" s="1"/>
  <c r="O72" i="4"/>
  <c r="E71" i="12"/>
  <c r="F71" i="12" s="1"/>
  <c r="H71" i="12" s="1"/>
  <c r="E73" i="4" l="1"/>
  <c r="H73" i="4" l="1"/>
  <c r="G74" i="4" l="1"/>
  <c r="I73" i="4"/>
  <c r="L73" i="4" s="1"/>
  <c r="AB7" i="15" s="1"/>
  <c r="O73" i="4" l="1"/>
  <c r="E72" i="12"/>
  <c r="F72" i="12" s="1"/>
  <c r="H72" i="12" s="1"/>
  <c r="J74" i="4"/>
  <c r="K74" i="4" s="1"/>
  <c r="E74" i="4"/>
  <c r="H74" i="4" l="1"/>
  <c r="I74" i="4" l="1"/>
  <c r="L74" i="4" s="1"/>
  <c r="AB81" i="15" s="1"/>
  <c r="G75" i="4"/>
  <c r="J75" i="4" s="1"/>
  <c r="K75" i="4" s="1"/>
  <c r="E75" i="4" l="1"/>
  <c r="E73" i="12"/>
  <c r="F73" i="12" s="1"/>
  <c r="H73" i="12" s="1"/>
  <c r="O74" i="4"/>
  <c r="H75" i="4" l="1"/>
  <c r="G76" i="4" l="1"/>
  <c r="J76" i="4" s="1"/>
  <c r="K76" i="4" s="1"/>
  <c r="I75" i="4"/>
  <c r="L75" i="4" s="1"/>
  <c r="AB33" i="15" s="1"/>
  <c r="O75" i="4" l="1"/>
  <c r="E74" i="12"/>
  <c r="F74" i="12" s="1"/>
  <c r="H74" i="12" s="1"/>
  <c r="E76" i="4"/>
  <c r="H76" i="4" l="1"/>
  <c r="I76" i="4" l="1"/>
  <c r="L76" i="4" s="1"/>
  <c r="AB67" i="15" s="1"/>
  <c r="G77" i="4"/>
  <c r="J77" i="4" s="1"/>
  <c r="K77" i="4" s="1"/>
  <c r="E77" i="4" l="1"/>
  <c r="O76" i="4"/>
  <c r="E75" i="12"/>
  <c r="F75" i="12" s="1"/>
  <c r="H75" i="12" s="1"/>
  <c r="H77" i="4" l="1"/>
  <c r="I77" i="4" l="1"/>
  <c r="L77" i="4" s="1"/>
  <c r="AB16" i="15" s="1"/>
  <c r="G78" i="4"/>
  <c r="J78" i="4" s="1"/>
  <c r="K78" i="4" s="1"/>
  <c r="E78" i="4" l="1"/>
  <c r="H78" i="4" s="1"/>
  <c r="O77" i="4"/>
  <c r="E76" i="12"/>
  <c r="F76" i="12" s="1"/>
  <c r="H76" i="12" s="1"/>
  <c r="I78" i="4" l="1"/>
  <c r="L78" i="4" s="1"/>
  <c r="AB45" i="15" s="1"/>
  <c r="G79" i="4"/>
  <c r="J79" i="4" s="1"/>
  <c r="K79" i="4" s="1"/>
  <c r="E79" i="4" l="1"/>
  <c r="H79" i="4" s="1"/>
  <c r="E77" i="12"/>
  <c r="F77" i="12" s="1"/>
  <c r="H77" i="12" s="1"/>
  <c r="O78" i="4"/>
  <c r="I79" i="4" l="1"/>
  <c r="L79" i="4" s="1"/>
  <c r="AB56" i="15" s="1"/>
  <c r="G80" i="4"/>
  <c r="J80" i="4" s="1"/>
  <c r="K80" i="4" s="1"/>
  <c r="E80" i="4" l="1"/>
  <c r="O79" i="4"/>
  <c r="E78" i="12"/>
  <c r="F78" i="12" s="1"/>
  <c r="H78" i="12" s="1"/>
  <c r="H80" i="4" l="1"/>
  <c r="I80" i="4" l="1"/>
  <c r="L80" i="4" s="1"/>
  <c r="AB51" i="15" s="1"/>
  <c r="G81" i="4"/>
  <c r="J81" i="4" s="1"/>
  <c r="K81" i="4" s="1"/>
  <c r="E81" i="4" l="1"/>
  <c r="O80" i="4"/>
  <c r="E79" i="12"/>
  <c r="F79" i="12" s="1"/>
  <c r="H79" i="12" s="1"/>
  <c r="H81" i="4" l="1"/>
  <c r="G82" i="4" s="1"/>
  <c r="J82" i="4" s="1"/>
  <c r="K82" i="4" s="1"/>
  <c r="I81" i="4" l="1"/>
  <c r="L81" i="4" s="1"/>
  <c r="E82" i="4"/>
  <c r="O81" i="4" l="1"/>
  <c r="AB19" i="15"/>
  <c r="E80" i="12"/>
  <c r="F80" i="12" s="1"/>
  <c r="H80" i="12" s="1"/>
  <c r="H82" i="4"/>
  <c r="I82" i="4" l="1"/>
  <c r="L82" i="4" s="1"/>
  <c r="AB54" i="15" s="1"/>
  <c r="G83" i="4"/>
  <c r="J83" i="4" s="1"/>
  <c r="K83" i="4" s="1"/>
  <c r="E83" i="4" l="1"/>
  <c r="O82" i="4"/>
  <c r="E81" i="12"/>
  <c r="F81" i="12" s="1"/>
  <c r="H81" i="12" s="1"/>
  <c r="H83" i="4" l="1"/>
  <c r="G84" i="4" s="1"/>
  <c r="I83" i="4" l="1"/>
  <c r="L83" i="4" s="1"/>
  <c r="J84" i="4"/>
  <c r="K84" i="4" s="1"/>
  <c r="E84" i="4"/>
  <c r="O83" i="4" l="1"/>
  <c r="AB57" i="15"/>
  <c r="E82" i="12"/>
  <c r="F82" i="12" s="1"/>
  <c r="H82" i="12" s="1"/>
  <c r="H84" i="4"/>
  <c r="G85" i="4" l="1"/>
  <c r="J85" i="4" s="1"/>
  <c r="K85" i="4" s="1"/>
  <c r="I84" i="4"/>
  <c r="L84" i="4" s="1"/>
  <c r="AB70" i="15" s="1"/>
  <c r="O84" i="4" l="1"/>
  <c r="E83" i="12"/>
  <c r="F83" i="12" s="1"/>
  <c r="H83" i="12" s="1"/>
  <c r="E85" i="4"/>
  <c r="H85" i="4" l="1"/>
  <c r="G86" i="4" l="1"/>
  <c r="I85" i="4"/>
  <c r="L85" i="4" s="1"/>
  <c r="AB69" i="15" s="1"/>
  <c r="E84" i="12" l="1"/>
  <c r="F84" i="12" s="1"/>
  <c r="H84" i="12" s="1"/>
  <c r="O85" i="4"/>
  <c r="J86" i="4"/>
  <c r="K86" i="4" s="1"/>
  <c r="E86" i="4"/>
  <c r="H86" i="4" l="1"/>
  <c r="I86" i="4" l="1"/>
  <c r="L86" i="4" s="1"/>
  <c r="AB77" i="15" s="1"/>
  <c r="G87" i="4"/>
  <c r="J87" i="4" s="1"/>
  <c r="K87" i="4" s="1"/>
  <c r="E87" i="4" l="1"/>
  <c r="E85" i="12"/>
  <c r="F85" i="12" s="1"/>
  <c r="H85" i="12" s="1"/>
  <c r="O86" i="4"/>
  <c r="H87" i="4" l="1"/>
  <c r="I87" i="4" l="1"/>
  <c r="L87" i="4" s="1"/>
  <c r="AB85" i="15" s="1"/>
  <c r="G88" i="4"/>
  <c r="J88" i="4" s="1"/>
  <c r="K88" i="4" s="1"/>
  <c r="E88" i="4" l="1"/>
  <c r="H88" i="4" s="1"/>
  <c r="E86" i="12"/>
  <c r="F86" i="12" s="1"/>
  <c r="H86" i="12" s="1"/>
  <c r="O87" i="4"/>
  <c r="I88" i="4" l="1"/>
  <c r="L88" i="4" s="1"/>
  <c r="AB86" i="15" s="1"/>
  <c r="G89" i="4"/>
  <c r="J89" i="4" l="1"/>
  <c r="K89" i="4" s="1"/>
  <c r="E89" i="4"/>
  <c r="E87" i="12"/>
  <c r="F87" i="12" s="1"/>
  <c r="H87" i="12" s="1"/>
  <c r="O88" i="4"/>
  <c r="H89" i="4" l="1"/>
  <c r="G90" i="4" l="1"/>
  <c r="I89" i="4"/>
  <c r="L89" i="4" s="1"/>
  <c r="AB91" i="15" s="1"/>
  <c r="E88" i="12" l="1"/>
  <c r="F88" i="12" s="1"/>
  <c r="H88" i="12" s="1"/>
  <c r="O89" i="4"/>
  <c r="E90" i="4"/>
  <c r="J90" i="4"/>
  <c r="K90" i="4" s="1"/>
  <c r="H90" i="4" l="1"/>
  <c r="I90" i="4" l="1"/>
  <c r="L90" i="4" s="1"/>
  <c r="AB98" i="15" s="1"/>
  <c r="G91" i="4"/>
  <c r="J91" i="4" l="1"/>
  <c r="K91" i="4" s="1"/>
  <c r="E91" i="4"/>
  <c r="E89" i="12"/>
  <c r="F89" i="12" s="1"/>
  <c r="H89" i="12" s="1"/>
  <c r="O90" i="4"/>
  <c r="H91" i="4" l="1"/>
  <c r="I91" i="4" l="1"/>
  <c r="L91" i="4" s="1"/>
  <c r="AB114" i="15" s="1"/>
  <c r="G92" i="4"/>
  <c r="J92" i="4" l="1"/>
  <c r="K92" i="4" s="1"/>
  <c r="E92" i="4"/>
  <c r="E90" i="12"/>
  <c r="F90" i="12" s="1"/>
  <c r="H90" i="12" s="1"/>
  <c r="O91" i="4"/>
  <c r="H92" i="4" l="1"/>
  <c r="G93" i="4" l="1"/>
  <c r="J93" i="4" s="1"/>
  <c r="K93" i="4" s="1"/>
  <c r="I92" i="4"/>
  <c r="L92" i="4" s="1"/>
  <c r="AB131" i="15" s="1"/>
  <c r="E93" i="4" l="1"/>
  <c r="E91" i="12"/>
  <c r="F91" i="12" s="1"/>
  <c r="H91" i="12" s="1"/>
  <c r="O92" i="4"/>
  <c r="H93" i="4" l="1"/>
  <c r="G94" i="4" l="1"/>
  <c r="I93" i="4"/>
  <c r="L93" i="4" s="1"/>
  <c r="AB42" i="15" s="1"/>
  <c r="E92" i="12" l="1"/>
  <c r="F92" i="12" s="1"/>
  <c r="H92" i="12" s="1"/>
  <c r="O93" i="4"/>
  <c r="E94" i="4"/>
  <c r="J94" i="4"/>
  <c r="K94" i="4" s="1"/>
  <c r="H94" i="4" l="1"/>
  <c r="I94" i="4" l="1"/>
  <c r="L94" i="4" s="1"/>
  <c r="AB100" i="15" s="1"/>
  <c r="G95" i="4"/>
  <c r="J95" i="4" l="1"/>
  <c r="K95" i="4" s="1"/>
  <c r="E95" i="4"/>
  <c r="O94" i="4"/>
  <c r="E93" i="12"/>
  <c r="F93" i="12" s="1"/>
  <c r="H93" i="12" s="1"/>
  <c r="H95" i="4" l="1"/>
  <c r="I95" i="4" l="1"/>
  <c r="L95" i="4" s="1"/>
  <c r="AB107" i="15" s="1"/>
  <c r="G96" i="4"/>
  <c r="J96" i="4" s="1"/>
  <c r="K96" i="4" s="1"/>
  <c r="E96" i="4" l="1"/>
  <c r="O95" i="4"/>
  <c r="E94" i="12"/>
  <c r="F94" i="12" s="1"/>
  <c r="H94" i="12" s="1"/>
  <c r="H96" i="4" l="1"/>
  <c r="I96" i="4" s="1"/>
  <c r="L96" i="4" s="1"/>
  <c r="AB121" i="15" s="1"/>
  <c r="G97" i="4" l="1"/>
  <c r="J97" i="4" s="1"/>
  <c r="K97" i="4" s="1"/>
  <c r="E95" i="12"/>
  <c r="F95" i="12" s="1"/>
  <c r="H95" i="12" s="1"/>
  <c r="O96" i="4"/>
  <c r="E97" i="4" l="1"/>
  <c r="H97" i="4" s="1"/>
  <c r="G98" i="4" l="1"/>
  <c r="I97" i="4"/>
  <c r="L97" i="4" s="1"/>
  <c r="AB143" i="15" s="1"/>
  <c r="E96" i="12" l="1"/>
  <c r="F96" i="12" s="1"/>
  <c r="H96" i="12" s="1"/>
  <c r="O97" i="4"/>
  <c r="E98" i="4"/>
  <c r="J98" i="4"/>
  <c r="K98" i="4" s="1"/>
  <c r="H98" i="4" l="1"/>
  <c r="G99" i="4" l="1"/>
  <c r="I98" i="4"/>
  <c r="L98" i="4" s="1"/>
  <c r="AB163" i="15" s="1"/>
  <c r="O98" i="4" l="1"/>
  <c r="E97" i="12"/>
  <c r="F97" i="12" s="1"/>
  <c r="H97" i="12" s="1"/>
  <c r="J99" i="4"/>
  <c r="K99" i="4" s="1"/>
  <c r="E99" i="4"/>
  <c r="H99" i="4" l="1"/>
  <c r="G100" i="4" l="1"/>
  <c r="I99" i="4"/>
  <c r="L99" i="4" s="1"/>
  <c r="AB181" i="15" s="1"/>
  <c r="E98" i="12" l="1"/>
  <c r="F98" i="12" s="1"/>
  <c r="H98" i="12" s="1"/>
  <c r="O99" i="4"/>
  <c r="J100" i="4"/>
  <c r="K100" i="4" s="1"/>
  <c r="E100" i="4"/>
  <c r="H100" i="4" l="1"/>
  <c r="G101" i="4" l="1"/>
  <c r="I100" i="4"/>
  <c r="L100" i="4" s="1"/>
  <c r="AB203" i="15" s="1"/>
  <c r="O100" i="4" l="1"/>
  <c r="E99" i="12"/>
  <c r="F99" i="12" s="1"/>
  <c r="H99" i="12" s="1"/>
  <c r="J101" i="4"/>
  <c r="K101" i="4" s="1"/>
  <c r="E101" i="4"/>
  <c r="H101" i="4" l="1"/>
  <c r="I101" i="4" l="1"/>
  <c r="L101" i="4" s="1"/>
  <c r="AB224" i="15" s="1"/>
  <c r="G102" i="4"/>
  <c r="J102" i="4" l="1"/>
  <c r="K102" i="4" s="1"/>
  <c r="E102" i="4"/>
  <c r="O101" i="4"/>
  <c r="E100" i="12"/>
  <c r="F100" i="12" s="1"/>
  <c r="H100" i="12" s="1"/>
  <c r="H102" i="4" l="1"/>
  <c r="I102" i="4" l="1"/>
  <c r="L102" i="4" s="1"/>
  <c r="AB238" i="15" s="1"/>
  <c r="G103" i="4"/>
  <c r="J103" i="4" s="1"/>
  <c r="K103" i="4" s="1"/>
  <c r="E103" i="4" l="1"/>
  <c r="O102" i="4"/>
  <c r="E101" i="12"/>
  <c r="F101" i="12" s="1"/>
  <c r="H101" i="12" s="1"/>
  <c r="H103" i="4" l="1"/>
  <c r="I103" i="4" l="1"/>
  <c r="L103" i="4" s="1"/>
  <c r="AB256" i="15" s="1"/>
  <c r="G104" i="4"/>
  <c r="J104" i="4" s="1"/>
  <c r="K104" i="4" s="1"/>
  <c r="E104" i="4" l="1"/>
  <c r="O103" i="4"/>
  <c r="E102" i="12"/>
  <c r="F102" i="12" s="1"/>
  <c r="H102" i="12" s="1"/>
  <c r="H104" i="4" l="1"/>
  <c r="I104" i="4" l="1"/>
  <c r="L104" i="4" s="1"/>
  <c r="AB269" i="15" s="1"/>
  <c r="G105" i="4"/>
  <c r="J105" i="4" s="1"/>
  <c r="K105" i="4" s="1"/>
  <c r="E105" i="4" l="1"/>
  <c r="E103" i="12"/>
  <c r="F103" i="12" s="1"/>
  <c r="H103" i="12" s="1"/>
  <c r="O104" i="4"/>
  <c r="H105" i="4" l="1"/>
  <c r="I105" i="4" s="1"/>
  <c r="L105" i="4" s="1"/>
  <c r="AB276" i="15" s="1"/>
  <c r="G106" i="4" l="1"/>
  <c r="J106" i="4" s="1"/>
  <c r="K106" i="4" s="1"/>
  <c r="O105" i="4"/>
  <c r="E104" i="12"/>
  <c r="F104" i="12" s="1"/>
  <c r="H104" i="12" s="1"/>
  <c r="E106" i="4" l="1"/>
  <c r="H106" i="4" s="1"/>
  <c r="I106" i="4" l="1"/>
  <c r="L106" i="4" s="1"/>
  <c r="AB278" i="15" s="1"/>
  <c r="G107" i="4"/>
  <c r="E107" i="4" l="1"/>
  <c r="J107" i="4"/>
  <c r="K107" i="4" s="1"/>
  <c r="O106" i="4"/>
  <c r="E105" i="12"/>
  <c r="F105" i="12" s="1"/>
  <c r="H105" i="12" s="1"/>
  <c r="H107" i="4" l="1"/>
  <c r="G108" i="4" l="1"/>
  <c r="I107" i="4"/>
  <c r="L107" i="4" s="1"/>
  <c r="AB280" i="15" s="1"/>
  <c r="E108" i="4" l="1"/>
  <c r="J108" i="4"/>
  <c r="K108" i="4" s="1"/>
  <c r="E106" i="12"/>
  <c r="F106" i="12" s="1"/>
  <c r="H106" i="12" s="1"/>
  <c r="O107" i="4"/>
  <c r="H108" i="4" l="1"/>
  <c r="I108" i="4" l="1"/>
  <c r="L108" i="4" s="1"/>
  <c r="AB263" i="15" s="1"/>
  <c r="G109" i="4"/>
  <c r="J109" i="4" l="1"/>
  <c r="K109" i="4" s="1"/>
  <c r="E109" i="4"/>
  <c r="E107" i="12"/>
  <c r="F107" i="12" s="1"/>
  <c r="H107" i="12" s="1"/>
  <c r="O108" i="4"/>
  <c r="H109" i="4" l="1"/>
  <c r="I109" i="4" l="1"/>
  <c r="L109" i="4" s="1"/>
  <c r="AB267" i="15" s="1"/>
  <c r="G110" i="4"/>
  <c r="J110" i="4" l="1"/>
  <c r="K110" i="4" s="1"/>
  <c r="E110" i="4"/>
  <c r="O109" i="4"/>
  <c r="E108" i="12"/>
  <c r="F108" i="12" s="1"/>
  <c r="H108" i="12" s="1"/>
  <c r="H110" i="4" l="1"/>
  <c r="G111" i="4" l="1"/>
  <c r="J111" i="4" s="1"/>
  <c r="K111" i="4" s="1"/>
  <c r="I110" i="4"/>
  <c r="L110" i="4" s="1"/>
  <c r="AB286" i="15" s="1"/>
  <c r="E111" i="4" l="1"/>
  <c r="E109" i="12"/>
  <c r="F109" i="12" s="1"/>
  <c r="H109" i="12" s="1"/>
  <c r="O110" i="4"/>
  <c r="H111" i="4" l="1"/>
  <c r="G112" i="4" l="1"/>
  <c r="I111" i="4"/>
  <c r="L111" i="4" s="1"/>
  <c r="AB291" i="15" s="1"/>
  <c r="E110" i="12" l="1"/>
  <c r="F110" i="12" s="1"/>
  <c r="H110" i="12" s="1"/>
  <c r="O111" i="4"/>
  <c r="J112" i="4"/>
  <c r="K112" i="4" s="1"/>
  <c r="E112" i="4"/>
  <c r="H112" i="4" l="1"/>
  <c r="I112" i="4" l="1"/>
  <c r="L112" i="4" s="1"/>
  <c r="AB297" i="15" s="1"/>
  <c r="G113" i="4"/>
  <c r="J113" i="4" l="1"/>
  <c r="K113" i="4" s="1"/>
  <c r="E113" i="4"/>
  <c r="O112" i="4"/>
  <c r="E111" i="12"/>
  <c r="F111" i="12" s="1"/>
  <c r="H111" i="12" s="1"/>
  <c r="H113" i="4" l="1"/>
  <c r="I113" i="4" l="1"/>
  <c r="L113" i="4" s="1"/>
  <c r="AB299" i="15" s="1"/>
  <c r="G114" i="4"/>
  <c r="J114" i="4" l="1"/>
  <c r="K114" i="4" s="1"/>
  <c r="E114" i="4"/>
  <c r="O113" i="4"/>
  <c r="E112" i="12"/>
  <c r="F112" i="12" s="1"/>
  <c r="H112" i="12" s="1"/>
  <c r="H114" i="4" l="1"/>
  <c r="I114" i="4" l="1"/>
  <c r="L114" i="4" s="1"/>
  <c r="AB301" i="15" s="1"/>
  <c r="G115" i="4"/>
  <c r="J115" i="4" s="1"/>
  <c r="K115" i="4" s="1"/>
  <c r="E115" i="4" l="1"/>
  <c r="H115" i="4" s="1"/>
  <c r="E113" i="12"/>
  <c r="F113" i="12" s="1"/>
  <c r="H113" i="12" s="1"/>
  <c r="O114" i="4"/>
  <c r="I115" i="4" l="1"/>
  <c r="L115" i="4" s="1"/>
  <c r="AB304" i="15" s="1"/>
  <c r="G116" i="4"/>
  <c r="J116" i="4" s="1"/>
  <c r="K116" i="4" s="1"/>
  <c r="E116" i="4" l="1"/>
  <c r="O115" i="4"/>
  <c r="E114" i="12"/>
  <c r="F114" i="12" s="1"/>
  <c r="H114" i="12" s="1"/>
  <c r="H116" i="4" l="1"/>
  <c r="G117" i="4" l="1"/>
  <c r="J117" i="4" s="1"/>
  <c r="K117" i="4" s="1"/>
  <c r="I116" i="4"/>
  <c r="L116" i="4" s="1"/>
  <c r="AB307" i="15" s="1"/>
  <c r="E117" i="4" l="1"/>
  <c r="O116" i="4"/>
  <c r="E115" i="12"/>
  <c r="F115" i="12" s="1"/>
  <c r="H115" i="12" s="1"/>
  <c r="H117" i="4" l="1"/>
  <c r="I117" i="4" s="1"/>
  <c r="L117" i="4" s="1"/>
  <c r="AB311" i="15" s="1"/>
  <c r="G118" i="4" l="1"/>
  <c r="J118" i="4" s="1"/>
  <c r="K118" i="4" s="1"/>
  <c r="E116" i="12"/>
  <c r="F116" i="12" s="1"/>
  <c r="H116" i="12" s="1"/>
  <c r="O117" i="4"/>
  <c r="E118" i="4" l="1"/>
  <c r="H118" i="4" s="1"/>
  <c r="G119" i="4" l="1"/>
  <c r="J119" i="4" s="1"/>
  <c r="K119" i="4" s="1"/>
  <c r="I118" i="4"/>
  <c r="L118" i="4" s="1"/>
  <c r="AB313" i="15" s="1"/>
  <c r="E119" i="4" l="1"/>
  <c r="O118" i="4"/>
  <c r="E117" i="12"/>
  <c r="F117" i="12" s="1"/>
  <c r="H117" i="12" s="1"/>
  <c r="H119" i="4" l="1"/>
  <c r="I119" i="4" l="1"/>
  <c r="L119" i="4" s="1"/>
  <c r="AB315" i="15" s="1"/>
  <c r="G120" i="4"/>
  <c r="J120" i="4" s="1"/>
  <c r="K120" i="4" s="1"/>
  <c r="E120" i="4" l="1"/>
  <c r="O119" i="4"/>
  <c r="E118" i="12"/>
  <c r="F118" i="12" s="1"/>
  <c r="H118" i="12" s="1"/>
  <c r="H120" i="4" l="1"/>
  <c r="G121" i="4" l="1"/>
  <c r="J121" i="4" s="1"/>
  <c r="K121" i="4" s="1"/>
  <c r="I120" i="4"/>
  <c r="L120" i="4" s="1"/>
  <c r="AB317" i="15" s="1"/>
  <c r="E121" i="4" l="1"/>
  <c r="O120" i="4"/>
  <c r="E119" i="12"/>
  <c r="F119" i="12" s="1"/>
  <c r="H119" i="12" s="1"/>
  <c r="H121" i="4" l="1"/>
  <c r="G122" i="4" l="1"/>
  <c r="J122" i="4" s="1"/>
  <c r="K122" i="4" s="1"/>
  <c r="I121" i="4"/>
  <c r="L121" i="4" s="1"/>
  <c r="AB321" i="15" s="1"/>
  <c r="E122" i="4" l="1"/>
  <c r="O121" i="4"/>
  <c r="E120" i="12"/>
  <c r="F120" i="12" s="1"/>
  <c r="H120" i="12" s="1"/>
  <c r="H122" i="4" l="1"/>
  <c r="G123" i="4" s="1"/>
  <c r="J123" i="4" s="1"/>
  <c r="K123" i="4" s="1"/>
  <c r="I122" i="4" l="1"/>
  <c r="L122" i="4" s="1"/>
  <c r="E123" i="4"/>
  <c r="E121" i="12" l="1"/>
  <c r="F121" i="12" s="1"/>
  <c r="H121" i="12" s="1"/>
  <c r="AB71" i="15"/>
  <c r="O122" i="4"/>
  <c r="H123" i="4"/>
  <c r="I123" i="4" l="1"/>
  <c r="L123" i="4" s="1"/>
  <c r="AB242" i="15" s="1"/>
  <c r="G124" i="4"/>
  <c r="J124" i="4" s="1"/>
  <c r="K124" i="4" s="1"/>
  <c r="E124" i="4" l="1"/>
  <c r="O123" i="4"/>
  <c r="E122" i="12"/>
  <c r="F122" i="12" s="1"/>
  <c r="H122" i="12" s="1"/>
  <c r="H124" i="4" l="1"/>
  <c r="G125" i="4" s="1"/>
  <c r="J125" i="4" s="1"/>
  <c r="K125" i="4" s="1"/>
  <c r="I124" i="4" l="1"/>
  <c r="L124" i="4" s="1"/>
  <c r="E125" i="4"/>
  <c r="O124" i="4" l="1"/>
  <c r="AB261" i="15"/>
  <c r="E123" i="12"/>
  <c r="F123" i="12" s="1"/>
  <c r="H123" i="12" s="1"/>
  <c r="H125" i="4"/>
  <c r="G126" i="4" s="1"/>
  <c r="J126" i="4" s="1"/>
  <c r="K126" i="4" s="1"/>
  <c r="I125" i="4" l="1"/>
  <c r="L125" i="4" s="1"/>
  <c r="AB282" i="15" s="1"/>
  <c r="E126" i="4"/>
  <c r="E124" i="12" l="1"/>
  <c r="F124" i="12" s="1"/>
  <c r="H124" i="12" s="1"/>
  <c r="O125" i="4"/>
  <c r="H126" i="4"/>
  <c r="G127" i="4" s="1"/>
  <c r="I126" i="4" l="1"/>
  <c r="L126" i="4" s="1"/>
  <c r="J127" i="4"/>
  <c r="K127" i="4" s="1"/>
  <c r="E127" i="4"/>
  <c r="O126" i="4" l="1"/>
  <c r="AB306" i="15"/>
  <c r="E125" i="12"/>
  <c r="F125" i="12" s="1"/>
  <c r="H125" i="12" s="1"/>
  <c r="H127" i="4"/>
  <c r="G128" i="4" l="1"/>
  <c r="J128" i="4" s="1"/>
  <c r="K128" i="4" s="1"/>
  <c r="I127" i="4"/>
  <c r="L127" i="4" s="1"/>
  <c r="AB325" i="15" s="1"/>
  <c r="E128" i="4" l="1"/>
  <c r="O127" i="4"/>
  <c r="E126" i="12"/>
  <c r="F126" i="12" s="1"/>
  <c r="H126" i="12" s="1"/>
  <c r="H128" i="4" l="1"/>
  <c r="I128" i="4" l="1"/>
  <c r="L128" i="4" s="1"/>
  <c r="AB335" i="15" s="1"/>
  <c r="G129" i="4"/>
  <c r="J129" i="4" s="1"/>
  <c r="K129" i="4" s="1"/>
  <c r="E127" i="12" l="1"/>
  <c r="F127" i="12" s="1"/>
  <c r="H127" i="12" s="1"/>
  <c r="O128" i="4"/>
  <c r="E129" i="4"/>
  <c r="H129" i="4" l="1"/>
  <c r="I129" i="4" l="1"/>
  <c r="L129" i="4" s="1"/>
  <c r="AB339" i="15" s="1"/>
  <c r="G130" i="4"/>
  <c r="J130" i="4" l="1"/>
  <c r="K130" i="4" s="1"/>
  <c r="E130" i="4"/>
  <c r="O129" i="4"/>
  <c r="E128" i="12"/>
  <c r="F128" i="12" s="1"/>
  <c r="H128" i="12" s="1"/>
  <c r="H130" i="4" l="1"/>
  <c r="G131" i="4" l="1"/>
  <c r="J131" i="4" s="1"/>
  <c r="K131" i="4" s="1"/>
  <c r="I130" i="4"/>
  <c r="L130" i="4" s="1"/>
  <c r="AB343" i="15" s="1"/>
  <c r="E131" i="4" l="1"/>
  <c r="O130" i="4"/>
  <c r="E129" i="12"/>
  <c r="F129" i="12" s="1"/>
  <c r="H129" i="12" s="1"/>
  <c r="H131" i="4" l="1"/>
  <c r="G132" i="4" l="1"/>
  <c r="J132" i="4" s="1"/>
  <c r="K132" i="4" s="1"/>
  <c r="I131" i="4"/>
  <c r="L131" i="4" s="1"/>
  <c r="AB345" i="15" s="1"/>
  <c r="E132" i="4" l="1"/>
  <c r="E130" i="12"/>
  <c r="F130" i="12" s="1"/>
  <c r="H130" i="12" s="1"/>
  <c r="O131" i="4"/>
  <c r="H132" i="4" l="1"/>
  <c r="I132" i="4" s="1"/>
  <c r="L132" i="4" s="1"/>
  <c r="AB347" i="15" s="1"/>
  <c r="G133" i="4" l="1"/>
  <c r="J133" i="4" s="1"/>
  <c r="K133" i="4" s="1"/>
  <c r="E131" i="12"/>
  <c r="F131" i="12" s="1"/>
  <c r="H131" i="12" s="1"/>
  <c r="O132" i="4"/>
  <c r="E133" i="4" l="1"/>
  <c r="H133" i="4" s="1"/>
  <c r="I133" i="4" l="1"/>
  <c r="L133" i="4" s="1"/>
  <c r="AB349" i="15" s="1"/>
  <c r="G134" i="4"/>
  <c r="J134" i="4" l="1"/>
  <c r="K134" i="4" s="1"/>
  <c r="E134" i="4"/>
  <c r="E132" i="12"/>
  <c r="F132" i="12" s="1"/>
  <c r="H132" i="12" s="1"/>
  <c r="O133" i="4"/>
  <c r="H134" i="4" l="1"/>
  <c r="G135" i="4" l="1"/>
  <c r="I134" i="4"/>
  <c r="L134" i="4" s="1"/>
  <c r="AB352" i="15" s="1"/>
  <c r="O134" i="4" l="1"/>
  <c r="E133" i="12"/>
  <c r="F133" i="12" s="1"/>
  <c r="H133" i="12" s="1"/>
  <c r="J135" i="4"/>
  <c r="K135" i="4" s="1"/>
  <c r="E135" i="4"/>
  <c r="H135" i="4" l="1"/>
  <c r="G136" i="4" l="1"/>
  <c r="J136" i="4" s="1"/>
  <c r="K136" i="4" s="1"/>
  <c r="I135" i="4"/>
  <c r="L135" i="4" s="1"/>
  <c r="AB356" i="15" s="1"/>
  <c r="O135" i="4" l="1"/>
  <c r="E134" i="12"/>
  <c r="F134" i="12" s="1"/>
  <c r="H134" i="12" s="1"/>
  <c r="E136" i="4"/>
  <c r="H136" i="4" l="1"/>
  <c r="G137" i="4" l="1"/>
  <c r="I136" i="4"/>
  <c r="L136" i="4" s="1"/>
  <c r="AB358" i="15" s="1"/>
  <c r="E135" i="12" l="1"/>
  <c r="F135" i="12" s="1"/>
  <c r="H135" i="12" s="1"/>
  <c r="O136" i="4"/>
  <c r="J137" i="4"/>
  <c r="K137" i="4" s="1"/>
  <c r="E137" i="4"/>
  <c r="H137" i="4" l="1"/>
  <c r="I137" i="4" l="1"/>
  <c r="L137" i="4" s="1"/>
  <c r="AB361" i="15" s="1"/>
  <c r="G138" i="4"/>
  <c r="E138" i="4" l="1"/>
  <c r="J138" i="4"/>
  <c r="K138" i="4" s="1"/>
  <c r="E136" i="12"/>
  <c r="F136" i="12" s="1"/>
  <c r="H136" i="12" s="1"/>
  <c r="O137" i="4"/>
  <c r="H138" i="4" l="1"/>
  <c r="I138" i="4" l="1"/>
  <c r="L138" i="4" s="1"/>
  <c r="AB363" i="15" s="1"/>
  <c r="G139" i="4"/>
  <c r="J139" i="4" s="1"/>
  <c r="K139" i="4" s="1"/>
  <c r="E139" i="4" l="1"/>
  <c r="O138" i="4"/>
  <c r="E137" i="12"/>
  <c r="F137" i="12" s="1"/>
  <c r="H137" i="12" s="1"/>
  <c r="H139" i="4" l="1"/>
  <c r="I139" i="4" l="1"/>
  <c r="L139" i="4" s="1"/>
  <c r="AB369" i="15" s="1"/>
  <c r="G140" i="4"/>
  <c r="J140" i="4" s="1"/>
  <c r="K140" i="4" s="1"/>
  <c r="E140" i="4" l="1"/>
  <c r="O139" i="4"/>
  <c r="E138" i="12"/>
  <c r="F138" i="12" s="1"/>
  <c r="H138" i="12" s="1"/>
  <c r="H140" i="4" l="1"/>
  <c r="G141" i="4" l="1"/>
  <c r="J141" i="4" s="1"/>
  <c r="K141" i="4" s="1"/>
  <c r="I140" i="4"/>
  <c r="L140" i="4" s="1"/>
  <c r="AB371" i="15" s="1"/>
  <c r="O140" i="4" l="1"/>
  <c r="E139" i="12"/>
  <c r="F139" i="12" s="1"/>
  <c r="H139" i="12" s="1"/>
  <c r="E141" i="4"/>
  <c r="H141" i="4" l="1"/>
  <c r="G142" i="4" l="1"/>
  <c r="J142" i="4" s="1"/>
  <c r="K142" i="4" s="1"/>
  <c r="I141" i="4"/>
  <c r="L141" i="4" s="1"/>
  <c r="AB373" i="15" s="1"/>
  <c r="E142" i="4" l="1"/>
  <c r="O141" i="4"/>
  <c r="E140" i="12"/>
  <c r="F140" i="12" s="1"/>
  <c r="H140" i="12" s="1"/>
  <c r="H142" i="4" l="1"/>
  <c r="G143" i="4" l="1"/>
  <c r="J143" i="4" s="1"/>
  <c r="K143" i="4" s="1"/>
  <c r="I142" i="4"/>
  <c r="L142" i="4" s="1"/>
  <c r="AB375" i="15" s="1"/>
  <c r="E143" i="4" l="1"/>
  <c r="O142" i="4"/>
  <c r="E141" i="12"/>
  <c r="F141" i="12" s="1"/>
  <c r="H141" i="12" s="1"/>
  <c r="H143" i="4" l="1"/>
  <c r="I143" i="4" s="1"/>
  <c r="L143" i="4" s="1"/>
  <c r="AB379" i="15" s="1"/>
  <c r="G144" i="4" l="1"/>
  <c r="J144" i="4" s="1"/>
  <c r="K144" i="4" s="1"/>
  <c r="O143" i="4"/>
  <c r="E142" i="12"/>
  <c r="F142" i="12" s="1"/>
  <c r="H142" i="12" s="1"/>
  <c r="E144" i="4" l="1"/>
  <c r="H144" i="4" s="1"/>
  <c r="G145" i="4" l="1"/>
  <c r="J145" i="4" s="1"/>
  <c r="K145" i="4" s="1"/>
  <c r="I144" i="4"/>
  <c r="L144" i="4" s="1"/>
  <c r="AB382" i="15" s="1"/>
  <c r="E145" i="4" l="1"/>
  <c r="E143" i="12"/>
  <c r="F143" i="12" s="1"/>
  <c r="H143" i="12" s="1"/>
  <c r="O144" i="4"/>
  <c r="H145" i="4" l="1"/>
  <c r="I145" i="4" l="1"/>
  <c r="L145" i="4" s="1"/>
  <c r="AB385" i="15" s="1"/>
  <c r="G146" i="4"/>
  <c r="J146" i="4" s="1"/>
  <c r="K146" i="4" s="1"/>
  <c r="E146" i="4" l="1"/>
  <c r="E144" i="12"/>
  <c r="F144" i="12" s="1"/>
  <c r="H144" i="12" s="1"/>
  <c r="O145" i="4"/>
  <c r="H146" i="4" l="1"/>
  <c r="G147" i="4" l="1"/>
  <c r="J147" i="4" s="1"/>
  <c r="K147" i="4" s="1"/>
  <c r="I146" i="4"/>
  <c r="L146" i="4" s="1"/>
  <c r="AB387" i="15" s="1"/>
  <c r="E147" i="4" l="1"/>
  <c r="O146" i="4"/>
  <c r="E145" i="12"/>
  <c r="F145" i="12" s="1"/>
  <c r="H145" i="12" s="1"/>
  <c r="H147" i="4" l="1"/>
  <c r="I147" i="4" l="1"/>
  <c r="L147" i="4" s="1"/>
  <c r="AB389" i="15" s="1"/>
  <c r="G148" i="4"/>
  <c r="J148" i="4" s="1"/>
  <c r="E148" i="4" l="1"/>
  <c r="K148" i="4"/>
  <c r="O147" i="4"/>
  <c r="E146" i="12"/>
  <c r="F146" i="12" s="1"/>
  <c r="H146" i="12" s="1"/>
  <c r="H148" i="4" l="1"/>
  <c r="G149" i="4" l="1"/>
  <c r="J149" i="4" s="1"/>
  <c r="I148" i="4"/>
  <c r="L148" i="4" s="1"/>
  <c r="AB391" i="15" s="1"/>
  <c r="E149" i="4" l="1"/>
  <c r="E147" i="12"/>
  <c r="F147" i="12" s="1"/>
  <c r="H147" i="12" s="1"/>
  <c r="O148" i="4"/>
  <c r="K149" i="4"/>
  <c r="H149" i="4" l="1"/>
  <c r="I149" i="4" l="1"/>
  <c r="L149" i="4" s="1"/>
  <c r="AB394" i="15" s="1"/>
  <c r="G150" i="4"/>
  <c r="J150" i="4" s="1"/>
  <c r="E150" i="4" l="1"/>
  <c r="K150" i="4"/>
  <c r="E148" i="12"/>
  <c r="F148" i="12" s="1"/>
  <c r="H148" i="12" s="1"/>
  <c r="O149" i="4"/>
  <c r="H150" i="4" l="1"/>
  <c r="I150" i="4" l="1"/>
  <c r="L150" i="4" s="1"/>
  <c r="AB398" i="15" s="1"/>
  <c r="G151" i="4"/>
  <c r="J151" i="4" s="1"/>
  <c r="K151" i="4" s="1"/>
  <c r="E151" i="4" l="1"/>
  <c r="E149" i="12"/>
  <c r="F149" i="12" s="1"/>
  <c r="H149" i="12" s="1"/>
  <c r="O150" i="4"/>
  <c r="H151" i="4" l="1"/>
  <c r="I151" i="4" s="1"/>
  <c r="L151" i="4" s="1"/>
  <c r="AB405" i="15" s="1"/>
  <c r="G152" i="4" l="1"/>
  <c r="J152" i="4" s="1"/>
  <c r="K152" i="4" s="1"/>
  <c r="O151" i="4"/>
  <c r="E150" i="12"/>
  <c r="F150" i="12" s="1"/>
  <c r="H150" i="12" s="1"/>
  <c r="E152" i="4" l="1"/>
  <c r="H152" i="4" l="1"/>
  <c r="I152" i="4" s="1"/>
  <c r="L152" i="4" s="1"/>
  <c r="E151" i="12" l="1"/>
  <c r="F151" i="12" s="1"/>
  <c r="H151" i="12" s="1"/>
  <c r="AB410" i="15"/>
  <c r="O152" i="4"/>
  <c r="G153" i="4"/>
  <c r="J153" i="4" s="1"/>
  <c r="K153" i="4" s="1"/>
  <c r="E153" i="4" l="1"/>
  <c r="H153" i="4" l="1"/>
  <c r="G154" i="4" s="1"/>
  <c r="J154" i="4" s="1"/>
  <c r="K154" i="4" s="1"/>
  <c r="I153" i="4" l="1"/>
  <c r="L153" i="4" s="1"/>
  <c r="E154" i="4"/>
  <c r="O153" i="4" l="1"/>
  <c r="AB412" i="15"/>
  <c r="E152" i="12"/>
  <c r="F152" i="12" s="1"/>
  <c r="H152" i="12" s="1"/>
  <c r="H154" i="4"/>
  <c r="I154" i="4" l="1"/>
  <c r="L154" i="4" s="1"/>
  <c r="AB416" i="15" s="1"/>
  <c r="G155" i="4"/>
  <c r="J155" i="4" s="1"/>
  <c r="K155" i="4" s="1"/>
  <c r="E153" i="12" l="1"/>
  <c r="F153" i="12" s="1"/>
  <c r="H153" i="12" s="1"/>
  <c r="O154" i="4"/>
  <c r="E155" i="4"/>
  <c r="H155" i="4" l="1"/>
  <c r="G156" i="4" l="1"/>
  <c r="I155" i="4"/>
  <c r="L155" i="4" s="1"/>
  <c r="AB419" i="15" s="1"/>
  <c r="O155" i="4" l="1"/>
  <c r="E154" i="12"/>
  <c r="F154" i="12" s="1"/>
  <c r="H154" i="12" s="1"/>
  <c r="J156" i="4"/>
  <c r="K156" i="4" s="1"/>
  <c r="E156" i="4"/>
  <c r="H156" i="4" l="1"/>
  <c r="I156" i="4" l="1"/>
  <c r="L156" i="4" s="1"/>
  <c r="AB421" i="15" s="1"/>
  <c r="G157" i="4"/>
  <c r="J157" i="4" l="1"/>
  <c r="K157" i="4" s="1"/>
  <c r="E157" i="4"/>
  <c r="O156" i="4"/>
  <c r="E155" i="12"/>
  <c r="F155" i="12" s="1"/>
  <c r="H155" i="12" s="1"/>
  <c r="H157" i="4" l="1"/>
  <c r="I157" i="4" l="1"/>
  <c r="L157" i="4" s="1"/>
  <c r="AB424" i="15" s="1"/>
  <c r="G158" i="4"/>
  <c r="J158" i="4" l="1"/>
  <c r="K158" i="4" s="1"/>
  <c r="E158" i="4"/>
  <c r="O157" i="4"/>
  <c r="E156" i="12"/>
  <c r="F156" i="12" s="1"/>
  <c r="H156" i="12" s="1"/>
  <c r="H158" i="4" l="1"/>
  <c r="G159" i="4" l="1"/>
  <c r="J159" i="4" s="1"/>
  <c r="K159" i="4" s="1"/>
  <c r="I158" i="4"/>
  <c r="L158" i="4" s="1"/>
  <c r="AB426" i="15" s="1"/>
  <c r="E159" i="4" l="1"/>
  <c r="O158" i="4"/>
  <c r="E157" i="12"/>
  <c r="F157" i="12" s="1"/>
  <c r="H157" i="12" s="1"/>
  <c r="H159" i="4" l="1"/>
  <c r="I159" i="4" s="1"/>
  <c r="L159" i="4" s="1"/>
  <c r="AB108" i="15" s="1"/>
  <c r="G160" i="4" l="1"/>
  <c r="J160" i="4" s="1"/>
  <c r="K160" i="4" s="1"/>
  <c r="O159" i="4"/>
  <c r="E158" i="12"/>
  <c r="F158" i="12" s="1"/>
  <c r="H158" i="12" s="1"/>
  <c r="E160" i="4" l="1"/>
  <c r="H160" i="4" s="1"/>
  <c r="G161" i="4" l="1"/>
  <c r="J161" i="4" s="1"/>
  <c r="K161" i="4" s="1"/>
  <c r="I160" i="4"/>
  <c r="L160" i="4" s="1"/>
  <c r="AB302" i="15" s="1"/>
  <c r="E161" i="4" l="1"/>
  <c r="O160" i="4"/>
  <c r="E159" i="12"/>
  <c r="F159" i="12" s="1"/>
  <c r="H159" i="12" s="1"/>
  <c r="H161" i="4" l="1"/>
  <c r="I161" i="4" l="1"/>
  <c r="L161" i="4" s="1"/>
  <c r="AB322" i="15" s="1"/>
  <c r="G162" i="4"/>
  <c r="E160" i="12" l="1"/>
  <c r="F160" i="12" s="1"/>
  <c r="H160" i="12" s="1"/>
  <c r="O161" i="4"/>
  <c r="J162" i="4"/>
  <c r="K162" i="4" s="1"/>
  <c r="E162" i="4"/>
  <c r="H162" i="4" l="1"/>
  <c r="I162" i="4" l="1"/>
  <c r="L162" i="4" s="1"/>
  <c r="AB338" i="15" s="1"/>
  <c r="G163" i="4"/>
  <c r="J163" i="4" s="1"/>
  <c r="K163" i="4" s="1"/>
  <c r="E161" i="12" l="1"/>
  <c r="F161" i="12" s="1"/>
  <c r="H161" i="12" s="1"/>
  <c r="O162" i="4"/>
  <c r="E163" i="4"/>
  <c r="H163" i="4" l="1"/>
  <c r="I163" i="4" l="1"/>
  <c r="L163" i="4" s="1"/>
  <c r="AB359" i="15" s="1"/>
  <c r="G164" i="4"/>
  <c r="J164" i="4" s="1"/>
  <c r="K164" i="4" s="1"/>
  <c r="E164" i="4" l="1"/>
  <c r="E162" i="12"/>
  <c r="F162" i="12" s="1"/>
  <c r="H162" i="12" s="1"/>
  <c r="O163" i="4"/>
  <c r="H164" i="4" l="1"/>
  <c r="G165" i="4" l="1"/>
  <c r="J165" i="4" s="1"/>
  <c r="K165" i="4" s="1"/>
  <c r="I164" i="4"/>
  <c r="L164" i="4" s="1"/>
  <c r="AB384" i="15" s="1"/>
  <c r="E165" i="4" l="1"/>
  <c r="O164" i="4"/>
  <c r="E163" i="12"/>
  <c r="F163" i="12" s="1"/>
  <c r="H163" i="12" s="1"/>
  <c r="H165" i="4" l="1"/>
  <c r="G166" i="4" s="1"/>
  <c r="J166" i="4" s="1"/>
  <c r="K166" i="4" s="1"/>
  <c r="I165" i="4" l="1"/>
  <c r="L165" i="4" s="1"/>
  <c r="E166" i="4"/>
  <c r="E164" i="12" l="1"/>
  <c r="F164" i="12" s="1"/>
  <c r="H164" i="12" s="1"/>
  <c r="AB413" i="15"/>
  <c r="O165" i="4"/>
  <c r="H166" i="4"/>
  <c r="I166" i="4" s="1"/>
  <c r="L166" i="4" s="1"/>
  <c r="E165" i="12" l="1"/>
  <c r="F165" i="12" s="1"/>
  <c r="H165" i="12" s="1"/>
  <c r="AB406" i="15"/>
  <c r="G167" i="4"/>
  <c r="J167" i="4" s="1"/>
  <c r="K167" i="4" s="1"/>
  <c r="O166" i="4"/>
  <c r="E167" i="4" l="1"/>
  <c r="H167" i="4" s="1"/>
  <c r="G168" i="4" s="1"/>
  <c r="J168" i="4" s="1"/>
  <c r="K168" i="4" s="1"/>
  <c r="I167" i="4" l="1"/>
  <c r="L167" i="4" s="1"/>
  <c r="E168" i="4"/>
  <c r="O167" i="4" l="1"/>
  <c r="AB409" i="15"/>
  <c r="E166" i="12"/>
  <c r="F166" i="12" s="1"/>
  <c r="H166" i="12" s="1"/>
  <c r="H168" i="4"/>
  <c r="G169" i="4" s="1"/>
  <c r="J169" i="4" s="1"/>
  <c r="K169" i="4" s="1"/>
  <c r="I168" i="4" l="1"/>
  <c r="L168" i="4" s="1"/>
  <c r="E169" i="4"/>
  <c r="O168" i="4" l="1"/>
  <c r="AB430" i="15"/>
  <c r="E167" i="12"/>
  <c r="F167" i="12" s="1"/>
  <c r="H167" i="12" s="1"/>
  <c r="H169" i="4"/>
  <c r="G170" i="4" l="1"/>
  <c r="J170" i="4" s="1"/>
  <c r="K170" i="4" s="1"/>
  <c r="I169" i="4"/>
  <c r="L169" i="4" s="1"/>
  <c r="AB442" i="15" s="1"/>
  <c r="E170" i="4" l="1"/>
  <c r="E168" i="12"/>
  <c r="F168" i="12" s="1"/>
  <c r="H168" i="12" s="1"/>
  <c r="O169" i="4"/>
  <c r="H170" i="4" l="1"/>
  <c r="I170" i="4" s="1"/>
  <c r="L170" i="4" s="1"/>
  <c r="AB446" i="15" s="1"/>
  <c r="G171" i="4" l="1"/>
  <c r="J171" i="4" s="1"/>
  <c r="K171" i="4" s="1"/>
  <c r="E169" i="12"/>
  <c r="F169" i="12" s="1"/>
  <c r="H169" i="12" s="1"/>
  <c r="O170" i="4"/>
  <c r="E171" i="4" l="1"/>
  <c r="H171" i="4" s="1"/>
  <c r="G172" i="4" s="1"/>
  <c r="I171" i="4" l="1"/>
  <c r="L171" i="4" s="1"/>
  <c r="J172" i="4"/>
  <c r="K172" i="4" s="1"/>
  <c r="E172" i="4"/>
  <c r="E170" i="12" l="1"/>
  <c r="F170" i="12" s="1"/>
  <c r="H170" i="12" s="1"/>
  <c r="AB450" i="15"/>
  <c r="O171" i="4"/>
  <c r="H172" i="4"/>
  <c r="G173" i="4" l="1"/>
  <c r="I172" i="4"/>
  <c r="L172" i="4" s="1"/>
  <c r="AB455" i="15" s="1"/>
  <c r="E171" i="12" l="1"/>
  <c r="F171" i="12" s="1"/>
  <c r="H171" i="12" s="1"/>
  <c r="O172" i="4"/>
  <c r="J173" i="4"/>
  <c r="K173" i="4" s="1"/>
  <c r="E173" i="4"/>
  <c r="H173" i="4" l="1"/>
  <c r="I173" i="4" l="1"/>
  <c r="L173" i="4" s="1"/>
  <c r="AB457" i="15" s="1"/>
  <c r="G174" i="4"/>
  <c r="J174" i="4" l="1"/>
  <c r="K174" i="4" s="1"/>
  <c r="E174" i="4"/>
  <c r="E172" i="12"/>
  <c r="F172" i="12" s="1"/>
  <c r="H172" i="12" s="1"/>
  <c r="O173" i="4"/>
  <c r="H174" i="4" l="1"/>
  <c r="G175" i="4" l="1"/>
  <c r="I174" i="4"/>
  <c r="L174" i="4" s="1"/>
  <c r="AB459" i="15" s="1"/>
  <c r="O174" i="4" l="1"/>
  <c r="E173" i="12"/>
  <c r="F173" i="12" s="1"/>
  <c r="H173" i="12" s="1"/>
  <c r="J175" i="4"/>
  <c r="K175" i="4" s="1"/>
  <c r="E175" i="4"/>
  <c r="H175" i="4" l="1"/>
  <c r="I175" i="4" l="1"/>
  <c r="L175" i="4" s="1"/>
  <c r="AB461" i="15" s="1"/>
  <c r="G176" i="4"/>
  <c r="J176" i="4" l="1"/>
  <c r="K176" i="4" s="1"/>
  <c r="E176" i="4"/>
  <c r="E174" i="12"/>
  <c r="F174" i="12" s="1"/>
  <c r="H174" i="12" s="1"/>
  <c r="O175" i="4"/>
  <c r="H176" i="4" l="1"/>
  <c r="I176" i="4" l="1"/>
  <c r="L176" i="4" s="1"/>
  <c r="AB463" i="15" s="1"/>
  <c r="G177" i="4"/>
  <c r="J177" i="4" s="1"/>
  <c r="K177" i="4" s="1"/>
  <c r="E175" i="12" l="1"/>
  <c r="F175" i="12" s="1"/>
  <c r="H175" i="12" s="1"/>
  <c r="O176" i="4"/>
  <c r="E177" i="4"/>
  <c r="H177" i="4" l="1"/>
  <c r="G178" i="4" l="1"/>
  <c r="J178" i="4" s="1"/>
  <c r="K178" i="4" s="1"/>
  <c r="I177" i="4"/>
  <c r="L177" i="4" s="1"/>
  <c r="AB467" i="15" s="1"/>
  <c r="E178" i="4" l="1"/>
  <c r="O177" i="4"/>
  <c r="E176" i="12"/>
  <c r="F176" i="12" s="1"/>
  <c r="H176" i="12" s="1"/>
  <c r="H178" i="4" l="1"/>
  <c r="I178" i="4" s="1"/>
  <c r="L178" i="4" s="1"/>
  <c r="AB469" i="15" s="1"/>
  <c r="G179" i="4" l="1"/>
  <c r="J179" i="4" s="1"/>
  <c r="K179" i="4" s="1"/>
  <c r="O178" i="4"/>
  <c r="E177" i="12"/>
  <c r="F177" i="12" s="1"/>
  <c r="H177" i="12" s="1"/>
  <c r="E179" i="4" l="1"/>
  <c r="H179" i="4" l="1"/>
  <c r="I179" i="4" s="1"/>
  <c r="L179" i="4" s="1"/>
  <c r="AB471" i="15" s="1"/>
  <c r="G180" i="4" l="1"/>
  <c r="J180" i="4" s="1"/>
  <c r="K180" i="4" s="1"/>
  <c r="O179" i="4"/>
  <c r="E178" i="12"/>
  <c r="F178" i="12" s="1"/>
  <c r="H178" i="12" s="1"/>
  <c r="E180" i="4" l="1"/>
  <c r="H180" i="4" l="1"/>
  <c r="I180" i="4" s="1"/>
  <c r="L180" i="4" s="1"/>
  <c r="AB473" i="15" s="1"/>
  <c r="G181" i="4" l="1"/>
  <c r="J181" i="4" s="1"/>
  <c r="K181" i="4" s="1"/>
  <c r="O180" i="4"/>
  <c r="E179" i="12"/>
  <c r="F179" i="12" s="1"/>
  <c r="H179" i="12" s="1"/>
  <c r="E181" i="4" l="1"/>
  <c r="H181" i="4" s="1"/>
  <c r="I181" i="4" l="1"/>
  <c r="L181" i="4" s="1"/>
  <c r="AB477" i="15" s="1"/>
  <c r="G182" i="4"/>
  <c r="J182" i="4" s="1"/>
  <c r="K182" i="4" s="1"/>
  <c r="E182" i="4" l="1"/>
  <c r="O181" i="4"/>
  <c r="E180" i="12"/>
  <c r="F180" i="12" s="1"/>
  <c r="H180" i="12" s="1"/>
  <c r="H182" i="4" l="1"/>
  <c r="G183" i="4" l="1"/>
  <c r="J183" i="4" s="1"/>
  <c r="K183" i="4" s="1"/>
  <c r="I182" i="4"/>
  <c r="L182" i="4" s="1"/>
  <c r="AB480" i="15" s="1"/>
  <c r="E183" i="4" l="1"/>
  <c r="E181" i="12"/>
  <c r="F181" i="12" s="1"/>
  <c r="H181" i="12" s="1"/>
  <c r="O182" i="4"/>
  <c r="H183" i="4" l="1"/>
  <c r="I183" i="4" s="1"/>
  <c r="L183" i="4" s="1"/>
  <c r="AB484" i="15" s="1"/>
  <c r="G184" i="4" l="1"/>
  <c r="J184" i="4" s="1"/>
  <c r="K184" i="4" s="1"/>
  <c r="E182" i="12"/>
  <c r="F182" i="12" s="1"/>
  <c r="H182" i="12" s="1"/>
  <c r="O183" i="4"/>
  <c r="E184" i="4" l="1"/>
  <c r="H184" i="4" l="1"/>
  <c r="I184" i="4" s="1"/>
  <c r="L184" i="4" s="1"/>
  <c r="AB487" i="15" s="1"/>
  <c r="G185" i="4" l="1"/>
  <c r="J185" i="4" s="1"/>
  <c r="K185" i="4" s="1"/>
  <c r="O184" i="4"/>
  <c r="E183" i="12"/>
  <c r="F183" i="12" s="1"/>
  <c r="H183" i="12" s="1"/>
  <c r="E185" i="4" l="1"/>
  <c r="H185" i="4" s="1"/>
  <c r="I185" i="4" l="1"/>
  <c r="L185" i="4" s="1"/>
  <c r="AB490" i="15" s="1"/>
  <c r="G186" i="4"/>
  <c r="J186" i="4" l="1"/>
  <c r="K186" i="4" s="1"/>
  <c r="E186" i="4"/>
  <c r="O185" i="4"/>
  <c r="E184" i="12"/>
  <c r="F184" i="12" s="1"/>
  <c r="H184" i="12" s="1"/>
  <c r="H186" i="4" l="1"/>
  <c r="I186" i="4" l="1"/>
  <c r="L186" i="4" s="1"/>
  <c r="AB492" i="15" s="1"/>
  <c r="G187" i="4"/>
  <c r="J187" i="4" l="1"/>
  <c r="K187" i="4" s="1"/>
  <c r="E187" i="4"/>
  <c r="E185" i="12"/>
  <c r="F185" i="12" s="1"/>
  <c r="H185" i="12" s="1"/>
  <c r="O186" i="4"/>
  <c r="H187" i="4" l="1"/>
  <c r="G188" i="4" l="1"/>
  <c r="J188" i="4" s="1"/>
  <c r="K188" i="4" s="1"/>
  <c r="I187" i="4"/>
  <c r="L187" i="4" s="1"/>
  <c r="AB494" i="15" s="1"/>
  <c r="O187" i="4" l="1"/>
  <c r="E186" i="12"/>
  <c r="F186" i="12" s="1"/>
  <c r="H186" i="12" s="1"/>
  <c r="E188" i="4"/>
  <c r="H188" i="4" l="1"/>
  <c r="I188" i="4" l="1"/>
  <c r="L188" i="4" s="1"/>
  <c r="AB497" i="15" s="1"/>
  <c r="G189" i="4"/>
  <c r="J189" i="4" s="1"/>
  <c r="K189" i="4" s="1"/>
  <c r="E189" i="4" l="1"/>
  <c r="E187" i="12"/>
  <c r="F187" i="12" s="1"/>
  <c r="H187" i="12" s="1"/>
  <c r="O188" i="4"/>
  <c r="H189" i="4" l="1"/>
  <c r="I189" i="4" l="1"/>
  <c r="L189" i="4" s="1"/>
  <c r="AB499" i="15" s="1"/>
  <c r="G190" i="4"/>
  <c r="J190" i="4" s="1"/>
  <c r="K190" i="4" s="1"/>
  <c r="E190" i="4" l="1"/>
  <c r="O189" i="4"/>
  <c r="E188" i="12"/>
  <c r="F188" i="12" s="1"/>
  <c r="H188" i="12" s="1"/>
  <c r="H190" i="4" l="1"/>
  <c r="I190" i="4" l="1"/>
  <c r="L190" i="4" s="1"/>
  <c r="AB501" i="15" s="1"/>
  <c r="G191" i="4"/>
  <c r="J191" i="4" s="1"/>
  <c r="K191" i="4" s="1"/>
  <c r="E191" i="4" l="1"/>
  <c r="E189" i="12"/>
  <c r="F189" i="12" s="1"/>
  <c r="H189" i="12" s="1"/>
  <c r="O190" i="4"/>
  <c r="H191" i="4" l="1"/>
  <c r="I191" i="4" l="1"/>
  <c r="L191" i="4" s="1"/>
  <c r="AB503" i="15" s="1"/>
  <c r="G192" i="4"/>
  <c r="J192" i="4" s="1"/>
  <c r="K192" i="4" s="1"/>
  <c r="E192" i="4" l="1"/>
  <c r="O191" i="4"/>
  <c r="E190" i="12"/>
  <c r="F190" i="12" s="1"/>
  <c r="H190" i="12" s="1"/>
  <c r="H192" i="4" l="1"/>
  <c r="G193" i="4" l="1"/>
  <c r="J193" i="4" s="1"/>
  <c r="K193" i="4" s="1"/>
  <c r="I192" i="4"/>
  <c r="L192" i="4" s="1"/>
  <c r="AB505" i="15" s="1"/>
  <c r="E193" i="4" l="1"/>
  <c r="H193" i="4" s="1"/>
  <c r="E191" i="12"/>
  <c r="F191" i="12" s="1"/>
  <c r="H191" i="12" s="1"/>
  <c r="O192" i="4"/>
  <c r="I193" i="4" l="1"/>
  <c r="L193" i="4" s="1"/>
  <c r="AB509" i="15" s="1"/>
  <c r="G194" i="4"/>
  <c r="J194" i="4" l="1"/>
  <c r="K194" i="4" s="1"/>
  <c r="E194" i="4"/>
  <c r="E192" i="12"/>
  <c r="F192" i="12" s="1"/>
  <c r="H192" i="12" s="1"/>
  <c r="O193" i="4"/>
  <c r="H194" i="4" l="1"/>
  <c r="I194" i="4" l="1"/>
  <c r="L194" i="4" s="1"/>
  <c r="AB512" i="15" s="1"/>
  <c r="G195" i="4"/>
  <c r="J195" i="4" s="1"/>
  <c r="K195" i="4" s="1"/>
  <c r="O194" i="4" l="1"/>
  <c r="E193" i="12"/>
  <c r="F193" i="12" s="1"/>
  <c r="H193" i="12" s="1"/>
  <c r="E195" i="4"/>
  <c r="H195" i="4" l="1"/>
  <c r="I195" i="4" l="1"/>
  <c r="L195" i="4" s="1"/>
  <c r="AB513" i="15" s="1"/>
  <c r="G196" i="4"/>
  <c r="J196" i="4" s="1"/>
  <c r="K196" i="4" s="1"/>
  <c r="E196" i="4" l="1"/>
  <c r="O195" i="4"/>
  <c r="E194" i="12"/>
  <c r="F194" i="12" s="1"/>
  <c r="H194" i="12" s="1"/>
  <c r="H196" i="4" l="1"/>
  <c r="G197" i="4" l="1"/>
  <c r="J197" i="4" s="1"/>
  <c r="K197" i="4" s="1"/>
  <c r="I196" i="4"/>
  <c r="L196" i="4" s="1"/>
  <c r="AB495" i="15" s="1"/>
  <c r="E197" i="4" l="1"/>
  <c r="E195" i="12"/>
  <c r="F195" i="12" s="1"/>
  <c r="H195" i="12" s="1"/>
  <c r="O196" i="4"/>
  <c r="H197" i="4" l="1"/>
  <c r="I197" i="4" l="1"/>
  <c r="L197" i="4" s="1"/>
  <c r="AB515" i="15" s="1"/>
  <c r="G198" i="4"/>
  <c r="J198" i="4" s="1"/>
  <c r="K198" i="4" s="1"/>
  <c r="E198" i="4" l="1"/>
  <c r="E196" i="12"/>
  <c r="F196" i="12" s="1"/>
  <c r="H196" i="12" s="1"/>
  <c r="O197" i="4"/>
  <c r="H198" i="4" l="1"/>
  <c r="G199" i="4" s="1"/>
  <c r="I198" i="4" l="1"/>
  <c r="L198" i="4" s="1"/>
  <c r="J199" i="4"/>
  <c r="K199" i="4" s="1"/>
  <c r="E199" i="4"/>
  <c r="E197" i="12" l="1"/>
  <c r="F197" i="12" s="1"/>
  <c r="H197" i="12" s="1"/>
  <c r="AB521" i="15"/>
  <c r="O198" i="4"/>
  <c r="H199" i="4"/>
  <c r="I199" i="4" l="1"/>
  <c r="L199" i="4" s="1"/>
  <c r="AB523" i="15" s="1"/>
  <c r="G200" i="4"/>
  <c r="J200" i="4" s="1"/>
  <c r="K200" i="4" s="1"/>
  <c r="E200" i="4" l="1"/>
  <c r="O199" i="4"/>
  <c r="E198" i="12"/>
  <c r="F198" i="12" s="1"/>
  <c r="H198" i="12" s="1"/>
  <c r="H200" i="4" l="1"/>
  <c r="G201" i="4" l="1"/>
  <c r="I200" i="4"/>
  <c r="L200" i="4" s="1"/>
  <c r="AB526" i="15" s="1"/>
  <c r="E199" i="12" l="1"/>
  <c r="F199" i="12" s="1"/>
  <c r="H199" i="12" s="1"/>
  <c r="O200" i="4"/>
  <c r="J201" i="4"/>
  <c r="K201" i="4" s="1"/>
  <c r="E201" i="4"/>
  <c r="H201" i="4" l="1"/>
  <c r="G202" i="4" l="1"/>
  <c r="I201" i="4"/>
  <c r="L201" i="4" s="1"/>
  <c r="AB528" i="15" s="1"/>
  <c r="O201" i="4" l="1"/>
  <c r="E200" i="12"/>
  <c r="F200" i="12" s="1"/>
  <c r="H200" i="12" s="1"/>
  <c r="J202" i="4"/>
  <c r="K202" i="4" s="1"/>
  <c r="E202" i="4"/>
  <c r="H202" i="4" l="1"/>
  <c r="I202" i="4" l="1"/>
  <c r="L202" i="4" s="1"/>
  <c r="AB530" i="15" s="1"/>
  <c r="G203" i="4"/>
  <c r="J203" i="4" l="1"/>
  <c r="K203" i="4" s="1"/>
  <c r="E203" i="4"/>
  <c r="O202" i="4"/>
  <c r="E201" i="12"/>
  <c r="F201" i="12" s="1"/>
  <c r="H201" i="12" s="1"/>
  <c r="H203" i="4" l="1"/>
  <c r="I203" i="4" l="1"/>
  <c r="L203" i="4" s="1"/>
  <c r="AB533" i="15" s="1"/>
  <c r="G204" i="4"/>
  <c r="J204" i="4" s="1"/>
  <c r="K204" i="4" s="1"/>
  <c r="E204" i="4" l="1"/>
  <c r="O203" i="4"/>
  <c r="E202" i="12"/>
  <c r="F202" i="12" s="1"/>
  <c r="H202" i="12" s="1"/>
  <c r="H204" i="4" l="1"/>
  <c r="I204" i="4" l="1"/>
  <c r="L204" i="4" s="1"/>
  <c r="AB535" i="15" s="1"/>
  <c r="G205" i="4"/>
  <c r="J205" i="4" s="1"/>
  <c r="K205" i="4" s="1"/>
  <c r="E205" i="4" l="1"/>
  <c r="E203" i="12"/>
  <c r="F203" i="12" s="1"/>
  <c r="H203" i="12" s="1"/>
  <c r="O204" i="4"/>
  <c r="H205" i="4" l="1"/>
  <c r="G206" i="4" s="1"/>
  <c r="J206" i="4" s="1"/>
  <c r="K206" i="4" s="1"/>
  <c r="I205" i="4" l="1"/>
  <c r="L205" i="4" s="1"/>
  <c r="E206" i="4"/>
  <c r="E204" i="12" l="1"/>
  <c r="F204" i="12" s="1"/>
  <c r="H204" i="12" s="1"/>
  <c r="AB537" i="15"/>
  <c r="H206" i="4"/>
  <c r="I206" i="4" s="1"/>
  <c r="L206" i="4" s="1"/>
  <c r="O205" i="4"/>
  <c r="E205" i="12" l="1"/>
  <c r="F205" i="12" s="1"/>
  <c r="H205" i="12" s="1"/>
  <c r="AB532" i="15"/>
  <c r="O206" i="4"/>
  <c r="G207" i="4"/>
  <c r="J207" i="4" s="1"/>
  <c r="K207" i="4" s="1"/>
  <c r="E207" i="4" l="1"/>
  <c r="H207" i="4" l="1"/>
  <c r="I207" i="4" l="1"/>
  <c r="L207" i="4" s="1"/>
  <c r="AB440" i="15" s="1"/>
  <c r="G208" i="4"/>
  <c r="J208" i="4" l="1"/>
  <c r="K208" i="4" s="1"/>
  <c r="E208" i="4"/>
  <c r="E206" i="12"/>
  <c r="F206" i="12" s="1"/>
  <c r="H206" i="12" s="1"/>
  <c r="O207" i="4"/>
  <c r="H208" i="4" l="1"/>
  <c r="G209" i="4" l="1"/>
  <c r="J209" i="4" s="1"/>
  <c r="K209" i="4" s="1"/>
  <c r="I208" i="4"/>
  <c r="L208" i="4" s="1"/>
  <c r="AB327" i="15" s="1"/>
  <c r="E209" i="4" l="1"/>
  <c r="H209" i="4" s="1"/>
  <c r="E207" i="12"/>
  <c r="F207" i="12" s="1"/>
  <c r="H207" i="12" s="1"/>
  <c r="O208" i="4"/>
  <c r="G210" i="4" l="1"/>
  <c r="I209" i="4"/>
  <c r="L209" i="4" s="1"/>
  <c r="AB400" i="15" s="1"/>
  <c r="O209" i="4" l="1"/>
  <c r="E208" i="12"/>
  <c r="F208" i="12" s="1"/>
  <c r="H208" i="12" s="1"/>
  <c r="J210" i="4"/>
  <c r="K210" i="4" s="1"/>
  <c r="E210" i="4"/>
  <c r="H210" i="4" l="1"/>
  <c r="I210" i="4" l="1"/>
  <c r="L210" i="4" s="1"/>
  <c r="AB431" i="15" s="1"/>
  <c r="G211" i="4"/>
  <c r="J211" i="4" l="1"/>
  <c r="K211" i="4" s="1"/>
  <c r="E211" i="4"/>
  <c r="E209" i="12"/>
  <c r="F209" i="12" s="1"/>
  <c r="H209" i="12" s="1"/>
  <c r="O210" i="4"/>
  <c r="H211" i="4" l="1"/>
  <c r="I211" i="4" l="1"/>
  <c r="L211" i="4" s="1"/>
  <c r="AB451" i="15" s="1"/>
  <c r="G212" i="4"/>
  <c r="J212" i="4" l="1"/>
  <c r="K212" i="4" s="1"/>
  <c r="E212" i="4"/>
  <c r="E210" i="12"/>
  <c r="F210" i="12" s="1"/>
  <c r="H210" i="12" s="1"/>
  <c r="O211" i="4"/>
  <c r="H212" i="4" l="1"/>
  <c r="I212" i="4" l="1"/>
  <c r="L212" i="4" s="1"/>
  <c r="AB485" i="15" s="1"/>
  <c r="G213" i="4"/>
  <c r="J213" i="4" l="1"/>
  <c r="K213" i="4" s="1"/>
  <c r="E213" i="4"/>
  <c r="E211" i="12"/>
  <c r="F211" i="12" s="1"/>
  <c r="H211" i="12" s="1"/>
  <c r="O212" i="4"/>
  <c r="H213" i="4" l="1"/>
  <c r="G214" i="4" l="1"/>
  <c r="J214" i="4" s="1"/>
  <c r="K214" i="4" s="1"/>
  <c r="I213" i="4"/>
  <c r="L213" i="4" s="1"/>
  <c r="AB516" i="15" s="1"/>
  <c r="E214" i="4" l="1"/>
  <c r="H214" i="4" s="1"/>
  <c r="E212" i="12"/>
  <c r="F212" i="12" s="1"/>
  <c r="H212" i="12" s="1"/>
  <c r="O213" i="4"/>
  <c r="I214" i="4" l="1"/>
  <c r="L214" i="4" s="1"/>
  <c r="AB545" i="15" s="1"/>
  <c r="G215" i="4"/>
  <c r="J215" i="4" l="1"/>
  <c r="K215" i="4" s="1"/>
  <c r="E215" i="4"/>
  <c r="O214" i="4"/>
  <c r="E213" i="12"/>
  <c r="F213" i="12" s="1"/>
  <c r="H213" i="12" s="1"/>
  <c r="H215" i="4" l="1"/>
  <c r="I215" i="4" l="1"/>
  <c r="L215" i="4" s="1"/>
  <c r="AB550" i="15" s="1"/>
  <c r="G216" i="4"/>
  <c r="J216" i="4" l="1"/>
  <c r="K216" i="4" s="1"/>
  <c r="E216" i="4"/>
  <c r="E214" i="12"/>
  <c r="F214" i="12" s="1"/>
  <c r="H214" i="12" s="1"/>
  <c r="O215" i="4"/>
  <c r="H216" i="4" l="1"/>
  <c r="I216" i="4" l="1"/>
  <c r="L216" i="4" s="1"/>
  <c r="AB553" i="15" s="1"/>
  <c r="G217" i="4"/>
  <c r="J217" i="4" s="1"/>
  <c r="K217" i="4" s="1"/>
  <c r="E217" i="4" l="1"/>
  <c r="O216" i="4"/>
  <c r="E215" i="12"/>
  <c r="F215" i="12" s="1"/>
  <c r="H215" i="12" s="1"/>
  <c r="H217" i="4" l="1"/>
  <c r="G218" i="4" l="1"/>
  <c r="I217" i="4"/>
  <c r="L217" i="4" s="1"/>
  <c r="AB556" i="15" s="1"/>
  <c r="E216" i="12" l="1"/>
  <c r="F216" i="12" s="1"/>
  <c r="H216" i="12" s="1"/>
  <c r="O217" i="4"/>
  <c r="J218" i="4"/>
  <c r="K218" i="4" s="1"/>
  <c r="E218" i="4"/>
  <c r="H218" i="4" l="1"/>
  <c r="G219" i="4" l="1"/>
  <c r="J219" i="4" s="1"/>
  <c r="K219" i="4" s="1"/>
  <c r="I218" i="4"/>
  <c r="L218" i="4" s="1"/>
  <c r="AB557" i="15" s="1"/>
  <c r="E219" i="4" l="1"/>
  <c r="E217" i="12"/>
  <c r="F217" i="12" s="1"/>
  <c r="H217" i="12" s="1"/>
  <c r="O218" i="4"/>
  <c r="H219" i="4" l="1"/>
  <c r="G220" i="4" l="1"/>
  <c r="J220" i="4" s="1"/>
  <c r="K220" i="4" s="1"/>
  <c r="I219" i="4"/>
  <c r="L219" i="4" s="1"/>
  <c r="AB559" i="15" s="1"/>
  <c r="E220" i="4" l="1"/>
  <c r="O219" i="4"/>
  <c r="E218" i="12"/>
  <c r="F218" i="12" s="1"/>
  <c r="H218" i="12" s="1"/>
  <c r="H220" i="4" l="1"/>
  <c r="G221" i="4" l="1"/>
  <c r="J221" i="4" s="1"/>
  <c r="K221" i="4" s="1"/>
  <c r="I220" i="4"/>
  <c r="L220" i="4" s="1"/>
  <c r="AB560" i="15" s="1"/>
  <c r="E221" i="4" l="1"/>
  <c r="E219" i="12"/>
  <c r="F219" i="12" s="1"/>
  <c r="H219" i="12" s="1"/>
  <c r="O220" i="4"/>
  <c r="H221" i="4" l="1"/>
  <c r="I221" i="4" l="1"/>
  <c r="L221" i="4" s="1"/>
  <c r="AB564" i="15" s="1"/>
  <c r="G222" i="4"/>
  <c r="J222" i="4" s="1"/>
  <c r="K222" i="4" s="1"/>
  <c r="E222" i="4" l="1"/>
  <c r="E220" i="12"/>
  <c r="F220" i="12" s="1"/>
  <c r="H220" i="12" s="1"/>
  <c r="O221" i="4"/>
  <c r="H222" i="4" l="1"/>
  <c r="I222" i="4" l="1"/>
  <c r="L222" i="4" s="1"/>
  <c r="AB566" i="15" s="1"/>
  <c r="G223" i="4"/>
  <c r="J223" i="4" s="1"/>
  <c r="K223" i="4" s="1"/>
  <c r="E223" i="4" l="1"/>
  <c r="E221" i="12"/>
  <c r="F221" i="12" s="1"/>
  <c r="H221" i="12" s="1"/>
  <c r="O222" i="4"/>
  <c r="H223" i="4" l="1"/>
  <c r="G224" i="4" l="1"/>
  <c r="J224" i="4" s="1"/>
  <c r="K224" i="4" s="1"/>
  <c r="I223" i="4"/>
  <c r="L223" i="4" s="1"/>
  <c r="AB569" i="15" s="1"/>
  <c r="E224" i="4" l="1"/>
  <c r="E222" i="12"/>
  <c r="F222" i="12" s="1"/>
  <c r="H222" i="12" s="1"/>
  <c r="O223" i="4"/>
  <c r="H224" i="4" l="1"/>
  <c r="G225" i="4" s="1"/>
  <c r="J225" i="4" s="1"/>
  <c r="K225" i="4" s="1"/>
  <c r="I224" i="4" l="1"/>
  <c r="L224" i="4" s="1"/>
  <c r="E225" i="4"/>
  <c r="O224" i="4" l="1"/>
  <c r="AB544" i="15"/>
  <c r="E223" i="12"/>
  <c r="F223" i="12" s="1"/>
  <c r="H223" i="12" s="1"/>
  <c r="H225" i="4"/>
  <c r="G226" i="4" l="1"/>
  <c r="J226" i="4" s="1"/>
  <c r="K226" i="4" s="1"/>
  <c r="I225" i="4"/>
  <c r="L225" i="4" s="1"/>
  <c r="AB567" i="15" s="1"/>
  <c r="E226" i="4" l="1"/>
  <c r="O225" i="4"/>
  <c r="E224" i="12"/>
  <c r="F224" i="12" s="1"/>
  <c r="H224" i="12" s="1"/>
  <c r="H226" i="4" l="1"/>
  <c r="I226" i="4" l="1"/>
  <c r="L226" i="4" s="1"/>
  <c r="AB573" i="15" s="1"/>
  <c r="G227" i="4"/>
  <c r="J227" i="4" s="1"/>
  <c r="K227" i="4" s="1"/>
  <c r="E227" i="4" l="1"/>
  <c r="E225" i="12"/>
  <c r="F225" i="12" s="1"/>
  <c r="H225" i="12" s="1"/>
  <c r="O226" i="4"/>
  <c r="H227" i="4" l="1"/>
  <c r="G228" i="4" s="1"/>
  <c r="J228" i="4" l="1"/>
  <c r="K228" i="4" s="1"/>
  <c r="E228" i="4"/>
  <c r="I227" i="4"/>
  <c r="L227" i="4" s="1"/>
  <c r="E226" i="12" l="1"/>
  <c r="F226" i="12" s="1"/>
  <c r="H226" i="12" s="1"/>
  <c r="AB577" i="15"/>
  <c r="H228" i="4"/>
  <c r="G229" i="4" s="1"/>
  <c r="J229" i="4" s="1"/>
  <c r="K229" i="4" s="1"/>
  <c r="O227" i="4"/>
  <c r="I228" i="4" l="1"/>
  <c r="L228" i="4" s="1"/>
  <c r="E229" i="4"/>
  <c r="O228" i="4" l="1"/>
  <c r="AB580" i="15"/>
  <c r="E227" i="12"/>
  <c r="F227" i="12" s="1"/>
  <c r="H227" i="12" s="1"/>
  <c r="H229" i="4"/>
  <c r="I229" i="4" l="1"/>
  <c r="L229" i="4" s="1"/>
  <c r="AB581" i="15" s="1"/>
  <c r="G230" i="4"/>
  <c r="J230" i="4" s="1"/>
  <c r="K230" i="4" s="1"/>
  <c r="E230" i="4" l="1"/>
  <c r="E228" i="12"/>
  <c r="F228" i="12" s="1"/>
  <c r="H228" i="12" s="1"/>
  <c r="O229" i="4"/>
  <c r="H230" i="4" l="1"/>
  <c r="G231" i="4" l="1"/>
  <c r="J231" i="4" s="1"/>
  <c r="K231" i="4" s="1"/>
  <c r="I230" i="4"/>
  <c r="L230" i="4" s="1"/>
  <c r="AB584" i="15" s="1"/>
  <c r="E231" i="4" l="1"/>
  <c r="O230" i="4"/>
  <c r="E229" i="12"/>
  <c r="F229" i="12" s="1"/>
  <c r="H229" i="12" s="1"/>
  <c r="H231" i="4" l="1"/>
  <c r="I231" i="4" l="1"/>
  <c r="L231" i="4" s="1"/>
  <c r="AB586" i="15" s="1"/>
  <c r="G232" i="4"/>
  <c r="J232" i="4" s="1"/>
  <c r="K232" i="4" s="1"/>
  <c r="E232" i="4" l="1"/>
  <c r="O231" i="4"/>
  <c r="E230" i="12"/>
  <c r="F230" i="12" s="1"/>
  <c r="H230" i="12" s="1"/>
  <c r="H232" i="4" l="1"/>
  <c r="G233" i="4" l="1"/>
  <c r="J233" i="4" s="1"/>
  <c r="K233" i="4" s="1"/>
  <c r="I232" i="4"/>
  <c r="L232" i="4" s="1"/>
  <c r="AB588" i="15" s="1"/>
  <c r="E233" i="4" l="1"/>
  <c r="O232" i="4"/>
  <c r="E231" i="12"/>
  <c r="F231" i="12" s="1"/>
  <c r="H231" i="12" s="1"/>
  <c r="H233" i="4" l="1"/>
  <c r="G234" i="4" l="1"/>
  <c r="J234" i="4" s="1"/>
  <c r="K234" i="4" s="1"/>
  <c r="I233" i="4"/>
  <c r="L233" i="4" s="1"/>
  <c r="AB590" i="15" s="1"/>
  <c r="E234" i="4" l="1"/>
  <c r="O233" i="4"/>
  <c r="E232" i="12"/>
  <c r="F232" i="12" s="1"/>
  <c r="H232" i="12" s="1"/>
  <c r="H234" i="4" l="1"/>
  <c r="I234" i="4" s="1"/>
  <c r="L234" i="4" s="1"/>
  <c r="AB592" i="15" s="1"/>
  <c r="G235" i="4" l="1"/>
  <c r="J235" i="4" s="1"/>
  <c r="K235" i="4" s="1"/>
  <c r="O234" i="4"/>
  <c r="E233" i="12"/>
  <c r="F233" i="12" s="1"/>
  <c r="H233" i="12" s="1"/>
  <c r="E235" i="4" l="1"/>
  <c r="H235" i="4" l="1"/>
  <c r="G236" i="4" s="1"/>
  <c r="J236" i="4" s="1"/>
  <c r="K236" i="4" s="1"/>
  <c r="I235" i="4" l="1"/>
  <c r="L235" i="4" s="1"/>
  <c r="E236" i="4"/>
  <c r="O235" i="4" l="1"/>
  <c r="AB549" i="15"/>
  <c r="E234" i="12"/>
  <c r="F234" i="12" s="1"/>
  <c r="H234" i="12" s="1"/>
  <c r="H236" i="4"/>
  <c r="G237" i="4" l="1"/>
  <c r="J237" i="4" s="1"/>
  <c r="K237" i="4" s="1"/>
  <c r="I236" i="4"/>
  <c r="L236" i="4" s="1"/>
  <c r="AB589" i="15" s="1"/>
  <c r="E237" i="4" l="1"/>
  <c r="E235" i="12"/>
  <c r="F235" i="12" s="1"/>
  <c r="H235" i="12" s="1"/>
  <c r="O236" i="4"/>
  <c r="H237" i="4" l="1"/>
  <c r="G238" i="4" l="1"/>
  <c r="I237" i="4"/>
  <c r="L237" i="4" s="1"/>
  <c r="AB594" i="15" s="1"/>
  <c r="O237" i="4" l="1"/>
  <c r="E236" i="12"/>
  <c r="F236" i="12" s="1"/>
  <c r="H236" i="12" s="1"/>
  <c r="J238" i="4"/>
  <c r="K238" i="4" s="1"/>
  <c r="E238" i="4"/>
  <c r="H238" i="4" l="1"/>
  <c r="G239" i="4" l="1"/>
  <c r="J239" i="4" s="1"/>
  <c r="K239" i="4" s="1"/>
  <c r="I238" i="4"/>
  <c r="L238" i="4" s="1"/>
  <c r="AB600" i="15" s="1"/>
  <c r="O238" i="4" l="1"/>
  <c r="E237" i="12"/>
  <c r="F237" i="12" s="1"/>
  <c r="H237" i="12" s="1"/>
  <c r="E239" i="4"/>
  <c r="H239" i="4" l="1"/>
  <c r="I239" i="4" l="1"/>
  <c r="L239" i="4" s="1"/>
  <c r="AB603" i="15" s="1"/>
  <c r="G240" i="4"/>
  <c r="J240" i="4" s="1"/>
  <c r="K240" i="4" s="1"/>
  <c r="E240" i="4" l="1"/>
  <c r="E238" i="12"/>
  <c r="F238" i="12" s="1"/>
  <c r="H238" i="12" s="1"/>
  <c r="O239" i="4"/>
  <c r="H240" i="4" l="1"/>
  <c r="G241" i="4" s="1"/>
  <c r="J241" i="4" s="1"/>
  <c r="K241" i="4" s="1"/>
  <c r="I240" i="4" l="1"/>
  <c r="L240" i="4" s="1"/>
  <c r="E241" i="4"/>
  <c r="O240" i="4" l="1"/>
  <c r="AB605" i="15"/>
  <c r="E239" i="12"/>
  <c r="F239" i="12" s="1"/>
  <c r="H239" i="12" s="1"/>
  <c r="H241" i="4"/>
  <c r="G242" i="4" l="1"/>
  <c r="I241" i="4"/>
  <c r="L241" i="4" s="1"/>
  <c r="AB607" i="15" s="1"/>
  <c r="E240" i="12" l="1"/>
  <c r="F240" i="12" s="1"/>
  <c r="H240" i="12" s="1"/>
  <c r="O241" i="4"/>
  <c r="J242" i="4"/>
  <c r="K242" i="4" s="1"/>
  <c r="E242" i="4"/>
  <c r="H242" i="4" l="1"/>
  <c r="I242" i="4" l="1"/>
  <c r="L242" i="4" s="1"/>
  <c r="AB609" i="15" s="1"/>
  <c r="G243" i="4"/>
  <c r="J243" i="4" s="1"/>
  <c r="K243" i="4" s="1"/>
  <c r="E243" i="4" l="1"/>
  <c r="E241" i="12"/>
  <c r="F241" i="12" s="1"/>
  <c r="H241" i="12" s="1"/>
  <c r="O242" i="4"/>
  <c r="H243" i="4" l="1"/>
  <c r="I243" i="4" l="1"/>
  <c r="L243" i="4" s="1"/>
  <c r="AB611" i="15" s="1"/>
  <c r="G244" i="4"/>
  <c r="E244" i="4" l="1"/>
  <c r="J244" i="4"/>
  <c r="K244" i="4" s="1"/>
  <c r="E242" i="12"/>
  <c r="F242" i="12" s="1"/>
  <c r="H242" i="12" s="1"/>
  <c r="O243" i="4"/>
  <c r="H244" i="4" l="1"/>
  <c r="G245" i="4" l="1"/>
  <c r="I244" i="4"/>
  <c r="L244" i="4" s="1"/>
  <c r="AB613" i="15" s="1"/>
  <c r="O244" i="4" l="1"/>
  <c r="E243" i="12"/>
  <c r="F243" i="12" s="1"/>
  <c r="H243" i="12" s="1"/>
  <c r="E245" i="4"/>
  <c r="J245" i="4"/>
  <c r="K245" i="4" s="1"/>
  <c r="H245" i="4" l="1"/>
  <c r="I245" i="4" l="1"/>
  <c r="L245" i="4" s="1"/>
  <c r="AB615" i="15" s="1"/>
  <c r="G246" i="4"/>
  <c r="J246" i="4" l="1"/>
  <c r="K246" i="4" s="1"/>
  <c r="E246" i="4"/>
  <c r="O245" i="4"/>
  <c r="E244" i="12"/>
  <c r="F244" i="12" s="1"/>
  <c r="H244" i="12" s="1"/>
  <c r="H246" i="4" l="1"/>
  <c r="G247" i="4" l="1"/>
  <c r="I246" i="4"/>
  <c r="L246" i="4" s="1"/>
  <c r="AB617" i="15" s="1"/>
  <c r="O246" i="4" l="1"/>
  <c r="E245" i="12"/>
  <c r="F245" i="12" s="1"/>
  <c r="H245" i="12" s="1"/>
  <c r="J247" i="4"/>
  <c r="K247" i="4" s="1"/>
  <c r="E247" i="4"/>
  <c r="H247" i="4" l="1"/>
  <c r="G248" i="4" l="1"/>
  <c r="I247" i="4"/>
  <c r="L247" i="4" s="1"/>
  <c r="AB619" i="15" s="1"/>
  <c r="O247" i="4" l="1"/>
  <c r="E246" i="12"/>
  <c r="F246" i="12" s="1"/>
  <c r="H246" i="12" s="1"/>
  <c r="J248" i="4"/>
  <c r="K248" i="4" s="1"/>
  <c r="E248" i="4"/>
  <c r="H248" i="4" l="1"/>
  <c r="I248" i="4" l="1"/>
  <c r="L248" i="4" s="1"/>
  <c r="AB621" i="15" s="1"/>
  <c r="G249" i="4"/>
  <c r="J249" i="4" l="1"/>
  <c r="K249" i="4" s="1"/>
  <c r="E249" i="4"/>
  <c r="E247" i="12"/>
  <c r="F247" i="12" s="1"/>
  <c r="H247" i="12" s="1"/>
  <c r="O248" i="4"/>
  <c r="H249" i="4" l="1"/>
  <c r="G250" i="4" l="1"/>
  <c r="J250" i="4" s="1"/>
  <c r="K250" i="4" s="1"/>
  <c r="I249" i="4"/>
  <c r="L249" i="4" s="1"/>
  <c r="AB623" i="15" s="1"/>
  <c r="E250" i="4" l="1"/>
  <c r="O249" i="4"/>
  <c r="E248" i="12"/>
  <c r="F248" i="12" s="1"/>
  <c r="H248" i="12" s="1"/>
  <c r="H250" i="4" l="1"/>
  <c r="I250" i="4" s="1"/>
  <c r="L250" i="4" s="1"/>
  <c r="AB625" i="15" s="1"/>
  <c r="G251" i="4" l="1"/>
  <c r="J251" i="4" s="1"/>
  <c r="K251" i="4" s="1"/>
  <c r="O250" i="4"/>
  <c r="E249" i="12"/>
  <c r="F249" i="12" s="1"/>
  <c r="H249" i="12" s="1"/>
  <c r="E251" i="4" l="1"/>
  <c r="H251" i="4" l="1"/>
  <c r="G252" i="4" s="1"/>
  <c r="I251" i="4" l="1"/>
  <c r="L251" i="4" s="1"/>
  <c r="J252" i="4"/>
  <c r="K252" i="4" s="1"/>
  <c r="E252" i="4"/>
  <c r="O251" i="4" l="1"/>
  <c r="AB627" i="15"/>
  <c r="E250" i="12"/>
  <c r="F250" i="12" s="1"/>
  <c r="H250" i="12" s="1"/>
  <c r="H252" i="4"/>
  <c r="G253" i="4" l="1"/>
  <c r="I252" i="4"/>
  <c r="L252" i="4" s="1"/>
  <c r="AB629" i="15" s="1"/>
  <c r="E251" i="12" l="1"/>
  <c r="F251" i="12" s="1"/>
  <c r="H251" i="12" s="1"/>
  <c r="O252" i="4"/>
  <c r="J253" i="4"/>
  <c r="K253" i="4" s="1"/>
  <c r="E253" i="4"/>
  <c r="H253" i="4" l="1"/>
  <c r="G254" i="4" l="1"/>
  <c r="J254" i="4" s="1"/>
  <c r="K254" i="4" s="1"/>
  <c r="I253" i="4"/>
  <c r="L253" i="4" s="1"/>
  <c r="AB631" i="15" s="1"/>
  <c r="E254" i="4" l="1"/>
  <c r="O253" i="4"/>
  <c r="E252" i="12"/>
  <c r="F252" i="12" s="1"/>
  <c r="H252" i="12" s="1"/>
  <c r="H254" i="4" l="1"/>
  <c r="G255" i="4" s="1"/>
  <c r="I254" i="4" l="1"/>
  <c r="L254" i="4" s="1"/>
  <c r="E255" i="4"/>
  <c r="J255" i="4"/>
  <c r="K255" i="4" s="1"/>
  <c r="E253" i="12" l="1"/>
  <c r="F253" i="12" s="1"/>
  <c r="H253" i="12" s="1"/>
  <c r="AB633" i="15"/>
  <c r="O254" i="4"/>
  <c r="H255" i="4"/>
  <c r="G256" i="4" l="1"/>
  <c r="I255" i="4"/>
  <c r="L255" i="4" s="1"/>
  <c r="AB635" i="15" s="1"/>
  <c r="O255" i="4" l="1"/>
  <c r="E254" i="12"/>
  <c r="F254" i="12" s="1"/>
  <c r="H254" i="12" s="1"/>
  <c r="J256" i="4"/>
  <c r="K256" i="4" s="1"/>
  <c r="E256" i="4"/>
  <c r="H256" i="4" l="1"/>
  <c r="I256" i="4" l="1"/>
  <c r="L256" i="4" s="1"/>
  <c r="AB638" i="15" s="1"/>
  <c r="G257" i="4"/>
  <c r="J257" i="4" l="1"/>
  <c r="K257" i="4" s="1"/>
  <c r="E257" i="4"/>
  <c r="E255" i="12"/>
  <c r="F255" i="12" s="1"/>
  <c r="H255" i="12" s="1"/>
  <c r="O256" i="4"/>
  <c r="H257" i="4" l="1"/>
  <c r="I257" i="4" l="1"/>
  <c r="L257" i="4" s="1"/>
  <c r="AB642" i="15" s="1"/>
  <c r="G258" i="4"/>
  <c r="J258" i="4" s="1"/>
  <c r="K258" i="4" s="1"/>
  <c r="E256" i="12" l="1"/>
  <c r="F256" i="12" s="1"/>
  <c r="H256" i="12" s="1"/>
  <c r="O257" i="4"/>
  <c r="E258" i="4"/>
  <c r="H258" i="4" l="1"/>
  <c r="I258" i="4" l="1"/>
  <c r="L258" i="4" s="1"/>
  <c r="AB644" i="15" s="1"/>
  <c r="G259" i="4"/>
  <c r="J259" i="4" s="1"/>
  <c r="K259" i="4" s="1"/>
  <c r="O258" i="4" l="1"/>
  <c r="E257" i="12"/>
  <c r="F257" i="12" s="1"/>
  <c r="H257" i="12" s="1"/>
  <c r="E259" i="4"/>
  <c r="H259" i="4" l="1"/>
  <c r="G260" i="4" l="1"/>
  <c r="J260" i="4" s="1"/>
  <c r="K260" i="4" s="1"/>
  <c r="I259" i="4"/>
  <c r="L259" i="4" s="1"/>
  <c r="AB647" i="15" s="1"/>
  <c r="E260" i="4" l="1"/>
  <c r="O259" i="4"/>
  <c r="E258" i="12"/>
  <c r="F258" i="12" s="1"/>
  <c r="H258" i="12" s="1"/>
  <c r="H260" i="4" l="1"/>
  <c r="I260" i="4" l="1"/>
  <c r="L260" i="4" s="1"/>
  <c r="AB650" i="15" s="1"/>
  <c r="G261" i="4"/>
  <c r="J261" i="4" l="1"/>
  <c r="K261" i="4" s="1"/>
  <c r="E261" i="4"/>
  <c r="E259" i="12"/>
  <c r="F259" i="12" s="1"/>
  <c r="H259" i="12" s="1"/>
  <c r="O260" i="4"/>
  <c r="H261" i="4" l="1"/>
  <c r="I261" i="4" l="1"/>
  <c r="L261" i="4" s="1"/>
  <c r="AB652" i="15" s="1"/>
  <c r="G262" i="4"/>
  <c r="J262" i="4" s="1"/>
  <c r="K262" i="4" s="1"/>
  <c r="E262" i="4" l="1"/>
  <c r="E260" i="12"/>
  <c r="F260" i="12" s="1"/>
  <c r="H260" i="12" s="1"/>
  <c r="O261" i="4"/>
  <c r="H262" i="4" l="1"/>
  <c r="I262" i="4" l="1"/>
  <c r="L262" i="4" s="1"/>
  <c r="AB653" i="15" s="1"/>
  <c r="G263" i="4"/>
  <c r="J263" i="4" s="1"/>
  <c r="K263" i="4" s="1"/>
  <c r="E261" i="12" l="1"/>
  <c r="F261" i="12" s="1"/>
  <c r="H261" i="12" s="1"/>
  <c r="O262" i="4"/>
  <c r="E263" i="4"/>
  <c r="H263" i="4" l="1"/>
  <c r="I263" i="4" l="1"/>
  <c r="L263" i="4" s="1"/>
  <c r="AB656" i="15" s="1"/>
  <c r="G264" i="4"/>
  <c r="J264" i="4" s="1"/>
  <c r="K264" i="4" s="1"/>
  <c r="E264" i="4" l="1"/>
  <c r="E262" i="12"/>
  <c r="F262" i="12" s="1"/>
  <c r="H262" i="12" s="1"/>
  <c r="O263" i="4"/>
  <c r="H264" i="4" l="1"/>
  <c r="I264" i="4" s="1"/>
  <c r="L264" i="4" s="1"/>
  <c r="AB655" i="15" s="1"/>
  <c r="G265" i="4" l="1"/>
  <c r="J265" i="4" s="1"/>
  <c r="K265" i="4" s="1"/>
  <c r="E263" i="12"/>
  <c r="F263" i="12" s="1"/>
  <c r="H263" i="12" s="1"/>
  <c r="O264" i="4"/>
  <c r="E265" i="4" l="1"/>
  <c r="H265" i="4" s="1"/>
  <c r="G266" i="4" l="1"/>
  <c r="J266" i="4" s="1"/>
  <c r="K266" i="4" s="1"/>
  <c r="I265" i="4"/>
  <c r="L265" i="4" s="1"/>
  <c r="E264" i="12" l="1"/>
  <c r="F264" i="12" s="1"/>
  <c r="H264" i="12" s="1"/>
  <c r="AB661" i="15"/>
  <c r="O265" i="4"/>
  <c r="E266" i="4"/>
  <c r="H266" i="4" l="1"/>
  <c r="G267" i="4" l="1"/>
  <c r="J267" i="4" s="1"/>
  <c r="K267" i="4" s="1"/>
  <c r="I266" i="4"/>
  <c r="L266" i="4" s="1"/>
  <c r="AB665" i="15" s="1"/>
  <c r="E267" i="4" l="1"/>
  <c r="O266" i="4"/>
  <c r="E265" i="12"/>
  <c r="F265" i="12" s="1"/>
  <c r="H265" i="12" s="1"/>
  <c r="H267" i="4" l="1"/>
  <c r="G268" i="4" s="1"/>
  <c r="I267" i="4" l="1"/>
  <c r="L267" i="4" s="1"/>
  <c r="J268" i="4"/>
  <c r="K268" i="4" s="1"/>
  <c r="E268" i="4"/>
  <c r="E266" i="12" l="1"/>
  <c r="F266" i="12" s="1"/>
  <c r="H266" i="12" s="1"/>
  <c r="AB668" i="15"/>
  <c r="O267" i="4"/>
  <c r="H268" i="4"/>
  <c r="I268" i="4" l="1"/>
  <c r="L268" i="4" s="1"/>
  <c r="AB671" i="15" s="1"/>
  <c r="G269" i="4"/>
  <c r="J269" i="4" l="1"/>
  <c r="K269" i="4" s="1"/>
  <c r="E269" i="4"/>
  <c r="O268" i="4"/>
  <c r="E267" i="12"/>
  <c r="F267" i="12" s="1"/>
  <c r="H267" i="12" s="1"/>
  <c r="H269" i="4" l="1"/>
  <c r="G270" i="4" l="1"/>
  <c r="J270" i="4" s="1"/>
  <c r="K270" i="4" s="1"/>
  <c r="I269" i="4"/>
  <c r="L269" i="4" s="1"/>
  <c r="AB674" i="15" s="1"/>
  <c r="E268" i="12" l="1"/>
  <c r="F268" i="12" s="1"/>
  <c r="H268" i="12" s="1"/>
  <c r="O269" i="4"/>
  <c r="E270" i="4"/>
  <c r="H270" i="4" l="1"/>
  <c r="G271" i="4" l="1"/>
  <c r="J271" i="4" s="1"/>
  <c r="K271" i="4" s="1"/>
  <c r="I270" i="4"/>
  <c r="L270" i="4" s="1"/>
  <c r="AB677" i="15" s="1"/>
  <c r="E271" i="4" l="1"/>
  <c r="H271" i="4" s="1"/>
  <c r="E269" i="12"/>
  <c r="F269" i="12" s="1"/>
  <c r="H269" i="12" s="1"/>
  <c r="O270" i="4"/>
  <c r="G272" i="4" l="1"/>
  <c r="I271" i="4"/>
  <c r="L271" i="4" s="1"/>
  <c r="AB679" i="15" s="1"/>
  <c r="O271" i="4" l="1"/>
  <c r="E270" i="12"/>
  <c r="F270" i="12" s="1"/>
  <c r="H270" i="12" s="1"/>
  <c r="J272" i="4"/>
  <c r="K272" i="4" s="1"/>
  <c r="E272" i="4"/>
  <c r="H272" i="4" l="1"/>
  <c r="I272" i="4" l="1"/>
  <c r="L272" i="4" s="1"/>
  <c r="AB680" i="15" s="1"/>
  <c r="G273" i="4"/>
  <c r="J273" i="4" l="1"/>
  <c r="K273" i="4" s="1"/>
  <c r="E273" i="4"/>
  <c r="O272" i="4"/>
  <c r="E271" i="12"/>
  <c r="F271" i="12" s="1"/>
  <c r="H271" i="12" s="1"/>
  <c r="H273" i="4" l="1"/>
  <c r="I273" i="4" l="1"/>
  <c r="L273" i="4" s="1"/>
  <c r="AB664" i="15" s="1"/>
  <c r="G274" i="4"/>
  <c r="J274" i="4" l="1"/>
  <c r="K274" i="4" s="1"/>
  <c r="E274" i="4"/>
  <c r="E272" i="12"/>
  <c r="F272" i="12" s="1"/>
  <c r="H272" i="12" s="1"/>
  <c r="O273" i="4"/>
  <c r="H274" i="4" l="1"/>
  <c r="I274" i="4" l="1"/>
  <c r="L274" i="4" s="1"/>
  <c r="AB574" i="15" s="1"/>
  <c r="G275" i="4"/>
  <c r="J275" i="4" l="1"/>
  <c r="K275" i="4" s="1"/>
  <c r="E275" i="4"/>
  <c r="E273" i="12"/>
  <c r="F273" i="12" s="1"/>
  <c r="H273" i="12" s="1"/>
  <c r="O274" i="4"/>
  <c r="H275" i="4" l="1"/>
  <c r="I275" i="4" l="1"/>
  <c r="L275" i="4" s="1"/>
  <c r="AB645" i="15" s="1"/>
  <c r="G276" i="4"/>
  <c r="J276" i="4" l="1"/>
  <c r="K276" i="4" s="1"/>
  <c r="E276" i="4"/>
  <c r="E274" i="12"/>
  <c r="F274" i="12" s="1"/>
  <c r="H274" i="12" s="1"/>
  <c r="O275" i="4"/>
  <c r="H276" i="4" l="1"/>
  <c r="G277" i="4" l="1"/>
  <c r="J277" i="4" s="1"/>
  <c r="K277" i="4" s="1"/>
  <c r="I276" i="4"/>
  <c r="L276" i="4" s="1"/>
  <c r="AB681" i="15" s="1"/>
  <c r="E277" i="4" l="1"/>
  <c r="H277" i="4" s="1"/>
  <c r="E275" i="12"/>
  <c r="F275" i="12" s="1"/>
  <c r="H275" i="12" s="1"/>
  <c r="O276" i="4"/>
  <c r="I277" i="4" l="1"/>
  <c r="L277" i="4" s="1"/>
  <c r="AB685" i="15" s="1"/>
  <c r="G278" i="4"/>
  <c r="J278" i="4" s="1"/>
  <c r="K278" i="4" s="1"/>
  <c r="E276" i="12" l="1"/>
  <c r="F276" i="12" s="1"/>
  <c r="H276" i="12" s="1"/>
  <c r="O277" i="4"/>
  <c r="E278" i="4"/>
  <c r="H278" i="4" l="1"/>
  <c r="I278" i="4" l="1"/>
  <c r="L278" i="4" s="1"/>
  <c r="AB687" i="15" s="1"/>
  <c r="G279" i="4"/>
  <c r="J279" i="4" s="1"/>
  <c r="K279" i="4" s="1"/>
  <c r="E279" i="4" l="1"/>
  <c r="O278" i="4"/>
  <c r="E277" i="12"/>
  <c r="F277" i="12" s="1"/>
  <c r="H277" i="12" s="1"/>
  <c r="H279" i="4" l="1"/>
  <c r="G280" i="4" l="1"/>
  <c r="I279" i="4"/>
  <c r="L279" i="4" s="1"/>
  <c r="AB689" i="15" s="1"/>
  <c r="E278" i="12" l="1"/>
  <c r="F278" i="12" s="1"/>
  <c r="H278" i="12" s="1"/>
  <c r="O279" i="4"/>
  <c r="J280" i="4"/>
  <c r="K280" i="4" s="1"/>
  <c r="E280" i="4"/>
  <c r="H280" i="4" l="1"/>
  <c r="I280" i="4" l="1"/>
  <c r="L280" i="4" s="1"/>
  <c r="AB691" i="15" s="1"/>
  <c r="G281" i="4"/>
  <c r="J281" i="4" s="1"/>
  <c r="K281" i="4" s="1"/>
  <c r="E281" i="4" l="1"/>
  <c r="E279" i="12"/>
  <c r="F279" i="12" s="1"/>
  <c r="H279" i="12" s="1"/>
  <c r="O280" i="4"/>
  <c r="H281" i="4" l="1"/>
  <c r="G282" i="4" l="1"/>
  <c r="I281" i="4"/>
  <c r="L281" i="4" s="1"/>
  <c r="AB693" i="15" s="1"/>
  <c r="O281" i="4" l="1"/>
  <c r="E280" i="12"/>
  <c r="F280" i="12" s="1"/>
  <c r="H280" i="12" s="1"/>
  <c r="J282" i="4"/>
  <c r="K282" i="4" s="1"/>
  <c r="E282" i="4"/>
  <c r="H282" i="4" l="1"/>
  <c r="I282" i="4" l="1"/>
  <c r="L282" i="4" s="1"/>
  <c r="AB695" i="15" s="1"/>
  <c r="G283" i="4"/>
  <c r="J283" i="4" l="1"/>
  <c r="K283" i="4" s="1"/>
  <c r="E283" i="4"/>
  <c r="O282" i="4"/>
  <c r="E281" i="12"/>
  <c r="F281" i="12" s="1"/>
  <c r="H281" i="12" s="1"/>
  <c r="H283" i="4" l="1"/>
  <c r="I283" i="4" l="1"/>
  <c r="L283" i="4" s="1"/>
  <c r="AB698" i="15" s="1"/>
  <c r="G284" i="4"/>
  <c r="J284" i="4" s="1"/>
  <c r="K284" i="4" s="1"/>
  <c r="E284" i="4" l="1"/>
  <c r="E282" i="12"/>
  <c r="F282" i="12" s="1"/>
  <c r="H282" i="12" s="1"/>
  <c r="O283" i="4"/>
  <c r="H284" i="4" l="1"/>
  <c r="G285" i="4" l="1"/>
  <c r="J285" i="4" s="1"/>
  <c r="K285" i="4" s="1"/>
  <c r="I284" i="4"/>
  <c r="L284" i="4" s="1"/>
  <c r="AB700" i="15" s="1"/>
  <c r="E285" i="4" l="1"/>
  <c r="O284" i="4"/>
  <c r="E283" i="12"/>
  <c r="F283" i="12" s="1"/>
  <c r="H283" i="12" s="1"/>
  <c r="H285" i="4" l="1"/>
  <c r="G286" i="4" l="1"/>
  <c r="I285" i="4"/>
  <c r="L285" i="4" s="1"/>
  <c r="AB702" i="15" s="1"/>
  <c r="E284" i="12" l="1"/>
  <c r="F284" i="12" s="1"/>
  <c r="H284" i="12" s="1"/>
  <c r="O285" i="4"/>
  <c r="J286" i="4"/>
  <c r="K286" i="4" s="1"/>
  <c r="E286" i="4"/>
  <c r="H286" i="4" l="1"/>
  <c r="I286" i="4" l="1"/>
  <c r="L286" i="4" s="1"/>
  <c r="AB705" i="15" s="1"/>
  <c r="G287" i="4"/>
  <c r="J287" i="4" s="1"/>
  <c r="K287" i="4" s="1"/>
  <c r="E287" i="4" l="1"/>
  <c r="H287" i="4" s="1"/>
  <c r="O286" i="4"/>
  <c r="E285" i="12"/>
  <c r="F285" i="12" s="1"/>
  <c r="H285" i="12" s="1"/>
  <c r="G288" i="4" l="1"/>
  <c r="J288" i="4" s="1"/>
  <c r="K288" i="4" s="1"/>
  <c r="I287" i="4"/>
  <c r="L287" i="4" s="1"/>
  <c r="AB706" i="15" s="1"/>
  <c r="E288" i="4" l="1"/>
  <c r="O287" i="4"/>
  <c r="E286" i="12"/>
  <c r="F286" i="12" s="1"/>
  <c r="H286" i="12" s="1"/>
  <c r="H288" i="4" l="1"/>
  <c r="I288" i="4" s="1"/>
  <c r="L288" i="4" s="1"/>
  <c r="AB708" i="15" s="1"/>
  <c r="G289" i="4" l="1"/>
  <c r="J289" i="4" s="1"/>
  <c r="K289" i="4" s="1"/>
  <c r="O288" i="4"/>
  <c r="E287" i="12"/>
  <c r="F287" i="12" s="1"/>
  <c r="H287" i="12" s="1"/>
  <c r="E289" i="4" l="1"/>
  <c r="H289" i="4" l="1"/>
  <c r="G290" i="4" l="1"/>
  <c r="I289" i="4"/>
  <c r="L289" i="4" s="1"/>
  <c r="AB673" i="15" s="1"/>
  <c r="J290" i="4" l="1"/>
  <c r="K290" i="4" s="1"/>
  <c r="E290" i="4"/>
  <c r="O289" i="4"/>
  <c r="E288" i="12"/>
  <c r="F288" i="12" s="1"/>
  <c r="H288" i="12" s="1"/>
  <c r="H290" i="4" l="1"/>
  <c r="I290" i="4" l="1"/>
  <c r="L290" i="4" s="1"/>
  <c r="AB703" i="15" s="1"/>
  <c r="G291" i="4"/>
  <c r="J291" i="4" s="1"/>
  <c r="K291" i="4" s="1"/>
  <c r="O290" i="4" l="1"/>
  <c r="E289" i="12"/>
  <c r="F289" i="12" s="1"/>
  <c r="H289" i="12" s="1"/>
  <c r="E291" i="4"/>
  <c r="H291" i="4" l="1"/>
  <c r="I291" i="4" l="1"/>
  <c r="L291" i="4" s="1"/>
  <c r="AB511" i="15" s="1"/>
  <c r="G292" i="4"/>
  <c r="J292" i="4" s="1"/>
  <c r="K292" i="4" s="1"/>
  <c r="E292" i="4" l="1"/>
  <c r="O291" i="4"/>
  <c r="E290" i="12"/>
  <c r="F290" i="12" s="1"/>
  <c r="H290" i="12" s="1"/>
  <c r="H292" i="4" l="1"/>
  <c r="I292" i="4" l="1"/>
  <c r="L292" i="4" s="1"/>
  <c r="AB543" i="15" s="1"/>
  <c r="G293" i="4"/>
  <c r="J293" i="4" s="1"/>
  <c r="K293" i="4" s="1"/>
  <c r="E293" i="4" l="1"/>
  <c r="H293" i="4" s="1"/>
  <c r="E291" i="12"/>
  <c r="F291" i="12" s="1"/>
  <c r="H291" i="12" s="1"/>
  <c r="O292" i="4"/>
  <c r="G294" i="4" l="1"/>
  <c r="J294" i="4" s="1"/>
  <c r="K294" i="4" s="1"/>
  <c r="I293" i="4"/>
  <c r="L293" i="4" s="1"/>
  <c r="AB28" i="15" s="1"/>
  <c r="E294" i="4" l="1"/>
  <c r="H294" i="4" s="1"/>
  <c r="E292" i="12"/>
  <c r="F292" i="12" s="1"/>
  <c r="H292" i="12" s="1"/>
  <c r="O293" i="4"/>
  <c r="G295" i="4" l="1"/>
  <c r="J295" i="4" s="1"/>
  <c r="K295" i="4" s="1"/>
  <c r="I294" i="4"/>
  <c r="L294" i="4" s="1"/>
  <c r="AB292" i="15" s="1"/>
  <c r="E295" i="4" l="1"/>
  <c r="H295" i="4" s="1"/>
  <c r="E293" i="12"/>
  <c r="F293" i="12" s="1"/>
  <c r="H293" i="12" s="1"/>
  <c r="O294" i="4"/>
  <c r="I295" i="4" l="1"/>
  <c r="L295" i="4" s="1"/>
  <c r="AB63" i="15" s="1"/>
  <c r="G296" i="4"/>
  <c r="J296" i="4" s="1"/>
  <c r="K296" i="4" s="1"/>
  <c r="E296" i="4" l="1"/>
  <c r="O295" i="4"/>
  <c r="E294" i="12"/>
  <c r="F294" i="12" s="1"/>
  <c r="H294" i="12" s="1"/>
  <c r="H296" i="4" l="1"/>
  <c r="G297" i="4" l="1"/>
  <c r="J297" i="4" s="1"/>
  <c r="K297" i="4" s="1"/>
  <c r="I296" i="4"/>
  <c r="L296" i="4" s="1"/>
  <c r="AB237" i="15" s="1"/>
  <c r="E297" i="4" l="1"/>
  <c r="O296" i="4"/>
  <c r="E295" i="12"/>
  <c r="F295" i="12" s="1"/>
  <c r="H295" i="12" s="1"/>
  <c r="H297" i="4" l="1"/>
  <c r="G298" i="4" l="1"/>
  <c r="J298" i="4" s="1"/>
  <c r="K298" i="4" s="1"/>
  <c r="I297" i="4"/>
  <c r="L297" i="4" s="1"/>
  <c r="AB266" i="15" s="1"/>
  <c r="E298" i="4" l="1"/>
  <c r="O297" i="4"/>
  <c r="E296" i="12"/>
  <c r="F296" i="12" s="1"/>
  <c r="H296" i="12" s="1"/>
  <c r="H298" i="4" l="1"/>
  <c r="I298" i="4" l="1"/>
  <c r="L298" i="4" s="1"/>
  <c r="AB153" i="15" s="1"/>
  <c r="G299" i="4"/>
  <c r="J299" i="4" s="1"/>
  <c r="K299" i="4" s="1"/>
  <c r="E297" i="12" l="1"/>
  <c r="F297" i="12" s="1"/>
  <c r="H297" i="12" s="1"/>
  <c r="O298" i="4"/>
  <c r="E299" i="4"/>
  <c r="H299" i="4" l="1"/>
  <c r="G300" i="4" l="1"/>
  <c r="J300" i="4" s="1"/>
  <c r="K300" i="4" s="1"/>
  <c r="I299" i="4"/>
  <c r="L299" i="4" s="1"/>
  <c r="AB220" i="15" s="1"/>
  <c r="O299" i="4" l="1"/>
  <c r="E298" i="12"/>
  <c r="F298" i="12" s="1"/>
  <c r="H298" i="12" s="1"/>
  <c r="E300" i="4"/>
  <c r="H300" i="4" l="1"/>
  <c r="I300" i="4" l="1"/>
  <c r="L300" i="4" s="1"/>
  <c r="AB246" i="15" s="1"/>
  <c r="G301" i="4"/>
  <c r="J301" i="4" s="1"/>
  <c r="K301" i="4" s="1"/>
  <c r="E301" i="4" l="1"/>
  <c r="E299" i="12"/>
  <c r="F299" i="12" s="1"/>
  <c r="H299" i="12" s="1"/>
  <c r="O300" i="4"/>
  <c r="H301" i="4" l="1"/>
  <c r="I301" i="4" l="1"/>
  <c r="L301" i="4" s="1"/>
  <c r="AB253" i="15" s="1"/>
  <c r="G302" i="4"/>
  <c r="J302" i="4" s="1"/>
  <c r="K302" i="4" s="1"/>
  <c r="O301" i="4" l="1"/>
  <c r="E300" i="12"/>
  <c r="F300" i="12" s="1"/>
  <c r="H300" i="12" s="1"/>
  <c r="E302" i="4"/>
  <c r="H302" i="4" l="1"/>
  <c r="I302" i="4" l="1"/>
  <c r="L302" i="4" s="1"/>
  <c r="AB250" i="15" s="1"/>
  <c r="G303" i="4"/>
  <c r="J303" i="4" s="1"/>
  <c r="K303" i="4" s="1"/>
  <c r="E303" i="4" l="1"/>
  <c r="O302" i="4"/>
  <c r="E301" i="12"/>
  <c r="F301" i="12" s="1"/>
  <c r="H301" i="12" s="1"/>
  <c r="H303" i="4" l="1"/>
  <c r="I303" i="4" l="1"/>
  <c r="L303" i="4" s="1"/>
  <c r="AB259" i="15" s="1"/>
  <c r="G304" i="4"/>
  <c r="J304" i="4" s="1"/>
  <c r="K304" i="4" s="1"/>
  <c r="O303" i="4" l="1"/>
  <c r="E302" i="12"/>
  <c r="F302" i="12" s="1"/>
  <c r="H302" i="12" s="1"/>
  <c r="E304" i="4"/>
  <c r="H304" i="4" l="1"/>
  <c r="I304" i="4" l="1"/>
  <c r="L304" i="4" s="1"/>
  <c r="AB223" i="15" s="1"/>
  <c r="G305" i="4"/>
  <c r="J305" i="4" s="1"/>
  <c r="K305" i="4" s="1"/>
  <c r="E305" i="4" l="1"/>
  <c r="H305" i="4" s="1"/>
  <c r="O304" i="4"/>
  <c r="E303" i="12"/>
  <c r="F303" i="12" s="1"/>
  <c r="H303" i="12" s="1"/>
  <c r="I305" i="4" l="1"/>
  <c r="L305" i="4" s="1"/>
  <c r="AB248" i="15" s="1"/>
  <c r="G306" i="4"/>
  <c r="J306" i="4" s="1"/>
  <c r="K306" i="4" s="1"/>
  <c r="E306" i="4" l="1"/>
  <c r="H306" i="4" s="1"/>
  <c r="E304" i="12"/>
  <c r="F304" i="12" s="1"/>
  <c r="H304" i="12" s="1"/>
  <c r="O305" i="4"/>
  <c r="I306" i="4" l="1"/>
  <c r="L306" i="4" s="1"/>
  <c r="AB274" i="15" s="1"/>
  <c r="G307" i="4"/>
  <c r="J307" i="4" s="1"/>
  <c r="K307" i="4" s="1"/>
  <c r="O306" i="4" l="1"/>
  <c r="E305" i="12"/>
  <c r="F305" i="12" s="1"/>
  <c r="H305" i="12" s="1"/>
  <c r="E307" i="4"/>
  <c r="H307" i="4" l="1"/>
  <c r="I307" i="4" l="1"/>
  <c r="L307" i="4" s="1"/>
  <c r="AB294" i="15" s="1"/>
  <c r="G308" i="4"/>
  <c r="J308" i="4" s="1"/>
  <c r="K308" i="4" s="1"/>
  <c r="O307" i="4" l="1"/>
  <c r="E306" i="12"/>
  <c r="F306" i="12" s="1"/>
  <c r="H306" i="12" s="1"/>
  <c r="E308" i="4"/>
  <c r="H308" i="4" l="1"/>
  <c r="G309" i="4" l="1"/>
  <c r="J309" i="4" s="1"/>
  <c r="K309" i="4" s="1"/>
  <c r="I308" i="4"/>
  <c r="L308" i="4" s="1"/>
  <c r="AB326" i="15" s="1"/>
  <c r="E309" i="4" l="1"/>
  <c r="H309" i="4" s="1"/>
  <c r="O308" i="4"/>
  <c r="E307" i="12"/>
  <c r="F307" i="12" s="1"/>
  <c r="H307" i="12" s="1"/>
  <c r="G310" i="4" l="1"/>
  <c r="J310" i="4" s="1"/>
  <c r="K310" i="4" s="1"/>
  <c r="I309" i="4"/>
  <c r="L309" i="4" s="1"/>
  <c r="AB332" i="15" s="1"/>
  <c r="E308" i="12" l="1"/>
  <c r="F308" i="12" s="1"/>
  <c r="H308" i="12" s="1"/>
  <c r="O309" i="4"/>
  <c r="E310" i="4"/>
  <c r="H310" i="4" l="1"/>
  <c r="I310" i="4" l="1"/>
  <c r="L310" i="4" s="1"/>
  <c r="AB368" i="15" s="1"/>
  <c r="G311" i="4"/>
  <c r="J311" i="4" s="1"/>
  <c r="K311" i="4" s="1"/>
  <c r="E311" i="4" l="1"/>
  <c r="E309" i="12"/>
  <c r="F309" i="12" s="1"/>
  <c r="H309" i="12" s="1"/>
  <c r="O310" i="4"/>
  <c r="H311" i="4" l="1"/>
  <c r="G312" i="4" l="1"/>
  <c r="I311" i="4"/>
  <c r="L311" i="4" s="1"/>
  <c r="AB407" i="15" s="1"/>
  <c r="E310" i="12" l="1"/>
  <c r="F310" i="12" s="1"/>
  <c r="H310" i="12" s="1"/>
  <c r="O311" i="4"/>
  <c r="J312" i="4"/>
  <c r="K312" i="4" s="1"/>
  <c r="E312" i="4"/>
  <c r="H312" i="4" l="1"/>
  <c r="G313" i="4" l="1"/>
  <c r="J313" i="4" s="1"/>
  <c r="K313" i="4" s="1"/>
  <c r="I312" i="4"/>
  <c r="L312" i="4" s="1"/>
  <c r="AB417" i="15" s="1"/>
  <c r="E313" i="4" l="1"/>
  <c r="H313" i="4" s="1"/>
  <c r="E311" i="12"/>
  <c r="F311" i="12" s="1"/>
  <c r="H311" i="12" s="1"/>
  <c r="O312" i="4"/>
  <c r="I313" i="4" l="1"/>
  <c r="L313" i="4" s="1"/>
  <c r="G314" i="4"/>
  <c r="J314" i="4" s="1"/>
  <c r="K314" i="4" s="1"/>
  <c r="O313" i="4" l="1"/>
  <c r="AB454" i="15"/>
  <c r="E312" i="12"/>
  <c r="F312" i="12" s="1"/>
  <c r="H312" i="12" s="1"/>
  <c r="E314" i="4"/>
  <c r="H314" i="4" s="1"/>
  <c r="G315" i="4" l="1"/>
  <c r="J315" i="4" s="1"/>
  <c r="K315" i="4" s="1"/>
  <c r="I314" i="4"/>
  <c r="L314" i="4" s="1"/>
  <c r="AB452" i="15" s="1"/>
  <c r="E315" i="4" l="1"/>
  <c r="H315" i="4" s="1"/>
  <c r="E313" i="12"/>
  <c r="F313" i="12" s="1"/>
  <c r="H313" i="12" s="1"/>
  <c r="O314" i="4"/>
  <c r="G316" i="4" l="1"/>
  <c r="J316" i="4" s="1"/>
  <c r="K316" i="4" s="1"/>
  <c r="I315" i="4"/>
  <c r="L315" i="4" s="1"/>
  <c r="AB483" i="15" s="1"/>
  <c r="E316" i="4" l="1"/>
  <c r="O315" i="4"/>
  <c r="E314" i="12"/>
  <c r="F314" i="12" s="1"/>
  <c r="H314" i="12" s="1"/>
  <c r="H316" i="4" l="1"/>
  <c r="G317" i="4" l="1"/>
  <c r="J317" i="4" s="1"/>
  <c r="K317" i="4" s="1"/>
  <c r="I316" i="4"/>
  <c r="L316" i="4" s="1"/>
  <c r="AB536" i="15" s="1"/>
  <c r="E317" i="4" l="1"/>
  <c r="E315" i="12"/>
  <c r="F315" i="12" s="1"/>
  <c r="H315" i="12" s="1"/>
  <c r="O316" i="4"/>
  <c r="H317" i="4" l="1"/>
  <c r="G318" i="4" l="1"/>
  <c r="J318" i="4" s="1"/>
  <c r="K318" i="4" s="1"/>
  <c r="I317" i="4"/>
  <c r="L317" i="4" s="1"/>
  <c r="AB542" i="15" s="1"/>
  <c r="E318" i="4" l="1"/>
  <c r="E316" i="12"/>
  <c r="F316" i="12" s="1"/>
  <c r="H316" i="12" s="1"/>
  <c r="O317" i="4"/>
  <c r="H318" i="4" l="1"/>
  <c r="G319" i="4" l="1"/>
  <c r="J319" i="4" s="1"/>
  <c r="K319" i="4" s="1"/>
  <c r="I318" i="4"/>
  <c r="L318" i="4" s="1"/>
  <c r="AB598" i="15" s="1"/>
  <c r="O318" i="4" l="1"/>
  <c r="E317" i="12"/>
  <c r="F317" i="12" s="1"/>
  <c r="H317" i="12" s="1"/>
  <c r="E319" i="4"/>
  <c r="H319" i="4" l="1"/>
  <c r="I319" i="4" l="1"/>
  <c r="L319" i="4" s="1"/>
  <c r="AB675" i="15" s="1"/>
  <c r="G320" i="4"/>
  <c r="J320" i="4" s="1"/>
  <c r="K320" i="4" s="1"/>
  <c r="E320" i="4" l="1"/>
  <c r="O319" i="4"/>
  <c r="E318" i="12"/>
  <c r="F318" i="12" s="1"/>
  <c r="H318" i="12" s="1"/>
  <c r="H320" i="4" l="1"/>
  <c r="I320" i="4" l="1"/>
  <c r="L320" i="4" s="1"/>
  <c r="AB715" i="15" s="1"/>
  <c r="G321" i="4"/>
  <c r="J321" i="4" s="1"/>
  <c r="K321" i="4" s="1"/>
  <c r="E321" i="4" l="1"/>
  <c r="E319" i="12"/>
  <c r="F319" i="12" s="1"/>
  <c r="H319" i="12" s="1"/>
  <c r="O320" i="4"/>
  <c r="H321" i="4" l="1"/>
  <c r="G322" i="4" l="1"/>
  <c r="J322" i="4" s="1"/>
  <c r="K322" i="4" s="1"/>
  <c r="I321" i="4"/>
  <c r="L321" i="4" s="1"/>
  <c r="AB720" i="15" s="1"/>
  <c r="E322" i="4" l="1"/>
  <c r="H322" i="4" s="1"/>
  <c r="O321" i="4"/>
  <c r="E320" i="12"/>
  <c r="F320" i="12" s="1"/>
  <c r="H320" i="12" s="1"/>
  <c r="G323" i="4" l="1"/>
  <c r="I322" i="4"/>
  <c r="L322" i="4" s="1"/>
  <c r="AB721" i="15" s="1"/>
  <c r="O322" i="4" l="1"/>
  <c r="E321" i="12"/>
  <c r="F321" i="12" s="1"/>
  <c r="H321" i="12" s="1"/>
  <c r="E323" i="4"/>
  <c r="J323" i="4"/>
  <c r="K323" i="4" s="1"/>
  <c r="H323" i="4" l="1"/>
  <c r="I323" i="4" l="1"/>
  <c r="L323" i="4" s="1"/>
  <c r="AB714" i="15" s="1"/>
  <c r="G324" i="4"/>
  <c r="J324" i="4" l="1"/>
  <c r="K324" i="4" s="1"/>
  <c r="E324" i="4"/>
  <c r="E322" i="12"/>
  <c r="F322" i="12" s="1"/>
  <c r="H322" i="12" s="1"/>
  <c r="O323" i="4"/>
  <c r="H324" i="4" l="1"/>
  <c r="I324" i="4" l="1"/>
  <c r="L324" i="4" s="1"/>
  <c r="AB718" i="15" s="1"/>
  <c r="G325" i="4"/>
  <c r="E323" i="12" l="1"/>
  <c r="F323" i="12" s="1"/>
  <c r="H323" i="12" s="1"/>
  <c r="O324" i="4"/>
  <c r="E325" i="4"/>
  <c r="J325" i="4"/>
  <c r="K325" i="4" s="1"/>
  <c r="H325" i="4" l="1"/>
  <c r="I325" i="4" l="1"/>
  <c r="L325" i="4" s="1"/>
  <c r="AB112" i="15" s="1"/>
  <c r="G326" i="4"/>
  <c r="E324" i="12" l="1"/>
  <c r="F324" i="12" s="1"/>
  <c r="H324" i="12" s="1"/>
  <c r="O325" i="4"/>
  <c r="J326" i="4"/>
  <c r="K326" i="4" s="1"/>
  <c r="E326" i="4"/>
  <c r="H326" i="4" l="1"/>
  <c r="I326" i="4" l="1"/>
  <c r="L326" i="4" s="1"/>
  <c r="AB232" i="15" s="1"/>
  <c r="G327" i="4"/>
  <c r="J327" i="4" l="1"/>
  <c r="K327" i="4" s="1"/>
  <c r="E327" i="4"/>
  <c r="O326" i="4"/>
  <c r="E325" i="12"/>
  <c r="F325" i="12" s="1"/>
  <c r="H325" i="12" s="1"/>
  <c r="H327" i="4" l="1"/>
  <c r="I327" i="4" l="1"/>
  <c r="L327" i="4" s="1"/>
  <c r="AB403" i="15" s="1"/>
  <c r="G328" i="4"/>
  <c r="J328" i="4" s="1"/>
  <c r="K328" i="4" s="1"/>
  <c r="E328" i="4" l="1"/>
  <c r="E326" i="12"/>
  <c r="F326" i="12" s="1"/>
  <c r="H326" i="12" s="1"/>
  <c r="O327" i="4"/>
  <c r="H328" i="4" l="1"/>
  <c r="G329" i="4" l="1"/>
  <c r="J329" i="4" s="1"/>
  <c r="K329" i="4" s="1"/>
  <c r="I328" i="4"/>
  <c r="L328" i="4" s="1"/>
  <c r="AB435" i="15" s="1"/>
  <c r="E329" i="4" l="1"/>
  <c r="H329" i="4" s="1"/>
  <c r="O328" i="4"/>
  <c r="E327" i="12"/>
  <c r="F327" i="12" s="1"/>
  <c r="H327" i="12" s="1"/>
  <c r="I329" i="4" l="1"/>
  <c r="L329" i="4" s="1"/>
  <c r="AB425" i="15" s="1"/>
  <c r="G330" i="4"/>
  <c r="E330" i="4" l="1"/>
  <c r="J330" i="4"/>
  <c r="K330" i="4" s="1"/>
  <c r="O329" i="4"/>
  <c r="E328" i="12"/>
  <c r="F328" i="12" s="1"/>
  <c r="H328" i="12" s="1"/>
  <c r="H330" i="4" l="1"/>
  <c r="I330" i="4" l="1"/>
  <c r="L330" i="4" s="1"/>
  <c r="AB73" i="15" s="1"/>
  <c r="G331" i="4"/>
  <c r="J331" i="4" l="1"/>
  <c r="K331" i="4" s="1"/>
  <c r="E331" i="4"/>
  <c r="E329" i="12"/>
  <c r="F329" i="12" s="1"/>
  <c r="H329" i="12" s="1"/>
  <c r="O330" i="4"/>
  <c r="H331" i="4" l="1"/>
  <c r="G332" i="4" l="1"/>
  <c r="J332" i="4" s="1"/>
  <c r="K332" i="4" s="1"/>
  <c r="I331" i="4"/>
  <c r="L331" i="4" s="1"/>
  <c r="AB218" i="15" s="1"/>
  <c r="E332" i="4" l="1"/>
  <c r="O331" i="4"/>
  <c r="E330" i="12"/>
  <c r="F330" i="12" s="1"/>
  <c r="H330" i="12" s="1"/>
  <c r="H332" i="4" l="1"/>
  <c r="I332" i="4" l="1"/>
  <c r="L332" i="4" s="1"/>
  <c r="AB285" i="15" s="1"/>
  <c r="G333" i="4"/>
  <c r="J333" i="4" s="1"/>
  <c r="K333" i="4" s="1"/>
  <c r="E333" i="4" l="1"/>
  <c r="O332" i="4"/>
  <c r="E331" i="12"/>
  <c r="F331" i="12" s="1"/>
  <c r="H331" i="12" s="1"/>
  <c r="H333" i="4" l="1"/>
  <c r="I333" i="4" l="1"/>
  <c r="L333" i="4" s="1"/>
  <c r="AB320" i="15" s="1"/>
  <c r="G334" i="4"/>
  <c r="J334" i="4" s="1"/>
  <c r="K334" i="4" s="1"/>
  <c r="E334" i="4" l="1"/>
  <c r="O333" i="4"/>
  <c r="E332" i="12"/>
  <c r="F332" i="12" s="1"/>
  <c r="H332" i="12" s="1"/>
  <c r="H334" i="4" l="1"/>
  <c r="G335" i="4" l="1"/>
  <c r="J335" i="4" s="1"/>
  <c r="K335" i="4" s="1"/>
  <c r="I334" i="4"/>
  <c r="L334" i="4" s="1"/>
  <c r="AB353" i="15" s="1"/>
  <c r="E335" i="4" l="1"/>
  <c r="H335" i="4" s="1"/>
  <c r="E333" i="12"/>
  <c r="F333" i="12" s="1"/>
  <c r="H333" i="12" s="1"/>
  <c r="O334" i="4"/>
  <c r="I335" i="4" l="1"/>
  <c r="L335" i="4" s="1"/>
  <c r="AB241" i="15" s="1"/>
  <c r="G336" i="4"/>
  <c r="J336" i="4" s="1"/>
  <c r="K336" i="4" s="1"/>
  <c r="E336" i="4" l="1"/>
  <c r="H336" i="4" s="1"/>
  <c r="E334" i="12"/>
  <c r="F334" i="12" s="1"/>
  <c r="H334" i="12" s="1"/>
  <c r="O335" i="4"/>
  <c r="I336" i="4" l="1"/>
  <c r="L336" i="4" s="1"/>
  <c r="AB61" i="15" s="1"/>
  <c r="G337" i="4"/>
  <c r="J337" i="4" s="1"/>
  <c r="K337" i="4" s="1"/>
  <c r="E337" i="4" l="1"/>
  <c r="H337" i="4" s="1"/>
  <c r="E335" i="12"/>
  <c r="F335" i="12" s="1"/>
  <c r="H335" i="12" s="1"/>
  <c r="O336" i="4"/>
  <c r="G338" i="4" l="1"/>
  <c r="J338" i="4" s="1"/>
  <c r="K338" i="4" s="1"/>
  <c r="I337" i="4"/>
  <c r="L337" i="4" s="1"/>
  <c r="AB244" i="15" s="1"/>
  <c r="E338" i="4" l="1"/>
  <c r="H338" i="4" s="1"/>
  <c r="E336" i="12"/>
  <c r="F336" i="12" s="1"/>
  <c r="H336" i="12" s="1"/>
  <c r="O337" i="4"/>
  <c r="G339" i="4" l="1"/>
  <c r="I338" i="4"/>
  <c r="L338" i="4" s="1"/>
  <c r="AB275" i="15" s="1"/>
  <c r="E337" i="12" l="1"/>
  <c r="F337" i="12" s="1"/>
  <c r="H337" i="12" s="1"/>
  <c r="O338" i="4"/>
  <c r="E339" i="4"/>
  <c r="J339" i="4"/>
  <c r="K339" i="4" s="1"/>
  <c r="H339" i="4" l="1"/>
  <c r="G340" i="4" l="1"/>
  <c r="J340" i="4" s="1"/>
  <c r="K340" i="4" s="1"/>
  <c r="I339" i="4"/>
  <c r="L339" i="4" s="1"/>
  <c r="AB310" i="15" s="1"/>
  <c r="E340" i="4" l="1"/>
  <c r="O339" i="4"/>
  <c r="E338" i="12"/>
  <c r="F338" i="12" s="1"/>
  <c r="H338" i="12" s="1"/>
  <c r="H340" i="4" l="1"/>
  <c r="I340" i="4" l="1"/>
  <c r="L340" i="4" s="1"/>
  <c r="AB341" i="15" s="1"/>
  <c r="G341" i="4"/>
  <c r="E341" i="4" l="1"/>
  <c r="J341" i="4"/>
  <c r="K341" i="4" s="1"/>
  <c r="E339" i="12"/>
  <c r="F339" i="12" s="1"/>
  <c r="H339" i="12" s="1"/>
  <c r="O340" i="4"/>
  <c r="H341" i="4" l="1"/>
  <c r="I341" i="4" l="1"/>
  <c r="L341" i="4" s="1"/>
  <c r="AB380" i="15" s="1"/>
  <c r="G342" i="4"/>
  <c r="J342" i="4" l="1"/>
  <c r="K342" i="4" s="1"/>
  <c r="E342" i="4"/>
  <c r="E340" i="12"/>
  <c r="F340" i="12" s="1"/>
  <c r="H340" i="12" s="1"/>
  <c r="O341" i="4"/>
  <c r="H342" i="4" l="1"/>
  <c r="G343" i="4" l="1"/>
  <c r="I342" i="4"/>
  <c r="L342" i="4" s="1"/>
  <c r="AB428" i="15" s="1"/>
  <c r="O342" i="4" l="1"/>
  <c r="E341" i="12"/>
  <c r="F341" i="12" s="1"/>
  <c r="H341" i="12" s="1"/>
  <c r="J343" i="4"/>
  <c r="K343" i="4" s="1"/>
  <c r="E343" i="4"/>
  <c r="H343" i="4" l="1"/>
  <c r="G344" i="4" l="1"/>
  <c r="I343" i="4"/>
  <c r="L343" i="4" s="1"/>
  <c r="AB466" i="15" s="1"/>
  <c r="O343" i="4" l="1"/>
  <c r="E342" i="12"/>
  <c r="F342" i="12" s="1"/>
  <c r="H342" i="12" s="1"/>
  <c r="J344" i="4"/>
  <c r="K344" i="4" s="1"/>
  <c r="E344" i="4"/>
  <c r="H344" i="4" l="1"/>
  <c r="I344" i="4" l="1"/>
  <c r="L344" i="4" s="1"/>
  <c r="AB520" i="15" s="1"/>
  <c r="G345" i="4"/>
  <c r="J345" i="4" l="1"/>
  <c r="K345" i="4" s="1"/>
  <c r="E345" i="4"/>
  <c r="E343" i="12"/>
  <c r="F343" i="12" s="1"/>
  <c r="H343" i="12" s="1"/>
  <c r="O344" i="4"/>
  <c r="H345" i="4" l="1"/>
  <c r="G346" i="4" l="1"/>
  <c r="I345" i="4"/>
  <c r="L345" i="4" s="1"/>
  <c r="AB570" i="15" s="1"/>
  <c r="O345" i="4" l="1"/>
  <c r="E344" i="12"/>
  <c r="F344" i="12" s="1"/>
  <c r="H344" i="12" s="1"/>
  <c r="J346" i="4"/>
  <c r="K346" i="4" s="1"/>
  <c r="E346" i="4"/>
  <c r="H346" i="4" l="1"/>
  <c r="I346" i="4" l="1"/>
  <c r="L346" i="4" s="1"/>
  <c r="AB641" i="15" s="1"/>
  <c r="G347" i="4"/>
  <c r="E347" i="4" l="1"/>
  <c r="J347" i="4"/>
  <c r="K347" i="4" s="1"/>
  <c r="O346" i="4"/>
  <c r="E345" i="12"/>
  <c r="F345" i="12" s="1"/>
  <c r="H345" i="12" s="1"/>
  <c r="H347" i="4" l="1"/>
  <c r="I347" i="4" l="1"/>
  <c r="L347" i="4" s="1"/>
  <c r="AB711" i="15" s="1"/>
  <c r="G348" i="4"/>
  <c r="J348" i="4" s="1"/>
  <c r="K348" i="4" s="1"/>
  <c r="E348" i="4" l="1"/>
  <c r="E346" i="12"/>
  <c r="F346" i="12" s="1"/>
  <c r="H346" i="12" s="1"/>
  <c r="O347" i="4"/>
  <c r="H348" i="4" l="1"/>
  <c r="G349" i="4" l="1"/>
  <c r="J349" i="4" s="1"/>
  <c r="K349" i="4" s="1"/>
  <c r="I348" i="4"/>
  <c r="L348" i="4" s="1"/>
  <c r="AB725" i="15" s="1"/>
  <c r="E349" i="4" l="1"/>
  <c r="O348" i="4"/>
  <c r="E347" i="12"/>
  <c r="F347" i="12" s="1"/>
  <c r="H347" i="12" s="1"/>
  <c r="H349" i="4" l="1"/>
  <c r="G350" i="4" l="1"/>
  <c r="J350" i="4" s="1"/>
  <c r="I349" i="4"/>
  <c r="L349" i="4" s="1"/>
  <c r="AB728" i="15" s="1"/>
  <c r="E350" i="4" l="1"/>
  <c r="H350" i="4" s="1"/>
  <c r="E348" i="12"/>
  <c r="F348" i="12" s="1"/>
  <c r="H348" i="12" s="1"/>
  <c r="O349" i="4"/>
  <c r="K350" i="4"/>
  <c r="G351" i="4" l="1"/>
  <c r="J351" i="4" s="1"/>
  <c r="K351" i="4" s="1"/>
  <c r="I350" i="4"/>
  <c r="L350" i="4" s="1"/>
  <c r="AB732" i="15" s="1"/>
  <c r="E351" i="4" l="1"/>
  <c r="H351" i="4" s="1"/>
  <c r="E349" i="12"/>
  <c r="F349" i="12" s="1"/>
  <c r="H349" i="12" s="1"/>
  <c r="O350" i="4"/>
  <c r="I351" i="4" l="1"/>
  <c r="L351" i="4" s="1"/>
  <c r="AB733" i="15" s="1"/>
  <c r="G352" i="4"/>
  <c r="J352" i="4" s="1"/>
  <c r="K352" i="4" s="1"/>
  <c r="E352" i="4" l="1"/>
  <c r="O351" i="4"/>
  <c r="E350" i="12"/>
  <c r="F350" i="12" s="1"/>
  <c r="H350" i="12" s="1"/>
  <c r="H352" i="4" l="1"/>
  <c r="G353" i="4" l="1"/>
  <c r="J353" i="4" s="1"/>
  <c r="K353" i="4" s="1"/>
  <c r="I352" i="4"/>
  <c r="L352" i="4" s="1"/>
  <c r="AB734" i="15" s="1"/>
  <c r="E353" i="4" l="1"/>
  <c r="H353" i="4" s="1"/>
  <c r="O352" i="4"/>
  <c r="E351" i="12"/>
  <c r="F351" i="12" s="1"/>
  <c r="H351" i="12" s="1"/>
  <c r="G354" i="4" l="1"/>
  <c r="J354" i="4" s="1"/>
  <c r="K354" i="4" s="1"/>
  <c r="I353" i="4"/>
  <c r="L353" i="4" s="1"/>
  <c r="AB709" i="15" s="1"/>
  <c r="E354" i="4" l="1"/>
  <c r="H354" i="4" s="1"/>
  <c r="E352" i="12"/>
  <c r="F352" i="12" s="1"/>
  <c r="H352" i="12" s="1"/>
  <c r="O353" i="4"/>
  <c r="I354" i="4" l="1"/>
  <c r="L354" i="4" s="1"/>
  <c r="AB724" i="15" s="1"/>
  <c r="G355" i="4"/>
  <c r="J355" i="4" l="1"/>
  <c r="K355" i="4" s="1"/>
  <c r="E355" i="4"/>
  <c r="O354" i="4"/>
  <c r="E353" i="12"/>
  <c r="F353" i="12" s="1"/>
  <c r="H353" i="12" s="1"/>
  <c r="H355" i="4" l="1"/>
  <c r="G356" i="4" l="1"/>
  <c r="J356" i="4" s="1"/>
  <c r="K356" i="4" s="1"/>
  <c r="I355" i="4"/>
  <c r="L355" i="4" s="1"/>
  <c r="AB735" i="15" s="1"/>
  <c r="E356" i="4" l="1"/>
  <c r="H356" i="4" s="1"/>
  <c r="E354" i="12"/>
  <c r="F354" i="12" s="1"/>
  <c r="H354" i="12" s="1"/>
  <c r="O355" i="4"/>
  <c r="I356" i="4" l="1"/>
  <c r="L356" i="4" s="1"/>
  <c r="AB439" i="15" s="1"/>
  <c r="G357" i="4"/>
  <c r="J357" i="4" s="1"/>
  <c r="K357" i="4" s="1"/>
  <c r="E357" i="4" l="1"/>
  <c r="E355" i="12"/>
  <c r="F355" i="12" s="1"/>
  <c r="H355" i="12" s="1"/>
  <c r="O356" i="4"/>
  <c r="H357" i="4" l="1"/>
  <c r="G358" i="4" l="1"/>
  <c r="J358" i="4" s="1"/>
  <c r="K358" i="4" s="1"/>
  <c r="I357" i="4"/>
  <c r="L357" i="4" s="1"/>
  <c r="AB602" i="15" s="1"/>
  <c r="E358" i="4" l="1"/>
  <c r="H358" i="4" s="1"/>
  <c r="G359" i="4" s="1"/>
  <c r="J359" i="4" s="1"/>
  <c r="K359" i="4" s="1"/>
  <c r="E356" i="12"/>
  <c r="F356" i="12" s="1"/>
  <c r="H356" i="12" s="1"/>
  <c r="O357" i="4"/>
  <c r="E359" i="4" l="1"/>
  <c r="I358" i="4"/>
  <c r="L358" i="4" s="1"/>
  <c r="E357" i="12" l="1"/>
  <c r="F357" i="12" s="1"/>
  <c r="H357" i="12" s="1"/>
  <c r="AB662" i="15"/>
  <c r="O358" i="4"/>
  <c r="H359" i="4"/>
  <c r="I359" i="4" s="1"/>
  <c r="L359" i="4" s="1"/>
  <c r="AB37" i="15" s="1"/>
  <c r="G360" i="4" l="1"/>
  <c r="J360" i="4" s="1"/>
  <c r="K360" i="4" s="1"/>
  <c r="O359" i="4"/>
  <c r="E358" i="12"/>
  <c r="F358" i="12" s="1"/>
  <c r="H358" i="12" s="1"/>
  <c r="E360" i="4" l="1"/>
  <c r="H360" i="4" s="1"/>
  <c r="I360" i="4" l="1"/>
  <c r="L360" i="4" s="1"/>
  <c r="AB433" i="15" s="1"/>
  <c r="G361" i="4"/>
  <c r="J361" i="4" s="1"/>
  <c r="K361" i="4" s="1"/>
  <c r="E361" i="4" l="1"/>
  <c r="H361" i="4" s="1"/>
  <c r="E359" i="12"/>
  <c r="F359" i="12" s="1"/>
  <c r="H359" i="12" s="1"/>
  <c r="O360" i="4"/>
  <c r="I361" i="4" l="1"/>
  <c r="L361" i="4" s="1"/>
  <c r="AB476" i="15" s="1"/>
  <c r="G362" i="4"/>
  <c r="J362" i="4" s="1"/>
  <c r="K362" i="4" s="1"/>
  <c r="E362" i="4" l="1"/>
  <c r="E360" i="12"/>
  <c r="F360" i="12" s="1"/>
  <c r="H360" i="12" s="1"/>
  <c r="O361" i="4"/>
  <c r="H362" i="4" l="1"/>
  <c r="G363" i="4" l="1"/>
  <c r="J363" i="4" s="1"/>
  <c r="K363" i="4" s="1"/>
  <c r="I362" i="4"/>
  <c r="L362" i="4" s="1"/>
  <c r="AB59" i="15" s="1"/>
  <c r="E363" i="4" l="1"/>
  <c r="O362" i="4"/>
  <c r="E361" i="12"/>
  <c r="F361" i="12" s="1"/>
  <c r="H361" i="12" s="1"/>
  <c r="H363" i="4" l="1"/>
  <c r="G364" i="4" s="1"/>
  <c r="J364" i="4" s="1"/>
  <c r="K364" i="4" s="1"/>
  <c r="I363" i="4" l="1"/>
  <c r="L363" i="4" s="1"/>
  <c r="E364" i="4"/>
  <c r="O363" i="4" l="1"/>
  <c r="AB330" i="15"/>
  <c r="E362" i="12"/>
  <c r="F362" i="12" s="1"/>
  <c r="H362" i="12" s="1"/>
  <c r="H364" i="4"/>
  <c r="I364" i="4" l="1"/>
  <c r="L364" i="4" s="1"/>
  <c r="AB366" i="15" s="1"/>
  <c r="G365" i="4"/>
  <c r="J365" i="4" s="1"/>
  <c r="K365" i="4" s="1"/>
  <c r="E365" i="4" l="1"/>
  <c r="E363" i="12"/>
  <c r="F363" i="12" s="1"/>
  <c r="H363" i="12" s="1"/>
  <c r="O364" i="4"/>
  <c r="H365" i="4" l="1"/>
  <c r="I365" i="4" l="1"/>
  <c r="L365" i="4" s="1"/>
  <c r="AB13" i="15" s="1"/>
  <c r="G366" i="4"/>
  <c r="J366" i="4" s="1"/>
  <c r="K366" i="4" s="1"/>
  <c r="E366" i="4" l="1"/>
  <c r="O365" i="4"/>
  <c r="E364" i="12"/>
  <c r="F364" i="12" s="1"/>
  <c r="H364" i="12" s="1"/>
  <c r="H366" i="4" l="1"/>
  <c r="I366" i="4" s="1"/>
  <c r="L366" i="4" s="1"/>
  <c r="AB202" i="15" s="1"/>
  <c r="G367" i="4" l="1"/>
  <c r="J367" i="4" s="1"/>
  <c r="K367" i="4" s="1"/>
  <c r="O366" i="4"/>
  <c r="E365" i="12"/>
  <c r="F365" i="12" s="1"/>
  <c r="H365" i="12" s="1"/>
  <c r="E367" i="4" l="1"/>
  <c r="H367" i="4" s="1"/>
  <c r="G368" i="4" l="1"/>
  <c r="J368" i="4" s="1"/>
  <c r="K368" i="4" s="1"/>
  <c r="I367" i="4"/>
  <c r="L367" i="4" s="1"/>
  <c r="AB207" i="15" s="1"/>
  <c r="E368" i="4" l="1"/>
  <c r="E366" i="12"/>
  <c r="F366" i="12" s="1"/>
  <c r="H366" i="12" s="1"/>
  <c r="O367" i="4"/>
  <c r="H368" i="4" l="1"/>
  <c r="G369" i="4" l="1"/>
  <c r="I368" i="4"/>
  <c r="L368" i="4" s="1"/>
  <c r="AB173" i="15" s="1"/>
  <c r="E367" i="12" l="1"/>
  <c r="F367" i="12" s="1"/>
  <c r="H367" i="12" s="1"/>
  <c r="O368" i="4"/>
  <c r="J369" i="4"/>
  <c r="K369" i="4" s="1"/>
  <c r="E369" i="4"/>
  <c r="H369" i="4" l="1"/>
  <c r="I369" i="4" l="1"/>
  <c r="L369" i="4" s="1"/>
  <c r="AB191" i="15" s="1"/>
  <c r="G370" i="4"/>
  <c r="E368" i="12" l="1"/>
  <c r="F368" i="12" s="1"/>
  <c r="H368" i="12" s="1"/>
  <c r="O369" i="4"/>
  <c r="J370" i="4"/>
  <c r="K370" i="4" s="1"/>
  <c r="E370" i="4"/>
  <c r="H370" i="4" l="1"/>
  <c r="G371" i="4" l="1"/>
  <c r="J371" i="4" s="1"/>
  <c r="K371" i="4" s="1"/>
  <c r="I370" i="4"/>
  <c r="L370" i="4" s="1"/>
  <c r="AB188" i="15" s="1"/>
  <c r="E371" i="4" l="1"/>
  <c r="E369" i="12"/>
  <c r="F369" i="12" s="1"/>
  <c r="H369" i="12" s="1"/>
  <c r="O370" i="4"/>
  <c r="H371" i="4" l="1"/>
  <c r="I371" i="4" s="1"/>
  <c r="L371" i="4" s="1"/>
  <c r="O371" i="4" l="1"/>
  <c r="AB198" i="15"/>
  <c r="G372" i="4"/>
  <c r="J372" i="4" s="1"/>
  <c r="K372" i="4" s="1"/>
  <c r="E370" i="12"/>
  <c r="F370" i="12" s="1"/>
  <c r="H370" i="12" s="1"/>
  <c r="E372" i="4" l="1"/>
  <c r="H372" i="4" l="1"/>
  <c r="I372" i="4" s="1"/>
  <c r="L372" i="4" s="1"/>
  <c r="AB22" i="15" s="1"/>
  <c r="O372" i="4" l="1"/>
  <c r="G373" i="4"/>
  <c r="J373" i="4" s="1"/>
  <c r="K373" i="4" s="1"/>
  <c r="E371" i="12"/>
  <c r="F371" i="12" s="1"/>
  <c r="H371" i="12" s="1"/>
  <c r="E373" i="4" l="1"/>
  <c r="H373" i="4" s="1"/>
  <c r="I373" i="4" l="1"/>
  <c r="L373" i="4" s="1"/>
  <c r="AB182" i="15" s="1"/>
  <c r="G374" i="4"/>
  <c r="J374" i="4" l="1"/>
  <c r="K374" i="4" s="1"/>
  <c r="E374" i="4"/>
  <c r="E372" i="12"/>
  <c r="F372" i="12" s="1"/>
  <c r="H372" i="12" s="1"/>
  <c r="O373" i="4"/>
  <c r="H374" i="4" l="1"/>
  <c r="G375" i="4" l="1"/>
  <c r="J375" i="4" s="1"/>
  <c r="K375" i="4" s="1"/>
  <c r="I374" i="4"/>
  <c r="L374" i="4" s="1"/>
  <c r="AB34" i="15" s="1"/>
  <c r="E375" i="4" l="1"/>
  <c r="H375" i="4" s="1"/>
  <c r="O374" i="4"/>
  <c r="E373" i="12"/>
  <c r="F373" i="12" s="1"/>
  <c r="H373" i="12" s="1"/>
  <c r="G376" i="4" l="1"/>
  <c r="J376" i="4" s="1"/>
  <c r="K376" i="4" s="1"/>
  <c r="I375" i="4"/>
  <c r="L375" i="4" s="1"/>
  <c r="AB152" i="15" s="1"/>
  <c r="E376" i="4" l="1"/>
  <c r="E374" i="12"/>
  <c r="F374" i="12" s="1"/>
  <c r="H374" i="12" s="1"/>
  <c r="O375" i="4"/>
  <c r="H376" i="4" l="1"/>
  <c r="G377" i="4" l="1"/>
  <c r="J377" i="4" s="1"/>
  <c r="K377" i="4" s="1"/>
  <c r="I376" i="4"/>
  <c r="L376" i="4" s="1"/>
  <c r="AB82" i="15" s="1"/>
  <c r="E377" i="4" l="1"/>
  <c r="H377" i="4" s="1"/>
  <c r="I377" i="4" s="1"/>
  <c r="L377" i="4" s="1"/>
  <c r="AB30" i="15" s="1"/>
  <c r="E375" i="12"/>
  <c r="F375" i="12" s="1"/>
  <c r="H375" i="12" s="1"/>
  <c r="O376" i="4"/>
  <c r="G378" i="4" l="1"/>
  <c r="J378" i="4" s="1"/>
  <c r="K378" i="4" s="1"/>
  <c r="O377" i="4"/>
  <c r="E376" i="12"/>
  <c r="F376" i="12" s="1"/>
  <c r="H376" i="12" s="1"/>
  <c r="E378" i="4" l="1"/>
  <c r="H378" i="4" l="1"/>
  <c r="G379" i="4" l="1"/>
  <c r="J379" i="4" s="1"/>
  <c r="K379" i="4" s="1"/>
  <c r="I378" i="4"/>
  <c r="L378" i="4" s="1"/>
  <c r="AB130" i="15" s="1"/>
  <c r="E379" i="4" l="1"/>
  <c r="E377" i="12"/>
  <c r="F377" i="12" s="1"/>
  <c r="H377" i="12" s="1"/>
  <c r="O378" i="4"/>
  <c r="H379" i="4" l="1"/>
  <c r="I379" i="4" s="1"/>
  <c r="L379" i="4" s="1"/>
  <c r="AB156" i="15" s="1"/>
  <c r="G380" i="4" l="1"/>
  <c r="E380" i="4" s="1"/>
  <c r="E378" i="12"/>
  <c r="F378" i="12" s="1"/>
  <c r="H378" i="12" s="1"/>
  <c r="O379" i="4"/>
  <c r="J380" i="4" l="1"/>
  <c r="K380" i="4" s="1"/>
  <c r="H380" i="4"/>
  <c r="G381" i="4" l="1"/>
  <c r="J381" i="4" s="1"/>
  <c r="K381" i="4" s="1"/>
  <c r="I380" i="4"/>
  <c r="L380" i="4" s="1"/>
  <c r="AB184" i="15" s="1"/>
  <c r="E381" i="4" l="1"/>
  <c r="O380" i="4"/>
  <c r="E379" i="12"/>
  <c r="F379" i="12" s="1"/>
  <c r="H379" i="12" s="1"/>
  <c r="H381" i="4" l="1"/>
  <c r="I381" i="4" s="1"/>
  <c r="L381" i="4" s="1"/>
  <c r="AB210" i="15" s="1"/>
  <c r="G382" i="4" l="1"/>
  <c r="J382" i="4" s="1"/>
  <c r="K382" i="4" s="1"/>
  <c r="E380" i="12"/>
  <c r="F380" i="12" s="1"/>
  <c r="H380" i="12" s="1"/>
  <c r="O381" i="4"/>
  <c r="E382" i="4" l="1"/>
  <c r="H382" i="4" s="1"/>
  <c r="G383" i="4" l="1"/>
  <c r="I382" i="4"/>
  <c r="L382" i="4" s="1"/>
  <c r="AB211" i="15" s="1"/>
  <c r="O382" i="4" l="1"/>
  <c r="E381" i="12"/>
  <c r="F381" i="12" s="1"/>
  <c r="H381" i="12" s="1"/>
  <c r="J383" i="4"/>
  <c r="K383" i="4" s="1"/>
  <c r="E383" i="4"/>
  <c r="H383" i="4" l="1"/>
  <c r="G384" i="4" l="1"/>
  <c r="J384" i="4" s="1"/>
  <c r="K384" i="4" s="1"/>
  <c r="I383" i="4"/>
  <c r="L383" i="4" s="1"/>
  <c r="AB26" i="15" s="1"/>
  <c r="E382" i="12" l="1"/>
  <c r="F382" i="12" s="1"/>
  <c r="H382" i="12" s="1"/>
  <c r="O383" i="4"/>
  <c r="E384" i="4"/>
  <c r="H384" i="4" l="1"/>
  <c r="G385" i="4" l="1"/>
  <c r="J385" i="4" s="1"/>
  <c r="K385" i="4" s="1"/>
  <c r="I384" i="4"/>
  <c r="L384" i="4" s="1"/>
  <c r="AB135" i="15" s="1"/>
  <c r="E385" i="4" l="1"/>
  <c r="H385" i="4" s="1"/>
  <c r="O384" i="4"/>
  <c r="E383" i="12"/>
  <c r="F383" i="12" s="1"/>
  <c r="H383" i="12" s="1"/>
  <c r="G386" i="4" l="1"/>
  <c r="J386" i="4" s="1"/>
  <c r="K386" i="4" s="1"/>
  <c r="I385" i="4"/>
  <c r="L385" i="4" s="1"/>
  <c r="AB157" i="15" s="1"/>
  <c r="E386" i="4" l="1"/>
  <c r="E384" i="12"/>
  <c r="F384" i="12" s="1"/>
  <c r="H384" i="12" s="1"/>
  <c r="O385" i="4"/>
  <c r="H386" i="4" l="1"/>
  <c r="G387" i="4" l="1"/>
  <c r="J387" i="4" s="1"/>
  <c r="K387" i="4" s="1"/>
  <c r="I386" i="4"/>
  <c r="L386" i="4" s="1"/>
  <c r="AB179" i="15" s="1"/>
  <c r="E387" i="4" l="1"/>
  <c r="E385" i="12"/>
  <c r="F385" i="12" s="1"/>
  <c r="H385" i="12" s="1"/>
  <c r="O386" i="4"/>
  <c r="H387" i="4" l="1"/>
  <c r="I387" i="4" l="1"/>
  <c r="L387" i="4" s="1"/>
  <c r="AB209" i="15" s="1"/>
  <c r="G388" i="4"/>
  <c r="J388" i="4" l="1"/>
  <c r="K388" i="4" s="1"/>
  <c r="E388" i="4"/>
  <c r="O387" i="4"/>
  <c r="E386" i="12"/>
  <c r="F386" i="12" s="1"/>
  <c r="H386" i="12" s="1"/>
  <c r="H388" i="4" l="1"/>
  <c r="I388" i="4" l="1"/>
  <c r="L388" i="4" s="1"/>
  <c r="AB96" i="15" s="1"/>
  <c r="G389" i="4"/>
  <c r="J389" i="4" s="1"/>
  <c r="K389" i="4" s="1"/>
  <c r="E389" i="4" l="1"/>
  <c r="O388" i="4"/>
  <c r="E387" i="12"/>
  <c r="F387" i="12" s="1"/>
  <c r="H387" i="12" s="1"/>
  <c r="H389" i="4" l="1"/>
  <c r="I389" i="4" l="1"/>
  <c r="L389" i="4" s="1"/>
  <c r="AB166" i="15" s="1"/>
  <c r="G390" i="4"/>
  <c r="J390" i="4" l="1"/>
  <c r="K390" i="4" s="1"/>
  <c r="E390" i="4"/>
  <c r="E388" i="12"/>
  <c r="F388" i="12" s="1"/>
  <c r="H388" i="12" s="1"/>
  <c r="O389" i="4"/>
  <c r="H390" i="4" l="1"/>
  <c r="G391" i="4" l="1"/>
  <c r="J391" i="4" s="1"/>
  <c r="K391" i="4" s="1"/>
  <c r="I390" i="4"/>
  <c r="L390" i="4" s="1"/>
  <c r="AB94" i="15" s="1"/>
  <c r="E391" i="4" l="1"/>
  <c r="O390" i="4"/>
  <c r="E389" i="12"/>
  <c r="F389" i="12" s="1"/>
  <c r="H389" i="12" s="1"/>
  <c r="H391" i="4" l="1"/>
  <c r="G392" i="4" l="1"/>
  <c r="J392" i="4" s="1"/>
  <c r="K392" i="4" s="1"/>
  <c r="I391" i="4"/>
  <c r="L391" i="4" s="1"/>
  <c r="AB117" i="15" s="1"/>
  <c r="E392" i="4" l="1"/>
  <c r="E390" i="12"/>
  <c r="F390" i="12" s="1"/>
  <c r="H390" i="12" s="1"/>
  <c r="O391" i="4"/>
  <c r="H392" i="4" l="1"/>
  <c r="I392" i="4" s="1"/>
  <c r="L392" i="4" s="1"/>
  <c r="AB103" i="15" s="1"/>
  <c r="G393" i="4" l="1"/>
  <c r="J393" i="4" s="1"/>
  <c r="K393" i="4" s="1"/>
  <c r="E391" i="12"/>
  <c r="F391" i="12" s="1"/>
  <c r="H391" i="12" s="1"/>
  <c r="O392" i="4"/>
  <c r="E393" i="4" l="1"/>
  <c r="H393" i="4" s="1"/>
  <c r="I393" i="4" l="1"/>
  <c r="L393" i="4" s="1"/>
  <c r="AB142" i="15" s="1"/>
  <c r="G394" i="4"/>
  <c r="J394" i="4" l="1"/>
  <c r="K394" i="4" s="1"/>
  <c r="E394" i="4"/>
  <c r="E392" i="12"/>
  <c r="F392" i="12" s="1"/>
  <c r="H392" i="12" s="1"/>
  <c r="O393" i="4"/>
  <c r="H394" i="4" l="1"/>
  <c r="I394" i="4" l="1"/>
  <c r="L394" i="4" s="1"/>
  <c r="AB20" i="15" s="1"/>
  <c r="G395" i="4"/>
  <c r="J395" i="4" l="1"/>
  <c r="K395" i="4" s="1"/>
  <c r="E395" i="4"/>
  <c r="O394" i="4"/>
  <c r="E393" i="12"/>
  <c r="F393" i="12" s="1"/>
  <c r="H393" i="12" s="1"/>
  <c r="H395" i="4" l="1"/>
  <c r="I395" i="4" l="1"/>
  <c r="L395" i="4" s="1"/>
  <c r="AB109" i="15" s="1"/>
  <c r="G396" i="4"/>
  <c r="J396" i="4" s="1"/>
  <c r="K396" i="4" s="1"/>
  <c r="E396" i="4" l="1"/>
  <c r="O395" i="4"/>
  <c r="E394" i="12"/>
  <c r="F394" i="12" s="1"/>
  <c r="H394" i="12" s="1"/>
  <c r="H396" i="4" l="1"/>
  <c r="I396" i="4" l="1"/>
  <c r="L396" i="4" s="1"/>
  <c r="AB128" i="15" s="1"/>
  <c r="G397" i="4"/>
  <c r="J397" i="4" s="1"/>
  <c r="K397" i="4" s="1"/>
  <c r="E397" i="4" l="1"/>
  <c r="O396" i="4"/>
  <c r="E395" i="12"/>
  <c r="F395" i="12" s="1"/>
  <c r="H395" i="12" s="1"/>
  <c r="H397" i="4" l="1"/>
  <c r="I397" i="4" s="1"/>
  <c r="L397" i="4" s="1"/>
  <c r="AB122" i="15" s="1"/>
  <c r="G398" i="4" l="1"/>
  <c r="E398" i="4" s="1"/>
  <c r="O397" i="4"/>
  <c r="E396" i="12"/>
  <c r="F396" i="12" s="1"/>
  <c r="H396" i="12" s="1"/>
  <c r="J398" i="4" l="1"/>
  <c r="K398" i="4" s="1"/>
  <c r="H398" i="4"/>
  <c r="I398" i="4" l="1"/>
  <c r="L398" i="4" s="1"/>
  <c r="AB150" i="15" s="1"/>
  <c r="G399" i="4"/>
  <c r="J399" i="4" l="1"/>
  <c r="K399" i="4" s="1"/>
  <c r="E399" i="4"/>
  <c r="O398" i="4"/>
  <c r="E397" i="12"/>
  <c r="F397" i="12" s="1"/>
  <c r="H397" i="12" s="1"/>
  <c r="H399" i="4" l="1"/>
  <c r="I399" i="4" l="1"/>
  <c r="L399" i="4" s="1"/>
  <c r="AB175" i="15" s="1"/>
  <c r="G400" i="4"/>
  <c r="J400" i="4" s="1"/>
  <c r="K400" i="4" s="1"/>
  <c r="E400" i="4" l="1"/>
  <c r="O399" i="4"/>
  <c r="E398" i="12"/>
  <c r="F398" i="12" s="1"/>
  <c r="H398" i="12" s="1"/>
  <c r="H400" i="4" l="1"/>
  <c r="I400" i="4" l="1"/>
  <c r="L400" i="4" s="1"/>
  <c r="AB185" i="15" s="1"/>
  <c r="G401" i="4"/>
  <c r="O400" i="4" l="1"/>
  <c r="E399" i="12"/>
  <c r="F399" i="12" s="1"/>
  <c r="H399" i="12" s="1"/>
  <c r="J401" i="4"/>
  <c r="K401" i="4" s="1"/>
  <c r="E401" i="4"/>
  <c r="H401" i="4" l="1"/>
  <c r="I401" i="4" l="1"/>
  <c r="L401" i="4" s="1"/>
  <c r="AB160" i="15" s="1"/>
  <c r="G402" i="4"/>
  <c r="J402" i="4" l="1"/>
  <c r="K402" i="4" s="1"/>
  <c r="E402" i="4"/>
  <c r="E400" i="12"/>
  <c r="F400" i="12" s="1"/>
  <c r="H400" i="12" s="1"/>
  <c r="O401" i="4"/>
  <c r="H402" i="4" l="1"/>
  <c r="G403" i="4" l="1"/>
  <c r="J403" i="4" s="1"/>
  <c r="K403" i="4" s="1"/>
  <c r="I402" i="4"/>
  <c r="L402" i="4" s="1"/>
  <c r="AB167" i="15" s="1"/>
  <c r="E403" i="4" l="1"/>
  <c r="E401" i="12"/>
  <c r="F401" i="12" s="1"/>
  <c r="H401" i="12" s="1"/>
  <c r="O402" i="4"/>
  <c r="H403" i="4" l="1"/>
  <c r="I403" i="4" s="1"/>
  <c r="L403" i="4" s="1"/>
  <c r="AB183" i="15" s="1"/>
  <c r="G404" i="4" l="1"/>
  <c r="J404" i="4" s="1"/>
  <c r="K404" i="4" s="1"/>
  <c r="O403" i="4"/>
  <c r="E402" i="12"/>
  <c r="F402" i="12" s="1"/>
  <c r="H402" i="12" s="1"/>
  <c r="E404" i="4" l="1"/>
  <c r="H404" i="4" s="1"/>
  <c r="G405" i="4" l="1"/>
  <c r="I404" i="4"/>
  <c r="L404" i="4" s="1"/>
  <c r="AB189" i="15" s="1"/>
  <c r="O404" i="4" l="1"/>
  <c r="E403" i="12"/>
  <c r="F403" i="12" s="1"/>
  <c r="H403" i="12" s="1"/>
  <c r="J405" i="4"/>
  <c r="K405" i="4" s="1"/>
  <c r="E405" i="4"/>
  <c r="H405" i="4" l="1"/>
  <c r="I405" i="4" l="1"/>
  <c r="L405" i="4" s="1"/>
  <c r="AB216" i="15" s="1"/>
  <c r="G406" i="4"/>
  <c r="J406" i="4" s="1"/>
  <c r="K406" i="4" s="1"/>
  <c r="O405" i="4" l="1"/>
  <c r="E404" i="12"/>
  <c r="F404" i="12" s="1"/>
  <c r="H404" i="12" s="1"/>
  <c r="E406" i="4"/>
  <c r="H406" i="4" l="1"/>
  <c r="I406" i="4" l="1"/>
  <c r="L406" i="4" s="1"/>
  <c r="AB214" i="15" s="1"/>
  <c r="G407" i="4"/>
  <c r="J407" i="4" s="1"/>
  <c r="K407" i="4" s="1"/>
  <c r="E407" i="4" l="1"/>
  <c r="O406" i="4"/>
  <c r="E405" i="12"/>
  <c r="F405" i="12" s="1"/>
  <c r="H405" i="12" s="1"/>
  <c r="H407" i="4" l="1"/>
  <c r="G408" i="4" s="1"/>
  <c r="J408" i="4" s="1"/>
  <c r="K408" i="4" s="1"/>
  <c r="I407" i="4" l="1"/>
  <c r="L407" i="4" s="1"/>
  <c r="E408" i="4"/>
  <c r="E406" i="12" l="1"/>
  <c r="F406" i="12" s="1"/>
  <c r="H406" i="12" s="1"/>
  <c r="AB239" i="15"/>
  <c r="O407" i="4"/>
  <c r="H408" i="4"/>
  <c r="G409" i="4" l="1"/>
  <c r="J409" i="4" s="1"/>
  <c r="K409" i="4" s="1"/>
  <c r="I408" i="4"/>
  <c r="L408" i="4" s="1"/>
  <c r="AB268" i="15" s="1"/>
  <c r="E409" i="4" l="1"/>
  <c r="E407" i="12"/>
  <c r="F407" i="12" s="1"/>
  <c r="H407" i="12" s="1"/>
  <c r="O408" i="4"/>
  <c r="H409" i="4" l="1"/>
  <c r="I409" i="4" s="1"/>
  <c r="L409" i="4" s="1"/>
  <c r="E408" i="12" l="1"/>
  <c r="F408" i="12" s="1"/>
  <c r="H408" i="12" s="1"/>
  <c r="AB47" i="15"/>
  <c r="G410" i="4"/>
  <c r="J410" i="4" s="1"/>
  <c r="K410" i="4" s="1"/>
  <c r="O409" i="4"/>
  <c r="E410" i="4" l="1"/>
  <c r="H410" i="4" s="1"/>
  <c r="I410" i="4" l="1"/>
  <c r="L410" i="4" s="1"/>
  <c r="AB212" i="15" s="1"/>
  <c r="G411" i="4"/>
  <c r="J411" i="4" l="1"/>
  <c r="K411" i="4" s="1"/>
  <c r="E411" i="4"/>
  <c r="O410" i="4"/>
  <c r="E409" i="12"/>
  <c r="F409" i="12" s="1"/>
  <c r="H409" i="12" s="1"/>
  <c r="H411" i="4" l="1"/>
  <c r="I411" i="4" l="1"/>
  <c r="L411" i="4" s="1"/>
  <c r="AB225" i="15" s="1"/>
  <c r="G412" i="4"/>
  <c r="J412" i="4" l="1"/>
  <c r="K412" i="4" s="1"/>
  <c r="E412" i="4"/>
  <c r="E410" i="12"/>
  <c r="F410" i="12" s="1"/>
  <c r="H410" i="12" s="1"/>
  <c r="O411" i="4"/>
  <c r="H412" i="4" l="1"/>
  <c r="G413" i="4" l="1"/>
  <c r="I412" i="4"/>
  <c r="L412" i="4" s="1"/>
  <c r="AB15" i="15" s="1"/>
  <c r="J413" i="4" l="1"/>
  <c r="K413" i="4" s="1"/>
  <c r="E413" i="4"/>
  <c r="E411" i="12"/>
  <c r="F411" i="12" s="1"/>
  <c r="H411" i="12" s="1"/>
  <c r="O412" i="4"/>
  <c r="H413" i="4" l="1"/>
  <c r="I413" i="4" l="1"/>
  <c r="L413" i="4" s="1"/>
  <c r="AB134" i="15" s="1"/>
  <c r="G414" i="4"/>
  <c r="J414" i="4" s="1"/>
  <c r="K414" i="4" s="1"/>
  <c r="O413" i="4" l="1"/>
  <c r="E412" i="12"/>
  <c r="F412" i="12" s="1"/>
  <c r="H412" i="12" s="1"/>
  <c r="E414" i="4"/>
  <c r="H414" i="4" l="1"/>
  <c r="I414" i="4" l="1"/>
  <c r="L414" i="4" s="1"/>
  <c r="AB147" i="15" s="1"/>
  <c r="G415" i="4"/>
  <c r="J415" i="4" s="1"/>
  <c r="K415" i="4" s="1"/>
  <c r="O414" i="4" l="1"/>
  <c r="E413" i="12"/>
  <c r="F413" i="12" s="1"/>
  <c r="H413" i="12" s="1"/>
  <c r="E415" i="4"/>
  <c r="H415" i="4" l="1"/>
  <c r="G416" i="4" l="1"/>
  <c r="J416" i="4" s="1"/>
  <c r="K416" i="4" s="1"/>
  <c r="I415" i="4"/>
  <c r="L415" i="4" s="1"/>
  <c r="AB164" i="15" s="1"/>
  <c r="O415" i="4" l="1"/>
  <c r="E414" i="12"/>
  <c r="F414" i="12" s="1"/>
  <c r="H414" i="12" s="1"/>
  <c r="E416" i="4"/>
  <c r="H416" i="4" l="1"/>
  <c r="G417" i="4" l="1"/>
  <c r="J417" i="4" s="1"/>
  <c r="K417" i="4" s="1"/>
  <c r="I416" i="4"/>
  <c r="L416" i="4" s="1"/>
  <c r="AB192" i="15" s="1"/>
  <c r="O416" i="4" l="1"/>
  <c r="E415" i="12"/>
  <c r="F415" i="12" s="1"/>
  <c r="H415" i="12" s="1"/>
  <c r="E417" i="4"/>
  <c r="H417" i="4" l="1"/>
  <c r="I417" i="4" l="1"/>
  <c r="L417" i="4" s="1"/>
  <c r="AB208" i="15" s="1"/>
  <c r="G418" i="4"/>
  <c r="J418" i="4" s="1"/>
  <c r="K418" i="4" s="1"/>
  <c r="O417" i="4" l="1"/>
  <c r="E416" i="12"/>
  <c r="F416" i="12" s="1"/>
  <c r="H416" i="12" s="1"/>
  <c r="E418" i="4"/>
  <c r="H418" i="4" l="1"/>
  <c r="I418" i="4" l="1"/>
  <c r="L418" i="4" s="1"/>
  <c r="AB24" i="15" s="1"/>
  <c r="G419" i="4"/>
  <c r="J419" i="4" s="1"/>
  <c r="K419" i="4" s="1"/>
  <c r="E419" i="4" l="1"/>
  <c r="E417" i="12"/>
  <c r="F417" i="12" s="1"/>
  <c r="H417" i="12" s="1"/>
  <c r="O418" i="4"/>
  <c r="H419" i="4" l="1"/>
  <c r="I419" i="4" l="1"/>
  <c r="L419" i="4" s="1"/>
  <c r="AB127" i="15" s="1"/>
  <c r="G420" i="4"/>
  <c r="J420" i="4" s="1"/>
  <c r="E420" i="4" l="1"/>
  <c r="K420" i="4"/>
  <c r="E418" i="12"/>
  <c r="F418" i="12" s="1"/>
  <c r="H418" i="12" s="1"/>
  <c r="O419" i="4"/>
  <c r="H420" i="4" l="1"/>
  <c r="G421" i="4" l="1"/>
  <c r="J421" i="4" s="1"/>
  <c r="I420" i="4"/>
  <c r="L420" i="4" s="1"/>
  <c r="AB41" i="15" s="1"/>
  <c r="K421" i="4" l="1"/>
  <c r="E419" i="12"/>
  <c r="F419" i="12" s="1"/>
  <c r="H419" i="12" s="1"/>
  <c r="O420" i="4"/>
  <c r="E421" i="4"/>
  <c r="H421" i="4" l="1"/>
  <c r="I421" i="4" l="1"/>
  <c r="L421" i="4" s="1"/>
  <c r="AB129" i="15" s="1"/>
  <c r="G422" i="4"/>
  <c r="J422" i="4" s="1"/>
  <c r="K422" i="4" l="1"/>
  <c r="E420" i="12"/>
  <c r="F420" i="12" s="1"/>
  <c r="H420" i="12" s="1"/>
  <c r="O421" i="4"/>
  <c r="E422" i="4"/>
  <c r="H422" i="4" l="1"/>
  <c r="G423" i="4" l="1"/>
  <c r="J423" i="4" s="1"/>
  <c r="K423" i="4" s="1"/>
  <c r="I422" i="4"/>
  <c r="L422" i="4" s="1"/>
  <c r="AB10" i="15" s="1"/>
  <c r="E423" i="4" l="1"/>
  <c r="H423" i="4" s="1"/>
  <c r="E421" i="12"/>
  <c r="F421" i="12" s="1"/>
  <c r="H421" i="12" s="1"/>
  <c r="O422" i="4"/>
  <c r="G424" i="4" l="1"/>
  <c r="J424" i="4" s="1"/>
  <c r="K424" i="4" s="1"/>
  <c r="I423" i="4"/>
  <c r="L423" i="4" s="1"/>
  <c r="AB38" i="15" s="1"/>
  <c r="E424" i="4" l="1"/>
  <c r="O423" i="4"/>
  <c r="E422" i="12"/>
  <c r="F422" i="12" s="1"/>
  <c r="H422" i="12" s="1"/>
  <c r="H424" i="4" l="1"/>
  <c r="I424" i="4" l="1"/>
  <c r="L424" i="4" s="1"/>
  <c r="AB75" i="15" s="1"/>
  <c r="G425" i="4"/>
  <c r="J425" i="4" l="1"/>
  <c r="K425" i="4" s="1"/>
  <c r="E425" i="4"/>
  <c r="O424" i="4"/>
  <c r="E423" i="12"/>
  <c r="F423" i="12" s="1"/>
  <c r="H423" i="12" s="1"/>
  <c r="H425" i="4" l="1"/>
  <c r="G426" i="4" l="1"/>
  <c r="I425" i="4"/>
  <c r="L425" i="4" s="1"/>
  <c r="AB8" i="15" s="1"/>
  <c r="J426" i="4" l="1"/>
  <c r="K426" i="4" s="1"/>
  <c r="E426" i="4"/>
  <c r="E424" i="12"/>
  <c r="F424" i="12" s="1"/>
  <c r="H424" i="12" s="1"/>
  <c r="O425" i="4"/>
  <c r="H426" i="4" l="1"/>
  <c r="G427" i="4" l="1"/>
  <c r="J427" i="4" s="1"/>
  <c r="K427" i="4" s="1"/>
  <c r="I426" i="4"/>
  <c r="L426" i="4" s="1"/>
  <c r="AB46" i="15" s="1"/>
  <c r="E425" i="12" l="1"/>
  <c r="F425" i="12" s="1"/>
  <c r="H425" i="12" s="1"/>
  <c r="O426" i="4"/>
  <c r="E427" i="4"/>
  <c r="H427" i="4" l="1"/>
  <c r="G428" i="4" l="1"/>
  <c r="J428" i="4" s="1"/>
  <c r="K428" i="4" s="1"/>
  <c r="I427" i="4"/>
  <c r="L427" i="4" s="1"/>
  <c r="AB78" i="15" s="1"/>
  <c r="E428" i="4" l="1"/>
  <c r="H428" i="4" s="1"/>
  <c r="E426" i="12"/>
  <c r="F426" i="12" s="1"/>
  <c r="H426" i="12" s="1"/>
  <c r="O427" i="4"/>
  <c r="G429" i="4" l="1"/>
  <c r="E429" i="4" s="1"/>
  <c r="I428" i="4"/>
  <c r="L428" i="4" s="1"/>
  <c r="O428" i="4" l="1"/>
  <c r="AB88" i="15"/>
  <c r="H429" i="4"/>
  <c r="I429" i="4" s="1"/>
  <c r="J429" i="4"/>
  <c r="K429" i="4" s="1"/>
  <c r="E427" i="12"/>
  <c r="F427" i="12" s="1"/>
  <c r="H427" i="12" s="1"/>
  <c r="G430" i="4" l="1"/>
  <c r="E430" i="4" s="1"/>
  <c r="H430" i="4" s="1"/>
  <c r="I430" i="4" s="1"/>
  <c r="L429" i="4"/>
  <c r="AB92" i="15" s="1"/>
  <c r="J430" i="4" l="1"/>
  <c r="K430" i="4" s="1"/>
  <c r="L430" i="4" s="1"/>
  <c r="O429" i="4"/>
  <c r="E428" i="12"/>
  <c r="F428" i="12" s="1"/>
  <c r="H428" i="12" s="1"/>
  <c r="G431" i="4"/>
  <c r="E429" i="12" l="1"/>
  <c r="F429" i="12" s="1"/>
  <c r="H429" i="12" s="1"/>
  <c r="AB99" i="15"/>
  <c r="J431" i="4"/>
  <c r="K431" i="4" s="1"/>
  <c r="E431" i="4"/>
  <c r="H431" i="4" s="1"/>
  <c r="G432" i="4" s="1"/>
  <c r="O430" i="4"/>
  <c r="I431" i="4" l="1"/>
  <c r="L431" i="4" s="1"/>
  <c r="J432" i="4"/>
  <c r="K432" i="4" s="1"/>
  <c r="E432" i="4"/>
  <c r="E430" i="12" l="1"/>
  <c r="F430" i="12" s="1"/>
  <c r="H430" i="12" s="1"/>
  <c r="AB118" i="15"/>
  <c r="H432" i="4"/>
  <c r="I432" i="4" s="1"/>
  <c r="L432" i="4" s="1"/>
  <c r="AB116" i="15" s="1"/>
  <c r="O431" i="4"/>
  <c r="G433" i="4" l="1"/>
  <c r="J433" i="4" s="1"/>
  <c r="K433" i="4" s="1"/>
  <c r="O432" i="4"/>
  <c r="E431" i="12"/>
  <c r="F431" i="12" s="1"/>
  <c r="H431" i="12" s="1"/>
  <c r="E433" i="4" l="1"/>
  <c r="H433" i="4" s="1"/>
  <c r="G434" i="4" l="1"/>
  <c r="I433" i="4"/>
  <c r="L433" i="4" s="1"/>
  <c r="AB137" i="15" s="1"/>
  <c r="J434" i="4" l="1"/>
  <c r="K434" i="4" s="1"/>
  <c r="E434" i="4"/>
  <c r="O433" i="4"/>
  <c r="E432" i="12"/>
  <c r="F432" i="12" s="1"/>
  <c r="H432" i="12" s="1"/>
  <c r="H434" i="4" l="1"/>
  <c r="I434" i="4" l="1"/>
  <c r="L434" i="4" s="1"/>
  <c r="AB141" i="15" s="1"/>
  <c r="G435" i="4"/>
  <c r="O434" i="4" l="1"/>
  <c r="E433" i="12"/>
  <c r="F433" i="12" s="1"/>
  <c r="H433" i="12" s="1"/>
  <c r="J435" i="4"/>
  <c r="K435" i="4" s="1"/>
  <c r="E435" i="4"/>
  <c r="H435" i="4" l="1"/>
  <c r="I435" i="4" l="1"/>
  <c r="L435" i="4" s="1"/>
  <c r="AB162" i="15" s="1"/>
  <c r="G436" i="4"/>
  <c r="J436" i="4" s="1"/>
  <c r="K436" i="4" s="1"/>
  <c r="E436" i="4" l="1"/>
  <c r="E434" i="12"/>
  <c r="F434" i="12" s="1"/>
  <c r="H434" i="12" s="1"/>
  <c r="O435" i="4"/>
  <c r="H436" i="4" l="1"/>
  <c r="G437" i="4" s="1"/>
  <c r="I436" i="4" l="1"/>
  <c r="L436" i="4" s="1"/>
  <c r="J437" i="4"/>
  <c r="K437" i="4" s="1"/>
  <c r="E437" i="4"/>
  <c r="O436" i="4" l="1"/>
  <c r="AB125" i="15"/>
  <c r="E435" i="12"/>
  <c r="F435" i="12" s="1"/>
  <c r="H435" i="12" s="1"/>
  <c r="H437" i="4"/>
  <c r="G438" i="4" l="1"/>
  <c r="I437" i="4"/>
  <c r="L437" i="4" s="1"/>
  <c r="AB161" i="15" s="1"/>
  <c r="E436" i="12" l="1"/>
  <c r="F436" i="12" s="1"/>
  <c r="H436" i="12" s="1"/>
  <c r="O437" i="4"/>
  <c r="J438" i="4"/>
  <c r="K438" i="4" s="1"/>
  <c r="E438" i="4"/>
  <c r="H438" i="4" l="1"/>
  <c r="G439" i="4" l="1"/>
  <c r="I438" i="4"/>
  <c r="L438" i="4" s="1"/>
  <c r="AB6" i="15" s="1"/>
  <c r="E437" i="12" l="1"/>
  <c r="F437" i="12" s="1"/>
  <c r="H437" i="12" s="1"/>
  <c r="O438" i="4"/>
  <c r="E439" i="4"/>
  <c r="J439" i="4"/>
  <c r="K439" i="4" s="1"/>
  <c r="H439" i="4" l="1"/>
  <c r="G440" i="4" l="1"/>
  <c r="J440" i="4" s="1"/>
  <c r="K440" i="4" s="1"/>
  <c r="I439" i="4"/>
  <c r="L439" i="4" s="1"/>
  <c r="AB76" i="15" s="1"/>
  <c r="O439" i="4" l="1"/>
  <c r="E438" i="12"/>
  <c r="F438" i="12" s="1"/>
  <c r="H438" i="12" s="1"/>
  <c r="E440" i="4"/>
  <c r="H440" i="4" l="1"/>
  <c r="I440" i="4" l="1"/>
  <c r="L440" i="4" s="1"/>
  <c r="AB32" i="15" s="1"/>
  <c r="G441" i="4"/>
  <c r="E441" i="4" l="1"/>
  <c r="J441" i="4"/>
  <c r="K441" i="4" s="1"/>
  <c r="O440" i="4"/>
  <c r="E439" i="12"/>
  <c r="F439" i="12" s="1"/>
  <c r="H439" i="12" s="1"/>
  <c r="H441" i="4" l="1"/>
  <c r="I441" i="4" l="1"/>
  <c r="L441" i="4" s="1"/>
  <c r="AB64" i="15" s="1"/>
  <c r="G442" i="4"/>
  <c r="J442" i="4" l="1"/>
  <c r="K442" i="4" s="1"/>
  <c r="E442" i="4"/>
  <c r="O441" i="4"/>
  <c r="E440" i="12"/>
  <c r="F440" i="12" s="1"/>
  <c r="H440" i="12" s="1"/>
  <c r="H442" i="4" l="1"/>
  <c r="G443" i="4" l="1"/>
  <c r="J443" i="4" s="1"/>
  <c r="K443" i="4" s="1"/>
  <c r="I442" i="4"/>
  <c r="L442" i="4" s="1"/>
  <c r="AB14" i="15" s="1"/>
  <c r="E443" i="4" l="1"/>
  <c r="E441" i="12"/>
  <c r="F441" i="12" s="1"/>
  <c r="H441" i="12" s="1"/>
  <c r="O442" i="4"/>
  <c r="H443" i="4" l="1"/>
  <c r="G444" i="4" l="1"/>
  <c r="J444" i="4" s="1"/>
  <c r="K444" i="4" s="1"/>
  <c r="I443" i="4"/>
  <c r="L443" i="4" s="1"/>
  <c r="AB43" i="15" s="1"/>
  <c r="O443" i="4" l="1"/>
  <c r="E442" i="12"/>
  <c r="F442" i="12" s="1"/>
  <c r="H442" i="12" s="1"/>
  <c r="E444" i="4"/>
  <c r="H444" i="4" l="1"/>
  <c r="I444" i="4" l="1"/>
  <c r="L444" i="4" s="1"/>
  <c r="AB53" i="15" s="1"/>
  <c r="G445" i="4"/>
  <c r="J445" i="4" s="1"/>
  <c r="K445" i="4" s="1"/>
  <c r="O444" i="4" l="1"/>
  <c r="E443" i="12"/>
  <c r="F443" i="12" s="1"/>
  <c r="H443" i="12" s="1"/>
  <c r="E445" i="4"/>
  <c r="H445" i="4" l="1"/>
  <c r="G446" i="4" l="1"/>
  <c r="J446" i="4" s="1"/>
  <c r="K446" i="4" s="1"/>
  <c r="I445" i="4"/>
  <c r="L445" i="4" s="1"/>
  <c r="AB50" i="15" s="1"/>
  <c r="E446" i="4" l="1"/>
  <c r="H446" i="4" s="1"/>
  <c r="O445" i="4"/>
  <c r="E444" i="12"/>
  <c r="F444" i="12" s="1"/>
  <c r="H444" i="12" s="1"/>
  <c r="I446" i="4" l="1"/>
  <c r="L446" i="4" s="1"/>
  <c r="AB18" i="15" s="1"/>
  <c r="G447" i="4"/>
  <c r="J447" i="4" s="1"/>
  <c r="K447" i="4" s="1"/>
  <c r="O446" i="4" l="1"/>
  <c r="E445" i="12"/>
  <c r="F445" i="12" s="1"/>
  <c r="H445" i="12" s="1"/>
  <c r="E447" i="4"/>
  <c r="H447" i="4" l="1"/>
  <c r="G448" i="4" l="1"/>
  <c r="J448" i="4" s="1"/>
  <c r="K448" i="4" s="1"/>
  <c r="I447" i="4"/>
  <c r="L447" i="4" s="1"/>
  <c r="AB52" i="15" s="1"/>
  <c r="E448" i="4" l="1"/>
  <c r="O447" i="4"/>
  <c r="E446" i="12"/>
  <c r="F446" i="12" s="1"/>
  <c r="H446" i="12" s="1"/>
  <c r="H448" i="4" l="1"/>
  <c r="G449" i="4" l="1"/>
  <c r="J449" i="4" s="1"/>
  <c r="K449" i="4" s="1"/>
  <c r="I448" i="4"/>
  <c r="L448" i="4" s="1"/>
  <c r="AB55" i="15" s="1"/>
  <c r="E449" i="4" l="1"/>
  <c r="H449" i="4" s="1"/>
  <c r="E447" i="12"/>
  <c r="F447" i="12" s="1"/>
  <c r="H447" i="12" s="1"/>
  <c r="O448" i="4"/>
  <c r="I449" i="4" l="1"/>
  <c r="L449" i="4" s="1"/>
  <c r="G450" i="4"/>
  <c r="J450" i="4" s="1"/>
  <c r="K450" i="4" s="1"/>
  <c r="E448" i="12" l="1"/>
  <c r="F448" i="12" s="1"/>
  <c r="H448" i="12" s="1"/>
  <c r="AB66" i="15"/>
  <c r="O449" i="4"/>
  <c r="E450" i="4"/>
  <c r="H450" i="4" s="1"/>
  <c r="G451" i="4" s="1"/>
  <c r="J451" i="4" s="1"/>
  <c r="K451" i="4" s="1"/>
  <c r="I450" i="4" l="1"/>
  <c r="L450" i="4" s="1"/>
  <c r="E451" i="4"/>
  <c r="E449" i="12" l="1"/>
  <c r="F449" i="12" s="1"/>
  <c r="H449" i="12" s="1"/>
  <c r="AB65" i="15"/>
  <c r="O450" i="4"/>
  <c r="H451" i="4"/>
  <c r="I451" i="4" s="1"/>
  <c r="L451" i="4" s="1"/>
  <c r="AB74" i="15" s="1"/>
  <c r="G452" i="4" l="1"/>
  <c r="J452" i="4" s="1"/>
  <c r="K452" i="4" s="1"/>
  <c r="O451" i="4"/>
  <c r="E450" i="12"/>
  <c r="F450" i="12" s="1"/>
  <c r="H450" i="12" s="1"/>
  <c r="E452" i="4" l="1"/>
  <c r="H452" i="4" s="1"/>
  <c r="G453" i="4" s="1"/>
  <c r="I452" i="4" l="1"/>
  <c r="L452" i="4" s="1"/>
  <c r="J453" i="4"/>
  <c r="K453" i="4" s="1"/>
  <c r="E453" i="4"/>
  <c r="E451" i="12" l="1"/>
  <c r="F451" i="12" s="1"/>
  <c r="H451" i="12" s="1"/>
  <c r="AB79" i="15"/>
  <c r="O452" i="4"/>
  <c r="H453" i="4"/>
  <c r="G454" i="4" l="1"/>
  <c r="J454" i="4" s="1"/>
  <c r="K454" i="4" s="1"/>
  <c r="I453" i="4"/>
  <c r="L453" i="4" s="1"/>
  <c r="AB84" i="15" s="1"/>
  <c r="O453" i="4" l="1"/>
  <c r="E452" i="12"/>
  <c r="F452" i="12" s="1"/>
  <c r="H452" i="12" s="1"/>
  <c r="E454" i="4"/>
  <c r="H454" i="4" l="1"/>
  <c r="G455" i="4" l="1"/>
  <c r="I454" i="4"/>
  <c r="L454" i="4" s="1"/>
  <c r="AB89" i="15" s="1"/>
  <c r="E455" i="4" l="1"/>
  <c r="J455" i="4"/>
  <c r="K455" i="4" s="1"/>
  <c r="E453" i="12"/>
  <c r="F453" i="12" s="1"/>
  <c r="H453" i="12" s="1"/>
  <c r="O454" i="4"/>
  <c r="H455" i="4" l="1"/>
  <c r="G456" i="4" l="1"/>
  <c r="I455" i="4"/>
  <c r="L455" i="4" s="1"/>
  <c r="AB95" i="15" s="1"/>
  <c r="O455" i="4" l="1"/>
  <c r="E454" i="12"/>
  <c r="F454" i="12" s="1"/>
  <c r="H454" i="12" s="1"/>
  <c r="J456" i="4"/>
  <c r="K456" i="4" s="1"/>
  <c r="E456" i="4"/>
  <c r="H456" i="4" l="1"/>
  <c r="G457" i="4" l="1"/>
  <c r="J457" i="4" s="1"/>
  <c r="K457" i="4" s="1"/>
  <c r="I456" i="4"/>
  <c r="L456" i="4" s="1"/>
  <c r="AB110" i="15" s="1"/>
  <c r="E457" i="4" l="1"/>
  <c r="H457" i="4" s="1"/>
  <c r="O456" i="4"/>
  <c r="E455" i="12"/>
  <c r="F455" i="12" s="1"/>
  <c r="H455" i="12" s="1"/>
  <c r="I457" i="4" l="1"/>
  <c r="L457" i="4" s="1"/>
  <c r="AB124" i="15" s="1"/>
  <c r="G458" i="4"/>
  <c r="J458" i="4" l="1"/>
  <c r="K458" i="4" s="1"/>
  <c r="E458" i="4"/>
  <c r="E456" i="12"/>
  <c r="F456" i="12" s="1"/>
  <c r="H456" i="12" s="1"/>
  <c r="O457" i="4"/>
  <c r="H458" i="4" l="1"/>
  <c r="G459" i="4" l="1"/>
  <c r="J459" i="4" s="1"/>
  <c r="K459" i="4" s="1"/>
  <c r="I458" i="4"/>
  <c r="L458" i="4" s="1"/>
  <c r="AB40" i="15" s="1"/>
  <c r="E459" i="4" l="1"/>
  <c r="H459" i="4" s="1"/>
  <c r="O458" i="4"/>
  <c r="E457" i="12"/>
  <c r="F457" i="12" s="1"/>
  <c r="H457" i="12" s="1"/>
  <c r="G460" i="4" l="1"/>
  <c r="I459" i="4"/>
  <c r="L459" i="4" s="1"/>
  <c r="AB97" i="15" s="1"/>
  <c r="E458" i="12" l="1"/>
  <c r="F458" i="12" s="1"/>
  <c r="H458" i="12" s="1"/>
  <c r="O459" i="4"/>
  <c r="E460" i="4"/>
  <c r="J460" i="4"/>
  <c r="H460" i="4" l="1"/>
  <c r="K460" i="4"/>
  <c r="I460" i="4" l="1"/>
  <c r="L460" i="4" s="1"/>
  <c r="AB102" i="15" s="1"/>
  <c r="G461" i="4"/>
  <c r="J461" i="4" s="1"/>
  <c r="K461" i="4" s="1"/>
  <c r="E461" i="4" l="1"/>
  <c r="H461" i="4" s="1"/>
  <c r="O460" i="4"/>
  <c r="E459" i="12"/>
  <c r="F459" i="12" s="1"/>
  <c r="H459" i="12" s="1"/>
  <c r="I461" i="4" l="1"/>
  <c r="L461" i="4" s="1"/>
  <c r="AB119" i="15" s="1"/>
  <c r="G462" i="4"/>
  <c r="J462" i="4" s="1"/>
  <c r="K462" i="4" s="1"/>
  <c r="O461" i="4" l="1"/>
  <c r="E460" i="12"/>
  <c r="F460" i="12" s="1"/>
  <c r="H460" i="12" s="1"/>
  <c r="E462" i="4"/>
  <c r="H462" i="4" l="1"/>
  <c r="I462" i="4" l="1"/>
  <c r="L462" i="4" s="1"/>
  <c r="AB139" i="15" s="1"/>
  <c r="G463" i="4"/>
  <c r="J463" i="4" s="1"/>
  <c r="K463" i="4" s="1"/>
  <c r="E463" i="4" l="1"/>
  <c r="H463" i="4" s="1"/>
  <c r="E461" i="12"/>
  <c r="F461" i="12" s="1"/>
  <c r="H461" i="12" s="1"/>
  <c r="O462" i="4"/>
  <c r="I463" i="4" l="1"/>
  <c r="L463" i="4" s="1"/>
  <c r="AB158" i="15" s="1"/>
  <c r="G464" i="4"/>
  <c r="J464" i="4" s="1"/>
  <c r="K464" i="4" s="1"/>
  <c r="E462" i="12" l="1"/>
  <c r="F462" i="12" s="1"/>
  <c r="H462" i="12" s="1"/>
  <c r="O463" i="4"/>
  <c r="E464" i="4"/>
  <c r="H464" i="4" l="1"/>
  <c r="I464" i="4" l="1"/>
  <c r="L464" i="4" s="1"/>
  <c r="AB176" i="15" s="1"/>
  <c r="G465" i="4"/>
  <c r="J465" i="4" s="1"/>
  <c r="K465" i="4" s="1"/>
  <c r="E465" i="4" l="1"/>
  <c r="O464" i="4"/>
  <c r="E463" i="12"/>
  <c r="F463" i="12" s="1"/>
  <c r="H463" i="12" s="1"/>
  <c r="H465" i="4" l="1"/>
  <c r="I465" i="4" l="1"/>
  <c r="L465" i="4" s="1"/>
  <c r="AB195" i="15" s="1"/>
  <c r="G466" i="4"/>
  <c r="J466" i="4" s="1"/>
  <c r="K466" i="4" s="1"/>
  <c r="E466" i="4" l="1"/>
  <c r="H466" i="4" s="1"/>
  <c r="O465" i="4"/>
  <c r="E464" i="12"/>
  <c r="F464" i="12" s="1"/>
  <c r="H464" i="12" s="1"/>
  <c r="I466" i="4" l="1"/>
  <c r="L466" i="4" s="1"/>
  <c r="AB215" i="15" s="1"/>
  <c r="G467" i="4"/>
  <c r="J467" i="4" s="1"/>
  <c r="K467" i="4" s="1"/>
  <c r="E465" i="12" l="1"/>
  <c r="F465" i="12" s="1"/>
  <c r="H465" i="12" s="1"/>
  <c r="O466" i="4"/>
  <c r="E467" i="4"/>
  <c r="H467" i="4" l="1"/>
  <c r="I467" i="4" l="1"/>
  <c r="L467" i="4" s="1"/>
  <c r="AB234" i="15" s="1"/>
  <c r="G468" i="4"/>
  <c r="J468" i="4" s="1"/>
  <c r="K468" i="4" s="1"/>
  <c r="E468" i="4" l="1"/>
  <c r="H468" i="4" s="1"/>
  <c r="O467" i="4"/>
  <c r="E466" i="12"/>
  <c r="F466" i="12" s="1"/>
  <c r="H466" i="12" s="1"/>
  <c r="G469" i="4" l="1"/>
  <c r="I468" i="4"/>
  <c r="L468" i="4" s="1"/>
  <c r="AB251" i="15" s="1"/>
  <c r="O468" i="4" l="1"/>
  <c r="E467" i="12"/>
  <c r="F467" i="12" s="1"/>
  <c r="H467" i="12" s="1"/>
  <c r="J469" i="4"/>
  <c r="K469" i="4" s="1"/>
  <c r="E469" i="4"/>
  <c r="H469" i="4" l="1"/>
  <c r="G470" i="4" l="1"/>
  <c r="J470" i="4" s="1"/>
  <c r="K470" i="4" s="1"/>
  <c r="I469" i="4"/>
  <c r="L469" i="4" s="1"/>
  <c r="AB262" i="15" s="1"/>
  <c r="E470" i="4" l="1"/>
  <c r="H470" i="4" s="1"/>
  <c r="O469" i="4"/>
  <c r="E468" i="12"/>
  <c r="F468" i="12" s="1"/>
  <c r="H468" i="12" s="1"/>
  <c r="G471" i="4" l="1"/>
  <c r="J471" i="4" s="1"/>
  <c r="K471" i="4" s="1"/>
  <c r="I470" i="4"/>
  <c r="L470" i="4" s="1"/>
  <c r="AB265" i="15" s="1"/>
  <c r="E471" i="4" l="1"/>
  <c r="H471" i="4" s="1"/>
  <c r="E469" i="12"/>
  <c r="F469" i="12" s="1"/>
  <c r="H469" i="12" s="1"/>
  <c r="O470" i="4"/>
  <c r="G472" i="4" l="1"/>
  <c r="I471" i="4"/>
  <c r="L471" i="4" s="1"/>
  <c r="AB270" i="15" s="1"/>
  <c r="E470" i="12" l="1"/>
  <c r="F470" i="12" s="1"/>
  <c r="H470" i="12" s="1"/>
  <c r="O471" i="4"/>
  <c r="E472" i="4"/>
  <c r="J472" i="4"/>
  <c r="K472" i="4" s="1"/>
  <c r="H472" i="4" l="1"/>
  <c r="G473" i="4" l="1"/>
  <c r="I472" i="4"/>
  <c r="L472" i="4" s="1"/>
  <c r="AB272" i="15" s="1"/>
  <c r="O472" i="4" l="1"/>
  <c r="E471" i="12"/>
  <c r="F471" i="12" s="1"/>
  <c r="H471" i="12" s="1"/>
  <c r="J473" i="4"/>
  <c r="K473" i="4" s="1"/>
  <c r="E473" i="4"/>
  <c r="H473" i="4" l="1"/>
  <c r="G474" i="4" l="1"/>
  <c r="I473" i="4"/>
  <c r="L473" i="4" s="1"/>
  <c r="AB257" i="15" s="1"/>
  <c r="J474" i="4" l="1"/>
  <c r="K474" i="4" s="1"/>
  <c r="E474" i="4"/>
  <c r="O473" i="4"/>
  <c r="E472" i="12"/>
  <c r="F472" i="12" s="1"/>
  <c r="H472" i="12" s="1"/>
  <c r="H474" i="4" l="1"/>
  <c r="I474" i="4" l="1"/>
  <c r="L474" i="4" s="1"/>
  <c r="AB260" i="15" s="1"/>
  <c r="G475" i="4"/>
  <c r="J475" i="4" s="1"/>
  <c r="K475" i="4" s="1"/>
  <c r="O474" i="4" l="1"/>
  <c r="E473" i="12"/>
  <c r="F473" i="12" s="1"/>
  <c r="H473" i="12" s="1"/>
  <c r="E475" i="4"/>
  <c r="H475" i="4" l="1"/>
  <c r="I475" i="4" l="1"/>
  <c r="L475" i="4" s="1"/>
  <c r="AB279" i="15" s="1"/>
  <c r="G476" i="4"/>
  <c r="J476" i="4" s="1"/>
  <c r="K476" i="4" s="1"/>
  <c r="E476" i="4" l="1"/>
  <c r="H476" i="4" s="1"/>
  <c r="O475" i="4"/>
  <c r="E474" i="12"/>
  <c r="F474" i="12" s="1"/>
  <c r="H474" i="12" s="1"/>
  <c r="G477" i="4" l="1"/>
  <c r="J477" i="4" s="1"/>
  <c r="K477" i="4" s="1"/>
  <c r="I476" i="4"/>
  <c r="L476" i="4" s="1"/>
  <c r="AB284" i="15" s="1"/>
  <c r="E477" i="4" l="1"/>
  <c r="E475" i="12"/>
  <c r="F475" i="12" s="1"/>
  <c r="H475" i="12" s="1"/>
  <c r="O476" i="4"/>
  <c r="H477" i="4" l="1"/>
  <c r="G478" i="4" l="1"/>
  <c r="I477" i="4"/>
  <c r="L477" i="4" s="1"/>
  <c r="AB287" i="15" s="1"/>
  <c r="J478" i="4" l="1"/>
  <c r="K478" i="4" s="1"/>
  <c r="E478" i="4"/>
  <c r="O477" i="4"/>
  <c r="E476" i="12"/>
  <c r="F476" i="12" s="1"/>
  <c r="H476" i="12" s="1"/>
  <c r="H478" i="4" l="1"/>
  <c r="G479" i="4" l="1"/>
  <c r="J479" i="4" s="1"/>
  <c r="K479" i="4" s="1"/>
  <c r="I478" i="4"/>
  <c r="L478" i="4" s="1"/>
  <c r="AB288" i="15" s="1"/>
  <c r="E479" i="4" l="1"/>
  <c r="O478" i="4"/>
  <c r="E477" i="12"/>
  <c r="F477" i="12" s="1"/>
  <c r="H477" i="12" s="1"/>
  <c r="H479" i="4" l="1"/>
  <c r="I479" i="4" s="1"/>
  <c r="L479" i="4" s="1"/>
  <c r="AB293" i="15" s="1"/>
  <c r="G480" i="4" l="1"/>
  <c r="J480" i="4" s="1"/>
  <c r="K480" i="4" s="1"/>
  <c r="O479" i="4"/>
  <c r="E478" i="12"/>
  <c r="F478" i="12" s="1"/>
  <c r="H478" i="12" s="1"/>
  <c r="E480" i="4" l="1"/>
  <c r="H480" i="4" s="1"/>
  <c r="I480" i="4" l="1"/>
  <c r="L480" i="4" s="1"/>
  <c r="AB295" i="15" s="1"/>
  <c r="G481" i="4"/>
  <c r="J481" i="4" s="1"/>
  <c r="K481" i="4" s="1"/>
  <c r="E481" i="4" l="1"/>
  <c r="O480" i="4"/>
  <c r="E479" i="12"/>
  <c r="F479" i="12" s="1"/>
  <c r="H479" i="12" s="1"/>
  <c r="H481" i="4" l="1"/>
  <c r="G482" i="4" l="1"/>
  <c r="J482" i="4" s="1"/>
  <c r="K482" i="4" s="1"/>
  <c r="I481" i="4"/>
  <c r="L481" i="4" s="1"/>
  <c r="AB300" i="15" s="1"/>
  <c r="E482" i="4" l="1"/>
  <c r="O481" i="4"/>
  <c r="E480" i="12"/>
  <c r="F480" i="12" s="1"/>
  <c r="H480" i="12" s="1"/>
  <c r="H482" i="4" l="1"/>
  <c r="G483" i="4" l="1"/>
  <c r="J483" i="4" s="1"/>
  <c r="K483" i="4" s="1"/>
  <c r="I482" i="4"/>
  <c r="L482" i="4" s="1"/>
  <c r="AB303" i="15" s="1"/>
  <c r="E483" i="4" l="1"/>
  <c r="H483" i="4" s="1"/>
  <c r="G484" i="4" s="1"/>
  <c r="J484" i="4" s="1"/>
  <c r="K484" i="4" s="1"/>
  <c r="O482" i="4"/>
  <c r="E481" i="12"/>
  <c r="F481" i="12" s="1"/>
  <c r="H481" i="12" s="1"/>
  <c r="E484" i="4" l="1"/>
  <c r="I483" i="4"/>
  <c r="L483" i="4" s="1"/>
  <c r="O483" i="4" l="1"/>
  <c r="AB305" i="15"/>
  <c r="H484" i="4"/>
  <c r="G485" i="4" s="1"/>
  <c r="J485" i="4" s="1"/>
  <c r="K485" i="4" s="1"/>
  <c r="E482" i="12"/>
  <c r="F482" i="12" s="1"/>
  <c r="H482" i="12" s="1"/>
  <c r="I484" i="4" l="1"/>
  <c r="L484" i="4" s="1"/>
  <c r="E485" i="4"/>
  <c r="O484" i="4" l="1"/>
  <c r="AB309" i="15"/>
  <c r="E483" i="12"/>
  <c r="F483" i="12" s="1"/>
  <c r="H483" i="12" s="1"/>
  <c r="H485" i="4"/>
  <c r="I485" i="4" l="1"/>
  <c r="L485" i="4" s="1"/>
  <c r="AB312" i="15" s="1"/>
  <c r="G486" i="4"/>
  <c r="J486" i="4" s="1"/>
  <c r="K486" i="4" s="1"/>
  <c r="E486" i="4" l="1"/>
  <c r="E484" i="12"/>
  <c r="F484" i="12" s="1"/>
  <c r="H484" i="12" s="1"/>
  <c r="O485" i="4"/>
  <c r="H486" i="4" l="1"/>
  <c r="G487" i="4" s="1"/>
  <c r="J487" i="4" l="1"/>
  <c r="K487" i="4" s="1"/>
  <c r="E487" i="4"/>
  <c r="I486" i="4"/>
  <c r="L486" i="4" s="1"/>
  <c r="O486" i="4" l="1"/>
  <c r="AB314" i="15"/>
  <c r="E485" i="12"/>
  <c r="F485" i="12" s="1"/>
  <c r="H485" i="12" s="1"/>
  <c r="H487" i="4"/>
  <c r="I487" i="4" s="1"/>
  <c r="L487" i="4" s="1"/>
  <c r="AB68" i="15" s="1"/>
  <c r="G488" i="4" l="1"/>
  <c r="E488" i="4" s="1"/>
  <c r="O487" i="4"/>
  <c r="E486" i="12"/>
  <c r="F486" i="12" s="1"/>
  <c r="H486" i="12" s="1"/>
  <c r="J488" i="4" l="1"/>
  <c r="K488" i="4" s="1"/>
  <c r="H488" i="4"/>
  <c r="I488" i="4" l="1"/>
  <c r="L488" i="4" s="1"/>
  <c r="AB235" i="15" s="1"/>
  <c r="G489" i="4"/>
  <c r="E487" i="12" l="1"/>
  <c r="F487" i="12" s="1"/>
  <c r="H487" i="12" s="1"/>
  <c r="O488" i="4"/>
  <c r="J489" i="4"/>
  <c r="K489" i="4" s="1"/>
  <c r="E489" i="4"/>
  <c r="H489" i="4" l="1"/>
  <c r="I489" i="4" l="1"/>
  <c r="L489" i="4" s="1"/>
  <c r="AB255" i="15" s="1"/>
  <c r="G490" i="4"/>
  <c r="J490" i="4" l="1"/>
  <c r="K490" i="4" s="1"/>
  <c r="E490" i="4"/>
  <c r="E488" i="12"/>
  <c r="F488" i="12" s="1"/>
  <c r="H488" i="12" s="1"/>
  <c r="O489" i="4"/>
  <c r="H490" i="4" l="1"/>
  <c r="I490" i="4" l="1"/>
  <c r="L490" i="4" s="1"/>
  <c r="AB277" i="15" s="1"/>
  <c r="G491" i="4"/>
  <c r="J491" i="4" s="1"/>
  <c r="K491" i="4" s="1"/>
  <c r="O490" i="4" l="1"/>
  <c r="E489" i="12"/>
  <c r="F489" i="12" s="1"/>
  <c r="H489" i="12" s="1"/>
  <c r="E491" i="4"/>
  <c r="H491" i="4" l="1"/>
  <c r="G492" i="4" l="1"/>
  <c r="J492" i="4" s="1"/>
  <c r="K492" i="4" s="1"/>
  <c r="I491" i="4"/>
  <c r="L491" i="4" s="1"/>
  <c r="AB298" i="15" s="1"/>
  <c r="E492" i="4" l="1"/>
  <c r="E490" i="12"/>
  <c r="F490" i="12" s="1"/>
  <c r="H490" i="12" s="1"/>
  <c r="O491" i="4"/>
  <c r="H492" i="4" l="1"/>
  <c r="G493" i="4" l="1"/>
  <c r="J493" i="4" s="1"/>
  <c r="K493" i="4" s="1"/>
  <c r="I492" i="4"/>
  <c r="L492" i="4" s="1"/>
  <c r="AB319" i="15" s="1"/>
  <c r="E493" i="4" l="1"/>
  <c r="O492" i="4"/>
  <c r="E491" i="12"/>
  <c r="F491" i="12" s="1"/>
  <c r="H491" i="12" s="1"/>
  <c r="H493" i="4" l="1"/>
  <c r="I493" i="4" l="1"/>
  <c r="L493" i="4" s="1"/>
  <c r="AB331" i="15" s="1"/>
  <c r="G494" i="4"/>
  <c r="J494" i="4" s="1"/>
  <c r="K494" i="4" s="1"/>
  <c r="E492" i="12" l="1"/>
  <c r="F492" i="12" s="1"/>
  <c r="H492" i="12" s="1"/>
  <c r="O493" i="4"/>
  <c r="E494" i="4"/>
  <c r="H494" i="4" l="1"/>
  <c r="G495" i="4" l="1"/>
  <c r="J495" i="4" s="1"/>
  <c r="I494" i="4"/>
  <c r="L494" i="4" s="1"/>
  <c r="AB333" i="15" s="1"/>
  <c r="E495" i="4" l="1"/>
  <c r="O494" i="4"/>
  <c r="E493" i="12"/>
  <c r="F493" i="12" s="1"/>
  <c r="H493" i="12" s="1"/>
  <c r="K495" i="4"/>
  <c r="H495" i="4" l="1"/>
  <c r="I495" i="4" l="1"/>
  <c r="L495" i="4" s="1"/>
  <c r="AB336" i="15" s="1"/>
  <c r="G496" i="4"/>
  <c r="E496" i="4" l="1"/>
  <c r="J496" i="4"/>
  <c r="K496" i="4" s="1"/>
  <c r="O495" i="4"/>
  <c r="E494" i="12"/>
  <c r="F494" i="12" s="1"/>
  <c r="H494" i="12" s="1"/>
  <c r="H496" i="4" l="1"/>
  <c r="G497" i="4" l="1"/>
  <c r="J497" i="4" s="1"/>
  <c r="K497" i="4" s="1"/>
  <c r="I496" i="4"/>
  <c r="L496" i="4" s="1"/>
  <c r="AB337" i="15" s="1"/>
  <c r="E497" i="4" l="1"/>
  <c r="H497" i="4" s="1"/>
  <c r="O496" i="4"/>
  <c r="E495" i="12"/>
  <c r="F495" i="12" s="1"/>
  <c r="H495" i="12" s="1"/>
  <c r="I497" i="4" l="1"/>
  <c r="L497" i="4" s="1"/>
  <c r="AB342" i="15" s="1"/>
  <c r="G498" i="4"/>
  <c r="E498" i="4" l="1"/>
  <c r="J498" i="4"/>
  <c r="K498" i="4" s="1"/>
  <c r="E496" i="12"/>
  <c r="F496" i="12" s="1"/>
  <c r="H496" i="12" s="1"/>
  <c r="O497" i="4"/>
  <c r="H498" i="4" l="1"/>
  <c r="I498" i="4" l="1"/>
  <c r="L498" i="4" s="1"/>
  <c r="AB344" i="15" s="1"/>
  <c r="G499" i="4"/>
  <c r="J499" i="4" s="1"/>
  <c r="K499" i="4" s="1"/>
  <c r="E499" i="4" l="1"/>
  <c r="E497" i="12"/>
  <c r="F497" i="12" s="1"/>
  <c r="H497" i="12" s="1"/>
  <c r="O498" i="4"/>
  <c r="H499" i="4" l="1"/>
  <c r="G500" i="4" l="1"/>
  <c r="I499" i="4"/>
  <c r="L499" i="4" s="1"/>
  <c r="AB346" i="15" s="1"/>
  <c r="O499" i="4" l="1"/>
  <c r="E498" i="12"/>
  <c r="F498" i="12" s="1"/>
  <c r="H498" i="12" s="1"/>
  <c r="J500" i="4"/>
  <c r="K500" i="4" s="1"/>
  <c r="E500" i="4"/>
  <c r="H500" i="4" l="1"/>
  <c r="I500" i="4" l="1"/>
  <c r="L500" i="4" s="1"/>
  <c r="AB348" i="15" s="1"/>
  <c r="G501" i="4"/>
  <c r="J501" i="4" l="1"/>
  <c r="K501" i="4" s="1"/>
  <c r="E501" i="4"/>
  <c r="O500" i="4"/>
  <c r="E499" i="12"/>
  <c r="F499" i="12" s="1"/>
  <c r="H499" i="12" s="1"/>
  <c r="H501" i="4" l="1"/>
  <c r="G502" i="4" l="1"/>
  <c r="I501" i="4"/>
  <c r="L501" i="4" s="1"/>
  <c r="AB350" i="15" s="1"/>
  <c r="E500" i="12" l="1"/>
  <c r="F500" i="12" s="1"/>
  <c r="H500" i="12" s="1"/>
  <c r="O501" i="4"/>
  <c r="J502" i="4"/>
  <c r="K502" i="4" s="1"/>
  <c r="E502" i="4"/>
  <c r="H502" i="4" l="1"/>
  <c r="I502" i="4" l="1"/>
  <c r="L502" i="4" s="1"/>
  <c r="AB355" i="15" s="1"/>
  <c r="G503" i="4"/>
  <c r="E501" i="12" l="1"/>
  <c r="F501" i="12" s="1"/>
  <c r="H501" i="12" s="1"/>
  <c r="O502" i="4"/>
  <c r="J503" i="4"/>
  <c r="K503" i="4" s="1"/>
  <c r="E503" i="4"/>
  <c r="H503" i="4" l="1"/>
  <c r="I503" i="4" l="1"/>
  <c r="L503" i="4" s="1"/>
  <c r="AB357" i="15" s="1"/>
  <c r="G504" i="4"/>
  <c r="J504" i="4" s="1"/>
  <c r="K504" i="4" s="1"/>
  <c r="E504" i="4" l="1"/>
  <c r="O503" i="4"/>
  <c r="E502" i="12"/>
  <c r="F502" i="12" s="1"/>
  <c r="H502" i="12" s="1"/>
  <c r="H504" i="4" l="1"/>
  <c r="G505" i="4" l="1"/>
  <c r="J505" i="4" s="1"/>
  <c r="K505" i="4" s="1"/>
  <c r="I504" i="4"/>
  <c r="L504" i="4" s="1"/>
  <c r="AB360" i="15" s="1"/>
  <c r="E505" i="4" l="1"/>
  <c r="H505" i="4" s="1"/>
  <c r="G506" i="4" s="1"/>
  <c r="J506" i="4" s="1"/>
  <c r="K506" i="4" s="1"/>
  <c r="O504" i="4"/>
  <c r="E503" i="12"/>
  <c r="F503" i="12" s="1"/>
  <c r="H503" i="12" s="1"/>
  <c r="E506" i="4" l="1"/>
  <c r="I505" i="4"/>
  <c r="L505" i="4" s="1"/>
  <c r="AB362" i="15" s="1"/>
  <c r="H506" i="4" l="1"/>
  <c r="I506" i="4" s="1"/>
  <c r="L506" i="4" s="1"/>
  <c r="AB367" i="15" s="1"/>
  <c r="E504" i="12"/>
  <c r="F504" i="12" s="1"/>
  <c r="H504" i="12" s="1"/>
  <c r="O505" i="4"/>
  <c r="G507" i="4" l="1"/>
  <c r="J507" i="4" s="1"/>
  <c r="K507" i="4" s="1"/>
  <c r="E505" i="12"/>
  <c r="F505" i="12" s="1"/>
  <c r="H505" i="12" s="1"/>
  <c r="O506" i="4"/>
  <c r="E507" i="4" l="1"/>
  <c r="H507" i="4" s="1"/>
  <c r="I507" i="4" l="1"/>
  <c r="L507" i="4" s="1"/>
  <c r="AB370" i="15" s="1"/>
  <c r="G508" i="4"/>
  <c r="J508" i="4" s="1"/>
  <c r="K508" i="4" s="1"/>
  <c r="E506" i="12" l="1"/>
  <c r="F506" i="12" s="1"/>
  <c r="H506" i="12" s="1"/>
  <c r="O507" i="4"/>
  <c r="E508" i="4"/>
  <c r="H508" i="4" l="1"/>
  <c r="I508" i="4" l="1"/>
  <c r="L508" i="4" s="1"/>
  <c r="AB372" i="15" s="1"/>
  <c r="G509" i="4"/>
  <c r="J509" i="4" s="1"/>
  <c r="K509" i="4" s="1"/>
  <c r="E509" i="4" l="1"/>
  <c r="O508" i="4"/>
  <c r="E507" i="12"/>
  <c r="F507" i="12" s="1"/>
  <c r="H507" i="12" s="1"/>
  <c r="H509" i="4" l="1"/>
  <c r="G510" i="4" l="1"/>
  <c r="J510" i="4" s="1"/>
  <c r="K510" i="4" s="1"/>
  <c r="I509" i="4"/>
  <c r="L509" i="4" s="1"/>
  <c r="AB374" i="15" s="1"/>
  <c r="E510" i="4" l="1"/>
  <c r="O509" i="4"/>
  <c r="E508" i="12"/>
  <c r="F508" i="12" s="1"/>
  <c r="H508" i="12" s="1"/>
  <c r="H510" i="4" l="1"/>
  <c r="G511" i="4" l="1"/>
  <c r="I510" i="4"/>
  <c r="L510" i="4" s="1"/>
  <c r="AB377" i="15" s="1"/>
  <c r="O510" i="4" l="1"/>
  <c r="E509" i="12"/>
  <c r="F509" i="12" s="1"/>
  <c r="H509" i="12" s="1"/>
  <c r="J511" i="4"/>
  <c r="K511" i="4" s="1"/>
  <c r="E511" i="4"/>
  <c r="H511" i="4" l="1"/>
  <c r="G512" i="4" l="1"/>
  <c r="J512" i="4" s="1"/>
  <c r="K512" i="4" s="1"/>
  <c r="I511" i="4"/>
  <c r="L511" i="4" s="1"/>
  <c r="AB381" i="15" s="1"/>
  <c r="E512" i="4" l="1"/>
  <c r="H512" i="4" s="1"/>
  <c r="E510" i="12"/>
  <c r="F510" i="12" s="1"/>
  <c r="H510" i="12" s="1"/>
  <c r="O511" i="4"/>
  <c r="G513" i="4" l="1"/>
  <c r="J513" i="4" s="1"/>
  <c r="K513" i="4" s="1"/>
  <c r="I512" i="4"/>
  <c r="L512" i="4" s="1"/>
  <c r="AB383" i="15" s="1"/>
  <c r="O512" i="4" l="1"/>
  <c r="E511" i="12"/>
  <c r="F511" i="12" s="1"/>
  <c r="H511" i="12" s="1"/>
  <c r="E513" i="4"/>
  <c r="H513" i="4" l="1"/>
  <c r="I513" i="4" l="1"/>
  <c r="L513" i="4" s="1"/>
  <c r="AB386" i="15" s="1"/>
  <c r="G514" i="4"/>
  <c r="J514" i="4" s="1"/>
  <c r="K514" i="4" s="1"/>
  <c r="E514" i="4" l="1"/>
  <c r="H514" i="4" s="1"/>
  <c r="O513" i="4"/>
  <c r="E512" i="12"/>
  <c r="F512" i="12" s="1"/>
  <c r="H512" i="12" s="1"/>
  <c r="I514" i="4" l="1"/>
  <c r="L514" i="4" s="1"/>
  <c r="AB388" i="15" s="1"/>
  <c r="G515" i="4"/>
  <c r="J515" i="4" s="1"/>
  <c r="K515" i="4" s="1"/>
  <c r="E515" i="4" l="1"/>
  <c r="H515" i="4" s="1"/>
  <c r="E513" i="12"/>
  <c r="F513" i="12" s="1"/>
  <c r="H513" i="12" s="1"/>
  <c r="O514" i="4"/>
  <c r="I515" i="4" l="1"/>
  <c r="L515" i="4" s="1"/>
  <c r="AB390" i="15" s="1"/>
  <c r="G516" i="4"/>
  <c r="J516" i="4" s="1"/>
  <c r="K516" i="4" s="1"/>
  <c r="E516" i="4" l="1"/>
  <c r="E514" i="12"/>
  <c r="F514" i="12" s="1"/>
  <c r="H514" i="12" s="1"/>
  <c r="O515" i="4"/>
  <c r="H516" i="4" l="1"/>
  <c r="G517" i="4" l="1"/>
  <c r="J517" i="4" s="1"/>
  <c r="K517" i="4" s="1"/>
  <c r="I516" i="4"/>
  <c r="L516" i="4" s="1"/>
  <c r="AB392" i="15" s="1"/>
  <c r="E517" i="4" l="1"/>
  <c r="H517" i="4" s="1"/>
  <c r="E515" i="12"/>
  <c r="F515" i="12" s="1"/>
  <c r="H515" i="12" s="1"/>
  <c r="O516" i="4"/>
  <c r="G518" i="4" l="1"/>
  <c r="J518" i="4" s="1"/>
  <c r="K518" i="4" s="1"/>
  <c r="I517" i="4"/>
  <c r="L517" i="4" s="1"/>
  <c r="AB396" i="15" s="1"/>
  <c r="O517" i="4" l="1"/>
  <c r="E516" i="12"/>
  <c r="F516" i="12" s="1"/>
  <c r="H516" i="12" s="1"/>
  <c r="E518" i="4"/>
  <c r="H518" i="4" l="1"/>
  <c r="G519" i="4" l="1"/>
  <c r="J519" i="4" s="1"/>
  <c r="I518" i="4"/>
  <c r="L518" i="4" s="1"/>
  <c r="AB401" i="15" s="1"/>
  <c r="E519" i="4" l="1"/>
  <c r="H519" i="4" s="1"/>
  <c r="O518" i="4"/>
  <c r="E517" i="12"/>
  <c r="F517" i="12" s="1"/>
  <c r="H517" i="12" s="1"/>
  <c r="K519" i="4"/>
  <c r="I519" i="4" l="1"/>
  <c r="L519" i="4" s="1"/>
  <c r="AB408" i="15" s="1"/>
  <c r="G520" i="4"/>
  <c r="J520" i="4" s="1"/>
  <c r="K520" i="4" s="1"/>
  <c r="E520" i="4" l="1"/>
  <c r="E518" i="12"/>
  <c r="F518" i="12" s="1"/>
  <c r="H518" i="12" s="1"/>
  <c r="O519" i="4"/>
  <c r="H520" i="4" l="1"/>
  <c r="G521" i="4" l="1"/>
  <c r="J521" i="4" s="1"/>
  <c r="I520" i="4"/>
  <c r="L520" i="4" s="1"/>
  <c r="AB411" i="15" s="1"/>
  <c r="E521" i="4" l="1"/>
  <c r="H521" i="4" s="1"/>
  <c r="O520" i="4"/>
  <c r="E519" i="12"/>
  <c r="F519" i="12" s="1"/>
  <c r="H519" i="12" s="1"/>
  <c r="K521" i="4"/>
  <c r="I521" i="4" l="1"/>
  <c r="L521" i="4" s="1"/>
  <c r="AB414" i="15" s="1"/>
  <c r="G522" i="4"/>
  <c r="J522" i="4" s="1"/>
  <c r="K522" i="4" s="1"/>
  <c r="E522" i="4" l="1"/>
  <c r="H522" i="4" s="1"/>
  <c r="E520" i="12"/>
  <c r="F520" i="12" s="1"/>
  <c r="H520" i="12" s="1"/>
  <c r="O521" i="4"/>
  <c r="I522" i="4" l="1"/>
  <c r="L522" i="4" s="1"/>
  <c r="AB418" i="15" s="1"/>
  <c r="G523" i="4"/>
  <c r="J523" i="4" s="1"/>
  <c r="K523" i="4" s="1"/>
  <c r="E523" i="4" l="1"/>
  <c r="E521" i="12"/>
  <c r="F521" i="12" s="1"/>
  <c r="H521" i="12" s="1"/>
  <c r="O522" i="4"/>
  <c r="H523" i="4" l="1"/>
  <c r="I523" i="4" l="1"/>
  <c r="L523" i="4" s="1"/>
  <c r="AB420" i="15" s="1"/>
  <c r="G524" i="4"/>
  <c r="J524" i="4" s="1"/>
  <c r="K524" i="4" s="1"/>
  <c r="E524" i="4" l="1"/>
  <c r="O523" i="4"/>
  <c r="E522" i="12"/>
  <c r="F522" i="12" s="1"/>
  <c r="H522" i="12" s="1"/>
  <c r="H524" i="4" l="1"/>
  <c r="G525" i="4" l="1"/>
  <c r="J525" i="4" s="1"/>
  <c r="I524" i="4"/>
  <c r="L524" i="4" s="1"/>
  <c r="AB105" i="15" s="1"/>
  <c r="E525" i="4" l="1"/>
  <c r="H525" i="4" s="1"/>
  <c r="O524" i="4"/>
  <c r="E523" i="12"/>
  <c r="F523" i="12" s="1"/>
  <c r="H523" i="12" s="1"/>
  <c r="K525" i="4"/>
  <c r="G526" i="4" l="1"/>
  <c r="J526" i="4" s="1"/>
  <c r="K526" i="4" s="1"/>
  <c r="I525" i="4"/>
  <c r="L525" i="4" s="1"/>
  <c r="AB296" i="15" s="1"/>
  <c r="E526" i="4" l="1"/>
  <c r="H526" i="4" s="1"/>
  <c r="O525" i="4"/>
  <c r="E524" i="12"/>
  <c r="F524" i="12" s="1"/>
  <c r="H524" i="12" s="1"/>
  <c r="G527" i="4" l="1"/>
  <c r="J527" i="4" s="1"/>
  <c r="K527" i="4" s="1"/>
  <c r="I526" i="4"/>
  <c r="L526" i="4" s="1"/>
  <c r="AB316" i="15" s="1"/>
  <c r="E527" i="4" l="1"/>
  <c r="H527" i="4" s="1"/>
  <c r="E525" i="12"/>
  <c r="F525" i="12" s="1"/>
  <c r="H525" i="12" s="1"/>
  <c r="O526" i="4"/>
  <c r="G528" i="4" l="1"/>
  <c r="J528" i="4" s="1"/>
  <c r="K528" i="4" s="1"/>
  <c r="I527" i="4"/>
  <c r="L527" i="4" s="1"/>
  <c r="AB334" i="15" s="1"/>
  <c r="E528" i="4" l="1"/>
  <c r="H528" i="4" s="1"/>
  <c r="E526" i="12"/>
  <c r="F526" i="12" s="1"/>
  <c r="H526" i="12" s="1"/>
  <c r="O527" i="4"/>
  <c r="I528" i="4" l="1"/>
  <c r="L528" i="4" s="1"/>
  <c r="G529" i="4"/>
  <c r="J529" i="4" s="1"/>
  <c r="K529" i="4" s="1"/>
  <c r="O528" i="4" l="1"/>
  <c r="AB354" i="15"/>
  <c r="E527" i="12"/>
  <c r="F527" i="12" s="1"/>
  <c r="H527" i="12" s="1"/>
  <c r="E529" i="4"/>
  <c r="H529" i="4" s="1"/>
  <c r="G530" i="4" l="1"/>
  <c r="J530" i="4" s="1"/>
  <c r="K530" i="4" s="1"/>
  <c r="I529" i="4"/>
  <c r="L529" i="4" s="1"/>
  <c r="AB376" i="15" s="1"/>
  <c r="E530" i="4" l="1"/>
  <c r="H530" i="4" s="1"/>
  <c r="E528" i="12"/>
  <c r="F528" i="12" s="1"/>
  <c r="H528" i="12" s="1"/>
  <c r="O529" i="4"/>
  <c r="G531" i="4" l="1"/>
  <c r="I530" i="4"/>
  <c r="L530" i="4" s="1"/>
  <c r="AB402" i="15" s="1"/>
  <c r="E529" i="12" l="1"/>
  <c r="F529" i="12" s="1"/>
  <c r="H529" i="12" s="1"/>
  <c r="O530" i="4"/>
  <c r="J531" i="4"/>
  <c r="K531" i="4" s="1"/>
  <c r="E531" i="4"/>
  <c r="H531" i="4" l="1"/>
  <c r="I531" i="4" l="1"/>
  <c r="L531" i="4" s="1"/>
  <c r="AB395" i="15" s="1"/>
  <c r="G532" i="4"/>
  <c r="J532" i="4" l="1"/>
  <c r="K532" i="4" s="1"/>
  <c r="E532" i="4"/>
  <c r="O531" i="4"/>
  <c r="E530" i="12"/>
  <c r="F530" i="12" s="1"/>
  <c r="H530" i="12" s="1"/>
  <c r="H532" i="4" l="1"/>
  <c r="I532" i="4" l="1"/>
  <c r="L532" i="4" s="1"/>
  <c r="AB397" i="15" s="1"/>
  <c r="G533" i="4"/>
  <c r="J533" i="4" l="1"/>
  <c r="K533" i="4" s="1"/>
  <c r="E533" i="4"/>
  <c r="O532" i="4"/>
  <c r="E531" i="12"/>
  <c r="F531" i="12" s="1"/>
  <c r="H531" i="12" s="1"/>
  <c r="H533" i="4" l="1"/>
  <c r="I533" i="4" l="1"/>
  <c r="L533" i="4" s="1"/>
  <c r="AB422" i="15" s="1"/>
  <c r="G534" i="4"/>
  <c r="J534" i="4" s="1"/>
  <c r="K534" i="4" s="1"/>
  <c r="E534" i="4" l="1"/>
  <c r="O533" i="4"/>
  <c r="E532" i="12"/>
  <c r="F532" i="12" s="1"/>
  <c r="H532" i="12" s="1"/>
  <c r="H534" i="4" l="1"/>
  <c r="I534" i="4" l="1"/>
  <c r="L534" i="4" s="1"/>
  <c r="AB437" i="15" s="1"/>
  <c r="G535" i="4"/>
  <c r="J535" i="4" s="1"/>
  <c r="E535" i="4" l="1"/>
  <c r="K535" i="4"/>
  <c r="E533" i="12"/>
  <c r="F533" i="12" s="1"/>
  <c r="H533" i="12" s="1"/>
  <c r="O534" i="4"/>
  <c r="H535" i="4" l="1"/>
  <c r="I535" i="4" l="1"/>
  <c r="L535" i="4" s="1"/>
  <c r="G536" i="4"/>
  <c r="J536" i="4" s="1"/>
  <c r="K536" i="4" s="1"/>
  <c r="E534" i="12" l="1"/>
  <c r="F534" i="12" s="1"/>
  <c r="H534" i="12" s="1"/>
  <c r="AB441" i="15"/>
  <c r="O535" i="4"/>
  <c r="E536" i="4"/>
  <c r="H536" i="4" s="1"/>
  <c r="G537" i="4" s="1"/>
  <c r="J537" i="4" s="1"/>
  <c r="K537" i="4" s="1"/>
  <c r="I536" i="4" l="1"/>
  <c r="L536" i="4" s="1"/>
  <c r="E537" i="4"/>
  <c r="E535" i="12" l="1"/>
  <c r="F535" i="12" s="1"/>
  <c r="H535" i="12" s="1"/>
  <c r="AB443" i="15"/>
  <c r="O536" i="4"/>
  <c r="H537" i="4"/>
  <c r="G538" i="4" l="1"/>
  <c r="J538" i="4" s="1"/>
  <c r="K538" i="4" s="1"/>
  <c r="I537" i="4"/>
  <c r="L537" i="4" s="1"/>
  <c r="AB444" i="15" s="1"/>
  <c r="E538" i="4" l="1"/>
  <c r="O537" i="4"/>
  <c r="E536" i="12"/>
  <c r="F536" i="12" s="1"/>
  <c r="H536" i="12" s="1"/>
  <c r="H538" i="4" l="1"/>
  <c r="G539" i="4" l="1"/>
  <c r="J539" i="4" s="1"/>
  <c r="K539" i="4" s="1"/>
  <c r="I538" i="4"/>
  <c r="L538" i="4" s="1"/>
  <c r="AB447" i="15" s="1"/>
  <c r="E539" i="4" l="1"/>
  <c r="O538" i="4"/>
  <c r="E537" i="12"/>
  <c r="F537" i="12" s="1"/>
  <c r="H537" i="12" s="1"/>
  <c r="H539" i="4" l="1"/>
  <c r="G540" i="4" s="1"/>
  <c r="I539" i="4" l="1"/>
  <c r="L539" i="4" s="1"/>
  <c r="J540" i="4"/>
  <c r="K540" i="4" s="1"/>
  <c r="E540" i="4"/>
  <c r="E538" i="12" l="1"/>
  <c r="F538" i="12" s="1"/>
  <c r="H538" i="12" s="1"/>
  <c r="AB453" i="15"/>
  <c r="O539" i="4"/>
  <c r="H540" i="4"/>
  <c r="I540" i="4" l="1"/>
  <c r="L540" i="4" s="1"/>
  <c r="AB456" i="15" s="1"/>
  <c r="G541" i="4"/>
  <c r="J541" i="4" s="1"/>
  <c r="K541" i="4" s="1"/>
  <c r="E541" i="4" l="1"/>
  <c r="H541" i="4" s="1"/>
  <c r="E539" i="12"/>
  <c r="F539" i="12" s="1"/>
  <c r="H539" i="12" s="1"/>
  <c r="O540" i="4"/>
  <c r="I541" i="4" l="1"/>
  <c r="L541" i="4" s="1"/>
  <c r="AB458" i="15" s="1"/>
  <c r="G542" i="4"/>
  <c r="J542" i="4" l="1"/>
  <c r="K542" i="4" s="1"/>
  <c r="E542" i="4"/>
  <c r="E540" i="12"/>
  <c r="F540" i="12" s="1"/>
  <c r="H540" i="12" s="1"/>
  <c r="O541" i="4"/>
  <c r="H542" i="4" l="1"/>
  <c r="I542" i="4" l="1"/>
  <c r="L542" i="4" s="1"/>
  <c r="AB460" i="15" s="1"/>
  <c r="G543" i="4"/>
  <c r="E543" i="4" l="1"/>
  <c r="J543" i="4"/>
  <c r="K543" i="4" s="1"/>
  <c r="E541" i="12"/>
  <c r="F541" i="12" s="1"/>
  <c r="H541" i="12" s="1"/>
  <c r="O542" i="4"/>
  <c r="H543" i="4" l="1"/>
  <c r="I543" i="4" l="1"/>
  <c r="L543" i="4" s="1"/>
  <c r="AB462" i="15" s="1"/>
  <c r="G544" i="4"/>
  <c r="J544" i="4" l="1"/>
  <c r="K544" i="4" s="1"/>
  <c r="E544" i="4"/>
  <c r="O543" i="4"/>
  <c r="E542" i="12"/>
  <c r="F542" i="12" s="1"/>
  <c r="H542" i="12" s="1"/>
  <c r="H544" i="4" l="1"/>
  <c r="G545" i="4" l="1"/>
  <c r="I544" i="4"/>
  <c r="L544" i="4" s="1"/>
  <c r="AB465" i="15" s="1"/>
  <c r="J545" i="4" l="1"/>
  <c r="K545" i="4" s="1"/>
  <c r="E545" i="4"/>
  <c r="E543" i="12"/>
  <c r="F543" i="12" s="1"/>
  <c r="H543" i="12" s="1"/>
  <c r="O544" i="4"/>
  <c r="H545" i="4" l="1"/>
  <c r="G546" i="4" l="1"/>
  <c r="J546" i="4" s="1"/>
  <c r="K546" i="4" s="1"/>
  <c r="I545" i="4"/>
  <c r="L545" i="4" s="1"/>
  <c r="AB468" i="15" s="1"/>
  <c r="E546" i="4" l="1"/>
  <c r="O545" i="4"/>
  <c r="E544" i="12"/>
  <c r="F544" i="12" s="1"/>
  <c r="H544" i="12" s="1"/>
  <c r="H546" i="4" l="1"/>
  <c r="I546" i="4" l="1"/>
  <c r="L546" i="4" s="1"/>
  <c r="AB470" i="15" s="1"/>
  <c r="G547" i="4"/>
  <c r="E547" i="4" l="1"/>
  <c r="J547" i="4"/>
  <c r="K547" i="4" s="1"/>
  <c r="O546" i="4"/>
  <c r="E545" i="12"/>
  <c r="F545" i="12" s="1"/>
  <c r="H545" i="12" s="1"/>
  <c r="H547" i="4" l="1"/>
  <c r="G548" i="4" l="1"/>
  <c r="I547" i="4"/>
  <c r="L547" i="4" s="1"/>
  <c r="AB472" i="15" s="1"/>
  <c r="E546" i="12" l="1"/>
  <c r="F546" i="12" s="1"/>
  <c r="H546" i="12" s="1"/>
  <c r="O547" i="4"/>
  <c r="J548" i="4"/>
  <c r="K548" i="4" s="1"/>
  <c r="E548" i="4"/>
  <c r="H548" i="4" l="1"/>
  <c r="G549" i="4" l="1"/>
  <c r="J549" i="4" s="1"/>
  <c r="K549" i="4" s="1"/>
  <c r="I548" i="4"/>
  <c r="L548" i="4" s="1"/>
  <c r="AB475" i="15" s="1"/>
  <c r="E549" i="4" l="1"/>
  <c r="H549" i="4" s="1"/>
  <c r="O548" i="4"/>
  <c r="E547" i="12"/>
  <c r="F547" i="12" s="1"/>
  <c r="H547" i="12" s="1"/>
  <c r="I549" i="4" l="1"/>
  <c r="L549" i="4" s="1"/>
  <c r="AB479" i="15" s="1"/>
  <c r="G550" i="4"/>
  <c r="E550" i="4" l="1"/>
  <c r="J550" i="4"/>
  <c r="K550" i="4" s="1"/>
  <c r="E548" i="12"/>
  <c r="F548" i="12" s="1"/>
  <c r="H548" i="12" s="1"/>
  <c r="O549" i="4"/>
  <c r="H550" i="4" l="1"/>
  <c r="I550" i="4" l="1"/>
  <c r="L550" i="4" s="1"/>
  <c r="AB482" i="15" s="1"/>
  <c r="G551" i="4"/>
  <c r="J551" i="4" l="1"/>
  <c r="K551" i="4" s="1"/>
  <c r="E551" i="4"/>
  <c r="O550" i="4"/>
  <c r="E549" i="12"/>
  <c r="F549" i="12" s="1"/>
  <c r="H549" i="12" s="1"/>
  <c r="H551" i="4" l="1"/>
  <c r="I551" i="4" l="1"/>
  <c r="L551" i="4" s="1"/>
  <c r="AB486" i="15" s="1"/>
  <c r="G552" i="4"/>
  <c r="J552" i="4" s="1"/>
  <c r="K552" i="4" s="1"/>
  <c r="E552" i="4" l="1"/>
  <c r="E550" i="12"/>
  <c r="F550" i="12" s="1"/>
  <c r="H550" i="12" s="1"/>
  <c r="O551" i="4"/>
  <c r="H552" i="4" l="1"/>
  <c r="G553" i="4" l="1"/>
  <c r="J553" i="4" s="1"/>
  <c r="K553" i="4" s="1"/>
  <c r="I552" i="4"/>
  <c r="L552" i="4" s="1"/>
  <c r="AB488" i="15" s="1"/>
  <c r="E553" i="4" l="1"/>
  <c r="H553" i="4" s="1"/>
  <c r="O552" i="4"/>
  <c r="E551" i="12"/>
  <c r="F551" i="12" s="1"/>
  <c r="H551" i="12" s="1"/>
  <c r="G554" i="4" l="1"/>
  <c r="I553" i="4"/>
  <c r="L553" i="4" s="1"/>
  <c r="AB491" i="15" s="1"/>
  <c r="E552" i="12" l="1"/>
  <c r="F552" i="12" s="1"/>
  <c r="H552" i="12" s="1"/>
  <c r="O553" i="4"/>
  <c r="J554" i="4"/>
  <c r="K554" i="4" s="1"/>
  <c r="E554" i="4"/>
  <c r="H554" i="4" l="1"/>
  <c r="I554" i="4" l="1"/>
  <c r="L554" i="4" s="1"/>
  <c r="AB493" i="15" s="1"/>
  <c r="G555" i="4"/>
  <c r="J555" i="4" s="1"/>
  <c r="K555" i="4" s="1"/>
  <c r="E555" i="4" l="1"/>
  <c r="E553" i="12"/>
  <c r="F553" i="12" s="1"/>
  <c r="H553" i="12" s="1"/>
  <c r="O554" i="4"/>
  <c r="H555" i="4" l="1"/>
  <c r="I555" i="4" l="1"/>
  <c r="L555" i="4" s="1"/>
  <c r="AB496" i="15" s="1"/>
  <c r="G556" i="4"/>
  <c r="J556" i="4" s="1"/>
  <c r="K556" i="4" s="1"/>
  <c r="E556" i="4" l="1"/>
  <c r="O555" i="4"/>
  <c r="E554" i="12"/>
  <c r="F554" i="12" s="1"/>
  <c r="H554" i="12" s="1"/>
  <c r="H556" i="4" l="1"/>
  <c r="G557" i="4" l="1"/>
  <c r="J557" i="4" s="1"/>
  <c r="K557" i="4" s="1"/>
  <c r="I556" i="4"/>
  <c r="L556" i="4" s="1"/>
  <c r="AB498" i="15" s="1"/>
  <c r="E557" i="4" l="1"/>
  <c r="O556" i="4"/>
  <c r="E555" i="12"/>
  <c r="F555" i="12" s="1"/>
  <c r="H555" i="12" s="1"/>
  <c r="H557" i="4" l="1"/>
  <c r="G558" i="4" l="1"/>
  <c r="J558" i="4" s="1"/>
  <c r="K558" i="4" s="1"/>
  <c r="I557" i="4"/>
  <c r="L557" i="4" s="1"/>
  <c r="AB500" i="15" s="1"/>
  <c r="E558" i="4" l="1"/>
  <c r="H558" i="4" s="1"/>
  <c r="O557" i="4"/>
  <c r="E556" i="12"/>
  <c r="F556" i="12" s="1"/>
  <c r="H556" i="12" s="1"/>
  <c r="G559" i="4" l="1"/>
  <c r="J559" i="4" s="1"/>
  <c r="K559" i="4" s="1"/>
  <c r="I558" i="4"/>
  <c r="L558" i="4" s="1"/>
  <c r="AB502" i="15" s="1"/>
  <c r="E559" i="4" l="1"/>
  <c r="H559" i="4" s="1"/>
  <c r="O558" i="4"/>
  <c r="E557" i="12"/>
  <c r="F557" i="12" s="1"/>
  <c r="H557" i="12" s="1"/>
  <c r="G560" i="4" l="1"/>
  <c r="J560" i="4" s="1"/>
  <c r="K560" i="4" s="1"/>
  <c r="I559" i="4"/>
  <c r="L559" i="4" s="1"/>
  <c r="AB504" i="15" s="1"/>
  <c r="E560" i="4" l="1"/>
  <c r="H560" i="4" s="1"/>
  <c r="E558" i="12"/>
  <c r="F558" i="12" s="1"/>
  <c r="H558" i="12" s="1"/>
  <c r="O559" i="4"/>
  <c r="I560" i="4" l="1"/>
  <c r="L560" i="4" s="1"/>
  <c r="AB506" i="15" s="1"/>
  <c r="G561" i="4"/>
  <c r="E561" i="4" l="1"/>
  <c r="J561" i="4"/>
  <c r="K561" i="4" s="1"/>
  <c r="E559" i="12"/>
  <c r="F559" i="12" s="1"/>
  <c r="H559" i="12" s="1"/>
  <c r="O560" i="4"/>
  <c r="H561" i="4" l="1"/>
  <c r="I561" i="4" l="1"/>
  <c r="L561" i="4" s="1"/>
  <c r="AB489" i="15" s="1"/>
  <c r="G562" i="4"/>
  <c r="J562" i="4" s="1"/>
  <c r="K562" i="4" s="1"/>
  <c r="O561" i="4" l="1"/>
  <c r="E560" i="12"/>
  <c r="F560" i="12" s="1"/>
  <c r="H560" i="12" s="1"/>
  <c r="E562" i="4"/>
  <c r="H562" i="4" l="1"/>
  <c r="G563" i="4" l="1"/>
  <c r="I562" i="4"/>
  <c r="L562" i="4" s="1"/>
  <c r="AB508" i="15" s="1"/>
  <c r="E561" i="12" l="1"/>
  <c r="F561" i="12" s="1"/>
  <c r="H561" i="12" s="1"/>
  <c r="O562" i="4"/>
  <c r="E563" i="4"/>
  <c r="J563" i="4"/>
  <c r="K563" i="4" s="1"/>
  <c r="H563" i="4" l="1"/>
  <c r="I563" i="4" l="1"/>
  <c r="L563" i="4" s="1"/>
  <c r="AB514" i="15" s="1"/>
  <c r="G564" i="4"/>
  <c r="J564" i="4" l="1"/>
  <c r="K564" i="4" s="1"/>
  <c r="E564" i="4"/>
  <c r="O563" i="4"/>
  <c r="E562" i="12"/>
  <c r="F562" i="12" s="1"/>
  <c r="H562" i="12" s="1"/>
  <c r="H564" i="4" l="1"/>
  <c r="I564" i="4" l="1"/>
  <c r="L564" i="4" s="1"/>
  <c r="AB517" i="15" s="1"/>
  <c r="G565" i="4"/>
  <c r="J565" i="4" l="1"/>
  <c r="K565" i="4" s="1"/>
  <c r="E565" i="4"/>
  <c r="O564" i="4"/>
  <c r="E563" i="12"/>
  <c r="F563" i="12" s="1"/>
  <c r="H563" i="12" s="1"/>
  <c r="H565" i="4" l="1"/>
  <c r="G566" i="4" l="1"/>
  <c r="J566" i="4" s="1"/>
  <c r="K566" i="4" s="1"/>
  <c r="I565" i="4"/>
  <c r="L565" i="4" s="1"/>
  <c r="AB519" i="15" s="1"/>
  <c r="E566" i="4" l="1"/>
  <c r="H566" i="4" s="1"/>
  <c r="G567" i="4" s="1"/>
  <c r="O565" i="4"/>
  <c r="E564" i="12"/>
  <c r="F564" i="12" s="1"/>
  <c r="H564" i="12" s="1"/>
  <c r="I566" i="4" l="1"/>
  <c r="L566" i="4" s="1"/>
  <c r="E567" i="4"/>
  <c r="J567" i="4"/>
  <c r="K567" i="4" s="1"/>
  <c r="E565" i="12" l="1"/>
  <c r="F565" i="12" s="1"/>
  <c r="H565" i="12" s="1"/>
  <c r="AB522" i="15"/>
  <c r="O566" i="4"/>
  <c r="H567" i="4"/>
  <c r="I567" i="4" l="1"/>
  <c r="L567" i="4" s="1"/>
  <c r="AB524" i="15" s="1"/>
  <c r="G568" i="4"/>
  <c r="J568" i="4" l="1"/>
  <c r="K568" i="4" s="1"/>
  <c r="E568" i="4"/>
  <c r="E566" i="12"/>
  <c r="F566" i="12" s="1"/>
  <c r="H566" i="12" s="1"/>
  <c r="O567" i="4"/>
  <c r="H568" i="4" l="1"/>
  <c r="I568" i="4" l="1"/>
  <c r="L568" i="4" s="1"/>
  <c r="AB527" i="15" s="1"/>
  <c r="G569" i="4"/>
  <c r="J569" i="4" s="1"/>
  <c r="K569" i="4" s="1"/>
  <c r="E569" i="4" l="1"/>
  <c r="H569" i="4" s="1"/>
  <c r="E567" i="12"/>
  <c r="F567" i="12" s="1"/>
  <c r="H567" i="12" s="1"/>
  <c r="O568" i="4"/>
  <c r="I569" i="4" l="1"/>
  <c r="L569" i="4" s="1"/>
  <c r="AB529" i="15" s="1"/>
  <c r="G570" i="4"/>
  <c r="E570" i="4" l="1"/>
  <c r="J570" i="4"/>
  <c r="K570" i="4" s="1"/>
  <c r="E568" i="12"/>
  <c r="F568" i="12" s="1"/>
  <c r="H568" i="12" s="1"/>
  <c r="O569" i="4"/>
  <c r="H570" i="4" l="1"/>
  <c r="I570" i="4" l="1"/>
  <c r="L570" i="4" s="1"/>
  <c r="AB531" i="15" s="1"/>
  <c r="G571" i="4"/>
  <c r="E569" i="12" l="1"/>
  <c r="F569" i="12" s="1"/>
  <c r="H569" i="12" s="1"/>
  <c r="O570" i="4"/>
  <c r="J571" i="4"/>
  <c r="K571" i="4" s="1"/>
  <c r="E571" i="4"/>
  <c r="H571" i="4" l="1"/>
  <c r="I571" i="4" l="1"/>
  <c r="L571" i="4" s="1"/>
  <c r="AB525" i="15" s="1"/>
  <c r="G572" i="4"/>
  <c r="J572" i="4" s="1"/>
  <c r="K572" i="4" s="1"/>
  <c r="E570" i="12" l="1"/>
  <c r="F570" i="12" s="1"/>
  <c r="H570" i="12" s="1"/>
  <c r="O571" i="4"/>
  <c r="E572" i="4"/>
  <c r="H572" i="4" l="1"/>
  <c r="G573" i="4" l="1"/>
  <c r="J573" i="4" s="1"/>
  <c r="K573" i="4" s="1"/>
  <c r="I572" i="4"/>
  <c r="L572" i="4" s="1"/>
  <c r="AB436" i="15" s="1"/>
  <c r="E573" i="4" l="1"/>
  <c r="O572" i="4"/>
  <c r="E571" i="12"/>
  <c r="F571" i="12" s="1"/>
  <c r="H571" i="12" s="1"/>
  <c r="H573" i="4" l="1"/>
  <c r="G574" i="4" l="1"/>
  <c r="J574" i="4" s="1"/>
  <c r="K574" i="4" s="1"/>
  <c r="I573" i="4"/>
  <c r="L573" i="4" s="1"/>
  <c r="AB323" i="15" s="1"/>
  <c r="E574" i="4" l="1"/>
  <c r="O573" i="4"/>
  <c r="E572" i="12"/>
  <c r="F572" i="12" s="1"/>
  <c r="H572" i="12" s="1"/>
  <c r="H574" i="4" l="1"/>
  <c r="I574" i="4" l="1"/>
  <c r="L574" i="4" s="1"/>
  <c r="AB393" i="15" s="1"/>
  <c r="G575" i="4"/>
  <c r="J575" i="4" s="1"/>
  <c r="K575" i="4" s="1"/>
  <c r="E575" i="4" l="1"/>
  <c r="E573" i="12"/>
  <c r="F573" i="12" s="1"/>
  <c r="H573" i="12" s="1"/>
  <c r="O574" i="4"/>
  <c r="H575" i="4" l="1"/>
  <c r="G576" i="4" l="1"/>
  <c r="J576" i="4" s="1"/>
  <c r="K576" i="4" s="1"/>
  <c r="I575" i="4"/>
  <c r="L575" i="4" s="1"/>
  <c r="E574" i="12" l="1"/>
  <c r="F574" i="12" s="1"/>
  <c r="H574" i="12" s="1"/>
  <c r="AB429" i="15"/>
  <c r="O575" i="4"/>
  <c r="E576" i="4"/>
  <c r="H576" i="4" l="1"/>
  <c r="I576" i="4" l="1"/>
  <c r="L576" i="4" s="1"/>
  <c r="AB445" i="15" s="1"/>
  <c r="G577" i="4"/>
  <c r="J577" i="4" s="1"/>
  <c r="K577" i="4" s="1"/>
  <c r="E577" i="4" l="1"/>
  <c r="E575" i="12"/>
  <c r="F575" i="12" s="1"/>
  <c r="H575" i="12" s="1"/>
  <c r="O576" i="4"/>
  <c r="H577" i="4" l="1"/>
  <c r="G578" i="4" s="1"/>
  <c r="J578" i="4" s="1"/>
  <c r="K578" i="4" s="1"/>
  <c r="I577" i="4" l="1"/>
  <c r="L577" i="4" s="1"/>
  <c r="E578" i="4"/>
  <c r="E576" i="12" l="1"/>
  <c r="F576" i="12" s="1"/>
  <c r="H576" i="12" s="1"/>
  <c r="AB478" i="15"/>
  <c r="O577" i="4"/>
  <c r="H578" i="4"/>
  <c r="G579" i="4" s="1"/>
  <c r="J579" i="4" s="1"/>
  <c r="K579" i="4" s="1"/>
  <c r="I578" i="4" l="1"/>
  <c r="L578" i="4" s="1"/>
  <c r="E579" i="4"/>
  <c r="O578" i="4" l="1"/>
  <c r="AB510" i="15"/>
  <c r="E577" i="12"/>
  <c r="F577" i="12" s="1"/>
  <c r="H577" i="12" s="1"/>
  <c r="H579" i="4"/>
  <c r="I579" i="4" s="1"/>
  <c r="L579" i="4" s="1"/>
  <c r="AB538" i="15" s="1"/>
  <c r="G580" i="4" l="1"/>
  <c r="J580" i="4" s="1"/>
  <c r="K580" i="4" s="1"/>
  <c r="O579" i="4"/>
  <c r="E578" i="12"/>
  <c r="F578" i="12" s="1"/>
  <c r="H578" i="12" s="1"/>
  <c r="E580" i="4" l="1"/>
  <c r="H580" i="4" s="1"/>
  <c r="G581" i="4" s="1"/>
  <c r="J581" i="4" s="1"/>
  <c r="K581" i="4" s="1"/>
  <c r="I580" i="4" l="1"/>
  <c r="L580" i="4" s="1"/>
  <c r="E581" i="4"/>
  <c r="O580" i="4" l="1"/>
  <c r="AB546" i="15"/>
  <c r="E579" i="12"/>
  <c r="F579" i="12" s="1"/>
  <c r="H579" i="12" s="1"/>
  <c r="H581" i="4"/>
  <c r="I581" i="4" l="1"/>
  <c r="L581" i="4" s="1"/>
  <c r="AB548" i="15" s="1"/>
  <c r="G582" i="4"/>
  <c r="J582" i="4" s="1"/>
  <c r="K582" i="4" s="1"/>
  <c r="E582" i="4" l="1"/>
  <c r="O581" i="4"/>
  <c r="E580" i="12"/>
  <c r="F580" i="12" s="1"/>
  <c r="H580" i="12" s="1"/>
  <c r="H582" i="4" l="1"/>
  <c r="G583" i="4" l="1"/>
  <c r="J583" i="4" s="1"/>
  <c r="K583" i="4" s="1"/>
  <c r="I582" i="4"/>
  <c r="L582" i="4" s="1"/>
  <c r="AB551" i="15" s="1"/>
  <c r="E583" i="4" l="1"/>
  <c r="E581" i="12"/>
  <c r="F581" i="12" s="1"/>
  <c r="H581" i="12" s="1"/>
  <c r="O582" i="4"/>
  <c r="H583" i="4" l="1"/>
  <c r="I583" i="4" s="1"/>
  <c r="L583" i="4" s="1"/>
  <c r="AB552" i="15" s="1"/>
  <c r="G584" i="4" l="1"/>
  <c r="J584" i="4" s="1"/>
  <c r="K584" i="4" s="1"/>
  <c r="O583" i="4"/>
  <c r="E582" i="12"/>
  <c r="F582" i="12" s="1"/>
  <c r="H582" i="12" s="1"/>
  <c r="E584" i="4" l="1"/>
  <c r="H584" i="4" s="1"/>
  <c r="I584" i="4" s="1"/>
  <c r="L584" i="4" s="1"/>
  <c r="AB554" i="15" s="1"/>
  <c r="G585" i="4" l="1"/>
  <c r="J585" i="4" s="1"/>
  <c r="K585" i="4" s="1"/>
  <c r="O584" i="4"/>
  <c r="E583" i="12"/>
  <c r="F583" i="12" s="1"/>
  <c r="H583" i="12" s="1"/>
  <c r="E585" i="4" l="1"/>
  <c r="H585" i="4" s="1"/>
  <c r="G586" i="4" l="1"/>
  <c r="J586" i="4" s="1"/>
  <c r="K586" i="4" s="1"/>
  <c r="I585" i="4"/>
  <c r="L585" i="4" s="1"/>
  <c r="AB555" i="15" s="1"/>
  <c r="E584" i="12" l="1"/>
  <c r="F584" i="12" s="1"/>
  <c r="H584" i="12" s="1"/>
  <c r="O585" i="4"/>
  <c r="E586" i="4"/>
  <c r="H586" i="4" l="1"/>
  <c r="I586" i="4" l="1"/>
  <c r="L586" i="4" s="1"/>
  <c r="AB558" i="15" s="1"/>
  <c r="G587" i="4"/>
  <c r="J587" i="4" s="1"/>
  <c r="K587" i="4" s="1"/>
  <c r="E587" i="4" l="1"/>
  <c r="H587" i="4" s="1"/>
  <c r="O586" i="4"/>
  <c r="E585" i="12"/>
  <c r="F585" i="12" s="1"/>
  <c r="H585" i="12" s="1"/>
  <c r="G588" i="4" l="1"/>
  <c r="J588" i="4" s="1"/>
  <c r="K588" i="4" s="1"/>
  <c r="I587" i="4"/>
  <c r="L587" i="4" s="1"/>
  <c r="AB561" i="15" s="1"/>
  <c r="E588" i="4" l="1"/>
  <c r="H588" i="4" s="1"/>
  <c r="G589" i="4" s="1"/>
  <c r="O587" i="4"/>
  <c r="E586" i="12"/>
  <c r="F586" i="12" s="1"/>
  <c r="H586" i="12" s="1"/>
  <c r="I588" i="4" l="1"/>
  <c r="L588" i="4" s="1"/>
  <c r="J589" i="4"/>
  <c r="K589" i="4" s="1"/>
  <c r="E589" i="4"/>
  <c r="O588" i="4" l="1"/>
  <c r="AB563" i="15"/>
  <c r="E587" i="12"/>
  <c r="F587" i="12" s="1"/>
  <c r="H587" i="12" s="1"/>
  <c r="H589" i="4"/>
  <c r="I589" i="4" l="1"/>
  <c r="L589" i="4" s="1"/>
  <c r="AB539" i="15" s="1"/>
  <c r="G590" i="4"/>
  <c r="J590" i="4" s="1"/>
  <c r="K590" i="4" s="1"/>
  <c r="O589" i="4" l="1"/>
  <c r="E588" i="12"/>
  <c r="F588" i="12" s="1"/>
  <c r="H588" i="12" s="1"/>
  <c r="E590" i="4"/>
  <c r="H590" i="4" l="1"/>
  <c r="G591" i="4" l="1"/>
  <c r="I590" i="4"/>
  <c r="L590" i="4" s="1"/>
  <c r="AB562" i="15" s="1"/>
  <c r="O590" i="4" l="1"/>
  <c r="E589" i="12"/>
  <c r="F589" i="12" s="1"/>
  <c r="H589" i="12" s="1"/>
  <c r="J591" i="4"/>
  <c r="K591" i="4" s="1"/>
  <c r="E591" i="4"/>
  <c r="H591" i="4" l="1"/>
  <c r="I591" i="4" l="1"/>
  <c r="L591" i="4" s="1"/>
  <c r="AB565" i="15" s="1"/>
  <c r="G592" i="4"/>
  <c r="J592" i="4" l="1"/>
  <c r="K592" i="4" s="1"/>
  <c r="E592" i="4"/>
  <c r="E590" i="12"/>
  <c r="F590" i="12" s="1"/>
  <c r="H590" i="12" s="1"/>
  <c r="O591" i="4"/>
  <c r="H592" i="4" l="1"/>
  <c r="G593" i="4" l="1"/>
  <c r="I592" i="4"/>
  <c r="L592" i="4" s="1"/>
  <c r="AB572" i="15" s="1"/>
  <c r="O592" i="4" l="1"/>
  <c r="E591" i="12"/>
  <c r="F591" i="12" s="1"/>
  <c r="H591" i="12" s="1"/>
  <c r="J593" i="4"/>
  <c r="K593" i="4" s="1"/>
  <c r="E593" i="4"/>
  <c r="H593" i="4" l="1"/>
  <c r="I593" i="4" l="1"/>
  <c r="L593" i="4" s="1"/>
  <c r="AB575" i="15" s="1"/>
  <c r="G594" i="4"/>
  <c r="J594" i="4" l="1"/>
  <c r="K594" i="4" s="1"/>
  <c r="E594" i="4"/>
  <c r="O593" i="4"/>
  <c r="E592" i="12"/>
  <c r="F592" i="12" s="1"/>
  <c r="H592" i="12" s="1"/>
  <c r="H594" i="4" l="1"/>
  <c r="I594" i="4" l="1"/>
  <c r="L594" i="4" s="1"/>
  <c r="AB576" i="15" s="1"/>
  <c r="G595" i="4"/>
  <c r="J595" i="4" s="1"/>
  <c r="K595" i="4" s="1"/>
  <c r="E595" i="4" l="1"/>
  <c r="O594" i="4"/>
  <c r="E593" i="12"/>
  <c r="F593" i="12" s="1"/>
  <c r="H593" i="12" s="1"/>
  <c r="H595" i="4" l="1"/>
  <c r="I595" i="4" l="1"/>
  <c r="L595" i="4" s="1"/>
  <c r="AB578" i="15" s="1"/>
  <c r="G596" i="4"/>
  <c r="J596" i="4" l="1"/>
  <c r="K596" i="4" s="1"/>
  <c r="E596" i="4"/>
  <c r="E594" i="12"/>
  <c r="F594" i="12" s="1"/>
  <c r="H594" i="12" s="1"/>
  <c r="O595" i="4"/>
  <c r="H596" i="4" l="1"/>
  <c r="I596" i="4" l="1"/>
  <c r="L596" i="4" s="1"/>
  <c r="AB579" i="15" s="1"/>
  <c r="G597" i="4"/>
  <c r="J597" i="4" l="1"/>
  <c r="K597" i="4" s="1"/>
  <c r="E597" i="4"/>
  <c r="O596" i="4"/>
  <c r="E595" i="12"/>
  <c r="F595" i="12" s="1"/>
  <c r="H595" i="12" s="1"/>
  <c r="H597" i="4" l="1"/>
  <c r="I597" i="4" l="1"/>
  <c r="L597" i="4" s="1"/>
  <c r="AB582" i="15" s="1"/>
  <c r="G598" i="4"/>
  <c r="O597" i="4" l="1"/>
  <c r="E596" i="12"/>
  <c r="F596" i="12" s="1"/>
  <c r="H596" i="12" s="1"/>
  <c r="J598" i="4"/>
  <c r="K598" i="4" s="1"/>
  <c r="E598" i="4"/>
  <c r="H598" i="4" l="1"/>
  <c r="I598" i="4" l="1"/>
  <c r="L598" i="4" s="1"/>
  <c r="AB585" i="15" s="1"/>
  <c r="G599" i="4"/>
  <c r="J599" i="4" s="1"/>
  <c r="K599" i="4" s="1"/>
  <c r="E599" i="4" l="1"/>
  <c r="E597" i="12"/>
  <c r="F597" i="12" s="1"/>
  <c r="H597" i="12" s="1"/>
  <c r="O598" i="4"/>
  <c r="H599" i="4" l="1"/>
  <c r="G600" i="4" l="1"/>
  <c r="J600" i="4" s="1"/>
  <c r="K600" i="4" s="1"/>
  <c r="I599" i="4"/>
  <c r="L599" i="4" s="1"/>
  <c r="AB587" i="15" s="1"/>
  <c r="E600" i="4" l="1"/>
  <c r="O599" i="4"/>
  <c r="E598" i="12"/>
  <c r="F598" i="12" s="1"/>
  <c r="H598" i="12" s="1"/>
  <c r="H600" i="4" l="1"/>
  <c r="G601" i="4" l="1"/>
  <c r="J601" i="4" s="1"/>
  <c r="K601" i="4" s="1"/>
  <c r="I600" i="4"/>
  <c r="L600" i="4" s="1"/>
  <c r="AB547" i="15" s="1"/>
  <c r="E601" i="4" l="1"/>
  <c r="O600" i="4"/>
  <c r="E599" i="12"/>
  <c r="F599" i="12" s="1"/>
  <c r="H599" i="12" s="1"/>
  <c r="H601" i="4" l="1"/>
  <c r="I601" i="4" l="1"/>
  <c r="L601" i="4" s="1"/>
  <c r="AB583" i="15" s="1"/>
  <c r="G602" i="4"/>
  <c r="J602" i="4" s="1"/>
  <c r="K602" i="4" s="1"/>
  <c r="E600" i="12" l="1"/>
  <c r="F600" i="12" s="1"/>
  <c r="H600" i="12" s="1"/>
  <c r="O601" i="4"/>
  <c r="E602" i="4"/>
  <c r="H602" i="4" l="1"/>
  <c r="I602" i="4" l="1"/>
  <c r="L602" i="4" s="1"/>
  <c r="AB591" i="15" s="1"/>
  <c r="G603" i="4"/>
  <c r="J603" i="4" s="1"/>
  <c r="E603" i="4" l="1"/>
  <c r="H603" i="4" s="1"/>
  <c r="K603" i="4"/>
  <c r="O602" i="4"/>
  <c r="E601" i="12"/>
  <c r="F601" i="12" s="1"/>
  <c r="H601" i="12" s="1"/>
  <c r="G604" i="4" l="1"/>
  <c r="J604" i="4" s="1"/>
  <c r="K604" i="4" s="1"/>
  <c r="I603" i="4"/>
  <c r="L603" i="4" s="1"/>
  <c r="AB593" i="15" s="1"/>
  <c r="E604" i="4" l="1"/>
  <c r="O603" i="4"/>
  <c r="E602" i="12"/>
  <c r="F602" i="12" s="1"/>
  <c r="H602" i="12" s="1"/>
  <c r="H604" i="4" l="1"/>
  <c r="G605" i="4" l="1"/>
  <c r="J605" i="4" s="1"/>
  <c r="I604" i="4"/>
  <c r="L604" i="4" s="1"/>
  <c r="AB595" i="15" s="1"/>
  <c r="K605" i="4" l="1"/>
  <c r="E605" i="4"/>
  <c r="O604" i="4"/>
  <c r="E603" i="12"/>
  <c r="F603" i="12" s="1"/>
  <c r="H603" i="12" s="1"/>
  <c r="H605" i="4" l="1"/>
  <c r="G606" i="4" l="1"/>
  <c r="J606" i="4" s="1"/>
  <c r="K606" i="4" s="1"/>
  <c r="I605" i="4"/>
  <c r="L605" i="4" s="1"/>
  <c r="AB597" i="15" s="1"/>
  <c r="E606" i="4" l="1"/>
  <c r="O605" i="4"/>
  <c r="E604" i="12"/>
  <c r="F604" i="12" s="1"/>
  <c r="H604" i="12" s="1"/>
  <c r="H606" i="4" l="1"/>
  <c r="G607" i="4" l="1"/>
  <c r="J607" i="4" s="1"/>
  <c r="I606" i="4"/>
  <c r="L606" i="4" s="1"/>
  <c r="AB601" i="15" s="1"/>
  <c r="E605" i="12" l="1"/>
  <c r="F605" i="12" s="1"/>
  <c r="H605" i="12" s="1"/>
  <c r="O606" i="4"/>
  <c r="E607" i="4"/>
  <c r="K607" i="4"/>
  <c r="H607" i="4" l="1"/>
  <c r="G608" i="4" l="1"/>
  <c r="J608" i="4" s="1"/>
  <c r="I607" i="4"/>
  <c r="L607" i="4" s="1"/>
  <c r="AB604" i="15" s="1"/>
  <c r="E608" i="4" l="1"/>
  <c r="K608" i="4"/>
  <c r="E606" i="12"/>
  <c r="F606" i="12" s="1"/>
  <c r="H606" i="12" s="1"/>
  <c r="O607" i="4"/>
  <c r="H608" i="4" l="1"/>
  <c r="I608" i="4" l="1"/>
  <c r="L608" i="4" s="1"/>
  <c r="AB606" i="15" s="1"/>
  <c r="G609" i="4"/>
  <c r="J609" i="4" s="1"/>
  <c r="E609" i="4" l="1"/>
  <c r="K609" i="4"/>
  <c r="E607" i="12"/>
  <c r="F607" i="12" s="1"/>
  <c r="H607" i="12" s="1"/>
  <c r="O608" i="4"/>
  <c r="H609" i="4" l="1"/>
  <c r="G610" i="4" l="1"/>
  <c r="J610" i="4" s="1"/>
  <c r="K610" i="4" s="1"/>
  <c r="I609" i="4"/>
  <c r="L609" i="4" s="1"/>
  <c r="AB608" i="15" s="1"/>
  <c r="O609" i="4" l="1"/>
  <c r="E608" i="12"/>
  <c r="F608" i="12" s="1"/>
  <c r="H608" i="12" s="1"/>
  <c r="E610" i="4"/>
  <c r="H610" i="4" l="1"/>
  <c r="I610" i="4" l="1"/>
  <c r="L610" i="4" s="1"/>
  <c r="AB610" i="15" s="1"/>
  <c r="G611" i="4"/>
  <c r="J611" i="4" s="1"/>
  <c r="K611" i="4" s="1"/>
  <c r="E609" i="12" l="1"/>
  <c r="F609" i="12" s="1"/>
  <c r="H609" i="12" s="1"/>
  <c r="O610" i="4"/>
  <c r="E611" i="4"/>
  <c r="H611" i="4" l="1"/>
  <c r="I611" i="4" l="1"/>
  <c r="L611" i="4" s="1"/>
  <c r="AB612" i="15" s="1"/>
  <c r="G612" i="4"/>
  <c r="J612" i="4" s="1"/>
  <c r="K612" i="4" s="1"/>
  <c r="O611" i="4" l="1"/>
  <c r="E610" i="12"/>
  <c r="F610" i="12" s="1"/>
  <c r="H610" i="12" s="1"/>
  <c r="E612" i="4"/>
  <c r="H612" i="4" l="1"/>
  <c r="G613" i="4" l="1"/>
  <c r="J613" i="4" s="1"/>
  <c r="K613" i="4" s="1"/>
  <c r="I612" i="4"/>
  <c r="L612" i="4" s="1"/>
  <c r="AB614" i="15" s="1"/>
  <c r="E613" i="4" l="1"/>
  <c r="O612" i="4"/>
  <c r="E611" i="12"/>
  <c r="F611" i="12" s="1"/>
  <c r="H611" i="12" s="1"/>
  <c r="H613" i="4" l="1"/>
  <c r="I613" i="4" s="1"/>
  <c r="L613" i="4" s="1"/>
  <c r="AB616" i="15" s="1"/>
  <c r="G614" i="4" l="1"/>
  <c r="J614" i="4" s="1"/>
  <c r="K614" i="4" s="1"/>
  <c r="E612" i="12"/>
  <c r="F612" i="12" s="1"/>
  <c r="H612" i="12" s="1"/>
  <c r="O613" i="4"/>
  <c r="E614" i="4" l="1"/>
  <c r="H614" i="4" s="1"/>
  <c r="G615" i="4" l="1"/>
  <c r="J615" i="4" s="1"/>
  <c r="K615" i="4" s="1"/>
  <c r="I614" i="4"/>
  <c r="L614" i="4" s="1"/>
  <c r="AB618" i="15" s="1"/>
  <c r="E613" i="12" l="1"/>
  <c r="F613" i="12" s="1"/>
  <c r="H613" i="12" s="1"/>
  <c r="O614" i="4"/>
  <c r="E615" i="4"/>
  <c r="H615" i="4" l="1"/>
  <c r="G616" i="4" l="1"/>
  <c r="J616" i="4" s="1"/>
  <c r="K616" i="4" s="1"/>
  <c r="I615" i="4"/>
  <c r="L615" i="4" s="1"/>
  <c r="AB620" i="15" s="1"/>
  <c r="E616" i="4" l="1"/>
  <c r="O615" i="4"/>
  <c r="E614" i="12"/>
  <c r="F614" i="12" s="1"/>
  <c r="H614" i="12" s="1"/>
  <c r="H616" i="4" l="1"/>
  <c r="I616" i="4" s="1"/>
  <c r="L616" i="4" s="1"/>
  <c r="AB622" i="15" s="1"/>
  <c r="G617" i="4" l="1"/>
  <c r="J617" i="4" s="1"/>
  <c r="K617" i="4" s="1"/>
  <c r="O616" i="4"/>
  <c r="E615" i="12"/>
  <c r="F615" i="12" s="1"/>
  <c r="H615" i="12" s="1"/>
  <c r="E617" i="4" l="1"/>
  <c r="H617" i="4" l="1"/>
  <c r="I617" i="4" s="1"/>
  <c r="L617" i="4" s="1"/>
  <c r="AB624" i="15" s="1"/>
  <c r="G618" i="4" l="1"/>
  <c r="J618" i="4" s="1"/>
  <c r="K618" i="4" s="1"/>
  <c r="O617" i="4"/>
  <c r="E616" i="12"/>
  <c r="F616" i="12" s="1"/>
  <c r="H616" i="12" s="1"/>
  <c r="E618" i="4" l="1"/>
  <c r="H618" i="4" s="1"/>
  <c r="I618" i="4" l="1"/>
  <c r="L618" i="4" s="1"/>
  <c r="AB626" i="15" s="1"/>
  <c r="G619" i="4"/>
  <c r="J619" i="4" s="1"/>
  <c r="E619" i="4" l="1"/>
  <c r="K619" i="4"/>
  <c r="O618" i="4"/>
  <c r="E617" i="12"/>
  <c r="F617" i="12" s="1"/>
  <c r="H617" i="12" s="1"/>
  <c r="H619" i="4" l="1"/>
  <c r="I619" i="4" s="1"/>
  <c r="L619" i="4" s="1"/>
  <c r="AB628" i="15" s="1"/>
  <c r="G620" i="4" l="1"/>
  <c r="J620" i="4" s="1"/>
  <c r="K620" i="4" s="1"/>
  <c r="O619" i="4"/>
  <c r="E618" i="12"/>
  <c r="F618" i="12" s="1"/>
  <c r="H618" i="12" s="1"/>
  <c r="E620" i="4" l="1"/>
  <c r="H620" i="4" s="1"/>
  <c r="G621" i="4" s="1"/>
  <c r="J621" i="4" s="1"/>
  <c r="K621" i="4" s="1"/>
  <c r="I620" i="4" l="1"/>
  <c r="L620" i="4" s="1"/>
  <c r="E621" i="4"/>
  <c r="O620" i="4" l="1"/>
  <c r="AB630" i="15"/>
  <c r="E619" i="12"/>
  <c r="F619" i="12" s="1"/>
  <c r="H619" i="12" s="1"/>
  <c r="H621" i="4"/>
  <c r="I621" i="4" l="1"/>
  <c r="L621" i="4" s="1"/>
  <c r="AB632" i="15" s="1"/>
  <c r="G622" i="4"/>
  <c r="J622" i="4" s="1"/>
  <c r="K622" i="4" s="1"/>
  <c r="E620" i="12" l="1"/>
  <c r="F620" i="12" s="1"/>
  <c r="H620" i="12" s="1"/>
  <c r="O621" i="4"/>
  <c r="E622" i="4"/>
  <c r="H622" i="4" l="1"/>
  <c r="G623" i="4" l="1"/>
  <c r="J623" i="4" s="1"/>
  <c r="K623" i="4" s="1"/>
  <c r="I622" i="4"/>
  <c r="L622" i="4" s="1"/>
  <c r="AB634" i="15" s="1"/>
  <c r="E623" i="4" l="1"/>
  <c r="H623" i="4" s="1"/>
  <c r="E621" i="12"/>
  <c r="F621" i="12" s="1"/>
  <c r="H621" i="12" s="1"/>
  <c r="O622" i="4"/>
  <c r="G624" i="4" l="1"/>
  <c r="J624" i="4" s="1"/>
  <c r="K624" i="4" s="1"/>
  <c r="I623" i="4"/>
  <c r="L623" i="4" s="1"/>
  <c r="AB636" i="15" s="1"/>
  <c r="O623" i="4" l="1"/>
  <c r="E622" i="12"/>
  <c r="F622" i="12" s="1"/>
  <c r="H622" i="12" s="1"/>
  <c r="E624" i="4"/>
  <c r="H624" i="4" l="1"/>
  <c r="G625" i="4" l="1"/>
  <c r="J625" i="4" s="1"/>
  <c r="K625" i="4" s="1"/>
  <c r="I624" i="4"/>
  <c r="L624" i="4" s="1"/>
  <c r="AB640" i="15" s="1"/>
  <c r="E625" i="4" l="1"/>
  <c r="E623" i="12"/>
  <c r="F623" i="12" s="1"/>
  <c r="H623" i="12" s="1"/>
  <c r="O624" i="4"/>
  <c r="H625" i="4" l="1"/>
  <c r="G626" i="4" l="1"/>
  <c r="J626" i="4" s="1"/>
  <c r="K626" i="4" s="1"/>
  <c r="I625" i="4"/>
  <c r="L625" i="4" s="1"/>
  <c r="AB643" i="15" s="1"/>
  <c r="E624" i="12" l="1"/>
  <c r="F624" i="12" s="1"/>
  <c r="H624" i="12" s="1"/>
  <c r="O625" i="4"/>
  <c r="E626" i="4"/>
  <c r="H626" i="4" l="1"/>
  <c r="G627" i="4" l="1"/>
  <c r="J627" i="4" s="1"/>
  <c r="K627" i="4" s="1"/>
  <c r="I626" i="4"/>
  <c r="L626" i="4" s="1"/>
  <c r="AB646" i="15" s="1"/>
  <c r="E627" i="4" l="1"/>
  <c r="H627" i="4" s="1"/>
  <c r="O626" i="4"/>
  <c r="E625" i="12"/>
  <c r="F625" i="12" s="1"/>
  <c r="H625" i="12" s="1"/>
  <c r="G628" i="4" l="1"/>
  <c r="J628" i="4" s="1"/>
  <c r="K628" i="4" s="1"/>
  <c r="I627" i="4"/>
  <c r="L627" i="4" s="1"/>
  <c r="AB648" i="15" s="1"/>
  <c r="E628" i="4" l="1"/>
  <c r="E626" i="12"/>
  <c r="F626" i="12" s="1"/>
  <c r="H626" i="12" s="1"/>
  <c r="O627" i="4"/>
  <c r="H628" i="4" l="1"/>
  <c r="I628" i="4" l="1"/>
  <c r="L628" i="4" s="1"/>
  <c r="AB651" i="15" s="1"/>
  <c r="G629" i="4"/>
  <c r="J629" i="4" s="1"/>
  <c r="K629" i="4" s="1"/>
  <c r="E629" i="4" l="1"/>
  <c r="O628" i="4"/>
  <c r="E627" i="12"/>
  <c r="F627" i="12" s="1"/>
  <c r="H627" i="12" s="1"/>
  <c r="H629" i="4" l="1"/>
  <c r="I629" i="4" s="1"/>
  <c r="L629" i="4" s="1"/>
  <c r="O629" i="4" l="1"/>
  <c r="AB649" i="15"/>
  <c r="E628" i="12"/>
  <c r="F628" i="12" s="1"/>
  <c r="H628" i="12" s="1"/>
  <c r="G630" i="4"/>
  <c r="J630" i="4" s="1"/>
  <c r="K630" i="4" s="1"/>
  <c r="E630" i="4" l="1"/>
  <c r="H630" i="4" s="1"/>
  <c r="I630" i="4" l="1"/>
  <c r="L630" i="4" s="1"/>
  <c r="AB654" i="15" s="1"/>
  <c r="G631" i="4"/>
  <c r="E631" i="4" l="1"/>
  <c r="J631" i="4"/>
  <c r="K631" i="4" s="1"/>
  <c r="E629" i="12"/>
  <c r="F629" i="12" s="1"/>
  <c r="H629" i="12" s="1"/>
  <c r="O630" i="4"/>
  <c r="H631" i="4" l="1"/>
  <c r="I631" i="4" l="1"/>
  <c r="L631" i="4" s="1"/>
  <c r="AB658" i="15" s="1"/>
  <c r="G632" i="4"/>
  <c r="J632" i="4" s="1"/>
  <c r="K632" i="4" s="1"/>
  <c r="E632" i="4" l="1"/>
  <c r="O631" i="4"/>
  <c r="E630" i="12"/>
  <c r="F630" i="12" s="1"/>
  <c r="H630" i="12" s="1"/>
  <c r="H632" i="4" l="1"/>
  <c r="G633" i="4" l="1"/>
  <c r="I632" i="4"/>
  <c r="L632" i="4" s="1"/>
  <c r="AB660" i="15" s="1"/>
  <c r="O632" i="4" l="1"/>
  <c r="E631" i="12"/>
  <c r="F631" i="12" s="1"/>
  <c r="H631" i="12" s="1"/>
  <c r="E633" i="4"/>
  <c r="J633" i="4"/>
  <c r="K633" i="4" s="1"/>
  <c r="H633" i="4" l="1"/>
  <c r="I633" i="4" l="1"/>
  <c r="L633" i="4" s="1"/>
  <c r="AB663" i="15" s="1"/>
  <c r="G634" i="4"/>
  <c r="J634" i="4" s="1"/>
  <c r="K634" i="4" s="1"/>
  <c r="E634" i="4" l="1"/>
  <c r="E632" i="12"/>
  <c r="F632" i="12" s="1"/>
  <c r="H632" i="12" s="1"/>
  <c r="O633" i="4"/>
  <c r="H634" i="4" l="1"/>
  <c r="I634" i="4" s="1"/>
  <c r="L634" i="4" s="1"/>
  <c r="AB666" i="15" s="1"/>
  <c r="G635" i="4" l="1"/>
  <c r="J635" i="4" s="1"/>
  <c r="K635" i="4" s="1"/>
  <c r="O634" i="4"/>
  <c r="E633" i="12"/>
  <c r="F633" i="12" s="1"/>
  <c r="H633" i="12" s="1"/>
  <c r="E635" i="4" l="1"/>
  <c r="H635" i="4" s="1"/>
  <c r="G636" i="4" l="1"/>
  <c r="J636" i="4" s="1"/>
  <c r="K636" i="4" s="1"/>
  <c r="I635" i="4"/>
  <c r="L635" i="4" s="1"/>
  <c r="AB669" i="15" s="1"/>
  <c r="E636" i="4" l="1"/>
  <c r="H636" i="4" s="1"/>
  <c r="O635" i="4"/>
  <c r="E634" i="12"/>
  <c r="F634" i="12" s="1"/>
  <c r="H634" i="12" s="1"/>
  <c r="G637" i="4" l="1"/>
  <c r="J637" i="4" s="1"/>
  <c r="K637" i="4" s="1"/>
  <c r="I636" i="4"/>
  <c r="L636" i="4" s="1"/>
  <c r="AB672" i="15" s="1"/>
  <c r="E637" i="4" l="1"/>
  <c r="E635" i="12"/>
  <c r="F635" i="12" s="1"/>
  <c r="H635" i="12" s="1"/>
  <c r="O636" i="4"/>
  <c r="H637" i="4" l="1"/>
  <c r="I637" i="4" l="1"/>
  <c r="L637" i="4" s="1"/>
  <c r="AB676" i="15" s="1"/>
  <c r="G638" i="4"/>
  <c r="J638" i="4" l="1"/>
  <c r="K638" i="4" s="1"/>
  <c r="E638" i="4"/>
  <c r="E636" i="12"/>
  <c r="F636" i="12" s="1"/>
  <c r="H636" i="12" s="1"/>
  <c r="O637" i="4"/>
  <c r="H638" i="4" l="1"/>
  <c r="G639" i="4" l="1"/>
  <c r="I638" i="4"/>
  <c r="L638" i="4" s="1"/>
  <c r="AB657" i="15" s="1"/>
  <c r="O638" i="4" l="1"/>
  <c r="E637" i="12"/>
  <c r="F637" i="12" s="1"/>
  <c r="H637" i="12" s="1"/>
  <c r="J639" i="4"/>
  <c r="K639" i="4" s="1"/>
  <c r="E639" i="4"/>
  <c r="H639" i="4" l="1"/>
  <c r="I639" i="4" l="1"/>
  <c r="L639" i="4" s="1"/>
  <c r="AB571" i="15" s="1"/>
  <c r="G640" i="4"/>
  <c r="J640" i="4" l="1"/>
  <c r="K640" i="4" s="1"/>
  <c r="E640" i="4"/>
  <c r="O639" i="4"/>
  <c r="E638" i="12"/>
  <c r="F638" i="12" s="1"/>
  <c r="H638" i="12" s="1"/>
  <c r="H640" i="4" l="1"/>
  <c r="G641" i="4" l="1"/>
  <c r="J641" i="4" s="1"/>
  <c r="K641" i="4" s="1"/>
  <c r="I640" i="4"/>
  <c r="L640" i="4" s="1"/>
  <c r="AB639" i="15" s="1"/>
  <c r="E639" i="12" l="1"/>
  <c r="F639" i="12" s="1"/>
  <c r="H639" i="12" s="1"/>
  <c r="O640" i="4"/>
  <c r="E641" i="4"/>
  <c r="H641" i="4" l="1"/>
  <c r="G642" i="4" l="1"/>
  <c r="J642" i="4" s="1"/>
  <c r="K642" i="4" s="1"/>
  <c r="I641" i="4"/>
  <c r="L641" i="4" s="1"/>
  <c r="AB678" i="15" s="1"/>
  <c r="O641" i="4" l="1"/>
  <c r="E640" i="12"/>
  <c r="F640" i="12" s="1"/>
  <c r="H640" i="12" s="1"/>
  <c r="E642" i="4"/>
  <c r="H642" i="4" l="1"/>
  <c r="I642" i="4" l="1"/>
  <c r="L642" i="4" s="1"/>
  <c r="AB682" i="15" s="1"/>
  <c r="G643" i="4"/>
  <c r="J643" i="4" s="1"/>
  <c r="K643" i="4" s="1"/>
  <c r="E643" i="4" l="1"/>
  <c r="E641" i="12"/>
  <c r="F641" i="12" s="1"/>
  <c r="H641" i="12" s="1"/>
  <c r="O642" i="4"/>
  <c r="H643" i="4" l="1"/>
  <c r="I643" i="4" s="1"/>
  <c r="L643" i="4" s="1"/>
  <c r="AB683" i="15" s="1"/>
  <c r="G644" i="4" l="1"/>
  <c r="J644" i="4" s="1"/>
  <c r="K644" i="4" s="1"/>
  <c r="E642" i="12"/>
  <c r="F642" i="12" s="1"/>
  <c r="H642" i="12" s="1"/>
  <c r="O643" i="4"/>
  <c r="E644" i="4" l="1"/>
  <c r="H644" i="4" s="1"/>
  <c r="G645" i="4" s="1"/>
  <c r="J645" i="4" s="1"/>
  <c r="K645" i="4" s="1"/>
  <c r="I644" i="4" l="1"/>
  <c r="L644" i="4" s="1"/>
  <c r="E645" i="4"/>
  <c r="E643" i="12" l="1"/>
  <c r="F643" i="12" s="1"/>
  <c r="H643" i="12" s="1"/>
  <c r="AB684" i="15"/>
  <c r="O644" i="4"/>
  <c r="H645" i="4"/>
  <c r="I645" i="4" s="1"/>
  <c r="L645" i="4" s="1"/>
  <c r="AB686" i="15" s="1"/>
  <c r="G646" i="4" l="1"/>
  <c r="J646" i="4" s="1"/>
  <c r="K646" i="4" s="1"/>
  <c r="O645" i="4"/>
  <c r="E644" i="12"/>
  <c r="F644" i="12" s="1"/>
  <c r="H644" i="12" s="1"/>
  <c r="E646" i="4" l="1"/>
  <c r="H646" i="4" s="1"/>
  <c r="G647" i="4" l="1"/>
  <c r="I646" i="4"/>
  <c r="L646" i="4" s="1"/>
  <c r="AB688" i="15" s="1"/>
  <c r="E645" i="12" l="1"/>
  <c r="F645" i="12" s="1"/>
  <c r="H645" i="12" s="1"/>
  <c r="O646" i="4"/>
  <c r="J647" i="4"/>
  <c r="K647" i="4" s="1"/>
  <c r="E647" i="4"/>
  <c r="H647" i="4" l="1"/>
  <c r="G648" i="4" l="1"/>
  <c r="I647" i="4"/>
  <c r="L647" i="4" s="1"/>
  <c r="AB690" i="15" s="1"/>
  <c r="O647" i="4" l="1"/>
  <c r="E646" i="12"/>
  <c r="F646" i="12" s="1"/>
  <c r="H646" i="12" s="1"/>
  <c r="E648" i="4"/>
  <c r="J648" i="4"/>
  <c r="K648" i="4" s="1"/>
  <c r="H648" i="4" l="1"/>
  <c r="I648" i="4" l="1"/>
  <c r="L648" i="4" s="1"/>
  <c r="AB692" i="15" s="1"/>
  <c r="G649" i="4"/>
  <c r="J649" i="4" l="1"/>
  <c r="K649" i="4" s="1"/>
  <c r="E649" i="4"/>
  <c r="O648" i="4"/>
  <c r="E647" i="12"/>
  <c r="F647" i="12" s="1"/>
  <c r="H647" i="12" s="1"/>
  <c r="H649" i="4" l="1"/>
  <c r="I649" i="4" l="1"/>
  <c r="L649" i="4" s="1"/>
  <c r="AB694" i="15" s="1"/>
  <c r="G650" i="4"/>
  <c r="J650" i="4" l="1"/>
  <c r="K650" i="4" s="1"/>
  <c r="E650" i="4"/>
  <c r="O649" i="4"/>
  <c r="E648" i="12"/>
  <c r="F648" i="12" s="1"/>
  <c r="H648" i="12" s="1"/>
  <c r="H650" i="4" l="1"/>
  <c r="G651" i="4" l="1"/>
  <c r="J651" i="4" s="1"/>
  <c r="K651" i="4" s="1"/>
  <c r="I650" i="4"/>
  <c r="L650" i="4" s="1"/>
  <c r="AB696" i="15" s="1"/>
  <c r="E651" i="4" l="1"/>
  <c r="E649" i="12"/>
  <c r="F649" i="12" s="1"/>
  <c r="H649" i="12" s="1"/>
  <c r="O650" i="4"/>
  <c r="H651" i="4" l="1"/>
  <c r="I651" i="4" l="1"/>
  <c r="L651" i="4" s="1"/>
  <c r="AB699" i="15" s="1"/>
  <c r="G652" i="4"/>
  <c r="J652" i="4" s="1"/>
  <c r="K652" i="4" s="1"/>
  <c r="E652" i="4" l="1"/>
  <c r="E650" i="12"/>
  <c r="F650" i="12" s="1"/>
  <c r="H650" i="12" s="1"/>
  <c r="O651" i="4"/>
  <c r="H652" i="4" l="1"/>
  <c r="G653" i="4" l="1"/>
  <c r="J653" i="4" s="1"/>
  <c r="K653" i="4" s="1"/>
  <c r="I652" i="4"/>
  <c r="L652" i="4" s="1"/>
  <c r="AB701" i="15" s="1"/>
  <c r="E653" i="4" l="1"/>
  <c r="H653" i="4" s="1"/>
  <c r="I653" i="4" s="1"/>
  <c r="L653" i="4" s="1"/>
  <c r="AB704" i="15" s="1"/>
  <c r="O652" i="4"/>
  <c r="E651" i="12"/>
  <c r="F651" i="12" s="1"/>
  <c r="H651" i="12" s="1"/>
  <c r="G654" i="4" l="1"/>
  <c r="J654" i="4" s="1"/>
  <c r="K654" i="4" s="1"/>
  <c r="O653" i="4"/>
  <c r="E652" i="12"/>
  <c r="F652" i="12" s="1"/>
  <c r="H652" i="12" s="1"/>
  <c r="E654" i="4" l="1"/>
  <c r="H654" i="4" s="1"/>
  <c r="I654" i="4" l="1"/>
  <c r="L654" i="4" s="1"/>
  <c r="AB667" i="15" s="1"/>
  <c r="G655" i="4"/>
  <c r="J655" i="4" l="1"/>
  <c r="K655" i="4" s="1"/>
  <c r="E655" i="4"/>
  <c r="H655" i="4" s="1"/>
  <c r="G656" i="4" s="1"/>
  <c r="E653" i="12"/>
  <c r="F653" i="12" s="1"/>
  <c r="H653" i="12" s="1"/>
  <c r="O654" i="4"/>
  <c r="J656" i="4" l="1"/>
  <c r="K656" i="4" s="1"/>
  <c r="I655" i="4"/>
  <c r="L655" i="4" s="1"/>
  <c r="E656" i="4"/>
  <c r="O655" i="4" l="1"/>
  <c r="AB697" i="15"/>
  <c r="H656" i="4"/>
  <c r="I656" i="4" s="1"/>
  <c r="L656" i="4" s="1"/>
  <c r="E654" i="12"/>
  <c r="F654" i="12" s="1"/>
  <c r="H654" i="12" s="1"/>
  <c r="E655" i="12" l="1"/>
  <c r="F655" i="12" s="1"/>
  <c r="H655" i="12" s="1"/>
  <c r="AB507" i="15"/>
  <c r="G657" i="4"/>
  <c r="J657" i="4" s="1"/>
  <c r="K657" i="4" s="1"/>
  <c r="O656" i="4"/>
  <c r="E657" i="4" l="1"/>
  <c r="H657" i="4" s="1"/>
  <c r="G658" i="4" s="1"/>
  <c r="J658" i="4" s="1"/>
  <c r="K658" i="4" s="1"/>
  <c r="I657" i="4" l="1"/>
  <c r="L657" i="4" s="1"/>
  <c r="E658" i="4"/>
  <c r="O657" i="4" l="1"/>
  <c r="AB540" i="15"/>
  <c r="E656" i="12"/>
  <c r="F656" i="12" s="1"/>
  <c r="H656" i="12" s="1"/>
  <c r="H658" i="4"/>
  <c r="G659" i="4" s="1"/>
  <c r="J659" i="4" s="1"/>
  <c r="E659" i="4" l="1"/>
  <c r="I658" i="4"/>
  <c r="L658" i="4" s="1"/>
  <c r="K659" i="4"/>
  <c r="O658" i="4" l="1"/>
  <c r="AB27" i="15"/>
  <c r="E657" i="12"/>
  <c r="F657" i="12" s="1"/>
  <c r="H657" i="12" s="1"/>
  <c r="H659" i="4"/>
  <c r="G660" i="4" l="1"/>
  <c r="J660" i="4" s="1"/>
  <c r="K660" i="4" s="1"/>
  <c r="I659" i="4"/>
  <c r="L659" i="4" s="1"/>
  <c r="E658" i="12" l="1"/>
  <c r="F658" i="12" s="1"/>
  <c r="H658" i="12" s="1"/>
  <c r="AB289" i="15"/>
  <c r="O659" i="4"/>
  <c r="E660" i="4"/>
  <c r="H660" i="4" l="1"/>
  <c r="I660" i="4" l="1"/>
  <c r="L660" i="4" s="1"/>
  <c r="AB62" i="15" s="1"/>
  <c r="G661" i="4"/>
  <c r="J661" i="4" s="1"/>
  <c r="K661" i="4" s="1"/>
  <c r="E661" i="4" l="1"/>
  <c r="E659" i="12"/>
  <c r="F659" i="12" s="1"/>
  <c r="H659" i="12" s="1"/>
  <c r="O660" i="4"/>
  <c r="H661" i="4" l="1"/>
  <c r="I661" i="4" s="1"/>
  <c r="L661" i="4" s="1"/>
  <c r="AB236" i="15" s="1"/>
  <c r="G662" i="4" l="1"/>
  <c r="J662" i="4" s="1"/>
  <c r="K662" i="4" s="1"/>
  <c r="E660" i="12"/>
  <c r="F660" i="12" s="1"/>
  <c r="H660" i="12" s="1"/>
  <c r="O661" i="4"/>
  <c r="E662" i="4" l="1"/>
  <c r="H662" i="4" l="1"/>
  <c r="I662" i="4" s="1"/>
  <c r="L662" i="4" s="1"/>
  <c r="AB264" i="15" s="1"/>
  <c r="G663" i="4" l="1"/>
  <c r="J663" i="4" s="1"/>
  <c r="K663" i="4" s="1"/>
  <c r="E661" i="12"/>
  <c r="F661" i="12" s="1"/>
  <c r="H661" i="12" s="1"/>
  <c r="O662" i="4"/>
  <c r="E663" i="4" l="1"/>
  <c r="H663" i="4" l="1"/>
  <c r="G664" i="4" s="1"/>
  <c r="J664" i="4" s="1"/>
  <c r="K664" i="4" s="1"/>
  <c r="I663" i="4" l="1"/>
  <c r="L663" i="4" s="1"/>
  <c r="E664" i="4"/>
  <c r="O663" i="4" l="1"/>
  <c r="AB151" i="15"/>
  <c r="H664" i="4"/>
  <c r="I664" i="4" s="1"/>
  <c r="L664" i="4" s="1"/>
  <c r="E662" i="12"/>
  <c r="F662" i="12" s="1"/>
  <c r="H662" i="12" s="1"/>
  <c r="O664" i="4" l="1"/>
  <c r="AB219" i="15"/>
  <c r="E663" i="12"/>
  <c r="F663" i="12" s="1"/>
  <c r="H663" i="12" s="1"/>
  <c r="G665" i="4"/>
  <c r="J665" i="4" s="1"/>
  <c r="K665" i="4" s="1"/>
  <c r="E665" i="4" l="1"/>
  <c r="H665" i="4" s="1"/>
  <c r="G666" i="4" s="1"/>
  <c r="J666" i="4" s="1"/>
  <c r="K666" i="4" s="1"/>
  <c r="I665" i="4" l="1"/>
  <c r="L665" i="4" s="1"/>
  <c r="E666" i="4"/>
  <c r="E664" i="12" l="1"/>
  <c r="F664" i="12" s="1"/>
  <c r="H664" i="12" s="1"/>
  <c r="AB245" i="15"/>
  <c r="O665" i="4"/>
  <c r="H666" i="4"/>
  <c r="I666" i="4" s="1"/>
  <c r="L666" i="4" s="1"/>
  <c r="AB252" i="15" s="1"/>
  <c r="G667" i="4" l="1"/>
  <c r="J667" i="4" s="1"/>
  <c r="K667" i="4" s="1"/>
  <c r="E665" i="12"/>
  <c r="F665" i="12" s="1"/>
  <c r="H665" i="12" s="1"/>
  <c r="O666" i="4"/>
  <c r="E667" i="4" l="1"/>
  <c r="H667" i="4" s="1"/>
  <c r="G668" i="4" l="1"/>
  <c r="J668" i="4" s="1"/>
  <c r="K668" i="4" s="1"/>
  <c r="I667" i="4"/>
  <c r="L667" i="4" s="1"/>
  <c r="AB249" i="15" s="1"/>
  <c r="E668" i="4" l="1"/>
  <c r="E666" i="12"/>
  <c r="F666" i="12" s="1"/>
  <c r="H666" i="12" s="1"/>
  <c r="O667" i="4"/>
  <c r="H668" i="4" l="1"/>
  <c r="G669" i="4" l="1"/>
  <c r="J669" i="4" s="1"/>
  <c r="K669" i="4" s="1"/>
  <c r="I668" i="4"/>
  <c r="L668" i="4" s="1"/>
  <c r="AB258" i="15" s="1"/>
  <c r="E669" i="4" l="1"/>
  <c r="O668" i="4"/>
  <c r="E667" i="12"/>
  <c r="F667" i="12" s="1"/>
  <c r="H667" i="12" s="1"/>
  <c r="H669" i="4" l="1"/>
  <c r="G670" i="4" l="1"/>
  <c r="J670" i="4" s="1"/>
  <c r="K670" i="4" s="1"/>
  <c r="I669" i="4"/>
  <c r="L669" i="4" s="1"/>
  <c r="AB221" i="15" s="1"/>
  <c r="E670" i="4" l="1"/>
  <c r="O669" i="4"/>
  <c r="E668" i="12"/>
  <c r="F668" i="12" s="1"/>
  <c r="H668" i="12" s="1"/>
  <c r="H670" i="4" l="1"/>
  <c r="G671" i="4" s="1"/>
  <c r="J671" i="4" s="1"/>
  <c r="K671" i="4" s="1"/>
  <c r="I670" i="4" l="1"/>
  <c r="L670" i="4" s="1"/>
  <c r="E671" i="4"/>
  <c r="E669" i="12" l="1"/>
  <c r="F669" i="12" s="1"/>
  <c r="H669" i="12" s="1"/>
  <c r="AB247" i="15"/>
  <c r="O670" i="4"/>
  <c r="H671" i="4"/>
  <c r="G672" i="4" l="1"/>
  <c r="J672" i="4" s="1"/>
  <c r="K672" i="4" s="1"/>
  <c r="I671" i="4"/>
  <c r="L671" i="4" s="1"/>
  <c r="AB271" i="15" s="1"/>
  <c r="E672" i="4" l="1"/>
  <c r="E670" i="12"/>
  <c r="F670" i="12" s="1"/>
  <c r="H670" i="12" s="1"/>
  <c r="O671" i="4"/>
  <c r="H672" i="4" l="1"/>
  <c r="I672" i="4" l="1"/>
  <c r="L672" i="4" s="1"/>
  <c r="AB290" i="15" s="1"/>
  <c r="G673" i="4"/>
  <c r="J673" i="4" s="1"/>
  <c r="K673" i="4" s="1"/>
  <c r="E673" i="4" l="1"/>
  <c r="E671" i="12"/>
  <c r="F671" i="12" s="1"/>
  <c r="H671" i="12" s="1"/>
  <c r="O672" i="4"/>
  <c r="H673" i="4" l="1"/>
  <c r="G674" i="4" l="1"/>
  <c r="J674" i="4" s="1"/>
  <c r="K674" i="4" s="1"/>
  <c r="I673" i="4"/>
  <c r="L673" i="4" s="1"/>
  <c r="AB324" i="15" s="1"/>
  <c r="E672" i="12" l="1"/>
  <c r="F672" i="12" s="1"/>
  <c r="H672" i="12" s="1"/>
  <c r="O673" i="4"/>
  <c r="E674" i="4"/>
  <c r="H674" i="4" l="1"/>
  <c r="I674" i="4" l="1"/>
  <c r="L674" i="4" s="1"/>
  <c r="AB329" i="15" s="1"/>
  <c r="G675" i="4"/>
  <c r="J675" i="4" s="1"/>
  <c r="K675" i="4" s="1"/>
  <c r="E675" i="4" l="1"/>
  <c r="E673" i="12"/>
  <c r="F673" i="12" s="1"/>
  <c r="H673" i="12" s="1"/>
  <c r="O674" i="4"/>
  <c r="H675" i="4" l="1"/>
  <c r="I675" i="4" l="1"/>
  <c r="L675" i="4" s="1"/>
  <c r="AB365" i="15" s="1"/>
  <c r="G676" i="4"/>
  <c r="J676" i="4" s="1"/>
  <c r="K676" i="4" s="1"/>
  <c r="E676" i="4" l="1"/>
  <c r="E674" i="12"/>
  <c r="F674" i="12" s="1"/>
  <c r="H674" i="12" s="1"/>
  <c r="O675" i="4"/>
  <c r="H676" i="4" l="1"/>
  <c r="I676" i="4" s="1"/>
  <c r="L676" i="4" s="1"/>
  <c r="AB404" i="15" s="1"/>
  <c r="G677" i="4" l="1"/>
  <c r="J677" i="4" s="1"/>
  <c r="K677" i="4" s="1"/>
  <c r="O676" i="4"/>
  <c r="E675" i="12"/>
  <c r="F675" i="12" s="1"/>
  <c r="H675" i="12" s="1"/>
  <c r="E677" i="4" l="1"/>
  <c r="H677" i="4" l="1"/>
  <c r="I677" i="4" s="1"/>
  <c r="L677" i="4" s="1"/>
  <c r="AB415" i="15" s="1"/>
  <c r="G678" i="4" l="1"/>
  <c r="J678" i="4" s="1"/>
  <c r="K678" i="4" s="1"/>
  <c r="O677" i="4"/>
  <c r="E676" i="12"/>
  <c r="F676" i="12" s="1"/>
  <c r="H676" i="12" s="1"/>
  <c r="E678" i="4" l="1"/>
  <c r="H678" i="4" l="1"/>
  <c r="I678" i="4" s="1"/>
  <c r="L678" i="4" s="1"/>
  <c r="AB449" i="15" s="1"/>
  <c r="G679" i="4" l="1"/>
  <c r="J679" i="4" s="1"/>
  <c r="K679" i="4" s="1"/>
  <c r="O678" i="4"/>
  <c r="E677" i="12"/>
  <c r="F677" i="12" s="1"/>
  <c r="H677" i="12" s="1"/>
  <c r="E679" i="4" l="1"/>
  <c r="H679" i="4" s="1"/>
  <c r="I679" i="4" l="1"/>
  <c r="L679" i="4" s="1"/>
  <c r="AB448" i="15" s="1"/>
  <c r="G680" i="4"/>
  <c r="J680" i="4" s="1"/>
  <c r="K680" i="4" s="1"/>
  <c r="E680" i="4" l="1"/>
  <c r="O679" i="4"/>
  <c r="E678" i="12"/>
  <c r="F678" i="12" s="1"/>
  <c r="H678" i="12" s="1"/>
  <c r="H680" i="4" l="1"/>
  <c r="I680" i="4" l="1"/>
  <c r="L680" i="4" s="1"/>
  <c r="AB481" i="15" s="1"/>
  <c r="G681" i="4"/>
  <c r="J681" i="4" s="1"/>
  <c r="K681" i="4" s="1"/>
  <c r="E681" i="4" l="1"/>
  <c r="E679" i="12"/>
  <c r="F679" i="12" s="1"/>
  <c r="H679" i="12" s="1"/>
  <c r="O680" i="4"/>
  <c r="H681" i="4" l="1"/>
  <c r="I681" i="4" l="1"/>
  <c r="L681" i="4" s="1"/>
  <c r="AB534" i="15" s="1"/>
  <c r="G682" i="4"/>
  <c r="J682" i="4" s="1"/>
  <c r="K682" i="4" s="1"/>
  <c r="E682" i="4" l="1"/>
  <c r="O681" i="4"/>
  <c r="E680" i="12"/>
  <c r="F680" i="12" s="1"/>
  <c r="H680" i="12" s="1"/>
  <c r="H682" i="4" l="1"/>
  <c r="G683" i="4" l="1"/>
  <c r="J683" i="4" s="1"/>
  <c r="K683" i="4" s="1"/>
  <c r="I682" i="4"/>
  <c r="L682" i="4" s="1"/>
  <c r="AB541" i="15" s="1"/>
  <c r="E683" i="4" l="1"/>
  <c r="O682" i="4"/>
  <c r="E681" i="12"/>
  <c r="F681" i="12" s="1"/>
  <c r="H681" i="12" s="1"/>
  <c r="H683" i="4" l="1"/>
  <c r="I683" i="4" l="1"/>
  <c r="L683" i="4" s="1"/>
  <c r="AB596" i="15" s="1"/>
  <c r="G684" i="4"/>
  <c r="J684" i="4" s="1"/>
  <c r="K684" i="4" s="1"/>
  <c r="E682" i="12" l="1"/>
  <c r="F682" i="12" s="1"/>
  <c r="H682" i="12" s="1"/>
  <c r="O683" i="4"/>
  <c r="E684" i="4"/>
  <c r="H684" i="4" l="1"/>
  <c r="I684" i="4" l="1"/>
  <c r="L684" i="4" s="1"/>
  <c r="AB670" i="15" s="1"/>
  <c r="G685" i="4"/>
  <c r="J685" i="4" s="1"/>
  <c r="K685" i="4" s="1"/>
  <c r="E685" i="4" l="1"/>
  <c r="O684" i="4"/>
  <c r="E683" i="12"/>
  <c r="F683" i="12" s="1"/>
  <c r="H683" i="12" s="1"/>
  <c r="H685" i="4" l="1"/>
  <c r="G686" i="4" s="1"/>
  <c r="J686" i="4" s="1"/>
  <c r="K686" i="4" s="1"/>
  <c r="I685" i="4" l="1"/>
  <c r="L685" i="4" s="1"/>
  <c r="E686" i="4"/>
  <c r="E684" i="12" l="1"/>
  <c r="F684" i="12" s="1"/>
  <c r="H684" i="12" s="1"/>
  <c r="AB713" i="15"/>
  <c r="O685" i="4"/>
  <c r="H686" i="4"/>
  <c r="I686" i="4" s="1"/>
  <c r="L686" i="4" s="1"/>
  <c r="AB717" i="15" s="1"/>
  <c r="G687" i="4" l="1"/>
  <c r="E687" i="4" s="1"/>
  <c r="E685" i="12"/>
  <c r="F685" i="12" s="1"/>
  <c r="H685" i="12" s="1"/>
  <c r="O686" i="4"/>
  <c r="J687" i="4" l="1"/>
  <c r="K687" i="4" s="1"/>
  <c r="H687" i="4"/>
  <c r="G688" i="4" l="1"/>
  <c r="J688" i="4" s="1"/>
  <c r="K688" i="4" s="1"/>
  <c r="I687" i="4"/>
  <c r="L687" i="4" s="1"/>
  <c r="AB719" i="15" s="1"/>
  <c r="E688" i="4" l="1"/>
  <c r="H688" i="4" s="1"/>
  <c r="E686" i="12"/>
  <c r="F686" i="12" s="1"/>
  <c r="H686" i="12" s="1"/>
  <c r="O687" i="4"/>
  <c r="G689" i="4" l="1"/>
  <c r="J689" i="4" s="1"/>
  <c r="K689" i="4" s="1"/>
  <c r="I688" i="4"/>
  <c r="L688" i="4" s="1"/>
  <c r="AB712" i="15" s="1"/>
  <c r="E689" i="4" l="1"/>
  <c r="O688" i="4"/>
  <c r="E687" i="12"/>
  <c r="F687" i="12" s="1"/>
  <c r="H687" i="12" s="1"/>
  <c r="H689" i="4" l="1"/>
  <c r="G690" i="4" l="1"/>
  <c r="J690" i="4" s="1"/>
  <c r="K690" i="4" s="1"/>
  <c r="I689" i="4"/>
  <c r="L689" i="4" s="1"/>
  <c r="AB716" i="15" s="1"/>
  <c r="E690" i="4" l="1"/>
  <c r="H690" i="4" s="1"/>
  <c r="E688" i="12"/>
  <c r="F688" i="12" s="1"/>
  <c r="H688" i="12" s="1"/>
  <c r="O689" i="4"/>
  <c r="G691" i="4" l="1"/>
  <c r="I690" i="4"/>
  <c r="L690" i="4" s="1"/>
  <c r="AB111" i="15" s="1"/>
  <c r="O690" i="4" l="1"/>
  <c r="E689" i="12"/>
  <c r="F689" i="12" s="1"/>
  <c r="H689" i="12" s="1"/>
  <c r="J691" i="4"/>
  <c r="K691" i="4" s="1"/>
  <c r="E691" i="4"/>
  <c r="H691" i="4" l="1"/>
  <c r="I691" i="4" l="1"/>
  <c r="L691" i="4" s="1"/>
  <c r="AB230" i="15" s="1"/>
  <c r="G692" i="4"/>
  <c r="J692" i="4" s="1"/>
  <c r="K692" i="4" s="1"/>
  <c r="O691" i="4" l="1"/>
  <c r="E690" i="12"/>
  <c r="F690" i="12" s="1"/>
  <c r="H690" i="12" s="1"/>
  <c r="E692" i="4"/>
  <c r="H692" i="4" l="1"/>
  <c r="G693" i="4" l="1"/>
  <c r="J693" i="4" s="1"/>
  <c r="K693" i="4" s="1"/>
  <c r="I692" i="4"/>
  <c r="L692" i="4" s="1"/>
  <c r="AB399" i="15" s="1"/>
  <c r="E693" i="4" l="1"/>
  <c r="E691" i="12"/>
  <c r="F691" i="12" s="1"/>
  <c r="H691" i="12" s="1"/>
  <c r="O692" i="4"/>
  <c r="H693" i="4" l="1"/>
  <c r="I693" i="4" l="1"/>
  <c r="L693" i="4" s="1"/>
  <c r="G694" i="4"/>
  <c r="J694" i="4" s="1"/>
  <c r="K694" i="4" s="1"/>
  <c r="O693" i="4" l="1"/>
  <c r="AB434" i="15"/>
  <c r="E692" i="12"/>
  <c r="F692" i="12" s="1"/>
  <c r="H692" i="12" s="1"/>
  <c r="E694" i="4"/>
  <c r="H694" i="4" l="1"/>
  <c r="G695" i="4" l="1"/>
  <c r="J695" i="4" s="1"/>
  <c r="K695" i="4" s="1"/>
  <c r="I694" i="4"/>
  <c r="L694" i="4" s="1"/>
  <c r="AB423" i="15" s="1"/>
  <c r="E695" i="4" l="1"/>
  <c r="E693" i="12"/>
  <c r="F693" i="12" s="1"/>
  <c r="H693" i="12" s="1"/>
  <c r="O694" i="4"/>
  <c r="H695" i="4" l="1"/>
  <c r="G696" i="4" l="1"/>
  <c r="J696" i="4" s="1"/>
  <c r="K696" i="4" s="1"/>
  <c r="I695" i="4"/>
  <c r="L695" i="4" s="1"/>
  <c r="AB72" i="15" s="1"/>
  <c r="E696" i="4" l="1"/>
  <c r="E694" i="12"/>
  <c r="F694" i="12" s="1"/>
  <c r="H694" i="12" s="1"/>
  <c r="O695" i="4"/>
  <c r="H696" i="4" l="1"/>
  <c r="I696" i="4" s="1"/>
  <c r="L696" i="4" s="1"/>
  <c r="AB217" i="15" s="1"/>
  <c r="G697" i="4" l="1"/>
  <c r="J697" i="4" s="1"/>
  <c r="K697" i="4" s="1"/>
  <c r="O696" i="4"/>
  <c r="E695" i="12"/>
  <c r="F695" i="12" s="1"/>
  <c r="H695" i="12" s="1"/>
  <c r="E697" i="4" l="1"/>
  <c r="H697" i="4" l="1"/>
  <c r="I697" i="4" s="1"/>
  <c r="L697" i="4" s="1"/>
  <c r="O697" i="4" l="1"/>
  <c r="AB283" i="15"/>
  <c r="E696" i="12"/>
  <c r="F696" i="12" s="1"/>
  <c r="H696" i="12" s="1"/>
  <c r="G698" i="4"/>
  <c r="E698" i="4" s="1"/>
  <c r="H698" i="4" l="1"/>
  <c r="G699" i="4" s="1"/>
  <c r="J698" i="4"/>
  <c r="K698" i="4" s="1"/>
  <c r="J699" i="4" l="1"/>
  <c r="K699" i="4" s="1"/>
  <c r="I698" i="4"/>
  <c r="L698" i="4" s="1"/>
  <c r="E699" i="4"/>
  <c r="O698" i="4" l="1"/>
  <c r="AB318" i="15"/>
  <c r="E697" i="12"/>
  <c r="F697" i="12" s="1"/>
  <c r="H697" i="12" s="1"/>
  <c r="H699" i="4"/>
  <c r="G700" i="4" l="1"/>
  <c r="J700" i="4" s="1"/>
  <c r="K700" i="4" s="1"/>
  <c r="I699" i="4"/>
  <c r="L699" i="4" s="1"/>
  <c r="AB351" i="15" s="1"/>
  <c r="E700" i="4" l="1"/>
  <c r="E698" i="12"/>
  <c r="F698" i="12" s="1"/>
  <c r="H698" i="12" s="1"/>
  <c r="O699" i="4"/>
  <c r="H700" i="4" l="1"/>
  <c r="G701" i="4" l="1"/>
  <c r="J701" i="4" s="1"/>
  <c r="K701" i="4" s="1"/>
  <c r="I700" i="4"/>
  <c r="L700" i="4" s="1"/>
  <c r="AB240" i="15" s="1"/>
  <c r="E701" i="4" l="1"/>
  <c r="O700" i="4"/>
  <c r="E699" i="12"/>
  <c r="F699" i="12" s="1"/>
  <c r="H699" i="12" s="1"/>
  <c r="H701" i="4" l="1"/>
  <c r="I701" i="4" s="1"/>
  <c r="L701" i="4" s="1"/>
  <c r="AB60" i="15" s="1"/>
  <c r="G702" i="4" l="1"/>
  <c r="J702" i="4" s="1"/>
  <c r="K702" i="4" s="1"/>
  <c r="O701" i="4"/>
  <c r="E700" i="12"/>
  <c r="F700" i="12" s="1"/>
  <c r="H700" i="12" s="1"/>
  <c r="E702" i="4" l="1"/>
  <c r="H702" i="4" l="1"/>
  <c r="I702" i="4" s="1"/>
  <c r="L702" i="4" s="1"/>
  <c r="AB243" i="15" s="1"/>
  <c r="G703" i="4" l="1"/>
  <c r="J703" i="4" s="1"/>
  <c r="K703" i="4" s="1"/>
  <c r="O702" i="4"/>
  <c r="E701" i="12"/>
  <c r="F701" i="12" s="1"/>
  <c r="H701" i="12" s="1"/>
  <c r="E703" i="4" l="1"/>
  <c r="H703" i="4" l="1"/>
  <c r="G704" i="4" s="1"/>
  <c r="J704" i="4" s="1"/>
  <c r="K704" i="4" s="1"/>
  <c r="I703" i="4" l="1"/>
  <c r="L703" i="4" s="1"/>
  <c r="E704" i="4"/>
  <c r="O703" i="4" l="1"/>
  <c r="AB273" i="15"/>
  <c r="E702" i="12"/>
  <c r="F702" i="12" s="1"/>
  <c r="H702" i="12" s="1"/>
  <c r="H704" i="4"/>
  <c r="G705" i="4" s="1"/>
  <c r="J705" i="4" s="1"/>
  <c r="K705" i="4" s="1"/>
  <c r="I704" i="4" l="1"/>
  <c r="L704" i="4" s="1"/>
  <c r="E705" i="4"/>
  <c r="O704" i="4" l="1"/>
  <c r="AB308" i="15"/>
  <c r="E703" i="12"/>
  <c r="F703" i="12" s="1"/>
  <c r="H703" i="12" s="1"/>
  <c r="H705" i="4"/>
  <c r="G706" i="4" l="1"/>
  <c r="J706" i="4" s="1"/>
  <c r="K706" i="4" s="1"/>
  <c r="I705" i="4"/>
  <c r="L705" i="4" s="1"/>
  <c r="AB340" i="15" s="1"/>
  <c r="E706" i="4" l="1"/>
  <c r="O705" i="4"/>
  <c r="E704" i="12"/>
  <c r="F704" i="12" s="1"/>
  <c r="H704" i="12" s="1"/>
  <c r="H706" i="4" l="1"/>
  <c r="G707" i="4" l="1"/>
  <c r="J707" i="4" s="1"/>
  <c r="K707" i="4" s="1"/>
  <c r="I706" i="4"/>
  <c r="L706" i="4" s="1"/>
  <c r="AB378" i="15" s="1"/>
  <c r="E707" i="4" l="1"/>
  <c r="O706" i="4"/>
  <c r="E705" i="12"/>
  <c r="F705" i="12" s="1"/>
  <c r="H705" i="12" s="1"/>
  <c r="H707" i="4" l="1"/>
  <c r="G708" i="4" l="1"/>
  <c r="J708" i="4" s="1"/>
  <c r="K708" i="4" s="1"/>
  <c r="I707" i="4"/>
  <c r="L707" i="4" s="1"/>
  <c r="AB427" i="15" s="1"/>
  <c r="E708" i="4" l="1"/>
  <c r="E706" i="12"/>
  <c r="F706" i="12" s="1"/>
  <c r="H706" i="12" s="1"/>
  <c r="O707" i="4"/>
  <c r="H708" i="4" l="1"/>
  <c r="I708" i="4" l="1"/>
  <c r="L708" i="4" s="1"/>
  <c r="AB464" i="15" s="1"/>
  <c r="G709" i="4"/>
  <c r="J709" i="4" s="1"/>
  <c r="K709" i="4" s="1"/>
  <c r="E709" i="4" l="1"/>
  <c r="O708" i="4"/>
  <c r="E707" i="12"/>
  <c r="F707" i="12" s="1"/>
  <c r="H707" i="12" s="1"/>
  <c r="H709" i="4" l="1"/>
  <c r="I709" i="4" l="1"/>
  <c r="L709" i="4" s="1"/>
  <c r="AB518" i="15" s="1"/>
  <c r="G710" i="4"/>
  <c r="J710" i="4" s="1"/>
  <c r="K710" i="4" s="1"/>
  <c r="E710" i="4" l="1"/>
  <c r="O709" i="4"/>
  <c r="E708" i="12"/>
  <c r="F708" i="12" s="1"/>
  <c r="H708" i="12" s="1"/>
  <c r="H710" i="4" l="1"/>
  <c r="I710" i="4" l="1"/>
  <c r="L710" i="4" s="1"/>
  <c r="AB568" i="15" s="1"/>
  <c r="G711" i="4"/>
  <c r="J711" i="4" s="1"/>
  <c r="E711" i="4" l="1"/>
  <c r="H711" i="4" s="1"/>
  <c r="K711" i="4"/>
  <c r="E709" i="12"/>
  <c r="F709" i="12" s="1"/>
  <c r="H709" i="12" s="1"/>
  <c r="O710" i="4"/>
  <c r="G712" i="4" l="1"/>
  <c r="J712" i="4" s="1"/>
  <c r="K712" i="4" s="1"/>
  <c r="I711" i="4"/>
  <c r="L711" i="4" s="1"/>
  <c r="AB637" i="15" s="1"/>
  <c r="E712" i="4" l="1"/>
  <c r="O711" i="4"/>
  <c r="E710" i="12"/>
  <c r="F710" i="12" s="1"/>
  <c r="H710" i="12" s="1"/>
  <c r="H712" i="4" l="1"/>
  <c r="G713" i="4" l="1"/>
  <c r="J713" i="4" s="1"/>
  <c r="K713" i="4" s="1"/>
  <c r="I712" i="4"/>
  <c r="L712" i="4" s="1"/>
  <c r="AB710" i="15" s="1"/>
  <c r="E713" i="4" l="1"/>
  <c r="O712" i="4"/>
  <c r="E711" i="12"/>
  <c r="F711" i="12" s="1"/>
  <c r="H711" i="12" s="1"/>
  <c r="H713" i="4" l="1"/>
  <c r="I713" i="4" s="1"/>
  <c r="L713" i="4" s="1"/>
  <c r="AB723" i="15" s="1"/>
  <c r="G714" i="4" l="1"/>
  <c r="J714" i="4" s="1"/>
  <c r="K714" i="4" s="1"/>
  <c r="O713" i="4"/>
  <c r="E712" i="12"/>
  <c r="F712" i="12" s="1"/>
  <c r="H712" i="12" s="1"/>
  <c r="E714" i="4" l="1"/>
  <c r="H714" i="4" l="1"/>
  <c r="G715" i="4" l="1"/>
  <c r="I714" i="4"/>
  <c r="L714" i="4" s="1"/>
  <c r="AB726" i="15" s="1"/>
  <c r="O714" i="4" l="1"/>
  <c r="E713" i="12"/>
  <c r="F713" i="12" s="1"/>
  <c r="H713" i="12" s="1"/>
  <c r="J715" i="4"/>
  <c r="K715" i="4" s="1"/>
  <c r="E715" i="4"/>
  <c r="H715" i="4" l="1"/>
  <c r="I715" i="4" l="1"/>
  <c r="L715" i="4" s="1"/>
  <c r="AB727" i="15" s="1"/>
  <c r="G716" i="4"/>
  <c r="J716" i="4" l="1"/>
  <c r="K716" i="4" s="1"/>
  <c r="E716" i="4"/>
  <c r="O715" i="4"/>
  <c r="E714" i="12"/>
  <c r="F714" i="12" s="1"/>
  <c r="H714" i="12" s="1"/>
  <c r="H716" i="4" l="1"/>
  <c r="G717" i="4" l="1"/>
  <c r="I716" i="4"/>
  <c r="L716" i="4" s="1"/>
  <c r="AB729" i="15" s="1"/>
  <c r="O716" i="4" l="1"/>
  <c r="E715" i="12"/>
  <c r="F715" i="12" s="1"/>
  <c r="H715" i="12" s="1"/>
  <c r="J717" i="4"/>
  <c r="K717" i="4" s="1"/>
  <c r="E717" i="4"/>
  <c r="H717" i="4" l="1"/>
  <c r="I717" i="4" l="1"/>
  <c r="L717" i="4" s="1"/>
  <c r="AB730" i="15" s="1"/>
  <c r="G718" i="4"/>
  <c r="J718" i="4" s="1"/>
  <c r="K718" i="4" s="1"/>
  <c r="E718" i="4" l="1"/>
  <c r="O717" i="4"/>
  <c r="E716" i="12"/>
  <c r="F716" i="12" s="1"/>
  <c r="H716" i="12" s="1"/>
  <c r="H718" i="4" l="1"/>
  <c r="I718" i="4" s="1"/>
  <c r="L718" i="4" s="1"/>
  <c r="AB707" i="15" s="1"/>
  <c r="G719" i="4" l="1"/>
  <c r="J719" i="4" s="1"/>
  <c r="K719" i="4" s="1"/>
  <c r="E717" i="12"/>
  <c r="F717" i="12" s="1"/>
  <c r="H717" i="12" s="1"/>
  <c r="O718" i="4"/>
  <c r="E719" i="4" l="1"/>
  <c r="H719" i="4" s="1"/>
  <c r="G720" i="4" l="1"/>
  <c r="J720" i="4" s="1"/>
  <c r="K720" i="4" s="1"/>
  <c r="I719" i="4"/>
  <c r="L719" i="4" s="1"/>
  <c r="AB722" i="15" s="1"/>
  <c r="E720" i="4" l="1"/>
  <c r="H720" i="4" s="1"/>
  <c r="O719" i="4"/>
  <c r="E718" i="12"/>
  <c r="F718" i="12" s="1"/>
  <c r="H718" i="12" s="1"/>
  <c r="G721" i="4" l="1"/>
  <c r="I720" i="4"/>
  <c r="L720" i="4" s="1"/>
  <c r="AB731" i="15" s="1"/>
  <c r="O720" i="4" l="1"/>
  <c r="E719" i="12"/>
  <c r="F719" i="12" s="1"/>
  <c r="H719" i="12" s="1"/>
  <c r="E721" i="4"/>
  <c r="J721" i="4"/>
  <c r="K721" i="4" s="1"/>
  <c r="H721" i="4" l="1"/>
  <c r="G722" i="4" l="1"/>
  <c r="J722" i="4" s="1"/>
  <c r="I721" i="4"/>
  <c r="L721" i="4" s="1"/>
  <c r="AB438" i="15" s="1"/>
  <c r="E722" i="4" l="1"/>
  <c r="O721" i="4"/>
  <c r="E720" i="12"/>
  <c r="F720" i="12" s="1"/>
  <c r="H720" i="12" s="1"/>
  <c r="K722" i="4"/>
  <c r="H722" i="4" l="1"/>
  <c r="G723" i="4" s="1"/>
  <c r="J723" i="4" s="1"/>
  <c r="K723" i="4" s="1"/>
  <c r="I722" i="4" l="1"/>
  <c r="L722" i="4" s="1"/>
  <c r="E723" i="4"/>
  <c r="O722" i="4" l="1"/>
  <c r="AB599" i="15"/>
  <c r="E721" i="12"/>
  <c r="F721" i="12" s="1"/>
  <c r="H721" i="12" s="1"/>
  <c r="H723" i="4"/>
  <c r="G724" i="4" l="1"/>
  <c r="J724" i="4" s="1"/>
  <c r="K724" i="4" s="1"/>
  <c r="I723" i="4"/>
  <c r="L723" i="4" s="1"/>
  <c r="AB659" i="15" s="1"/>
  <c r="E724" i="4" l="1"/>
  <c r="O723" i="4"/>
  <c r="E722" i="12"/>
  <c r="F722" i="12" s="1"/>
  <c r="H722" i="12" s="1"/>
  <c r="H724" i="4" l="1"/>
  <c r="G725" i="4" l="1"/>
  <c r="J725" i="4" s="1"/>
  <c r="K725" i="4" s="1"/>
  <c r="I724" i="4"/>
  <c r="L724" i="4" s="1"/>
  <c r="AB36" i="15" s="1"/>
  <c r="E725" i="4" l="1"/>
  <c r="O724" i="4"/>
  <c r="E723" i="12"/>
  <c r="F723" i="12" s="1"/>
  <c r="H723" i="12" s="1"/>
  <c r="H725" i="4" l="1"/>
  <c r="I725" i="4" s="1"/>
  <c r="L725" i="4" s="1"/>
  <c r="AB432" i="15" s="1"/>
  <c r="G726" i="4" l="1"/>
  <c r="J726" i="4" s="1"/>
  <c r="K726" i="4" s="1"/>
  <c r="O725" i="4"/>
  <c r="E724" i="12"/>
  <c r="F724" i="12" s="1"/>
  <c r="H724" i="12" s="1"/>
  <c r="E726" i="4" l="1"/>
  <c r="H726" i="4" l="1"/>
  <c r="G727" i="4" l="1"/>
  <c r="I726" i="4"/>
  <c r="L726" i="4" s="1"/>
  <c r="AB474" i="15" s="1"/>
  <c r="O726" i="4" l="1"/>
  <c r="E725" i="12"/>
  <c r="F725" i="12" s="1"/>
  <c r="H725" i="12" s="1"/>
  <c r="J727" i="4"/>
  <c r="K727" i="4" s="1"/>
  <c r="E727" i="4"/>
  <c r="H727" i="4" l="1"/>
  <c r="I727" i="4" l="1"/>
  <c r="L727" i="4" s="1"/>
  <c r="AB58" i="15" s="1"/>
  <c r="G728" i="4"/>
  <c r="J728" i="4" s="1"/>
  <c r="K728" i="4" s="1"/>
  <c r="E728" i="4" l="1"/>
  <c r="O727" i="4"/>
  <c r="E726" i="12"/>
  <c r="F726" i="12" s="1"/>
  <c r="H726" i="12" s="1"/>
  <c r="H728" i="4" l="1"/>
  <c r="G729" i="4" l="1"/>
  <c r="J729" i="4" s="1"/>
  <c r="K729" i="4" s="1"/>
  <c r="I728" i="4"/>
  <c r="L728" i="4" s="1"/>
  <c r="AB328" i="15" s="1"/>
  <c r="E727" i="12" l="1"/>
  <c r="F727" i="12" s="1"/>
  <c r="H727" i="12" s="1"/>
  <c r="O728" i="4"/>
  <c r="E729" i="4"/>
  <c r="H729" i="4" l="1"/>
  <c r="I729" i="4" l="1"/>
  <c r="L729" i="4" s="1"/>
  <c r="AB364" i="15" s="1"/>
  <c r="G730" i="4"/>
  <c r="J730" i="4" s="1"/>
  <c r="E730" i="4" l="1"/>
  <c r="K730" i="4"/>
  <c r="O729" i="4"/>
  <c r="E728" i="12"/>
  <c r="F728" i="12" s="1"/>
  <c r="H728" i="12" s="1"/>
  <c r="H730" i="4" l="1"/>
  <c r="G731" i="4" s="1"/>
  <c r="J731" i="4" s="1"/>
  <c r="K731" i="4" s="1"/>
  <c r="I730" i="4" l="1"/>
  <c r="L730" i="4" s="1"/>
  <c r="E731" i="4"/>
  <c r="O730" i="4" l="1"/>
  <c r="AB12" i="15"/>
  <c r="E729" i="12"/>
  <c r="F729" i="12" s="1"/>
  <c r="H729" i="12" s="1"/>
  <c r="H731" i="4"/>
  <c r="I731" i="4" l="1"/>
  <c r="L731" i="4" s="1"/>
  <c r="AB201" i="15" s="1"/>
  <c r="G732" i="4"/>
  <c r="J732" i="4" s="1"/>
  <c r="K732" i="4" s="1"/>
  <c r="E732" i="4" l="1"/>
  <c r="O731" i="4"/>
  <c r="E730" i="12"/>
  <c r="F730" i="12" s="1"/>
  <c r="H730" i="12" s="1"/>
  <c r="H732" i="4" l="1"/>
  <c r="G733" i="4" l="1"/>
  <c r="J733" i="4" s="1"/>
  <c r="K733" i="4" s="1"/>
  <c r="I732" i="4"/>
  <c r="L732" i="4" s="1"/>
  <c r="AB206" i="15" s="1"/>
  <c r="E731" i="12" l="1"/>
  <c r="F731" i="12" s="1"/>
  <c r="H731" i="12" s="1"/>
  <c r="O732" i="4"/>
  <c r="E733" i="4"/>
  <c r="H733" i="4" l="1"/>
  <c r="G734" i="4" l="1"/>
  <c r="J734" i="4" s="1"/>
  <c r="K734" i="4" s="1"/>
  <c r="I733" i="4"/>
  <c r="L733" i="4" s="1"/>
  <c r="AB171" i="15" s="1"/>
  <c r="E732" i="12" l="1"/>
  <c r="F732" i="12" s="1"/>
  <c r="H732" i="12" s="1"/>
  <c r="O733" i="4"/>
  <c r="E734" i="4"/>
  <c r="H734" i="4" l="1"/>
  <c r="G735" i="4" l="1"/>
  <c r="J735" i="4" s="1"/>
  <c r="K735" i="4" s="1"/>
  <c r="I734" i="4"/>
  <c r="L734" i="4" s="1"/>
  <c r="AB190" i="15" s="1"/>
  <c r="E735" i="4" l="1"/>
  <c r="E733" i="12"/>
  <c r="F733" i="12" s="1"/>
  <c r="H733" i="12" s="1"/>
  <c r="O734" i="4"/>
  <c r="H735" i="4" l="1"/>
  <c r="G736" i="4" s="1"/>
  <c r="E736" i="4" s="1"/>
  <c r="I735" i="4" l="1"/>
  <c r="L735" i="4" s="1"/>
  <c r="K7" i="8"/>
  <c r="K35" i="8" s="1"/>
  <c r="J736" i="4"/>
  <c r="K736" i="4" s="1"/>
  <c r="K11" i="8" s="1"/>
  <c r="K9" i="8"/>
  <c r="K34" i="8" l="1"/>
  <c r="O735" i="4"/>
  <c r="AB187" i="15"/>
  <c r="E734" i="12"/>
  <c r="F734" i="12" s="1"/>
  <c r="H734" i="12" s="1"/>
  <c r="H736" i="4"/>
  <c r="I736" i="4" s="1"/>
  <c r="L736" i="4" s="1"/>
  <c r="AB197" i="15" l="1"/>
  <c r="N147" i="6"/>
  <c r="K21" i="8"/>
  <c r="K19" i="8"/>
  <c r="K18" i="8"/>
  <c r="K40" i="8" s="1"/>
  <c r="K16" i="8"/>
  <c r="K20" i="8"/>
  <c r="O736" i="4"/>
  <c r="K13" i="8" s="1"/>
  <c r="E735" i="12"/>
  <c r="K10" i="8"/>
  <c r="K32" i="8" l="1"/>
  <c r="K33" i="8"/>
  <c r="K17" i="8"/>
  <c r="J207" i="12"/>
  <c r="J327" i="12"/>
  <c r="J432" i="12"/>
  <c r="J274" i="12"/>
  <c r="J150" i="12"/>
  <c r="J413" i="12"/>
  <c r="J377" i="12"/>
  <c r="J261" i="12"/>
  <c r="J575" i="12"/>
  <c r="J698" i="12"/>
  <c r="J467" i="12"/>
  <c r="J586" i="12"/>
  <c r="J632" i="12"/>
  <c r="J79" i="12"/>
  <c r="J601" i="12"/>
  <c r="J459" i="12"/>
  <c r="J522" i="12"/>
  <c r="J295" i="12"/>
  <c r="J163" i="12"/>
  <c r="J194" i="12"/>
  <c r="J264" i="12"/>
  <c r="J463" i="12"/>
  <c r="J705" i="12"/>
  <c r="J297" i="12"/>
  <c r="J579" i="12"/>
  <c r="J659" i="12"/>
  <c r="J204" i="12"/>
  <c r="J83" i="12"/>
  <c r="J442" i="12"/>
  <c r="J119" i="12"/>
  <c r="J173" i="12"/>
  <c r="J709" i="12"/>
  <c r="J569" i="12"/>
  <c r="J236" i="12"/>
  <c r="J116" i="12"/>
  <c r="J435" i="12"/>
  <c r="J166" i="12"/>
  <c r="J702" i="12"/>
  <c r="J464" i="12"/>
  <c r="J589" i="12"/>
  <c r="J612" i="12"/>
  <c r="J671" i="12"/>
  <c r="J395" i="12"/>
  <c r="J507" i="12"/>
  <c r="J693" i="12"/>
  <c r="J170" i="12"/>
  <c r="J616" i="12"/>
  <c r="J156" i="12"/>
  <c r="J168" i="12"/>
  <c r="J105" i="12"/>
  <c r="J155" i="12"/>
  <c r="J237" i="12"/>
  <c r="J140" i="12"/>
  <c r="J554" i="12"/>
  <c r="J622" i="12"/>
  <c r="J102" i="12"/>
  <c r="J235" i="12"/>
  <c r="J392" i="12"/>
  <c r="J699" i="12"/>
  <c r="J576" i="12"/>
  <c r="J362" i="12"/>
  <c r="J625" i="12"/>
  <c r="J683" i="12"/>
  <c r="J118" i="12"/>
  <c r="J77" i="12"/>
  <c r="J436" i="12"/>
  <c r="J288" i="12"/>
  <c r="J440" i="12"/>
  <c r="J439" i="12"/>
  <c r="J603" i="12"/>
  <c r="J379" i="12"/>
  <c r="J159" i="12"/>
  <c r="J648" i="12"/>
  <c r="J460" i="12"/>
  <c r="J252" i="12"/>
  <c r="J529" i="12"/>
  <c r="J275" i="12"/>
  <c r="J635" i="12"/>
  <c r="J285" i="12"/>
  <c r="J230" i="12"/>
  <c r="J430" i="12"/>
  <c r="J394" i="12"/>
  <c r="J292" i="12"/>
  <c r="J211" i="12"/>
  <c r="J538" i="12"/>
  <c r="J255" i="12"/>
  <c r="J446" i="12"/>
  <c r="J619" i="12"/>
  <c r="J652" i="12"/>
  <c r="J69" i="12"/>
  <c r="J419" i="12"/>
  <c r="J633" i="12"/>
  <c r="J240" i="12"/>
  <c r="J117" i="12"/>
  <c r="J354" i="12"/>
  <c r="J534" i="12"/>
  <c r="J384" i="12"/>
  <c r="J249" i="12"/>
  <c r="J731" i="12"/>
  <c r="J251" i="12"/>
  <c r="J666" i="12"/>
  <c r="J540" i="12"/>
  <c r="J92" i="12"/>
  <c r="J662" i="12"/>
  <c r="J172" i="12"/>
  <c r="J334" i="12"/>
  <c r="J387" i="12"/>
  <c r="J469" i="12"/>
  <c r="J121" i="12"/>
  <c r="J154" i="12"/>
  <c r="J355" i="12"/>
  <c r="J583" i="12"/>
  <c r="J595" i="12"/>
  <c r="J171" i="12"/>
  <c r="J318" i="12"/>
  <c r="J152" i="12"/>
  <c r="J340" i="12"/>
  <c r="J129" i="12"/>
  <c r="J475" i="12"/>
  <c r="J99" i="12"/>
  <c r="J120" i="12"/>
  <c r="J198" i="12"/>
  <c r="J353" i="12"/>
  <c r="J545" i="12"/>
  <c r="J131" i="12"/>
  <c r="J314" i="12"/>
  <c r="J594" i="12"/>
  <c r="J178" i="12"/>
  <c r="J532" i="12"/>
  <c r="J707" i="12"/>
  <c r="J161" i="12"/>
  <c r="J343" i="12"/>
  <c r="J322" i="12"/>
  <c r="J108" i="12"/>
  <c r="J226" i="12"/>
  <c r="J599" i="12"/>
  <c r="J308" i="12"/>
  <c r="J244" i="12"/>
  <c r="J216" i="12"/>
  <c r="J273" i="12"/>
  <c r="J479" i="12"/>
  <c r="J691" i="12"/>
  <c r="J548" i="12"/>
  <c r="J498" i="12"/>
  <c r="J457" i="12"/>
  <c r="J610" i="12"/>
  <c r="J218" i="12"/>
  <c r="J200" i="12"/>
  <c r="J323" i="12"/>
  <c r="J546" i="12"/>
  <c r="J628" i="12"/>
  <c r="J306" i="12"/>
  <c r="J474" i="12"/>
  <c r="J195" i="12"/>
  <c r="J692" i="12"/>
  <c r="J516" i="12"/>
  <c r="J147" i="12"/>
  <c r="J352" i="12"/>
  <c r="J681" i="12"/>
  <c r="J668" i="12"/>
  <c r="J728" i="12"/>
  <c r="J78" i="12"/>
  <c r="J277" i="12"/>
  <c r="J133" i="12"/>
  <c r="J241" i="12"/>
  <c r="J410" i="12"/>
  <c r="J418" i="12"/>
  <c r="J590" i="12"/>
  <c r="J582" i="12"/>
  <c r="J574" i="12"/>
  <c r="J335" i="12"/>
  <c r="J424" i="12"/>
  <c r="J525" i="12"/>
  <c r="J316" i="12"/>
  <c r="J398" i="12"/>
  <c r="J364" i="12"/>
  <c r="J67" i="12"/>
  <c r="J560" i="12"/>
  <c r="J512" i="12"/>
  <c r="J641" i="12"/>
  <c r="J225" i="12"/>
  <c r="J221" i="12"/>
  <c r="J138" i="12"/>
  <c r="J587" i="12"/>
  <c r="J557" i="12"/>
  <c r="J284" i="12"/>
  <c r="J503" i="12"/>
  <c r="J80" i="12"/>
  <c r="J177" i="12"/>
  <c r="J608" i="12"/>
  <c r="J561" i="12"/>
  <c r="J305" i="12"/>
  <c r="J541" i="12"/>
  <c r="J127" i="12"/>
  <c r="J219" i="12"/>
  <c r="J453" i="12"/>
  <c r="J101" i="12"/>
  <c r="J530" i="12"/>
  <c r="J97" i="12"/>
  <c r="J245" i="12"/>
  <c r="J303" i="12"/>
  <c r="J326" i="12"/>
  <c r="J651" i="12"/>
  <c r="J187" i="12"/>
  <c r="J414" i="12"/>
  <c r="J74" i="12"/>
  <c r="J183" i="12"/>
  <c r="J445" i="12"/>
  <c r="J726" i="12"/>
  <c r="J397" i="12"/>
  <c r="J614" i="12"/>
  <c r="J341" i="12"/>
  <c r="J570" i="12"/>
  <c r="J661" i="12"/>
  <c r="J710" i="12"/>
  <c r="J260" i="12"/>
  <c r="J493" i="12"/>
  <c r="J513" i="12"/>
  <c r="J299" i="12"/>
  <c r="J510" i="12"/>
  <c r="J415" i="12"/>
  <c r="J287" i="12"/>
  <c r="J580" i="12"/>
  <c r="J289" i="12"/>
  <c r="J426" i="12"/>
  <c r="J465" i="12"/>
  <c r="J268" i="12"/>
  <c r="J443" i="12"/>
  <c r="J296" i="12"/>
  <c r="J283" i="12"/>
  <c r="J258" i="12"/>
  <c r="J217" i="12"/>
  <c r="J182" i="12"/>
  <c r="J536" i="12"/>
  <c r="J368" i="12"/>
  <c r="J427" i="12"/>
  <c r="J437" i="12"/>
  <c r="J324" i="12"/>
  <c r="J214" i="12"/>
  <c r="J197" i="12"/>
  <c r="F735" i="12"/>
  <c r="J653" i="12"/>
  <c r="J100" i="12"/>
  <c r="J307" i="12"/>
  <c r="J153" i="12"/>
  <c r="J325" i="12"/>
  <c r="J290" i="12"/>
  <c r="J359" i="12"/>
  <c r="J592" i="12"/>
  <c r="J158" i="12"/>
  <c r="J345" i="12"/>
  <c r="J645" i="12"/>
  <c r="J188" i="12"/>
  <c r="J470" i="12"/>
  <c r="J372" i="12"/>
  <c r="J675" i="12"/>
  <c r="J160" i="12"/>
  <c r="J468" i="12"/>
  <c r="J553" i="12"/>
  <c r="J588" i="12"/>
  <c r="J231" i="12"/>
  <c r="J333" i="12"/>
  <c r="J229" i="12"/>
  <c r="J271" i="12"/>
  <c r="J243" i="12"/>
  <c r="J483" i="12"/>
  <c r="J192" i="12"/>
  <c r="J381" i="12"/>
  <c r="J332" i="12"/>
  <c r="J66" i="12"/>
  <c r="J539" i="12"/>
  <c r="J496" i="12"/>
  <c r="J82" i="12"/>
  <c r="J199" i="12"/>
  <c r="J72" i="12"/>
  <c r="J393" i="12"/>
  <c r="J347" i="12"/>
  <c r="J559" i="12"/>
  <c r="J455" i="12"/>
  <c r="J706" i="12"/>
  <c r="J406" i="12"/>
  <c r="J358" i="12"/>
  <c r="J391" i="12"/>
  <c r="J328" i="12"/>
  <c r="J106" i="12"/>
  <c r="J196" i="12"/>
  <c r="J266" i="12"/>
  <c r="J73" i="12"/>
  <c r="J428" i="12"/>
  <c r="J263" i="12"/>
  <c r="J135" i="12"/>
  <c r="J720" i="12"/>
  <c r="J205" i="12"/>
  <c r="J690" i="12"/>
  <c r="J350" i="12"/>
  <c r="J537" i="12"/>
  <c r="J558" i="12"/>
  <c r="J630" i="12"/>
  <c r="J581" i="12"/>
  <c r="J703" i="12"/>
  <c r="J262" i="12"/>
  <c r="J543" i="12"/>
  <c r="J339" i="12"/>
  <c r="J148" i="12"/>
  <c r="J656" i="12"/>
  <c r="J571" i="12"/>
  <c r="J729" i="12"/>
  <c r="J566" i="12"/>
  <c r="J265" i="12"/>
  <c r="J279" i="12"/>
  <c r="J330" i="12"/>
  <c r="J733" i="12"/>
  <c r="J130" i="12"/>
  <c r="J723" i="12"/>
  <c r="J555" i="12"/>
  <c r="J485" i="12"/>
  <c r="J719" i="12"/>
  <c r="J585" i="12"/>
  <c r="J181" i="12"/>
  <c r="J670" i="12"/>
  <c r="J399" i="12"/>
  <c r="J481" i="12"/>
  <c r="J732" i="12"/>
  <c r="J621" i="12"/>
  <c r="J224" i="12"/>
  <c r="J302" i="12"/>
  <c r="J319" i="12"/>
  <c r="J141" i="12"/>
  <c r="J626" i="12"/>
  <c r="J669" i="12"/>
  <c r="J239" i="12"/>
  <c r="J301" i="12"/>
  <c r="J139" i="12"/>
  <c r="J304" i="12"/>
  <c r="J203" i="12"/>
  <c r="J563" i="12"/>
  <c r="J611" i="12"/>
  <c r="J269" i="12"/>
  <c r="J123" i="12"/>
  <c r="J686" i="12"/>
  <c r="J337" i="12"/>
  <c r="J642" i="12"/>
  <c r="J367" i="12"/>
  <c r="J688" i="12"/>
  <c r="J134" i="12"/>
  <c r="J320" i="12"/>
  <c r="J122" i="12"/>
  <c r="J438" i="12"/>
  <c r="J646" i="12"/>
  <c r="J697" i="12"/>
  <c r="J482" i="12"/>
  <c r="J711" i="12"/>
  <c r="J128" i="12"/>
  <c r="J282" i="12"/>
  <c r="J400" i="12"/>
  <c r="J98" i="12"/>
  <c r="J596" i="12"/>
  <c r="J687" i="12"/>
  <c r="J349" i="12"/>
  <c r="J721" i="12"/>
  <c r="J484" i="12"/>
  <c r="J607" i="12"/>
  <c r="J631" i="12"/>
  <c r="J365" i="12"/>
  <c r="J444" i="12"/>
  <c r="J104" i="12"/>
  <c r="J461" i="12"/>
  <c r="J222" i="12"/>
  <c r="J655" i="12"/>
  <c r="J311" i="12"/>
  <c r="J179" i="12"/>
  <c r="J209" i="12"/>
  <c r="J434" i="12"/>
  <c r="J490" i="12"/>
  <c r="J346" i="12"/>
  <c r="J267" i="12"/>
  <c r="J624" i="12"/>
  <c r="J472" i="12"/>
  <c r="J488" i="12"/>
  <c r="J125" i="12"/>
  <c r="J504" i="12"/>
  <c r="J458" i="12"/>
  <c r="J253" i="12"/>
  <c r="J344" i="12"/>
  <c r="J112" i="12"/>
  <c r="J462" i="12"/>
  <c r="J473" i="12"/>
  <c r="J627" i="12"/>
  <c r="J256" i="12"/>
  <c r="J527" i="12"/>
  <c r="J528" i="12"/>
  <c r="J564" i="12"/>
  <c r="J730" i="12"/>
  <c r="J380" i="12"/>
  <c r="J429" i="12"/>
  <c r="J449" i="12"/>
  <c r="J486" i="12"/>
  <c r="J682" i="12"/>
  <c r="J578" i="12"/>
  <c r="J206" i="12"/>
  <c r="J227" i="12"/>
  <c r="J425" i="12"/>
  <c r="J114" i="12"/>
  <c r="J520" i="12"/>
  <c r="J451" i="12"/>
  <c r="J717" i="12"/>
  <c r="J248" i="12"/>
  <c r="J448" i="12"/>
  <c r="J452" i="12"/>
  <c r="J650" i="12"/>
  <c r="J447" i="12"/>
  <c r="J604" i="12"/>
  <c r="J388" i="12"/>
  <c r="J715" i="12"/>
  <c r="J220" i="12"/>
  <c r="J175" i="12"/>
  <c r="J450" i="12"/>
  <c r="J637" i="12"/>
  <c r="J298" i="12"/>
  <c r="J724" i="12"/>
  <c r="J552" i="12"/>
  <c r="J242" i="12"/>
  <c r="J478" i="12"/>
  <c r="J665" i="12"/>
  <c r="J132" i="12"/>
  <c r="J96" i="12"/>
  <c r="J94" i="12"/>
  <c r="J584" i="12"/>
  <c r="J725" i="12"/>
  <c r="J109" i="12"/>
  <c r="J613" i="12"/>
  <c r="J363" i="12"/>
  <c r="J556" i="12"/>
  <c r="J654" i="12"/>
  <c r="J313" i="12"/>
  <c r="J508" i="12"/>
  <c r="J701" i="12"/>
  <c r="J312" i="12"/>
  <c r="J521" i="12"/>
  <c r="J573" i="12"/>
  <c r="J689" i="12"/>
  <c r="J310" i="12"/>
  <c r="J110" i="12"/>
  <c r="J259" i="12"/>
  <c r="J180" i="12"/>
  <c r="J531" i="12"/>
  <c r="J679" i="12"/>
  <c r="J403" i="12"/>
  <c r="J164" i="12"/>
  <c r="J526" i="12"/>
  <c r="J378" i="12"/>
  <c r="J593" i="12"/>
  <c r="J193" i="12"/>
  <c r="J547" i="12"/>
  <c r="J416" i="12"/>
  <c r="J502" i="12"/>
  <c r="J396" i="12"/>
  <c r="J606" i="12"/>
  <c r="J70" i="12"/>
  <c r="J727" i="12"/>
  <c r="J88" i="12"/>
  <c r="J411" i="12"/>
  <c r="J257" i="12"/>
  <c r="J90" i="12"/>
  <c r="J184" i="12"/>
  <c r="J694" i="12"/>
  <c r="J600" i="12"/>
  <c r="J71" i="12"/>
  <c r="J615" i="12"/>
  <c r="J423" i="12"/>
  <c r="J565" i="12"/>
  <c r="J713" i="12"/>
  <c r="J674" i="12"/>
  <c r="J609" i="12"/>
  <c r="J672" i="12"/>
  <c r="J369" i="12"/>
  <c r="J495" i="12"/>
  <c r="J223" i="12"/>
  <c r="J276" i="12"/>
  <c r="J212" i="12"/>
  <c r="J492" i="12"/>
  <c r="J708" i="12"/>
  <c r="J389" i="12"/>
  <c r="J597" i="12"/>
  <c r="J371" i="12"/>
  <c r="J317" i="12"/>
  <c r="J602" i="12"/>
  <c r="J524" i="12"/>
  <c r="J270" i="12"/>
  <c r="J95" i="12"/>
  <c r="J401" i="12"/>
  <c r="J234" i="12"/>
  <c r="J126" i="12"/>
  <c r="J678" i="12"/>
  <c r="J383" i="12"/>
  <c r="J385" i="12"/>
  <c r="J480" i="12"/>
  <c r="J149" i="12"/>
  <c r="J684" i="12"/>
  <c r="J535" i="12"/>
  <c r="J76" i="12"/>
  <c r="J113" i="12"/>
  <c r="J81" i="12"/>
  <c r="J533" i="12"/>
  <c r="J250" i="12"/>
  <c r="J213" i="12"/>
  <c r="J509" i="12"/>
  <c r="J722" i="12"/>
  <c r="J700" i="12"/>
  <c r="J390" i="12"/>
  <c r="J487" i="12"/>
  <c r="J523" i="12"/>
  <c r="J280" i="12"/>
  <c r="J370" i="12"/>
  <c r="J91" i="12"/>
  <c r="J169" i="12"/>
  <c r="J712" i="12"/>
  <c r="J647" i="12"/>
  <c r="J471" i="12"/>
  <c r="J658" i="12"/>
  <c r="J247" i="12"/>
  <c r="J577" i="12"/>
  <c r="J361" i="12"/>
  <c r="J643" i="12"/>
  <c r="J551" i="12"/>
  <c r="J338" i="12"/>
  <c r="J357" i="12"/>
  <c r="J376" i="12"/>
  <c r="J511" i="12"/>
  <c r="J336" i="12"/>
  <c r="J422" i="12"/>
  <c r="J568" i="12"/>
  <c r="J176" i="12"/>
  <c r="J572" i="12"/>
  <c r="J186" i="12"/>
  <c r="J331" i="12"/>
  <c r="J421" i="12"/>
  <c r="J667" i="12"/>
  <c r="J649" i="12"/>
  <c r="J246" i="12"/>
  <c r="J491" i="12"/>
  <c r="J167" i="12"/>
  <c r="J238" i="12"/>
  <c r="J567" i="12"/>
  <c r="J386" i="12"/>
  <c r="J375" i="12"/>
  <c r="J228" i="12"/>
  <c r="J677" i="12"/>
  <c r="J489" i="12"/>
  <c r="J591" i="12"/>
  <c r="J162" i="12"/>
  <c r="J294" i="12"/>
  <c r="J208" i="12"/>
  <c r="J278" i="12"/>
  <c r="J716" i="12"/>
  <c r="J562" i="12"/>
  <c r="J501" i="12"/>
  <c r="J84" i="12"/>
  <c r="J417" i="12"/>
  <c r="J494" i="12"/>
  <c r="J638" i="12"/>
  <c r="J382" i="12"/>
  <c r="J185" i="12"/>
  <c r="J518" i="12"/>
  <c r="J233" i="12"/>
  <c r="J315" i="12"/>
  <c r="J191" i="12"/>
  <c r="J433" i="12"/>
  <c r="J145" i="12"/>
  <c r="J144" i="12"/>
  <c r="J373" i="12"/>
  <c r="J663" i="12"/>
  <c r="J329" i="12"/>
  <c r="J210" i="12"/>
  <c r="J286" i="12"/>
  <c r="J151" i="12"/>
  <c r="J519" i="12"/>
  <c r="J402" i="12"/>
  <c r="J291" i="12"/>
  <c r="J281" i="12"/>
  <c r="J476" i="12"/>
  <c r="J704" i="12"/>
  <c r="J514" i="12"/>
  <c r="J640" i="12"/>
  <c r="J348" i="12"/>
  <c r="J605" i="12"/>
  <c r="J734" i="12"/>
  <c r="J420" i="12"/>
  <c r="J75" i="12"/>
  <c r="J189" i="12"/>
  <c r="J374" i="12"/>
  <c r="J673" i="12"/>
  <c r="J623" i="12"/>
  <c r="J629" i="12"/>
  <c r="J111" i="12"/>
  <c r="J107" i="12"/>
  <c r="J598" i="12"/>
  <c r="J351" i="12"/>
  <c r="J664" i="12"/>
  <c r="J136" i="12"/>
  <c r="J165" i="12"/>
  <c r="J103" i="12"/>
  <c r="J456" i="12"/>
  <c r="J499" i="12"/>
  <c r="J500" i="12"/>
  <c r="J356" i="12"/>
  <c r="J146" i="12"/>
  <c r="J412" i="12"/>
  <c r="J232" i="12"/>
  <c r="J202" i="12"/>
  <c r="J517" i="12"/>
  <c r="J506" i="12"/>
  <c r="J142" i="12"/>
  <c r="J254" i="12"/>
  <c r="J174" i="12"/>
  <c r="J360" i="12"/>
  <c r="J544" i="12"/>
  <c r="J93" i="12"/>
  <c r="J718" i="12"/>
  <c r="J676" i="12"/>
  <c r="J644" i="12"/>
  <c r="J466" i="12"/>
  <c r="J89" i="12"/>
  <c r="J639" i="12"/>
  <c r="J86" i="12"/>
  <c r="J685" i="12"/>
  <c r="J657" i="12"/>
  <c r="J695" i="12"/>
  <c r="J190" i="12"/>
  <c r="J714" i="12"/>
  <c r="J272" i="12"/>
  <c r="J550" i="12"/>
  <c r="J407" i="12"/>
  <c r="J636" i="12"/>
  <c r="J300" i="12"/>
  <c r="J549" i="12"/>
  <c r="J408" i="12"/>
  <c r="J454" i="12"/>
  <c r="J115" i="12"/>
  <c r="J293" i="12"/>
  <c r="J342" i="12"/>
  <c r="J366" i="12"/>
  <c r="J409" i="12"/>
  <c r="J735" i="12"/>
  <c r="J201" i="12"/>
  <c r="J309" i="12"/>
  <c r="J405" i="12"/>
  <c r="J515" i="12"/>
  <c r="J143" i="12"/>
  <c r="J618" i="12"/>
  <c r="J696" i="12"/>
  <c r="J68" i="12"/>
  <c r="J157" i="12"/>
  <c r="J431" i="12"/>
  <c r="J617" i="12"/>
  <c r="J137" i="12"/>
  <c r="J85" i="12"/>
  <c r="J634" i="12"/>
  <c r="J477" i="12"/>
  <c r="J497" i="12"/>
  <c r="J441" i="12"/>
  <c r="J620" i="12"/>
  <c r="J87" i="12"/>
  <c r="J124" i="12"/>
  <c r="J404" i="12"/>
  <c r="J505" i="12"/>
  <c r="J660" i="12"/>
  <c r="J542" i="12"/>
  <c r="J680" i="12"/>
  <c r="J321" i="12"/>
  <c r="J215" i="12"/>
  <c r="L542" i="12" l="1"/>
  <c r="K542" i="12"/>
  <c r="K137" i="12"/>
  <c r="L137" i="12"/>
  <c r="K549" i="12"/>
  <c r="L549" i="12"/>
  <c r="K676" i="12"/>
  <c r="L676" i="12"/>
  <c r="K412" i="12"/>
  <c r="L412" i="12"/>
  <c r="L420" i="12"/>
  <c r="K420" i="12"/>
  <c r="L151" i="12"/>
  <c r="K151" i="12"/>
  <c r="K494" i="12"/>
  <c r="L494" i="12"/>
  <c r="K246" i="12"/>
  <c r="L246" i="12"/>
  <c r="K321" i="12"/>
  <c r="L321" i="12"/>
  <c r="L505" i="12"/>
  <c r="K505" i="12"/>
  <c r="L620" i="12"/>
  <c r="K620" i="12"/>
  <c r="L634" i="12"/>
  <c r="K634" i="12"/>
  <c r="K431" i="12"/>
  <c r="L431" i="12"/>
  <c r="K618" i="12"/>
  <c r="L618" i="12"/>
  <c r="K309" i="12"/>
  <c r="L309" i="12"/>
  <c r="K366" i="12"/>
  <c r="L366" i="12"/>
  <c r="K454" i="12"/>
  <c r="L454" i="12"/>
  <c r="K636" i="12"/>
  <c r="L636" i="12"/>
  <c r="K714" i="12"/>
  <c r="L714" i="12"/>
  <c r="L685" i="12"/>
  <c r="K685" i="12"/>
  <c r="K466" i="12"/>
  <c r="L466" i="12"/>
  <c r="K93" i="12"/>
  <c r="L93" i="12"/>
  <c r="L254" i="12"/>
  <c r="K254" i="12"/>
  <c r="K202" i="12"/>
  <c r="L202" i="12"/>
  <c r="L356" i="12"/>
  <c r="K356" i="12"/>
  <c r="L103" i="12"/>
  <c r="K103" i="12"/>
  <c r="L351" i="12"/>
  <c r="K351" i="12"/>
  <c r="L629" i="12"/>
  <c r="K629" i="12"/>
  <c r="L189" i="12"/>
  <c r="K189" i="12"/>
  <c r="K605" i="12"/>
  <c r="L605" i="12"/>
  <c r="L704" i="12"/>
  <c r="K704" i="12"/>
  <c r="L402" i="12"/>
  <c r="K402" i="12"/>
  <c r="L210" i="12"/>
  <c r="K210" i="12"/>
  <c r="L144" i="12"/>
  <c r="K144" i="12"/>
  <c r="K315" i="12"/>
  <c r="L315" i="12"/>
  <c r="L382" i="12"/>
  <c r="K382" i="12"/>
  <c r="K84" i="12"/>
  <c r="L84" i="12"/>
  <c r="L278" i="12"/>
  <c r="K278" i="12"/>
  <c r="K591" i="12"/>
  <c r="L591" i="12"/>
  <c r="L375" i="12"/>
  <c r="K375" i="12"/>
  <c r="L167" i="12"/>
  <c r="K167" i="12"/>
  <c r="L667" i="12"/>
  <c r="K667" i="12"/>
  <c r="L572" i="12"/>
  <c r="K572" i="12"/>
  <c r="L336" i="12"/>
  <c r="K336" i="12"/>
  <c r="L338" i="12"/>
  <c r="K338" i="12"/>
  <c r="L577" i="12"/>
  <c r="K577" i="12"/>
  <c r="K647" i="12"/>
  <c r="L647" i="12"/>
  <c r="K370" i="12"/>
  <c r="L370" i="12"/>
  <c r="L390" i="12"/>
  <c r="K390" i="12"/>
  <c r="K213" i="12"/>
  <c r="L213" i="12"/>
  <c r="L113" i="12"/>
  <c r="K113" i="12"/>
  <c r="L149" i="12"/>
  <c r="K149" i="12"/>
  <c r="L678" i="12"/>
  <c r="K678" i="12"/>
  <c r="K95" i="12"/>
  <c r="L95" i="12"/>
  <c r="L317" i="12"/>
  <c r="K317" i="12"/>
  <c r="L708" i="12"/>
  <c r="K708" i="12"/>
  <c r="L223" i="12"/>
  <c r="K223" i="12"/>
  <c r="L609" i="12"/>
  <c r="K609" i="12"/>
  <c r="K423" i="12"/>
  <c r="L423" i="12"/>
  <c r="K694" i="12"/>
  <c r="L694" i="12"/>
  <c r="L411" i="12"/>
  <c r="K411" i="12"/>
  <c r="K606" i="12"/>
  <c r="L606" i="12"/>
  <c r="K547" i="12"/>
  <c r="L547" i="12"/>
  <c r="K526" i="12"/>
  <c r="L526" i="12"/>
  <c r="K531" i="12"/>
  <c r="L531" i="12"/>
  <c r="K310" i="12"/>
  <c r="L310" i="12"/>
  <c r="L312" i="12"/>
  <c r="K312" i="12"/>
  <c r="L654" i="12"/>
  <c r="K654" i="12"/>
  <c r="K109" i="12"/>
  <c r="L109" i="12"/>
  <c r="K96" i="12"/>
  <c r="L96" i="12"/>
  <c r="K242" i="12"/>
  <c r="L242" i="12"/>
  <c r="K637" i="12"/>
  <c r="L637" i="12"/>
  <c r="L715" i="12"/>
  <c r="K715" i="12"/>
  <c r="K650" i="12"/>
  <c r="L650" i="12"/>
  <c r="K717" i="12"/>
  <c r="L717" i="12"/>
  <c r="L425" i="12"/>
  <c r="K425" i="12"/>
  <c r="L682" i="12"/>
  <c r="K682" i="12"/>
  <c r="L380" i="12"/>
  <c r="K380" i="12"/>
  <c r="K527" i="12"/>
  <c r="L527" i="12"/>
  <c r="K462" i="12"/>
  <c r="L462" i="12"/>
  <c r="K458" i="12"/>
  <c r="L458" i="12"/>
  <c r="L472" i="12"/>
  <c r="K472" i="12"/>
  <c r="L490" i="12"/>
  <c r="K490" i="12"/>
  <c r="K311" i="12"/>
  <c r="L311" i="12"/>
  <c r="L104" i="12"/>
  <c r="K104" i="12"/>
  <c r="K607" i="12"/>
  <c r="L607" i="12"/>
  <c r="K687" i="12"/>
  <c r="L687" i="12"/>
  <c r="K282" i="12"/>
  <c r="L282" i="12"/>
  <c r="K697" i="12"/>
  <c r="L697" i="12"/>
  <c r="L320" i="12"/>
  <c r="K320" i="12"/>
  <c r="L642" i="12"/>
  <c r="K642" i="12"/>
  <c r="L269" i="12"/>
  <c r="K269" i="12"/>
  <c r="K304" i="12"/>
  <c r="L304" i="12"/>
  <c r="L669" i="12"/>
  <c r="K669" i="12"/>
  <c r="K302" i="12"/>
  <c r="L302" i="12"/>
  <c r="L481" i="12"/>
  <c r="K481" i="12"/>
  <c r="K585" i="12"/>
  <c r="L585" i="12"/>
  <c r="K723" i="12"/>
  <c r="L723" i="12"/>
  <c r="L279" i="12"/>
  <c r="K279" i="12"/>
  <c r="K571" i="12"/>
  <c r="L571" i="12"/>
  <c r="K543" i="12"/>
  <c r="L543" i="12"/>
  <c r="L630" i="12"/>
  <c r="K630" i="12"/>
  <c r="L690" i="12"/>
  <c r="K690" i="12"/>
  <c r="L263" i="12"/>
  <c r="K263" i="12"/>
  <c r="L196" i="12"/>
  <c r="K196" i="12"/>
  <c r="K358" i="12"/>
  <c r="L358" i="12"/>
  <c r="L559" i="12"/>
  <c r="K559" i="12"/>
  <c r="L199" i="12"/>
  <c r="K199" i="12"/>
  <c r="K66" i="12"/>
  <c r="L66" i="12"/>
  <c r="L483" i="12"/>
  <c r="K483" i="12"/>
  <c r="K333" i="12"/>
  <c r="L333" i="12"/>
  <c r="L468" i="12"/>
  <c r="K468" i="12"/>
  <c r="L470" i="12"/>
  <c r="K470" i="12"/>
  <c r="L158" i="12"/>
  <c r="K158" i="12"/>
  <c r="K325" i="12"/>
  <c r="L325" i="12"/>
  <c r="L653" i="12"/>
  <c r="K653" i="12"/>
  <c r="K324" i="12"/>
  <c r="L324" i="12"/>
  <c r="K536" i="12"/>
  <c r="L536" i="12"/>
  <c r="K283" i="12"/>
  <c r="L283" i="12"/>
  <c r="L465" i="12"/>
  <c r="K465" i="12"/>
  <c r="K287" i="12"/>
  <c r="L287" i="12"/>
  <c r="K513" i="12"/>
  <c r="L513" i="12"/>
  <c r="K661" i="12"/>
  <c r="L661" i="12"/>
  <c r="L397" i="12"/>
  <c r="K397" i="12"/>
  <c r="L74" i="12"/>
  <c r="K74" i="12"/>
  <c r="K326" i="12"/>
  <c r="L326" i="12"/>
  <c r="K530" i="12"/>
  <c r="L530" i="12"/>
  <c r="L127" i="12"/>
  <c r="K127" i="12"/>
  <c r="L608" i="12"/>
  <c r="K608" i="12"/>
  <c r="K284" i="12"/>
  <c r="L284" i="12"/>
  <c r="L221" i="12"/>
  <c r="K221" i="12"/>
  <c r="L560" i="12"/>
  <c r="K560" i="12"/>
  <c r="K316" i="12"/>
  <c r="L316" i="12"/>
  <c r="L574" i="12"/>
  <c r="K574" i="12"/>
  <c r="L410" i="12"/>
  <c r="K410" i="12"/>
  <c r="K78" i="12"/>
  <c r="L78" i="12"/>
  <c r="L352" i="12"/>
  <c r="K352" i="12"/>
  <c r="L195" i="12"/>
  <c r="K195" i="12"/>
  <c r="L546" i="12"/>
  <c r="K546" i="12"/>
  <c r="L610" i="12"/>
  <c r="K610" i="12"/>
  <c r="L691" i="12"/>
  <c r="K691" i="12"/>
  <c r="L244" i="12"/>
  <c r="K244" i="12"/>
  <c r="L108" i="12"/>
  <c r="K108" i="12"/>
  <c r="L707" i="12"/>
  <c r="K707" i="12"/>
  <c r="K314" i="12"/>
  <c r="L314" i="12"/>
  <c r="L198" i="12"/>
  <c r="K198" i="12"/>
  <c r="K129" i="12"/>
  <c r="L129" i="12"/>
  <c r="L171" i="12"/>
  <c r="K171" i="12"/>
  <c r="L154" i="12"/>
  <c r="K154" i="12"/>
  <c r="L334" i="12"/>
  <c r="K334" i="12"/>
  <c r="L540" i="12"/>
  <c r="K540" i="12"/>
  <c r="L249" i="12"/>
  <c r="K249" i="12"/>
  <c r="K117" i="12"/>
  <c r="L117" i="12"/>
  <c r="L69" i="12"/>
  <c r="K69" i="12"/>
  <c r="L255" i="12"/>
  <c r="K255" i="12"/>
  <c r="K394" i="12"/>
  <c r="L394" i="12"/>
  <c r="K635" i="12"/>
  <c r="L635" i="12"/>
  <c r="L460" i="12"/>
  <c r="K460" i="12"/>
  <c r="L603" i="12"/>
  <c r="K603" i="12"/>
  <c r="K436" i="12"/>
  <c r="L436" i="12"/>
  <c r="L625" i="12"/>
  <c r="K625" i="12"/>
  <c r="L392" i="12"/>
  <c r="K392" i="12"/>
  <c r="K554" i="12"/>
  <c r="L554" i="12"/>
  <c r="K105" i="12"/>
  <c r="L105" i="12"/>
  <c r="L170" i="12"/>
  <c r="K170" i="12"/>
  <c r="L671" i="12"/>
  <c r="K671" i="12"/>
  <c r="K702" i="12"/>
  <c r="L702" i="12"/>
  <c r="K236" i="12"/>
  <c r="L236" i="12"/>
  <c r="K119" i="12"/>
  <c r="L119" i="12"/>
  <c r="K659" i="12"/>
  <c r="L659" i="12"/>
  <c r="L463" i="12"/>
  <c r="K463" i="12"/>
  <c r="K295" i="12"/>
  <c r="L295" i="12"/>
  <c r="L79" i="12"/>
  <c r="K79" i="12"/>
  <c r="L698" i="12"/>
  <c r="K698" i="12"/>
  <c r="L413" i="12"/>
  <c r="K413" i="12"/>
  <c r="L327" i="12"/>
  <c r="K327" i="12"/>
  <c r="L497" i="12"/>
  <c r="K497" i="12"/>
  <c r="L735" i="12"/>
  <c r="K735" i="12"/>
  <c r="K550" i="12"/>
  <c r="L550" i="12"/>
  <c r="K506" i="12"/>
  <c r="L506" i="12"/>
  <c r="L107" i="12"/>
  <c r="K107" i="12"/>
  <c r="L281" i="12"/>
  <c r="K281" i="12"/>
  <c r="L433" i="12"/>
  <c r="K433" i="12"/>
  <c r="K677" i="12"/>
  <c r="L677" i="12"/>
  <c r="K680" i="12"/>
  <c r="L680" i="12"/>
  <c r="K404" i="12"/>
  <c r="L404" i="12"/>
  <c r="K441" i="12"/>
  <c r="L441" i="12"/>
  <c r="L85" i="12"/>
  <c r="K85" i="12"/>
  <c r="K157" i="12"/>
  <c r="L157" i="12"/>
  <c r="K143" i="12"/>
  <c r="L143" i="12"/>
  <c r="L201" i="12"/>
  <c r="K201" i="12"/>
  <c r="L342" i="12"/>
  <c r="K342" i="12"/>
  <c r="L408" i="12"/>
  <c r="K408" i="12"/>
  <c r="K407" i="12"/>
  <c r="L407" i="12"/>
  <c r="K190" i="12"/>
  <c r="L190" i="12"/>
  <c r="L86" i="12"/>
  <c r="K86" i="12"/>
  <c r="L644" i="12"/>
  <c r="K644" i="12"/>
  <c r="L544" i="12"/>
  <c r="K544" i="12"/>
  <c r="K142" i="12"/>
  <c r="L142" i="12"/>
  <c r="K232" i="12"/>
  <c r="L232" i="12"/>
  <c r="L500" i="12"/>
  <c r="K500" i="12"/>
  <c r="L165" i="12"/>
  <c r="K165" i="12"/>
  <c r="K598" i="12"/>
  <c r="L598" i="12"/>
  <c r="K623" i="12"/>
  <c r="L623" i="12"/>
  <c r="L75" i="12"/>
  <c r="K75" i="12"/>
  <c r="L348" i="12"/>
  <c r="K348" i="12"/>
  <c r="K476" i="12"/>
  <c r="L476" i="12"/>
  <c r="L519" i="12"/>
  <c r="K519" i="12"/>
  <c r="K329" i="12"/>
  <c r="L329" i="12"/>
  <c r="L145" i="12"/>
  <c r="K145" i="12"/>
  <c r="K233" i="12"/>
  <c r="L233" i="12"/>
  <c r="K638" i="12"/>
  <c r="L638" i="12"/>
  <c r="L501" i="12"/>
  <c r="K501" i="12"/>
  <c r="K208" i="12"/>
  <c r="L208" i="12"/>
  <c r="K489" i="12"/>
  <c r="L489" i="12"/>
  <c r="K386" i="12"/>
  <c r="L386" i="12"/>
  <c r="K491" i="12"/>
  <c r="L491" i="12"/>
  <c r="K421" i="12"/>
  <c r="L421" i="12"/>
  <c r="K176" i="12"/>
  <c r="L176" i="12"/>
  <c r="K511" i="12"/>
  <c r="L511" i="12"/>
  <c r="K551" i="12"/>
  <c r="L551" i="12"/>
  <c r="K247" i="12"/>
  <c r="L247" i="12"/>
  <c r="K712" i="12"/>
  <c r="L712" i="12"/>
  <c r="K280" i="12"/>
  <c r="L280" i="12"/>
  <c r="K700" i="12"/>
  <c r="L700" i="12"/>
  <c r="L250" i="12"/>
  <c r="K250" i="12"/>
  <c r="K76" i="12"/>
  <c r="L76" i="12"/>
  <c r="K480" i="12"/>
  <c r="L480" i="12"/>
  <c r="L126" i="12"/>
  <c r="K126" i="12"/>
  <c r="L270" i="12"/>
  <c r="K270" i="12"/>
  <c r="L371" i="12"/>
  <c r="K371" i="12"/>
  <c r="K492" i="12"/>
  <c r="L492" i="12"/>
  <c r="L495" i="12"/>
  <c r="K495" i="12"/>
  <c r="K674" i="12"/>
  <c r="L674" i="12"/>
  <c r="K615" i="12"/>
  <c r="L615" i="12"/>
  <c r="L184" i="12"/>
  <c r="K184" i="12"/>
  <c r="L88" i="12"/>
  <c r="K88" i="12"/>
  <c r="L396" i="12"/>
  <c r="K396" i="12"/>
  <c r="L193" i="12"/>
  <c r="K193" i="12"/>
  <c r="L164" i="12"/>
  <c r="K164" i="12"/>
  <c r="K180" i="12"/>
  <c r="L180" i="12"/>
  <c r="K689" i="12"/>
  <c r="L689" i="12"/>
  <c r="L701" i="12"/>
  <c r="K701" i="12"/>
  <c r="K556" i="12"/>
  <c r="L556" i="12"/>
  <c r="L725" i="12"/>
  <c r="K725" i="12"/>
  <c r="L132" i="12"/>
  <c r="K132" i="12"/>
  <c r="K552" i="12"/>
  <c r="L552" i="12"/>
  <c r="K450" i="12"/>
  <c r="L450" i="12"/>
  <c r="L388" i="12"/>
  <c r="K388" i="12"/>
  <c r="L452" i="12"/>
  <c r="K452" i="12"/>
  <c r="K451" i="12"/>
  <c r="L451" i="12"/>
  <c r="K227" i="12"/>
  <c r="L227" i="12"/>
  <c r="K486" i="12"/>
  <c r="L486" i="12"/>
  <c r="K730" i="12"/>
  <c r="L730" i="12"/>
  <c r="L256" i="12"/>
  <c r="K256" i="12"/>
  <c r="L112" i="12"/>
  <c r="K112" i="12"/>
  <c r="K504" i="12"/>
  <c r="L504" i="12"/>
  <c r="L624" i="12"/>
  <c r="K624" i="12"/>
  <c r="L434" i="12"/>
  <c r="K434" i="12"/>
  <c r="L655" i="12"/>
  <c r="K655" i="12"/>
  <c r="L444" i="12"/>
  <c r="K444" i="12"/>
  <c r="L484" i="12"/>
  <c r="K484" i="12"/>
  <c r="L596" i="12"/>
  <c r="K596" i="12"/>
  <c r="L128" i="12"/>
  <c r="K128" i="12"/>
  <c r="K646" i="12"/>
  <c r="L646" i="12"/>
  <c r="L134" i="12"/>
  <c r="K134" i="12"/>
  <c r="K337" i="12"/>
  <c r="L337" i="12"/>
  <c r="K611" i="12"/>
  <c r="L611" i="12"/>
  <c r="K139" i="12"/>
  <c r="L139" i="12"/>
  <c r="K626" i="12"/>
  <c r="L626" i="12"/>
  <c r="L224" i="12"/>
  <c r="K224" i="12"/>
  <c r="L399" i="12"/>
  <c r="K399" i="12"/>
  <c r="L719" i="12"/>
  <c r="K719" i="12"/>
  <c r="K130" i="12"/>
  <c r="L130" i="12"/>
  <c r="K265" i="12"/>
  <c r="L265" i="12"/>
  <c r="K656" i="12"/>
  <c r="L656" i="12"/>
  <c r="K262" i="12"/>
  <c r="L262" i="12"/>
  <c r="K558" i="12"/>
  <c r="L558" i="12"/>
  <c r="K205" i="12"/>
  <c r="L205" i="12"/>
  <c r="L428" i="12"/>
  <c r="K428" i="12"/>
  <c r="K106" i="12"/>
  <c r="L106" i="12"/>
  <c r="L406" i="12"/>
  <c r="K406" i="12"/>
  <c r="L347" i="12"/>
  <c r="K347" i="12"/>
  <c r="K82" i="12"/>
  <c r="L82" i="12"/>
  <c r="L332" i="12"/>
  <c r="K332" i="12"/>
  <c r="L243" i="12"/>
  <c r="K243" i="12"/>
  <c r="L231" i="12"/>
  <c r="K231" i="12"/>
  <c r="L160" i="12"/>
  <c r="K160" i="12"/>
  <c r="L188" i="12"/>
  <c r="K188" i="12"/>
  <c r="L592" i="12"/>
  <c r="K592" i="12"/>
  <c r="K153" i="12"/>
  <c r="L153" i="12"/>
  <c r="H735" i="12"/>
  <c r="D128" i="6"/>
  <c r="F128" i="6" s="1"/>
  <c r="L437" i="12"/>
  <c r="K437" i="12"/>
  <c r="L182" i="12"/>
  <c r="K182" i="12"/>
  <c r="K296" i="12"/>
  <c r="L296" i="12"/>
  <c r="L426" i="12"/>
  <c r="K426" i="12"/>
  <c r="L415" i="12"/>
  <c r="K415" i="12"/>
  <c r="K493" i="12"/>
  <c r="L493" i="12"/>
  <c r="K570" i="12"/>
  <c r="L570" i="12"/>
  <c r="L726" i="12"/>
  <c r="K726" i="12"/>
  <c r="L414" i="12"/>
  <c r="K414" i="12"/>
  <c r="K303" i="12"/>
  <c r="L303" i="12"/>
  <c r="L101" i="12"/>
  <c r="K101" i="12"/>
  <c r="K541" i="12"/>
  <c r="L541" i="12"/>
  <c r="K177" i="12"/>
  <c r="L177" i="12"/>
  <c r="K557" i="12"/>
  <c r="L557" i="12"/>
  <c r="K225" i="12"/>
  <c r="L225" i="12"/>
  <c r="L67" i="12"/>
  <c r="K67" i="12"/>
  <c r="K525" i="12"/>
  <c r="L525" i="12"/>
  <c r="L582" i="12"/>
  <c r="K582" i="12"/>
  <c r="L241" i="12"/>
  <c r="K241" i="12"/>
  <c r="L728" i="12"/>
  <c r="K728" i="12"/>
  <c r="K147" i="12"/>
  <c r="L147" i="12"/>
  <c r="L474" i="12"/>
  <c r="K474" i="12"/>
  <c r="K323" i="12"/>
  <c r="L323" i="12"/>
  <c r="K457" i="12"/>
  <c r="L457" i="12"/>
  <c r="L479" i="12"/>
  <c r="K479" i="12"/>
  <c r="K308" i="12"/>
  <c r="L308" i="12"/>
  <c r="K322" i="12"/>
  <c r="L322" i="12"/>
  <c r="K532" i="12"/>
  <c r="L532" i="12"/>
  <c r="L131" i="12"/>
  <c r="K131" i="12"/>
  <c r="L120" i="12"/>
  <c r="K120" i="12"/>
  <c r="K340" i="12"/>
  <c r="L340" i="12"/>
  <c r="K595" i="12"/>
  <c r="L595" i="12"/>
  <c r="L121" i="12"/>
  <c r="K121" i="12"/>
  <c r="K172" i="12"/>
  <c r="L172" i="12"/>
  <c r="L666" i="12"/>
  <c r="K666" i="12"/>
  <c r="K384" i="12"/>
  <c r="L384" i="12"/>
  <c r="L240" i="12"/>
  <c r="K240" i="12"/>
  <c r="K652" i="12"/>
  <c r="L652" i="12"/>
  <c r="L538" i="12"/>
  <c r="K538" i="12"/>
  <c r="K430" i="12"/>
  <c r="L430" i="12"/>
  <c r="L275" i="12"/>
  <c r="K275" i="12"/>
  <c r="L648" i="12"/>
  <c r="K648" i="12"/>
  <c r="L439" i="12"/>
  <c r="K439" i="12"/>
  <c r="K77" i="12"/>
  <c r="L77" i="12"/>
  <c r="L362" i="12"/>
  <c r="K362" i="12"/>
  <c r="L235" i="12"/>
  <c r="K235" i="12"/>
  <c r="K140" i="12"/>
  <c r="L140" i="12"/>
  <c r="K168" i="12"/>
  <c r="L168" i="12"/>
  <c r="K693" i="12"/>
  <c r="L693" i="12"/>
  <c r="L612" i="12"/>
  <c r="K612" i="12"/>
  <c r="K166" i="12"/>
  <c r="L166" i="12"/>
  <c r="L569" i="12"/>
  <c r="K569" i="12"/>
  <c r="L442" i="12"/>
  <c r="K442" i="12"/>
  <c r="L579" i="12"/>
  <c r="K579" i="12"/>
  <c r="L264" i="12"/>
  <c r="K264" i="12"/>
  <c r="L522" i="12"/>
  <c r="K522" i="12"/>
  <c r="K632" i="12"/>
  <c r="L632" i="12"/>
  <c r="L575" i="12"/>
  <c r="K575" i="12"/>
  <c r="L150" i="12"/>
  <c r="K150" i="12"/>
  <c r="K207" i="12"/>
  <c r="L207" i="12"/>
  <c r="L124" i="12"/>
  <c r="K124" i="12"/>
  <c r="K515" i="12"/>
  <c r="L515" i="12"/>
  <c r="L695" i="12"/>
  <c r="K695" i="12"/>
  <c r="L360" i="12"/>
  <c r="K360" i="12"/>
  <c r="K136" i="12"/>
  <c r="L136" i="12"/>
  <c r="L640" i="12"/>
  <c r="K640" i="12"/>
  <c r="L518" i="12"/>
  <c r="K518" i="12"/>
  <c r="K294" i="12"/>
  <c r="L294" i="12"/>
  <c r="K331" i="12"/>
  <c r="L331" i="12"/>
  <c r="K568" i="12"/>
  <c r="L568" i="12"/>
  <c r="L376" i="12"/>
  <c r="K376" i="12"/>
  <c r="L643" i="12"/>
  <c r="K643" i="12"/>
  <c r="K658" i="12"/>
  <c r="L658" i="12"/>
  <c r="K169" i="12"/>
  <c r="L169" i="12"/>
  <c r="L523" i="12"/>
  <c r="K523" i="12"/>
  <c r="L722" i="12"/>
  <c r="K722" i="12"/>
  <c r="L533" i="12"/>
  <c r="K533" i="12"/>
  <c r="L535" i="12"/>
  <c r="K535" i="12"/>
  <c r="K385" i="12"/>
  <c r="L385" i="12"/>
  <c r="L234" i="12"/>
  <c r="K234" i="12"/>
  <c r="L524" i="12"/>
  <c r="K524" i="12"/>
  <c r="K597" i="12"/>
  <c r="L597" i="12"/>
  <c r="K212" i="12"/>
  <c r="L212" i="12"/>
  <c r="K369" i="12"/>
  <c r="L369" i="12"/>
  <c r="L713" i="12"/>
  <c r="K713" i="12"/>
  <c r="K71" i="12"/>
  <c r="L71" i="12"/>
  <c r="L90" i="12"/>
  <c r="K90" i="12"/>
  <c r="K727" i="12"/>
  <c r="L727" i="12"/>
  <c r="L502" i="12"/>
  <c r="K502" i="12"/>
  <c r="K593" i="12"/>
  <c r="L593" i="12"/>
  <c r="K403" i="12"/>
  <c r="L403" i="12"/>
  <c r="L259" i="12"/>
  <c r="K259" i="12"/>
  <c r="K573" i="12"/>
  <c r="L573" i="12"/>
  <c r="K508" i="12"/>
  <c r="L508" i="12"/>
  <c r="K363" i="12"/>
  <c r="L363" i="12"/>
  <c r="L584" i="12"/>
  <c r="K584" i="12"/>
  <c r="L665" i="12"/>
  <c r="K665" i="12"/>
  <c r="L724" i="12"/>
  <c r="K724" i="12"/>
  <c r="K175" i="12"/>
  <c r="L175" i="12"/>
  <c r="L604" i="12"/>
  <c r="K604" i="12"/>
  <c r="K448" i="12"/>
  <c r="L448" i="12"/>
  <c r="L520" i="12"/>
  <c r="K520" i="12"/>
  <c r="K206" i="12"/>
  <c r="L206" i="12"/>
  <c r="K449" i="12"/>
  <c r="L449" i="12"/>
  <c r="K564" i="12"/>
  <c r="L564" i="12"/>
  <c r="L627" i="12"/>
  <c r="K627" i="12"/>
  <c r="K344" i="12"/>
  <c r="L344" i="12"/>
  <c r="L125" i="12"/>
  <c r="K125" i="12"/>
  <c r="K267" i="12"/>
  <c r="L267" i="12"/>
  <c r="L209" i="12"/>
  <c r="K209" i="12"/>
  <c r="L222" i="12"/>
  <c r="K222" i="12"/>
  <c r="L365" i="12"/>
  <c r="K365" i="12"/>
  <c r="K721" i="12"/>
  <c r="L721" i="12"/>
  <c r="L98" i="12"/>
  <c r="K98" i="12"/>
  <c r="K711" i="12"/>
  <c r="L711" i="12"/>
  <c r="K438" i="12"/>
  <c r="L438" i="12"/>
  <c r="L688" i="12"/>
  <c r="K688" i="12"/>
  <c r="K686" i="12"/>
  <c r="L686" i="12"/>
  <c r="L563" i="12"/>
  <c r="K563" i="12"/>
  <c r="K301" i="12"/>
  <c r="L301" i="12"/>
  <c r="K141" i="12"/>
  <c r="L141" i="12"/>
  <c r="K621" i="12"/>
  <c r="L621" i="12"/>
  <c r="L670" i="12"/>
  <c r="K670" i="12"/>
  <c r="L485" i="12"/>
  <c r="K485" i="12"/>
  <c r="K733" i="12"/>
  <c r="L733" i="12"/>
  <c r="K566" i="12"/>
  <c r="L566" i="12"/>
  <c r="L148" i="12"/>
  <c r="K148" i="12"/>
  <c r="K703" i="12"/>
  <c r="L703" i="12"/>
  <c r="K537" i="12"/>
  <c r="L537" i="12"/>
  <c r="L720" i="12"/>
  <c r="K720" i="12"/>
  <c r="K73" i="12"/>
  <c r="L73" i="12"/>
  <c r="L328" i="12"/>
  <c r="K328" i="12"/>
  <c r="K706" i="12"/>
  <c r="L706" i="12"/>
  <c r="L393" i="12"/>
  <c r="K393" i="12"/>
  <c r="K496" i="12"/>
  <c r="L496" i="12"/>
  <c r="K381" i="12"/>
  <c r="L381" i="12"/>
  <c r="L271" i="12"/>
  <c r="K271" i="12"/>
  <c r="K588" i="12"/>
  <c r="L588" i="12"/>
  <c r="K675" i="12"/>
  <c r="L675" i="12"/>
  <c r="K645" i="12"/>
  <c r="L645" i="12"/>
  <c r="K359" i="12"/>
  <c r="L359" i="12"/>
  <c r="K307" i="12"/>
  <c r="L307" i="12"/>
  <c r="K197" i="12"/>
  <c r="L197" i="12"/>
  <c r="K427" i="12"/>
  <c r="L427" i="12"/>
  <c r="K217" i="12"/>
  <c r="L217" i="12"/>
  <c r="K443" i="12"/>
  <c r="L443" i="12"/>
  <c r="K289" i="12"/>
  <c r="L289" i="12"/>
  <c r="L510" i="12"/>
  <c r="K510" i="12"/>
  <c r="L260" i="12"/>
  <c r="K260" i="12"/>
  <c r="K341" i="12"/>
  <c r="L341" i="12"/>
  <c r="L445" i="12"/>
  <c r="K445" i="12"/>
  <c r="K187" i="12"/>
  <c r="L187" i="12"/>
  <c r="L245" i="12"/>
  <c r="K245" i="12"/>
  <c r="L453" i="12"/>
  <c r="K453" i="12"/>
  <c r="L305" i="12"/>
  <c r="K305" i="12"/>
  <c r="K80" i="12"/>
  <c r="L80" i="12"/>
  <c r="K587" i="12"/>
  <c r="L587" i="12"/>
  <c r="L641" i="12"/>
  <c r="K641" i="12"/>
  <c r="L364" i="12"/>
  <c r="K364" i="12"/>
  <c r="K424" i="12"/>
  <c r="L424" i="12"/>
  <c r="K590" i="12"/>
  <c r="L590" i="12"/>
  <c r="K133" i="12"/>
  <c r="L133" i="12"/>
  <c r="K668" i="12"/>
  <c r="L668" i="12"/>
  <c r="L516" i="12"/>
  <c r="K516" i="12"/>
  <c r="K306" i="12"/>
  <c r="L306" i="12"/>
  <c r="K200" i="12"/>
  <c r="L200" i="12"/>
  <c r="L498" i="12"/>
  <c r="K498" i="12"/>
  <c r="L273" i="12"/>
  <c r="K273" i="12"/>
  <c r="L599" i="12"/>
  <c r="K599" i="12"/>
  <c r="L343" i="12"/>
  <c r="K343" i="12"/>
  <c r="L178" i="12"/>
  <c r="K178" i="12"/>
  <c r="K545" i="12"/>
  <c r="L545" i="12"/>
  <c r="K99" i="12"/>
  <c r="L99" i="12"/>
  <c r="L152" i="12"/>
  <c r="K152" i="12"/>
  <c r="K583" i="12"/>
  <c r="L583" i="12"/>
  <c r="L469" i="12"/>
  <c r="K469" i="12"/>
  <c r="L662" i="12"/>
  <c r="K662" i="12"/>
  <c r="L251" i="12"/>
  <c r="K251" i="12"/>
  <c r="L534" i="12"/>
  <c r="K534" i="12"/>
  <c r="K633" i="12"/>
  <c r="L633" i="12"/>
  <c r="L619" i="12"/>
  <c r="K619" i="12"/>
  <c r="K211" i="12"/>
  <c r="L211" i="12"/>
  <c r="L230" i="12"/>
  <c r="K230" i="12"/>
  <c r="K529" i="12"/>
  <c r="L529" i="12"/>
  <c r="L159" i="12"/>
  <c r="K159" i="12"/>
  <c r="K440" i="12"/>
  <c r="L440" i="12"/>
  <c r="K118" i="12"/>
  <c r="L118" i="12"/>
  <c r="K576" i="12"/>
  <c r="L576" i="12"/>
  <c r="K102" i="12"/>
  <c r="L102" i="12"/>
  <c r="L237" i="12"/>
  <c r="K237" i="12"/>
  <c r="K156" i="12"/>
  <c r="L156" i="12"/>
  <c r="L507" i="12"/>
  <c r="K507" i="12"/>
  <c r="L589" i="12"/>
  <c r="K589" i="12"/>
  <c r="L435" i="12"/>
  <c r="K435" i="12"/>
  <c r="K709" i="12"/>
  <c r="L709" i="12"/>
  <c r="L83" i="12"/>
  <c r="K83" i="12"/>
  <c r="K297" i="12"/>
  <c r="L297" i="12"/>
  <c r="L194" i="12"/>
  <c r="K194" i="12"/>
  <c r="K459" i="12"/>
  <c r="L459" i="12"/>
  <c r="L586" i="12"/>
  <c r="K586" i="12"/>
  <c r="L261" i="12"/>
  <c r="K261" i="12"/>
  <c r="L274" i="12"/>
  <c r="K274" i="12"/>
  <c r="K68" i="12"/>
  <c r="L68" i="12"/>
  <c r="L293" i="12"/>
  <c r="K293" i="12"/>
  <c r="K639" i="12"/>
  <c r="L639" i="12"/>
  <c r="K499" i="12"/>
  <c r="L499" i="12"/>
  <c r="K673" i="12"/>
  <c r="L673" i="12"/>
  <c r="K663" i="12"/>
  <c r="L663" i="12"/>
  <c r="L562" i="12"/>
  <c r="K562" i="12"/>
  <c r="L567" i="12"/>
  <c r="K567" i="12"/>
  <c r="K215" i="12"/>
  <c r="L215" i="12"/>
  <c r="L660" i="12"/>
  <c r="K660" i="12"/>
  <c r="K87" i="12"/>
  <c r="L87" i="12"/>
  <c r="K477" i="12"/>
  <c r="L477" i="12"/>
  <c r="K617" i="12"/>
  <c r="L617" i="12"/>
  <c r="L696" i="12"/>
  <c r="K696" i="12"/>
  <c r="K405" i="12"/>
  <c r="L405" i="12"/>
  <c r="K409" i="12"/>
  <c r="L409" i="12"/>
  <c r="K115" i="12"/>
  <c r="L115" i="12"/>
  <c r="K300" i="12"/>
  <c r="L300" i="12"/>
  <c r="K272" i="12"/>
  <c r="L272" i="12"/>
  <c r="L657" i="12"/>
  <c r="K657" i="12"/>
  <c r="L89" i="12"/>
  <c r="K89" i="12"/>
  <c r="L718" i="12"/>
  <c r="K718" i="12"/>
  <c r="K174" i="12"/>
  <c r="L174" i="12"/>
  <c r="K517" i="12"/>
  <c r="L517" i="12"/>
  <c r="K146" i="12"/>
  <c r="L146" i="12"/>
  <c r="K456" i="12"/>
  <c r="L456" i="12"/>
  <c r="L664" i="12"/>
  <c r="K664" i="12"/>
  <c r="K111" i="12"/>
  <c r="L111" i="12"/>
  <c r="L374" i="12"/>
  <c r="K374" i="12"/>
  <c r="K734" i="12"/>
  <c r="L734" i="12"/>
  <c r="K514" i="12"/>
  <c r="L514" i="12"/>
  <c r="L291" i="12"/>
  <c r="K291" i="12"/>
  <c r="L286" i="12"/>
  <c r="K286" i="12"/>
  <c r="L373" i="12"/>
  <c r="K373" i="12"/>
  <c r="K191" i="12"/>
  <c r="L191" i="12"/>
  <c r="L185" i="12"/>
  <c r="K185" i="12"/>
  <c r="L417" i="12"/>
  <c r="K417" i="12"/>
  <c r="K716" i="12"/>
  <c r="L716" i="12"/>
  <c r="K162" i="12"/>
  <c r="L162" i="12"/>
  <c r="K228" i="12"/>
  <c r="L228" i="12"/>
  <c r="K238" i="12"/>
  <c r="L238" i="12"/>
  <c r="K649" i="12"/>
  <c r="L649" i="12"/>
  <c r="K186" i="12"/>
  <c r="L186" i="12"/>
  <c r="L422" i="12"/>
  <c r="K422" i="12"/>
  <c r="L357" i="12"/>
  <c r="K357" i="12"/>
  <c r="L361" i="12"/>
  <c r="K361" i="12"/>
  <c r="K471" i="12"/>
  <c r="L471" i="12"/>
  <c r="K91" i="12"/>
  <c r="L91" i="12"/>
  <c r="K487" i="12"/>
  <c r="L487" i="12"/>
  <c r="K509" i="12"/>
  <c r="L509" i="12"/>
  <c r="L81" i="12"/>
  <c r="K81" i="12"/>
  <c r="K684" i="12"/>
  <c r="L684" i="12"/>
  <c r="L383" i="12"/>
  <c r="K383" i="12"/>
  <c r="L401" i="12"/>
  <c r="K401" i="12"/>
  <c r="L602" i="12"/>
  <c r="K602" i="12"/>
  <c r="K389" i="12"/>
  <c r="L389" i="12"/>
  <c r="K276" i="12"/>
  <c r="L276" i="12"/>
  <c r="K672" i="12"/>
  <c r="L672" i="12"/>
  <c r="L565" i="12"/>
  <c r="K565" i="12"/>
  <c r="K600" i="12"/>
  <c r="L600" i="12"/>
  <c r="L257" i="12"/>
  <c r="K257" i="12"/>
  <c r="L70" i="12"/>
  <c r="K70" i="12"/>
  <c r="L416" i="12"/>
  <c r="K416" i="12"/>
  <c r="K378" i="12"/>
  <c r="L378" i="12"/>
  <c r="K679" i="12"/>
  <c r="L679" i="12"/>
  <c r="K110" i="12"/>
  <c r="L110" i="12"/>
  <c r="L521" i="12"/>
  <c r="K521" i="12"/>
  <c r="K313" i="12"/>
  <c r="L313" i="12"/>
  <c r="L613" i="12"/>
  <c r="K613" i="12"/>
  <c r="K94" i="12"/>
  <c r="L94" i="12"/>
  <c r="K478" i="12"/>
  <c r="L478" i="12"/>
  <c r="K298" i="12"/>
  <c r="L298" i="12"/>
  <c r="L220" i="12"/>
  <c r="K220" i="12"/>
  <c r="L447" i="12"/>
  <c r="K447" i="12"/>
  <c r="K248" i="12"/>
  <c r="L248" i="12"/>
  <c r="K114" i="12"/>
  <c r="L114" i="12"/>
  <c r="K578" i="12"/>
  <c r="L578" i="12"/>
  <c r="K429" i="12"/>
  <c r="L429" i="12"/>
  <c r="L528" i="12"/>
  <c r="K528" i="12"/>
  <c r="K473" i="12"/>
  <c r="L473" i="12"/>
  <c r="K253" i="12"/>
  <c r="L253" i="12"/>
  <c r="L488" i="12"/>
  <c r="K488" i="12"/>
  <c r="L346" i="12"/>
  <c r="K346" i="12"/>
  <c r="K179" i="12"/>
  <c r="L179" i="12"/>
  <c r="K461" i="12"/>
  <c r="L461" i="12"/>
  <c r="L631" i="12"/>
  <c r="K631" i="12"/>
  <c r="L349" i="12"/>
  <c r="K349" i="12"/>
  <c r="L400" i="12"/>
  <c r="K400" i="12"/>
  <c r="K482" i="12"/>
  <c r="L482" i="12"/>
  <c r="K122" i="12"/>
  <c r="L122" i="12"/>
  <c r="K367" i="12"/>
  <c r="L367" i="12"/>
  <c r="L123" i="12"/>
  <c r="K123" i="12"/>
  <c r="L203" i="12"/>
  <c r="K203" i="12"/>
  <c r="K239" i="12"/>
  <c r="L239" i="12"/>
  <c r="L319" i="12"/>
  <c r="K319" i="12"/>
  <c r="K732" i="12"/>
  <c r="L732" i="12"/>
  <c r="L181" i="12"/>
  <c r="K181" i="12"/>
  <c r="L555" i="12"/>
  <c r="K555" i="12"/>
  <c r="L330" i="12"/>
  <c r="K330" i="12"/>
  <c r="L729" i="12"/>
  <c r="K729" i="12"/>
  <c r="K339" i="12"/>
  <c r="L339" i="12"/>
  <c r="K581" i="12"/>
  <c r="L581" i="12"/>
  <c r="K350" i="12"/>
  <c r="L350" i="12"/>
  <c r="K135" i="12"/>
  <c r="L135" i="12"/>
  <c r="L266" i="12"/>
  <c r="K266" i="12"/>
  <c r="K391" i="12"/>
  <c r="L391" i="12"/>
  <c r="L455" i="12"/>
  <c r="K455" i="12"/>
  <c r="L72" i="12"/>
  <c r="K72" i="12"/>
  <c r="K539" i="12"/>
  <c r="L539" i="12"/>
  <c r="L192" i="12"/>
  <c r="K192" i="12"/>
  <c r="K229" i="12"/>
  <c r="L229" i="12"/>
  <c r="K553" i="12"/>
  <c r="L553" i="12"/>
  <c r="K372" i="12"/>
  <c r="L372" i="12"/>
  <c r="K345" i="12"/>
  <c r="L345" i="12"/>
  <c r="K290" i="12"/>
  <c r="L290" i="12"/>
  <c r="K100" i="12"/>
  <c r="L100" i="12"/>
  <c r="L214" i="12"/>
  <c r="K214" i="12"/>
  <c r="L368" i="12"/>
  <c r="K368" i="12"/>
  <c r="L258" i="12"/>
  <c r="K258" i="12"/>
  <c r="L268" i="12"/>
  <c r="K268" i="12"/>
  <c r="L580" i="12"/>
  <c r="K580" i="12"/>
  <c r="L299" i="12"/>
  <c r="K299" i="12"/>
  <c r="L710" i="12"/>
  <c r="K710" i="12"/>
  <c r="L614" i="12"/>
  <c r="K614" i="12"/>
  <c r="K183" i="12"/>
  <c r="L183" i="12"/>
  <c r="L651" i="12"/>
  <c r="K651" i="12"/>
  <c r="L97" i="12"/>
  <c r="K97" i="12"/>
  <c r="L219" i="12"/>
  <c r="K219" i="12"/>
  <c r="L561" i="12"/>
  <c r="K561" i="12"/>
  <c r="L503" i="12"/>
  <c r="K503" i="12"/>
  <c r="K138" i="12"/>
  <c r="L138" i="12"/>
  <c r="L512" i="12"/>
  <c r="K512" i="12"/>
  <c r="K398" i="12"/>
  <c r="L398" i="12"/>
  <c r="L335" i="12"/>
  <c r="K335" i="12"/>
  <c r="L418" i="12"/>
  <c r="K418" i="12"/>
  <c r="K277" i="12"/>
  <c r="L277" i="12"/>
  <c r="L681" i="12"/>
  <c r="K681" i="12"/>
  <c r="L692" i="12"/>
  <c r="K692" i="12"/>
  <c r="K628" i="12"/>
  <c r="L628" i="12"/>
  <c r="K218" i="12"/>
  <c r="L218" i="12"/>
  <c r="L548" i="12"/>
  <c r="K548" i="12"/>
  <c r="K216" i="12"/>
  <c r="L216" i="12"/>
  <c r="L226" i="12"/>
  <c r="K226" i="12"/>
  <c r="L161" i="12"/>
  <c r="K161" i="12"/>
  <c r="L594" i="12"/>
  <c r="K594" i="12"/>
  <c r="K353" i="12"/>
  <c r="L353" i="12"/>
  <c r="L475" i="12"/>
  <c r="K475" i="12"/>
  <c r="L318" i="12"/>
  <c r="K318" i="12"/>
  <c r="K355" i="12"/>
  <c r="L355" i="12"/>
  <c r="K387" i="12"/>
  <c r="L387" i="12"/>
  <c r="K92" i="12"/>
  <c r="L92" i="12"/>
  <c r="L731" i="12"/>
  <c r="K731" i="12"/>
  <c r="K354" i="12"/>
  <c r="L354" i="12"/>
  <c r="K419" i="12"/>
  <c r="L419" i="12"/>
  <c r="K446" i="12"/>
  <c r="L446" i="12"/>
  <c r="L292" i="12"/>
  <c r="K292" i="12"/>
  <c r="K285" i="12"/>
  <c r="L285" i="12"/>
  <c r="K252" i="12"/>
  <c r="L252" i="12"/>
  <c r="K379" i="12"/>
  <c r="L379" i="12"/>
  <c r="K288" i="12"/>
  <c r="L288" i="12"/>
  <c r="K683" i="12"/>
  <c r="L683" i="12"/>
  <c r="L699" i="12"/>
  <c r="K699" i="12"/>
  <c r="L622" i="12"/>
  <c r="K622" i="12"/>
  <c r="L155" i="12"/>
  <c r="K155" i="12"/>
  <c r="L616" i="12"/>
  <c r="K616" i="12"/>
  <c r="K395" i="12"/>
  <c r="L395" i="12"/>
  <c r="K464" i="12"/>
  <c r="L464" i="12"/>
  <c r="L116" i="12"/>
  <c r="K116" i="12"/>
  <c r="L173" i="12"/>
  <c r="K173" i="12"/>
  <c r="L204" i="12"/>
  <c r="K204" i="12"/>
  <c r="K705" i="12"/>
  <c r="L705" i="12"/>
  <c r="L163" i="12"/>
  <c r="K163" i="12"/>
  <c r="L601" i="12"/>
  <c r="K601" i="12"/>
  <c r="K467" i="12"/>
  <c r="L467" i="12"/>
  <c r="K377" i="12"/>
  <c r="L377" i="12"/>
  <c r="L432" i="12"/>
  <c r="K432" i="12"/>
  <c r="D129" i="6" l="1"/>
  <c r="F129" i="6" s="1"/>
  <c r="D126" i="6"/>
  <c r="F126" i="6" s="1"/>
  <c r="D125" i="6"/>
  <c r="D127" i="6"/>
  <c r="F127" i="6" s="1"/>
  <c r="F125" i="6" l="1"/>
  <c r="D130" i="6"/>
  <c r="F130" i="6" s="1"/>
  <c r="E29" i="3" l="1"/>
  <c r="S10" i="8" l="1"/>
  <c r="S29" i="8" s="1"/>
  <c r="H9" i="16"/>
  <c r="H13" i="16"/>
  <c r="H17" i="16"/>
  <c r="H21" i="16"/>
  <c r="H25" i="16"/>
  <c r="H29" i="16"/>
  <c r="H33" i="16"/>
  <c r="H37" i="16"/>
  <c r="H41" i="16"/>
  <c r="H45" i="16"/>
  <c r="H49" i="16"/>
  <c r="H53" i="16"/>
  <c r="H57" i="16"/>
  <c r="H61" i="16"/>
  <c r="H65" i="16"/>
  <c r="H69" i="16"/>
  <c r="H73" i="16"/>
  <c r="H77" i="16"/>
  <c r="H81" i="16"/>
  <c r="H85" i="16"/>
  <c r="H89" i="16"/>
  <c r="H93" i="16"/>
  <c r="H97" i="16"/>
  <c r="H101" i="16"/>
  <c r="H105" i="16"/>
  <c r="H109" i="16"/>
  <c r="H113" i="16"/>
  <c r="H117" i="16"/>
  <c r="H121" i="16"/>
  <c r="H125" i="16"/>
  <c r="H129" i="16"/>
  <c r="H133" i="16"/>
  <c r="H137" i="16"/>
  <c r="H141" i="16"/>
  <c r="H145" i="16"/>
  <c r="H149" i="16"/>
  <c r="H153" i="16"/>
  <c r="H157" i="16"/>
  <c r="H161" i="16"/>
  <c r="H165" i="16"/>
  <c r="H169" i="16"/>
  <c r="H173" i="16"/>
  <c r="H177" i="16"/>
  <c r="H181" i="16"/>
  <c r="H185" i="16"/>
  <c r="H189" i="16"/>
  <c r="H193" i="16"/>
  <c r="H197" i="16"/>
  <c r="H201" i="16"/>
  <c r="H205" i="16"/>
  <c r="H209" i="16"/>
  <c r="H213" i="16"/>
  <c r="H217" i="16"/>
  <c r="H221" i="16"/>
  <c r="H225" i="16"/>
  <c r="H229" i="16"/>
  <c r="H233" i="16"/>
  <c r="H237" i="16"/>
  <c r="H241" i="16"/>
  <c r="H245" i="16"/>
  <c r="H249" i="16"/>
  <c r="H253" i="16"/>
  <c r="H257" i="16"/>
  <c r="H261" i="16"/>
  <c r="H265" i="16"/>
  <c r="H269" i="16"/>
  <c r="H273" i="16"/>
  <c r="H277" i="16"/>
  <c r="H281" i="16"/>
  <c r="H285" i="16"/>
  <c r="H289" i="16"/>
  <c r="H293" i="16"/>
  <c r="H297" i="16"/>
  <c r="H301" i="16"/>
  <c r="H305" i="16"/>
  <c r="H309" i="16"/>
  <c r="H313" i="16"/>
  <c r="H317" i="16"/>
  <c r="H321" i="16"/>
  <c r="H325" i="16"/>
  <c r="H329" i="16"/>
  <c r="H333" i="16"/>
  <c r="H337" i="16"/>
  <c r="H341" i="16"/>
  <c r="H345" i="16"/>
  <c r="H349" i="16"/>
  <c r="H353" i="16"/>
  <c r="H357" i="16"/>
  <c r="H361" i="16"/>
  <c r="H365" i="16"/>
  <c r="H369" i="16"/>
  <c r="H373" i="16"/>
  <c r="H377" i="16"/>
  <c r="H381" i="16"/>
  <c r="H385" i="16"/>
  <c r="H389" i="16"/>
  <c r="H393" i="16"/>
  <c r="H397" i="16"/>
  <c r="H401" i="16"/>
  <c r="H405" i="16"/>
  <c r="H409" i="16"/>
  <c r="H413" i="16"/>
  <c r="H417" i="16"/>
  <c r="H421" i="16"/>
  <c r="H425" i="16"/>
  <c r="H429" i="16"/>
  <c r="H433" i="16"/>
  <c r="H437" i="16"/>
  <c r="H441" i="16"/>
  <c r="H445" i="16"/>
  <c r="H449" i="16"/>
  <c r="H453" i="16"/>
  <c r="H457" i="16"/>
  <c r="H461" i="16"/>
  <c r="H465" i="16"/>
  <c r="H469" i="16"/>
  <c r="H473" i="16"/>
  <c r="H477" i="16"/>
  <c r="H481" i="16"/>
  <c r="H485" i="16"/>
  <c r="H489" i="16"/>
  <c r="H493" i="16"/>
  <c r="H497" i="16"/>
  <c r="H501" i="16"/>
  <c r="H505" i="16"/>
  <c r="H10" i="16"/>
  <c r="H14" i="16"/>
  <c r="H18" i="16"/>
  <c r="H22" i="16"/>
  <c r="H26" i="16"/>
  <c r="H30" i="16"/>
  <c r="H34" i="16"/>
  <c r="H38" i="16"/>
  <c r="H42" i="16"/>
  <c r="H46" i="16"/>
  <c r="H50" i="16"/>
  <c r="H54" i="16"/>
  <c r="H58" i="16"/>
  <c r="H62" i="16"/>
  <c r="H66" i="16"/>
  <c r="H70" i="16"/>
  <c r="H74" i="16"/>
  <c r="H78" i="16"/>
  <c r="H82" i="16"/>
  <c r="H86" i="16"/>
  <c r="H90" i="16"/>
  <c r="H94" i="16"/>
  <c r="H98" i="16"/>
  <c r="H102" i="16"/>
  <c r="H106" i="16"/>
  <c r="H110" i="16"/>
  <c r="H114" i="16"/>
  <c r="H118" i="16"/>
  <c r="H122" i="16"/>
  <c r="H126" i="16"/>
  <c r="H130" i="16"/>
  <c r="H134" i="16"/>
  <c r="H138" i="16"/>
  <c r="H142" i="16"/>
  <c r="H146" i="16"/>
  <c r="H150" i="16"/>
  <c r="H154" i="16"/>
  <c r="H158" i="16"/>
  <c r="H162" i="16"/>
  <c r="H166" i="16"/>
  <c r="H170" i="16"/>
  <c r="H174" i="16"/>
  <c r="H178" i="16"/>
  <c r="H182" i="16"/>
  <c r="H186" i="16"/>
  <c r="H190" i="16"/>
  <c r="H194" i="16"/>
  <c r="H198" i="16"/>
  <c r="H202" i="16"/>
  <c r="H206" i="16"/>
  <c r="H210" i="16"/>
  <c r="H214" i="16"/>
  <c r="H218" i="16"/>
  <c r="H222" i="16"/>
  <c r="H226" i="16"/>
  <c r="H230" i="16"/>
  <c r="H234" i="16"/>
  <c r="H238" i="16"/>
  <c r="H242" i="16"/>
  <c r="H246" i="16"/>
  <c r="H250" i="16"/>
  <c r="H254" i="16"/>
  <c r="H258" i="16"/>
  <c r="H262" i="16"/>
  <c r="H266" i="16"/>
  <c r="H270" i="16"/>
  <c r="H274" i="16"/>
  <c r="H278" i="16"/>
  <c r="H282" i="16"/>
  <c r="H286" i="16"/>
  <c r="H290" i="16"/>
  <c r="H294" i="16"/>
  <c r="H298" i="16"/>
  <c r="H302" i="16"/>
  <c r="H306" i="16"/>
  <c r="H310" i="16"/>
  <c r="H314" i="16"/>
  <c r="H318" i="16"/>
  <c r="H322" i="16"/>
  <c r="H326" i="16"/>
  <c r="H330" i="16"/>
  <c r="H334" i="16"/>
  <c r="H338" i="16"/>
  <c r="H342" i="16"/>
  <c r="H346" i="16"/>
  <c r="H350" i="16"/>
  <c r="H354" i="16"/>
  <c r="H358" i="16"/>
  <c r="H362" i="16"/>
  <c r="H366" i="16"/>
  <c r="H370" i="16"/>
  <c r="H374" i="16"/>
  <c r="H378" i="16"/>
  <c r="H382" i="16"/>
  <c r="H386" i="16"/>
  <c r="H390" i="16"/>
  <c r="H394" i="16"/>
  <c r="H398" i="16"/>
  <c r="H402" i="16"/>
  <c r="H406" i="16"/>
  <c r="H410" i="16"/>
  <c r="H414" i="16"/>
  <c r="H418" i="16"/>
  <c r="H422" i="16"/>
  <c r="H426" i="16"/>
  <c r="H430" i="16"/>
  <c r="H434" i="16"/>
  <c r="H438" i="16"/>
  <c r="H442" i="16"/>
  <c r="H446" i="16"/>
  <c r="H450" i="16"/>
  <c r="H454" i="16"/>
  <c r="H458" i="16"/>
  <c r="H462" i="16"/>
  <c r="H466" i="16"/>
  <c r="H470" i="16"/>
  <c r="H474" i="16"/>
  <c r="H478" i="16"/>
  <c r="H482" i="16"/>
  <c r="H486" i="16"/>
  <c r="H490" i="16"/>
  <c r="H494" i="16"/>
  <c r="H498" i="16"/>
  <c r="H502" i="16"/>
  <c r="H11" i="16"/>
  <c r="H15" i="16"/>
  <c r="H19" i="16"/>
  <c r="H23" i="16"/>
  <c r="H27" i="16"/>
  <c r="H31" i="16"/>
  <c r="H35" i="16"/>
  <c r="H39" i="16"/>
  <c r="H43" i="16"/>
  <c r="H47" i="16"/>
  <c r="H51" i="16"/>
  <c r="H55" i="16"/>
  <c r="H59" i="16"/>
  <c r="H63" i="16"/>
  <c r="H67" i="16"/>
  <c r="H71" i="16"/>
  <c r="H75" i="16"/>
  <c r="H79" i="16"/>
  <c r="H83" i="16"/>
  <c r="H87" i="16"/>
  <c r="H91" i="16"/>
  <c r="H95" i="16"/>
  <c r="H99" i="16"/>
  <c r="H103" i="16"/>
  <c r="H107" i="16"/>
  <c r="H111" i="16"/>
  <c r="H115" i="16"/>
  <c r="H119" i="16"/>
  <c r="H123" i="16"/>
  <c r="H127" i="16"/>
  <c r="H131" i="16"/>
  <c r="H135" i="16"/>
  <c r="H139" i="16"/>
  <c r="H143" i="16"/>
  <c r="H147" i="16"/>
  <c r="H151" i="16"/>
  <c r="H155" i="16"/>
  <c r="H159" i="16"/>
  <c r="H163" i="16"/>
  <c r="H167" i="16"/>
  <c r="H171" i="16"/>
  <c r="H175" i="16"/>
  <c r="H179" i="16"/>
  <c r="H183" i="16"/>
  <c r="H187" i="16"/>
  <c r="H191" i="16"/>
  <c r="H195" i="16"/>
  <c r="H199" i="16"/>
  <c r="H203" i="16"/>
  <c r="H207" i="16"/>
  <c r="H211" i="16"/>
  <c r="H215" i="16"/>
  <c r="H219" i="16"/>
  <c r="H223" i="16"/>
  <c r="H227" i="16"/>
  <c r="H231" i="16"/>
  <c r="H235" i="16"/>
  <c r="H239" i="16"/>
  <c r="H243" i="16"/>
  <c r="H247" i="16"/>
  <c r="H251" i="16"/>
  <c r="H255" i="16"/>
  <c r="H259" i="16"/>
  <c r="H263" i="16"/>
  <c r="H267" i="16"/>
  <c r="H271" i="16"/>
  <c r="H275" i="16"/>
  <c r="H279" i="16"/>
  <c r="H283" i="16"/>
  <c r="H287" i="16"/>
  <c r="H291" i="16"/>
  <c r="H295" i="16"/>
  <c r="H299" i="16"/>
  <c r="H303" i="16"/>
  <c r="H307" i="16"/>
  <c r="H311" i="16"/>
  <c r="H315" i="16"/>
  <c r="H319" i="16"/>
  <c r="H323" i="16"/>
  <c r="H327" i="16"/>
  <c r="H331" i="16"/>
  <c r="H335" i="16"/>
  <c r="H339" i="16"/>
  <c r="H343" i="16"/>
  <c r="H347" i="16"/>
  <c r="H351" i="16"/>
  <c r="H355" i="16"/>
  <c r="H359" i="16"/>
  <c r="H363" i="16"/>
  <c r="H367" i="16"/>
  <c r="H371" i="16"/>
  <c r="H375" i="16"/>
  <c r="H379" i="16"/>
  <c r="H383" i="16"/>
  <c r="H387" i="16"/>
  <c r="H391" i="16"/>
  <c r="H395" i="16"/>
  <c r="H399" i="16"/>
  <c r="H403" i="16"/>
  <c r="H407" i="16"/>
  <c r="H411" i="16"/>
  <c r="H415" i="16"/>
  <c r="H419" i="16"/>
  <c r="H423" i="16"/>
  <c r="H427" i="16"/>
  <c r="H431" i="16"/>
  <c r="H435" i="16"/>
  <c r="H439" i="16"/>
  <c r="H443" i="16"/>
  <c r="H447" i="16"/>
  <c r="H451" i="16"/>
  <c r="H455" i="16"/>
  <c r="H459" i="16"/>
  <c r="H463" i="16"/>
  <c r="H467" i="16"/>
  <c r="H471" i="16"/>
  <c r="H475" i="16"/>
  <c r="H479" i="16"/>
  <c r="H483" i="16"/>
  <c r="H487" i="16"/>
  <c r="H491" i="16"/>
  <c r="H495" i="16"/>
  <c r="H499" i="16"/>
  <c r="H503" i="16"/>
  <c r="H8" i="16"/>
  <c r="H12" i="16"/>
  <c r="H16" i="16"/>
  <c r="H20" i="16"/>
  <c r="H24" i="16"/>
  <c r="H28" i="16"/>
  <c r="H32" i="16"/>
  <c r="H36" i="16"/>
  <c r="H40" i="16"/>
  <c r="H44" i="16"/>
  <c r="H48" i="16"/>
  <c r="H52" i="16"/>
  <c r="H56" i="16"/>
  <c r="H60" i="16"/>
  <c r="H64" i="16"/>
  <c r="H68" i="16"/>
  <c r="H72" i="16"/>
  <c r="H76" i="16"/>
  <c r="H80" i="16"/>
  <c r="H84" i="16"/>
  <c r="H88" i="16"/>
  <c r="H92" i="16"/>
  <c r="H96" i="16"/>
  <c r="H100" i="16"/>
  <c r="H104" i="16"/>
  <c r="H108" i="16"/>
  <c r="H112" i="16"/>
  <c r="H116" i="16"/>
  <c r="H120" i="16"/>
  <c r="H124" i="16"/>
  <c r="H128" i="16"/>
  <c r="H132" i="16"/>
  <c r="H136" i="16"/>
  <c r="H140" i="16"/>
  <c r="H144" i="16"/>
  <c r="H148" i="16"/>
  <c r="H152" i="16"/>
  <c r="H156" i="16"/>
  <c r="H160" i="16"/>
  <c r="H164" i="16"/>
  <c r="H168" i="16"/>
  <c r="H172" i="16"/>
  <c r="H176" i="16"/>
  <c r="H180" i="16"/>
  <c r="H184" i="16"/>
  <c r="H188" i="16"/>
  <c r="H192" i="16"/>
  <c r="H196" i="16"/>
  <c r="H200" i="16"/>
  <c r="H204" i="16"/>
  <c r="H208" i="16"/>
  <c r="H212" i="16"/>
  <c r="H216" i="16"/>
  <c r="H220" i="16"/>
  <c r="H224" i="16"/>
  <c r="H228" i="16"/>
  <c r="H232" i="16"/>
  <c r="H236" i="16"/>
  <c r="H240" i="16"/>
  <c r="H244" i="16"/>
  <c r="H248" i="16"/>
  <c r="H252" i="16"/>
  <c r="H256" i="16"/>
  <c r="H260" i="16"/>
  <c r="H264" i="16"/>
  <c r="H268" i="16"/>
  <c r="H272" i="16"/>
  <c r="H276" i="16"/>
  <c r="H280" i="16"/>
  <c r="H284" i="16"/>
  <c r="H288" i="16"/>
  <c r="H292" i="16"/>
  <c r="H296" i="16"/>
  <c r="H300" i="16"/>
  <c r="H304" i="16"/>
  <c r="H308" i="16"/>
  <c r="H312" i="16"/>
  <c r="H316" i="16"/>
  <c r="H320" i="16"/>
  <c r="H324" i="16"/>
  <c r="H328" i="16"/>
  <c r="H332" i="16"/>
  <c r="H336" i="16"/>
  <c r="H340" i="16"/>
  <c r="H344" i="16"/>
  <c r="H348" i="16"/>
  <c r="H352" i="16"/>
  <c r="H356" i="16"/>
  <c r="H360" i="16"/>
  <c r="H364" i="16"/>
  <c r="H368" i="16"/>
  <c r="H372" i="16"/>
  <c r="H376" i="16"/>
  <c r="H380" i="16"/>
  <c r="H384" i="16"/>
  <c r="H388" i="16"/>
  <c r="H392" i="16"/>
  <c r="H396" i="16"/>
  <c r="H400" i="16"/>
  <c r="H404" i="16"/>
  <c r="H408" i="16"/>
  <c r="H412" i="16"/>
  <c r="H416" i="16"/>
  <c r="H420" i="16"/>
  <c r="H424" i="16"/>
  <c r="H428" i="16"/>
  <c r="H432" i="16"/>
  <c r="H436" i="16"/>
  <c r="H440" i="16"/>
  <c r="H444" i="16"/>
  <c r="H448" i="16"/>
  <c r="H452" i="16"/>
  <c r="H456" i="16"/>
  <c r="H460" i="16"/>
  <c r="H464" i="16"/>
  <c r="H468" i="16"/>
  <c r="H472" i="16"/>
  <c r="H476" i="16"/>
  <c r="H480" i="16"/>
  <c r="H484" i="16"/>
  <c r="H488" i="16"/>
  <c r="H492" i="16"/>
  <c r="H496" i="16"/>
  <c r="H500" i="16"/>
  <c r="H504" i="16"/>
  <c r="H509" i="16"/>
  <c r="H513" i="16"/>
  <c r="H517" i="16"/>
  <c r="H521" i="16"/>
  <c r="H525" i="16"/>
  <c r="H529" i="16"/>
  <c r="H533" i="16"/>
  <c r="H537" i="16"/>
  <c r="H541" i="16"/>
  <c r="H545" i="16"/>
  <c r="H549" i="16"/>
  <c r="H553" i="16"/>
  <c r="H557" i="16"/>
  <c r="H561" i="16"/>
  <c r="H565" i="16"/>
  <c r="H569" i="16"/>
  <c r="H573" i="16"/>
  <c r="H577" i="16"/>
  <c r="H581" i="16"/>
  <c r="H585" i="16"/>
  <c r="H589" i="16"/>
  <c r="H593" i="16"/>
  <c r="H597" i="16"/>
  <c r="H601" i="16"/>
  <c r="H605" i="16"/>
  <c r="H609" i="16"/>
  <c r="H613" i="16"/>
  <c r="H617" i="16"/>
  <c r="H621" i="16"/>
  <c r="H625" i="16"/>
  <c r="H629" i="16"/>
  <c r="H633" i="16"/>
  <c r="H637" i="16"/>
  <c r="H641" i="16"/>
  <c r="H645" i="16"/>
  <c r="H649" i="16"/>
  <c r="H653" i="16"/>
  <c r="H657" i="16"/>
  <c r="H661" i="16"/>
  <c r="H665" i="16"/>
  <c r="H669" i="16"/>
  <c r="H673" i="16"/>
  <c r="H677" i="16"/>
  <c r="H681" i="16"/>
  <c r="H685" i="16"/>
  <c r="H689" i="16"/>
  <c r="H693" i="16"/>
  <c r="H697" i="16"/>
  <c r="H701" i="16"/>
  <c r="H705" i="16"/>
  <c r="H709" i="16"/>
  <c r="H713" i="16"/>
  <c r="H717" i="16"/>
  <c r="H721" i="16"/>
  <c r="H725" i="16"/>
  <c r="H729" i="16"/>
  <c r="H733" i="16"/>
  <c r="H7" i="16"/>
  <c r="H506" i="16"/>
  <c r="H510" i="16"/>
  <c r="H514" i="16"/>
  <c r="H518" i="16"/>
  <c r="H522" i="16"/>
  <c r="H526" i="16"/>
  <c r="H530" i="16"/>
  <c r="H534" i="16"/>
  <c r="H538" i="16"/>
  <c r="H542" i="16"/>
  <c r="H546" i="16"/>
  <c r="H550" i="16"/>
  <c r="H554" i="16"/>
  <c r="H558" i="16"/>
  <c r="H562" i="16"/>
  <c r="H566" i="16"/>
  <c r="H570" i="16"/>
  <c r="H574" i="16"/>
  <c r="H578" i="16"/>
  <c r="H582" i="16"/>
  <c r="H586" i="16"/>
  <c r="H590" i="16"/>
  <c r="H594" i="16"/>
  <c r="H598" i="16"/>
  <c r="H602" i="16"/>
  <c r="H606" i="16"/>
  <c r="H610" i="16"/>
  <c r="H614" i="16"/>
  <c r="H618" i="16"/>
  <c r="H622" i="16"/>
  <c r="H626" i="16"/>
  <c r="H630" i="16"/>
  <c r="H634" i="16"/>
  <c r="H638" i="16"/>
  <c r="H642" i="16"/>
  <c r="H646" i="16"/>
  <c r="H650" i="16"/>
  <c r="H654" i="16"/>
  <c r="H658" i="16"/>
  <c r="H662" i="16"/>
  <c r="H666" i="16"/>
  <c r="H670" i="16"/>
  <c r="H674" i="16"/>
  <c r="H678" i="16"/>
  <c r="H682" i="16"/>
  <c r="H686" i="16"/>
  <c r="H690" i="16"/>
  <c r="H694" i="16"/>
  <c r="H698" i="16"/>
  <c r="H702" i="16"/>
  <c r="H706" i="16"/>
  <c r="H710" i="16"/>
  <c r="H714" i="16"/>
  <c r="H718" i="16"/>
  <c r="H722" i="16"/>
  <c r="H726" i="16"/>
  <c r="H730" i="16"/>
  <c r="H734" i="16"/>
  <c r="H507" i="16"/>
  <c r="H511" i="16"/>
  <c r="H515" i="16"/>
  <c r="H519" i="16"/>
  <c r="H523" i="16"/>
  <c r="H527" i="16"/>
  <c r="H531" i="16"/>
  <c r="H535" i="16"/>
  <c r="H539" i="16"/>
  <c r="H543" i="16"/>
  <c r="H547" i="16"/>
  <c r="H551" i="16"/>
  <c r="H555" i="16"/>
  <c r="H559" i="16"/>
  <c r="H563" i="16"/>
  <c r="H567" i="16"/>
  <c r="H571" i="16"/>
  <c r="H575" i="16"/>
  <c r="H579" i="16"/>
  <c r="H583" i="16"/>
  <c r="H587" i="16"/>
  <c r="H591" i="16"/>
  <c r="H595" i="16"/>
  <c r="H599" i="16"/>
  <c r="H603" i="16"/>
  <c r="H607" i="16"/>
  <c r="H611" i="16"/>
  <c r="H615" i="16"/>
  <c r="H619" i="16"/>
  <c r="H623" i="16"/>
  <c r="H627" i="16"/>
  <c r="H631" i="16"/>
  <c r="H635" i="16"/>
  <c r="H639" i="16"/>
  <c r="H643" i="16"/>
  <c r="H647" i="16"/>
  <c r="H651" i="16"/>
  <c r="H655" i="16"/>
  <c r="H659" i="16"/>
  <c r="H663" i="16"/>
  <c r="H667" i="16"/>
  <c r="H671" i="16"/>
  <c r="H675" i="16"/>
  <c r="H679" i="16"/>
  <c r="H683" i="16"/>
  <c r="H687" i="16"/>
  <c r="H691" i="16"/>
  <c r="H695" i="16"/>
  <c r="H699" i="16"/>
  <c r="H703" i="16"/>
  <c r="H707" i="16"/>
  <c r="H711" i="16"/>
  <c r="H715" i="16"/>
  <c r="H719" i="16"/>
  <c r="H723" i="16"/>
  <c r="H727" i="16"/>
  <c r="H731" i="16"/>
  <c r="H735" i="16"/>
  <c r="H508" i="16"/>
  <c r="H512" i="16"/>
  <c r="H516" i="16"/>
  <c r="H520" i="16"/>
  <c r="H524" i="16"/>
  <c r="H528" i="16"/>
  <c r="H532" i="16"/>
  <c r="H536" i="16"/>
  <c r="H540" i="16"/>
  <c r="H544" i="16"/>
  <c r="H548" i="16"/>
  <c r="H552" i="16"/>
  <c r="H556" i="16"/>
  <c r="H560" i="16"/>
  <c r="H564" i="16"/>
  <c r="H568" i="16"/>
  <c r="H572" i="16"/>
  <c r="H576" i="16"/>
  <c r="H580" i="16"/>
  <c r="H584" i="16"/>
  <c r="H588" i="16"/>
  <c r="H592" i="16"/>
  <c r="H596" i="16"/>
  <c r="H600" i="16"/>
  <c r="H604" i="16"/>
  <c r="H608" i="16"/>
  <c r="H612" i="16"/>
  <c r="H616" i="16"/>
  <c r="H620" i="16"/>
  <c r="H624" i="16"/>
  <c r="H628" i="16"/>
  <c r="H632" i="16"/>
  <c r="H636" i="16"/>
  <c r="H640" i="16"/>
  <c r="H644" i="16"/>
  <c r="H648" i="16"/>
  <c r="H652" i="16"/>
  <c r="H656" i="16"/>
  <c r="H660" i="16"/>
  <c r="H664" i="16"/>
  <c r="H668" i="16"/>
  <c r="H672" i="16"/>
  <c r="H676" i="16"/>
  <c r="H680" i="16"/>
  <c r="H684" i="16"/>
  <c r="H688" i="16"/>
  <c r="H692" i="16"/>
  <c r="H696" i="16"/>
  <c r="H700" i="16"/>
  <c r="H704" i="16"/>
  <c r="H708" i="16"/>
  <c r="H712" i="16"/>
  <c r="H716" i="16"/>
  <c r="H720" i="16"/>
  <c r="H724" i="16"/>
  <c r="H728" i="16"/>
  <c r="H732" i="16"/>
  <c r="H736" i="16"/>
  <c r="E24" i="8"/>
  <c r="E51" i="3" s="1"/>
  <c r="E22" i="8"/>
  <c r="E18" i="3" s="1"/>
  <c r="E25" i="8"/>
  <c r="E19" i="3" s="1"/>
  <c r="E23" i="8"/>
  <c r="E17" i="3" s="1"/>
  <c r="E37" i="8"/>
  <c r="E38" i="8"/>
  <c r="E26" i="8"/>
  <c r="D528" i="16" l="1"/>
  <c r="D593" i="16"/>
  <c r="D555" i="16"/>
  <c r="D39" i="16"/>
  <c r="D161" i="16"/>
  <c r="D36" i="16"/>
  <c r="D506" i="16"/>
  <c r="D679" i="16"/>
  <c r="D526" i="16"/>
  <c r="D401" i="16"/>
  <c r="D276" i="16"/>
  <c r="D126" i="16"/>
  <c r="D239" i="16"/>
  <c r="D674" i="16"/>
  <c r="D544" i="16"/>
  <c r="D644" i="16"/>
  <c r="D522" i="16"/>
  <c r="D608" i="16"/>
  <c r="D634" i="16"/>
  <c r="D510" i="16"/>
  <c r="D385" i="16"/>
  <c r="D260" i="16"/>
  <c r="D352" i="16"/>
  <c r="D445" i="16"/>
  <c r="D350" i="16"/>
  <c r="D222" i="16"/>
  <c r="D89" i="16"/>
  <c r="D209" i="16"/>
  <c r="D78" i="16"/>
  <c r="D196" i="16"/>
  <c r="D7" i="16"/>
  <c r="D132" i="16"/>
  <c r="D669" i="16"/>
  <c r="D493" i="16"/>
  <c r="D715" i="16"/>
  <c r="D272" i="16"/>
  <c r="D426" i="16"/>
  <c r="D157" i="16"/>
  <c r="D141" i="16"/>
  <c r="D498" i="16"/>
  <c r="D550" i="16"/>
  <c r="D263" i="16"/>
  <c r="D198" i="16"/>
  <c r="D172" i="16"/>
  <c r="D600" i="16"/>
  <c r="D524" i="16"/>
  <c r="D373" i="16"/>
  <c r="D302" i="16"/>
  <c r="D90" i="16"/>
  <c r="D80" i="16"/>
  <c r="D685" i="16"/>
  <c r="D599" i="16"/>
  <c r="D646" i="16"/>
  <c r="D364" i="16"/>
  <c r="D301" i="16"/>
  <c r="D521" i="16"/>
  <c r="D604" i="16"/>
  <c r="D727" i="16"/>
  <c r="D687" i="16"/>
  <c r="D566" i="16"/>
  <c r="D444" i="16"/>
  <c r="D320" i="16"/>
  <c r="D412" i="16"/>
  <c r="D283" i="16"/>
  <c r="D379" i="16"/>
  <c r="D476" i="16"/>
  <c r="D285" i="16"/>
  <c r="D152" i="16"/>
  <c r="D205" i="16"/>
  <c r="D74" i="16"/>
  <c r="D128" i="16"/>
  <c r="D639" i="16"/>
  <c r="D504" i="16"/>
  <c r="D613" i="16"/>
  <c r="D486" i="16"/>
  <c r="D570" i="16"/>
  <c r="D718" i="16"/>
  <c r="D655" i="16"/>
  <c r="D534" i="16"/>
  <c r="D409" i="16"/>
  <c r="D284" i="16"/>
  <c r="D376" i="16"/>
  <c r="D468" i="16"/>
  <c r="D338" i="16"/>
  <c r="D438" i="16"/>
  <c r="D313" i="16"/>
  <c r="D182" i="16"/>
  <c r="D49" i="16"/>
  <c r="D169" i="16"/>
  <c r="D38" i="16"/>
  <c r="D156" i="16"/>
  <c r="D31" i="16"/>
  <c r="D153" i="16"/>
  <c r="D28" i="16"/>
  <c r="D649" i="16"/>
  <c r="D519" i="16"/>
  <c r="D625" i="16"/>
  <c r="D497" i="16"/>
  <c r="D579" i="16"/>
  <c r="D721" i="16"/>
  <c r="D670" i="16"/>
  <c r="D549" i="16"/>
  <c r="D421" i="16"/>
  <c r="D296" i="16"/>
  <c r="D388" i="16"/>
  <c r="D259" i="16"/>
  <c r="D355" i="16"/>
  <c r="D247" i="16"/>
  <c r="D114" i="16"/>
  <c r="D232" i="16"/>
  <c r="D107" i="16"/>
  <c r="D227" i="16"/>
  <c r="D104" i="16"/>
  <c r="D527" i="16"/>
  <c r="D627" i="16"/>
  <c r="D505" i="16"/>
  <c r="D589" i="16"/>
  <c r="D723" i="16"/>
  <c r="D675" i="16"/>
  <c r="D554" i="16"/>
  <c r="D429" i="16"/>
  <c r="D304" i="16"/>
  <c r="D396" i="16"/>
  <c r="D267" i="16"/>
  <c r="D363" i="16"/>
  <c r="D459" i="16"/>
  <c r="D333" i="16"/>
  <c r="D202" i="16"/>
  <c r="D240" i="16"/>
  <c r="D115" i="16"/>
  <c r="D235" i="16"/>
  <c r="D112" i="16"/>
  <c r="D682" i="16"/>
  <c r="D12" i="16"/>
  <c r="D635" i="16"/>
  <c r="D503" i="16"/>
  <c r="D609" i="16"/>
  <c r="D482" i="16"/>
  <c r="D565" i="16"/>
  <c r="D717" i="16"/>
  <c r="D654" i="16"/>
  <c r="D533" i="16"/>
  <c r="D405" i="16"/>
  <c r="D280" i="16"/>
  <c r="D372" i="16"/>
  <c r="D464" i="16"/>
  <c r="D334" i="16"/>
  <c r="D434" i="16"/>
  <c r="D309" i="16"/>
  <c r="D178" i="16"/>
  <c r="D45" i="16"/>
  <c r="D165" i="16"/>
  <c r="D617" i="16"/>
  <c r="D495" i="16"/>
  <c r="D571" i="16"/>
  <c r="D719" i="16"/>
  <c r="D662" i="16"/>
  <c r="D541" i="16"/>
  <c r="D448" i="16"/>
  <c r="D315" i="16"/>
  <c r="D411" i="16"/>
  <c r="D278" i="16"/>
  <c r="D81" i="16"/>
  <c r="D201" i="16"/>
  <c r="D127" i="16"/>
  <c r="D60" i="16"/>
  <c r="D678" i="16"/>
  <c r="D551" i="16"/>
  <c r="D650" i="16"/>
  <c r="D529" i="16"/>
  <c r="D612" i="16"/>
  <c r="D729" i="16"/>
  <c r="D695" i="16"/>
  <c r="D573" i="16"/>
  <c r="D450" i="16"/>
  <c r="D328" i="16"/>
  <c r="D420" i="16"/>
  <c r="D291" i="16"/>
  <c r="D387" i="16"/>
  <c r="D254" i="16"/>
  <c r="D354" i="16"/>
  <c r="D226" i="16"/>
  <c r="D93" i="16"/>
  <c r="D213" i="16"/>
  <c r="D82" i="16"/>
  <c r="D200" i="16"/>
  <c r="D75" i="16"/>
  <c r="D335" i="16"/>
  <c r="D398" i="16"/>
  <c r="D193" i="16"/>
  <c r="D119" i="16"/>
  <c r="D732" i="16"/>
  <c r="D575" i="16"/>
  <c r="D677" i="16"/>
  <c r="D560" i="16"/>
  <c r="D641" i="16"/>
  <c r="D507" i="16"/>
  <c r="D704" i="16"/>
  <c r="D602" i="16"/>
  <c r="D474" i="16"/>
  <c r="D353" i="16"/>
  <c r="D457" i="16"/>
  <c r="D319" i="16"/>
  <c r="D415" i="16"/>
  <c r="D282" i="16"/>
  <c r="D382" i="16"/>
  <c r="D257" i="16"/>
  <c r="D121" i="16"/>
  <c r="D241" i="16"/>
  <c r="D110" i="16"/>
  <c r="D228" i="16"/>
  <c r="D473" i="16"/>
  <c r="D298" i="16"/>
  <c r="D73" i="16"/>
  <c r="D55" i="16"/>
  <c r="D690" i="16"/>
  <c r="D561" i="16"/>
  <c r="D659" i="16"/>
  <c r="D538" i="16"/>
  <c r="D620" i="16"/>
  <c r="D485" i="16"/>
  <c r="D700" i="16"/>
  <c r="D368" i="16"/>
  <c r="D460" i="16"/>
  <c r="D330" i="16"/>
  <c r="D430" i="16"/>
  <c r="D305" i="16"/>
  <c r="D174" i="16"/>
  <c r="D41" i="16"/>
  <c r="D158" i="16"/>
  <c r="D30" i="16"/>
  <c r="D148" i="16"/>
  <c r="D23" i="16"/>
  <c r="D145" i="16"/>
  <c r="D20" i="16"/>
  <c r="D693" i="16"/>
  <c r="D660" i="16"/>
  <c r="D615" i="16"/>
  <c r="D369" i="16"/>
  <c r="D431" i="16"/>
  <c r="D337" i="16"/>
  <c r="D728" i="16"/>
  <c r="D314" i="16"/>
  <c r="D414" i="16"/>
  <c r="D71" i="16"/>
  <c r="D13" i="16"/>
  <c r="D243" i="16"/>
  <c r="D587" i="16"/>
  <c r="D619" i="16"/>
  <c r="D455" i="16"/>
  <c r="D395" i="16"/>
  <c r="D706" i="16"/>
  <c r="D465" i="16"/>
  <c r="D390" i="16"/>
  <c r="D118" i="16"/>
  <c r="D108" i="16"/>
  <c r="D513" i="16"/>
  <c r="D556" i="16"/>
  <c r="D275" i="16"/>
  <c r="D210" i="16"/>
  <c r="D184" i="16"/>
  <c r="D733" i="16"/>
  <c r="D26" i="16"/>
  <c r="D16" i="16"/>
  <c r="D626" i="16"/>
  <c r="D671" i="16"/>
  <c r="D392" i="16"/>
  <c r="D329" i="16"/>
  <c r="D54" i="16"/>
  <c r="D44" i="16"/>
  <c r="D661" i="16"/>
  <c r="D501" i="16"/>
  <c r="D435" i="16"/>
  <c r="D144" i="16"/>
  <c r="D123" i="16"/>
  <c r="D624" i="16"/>
  <c r="D537" i="16"/>
  <c r="D581" i="16"/>
  <c r="D299" i="16"/>
  <c r="D234" i="16"/>
  <c r="D208" i="16"/>
  <c r="D583" i="16"/>
  <c r="D515" i="16"/>
  <c r="D361" i="16"/>
  <c r="D290" i="16"/>
  <c r="D248" i="16"/>
  <c r="D231" i="16"/>
  <c r="D632" i="16"/>
  <c r="D683" i="16"/>
  <c r="D404" i="16"/>
  <c r="D341" i="16"/>
  <c r="D66" i="16"/>
  <c r="D56" i="16"/>
  <c r="D479" i="16"/>
  <c r="D349" i="16"/>
  <c r="D192" i="16"/>
  <c r="D67" i="16"/>
  <c r="D187" i="16"/>
  <c r="D453" i="16"/>
  <c r="D325" i="16"/>
  <c r="D194" i="16"/>
  <c r="D61" i="16"/>
  <c r="D69" i="16"/>
  <c r="D189" i="16"/>
  <c r="D58" i="16"/>
  <c r="D558" i="16"/>
  <c r="D651" i="16"/>
  <c r="D530" i="16"/>
  <c r="D616" i="16"/>
  <c r="D730" i="16"/>
  <c r="D698" i="16"/>
  <c r="D580" i="16"/>
  <c r="D452" i="16"/>
  <c r="D332" i="16"/>
  <c r="D424" i="16"/>
  <c r="D295" i="16"/>
  <c r="D391" i="16"/>
  <c r="D258" i="16"/>
  <c r="D358" i="16"/>
  <c r="D230" i="16"/>
  <c r="D97" i="16"/>
  <c r="D217" i="16"/>
  <c r="D86" i="16"/>
  <c r="D204" i="16"/>
  <c r="D79" i="16"/>
  <c r="D199" i="16"/>
  <c r="D76" i="16"/>
  <c r="D34" i="16"/>
  <c r="D155" i="16"/>
  <c r="D27" i="16"/>
  <c r="D146" i="16"/>
  <c r="D24" i="16"/>
  <c r="D673" i="16"/>
  <c r="D413" i="16"/>
  <c r="D288" i="16"/>
  <c r="D378" i="16"/>
  <c r="D253" i="16"/>
  <c r="D53" i="16"/>
  <c r="D173" i="16"/>
  <c r="D42" i="16"/>
  <c r="D163" i="16"/>
  <c r="D35" i="16"/>
  <c r="D154" i="16"/>
  <c r="D32" i="16"/>
  <c r="D601" i="16"/>
  <c r="D475" i="16"/>
  <c r="D577" i="16"/>
  <c r="D672" i="16"/>
  <c r="D531" i="16"/>
  <c r="D710" i="16"/>
  <c r="D622" i="16"/>
  <c r="D502" i="16"/>
  <c r="D377" i="16"/>
  <c r="D481" i="16"/>
  <c r="D343" i="16"/>
  <c r="D439" i="16"/>
  <c r="D306" i="16"/>
  <c r="D406" i="16"/>
  <c r="D281" i="16"/>
  <c r="D151" i="16"/>
  <c r="D70" i="16"/>
  <c r="D188" i="16"/>
  <c r="D244" i="16"/>
  <c r="D124" i="16"/>
  <c r="D592" i="16"/>
  <c r="D195" i="16"/>
  <c r="D72" i="16"/>
  <c r="D569" i="16"/>
  <c r="D708" i="16"/>
  <c r="D308" i="16"/>
  <c r="D103" i="16"/>
  <c r="D223" i="16"/>
  <c r="D100" i="16"/>
  <c r="D591" i="16"/>
  <c r="D523" i="16"/>
  <c r="D586" i="16"/>
  <c r="D458" i="16"/>
  <c r="D340" i="16"/>
  <c r="D432" i="16"/>
  <c r="D9" i="16"/>
  <c r="D180" i="16"/>
  <c r="D116" i="16"/>
  <c r="D610" i="16"/>
  <c r="D483" i="16"/>
  <c r="D588" i="16"/>
  <c r="D680" i="16"/>
  <c r="D539" i="16"/>
  <c r="D691" i="16"/>
  <c r="D572" i="16"/>
  <c r="D449" i="16"/>
  <c r="D324" i="16"/>
  <c r="D416" i="16"/>
  <c r="D287" i="16"/>
  <c r="D289" i="16"/>
  <c r="D159" i="16"/>
  <c r="D25" i="16"/>
  <c r="D143" i="16"/>
  <c r="D14" i="16"/>
  <c r="D134" i="16"/>
  <c r="D191" i="16"/>
  <c r="D68" i="16"/>
  <c r="D606" i="16"/>
  <c r="D696" i="16"/>
  <c r="D525" i="16"/>
  <c r="D456" i="16"/>
  <c r="D170" i="16"/>
  <c r="D147" i="16"/>
  <c r="D520" i="16"/>
  <c r="D722" i="16"/>
  <c r="D300" i="16"/>
  <c r="D454" i="16"/>
  <c r="D185" i="16"/>
  <c r="D167" i="16"/>
  <c r="D576" i="16"/>
  <c r="D621" i="16"/>
  <c r="D339" i="16"/>
  <c r="D277" i="16"/>
  <c r="D101" i="16"/>
  <c r="D83" i="16"/>
  <c r="D735" i="16"/>
  <c r="D574" i="16"/>
  <c r="D548" i="16"/>
  <c r="D397" i="16"/>
  <c r="D326" i="16"/>
  <c r="D584" i="16"/>
  <c r="D676" i="16"/>
  <c r="D532" i="16"/>
  <c r="D711" i="16"/>
  <c r="D630" i="16"/>
  <c r="D509" i="16"/>
  <c r="D381" i="16"/>
  <c r="D256" i="16"/>
  <c r="D351" i="16"/>
  <c r="D443" i="16"/>
  <c r="D310" i="16"/>
  <c r="D218" i="16"/>
  <c r="D21" i="16"/>
  <c r="D139" i="16"/>
  <c r="D64" i="16"/>
  <c r="D734" i="16"/>
  <c r="D567" i="16"/>
  <c r="D667" i="16"/>
  <c r="D546" i="16"/>
  <c r="D633" i="16"/>
  <c r="D499" i="16"/>
  <c r="D702" i="16"/>
  <c r="D594" i="16"/>
  <c r="D466" i="16"/>
  <c r="D347" i="16"/>
  <c r="D440" i="16"/>
  <c r="D311" i="16"/>
  <c r="D407" i="16"/>
  <c r="D274" i="16"/>
  <c r="D374" i="16"/>
  <c r="D249" i="16"/>
  <c r="D113" i="16"/>
  <c r="D233" i="16"/>
  <c r="D102" i="16"/>
  <c r="D220" i="16"/>
  <c r="D95" i="16"/>
  <c r="D215" i="16"/>
  <c r="D92" i="16"/>
  <c r="D736" i="16"/>
  <c r="D582" i="16"/>
  <c r="D681" i="16"/>
  <c r="D562" i="16"/>
  <c r="D645" i="16"/>
  <c r="D508" i="16"/>
  <c r="D705" i="16"/>
  <c r="D603" i="16"/>
  <c r="D484" i="16"/>
  <c r="D357" i="16"/>
  <c r="D461" i="16"/>
  <c r="D323" i="16"/>
  <c r="D419" i="16"/>
  <c r="D286" i="16"/>
  <c r="D181" i="16"/>
  <c r="D50" i="16"/>
  <c r="D168" i="16"/>
  <c r="D43" i="16"/>
  <c r="D162" i="16"/>
  <c r="D40" i="16"/>
  <c r="D689" i="16"/>
  <c r="D568" i="16"/>
  <c r="D653" i="16"/>
  <c r="D516" i="16"/>
  <c r="D707" i="16"/>
  <c r="D611" i="16"/>
  <c r="D491" i="16"/>
  <c r="D365" i="16"/>
  <c r="D469" i="16"/>
  <c r="D331" i="16"/>
  <c r="D427" i="16"/>
  <c r="D294" i="16"/>
  <c r="D394" i="16"/>
  <c r="D269" i="16"/>
  <c r="D136" i="16"/>
  <c r="D176" i="16"/>
  <c r="D51" i="16"/>
  <c r="D171" i="16"/>
  <c r="D48" i="16"/>
  <c r="D694" i="16"/>
  <c r="D563" i="16"/>
  <c r="D666" i="16"/>
  <c r="D545" i="16"/>
  <c r="D629" i="16"/>
  <c r="D489" i="16"/>
  <c r="D701" i="16"/>
  <c r="D590" i="16"/>
  <c r="D462" i="16"/>
  <c r="D344" i="16"/>
  <c r="D436" i="16"/>
  <c r="D307" i="16"/>
  <c r="D403" i="16"/>
  <c r="D270" i="16"/>
  <c r="D370" i="16"/>
  <c r="D242" i="16"/>
  <c r="D109" i="16"/>
  <c r="D229" i="16"/>
  <c r="D552" i="16"/>
  <c r="D637" i="16"/>
  <c r="D500" i="16"/>
  <c r="D703" i="16"/>
  <c r="D595" i="16"/>
  <c r="D380" i="16"/>
  <c r="D472" i="16"/>
  <c r="D342" i="16"/>
  <c r="D117" i="16"/>
  <c r="D17" i="16"/>
  <c r="D614" i="16"/>
  <c r="D488" i="16"/>
  <c r="D688" i="16"/>
  <c r="D540" i="16"/>
  <c r="D713" i="16"/>
  <c r="D638" i="16"/>
  <c r="D517" i="16"/>
  <c r="D389" i="16"/>
  <c r="D264" i="16"/>
  <c r="D356" i="16"/>
  <c r="D446" i="16"/>
  <c r="D318" i="16"/>
  <c r="D418" i="16"/>
  <c r="D293" i="16"/>
  <c r="D160" i="16"/>
  <c r="D29" i="16"/>
  <c r="D149" i="16"/>
  <c r="D18" i="16"/>
  <c r="D138" i="16"/>
  <c r="D8" i="16"/>
  <c r="D367" i="16"/>
  <c r="D140" i="16"/>
  <c r="D245" i="16"/>
  <c r="D175" i="16"/>
  <c r="D648" i="16"/>
  <c r="D512" i="16"/>
  <c r="D618" i="16"/>
  <c r="D496" i="16"/>
  <c r="D578" i="16"/>
  <c r="D720" i="16"/>
  <c r="D663" i="16"/>
  <c r="D542" i="16"/>
  <c r="D417" i="16"/>
  <c r="D292" i="16"/>
  <c r="D384" i="16"/>
  <c r="D255" i="16"/>
  <c r="D346" i="16"/>
  <c r="D447" i="16"/>
  <c r="D321" i="16"/>
  <c r="D190" i="16"/>
  <c r="D57" i="16"/>
  <c r="D177" i="16"/>
  <c r="D46" i="16"/>
  <c r="D164" i="16"/>
  <c r="D492" i="16"/>
  <c r="D271" i="16"/>
  <c r="D273" i="16"/>
  <c r="D62" i="16"/>
  <c r="D52" i="16"/>
  <c r="D631" i="16"/>
  <c r="D494" i="16"/>
  <c r="D605" i="16"/>
  <c r="D478" i="16"/>
  <c r="D553" i="16"/>
  <c r="D716" i="16"/>
  <c r="D647" i="16"/>
  <c r="D303" i="16"/>
  <c r="D399" i="16"/>
  <c r="D266" i="16"/>
  <c r="D366" i="16"/>
  <c r="D238" i="16"/>
  <c r="D105" i="16"/>
  <c r="D225" i="16"/>
  <c r="D94" i="16"/>
  <c r="D212" i="16"/>
  <c r="D87" i="16"/>
  <c r="D207" i="16"/>
  <c r="D84" i="16"/>
  <c r="D664" i="16"/>
  <c r="D628" i="16"/>
  <c r="D724" i="16"/>
  <c r="D433" i="16"/>
  <c r="D400" i="16"/>
  <c r="D463" i="16"/>
  <c r="D206" i="16"/>
  <c r="D712" i="16"/>
  <c r="D383" i="16"/>
  <c r="D480" i="16"/>
  <c r="D246" i="16"/>
  <c r="D657" i="16"/>
  <c r="D658" i="16"/>
  <c r="D699" i="16"/>
  <c r="D428" i="16"/>
  <c r="D362" i="16"/>
  <c r="D652" i="16"/>
  <c r="D487" i="16"/>
  <c r="D423" i="16"/>
  <c r="D129" i="16"/>
  <c r="D111" i="16"/>
  <c r="D535" i="16"/>
  <c r="D725" i="16"/>
  <c r="D312" i="16"/>
  <c r="D467" i="16"/>
  <c r="D197" i="16"/>
  <c r="D179" i="16"/>
  <c r="D643" i="16"/>
  <c r="D37" i="16"/>
  <c r="D19" i="16"/>
  <c r="D656" i="16"/>
  <c r="D585" i="16"/>
  <c r="D425" i="16"/>
  <c r="D359" i="16"/>
  <c r="D65" i="16"/>
  <c r="D47" i="16"/>
  <c r="D697" i="16"/>
  <c r="D709" i="16"/>
  <c r="D477" i="16"/>
  <c r="D402" i="16"/>
  <c r="D130" i="16"/>
  <c r="D120" i="16"/>
  <c r="D686" i="16"/>
  <c r="D559" i="16"/>
  <c r="D731" i="16"/>
  <c r="D336" i="16"/>
  <c r="D262" i="16"/>
  <c r="D221" i="16"/>
  <c r="D203" i="16"/>
  <c r="D564" i="16"/>
  <c r="D607" i="16"/>
  <c r="D327" i="16"/>
  <c r="D265" i="16"/>
  <c r="D236" i="16"/>
  <c r="D665" i="16"/>
  <c r="D596" i="16"/>
  <c r="D437" i="16"/>
  <c r="D371" i="16"/>
  <c r="D77" i="16"/>
  <c r="D59" i="16"/>
  <c r="D543" i="16"/>
  <c r="D640" i="16"/>
  <c r="D410" i="16"/>
  <c r="D85" i="16"/>
  <c r="D10" i="16"/>
  <c r="D131" i="16"/>
  <c r="D250" i="16"/>
  <c r="D386" i="16"/>
  <c r="D261" i="16"/>
  <c r="D125" i="16"/>
  <c r="D252" i="16"/>
  <c r="D122" i="16"/>
  <c r="D623" i="16"/>
  <c r="D490" i="16"/>
  <c r="D598" i="16"/>
  <c r="D692" i="16"/>
  <c r="D547" i="16"/>
  <c r="D714" i="16"/>
  <c r="D642" i="16"/>
  <c r="D518" i="16"/>
  <c r="D393" i="16"/>
  <c r="D268" i="16"/>
  <c r="D360" i="16"/>
  <c r="D451" i="16"/>
  <c r="D322" i="16"/>
  <c r="D422" i="16"/>
  <c r="D297" i="16"/>
  <c r="D166" i="16"/>
  <c r="D33" i="16"/>
  <c r="D150" i="16"/>
  <c r="D22" i="16"/>
  <c r="D142" i="16"/>
  <c r="D15" i="16"/>
  <c r="D137" i="16"/>
  <c r="D98" i="16"/>
  <c r="D216" i="16"/>
  <c r="D91" i="16"/>
  <c r="D211" i="16"/>
  <c r="D88" i="16"/>
  <c r="D511" i="16"/>
  <c r="D470" i="16"/>
  <c r="D348" i="16"/>
  <c r="D442" i="16"/>
  <c r="D317" i="16"/>
  <c r="D186" i="16"/>
  <c r="D237" i="16"/>
  <c r="D106" i="16"/>
  <c r="D224" i="16"/>
  <c r="D99" i="16"/>
  <c r="D219" i="16"/>
  <c r="D96" i="16"/>
  <c r="D668" i="16"/>
  <c r="D536" i="16"/>
  <c r="D636" i="16"/>
  <c r="D514" i="16"/>
  <c r="D597" i="16"/>
  <c r="D726" i="16"/>
  <c r="D684" i="16"/>
  <c r="D557" i="16"/>
  <c r="D441" i="16"/>
  <c r="D316" i="16"/>
  <c r="D408" i="16"/>
  <c r="D279" i="16"/>
  <c r="D375" i="16"/>
  <c r="D471" i="16"/>
  <c r="D345" i="16"/>
  <c r="D214" i="16"/>
  <c r="D135" i="16"/>
  <c r="D251" i="16"/>
  <c r="D63" i="16"/>
  <c r="D183" i="16"/>
  <c r="D11" i="16"/>
  <c r="D133" i="16"/>
  <c r="F7" i="16"/>
  <c r="F547" i="16"/>
  <c r="F333" i="16"/>
  <c r="F91" i="16"/>
  <c r="F78" i="16"/>
  <c r="F686" i="16"/>
  <c r="F482" i="16"/>
  <c r="F120" i="16"/>
  <c r="F553" i="16"/>
  <c r="F297" i="16"/>
  <c r="F83" i="16"/>
  <c r="F113" i="16"/>
  <c r="F676" i="16"/>
  <c r="F403" i="16"/>
  <c r="F725" i="16"/>
  <c r="F720" i="16"/>
  <c r="F518" i="16"/>
  <c r="F681" i="16"/>
  <c r="F456" i="16"/>
  <c r="F429" i="16"/>
  <c r="F328" i="16"/>
  <c r="F400" i="16"/>
  <c r="F11" i="16"/>
  <c r="F92" i="16"/>
  <c r="F236" i="16"/>
  <c r="F62" i="16"/>
  <c r="F723" i="16"/>
  <c r="F711" i="16"/>
  <c r="F488" i="16"/>
  <c r="F644" i="16"/>
  <c r="F330" i="16"/>
  <c r="F402" i="16"/>
  <c r="F303" i="16"/>
  <c r="F375" i="16"/>
  <c r="F194" i="16"/>
  <c r="F241" i="16"/>
  <c r="F74" i="16"/>
  <c r="F729" i="16"/>
  <c r="F724" i="16"/>
  <c r="F510" i="16"/>
  <c r="F667" i="16"/>
  <c r="F321" i="16"/>
  <c r="F393" i="16"/>
  <c r="F292" i="16"/>
  <c r="F364" i="16"/>
  <c r="F215" i="16"/>
  <c r="F20" i="16"/>
  <c r="F86" i="16"/>
  <c r="F653" i="16"/>
  <c r="F504" i="16"/>
  <c r="F548" i="16"/>
  <c r="F649" i="16"/>
  <c r="F495" i="16"/>
  <c r="F366" i="16"/>
  <c r="F350" i="16"/>
  <c r="F15" i="16"/>
  <c r="F48" i="16"/>
  <c r="F130" i="16"/>
  <c r="F213" i="16"/>
  <c r="F534" i="16"/>
  <c r="F405" i="16"/>
  <c r="F227" i="16"/>
  <c r="F443" i="16"/>
  <c r="F512" i="16"/>
  <c r="F279" i="16"/>
  <c r="F143" i="16"/>
  <c r="F526" i="16"/>
  <c r="F369" i="16"/>
  <c r="F100" i="16"/>
  <c r="F559" i="16"/>
  <c r="F506" i="16"/>
  <c r="F230" i="16"/>
  <c r="F670" i="16"/>
  <c r="G670" i="16" s="1"/>
  <c r="F668" i="16"/>
  <c r="F689" i="16"/>
  <c r="F619" i="16"/>
  <c r="F317" i="16"/>
  <c r="F389" i="16"/>
  <c r="F288" i="16"/>
  <c r="F360" i="16"/>
  <c r="F211" i="16"/>
  <c r="F12" i="16"/>
  <c r="F196" i="16"/>
  <c r="F406" i="16"/>
  <c r="F661" i="16"/>
  <c r="F654" i="16"/>
  <c r="F639" i="16"/>
  <c r="F569" i="16"/>
  <c r="F290" i="16"/>
  <c r="F362" i="16"/>
  <c r="F263" i="16"/>
  <c r="F132" i="16"/>
  <c r="F88" i="16"/>
  <c r="F169" i="16"/>
  <c r="F582" i="16"/>
  <c r="F589" i="16"/>
  <c r="F622" i="16"/>
  <c r="F567" i="16"/>
  <c r="F496" i="16"/>
  <c r="F450" i="16"/>
  <c r="F351" i="16"/>
  <c r="F420" i="16"/>
  <c r="F51" i="16"/>
  <c r="F133" i="16"/>
  <c r="F184" i="16"/>
  <c r="F222" i="16"/>
  <c r="F656" i="16"/>
  <c r="F22" i="16"/>
  <c r="F566" i="16"/>
  <c r="F636" i="16"/>
  <c r="F262" i="16"/>
  <c r="F477" i="16"/>
  <c r="F427" i="16"/>
  <c r="F152" i="16"/>
  <c r="F248" i="16"/>
  <c r="F89" i="16"/>
  <c r="F629" i="16"/>
  <c r="F643" i="16"/>
  <c r="F373" i="16"/>
  <c r="F27" i="16"/>
  <c r="F138" i="16"/>
  <c r="F675" i="16"/>
  <c r="F471" i="16"/>
  <c r="F446" i="16"/>
  <c r="F56" i="16"/>
  <c r="F595" i="16"/>
  <c r="F437" i="16"/>
  <c r="F195" i="16"/>
  <c r="F65" i="16"/>
  <c r="F658" i="16"/>
  <c r="F311" i="16"/>
  <c r="F185" i="16"/>
  <c r="F603" i="16"/>
  <c r="F401" i="16"/>
  <c r="F153" i="16"/>
  <c r="F700" i="16"/>
  <c r="F294" i="16"/>
  <c r="F190" i="16"/>
  <c r="F691" i="16"/>
  <c r="F678" i="16"/>
  <c r="F697" i="16"/>
  <c r="F632" i="16"/>
  <c r="F325" i="16"/>
  <c r="F397" i="16"/>
  <c r="F296" i="16"/>
  <c r="F368" i="16"/>
  <c r="F219" i="16"/>
  <c r="F28" i="16"/>
  <c r="F204" i="16"/>
  <c r="F47" i="16"/>
  <c r="F688" i="16"/>
  <c r="F663" i="16"/>
  <c r="F664" i="16"/>
  <c r="F604" i="16"/>
  <c r="F298" i="16"/>
  <c r="G298" i="16" s="1"/>
  <c r="F370" i="16"/>
  <c r="F271" i="16"/>
  <c r="F155" i="16"/>
  <c r="F160" i="16"/>
  <c r="F209" i="16"/>
  <c r="F10" i="16"/>
  <c r="F695" i="16"/>
  <c r="F682" i="16"/>
  <c r="F685" i="16"/>
  <c r="F599" i="16"/>
  <c r="F289" i="16"/>
  <c r="F361" i="16"/>
  <c r="F260" i="16"/>
  <c r="F131" i="16"/>
  <c r="F183" i="16"/>
  <c r="F232" i="16"/>
  <c r="F348" i="16"/>
  <c r="G348" i="16" s="1"/>
  <c r="F532" i="16"/>
  <c r="F182" i="16"/>
  <c r="F708" i="16"/>
  <c r="F536" i="16"/>
  <c r="F326" i="16"/>
  <c r="F331" i="16"/>
  <c r="F291" i="16"/>
  <c r="F214" i="16"/>
  <c r="F97" i="16"/>
  <c r="F50" i="16"/>
  <c r="F588" i="16"/>
  <c r="F503" i="16"/>
  <c r="F304" i="16"/>
  <c r="F108" i="16"/>
  <c r="F696" i="16"/>
  <c r="F530" i="16"/>
  <c r="F246" i="16"/>
  <c r="F127" i="16"/>
  <c r="F677" i="16"/>
  <c r="F268" i="16"/>
  <c r="F208" i="16"/>
  <c r="F718" i="16"/>
  <c r="F438" i="16"/>
  <c r="F64" i="16"/>
  <c r="F579" i="16"/>
  <c r="F615" i="16"/>
  <c r="F591" i="16"/>
  <c r="F552" i="16"/>
  <c r="F285" i="16"/>
  <c r="F357" i="16"/>
  <c r="F256" i="16"/>
  <c r="F123" i="16"/>
  <c r="F179" i="16"/>
  <c r="F93" i="16"/>
  <c r="F164" i="16"/>
  <c r="F395" i="16"/>
  <c r="F578" i="16"/>
  <c r="F606" i="16"/>
  <c r="F544" i="16"/>
  <c r="F498" i="16"/>
  <c r="F258" i="16"/>
  <c r="F462" i="16"/>
  <c r="F431" i="16"/>
  <c r="F218" i="16"/>
  <c r="F24" i="16"/>
  <c r="F122" i="16"/>
  <c r="F31" i="16"/>
  <c r="F523" i="16"/>
  <c r="F555" i="16"/>
  <c r="F511" i="16"/>
  <c r="F345" i="16"/>
  <c r="F417" i="16"/>
  <c r="F316" i="16"/>
  <c r="F388" i="16"/>
  <c r="F239" i="16"/>
  <c r="F68" i="16"/>
  <c r="F142" i="16"/>
  <c r="F149" i="16"/>
  <c r="F491" i="16"/>
  <c r="F692" i="16"/>
  <c r="F475" i="16"/>
  <c r="F538" i="16"/>
  <c r="F414" i="16"/>
  <c r="F278" i="16"/>
  <c r="F95" i="16"/>
  <c r="F96" i="16"/>
  <c r="F189" i="16"/>
  <c r="F499" i="16"/>
  <c r="F728" i="16"/>
  <c r="F650" i="16"/>
  <c r="F336" i="16"/>
  <c r="F161" i="16"/>
  <c r="F14" i="16"/>
  <c r="F557" i="16"/>
  <c r="F306" i="16"/>
  <c r="F383" i="16"/>
  <c r="F217" i="16"/>
  <c r="F562" i="16"/>
  <c r="F473" i="16"/>
  <c r="F44" i="16"/>
  <c r="F620" i="16"/>
  <c r="F338" i="16"/>
  <c r="F415" i="16"/>
  <c r="F26" i="16"/>
  <c r="F601" i="16"/>
  <c r="F300" i="16"/>
  <c r="F240" i="16"/>
  <c r="F102" i="16"/>
  <c r="F466" i="16"/>
  <c r="F129" i="16"/>
  <c r="F594" i="16"/>
  <c r="F630" i="16"/>
  <c r="F627" i="16"/>
  <c r="F576" i="16"/>
  <c r="F293" i="16"/>
  <c r="F365" i="16"/>
  <c r="F264" i="16"/>
  <c r="F146" i="16"/>
  <c r="F187" i="16"/>
  <c r="F109" i="16"/>
  <c r="F172" i="16"/>
  <c r="F419" i="16"/>
  <c r="F593" i="16"/>
  <c r="F614" i="16"/>
  <c r="F561" i="16"/>
  <c r="F514" i="16"/>
  <c r="F266" i="16"/>
  <c r="F470" i="16"/>
  <c r="F439" i="16"/>
  <c r="F39" i="16"/>
  <c r="F104" i="16"/>
  <c r="F177" i="16"/>
  <c r="F449" i="16"/>
  <c r="F602" i="16"/>
  <c r="F638" i="16"/>
  <c r="F583" i="16"/>
  <c r="F513" i="16"/>
  <c r="F257" i="16"/>
  <c r="F461" i="16"/>
  <c r="F428" i="16"/>
  <c r="F67" i="16"/>
  <c r="F141" i="16"/>
  <c r="F200" i="16"/>
  <c r="F163" i="16"/>
  <c r="F679" i="16"/>
  <c r="F54" i="16"/>
  <c r="F581" i="16"/>
  <c r="F651" i="16"/>
  <c r="F270" i="16"/>
  <c r="F147" i="16"/>
  <c r="F451" i="16"/>
  <c r="F174" i="16"/>
  <c r="F17" i="16"/>
  <c r="G17" i="16" s="1"/>
  <c r="F105" i="16"/>
  <c r="F699" i="16"/>
  <c r="F521" i="16"/>
  <c r="F408" i="16"/>
  <c r="G408" i="16" s="1"/>
  <c r="F61" i="16"/>
  <c r="F719" i="16"/>
  <c r="F274" i="16"/>
  <c r="F202" i="16"/>
  <c r="F703" i="16"/>
  <c r="F468" i="16"/>
  <c r="F372" i="16"/>
  <c r="F596" i="16"/>
  <c r="F600" i="16"/>
  <c r="F387" i="16"/>
  <c r="F41" i="16"/>
  <c r="F515" i="16"/>
  <c r="F558" i="16"/>
  <c r="F535" i="16"/>
  <c r="F489" i="16"/>
  <c r="F253" i="16"/>
  <c r="F457" i="16"/>
  <c r="F424" i="16"/>
  <c r="F59" i="16"/>
  <c r="F137" i="16"/>
  <c r="F29" i="16"/>
  <c r="F110" i="16"/>
  <c r="F34" i="16"/>
  <c r="F508" i="16"/>
  <c r="F533" i="16"/>
  <c r="F680" i="16"/>
  <c r="F454" i="16"/>
  <c r="F426" i="16"/>
  <c r="F327" i="16"/>
  <c r="F399" i="16"/>
  <c r="F186" i="16"/>
  <c r="F233" i="16"/>
  <c r="F58" i="16"/>
  <c r="F721" i="16"/>
  <c r="F717" i="16"/>
  <c r="F484" i="16"/>
  <c r="F640" i="16"/>
  <c r="F313" i="16"/>
  <c r="F385" i="16"/>
  <c r="F284" i="16"/>
  <c r="F356" i="16"/>
  <c r="F207" i="16"/>
  <c r="F150" i="16"/>
  <c r="F70" i="16"/>
  <c r="F633" i="16"/>
  <c r="F666" i="16"/>
  <c r="F516" i="16"/>
  <c r="F631" i="16"/>
  <c r="G631" i="16" s="1"/>
  <c r="F467" i="16"/>
  <c r="F358" i="16"/>
  <c r="F458" i="16"/>
  <c r="F249" i="16"/>
  <c r="F16" i="16"/>
  <c r="F114" i="16"/>
  <c r="F181" i="16"/>
  <c r="G181" i="16" s="1"/>
  <c r="F646" i="16"/>
  <c r="F464" i="16"/>
  <c r="F272" i="16"/>
  <c r="F125" i="16"/>
  <c r="F732" i="16"/>
  <c r="F574" i="16"/>
  <c r="F410" i="16"/>
  <c r="F55" i="16"/>
  <c r="F736" i="16"/>
  <c r="F605" i="16"/>
  <c r="F440" i="16"/>
  <c r="F245" i="16"/>
  <c r="F623" i="16"/>
  <c r="F442" i="16"/>
  <c r="F234" i="16"/>
  <c r="F735" i="16"/>
  <c r="F609" i="16"/>
  <c r="F404" i="16"/>
  <c r="F118" i="16"/>
  <c r="F525" i="16"/>
  <c r="F398" i="16"/>
  <c r="F73" i="16"/>
  <c r="F531" i="16"/>
  <c r="F580" i="16"/>
  <c r="F551" i="16"/>
  <c r="F505" i="16"/>
  <c r="F261" i="16"/>
  <c r="F465" i="16"/>
  <c r="F432" i="16"/>
  <c r="F75" i="16"/>
  <c r="F145" i="16"/>
  <c r="G145" i="16" s="1"/>
  <c r="F45" i="16"/>
  <c r="F126" i="16"/>
  <c r="F229" i="16"/>
  <c r="F524" i="16"/>
  <c r="F549" i="16"/>
  <c r="F497" i="16"/>
  <c r="F463" i="16"/>
  <c r="F434" i="16"/>
  <c r="F335" i="16"/>
  <c r="F407" i="16"/>
  <c r="F226" i="16"/>
  <c r="F40" i="16"/>
  <c r="F135" i="16"/>
  <c r="F339" i="16"/>
  <c r="F539" i="16"/>
  <c r="F572" i="16"/>
  <c r="F527" i="16"/>
  <c r="F460" i="16"/>
  <c r="F425" i="16"/>
  <c r="F324" i="16"/>
  <c r="F396" i="16"/>
  <c r="F250" i="16"/>
  <c r="F84" i="16"/>
  <c r="F156" i="16"/>
  <c r="F221" i="16"/>
  <c r="F621" i="16"/>
  <c r="F701" i="16"/>
  <c r="F509" i="16"/>
  <c r="F608" i="16"/>
  <c r="F430" i="16"/>
  <c r="F286" i="16"/>
  <c r="F355" i="16"/>
  <c r="F112" i="16"/>
  <c r="F197" i="16"/>
  <c r="F9" i="16"/>
  <c r="F698" i="16"/>
  <c r="F301" i="16"/>
  <c r="F162" i="16"/>
  <c r="F180" i="16"/>
  <c r="F493" i="16"/>
  <c r="F378" i="16"/>
  <c r="F151" i="16"/>
  <c r="F702" i="16"/>
  <c r="F265" i="16"/>
  <c r="F223" i="16"/>
  <c r="F570" i="16"/>
  <c r="F563" i="16"/>
  <c r="F267" i="16"/>
  <c r="F716" i="16"/>
  <c r="F713" i="16"/>
  <c r="F502" i="16"/>
  <c r="F673" i="16"/>
  <c r="F349" i="16"/>
  <c r="F421" i="16"/>
  <c r="F320" i="16"/>
  <c r="F392" i="16"/>
  <c r="F244" i="16"/>
  <c r="F76" i="16"/>
  <c r="F228" i="16"/>
  <c r="F46" i="16"/>
  <c r="F714" i="16"/>
  <c r="F704" i="16"/>
  <c r="F479" i="16"/>
  <c r="F628" i="16"/>
  <c r="F322" i="16"/>
  <c r="F394" i="16"/>
  <c r="F295" i="16"/>
  <c r="F367" i="16"/>
  <c r="F144" i="16"/>
  <c r="F201" i="16"/>
  <c r="F111" i="16"/>
  <c r="F687" i="16"/>
  <c r="F674" i="16"/>
  <c r="F657" i="16"/>
  <c r="F568" i="16"/>
  <c r="F281" i="16"/>
  <c r="F353" i="16"/>
  <c r="F252" i="16"/>
  <c r="F115" i="16"/>
  <c r="F175" i="16"/>
  <c r="F224" i="16"/>
  <c r="F259" i="16"/>
  <c r="F501" i="16"/>
  <c r="F173" i="16"/>
  <c r="F671" i="16"/>
  <c r="F520" i="16"/>
  <c r="F310" i="16"/>
  <c r="F315" i="16"/>
  <c r="F283" i="16"/>
  <c r="F206" i="16"/>
  <c r="F81" i="16"/>
  <c r="F18" i="16"/>
  <c r="F121" i="16"/>
  <c r="G121" i="16" s="1"/>
  <c r="F480" i="16"/>
  <c r="F269" i="16"/>
  <c r="F376" i="16"/>
  <c r="F212" i="16"/>
  <c r="F540" i="16"/>
  <c r="F612" i="16"/>
  <c r="F343" i="16"/>
  <c r="F170" i="16"/>
  <c r="F90" i="16"/>
  <c r="F648" i="16"/>
  <c r="F329" i="16"/>
  <c r="F436" i="16"/>
  <c r="F36" i="16"/>
  <c r="F634" i="16"/>
  <c r="F669" i="16"/>
  <c r="F318" i="16"/>
  <c r="F33" i="16"/>
  <c r="F624" i="16"/>
  <c r="F645" i="16"/>
  <c r="F655" i="16"/>
  <c r="F665" i="16"/>
  <c r="F613" i="16"/>
  <c r="F309" i="16"/>
  <c r="F381" i="16"/>
  <c r="F280" i="16"/>
  <c r="F352" i="16"/>
  <c r="F203" i="16"/>
  <c r="F158" i="16"/>
  <c r="F188" i="16"/>
  <c r="F374" i="16"/>
  <c r="F641" i="16"/>
  <c r="F642" i="16"/>
  <c r="F587" i="16"/>
  <c r="F546" i="16"/>
  <c r="F282" i="16"/>
  <c r="F354" i="16"/>
  <c r="F255" i="16"/>
  <c r="F119" i="16"/>
  <c r="F136" i="16"/>
  <c r="F193" i="16"/>
  <c r="F554" i="16"/>
  <c r="F660" i="16"/>
  <c r="F662" i="16"/>
  <c r="F635" i="16"/>
  <c r="F545" i="16"/>
  <c r="F273" i="16"/>
  <c r="F478" i="16"/>
  <c r="F445" i="16"/>
  <c r="F99" i="16"/>
  <c r="F167" i="16"/>
  <c r="F216" i="16"/>
  <c r="F435" i="16"/>
  <c r="F715" i="16"/>
  <c r="F192" i="16"/>
  <c r="F610" i="16"/>
  <c r="F486" i="16"/>
  <c r="F302" i="16"/>
  <c r="F299" i="16"/>
  <c r="F275" i="16"/>
  <c r="F198" i="16"/>
  <c r="F49" i="16"/>
  <c r="F590" i="16"/>
  <c r="F57" i="16"/>
  <c r="F459" i="16"/>
  <c r="F693" i="16"/>
  <c r="F433" i="16"/>
  <c r="F154" i="16"/>
  <c r="F168" i="16"/>
  <c r="F363" i="16"/>
  <c r="F616" i="16"/>
  <c r="F307" i="16"/>
  <c r="F205" i="16"/>
  <c r="F25" i="16"/>
  <c r="F565" i="16"/>
  <c r="F607" i="16"/>
  <c r="F575" i="16"/>
  <c r="F537" i="16"/>
  <c r="G537" i="16" s="1"/>
  <c r="F277" i="16"/>
  <c r="F347" i="16"/>
  <c r="F448" i="16"/>
  <c r="F107" i="16"/>
  <c r="F171" i="16"/>
  <c r="F77" i="16"/>
  <c r="F148" i="16"/>
  <c r="F371" i="16"/>
  <c r="F556" i="16"/>
  <c r="F573" i="16"/>
  <c r="F528" i="16"/>
  <c r="F485" i="16"/>
  <c r="F455" i="16"/>
  <c r="F452" i="16"/>
  <c r="F423" i="16"/>
  <c r="F242" i="16"/>
  <c r="F72" i="16"/>
  <c r="F157" i="16"/>
  <c r="F564" i="16"/>
  <c r="F571" i="16"/>
  <c r="F611" i="16"/>
  <c r="F560" i="16"/>
  <c r="F481" i="16"/>
  <c r="F441" i="16"/>
  <c r="F340" i="16"/>
  <c r="F412" i="16"/>
  <c r="G412" i="16" s="1"/>
  <c r="F35" i="16"/>
  <c r="F116" i="16"/>
  <c r="F176" i="16"/>
  <c r="F32" i="16"/>
  <c r="F647" i="16"/>
  <c r="F731" i="16"/>
  <c r="F541" i="16"/>
  <c r="F625" i="16"/>
  <c r="F254" i="16"/>
  <c r="F334" i="16"/>
  <c r="F411" i="16"/>
  <c r="F140" i="16"/>
  <c r="F237" i="16"/>
  <c r="F87" i="16"/>
  <c r="F637" i="16"/>
  <c r="F543" i="16"/>
  <c r="F469" i="16"/>
  <c r="F19" i="16"/>
  <c r="F379" i="16"/>
  <c r="F585" i="16"/>
  <c r="F342" i="16"/>
  <c r="F63" i="16"/>
  <c r="F139" i="16"/>
  <c r="F733" i="16"/>
  <c r="F500" i="16"/>
  <c r="F550" i="16"/>
  <c r="F519" i="16"/>
  <c r="F472" i="16"/>
  <c r="G472" i="16" s="1"/>
  <c r="F444" i="16"/>
  <c r="F344" i="16"/>
  <c r="G344" i="16" s="1"/>
  <c r="F416" i="16"/>
  <c r="F43" i="16"/>
  <c r="F124" i="16"/>
  <c r="F13" i="16"/>
  <c r="F94" i="16"/>
  <c r="F734" i="16"/>
  <c r="G734" i="16" s="1"/>
  <c r="F726" i="16"/>
  <c r="F517" i="16"/>
  <c r="F672" i="16"/>
  <c r="F346" i="16"/>
  <c r="F418" i="16"/>
  <c r="F319" i="16"/>
  <c r="F391" i="16"/>
  <c r="F210" i="16"/>
  <c r="F8" i="16"/>
  <c r="F106" i="16"/>
  <c r="F166" i="16"/>
  <c r="F507" i="16"/>
  <c r="G507" i="16" s="1"/>
  <c r="F542" i="16"/>
  <c r="G542" i="16" s="1"/>
  <c r="F494" i="16"/>
  <c r="F337" i="16"/>
  <c r="F409" i="16"/>
  <c r="F308" i="16"/>
  <c r="F380" i="16"/>
  <c r="F231" i="16"/>
  <c r="F52" i="16"/>
  <c r="F134" i="16"/>
  <c r="F727" i="16"/>
  <c r="F483" i="16"/>
  <c r="F683" i="16"/>
  <c r="F690" i="16"/>
  <c r="F522" i="16"/>
  <c r="F390" i="16"/>
  <c r="F422" i="16"/>
  <c r="F79" i="16"/>
  <c r="F80" i="16"/>
  <c r="F165" i="16"/>
  <c r="F23" i="16"/>
  <c r="F487" i="16"/>
  <c r="F529" i="16"/>
  <c r="F332" i="16"/>
  <c r="F191" i="16"/>
  <c r="F709" i="16"/>
  <c r="F722" i="16"/>
  <c r="F382" i="16"/>
  <c r="F128" i="16"/>
  <c r="F82" i="16"/>
  <c r="F707" i="16"/>
  <c r="F706" i="16"/>
  <c r="F490" i="16"/>
  <c r="F659" i="16"/>
  <c r="F341" i="16"/>
  <c r="F413" i="16"/>
  <c r="F312" i="16"/>
  <c r="F384" i="16"/>
  <c r="F235" i="16"/>
  <c r="F60" i="16"/>
  <c r="F220" i="16"/>
  <c r="F30" i="16"/>
  <c r="F705" i="16"/>
  <c r="F684" i="16"/>
  <c r="F694" i="16"/>
  <c r="F618" i="16"/>
  <c r="F314" i="16"/>
  <c r="F386" i="16"/>
  <c r="F287" i="16"/>
  <c r="F359" i="16"/>
  <c r="F178" i="16"/>
  <c r="F225" i="16"/>
  <c r="F42" i="16"/>
  <c r="F712" i="16"/>
  <c r="F710" i="16"/>
  <c r="F476" i="16"/>
  <c r="F626" i="16"/>
  <c r="F305" i="16"/>
  <c r="F377" i="16"/>
  <c r="F276" i="16"/>
  <c r="F243" i="16"/>
  <c r="F199" i="16"/>
  <c r="F251" i="16"/>
  <c r="F38" i="16"/>
  <c r="F597" i="16"/>
  <c r="F577" i="16"/>
  <c r="F730" i="16"/>
  <c r="F598" i="16"/>
  <c r="F447" i="16"/>
  <c r="F474" i="16"/>
  <c r="F323" i="16"/>
  <c r="F238" i="16"/>
  <c r="F159" i="16"/>
  <c r="F98" i="16"/>
  <c r="F66" i="16"/>
  <c r="F71" i="16"/>
  <c r="F453" i="16"/>
  <c r="F69" i="16"/>
  <c r="F53" i="16"/>
  <c r="G53" i="16" s="1"/>
  <c r="F592" i="16"/>
  <c r="F103" i="16"/>
  <c r="F586" i="16"/>
  <c r="F101" i="16"/>
  <c r="F584" i="16"/>
  <c r="F21" i="16"/>
  <c r="F117" i="16"/>
  <c r="F492" i="16"/>
  <c r="F652" i="16"/>
  <c r="F37" i="16"/>
  <c r="F85" i="16"/>
  <c r="F247" i="16"/>
  <c r="F617" i="16"/>
  <c r="G584" i="16" l="1"/>
  <c r="G598" i="16"/>
  <c r="G476" i="16"/>
  <c r="G684" i="16"/>
  <c r="G706" i="16"/>
  <c r="G165" i="16"/>
  <c r="G231" i="16"/>
  <c r="G166" i="16"/>
  <c r="G416" i="16"/>
  <c r="G411" i="16"/>
  <c r="G611" i="16"/>
  <c r="G556" i="16"/>
  <c r="G565" i="16"/>
  <c r="G299" i="16"/>
  <c r="G273" i="16"/>
  <c r="G546" i="16"/>
  <c r="G624" i="16"/>
  <c r="G81" i="16"/>
  <c r="G568" i="16"/>
  <c r="G479" i="16"/>
  <c r="G502" i="16"/>
  <c r="G180" i="16"/>
  <c r="G492" i="16"/>
  <c r="G730" i="16"/>
  <c r="G178" i="16"/>
  <c r="G341" i="16"/>
  <c r="G727" i="16"/>
  <c r="G63" i="16"/>
  <c r="G87" i="16"/>
  <c r="G334" i="16"/>
  <c r="G731" i="16"/>
  <c r="G116" i="16"/>
  <c r="G441" i="16"/>
  <c r="G571" i="16"/>
  <c r="G242" i="16"/>
  <c r="G485" i="16"/>
  <c r="G371" i="16"/>
  <c r="G107" i="16"/>
  <c r="G25" i="16"/>
  <c r="G363" i="16"/>
  <c r="G693" i="16"/>
  <c r="G49" i="16"/>
  <c r="G302" i="16"/>
  <c r="G715" i="16"/>
  <c r="G99" i="16"/>
  <c r="G545" i="16"/>
  <c r="G554" i="16"/>
  <c r="G255" i="16"/>
  <c r="G587" i="16"/>
  <c r="G188" i="16"/>
  <c r="G280" i="16"/>
  <c r="G665" i="16"/>
  <c r="G33" i="16"/>
  <c r="G36" i="16"/>
  <c r="G90" i="16"/>
  <c r="G540" i="16"/>
  <c r="G480" i="16"/>
  <c r="G206" i="16"/>
  <c r="G520" i="16"/>
  <c r="G259" i="16"/>
  <c r="G252" i="16"/>
  <c r="G657" i="16"/>
  <c r="G201" i="16"/>
  <c r="G394" i="16"/>
  <c r="G704" i="16"/>
  <c r="G76" i="16"/>
  <c r="G421" i="16"/>
  <c r="G713" i="16"/>
  <c r="G570" i="16"/>
  <c r="G151" i="16"/>
  <c r="G162" i="16"/>
  <c r="G197" i="16"/>
  <c r="G430" i="16"/>
  <c r="G621" i="16"/>
  <c r="G250" i="16"/>
  <c r="G460" i="16"/>
  <c r="G339" i="16"/>
  <c r="G407" i="16"/>
  <c r="G497" i="16"/>
  <c r="G126" i="16"/>
  <c r="G432" i="16"/>
  <c r="G551" i="16"/>
  <c r="G398" i="16"/>
  <c r="G609" i="16"/>
  <c r="G652" i="16"/>
  <c r="G238" i="16"/>
  <c r="G276" i="16"/>
  <c r="G386" i="16"/>
  <c r="G413" i="16"/>
  <c r="G332" i="16"/>
  <c r="G483" i="16"/>
  <c r="G391" i="16"/>
  <c r="G519" i="16"/>
  <c r="G637" i="16"/>
  <c r="G176" i="16"/>
  <c r="G455" i="16"/>
  <c r="G616" i="16"/>
  <c r="G590" i="16"/>
  <c r="G167" i="16"/>
  <c r="G119" i="16"/>
  <c r="G352" i="16"/>
  <c r="G612" i="16"/>
  <c r="G501" i="16"/>
  <c r="G111" i="16"/>
  <c r="G228" i="16"/>
  <c r="G563" i="16"/>
  <c r="G286" i="16"/>
  <c r="G377" i="16"/>
  <c r="G705" i="16"/>
  <c r="G707" i="16"/>
  <c r="G80" i="16"/>
  <c r="G380" i="16"/>
  <c r="G319" i="16"/>
  <c r="G550" i="16"/>
  <c r="G117" i="16"/>
  <c r="G98" i="16"/>
  <c r="G577" i="16"/>
  <c r="G712" i="16"/>
  <c r="G384" i="16"/>
  <c r="G709" i="16"/>
  <c r="G79" i="16"/>
  <c r="G134" i="16"/>
  <c r="G418" i="16"/>
  <c r="G444" i="16"/>
  <c r="G237" i="16"/>
  <c r="G35" i="16"/>
  <c r="G564" i="16"/>
  <c r="G448" i="16"/>
  <c r="G168" i="16"/>
  <c r="G435" i="16"/>
  <c r="G193" i="16"/>
  <c r="G381" i="16"/>
  <c r="G318" i="16"/>
  <c r="G436" i="16"/>
  <c r="G170" i="16"/>
  <c r="G212" i="16"/>
  <c r="G283" i="16"/>
  <c r="G671" i="16"/>
  <c r="G224" i="16"/>
  <c r="G353" i="16"/>
  <c r="G674" i="16"/>
  <c r="G144" i="16"/>
  <c r="G322" i="16"/>
  <c r="G714" i="16"/>
  <c r="G244" i="16"/>
  <c r="G349" i="16"/>
  <c r="G716" i="16"/>
  <c r="G223" i="16"/>
  <c r="G378" i="16"/>
  <c r="G301" i="16"/>
  <c r="G112" i="16"/>
  <c r="G608" i="16"/>
  <c r="G221" i="16"/>
  <c r="G396" i="16"/>
  <c r="G527" i="16"/>
  <c r="G135" i="16"/>
  <c r="G335" i="16"/>
  <c r="G549" i="16"/>
  <c r="G45" i="16"/>
  <c r="G465" i="16"/>
  <c r="G580" i="16"/>
  <c r="G525" i="16"/>
  <c r="G735" i="16"/>
  <c r="G617" i="16"/>
  <c r="G592" i="16"/>
  <c r="G71" i="16"/>
  <c r="G38" i="16"/>
  <c r="G225" i="16"/>
  <c r="G60" i="16"/>
  <c r="G382" i="16"/>
  <c r="G390" i="16"/>
  <c r="G337" i="16"/>
  <c r="G672" i="16"/>
  <c r="G94" i="16"/>
  <c r="G139" i="16"/>
  <c r="G379" i="16"/>
  <c r="G541" i="16"/>
  <c r="G340" i="16"/>
  <c r="G72" i="16"/>
  <c r="G171" i="16"/>
  <c r="G277" i="16"/>
  <c r="G433" i="16"/>
  <c r="G192" i="16"/>
  <c r="G660" i="16"/>
  <c r="G374" i="16"/>
  <c r="G613" i="16"/>
  <c r="G634" i="16"/>
  <c r="G648" i="16"/>
  <c r="G269" i="16"/>
  <c r="G310" i="16"/>
  <c r="G115" i="16"/>
  <c r="G295" i="16"/>
  <c r="G320" i="16"/>
  <c r="G702" i="16"/>
  <c r="G9" i="16"/>
  <c r="G247" i="16"/>
  <c r="G101" i="16"/>
  <c r="G66" i="16"/>
  <c r="G323" i="16"/>
  <c r="G251" i="16"/>
  <c r="G710" i="16"/>
  <c r="G314" i="16"/>
  <c r="G235" i="16"/>
  <c r="G722" i="16"/>
  <c r="G529" i="16"/>
  <c r="G522" i="16"/>
  <c r="G494" i="16"/>
  <c r="G106" i="16"/>
  <c r="G517" i="16"/>
  <c r="G13" i="16"/>
  <c r="G19" i="16"/>
  <c r="G85" i="16"/>
  <c r="G586" i="16"/>
  <c r="G69" i="16"/>
  <c r="G474" i="16"/>
  <c r="G199" i="16"/>
  <c r="G305" i="16"/>
  <c r="G359" i="16"/>
  <c r="G618" i="16"/>
  <c r="G30" i="16"/>
  <c r="G659" i="16"/>
  <c r="G82" i="16"/>
  <c r="G487" i="16"/>
  <c r="G690" i="16"/>
  <c r="G308" i="16"/>
  <c r="G8" i="16"/>
  <c r="G726" i="16"/>
  <c r="G124" i="16"/>
  <c r="G500" i="16"/>
  <c r="G342" i="16"/>
  <c r="G469" i="16"/>
  <c r="G254" i="16"/>
  <c r="G647" i="16"/>
  <c r="G481" i="16"/>
  <c r="G423" i="16"/>
  <c r="G528" i="16"/>
  <c r="G148" i="16"/>
  <c r="G575" i="16"/>
  <c r="G205" i="16"/>
  <c r="G459" i="16"/>
  <c r="G198" i="16"/>
  <c r="G486" i="16"/>
  <c r="G445" i="16"/>
  <c r="G635" i="16"/>
  <c r="G354" i="16"/>
  <c r="G642" i="16"/>
  <c r="G158" i="16"/>
  <c r="G655" i="16"/>
  <c r="G37" i="16"/>
  <c r="G21" i="16"/>
  <c r="G103" i="16"/>
  <c r="G453" i="16"/>
  <c r="G159" i="16"/>
  <c r="G447" i="16"/>
  <c r="G597" i="16"/>
  <c r="G243" i="16"/>
  <c r="G626" i="16"/>
  <c r="G42" i="16"/>
  <c r="G287" i="16"/>
  <c r="G694" i="16"/>
  <c r="G220" i="16"/>
  <c r="G312" i="16"/>
  <c r="G490" i="16"/>
  <c r="G128" i="16"/>
  <c r="G191" i="16"/>
  <c r="G23" i="16"/>
  <c r="G422" i="16"/>
  <c r="G683" i="16"/>
  <c r="G52" i="16"/>
  <c r="G409" i="16"/>
  <c r="G210" i="16"/>
  <c r="G346" i="16"/>
  <c r="G43" i="16"/>
  <c r="G733" i="16"/>
  <c r="G585" i="16"/>
  <c r="G543" i="16"/>
  <c r="G140" i="16"/>
  <c r="G625" i="16"/>
  <c r="G32" i="16"/>
  <c r="G560" i="16"/>
  <c r="G157" i="16"/>
  <c r="G452" i="16"/>
  <c r="G573" i="16"/>
  <c r="G77" i="16"/>
  <c r="G347" i="16"/>
  <c r="G607" i="16"/>
  <c r="G307" i="16"/>
  <c r="G154" i="16"/>
  <c r="G57" i="16"/>
  <c r="G275" i="16"/>
  <c r="G610" i="16"/>
  <c r="G216" i="16"/>
  <c r="G478" i="16"/>
  <c r="G662" i="16"/>
  <c r="G136" i="16"/>
  <c r="G282" i="16"/>
  <c r="G641" i="16"/>
  <c r="G203" i="16"/>
  <c r="G309" i="16"/>
  <c r="G645" i="16"/>
  <c r="G669" i="16"/>
  <c r="G329" i="16"/>
  <c r="G343" i="16"/>
  <c r="G376" i="16"/>
  <c r="G18" i="16"/>
  <c r="G315" i="16"/>
  <c r="G173" i="16"/>
  <c r="G175" i="16"/>
  <c r="G281" i="16"/>
  <c r="G687" i="16"/>
  <c r="G367" i="16"/>
  <c r="G628" i="16"/>
  <c r="G46" i="16"/>
  <c r="G392" i="16"/>
  <c r="G673" i="16"/>
  <c r="G267" i="16"/>
  <c r="G265" i="16"/>
  <c r="G493" i="16"/>
  <c r="G698" i="16"/>
  <c r="G355" i="16"/>
  <c r="G623" i="16"/>
  <c r="G736" i="16"/>
  <c r="G732" i="16"/>
  <c r="G646" i="16"/>
  <c r="G249" i="16"/>
  <c r="G70" i="16"/>
  <c r="G284" i="16"/>
  <c r="G484" i="16"/>
  <c r="G233" i="16"/>
  <c r="G426" i="16"/>
  <c r="G508" i="16"/>
  <c r="G137" i="16"/>
  <c r="G253" i="16"/>
  <c r="G515" i="16"/>
  <c r="G596" i="16"/>
  <c r="G202" i="16"/>
  <c r="G270" i="16"/>
  <c r="G679" i="16"/>
  <c r="G67" i="16"/>
  <c r="G513" i="16"/>
  <c r="G449" i="16"/>
  <c r="G439" i="16"/>
  <c r="G561" i="16"/>
  <c r="G172" i="16"/>
  <c r="G264" i="16"/>
  <c r="G627" i="16"/>
  <c r="G466" i="16"/>
  <c r="G601" i="16"/>
  <c r="G620" i="16"/>
  <c r="G217" i="16"/>
  <c r="G14" i="16"/>
  <c r="G728" i="16"/>
  <c r="G95" i="16"/>
  <c r="G475" i="16"/>
  <c r="G142" i="16"/>
  <c r="G316" i="16"/>
  <c r="G555" i="16"/>
  <c r="G24" i="16"/>
  <c r="G258" i="16"/>
  <c r="G578" i="16"/>
  <c r="G179" i="16"/>
  <c r="G285" i="16"/>
  <c r="G579" i="16"/>
  <c r="G208" i="16"/>
  <c r="G246" i="16"/>
  <c r="G304" i="16"/>
  <c r="G97" i="16"/>
  <c r="G326" i="16"/>
  <c r="G532" i="16"/>
  <c r="G131" i="16"/>
  <c r="G599" i="16"/>
  <c r="G10" i="16"/>
  <c r="G271" i="16"/>
  <c r="G664" i="16"/>
  <c r="G204" i="16"/>
  <c r="G296" i="16"/>
  <c r="G697" i="16"/>
  <c r="G294" i="16"/>
  <c r="G603" i="16"/>
  <c r="G65" i="16"/>
  <c r="G56" i="16"/>
  <c r="G138" i="16"/>
  <c r="G629" i="16"/>
  <c r="G427" i="16"/>
  <c r="G566" i="16"/>
  <c r="G184" i="16"/>
  <c r="G351" i="16"/>
  <c r="G622" i="16"/>
  <c r="G88" i="16"/>
  <c r="G290" i="16"/>
  <c r="G661" i="16"/>
  <c r="G211" i="16"/>
  <c r="G317" i="16"/>
  <c r="G100" i="16"/>
  <c r="G279" i="16"/>
  <c r="G405" i="16"/>
  <c r="G48" i="16"/>
  <c r="G495" i="16"/>
  <c r="G653" i="16"/>
  <c r="G364" i="16"/>
  <c r="G667" i="16"/>
  <c r="G74" i="16"/>
  <c r="G303" i="16"/>
  <c r="G488" i="16"/>
  <c r="G236" i="16"/>
  <c r="G328" i="16"/>
  <c r="G518" i="16"/>
  <c r="G676" i="16"/>
  <c r="G553" i="16"/>
  <c r="G78" i="16"/>
  <c r="G7" i="16"/>
  <c r="AI63" i="16"/>
  <c r="I63" i="16"/>
  <c r="AI345" i="16"/>
  <c r="I345" i="16"/>
  <c r="AI408" i="16"/>
  <c r="I408" i="16"/>
  <c r="J408" i="16" s="1"/>
  <c r="K408" i="16" s="1"/>
  <c r="R408" i="16" s="1"/>
  <c r="AI684" i="16"/>
  <c r="I684" i="16"/>
  <c r="AI636" i="16"/>
  <c r="I636" i="16"/>
  <c r="AI219" i="16"/>
  <c r="I219" i="16"/>
  <c r="AI237" i="16"/>
  <c r="I237" i="16"/>
  <c r="AI348" i="16"/>
  <c r="I348" i="16"/>
  <c r="J348" i="16" s="1"/>
  <c r="K348" i="16" s="1"/>
  <c r="R348" i="16" s="1"/>
  <c r="AI211" i="16"/>
  <c r="I211" i="16"/>
  <c r="AI137" i="16"/>
  <c r="I137" i="16"/>
  <c r="AI150" i="16"/>
  <c r="I150" i="16"/>
  <c r="AI422" i="16"/>
  <c r="I422" i="16"/>
  <c r="AI268" i="16"/>
  <c r="I268" i="16"/>
  <c r="AI714" i="16"/>
  <c r="I714" i="16"/>
  <c r="AI490" i="16"/>
  <c r="I490" i="16"/>
  <c r="AI125" i="16"/>
  <c r="I125" i="16"/>
  <c r="AI131" i="16"/>
  <c r="I131" i="16"/>
  <c r="AI640" i="16"/>
  <c r="I640" i="16"/>
  <c r="AI371" i="16"/>
  <c r="I371" i="16"/>
  <c r="AI236" i="16"/>
  <c r="I236" i="16"/>
  <c r="AI564" i="16"/>
  <c r="I564" i="16"/>
  <c r="AI336" i="16"/>
  <c r="I336" i="16"/>
  <c r="AI120" i="16"/>
  <c r="I120" i="16"/>
  <c r="AI709" i="16"/>
  <c r="I709" i="16"/>
  <c r="AI359" i="16"/>
  <c r="I359" i="16"/>
  <c r="AI19" i="16"/>
  <c r="I19" i="16"/>
  <c r="AI197" i="16"/>
  <c r="I197" i="16"/>
  <c r="AI535" i="16"/>
  <c r="I535" i="16"/>
  <c r="AI487" i="16"/>
  <c r="I487" i="16"/>
  <c r="AI699" i="16"/>
  <c r="I699" i="16"/>
  <c r="AI480" i="16"/>
  <c r="I480" i="16"/>
  <c r="AI463" i="16"/>
  <c r="I463" i="16"/>
  <c r="AI628" i="16"/>
  <c r="I628" i="16"/>
  <c r="AI87" i="16"/>
  <c r="I87" i="16"/>
  <c r="AI105" i="16"/>
  <c r="I105" i="16"/>
  <c r="AI399" i="16"/>
  <c r="I399" i="16"/>
  <c r="AI553" i="16"/>
  <c r="I553" i="16"/>
  <c r="AI631" i="16"/>
  <c r="I631" i="16"/>
  <c r="J631" i="16" s="1"/>
  <c r="K631" i="16" s="1"/>
  <c r="R631" i="16" s="1"/>
  <c r="AI271" i="16"/>
  <c r="I271" i="16"/>
  <c r="AI177" i="16"/>
  <c r="I177" i="16"/>
  <c r="AI447" i="16"/>
  <c r="I447" i="16"/>
  <c r="AI292" i="16"/>
  <c r="I292" i="16"/>
  <c r="AI720" i="16"/>
  <c r="I720" i="16"/>
  <c r="AI512" i="16"/>
  <c r="I512" i="16"/>
  <c r="AI140" i="16"/>
  <c r="I140" i="16"/>
  <c r="AI18" i="16"/>
  <c r="I18" i="16"/>
  <c r="AI293" i="16"/>
  <c r="I293" i="16"/>
  <c r="AI356" i="16"/>
  <c r="I356" i="16"/>
  <c r="AI638" i="16"/>
  <c r="I638" i="16"/>
  <c r="AI488" i="16"/>
  <c r="I488" i="16"/>
  <c r="AI342" i="16"/>
  <c r="I342" i="16"/>
  <c r="AI703" i="16"/>
  <c r="I703" i="16"/>
  <c r="AI229" i="16"/>
  <c r="I229" i="16"/>
  <c r="AI270" i="16"/>
  <c r="I270" i="16"/>
  <c r="AI344" i="16"/>
  <c r="I344" i="16"/>
  <c r="J344" i="16" s="1"/>
  <c r="K344" i="16" s="1"/>
  <c r="R344" i="16" s="1"/>
  <c r="AI489" i="16"/>
  <c r="I489" i="16"/>
  <c r="AI563" i="16"/>
  <c r="I563" i="16"/>
  <c r="AI51" i="16"/>
  <c r="I51" i="16"/>
  <c r="AI394" i="16"/>
  <c r="I394" i="16"/>
  <c r="AI469" i="16"/>
  <c r="I469" i="16"/>
  <c r="AI707" i="16"/>
  <c r="I707" i="16"/>
  <c r="AI689" i="16"/>
  <c r="I689" i="16"/>
  <c r="AI168" i="16"/>
  <c r="I168" i="16"/>
  <c r="AI419" i="16"/>
  <c r="I419" i="16"/>
  <c r="AI484" i="16"/>
  <c r="I484" i="16"/>
  <c r="AI645" i="16"/>
  <c r="I645" i="16"/>
  <c r="AI736" i="16"/>
  <c r="I736" i="16"/>
  <c r="AI220" i="16"/>
  <c r="I220" i="16"/>
  <c r="AI249" i="16"/>
  <c r="I249" i="16"/>
  <c r="AI311" i="16"/>
  <c r="I311" i="16"/>
  <c r="AI594" i="16"/>
  <c r="I594" i="16"/>
  <c r="AI546" i="16"/>
  <c r="I546" i="16"/>
  <c r="AI64" i="16"/>
  <c r="I64" i="16"/>
  <c r="AI310" i="16"/>
  <c r="I310" i="16"/>
  <c r="AI381" i="16"/>
  <c r="I381" i="16"/>
  <c r="AI532" i="16"/>
  <c r="I532" i="16"/>
  <c r="AI397" i="16"/>
  <c r="I397" i="16"/>
  <c r="AI83" i="16"/>
  <c r="I83" i="16"/>
  <c r="AI621" i="16"/>
  <c r="I621" i="16"/>
  <c r="AI454" i="16"/>
  <c r="I454" i="16"/>
  <c r="AI147" i="16"/>
  <c r="I147" i="16"/>
  <c r="AI696" i="16"/>
  <c r="I696" i="16"/>
  <c r="AI134" i="16"/>
  <c r="I134" i="16"/>
  <c r="AI159" i="16"/>
  <c r="I159" i="16"/>
  <c r="AI324" i="16"/>
  <c r="I324" i="16"/>
  <c r="AI539" i="16"/>
  <c r="I539" i="16"/>
  <c r="AI610" i="16"/>
  <c r="I610" i="16"/>
  <c r="AI432" i="16"/>
  <c r="I432" i="16"/>
  <c r="AI523" i="16"/>
  <c r="I523" i="16"/>
  <c r="AI103" i="16"/>
  <c r="I103" i="16"/>
  <c r="AI72" i="16"/>
  <c r="I72" i="16"/>
  <c r="AI244" i="16"/>
  <c r="I244" i="16"/>
  <c r="AI281" i="16"/>
  <c r="I281" i="16"/>
  <c r="AI343" i="16"/>
  <c r="I343" i="16"/>
  <c r="AI622" i="16"/>
  <c r="I622" i="16"/>
  <c r="AI577" i="16"/>
  <c r="I577" i="16"/>
  <c r="AI154" i="16"/>
  <c r="I154" i="16"/>
  <c r="AI173" i="16"/>
  <c r="I173" i="16"/>
  <c r="AI288" i="16"/>
  <c r="I288" i="16"/>
  <c r="AI146" i="16"/>
  <c r="I146" i="16"/>
  <c r="AI76" i="16"/>
  <c r="I76" i="16"/>
  <c r="AI86" i="16"/>
  <c r="I86" i="16"/>
  <c r="AI358" i="16"/>
  <c r="I358" i="16"/>
  <c r="AI424" i="16"/>
  <c r="I424" i="16"/>
  <c r="AI698" i="16"/>
  <c r="I698" i="16"/>
  <c r="AI651" i="16"/>
  <c r="I651" i="16"/>
  <c r="AI69" i="16"/>
  <c r="I69" i="16"/>
  <c r="AI453" i="16"/>
  <c r="I453" i="16"/>
  <c r="AI349" i="16"/>
  <c r="I349" i="16"/>
  <c r="AI341" i="16"/>
  <c r="I341" i="16"/>
  <c r="AI231" i="16"/>
  <c r="I231" i="16"/>
  <c r="AI515" i="16"/>
  <c r="I515" i="16"/>
  <c r="AI299" i="16"/>
  <c r="I299" i="16"/>
  <c r="AI123" i="16"/>
  <c r="I123" i="16"/>
  <c r="AI661" i="16"/>
  <c r="I661" i="16"/>
  <c r="AI392" i="16"/>
  <c r="I392" i="16"/>
  <c r="AI26" i="16"/>
  <c r="I26" i="16"/>
  <c r="AI275" i="16"/>
  <c r="I275" i="16"/>
  <c r="AI118" i="16"/>
  <c r="I118" i="16"/>
  <c r="AI395" i="16"/>
  <c r="I395" i="16"/>
  <c r="AI243" i="16"/>
  <c r="I243" i="16"/>
  <c r="AI314" i="16"/>
  <c r="I314" i="16"/>
  <c r="AI369" i="16"/>
  <c r="I369" i="16"/>
  <c r="AI20" i="16"/>
  <c r="I20" i="16"/>
  <c r="AI30" i="16"/>
  <c r="I30" i="16"/>
  <c r="AI305" i="16"/>
  <c r="I305" i="16"/>
  <c r="AI368" i="16"/>
  <c r="I368" i="16"/>
  <c r="AI538" i="16"/>
  <c r="I538" i="16"/>
  <c r="AI55" i="16"/>
  <c r="I55" i="16"/>
  <c r="AI228" i="16"/>
  <c r="I228" i="16"/>
  <c r="AI257" i="16"/>
  <c r="I257" i="16"/>
  <c r="AI319" i="16"/>
  <c r="I319" i="16"/>
  <c r="AI602" i="16"/>
  <c r="I602" i="16"/>
  <c r="AI560" i="16"/>
  <c r="I560" i="16"/>
  <c r="AI119" i="16"/>
  <c r="I119" i="16"/>
  <c r="AI75" i="16"/>
  <c r="I75" i="16"/>
  <c r="AI93" i="16"/>
  <c r="I93" i="16"/>
  <c r="AI387" i="16"/>
  <c r="I387" i="16"/>
  <c r="AI450" i="16"/>
  <c r="I450" i="16"/>
  <c r="AI612" i="16"/>
  <c r="I612" i="16"/>
  <c r="AI678" i="16"/>
  <c r="I678" i="16"/>
  <c r="AI81" i="16"/>
  <c r="I81" i="16"/>
  <c r="AI448" i="16"/>
  <c r="I448" i="16"/>
  <c r="AI571" i="16"/>
  <c r="I571" i="16"/>
  <c r="AI45" i="16"/>
  <c r="I45" i="16"/>
  <c r="AI334" i="16"/>
  <c r="I334" i="16"/>
  <c r="AI405" i="16"/>
  <c r="I405" i="16"/>
  <c r="AI565" i="16"/>
  <c r="I565" i="16"/>
  <c r="AI635" i="16"/>
  <c r="I635" i="16"/>
  <c r="AI235" i="16"/>
  <c r="I235" i="16"/>
  <c r="AI333" i="16"/>
  <c r="I333" i="16"/>
  <c r="AI396" i="16"/>
  <c r="I396" i="16"/>
  <c r="AI675" i="16"/>
  <c r="I675" i="16"/>
  <c r="AI627" i="16"/>
  <c r="I627" i="16"/>
  <c r="AI107" i="16"/>
  <c r="I107" i="16"/>
  <c r="AI355" i="16"/>
  <c r="I355" i="16"/>
  <c r="AI421" i="16"/>
  <c r="I421" i="16"/>
  <c r="AI579" i="16"/>
  <c r="I579" i="16"/>
  <c r="AI649" i="16"/>
  <c r="I649" i="16"/>
  <c r="AI156" i="16"/>
  <c r="I156" i="16"/>
  <c r="AI182" i="16"/>
  <c r="I182" i="16"/>
  <c r="AI468" i="16"/>
  <c r="I468" i="16"/>
  <c r="AI534" i="16"/>
  <c r="I534" i="16"/>
  <c r="AI486" i="16"/>
  <c r="I486" i="16"/>
  <c r="AI128" i="16"/>
  <c r="I128" i="16"/>
  <c r="AI285" i="16"/>
  <c r="I285" i="16"/>
  <c r="AI412" i="16"/>
  <c r="I412" i="16"/>
  <c r="J412" i="16" s="1"/>
  <c r="K412" i="16" s="1"/>
  <c r="R412" i="16" s="1"/>
  <c r="AI687" i="16"/>
  <c r="I687" i="16"/>
  <c r="AI301" i="16"/>
  <c r="I301" i="16"/>
  <c r="AI685" i="16"/>
  <c r="I685" i="16"/>
  <c r="AI373" i="16"/>
  <c r="I373" i="16"/>
  <c r="AI198" i="16"/>
  <c r="I198" i="16"/>
  <c r="AI141" i="16"/>
  <c r="I141" i="16"/>
  <c r="AI715" i="16"/>
  <c r="I715" i="16"/>
  <c r="AI7" i="16"/>
  <c r="I7" i="16"/>
  <c r="AI89" i="16"/>
  <c r="I89" i="16"/>
  <c r="AI352" i="16"/>
  <c r="I352" i="16"/>
  <c r="AI634" i="16"/>
  <c r="I634" i="16"/>
  <c r="AI544" i="16"/>
  <c r="I544" i="16"/>
  <c r="AI276" i="16"/>
  <c r="I276" i="16"/>
  <c r="AI506" i="16"/>
  <c r="I506" i="16"/>
  <c r="AI555" i="16"/>
  <c r="I555" i="16"/>
  <c r="G245" i="16"/>
  <c r="G55" i="16"/>
  <c r="G125" i="16"/>
  <c r="G458" i="16"/>
  <c r="G516" i="16"/>
  <c r="G150" i="16"/>
  <c r="J150" i="16" s="1"/>
  <c r="K150" i="16" s="1"/>
  <c r="R150" i="16" s="1"/>
  <c r="G385" i="16"/>
  <c r="G717" i="16"/>
  <c r="G186" i="16"/>
  <c r="G454" i="16"/>
  <c r="G34" i="16"/>
  <c r="G59" i="16"/>
  <c r="G489" i="16"/>
  <c r="G41" i="16"/>
  <c r="G372" i="16"/>
  <c r="G274" i="16"/>
  <c r="G521" i="16"/>
  <c r="G174" i="16"/>
  <c r="G651" i="16"/>
  <c r="G163" i="16"/>
  <c r="G428" i="16"/>
  <c r="G583" i="16"/>
  <c r="G177" i="16"/>
  <c r="G470" i="16"/>
  <c r="G614" i="16"/>
  <c r="G109" i="16"/>
  <c r="G365" i="16"/>
  <c r="G630" i="16"/>
  <c r="G102" i="16"/>
  <c r="G26" i="16"/>
  <c r="J26" i="16" s="1"/>
  <c r="K26" i="16" s="1"/>
  <c r="R26" i="16" s="1"/>
  <c r="G44" i="16"/>
  <c r="G383" i="16"/>
  <c r="G161" i="16"/>
  <c r="G499" i="16"/>
  <c r="G278" i="16"/>
  <c r="G692" i="16"/>
  <c r="G68" i="16"/>
  <c r="G417" i="16"/>
  <c r="G523" i="16"/>
  <c r="G218" i="16"/>
  <c r="G498" i="16"/>
  <c r="G395" i="16"/>
  <c r="G123" i="16"/>
  <c r="G552" i="16"/>
  <c r="G64" i="16"/>
  <c r="G268" i="16"/>
  <c r="J268" i="16" s="1"/>
  <c r="K268" i="16" s="1"/>
  <c r="R268" i="16" s="1"/>
  <c r="G530" i="16"/>
  <c r="G503" i="16"/>
  <c r="G214" i="16"/>
  <c r="G536" i="16"/>
  <c r="G260" i="16"/>
  <c r="G685" i="16"/>
  <c r="G209" i="16"/>
  <c r="G370" i="16"/>
  <c r="G663" i="16"/>
  <c r="G28" i="16"/>
  <c r="G397" i="16"/>
  <c r="G678" i="16"/>
  <c r="G700" i="16"/>
  <c r="G185" i="16"/>
  <c r="G195" i="16"/>
  <c r="G446" i="16"/>
  <c r="G27" i="16"/>
  <c r="G89" i="16"/>
  <c r="J89" i="16" s="1"/>
  <c r="K89" i="16" s="1"/>
  <c r="R89" i="16" s="1"/>
  <c r="G477" i="16"/>
  <c r="G22" i="16"/>
  <c r="G133" i="16"/>
  <c r="G450" i="16"/>
  <c r="G589" i="16"/>
  <c r="G132" i="16"/>
  <c r="G569" i="16"/>
  <c r="G406" i="16"/>
  <c r="G360" i="16"/>
  <c r="G619" i="16"/>
  <c r="G230" i="16"/>
  <c r="G369" i="16"/>
  <c r="G512" i="16"/>
  <c r="G534" i="16"/>
  <c r="J534" i="16" s="1"/>
  <c r="K534" i="16" s="1"/>
  <c r="R534" i="16" s="1"/>
  <c r="G15" i="16"/>
  <c r="G649" i="16"/>
  <c r="G86" i="16"/>
  <c r="G292" i="16"/>
  <c r="G510" i="16"/>
  <c r="G241" i="16"/>
  <c r="G402" i="16"/>
  <c r="G711" i="16"/>
  <c r="G92" i="16"/>
  <c r="G429" i="16"/>
  <c r="G720" i="16"/>
  <c r="J720" i="16" s="1"/>
  <c r="K720" i="16" s="1"/>
  <c r="R720" i="16" s="1"/>
  <c r="G113" i="16"/>
  <c r="G120" i="16"/>
  <c r="J120" i="16" s="1"/>
  <c r="K120" i="16" s="1"/>
  <c r="R120" i="16" s="1"/>
  <c r="G91" i="16"/>
  <c r="AI133" i="16"/>
  <c r="I133" i="16"/>
  <c r="AI251" i="16"/>
  <c r="I251" i="16"/>
  <c r="AI471" i="16"/>
  <c r="I471" i="16"/>
  <c r="AI316" i="16"/>
  <c r="I316" i="16"/>
  <c r="AI726" i="16"/>
  <c r="I726" i="16"/>
  <c r="AI536" i="16"/>
  <c r="I536" i="16"/>
  <c r="AI99" i="16"/>
  <c r="I99" i="16"/>
  <c r="AI186" i="16"/>
  <c r="I186" i="16"/>
  <c r="AI470" i="16"/>
  <c r="I470" i="16"/>
  <c r="AI91" i="16"/>
  <c r="I91" i="16"/>
  <c r="AI15" i="16"/>
  <c r="I15" i="16"/>
  <c r="AI33" i="16"/>
  <c r="I33" i="16"/>
  <c r="AI322" i="16"/>
  <c r="I322" i="16"/>
  <c r="AI393" i="16"/>
  <c r="I393" i="16"/>
  <c r="AI547" i="16"/>
  <c r="I547" i="16"/>
  <c r="AI623" i="16"/>
  <c r="I623" i="16"/>
  <c r="AI261" i="16"/>
  <c r="I261" i="16"/>
  <c r="AI10" i="16"/>
  <c r="I10" i="16"/>
  <c r="AI543" i="16"/>
  <c r="I543" i="16"/>
  <c r="AI437" i="16"/>
  <c r="I437" i="16"/>
  <c r="AI265" i="16"/>
  <c r="I265" i="16"/>
  <c r="AI203" i="16"/>
  <c r="I203" i="16"/>
  <c r="AI731" i="16"/>
  <c r="I731" i="16"/>
  <c r="AI130" i="16"/>
  <c r="I130" i="16"/>
  <c r="AI697" i="16"/>
  <c r="I697" i="16"/>
  <c r="AI425" i="16"/>
  <c r="I425" i="16"/>
  <c r="AI37" i="16"/>
  <c r="I37" i="16"/>
  <c r="AI467" i="16"/>
  <c r="I467" i="16"/>
  <c r="AI111" i="16"/>
  <c r="I111" i="16"/>
  <c r="AI652" i="16"/>
  <c r="I652" i="16"/>
  <c r="AI658" i="16"/>
  <c r="I658" i="16"/>
  <c r="AI383" i="16"/>
  <c r="I383" i="16"/>
  <c r="AI400" i="16"/>
  <c r="I400" i="16"/>
  <c r="AI664" i="16"/>
  <c r="I664" i="16"/>
  <c r="AI212" i="16"/>
  <c r="I212" i="16"/>
  <c r="AI238" i="16"/>
  <c r="I238" i="16"/>
  <c r="AI303" i="16"/>
  <c r="I303" i="16"/>
  <c r="AI478" i="16"/>
  <c r="I478" i="16"/>
  <c r="AI52" i="16"/>
  <c r="I52" i="16"/>
  <c r="AI492" i="16"/>
  <c r="I492" i="16"/>
  <c r="AI57" i="16"/>
  <c r="I57" i="16"/>
  <c r="AI346" i="16"/>
  <c r="I346" i="16"/>
  <c r="AI417" i="16"/>
  <c r="I417" i="16"/>
  <c r="AI578" i="16"/>
  <c r="I578" i="16"/>
  <c r="AI648" i="16"/>
  <c r="I648" i="16"/>
  <c r="AI367" i="16"/>
  <c r="I367" i="16"/>
  <c r="AI149" i="16"/>
  <c r="I149" i="16"/>
  <c r="AI418" i="16"/>
  <c r="I418" i="16"/>
  <c r="AI264" i="16"/>
  <c r="I264" i="16"/>
  <c r="AI713" i="16"/>
  <c r="I713" i="16"/>
  <c r="AI614" i="16"/>
  <c r="I614" i="16"/>
  <c r="AI472" i="16"/>
  <c r="I472" i="16"/>
  <c r="J472" i="16" s="1"/>
  <c r="K472" i="16" s="1"/>
  <c r="R472" i="16" s="1"/>
  <c r="AI500" i="16"/>
  <c r="I500" i="16"/>
  <c r="AI109" i="16"/>
  <c r="I109" i="16"/>
  <c r="AI403" i="16"/>
  <c r="I403" i="16"/>
  <c r="AI462" i="16"/>
  <c r="I462" i="16"/>
  <c r="AI629" i="16"/>
  <c r="I629" i="16"/>
  <c r="AI694" i="16"/>
  <c r="I694" i="16"/>
  <c r="AI176" i="16"/>
  <c r="I176" i="16"/>
  <c r="AI294" i="16"/>
  <c r="I294" i="16"/>
  <c r="AI365" i="16"/>
  <c r="I365" i="16"/>
  <c r="AI516" i="16"/>
  <c r="I516" i="16"/>
  <c r="AI40" i="16"/>
  <c r="I40" i="16"/>
  <c r="AI50" i="16"/>
  <c r="I50" i="16"/>
  <c r="AI323" i="16"/>
  <c r="I323" i="16"/>
  <c r="AI603" i="16"/>
  <c r="I603" i="16"/>
  <c r="AI562" i="16"/>
  <c r="I562" i="16"/>
  <c r="AI92" i="16"/>
  <c r="I92" i="16"/>
  <c r="AI102" i="16"/>
  <c r="I102" i="16"/>
  <c r="AI374" i="16"/>
  <c r="I374" i="16"/>
  <c r="AI440" i="16"/>
  <c r="I440" i="16"/>
  <c r="AI702" i="16"/>
  <c r="I702" i="16"/>
  <c r="AI667" i="16"/>
  <c r="I667" i="16"/>
  <c r="AI139" i="16"/>
  <c r="I139" i="16"/>
  <c r="AI443" i="16"/>
  <c r="I443" i="16"/>
  <c r="AI509" i="16"/>
  <c r="I509" i="16"/>
  <c r="AI676" i="16"/>
  <c r="I676" i="16"/>
  <c r="AI548" i="16"/>
  <c r="I548" i="16"/>
  <c r="AI101" i="16"/>
  <c r="I101" i="16"/>
  <c r="AI576" i="16"/>
  <c r="I576" i="16"/>
  <c r="AI300" i="16"/>
  <c r="I300" i="16"/>
  <c r="AI170" i="16"/>
  <c r="I170" i="16"/>
  <c r="AI606" i="16"/>
  <c r="I606" i="16"/>
  <c r="AI14" i="16"/>
  <c r="I14" i="16"/>
  <c r="AI289" i="16"/>
  <c r="I289" i="16"/>
  <c r="AI449" i="16"/>
  <c r="I449" i="16"/>
  <c r="AI680" i="16"/>
  <c r="I680" i="16"/>
  <c r="AI116" i="16"/>
  <c r="I116" i="16"/>
  <c r="AI340" i="16"/>
  <c r="I340" i="16"/>
  <c r="AI591" i="16"/>
  <c r="I591" i="16"/>
  <c r="AI308" i="16"/>
  <c r="I308" i="16"/>
  <c r="AI195" i="16"/>
  <c r="I195" i="16"/>
  <c r="AI188" i="16"/>
  <c r="I188" i="16"/>
  <c r="AI406" i="16"/>
  <c r="I406" i="16"/>
  <c r="AI481" i="16"/>
  <c r="I481" i="16"/>
  <c r="AI710" i="16"/>
  <c r="I710" i="16"/>
  <c r="AI475" i="16"/>
  <c r="I475" i="16"/>
  <c r="AI35" i="16"/>
  <c r="I35" i="16"/>
  <c r="AI53" i="16"/>
  <c r="I53" i="16"/>
  <c r="J53" i="16" s="1"/>
  <c r="K53" i="16" s="1"/>
  <c r="R53" i="16" s="1"/>
  <c r="AI413" i="16"/>
  <c r="I413" i="16"/>
  <c r="AI27" i="16"/>
  <c r="I27" i="16"/>
  <c r="AI199" i="16"/>
  <c r="I199" i="16"/>
  <c r="AI217" i="16"/>
  <c r="I217" i="16"/>
  <c r="AI258" i="16"/>
  <c r="I258" i="16"/>
  <c r="AI332" i="16"/>
  <c r="I332" i="16"/>
  <c r="AI730" i="16"/>
  <c r="I730" i="16"/>
  <c r="AI558" i="16"/>
  <c r="I558" i="16"/>
  <c r="AI61" i="16"/>
  <c r="I61" i="16"/>
  <c r="AI187" i="16"/>
  <c r="I187" i="16"/>
  <c r="AI479" i="16"/>
  <c r="I479" i="16"/>
  <c r="AI404" i="16"/>
  <c r="I404" i="16"/>
  <c r="AI248" i="16"/>
  <c r="I248" i="16"/>
  <c r="AI583" i="16"/>
  <c r="I583" i="16"/>
  <c r="AI581" i="16"/>
  <c r="I581" i="16"/>
  <c r="AI144" i="16"/>
  <c r="I144" i="16"/>
  <c r="AI44" i="16"/>
  <c r="I44" i="16"/>
  <c r="AI671" i="16"/>
  <c r="I671" i="16"/>
  <c r="AI733" i="16"/>
  <c r="I733" i="16"/>
  <c r="AI556" i="16"/>
  <c r="I556" i="16"/>
  <c r="AI390" i="16"/>
  <c r="I390" i="16"/>
  <c r="AI455" i="16"/>
  <c r="I455" i="16"/>
  <c r="AI13" i="16"/>
  <c r="I13" i="16"/>
  <c r="AI728" i="16"/>
  <c r="I728" i="16"/>
  <c r="AI615" i="16"/>
  <c r="I615" i="16"/>
  <c r="AI145" i="16"/>
  <c r="I145" i="16"/>
  <c r="J145" i="16" s="1"/>
  <c r="K145" i="16" s="1"/>
  <c r="R145" i="16" s="1"/>
  <c r="AI158" i="16"/>
  <c r="I158" i="16"/>
  <c r="AI430" i="16"/>
  <c r="I430" i="16"/>
  <c r="AI700" i="16"/>
  <c r="I700" i="16"/>
  <c r="AI659" i="16"/>
  <c r="I659" i="16"/>
  <c r="AI73" i="16"/>
  <c r="I73" i="16"/>
  <c r="AI110" i="16"/>
  <c r="I110" i="16"/>
  <c r="AI382" i="16"/>
  <c r="I382" i="16"/>
  <c r="AI457" i="16"/>
  <c r="I457" i="16"/>
  <c r="AI704" i="16"/>
  <c r="I704" i="16"/>
  <c r="AI677" i="16"/>
  <c r="I677" i="16"/>
  <c r="AI193" i="16"/>
  <c r="I193" i="16"/>
  <c r="AI200" i="16"/>
  <c r="I200" i="16"/>
  <c r="AI226" i="16"/>
  <c r="I226" i="16"/>
  <c r="AI291" i="16"/>
  <c r="I291" i="16"/>
  <c r="AI573" i="16"/>
  <c r="I573" i="16"/>
  <c r="AI529" i="16"/>
  <c r="I529" i="16"/>
  <c r="AI60" i="16"/>
  <c r="I60" i="16"/>
  <c r="AI278" i="16"/>
  <c r="I278" i="16"/>
  <c r="AI541" i="16"/>
  <c r="I541" i="16"/>
  <c r="AI495" i="16"/>
  <c r="I495" i="16"/>
  <c r="AI178" i="16"/>
  <c r="I178" i="16"/>
  <c r="AI464" i="16"/>
  <c r="I464" i="16"/>
  <c r="AI533" i="16"/>
  <c r="I533" i="16"/>
  <c r="AI482" i="16"/>
  <c r="I482" i="16"/>
  <c r="AI12" i="16"/>
  <c r="I12" i="16"/>
  <c r="AI115" i="16"/>
  <c r="I115" i="16"/>
  <c r="AI459" i="16"/>
  <c r="I459" i="16"/>
  <c r="AI304" i="16"/>
  <c r="I304" i="16"/>
  <c r="AI723" i="16"/>
  <c r="I723" i="16"/>
  <c r="AI527" i="16"/>
  <c r="I527" i="16"/>
  <c r="AI232" i="16"/>
  <c r="I232" i="16"/>
  <c r="AI259" i="16"/>
  <c r="I259" i="16"/>
  <c r="AI549" i="16"/>
  <c r="I549" i="16"/>
  <c r="AI497" i="16"/>
  <c r="I497" i="16"/>
  <c r="AI28" i="16"/>
  <c r="I28" i="16"/>
  <c r="AI38" i="16"/>
  <c r="I38" i="16"/>
  <c r="AI313" i="16"/>
  <c r="I313" i="16"/>
  <c r="AI376" i="16"/>
  <c r="I376" i="16"/>
  <c r="AI655" i="16"/>
  <c r="I655" i="16"/>
  <c r="AI613" i="16"/>
  <c r="I613" i="16"/>
  <c r="AI74" i="16"/>
  <c r="I74" i="16"/>
  <c r="AI476" i="16"/>
  <c r="I476" i="16"/>
  <c r="AI320" i="16"/>
  <c r="I320" i="16"/>
  <c r="AI727" i="16"/>
  <c r="I727" i="16"/>
  <c r="AI364" i="16"/>
  <c r="I364" i="16"/>
  <c r="AI80" i="16"/>
  <c r="I80" i="16"/>
  <c r="AI524" i="16"/>
  <c r="I524" i="16"/>
  <c r="AI263" i="16"/>
  <c r="I263" i="16"/>
  <c r="AI157" i="16"/>
  <c r="I157" i="16"/>
  <c r="AI493" i="16"/>
  <c r="I493" i="16"/>
  <c r="AI196" i="16"/>
  <c r="I196" i="16"/>
  <c r="AI222" i="16"/>
  <c r="I222" i="16"/>
  <c r="AI260" i="16"/>
  <c r="I260" i="16"/>
  <c r="AI608" i="16"/>
  <c r="I608" i="16"/>
  <c r="AI674" i="16"/>
  <c r="I674" i="16"/>
  <c r="AI401" i="16"/>
  <c r="I401" i="16"/>
  <c r="AI36" i="16"/>
  <c r="I36" i="16"/>
  <c r="AI593" i="16"/>
  <c r="I593" i="16"/>
  <c r="G509" i="16"/>
  <c r="G156" i="16"/>
  <c r="G324" i="16"/>
  <c r="G572" i="16"/>
  <c r="G40" i="16"/>
  <c r="G434" i="16"/>
  <c r="G524" i="16"/>
  <c r="G261" i="16"/>
  <c r="G531" i="16"/>
  <c r="G118" i="16"/>
  <c r="J118" i="16" s="1"/>
  <c r="K118" i="16" s="1"/>
  <c r="R118" i="16" s="1"/>
  <c r="G234" i="16"/>
  <c r="G440" i="16"/>
  <c r="J440" i="16" s="1"/>
  <c r="K440" i="16" s="1"/>
  <c r="R440" i="16" s="1"/>
  <c r="G410" i="16"/>
  <c r="G272" i="16"/>
  <c r="G114" i="16"/>
  <c r="G358" i="16"/>
  <c r="J358" i="16" s="1"/>
  <c r="K358" i="16" s="1"/>
  <c r="R358" i="16" s="1"/>
  <c r="G666" i="16"/>
  <c r="G207" i="16"/>
  <c r="G313" i="16"/>
  <c r="G721" i="16"/>
  <c r="G399" i="16"/>
  <c r="G680" i="16"/>
  <c r="J680" i="16" s="1"/>
  <c r="K680" i="16" s="1"/>
  <c r="R680" i="16" s="1"/>
  <c r="G110" i="16"/>
  <c r="G424" i="16"/>
  <c r="G535" i="16"/>
  <c r="G387" i="16"/>
  <c r="G468" i="16"/>
  <c r="G719" i="16"/>
  <c r="G699" i="16"/>
  <c r="G451" i="16"/>
  <c r="G581" i="16"/>
  <c r="G200" i="16"/>
  <c r="G461" i="16"/>
  <c r="G638" i="16"/>
  <c r="G104" i="16"/>
  <c r="G266" i="16"/>
  <c r="G593" i="16"/>
  <c r="G187" i="16"/>
  <c r="J187" i="16" s="1"/>
  <c r="K187" i="16" s="1"/>
  <c r="R187" i="16" s="1"/>
  <c r="G293" i="16"/>
  <c r="J293" i="16" s="1"/>
  <c r="K293" i="16" s="1"/>
  <c r="R293" i="16" s="1"/>
  <c r="G594" i="16"/>
  <c r="J594" i="16" s="1"/>
  <c r="K594" i="16" s="1"/>
  <c r="R594" i="16" s="1"/>
  <c r="G240" i="16"/>
  <c r="G415" i="16"/>
  <c r="G473" i="16"/>
  <c r="G306" i="16"/>
  <c r="G336" i="16"/>
  <c r="G189" i="16"/>
  <c r="G414" i="16"/>
  <c r="G491" i="16"/>
  <c r="G239" i="16"/>
  <c r="G345" i="16"/>
  <c r="G31" i="16"/>
  <c r="G431" i="16"/>
  <c r="G544" i="16"/>
  <c r="J544" i="16" s="1"/>
  <c r="K544" i="16" s="1"/>
  <c r="R544" i="16" s="1"/>
  <c r="G164" i="16"/>
  <c r="G256" i="16"/>
  <c r="G591" i="16"/>
  <c r="G438" i="16"/>
  <c r="G677" i="16"/>
  <c r="G696" i="16"/>
  <c r="G588" i="16"/>
  <c r="G291" i="16"/>
  <c r="G708" i="16"/>
  <c r="G232" i="16"/>
  <c r="G361" i="16"/>
  <c r="G682" i="16"/>
  <c r="G160" i="16"/>
  <c r="G688" i="16"/>
  <c r="G219" i="16"/>
  <c r="G325" i="16"/>
  <c r="G691" i="16"/>
  <c r="G153" i="16"/>
  <c r="G311" i="16"/>
  <c r="G437" i="16"/>
  <c r="G471" i="16"/>
  <c r="J471" i="16" s="1"/>
  <c r="K471" i="16" s="1"/>
  <c r="R471" i="16" s="1"/>
  <c r="G373" i="16"/>
  <c r="G248" i="16"/>
  <c r="G262" i="16"/>
  <c r="G656" i="16"/>
  <c r="G51" i="16"/>
  <c r="G496" i="16"/>
  <c r="G582" i="16"/>
  <c r="G263" i="16"/>
  <c r="G639" i="16"/>
  <c r="G196" i="16"/>
  <c r="G288" i="16"/>
  <c r="J288" i="16" s="1"/>
  <c r="K288" i="16" s="1"/>
  <c r="R288" i="16" s="1"/>
  <c r="G689" i="16"/>
  <c r="J689" i="16" s="1"/>
  <c r="K689" i="16" s="1"/>
  <c r="R689" i="16" s="1"/>
  <c r="G506" i="16"/>
  <c r="G526" i="16"/>
  <c r="G443" i="16"/>
  <c r="G213" i="16"/>
  <c r="G350" i="16"/>
  <c r="G548" i="16"/>
  <c r="G20" i="16"/>
  <c r="G393" i="16"/>
  <c r="G724" i="16"/>
  <c r="G194" i="16"/>
  <c r="G330" i="16"/>
  <c r="G723" i="16"/>
  <c r="G11" i="16"/>
  <c r="G456" i="16"/>
  <c r="G725" i="16"/>
  <c r="G83" i="16"/>
  <c r="J83" i="16" s="1"/>
  <c r="K83" i="16" s="1"/>
  <c r="R83" i="16" s="1"/>
  <c r="G482" i="16"/>
  <c r="G333" i="16"/>
  <c r="J333" i="16" s="1"/>
  <c r="K333" i="16" s="1"/>
  <c r="R333" i="16" s="1"/>
  <c r="AI11" i="16"/>
  <c r="I11" i="16"/>
  <c r="AI135" i="16"/>
  <c r="I135" i="16"/>
  <c r="AI375" i="16"/>
  <c r="I375" i="16"/>
  <c r="AI441" i="16"/>
  <c r="I441" i="16"/>
  <c r="AI597" i="16"/>
  <c r="I597" i="16"/>
  <c r="AI668" i="16"/>
  <c r="I668" i="16"/>
  <c r="AI224" i="16"/>
  <c r="I224" i="16"/>
  <c r="AI317" i="16"/>
  <c r="I317" i="16"/>
  <c r="AI511" i="16"/>
  <c r="I511" i="16"/>
  <c r="AI216" i="16"/>
  <c r="I216" i="16"/>
  <c r="AI142" i="16"/>
  <c r="I142" i="16"/>
  <c r="AI166" i="16"/>
  <c r="I166" i="16"/>
  <c r="AI451" i="16"/>
  <c r="I451" i="16"/>
  <c r="AI518" i="16"/>
  <c r="I518" i="16"/>
  <c r="AI692" i="16"/>
  <c r="I692" i="16"/>
  <c r="AI122" i="16"/>
  <c r="I122" i="16"/>
  <c r="AI386" i="16"/>
  <c r="I386" i="16"/>
  <c r="AI85" i="16"/>
  <c r="I85" i="16"/>
  <c r="AI59" i="16"/>
  <c r="I59" i="16"/>
  <c r="AI596" i="16"/>
  <c r="I596" i="16"/>
  <c r="AI327" i="16"/>
  <c r="I327" i="16"/>
  <c r="AI221" i="16"/>
  <c r="I221" i="16"/>
  <c r="AI559" i="16"/>
  <c r="I559" i="16"/>
  <c r="AI402" i="16"/>
  <c r="I402" i="16"/>
  <c r="AI47" i="16"/>
  <c r="I47" i="16"/>
  <c r="AI585" i="16"/>
  <c r="I585" i="16"/>
  <c r="AI643" i="16"/>
  <c r="I643" i="16"/>
  <c r="AI312" i="16"/>
  <c r="I312" i="16"/>
  <c r="AI129" i="16"/>
  <c r="I129" i="16"/>
  <c r="AI362" i="16"/>
  <c r="I362" i="16"/>
  <c r="AI657" i="16"/>
  <c r="I657" i="16"/>
  <c r="AI712" i="16"/>
  <c r="I712" i="16"/>
  <c r="AI433" i="16"/>
  <c r="I433" i="16"/>
  <c r="AI84" i="16"/>
  <c r="I84" i="16"/>
  <c r="AI94" i="16"/>
  <c r="I94" i="16"/>
  <c r="AI366" i="16"/>
  <c r="I366" i="16"/>
  <c r="AI647" i="16"/>
  <c r="I647" i="16"/>
  <c r="AI605" i="16"/>
  <c r="I605" i="16"/>
  <c r="AI62" i="16"/>
  <c r="I62" i="16"/>
  <c r="AI164" i="16"/>
  <c r="I164" i="16"/>
  <c r="AI190" i="16"/>
  <c r="I190" i="16"/>
  <c r="AI255" i="16"/>
  <c r="I255" i="16"/>
  <c r="AI542" i="16"/>
  <c r="I542" i="16"/>
  <c r="J542" i="16" s="1"/>
  <c r="K542" i="16" s="1"/>
  <c r="R542" i="16" s="1"/>
  <c r="AI496" i="16"/>
  <c r="I496" i="16"/>
  <c r="AI175" i="16"/>
  <c r="I175" i="16"/>
  <c r="AI8" i="16"/>
  <c r="I8" i="16"/>
  <c r="AI29" i="16"/>
  <c r="I29" i="16"/>
  <c r="AI318" i="16"/>
  <c r="I318" i="16"/>
  <c r="AI389" i="16"/>
  <c r="I389" i="16"/>
  <c r="AI540" i="16"/>
  <c r="I540" i="16"/>
  <c r="AI17" i="16"/>
  <c r="I17" i="16"/>
  <c r="J17" i="16" s="1"/>
  <c r="K17" i="16" s="1"/>
  <c r="R17" i="16" s="1"/>
  <c r="AI380" i="16"/>
  <c r="I380" i="16"/>
  <c r="AI637" i="16"/>
  <c r="I637" i="16"/>
  <c r="AI242" i="16"/>
  <c r="I242" i="16"/>
  <c r="AI307" i="16"/>
  <c r="I307" i="16"/>
  <c r="AI590" i="16"/>
  <c r="I590" i="16"/>
  <c r="AI545" i="16"/>
  <c r="I545" i="16"/>
  <c r="AI48" i="16"/>
  <c r="I48" i="16"/>
  <c r="AI136" i="16"/>
  <c r="I136" i="16"/>
  <c r="AI427" i="16"/>
  <c r="I427" i="16"/>
  <c r="AI491" i="16"/>
  <c r="I491" i="16"/>
  <c r="AI653" i="16"/>
  <c r="I653" i="16"/>
  <c r="AI162" i="16"/>
  <c r="I162" i="16"/>
  <c r="AI181" i="16"/>
  <c r="I181" i="16"/>
  <c r="J181" i="16" s="1"/>
  <c r="K181" i="16" s="1"/>
  <c r="R181" i="16" s="1"/>
  <c r="AI461" i="16"/>
  <c r="I461" i="16"/>
  <c r="AI705" i="16"/>
  <c r="I705" i="16"/>
  <c r="AI681" i="16"/>
  <c r="I681" i="16"/>
  <c r="AI215" i="16"/>
  <c r="I215" i="16"/>
  <c r="AI233" i="16"/>
  <c r="I233" i="16"/>
  <c r="AI274" i="16"/>
  <c r="I274" i="16"/>
  <c r="AI347" i="16"/>
  <c r="I347" i="16"/>
  <c r="AI499" i="16"/>
  <c r="I499" i="16"/>
  <c r="AI567" i="16"/>
  <c r="I567" i="16"/>
  <c r="AI21" i="16"/>
  <c r="I21" i="16"/>
  <c r="AI351" i="16"/>
  <c r="I351" i="16"/>
  <c r="AI630" i="16"/>
  <c r="I630" i="16"/>
  <c r="AI584" i="16"/>
  <c r="I584" i="16"/>
  <c r="AI574" i="16"/>
  <c r="I574" i="16"/>
  <c r="AI277" i="16"/>
  <c r="I277" i="16"/>
  <c r="AI167" i="16"/>
  <c r="I167" i="16"/>
  <c r="AI722" i="16"/>
  <c r="I722" i="16"/>
  <c r="AI456" i="16"/>
  <c r="I456" i="16"/>
  <c r="AI68" i="16"/>
  <c r="I68" i="16"/>
  <c r="AI143" i="16"/>
  <c r="I143" i="16"/>
  <c r="AI287" i="16"/>
  <c r="I287" i="16"/>
  <c r="AI572" i="16"/>
  <c r="I572" i="16"/>
  <c r="AI588" i="16"/>
  <c r="I588" i="16"/>
  <c r="AI180" i="16"/>
  <c r="I180" i="16"/>
  <c r="AI458" i="16"/>
  <c r="I458" i="16"/>
  <c r="AI100" i="16"/>
  <c r="I100" i="16"/>
  <c r="AI708" i="16"/>
  <c r="I708" i="16"/>
  <c r="AI592" i="16"/>
  <c r="I592" i="16"/>
  <c r="AI70" i="16"/>
  <c r="I70" i="16"/>
  <c r="AI306" i="16"/>
  <c r="I306" i="16"/>
  <c r="AI377" i="16"/>
  <c r="I377" i="16"/>
  <c r="AI531" i="16"/>
  <c r="I531" i="16"/>
  <c r="AI601" i="16"/>
  <c r="I601" i="16"/>
  <c r="AI163" i="16"/>
  <c r="I163" i="16"/>
  <c r="AI253" i="16"/>
  <c r="I253" i="16"/>
  <c r="AI673" i="16"/>
  <c r="I673" i="16"/>
  <c r="AI155" i="16"/>
  <c r="I155" i="16"/>
  <c r="AI79" i="16"/>
  <c r="I79" i="16"/>
  <c r="AI97" i="16"/>
  <c r="I97" i="16"/>
  <c r="AI391" i="16"/>
  <c r="I391" i="16"/>
  <c r="AI452" i="16"/>
  <c r="I452" i="16"/>
  <c r="AI616" i="16"/>
  <c r="I616" i="16"/>
  <c r="AI58" i="16"/>
  <c r="I58" i="16"/>
  <c r="AI194" i="16"/>
  <c r="I194" i="16"/>
  <c r="AI67" i="16"/>
  <c r="I67" i="16"/>
  <c r="AI56" i="16"/>
  <c r="I56" i="16"/>
  <c r="AI683" i="16"/>
  <c r="I683" i="16"/>
  <c r="AI290" i="16"/>
  <c r="I290" i="16"/>
  <c r="AI208" i="16"/>
  <c r="I208" i="16"/>
  <c r="AI537" i="16"/>
  <c r="I537" i="16"/>
  <c r="J537" i="16" s="1"/>
  <c r="K537" i="16" s="1"/>
  <c r="R537" i="16" s="1"/>
  <c r="AI435" i="16"/>
  <c r="I435" i="16"/>
  <c r="AI54" i="16"/>
  <c r="I54" i="16"/>
  <c r="AI626" i="16"/>
  <c r="I626" i="16"/>
  <c r="AI184" i="16"/>
  <c r="I184" i="16"/>
  <c r="AI513" i="16"/>
  <c r="I513" i="16"/>
  <c r="AI465" i="16"/>
  <c r="I465" i="16"/>
  <c r="AI619" i="16"/>
  <c r="I619" i="16"/>
  <c r="AI71" i="16"/>
  <c r="I71" i="16"/>
  <c r="AI337" i="16"/>
  <c r="I337" i="16"/>
  <c r="AI660" i="16"/>
  <c r="I660" i="16"/>
  <c r="AI23" i="16"/>
  <c r="I23" i="16"/>
  <c r="AI41" i="16"/>
  <c r="I41" i="16"/>
  <c r="AI330" i="16"/>
  <c r="I330" i="16"/>
  <c r="AI485" i="16"/>
  <c r="I485" i="16"/>
  <c r="AI561" i="16"/>
  <c r="I561" i="16"/>
  <c r="AI298" i="16"/>
  <c r="I298" i="16"/>
  <c r="J298" i="16" s="1"/>
  <c r="K298" i="16" s="1"/>
  <c r="R298" i="16" s="1"/>
  <c r="AI241" i="16"/>
  <c r="I241" i="16"/>
  <c r="AI282" i="16"/>
  <c r="I282" i="16"/>
  <c r="AI353" i="16"/>
  <c r="I353" i="16"/>
  <c r="AI507" i="16"/>
  <c r="I507" i="16"/>
  <c r="J507" i="16" s="1"/>
  <c r="K507" i="16" s="1"/>
  <c r="R507" i="16" s="1"/>
  <c r="AI575" i="16"/>
  <c r="I575" i="16"/>
  <c r="AI398" i="16"/>
  <c r="I398" i="16"/>
  <c r="AI82" i="16"/>
  <c r="I82" i="16"/>
  <c r="AI354" i="16"/>
  <c r="I354" i="16"/>
  <c r="AI420" i="16"/>
  <c r="I420" i="16"/>
  <c r="AI695" i="16"/>
  <c r="I695" i="16"/>
  <c r="AI650" i="16"/>
  <c r="I650" i="16"/>
  <c r="AI127" i="16"/>
  <c r="I127" i="16"/>
  <c r="AI411" i="16"/>
  <c r="I411" i="16"/>
  <c r="AI662" i="16"/>
  <c r="I662" i="16"/>
  <c r="AI617" i="16"/>
  <c r="I617" i="16"/>
  <c r="AI309" i="16"/>
  <c r="I309" i="16"/>
  <c r="AI372" i="16"/>
  <c r="I372" i="16"/>
  <c r="AI654" i="16"/>
  <c r="I654" i="16"/>
  <c r="AI609" i="16"/>
  <c r="I609" i="16"/>
  <c r="AI682" i="16"/>
  <c r="I682" i="16"/>
  <c r="AI240" i="16"/>
  <c r="I240" i="16"/>
  <c r="AI363" i="16"/>
  <c r="I363" i="16"/>
  <c r="AI429" i="16"/>
  <c r="I429" i="16"/>
  <c r="AI589" i="16"/>
  <c r="I589" i="16"/>
  <c r="AI104" i="16"/>
  <c r="I104" i="16"/>
  <c r="AI114" i="16"/>
  <c r="I114" i="16"/>
  <c r="AI388" i="16"/>
  <c r="I388" i="16"/>
  <c r="AI670" i="16"/>
  <c r="I670" i="16"/>
  <c r="J670" i="16" s="1"/>
  <c r="K670" i="16" s="1"/>
  <c r="R670" i="16" s="1"/>
  <c r="AI625" i="16"/>
  <c r="I625" i="16"/>
  <c r="AI153" i="16"/>
  <c r="I153" i="16"/>
  <c r="AI169" i="16"/>
  <c r="I169" i="16"/>
  <c r="AI438" i="16"/>
  <c r="I438" i="16"/>
  <c r="AI284" i="16"/>
  <c r="I284" i="16"/>
  <c r="AI718" i="16"/>
  <c r="I718" i="16"/>
  <c r="AI504" i="16"/>
  <c r="I504" i="16"/>
  <c r="AI205" i="16"/>
  <c r="I205" i="16"/>
  <c r="AI379" i="16"/>
  <c r="I379" i="16"/>
  <c r="AI444" i="16"/>
  <c r="I444" i="16"/>
  <c r="AI604" i="16"/>
  <c r="I604" i="16"/>
  <c r="AI646" i="16"/>
  <c r="I646" i="16"/>
  <c r="AI90" i="16"/>
  <c r="I90" i="16"/>
  <c r="AI600" i="16"/>
  <c r="I600" i="16"/>
  <c r="AI550" i="16"/>
  <c r="I550" i="16"/>
  <c r="AI426" i="16"/>
  <c r="I426" i="16"/>
  <c r="AI669" i="16"/>
  <c r="I669" i="16"/>
  <c r="AI78" i="16"/>
  <c r="I78" i="16"/>
  <c r="AI350" i="16"/>
  <c r="I350" i="16"/>
  <c r="AI385" i="16"/>
  <c r="I385" i="16"/>
  <c r="AI522" i="16"/>
  <c r="I522" i="16"/>
  <c r="AI239" i="16"/>
  <c r="I239" i="16"/>
  <c r="AI526" i="16"/>
  <c r="I526" i="16"/>
  <c r="AI161" i="16"/>
  <c r="I161" i="16"/>
  <c r="AI528" i="16"/>
  <c r="I528" i="16"/>
  <c r="G701" i="16"/>
  <c r="G84" i="16"/>
  <c r="G425" i="16"/>
  <c r="G539" i="16"/>
  <c r="G226" i="16"/>
  <c r="G463" i="16"/>
  <c r="G229" i="16"/>
  <c r="J229" i="16" s="1"/>
  <c r="K229" i="16" s="1"/>
  <c r="R229" i="16" s="1"/>
  <c r="G75" i="16"/>
  <c r="J75" i="16" s="1"/>
  <c r="K75" i="16" s="1"/>
  <c r="R75" i="16" s="1"/>
  <c r="G505" i="16"/>
  <c r="G73" i="16"/>
  <c r="G404" i="16"/>
  <c r="J404" i="16" s="1"/>
  <c r="K404" i="16" s="1"/>
  <c r="R404" i="16" s="1"/>
  <c r="G442" i="16"/>
  <c r="G605" i="16"/>
  <c r="G574" i="16"/>
  <c r="J574" i="16" s="1"/>
  <c r="K574" i="16" s="1"/>
  <c r="R574" i="16" s="1"/>
  <c r="G464" i="16"/>
  <c r="J464" i="16" s="1"/>
  <c r="K464" i="16" s="1"/>
  <c r="R464" i="16" s="1"/>
  <c r="G16" i="16"/>
  <c r="G467" i="16"/>
  <c r="G633" i="16"/>
  <c r="G356" i="16"/>
  <c r="G640" i="16"/>
  <c r="G58" i="16"/>
  <c r="G327" i="16"/>
  <c r="G533" i="16"/>
  <c r="G29" i="16"/>
  <c r="J29" i="16" s="1"/>
  <c r="K29" i="16" s="1"/>
  <c r="R29" i="16" s="1"/>
  <c r="G457" i="16"/>
  <c r="G558" i="16"/>
  <c r="J558" i="16" s="1"/>
  <c r="K558" i="16" s="1"/>
  <c r="R558" i="16" s="1"/>
  <c r="G600" i="16"/>
  <c r="G703" i="16"/>
  <c r="J703" i="16" s="1"/>
  <c r="K703" i="16" s="1"/>
  <c r="R703" i="16" s="1"/>
  <c r="G61" i="16"/>
  <c r="G105" i="16"/>
  <c r="J105" i="16" s="1"/>
  <c r="K105" i="16" s="1"/>
  <c r="R105" i="16" s="1"/>
  <c r="G147" i="16"/>
  <c r="J147" i="16" s="1"/>
  <c r="K147" i="16" s="1"/>
  <c r="R147" i="16" s="1"/>
  <c r="G54" i="16"/>
  <c r="G141" i="16"/>
  <c r="J141" i="16" s="1"/>
  <c r="K141" i="16" s="1"/>
  <c r="R141" i="16" s="1"/>
  <c r="G257" i="16"/>
  <c r="J257" i="16" s="1"/>
  <c r="K257" i="16" s="1"/>
  <c r="R257" i="16" s="1"/>
  <c r="G602" i="16"/>
  <c r="J602" i="16" s="1"/>
  <c r="K602" i="16" s="1"/>
  <c r="R602" i="16" s="1"/>
  <c r="G39" i="16"/>
  <c r="G514" i="16"/>
  <c r="G419" i="16"/>
  <c r="G146" i="16"/>
  <c r="G576" i="16"/>
  <c r="J576" i="16" s="1"/>
  <c r="K576" i="16" s="1"/>
  <c r="R576" i="16" s="1"/>
  <c r="G129" i="16"/>
  <c r="G300" i="16"/>
  <c r="G338" i="16"/>
  <c r="G562" i="16"/>
  <c r="J562" i="16" s="1"/>
  <c r="K562" i="16" s="1"/>
  <c r="R562" i="16" s="1"/>
  <c r="G557" i="16"/>
  <c r="G650" i="16"/>
  <c r="G96" i="16"/>
  <c r="G538" i="16"/>
  <c r="J538" i="16" s="1"/>
  <c r="K538" i="16" s="1"/>
  <c r="R538" i="16" s="1"/>
  <c r="G149" i="16"/>
  <c r="J149" i="16" s="1"/>
  <c r="K149" i="16" s="1"/>
  <c r="R149" i="16" s="1"/>
  <c r="G388" i="16"/>
  <c r="G511" i="16"/>
  <c r="G122" i="16"/>
  <c r="G462" i="16"/>
  <c r="G606" i="16"/>
  <c r="J606" i="16" s="1"/>
  <c r="K606" i="16" s="1"/>
  <c r="R606" i="16" s="1"/>
  <c r="G93" i="16"/>
  <c r="J93" i="16" s="1"/>
  <c r="K93" i="16" s="1"/>
  <c r="R93" i="16" s="1"/>
  <c r="G357" i="16"/>
  <c r="G615" i="16"/>
  <c r="G718" i="16"/>
  <c r="J718" i="16" s="1"/>
  <c r="K718" i="16" s="1"/>
  <c r="R718" i="16" s="1"/>
  <c r="G127" i="16"/>
  <c r="G108" i="16"/>
  <c r="G50" i="16"/>
  <c r="G331" i="16"/>
  <c r="G182" i="16"/>
  <c r="J182" i="16" s="1"/>
  <c r="K182" i="16" s="1"/>
  <c r="R182" i="16" s="1"/>
  <c r="G183" i="16"/>
  <c r="G289" i="16"/>
  <c r="G695" i="16"/>
  <c r="J695" i="16" s="1"/>
  <c r="K695" i="16" s="1"/>
  <c r="R695" i="16" s="1"/>
  <c r="G155" i="16"/>
  <c r="G604" i="16"/>
  <c r="G47" i="16"/>
  <c r="G368" i="16"/>
  <c r="J368" i="16" s="1"/>
  <c r="K368" i="16" s="1"/>
  <c r="R368" i="16" s="1"/>
  <c r="G632" i="16"/>
  <c r="G190" i="16"/>
  <c r="G401" i="16"/>
  <c r="G658" i="16"/>
  <c r="J658" i="16" s="1"/>
  <c r="K658" i="16" s="1"/>
  <c r="R658" i="16" s="1"/>
  <c r="G595" i="16"/>
  <c r="G675" i="16"/>
  <c r="J675" i="16" s="1"/>
  <c r="K675" i="16" s="1"/>
  <c r="R675" i="16" s="1"/>
  <c r="G643" i="16"/>
  <c r="G152" i="16"/>
  <c r="G636" i="16"/>
  <c r="J636" i="16" s="1"/>
  <c r="K636" i="16" s="1"/>
  <c r="R636" i="16" s="1"/>
  <c r="G222" i="16"/>
  <c r="J222" i="16" s="1"/>
  <c r="K222" i="16" s="1"/>
  <c r="R222" i="16" s="1"/>
  <c r="G420" i="16"/>
  <c r="G567" i="16"/>
  <c r="G169" i="16"/>
  <c r="G362" i="16"/>
  <c r="G654" i="16"/>
  <c r="G12" i="16"/>
  <c r="G389" i="16"/>
  <c r="G668" i="16"/>
  <c r="J668" i="16" s="1"/>
  <c r="K668" i="16" s="1"/>
  <c r="R668" i="16" s="1"/>
  <c r="G559" i="16"/>
  <c r="G143" i="16"/>
  <c r="J143" i="16" s="1"/>
  <c r="K143" i="16" s="1"/>
  <c r="R143" i="16" s="1"/>
  <c r="G227" i="16"/>
  <c r="G130" i="16"/>
  <c r="J130" i="16" s="1"/>
  <c r="K130" i="16" s="1"/>
  <c r="R130" i="16" s="1"/>
  <c r="G366" i="16"/>
  <c r="G504" i="16"/>
  <c r="G215" i="16"/>
  <c r="G321" i="16"/>
  <c r="G729" i="16"/>
  <c r="G375" i="16"/>
  <c r="G644" i="16"/>
  <c r="G62" i="16"/>
  <c r="G400" i="16"/>
  <c r="G681" i="16"/>
  <c r="G403" i="16"/>
  <c r="J403" i="16" s="1"/>
  <c r="K403" i="16" s="1"/>
  <c r="R403" i="16" s="1"/>
  <c r="G297" i="16"/>
  <c r="G686" i="16"/>
  <c r="G547" i="16"/>
  <c r="J547" i="16" s="1"/>
  <c r="K547" i="16" s="1"/>
  <c r="R547" i="16" s="1"/>
  <c r="AI183" i="16"/>
  <c r="I183" i="16"/>
  <c r="AI214" i="16"/>
  <c r="I214" i="16"/>
  <c r="AI279" i="16"/>
  <c r="I279" i="16"/>
  <c r="AI557" i="16"/>
  <c r="I557" i="16"/>
  <c r="AI514" i="16"/>
  <c r="I514" i="16"/>
  <c r="AI96" i="16"/>
  <c r="I96" i="16"/>
  <c r="AI106" i="16"/>
  <c r="I106" i="16"/>
  <c r="AI442" i="16"/>
  <c r="I442" i="16"/>
  <c r="AI88" i="16"/>
  <c r="I88" i="16"/>
  <c r="AI98" i="16"/>
  <c r="I98" i="16"/>
  <c r="AI22" i="16"/>
  <c r="I22" i="16"/>
  <c r="AI297" i="16"/>
  <c r="I297" i="16"/>
  <c r="AI360" i="16"/>
  <c r="I360" i="16"/>
  <c r="AI642" i="16"/>
  <c r="I642" i="16"/>
  <c r="AI598" i="16"/>
  <c r="I598" i="16"/>
  <c r="AI252" i="16"/>
  <c r="I252" i="16"/>
  <c r="AI250" i="16"/>
  <c r="I250" i="16"/>
  <c r="AI410" i="16"/>
  <c r="I410" i="16"/>
  <c r="AI77" i="16"/>
  <c r="I77" i="16"/>
  <c r="AI665" i="16"/>
  <c r="I665" i="16"/>
  <c r="AI607" i="16"/>
  <c r="I607" i="16"/>
  <c r="AI262" i="16"/>
  <c r="I262" i="16"/>
  <c r="AI686" i="16"/>
  <c r="I686" i="16"/>
  <c r="AI477" i="16"/>
  <c r="I477" i="16"/>
  <c r="AI65" i="16"/>
  <c r="I65" i="16"/>
  <c r="AI656" i="16"/>
  <c r="I656" i="16"/>
  <c r="AI179" i="16"/>
  <c r="I179" i="16"/>
  <c r="AI725" i="16"/>
  <c r="I725" i="16"/>
  <c r="AI423" i="16"/>
  <c r="I423" i="16"/>
  <c r="AI428" i="16"/>
  <c r="I428" i="16"/>
  <c r="AI246" i="16"/>
  <c r="I246" i="16"/>
  <c r="AI206" i="16"/>
  <c r="I206" i="16"/>
  <c r="AI724" i="16"/>
  <c r="I724" i="16"/>
  <c r="AI207" i="16"/>
  <c r="I207" i="16"/>
  <c r="AI225" i="16"/>
  <c r="I225" i="16"/>
  <c r="AI266" i="16"/>
  <c r="I266" i="16"/>
  <c r="AI716" i="16"/>
  <c r="I716" i="16"/>
  <c r="AI494" i="16"/>
  <c r="I494" i="16"/>
  <c r="AI273" i="16"/>
  <c r="I273" i="16"/>
  <c r="AI46" i="16"/>
  <c r="I46" i="16"/>
  <c r="AI321" i="16"/>
  <c r="I321" i="16"/>
  <c r="AI384" i="16"/>
  <c r="I384" i="16"/>
  <c r="AI663" i="16"/>
  <c r="I663" i="16"/>
  <c r="AI618" i="16"/>
  <c r="I618" i="16"/>
  <c r="AI245" i="16"/>
  <c r="I245" i="16"/>
  <c r="AI138" i="16"/>
  <c r="I138" i="16"/>
  <c r="AI160" i="16"/>
  <c r="I160" i="16"/>
  <c r="AI446" i="16"/>
  <c r="I446" i="16"/>
  <c r="AI517" i="16"/>
  <c r="I517" i="16"/>
  <c r="AI688" i="16"/>
  <c r="I688" i="16"/>
  <c r="AI117" i="16"/>
  <c r="I117" i="16"/>
  <c r="AI595" i="16"/>
  <c r="I595" i="16"/>
  <c r="AI552" i="16"/>
  <c r="I552" i="16"/>
  <c r="AI370" i="16"/>
  <c r="I370" i="16"/>
  <c r="AI436" i="16"/>
  <c r="I436" i="16"/>
  <c r="AI701" i="16"/>
  <c r="I701" i="16"/>
  <c r="AI666" i="16"/>
  <c r="I666" i="16"/>
  <c r="AI171" i="16"/>
  <c r="I171" i="16"/>
  <c r="AI269" i="16"/>
  <c r="I269" i="16"/>
  <c r="AI331" i="16"/>
  <c r="I331" i="16"/>
  <c r="AI611" i="16"/>
  <c r="I611" i="16"/>
  <c r="AI568" i="16"/>
  <c r="I568" i="16"/>
  <c r="AI43" i="16"/>
  <c r="I43" i="16"/>
  <c r="AI286" i="16"/>
  <c r="I286" i="16"/>
  <c r="AI357" i="16"/>
  <c r="I357" i="16"/>
  <c r="AI508" i="16"/>
  <c r="I508" i="16"/>
  <c r="AI582" i="16"/>
  <c r="I582" i="16"/>
  <c r="AI95" i="16"/>
  <c r="I95" i="16"/>
  <c r="AI113" i="16"/>
  <c r="I113" i="16"/>
  <c r="AI407" i="16"/>
  <c r="I407" i="16"/>
  <c r="AI466" i="16"/>
  <c r="I466" i="16"/>
  <c r="AI633" i="16"/>
  <c r="I633" i="16"/>
  <c r="AI734" i="16"/>
  <c r="I734" i="16"/>
  <c r="J734" i="16" s="1"/>
  <c r="K734" i="16" s="1"/>
  <c r="R734" i="16" s="1"/>
  <c r="AI218" i="16"/>
  <c r="I218" i="16"/>
  <c r="AI256" i="16"/>
  <c r="I256" i="16"/>
  <c r="AI711" i="16"/>
  <c r="I711" i="16"/>
  <c r="AI326" i="16"/>
  <c r="I326" i="16"/>
  <c r="AI735" i="16"/>
  <c r="I735" i="16"/>
  <c r="AI339" i="16"/>
  <c r="I339" i="16"/>
  <c r="AI185" i="16"/>
  <c r="I185" i="16"/>
  <c r="AI520" i="16"/>
  <c r="I520" i="16"/>
  <c r="AI525" i="16"/>
  <c r="I525" i="16"/>
  <c r="AI191" i="16"/>
  <c r="I191" i="16"/>
  <c r="AI25" i="16"/>
  <c r="I25" i="16"/>
  <c r="AI416" i="16"/>
  <c r="I416" i="16"/>
  <c r="AI691" i="16"/>
  <c r="I691" i="16"/>
  <c r="AI483" i="16"/>
  <c r="I483" i="16"/>
  <c r="AI9" i="16"/>
  <c r="I9" i="16"/>
  <c r="AI586" i="16"/>
  <c r="I586" i="16"/>
  <c r="AI223" i="16"/>
  <c r="I223" i="16"/>
  <c r="AI569" i="16"/>
  <c r="I569" i="16"/>
  <c r="AI124" i="16"/>
  <c r="I124" i="16"/>
  <c r="AI151" i="16"/>
  <c r="I151" i="16"/>
  <c r="AI439" i="16"/>
  <c r="I439" i="16"/>
  <c r="AI502" i="16"/>
  <c r="I502" i="16"/>
  <c r="AI672" i="16"/>
  <c r="I672" i="16"/>
  <c r="AI32" i="16"/>
  <c r="I32" i="16"/>
  <c r="AI42" i="16"/>
  <c r="I42" i="16"/>
  <c r="AI378" i="16"/>
  <c r="I378" i="16"/>
  <c r="AI24" i="16"/>
  <c r="I24" i="16"/>
  <c r="AI34" i="16"/>
  <c r="I34" i="16"/>
  <c r="AI204" i="16"/>
  <c r="I204" i="16"/>
  <c r="AI230" i="16"/>
  <c r="I230" i="16"/>
  <c r="AI295" i="16"/>
  <c r="I295" i="16"/>
  <c r="AI580" i="16"/>
  <c r="I580" i="16"/>
  <c r="AI530" i="16"/>
  <c r="I530" i="16"/>
  <c r="AI189" i="16"/>
  <c r="I189" i="16"/>
  <c r="AI325" i="16"/>
  <c r="I325" i="16"/>
  <c r="AI192" i="16"/>
  <c r="I192" i="16"/>
  <c r="AI66" i="16"/>
  <c r="I66" i="16"/>
  <c r="AI632" i="16"/>
  <c r="I632" i="16"/>
  <c r="AI361" i="16"/>
  <c r="I361" i="16"/>
  <c r="AI234" i="16"/>
  <c r="I234" i="16"/>
  <c r="AI624" i="16"/>
  <c r="I624" i="16"/>
  <c r="AI501" i="16"/>
  <c r="I501" i="16"/>
  <c r="AI329" i="16"/>
  <c r="I329" i="16"/>
  <c r="AI16" i="16"/>
  <c r="I16" i="16"/>
  <c r="AI210" i="16"/>
  <c r="I210" i="16"/>
  <c r="AI108" i="16"/>
  <c r="I108" i="16"/>
  <c r="AI706" i="16"/>
  <c r="I706" i="16"/>
  <c r="AI587" i="16"/>
  <c r="I587" i="16"/>
  <c r="AI414" i="16"/>
  <c r="I414" i="16"/>
  <c r="AI431" i="16"/>
  <c r="I431" i="16"/>
  <c r="AI693" i="16"/>
  <c r="I693" i="16"/>
  <c r="AI148" i="16"/>
  <c r="I148" i="16"/>
  <c r="AI174" i="16"/>
  <c r="I174" i="16"/>
  <c r="AI460" i="16"/>
  <c r="I460" i="16"/>
  <c r="AI620" i="16"/>
  <c r="I620" i="16"/>
  <c r="AI690" i="16"/>
  <c r="I690" i="16"/>
  <c r="AI473" i="16"/>
  <c r="I473" i="16"/>
  <c r="AI121" i="16"/>
  <c r="I121" i="16"/>
  <c r="J121" i="16" s="1"/>
  <c r="K121" i="16" s="1"/>
  <c r="R121" i="16" s="1"/>
  <c r="AI415" i="16"/>
  <c r="I415" i="16"/>
  <c r="AI474" i="16"/>
  <c r="I474" i="16"/>
  <c r="AI641" i="16"/>
  <c r="I641" i="16"/>
  <c r="AI732" i="16"/>
  <c r="I732" i="16"/>
  <c r="AI335" i="16"/>
  <c r="I335" i="16"/>
  <c r="AI213" i="16"/>
  <c r="I213" i="16"/>
  <c r="AI254" i="16"/>
  <c r="I254" i="16"/>
  <c r="AI328" i="16"/>
  <c r="I328" i="16"/>
  <c r="AI729" i="16"/>
  <c r="I729" i="16"/>
  <c r="AI551" i="16"/>
  <c r="I551" i="16"/>
  <c r="AI201" i="16"/>
  <c r="I201" i="16"/>
  <c r="AI315" i="16"/>
  <c r="I315" i="16"/>
  <c r="AI719" i="16"/>
  <c r="I719" i="16"/>
  <c r="AI165" i="16"/>
  <c r="I165" i="16"/>
  <c r="AI434" i="16"/>
  <c r="I434" i="16"/>
  <c r="AI280" i="16"/>
  <c r="I280" i="16"/>
  <c r="AI717" i="16"/>
  <c r="I717" i="16"/>
  <c r="AI503" i="16"/>
  <c r="I503" i="16"/>
  <c r="AI112" i="16"/>
  <c r="I112" i="16"/>
  <c r="AI202" i="16"/>
  <c r="I202" i="16"/>
  <c r="AI267" i="16"/>
  <c r="I267" i="16"/>
  <c r="AI554" i="16"/>
  <c r="I554" i="16"/>
  <c r="AI505" i="16"/>
  <c r="I505" i="16"/>
  <c r="AI227" i="16"/>
  <c r="I227" i="16"/>
  <c r="AI247" i="16"/>
  <c r="I247" i="16"/>
  <c r="AI296" i="16"/>
  <c r="I296" i="16"/>
  <c r="AI721" i="16"/>
  <c r="I721" i="16"/>
  <c r="AI519" i="16"/>
  <c r="I519" i="16"/>
  <c r="AI31" i="16"/>
  <c r="I31" i="16"/>
  <c r="AI49" i="16"/>
  <c r="I49" i="16"/>
  <c r="AI338" i="16"/>
  <c r="I338" i="16"/>
  <c r="AI409" i="16"/>
  <c r="I409" i="16"/>
  <c r="AI570" i="16"/>
  <c r="I570" i="16"/>
  <c r="AI639" i="16"/>
  <c r="I639" i="16"/>
  <c r="AI152" i="16"/>
  <c r="I152" i="16"/>
  <c r="AI283" i="16"/>
  <c r="I283" i="16"/>
  <c r="AI566" i="16"/>
  <c r="I566" i="16"/>
  <c r="AI521" i="16"/>
  <c r="I521" i="16"/>
  <c r="AI599" i="16"/>
  <c r="I599" i="16"/>
  <c r="AI302" i="16"/>
  <c r="I302" i="16"/>
  <c r="AI172" i="16"/>
  <c r="I172" i="16"/>
  <c r="AI498" i="16"/>
  <c r="I498" i="16"/>
  <c r="AI272" i="16"/>
  <c r="I272" i="16"/>
  <c r="AI132" i="16"/>
  <c r="I132" i="16"/>
  <c r="AI209" i="16"/>
  <c r="I209" i="16"/>
  <c r="AI445" i="16"/>
  <c r="I445" i="16"/>
  <c r="AI510" i="16"/>
  <c r="I510" i="16"/>
  <c r="AI644" i="16"/>
  <c r="I644" i="16"/>
  <c r="AI126" i="16"/>
  <c r="I126" i="16"/>
  <c r="AI679" i="16"/>
  <c r="I679" i="16"/>
  <c r="AI39" i="16"/>
  <c r="I39" i="16"/>
  <c r="J369" i="16" l="1"/>
  <c r="K369" i="16" s="1"/>
  <c r="R369" i="16" s="1"/>
  <c r="J373" i="16"/>
  <c r="K373" i="16" s="1"/>
  <c r="R373" i="16" s="1"/>
  <c r="J640" i="16"/>
  <c r="K640" i="16" s="1"/>
  <c r="R640" i="16" s="1"/>
  <c r="J300" i="16"/>
  <c r="K300" i="16" s="1"/>
  <c r="R300" i="16" s="1"/>
  <c r="J289" i="16"/>
  <c r="K289" i="16" s="1"/>
  <c r="R289" i="16" s="1"/>
  <c r="J506" i="16"/>
  <c r="K506" i="16" s="1"/>
  <c r="R506" i="16" s="1"/>
  <c r="J397" i="16"/>
  <c r="K397" i="16" s="1"/>
  <c r="R397" i="16" s="1"/>
  <c r="J401" i="16"/>
  <c r="K401" i="16" s="1"/>
  <c r="R401" i="16" s="1"/>
  <c r="J457" i="16"/>
  <c r="K457" i="16" s="1"/>
  <c r="R457" i="16" s="1"/>
  <c r="J400" i="16"/>
  <c r="K400" i="16" s="1"/>
  <c r="R400" i="16" s="1"/>
  <c r="J366" i="16"/>
  <c r="K366" i="16" s="1"/>
  <c r="R366" i="16" s="1"/>
  <c r="J324" i="16"/>
  <c r="K324" i="16" s="1"/>
  <c r="R324" i="16" s="1"/>
  <c r="J64" i="16"/>
  <c r="K64" i="16" s="1"/>
  <c r="R64" i="16" s="1"/>
  <c r="J62" i="16"/>
  <c r="K62" i="16" s="1"/>
  <c r="R62" i="16" s="1"/>
  <c r="J362" i="16"/>
  <c r="K362" i="16" s="1"/>
  <c r="R362" i="16" s="1"/>
  <c r="J122" i="16"/>
  <c r="K122" i="16" s="1"/>
  <c r="R122" i="16" s="1"/>
  <c r="J539" i="16"/>
  <c r="K539" i="16" s="1"/>
  <c r="R539" i="16" s="1"/>
  <c r="J345" i="16"/>
  <c r="K345" i="16" s="1"/>
  <c r="R345" i="16" s="1"/>
  <c r="J638" i="16"/>
  <c r="K638" i="16" s="1"/>
  <c r="R638" i="16" s="1"/>
  <c r="J84" i="16"/>
  <c r="K84" i="16" s="1"/>
  <c r="R84" i="16" s="1"/>
  <c r="J261" i="16"/>
  <c r="K261" i="16" s="1"/>
  <c r="R261" i="16" s="1"/>
  <c r="J678" i="16"/>
  <c r="K678" i="16" s="1"/>
  <c r="R678" i="16" s="1"/>
  <c r="J55" i="16"/>
  <c r="K55" i="16" s="1"/>
  <c r="R55" i="16" s="1"/>
  <c r="J54" i="16"/>
  <c r="K54" i="16" s="1"/>
  <c r="R54" i="16" s="1"/>
  <c r="J263" i="16"/>
  <c r="K263" i="16" s="1"/>
  <c r="R263" i="16" s="1"/>
  <c r="J523" i="16"/>
  <c r="K523" i="16" s="1"/>
  <c r="R523" i="16" s="1"/>
  <c r="J51" i="16"/>
  <c r="K51" i="16" s="1"/>
  <c r="R51" i="16" s="1"/>
  <c r="J696" i="16"/>
  <c r="K696" i="16" s="1"/>
  <c r="R696" i="16" s="1"/>
  <c r="J468" i="16"/>
  <c r="K468" i="16" s="1"/>
  <c r="R468" i="16" s="1"/>
  <c r="J146" i="16"/>
  <c r="K146" i="16" s="1"/>
  <c r="R146" i="16" s="1"/>
  <c r="J356" i="16"/>
  <c r="K356" i="16" s="1"/>
  <c r="R356" i="16" s="1"/>
  <c r="J20" i="16"/>
  <c r="K20" i="16" s="1"/>
  <c r="R20" i="16" s="1"/>
  <c r="J437" i="16"/>
  <c r="K437" i="16" s="1"/>
  <c r="R437" i="16" s="1"/>
  <c r="J336" i="16"/>
  <c r="K336" i="16" s="1"/>
  <c r="R336" i="16" s="1"/>
  <c r="J699" i="16"/>
  <c r="K699" i="16" s="1"/>
  <c r="R699" i="16" s="1"/>
  <c r="J535" i="16"/>
  <c r="K535" i="16" s="1"/>
  <c r="R535" i="16" s="1"/>
  <c r="J399" i="16"/>
  <c r="K399" i="16" s="1"/>
  <c r="R399" i="16" s="1"/>
  <c r="J509" i="16"/>
  <c r="K509" i="16" s="1"/>
  <c r="R509" i="16" s="1"/>
  <c r="J12" i="16"/>
  <c r="K12" i="16" s="1"/>
  <c r="R12" i="16" s="1"/>
  <c r="J419" i="16"/>
  <c r="K419" i="16" s="1"/>
  <c r="R419" i="16" s="1"/>
  <c r="J73" i="16"/>
  <c r="K73" i="16" s="1"/>
  <c r="R73" i="16" s="1"/>
  <c r="J463" i="16"/>
  <c r="K463" i="16" s="1"/>
  <c r="R463" i="16" s="1"/>
  <c r="J311" i="16"/>
  <c r="K311" i="16" s="1"/>
  <c r="R311" i="16" s="1"/>
  <c r="J219" i="16"/>
  <c r="K219" i="16" s="1"/>
  <c r="R219" i="16" s="1"/>
  <c r="J292" i="16"/>
  <c r="K292" i="16" s="1"/>
  <c r="R292" i="16" s="1"/>
  <c r="J454" i="16"/>
  <c r="K454" i="16" s="1"/>
  <c r="R454" i="16" s="1"/>
  <c r="J388" i="16"/>
  <c r="K388" i="16" s="1"/>
  <c r="R388" i="16" s="1"/>
  <c r="J395" i="16"/>
  <c r="K395" i="16" s="1"/>
  <c r="R395" i="16" s="1"/>
  <c r="J482" i="16"/>
  <c r="K482" i="16" s="1"/>
  <c r="R482" i="16" s="1"/>
  <c r="J654" i="16"/>
  <c r="K654" i="16" s="1"/>
  <c r="R654" i="16" s="1"/>
  <c r="J605" i="16"/>
  <c r="K605" i="16" s="1"/>
  <c r="R605" i="16" s="1"/>
  <c r="J232" i="16"/>
  <c r="K232" i="16" s="1"/>
  <c r="R232" i="16" s="1"/>
  <c r="J581" i="16"/>
  <c r="K581" i="16" s="1"/>
  <c r="R581" i="16" s="1"/>
  <c r="J110" i="16"/>
  <c r="K110" i="16" s="1"/>
  <c r="R110" i="16" s="1"/>
  <c r="J313" i="16"/>
  <c r="K313" i="16" s="1"/>
  <c r="R313" i="16" s="1"/>
  <c r="J524" i="16"/>
  <c r="K524" i="16" s="1"/>
  <c r="R524" i="16" s="1"/>
  <c r="J127" i="16"/>
  <c r="K127" i="16" s="1"/>
  <c r="R127" i="16" s="1"/>
  <c r="J291" i="16"/>
  <c r="K291" i="16" s="1"/>
  <c r="R291" i="16" s="1"/>
  <c r="J593" i="16"/>
  <c r="K593" i="16" s="1"/>
  <c r="R593" i="16" s="1"/>
  <c r="J40" i="16"/>
  <c r="K40" i="16" s="1"/>
  <c r="R40" i="16" s="1"/>
  <c r="J215" i="16"/>
  <c r="K215" i="16" s="1"/>
  <c r="R215" i="16" s="1"/>
  <c r="J190" i="16"/>
  <c r="K190" i="16" s="1"/>
  <c r="R190" i="16" s="1"/>
  <c r="J604" i="16"/>
  <c r="K604" i="16" s="1"/>
  <c r="R604" i="16" s="1"/>
  <c r="J650" i="16"/>
  <c r="K650" i="16" s="1"/>
  <c r="R650" i="16" s="1"/>
  <c r="J443" i="16"/>
  <c r="K443" i="16" s="1"/>
  <c r="R443" i="16" s="1"/>
  <c r="J677" i="16"/>
  <c r="K677" i="16" s="1"/>
  <c r="R677" i="16" s="1"/>
  <c r="J200" i="16"/>
  <c r="K200" i="16" s="1"/>
  <c r="R200" i="16" s="1"/>
  <c r="J649" i="16"/>
  <c r="K649" i="16" s="1"/>
  <c r="R649" i="16" s="1"/>
  <c r="J450" i="16"/>
  <c r="K450" i="16" s="1"/>
  <c r="R450" i="16" s="1"/>
  <c r="J681" i="16"/>
  <c r="K681" i="16" s="1"/>
  <c r="R681" i="16" s="1"/>
  <c r="J375" i="16"/>
  <c r="K375" i="16" s="1"/>
  <c r="R375" i="16" s="1"/>
  <c r="J504" i="16"/>
  <c r="K504" i="16" s="1"/>
  <c r="R504" i="16" s="1"/>
  <c r="J567" i="16"/>
  <c r="K567" i="16" s="1"/>
  <c r="R567" i="16" s="1"/>
  <c r="J327" i="16"/>
  <c r="K327" i="16" s="1"/>
  <c r="R327" i="16" s="1"/>
  <c r="J685" i="16"/>
  <c r="K685" i="16" s="1"/>
  <c r="R685" i="16" s="1"/>
  <c r="J600" i="16"/>
  <c r="K600" i="16" s="1"/>
  <c r="R600" i="16" s="1"/>
  <c r="J321" i="16"/>
  <c r="K321" i="16" s="1"/>
  <c r="R321" i="16" s="1"/>
  <c r="J357" i="16"/>
  <c r="K357" i="16" s="1"/>
  <c r="R357" i="16" s="1"/>
  <c r="J256" i="16"/>
  <c r="K256" i="16" s="1"/>
  <c r="R256" i="16" s="1"/>
  <c r="J666" i="16"/>
  <c r="K666" i="16" s="1"/>
  <c r="R666" i="16" s="1"/>
  <c r="J234" i="16"/>
  <c r="K234" i="16" s="1"/>
  <c r="R234" i="16" s="1"/>
  <c r="J630" i="16"/>
  <c r="K630" i="16" s="1"/>
  <c r="R630" i="16" s="1"/>
  <c r="J470" i="16"/>
  <c r="K470" i="16" s="1"/>
  <c r="R470" i="16" s="1"/>
  <c r="J7" i="16"/>
  <c r="K7" i="16" s="1"/>
  <c r="M7" i="16" s="1"/>
  <c r="J303" i="16"/>
  <c r="K303" i="16" s="1"/>
  <c r="R303" i="16" s="1"/>
  <c r="J661" i="16"/>
  <c r="K661" i="16" s="1"/>
  <c r="R661" i="16" s="1"/>
  <c r="J628" i="16"/>
  <c r="K628" i="16" s="1"/>
  <c r="R628" i="16" s="1"/>
  <c r="J286" i="16"/>
  <c r="K286" i="16" s="1"/>
  <c r="R286" i="16" s="1"/>
  <c r="J501" i="16"/>
  <c r="K501" i="16" s="1"/>
  <c r="R501" i="16" s="1"/>
  <c r="J167" i="16"/>
  <c r="K167" i="16" s="1"/>
  <c r="R167" i="16" s="1"/>
  <c r="J176" i="16"/>
  <c r="K176" i="16" s="1"/>
  <c r="R176" i="16" s="1"/>
  <c r="J483" i="16"/>
  <c r="K483" i="16" s="1"/>
  <c r="R483" i="16" s="1"/>
  <c r="J276" i="16"/>
  <c r="K276" i="16" s="1"/>
  <c r="R276" i="16" s="1"/>
  <c r="J730" i="16"/>
  <c r="K730" i="16" s="1"/>
  <c r="R730" i="16" s="1"/>
  <c r="J479" i="16"/>
  <c r="K479" i="16" s="1"/>
  <c r="R479" i="16" s="1"/>
  <c r="J546" i="16"/>
  <c r="K546" i="16" s="1"/>
  <c r="R546" i="16" s="1"/>
  <c r="J556" i="16"/>
  <c r="K556" i="16" s="1"/>
  <c r="R556" i="16" s="1"/>
  <c r="J166" i="16"/>
  <c r="K166" i="16" s="1"/>
  <c r="R166" i="16" s="1"/>
  <c r="J684" i="16"/>
  <c r="K684" i="16" s="1"/>
  <c r="R684" i="16" s="1"/>
  <c r="J16" i="16"/>
  <c r="K16" i="16" s="1"/>
  <c r="R16" i="16" s="1"/>
  <c r="J682" i="16"/>
  <c r="K682" i="16" s="1"/>
  <c r="R682" i="16" s="1"/>
  <c r="J32" i="16"/>
  <c r="K32" i="16" s="1"/>
  <c r="R32" i="16" s="1"/>
  <c r="J585" i="16"/>
  <c r="K585" i="16" s="1"/>
  <c r="R585" i="16" s="1"/>
  <c r="J346" i="16"/>
  <c r="K346" i="16" s="1"/>
  <c r="R346" i="16" s="1"/>
  <c r="J354" i="16"/>
  <c r="K354" i="16" s="1"/>
  <c r="R354" i="16" s="1"/>
  <c r="J198" i="16"/>
  <c r="K198" i="16" s="1"/>
  <c r="R198" i="16" s="1"/>
  <c r="J148" i="16"/>
  <c r="K148" i="16" s="1"/>
  <c r="R148" i="16" s="1"/>
  <c r="J647" i="16"/>
  <c r="K647" i="16" s="1"/>
  <c r="R647" i="16" s="1"/>
  <c r="J500" i="16"/>
  <c r="K500" i="16" s="1"/>
  <c r="R500" i="16" s="1"/>
  <c r="J398" i="16"/>
  <c r="K398" i="16" s="1"/>
  <c r="R398" i="16" s="1"/>
  <c r="J497" i="16"/>
  <c r="K497" i="16" s="1"/>
  <c r="R497" i="16" s="1"/>
  <c r="J250" i="16"/>
  <c r="K250" i="16" s="1"/>
  <c r="R250" i="16" s="1"/>
  <c r="J162" i="16"/>
  <c r="K162" i="16" s="1"/>
  <c r="R162" i="16" s="1"/>
  <c r="J421" i="16"/>
  <c r="K421" i="16" s="1"/>
  <c r="R421" i="16" s="1"/>
  <c r="J201" i="16"/>
  <c r="K201" i="16" s="1"/>
  <c r="R201" i="16" s="1"/>
  <c r="J520" i="16"/>
  <c r="K520" i="16" s="1"/>
  <c r="R520" i="16" s="1"/>
  <c r="J90" i="16"/>
  <c r="K90" i="16" s="1"/>
  <c r="R90" i="16" s="1"/>
  <c r="J280" i="16"/>
  <c r="K280" i="16" s="1"/>
  <c r="R280" i="16" s="1"/>
  <c r="J554" i="16"/>
  <c r="K554" i="16" s="1"/>
  <c r="R554" i="16" s="1"/>
  <c r="J302" i="16"/>
  <c r="K302" i="16" s="1"/>
  <c r="R302" i="16" s="1"/>
  <c r="J25" i="16"/>
  <c r="K25" i="16" s="1"/>
  <c r="R25" i="16" s="1"/>
  <c r="J183" i="16"/>
  <c r="K183" i="16" s="1"/>
  <c r="R183" i="16" s="1"/>
  <c r="J724" i="16"/>
  <c r="K724" i="16" s="1"/>
  <c r="R724" i="16" s="1"/>
  <c r="J582" i="16"/>
  <c r="K582" i="16" s="1"/>
  <c r="R582" i="16" s="1"/>
  <c r="J153" i="16"/>
  <c r="K153" i="16" s="1"/>
  <c r="R153" i="16" s="1"/>
  <c r="J438" i="16"/>
  <c r="K438" i="16" s="1"/>
  <c r="R438" i="16" s="1"/>
  <c r="J417" i="16"/>
  <c r="K417" i="16" s="1"/>
  <c r="R417" i="16" s="1"/>
  <c r="J499" i="16"/>
  <c r="K499" i="16" s="1"/>
  <c r="R499" i="16" s="1"/>
  <c r="J583" i="16"/>
  <c r="K583" i="16" s="1"/>
  <c r="R583" i="16" s="1"/>
  <c r="J553" i="16"/>
  <c r="K553" i="16" s="1"/>
  <c r="R553" i="16" s="1"/>
  <c r="J667" i="16"/>
  <c r="K667" i="16" s="1"/>
  <c r="R667" i="16" s="1"/>
  <c r="J271" i="16"/>
  <c r="K271" i="16" s="1"/>
  <c r="R271" i="16" s="1"/>
  <c r="J249" i="16"/>
  <c r="K249" i="16" s="1"/>
  <c r="R249" i="16" s="1"/>
  <c r="J228" i="16"/>
  <c r="K228" i="16" s="1"/>
  <c r="R228" i="16" s="1"/>
  <c r="J352" i="16"/>
  <c r="K352" i="16" s="1"/>
  <c r="R352" i="16" s="1"/>
  <c r="J616" i="16"/>
  <c r="K616" i="16" s="1"/>
  <c r="R616" i="16" s="1"/>
  <c r="J519" i="16"/>
  <c r="K519" i="16" s="1"/>
  <c r="R519" i="16" s="1"/>
  <c r="J413" i="16"/>
  <c r="K413" i="16" s="1"/>
  <c r="R413" i="16" s="1"/>
  <c r="J652" i="16"/>
  <c r="K652" i="16" s="1"/>
  <c r="R652" i="16" s="1"/>
  <c r="J341" i="16"/>
  <c r="K341" i="16" s="1"/>
  <c r="R341" i="16" s="1"/>
  <c r="J180" i="16"/>
  <c r="K180" i="16" s="1"/>
  <c r="R180" i="16" s="1"/>
  <c r="J81" i="16"/>
  <c r="K81" i="16" s="1"/>
  <c r="R81" i="16" s="1"/>
  <c r="J299" i="16"/>
  <c r="K299" i="16" s="1"/>
  <c r="R299" i="16" s="1"/>
  <c r="J411" i="16"/>
  <c r="K411" i="16" s="1"/>
  <c r="R411" i="16" s="1"/>
  <c r="J165" i="16"/>
  <c r="K165" i="16" s="1"/>
  <c r="R165" i="16" s="1"/>
  <c r="J598" i="16"/>
  <c r="K598" i="16" s="1"/>
  <c r="R598" i="16" s="1"/>
  <c r="J108" i="16"/>
  <c r="K108" i="16" s="1"/>
  <c r="R108" i="16" s="1"/>
  <c r="J639" i="16"/>
  <c r="K639" i="16" s="1"/>
  <c r="R639" i="16" s="1"/>
  <c r="J239" i="16"/>
  <c r="K239" i="16" s="1"/>
  <c r="R239" i="16" s="1"/>
  <c r="J114" i="16"/>
  <c r="K114" i="16" s="1"/>
  <c r="R114" i="16" s="1"/>
  <c r="J531" i="16"/>
  <c r="K531" i="16" s="1"/>
  <c r="R531" i="16" s="1"/>
  <c r="J140" i="16"/>
  <c r="K140" i="16" s="1"/>
  <c r="R140" i="16" s="1"/>
  <c r="J158" i="16"/>
  <c r="K158" i="16" s="1"/>
  <c r="R158" i="16" s="1"/>
  <c r="J445" i="16"/>
  <c r="K445" i="16" s="1"/>
  <c r="R445" i="16" s="1"/>
  <c r="J205" i="16"/>
  <c r="K205" i="16" s="1"/>
  <c r="R205" i="16" s="1"/>
  <c r="J423" i="16"/>
  <c r="K423" i="16" s="1"/>
  <c r="R423" i="16" s="1"/>
  <c r="J469" i="16"/>
  <c r="K469" i="16" s="1"/>
  <c r="R469" i="16" s="1"/>
  <c r="J726" i="16"/>
  <c r="K726" i="16" s="1"/>
  <c r="R726" i="16" s="1"/>
  <c r="J432" i="16"/>
  <c r="K432" i="16" s="1"/>
  <c r="R432" i="16" s="1"/>
  <c r="J339" i="16"/>
  <c r="K339" i="16" s="1"/>
  <c r="R339" i="16" s="1"/>
  <c r="J430" i="16"/>
  <c r="K430" i="16" s="1"/>
  <c r="R430" i="16" s="1"/>
  <c r="J570" i="16"/>
  <c r="K570" i="16" s="1"/>
  <c r="R570" i="16" s="1"/>
  <c r="J704" i="16"/>
  <c r="K704" i="16" s="1"/>
  <c r="R704" i="16" s="1"/>
  <c r="J252" i="16"/>
  <c r="K252" i="16" s="1"/>
  <c r="R252" i="16" s="1"/>
  <c r="J480" i="16"/>
  <c r="K480" i="16" s="1"/>
  <c r="R480" i="16" s="1"/>
  <c r="J33" i="16"/>
  <c r="K33" i="16" s="1"/>
  <c r="R33" i="16" s="1"/>
  <c r="J587" i="16"/>
  <c r="K587" i="16" s="1"/>
  <c r="R587" i="16" s="1"/>
  <c r="J99" i="16"/>
  <c r="K99" i="16" s="1"/>
  <c r="R99" i="16" s="1"/>
  <c r="J693" i="16"/>
  <c r="K693" i="16" s="1"/>
  <c r="R693" i="16" s="1"/>
  <c r="J633" i="16"/>
  <c r="K633" i="16" s="1"/>
  <c r="R633" i="16" s="1"/>
  <c r="J725" i="16"/>
  <c r="K725" i="16" s="1"/>
  <c r="R725" i="16" s="1"/>
  <c r="J11" i="16"/>
  <c r="K11" i="16" s="1"/>
  <c r="R11" i="16" s="1"/>
  <c r="J330" i="16"/>
  <c r="K330" i="16" s="1"/>
  <c r="R330" i="16" s="1"/>
  <c r="J350" i="16"/>
  <c r="K350" i="16" s="1"/>
  <c r="R350" i="16" s="1"/>
  <c r="J262" i="16"/>
  <c r="K262" i="16" s="1"/>
  <c r="R262" i="16" s="1"/>
  <c r="J325" i="16"/>
  <c r="K325" i="16" s="1"/>
  <c r="R325" i="16" s="1"/>
  <c r="J688" i="16"/>
  <c r="K688" i="16" s="1"/>
  <c r="R688" i="16" s="1"/>
  <c r="J31" i="16"/>
  <c r="K31" i="16" s="1"/>
  <c r="R31" i="16" s="1"/>
  <c r="J414" i="16"/>
  <c r="K414" i="16" s="1"/>
  <c r="R414" i="16" s="1"/>
  <c r="J473" i="16"/>
  <c r="K473" i="16" s="1"/>
  <c r="R473" i="16" s="1"/>
  <c r="J240" i="16"/>
  <c r="K240" i="16" s="1"/>
  <c r="R240" i="16" s="1"/>
  <c r="J104" i="16"/>
  <c r="K104" i="16" s="1"/>
  <c r="R104" i="16" s="1"/>
  <c r="J461" i="16"/>
  <c r="K461" i="16" s="1"/>
  <c r="R461" i="16" s="1"/>
  <c r="J410" i="16"/>
  <c r="K410" i="16" s="1"/>
  <c r="R410" i="16" s="1"/>
  <c r="J91" i="16"/>
  <c r="K91" i="16" s="1"/>
  <c r="R91" i="16" s="1"/>
  <c r="J113" i="16"/>
  <c r="K113" i="16" s="1"/>
  <c r="R113" i="16" s="1"/>
  <c r="J429" i="16"/>
  <c r="K429" i="16" s="1"/>
  <c r="R429" i="16" s="1"/>
  <c r="J711" i="16"/>
  <c r="K711" i="16" s="1"/>
  <c r="R711" i="16" s="1"/>
  <c r="J241" i="16"/>
  <c r="K241" i="16" s="1"/>
  <c r="R241" i="16" s="1"/>
  <c r="J619" i="16"/>
  <c r="K619" i="16" s="1"/>
  <c r="R619" i="16" s="1"/>
  <c r="J406" i="16"/>
  <c r="K406" i="16" s="1"/>
  <c r="R406" i="16" s="1"/>
  <c r="J132" i="16"/>
  <c r="K132" i="16" s="1"/>
  <c r="R132" i="16" s="1"/>
  <c r="J22" i="16"/>
  <c r="K22" i="16" s="1"/>
  <c r="R22" i="16" s="1"/>
  <c r="J446" i="16"/>
  <c r="K446" i="16" s="1"/>
  <c r="R446" i="16" s="1"/>
  <c r="J185" i="16"/>
  <c r="K185" i="16" s="1"/>
  <c r="R185" i="16" s="1"/>
  <c r="J28" i="16"/>
  <c r="K28" i="16" s="1"/>
  <c r="R28" i="16" s="1"/>
  <c r="J370" i="16"/>
  <c r="K370" i="16" s="1"/>
  <c r="R370" i="16" s="1"/>
  <c r="J536" i="16"/>
  <c r="K536" i="16" s="1"/>
  <c r="R536" i="16" s="1"/>
  <c r="J503" i="16"/>
  <c r="K503" i="16" s="1"/>
  <c r="R503" i="16" s="1"/>
  <c r="J552" i="16"/>
  <c r="K552" i="16" s="1"/>
  <c r="R552" i="16" s="1"/>
  <c r="J218" i="16"/>
  <c r="K218" i="16" s="1"/>
  <c r="R218" i="16" s="1"/>
  <c r="J692" i="16"/>
  <c r="K692" i="16" s="1"/>
  <c r="R692" i="16" s="1"/>
  <c r="J383" i="16"/>
  <c r="K383" i="16" s="1"/>
  <c r="R383" i="16" s="1"/>
  <c r="J109" i="16"/>
  <c r="K109" i="16" s="1"/>
  <c r="R109" i="16" s="1"/>
  <c r="J163" i="16"/>
  <c r="K163" i="16" s="1"/>
  <c r="R163" i="16" s="1"/>
  <c r="J174" i="16"/>
  <c r="K174" i="16" s="1"/>
  <c r="R174" i="16" s="1"/>
  <c r="J274" i="16"/>
  <c r="K274" i="16" s="1"/>
  <c r="R274" i="16" s="1"/>
  <c r="J41" i="16"/>
  <c r="K41" i="16" s="1"/>
  <c r="R41" i="16" s="1"/>
  <c r="J59" i="16"/>
  <c r="K59" i="16" s="1"/>
  <c r="R59" i="16" s="1"/>
  <c r="J717" i="16"/>
  <c r="K717" i="16" s="1"/>
  <c r="R717" i="16" s="1"/>
  <c r="J458" i="16"/>
  <c r="K458" i="16" s="1"/>
  <c r="R458" i="16" s="1"/>
  <c r="J518" i="16"/>
  <c r="K518" i="16" s="1"/>
  <c r="R518" i="16" s="1"/>
  <c r="J236" i="16"/>
  <c r="K236" i="16" s="1"/>
  <c r="R236" i="16" s="1"/>
  <c r="J653" i="16"/>
  <c r="K653" i="16" s="1"/>
  <c r="R653" i="16" s="1"/>
  <c r="J48" i="16"/>
  <c r="K48" i="16" s="1"/>
  <c r="R48" i="16" s="1"/>
  <c r="J279" i="16"/>
  <c r="K279" i="16" s="1"/>
  <c r="R279" i="16" s="1"/>
  <c r="J317" i="16"/>
  <c r="K317" i="16" s="1"/>
  <c r="R317" i="16" s="1"/>
  <c r="J88" i="16"/>
  <c r="K88" i="16" s="1"/>
  <c r="R88" i="16" s="1"/>
  <c r="J351" i="16"/>
  <c r="K351" i="16" s="1"/>
  <c r="R351" i="16" s="1"/>
  <c r="J566" i="16"/>
  <c r="K566" i="16" s="1"/>
  <c r="R566" i="16" s="1"/>
  <c r="J629" i="16"/>
  <c r="K629" i="16" s="1"/>
  <c r="R629" i="16" s="1"/>
  <c r="J56" i="16"/>
  <c r="K56" i="16" s="1"/>
  <c r="R56" i="16" s="1"/>
  <c r="J603" i="16"/>
  <c r="K603" i="16" s="1"/>
  <c r="R603" i="16" s="1"/>
  <c r="J697" i="16"/>
  <c r="K697" i="16" s="1"/>
  <c r="R697" i="16" s="1"/>
  <c r="J204" i="16"/>
  <c r="K204" i="16" s="1"/>
  <c r="R204" i="16" s="1"/>
  <c r="J599" i="16"/>
  <c r="K599" i="16" s="1"/>
  <c r="R599" i="16" s="1"/>
  <c r="J532" i="16"/>
  <c r="K532" i="16" s="1"/>
  <c r="R532" i="16" s="1"/>
  <c r="J97" i="16"/>
  <c r="K97" i="16" s="1"/>
  <c r="R97" i="16" s="1"/>
  <c r="J246" i="16"/>
  <c r="K246" i="16" s="1"/>
  <c r="R246" i="16" s="1"/>
  <c r="J579" i="16"/>
  <c r="K579" i="16" s="1"/>
  <c r="R579" i="16" s="1"/>
  <c r="J179" i="16"/>
  <c r="K179" i="16" s="1"/>
  <c r="R179" i="16" s="1"/>
  <c r="J258" i="16"/>
  <c r="K258" i="16" s="1"/>
  <c r="R258" i="16" s="1"/>
  <c r="J555" i="16"/>
  <c r="K555" i="16" s="1"/>
  <c r="R555" i="16" s="1"/>
  <c r="J142" i="16"/>
  <c r="K142" i="16" s="1"/>
  <c r="R142" i="16" s="1"/>
  <c r="J95" i="16"/>
  <c r="K95" i="16" s="1"/>
  <c r="R95" i="16" s="1"/>
  <c r="J14" i="16"/>
  <c r="K14" i="16" s="1"/>
  <c r="R14" i="16" s="1"/>
  <c r="J620" i="16"/>
  <c r="K620" i="16" s="1"/>
  <c r="R620" i="16" s="1"/>
  <c r="J466" i="16"/>
  <c r="K466" i="16" s="1"/>
  <c r="R466" i="16" s="1"/>
  <c r="J264" i="16"/>
  <c r="K264" i="16" s="1"/>
  <c r="R264" i="16" s="1"/>
  <c r="J561" i="16"/>
  <c r="K561" i="16" s="1"/>
  <c r="R561" i="16" s="1"/>
  <c r="J449" i="16"/>
  <c r="K449" i="16" s="1"/>
  <c r="R449" i="16" s="1"/>
  <c r="J67" i="16"/>
  <c r="K67" i="16" s="1"/>
  <c r="R67" i="16" s="1"/>
  <c r="J270" i="16"/>
  <c r="K270" i="16" s="1"/>
  <c r="R270" i="16" s="1"/>
  <c r="J596" i="16"/>
  <c r="K596" i="16" s="1"/>
  <c r="R596" i="16" s="1"/>
  <c r="J253" i="16"/>
  <c r="K253" i="16" s="1"/>
  <c r="R253" i="16" s="1"/>
  <c r="J508" i="16"/>
  <c r="K508" i="16" s="1"/>
  <c r="R508" i="16" s="1"/>
  <c r="J233" i="16"/>
  <c r="K233" i="16" s="1"/>
  <c r="R233" i="16" s="1"/>
  <c r="J284" i="16"/>
  <c r="K284" i="16" s="1"/>
  <c r="R284" i="16" s="1"/>
  <c r="J732" i="16"/>
  <c r="K732" i="16" s="1"/>
  <c r="R732" i="16" s="1"/>
  <c r="J623" i="16"/>
  <c r="K623" i="16" s="1"/>
  <c r="R623" i="16" s="1"/>
  <c r="J355" i="16"/>
  <c r="K355" i="16" s="1"/>
  <c r="R355" i="16" s="1"/>
  <c r="J493" i="16"/>
  <c r="K493" i="16" s="1"/>
  <c r="R493" i="16" s="1"/>
  <c r="J267" i="16"/>
  <c r="K267" i="16" s="1"/>
  <c r="R267" i="16" s="1"/>
  <c r="J392" i="16"/>
  <c r="K392" i="16" s="1"/>
  <c r="R392" i="16" s="1"/>
  <c r="J687" i="16"/>
  <c r="K687" i="16" s="1"/>
  <c r="R687" i="16" s="1"/>
  <c r="J175" i="16"/>
  <c r="K175" i="16" s="1"/>
  <c r="R175" i="16" s="1"/>
  <c r="J315" i="16"/>
  <c r="K315" i="16" s="1"/>
  <c r="R315" i="16" s="1"/>
  <c r="J376" i="16"/>
  <c r="K376" i="16" s="1"/>
  <c r="R376" i="16" s="1"/>
  <c r="J329" i="16"/>
  <c r="K329" i="16" s="1"/>
  <c r="R329" i="16" s="1"/>
  <c r="J645" i="16"/>
  <c r="K645" i="16" s="1"/>
  <c r="R645" i="16" s="1"/>
  <c r="J203" i="16"/>
  <c r="K203" i="16" s="1"/>
  <c r="R203" i="16" s="1"/>
  <c r="J282" i="16"/>
  <c r="K282" i="16" s="1"/>
  <c r="R282" i="16" s="1"/>
  <c r="J662" i="16"/>
  <c r="K662" i="16" s="1"/>
  <c r="R662" i="16" s="1"/>
  <c r="J216" i="16"/>
  <c r="K216" i="16" s="1"/>
  <c r="R216" i="16" s="1"/>
  <c r="J275" i="16"/>
  <c r="K275" i="16" s="1"/>
  <c r="R275" i="16" s="1"/>
  <c r="J154" i="16"/>
  <c r="K154" i="16" s="1"/>
  <c r="R154" i="16" s="1"/>
  <c r="J607" i="16"/>
  <c r="K607" i="16" s="1"/>
  <c r="R607" i="16" s="1"/>
  <c r="J77" i="16"/>
  <c r="K77" i="16" s="1"/>
  <c r="R77" i="16" s="1"/>
  <c r="J452" i="16"/>
  <c r="K452" i="16" s="1"/>
  <c r="R452" i="16" s="1"/>
  <c r="J560" i="16"/>
  <c r="K560" i="16" s="1"/>
  <c r="R560" i="16" s="1"/>
  <c r="J43" i="16"/>
  <c r="K43" i="16" s="1"/>
  <c r="R43" i="16" s="1"/>
  <c r="J409" i="16"/>
  <c r="K409" i="16" s="1"/>
  <c r="R409" i="16" s="1"/>
  <c r="J683" i="16"/>
  <c r="K683" i="16" s="1"/>
  <c r="R683" i="16" s="1"/>
  <c r="J23" i="16"/>
  <c r="K23" i="16" s="1"/>
  <c r="R23" i="16" s="1"/>
  <c r="J128" i="16"/>
  <c r="K128" i="16" s="1"/>
  <c r="R128" i="16" s="1"/>
  <c r="J312" i="16"/>
  <c r="K312" i="16" s="1"/>
  <c r="R312" i="16" s="1"/>
  <c r="J694" i="16"/>
  <c r="K694" i="16" s="1"/>
  <c r="R694" i="16" s="1"/>
  <c r="J42" i="16"/>
  <c r="K42" i="16" s="1"/>
  <c r="R42" i="16" s="1"/>
  <c r="J243" i="16"/>
  <c r="K243" i="16" s="1"/>
  <c r="R243" i="16" s="1"/>
  <c r="J447" i="16"/>
  <c r="K447" i="16" s="1"/>
  <c r="R447" i="16" s="1"/>
  <c r="J453" i="16"/>
  <c r="K453" i="16" s="1"/>
  <c r="R453" i="16" s="1"/>
  <c r="J21" i="16"/>
  <c r="K21" i="16" s="1"/>
  <c r="R21" i="16" s="1"/>
  <c r="J308" i="16"/>
  <c r="K308" i="16" s="1"/>
  <c r="R308" i="16" s="1"/>
  <c r="J487" i="16"/>
  <c r="K487" i="16" s="1"/>
  <c r="R487" i="16" s="1"/>
  <c r="J659" i="16"/>
  <c r="K659" i="16" s="1"/>
  <c r="R659" i="16" s="1"/>
  <c r="J618" i="16"/>
  <c r="K618" i="16" s="1"/>
  <c r="R618" i="16" s="1"/>
  <c r="J305" i="16"/>
  <c r="K305" i="16" s="1"/>
  <c r="R305" i="16" s="1"/>
  <c r="J474" i="16"/>
  <c r="K474" i="16" s="1"/>
  <c r="R474" i="16" s="1"/>
  <c r="J586" i="16"/>
  <c r="K586" i="16" s="1"/>
  <c r="R586" i="16" s="1"/>
  <c r="J19" i="16"/>
  <c r="K19" i="16" s="1"/>
  <c r="R19" i="16" s="1"/>
  <c r="J517" i="16"/>
  <c r="K517" i="16" s="1"/>
  <c r="R517" i="16" s="1"/>
  <c r="J494" i="16"/>
  <c r="K494" i="16" s="1"/>
  <c r="R494" i="16" s="1"/>
  <c r="J529" i="16"/>
  <c r="K529" i="16" s="1"/>
  <c r="R529" i="16" s="1"/>
  <c r="J235" i="16"/>
  <c r="K235" i="16" s="1"/>
  <c r="R235" i="16" s="1"/>
  <c r="J710" i="16"/>
  <c r="K710" i="16" s="1"/>
  <c r="R710" i="16" s="1"/>
  <c r="J323" i="16"/>
  <c r="K323" i="16" s="1"/>
  <c r="R323" i="16" s="1"/>
  <c r="J101" i="16"/>
  <c r="K101" i="16" s="1"/>
  <c r="R101" i="16" s="1"/>
  <c r="J9" i="16"/>
  <c r="K9" i="16" s="1"/>
  <c r="R9" i="16" s="1"/>
  <c r="J320" i="16"/>
  <c r="K320" i="16" s="1"/>
  <c r="R320" i="16" s="1"/>
  <c r="J115" i="16"/>
  <c r="K115" i="16" s="1"/>
  <c r="R115" i="16" s="1"/>
  <c r="J269" i="16"/>
  <c r="K269" i="16" s="1"/>
  <c r="R269" i="16" s="1"/>
  <c r="J634" i="16"/>
  <c r="K634" i="16" s="1"/>
  <c r="R634" i="16" s="1"/>
  <c r="J374" i="16"/>
  <c r="K374" i="16" s="1"/>
  <c r="R374" i="16" s="1"/>
  <c r="J192" i="16"/>
  <c r="K192" i="16" s="1"/>
  <c r="R192" i="16" s="1"/>
  <c r="J277" i="16"/>
  <c r="K277" i="16" s="1"/>
  <c r="R277" i="16" s="1"/>
  <c r="J72" i="16"/>
  <c r="K72" i="16" s="1"/>
  <c r="R72" i="16" s="1"/>
  <c r="J541" i="16"/>
  <c r="K541" i="16" s="1"/>
  <c r="R541" i="16" s="1"/>
  <c r="J139" i="16"/>
  <c r="K139" i="16" s="1"/>
  <c r="R139" i="16" s="1"/>
  <c r="J672" i="16"/>
  <c r="K672" i="16" s="1"/>
  <c r="R672" i="16" s="1"/>
  <c r="J390" i="16"/>
  <c r="K390" i="16" s="1"/>
  <c r="R390" i="16" s="1"/>
  <c r="J60" i="16"/>
  <c r="K60" i="16" s="1"/>
  <c r="R60" i="16" s="1"/>
  <c r="J38" i="16"/>
  <c r="K38" i="16" s="1"/>
  <c r="R38" i="16" s="1"/>
  <c r="J592" i="16"/>
  <c r="K592" i="16" s="1"/>
  <c r="R592" i="16" s="1"/>
  <c r="J525" i="16"/>
  <c r="K525" i="16" s="1"/>
  <c r="R525" i="16" s="1"/>
  <c r="J465" i="16"/>
  <c r="K465" i="16" s="1"/>
  <c r="R465" i="16" s="1"/>
  <c r="J549" i="16"/>
  <c r="K549" i="16" s="1"/>
  <c r="R549" i="16" s="1"/>
  <c r="J135" i="16"/>
  <c r="K135" i="16" s="1"/>
  <c r="R135" i="16" s="1"/>
  <c r="J396" i="16"/>
  <c r="K396" i="16" s="1"/>
  <c r="R396" i="16" s="1"/>
  <c r="J608" i="16"/>
  <c r="K608" i="16" s="1"/>
  <c r="R608" i="16" s="1"/>
  <c r="J301" i="16"/>
  <c r="K301" i="16" s="1"/>
  <c r="R301" i="16" s="1"/>
  <c r="J223" i="16"/>
  <c r="K223" i="16" s="1"/>
  <c r="R223" i="16" s="1"/>
  <c r="J349" i="16"/>
  <c r="K349" i="16" s="1"/>
  <c r="R349" i="16" s="1"/>
  <c r="J714" i="16"/>
  <c r="K714" i="16" s="1"/>
  <c r="R714" i="16" s="1"/>
  <c r="J144" i="16"/>
  <c r="K144" i="16" s="1"/>
  <c r="R144" i="16" s="1"/>
  <c r="J353" i="16"/>
  <c r="K353" i="16" s="1"/>
  <c r="R353" i="16" s="1"/>
  <c r="J671" i="16"/>
  <c r="K671" i="16" s="1"/>
  <c r="R671" i="16" s="1"/>
  <c r="J212" i="16"/>
  <c r="K212" i="16" s="1"/>
  <c r="R212" i="16" s="1"/>
  <c r="J436" i="16"/>
  <c r="K436" i="16" s="1"/>
  <c r="R436" i="16" s="1"/>
  <c r="J381" i="16"/>
  <c r="K381" i="16" s="1"/>
  <c r="R381" i="16" s="1"/>
  <c r="J435" i="16"/>
  <c r="K435" i="16" s="1"/>
  <c r="R435" i="16" s="1"/>
  <c r="J448" i="16"/>
  <c r="K448" i="16" s="1"/>
  <c r="R448" i="16" s="1"/>
  <c r="J35" i="16"/>
  <c r="K35" i="16" s="1"/>
  <c r="R35" i="16" s="1"/>
  <c r="J444" i="16"/>
  <c r="K444" i="16" s="1"/>
  <c r="R444" i="16" s="1"/>
  <c r="J134" i="16"/>
  <c r="K134" i="16" s="1"/>
  <c r="R134" i="16" s="1"/>
  <c r="J709" i="16"/>
  <c r="K709" i="16" s="1"/>
  <c r="R709" i="16" s="1"/>
  <c r="J712" i="16"/>
  <c r="K712" i="16" s="1"/>
  <c r="R712" i="16" s="1"/>
  <c r="J98" i="16"/>
  <c r="K98" i="16" s="1"/>
  <c r="R98" i="16" s="1"/>
  <c r="J550" i="16"/>
  <c r="K550" i="16" s="1"/>
  <c r="R550" i="16" s="1"/>
  <c r="J380" i="16"/>
  <c r="K380" i="16" s="1"/>
  <c r="R380" i="16" s="1"/>
  <c r="J707" i="16"/>
  <c r="K707" i="16" s="1"/>
  <c r="R707" i="16" s="1"/>
  <c r="J377" i="16"/>
  <c r="K377" i="16" s="1"/>
  <c r="R377" i="16" s="1"/>
  <c r="J371" i="16"/>
  <c r="K371" i="16" s="1"/>
  <c r="R371" i="16" s="1"/>
  <c r="J242" i="16"/>
  <c r="K242" i="16" s="1"/>
  <c r="R242" i="16" s="1"/>
  <c r="J441" i="16"/>
  <c r="K441" i="16" s="1"/>
  <c r="R441" i="16" s="1"/>
  <c r="J731" i="16"/>
  <c r="K731" i="16" s="1"/>
  <c r="R731" i="16" s="1"/>
  <c r="J87" i="16"/>
  <c r="K87" i="16" s="1"/>
  <c r="R87" i="16" s="1"/>
  <c r="J152" i="16"/>
  <c r="K152" i="16" s="1"/>
  <c r="R152" i="16" s="1"/>
  <c r="J331" i="16"/>
  <c r="K331" i="16" s="1"/>
  <c r="R331" i="16" s="1"/>
  <c r="J625" i="16"/>
  <c r="K625" i="16" s="1"/>
  <c r="R625" i="16" s="1"/>
  <c r="J543" i="16"/>
  <c r="K543" i="16" s="1"/>
  <c r="R543" i="16" s="1"/>
  <c r="J733" i="16"/>
  <c r="K733" i="16" s="1"/>
  <c r="R733" i="16" s="1"/>
  <c r="J210" i="16"/>
  <c r="K210" i="16" s="1"/>
  <c r="R210" i="16" s="1"/>
  <c r="J655" i="16"/>
  <c r="K655" i="16" s="1"/>
  <c r="R655" i="16" s="1"/>
  <c r="J642" i="16"/>
  <c r="K642" i="16" s="1"/>
  <c r="R642" i="16" s="1"/>
  <c r="J635" i="16"/>
  <c r="K635" i="16" s="1"/>
  <c r="R635" i="16" s="1"/>
  <c r="J486" i="16"/>
  <c r="K486" i="16" s="1"/>
  <c r="R486" i="16" s="1"/>
  <c r="J459" i="16"/>
  <c r="K459" i="16" s="1"/>
  <c r="R459" i="16" s="1"/>
  <c r="J575" i="16"/>
  <c r="K575" i="16" s="1"/>
  <c r="R575" i="16" s="1"/>
  <c r="J528" i="16"/>
  <c r="K528" i="16" s="1"/>
  <c r="R528" i="16" s="1"/>
  <c r="J481" i="16"/>
  <c r="K481" i="16" s="1"/>
  <c r="R481" i="16" s="1"/>
  <c r="J254" i="16"/>
  <c r="K254" i="16" s="1"/>
  <c r="R254" i="16" s="1"/>
  <c r="J342" i="16"/>
  <c r="K342" i="16" s="1"/>
  <c r="R342" i="16" s="1"/>
  <c r="J124" i="16"/>
  <c r="K124" i="16" s="1"/>
  <c r="R124" i="16" s="1"/>
  <c r="J8" i="16"/>
  <c r="K8" i="16" s="1"/>
  <c r="R8" i="16" s="1"/>
  <c r="J563" i="16"/>
  <c r="K563" i="16" s="1"/>
  <c r="R563" i="16" s="1"/>
  <c r="J111" i="16"/>
  <c r="K111" i="16" s="1"/>
  <c r="R111" i="16" s="1"/>
  <c r="J612" i="16"/>
  <c r="K612" i="16" s="1"/>
  <c r="R612" i="16" s="1"/>
  <c r="J119" i="16"/>
  <c r="K119" i="16" s="1"/>
  <c r="R119" i="16" s="1"/>
  <c r="J590" i="16"/>
  <c r="K590" i="16" s="1"/>
  <c r="R590" i="16" s="1"/>
  <c r="J455" i="16"/>
  <c r="K455" i="16" s="1"/>
  <c r="R455" i="16" s="1"/>
  <c r="J637" i="16"/>
  <c r="K637" i="16" s="1"/>
  <c r="R637" i="16" s="1"/>
  <c r="J391" i="16"/>
  <c r="K391" i="16" s="1"/>
  <c r="R391" i="16" s="1"/>
  <c r="J332" i="16"/>
  <c r="K332" i="16" s="1"/>
  <c r="R332" i="16" s="1"/>
  <c r="J386" i="16"/>
  <c r="K386" i="16" s="1"/>
  <c r="R386" i="16" s="1"/>
  <c r="J238" i="16"/>
  <c r="K238" i="16" s="1"/>
  <c r="R238" i="16" s="1"/>
  <c r="J609" i="16"/>
  <c r="K609" i="16" s="1"/>
  <c r="R609" i="16" s="1"/>
  <c r="J551" i="16"/>
  <c r="K551" i="16" s="1"/>
  <c r="R551" i="16" s="1"/>
  <c r="J126" i="16"/>
  <c r="K126" i="16" s="1"/>
  <c r="R126" i="16" s="1"/>
  <c r="J407" i="16"/>
  <c r="K407" i="16" s="1"/>
  <c r="R407" i="16" s="1"/>
  <c r="J460" i="16"/>
  <c r="K460" i="16" s="1"/>
  <c r="R460" i="16" s="1"/>
  <c r="J621" i="16"/>
  <c r="K621" i="16" s="1"/>
  <c r="R621" i="16" s="1"/>
  <c r="J197" i="16"/>
  <c r="K197" i="16" s="1"/>
  <c r="R197" i="16" s="1"/>
  <c r="J151" i="16"/>
  <c r="K151" i="16" s="1"/>
  <c r="R151" i="16" s="1"/>
  <c r="J713" i="16"/>
  <c r="K713" i="16" s="1"/>
  <c r="R713" i="16" s="1"/>
  <c r="J76" i="16"/>
  <c r="K76" i="16" s="1"/>
  <c r="R76" i="16" s="1"/>
  <c r="J394" i="16"/>
  <c r="K394" i="16" s="1"/>
  <c r="R394" i="16" s="1"/>
  <c r="J657" i="16"/>
  <c r="K657" i="16" s="1"/>
  <c r="R657" i="16" s="1"/>
  <c r="J259" i="16"/>
  <c r="K259" i="16" s="1"/>
  <c r="R259" i="16" s="1"/>
  <c r="J206" i="16"/>
  <c r="K206" i="16" s="1"/>
  <c r="R206" i="16" s="1"/>
  <c r="J540" i="16"/>
  <c r="K540" i="16" s="1"/>
  <c r="R540" i="16" s="1"/>
  <c r="J36" i="16"/>
  <c r="K36" i="16" s="1"/>
  <c r="R36" i="16" s="1"/>
  <c r="J665" i="16"/>
  <c r="K665" i="16" s="1"/>
  <c r="R665" i="16" s="1"/>
  <c r="J188" i="16"/>
  <c r="K188" i="16" s="1"/>
  <c r="R188" i="16" s="1"/>
  <c r="J255" i="16"/>
  <c r="K255" i="16" s="1"/>
  <c r="R255" i="16" s="1"/>
  <c r="J545" i="16"/>
  <c r="K545" i="16" s="1"/>
  <c r="R545" i="16" s="1"/>
  <c r="J715" i="16"/>
  <c r="K715" i="16" s="1"/>
  <c r="R715" i="16" s="1"/>
  <c r="J49" i="16"/>
  <c r="K49" i="16" s="1"/>
  <c r="R49" i="16" s="1"/>
  <c r="J363" i="16"/>
  <c r="K363" i="16" s="1"/>
  <c r="R363" i="16" s="1"/>
  <c r="J727" i="16"/>
  <c r="K727" i="16" s="1"/>
  <c r="R727" i="16" s="1"/>
  <c r="J178" i="16"/>
  <c r="K178" i="16" s="1"/>
  <c r="R178" i="16" s="1"/>
  <c r="J492" i="16"/>
  <c r="K492" i="16" s="1"/>
  <c r="R492" i="16" s="1"/>
  <c r="J502" i="16"/>
  <c r="K502" i="16" s="1"/>
  <c r="R502" i="16" s="1"/>
  <c r="J568" i="16"/>
  <c r="K568" i="16" s="1"/>
  <c r="R568" i="16" s="1"/>
  <c r="J624" i="16"/>
  <c r="K624" i="16" s="1"/>
  <c r="R624" i="16" s="1"/>
  <c r="J273" i="16"/>
  <c r="K273" i="16" s="1"/>
  <c r="R273" i="16" s="1"/>
  <c r="J565" i="16"/>
  <c r="K565" i="16" s="1"/>
  <c r="R565" i="16" s="1"/>
  <c r="J611" i="16"/>
  <c r="K611" i="16" s="1"/>
  <c r="R611" i="16" s="1"/>
  <c r="J416" i="16"/>
  <c r="K416" i="16" s="1"/>
  <c r="R416" i="16" s="1"/>
  <c r="J231" i="16"/>
  <c r="K231" i="16" s="1"/>
  <c r="R231" i="16" s="1"/>
  <c r="J706" i="16"/>
  <c r="K706" i="16" s="1"/>
  <c r="R706" i="16" s="1"/>
  <c r="J476" i="16"/>
  <c r="K476" i="16" s="1"/>
  <c r="R476" i="16" s="1"/>
  <c r="J584" i="16"/>
  <c r="K584" i="16" s="1"/>
  <c r="R584" i="16" s="1"/>
  <c r="J297" i="16"/>
  <c r="K297" i="16" s="1"/>
  <c r="R297" i="16" s="1"/>
  <c r="J39" i="16"/>
  <c r="K39" i="16" s="1"/>
  <c r="R39" i="16" s="1"/>
  <c r="J442" i="16"/>
  <c r="K442" i="16" s="1"/>
  <c r="R442" i="16" s="1"/>
  <c r="J686" i="16"/>
  <c r="K686" i="16" s="1"/>
  <c r="R686" i="16" s="1"/>
  <c r="J644" i="16"/>
  <c r="K644" i="16" s="1"/>
  <c r="R644" i="16" s="1"/>
  <c r="J729" i="16"/>
  <c r="K729" i="16" s="1"/>
  <c r="R729" i="16" s="1"/>
  <c r="J227" i="16"/>
  <c r="K227" i="16" s="1"/>
  <c r="R227" i="16" s="1"/>
  <c r="J559" i="16"/>
  <c r="K559" i="16" s="1"/>
  <c r="R559" i="16" s="1"/>
  <c r="J389" i="16"/>
  <c r="K389" i="16" s="1"/>
  <c r="R389" i="16" s="1"/>
  <c r="J169" i="16"/>
  <c r="K169" i="16" s="1"/>
  <c r="R169" i="16" s="1"/>
  <c r="J420" i="16"/>
  <c r="K420" i="16" s="1"/>
  <c r="R420" i="16" s="1"/>
  <c r="J643" i="16"/>
  <c r="K643" i="16" s="1"/>
  <c r="R643" i="16" s="1"/>
  <c r="J595" i="16"/>
  <c r="K595" i="16" s="1"/>
  <c r="R595" i="16" s="1"/>
  <c r="J632" i="16"/>
  <c r="K632" i="16" s="1"/>
  <c r="R632" i="16" s="1"/>
  <c r="J47" i="16"/>
  <c r="K47" i="16" s="1"/>
  <c r="R47" i="16" s="1"/>
  <c r="J155" i="16"/>
  <c r="K155" i="16" s="1"/>
  <c r="R155" i="16" s="1"/>
  <c r="J50" i="16"/>
  <c r="K50" i="16" s="1"/>
  <c r="R50" i="16" s="1"/>
  <c r="J615" i="16"/>
  <c r="K615" i="16" s="1"/>
  <c r="R615" i="16" s="1"/>
  <c r="J462" i="16"/>
  <c r="K462" i="16" s="1"/>
  <c r="R462" i="16" s="1"/>
  <c r="J511" i="16"/>
  <c r="K511" i="16" s="1"/>
  <c r="R511" i="16" s="1"/>
  <c r="J96" i="16"/>
  <c r="K96" i="16" s="1"/>
  <c r="R96" i="16" s="1"/>
  <c r="J557" i="16"/>
  <c r="K557" i="16" s="1"/>
  <c r="R557" i="16" s="1"/>
  <c r="J338" i="16"/>
  <c r="K338" i="16" s="1"/>
  <c r="R338" i="16" s="1"/>
  <c r="J129" i="16"/>
  <c r="K129" i="16" s="1"/>
  <c r="R129" i="16" s="1"/>
  <c r="J514" i="16"/>
  <c r="K514" i="16" s="1"/>
  <c r="R514" i="16" s="1"/>
  <c r="J61" i="16"/>
  <c r="K61" i="16" s="1"/>
  <c r="R61" i="16" s="1"/>
  <c r="J533" i="16"/>
  <c r="K533" i="16" s="1"/>
  <c r="R533" i="16" s="1"/>
  <c r="J58" i="16"/>
  <c r="K58" i="16" s="1"/>
  <c r="R58" i="16" s="1"/>
  <c r="J467" i="16"/>
  <c r="K467" i="16" s="1"/>
  <c r="R467" i="16" s="1"/>
  <c r="J505" i="16"/>
  <c r="K505" i="16" s="1"/>
  <c r="R505" i="16" s="1"/>
  <c r="J226" i="16"/>
  <c r="K226" i="16" s="1"/>
  <c r="R226" i="16" s="1"/>
  <c r="J425" i="16"/>
  <c r="K425" i="16" s="1"/>
  <c r="R425" i="16" s="1"/>
  <c r="J701" i="16"/>
  <c r="K701" i="16" s="1"/>
  <c r="R701" i="16" s="1"/>
  <c r="J456" i="16"/>
  <c r="K456" i="16" s="1"/>
  <c r="R456" i="16" s="1"/>
  <c r="J723" i="16"/>
  <c r="K723" i="16" s="1"/>
  <c r="R723" i="16" s="1"/>
  <c r="J194" i="16"/>
  <c r="K194" i="16" s="1"/>
  <c r="R194" i="16" s="1"/>
  <c r="J393" i="16"/>
  <c r="K393" i="16" s="1"/>
  <c r="R393" i="16" s="1"/>
  <c r="J548" i="16"/>
  <c r="K548" i="16" s="1"/>
  <c r="R548" i="16" s="1"/>
  <c r="J213" i="16"/>
  <c r="K213" i="16" s="1"/>
  <c r="R213" i="16" s="1"/>
  <c r="J526" i="16"/>
  <c r="K526" i="16" s="1"/>
  <c r="R526" i="16" s="1"/>
  <c r="J196" i="16"/>
  <c r="K196" i="16" s="1"/>
  <c r="R196" i="16" s="1"/>
  <c r="J496" i="16"/>
  <c r="K496" i="16" s="1"/>
  <c r="R496" i="16" s="1"/>
  <c r="J656" i="16"/>
  <c r="K656" i="16" s="1"/>
  <c r="R656" i="16" s="1"/>
  <c r="J248" i="16"/>
  <c r="K248" i="16" s="1"/>
  <c r="R248" i="16" s="1"/>
  <c r="J691" i="16"/>
  <c r="K691" i="16" s="1"/>
  <c r="R691" i="16" s="1"/>
  <c r="J160" i="16"/>
  <c r="K160" i="16" s="1"/>
  <c r="R160" i="16" s="1"/>
  <c r="J361" i="16"/>
  <c r="K361" i="16" s="1"/>
  <c r="R361" i="16" s="1"/>
  <c r="J708" i="16"/>
  <c r="K708" i="16" s="1"/>
  <c r="R708" i="16" s="1"/>
  <c r="J588" i="16"/>
  <c r="K588" i="16" s="1"/>
  <c r="R588" i="16" s="1"/>
  <c r="J591" i="16"/>
  <c r="K591" i="16" s="1"/>
  <c r="R591" i="16" s="1"/>
  <c r="J164" i="16"/>
  <c r="K164" i="16" s="1"/>
  <c r="R164" i="16" s="1"/>
  <c r="J431" i="16"/>
  <c r="K431" i="16" s="1"/>
  <c r="R431" i="16" s="1"/>
  <c r="J491" i="16"/>
  <c r="K491" i="16" s="1"/>
  <c r="R491" i="16" s="1"/>
  <c r="J189" i="16"/>
  <c r="K189" i="16" s="1"/>
  <c r="R189" i="16" s="1"/>
  <c r="J306" i="16"/>
  <c r="K306" i="16" s="1"/>
  <c r="R306" i="16" s="1"/>
  <c r="J415" i="16"/>
  <c r="K415" i="16" s="1"/>
  <c r="R415" i="16" s="1"/>
  <c r="J266" i="16"/>
  <c r="K266" i="16" s="1"/>
  <c r="R266" i="16" s="1"/>
  <c r="J451" i="16"/>
  <c r="K451" i="16" s="1"/>
  <c r="R451" i="16" s="1"/>
  <c r="J719" i="16"/>
  <c r="K719" i="16" s="1"/>
  <c r="R719" i="16" s="1"/>
  <c r="J387" i="16"/>
  <c r="K387" i="16" s="1"/>
  <c r="R387" i="16" s="1"/>
  <c r="J424" i="16"/>
  <c r="K424" i="16" s="1"/>
  <c r="R424" i="16" s="1"/>
  <c r="J721" i="16"/>
  <c r="K721" i="16" s="1"/>
  <c r="R721" i="16" s="1"/>
  <c r="J207" i="16"/>
  <c r="K207" i="16" s="1"/>
  <c r="R207" i="16" s="1"/>
  <c r="J272" i="16"/>
  <c r="K272" i="16" s="1"/>
  <c r="R272" i="16" s="1"/>
  <c r="J434" i="16"/>
  <c r="K434" i="16" s="1"/>
  <c r="R434" i="16" s="1"/>
  <c r="J572" i="16"/>
  <c r="K572" i="16" s="1"/>
  <c r="R572" i="16" s="1"/>
  <c r="J156" i="16"/>
  <c r="K156" i="16" s="1"/>
  <c r="R156" i="16" s="1"/>
  <c r="J92" i="16"/>
  <c r="K92" i="16" s="1"/>
  <c r="R92" i="16" s="1"/>
  <c r="J402" i="16"/>
  <c r="K402" i="16" s="1"/>
  <c r="R402" i="16" s="1"/>
  <c r="J510" i="16"/>
  <c r="K510" i="16" s="1"/>
  <c r="R510" i="16" s="1"/>
  <c r="J86" i="16"/>
  <c r="K86" i="16" s="1"/>
  <c r="R86" i="16" s="1"/>
  <c r="J15" i="16"/>
  <c r="K15" i="16" s="1"/>
  <c r="R15" i="16" s="1"/>
  <c r="J512" i="16"/>
  <c r="K512" i="16" s="1"/>
  <c r="R512" i="16" s="1"/>
  <c r="J230" i="16"/>
  <c r="K230" i="16" s="1"/>
  <c r="R230" i="16" s="1"/>
  <c r="J360" i="16"/>
  <c r="K360" i="16" s="1"/>
  <c r="R360" i="16" s="1"/>
  <c r="J569" i="16"/>
  <c r="K569" i="16" s="1"/>
  <c r="R569" i="16" s="1"/>
  <c r="J589" i="16"/>
  <c r="K589" i="16" s="1"/>
  <c r="R589" i="16" s="1"/>
  <c r="J133" i="16"/>
  <c r="K133" i="16" s="1"/>
  <c r="R133" i="16" s="1"/>
  <c r="J477" i="16"/>
  <c r="K477" i="16" s="1"/>
  <c r="R477" i="16" s="1"/>
  <c r="J27" i="16"/>
  <c r="K27" i="16" s="1"/>
  <c r="R27" i="16" s="1"/>
  <c r="J195" i="16"/>
  <c r="K195" i="16" s="1"/>
  <c r="R195" i="16" s="1"/>
  <c r="J700" i="16"/>
  <c r="K700" i="16" s="1"/>
  <c r="R700" i="16" s="1"/>
  <c r="J663" i="16"/>
  <c r="K663" i="16" s="1"/>
  <c r="R663" i="16" s="1"/>
  <c r="J209" i="16"/>
  <c r="K209" i="16" s="1"/>
  <c r="R209" i="16" s="1"/>
  <c r="J260" i="16"/>
  <c r="K260" i="16" s="1"/>
  <c r="R260" i="16" s="1"/>
  <c r="J214" i="16"/>
  <c r="K214" i="16" s="1"/>
  <c r="R214" i="16" s="1"/>
  <c r="J530" i="16"/>
  <c r="K530" i="16" s="1"/>
  <c r="R530" i="16" s="1"/>
  <c r="J123" i="16"/>
  <c r="K123" i="16" s="1"/>
  <c r="R123" i="16" s="1"/>
  <c r="J498" i="16"/>
  <c r="K498" i="16" s="1"/>
  <c r="R498" i="16" s="1"/>
  <c r="J68" i="16"/>
  <c r="K68" i="16" s="1"/>
  <c r="R68" i="16" s="1"/>
  <c r="J278" i="16"/>
  <c r="K278" i="16" s="1"/>
  <c r="R278" i="16" s="1"/>
  <c r="J161" i="16"/>
  <c r="K161" i="16" s="1"/>
  <c r="R161" i="16" s="1"/>
  <c r="J44" i="16"/>
  <c r="K44" i="16" s="1"/>
  <c r="R44" i="16" s="1"/>
  <c r="J102" i="16"/>
  <c r="K102" i="16" s="1"/>
  <c r="R102" i="16" s="1"/>
  <c r="J365" i="16"/>
  <c r="K365" i="16" s="1"/>
  <c r="R365" i="16" s="1"/>
  <c r="J614" i="16"/>
  <c r="K614" i="16" s="1"/>
  <c r="R614" i="16" s="1"/>
  <c r="J177" i="16"/>
  <c r="K177" i="16" s="1"/>
  <c r="R177" i="16" s="1"/>
  <c r="J428" i="16"/>
  <c r="K428" i="16" s="1"/>
  <c r="R428" i="16" s="1"/>
  <c r="J651" i="16"/>
  <c r="K651" i="16" s="1"/>
  <c r="R651" i="16" s="1"/>
  <c r="J521" i="16"/>
  <c r="K521" i="16" s="1"/>
  <c r="R521" i="16" s="1"/>
  <c r="J372" i="16"/>
  <c r="K372" i="16" s="1"/>
  <c r="R372" i="16" s="1"/>
  <c r="J489" i="16"/>
  <c r="K489" i="16" s="1"/>
  <c r="R489" i="16" s="1"/>
  <c r="J34" i="16"/>
  <c r="K34" i="16" s="1"/>
  <c r="R34" i="16" s="1"/>
  <c r="J186" i="16"/>
  <c r="K186" i="16" s="1"/>
  <c r="R186" i="16" s="1"/>
  <c r="J385" i="16"/>
  <c r="K385" i="16" s="1"/>
  <c r="R385" i="16" s="1"/>
  <c r="J516" i="16"/>
  <c r="K516" i="16" s="1"/>
  <c r="R516" i="16" s="1"/>
  <c r="J125" i="16"/>
  <c r="K125" i="16" s="1"/>
  <c r="R125" i="16" s="1"/>
  <c r="J245" i="16"/>
  <c r="K245" i="16" s="1"/>
  <c r="R245" i="16" s="1"/>
  <c r="J78" i="16"/>
  <c r="K78" i="16" s="1"/>
  <c r="R78" i="16" s="1"/>
  <c r="J676" i="16"/>
  <c r="K676" i="16" s="1"/>
  <c r="R676" i="16" s="1"/>
  <c r="J328" i="16"/>
  <c r="K328" i="16" s="1"/>
  <c r="R328" i="16" s="1"/>
  <c r="J488" i="16"/>
  <c r="K488" i="16" s="1"/>
  <c r="R488" i="16" s="1"/>
  <c r="J74" i="16"/>
  <c r="K74" i="16" s="1"/>
  <c r="R74" i="16" s="1"/>
  <c r="J364" i="16"/>
  <c r="K364" i="16" s="1"/>
  <c r="R364" i="16" s="1"/>
  <c r="J495" i="16"/>
  <c r="K495" i="16" s="1"/>
  <c r="R495" i="16" s="1"/>
  <c r="J405" i="16"/>
  <c r="K405" i="16" s="1"/>
  <c r="R405" i="16" s="1"/>
  <c r="J100" i="16"/>
  <c r="K100" i="16" s="1"/>
  <c r="R100" i="16" s="1"/>
  <c r="J211" i="16"/>
  <c r="K211" i="16" s="1"/>
  <c r="R211" i="16" s="1"/>
  <c r="J290" i="16"/>
  <c r="K290" i="16" s="1"/>
  <c r="R290" i="16" s="1"/>
  <c r="J622" i="16"/>
  <c r="K622" i="16" s="1"/>
  <c r="R622" i="16" s="1"/>
  <c r="J184" i="16"/>
  <c r="K184" i="16" s="1"/>
  <c r="R184" i="16" s="1"/>
  <c r="J427" i="16"/>
  <c r="K427" i="16" s="1"/>
  <c r="R427" i="16" s="1"/>
  <c r="J138" i="16"/>
  <c r="K138" i="16" s="1"/>
  <c r="R138" i="16" s="1"/>
  <c r="J65" i="16"/>
  <c r="K65" i="16" s="1"/>
  <c r="R65" i="16" s="1"/>
  <c r="J294" i="16"/>
  <c r="K294" i="16" s="1"/>
  <c r="R294" i="16" s="1"/>
  <c r="J296" i="16"/>
  <c r="K296" i="16" s="1"/>
  <c r="R296" i="16" s="1"/>
  <c r="J664" i="16"/>
  <c r="K664" i="16" s="1"/>
  <c r="R664" i="16" s="1"/>
  <c r="J10" i="16"/>
  <c r="K10" i="16" s="1"/>
  <c r="R10" i="16" s="1"/>
  <c r="J131" i="16"/>
  <c r="K131" i="16" s="1"/>
  <c r="R131" i="16" s="1"/>
  <c r="J326" i="16"/>
  <c r="K326" i="16" s="1"/>
  <c r="R326" i="16" s="1"/>
  <c r="J304" i="16"/>
  <c r="K304" i="16" s="1"/>
  <c r="R304" i="16" s="1"/>
  <c r="J208" i="16"/>
  <c r="K208" i="16" s="1"/>
  <c r="R208" i="16" s="1"/>
  <c r="J285" i="16"/>
  <c r="K285" i="16" s="1"/>
  <c r="R285" i="16" s="1"/>
  <c r="J578" i="16"/>
  <c r="K578" i="16" s="1"/>
  <c r="R578" i="16" s="1"/>
  <c r="J24" i="16"/>
  <c r="K24" i="16" s="1"/>
  <c r="R24" i="16" s="1"/>
  <c r="J316" i="16"/>
  <c r="K316" i="16" s="1"/>
  <c r="R316" i="16" s="1"/>
  <c r="J475" i="16"/>
  <c r="K475" i="16" s="1"/>
  <c r="R475" i="16" s="1"/>
  <c r="J728" i="16"/>
  <c r="K728" i="16" s="1"/>
  <c r="R728" i="16" s="1"/>
  <c r="J217" i="16"/>
  <c r="K217" i="16" s="1"/>
  <c r="R217" i="16" s="1"/>
  <c r="J601" i="16"/>
  <c r="K601" i="16" s="1"/>
  <c r="R601" i="16" s="1"/>
  <c r="J627" i="16"/>
  <c r="K627" i="16" s="1"/>
  <c r="R627" i="16" s="1"/>
  <c r="J172" i="16"/>
  <c r="K172" i="16" s="1"/>
  <c r="R172" i="16" s="1"/>
  <c r="J439" i="16"/>
  <c r="K439" i="16" s="1"/>
  <c r="R439" i="16" s="1"/>
  <c r="J513" i="16"/>
  <c r="K513" i="16" s="1"/>
  <c r="R513" i="16" s="1"/>
  <c r="J679" i="16"/>
  <c r="K679" i="16" s="1"/>
  <c r="R679" i="16" s="1"/>
  <c r="J202" i="16"/>
  <c r="K202" i="16" s="1"/>
  <c r="R202" i="16" s="1"/>
  <c r="J515" i="16"/>
  <c r="K515" i="16" s="1"/>
  <c r="R515" i="16" s="1"/>
  <c r="J137" i="16"/>
  <c r="K137" i="16" s="1"/>
  <c r="R137" i="16" s="1"/>
  <c r="J426" i="16"/>
  <c r="K426" i="16" s="1"/>
  <c r="R426" i="16" s="1"/>
  <c r="J484" i="16"/>
  <c r="K484" i="16" s="1"/>
  <c r="R484" i="16" s="1"/>
  <c r="J70" i="16"/>
  <c r="K70" i="16" s="1"/>
  <c r="R70" i="16" s="1"/>
  <c r="J646" i="16"/>
  <c r="K646" i="16" s="1"/>
  <c r="R646" i="16" s="1"/>
  <c r="J736" i="16"/>
  <c r="K736" i="16" s="1"/>
  <c r="R736" i="16" s="1"/>
  <c r="J698" i="16"/>
  <c r="K698" i="16" s="1"/>
  <c r="R698" i="16" s="1"/>
  <c r="J265" i="16"/>
  <c r="K265" i="16" s="1"/>
  <c r="R265" i="16" s="1"/>
  <c r="J673" i="16"/>
  <c r="K673" i="16" s="1"/>
  <c r="R673" i="16" s="1"/>
  <c r="J46" i="16"/>
  <c r="K46" i="16" s="1"/>
  <c r="R46" i="16" s="1"/>
  <c r="J367" i="16"/>
  <c r="K367" i="16" s="1"/>
  <c r="R367" i="16" s="1"/>
  <c r="J281" i="16"/>
  <c r="K281" i="16" s="1"/>
  <c r="R281" i="16" s="1"/>
  <c r="J173" i="16"/>
  <c r="K173" i="16" s="1"/>
  <c r="R173" i="16" s="1"/>
  <c r="J18" i="16"/>
  <c r="K18" i="16" s="1"/>
  <c r="R18" i="16" s="1"/>
  <c r="J343" i="16"/>
  <c r="K343" i="16" s="1"/>
  <c r="R343" i="16" s="1"/>
  <c r="J669" i="16"/>
  <c r="K669" i="16" s="1"/>
  <c r="R669" i="16" s="1"/>
  <c r="J309" i="16"/>
  <c r="K309" i="16" s="1"/>
  <c r="R309" i="16" s="1"/>
  <c r="J641" i="16"/>
  <c r="K641" i="16" s="1"/>
  <c r="R641" i="16" s="1"/>
  <c r="J136" i="16"/>
  <c r="K136" i="16" s="1"/>
  <c r="R136" i="16" s="1"/>
  <c r="J478" i="16"/>
  <c r="K478" i="16" s="1"/>
  <c r="R478" i="16" s="1"/>
  <c r="J610" i="16"/>
  <c r="K610" i="16" s="1"/>
  <c r="R610" i="16" s="1"/>
  <c r="J57" i="16"/>
  <c r="K57" i="16" s="1"/>
  <c r="R57" i="16" s="1"/>
  <c r="J307" i="16"/>
  <c r="K307" i="16" s="1"/>
  <c r="R307" i="16" s="1"/>
  <c r="J347" i="16"/>
  <c r="K347" i="16" s="1"/>
  <c r="R347" i="16" s="1"/>
  <c r="J573" i="16"/>
  <c r="K573" i="16" s="1"/>
  <c r="R573" i="16" s="1"/>
  <c r="J157" i="16"/>
  <c r="K157" i="16" s="1"/>
  <c r="R157" i="16" s="1"/>
  <c r="J52" i="16"/>
  <c r="K52" i="16" s="1"/>
  <c r="R52" i="16" s="1"/>
  <c r="J422" i="16"/>
  <c r="K422" i="16" s="1"/>
  <c r="R422" i="16" s="1"/>
  <c r="J191" i="16"/>
  <c r="K191" i="16" s="1"/>
  <c r="R191" i="16" s="1"/>
  <c r="J490" i="16"/>
  <c r="K490" i="16" s="1"/>
  <c r="R490" i="16" s="1"/>
  <c r="J220" i="16"/>
  <c r="K220" i="16" s="1"/>
  <c r="R220" i="16" s="1"/>
  <c r="J287" i="16"/>
  <c r="K287" i="16" s="1"/>
  <c r="R287" i="16" s="1"/>
  <c r="J626" i="16"/>
  <c r="K626" i="16" s="1"/>
  <c r="R626" i="16" s="1"/>
  <c r="J597" i="16"/>
  <c r="K597" i="16" s="1"/>
  <c r="R597" i="16" s="1"/>
  <c r="J159" i="16"/>
  <c r="K159" i="16" s="1"/>
  <c r="R159" i="16" s="1"/>
  <c r="J103" i="16"/>
  <c r="K103" i="16" s="1"/>
  <c r="R103" i="16" s="1"/>
  <c r="J37" i="16"/>
  <c r="K37" i="16" s="1"/>
  <c r="R37" i="16" s="1"/>
  <c r="J690" i="16"/>
  <c r="K690" i="16" s="1"/>
  <c r="R690" i="16" s="1"/>
  <c r="J82" i="16"/>
  <c r="K82" i="16" s="1"/>
  <c r="R82" i="16" s="1"/>
  <c r="J30" i="16"/>
  <c r="K30" i="16" s="1"/>
  <c r="R30" i="16" s="1"/>
  <c r="J359" i="16"/>
  <c r="K359" i="16" s="1"/>
  <c r="R359" i="16" s="1"/>
  <c r="J199" i="16"/>
  <c r="K199" i="16" s="1"/>
  <c r="R199" i="16" s="1"/>
  <c r="J69" i="16"/>
  <c r="K69" i="16" s="1"/>
  <c r="R69" i="16" s="1"/>
  <c r="J85" i="16"/>
  <c r="K85" i="16" s="1"/>
  <c r="R85" i="16" s="1"/>
  <c r="J13" i="16"/>
  <c r="K13" i="16" s="1"/>
  <c r="R13" i="16" s="1"/>
  <c r="J106" i="16"/>
  <c r="K106" i="16" s="1"/>
  <c r="R106" i="16" s="1"/>
  <c r="J522" i="16"/>
  <c r="K522" i="16" s="1"/>
  <c r="R522" i="16" s="1"/>
  <c r="J722" i="16"/>
  <c r="K722" i="16" s="1"/>
  <c r="R722" i="16" s="1"/>
  <c r="J314" i="16"/>
  <c r="K314" i="16" s="1"/>
  <c r="R314" i="16" s="1"/>
  <c r="J251" i="16"/>
  <c r="K251" i="16" s="1"/>
  <c r="R251" i="16" s="1"/>
  <c r="J66" i="16"/>
  <c r="K66" i="16" s="1"/>
  <c r="R66" i="16" s="1"/>
  <c r="J247" i="16"/>
  <c r="K247" i="16" s="1"/>
  <c r="R247" i="16" s="1"/>
  <c r="J702" i="16"/>
  <c r="K702" i="16" s="1"/>
  <c r="R702" i="16" s="1"/>
  <c r="J295" i="16"/>
  <c r="K295" i="16" s="1"/>
  <c r="R295" i="16" s="1"/>
  <c r="J310" i="16"/>
  <c r="K310" i="16" s="1"/>
  <c r="R310" i="16" s="1"/>
  <c r="J648" i="16"/>
  <c r="K648" i="16" s="1"/>
  <c r="R648" i="16" s="1"/>
  <c r="J613" i="16"/>
  <c r="K613" i="16" s="1"/>
  <c r="R613" i="16" s="1"/>
  <c r="J660" i="16"/>
  <c r="K660" i="16" s="1"/>
  <c r="R660" i="16" s="1"/>
  <c r="J433" i="16"/>
  <c r="K433" i="16" s="1"/>
  <c r="R433" i="16" s="1"/>
  <c r="J171" i="16"/>
  <c r="K171" i="16" s="1"/>
  <c r="R171" i="16" s="1"/>
  <c r="J340" i="16"/>
  <c r="K340" i="16" s="1"/>
  <c r="R340" i="16" s="1"/>
  <c r="J379" i="16"/>
  <c r="K379" i="16" s="1"/>
  <c r="R379" i="16" s="1"/>
  <c r="J94" i="16"/>
  <c r="K94" i="16" s="1"/>
  <c r="R94" i="16" s="1"/>
  <c r="J337" i="16"/>
  <c r="K337" i="16" s="1"/>
  <c r="R337" i="16" s="1"/>
  <c r="J382" i="16"/>
  <c r="K382" i="16" s="1"/>
  <c r="R382" i="16" s="1"/>
  <c r="J225" i="16"/>
  <c r="K225" i="16" s="1"/>
  <c r="R225" i="16" s="1"/>
  <c r="J71" i="16"/>
  <c r="K71" i="16" s="1"/>
  <c r="R71" i="16" s="1"/>
  <c r="J617" i="16"/>
  <c r="K617" i="16" s="1"/>
  <c r="R617" i="16" s="1"/>
  <c r="J735" i="16"/>
  <c r="K735" i="16" s="1"/>
  <c r="R735" i="16" s="1"/>
  <c r="J580" i="16"/>
  <c r="K580" i="16" s="1"/>
  <c r="R580" i="16" s="1"/>
  <c r="J45" i="16"/>
  <c r="K45" i="16" s="1"/>
  <c r="R45" i="16" s="1"/>
  <c r="J335" i="16"/>
  <c r="K335" i="16" s="1"/>
  <c r="R335" i="16" s="1"/>
  <c r="J527" i="16"/>
  <c r="K527" i="16" s="1"/>
  <c r="R527" i="16" s="1"/>
  <c r="J221" i="16"/>
  <c r="K221" i="16" s="1"/>
  <c r="R221" i="16" s="1"/>
  <c r="J112" i="16"/>
  <c r="K112" i="16" s="1"/>
  <c r="R112" i="16" s="1"/>
  <c r="J378" i="16"/>
  <c r="K378" i="16" s="1"/>
  <c r="R378" i="16" s="1"/>
  <c r="J716" i="16"/>
  <c r="K716" i="16" s="1"/>
  <c r="R716" i="16" s="1"/>
  <c r="J244" i="16"/>
  <c r="K244" i="16" s="1"/>
  <c r="R244" i="16" s="1"/>
  <c r="J322" i="16"/>
  <c r="K322" i="16" s="1"/>
  <c r="R322" i="16" s="1"/>
  <c r="J674" i="16"/>
  <c r="K674" i="16" s="1"/>
  <c r="R674" i="16" s="1"/>
  <c r="J224" i="16"/>
  <c r="K224" i="16" s="1"/>
  <c r="R224" i="16" s="1"/>
  <c r="J283" i="16"/>
  <c r="K283" i="16" s="1"/>
  <c r="R283" i="16" s="1"/>
  <c r="J170" i="16"/>
  <c r="K170" i="16" s="1"/>
  <c r="R170" i="16" s="1"/>
  <c r="J318" i="16"/>
  <c r="K318" i="16" s="1"/>
  <c r="R318" i="16" s="1"/>
  <c r="J193" i="16"/>
  <c r="K193" i="16" s="1"/>
  <c r="R193" i="16" s="1"/>
  <c r="J168" i="16"/>
  <c r="K168" i="16" s="1"/>
  <c r="R168" i="16" s="1"/>
  <c r="J564" i="16"/>
  <c r="K564" i="16" s="1"/>
  <c r="R564" i="16" s="1"/>
  <c r="J237" i="16"/>
  <c r="K237" i="16" s="1"/>
  <c r="R237" i="16" s="1"/>
  <c r="J418" i="16"/>
  <c r="K418" i="16" s="1"/>
  <c r="R418" i="16" s="1"/>
  <c r="J79" i="16"/>
  <c r="K79" i="16" s="1"/>
  <c r="R79" i="16" s="1"/>
  <c r="J384" i="16"/>
  <c r="K384" i="16" s="1"/>
  <c r="R384" i="16" s="1"/>
  <c r="J577" i="16"/>
  <c r="K577" i="16" s="1"/>
  <c r="R577" i="16" s="1"/>
  <c r="J117" i="16"/>
  <c r="K117" i="16" s="1"/>
  <c r="R117" i="16" s="1"/>
  <c r="J319" i="16"/>
  <c r="K319" i="16" s="1"/>
  <c r="R319" i="16" s="1"/>
  <c r="J80" i="16"/>
  <c r="K80" i="16" s="1"/>
  <c r="R80" i="16" s="1"/>
  <c r="J705" i="16"/>
  <c r="K705" i="16" s="1"/>
  <c r="R705" i="16" s="1"/>
  <c r="J107" i="16"/>
  <c r="K107" i="16" s="1"/>
  <c r="R107" i="16" s="1"/>
  <c r="J485" i="16"/>
  <c r="K485" i="16" s="1"/>
  <c r="R485" i="16" s="1"/>
  <c r="J571" i="16"/>
  <c r="K571" i="16" s="1"/>
  <c r="R571" i="16" s="1"/>
  <c r="J116" i="16"/>
  <c r="K116" i="16" s="1"/>
  <c r="R116" i="16" s="1"/>
  <c r="J334" i="16"/>
  <c r="K334" i="16" s="1"/>
  <c r="R334" i="16" s="1"/>
  <c r="J63" i="16"/>
  <c r="K63" i="16" s="1"/>
  <c r="R63" i="16" s="1"/>
  <c r="E7" i="16" l="1"/>
  <c r="L7" i="16" s="1"/>
  <c r="N7" i="16" s="1"/>
  <c r="M8" i="16" s="1"/>
  <c r="P7" i="16"/>
  <c r="Q7" i="16" s="1"/>
  <c r="S7" i="16" s="1"/>
  <c r="R7" i="16"/>
  <c r="U7" i="16" l="1"/>
  <c r="AC7" i="16" s="1"/>
  <c r="AD7" i="16" s="1"/>
  <c r="AE7" i="16" s="1"/>
  <c r="O7" i="16"/>
  <c r="W7" i="16" l="1"/>
  <c r="AA7" i="16" s="1"/>
  <c r="AK7" i="16" s="1"/>
  <c r="P8" i="16"/>
  <c r="E8" i="16"/>
  <c r="Y7" i="16" l="1"/>
  <c r="AB7" i="16" s="1"/>
  <c r="L8" i="16"/>
  <c r="Q8" i="16"/>
  <c r="S8" i="16" s="1"/>
  <c r="Z7" i="16" l="1"/>
  <c r="U8" i="16" s="1"/>
  <c r="AC8" i="16" s="1"/>
  <c r="AF7" i="16"/>
  <c r="AG7" i="16" s="1"/>
  <c r="AL7" i="16" s="1"/>
  <c r="N8" i="16"/>
  <c r="M9" i="16" s="1"/>
  <c r="W8" i="16" l="1"/>
  <c r="Y8" i="16" s="1"/>
  <c r="AB8" i="16" s="1"/>
  <c r="AM7" i="16"/>
  <c r="AN7" i="16" s="1"/>
  <c r="AY7" i="16"/>
  <c r="O8" i="16"/>
  <c r="E9" i="16"/>
  <c r="P9" i="16"/>
  <c r="AD8" i="16"/>
  <c r="AH7" i="16"/>
  <c r="AS7" i="16" s="1"/>
  <c r="AU7" i="16" s="1"/>
  <c r="AV7" i="16" s="1"/>
  <c r="AA8" i="16" l="1"/>
  <c r="AK8" i="16" s="1"/>
  <c r="Z8" i="16"/>
  <c r="L9" i="16"/>
  <c r="Q9" i="16"/>
  <c r="S9" i="16" s="1"/>
  <c r="AE8" i="16"/>
  <c r="U9" i="16" l="1"/>
  <c r="AC9" i="16" s="1"/>
  <c r="AT7" i="16"/>
  <c r="N9" i="16"/>
  <c r="AF8" i="16"/>
  <c r="AG8" i="16" s="1"/>
  <c r="AL8" i="16" s="1"/>
  <c r="AY8" i="16" s="1"/>
  <c r="W9" i="16" l="1"/>
  <c r="Y9" i="16" s="1"/>
  <c r="AB9" i="16" s="1"/>
  <c r="AW7" i="16"/>
  <c r="AX7" i="16" s="1"/>
  <c r="AZ7" i="16" s="1"/>
  <c r="O9" i="16"/>
  <c r="M10" i="16"/>
  <c r="P10" i="16" s="1"/>
  <c r="Q10" i="16" s="1"/>
  <c r="S10" i="16" s="1"/>
  <c r="AO7" i="16"/>
  <c r="AP7" i="16" s="1"/>
  <c r="AH8" i="16"/>
  <c r="AS8" i="16" s="1"/>
  <c r="AA9" i="16" l="1"/>
  <c r="AK9" i="16" s="1"/>
  <c r="Z9" i="16"/>
  <c r="U10" i="16" s="1"/>
  <c r="E10" i="16"/>
  <c r="L10" i="16" s="1"/>
  <c r="N10" i="16" s="1"/>
  <c r="M11" i="16" s="1"/>
  <c r="BC7" i="16"/>
  <c r="BD7" i="16" s="1"/>
  <c r="BJ7" i="16" s="1"/>
  <c r="AM8" i="16"/>
  <c r="AN8" i="16" s="1"/>
  <c r="AR7" i="16"/>
  <c r="AT8" i="16"/>
  <c r="AU8" i="16"/>
  <c r="AD9" i="16"/>
  <c r="AQ7" i="16"/>
  <c r="BE7" i="16" l="1"/>
  <c r="BF7" i="16" s="1"/>
  <c r="BH7" i="16"/>
  <c r="AC10" i="16"/>
  <c r="W10" i="16"/>
  <c r="AA10" i="16" s="1"/>
  <c r="AK10" i="16" s="1"/>
  <c r="O10" i="16"/>
  <c r="P11" i="16"/>
  <c r="Q11" i="16" s="1"/>
  <c r="S11" i="16" s="1"/>
  <c r="BK7" i="16"/>
  <c r="BL7" i="16" s="1"/>
  <c r="AW8" i="16"/>
  <c r="AX8" i="16" s="1"/>
  <c r="AZ8" i="16" s="1"/>
  <c r="AE9" i="16"/>
  <c r="AF9" i="16" s="1"/>
  <c r="AG9" i="16" s="1"/>
  <c r="AL9" i="16" s="1"/>
  <c r="AY9" i="16" s="1"/>
  <c r="AO8" i="16"/>
  <c r="AV8" i="16"/>
  <c r="BI7" i="16" l="1"/>
  <c r="BO7" i="16" s="1"/>
  <c r="BP7" i="16" s="1"/>
  <c r="BG7" i="16"/>
  <c r="Y10" i="16"/>
  <c r="AB10" i="16" s="1"/>
  <c r="BM7" i="16"/>
  <c r="E11" i="16"/>
  <c r="L11" i="16" s="1"/>
  <c r="N11" i="16" s="1"/>
  <c r="M12" i="16" s="1"/>
  <c r="AH9" i="16"/>
  <c r="AS9" i="16" s="1"/>
  <c r="AD10" i="16"/>
  <c r="AP8" i="16"/>
  <c r="BN7" i="16" l="1"/>
  <c r="AD206" i="15" s="1"/>
  <c r="Z10" i="16"/>
  <c r="U11" i="16" s="1"/>
  <c r="AC11" i="16" s="1"/>
  <c r="BC8" i="16"/>
  <c r="BD8" i="16" s="1"/>
  <c r="E12" i="16"/>
  <c r="O11" i="16"/>
  <c r="AQ8" i="16"/>
  <c r="AJ39" i="15"/>
  <c r="AT9" i="16"/>
  <c r="AU9" i="16"/>
  <c r="AM9" i="16"/>
  <c r="AN9" i="16" s="1"/>
  <c r="AR8" i="16"/>
  <c r="AE10" i="16"/>
  <c r="BQ7" i="16" l="1"/>
  <c r="BH8" i="16"/>
  <c r="BE8" i="16"/>
  <c r="BF8" i="16" s="1"/>
  <c r="BI8" i="16" s="1"/>
  <c r="W11" i="16"/>
  <c r="AA11" i="16" s="1"/>
  <c r="AK11" i="16" s="1"/>
  <c r="L12" i="16"/>
  <c r="P12" i="16"/>
  <c r="BJ8" i="16"/>
  <c r="BK8" i="16"/>
  <c r="BL8" i="16" s="1"/>
  <c r="BM8" i="16" s="1"/>
  <c r="AW9" i="16"/>
  <c r="AX9" i="16" s="1"/>
  <c r="AZ9" i="16" s="1"/>
  <c r="AF10" i="16"/>
  <c r="AG10" i="16" s="1"/>
  <c r="AL10" i="16" s="1"/>
  <c r="AY10" i="16" s="1"/>
  <c r="AV9" i="16"/>
  <c r="Y11" i="16" l="1"/>
  <c r="AB11" i="16" s="1"/>
  <c r="N12" i="16"/>
  <c r="O12" i="16" s="1"/>
  <c r="Q12" i="16"/>
  <c r="S12" i="16" s="1"/>
  <c r="BO8" i="16"/>
  <c r="BP8" i="16" s="1"/>
  <c r="AJ134" i="15" s="1"/>
  <c r="BN8" i="16"/>
  <c r="AD239" i="15" s="1"/>
  <c r="BG8" i="16"/>
  <c r="AM10" i="16"/>
  <c r="AN10" i="16" s="1"/>
  <c r="AH10" i="16"/>
  <c r="AS10" i="16" s="1"/>
  <c r="AO9" i="16"/>
  <c r="AD11" i="16"/>
  <c r="Z11" i="16" l="1"/>
  <c r="U12" i="16" s="1"/>
  <c r="AC12" i="16" s="1"/>
  <c r="BC9" i="16"/>
  <c r="BH9" i="16" s="1"/>
  <c r="M13" i="16"/>
  <c r="E13" i="16" s="1"/>
  <c r="L13" i="16" s="1"/>
  <c r="BQ8" i="16"/>
  <c r="AT10" i="16"/>
  <c r="AU10" i="16"/>
  <c r="AP9" i="16"/>
  <c r="AE11" i="16"/>
  <c r="W12" i="16" l="1"/>
  <c r="AA12" i="16" s="1"/>
  <c r="AK12" i="16" s="1"/>
  <c r="BD9" i="16"/>
  <c r="BE9" i="16" s="1"/>
  <c r="BF9" i="16" s="1"/>
  <c r="BI9" i="16" s="1"/>
  <c r="P13" i="16"/>
  <c r="Q13" i="16" s="1"/>
  <c r="S13" i="16" s="1"/>
  <c r="N13" i="16"/>
  <c r="M14" i="16" s="1"/>
  <c r="AQ9" i="16"/>
  <c r="AW10" i="16"/>
  <c r="AF11" i="16"/>
  <c r="AG11" i="16" s="1"/>
  <c r="AL11" i="16" s="1"/>
  <c r="AY11" i="16" s="1"/>
  <c r="AO10" i="16"/>
  <c r="AV10" i="16"/>
  <c r="AR9" i="16"/>
  <c r="BK9" i="16" l="1"/>
  <c r="BL9" i="16" s="1"/>
  <c r="BM9" i="16" s="1"/>
  <c r="BJ9" i="16"/>
  <c r="Y12" i="16"/>
  <c r="AB12" i="16" s="1"/>
  <c r="O13" i="16"/>
  <c r="BG9" i="16"/>
  <c r="AX10" i="16"/>
  <c r="AZ10" i="16" s="1"/>
  <c r="AP10" i="16"/>
  <c r="AH11" i="16"/>
  <c r="AS11" i="16" s="1"/>
  <c r="Z12" i="16" l="1"/>
  <c r="U13" i="16" s="1"/>
  <c r="AC13" i="16" s="1"/>
  <c r="BC10" i="16"/>
  <c r="E14" i="16"/>
  <c r="L14" i="16" s="1"/>
  <c r="P14" i="16"/>
  <c r="AQ10" i="16"/>
  <c r="BO9" i="16"/>
  <c r="BP9" i="16" s="1"/>
  <c r="AJ52" i="15" s="1"/>
  <c r="BN9" i="16"/>
  <c r="AD167" i="15" s="1"/>
  <c r="AM11" i="16"/>
  <c r="AN11" i="16" s="1"/>
  <c r="AD12" i="16"/>
  <c r="AE12" i="16" s="1"/>
  <c r="AT11" i="16"/>
  <c r="AU11" i="16"/>
  <c r="AR10" i="16"/>
  <c r="W13" i="16" l="1"/>
  <c r="AA13" i="16" s="1"/>
  <c r="AK13" i="16" s="1"/>
  <c r="BD10" i="16"/>
  <c r="Q14" i="16"/>
  <c r="S14" i="16" s="1"/>
  <c r="N14" i="16"/>
  <c r="M15" i="16" s="1"/>
  <c r="BQ9" i="16"/>
  <c r="AO11" i="16"/>
  <c r="AP11" i="16" s="1"/>
  <c r="AW11" i="16"/>
  <c r="AX11" i="16" s="1"/>
  <c r="AZ11" i="16" s="1"/>
  <c r="BH10" i="16"/>
  <c r="AD13" i="16"/>
  <c r="AF12" i="16"/>
  <c r="AG12" i="16" s="1"/>
  <c r="AL12" i="16" s="1"/>
  <c r="AY12" i="16" s="1"/>
  <c r="AV11" i="16"/>
  <c r="Y13" i="16" l="1"/>
  <c r="AB13" i="16" s="1"/>
  <c r="BE10" i="16"/>
  <c r="BF10" i="16" s="1"/>
  <c r="BI10" i="16" s="1"/>
  <c r="O14" i="16"/>
  <c r="AR11" i="16"/>
  <c r="BJ10" i="16"/>
  <c r="BK10" i="16"/>
  <c r="BL10" i="16" s="1"/>
  <c r="BM10" i="16" s="1"/>
  <c r="AQ11" i="16"/>
  <c r="AH12" i="16"/>
  <c r="AS12" i="16" s="1"/>
  <c r="AE13" i="16"/>
  <c r="Z13" i="16" l="1"/>
  <c r="U14" i="16" s="1"/>
  <c r="AC14" i="16" s="1"/>
  <c r="E15" i="16"/>
  <c r="L15" i="16" s="1"/>
  <c r="P15" i="16"/>
  <c r="BG10" i="16"/>
  <c r="AM12" i="16"/>
  <c r="AN12" i="16" s="1"/>
  <c r="AT12" i="16"/>
  <c r="AU12" i="16"/>
  <c r="AV12" i="16" s="1"/>
  <c r="W14" i="16" l="1"/>
  <c r="AA14" i="16" s="1"/>
  <c r="AK14" i="16" s="1"/>
  <c r="BC11" i="16"/>
  <c r="Q15" i="16"/>
  <c r="S15" i="16" s="1"/>
  <c r="N15" i="16"/>
  <c r="M16" i="16" s="1"/>
  <c r="AO12" i="16"/>
  <c r="AP12" i="16" s="1"/>
  <c r="BO10" i="16"/>
  <c r="BP10" i="16" s="1"/>
  <c r="AJ135" i="15" s="1"/>
  <c r="BN10" i="16"/>
  <c r="AD175" i="15" s="1"/>
  <c r="AW12" i="16"/>
  <c r="AX12" i="16" s="1"/>
  <c r="AZ12" i="16" s="1"/>
  <c r="AF13" i="16"/>
  <c r="AD14" i="16"/>
  <c r="AG13" i="16" l="1"/>
  <c r="AL13" i="16" s="1"/>
  <c r="AY13" i="16" s="1"/>
  <c r="Y14" i="16"/>
  <c r="AB14" i="16" s="1"/>
  <c r="BH11" i="16"/>
  <c r="BD11" i="16"/>
  <c r="BE11" i="16" s="1"/>
  <c r="O15" i="16"/>
  <c r="E16" i="16"/>
  <c r="L16" i="16" s="1"/>
  <c r="AQ12" i="16"/>
  <c r="BQ10" i="16"/>
  <c r="AR12" i="16"/>
  <c r="AE14" i="16"/>
  <c r="AH13" i="16" l="1"/>
  <c r="AS13" i="16" s="1"/>
  <c r="Z14" i="16"/>
  <c r="U15" i="16" s="1"/>
  <c r="AC15" i="16" s="1"/>
  <c r="BF11" i="16"/>
  <c r="BI11" i="16" s="1"/>
  <c r="BO11" i="16" s="1"/>
  <c r="BP11" i="16" s="1"/>
  <c r="AJ74" i="15" s="1"/>
  <c r="BJ11" i="16"/>
  <c r="BK11" i="16"/>
  <c r="BL11" i="16" s="1"/>
  <c r="BM11" i="16" s="1"/>
  <c r="N16" i="16"/>
  <c r="M17" i="16" s="1"/>
  <c r="P16" i="16"/>
  <c r="AM13" i="16"/>
  <c r="AN13" i="16" s="1"/>
  <c r="AF14" i="16"/>
  <c r="AG14" i="16" s="1"/>
  <c r="AL14" i="16" s="1"/>
  <c r="AY14" i="16" s="1"/>
  <c r="AT13" i="16" l="1"/>
  <c r="AW13" i="16" s="1"/>
  <c r="AX13" i="16" s="1"/>
  <c r="AZ13" i="16" s="1"/>
  <c r="AU13" i="16"/>
  <c r="AV13" i="16" s="1"/>
  <c r="BG11" i="16"/>
  <c r="BC12" i="16" s="1"/>
  <c r="BD12" i="16" s="1"/>
  <c r="W15" i="16"/>
  <c r="AA15" i="16" s="1"/>
  <c r="AK15" i="16" s="1"/>
  <c r="BN11" i="16"/>
  <c r="AD156" i="15" s="1"/>
  <c r="Q16" i="16"/>
  <c r="S16" i="16" s="1"/>
  <c r="O16" i="16"/>
  <c r="AO13" i="16"/>
  <c r="AP13" i="16" s="1"/>
  <c r="AQ13" i="16" s="1"/>
  <c r="AH14" i="16"/>
  <c r="AS14" i="16" s="1"/>
  <c r="AD15" i="16"/>
  <c r="BQ11" i="16" l="1"/>
  <c r="Y15" i="16"/>
  <c r="BE12" i="16"/>
  <c r="BF12" i="16" s="1"/>
  <c r="BI12" i="16" s="1"/>
  <c r="BH12" i="16"/>
  <c r="E17" i="16"/>
  <c r="L17" i="16" s="1"/>
  <c r="P17" i="16"/>
  <c r="AR13" i="16"/>
  <c r="AT14" i="16"/>
  <c r="AU14" i="16"/>
  <c r="AE15" i="16"/>
  <c r="AM14" i="16"/>
  <c r="AN14" i="16" s="1"/>
  <c r="AB15" i="16" l="1"/>
  <c r="Z15" i="16"/>
  <c r="U16" i="16" s="1"/>
  <c r="AC16" i="16" s="1"/>
  <c r="Q17" i="16"/>
  <c r="S17" i="16" s="1"/>
  <c r="N17" i="16"/>
  <c r="M18" i="16" s="1"/>
  <c r="BJ12" i="16"/>
  <c r="BK12" i="16"/>
  <c r="BL12" i="16" s="1"/>
  <c r="BM12" i="16" s="1"/>
  <c r="AW14" i="16"/>
  <c r="AX14" i="16" s="1"/>
  <c r="AZ14" i="16" s="1"/>
  <c r="AV14" i="16"/>
  <c r="W16" i="16" l="1"/>
  <c r="AA16" i="16" s="1"/>
  <c r="AK16" i="16" s="1"/>
  <c r="O17" i="16"/>
  <c r="AO14" i="16"/>
  <c r="AP14" i="16" s="1"/>
  <c r="BG12" i="16"/>
  <c r="AF15" i="16"/>
  <c r="AG15" i="16" s="1"/>
  <c r="AL15" i="16" s="1"/>
  <c r="AY15" i="16" s="1"/>
  <c r="Y16" i="16" l="1"/>
  <c r="AB16" i="16" s="1"/>
  <c r="BC13" i="16"/>
  <c r="E18" i="16"/>
  <c r="L18" i="16" s="1"/>
  <c r="P18" i="16"/>
  <c r="BO12" i="16"/>
  <c r="BP12" i="16" s="1"/>
  <c r="AJ50" i="15" s="1"/>
  <c r="BN12" i="16"/>
  <c r="AD123" i="15" s="1"/>
  <c r="AR14" i="16"/>
  <c r="AD16" i="16"/>
  <c r="AH15" i="16"/>
  <c r="AS15" i="16" s="1"/>
  <c r="AQ14" i="16"/>
  <c r="Z16" i="16" l="1"/>
  <c r="U17" i="16" s="1"/>
  <c r="AC17" i="16" s="1"/>
  <c r="BD13" i="16"/>
  <c r="BH13" i="16"/>
  <c r="Q18" i="16"/>
  <c r="S18" i="16" s="1"/>
  <c r="N18" i="16"/>
  <c r="M19" i="16" s="1"/>
  <c r="BQ12" i="16"/>
  <c r="AM15" i="16"/>
  <c r="AN15" i="16" s="1"/>
  <c r="AT15" i="16"/>
  <c r="AU15" i="16"/>
  <c r="AE16" i="16"/>
  <c r="W17" i="16" l="1"/>
  <c r="AA17" i="16" s="1"/>
  <c r="AK17" i="16" s="1"/>
  <c r="BE13" i="16"/>
  <c r="BF13" i="16" s="1"/>
  <c r="BI13" i="16" s="1"/>
  <c r="O18" i="16"/>
  <c r="AO15" i="16"/>
  <c r="AP15" i="16" s="1"/>
  <c r="BJ13" i="16"/>
  <c r="BK13" i="16"/>
  <c r="BL13" i="16" s="1"/>
  <c r="BM13" i="16" s="1"/>
  <c r="AW15" i="16"/>
  <c r="AV15" i="16"/>
  <c r="AF16" i="16"/>
  <c r="AG16" i="16" s="1"/>
  <c r="AL16" i="16" s="1"/>
  <c r="AY16" i="16" s="1"/>
  <c r="Y17" i="16" l="1"/>
  <c r="AB17" i="16" s="1"/>
  <c r="E19" i="16"/>
  <c r="L19" i="16" s="1"/>
  <c r="P19" i="16"/>
  <c r="BG13" i="16"/>
  <c r="AX15" i="16"/>
  <c r="AZ15" i="16" s="1"/>
  <c r="AH16" i="16"/>
  <c r="AS16" i="16" s="1"/>
  <c r="AQ15" i="16"/>
  <c r="AR15" i="16"/>
  <c r="AD17" i="16"/>
  <c r="Z17" i="16" l="1"/>
  <c r="U18" i="16" s="1"/>
  <c r="AC18" i="16" s="1"/>
  <c r="BC14" i="16"/>
  <c r="Q19" i="16"/>
  <c r="S19" i="16" s="1"/>
  <c r="N19" i="16"/>
  <c r="M20" i="16" s="1"/>
  <c r="BO13" i="16"/>
  <c r="BP13" i="16" s="1"/>
  <c r="AJ136" i="15" s="1"/>
  <c r="BN13" i="16"/>
  <c r="AD147" i="15" s="1"/>
  <c r="AT16" i="16"/>
  <c r="AU16" i="16"/>
  <c r="AE17" i="16"/>
  <c r="AM16" i="16"/>
  <c r="AN16" i="16" s="1"/>
  <c r="W18" i="16" l="1"/>
  <c r="AA18" i="16" s="1"/>
  <c r="AK18" i="16" s="1"/>
  <c r="BD14" i="16"/>
  <c r="O19" i="16"/>
  <c r="BQ13" i="16"/>
  <c r="AW16" i="16"/>
  <c r="AX16" i="16" s="1"/>
  <c r="AZ16" i="16" s="1"/>
  <c r="BH14" i="16"/>
  <c r="AV16" i="16"/>
  <c r="Y18" i="16" l="1"/>
  <c r="AB18" i="16" s="1"/>
  <c r="BE14" i="16"/>
  <c r="BF14" i="16" s="1"/>
  <c r="BI14" i="16" s="1"/>
  <c r="E20" i="16"/>
  <c r="L20" i="16" s="1"/>
  <c r="P20" i="16"/>
  <c r="BJ14" i="16"/>
  <c r="BK14" i="16"/>
  <c r="BL14" i="16" s="1"/>
  <c r="BM14" i="16" s="1"/>
  <c r="AO16" i="16"/>
  <c r="AF17" i="16"/>
  <c r="AG17" i="16" s="1"/>
  <c r="AL17" i="16" s="1"/>
  <c r="AY17" i="16" s="1"/>
  <c r="Z18" i="16" l="1"/>
  <c r="Q20" i="16"/>
  <c r="S20" i="16" s="1"/>
  <c r="N20" i="16"/>
  <c r="M21" i="16" s="1"/>
  <c r="BO14" i="16"/>
  <c r="BP14" i="16" s="1"/>
  <c r="AJ137" i="15" s="1"/>
  <c r="BN14" i="16"/>
  <c r="AD173" i="15" s="1"/>
  <c r="BG14" i="16"/>
  <c r="AD18" i="16"/>
  <c r="AH17" i="16"/>
  <c r="AS17" i="16" s="1"/>
  <c r="AM17" i="16"/>
  <c r="AN17" i="16" s="1"/>
  <c r="AP16" i="16"/>
  <c r="U19" i="16" l="1"/>
  <c r="AC19" i="16" s="1"/>
  <c r="BC15" i="16"/>
  <c r="BH15" i="16" s="1"/>
  <c r="O20" i="16"/>
  <c r="AQ16" i="16"/>
  <c r="BQ14" i="16"/>
  <c r="AT17" i="16"/>
  <c r="AU17" i="16"/>
  <c r="AE18" i="16"/>
  <c r="AR16" i="16"/>
  <c r="W19" i="16" l="1"/>
  <c r="AA19" i="16" s="1"/>
  <c r="AK19" i="16" s="1"/>
  <c r="BD15" i="16"/>
  <c r="BE15" i="16" s="1"/>
  <c r="E21" i="16"/>
  <c r="L21" i="16" s="1"/>
  <c r="P21" i="16"/>
  <c r="AO17" i="16"/>
  <c r="AP17" i="16" s="1"/>
  <c r="AW17" i="16"/>
  <c r="AX17" i="16" s="1"/>
  <c r="AZ17" i="16" s="1"/>
  <c r="AV17" i="16"/>
  <c r="AF18" i="16"/>
  <c r="AG18" i="16" s="1"/>
  <c r="AL18" i="16" s="1"/>
  <c r="AY18" i="16" s="1"/>
  <c r="BK15" i="16" l="1"/>
  <c r="BL15" i="16" s="1"/>
  <c r="BM15" i="16" s="1"/>
  <c r="BJ15" i="16"/>
  <c r="BF15" i="16"/>
  <c r="BI15" i="16" s="1"/>
  <c r="Y19" i="16"/>
  <c r="Q21" i="16"/>
  <c r="S21" i="16" s="1"/>
  <c r="N21" i="16"/>
  <c r="M22" i="16" s="1"/>
  <c r="AR17" i="16"/>
  <c r="AH18" i="16"/>
  <c r="AS18" i="16" s="1"/>
  <c r="AD19" i="16"/>
  <c r="AQ17" i="16"/>
  <c r="BG15" i="16" l="1"/>
  <c r="BC16" i="16" s="1"/>
  <c r="BH16" i="16" s="1"/>
  <c r="AB19" i="16"/>
  <c r="Z19" i="16"/>
  <c r="O21" i="16"/>
  <c r="BO15" i="16"/>
  <c r="BP15" i="16" s="1"/>
  <c r="AJ138" i="15" s="1"/>
  <c r="BN15" i="16"/>
  <c r="AD226" i="15" s="1"/>
  <c r="AM18" i="16"/>
  <c r="AN18" i="16" s="1"/>
  <c r="AT18" i="16"/>
  <c r="AU18" i="16"/>
  <c r="AE19" i="16"/>
  <c r="U20" i="16" l="1"/>
  <c r="AC20" i="16" s="1"/>
  <c r="BD16" i="16"/>
  <c r="E22" i="16"/>
  <c r="L22" i="16" s="1"/>
  <c r="P22" i="16"/>
  <c r="BQ15" i="16"/>
  <c r="AW18" i="16"/>
  <c r="AX18" i="16" s="1"/>
  <c r="AZ18" i="16" s="1"/>
  <c r="AF19" i="16"/>
  <c r="AO18" i="16"/>
  <c r="AV18" i="16"/>
  <c r="AG19" i="16" l="1"/>
  <c r="AL19" i="16" s="1"/>
  <c r="AY19" i="16" s="1"/>
  <c r="W20" i="16"/>
  <c r="AA20" i="16" s="1"/>
  <c r="AK20" i="16" s="1"/>
  <c r="BE16" i="16"/>
  <c r="BF16" i="16" s="1"/>
  <c r="BI16" i="16" s="1"/>
  <c r="Q22" i="16"/>
  <c r="S22" i="16" s="1"/>
  <c r="N22" i="16"/>
  <c r="M23" i="16" s="1"/>
  <c r="BJ16" i="16"/>
  <c r="BK16" i="16"/>
  <c r="BL16" i="16" s="1"/>
  <c r="BM16" i="16" s="1"/>
  <c r="AP18" i="16"/>
  <c r="AD20" i="16"/>
  <c r="AH19" i="16" l="1"/>
  <c r="AS19" i="16" s="1"/>
  <c r="Y20" i="16"/>
  <c r="AB20" i="16" s="1"/>
  <c r="O22" i="16"/>
  <c r="AQ18" i="16"/>
  <c r="BG16" i="16"/>
  <c r="AM19" i="16"/>
  <c r="AN19" i="16" s="1"/>
  <c r="AR18" i="16"/>
  <c r="AE20" i="16"/>
  <c r="AT19" i="16" l="1"/>
  <c r="AW19" i="16" s="1"/>
  <c r="AX19" i="16" s="1"/>
  <c r="AZ19" i="16" s="1"/>
  <c r="AU19" i="16"/>
  <c r="AV19" i="16" s="1"/>
  <c r="Z20" i="16"/>
  <c r="U21" i="16" s="1"/>
  <c r="AC21" i="16" s="1"/>
  <c r="BC17" i="16"/>
  <c r="E23" i="16"/>
  <c r="L23" i="16" s="1"/>
  <c r="P23" i="16"/>
  <c r="AO19" i="16"/>
  <c r="AP19" i="16" s="1"/>
  <c r="AR19" i="16" s="1"/>
  <c r="BO16" i="16"/>
  <c r="BP16" i="16" s="1"/>
  <c r="AJ139" i="15" s="1"/>
  <c r="BN16" i="16"/>
  <c r="AD259" i="15" s="1"/>
  <c r="AF20" i="16"/>
  <c r="AG20" i="16" s="1"/>
  <c r="AL20" i="16" s="1"/>
  <c r="AY20" i="16" s="1"/>
  <c r="W21" i="16" l="1"/>
  <c r="BD17" i="16"/>
  <c r="BE17" i="16" s="1"/>
  <c r="Q23" i="16"/>
  <c r="S23" i="16" s="1"/>
  <c r="N23" i="16"/>
  <c r="M24" i="16" s="1"/>
  <c r="BQ16" i="16"/>
  <c r="AQ19" i="16"/>
  <c r="BH17" i="16"/>
  <c r="AH20" i="16"/>
  <c r="AS20" i="16" s="1"/>
  <c r="AU20" i="16" s="1"/>
  <c r="AM20" i="16"/>
  <c r="AN20" i="16" s="1"/>
  <c r="AD21" i="16"/>
  <c r="AA21" i="16" l="1"/>
  <c r="AK21" i="16" s="1"/>
  <c r="Y21" i="16"/>
  <c r="BF17" i="16"/>
  <c r="BI17" i="16" s="1"/>
  <c r="O23" i="16"/>
  <c r="AO20" i="16"/>
  <c r="AP20" i="16" s="1"/>
  <c r="BJ17" i="16"/>
  <c r="BK17" i="16"/>
  <c r="BL17" i="16" s="1"/>
  <c r="BM17" i="16" s="1"/>
  <c r="AT20" i="16"/>
  <c r="AE21" i="16"/>
  <c r="AV20" i="16"/>
  <c r="AB21" i="16" l="1"/>
  <c r="Z21" i="16"/>
  <c r="E24" i="16"/>
  <c r="L24" i="16" s="1"/>
  <c r="P24" i="16"/>
  <c r="AR20" i="16"/>
  <c r="AW20" i="16"/>
  <c r="AX20" i="16" s="1"/>
  <c r="AZ20" i="16" s="1"/>
  <c r="BG17" i="16"/>
  <c r="AQ20" i="16"/>
  <c r="AF21" i="16" l="1"/>
  <c r="AG21" i="16" s="1"/>
  <c r="AL21" i="16" s="1"/>
  <c r="AY21" i="16" s="1"/>
  <c r="U22" i="16"/>
  <c r="AC22" i="16" s="1"/>
  <c r="AD22" i="16" s="1"/>
  <c r="BC18" i="16"/>
  <c r="Q24" i="16"/>
  <c r="S24" i="16" s="1"/>
  <c r="N24" i="16"/>
  <c r="M25" i="16" s="1"/>
  <c r="BO17" i="16"/>
  <c r="BP17" i="16" s="1"/>
  <c r="AJ140" i="15" s="1"/>
  <c r="BN17" i="16"/>
  <c r="AD261" i="15" s="1"/>
  <c r="AH21" i="16" l="1"/>
  <c r="AS21" i="16" s="1"/>
  <c r="AU21" i="16" s="1"/>
  <c r="W22" i="16"/>
  <c r="BH18" i="16"/>
  <c r="BD18" i="16"/>
  <c r="O24" i="16"/>
  <c r="BQ17" i="16"/>
  <c r="AE22" i="16"/>
  <c r="AM21" i="16"/>
  <c r="AN21" i="16" s="1"/>
  <c r="AT21" i="16" l="1"/>
  <c r="BJ18" i="16"/>
  <c r="BK18" i="16"/>
  <c r="BL18" i="16" s="1"/>
  <c r="BM18" i="16" s="1"/>
  <c r="BE18" i="16"/>
  <c r="BF18" i="16" s="1"/>
  <c r="AA22" i="16"/>
  <c r="AK22" i="16" s="1"/>
  <c r="Y22" i="16"/>
  <c r="E25" i="16"/>
  <c r="L25" i="16" s="1"/>
  <c r="P25" i="16"/>
  <c r="AW21" i="16"/>
  <c r="AX21" i="16" s="1"/>
  <c r="AZ21" i="16" s="1"/>
  <c r="AV21" i="16"/>
  <c r="BG18" i="16" l="1"/>
  <c r="BC19" i="16" s="1"/>
  <c r="BH19" i="16" s="1"/>
  <c r="BI18" i="16"/>
  <c r="AB22" i="16"/>
  <c r="Z22" i="16"/>
  <c r="Q25" i="16"/>
  <c r="S25" i="16" s="1"/>
  <c r="N25" i="16"/>
  <c r="M26" i="16" s="1"/>
  <c r="AO21" i="16"/>
  <c r="AP21" i="16" s="1"/>
  <c r="U23" i="16" l="1"/>
  <c r="AC23" i="16" s="1"/>
  <c r="AD23" i="16" s="1"/>
  <c r="AE23" i="16" s="1"/>
  <c r="AF22" i="16"/>
  <c r="AG22" i="16" s="1"/>
  <c r="AH22" i="16" s="1"/>
  <c r="AS22" i="16" s="1"/>
  <c r="BO18" i="16"/>
  <c r="BP18" i="16" s="1"/>
  <c r="BN18" i="16"/>
  <c r="AD119" i="15" s="1"/>
  <c r="BD19" i="16"/>
  <c r="BJ19" i="16" s="1"/>
  <c r="O25" i="16"/>
  <c r="E26" i="16"/>
  <c r="L26" i="16" s="1"/>
  <c r="AR21" i="16"/>
  <c r="AQ21" i="16"/>
  <c r="AU22" i="16" l="1"/>
  <c r="AV22" i="16" s="1"/>
  <c r="AT22" i="16"/>
  <c r="AW22" i="16" s="1"/>
  <c r="AX22" i="16" s="1"/>
  <c r="AZ22" i="16" s="1"/>
  <c r="AL22" i="16"/>
  <c r="AY22" i="16" s="1"/>
  <c r="BE19" i="16"/>
  <c r="BF19" i="16" s="1"/>
  <c r="BI19" i="16" s="1"/>
  <c r="BO19" i="16" s="1"/>
  <c r="BP19" i="16" s="1"/>
  <c r="AJ141" i="15" s="1"/>
  <c r="BK19" i="16"/>
  <c r="BL19" i="16" s="1"/>
  <c r="BM19" i="16" s="1"/>
  <c r="AJ46" i="15"/>
  <c r="BQ18" i="16"/>
  <c r="W23" i="16"/>
  <c r="AA23" i="16" s="1"/>
  <c r="AK23" i="16" s="1"/>
  <c r="N26" i="16"/>
  <c r="M27" i="16" s="1"/>
  <c r="P26" i="16"/>
  <c r="Q26" i="16" s="1"/>
  <c r="S26" i="16" s="1"/>
  <c r="AM22" i="16" l="1"/>
  <c r="AN22" i="16" s="1"/>
  <c r="AO22" i="16" s="1"/>
  <c r="BG19" i="16"/>
  <c r="BC20" i="16" s="1"/>
  <c r="BH20" i="16" s="1"/>
  <c r="Y23" i="16"/>
  <c r="AB23" i="16" s="1"/>
  <c r="BN19" i="16"/>
  <c r="AD144" i="15" s="1"/>
  <c r="E27" i="16"/>
  <c r="L27" i="16" s="1"/>
  <c r="O26" i="16"/>
  <c r="AF23" i="16" l="1"/>
  <c r="AG23" i="16" s="1"/>
  <c r="AH23" i="16" s="1"/>
  <c r="AS23" i="16" s="1"/>
  <c r="AT23" i="16" s="1"/>
  <c r="BD20" i="16"/>
  <c r="BJ20" i="16" s="1"/>
  <c r="Z23" i="16"/>
  <c r="U24" i="16" s="1"/>
  <c r="AC24" i="16" s="1"/>
  <c r="AD24" i="16" s="1"/>
  <c r="BQ19" i="16"/>
  <c r="AP22" i="16"/>
  <c r="AR22" i="16" s="1"/>
  <c r="N27" i="16"/>
  <c r="M28" i="16" s="1"/>
  <c r="P27" i="16"/>
  <c r="AU23" i="16" l="1"/>
  <c r="AV23" i="16" s="1"/>
  <c r="AL23" i="16"/>
  <c r="AY23" i="16" s="1"/>
  <c r="BE20" i="16"/>
  <c r="BF20" i="16" s="1"/>
  <c r="BI20" i="16" s="1"/>
  <c r="BK20" i="16"/>
  <c r="BL20" i="16" s="1"/>
  <c r="BM20" i="16" s="1"/>
  <c r="AQ22" i="16"/>
  <c r="W24" i="16"/>
  <c r="Y24" i="16" s="1"/>
  <c r="AB24" i="16" s="1"/>
  <c r="Q27" i="16"/>
  <c r="S27" i="16" s="1"/>
  <c r="O27" i="16"/>
  <c r="AW23" i="16"/>
  <c r="AX23" i="16" s="1"/>
  <c r="AZ23" i="16" s="1"/>
  <c r="AE24" i="16"/>
  <c r="BG20" i="16" l="1"/>
  <c r="BC21" i="16" s="1"/>
  <c r="BH21" i="16" s="1"/>
  <c r="AM23" i="16"/>
  <c r="AA24" i="16"/>
  <c r="AK24" i="16" s="1"/>
  <c r="Z24" i="16"/>
  <c r="E28" i="16"/>
  <c r="P28" i="16"/>
  <c r="BO20" i="16"/>
  <c r="BP20" i="16" s="1"/>
  <c r="AJ142" i="15" s="1"/>
  <c r="BN20" i="16"/>
  <c r="AD166" i="15" s="1"/>
  <c r="AF24" i="16"/>
  <c r="AG24" i="16" s="1"/>
  <c r="AL24" i="16" s="1"/>
  <c r="AY24" i="16" s="1"/>
  <c r="AN23" i="16" l="1"/>
  <c r="AO23" i="16" s="1"/>
  <c r="U25" i="16"/>
  <c r="AC25" i="16" s="1"/>
  <c r="AD25" i="16" s="1"/>
  <c r="BD21" i="16"/>
  <c r="BK21" i="16" s="1"/>
  <c r="BL21" i="16" s="1"/>
  <c r="BM21" i="16" s="1"/>
  <c r="L28" i="16"/>
  <c r="N28" i="16" s="1"/>
  <c r="M29" i="16" s="1"/>
  <c r="Q28" i="16"/>
  <c r="S28" i="16" s="1"/>
  <c r="BQ20" i="16"/>
  <c r="AH24" i="16"/>
  <c r="AS24" i="16" s="1"/>
  <c r="AT24" i="16" s="1"/>
  <c r="AM24" i="16"/>
  <c r="AN24" i="16" s="1"/>
  <c r="AP23" i="16" l="1"/>
  <c r="AQ23" i="16" s="1"/>
  <c r="W25" i="16"/>
  <c r="BJ21" i="16"/>
  <c r="BE21" i="16"/>
  <c r="BF21" i="16" s="1"/>
  <c r="O28" i="16"/>
  <c r="E29" i="16"/>
  <c r="L29" i="16" s="1"/>
  <c r="AU24" i="16"/>
  <c r="AV24" i="16" s="1"/>
  <c r="AW24" i="16"/>
  <c r="AX24" i="16" s="1"/>
  <c r="AZ24" i="16" s="1"/>
  <c r="AE25" i="16"/>
  <c r="AO24" i="16"/>
  <c r="AR23" i="16" l="1"/>
  <c r="AA25" i="16"/>
  <c r="AK25" i="16" s="1"/>
  <c r="Y25" i="16"/>
  <c r="BI21" i="16"/>
  <c r="BN21" i="16" s="1"/>
  <c r="AD203" i="15" s="1"/>
  <c r="BG21" i="16"/>
  <c r="N29" i="16"/>
  <c r="P29" i="16"/>
  <c r="AP24" i="16"/>
  <c r="AB25" i="16" l="1"/>
  <c r="Z25" i="16"/>
  <c r="BO21" i="16"/>
  <c r="BP21" i="16" s="1"/>
  <c r="AJ143" i="15" s="1"/>
  <c r="BC22" i="16"/>
  <c r="BD22" i="16" s="1"/>
  <c r="O29" i="16"/>
  <c r="M30" i="16"/>
  <c r="E30" i="16" s="1"/>
  <c r="L30" i="16" s="1"/>
  <c r="Q29" i="16"/>
  <c r="S29" i="16" s="1"/>
  <c r="AR24" i="16"/>
  <c r="AQ24" i="16"/>
  <c r="BQ21" i="16" l="1"/>
  <c r="U26" i="16"/>
  <c r="AC26" i="16" s="1"/>
  <c r="AD26" i="16" s="1"/>
  <c r="AE26" i="16" s="1"/>
  <c r="AF25" i="16"/>
  <c r="AG25" i="16" s="1"/>
  <c r="AH25" i="16" s="1"/>
  <c r="AS25" i="16" s="1"/>
  <c r="AT25" i="16" s="1"/>
  <c r="BK22" i="16"/>
  <c r="BL22" i="16" s="1"/>
  <c r="BM22" i="16" s="1"/>
  <c r="BE22" i="16"/>
  <c r="BF22" i="16" s="1"/>
  <c r="BI22" i="16" s="1"/>
  <c r="BJ22" i="16"/>
  <c r="BH22" i="16"/>
  <c r="P30" i="16"/>
  <c r="Q30" i="16" s="1"/>
  <c r="S30" i="16" s="1"/>
  <c r="N30" i="16"/>
  <c r="M31" i="16" s="1"/>
  <c r="AU25" i="16" l="1"/>
  <c r="AV25" i="16" s="1"/>
  <c r="AL25" i="16"/>
  <c r="W26" i="16"/>
  <c r="AA26" i="16" s="1"/>
  <c r="AK26" i="16" s="1"/>
  <c r="O30" i="16"/>
  <c r="BG22" i="16"/>
  <c r="AW25" i="16"/>
  <c r="AX25" i="16" s="1"/>
  <c r="AZ25" i="16" s="1"/>
  <c r="AY25" i="16" l="1"/>
  <c r="AM25" i="16"/>
  <c r="Y26" i="16"/>
  <c r="AB26" i="16" s="1"/>
  <c r="BC23" i="16"/>
  <c r="BH23" i="16" s="1"/>
  <c r="E31" i="16"/>
  <c r="P31" i="16"/>
  <c r="BO22" i="16"/>
  <c r="BP22" i="16" s="1"/>
  <c r="AJ144" i="15" s="1"/>
  <c r="BN22" i="16"/>
  <c r="AD245" i="15" s="1"/>
  <c r="Z26" i="16" l="1"/>
  <c r="U27" i="16" s="1"/>
  <c r="AC27" i="16" s="1"/>
  <c r="AD27" i="16" s="1"/>
  <c r="AE27" i="16" s="1"/>
  <c r="AF26" i="16"/>
  <c r="AG26" i="16" s="1"/>
  <c r="AH26" i="16" s="1"/>
  <c r="AS26" i="16" s="1"/>
  <c r="AN25" i="16"/>
  <c r="AO25" i="16" s="1"/>
  <c r="BD23" i="16"/>
  <c r="BE23" i="16" s="1"/>
  <c r="BF23" i="16" s="1"/>
  <c r="L31" i="16"/>
  <c r="N31" i="16" s="1"/>
  <c r="M32" i="16" s="1"/>
  <c r="Q31" i="16"/>
  <c r="S31" i="16" s="1"/>
  <c r="BQ22" i="16"/>
  <c r="BK23" i="16" l="1"/>
  <c r="BL23" i="16" s="1"/>
  <c r="BM23" i="16" s="1"/>
  <c r="AP25" i="16"/>
  <c r="AQ25" i="16" s="1"/>
  <c r="BJ23" i="16"/>
  <c r="AU26" i="16"/>
  <c r="AV26" i="16" s="1"/>
  <c r="AT26" i="16"/>
  <c r="AW26" i="16" s="1"/>
  <c r="AX26" i="16" s="1"/>
  <c r="AZ26" i="16" s="1"/>
  <c r="AL26" i="16"/>
  <c r="W27" i="16"/>
  <c r="AA27" i="16" s="1"/>
  <c r="AK27" i="16" s="1"/>
  <c r="BI23" i="16"/>
  <c r="BG23" i="16"/>
  <c r="O31" i="16"/>
  <c r="BN23" i="16" l="1"/>
  <c r="AD168" i="15" s="1"/>
  <c r="AR25" i="16"/>
  <c r="AY26" i="16"/>
  <c r="AM26" i="16"/>
  <c r="AN26" i="16" s="1"/>
  <c r="AO26" i="16" s="1"/>
  <c r="BO23" i="16"/>
  <c r="BP23" i="16" s="1"/>
  <c r="AJ79" i="15" s="1"/>
  <c r="Y27" i="16"/>
  <c r="AB27" i="16" s="1"/>
  <c r="AF27" i="16" s="1"/>
  <c r="BC24" i="16"/>
  <c r="BD24" i="16" s="1"/>
  <c r="E32" i="16"/>
  <c r="L32" i="16" s="1"/>
  <c r="P32" i="16"/>
  <c r="BQ23" i="16" l="1"/>
  <c r="AG27" i="16"/>
  <c r="AH27" i="16" s="1"/>
  <c r="AS27" i="16" s="1"/>
  <c r="AP26" i="16"/>
  <c r="AR26" i="16" s="1"/>
  <c r="Z27" i="16"/>
  <c r="U28" i="16" s="1"/>
  <c r="AC28" i="16" s="1"/>
  <c r="AD28" i="16" s="1"/>
  <c r="AE28" i="16" s="1"/>
  <c r="BH24" i="16"/>
  <c r="BE24" i="16"/>
  <c r="BF24" i="16" s="1"/>
  <c r="BI24" i="16" s="1"/>
  <c r="Q32" i="16"/>
  <c r="S32" i="16" s="1"/>
  <c r="N32" i="16"/>
  <c r="M33" i="16" s="1"/>
  <c r="BJ24" i="16"/>
  <c r="BK24" i="16"/>
  <c r="BL24" i="16" s="1"/>
  <c r="BM24" i="16" s="1"/>
  <c r="AQ26" i="16" l="1"/>
  <c r="AU27" i="16"/>
  <c r="AV27" i="16" s="1"/>
  <c r="AT27" i="16"/>
  <c r="AW27" i="16" s="1"/>
  <c r="AX27" i="16" s="1"/>
  <c r="AZ27" i="16" s="1"/>
  <c r="AL27" i="16"/>
  <c r="AM27" i="16" s="1"/>
  <c r="W28" i="16"/>
  <c r="AA28" i="16" s="1"/>
  <c r="AK28" i="16" s="1"/>
  <c r="E33" i="16"/>
  <c r="O32" i="16"/>
  <c r="BG24" i="16"/>
  <c r="AY27" i="16" l="1"/>
  <c r="AN27" i="16"/>
  <c r="AO27" i="16" s="1"/>
  <c r="Y28" i="16"/>
  <c r="AB28" i="16" s="1"/>
  <c r="BC25" i="16"/>
  <c r="L33" i="16"/>
  <c r="P33" i="16"/>
  <c r="BO24" i="16"/>
  <c r="BP24" i="16" s="1"/>
  <c r="AJ145" i="15" s="1"/>
  <c r="BN24" i="16"/>
  <c r="AD172" i="15" s="1"/>
  <c r="AP27" i="16" l="1"/>
  <c r="AR27" i="16" s="1"/>
  <c r="Z28" i="16"/>
  <c r="U29" i="16" s="1"/>
  <c r="AC29" i="16" s="1"/>
  <c r="AD29" i="16" s="1"/>
  <c r="AE29" i="16" s="1"/>
  <c r="N33" i="16"/>
  <c r="M34" i="16" s="1"/>
  <c r="AF28" i="16"/>
  <c r="AG28" i="16" s="1"/>
  <c r="AH28" i="16" s="1"/>
  <c r="AS28" i="16" s="1"/>
  <c r="BD25" i="16"/>
  <c r="BK25" i="16" s="1"/>
  <c r="BL25" i="16" s="1"/>
  <c r="BM25" i="16" s="1"/>
  <c r="BH25" i="16"/>
  <c r="Q33" i="16"/>
  <c r="S33" i="16" s="1"/>
  <c r="BQ24" i="16"/>
  <c r="AL28" i="16" l="1"/>
  <c r="AY28" i="16" s="1"/>
  <c r="AT28" i="16"/>
  <c r="AW28" i="16" s="1"/>
  <c r="AX28" i="16" s="1"/>
  <c r="AZ28" i="16" s="1"/>
  <c r="AU28" i="16"/>
  <c r="AV28" i="16" s="1"/>
  <c r="AQ27" i="16"/>
  <c r="BE25" i="16"/>
  <c r="BF25" i="16" s="1"/>
  <c r="BG25" i="16" s="1"/>
  <c r="W29" i="16"/>
  <c r="AA29" i="16" s="1"/>
  <c r="AK29" i="16" s="1"/>
  <c r="P34" i="16"/>
  <c r="Q34" i="16" s="1"/>
  <c r="S34" i="16" s="1"/>
  <c r="O33" i="16"/>
  <c r="BJ25" i="16"/>
  <c r="E34" i="16"/>
  <c r="L34" i="16" s="1"/>
  <c r="AM28" i="16" l="1"/>
  <c r="AN28" i="16" s="1"/>
  <c r="AO28" i="16" s="1"/>
  <c r="Y29" i="16"/>
  <c r="AB29" i="16" s="1"/>
  <c r="AF29" i="16" s="1"/>
  <c r="AG29" i="16" s="1"/>
  <c r="AH29" i="16" s="1"/>
  <c r="AS29" i="16" s="1"/>
  <c r="BI25" i="16"/>
  <c r="BO25" i="16" s="1"/>
  <c r="BP25" i="16" s="1"/>
  <c r="AJ85" i="15" s="1"/>
  <c r="BC26" i="16"/>
  <c r="N34" i="16"/>
  <c r="M35" i="16" s="1"/>
  <c r="AT29" i="16" l="1"/>
  <c r="AW29" i="16" s="1"/>
  <c r="AX29" i="16" s="1"/>
  <c r="AZ29" i="16" s="1"/>
  <c r="AU29" i="16"/>
  <c r="AV29" i="16" s="1"/>
  <c r="AL29" i="16"/>
  <c r="AY29" i="16" s="1"/>
  <c r="Z29" i="16"/>
  <c r="U30" i="16" s="1"/>
  <c r="AC30" i="16" s="1"/>
  <c r="AD30" i="16" s="1"/>
  <c r="AE30" i="16" s="1"/>
  <c r="BN25" i="16"/>
  <c r="AD137" i="15" s="1"/>
  <c r="AP28" i="16"/>
  <c r="AQ28" i="16" s="1"/>
  <c r="BH26" i="16"/>
  <c r="BD26" i="16"/>
  <c r="O34" i="16"/>
  <c r="AM29" i="16" l="1"/>
  <c r="AN29" i="16" s="1"/>
  <c r="BQ25" i="16"/>
  <c r="W30" i="16"/>
  <c r="AA30" i="16" s="1"/>
  <c r="AK30" i="16" s="1"/>
  <c r="AR28" i="16"/>
  <c r="BJ26" i="16"/>
  <c r="BE26" i="16"/>
  <c r="BF26" i="16" s="1"/>
  <c r="BK26" i="16"/>
  <c r="BL26" i="16" s="1"/>
  <c r="BM26" i="16" s="1"/>
  <c r="E35" i="16"/>
  <c r="L35" i="16" s="1"/>
  <c r="P35" i="16"/>
  <c r="Y30" i="16" l="1"/>
  <c r="AB30" i="16" s="1"/>
  <c r="AF30" i="16" s="1"/>
  <c r="AO29" i="16"/>
  <c r="BI26" i="16"/>
  <c r="BO26" i="16" s="1"/>
  <c r="BP26" i="16" s="1"/>
  <c r="AJ108" i="15" s="1"/>
  <c r="BG26" i="16"/>
  <c r="Q35" i="16"/>
  <c r="S35" i="16" s="1"/>
  <c r="N35" i="16"/>
  <c r="M36" i="16" s="1"/>
  <c r="Z30" i="16" l="1"/>
  <c r="U31" i="16" s="1"/>
  <c r="AC31" i="16" s="1"/>
  <c r="AD31" i="16" s="1"/>
  <c r="AE31" i="16" s="1"/>
  <c r="BN26" i="16"/>
  <c r="AD125" i="15" s="1"/>
  <c r="AG30" i="16"/>
  <c r="AL30" i="16" s="1"/>
  <c r="AY30" i="16" s="1"/>
  <c r="AP29" i="16"/>
  <c r="AR29" i="16" s="1"/>
  <c r="BC27" i="16"/>
  <c r="BH27" i="16" s="1"/>
  <c r="O35" i="16"/>
  <c r="BQ26" i="16" l="1"/>
  <c r="AM30" i="16"/>
  <c r="AN30" i="16" s="1"/>
  <c r="AO30" i="16" s="1"/>
  <c r="AP30" i="16" s="1"/>
  <c r="AH30" i="16"/>
  <c r="AS30" i="16" s="1"/>
  <c r="AQ29" i="16"/>
  <c r="BD27" i="16"/>
  <c r="BJ27" i="16" s="1"/>
  <c r="W31" i="16"/>
  <c r="AA31" i="16" s="1"/>
  <c r="AK31" i="16" s="1"/>
  <c r="E36" i="16"/>
  <c r="L36" i="16" s="1"/>
  <c r="P36" i="16"/>
  <c r="AR30" i="16" l="1"/>
  <c r="AQ30" i="16"/>
  <c r="BE27" i="16"/>
  <c r="BF27" i="16" s="1"/>
  <c r="BI27" i="16" s="1"/>
  <c r="BO27" i="16" s="1"/>
  <c r="BP27" i="16" s="1"/>
  <c r="AJ98" i="15" s="1"/>
  <c r="AT30" i="16"/>
  <c r="AW30" i="16" s="1"/>
  <c r="AX30" i="16" s="1"/>
  <c r="AZ30" i="16" s="1"/>
  <c r="AU30" i="16"/>
  <c r="AV30" i="16" s="1"/>
  <c r="BK27" i="16"/>
  <c r="BL27" i="16" s="1"/>
  <c r="BM27" i="16" s="1"/>
  <c r="Y31" i="16"/>
  <c r="AB31" i="16" s="1"/>
  <c r="Q36" i="16"/>
  <c r="S36" i="16" s="1"/>
  <c r="N36" i="16"/>
  <c r="M37" i="16" s="1"/>
  <c r="BG27" i="16" l="1"/>
  <c r="AF31" i="16"/>
  <c r="BN27" i="16"/>
  <c r="AD120" i="15" s="1"/>
  <c r="Z31" i="16"/>
  <c r="U32" i="16" s="1"/>
  <c r="AC32" i="16" s="1"/>
  <c r="AD32" i="16" s="1"/>
  <c r="AE32" i="16" s="1"/>
  <c r="BC28" i="16"/>
  <c r="BH28" i="16" s="1"/>
  <c r="O36" i="16"/>
  <c r="AG31" i="16" l="1"/>
  <c r="BQ27" i="16"/>
  <c r="W32" i="16"/>
  <c r="AA32" i="16" s="1"/>
  <c r="AK32" i="16" s="1"/>
  <c r="BD28" i="16"/>
  <c r="BE28" i="16" s="1"/>
  <c r="E37" i="16"/>
  <c r="L37" i="16" s="1"/>
  <c r="P37" i="16"/>
  <c r="AL31" i="16" l="1"/>
  <c r="AY31" i="16" s="1"/>
  <c r="AH31" i="16"/>
  <c r="AS31" i="16" s="1"/>
  <c r="BK28" i="16"/>
  <c r="BL28" i="16" s="1"/>
  <c r="BM28" i="16" s="1"/>
  <c r="BF28" i="16"/>
  <c r="BI28" i="16" s="1"/>
  <c r="BJ28" i="16"/>
  <c r="Y32" i="16"/>
  <c r="AB32" i="16" s="1"/>
  <c r="Q37" i="16"/>
  <c r="S37" i="16" s="1"/>
  <c r="N37" i="16"/>
  <c r="M38" i="16" s="1"/>
  <c r="AM31" i="16" l="1"/>
  <c r="AN31" i="16" s="1"/>
  <c r="AO31" i="16" s="1"/>
  <c r="AT31" i="16"/>
  <c r="AW31" i="16" s="1"/>
  <c r="AX31" i="16" s="1"/>
  <c r="AZ31" i="16" s="1"/>
  <c r="AU31" i="16"/>
  <c r="AV31" i="16" s="1"/>
  <c r="BG28" i="16"/>
  <c r="BC29" i="16" s="1"/>
  <c r="BD29" i="16" s="1"/>
  <c r="Z32" i="16"/>
  <c r="AF32" i="16"/>
  <c r="O37" i="16"/>
  <c r="E38" i="16"/>
  <c r="L38" i="16" s="1"/>
  <c r="BO28" i="16"/>
  <c r="BP28" i="16" s="1"/>
  <c r="AJ146" i="15" s="1"/>
  <c r="BN28" i="16"/>
  <c r="AD149" i="15" s="1"/>
  <c r="AP31" i="16" l="1"/>
  <c r="AR31" i="16" s="1"/>
  <c r="AG32" i="16"/>
  <c r="AL32" i="16" s="1"/>
  <c r="AY32" i="16" s="1"/>
  <c r="U33" i="16"/>
  <c r="AC33" i="16" s="1"/>
  <c r="AD33" i="16" s="1"/>
  <c r="AE33" i="16" s="1"/>
  <c r="BE29" i="16"/>
  <c r="BF29" i="16" s="1"/>
  <c r="BI29" i="16" s="1"/>
  <c r="N38" i="16"/>
  <c r="M39" i="16" s="1"/>
  <c r="P38" i="16"/>
  <c r="BQ28" i="16"/>
  <c r="BH29" i="16"/>
  <c r="AM32" i="16" l="1"/>
  <c r="AN32" i="16" s="1"/>
  <c r="AO32" i="16" s="1"/>
  <c r="AH32" i="16"/>
  <c r="AS32" i="16" s="1"/>
  <c r="AQ31" i="16"/>
  <c r="W33" i="16"/>
  <c r="O38" i="16"/>
  <c r="Q38" i="16"/>
  <c r="S38" i="16" s="1"/>
  <c r="BJ29" i="16"/>
  <c r="BK29" i="16"/>
  <c r="BL29" i="16" s="1"/>
  <c r="BM29" i="16" s="1"/>
  <c r="AT32" i="16" l="1"/>
  <c r="AW32" i="16" s="1"/>
  <c r="AX32" i="16" s="1"/>
  <c r="AZ32" i="16" s="1"/>
  <c r="AU32" i="16"/>
  <c r="AV32" i="16" s="1"/>
  <c r="AP32" i="16"/>
  <c r="AQ32" i="16" s="1"/>
  <c r="AA33" i="16"/>
  <c r="AK33" i="16" s="1"/>
  <c r="Y33" i="16"/>
  <c r="P39" i="16"/>
  <c r="Q39" i="16" s="1"/>
  <c r="S39" i="16" s="1"/>
  <c r="E39" i="16"/>
  <c r="L39" i="16" s="1"/>
  <c r="BO29" i="16"/>
  <c r="BP29" i="16" s="1"/>
  <c r="AJ43" i="15" s="1"/>
  <c r="BN29" i="16"/>
  <c r="AD97" i="15" s="1"/>
  <c r="BG29" i="16"/>
  <c r="AR32" i="16" l="1"/>
  <c r="AB33" i="16"/>
  <c r="Z33" i="16"/>
  <c r="BC30" i="16"/>
  <c r="N39" i="16"/>
  <c r="M40" i="16" s="1"/>
  <c r="BQ29" i="16"/>
  <c r="U34" i="16" l="1"/>
  <c r="AC34" i="16" s="1"/>
  <c r="AF33" i="16"/>
  <c r="BD30" i="16"/>
  <c r="BK30" i="16" s="1"/>
  <c r="BL30" i="16" s="1"/>
  <c r="BM30" i="16" s="1"/>
  <c r="BH30" i="16"/>
  <c r="O39" i="16"/>
  <c r="AG33" i="16" l="1"/>
  <c r="AL33" i="16" s="1"/>
  <c r="AY33" i="16" s="1"/>
  <c r="AD34" i="16"/>
  <c r="W34" i="16"/>
  <c r="AA34" i="16" s="1"/>
  <c r="AK34" i="16" s="1"/>
  <c r="BE30" i="16"/>
  <c r="BF30" i="16" s="1"/>
  <c r="BJ30" i="16"/>
  <c r="E40" i="16"/>
  <c r="L40" i="16" s="1"/>
  <c r="P40" i="16"/>
  <c r="AM33" i="16" l="1"/>
  <c r="AN33" i="16" s="1"/>
  <c r="AO33" i="16" s="1"/>
  <c r="AH33" i="16"/>
  <c r="AS33" i="16" s="1"/>
  <c r="AE34" i="16"/>
  <c r="Y34" i="16"/>
  <c r="AB34" i="16" s="1"/>
  <c r="BI30" i="16"/>
  <c r="BN30" i="16" s="1"/>
  <c r="AD103" i="15" s="1"/>
  <c r="BG30" i="16"/>
  <c r="Q40" i="16"/>
  <c r="S40" i="16" s="1"/>
  <c r="N40" i="16"/>
  <c r="M41" i="16" s="1"/>
  <c r="AT33" i="16" l="1"/>
  <c r="AW33" i="16" s="1"/>
  <c r="AX33" i="16" s="1"/>
  <c r="AZ33" i="16" s="1"/>
  <c r="AU33" i="16"/>
  <c r="AV33" i="16" s="1"/>
  <c r="Z34" i="16"/>
  <c r="U35" i="16" s="1"/>
  <c r="AC35" i="16" s="1"/>
  <c r="BO30" i="16"/>
  <c r="BP30" i="16" s="1"/>
  <c r="AJ147" i="15" s="1"/>
  <c r="AF34" i="16"/>
  <c r="AG34" i="16" s="1"/>
  <c r="AH34" i="16" s="1"/>
  <c r="AS34" i="16" s="1"/>
  <c r="AT34" i="16" s="1"/>
  <c r="AW34" i="16" s="1"/>
  <c r="AP33" i="16"/>
  <c r="AR33" i="16" s="1"/>
  <c r="BC31" i="16"/>
  <c r="BH31" i="16" s="1"/>
  <c r="O40" i="16"/>
  <c r="AL34" i="16" l="1"/>
  <c r="AM34" i="16" s="1"/>
  <c r="AU34" i="16"/>
  <c r="AV34" i="16" s="1"/>
  <c r="BQ30" i="16"/>
  <c r="AQ33" i="16"/>
  <c r="AX34" i="16"/>
  <c r="AZ34" i="16" s="1"/>
  <c r="AD35" i="16"/>
  <c r="W35" i="16"/>
  <c r="Y35" i="16" s="1"/>
  <c r="AB35" i="16" s="1"/>
  <c r="BD31" i="16"/>
  <c r="BE31" i="16" s="1"/>
  <c r="E41" i="16"/>
  <c r="L41" i="16" s="1"/>
  <c r="P41" i="16"/>
  <c r="AY34" i="16" l="1"/>
  <c r="AE35" i="16"/>
  <c r="AF35" i="16" s="1"/>
  <c r="AG35" i="16" s="1"/>
  <c r="AH35" i="16" s="1"/>
  <c r="AS35" i="16" s="1"/>
  <c r="AT35" i="16" s="1"/>
  <c r="AW35" i="16" s="1"/>
  <c r="AX35" i="16" s="1"/>
  <c r="AZ35" i="16" s="1"/>
  <c r="AA35" i="16"/>
  <c r="AK35" i="16" s="1"/>
  <c r="Z35" i="16"/>
  <c r="AN34" i="16"/>
  <c r="AO34" i="16" s="1"/>
  <c r="BF31" i="16"/>
  <c r="BJ31" i="16"/>
  <c r="BK31" i="16"/>
  <c r="BL31" i="16" s="1"/>
  <c r="BM31" i="16" s="1"/>
  <c r="Q41" i="16"/>
  <c r="S41" i="16" s="1"/>
  <c r="N41" i="16"/>
  <c r="M42" i="16" s="1"/>
  <c r="AL35" i="16" l="1"/>
  <c r="AM35" i="16" s="1"/>
  <c r="AU35" i="16"/>
  <c r="AP34" i="16"/>
  <c r="AQ34" i="16" s="1"/>
  <c r="U36" i="16"/>
  <c r="AC36" i="16" s="1"/>
  <c r="AY35" i="16"/>
  <c r="BI31" i="16"/>
  <c r="BG31" i="16"/>
  <c r="E42" i="16"/>
  <c r="O41" i="16"/>
  <c r="AV35" i="16" l="1"/>
  <c r="AR34" i="16"/>
  <c r="W36" i="16"/>
  <c r="AA36" i="16" s="1"/>
  <c r="AK36" i="16" s="1"/>
  <c r="AD36" i="16"/>
  <c r="AN35" i="16"/>
  <c r="BC32" i="16"/>
  <c r="BH32" i="16" s="1"/>
  <c r="BN31" i="16"/>
  <c r="AD126" i="15" s="1"/>
  <c r="BO31" i="16"/>
  <c r="BP31" i="16" s="1"/>
  <c r="L42" i="16"/>
  <c r="N42" i="16" s="1"/>
  <c r="P42" i="16"/>
  <c r="Y36" i="16" l="1"/>
  <c r="AB36" i="16" s="1"/>
  <c r="AE36" i="16"/>
  <c r="AO35" i="16"/>
  <c r="BD32" i="16"/>
  <c r="AJ148" i="15"/>
  <c r="BQ31" i="16"/>
  <c r="O42" i="16"/>
  <c r="M43" i="16"/>
  <c r="E43" i="16" s="1"/>
  <c r="L43" i="16" s="1"/>
  <c r="Q42" i="16"/>
  <c r="S42" i="16" s="1"/>
  <c r="Z36" i="16" l="1"/>
  <c r="U37" i="16" s="1"/>
  <c r="AC37" i="16" s="1"/>
  <c r="AF36" i="16"/>
  <c r="AG36" i="16" s="1"/>
  <c r="AH36" i="16" s="1"/>
  <c r="AS36" i="16" s="1"/>
  <c r="AP35" i="16"/>
  <c r="AR35" i="16" s="1"/>
  <c r="BK32" i="16"/>
  <c r="BL32" i="16" s="1"/>
  <c r="BM32" i="16" s="1"/>
  <c r="BJ32" i="16"/>
  <c r="BE32" i="16"/>
  <c r="BF32" i="16" s="1"/>
  <c r="P43" i="16"/>
  <c r="Q43" i="16" s="1"/>
  <c r="S43" i="16" s="1"/>
  <c r="N43" i="16"/>
  <c r="M44" i="16" s="1"/>
  <c r="AT36" i="16" l="1"/>
  <c r="AW36" i="16" s="1"/>
  <c r="AX36" i="16" s="1"/>
  <c r="AZ36" i="16" s="1"/>
  <c r="AU36" i="16"/>
  <c r="AV36" i="16" s="1"/>
  <c r="AL36" i="16"/>
  <c r="AQ35" i="16"/>
  <c r="AD37" i="16"/>
  <c r="W37" i="16"/>
  <c r="BI32" i="16"/>
  <c r="BG32" i="16"/>
  <c r="O43" i="16"/>
  <c r="AM36" i="16" l="1"/>
  <c r="AN36" i="16" s="1"/>
  <c r="AO36" i="16" s="1"/>
  <c r="AP36" i="16" s="1"/>
  <c r="AQ36" i="16" s="1"/>
  <c r="AY36" i="16"/>
  <c r="AA37" i="16"/>
  <c r="AK37" i="16" s="1"/>
  <c r="Y37" i="16"/>
  <c r="AB37" i="16" s="1"/>
  <c r="AE37" i="16"/>
  <c r="BC33" i="16"/>
  <c r="BH33" i="16" s="1"/>
  <c r="BO32" i="16"/>
  <c r="BP32" i="16" s="1"/>
  <c r="BN32" i="16"/>
  <c r="AD121" i="15" s="1"/>
  <c r="E44" i="16"/>
  <c r="L44" i="16" s="1"/>
  <c r="P44" i="16"/>
  <c r="AR36" i="16" l="1"/>
  <c r="AF37" i="16"/>
  <c r="Z37" i="16"/>
  <c r="BD33" i="16"/>
  <c r="BE33" i="16" s="1"/>
  <c r="BF33" i="16" s="1"/>
  <c r="AJ118" i="15"/>
  <c r="BQ32" i="16"/>
  <c r="Q44" i="16"/>
  <c r="S44" i="16" s="1"/>
  <c r="N44" i="16"/>
  <c r="M45" i="16" s="1"/>
  <c r="AG37" i="16" l="1"/>
  <c r="AL37" i="16" s="1"/>
  <c r="AY37" i="16" s="1"/>
  <c r="U38" i="16"/>
  <c r="AC38" i="16" s="1"/>
  <c r="AD38" i="16" s="1"/>
  <c r="BI33" i="16"/>
  <c r="BG33" i="16"/>
  <c r="BJ33" i="16"/>
  <c r="BK33" i="16"/>
  <c r="O44" i="16"/>
  <c r="AM37" i="16" l="1"/>
  <c r="AN37" i="16" s="1"/>
  <c r="AO37" i="16" s="1"/>
  <c r="AH37" i="16"/>
  <c r="AS37" i="16" s="1"/>
  <c r="AE38" i="16"/>
  <c r="W38" i="16"/>
  <c r="AA38" i="16" s="1"/>
  <c r="AK38" i="16" s="1"/>
  <c r="BL33" i="16"/>
  <c r="BM33" i="16" s="1"/>
  <c r="BC34" i="16"/>
  <c r="BO33" i="16"/>
  <c r="BP33" i="16" s="1"/>
  <c r="E45" i="16"/>
  <c r="L45" i="16" s="1"/>
  <c r="P45" i="16"/>
  <c r="AT37" i="16" l="1"/>
  <c r="AW37" i="16" s="1"/>
  <c r="AX37" i="16" s="1"/>
  <c r="AZ37" i="16" s="1"/>
  <c r="AU37" i="16"/>
  <c r="AV37" i="16" s="1"/>
  <c r="Y38" i="16"/>
  <c r="AB38" i="16" s="1"/>
  <c r="AF38" i="16" s="1"/>
  <c r="AP37" i="16"/>
  <c r="AR37" i="16" s="1"/>
  <c r="BN33" i="16"/>
  <c r="AD146" i="15" s="1"/>
  <c r="BD34" i="16"/>
  <c r="BH34" i="16"/>
  <c r="AJ149" i="15"/>
  <c r="Q45" i="16"/>
  <c r="S45" i="16" s="1"/>
  <c r="N45" i="16"/>
  <c r="M46" i="16" s="1"/>
  <c r="AG38" i="16" l="1"/>
  <c r="AL38" i="16" s="1"/>
  <c r="Z38" i="16"/>
  <c r="U39" i="16" s="1"/>
  <c r="AC39" i="16" s="1"/>
  <c r="BQ33" i="16"/>
  <c r="AQ37" i="16"/>
  <c r="BJ34" i="16"/>
  <c r="BK34" i="16"/>
  <c r="BL34" i="16" s="1"/>
  <c r="BM34" i="16" s="1"/>
  <c r="BE34" i="16"/>
  <c r="BF34" i="16" s="1"/>
  <c r="O45" i="16"/>
  <c r="AH38" i="16" l="1"/>
  <c r="AS38" i="16" s="1"/>
  <c r="AU38" i="16" s="1"/>
  <c r="AV38" i="16" s="1"/>
  <c r="AY38" i="16"/>
  <c r="AM38" i="16"/>
  <c r="AN38" i="16" s="1"/>
  <c r="AO38" i="16" s="1"/>
  <c r="AD39" i="16"/>
  <c r="W39" i="16"/>
  <c r="AA39" i="16" s="1"/>
  <c r="AK39" i="16" s="1"/>
  <c r="BI34" i="16"/>
  <c r="BG34" i="16"/>
  <c r="E46" i="16"/>
  <c r="L46" i="16" s="1"/>
  <c r="P46" i="16"/>
  <c r="AT38" i="16" l="1"/>
  <c r="AW38" i="16" s="1"/>
  <c r="AX38" i="16" s="1"/>
  <c r="AZ38" i="16" s="1"/>
  <c r="AP38" i="16"/>
  <c r="AR38" i="16" s="1"/>
  <c r="Y39" i="16"/>
  <c r="AB39" i="16" s="1"/>
  <c r="AE39" i="16"/>
  <c r="BC35" i="16"/>
  <c r="BH35" i="16" s="1"/>
  <c r="BN34" i="16"/>
  <c r="AD171" i="15" s="1"/>
  <c r="BO34" i="16"/>
  <c r="BP34" i="16" s="1"/>
  <c r="Q46" i="16"/>
  <c r="S46" i="16" s="1"/>
  <c r="N46" i="16"/>
  <c r="M47" i="16" s="1"/>
  <c r="AF39" i="16" l="1"/>
  <c r="AG39" i="16" s="1"/>
  <c r="AH39" i="16" s="1"/>
  <c r="AS39" i="16" s="1"/>
  <c r="Z39" i="16"/>
  <c r="AQ38" i="16"/>
  <c r="BD35" i="16"/>
  <c r="BE35" i="16" s="1"/>
  <c r="BF35" i="16" s="1"/>
  <c r="AJ150" i="15"/>
  <c r="BQ34" i="16"/>
  <c r="O46" i="16"/>
  <c r="AT39" i="16" l="1"/>
  <c r="AW39" i="16" s="1"/>
  <c r="AX39" i="16" s="1"/>
  <c r="AZ39" i="16" s="1"/>
  <c r="AU39" i="16"/>
  <c r="AV39" i="16" s="1"/>
  <c r="AL39" i="16"/>
  <c r="AY39" i="16" s="1"/>
  <c r="U40" i="16"/>
  <c r="AC40" i="16" s="1"/>
  <c r="BI35" i="16"/>
  <c r="BG35" i="16"/>
  <c r="BJ35" i="16"/>
  <c r="BK35" i="16"/>
  <c r="BL35" i="16" s="1"/>
  <c r="BM35" i="16" s="1"/>
  <c r="E47" i="16"/>
  <c r="L47" i="16" s="1"/>
  <c r="P47" i="16"/>
  <c r="AM39" i="16" l="1"/>
  <c r="AN39" i="16" s="1"/>
  <c r="W40" i="16"/>
  <c r="AA40" i="16" s="1"/>
  <c r="AK40" i="16" s="1"/>
  <c r="AD40" i="16"/>
  <c r="BC36" i="16"/>
  <c r="BH36" i="16" s="1"/>
  <c r="BO35" i="16"/>
  <c r="BP35" i="16" s="1"/>
  <c r="BN35" i="16"/>
  <c r="AD189" i="15" s="1"/>
  <c r="Q47" i="16"/>
  <c r="S47" i="16" s="1"/>
  <c r="N47" i="16"/>
  <c r="M48" i="16" s="1"/>
  <c r="Y40" i="16" l="1"/>
  <c r="AB40" i="16" s="1"/>
  <c r="AE40" i="16"/>
  <c r="AO39" i="16"/>
  <c r="AP39" i="16" s="1"/>
  <c r="AQ39" i="16" s="1"/>
  <c r="BD36" i="16"/>
  <c r="BE36" i="16" s="1"/>
  <c r="BF36" i="16" s="1"/>
  <c r="AJ151" i="15"/>
  <c r="BQ35" i="16"/>
  <c r="O47" i="16"/>
  <c r="AF40" i="16" l="1"/>
  <c r="AG40" i="16" s="1"/>
  <c r="AH40" i="16" s="1"/>
  <c r="AS40" i="16" s="1"/>
  <c r="Z40" i="16"/>
  <c r="U41" i="16" s="1"/>
  <c r="AC41" i="16" s="1"/>
  <c r="AR39" i="16"/>
  <c r="BI36" i="16"/>
  <c r="BG36" i="16"/>
  <c r="BJ36" i="16"/>
  <c r="BK36" i="16"/>
  <c r="BL36" i="16" s="1"/>
  <c r="BM36" i="16" s="1"/>
  <c r="E48" i="16"/>
  <c r="L48" i="16" s="1"/>
  <c r="P48" i="16"/>
  <c r="AU40" i="16" l="1"/>
  <c r="AT40" i="16"/>
  <c r="AW40" i="16" s="1"/>
  <c r="AX40" i="16" s="1"/>
  <c r="AZ40" i="16" s="1"/>
  <c r="AL40" i="16"/>
  <c r="AY40" i="16" s="1"/>
  <c r="AD41" i="16"/>
  <c r="W41" i="16"/>
  <c r="AA41" i="16" s="1"/>
  <c r="AK41" i="16" s="1"/>
  <c r="BC37" i="16"/>
  <c r="BH37" i="16" s="1"/>
  <c r="BO36" i="16"/>
  <c r="BP36" i="16" s="1"/>
  <c r="BN36" i="16"/>
  <c r="AD164" i="15" s="1"/>
  <c r="Q48" i="16"/>
  <c r="S48" i="16" s="1"/>
  <c r="N48" i="16"/>
  <c r="M49" i="16" s="1"/>
  <c r="AM40" i="16" l="1"/>
  <c r="AN40" i="16" s="1"/>
  <c r="AV40" i="16"/>
  <c r="Y41" i="16"/>
  <c r="AE41" i="16"/>
  <c r="BD37" i="16"/>
  <c r="AJ104" i="15"/>
  <c r="BQ36" i="16"/>
  <c r="O48" i="16"/>
  <c r="E49" i="16"/>
  <c r="L49" i="16" s="1"/>
  <c r="AO40" i="16" l="1"/>
  <c r="AP40" i="16" s="1"/>
  <c r="AR40" i="16" s="1"/>
  <c r="AB41" i="16"/>
  <c r="Z41" i="16"/>
  <c r="BJ37" i="16"/>
  <c r="BK37" i="16"/>
  <c r="BL37" i="16" s="1"/>
  <c r="BM37" i="16" s="1"/>
  <c r="BE37" i="16"/>
  <c r="BF37" i="16" s="1"/>
  <c r="N49" i="16"/>
  <c r="M50" i="16" s="1"/>
  <c r="P49" i="16"/>
  <c r="AF41" i="16" l="1"/>
  <c r="AG41" i="16" s="1"/>
  <c r="AH41" i="16" s="1"/>
  <c r="AS41" i="16" s="1"/>
  <c r="AQ40" i="16"/>
  <c r="U42" i="16"/>
  <c r="AC42" i="16" s="1"/>
  <c r="BI37" i="16"/>
  <c r="BG37" i="16"/>
  <c r="Q49" i="16"/>
  <c r="S49" i="16" s="1"/>
  <c r="O49" i="16"/>
  <c r="AT41" i="16" l="1"/>
  <c r="AW41" i="16" s="1"/>
  <c r="AX41" i="16" s="1"/>
  <c r="AZ41" i="16" s="1"/>
  <c r="AU41" i="16"/>
  <c r="AV41" i="16" s="1"/>
  <c r="AL41" i="16"/>
  <c r="AY41" i="16" s="1"/>
  <c r="W42" i="16"/>
  <c r="AA42" i="16" s="1"/>
  <c r="AK42" i="16" s="1"/>
  <c r="AD42" i="16"/>
  <c r="BC38" i="16"/>
  <c r="BH38" i="16" s="1"/>
  <c r="BN37" i="16"/>
  <c r="AD165" i="15" s="1"/>
  <c r="BO37" i="16"/>
  <c r="BP37" i="16" s="1"/>
  <c r="E50" i="16"/>
  <c r="L50" i="16" s="1"/>
  <c r="P50" i="16"/>
  <c r="AM41" i="16" l="1"/>
  <c r="AN41" i="16" s="1"/>
  <c r="AO41" i="16" s="1"/>
  <c r="Y42" i="16"/>
  <c r="AB42" i="16" s="1"/>
  <c r="AE42" i="16"/>
  <c r="AJ152" i="15"/>
  <c r="BQ37" i="16"/>
  <c r="BD38" i="16"/>
  <c r="Q50" i="16"/>
  <c r="S50" i="16" s="1"/>
  <c r="N50" i="16"/>
  <c r="M51" i="16" s="1"/>
  <c r="Z42" i="16" l="1"/>
  <c r="U43" i="16" s="1"/>
  <c r="AC43" i="16" s="1"/>
  <c r="AF42" i="16"/>
  <c r="AP41" i="16"/>
  <c r="AQ41" i="16" s="1"/>
  <c r="BK38" i="16"/>
  <c r="BL38" i="16" s="1"/>
  <c r="BM38" i="16" s="1"/>
  <c r="BE38" i="16"/>
  <c r="BF38" i="16" s="1"/>
  <c r="BJ38" i="16"/>
  <c r="O50" i="16"/>
  <c r="AG42" i="16" l="1"/>
  <c r="AR41" i="16"/>
  <c r="AD43" i="16"/>
  <c r="W43" i="16"/>
  <c r="AA43" i="16" s="1"/>
  <c r="AK43" i="16" s="1"/>
  <c r="BI38" i="16"/>
  <c r="BG38" i="16"/>
  <c r="E51" i="16"/>
  <c r="P51" i="16"/>
  <c r="AL42" i="16" l="1"/>
  <c r="AY42" i="16" s="1"/>
  <c r="AH42" i="16"/>
  <c r="AS42" i="16" s="1"/>
  <c r="AE43" i="16"/>
  <c r="Y43" i="16"/>
  <c r="AB43" i="16" s="1"/>
  <c r="BC39" i="16"/>
  <c r="BH39" i="16" s="1"/>
  <c r="BN38" i="16"/>
  <c r="AD184" i="15" s="1"/>
  <c r="BO38" i="16"/>
  <c r="BP38" i="16" s="1"/>
  <c r="L51" i="16"/>
  <c r="Q51" i="16"/>
  <c r="S51" i="16" s="1"/>
  <c r="AT42" i="16" l="1"/>
  <c r="AW42" i="16" s="1"/>
  <c r="AX42" i="16" s="1"/>
  <c r="AZ42" i="16" s="1"/>
  <c r="AU42" i="16"/>
  <c r="AV42" i="16" s="1"/>
  <c r="AM42" i="16"/>
  <c r="AN42" i="16" s="1"/>
  <c r="AO42" i="16" s="1"/>
  <c r="AP42" i="16" s="1"/>
  <c r="AR42" i="16" s="1"/>
  <c r="Z43" i="16"/>
  <c r="U44" i="16" s="1"/>
  <c r="AC44" i="16" s="1"/>
  <c r="AF43" i="16"/>
  <c r="AG43" i="16" s="1"/>
  <c r="AH43" i="16" s="1"/>
  <c r="AS43" i="16" s="1"/>
  <c r="AT43" i="16" s="1"/>
  <c r="AW43" i="16" s="1"/>
  <c r="AX43" i="16" s="1"/>
  <c r="AZ43" i="16" s="1"/>
  <c r="BD39" i="16"/>
  <c r="BE39" i="16" s="1"/>
  <c r="AJ153" i="15"/>
  <c r="BQ38" i="16"/>
  <c r="N51" i="16"/>
  <c r="M52" i="16" s="1"/>
  <c r="E52" i="16" s="1"/>
  <c r="AQ42" i="16" l="1"/>
  <c r="AU43" i="16"/>
  <c r="AV43" i="16" s="1"/>
  <c r="AL43" i="16"/>
  <c r="AY43" i="16" s="1"/>
  <c r="W44" i="16"/>
  <c r="AA44" i="16" s="1"/>
  <c r="AK44" i="16" s="1"/>
  <c r="O51" i="16"/>
  <c r="AD44" i="16"/>
  <c r="BJ39" i="16"/>
  <c r="BK39" i="16"/>
  <c r="BL39" i="16" s="1"/>
  <c r="BM39" i="16" s="1"/>
  <c r="BF39" i="16"/>
  <c r="L52" i="16"/>
  <c r="P52" i="16"/>
  <c r="AM43" i="16" l="1"/>
  <c r="AN43" i="16" s="1"/>
  <c r="Y44" i="16"/>
  <c r="AB44" i="16" s="1"/>
  <c r="AE44" i="16"/>
  <c r="BI39" i="16"/>
  <c r="BG39" i="16"/>
  <c r="N52" i="16"/>
  <c r="M53" i="16" s="1"/>
  <c r="Q52" i="16"/>
  <c r="S52" i="16" s="1"/>
  <c r="AF44" i="16" l="1"/>
  <c r="AG44" i="16" s="1"/>
  <c r="AH44" i="16" s="1"/>
  <c r="AS44" i="16" s="1"/>
  <c r="Z44" i="16"/>
  <c r="U45" i="16" s="1"/>
  <c r="AC45" i="16" s="1"/>
  <c r="O52" i="16"/>
  <c r="AO43" i="16"/>
  <c r="BC40" i="16"/>
  <c r="BH40" i="16" s="1"/>
  <c r="BN39" i="16"/>
  <c r="AD199" i="15" s="1"/>
  <c r="BO39" i="16"/>
  <c r="BP39" i="16" s="1"/>
  <c r="P53" i="16"/>
  <c r="Q53" i="16" s="1"/>
  <c r="S53" i="16" s="1"/>
  <c r="E53" i="16"/>
  <c r="L53" i="16" s="1"/>
  <c r="AT44" i="16" l="1"/>
  <c r="AW44" i="16" s="1"/>
  <c r="AX44" i="16" s="1"/>
  <c r="AZ44" i="16" s="1"/>
  <c r="AU44" i="16"/>
  <c r="AV44" i="16" s="1"/>
  <c r="AL44" i="16"/>
  <c r="AY44" i="16" s="1"/>
  <c r="AD45" i="16"/>
  <c r="AE45" i="16" s="1"/>
  <c r="W45" i="16"/>
  <c r="AA45" i="16" s="1"/>
  <c r="AK45" i="16" s="1"/>
  <c r="AP43" i="16"/>
  <c r="AR43" i="16" s="1"/>
  <c r="AJ154" i="15"/>
  <c r="BQ39" i="16"/>
  <c r="BD40" i="16"/>
  <c r="BE40" i="16" s="1"/>
  <c r="N53" i="16"/>
  <c r="M54" i="16" s="1"/>
  <c r="AM44" i="16" l="1"/>
  <c r="AN44" i="16" s="1"/>
  <c r="AO44" i="16" s="1"/>
  <c r="Y45" i="16"/>
  <c r="AB45" i="16" s="1"/>
  <c r="AQ43" i="16"/>
  <c r="BJ40" i="16"/>
  <c r="BK40" i="16"/>
  <c r="BF40" i="16"/>
  <c r="O53" i="16"/>
  <c r="E54" i="16"/>
  <c r="L54" i="16" s="1"/>
  <c r="Z45" i="16" l="1"/>
  <c r="U46" i="16" s="1"/>
  <c r="AC46" i="16" s="1"/>
  <c r="AF45" i="16"/>
  <c r="AG45" i="16" s="1"/>
  <c r="AH45" i="16" s="1"/>
  <c r="AS45" i="16" s="1"/>
  <c r="AP44" i="16"/>
  <c r="AR44" i="16" s="1"/>
  <c r="BL40" i="16"/>
  <c r="BM40" i="16" s="1"/>
  <c r="BI40" i="16"/>
  <c r="BG40" i="16"/>
  <c r="N54" i="16"/>
  <c r="M55" i="16" s="1"/>
  <c r="P54" i="16"/>
  <c r="W46" i="16" l="1"/>
  <c r="AA46" i="16" s="1"/>
  <c r="AK46" i="16" s="1"/>
  <c r="AT45" i="16"/>
  <c r="AW45" i="16" s="1"/>
  <c r="AX45" i="16" s="1"/>
  <c r="AZ45" i="16" s="1"/>
  <c r="AU45" i="16"/>
  <c r="AD46" i="16"/>
  <c r="AE46" i="16" s="1"/>
  <c r="AL45" i="16"/>
  <c r="AY45" i="16" s="1"/>
  <c r="AQ44" i="16"/>
  <c r="BC41" i="16"/>
  <c r="BH41" i="16" s="1"/>
  <c r="BN40" i="16"/>
  <c r="AD243" i="15" s="1"/>
  <c r="BO40" i="16"/>
  <c r="BP40" i="16" s="1"/>
  <c r="Q54" i="16"/>
  <c r="S54" i="16" s="1"/>
  <c r="O54" i="16"/>
  <c r="Y46" i="16" l="1"/>
  <c r="AB46" i="16" s="1"/>
  <c r="AM45" i="16"/>
  <c r="AN45" i="16" s="1"/>
  <c r="AO45" i="16" s="1"/>
  <c r="AP45" i="16" s="1"/>
  <c r="AQ45" i="16" s="1"/>
  <c r="AV45" i="16"/>
  <c r="BD41" i="16"/>
  <c r="BE41" i="16" s="1"/>
  <c r="BF41" i="16" s="1"/>
  <c r="AJ155" i="15"/>
  <c r="BQ40" i="16"/>
  <c r="P55" i="16"/>
  <c r="E55" i="16"/>
  <c r="L55" i="16" s="1"/>
  <c r="Z46" i="16" l="1"/>
  <c r="U47" i="16" s="1"/>
  <c r="AC47" i="16" s="1"/>
  <c r="AR45" i="16"/>
  <c r="AF46" i="16"/>
  <c r="AG46" i="16" s="1"/>
  <c r="AH46" i="16" s="1"/>
  <c r="AS46" i="16" s="1"/>
  <c r="BI41" i="16"/>
  <c r="BG41" i="16"/>
  <c r="BJ41" i="16"/>
  <c r="BK41" i="16"/>
  <c r="N55" i="16"/>
  <c r="M56" i="16" s="1"/>
  <c r="Q55" i="16"/>
  <c r="S55" i="16" s="1"/>
  <c r="AL46" i="16" l="1"/>
  <c r="AY46" i="16" s="1"/>
  <c r="AT46" i="16"/>
  <c r="AW46" i="16" s="1"/>
  <c r="AX46" i="16" s="1"/>
  <c r="AZ46" i="16" s="1"/>
  <c r="AU46" i="16"/>
  <c r="AV46" i="16" s="1"/>
  <c r="AD47" i="16"/>
  <c r="W47" i="16"/>
  <c r="AA47" i="16" s="1"/>
  <c r="AK47" i="16" s="1"/>
  <c r="BC42" i="16"/>
  <c r="BH42" i="16" s="1"/>
  <c r="BL41" i="16"/>
  <c r="BM41" i="16" s="1"/>
  <c r="BO41" i="16"/>
  <c r="BP41" i="16" s="1"/>
  <c r="E56" i="16"/>
  <c r="L56" i="16" s="1"/>
  <c r="O55" i="16"/>
  <c r="AM46" i="16" l="1"/>
  <c r="AN46" i="16" s="1"/>
  <c r="AO46" i="16" s="1"/>
  <c r="BN41" i="16"/>
  <c r="AD240" i="15" s="1"/>
  <c r="Y47" i="16"/>
  <c r="AE47" i="16"/>
  <c r="AJ156" i="15"/>
  <c r="BD42" i="16"/>
  <c r="BE42" i="16" s="1"/>
  <c r="N56" i="16"/>
  <c r="M57" i="16" s="1"/>
  <c r="P56" i="16"/>
  <c r="BQ41" i="16" l="1"/>
  <c r="AP46" i="16"/>
  <c r="AR46" i="16" s="1"/>
  <c r="AB47" i="16"/>
  <c r="Z47" i="16"/>
  <c r="BJ42" i="16"/>
  <c r="BK42" i="16"/>
  <c r="BL42" i="16" s="1"/>
  <c r="BM42" i="16" s="1"/>
  <c r="BF42" i="16"/>
  <c r="O56" i="16"/>
  <c r="Q56" i="16"/>
  <c r="E57" i="16"/>
  <c r="L57" i="16" s="1"/>
  <c r="AQ46" i="16" l="1"/>
  <c r="AF47" i="16"/>
  <c r="P57" i="16"/>
  <c r="Q57" i="16" s="1"/>
  <c r="S57" i="16" s="1"/>
  <c r="S56" i="16"/>
  <c r="U48" i="16"/>
  <c r="AC48" i="16" s="1"/>
  <c r="BI42" i="16"/>
  <c r="BG42" i="16"/>
  <c r="N57" i="16"/>
  <c r="M58" i="16" s="1"/>
  <c r="AG47" i="16" l="1"/>
  <c r="AL47" i="16" s="1"/>
  <c r="AY47" i="16" s="1"/>
  <c r="W48" i="16"/>
  <c r="AA48" i="16" s="1"/>
  <c r="AK48" i="16" s="1"/>
  <c r="AD48" i="16"/>
  <c r="BC43" i="16"/>
  <c r="BH43" i="16" s="1"/>
  <c r="BN42" i="16"/>
  <c r="AD282" i="15" s="1"/>
  <c r="BO42" i="16"/>
  <c r="BP42" i="16" s="1"/>
  <c r="O57" i="16"/>
  <c r="Y48" i="16" l="1"/>
  <c r="AB48" i="16" s="1"/>
  <c r="AM47" i="16"/>
  <c r="AN47" i="16" s="1"/>
  <c r="AO47" i="16" s="1"/>
  <c r="AH47" i="16"/>
  <c r="AS47" i="16" s="1"/>
  <c r="AE48" i="16"/>
  <c r="AJ157" i="15"/>
  <c r="BQ42" i="16"/>
  <c r="BD43" i="16"/>
  <c r="BE43" i="16" s="1"/>
  <c r="E58" i="16"/>
  <c r="L58" i="16" s="1"/>
  <c r="P58" i="16"/>
  <c r="AF48" i="16" l="1"/>
  <c r="AG48" i="16" s="1"/>
  <c r="AH48" i="16" s="1"/>
  <c r="AS48" i="16" s="1"/>
  <c r="AT48" i="16" s="1"/>
  <c r="Z48" i="16"/>
  <c r="U49" i="16" s="1"/>
  <c r="AC49" i="16" s="1"/>
  <c r="AU47" i="16"/>
  <c r="AV47" i="16" s="1"/>
  <c r="AT47" i="16"/>
  <c r="AW47" i="16" s="1"/>
  <c r="AX47" i="16" s="1"/>
  <c r="AZ47" i="16" s="1"/>
  <c r="AP47" i="16"/>
  <c r="AR47" i="16" s="1"/>
  <c r="BK43" i="16"/>
  <c r="BJ43" i="16"/>
  <c r="BF43" i="16"/>
  <c r="Q58" i="16"/>
  <c r="S58" i="16" s="1"/>
  <c r="N58" i="16"/>
  <c r="M59" i="16" s="1"/>
  <c r="AU48" i="16" l="1"/>
  <c r="AV48" i="16" s="1"/>
  <c r="AL48" i="16"/>
  <c r="AW48" i="16"/>
  <c r="AX48" i="16" s="1"/>
  <c r="AZ48" i="16" s="1"/>
  <c r="W49" i="16"/>
  <c r="AA49" i="16" s="1"/>
  <c r="AK49" i="16" s="1"/>
  <c r="AQ47" i="16"/>
  <c r="AD49" i="16"/>
  <c r="BI43" i="16"/>
  <c r="BG43" i="16"/>
  <c r="BL43" i="16"/>
  <c r="BM43" i="16" s="1"/>
  <c r="O58" i="16"/>
  <c r="AM48" i="16" l="1"/>
  <c r="AN48" i="16" s="1"/>
  <c r="AO48" i="16" s="1"/>
  <c r="AP48" i="16" s="1"/>
  <c r="AR48" i="16" s="1"/>
  <c r="AY48" i="16"/>
  <c r="Y49" i="16"/>
  <c r="Z49" i="16" s="1"/>
  <c r="AE49" i="16"/>
  <c r="BC44" i="16"/>
  <c r="BH44" i="16" s="1"/>
  <c r="BO43" i="16"/>
  <c r="BP43" i="16" s="1"/>
  <c r="BN43" i="16"/>
  <c r="AD307" i="15" s="1"/>
  <c r="E59" i="16"/>
  <c r="L59" i="16" s="1"/>
  <c r="P59" i="16"/>
  <c r="AB49" i="16" l="1"/>
  <c r="U50" i="16"/>
  <c r="AC50" i="16" s="1"/>
  <c r="AQ48" i="16"/>
  <c r="BD44" i="16"/>
  <c r="BE44" i="16" s="1"/>
  <c r="BF44" i="16" s="1"/>
  <c r="AJ158" i="15"/>
  <c r="BQ43" i="16"/>
  <c r="Q59" i="16"/>
  <c r="S59" i="16" s="1"/>
  <c r="N59" i="16"/>
  <c r="M60" i="16" s="1"/>
  <c r="AF49" i="16" l="1"/>
  <c r="AG49" i="16" s="1"/>
  <c r="AH49" i="16" s="1"/>
  <c r="AS49" i="16" s="1"/>
  <c r="W50" i="16"/>
  <c r="AA50" i="16" s="1"/>
  <c r="AK50" i="16" s="1"/>
  <c r="AD50" i="16"/>
  <c r="BI44" i="16"/>
  <c r="BG44" i="16"/>
  <c r="BJ44" i="16"/>
  <c r="BK44" i="16"/>
  <c r="BL44" i="16" s="1"/>
  <c r="BM44" i="16" s="1"/>
  <c r="O59" i="16"/>
  <c r="AL49" i="16" l="1"/>
  <c r="AU49" i="16"/>
  <c r="AV49" i="16" s="1"/>
  <c r="AT49" i="16"/>
  <c r="AW49" i="16" s="1"/>
  <c r="AX49" i="16" s="1"/>
  <c r="AZ49" i="16" s="1"/>
  <c r="Y50" i="16"/>
  <c r="AB50" i="16" s="1"/>
  <c r="AE50" i="16"/>
  <c r="BC45" i="16"/>
  <c r="BH45" i="16" s="1"/>
  <c r="BO44" i="16"/>
  <c r="BP44" i="16" s="1"/>
  <c r="BN44" i="16"/>
  <c r="AD174" i="15" s="1"/>
  <c r="E60" i="16"/>
  <c r="L60" i="16" s="1"/>
  <c r="P60" i="16"/>
  <c r="AM49" i="16" l="1"/>
  <c r="AN49" i="16" s="1"/>
  <c r="AO49" i="16" s="1"/>
  <c r="AP49" i="16" s="1"/>
  <c r="AQ49" i="16" s="1"/>
  <c r="AY49" i="16"/>
  <c r="Z50" i="16"/>
  <c r="U51" i="16" s="1"/>
  <c r="AC51" i="16" s="1"/>
  <c r="BD45" i="16"/>
  <c r="BJ45" i="16" s="1"/>
  <c r="AF50" i="16"/>
  <c r="AJ58" i="15"/>
  <c r="BQ44" i="16"/>
  <c r="Q60" i="16"/>
  <c r="S60" i="16" s="1"/>
  <c r="N60" i="16"/>
  <c r="M61" i="16" s="1"/>
  <c r="AG50" i="16" l="1"/>
  <c r="BE45" i="16"/>
  <c r="BF45" i="16" s="1"/>
  <c r="BI45" i="16" s="1"/>
  <c r="BK45" i="16"/>
  <c r="BL45" i="16" s="1"/>
  <c r="BM45" i="16" s="1"/>
  <c r="AD51" i="16"/>
  <c r="W51" i="16"/>
  <c r="AA51" i="16" s="1"/>
  <c r="AK51" i="16" s="1"/>
  <c r="AR49" i="16"/>
  <c r="E61" i="16"/>
  <c r="O60" i="16"/>
  <c r="BG45" i="16" l="1"/>
  <c r="BC46" i="16" s="1"/>
  <c r="AL50" i="16"/>
  <c r="AY50" i="16" s="1"/>
  <c r="AH50" i="16"/>
  <c r="AS50" i="16" s="1"/>
  <c r="Y51" i="16"/>
  <c r="AB51" i="16" s="1"/>
  <c r="AE51" i="16"/>
  <c r="BN45" i="16"/>
  <c r="AD230" i="15" s="1"/>
  <c r="BO45" i="16"/>
  <c r="BP45" i="16" s="1"/>
  <c r="L61" i="16"/>
  <c r="P61" i="16"/>
  <c r="AM50" i="16" l="1"/>
  <c r="AN50" i="16" s="1"/>
  <c r="AO50" i="16" s="1"/>
  <c r="AP50" i="16" s="1"/>
  <c r="AQ50" i="16" s="1"/>
  <c r="AT50" i="16"/>
  <c r="AW50" i="16" s="1"/>
  <c r="AX50" i="16" s="1"/>
  <c r="AZ50" i="16" s="1"/>
  <c r="AU50" i="16"/>
  <c r="AV50" i="16" s="1"/>
  <c r="Z51" i="16"/>
  <c r="U52" i="16" s="1"/>
  <c r="AC52" i="16" s="1"/>
  <c r="AF51" i="16"/>
  <c r="AG51" i="16" s="1"/>
  <c r="AH51" i="16" s="1"/>
  <c r="AS51" i="16" s="1"/>
  <c r="AT51" i="16" s="1"/>
  <c r="BD46" i="16"/>
  <c r="BE46" i="16" s="1"/>
  <c r="BF46" i="16" s="1"/>
  <c r="BH46" i="16"/>
  <c r="AJ159" i="15"/>
  <c r="BQ45" i="16"/>
  <c r="N61" i="16"/>
  <c r="M62" i="16" s="1"/>
  <c r="Q61" i="16"/>
  <c r="S61" i="16" s="1"/>
  <c r="AR50" i="16" l="1"/>
  <c r="AW51" i="16"/>
  <c r="AX51" i="16" s="1"/>
  <c r="AZ51" i="16" s="1"/>
  <c r="AU51" i="16"/>
  <c r="AV51" i="16" s="1"/>
  <c r="AL51" i="16"/>
  <c r="AY51" i="16" s="1"/>
  <c r="BJ46" i="16"/>
  <c r="BK46" i="16"/>
  <c r="BL46" i="16" s="1"/>
  <c r="BM46" i="16" s="1"/>
  <c r="W52" i="16"/>
  <c r="AA52" i="16" s="1"/>
  <c r="AK52" i="16" s="1"/>
  <c r="O61" i="16"/>
  <c r="AD52" i="16"/>
  <c r="BI46" i="16"/>
  <c r="BG46" i="16"/>
  <c r="P62" i="16"/>
  <c r="Q62" i="16" s="1"/>
  <c r="S62" i="16" s="1"/>
  <c r="E62" i="16"/>
  <c r="AM51" i="16" l="1"/>
  <c r="AN51" i="16" s="1"/>
  <c r="AE52" i="16"/>
  <c r="Y52" i="16"/>
  <c r="AB52" i="16" s="1"/>
  <c r="BC47" i="16"/>
  <c r="BH47" i="16" s="1"/>
  <c r="BN46" i="16"/>
  <c r="AD237" i="15" s="1"/>
  <c r="BO46" i="16"/>
  <c r="BP46" i="16" s="1"/>
  <c r="L62" i="16"/>
  <c r="AO51" i="16" l="1"/>
  <c r="AP51" i="16" s="1"/>
  <c r="AR51" i="16" s="1"/>
  <c r="BD47" i="16"/>
  <c r="BJ47" i="16" s="1"/>
  <c r="AF52" i="16"/>
  <c r="AG52" i="16" s="1"/>
  <c r="AH52" i="16" s="1"/>
  <c r="AS52" i="16" s="1"/>
  <c r="Z52" i="16"/>
  <c r="AJ160" i="15"/>
  <c r="BQ46" i="16"/>
  <c r="N62" i="16"/>
  <c r="M63" i="16" s="1"/>
  <c r="BE47" i="16" l="1"/>
  <c r="BF47" i="16" s="1"/>
  <c r="BI47" i="16" s="1"/>
  <c r="AL52" i="16"/>
  <c r="AY52" i="16" s="1"/>
  <c r="AT52" i="16"/>
  <c r="AW52" i="16" s="1"/>
  <c r="AX52" i="16" s="1"/>
  <c r="AZ52" i="16" s="1"/>
  <c r="AU52" i="16"/>
  <c r="AV52" i="16" s="1"/>
  <c r="BK47" i="16"/>
  <c r="BL47" i="16" s="1"/>
  <c r="BM47" i="16" s="1"/>
  <c r="AQ51" i="16"/>
  <c r="O62" i="16"/>
  <c r="U53" i="16"/>
  <c r="AC53" i="16" s="1"/>
  <c r="E63" i="16"/>
  <c r="L63" i="16" s="1"/>
  <c r="P63" i="16"/>
  <c r="AM52" i="16" l="1"/>
  <c r="AN52" i="16" s="1"/>
  <c r="AO52" i="16" s="1"/>
  <c r="BG47" i="16"/>
  <c r="BC48" i="16" s="1"/>
  <c r="BH48" i="16" s="1"/>
  <c r="W53" i="16"/>
  <c r="AA53" i="16" s="1"/>
  <c r="AK53" i="16" s="1"/>
  <c r="AD53" i="16"/>
  <c r="BO47" i="16"/>
  <c r="BP47" i="16" s="1"/>
  <c r="BN47" i="16"/>
  <c r="AD101" i="15" s="1"/>
  <c r="Q63" i="16"/>
  <c r="S63" i="16" s="1"/>
  <c r="N63" i="16"/>
  <c r="M64" i="16" s="1"/>
  <c r="Y53" i="16" l="1"/>
  <c r="AP52" i="16"/>
  <c r="AQ52" i="16" s="1"/>
  <c r="AE53" i="16"/>
  <c r="BD48" i="16"/>
  <c r="BE48" i="16" s="1"/>
  <c r="BF48" i="16" s="1"/>
  <c r="AJ37" i="15"/>
  <c r="BQ47" i="16"/>
  <c r="O63" i="16"/>
  <c r="AR52" i="16" l="1"/>
  <c r="AB53" i="16"/>
  <c r="Z53" i="16"/>
  <c r="U54" i="16" s="1"/>
  <c r="AC54" i="16" s="1"/>
  <c r="BI48" i="16"/>
  <c r="BG48" i="16"/>
  <c r="BK48" i="16"/>
  <c r="BL48" i="16" s="1"/>
  <c r="BM48" i="16" s="1"/>
  <c r="BJ48" i="16"/>
  <c r="E64" i="16"/>
  <c r="L64" i="16" s="1"/>
  <c r="P64" i="16"/>
  <c r="W54" i="16" l="1"/>
  <c r="AA54" i="16" s="1"/>
  <c r="AK54" i="16" s="1"/>
  <c r="AF53" i="16"/>
  <c r="AG53" i="16" s="1"/>
  <c r="AH53" i="16" s="1"/>
  <c r="AS53" i="16" s="1"/>
  <c r="AD54" i="16"/>
  <c r="AE54" i="16" s="1"/>
  <c r="BC49" i="16"/>
  <c r="BH49" i="16" s="1"/>
  <c r="BO48" i="16"/>
  <c r="BP48" i="16" s="1"/>
  <c r="BN48" i="16"/>
  <c r="AD122" i="15" s="1"/>
  <c r="Q64" i="16"/>
  <c r="S64" i="16" s="1"/>
  <c r="N64" i="16"/>
  <c r="M65" i="16" s="1"/>
  <c r="AU53" i="16" l="1"/>
  <c r="AV53" i="16" s="1"/>
  <c r="AT53" i="16"/>
  <c r="AW53" i="16" s="1"/>
  <c r="AX53" i="16" s="1"/>
  <c r="AZ53" i="16" s="1"/>
  <c r="AL53" i="16"/>
  <c r="AY53" i="16" s="1"/>
  <c r="Y54" i="16"/>
  <c r="AB54" i="16" s="1"/>
  <c r="BD49" i="16"/>
  <c r="BE49" i="16" s="1"/>
  <c r="BF49" i="16" s="1"/>
  <c r="AJ161" i="15"/>
  <c r="BQ48" i="16"/>
  <c r="O64" i="16"/>
  <c r="AM53" i="16" l="1"/>
  <c r="AN53" i="16" s="1"/>
  <c r="Z54" i="16"/>
  <c r="U55" i="16" s="1"/>
  <c r="AC55" i="16" s="1"/>
  <c r="AD55" i="16" s="1"/>
  <c r="AE55" i="16" s="1"/>
  <c r="AF54" i="16"/>
  <c r="AG54" i="16" s="1"/>
  <c r="AH54" i="16" s="1"/>
  <c r="AS54" i="16" s="1"/>
  <c r="AT54" i="16" s="1"/>
  <c r="AW54" i="16" s="1"/>
  <c r="AX54" i="16" s="1"/>
  <c r="AZ54" i="16" s="1"/>
  <c r="BI49" i="16"/>
  <c r="BG49" i="16"/>
  <c r="BK49" i="16"/>
  <c r="BL49" i="16" s="1"/>
  <c r="BM49" i="16" s="1"/>
  <c r="BJ49" i="16"/>
  <c r="E65" i="16"/>
  <c r="L65" i="16" s="1"/>
  <c r="P65" i="16"/>
  <c r="W55" i="16" l="1"/>
  <c r="AA55" i="16" s="1"/>
  <c r="AK55" i="16" s="1"/>
  <c r="AU54" i="16"/>
  <c r="AL54" i="16"/>
  <c r="AY54" i="16" s="1"/>
  <c r="AO53" i="16"/>
  <c r="BC50" i="16"/>
  <c r="BH50" i="16" s="1"/>
  <c r="BO49" i="16"/>
  <c r="BP49" i="16" s="1"/>
  <c r="BN49" i="16"/>
  <c r="AD138" i="15" s="1"/>
  <c r="Q65" i="16"/>
  <c r="S65" i="16" s="1"/>
  <c r="N65" i="16"/>
  <c r="M66" i="16" s="1"/>
  <c r="Y55" i="16" l="1"/>
  <c r="AB55" i="16" s="1"/>
  <c r="AM54" i="16"/>
  <c r="AN54" i="16" s="1"/>
  <c r="AV54" i="16"/>
  <c r="AP53" i="16"/>
  <c r="AR53" i="16" s="1"/>
  <c r="BD50" i="16"/>
  <c r="BE50" i="16" s="1"/>
  <c r="BF50" i="16" s="1"/>
  <c r="AJ162" i="15"/>
  <c r="BQ49" i="16"/>
  <c r="O65" i="16"/>
  <c r="Z55" i="16" l="1"/>
  <c r="AO54" i="16"/>
  <c r="AP54" i="16" s="1"/>
  <c r="AR54" i="16" s="1"/>
  <c r="AQ53" i="16"/>
  <c r="BJ50" i="16"/>
  <c r="U56" i="16"/>
  <c r="AC56" i="16" s="1"/>
  <c r="BK50" i="16"/>
  <c r="BL50" i="16" s="1"/>
  <c r="BM50" i="16" s="1"/>
  <c r="AF55" i="16"/>
  <c r="AG55" i="16" s="1"/>
  <c r="AH55" i="16" s="1"/>
  <c r="AS55" i="16" s="1"/>
  <c r="BI50" i="16"/>
  <c r="BG50" i="16"/>
  <c r="BC51" i="16" s="1"/>
  <c r="E66" i="16"/>
  <c r="L66" i="16" s="1"/>
  <c r="P66" i="16"/>
  <c r="AQ54" i="16" l="1"/>
  <c r="AL55" i="16"/>
  <c r="AY55" i="16" s="1"/>
  <c r="AT55" i="16"/>
  <c r="AW55" i="16" s="1"/>
  <c r="AX55" i="16" s="1"/>
  <c r="AZ55" i="16" s="1"/>
  <c r="AU55" i="16"/>
  <c r="W56" i="16"/>
  <c r="AA56" i="16" s="1"/>
  <c r="AK56" i="16" s="1"/>
  <c r="AD56" i="16"/>
  <c r="AE56" i="16" s="1"/>
  <c r="BD51" i="16"/>
  <c r="BE51" i="16" s="1"/>
  <c r="Q66" i="16"/>
  <c r="S66" i="16" s="1"/>
  <c r="N66" i="16"/>
  <c r="M67" i="16" s="1"/>
  <c r="BO50" i="16"/>
  <c r="BP50" i="16" s="1"/>
  <c r="AJ163" i="15" s="1"/>
  <c r="BN50" i="16"/>
  <c r="AD157" i="15" s="1"/>
  <c r="BH51" i="16"/>
  <c r="AM55" i="16" l="1"/>
  <c r="AN55" i="16" s="1"/>
  <c r="AO55" i="16" s="1"/>
  <c r="AV55" i="16"/>
  <c r="Y56" i="16"/>
  <c r="Z56" i="16" s="1"/>
  <c r="BF51" i="16"/>
  <c r="BI51" i="16" s="1"/>
  <c r="O66" i="16"/>
  <c r="BQ50" i="16"/>
  <c r="BJ51" i="16"/>
  <c r="BK51" i="16"/>
  <c r="BL51" i="16" s="1"/>
  <c r="BM51" i="16" s="1"/>
  <c r="AB56" i="16" l="1"/>
  <c r="AF56" i="16" s="1"/>
  <c r="AG56" i="16" s="1"/>
  <c r="AH56" i="16" s="1"/>
  <c r="AS56" i="16" s="1"/>
  <c r="AP55" i="16"/>
  <c r="AQ55" i="16" s="1"/>
  <c r="U57" i="16"/>
  <c r="AC57" i="16" s="1"/>
  <c r="AD57" i="16" s="1"/>
  <c r="AE57" i="16" s="1"/>
  <c r="E67" i="16"/>
  <c r="L67" i="16" s="1"/>
  <c r="P67" i="16"/>
  <c r="BG51" i="16"/>
  <c r="AL56" i="16" l="1"/>
  <c r="AM56" i="16" s="1"/>
  <c r="AT56" i="16"/>
  <c r="AW56" i="16" s="1"/>
  <c r="AX56" i="16" s="1"/>
  <c r="AZ56" i="16" s="1"/>
  <c r="AU56" i="16"/>
  <c r="AV56" i="16" s="1"/>
  <c r="W57" i="16"/>
  <c r="AA57" i="16" s="1"/>
  <c r="AK57" i="16" s="1"/>
  <c r="AR55" i="16"/>
  <c r="BC52" i="16"/>
  <c r="BH52" i="16" s="1"/>
  <c r="Q67" i="16"/>
  <c r="S67" i="16" s="1"/>
  <c r="N67" i="16"/>
  <c r="M68" i="16" s="1"/>
  <c r="BO51" i="16"/>
  <c r="BP51" i="16" s="1"/>
  <c r="AJ164" i="15" s="1"/>
  <c r="BN51" i="16"/>
  <c r="AD188" i="15" s="1"/>
  <c r="AY56" i="16" l="1"/>
  <c r="Y57" i="16"/>
  <c r="AB57" i="16" s="1"/>
  <c r="AF57" i="16" s="1"/>
  <c r="AN56" i="16"/>
  <c r="BD52" i="16"/>
  <c r="O67" i="16"/>
  <c r="BQ51" i="16"/>
  <c r="AG57" i="16" l="1"/>
  <c r="AH57" i="16" s="1"/>
  <c r="AS57" i="16" s="1"/>
  <c r="Z57" i="16"/>
  <c r="U58" i="16" s="1"/>
  <c r="AC58" i="16" s="1"/>
  <c r="AO56" i="16"/>
  <c r="AP56" i="16" s="1"/>
  <c r="AQ56" i="16" s="1"/>
  <c r="BK52" i="16"/>
  <c r="BL52" i="16" s="1"/>
  <c r="BM52" i="16" s="1"/>
  <c r="BJ52" i="16"/>
  <c r="BE52" i="16"/>
  <c r="BF52" i="16" s="1"/>
  <c r="BI52" i="16" s="1"/>
  <c r="E68" i="16"/>
  <c r="L68" i="16" s="1"/>
  <c r="P68" i="16"/>
  <c r="W58" i="16" l="1"/>
  <c r="AA58" i="16" s="1"/>
  <c r="AK58" i="16" s="1"/>
  <c r="AT57" i="16"/>
  <c r="AW57" i="16" s="1"/>
  <c r="AU57" i="16"/>
  <c r="AV57" i="16" s="1"/>
  <c r="AL57" i="16"/>
  <c r="AM57" i="16" s="1"/>
  <c r="AN57" i="16" s="1"/>
  <c r="AD58" i="16"/>
  <c r="AE58" i="16" s="1"/>
  <c r="AR56" i="16"/>
  <c r="Q68" i="16"/>
  <c r="S68" i="16" s="1"/>
  <c r="N68" i="16"/>
  <c r="M69" i="16" s="1"/>
  <c r="BO52" i="16"/>
  <c r="BP52" i="16" s="1"/>
  <c r="AJ165" i="15" s="1"/>
  <c r="BN52" i="16"/>
  <c r="AD213" i="15" s="1"/>
  <c r="BG52" i="16"/>
  <c r="AO57" i="16" l="1"/>
  <c r="AP57" i="16" s="1"/>
  <c r="AR57" i="16" s="1"/>
  <c r="Y58" i="16"/>
  <c r="AB58" i="16" s="1"/>
  <c r="AF58" i="16" s="1"/>
  <c r="AG58" i="16" s="1"/>
  <c r="AH58" i="16" s="1"/>
  <c r="AS58" i="16" s="1"/>
  <c r="AT58" i="16" s="1"/>
  <c r="AY57" i="16"/>
  <c r="AX57" i="16"/>
  <c r="AZ57" i="16" s="1"/>
  <c r="BC53" i="16"/>
  <c r="O68" i="16"/>
  <c r="BQ52" i="16"/>
  <c r="AQ57" i="16" l="1"/>
  <c r="AW58" i="16"/>
  <c r="AX58" i="16" s="1"/>
  <c r="AZ58" i="16" s="1"/>
  <c r="Z58" i="16"/>
  <c r="U59" i="16" s="1"/>
  <c r="AC59" i="16" s="1"/>
  <c r="AD59" i="16" s="1"/>
  <c r="AE59" i="16" s="1"/>
  <c r="AU58" i="16"/>
  <c r="AV58" i="16" s="1"/>
  <c r="AL58" i="16"/>
  <c r="AM58" i="16" s="1"/>
  <c r="AN58" i="16" s="1"/>
  <c r="AO58" i="16" s="1"/>
  <c r="AP58" i="16" s="1"/>
  <c r="AQ58" i="16" s="1"/>
  <c r="BH53" i="16"/>
  <c r="BD53" i="16"/>
  <c r="E69" i="16"/>
  <c r="L69" i="16" s="1"/>
  <c r="P69" i="16"/>
  <c r="W59" i="16" l="1"/>
  <c r="Y59" i="16" s="1"/>
  <c r="AB59" i="16" s="1"/>
  <c r="AF59" i="16" s="1"/>
  <c r="AY58" i="16"/>
  <c r="AR58" i="16"/>
  <c r="BE53" i="16"/>
  <c r="BF53" i="16" s="1"/>
  <c r="BI53" i="16" s="1"/>
  <c r="Q69" i="16"/>
  <c r="S69" i="16" s="1"/>
  <c r="N69" i="16"/>
  <c r="M70" i="16" s="1"/>
  <c r="BJ53" i="16"/>
  <c r="BK53" i="16"/>
  <c r="BL53" i="16" s="1"/>
  <c r="BM53" i="16" s="1"/>
  <c r="AA59" i="16" l="1"/>
  <c r="AK59" i="16" s="1"/>
  <c r="Z59" i="16"/>
  <c r="U60" i="16" s="1"/>
  <c r="AC60" i="16" s="1"/>
  <c r="AD60" i="16" s="1"/>
  <c r="AG59" i="16"/>
  <c r="O69" i="16"/>
  <c r="BO53" i="16"/>
  <c r="BP53" i="16" s="1"/>
  <c r="AJ45" i="15" s="1"/>
  <c r="BN53" i="16"/>
  <c r="AD100" i="15" s="1"/>
  <c r="BG53" i="16"/>
  <c r="W60" i="16" l="1"/>
  <c r="AA60" i="16" s="1"/>
  <c r="AK60" i="16" s="1"/>
  <c r="AL59" i="16"/>
  <c r="AY59" i="16" s="1"/>
  <c r="AH59" i="16"/>
  <c r="AS59" i="16" s="1"/>
  <c r="AE60" i="16"/>
  <c r="BC54" i="16"/>
  <c r="E70" i="16"/>
  <c r="L70" i="16" s="1"/>
  <c r="P70" i="16"/>
  <c r="BQ53" i="16"/>
  <c r="Y60" i="16" l="1"/>
  <c r="AB60" i="16" s="1"/>
  <c r="AF60" i="16" s="1"/>
  <c r="AG60" i="16" s="1"/>
  <c r="AH60" i="16" s="1"/>
  <c r="AS60" i="16" s="1"/>
  <c r="AT60" i="16" s="1"/>
  <c r="AM59" i="16"/>
  <c r="AN59" i="16" s="1"/>
  <c r="AO59" i="16" s="1"/>
  <c r="AP59" i="16" s="1"/>
  <c r="AQ59" i="16" s="1"/>
  <c r="AT59" i="16"/>
  <c r="AW59" i="16" s="1"/>
  <c r="AU59" i="16"/>
  <c r="AV59" i="16" s="1"/>
  <c r="BD54" i="16"/>
  <c r="BE54" i="16" s="1"/>
  <c r="BH54" i="16"/>
  <c r="Q70" i="16"/>
  <c r="S70" i="16" s="1"/>
  <c r="N70" i="16"/>
  <c r="M71" i="16" s="1"/>
  <c r="Z60" i="16" l="1"/>
  <c r="U61" i="16" s="1"/>
  <c r="AC61" i="16" s="1"/>
  <c r="AD61" i="16" s="1"/>
  <c r="AE61" i="16" s="1"/>
  <c r="AR59" i="16"/>
  <c r="AU60" i="16"/>
  <c r="AL60" i="16"/>
  <c r="AM60" i="16" s="1"/>
  <c r="AX59" i="16"/>
  <c r="AZ59" i="16" s="1"/>
  <c r="BK54" i="16"/>
  <c r="BL54" i="16" s="1"/>
  <c r="BM54" i="16" s="1"/>
  <c r="BF54" i="16"/>
  <c r="BI54" i="16" s="1"/>
  <c r="BO54" i="16" s="1"/>
  <c r="BP54" i="16" s="1"/>
  <c r="AJ166" i="15" s="1"/>
  <c r="O70" i="16"/>
  <c r="BJ54" i="16"/>
  <c r="W61" i="16" l="1"/>
  <c r="AA61" i="16" s="1"/>
  <c r="AK61" i="16" s="1"/>
  <c r="AW60" i="16"/>
  <c r="AX60" i="16" s="1"/>
  <c r="AZ60" i="16" s="1"/>
  <c r="AY60" i="16"/>
  <c r="AV60" i="16"/>
  <c r="AN60" i="16"/>
  <c r="AO60" i="16" s="1"/>
  <c r="E71" i="16"/>
  <c r="P71" i="16"/>
  <c r="BN54" i="16"/>
  <c r="AD117" i="15" s="1"/>
  <c r="BG54" i="16"/>
  <c r="Y61" i="16" l="1"/>
  <c r="Z61" i="16" s="1"/>
  <c r="AP60" i="16"/>
  <c r="AR60" i="16" s="1"/>
  <c r="BC55" i="16"/>
  <c r="BH55" i="16" s="1"/>
  <c r="L71" i="16"/>
  <c r="N71" i="16" s="1"/>
  <c r="M72" i="16" s="1"/>
  <c r="Q71" i="16"/>
  <c r="S71" i="16" s="1"/>
  <c r="BQ54" i="16"/>
  <c r="AB61" i="16" l="1"/>
  <c r="AF61" i="16" s="1"/>
  <c r="AG61" i="16" s="1"/>
  <c r="AH61" i="16" s="1"/>
  <c r="AS61" i="16" s="1"/>
  <c r="U62" i="16"/>
  <c r="AC62" i="16" s="1"/>
  <c r="AQ60" i="16"/>
  <c r="BD55" i="16"/>
  <c r="BJ55" i="16" s="1"/>
  <c r="P72" i="16"/>
  <c r="Q72" i="16" s="1"/>
  <c r="S72" i="16" s="1"/>
  <c r="E72" i="16"/>
  <c r="O71" i="16"/>
  <c r="AT61" i="16" l="1"/>
  <c r="AW61" i="16" s="1"/>
  <c r="AX61" i="16" s="1"/>
  <c r="AZ61" i="16" s="1"/>
  <c r="AU61" i="16"/>
  <c r="AV61" i="16" s="1"/>
  <c r="AL61" i="16"/>
  <c r="AY61" i="16" s="1"/>
  <c r="AD62" i="16"/>
  <c r="W62" i="16"/>
  <c r="BK55" i="16"/>
  <c r="BL55" i="16" s="1"/>
  <c r="BM55" i="16" s="1"/>
  <c r="BE55" i="16"/>
  <c r="BF55" i="16" s="1"/>
  <c r="L72" i="16"/>
  <c r="N72" i="16" s="1"/>
  <c r="AM61" i="16" l="1"/>
  <c r="AN61" i="16" s="1"/>
  <c r="AO61" i="16" s="1"/>
  <c r="AA62" i="16"/>
  <c r="AK62" i="16" s="1"/>
  <c r="Y62" i="16"/>
  <c r="AB62" i="16" s="1"/>
  <c r="AE62" i="16"/>
  <c r="BI55" i="16"/>
  <c r="BG55" i="16"/>
  <c r="O72" i="16"/>
  <c r="M73" i="16"/>
  <c r="E73" i="16" s="1"/>
  <c r="AF62" i="16" l="1"/>
  <c r="AP61" i="16"/>
  <c r="AR61" i="16" s="1"/>
  <c r="Z62" i="16"/>
  <c r="BC56" i="16"/>
  <c r="BH56" i="16" s="1"/>
  <c r="BO55" i="16"/>
  <c r="BP55" i="16" s="1"/>
  <c r="BN55" i="16"/>
  <c r="AD89" i="15" s="1"/>
  <c r="L73" i="16"/>
  <c r="N73" i="16" s="1"/>
  <c r="P73" i="16"/>
  <c r="Q73" i="16" s="1"/>
  <c r="S73" i="16" s="1"/>
  <c r="AG62" i="16" l="1"/>
  <c r="AL62" i="16" s="1"/>
  <c r="AY62" i="16" s="1"/>
  <c r="AQ61" i="16"/>
  <c r="U63" i="16"/>
  <c r="AC63" i="16" s="1"/>
  <c r="AD63" i="16" s="1"/>
  <c r="BD56" i="16"/>
  <c r="BJ56" i="16" s="1"/>
  <c r="AJ66" i="15"/>
  <c r="BQ55" i="16"/>
  <c r="O73" i="16"/>
  <c r="M74" i="16"/>
  <c r="AM62" i="16" l="1"/>
  <c r="AH62" i="16"/>
  <c r="AS62" i="16" s="1"/>
  <c r="BE56" i="16"/>
  <c r="BF56" i="16" s="1"/>
  <c r="BI56" i="16" s="1"/>
  <c r="BO56" i="16" s="1"/>
  <c r="BP56" i="16" s="1"/>
  <c r="AJ167" i="15" s="1"/>
  <c r="BK56" i="16"/>
  <c r="BL56" i="16" s="1"/>
  <c r="BM56" i="16" s="1"/>
  <c r="AN62" i="16"/>
  <c r="AO62" i="16" s="1"/>
  <c r="AE63" i="16"/>
  <c r="W63" i="16"/>
  <c r="Y63" i="16" s="1"/>
  <c r="AB63" i="16" s="1"/>
  <c r="P74" i="16"/>
  <c r="Q74" i="16" s="1"/>
  <c r="S74" i="16" s="1"/>
  <c r="E74" i="16"/>
  <c r="L74" i="16" s="1"/>
  <c r="N74" i="16" s="1"/>
  <c r="M75" i="16" s="1"/>
  <c r="AT62" i="16" l="1"/>
  <c r="AW62" i="16" s="1"/>
  <c r="AX62" i="16" s="1"/>
  <c r="AZ62" i="16" s="1"/>
  <c r="AU62" i="16"/>
  <c r="BN56" i="16"/>
  <c r="AD114" i="15" s="1"/>
  <c r="BG56" i="16"/>
  <c r="BC57" i="16" s="1"/>
  <c r="AF63" i="16"/>
  <c r="AG63" i="16" s="1"/>
  <c r="AH63" i="16" s="1"/>
  <c r="AS63" i="16" s="1"/>
  <c r="AT63" i="16" s="1"/>
  <c r="AW63" i="16" s="1"/>
  <c r="AX63" i="16" s="1"/>
  <c r="AZ63" i="16" s="1"/>
  <c r="AA63" i="16"/>
  <c r="AK63" i="16" s="1"/>
  <c r="Z63" i="16"/>
  <c r="AP62" i="16"/>
  <c r="AR62" i="16" s="1"/>
  <c r="O74" i="16"/>
  <c r="AV62" i="16" l="1"/>
  <c r="AU63" i="16" s="1"/>
  <c r="AV63" i="16" s="1"/>
  <c r="AL63" i="16"/>
  <c r="AM63" i="16" s="1"/>
  <c r="BQ56" i="16"/>
  <c r="AQ62" i="16"/>
  <c r="U64" i="16"/>
  <c r="AC64" i="16" s="1"/>
  <c r="AD64" i="16" s="1"/>
  <c r="BD57" i="16"/>
  <c r="BE57" i="16" s="1"/>
  <c r="BH57" i="16"/>
  <c r="E75" i="16"/>
  <c r="L75" i="16" s="1"/>
  <c r="P75" i="16"/>
  <c r="AY63" i="16" l="1"/>
  <c r="AE64" i="16"/>
  <c r="BF57" i="16"/>
  <c r="BI57" i="16" s="1"/>
  <c r="W64" i="16"/>
  <c r="AN63" i="16"/>
  <c r="AO63" i="16" s="1"/>
  <c r="N75" i="16"/>
  <c r="M76" i="16" s="1"/>
  <c r="Q75" i="16"/>
  <c r="S75" i="16" s="1"/>
  <c r="BJ57" i="16"/>
  <c r="BK57" i="16"/>
  <c r="BL57" i="16" s="1"/>
  <c r="BM57" i="16" s="1"/>
  <c r="AA64" i="16" l="1"/>
  <c r="AK64" i="16" s="1"/>
  <c r="Y64" i="16"/>
  <c r="AP63" i="16"/>
  <c r="AR63" i="16" s="1"/>
  <c r="E76" i="16"/>
  <c r="O75" i="16"/>
  <c r="BO57" i="16"/>
  <c r="BP57" i="16" s="1"/>
  <c r="AJ34" i="15" s="1"/>
  <c r="BN57" i="16"/>
  <c r="AD69" i="15" s="1"/>
  <c r="BG57" i="16"/>
  <c r="AQ63" i="16" l="1"/>
  <c r="AB64" i="16"/>
  <c r="Z64" i="16"/>
  <c r="BC58" i="16"/>
  <c r="L76" i="16"/>
  <c r="N76" i="16" s="1"/>
  <c r="M77" i="16" s="1"/>
  <c r="P76" i="16"/>
  <c r="BQ57" i="16"/>
  <c r="U65" i="16" l="1"/>
  <c r="AC65" i="16" s="1"/>
  <c r="AF64" i="16"/>
  <c r="AG64" i="16" s="1"/>
  <c r="AH64" i="16" s="1"/>
  <c r="AS64" i="16" s="1"/>
  <c r="BD58" i="16"/>
  <c r="BH58" i="16"/>
  <c r="Q76" i="16"/>
  <c r="S76" i="16" s="1"/>
  <c r="O76" i="16"/>
  <c r="AU64" i="16" l="1"/>
  <c r="AT64" i="16"/>
  <c r="AW64" i="16" s="1"/>
  <c r="AX64" i="16" s="1"/>
  <c r="AZ64" i="16" s="1"/>
  <c r="AL64" i="16"/>
  <c r="AY64" i="16" s="1"/>
  <c r="AD65" i="16"/>
  <c r="W65" i="16"/>
  <c r="AA65" i="16" s="1"/>
  <c r="AK65" i="16" s="1"/>
  <c r="BE58" i="16"/>
  <c r="BF58" i="16" s="1"/>
  <c r="BI58" i="16" s="1"/>
  <c r="P77" i="16"/>
  <c r="Q77" i="16" s="1"/>
  <c r="S77" i="16" s="1"/>
  <c r="E77" i="16"/>
  <c r="L77" i="16" s="1"/>
  <c r="BJ58" i="16"/>
  <c r="BK58" i="16"/>
  <c r="BL58" i="16" s="1"/>
  <c r="BM58" i="16" s="1"/>
  <c r="AM64" i="16" l="1"/>
  <c r="AN64" i="16" s="1"/>
  <c r="AO64" i="16" s="1"/>
  <c r="AV64" i="16"/>
  <c r="Y65" i="16"/>
  <c r="AB65" i="16" s="1"/>
  <c r="AE65" i="16"/>
  <c r="N77" i="16"/>
  <c r="M78" i="16" s="1"/>
  <c r="BO58" i="16"/>
  <c r="BP58" i="16" s="1"/>
  <c r="AJ69" i="15" s="1"/>
  <c r="BN58" i="16"/>
  <c r="AD64" i="15" s="1"/>
  <c r="BG58" i="16"/>
  <c r="AF65" i="16" l="1"/>
  <c r="AG65" i="16" s="1"/>
  <c r="AH65" i="16" s="1"/>
  <c r="AS65" i="16" s="1"/>
  <c r="Z65" i="16"/>
  <c r="U66" i="16" s="1"/>
  <c r="AC66" i="16" s="1"/>
  <c r="AP64" i="16"/>
  <c r="AR64" i="16" s="1"/>
  <c r="BC59" i="16"/>
  <c r="E78" i="16"/>
  <c r="O77" i="16"/>
  <c r="BQ58" i="16"/>
  <c r="AT65" i="16" l="1"/>
  <c r="AW65" i="16" s="1"/>
  <c r="AX65" i="16" s="1"/>
  <c r="AZ65" i="16" s="1"/>
  <c r="AU65" i="16"/>
  <c r="AL65" i="16"/>
  <c r="AY65" i="16" s="1"/>
  <c r="AD66" i="16"/>
  <c r="AE66" i="16" s="1"/>
  <c r="AQ64" i="16"/>
  <c r="W66" i="16"/>
  <c r="Y66" i="16" s="1"/>
  <c r="AB66" i="16" s="1"/>
  <c r="BD59" i="16"/>
  <c r="BE59" i="16" s="1"/>
  <c r="BH59" i="16"/>
  <c r="L78" i="16"/>
  <c r="P78" i="16"/>
  <c r="AV65" i="16" l="1"/>
  <c r="AM65" i="16"/>
  <c r="AN65" i="16" s="1"/>
  <c r="AO65" i="16" s="1"/>
  <c r="AP65" i="16" s="1"/>
  <c r="AR65" i="16" s="1"/>
  <c r="AF66" i="16"/>
  <c r="AG66" i="16" s="1"/>
  <c r="AH66" i="16" s="1"/>
  <c r="AS66" i="16" s="1"/>
  <c r="AT66" i="16" s="1"/>
  <c r="AW66" i="16" s="1"/>
  <c r="AX66" i="16" s="1"/>
  <c r="AZ66" i="16" s="1"/>
  <c r="AA66" i="16"/>
  <c r="AK66" i="16" s="1"/>
  <c r="Z66" i="16"/>
  <c r="U67" i="16" s="1"/>
  <c r="AC67" i="16" s="1"/>
  <c r="AD67" i="16" s="1"/>
  <c r="AE67" i="16" s="1"/>
  <c r="BF59" i="16"/>
  <c r="BI59" i="16" s="1"/>
  <c r="N78" i="16"/>
  <c r="M79" i="16" s="1"/>
  <c r="Q78" i="16"/>
  <c r="S78" i="16" s="1"/>
  <c r="BJ59" i="16"/>
  <c r="BK59" i="16"/>
  <c r="BL59" i="16" s="1"/>
  <c r="BM59" i="16" s="1"/>
  <c r="AL66" i="16" l="1"/>
  <c r="AY66" i="16" s="1"/>
  <c r="AU66" i="16"/>
  <c r="AV66" i="16" s="1"/>
  <c r="W67" i="16"/>
  <c r="AA67" i="16" s="1"/>
  <c r="AK67" i="16" s="1"/>
  <c r="AQ65" i="16"/>
  <c r="O78" i="16"/>
  <c r="BO59" i="16"/>
  <c r="BP59" i="16" s="1"/>
  <c r="AJ91" i="15" s="1"/>
  <c r="BN59" i="16"/>
  <c r="AD60" i="15" s="1"/>
  <c r="BG59" i="16"/>
  <c r="AM66" i="16" l="1"/>
  <c r="AN66" i="16" s="1"/>
  <c r="Y67" i="16"/>
  <c r="AB67" i="16" s="1"/>
  <c r="BC60" i="16"/>
  <c r="P79" i="16"/>
  <c r="Q79" i="16" s="1"/>
  <c r="S79" i="16" s="1"/>
  <c r="E79" i="16"/>
  <c r="L79" i="16" s="1"/>
  <c r="BQ59" i="16"/>
  <c r="AO66" i="16" l="1"/>
  <c r="AP66" i="16" s="1"/>
  <c r="AR66" i="16" s="1"/>
  <c r="Z67" i="16"/>
  <c r="U68" i="16" s="1"/>
  <c r="AC68" i="16" s="1"/>
  <c r="AF67" i="16"/>
  <c r="BD60" i="16"/>
  <c r="BH60" i="16"/>
  <c r="N79" i="16"/>
  <c r="M80" i="16" s="1"/>
  <c r="AG67" i="16" l="1"/>
  <c r="AH67" i="16" s="1"/>
  <c r="AS67" i="16" s="1"/>
  <c r="AT67" i="16" s="1"/>
  <c r="AW67" i="16" s="1"/>
  <c r="AX67" i="16" s="1"/>
  <c r="AZ67" i="16" s="1"/>
  <c r="AQ66" i="16"/>
  <c r="AD68" i="16"/>
  <c r="W68" i="16"/>
  <c r="AA68" i="16" s="1"/>
  <c r="AK68" i="16" s="1"/>
  <c r="BE60" i="16"/>
  <c r="BF60" i="16" s="1"/>
  <c r="BI60" i="16" s="1"/>
  <c r="O79" i="16"/>
  <c r="BJ60" i="16"/>
  <c r="BK60" i="16"/>
  <c r="BL60" i="16" s="1"/>
  <c r="BM60" i="16" s="1"/>
  <c r="AU67" i="16" l="1"/>
  <c r="AV67" i="16" s="1"/>
  <c r="AL67" i="16"/>
  <c r="AY67" i="16" s="1"/>
  <c r="Y68" i="16"/>
  <c r="AB68" i="16" s="1"/>
  <c r="AE68" i="16"/>
  <c r="E80" i="16"/>
  <c r="P80" i="16"/>
  <c r="Q80" i="16" s="1"/>
  <c r="S80" i="16" s="1"/>
  <c r="BO60" i="16"/>
  <c r="BP60" i="16" s="1"/>
  <c r="AJ33" i="15" s="1"/>
  <c r="BN60" i="16"/>
  <c r="AD44" i="15" s="1"/>
  <c r="BG60" i="16"/>
  <c r="AM67" i="16" l="1"/>
  <c r="AN67" i="16" s="1"/>
  <c r="AO67" i="16" s="1"/>
  <c r="AP67" i="16" s="1"/>
  <c r="AQ67" i="16" s="1"/>
  <c r="AF68" i="16"/>
  <c r="AG68" i="16" s="1"/>
  <c r="AH68" i="16" s="1"/>
  <c r="AS68" i="16" s="1"/>
  <c r="AT68" i="16" s="1"/>
  <c r="AW68" i="16" s="1"/>
  <c r="AX68" i="16" s="1"/>
  <c r="AZ68" i="16" s="1"/>
  <c r="Z68" i="16"/>
  <c r="U69" i="16" s="1"/>
  <c r="AC69" i="16" s="1"/>
  <c r="AD69" i="16" s="1"/>
  <c r="BC61" i="16"/>
  <c r="L80" i="16"/>
  <c r="N80" i="16" s="1"/>
  <c r="M81" i="16" s="1"/>
  <c r="BQ60" i="16"/>
  <c r="AR67" i="16" l="1"/>
  <c r="AU68" i="16"/>
  <c r="AV68" i="16" s="1"/>
  <c r="AL68" i="16"/>
  <c r="AY68" i="16" s="1"/>
  <c r="AE69" i="16"/>
  <c r="W69" i="16"/>
  <c r="AA69" i="16" s="1"/>
  <c r="AK69" i="16" s="1"/>
  <c r="BD61" i="16"/>
  <c r="BH61" i="16"/>
  <c r="O80" i="16"/>
  <c r="E81" i="16"/>
  <c r="L81" i="16" s="1"/>
  <c r="AM68" i="16" l="1"/>
  <c r="AN68" i="16" s="1"/>
  <c r="AO68" i="16" s="1"/>
  <c r="Y69" i="16"/>
  <c r="BE61" i="16"/>
  <c r="BF61" i="16" s="1"/>
  <c r="BI61" i="16" s="1"/>
  <c r="P81" i="16"/>
  <c r="Q81" i="16" s="1"/>
  <c r="S81" i="16" s="1"/>
  <c r="N81" i="16"/>
  <c r="M82" i="16" s="1"/>
  <c r="BJ61" i="16"/>
  <c r="BK61" i="16"/>
  <c r="BL61" i="16" s="1"/>
  <c r="BM61" i="16" s="1"/>
  <c r="AB69" i="16" l="1"/>
  <c r="Z69" i="16"/>
  <c r="AP68" i="16"/>
  <c r="AR68" i="16" s="1"/>
  <c r="O81" i="16"/>
  <c r="BO61" i="16"/>
  <c r="BP61" i="16" s="1"/>
  <c r="AJ78" i="15" s="1"/>
  <c r="BN61" i="16"/>
  <c r="AD38" i="15" s="1"/>
  <c r="BG61" i="16"/>
  <c r="AQ68" i="16" l="1"/>
  <c r="U70" i="16"/>
  <c r="AC70" i="16" s="1"/>
  <c r="AD70" i="16" s="1"/>
  <c r="AF69" i="16"/>
  <c r="BC62" i="16"/>
  <c r="E82" i="16"/>
  <c r="P82" i="16"/>
  <c r="Q82" i="16" s="1"/>
  <c r="S82" i="16" s="1"/>
  <c r="BQ61" i="16"/>
  <c r="AG69" i="16" l="1"/>
  <c r="AL69" i="16" s="1"/>
  <c r="AY69" i="16" s="1"/>
  <c r="W70" i="16"/>
  <c r="AA70" i="16" s="1"/>
  <c r="AK70" i="16" s="1"/>
  <c r="AE70" i="16"/>
  <c r="BD62" i="16"/>
  <c r="BH62" i="16"/>
  <c r="L82" i="16"/>
  <c r="N82" i="16" s="1"/>
  <c r="M83" i="16" s="1"/>
  <c r="AM69" i="16" l="1"/>
  <c r="AN69" i="16" s="1"/>
  <c r="AO69" i="16" s="1"/>
  <c r="AH69" i="16"/>
  <c r="AS69" i="16" s="1"/>
  <c r="Y70" i="16"/>
  <c r="Z70" i="16" s="1"/>
  <c r="BE62" i="16"/>
  <c r="BF62" i="16" s="1"/>
  <c r="BI62" i="16" s="1"/>
  <c r="O82" i="16"/>
  <c r="E83" i="16"/>
  <c r="L83" i="16" s="1"/>
  <c r="BJ62" i="16"/>
  <c r="BK62" i="16"/>
  <c r="BL62" i="16" s="1"/>
  <c r="BM62" i="16" s="1"/>
  <c r="AB70" i="16" l="1"/>
  <c r="AF70" i="16" s="1"/>
  <c r="AU69" i="16"/>
  <c r="AV69" i="16" s="1"/>
  <c r="AT69" i="16"/>
  <c r="AW69" i="16" s="1"/>
  <c r="AX69" i="16" s="1"/>
  <c r="AZ69" i="16" s="1"/>
  <c r="AP69" i="16"/>
  <c r="AR69" i="16" s="1"/>
  <c r="U71" i="16"/>
  <c r="AC71" i="16" s="1"/>
  <c r="AD71" i="16" s="1"/>
  <c r="N83" i="16"/>
  <c r="P83" i="16"/>
  <c r="Q83" i="16" s="1"/>
  <c r="S83" i="16" s="1"/>
  <c r="BO62" i="16"/>
  <c r="BP62" i="16" s="1"/>
  <c r="AJ168" i="15" s="1"/>
  <c r="BN62" i="16"/>
  <c r="AD45" i="15" s="1"/>
  <c r="BG62" i="16"/>
  <c r="AG70" i="16" l="1"/>
  <c r="AL70" i="16" s="1"/>
  <c r="AY70" i="16" s="1"/>
  <c r="W71" i="16"/>
  <c r="AA71" i="16" s="1"/>
  <c r="AK71" i="16" s="1"/>
  <c r="AE71" i="16"/>
  <c r="AQ69" i="16"/>
  <c r="BC63" i="16"/>
  <c r="M84" i="16"/>
  <c r="E84" i="16" s="1"/>
  <c r="L84" i="16" s="1"/>
  <c r="O83" i="16"/>
  <c r="BQ62" i="16"/>
  <c r="AM70" i="16" l="1"/>
  <c r="AN70" i="16" s="1"/>
  <c r="AO70" i="16" s="1"/>
  <c r="AH70" i="16"/>
  <c r="AS70" i="16" s="1"/>
  <c r="Y71" i="16"/>
  <c r="AB71" i="16" s="1"/>
  <c r="AF71" i="16" s="1"/>
  <c r="BD63" i="16"/>
  <c r="BH63" i="16"/>
  <c r="N84" i="16"/>
  <c r="M85" i="16" s="1"/>
  <c r="P84" i="16"/>
  <c r="Q84" i="16" s="1"/>
  <c r="S84" i="16" s="1"/>
  <c r="Z71" i="16" l="1"/>
  <c r="U72" i="16" s="1"/>
  <c r="AC72" i="16" s="1"/>
  <c r="AU70" i="16"/>
  <c r="AV70" i="16" s="1"/>
  <c r="AT70" i="16"/>
  <c r="AW70" i="16" s="1"/>
  <c r="AX70" i="16" s="1"/>
  <c r="AZ70" i="16" s="1"/>
  <c r="AG71" i="16"/>
  <c r="AL71" i="16" s="1"/>
  <c r="AY71" i="16" s="1"/>
  <c r="O84" i="16"/>
  <c r="AP70" i="16"/>
  <c r="AR70" i="16" s="1"/>
  <c r="BE63" i="16"/>
  <c r="BF63" i="16" s="1"/>
  <c r="BI63" i="16" s="1"/>
  <c r="BO63" i="16" s="1"/>
  <c r="BP63" i="16" s="1"/>
  <c r="AJ169" i="15" s="1"/>
  <c r="E85" i="16"/>
  <c r="L85" i="16" s="1"/>
  <c r="P85" i="16"/>
  <c r="BJ63" i="16"/>
  <c r="BK63" i="16"/>
  <c r="BL63" i="16" s="1"/>
  <c r="BM63" i="16" s="1"/>
  <c r="AM71" i="16" l="1"/>
  <c r="AH71" i="16"/>
  <c r="AS71" i="16" s="1"/>
  <c r="AD72" i="16"/>
  <c r="AE72" i="16" s="1"/>
  <c r="W72" i="16"/>
  <c r="AN71" i="16"/>
  <c r="AO71" i="16" s="1"/>
  <c r="AQ70" i="16"/>
  <c r="BG63" i="16"/>
  <c r="Q85" i="16"/>
  <c r="S85" i="16" s="1"/>
  <c r="N85" i="16"/>
  <c r="M86" i="16" s="1"/>
  <c r="BN63" i="16"/>
  <c r="AD55" i="15" s="1"/>
  <c r="AT71" i="16" l="1"/>
  <c r="AW71" i="16" s="1"/>
  <c r="AU71" i="16"/>
  <c r="AV71" i="16" s="1"/>
  <c r="AA72" i="16"/>
  <c r="AK72" i="16" s="1"/>
  <c r="Y72" i="16"/>
  <c r="AP71" i="16"/>
  <c r="AR71" i="16" s="1"/>
  <c r="BC64" i="16"/>
  <c r="BH64" i="16" s="1"/>
  <c r="O85" i="16"/>
  <c r="E86" i="16"/>
  <c r="BQ63" i="16"/>
  <c r="AX71" i="16" l="1"/>
  <c r="AZ71" i="16" s="1"/>
  <c r="Z72" i="16"/>
  <c r="U73" i="16" s="1"/>
  <c r="AC73" i="16" s="1"/>
  <c r="AB72" i="16"/>
  <c r="AQ71" i="16"/>
  <c r="BD64" i="16"/>
  <c r="BJ64" i="16" s="1"/>
  <c r="L86" i="16"/>
  <c r="N86" i="16" s="1"/>
  <c r="M87" i="16" s="1"/>
  <c r="P86" i="16"/>
  <c r="AD73" i="16" l="1"/>
  <c r="AE73" i="16" s="1"/>
  <c r="W73" i="16"/>
  <c r="AA73" i="16" s="1"/>
  <c r="AK73" i="16" s="1"/>
  <c r="AF72" i="16"/>
  <c r="AG72" i="16" s="1"/>
  <c r="AH72" i="16" s="1"/>
  <c r="AS72" i="16" s="1"/>
  <c r="BK64" i="16"/>
  <c r="BL64" i="16" s="1"/>
  <c r="BM64" i="16" s="1"/>
  <c r="BE64" i="16"/>
  <c r="BF64" i="16" s="1"/>
  <c r="O86" i="16"/>
  <c r="Q86" i="16"/>
  <c r="E87" i="16"/>
  <c r="L87" i="16" s="1"/>
  <c r="AL72" i="16" l="1"/>
  <c r="AY72" i="16" s="1"/>
  <c r="AT72" i="16"/>
  <c r="AW72" i="16" s="1"/>
  <c r="AX72" i="16" s="1"/>
  <c r="AZ72" i="16" s="1"/>
  <c r="AU72" i="16"/>
  <c r="AV72" i="16" s="1"/>
  <c r="Y73" i="16"/>
  <c r="Z73" i="16" s="1"/>
  <c r="AM72" i="16"/>
  <c r="AN72" i="16" s="1"/>
  <c r="AO72" i="16" s="1"/>
  <c r="AP72" i="16" s="1"/>
  <c r="AR72" i="16" s="1"/>
  <c r="BI64" i="16"/>
  <c r="BG64" i="16"/>
  <c r="BC65" i="16" s="1"/>
  <c r="P87" i="16"/>
  <c r="Q87" i="16" s="1"/>
  <c r="S87" i="16" s="1"/>
  <c r="S86" i="16"/>
  <c r="N87" i="16"/>
  <c r="M88" i="16" s="1"/>
  <c r="AB73" i="16" l="1"/>
  <c r="AF73" i="16" s="1"/>
  <c r="AG73" i="16" s="1"/>
  <c r="AH73" i="16" s="1"/>
  <c r="AS73" i="16" s="1"/>
  <c r="AT73" i="16" s="1"/>
  <c r="AW73" i="16" s="1"/>
  <c r="AX73" i="16" s="1"/>
  <c r="AZ73" i="16" s="1"/>
  <c r="BN64" i="16"/>
  <c r="AD65" i="15" s="1"/>
  <c r="BO64" i="16"/>
  <c r="BP64" i="16" s="1"/>
  <c r="U74" i="16"/>
  <c r="AC74" i="16" s="1"/>
  <c r="AD74" i="16" s="1"/>
  <c r="AQ72" i="16"/>
  <c r="BD65" i="16"/>
  <c r="BE65" i="16" s="1"/>
  <c r="BH65" i="16"/>
  <c r="O87" i="16"/>
  <c r="E88" i="16"/>
  <c r="L88" i="16" s="1"/>
  <c r="AL73" i="16" l="1"/>
  <c r="AY73" i="16" s="1"/>
  <c r="AU73" i="16"/>
  <c r="AV73" i="16" s="1"/>
  <c r="AE74" i="16"/>
  <c r="AJ170" i="15"/>
  <c r="BQ64" i="16"/>
  <c r="BF65" i="16"/>
  <c r="BI65" i="16" s="1"/>
  <c r="W74" i="16"/>
  <c r="N88" i="16"/>
  <c r="P88" i="16"/>
  <c r="BJ65" i="16"/>
  <c r="BK65" i="16"/>
  <c r="BL65" i="16" s="1"/>
  <c r="BM65" i="16" s="1"/>
  <c r="AM73" i="16" l="1"/>
  <c r="AN73" i="16" s="1"/>
  <c r="AO73" i="16" s="1"/>
  <c r="AA74" i="16"/>
  <c r="AK74" i="16" s="1"/>
  <c r="Y74" i="16"/>
  <c r="AB74" i="16" s="1"/>
  <c r="O88" i="16"/>
  <c r="M89" i="16"/>
  <c r="E89" i="16" s="1"/>
  <c r="L89" i="16" s="1"/>
  <c r="Q88" i="16"/>
  <c r="S88" i="16" s="1"/>
  <c r="BO65" i="16"/>
  <c r="BP65" i="16" s="1"/>
  <c r="AJ171" i="15" s="1"/>
  <c r="BN65" i="16"/>
  <c r="AD73" i="15" s="1"/>
  <c r="BG65" i="16"/>
  <c r="AP73" i="16" l="1"/>
  <c r="AR73" i="16" s="1"/>
  <c r="AF74" i="16"/>
  <c r="Z74" i="16"/>
  <c r="BC66" i="16"/>
  <c r="P89" i="16"/>
  <c r="Q89" i="16" s="1"/>
  <c r="S89" i="16" s="1"/>
  <c r="N89" i="16"/>
  <c r="M90" i="16" s="1"/>
  <c r="BQ65" i="16"/>
  <c r="AG74" i="16" l="1"/>
  <c r="AL74" i="16" s="1"/>
  <c r="AY74" i="16" s="1"/>
  <c r="AQ73" i="16"/>
  <c r="U75" i="16"/>
  <c r="AC75" i="16" s="1"/>
  <c r="BH66" i="16"/>
  <c r="BD66" i="16"/>
  <c r="BE66" i="16" s="1"/>
  <c r="O89" i="16"/>
  <c r="AM74" i="16" l="1"/>
  <c r="AN74" i="16" s="1"/>
  <c r="AO74" i="16" s="1"/>
  <c r="AH74" i="16"/>
  <c r="AS74" i="16" s="1"/>
  <c r="AD75" i="16"/>
  <c r="W75" i="16"/>
  <c r="BF66" i="16"/>
  <c r="BI66" i="16" s="1"/>
  <c r="E90" i="16"/>
  <c r="L90" i="16" s="1"/>
  <c r="P90" i="16"/>
  <c r="BJ66" i="16"/>
  <c r="BK66" i="16"/>
  <c r="BL66" i="16" s="1"/>
  <c r="BM66" i="16" s="1"/>
  <c r="AU74" i="16" l="1"/>
  <c r="AV74" i="16" s="1"/>
  <c r="AT74" i="16"/>
  <c r="AW74" i="16" s="1"/>
  <c r="AX74" i="16" s="1"/>
  <c r="AZ74" i="16" s="1"/>
  <c r="AP74" i="16"/>
  <c r="AR74" i="16" s="1"/>
  <c r="AE75" i="16"/>
  <c r="AA75" i="16"/>
  <c r="AK75" i="16" s="1"/>
  <c r="Y75" i="16"/>
  <c r="AB75" i="16" s="1"/>
  <c r="Q90" i="16"/>
  <c r="S90" i="16" s="1"/>
  <c r="N90" i="16"/>
  <c r="M91" i="16" s="1"/>
  <c r="BO66" i="16"/>
  <c r="BP66" i="16" s="1"/>
  <c r="AJ172" i="15" s="1"/>
  <c r="BN66" i="16"/>
  <c r="AD86" i="15" s="1"/>
  <c r="BG66" i="16"/>
  <c r="AQ74" i="16" l="1"/>
  <c r="Z75" i="16"/>
  <c r="AF75" i="16"/>
  <c r="AG75" i="16" s="1"/>
  <c r="AH75" i="16" s="1"/>
  <c r="AS75" i="16" s="1"/>
  <c r="AT75" i="16" s="1"/>
  <c r="AW75" i="16" s="1"/>
  <c r="AX75" i="16" s="1"/>
  <c r="AZ75" i="16" s="1"/>
  <c r="BC67" i="16"/>
  <c r="O90" i="16"/>
  <c r="BQ66" i="16"/>
  <c r="AU75" i="16" l="1"/>
  <c r="AV75" i="16" s="1"/>
  <c r="AL75" i="16"/>
  <c r="AY75" i="16" s="1"/>
  <c r="U76" i="16"/>
  <c r="AC76" i="16" s="1"/>
  <c r="BH67" i="16"/>
  <c r="BD67" i="16"/>
  <c r="E91" i="16"/>
  <c r="L91" i="16" s="1"/>
  <c r="P91" i="16"/>
  <c r="AM75" i="16" l="1"/>
  <c r="AN75" i="16" s="1"/>
  <c r="AD76" i="16"/>
  <c r="W76" i="16"/>
  <c r="BE67" i="16"/>
  <c r="BF67" i="16" s="1"/>
  <c r="BI67" i="16" s="1"/>
  <c r="Q91" i="16"/>
  <c r="S91" i="16" s="1"/>
  <c r="N91" i="16"/>
  <c r="M92" i="16" s="1"/>
  <c r="BJ67" i="16"/>
  <c r="BK67" i="16"/>
  <c r="BL67" i="16" s="1"/>
  <c r="BM67" i="16" s="1"/>
  <c r="AA76" i="16" l="1"/>
  <c r="AK76" i="16" s="1"/>
  <c r="Y76" i="16"/>
  <c r="AB76" i="16" s="1"/>
  <c r="AE76" i="16"/>
  <c r="AO75" i="16"/>
  <c r="E92" i="16"/>
  <c r="L92" i="16" s="1"/>
  <c r="O91" i="16"/>
  <c r="BO67" i="16"/>
  <c r="BP67" i="16" s="1"/>
  <c r="AJ128" i="15" s="1"/>
  <c r="BN67" i="16"/>
  <c r="BG67" i="16"/>
  <c r="AP75" i="16" l="1"/>
  <c r="AR75" i="16" s="1"/>
  <c r="AF76" i="16"/>
  <c r="Z76" i="16"/>
  <c r="BC68" i="16"/>
  <c r="N92" i="16"/>
  <c r="M93" i="16" s="1"/>
  <c r="P92" i="16"/>
  <c r="E66" i="14"/>
  <c r="F66" i="14" s="1"/>
  <c r="H66" i="14" s="1"/>
  <c r="AD83" i="15"/>
  <c r="BQ67" i="16"/>
  <c r="AG76" i="16" l="1"/>
  <c r="AL76" i="16" s="1"/>
  <c r="AY76" i="16" s="1"/>
  <c r="AQ75" i="16"/>
  <c r="U77" i="16"/>
  <c r="AC77" i="16" s="1"/>
  <c r="BD68" i="16"/>
  <c r="BE68" i="16" s="1"/>
  <c r="BH68" i="16"/>
  <c r="O92" i="16"/>
  <c r="Q92" i="16"/>
  <c r="S92" i="16" s="1"/>
  <c r="AM76" i="16" l="1"/>
  <c r="AN76" i="16" s="1"/>
  <c r="AO76" i="16" s="1"/>
  <c r="AH76" i="16"/>
  <c r="AS76" i="16" s="1"/>
  <c r="W77" i="16"/>
  <c r="AA77" i="16" s="1"/>
  <c r="AK77" i="16" s="1"/>
  <c r="AD77" i="16"/>
  <c r="BF68" i="16"/>
  <c r="BI68" i="16" s="1"/>
  <c r="BO68" i="16" s="1"/>
  <c r="BP68" i="16" s="1"/>
  <c r="AJ173" i="15" s="1"/>
  <c r="E93" i="16"/>
  <c r="L93" i="16" s="1"/>
  <c r="P93" i="16"/>
  <c r="BJ68" i="16"/>
  <c r="BK68" i="16"/>
  <c r="BL68" i="16" s="1"/>
  <c r="BM68" i="16" s="1"/>
  <c r="Y77" i="16" l="1"/>
  <c r="AB77" i="16" s="1"/>
  <c r="AT76" i="16"/>
  <c r="AW76" i="16" s="1"/>
  <c r="AX76" i="16" s="1"/>
  <c r="AZ76" i="16" s="1"/>
  <c r="AU76" i="16"/>
  <c r="AV76" i="16" s="1"/>
  <c r="AP76" i="16"/>
  <c r="AR76" i="16" s="1"/>
  <c r="BG68" i="16"/>
  <c r="BC69" i="16" s="1"/>
  <c r="AE77" i="16"/>
  <c r="Q93" i="16"/>
  <c r="S93" i="16" s="1"/>
  <c r="N93" i="16"/>
  <c r="M94" i="16" s="1"/>
  <c r="BN68" i="16"/>
  <c r="BQ68" i="16" s="1"/>
  <c r="Z77" i="16" l="1"/>
  <c r="U78" i="16" s="1"/>
  <c r="AC78" i="16" s="1"/>
  <c r="AD78" i="16" s="1"/>
  <c r="AE78" i="16" s="1"/>
  <c r="AF77" i="16"/>
  <c r="AG77" i="16" s="1"/>
  <c r="AH77" i="16" s="1"/>
  <c r="AS77" i="16" s="1"/>
  <c r="AT77" i="16" s="1"/>
  <c r="AW77" i="16" s="1"/>
  <c r="AX77" i="16" s="1"/>
  <c r="AZ77" i="16" s="1"/>
  <c r="AQ76" i="16"/>
  <c r="BD69" i="16"/>
  <c r="BE69" i="16" s="1"/>
  <c r="BH69" i="16"/>
  <c r="O93" i="16"/>
  <c r="E67" i="14"/>
  <c r="F67" i="14" s="1"/>
  <c r="H67" i="14" s="1"/>
  <c r="AD104" i="15"/>
  <c r="W78" i="16" l="1"/>
  <c r="AA78" i="16" s="1"/>
  <c r="AK78" i="16" s="1"/>
  <c r="AL77" i="16"/>
  <c r="AY77" i="16" s="1"/>
  <c r="AU77" i="16"/>
  <c r="AV77" i="16" s="1"/>
  <c r="BF69" i="16"/>
  <c r="BI69" i="16" s="1"/>
  <c r="E94" i="16"/>
  <c r="L94" i="16" s="1"/>
  <c r="P94" i="16"/>
  <c r="BJ69" i="16"/>
  <c r="BK69" i="16"/>
  <c r="BL69" i="16" s="1"/>
  <c r="BM69" i="16" s="1"/>
  <c r="Y78" i="16" l="1"/>
  <c r="AB78" i="16" s="1"/>
  <c r="AF78" i="16" s="1"/>
  <c r="AG78" i="16" s="1"/>
  <c r="AH78" i="16" s="1"/>
  <c r="AS78" i="16" s="1"/>
  <c r="AT78" i="16" s="1"/>
  <c r="AW78" i="16" s="1"/>
  <c r="AX78" i="16" s="1"/>
  <c r="AZ78" i="16" s="1"/>
  <c r="AM77" i="16"/>
  <c r="AN77" i="16" s="1"/>
  <c r="AO77" i="16" s="1"/>
  <c r="Q94" i="16"/>
  <c r="S94" i="16" s="1"/>
  <c r="N94" i="16"/>
  <c r="M95" i="16" s="1"/>
  <c r="BO69" i="16"/>
  <c r="BP69" i="16" s="1"/>
  <c r="AJ132" i="15" s="1"/>
  <c r="BN69" i="16"/>
  <c r="BG69" i="16"/>
  <c r="Z78" i="16" l="1"/>
  <c r="U79" i="16" s="1"/>
  <c r="AC79" i="16" s="1"/>
  <c r="AD79" i="16" s="1"/>
  <c r="AL78" i="16"/>
  <c r="AY78" i="16" s="1"/>
  <c r="AU78" i="16"/>
  <c r="AV78" i="16" s="1"/>
  <c r="AP77" i="16"/>
  <c r="AR77" i="16" s="1"/>
  <c r="BC70" i="16"/>
  <c r="BH70" i="16" s="1"/>
  <c r="O94" i="16"/>
  <c r="E68" i="14"/>
  <c r="F68" i="14" s="1"/>
  <c r="H68" i="14" s="1"/>
  <c r="AD108" i="15"/>
  <c r="BQ69" i="16"/>
  <c r="W79" i="16" l="1"/>
  <c r="Y79" i="16" s="1"/>
  <c r="AB79" i="16" s="1"/>
  <c r="AM78" i="16"/>
  <c r="AN78" i="16" s="1"/>
  <c r="AO78" i="16" s="1"/>
  <c r="AQ77" i="16"/>
  <c r="AA79" i="16"/>
  <c r="AK79" i="16" s="1"/>
  <c r="Z79" i="16"/>
  <c r="AE79" i="16"/>
  <c r="AF79" i="16" s="1"/>
  <c r="BD70" i="16"/>
  <c r="BE70" i="16" s="1"/>
  <c r="E95" i="16"/>
  <c r="L95" i="16" s="1"/>
  <c r="P95" i="16"/>
  <c r="AG79" i="16" l="1"/>
  <c r="AL79" i="16" s="1"/>
  <c r="AY79" i="16" s="1"/>
  <c r="AP78" i="16"/>
  <c r="AR78" i="16" s="1"/>
  <c r="BF70" i="16"/>
  <c r="BI70" i="16" s="1"/>
  <c r="U80" i="16"/>
  <c r="AC80" i="16" s="1"/>
  <c r="AD80" i="16" s="1"/>
  <c r="Q95" i="16"/>
  <c r="S95" i="16" s="1"/>
  <c r="N95" i="16"/>
  <c r="M96" i="16" s="1"/>
  <c r="BJ70" i="16"/>
  <c r="BK70" i="16"/>
  <c r="BL70" i="16" s="1"/>
  <c r="BM70" i="16" s="1"/>
  <c r="AM79" i="16" l="1"/>
  <c r="AH79" i="16"/>
  <c r="AS79" i="16" s="1"/>
  <c r="AQ78" i="16"/>
  <c r="W80" i="16"/>
  <c r="AA80" i="16" s="1"/>
  <c r="AK80" i="16" s="1"/>
  <c r="AN79" i="16"/>
  <c r="AO79" i="16" s="1"/>
  <c r="AE80" i="16"/>
  <c r="O95" i="16"/>
  <c r="BO70" i="16"/>
  <c r="BP70" i="16" s="1"/>
  <c r="AJ174" i="15" s="1"/>
  <c r="BN70" i="16"/>
  <c r="BG70" i="16"/>
  <c r="AU79" i="16" l="1"/>
  <c r="AV79" i="16" s="1"/>
  <c r="AT79" i="16"/>
  <c r="AW79" i="16" s="1"/>
  <c r="AX79" i="16" s="1"/>
  <c r="AZ79" i="16" s="1"/>
  <c r="Y80" i="16"/>
  <c r="AB80" i="16" s="1"/>
  <c r="AF80" i="16" s="1"/>
  <c r="AP79" i="16"/>
  <c r="AR79" i="16" s="1"/>
  <c r="BC71" i="16"/>
  <c r="BH71" i="16" s="1"/>
  <c r="E96" i="16"/>
  <c r="P96" i="16"/>
  <c r="E69" i="14"/>
  <c r="F69" i="14" s="1"/>
  <c r="H69" i="14" s="1"/>
  <c r="AD127" i="15"/>
  <c r="BQ70" i="16"/>
  <c r="AG80" i="16" l="1"/>
  <c r="AH80" i="16" s="1"/>
  <c r="AS80" i="16" s="1"/>
  <c r="Z80" i="16"/>
  <c r="U81" i="16" s="1"/>
  <c r="AC81" i="16" s="1"/>
  <c r="AD81" i="16" s="1"/>
  <c r="AQ79" i="16"/>
  <c r="BD71" i="16"/>
  <c r="BE71" i="16" s="1"/>
  <c r="BF71" i="16" s="1"/>
  <c r="BI71" i="16" s="1"/>
  <c r="L96" i="16"/>
  <c r="N96" i="16" s="1"/>
  <c r="M97" i="16" s="1"/>
  <c r="Q96" i="16"/>
  <c r="S96" i="16" s="1"/>
  <c r="AT80" i="16" l="1"/>
  <c r="AW80" i="16" s="1"/>
  <c r="AX80" i="16" s="1"/>
  <c r="AZ80" i="16" s="1"/>
  <c r="AU80" i="16"/>
  <c r="AV80" i="16" s="1"/>
  <c r="AL80" i="16"/>
  <c r="AY80" i="16" s="1"/>
  <c r="BJ71" i="16"/>
  <c r="W81" i="16"/>
  <c r="AA81" i="16" s="1"/>
  <c r="AK81" i="16" s="1"/>
  <c r="BK71" i="16"/>
  <c r="BL71" i="16" s="1"/>
  <c r="BM71" i="16" s="1"/>
  <c r="AE81" i="16"/>
  <c r="O96" i="16"/>
  <c r="BO71" i="16"/>
  <c r="BP71" i="16" s="1"/>
  <c r="AJ100" i="15" s="1"/>
  <c r="BG71" i="16"/>
  <c r="AM80" i="16" l="1"/>
  <c r="AN80" i="16" s="1"/>
  <c r="AO80" i="16" s="1"/>
  <c r="AP80" i="16" s="1"/>
  <c r="AR80" i="16" s="1"/>
  <c r="Y81" i="16"/>
  <c r="AB81" i="16" s="1"/>
  <c r="BN71" i="16"/>
  <c r="BQ71" i="16" s="1"/>
  <c r="BC72" i="16"/>
  <c r="BH72" i="16" s="1"/>
  <c r="E97" i="16"/>
  <c r="L97" i="16" s="1"/>
  <c r="P97" i="16"/>
  <c r="Z81" i="16" l="1"/>
  <c r="E70" i="14"/>
  <c r="F70" i="14" s="1"/>
  <c r="H70" i="14" s="1"/>
  <c r="AD107" i="15"/>
  <c r="AQ80" i="16"/>
  <c r="BD72" i="16"/>
  <c r="BJ72" i="16" s="1"/>
  <c r="U82" i="16"/>
  <c r="AC82" i="16" s="1"/>
  <c r="AD82" i="16" s="1"/>
  <c r="AF81" i="16"/>
  <c r="Q97" i="16"/>
  <c r="S97" i="16" s="1"/>
  <c r="N97" i="16"/>
  <c r="M98" i="16" s="1"/>
  <c r="AG81" i="16" l="1"/>
  <c r="AL81" i="16" s="1"/>
  <c r="AY81" i="16" s="1"/>
  <c r="BK72" i="16"/>
  <c r="BL72" i="16" s="1"/>
  <c r="BM72" i="16" s="1"/>
  <c r="BE72" i="16"/>
  <c r="BF72" i="16" s="1"/>
  <c r="BI72" i="16" s="1"/>
  <c r="BO72" i="16" s="1"/>
  <c r="BP72" i="16" s="1"/>
  <c r="AJ175" i="15" s="1"/>
  <c r="W82" i="16"/>
  <c r="AA82" i="16" s="1"/>
  <c r="AK82" i="16" s="1"/>
  <c r="AE82" i="16"/>
  <c r="O97" i="16"/>
  <c r="AM81" i="16" l="1"/>
  <c r="AN81" i="16" s="1"/>
  <c r="AO81" i="16" s="1"/>
  <c r="AH81" i="16"/>
  <c r="AS81" i="16" s="1"/>
  <c r="BG72" i="16"/>
  <c r="BC73" i="16" s="1"/>
  <c r="BH73" i="16" s="1"/>
  <c r="BN72" i="16"/>
  <c r="BQ72" i="16" s="1"/>
  <c r="Y82" i="16"/>
  <c r="AB82" i="16" s="1"/>
  <c r="AF82" i="16" s="1"/>
  <c r="E98" i="16"/>
  <c r="L98" i="16" s="1"/>
  <c r="P98" i="16"/>
  <c r="E71" i="14" l="1"/>
  <c r="F71" i="14" s="1"/>
  <c r="H71" i="14" s="1"/>
  <c r="AD124" i="15"/>
  <c r="AG82" i="16"/>
  <c r="AH82" i="16" s="1"/>
  <c r="AS82" i="16" s="1"/>
  <c r="AT81" i="16"/>
  <c r="AW81" i="16" s="1"/>
  <c r="AX81" i="16" s="1"/>
  <c r="AZ81" i="16" s="1"/>
  <c r="AU81" i="16"/>
  <c r="AV81" i="16" s="1"/>
  <c r="Z82" i="16"/>
  <c r="U83" i="16" s="1"/>
  <c r="AC83" i="16" s="1"/>
  <c r="AD83" i="16" s="1"/>
  <c r="AE83" i="16" s="1"/>
  <c r="BD73" i="16"/>
  <c r="BJ73" i="16" s="1"/>
  <c r="AP81" i="16"/>
  <c r="AQ81" i="16" s="1"/>
  <c r="N98" i="16"/>
  <c r="M99" i="16" s="1"/>
  <c r="Q98" i="16"/>
  <c r="S98" i="16" s="1"/>
  <c r="AT82" i="16" l="1"/>
  <c r="AW82" i="16" s="1"/>
  <c r="AX82" i="16" s="1"/>
  <c r="AZ82" i="16" s="1"/>
  <c r="AU82" i="16"/>
  <c r="AV82" i="16" s="1"/>
  <c r="AL82" i="16"/>
  <c r="AM82" i="16" s="1"/>
  <c r="AN82" i="16" s="1"/>
  <c r="AO82" i="16" s="1"/>
  <c r="W83" i="16"/>
  <c r="AA83" i="16" s="1"/>
  <c r="AK83" i="16" s="1"/>
  <c r="BE73" i="16"/>
  <c r="BF73" i="16" s="1"/>
  <c r="BI73" i="16" s="1"/>
  <c r="BO73" i="16" s="1"/>
  <c r="BP73" i="16" s="1"/>
  <c r="AJ19" i="15" s="1"/>
  <c r="BK73" i="16"/>
  <c r="BL73" i="16" s="1"/>
  <c r="BM73" i="16" s="1"/>
  <c r="AR81" i="16"/>
  <c r="E99" i="16"/>
  <c r="O98" i="16"/>
  <c r="AY82" i="16" l="1"/>
  <c r="BG73" i="16"/>
  <c r="BC74" i="16" s="1"/>
  <c r="BH74" i="16" s="1"/>
  <c r="Y83" i="16"/>
  <c r="AB83" i="16" s="1"/>
  <c r="AF83" i="16" s="1"/>
  <c r="BN73" i="16"/>
  <c r="BQ73" i="16" s="1"/>
  <c r="AP82" i="16"/>
  <c r="AR82" i="16" s="1"/>
  <c r="L99" i="16"/>
  <c r="N99" i="16" s="1"/>
  <c r="M100" i="16" s="1"/>
  <c r="P99" i="16"/>
  <c r="AG83" i="16" l="1"/>
  <c r="AH83" i="16" s="1"/>
  <c r="AS83" i="16" s="1"/>
  <c r="AD37" i="15"/>
  <c r="E72" i="14"/>
  <c r="F72" i="14" s="1"/>
  <c r="H72" i="14" s="1"/>
  <c r="Z83" i="16"/>
  <c r="U84" i="16" s="1"/>
  <c r="AC84" i="16" s="1"/>
  <c r="AD84" i="16" s="1"/>
  <c r="AQ82" i="16"/>
  <c r="BD74" i="16"/>
  <c r="BE74" i="16" s="1"/>
  <c r="Q99" i="16"/>
  <c r="S99" i="16" s="1"/>
  <c r="O99" i="16"/>
  <c r="AL83" i="16" l="1"/>
  <c r="AY83" i="16" s="1"/>
  <c r="AT83" i="16"/>
  <c r="AW83" i="16" s="1"/>
  <c r="AX83" i="16" s="1"/>
  <c r="AZ83" i="16" s="1"/>
  <c r="AU83" i="16"/>
  <c r="AV83" i="16" s="1"/>
  <c r="W84" i="16"/>
  <c r="AA84" i="16" s="1"/>
  <c r="AK84" i="16" s="1"/>
  <c r="BJ74" i="16"/>
  <c r="BF74" i="16"/>
  <c r="BI74" i="16" s="1"/>
  <c r="BO74" i="16" s="1"/>
  <c r="BP74" i="16" s="1"/>
  <c r="AJ176" i="15" s="1"/>
  <c r="BK74" i="16"/>
  <c r="BL74" i="16" s="1"/>
  <c r="BM74" i="16" s="1"/>
  <c r="AE84" i="16"/>
  <c r="E100" i="16"/>
  <c r="L100" i="16" s="1"/>
  <c r="P100" i="16"/>
  <c r="AM83" i="16" l="1"/>
  <c r="AN83" i="16" s="1"/>
  <c r="AO83" i="16" s="1"/>
  <c r="AP83" i="16" s="1"/>
  <c r="AQ83" i="16" s="1"/>
  <c r="Y84" i="16"/>
  <c r="AB84" i="16" s="1"/>
  <c r="AF84" i="16" s="1"/>
  <c r="AG84" i="16" s="1"/>
  <c r="AH84" i="16" s="1"/>
  <c r="AS84" i="16" s="1"/>
  <c r="AT84" i="16" s="1"/>
  <c r="AW84" i="16" s="1"/>
  <c r="AX84" i="16" s="1"/>
  <c r="AZ84" i="16" s="1"/>
  <c r="BG74" i="16"/>
  <c r="BC75" i="16" s="1"/>
  <c r="BH75" i="16" s="1"/>
  <c r="BN74" i="16"/>
  <c r="BQ74" i="16" s="1"/>
  <c r="Q100" i="16"/>
  <c r="S100" i="16" s="1"/>
  <c r="N100" i="16"/>
  <c r="M101" i="16" s="1"/>
  <c r="Z84" i="16" l="1"/>
  <c r="U85" i="16" s="1"/>
  <c r="AC85" i="16" s="1"/>
  <c r="AL84" i="16"/>
  <c r="AY84" i="16" s="1"/>
  <c r="AU84" i="16"/>
  <c r="AV84" i="16" s="1"/>
  <c r="E73" i="14"/>
  <c r="F73" i="14" s="1"/>
  <c r="H73" i="14" s="1"/>
  <c r="AD42" i="15"/>
  <c r="AR83" i="16"/>
  <c r="BD75" i="16"/>
  <c r="BJ75" i="16" s="1"/>
  <c r="O100" i="16"/>
  <c r="AM84" i="16" l="1"/>
  <c r="AN84" i="16" s="1"/>
  <c r="AO84" i="16" s="1"/>
  <c r="W85" i="16"/>
  <c r="AA85" i="16" s="1"/>
  <c r="AK85" i="16" s="1"/>
  <c r="BE75" i="16"/>
  <c r="BF75" i="16" s="1"/>
  <c r="BI75" i="16" s="1"/>
  <c r="BK75" i="16"/>
  <c r="BL75" i="16" s="1"/>
  <c r="BM75" i="16" s="1"/>
  <c r="AD85" i="16"/>
  <c r="E101" i="16"/>
  <c r="L101" i="16" s="1"/>
  <c r="P101" i="16"/>
  <c r="Y85" i="16" l="1"/>
  <c r="Z85" i="16" s="1"/>
  <c r="BN75" i="16"/>
  <c r="E74" i="14" s="1"/>
  <c r="F74" i="14" s="1"/>
  <c r="H74" i="14" s="1"/>
  <c r="BO75" i="16"/>
  <c r="BP75" i="16" s="1"/>
  <c r="AJ15" i="15" s="1"/>
  <c r="BG75" i="16"/>
  <c r="BC76" i="16" s="1"/>
  <c r="AP84" i="16"/>
  <c r="AQ84" i="16" s="1"/>
  <c r="AE85" i="16"/>
  <c r="Q101" i="16"/>
  <c r="S101" i="16" s="1"/>
  <c r="N101" i="16"/>
  <c r="M102" i="16" s="1"/>
  <c r="AD32" i="15" l="1"/>
  <c r="AB85" i="16"/>
  <c r="AF85" i="16" s="1"/>
  <c r="AG85" i="16" s="1"/>
  <c r="AH85" i="16" s="1"/>
  <c r="AS85" i="16" s="1"/>
  <c r="BQ75" i="16"/>
  <c r="AR84" i="16"/>
  <c r="U86" i="16"/>
  <c r="AC86" i="16" s="1"/>
  <c r="BD76" i="16"/>
  <c r="BH76" i="16"/>
  <c r="O101" i="16"/>
  <c r="AL85" i="16" l="1"/>
  <c r="AM85" i="16" s="1"/>
  <c r="AN85" i="16" s="1"/>
  <c r="AO85" i="16" s="1"/>
  <c r="AU85" i="16"/>
  <c r="AV85" i="16" s="1"/>
  <c r="AT85" i="16"/>
  <c r="AW85" i="16" s="1"/>
  <c r="AX85" i="16" s="1"/>
  <c r="AZ85" i="16" s="1"/>
  <c r="AD86" i="16"/>
  <c r="W86" i="16"/>
  <c r="AA86" i="16" s="1"/>
  <c r="AK86" i="16" s="1"/>
  <c r="BE76" i="16"/>
  <c r="BF76" i="16" s="1"/>
  <c r="BI76" i="16" s="1"/>
  <c r="BO76" i="16" s="1"/>
  <c r="BP76" i="16" s="1"/>
  <c r="AJ20" i="15" s="1"/>
  <c r="E102" i="16"/>
  <c r="L102" i="16" s="1"/>
  <c r="P102" i="16"/>
  <c r="BJ76" i="16"/>
  <c r="BK76" i="16"/>
  <c r="BL76" i="16" s="1"/>
  <c r="BM76" i="16" s="1"/>
  <c r="AY85" i="16" l="1"/>
  <c r="Y86" i="16"/>
  <c r="AB86" i="16" s="1"/>
  <c r="AE86" i="16"/>
  <c r="AP85" i="16"/>
  <c r="AR85" i="16" s="1"/>
  <c r="BG76" i="16"/>
  <c r="Q102" i="16"/>
  <c r="S102" i="16" s="1"/>
  <c r="N102" i="16"/>
  <c r="M103" i="16" s="1"/>
  <c r="BN76" i="16"/>
  <c r="Z86" i="16" l="1"/>
  <c r="U87" i="16" s="1"/>
  <c r="AC87" i="16" s="1"/>
  <c r="AQ85" i="16"/>
  <c r="AF86" i="16"/>
  <c r="AG86" i="16" s="1"/>
  <c r="BC77" i="16"/>
  <c r="BH77" i="16" s="1"/>
  <c r="O102" i="16"/>
  <c r="E75" i="14"/>
  <c r="F75" i="14" s="1"/>
  <c r="H75" i="14" s="1"/>
  <c r="AD30" i="15"/>
  <c r="BQ76" i="16"/>
  <c r="AH86" i="16" l="1"/>
  <c r="AS86" i="16" s="1"/>
  <c r="AL86" i="16"/>
  <c r="AY86" i="16" s="1"/>
  <c r="W87" i="16"/>
  <c r="AA87" i="16" s="1"/>
  <c r="AK87" i="16" s="1"/>
  <c r="AD87" i="16"/>
  <c r="BD77" i="16"/>
  <c r="BE77" i="16" s="1"/>
  <c r="E103" i="16"/>
  <c r="L103" i="16" s="1"/>
  <c r="P103" i="16"/>
  <c r="AM86" i="16" l="1"/>
  <c r="AN86" i="16" s="1"/>
  <c r="AO86" i="16" s="1"/>
  <c r="AP86" i="16" s="1"/>
  <c r="AQ86" i="16" s="1"/>
  <c r="AT86" i="16"/>
  <c r="AW86" i="16" s="1"/>
  <c r="AX86" i="16" s="1"/>
  <c r="AZ86" i="16" s="1"/>
  <c r="AU86" i="16"/>
  <c r="AV86" i="16" s="1"/>
  <c r="Y87" i="16"/>
  <c r="AB87" i="16" s="1"/>
  <c r="BJ77" i="16"/>
  <c r="AE87" i="16"/>
  <c r="BK77" i="16"/>
  <c r="BL77" i="16" s="1"/>
  <c r="BM77" i="16" s="1"/>
  <c r="BF77" i="16"/>
  <c r="BI77" i="16" s="1"/>
  <c r="Q103" i="16"/>
  <c r="S103" i="16" s="1"/>
  <c r="N103" i="16"/>
  <c r="M104" i="16" s="1"/>
  <c r="AR86" i="16" l="1"/>
  <c r="BN77" i="16"/>
  <c r="AD21" i="15" s="1"/>
  <c r="AF87" i="16"/>
  <c r="AG87" i="16" s="1"/>
  <c r="AH87" i="16" s="1"/>
  <c r="AS87" i="16" s="1"/>
  <c r="AT87" i="16" s="1"/>
  <c r="AW87" i="16" s="1"/>
  <c r="AX87" i="16" s="1"/>
  <c r="AZ87" i="16" s="1"/>
  <c r="Z87" i="16"/>
  <c r="U88" i="16" s="1"/>
  <c r="AC88" i="16" s="1"/>
  <c r="BO77" i="16"/>
  <c r="BP77" i="16" s="1"/>
  <c r="AJ10" i="15" s="1"/>
  <c r="BG77" i="16"/>
  <c r="BC78" i="16" s="1"/>
  <c r="O103" i="16"/>
  <c r="E76" i="14" l="1"/>
  <c r="F76" i="14" s="1"/>
  <c r="H76" i="14" s="1"/>
  <c r="AU87" i="16"/>
  <c r="AL87" i="16"/>
  <c r="BQ77" i="16"/>
  <c r="AD88" i="16"/>
  <c r="W88" i="16"/>
  <c r="AA88" i="16" s="1"/>
  <c r="AK88" i="16" s="1"/>
  <c r="BD78" i="16"/>
  <c r="BH78" i="16"/>
  <c r="E104" i="16"/>
  <c r="P104" i="16"/>
  <c r="AY87" i="16" l="1"/>
  <c r="AM87" i="16"/>
  <c r="AN87" i="16" s="1"/>
  <c r="AV87" i="16"/>
  <c r="Y88" i="16"/>
  <c r="AB88" i="16" s="1"/>
  <c r="AE88" i="16"/>
  <c r="BE78" i="16"/>
  <c r="BF78" i="16" s="1"/>
  <c r="BI78" i="16" s="1"/>
  <c r="L104" i="16"/>
  <c r="Q104" i="16"/>
  <c r="S104" i="16" s="1"/>
  <c r="BJ78" i="16"/>
  <c r="BK78" i="16"/>
  <c r="BL78" i="16" s="1"/>
  <c r="BM78" i="16" s="1"/>
  <c r="AO87" i="16" l="1"/>
  <c r="Z88" i="16"/>
  <c r="U89" i="16" s="1"/>
  <c r="AC89" i="16" s="1"/>
  <c r="AF88" i="16"/>
  <c r="AG88" i="16" s="1"/>
  <c r="AH88" i="16" s="1"/>
  <c r="AS88" i="16" s="1"/>
  <c r="AP87" i="16"/>
  <c r="AR87" i="16" s="1"/>
  <c r="N104" i="16"/>
  <c r="M105" i="16" s="1"/>
  <c r="BG78" i="16"/>
  <c r="AT88" i="16" l="1"/>
  <c r="AW88" i="16" s="1"/>
  <c r="AX88" i="16" s="1"/>
  <c r="AZ88" i="16" s="1"/>
  <c r="AU88" i="16"/>
  <c r="AV88" i="16" s="1"/>
  <c r="AL88" i="16"/>
  <c r="AY88" i="16" s="1"/>
  <c r="O104" i="16"/>
  <c r="W89" i="16"/>
  <c r="AA89" i="16" s="1"/>
  <c r="AK89" i="16" s="1"/>
  <c r="AQ87" i="16"/>
  <c r="AD89" i="16"/>
  <c r="BC79" i="16"/>
  <c r="E105" i="16"/>
  <c r="P105" i="16"/>
  <c r="BO78" i="16"/>
  <c r="BP78" i="16" s="1"/>
  <c r="AJ24" i="15" s="1"/>
  <c r="BN78" i="16"/>
  <c r="AM88" i="16" l="1"/>
  <c r="AN88" i="16" s="1"/>
  <c r="AO88" i="16" s="1"/>
  <c r="AP88" i="16" s="1"/>
  <c r="AR88" i="16" s="1"/>
  <c r="Y89" i="16"/>
  <c r="AE89" i="16"/>
  <c r="BD79" i="16"/>
  <c r="L105" i="16"/>
  <c r="N105" i="16" s="1"/>
  <c r="M106" i="16" s="1"/>
  <c r="Q105" i="16"/>
  <c r="S105" i="16" s="1"/>
  <c r="E77" i="14"/>
  <c r="F77" i="14" s="1"/>
  <c r="H77" i="14" s="1"/>
  <c r="AD17" i="15"/>
  <c r="BQ78" i="16"/>
  <c r="BH79" i="16"/>
  <c r="AQ88" i="16" l="1"/>
  <c r="AB89" i="16"/>
  <c r="Z89" i="16"/>
  <c r="U90" i="16" s="1"/>
  <c r="AC90" i="16" s="1"/>
  <c r="AD90" i="16" s="1"/>
  <c r="AE90" i="16" s="1"/>
  <c r="BK79" i="16"/>
  <c r="BL79" i="16" s="1"/>
  <c r="BM79" i="16" s="1"/>
  <c r="BJ79" i="16"/>
  <c r="BE79" i="16"/>
  <c r="BF79" i="16" s="1"/>
  <c r="O105" i="16"/>
  <c r="E106" i="16"/>
  <c r="L106" i="16" s="1"/>
  <c r="W90" i="16" l="1"/>
  <c r="AA90" i="16" s="1"/>
  <c r="AK90" i="16" s="1"/>
  <c r="AF89" i="16"/>
  <c r="BI79" i="16"/>
  <c r="BO79" i="16" s="1"/>
  <c r="BP79" i="16" s="1"/>
  <c r="AJ31" i="15" s="1"/>
  <c r="BG79" i="16"/>
  <c r="BC80" i="16" s="1"/>
  <c r="N106" i="16"/>
  <c r="M107" i="16" s="1"/>
  <c r="P106" i="16"/>
  <c r="AG89" i="16" l="1"/>
  <c r="AL89" i="16" s="1"/>
  <c r="AY89" i="16" s="1"/>
  <c r="Y90" i="16"/>
  <c r="AB90" i="16" s="1"/>
  <c r="BN79" i="16"/>
  <c r="AD18" i="15" s="1"/>
  <c r="BD80" i="16"/>
  <c r="BJ80" i="16" s="1"/>
  <c r="Q106" i="16"/>
  <c r="S106" i="16" s="1"/>
  <c r="O106" i="16"/>
  <c r="BH80" i="16"/>
  <c r="AM89" i="16" l="1"/>
  <c r="E78" i="14"/>
  <c r="F78" i="14" s="1"/>
  <c r="H78" i="14" s="1"/>
  <c r="AH89" i="16"/>
  <c r="AS89" i="16" s="1"/>
  <c r="Z90" i="16"/>
  <c r="U91" i="16" s="1"/>
  <c r="AC91" i="16" s="1"/>
  <c r="BQ79" i="16"/>
  <c r="BE80" i="16"/>
  <c r="BF80" i="16" s="1"/>
  <c r="BI80" i="16" s="1"/>
  <c r="AN89" i="16"/>
  <c r="AO89" i="16" s="1"/>
  <c r="AF90" i="16"/>
  <c r="BK80" i="16"/>
  <c r="BL80" i="16" s="1"/>
  <c r="BM80" i="16" s="1"/>
  <c r="P107" i="16"/>
  <c r="Q107" i="16" s="1"/>
  <c r="S107" i="16" s="1"/>
  <c r="E107" i="16"/>
  <c r="L107" i="16" s="1"/>
  <c r="AG90" i="16" l="1"/>
  <c r="AL90" i="16" s="1"/>
  <c r="AY90" i="16" s="1"/>
  <c r="AU89" i="16"/>
  <c r="AV89" i="16" s="1"/>
  <c r="AT89" i="16"/>
  <c r="AW89" i="16" s="1"/>
  <c r="AX89" i="16" s="1"/>
  <c r="AZ89" i="16" s="1"/>
  <c r="BG80" i="16"/>
  <c r="BC81" i="16" s="1"/>
  <c r="AP89" i="16"/>
  <c r="AQ89" i="16" s="1"/>
  <c r="AD91" i="16"/>
  <c r="W91" i="16"/>
  <c r="N107" i="16"/>
  <c r="M108" i="16" s="1"/>
  <c r="BO80" i="16"/>
  <c r="BP80" i="16" s="1"/>
  <c r="AJ27" i="15" s="1"/>
  <c r="BN80" i="16"/>
  <c r="AM90" i="16" l="1"/>
  <c r="AN90" i="16" s="1"/>
  <c r="AO90" i="16" s="1"/>
  <c r="AH90" i="16"/>
  <c r="AS90" i="16" s="1"/>
  <c r="AU90" i="16" s="1"/>
  <c r="AV90" i="16" s="1"/>
  <c r="AR89" i="16"/>
  <c r="AA91" i="16"/>
  <c r="AK91" i="16" s="1"/>
  <c r="AE91" i="16"/>
  <c r="Y91" i="16"/>
  <c r="AB91" i="16" s="1"/>
  <c r="BD81" i="16"/>
  <c r="BJ81" i="16" s="1"/>
  <c r="O107" i="16"/>
  <c r="E79" i="14"/>
  <c r="F79" i="14" s="1"/>
  <c r="H79" i="14" s="1"/>
  <c r="AD16" i="15"/>
  <c r="BQ80" i="16"/>
  <c r="BH81" i="16"/>
  <c r="AT90" i="16" l="1"/>
  <c r="AW90" i="16" s="1"/>
  <c r="AX90" i="16" s="1"/>
  <c r="AZ90" i="16" s="1"/>
  <c r="Z91" i="16"/>
  <c r="U92" i="16" s="1"/>
  <c r="AC92" i="16" s="1"/>
  <c r="AD92" i="16" s="1"/>
  <c r="AP90" i="16"/>
  <c r="AR90" i="16" s="1"/>
  <c r="BE81" i="16"/>
  <c r="BF81" i="16" s="1"/>
  <c r="AF91" i="16"/>
  <c r="AG91" i="16" s="1"/>
  <c r="AH91" i="16" s="1"/>
  <c r="AS91" i="16" s="1"/>
  <c r="AT91" i="16" s="1"/>
  <c r="BK81" i="16"/>
  <c r="BL81" i="16" s="1"/>
  <c r="BM81" i="16" s="1"/>
  <c r="E108" i="16"/>
  <c r="L108" i="16" s="1"/>
  <c r="P108" i="16"/>
  <c r="AL91" i="16" l="1"/>
  <c r="AY91" i="16" s="1"/>
  <c r="AW91" i="16"/>
  <c r="AX91" i="16" s="1"/>
  <c r="AZ91" i="16" s="1"/>
  <c r="AU91" i="16"/>
  <c r="AV91" i="16" s="1"/>
  <c r="AQ90" i="16"/>
  <c r="BI81" i="16"/>
  <c r="BO81" i="16" s="1"/>
  <c r="BP81" i="16" s="1"/>
  <c r="AJ12" i="15" s="1"/>
  <c r="BG81" i="16"/>
  <c r="BC82" i="16" s="1"/>
  <c r="W92" i="16"/>
  <c r="AE92" i="16"/>
  <c r="Q108" i="16"/>
  <c r="S108" i="16" s="1"/>
  <c r="N108" i="16"/>
  <c r="M109" i="16" s="1"/>
  <c r="AM91" i="16" l="1"/>
  <c r="AN91" i="16" s="1"/>
  <c r="AO91" i="16" s="1"/>
  <c r="AP91" i="16" s="1"/>
  <c r="AQ91" i="16" s="1"/>
  <c r="BN81" i="16"/>
  <c r="AD7" i="15" s="1"/>
  <c r="AA92" i="16"/>
  <c r="AK92" i="16" s="1"/>
  <c r="Y92" i="16"/>
  <c r="AB92" i="16" s="1"/>
  <c r="BD82" i="16"/>
  <c r="BH82" i="16"/>
  <c r="O108" i="16"/>
  <c r="E80" i="14" l="1"/>
  <c r="F80" i="14" s="1"/>
  <c r="H80" i="14" s="1"/>
  <c r="BQ81" i="16"/>
  <c r="Z92" i="16"/>
  <c r="U93" i="16" s="1"/>
  <c r="AC93" i="16" s="1"/>
  <c r="AD93" i="16" s="1"/>
  <c r="AF92" i="16"/>
  <c r="AR91" i="16"/>
  <c r="BE82" i="16"/>
  <c r="BF82" i="16" s="1"/>
  <c r="BK82" i="16"/>
  <c r="BL82" i="16" s="1"/>
  <c r="BM82" i="16" s="1"/>
  <c r="BJ82" i="16"/>
  <c r="E109" i="16"/>
  <c r="L109" i="16" s="1"/>
  <c r="P109" i="16"/>
  <c r="AG92" i="16" l="1"/>
  <c r="AL92" i="16" s="1"/>
  <c r="AY92" i="16" s="1"/>
  <c r="AE93" i="16"/>
  <c r="W93" i="16"/>
  <c r="AA93" i="16" s="1"/>
  <c r="AK93" i="16" s="1"/>
  <c r="BI82" i="16"/>
  <c r="BG82" i="16"/>
  <c r="Q109" i="16"/>
  <c r="S109" i="16" s="1"/>
  <c r="N109" i="16"/>
  <c r="M110" i="16" s="1"/>
  <c r="AM92" i="16" l="1"/>
  <c r="AN92" i="16" s="1"/>
  <c r="AO92" i="16" s="1"/>
  <c r="AH92" i="16"/>
  <c r="AS92" i="16" s="1"/>
  <c r="Y93" i="16"/>
  <c r="BC83" i="16"/>
  <c r="BH83" i="16" s="1"/>
  <c r="BO82" i="16"/>
  <c r="BP82" i="16" s="1"/>
  <c r="BN82" i="16"/>
  <c r="O109" i="16"/>
  <c r="AU92" i="16" l="1"/>
  <c r="AV92" i="16" s="1"/>
  <c r="AT92" i="16"/>
  <c r="AW92" i="16" s="1"/>
  <c r="AX92" i="16" s="1"/>
  <c r="AZ92" i="16" s="1"/>
  <c r="AP92" i="16"/>
  <c r="AQ92" i="16" s="1"/>
  <c r="AB93" i="16"/>
  <c r="Z93" i="16"/>
  <c r="BD83" i="16"/>
  <c r="BE83" i="16" s="1"/>
  <c r="BF83" i="16" s="1"/>
  <c r="E81" i="14"/>
  <c r="F81" i="14" s="1"/>
  <c r="H81" i="14" s="1"/>
  <c r="AD14" i="15"/>
  <c r="AJ177" i="15"/>
  <c r="BQ82" i="16"/>
  <c r="E110" i="16"/>
  <c r="L110" i="16" s="1"/>
  <c r="P110" i="16"/>
  <c r="AR92" i="16" l="1"/>
  <c r="AF93" i="16"/>
  <c r="U94" i="16"/>
  <c r="AC94" i="16" s="1"/>
  <c r="BI83" i="16"/>
  <c r="BG83" i="16"/>
  <c r="BK83" i="16"/>
  <c r="BL83" i="16" s="1"/>
  <c r="BM83" i="16" s="1"/>
  <c r="BJ83" i="16"/>
  <c r="Q110" i="16"/>
  <c r="S110" i="16" s="1"/>
  <c r="N110" i="16"/>
  <c r="M111" i="16" s="1"/>
  <c r="AG93" i="16" l="1"/>
  <c r="AL93" i="16" s="1"/>
  <c r="AY93" i="16" s="1"/>
  <c r="AD94" i="16"/>
  <c r="W94" i="16"/>
  <c r="AA94" i="16" s="1"/>
  <c r="AK94" i="16" s="1"/>
  <c r="BC84" i="16"/>
  <c r="BH84" i="16" s="1"/>
  <c r="BO83" i="16"/>
  <c r="BP83" i="16" s="1"/>
  <c r="BN83" i="16"/>
  <c r="O110" i="16"/>
  <c r="AM93" i="16" l="1"/>
  <c r="AH93" i="16"/>
  <c r="AS93" i="16" s="1"/>
  <c r="AE94" i="16"/>
  <c r="AN93" i="16"/>
  <c r="AO93" i="16" s="1"/>
  <c r="Y94" i="16"/>
  <c r="AB94" i="16" s="1"/>
  <c r="BD84" i="16"/>
  <c r="BE84" i="16" s="1"/>
  <c r="BF84" i="16" s="1"/>
  <c r="E82" i="14"/>
  <c r="F82" i="14" s="1"/>
  <c r="H82" i="14" s="1"/>
  <c r="AD19" i="15"/>
  <c r="AJ178" i="15"/>
  <c r="BQ83" i="16"/>
  <c r="E111" i="16"/>
  <c r="P111" i="16"/>
  <c r="AU93" i="16" l="1"/>
  <c r="AV93" i="16" s="1"/>
  <c r="AT93" i="16"/>
  <c r="AW93" i="16" s="1"/>
  <c r="AX93" i="16" s="1"/>
  <c r="AZ93" i="16" s="1"/>
  <c r="AP93" i="16"/>
  <c r="AQ93" i="16" s="1"/>
  <c r="AF94" i="16"/>
  <c r="Z94" i="16"/>
  <c r="BI84" i="16"/>
  <c r="BG84" i="16"/>
  <c r="BK84" i="16"/>
  <c r="BL84" i="16" s="1"/>
  <c r="BM84" i="16" s="1"/>
  <c r="BJ84" i="16"/>
  <c r="L111" i="16"/>
  <c r="Q111" i="16"/>
  <c r="S111" i="16" s="1"/>
  <c r="AR93" i="16" l="1"/>
  <c r="AG94" i="16"/>
  <c r="AL94" i="16" s="1"/>
  <c r="AY94" i="16" s="1"/>
  <c r="U95" i="16"/>
  <c r="AC95" i="16" s="1"/>
  <c r="AD95" i="16" s="1"/>
  <c r="BC85" i="16"/>
  <c r="BH85" i="16" s="1"/>
  <c r="BO84" i="16"/>
  <c r="BP84" i="16" s="1"/>
  <c r="BN84" i="16"/>
  <c r="N111" i="16"/>
  <c r="M112" i="16" s="1"/>
  <c r="AM94" i="16" l="1"/>
  <c r="AN94" i="16" s="1"/>
  <c r="AO94" i="16" s="1"/>
  <c r="AH94" i="16"/>
  <c r="AS94" i="16" s="1"/>
  <c r="O111" i="16"/>
  <c r="W95" i="16"/>
  <c r="AA95" i="16" s="1"/>
  <c r="AK95" i="16" s="1"/>
  <c r="BD85" i="16"/>
  <c r="BK85" i="16" s="1"/>
  <c r="BL85" i="16" s="1"/>
  <c r="BM85" i="16" s="1"/>
  <c r="AE95" i="16"/>
  <c r="E83" i="14"/>
  <c r="F83" i="14" s="1"/>
  <c r="H83" i="14" s="1"/>
  <c r="AD25" i="15"/>
  <c r="AJ29" i="15"/>
  <c r="BQ84" i="16"/>
  <c r="E112" i="16"/>
  <c r="L112" i="16" s="1"/>
  <c r="P112" i="16"/>
  <c r="AT94" i="16" l="1"/>
  <c r="AW94" i="16" s="1"/>
  <c r="AX94" i="16" s="1"/>
  <c r="AZ94" i="16" s="1"/>
  <c r="AU94" i="16"/>
  <c r="AV94" i="16" s="1"/>
  <c r="BE85" i="16"/>
  <c r="BF85" i="16" s="1"/>
  <c r="BI85" i="16" s="1"/>
  <c r="BN85" i="16" s="1"/>
  <c r="BJ85" i="16"/>
  <c r="Y95" i="16"/>
  <c r="AB95" i="16" s="1"/>
  <c r="AP94" i="16"/>
  <c r="AR94" i="16" s="1"/>
  <c r="Q112" i="16"/>
  <c r="S112" i="16" s="1"/>
  <c r="N112" i="16"/>
  <c r="M113" i="16" s="1"/>
  <c r="BG85" i="16" l="1"/>
  <c r="BO85" i="16"/>
  <c r="BP85" i="16" s="1"/>
  <c r="AJ22" i="15" s="1"/>
  <c r="AF95" i="16"/>
  <c r="Z95" i="16"/>
  <c r="U96" i="16" s="1"/>
  <c r="AC96" i="16" s="1"/>
  <c r="AQ94" i="16"/>
  <c r="BC86" i="16"/>
  <c r="BH86" i="16" s="1"/>
  <c r="O112" i="16"/>
  <c r="E84" i="14"/>
  <c r="F84" i="14" s="1"/>
  <c r="H84" i="14" s="1"/>
  <c r="AD24" i="15"/>
  <c r="AG95" i="16" l="1"/>
  <c r="BQ85" i="16"/>
  <c r="W96" i="16"/>
  <c r="AA96" i="16" s="1"/>
  <c r="AK96" i="16" s="1"/>
  <c r="AD96" i="16"/>
  <c r="AE96" i="16" s="1"/>
  <c r="BD86" i="16"/>
  <c r="BJ86" i="16" s="1"/>
  <c r="E113" i="16"/>
  <c r="L113" i="16" s="1"/>
  <c r="P113" i="16"/>
  <c r="AL95" i="16" l="1"/>
  <c r="AY95" i="16" s="1"/>
  <c r="AH95" i="16"/>
  <c r="AS95" i="16" s="1"/>
  <c r="Y96" i="16"/>
  <c r="AB96" i="16" s="1"/>
  <c r="AF96" i="16" s="1"/>
  <c r="AG96" i="16" s="1"/>
  <c r="AH96" i="16" s="1"/>
  <c r="AS96" i="16" s="1"/>
  <c r="AT96" i="16" s="1"/>
  <c r="BE86" i="16"/>
  <c r="BF86" i="16" s="1"/>
  <c r="BI86" i="16" s="1"/>
  <c r="BK86" i="16"/>
  <c r="BL86" i="16" s="1"/>
  <c r="BM86" i="16" s="1"/>
  <c r="Q113" i="16"/>
  <c r="S113" i="16" s="1"/>
  <c r="N113" i="16"/>
  <c r="M114" i="16" s="1"/>
  <c r="Z96" i="16" l="1"/>
  <c r="U97" i="16" s="1"/>
  <c r="AC97" i="16" s="1"/>
  <c r="AM95" i="16"/>
  <c r="AN95" i="16" s="1"/>
  <c r="AO95" i="16" s="1"/>
  <c r="AP95" i="16" s="1"/>
  <c r="AR95" i="16" s="1"/>
  <c r="AL96" i="16"/>
  <c r="AM96" i="16" s="1"/>
  <c r="AU95" i="16"/>
  <c r="AV95" i="16" s="1"/>
  <c r="AU96" i="16" s="1"/>
  <c r="AV96" i="16" s="1"/>
  <c r="AT95" i="16"/>
  <c r="AW95" i="16" s="1"/>
  <c r="BG86" i="16"/>
  <c r="BC87" i="16" s="1"/>
  <c r="BH87" i="16" s="1"/>
  <c r="BN86" i="16"/>
  <c r="BO86" i="16"/>
  <c r="BP86" i="16" s="1"/>
  <c r="E114" i="16"/>
  <c r="L114" i="16" s="1"/>
  <c r="O113" i="16"/>
  <c r="AY96" i="16" l="1"/>
  <c r="AQ95" i="16"/>
  <c r="AX95" i="16"/>
  <c r="AZ95" i="16" s="1"/>
  <c r="BD87" i="16"/>
  <c r="BK87" i="16" s="1"/>
  <c r="BL87" i="16" s="1"/>
  <c r="BM87" i="16" s="1"/>
  <c r="AN96" i="16"/>
  <c r="AO96" i="16" s="1"/>
  <c r="W97" i="16"/>
  <c r="AA97" i="16" s="1"/>
  <c r="AK97" i="16" s="1"/>
  <c r="AD97" i="16"/>
  <c r="AJ179" i="15"/>
  <c r="BQ86" i="16"/>
  <c r="E85" i="14"/>
  <c r="F85" i="14" s="1"/>
  <c r="H85" i="14" s="1"/>
  <c r="AD35" i="15"/>
  <c r="N114" i="16"/>
  <c r="P114" i="16"/>
  <c r="BJ87" i="16" l="1"/>
  <c r="BE87" i="16"/>
  <c r="BF87" i="16" s="1"/>
  <c r="BI87" i="16" s="1"/>
  <c r="BO87" i="16" s="1"/>
  <c r="BP87" i="16" s="1"/>
  <c r="AJ180" i="15" s="1"/>
  <c r="AW96" i="16"/>
  <c r="AX96" i="16" s="1"/>
  <c r="AZ96" i="16" s="1"/>
  <c r="AP96" i="16"/>
  <c r="AR96" i="16" s="1"/>
  <c r="Y97" i="16"/>
  <c r="AE97" i="16"/>
  <c r="O114" i="16"/>
  <c r="M115" i="16"/>
  <c r="Q114" i="16"/>
  <c r="S114" i="16" s="1"/>
  <c r="BG87" i="16" l="1"/>
  <c r="BC88" i="16" s="1"/>
  <c r="BH88" i="16" s="1"/>
  <c r="AQ96" i="16"/>
  <c r="BN87" i="16"/>
  <c r="AD39" i="15" s="1"/>
  <c r="AB97" i="16"/>
  <c r="Z97" i="16"/>
  <c r="P115" i="16"/>
  <c r="Q115" i="16" s="1"/>
  <c r="S115" i="16" s="1"/>
  <c r="E115" i="16"/>
  <c r="BQ87" i="16" l="1"/>
  <c r="E86" i="14"/>
  <c r="F86" i="14" s="1"/>
  <c r="H86" i="14" s="1"/>
  <c r="U98" i="16"/>
  <c r="AC98" i="16" s="1"/>
  <c r="AD98" i="16" s="1"/>
  <c r="AF97" i="16"/>
  <c r="AG97" i="16" s="1"/>
  <c r="AH97" i="16" s="1"/>
  <c r="AS97" i="16" s="1"/>
  <c r="BD88" i="16"/>
  <c r="BJ88" i="16" s="1"/>
  <c r="L115" i="16"/>
  <c r="AL97" i="16" l="1"/>
  <c r="AY97" i="16" s="1"/>
  <c r="AU97" i="16"/>
  <c r="AV97" i="16" s="1"/>
  <c r="AT97" i="16"/>
  <c r="AW97" i="16" s="1"/>
  <c r="AX97" i="16" s="1"/>
  <c r="AZ97" i="16" s="1"/>
  <c r="W98" i="16"/>
  <c r="AA98" i="16" s="1"/>
  <c r="AK98" i="16" s="1"/>
  <c r="BK88" i="16"/>
  <c r="BL88" i="16" s="1"/>
  <c r="BM88" i="16" s="1"/>
  <c r="AE98" i="16"/>
  <c r="BE88" i="16"/>
  <c r="BF88" i="16" s="1"/>
  <c r="N115" i="16"/>
  <c r="M116" i="16" s="1"/>
  <c r="AM97" i="16" l="1"/>
  <c r="AN97" i="16" s="1"/>
  <c r="AO97" i="16" s="1"/>
  <c r="Y98" i="16"/>
  <c r="AB98" i="16" s="1"/>
  <c r="AF98" i="16" s="1"/>
  <c r="BI88" i="16"/>
  <c r="BO88" i="16" s="1"/>
  <c r="BP88" i="16" s="1"/>
  <c r="AJ181" i="15" s="1"/>
  <c r="BG88" i="16"/>
  <c r="O115" i="16"/>
  <c r="Z98" i="16" l="1"/>
  <c r="U99" i="16" s="1"/>
  <c r="AC99" i="16" s="1"/>
  <c r="AD99" i="16" s="1"/>
  <c r="AG98" i="16"/>
  <c r="AL98" i="16" s="1"/>
  <c r="AY98" i="16" s="1"/>
  <c r="BN88" i="16"/>
  <c r="BQ88" i="16" s="1"/>
  <c r="AP97" i="16"/>
  <c r="AQ97" i="16" s="1"/>
  <c r="BC89" i="16"/>
  <c r="BH89" i="16" s="1"/>
  <c r="E116" i="16"/>
  <c r="L116" i="16" s="1"/>
  <c r="P116" i="16"/>
  <c r="Q116" i="16" s="1"/>
  <c r="S116" i="16" s="1"/>
  <c r="W99" i="16" l="1"/>
  <c r="AA99" i="16" s="1"/>
  <c r="AK99" i="16" s="1"/>
  <c r="AD40" i="15"/>
  <c r="E87" i="14"/>
  <c r="F87" i="14" s="1"/>
  <c r="H87" i="14" s="1"/>
  <c r="AM98" i="16"/>
  <c r="AN98" i="16" s="1"/>
  <c r="AO98" i="16" s="1"/>
  <c r="AH98" i="16"/>
  <c r="AS98" i="16" s="1"/>
  <c r="BD89" i="16"/>
  <c r="BE89" i="16" s="1"/>
  <c r="BF89" i="16" s="1"/>
  <c r="BI89" i="16" s="1"/>
  <c r="AR97" i="16"/>
  <c r="AE99" i="16"/>
  <c r="Y99" i="16"/>
  <c r="AB99" i="16" s="1"/>
  <c r="N116" i="16"/>
  <c r="M117" i="16" s="1"/>
  <c r="AT98" i="16" l="1"/>
  <c r="AW98" i="16" s="1"/>
  <c r="AX98" i="16" s="1"/>
  <c r="AZ98" i="16" s="1"/>
  <c r="AU98" i="16"/>
  <c r="AV98" i="16" s="1"/>
  <c r="BK89" i="16"/>
  <c r="BL89" i="16" s="1"/>
  <c r="BM89" i="16" s="1"/>
  <c r="BG89" i="16"/>
  <c r="BC90" i="16" s="1"/>
  <c r="BH90" i="16" s="1"/>
  <c r="BJ89" i="16"/>
  <c r="AF99" i="16"/>
  <c r="AP98" i="16"/>
  <c r="AQ98" i="16" s="1"/>
  <c r="Z99" i="16"/>
  <c r="O116" i="16"/>
  <c r="BO89" i="16"/>
  <c r="BP89" i="16" s="1"/>
  <c r="AJ182" i="15" s="1"/>
  <c r="BN89" i="16" l="1"/>
  <c r="BQ89" i="16" s="1"/>
  <c r="AG99" i="16"/>
  <c r="AL99" i="16" s="1"/>
  <c r="AY99" i="16" s="1"/>
  <c r="AR98" i="16"/>
  <c r="U100" i="16"/>
  <c r="AC100" i="16" s="1"/>
  <c r="BD90" i="16"/>
  <c r="BE90" i="16" s="1"/>
  <c r="P117" i="16"/>
  <c r="Q117" i="16" s="1"/>
  <c r="S117" i="16" s="1"/>
  <c r="E117" i="16"/>
  <c r="L117" i="16" s="1"/>
  <c r="AD48" i="15" l="1"/>
  <c r="E88" i="14"/>
  <c r="F88" i="14" s="1"/>
  <c r="H88" i="14" s="1"/>
  <c r="AM99" i="16"/>
  <c r="AN99" i="16" s="1"/>
  <c r="AH99" i="16"/>
  <c r="AS99" i="16" s="1"/>
  <c r="AD100" i="16"/>
  <c r="W100" i="16"/>
  <c r="Y100" i="16" s="1"/>
  <c r="AB100" i="16" s="1"/>
  <c r="BF90" i="16"/>
  <c r="BI90" i="16" s="1"/>
  <c r="N117" i="16"/>
  <c r="M118" i="16" s="1"/>
  <c r="BJ90" i="16"/>
  <c r="BK90" i="16"/>
  <c r="BL90" i="16" s="1"/>
  <c r="BM90" i="16" s="1"/>
  <c r="AU99" i="16" l="1"/>
  <c r="AV99" i="16" s="1"/>
  <c r="AT99" i="16"/>
  <c r="AW99" i="16" s="1"/>
  <c r="AX99" i="16" s="1"/>
  <c r="AZ99" i="16" s="1"/>
  <c r="AE100" i="16"/>
  <c r="AF100" i="16" s="1"/>
  <c r="AG100" i="16" s="1"/>
  <c r="AH100" i="16" s="1"/>
  <c r="AS100" i="16" s="1"/>
  <c r="AT100" i="16" s="1"/>
  <c r="AO99" i="16"/>
  <c r="AA100" i="16"/>
  <c r="AK100" i="16" s="1"/>
  <c r="Z100" i="16"/>
  <c r="O117" i="16"/>
  <c r="BG90" i="16"/>
  <c r="AW100" i="16" l="1"/>
  <c r="AX100" i="16" s="1"/>
  <c r="AZ100" i="16" s="1"/>
  <c r="AL100" i="16"/>
  <c r="AY100" i="16" s="1"/>
  <c r="AU100" i="16"/>
  <c r="AV100" i="16" s="1"/>
  <c r="U101" i="16"/>
  <c r="AC101" i="16" s="1"/>
  <c r="AP99" i="16"/>
  <c r="AR99" i="16" s="1"/>
  <c r="BC91" i="16"/>
  <c r="P118" i="16"/>
  <c r="Q118" i="16" s="1"/>
  <c r="S118" i="16" s="1"/>
  <c r="E118" i="16"/>
  <c r="BO90" i="16"/>
  <c r="BP90" i="16" s="1"/>
  <c r="AJ183" i="15" s="1"/>
  <c r="BN90" i="16"/>
  <c r="AM100" i="16" l="1"/>
  <c r="W101" i="16"/>
  <c r="AA101" i="16" s="1"/>
  <c r="AK101" i="16" s="1"/>
  <c r="AQ99" i="16"/>
  <c r="AN100" i="16"/>
  <c r="AO100" i="16" s="1"/>
  <c r="AD101" i="16"/>
  <c r="BD91" i="16"/>
  <c r="BE91" i="16" s="1"/>
  <c r="BH91" i="16"/>
  <c r="L118" i="16"/>
  <c r="N118" i="16" s="1"/>
  <c r="M119" i="16" s="1"/>
  <c r="E89" i="14"/>
  <c r="F89" i="14" s="1"/>
  <c r="H89" i="14" s="1"/>
  <c r="AD57" i="15"/>
  <c r="BQ90" i="16"/>
  <c r="Y101" i="16" l="1"/>
  <c r="AB101" i="16" s="1"/>
  <c r="AP100" i="16"/>
  <c r="AR100" i="16" s="1"/>
  <c r="BF91" i="16"/>
  <c r="BI91" i="16" s="1"/>
  <c r="AE101" i="16"/>
  <c r="O118" i="16"/>
  <c r="BJ91" i="16"/>
  <c r="BK91" i="16"/>
  <c r="BL91" i="16" s="1"/>
  <c r="BM91" i="16" s="1"/>
  <c r="AF101" i="16" l="1"/>
  <c r="AG101" i="16" s="1"/>
  <c r="AH101" i="16" s="1"/>
  <c r="AS101" i="16" s="1"/>
  <c r="AU101" i="16" s="1"/>
  <c r="AV101" i="16" s="1"/>
  <c r="Z101" i="16"/>
  <c r="U102" i="16" s="1"/>
  <c r="AC102" i="16" s="1"/>
  <c r="AD102" i="16" s="1"/>
  <c r="AE102" i="16" s="1"/>
  <c r="AQ100" i="16"/>
  <c r="P119" i="16"/>
  <c r="Q119" i="16" s="1"/>
  <c r="S119" i="16" s="1"/>
  <c r="E119" i="16"/>
  <c r="L119" i="16" s="1"/>
  <c r="BG91" i="16"/>
  <c r="AL101" i="16" l="1"/>
  <c r="AY101" i="16" s="1"/>
  <c r="AT101" i="16"/>
  <c r="AW101" i="16" s="1"/>
  <c r="AX101" i="16" s="1"/>
  <c r="AZ101" i="16" s="1"/>
  <c r="W102" i="16"/>
  <c r="Y102" i="16" s="1"/>
  <c r="AB102" i="16" s="1"/>
  <c r="BC92" i="16"/>
  <c r="BH92" i="16" s="1"/>
  <c r="N119" i="16"/>
  <c r="M120" i="16" s="1"/>
  <c r="BO91" i="16"/>
  <c r="BP91" i="16" s="1"/>
  <c r="AJ184" i="15" s="1"/>
  <c r="BN91" i="16"/>
  <c r="AA102" i="16" l="1"/>
  <c r="AK102" i="16" s="1"/>
  <c r="AM101" i="16"/>
  <c r="AN101" i="16" s="1"/>
  <c r="AO101" i="16" s="1"/>
  <c r="AP101" i="16" s="1"/>
  <c r="AQ101" i="16" s="1"/>
  <c r="AF102" i="16"/>
  <c r="BD92" i="16"/>
  <c r="BE92" i="16" s="1"/>
  <c r="Z102" i="16"/>
  <c r="O119" i="16"/>
  <c r="E90" i="14"/>
  <c r="F90" i="14" s="1"/>
  <c r="H90" i="14" s="1"/>
  <c r="AD66" i="15"/>
  <c r="BQ91" i="16"/>
  <c r="AG102" i="16" l="1"/>
  <c r="AL102" i="16" s="1"/>
  <c r="AM102" i="16" s="1"/>
  <c r="BK92" i="16"/>
  <c r="BL92" i="16" s="1"/>
  <c r="BM92" i="16" s="1"/>
  <c r="BJ92" i="16"/>
  <c r="AR101" i="16"/>
  <c r="BF92" i="16"/>
  <c r="BI92" i="16" s="1"/>
  <c r="U103" i="16"/>
  <c r="AC103" i="16" s="1"/>
  <c r="P120" i="16"/>
  <c r="Q120" i="16" s="1"/>
  <c r="S120" i="16" s="1"/>
  <c r="E120" i="16"/>
  <c r="L120" i="16" s="1"/>
  <c r="AY102" i="16" l="1"/>
  <c r="AH102" i="16"/>
  <c r="AS102" i="16" s="1"/>
  <c r="BG92" i="16"/>
  <c r="BC93" i="16" s="1"/>
  <c r="BD93" i="16" s="1"/>
  <c r="W103" i="16"/>
  <c r="AA103" i="16" s="1"/>
  <c r="AK103" i="16" s="1"/>
  <c r="AN102" i="16"/>
  <c r="AD103" i="16"/>
  <c r="N120" i="16"/>
  <c r="M121" i="16" s="1"/>
  <c r="BO92" i="16"/>
  <c r="BP92" i="16" s="1"/>
  <c r="AJ185" i="15" s="1"/>
  <c r="BN92" i="16"/>
  <c r="AU102" i="16" l="1"/>
  <c r="AV102" i="16" s="1"/>
  <c r="AT102" i="16"/>
  <c r="AW102" i="16" s="1"/>
  <c r="AX102" i="16" s="1"/>
  <c r="AZ102" i="16" s="1"/>
  <c r="Y103" i="16"/>
  <c r="AB103" i="16" s="1"/>
  <c r="AE103" i="16"/>
  <c r="AO102" i="16"/>
  <c r="BE93" i="16"/>
  <c r="BF93" i="16" s="1"/>
  <c r="BI93" i="16" s="1"/>
  <c r="BH93" i="16"/>
  <c r="O120" i="16"/>
  <c r="E91" i="14"/>
  <c r="F91" i="14" s="1"/>
  <c r="H91" i="14" s="1"/>
  <c r="AD76" i="15"/>
  <c r="BQ92" i="16"/>
  <c r="Z103" i="16" l="1"/>
  <c r="U104" i="16" s="1"/>
  <c r="AC104" i="16" s="1"/>
  <c r="AF103" i="16"/>
  <c r="AG103" i="16" s="1"/>
  <c r="AH103" i="16" s="1"/>
  <c r="AS103" i="16" s="1"/>
  <c r="AT103" i="16" s="1"/>
  <c r="AW103" i="16" s="1"/>
  <c r="AX103" i="16" s="1"/>
  <c r="AZ103" i="16" s="1"/>
  <c r="AP102" i="16"/>
  <c r="AR102" i="16" s="1"/>
  <c r="P121" i="16"/>
  <c r="Q121" i="16" s="1"/>
  <c r="S121" i="16" s="1"/>
  <c r="E121" i="16"/>
  <c r="L121" i="16" s="1"/>
  <c r="BJ93" i="16"/>
  <c r="BK93" i="16"/>
  <c r="BL93" i="16" s="1"/>
  <c r="BM93" i="16" s="1"/>
  <c r="AU103" i="16" l="1"/>
  <c r="AV103" i="16" s="1"/>
  <c r="AL103" i="16"/>
  <c r="AY103" i="16" s="1"/>
  <c r="W104" i="16"/>
  <c r="AA104" i="16" s="1"/>
  <c r="AK104" i="16" s="1"/>
  <c r="AD104" i="16"/>
  <c r="AQ102" i="16"/>
  <c r="N121" i="16"/>
  <c r="M122" i="16" s="1"/>
  <c r="BG93" i="16"/>
  <c r="AM103" i="16" l="1"/>
  <c r="AN103" i="16" s="1"/>
  <c r="AO103" i="16" s="1"/>
  <c r="AP103" i="16" s="1"/>
  <c r="AQ103" i="16" s="1"/>
  <c r="Y104" i="16"/>
  <c r="AB104" i="16" s="1"/>
  <c r="AE104" i="16"/>
  <c r="BC94" i="16"/>
  <c r="O121" i="16"/>
  <c r="BO93" i="16"/>
  <c r="BP93" i="16" s="1"/>
  <c r="AJ70" i="15" s="1"/>
  <c r="BN93" i="16"/>
  <c r="Z104" i="16" l="1"/>
  <c r="U105" i="16" s="1"/>
  <c r="AC105" i="16" s="1"/>
  <c r="AR103" i="16"/>
  <c r="AF104" i="16"/>
  <c r="AG104" i="16" s="1"/>
  <c r="AH104" i="16" s="1"/>
  <c r="AS104" i="16" s="1"/>
  <c r="BH94" i="16"/>
  <c r="BD94" i="16"/>
  <c r="E122" i="16"/>
  <c r="P122" i="16"/>
  <c r="Q122" i="16" s="1"/>
  <c r="S122" i="16" s="1"/>
  <c r="E92" i="14"/>
  <c r="F92" i="14" s="1"/>
  <c r="H92" i="14" s="1"/>
  <c r="AD47" i="15"/>
  <c r="BQ93" i="16"/>
  <c r="AL104" i="16" l="1"/>
  <c r="AY104" i="16" s="1"/>
  <c r="AT104" i="16"/>
  <c r="AW104" i="16" s="1"/>
  <c r="AX104" i="16" s="1"/>
  <c r="AZ104" i="16" s="1"/>
  <c r="AU104" i="16"/>
  <c r="AV104" i="16" s="1"/>
  <c r="AD105" i="16"/>
  <c r="W105" i="16"/>
  <c r="AA105" i="16" s="1"/>
  <c r="AK105" i="16" s="1"/>
  <c r="BE94" i="16"/>
  <c r="BF94" i="16" s="1"/>
  <c r="BI94" i="16" s="1"/>
  <c r="L122" i="16"/>
  <c r="N122" i="16" s="1"/>
  <c r="M123" i="16" s="1"/>
  <c r="BJ94" i="16"/>
  <c r="BK94" i="16"/>
  <c r="BL94" i="16" s="1"/>
  <c r="BM94" i="16" s="1"/>
  <c r="AM104" i="16" l="1"/>
  <c r="AN104" i="16" s="1"/>
  <c r="AO104" i="16" s="1"/>
  <c r="AP104" i="16" s="1"/>
  <c r="AQ104" i="16" s="1"/>
  <c r="AE105" i="16"/>
  <c r="Y105" i="16"/>
  <c r="O122" i="16"/>
  <c r="E123" i="16"/>
  <c r="L123" i="16" s="1"/>
  <c r="BG94" i="16"/>
  <c r="AR104" i="16" l="1"/>
  <c r="AB105" i="16"/>
  <c r="Z105" i="16"/>
  <c r="BC95" i="16"/>
  <c r="BH95" i="16" s="1"/>
  <c r="P123" i="16"/>
  <c r="Q123" i="16" s="1"/>
  <c r="S123" i="16" s="1"/>
  <c r="N123" i="16"/>
  <c r="M124" i="16" s="1"/>
  <c r="BO94" i="16"/>
  <c r="BP94" i="16" s="1"/>
  <c r="AJ186" i="15" s="1"/>
  <c r="BN94" i="16"/>
  <c r="AF105" i="16" l="1"/>
  <c r="AG105" i="16" s="1"/>
  <c r="AH105" i="16" s="1"/>
  <c r="AS105" i="16" s="1"/>
  <c r="U106" i="16"/>
  <c r="AC106" i="16" s="1"/>
  <c r="BD95" i="16"/>
  <c r="BE95" i="16" s="1"/>
  <c r="O123" i="16"/>
  <c r="E93" i="14"/>
  <c r="F93" i="14" s="1"/>
  <c r="H93" i="14" s="1"/>
  <c r="AD56" i="15"/>
  <c r="BQ94" i="16"/>
  <c r="AT105" i="16" l="1"/>
  <c r="AW105" i="16" s="1"/>
  <c r="AX105" i="16" s="1"/>
  <c r="AZ105" i="16" s="1"/>
  <c r="AU105" i="16"/>
  <c r="AV105" i="16" s="1"/>
  <c r="AL105" i="16"/>
  <c r="AM105" i="16" s="1"/>
  <c r="W106" i="16"/>
  <c r="AA106" i="16" s="1"/>
  <c r="AK106" i="16" s="1"/>
  <c r="BF95" i="16"/>
  <c r="BI95" i="16" s="1"/>
  <c r="AD106" i="16"/>
  <c r="E124" i="16"/>
  <c r="P124" i="16"/>
  <c r="Q124" i="16" s="1"/>
  <c r="S124" i="16" s="1"/>
  <c r="BJ95" i="16"/>
  <c r="BK95" i="16"/>
  <c r="BL95" i="16" s="1"/>
  <c r="BM95" i="16" s="1"/>
  <c r="AY105" i="16" l="1"/>
  <c r="Y106" i="16"/>
  <c r="AN105" i="16"/>
  <c r="AO105" i="16" s="1"/>
  <c r="AE106" i="16"/>
  <c r="L124" i="16"/>
  <c r="N124" i="16" s="1"/>
  <c r="M125" i="16" s="1"/>
  <c r="BO95" i="16"/>
  <c r="BP95" i="16" s="1"/>
  <c r="AJ187" i="15" s="1"/>
  <c r="BN95" i="16"/>
  <c r="BG95" i="16"/>
  <c r="AB106" i="16" l="1"/>
  <c r="Z106" i="16"/>
  <c r="U107" i="16" s="1"/>
  <c r="AC107" i="16" s="1"/>
  <c r="AP105" i="16"/>
  <c r="AR105" i="16" s="1"/>
  <c r="BC96" i="16"/>
  <c r="BH96" i="16" s="1"/>
  <c r="O124" i="16"/>
  <c r="E125" i="16"/>
  <c r="L125" i="16" s="1"/>
  <c r="E94" i="14"/>
  <c r="F94" i="14" s="1"/>
  <c r="H94" i="14" s="1"/>
  <c r="AD61" i="15"/>
  <c r="BQ95" i="16"/>
  <c r="AQ105" i="16" l="1"/>
  <c r="AD107" i="16"/>
  <c r="AE107" i="16" s="1"/>
  <c r="W107" i="16"/>
  <c r="AA107" i="16" s="1"/>
  <c r="AK107" i="16" s="1"/>
  <c r="AF106" i="16"/>
  <c r="AG106" i="16" s="1"/>
  <c r="AH106" i="16" s="1"/>
  <c r="AS106" i="16" s="1"/>
  <c r="BD96" i="16"/>
  <c r="N125" i="16"/>
  <c r="M126" i="16" s="1"/>
  <c r="P125" i="16"/>
  <c r="Q125" i="16" s="1"/>
  <c r="S125" i="16" s="1"/>
  <c r="AT106" i="16" l="1"/>
  <c r="AW106" i="16" s="1"/>
  <c r="AX106" i="16" s="1"/>
  <c r="AZ106" i="16" s="1"/>
  <c r="AU106" i="16"/>
  <c r="AL106" i="16"/>
  <c r="AY106" i="16" s="1"/>
  <c r="Y107" i="16"/>
  <c r="AB107" i="16" s="1"/>
  <c r="AF107" i="16" s="1"/>
  <c r="AG107" i="16" s="1"/>
  <c r="AH107" i="16" s="1"/>
  <c r="AS107" i="16" s="1"/>
  <c r="AT107" i="16" s="1"/>
  <c r="BE96" i="16"/>
  <c r="BF96" i="16" s="1"/>
  <c r="BI96" i="16" s="1"/>
  <c r="O125" i="16"/>
  <c r="E126" i="16"/>
  <c r="L126" i="16" s="1"/>
  <c r="BJ96" i="16"/>
  <c r="BK96" i="16"/>
  <c r="BL96" i="16" s="1"/>
  <c r="BM96" i="16" s="1"/>
  <c r="AW107" i="16" l="1"/>
  <c r="AX107" i="16" s="1"/>
  <c r="AZ107" i="16" s="1"/>
  <c r="AM106" i="16"/>
  <c r="AN106" i="16" s="1"/>
  <c r="AO106" i="16" s="1"/>
  <c r="AP106" i="16" s="1"/>
  <c r="AR106" i="16" s="1"/>
  <c r="AV106" i="16"/>
  <c r="AU107" i="16" s="1"/>
  <c r="AV107" i="16" s="1"/>
  <c r="Z107" i="16"/>
  <c r="U108" i="16" s="1"/>
  <c r="AC108" i="16" s="1"/>
  <c r="AD108" i="16" s="1"/>
  <c r="AL107" i="16"/>
  <c r="AY107" i="16" s="1"/>
  <c r="N126" i="16"/>
  <c r="M127" i="16" s="1"/>
  <c r="P126" i="16"/>
  <c r="Q126" i="16" s="1"/>
  <c r="S126" i="16" s="1"/>
  <c r="BG96" i="16"/>
  <c r="AM107" i="16" l="1"/>
  <c r="AN107" i="16" s="1"/>
  <c r="AO107" i="16" s="1"/>
  <c r="AQ106" i="16"/>
  <c r="W108" i="16"/>
  <c r="AA108" i="16" s="1"/>
  <c r="AK108" i="16" s="1"/>
  <c r="AE108" i="16"/>
  <c r="BC97" i="16"/>
  <c r="BH97" i="16" s="1"/>
  <c r="O126" i="16"/>
  <c r="E127" i="16"/>
  <c r="P127" i="16"/>
  <c r="BO96" i="16"/>
  <c r="BP96" i="16" s="1"/>
  <c r="AJ188" i="15" s="1"/>
  <c r="BN96" i="16"/>
  <c r="Y108" i="16" l="1"/>
  <c r="AB108" i="16" s="1"/>
  <c r="BD97" i="16"/>
  <c r="BK97" i="16" s="1"/>
  <c r="BL97" i="16" s="1"/>
  <c r="BM97" i="16" s="1"/>
  <c r="AP107" i="16"/>
  <c r="AR107" i="16" s="1"/>
  <c r="L127" i="16"/>
  <c r="Q127" i="16"/>
  <c r="S127" i="16" s="1"/>
  <c r="E95" i="14"/>
  <c r="F95" i="14" s="1"/>
  <c r="H95" i="14" s="1"/>
  <c r="AD68" i="15"/>
  <c r="BQ96" i="16"/>
  <c r="Z108" i="16" l="1"/>
  <c r="U109" i="16" s="1"/>
  <c r="AC109" i="16" s="1"/>
  <c r="AD109" i="16" s="1"/>
  <c r="BJ97" i="16"/>
  <c r="BE97" i="16"/>
  <c r="BF97" i="16" s="1"/>
  <c r="BI97" i="16" s="1"/>
  <c r="BO97" i="16" s="1"/>
  <c r="BP97" i="16" s="1"/>
  <c r="AJ189" i="15" s="1"/>
  <c r="AQ107" i="16"/>
  <c r="AF108" i="16"/>
  <c r="N127" i="16"/>
  <c r="M128" i="16" s="1"/>
  <c r="AG108" i="16" l="1"/>
  <c r="AL108" i="16" s="1"/>
  <c r="AY108" i="16" s="1"/>
  <c r="BG97" i="16"/>
  <c r="BC98" i="16" s="1"/>
  <c r="BH98" i="16" s="1"/>
  <c r="BN97" i="16"/>
  <c r="E96" i="14" s="1"/>
  <c r="F96" i="14" s="1"/>
  <c r="H96" i="14" s="1"/>
  <c r="O127" i="16"/>
  <c r="AE109" i="16"/>
  <c r="W109" i="16"/>
  <c r="Y109" i="16" s="1"/>
  <c r="AB109" i="16" s="1"/>
  <c r="E128" i="16"/>
  <c r="L128" i="16" s="1"/>
  <c r="P128" i="16"/>
  <c r="AM108" i="16" l="1"/>
  <c r="AN108" i="16" s="1"/>
  <c r="AO108" i="16" s="1"/>
  <c r="AH108" i="16"/>
  <c r="AS108" i="16" s="1"/>
  <c r="BQ97" i="16"/>
  <c r="AD80" i="15"/>
  <c r="AF109" i="16"/>
  <c r="BD98" i="16"/>
  <c r="BE98" i="16" s="1"/>
  <c r="AA109" i="16"/>
  <c r="AK109" i="16" s="1"/>
  <c r="Z109" i="16"/>
  <c r="Q128" i="16"/>
  <c r="S128" i="16" s="1"/>
  <c r="N128" i="16"/>
  <c r="M129" i="16" s="1"/>
  <c r="AG109" i="16" l="1"/>
  <c r="AL109" i="16" s="1"/>
  <c r="AM109" i="16" s="1"/>
  <c r="AT108" i="16"/>
  <c r="AW108" i="16" s="1"/>
  <c r="AX108" i="16" s="1"/>
  <c r="AZ108" i="16" s="1"/>
  <c r="AU108" i="16"/>
  <c r="AV108" i="16" s="1"/>
  <c r="BK98" i="16"/>
  <c r="BL98" i="16" s="1"/>
  <c r="BM98" i="16" s="1"/>
  <c r="AP108" i="16"/>
  <c r="AQ108" i="16" s="1"/>
  <c r="BJ98" i="16"/>
  <c r="BF98" i="16"/>
  <c r="U110" i="16"/>
  <c r="AC110" i="16" s="1"/>
  <c r="AY109" i="16"/>
  <c r="O128" i="16"/>
  <c r="E129" i="16"/>
  <c r="L129" i="16" s="1"/>
  <c r="AH109" i="16" l="1"/>
  <c r="AS109" i="16" s="1"/>
  <c r="AD110" i="16"/>
  <c r="W110" i="16"/>
  <c r="AA110" i="16" s="1"/>
  <c r="AK110" i="16" s="1"/>
  <c r="BI98" i="16"/>
  <c r="BN98" i="16" s="1"/>
  <c r="BG98" i="16"/>
  <c r="BC99" i="16" s="1"/>
  <c r="BH99" i="16" s="1"/>
  <c r="AN109" i="16"/>
  <c r="AO109" i="16" s="1"/>
  <c r="AR108" i="16"/>
  <c r="N129" i="16"/>
  <c r="M130" i="16" s="1"/>
  <c r="P129" i="16"/>
  <c r="BD99" i="16" l="1"/>
  <c r="BE99" i="16" s="1"/>
  <c r="BF99" i="16" s="1"/>
  <c r="BI99" i="16" s="1"/>
  <c r="AT109" i="16"/>
  <c r="AW109" i="16" s="1"/>
  <c r="AX109" i="16" s="1"/>
  <c r="AZ109" i="16" s="1"/>
  <c r="AU109" i="16"/>
  <c r="AV109" i="16" s="1"/>
  <c r="BO98" i="16"/>
  <c r="BP98" i="16" s="1"/>
  <c r="AJ190" i="15" s="1"/>
  <c r="Y110" i="16"/>
  <c r="AB110" i="16" s="1"/>
  <c r="AP109" i="16"/>
  <c r="AR109" i="16" s="1"/>
  <c r="AE110" i="16"/>
  <c r="Q129" i="16"/>
  <c r="S129" i="16" s="1"/>
  <c r="O129" i="16"/>
  <c r="E97" i="14"/>
  <c r="F97" i="14" s="1"/>
  <c r="H97" i="14" s="1"/>
  <c r="AD96" i="15"/>
  <c r="BK99" i="16" l="1"/>
  <c r="BL99" i="16" s="1"/>
  <c r="BM99" i="16" s="1"/>
  <c r="BJ99" i="16"/>
  <c r="AF110" i="16"/>
  <c r="AG110" i="16" s="1"/>
  <c r="AH110" i="16" s="1"/>
  <c r="AS110" i="16" s="1"/>
  <c r="AT110" i="16" s="1"/>
  <c r="AW110" i="16" s="1"/>
  <c r="AX110" i="16" s="1"/>
  <c r="AZ110" i="16" s="1"/>
  <c r="BQ98" i="16"/>
  <c r="Z110" i="16"/>
  <c r="U111" i="16" s="1"/>
  <c r="AC111" i="16" s="1"/>
  <c r="AD111" i="16" s="1"/>
  <c r="AE111" i="16" s="1"/>
  <c r="AQ109" i="16"/>
  <c r="E130" i="16"/>
  <c r="L130" i="16" s="1"/>
  <c r="P130" i="16"/>
  <c r="BO99" i="16"/>
  <c r="BP99" i="16" s="1"/>
  <c r="AJ191" i="15" s="1"/>
  <c r="BG99" i="16"/>
  <c r="BN99" i="16" l="1"/>
  <c r="E98" i="14" s="1"/>
  <c r="F98" i="14" s="1"/>
  <c r="H98" i="14" s="1"/>
  <c r="AL110" i="16"/>
  <c r="AY110" i="16" s="1"/>
  <c r="AU110" i="16"/>
  <c r="AV110" i="16" s="1"/>
  <c r="W111" i="16"/>
  <c r="AA111" i="16" s="1"/>
  <c r="AK111" i="16" s="1"/>
  <c r="BC100" i="16"/>
  <c r="Q130" i="16"/>
  <c r="S130" i="16" s="1"/>
  <c r="N130" i="16"/>
  <c r="M131" i="16" s="1"/>
  <c r="BQ99" i="16"/>
  <c r="AD111" i="15" l="1"/>
  <c r="AM110" i="16"/>
  <c r="AN110" i="16" s="1"/>
  <c r="AO110" i="16" s="1"/>
  <c r="AP110" i="16" s="1"/>
  <c r="AQ110" i="16" s="1"/>
  <c r="Y111" i="16"/>
  <c r="AB111" i="16" s="1"/>
  <c r="AF111" i="16" s="1"/>
  <c r="AG111" i="16"/>
  <c r="AH111" i="16" s="1"/>
  <c r="AS111" i="16" s="1"/>
  <c r="BD100" i="16"/>
  <c r="BH100" i="16"/>
  <c r="O130" i="16"/>
  <c r="Z111" i="16" l="1"/>
  <c r="U112" i="16" s="1"/>
  <c r="AC112" i="16" s="1"/>
  <c r="AD112" i="16" s="1"/>
  <c r="AE112" i="16" s="1"/>
  <c r="AU111" i="16"/>
  <c r="AV111" i="16" s="1"/>
  <c r="AT111" i="16"/>
  <c r="AW111" i="16" s="1"/>
  <c r="AX111" i="16" s="1"/>
  <c r="AZ111" i="16" s="1"/>
  <c r="AL111" i="16"/>
  <c r="AM111" i="16" s="1"/>
  <c r="AN111" i="16" s="1"/>
  <c r="AO111" i="16" s="1"/>
  <c r="AR110" i="16"/>
  <c r="BE100" i="16"/>
  <c r="BF100" i="16" s="1"/>
  <c r="BI100" i="16" s="1"/>
  <c r="E131" i="16"/>
  <c r="L131" i="16" s="1"/>
  <c r="P131" i="16"/>
  <c r="BJ100" i="16"/>
  <c r="BK100" i="16"/>
  <c r="BL100" i="16" s="1"/>
  <c r="BM100" i="16" s="1"/>
  <c r="W112" i="16" l="1"/>
  <c r="AA112" i="16" s="1"/>
  <c r="AK112" i="16" s="1"/>
  <c r="AY111" i="16"/>
  <c r="AP111" i="16"/>
  <c r="AR111" i="16" s="1"/>
  <c r="Q131" i="16"/>
  <c r="S131" i="16" s="1"/>
  <c r="N131" i="16"/>
  <c r="M132" i="16" s="1"/>
  <c r="BO100" i="16"/>
  <c r="BP100" i="16" s="1"/>
  <c r="AJ192" i="15" s="1"/>
  <c r="BN100" i="16"/>
  <c r="BG100" i="16"/>
  <c r="Y112" i="16" l="1"/>
  <c r="AB112" i="16" s="1"/>
  <c r="AF112" i="16" s="1"/>
  <c r="AQ111" i="16"/>
  <c r="BC101" i="16"/>
  <c r="O131" i="16"/>
  <c r="E99" i="14"/>
  <c r="F99" i="14" s="1"/>
  <c r="H99" i="14" s="1"/>
  <c r="AD129" i="15"/>
  <c r="BQ100" i="16"/>
  <c r="Z112" i="16" l="1"/>
  <c r="U113" i="16" s="1"/>
  <c r="AC113" i="16" s="1"/>
  <c r="AD113" i="16" s="1"/>
  <c r="AG112" i="16"/>
  <c r="BD101" i="16"/>
  <c r="BE101" i="16" s="1"/>
  <c r="BH101" i="16"/>
  <c r="E132" i="16"/>
  <c r="P132" i="16"/>
  <c r="W113" i="16" l="1"/>
  <c r="AA113" i="16" s="1"/>
  <c r="AK113" i="16" s="1"/>
  <c r="AL112" i="16"/>
  <c r="AY112" i="16" s="1"/>
  <c r="AH112" i="16"/>
  <c r="AS112" i="16" s="1"/>
  <c r="AE113" i="16"/>
  <c r="BF101" i="16"/>
  <c r="BI101" i="16" s="1"/>
  <c r="L132" i="16"/>
  <c r="Q132" i="16"/>
  <c r="S132" i="16" s="1"/>
  <c r="BJ101" i="16"/>
  <c r="BK101" i="16"/>
  <c r="BL101" i="16" s="1"/>
  <c r="BM101" i="16" s="1"/>
  <c r="Y113" i="16" l="1"/>
  <c r="AB113" i="16" s="1"/>
  <c r="AF113" i="16" s="1"/>
  <c r="AU112" i="16"/>
  <c r="AV112" i="16" s="1"/>
  <c r="AT112" i="16"/>
  <c r="AW112" i="16" s="1"/>
  <c r="AX112" i="16" s="1"/>
  <c r="AZ112" i="16" s="1"/>
  <c r="AM112" i="16"/>
  <c r="AN112" i="16" s="1"/>
  <c r="AO112" i="16" s="1"/>
  <c r="AP112" i="16" s="1"/>
  <c r="AQ112" i="16" s="1"/>
  <c r="N132" i="16"/>
  <c r="O132" i="16" s="1"/>
  <c r="BO101" i="16"/>
  <c r="BP101" i="16" s="1"/>
  <c r="AJ193" i="15" s="1"/>
  <c r="BN101" i="16"/>
  <c r="BG101" i="16"/>
  <c r="Z113" i="16" l="1"/>
  <c r="U114" i="16" s="1"/>
  <c r="AC114" i="16" s="1"/>
  <c r="AD114" i="16" s="1"/>
  <c r="AG113" i="16"/>
  <c r="AR112" i="16"/>
  <c r="BC102" i="16"/>
  <c r="M133" i="16"/>
  <c r="E100" i="14"/>
  <c r="F100" i="14" s="1"/>
  <c r="H100" i="14" s="1"/>
  <c r="AD148" i="15"/>
  <c r="BQ101" i="16"/>
  <c r="W114" i="16" l="1"/>
  <c r="AA114" i="16" s="1"/>
  <c r="AK114" i="16" s="1"/>
  <c r="AL113" i="16"/>
  <c r="AY113" i="16" s="1"/>
  <c r="AH113" i="16"/>
  <c r="AS113" i="16" s="1"/>
  <c r="Y114" i="16"/>
  <c r="AB114" i="16" s="1"/>
  <c r="AE114" i="16"/>
  <c r="BD102" i="16"/>
  <c r="BH102" i="16"/>
  <c r="E133" i="16"/>
  <c r="L133" i="16" s="1"/>
  <c r="P133" i="16"/>
  <c r="Q133" i="16" s="1"/>
  <c r="S133" i="16" s="1"/>
  <c r="Z114" i="16" l="1"/>
  <c r="U115" i="16" s="1"/>
  <c r="AC115" i="16" s="1"/>
  <c r="AM113" i="16"/>
  <c r="AN113" i="16" s="1"/>
  <c r="AO113" i="16" s="1"/>
  <c r="AP113" i="16" s="1"/>
  <c r="AR113" i="16" s="1"/>
  <c r="AT113" i="16"/>
  <c r="AW113" i="16" s="1"/>
  <c r="AU113" i="16"/>
  <c r="AV113" i="16" s="1"/>
  <c r="AF114" i="16"/>
  <c r="AG114" i="16" s="1"/>
  <c r="BE102" i="16"/>
  <c r="BF102" i="16" s="1"/>
  <c r="BI102" i="16" s="1"/>
  <c r="N133" i="16"/>
  <c r="BJ102" i="16"/>
  <c r="BK102" i="16"/>
  <c r="BL102" i="16" s="1"/>
  <c r="BM102" i="16" s="1"/>
  <c r="AQ113" i="16" l="1"/>
  <c r="AH114" i="16"/>
  <c r="AS114" i="16" s="1"/>
  <c r="AT114" i="16" s="1"/>
  <c r="AL114" i="16"/>
  <c r="AX113" i="16"/>
  <c r="AZ113" i="16" s="1"/>
  <c r="W115" i="16"/>
  <c r="AA115" i="16" s="1"/>
  <c r="AK115" i="16" s="1"/>
  <c r="AD115" i="16"/>
  <c r="M134" i="16"/>
  <c r="O133" i="16"/>
  <c r="BG102" i="16"/>
  <c r="AU114" i="16" l="1"/>
  <c r="AV114" i="16" s="1"/>
  <c r="AY114" i="16"/>
  <c r="AM114" i="16"/>
  <c r="AN114" i="16" s="1"/>
  <c r="AO114" i="16" s="1"/>
  <c r="AP114" i="16" s="1"/>
  <c r="AQ114" i="16" s="1"/>
  <c r="AW114" i="16"/>
  <c r="AX114" i="16" s="1"/>
  <c r="AZ114" i="16" s="1"/>
  <c r="Y115" i="16"/>
  <c r="AE115" i="16"/>
  <c r="BC103" i="16"/>
  <c r="BH103" i="16" s="1"/>
  <c r="P134" i="16"/>
  <c r="Q134" i="16" s="1"/>
  <c r="S134" i="16" s="1"/>
  <c r="E134" i="16"/>
  <c r="L134" i="16" s="1"/>
  <c r="BO102" i="16"/>
  <c r="BP102" i="16" s="1"/>
  <c r="AJ194" i="15" s="1"/>
  <c r="BN102" i="16"/>
  <c r="AB115" i="16" l="1"/>
  <c r="Z115" i="16"/>
  <c r="U116" i="16" s="1"/>
  <c r="AC116" i="16" s="1"/>
  <c r="AD116" i="16" s="1"/>
  <c r="AR114" i="16"/>
  <c r="BD103" i="16"/>
  <c r="BE103" i="16" s="1"/>
  <c r="N134" i="16"/>
  <c r="E101" i="14"/>
  <c r="F101" i="14" s="1"/>
  <c r="H101" i="14" s="1"/>
  <c r="AD162" i="15"/>
  <c r="BQ102" i="16"/>
  <c r="W116" i="16" l="1"/>
  <c r="AA116" i="16" s="1"/>
  <c r="AK116" i="16" s="1"/>
  <c r="AF115" i="16"/>
  <c r="AG115" i="16" s="1"/>
  <c r="AH115" i="16" s="1"/>
  <c r="AS115" i="16" s="1"/>
  <c r="AE116" i="16"/>
  <c r="BJ103" i="16"/>
  <c r="BK103" i="16"/>
  <c r="BL103" i="16" s="1"/>
  <c r="BM103" i="16" s="1"/>
  <c r="BF103" i="16"/>
  <c r="BI103" i="16" s="1"/>
  <c r="M135" i="16"/>
  <c r="O134" i="16"/>
  <c r="AT115" i="16" l="1"/>
  <c r="AW115" i="16" s="1"/>
  <c r="AX115" i="16" s="1"/>
  <c r="AZ115" i="16" s="1"/>
  <c r="AU115" i="16"/>
  <c r="AV115" i="16" s="1"/>
  <c r="AL115" i="16"/>
  <c r="AY115" i="16" s="1"/>
  <c r="Y116" i="16"/>
  <c r="AB116" i="16" s="1"/>
  <c r="BG103" i="16"/>
  <c r="P135" i="16"/>
  <c r="Q135" i="16" s="1"/>
  <c r="S135" i="16" s="1"/>
  <c r="E135" i="16"/>
  <c r="L135" i="16" s="1"/>
  <c r="BO103" i="16"/>
  <c r="BP103" i="16" s="1"/>
  <c r="AJ195" i="15" s="1"/>
  <c r="BN103" i="16"/>
  <c r="AM115" i="16" l="1"/>
  <c r="AN115" i="16" s="1"/>
  <c r="AO115" i="16" s="1"/>
  <c r="AP115" i="16" s="1"/>
  <c r="AQ115" i="16" s="1"/>
  <c r="Z116" i="16"/>
  <c r="U117" i="16" s="1"/>
  <c r="AC117" i="16" s="1"/>
  <c r="AF116" i="16"/>
  <c r="BC104" i="16"/>
  <c r="BH104" i="16" s="1"/>
  <c r="N135" i="16"/>
  <c r="E102" i="14"/>
  <c r="F102" i="14" s="1"/>
  <c r="H102" i="14" s="1"/>
  <c r="AD185" i="15"/>
  <c r="BQ103" i="16"/>
  <c r="AG116" i="16" l="1"/>
  <c r="AL116" i="16" s="1"/>
  <c r="AY116" i="16" s="1"/>
  <c r="AR115" i="16"/>
  <c r="W117" i="16"/>
  <c r="AA117" i="16" s="1"/>
  <c r="AK117" i="16" s="1"/>
  <c r="AD117" i="16"/>
  <c r="BD104" i="16"/>
  <c r="BJ104" i="16" s="1"/>
  <c r="M136" i="16"/>
  <c r="E136" i="16" s="1"/>
  <c r="L136" i="16" s="1"/>
  <c r="O135" i="16"/>
  <c r="AM116" i="16" l="1"/>
  <c r="AH116" i="16"/>
  <c r="AS116" i="16" s="1"/>
  <c r="Y117" i="16"/>
  <c r="AB117" i="16" s="1"/>
  <c r="BK104" i="16"/>
  <c r="BL104" i="16" s="1"/>
  <c r="BM104" i="16" s="1"/>
  <c r="AN116" i="16"/>
  <c r="AO116" i="16" s="1"/>
  <c r="BE104" i="16"/>
  <c r="BF104" i="16" s="1"/>
  <c r="BI104" i="16" s="1"/>
  <c r="AE117" i="16"/>
  <c r="N136" i="16"/>
  <c r="P136" i="16"/>
  <c r="Q136" i="16" s="1"/>
  <c r="S136" i="16" s="1"/>
  <c r="AU116" i="16" l="1"/>
  <c r="AV116" i="16" s="1"/>
  <c r="AT116" i="16"/>
  <c r="AW116" i="16" s="1"/>
  <c r="AX116" i="16" s="1"/>
  <c r="AZ116" i="16" s="1"/>
  <c r="AF117" i="16"/>
  <c r="Z117" i="16"/>
  <c r="U118" i="16" s="1"/>
  <c r="AC118" i="16" s="1"/>
  <c r="AP116" i="16"/>
  <c r="AQ116" i="16" s="1"/>
  <c r="BG104" i="16"/>
  <c r="BC105" i="16" s="1"/>
  <c r="BH105" i="16" s="1"/>
  <c r="BO104" i="16"/>
  <c r="BP104" i="16" s="1"/>
  <c r="AJ196" i="15" s="1"/>
  <c r="BN104" i="16"/>
  <c r="M137" i="16"/>
  <c r="E137" i="16" s="1"/>
  <c r="L137" i="16" s="1"/>
  <c r="O136" i="16"/>
  <c r="AG117" i="16" l="1"/>
  <c r="AH117" i="16" s="1"/>
  <c r="AS117" i="16" s="1"/>
  <c r="W118" i="16"/>
  <c r="AA118" i="16" s="1"/>
  <c r="AK118" i="16" s="1"/>
  <c r="AR116" i="16"/>
  <c r="AD118" i="16"/>
  <c r="BD105" i="16"/>
  <c r="BK105" i="16" s="1"/>
  <c r="BL105" i="16" s="1"/>
  <c r="BM105" i="16" s="1"/>
  <c r="BQ104" i="16"/>
  <c r="E103" i="14"/>
  <c r="F103" i="14" s="1"/>
  <c r="H103" i="14" s="1"/>
  <c r="AD216" i="15"/>
  <c r="N137" i="16"/>
  <c r="P137" i="16"/>
  <c r="Q137" i="16" s="1"/>
  <c r="S137" i="16" s="1"/>
  <c r="AL117" i="16" l="1"/>
  <c r="AY117" i="16" s="1"/>
  <c r="AT117" i="16"/>
  <c r="AW117" i="16" s="1"/>
  <c r="AX117" i="16" s="1"/>
  <c r="AZ117" i="16" s="1"/>
  <c r="AU117" i="16"/>
  <c r="AV117" i="16" s="1"/>
  <c r="Y118" i="16"/>
  <c r="AB118" i="16" s="1"/>
  <c r="BE105" i="16"/>
  <c r="BF105" i="16" s="1"/>
  <c r="BG105" i="16" s="1"/>
  <c r="BJ105" i="16"/>
  <c r="AE118" i="16"/>
  <c r="M138" i="16"/>
  <c r="O137" i="16"/>
  <c r="AM117" i="16" l="1"/>
  <c r="AN117" i="16" s="1"/>
  <c r="AO117" i="16" s="1"/>
  <c r="AP117" i="16" s="1"/>
  <c r="AR117" i="16" s="1"/>
  <c r="BI105" i="16"/>
  <c r="BO105" i="16" s="1"/>
  <c r="BP105" i="16" s="1"/>
  <c r="AF118" i="16"/>
  <c r="AG118" i="16" s="1"/>
  <c r="AH118" i="16" s="1"/>
  <c r="AS118" i="16" s="1"/>
  <c r="AT118" i="16" s="1"/>
  <c r="AW118" i="16" s="1"/>
  <c r="AX118" i="16" s="1"/>
  <c r="AZ118" i="16" s="1"/>
  <c r="Z118" i="16"/>
  <c r="U119" i="16" s="1"/>
  <c r="AC119" i="16" s="1"/>
  <c r="BC106" i="16"/>
  <c r="BH106" i="16" s="1"/>
  <c r="E138" i="16"/>
  <c r="L138" i="16" s="1"/>
  <c r="P138" i="16"/>
  <c r="Q138" i="16" s="1"/>
  <c r="S138" i="16" s="1"/>
  <c r="BN105" i="16" l="1"/>
  <c r="AD227" i="15" s="1"/>
  <c r="AQ117" i="16"/>
  <c r="AL118" i="16"/>
  <c r="AY118" i="16" s="1"/>
  <c r="AU118" i="16"/>
  <c r="AV118" i="16" s="1"/>
  <c r="AD119" i="16"/>
  <c r="AE119" i="16" s="1"/>
  <c r="W119" i="16"/>
  <c r="Y119" i="16" s="1"/>
  <c r="AB119" i="16" s="1"/>
  <c r="N138" i="16"/>
  <c r="M139" i="16" s="1"/>
  <c r="P139" i="16" s="1"/>
  <c r="BD106" i="16"/>
  <c r="BE106" i="16" s="1"/>
  <c r="BF106" i="16" s="1"/>
  <c r="AJ197" i="15"/>
  <c r="AM118" i="16" l="1"/>
  <c r="AN118" i="16" s="1"/>
  <c r="AO118" i="16" s="1"/>
  <c r="AP118" i="16" s="1"/>
  <c r="AR118" i="16" s="1"/>
  <c r="E104" i="14"/>
  <c r="F104" i="14" s="1"/>
  <c r="H104" i="14" s="1"/>
  <c r="BQ105" i="16"/>
  <c r="AA119" i="16"/>
  <c r="AK119" i="16" s="1"/>
  <c r="O138" i="16"/>
  <c r="Z119" i="16"/>
  <c r="U120" i="16" s="1"/>
  <c r="AC120" i="16" s="1"/>
  <c r="AD120" i="16" s="1"/>
  <c r="AF119" i="16"/>
  <c r="AG119" i="16" s="1"/>
  <c r="AH119" i="16" s="1"/>
  <c r="AS119" i="16" s="1"/>
  <c r="AT119" i="16" s="1"/>
  <c r="AW119" i="16" s="1"/>
  <c r="AX119" i="16" s="1"/>
  <c r="AZ119" i="16" s="1"/>
  <c r="BI106" i="16"/>
  <c r="BG106" i="16"/>
  <c r="BK106" i="16"/>
  <c r="BL106" i="16" s="1"/>
  <c r="BM106" i="16" s="1"/>
  <c r="BJ106" i="16"/>
  <c r="E139" i="16"/>
  <c r="L139" i="16" s="1"/>
  <c r="Q139" i="16"/>
  <c r="S139" i="16" s="1"/>
  <c r="N139" i="16" l="1"/>
  <c r="M140" i="16" s="1"/>
  <c r="E140" i="16" s="1"/>
  <c r="AL119" i="16"/>
  <c r="AM119" i="16" s="1"/>
  <c r="AU119" i="16"/>
  <c r="AV119" i="16" s="1"/>
  <c r="AQ118" i="16"/>
  <c r="AE120" i="16"/>
  <c r="W120" i="16"/>
  <c r="AA120" i="16" s="1"/>
  <c r="AK120" i="16" s="1"/>
  <c r="AY119" i="16"/>
  <c r="BC107" i="16"/>
  <c r="BH107" i="16" s="1"/>
  <c r="BN106" i="16"/>
  <c r="BO106" i="16"/>
  <c r="BP106" i="16" s="1"/>
  <c r="O139" i="16"/>
  <c r="AN119" i="16" l="1"/>
  <c r="AO119" i="16" s="1"/>
  <c r="Y120" i="16"/>
  <c r="AB120" i="16" s="1"/>
  <c r="BD107" i="16"/>
  <c r="BE107" i="16" s="1"/>
  <c r="BF107" i="16" s="1"/>
  <c r="AJ198" i="15"/>
  <c r="BQ106" i="16"/>
  <c r="E105" i="14"/>
  <c r="F105" i="14" s="1"/>
  <c r="H105" i="14" s="1"/>
  <c r="AD231" i="15"/>
  <c r="L140" i="16"/>
  <c r="P140" i="16"/>
  <c r="Z120" i="16" l="1"/>
  <c r="AP119" i="16"/>
  <c r="AQ119" i="16" s="1"/>
  <c r="AF120" i="16"/>
  <c r="BI107" i="16"/>
  <c r="BG107" i="16"/>
  <c r="BK107" i="16"/>
  <c r="BL107" i="16" s="1"/>
  <c r="BM107" i="16" s="1"/>
  <c r="BJ107" i="16"/>
  <c r="N140" i="16"/>
  <c r="M141" i="16" s="1"/>
  <c r="Q140" i="16"/>
  <c r="S140" i="16" s="1"/>
  <c r="AG120" i="16" l="1"/>
  <c r="AL120" i="16" s="1"/>
  <c r="AY120" i="16" s="1"/>
  <c r="AR119" i="16"/>
  <c r="U121" i="16"/>
  <c r="AC121" i="16" s="1"/>
  <c r="O140" i="16"/>
  <c r="BC108" i="16"/>
  <c r="BH108" i="16" s="1"/>
  <c r="BO107" i="16"/>
  <c r="BP107" i="16" s="1"/>
  <c r="AJ199" i="15" s="1"/>
  <c r="BN107" i="16"/>
  <c r="P141" i="16"/>
  <c r="E141" i="16"/>
  <c r="L141" i="16" s="1"/>
  <c r="AM120" i="16" l="1"/>
  <c r="AN120" i="16" s="1"/>
  <c r="AO120" i="16" s="1"/>
  <c r="AH120" i="16"/>
  <c r="AS120" i="16" s="1"/>
  <c r="W121" i="16"/>
  <c r="AA121" i="16" s="1"/>
  <c r="AK121" i="16" s="1"/>
  <c r="AD121" i="16"/>
  <c r="BD108" i="16"/>
  <c r="BE108" i="16" s="1"/>
  <c r="BQ107" i="16"/>
  <c r="E106" i="14"/>
  <c r="F106" i="14" s="1"/>
  <c r="H106" i="14" s="1"/>
  <c r="AD234" i="15"/>
  <c r="N141" i="16"/>
  <c r="M142" i="16" s="1"/>
  <c r="Q141" i="16"/>
  <c r="S141" i="16" s="1"/>
  <c r="AU120" i="16" l="1"/>
  <c r="AV120" i="16" s="1"/>
  <c r="AT120" i="16"/>
  <c r="AW120" i="16" s="1"/>
  <c r="AX120" i="16" s="1"/>
  <c r="AZ120" i="16" s="1"/>
  <c r="Y121" i="16"/>
  <c r="AB121" i="16" s="1"/>
  <c r="AP120" i="16"/>
  <c r="AQ120" i="16" s="1"/>
  <c r="BF108" i="16"/>
  <c r="BI108" i="16" s="1"/>
  <c r="AE121" i="16"/>
  <c r="BJ108" i="16"/>
  <c r="BK108" i="16"/>
  <c r="BL108" i="16" s="1"/>
  <c r="BM108" i="16" s="1"/>
  <c r="O141" i="16"/>
  <c r="Z121" i="16" l="1"/>
  <c r="U122" i="16" s="1"/>
  <c r="AC122" i="16" s="1"/>
  <c r="AF121" i="16"/>
  <c r="AG121" i="16" s="1"/>
  <c r="AH121" i="16" s="1"/>
  <c r="AS121" i="16" s="1"/>
  <c r="AT121" i="16" s="1"/>
  <c r="AW121" i="16" s="1"/>
  <c r="AX121" i="16" s="1"/>
  <c r="AZ121" i="16" s="1"/>
  <c r="BG108" i="16"/>
  <c r="AR120" i="16"/>
  <c r="BN108" i="16"/>
  <c r="BO108" i="16"/>
  <c r="BP108" i="16" s="1"/>
  <c r="E142" i="16"/>
  <c r="L142" i="16" s="1"/>
  <c r="P142" i="16"/>
  <c r="AU121" i="16" l="1"/>
  <c r="AV121" i="16" s="1"/>
  <c r="AL121" i="16"/>
  <c r="AY121" i="16" s="1"/>
  <c r="BC109" i="16"/>
  <c r="BH109" i="16" s="1"/>
  <c r="AD122" i="16"/>
  <c r="W122" i="16"/>
  <c r="AJ126" i="15"/>
  <c r="BQ108" i="16"/>
  <c r="E107" i="14"/>
  <c r="F107" i="14" s="1"/>
  <c r="H107" i="14" s="1"/>
  <c r="AD212" i="15"/>
  <c r="Q142" i="16"/>
  <c r="S142" i="16" s="1"/>
  <c r="N142" i="16"/>
  <c r="M143" i="16" s="1"/>
  <c r="AM121" i="16" l="1"/>
  <c r="AE122" i="16"/>
  <c r="AA122" i="16"/>
  <c r="AK122" i="16" s="1"/>
  <c r="Y122" i="16"/>
  <c r="AB122" i="16" s="1"/>
  <c r="BD109" i="16"/>
  <c r="O142" i="16"/>
  <c r="E143" i="16"/>
  <c r="L143" i="16" s="1"/>
  <c r="AN121" i="16" l="1"/>
  <c r="AO121" i="16" s="1"/>
  <c r="AP121" i="16" s="1"/>
  <c r="Z122" i="16"/>
  <c r="U123" i="16" s="1"/>
  <c r="AC123" i="16" s="1"/>
  <c r="BJ109" i="16"/>
  <c r="BE109" i="16"/>
  <c r="BF109" i="16" s="1"/>
  <c r="BK109" i="16"/>
  <c r="BL109" i="16" s="1"/>
  <c r="BM109" i="16" s="1"/>
  <c r="AF122" i="16"/>
  <c r="AG122" i="16" s="1"/>
  <c r="AH122" i="16" s="1"/>
  <c r="AS122" i="16" s="1"/>
  <c r="N143" i="16"/>
  <c r="M144" i="16" s="1"/>
  <c r="P143" i="16"/>
  <c r="AL122" i="16" l="1"/>
  <c r="AM122" i="16" s="1"/>
  <c r="AQ121" i="16"/>
  <c r="AR121" i="16"/>
  <c r="AT122" i="16"/>
  <c r="AW122" i="16" s="1"/>
  <c r="AX122" i="16" s="1"/>
  <c r="AZ122" i="16" s="1"/>
  <c r="AU122" i="16"/>
  <c r="AV122" i="16" s="1"/>
  <c r="W123" i="16"/>
  <c r="AA123" i="16" s="1"/>
  <c r="AK123" i="16" s="1"/>
  <c r="BI109" i="16"/>
  <c r="BG109" i="16"/>
  <c r="BC110" i="16" s="1"/>
  <c r="BH110" i="16" s="1"/>
  <c r="AD123" i="16"/>
  <c r="O143" i="16"/>
  <c r="Q143" i="16"/>
  <c r="S143" i="16" s="1"/>
  <c r="AY122" i="16" l="1"/>
  <c r="Y123" i="16"/>
  <c r="AB123" i="16" s="1"/>
  <c r="BD110" i="16"/>
  <c r="BE110" i="16" s="1"/>
  <c r="BF110" i="16" s="1"/>
  <c r="BI110" i="16" s="1"/>
  <c r="BO110" i="16" s="1"/>
  <c r="BP110" i="16" s="1"/>
  <c r="AJ201" i="15" s="1"/>
  <c r="AE123" i="16"/>
  <c r="AN122" i="16"/>
  <c r="AO122" i="16" s="1"/>
  <c r="BO109" i="16"/>
  <c r="BP109" i="16" s="1"/>
  <c r="BN109" i="16"/>
  <c r="E144" i="16"/>
  <c r="L144" i="16" s="1"/>
  <c r="P144" i="16"/>
  <c r="AF123" i="16" l="1"/>
  <c r="AG123" i="16" s="1"/>
  <c r="AH123" i="16" s="1"/>
  <c r="AS123" i="16" s="1"/>
  <c r="Z123" i="16"/>
  <c r="U124" i="16" s="1"/>
  <c r="AC124" i="16" s="1"/>
  <c r="BJ110" i="16"/>
  <c r="BG110" i="16"/>
  <c r="BC111" i="16" s="1"/>
  <c r="BH111" i="16" s="1"/>
  <c r="BK110" i="16"/>
  <c r="BL110" i="16" s="1"/>
  <c r="BM110" i="16" s="1"/>
  <c r="AP122" i="16"/>
  <c r="AR122" i="16" s="1"/>
  <c r="AD218" i="15"/>
  <c r="E108" i="14"/>
  <c r="F108" i="14" s="1"/>
  <c r="H108" i="14" s="1"/>
  <c r="AJ200" i="15"/>
  <c r="BQ109" i="16"/>
  <c r="Q144" i="16"/>
  <c r="S144" i="16" s="1"/>
  <c r="N144" i="16"/>
  <c r="M145" i="16" s="1"/>
  <c r="AT123" i="16" l="1"/>
  <c r="AW123" i="16" s="1"/>
  <c r="AX123" i="16" s="1"/>
  <c r="AZ123" i="16" s="1"/>
  <c r="AU123" i="16"/>
  <c r="AV123" i="16" s="1"/>
  <c r="AL123" i="16"/>
  <c r="AY123" i="16" s="1"/>
  <c r="BN110" i="16"/>
  <c r="AD238" i="15" s="1"/>
  <c r="AQ122" i="16"/>
  <c r="AD124" i="16"/>
  <c r="W124" i="16"/>
  <c r="BD111" i="16"/>
  <c r="BE111" i="16" s="1"/>
  <c r="E145" i="16"/>
  <c r="L145" i="16" s="1"/>
  <c r="O144" i="16"/>
  <c r="AM123" i="16" l="1"/>
  <c r="AN123" i="16" s="1"/>
  <c r="AO123" i="16" s="1"/>
  <c r="AP123" i="16" s="1"/>
  <c r="AQ123" i="16" s="1"/>
  <c r="BQ110" i="16"/>
  <c r="E109" i="14"/>
  <c r="F109" i="14" s="1"/>
  <c r="H109" i="14" s="1"/>
  <c r="BK111" i="16"/>
  <c r="BL111" i="16" s="1"/>
  <c r="BM111" i="16" s="1"/>
  <c r="AA124" i="16"/>
  <c r="AK124" i="16" s="1"/>
  <c r="Y124" i="16"/>
  <c r="AB124" i="16" s="1"/>
  <c r="AE124" i="16"/>
  <c r="BF111" i="16"/>
  <c r="BI111" i="16" s="1"/>
  <c r="BJ111" i="16"/>
  <c r="N145" i="16"/>
  <c r="M146" i="16" s="1"/>
  <c r="P145" i="16"/>
  <c r="AR123" i="16" l="1"/>
  <c r="BG111" i="16"/>
  <c r="BC112" i="16" s="1"/>
  <c r="Z124" i="16"/>
  <c r="U125" i="16" s="1"/>
  <c r="AC125" i="16" s="1"/>
  <c r="AF124" i="16"/>
  <c r="AG124" i="16" s="1"/>
  <c r="AH124" i="16" s="1"/>
  <c r="AS124" i="16" s="1"/>
  <c r="Q145" i="16"/>
  <c r="S145" i="16" s="1"/>
  <c r="O145" i="16"/>
  <c r="BO111" i="16"/>
  <c r="BP111" i="16" s="1"/>
  <c r="AJ202" i="15" s="1"/>
  <c r="BN111" i="16"/>
  <c r="AL124" i="16" l="1"/>
  <c r="AY124" i="16" s="1"/>
  <c r="AT124" i="16"/>
  <c r="AW124" i="16" s="1"/>
  <c r="AX124" i="16" s="1"/>
  <c r="AZ124" i="16" s="1"/>
  <c r="AU124" i="16"/>
  <c r="AD125" i="16"/>
  <c r="W125" i="16"/>
  <c r="AA125" i="16" s="1"/>
  <c r="AK125" i="16" s="1"/>
  <c r="BH112" i="16"/>
  <c r="BD112" i="16"/>
  <c r="E146" i="16"/>
  <c r="L146" i="16" s="1"/>
  <c r="P146" i="16"/>
  <c r="E110" i="14"/>
  <c r="F110" i="14" s="1"/>
  <c r="H110" i="14" s="1"/>
  <c r="AD248" i="15"/>
  <c r="BQ111" i="16"/>
  <c r="AM124" i="16" l="1"/>
  <c r="AN124" i="16" s="1"/>
  <c r="AO124" i="16" s="1"/>
  <c r="AV124" i="16"/>
  <c r="Y125" i="16"/>
  <c r="AB125" i="16" s="1"/>
  <c r="AE125" i="16"/>
  <c r="BE112" i="16"/>
  <c r="BF112" i="16" s="1"/>
  <c r="BI112" i="16" s="1"/>
  <c r="Q146" i="16"/>
  <c r="S146" i="16" s="1"/>
  <c r="N146" i="16"/>
  <c r="M147" i="16" s="1"/>
  <c r="BJ112" i="16"/>
  <c r="BK112" i="16"/>
  <c r="BL112" i="16" s="1"/>
  <c r="BM112" i="16" s="1"/>
  <c r="AF125" i="16" l="1"/>
  <c r="AG125" i="16" s="1"/>
  <c r="AH125" i="16" s="1"/>
  <c r="AS125" i="16" s="1"/>
  <c r="Z125" i="16"/>
  <c r="U126" i="16" s="1"/>
  <c r="AC126" i="16" s="1"/>
  <c r="AP124" i="16"/>
  <c r="AR124" i="16" s="1"/>
  <c r="BG112" i="16"/>
  <c r="O146" i="16"/>
  <c r="E147" i="16"/>
  <c r="L147" i="16" s="1"/>
  <c r="BO112" i="16"/>
  <c r="BP112" i="16" s="1"/>
  <c r="AJ203" i="15" s="1"/>
  <c r="BN112" i="16"/>
  <c r="AT125" i="16" l="1"/>
  <c r="AW125" i="16" s="1"/>
  <c r="AX125" i="16" s="1"/>
  <c r="AZ125" i="16" s="1"/>
  <c r="AU125" i="16"/>
  <c r="AL125" i="16"/>
  <c r="AY125" i="16" s="1"/>
  <c r="AQ124" i="16"/>
  <c r="AD126" i="16"/>
  <c r="W126" i="16"/>
  <c r="BC113" i="16"/>
  <c r="BH113" i="16" s="1"/>
  <c r="N147" i="16"/>
  <c r="M148" i="16" s="1"/>
  <c r="P147" i="16"/>
  <c r="E111" i="14"/>
  <c r="F111" i="14" s="1"/>
  <c r="H111" i="14" s="1"/>
  <c r="AD253" i="15"/>
  <c r="BQ112" i="16"/>
  <c r="AV125" i="16" l="1"/>
  <c r="AM125" i="16"/>
  <c r="AN125" i="16" s="1"/>
  <c r="AO125" i="16" s="1"/>
  <c r="AA126" i="16"/>
  <c r="AK126" i="16" s="1"/>
  <c r="Y126" i="16"/>
  <c r="AB126" i="16" s="1"/>
  <c r="AE126" i="16"/>
  <c r="BD113" i="16"/>
  <c r="O147" i="16"/>
  <c r="Q147" i="16"/>
  <c r="S147" i="16" s="1"/>
  <c r="Z126" i="16" l="1"/>
  <c r="U127" i="16" s="1"/>
  <c r="AC127" i="16" s="1"/>
  <c r="AP125" i="16"/>
  <c r="AR125" i="16" s="1"/>
  <c r="AF126" i="16"/>
  <c r="AG126" i="16" s="1"/>
  <c r="AH126" i="16" s="1"/>
  <c r="AS126" i="16" s="1"/>
  <c r="BJ113" i="16"/>
  <c r="BK113" i="16"/>
  <c r="BL113" i="16" s="1"/>
  <c r="BM113" i="16" s="1"/>
  <c r="BE113" i="16"/>
  <c r="BF113" i="16" s="1"/>
  <c r="P148" i="16"/>
  <c r="E148" i="16"/>
  <c r="L148" i="16" s="1"/>
  <c r="AT126" i="16" l="1"/>
  <c r="AW126" i="16" s="1"/>
  <c r="AX126" i="16" s="1"/>
  <c r="AZ126" i="16" s="1"/>
  <c r="AU126" i="16"/>
  <c r="AL126" i="16"/>
  <c r="AM126" i="16" s="1"/>
  <c r="AQ125" i="16"/>
  <c r="AD127" i="16"/>
  <c r="W127" i="16"/>
  <c r="BI113" i="16"/>
  <c r="BG113" i="16"/>
  <c r="N148" i="16"/>
  <c r="M149" i="16" s="1"/>
  <c r="Q148" i="16"/>
  <c r="S148" i="16" s="1"/>
  <c r="AY126" i="16" l="1"/>
  <c r="AV126" i="16"/>
  <c r="AA127" i="16"/>
  <c r="AK127" i="16" s="1"/>
  <c r="Y127" i="16"/>
  <c r="AB127" i="16" s="1"/>
  <c r="AE127" i="16"/>
  <c r="AN126" i="16"/>
  <c r="AO126" i="16" s="1"/>
  <c r="BC114" i="16"/>
  <c r="BH114" i="16" s="1"/>
  <c r="BN113" i="16"/>
  <c r="BO113" i="16"/>
  <c r="BP113" i="16" s="1"/>
  <c r="O148" i="16"/>
  <c r="E149" i="16"/>
  <c r="L149" i="16" s="1"/>
  <c r="AP126" i="16" l="1"/>
  <c r="AR126" i="16" s="1"/>
  <c r="Z127" i="16"/>
  <c r="AF127" i="16"/>
  <c r="AG127" i="16" s="1"/>
  <c r="AH127" i="16" s="1"/>
  <c r="AS127" i="16" s="1"/>
  <c r="BD114" i="16"/>
  <c r="BE114" i="16" s="1"/>
  <c r="BF114" i="16" s="1"/>
  <c r="AJ204" i="15"/>
  <c r="BQ113" i="16"/>
  <c r="AD255" i="15"/>
  <c r="E112" i="14"/>
  <c r="F112" i="14" s="1"/>
  <c r="H112" i="14" s="1"/>
  <c r="N149" i="16"/>
  <c r="M150" i="16" s="1"/>
  <c r="P149" i="16"/>
  <c r="AL127" i="16" l="1"/>
  <c r="AM127" i="16" s="1"/>
  <c r="AT127" i="16"/>
  <c r="AW127" i="16" s="1"/>
  <c r="AX127" i="16" s="1"/>
  <c r="AZ127" i="16" s="1"/>
  <c r="AU127" i="16"/>
  <c r="AQ126" i="16"/>
  <c r="U128" i="16"/>
  <c r="AC128" i="16" s="1"/>
  <c r="BI114" i="16"/>
  <c r="BG114" i="16"/>
  <c r="BJ114" i="16"/>
  <c r="BK114" i="16"/>
  <c r="BL114" i="16" s="1"/>
  <c r="BM114" i="16" s="1"/>
  <c r="Q149" i="16"/>
  <c r="S149" i="16" s="1"/>
  <c r="O149" i="16"/>
  <c r="AY127" i="16" l="1"/>
  <c r="AV127" i="16"/>
  <c r="W128" i="16"/>
  <c r="AA128" i="16" s="1"/>
  <c r="AK128" i="16" s="1"/>
  <c r="AN127" i="16"/>
  <c r="AO127" i="16" s="1"/>
  <c r="AD128" i="16"/>
  <c r="BC115" i="16"/>
  <c r="BH115" i="16" s="1"/>
  <c r="BO114" i="16"/>
  <c r="BP114" i="16" s="1"/>
  <c r="BN114" i="16"/>
  <c r="P150" i="16"/>
  <c r="E150" i="16"/>
  <c r="L150" i="16" s="1"/>
  <c r="Y128" i="16" l="1"/>
  <c r="AB128" i="16" s="1"/>
  <c r="AP127" i="16"/>
  <c r="AQ127" i="16" s="1"/>
  <c r="AE128" i="16"/>
  <c r="E113" i="14"/>
  <c r="F113" i="14" s="1"/>
  <c r="H113" i="14" s="1"/>
  <c r="AD260" i="15"/>
  <c r="BD115" i="16"/>
  <c r="AJ205" i="15"/>
  <c r="BQ114" i="16"/>
  <c r="N150" i="16"/>
  <c r="M151" i="16" s="1"/>
  <c r="Q150" i="16"/>
  <c r="S150" i="16" s="1"/>
  <c r="AF128" i="16" l="1"/>
  <c r="AG128" i="16" s="1"/>
  <c r="AH128" i="16" s="1"/>
  <c r="AS128" i="16" s="1"/>
  <c r="AT128" i="16" s="1"/>
  <c r="AW128" i="16" s="1"/>
  <c r="AX128" i="16" s="1"/>
  <c r="AZ128" i="16" s="1"/>
  <c r="Z128" i="16"/>
  <c r="U129" i="16" s="1"/>
  <c r="AC129" i="16" s="1"/>
  <c r="AR127" i="16"/>
  <c r="BJ115" i="16"/>
  <c r="BK115" i="16"/>
  <c r="BL115" i="16" s="1"/>
  <c r="BM115" i="16" s="1"/>
  <c r="BE115" i="16"/>
  <c r="BF115" i="16" s="1"/>
  <c r="O150" i="16"/>
  <c r="AL128" i="16" l="1"/>
  <c r="AU128" i="16"/>
  <c r="AV128" i="16" s="1"/>
  <c r="AD129" i="16"/>
  <c r="W129" i="16"/>
  <c r="AA129" i="16" s="1"/>
  <c r="AK129" i="16" s="1"/>
  <c r="BI115" i="16"/>
  <c r="BG115" i="16"/>
  <c r="E151" i="16"/>
  <c r="L151" i="16" s="1"/>
  <c r="P151" i="16"/>
  <c r="AM128" i="16" l="1"/>
  <c r="AN128" i="16" s="1"/>
  <c r="AO128" i="16" s="1"/>
  <c r="AP128" i="16" s="1"/>
  <c r="AQ128" i="16" s="1"/>
  <c r="AY128" i="16"/>
  <c r="Y129" i="16"/>
  <c r="AB129" i="16" s="1"/>
  <c r="AE129" i="16"/>
  <c r="BC116" i="16"/>
  <c r="BH116" i="16" s="1"/>
  <c r="BN115" i="16"/>
  <c r="BO115" i="16"/>
  <c r="BP115" i="16" s="1"/>
  <c r="Q151" i="16"/>
  <c r="S151" i="16" s="1"/>
  <c r="N151" i="16"/>
  <c r="M152" i="16" s="1"/>
  <c r="Z129" i="16" l="1"/>
  <c r="U130" i="16" s="1"/>
  <c r="AC130" i="16" s="1"/>
  <c r="AD130" i="16" s="1"/>
  <c r="AR128" i="16"/>
  <c r="AF129" i="16"/>
  <c r="AG129" i="16" s="1"/>
  <c r="AH129" i="16" s="1"/>
  <c r="AS129" i="16" s="1"/>
  <c r="BD116" i="16"/>
  <c r="BE116" i="16" s="1"/>
  <c r="AJ206" i="15"/>
  <c r="BQ115" i="16"/>
  <c r="E114" i="14"/>
  <c r="F114" i="14" s="1"/>
  <c r="H114" i="14" s="1"/>
  <c r="AD264" i="15"/>
  <c r="O151" i="16"/>
  <c r="AU129" i="16" l="1"/>
  <c r="AV129" i="16" s="1"/>
  <c r="AT129" i="16"/>
  <c r="AW129" i="16" s="1"/>
  <c r="AX129" i="16" s="1"/>
  <c r="AZ129" i="16" s="1"/>
  <c r="AL129" i="16"/>
  <c r="AM129" i="16" s="1"/>
  <c r="BF116" i="16"/>
  <c r="BI116" i="16" s="1"/>
  <c r="AE130" i="16"/>
  <c r="W130" i="16"/>
  <c r="AA130" i="16" s="1"/>
  <c r="AK130" i="16" s="1"/>
  <c r="BJ116" i="16"/>
  <c r="BK116" i="16"/>
  <c r="BL116" i="16" s="1"/>
  <c r="BM116" i="16" s="1"/>
  <c r="E152" i="16"/>
  <c r="L152" i="16" s="1"/>
  <c r="P152" i="16"/>
  <c r="AY129" i="16" l="1"/>
  <c r="BG116" i="16"/>
  <c r="BC117" i="16" s="1"/>
  <c r="BH117" i="16" s="1"/>
  <c r="Y130" i="16"/>
  <c r="AB130" i="16" s="1"/>
  <c r="AN129" i="16"/>
  <c r="AO129" i="16" s="1"/>
  <c r="BO116" i="16"/>
  <c r="BP116" i="16" s="1"/>
  <c r="BN116" i="16"/>
  <c r="Q152" i="16"/>
  <c r="S152" i="16" s="1"/>
  <c r="N152" i="16"/>
  <c r="M153" i="16" s="1"/>
  <c r="Z130" i="16" l="1"/>
  <c r="U131" i="16" s="1"/>
  <c r="AC131" i="16" s="1"/>
  <c r="AD131" i="16" s="1"/>
  <c r="AP129" i="16"/>
  <c r="AR129" i="16" s="1"/>
  <c r="AF130" i="16"/>
  <c r="BD117" i="16"/>
  <c r="BE117" i="16" s="1"/>
  <c r="BF117" i="16" s="1"/>
  <c r="AD272" i="15"/>
  <c r="E115" i="14"/>
  <c r="F115" i="14" s="1"/>
  <c r="H115" i="14" s="1"/>
  <c r="AJ207" i="15"/>
  <c r="BQ116" i="16"/>
  <c r="O152" i="16"/>
  <c r="AG130" i="16" l="1"/>
  <c r="AL130" i="16" s="1"/>
  <c r="AY130" i="16" s="1"/>
  <c r="AQ129" i="16"/>
  <c r="AE131" i="16"/>
  <c r="W131" i="16"/>
  <c r="BI117" i="16"/>
  <c r="BO117" i="16" s="1"/>
  <c r="BP117" i="16" s="1"/>
  <c r="BG117" i="16"/>
  <c r="BJ117" i="16"/>
  <c r="BK117" i="16"/>
  <c r="BL117" i="16" s="1"/>
  <c r="BM117" i="16" s="1"/>
  <c r="E153" i="16"/>
  <c r="L153" i="16" s="1"/>
  <c r="P153" i="16"/>
  <c r="AM130" i="16" l="1"/>
  <c r="AN130" i="16" s="1"/>
  <c r="AO130" i="16" s="1"/>
  <c r="AH130" i="16"/>
  <c r="AS130" i="16" s="1"/>
  <c r="AA131" i="16"/>
  <c r="AK131" i="16" s="1"/>
  <c r="Y131" i="16"/>
  <c r="AB131" i="16" s="1"/>
  <c r="BN117" i="16"/>
  <c r="BQ117" i="16" s="1"/>
  <c r="BC118" i="16"/>
  <c r="BH118" i="16" s="1"/>
  <c r="Q153" i="16"/>
  <c r="S153" i="16" s="1"/>
  <c r="N153" i="16"/>
  <c r="M154" i="16" s="1"/>
  <c r="AJ208" i="15"/>
  <c r="E116" i="14" l="1"/>
  <c r="F116" i="14" s="1"/>
  <c r="H116" i="14" s="1"/>
  <c r="AU130" i="16"/>
  <c r="AV130" i="16" s="1"/>
  <c r="AT130" i="16"/>
  <c r="AW130" i="16" s="1"/>
  <c r="AX130" i="16" s="1"/>
  <c r="AZ130" i="16" s="1"/>
  <c r="AD277" i="15"/>
  <c r="AF131" i="16"/>
  <c r="Z131" i="16"/>
  <c r="AP130" i="16"/>
  <c r="AR130" i="16" s="1"/>
  <c r="BD118" i="16"/>
  <c r="BJ118" i="16" s="1"/>
  <c r="O153" i="16"/>
  <c r="AG131" i="16" l="1"/>
  <c r="AL131" i="16" s="1"/>
  <c r="AY131" i="16" s="1"/>
  <c r="BE118" i="16"/>
  <c r="BF118" i="16" s="1"/>
  <c r="BI118" i="16" s="1"/>
  <c r="BK118" i="16"/>
  <c r="BL118" i="16" s="1"/>
  <c r="BM118" i="16" s="1"/>
  <c r="AQ130" i="16"/>
  <c r="U132" i="16"/>
  <c r="AC132" i="16" s="1"/>
  <c r="E154" i="16"/>
  <c r="L154" i="16" s="1"/>
  <c r="P154" i="16"/>
  <c r="AM131" i="16" l="1"/>
  <c r="BG118" i="16"/>
  <c r="BC119" i="16" s="1"/>
  <c r="BH119" i="16" s="1"/>
  <c r="AH131" i="16"/>
  <c r="AS131" i="16" s="1"/>
  <c r="AD132" i="16"/>
  <c r="AN131" i="16"/>
  <c r="AO131" i="16" s="1"/>
  <c r="W132" i="16"/>
  <c r="AA132" i="16" s="1"/>
  <c r="AK132" i="16" s="1"/>
  <c r="Q154" i="16"/>
  <c r="S154" i="16" s="1"/>
  <c r="N154" i="16"/>
  <c r="M155" i="16" s="1"/>
  <c r="BO118" i="16"/>
  <c r="BP118" i="16" s="1"/>
  <c r="AJ209" i="15" s="1"/>
  <c r="BN118" i="16"/>
  <c r="AT131" i="16" l="1"/>
  <c r="AW131" i="16" s="1"/>
  <c r="AX131" i="16" s="1"/>
  <c r="AZ131" i="16" s="1"/>
  <c r="AU131" i="16"/>
  <c r="AV131" i="16" s="1"/>
  <c r="Y132" i="16"/>
  <c r="AB132" i="16" s="1"/>
  <c r="AP131" i="16"/>
  <c r="AR131" i="16" s="1"/>
  <c r="AE132" i="16"/>
  <c r="BD119" i="16"/>
  <c r="BE119" i="16" s="1"/>
  <c r="O154" i="16"/>
  <c r="E117" i="14"/>
  <c r="F117" i="14" s="1"/>
  <c r="H117" i="14" s="1"/>
  <c r="AD279" i="15"/>
  <c r="BQ118" i="16"/>
  <c r="AF132" i="16" l="1"/>
  <c r="AG132" i="16" s="1"/>
  <c r="AH132" i="16" s="1"/>
  <c r="AS132" i="16" s="1"/>
  <c r="AT132" i="16" s="1"/>
  <c r="AW132" i="16" s="1"/>
  <c r="AX132" i="16" s="1"/>
  <c r="AZ132" i="16" s="1"/>
  <c r="Z132" i="16"/>
  <c r="U133" i="16" s="1"/>
  <c r="AC133" i="16" s="1"/>
  <c r="BF119" i="16"/>
  <c r="BI119" i="16" s="1"/>
  <c r="AQ131" i="16"/>
  <c r="E155" i="16"/>
  <c r="L155" i="16" s="1"/>
  <c r="P155" i="16"/>
  <c r="BJ119" i="16"/>
  <c r="BK119" i="16"/>
  <c r="BL119" i="16" s="1"/>
  <c r="BM119" i="16" s="1"/>
  <c r="AU132" i="16" l="1"/>
  <c r="AV132" i="16" s="1"/>
  <c r="AL132" i="16"/>
  <c r="AY132" i="16" s="1"/>
  <c r="BG119" i="16"/>
  <c r="BC120" i="16" s="1"/>
  <c r="AD133" i="16"/>
  <c r="W133" i="16"/>
  <c r="AA133" i="16" s="1"/>
  <c r="AK133" i="16" s="1"/>
  <c r="Q155" i="16"/>
  <c r="S155" i="16" s="1"/>
  <c r="N155" i="16"/>
  <c r="M156" i="16" s="1"/>
  <c r="BO119" i="16"/>
  <c r="BP119" i="16" s="1"/>
  <c r="AJ210" i="15" s="1"/>
  <c r="BN119" i="16"/>
  <c r="AM132" i="16" l="1"/>
  <c r="AN132" i="16" s="1"/>
  <c r="Y133" i="16"/>
  <c r="AB133" i="16" s="1"/>
  <c r="AE133" i="16"/>
  <c r="BD120" i="16"/>
  <c r="BE120" i="16" s="1"/>
  <c r="BF120" i="16" s="1"/>
  <c r="BI120" i="16" s="1"/>
  <c r="BH120" i="16"/>
  <c r="E156" i="16"/>
  <c r="O155" i="16"/>
  <c r="E118" i="14"/>
  <c r="F118" i="14" s="1"/>
  <c r="H118" i="14" s="1"/>
  <c r="AD284" i="15"/>
  <c r="BQ119" i="16"/>
  <c r="AO132" i="16" l="1"/>
  <c r="AP132" i="16" s="1"/>
  <c r="AR132" i="16" s="1"/>
  <c r="AF133" i="16"/>
  <c r="AG133" i="16" s="1"/>
  <c r="AH133" i="16" s="1"/>
  <c r="AS133" i="16" s="1"/>
  <c r="Z133" i="16"/>
  <c r="L156" i="16"/>
  <c r="N156" i="16" s="1"/>
  <c r="P156" i="16"/>
  <c r="BJ120" i="16"/>
  <c r="BK120" i="16"/>
  <c r="BL120" i="16" s="1"/>
  <c r="BM120" i="16" s="1"/>
  <c r="BG120" i="16"/>
  <c r="AT133" i="16" l="1"/>
  <c r="AW133" i="16" s="1"/>
  <c r="AX133" i="16" s="1"/>
  <c r="AZ133" i="16" s="1"/>
  <c r="AU133" i="16"/>
  <c r="AV133" i="16" s="1"/>
  <c r="AL133" i="16"/>
  <c r="AY133" i="16" s="1"/>
  <c r="AQ132" i="16"/>
  <c r="U134" i="16"/>
  <c r="AC134" i="16" s="1"/>
  <c r="BC121" i="16"/>
  <c r="O156" i="16"/>
  <c r="M157" i="16"/>
  <c r="Q156" i="16"/>
  <c r="S156" i="16" s="1"/>
  <c r="AM133" i="16" l="1"/>
  <c r="AN133" i="16" s="1"/>
  <c r="AD134" i="16"/>
  <c r="W134" i="16"/>
  <c r="BD121" i="16"/>
  <c r="BH121" i="16"/>
  <c r="P157" i="16"/>
  <c r="Q157" i="16" s="1"/>
  <c r="S157" i="16" s="1"/>
  <c r="E157" i="16"/>
  <c r="BO120" i="16"/>
  <c r="BP120" i="16" s="1"/>
  <c r="AJ211" i="15" s="1"/>
  <c r="BN120" i="16"/>
  <c r="AA134" i="16" l="1"/>
  <c r="AK134" i="16" s="1"/>
  <c r="Y134" i="16"/>
  <c r="AB134" i="16" s="1"/>
  <c r="AE134" i="16"/>
  <c r="BE121" i="16"/>
  <c r="BF121" i="16" s="1"/>
  <c r="BI121" i="16" s="1"/>
  <c r="AO133" i="16"/>
  <c r="L157" i="16"/>
  <c r="N157" i="16" s="1"/>
  <c r="M158" i="16" s="1"/>
  <c r="E119" i="14"/>
  <c r="F119" i="14" s="1"/>
  <c r="H119" i="14" s="1"/>
  <c r="AD286" i="15"/>
  <c r="BQ120" i="16"/>
  <c r="BJ121" i="16"/>
  <c r="BK121" i="16"/>
  <c r="BL121" i="16" s="1"/>
  <c r="BM121" i="16" s="1"/>
  <c r="Z134" i="16" l="1"/>
  <c r="U135" i="16" s="1"/>
  <c r="AC135" i="16" s="1"/>
  <c r="AF134" i="16"/>
  <c r="AG134" i="16" s="1"/>
  <c r="AH134" i="16" s="1"/>
  <c r="AS134" i="16" s="1"/>
  <c r="AP133" i="16"/>
  <c r="AR133" i="16" s="1"/>
  <c r="O157" i="16"/>
  <c r="BG121" i="16"/>
  <c r="AU134" i="16" l="1"/>
  <c r="AV134" i="16" s="1"/>
  <c r="AT134" i="16"/>
  <c r="AW134" i="16" s="1"/>
  <c r="AX134" i="16" s="1"/>
  <c r="AZ134" i="16" s="1"/>
  <c r="AL134" i="16"/>
  <c r="AM134" i="16" s="1"/>
  <c r="AQ133" i="16"/>
  <c r="AD135" i="16"/>
  <c r="W135" i="16"/>
  <c r="AA135" i="16" s="1"/>
  <c r="AK135" i="16" s="1"/>
  <c r="BC122" i="16"/>
  <c r="BH122" i="16" s="1"/>
  <c r="E158" i="16"/>
  <c r="L158" i="16" s="1"/>
  <c r="P158" i="16"/>
  <c r="Q158" i="16" s="1"/>
  <c r="S158" i="16" s="1"/>
  <c r="BO121" i="16"/>
  <c r="BP121" i="16" s="1"/>
  <c r="AJ212" i="15" s="1"/>
  <c r="BN121" i="16"/>
  <c r="AY134" i="16" l="1"/>
  <c r="BD122" i="16"/>
  <c r="BK122" i="16" s="1"/>
  <c r="BL122" i="16" s="1"/>
  <c r="BM122" i="16" s="1"/>
  <c r="Y135" i="16"/>
  <c r="AN134" i="16"/>
  <c r="AO134" i="16" s="1"/>
  <c r="AE135" i="16"/>
  <c r="N158" i="16"/>
  <c r="M159" i="16" s="1"/>
  <c r="E120" i="14"/>
  <c r="F120" i="14" s="1"/>
  <c r="H120" i="14" s="1"/>
  <c r="AD289" i="15"/>
  <c r="BQ121" i="16"/>
  <c r="BE122" i="16" l="1"/>
  <c r="BF122" i="16" s="1"/>
  <c r="BI122" i="16" s="1"/>
  <c r="BN122" i="16" s="1"/>
  <c r="BJ122" i="16"/>
  <c r="O158" i="16"/>
  <c r="AP134" i="16"/>
  <c r="AR134" i="16" s="1"/>
  <c r="E159" i="16"/>
  <c r="L159" i="16" s="1"/>
  <c r="AB135" i="16"/>
  <c r="Z135" i="16"/>
  <c r="P159" i="16"/>
  <c r="BG122" i="16" l="1"/>
  <c r="BC123" i="16" s="1"/>
  <c r="BH123" i="16" s="1"/>
  <c r="N159" i="16"/>
  <c r="M160" i="16" s="1"/>
  <c r="AQ134" i="16"/>
  <c r="AF135" i="16"/>
  <c r="AG135" i="16" s="1"/>
  <c r="AH135" i="16" s="1"/>
  <c r="AS135" i="16" s="1"/>
  <c r="U136" i="16"/>
  <c r="AC136" i="16" s="1"/>
  <c r="BO122" i="16"/>
  <c r="BP122" i="16" s="1"/>
  <c r="AJ67" i="15" s="1"/>
  <c r="Q159" i="16"/>
  <c r="S159" i="16" s="1"/>
  <c r="E121" i="14"/>
  <c r="F121" i="14" s="1"/>
  <c r="H121" i="14" s="1"/>
  <c r="AD158" i="15"/>
  <c r="O159" i="16" l="1"/>
  <c r="AL135" i="16"/>
  <c r="AY135" i="16" s="1"/>
  <c r="AT135" i="16"/>
  <c r="AW135" i="16" s="1"/>
  <c r="AX135" i="16" s="1"/>
  <c r="AZ135" i="16" s="1"/>
  <c r="AU135" i="16"/>
  <c r="AV135" i="16" s="1"/>
  <c r="W136" i="16"/>
  <c r="AA136" i="16" s="1"/>
  <c r="AK136" i="16" s="1"/>
  <c r="BQ122" i="16"/>
  <c r="AD136" i="16"/>
  <c r="BD123" i="16"/>
  <c r="BE123" i="16" s="1"/>
  <c r="BF123" i="16" s="1"/>
  <c r="BI123" i="16" s="1"/>
  <c r="E160" i="16"/>
  <c r="L160" i="16" s="1"/>
  <c r="P160" i="16"/>
  <c r="AM135" i="16" l="1"/>
  <c r="Y136" i="16"/>
  <c r="AB136" i="16" s="1"/>
  <c r="BJ123" i="16"/>
  <c r="BK123" i="16"/>
  <c r="BL123" i="16" s="1"/>
  <c r="BM123" i="16" s="1"/>
  <c r="AE136" i="16"/>
  <c r="AN135" i="16"/>
  <c r="AO135" i="16" s="1"/>
  <c r="Q160" i="16"/>
  <c r="S160" i="16" s="1"/>
  <c r="N160" i="16"/>
  <c r="M161" i="16" s="1"/>
  <c r="BO123" i="16"/>
  <c r="BP123" i="16" s="1"/>
  <c r="AJ213" i="15" s="1"/>
  <c r="BG123" i="16"/>
  <c r="Z136" i="16" l="1"/>
  <c r="U137" i="16" s="1"/>
  <c r="AC137" i="16" s="1"/>
  <c r="BN123" i="16"/>
  <c r="BQ123" i="16" s="1"/>
  <c r="AP135" i="16"/>
  <c r="AQ135" i="16" s="1"/>
  <c r="AF136" i="16"/>
  <c r="AG136" i="16" s="1"/>
  <c r="AH136" i="16" s="1"/>
  <c r="AS136" i="16" s="1"/>
  <c r="BC124" i="16"/>
  <c r="BH124" i="16" s="1"/>
  <c r="O160" i="16"/>
  <c r="E122" i="14" l="1"/>
  <c r="F122" i="14" s="1"/>
  <c r="H122" i="14" s="1"/>
  <c r="AD177" i="15"/>
  <c r="AT136" i="16"/>
  <c r="AW136" i="16" s="1"/>
  <c r="AX136" i="16" s="1"/>
  <c r="AZ136" i="16" s="1"/>
  <c r="AU136" i="16"/>
  <c r="AL136" i="16"/>
  <c r="AY136" i="16" s="1"/>
  <c r="AR135" i="16"/>
  <c r="BD124" i="16"/>
  <c r="BE124" i="16" s="1"/>
  <c r="BF124" i="16" s="1"/>
  <c r="BI124" i="16" s="1"/>
  <c r="AD137" i="16"/>
  <c r="W137" i="16"/>
  <c r="E161" i="16"/>
  <c r="L161" i="16" s="1"/>
  <c r="P161" i="16"/>
  <c r="AM136" i="16" l="1"/>
  <c r="AN136" i="16" s="1"/>
  <c r="AO136" i="16" s="1"/>
  <c r="BJ124" i="16"/>
  <c r="AV136" i="16"/>
  <c r="BK124" i="16"/>
  <c r="BL124" i="16" s="1"/>
  <c r="BM124" i="16" s="1"/>
  <c r="AA137" i="16"/>
  <c r="AK137" i="16" s="1"/>
  <c r="Y137" i="16"/>
  <c r="AE137" i="16"/>
  <c r="Q161" i="16"/>
  <c r="S161" i="16" s="1"/>
  <c r="N161" i="16"/>
  <c r="M162" i="16" s="1"/>
  <c r="BG124" i="16"/>
  <c r="AB137" i="16" l="1"/>
  <c r="Z137" i="16"/>
  <c r="AP136" i="16"/>
  <c r="AR136" i="16" s="1"/>
  <c r="BC125" i="16"/>
  <c r="BH125" i="16" s="1"/>
  <c r="O161" i="16"/>
  <c r="BO124" i="16"/>
  <c r="BP124" i="16" s="1"/>
  <c r="AJ214" i="15" s="1"/>
  <c r="BN124" i="16"/>
  <c r="AQ136" i="16" l="1"/>
  <c r="U138" i="16"/>
  <c r="AC138" i="16" s="1"/>
  <c r="AF137" i="16"/>
  <c r="AG137" i="16" s="1"/>
  <c r="AH137" i="16" s="1"/>
  <c r="AS137" i="16" s="1"/>
  <c r="BD125" i="16"/>
  <c r="BE125" i="16" s="1"/>
  <c r="E162" i="16"/>
  <c r="L162" i="16" s="1"/>
  <c r="P162" i="16"/>
  <c r="E123" i="14"/>
  <c r="F123" i="14" s="1"/>
  <c r="H123" i="14" s="1"/>
  <c r="AD214" i="15"/>
  <c r="BQ124" i="16"/>
  <c r="AT137" i="16" l="1"/>
  <c r="AW137" i="16" s="1"/>
  <c r="AX137" i="16" s="1"/>
  <c r="AZ137" i="16" s="1"/>
  <c r="AU137" i="16"/>
  <c r="AL137" i="16"/>
  <c r="AM137" i="16" s="1"/>
  <c r="BJ125" i="16"/>
  <c r="AD138" i="16"/>
  <c r="W138" i="16"/>
  <c r="AA138" i="16" s="1"/>
  <c r="AK138" i="16" s="1"/>
  <c r="BF125" i="16"/>
  <c r="BI125" i="16" s="1"/>
  <c r="BO125" i="16" s="1"/>
  <c r="BP125" i="16" s="1"/>
  <c r="AJ215" i="15" s="1"/>
  <c r="BK125" i="16"/>
  <c r="BL125" i="16" s="1"/>
  <c r="BM125" i="16" s="1"/>
  <c r="Q162" i="16"/>
  <c r="S162" i="16" s="1"/>
  <c r="N162" i="16"/>
  <c r="M163" i="16" s="1"/>
  <c r="AY137" i="16" l="1"/>
  <c r="AV137" i="16"/>
  <c r="BN125" i="16"/>
  <c r="BQ125" i="16" s="1"/>
  <c r="Y138" i="16"/>
  <c r="AB138" i="16" s="1"/>
  <c r="BG125" i="16"/>
  <c r="BC126" i="16" s="1"/>
  <c r="BH126" i="16" s="1"/>
  <c r="AN137" i="16"/>
  <c r="AO137" i="16" s="1"/>
  <c r="AE138" i="16"/>
  <c r="O162" i="16"/>
  <c r="AD241" i="15" l="1"/>
  <c r="E124" i="14"/>
  <c r="F124" i="14" s="1"/>
  <c r="H124" i="14" s="1"/>
  <c r="AF138" i="16"/>
  <c r="AG138" i="16" s="1"/>
  <c r="AH138" i="16" s="1"/>
  <c r="AS138" i="16" s="1"/>
  <c r="Z138" i="16"/>
  <c r="U139" i="16" s="1"/>
  <c r="AC139" i="16" s="1"/>
  <c r="AD139" i="16" s="1"/>
  <c r="AE139" i="16" s="1"/>
  <c r="AP137" i="16"/>
  <c r="AQ137" i="16" s="1"/>
  <c r="BD126" i="16"/>
  <c r="BK126" i="16" s="1"/>
  <c r="BL126" i="16" s="1"/>
  <c r="BM126" i="16" s="1"/>
  <c r="E163" i="16"/>
  <c r="L163" i="16" s="1"/>
  <c r="P163" i="16"/>
  <c r="AT138" i="16" l="1"/>
  <c r="AW138" i="16" s="1"/>
  <c r="AX138" i="16" s="1"/>
  <c r="AZ138" i="16" s="1"/>
  <c r="AU138" i="16"/>
  <c r="AV138" i="16" s="1"/>
  <c r="AL138" i="16"/>
  <c r="AY138" i="16" s="1"/>
  <c r="BJ126" i="16"/>
  <c r="AR137" i="16"/>
  <c r="W139" i="16"/>
  <c r="AA139" i="16" s="1"/>
  <c r="AK139" i="16" s="1"/>
  <c r="BE126" i="16"/>
  <c r="BF126" i="16" s="1"/>
  <c r="BI126" i="16" s="1"/>
  <c r="BO126" i="16" s="1"/>
  <c r="BP126" i="16" s="1"/>
  <c r="AJ216" i="15" s="1"/>
  <c r="Q163" i="16"/>
  <c r="S163" i="16" s="1"/>
  <c r="N163" i="16"/>
  <c r="M164" i="16" s="1"/>
  <c r="AM138" i="16" l="1"/>
  <c r="AN138" i="16" s="1"/>
  <c r="AO138" i="16" s="1"/>
  <c r="AP138" i="16" s="1"/>
  <c r="AR138" i="16" s="1"/>
  <c r="Y139" i="16"/>
  <c r="AB139" i="16" s="1"/>
  <c r="BN126" i="16"/>
  <c r="BQ126" i="16" s="1"/>
  <c r="BG126" i="16"/>
  <c r="BC127" i="16" s="1"/>
  <c r="BH127" i="16" s="1"/>
  <c r="O163" i="16"/>
  <c r="E164" i="16"/>
  <c r="L164" i="16" s="1"/>
  <c r="E125" i="14" l="1"/>
  <c r="F125" i="14" s="1"/>
  <c r="H125" i="14" s="1"/>
  <c r="AD269" i="15"/>
  <c r="Z139" i="16"/>
  <c r="U140" i="16" s="1"/>
  <c r="AC140" i="16" s="1"/>
  <c r="AQ138" i="16"/>
  <c r="AF139" i="16"/>
  <c r="BD127" i="16"/>
  <c r="BE127" i="16" s="1"/>
  <c r="N164" i="16"/>
  <c r="M165" i="16" s="1"/>
  <c r="P164" i="16"/>
  <c r="AG139" i="16" l="1"/>
  <c r="AL139" i="16" s="1"/>
  <c r="AY139" i="16" s="1"/>
  <c r="W140" i="16"/>
  <c r="AA140" i="16" s="1"/>
  <c r="AK140" i="16" s="1"/>
  <c r="AD140" i="16"/>
  <c r="BJ127" i="16"/>
  <c r="BF127" i="16"/>
  <c r="BI127" i="16" s="1"/>
  <c r="BK127" i="16"/>
  <c r="BL127" i="16" s="1"/>
  <c r="BM127" i="16" s="1"/>
  <c r="Q164" i="16"/>
  <c r="S164" i="16" s="1"/>
  <c r="O164" i="16"/>
  <c r="AM139" i="16" l="1"/>
  <c r="Y140" i="16"/>
  <c r="AB140" i="16" s="1"/>
  <c r="AH139" i="16"/>
  <c r="AS139" i="16" s="1"/>
  <c r="BG127" i="16"/>
  <c r="BC128" i="16" s="1"/>
  <c r="BH128" i="16" s="1"/>
  <c r="AE140" i="16"/>
  <c r="AN139" i="16"/>
  <c r="AO139" i="16" s="1"/>
  <c r="P165" i="16"/>
  <c r="E165" i="16"/>
  <c r="L165" i="16" s="1"/>
  <c r="BO127" i="16"/>
  <c r="BP127" i="16" s="1"/>
  <c r="AJ217" i="15" s="1"/>
  <c r="BN127" i="16"/>
  <c r="AF140" i="16" l="1"/>
  <c r="AG140" i="16" s="1"/>
  <c r="AH140" i="16" s="1"/>
  <c r="AS140" i="16" s="1"/>
  <c r="AT140" i="16" s="1"/>
  <c r="Z140" i="16"/>
  <c r="U141" i="16" s="1"/>
  <c r="AC141" i="16" s="1"/>
  <c r="AT139" i="16"/>
  <c r="AW139" i="16" s="1"/>
  <c r="AU139" i="16"/>
  <c r="AV139" i="16" s="1"/>
  <c r="AL140" i="16"/>
  <c r="AY140" i="16" s="1"/>
  <c r="AP139" i="16"/>
  <c r="AR139" i="16" s="1"/>
  <c r="BD128" i="16"/>
  <c r="BE128" i="16" s="1"/>
  <c r="BF128" i="16" s="1"/>
  <c r="N165" i="16"/>
  <c r="M166" i="16" s="1"/>
  <c r="Q165" i="16"/>
  <c r="S165" i="16" s="1"/>
  <c r="E126" i="14"/>
  <c r="F126" i="14" s="1"/>
  <c r="H126" i="14" s="1"/>
  <c r="AD292" i="15"/>
  <c r="BQ127" i="16"/>
  <c r="AU140" i="16" l="1"/>
  <c r="AV140" i="16" s="1"/>
  <c r="AM140" i="16"/>
  <c r="AN140" i="16" s="1"/>
  <c r="AO140" i="16" s="1"/>
  <c r="AX139" i="16"/>
  <c r="AZ139" i="16" s="1"/>
  <c r="BK128" i="16"/>
  <c r="BL128" i="16" s="1"/>
  <c r="BM128" i="16" s="1"/>
  <c r="BJ128" i="16"/>
  <c r="W141" i="16"/>
  <c r="AA141" i="16" s="1"/>
  <c r="AK141" i="16" s="1"/>
  <c r="AQ139" i="16"/>
  <c r="AD141" i="16"/>
  <c r="BI128" i="16"/>
  <c r="BO128" i="16" s="1"/>
  <c r="BP128" i="16" s="1"/>
  <c r="AJ218" i="15" s="1"/>
  <c r="BG128" i="16"/>
  <c r="O165" i="16"/>
  <c r="AW140" i="16" l="1"/>
  <c r="AX140" i="16" s="1"/>
  <c r="AZ140" i="16" s="1"/>
  <c r="BN128" i="16"/>
  <c r="E127" i="14" s="1"/>
  <c r="F127" i="14" s="1"/>
  <c r="H127" i="14" s="1"/>
  <c r="Y141" i="16"/>
  <c r="AB141" i="16" s="1"/>
  <c r="AP140" i="16"/>
  <c r="AR140" i="16" s="1"/>
  <c r="AE141" i="16"/>
  <c r="BC129" i="16"/>
  <c r="BH129" i="16" s="1"/>
  <c r="E166" i="16"/>
  <c r="L166" i="16" s="1"/>
  <c r="P166" i="16"/>
  <c r="BQ128" i="16" l="1"/>
  <c r="AD304" i="15"/>
  <c r="AF141" i="16"/>
  <c r="AG141" i="16" s="1"/>
  <c r="AH141" i="16" s="1"/>
  <c r="AS141" i="16" s="1"/>
  <c r="Z141" i="16"/>
  <c r="U142" i="16" s="1"/>
  <c r="AC142" i="16" s="1"/>
  <c r="AQ140" i="16"/>
  <c r="BD129" i="16"/>
  <c r="BE129" i="16" s="1"/>
  <c r="BF129" i="16" s="1"/>
  <c r="BI129" i="16" s="1"/>
  <c r="Q166" i="16"/>
  <c r="S166" i="16" s="1"/>
  <c r="N166" i="16"/>
  <c r="M167" i="16" s="1"/>
  <c r="AU141" i="16" l="1"/>
  <c r="AV141" i="16" s="1"/>
  <c r="AT141" i="16"/>
  <c r="AW141" i="16" s="1"/>
  <c r="AX141" i="16" s="1"/>
  <c r="AZ141" i="16" s="1"/>
  <c r="AL141" i="16"/>
  <c r="AY141" i="16" s="1"/>
  <c r="BK129" i="16"/>
  <c r="BL129" i="16" s="1"/>
  <c r="BM129" i="16" s="1"/>
  <c r="BJ129" i="16"/>
  <c r="AD142" i="16"/>
  <c r="W142" i="16"/>
  <c r="O166" i="16"/>
  <c r="BO129" i="16"/>
  <c r="BP129" i="16" s="1"/>
  <c r="AJ219" i="15" s="1"/>
  <c r="BG129" i="16"/>
  <c r="AM141" i="16" l="1"/>
  <c r="AN141" i="16" s="1"/>
  <c r="AO141" i="16" s="1"/>
  <c r="AP141" i="16" s="1"/>
  <c r="AR141" i="16" s="1"/>
  <c r="AE142" i="16"/>
  <c r="BN129" i="16"/>
  <c r="E128" i="14" s="1"/>
  <c r="F128" i="14" s="1"/>
  <c r="H128" i="14" s="1"/>
  <c r="AA142" i="16"/>
  <c r="AK142" i="16" s="1"/>
  <c r="Y142" i="16"/>
  <c r="AB142" i="16" s="1"/>
  <c r="BC130" i="16"/>
  <c r="BH130" i="16" s="1"/>
  <c r="E167" i="16"/>
  <c r="L167" i="16" s="1"/>
  <c r="P167" i="16"/>
  <c r="AD310" i="15" l="1"/>
  <c r="BQ129" i="16"/>
  <c r="AQ141" i="16"/>
  <c r="Z142" i="16"/>
  <c r="AF142" i="16"/>
  <c r="AG142" i="16" s="1"/>
  <c r="AH142" i="16" s="1"/>
  <c r="AS142" i="16" s="1"/>
  <c r="BD130" i="16"/>
  <c r="BK130" i="16" s="1"/>
  <c r="BL130" i="16" s="1"/>
  <c r="BM130" i="16" s="1"/>
  <c r="Q167" i="16"/>
  <c r="S167" i="16" s="1"/>
  <c r="N167" i="16"/>
  <c r="M168" i="16" s="1"/>
  <c r="AT142" i="16" l="1"/>
  <c r="AW142" i="16" s="1"/>
  <c r="AX142" i="16" s="1"/>
  <c r="AZ142" i="16" s="1"/>
  <c r="AU142" i="16"/>
  <c r="AV142" i="16" s="1"/>
  <c r="AL142" i="16"/>
  <c r="AY142" i="16" s="1"/>
  <c r="BJ130" i="16"/>
  <c r="U143" i="16"/>
  <c r="AC143" i="16" s="1"/>
  <c r="AD143" i="16" s="1"/>
  <c r="BE130" i="16"/>
  <c r="BF130" i="16" s="1"/>
  <c r="BI130" i="16" s="1"/>
  <c r="O167" i="16"/>
  <c r="AM142" i="16" l="1"/>
  <c r="AN142" i="16" s="1"/>
  <c r="AO142" i="16" s="1"/>
  <c r="W143" i="16"/>
  <c r="AA143" i="16" s="1"/>
  <c r="AK143" i="16" s="1"/>
  <c r="AE143" i="16"/>
  <c r="BG130" i="16"/>
  <c r="E168" i="16"/>
  <c r="P168" i="16"/>
  <c r="BO130" i="16"/>
  <c r="BP130" i="16" s="1"/>
  <c r="AJ220" i="15" s="1"/>
  <c r="BN130" i="16"/>
  <c r="Y143" i="16" l="1"/>
  <c r="AB143" i="16" s="1"/>
  <c r="AF143" i="16" s="1"/>
  <c r="AP142" i="16"/>
  <c r="AQ142" i="16" s="1"/>
  <c r="BC131" i="16"/>
  <c r="BH131" i="16" s="1"/>
  <c r="L168" i="16"/>
  <c r="N168" i="16" s="1"/>
  <c r="M169" i="16" s="1"/>
  <c r="Q168" i="16"/>
  <c r="S168" i="16" s="1"/>
  <c r="E129" i="14"/>
  <c r="F129" i="14" s="1"/>
  <c r="H129" i="14" s="1"/>
  <c r="AD316" i="15"/>
  <c r="BQ130" i="16"/>
  <c r="AG143" i="16" l="1"/>
  <c r="AL143" i="16" s="1"/>
  <c r="AY143" i="16" s="1"/>
  <c r="Z143" i="16"/>
  <c r="U144" i="16" s="1"/>
  <c r="AC144" i="16" s="1"/>
  <c r="AD144" i="16" s="1"/>
  <c r="AR142" i="16"/>
  <c r="BD131" i="16"/>
  <c r="O168" i="16"/>
  <c r="AM143" i="16" l="1"/>
  <c r="AN143" i="16" s="1"/>
  <c r="AO143" i="16" s="1"/>
  <c r="AP143" i="16" s="1"/>
  <c r="AQ143" i="16" s="1"/>
  <c r="AH143" i="16"/>
  <c r="AS143" i="16" s="1"/>
  <c r="BE131" i="16"/>
  <c r="BF131" i="16" s="1"/>
  <c r="BJ131" i="16"/>
  <c r="BK131" i="16"/>
  <c r="BL131" i="16" s="1"/>
  <c r="BM131" i="16" s="1"/>
  <c r="AE144" i="16"/>
  <c r="W144" i="16"/>
  <c r="E169" i="16"/>
  <c r="L169" i="16" s="1"/>
  <c r="P169" i="16"/>
  <c r="AT143" i="16" l="1"/>
  <c r="AW143" i="16" s="1"/>
  <c r="AX143" i="16" s="1"/>
  <c r="AZ143" i="16" s="1"/>
  <c r="AU143" i="16"/>
  <c r="AV143" i="16" s="1"/>
  <c r="BI131" i="16"/>
  <c r="BG131" i="16"/>
  <c r="BC132" i="16" s="1"/>
  <c r="BH132" i="16" s="1"/>
  <c r="AR143" i="16"/>
  <c r="AA144" i="16"/>
  <c r="AK144" i="16" s="1"/>
  <c r="Y144" i="16"/>
  <c r="AB144" i="16" s="1"/>
  <c r="Q169" i="16"/>
  <c r="S169" i="16" s="1"/>
  <c r="N169" i="16"/>
  <c r="M170" i="16" s="1"/>
  <c r="BO131" i="16" l="1"/>
  <c r="BP131" i="16" s="1"/>
  <c r="BN131" i="16"/>
  <c r="Z144" i="16"/>
  <c r="U145" i="16" s="1"/>
  <c r="AC145" i="16" s="1"/>
  <c r="AF144" i="16"/>
  <c r="BD132" i="16"/>
  <c r="BK132" i="16" s="1"/>
  <c r="BL132" i="16" s="1"/>
  <c r="BM132" i="16" s="1"/>
  <c r="O169" i="16"/>
  <c r="AG144" i="16" l="1"/>
  <c r="AL144" i="16" s="1"/>
  <c r="AY144" i="16" s="1"/>
  <c r="E130" i="14"/>
  <c r="F130" i="14" s="1"/>
  <c r="H130" i="14" s="1"/>
  <c r="AD320" i="15"/>
  <c r="AJ221" i="15"/>
  <c r="BQ131" i="16"/>
  <c r="AD145" i="16"/>
  <c r="W145" i="16"/>
  <c r="AA145" i="16" s="1"/>
  <c r="AK145" i="16" s="1"/>
  <c r="BJ132" i="16"/>
  <c r="BE132" i="16"/>
  <c r="BF132" i="16" s="1"/>
  <c r="E170" i="16"/>
  <c r="L170" i="16" s="1"/>
  <c r="P170" i="16"/>
  <c r="AM144" i="16" l="1"/>
  <c r="AN144" i="16" s="1"/>
  <c r="AH144" i="16"/>
  <c r="AS144" i="16" s="1"/>
  <c r="AE145" i="16"/>
  <c r="Y145" i="16"/>
  <c r="AB145" i="16" s="1"/>
  <c r="BI132" i="16"/>
  <c r="BN132" i="16" s="1"/>
  <c r="BG132" i="16"/>
  <c r="Q170" i="16"/>
  <c r="S170" i="16" s="1"/>
  <c r="N170" i="16"/>
  <c r="M171" i="16" s="1"/>
  <c r="BO132" i="16" l="1"/>
  <c r="BP132" i="16" s="1"/>
  <c r="AJ222" i="15" s="1"/>
  <c r="AU144" i="16"/>
  <c r="AV144" i="16" s="1"/>
  <c r="AT144" i="16"/>
  <c r="AW144" i="16" s="1"/>
  <c r="AX144" i="16" s="1"/>
  <c r="AZ144" i="16" s="1"/>
  <c r="AF145" i="16"/>
  <c r="Z145" i="16"/>
  <c r="AO144" i="16"/>
  <c r="BC133" i="16"/>
  <c r="BH133" i="16" s="1"/>
  <c r="O170" i="16"/>
  <c r="E131" i="14"/>
  <c r="F131" i="14" s="1"/>
  <c r="H131" i="14" s="1"/>
  <c r="AD323" i="15"/>
  <c r="BQ132" i="16" l="1"/>
  <c r="AG145" i="16"/>
  <c r="AL145" i="16" s="1"/>
  <c r="AY145" i="16" s="1"/>
  <c r="U146" i="16"/>
  <c r="AC146" i="16" s="1"/>
  <c r="BD133" i="16"/>
  <c r="BE133" i="16" s="1"/>
  <c r="BF133" i="16" s="1"/>
  <c r="AP144" i="16"/>
  <c r="AR144" i="16" s="1"/>
  <c r="E171" i="16"/>
  <c r="L171" i="16" s="1"/>
  <c r="P171" i="16"/>
  <c r="AM145" i="16" l="1"/>
  <c r="AN145" i="16" s="1"/>
  <c r="AO145" i="16" s="1"/>
  <c r="AH145" i="16"/>
  <c r="AS145" i="16" s="1"/>
  <c r="AD146" i="16"/>
  <c r="W146" i="16"/>
  <c r="AA146" i="16" s="1"/>
  <c r="AK146" i="16" s="1"/>
  <c r="AQ144" i="16"/>
  <c r="BJ133" i="16"/>
  <c r="BK133" i="16"/>
  <c r="BL133" i="16" s="1"/>
  <c r="BM133" i="16" s="1"/>
  <c r="BI133" i="16"/>
  <c r="BG133" i="16"/>
  <c r="Q171" i="16"/>
  <c r="S171" i="16" s="1"/>
  <c r="N171" i="16"/>
  <c r="M172" i="16" s="1"/>
  <c r="AU145" i="16" l="1"/>
  <c r="AV145" i="16" s="1"/>
  <c r="AT145" i="16"/>
  <c r="AW145" i="16" s="1"/>
  <c r="AX145" i="16" s="1"/>
  <c r="AZ145" i="16" s="1"/>
  <c r="AP145" i="16"/>
  <c r="AR145" i="16" s="1"/>
  <c r="Y146" i="16"/>
  <c r="AB146" i="16" s="1"/>
  <c r="AE146" i="16"/>
  <c r="BC134" i="16"/>
  <c r="BH134" i="16" s="1"/>
  <c r="BO133" i="16"/>
  <c r="BP133" i="16" s="1"/>
  <c r="BN133" i="16"/>
  <c r="O171" i="16"/>
  <c r="AQ145" i="16" l="1"/>
  <c r="AF146" i="16"/>
  <c r="AG146" i="16" s="1"/>
  <c r="AH146" i="16" s="1"/>
  <c r="AS146" i="16" s="1"/>
  <c r="AT146" i="16" s="1"/>
  <c r="AW146" i="16" s="1"/>
  <c r="AX146" i="16" s="1"/>
  <c r="AZ146" i="16" s="1"/>
  <c r="Z146" i="16"/>
  <c r="BD134" i="16"/>
  <c r="AD326" i="15"/>
  <c r="E132" i="14"/>
  <c r="F132" i="14" s="1"/>
  <c r="H132" i="14" s="1"/>
  <c r="AJ223" i="15"/>
  <c r="BQ133" i="16"/>
  <c r="E172" i="16"/>
  <c r="L172" i="16" s="1"/>
  <c r="P172" i="16"/>
  <c r="AU146" i="16" l="1"/>
  <c r="AV146" i="16" s="1"/>
  <c r="AL146" i="16"/>
  <c r="AY146" i="16" s="1"/>
  <c r="U147" i="16"/>
  <c r="AC147" i="16" s="1"/>
  <c r="BK134" i="16"/>
  <c r="BL134" i="16" s="1"/>
  <c r="BM134" i="16" s="1"/>
  <c r="BJ134" i="16"/>
  <c r="BE134" i="16"/>
  <c r="BF134" i="16" s="1"/>
  <c r="Q172" i="16"/>
  <c r="S172" i="16" s="1"/>
  <c r="N172" i="16"/>
  <c r="M173" i="16" s="1"/>
  <c r="AM146" i="16" l="1"/>
  <c r="AN146" i="16" s="1"/>
  <c r="AD147" i="16"/>
  <c r="W147" i="16"/>
  <c r="BI134" i="16"/>
  <c r="BG134" i="16"/>
  <c r="O172" i="16"/>
  <c r="E173" i="16"/>
  <c r="AA147" i="16" l="1"/>
  <c r="AK147" i="16" s="1"/>
  <c r="Y147" i="16"/>
  <c r="AB147" i="16" s="1"/>
  <c r="AE147" i="16"/>
  <c r="AO146" i="16"/>
  <c r="AP146" i="16" s="1"/>
  <c r="AQ146" i="16" s="1"/>
  <c r="BC135" i="16"/>
  <c r="BH135" i="16" s="1"/>
  <c r="BO134" i="16"/>
  <c r="BP134" i="16" s="1"/>
  <c r="BN134" i="16"/>
  <c r="L173" i="16"/>
  <c r="P173" i="16"/>
  <c r="AF147" i="16" l="1"/>
  <c r="AG147" i="16" s="1"/>
  <c r="AH147" i="16" s="1"/>
  <c r="AS147" i="16" s="1"/>
  <c r="AR146" i="16"/>
  <c r="Z147" i="16"/>
  <c r="AD330" i="15"/>
  <c r="E133" i="14"/>
  <c r="F133" i="14" s="1"/>
  <c r="H133" i="14" s="1"/>
  <c r="BD135" i="16"/>
  <c r="BE135" i="16" s="1"/>
  <c r="BF135" i="16" s="1"/>
  <c r="AJ224" i="15"/>
  <c r="BQ134" i="16"/>
  <c r="N173" i="16"/>
  <c r="M174" i="16" s="1"/>
  <c r="Q173" i="16"/>
  <c r="AU147" i="16" l="1"/>
  <c r="AV147" i="16" s="1"/>
  <c r="AT147" i="16"/>
  <c r="AW147" i="16" s="1"/>
  <c r="AX147" i="16" s="1"/>
  <c r="AZ147" i="16" s="1"/>
  <c r="AL147" i="16"/>
  <c r="AY147" i="16" s="1"/>
  <c r="U148" i="16"/>
  <c r="AC148" i="16" s="1"/>
  <c r="E174" i="16"/>
  <c r="L174" i="16" s="1"/>
  <c r="P174" i="16"/>
  <c r="Q174" i="16" s="1"/>
  <c r="S174" i="16" s="1"/>
  <c r="S173" i="16"/>
  <c r="O173" i="16"/>
  <c r="BI135" i="16"/>
  <c r="BG135" i="16"/>
  <c r="BJ135" i="16"/>
  <c r="BK135" i="16"/>
  <c r="BL135" i="16" s="1"/>
  <c r="BM135" i="16" s="1"/>
  <c r="AM147" i="16" l="1"/>
  <c r="AN147" i="16" s="1"/>
  <c r="AO147" i="16" s="1"/>
  <c r="N174" i="16"/>
  <c r="M175" i="16" s="1"/>
  <c r="W148" i="16"/>
  <c r="AA148" i="16" s="1"/>
  <c r="AK148" i="16" s="1"/>
  <c r="AD148" i="16"/>
  <c r="BC136" i="16"/>
  <c r="BH136" i="16" s="1"/>
  <c r="BO135" i="16"/>
  <c r="BP135" i="16" s="1"/>
  <c r="BN135" i="16"/>
  <c r="O174" i="16" l="1"/>
  <c r="Y148" i="16"/>
  <c r="BD136" i="16"/>
  <c r="BJ136" i="16" s="1"/>
  <c r="AE148" i="16"/>
  <c r="AP147" i="16"/>
  <c r="AR147" i="16" s="1"/>
  <c r="E134" i="14"/>
  <c r="F134" i="14" s="1"/>
  <c r="H134" i="14" s="1"/>
  <c r="AD334" i="15"/>
  <c r="AJ225" i="15"/>
  <c r="BQ135" i="16"/>
  <c r="E175" i="16"/>
  <c r="L175" i="16" s="1"/>
  <c r="P175" i="16"/>
  <c r="BK136" i="16" l="1"/>
  <c r="BL136" i="16" s="1"/>
  <c r="BM136" i="16" s="1"/>
  <c r="BE136" i="16"/>
  <c r="BF136" i="16" s="1"/>
  <c r="BI136" i="16" s="1"/>
  <c r="AB148" i="16"/>
  <c r="Z148" i="16"/>
  <c r="U149" i="16" s="1"/>
  <c r="AC149" i="16" s="1"/>
  <c r="AQ147" i="16"/>
  <c r="Q175" i="16"/>
  <c r="S175" i="16" s="1"/>
  <c r="N175" i="16"/>
  <c r="M176" i="16" s="1"/>
  <c r="BG136" i="16" l="1"/>
  <c r="BC137" i="16" s="1"/>
  <c r="BH137" i="16" s="1"/>
  <c r="W149" i="16"/>
  <c r="AA149" i="16" s="1"/>
  <c r="AK149" i="16" s="1"/>
  <c r="AD149" i="16"/>
  <c r="AE149" i="16" s="1"/>
  <c r="AF148" i="16"/>
  <c r="BN136" i="16"/>
  <c r="BO136" i="16"/>
  <c r="BP136" i="16" s="1"/>
  <c r="E176" i="16"/>
  <c r="O175" i="16"/>
  <c r="AG148" i="16" l="1"/>
  <c r="AL148" i="16" s="1"/>
  <c r="Y149" i="16"/>
  <c r="AB149" i="16" s="1"/>
  <c r="BD137" i="16"/>
  <c r="BE137" i="16" s="1"/>
  <c r="BF137" i="16" s="1"/>
  <c r="AJ226" i="15"/>
  <c r="BQ136" i="16"/>
  <c r="E135" i="14"/>
  <c r="F135" i="14" s="1"/>
  <c r="H135" i="14" s="1"/>
  <c r="AD338" i="15"/>
  <c r="L176" i="16"/>
  <c r="P176" i="16"/>
  <c r="AH148" i="16" l="1"/>
  <c r="AS148" i="16" s="1"/>
  <c r="Z149" i="16"/>
  <c r="U150" i="16" s="1"/>
  <c r="AC150" i="16" s="1"/>
  <c r="AM148" i="16"/>
  <c r="AN148" i="16" s="1"/>
  <c r="AO148" i="16" s="1"/>
  <c r="AP148" i="16" s="1"/>
  <c r="AY148" i="16"/>
  <c r="AF149" i="16"/>
  <c r="AG149" i="16" s="1"/>
  <c r="AH149" i="16" s="1"/>
  <c r="AS149" i="16" s="1"/>
  <c r="AT149" i="16" s="1"/>
  <c r="N176" i="16"/>
  <c r="M177" i="16" s="1"/>
  <c r="BI137" i="16"/>
  <c r="BG137" i="16"/>
  <c r="BJ137" i="16"/>
  <c r="BK137" i="16"/>
  <c r="BL137" i="16" s="1"/>
  <c r="BM137" i="16" s="1"/>
  <c r="Q176" i="16"/>
  <c r="S176" i="16" s="1"/>
  <c r="AR148" i="16" l="1"/>
  <c r="AT148" i="16"/>
  <c r="AW148" i="16" s="1"/>
  <c r="AX148" i="16" s="1"/>
  <c r="AZ148" i="16" s="1"/>
  <c r="AU148" i="16"/>
  <c r="AV148" i="16" s="1"/>
  <c r="AD150" i="16"/>
  <c r="AE150" i="16" s="1"/>
  <c r="W150" i="16"/>
  <c r="Y150" i="16" s="1"/>
  <c r="AQ148" i="16"/>
  <c r="AL149" i="16"/>
  <c r="O176" i="16"/>
  <c r="BC138" i="16"/>
  <c r="BH138" i="16" s="1"/>
  <c r="BN137" i="16"/>
  <c r="BO137" i="16"/>
  <c r="BP137" i="16" s="1"/>
  <c r="P177" i="16"/>
  <c r="E177" i="16"/>
  <c r="L177" i="16" s="1"/>
  <c r="AA150" i="16" l="1"/>
  <c r="AK150" i="16" s="1"/>
  <c r="AU149" i="16"/>
  <c r="AV149" i="16" s="1"/>
  <c r="AW149" i="16"/>
  <c r="AX149" i="16" s="1"/>
  <c r="AZ149" i="16" s="1"/>
  <c r="AY149" i="16"/>
  <c r="AM149" i="16"/>
  <c r="AN149" i="16" s="1"/>
  <c r="AB150" i="16"/>
  <c r="Z150" i="16"/>
  <c r="BD138" i="16"/>
  <c r="BE138" i="16" s="1"/>
  <c r="BF138" i="16" s="1"/>
  <c r="AJ227" i="15"/>
  <c r="BQ137" i="16"/>
  <c r="AD341" i="15"/>
  <c r="E136" i="14"/>
  <c r="F136" i="14" s="1"/>
  <c r="H136" i="14" s="1"/>
  <c r="N177" i="16"/>
  <c r="M178" i="16" s="1"/>
  <c r="Q177" i="16"/>
  <c r="S177" i="16" s="1"/>
  <c r="AO149" i="16" l="1"/>
  <c r="U151" i="16"/>
  <c r="AC151" i="16" s="1"/>
  <c r="BJ138" i="16"/>
  <c r="BK138" i="16"/>
  <c r="BL138" i="16" s="1"/>
  <c r="BM138" i="16" s="1"/>
  <c r="AF150" i="16"/>
  <c r="AG150" i="16" s="1"/>
  <c r="AH150" i="16" s="1"/>
  <c r="AS150" i="16" s="1"/>
  <c r="BI138" i="16"/>
  <c r="BG138" i="16"/>
  <c r="E178" i="16"/>
  <c r="L178" i="16" s="1"/>
  <c r="O177" i="16"/>
  <c r="AT150" i="16" l="1"/>
  <c r="AW150" i="16" s="1"/>
  <c r="AX150" i="16" s="1"/>
  <c r="AZ150" i="16" s="1"/>
  <c r="AU150" i="16"/>
  <c r="AV150" i="16" s="1"/>
  <c r="AL150" i="16"/>
  <c r="AM150" i="16" s="1"/>
  <c r="AP149" i="16"/>
  <c r="AR149" i="16" s="1"/>
  <c r="AD151" i="16"/>
  <c r="W151" i="16"/>
  <c r="AA151" i="16" s="1"/>
  <c r="AK151" i="16" s="1"/>
  <c r="BC139" i="16"/>
  <c r="BH139" i="16" s="1"/>
  <c r="BN138" i="16"/>
  <c r="BO138" i="16"/>
  <c r="BP138" i="16" s="1"/>
  <c r="N178" i="16"/>
  <c r="M179" i="16" s="1"/>
  <c r="P178" i="16"/>
  <c r="AY150" i="16" l="1"/>
  <c r="AQ149" i="16"/>
  <c r="AN150" i="16"/>
  <c r="AO150" i="16" s="1"/>
  <c r="Y151" i="16"/>
  <c r="AE151" i="16"/>
  <c r="BD139" i="16"/>
  <c r="BE139" i="16" s="1"/>
  <c r="AJ228" i="15"/>
  <c r="BQ138" i="16"/>
  <c r="AD343" i="15"/>
  <c r="E137" i="14"/>
  <c r="F137" i="14" s="1"/>
  <c r="H137" i="14" s="1"/>
  <c r="Q178" i="16"/>
  <c r="S178" i="16" s="1"/>
  <c r="O178" i="16"/>
  <c r="AB151" i="16" l="1"/>
  <c r="Z151" i="16"/>
  <c r="BF139" i="16"/>
  <c r="BI139" i="16" s="1"/>
  <c r="BO139" i="16" s="1"/>
  <c r="BP139" i="16" s="1"/>
  <c r="AJ229" i="15" s="1"/>
  <c r="AP150" i="16"/>
  <c r="AQ150" i="16" s="1"/>
  <c r="BJ139" i="16"/>
  <c r="BK139" i="16"/>
  <c r="BL139" i="16" s="1"/>
  <c r="BM139" i="16" s="1"/>
  <c r="P179" i="16"/>
  <c r="E179" i="16"/>
  <c r="L179" i="16" s="1"/>
  <c r="BG139" i="16" l="1"/>
  <c r="BC140" i="16" s="1"/>
  <c r="BH140" i="16" s="1"/>
  <c r="AR150" i="16"/>
  <c r="U152" i="16"/>
  <c r="AC152" i="16" s="1"/>
  <c r="AF151" i="16"/>
  <c r="AG151" i="16" s="1"/>
  <c r="AH151" i="16" s="1"/>
  <c r="AS151" i="16" s="1"/>
  <c r="BN139" i="16"/>
  <c r="E138" i="14" s="1"/>
  <c r="F138" i="14" s="1"/>
  <c r="H138" i="14" s="1"/>
  <c r="N179" i="16"/>
  <c r="M180" i="16" s="1"/>
  <c r="Q179" i="16"/>
  <c r="S179" i="16" s="1"/>
  <c r="BQ139" i="16" l="1"/>
  <c r="AD348" i="15"/>
  <c r="AL151" i="16"/>
  <c r="AY151" i="16" s="1"/>
  <c r="AT151" i="16"/>
  <c r="AW151" i="16" s="1"/>
  <c r="AX151" i="16" s="1"/>
  <c r="AZ151" i="16" s="1"/>
  <c r="AU151" i="16"/>
  <c r="AV151" i="16" s="1"/>
  <c r="BD140" i="16"/>
  <c r="BE140" i="16" s="1"/>
  <c r="BF140" i="16" s="1"/>
  <c r="BI140" i="16" s="1"/>
  <c r="AD152" i="16"/>
  <c r="W152" i="16"/>
  <c r="O179" i="16"/>
  <c r="AM151" i="16" l="1"/>
  <c r="AN151" i="16" s="1"/>
  <c r="AO151" i="16" s="1"/>
  <c r="BJ140" i="16"/>
  <c r="BK140" i="16"/>
  <c r="BL140" i="16" s="1"/>
  <c r="BM140" i="16" s="1"/>
  <c r="AA152" i="16"/>
  <c r="AK152" i="16" s="1"/>
  <c r="Y152" i="16"/>
  <c r="AE152" i="16"/>
  <c r="BG140" i="16"/>
  <c r="E180" i="16"/>
  <c r="L180" i="16" s="1"/>
  <c r="P180" i="16"/>
  <c r="BO140" i="16"/>
  <c r="BP140" i="16" s="1"/>
  <c r="AJ230" i="15" s="1"/>
  <c r="BN140" i="16" l="1"/>
  <c r="BQ140" i="16" s="1"/>
  <c r="AP151" i="16"/>
  <c r="AQ151" i="16" s="1"/>
  <c r="AB152" i="16"/>
  <c r="Z152" i="16"/>
  <c r="BC141" i="16"/>
  <c r="BH141" i="16" s="1"/>
  <c r="Q180" i="16"/>
  <c r="S180" i="16" s="1"/>
  <c r="N180" i="16"/>
  <c r="M181" i="16" s="1"/>
  <c r="AD351" i="15" l="1"/>
  <c r="E139" i="14"/>
  <c r="F139" i="14" s="1"/>
  <c r="H139" i="14" s="1"/>
  <c r="AR151" i="16"/>
  <c r="AF152" i="16"/>
  <c r="AG152" i="16" s="1"/>
  <c r="AH152" i="16" s="1"/>
  <c r="AS152" i="16" s="1"/>
  <c r="U153" i="16"/>
  <c r="AC153" i="16" s="1"/>
  <c r="BD141" i="16"/>
  <c r="BJ141" i="16" s="1"/>
  <c r="O180" i="16"/>
  <c r="E181" i="16"/>
  <c r="AT152" i="16" l="1"/>
  <c r="AW152" i="16" s="1"/>
  <c r="AX152" i="16" s="1"/>
  <c r="AZ152" i="16" s="1"/>
  <c r="AU152" i="16"/>
  <c r="AV152" i="16" s="1"/>
  <c r="AL152" i="16"/>
  <c r="AY152" i="16" s="1"/>
  <c r="BE141" i="16"/>
  <c r="BF141" i="16" s="1"/>
  <c r="AD153" i="16"/>
  <c r="BK141" i="16"/>
  <c r="BL141" i="16" s="1"/>
  <c r="BM141" i="16" s="1"/>
  <c r="W153" i="16"/>
  <c r="AA153" i="16" s="1"/>
  <c r="AK153" i="16" s="1"/>
  <c r="L181" i="16"/>
  <c r="P181" i="16"/>
  <c r="AM152" i="16" l="1"/>
  <c r="BI141" i="16"/>
  <c r="BO141" i="16" s="1"/>
  <c r="BP141" i="16" s="1"/>
  <c r="AJ231" i="15" s="1"/>
  <c r="BG141" i="16"/>
  <c r="BC142" i="16" s="1"/>
  <c r="Y153" i="16"/>
  <c r="AB153" i="16" s="1"/>
  <c r="AN152" i="16"/>
  <c r="AO152" i="16" s="1"/>
  <c r="AE153" i="16"/>
  <c r="N181" i="16"/>
  <c r="Q181" i="16"/>
  <c r="S181" i="16" s="1"/>
  <c r="BN141" i="16" l="1"/>
  <c r="AD355" i="15" s="1"/>
  <c r="AP152" i="16"/>
  <c r="AQ152" i="16" s="1"/>
  <c r="AF153" i="16"/>
  <c r="AG153" i="16" s="1"/>
  <c r="AH153" i="16" s="1"/>
  <c r="AS153" i="16" s="1"/>
  <c r="Z153" i="16"/>
  <c r="BD142" i="16"/>
  <c r="BH142" i="16"/>
  <c r="O181" i="16"/>
  <c r="M182" i="16"/>
  <c r="P182" i="16" s="1"/>
  <c r="E140" i="14"/>
  <c r="F140" i="14" s="1"/>
  <c r="H140" i="14" s="1"/>
  <c r="BQ141" i="16" l="1"/>
  <c r="AR152" i="16"/>
  <c r="AT153" i="16"/>
  <c r="AW153" i="16" s="1"/>
  <c r="AX153" i="16" s="1"/>
  <c r="AZ153" i="16" s="1"/>
  <c r="AU153" i="16"/>
  <c r="AV153" i="16" s="1"/>
  <c r="AL153" i="16"/>
  <c r="AY153" i="16" s="1"/>
  <c r="U154" i="16"/>
  <c r="AC154" i="16" s="1"/>
  <c r="AD154" i="16" s="1"/>
  <c r="BE142" i="16"/>
  <c r="BF142" i="16" s="1"/>
  <c r="BI142" i="16" s="1"/>
  <c r="E182" i="16"/>
  <c r="L182" i="16" s="1"/>
  <c r="Q182" i="16"/>
  <c r="S182" i="16" s="1"/>
  <c r="BJ142" i="16"/>
  <c r="BK142" i="16"/>
  <c r="BL142" i="16" s="1"/>
  <c r="BM142" i="16" s="1"/>
  <c r="AM153" i="16" l="1"/>
  <c r="AN153" i="16" s="1"/>
  <c r="AO153" i="16" s="1"/>
  <c r="N182" i="16"/>
  <c r="M183" i="16" s="1"/>
  <c r="AE154" i="16"/>
  <c r="W154" i="16"/>
  <c r="BG142" i="16"/>
  <c r="AP153" i="16" l="1"/>
  <c r="AR153" i="16" s="1"/>
  <c r="AA154" i="16"/>
  <c r="AK154" i="16" s="1"/>
  <c r="Y154" i="16"/>
  <c r="AB154" i="16" s="1"/>
  <c r="O182" i="16"/>
  <c r="BC143" i="16"/>
  <c r="BH143" i="16" s="1"/>
  <c r="E183" i="16"/>
  <c r="L183" i="16" s="1"/>
  <c r="P183" i="16"/>
  <c r="BO142" i="16"/>
  <c r="BP142" i="16" s="1"/>
  <c r="AJ232" i="15" s="1"/>
  <c r="BN142" i="16"/>
  <c r="AQ153" i="16" l="1"/>
  <c r="BD143" i="16"/>
  <c r="BE143" i="16" s="1"/>
  <c r="AF154" i="16"/>
  <c r="Z154" i="16"/>
  <c r="Q183" i="16"/>
  <c r="S183" i="16" s="1"/>
  <c r="N183" i="16"/>
  <c r="M184" i="16" s="1"/>
  <c r="E141" i="14"/>
  <c r="F141" i="14" s="1"/>
  <c r="H141" i="14" s="1"/>
  <c r="AD359" i="15"/>
  <c r="BQ142" i="16"/>
  <c r="AG154" i="16" l="1"/>
  <c r="AL154" i="16" s="1"/>
  <c r="AY154" i="16" s="1"/>
  <c r="BJ143" i="16"/>
  <c r="BF143" i="16"/>
  <c r="BI143" i="16" s="1"/>
  <c r="BK143" i="16"/>
  <c r="BL143" i="16" s="1"/>
  <c r="BM143" i="16" s="1"/>
  <c r="U155" i="16"/>
  <c r="AC155" i="16" s="1"/>
  <c r="O183" i="16"/>
  <c r="AM154" i="16" l="1"/>
  <c r="AN154" i="16" s="1"/>
  <c r="AO154" i="16" s="1"/>
  <c r="AH154" i="16"/>
  <c r="AS154" i="16" s="1"/>
  <c r="BG143" i="16"/>
  <c r="BC144" i="16" s="1"/>
  <c r="BH144" i="16" s="1"/>
  <c r="AD155" i="16"/>
  <c r="W155" i="16"/>
  <c r="AA155" i="16" s="1"/>
  <c r="AK155" i="16" s="1"/>
  <c r="E184" i="16"/>
  <c r="L184" i="16" s="1"/>
  <c r="P184" i="16"/>
  <c r="BO143" i="16"/>
  <c r="BP143" i="16" s="1"/>
  <c r="AJ233" i="15" s="1"/>
  <c r="BN143" i="16"/>
  <c r="AU154" i="16" l="1"/>
  <c r="AV154" i="16" s="1"/>
  <c r="AT154" i="16"/>
  <c r="AW154" i="16" s="1"/>
  <c r="AX154" i="16" s="1"/>
  <c r="AZ154" i="16" s="1"/>
  <c r="BD144" i="16"/>
  <c r="BE144" i="16" s="1"/>
  <c r="AP154" i="16"/>
  <c r="AQ154" i="16" s="1"/>
  <c r="AE155" i="16"/>
  <c r="Y155" i="16"/>
  <c r="AB155" i="16" s="1"/>
  <c r="Q184" i="16"/>
  <c r="S184" i="16" s="1"/>
  <c r="N184" i="16"/>
  <c r="M185" i="16" s="1"/>
  <c r="E142" i="14"/>
  <c r="F142" i="14" s="1"/>
  <c r="H142" i="14" s="1"/>
  <c r="AD364" i="15"/>
  <c r="BQ143" i="16"/>
  <c r="BK144" i="16" l="1"/>
  <c r="BL144" i="16" s="1"/>
  <c r="BM144" i="16" s="1"/>
  <c r="BJ144" i="16"/>
  <c r="BF144" i="16"/>
  <c r="BI144" i="16" s="1"/>
  <c r="AR154" i="16"/>
  <c r="Z155" i="16"/>
  <c r="U156" i="16" s="1"/>
  <c r="AC156" i="16" s="1"/>
  <c r="AF155" i="16"/>
  <c r="AG155" i="16" s="1"/>
  <c r="AH155" i="16" s="1"/>
  <c r="AS155" i="16" s="1"/>
  <c r="AT155" i="16" s="1"/>
  <c r="AW155" i="16" s="1"/>
  <c r="AX155" i="16" s="1"/>
  <c r="AZ155" i="16" s="1"/>
  <c r="E185" i="16"/>
  <c r="O184" i="16"/>
  <c r="BG144" i="16" l="1"/>
  <c r="BC145" i="16" s="1"/>
  <c r="BH145" i="16" s="1"/>
  <c r="AL155" i="16"/>
  <c r="AM155" i="16" s="1"/>
  <c r="AU155" i="16"/>
  <c r="AV155" i="16" s="1"/>
  <c r="AD156" i="16"/>
  <c r="W156" i="16"/>
  <c r="AA156" i="16" s="1"/>
  <c r="AK156" i="16" s="1"/>
  <c r="L185" i="16"/>
  <c r="N185" i="16" s="1"/>
  <c r="M186" i="16" s="1"/>
  <c r="P185" i="16"/>
  <c r="BO144" i="16"/>
  <c r="BP144" i="16" s="1"/>
  <c r="AJ234" i="15" s="1"/>
  <c r="BN144" i="16"/>
  <c r="AY155" i="16" l="1"/>
  <c r="Y156" i="16"/>
  <c r="AB156" i="16" s="1"/>
  <c r="AN155" i="16"/>
  <c r="AO155" i="16" s="1"/>
  <c r="AE156" i="16"/>
  <c r="BD145" i="16"/>
  <c r="BE145" i="16" s="1"/>
  <c r="BF145" i="16" s="1"/>
  <c r="BI145" i="16" s="1"/>
  <c r="Q185" i="16"/>
  <c r="S185" i="16" s="1"/>
  <c r="O185" i="16"/>
  <c r="E143" i="14"/>
  <c r="F143" i="14" s="1"/>
  <c r="H143" i="14" s="1"/>
  <c r="AD367" i="15"/>
  <c r="BQ144" i="16"/>
  <c r="AF156" i="16" l="1"/>
  <c r="AG156" i="16" s="1"/>
  <c r="AH156" i="16" s="1"/>
  <c r="AS156" i="16" s="1"/>
  <c r="AT156" i="16" s="1"/>
  <c r="AW156" i="16" s="1"/>
  <c r="AX156" i="16" s="1"/>
  <c r="AZ156" i="16" s="1"/>
  <c r="BK145" i="16"/>
  <c r="BL145" i="16" s="1"/>
  <c r="BM145" i="16" s="1"/>
  <c r="Z156" i="16"/>
  <c r="U157" i="16" s="1"/>
  <c r="AC157" i="16" s="1"/>
  <c r="BJ145" i="16"/>
  <c r="AP155" i="16"/>
  <c r="AR155" i="16" s="1"/>
  <c r="E186" i="16"/>
  <c r="P186" i="16"/>
  <c r="BO145" i="16"/>
  <c r="BP145" i="16" s="1"/>
  <c r="AJ235" i="15" s="1"/>
  <c r="BG145" i="16"/>
  <c r="AU156" i="16" l="1"/>
  <c r="AV156" i="16" s="1"/>
  <c r="AL156" i="16"/>
  <c r="AY156" i="16" s="1"/>
  <c r="BN145" i="16"/>
  <c r="E144" i="14" s="1"/>
  <c r="F144" i="14" s="1"/>
  <c r="H144" i="14" s="1"/>
  <c r="AD157" i="16"/>
  <c r="AE157" i="16" s="1"/>
  <c r="W157" i="16"/>
  <c r="AA157" i="16" s="1"/>
  <c r="AK157" i="16" s="1"/>
  <c r="AQ155" i="16"/>
  <c r="BC146" i="16"/>
  <c r="BH146" i="16" s="1"/>
  <c r="L186" i="16"/>
  <c r="Q186" i="16"/>
  <c r="S186" i="16" s="1"/>
  <c r="BQ145" i="16" l="1"/>
  <c r="AD370" i="15"/>
  <c r="AM156" i="16"/>
  <c r="AN156" i="16" s="1"/>
  <c r="Y157" i="16"/>
  <c r="BD146" i="16"/>
  <c r="BE146" i="16" s="1"/>
  <c r="N186" i="16"/>
  <c r="M187" i="16" s="1"/>
  <c r="P187" i="16" s="1"/>
  <c r="Q187" i="16" s="1"/>
  <c r="S187" i="16" s="1"/>
  <c r="AO156" i="16" l="1"/>
  <c r="AP156" i="16" s="1"/>
  <c r="AR156" i="16" s="1"/>
  <c r="BK146" i="16"/>
  <c r="BL146" i="16" s="1"/>
  <c r="BM146" i="16" s="1"/>
  <c r="AB157" i="16"/>
  <c r="Z157" i="16"/>
  <c r="U158" i="16" s="1"/>
  <c r="AC158" i="16" s="1"/>
  <c r="BJ146" i="16"/>
  <c r="BF146" i="16"/>
  <c r="BI146" i="16" s="1"/>
  <c r="O186" i="16"/>
  <c r="E187" i="16"/>
  <c r="L187" i="16" s="1"/>
  <c r="BG146" i="16" l="1"/>
  <c r="BC147" i="16" s="1"/>
  <c r="AD158" i="16"/>
  <c r="AE158" i="16" s="1"/>
  <c r="W158" i="16"/>
  <c r="Y158" i="16" s="1"/>
  <c r="AF157" i="16"/>
  <c r="AG157" i="16" s="1"/>
  <c r="AH157" i="16" s="1"/>
  <c r="AS157" i="16" s="1"/>
  <c r="N187" i="16"/>
  <c r="M188" i="16" s="1"/>
  <c r="AQ156" i="16"/>
  <c r="BO146" i="16"/>
  <c r="BP146" i="16" s="1"/>
  <c r="AJ236" i="15" s="1"/>
  <c r="BN146" i="16"/>
  <c r="O187" i="16" l="1"/>
  <c r="AA158" i="16"/>
  <c r="AK158" i="16" s="1"/>
  <c r="AT157" i="16"/>
  <c r="AW157" i="16" s="1"/>
  <c r="AX157" i="16" s="1"/>
  <c r="AZ157" i="16" s="1"/>
  <c r="AU157" i="16"/>
  <c r="AV157" i="16" s="1"/>
  <c r="AL157" i="16"/>
  <c r="AM157" i="16" s="1"/>
  <c r="AB158" i="16"/>
  <c r="Z158" i="16"/>
  <c r="BD147" i="16"/>
  <c r="BE147" i="16" s="1"/>
  <c r="BH147" i="16"/>
  <c r="E188" i="16"/>
  <c r="L188" i="16" s="1"/>
  <c r="P188" i="16"/>
  <c r="E145" i="14"/>
  <c r="F145" i="14" s="1"/>
  <c r="H145" i="14" s="1"/>
  <c r="AD373" i="15"/>
  <c r="BQ146" i="16"/>
  <c r="AY157" i="16" l="1"/>
  <c r="AN157" i="16"/>
  <c r="AO157" i="16" s="1"/>
  <c r="AP157" i="16" s="1"/>
  <c r="AR157" i="16" s="1"/>
  <c r="U159" i="16"/>
  <c r="AC159" i="16" s="1"/>
  <c r="BF147" i="16"/>
  <c r="BI147" i="16" s="1"/>
  <c r="AF158" i="16"/>
  <c r="AG158" i="16" s="1"/>
  <c r="AH158" i="16" s="1"/>
  <c r="AS158" i="16" s="1"/>
  <c r="AT158" i="16" s="1"/>
  <c r="AW158" i="16" s="1"/>
  <c r="AX158" i="16" s="1"/>
  <c r="AZ158" i="16" s="1"/>
  <c r="Q188" i="16"/>
  <c r="S188" i="16" s="1"/>
  <c r="N188" i="16"/>
  <c r="M189" i="16" s="1"/>
  <c r="BJ147" i="16"/>
  <c r="BK147" i="16"/>
  <c r="BL147" i="16" s="1"/>
  <c r="BM147" i="16" s="1"/>
  <c r="AL158" i="16" l="1"/>
  <c r="AY158" i="16" s="1"/>
  <c r="AU158" i="16"/>
  <c r="AV158" i="16" s="1"/>
  <c r="AQ157" i="16"/>
  <c r="W159" i="16"/>
  <c r="AA159" i="16" s="1"/>
  <c r="AK159" i="16" s="1"/>
  <c r="AD159" i="16"/>
  <c r="O188" i="16"/>
  <c r="E189" i="16"/>
  <c r="BG147" i="16"/>
  <c r="AM158" i="16" l="1"/>
  <c r="AN158" i="16" s="1"/>
  <c r="AO158" i="16" s="1"/>
  <c r="Y159" i="16"/>
  <c r="AE159" i="16"/>
  <c r="BC148" i="16"/>
  <c r="BH148" i="16" s="1"/>
  <c r="L189" i="16"/>
  <c r="N189" i="16" s="1"/>
  <c r="M190" i="16" s="1"/>
  <c r="P189" i="16"/>
  <c r="BO147" i="16"/>
  <c r="BP147" i="16" s="1"/>
  <c r="AJ237" i="15" s="1"/>
  <c r="BN147" i="16"/>
  <c r="BD148" i="16" l="1"/>
  <c r="BE148" i="16" s="1"/>
  <c r="BF148" i="16" s="1"/>
  <c r="BI148" i="16" s="1"/>
  <c r="AP158" i="16"/>
  <c r="AQ158" i="16" s="1"/>
  <c r="AB159" i="16"/>
  <c r="Z159" i="16"/>
  <c r="Q189" i="16"/>
  <c r="S189" i="16" s="1"/>
  <c r="O189" i="16"/>
  <c r="E146" i="14"/>
  <c r="F146" i="14" s="1"/>
  <c r="H146" i="14" s="1"/>
  <c r="AD375" i="15"/>
  <c r="BQ147" i="16"/>
  <c r="BK148" i="16" l="1"/>
  <c r="BL148" i="16" s="1"/>
  <c r="BM148" i="16" s="1"/>
  <c r="BJ148" i="16"/>
  <c r="AR158" i="16"/>
  <c r="U160" i="16"/>
  <c r="AC160" i="16" s="1"/>
  <c r="AF159" i="16"/>
  <c r="AG159" i="16" s="1"/>
  <c r="AH159" i="16" s="1"/>
  <c r="AS159" i="16" s="1"/>
  <c r="E190" i="16"/>
  <c r="L190" i="16" s="1"/>
  <c r="P190" i="16"/>
  <c r="BO148" i="16"/>
  <c r="BP148" i="16" s="1"/>
  <c r="AJ238" i="15" s="1"/>
  <c r="BG148" i="16"/>
  <c r="BN148" i="16" l="1"/>
  <c r="AT159" i="16"/>
  <c r="AW159" i="16" s="1"/>
  <c r="AX159" i="16" s="1"/>
  <c r="AZ159" i="16" s="1"/>
  <c r="AU159" i="16"/>
  <c r="AV159" i="16" s="1"/>
  <c r="AL159" i="16"/>
  <c r="AY159" i="16" s="1"/>
  <c r="AD160" i="16"/>
  <c r="W160" i="16"/>
  <c r="BC149" i="16"/>
  <c r="BH149" i="16" s="1"/>
  <c r="Q190" i="16"/>
  <c r="S190" i="16" s="1"/>
  <c r="N190" i="16"/>
  <c r="M191" i="16" s="1"/>
  <c r="E147" i="14"/>
  <c r="F147" i="14" s="1"/>
  <c r="H147" i="14" s="1"/>
  <c r="AD379" i="15"/>
  <c r="BQ148" i="16"/>
  <c r="AM159" i="16" l="1"/>
  <c r="AN159" i="16" s="1"/>
  <c r="AO159" i="16" s="1"/>
  <c r="BD149" i="16"/>
  <c r="BE149" i="16" s="1"/>
  <c r="BF149" i="16" s="1"/>
  <c r="BI149" i="16" s="1"/>
  <c r="AE160" i="16"/>
  <c r="AA160" i="16"/>
  <c r="AK160" i="16" s="1"/>
  <c r="Y160" i="16"/>
  <c r="O190" i="16"/>
  <c r="BK149" i="16" l="1"/>
  <c r="BL149" i="16" s="1"/>
  <c r="BM149" i="16" s="1"/>
  <c r="BJ149" i="16"/>
  <c r="AP159" i="16"/>
  <c r="AR159" i="16" s="1"/>
  <c r="AB160" i="16"/>
  <c r="Z160" i="16"/>
  <c r="E191" i="16"/>
  <c r="P191" i="16"/>
  <c r="BG149" i="16"/>
  <c r="AF160" i="16" l="1"/>
  <c r="AG160" i="16" s="1"/>
  <c r="AH160" i="16" s="1"/>
  <c r="AS160" i="16" s="1"/>
  <c r="U161" i="16"/>
  <c r="AC161" i="16" s="1"/>
  <c r="AQ159" i="16"/>
  <c r="BC150" i="16"/>
  <c r="L191" i="16"/>
  <c r="Q191" i="16"/>
  <c r="S191" i="16" s="1"/>
  <c r="BO149" i="16"/>
  <c r="BP149" i="16" s="1"/>
  <c r="AJ239" i="15" s="1"/>
  <c r="BN149" i="16"/>
  <c r="AT160" i="16" l="1"/>
  <c r="AW160" i="16" s="1"/>
  <c r="AX160" i="16" s="1"/>
  <c r="AZ160" i="16" s="1"/>
  <c r="AU160" i="16"/>
  <c r="AV160" i="16" s="1"/>
  <c r="AL160" i="16"/>
  <c r="AY160" i="16" s="1"/>
  <c r="AD161" i="16"/>
  <c r="W161" i="16"/>
  <c r="AA161" i="16" s="1"/>
  <c r="AK161" i="16" s="1"/>
  <c r="BD150" i="16"/>
  <c r="BH150" i="16"/>
  <c r="N191" i="16"/>
  <c r="M192" i="16" s="1"/>
  <c r="E148" i="14"/>
  <c r="F148" i="14" s="1"/>
  <c r="H148" i="14" s="1"/>
  <c r="AD383" i="15"/>
  <c r="BQ149" i="16"/>
  <c r="AM160" i="16" l="1"/>
  <c r="AN160" i="16" s="1"/>
  <c r="AO160" i="16" s="1"/>
  <c r="Y161" i="16"/>
  <c r="AB161" i="16" s="1"/>
  <c r="O191" i="16"/>
  <c r="AE161" i="16"/>
  <c r="BE150" i="16"/>
  <c r="BF150" i="16" s="1"/>
  <c r="BI150" i="16" s="1"/>
  <c r="E192" i="16"/>
  <c r="L192" i="16" s="1"/>
  <c r="P192" i="16"/>
  <c r="BJ150" i="16"/>
  <c r="BK150" i="16"/>
  <c r="BL150" i="16" s="1"/>
  <c r="BM150" i="16" s="1"/>
  <c r="AF161" i="16" l="1"/>
  <c r="AG161" i="16" s="1"/>
  <c r="AH161" i="16" s="1"/>
  <c r="AS161" i="16" s="1"/>
  <c r="AT161" i="16" s="1"/>
  <c r="AW161" i="16" s="1"/>
  <c r="AX161" i="16" s="1"/>
  <c r="AZ161" i="16" s="1"/>
  <c r="Z161" i="16"/>
  <c r="U162" i="16" s="1"/>
  <c r="AC162" i="16" s="1"/>
  <c r="AP160" i="16"/>
  <c r="AR160" i="16" s="1"/>
  <c r="Q192" i="16"/>
  <c r="S192" i="16" s="1"/>
  <c r="N192" i="16"/>
  <c r="M193" i="16" s="1"/>
  <c r="BG150" i="16"/>
  <c r="AL161" i="16" l="1"/>
  <c r="AY161" i="16" s="1"/>
  <c r="AU161" i="16"/>
  <c r="AV161" i="16" s="1"/>
  <c r="W162" i="16"/>
  <c r="AA162" i="16" s="1"/>
  <c r="AK162" i="16" s="1"/>
  <c r="AD162" i="16"/>
  <c r="AQ160" i="16"/>
  <c r="BC151" i="16"/>
  <c r="BH151" i="16" s="1"/>
  <c r="E193" i="16"/>
  <c r="O192" i="16"/>
  <c r="BO150" i="16"/>
  <c r="BP150" i="16" s="1"/>
  <c r="AJ240" i="15" s="1"/>
  <c r="BN150" i="16"/>
  <c r="AM161" i="16" l="1"/>
  <c r="AN161" i="16" s="1"/>
  <c r="AO161" i="16" s="1"/>
  <c r="AP161" i="16" s="1"/>
  <c r="AR161" i="16" s="1"/>
  <c r="Y162" i="16"/>
  <c r="AB162" i="16" s="1"/>
  <c r="AE162" i="16"/>
  <c r="BD151" i="16"/>
  <c r="BE151" i="16" s="1"/>
  <c r="L193" i="16"/>
  <c r="P193" i="16"/>
  <c r="E149" i="14"/>
  <c r="F149" i="14" s="1"/>
  <c r="H149" i="14" s="1"/>
  <c r="AD385" i="15"/>
  <c r="BQ150" i="16"/>
  <c r="AF162" i="16" l="1"/>
  <c r="AG162" i="16" s="1"/>
  <c r="AH162" i="16" s="1"/>
  <c r="AS162" i="16" s="1"/>
  <c r="AT162" i="16" s="1"/>
  <c r="AW162" i="16" s="1"/>
  <c r="AX162" i="16" s="1"/>
  <c r="AZ162" i="16" s="1"/>
  <c r="Z162" i="16"/>
  <c r="U163" i="16" s="1"/>
  <c r="AC163" i="16" s="1"/>
  <c r="AD163" i="16" s="1"/>
  <c r="AE163" i="16" s="1"/>
  <c r="AQ161" i="16"/>
  <c r="BK151" i="16"/>
  <c r="BL151" i="16" s="1"/>
  <c r="BM151" i="16" s="1"/>
  <c r="BF151" i="16"/>
  <c r="BI151" i="16" s="1"/>
  <c r="BO151" i="16" s="1"/>
  <c r="BP151" i="16" s="1"/>
  <c r="AJ241" i="15" s="1"/>
  <c r="BJ151" i="16"/>
  <c r="N193" i="16"/>
  <c r="M194" i="16" s="1"/>
  <c r="Q193" i="16"/>
  <c r="S193" i="16" s="1"/>
  <c r="AL162" i="16" l="1"/>
  <c r="AY162" i="16" s="1"/>
  <c r="AU162" i="16"/>
  <c r="AV162" i="16" s="1"/>
  <c r="W163" i="16"/>
  <c r="Y163" i="16" s="1"/>
  <c r="AB163" i="16" s="1"/>
  <c r="BN151" i="16"/>
  <c r="AD388" i="15" s="1"/>
  <c r="BG151" i="16"/>
  <c r="BC152" i="16" s="1"/>
  <c r="BH152" i="16" s="1"/>
  <c r="O193" i="16"/>
  <c r="P194" i="16"/>
  <c r="Q194" i="16" s="1"/>
  <c r="S194" i="16" s="1"/>
  <c r="E194" i="16"/>
  <c r="L194" i="16" s="1"/>
  <c r="AM162" i="16" l="1"/>
  <c r="AN162" i="16" s="1"/>
  <c r="AO162" i="16" s="1"/>
  <c r="AP162" i="16" s="1"/>
  <c r="AQ162" i="16" s="1"/>
  <c r="AA163" i="16"/>
  <c r="AK163" i="16" s="1"/>
  <c r="E150" i="14"/>
  <c r="F150" i="14" s="1"/>
  <c r="H150" i="14" s="1"/>
  <c r="BQ151" i="16"/>
  <c r="AF163" i="16"/>
  <c r="BD152" i="16"/>
  <c r="BJ152" i="16" s="1"/>
  <c r="Z163" i="16"/>
  <c r="N194" i="16"/>
  <c r="M195" i="16" s="1"/>
  <c r="AG163" i="16" l="1"/>
  <c r="AL163" i="16" s="1"/>
  <c r="AY163" i="16" s="1"/>
  <c r="BE152" i="16"/>
  <c r="BF152" i="16" s="1"/>
  <c r="BI152" i="16" s="1"/>
  <c r="BO152" i="16" s="1"/>
  <c r="BP152" i="16" s="1"/>
  <c r="BK152" i="16"/>
  <c r="BL152" i="16" s="1"/>
  <c r="BM152" i="16" s="1"/>
  <c r="AR162" i="16"/>
  <c r="U164" i="16"/>
  <c r="AC164" i="16" s="1"/>
  <c r="O194" i="16"/>
  <c r="AM163" i="16" l="1"/>
  <c r="AH163" i="16"/>
  <c r="AS163" i="16" s="1"/>
  <c r="BG152" i="16"/>
  <c r="BC153" i="16" s="1"/>
  <c r="BH153" i="16" s="1"/>
  <c r="BN152" i="16"/>
  <c r="AD392" i="15" s="1"/>
  <c r="AN163" i="16"/>
  <c r="AO163" i="16" s="1"/>
  <c r="W164" i="16"/>
  <c r="AA164" i="16" s="1"/>
  <c r="AK164" i="16" s="1"/>
  <c r="AD164" i="16"/>
  <c r="E195" i="16"/>
  <c r="L195" i="16" s="1"/>
  <c r="P195" i="16"/>
  <c r="AJ242" i="15"/>
  <c r="AT163" i="16" l="1"/>
  <c r="AW163" i="16" s="1"/>
  <c r="AX163" i="16" s="1"/>
  <c r="AZ163" i="16" s="1"/>
  <c r="AU163" i="16"/>
  <c r="AV163" i="16" s="1"/>
  <c r="E151" i="14"/>
  <c r="F151" i="14" s="1"/>
  <c r="H151" i="14" s="1"/>
  <c r="BQ152" i="16"/>
  <c r="BD153" i="16"/>
  <c r="BE153" i="16" s="1"/>
  <c r="Y164" i="16"/>
  <c r="AB164" i="16" s="1"/>
  <c r="AP163" i="16"/>
  <c r="AR163" i="16" s="1"/>
  <c r="AE164" i="16"/>
  <c r="Q195" i="16"/>
  <c r="S195" i="16" s="1"/>
  <c r="N195" i="16"/>
  <c r="M196" i="16" s="1"/>
  <c r="AQ163" i="16" l="1"/>
  <c r="Z164" i="16"/>
  <c r="U165" i="16" s="1"/>
  <c r="AC165" i="16" s="1"/>
  <c r="BF153" i="16"/>
  <c r="BI153" i="16" s="1"/>
  <c r="BK153" i="16"/>
  <c r="BL153" i="16" s="1"/>
  <c r="BM153" i="16" s="1"/>
  <c r="BJ153" i="16"/>
  <c r="AF164" i="16"/>
  <c r="O195" i="16"/>
  <c r="AG164" i="16" l="1"/>
  <c r="AL164" i="16" s="1"/>
  <c r="AY164" i="16" s="1"/>
  <c r="BG153" i="16"/>
  <c r="BC154" i="16" s="1"/>
  <c r="W165" i="16"/>
  <c r="AA165" i="16" s="1"/>
  <c r="AK165" i="16" s="1"/>
  <c r="AD165" i="16"/>
  <c r="E196" i="16"/>
  <c r="L196" i="16" s="1"/>
  <c r="P196" i="16"/>
  <c r="BO153" i="16"/>
  <c r="BP153" i="16" s="1"/>
  <c r="AJ243" i="15" s="1"/>
  <c r="BN153" i="16"/>
  <c r="AM164" i="16" l="1"/>
  <c r="AN164" i="16" s="1"/>
  <c r="AH164" i="16"/>
  <c r="AS164" i="16" s="1"/>
  <c r="Y165" i="16"/>
  <c r="AB165" i="16" s="1"/>
  <c r="AE165" i="16"/>
  <c r="BD154" i="16"/>
  <c r="BH154" i="16"/>
  <c r="Q196" i="16"/>
  <c r="S196" i="16" s="1"/>
  <c r="N196" i="16"/>
  <c r="M197" i="16" s="1"/>
  <c r="E152" i="14"/>
  <c r="F152" i="14" s="1"/>
  <c r="H152" i="14" s="1"/>
  <c r="AD395" i="15"/>
  <c r="BQ153" i="16"/>
  <c r="AU164" i="16" l="1"/>
  <c r="AV164" i="16" s="1"/>
  <c r="AT164" i="16"/>
  <c r="AW164" i="16" s="1"/>
  <c r="AX164" i="16" s="1"/>
  <c r="AZ164" i="16" s="1"/>
  <c r="AF165" i="16"/>
  <c r="AG165" i="16" s="1"/>
  <c r="AH165" i="16" s="1"/>
  <c r="AS165" i="16" s="1"/>
  <c r="AT165" i="16" s="1"/>
  <c r="Z165" i="16"/>
  <c r="U166" i="16" s="1"/>
  <c r="AC166" i="16" s="1"/>
  <c r="BE154" i="16"/>
  <c r="BF154" i="16" s="1"/>
  <c r="BI154" i="16" s="1"/>
  <c r="AO164" i="16"/>
  <c r="O196" i="16"/>
  <c r="BJ154" i="16"/>
  <c r="BK154" i="16"/>
  <c r="BL154" i="16" s="1"/>
  <c r="BM154" i="16" s="1"/>
  <c r="AW165" i="16" l="1"/>
  <c r="AX165" i="16" s="1"/>
  <c r="AZ165" i="16" s="1"/>
  <c r="AU165" i="16"/>
  <c r="AV165" i="16" s="1"/>
  <c r="AL165" i="16"/>
  <c r="AY165" i="16" s="1"/>
  <c r="W166" i="16"/>
  <c r="AA166" i="16" s="1"/>
  <c r="AK166" i="16" s="1"/>
  <c r="AP164" i="16"/>
  <c r="AR164" i="16" s="1"/>
  <c r="AD166" i="16"/>
  <c r="E197" i="16"/>
  <c r="L197" i="16" s="1"/>
  <c r="P197" i="16"/>
  <c r="BG154" i="16"/>
  <c r="AM165" i="16" l="1"/>
  <c r="AN165" i="16" s="1"/>
  <c r="AO165" i="16" s="1"/>
  <c r="AP165" i="16" s="1"/>
  <c r="AQ165" i="16" s="1"/>
  <c r="AQ164" i="16"/>
  <c r="Y166" i="16"/>
  <c r="AB166" i="16" s="1"/>
  <c r="AE166" i="16"/>
  <c r="BC155" i="16"/>
  <c r="Q197" i="16"/>
  <c r="S197" i="16" s="1"/>
  <c r="N197" i="16"/>
  <c r="M198" i="16" s="1"/>
  <c r="BO154" i="16"/>
  <c r="BP154" i="16" s="1"/>
  <c r="AJ244" i="15" s="1"/>
  <c r="BN154" i="16"/>
  <c r="AF166" i="16" l="1"/>
  <c r="Z166" i="16"/>
  <c r="U167" i="16" s="1"/>
  <c r="AC167" i="16" s="1"/>
  <c r="AR165" i="16"/>
  <c r="BD155" i="16"/>
  <c r="BH155" i="16"/>
  <c r="O197" i="16"/>
  <c r="E153" i="14"/>
  <c r="F153" i="14" s="1"/>
  <c r="H153" i="14" s="1"/>
  <c r="AD400" i="15"/>
  <c r="BQ154" i="16"/>
  <c r="AG166" i="16" l="1"/>
  <c r="AL166" i="16" s="1"/>
  <c r="AD167" i="16"/>
  <c r="AE167" i="16" s="1"/>
  <c r="W167" i="16"/>
  <c r="AA167" i="16" s="1"/>
  <c r="AK167" i="16" s="1"/>
  <c r="BE155" i="16"/>
  <c r="BF155" i="16" s="1"/>
  <c r="BI155" i="16" s="1"/>
  <c r="E198" i="16"/>
  <c r="L198" i="16" s="1"/>
  <c r="P198" i="16"/>
  <c r="BJ155" i="16"/>
  <c r="BK155" i="16"/>
  <c r="BL155" i="16" s="1"/>
  <c r="BM155" i="16" s="1"/>
  <c r="AH166" i="16" l="1"/>
  <c r="AS166" i="16" s="1"/>
  <c r="AT166" i="16" s="1"/>
  <c r="AW166" i="16" s="1"/>
  <c r="AM166" i="16"/>
  <c r="AN166" i="16" s="1"/>
  <c r="AO166" i="16" s="1"/>
  <c r="AP166" i="16" s="1"/>
  <c r="AQ166" i="16" s="1"/>
  <c r="AY166" i="16"/>
  <c r="Y167" i="16"/>
  <c r="Z167" i="16" s="1"/>
  <c r="Q198" i="16"/>
  <c r="S198" i="16" s="1"/>
  <c r="N198" i="16"/>
  <c r="M199" i="16" s="1"/>
  <c r="BG155" i="16"/>
  <c r="AU166" i="16" l="1"/>
  <c r="AV166" i="16" s="1"/>
  <c r="AB167" i="16"/>
  <c r="AF167" i="16" s="1"/>
  <c r="AG167" i="16" s="1"/>
  <c r="AH167" i="16" s="1"/>
  <c r="AS167" i="16" s="1"/>
  <c r="AT167" i="16" s="1"/>
  <c r="AX166" i="16"/>
  <c r="AZ166" i="16" s="1"/>
  <c r="AR166" i="16"/>
  <c r="U168" i="16"/>
  <c r="AC168" i="16" s="1"/>
  <c r="BC156" i="16"/>
  <c r="O198" i="16"/>
  <c r="BO155" i="16"/>
  <c r="BP155" i="16" s="1"/>
  <c r="AJ245" i="15" s="1"/>
  <c r="BN155" i="16"/>
  <c r="AW167" i="16" l="1"/>
  <c r="AX167" i="16" s="1"/>
  <c r="AZ167" i="16" s="1"/>
  <c r="AU167" i="16"/>
  <c r="AV167" i="16" s="1"/>
  <c r="AL167" i="16"/>
  <c r="AY167" i="16" s="1"/>
  <c r="AD168" i="16"/>
  <c r="W168" i="16"/>
  <c r="AA168" i="16" s="1"/>
  <c r="AK168" i="16" s="1"/>
  <c r="BD156" i="16"/>
  <c r="BE156" i="16" s="1"/>
  <c r="BH156" i="16"/>
  <c r="E199" i="16"/>
  <c r="L199" i="16" s="1"/>
  <c r="P199" i="16"/>
  <c r="E154" i="14"/>
  <c r="F154" i="14" s="1"/>
  <c r="H154" i="14" s="1"/>
  <c r="AD403" i="15"/>
  <c r="BQ155" i="16"/>
  <c r="AM167" i="16" l="1"/>
  <c r="AN167" i="16" s="1"/>
  <c r="AO167" i="16" s="1"/>
  <c r="AE168" i="16"/>
  <c r="Y168" i="16"/>
  <c r="AB168" i="16" s="1"/>
  <c r="BF156" i="16"/>
  <c r="BI156" i="16" s="1"/>
  <c r="Q199" i="16"/>
  <c r="S199" i="16" s="1"/>
  <c r="N199" i="16"/>
  <c r="M200" i="16" s="1"/>
  <c r="BJ156" i="16"/>
  <c r="BK156" i="16"/>
  <c r="BL156" i="16" s="1"/>
  <c r="BM156" i="16" s="1"/>
  <c r="Z168" i="16" l="1"/>
  <c r="U169" i="16" s="1"/>
  <c r="AC169" i="16" s="1"/>
  <c r="AP167" i="16"/>
  <c r="AR167" i="16" s="1"/>
  <c r="AF168" i="16"/>
  <c r="AG168" i="16" s="1"/>
  <c r="AH168" i="16" s="1"/>
  <c r="AS168" i="16" s="1"/>
  <c r="O199" i="16"/>
  <c r="E200" i="16"/>
  <c r="BG156" i="16"/>
  <c r="AT168" i="16" l="1"/>
  <c r="AW168" i="16" s="1"/>
  <c r="AX168" i="16" s="1"/>
  <c r="AZ168" i="16" s="1"/>
  <c r="AU168" i="16"/>
  <c r="AV168" i="16" s="1"/>
  <c r="AL168" i="16"/>
  <c r="AY168" i="16" s="1"/>
  <c r="AQ167" i="16"/>
  <c r="AD169" i="16"/>
  <c r="W169" i="16"/>
  <c r="BC157" i="16"/>
  <c r="BD157" i="16" s="1"/>
  <c r="L200" i="16"/>
  <c r="P200" i="16"/>
  <c r="BO156" i="16"/>
  <c r="BP156" i="16" s="1"/>
  <c r="AJ246" i="15" s="1"/>
  <c r="BN156" i="16"/>
  <c r="AM168" i="16" l="1"/>
  <c r="BH157" i="16"/>
  <c r="AE169" i="16"/>
  <c r="AN168" i="16"/>
  <c r="AO168" i="16" s="1"/>
  <c r="AA169" i="16"/>
  <c r="AK169" i="16" s="1"/>
  <c r="Y169" i="16"/>
  <c r="AB169" i="16" s="1"/>
  <c r="BE157" i="16"/>
  <c r="BF157" i="16" s="1"/>
  <c r="BI157" i="16" s="1"/>
  <c r="N200" i="16"/>
  <c r="M201" i="16" s="1"/>
  <c r="Q200" i="16"/>
  <c r="S200" i="16" s="1"/>
  <c r="E155" i="14"/>
  <c r="F155" i="14" s="1"/>
  <c r="H155" i="14" s="1"/>
  <c r="AD406" i="15"/>
  <c r="BQ156" i="16"/>
  <c r="AP168" i="16" l="1"/>
  <c r="AR168" i="16" s="1"/>
  <c r="Z169" i="16"/>
  <c r="AF169" i="16"/>
  <c r="AG169" i="16" s="1"/>
  <c r="AH169" i="16" s="1"/>
  <c r="AS169" i="16" s="1"/>
  <c r="O200" i="16"/>
  <c r="E201" i="16"/>
  <c r="L201" i="16" s="1"/>
  <c r="P201" i="16"/>
  <c r="BJ157" i="16"/>
  <c r="BK157" i="16"/>
  <c r="BL157" i="16" s="1"/>
  <c r="BM157" i="16" s="1"/>
  <c r="AL169" i="16" l="1"/>
  <c r="AM169" i="16" s="1"/>
  <c r="AT169" i="16"/>
  <c r="AW169" i="16" s="1"/>
  <c r="AX169" i="16" s="1"/>
  <c r="AZ169" i="16" s="1"/>
  <c r="AU169" i="16"/>
  <c r="AV169" i="16" s="1"/>
  <c r="U170" i="16"/>
  <c r="AC170" i="16" s="1"/>
  <c r="AQ168" i="16"/>
  <c r="Q201" i="16"/>
  <c r="S201" i="16" s="1"/>
  <c r="N201" i="16"/>
  <c r="M202" i="16" s="1"/>
  <c r="BG157" i="16"/>
  <c r="AY169" i="16" l="1"/>
  <c r="W170" i="16"/>
  <c r="AA170" i="16" s="1"/>
  <c r="AK170" i="16" s="1"/>
  <c r="AD170" i="16"/>
  <c r="AN169" i="16"/>
  <c r="AO169" i="16" s="1"/>
  <c r="BC158" i="16"/>
  <c r="BH158" i="16" s="1"/>
  <c r="O201" i="16"/>
  <c r="BO157" i="16"/>
  <c r="BP157" i="16" s="1"/>
  <c r="AJ247" i="15" s="1"/>
  <c r="BN157" i="16"/>
  <c r="Y170" i="16" l="1"/>
  <c r="BD158" i="16"/>
  <c r="BE158" i="16" s="1"/>
  <c r="BF158" i="16" s="1"/>
  <c r="AE170" i="16"/>
  <c r="AP169" i="16"/>
  <c r="AR169" i="16" s="1"/>
  <c r="E202" i="16"/>
  <c r="L202" i="16" s="1"/>
  <c r="P202" i="16"/>
  <c r="E156" i="14"/>
  <c r="F156" i="14" s="1"/>
  <c r="H156" i="14" s="1"/>
  <c r="AD409" i="15"/>
  <c r="BQ157" i="16"/>
  <c r="BK158" i="16" l="1"/>
  <c r="BL158" i="16" s="1"/>
  <c r="BM158" i="16" s="1"/>
  <c r="BJ158" i="16"/>
  <c r="AB170" i="16"/>
  <c r="Z170" i="16"/>
  <c r="U171" i="16" s="1"/>
  <c r="AC171" i="16" s="1"/>
  <c r="AQ169" i="16"/>
  <c r="BI158" i="16"/>
  <c r="BG158" i="16"/>
  <c r="Q202" i="16"/>
  <c r="S202" i="16" s="1"/>
  <c r="N202" i="16"/>
  <c r="M203" i="16" s="1"/>
  <c r="BN158" i="16" l="1"/>
  <c r="E157" i="14" s="1"/>
  <c r="F157" i="14" s="1"/>
  <c r="H157" i="14" s="1"/>
  <c r="BO158" i="16"/>
  <c r="BP158" i="16" s="1"/>
  <c r="AJ248" i="15" s="1"/>
  <c r="W171" i="16"/>
  <c r="AA171" i="16" s="1"/>
  <c r="AK171" i="16" s="1"/>
  <c r="AD171" i="16"/>
  <c r="AE171" i="16" s="1"/>
  <c r="AF170" i="16"/>
  <c r="AG170" i="16" s="1"/>
  <c r="AH170" i="16" s="1"/>
  <c r="AS170" i="16" s="1"/>
  <c r="BC159" i="16"/>
  <c r="BH159" i="16" s="1"/>
  <c r="O202" i="16"/>
  <c r="AD412" i="15" l="1"/>
  <c r="BQ158" i="16"/>
  <c r="AU170" i="16"/>
  <c r="AV170" i="16" s="1"/>
  <c r="AT170" i="16"/>
  <c r="AW170" i="16" s="1"/>
  <c r="AX170" i="16" s="1"/>
  <c r="AZ170" i="16" s="1"/>
  <c r="AL170" i="16"/>
  <c r="AM170" i="16" s="1"/>
  <c r="AN170" i="16" s="1"/>
  <c r="Y171" i="16"/>
  <c r="AB171" i="16" s="1"/>
  <c r="AF171" i="16" s="1"/>
  <c r="AG171" i="16" s="1"/>
  <c r="AH171" i="16" s="1"/>
  <c r="AS171" i="16" s="1"/>
  <c r="AT171" i="16" s="1"/>
  <c r="BD159" i="16"/>
  <c r="BE159" i="16" s="1"/>
  <c r="BF159" i="16" s="1"/>
  <c r="BI159" i="16" s="1"/>
  <c r="E203" i="16"/>
  <c r="L203" i="16" s="1"/>
  <c r="P203" i="16"/>
  <c r="AW171" i="16" l="1"/>
  <c r="AX171" i="16" s="1"/>
  <c r="AZ171" i="16" s="1"/>
  <c r="Z171" i="16"/>
  <c r="U172" i="16" s="1"/>
  <c r="AC172" i="16" s="1"/>
  <c r="AD172" i="16" s="1"/>
  <c r="AE172" i="16" s="1"/>
  <c r="AO170" i="16"/>
  <c r="AP170" i="16" s="1"/>
  <c r="AQ170" i="16" s="1"/>
  <c r="AL171" i="16"/>
  <c r="AY171" i="16" s="1"/>
  <c r="AY170" i="16"/>
  <c r="AU171" i="16"/>
  <c r="AV171" i="16" s="1"/>
  <c r="BK159" i="16"/>
  <c r="BL159" i="16" s="1"/>
  <c r="BM159" i="16" s="1"/>
  <c r="BJ159" i="16"/>
  <c r="Q203" i="16"/>
  <c r="S203" i="16" s="1"/>
  <c r="N203" i="16"/>
  <c r="M204" i="16" s="1"/>
  <c r="BO159" i="16"/>
  <c r="BP159" i="16" s="1"/>
  <c r="AJ72" i="15" s="1"/>
  <c r="BG159" i="16"/>
  <c r="W172" i="16" l="1"/>
  <c r="Y172" i="16" s="1"/>
  <c r="AB172" i="16" s="1"/>
  <c r="BN159" i="16"/>
  <c r="E158" i="14" s="1"/>
  <c r="F158" i="14" s="1"/>
  <c r="H158" i="14" s="1"/>
  <c r="AM171" i="16"/>
  <c r="AN171" i="16" s="1"/>
  <c r="AO171" i="16" s="1"/>
  <c r="AP171" i="16" s="1"/>
  <c r="AR171" i="16" s="1"/>
  <c r="AR170" i="16"/>
  <c r="BC160" i="16"/>
  <c r="BH160" i="16" s="1"/>
  <c r="O203" i="16"/>
  <c r="AA172" i="16" l="1"/>
  <c r="AK172" i="16" s="1"/>
  <c r="BQ159" i="16"/>
  <c r="AD288" i="15"/>
  <c r="AF172" i="16"/>
  <c r="BD160" i="16"/>
  <c r="BE160" i="16" s="1"/>
  <c r="BF160" i="16" s="1"/>
  <c r="BI160" i="16" s="1"/>
  <c r="Z172" i="16"/>
  <c r="AQ171" i="16"/>
  <c r="E204" i="16"/>
  <c r="L204" i="16" s="1"/>
  <c r="P204" i="16"/>
  <c r="AG172" i="16" l="1"/>
  <c r="AL172" i="16" s="1"/>
  <c r="AY172" i="16" s="1"/>
  <c r="BJ160" i="16"/>
  <c r="BK160" i="16"/>
  <c r="BL160" i="16" s="1"/>
  <c r="BM160" i="16" s="1"/>
  <c r="U173" i="16"/>
  <c r="AC173" i="16" s="1"/>
  <c r="Q204" i="16"/>
  <c r="S204" i="16" s="1"/>
  <c r="N204" i="16"/>
  <c r="M205" i="16" s="1"/>
  <c r="BG160" i="16"/>
  <c r="AM172" i="16" l="1"/>
  <c r="AN172" i="16" s="1"/>
  <c r="AO172" i="16" s="1"/>
  <c r="AP172" i="16" s="1"/>
  <c r="AH172" i="16"/>
  <c r="AS172" i="16" s="1"/>
  <c r="AD173" i="16"/>
  <c r="W173" i="16"/>
  <c r="BC161" i="16"/>
  <c r="O204" i="16"/>
  <c r="E205" i="16"/>
  <c r="L205" i="16" s="1"/>
  <c r="BO160" i="16"/>
  <c r="BP160" i="16" s="1"/>
  <c r="AJ249" i="15" s="1"/>
  <c r="BN160" i="16"/>
  <c r="AR172" i="16" l="1"/>
  <c r="AU172" i="16"/>
  <c r="AV172" i="16" s="1"/>
  <c r="AT172" i="16"/>
  <c r="AW172" i="16" s="1"/>
  <c r="AX172" i="16" s="1"/>
  <c r="AZ172" i="16" s="1"/>
  <c r="AQ172" i="16"/>
  <c r="AE173" i="16"/>
  <c r="AA173" i="16"/>
  <c r="AK173" i="16" s="1"/>
  <c r="Y173" i="16"/>
  <c r="BH161" i="16"/>
  <c r="BD161" i="16"/>
  <c r="N205" i="16"/>
  <c r="M206" i="16" s="1"/>
  <c r="P205" i="16"/>
  <c r="E159" i="14"/>
  <c r="F159" i="14" s="1"/>
  <c r="H159" i="14" s="1"/>
  <c r="AD293" i="15"/>
  <c r="BQ160" i="16"/>
  <c r="AB173" i="16" l="1"/>
  <c r="Z173" i="16"/>
  <c r="BE161" i="16"/>
  <c r="BF161" i="16" s="1"/>
  <c r="BI161" i="16" s="1"/>
  <c r="Q205" i="16"/>
  <c r="S205" i="16" s="1"/>
  <c r="O205" i="16"/>
  <c r="BJ161" i="16"/>
  <c r="BK161" i="16"/>
  <c r="BL161" i="16" s="1"/>
  <c r="BM161" i="16" s="1"/>
  <c r="U174" i="16" l="1"/>
  <c r="AC174" i="16" s="1"/>
  <c r="AF173" i="16"/>
  <c r="AG173" i="16" s="1"/>
  <c r="AH173" i="16" s="1"/>
  <c r="AS173" i="16" s="1"/>
  <c r="E206" i="16"/>
  <c r="L206" i="16" s="1"/>
  <c r="P206" i="16"/>
  <c r="BG161" i="16"/>
  <c r="AT173" i="16" l="1"/>
  <c r="AW173" i="16" s="1"/>
  <c r="AX173" i="16" s="1"/>
  <c r="AZ173" i="16" s="1"/>
  <c r="AU173" i="16"/>
  <c r="AV173" i="16" s="1"/>
  <c r="AL173" i="16"/>
  <c r="AM173" i="16" s="1"/>
  <c r="AN173" i="16" s="1"/>
  <c r="AO173" i="16" s="1"/>
  <c r="AD174" i="16"/>
  <c r="W174" i="16"/>
  <c r="BC162" i="16"/>
  <c r="BH162" i="16" s="1"/>
  <c r="Q206" i="16"/>
  <c r="S206" i="16" s="1"/>
  <c r="N206" i="16"/>
  <c r="M207" i="16" s="1"/>
  <c r="BO161" i="16"/>
  <c r="BP161" i="16" s="1"/>
  <c r="AJ250" i="15" s="1"/>
  <c r="BN161" i="16"/>
  <c r="AY173" i="16" l="1"/>
  <c r="AA174" i="16"/>
  <c r="AK174" i="16" s="1"/>
  <c r="Y174" i="16"/>
  <c r="AB174" i="16" s="1"/>
  <c r="AP173" i="16"/>
  <c r="AR173" i="16" s="1"/>
  <c r="AE174" i="16"/>
  <c r="BD162" i="16"/>
  <c r="BE162" i="16" s="1"/>
  <c r="BF162" i="16" s="1"/>
  <c r="BI162" i="16" s="1"/>
  <c r="E207" i="16"/>
  <c r="L207" i="16" s="1"/>
  <c r="O206" i="16"/>
  <c r="E160" i="14"/>
  <c r="F160" i="14" s="1"/>
  <c r="H160" i="14" s="1"/>
  <c r="AD309" i="15"/>
  <c r="BQ161" i="16"/>
  <c r="BJ162" i="16" l="1"/>
  <c r="BK162" i="16"/>
  <c r="BL162" i="16" s="1"/>
  <c r="BM162" i="16" s="1"/>
  <c r="AQ173" i="16"/>
  <c r="AF174" i="16"/>
  <c r="AG174" i="16" s="1"/>
  <c r="AH174" i="16" s="1"/>
  <c r="AS174" i="16" s="1"/>
  <c r="Z174" i="16"/>
  <c r="N207" i="16"/>
  <c r="M208" i="16" s="1"/>
  <c r="P207" i="16"/>
  <c r="BG162" i="16"/>
  <c r="AT174" i="16" l="1"/>
  <c r="AW174" i="16" s="1"/>
  <c r="AX174" i="16" s="1"/>
  <c r="AZ174" i="16" s="1"/>
  <c r="AU174" i="16"/>
  <c r="AV174" i="16" s="1"/>
  <c r="AL174" i="16"/>
  <c r="AY174" i="16" s="1"/>
  <c r="U175" i="16"/>
  <c r="AC175" i="16" s="1"/>
  <c r="BC163" i="16"/>
  <c r="BH163" i="16" s="1"/>
  <c r="Q207" i="16"/>
  <c r="S207" i="16" s="1"/>
  <c r="O207" i="16"/>
  <c r="BO162" i="16"/>
  <c r="BP162" i="16" s="1"/>
  <c r="AJ251" i="15" s="1"/>
  <c r="BN162" i="16"/>
  <c r="AM174" i="16" l="1"/>
  <c r="AN174" i="16" s="1"/>
  <c r="AO174" i="16" s="1"/>
  <c r="AP174" i="16" s="1"/>
  <c r="AQ174" i="16" s="1"/>
  <c r="AD175" i="16"/>
  <c r="W175" i="16"/>
  <c r="AA175" i="16" s="1"/>
  <c r="AK175" i="16" s="1"/>
  <c r="BD163" i="16"/>
  <c r="BE163" i="16" s="1"/>
  <c r="E208" i="16"/>
  <c r="L208" i="16" s="1"/>
  <c r="P208" i="16"/>
  <c r="E161" i="14"/>
  <c r="F161" i="14" s="1"/>
  <c r="H161" i="14" s="1"/>
  <c r="AD333" i="15"/>
  <c r="BQ162" i="16"/>
  <c r="AR174" i="16" l="1"/>
  <c r="BJ163" i="16"/>
  <c r="BF163" i="16"/>
  <c r="AE175" i="16"/>
  <c r="BK163" i="16"/>
  <c r="BL163" i="16" s="1"/>
  <c r="BM163" i="16" s="1"/>
  <c r="Y175" i="16"/>
  <c r="Q208" i="16"/>
  <c r="S208" i="16" s="1"/>
  <c r="N208" i="16"/>
  <c r="M209" i="16" s="1"/>
  <c r="BI163" i="16" l="1"/>
  <c r="BO163" i="16" s="1"/>
  <c r="BP163" i="16" s="1"/>
  <c r="AJ252" i="15" s="1"/>
  <c r="BG163" i="16"/>
  <c r="BC164" i="16" s="1"/>
  <c r="BH164" i="16" s="1"/>
  <c r="AB175" i="16"/>
  <c r="Z175" i="16"/>
  <c r="O208" i="16"/>
  <c r="BN163" i="16" l="1"/>
  <c r="E162" i="14" s="1"/>
  <c r="F162" i="14" s="1"/>
  <c r="H162" i="14" s="1"/>
  <c r="AF175" i="16"/>
  <c r="AG175" i="16" s="1"/>
  <c r="AH175" i="16" s="1"/>
  <c r="AS175" i="16" s="1"/>
  <c r="BD164" i="16"/>
  <c r="BJ164" i="16" s="1"/>
  <c r="U176" i="16"/>
  <c r="AC176" i="16" s="1"/>
  <c r="E209" i="16"/>
  <c r="P209" i="16"/>
  <c r="AD354" i="15" l="1"/>
  <c r="BQ163" i="16"/>
  <c r="W176" i="16"/>
  <c r="AA176" i="16" s="1"/>
  <c r="AK176" i="16" s="1"/>
  <c r="AU175" i="16"/>
  <c r="AV175" i="16" s="1"/>
  <c r="AT175" i="16"/>
  <c r="AW175" i="16" s="1"/>
  <c r="AX175" i="16" s="1"/>
  <c r="AZ175" i="16" s="1"/>
  <c r="AL175" i="16"/>
  <c r="AY175" i="16" s="1"/>
  <c r="BK164" i="16"/>
  <c r="BL164" i="16" s="1"/>
  <c r="BM164" i="16" s="1"/>
  <c r="AD176" i="16"/>
  <c r="BE164" i="16"/>
  <c r="BF164" i="16" s="1"/>
  <c r="L209" i="16"/>
  <c r="Q209" i="16"/>
  <c r="S209" i="16" s="1"/>
  <c r="Y176" i="16" l="1"/>
  <c r="AB176" i="16" s="1"/>
  <c r="AM175" i="16"/>
  <c r="AN175" i="16" s="1"/>
  <c r="AO175" i="16" s="1"/>
  <c r="BI164" i="16"/>
  <c r="BO164" i="16" s="1"/>
  <c r="BP164" i="16" s="1"/>
  <c r="AJ253" i="15" s="1"/>
  <c r="BG164" i="16"/>
  <c r="BC165" i="16" s="1"/>
  <c r="BH165" i="16" s="1"/>
  <c r="AE176" i="16"/>
  <c r="N209" i="16"/>
  <c r="M210" i="16" s="1"/>
  <c r="AF176" i="16" l="1"/>
  <c r="AG176" i="16" s="1"/>
  <c r="AH176" i="16" s="1"/>
  <c r="AS176" i="16" s="1"/>
  <c r="AT176" i="16" s="1"/>
  <c r="AW176" i="16" s="1"/>
  <c r="AX176" i="16" s="1"/>
  <c r="AZ176" i="16" s="1"/>
  <c r="Z176" i="16"/>
  <c r="U177" i="16" s="1"/>
  <c r="AC177" i="16" s="1"/>
  <c r="AD177" i="16" s="1"/>
  <c r="BN164" i="16"/>
  <c r="AD376" i="15" s="1"/>
  <c r="AP175" i="16"/>
  <c r="AR175" i="16" s="1"/>
  <c r="BD165" i="16"/>
  <c r="BJ165" i="16" s="1"/>
  <c r="O209" i="16"/>
  <c r="E210" i="16"/>
  <c r="L210" i="16" s="1"/>
  <c r="P210" i="16"/>
  <c r="AU176" i="16" l="1"/>
  <c r="AV176" i="16" s="1"/>
  <c r="W177" i="16"/>
  <c r="AA177" i="16" s="1"/>
  <c r="AK177" i="16" s="1"/>
  <c r="AL176" i="16"/>
  <c r="E163" i="14"/>
  <c r="F163" i="14" s="1"/>
  <c r="H163" i="14" s="1"/>
  <c r="BQ164" i="16"/>
  <c r="BE165" i="16"/>
  <c r="BF165" i="16" s="1"/>
  <c r="BI165" i="16" s="1"/>
  <c r="BK165" i="16"/>
  <c r="BL165" i="16" s="1"/>
  <c r="BM165" i="16" s="1"/>
  <c r="AE177" i="16"/>
  <c r="AQ175" i="16"/>
  <c r="Q210" i="16"/>
  <c r="S210" i="16" s="1"/>
  <c r="N210" i="16"/>
  <c r="M211" i="16" s="1"/>
  <c r="Y177" i="16" l="1"/>
  <c r="AB177" i="16" s="1"/>
  <c r="AF177" i="16" s="1"/>
  <c r="AG177" i="16" s="1"/>
  <c r="AH177" i="16" s="1"/>
  <c r="AS177" i="16" s="1"/>
  <c r="AM176" i="16"/>
  <c r="AN176" i="16" s="1"/>
  <c r="AO176" i="16" s="1"/>
  <c r="AP176" i="16" s="1"/>
  <c r="AQ176" i="16" s="1"/>
  <c r="AY176" i="16"/>
  <c r="BG165" i="16"/>
  <c r="BC166" i="16" s="1"/>
  <c r="BH166" i="16" s="1"/>
  <c r="Z177" i="16"/>
  <c r="U178" i="16" s="1"/>
  <c r="AC178" i="16" s="1"/>
  <c r="O210" i="16"/>
  <c r="BO165" i="16"/>
  <c r="BP165" i="16" s="1"/>
  <c r="AJ254" i="15" s="1"/>
  <c r="BN165" i="16"/>
  <c r="AR176" i="16" l="1"/>
  <c r="AT177" i="16"/>
  <c r="AW177" i="16" s="1"/>
  <c r="AX177" i="16" s="1"/>
  <c r="AZ177" i="16" s="1"/>
  <c r="AU177" i="16"/>
  <c r="AV177" i="16" s="1"/>
  <c r="AL177" i="16"/>
  <c r="AY177" i="16" s="1"/>
  <c r="AD178" i="16"/>
  <c r="W178" i="16"/>
  <c r="AA178" i="16" s="1"/>
  <c r="AK178" i="16" s="1"/>
  <c r="BD166" i="16"/>
  <c r="E211" i="16"/>
  <c r="L211" i="16" s="1"/>
  <c r="P211" i="16"/>
  <c r="E164" i="14"/>
  <c r="F164" i="14" s="1"/>
  <c r="H164" i="14" s="1"/>
  <c r="AD399" i="15"/>
  <c r="BQ165" i="16"/>
  <c r="AM177" i="16" l="1"/>
  <c r="AN177" i="16" s="1"/>
  <c r="AO177" i="16" s="1"/>
  <c r="AP177" i="16" s="1"/>
  <c r="AR177" i="16" s="1"/>
  <c r="Y178" i="16"/>
  <c r="AB178" i="16" s="1"/>
  <c r="AE178" i="16"/>
  <c r="BE166" i="16"/>
  <c r="BF166" i="16" s="1"/>
  <c r="Q211" i="16"/>
  <c r="S211" i="16" s="1"/>
  <c r="N211" i="16"/>
  <c r="M212" i="16" s="1"/>
  <c r="BJ166" i="16"/>
  <c r="BK166" i="16"/>
  <c r="BL166" i="16" s="1"/>
  <c r="BM166" i="16" s="1"/>
  <c r="AF178" i="16" l="1"/>
  <c r="AG178" i="16" s="1"/>
  <c r="AH178" i="16" s="1"/>
  <c r="AS178" i="16" s="1"/>
  <c r="Z178" i="16"/>
  <c r="U179" i="16" s="1"/>
  <c r="AC179" i="16" s="1"/>
  <c r="AQ177" i="16"/>
  <c r="BI166" i="16"/>
  <c r="BG166" i="16"/>
  <c r="O211" i="16"/>
  <c r="AT178" i="16" l="1"/>
  <c r="AW178" i="16" s="1"/>
  <c r="AX178" i="16" s="1"/>
  <c r="AZ178" i="16" s="1"/>
  <c r="AU178" i="16"/>
  <c r="AV178" i="16" s="1"/>
  <c r="AL178" i="16"/>
  <c r="W179" i="16"/>
  <c r="AA179" i="16" s="1"/>
  <c r="AK179" i="16" s="1"/>
  <c r="AD179" i="16"/>
  <c r="AE179" i="16" s="1"/>
  <c r="BC167" i="16"/>
  <c r="BH167" i="16" s="1"/>
  <c r="E212" i="16"/>
  <c r="P212" i="16"/>
  <c r="BO166" i="16"/>
  <c r="BP166" i="16" s="1"/>
  <c r="AJ255" i="15" s="1"/>
  <c r="BN166" i="16"/>
  <c r="AY178" i="16" l="1"/>
  <c r="AM178" i="16"/>
  <c r="AN178" i="16" s="1"/>
  <c r="AO178" i="16" s="1"/>
  <c r="AP178" i="16" s="1"/>
  <c r="AR178" i="16" s="1"/>
  <c r="Y179" i="16"/>
  <c r="AB179" i="16" s="1"/>
  <c r="BD167" i="16"/>
  <c r="BE167" i="16" s="1"/>
  <c r="BF167" i="16" s="1"/>
  <c r="BI167" i="16" s="1"/>
  <c r="L212" i="16"/>
  <c r="N212" i="16" s="1"/>
  <c r="M213" i="16" s="1"/>
  <c r="Q212" i="16"/>
  <c r="S212" i="16" s="1"/>
  <c r="E165" i="14"/>
  <c r="F165" i="14" s="1"/>
  <c r="H165" i="14" s="1"/>
  <c r="AD394" i="15"/>
  <c r="BQ166" i="16"/>
  <c r="Z179" i="16" l="1"/>
  <c r="U180" i="16" s="1"/>
  <c r="AC180" i="16" s="1"/>
  <c r="BK167" i="16"/>
  <c r="BL167" i="16" s="1"/>
  <c r="BM167" i="16" s="1"/>
  <c r="BJ167" i="16"/>
  <c r="AQ178" i="16"/>
  <c r="AF179" i="16"/>
  <c r="AG179" i="16" s="1"/>
  <c r="AH179" i="16" s="1"/>
  <c r="AS179" i="16" s="1"/>
  <c r="E213" i="16"/>
  <c r="O212" i="16"/>
  <c r="BG167" i="16"/>
  <c r="AT179" i="16" l="1"/>
  <c r="AW179" i="16" s="1"/>
  <c r="AX179" i="16" s="1"/>
  <c r="AZ179" i="16" s="1"/>
  <c r="AU179" i="16"/>
  <c r="AL179" i="16"/>
  <c r="AY179" i="16" s="1"/>
  <c r="AD180" i="16"/>
  <c r="W180" i="16"/>
  <c r="AA180" i="16" s="1"/>
  <c r="AK180" i="16" s="1"/>
  <c r="BC168" i="16"/>
  <c r="L213" i="16"/>
  <c r="P213" i="16"/>
  <c r="BO167" i="16"/>
  <c r="BP167" i="16" s="1"/>
  <c r="AJ256" i="15" s="1"/>
  <c r="BN167" i="16"/>
  <c r="AM179" i="16" l="1"/>
  <c r="AV179" i="16"/>
  <c r="Y180" i="16"/>
  <c r="AB180" i="16" s="1"/>
  <c r="AE180" i="16"/>
  <c r="AN179" i="16"/>
  <c r="AO179" i="16" s="1"/>
  <c r="BH168" i="16"/>
  <c r="BD168" i="16"/>
  <c r="N213" i="16"/>
  <c r="M214" i="16" s="1"/>
  <c r="Q213" i="16"/>
  <c r="S213" i="16" s="1"/>
  <c r="E166" i="14"/>
  <c r="F166" i="14" s="1"/>
  <c r="H166" i="14" s="1"/>
  <c r="AD398" i="15"/>
  <c r="BQ167" i="16"/>
  <c r="AF180" i="16" l="1"/>
  <c r="AG180" i="16" s="1"/>
  <c r="AH180" i="16" s="1"/>
  <c r="AS180" i="16" s="1"/>
  <c r="O213" i="16"/>
  <c r="Z180" i="16"/>
  <c r="U181" i="16" s="1"/>
  <c r="AC181" i="16" s="1"/>
  <c r="AP179" i="16"/>
  <c r="AR179" i="16" s="1"/>
  <c r="BE168" i="16"/>
  <c r="BF168" i="16" s="1"/>
  <c r="BI168" i="16" s="1"/>
  <c r="P214" i="16"/>
  <c r="Q214" i="16" s="1"/>
  <c r="S214" i="16" s="1"/>
  <c r="E214" i="16"/>
  <c r="L214" i="16" s="1"/>
  <c r="BJ168" i="16"/>
  <c r="BK168" i="16"/>
  <c r="BL168" i="16" s="1"/>
  <c r="BM168" i="16" s="1"/>
  <c r="AT180" i="16" l="1"/>
  <c r="AW180" i="16" s="1"/>
  <c r="AX180" i="16" s="1"/>
  <c r="AZ180" i="16" s="1"/>
  <c r="AU180" i="16"/>
  <c r="AV180" i="16" s="1"/>
  <c r="AL180" i="16"/>
  <c r="AY180" i="16" s="1"/>
  <c r="AD181" i="16"/>
  <c r="W181" i="16"/>
  <c r="AA181" i="16" s="1"/>
  <c r="AK181" i="16" s="1"/>
  <c r="AQ179" i="16"/>
  <c r="N214" i="16"/>
  <c r="M215" i="16" s="1"/>
  <c r="BG168" i="16"/>
  <c r="AM180" i="16" l="1"/>
  <c r="AN180" i="16" s="1"/>
  <c r="AO180" i="16" s="1"/>
  <c r="AP180" i="16" s="1"/>
  <c r="AR180" i="16" s="1"/>
  <c r="Y181" i="16"/>
  <c r="AE181" i="16"/>
  <c r="BC169" i="16"/>
  <c r="BH169" i="16" s="1"/>
  <c r="O214" i="16"/>
  <c r="E215" i="16"/>
  <c r="BO168" i="16"/>
  <c r="BP168" i="16" s="1"/>
  <c r="AJ257" i="15" s="1"/>
  <c r="BN168" i="16"/>
  <c r="BD169" i="16" l="1"/>
  <c r="BJ169" i="16" s="1"/>
  <c r="AB181" i="16"/>
  <c r="Z181" i="16"/>
  <c r="AQ180" i="16"/>
  <c r="L215" i="16"/>
  <c r="P215" i="16"/>
  <c r="E167" i="14"/>
  <c r="F167" i="14" s="1"/>
  <c r="H167" i="14" s="1"/>
  <c r="AD413" i="15"/>
  <c r="BQ168" i="16"/>
  <c r="BE169" i="16" l="1"/>
  <c r="BF169" i="16" s="1"/>
  <c r="BI169" i="16" s="1"/>
  <c r="BK169" i="16"/>
  <c r="BL169" i="16" s="1"/>
  <c r="BM169" i="16" s="1"/>
  <c r="U182" i="16"/>
  <c r="AC182" i="16" s="1"/>
  <c r="AF181" i="16"/>
  <c r="N215" i="16"/>
  <c r="M216" i="16" s="1"/>
  <c r="Q215" i="16"/>
  <c r="S215" i="16" s="1"/>
  <c r="BG169" i="16" l="1"/>
  <c r="BC170" i="16" s="1"/>
  <c r="BH170" i="16" s="1"/>
  <c r="AG181" i="16"/>
  <c r="AL181" i="16" s="1"/>
  <c r="AY181" i="16" s="1"/>
  <c r="AD182" i="16"/>
  <c r="W182" i="16"/>
  <c r="AA182" i="16" s="1"/>
  <c r="AK182" i="16" s="1"/>
  <c r="O215" i="16"/>
  <c r="P216" i="16"/>
  <c r="Q216" i="16" s="1"/>
  <c r="S216" i="16" s="1"/>
  <c r="E216" i="16"/>
  <c r="L216" i="16" s="1"/>
  <c r="BO169" i="16"/>
  <c r="BP169" i="16" s="1"/>
  <c r="AJ258" i="15" s="1"/>
  <c r="BN169" i="16"/>
  <c r="AM181" i="16" l="1"/>
  <c r="AN181" i="16" s="1"/>
  <c r="AO181" i="16" s="1"/>
  <c r="AP181" i="16" s="1"/>
  <c r="AH181" i="16"/>
  <c r="AS181" i="16" s="1"/>
  <c r="BD170" i="16"/>
  <c r="BE170" i="16" s="1"/>
  <c r="BF170" i="16" s="1"/>
  <c r="AE182" i="16"/>
  <c r="Y182" i="16"/>
  <c r="N216" i="16"/>
  <c r="M217" i="16" s="1"/>
  <c r="E168" i="14"/>
  <c r="F168" i="14" s="1"/>
  <c r="H168" i="14" s="1"/>
  <c r="AD422" i="15"/>
  <c r="BQ169" i="16"/>
  <c r="AR181" i="16" l="1"/>
  <c r="AU181" i="16"/>
  <c r="AV181" i="16" s="1"/>
  <c r="AT181" i="16"/>
  <c r="AW181" i="16" s="1"/>
  <c r="AQ181" i="16"/>
  <c r="BI170" i="16"/>
  <c r="BG170" i="16"/>
  <c r="BC171" i="16" s="1"/>
  <c r="BK170" i="16"/>
  <c r="BL170" i="16" s="1"/>
  <c r="BM170" i="16" s="1"/>
  <c r="BJ170" i="16"/>
  <c r="AB182" i="16"/>
  <c r="Z182" i="16"/>
  <c r="O216" i="16"/>
  <c r="AX181" i="16" l="1"/>
  <c r="AZ181" i="16" s="1"/>
  <c r="BN170" i="16"/>
  <c r="E169" i="14" s="1"/>
  <c r="F169" i="14" s="1"/>
  <c r="H169" i="14" s="1"/>
  <c r="BO170" i="16"/>
  <c r="BP170" i="16" s="1"/>
  <c r="AJ259" i="15" s="1"/>
  <c r="U183" i="16"/>
  <c r="AC183" i="16" s="1"/>
  <c r="AF182" i="16"/>
  <c r="AG182" i="16" s="1"/>
  <c r="AH182" i="16" s="1"/>
  <c r="AS182" i="16" s="1"/>
  <c r="AT182" i="16" s="1"/>
  <c r="AW182" i="16" s="1"/>
  <c r="AX182" i="16" s="1"/>
  <c r="AZ182" i="16" s="1"/>
  <c r="BD171" i="16"/>
  <c r="BE171" i="16" s="1"/>
  <c r="BF171" i="16" s="1"/>
  <c r="BI171" i="16" s="1"/>
  <c r="BH171" i="16"/>
  <c r="E217" i="16"/>
  <c r="L217" i="16" s="1"/>
  <c r="P217" i="16"/>
  <c r="AD434" i="15"/>
  <c r="AL182" i="16" l="1"/>
  <c r="AM182" i="16" s="1"/>
  <c r="AU182" i="16"/>
  <c r="AV182" i="16" s="1"/>
  <c r="BQ170" i="16"/>
  <c r="W183" i="16"/>
  <c r="AA183" i="16" s="1"/>
  <c r="AK183" i="16" s="1"/>
  <c r="AD183" i="16"/>
  <c r="Q217" i="16"/>
  <c r="S217" i="16" s="1"/>
  <c r="N217" i="16"/>
  <c r="M218" i="16" s="1"/>
  <c r="BJ171" i="16"/>
  <c r="BK171" i="16"/>
  <c r="BL171" i="16" s="1"/>
  <c r="BM171" i="16" s="1"/>
  <c r="AY182" i="16" l="1"/>
  <c r="Y183" i="16"/>
  <c r="AB183" i="16" s="1"/>
  <c r="AE183" i="16"/>
  <c r="AN182" i="16"/>
  <c r="O217" i="16"/>
  <c r="BG171" i="16"/>
  <c r="Z183" i="16" l="1"/>
  <c r="U184" i="16" s="1"/>
  <c r="AC184" i="16" s="1"/>
  <c r="AF183" i="16"/>
  <c r="AG183" i="16" s="1"/>
  <c r="AH183" i="16" s="1"/>
  <c r="AS183" i="16" s="1"/>
  <c r="AO182" i="16"/>
  <c r="AP182" i="16" s="1"/>
  <c r="AQ182" i="16" s="1"/>
  <c r="BC172" i="16"/>
  <c r="BH172" i="16" s="1"/>
  <c r="E218" i="16"/>
  <c r="L218" i="16" s="1"/>
  <c r="P218" i="16"/>
  <c r="BO171" i="16"/>
  <c r="BP171" i="16" s="1"/>
  <c r="AJ260" i="15" s="1"/>
  <c r="BN171" i="16"/>
  <c r="AT183" i="16" l="1"/>
  <c r="AW183" i="16" s="1"/>
  <c r="AX183" i="16" s="1"/>
  <c r="AZ183" i="16" s="1"/>
  <c r="AU183" i="16"/>
  <c r="AV183" i="16" s="1"/>
  <c r="AL183" i="16"/>
  <c r="AY183" i="16" s="1"/>
  <c r="W184" i="16"/>
  <c r="AA184" i="16" s="1"/>
  <c r="AK184" i="16" s="1"/>
  <c r="AR182" i="16"/>
  <c r="AD184" i="16"/>
  <c r="BD172" i="16"/>
  <c r="Q218" i="16"/>
  <c r="S218" i="16" s="1"/>
  <c r="N218" i="16"/>
  <c r="M219" i="16" s="1"/>
  <c r="E170" i="14"/>
  <c r="F170" i="14" s="1"/>
  <c r="H170" i="14" s="1"/>
  <c r="AD437" i="15"/>
  <c r="BQ171" i="16"/>
  <c r="AM183" i="16" l="1"/>
  <c r="AN183" i="16" s="1"/>
  <c r="AO183" i="16" s="1"/>
  <c r="AP183" i="16" s="1"/>
  <c r="AR183" i="16" s="1"/>
  <c r="Y184" i="16"/>
  <c r="AB184" i="16" s="1"/>
  <c r="AE184" i="16"/>
  <c r="BE172" i="16"/>
  <c r="BF172" i="16" s="1"/>
  <c r="BI172" i="16" s="1"/>
  <c r="O218" i="16"/>
  <c r="BJ172" i="16"/>
  <c r="BK172" i="16"/>
  <c r="BL172" i="16" s="1"/>
  <c r="BM172" i="16" s="1"/>
  <c r="Z184" i="16" l="1"/>
  <c r="U185" i="16" s="1"/>
  <c r="AC185" i="16" s="1"/>
  <c r="AF184" i="16"/>
  <c r="AG184" i="16" s="1"/>
  <c r="AH184" i="16" s="1"/>
  <c r="AS184" i="16" s="1"/>
  <c r="AQ183" i="16"/>
  <c r="E219" i="16"/>
  <c r="L219" i="16" s="1"/>
  <c r="P219" i="16"/>
  <c r="BG172" i="16"/>
  <c r="AT184" i="16" l="1"/>
  <c r="AW184" i="16" s="1"/>
  <c r="AX184" i="16" s="1"/>
  <c r="AZ184" i="16" s="1"/>
  <c r="AU184" i="16"/>
  <c r="AV184" i="16" s="1"/>
  <c r="AL184" i="16"/>
  <c r="AY184" i="16" s="1"/>
  <c r="AD185" i="16"/>
  <c r="W185" i="16"/>
  <c r="AA185" i="16" s="1"/>
  <c r="AK185" i="16" s="1"/>
  <c r="BC173" i="16"/>
  <c r="BH173" i="16" s="1"/>
  <c r="Q219" i="16"/>
  <c r="S219" i="16" s="1"/>
  <c r="N219" i="16"/>
  <c r="M220" i="16" s="1"/>
  <c r="BO172" i="16"/>
  <c r="BP172" i="16" s="1"/>
  <c r="AJ261" i="15" s="1"/>
  <c r="BN172" i="16"/>
  <c r="AM184" i="16" l="1"/>
  <c r="AN184" i="16" s="1"/>
  <c r="AO184" i="16" s="1"/>
  <c r="AP184" i="16" s="1"/>
  <c r="AQ184" i="16" s="1"/>
  <c r="Y185" i="16"/>
  <c r="AB185" i="16" s="1"/>
  <c r="BD173" i="16"/>
  <c r="BE173" i="16" s="1"/>
  <c r="BF173" i="16" s="1"/>
  <c r="BI173" i="16" s="1"/>
  <c r="AE185" i="16"/>
  <c r="O219" i="16"/>
  <c r="E171" i="14"/>
  <c r="F171" i="14" s="1"/>
  <c r="H171" i="14" s="1"/>
  <c r="AD440" i="15"/>
  <c r="BQ172" i="16"/>
  <c r="AF185" i="16" l="1"/>
  <c r="AG185" i="16" s="1"/>
  <c r="AH185" i="16" s="1"/>
  <c r="AS185" i="16" s="1"/>
  <c r="AT185" i="16" s="1"/>
  <c r="AW185" i="16" s="1"/>
  <c r="AX185" i="16" s="1"/>
  <c r="AZ185" i="16" s="1"/>
  <c r="AR184" i="16"/>
  <c r="BJ173" i="16"/>
  <c r="Z185" i="16"/>
  <c r="U186" i="16" s="1"/>
  <c r="AC186" i="16" s="1"/>
  <c r="BK173" i="16"/>
  <c r="BL173" i="16" s="1"/>
  <c r="BM173" i="16" s="1"/>
  <c r="E220" i="16"/>
  <c r="P220" i="16"/>
  <c r="BG173" i="16"/>
  <c r="AU185" i="16" l="1"/>
  <c r="AV185" i="16" s="1"/>
  <c r="AL185" i="16"/>
  <c r="AY185" i="16" s="1"/>
  <c r="W186" i="16"/>
  <c r="AA186" i="16" s="1"/>
  <c r="AK186" i="16" s="1"/>
  <c r="AD186" i="16"/>
  <c r="BC174" i="16"/>
  <c r="BH174" i="16" s="1"/>
  <c r="L220" i="16"/>
  <c r="Q220" i="16"/>
  <c r="S220" i="16" s="1"/>
  <c r="BO173" i="16"/>
  <c r="BP173" i="16" s="1"/>
  <c r="AJ262" i="15" s="1"/>
  <c r="BN173" i="16"/>
  <c r="AM185" i="16" l="1"/>
  <c r="AN185" i="16" s="1"/>
  <c r="AO185" i="16" s="1"/>
  <c r="AP185" i="16" s="1"/>
  <c r="AQ185" i="16" s="1"/>
  <c r="Y186" i="16"/>
  <c r="AB186" i="16" s="1"/>
  <c r="AE186" i="16"/>
  <c r="BD174" i="16"/>
  <c r="BE174" i="16" s="1"/>
  <c r="N220" i="16"/>
  <c r="M221" i="16" s="1"/>
  <c r="E172" i="14"/>
  <c r="F172" i="14" s="1"/>
  <c r="H172" i="14" s="1"/>
  <c r="AD442" i="15"/>
  <c r="BQ173" i="16"/>
  <c r="Z186" i="16" l="1"/>
  <c r="U187" i="16" s="1"/>
  <c r="AC187" i="16" s="1"/>
  <c r="AF186" i="16"/>
  <c r="AG186" i="16" s="1"/>
  <c r="AH186" i="16" s="1"/>
  <c r="AS186" i="16" s="1"/>
  <c r="AU186" i="16" s="1"/>
  <c r="AV186" i="16" s="1"/>
  <c r="AR185" i="16"/>
  <c r="BJ174" i="16"/>
  <c r="O220" i="16"/>
  <c r="BK174" i="16"/>
  <c r="BL174" i="16" s="1"/>
  <c r="BM174" i="16" s="1"/>
  <c r="BF174" i="16"/>
  <c r="BI174" i="16" s="1"/>
  <c r="BO174" i="16" s="1"/>
  <c r="BP174" i="16" s="1"/>
  <c r="AJ263" i="15" s="1"/>
  <c r="E221" i="16"/>
  <c r="L221" i="16" s="1"/>
  <c r="P221" i="16"/>
  <c r="AT186" i="16" l="1"/>
  <c r="AW186" i="16" s="1"/>
  <c r="AX186" i="16" s="1"/>
  <c r="AZ186" i="16" s="1"/>
  <c r="AL186" i="16"/>
  <c r="AY186" i="16" s="1"/>
  <c r="BN174" i="16"/>
  <c r="AD444" i="15" s="1"/>
  <c r="W187" i="16"/>
  <c r="AA187" i="16" s="1"/>
  <c r="AK187" i="16" s="1"/>
  <c r="AD187" i="16"/>
  <c r="BG174" i="16"/>
  <c r="BC175" i="16" s="1"/>
  <c r="BH175" i="16" s="1"/>
  <c r="Q221" i="16"/>
  <c r="S221" i="16" s="1"/>
  <c r="N221" i="16"/>
  <c r="M222" i="16" s="1"/>
  <c r="AM186" i="16" l="1"/>
  <c r="AN186" i="16" s="1"/>
  <c r="AO186" i="16" s="1"/>
  <c r="AP186" i="16" s="1"/>
  <c r="AR186" i="16" s="1"/>
  <c r="E173" i="14"/>
  <c r="F173" i="14" s="1"/>
  <c r="H173" i="14" s="1"/>
  <c r="Y187" i="16"/>
  <c r="AB187" i="16" s="1"/>
  <c r="BQ174" i="16"/>
  <c r="BD175" i="16"/>
  <c r="BE175" i="16" s="1"/>
  <c r="BF175" i="16" s="1"/>
  <c r="BI175" i="16" s="1"/>
  <c r="AE187" i="16"/>
  <c r="O221" i="16"/>
  <c r="Z187" i="16" l="1"/>
  <c r="U188" i="16" s="1"/>
  <c r="AC188" i="16" s="1"/>
  <c r="BJ175" i="16"/>
  <c r="BK175" i="16"/>
  <c r="BL175" i="16" s="1"/>
  <c r="BM175" i="16" s="1"/>
  <c r="AF187" i="16"/>
  <c r="AG187" i="16" s="1"/>
  <c r="AQ186" i="16"/>
  <c r="E222" i="16"/>
  <c r="L222" i="16" s="1"/>
  <c r="P222" i="16"/>
  <c r="BO175" i="16"/>
  <c r="BP175" i="16" s="1"/>
  <c r="AJ264" i="15" s="1"/>
  <c r="BG175" i="16"/>
  <c r="AH187" i="16" l="1"/>
  <c r="AS187" i="16" s="1"/>
  <c r="AL187" i="16"/>
  <c r="AD188" i="16"/>
  <c r="W188" i="16"/>
  <c r="AA188" i="16" s="1"/>
  <c r="AK188" i="16" s="1"/>
  <c r="BN175" i="16"/>
  <c r="BQ175" i="16" s="1"/>
  <c r="BC176" i="16"/>
  <c r="BH176" i="16" s="1"/>
  <c r="Q222" i="16"/>
  <c r="S222" i="16" s="1"/>
  <c r="N222" i="16"/>
  <c r="M223" i="16" s="1"/>
  <c r="AY187" i="16" l="1"/>
  <c r="AM187" i="16"/>
  <c r="AN187" i="16" s="1"/>
  <c r="AO187" i="16" s="1"/>
  <c r="AP187" i="16" s="1"/>
  <c r="AQ187" i="16" s="1"/>
  <c r="AU187" i="16"/>
  <c r="AV187" i="16" s="1"/>
  <c r="AT187" i="16"/>
  <c r="AW187" i="16" s="1"/>
  <c r="AX187" i="16" s="1"/>
  <c r="AZ187" i="16" s="1"/>
  <c r="AD447" i="15"/>
  <c r="AE188" i="16"/>
  <c r="E174" i="14"/>
  <c r="F174" i="14" s="1"/>
  <c r="H174" i="14" s="1"/>
  <c r="Y188" i="16"/>
  <c r="BD176" i="16"/>
  <c r="BE176" i="16" s="1"/>
  <c r="BF176" i="16" s="1"/>
  <c r="BI176" i="16" s="1"/>
  <c r="O222" i="16"/>
  <c r="AR187" i="16" l="1"/>
  <c r="BJ176" i="16"/>
  <c r="BK176" i="16"/>
  <c r="BL176" i="16" s="1"/>
  <c r="BM176" i="16" s="1"/>
  <c r="AB188" i="16"/>
  <c r="Z188" i="16"/>
  <c r="E223" i="16"/>
  <c r="P223" i="16"/>
  <c r="BO176" i="16"/>
  <c r="BP176" i="16" s="1"/>
  <c r="AJ265" i="15" s="1"/>
  <c r="BG176" i="16"/>
  <c r="BN176" i="16" l="1"/>
  <c r="E175" i="14" s="1"/>
  <c r="F175" i="14" s="1"/>
  <c r="H175" i="14" s="1"/>
  <c r="U189" i="16"/>
  <c r="AC189" i="16" s="1"/>
  <c r="AF188" i="16"/>
  <c r="AG188" i="16" s="1"/>
  <c r="AH188" i="16" s="1"/>
  <c r="AS188" i="16" s="1"/>
  <c r="BC177" i="16"/>
  <c r="BH177" i="16" s="1"/>
  <c r="L223" i="16"/>
  <c r="Q223" i="16"/>
  <c r="S223" i="16" s="1"/>
  <c r="AD450" i="15" l="1"/>
  <c r="BQ176" i="16"/>
  <c r="AL188" i="16"/>
  <c r="AM188" i="16" s="1"/>
  <c r="AT188" i="16"/>
  <c r="AW188" i="16" s="1"/>
  <c r="AX188" i="16" s="1"/>
  <c r="AZ188" i="16" s="1"/>
  <c r="AU188" i="16"/>
  <c r="AV188" i="16" s="1"/>
  <c r="AD189" i="16"/>
  <c r="W189" i="16"/>
  <c r="AA189" i="16" s="1"/>
  <c r="AK189" i="16" s="1"/>
  <c r="N223" i="16"/>
  <c r="M224" i="16" s="1"/>
  <c r="BD177" i="16"/>
  <c r="BE177" i="16" s="1"/>
  <c r="BF177" i="16" s="1"/>
  <c r="BI177" i="16" s="1"/>
  <c r="AY188" i="16" l="1"/>
  <c r="O223" i="16"/>
  <c r="Y189" i="16"/>
  <c r="AB189" i="16" s="1"/>
  <c r="AN188" i="16"/>
  <c r="AO188" i="16" s="1"/>
  <c r="AE189" i="16"/>
  <c r="BK177" i="16"/>
  <c r="BL177" i="16" s="1"/>
  <c r="BM177" i="16" s="1"/>
  <c r="BJ177" i="16"/>
  <c r="E224" i="16"/>
  <c r="L224" i="16" s="1"/>
  <c r="P224" i="16"/>
  <c r="BG177" i="16"/>
  <c r="Z189" i="16" l="1"/>
  <c r="U190" i="16" s="1"/>
  <c r="AC190" i="16" s="1"/>
  <c r="AP188" i="16"/>
  <c r="AR188" i="16" s="1"/>
  <c r="AF189" i="16"/>
  <c r="AG189" i="16" s="1"/>
  <c r="AH189" i="16" s="1"/>
  <c r="AS189" i="16" s="1"/>
  <c r="BC178" i="16"/>
  <c r="Q224" i="16"/>
  <c r="S224" i="16" s="1"/>
  <c r="N224" i="16"/>
  <c r="M225" i="16" s="1"/>
  <c r="BO177" i="16"/>
  <c r="BP177" i="16" s="1"/>
  <c r="AJ266" i="15" s="1"/>
  <c r="BN177" i="16"/>
  <c r="AT189" i="16" l="1"/>
  <c r="AW189" i="16" s="1"/>
  <c r="AX189" i="16" s="1"/>
  <c r="AZ189" i="16" s="1"/>
  <c r="AU189" i="16"/>
  <c r="AV189" i="16" s="1"/>
  <c r="AL189" i="16"/>
  <c r="AY189" i="16" s="1"/>
  <c r="AD190" i="16"/>
  <c r="W190" i="16"/>
  <c r="AA190" i="16" s="1"/>
  <c r="AK190" i="16" s="1"/>
  <c r="AQ188" i="16"/>
  <c r="BD178" i="16"/>
  <c r="BH178" i="16"/>
  <c r="O224" i="16"/>
  <c r="E225" i="16"/>
  <c r="E176" i="14"/>
  <c r="F176" i="14" s="1"/>
  <c r="H176" i="14" s="1"/>
  <c r="AD454" i="15"/>
  <c r="BQ177" i="16"/>
  <c r="AM189" i="16" l="1"/>
  <c r="AN189" i="16" s="1"/>
  <c r="AO189" i="16" s="1"/>
  <c r="AP189" i="16" s="1"/>
  <c r="AR189" i="16" s="1"/>
  <c r="Y190" i="16"/>
  <c r="AB190" i="16" s="1"/>
  <c r="AE190" i="16"/>
  <c r="BE178" i="16"/>
  <c r="BF178" i="16" s="1"/>
  <c r="BI178" i="16" s="1"/>
  <c r="L225" i="16"/>
  <c r="P225" i="16"/>
  <c r="BJ178" i="16"/>
  <c r="BK178" i="16"/>
  <c r="BL178" i="16" s="1"/>
  <c r="BM178" i="16" s="1"/>
  <c r="AQ189" i="16" l="1"/>
  <c r="Z190" i="16"/>
  <c r="U191" i="16" s="1"/>
  <c r="AC191" i="16" s="1"/>
  <c r="AF190" i="16"/>
  <c r="AG190" i="16" s="1"/>
  <c r="AH190" i="16" s="1"/>
  <c r="AS190" i="16" s="1"/>
  <c r="N225" i="16"/>
  <c r="Q225" i="16"/>
  <c r="S225" i="16" s="1"/>
  <c r="BG178" i="16"/>
  <c r="AT190" i="16" l="1"/>
  <c r="AW190" i="16" s="1"/>
  <c r="AX190" i="16" s="1"/>
  <c r="AZ190" i="16" s="1"/>
  <c r="AU190" i="16"/>
  <c r="AV190" i="16" s="1"/>
  <c r="AL190" i="16"/>
  <c r="AY190" i="16" s="1"/>
  <c r="W191" i="16"/>
  <c r="AA191" i="16" s="1"/>
  <c r="AK191" i="16" s="1"/>
  <c r="AD191" i="16"/>
  <c r="AE191" i="16" s="1"/>
  <c r="BC179" i="16"/>
  <c r="BH179" i="16" s="1"/>
  <c r="O225" i="16"/>
  <c r="M226" i="16"/>
  <c r="P226" i="16" s="1"/>
  <c r="Q226" i="16" s="1"/>
  <c r="S226" i="16" s="1"/>
  <c r="BO178" i="16"/>
  <c r="BP178" i="16" s="1"/>
  <c r="AJ267" i="15" s="1"/>
  <c r="BN178" i="16"/>
  <c r="AM190" i="16" l="1"/>
  <c r="AN190" i="16" s="1"/>
  <c r="AO190" i="16" s="1"/>
  <c r="AP190" i="16" s="1"/>
  <c r="AQ190" i="16" s="1"/>
  <c r="Y191" i="16"/>
  <c r="AB191" i="16" s="1"/>
  <c r="BD179" i="16"/>
  <c r="BE179" i="16" s="1"/>
  <c r="BF179" i="16" s="1"/>
  <c r="BI179" i="16" s="1"/>
  <c r="E226" i="16"/>
  <c r="L226" i="16" s="1"/>
  <c r="E177" i="14"/>
  <c r="F177" i="14" s="1"/>
  <c r="H177" i="14" s="1"/>
  <c r="AD457" i="15"/>
  <c r="BQ178" i="16"/>
  <c r="AR190" i="16" l="1"/>
  <c r="Z191" i="16"/>
  <c r="U192" i="16" s="1"/>
  <c r="AC192" i="16" s="1"/>
  <c r="AD192" i="16" s="1"/>
  <c r="AF191" i="16"/>
  <c r="AG191" i="16" s="1"/>
  <c r="AH191" i="16" s="1"/>
  <c r="AS191" i="16" s="1"/>
  <c r="BJ179" i="16"/>
  <c r="BK179" i="16"/>
  <c r="BL179" i="16" s="1"/>
  <c r="BM179" i="16" s="1"/>
  <c r="N226" i="16"/>
  <c r="BG179" i="16"/>
  <c r="W192" i="16" l="1"/>
  <c r="Y192" i="16" s="1"/>
  <c r="AB192" i="16" s="1"/>
  <c r="AT191" i="16"/>
  <c r="AW191" i="16" s="1"/>
  <c r="AX191" i="16" s="1"/>
  <c r="AZ191" i="16" s="1"/>
  <c r="AU191" i="16"/>
  <c r="AV191" i="16" s="1"/>
  <c r="AL191" i="16"/>
  <c r="AY191" i="16" s="1"/>
  <c r="AA192" i="16"/>
  <c r="AK192" i="16" s="1"/>
  <c r="AE192" i="16"/>
  <c r="BC180" i="16"/>
  <c r="BH180" i="16" s="1"/>
  <c r="M227" i="16"/>
  <c r="E227" i="16" s="1"/>
  <c r="L227" i="16" s="1"/>
  <c r="O226" i="16"/>
  <c r="BO179" i="16"/>
  <c r="BP179" i="16" s="1"/>
  <c r="BN179" i="16"/>
  <c r="AF192" i="16" l="1"/>
  <c r="AG192" i="16" s="1"/>
  <c r="AH192" i="16" s="1"/>
  <c r="AS192" i="16" s="1"/>
  <c r="AU192" i="16" s="1"/>
  <c r="AV192" i="16" s="1"/>
  <c r="Z192" i="16"/>
  <c r="U193" i="16" s="1"/>
  <c r="AC193" i="16" s="1"/>
  <c r="AM191" i="16"/>
  <c r="AN191" i="16" s="1"/>
  <c r="AO191" i="16" s="1"/>
  <c r="AP191" i="16" s="1"/>
  <c r="AQ191" i="16" s="1"/>
  <c r="BD180" i="16"/>
  <c r="BJ180" i="16" s="1"/>
  <c r="N227" i="16"/>
  <c r="P227" i="16"/>
  <c r="Q227" i="16" s="1"/>
  <c r="S227" i="16" s="1"/>
  <c r="E178" i="14"/>
  <c r="F178" i="14" s="1"/>
  <c r="H178" i="14" s="1"/>
  <c r="AD460" i="15"/>
  <c r="BQ179" i="16"/>
  <c r="AJ268" i="15"/>
  <c r="AT192" i="16" l="1"/>
  <c r="AW192" i="16" s="1"/>
  <c r="AX192" i="16" s="1"/>
  <c r="AZ192" i="16" s="1"/>
  <c r="AL192" i="16"/>
  <c r="AM192" i="16" s="1"/>
  <c r="AN192" i="16" s="1"/>
  <c r="AO192" i="16" s="1"/>
  <c r="AP192" i="16" s="1"/>
  <c r="AR192" i="16" s="1"/>
  <c r="AR191" i="16"/>
  <c r="BK180" i="16"/>
  <c r="BL180" i="16" s="1"/>
  <c r="BM180" i="16" s="1"/>
  <c r="BE180" i="16"/>
  <c r="BF180" i="16" s="1"/>
  <c r="BI180" i="16" s="1"/>
  <c r="AD193" i="16"/>
  <c r="W193" i="16"/>
  <c r="AA193" i="16" s="1"/>
  <c r="AK193" i="16" s="1"/>
  <c r="M228" i="16"/>
  <c r="E228" i="16" s="1"/>
  <c r="L228" i="16" s="1"/>
  <c r="O227" i="16"/>
  <c r="AY192" i="16" l="1"/>
  <c r="BG180" i="16"/>
  <c r="Y193" i="16"/>
  <c r="AB193" i="16" s="1"/>
  <c r="AQ192" i="16"/>
  <c r="AE193" i="16"/>
  <c r="BC181" i="16"/>
  <c r="N228" i="16"/>
  <c r="M229" i="16" s="1"/>
  <c r="P228" i="16"/>
  <c r="Q228" i="16" s="1"/>
  <c r="S228" i="16" s="1"/>
  <c r="BO180" i="16"/>
  <c r="BP180" i="16" s="1"/>
  <c r="AJ269" i="15" s="1"/>
  <c r="BN180" i="16"/>
  <c r="O228" i="16" l="1"/>
  <c r="Z193" i="16"/>
  <c r="U194" i="16" s="1"/>
  <c r="AC194" i="16" s="1"/>
  <c r="AF193" i="16"/>
  <c r="AG193" i="16" s="1"/>
  <c r="AH193" i="16" s="1"/>
  <c r="AS193" i="16" s="1"/>
  <c r="BD181" i="16"/>
  <c r="BH181" i="16"/>
  <c r="E229" i="16"/>
  <c r="L229" i="16" s="1"/>
  <c r="P229" i="16"/>
  <c r="E179" i="14"/>
  <c r="F179" i="14" s="1"/>
  <c r="H179" i="14" s="1"/>
  <c r="AD463" i="15"/>
  <c r="BQ180" i="16"/>
  <c r="AU193" i="16" l="1"/>
  <c r="AV193" i="16" s="1"/>
  <c r="AT193" i="16"/>
  <c r="AW193" i="16" s="1"/>
  <c r="AX193" i="16" s="1"/>
  <c r="AZ193" i="16" s="1"/>
  <c r="AL193" i="16"/>
  <c r="AY193" i="16" s="1"/>
  <c r="AD194" i="16"/>
  <c r="W194" i="16"/>
  <c r="AA194" i="16" s="1"/>
  <c r="AK194" i="16" s="1"/>
  <c r="BE181" i="16"/>
  <c r="BF181" i="16" s="1"/>
  <c r="BI181" i="16" s="1"/>
  <c r="Q229" i="16"/>
  <c r="S229" i="16" s="1"/>
  <c r="N229" i="16"/>
  <c r="M230" i="16" s="1"/>
  <c r="BJ181" i="16"/>
  <c r="BK181" i="16"/>
  <c r="BL181" i="16" s="1"/>
  <c r="BM181" i="16" s="1"/>
  <c r="Y194" i="16" l="1"/>
  <c r="AB194" i="16" s="1"/>
  <c r="AM193" i="16"/>
  <c r="AN193" i="16" s="1"/>
  <c r="AO193" i="16" s="1"/>
  <c r="AP193" i="16" s="1"/>
  <c r="AQ193" i="16" s="1"/>
  <c r="AE194" i="16"/>
  <c r="O229" i="16"/>
  <c r="BG181" i="16"/>
  <c r="AF194" i="16" l="1"/>
  <c r="AG194" i="16" s="1"/>
  <c r="Z194" i="16"/>
  <c r="U195" i="16" s="1"/>
  <c r="AC195" i="16" s="1"/>
  <c r="AD195" i="16" s="1"/>
  <c r="AR193" i="16"/>
  <c r="BC182" i="16"/>
  <c r="E230" i="16"/>
  <c r="L230" i="16" s="1"/>
  <c r="P230" i="16"/>
  <c r="BO181" i="16"/>
  <c r="BP181" i="16" s="1"/>
  <c r="AJ270" i="15" s="1"/>
  <c r="BN181" i="16"/>
  <c r="W195" i="16" l="1"/>
  <c r="AA195" i="16" s="1"/>
  <c r="AK195" i="16" s="1"/>
  <c r="AH194" i="16"/>
  <c r="AS194" i="16" s="1"/>
  <c r="AL194" i="16"/>
  <c r="AE195" i="16"/>
  <c r="BH182" i="16"/>
  <c r="BD182" i="16"/>
  <c r="Q230" i="16"/>
  <c r="S230" i="16" s="1"/>
  <c r="N230" i="16"/>
  <c r="M231" i="16" s="1"/>
  <c r="E180" i="14"/>
  <c r="F180" i="14" s="1"/>
  <c r="H180" i="14" s="1"/>
  <c r="AD467" i="15"/>
  <c r="BQ181" i="16"/>
  <c r="Y195" i="16" l="1"/>
  <c r="AB195" i="16" s="1"/>
  <c r="AY194" i="16"/>
  <c r="AM194" i="16"/>
  <c r="AN194" i="16" s="1"/>
  <c r="AO194" i="16" s="1"/>
  <c r="AP194" i="16" s="1"/>
  <c r="AR194" i="16" s="1"/>
  <c r="AT194" i="16"/>
  <c r="AW194" i="16" s="1"/>
  <c r="AX194" i="16" s="1"/>
  <c r="AZ194" i="16" s="1"/>
  <c r="AU194" i="16"/>
  <c r="AV194" i="16" s="1"/>
  <c r="BE182" i="16"/>
  <c r="BF182" i="16" s="1"/>
  <c r="BI182" i="16" s="1"/>
  <c r="O230" i="16"/>
  <c r="BJ182" i="16"/>
  <c r="BK182" i="16"/>
  <c r="BL182" i="16" s="1"/>
  <c r="BM182" i="16" s="1"/>
  <c r="Z195" i="16" l="1"/>
  <c r="U196" i="16" s="1"/>
  <c r="AC196" i="16" s="1"/>
  <c r="AF195" i="16"/>
  <c r="AQ194" i="16"/>
  <c r="E231" i="16"/>
  <c r="L231" i="16" s="1"/>
  <c r="P231" i="16"/>
  <c r="BG182" i="16"/>
  <c r="AG195" i="16" l="1"/>
  <c r="AL195" i="16" s="1"/>
  <c r="AY195" i="16" s="1"/>
  <c r="W196" i="16"/>
  <c r="AA196" i="16" s="1"/>
  <c r="AK196" i="16" s="1"/>
  <c r="AD196" i="16"/>
  <c r="BC183" i="16"/>
  <c r="Q231" i="16"/>
  <c r="S231" i="16" s="1"/>
  <c r="N231" i="16"/>
  <c r="M232" i="16" s="1"/>
  <c r="BO182" i="16"/>
  <c r="BP182" i="16" s="1"/>
  <c r="AJ271" i="15" s="1"/>
  <c r="BN182" i="16"/>
  <c r="Y196" i="16" l="1"/>
  <c r="AB196" i="16" s="1"/>
  <c r="AM195" i="16"/>
  <c r="AN195" i="16" s="1"/>
  <c r="AO195" i="16" s="1"/>
  <c r="AH195" i="16"/>
  <c r="AS195" i="16" s="1"/>
  <c r="AE196" i="16"/>
  <c r="BD183" i="16"/>
  <c r="BE183" i="16" s="1"/>
  <c r="BH183" i="16"/>
  <c r="O231" i="16"/>
  <c r="E181" i="14"/>
  <c r="F181" i="14" s="1"/>
  <c r="H181" i="14" s="1"/>
  <c r="AD470" i="15"/>
  <c r="BQ182" i="16"/>
  <c r="Z196" i="16" l="1"/>
  <c r="U197" i="16" s="1"/>
  <c r="AC197" i="16" s="1"/>
  <c r="AU195" i="16"/>
  <c r="AV195" i="16" s="1"/>
  <c r="AT195" i="16"/>
  <c r="AW195" i="16" s="1"/>
  <c r="AP195" i="16"/>
  <c r="AR195" i="16" s="1"/>
  <c r="AF196" i="16"/>
  <c r="AG196" i="16" s="1"/>
  <c r="AH196" i="16" s="1"/>
  <c r="AS196" i="16" s="1"/>
  <c r="AT196" i="16" s="1"/>
  <c r="BF183" i="16"/>
  <c r="BI183" i="16" s="1"/>
  <c r="E232" i="16"/>
  <c r="L232" i="16" s="1"/>
  <c r="P232" i="16"/>
  <c r="BJ183" i="16"/>
  <c r="BK183" i="16"/>
  <c r="BL183" i="16" s="1"/>
  <c r="BM183" i="16" s="1"/>
  <c r="AX195" i="16" l="1"/>
  <c r="AZ195" i="16" s="1"/>
  <c r="AL196" i="16"/>
  <c r="AY196" i="16" s="1"/>
  <c r="AU196" i="16"/>
  <c r="AV196" i="16" s="1"/>
  <c r="W197" i="16"/>
  <c r="AA197" i="16" s="1"/>
  <c r="AK197" i="16" s="1"/>
  <c r="AD197" i="16"/>
  <c r="AQ195" i="16"/>
  <c r="Q232" i="16"/>
  <c r="S232" i="16" s="1"/>
  <c r="N232" i="16"/>
  <c r="M233" i="16" s="1"/>
  <c r="BG183" i="16"/>
  <c r="AW196" i="16" l="1"/>
  <c r="AX196" i="16" s="1"/>
  <c r="AZ196" i="16" s="1"/>
  <c r="AM196" i="16"/>
  <c r="AN196" i="16" s="1"/>
  <c r="AO196" i="16" s="1"/>
  <c r="Y197" i="16"/>
  <c r="AB197" i="16" s="1"/>
  <c r="AE197" i="16"/>
  <c r="BC184" i="16"/>
  <c r="O232" i="16"/>
  <c r="E233" i="16"/>
  <c r="L233" i="16" s="1"/>
  <c r="BO183" i="16"/>
  <c r="BP183" i="16" s="1"/>
  <c r="AJ272" i="15" s="1"/>
  <c r="BN183" i="16"/>
  <c r="AF197" i="16" l="1"/>
  <c r="Z197" i="16"/>
  <c r="U198" i="16" s="1"/>
  <c r="AC198" i="16" s="1"/>
  <c r="AP196" i="16"/>
  <c r="AR196" i="16" s="1"/>
  <c r="BD184" i="16"/>
  <c r="BH184" i="16"/>
  <c r="N233" i="16"/>
  <c r="M234" i="16" s="1"/>
  <c r="P233" i="16"/>
  <c r="E182" i="14"/>
  <c r="F182" i="14" s="1"/>
  <c r="H182" i="14" s="1"/>
  <c r="AD474" i="15"/>
  <c r="BQ183" i="16"/>
  <c r="AG197" i="16" l="1"/>
  <c r="AH197" i="16" s="1"/>
  <c r="AS197" i="16" s="1"/>
  <c r="AQ196" i="16"/>
  <c r="W198" i="16"/>
  <c r="AA198" i="16" s="1"/>
  <c r="AK198" i="16" s="1"/>
  <c r="AD198" i="16"/>
  <c r="BE184" i="16"/>
  <c r="BF184" i="16" s="1"/>
  <c r="BI184" i="16" s="1"/>
  <c r="Q233" i="16"/>
  <c r="S233" i="16" s="1"/>
  <c r="O233" i="16"/>
  <c r="BJ184" i="16"/>
  <c r="BK184" i="16"/>
  <c r="BL184" i="16" s="1"/>
  <c r="BM184" i="16" s="1"/>
  <c r="AL197" i="16" l="1"/>
  <c r="AY197" i="16" s="1"/>
  <c r="AU197" i="16"/>
  <c r="AV197" i="16" s="1"/>
  <c r="AT197" i="16"/>
  <c r="AW197" i="16" s="1"/>
  <c r="AX197" i="16" s="1"/>
  <c r="AZ197" i="16" s="1"/>
  <c r="AE198" i="16"/>
  <c r="Y198" i="16"/>
  <c r="P234" i="16"/>
  <c r="E234" i="16"/>
  <c r="L234" i="16" s="1"/>
  <c r="BG184" i="16"/>
  <c r="AM197" i="16" l="1"/>
  <c r="AN197" i="16" s="1"/>
  <c r="AO197" i="16" s="1"/>
  <c r="AP197" i="16" s="1"/>
  <c r="AR197" i="16" s="1"/>
  <c r="AB198" i="16"/>
  <c r="Z198" i="16"/>
  <c r="BC185" i="16"/>
  <c r="BH185" i="16" s="1"/>
  <c r="N234" i="16"/>
  <c r="M235" i="16" s="1"/>
  <c r="Q234" i="16"/>
  <c r="S234" i="16" s="1"/>
  <c r="BO184" i="16"/>
  <c r="BP184" i="16" s="1"/>
  <c r="AJ273" i="15" s="1"/>
  <c r="BN184" i="16"/>
  <c r="AQ197" i="16" l="1"/>
  <c r="AF198" i="16"/>
  <c r="AG198" i="16" s="1"/>
  <c r="AH198" i="16" s="1"/>
  <c r="AS198" i="16" s="1"/>
  <c r="U199" i="16"/>
  <c r="AC199" i="16" s="1"/>
  <c r="BD185" i="16"/>
  <c r="BE185" i="16" s="1"/>
  <c r="O234" i="16"/>
  <c r="E235" i="16"/>
  <c r="L235" i="16" s="1"/>
  <c r="E183" i="14"/>
  <c r="F183" i="14" s="1"/>
  <c r="H183" i="14" s="1"/>
  <c r="AD477" i="15"/>
  <c r="BQ184" i="16"/>
  <c r="AT198" i="16" l="1"/>
  <c r="AW198" i="16" s="1"/>
  <c r="AX198" i="16" s="1"/>
  <c r="AZ198" i="16" s="1"/>
  <c r="AU198" i="16"/>
  <c r="AV198" i="16" s="1"/>
  <c r="AL198" i="16"/>
  <c r="AY198" i="16" s="1"/>
  <c r="W199" i="16"/>
  <c r="AA199" i="16" s="1"/>
  <c r="AK199" i="16" s="1"/>
  <c r="AD199" i="16"/>
  <c r="BF185" i="16"/>
  <c r="BI185" i="16" s="1"/>
  <c r="N235" i="16"/>
  <c r="M236" i="16" s="1"/>
  <c r="P235" i="16"/>
  <c r="BJ185" i="16"/>
  <c r="BK185" i="16"/>
  <c r="BL185" i="16" s="1"/>
  <c r="BM185" i="16" s="1"/>
  <c r="AM198" i="16" l="1"/>
  <c r="AN198" i="16" s="1"/>
  <c r="AO198" i="16" s="1"/>
  <c r="AP198" i="16" s="1"/>
  <c r="AQ198" i="16" s="1"/>
  <c r="Y199" i="16"/>
  <c r="AB199" i="16" s="1"/>
  <c r="AE199" i="16"/>
  <c r="Q235" i="16"/>
  <c r="S235" i="16" s="1"/>
  <c r="O235" i="16"/>
  <c r="BG185" i="16"/>
  <c r="Z199" i="16" l="1"/>
  <c r="U200" i="16" s="1"/>
  <c r="AC200" i="16" s="1"/>
  <c r="AF199" i="16"/>
  <c r="AG199" i="16" s="1"/>
  <c r="AH199" i="16" s="1"/>
  <c r="AS199" i="16" s="1"/>
  <c r="AR198" i="16"/>
  <c r="BC186" i="16"/>
  <c r="BH186" i="16" s="1"/>
  <c r="P236" i="16"/>
  <c r="E236" i="16"/>
  <c r="L236" i="16" s="1"/>
  <c r="BO185" i="16"/>
  <c r="BP185" i="16" s="1"/>
  <c r="AJ274" i="15" s="1"/>
  <c r="BN185" i="16"/>
  <c r="AT199" i="16" l="1"/>
  <c r="AW199" i="16" s="1"/>
  <c r="AX199" i="16" s="1"/>
  <c r="AZ199" i="16" s="1"/>
  <c r="AU199" i="16"/>
  <c r="AV199" i="16" s="1"/>
  <c r="AL199" i="16"/>
  <c r="AY199" i="16" s="1"/>
  <c r="AD200" i="16"/>
  <c r="W200" i="16"/>
  <c r="AA200" i="16" s="1"/>
  <c r="AK200" i="16" s="1"/>
  <c r="BD186" i="16"/>
  <c r="BE186" i="16" s="1"/>
  <c r="N236" i="16"/>
  <c r="M237" i="16" s="1"/>
  <c r="Q236" i="16"/>
  <c r="S236" i="16" s="1"/>
  <c r="E184" i="14"/>
  <c r="F184" i="14" s="1"/>
  <c r="H184" i="14" s="1"/>
  <c r="AD482" i="15"/>
  <c r="BQ185" i="16"/>
  <c r="AM199" i="16" l="1"/>
  <c r="AN199" i="16" s="1"/>
  <c r="AO199" i="16" s="1"/>
  <c r="AP199" i="16" s="1"/>
  <c r="AR199" i="16" s="1"/>
  <c r="Y200" i="16"/>
  <c r="AE200" i="16"/>
  <c r="BF186" i="16"/>
  <c r="BI186" i="16" s="1"/>
  <c r="E237" i="16"/>
  <c r="O236" i="16"/>
  <c r="BJ186" i="16"/>
  <c r="BK186" i="16"/>
  <c r="BL186" i="16" s="1"/>
  <c r="BM186" i="16" s="1"/>
  <c r="AB200" i="16" l="1"/>
  <c r="Z200" i="16"/>
  <c r="AQ199" i="16"/>
  <c r="L237" i="16"/>
  <c r="P237" i="16"/>
  <c r="BG186" i="16"/>
  <c r="U201" i="16" l="1"/>
  <c r="AC201" i="16" s="1"/>
  <c r="N237" i="16"/>
  <c r="AF200" i="16"/>
  <c r="AG200" i="16" s="1"/>
  <c r="AH200" i="16" s="1"/>
  <c r="AS200" i="16" s="1"/>
  <c r="BC187" i="16"/>
  <c r="BH187" i="16" s="1"/>
  <c r="Q237" i="16"/>
  <c r="S237" i="16" s="1"/>
  <c r="BO186" i="16"/>
  <c r="BP186" i="16" s="1"/>
  <c r="AJ275" i="15" s="1"/>
  <c r="BN186" i="16"/>
  <c r="AL200" i="16" l="1"/>
  <c r="AM200" i="16" s="1"/>
  <c r="AT200" i="16"/>
  <c r="AW200" i="16" s="1"/>
  <c r="AX200" i="16" s="1"/>
  <c r="AZ200" i="16" s="1"/>
  <c r="AU200" i="16"/>
  <c r="AV200" i="16" s="1"/>
  <c r="M238" i="16"/>
  <c r="E238" i="16" s="1"/>
  <c r="L238" i="16" s="1"/>
  <c r="O237" i="16"/>
  <c r="W201" i="16"/>
  <c r="AA201" i="16" s="1"/>
  <c r="AK201" i="16" s="1"/>
  <c r="AD201" i="16"/>
  <c r="BD187" i="16"/>
  <c r="E185" i="14"/>
  <c r="F185" i="14" s="1"/>
  <c r="H185" i="14" s="1"/>
  <c r="AD486" i="15"/>
  <c r="BQ186" i="16"/>
  <c r="AY200" i="16" l="1"/>
  <c r="P238" i="16"/>
  <c r="Q238" i="16" s="1"/>
  <c r="S238" i="16" s="1"/>
  <c r="N238" i="16"/>
  <c r="M239" i="16" s="1"/>
  <c r="Y201" i="16"/>
  <c r="AB201" i="16" s="1"/>
  <c r="AE201" i="16"/>
  <c r="AN200" i="16"/>
  <c r="AO200" i="16" s="1"/>
  <c r="BE187" i="16"/>
  <c r="BF187" i="16" s="1"/>
  <c r="BI187" i="16" s="1"/>
  <c r="BJ187" i="16"/>
  <c r="BK187" i="16"/>
  <c r="BL187" i="16" s="1"/>
  <c r="BM187" i="16" s="1"/>
  <c r="O238" i="16" l="1"/>
  <c r="AF201" i="16"/>
  <c r="AG201" i="16" s="1"/>
  <c r="AH201" i="16" s="1"/>
  <c r="AS201" i="16" s="1"/>
  <c r="Z201" i="16"/>
  <c r="AP200" i="16"/>
  <c r="AR200" i="16" s="1"/>
  <c r="E239" i="16"/>
  <c r="L239" i="16" s="1"/>
  <c r="P239" i="16"/>
  <c r="BG187" i="16"/>
  <c r="AL201" i="16" l="1"/>
  <c r="AM201" i="16" s="1"/>
  <c r="AT201" i="16"/>
  <c r="AW201" i="16" s="1"/>
  <c r="AX201" i="16" s="1"/>
  <c r="AZ201" i="16" s="1"/>
  <c r="AU201" i="16"/>
  <c r="AV201" i="16" s="1"/>
  <c r="U202" i="16"/>
  <c r="AC202" i="16" s="1"/>
  <c r="AD202" i="16" s="1"/>
  <c r="AE202" i="16" s="1"/>
  <c r="AQ200" i="16"/>
  <c r="AN201" i="16"/>
  <c r="BC188" i="16"/>
  <c r="Q239" i="16"/>
  <c r="S239" i="16" s="1"/>
  <c r="N239" i="16"/>
  <c r="M240" i="16" s="1"/>
  <c r="BO187" i="16"/>
  <c r="BP187" i="16" s="1"/>
  <c r="AJ276" i="15" s="1"/>
  <c r="BN187" i="16"/>
  <c r="AY201" i="16" l="1"/>
  <c r="W202" i="16"/>
  <c r="Y202" i="16" s="1"/>
  <c r="AB202" i="16" s="1"/>
  <c r="AO201" i="16"/>
  <c r="BD188" i="16"/>
  <c r="BK188" i="16" s="1"/>
  <c r="BL188" i="16" s="1"/>
  <c r="BM188" i="16" s="1"/>
  <c r="BH188" i="16"/>
  <c r="O239" i="16"/>
  <c r="E240" i="16"/>
  <c r="E186" i="14"/>
  <c r="F186" i="14" s="1"/>
  <c r="H186" i="14" s="1"/>
  <c r="AD488" i="15"/>
  <c r="BQ187" i="16"/>
  <c r="AF202" i="16" l="1"/>
  <c r="BE188" i="16"/>
  <c r="BF188" i="16" s="1"/>
  <c r="BI188" i="16" s="1"/>
  <c r="AA202" i="16"/>
  <c r="AK202" i="16" s="1"/>
  <c r="Z202" i="16"/>
  <c r="AP201" i="16"/>
  <c r="AR201" i="16" s="1"/>
  <c r="L240" i="16"/>
  <c r="P240" i="16"/>
  <c r="BJ188" i="16"/>
  <c r="AG202" i="16" l="1"/>
  <c r="AL202" i="16" s="1"/>
  <c r="AY202" i="16" s="1"/>
  <c r="U203" i="16"/>
  <c r="W203" i="16" s="1"/>
  <c r="AA203" i="16" s="1"/>
  <c r="AK203" i="16" s="1"/>
  <c r="AQ201" i="16"/>
  <c r="N240" i="16"/>
  <c r="M241" i="16" s="1"/>
  <c r="Q240" i="16"/>
  <c r="S240" i="16" s="1"/>
  <c r="BO188" i="16"/>
  <c r="BP188" i="16" s="1"/>
  <c r="AJ277" i="15" s="1"/>
  <c r="BN188" i="16"/>
  <c r="BG188" i="16"/>
  <c r="AM202" i="16" l="1"/>
  <c r="AN202" i="16" s="1"/>
  <c r="AO202" i="16" s="1"/>
  <c r="AP202" i="16" s="1"/>
  <c r="AH202" i="16"/>
  <c r="AS202" i="16" s="1"/>
  <c r="O240" i="16"/>
  <c r="AC203" i="16"/>
  <c r="AD203" i="16" s="1"/>
  <c r="AE203" i="16" s="1"/>
  <c r="Y203" i="16"/>
  <c r="AB203" i="16" s="1"/>
  <c r="BC189" i="16"/>
  <c r="BH189" i="16" s="1"/>
  <c r="E241" i="16"/>
  <c r="L241" i="16" s="1"/>
  <c r="P241" i="16"/>
  <c r="E187" i="14"/>
  <c r="F187" i="14" s="1"/>
  <c r="H187" i="14" s="1"/>
  <c r="AD490" i="15"/>
  <c r="BQ188" i="16"/>
  <c r="AQ202" i="16" l="1"/>
  <c r="AT202" i="16"/>
  <c r="AW202" i="16" s="1"/>
  <c r="AX202" i="16" s="1"/>
  <c r="AZ202" i="16" s="1"/>
  <c r="AU202" i="16"/>
  <c r="AV202" i="16" s="1"/>
  <c r="AR202" i="16"/>
  <c r="Z203" i="16"/>
  <c r="AF203" i="16"/>
  <c r="BD189" i="16"/>
  <c r="BE189" i="16" s="1"/>
  <c r="Q241" i="16"/>
  <c r="S241" i="16" s="1"/>
  <c r="N241" i="16"/>
  <c r="M242" i="16" s="1"/>
  <c r="AG203" i="16" l="1"/>
  <c r="BK189" i="16"/>
  <c r="BL189" i="16" s="1"/>
  <c r="BM189" i="16" s="1"/>
  <c r="BJ189" i="16"/>
  <c r="U204" i="16"/>
  <c r="W204" i="16" s="1"/>
  <c r="AA204" i="16" s="1"/>
  <c r="AK204" i="16" s="1"/>
  <c r="BF189" i="16"/>
  <c r="BI189" i="16" s="1"/>
  <c r="O241" i="16"/>
  <c r="AL203" i="16" l="1"/>
  <c r="AY203" i="16" s="1"/>
  <c r="AH203" i="16"/>
  <c r="AS203" i="16" s="1"/>
  <c r="AC204" i="16"/>
  <c r="Y204" i="16"/>
  <c r="BG189" i="16"/>
  <c r="BC190" i="16" s="1"/>
  <c r="E242" i="16"/>
  <c r="L242" i="16" s="1"/>
  <c r="P242" i="16"/>
  <c r="BO189" i="16"/>
  <c r="BP189" i="16" s="1"/>
  <c r="AJ278" i="15" s="1"/>
  <c r="BN189" i="16"/>
  <c r="AU203" i="16" l="1"/>
  <c r="AV203" i="16" s="1"/>
  <c r="AT203" i="16"/>
  <c r="AW203" i="16" s="1"/>
  <c r="AX203" i="16" s="1"/>
  <c r="AZ203" i="16" s="1"/>
  <c r="AM203" i="16"/>
  <c r="AN203" i="16" s="1"/>
  <c r="AO203" i="16" s="1"/>
  <c r="AB204" i="16"/>
  <c r="Z204" i="16"/>
  <c r="U205" i="16" s="1"/>
  <c r="AC205" i="16" s="1"/>
  <c r="AD204" i="16"/>
  <c r="AE204" i="16" s="1"/>
  <c r="BD190" i="16"/>
  <c r="BE190" i="16" s="1"/>
  <c r="BH190" i="16"/>
  <c r="Q242" i="16"/>
  <c r="S242" i="16" s="1"/>
  <c r="N242" i="16"/>
  <c r="M243" i="16" s="1"/>
  <c r="E188" i="14"/>
  <c r="F188" i="14" s="1"/>
  <c r="H188" i="14" s="1"/>
  <c r="AD492" i="15"/>
  <c r="BQ189" i="16"/>
  <c r="AP203" i="16" l="1"/>
  <c r="AR203" i="16" s="1"/>
  <c r="AD205" i="16"/>
  <c r="AE205" i="16" s="1"/>
  <c r="W205" i="16"/>
  <c r="AA205" i="16" s="1"/>
  <c r="AK205" i="16" s="1"/>
  <c r="AF204" i="16"/>
  <c r="AG204" i="16" s="1"/>
  <c r="AH204" i="16" s="1"/>
  <c r="AS204" i="16" s="1"/>
  <c r="AT204" i="16" s="1"/>
  <c r="AW204" i="16" s="1"/>
  <c r="AX204" i="16" s="1"/>
  <c r="AZ204" i="16" s="1"/>
  <c r="BF190" i="16"/>
  <c r="BI190" i="16" s="1"/>
  <c r="O242" i="16"/>
  <c r="E243" i="16"/>
  <c r="BJ190" i="16"/>
  <c r="BK190" i="16"/>
  <c r="BL190" i="16" s="1"/>
  <c r="BM190" i="16" s="1"/>
  <c r="AQ203" i="16" l="1"/>
  <c r="AL204" i="16"/>
  <c r="AY204" i="16" s="1"/>
  <c r="AU204" i="16"/>
  <c r="AV204" i="16" s="1"/>
  <c r="Y205" i="16"/>
  <c r="AB205" i="16" s="1"/>
  <c r="AF205" i="16" s="1"/>
  <c r="AG205" i="16" s="1"/>
  <c r="AH205" i="16" s="1"/>
  <c r="AS205" i="16" s="1"/>
  <c r="AT205" i="16" s="1"/>
  <c r="AW205" i="16" s="1"/>
  <c r="AX205" i="16" s="1"/>
  <c r="AZ205" i="16" s="1"/>
  <c r="L243" i="16"/>
  <c r="N243" i="16" s="1"/>
  <c r="M244" i="16" s="1"/>
  <c r="P243" i="16"/>
  <c r="BO190" i="16"/>
  <c r="BP190" i="16" s="1"/>
  <c r="AJ279" i="15" s="1"/>
  <c r="BN190" i="16"/>
  <c r="BG190" i="16"/>
  <c r="AM204" i="16" l="1"/>
  <c r="AN204" i="16" s="1"/>
  <c r="AO204" i="16" s="1"/>
  <c r="AP204" i="16" s="1"/>
  <c r="AR204" i="16" s="1"/>
  <c r="AL205" i="16"/>
  <c r="AM205" i="16" s="1"/>
  <c r="AU205" i="16"/>
  <c r="AV205" i="16" s="1"/>
  <c r="Z205" i="16"/>
  <c r="U206" i="16" s="1"/>
  <c r="AC206" i="16" s="1"/>
  <c r="BC191" i="16"/>
  <c r="BH191" i="16" s="1"/>
  <c r="Q243" i="16"/>
  <c r="S243" i="16" s="1"/>
  <c r="O243" i="16"/>
  <c r="E189" i="14"/>
  <c r="F189" i="14" s="1"/>
  <c r="H189" i="14" s="1"/>
  <c r="AD495" i="15"/>
  <c r="BQ190" i="16"/>
  <c r="AY205" i="16" l="1"/>
  <c r="AQ204" i="16"/>
  <c r="AN205" i="16"/>
  <c r="AO205" i="16" s="1"/>
  <c r="AP205" i="16" s="1"/>
  <c r="AQ205" i="16" s="1"/>
  <c r="AD206" i="16"/>
  <c r="W206" i="16"/>
  <c r="BD191" i="16"/>
  <c r="BE191" i="16" s="1"/>
  <c r="BF191" i="16" s="1"/>
  <c r="BI191" i="16" s="1"/>
  <c r="E244" i="16"/>
  <c r="L244" i="16" s="1"/>
  <c r="P244" i="16"/>
  <c r="BJ191" i="16" l="1"/>
  <c r="BK191" i="16"/>
  <c r="BL191" i="16" s="1"/>
  <c r="BM191" i="16" s="1"/>
  <c r="AE206" i="16"/>
  <c r="AA206" i="16"/>
  <c r="AK206" i="16" s="1"/>
  <c r="Y206" i="16"/>
  <c r="AB206" i="16" s="1"/>
  <c r="AR205" i="16"/>
  <c r="Q244" i="16"/>
  <c r="S244" i="16" s="1"/>
  <c r="N244" i="16"/>
  <c r="M245" i="16" s="1"/>
  <c r="BG191" i="16"/>
  <c r="AF206" i="16" l="1"/>
  <c r="AG206" i="16" s="1"/>
  <c r="AH206" i="16" s="1"/>
  <c r="AS206" i="16" s="1"/>
  <c r="Z206" i="16"/>
  <c r="BC192" i="16"/>
  <c r="BH192" i="16" s="1"/>
  <c r="O244" i="16"/>
  <c r="BO191" i="16"/>
  <c r="BP191" i="16" s="1"/>
  <c r="AJ280" i="15" s="1"/>
  <c r="BN191" i="16"/>
  <c r="AU206" i="16" l="1"/>
  <c r="AV206" i="16" s="1"/>
  <c r="AT206" i="16"/>
  <c r="AW206" i="16" s="1"/>
  <c r="AX206" i="16" s="1"/>
  <c r="AZ206" i="16" s="1"/>
  <c r="AL206" i="16"/>
  <c r="AY206" i="16" s="1"/>
  <c r="BD192" i="16"/>
  <c r="BJ192" i="16" s="1"/>
  <c r="U207" i="16"/>
  <c r="AC207" i="16" s="1"/>
  <c r="E245" i="16"/>
  <c r="P245" i="16"/>
  <c r="E190" i="14"/>
  <c r="F190" i="14" s="1"/>
  <c r="H190" i="14" s="1"/>
  <c r="AD498" i="15"/>
  <c r="BQ191" i="16"/>
  <c r="AM206" i="16" l="1"/>
  <c r="BK192" i="16"/>
  <c r="BL192" i="16" s="1"/>
  <c r="BM192" i="16" s="1"/>
  <c r="BE192" i="16"/>
  <c r="BF192" i="16" s="1"/>
  <c r="BG192" i="16" s="1"/>
  <c r="AD207" i="16"/>
  <c r="W207" i="16"/>
  <c r="AA207" i="16" s="1"/>
  <c r="AK207" i="16" s="1"/>
  <c r="AN206" i="16"/>
  <c r="AO206" i="16" s="1"/>
  <c r="L245" i="16"/>
  <c r="N245" i="16" s="1"/>
  <c r="M246" i="16" s="1"/>
  <c r="Q245" i="16"/>
  <c r="S245" i="16" s="1"/>
  <c r="BI192" i="16" l="1"/>
  <c r="BN192" i="16" s="1"/>
  <c r="AP206" i="16"/>
  <c r="AR206" i="16" s="1"/>
  <c r="Y207" i="16"/>
  <c r="AB207" i="16" s="1"/>
  <c r="AE207" i="16"/>
  <c r="BC193" i="16"/>
  <c r="BH193" i="16" s="1"/>
  <c r="O245" i="16"/>
  <c r="BO192" i="16" l="1"/>
  <c r="BP192" i="16" s="1"/>
  <c r="AJ281" i="15" s="1"/>
  <c r="AD499" i="15"/>
  <c r="E191" i="14"/>
  <c r="F191" i="14" s="1"/>
  <c r="H191" i="14" s="1"/>
  <c r="Z207" i="16"/>
  <c r="AQ206" i="16"/>
  <c r="AF207" i="16"/>
  <c r="AG207" i="16" s="1"/>
  <c r="AH207" i="16" s="1"/>
  <c r="AS207" i="16" s="1"/>
  <c r="BD193" i="16"/>
  <c r="BE193" i="16" s="1"/>
  <c r="BF193" i="16" s="1"/>
  <c r="BI193" i="16" s="1"/>
  <c r="E246" i="16"/>
  <c r="L246" i="16" s="1"/>
  <c r="P246" i="16"/>
  <c r="BQ192" i="16" l="1"/>
  <c r="AL207" i="16"/>
  <c r="AY207" i="16" s="1"/>
  <c r="AU207" i="16"/>
  <c r="AV207" i="16" s="1"/>
  <c r="AT207" i="16"/>
  <c r="AW207" i="16" s="1"/>
  <c r="AX207" i="16" s="1"/>
  <c r="AZ207" i="16" s="1"/>
  <c r="BJ193" i="16"/>
  <c r="BK193" i="16"/>
  <c r="BL193" i="16" s="1"/>
  <c r="BM193" i="16" s="1"/>
  <c r="U208" i="16"/>
  <c r="AC208" i="16" s="1"/>
  <c r="Q246" i="16"/>
  <c r="S246" i="16" s="1"/>
  <c r="N246" i="16"/>
  <c r="M247" i="16" s="1"/>
  <c r="BO193" i="16"/>
  <c r="BP193" i="16" s="1"/>
  <c r="AJ282" i="15" s="1"/>
  <c r="BG193" i="16"/>
  <c r="AM207" i="16" l="1"/>
  <c r="AN207" i="16" s="1"/>
  <c r="AO207" i="16" s="1"/>
  <c r="BN193" i="16"/>
  <c r="BQ193" i="16" s="1"/>
  <c r="AD208" i="16"/>
  <c r="W208" i="16"/>
  <c r="AA208" i="16" s="1"/>
  <c r="AK208" i="16" s="1"/>
  <c r="BC194" i="16"/>
  <c r="BH194" i="16" s="1"/>
  <c r="O246" i="16"/>
  <c r="E247" i="16"/>
  <c r="L247" i="16" s="1"/>
  <c r="AD503" i="15" l="1"/>
  <c r="E192" i="14"/>
  <c r="F192" i="14" s="1"/>
  <c r="H192" i="14" s="1"/>
  <c r="Y208" i="16"/>
  <c r="AB208" i="16" s="1"/>
  <c r="AE208" i="16"/>
  <c r="AP207" i="16"/>
  <c r="AR207" i="16" s="1"/>
  <c r="BD194" i="16"/>
  <c r="BK194" i="16" s="1"/>
  <c r="BL194" i="16" s="1"/>
  <c r="BM194" i="16" s="1"/>
  <c r="N247" i="16"/>
  <c r="M248" i="16" s="1"/>
  <c r="P247" i="16"/>
  <c r="AQ207" i="16" l="1"/>
  <c r="BJ194" i="16"/>
  <c r="Z208" i="16"/>
  <c r="AF208" i="16"/>
  <c r="BE194" i="16"/>
  <c r="BF194" i="16" s="1"/>
  <c r="Q247" i="16"/>
  <c r="S247" i="16" s="1"/>
  <c r="O247" i="16"/>
  <c r="AG208" i="16" l="1"/>
  <c r="AL208" i="16" s="1"/>
  <c r="AY208" i="16" s="1"/>
  <c r="U209" i="16"/>
  <c r="AC209" i="16" s="1"/>
  <c r="BI194" i="16"/>
  <c r="BN194" i="16" s="1"/>
  <c r="BG194" i="16"/>
  <c r="E248" i="16"/>
  <c r="L248" i="16" s="1"/>
  <c r="P248" i="16"/>
  <c r="BO194" i="16" l="1"/>
  <c r="BP194" i="16" s="1"/>
  <c r="AJ283" i="15" s="1"/>
  <c r="AM208" i="16"/>
  <c r="AN208" i="16" s="1"/>
  <c r="AO208" i="16" s="1"/>
  <c r="AH208" i="16"/>
  <c r="AS208" i="16" s="1"/>
  <c r="AD209" i="16"/>
  <c r="W209" i="16"/>
  <c r="AA209" i="16" s="1"/>
  <c r="AK209" i="16" s="1"/>
  <c r="BC195" i="16"/>
  <c r="BH195" i="16" s="1"/>
  <c r="Q248" i="16"/>
  <c r="S248" i="16" s="1"/>
  <c r="N248" i="16"/>
  <c r="M249" i="16" s="1"/>
  <c r="E193" i="14"/>
  <c r="F193" i="14" s="1"/>
  <c r="H193" i="14" s="1"/>
  <c r="AD507" i="15"/>
  <c r="BQ194" i="16" l="1"/>
  <c r="AU208" i="16"/>
  <c r="AV208" i="16" s="1"/>
  <c r="AT208" i="16"/>
  <c r="AW208" i="16" s="1"/>
  <c r="AX208" i="16" s="1"/>
  <c r="AZ208" i="16" s="1"/>
  <c r="Y209" i="16"/>
  <c r="AB209" i="16" s="1"/>
  <c r="AE209" i="16"/>
  <c r="AP208" i="16"/>
  <c r="AR208" i="16" s="1"/>
  <c r="BD195" i="16"/>
  <c r="BE195" i="16" s="1"/>
  <c r="BF195" i="16" s="1"/>
  <c r="BI195" i="16" s="1"/>
  <c r="E249" i="16"/>
  <c r="O248" i="16"/>
  <c r="BJ195" i="16" l="1"/>
  <c r="BK195" i="16"/>
  <c r="BL195" i="16" s="1"/>
  <c r="BM195" i="16" s="1"/>
  <c r="AF209" i="16"/>
  <c r="AG209" i="16" s="1"/>
  <c r="AH209" i="16" s="1"/>
  <c r="AS209" i="16" s="1"/>
  <c r="AT209" i="16" s="1"/>
  <c r="AW209" i="16" s="1"/>
  <c r="AX209" i="16" s="1"/>
  <c r="AZ209" i="16" s="1"/>
  <c r="AQ208" i="16"/>
  <c r="Z209" i="16"/>
  <c r="U210" i="16" s="1"/>
  <c r="AC210" i="16" s="1"/>
  <c r="AD210" i="16" s="1"/>
  <c r="AE210" i="16" s="1"/>
  <c r="L249" i="16"/>
  <c r="N249" i="16" s="1"/>
  <c r="M250" i="16" s="1"/>
  <c r="P249" i="16"/>
  <c r="BG195" i="16"/>
  <c r="AU209" i="16" l="1"/>
  <c r="AV209" i="16" s="1"/>
  <c r="AL209" i="16"/>
  <c r="W210" i="16"/>
  <c r="BC196" i="16"/>
  <c r="O249" i="16"/>
  <c r="Q249" i="16"/>
  <c r="E250" i="16"/>
  <c r="L250" i="16" s="1"/>
  <c r="BO195" i="16"/>
  <c r="BP195" i="16" s="1"/>
  <c r="AJ284" i="15" s="1"/>
  <c r="BN195" i="16"/>
  <c r="AY209" i="16" l="1"/>
  <c r="AM209" i="16"/>
  <c r="AN209" i="16" s="1"/>
  <c r="AO209" i="16" s="1"/>
  <c r="AP209" i="16" s="1"/>
  <c r="AQ209" i="16" s="1"/>
  <c r="AA210" i="16"/>
  <c r="AK210" i="16" s="1"/>
  <c r="Y210" i="16"/>
  <c r="P250" i="16"/>
  <c r="Q250" i="16" s="1"/>
  <c r="S250" i="16" s="1"/>
  <c r="S249" i="16"/>
  <c r="BH196" i="16"/>
  <c r="BD196" i="16"/>
  <c r="BK196" i="16" s="1"/>
  <c r="BL196" i="16" s="1"/>
  <c r="BM196" i="16" s="1"/>
  <c r="N250" i="16"/>
  <c r="M251" i="16" s="1"/>
  <c r="E194" i="14"/>
  <c r="F194" i="14" s="1"/>
  <c r="H194" i="14" s="1"/>
  <c r="AD512" i="15"/>
  <c r="BQ195" i="16"/>
  <c r="AR209" i="16" l="1"/>
  <c r="AB210" i="16"/>
  <c r="Z210" i="16"/>
  <c r="BJ196" i="16"/>
  <c r="BE196" i="16"/>
  <c r="BF196" i="16" s="1"/>
  <c r="O250" i="16"/>
  <c r="U211" i="16" l="1"/>
  <c r="W211" i="16" s="1"/>
  <c r="AA211" i="16" s="1"/>
  <c r="AK211" i="16" s="1"/>
  <c r="AF210" i="16"/>
  <c r="BI196" i="16"/>
  <c r="BG196" i="16"/>
  <c r="E251" i="16"/>
  <c r="L251" i="16" s="1"/>
  <c r="P251" i="16"/>
  <c r="AG210" i="16" l="1"/>
  <c r="AL210" i="16" s="1"/>
  <c r="AY210" i="16" s="1"/>
  <c r="AC211" i="16"/>
  <c r="AD211" i="16" s="1"/>
  <c r="AE211" i="16" s="1"/>
  <c r="Y211" i="16"/>
  <c r="AB211" i="16" s="1"/>
  <c r="BC197" i="16"/>
  <c r="BH197" i="16" s="1"/>
  <c r="BO196" i="16"/>
  <c r="BP196" i="16" s="1"/>
  <c r="BN196" i="16"/>
  <c r="Q251" i="16"/>
  <c r="S251" i="16" s="1"/>
  <c r="N251" i="16"/>
  <c r="M252" i="16" s="1"/>
  <c r="AM210" i="16" l="1"/>
  <c r="AN210" i="16" s="1"/>
  <c r="AO210" i="16" s="1"/>
  <c r="AH210" i="16"/>
  <c r="AS210" i="16" s="1"/>
  <c r="AF211" i="16"/>
  <c r="Z211" i="16"/>
  <c r="U212" i="16" s="1"/>
  <c r="AC212" i="16" s="1"/>
  <c r="BD197" i="16"/>
  <c r="BE197" i="16" s="1"/>
  <c r="BF197" i="16" s="1"/>
  <c r="AD494" i="15"/>
  <c r="E195" i="14"/>
  <c r="F195" i="14" s="1"/>
  <c r="H195" i="14" s="1"/>
  <c r="AJ285" i="15"/>
  <c r="BQ196" i="16"/>
  <c r="O251" i="16"/>
  <c r="AG211" i="16" l="1"/>
  <c r="AL211" i="16" s="1"/>
  <c r="AY211" i="16" s="1"/>
  <c r="AT210" i="16"/>
  <c r="AW210" i="16" s="1"/>
  <c r="AX210" i="16" s="1"/>
  <c r="AZ210" i="16" s="1"/>
  <c r="AU210" i="16"/>
  <c r="AV210" i="16" s="1"/>
  <c r="AD212" i="16"/>
  <c r="AE212" i="16" s="1"/>
  <c r="W212" i="16"/>
  <c r="Y212" i="16" s="1"/>
  <c r="AB212" i="16" s="1"/>
  <c r="AP210" i="16"/>
  <c r="AQ210" i="16" s="1"/>
  <c r="BI197" i="16"/>
  <c r="BO197" i="16" s="1"/>
  <c r="BP197" i="16" s="1"/>
  <c r="AJ286" i="15" s="1"/>
  <c r="BG197" i="16"/>
  <c r="BK197" i="16"/>
  <c r="BL197" i="16" s="1"/>
  <c r="BM197" i="16" s="1"/>
  <c r="BJ197" i="16"/>
  <c r="E252" i="16"/>
  <c r="P252" i="16"/>
  <c r="AM211" i="16" l="1"/>
  <c r="AN211" i="16" s="1"/>
  <c r="AH211" i="16"/>
  <c r="AS211" i="16" s="1"/>
  <c r="AA212" i="16"/>
  <c r="AK212" i="16" s="1"/>
  <c r="Z212" i="16"/>
  <c r="U213" i="16" s="1"/>
  <c r="AC213" i="16" s="1"/>
  <c r="AF212" i="16"/>
  <c r="AG212" i="16" s="1"/>
  <c r="AH212" i="16" s="1"/>
  <c r="AS212" i="16" s="1"/>
  <c r="AT212" i="16" s="1"/>
  <c r="AR210" i="16"/>
  <c r="BC198" i="16"/>
  <c r="BH198" i="16" s="1"/>
  <c r="BN197" i="16"/>
  <c r="BQ197" i="16" s="1"/>
  <c r="L252" i="16"/>
  <c r="Q252" i="16"/>
  <c r="S252" i="16" s="1"/>
  <c r="AO211" i="16" l="1"/>
  <c r="AP211" i="16" s="1"/>
  <c r="AR211" i="16" s="1"/>
  <c r="AU211" i="16"/>
  <c r="AV211" i="16" s="1"/>
  <c r="AU212" i="16" s="1"/>
  <c r="AV212" i="16" s="1"/>
  <c r="AT211" i="16"/>
  <c r="AW211" i="16" s="1"/>
  <c r="AL212" i="16"/>
  <c r="AD514" i="15"/>
  <c r="E196" i="14"/>
  <c r="F196" i="14" s="1"/>
  <c r="H196" i="14" s="1"/>
  <c r="AD213" i="16"/>
  <c r="W213" i="16"/>
  <c r="BD198" i="16"/>
  <c r="BJ198" i="16" s="1"/>
  <c r="N252" i="16"/>
  <c r="M253" i="16" s="1"/>
  <c r="AQ211" i="16" l="1"/>
  <c r="AY212" i="16"/>
  <c r="AM212" i="16"/>
  <c r="AN212" i="16" s="1"/>
  <c r="AO212" i="16" s="1"/>
  <c r="AP212" i="16" s="1"/>
  <c r="AQ212" i="16" s="1"/>
  <c r="AX211" i="16"/>
  <c r="AZ211" i="16" s="1"/>
  <c r="BE198" i="16"/>
  <c r="BF198" i="16" s="1"/>
  <c r="AA213" i="16"/>
  <c r="AK213" i="16" s="1"/>
  <c r="Y213" i="16"/>
  <c r="AB213" i="16" s="1"/>
  <c r="O252" i="16"/>
  <c r="AE213" i="16"/>
  <c r="BK198" i="16"/>
  <c r="BL198" i="16" s="1"/>
  <c r="BM198" i="16" s="1"/>
  <c r="E253" i="16"/>
  <c r="L253" i="16" s="1"/>
  <c r="P253" i="16"/>
  <c r="AW212" i="16" l="1"/>
  <c r="AX212" i="16" s="1"/>
  <c r="AZ212" i="16" s="1"/>
  <c r="AR212" i="16"/>
  <c r="BI198" i="16"/>
  <c r="BO198" i="16" s="1"/>
  <c r="BP198" i="16" s="1"/>
  <c r="AJ287" i="15" s="1"/>
  <c r="BG198" i="16"/>
  <c r="BC199" i="16" s="1"/>
  <c r="BH199" i="16" s="1"/>
  <c r="Z213" i="16"/>
  <c r="AF213" i="16"/>
  <c r="AG213" i="16" s="1"/>
  <c r="AH213" i="16" s="1"/>
  <c r="AS213" i="16" s="1"/>
  <c r="Q253" i="16"/>
  <c r="S253" i="16" s="1"/>
  <c r="N253" i="16"/>
  <c r="M254" i="16" s="1"/>
  <c r="BN198" i="16" l="1"/>
  <c r="AD518" i="15" s="1"/>
  <c r="AL213" i="16"/>
  <c r="AY213" i="16" s="1"/>
  <c r="AT213" i="16"/>
  <c r="AW213" i="16" s="1"/>
  <c r="AX213" i="16" s="1"/>
  <c r="AZ213" i="16" s="1"/>
  <c r="AU213" i="16"/>
  <c r="AV213" i="16" s="1"/>
  <c r="U214" i="16"/>
  <c r="AC214" i="16" s="1"/>
  <c r="BD199" i="16"/>
  <c r="BJ199" i="16" s="1"/>
  <c r="E254" i="16"/>
  <c r="L254" i="16" s="1"/>
  <c r="O253" i="16"/>
  <c r="E197" i="14" l="1"/>
  <c r="F197" i="14" s="1"/>
  <c r="H197" i="14" s="1"/>
  <c r="BQ198" i="16"/>
  <c r="AM213" i="16"/>
  <c r="AN213" i="16" s="1"/>
  <c r="AO213" i="16" s="1"/>
  <c r="BE199" i="16"/>
  <c r="BF199" i="16" s="1"/>
  <c r="AD214" i="16"/>
  <c r="BK199" i="16"/>
  <c r="BL199" i="16" s="1"/>
  <c r="BM199" i="16" s="1"/>
  <c r="W214" i="16"/>
  <c r="AA214" i="16" s="1"/>
  <c r="AK214" i="16" s="1"/>
  <c r="N254" i="16"/>
  <c r="P254" i="16"/>
  <c r="BI199" i="16" l="1"/>
  <c r="BN199" i="16" s="1"/>
  <c r="BG199" i="16"/>
  <c r="BC200" i="16" s="1"/>
  <c r="AP213" i="16"/>
  <c r="AR213" i="16" s="1"/>
  <c r="AE214" i="16"/>
  <c r="Y214" i="16"/>
  <c r="AB214" i="16" s="1"/>
  <c r="M255" i="16"/>
  <c r="O254" i="16"/>
  <c r="Q254" i="16"/>
  <c r="S254" i="16" s="1"/>
  <c r="BO199" i="16" l="1"/>
  <c r="BP199" i="16" s="1"/>
  <c r="AJ288" i="15" s="1"/>
  <c r="AQ213" i="16"/>
  <c r="AF214" i="16"/>
  <c r="AG214" i="16" s="1"/>
  <c r="AH214" i="16" s="1"/>
  <c r="AS214" i="16" s="1"/>
  <c r="Z214" i="16"/>
  <c r="BD200" i="16"/>
  <c r="BH200" i="16"/>
  <c r="E255" i="16"/>
  <c r="L255" i="16" s="1"/>
  <c r="P255" i="16"/>
  <c r="Q255" i="16" s="1"/>
  <c r="S255" i="16" s="1"/>
  <c r="E198" i="14"/>
  <c r="F198" i="14" s="1"/>
  <c r="H198" i="14" s="1"/>
  <c r="AD521" i="15"/>
  <c r="BQ199" i="16" l="1"/>
  <c r="AU214" i="16"/>
  <c r="AV214" i="16" s="1"/>
  <c r="AT214" i="16"/>
  <c r="AW214" i="16" s="1"/>
  <c r="AX214" i="16" s="1"/>
  <c r="AZ214" i="16" s="1"/>
  <c r="AL214" i="16"/>
  <c r="AY214" i="16" s="1"/>
  <c r="U215" i="16"/>
  <c r="AC215" i="16" s="1"/>
  <c r="AD215" i="16" s="1"/>
  <c r="BE200" i="16"/>
  <c r="BF200" i="16" s="1"/>
  <c r="BI200" i="16" s="1"/>
  <c r="N255" i="16"/>
  <c r="M256" i="16" s="1"/>
  <c r="P256" i="16" s="1"/>
  <c r="BJ200" i="16"/>
  <c r="BK200" i="16"/>
  <c r="BL200" i="16" s="1"/>
  <c r="BM200" i="16" s="1"/>
  <c r="AM214" i="16" l="1"/>
  <c r="AN214" i="16" s="1"/>
  <c r="AO214" i="16" s="1"/>
  <c r="E256" i="16"/>
  <c r="L256" i="16" s="1"/>
  <c r="O255" i="16"/>
  <c r="W215" i="16"/>
  <c r="AA215" i="16" s="1"/>
  <c r="AK215" i="16" s="1"/>
  <c r="AE215" i="16"/>
  <c r="Q256" i="16"/>
  <c r="S256" i="16" s="1"/>
  <c r="BO200" i="16"/>
  <c r="BP200" i="16" s="1"/>
  <c r="AJ289" i="15" s="1"/>
  <c r="BN200" i="16"/>
  <c r="BG200" i="16"/>
  <c r="N256" i="16" l="1"/>
  <c r="M257" i="16" s="1"/>
  <c r="Y215" i="16"/>
  <c r="AB215" i="16" s="1"/>
  <c r="AP214" i="16"/>
  <c r="AR214" i="16" s="1"/>
  <c r="BC201" i="16"/>
  <c r="BH201" i="16" s="1"/>
  <c r="E199" i="14"/>
  <c r="F199" i="14" s="1"/>
  <c r="H199" i="14" s="1"/>
  <c r="AD523" i="15"/>
  <c r="BQ200" i="16"/>
  <c r="O256" i="16" l="1"/>
  <c r="Z215" i="16"/>
  <c r="U216" i="16" s="1"/>
  <c r="AC216" i="16" s="1"/>
  <c r="AQ214" i="16"/>
  <c r="AF215" i="16"/>
  <c r="BD201" i="16"/>
  <c r="BJ201" i="16" s="1"/>
  <c r="E257" i="16"/>
  <c r="P257" i="16"/>
  <c r="AG215" i="16" l="1"/>
  <c r="BK201" i="16"/>
  <c r="BL201" i="16" s="1"/>
  <c r="BM201" i="16" s="1"/>
  <c r="BE201" i="16"/>
  <c r="BF201" i="16" s="1"/>
  <c r="BI201" i="16" s="1"/>
  <c r="AD216" i="16"/>
  <c r="W216" i="16"/>
  <c r="L257" i="16"/>
  <c r="Q257" i="16"/>
  <c r="S257" i="16" s="1"/>
  <c r="AL215" i="16" l="1"/>
  <c r="AY215" i="16" s="1"/>
  <c r="AH215" i="16"/>
  <c r="AS215" i="16" s="1"/>
  <c r="BG201" i="16"/>
  <c r="BC202" i="16" s="1"/>
  <c r="BH202" i="16" s="1"/>
  <c r="AA216" i="16"/>
  <c r="AK216" i="16" s="1"/>
  <c r="Y216" i="16"/>
  <c r="AB216" i="16" s="1"/>
  <c r="AE216" i="16"/>
  <c r="N257" i="16"/>
  <c r="M258" i="16" s="1"/>
  <c r="BO201" i="16"/>
  <c r="BP201" i="16" s="1"/>
  <c r="AJ290" i="15" s="1"/>
  <c r="BN201" i="16"/>
  <c r="AM215" i="16" l="1"/>
  <c r="AN215" i="16" s="1"/>
  <c r="AO215" i="16" s="1"/>
  <c r="AP215" i="16" s="1"/>
  <c r="AQ215" i="16" s="1"/>
  <c r="AT215" i="16"/>
  <c r="AW215" i="16" s="1"/>
  <c r="AU215" i="16"/>
  <c r="AV215" i="16" s="1"/>
  <c r="BD202" i="16"/>
  <c r="BJ202" i="16" s="1"/>
  <c r="Z216" i="16"/>
  <c r="AF216" i="16"/>
  <c r="AG216" i="16" s="1"/>
  <c r="AH216" i="16" s="1"/>
  <c r="AS216" i="16" s="1"/>
  <c r="AT216" i="16" s="1"/>
  <c r="O257" i="16"/>
  <c r="E258" i="16"/>
  <c r="L258" i="16" s="1"/>
  <c r="P258" i="16"/>
  <c r="E200" i="14"/>
  <c r="F200" i="14" s="1"/>
  <c r="H200" i="14" s="1"/>
  <c r="AD525" i="15"/>
  <c r="BQ201" i="16"/>
  <c r="AR215" i="16" l="1"/>
  <c r="AL216" i="16"/>
  <c r="AM216" i="16" s="1"/>
  <c r="AU216" i="16"/>
  <c r="AV216" i="16" s="1"/>
  <c r="AX215" i="16"/>
  <c r="AZ215" i="16" s="1"/>
  <c r="BE202" i="16"/>
  <c r="BF202" i="16" s="1"/>
  <c r="BI202" i="16" s="1"/>
  <c r="BK202" i="16"/>
  <c r="BL202" i="16" s="1"/>
  <c r="BM202" i="16" s="1"/>
  <c r="U217" i="16"/>
  <c r="AC217" i="16" s="1"/>
  <c r="Q258" i="16"/>
  <c r="S258" i="16" s="1"/>
  <c r="N258" i="16"/>
  <c r="M259" i="16" s="1"/>
  <c r="AY216" i="16" l="1"/>
  <c r="BG202" i="16"/>
  <c r="BC203" i="16" s="1"/>
  <c r="BH203" i="16" s="1"/>
  <c r="AW216" i="16"/>
  <c r="AX216" i="16" s="1"/>
  <c r="AZ216" i="16" s="1"/>
  <c r="W217" i="16"/>
  <c r="AA217" i="16" s="1"/>
  <c r="AK217" i="16" s="1"/>
  <c r="AD217" i="16"/>
  <c r="AN216" i="16"/>
  <c r="O258" i="16"/>
  <c r="BO202" i="16"/>
  <c r="BP202" i="16" s="1"/>
  <c r="AJ291" i="15" s="1"/>
  <c r="BN202" i="16"/>
  <c r="Y217" i="16" l="1"/>
  <c r="AB217" i="16" s="1"/>
  <c r="AE217" i="16"/>
  <c r="AO216" i="16"/>
  <c r="AP216" i="16" s="1"/>
  <c r="AQ216" i="16" s="1"/>
  <c r="BD203" i="16"/>
  <c r="BJ203" i="16" s="1"/>
  <c r="E259" i="16"/>
  <c r="L259" i="16" s="1"/>
  <c r="P259" i="16"/>
  <c r="E201" i="14"/>
  <c r="F201" i="14" s="1"/>
  <c r="H201" i="14" s="1"/>
  <c r="AD527" i="15"/>
  <c r="BQ202" i="16"/>
  <c r="Z217" i="16" l="1"/>
  <c r="AF217" i="16"/>
  <c r="AG217" i="16" s="1"/>
  <c r="AH217" i="16" s="1"/>
  <c r="AS217" i="16" s="1"/>
  <c r="AU217" i="16" s="1"/>
  <c r="AV217" i="16" s="1"/>
  <c r="BE203" i="16"/>
  <c r="BF203" i="16" s="1"/>
  <c r="BI203" i="16" s="1"/>
  <c r="BK203" i="16"/>
  <c r="BL203" i="16" s="1"/>
  <c r="BM203" i="16" s="1"/>
  <c r="U218" i="16"/>
  <c r="AC218" i="16" s="1"/>
  <c r="AR216" i="16"/>
  <c r="Q259" i="16"/>
  <c r="S259" i="16" s="1"/>
  <c r="N259" i="16"/>
  <c r="M260" i="16" s="1"/>
  <c r="AT217" i="16" l="1"/>
  <c r="AW217" i="16" s="1"/>
  <c r="AX217" i="16" s="1"/>
  <c r="AZ217" i="16" s="1"/>
  <c r="AL217" i="16"/>
  <c r="AY217" i="16" s="1"/>
  <c r="BG203" i="16"/>
  <c r="BC204" i="16" s="1"/>
  <c r="AD218" i="16"/>
  <c r="W218" i="16"/>
  <c r="E260" i="16"/>
  <c r="L260" i="16" s="1"/>
  <c r="O259" i="16"/>
  <c r="BO203" i="16"/>
  <c r="BP203" i="16" s="1"/>
  <c r="AJ292" i="15" s="1"/>
  <c r="BN203" i="16"/>
  <c r="AM217" i="16" l="1"/>
  <c r="AN217" i="16" s="1"/>
  <c r="AA218" i="16"/>
  <c r="AK218" i="16" s="1"/>
  <c r="Y218" i="16"/>
  <c r="AB218" i="16" s="1"/>
  <c r="AE218" i="16"/>
  <c r="AO217" i="16"/>
  <c r="BD204" i="16"/>
  <c r="BH204" i="16"/>
  <c r="N260" i="16"/>
  <c r="M261" i="16" s="1"/>
  <c r="P260" i="16"/>
  <c r="E202" i="14"/>
  <c r="F202" i="14" s="1"/>
  <c r="H202" i="14" s="1"/>
  <c r="AD528" i="15"/>
  <c r="BQ203" i="16"/>
  <c r="Z218" i="16" l="1"/>
  <c r="AP217" i="16"/>
  <c r="AR217" i="16" s="1"/>
  <c r="AF218" i="16"/>
  <c r="BE204" i="16"/>
  <c r="BF204" i="16" s="1"/>
  <c r="BI204" i="16" s="1"/>
  <c r="Q260" i="16"/>
  <c r="S260" i="16" s="1"/>
  <c r="O260" i="16"/>
  <c r="BJ204" i="16"/>
  <c r="BK204" i="16"/>
  <c r="BL204" i="16" s="1"/>
  <c r="BM204" i="16" s="1"/>
  <c r="AG218" i="16" l="1"/>
  <c r="AL218" i="16" s="1"/>
  <c r="AY218" i="16" s="1"/>
  <c r="AQ217" i="16"/>
  <c r="U219" i="16"/>
  <c r="AC219" i="16" s="1"/>
  <c r="E261" i="16"/>
  <c r="L261" i="16" s="1"/>
  <c r="P261" i="16"/>
  <c r="BG204" i="16"/>
  <c r="AM218" i="16" l="1"/>
  <c r="AN218" i="16" s="1"/>
  <c r="AO218" i="16" s="1"/>
  <c r="AH218" i="16"/>
  <c r="AS218" i="16" s="1"/>
  <c r="W219" i="16"/>
  <c r="AA219" i="16" s="1"/>
  <c r="AK219" i="16" s="1"/>
  <c r="AD219" i="16"/>
  <c r="BC205" i="16"/>
  <c r="BH205" i="16" s="1"/>
  <c r="Q261" i="16"/>
  <c r="S261" i="16" s="1"/>
  <c r="N261" i="16"/>
  <c r="M262" i="16" s="1"/>
  <c r="BO204" i="16"/>
  <c r="BP204" i="16" s="1"/>
  <c r="AJ293" i="15" s="1"/>
  <c r="BN204" i="16"/>
  <c r="AT218" i="16" l="1"/>
  <c r="AW218" i="16" s="1"/>
  <c r="AX218" i="16" s="1"/>
  <c r="AZ218" i="16" s="1"/>
  <c r="AU218" i="16"/>
  <c r="AV218" i="16" s="1"/>
  <c r="Y219" i="16"/>
  <c r="AP218" i="16"/>
  <c r="AQ218" i="16" s="1"/>
  <c r="AE219" i="16"/>
  <c r="BD205" i="16"/>
  <c r="BE205" i="16" s="1"/>
  <c r="BF205" i="16" s="1"/>
  <c r="BI205" i="16" s="1"/>
  <c r="O261" i="16"/>
  <c r="E203" i="14"/>
  <c r="F203" i="14" s="1"/>
  <c r="H203" i="14" s="1"/>
  <c r="AD530" i="15"/>
  <c r="BQ204" i="16"/>
  <c r="AB219" i="16" l="1"/>
  <c r="Z219" i="16"/>
  <c r="U220" i="16" s="1"/>
  <c r="AC220" i="16" s="1"/>
  <c r="AD220" i="16" s="1"/>
  <c r="AE220" i="16" s="1"/>
  <c r="AR218" i="16"/>
  <c r="BJ205" i="16"/>
  <c r="BK205" i="16"/>
  <c r="BL205" i="16" s="1"/>
  <c r="BM205" i="16" s="1"/>
  <c r="E262" i="16"/>
  <c r="L262" i="16" s="1"/>
  <c r="P262" i="16"/>
  <c r="BO205" i="16"/>
  <c r="BP205" i="16" s="1"/>
  <c r="AJ294" i="15" s="1"/>
  <c r="BG205" i="16"/>
  <c r="W220" i="16" l="1"/>
  <c r="AA220" i="16" s="1"/>
  <c r="AK220" i="16" s="1"/>
  <c r="AF219" i="16"/>
  <c r="AG219" i="16" s="1"/>
  <c r="AH219" i="16" s="1"/>
  <c r="AS219" i="16" s="1"/>
  <c r="BN205" i="16"/>
  <c r="E204" i="14" s="1"/>
  <c r="F204" i="14" s="1"/>
  <c r="H204" i="14" s="1"/>
  <c r="BC206" i="16"/>
  <c r="BH206" i="16" s="1"/>
  <c r="Q262" i="16"/>
  <c r="S262" i="16" s="1"/>
  <c r="N262" i="16"/>
  <c r="M263" i="16" s="1"/>
  <c r="BQ205" i="16" l="1"/>
  <c r="AT219" i="16"/>
  <c r="AW219" i="16" s="1"/>
  <c r="AX219" i="16" s="1"/>
  <c r="AZ219" i="16" s="1"/>
  <c r="AU219" i="16"/>
  <c r="AV219" i="16" s="1"/>
  <c r="AL219" i="16"/>
  <c r="Y220" i="16"/>
  <c r="AB220" i="16" s="1"/>
  <c r="AD532" i="15"/>
  <c r="BD206" i="16"/>
  <c r="BE206" i="16" s="1"/>
  <c r="E263" i="16"/>
  <c r="O262" i="16"/>
  <c r="Z220" i="16" l="1"/>
  <c r="U221" i="16" s="1"/>
  <c r="AC221" i="16" s="1"/>
  <c r="AD221" i="16" s="1"/>
  <c r="AF220" i="16"/>
  <c r="AY219" i="16"/>
  <c r="AM219" i="16"/>
  <c r="AN219" i="16" s="1"/>
  <c r="AO219" i="16" s="1"/>
  <c r="AP219" i="16" s="1"/>
  <c r="BK206" i="16"/>
  <c r="BL206" i="16" s="1"/>
  <c r="BM206" i="16" s="1"/>
  <c r="BJ206" i="16"/>
  <c r="BF206" i="16"/>
  <c r="BI206" i="16" s="1"/>
  <c r="L263" i="16"/>
  <c r="P263" i="16"/>
  <c r="W221" i="16" l="1"/>
  <c r="AA221" i="16" s="1"/>
  <c r="AK221" i="16" s="1"/>
  <c r="AG220" i="16"/>
  <c r="AR219" i="16"/>
  <c r="AQ219" i="16"/>
  <c r="Y221" i="16"/>
  <c r="AE221" i="16"/>
  <c r="BG206" i="16"/>
  <c r="N263" i="16"/>
  <c r="M264" i="16" s="1"/>
  <c r="Q263" i="16"/>
  <c r="S263" i="16" s="1"/>
  <c r="BO206" i="16"/>
  <c r="BP206" i="16" s="1"/>
  <c r="AJ295" i="15" s="1"/>
  <c r="BN206" i="16"/>
  <c r="AL220" i="16" l="1"/>
  <c r="AY220" i="16" s="1"/>
  <c r="AH220" i="16"/>
  <c r="AS220" i="16" s="1"/>
  <c r="O263" i="16"/>
  <c r="AB221" i="16"/>
  <c r="Z221" i="16"/>
  <c r="BC207" i="16"/>
  <c r="BH207" i="16" s="1"/>
  <c r="P264" i="16"/>
  <c r="E264" i="16"/>
  <c r="L264" i="16" s="1"/>
  <c r="E205" i="14"/>
  <c r="F205" i="14" s="1"/>
  <c r="H205" i="14" s="1"/>
  <c r="AD529" i="15"/>
  <c r="BQ206" i="16"/>
  <c r="AT220" i="16" l="1"/>
  <c r="AW220" i="16" s="1"/>
  <c r="AU220" i="16"/>
  <c r="AV220" i="16" s="1"/>
  <c r="AM220" i="16"/>
  <c r="AN220" i="16" s="1"/>
  <c r="AO220" i="16" s="1"/>
  <c r="BD207" i="16"/>
  <c r="BJ207" i="16" s="1"/>
  <c r="AF221" i="16"/>
  <c r="AG221" i="16" s="1"/>
  <c r="AH221" i="16" s="1"/>
  <c r="AS221" i="16" s="1"/>
  <c r="AT221" i="16" s="1"/>
  <c r="U222" i="16"/>
  <c r="AC222" i="16" s="1"/>
  <c r="N264" i="16"/>
  <c r="M265" i="16" s="1"/>
  <c r="Q264" i="16"/>
  <c r="S264" i="16" s="1"/>
  <c r="AU221" i="16" l="1"/>
  <c r="AV221" i="16" s="1"/>
  <c r="AP220" i="16"/>
  <c r="AR220" i="16" s="1"/>
  <c r="AL221" i="16"/>
  <c r="AM221" i="16" s="1"/>
  <c r="AX220" i="16"/>
  <c r="AZ220" i="16" s="1"/>
  <c r="BE207" i="16"/>
  <c r="BF207" i="16" s="1"/>
  <c r="BG207" i="16" s="1"/>
  <c r="BK207" i="16"/>
  <c r="BL207" i="16" s="1"/>
  <c r="BM207" i="16" s="1"/>
  <c r="W222" i="16"/>
  <c r="AA222" i="16" s="1"/>
  <c r="AK222" i="16" s="1"/>
  <c r="AD222" i="16"/>
  <c r="E265" i="16"/>
  <c r="O264" i="16"/>
  <c r="AQ220" i="16" l="1"/>
  <c r="AY221" i="16"/>
  <c r="AW221" i="16"/>
  <c r="AX221" i="16" s="1"/>
  <c r="AZ221" i="16" s="1"/>
  <c r="BI207" i="16"/>
  <c r="BO207" i="16" s="1"/>
  <c r="BP207" i="16" s="1"/>
  <c r="AJ106" i="15" s="1"/>
  <c r="Y222" i="16"/>
  <c r="AB222" i="16" s="1"/>
  <c r="AE222" i="16"/>
  <c r="AN221" i="16"/>
  <c r="AO221" i="16" s="1"/>
  <c r="BC208" i="16"/>
  <c r="BH208" i="16" s="1"/>
  <c r="L265" i="16"/>
  <c r="P265" i="16"/>
  <c r="BN207" i="16" l="1"/>
  <c r="BQ207" i="16" s="1"/>
  <c r="AF222" i="16"/>
  <c r="AG222" i="16" s="1"/>
  <c r="AH222" i="16" s="1"/>
  <c r="AS222" i="16" s="1"/>
  <c r="Z222" i="16"/>
  <c r="U223" i="16" s="1"/>
  <c r="AC223" i="16" s="1"/>
  <c r="AP221" i="16"/>
  <c r="AR221" i="16" s="1"/>
  <c r="BD208" i="16"/>
  <c r="N265" i="16"/>
  <c r="O265" i="16" s="1"/>
  <c r="Q265" i="16"/>
  <c r="S265" i="16" s="1"/>
  <c r="E206" i="14" l="1"/>
  <c r="F206" i="14" s="1"/>
  <c r="H206" i="14" s="1"/>
  <c r="AD466" i="15"/>
  <c r="AT222" i="16"/>
  <c r="AW222" i="16" s="1"/>
  <c r="AX222" i="16" s="1"/>
  <c r="AZ222" i="16" s="1"/>
  <c r="AU222" i="16"/>
  <c r="AV222" i="16" s="1"/>
  <c r="AL222" i="16"/>
  <c r="AQ221" i="16"/>
  <c r="AD223" i="16"/>
  <c r="W223" i="16"/>
  <c r="AA223" i="16" s="1"/>
  <c r="AK223" i="16" s="1"/>
  <c r="BJ208" i="16"/>
  <c r="BK208" i="16"/>
  <c r="BL208" i="16" s="1"/>
  <c r="BM208" i="16" s="1"/>
  <c r="BE208" i="16"/>
  <c r="BF208" i="16" s="1"/>
  <c r="M266" i="16"/>
  <c r="AY222" i="16" l="1"/>
  <c r="AM222" i="16"/>
  <c r="AN222" i="16" s="1"/>
  <c r="E266" i="16"/>
  <c r="L266" i="16" s="1"/>
  <c r="Y223" i="16"/>
  <c r="AE223" i="16"/>
  <c r="P266" i="16"/>
  <c r="Q266" i="16" s="1"/>
  <c r="S266" i="16" s="1"/>
  <c r="BI208" i="16"/>
  <c r="BG208" i="16"/>
  <c r="AO222" i="16" l="1"/>
  <c r="AP222" i="16" s="1"/>
  <c r="AR222" i="16" s="1"/>
  <c r="AB223" i="16"/>
  <c r="Z223" i="16"/>
  <c r="BC209" i="16"/>
  <c r="BH209" i="16" s="1"/>
  <c r="BO208" i="16"/>
  <c r="BP208" i="16" s="1"/>
  <c r="BN208" i="16"/>
  <c r="N266" i="16"/>
  <c r="M267" i="16" s="1"/>
  <c r="AF223" i="16" l="1"/>
  <c r="AG223" i="16" s="1"/>
  <c r="AH223" i="16" s="1"/>
  <c r="AS223" i="16" s="1"/>
  <c r="BD209" i="16"/>
  <c r="BK209" i="16" s="1"/>
  <c r="BL209" i="16" s="1"/>
  <c r="BM209" i="16" s="1"/>
  <c r="AQ222" i="16"/>
  <c r="U224" i="16"/>
  <c r="AC224" i="16" s="1"/>
  <c r="AD404" i="15"/>
  <c r="E207" i="14"/>
  <c r="F207" i="14" s="1"/>
  <c r="H207" i="14" s="1"/>
  <c r="AJ92" i="15"/>
  <c r="BQ208" i="16"/>
  <c r="O266" i="16"/>
  <c r="AT223" i="16" l="1"/>
  <c r="AW223" i="16" s="1"/>
  <c r="AX223" i="16" s="1"/>
  <c r="AZ223" i="16" s="1"/>
  <c r="AU223" i="16"/>
  <c r="AV223" i="16" s="1"/>
  <c r="AL223" i="16"/>
  <c r="AY223" i="16" s="1"/>
  <c r="W224" i="16"/>
  <c r="AA224" i="16" s="1"/>
  <c r="AK224" i="16" s="1"/>
  <c r="AD224" i="16"/>
  <c r="BJ209" i="16"/>
  <c r="BE209" i="16"/>
  <c r="BF209" i="16" s="1"/>
  <c r="P267" i="16"/>
  <c r="Q267" i="16" s="1"/>
  <c r="S267" i="16" s="1"/>
  <c r="E267" i="16"/>
  <c r="L267" i="16" s="1"/>
  <c r="AM223" i="16" l="1"/>
  <c r="Y224" i="16"/>
  <c r="AB224" i="16" s="1"/>
  <c r="BG209" i="16"/>
  <c r="BC210" i="16" s="1"/>
  <c r="BH210" i="16" s="1"/>
  <c r="BI209" i="16"/>
  <c r="BO209" i="16" s="1"/>
  <c r="BP209" i="16" s="1"/>
  <c r="AE224" i="16"/>
  <c r="AN223" i="16"/>
  <c r="AO223" i="16" s="1"/>
  <c r="N267" i="16"/>
  <c r="M268" i="16" s="1"/>
  <c r="AF224" i="16" l="1"/>
  <c r="Z224" i="16"/>
  <c r="U225" i="16" s="1"/>
  <c r="AC225" i="16" s="1"/>
  <c r="BN209" i="16"/>
  <c r="E208" i="14" s="1"/>
  <c r="F208" i="14" s="1"/>
  <c r="H208" i="14" s="1"/>
  <c r="AP223" i="16"/>
  <c r="AQ223" i="16" s="1"/>
  <c r="BD210" i="16"/>
  <c r="AJ296" i="15"/>
  <c r="E268" i="16"/>
  <c r="L268" i="16" s="1"/>
  <c r="O267" i="16"/>
  <c r="AD416" i="15" l="1"/>
  <c r="BQ209" i="16"/>
  <c r="W225" i="16"/>
  <c r="AA225" i="16" s="1"/>
  <c r="AK225" i="16" s="1"/>
  <c r="AG224" i="16"/>
  <c r="AD225" i="16"/>
  <c r="AE225" i="16" s="1"/>
  <c r="AR223" i="16"/>
  <c r="BJ210" i="16"/>
  <c r="BK210" i="16"/>
  <c r="BL210" i="16" s="1"/>
  <c r="BM210" i="16" s="1"/>
  <c r="BE210" i="16"/>
  <c r="BF210" i="16" s="1"/>
  <c r="N268" i="16"/>
  <c r="M269" i="16" s="1"/>
  <c r="P268" i="16"/>
  <c r="Q268" i="16" s="1"/>
  <c r="S268" i="16" s="1"/>
  <c r="Y225" i="16" l="1"/>
  <c r="AB225" i="16" s="1"/>
  <c r="O268" i="16"/>
  <c r="AL224" i="16"/>
  <c r="AY224" i="16" s="1"/>
  <c r="AH224" i="16"/>
  <c r="AS224" i="16" s="1"/>
  <c r="BI210" i="16"/>
  <c r="BG210" i="16"/>
  <c r="E269" i="16"/>
  <c r="P269" i="16"/>
  <c r="Z225" i="16" l="1"/>
  <c r="AM224" i="16"/>
  <c r="AN224" i="16" s="1"/>
  <c r="AO224" i="16" s="1"/>
  <c r="AP224" i="16" s="1"/>
  <c r="AQ224" i="16" s="1"/>
  <c r="AU224" i="16"/>
  <c r="AV224" i="16" s="1"/>
  <c r="AT224" i="16"/>
  <c r="AW224" i="16" s="1"/>
  <c r="U226" i="16"/>
  <c r="AC226" i="16" s="1"/>
  <c r="AF225" i="16"/>
  <c r="AG225" i="16" s="1"/>
  <c r="AH225" i="16" s="1"/>
  <c r="AS225" i="16" s="1"/>
  <c r="AT225" i="16" s="1"/>
  <c r="BC211" i="16"/>
  <c r="BH211" i="16" s="1"/>
  <c r="BN210" i="16"/>
  <c r="BO210" i="16"/>
  <c r="BP210" i="16" s="1"/>
  <c r="L269" i="16"/>
  <c r="Q269" i="16"/>
  <c r="S269" i="16" s="1"/>
  <c r="AR224" i="16" l="1"/>
  <c r="AL225" i="16"/>
  <c r="AM225" i="16" s="1"/>
  <c r="AX224" i="16"/>
  <c r="AZ224" i="16" s="1"/>
  <c r="AU225" i="16"/>
  <c r="AV225" i="16" s="1"/>
  <c r="AD226" i="16"/>
  <c r="W226" i="16"/>
  <c r="AA226" i="16" s="1"/>
  <c r="AK226" i="16" s="1"/>
  <c r="BD211" i="16"/>
  <c r="E209" i="14"/>
  <c r="F209" i="14" s="1"/>
  <c r="H209" i="14" s="1"/>
  <c r="AD439" i="15"/>
  <c r="AJ297" i="15"/>
  <c r="BQ210" i="16"/>
  <c r="N269" i="16"/>
  <c r="M270" i="16" s="1"/>
  <c r="E270" i="16" s="1"/>
  <c r="L270" i="16" s="1"/>
  <c r="AY225" i="16" l="1"/>
  <c r="AW225" i="16"/>
  <c r="AX225" i="16" s="1"/>
  <c r="AZ225" i="16" s="1"/>
  <c r="P270" i="16"/>
  <c r="Q270" i="16" s="1"/>
  <c r="S270" i="16" s="1"/>
  <c r="O269" i="16"/>
  <c r="N270" i="16" s="1"/>
  <c r="M271" i="16" s="1"/>
  <c r="Y226" i="16"/>
  <c r="AE226" i="16"/>
  <c r="AN225" i="16"/>
  <c r="AO225" i="16" s="1"/>
  <c r="BK211" i="16"/>
  <c r="BL211" i="16" s="1"/>
  <c r="BM211" i="16" s="1"/>
  <c r="BJ211" i="16"/>
  <c r="BE211" i="16"/>
  <c r="BF211" i="16" s="1"/>
  <c r="AP225" i="16" l="1"/>
  <c r="AQ225" i="16" s="1"/>
  <c r="AB226" i="16"/>
  <c r="Z226" i="16"/>
  <c r="BI211" i="16"/>
  <c r="BG211" i="16"/>
  <c r="O270" i="16"/>
  <c r="AR225" i="16" l="1"/>
  <c r="U227" i="16"/>
  <c r="AC227" i="16" s="1"/>
  <c r="AF226" i="16"/>
  <c r="AG226" i="16" s="1"/>
  <c r="AH226" i="16" s="1"/>
  <c r="AS226" i="16" s="1"/>
  <c r="BC212" i="16"/>
  <c r="BH212" i="16" s="1"/>
  <c r="BO211" i="16"/>
  <c r="BP211" i="16" s="1"/>
  <c r="BN211" i="16"/>
  <c r="E271" i="16"/>
  <c r="L271" i="16" s="1"/>
  <c r="P271" i="16"/>
  <c r="AT226" i="16" l="1"/>
  <c r="AW226" i="16" s="1"/>
  <c r="AX226" i="16" s="1"/>
  <c r="AZ226" i="16" s="1"/>
  <c r="AU226" i="16"/>
  <c r="AV226" i="16" s="1"/>
  <c r="AL226" i="16"/>
  <c r="AY226" i="16" s="1"/>
  <c r="AD227" i="16"/>
  <c r="W227" i="16"/>
  <c r="AA227" i="16" s="1"/>
  <c r="AK227" i="16" s="1"/>
  <c r="AJ298" i="15"/>
  <c r="BQ211" i="16"/>
  <c r="AD465" i="15"/>
  <c r="E210" i="14"/>
  <c r="F210" i="14" s="1"/>
  <c r="H210" i="14" s="1"/>
  <c r="BD212" i="16"/>
  <c r="BE212" i="16" s="1"/>
  <c r="Q271" i="16"/>
  <c r="S271" i="16" s="1"/>
  <c r="N271" i="16"/>
  <c r="M272" i="16" s="1"/>
  <c r="AM226" i="16" l="1"/>
  <c r="AN226" i="16" s="1"/>
  <c r="AO226" i="16" s="1"/>
  <c r="Y227" i="16"/>
  <c r="AB227" i="16" s="1"/>
  <c r="AE227" i="16"/>
  <c r="BF212" i="16"/>
  <c r="BK212" i="16"/>
  <c r="BJ212" i="16"/>
  <c r="O271" i="16"/>
  <c r="Z227" i="16" l="1"/>
  <c r="U228" i="16" s="1"/>
  <c r="AC228" i="16" s="1"/>
  <c r="AF227" i="16"/>
  <c r="AG227" i="16" s="1"/>
  <c r="AH227" i="16" s="1"/>
  <c r="AS227" i="16" s="1"/>
  <c r="AP226" i="16"/>
  <c r="AR226" i="16" s="1"/>
  <c r="BL212" i="16"/>
  <c r="BM212" i="16" s="1"/>
  <c r="BI212" i="16"/>
  <c r="BG212" i="16"/>
  <c r="E272" i="16"/>
  <c r="L272" i="16" s="1"/>
  <c r="P272" i="16"/>
  <c r="AT227" i="16" l="1"/>
  <c r="AW227" i="16" s="1"/>
  <c r="AX227" i="16" s="1"/>
  <c r="AZ227" i="16" s="1"/>
  <c r="AU227" i="16"/>
  <c r="AV227" i="16" s="1"/>
  <c r="AL227" i="16"/>
  <c r="AY227" i="16" s="1"/>
  <c r="W228" i="16"/>
  <c r="AA228" i="16" s="1"/>
  <c r="AK228" i="16" s="1"/>
  <c r="AD228" i="16"/>
  <c r="AQ226" i="16"/>
  <c r="BN212" i="16"/>
  <c r="BO212" i="16"/>
  <c r="BP212" i="16" s="1"/>
  <c r="BC213" i="16"/>
  <c r="BH213" i="16" s="1"/>
  <c r="Q272" i="16"/>
  <c r="S272" i="16" s="1"/>
  <c r="N272" i="16"/>
  <c r="M273" i="16" s="1"/>
  <c r="AM227" i="16" l="1"/>
  <c r="AN227" i="16" s="1"/>
  <c r="AO227" i="16" s="1"/>
  <c r="AP227" i="16" s="1"/>
  <c r="AQ227" i="16" s="1"/>
  <c r="Y228" i="16"/>
  <c r="AB228" i="16" s="1"/>
  <c r="AE228" i="16"/>
  <c r="AJ299" i="15"/>
  <c r="BQ212" i="16"/>
  <c r="BD213" i="16"/>
  <c r="AD496" i="15"/>
  <c r="E211" i="14"/>
  <c r="F211" i="14" s="1"/>
  <c r="H211" i="14" s="1"/>
  <c r="O272" i="16"/>
  <c r="E273" i="16"/>
  <c r="L273" i="16" s="1"/>
  <c r="Z228" i="16" l="1"/>
  <c r="U229" i="16" s="1"/>
  <c r="AC229" i="16" s="1"/>
  <c r="AF228" i="16"/>
  <c r="AG228" i="16" s="1"/>
  <c r="AH228" i="16" s="1"/>
  <c r="AS228" i="16" s="1"/>
  <c r="AT228" i="16" s="1"/>
  <c r="AW228" i="16" s="1"/>
  <c r="AX228" i="16" s="1"/>
  <c r="AZ228" i="16" s="1"/>
  <c r="AR227" i="16"/>
  <c r="BJ213" i="16"/>
  <c r="BK213" i="16"/>
  <c r="BE213" i="16"/>
  <c r="BF213" i="16" s="1"/>
  <c r="N273" i="16"/>
  <c r="M274" i="16" s="1"/>
  <c r="P273" i="16"/>
  <c r="AU228" i="16" l="1"/>
  <c r="AV228" i="16" s="1"/>
  <c r="AL228" i="16"/>
  <c r="AD229" i="16"/>
  <c r="W229" i="16"/>
  <c r="AA229" i="16" s="1"/>
  <c r="AK229" i="16" s="1"/>
  <c r="BI213" i="16"/>
  <c r="BG213" i="16"/>
  <c r="BL213" i="16"/>
  <c r="BM213" i="16" s="1"/>
  <c r="Q273" i="16"/>
  <c r="S273" i="16" s="1"/>
  <c r="O273" i="16"/>
  <c r="AY228" i="16" l="1"/>
  <c r="AM228" i="16"/>
  <c r="AN228" i="16" s="1"/>
  <c r="AO228" i="16" s="1"/>
  <c r="AP228" i="16" s="1"/>
  <c r="AQ228" i="16" s="1"/>
  <c r="AE229" i="16"/>
  <c r="Y229" i="16"/>
  <c r="AB229" i="16" s="1"/>
  <c r="BC214" i="16"/>
  <c r="BH214" i="16" s="1"/>
  <c r="BO213" i="16"/>
  <c r="BP213" i="16" s="1"/>
  <c r="BN213" i="16"/>
  <c r="P274" i="16"/>
  <c r="E274" i="16"/>
  <c r="L274" i="16" s="1"/>
  <c r="AR228" i="16" l="1"/>
  <c r="AF229" i="16"/>
  <c r="AG229" i="16" s="1"/>
  <c r="AH229" i="16" s="1"/>
  <c r="AS229" i="16" s="1"/>
  <c r="Z229" i="16"/>
  <c r="AJ300" i="15"/>
  <c r="BQ213" i="16"/>
  <c r="AD522" i="15"/>
  <c r="E212" i="14"/>
  <c r="F212" i="14" s="1"/>
  <c r="H212" i="14" s="1"/>
  <c r="BD214" i="16"/>
  <c r="N274" i="16"/>
  <c r="M275" i="16" s="1"/>
  <c r="Q274" i="16"/>
  <c r="S274" i="16" s="1"/>
  <c r="AU229" i="16" l="1"/>
  <c r="AV229" i="16" s="1"/>
  <c r="AT229" i="16"/>
  <c r="AW229" i="16" s="1"/>
  <c r="AX229" i="16" s="1"/>
  <c r="AZ229" i="16" s="1"/>
  <c r="AL229" i="16"/>
  <c r="AY229" i="16" s="1"/>
  <c r="U230" i="16"/>
  <c r="AC230" i="16" s="1"/>
  <c r="AD230" i="16" s="1"/>
  <c r="BJ214" i="16"/>
  <c r="BK214" i="16"/>
  <c r="BE214" i="16"/>
  <c r="BF214" i="16" s="1"/>
  <c r="O274" i="16"/>
  <c r="AM229" i="16" l="1"/>
  <c r="AN229" i="16" s="1"/>
  <c r="AO229" i="16" s="1"/>
  <c r="AE230" i="16"/>
  <c r="W230" i="16"/>
  <c r="BI214" i="16"/>
  <c r="BG214" i="16"/>
  <c r="BL214" i="16"/>
  <c r="BM214" i="16" s="1"/>
  <c r="E275" i="16"/>
  <c r="L275" i="16" s="1"/>
  <c r="P275" i="16"/>
  <c r="AP229" i="16" l="1"/>
  <c r="AQ229" i="16" s="1"/>
  <c r="AA230" i="16"/>
  <c r="AK230" i="16" s="1"/>
  <c r="Y230" i="16"/>
  <c r="BC215" i="16"/>
  <c r="BH215" i="16" s="1"/>
  <c r="BO214" i="16"/>
  <c r="BP214" i="16" s="1"/>
  <c r="BN214" i="16"/>
  <c r="Q275" i="16"/>
  <c r="S275" i="16" s="1"/>
  <c r="N275" i="16"/>
  <c r="M276" i="16" s="1"/>
  <c r="AR229" i="16" l="1"/>
  <c r="AB230" i="16"/>
  <c r="Z230" i="16"/>
  <c r="E213" i="14"/>
  <c r="F213" i="14" s="1"/>
  <c r="H213" i="14" s="1"/>
  <c r="AD537" i="15"/>
  <c r="BD215" i="16"/>
  <c r="AJ301" i="15"/>
  <c r="BQ214" i="16"/>
  <c r="O275" i="16"/>
  <c r="U231" i="16" l="1"/>
  <c r="AC231" i="16" s="1"/>
  <c r="AF230" i="16"/>
  <c r="BJ215" i="16"/>
  <c r="BK215" i="16"/>
  <c r="BE215" i="16"/>
  <c r="BF215" i="16" s="1"/>
  <c r="E276" i="16"/>
  <c r="L276" i="16" s="1"/>
  <c r="P276" i="16"/>
  <c r="AG230" i="16" l="1"/>
  <c r="AL230" i="16" s="1"/>
  <c r="AY230" i="16" s="1"/>
  <c r="W231" i="16"/>
  <c r="AA231" i="16" s="1"/>
  <c r="AK231" i="16" s="1"/>
  <c r="AD231" i="16"/>
  <c r="BI215" i="16"/>
  <c r="BG215" i="16"/>
  <c r="BL215" i="16"/>
  <c r="BM215" i="16" s="1"/>
  <c r="Q276" i="16"/>
  <c r="S276" i="16" s="1"/>
  <c r="N276" i="16"/>
  <c r="M277" i="16" s="1"/>
  <c r="AM230" i="16" l="1"/>
  <c r="AN230" i="16" s="1"/>
  <c r="AO230" i="16" s="1"/>
  <c r="AH230" i="16"/>
  <c r="AS230" i="16" s="1"/>
  <c r="AU230" i="16" s="1"/>
  <c r="AV230" i="16" s="1"/>
  <c r="Y231" i="16"/>
  <c r="AE231" i="16"/>
  <c r="BC216" i="16"/>
  <c r="BH216" i="16" s="1"/>
  <c r="BO215" i="16"/>
  <c r="BP215" i="16" s="1"/>
  <c r="BN215" i="16"/>
  <c r="O276" i="16"/>
  <c r="AT230" i="16" l="1"/>
  <c r="AW230" i="16" s="1"/>
  <c r="AX230" i="16" s="1"/>
  <c r="AZ230" i="16" s="1"/>
  <c r="AB231" i="16"/>
  <c r="Z231" i="16"/>
  <c r="U232" i="16" s="1"/>
  <c r="AC232" i="16" s="1"/>
  <c r="AP230" i="16"/>
  <c r="AR230" i="16" s="1"/>
  <c r="BD216" i="16"/>
  <c r="BJ216" i="16" s="1"/>
  <c r="AJ302" i="15"/>
  <c r="BQ215" i="16"/>
  <c r="E214" i="14"/>
  <c r="F214" i="14" s="1"/>
  <c r="H214" i="14" s="1"/>
  <c r="AD545" i="15"/>
  <c r="E277" i="16"/>
  <c r="L277" i="16" s="1"/>
  <c r="P277" i="16"/>
  <c r="BK216" i="16" l="1"/>
  <c r="BL216" i="16" s="1"/>
  <c r="BM216" i="16" s="1"/>
  <c r="AQ230" i="16"/>
  <c r="BE216" i="16"/>
  <c r="BF216" i="16" s="1"/>
  <c r="BG216" i="16" s="1"/>
  <c r="AD232" i="16"/>
  <c r="AE232" i="16" s="1"/>
  <c r="W232" i="16"/>
  <c r="AF231" i="16"/>
  <c r="AG231" i="16" s="1"/>
  <c r="AH231" i="16" s="1"/>
  <c r="AS231" i="16" s="1"/>
  <c r="Q277" i="16"/>
  <c r="S277" i="16" s="1"/>
  <c r="N277" i="16"/>
  <c r="M278" i="16" s="1"/>
  <c r="AL231" i="16" l="1"/>
  <c r="AY231" i="16" s="1"/>
  <c r="AT231" i="16"/>
  <c r="AW231" i="16" s="1"/>
  <c r="AX231" i="16" s="1"/>
  <c r="AZ231" i="16" s="1"/>
  <c r="AU231" i="16"/>
  <c r="BI216" i="16"/>
  <c r="BN216" i="16" s="1"/>
  <c r="AA232" i="16"/>
  <c r="AK232" i="16" s="1"/>
  <c r="Y232" i="16"/>
  <c r="BC217" i="16"/>
  <c r="BH217" i="16" s="1"/>
  <c r="E278" i="16"/>
  <c r="L278" i="16" s="1"/>
  <c r="O277" i="16"/>
  <c r="AM231" i="16" l="1"/>
  <c r="BO216" i="16"/>
  <c r="BP216" i="16" s="1"/>
  <c r="BQ216" i="16" s="1"/>
  <c r="AV231" i="16"/>
  <c r="AB232" i="16"/>
  <c r="Z232" i="16"/>
  <c r="U233" i="16" s="1"/>
  <c r="AC233" i="16" s="1"/>
  <c r="AD233" i="16" s="1"/>
  <c r="AE233" i="16" s="1"/>
  <c r="AN231" i="16"/>
  <c r="BD217" i="16"/>
  <c r="AD549" i="15"/>
  <c r="E215" i="14"/>
  <c r="F215" i="14" s="1"/>
  <c r="H215" i="14" s="1"/>
  <c r="N278" i="16"/>
  <c r="P278" i="16"/>
  <c r="AJ303" i="15" l="1"/>
  <c r="W233" i="16"/>
  <c r="Y233" i="16" s="1"/>
  <c r="AB233" i="16" s="1"/>
  <c r="AO231" i="16"/>
  <c r="AF232" i="16"/>
  <c r="AG232" i="16" s="1"/>
  <c r="AH232" i="16" s="1"/>
  <c r="AS232" i="16" s="1"/>
  <c r="BJ217" i="16"/>
  <c r="BK217" i="16"/>
  <c r="BE217" i="16"/>
  <c r="BF217" i="16" s="1"/>
  <c r="M279" i="16"/>
  <c r="E279" i="16" s="1"/>
  <c r="O278" i="16"/>
  <c r="Q278" i="16"/>
  <c r="S278" i="16" s="1"/>
  <c r="AT232" i="16" l="1"/>
  <c r="AW232" i="16" s="1"/>
  <c r="AX232" i="16" s="1"/>
  <c r="AZ232" i="16" s="1"/>
  <c r="AU232" i="16"/>
  <c r="AV232" i="16" s="1"/>
  <c r="AL232" i="16"/>
  <c r="AY232" i="16" s="1"/>
  <c r="AA233" i="16"/>
  <c r="AK233" i="16" s="1"/>
  <c r="AP231" i="16"/>
  <c r="AR231" i="16" s="1"/>
  <c r="Z233" i="16"/>
  <c r="U234" i="16" s="1"/>
  <c r="AC234" i="16" s="1"/>
  <c r="AF233" i="16"/>
  <c r="BI217" i="16"/>
  <c r="BG217" i="16"/>
  <c r="BL217" i="16"/>
  <c r="BM217" i="16" s="1"/>
  <c r="P279" i="16"/>
  <c r="Q279" i="16" s="1"/>
  <c r="S279" i="16" s="1"/>
  <c r="L279" i="16"/>
  <c r="AM232" i="16" l="1"/>
  <c r="AN232" i="16" s="1"/>
  <c r="AO232" i="16" s="1"/>
  <c r="AP232" i="16" s="1"/>
  <c r="AR232" i="16" s="1"/>
  <c r="AG233" i="16"/>
  <c r="AL233" i="16" s="1"/>
  <c r="AY233" i="16" s="1"/>
  <c r="AQ231" i="16"/>
  <c r="W234" i="16"/>
  <c r="AA234" i="16" s="1"/>
  <c r="AK234" i="16" s="1"/>
  <c r="AD234" i="16"/>
  <c r="BC218" i="16"/>
  <c r="BH218" i="16" s="1"/>
  <c r="BO217" i="16"/>
  <c r="BP217" i="16" s="1"/>
  <c r="BN217" i="16"/>
  <c r="N279" i="16"/>
  <c r="M280" i="16" s="1"/>
  <c r="AM233" i="16" l="1"/>
  <c r="AN233" i="16" s="1"/>
  <c r="AO233" i="16" s="1"/>
  <c r="AH233" i="16"/>
  <c r="AS233" i="16" s="1"/>
  <c r="Y234" i="16"/>
  <c r="AQ232" i="16"/>
  <c r="O279" i="16"/>
  <c r="BD218" i="16"/>
  <c r="BE218" i="16" s="1"/>
  <c r="AE234" i="16"/>
  <c r="AD551" i="15"/>
  <c r="E216" i="14"/>
  <c r="F216" i="14" s="1"/>
  <c r="H216" i="14" s="1"/>
  <c r="AJ304" i="15"/>
  <c r="BQ217" i="16"/>
  <c r="P280" i="16"/>
  <c r="Q280" i="16" s="1"/>
  <c r="S280" i="16" s="1"/>
  <c r="E280" i="16"/>
  <c r="L280" i="16" s="1"/>
  <c r="BK218" i="16" l="1"/>
  <c r="BL218" i="16" s="1"/>
  <c r="BM218" i="16" s="1"/>
  <c r="BJ218" i="16"/>
  <c r="AT233" i="16"/>
  <c r="AW233" i="16" s="1"/>
  <c r="AX233" i="16" s="1"/>
  <c r="AZ233" i="16" s="1"/>
  <c r="AU233" i="16"/>
  <c r="AV233" i="16" s="1"/>
  <c r="BF218" i="16"/>
  <c r="BI218" i="16" s="1"/>
  <c r="AB234" i="16"/>
  <c r="Z234" i="16"/>
  <c r="U235" i="16" s="1"/>
  <c r="AC235" i="16" s="1"/>
  <c r="AD235" i="16" s="1"/>
  <c r="AE235" i="16" s="1"/>
  <c r="AP233" i="16"/>
  <c r="AR233" i="16" s="1"/>
  <c r="N280" i="16"/>
  <c r="M281" i="16" s="1"/>
  <c r="BG218" i="16" l="1"/>
  <c r="BC219" i="16" s="1"/>
  <c r="BH219" i="16" s="1"/>
  <c r="AQ233" i="16"/>
  <c r="AF234" i="16"/>
  <c r="AG234" i="16" s="1"/>
  <c r="AH234" i="16" s="1"/>
  <c r="AS234" i="16" s="1"/>
  <c r="AT234" i="16" s="1"/>
  <c r="AW234" i="16" s="1"/>
  <c r="AX234" i="16" s="1"/>
  <c r="AZ234" i="16" s="1"/>
  <c r="W235" i="16"/>
  <c r="AA235" i="16" s="1"/>
  <c r="AK235" i="16" s="1"/>
  <c r="BN218" i="16"/>
  <c r="BO218" i="16"/>
  <c r="BP218" i="16" s="1"/>
  <c r="O280" i="16"/>
  <c r="AL234" i="16" l="1"/>
  <c r="AY234" i="16" s="1"/>
  <c r="AU234" i="16"/>
  <c r="AV234" i="16" s="1"/>
  <c r="Y235" i="16"/>
  <c r="AB235" i="16" s="1"/>
  <c r="AF235" i="16" s="1"/>
  <c r="AJ305" i="15"/>
  <c r="BQ218" i="16"/>
  <c r="BD219" i="16"/>
  <c r="E217" i="14"/>
  <c r="F217" i="14" s="1"/>
  <c r="H217" i="14" s="1"/>
  <c r="AD554" i="15"/>
  <c r="P281" i="16"/>
  <c r="Q281" i="16" s="1"/>
  <c r="S281" i="16" s="1"/>
  <c r="E281" i="16"/>
  <c r="L281" i="16" s="1"/>
  <c r="AM234" i="16" l="1"/>
  <c r="AG235" i="16"/>
  <c r="AH235" i="16" s="1"/>
  <c r="AS235" i="16" s="1"/>
  <c r="Z235" i="16"/>
  <c r="U236" i="16" s="1"/>
  <c r="AC236" i="16" s="1"/>
  <c r="AN234" i="16"/>
  <c r="AO234" i="16" s="1"/>
  <c r="AP234" i="16" s="1"/>
  <c r="AQ234" i="16" s="1"/>
  <c r="BJ219" i="16"/>
  <c r="BK219" i="16"/>
  <c r="BE219" i="16"/>
  <c r="BF219" i="16" s="1"/>
  <c r="N281" i="16"/>
  <c r="M282" i="16" s="1"/>
  <c r="AT235" i="16" l="1"/>
  <c r="AW235" i="16" s="1"/>
  <c r="AX235" i="16" s="1"/>
  <c r="AZ235" i="16" s="1"/>
  <c r="AU235" i="16"/>
  <c r="AV235" i="16" s="1"/>
  <c r="AL235" i="16"/>
  <c r="AY235" i="16" s="1"/>
  <c r="AR234" i="16"/>
  <c r="AD236" i="16"/>
  <c r="W236" i="16"/>
  <c r="AA236" i="16" s="1"/>
  <c r="AK236" i="16" s="1"/>
  <c r="BI219" i="16"/>
  <c r="BG219" i="16"/>
  <c r="BL219" i="16"/>
  <c r="BM219" i="16" s="1"/>
  <c r="O281" i="16"/>
  <c r="AM235" i="16" l="1"/>
  <c r="AN235" i="16" s="1"/>
  <c r="AE236" i="16"/>
  <c r="Y236" i="16"/>
  <c r="BC220" i="16"/>
  <c r="BH220" i="16" s="1"/>
  <c r="BO219" i="16"/>
  <c r="BP219" i="16" s="1"/>
  <c r="BN219" i="16"/>
  <c r="E282" i="16"/>
  <c r="L282" i="16" s="1"/>
  <c r="P282" i="16"/>
  <c r="Q282" i="16" s="1"/>
  <c r="S282" i="16" s="1"/>
  <c r="AO235" i="16" l="1"/>
  <c r="AP235" i="16" s="1"/>
  <c r="AR235" i="16" s="1"/>
  <c r="AB236" i="16"/>
  <c r="Z236" i="16"/>
  <c r="E218" i="14"/>
  <c r="F218" i="14" s="1"/>
  <c r="H218" i="14" s="1"/>
  <c r="AD555" i="15"/>
  <c r="BD220" i="16"/>
  <c r="BE220" i="16" s="1"/>
  <c r="AJ306" i="15"/>
  <c r="BQ219" i="16"/>
  <c r="N282" i="16"/>
  <c r="M283" i="16" s="1"/>
  <c r="AQ235" i="16" l="1"/>
  <c r="U237" i="16"/>
  <c r="AC237" i="16" s="1"/>
  <c r="AF236" i="16"/>
  <c r="BF220" i="16"/>
  <c r="BJ220" i="16"/>
  <c r="BK220" i="16"/>
  <c r="O282" i="16"/>
  <c r="E283" i="16"/>
  <c r="L283" i="16" s="1"/>
  <c r="AG236" i="16" l="1"/>
  <c r="AL236" i="16" s="1"/>
  <c r="AY236" i="16" s="1"/>
  <c r="AD237" i="16"/>
  <c r="W237" i="16"/>
  <c r="BL220" i="16"/>
  <c r="BM220" i="16" s="1"/>
  <c r="BI220" i="16"/>
  <c r="BG220" i="16"/>
  <c r="N283" i="16"/>
  <c r="M284" i="16" s="1"/>
  <c r="P283" i="16"/>
  <c r="Q283" i="16" s="1"/>
  <c r="S283" i="16" s="1"/>
  <c r="AM236" i="16" l="1"/>
  <c r="AN236" i="16" s="1"/>
  <c r="AO236" i="16" s="1"/>
  <c r="AH236" i="16"/>
  <c r="AS236" i="16" s="1"/>
  <c r="AE237" i="16"/>
  <c r="AA237" i="16"/>
  <c r="AK237" i="16" s="1"/>
  <c r="Y237" i="16"/>
  <c r="AB237" i="16" s="1"/>
  <c r="BC221" i="16"/>
  <c r="BH221" i="16" s="1"/>
  <c r="BN220" i="16"/>
  <c r="BO220" i="16"/>
  <c r="BP220" i="16" s="1"/>
  <c r="E284" i="16"/>
  <c r="L284" i="16" s="1"/>
  <c r="O283" i="16"/>
  <c r="AU236" i="16" l="1"/>
  <c r="AV236" i="16" s="1"/>
  <c r="AT236" i="16"/>
  <c r="AW236" i="16" s="1"/>
  <c r="AX236" i="16" s="1"/>
  <c r="AZ236" i="16" s="1"/>
  <c r="AP236" i="16"/>
  <c r="AR236" i="16" s="1"/>
  <c r="AF237" i="16"/>
  <c r="Z237" i="16"/>
  <c r="AJ307" i="15"/>
  <c r="BQ220" i="16"/>
  <c r="BD221" i="16"/>
  <c r="E219" i="14"/>
  <c r="F219" i="14" s="1"/>
  <c r="H219" i="14" s="1"/>
  <c r="AD558" i="15"/>
  <c r="N284" i="16"/>
  <c r="O284" i="16" s="1"/>
  <c r="P284" i="16"/>
  <c r="Q284" i="16" s="1"/>
  <c r="S284" i="16" s="1"/>
  <c r="AG237" i="16" l="1"/>
  <c r="AL237" i="16" s="1"/>
  <c r="AY237" i="16" s="1"/>
  <c r="AQ236" i="16"/>
  <c r="U238" i="16"/>
  <c r="AC238" i="16" s="1"/>
  <c r="BJ221" i="16"/>
  <c r="BK221" i="16"/>
  <c r="BE221" i="16"/>
  <c r="BF221" i="16" s="1"/>
  <c r="M285" i="16"/>
  <c r="E285" i="16" s="1"/>
  <c r="L285" i="16" s="1"/>
  <c r="AM237" i="16" l="1"/>
  <c r="AN237" i="16" s="1"/>
  <c r="AO237" i="16" s="1"/>
  <c r="AH237" i="16"/>
  <c r="AS237" i="16" s="1"/>
  <c r="W238" i="16"/>
  <c r="AA238" i="16" s="1"/>
  <c r="AK238" i="16" s="1"/>
  <c r="AD238" i="16"/>
  <c r="BI221" i="16"/>
  <c r="BG221" i="16"/>
  <c r="BL221" i="16"/>
  <c r="BM221" i="16" s="1"/>
  <c r="N285" i="16"/>
  <c r="M286" i="16" s="1"/>
  <c r="P285" i="16"/>
  <c r="Q285" i="16" s="1"/>
  <c r="S285" i="16" s="1"/>
  <c r="Y238" i="16" l="1"/>
  <c r="AB238" i="16" s="1"/>
  <c r="AU237" i="16"/>
  <c r="AV237" i="16" s="1"/>
  <c r="AT237" i="16"/>
  <c r="AW237" i="16" s="1"/>
  <c r="AX237" i="16" s="1"/>
  <c r="AZ237" i="16" s="1"/>
  <c r="AP237" i="16"/>
  <c r="AQ237" i="16" s="1"/>
  <c r="AE238" i="16"/>
  <c r="BC222" i="16"/>
  <c r="BH222" i="16" s="1"/>
  <c r="BN221" i="16"/>
  <c r="BO221" i="16"/>
  <c r="BP221" i="16" s="1"/>
  <c r="O285" i="16"/>
  <c r="E286" i="16"/>
  <c r="L286" i="16" s="1"/>
  <c r="P286" i="16"/>
  <c r="Z238" i="16" l="1"/>
  <c r="U239" i="16" s="1"/>
  <c r="AC239" i="16" s="1"/>
  <c r="AD239" i="16" s="1"/>
  <c r="AF238" i="16"/>
  <c r="AG238" i="16" s="1"/>
  <c r="AH238" i="16" s="1"/>
  <c r="AS238" i="16" s="1"/>
  <c r="AT238" i="16" s="1"/>
  <c r="AW238" i="16" s="1"/>
  <c r="AX238" i="16" s="1"/>
  <c r="AZ238" i="16" s="1"/>
  <c r="AR237" i="16"/>
  <c r="AJ308" i="15"/>
  <c r="BQ221" i="16"/>
  <c r="BD222" i="16"/>
  <c r="BE222" i="16" s="1"/>
  <c r="E220" i="14"/>
  <c r="F220" i="14" s="1"/>
  <c r="H220" i="14" s="1"/>
  <c r="AD561" i="15"/>
  <c r="Q286" i="16"/>
  <c r="S286" i="16" s="1"/>
  <c r="N286" i="16"/>
  <c r="M287" i="16" s="1"/>
  <c r="W239" i="16" l="1"/>
  <c r="AA239" i="16" s="1"/>
  <c r="AK239" i="16" s="1"/>
  <c r="AL238" i="16"/>
  <c r="AY238" i="16" s="1"/>
  <c r="AU238" i="16"/>
  <c r="AV238" i="16" s="1"/>
  <c r="AE239" i="16"/>
  <c r="BJ222" i="16"/>
  <c r="BK222" i="16"/>
  <c r="BF222" i="16"/>
  <c r="O286" i="16"/>
  <c r="Y239" i="16" l="1"/>
  <c r="AB239" i="16" s="1"/>
  <c r="AF239" i="16" s="1"/>
  <c r="AG239" i="16" s="1"/>
  <c r="AH239" i="16" s="1"/>
  <c r="AS239" i="16" s="1"/>
  <c r="AM238" i="16"/>
  <c r="AN238" i="16" s="1"/>
  <c r="AO238" i="16" s="1"/>
  <c r="AP238" i="16" s="1"/>
  <c r="AQ238" i="16" s="1"/>
  <c r="BI222" i="16"/>
  <c r="BG222" i="16"/>
  <c r="BL222" i="16"/>
  <c r="BM222" i="16" s="1"/>
  <c r="E287" i="16"/>
  <c r="L287" i="16" s="1"/>
  <c r="P287" i="16"/>
  <c r="Z239" i="16" l="1"/>
  <c r="U240" i="16" s="1"/>
  <c r="AC240" i="16" s="1"/>
  <c r="AD240" i="16" s="1"/>
  <c r="AE240" i="16" s="1"/>
  <c r="AT239" i="16"/>
  <c r="AW239" i="16" s="1"/>
  <c r="AX239" i="16" s="1"/>
  <c r="AZ239" i="16" s="1"/>
  <c r="AU239" i="16"/>
  <c r="AV239" i="16" s="1"/>
  <c r="AR238" i="16"/>
  <c r="AL239" i="16"/>
  <c r="AY239" i="16" s="1"/>
  <c r="BC223" i="16"/>
  <c r="BH223" i="16" s="1"/>
  <c r="BO222" i="16"/>
  <c r="BP222" i="16" s="1"/>
  <c r="BN222" i="16"/>
  <c r="Q287" i="16"/>
  <c r="S287" i="16" s="1"/>
  <c r="N287" i="16"/>
  <c r="M288" i="16" s="1"/>
  <c r="W240" i="16" l="1"/>
  <c r="AA240" i="16" s="1"/>
  <c r="AK240" i="16" s="1"/>
  <c r="AM239" i="16"/>
  <c r="AN239" i="16" s="1"/>
  <c r="AO239" i="16" s="1"/>
  <c r="AP239" i="16" s="1"/>
  <c r="AQ239" i="16" s="1"/>
  <c r="AD563" i="15"/>
  <c r="E221" i="14"/>
  <c r="F221" i="14" s="1"/>
  <c r="H221" i="14" s="1"/>
  <c r="BD223" i="16"/>
  <c r="BE223" i="16" s="1"/>
  <c r="AJ309" i="15"/>
  <c r="BQ222" i="16"/>
  <c r="O287" i="16"/>
  <c r="Y240" i="16" l="1"/>
  <c r="AB240" i="16" s="1"/>
  <c r="AF240" i="16" s="1"/>
  <c r="AG240" i="16" s="1"/>
  <c r="AH240" i="16" s="1"/>
  <c r="AS240" i="16" s="1"/>
  <c r="AT240" i="16" s="1"/>
  <c r="AW240" i="16" s="1"/>
  <c r="AX240" i="16" s="1"/>
  <c r="AZ240" i="16" s="1"/>
  <c r="AR239" i="16"/>
  <c r="BF223" i="16"/>
  <c r="BJ223" i="16"/>
  <c r="BK223" i="16"/>
  <c r="E288" i="16"/>
  <c r="L288" i="16" s="1"/>
  <c r="P288" i="16"/>
  <c r="Z240" i="16" l="1"/>
  <c r="U241" i="16" s="1"/>
  <c r="AC241" i="16" s="1"/>
  <c r="AD241" i="16" s="1"/>
  <c r="AE241" i="16" s="1"/>
  <c r="AU240" i="16"/>
  <c r="AV240" i="16" s="1"/>
  <c r="AL240" i="16"/>
  <c r="AY240" i="16" s="1"/>
  <c r="BL223" i="16"/>
  <c r="BM223" i="16" s="1"/>
  <c r="BI223" i="16"/>
  <c r="BG223" i="16"/>
  <c r="Q288" i="16"/>
  <c r="S288" i="16" s="1"/>
  <c r="N288" i="16"/>
  <c r="M289" i="16" s="1"/>
  <c r="W241" i="16" l="1"/>
  <c r="AA241" i="16" s="1"/>
  <c r="AK241" i="16" s="1"/>
  <c r="AM240" i="16"/>
  <c r="AN240" i="16" s="1"/>
  <c r="AO240" i="16" s="1"/>
  <c r="AP240" i="16" s="1"/>
  <c r="AR240" i="16" s="1"/>
  <c r="Y241" i="16"/>
  <c r="AB241" i="16" s="1"/>
  <c r="AF241" i="16" s="1"/>
  <c r="BC224" i="16"/>
  <c r="BH224" i="16" s="1"/>
  <c r="BO223" i="16"/>
  <c r="BP223" i="16" s="1"/>
  <c r="BN223" i="16"/>
  <c r="O288" i="16"/>
  <c r="E289" i="16"/>
  <c r="L289" i="16" s="1"/>
  <c r="Z241" i="16" l="1"/>
  <c r="U242" i="16" s="1"/>
  <c r="AC242" i="16" s="1"/>
  <c r="AG241" i="16"/>
  <c r="AL241" i="16" s="1"/>
  <c r="AY241" i="16" s="1"/>
  <c r="BD224" i="16"/>
  <c r="BE224" i="16" s="1"/>
  <c r="BF224" i="16" s="1"/>
  <c r="AQ240" i="16"/>
  <c r="E222" i="14"/>
  <c r="F222" i="14" s="1"/>
  <c r="H222" i="14" s="1"/>
  <c r="AD565" i="15"/>
  <c r="BQ223" i="16"/>
  <c r="AJ310" i="15"/>
  <c r="N289" i="16"/>
  <c r="M290" i="16" s="1"/>
  <c r="P289" i="16"/>
  <c r="AM241" i="16" l="1"/>
  <c r="AN241" i="16" s="1"/>
  <c r="AO241" i="16" s="1"/>
  <c r="AH241" i="16"/>
  <c r="AS241" i="16" s="1"/>
  <c r="W242" i="16"/>
  <c r="AA242" i="16" s="1"/>
  <c r="AK242" i="16" s="1"/>
  <c r="BJ224" i="16"/>
  <c r="BK224" i="16"/>
  <c r="BL224" i="16" s="1"/>
  <c r="BM224" i="16" s="1"/>
  <c r="AD242" i="16"/>
  <c r="BI224" i="16"/>
  <c r="BG224" i="16"/>
  <c r="O289" i="16"/>
  <c r="Q289" i="16"/>
  <c r="S289" i="16" s="1"/>
  <c r="AU241" i="16" l="1"/>
  <c r="AV241" i="16" s="1"/>
  <c r="AT241" i="16"/>
  <c r="AW241" i="16" s="1"/>
  <c r="AX241" i="16" s="1"/>
  <c r="AZ241" i="16" s="1"/>
  <c r="Y242" i="16"/>
  <c r="AB242" i="16" s="1"/>
  <c r="AP241" i="16"/>
  <c r="AR241" i="16" s="1"/>
  <c r="AE242" i="16"/>
  <c r="BC225" i="16"/>
  <c r="BH225" i="16" s="1"/>
  <c r="BO224" i="16"/>
  <c r="BP224" i="16" s="1"/>
  <c r="BN224" i="16"/>
  <c r="P290" i="16"/>
  <c r="Q290" i="16" s="1"/>
  <c r="S290" i="16" s="1"/>
  <c r="E290" i="16"/>
  <c r="L290" i="16" s="1"/>
  <c r="Z242" i="16" l="1"/>
  <c r="U243" i="16" s="1"/>
  <c r="AC243" i="16" s="1"/>
  <c r="AF242" i="16"/>
  <c r="AG242" i="16" s="1"/>
  <c r="AH242" i="16" s="1"/>
  <c r="AS242" i="16" s="1"/>
  <c r="AT242" i="16" s="1"/>
  <c r="AW242" i="16" s="1"/>
  <c r="AX242" i="16" s="1"/>
  <c r="AZ242" i="16" s="1"/>
  <c r="BD225" i="16"/>
  <c r="BK225" i="16" s="1"/>
  <c r="AQ241" i="16"/>
  <c r="AJ311" i="15"/>
  <c r="BQ224" i="16"/>
  <c r="AD544" i="15"/>
  <c r="E223" i="14"/>
  <c r="F223" i="14" s="1"/>
  <c r="H223" i="14" s="1"/>
  <c r="N290" i="16"/>
  <c r="M291" i="16" s="1"/>
  <c r="AL242" i="16" l="1"/>
  <c r="AY242" i="16" s="1"/>
  <c r="AU242" i="16"/>
  <c r="AV242" i="16" s="1"/>
  <c r="BE225" i="16"/>
  <c r="BF225" i="16" s="1"/>
  <c r="BI225" i="16" s="1"/>
  <c r="BJ225" i="16"/>
  <c r="AD243" i="16"/>
  <c r="W243" i="16"/>
  <c r="AA243" i="16" s="1"/>
  <c r="AK243" i="16" s="1"/>
  <c r="BL225" i="16"/>
  <c r="BM225" i="16" s="1"/>
  <c r="O290" i="16"/>
  <c r="AM242" i="16" l="1"/>
  <c r="AN242" i="16" s="1"/>
  <c r="AO242" i="16" s="1"/>
  <c r="AP242" i="16" s="1"/>
  <c r="AR242" i="16" s="1"/>
  <c r="BG225" i="16"/>
  <c r="BC226" i="16" s="1"/>
  <c r="BH226" i="16" s="1"/>
  <c r="Y243" i="16"/>
  <c r="AB243" i="16" s="1"/>
  <c r="AE243" i="16"/>
  <c r="BO225" i="16"/>
  <c r="BP225" i="16" s="1"/>
  <c r="BN225" i="16"/>
  <c r="E291" i="16"/>
  <c r="L291" i="16" s="1"/>
  <c r="P291" i="16"/>
  <c r="AQ242" i="16" l="1"/>
  <c r="Z243" i="16"/>
  <c r="U244" i="16" s="1"/>
  <c r="AC244" i="16" s="1"/>
  <c r="AF243" i="16"/>
  <c r="AG243" i="16" s="1"/>
  <c r="AH243" i="16" s="1"/>
  <c r="AS243" i="16" s="1"/>
  <c r="E224" i="14"/>
  <c r="F224" i="14" s="1"/>
  <c r="H224" i="14" s="1"/>
  <c r="AD567" i="15"/>
  <c r="BD226" i="16"/>
  <c r="AJ312" i="15"/>
  <c r="BQ225" i="16"/>
  <c r="Q291" i="16"/>
  <c r="S291" i="16" s="1"/>
  <c r="N291" i="16"/>
  <c r="M292" i="16" s="1"/>
  <c r="AL243" i="16" l="1"/>
  <c r="AM243" i="16" s="1"/>
  <c r="AT243" i="16"/>
  <c r="AW243" i="16" s="1"/>
  <c r="AX243" i="16" s="1"/>
  <c r="AZ243" i="16" s="1"/>
  <c r="AU243" i="16"/>
  <c r="AV243" i="16" s="1"/>
  <c r="AD244" i="16"/>
  <c r="W244" i="16"/>
  <c r="AA244" i="16" s="1"/>
  <c r="AK244" i="16" s="1"/>
  <c r="BJ226" i="16"/>
  <c r="BK226" i="16"/>
  <c r="BE226" i="16"/>
  <c r="BF226" i="16" s="1"/>
  <c r="E292" i="16"/>
  <c r="O291" i="16"/>
  <c r="AY243" i="16" l="1"/>
  <c r="Y244" i="16"/>
  <c r="AB244" i="16" s="1"/>
  <c r="AN243" i="16"/>
  <c r="AO243" i="16" s="1"/>
  <c r="AE244" i="16"/>
  <c r="BI226" i="16"/>
  <c r="BG226" i="16"/>
  <c r="BL226" i="16"/>
  <c r="BM226" i="16" s="1"/>
  <c r="L292" i="16"/>
  <c r="P292" i="16"/>
  <c r="AF244" i="16" l="1"/>
  <c r="AG244" i="16" s="1"/>
  <c r="AH244" i="16" s="1"/>
  <c r="AS244" i="16" s="1"/>
  <c r="AT244" i="16" s="1"/>
  <c r="AW244" i="16" s="1"/>
  <c r="AX244" i="16" s="1"/>
  <c r="AZ244" i="16" s="1"/>
  <c r="Z244" i="16"/>
  <c r="U245" i="16" s="1"/>
  <c r="AC245" i="16" s="1"/>
  <c r="AP243" i="16"/>
  <c r="AR243" i="16" s="1"/>
  <c r="BC227" i="16"/>
  <c r="BH227" i="16" s="1"/>
  <c r="BO226" i="16"/>
  <c r="BP226" i="16" s="1"/>
  <c r="BN226" i="16"/>
  <c r="N292" i="16"/>
  <c r="M293" i="16" s="1"/>
  <c r="Q292" i="16"/>
  <c r="S292" i="16" s="1"/>
  <c r="AU244" i="16" l="1"/>
  <c r="AV244" i="16" s="1"/>
  <c r="AL244" i="16"/>
  <c r="AM244" i="16" s="1"/>
  <c r="AN244" i="16" s="1"/>
  <c r="AO244" i="16" s="1"/>
  <c r="AQ243" i="16"/>
  <c r="BD227" i="16"/>
  <c r="BJ227" i="16" s="1"/>
  <c r="AD245" i="16"/>
  <c r="W245" i="16"/>
  <c r="AD570" i="15"/>
  <c r="E225" i="14"/>
  <c r="F225" i="14" s="1"/>
  <c r="H225" i="14" s="1"/>
  <c r="AJ313" i="15"/>
  <c r="BQ226" i="16"/>
  <c r="P293" i="16"/>
  <c r="Q293" i="16" s="1"/>
  <c r="S293" i="16" s="1"/>
  <c r="O292" i="16"/>
  <c r="AY244" i="16" l="1"/>
  <c r="BE227" i="16"/>
  <c r="BF227" i="16" s="1"/>
  <c r="BI227" i="16" s="1"/>
  <c r="BK227" i="16"/>
  <c r="BL227" i="16" s="1"/>
  <c r="BM227" i="16" s="1"/>
  <c r="AP244" i="16"/>
  <c r="AR244" i="16" s="1"/>
  <c r="AE245" i="16"/>
  <c r="AA245" i="16"/>
  <c r="AK245" i="16" s="1"/>
  <c r="Y245" i="16"/>
  <c r="AB245" i="16" s="1"/>
  <c r="E293" i="16"/>
  <c r="L293" i="16" s="1"/>
  <c r="BG227" i="16" l="1"/>
  <c r="AF245" i="16"/>
  <c r="AG245" i="16" s="1"/>
  <c r="AH245" i="16" s="1"/>
  <c r="AS245" i="16" s="1"/>
  <c r="Z245" i="16"/>
  <c r="AQ244" i="16"/>
  <c r="BC228" i="16"/>
  <c r="BH228" i="16" s="1"/>
  <c r="BO227" i="16"/>
  <c r="BP227" i="16" s="1"/>
  <c r="BN227" i="16"/>
  <c r="N293" i="16"/>
  <c r="M294" i="16" s="1"/>
  <c r="AU245" i="16" l="1"/>
  <c r="AV245" i="16" s="1"/>
  <c r="AT245" i="16"/>
  <c r="AW245" i="16" s="1"/>
  <c r="AX245" i="16" s="1"/>
  <c r="AZ245" i="16" s="1"/>
  <c r="AL245" i="16"/>
  <c r="AY245" i="16" s="1"/>
  <c r="U246" i="16"/>
  <c r="AC246" i="16" s="1"/>
  <c r="AD246" i="16" s="1"/>
  <c r="E226" i="14"/>
  <c r="F226" i="14" s="1"/>
  <c r="H226" i="14" s="1"/>
  <c r="AD574" i="15"/>
  <c r="BD228" i="16"/>
  <c r="AJ314" i="15"/>
  <c r="BQ227" i="16"/>
  <c r="O293" i="16"/>
  <c r="AM245" i="16" l="1"/>
  <c r="AN245" i="16" s="1"/>
  <c r="AO245" i="16" s="1"/>
  <c r="W246" i="16"/>
  <c r="AA246" i="16" s="1"/>
  <c r="AK246" i="16" s="1"/>
  <c r="AE246" i="16"/>
  <c r="BJ228" i="16"/>
  <c r="BK228" i="16"/>
  <c r="BE228" i="16"/>
  <c r="BF228" i="16" s="1"/>
  <c r="P294" i="16"/>
  <c r="Q294" i="16" s="1"/>
  <c r="S294" i="16" s="1"/>
  <c r="E294" i="16"/>
  <c r="L294" i="16" s="1"/>
  <c r="Y246" i="16" l="1"/>
  <c r="AB246" i="16" s="1"/>
  <c r="AP245" i="16"/>
  <c r="AR245" i="16" s="1"/>
  <c r="BI228" i="16"/>
  <c r="BG228" i="16"/>
  <c r="BL228" i="16"/>
  <c r="BM228" i="16" s="1"/>
  <c r="N294" i="16"/>
  <c r="M295" i="16" s="1"/>
  <c r="Z246" i="16" l="1"/>
  <c r="U247" i="16" s="1"/>
  <c r="AC247" i="16" s="1"/>
  <c r="AF246" i="16"/>
  <c r="AQ245" i="16"/>
  <c r="BC229" i="16"/>
  <c r="BH229" i="16" s="1"/>
  <c r="BO228" i="16"/>
  <c r="BP228" i="16" s="1"/>
  <c r="BN228" i="16"/>
  <c r="O294" i="16"/>
  <c r="AG246" i="16" l="1"/>
  <c r="AD247" i="16"/>
  <c r="W247" i="16"/>
  <c r="BD229" i="16"/>
  <c r="BE229" i="16" s="1"/>
  <c r="BF229" i="16" s="1"/>
  <c r="AJ315" i="15"/>
  <c r="BQ228" i="16"/>
  <c r="E227" i="14"/>
  <c r="F227" i="14" s="1"/>
  <c r="H227" i="14" s="1"/>
  <c r="AD577" i="15"/>
  <c r="P295" i="16"/>
  <c r="Q295" i="16" s="1"/>
  <c r="S295" i="16" s="1"/>
  <c r="E295" i="16"/>
  <c r="L295" i="16" s="1"/>
  <c r="AL246" i="16" l="1"/>
  <c r="AY246" i="16" s="1"/>
  <c r="AH246" i="16"/>
  <c r="AS246" i="16" s="1"/>
  <c r="AA247" i="16"/>
  <c r="AK247" i="16" s="1"/>
  <c r="Y247" i="16"/>
  <c r="AB247" i="16" s="1"/>
  <c r="AE247" i="16"/>
  <c r="BI229" i="16"/>
  <c r="BG229" i="16"/>
  <c r="BJ229" i="16"/>
  <c r="BK229" i="16"/>
  <c r="N295" i="16"/>
  <c r="M296" i="16" s="1"/>
  <c r="AM246" i="16" l="1"/>
  <c r="AN246" i="16" s="1"/>
  <c r="AO246" i="16" s="1"/>
  <c r="AP246" i="16" s="1"/>
  <c r="AR246" i="16" s="1"/>
  <c r="AU246" i="16"/>
  <c r="AV246" i="16" s="1"/>
  <c r="AT246" i="16"/>
  <c r="AW246" i="16" s="1"/>
  <c r="AF247" i="16"/>
  <c r="AG247" i="16" s="1"/>
  <c r="AH247" i="16" s="1"/>
  <c r="AS247" i="16" s="1"/>
  <c r="AT247" i="16" s="1"/>
  <c r="Z247" i="16"/>
  <c r="BL229" i="16"/>
  <c r="BM229" i="16" s="1"/>
  <c r="BC230" i="16"/>
  <c r="BH230" i="16" s="1"/>
  <c r="BO229" i="16"/>
  <c r="BP229" i="16" s="1"/>
  <c r="O295" i="16"/>
  <c r="AQ246" i="16" l="1"/>
  <c r="AX246" i="16"/>
  <c r="AZ246" i="16" s="1"/>
  <c r="AL247" i="16"/>
  <c r="AY247" i="16" s="1"/>
  <c r="AU247" i="16"/>
  <c r="AV247" i="16" s="1"/>
  <c r="BN229" i="16"/>
  <c r="E228" i="14" s="1"/>
  <c r="F228" i="14" s="1"/>
  <c r="H228" i="14" s="1"/>
  <c r="U248" i="16"/>
  <c r="AC248" i="16" s="1"/>
  <c r="AJ316" i="15"/>
  <c r="BD230" i="16"/>
  <c r="BE230" i="16" s="1"/>
  <c r="P296" i="16"/>
  <c r="Q296" i="16" s="1"/>
  <c r="S296" i="16" s="1"/>
  <c r="E296" i="16"/>
  <c r="L296" i="16" s="1"/>
  <c r="AD579" i="15" l="1"/>
  <c r="BQ229" i="16"/>
  <c r="AM247" i="16"/>
  <c r="AN247" i="16" s="1"/>
  <c r="AW247" i="16"/>
  <c r="AX247" i="16" s="1"/>
  <c r="AZ247" i="16" s="1"/>
  <c r="AD248" i="16"/>
  <c r="W248" i="16"/>
  <c r="Y248" i="16" s="1"/>
  <c r="AB248" i="16" s="1"/>
  <c r="BF230" i="16"/>
  <c r="BJ230" i="16"/>
  <c r="BK230" i="16"/>
  <c r="N296" i="16"/>
  <c r="M297" i="16" s="1"/>
  <c r="AA248" i="16" l="1"/>
  <c r="AK248" i="16" s="1"/>
  <c r="Z248" i="16"/>
  <c r="AE248" i="16"/>
  <c r="AF248" i="16" s="1"/>
  <c r="AO247" i="16"/>
  <c r="BL230" i="16"/>
  <c r="BM230" i="16" s="1"/>
  <c r="BI230" i="16"/>
  <c r="BG230" i="16"/>
  <c r="O296" i="16"/>
  <c r="AG248" i="16" l="1"/>
  <c r="AL248" i="16" s="1"/>
  <c r="AY248" i="16" s="1"/>
  <c r="AP247" i="16"/>
  <c r="AR247" i="16" s="1"/>
  <c r="U249" i="16"/>
  <c r="AC249" i="16" s="1"/>
  <c r="BC231" i="16"/>
  <c r="BH231" i="16" s="1"/>
  <c r="BN230" i="16"/>
  <c r="BO230" i="16"/>
  <c r="BP230" i="16" s="1"/>
  <c r="E297" i="16"/>
  <c r="L297" i="16" s="1"/>
  <c r="P297" i="16"/>
  <c r="Q297" i="16" s="1"/>
  <c r="S297" i="16" s="1"/>
  <c r="AM248" i="16" l="1"/>
  <c r="AN248" i="16" s="1"/>
  <c r="AO248" i="16" s="1"/>
  <c r="AH248" i="16"/>
  <c r="AS248" i="16" s="1"/>
  <c r="AQ247" i="16"/>
  <c r="AD249" i="16"/>
  <c r="BD231" i="16"/>
  <c r="BJ231" i="16" s="1"/>
  <c r="W249" i="16"/>
  <c r="AJ317" i="15"/>
  <c r="BQ230" i="16"/>
  <c r="E229" i="14"/>
  <c r="F229" i="14" s="1"/>
  <c r="H229" i="14" s="1"/>
  <c r="AD580" i="15"/>
  <c r="N297" i="16"/>
  <c r="M298" i="16" s="1"/>
  <c r="AU248" i="16" l="1"/>
  <c r="AV248" i="16" s="1"/>
  <c r="AT248" i="16"/>
  <c r="AW248" i="16" s="1"/>
  <c r="AX248" i="16" s="1"/>
  <c r="AZ248" i="16" s="1"/>
  <c r="BE231" i="16"/>
  <c r="BF231" i="16" s="1"/>
  <c r="BI231" i="16" s="1"/>
  <c r="BK231" i="16"/>
  <c r="BL231" i="16" s="1"/>
  <c r="BM231" i="16" s="1"/>
  <c r="AP248" i="16"/>
  <c r="AR248" i="16" s="1"/>
  <c r="AE249" i="16"/>
  <c r="AA249" i="16"/>
  <c r="AK249" i="16" s="1"/>
  <c r="Y249" i="16"/>
  <c r="AB249" i="16" s="1"/>
  <c r="O297" i="16"/>
  <c r="E298" i="16"/>
  <c r="L298" i="16" s="1"/>
  <c r="BG231" i="16" l="1"/>
  <c r="BC232" i="16" s="1"/>
  <c r="BH232" i="16" s="1"/>
  <c r="AQ248" i="16"/>
  <c r="AF249" i="16"/>
  <c r="Z249" i="16"/>
  <c r="BO231" i="16"/>
  <c r="BP231" i="16" s="1"/>
  <c r="BN231" i="16"/>
  <c r="N298" i="16"/>
  <c r="M299" i="16" s="1"/>
  <c r="P298" i="16"/>
  <c r="AG249" i="16" l="1"/>
  <c r="AL249" i="16" s="1"/>
  <c r="AY249" i="16" s="1"/>
  <c r="U250" i="16"/>
  <c r="AC250" i="16" s="1"/>
  <c r="E230" i="14"/>
  <c r="F230" i="14" s="1"/>
  <c r="H230" i="14" s="1"/>
  <c r="AD581" i="15"/>
  <c r="BD232" i="16"/>
  <c r="BE232" i="16" s="1"/>
  <c r="AJ318" i="15"/>
  <c r="BQ231" i="16"/>
  <c r="Q298" i="16"/>
  <c r="S298" i="16" s="1"/>
  <c r="O298" i="16"/>
  <c r="E299" i="16"/>
  <c r="L299" i="16" s="1"/>
  <c r="AM249" i="16" l="1"/>
  <c r="AN249" i="16" s="1"/>
  <c r="AO249" i="16" s="1"/>
  <c r="AH249" i="16"/>
  <c r="AS249" i="16" s="1"/>
  <c r="P299" i="16"/>
  <c r="Q299" i="16" s="1"/>
  <c r="S299" i="16" s="1"/>
  <c r="AD250" i="16"/>
  <c r="W250" i="16"/>
  <c r="AA250" i="16" s="1"/>
  <c r="AK250" i="16" s="1"/>
  <c r="BJ232" i="16"/>
  <c r="BK232" i="16"/>
  <c r="BF232" i="16"/>
  <c r="N299" i="16"/>
  <c r="M300" i="16" s="1"/>
  <c r="AT249" i="16" l="1"/>
  <c r="AW249" i="16" s="1"/>
  <c r="AX249" i="16" s="1"/>
  <c r="AZ249" i="16" s="1"/>
  <c r="AU249" i="16"/>
  <c r="AV249" i="16" s="1"/>
  <c r="AP249" i="16"/>
  <c r="AR249" i="16" s="1"/>
  <c r="Y250" i="16"/>
  <c r="AB250" i="16" s="1"/>
  <c r="AE250" i="16"/>
  <c r="BI232" i="16"/>
  <c r="BG232" i="16"/>
  <c r="BL232" i="16"/>
  <c r="BM232" i="16" s="1"/>
  <c r="O299" i="16"/>
  <c r="AF250" i="16" l="1"/>
  <c r="AG250" i="16" s="1"/>
  <c r="AH250" i="16" s="1"/>
  <c r="AS250" i="16" s="1"/>
  <c r="AT250" i="16" s="1"/>
  <c r="AW250" i="16" s="1"/>
  <c r="AX250" i="16" s="1"/>
  <c r="AZ250" i="16" s="1"/>
  <c r="Z250" i="16"/>
  <c r="AQ249" i="16"/>
  <c r="BC233" i="16"/>
  <c r="BH233" i="16" s="1"/>
  <c r="BO232" i="16"/>
  <c r="BP232" i="16" s="1"/>
  <c r="BN232" i="16"/>
  <c r="P300" i="16"/>
  <c r="Q300" i="16" s="1"/>
  <c r="S300" i="16" s="1"/>
  <c r="E300" i="16"/>
  <c r="L300" i="16" s="1"/>
  <c r="AL250" i="16" l="1"/>
  <c r="AM250" i="16" s="1"/>
  <c r="AU250" i="16"/>
  <c r="AV250" i="16" s="1"/>
  <c r="U251" i="16"/>
  <c r="AC251" i="16" s="1"/>
  <c r="AD251" i="16" s="1"/>
  <c r="BD233" i="16"/>
  <c r="BJ233" i="16" s="1"/>
  <c r="E231" i="14"/>
  <c r="F231" i="14" s="1"/>
  <c r="H231" i="14" s="1"/>
  <c r="AD583" i="15"/>
  <c r="AJ319" i="15"/>
  <c r="BQ232" i="16"/>
  <c r="N300" i="16"/>
  <c r="M301" i="16" s="1"/>
  <c r="AY250" i="16" l="1"/>
  <c r="BE233" i="16"/>
  <c r="BF233" i="16" s="1"/>
  <c r="BI233" i="16" s="1"/>
  <c r="BK233" i="16"/>
  <c r="BL233" i="16" s="1"/>
  <c r="BM233" i="16" s="1"/>
  <c r="AE251" i="16"/>
  <c r="AN250" i="16"/>
  <c r="AO250" i="16" s="1"/>
  <c r="W251" i="16"/>
  <c r="O300" i="16"/>
  <c r="BG233" i="16" l="1"/>
  <c r="BC234" i="16" s="1"/>
  <c r="BH234" i="16" s="1"/>
  <c r="AP250" i="16"/>
  <c r="AR250" i="16" s="1"/>
  <c r="AA251" i="16"/>
  <c r="AK251" i="16" s="1"/>
  <c r="Y251" i="16"/>
  <c r="BO233" i="16"/>
  <c r="BP233" i="16" s="1"/>
  <c r="BN233" i="16"/>
  <c r="P301" i="16"/>
  <c r="Q301" i="16" s="1"/>
  <c r="S301" i="16" s="1"/>
  <c r="E301" i="16"/>
  <c r="L301" i="16" s="1"/>
  <c r="AQ250" i="16" l="1"/>
  <c r="AB251" i="16"/>
  <c r="Z251" i="16"/>
  <c r="BD234" i="16"/>
  <c r="E232" i="14"/>
  <c r="F232" i="14" s="1"/>
  <c r="H232" i="14" s="1"/>
  <c r="AD585" i="15"/>
  <c r="AJ320" i="15"/>
  <c r="BQ233" i="16"/>
  <c r="N301" i="16"/>
  <c r="M302" i="16" s="1"/>
  <c r="U252" i="16" l="1"/>
  <c r="AC252" i="16" s="1"/>
  <c r="AF251" i="16"/>
  <c r="BJ234" i="16"/>
  <c r="BK234" i="16"/>
  <c r="BE234" i="16"/>
  <c r="BF234" i="16" s="1"/>
  <c r="O301" i="16"/>
  <c r="AG251" i="16" l="1"/>
  <c r="AL251" i="16" s="1"/>
  <c r="AY251" i="16" s="1"/>
  <c r="AD252" i="16"/>
  <c r="W252" i="16"/>
  <c r="BI234" i="16"/>
  <c r="BG234" i="16"/>
  <c r="BL234" i="16"/>
  <c r="BM234" i="16" s="1"/>
  <c r="P302" i="16"/>
  <c r="Q302" i="16" s="1"/>
  <c r="S302" i="16" s="1"/>
  <c r="E302" i="16"/>
  <c r="L302" i="16" s="1"/>
  <c r="AM251" i="16" l="1"/>
  <c r="AN251" i="16" s="1"/>
  <c r="AH251" i="16"/>
  <c r="AS251" i="16" s="1"/>
  <c r="AA252" i="16"/>
  <c r="AK252" i="16" s="1"/>
  <c r="Y252" i="16"/>
  <c r="AB252" i="16" s="1"/>
  <c r="AE252" i="16"/>
  <c r="BC235" i="16"/>
  <c r="BH235" i="16" s="1"/>
  <c r="BO234" i="16"/>
  <c r="BP234" i="16" s="1"/>
  <c r="BN234" i="16"/>
  <c r="N302" i="16"/>
  <c r="M303" i="16" s="1"/>
  <c r="AT251" i="16" l="1"/>
  <c r="AW251" i="16" s="1"/>
  <c r="AX251" i="16" s="1"/>
  <c r="AZ251" i="16" s="1"/>
  <c r="AU251" i="16"/>
  <c r="AV251" i="16" s="1"/>
  <c r="Z252" i="16"/>
  <c r="AF252" i="16"/>
  <c r="AO251" i="16"/>
  <c r="AD590" i="15"/>
  <c r="E233" i="14"/>
  <c r="F233" i="14" s="1"/>
  <c r="H233" i="14" s="1"/>
  <c r="BD235" i="16"/>
  <c r="AJ321" i="15"/>
  <c r="BQ234" i="16"/>
  <c r="O302" i="16"/>
  <c r="AG252" i="16" l="1"/>
  <c r="AL252" i="16" s="1"/>
  <c r="AY252" i="16" s="1"/>
  <c r="U253" i="16"/>
  <c r="AC253" i="16" s="1"/>
  <c r="AP251" i="16"/>
  <c r="AR251" i="16" s="1"/>
  <c r="BJ235" i="16"/>
  <c r="BK235" i="16"/>
  <c r="BE235" i="16"/>
  <c r="BF235" i="16" s="1"/>
  <c r="P303" i="16"/>
  <c r="Q303" i="16" s="1"/>
  <c r="S303" i="16" s="1"/>
  <c r="E303" i="16"/>
  <c r="L303" i="16" s="1"/>
  <c r="AM252" i="16" l="1"/>
  <c r="AN252" i="16" s="1"/>
  <c r="AO252" i="16" s="1"/>
  <c r="AH252" i="16"/>
  <c r="AS252" i="16" s="1"/>
  <c r="AQ251" i="16"/>
  <c r="AD253" i="16"/>
  <c r="W253" i="16"/>
  <c r="BI235" i="16"/>
  <c r="BG235" i="16"/>
  <c r="BL235" i="16"/>
  <c r="BM235" i="16" s="1"/>
  <c r="N303" i="16"/>
  <c r="M304" i="16" s="1"/>
  <c r="AT252" i="16" l="1"/>
  <c r="AW252" i="16" s="1"/>
  <c r="AX252" i="16" s="1"/>
  <c r="AZ252" i="16" s="1"/>
  <c r="AU252" i="16"/>
  <c r="AV252" i="16" s="1"/>
  <c r="AP252" i="16"/>
  <c r="AR252" i="16" s="1"/>
  <c r="AE253" i="16"/>
  <c r="AA253" i="16"/>
  <c r="AK253" i="16" s="1"/>
  <c r="Y253" i="16"/>
  <c r="BC236" i="16"/>
  <c r="BH236" i="16" s="1"/>
  <c r="BO235" i="16"/>
  <c r="BP235" i="16" s="1"/>
  <c r="BN235" i="16"/>
  <c r="O303" i="16"/>
  <c r="BD236" i="16" l="1"/>
  <c r="BE236" i="16" s="1"/>
  <c r="BF236" i="16" s="1"/>
  <c r="AQ252" i="16"/>
  <c r="AB253" i="16"/>
  <c r="Z253" i="16"/>
  <c r="AJ322" i="15"/>
  <c r="BQ235" i="16"/>
  <c r="E234" i="14"/>
  <c r="F234" i="14" s="1"/>
  <c r="H234" i="14" s="1"/>
  <c r="AD559" i="15"/>
  <c r="BJ236" i="16"/>
  <c r="E304" i="16"/>
  <c r="L304" i="16" s="1"/>
  <c r="P304" i="16"/>
  <c r="Q304" i="16" s="1"/>
  <c r="S304" i="16" s="1"/>
  <c r="BK236" i="16" l="1"/>
  <c r="BL236" i="16" s="1"/>
  <c r="BM236" i="16" s="1"/>
  <c r="U254" i="16"/>
  <c r="AC254" i="16" s="1"/>
  <c r="AF253" i="16"/>
  <c r="AG253" i="16" s="1"/>
  <c r="AH253" i="16" s="1"/>
  <c r="AS253" i="16" s="1"/>
  <c r="BI236" i="16"/>
  <c r="BG236" i="16"/>
  <c r="N304" i="16"/>
  <c r="M305" i="16" s="1"/>
  <c r="AL253" i="16" l="1"/>
  <c r="AM253" i="16" s="1"/>
  <c r="AT253" i="16"/>
  <c r="AW253" i="16" s="1"/>
  <c r="AX253" i="16" s="1"/>
  <c r="AZ253" i="16" s="1"/>
  <c r="AU253" i="16"/>
  <c r="AV253" i="16" s="1"/>
  <c r="AD254" i="16"/>
  <c r="W254" i="16"/>
  <c r="AA254" i="16" s="1"/>
  <c r="AK254" i="16" s="1"/>
  <c r="BO236" i="16"/>
  <c r="BP236" i="16" s="1"/>
  <c r="BN236" i="16"/>
  <c r="BC237" i="16"/>
  <c r="BH237" i="16" s="1"/>
  <c r="O304" i="16"/>
  <c r="E305" i="16"/>
  <c r="L305" i="16" s="1"/>
  <c r="AY253" i="16" l="1"/>
  <c r="Y254" i="16"/>
  <c r="AN253" i="16"/>
  <c r="AO253" i="16" s="1"/>
  <c r="AP253" i="16" s="1"/>
  <c r="AQ253" i="16" s="1"/>
  <c r="AE254" i="16"/>
  <c r="E235" i="14"/>
  <c r="F235" i="14" s="1"/>
  <c r="H235" i="14" s="1"/>
  <c r="AD588" i="15"/>
  <c r="BD237" i="16"/>
  <c r="AJ323" i="15"/>
  <c r="BQ236" i="16"/>
  <c r="N305" i="16"/>
  <c r="M306" i="16" s="1"/>
  <c r="P305" i="16"/>
  <c r="Q305" i="16" s="1"/>
  <c r="S305" i="16" s="1"/>
  <c r="AR253" i="16" l="1"/>
  <c r="AB254" i="16"/>
  <c r="Z254" i="16"/>
  <c r="BJ237" i="16"/>
  <c r="BK237" i="16"/>
  <c r="BE237" i="16"/>
  <c r="BF237" i="16" s="1"/>
  <c r="O305" i="16"/>
  <c r="E306" i="16"/>
  <c r="L306" i="16" s="1"/>
  <c r="N306" i="16" l="1"/>
  <c r="M307" i="16" s="1"/>
  <c r="U255" i="16"/>
  <c r="AC255" i="16" s="1"/>
  <c r="AF254" i="16"/>
  <c r="BI237" i="16"/>
  <c r="BG237" i="16"/>
  <c r="BL237" i="16"/>
  <c r="BM237" i="16" s="1"/>
  <c r="P306" i="16"/>
  <c r="Q306" i="16" s="1"/>
  <c r="S306" i="16" s="1"/>
  <c r="E307" i="16" l="1"/>
  <c r="L307" i="16" s="1"/>
  <c r="O306" i="16"/>
  <c r="AG254" i="16"/>
  <c r="AL254" i="16" s="1"/>
  <c r="AY254" i="16" s="1"/>
  <c r="AD255" i="16"/>
  <c r="W255" i="16"/>
  <c r="BC238" i="16"/>
  <c r="BH238" i="16" s="1"/>
  <c r="BN237" i="16"/>
  <c r="BO237" i="16"/>
  <c r="BP237" i="16" s="1"/>
  <c r="P307" i="16"/>
  <c r="N307" i="16" l="1"/>
  <c r="M308" i="16" s="1"/>
  <c r="AM254" i="16"/>
  <c r="AN254" i="16" s="1"/>
  <c r="AO254" i="16" s="1"/>
  <c r="AH254" i="16"/>
  <c r="AS254" i="16" s="1"/>
  <c r="AE255" i="16"/>
  <c r="AA255" i="16"/>
  <c r="AK255" i="16" s="1"/>
  <c r="Y255" i="16"/>
  <c r="BD238" i="16"/>
  <c r="BE238" i="16" s="1"/>
  <c r="BF238" i="16" s="1"/>
  <c r="AJ324" i="15"/>
  <c r="BQ237" i="16"/>
  <c r="E236" i="14"/>
  <c r="F236" i="14" s="1"/>
  <c r="H236" i="14" s="1"/>
  <c r="AD596" i="15"/>
  <c r="Q307" i="16"/>
  <c r="S307" i="16" s="1"/>
  <c r="O307" i="16"/>
  <c r="AT254" i="16" l="1"/>
  <c r="AW254" i="16" s="1"/>
  <c r="AX254" i="16" s="1"/>
  <c r="AZ254" i="16" s="1"/>
  <c r="AU254" i="16"/>
  <c r="AV254" i="16" s="1"/>
  <c r="AP254" i="16"/>
  <c r="AR254" i="16" s="1"/>
  <c r="AB255" i="16"/>
  <c r="Z255" i="16"/>
  <c r="BI238" i="16"/>
  <c r="BG238" i="16"/>
  <c r="BJ238" i="16"/>
  <c r="BK238" i="16"/>
  <c r="P308" i="16"/>
  <c r="E308" i="16"/>
  <c r="L308" i="16" s="1"/>
  <c r="U256" i="16" l="1"/>
  <c r="AC256" i="16" s="1"/>
  <c r="AF255" i="16"/>
  <c r="AQ254" i="16"/>
  <c r="BL238" i="16"/>
  <c r="BM238" i="16" s="1"/>
  <c r="BC239" i="16"/>
  <c r="BO238" i="16"/>
  <c r="BP238" i="16" s="1"/>
  <c r="N308" i="16"/>
  <c r="M309" i="16" s="1"/>
  <c r="Q308" i="16"/>
  <c r="S308" i="16" s="1"/>
  <c r="AG255" i="16" l="1"/>
  <c r="AL255" i="16" s="1"/>
  <c r="W256" i="16"/>
  <c r="AA256" i="16" s="1"/>
  <c r="AK256" i="16" s="1"/>
  <c r="AD256" i="16"/>
  <c r="BN238" i="16"/>
  <c r="E237" i="14" s="1"/>
  <c r="F237" i="14" s="1"/>
  <c r="H237" i="14" s="1"/>
  <c r="AY255" i="16"/>
  <c r="AM255" i="16"/>
  <c r="BH239" i="16"/>
  <c r="BD239" i="16"/>
  <c r="AJ325" i="15"/>
  <c r="O308" i="16"/>
  <c r="E309" i="16"/>
  <c r="L309" i="16" s="1"/>
  <c r="AD599" i="15" l="1"/>
  <c r="AH255" i="16"/>
  <c r="AS255" i="16" s="1"/>
  <c r="Y256" i="16"/>
  <c r="AB256" i="16" s="1"/>
  <c r="BQ238" i="16"/>
  <c r="AE256" i="16"/>
  <c r="AN255" i="16"/>
  <c r="AO255" i="16" s="1"/>
  <c r="BJ239" i="16"/>
  <c r="BK239" i="16"/>
  <c r="BE239" i="16"/>
  <c r="BF239" i="16" s="1"/>
  <c r="N309" i="16"/>
  <c r="M310" i="16" s="1"/>
  <c r="P309" i="16"/>
  <c r="AF256" i="16" l="1"/>
  <c r="AG256" i="16" s="1"/>
  <c r="AH256" i="16" s="1"/>
  <c r="AS256" i="16" s="1"/>
  <c r="AT256" i="16" s="1"/>
  <c r="Z256" i="16"/>
  <c r="U257" i="16" s="1"/>
  <c r="AC257" i="16" s="1"/>
  <c r="AD257" i="16" s="1"/>
  <c r="AU255" i="16"/>
  <c r="AV255" i="16" s="1"/>
  <c r="AT255" i="16"/>
  <c r="AW255" i="16" s="1"/>
  <c r="AX255" i="16" s="1"/>
  <c r="AZ255" i="16" s="1"/>
  <c r="AP255" i="16"/>
  <c r="AR255" i="16" s="1"/>
  <c r="BI239" i="16"/>
  <c r="BG239" i="16"/>
  <c r="BL239" i="16"/>
  <c r="BM239" i="16" s="1"/>
  <c r="Q309" i="16"/>
  <c r="S309" i="16" s="1"/>
  <c r="O309" i="16"/>
  <c r="AL256" i="16" l="1"/>
  <c r="AY256" i="16" s="1"/>
  <c r="AU256" i="16"/>
  <c r="AV256" i="16" s="1"/>
  <c r="W257" i="16"/>
  <c r="Y257" i="16" s="1"/>
  <c r="AB257" i="16" s="1"/>
  <c r="AM256" i="16"/>
  <c r="AN256" i="16" s="1"/>
  <c r="AO256" i="16" s="1"/>
  <c r="AW256" i="16"/>
  <c r="AX256" i="16" s="1"/>
  <c r="AZ256" i="16" s="1"/>
  <c r="AE257" i="16"/>
  <c r="AQ255" i="16"/>
  <c r="BC240" i="16"/>
  <c r="BH240" i="16" s="1"/>
  <c r="BO239" i="16"/>
  <c r="BP239" i="16" s="1"/>
  <c r="BN239" i="16"/>
  <c r="E310" i="16"/>
  <c r="L310" i="16" s="1"/>
  <c r="P310" i="16"/>
  <c r="AA257" i="16" l="1"/>
  <c r="AK257" i="16" s="1"/>
  <c r="AF257" i="16"/>
  <c r="AG257" i="16" s="1"/>
  <c r="AH257" i="16" s="1"/>
  <c r="AS257" i="16" s="1"/>
  <c r="AT257" i="16" s="1"/>
  <c r="AW257" i="16" s="1"/>
  <c r="Z257" i="16"/>
  <c r="U258" i="16" s="1"/>
  <c r="AC258" i="16" s="1"/>
  <c r="AP256" i="16"/>
  <c r="AR256" i="16" s="1"/>
  <c r="BD240" i="16"/>
  <c r="BK240" i="16" s="1"/>
  <c r="E238" i="14"/>
  <c r="F238" i="14" s="1"/>
  <c r="H238" i="14" s="1"/>
  <c r="AD601" i="15"/>
  <c r="AJ326" i="15"/>
  <c r="BQ239" i="16"/>
  <c r="Q310" i="16"/>
  <c r="S310" i="16" s="1"/>
  <c r="N310" i="16"/>
  <c r="M311" i="16" s="1"/>
  <c r="AU257" i="16" l="1"/>
  <c r="AV257" i="16" s="1"/>
  <c r="AL257" i="16"/>
  <c r="AY257" i="16" s="1"/>
  <c r="AQ256" i="16"/>
  <c r="BE240" i="16"/>
  <c r="BF240" i="16" s="1"/>
  <c r="BG240" i="16" s="1"/>
  <c r="BJ240" i="16"/>
  <c r="AD258" i="16"/>
  <c r="W258" i="16"/>
  <c r="AA258" i="16" s="1"/>
  <c r="AK258" i="16" s="1"/>
  <c r="AX257" i="16"/>
  <c r="AZ257" i="16" s="1"/>
  <c r="BL240" i="16"/>
  <c r="BM240" i="16" s="1"/>
  <c r="O310" i="16"/>
  <c r="AM257" i="16" l="1"/>
  <c r="AN257" i="16" s="1"/>
  <c r="AO257" i="16" s="1"/>
  <c r="AP257" i="16" s="1"/>
  <c r="AR257" i="16" s="1"/>
  <c r="BI240" i="16"/>
  <c r="BO240" i="16" s="1"/>
  <c r="BP240" i="16" s="1"/>
  <c r="Y258" i="16"/>
  <c r="AB258" i="16" s="1"/>
  <c r="AE258" i="16"/>
  <c r="BC241" i="16"/>
  <c r="BH241" i="16" s="1"/>
  <c r="E311" i="16"/>
  <c r="L311" i="16" s="1"/>
  <c r="P311" i="16"/>
  <c r="BN240" i="16" l="1"/>
  <c r="BQ240" i="16" s="1"/>
  <c r="AF258" i="16"/>
  <c r="AG258" i="16" s="1"/>
  <c r="AH258" i="16" s="1"/>
  <c r="AS258" i="16" s="1"/>
  <c r="Z258" i="16"/>
  <c r="U259" i="16" s="1"/>
  <c r="AC259" i="16" s="1"/>
  <c r="AD259" i="16" s="1"/>
  <c r="AQ257" i="16"/>
  <c r="BD241" i="16"/>
  <c r="BE241" i="16" s="1"/>
  <c r="BF241" i="16" s="1"/>
  <c r="AJ327" i="15"/>
  <c r="Q311" i="16"/>
  <c r="S311" i="16" s="1"/>
  <c r="N311" i="16"/>
  <c r="M312" i="16" s="1"/>
  <c r="E239" i="14" l="1"/>
  <c r="F239" i="14" s="1"/>
  <c r="H239" i="14" s="1"/>
  <c r="AD603" i="15"/>
  <c r="AT258" i="16"/>
  <c r="AW258" i="16" s="1"/>
  <c r="AX258" i="16" s="1"/>
  <c r="AZ258" i="16" s="1"/>
  <c r="AU258" i="16"/>
  <c r="AV258" i="16" s="1"/>
  <c r="AL258" i="16"/>
  <c r="AY258" i="16" s="1"/>
  <c r="AE259" i="16"/>
  <c r="W259" i="16"/>
  <c r="AA259" i="16" s="1"/>
  <c r="AK259" i="16" s="1"/>
  <c r="BI241" i="16"/>
  <c r="BG241" i="16"/>
  <c r="BJ241" i="16"/>
  <c r="BK241" i="16"/>
  <c r="O311" i="16"/>
  <c r="AM258" i="16" l="1"/>
  <c r="AN258" i="16" s="1"/>
  <c r="AO258" i="16" s="1"/>
  <c r="AP258" i="16" s="1"/>
  <c r="AQ258" i="16" s="1"/>
  <c r="Y259" i="16"/>
  <c r="BL241" i="16"/>
  <c r="BM241" i="16" s="1"/>
  <c r="BC242" i="16"/>
  <c r="BH242" i="16" s="1"/>
  <c r="BO241" i="16"/>
  <c r="BP241" i="16" s="1"/>
  <c r="E312" i="16"/>
  <c r="L312" i="16" s="1"/>
  <c r="P312" i="16"/>
  <c r="AR258" i="16" l="1"/>
  <c r="BN241" i="16"/>
  <c r="E240" i="14" s="1"/>
  <c r="F240" i="14" s="1"/>
  <c r="H240" i="14" s="1"/>
  <c r="AB259" i="16"/>
  <c r="Z259" i="16"/>
  <c r="AJ328" i="15"/>
  <c r="BD242" i="16"/>
  <c r="BE242" i="16" s="1"/>
  <c r="Q312" i="16"/>
  <c r="S312" i="16" s="1"/>
  <c r="N312" i="16"/>
  <c r="M313" i="16" s="1"/>
  <c r="BQ241" i="16" l="1"/>
  <c r="AD606" i="15"/>
  <c r="U260" i="16"/>
  <c r="AC260" i="16" s="1"/>
  <c r="AF259" i="16"/>
  <c r="BF242" i="16"/>
  <c r="BJ242" i="16"/>
  <c r="BK242" i="16"/>
  <c r="O312" i="16"/>
  <c r="AG259" i="16" l="1"/>
  <c r="AL259" i="16" s="1"/>
  <c r="AY259" i="16" s="1"/>
  <c r="AD260" i="16"/>
  <c r="W260" i="16"/>
  <c r="AA260" i="16" s="1"/>
  <c r="AK260" i="16" s="1"/>
  <c r="BL242" i="16"/>
  <c r="BM242" i="16" s="1"/>
  <c r="BI242" i="16"/>
  <c r="BG242" i="16"/>
  <c r="E313" i="16"/>
  <c r="L313" i="16" s="1"/>
  <c r="P313" i="16"/>
  <c r="AM259" i="16" l="1"/>
  <c r="AH259" i="16"/>
  <c r="AS259" i="16" s="1"/>
  <c r="AN259" i="16"/>
  <c r="AO259" i="16" s="1"/>
  <c r="AP259" i="16" s="1"/>
  <c r="AQ259" i="16" s="1"/>
  <c r="AE260" i="16"/>
  <c r="Y260" i="16"/>
  <c r="BC243" i="16"/>
  <c r="BH243" i="16" s="1"/>
  <c r="BN242" i="16"/>
  <c r="BO242" i="16"/>
  <c r="BP242" i="16" s="1"/>
  <c r="Q313" i="16"/>
  <c r="S313" i="16" s="1"/>
  <c r="N313" i="16"/>
  <c r="M314" i="16" s="1"/>
  <c r="AT259" i="16" l="1"/>
  <c r="AW259" i="16" s="1"/>
  <c r="AX259" i="16" s="1"/>
  <c r="AZ259" i="16" s="1"/>
  <c r="AU259" i="16"/>
  <c r="AV259" i="16" s="1"/>
  <c r="BD243" i="16"/>
  <c r="BE243" i="16" s="1"/>
  <c r="BF243" i="16" s="1"/>
  <c r="AB260" i="16"/>
  <c r="Z260" i="16"/>
  <c r="AR259" i="16"/>
  <c r="AJ329" i="15"/>
  <c r="BQ242" i="16"/>
  <c r="E241" i="14"/>
  <c r="F241" i="14" s="1"/>
  <c r="H241" i="14" s="1"/>
  <c r="AD609" i="15"/>
  <c r="O313" i="16"/>
  <c r="E314" i="16"/>
  <c r="L314" i="16" s="1"/>
  <c r="BK243" i="16" l="1"/>
  <c r="BL243" i="16" s="1"/>
  <c r="BM243" i="16" s="1"/>
  <c r="BJ243" i="16"/>
  <c r="U261" i="16"/>
  <c r="AC261" i="16" s="1"/>
  <c r="AF260" i="16"/>
  <c r="AG260" i="16" s="1"/>
  <c r="AH260" i="16" s="1"/>
  <c r="AS260" i="16" s="1"/>
  <c r="AT260" i="16" s="1"/>
  <c r="AW260" i="16" s="1"/>
  <c r="AX260" i="16" s="1"/>
  <c r="AZ260" i="16" s="1"/>
  <c r="BI243" i="16"/>
  <c r="BG243" i="16"/>
  <c r="N314" i="16"/>
  <c r="M315" i="16" s="1"/>
  <c r="P314" i="16"/>
  <c r="AL260" i="16" l="1"/>
  <c r="AY260" i="16" s="1"/>
  <c r="AU260" i="16"/>
  <c r="AV260" i="16" s="1"/>
  <c r="AD261" i="16"/>
  <c r="W261" i="16"/>
  <c r="AA261" i="16" s="1"/>
  <c r="AK261" i="16" s="1"/>
  <c r="BC244" i="16"/>
  <c r="BH244" i="16" s="1"/>
  <c r="BN243" i="16"/>
  <c r="BO243" i="16"/>
  <c r="BP243" i="16" s="1"/>
  <c r="O314" i="16"/>
  <c r="Q314" i="16"/>
  <c r="S314" i="16" s="1"/>
  <c r="AM260" i="16" l="1"/>
  <c r="AN260" i="16" s="1"/>
  <c r="AO260" i="16" s="1"/>
  <c r="AE261" i="16"/>
  <c r="Y261" i="16"/>
  <c r="AB261" i="16" s="1"/>
  <c r="AJ330" i="15"/>
  <c r="BQ243" i="16"/>
  <c r="BD244" i="16"/>
  <c r="AD611" i="15"/>
  <c r="E242" i="14"/>
  <c r="F242" i="14" s="1"/>
  <c r="H242" i="14" s="1"/>
  <c r="E315" i="16"/>
  <c r="L315" i="16" s="1"/>
  <c r="P315" i="16"/>
  <c r="Q315" i="16" s="1"/>
  <c r="S315" i="16" s="1"/>
  <c r="AP260" i="16" l="1"/>
  <c r="AQ260" i="16" s="1"/>
  <c r="AF261" i="16"/>
  <c r="AG261" i="16" s="1"/>
  <c r="AH261" i="16" s="1"/>
  <c r="AS261" i="16" s="1"/>
  <c r="Z261" i="16"/>
  <c r="BJ244" i="16"/>
  <c r="BK244" i="16"/>
  <c r="BE244" i="16"/>
  <c r="BF244" i="16" s="1"/>
  <c r="N315" i="16"/>
  <c r="M316" i="16" s="1"/>
  <c r="AT261" i="16" l="1"/>
  <c r="AW261" i="16" s="1"/>
  <c r="AX261" i="16" s="1"/>
  <c r="AZ261" i="16" s="1"/>
  <c r="AU261" i="16"/>
  <c r="AV261" i="16" s="1"/>
  <c r="AL261" i="16"/>
  <c r="AM261" i="16" s="1"/>
  <c r="AR260" i="16"/>
  <c r="U262" i="16"/>
  <c r="AC262" i="16" s="1"/>
  <c r="BI244" i="16"/>
  <c r="BG244" i="16"/>
  <c r="BL244" i="16"/>
  <c r="BM244" i="16" s="1"/>
  <c r="O315" i="16"/>
  <c r="AY261" i="16" l="1"/>
  <c r="AD262" i="16"/>
  <c r="W262" i="16"/>
  <c r="AA262" i="16" s="1"/>
  <c r="AK262" i="16" s="1"/>
  <c r="AN261" i="16"/>
  <c r="AO261" i="16" s="1"/>
  <c r="BC245" i="16"/>
  <c r="BH245" i="16" s="1"/>
  <c r="BO244" i="16"/>
  <c r="BP244" i="16" s="1"/>
  <c r="BN244" i="16"/>
  <c r="P316" i="16"/>
  <c r="Q316" i="16" s="1"/>
  <c r="S316" i="16" s="1"/>
  <c r="E316" i="16"/>
  <c r="L316" i="16" s="1"/>
  <c r="BD245" i="16" l="1"/>
  <c r="BK245" i="16" s="1"/>
  <c r="Y262" i="16"/>
  <c r="AP261" i="16"/>
  <c r="AR261" i="16" s="1"/>
  <c r="AE262" i="16"/>
  <c r="AJ331" i="15"/>
  <c r="BQ244" i="16"/>
  <c r="E243" i="14"/>
  <c r="F243" i="14" s="1"/>
  <c r="H243" i="14" s="1"/>
  <c r="AD614" i="15"/>
  <c r="N316" i="16"/>
  <c r="M317" i="16" s="1"/>
  <c r="BE245" i="16" l="1"/>
  <c r="BF245" i="16" s="1"/>
  <c r="BG245" i="16" s="1"/>
  <c r="BJ245" i="16"/>
  <c r="AQ261" i="16"/>
  <c r="AB262" i="16"/>
  <c r="Z262" i="16"/>
  <c r="BL245" i="16"/>
  <c r="BM245" i="16" s="1"/>
  <c r="O316" i="16"/>
  <c r="BI245" i="16" l="1"/>
  <c r="BN245" i="16" s="1"/>
  <c r="U263" i="16"/>
  <c r="AC263" i="16" s="1"/>
  <c r="AF262" i="16"/>
  <c r="AG262" i="16" s="1"/>
  <c r="AH262" i="16" s="1"/>
  <c r="AS262" i="16" s="1"/>
  <c r="BC246" i="16"/>
  <c r="BH246" i="16" s="1"/>
  <c r="P317" i="16"/>
  <c r="Q317" i="16" s="1"/>
  <c r="S317" i="16" s="1"/>
  <c r="E317" i="16"/>
  <c r="L317" i="16" s="1"/>
  <c r="BO245" i="16" l="1"/>
  <c r="BP245" i="16" s="1"/>
  <c r="AU262" i="16"/>
  <c r="AV262" i="16" s="1"/>
  <c r="AT262" i="16"/>
  <c r="AW262" i="16" s="1"/>
  <c r="AX262" i="16" s="1"/>
  <c r="AZ262" i="16" s="1"/>
  <c r="AL262" i="16"/>
  <c r="AY262" i="16" s="1"/>
  <c r="AD263" i="16"/>
  <c r="W263" i="16"/>
  <c r="AA263" i="16" s="1"/>
  <c r="AK263" i="16" s="1"/>
  <c r="E244" i="14"/>
  <c r="F244" i="14" s="1"/>
  <c r="H244" i="14" s="1"/>
  <c r="AD616" i="15"/>
  <c r="BD246" i="16"/>
  <c r="BE246" i="16" s="1"/>
  <c r="BF246" i="16" s="1"/>
  <c r="AJ332" i="15"/>
  <c r="BQ245" i="16"/>
  <c r="N317" i="16"/>
  <c r="M318" i="16" s="1"/>
  <c r="AM262" i="16" l="1"/>
  <c r="AN262" i="16" s="1"/>
  <c r="AO262" i="16" s="1"/>
  <c r="AE263" i="16"/>
  <c r="Y263" i="16"/>
  <c r="BI246" i="16"/>
  <c r="BG246" i="16"/>
  <c r="BJ246" i="16"/>
  <c r="BK246" i="16"/>
  <c r="E318" i="16"/>
  <c r="L318" i="16" s="1"/>
  <c r="O317" i="16"/>
  <c r="AB263" i="16" l="1"/>
  <c r="Z263" i="16"/>
  <c r="AP262" i="16"/>
  <c r="AR262" i="16" s="1"/>
  <c r="BL246" i="16"/>
  <c r="BM246" i="16" s="1"/>
  <c r="BC247" i="16"/>
  <c r="BH247" i="16" s="1"/>
  <c r="BO246" i="16"/>
  <c r="BP246" i="16" s="1"/>
  <c r="N318" i="16"/>
  <c r="M319" i="16" s="1"/>
  <c r="P318" i="16"/>
  <c r="Q318" i="16" s="1"/>
  <c r="S318" i="16" s="1"/>
  <c r="AQ262" i="16" l="1"/>
  <c r="AF263" i="16"/>
  <c r="BN246" i="16"/>
  <c r="AD618" i="15" s="1"/>
  <c r="U264" i="16"/>
  <c r="AC264" i="16" s="1"/>
  <c r="AJ333" i="15"/>
  <c r="BD247" i="16"/>
  <c r="O318" i="16"/>
  <c r="AG263" i="16" l="1"/>
  <c r="AL263" i="16" s="1"/>
  <c r="AY263" i="16" s="1"/>
  <c r="BQ246" i="16"/>
  <c r="W264" i="16"/>
  <c r="AA264" i="16" s="1"/>
  <c r="AK264" i="16" s="1"/>
  <c r="E245" i="14"/>
  <c r="F245" i="14" s="1"/>
  <c r="H245" i="14" s="1"/>
  <c r="AD264" i="16"/>
  <c r="BJ247" i="16"/>
  <c r="BK247" i="16"/>
  <c r="BE247" i="16"/>
  <c r="BF247" i="16" s="1"/>
  <c r="E319" i="16"/>
  <c r="P319" i="16"/>
  <c r="Q319" i="16" s="1"/>
  <c r="S319" i="16" s="1"/>
  <c r="AM263" i="16" l="1"/>
  <c r="AN263" i="16" s="1"/>
  <c r="AO263" i="16" s="1"/>
  <c r="AH263" i="16"/>
  <c r="AS263" i="16" s="1"/>
  <c r="AE264" i="16"/>
  <c r="Y264" i="16"/>
  <c r="BI247" i="16"/>
  <c r="BG247" i="16"/>
  <c r="BL247" i="16"/>
  <c r="BM247" i="16" s="1"/>
  <c r="L319" i="16"/>
  <c r="AU263" i="16" l="1"/>
  <c r="AV263" i="16" s="1"/>
  <c r="AT263" i="16"/>
  <c r="AW263" i="16" s="1"/>
  <c r="AX263" i="16" s="1"/>
  <c r="AZ263" i="16" s="1"/>
  <c r="AB264" i="16"/>
  <c r="Z264" i="16"/>
  <c r="AP263" i="16"/>
  <c r="AR263" i="16" s="1"/>
  <c r="BO247" i="16"/>
  <c r="BP247" i="16" s="1"/>
  <c r="BN247" i="16"/>
  <c r="BC248" i="16"/>
  <c r="BH248" i="16" s="1"/>
  <c r="N319" i="16"/>
  <c r="M320" i="16" s="1"/>
  <c r="AF264" i="16" l="1"/>
  <c r="AG264" i="16" s="1"/>
  <c r="AH264" i="16" s="1"/>
  <c r="AS264" i="16" s="1"/>
  <c r="AT264" i="16" s="1"/>
  <c r="AW264" i="16" s="1"/>
  <c r="AX264" i="16" s="1"/>
  <c r="AZ264" i="16" s="1"/>
  <c r="AQ263" i="16"/>
  <c r="U265" i="16"/>
  <c r="AC265" i="16" s="1"/>
  <c r="AD265" i="16" s="1"/>
  <c r="E246" i="14"/>
  <c r="F246" i="14" s="1"/>
  <c r="H246" i="14" s="1"/>
  <c r="AD621" i="15"/>
  <c r="BD248" i="16"/>
  <c r="BE248" i="16" s="1"/>
  <c r="AJ334" i="15"/>
  <c r="BQ247" i="16"/>
  <c r="O319" i="16"/>
  <c r="AL264" i="16" l="1"/>
  <c r="AU264" i="16"/>
  <c r="AV264" i="16" s="1"/>
  <c r="W265" i="16"/>
  <c r="AA265" i="16" s="1"/>
  <c r="AK265" i="16" s="1"/>
  <c r="AE265" i="16"/>
  <c r="AY264" i="16"/>
  <c r="AM264" i="16"/>
  <c r="BJ248" i="16"/>
  <c r="BK248" i="16"/>
  <c r="BF248" i="16"/>
  <c r="E320" i="16"/>
  <c r="P320" i="16"/>
  <c r="Y265" i="16" l="1"/>
  <c r="AB265" i="16" s="1"/>
  <c r="AF265" i="16" s="1"/>
  <c r="AN264" i="16"/>
  <c r="AO264" i="16" s="1"/>
  <c r="BI248" i="16"/>
  <c r="BG248" i="16"/>
  <c r="BL248" i="16"/>
  <c r="BM248" i="16" s="1"/>
  <c r="Q320" i="16"/>
  <c r="S320" i="16" s="1"/>
  <c r="L320" i="16"/>
  <c r="N320" i="16" s="1"/>
  <c r="M321" i="16" s="1"/>
  <c r="Z265" i="16" l="1"/>
  <c r="U266" i="16" s="1"/>
  <c r="AC266" i="16" s="1"/>
  <c r="AG265" i="16"/>
  <c r="AL265" i="16" s="1"/>
  <c r="AY265" i="16" s="1"/>
  <c r="AP264" i="16"/>
  <c r="AR264" i="16" s="1"/>
  <c r="BC249" i="16"/>
  <c r="BH249" i="16" s="1"/>
  <c r="BO248" i="16"/>
  <c r="BP248" i="16" s="1"/>
  <c r="BN248" i="16"/>
  <c r="O320" i="16"/>
  <c r="E321" i="16"/>
  <c r="L321" i="16" s="1"/>
  <c r="AM265" i="16" l="1"/>
  <c r="AN265" i="16" s="1"/>
  <c r="AO265" i="16" s="1"/>
  <c r="AH265" i="16"/>
  <c r="AS265" i="16" s="1"/>
  <c r="AD266" i="16"/>
  <c r="W266" i="16"/>
  <c r="Y266" i="16" s="1"/>
  <c r="AB266" i="16" s="1"/>
  <c r="AQ264" i="16"/>
  <c r="E247" i="14"/>
  <c r="F247" i="14" s="1"/>
  <c r="H247" i="14" s="1"/>
  <c r="AD623" i="15"/>
  <c r="BD249" i="16"/>
  <c r="BE249" i="16" s="1"/>
  <c r="AJ335" i="15"/>
  <c r="BQ248" i="16"/>
  <c r="N321" i="16"/>
  <c r="M322" i="16" s="1"/>
  <c r="P321" i="16"/>
  <c r="AU265" i="16" l="1"/>
  <c r="AV265" i="16" s="1"/>
  <c r="AT265" i="16"/>
  <c r="AW265" i="16" s="1"/>
  <c r="AX265" i="16" s="1"/>
  <c r="AZ265" i="16" s="1"/>
  <c r="AE266" i="16"/>
  <c r="AF266" i="16" s="1"/>
  <c r="AP265" i="16"/>
  <c r="AR265" i="16" s="1"/>
  <c r="AA266" i="16"/>
  <c r="AK266" i="16" s="1"/>
  <c r="Z266" i="16"/>
  <c r="BJ249" i="16"/>
  <c r="BK249" i="16"/>
  <c r="BF249" i="16"/>
  <c r="Q321" i="16"/>
  <c r="S321" i="16" s="1"/>
  <c r="O321" i="16"/>
  <c r="E322" i="16"/>
  <c r="L322" i="16" s="1"/>
  <c r="AG266" i="16" l="1"/>
  <c r="AL266" i="16" s="1"/>
  <c r="AY266" i="16" s="1"/>
  <c r="U267" i="16"/>
  <c r="AC267" i="16" s="1"/>
  <c r="AQ265" i="16"/>
  <c r="BI249" i="16"/>
  <c r="BG249" i="16"/>
  <c r="BL249" i="16"/>
  <c r="BM249" i="16" s="1"/>
  <c r="P322" i="16"/>
  <c r="Q322" i="16" s="1"/>
  <c r="S322" i="16" s="1"/>
  <c r="N322" i="16"/>
  <c r="M323" i="16" s="1"/>
  <c r="AM266" i="16" l="1"/>
  <c r="AN266" i="16" s="1"/>
  <c r="AH266" i="16"/>
  <c r="AS266" i="16" s="1"/>
  <c r="AD267" i="16"/>
  <c r="W267" i="16"/>
  <c r="AA267" i="16" s="1"/>
  <c r="AK267" i="16" s="1"/>
  <c r="BC250" i="16"/>
  <c r="BH250" i="16" s="1"/>
  <c r="BO249" i="16"/>
  <c r="BP249" i="16" s="1"/>
  <c r="BN249" i="16"/>
  <c r="O322" i="16"/>
  <c r="AT266" i="16" l="1"/>
  <c r="AW266" i="16" s="1"/>
  <c r="AX266" i="16" s="1"/>
  <c r="AZ266" i="16" s="1"/>
  <c r="AU266" i="16"/>
  <c r="AV266" i="16" s="1"/>
  <c r="AE267" i="16"/>
  <c r="AO266" i="16"/>
  <c r="Y267" i="16"/>
  <c r="AB267" i="16" s="1"/>
  <c r="AD626" i="15"/>
  <c r="E248" i="14"/>
  <c r="F248" i="14" s="1"/>
  <c r="H248" i="14" s="1"/>
  <c r="BD250" i="16"/>
  <c r="AJ336" i="15"/>
  <c r="BQ249" i="16"/>
  <c r="P323" i="16"/>
  <c r="Q323" i="16" s="1"/>
  <c r="S323" i="16" s="1"/>
  <c r="E323" i="16"/>
  <c r="L323" i="16" s="1"/>
  <c r="Z267" i="16" l="1"/>
  <c r="AF267" i="16"/>
  <c r="AG267" i="16" s="1"/>
  <c r="AH267" i="16" s="1"/>
  <c r="AS267" i="16" s="1"/>
  <c r="AT267" i="16" s="1"/>
  <c r="AW267" i="16" s="1"/>
  <c r="AX267" i="16" s="1"/>
  <c r="AZ267" i="16" s="1"/>
  <c r="AP266" i="16"/>
  <c r="AR266" i="16" s="1"/>
  <c r="BJ250" i="16"/>
  <c r="BK250" i="16"/>
  <c r="BE250" i="16"/>
  <c r="BF250" i="16" s="1"/>
  <c r="N323" i="16"/>
  <c r="M324" i="16" s="1"/>
  <c r="AL267" i="16" l="1"/>
  <c r="AY267" i="16" s="1"/>
  <c r="AU267" i="16"/>
  <c r="AV267" i="16" s="1"/>
  <c r="AQ266" i="16"/>
  <c r="U268" i="16"/>
  <c r="AC268" i="16" s="1"/>
  <c r="AD268" i="16" s="1"/>
  <c r="BI250" i="16"/>
  <c r="BG250" i="16"/>
  <c r="BL250" i="16"/>
  <c r="BM250" i="16" s="1"/>
  <c r="O323" i="16"/>
  <c r="AM267" i="16" l="1"/>
  <c r="AN267" i="16" s="1"/>
  <c r="AO267" i="16" s="1"/>
  <c r="W268" i="16"/>
  <c r="AA268" i="16" s="1"/>
  <c r="AK268" i="16" s="1"/>
  <c r="AE268" i="16"/>
  <c r="BC251" i="16"/>
  <c r="BH251" i="16" s="1"/>
  <c r="BO250" i="16"/>
  <c r="BP250" i="16" s="1"/>
  <c r="BN250" i="16"/>
  <c r="E324" i="16"/>
  <c r="P324" i="16"/>
  <c r="Q324" i="16" s="1"/>
  <c r="S324" i="16" s="1"/>
  <c r="Y268" i="16" l="1"/>
  <c r="AB268" i="16" s="1"/>
  <c r="AP267" i="16"/>
  <c r="AR267" i="16" s="1"/>
  <c r="E249" i="14"/>
  <c r="F249" i="14" s="1"/>
  <c r="H249" i="14" s="1"/>
  <c r="AD628" i="15"/>
  <c r="BD251" i="16"/>
  <c r="AJ337" i="15"/>
  <c r="BQ250" i="16"/>
  <c r="L324" i="16"/>
  <c r="N324" i="16" s="1"/>
  <c r="M325" i="16" s="1"/>
  <c r="Z268" i="16" l="1"/>
  <c r="U269" i="16" s="1"/>
  <c r="AC269" i="16" s="1"/>
  <c r="AF268" i="16"/>
  <c r="AQ267" i="16"/>
  <c r="BJ251" i="16"/>
  <c r="BK251" i="16"/>
  <c r="BE251" i="16"/>
  <c r="BF251" i="16" s="1"/>
  <c r="O324" i="16"/>
  <c r="E325" i="16"/>
  <c r="L325" i="16" s="1"/>
  <c r="AG268" i="16" l="1"/>
  <c r="W269" i="16"/>
  <c r="AA269" i="16" s="1"/>
  <c r="AK269" i="16" s="1"/>
  <c r="AD269" i="16"/>
  <c r="BI251" i="16"/>
  <c r="BG251" i="16"/>
  <c r="BL251" i="16"/>
  <c r="BM251" i="16" s="1"/>
  <c r="N325" i="16"/>
  <c r="M326" i="16" s="1"/>
  <c r="P325" i="16"/>
  <c r="AL268" i="16" l="1"/>
  <c r="AY268" i="16" s="1"/>
  <c r="Y269" i="16"/>
  <c r="AB269" i="16" s="1"/>
  <c r="AH268" i="16"/>
  <c r="AS268" i="16" s="1"/>
  <c r="AE269" i="16"/>
  <c r="BC252" i="16"/>
  <c r="BH252" i="16" s="1"/>
  <c r="BO251" i="16"/>
  <c r="BP251" i="16" s="1"/>
  <c r="BN251" i="16"/>
  <c r="Q325" i="16"/>
  <c r="S325" i="16" s="1"/>
  <c r="O325" i="16"/>
  <c r="AM268" i="16" l="1"/>
  <c r="AN268" i="16" s="1"/>
  <c r="AO268" i="16" s="1"/>
  <c r="AP268" i="16" s="1"/>
  <c r="AF269" i="16"/>
  <c r="AG269" i="16" s="1"/>
  <c r="AL269" i="16" s="1"/>
  <c r="AY269" i="16" s="1"/>
  <c r="AU268" i="16"/>
  <c r="AV268" i="16" s="1"/>
  <c r="AT268" i="16"/>
  <c r="AW268" i="16" s="1"/>
  <c r="AX268" i="16" s="1"/>
  <c r="AZ268" i="16" s="1"/>
  <c r="Z269" i="16"/>
  <c r="U270" i="16" s="1"/>
  <c r="AC270" i="16" s="1"/>
  <c r="AD630" i="15"/>
  <c r="E250" i="14"/>
  <c r="F250" i="14" s="1"/>
  <c r="H250" i="14" s="1"/>
  <c r="BD252" i="16"/>
  <c r="AJ338" i="15"/>
  <c r="BQ251" i="16"/>
  <c r="P326" i="16"/>
  <c r="Q326" i="16" s="1"/>
  <c r="S326" i="16" s="1"/>
  <c r="E326" i="16"/>
  <c r="L326" i="16" s="1"/>
  <c r="AQ268" i="16" l="1"/>
  <c r="AR268" i="16"/>
  <c r="W270" i="16"/>
  <c r="AA270" i="16" s="1"/>
  <c r="AK270" i="16" s="1"/>
  <c r="AD270" i="16"/>
  <c r="AE270" i="16" s="1"/>
  <c r="AH269" i="16"/>
  <c r="AS269" i="16" s="1"/>
  <c r="AM269" i="16"/>
  <c r="AN269" i="16" s="1"/>
  <c r="BJ252" i="16"/>
  <c r="BK252" i="16"/>
  <c r="BE252" i="16"/>
  <c r="BF252" i="16" s="1"/>
  <c r="N326" i="16"/>
  <c r="M327" i="16" s="1"/>
  <c r="Y270" i="16" l="1"/>
  <c r="AB270" i="16" s="1"/>
  <c r="AF270" i="16" s="1"/>
  <c r="AG270" i="16" s="1"/>
  <c r="AH270" i="16" s="1"/>
  <c r="AS270" i="16" s="1"/>
  <c r="AT270" i="16" s="1"/>
  <c r="AT269" i="16"/>
  <c r="AW269" i="16" s="1"/>
  <c r="AX269" i="16" s="1"/>
  <c r="AZ269" i="16" s="1"/>
  <c r="AU269" i="16"/>
  <c r="AV269" i="16" s="1"/>
  <c r="AO269" i="16"/>
  <c r="BI252" i="16"/>
  <c r="BG252" i="16"/>
  <c r="BL252" i="16"/>
  <c r="BM252" i="16" s="1"/>
  <c r="O326" i="16"/>
  <c r="E327" i="16"/>
  <c r="L327" i="16" s="1"/>
  <c r="Z270" i="16" l="1"/>
  <c r="U271" i="16" s="1"/>
  <c r="AC271" i="16" s="1"/>
  <c r="AL270" i="16"/>
  <c r="AY270" i="16" s="1"/>
  <c r="AW270" i="16"/>
  <c r="AX270" i="16" s="1"/>
  <c r="AZ270" i="16" s="1"/>
  <c r="AU270" i="16"/>
  <c r="AV270" i="16" s="1"/>
  <c r="AP269" i="16"/>
  <c r="AR269" i="16" s="1"/>
  <c r="BC253" i="16"/>
  <c r="BH253" i="16" s="1"/>
  <c r="BN252" i="16"/>
  <c r="BO252" i="16"/>
  <c r="BP252" i="16" s="1"/>
  <c r="N327" i="16"/>
  <c r="P327" i="16"/>
  <c r="Q327" i="16" s="1"/>
  <c r="S327" i="16" s="1"/>
  <c r="AM270" i="16" l="1"/>
  <c r="AN270" i="16" s="1"/>
  <c r="AO270" i="16" s="1"/>
  <c r="AQ269" i="16"/>
  <c r="AD271" i="16"/>
  <c r="W271" i="16"/>
  <c r="Y271" i="16" s="1"/>
  <c r="AB271" i="16" s="1"/>
  <c r="AJ339" i="15"/>
  <c r="BQ252" i="16"/>
  <c r="BD253" i="16"/>
  <c r="E251" i="14"/>
  <c r="F251" i="14" s="1"/>
  <c r="H251" i="14" s="1"/>
  <c r="AD632" i="15"/>
  <c r="O327" i="16"/>
  <c r="M328" i="16"/>
  <c r="AP270" i="16" l="1"/>
  <c r="AQ270" i="16" s="1"/>
  <c r="AE271" i="16"/>
  <c r="AF271" i="16" s="1"/>
  <c r="AG271" i="16" s="1"/>
  <c r="AH271" i="16" s="1"/>
  <c r="AS271" i="16" s="1"/>
  <c r="AA271" i="16"/>
  <c r="AK271" i="16" s="1"/>
  <c r="Z271" i="16"/>
  <c r="BJ253" i="16"/>
  <c r="BK253" i="16"/>
  <c r="BE253" i="16"/>
  <c r="BF253" i="16" s="1"/>
  <c r="E328" i="16"/>
  <c r="L328" i="16" s="1"/>
  <c r="P328" i="16"/>
  <c r="Q328" i="16" s="1"/>
  <c r="S328" i="16" s="1"/>
  <c r="AR270" i="16" l="1"/>
  <c r="AU271" i="16"/>
  <c r="AV271" i="16" s="1"/>
  <c r="AT271" i="16"/>
  <c r="AW271" i="16" s="1"/>
  <c r="AX271" i="16" s="1"/>
  <c r="AZ271" i="16" s="1"/>
  <c r="AL271" i="16"/>
  <c r="AY271" i="16" s="1"/>
  <c r="U272" i="16"/>
  <c r="AC272" i="16" s="1"/>
  <c r="BI253" i="16"/>
  <c r="BG253" i="16"/>
  <c r="BL253" i="16"/>
  <c r="BM253" i="16" s="1"/>
  <c r="N328" i="16"/>
  <c r="AM271" i="16" l="1"/>
  <c r="AN271" i="16" s="1"/>
  <c r="AO271" i="16" s="1"/>
  <c r="W272" i="16"/>
  <c r="AA272" i="16" s="1"/>
  <c r="AK272" i="16" s="1"/>
  <c r="AD272" i="16"/>
  <c r="BC254" i="16"/>
  <c r="BH254" i="16" s="1"/>
  <c r="BN253" i="16"/>
  <c r="BO253" i="16"/>
  <c r="BP253" i="16" s="1"/>
  <c r="M329" i="16"/>
  <c r="E329" i="16" s="1"/>
  <c r="L329" i="16" s="1"/>
  <c r="O328" i="16"/>
  <c r="Y272" i="16" l="1"/>
  <c r="AB272" i="16" s="1"/>
  <c r="AP271" i="16"/>
  <c r="AQ271" i="16" s="1"/>
  <c r="AE272" i="16"/>
  <c r="AJ340" i="15"/>
  <c r="BQ253" i="16"/>
  <c r="E252" i="14"/>
  <c r="F252" i="14" s="1"/>
  <c r="H252" i="14" s="1"/>
  <c r="AD635" i="15"/>
  <c r="BD254" i="16"/>
  <c r="N329" i="16"/>
  <c r="P329" i="16"/>
  <c r="Q329" i="16" s="1"/>
  <c r="S329" i="16" s="1"/>
  <c r="AF272" i="16" l="1"/>
  <c r="AG272" i="16" s="1"/>
  <c r="AH272" i="16" s="1"/>
  <c r="AS272" i="16" s="1"/>
  <c r="AU272" i="16" s="1"/>
  <c r="AV272" i="16" s="1"/>
  <c r="Z272" i="16"/>
  <c r="U273" i="16" s="1"/>
  <c r="AC273" i="16" s="1"/>
  <c r="AD273" i="16" s="1"/>
  <c r="AE273" i="16" s="1"/>
  <c r="AR271" i="16"/>
  <c r="BJ254" i="16"/>
  <c r="BK254" i="16"/>
  <c r="BE254" i="16"/>
  <c r="BF254" i="16" s="1"/>
  <c r="M330" i="16"/>
  <c r="O329" i="16"/>
  <c r="AL272" i="16" l="1"/>
  <c r="AY272" i="16" s="1"/>
  <c r="AT272" i="16"/>
  <c r="AW272" i="16" s="1"/>
  <c r="AX272" i="16" s="1"/>
  <c r="AZ272" i="16" s="1"/>
  <c r="W273" i="16"/>
  <c r="BI254" i="16"/>
  <c r="BG254" i="16"/>
  <c r="BL254" i="16"/>
  <c r="BM254" i="16" s="1"/>
  <c r="E330" i="16"/>
  <c r="L330" i="16" s="1"/>
  <c r="P330" i="16"/>
  <c r="Q330" i="16" s="1"/>
  <c r="S330" i="16" s="1"/>
  <c r="AM272" i="16" l="1"/>
  <c r="AN272" i="16" s="1"/>
  <c r="AO272" i="16" s="1"/>
  <c r="AP272" i="16" s="1"/>
  <c r="AR272" i="16" s="1"/>
  <c r="AA273" i="16"/>
  <c r="AK273" i="16" s="1"/>
  <c r="Y273" i="16"/>
  <c r="BC255" i="16"/>
  <c r="BH255" i="16" s="1"/>
  <c r="BO254" i="16"/>
  <c r="BP254" i="16" s="1"/>
  <c r="BN254" i="16"/>
  <c r="N330" i="16"/>
  <c r="AQ272" i="16" l="1"/>
  <c r="AB273" i="16"/>
  <c r="AF273" i="16" s="1"/>
  <c r="AG273" i="16" s="1"/>
  <c r="AH273" i="16" s="1"/>
  <c r="AS273" i="16" s="1"/>
  <c r="Z273" i="16"/>
  <c r="U274" i="16" s="1"/>
  <c r="AC274" i="16" s="1"/>
  <c r="AD274" i="16" s="1"/>
  <c r="AD637" i="15"/>
  <c r="E253" i="14"/>
  <c r="F253" i="14" s="1"/>
  <c r="H253" i="14" s="1"/>
  <c r="BD255" i="16"/>
  <c r="BE255" i="16" s="1"/>
  <c r="BF255" i="16" s="1"/>
  <c r="AJ341" i="15"/>
  <c r="BQ254" i="16"/>
  <c r="M331" i="16"/>
  <c r="E331" i="16" s="1"/>
  <c r="L331" i="16" s="1"/>
  <c r="O330" i="16"/>
  <c r="W274" i="16" l="1"/>
  <c r="AA274" i="16" s="1"/>
  <c r="AK274" i="16" s="1"/>
  <c r="AL273" i="16"/>
  <c r="AY273" i="16" s="1"/>
  <c r="AU273" i="16"/>
  <c r="AV273" i="16" s="1"/>
  <c r="AT273" i="16"/>
  <c r="AW273" i="16" s="1"/>
  <c r="AX273" i="16" s="1"/>
  <c r="AZ273" i="16" s="1"/>
  <c r="N331" i="16"/>
  <c r="M332" i="16" s="1"/>
  <c r="E332" i="16" s="1"/>
  <c r="L332" i="16" s="1"/>
  <c r="AE274" i="16"/>
  <c r="BI255" i="16"/>
  <c r="BG255" i="16"/>
  <c r="BJ255" i="16"/>
  <c r="BK255" i="16"/>
  <c r="P331" i="16"/>
  <c r="Q331" i="16" s="1"/>
  <c r="S331" i="16" s="1"/>
  <c r="Y274" i="16" l="1"/>
  <c r="AB274" i="16" s="1"/>
  <c r="AM273" i="16"/>
  <c r="AN273" i="16" s="1"/>
  <c r="AO273" i="16" s="1"/>
  <c r="AP273" i="16" s="1"/>
  <c r="AR273" i="16" s="1"/>
  <c r="O331" i="16"/>
  <c r="N332" i="16" s="1"/>
  <c r="M333" i="16" s="1"/>
  <c r="BL255" i="16"/>
  <c r="BM255" i="16" s="1"/>
  <c r="BC256" i="16"/>
  <c r="BH256" i="16" s="1"/>
  <c r="BO255" i="16"/>
  <c r="BP255" i="16" s="1"/>
  <c r="P332" i="16"/>
  <c r="Q332" i="16" s="1"/>
  <c r="S332" i="16" s="1"/>
  <c r="Z274" i="16" l="1"/>
  <c r="U275" i="16" s="1"/>
  <c r="AC275" i="16" s="1"/>
  <c r="AQ273" i="16"/>
  <c r="BN255" i="16"/>
  <c r="AD641" i="15" s="1"/>
  <c r="AF274" i="16"/>
  <c r="AG274" i="16" s="1"/>
  <c r="AH274" i="16" s="1"/>
  <c r="AS274" i="16" s="1"/>
  <c r="BD256" i="16"/>
  <c r="AJ342" i="15"/>
  <c r="O332" i="16"/>
  <c r="AL274" i="16" l="1"/>
  <c r="AY274" i="16" s="1"/>
  <c r="AT274" i="16"/>
  <c r="AW274" i="16" s="1"/>
  <c r="AX274" i="16" s="1"/>
  <c r="AZ274" i="16" s="1"/>
  <c r="AU274" i="16"/>
  <c r="AV274" i="16" s="1"/>
  <c r="BQ255" i="16"/>
  <c r="E254" i="14"/>
  <c r="F254" i="14" s="1"/>
  <c r="H254" i="14" s="1"/>
  <c r="W275" i="16"/>
  <c r="AA275" i="16" s="1"/>
  <c r="AK275" i="16" s="1"/>
  <c r="AD275" i="16"/>
  <c r="BJ256" i="16"/>
  <c r="BE256" i="16"/>
  <c r="BF256" i="16" s="1"/>
  <c r="BK256" i="16"/>
  <c r="BL256" i="16" s="1"/>
  <c r="BM256" i="16" s="1"/>
  <c r="E333" i="16"/>
  <c r="L333" i="16" s="1"/>
  <c r="P333" i="16"/>
  <c r="AM274" i="16" l="1"/>
  <c r="Y275" i="16"/>
  <c r="AB275" i="16" s="1"/>
  <c r="BI256" i="16"/>
  <c r="BN256" i="16" s="1"/>
  <c r="BG256" i="16"/>
  <c r="BC257" i="16" s="1"/>
  <c r="BH257" i="16" s="1"/>
  <c r="AN274" i="16"/>
  <c r="AO274" i="16" s="1"/>
  <c r="AE275" i="16"/>
  <c r="Q333" i="16"/>
  <c r="S333" i="16" s="1"/>
  <c r="N333" i="16"/>
  <c r="M334" i="16" s="1"/>
  <c r="Z275" i="16" l="1"/>
  <c r="AF275" i="16"/>
  <c r="AG275" i="16" s="1"/>
  <c r="AH275" i="16" s="1"/>
  <c r="AS275" i="16" s="1"/>
  <c r="BO256" i="16"/>
  <c r="BP256" i="16" s="1"/>
  <c r="BQ256" i="16" s="1"/>
  <c r="AP274" i="16"/>
  <c r="AR274" i="16" s="1"/>
  <c r="U276" i="16"/>
  <c r="AC276" i="16" s="1"/>
  <c r="BD257" i="16"/>
  <c r="E255" i="14"/>
  <c r="F255" i="14" s="1"/>
  <c r="H255" i="14" s="1"/>
  <c r="AD643" i="15"/>
  <c r="O333" i="16"/>
  <c r="W276" i="16" l="1"/>
  <c r="AA276" i="16" s="1"/>
  <c r="AK276" i="16" s="1"/>
  <c r="AT275" i="16"/>
  <c r="AW275" i="16" s="1"/>
  <c r="AX275" i="16" s="1"/>
  <c r="AZ275" i="16" s="1"/>
  <c r="AU275" i="16"/>
  <c r="AV275" i="16" s="1"/>
  <c r="AJ343" i="15"/>
  <c r="AL275" i="16"/>
  <c r="AY275" i="16" s="1"/>
  <c r="AQ274" i="16"/>
  <c r="AD276" i="16"/>
  <c r="BJ257" i="16"/>
  <c r="BK257" i="16"/>
  <c r="BE257" i="16"/>
  <c r="BF257" i="16" s="1"/>
  <c r="E334" i="16"/>
  <c r="L334" i="16" s="1"/>
  <c r="P334" i="16"/>
  <c r="Y276" i="16" l="1"/>
  <c r="AB276" i="16" s="1"/>
  <c r="AM275" i="16"/>
  <c r="AN275" i="16" s="1"/>
  <c r="AO275" i="16" s="1"/>
  <c r="AP275" i="16" s="1"/>
  <c r="AR275" i="16" s="1"/>
  <c r="AE276" i="16"/>
  <c r="BI257" i="16"/>
  <c r="BG257" i="16"/>
  <c r="BL257" i="16"/>
  <c r="BM257" i="16" s="1"/>
  <c r="Q334" i="16"/>
  <c r="S334" i="16" s="1"/>
  <c r="N334" i="16"/>
  <c r="M335" i="16" s="1"/>
  <c r="AF276" i="16" l="1"/>
  <c r="AG276" i="16" s="1"/>
  <c r="AH276" i="16" s="1"/>
  <c r="AS276" i="16" s="1"/>
  <c r="AT276" i="16" s="1"/>
  <c r="AW276" i="16" s="1"/>
  <c r="AX276" i="16" s="1"/>
  <c r="AZ276" i="16" s="1"/>
  <c r="Z276" i="16"/>
  <c r="U277" i="16" s="1"/>
  <c r="AC277" i="16" s="1"/>
  <c r="AD277" i="16" s="1"/>
  <c r="AQ275" i="16"/>
  <c r="BC258" i="16"/>
  <c r="BH258" i="16" s="1"/>
  <c r="BN257" i="16"/>
  <c r="BO257" i="16"/>
  <c r="BP257" i="16" s="1"/>
  <c r="O334" i="16"/>
  <c r="W277" i="16" l="1"/>
  <c r="AA277" i="16" s="1"/>
  <c r="AK277" i="16" s="1"/>
  <c r="AL276" i="16"/>
  <c r="AY276" i="16" s="1"/>
  <c r="AU276" i="16"/>
  <c r="AV276" i="16" s="1"/>
  <c r="AE277" i="16"/>
  <c r="BD258" i="16"/>
  <c r="BJ258" i="16" s="1"/>
  <c r="AJ344" i="15"/>
  <c r="BQ257" i="16"/>
  <c r="AD645" i="15"/>
  <c r="E256" i="14"/>
  <c r="F256" i="14" s="1"/>
  <c r="H256" i="14" s="1"/>
  <c r="E335" i="16"/>
  <c r="L335" i="16" s="1"/>
  <c r="P335" i="16"/>
  <c r="AM276" i="16" l="1"/>
  <c r="AN276" i="16" s="1"/>
  <c r="AO276" i="16" s="1"/>
  <c r="AP276" i="16" s="1"/>
  <c r="AR276" i="16" s="1"/>
  <c r="Y277" i="16"/>
  <c r="AB277" i="16" s="1"/>
  <c r="AF277" i="16" s="1"/>
  <c r="AG277" i="16" s="1"/>
  <c r="AH277" i="16" s="1"/>
  <c r="AS277" i="16" s="1"/>
  <c r="BK258" i="16"/>
  <c r="BL258" i="16" s="1"/>
  <c r="BM258" i="16" s="1"/>
  <c r="BE258" i="16"/>
  <c r="BF258" i="16" s="1"/>
  <c r="BG258" i="16" s="1"/>
  <c r="Q335" i="16"/>
  <c r="S335" i="16" s="1"/>
  <c r="N335" i="16"/>
  <c r="M336" i="16" s="1"/>
  <c r="Z277" i="16" l="1"/>
  <c r="U278" i="16" s="1"/>
  <c r="AC278" i="16" s="1"/>
  <c r="AD278" i="16" s="1"/>
  <c r="AT277" i="16"/>
  <c r="AW277" i="16" s="1"/>
  <c r="AX277" i="16" s="1"/>
  <c r="AZ277" i="16" s="1"/>
  <c r="AU277" i="16"/>
  <c r="AV277" i="16" s="1"/>
  <c r="AL277" i="16"/>
  <c r="AY277" i="16" s="1"/>
  <c r="BI258" i="16"/>
  <c r="BN258" i="16" s="1"/>
  <c r="AQ276" i="16"/>
  <c r="BC259" i="16"/>
  <c r="BH259" i="16" s="1"/>
  <c r="O335" i="16"/>
  <c r="AM277" i="16" l="1"/>
  <c r="AN277" i="16" s="1"/>
  <c r="AO277" i="16" s="1"/>
  <c r="BO258" i="16"/>
  <c r="BP258" i="16" s="1"/>
  <c r="AJ345" i="15" s="1"/>
  <c r="AE278" i="16"/>
  <c r="BD259" i="16"/>
  <c r="BK259" i="16" s="1"/>
  <c r="W278" i="16"/>
  <c r="E257" i="14"/>
  <c r="F257" i="14" s="1"/>
  <c r="H257" i="14" s="1"/>
  <c r="AD648" i="15"/>
  <c r="E336" i="16"/>
  <c r="L336" i="16" s="1"/>
  <c r="P336" i="16"/>
  <c r="BQ258" i="16" l="1"/>
  <c r="BE259" i="16"/>
  <c r="BF259" i="16" s="1"/>
  <c r="BI259" i="16" s="1"/>
  <c r="BJ259" i="16"/>
  <c r="AP277" i="16"/>
  <c r="AR277" i="16" s="1"/>
  <c r="AA278" i="16"/>
  <c r="AK278" i="16" s="1"/>
  <c r="Y278" i="16"/>
  <c r="AB278" i="16" s="1"/>
  <c r="BL259" i="16"/>
  <c r="BM259" i="16" s="1"/>
  <c r="Q336" i="16"/>
  <c r="S336" i="16" s="1"/>
  <c r="N336" i="16"/>
  <c r="M337" i="16" s="1"/>
  <c r="BG259" i="16" l="1"/>
  <c r="BC260" i="16" s="1"/>
  <c r="BH260" i="16" s="1"/>
  <c r="AQ277" i="16"/>
  <c r="AF278" i="16"/>
  <c r="Z278" i="16"/>
  <c r="BO259" i="16"/>
  <c r="BP259" i="16" s="1"/>
  <c r="BN259" i="16"/>
  <c r="O336" i="16"/>
  <c r="E337" i="16"/>
  <c r="L337" i="16" s="1"/>
  <c r="AG278" i="16" l="1"/>
  <c r="AL278" i="16" s="1"/>
  <c r="AY278" i="16" s="1"/>
  <c r="U279" i="16"/>
  <c r="AC279" i="16" s="1"/>
  <c r="E258" i="14"/>
  <c r="F258" i="14" s="1"/>
  <c r="H258" i="14" s="1"/>
  <c r="AD651" i="15"/>
  <c r="BD260" i="16"/>
  <c r="AJ346" i="15"/>
  <c r="BQ259" i="16"/>
  <c r="N337" i="16"/>
  <c r="M338" i="16" s="1"/>
  <c r="P337" i="16"/>
  <c r="AM278" i="16" l="1"/>
  <c r="AN278" i="16" s="1"/>
  <c r="AO278" i="16" s="1"/>
  <c r="AH278" i="16"/>
  <c r="AS278" i="16" s="1"/>
  <c r="AD279" i="16"/>
  <c r="W279" i="16"/>
  <c r="AA279" i="16" s="1"/>
  <c r="AK279" i="16" s="1"/>
  <c r="BJ260" i="16"/>
  <c r="BK260" i="16"/>
  <c r="BE260" i="16"/>
  <c r="BF260" i="16" s="1"/>
  <c r="Q337" i="16"/>
  <c r="S337" i="16" s="1"/>
  <c r="O337" i="16"/>
  <c r="AU278" i="16" l="1"/>
  <c r="AV278" i="16" s="1"/>
  <c r="AT278" i="16"/>
  <c r="AW278" i="16" s="1"/>
  <c r="AX278" i="16" s="1"/>
  <c r="AZ278" i="16" s="1"/>
  <c r="Y279" i="16"/>
  <c r="AB279" i="16" s="1"/>
  <c r="AP278" i="16"/>
  <c r="AR278" i="16" s="1"/>
  <c r="AE279" i="16"/>
  <c r="BI260" i="16"/>
  <c r="BG260" i="16"/>
  <c r="BL260" i="16"/>
  <c r="BM260" i="16" s="1"/>
  <c r="E338" i="16"/>
  <c r="L338" i="16" s="1"/>
  <c r="P338" i="16"/>
  <c r="AF279" i="16" l="1"/>
  <c r="AG279" i="16" s="1"/>
  <c r="AH279" i="16" s="1"/>
  <c r="AS279" i="16" s="1"/>
  <c r="AT279" i="16" s="1"/>
  <c r="AW279" i="16" s="1"/>
  <c r="AX279" i="16" s="1"/>
  <c r="AZ279" i="16" s="1"/>
  <c r="Z279" i="16"/>
  <c r="AQ278" i="16"/>
  <c r="BC261" i="16"/>
  <c r="BH261" i="16" s="1"/>
  <c r="BN260" i="16"/>
  <c r="BO260" i="16"/>
  <c r="BP260" i="16" s="1"/>
  <c r="Q338" i="16"/>
  <c r="S338" i="16" s="1"/>
  <c r="N338" i="16"/>
  <c r="M339" i="16" s="1"/>
  <c r="AU279" i="16" l="1"/>
  <c r="AV279" i="16" s="1"/>
  <c r="AL279" i="16"/>
  <c r="AY279" i="16" s="1"/>
  <c r="U280" i="16"/>
  <c r="W280" i="16" s="1"/>
  <c r="AA280" i="16" s="1"/>
  <c r="AK280" i="16" s="1"/>
  <c r="E259" i="14"/>
  <c r="F259" i="14" s="1"/>
  <c r="H259" i="14" s="1"/>
  <c r="AD653" i="15"/>
  <c r="AJ347" i="15"/>
  <c r="BQ260" i="16"/>
  <c r="BD261" i="16"/>
  <c r="O338" i="16"/>
  <c r="AM279" i="16" l="1"/>
  <c r="AN279" i="16" s="1"/>
  <c r="AO279" i="16" s="1"/>
  <c r="Y280" i="16"/>
  <c r="AB280" i="16" s="1"/>
  <c r="AC280" i="16"/>
  <c r="BJ261" i="16"/>
  <c r="BK261" i="16"/>
  <c r="BE261" i="16"/>
  <c r="BF261" i="16" s="1"/>
  <c r="E339" i="16"/>
  <c r="L339" i="16" s="1"/>
  <c r="P339" i="16"/>
  <c r="Z280" i="16" l="1"/>
  <c r="U281" i="16" s="1"/>
  <c r="AC281" i="16" s="1"/>
  <c r="AD280" i="16"/>
  <c r="AP279" i="16"/>
  <c r="AR279" i="16" s="1"/>
  <c r="BI261" i="16"/>
  <c r="BG261" i="16"/>
  <c r="BL261" i="16"/>
  <c r="BM261" i="16" s="1"/>
  <c r="Q339" i="16"/>
  <c r="S339" i="16" s="1"/>
  <c r="N339" i="16"/>
  <c r="M340" i="16" s="1"/>
  <c r="AE280" i="16" l="1"/>
  <c r="AF280" i="16" s="1"/>
  <c r="AG280" i="16" s="1"/>
  <c r="W281" i="16"/>
  <c r="AQ279" i="16"/>
  <c r="BC262" i="16"/>
  <c r="BH262" i="16" s="1"/>
  <c r="BO261" i="16"/>
  <c r="BP261" i="16" s="1"/>
  <c r="BN261" i="16"/>
  <c r="O339" i="16"/>
  <c r="AH280" i="16" l="1"/>
  <c r="AS280" i="16" s="1"/>
  <c r="AL280" i="16"/>
  <c r="AY280" i="16" s="1"/>
  <c r="AD281" i="16"/>
  <c r="AE281" i="16" s="1"/>
  <c r="AA281" i="16"/>
  <c r="AK281" i="16" s="1"/>
  <c r="Y281" i="16"/>
  <c r="AB281" i="16" s="1"/>
  <c r="E260" i="14"/>
  <c r="F260" i="14" s="1"/>
  <c r="H260" i="14" s="1"/>
  <c r="AD655" i="15"/>
  <c r="BD262" i="16"/>
  <c r="BE262" i="16" s="1"/>
  <c r="BF262" i="16" s="1"/>
  <c r="AJ348" i="15"/>
  <c r="BQ261" i="16"/>
  <c r="E340" i="16"/>
  <c r="L340" i="16" s="1"/>
  <c r="P340" i="16"/>
  <c r="AM280" i="16" l="1"/>
  <c r="AU280" i="16"/>
  <c r="AV280" i="16" s="1"/>
  <c r="AT280" i="16"/>
  <c r="AW280" i="16" s="1"/>
  <c r="Z281" i="16"/>
  <c r="U282" i="16" s="1"/>
  <c r="AC282" i="16" s="1"/>
  <c r="AF281" i="16"/>
  <c r="AG281" i="16" s="1"/>
  <c r="AH281" i="16" s="1"/>
  <c r="AS281" i="16" s="1"/>
  <c r="AT281" i="16" s="1"/>
  <c r="BI262" i="16"/>
  <c r="BG262" i="16"/>
  <c r="BJ262" i="16"/>
  <c r="BK262" i="16"/>
  <c r="Q340" i="16"/>
  <c r="S340" i="16" s="1"/>
  <c r="N340" i="16"/>
  <c r="M341" i="16" s="1"/>
  <c r="AU281" i="16" l="1"/>
  <c r="AV281" i="16" s="1"/>
  <c r="AL281" i="16"/>
  <c r="AY281" i="16" s="1"/>
  <c r="AX280" i="16"/>
  <c r="AZ280" i="16" s="1"/>
  <c r="AN280" i="16"/>
  <c r="AO280" i="16" s="1"/>
  <c r="W282" i="16"/>
  <c r="AD282" i="16"/>
  <c r="BC263" i="16"/>
  <c r="BH263" i="16" s="1"/>
  <c r="BL262" i="16"/>
  <c r="BM262" i="16" s="1"/>
  <c r="BO262" i="16"/>
  <c r="BP262" i="16" s="1"/>
  <c r="O340" i="16"/>
  <c r="AM281" i="16" l="1"/>
  <c r="AN281" i="16" s="1"/>
  <c r="AW281" i="16"/>
  <c r="AX281" i="16" s="1"/>
  <c r="AZ281" i="16" s="1"/>
  <c r="AP280" i="16"/>
  <c r="AR280" i="16" s="1"/>
  <c r="BN262" i="16"/>
  <c r="AD657" i="15" s="1"/>
  <c r="AE282" i="16"/>
  <c r="AA282" i="16"/>
  <c r="AK282" i="16" s="1"/>
  <c r="Y282" i="16"/>
  <c r="AB282" i="16" s="1"/>
  <c r="BD263" i="16"/>
  <c r="BE263" i="16" s="1"/>
  <c r="AJ349" i="15"/>
  <c r="E341" i="16"/>
  <c r="P341" i="16"/>
  <c r="BQ262" i="16" l="1"/>
  <c r="AQ280" i="16"/>
  <c r="E261" i="14"/>
  <c r="F261" i="14" s="1"/>
  <c r="H261" i="14" s="1"/>
  <c r="AF282" i="16"/>
  <c r="AG282" i="16" s="1"/>
  <c r="AH282" i="16" s="1"/>
  <c r="AS282" i="16" s="1"/>
  <c r="AO281" i="16"/>
  <c r="Z282" i="16"/>
  <c r="BJ263" i="16"/>
  <c r="BF263" i="16"/>
  <c r="BK263" i="16"/>
  <c r="L341" i="16"/>
  <c r="Q341" i="16"/>
  <c r="S341" i="16" s="1"/>
  <c r="AT282" i="16" l="1"/>
  <c r="AW282" i="16" s="1"/>
  <c r="AX282" i="16" s="1"/>
  <c r="AZ282" i="16" s="1"/>
  <c r="AU282" i="16"/>
  <c r="AV282" i="16" s="1"/>
  <c r="AL282" i="16"/>
  <c r="AM282" i="16" s="1"/>
  <c r="AP281" i="16"/>
  <c r="AR281" i="16" s="1"/>
  <c r="U283" i="16"/>
  <c r="AC283" i="16" s="1"/>
  <c r="BL263" i="16"/>
  <c r="BM263" i="16" s="1"/>
  <c r="BI263" i="16"/>
  <c r="BG263" i="16"/>
  <c r="N341" i="16"/>
  <c r="AY282" i="16" l="1"/>
  <c r="AN282" i="16"/>
  <c r="AO282" i="16" s="1"/>
  <c r="AD283" i="16"/>
  <c r="W283" i="16"/>
  <c r="AA283" i="16" s="1"/>
  <c r="AK283" i="16" s="1"/>
  <c r="AQ281" i="16"/>
  <c r="BC264" i="16"/>
  <c r="BH264" i="16" s="1"/>
  <c r="BO263" i="16"/>
  <c r="BP263" i="16" s="1"/>
  <c r="BN263" i="16"/>
  <c r="O341" i="16"/>
  <c r="M342" i="16"/>
  <c r="E342" i="16" s="1"/>
  <c r="L342" i="16" s="1"/>
  <c r="AP282" i="16" l="1"/>
  <c r="AR282" i="16" s="1"/>
  <c r="Y283" i="16"/>
  <c r="AB283" i="16" s="1"/>
  <c r="AE283" i="16"/>
  <c r="BD264" i="16"/>
  <c r="BE264" i="16" s="1"/>
  <c r="AD660" i="15"/>
  <c r="E262" i="14"/>
  <c r="F262" i="14" s="1"/>
  <c r="H262" i="14" s="1"/>
  <c r="AJ350" i="15"/>
  <c r="BQ263" i="16"/>
  <c r="P342" i="16"/>
  <c r="Q342" i="16" s="1"/>
  <c r="S342" i="16" s="1"/>
  <c r="N342" i="16"/>
  <c r="M343" i="16" s="1"/>
  <c r="BJ264" i="16" l="1"/>
  <c r="AQ282" i="16"/>
  <c r="BF264" i="16"/>
  <c r="BG264" i="16" s="1"/>
  <c r="BK264" i="16"/>
  <c r="BL264" i="16" s="1"/>
  <c r="BM264" i="16" s="1"/>
  <c r="Z283" i="16"/>
  <c r="AF283" i="16"/>
  <c r="AG283" i="16" s="1"/>
  <c r="AH283" i="16" s="1"/>
  <c r="AS283" i="16" s="1"/>
  <c r="O342" i="16"/>
  <c r="AL283" i="16" l="1"/>
  <c r="AM283" i="16" s="1"/>
  <c r="AU283" i="16"/>
  <c r="AV283" i="16" s="1"/>
  <c r="AT283" i="16"/>
  <c r="AW283" i="16" s="1"/>
  <c r="AX283" i="16" s="1"/>
  <c r="AZ283" i="16" s="1"/>
  <c r="BI264" i="16"/>
  <c r="BN264" i="16" s="1"/>
  <c r="U284" i="16"/>
  <c r="AC284" i="16" s="1"/>
  <c r="BC265" i="16"/>
  <c r="BH265" i="16" s="1"/>
  <c r="E343" i="16"/>
  <c r="L343" i="16" s="1"/>
  <c r="P343" i="16"/>
  <c r="AY283" i="16" l="1"/>
  <c r="BO264" i="16"/>
  <c r="BP264" i="16" s="1"/>
  <c r="AJ351" i="15" s="1"/>
  <c r="W284" i="16"/>
  <c r="AA284" i="16" s="1"/>
  <c r="AK284" i="16" s="1"/>
  <c r="AN283" i="16"/>
  <c r="AO283" i="16" s="1"/>
  <c r="AD284" i="16"/>
  <c r="BD265" i="16"/>
  <c r="BE265" i="16" s="1"/>
  <c r="BF265" i="16" s="1"/>
  <c r="AD661" i="15"/>
  <c r="E263" i="14"/>
  <c r="F263" i="14" s="1"/>
  <c r="H263" i="14" s="1"/>
  <c r="Q343" i="16"/>
  <c r="S343" i="16" s="1"/>
  <c r="N343" i="16"/>
  <c r="M344" i="16" s="1"/>
  <c r="BQ264" i="16" l="1"/>
  <c r="Y284" i="16"/>
  <c r="AB284" i="16" s="1"/>
  <c r="AE284" i="16"/>
  <c r="AP283" i="16"/>
  <c r="AR283" i="16" s="1"/>
  <c r="BI265" i="16"/>
  <c r="BG265" i="16"/>
  <c r="BJ265" i="16"/>
  <c r="BK265" i="16"/>
  <c r="O343" i="16"/>
  <c r="Z284" i="16" l="1"/>
  <c r="U285" i="16" s="1"/>
  <c r="AC285" i="16" s="1"/>
  <c r="AQ283" i="16"/>
  <c r="AF284" i="16"/>
  <c r="AG284" i="16" s="1"/>
  <c r="BL265" i="16"/>
  <c r="BM265" i="16" s="1"/>
  <c r="BC266" i="16"/>
  <c r="BO265" i="16"/>
  <c r="BP265" i="16" s="1"/>
  <c r="E344" i="16"/>
  <c r="L344" i="16" s="1"/>
  <c r="P344" i="16"/>
  <c r="AH284" i="16" l="1"/>
  <c r="AS284" i="16" s="1"/>
  <c r="AL284" i="16"/>
  <c r="AY284" i="16" s="1"/>
  <c r="W285" i="16"/>
  <c r="AA285" i="16" s="1"/>
  <c r="AK285" i="16" s="1"/>
  <c r="AD285" i="16"/>
  <c r="BN265" i="16"/>
  <c r="E264" i="14" s="1"/>
  <c r="F264" i="14" s="1"/>
  <c r="H264" i="14" s="1"/>
  <c r="BH266" i="16"/>
  <c r="BD266" i="16"/>
  <c r="AJ352" i="15"/>
  <c r="Q344" i="16"/>
  <c r="S344" i="16" s="1"/>
  <c r="N344" i="16"/>
  <c r="M345" i="16" s="1"/>
  <c r="Y285" i="16" l="1"/>
  <c r="AB285" i="16" s="1"/>
  <c r="AM284" i="16"/>
  <c r="AN284" i="16" s="1"/>
  <c r="AO284" i="16" s="1"/>
  <c r="AP284" i="16" s="1"/>
  <c r="AR284" i="16" s="1"/>
  <c r="AU284" i="16"/>
  <c r="AV284" i="16" s="1"/>
  <c r="AT284" i="16"/>
  <c r="AW284" i="16" s="1"/>
  <c r="AX284" i="16" s="1"/>
  <c r="AZ284" i="16" s="1"/>
  <c r="BQ265" i="16"/>
  <c r="AE285" i="16"/>
  <c r="AD665" i="15"/>
  <c r="BJ266" i="16"/>
  <c r="BK266" i="16"/>
  <c r="BE266" i="16"/>
  <c r="BF266" i="16" s="1"/>
  <c r="O344" i="16"/>
  <c r="E345" i="16"/>
  <c r="L345" i="16" s="1"/>
  <c r="Z285" i="16" l="1"/>
  <c r="AQ284" i="16"/>
  <c r="AF285" i="16"/>
  <c r="AG285" i="16" s="1"/>
  <c r="AH285" i="16" s="1"/>
  <c r="AS285" i="16" s="1"/>
  <c r="AT285" i="16" s="1"/>
  <c r="AW285" i="16" s="1"/>
  <c r="AX285" i="16" s="1"/>
  <c r="AZ285" i="16" s="1"/>
  <c r="U286" i="16"/>
  <c r="AC286" i="16" s="1"/>
  <c r="BI266" i="16"/>
  <c r="BG266" i="16"/>
  <c r="BL266" i="16"/>
  <c r="BM266" i="16" s="1"/>
  <c r="N345" i="16"/>
  <c r="M346" i="16" s="1"/>
  <c r="P345" i="16"/>
  <c r="AL285" i="16" l="1"/>
  <c r="AM285" i="16" s="1"/>
  <c r="AN285" i="16" s="1"/>
  <c r="AO285" i="16" s="1"/>
  <c r="AU285" i="16"/>
  <c r="AV285" i="16" s="1"/>
  <c r="AD286" i="16"/>
  <c r="W286" i="16"/>
  <c r="AA286" i="16" s="1"/>
  <c r="AK286" i="16" s="1"/>
  <c r="BC267" i="16"/>
  <c r="BH267" i="16" s="1"/>
  <c r="BO266" i="16"/>
  <c r="BP266" i="16" s="1"/>
  <c r="BN266" i="16"/>
  <c r="Q345" i="16"/>
  <c r="S345" i="16" s="1"/>
  <c r="O345" i="16"/>
  <c r="AY285" i="16" l="1"/>
  <c r="AP285" i="16"/>
  <c r="AR285" i="16" s="1"/>
  <c r="Y286" i="16"/>
  <c r="AE286" i="16"/>
  <c r="AJ353" i="15"/>
  <c r="BQ266" i="16"/>
  <c r="AD667" i="15"/>
  <c r="E265" i="14"/>
  <c r="F265" i="14" s="1"/>
  <c r="H265" i="14" s="1"/>
  <c r="BD267" i="16"/>
  <c r="BE267" i="16" s="1"/>
  <c r="BF267" i="16" s="1"/>
  <c r="P346" i="16"/>
  <c r="Q346" i="16" s="1"/>
  <c r="S346" i="16" s="1"/>
  <c r="E346" i="16"/>
  <c r="L346" i="16" s="1"/>
  <c r="AB286" i="16" l="1"/>
  <c r="Z286" i="16"/>
  <c r="AQ285" i="16"/>
  <c r="BI267" i="16"/>
  <c r="BG267" i="16"/>
  <c r="BJ267" i="16"/>
  <c r="BK267" i="16"/>
  <c r="N346" i="16"/>
  <c r="M347" i="16" s="1"/>
  <c r="U287" i="16" l="1"/>
  <c r="AC287" i="16" s="1"/>
  <c r="AF286" i="16"/>
  <c r="AG286" i="16" s="1"/>
  <c r="AH286" i="16" s="1"/>
  <c r="AS286" i="16" s="1"/>
  <c r="BL267" i="16"/>
  <c r="BM267" i="16" s="1"/>
  <c r="BC268" i="16"/>
  <c r="BH268" i="16" s="1"/>
  <c r="BO267" i="16"/>
  <c r="BP267" i="16" s="1"/>
  <c r="O346" i="16"/>
  <c r="E347" i="16"/>
  <c r="L347" i="16" s="1"/>
  <c r="AT286" i="16" l="1"/>
  <c r="AW286" i="16" s="1"/>
  <c r="AX286" i="16" s="1"/>
  <c r="AZ286" i="16" s="1"/>
  <c r="AU286" i="16"/>
  <c r="AV286" i="16" s="1"/>
  <c r="AL286" i="16"/>
  <c r="W287" i="16"/>
  <c r="AA287" i="16" s="1"/>
  <c r="AK287" i="16" s="1"/>
  <c r="BN267" i="16"/>
  <c r="AD669" i="15" s="1"/>
  <c r="AD287" i="16"/>
  <c r="AJ354" i="15"/>
  <c r="BD268" i="16"/>
  <c r="N347" i="16"/>
  <c r="M348" i="16" s="1"/>
  <c r="P347" i="16"/>
  <c r="AM286" i="16" l="1"/>
  <c r="AN286" i="16" s="1"/>
  <c r="AO286" i="16" s="1"/>
  <c r="AP286" i="16" s="1"/>
  <c r="AR286" i="16" s="1"/>
  <c r="AY286" i="16"/>
  <c r="Y287" i="16"/>
  <c r="AB287" i="16" s="1"/>
  <c r="E266" i="14"/>
  <c r="F266" i="14" s="1"/>
  <c r="H266" i="14" s="1"/>
  <c r="BQ267" i="16"/>
  <c r="AE287" i="16"/>
  <c r="BJ268" i="16"/>
  <c r="BK268" i="16"/>
  <c r="BE268" i="16"/>
  <c r="BF268" i="16" s="1"/>
  <c r="Q347" i="16"/>
  <c r="S347" i="16" s="1"/>
  <c r="O347" i="16"/>
  <c r="AQ286" i="16" l="1"/>
  <c r="Z287" i="16"/>
  <c r="U288" i="16" s="1"/>
  <c r="AC288" i="16" s="1"/>
  <c r="AF287" i="16"/>
  <c r="BI268" i="16"/>
  <c r="BG268" i="16"/>
  <c r="BL268" i="16"/>
  <c r="BM268" i="16" s="1"/>
  <c r="E348" i="16"/>
  <c r="L348" i="16" s="1"/>
  <c r="P348" i="16"/>
  <c r="AG287" i="16" l="1"/>
  <c r="W288" i="16"/>
  <c r="AD288" i="16"/>
  <c r="BC269" i="16"/>
  <c r="BH269" i="16" s="1"/>
  <c r="BO268" i="16"/>
  <c r="BP268" i="16" s="1"/>
  <c r="BN268" i="16"/>
  <c r="Q348" i="16"/>
  <c r="S348" i="16" s="1"/>
  <c r="N348" i="16"/>
  <c r="M349" i="16" s="1"/>
  <c r="AL287" i="16" l="1"/>
  <c r="AY287" i="16" s="1"/>
  <c r="AH287" i="16"/>
  <c r="AS287" i="16" s="1"/>
  <c r="AA288" i="16"/>
  <c r="AK288" i="16" s="1"/>
  <c r="Y288" i="16"/>
  <c r="BD269" i="16"/>
  <c r="BK269" i="16" s="1"/>
  <c r="AE288" i="16"/>
  <c r="E267" i="14"/>
  <c r="F267" i="14" s="1"/>
  <c r="H267" i="14" s="1"/>
  <c r="AD671" i="15"/>
  <c r="AJ355" i="15"/>
  <c r="BQ268" i="16"/>
  <c r="O348" i="16"/>
  <c r="AM287" i="16" l="1"/>
  <c r="AN287" i="16" s="1"/>
  <c r="AO287" i="16" s="1"/>
  <c r="AP287" i="16" s="1"/>
  <c r="AT287" i="16"/>
  <c r="AW287" i="16" s="1"/>
  <c r="AU287" i="16"/>
  <c r="AV287" i="16" s="1"/>
  <c r="BJ269" i="16"/>
  <c r="AB288" i="16"/>
  <c r="Z288" i="16"/>
  <c r="U289" i="16" s="1"/>
  <c r="AC289" i="16" s="1"/>
  <c r="BE269" i="16"/>
  <c r="BF269" i="16" s="1"/>
  <c r="BI269" i="16" s="1"/>
  <c r="BL269" i="16"/>
  <c r="BM269" i="16" s="1"/>
  <c r="E349" i="16"/>
  <c r="L349" i="16" s="1"/>
  <c r="P349" i="16"/>
  <c r="AR287" i="16" l="1"/>
  <c r="AQ287" i="16"/>
  <c r="AX287" i="16"/>
  <c r="AZ287" i="16" s="1"/>
  <c r="AF288" i="16"/>
  <c r="AG288" i="16" s="1"/>
  <c r="AH288" i="16" s="1"/>
  <c r="AS288" i="16" s="1"/>
  <c r="AT288" i="16" s="1"/>
  <c r="AD289" i="16"/>
  <c r="AE289" i="16" s="1"/>
  <c r="BG269" i="16"/>
  <c r="BC270" i="16" s="1"/>
  <c r="BH270" i="16" s="1"/>
  <c r="W289" i="16"/>
  <c r="AA289" i="16" s="1"/>
  <c r="AK289" i="16" s="1"/>
  <c r="BO269" i="16"/>
  <c r="BP269" i="16" s="1"/>
  <c r="BN269" i="16"/>
  <c r="Q349" i="16"/>
  <c r="S349" i="16" s="1"/>
  <c r="N349" i="16"/>
  <c r="M350" i="16" s="1"/>
  <c r="AW288" i="16" l="1"/>
  <c r="AX288" i="16" s="1"/>
  <c r="AZ288" i="16" s="1"/>
  <c r="AL288" i="16"/>
  <c r="AY288" i="16" s="1"/>
  <c r="Y289" i="16"/>
  <c r="AB289" i="16" s="1"/>
  <c r="AF289" i="16" s="1"/>
  <c r="AG289" i="16" s="1"/>
  <c r="AH289" i="16" s="1"/>
  <c r="AS289" i="16" s="1"/>
  <c r="AT289" i="16" s="1"/>
  <c r="AU288" i="16"/>
  <c r="AV288" i="16" s="1"/>
  <c r="BD270" i="16"/>
  <c r="BK270" i="16" s="1"/>
  <c r="E268" i="14"/>
  <c r="F268" i="14" s="1"/>
  <c r="H268" i="14" s="1"/>
  <c r="AD674" i="15"/>
  <c r="AJ356" i="15"/>
  <c r="BQ269" i="16"/>
  <c r="O349" i="16"/>
  <c r="AW289" i="16" l="1"/>
  <c r="AX289" i="16" s="1"/>
  <c r="AZ289" i="16" s="1"/>
  <c r="AM288" i="16"/>
  <c r="AN288" i="16" s="1"/>
  <c r="AO288" i="16" s="1"/>
  <c r="AP288" i="16" s="1"/>
  <c r="AR288" i="16" s="1"/>
  <c r="AU289" i="16"/>
  <c r="AV289" i="16" s="1"/>
  <c r="Z289" i="16"/>
  <c r="U290" i="16" s="1"/>
  <c r="AC290" i="16" s="1"/>
  <c r="AD290" i="16" s="1"/>
  <c r="AL289" i="16"/>
  <c r="AM289" i="16" s="1"/>
  <c r="AN289" i="16" s="1"/>
  <c r="AO289" i="16" s="1"/>
  <c r="BJ270" i="16"/>
  <c r="BE270" i="16"/>
  <c r="BF270" i="16" s="1"/>
  <c r="BI270" i="16" s="1"/>
  <c r="BL270" i="16"/>
  <c r="BM270" i="16" s="1"/>
  <c r="E350" i="16"/>
  <c r="L350" i="16" s="1"/>
  <c r="P350" i="16"/>
  <c r="AY289" i="16" l="1"/>
  <c r="W290" i="16"/>
  <c r="AA290" i="16" s="1"/>
  <c r="AK290" i="16" s="1"/>
  <c r="AQ288" i="16"/>
  <c r="BG270" i="16"/>
  <c r="BC271" i="16" s="1"/>
  <c r="BH271" i="16" s="1"/>
  <c r="AP289" i="16"/>
  <c r="AR289" i="16" s="1"/>
  <c r="AE290" i="16"/>
  <c r="BN270" i="16"/>
  <c r="BO270" i="16"/>
  <c r="BP270" i="16" s="1"/>
  <c r="Q350" i="16"/>
  <c r="S350" i="16" s="1"/>
  <c r="N350" i="16"/>
  <c r="M351" i="16" s="1"/>
  <c r="Y290" i="16" l="1"/>
  <c r="AB290" i="16" s="1"/>
  <c r="AF290" i="16" s="1"/>
  <c r="AQ289" i="16"/>
  <c r="BQ270" i="16"/>
  <c r="AJ357" i="15"/>
  <c r="BD271" i="16"/>
  <c r="E269" i="14"/>
  <c r="F269" i="14" s="1"/>
  <c r="H269" i="14" s="1"/>
  <c r="AD676" i="15"/>
  <c r="O350" i="16"/>
  <c r="Z290" i="16" l="1"/>
  <c r="U291" i="16" s="1"/>
  <c r="AC291" i="16" s="1"/>
  <c r="AD291" i="16" s="1"/>
  <c r="AE291" i="16" s="1"/>
  <c r="AG290" i="16"/>
  <c r="BJ271" i="16"/>
  <c r="BK271" i="16"/>
  <c r="BE271" i="16"/>
  <c r="BF271" i="16" s="1"/>
  <c r="E351" i="16"/>
  <c r="L351" i="16" s="1"/>
  <c r="P351" i="16"/>
  <c r="W291" i="16" l="1"/>
  <c r="AA291" i="16" s="1"/>
  <c r="AK291" i="16" s="1"/>
  <c r="AL290" i="16"/>
  <c r="AH290" i="16"/>
  <c r="AS290" i="16" s="1"/>
  <c r="BI271" i="16"/>
  <c r="BG271" i="16"/>
  <c r="BL271" i="16"/>
  <c r="BM271" i="16" s="1"/>
  <c r="Q351" i="16"/>
  <c r="S351" i="16" s="1"/>
  <c r="N351" i="16"/>
  <c r="M352" i="16" s="1"/>
  <c r="Y291" i="16" l="1"/>
  <c r="AB291" i="16" s="1"/>
  <c r="AF291" i="16" s="1"/>
  <c r="AY290" i="16"/>
  <c r="AM290" i="16"/>
  <c r="AN290" i="16" s="1"/>
  <c r="AO290" i="16" s="1"/>
  <c r="AP290" i="16" s="1"/>
  <c r="AQ290" i="16" s="1"/>
  <c r="AU290" i="16"/>
  <c r="AV290" i="16" s="1"/>
  <c r="AT290" i="16"/>
  <c r="AW290" i="16" s="1"/>
  <c r="AX290" i="16" s="1"/>
  <c r="AZ290" i="16" s="1"/>
  <c r="AG291" i="16"/>
  <c r="BC272" i="16"/>
  <c r="BH272" i="16" s="1"/>
  <c r="BO271" i="16"/>
  <c r="BP271" i="16" s="1"/>
  <c r="BN271" i="16"/>
  <c r="E352" i="16"/>
  <c r="O351" i="16"/>
  <c r="Z291" i="16" l="1"/>
  <c r="AR290" i="16"/>
  <c r="AL291" i="16"/>
  <c r="AY291" i="16" s="1"/>
  <c r="AH291" i="16"/>
  <c r="AS291" i="16" s="1"/>
  <c r="AT291" i="16" s="1"/>
  <c r="AW291" i="16" s="1"/>
  <c r="AX291" i="16" s="1"/>
  <c r="AZ291" i="16" s="1"/>
  <c r="E270" i="14"/>
  <c r="F270" i="14" s="1"/>
  <c r="H270" i="14" s="1"/>
  <c r="AD678" i="15"/>
  <c r="BD272" i="16"/>
  <c r="AJ358" i="15"/>
  <c r="BQ271" i="16"/>
  <c r="L352" i="16"/>
  <c r="N352" i="16" s="1"/>
  <c r="M353" i="16" s="1"/>
  <c r="P352" i="16"/>
  <c r="U292" i="16" l="1"/>
  <c r="AC292" i="16" s="1"/>
  <c r="AD292" i="16" s="1"/>
  <c r="AE292" i="16" s="1"/>
  <c r="AM291" i="16"/>
  <c r="AN291" i="16" s="1"/>
  <c r="AO291" i="16" s="1"/>
  <c r="AP291" i="16" s="1"/>
  <c r="AQ291" i="16" s="1"/>
  <c r="AU291" i="16"/>
  <c r="AV291" i="16" s="1"/>
  <c r="BJ272" i="16"/>
  <c r="BK272" i="16"/>
  <c r="BE272" i="16"/>
  <c r="BF272" i="16" s="1"/>
  <c r="Q352" i="16"/>
  <c r="S352" i="16" s="1"/>
  <c r="O352" i="16"/>
  <c r="AR291" i="16" l="1"/>
  <c r="W292" i="16"/>
  <c r="Y292" i="16" s="1"/>
  <c r="AB292" i="16" s="1"/>
  <c r="P353" i="16"/>
  <c r="Q353" i="16" s="1"/>
  <c r="S353" i="16" s="1"/>
  <c r="BI272" i="16"/>
  <c r="BG272" i="16"/>
  <c r="BL272" i="16"/>
  <c r="BM272" i="16" s="1"/>
  <c r="E353" i="16"/>
  <c r="L353" i="16" s="1"/>
  <c r="AF292" i="16" l="1"/>
  <c r="AG292" i="16" s="1"/>
  <c r="AL292" i="16" s="1"/>
  <c r="AY292" i="16" s="1"/>
  <c r="AA292" i="16"/>
  <c r="AK292" i="16" s="1"/>
  <c r="Z292" i="16"/>
  <c r="U293" i="16" s="1"/>
  <c r="AC293" i="16" s="1"/>
  <c r="AD293" i="16" s="1"/>
  <c r="BC273" i="16"/>
  <c r="BH273" i="16" s="1"/>
  <c r="BO272" i="16"/>
  <c r="BP272" i="16" s="1"/>
  <c r="BN272" i="16"/>
  <c r="N353" i="16"/>
  <c r="M354" i="16" s="1"/>
  <c r="W293" i="16" l="1"/>
  <c r="AA293" i="16" s="1"/>
  <c r="AK293" i="16" s="1"/>
  <c r="AH292" i="16"/>
  <c r="AS292" i="16" s="1"/>
  <c r="AM292" i="16"/>
  <c r="AN292" i="16" s="1"/>
  <c r="AO292" i="16" s="1"/>
  <c r="AP292" i="16" s="1"/>
  <c r="AR292" i="16" s="1"/>
  <c r="AE293" i="16"/>
  <c r="E271" i="14"/>
  <c r="F271" i="14" s="1"/>
  <c r="H271" i="14" s="1"/>
  <c r="AD680" i="15"/>
  <c r="BD273" i="16"/>
  <c r="BE273" i="16" s="1"/>
  <c r="BF273" i="16" s="1"/>
  <c r="AJ359" i="15"/>
  <c r="BQ272" i="16"/>
  <c r="O353" i="16"/>
  <c r="Y293" i="16" l="1"/>
  <c r="AB293" i="16" s="1"/>
  <c r="AT292" i="16"/>
  <c r="AW292" i="16" s="1"/>
  <c r="AX292" i="16" s="1"/>
  <c r="AZ292" i="16" s="1"/>
  <c r="AU292" i="16"/>
  <c r="AV292" i="16" s="1"/>
  <c r="AF293" i="16"/>
  <c r="Z293" i="16"/>
  <c r="U294" i="16" s="1"/>
  <c r="AC294" i="16" s="1"/>
  <c r="AD294" i="16" s="1"/>
  <c r="AE294" i="16" s="1"/>
  <c r="AQ292" i="16"/>
  <c r="BI273" i="16"/>
  <c r="BG273" i="16"/>
  <c r="BJ273" i="16"/>
  <c r="BK273" i="16"/>
  <c r="E354" i="16"/>
  <c r="L354" i="16" s="1"/>
  <c r="P354" i="16"/>
  <c r="AG293" i="16" l="1"/>
  <c r="W294" i="16"/>
  <c r="AA294" i="16" s="1"/>
  <c r="AK294" i="16" s="1"/>
  <c r="BC274" i="16"/>
  <c r="BH274" i="16" s="1"/>
  <c r="BL273" i="16"/>
  <c r="BM273" i="16" s="1"/>
  <c r="BO273" i="16"/>
  <c r="BP273" i="16" s="1"/>
  <c r="Q354" i="16"/>
  <c r="S354" i="16" s="1"/>
  <c r="N354" i="16"/>
  <c r="M355" i="16" s="1"/>
  <c r="AL293" i="16" l="1"/>
  <c r="AY293" i="16" s="1"/>
  <c r="Y294" i="16"/>
  <c r="AB294" i="16" s="1"/>
  <c r="AF294" i="16" s="1"/>
  <c r="AH293" i="16"/>
  <c r="AS293" i="16" s="1"/>
  <c r="BD274" i="16"/>
  <c r="BE274" i="16" s="1"/>
  <c r="BF274" i="16" s="1"/>
  <c r="AJ360" i="15"/>
  <c r="BN273" i="16"/>
  <c r="BQ273" i="16" s="1"/>
  <c r="O354" i="16"/>
  <c r="AM293" i="16" l="1"/>
  <c r="AN293" i="16" s="1"/>
  <c r="AO293" i="16" s="1"/>
  <c r="AP293" i="16" s="1"/>
  <c r="AR293" i="16" s="1"/>
  <c r="AU293" i="16"/>
  <c r="AT293" i="16"/>
  <c r="AW293" i="16" s="1"/>
  <c r="AX293" i="16" s="1"/>
  <c r="AZ293" i="16" s="1"/>
  <c r="AG294" i="16"/>
  <c r="AH294" i="16" s="1"/>
  <c r="AS294" i="16" s="1"/>
  <c r="AT294" i="16" s="1"/>
  <c r="Z294" i="16"/>
  <c r="U295" i="16" s="1"/>
  <c r="W295" i="16" s="1"/>
  <c r="AA295" i="16" s="1"/>
  <c r="AK295" i="16" s="1"/>
  <c r="BJ274" i="16"/>
  <c r="BK274" i="16"/>
  <c r="BL274" i="16" s="1"/>
  <c r="BM274" i="16" s="1"/>
  <c r="BI274" i="16"/>
  <c r="BG274" i="16"/>
  <c r="AD672" i="15"/>
  <c r="E272" i="14"/>
  <c r="F272" i="14" s="1"/>
  <c r="H272" i="14" s="1"/>
  <c r="E355" i="16"/>
  <c r="L355" i="16" s="1"/>
  <c r="P355" i="16"/>
  <c r="AW294" i="16" l="1"/>
  <c r="AX294" i="16" s="1"/>
  <c r="AZ294" i="16" s="1"/>
  <c r="AC295" i="16"/>
  <c r="AD295" i="16" s="1"/>
  <c r="AE295" i="16" s="1"/>
  <c r="AQ293" i="16"/>
  <c r="Y295" i="16"/>
  <c r="AB295" i="16" s="1"/>
  <c r="AL294" i="16"/>
  <c r="AY294" i="16" s="1"/>
  <c r="AV293" i="16"/>
  <c r="AU294" i="16" s="1"/>
  <c r="AV294" i="16" s="1"/>
  <c r="BC275" i="16"/>
  <c r="BH275" i="16" s="1"/>
  <c r="BO274" i="16"/>
  <c r="BP274" i="16" s="1"/>
  <c r="BN274" i="16"/>
  <c r="Q355" i="16"/>
  <c r="S355" i="16" s="1"/>
  <c r="N355" i="16"/>
  <c r="M356" i="16" s="1"/>
  <c r="AM294" i="16" l="1"/>
  <c r="AN294" i="16" s="1"/>
  <c r="AO294" i="16" s="1"/>
  <c r="AP294" i="16" s="1"/>
  <c r="AR294" i="16" s="1"/>
  <c r="AF295" i="16"/>
  <c r="AG295" i="16" s="1"/>
  <c r="AL295" i="16" s="1"/>
  <c r="AY295" i="16" s="1"/>
  <c r="Z295" i="16"/>
  <c r="U296" i="16" s="1"/>
  <c r="W296" i="16" s="1"/>
  <c r="AA296" i="16" s="1"/>
  <c r="AK296" i="16" s="1"/>
  <c r="AD605" i="15"/>
  <c r="E273" i="14"/>
  <c r="F273" i="14" s="1"/>
  <c r="H273" i="14" s="1"/>
  <c r="BD275" i="16"/>
  <c r="BE275" i="16" s="1"/>
  <c r="BF275" i="16" s="1"/>
  <c r="AJ110" i="15"/>
  <c r="BQ274" i="16"/>
  <c r="O355" i="16"/>
  <c r="AQ294" i="16" l="1"/>
  <c r="AH295" i="16"/>
  <c r="AS295" i="16" s="1"/>
  <c r="AM295" i="16"/>
  <c r="AN295" i="16" s="1"/>
  <c r="AO295" i="16" s="1"/>
  <c r="AP295" i="16" s="1"/>
  <c r="Y296" i="16"/>
  <c r="AB296" i="16" s="1"/>
  <c r="AC296" i="16"/>
  <c r="BI275" i="16"/>
  <c r="BG275" i="16"/>
  <c r="BJ275" i="16"/>
  <c r="BK275" i="16"/>
  <c r="E356" i="16"/>
  <c r="L356" i="16" s="1"/>
  <c r="P356" i="16"/>
  <c r="AQ295" i="16" l="1"/>
  <c r="AR295" i="16"/>
  <c r="AT295" i="16"/>
  <c r="AW295" i="16" s="1"/>
  <c r="AX295" i="16" s="1"/>
  <c r="AZ295" i="16" s="1"/>
  <c r="AU295" i="16"/>
  <c r="AV295" i="16" s="1"/>
  <c r="Z296" i="16"/>
  <c r="U297" i="16" s="1"/>
  <c r="AC297" i="16" s="1"/>
  <c r="AD296" i="16"/>
  <c r="BC276" i="16"/>
  <c r="BH276" i="16" s="1"/>
  <c r="BL275" i="16"/>
  <c r="BM275" i="16" s="1"/>
  <c r="BO275" i="16"/>
  <c r="BP275" i="16" s="1"/>
  <c r="Q356" i="16"/>
  <c r="S356" i="16" s="1"/>
  <c r="N356" i="16"/>
  <c r="M357" i="16" s="1"/>
  <c r="W297" i="16" l="1"/>
  <c r="AA297" i="16" s="1"/>
  <c r="AK297" i="16" s="1"/>
  <c r="AE296" i="16"/>
  <c r="AD297" i="16" s="1"/>
  <c r="AE297" i="16" s="1"/>
  <c r="BN275" i="16"/>
  <c r="BQ275" i="16" s="1"/>
  <c r="BD276" i="16"/>
  <c r="BE276" i="16" s="1"/>
  <c r="BF276" i="16" s="1"/>
  <c r="AJ361" i="15"/>
  <c r="O356" i="16"/>
  <c r="Y297" i="16" l="1"/>
  <c r="AB297" i="16" s="1"/>
  <c r="AF297" i="16" s="1"/>
  <c r="AG297" i="16" s="1"/>
  <c r="AH297" i="16" s="1"/>
  <c r="AS297" i="16" s="1"/>
  <c r="AT297" i="16" s="1"/>
  <c r="AD662" i="15"/>
  <c r="E274" i="14"/>
  <c r="F274" i="14" s="1"/>
  <c r="H274" i="14" s="1"/>
  <c r="AF296" i="16"/>
  <c r="BI276" i="16"/>
  <c r="BG276" i="16"/>
  <c r="BJ276" i="16"/>
  <c r="BK276" i="16"/>
  <c r="E357" i="16"/>
  <c r="L357" i="16" s="1"/>
  <c r="P357" i="16"/>
  <c r="Z297" i="16" l="1"/>
  <c r="U298" i="16" s="1"/>
  <c r="AC298" i="16" s="1"/>
  <c r="AD298" i="16" s="1"/>
  <c r="AE298" i="16" s="1"/>
  <c r="AG296" i="16"/>
  <c r="AL297" i="16"/>
  <c r="BL276" i="16"/>
  <c r="BM276" i="16" s="1"/>
  <c r="BC277" i="16"/>
  <c r="BH277" i="16" s="1"/>
  <c r="BO276" i="16"/>
  <c r="BP276" i="16" s="1"/>
  <c r="Q357" i="16"/>
  <c r="S357" i="16" s="1"/>
  <c r="N357" i="16"/>
  <c r="M358" i="16" s="1"/>
  <c r="W298" i="16" l="1"/>
  <c r="AA298" i="16" s="1"/>
  <c r="AK298" i="16" s="1"/>
  <c r="AM297" i="16"/>
  <c r="AN297" i="16" s="1"/>
  <c r="AO297" i="16" s="1"/>
  <c r="AP297" i="16" s="1"/>
  <c r="AQ297" i="16" s="1"/>
  <c r="AY297" i="16"/>
  <c r="AL296" i="16"/>
  <c r="AM296" i="16" s="1"/>
  <c r="AN296" i="16" s="1"/>
  <c r="AO296" i="16" s="1"/>
  <c r="AH296" i="16"/>
  <c r="AS296" i="16" s="1"/>
  <c r="Y298" i="16"/>
  <c r="AB298" i="16" s="1"/>
  <c r="BN276" i="16"/>
  <c r="E275" i="14" s="1"/>
  <c r="F275" i="14" s="1"/>
  <c r="H275" i="14" s="1"/>
  <c r="AJ362" i="15"/>
  <c r="BD277" i="16"/>
  <c r="O357" i="16"/>
  <c r="AR297" i="16" l="1"/>
  <c r="AP296" i="16"/>
  <c r="AQ296" i="16" s="1"/>
  <c r="AY296" i="16"/>
  <c r="AF298" i="16"/>
  <c r="AT296" i="16"/>
  <c r="AW296" i="16" s="1"/>
  <c r="AX296" i="16" s="1"/>
  <c r="AZ296" i="16" s="1"/>
  <c r="AU296" i="16"/>
  <c r="AV296" i="16" s="1"/>
  <c r="AU297" i="16" s="1"/>
  <c r="AV297" i="16" s="1"/>
  <c r="Z298" i="16"/>
  <c r="U299" i="16" s="1"/>
  <c r="AC299" i="16" s="1"/>
  <c r="AD299" i="16" s="1"/>
  <c r="AD684" i="15"/>
  <c r="BQ276" i="16"/>
  <c r="BJ277" i="16"/>
  <c r="BK277" i="16"/>
  <c r="BE277" i="16"/>
  <c r="BF277" i="16" s="1"/>
  <c r="E358" i="16"/>
  <c r="P358" i="16"/>
  <c r="AW297" i="16" l="1"/>
  <c r="AX297" i="16" s="1"/>
  <c r="AZ297" i="16" s="1"/>
  <c r="AR296" i="16"/>
  <c r="AG298" i="16"/>
  <c r="W299" i="16"/>
  <c r="AA299" i="16" s="1"/>
  <c r="AK299" i="16" s="1"/>
  <c r="AE299" i="16"/>
  <c r="BI277" i="16"/>
  <c r="BG277" i="16"/>
  <c r="BL277" i="16"/>
  <c r="BM277" i="16" s="1"/>
  <c r="L358" i="16"/>
  <c r="Q358" i="16"/>
  <c r="S358" i="16" s="1"/>
  <c r="AL298" i="16" l="1"/>
  <c r="AY298" i="16" s="1"/>
  <c r="AH298" i="16"/>
  <c r="AS298" i="16" s="1"/>
  <c r="Y299" i="16"/>
  <c r="AB299" i="16" s="1"/>
  <c r="BC278" i="16"/>
  <c r="BH278" i="16" s="1"/>
  <c r="BO277" i="16"/>
  <c r="BP277" i="16" s="1"/>
  <c r="BN277" i="16"/>
  <c r="N358" i="16"/>
  <c r="AM298" i="16" l="1"/>
  <c r="AN298" i="16" s="1"/>
  <c r="AO298" i="16" s="1"/>
  <c r="AP298" i="16" s="1"/>
  <c r="AQ298" i="16" s="1"/>
  <c r="AT298" i="16"/>
  <c r="AW298" i="16" s="1"/>
  <c r="AX298" i="16" s="1"/>
  <c r="AZ298" i="16" s="1"/>
  <c r="AU298" i="16"/>
  <c r="AV298" i="16" s="1"/>
  <c r="Z299" i="16"/>
  <c r="AF299" i="16"/>
  <c r="E276" i="14"/>
  <c r="F276" i="14" s="1"/>
  <c r="H276" i="14" s="1"/>
  <c r="AD690" i="15"/>
  <c r="BD278" i="16"/>
  <c r="AJ363" i="15"/>
  <c r="BQ277" i="16"/>
  <c r="M359" i="16"/>
  <c r="E359" i="16" s="1"/>
  <c r="L359" i="16" s="1"/>
  <c r="O358" i="16"/>
  <c r="AR298" i="16" l="1"/>
  <c r="AG299" i="16"/>
  <c r="AL299" i="16" s="1"/>
  <c r="AY299" i="16" s="1"/>
  <c r="U300" i="16"/>
  <c r="AC300" i="16" s="1"/>
  <c r="BJ278" i="16"/>
  <c r="BK278" i="16"/>
  <c r="BE278" i="16"/>
  <c r="BF278" i="16" s="1"/>
  <c r="N359" i="16"/>
  <c r="P359" i="16"/>
  <c r="Q359" i="16" s="1"/>
  <c r="S359" i="16" s="1"/>
  <c r="AM299" i="16" l="1"/>
  <c r="AN299" i="16" s="1"/>
  <c r="AO299" i="16" s="1"/>
  <c r="AP299" i="16" s="1"/>
  <c r="AH299" i="16"/>
  <c r="AS299" i="16" s="1"/>
  <c r="W300" i="16"/>
  <c r="AA300" i="16" s="1"/>
  <c r="AK300" i="16" s="1"/>
  <c r="AD300" i="16"/>
  <c r="BI278" i="16"/>
  <c r="BG278" i="16"/>
  <c r="BL278" i="16"/>
  <c r="BM278" i="16" s="1"/>
  <c r="O359" i="16"/>
  <c r="M360" i="16"/>
  <c r="AR299" i="16" l="1"/>
  <c r="Y300" i="16"/>
  <c r="AB300" i="16" s="1"/>
  <c r="AT299" i="16"/>
  <c r="AW299" i="16" s="1"/>
  <c r="AX299" i="16" s="1"/>
  <c r="AZ299" i="16" s="1"/>
  <c r="AU299" i="16"/>
  <c r="AV299" i="16" s="1"/>
  <c r="AQ299" i="16"/>
  <c r="AE300" i="16"/>
  <c r="BC279" i="16"/>
  <c r="BH279" i="16" s="1"/>
  <c r="BO278" i="16"/>
  <c r="BP278" i="16" s="1"/>
  <c r="BN278" i="16"/>
  <c r="E360" i="16"/>
  <c r="L360" i="16" s="1"/>
  <c r="P360" i="16"/>
  <c r="Q360" i="16" s="1"/>
  <c r="S360" i="16" s="1"/>
  <c r="Z300" i="16" l="1"/>
  <c r="AF300" i="16"/>
  <c r="AG300" i="16" s="1"/>
  <c r="AH300" i="16" s="1"/>
  <c r="AS300" i="16" s="1"/>
  <c r="AT300" i="16" s="1"/>
  <c r="AW300" i="16" s="1"/>
  <c r="AX300" i="16" s="1"/>
  <c r="AZ300" i="16" s="1"/>
  <c r="BD279" i="16"/>
  <c r="BE279" i="16" s="1"/>
  <c r="N360" i="16"/>
  <c r="M361" i="16" s="1"/>
  <c r="E361" i="16" s="1"/>
  <c r="L361" i="16" s="1"/>
  <c r="U301" i="16"/>
  <c r="AC301" i="16" s="1"/>
  <c r="AD692" i="15"/>
  <c r="E277" i="14"/>
  <c r="F277" i="14" s="1"/>
  <c r="H277" i="14" s="1"/>
  <c r="AJ364" i="15"/>
  <c r="BQ278" i="16"/>
  <c r="AU300" i="16" l="1"/>
  <c r="AV300" i="16" s="1"/>
  <c r="AL300" i="16"/>
  <c r="AY300" i="16" s="1"/>
  <c r="O360" i="16"/>
  <c r="N361" i="16" s="1"/>
  <c r="M362" i="16" s="1"/>
  <c r="P361" i="16"/>
  <c r="Q361" i="16" s="1"/>
  <c r="S361" i="16" s="1"/>
  <c r="BF279" i="16"/>
  <c r="BG279" i="16" s="1"/>
  <c r="BK279" i="16"/>
  <c r="BL279" i="16" s="1"/>
  <c r="BM279" i="16" s="1"/>
  <c r="AD301" i="16"/>
  <c r="BJ279" i="16"/>
  <c r="W301" i="16"/>
  <c r="Y301" i="16" s="1"/>
  <c r="AB301" i="16" s="1"/>
  <c r="AM300" i="16" l="1"/>
  <c r="AN300" i="16" s="1"/>
  <c r="AO300" i="16" s="1"/>
  <c r="AP300" i="16" s="1"/>
  <c r="AR300" i="16" s="1"/>
  <c r="BI279" i="16"/>
  <c r="BO279" i="16" s="1"/>
  <c r="BP279" i="16" s="1"/>
  <c r="AE301" i="16"/>
  <c r="AF301" i="16" s="1"/>
  <c r="AG301" i="16" s="1"/>
  <c r="AH301" i="16" s="1"/>
  <c r="AS301" i="16" s="1"/>
  <c r="O361" i="16"/>
  <c r="E362" i="16"/>
  <c r="L362" i="16" s="1"/>
  <c r="AA301" i="16"/>
  <c r="AK301" i="16" s="1"/>
  <c r="Z301" i="16"/>
  <c r="BC280" i="16"/>
  <c r="BH280" i="16" s="1"/>
  <c r="P362" i="16"/>
  <c r="BN279" i="16" l="1"/>
  <c r="AD694" i="15" s="1"/>
  <c r="AU301" i="16"/>
  <c r="AV301" i="16" s="1"/>
  <c r="AT301" i="16"/>
  <c r="AW301" i="16" s="1"/>
  <c r="AX301" i="16" s="1"/>
  <c r="AZ301" i="16" s="1"/>
  <c r="AL301" i="16"/>
  <c r="AY301" i="16" s="1"/>
  <c r="N362" i="16"/>
  <c r="M363" i="16" s="1"/>
  <c r="U302" i="16"/>
  <c r="AC302" i="16" s="1"/>
  <c r="AQ300" i="16"/>
  <c r="BD280" i="16"/>
  <c r="AJ365" i="15"/>
  <c r="Q362" i="16"/>
  <c r="S362" i="16" s="1"/>
  <c r="E278" i="14" l="1"/>
  <c r="F278" i="14" s="1"/>
  <c r="H278" i="14" s="1"/>
  <c r="BQ279" i="16"/>
  <c r="AM301" i="16"/>
  <c r="AN301" i="16" s="1"/>
  <c r="AO301" i="16" s="1"/>
  <c r="O362" i="16"/>
  <c r="AD302" i="16"/>
  <c r="W302" i="16"/>
  <c r="AA302" i="16" s="1"/>
  <c r="AK302" i="16" s="1"/>
  <c r="BJ280" i="16"/>
  <c r="BK280" i="16"/>
  <c r="BE280" i="16"/>
  <c r="BF280" i="16" s="1"/>
  <c r="P363" i="16"/>
  <c r="Q363" i="16" s="1"/>
  <c r="S363" i="16" s="1"/>
  <c r="E363" i="16"/>
  <c r="L363" i="16" s="1"/>
  <c r="Y302" i="16" l="1"/>
  <c r="AB302" i="16" s="1"/>
  <c r="AE302" i="16"/>
  <c r="AP301" i="16"/>
  <c r="AR301" i="16" s="1"/>
  <c r="BI280" i="16"/>
  <c r="BG280" i="16"/>
  <c r="BL280" i="16"/>
  <c r="BM280" i="16" s="1"/>
  <c r="N363" i="16"/>
  <c r="M364" i="16" s="1"/>
  <c r="AF302" i="16" l="1"/>
  <c r="AG302" i="16" s="1"/>
  <c r="AH302" i="16" s="1"/>
  <c r="AS302" i="16" s="1"/>
  <c r="AQ301" i="16"/>
  <c r="Z302" i="16"/>
  <c r="U303" i="16" s="1"/>
  <c r="AC303" i="16" s="1"/>
  <c r="BC281" i="16"/>
  <c r="BH281" i="16" s="1"/>
  <c r="BO280" i="16"/>
  <c r="BP280" i="16" s="1"/>
  <c r="BN280" i="16"/>
  <c r="O363" i="16"/>
  <c r="AL302" i="16" l="1"/>
  <c r="AY302" i="16" s="1"/>
  <c r="AU302" i="16"/>
  <c r="AT302" i="16"/>
  <c r="AW302" i="16" s="1"/>
  <c r="AX302" i="16" s="1"/>
  <c r="AZ302" i="16" s="1"/>
  <c r="AD303" i="16"/>
  <c r="AE303" i="16" s="1"/>
  <c r="W303" i="16"/>
  <c r="Y303" i="16" s="1"/>
  <c r="BD281" i="16"/>
  <c r="BJ281" i="16" s="1"/>
  <c r="E279" i="14"/>
  <c r="F279" i="14" s="1"/>
  <c r="H279" i="14" s="1"/>
  <c r="AD696" i="15"/>
  <c r="AJ366" i="15"/>
  <c r="BQ280" i="16"/>
  <c r="E364" i="16"/>
  <c r="L364" i="16" s="1"/>
  <c r="P364" i="16"/>
  <c r="AM302" i="16" l="1"/>
  <c r="AN302" i="16" s="1"/>
  <c r="AO302" i="16" s="1"/>
  <c r="AP302" i="16" s="1"/>
  <c r="AR302" i="16" s="1"/>
  <c r="AV302" i="16"/>
  <c r="BE281" i="16"/>
  <c r="BF281" i="16" s="1"/>
  <c r="BI281" i="16" s="1"/>
  <c r="BK281" i="16"/>
  <c r="BL281" i="16" s="1"/>
  <c r="BM281" i="16" s="1"/>
  <c r="AA303" i="16"/>
  <c r="AK303" i="16" s="1"/>
  <c r="AB303" i="16"/>
  <c r="Z303" i="16"/>
  <c r="Q364" i="16"/>
  <c r="S364" i="16" s="1"/>
  <c r="N364" i="16"/>
  <c r="M365" i="16" s="1"/>
  <c r="BG281" i="16" l="1"/>
  <c r="BC282" i="16" s="1"/>
  <c r="BH282" i="16" s="1"/>
  <c r="AF303" i="16"/>
  <c r="AG303" i="16" s="1"/>
  <c r="AH303" i="16" s="1"/>
  <c r="AS303" i="16" s="1"/>
  <c r="AQ302" i="16"/>
  <c r="U304" i="16"/>
  <c r="AC304" i="16" s="1"/>
  <c r="BO281" i="16"/>
  <c r="BP281" i="16" s="1"/>
  <c r="BN281" i="16"/>
  <c r="O364" i="16"/>
  <c r="AL303" i="16" l="1"/>
  <c r="AY303" i="16" s="1"/>
  <c r="AT303" i="16"/>
  <c r="AW303" i="16" s="1"/>
  <c r="AX303" i="16" s="1"/>
  <c r="AZ303" i="16" s="1"/>
  <c r="AU303" i="16"/>
  <c r="AV303" i="16" s="1"/>
  <c r="W304" i="16"/>
  <c r="AA304" i="16" s="1"/>
  <c r="AK304" i="16" s="1"/>
  <c r="BD282" i="16"/>
  <c r="BE282" i="16" s="1"/>
  <c r="BF282" i="16" s="1"/>
  <c r="AD304" i="16"/>
  <c r="AJ367" i="15"/>
  <c r="BQ281" i="16"/>
  <c r="E280" i="14"/>
  <c r="F280" i="14" s="1"/>
  <c r="H280" i="14" s="1"/>
  <c r="AD698" i="15"/>
  <c r="E365" i="16"/>
  <c r="L365" i="16" s="1"/>
  <c r="P365" i="16"/>
  <c r="AM303" i="16" l="1"/>
  <c r="Y304" i="16"/>
  <c r="AB304" i="16" s="1"/>
  <c r="BK282" i="16"/>
  <c r="BL282" i="16" s="1"/>
  <c r="BM282" i="16" s="1"/>
  <c r="BJ282" i="16"/>
  <c r="AE304" i="16"/>
  <c r="AN303" i="16"/>
  <c r="AO303" i="16" s="1"/>
  <c r="BI282" i="16"/>
  <c r="BG282" i="16"/>
  <c r="Q365" i="16"/>
  <c r="S365" i="16" s="1"/>
  <c r="N365" i="16"/>
  <c r="M366" i="16" s="1"/>
  <c r="AF304" i="16" l="1"/>
  <c r="AG304" i="16" s="1"/>
  <c r="AH304" i="16" s="1"/>
  <c r="AS304" i="16" s="1"/>
  <c r="AT304" i="16" s="1"/>
  <c r="AW304" i="16" s="1"/>
  <c r="AX304" i="16" s="1"/>
  <c r="AZ304" i="16" s="1"/>
  <c r="Z304" i="16"/>
  <c r="U305" i="16" s="1"/>
  <c r="AC305" i="16" s="1"/>
  <c r="AD305" i="16" s="1"/>
  <c r="AP303" i="16"/>
  <c r="AR303" i="16" s="1"/>
  <c r="BC283" i="16"/>
  <c r="BH283" i="16" s="1"/>
  <c r="BO282" i="16"/>
  <c r="BP282" i="16" s="1"/>
  <c r="BN282" i="16"/>
  <c r="O365" i="16"/>
  <c r="AU304" i="16" l="1"/>
  <c r="AV304" i="16" s="1"/>
  <c r="AL304" i="16"/>
  <c r="AY304" i="16" s="1"/>
  <c r="W305" i="16"/>
  <c r="AA305" i="16" s="1"/>
  <c r="AK305" i="16" s="1"/>
  <c r="BD283" i="16"/>
  <c r="BJ283" i="16" s="1"/>
  <c r="AQ303" i="16"/>
  <c r="AE305" i="16"/>
  <c r="AJ368" i="15"/>
  <c r="BQ282" i="16"/>
  <c r="E281" i="14"/>
  <c r="F281" i="14" s="1"/>
  <c r="H281" i="14" s="1"/>
  <c r="AD701" i="15"/>
  <c r="E366" i="16"/>
  <c r="L366" i="16" s="1"/>
  <c r="P366" i="16"/>
  <c r="AM304" i="16" l="1"/>
  <c r="AN304" i="16" s="1"/>
  <c r="AO304" i="16" s="1"/>
  <c r="AP304" i="16" s="1"/>
  <c r="AQ304" i="16" s="1"/>
  <c r="Y305" i="16"/>
  <c r="AB305" i="16" s="1"/>
  <c r="AF305" i="16" s="1"/>
  <c r="AG305" i="16" s="1"/>
  <c r="AH305" i="16" s="1"/>
  <c r="AS305" i="16" s="1"/>
  <c r="BK283" i="16"/>
  <c r="BL283" i="16" s="1"/>
  <c r="BM283" i="16" s="1"/>
  <c r="BE283" i="16"/>
  <c r="BF283" i="16" s="1"/>
  <c r="BI283" i="16" s="1"/>
  <c r="Q366" i="16"/>
  <c r="S366" i="16" s="1"/>
  <c r="N366" i="16"/>
  <c r="M367" i="16" s="1"/>
  <c r="Z305" i="16" l="1"/>
  <c r="U306" i="16" s="1"/>
  <c r="AC306" i="16" s="1"/>
  <c r="AD306" i="16" s="1"/>
  <c r="AE306" i="16" s="1"/>
  <c r="AL305" i="16"/>
  <c r="AY305" i="16" s="1"/>
  <c r="AU305" i="16"/>
  <c r="AV305" i="16" s="1"/>
  <c r="AT305" i="16"/>
  <c r="AW305" i="16" s="1"/>
  <c r="AX305" i="16" s="1"/>
  <c r="AZ305" i="16" s="1"/>
  <c r="BG283" i="16"/>
  <c r="BC284" i="16" s="1"/>
  <c r="BH284" i="16" s="1"/>
  <c r="AR304" i="16"/>
  <c r="BO283" i="16"/>
  <c r="BP283" i="16" s="1"/>
  <c r="BN283" i="16"/>
  <c r="O366" i="16"/>
  <c r="W306" i="16" l="1"/>
  <c r="AA306" i="16" s="1"/>
  <c r="AK306" i="16" s="1"/>
  <c r="AM305" i="16"/>
  <c r="AN305" i="16" s="1"/>
  <c r="AO305" i="16" s="1"/>
  <c r="AP305" i="16" s="1"/>
  <c r="AR305" i="16" s="1"/>
  <c r="E282" i="14"/>
  <c r="F282" i="14" s="1"/>
  <c r="H282" i="14" s="1"/>
  <c r="AD703" i="15"/>
  <c r="BD284" i="16"/>
  <c r="AJ369" i="15"/>
  <c r="BQ283" i="16"/>
  <c r="E367" i="16"/>
  <c r="L367" i="16" s="1"/>
  <c r="P367" i="16"/>
  <c r="Q367" i="16" s="1"/>
  <c r="S367" i="16" s="1"/>
  <c r="Y306" i="16" l="1"/>
  <c r="AB306" i="16" s="1"/>
  <c r="AF306" i="16" s="1"/>
  <c r="AQ305" i="16"/>
  <c r="BJ284" i="16"/>
  <c r="BK284" i="16"/>
  <c r="BE284" i="16"/>
  <c r="BF284" i="16" s="1"/>
  <c r="N367" i="16"/>
  <c r="M368" i="16" s="1"/>
  <c r="Z306" i="16" l="1"/>
  <c r="U307" i="16" s="1"/>
  <c r="AC307" i="16" s="1"/>
  <c r="AD307" i="16" s="1"/>
  <c r="AE307" i="16" s="1"/>
  <c r="AG306" i="16"/>
  <c r="BI284" i="16"/>
  <c r="BG284" i="16"/>
  <c r="BL284" i="16"/>
  <c r="BM284" i="16" s="1"/>
  <c r="O367" i="16"/>
  <c r="E368" i="16"/>
  <c r="L368" i="16" s="1"/>
  <c r="W307" i="16" l="1"/>
  <c r="Y307" i="16" s="1"/>
  <c r="AB307" i="16" s="1"/>
  <c r="AF307" i="16" s="1"/>
  <c r="AG307" i="16" s="1"/>
  <c r="AH307" i="16" s="1"/>
  <c r="AS307" i="16" s="1"/>
  <c r="AT307" i="16" s="1"/>
  <c r="AL306" i="16"/>
  <c r="AY306" i="16" s="1"/>
  <c r="AH306" i="16"/>
  <c r="AS306" i="16" s="1"/>
  <c r="BC285" i="16"/>
  <c r="BH285" i="16" s="1"/>
  <c r="BO284" i="16"/>
  <c r="BP284" i="16" s="1"/>
  <c r="BN284" i="16"/>
  <c r="N368" i="16"/>
  <c r="M369" i="16" s="1"/>
  <c r="P368" i="16"/>
  <c r="Z307" i="16" l="1"/>
  <c r="U308" i="16" s="1"/>
  <c r="AC308" i="16" s="1"/>
  <c r="AA307" i="16"/>
  <c r="AK307" i="16" s="1"/>
  <c r="AM306" i="16"/>
  <c r="AN306" i="16" s="1"/>
  <c r="AO306" i="16" s="1"/>
  <c r="AP306" i="16" s="1"/>
  <c r="AQ306" i="16" s="1"/>
  <c r="AT306" i="16"/>
  <c r="AW306" i="16" s="1"/>
  <c r="AU306" i="16"/>
  <c r="AV306" i="16" s="1"/>
  <c r="AU307" i="16" s="1"/>
  <c r="AV307" i="16" s="1"/>
  <c r="AL307" i="16"/>
  <c r="AY307" i="16" s="1"/>
  <c r="BD285" i="16"/>
  <c r="E283" i="14"/>
  <c r="F283" i="14" s="1"/>
  <c r="H283" i="14" s="1"/>
  <c r="AD704" i="15"/>
  <c r="AJ370" i="15"/>
  <c r="BQ284" i="16"/>
  <c r="Q368" i="16"/>
  <c r="S368" i="16" s="1"/>
  <c r="O368" i="16"/>
  <c r="AR306" i="16" l="1"/>
  <c r="AM307" i="16"/>
  <c r="AN307" i="16" s="1"/>
  <c r="AO307" i="16" s="1"/>
  <c r="AX306" i="16"/>
  <c r="AZ306" i="16" s="1"/>
  <c r="AD308" i="16"/>
  <c r="W308" i="16"/>
  <c r="AA308" i="16" s="1"/>
  <c r="AK308" i="16" s="1"/>
  <c r="BJ285" i="16"/>
  <c r="BK285" i="16"/>
  <c r="BE285" i="16"/>
  <c r="BF285" i="16" s="1"/>
  <c r="P369" i="16"/>
  <c r="E369" i="16"/>
  <c r="L369" i="16" s="1"/>
  <c r="AW307" i="16" l="1"/>
  <c r="AX307" i="16" s="1"/>
  <c r="AZ307" i="16" s="1"/>
  <c r="Y308" i="16"/>
  <c r="AB308" i="16" s="1"/>
  <c r="AP307" i="16"/>
  <c r="AQ307" i="16" s="1"/>
  <c r="AE308" i="16"/>
  <c r="BI285" i="16"/>
  <c r="BG285" i="16"/>
  <c r="BL285" i="16"/>
  <c r="BM285" i="16" s="1"/>
  <c r="N369" i="16"/>
  <c r="M370" i="16" s="1"/>
  <c r="Q369" i="16"/>
  <c r="S369" i="16" s="1"/>
  <c r="Z308" i="16" l="1"/>
  <c r="U309" i="16" s="1"/>
  <c r="AC309" i="16" s="1"/>
  <c r="AR307" i="16"/>
  <c r="AF308" i="16"/>
  <c r="AG308" i="16" s="1"/>
  <c r="AH308" i="16" s="1"/>
  <c r="AS308" i="16" s="1"/>
  <c r="BC286" i="16"/>
  <c r="BH286" i="16" s="1"/>
  <c r="BO285" i="16"/>
  <c r="BP285" i="16" s="1"/>
  <c r="BN285" i="16"/>
  <c r="O369" i="16"/>
  <c r="AU308" i="16" l="1"/>
  <c r="AV308" i="16" s="1"/>
  <c r="AT308" i="16"/>
  <c r="AW308" i="16" s="1"/>
  <c r="AX308" i="16" s="1"/>
  <c r="AZ308" i="16" s="1"/>
  <c r="AL308" i="16"/>
  <c r="AY308" i="16" s="1"/>
  <c r="AD309" i="16"/>
  <c r="W309" i="16"/>
  <c r="AA309" i="16" s="1"/>
  <c r="AK309" i="16" s="1"/>
  <c r="BD286" i="16"/>
  <c r="BE286" i="16" s="1"/>
  <c r="BF286" i="16" s="1"/>
  <c r="E284" i="14"/>
  <c r="F284" i="14" s="1"/>
  <c r="H284" i="14" s="1"/>
  <c r="AD705" i="15"/>
  <c r="AJ371" i="15"/>
  <c r="BQ285" i="16"/>
  <c r="E370" i="16"/>
  <c r="L370" i="16" s="1"/>
  <c r="P370" i="16"/>
  <c r="AM308" i="16" l="1"/>
  <c r="AN308" i="16" s="1"/>
  <c r="AO308" i="16" s="1"/>
  <c r="AP308" i="16" s="1"/>
  <c r="AQ308" i="16" s="1"/>
  <c r="Y309" i="16"/>
  <c r="AB309" i="16" s="1"/>
  <c r="AE309" i="16"/>
  <c r="BI286" i="16"/>
  <c r="BG286" i="16"/>
  <c r="BJ286" i="16"/>
  <c r="BK286" i="16"/>
  <c r="Q370" i="16"/>
  <c r="S370" i="16" s="1"/>
  <c r="N370" i="16"/>
  <c r="M371" i="16" s="1"/>
  <c r="Z309" i="16" l="1"/>
  <c r="U310" i="16" s="1"/>
  <c r="AC310" i="16" s="1"/>
  <c r="AF309" i="16"/>
  <c r="AG309" i="16" s="1"/>
  <c r="AH309" i="16" s="1"/>
  <c r="AS309" i="16" s="1"/>
  <c r="AR308" i="16"/>
  <c r="BL286" i="16"/>
  <c r="BM286" i="16" s="1"/>
  <c r="BC287" i="16"/>
  <c r="BH287" i="16" s="1"/>
  <c r="BO286" i="16"/>
  <c r="BP286" i="16" s="1"/>
  <c r="O370" i="16"/>
  <c r="E371" i="16"/>
  <c r="L371" i="16" s="1"/>
  <c r="AT309" i="16" l="1"/>
  <c r="AW309" i="16" s="1"/>
  <c r="AX309" i="16" s="1"/>
  <c r="AZ309" i="16" s="1"/>
  <c r="AU309" i="16"/>
  <c r="AV309" i="16" s="1"/>
  <c r="AL309" i="16"/>
  <c r="AY309" i="16" s="1"/>
  <c r="AD310" i="16"/>
  <c r="BN286" i="16"/>
  <c r="AD707" i="15" s="1"/>
  <c r="W310" i="16"/>
  <c r="AA310" i="16" s="1"/>
  <c r="AK310" i="16" s="1"/>
  <c r="AJ372" i="15"/>
  <c r="BD287" i="16"/>
  <c r="N371" i="16"/>
  <c r="M372" i="16" s="1"/>
  <c r="P371" i="16"/>
  <c r="AM309" i="16" l="1"/>
  <c r="AN309" i="16" s="1"/>
  <c r="AO309" i="16" s="1"/>
  <c r="AP309" i="16" s="1"/>
  <c r="AQ309" i="16" s="1"/>
  <c r="BQ286" i="16"/>
  <c r="E285" i="14"/>
  <c r="F285" i="14" s="1"/>
  <c r="H285" i="14" s="1"/>
  <c r="Y310" i="16"/>
  <c r="AE310" i="16"/>
  <c r="BJ287" i="16"/>
  <c r="BK287" i="16"/>
  <c r="BE287" i="16"/>
  <c r="BF287" i="16" s="1"/>
  <c r="Q371" i="16"/>
  <c r="S371" i="16" s="1"/>
  <c r="O371" i="16"/>
  <c r="AR309" i="16" l="1"/>
  <c r="AB310" i="16"/>
  <c r="Z310" i="16"/>
  <c r="BI287" i="16"/>
  <c r="BG287" i="16"/>
  <c r="BL287" i="16"/>
  <c r="BM287" i="16" s="1"/>
  <c r="E372" i="16"/>
  <c r="L372" i="16" s="1"/>
  <c r="P372" i="16"/>
  <c r="U311" i="16" l="1"/>
  <c r="AC311" i="16" s="1"/>
  <c r="AF310" i="16"/>
  <c r="AG310" i="16" s="1"/>
  <c r="AH310" i="16" s="1"/>
  <c r="AS310" i="16" s="1"/>
  <c r="BC288" i="16"/>
  <c r="BH288" i="16" s="1"/>
  <c r="BO287" i="16"/>
  <c r="BP287" i="16" s="1"/>
  <c r="BN287" i="16"/>
  <c r="Q372" i="16"/>
  <c r="S372" i="16" s="1"/>
  <c r="N372" i="16"/>
  <c r="M373" i="16" s="1"/>
  <c r="AT310" i="16" l="1"/>
  <c r="AW310" i="16" s="1"/>
  <c r="AX310" i="16" s="1"/>
  <c r="AZ310" i="16" s="1"/>
  <c r="AU310" i="16"/>
  <c r="AV310" i="16" s="1"/>
  <c r="AL310" i="16"/>
  <c r="AY310" i="16" s="1"/>
  <c r="W311" i="16"/>
  <c r="AA311" i="16" s="1"/>
  <c r="AK311" i="16" s="1"/>
  <c r="AD311" i="16"/>
  <c r="E286" i="14"/>
  <c r="F286" i="14" s="1"/>
  <c r="H286" i="14" s="1"/>
  <c r="AD709" i="15"/>
  <c r="BD288" i="16"/>
  <c r="BE288" i="16" s="1"/>
  <c r="BF288" i="16" s="1"/>
  <c r="AJ373" i="15"/>
  <c r="BQ287" i="16"/>
  <c r="O372" i="16"/>
  <c r="AM310" i="16" l="1"/>
  <c r="AN310" i="16" s="1"/>
  <c r="AO310" i="16" s="1"/>
  <c r="Y311" i="16"/>
  <c r="AB311" i="16" s="1"/>
  <c r="AE311" i="16"/>
  <c r="BI288" i="16"/>
  <c r="BG288" i="16"/>
  <c r="BJ288" i="16"/>
  <c r="BK288" i="16"/>
  <c r="E373" i="16"/>
  <c r="L373" i="16" s="1"/>
  <c r="P373" i="16"/>
  <c r="Z311" i="16" l="1"/>
  <c r="U312" i="16" s="1"/>
  <c r="AC312" i="16" s="1"/>
  <c r="AF311" i="16"/>
  <c r="AG311" i="16" s="1"/>
  <c r="AH311" i="16" s="1"/>
  <c r="AS311" i="16" s="1"/>
  <c r="AP310" i="16"/>
  <c r="AR310" i="16" s="1"/>
  <c r="BL288" i="16"/>
  <c r="BM288" i="16" s="1"/>
  <c r="BC289" i="16"/>
  <c r="BO288" i="16"/>
  <c r="BP288" i="16" s="1"/>
  <c r="Q373" i="16"/>
  <c r="S373" i="16" s="1"/>
  <c r="N373" i="16"/>
  <c r="M374" i="16" s="1"/>
  <c r="AT311" i="16" l="1"/>
  <c r="AW311" i="16" s="1"/>
  <c r="AX311" i="16" s="1"/>
  <c r="AZ311" i="16" s="1"/>
  <c r="AU311" i="16"/>
  <c r="AV311" i="16" s="1"/>
  <c r="AL311" i="16"/>
  <c r="AM311" i="16" s="1"/>
  <c r="AN311" i="16" s="1"/>
  <c r="AO311" i="16" s="1"/>
  <c r="BN288" i="16"/>
  <c r="E287" i="14" s="1"/>
  <c r="F287" i="14" s="1"/>
  <c r="H287" i="14" s="1"/>
  <c r="AQ310" i="16"/>
  <c r="AD312" i="16"/>
  <c r="W312" i="16"/>
  <c r="AA312" i="16" s="1"/>
  <c r="AK312" i="16" s="1"/>
  <c r="BH289" i="16"/>
  <c r="BD289" i="16"/>
  <c r="BE289" i="16" s="1"/>
  <c r="AJ374" i="15"/>
  <c r="O373" i="16"/>
  <c r="AY311" i="16" l="1"/>
  <c r="BQ288" i="16"/>
  <c r="AD710" i="15"/>
  <c r="AP311" i="16"/>
  <c r="AR311" i="16" s="1"/>
  <c r="Y312" i="16"/>
  <c r="AE312" i="16"/>
  <c r="BF289" i="16"/>
  <c r="BJ289" i="16"/>
  <c r="BK289" i="16"/>
  <c r="E374" i="16"/>
  <c r="P374" i="16"/>
  <c r="AQ311" i="16" l="1"/>
  <c r="AB312" i="16"/>
  <c r="Z312" i="16"/>
  <c r="BL289" i="16"/>
  <c r="BM289" i="16" s="1"/>
  <c r="BI289" i="16"/>
  <c r="BG289" i="16"/>
  <c r="L374" i="16"/>
  <c r="N374" i="16" s="1"/>
  <c r="M375" i="16" s="1"/>
  <c r="Q374" i="16"/>
  <c r="S374" i="16" s="1"/>
  <c r="U313" i="16" l="1"/>
  <c r="AC313" i="16" s="1"/>
  <c r="AF312" i="16"/>
  <c r="AG312" i="16" s="1"/>
  <c r="AH312" i="16" s="1"/>
  <c r="AS312" i="16" s="1"/>
  <c r="BC290" i="16"/>
  <c r="BH290" i="16" s="1"/>
  <c r="BO289" i="16"/>
  <c r="BP289" i="16" s="1"/>
  <c r="BN289" i="16"/>
  <c r="O374" i="16"/>
  <c r="AT312" i="16" l="1"/>
  <c r="AW312" i="16" s="1"/>
  <c r="AX312" i="16" s="1"/>
  <c r="AZ312" i="16" s="1"/>
  <c r="AU312" i="16"/>
  <c r="AV312" i="16" s="1"/>
  <c r="AL312" i="16"/>
  <c r="AY312" i="16" s="1"/>
  <c r="BD290" i="16"/>
  <c r="BK290" i="16" s="1"/>
  <c r="W313" i="16"/>
  <c r="AA313" i="16" s="1"/>
  <c r="AK313" i="16" s="1"/>
  <c r="AD313" i="16"/>
  <c r="E288" i="14"/>
  <c r="F288" i="14" s="1"/>
  <c r="H288" i="14" s="1"/>
  <c r="AD686" i="15"/>
  <c r="AJ375" i="15"/>
  <c r="BQ289" i="16"/>
  <c r="E375" i="16"/>
  <c r="L375" i="16" s="1"/>
  <c r="P375" i="16"/>
  <c r="AM312" i="16" l="1"/>
  <c r="AN312" i="16" s="1"/>
  <c r="AO312" i="16" s="1"/>
  <c r="BJ290" i="16"/>
  <c r="BE290" i="16"/>
  <c r="BF290" i="16" s="1"/>
  <c r="BI290" i="16" s="1"/>
  <c r="Y313" i="16"/>
  <c r="AB313" i="16" s="1"/>
  <c r="AE313" i="16"/>
  <c r="BL290" i="16"/>
  <c r="BM290" i="16" s="1"/>
  <c r="Q375" i="16"/>
  <c r="S375" i="16" s="1"/>
  <c r="N375" i="16"/>
  <c r="M376" i="16" s="1"/>
  <c r="BG290" i="16" l="1"/>
  <c r="BC291" i="16" s="1"/>
  <c r="BH291" i="16" s="1"/>
  <c r="AF313" i="16"/>
  <c r="AG313" i="16" s="1"/>
  <c r="AH313" i="16" s="1"/>
  <c r="AS313" i="16" s="1"/>
  <c r="Z313" i="16"/>
  <c r="U314" i="16" s="1"/>
  <c r="AC314" i="16" s="1"/>
  <c r="AD314" i="16" s="1"/>
  <c r="AE314" i="16" s="1"/>
  <c r="AP312" i="16"/>
  <c r="AR312" i="16" s="1"/>
  <c r="BO290" i="16"/>
  <c r="BP290" i="16" s="1"/>
  <c r="BN290" i="16"/>
  <c r="O375" i="16"/>
  <c r="W314" i="16" l="1"/>
  <c r="Y314" i="16" s="1"/>
  <c r="AB314" i="16" s="1"/>
  <c r="AF314" i="16" s="1"/>
  <c r="AT313" i="16"/>
  <c r="AW313" i="16" s="1"/>
  <c r="AX313" i="16" s="1"/>
  <c r="AZ313" i="16" s="1"/>
  <c r="AU313" i="16"/>
  <c r="AV313" i="16" s="1"/>
  <c r="AL313" i="16"/>
  <c r="AQ312" i="16"/>
  <c r="AD708" i="15"/>
  <c r="E289" i="14"/>
  <c r="F289" i="14" s="1"/>
  <c r="H289" i="14" s="1"/>
  <c r="AJ376" i="15"/>
  <c r="BQ290" i="16"/>
  <c r="BD291" i="16"/>
  <c r="BE291" i="16" s="1"/>
  <c r="E376" i="16"/>
  <c r="P376" i="16"/>
  <c r="Z314" i="16" l="1"/>
  <c r="U315" i="16" s="1"/>
  <c r="AC315" i="16" s="1"/>
  <c r="AA314" i="16"/>
  <c r="AK314" i="16" s="1"/>
  <c r="AY313" i="16"/>
  <c r="AM313" i="16"/>
  <c r="AN313" i="16" s="1"/>
  <c r="AO313" i="16" s="1"/>
  <c r="AP313" i="16" s="1"/>
  <c r="AQ313" i="16" s="1"/>
  <c r="AG314" i="16"/>
  <c r="AL314" i="16" s="1"/>
  <c r="AY314" i="16" s="1"/>
  <c r="BF291" i="16"/>
  <c r="BI291" i="16" s="1"/>
  <c r="BJ291" i="16"/>
  <c r="BK291" i="16"/>
  <c r="L376" i="16"/>
  <c r="Q376" i="16"/>
  <c r="S376" i="16" s="1"/>
  <c r="AM314" i="16" l="1"/>
  <c r="AH314" i="16"/>
  <c r="AS314" i="16" s="1"/>
  <c r="AR313" i="16"/>
  <c r="W315" i="16"/>
  <c r="AA315" i="16" s="1"/>
  <c r="AK315" i="16" s="1"/>
  <c r="AN314" i="16"/>
  <c r="AO314" i="16" s="1"/>
  <c r="BG291" i="16"/>
  <c r="BC292" i="16" s="1"/>
  <c r="AD315" i="16"/>
  <c r="BL291" i="16"/>
  <c r="BM291" i="16" s="1"/>
  <c r="BO291" i="16"/>
  <c r="BP291" i="16" s="1"/>
  <c r="N376" i="16"/>
  <c r="M377" i="16" s="1"/>
  <c r="AU314" i="16" l="1"/>
  <c r="AV314" i="16" s="1"/>
  <c r="AT314" i="16"/>
  <c r="AW314" i="16" s="1"/>
  <c r="AX314" i="16" s="1"/>
  <c r="AZ314" i="16" s="1"/>
  <c r="O376" i="16"/>
  <c r="BN291" i="16"/>
  <c r="BQ291" i="16" s="1"/>
  <c r="Y315" i="16"/>
  <c r="AB315" i="16" s="1"/>
  <c r="AP314" i="16"/>
  <c r="AR314" i="16" s="1"/>
  <c r="AE315" i="16"/>
  <c r="BD292" i="16"/>
  <c r="BH292" i="16"/>
  <c r="AJ94" i="15"/>
  <c r="E377" i="16"/>
  <c r="L377" i="16" s="1"/>
  <c r="P377" i="16"/>
  <c r="AQ314" i="16" l="1"/>
  <c r="AF315" i="16"/>
  <c r="AG315" i="16" s="1"/>
  <c r="AH315" i="16" s="1"/>
  <c r="AS315" i="16" s="1"/>
  <c r="AT315" i="16" s="1"/>
  <c r="AW315" i="16" s="1"/>
  <c r="AX315" i="16" s="1"/>
  <c r="AZ315" i="16" s="1"/>
  <c r="Z315" i="16"/>
  <c r="U316" i="16" s="1"/>
  <c r="AC316" i="16" s="1"/>
  <c r="E290" i="14"/>
  <c r="F290" i="14" s="1"/>
  <c r="H290" i="14" s="1"/>
  <c r="AD597" i="15"/>
  <c r="BJ292" i="16"/>
  <c r="BK292" i="16"/>
  <c r="BE292" i="16"/>
  <c r="BF292" i="16" s="1"/>
  <c r="Q377" i="16"/>
  <c r="S377" i="16" s="1"/>
  <c r="N377" i="16"/>
  <c r="M378" i="16" s="1"/>
  <c r="AU315" i="16" l="1"/>
  <c r="AV315" i="16" s="1"/>
  <c r="AL315" i="16"/>
  <c r="AY315" i="16" s="1"/>
  <c r="W316" i="16"/>
  <c r="AA316" i="16" s="1"/>
  <c r="AK316" i="16" s="1"/>
  <c r="AD316" i="16"/>
  <c r="AE316" i="16" s="1"/>
  <c r="BI292" i="16"/>
  <c r="BG292" i="16"/>
  <c r="BL292" i="16"/>
  <c r="BM292" i="16" s="1"/>
  <c r="O377" i="16"/>
  <c r="AM315" i="16" l="1"/>
  <c r="AN315" i="16" s="1"/>
  <c r="AO315" i="16" s="1"/>
  <c r="AP315" i="16" s="1"/>
  <c r="AR315" i="16" s="1"/>
  <c r="Y316" i="16"/>
  <c r="AB316" i="16" s="1"/>
  <c r="BC293" i="16"/>
  <c r="BH293" i="16" s="1"/>
  <c r="BN292" i="16"/>
  <c r="BO292" i="16"/>
  <c r="BP292" i="16" s="1"/>
  <c r="E378" i="16"/>
  <c r="P378" i="16"/>
  <c r="AQ315" i="16" l="1"/>
  <c r="AF316" i="16"/>
  <c r="AG316" i="16" s="1"/>
  <c r="AH316" i="16" s="1"/>
  <c r="AS316" i="16" s="1"/>
  <c r="Z316" i="16"/>
  <c r="U317" i="16" s="1"/>
  <c r="AC317" i="16" s="1"/>
  <c r="AD317" i="16" s="1"/>
  <c r="AJ377" i="15"/>
  <c r="BQ292" i="16"/>
  <c r="E291" i="14"/>
  <c r="F291" i="14" s="1"/>
  <c r="H291" i="14" s="1"/>
  <c r="AD573" i="15"/>
  <c r="BD293" i="16"/>
  <c r="L378" i="16"/>
  <c r="Q378" i="16"/>
  <c r="S378" i="16" s="1"/>
  <c r="AU316" i="16" l="1"/>
  <c r="AV316" i="16" s="1"/>
  <c r="AT316" i="16"/>
  <c r="AW316" i="16" s="1"/>
  <c r="AX316" i="16" s="1"/>
  <c r="AZ316" i="16" s="1"/>
  <c r="W317" i="16"/>
  <c r="Y317" i="16" s="1"/>
  <c r="AB317" i="16" s="1"/>
  <c r="AL316" i="16"/>
  <c r="AE317" i="16"/>
  <c r="N378" i="16"/>
  <c r="M379" i="16" s="1"/>
  <c r="BJ293" i="16"/>
  <c r="BK293" i="16"/>
  <c r="BE293" i="16"/>
  <c r="BF293" i="16" s="1"/>
  <c r="AA317" i="16" l="1"/>
  <c r="AK317" i="16" s="1"/>
  <c r="AY316" i="16"/>
  <c r="AM316" i="16"/>
  <c r="AN316" i="16" s="1"/>
  <c r="AO316" i="16" s="1"/>
  <c r="AP316" i="16" s="1"/>
  <c r="AR316" i="16" s="1"/>
  <c r="O378" i="16"/>
  <c r="AF317" i="16"/>
  <c r="AG317" i="16" s="1"/>
  <c r="AH317" i="16" s="1"/>
  <c r="AS317" i="16" s="1"/>
  <c r="AT317" i="16" s="1"/>
  <c r="AW317" i="16" s="1"/>
  <c r="AX317" i="16" s="1"/>
  <c r="AZ317" i="16" s="1"/>
  <c r="Z317" i="16"/>
  <c r="BL293" i="16"/>
  <c r="BM293" i="16" s="1"/>
  <c r="BI293" i="16"/>
  <c r="BG293" i="16"/>
  <c r="E379" i="16"/>
  <c r="L379" i="16" s="1"/>
  <c r="P379" i="16"/>
  <c r="AU317" i="16" l="1"/>
  <c r="AV317" i="16" s="1"/>
  <c r="AL317" i="16"/>
  <c r="AM317" i="16" s="1"/>
  <c r="AQ316" i="16"/>
  <c r="U318" i="16"/>
  <c r="AC318" i="16" s="1"/>
  <c r="BC294" i="16"/>
  <c r="BH294" i="16" s="1"/>
  <c r="BO293" i="16"/>
  <c r="BP293" i="16" s="1"/>
  <c r="BN293" i="16"/>
  <c r="Q379" i="16"/>
  <c r="S379" i="16" s="1"/>
  <c r="N379" i="16"/>
  <c r="M380" i="16" s="1"/>
  <c r="AY317" i="16" l="1"/>
  <c r="W318" i="16"/>
  <c r="AA318" i="16" s="1"/>
  <c r="AK318" i="16" s="1"/>
  <c r="AN317" i="16"/>
  <c r="AO317" i="16" s="1"/>
  <c r="AD318" i="16"/>
  <c r="AJ41" i="15"/>
  <c r="BQ293" i="16"/>
  <c r="AD340" i="15"/>
  <c r="E292" i="14"/>
  <c r="F292" i="14" s="1"/>
  <c r="H292" i="14" s="1"/>
  <c r="BD294" i="16"/>
  <c r="O379" i="16"/>
  <c r="Y318" i="16" l="1"/>
  <c r="AB318" i="16" s="1"/>
  <c r="AE318" i="16"/>
  <c r="AP317" i="16"/>
  <c r="AR317" i="16" s="1"/>
  <c r="BJ294" i="16"/>
  <c r="BK294" i="16"/>
  <c r="BE294" i="16"/>
  <c r="BF294" i="16" s="1"/>
  <c r="E380" i="16"/>
  <c r="L380" i="16" s="1"/>
  <c r="P380" i="16"/>
  <c r="AF318" i="16" l="1"/>
  <c r="AG318" i="16" s="1"/>
  <c r="AH318" i="16" s="1"/>
  <c r="AS318" i="16" s="1"/>
  <c r="AU318" i="16" s="1"/>
  <c r="AV318" i="16" s="1"/>
  <c r="Z318" i="16"/>
  <c r="U319" i="16" s="1"/>
  <c r="AC319" i="16" s="1"/>
  <c r="AD319" i="16" s="1"/>
  <c r="AQ317" i="16"/>
  <c r="BI294" i="16"/>
  <c r="BG294" i="16"/>
  <c r="BL294" i="16"/>
  <c r="BM294" i="16" s="1"/>
  <c r="Q380" i="16"/>
  <c r="S380" i="16" s="1"/>
  <c r="N380" i="16"/>
  <c r="M381" i="16" s="1"/>
  <c r="AT318" i="16" l="1"/>
  <c r="AW318" i="16" s="1"/>
  <c r="AX318" i="16" s="1"/>
  <c r="AZ318" i="16" s="1"/>
  <c r="AL318" i="16"/>
  <c r="AE319" i="16"/>
  <c r="W319" i="16"/>
  <c r="AA319" i="16" s="1"/>
  <c r="AK319" i="16" s="1"/>
  <c r="BC295" i="16"/>
  <c r="BH295" i="16" s="1"/>
  <c r="BN294" i="16"/>
  <c r="BO294" i="16"/>
  <c r="BP294" i="16" s="1"/>
  <c r="O380" i="16"/>
  <c r="AM318" i="16" l="1"/>
  <c r="AN318" i="16" s="1"/>
  <c r="AO318" i="16" s="1"/>
  <c r="AY318" i="16"/>
  <c r="BD295" i="16"/>
  <c r="BJ295" i="16" s="1"/>
  <c r="Y319" i="16"/>
  <c r="AB319" i="16" s="1"/>
  <c r="AP318" i="16"/>
  <c r="AQ318" i="16" s="1"/>
  <c r="AD322" i="15"/>
  <c r="E293" i="14"/>
  <c r="F293" i="14" s="1"/>
  <c r="H293" i="14" s="1"/>
  <c r="AJ112" i="15"/>
  <c r="BQ294" i="16"/>
  <c r="E381" i="16"/>
  <c r="L381" i="16" s="1"/>
  <c r="P381" i="16"/>
  <c r="BK295" i="16" l="1"/>
  <c r="BL295" i="16" s="1"/>
  <c r="BM295" i="16" s="1"/>
  <c r="BE295" i="16"/>
  <c r="BF295" i="16" s="1"/>
  <c r="BI295" i="16" s="1"/>
  <c r="Z319" i="16"/>
  <c r="U320" i="16" s="1"/>
  <c r="AC320" i="16" s="1"/>
  <c r="AR318" i="16"/>
  <c r="AF319" i="16"/>
  <c r="Q381" i="16"/>
  <c r="S381" i="16" s="1"/>
  <c r="N381" i="16"/>
  <c r="M382" i="16" s="1"/>
  <c r="AG319" i="16" l="1"/>
  <c r="AL319" i="16" s="1"/>
  <c r="AY319" i="16" s="1"/>
  <c r="BG295" i="16"/>
  <c r="BC296" i="16" s="1"/>
  <c r="BH296" i="16" s="1"/>
  <c r="W320" i="16"/>
  <c r="AA320" i="16" s="1"/>
  <c r="AK320" i="16" s="1"/>
  <c r="AD320" i="16"/>
  <c r="BO295" i="16"/>
  <c r="BP295" i="16" s="1"/>
  <c r="BN295" i="16"/>
  <c r="O381" i="16"/>
  <c r="AM319" i="16" l="1"/>
  <c r="AH319" i="16"/>
  <c r="AS319" i="16" s="1"/>
  <c r="Y320" i="16"/>
  <c r="AB320" i="16" s="1"/>
  <c r="AE320" i="16"/>
  <c r="AN319" i="16"/>
  <c r="AO319" i="16" s="1"/>
  <c r="AD207" i="15"/>
  <c r="E294" i="14"/>
  <c r="F294" i="14" s="1"/>
  <c r="H294" i="14" s="1"/>
  <c r="BD296" i="16"/>
  <c r="AJ64" i="15"/>
  <c r="BQ295" i="16"/>
  <c r="E382" i="16"/>
  <c r="L382" i="16" s="1"/>
  <c r="P382" i="16"/>
  <c r="AF320" i="16" l="1"/>
  <c r="AU319" i="16"/>
  <c r="AV319" i="16" s="1"/>
  <c r="AT319" i="16"/>
  <c r="AW319" i="16" s="1"/>
  <c r="AX319" i="16" s="1"/>
  <c r="AZ319" i="16" s="1"/>
  <c r="AG320" i="16"/>
  <c r="AH320" i="16" s="1"/>
  <c r="AS320" i="16" s="1"/>
  <c r="Z320" i="16"/>
  <c r="U321" i="16" s="1"/>
  <c r="AC321" i="16" s="1"/>
  <c r="AP319" i="16"/>
  <c r="AR319" i="16" s="1"/>
  <c r="BJ296" i="16"/>
  <c r="BK296" i="16"/>
  <c r="BE296" i="16"/>
  <c r="BF296" i="16" s="1"/>
  <c r="Q382" i="16"/>
  <c r="S382" i="16" s="1"/>
  <c r="N382" i="16"/>
  <c r="M383" i="16" s="1"/>
  <c r="AU320" i="16" l="1"/>
  <c r="AV320" i="16" s="1"/>
  <c r="AT320" i="16"/>
  <c r="AW320" i="16" s="1"/>
  <c r="AX320" i="16" s="1"/>
  <c r="AZ320" i="16" s="1"/>
  <c r="AL320" i="16"/>
  <c r="AY320" i="16" s="1"/>
  <c r="W321" i="16"/>
  <c r="AA321" i="16" s="1"/>
  <c r="AK321" i="16" s="1"/>
  <c r="AD321" i="16"/>
  <c r="AE321" i="16" s="1"/>
  <c r="AQ319" i="16"/>
  <c r="BI296" i="16"/>
  <c r="BG296" i="16"/>
  <c r="BL296" i="16"/>
  <c r="BM296" i="16" s="1"/>
  <c r="O382" i="16"/>
  <c r="AM320" i="16" l="1"/>
  <c r="AN320" i="16" s="1"/>
  <c r="AO320" i="16" s="1"/>
  <c r="AP320" i="16" s="1"/>
  <c r="AR320" i="16" s="1"/>
  <c r="Y321" i="16"/>
  <c r="AB321" i="16" s="1"/>
  <c r="BC297" i="16"/>
  <c r="BH297" i="16" s="1"/>
  <c r="BO296" i="16"/>
  <c r="BP296" i="16" s="1"/>
  <c r="BN296" i="16"/>
  <c r="E383" i="16"/>
  <c r="P383" i="16"/>
  <c r="AF321" i="16" l="1"/>
  <c r="AG321" i="16" s="1"/>
  <c r="AH321" i="16" s="1"/>
  <c r="AS321" i="16" s="1"/>
  <c r="Z321" i="16"/>
  <c r="U322" i="16" s="1"/>
  <c r="AC322" i="16" s="1"/>
  <c r="AQ320" i="16"/>
  <c r="BD297" i="16"/>
  <c r="BJ297" i="16" s="1"/>
  <c r="AJ378" i="15"/>
  <c r="BQ296" i="16"/>
  <c r="E295" i="14"/>
  <c r="F295" i="14" s="1"/>
  <c r="H295" i="14" s="1"/>
  <c r="AD252" i="15"/>
  <c r="L383" i="16"/>
  <c r="N383" i="16" s="1"/>
  <c r="M384" i="16" s="1"/>
  <c r="Q383" i="16"/>
  <c r="S383" i="16" s="1"/>
  <c r="AT321" i="16" l="1"/>
  <c r="AW321" i="16" s="1"/>
  <c r="AX321" i="16" s="1"/>
  <c r="AZ321" i="16" s="1"/>
  <c r="AU321" i="16"/>
  <c r="AV321" i="16" s="1"/>
  <c r="AL321" i="16"/>
  <c r="BK297" i="16"/>
  <c r="BL297" i="16" s="1"/>
  <c r="BM297" i="16" s="1"/>
  <c r="BE297" i="16"/>
  <c r="BF297" i="16" s="1"/>
  <c r="BI297" i="16" s="1"/>
  <c r="AD322" i="16"/>
  <c r="W322" i="16"/>
  <c r="AA322" i="16" s="1"/>
  <c r="AK322" i="16" s="1"/>
  <c r="O383" i="16"/>
  <c r="P384" i="16"/>
  <c r="Q384" i="16" s="1"/>
  <c r="S384" i="16" s="1"/>
  <c r="E384" i="16"/>
  <c r="L384" i="16" s="1"/>
  <c r="AY321" i="16" l="1"/>
  <c r="AM321" i="16"/>
  <c r="AN321" i="16" s="1"/>
  <c r="BG297" i="16"/>
  <c r="BC298" i="16" s="1"/>
  <c r="BH298" i="16" s="1"/>
  <c r="AE322" i="16"/>
  <c r="Y322" i="16"/>
  <c r="BO297" i="16"/>
  <c r="BP297" i="16" s="1"/>
  <c r="BN297" i="16"/>
  <c r="N384" i="16"/>
  <c r="M385" i="16" s="1"/>
  <c r="AO321" i="16" l="1"/>
  <c r="AP321" i="16" s="1"/>
  <c r="AR321" i="16" s="1"/>
  <c r="BD298" i="16"/>
  <c r="BK298" i="16" s="1"/>
  <c r="AB322" i="16"/>
  <c r="Z322" i="16"/>
  <c r="AD290" i="15"/>
  <c r="E296" i="14"/>
  <c r="F296" i="14" s="1"/>
  <c r="H296" i="14" s="1"/>
  <c r="AJ379" i="15"/>
  <c r="BQ297" i="16"/>
  <c r="O384" i="16"/>
  <c r="BE298" i="16" l="1"/>
  <c r="BF298" i="16" s="1"/>
  <c r="BI298" i="16" s="1"/>
  <c r="BJ298" i="16"/>
  <c r="AQ321" i="16"/>
  <c r="U323" i="16"/>
  <c r="AC323" i="16" s="1"/>
  <c r="AF322" i="16"/>
  <c r="AG322" i="16" s="1"/>
  <c r="AH322" i="16" s="1"/>
  <c r="AS322" i="16" s="1"/>
  <c r="BL298" i="16"/>
  <c r="BM298" i="16" s="1"/>
  <c r="E385" i="16"/>
  <c r="L385" i="16" s="1"/>
  <c r="P385" i="16"/>
  <c r="BG298" i="16" l="1"/>
  <c r="AL322" i="16"/>
  <c r="AM322" i="16" s="1"/>
  <c r="AT322" i="16"/>
  <c r="AW322" i="16" s="1"/>
  <c r="AX322" i="16" s="1"/>
  <c r="AZ322" i="16" s="1"/>
  <c r="AU322" i="16"/>
  <c r="AV322" i="16" s="1"/>
  <c r="W323" i="16"/>
  <c r="AA323" i="16" s="1"/>
  <c r="AK323" i="16" s="1"/>
  <c r="AD323" i="16"/>
  <c r="BO298" i="16"/>
  <c r="BP298" i="16" s="1"/>
  <c r="BN298" i="16"/>
  <c r="BC299" i="16"/>
  <c r="BH299" i="16" s="1"/>
  <c r="Q385" i="16"/>
  <c r="S385" i="16" s="1"/>
  <c r="N385" i="16"/>
  <c r="M386" i="16" s="1"/>
  <c r="AY322" i="16" l="1"/>
  <c r="Y323" i="16"/>
  <c r="AB323" i="16" s="1"/>
  <c r="AE323" i="16"/>
  <c r="AN322" i="16"/>
  <c r="AO322" i="16" s="1"/>
  <c r="E297" i="14"/>
  <c r="F297" i="14" s="1"/>
  <c r="H297" i="14" s="1"/>
  <c r="AD228" i="15"/>
  <c r="BD299" i="16"/>
  <c r="AJ81" i="15"/>
  <c r="BQ298" i="16"/>
  <c r="O385" i="16"/>
  <c r="AF323" i="16" l="1"/>
  <c r="AG323" i="16" s="1"/>
  <c r="AH323" i="16" s="1"/>
  <c r="AS323" i="16" s="1"/>
  <c r="AT323" i="16" s="1"/>
  <c r="AW323" i="16" s="1"/>
  <c r="AX323" i="16" s="1"/>
  <c r="AZ323" i="16" s="1"/>
  <c r="Z323" i="16"/>
  <c r="U324" i="16" s="1"/>
  <c r="AC324" i="16" s="1"/>
  <c r="AD324" i="16" s="1"/>
  <c r="AP322" i="16"/>
  <c r="AR322" i="16" s="1"/>
  <c r="BJ299" i="16"/>
  <c r="BK299" i="16"/>
  <c r="BE299" i="16"/>
  <c r="BF299" i="16" s="1"/>
  <c r="E386" i="16"/>
  <c r="L386" i="16" s="1"/>
  <c r="P386" i="16"/>
  <c r="AU323" i="16" l="1"/>
  <c r="AV323" i="16" s="1"/>
  <c r="AL323" i="16"/>
  <c r="AY323" i="16" s="1"/>
  <c r="AE324" i="16"/>
  <c r="AQ322" i="16"/>
  <c r="W324" i="16"/>
  <c r="BI299" i="16"/>
  <c r="BG299" i="16"/>
  <c r="BL299" i="16"/>
  <c r="BM299" i="16" s="1"/>
  <c r="Q386" i="16"/>
  <c r="S386" i="16" s="1"/>
  <c r="N386" i="16"/>
  <c r="M387" i="16" s="1"/>
  <c r="AM323" i="16" l="1"/>
  <c r="AN323" i="16" s="1"/>
  <c r="AO323" i="16" s="1"/>
  <c r="AP323" i="16" s="1"/>
  <c r="AQ323" i="16" s="1"/>
  <c r="AA324" i="16"/>
  <c r="AK324" i="16" s="1"/>
  <c r="Y324" i="16"/>
  <c r="AB324" i="16" s="1"/>
  <c r="BC300" i="16"/>
  <c r="BH300" i="16" s="1"/>
  <c r="BO299" i="16"/>
  <c r="BP299" i="16" s="1"/>
  <c r="BN299" i="16"/>
  <c r="O386" i="16"/>
  <c r="AR323" i="16" l="1"/>
  <c r="AF324" i="16"/>
  <c r="Z324" i="16"/>
  <c r="AJ129" i="15"/>
  <c r="BQ299" i="16"/>
  <c r="AD225" i="15"/>
  <c r="E298" i="14"/>
  <c r="F298" i="14" s="1"/>
  <c r="H298" i="14" s="1"/>
  <c r="BD300" i="16"/>
  <c r="E387" i="16"/>
  <c r="P387" i="16"/>
  <c r="AG324" i="16" l="1"/>
  <c r="AL324" i="16" s="1"/>
  <c r="AY324" i="16" s="1"/>
  <c r="U325" i="16"/>
  <c r="AC325" i="16" s="1"/>
  <c r="BJ300" i="16"/>
  <c r="BK300" i="16"/>
  <c r="BE300" i="16"/>
  <c r="BF300" i="16" s="1"/>
  <c r="L387" i="16"/>
  <c r="Q387" i="16"/>
  <c r="S387" i="16" s="1"/>
  <c r="AM324" i="16" l="1"/>
  <c r="AN324" i="16" s="1"/>
  <c r="AO324" i="16" s="1"/>
  <c r="AH324" i="16"/>
  <c r="AS324" i="16" s="1"/>
  <c r="AD325" i="16"/>
  <c r="W325" i="16"/>
  <c r="AA325" i="16" s="1"/>
  <c r="AK325" i="16" s="1"/>
  <c r="BI300" i="16"/>
  <c r="BG300" i="16"/>
  <c r="BL300" i="16"/>
  <c r="BM300" i="16" s="1"/>
  <c r="N387" i="16"/>
  <c r="AU324" i="16" l="1"/>
  <c r="AV324" i="16" s="1"/>
  <c r="AT324" i="16"/>
  <c r="AW324" i="16" s="1"/>
  <c r="AX324" i="16" s="1"/>
  <c r="AZ324" i="16" s="1"/>
  <c r="Y325" i="16"/>
  <c r="AB325" i="16" s="1"/>
  <c r="AP324" i="16"/>
  <c r="AQ324" i="16" s="1"/>
  <c r="AE325" i="16"/>
  <c r="BC301" i="16"/>
  <c r="BH301" i="16" s="1"/>
  <c r="BO300" i="16"/>
  <c r="BP300" i="16" s="1"/>
  <c r="BN300" i="16"/>
  <c r="M388" i="16"/>
  <c r="E388" i="16" s="1"/>
  <c r="L388" i="16" s="1"/>
  <c r="O387" i="16"/>
  <c r="AF325" i="16" l="1"/>
  <c r="AG325" i="16" s="1"/>
  <c r="AH325" i="16" s="1"/>
  <c r="AS325" i="16" s="1"/>
  <c r="AT325" i="16" s="1"/>
  <c r="AW325" i="16" s="1"/>
  <c r="AX325" i="16" s="1"/>
  <c r="AZ325" i="16" s="1"/>
  <c r="Z325" i="16"/>
  <c r="U326" i="16" s="1"/>
  <c r="AC326" i="16" s="1"/>
  <c r="AD326" i="16" s="1"/>
  <c r="AE326" i="16" s="1"/>
  <c r="AR324" i="16"/>
  <c r="AD263" i="15"/>
  <c r="E299" i="14"/>
  <c r="F299" i="14" s="1"/>
  <c r="H299" i="14" s="1"/>
  <c r="BD301" i="16"/>
  <c r="BE301" i="16" s="1"/>
  <c r="BF301" i="16" s="1"/>
  <c r="AJ380" i="15"/>
  <c r="BQ300" i="16"/>
  <c r="N388" i="16"/>
  <c r="P388" i="16"/>
  <c r="Q388" i="16" s="1"/>
  <c r="S388" i="16" s="1"/>
  <c r="AU325" i="16" l="1"/>
  <c r="AV325" i="16" s="1"/>
  <c r="AL325" i="16"/>
  <c r="W326" i="16"/>
  <c r="AA326" i="16" s="1"/>
  <c r="AK326" i="16" s="1"/>
  <c r="BI301" i="16"/>
  <c r="BG301" i="16"/>
  <c r="BJ301" i="16"/>
  <c r="BK301" i="16"/>
  <c r="O388" i="16"/>
  <c r="M389" i="16"/>
  <c r="AY325" i="16" l="1"/>
  <c r="AM325" i="16"/>
  <c r="AN325" i="16" s="1"/>
  <c r="AO325" i="16" s="1"/>
  <c r="AP325" i="16" s="1"/>
  <c r="AQ325" i="16" s="1"/>
  <c r="Y326" i="16"/>
  <c r="AB326" i="16" s="1"/>
  <c r="BC302" i="16"/>
  <c r="BH302" i="16" s="1"/>
  <c r="BL301" i="16"/>
  <c r="BM301" i="16" s="1"/>
  <c r="BO301" i="16"/>
  <c r="BP301" i="16" s="1"/>
  <c r="E389" i="16"/>
  <c r="L389" i="16" s="1"/>
  <c r="P389" i="16"/>
  <c r="Q389" i="16" s="1"/>
  <c r="S389" i="16" s="1"/>
  <c r="Z326" i="16" l="1"/>
  <c r="U327" i="16" s="1"/>
  <c r="AC327" i="16" s="1"/>
  <c r="AF326" i="16"/>
  <c r="AR325" i="16"/>
  <c r="BD302" i="16"/>
  <c r="BE302" i="16" s="1"/>
  <c r="AJ381" i="15"/>
  <c r="BN301" i="16"/>
  <c r="BQ301" i="16" s="1"/>
  <c r="N389" i="16"/>
  <c r="AG326" i="16" l="1"/>
  <c r="W327" i="16"/>
  <c r="AA327" i="16" s="1"/>
  <c r="AK327" i="16" s="1"/>
  <c r="BF302" i="16"/>
  <c r="BI302" i="16" s="1"/>
  <c r="AD327" i="16"/>
  <c r="E300" i="14"/>
  <c r="F300" i="14" s="1"/>
  <c r="H300" i="14" s="1"/>
  <c r="AD274" i="15"/>
  <c r="BJ302" i="16"/>
  <c r="BK302" i="16"/>
  <c r="M390" i="16"/>
  <c r="E390" i="16" s="1"/>
  <c r="L390" i="16" s="1"/>
  <c r="O389" i="16"/>
  <c r="AL326" i="16" l="1"/>
  <c r="AY326" i="16" s="1"/>
  <c r="Y327" i="16"/>
  <c r="AB327" i="16" s="1"/>
  <c r="AH326" i="16"/>
  <c r="AS326" i="16" s="1"/>
  <c r="BG302" i="16"/>
  <c r="BC303" i="16" s="1"/>
  <c r="AE327" i="16"/>
  <c r="BL302" i="16"/>
  <c r="BM302" i="16" s="1"/>
  <c r="BO302" i="16"/>
  <c r="BP302" i="16" s="1"/>
  <c r="N390" i="16"/>
  <c r="P390" i="16"/>
  <c r="Q390" i="16" s="1"/>
  <c r="S390" i="16" s="1"/>
  <c r="AM326" i="16" l="1"/>
  <c r="AN326" i="16" s="1"/>
  <c r="AO326" i="16" s="1"/>
  <c r="AP326" i="16" s="1"/>
  <c r="AT326" i="16"/>
  <c r="AW326" i="16" s="1"/>
  <c r="AU326" i="16"/>
  <c r="AV326" i="16" s="1"/>
  <c r="AF327" i="16"/>
  <c r="AG327" i="16" s="1"/>
  <c r="AH327" i="16" s="1"/>
  <c r="AS327" i="16" s="1"/>
  <c r="AT327" i="16" s="1"/>
  <c r="Z327" i="16"/>
  <c r="U328" i="16" s="1"/>
  <c r="AC328" i="16" s="1"/>
  <c r="AD328" i="16" s="1"/>
  <c r="BN302" i="16"/>
  <c r="AD273" i="15" s="1"/>
  <c r="BH303" i="16"/>
  <c r="BD303" i="16"/>
  <c r="AJ382" i="15"/>
  <c r="M391" i="16"/>
  <c r="O390" i="16"/>
  <c r="W328" i="16" l="1"/>
  <c r="Y328" i="16" s="1"/>
  <c r="AB328" i="16" s="1"/>
  <c r="AQ326" i="16"/>
  <c r="AR326" i="16"/>
  <c r="AU327" i="16"/>
  <c r="AV327" i="16" s="1"/>
  <c r="AX326" i="16"/>
  <c r="AZ326" i="16" s="1"/>
  <c r="E301" i="14"/>
  <c r="F301" i="14" s="1"/>
  <c r="H301" i="14" s="1"/>
  <c r="AL327" i="16"/>
  <c r="AY327" i="16" s="1"/>
  <c r="BQ302" i="16"/>
  <c r="AE328" i="16"/>
  <c r="AF328" i="16" s="1"/>
  <c r="BJ303" i="16"/>
  <c r="BK303" i="16"/>
  <c r="BE303" i="16"/>
  <c r="BF303" i="16" s="1"/>
  <c r="E391" i="16"/>
  <c r="L391" i="16" s="1"/>
  <c r="P391" i="16"/>
  <c r="Q391" i="16" s="1"/>
  <c r="S391" i="16" s="1"/>
  <c r="Z328" i="16" l="1"/>
  <c r="AA328" i="16"/>
  <c r="AK328" i="16" s="1"/>
  <c r="AM327" i="16"/>
  <c r="AN327" i="16" s="1"/>
  <c r="AO327" i="16" s="1"/>
  <c r="AP327" i="16" s="1"/>
  <c r="AQ327" i="16" s="1"/>
  <c r="AW327" i="16"/>
  <c r="AX327" i="16" s="1"/>
  <c r="AZ327" i="16" s="1"/>
  <c r="AG328" i="16"/>
  <c r="AL328" i="16" s="1"/>
  <c r="AY328" i="16" s="1"/>
  <c r="U329" i="16"/>
  <c r="AC329" i="16" s="1"/>
  <c r="BI303" i="16"/>
  <c r="BG303" i="16"/>
  <c r="BL303" i="16"/>
  <c r="BM303" i="16" s="1"/>
  <c r="N391" i="16"/>
  <c r="AR327" i="16" l="1"/>
  <c r="AM328" i="16"/>
  <c r="AN328" i="16" s="1"/>
  <c r="AO328" i="16" s="1"/>
  <c r="AH328" i="16"/>
  <c r="AS328" i="16" s="1"/>
  <c r="AD329" i="16"/>
  <c r="W329" i="16"/>
  <c r="Y329" i="16" s="1"/>
  <c r="AB329" i="16" s="1"/>
  <c r="BC304" i="16"/>
  <c r="BH304" i="16" s="1"/>
  <c r="BN303" i="16"/>
  <c r="BO303" i="16"/>
  <c r="BP303" i="16" s="1"/>
  <c r="M392" i="16"/>
  <c r="O391" i="16"/>
  <c r="AU328" i="16" l="1"/>
  <c r="AV328" i="16" s="1"/>
  <c r="AT328" i="16"/>
  <c r="AW328" i="16" s="1"/>
  <c r="AX328" i="16" s="1"/>
  <c r="AZ328" i="16" s="1"/>
  <c r="AP328" i="16"/>
  <c r="AR328" i="16" s="1"/>
  <c r="AE329" i="16"/>
  <c r="AF329" i="16" s="1"/>
  <c r="AG329" i="16" s="1"/>
  <c r="AH329" i="16" s="1"/>
  <c r="AS329" i="16" s="1"/>
  <c r="AT329" i="16" s="1"/>
  <c r="BD304" i="16"/>
  <c r="BE304" i="16" s="1"/>
  <c r="BF304" i="16" s="1"/>
  <c r="AA329" i="16"/>
  <c r="AK329" i="16" s="1"/>
  <c r="Z329" i="16"/>
  <c r="E302" i="14"/>
  <c r="F302" i="14" s="1"/>
  <c r="H302" i="14" s="1"/>
  <c r="AD285" i="15"/>
  <c r="AJ383" i="15"/>
  <c r="BQ303" i="16"/>
  <c r="P392" i="16"/>
  <c r="Q392" i="16" s="1"/>
  <c r="S392" i="16" s="1"/>
  <c r="E392" i="16"/>
  <c r="L392" i="16" s="1"/>
  <c r="AW329" i="16" l="1"/>
  <c r="AX329" i="16" s="1"/>
  <c r="AZ329" i="16" s="1"/>
  <c r="AL329" i="16"/>
  <c r="AY329" i="16" s="1"/>
  <c r="AU329" i="16"/>
  <c r="AV329" i="16" s="1"/>
  <c r="AQ328" i="16"/>
  <c r="BJ304" i="16"/>
  <c r="U330" i="16"/>
  <c r="AC330" i="16" s="1"/>
  <c r="BK304" i="16"/>
  <c r="BL304" i="16" s="1"/>
  <c r="BM304" i="16" s="1"/>
  <c r="BI304" i="16"/>
  <c r="BG304" i="16"/>
  <c r="N392" i="16"/>
  <c r="AM329" i="16" l="1"/>
  <c r="AN329" i="16" s="1"/>
  <c r="AO329" i="16" s="1"/>
  <c r="AD330" i="16"/>
  <c r="W330" i="16"/>
  <c r="Y330" i="16" s="1"/>
  <c r="AB330" i="16" s="1"/>
  <c r="BC305" i="16"/>
  <c r="BH305" i="16" s="1"/>
  <c r="BO304" i="16"/>
  <c r="BP304" i="16" s="1"/>
  <c r="BN304" i="16"/>
  <c r="M393" i="16"/>
  <c r="E393" i="16" s="1"/>
  <c r="L393" i="16" s="1"/>
  <c r="O392" i="16"/>
  <c r="BD305" i="16" l="1"/>
  <c r="BJ305" i="16" s="1"/>
  <c r="AA330" i="16"/>
  <c r="AK330" i="16" s="1"/>
  <c r="Z330" i="16"/>
  <c r="AE330" i="16"/>
  <c r="AF330" i="16" s="1"/>
  <c r="AG330" i="16" s="1"/>
  <c r="AH330" i="16" s="1"/>
  <c r="AS330" i="16" s="1"/>
  <c r="AP329" i="16"/>
  <c r="AR329" i="16" s="1"/>
  <c r="E303" i="14"/>
  <c r="F303" i="14" s="1"/>
  <c r="H303" i="14" s="1"/>
  <c r="AD250" i="15"/>
  <c r="AJ101" i="15"/>
  <c r="BQ304" i="16"/>
  <c r="N393" i="16"/>
  <c r="P393" i="16"/>
  <c r="Q393" i="16" s="1"/>
  <c r="S393" i="16" s="1"/>
  <c r="AL330" i="16" l="1"/>
  <c r="AY330" i="16" s="1"/>
  <c r="AU330" i="16"/>
  <c r="AV330" i="16" s="1"/>
  <c r="AT330" i="16"/>
  <c r="AW330" i="16" s="1"/>
  <c r="AX330" i="16" s="1"/>
  <c r="AZ330" i="16" s="1"/>
  <c r="BE305" i="16"/>
  <c r="BF305" i="16" s="1"/>
  <c r="BK305" i="16"/>
  <c r="BL305" i="16" s="1"/>
  <c r="BM305" i="16" s="1"/>
  <c r="AQ329" i="16"/>
  <c r="U331" i="16"/>
  <c r="AC331" i="16" s="1"/>
  <c r="AD331" i="16" s="1"/>
  <c r="M394" i="16"/>
  <c r="O393" i="16"/>
  <c r="AM330" i="16" l="1"/>
  <c r="BI305" i="16"/>
  <c r="BN305" i="16" s="1"/>
  <c r="BG305" i="16"/>
  <c r="BC306" i="16" s="1"/>
  <c r="BH306" i="16" s="1"/>
  <c r="W331" i="16"/>
  <c r="AA331" i="16" s="1"/>
  <c r="AK331" i="16" s="1"/>
  <c r="AN330" i="16"/>
  <c r="AO330" i="16" s="1"/>
  <c r="AE331" i="16"/>
  <c r="E394" i="16"/>
  <c r="L394" i="16" s="1"/>
  <c r="P394" i="16"/>
  <c r="Q394" i="16" s="1"/>
  <c r="S394" i="16" s="1"/>
  <c r="BO305" i="16" l="1"/>
  <c r="BP305" i="16" s="1"/>
  <c r="BQ305" i="16" s="1"/>
  <c r="Y331" i="16"/>
  <c r="AB331" i="16" s="1"/>
  <c r="AF331" i="16" s="1"/>
  <c r="AP330" i="16"/>
  <c r="AQ330" i="16" s="1"/>
  <c r="BD306" i="16"/>
  <c r="BE306" i="16" s="1"/>
  <c r="BF306" i="16" s="1"/>
  <c r="AD271" i="15"/>
  <c r="E304" i="14"/>
  <c r="F304" i="14" s="1"/>
  <c r="H304" i="14" s="1"/>
  <c r="N394" i="16"/>
  <c r="AJ384" i="15" l="1"/>
  <c r="AG331" i="16"/>
  <c r="AH331" i="16" s="1"/>
  <c r="AS331" i="16" s="1"/>
  <c r="Z331" i="16"/>
  <c r="U332" i="16" s="1"/>
  <c r="AC332" i="16" s="1"/>
  <c r="AR330" i="16"/>
  <c r="BI306" i="16"/>
  <c r="BG306" i="16"/>
  <c r="BJ306" i="16"/>
  <c r="BK306" i="16"/>
  <c r="M395" i="16"/>
  <c r="O394" i="16"/>
  <c r="AT331" i="16" l="1"/>
  <c r="AW331" i="16" s="1"/>
  <c r="AX331" i="16" s="1"/>
  <c r="AZ331" i="16" s="1"/>
  <c r="AU331" i="16"/>
  <c r="AV331" i="16" s="1"/>
  <c r="AL331" i="16"/>
  <c r="AD332" i="16"/>
  <c r="W332" i="16"/>
  <c r="AA332" i="16" s="1"/>
  <c r="AK332" i="16" s="1"/>
  <c r="BL306" i="16"/>
  <c r="BM306" i="16" s="1"/>
  <c r="BC307" i="16"/>
  <c r="BO306" i="16"/>
  <c r="BP306" i="16" s="1"/>
  <c r="P395" i="16"/>
  <c r="Q395" i="16" s="1"/>
  <c r="S395" i="16" s="1"/>
  <c r="E395" i="16"/>
  <c r="L395" i="16" s="1"/>
  <c r="AM331" i="16" l="1"/>
  <c r="AN331" i="16" s="1"/>
  <c r="AO331" i="16" s="1"/>
  <c r="AP331" i="16" s="1"/>
  <c r="AQ331" i="16" s="1"/>
  <c r="AY331" i="16"/>
  <c r="BN306" i="16"/>
  <c r="AD300" i="15" s="1"/>
  <c r="Y332" i="16"/>
  <c r="AB332" i="16" s="1"/>
  <c r="AE332" i="16"/>
  <c r="AJ385" i="15"/>
  <c r="BH307" i="16"/>
  <c r="BD307" i="16"/>
  <c r="N395" i="16"/>
  <c r="E305" i="14" l="1"/>
  <c r="F305" i="14" s="1"/>
  <c r="H305" i="14" s="1"/>
  <c r="BQ306" i="16"/>
  <c r="Z332" i="16"/>
  <c r="U333" i="16" s="1"/>
  <c r="AC333" i="16" s="1"/>
  <c r="AD333" i="16" s="1"/>
  <c r="AF332" i="16"/>
  <c r="AG332" i="16" s="1"/>
  <c r="AH332" i="16" s="1"/>
  <c r="AS332" i="16" s="1"/>
  <c r="AR331" i="16"/>
  <c r="BJ307" i="16"/>
  <c r="BK307" i="16"/>
  <c r="BE307" i="16"/>
  <c r="BF307" i="16" s="1"/>
  <c r="M396" i="16"/>
  <c r="O395" i="16"/>
  <c r="AT332" i="16" l="1"/>
  <c r="AW332" i="16" s="1"/>
  <c r="AX332" i="16" s="1"/>
  <c r="AZ332" i="16" s="1"/>
  <c r="AU332" i="16"/>
  <c r="AV332" i="16" s="1"/>
  <c r="AL332" i="16"/>
  <c r="AY332" i="16" s="1"/>
  <c r="AE333" i="16"/>
  <c r="W333" i="16"/>
  <c r="AA333" i="16" s="1"/>
  <c r="AK333" i="16" s="1"/>
  <c r="BI307" i="16"/>
  <c r="BG307" i="16"/>
  <c r="BL307" i="16"/>
  <c r="BM307" i="16" s="1"/>
  <c r="P396" i="16"/>
  <c r="Q396" i="16" s="1"/>
  <c r="S396" i="16" s="1"/>
  <c r="E396" i="16"/>
  <c r="L396" i="16" s="1"/>
  <c r="AM332" i="16" l="1"/>
  <c r="AN332" i="16" s="1"/>
  <c r="AO332" i="16" s="1"/>
  <c r="AP332" i="16" s="1"/>
  <c r="AR332" i="16" s="1"/>
  <c r="Y333" i="16"/>
  <c r="BC308" i="16"/>
  <c r="BN307" i="16"/>
  <c r="BO307" i="16"/>
  <c r="BP307" i="16" s="1"/>
  <c r="N396" i="16"/>
  <c r="AQ332" i="16" l="1"/>
  <c r="AB333" i="16"/>
  <c r="Z333" i="16"/>
  <c r="AJ386" i="15"/>
  <c r="BQ307" i="16"/>
  <c r="BD308" i="16"/>
  <c r="E306" i="14"/>
  <c r="F306" i="14" s="1"/>
  <c r="H306" i="14" s="1"/>
  <c r="AD318" i="15"/>
  <c r="BH308" i="16"/>
  <c r="M397" i="16"/>
  <c r="E397" i="16" s="1"/>
  <c r="L397" i="16" s="1"/>
  <c r="O396" i="16"/>
  <c r="U334" i="16" l="1"/>
  <c r="AC334" i="16" s="1"/>
  <c r="AF333" i="16"/>
  <c r="BJ308" i="16"/>
  <c r="BK308" i="16"/>
  <c r="BE308" i="16"/>
  <c r="BF308" i="16" s="1"/>
  <c r="N397" i="16"/>
  <c r="M398" i="16" s="1"/>
  <c r="P397" i="16"/>
  <c r="Q397" i="16" s="1"/>
  <c r="S397" i="16" s="1"/>
  <c r="AG333" i="16" l="1"/>
  <c r="AL333" i="16" s="1"/>
  <c r="AY333" i="16" s="1"/>
  <c r="AD334" i="16"/>
  <c r="W334" i="16"/>
  <c r="AA334" i="16" s="1"/>
  <c r="AK334" i="16" s="1"/>
  <c r="O397" i="16"/>
  <c r="AM333" i="16"/>
  <c r="BI308" i="16"/>
  <c r="BG308" i="16"/>
  <c r="BL308" i="16"/>
  <c r="BM308" i="16" s="1"/>
  <c r="P398" i="16"/>
  <c r="Q398" i="16" s="1"/>
  <c r="S398" i="16" s="1"/>
  <c r="E398" i="16"/>
  <c r="L398" i="16" s="1"/>
  <c r="Y334" i="16" l="1"/>
  <c r="AB334" i="16" s="1"/>
  <c r="AH333" i="16"/>
  <c r="AS333" i="16" s="1"/>
  <c r="AE334" i="16"/>
  <c r="AN333" i="16"/>
  <c r="AO333" i="16" s="1"/>
  <c r="BC309" i="16"/>
  <c r="BH309" i="16" s="1"/>
  <c r="BO308" i="16"/>
  <c r="BP308" i="16" s="1"/>
  <c r="BN308" i="16"/>
  <c r="N398" i="16"/>
  <c r="M399" i="16" s="1"/>
  <c r="AF334" i="16" l="1"/>
  <c r="AG334" i="16" s="1"/>
  <c r="AH334" i="16" s="1"/>
  <c r="AS334" i="16" s="1"/>
  <c r="AT334" i="16" s="1"/>
  <c r="Z334" i="16"/>
  <c r="U335" i="16" s="1"/>
  <c r="AC335" i="16" s="1"/>
  <c r="AT333" i="16"/>
  <c r="AW333" i="16" s="1"/>
  <c r="AX333" i="16" s="1"/>
  <c r="AZ333" i="16" s="1"/>
  <c r="AU333" i="16"/>
  <c r="AV333" i="16" s="1"/>
  <c r="AP333" i="16"/>
  <c r="AQ333" i="16" s="1"/>
  <c r="BD309" i="16"/>
  <c r="AJ387" i="15"/>
  <c r="BQ308" i="16"/>
  <c r="AD358" i="15"/>
  <c r="E307" i="14"/>
  <c r="F307" i="14" s="1"/>
  <c r="H307" i="14" s="1"/>
  <c r="O398" i="16"/>
  <c r="AU334" i="16" l="1"/>
  <c r="AV334" i="16" s="1"/>
  <c r="AL334" i="16"/>
  <c r="AY334" i="16" s="1"/>
  <c r="AW334" i="16"/>
  <c r="AX334" i="16" s="1"/>
  <c r="AZ334" i="16" s="1"/>
  <c r="AR333" i="16"/>
  <c r="BE309" i="16"/>
  <c r="BF309" i="16" s="1"/>
  <c r="AD335" i="16"/>
  <c r="W335" i="16"/>
  <c r="BJ309" i="16"/>
  <c r="BK309" i="16"/>
  <c r="P399" i="16"/>
  <c r="Q399" i="16" s="1"/>
  <c r="S399" i="16" s="1"/>
  <c r="E399" i="16"/>
  <c r="L399" i="16" s="1"/>
  <c r="AM334" i="16" l="1"/>
  <c r="AN334" i="16" s="1"/>
  <c r="AO334" i="16" s="1"/>
  <c r="AP334" i="16" s="1"/>
  <c r="AQ334" i="16" s="1"/>
  <c r="BI309" i="16"/>
  <c r="BO309" i="16" s="1"/>
  <c r="BP309" i="16" s="1"/>
  <c r="BG309" i="16"/>
  <c r="BC310" i="16" s="1"/>
  <c r="AE335" i="16"/>
  <c r="AA335" i="16"/>
  <c r="AK335" i="16" s="1"/>
  <c r="Y335" i="16"/>
  <c r="AB335" i="16" s="1"/>
  <c r="BL309" i="16"/>
  <c r="BM309" i="16" s="1"/>
  <c r="N399" i="16"/>
  <c r="M400" i="16" s="1"/>
  <c r="AR334" i="16" l="1"/>
  <c r="BN309" i="16"/>
  <c r="AD366" i="15" s="1"/>
  <c r="AF335" i="16"/>
  <c r="AG335" i="16" s="1"/>
  <c r="AH335" i="16" s="1"/>
  <c r="AS335" i="16" s="1"/>
  <c r="Z335" i="16"/>
  <c r="BH310" i="16"/>
  <c r="BD310" i="16"/>
  <c r="AJ388" i="15"/>
  <c r="O399" i="16"/>
  <c r="E308" i="14" l="1"/>
  <c r="F308" i="14" s="1"/>
  <c r="H308" i="14" s="1"/>
  <c r="BQ309" i="16"/>
  <c r="AL335" i="16"/>
  <c r="AM335" i="16" s="1"/>
  <c r="AU335" i="16"/>
  <c r="AV335" i="16" s="1"/>
  <c r="AT335" i="16"/>
  <c r="AW335" i="16" s="1"/>
  <c r="AX335" i="16" s="1"/>
  <c r="AZ335" i="16" s="1"/>
  <c r="U336" i="16"/>
  <c r="AC336" i="16" s="1"/>
  <c r="BJ310" i="16"/>
  <c r="BK310" i="16"/>
  <c r="BE310" i="16"/>
  <c r="BF310" i="16" s="1"/>
  <c r="P400" i="16"/>
  <c r="Q400" i="16" s="1"/>
  <c r="S400" i="16" s="1"/>
  <c r="E400" i="16"/>
  <c r="L400" i="16" s="1"/>
  <c r="AY335" i="16" l="1"/>
  <c r="AD336" i="16"/>
  <c r="W336" i="16"/>
  <c r="Y336" i="16" s="1"/>
  <c r="AB336" i="16" s="1"/>
  <c r="AN335" i="16"/>
  <c r="BI310" i="16"/>
  <c r="BG310" i="16"/>
  <c r="BL310" i="16"/>
  <c r="BM310" i="16" s="1"/>
  <c r="N400" i="16"/>
  <c r="M401" i="16" s="1"/>
  <c r="AA336" i="16" l="1"/>
  <c r="AK336" i="16" s="1"/>
  <c r="Z336" i="16"/>
  <c r="AE336" i="16"/>
  <c r="AF336" i="16" s="1"/>
  <c r="AG336" i="16" s="1"/>
  <c r="AH336" i="16" s="1"/>
  <c r="AS336" i="16" s="1"/>
  <c r="AO335" i="16"/>
  <c r="BC311" i="16"/>
  <c r="BH311" i="16" s="1"/>
  <c r="BN310" i="16"/>
  <c r="BO310" i="16"/>
  <c r="BP310" i="16" s="1"/>
  <c r="O400" i="16"/>
  <c r="AU336" i="16" l="1"/>
  <c r="AV336" i="16" s="1"/>
  <c r="AT336" i="16"/>
  <c r="AW336" i="16" s="1"/>
  <c r="AX336" i="16" s="1"/>
  <c r="AZ336" i="16" s="1"/>
  <c r="AL336" i="16"/>
  <c r="AM336" i="16" s="1"/>
  <c r="U337" i="16"/>
  <c r="AC337" i="16" s="1"/>
  <c r="AP335" i="16"/>
  <c r="AR335" i="16" s="1"/>
  <c r="AJ389" i="15"/>
  <c r="BQ310" i="16"/>
  <c r="BD311" i="16"/>
  <c r="BE311" i="16" s="1"/>
  <c r="E309" i="14"/>
  <c r="F309" i="14" s="1"/>
  <c r="H309" i="14" s="1"/>
  <c r="AD405" i="15"/>
  <c r="P401" i="16"/>
  <c r="Q401" i="16" s="1"/>
  <c r="S401" i="16" s="1"/>
  <c r="E401" i="16"/>
  <c r="L401" i="16" s="1"/>
  <c r="AY336" i="16" l="1"/>
  <c r="AD337" i="16"/>
  <c r="W337" i="16"/>
  <c r="Y337" i="16" s="1"/>
  <c r="AB337" i="16" s="1"/>
  <c r="AN336" i="16"/>
  <c r="AO336" i="16" s="1"/>
  <c r="AQ335" i="16"/>
  <c r="BJ311" i="16"/>
  <c r="BK311" i="16"/>
  <c r="BF311" i="16"/>
  <c r="N401" i="16"/>
  <c r="M402" i="16" s="1"/>
  <c r="AP336" i="16" l="1"/>
  <c r="AR336" i="16" s="1"/>
  <c r="AA337" i="16"/>
  <c r="AK337" i="16" s="1"/>
  <c r="Z337" i="16"/>
  <c r="AE337" i="16"/>
  <c r="AF337" i="16" s="1"/>
  <c r="BI311" i="16"/>
  <c r="BG311" i="16"/>
  <c r="BL311" i="16"/>
  <c r="BM311" i="16" s="1"/>
  <c r="O401" i="16"/>
  <c r="AG337" i="16" l="1"/>
  <c r="AL337" i="16" s="1"/>
  <c r="AY337" i="16" s="1"/>
  <c r="U338" i="16"/>
  <c r="AC338" i="16" s="1"/>
  <c r="AQ336" i="16"/>
  <c r="BC312" i="16"/>
  <c r="BN311" i="16"/>
  <c r="BO311" i="16"/>
  <c r="BP311" i="16" s="1"/>
  <c r="P402" i="16"/>
  <c r="Q402" i="16" s="1"/>
  <c r="S402" i="16" s="1"/>
  <c r="E402" i="16"/>
  <c r="AM337" i="16" l="1"/>
  <c r="AH337" i="16"/>
  <c r="AS337" i="16" s="1"/>
  <c r="AT337" i="16" s="1"/>
  <c r="AW337" i="16" s="1"/>
  <c r="AX337" i="16" s="1"/>
  <c r="AZ337" i="16" s="1"/>
  <c r="AD338" i="16"/>
  <c r="W338" i="16"/>
  <c r="AA338" i="16" s="1"/>
  <c r="AK338" i="16" s="1"/>
  <c r="AN337" i="16"/>
  <c r="AO337" i="16" s="1"/>
  <c r="BD312" i="16"/>
  <c r="BE312" i="16" s="1"/>
  <c r="BF312" i="16" s="1"/>
  <c r="BH312" i="16"/>
  <c r="AJ390" i="15"/>
  <c r="BQ311" i="16"/>
  <c r="AD424" i="15"/>
  <c r="E310" i="14"/>
  <c r="F310" i="14" s="1"/>
  <c r="H310" i="14" s="1"/>
  <c r="L402" i="16"/>
  <c r="N402" i="16" s="1"/>
  <c r="M403" i="16" s="1"/>
  <c r="AU337" i="16" l="1"/>
  <c r="AV337" i="16" s="1"/>
  <c r="Y338" i="16"/>
  <c r="AB338" i="16" s="1"/>
  <c r="AP337" i="16"/>
  <c r="AR337" i="16" s="1"/>
  <c r="AE338" i="16"/>
  <c r="BI312" i="16"/>
  <c r="BG312" i="16"/>
  <c r="BJ312" i="16"/>
  <c r="BK312" i="16"/>
  <c r="O402" i="16"/>
  <c r="Z338" i="16" l="1"/>
  <c r="U339" i="16" s="1"/>
  <c r="AC339" i="16" s="1"/>
  <c r="AF338" i="16"/>
  <c r="AG338" i="16" s="1"/>
  <c r="AH338" i="16" s="1"/>
  <c r="AS338" i="16" s="1"/>
  <c r="AQ337" i="16"/>
  <c r="BL312" i="16"/>
  <c r="BM312" i="16" s="1"/>
  <c r="BC313" i="16"/>
  <c r="BH313" i="16" s="1"/>
  <c r="BO312" i="16"/>
  <c r="BP312" i="16" s="1"/>
  <c r="E403" i="16"/>
  <c r="P403" i="16"/>
  <c r="Q403" i="16" s="1"/>
  <c r="S403" i="16" s="1"/>
  <c r="AT338" i="16" l="1"/>
  <c r="AW338" i="16" s="1"/>
  <c r="AX338" i="16" s="1"/>
  <c r="AZ338" i="16" s="1"/>
  <c r="AU338" i="16"/>
  <c r="AV338" i="16" s="1"/>
  <c r="AL338" i="16"/>
  <c r="AY338" i="16" s="1"/>
  <c r="BN312" i="16"/>
  <c r="BQ312" i="16" s="1"/>
  <c r="AD339" i="16"/>
  <c r="W339" i="16"/>
  <c r="AJ391" i="15"/>
  <c r="BD313" i="16"/>
  <c r="L403" i="16"/>
  <c r="N403" i="16" s="1"/>
  <c r="M404" i="16" s="1"/>
  <c r="AD432" i="15" l="1"/>
  <c r="E311" i="14"/>
  <c r="F311" i="14" s="1"/>
  <c r="H311" i="14" s="1"/>
  <c r="AM338" i="16"/>
  <c r="AN338" i="16" s="1"/>
  <c r="AA339" i="16"/>
  <c r="AK339" i="16" s="1"/>
  <c r="Y339" i="16"/>
  <c r="AB339" i="16" s="1"/>
  <c r="AE339" i="16"/>
  <c r="BJ313" i="16"/>
  <c r="BK313" i="16"/>
  <c r="BE313" i="16"/>
  <c r="BF313" i="16" s="1"/>
  <c r="O403" i="16"/>
  <c r="E404" i="16"/>
  <c r="L404" i="16" s="1"/>
  <c r="AO338" i="16" l="1"/>
  <c r="AP338" i="16" s="1"/>
  <c r="AR338" i="16" s="1"/>
  <c r="Z339" i="16"/>
  <c r="U340" i="16" s="1"/>
  <c r="AC340" i="16" s="1"/>
  <c r="AF339" i="16"/>
  <c r="BI313" i="16"/>
  <c r="BG313" i="16"/>
  <c r="BL313" i="16"/>
  <c r="BM313" i="16" s="1"/>
  <c r="N404" i="16"/>
  <c r="M405" i="16" s="1"/>
  <c r="P404" i="16"/>
  <c r="Q404" i="16" s="1"/>
  <c r="S404" i="16" s="1"/>
  <c r="AG339" i="16" l="1"/>
  <c r="AL339" i="16" s="1"/>
  <c r="AQ338" i="16"/>
  <c r="W340" i="16"/>
  <c r="AA340" i="16" s="1"/>
  <c r="AK340" i="16" s="1"/>
  <c r="AD340" i="16"/>
  <c r="AY339" i="16"/>
  <c r="BC314" i="16"/>
  <c r="BH314" i="16" s="1"/>
  <c r="BN313" i="16"/>
  <c r="BO313" i="16"/>
  <c r="BP313" i="16" s="1"/>
  <c r="O404" i="16"/>
  <c r="E405" i="16"/>
  <c r="L405" i="16" s="1"/>
  <c r="AM339" i="16" l="1"/>
  <c r="AN339" i="16" s="1"/>
  <c r="AO339" i="16" s="1"/>
  <c r="AH339" i="16"/>
  <c r="AS339" i="16" s="1"/>
  <c r="AE340" i="16"/>
  <c r="Y340" i="16"/>
  <c r="AB340" i="16" s="1"/>
  <c r="BD314" i="16"/>
  <c r="E312" i="14"/>
  <c r="F312" i="14" s="1"/>
  <c r="H312" i="14" s="1"/>
  <c r="AD478" i="15"/>
  <c r="AJ392" i="15"/>
  <c r="BQ313" i="16"/>
  <c r="N405" i="16"/>
  <c r="M406" i="16" s="1"/>
  <c r="P405" i="16"/>
  <c r="Q405" i="16" s="1"/>
  <c r="S405" i="16" s="1"/>
  <c r="AU339" i="16" l="1"/>
  <c r="AV339" i="16" s="1"/>
  <c r="AT339" i="16"/>
  <c r="AW339" i="16" s="1"/>
  <c r="AX339" i="16" s="1"/>
  <c r="AZ339" i="16" s="1"/>
  <c r="Z340" i="16"/>
  <c r="U341" i="16" s="1"/>
  <c r="AC341" i="16" s="1"/>
  <c r="AF340" i="16"/>
  <c r="AP339" i="16"/>
  <c r="AR339" i="16" s="1"/>
  <c r="AQ339" i="16"/>
  <c r="O405" i="16"/>
  <c r="BE314" i="16"/>
  <c r="BF314" i="16" s="1"/>
  <c r="BJ314" i="16"/>
  <c r="BK314" i="16"/>
  <c r="E406" i="16"/>
  <c r="P406" i="16"/>
  <c r="AG340" i="16" l="1"/>
  <c r="AL340" i="16" s="1"/>
  <c r="AY340" i="16" s="1"/>
  <c r="AD341" i="16"/>
  <c r="W341" i="16"/>
  <c r="AA341" i="16" s="1"/>
  <c r="AK341" i="16" s="1"/>
  <c r="BI314" i="16"/>
  <c r="BG314" i="16"/>
  <c r="BL314" i="16"/>
  <c r="BM314" i="16" s="1"/>
  <c r="L406" i="16"/>
  <c r="N406" i="16" s="1"/>
  <c r="M407" i="16" s="1"/>
  <c r="Q406" i="16"/>
  <c r="S406" i="16" s="1"/>
  <c r="AM340" i="16" l="1"/>
  <c r="AN340" i="16" s="1"/>
  <c r="AO340" i="16" s="1"/>
  <c r="AH340" i="16"/>
  <c r="AS340" i="16" s="1"/>
  <c r="AE341" i="16"/>
  <c r="Y341" i="16"/>
  <c r="AB341" i="16" s="1"/>
  <c r="BC315" i="16"/>
  <c r="BH315" i="16" s="1"/>
  <c r="BO314" i="16"/>
  <c r="BP314" i="16" s="1"/>
  <c r="BN314" i="16"/>
  <c r="E407" i="16"/>
  <c r="L407" i="16" s="1"/>
  <c r="O406" i="16"/>
  <c r="AT340" i="16" l="1"/>
  <c r="AW340" i="16" s="1"/>
  <c r="AX340" i="16" s="1"/>
  <c r="AZ340" i="16" s="1"/>
  <c r="AU340" i="16"/>
  <c r="AV340" i="16" s="1"/>
  <c r="AP340" i="16"/>
  <c r="AQ340" i="16" s="1"/>
  <c r="AF341" i="16"/>
  <c r="Z341" i="16"/>
  <c r="BD315" i="16"/>
  <c r="BE315" i="16" s="1"/>
  <c r="BF315" i="16" s="1"/>
  <c r="AJ393" i="15"/>
  <c r="BQ314" i="16"/>
  <c r="AD481" i="15"/>
  <c r="E313" i="14"/>
  <c r="F313" i="14" s="1"/>
  <c r="H313" i="14" s="1"/>
  <c r="N407" i="16"/>
  <c r="M408" i="16" s="1"/>
  <c r="P407" i="16"/>
  <c r="AR340" i="16" l="1"/>
  <c r="AG341" i="16"/>
  <c r="AL341" i="16" s="1"/>
  <c r="AY341" i="16" s="1"/>
  <c r="U342" i="16"/>
  <c r="AC342" i="16" s="1"/>
  <c r="BI315" i="16"/>
  <c r="BG315" i="16"/>
  <c r="BJ315" i="16"/>
  <c r="BK315" i="16"/>
  <c r="Q407" i="16"/>
  <c r="S407" i="16" s="1"/>
  <c r="O407" i="16"/>
  <c r="AH341" i="16" l="1"/>
  <c r="AS341" i="16" s="1"/>
  <c r="AU341" i="16" s="1"/>
  <c r="AV341" i="16" s="1"/>
  <c r="AM341" i="16"/>
  <c r="AN341" i="16" s="1"/>
  <c r="AO341" i="16" s="1"/>
  <c r="W342" i="16"/>
  <c r="AA342" i="16" s="1"/>
  <c r="AK342" i="16" s="1"/>
  <c r="AD342" i="16"/>
  <c r="BL315" i="16"/>
  <c r="BM315" i="16" s="1"/>
  <c r="BC316" i="16"/>
  <c r="BH316" i="16" s="1"/>
  <c r="BO315" i="16"/>
  <c r="BP315" i="16" s="1"/>
  <c r="E408" i="16"/>
  <c r="P408" i="16"/>
  <c r="AT341" i="16" l="1"/>
  <c r="AW341" i="16" s="1"/>
  <c r="AX341" i="16" s="1"/>
  <c r="AZ341" i="16" s="1"/>
  <c r="Y342" i="16"/>
  <c r="AB342" i="16" s="1"/>
  <c r="BN315" i="16"/>
  <c r="E314" i="14" s="1"/>
  <c r="F314" i="14" s="1"/>
  <c r="H314" i="14" s="1"/>
  <c r="AP341" i="16"/>
  <c r="AQ341" i="16" s="1"/>
  <c r="AE342" i="16"/>
  <c r="AJ394" i="15"/>
  <c r="BD316" i="16"/>
  <c r="BE316" i="16" s="1"/>
  <c r="L408" i="16"/>
  <c r="Q408" i="16"/>
  <c r="S408" i="16" s="1"/>
  <c r="AF342" i="16" l="1"/>
  <c r="AG342" i="16" s="1"/>
  <c r="AH342" i="16" s="1"/>
  <c r="AS342" i="16" s="1"/>
  <c r="AT342" i="16" s="1"/>
  <c r="AW342" i="16" s="1"/>
  <c r="AX342" i="16" s="1"/>
  <c r="AZ342" i="16" s="1"/>
  <c r="Z342" i="16"/>
  <c r="U343" i="16" s="1"/>
  <c r="AC343" i="16" s="1"/>
  <c r="AD506" i="15"/>
  <c r="BQ315" i="16"/>
  <c r="AR341" i="16"/>
  <c r="BF316" i="16"/>
  <c r="BJ316" i="16"/>
  <c r="BK316" i="16"/>
  <c r="N408" i="16"/>
  <c r="AU342" i="16" l="1"/>
  <c r="AV342" i="16" s="1"/>
  <c r="AL342" i="16"/>
  <c r="W343" i="16"/>
  <c r="AA343" i="16" s="1"/>
  <c r="AK343" i="16" s="1"/>
  <c r="AD343" i="16"/>
  <c r="BL316" i="16"/>
  <c r="BM316" i="16" s="1"/>
  <c r="BI316" i="16"/>
  <c r="BG316" i="16"/>
  <c r="O408" i="16"/>
  <c r="M409" i="16"/>
  <c r="P409" i="16" s="1"/>
  <c r="Q409" i="16" s="1"/>
  <c r="S409" i="16" s="1"/>
  <c r="AM342" i="16" l="1"/>
  <c r="AN342" i="16" s="1"/>
  <c r="AO342" i="16" s="1"/>
  <c r="AP342" i="16" s="1"/>
  <c r="AR342" i="16" s="1"/>
  <c r="AY342" i="16"/>
  <c r="Y343" i="16"/>
  <c r="AB343" i="16" s="1"/>
  <c r="AE343" i="16"/>
  <c r="BN316" i="16"/>
  <c r="BO316" i="16"/>
  <c r="BP316" i="16" s="1"/>
  <c r="BC317" i="16"/>
  <c r="BH317" i="16" s="1"/>
  <c r="E409" i="16"/>
  <c r="L409" i="16" s="1"/>
  <c r="AF343" i="16" l="1"/>
  <c r="AG343" i="16" s="1"/>
  <c r="AH343" i="16" s="1"/>
  <c r="AS343" i="16" s="1"/>
  <c r="Z343" i="16"/>
  <c r="U344" i="16" s="1"/>
  <c r="AC344" i="16" s="1"/>
  <c r="AQ342" i="16"/>
  <c r="AJ395" i="15"/>
  <c r="BQ316" i="16"/>
  <c r="BD317" i="16"/>
  <c r="E315" i="14"/>
  <c r="F315" i="14" s="1"/>
  <c r="H315" i="14" s="1"/>
  <c r="AD538" i="15"/>
  <c r="N409" i="16"/>
  <c r="AU343" i="16" l="1"/>
  <c r="AV343" i="16" s="1"/>
  <c r="AT343" i="16"/>
  <c r="AW343" i="16" s="1"/>
  <c r="AX343" i="16" s="1"/>
  <c r="AZ343" i="16" s="1"/>
  <c r="AL343" i="16"/>
  <c r="AY343" i="16" s="1"/>
  <c r="AD344" i="16"/>
  <c r="AE344" i="16" s="1"/>
  <c r="W344" i="16"/>
  <c r="AA344" i="16" s="1"/>
  <c r="AK344" i="16" s="1"/>
  <c r="BJ317" i="16"/>
  <c r="BK317" i="16"/>
  <c r="BE317" i="16"/>
  <c r="BF317" i="16" s="1"/>
  <c r="M410" i="16"/>
  <c r="E410" i="16" s="1"/>
  <c r="L410" i="16" s="1"/>
  <c r="O409" i="16"/>
  <c r="AM343" i="16" l="1"/>
  <c r="AN343" i="16" s="1"/>
  <c r="Y344" i="16"/>
  <c r="Z344" i="16" s="1"/>
  <c r="U345" i="16" s="1"/>
  <c r="AC345" i="16" s="1"/>
  <c r="N410" i="16"/>
  <c r="M411" i="16" s="1"/>
  <c r="BI317" i="16"/>
  <c r="BG317" i="16"/>
  <c r="BL317" i="16"/>
  <c r="BM317" i="16" s="1"/>
  <c r="P410" i="16"/>
  <c r="Q410" i="16" s="1"/>
  <c r="S410" i="16" s="1"/>
  <c r="AO343" i="16" l="1"/>
  <c r="AP343" i="16" s="1"/>
  <c r="AR343" i="16" s="1"/>
  <c r="AB344" i="16"/>
  <c r="AF344" i="16" s="1"/>
  <c r="AG344" i="16" s="1"/>
  <c r="AH344" i="16" s="1"/>
  <c r="AS344" i="16" s="1"/>
  <c r="AD345" i="16"/>
  <c r="AE345" i="16" s="1"/>
  <c r="W345" i="16"/>
  <c r="AA345" i="16" s="1"/>
  <c r="AK345" i="16" s="1"/>
  <c r="O410" i="16"/>
  <c r="BC318" i="16"/>
  <c r="BH318" i="16" s="1"/>
  <c r="BO317" i="16"/>
  <c r="BP317" i="16" s="1"/>
  <c r="BN317" i="16"/>
  <c r="E411" i="16"/>
  <c r="L411" i="16" s="1"/>
  <c r="P411" i="16"/>
  <c r="AT344" i="16" l="1"/>
  <c r="AW344" i="16" s="1"/>
  <c r="AX344" i="16" s="1"/>
  <c r="AZ344" i="16" s="1"/>
  <c r="AU344" i="16"/>
  <c r="AV344" i="16" s="1"/>
  <c r="AL344" i="16"/>
  <c r="AY344" i="16" s="1"/>
  <c r="Y345" i="16"/>
  <c r="AQ343" i="16"/>
  <c r="E316" i="14"/>
  <c r="F316" i="14" s="1"/>
  <c r="H316" i="14" s="1"/>
  <c r="AD547" i="15"/>
  <c r="BD318" i="16"/>
  <c r="BE318" i="16" s="1"/>
  <c r="AJ396" i="15"/>
  <c r="BQ317" i="16"/>
  <c r="Q411" i="16"/>
  <c r="S411" i="16" s="1"/>
  <c r="N411" i="16"/>
  <c r="M412" i="16" s="1"/>
  <c r="AM344" i="16" l="1"/>
  <c r="AN344" i="16" s="1"/>
  <c r="AO344" i="16" s="1"/>
  <c r="AP344" i="16" s="1"/>
  <c r="AR344" i="16" s="1"/>
  <c r="AB345" i="16"/>
  <c r="Z345" i="16"/>
  <c r="BF318" i="16"/>
  <c r="BI318" i="16" s="1"/>
  <c r="BJ318" i="16"/>
  <c r="BK318" i="16"/>
  <c r="O411" i="16"/>
  <c r="E412" i="16"/>
  <c r="L412" i="16" s="1"/>
  <c r="BG318" i="16" l="1"/>
  <c r="BC319" i="16" s="1"/>
  <c r="U346" i="16"/>
  <c r="W346" i="16" s="1"/>
  <c r="AA346" i="16" s="1"/>
  <c r="AK346" i="16" s="1"/>
  <c r="AF345" i="16"/>
  <c r="AG345" i="16" s="1"/>
  <c r="AH345" i="16" s="1"/>
  <c r="AS345" i="16" s="1"/>
  <c r="AQ344" i="16"/>
  <c r="BL318" i="16"/>
  <c r="BM318" i="16" s="1"/>
  <c r="BO318" i="16"/>
  <c r="BP318" i="16" s="1"/>
  <c r="N412" i="16"/>
  <c r="M413" i="16" s="1"/>
  <c r="P412" i="16"/>
  <c r="AL345" i="16" l="1"/>
  <c r="AT345" i="16"/>
  <c r="AW345" i="16" s="1"/>
  <c r="AX345" i="16" s="1"/>
  <c r="AZ345" i="16" s="1"/>
  <c r="AU345" i="16"/>
  <c r="AV345" i="16" s="1"/>
  <c r="AM345" i="16"/>
  <c r="AY345" i="16"/>
  <c r="AC346" i="16"/>
  <c r="Y346" i="16"/>
  <c r="AB346" i="16" s="1"/>
  <c r="BN318" i="16"/>
  <c r="AD595" i="15" s="1"/>
  <c r="BH319" i="16"/>
  <c r="BD319" i="16"/>
  <c r="AJ397" i="15"/>
  <c r="Q412" i="16"/>
  <c r="S412" i="16" s="1"/>
  <c r="O412" i="16"/>
  <c r="AD346" i="16" l="1"/>
  <c r="AE346" i="16" s="1"/>
  <c r="AF346" i="16" s="1"/>
  <c r="AG346" i="16" s="1"/>
  <c r="AH346" i="16" s="1"/>
  <c r="AS346" i="16" s="1"/>
  <c r="AU346" i="16" s="1"/>
  <c r="AV346" i="16" s="1"/>
  <c r="Z346" i="16"/>
  <c r="U347" i="16" s="1"/>
  <c r="AC347" i="16" s="1"/>
  <c r="AN345" i="16"/>
  <c r="AO345" i="16" s="1"/>
  <c r="BQ318" i="16"/>
  <c r="E317" i="14"/>
  <c r="F317" i="14" s="1"/>
  <c r="H317" i="14" s="1"/>
  <c r="BJ319" i="16"/>
  <c r="BK319" i="16"/>
  <c r="BE319" i="16"/>
  <c r="BF319" i="16" s="1"/>
  <c r="E413" i="16"/>
  <c r="P413" i="16"/>
  <c r="AT346" i="16" l="1"/>
  <c r="AW346" i="16" s="1"/>
  <c r="AX346" i="16" s="1"/>
  <c r="AZ346" i="16" s="1"/>
  <c r="AL346" i="16"/>
  <c r="AY346" i="16" s="1"/>
  <c r="W347" i="16"/>
  <c r="AA347" i="16" s="1"/>
  <c r="AK347" i="16" s="1"/>
  <c r="AD347" i="16"/>
  <c r="AE347" i="16" s="1"/>
  <c r="AP345" i="16"/>
  <c r="AR345" i="16" s="1"/>
  <c r="BI319" i="16"/>
  <c r="BG319" i="16"/>
  <c r="BL319" i="16"/>
  <c r="BM319" i="16" s="1"/>
  <c r="L413" i="16"/>
  <c r="Q413" i="16"/>
  <c r="S413" i="16" s="1"/>
  <c r="AM346" i="16" l="1"/>
  <c r="AN346" i="16" s="1"/>
  <c r="Y347" i="16"/>
  <c r="AB347" i="16" s="1"/>
  <c r="AQ345" i="16"/>
  <c r="N413" i="16"/>
  <c r="O413" i="16" s="1"/>
  <c r="BC320" i="16"/>
  <c r="BH320" i="16" s="1"/>
  <c r="BO319" i="16"/>
  <c r="BP319" i="16" s="1"/>
  <c r="BN319" i="16"/>
  <c r="Z347" i="16" l="1"/>
  <c r="U348" i="16" s="1"/>
  <c r="AC348" i="16" s="1"/>
  <c r="AO346" i="16"/>
  <c r="AP346" i="16" s="1"/>
  <c r="AQ346" i="16" s="1"/>
  <c r="M414" i="16"/>
  <c r="P414" i="16" s="1"/>
  <c r="Q414" i="16" s="1"/>
  <c r="S414" i="16" s="1"/>
  <c r="BD320" i="16"/>
  <c r="BE320" i="16" s="1"/>
  <c r="AF347" i="16"/>
  <c r="AG347" i="16" s="1"/>
  <c r="AH347" i="16" s="1"/>
  <c r="AS347" i="16" s="1"/>
  <c r="AD649" i="15"/>
  <c r="E318" i="14"/>
  <c r="F318" i="14" s="1"/>
  <c r="H318" i="14" s="1"/>
  <c r="AJ398" i="15"/>
  <c r="BQ319" i="16"/>
  <c r="AR346" i="16" l="1"/>
  <c r="AU347" i="16"/>
  <c r="AV347" i="16" s="1"/>
  <c r="AT347" i="16"/>
  <c r="AW347" i="16" s="1"/>
  <c r="AX347" i="16" s="1"/>
  <c r="AZ347" i="16" s="1"/>
  <c r="AL347" i="16"/>
  <c r="AM347" i="16" s="1"/>
  <c r="BK320" i="16"/>
  <c r="BL320" i="16" s="1"/>
  <c r="BM320" i="16" s="1"/>
  <c r="BJ320" i="16"/>
  <c r="E414" i="16"/>
  <c r="L414" i="16" s="1"/>
  <c r="N414" i="16" s="1"/>
  <c r="M415" i="16" s="1"/>
  <c r="W348" i="16"/>
  <c r="AA348" i="16" s="1"/>
  <c r="AK348" i="16" s="1"/>
  <c r="BF320" i="16"/>
  <c r="BI320" i="16" s="1"/>
  <c r="AD348" i="16"/>
  <c r="AY347" i="16" l="1"/>
  <c r="E415" i="16"/>
  <c r="L415" i="16" s="1"/>
  <c r="BG320" i="16"/>
  <c r="BC321" i="16" s="1"/>
  <c r="BH321" i="16" s="1"/>
  <c r="O414" i="16"/>
  <c r="Y348" i="16"/>
  <c r="AB348" i="16" s="1"/>
  <c r="AN347" i="16"/>
  <c r="AO347" i="16" s="1"/>
  <c r="AE348" i="16"/>
  <c r="BO320" i="16"/>
  <c r="BP320" i="16" s="1"/>
  <c r="BN320" i="16"/>
  <c r="P415" i="16"/>
  <c r="N415" i="16" l="1"/>
  <c r="M416" i="16" s="1"/>
  <c r="AF348" i="16"/>
  <c r="AG348" i="16" s="1"/>
  <c r="AH348" i="16" s="1"/>
  <c r="AS348" i="16" s="1"/>
  <c r="Z348" i="16"/>
  <c r="U349" i="16" s="1"/>
  <c r="AC349" i="16" s="1"/>
  <c r="AD349" i="16" s="1"/>
  <c r="AE349" i="16" s="1"/>
  <c r="AP347" i="16"/>
  <c r="AR347" i="16" s="1"/>
  <c r="AJ399" i="15"/>
  <c r="BQ320" i="16"/>
  <c r="E319" i="14"/>
  <c r="F319" i="14" s="1"/>
  <c r="H319" i="14" s="1"/>
  <c r="AD711" i="15"/>
  <c r="BD321" i="16"/>
  <c r="Q415" i="16"/>
  <c r="S415" i="16" s="1"/>
  <c r="O415" i="16"/>
  <c r="AT348" i="16" l="1"/>
  <c r="AW348" i="16" s="1"/>
  <c r="AX348" i="16" s="1"/>
  <c r="AZ348" i="16" s="1"/>
  <c r="AU348" i="16"/>
  <c r="AV348" i="16" s="1"/>
  <c r="AL348" i="16"/>
  <c r="W349" i="16"/>
  <c r="AA349" i="16" s="1"/>
  <c r="AK349" i="16" s="1"/>
  <c r="AQ347" i="16"/>
  <c r="BJ321" i="16"/>
  <c r="BK321" i="16"/>
  <c r="BE321" i="16"/>
  <c r="BF321" i="16" s="1"/>
  <c r="E416" i="16"/>
  <c r="L416" i="16" s="1"/>
  <c r="P416" i="16"/>
  <c r="AY348" i="16" l="1"/>
  <c r="AM348" i="16"/>
  <c r="AN348" i="16" s="1"/>
  <c r="AO348" i="16" s="1"/>
  <c r="AP348" i="16" s="1"/>
  <c r="AR348" i="16" s="1"/>
  <c r="Y349" i="16"/>
  <c r="Z349" i="16" s="1"/>
  <c r="BI321" i="16"/>
  <c r="BG321" i="16"/>
  <c r="BL321" i="16"/>
  <c r="BM321" i="16" s="1"/>
  <c r="Q416" i="16"/>
  <c r="S416" i="16" s="1"/>
  <c r="N416" i="16"/>
  <c r="M417" i="16" s="1"/>
  <c r="AB349" i="16" l="1"/>
  <c r="AF349" i="16" s="1"/>
  <c r="AQ348" i="16"/>
  <c r="U350" i="16"/>
  <c r="AC350" i="16" s="1"/>
  <c r="BC322" i="16"/>
  <c r="BH322" i="16" s="1"/>
  <c r="BO321" i="16"/>
  <c r="BP321" i="16" s="1"/>
  <c r="BN321" i="16"/>
  <c r="O416" i="16"/>
  <c r="AG349" i="16" l="1"/>
  <c r="AL349" i="16" s="1"/>
  <c r="AM349" i="16" s="1"/>
  <c r="W350" i="16"/>
  <c r="AA350" i="16" s="1"/>
  <c r="AK350" i="16" s="1"/>
  <c r="AD350" i="16"/>
  <c r="E320" i="14"/>
  <c r="F320" i="14" s="1"/>
  <c r="H320" i="14" s="1"/>
  <c r="AD721" i="15"/>
  <c r="BD322" i="16"/>
  <c r="BE322" i="16" s="1"/>
  <c r="BF322" i="16" s="1"/>
  <c r="AJ400" i="15"/>
  <c r="BQ321" i="16"/>
  <c r="E417" i="16"/>
  <c r="L417" i="16" s="1"/>
  <c r="P417" i="16"/>
  <c r="AY349" i="16" l="1"/>
  <c r="Y350" i="16"/>
  <c r="AB350" i="16" s="1"/>
  <c r="AH349" i="16"/>
  <c r="AS349" i="16" s="1"/>
  <c r="AE350" i="16"/>
  <c r="AN349" i="16"/>
  <c r="AO349" i="16" s="1"/>
  <c r="BI322" i="16"/>
  <c r="BG322" i="16"/>
  <c r="BJ322" i="16"/>
  <c r="BK322" i="16"/>
  <c r="Q417" i="16"/>
  <c r="S417" i="16" s="1"/>
  <c r="N417" i="16"/>
  <c r="M418" i="16" s="1"/>
  <c r="Z350" i="16" l="1"/>
  <c r="U351" i="16" s="1"/>
  <c r="AC351" i="16" s="1"/>
  <c r="AF350" i="16"/>
  <c r="AG350" i="16" s="1"/>
  <c r="AH350" i="16" s="1"/>
  <c r="AS350" i="16" s="1"/>
  <c r="AT350" i="16" s="1"/>
  <c r="AU349" i="16"/>
  <c r="AV349" i="16" s="1"/>
  <c r="AT349" i="16"/>
  <c r="AW349" i="16" s="1"/>
  <c r="AX349" i="16" s="1"/>
  <c r="AZ349" i="16" s="1"/>
  <c r="AP349" i="16"/>
  <c r="AR349" i="16" s="1"/>
  <c r="BC323" i="16"/>
  <c r="BH323" i="16" s="1"/>
  <c r="BL322" i="16"/>
  <c r="BM322" i="16" s="1"/>
  <c r="BO322" i="16"/>
  <c r="BP322" i="16" s="1"/>
  <c r="O417" i="16"/>
  <c r="AW350" i="16" l="1"/>
  <c r="AX350" i="16" s="1"/>
  <c r="AZ350" i="16" s="1"/>
  <c r="AQ349" i="16"/>
  <c r="AU350" i="16"/>
  <c r="AV350" i="16" s="1"/>
  <c r="AL350" i="16"/>
  <c r="AY350" i="16" s="1"/>
  <c r="BN322" i="16"/>
  <c r="AD723" i="15" s="1"/>
  <c r="W351" i="16"/>
  <c r="AA351" i="16" s="1"/>
  <c r="AK351" i="16" s="1"/>
  <c r="AD351" i="16"/>
  <c r="BD323" i="16"/>
  <c r="AJ401" i="15"/>
  <c r="E418" i="16"/>
  <c r="L418" i="16" s="1"/>
  <c r="P418" i="16"/>
  <c r="E321" i="14" l="1"/>
  <c r="F321" i="14" s="1"/>
  <c r="H321" i="14" s="1"/>
  <c r="AM350" i="16"/>
  <c r="AN350" i="16" s="1"/>
  <c r="AO350" i="16" s="1"/>
  <c r="AP350" i="16" s="1"/>
  <c r="AQ350" i="16" s="1"/>
  <c r="BQ322" i="16"/>
  <c r="Y351" i="16"/>
  <c r="AB351" i="16" s="1"/>
  <c r="AE351" i="16"/>
  <c r="BJ323" i="16"/>
  <c r="BK323" i="16"/>
  <c r="BE323" i="16"/>
  <c r="BF323" i="16" s="1"/>
  <c r="Q418" i="16"/>
  <c r="S418" i="16" s="1"/>
  <c r="N418" i="16"/>
  <c r="M419" i="16" s="1"/>
  <c r="AF351" i="16" l="1"/>
  <c r="AG351" i="16" s="1"/>
  <c r="AH351" i="16" s="1"/>
  <c r="AS351" i="16" s="1"/>
  <c r="AT351" i="16" s="1"/>
  <c r="AW351" i="16" s="1"/>
  <c r="AX351" i="16" s="1"/>
  <c r="AZ351" i="16" s="1"/>
  <c r="AR350" i="16"/>
  <c r="Z351" i="16"/>
  <c r="U352" i="16" s="1"/>
  <c r="AC352" i="16" s="1"/>
  <c r="BI323" i="16"/>
  <c r="BG323" i="16"/>
  <c r="BL323" i="16"/>
  <c r="BM323" i="16" s="1"/>
  <c r="O418" i="16"/>
  <c r="AU351" i="16" l="1"/>
  <c r="AV351" i="16" s="1"/>
  <c r="AL351" i="16"/>
  <c r="AM351" i="16" s="1"/>
  <c r="AN351" i="16" s="1"/>
  <c r="AO351" i="16" s="1"/>
  <c r="W352" i="16"/>
  <c r="Y352" i="16" s="1"/>
  <c r="AD352" i="16"/>
  <c r="AE352" i="16" s="1"/>
  <c r="BO323" i="16"/>
  <c r="BP323" i="16" s="1"/>
  <c r="BN323" i="16"/>
  <c r="BC324" i="16"/>
  <c r="BH324" i="16" s="1"/>
  <c r="E419" i="16"/>
  <c r="P419" i="16"/>
  <c r="AY351" i="16" l="1"/>
  <c r="AA352" i="16"/>
  <c r="AK352" i="16" s="1"/>
  <c r="AB352" i="16"/>
  <c r="AF352" i="16" s="1"/>
  <c r="AG352" i="16" s="1"/>
  <c r="AH352" i="16" s="1"/>
  <c r="AS352" i="16" s="1"/>
  <c r="Z352" i="16"/>
  <c r="U353" i="16" s="1"/>
  <c r="AC353" i="16" s="1"/>
  <c r="AP351" i="16"/>
  <c r="AR351" i="16" s="1"/>
  <c r="AD718" i="15"/>
  <c r="E322" i="14"/>
  <c r="F322" i="14" s="1"/>
  <c r="H322" i="14" s="1"/>
  <c r="BD324" i="16"/>
  <c r="AJ402" i="15"/>
  <c r="BQ323" i="16"/>
  <c r="L419" i="16"/>
  <c r="Q419" i="16"/>
  <c r="S419" i="16" s="1"/>
  <c r="AT352" i="16" l="1"/>
  <c r="AW352" i="16" s="1"/>
  <c r="AX352" i="16" s="1"/>
  <c r="AZ352" i="16" s="1"/>
  <c r="AU352" i="16"/>
  <c r="AV352" i="16" s="1"/>
  <c r="AL352" i="16"/>
  <c r="AM352" i="16" s="1"/>
  <c r="AQ351" i="16"/>
  <c r="AD353" i="16"/>
  <c r="W353" i="16"/>
  <c r="AA353" i="16" s="1"/>
  <c r="AK353" i="16" s="1"/>
  <c r="BJ324" i="16"/>
  <c r="BK324" i="16"/>
  <c r="BE324" i="16"/>
  <c r="BF324" i="16" s="1"/>
  <c r="N419" i="16"/>
  <c r="AY352" i="16" l="1"/>
  <c r="Y353" i="16"/>
  <c r="AB353" i="16" s="1"/>
  <c r="AN352" i="16"/>
  <c r="AO352" i="16" s="1"/>
  <c r="AE353" i="16"/>
  <c r="BI324" i="16"/>
  <c r="BG324" i="16"/>
  <c r="BL324" i="16"/>
  <c r="BM324" i="16" s="1"/>
  <c r="M420" i="16"/>
  <c r="E420" i="16" s="1"/>
  <c r="L420" i="16" s="1"/>
  <c r="O419" i="16"/>
  <c r="AF353" i="16" l="1"/>
  <c r="AG353" i="16" s="1"/>
  <c r="AH353" i="16" s="1"/>
  <c r="AS353" i="16" s="1"/>
  <c r="P420" i="16"/>
  <c r="Q420" i="16" s="1"/>
  <c r="S420" i="16" s="1"/>
  <c r="Z353" i="16"/>
  <c r="U354" i="16" s="1"/>
  <c r="AC354" i="16" s="1"/>
  <c r="AP352" i="16"/>
  <c r="AQ352" i="16" s="1"/>
  <c r="BC325" i="16"/>
  <c r="BH325" i="16" s="1"/>
  <c r="BO324" i="16"/>
  <c r="BP324" i="16" s="1"/>
  <c r="BN324" i="16"/>
  <c r="N420" i="16"/>
  <c r="AT353" i="16" l="1"/>
  <c r="AW353" i="16" s="1"/>
  <c r="AX353" i="16" s="1"/>
  <c r="AZ353" i="16" s="1"/>
  <c r="AU353" i="16"/>
  <c r="AV353" i="16" s="1"/>
  <c r="AL353" i="16"/>
  <c r="W354" i="16"/>
  <c r="AA354" i="16" s="1"/>
  <c r="AK354" i="16" s="1"/>
  <c r="BD325" i="16"/>
  <c r="BJ325" i="16" s="1"/>
  <c r="AD354" i="16"/>
  <c r="AE354" i="16" s="1"/>
  <c r="AR352" i="16"/>
  <c r="AJ403" i="15"/>
  <c r="BQ324" i="16"/>
  <c r="E323" i="14"/>
  <c r="F323" i="14" s="1"/>
  <c r="H323" i="14" s="1"/>
  <c r="AD722" i="15"/>
  <c r="O420" i="16"/>
  <c r="M421" i="16"/>
  <c r="E421" i="16" s="1"/>
  <c r="L421" i="16" s="1"/>
  <c r="Y354" i="16" l="1"/>
  <c r="AB354" i="16" s="1"/>
  <c r="AF354" i="16" s="1"/>
  <c r="AG354" i="16" s="1"/>
  <c r="AH354" i="16" s="1"/>
  <c r="AS354" i="16" s="1"/>
  <c r="AT354" i="16" s="1"/>
  <c r="AW354" i="16" s="1"/>
  <c r="AX354" i="16" s="1"/>
  <c r="AZ354" i="16" s="1"/>
  <c r="AY353" i="16"/>
  <c r="AM353" i="16"/>
  <c r="AN353" i="16" s="1"/>
  <c r="AO353" i="16" s="1"/>
  <c r="BK325" i="16"/>
  <c r="BL325" i="16" s="1"/>
  <c r="BM325" i="16" s="1"/>
  <c r="N421" i="16"/>
  <c r="M422" i="16" s="1"/>
  <c r="BE325" i="16"/>
  <c r="BF325" i="16" s="1"/>
  <c r="BI325" i="16" s="1"/>
  <c r="P421" i="16"/>
  <c r="Q421" i="16" s="1"/>
  <c r="S421" i="16" s="1"/>
  <c r="Z354" i="16" l="1"/>
  <c r="U355" i="16" s="1"/>
  <c r="AC355" i="16" s="1"/>
  <c r="AD355" i="16" s="1"/>
  <c r="AL354" i="16"/>
  <c r="AM354" i="16" s="1"/>
  <c r="AU354" i="16"/>
  <c r="AV354" i="16" s="1"/>
  <c r="BG325" i="16"/>
  <c r="BC326" i="16" s="1"/>
  <c r="BH326" i="16" s="1"/>
  <c r="O421" i="16"/>
  <c r="AP353" i="16"/>
  <c r="AR353" i="16" s="1"/>
  <c r="BN325" i="16"/>
  <c r="BO325" i="16"/>
  <c r="BP325" i="16" s="1"/>
  <c r="E422" i="16"/>
  <c r="L422" i="16" s="1"/>
  <c r="P422" i="16"/>
  <c r="W355" i="16" l="1"/>
  <c r="Y355" i="16" s="1"/>
  <c r="AY354" i="16"/>
  <c r="AE355" i="16"/>
  <c r="AQ353" i="16"/>
  <c r="AA355" i="16"/>
  <c r="AK355" i="16" s="1"/>
  <c r="AN354" i="16"/>
  <c r="AO354" i="16" s="1"/>
  <c r="BD326" i="16"/>
  <c r="BE326" i="16" s="1"/>
  <c r="BF326" i="16" s="1"/>
  <c r="AJ59" i="15"/>
  <c r="BQ325" i="16"/>
  <c r="AD508" i="15"/>
  <c r="E324" i="14"/>
  <c r="F324" i="14" s="1"/>
  <c r="H324" i="14" s="1"/>
  <c r="Q422" i="16"/>
  <c r="S422" i="16" s="1"/>
  <c r="N422" i="16"/>
  <c r="M423" i="16" s="1"/>
  <c r="AP354" i="16" l="1"/>
  <c r="AR354" i="16" s="1"/>
  <c r="AB355" i="16"/>
  <c r="Z355" i="16"/>
  <c r="BI326" i="16"/>
  <c r="BG326" i="16"/>
  <c r="BJ326" i="16"/>
  <c r="BK326" i="16"/>
  <c r="O422" i="16"/>
  <c r="AQ354" i="16" l="1"/>
  <c r="U356" i="16"/>
  <c r="AC356" i="16" s="1"/>
  <c r="AF355" i="16"/>
  <c r="BL326" i="16"/>
  <c r="BM326" i="16" s="1"/>
  <c r="BC327" i="16"/>
  <c r="BH327" i="16" s="1"/>
  <c r="BO326" i="16"/>
  <c r="BP326" i="16" s="1"/>
  <c r="E423" i="16"/>
  <c r="L423" i="16" s="1"/>
  <c r="P423" i="16"/>
  <c r="AG355" i="16" l="1"/>
  <c r="AL355" i="16" s="1"/>
  <c r="AY355" i="16" s="1"/>
  <c r="BN326" i="16"/>
  <c r="E325" i="14" s="1"/>
  <c r="F325" i="14" s="1"/>
  <c r="H325" i="14" s="1"/>
  <c r="BD327" i="16"/>
  <c r="BJ327" i="16" s="1"/>
  <c r="AD356" i="16"/>
  <c r="W356" i="16"/>
  <c r="AJ76" i="15"/>
  <c r="Q423" i="16"/>
  <c r="S423" i="16" s="1"/>
  <c r="N423" i="16"/>
  <c r="M424" i="16" s="1"/>
  <c r="AM355" i="16" l="1"/>
  <c r="BQ326" i="16"/>
  <c r="AH355" i="16"/>
  <c r="AS355" i="16" s="1"/>
  <c r="AD411" i="15"/>
  <c r="BK327" i="16"/>
  <c r="BL327" i="16" s="1"/>
  <c r="BM327" i="16" s="1"/>
  <c r="BE327" i="16"/>
  <c r="BF327" i="16" s="1"/>
  <c r="AA356" i="16"/>
  <c r="AK356" i="16" s="1"/>
  <c r="Y356" i="16"/>
  <c r="AB356" i="16" s="1"/>
  <c r="AN355" i="16"/>
  <c r="AO355" i="16" s="1"/>
  <c r="AE356" i="16"/>
  <c r="O423" i="16"/>
  <c r="AT355" i="16" l="1"/>
  <c r="AW355" i="16" s="1"/>
  <c r="AX355" i="16" s="1"/>
  <c r="AZ355" i="16" s="1"/>
  <c r="AU355" i="16"/>
  <c r="AV355" i="16" s="1"/>
  <c r="BG327" i="16"/>
  <c r="BC328" i="16" s="1"/>
  <c r="BI327" i="16"/>
  <c r="BO327" i="16" s="1"/>
  <c r="BP327" i="16" s="1"/>
  <c r="AJ404" i="15" s="1"/>
  <c r="AP355" i="16"/>
  <c r="AR355" i="16" s="1"/>
  <c r="Z356" i="16"/>
  <c r="AF356" i="16"/>
  <c r="AG356" i="16" s="1"/>
  <c r="AH356" i="16" s="1"/>
  <c r="AS356" i="16" s="1"/>
  <c r="AT356" i="16" s="1"/>
  <c r="E424" i="16"/>
  <c r="L424" i="16" s="1"/>
  <c r="P424" i="16"/>
  <c r="AW356" i="16" l="1"/>
  <c r="AX356" i="16" s="1"/>
  <c r="AZ356" i="16" s="1"/>
  <c r="AU356" i="16"/>
  <c r="AV356" i="16" s="1"/>
  <c r="AL356" i="16"/>
  <c r="AY356" i="16" s="1"/>
  <c r="BN327" i="16"/>
  <c r="E326" i="14" s="1"/>
  <c r="F326" i="14" s="1"/>
  <c r="H326" i="14" s="1"/>
  <c r="AQ355" i="16"/>
  <c r="U357" i="16"/>
  <c r="AC357" i="16" s="1"/>
  <c r="AD357" i="16" s="1"/>
  <c r="BH328" i="16"/>
  <c r="BD328" i="16"/>
  <c r="BE328" i="16" s="1"/>
  <c r="Q424" i="16"/>
  <c r="S424" i="16" s="1"/>
  <c r="N424" i="16"/>
  <c r="M425" i="16" s="1"/>
  <c r="AD431" i="15" l="1"/>
  <c r="BQ327" i="16"/>
  <c r="AM356" i="16"/>
  <c r="AN356" i="16" s="1"/>
  <c r="AO356" i="16" s="1"/>
  <c r="AE357" i="16"/>
  <c r="W357" i="16"/>
  <c r="AA357" i="16" s="1"/>
  <c r="AK357" i="16" s="1"/>
  <c r="BJ328" i="16"/>
  <c r="BK328" i="16"/>
  <c r="BF328" i="16"/>
  <c r="O424" i="16"/>
  <c r="AP356" i="16" l="1"/>
  <c r="AR356" i="16" s="1"/>
  <c r="Y357" i="16"/>
  <c r="BI328" i="16"/>
  <c r="BG328" i="16"/>
  <c r="BL328" i="16"/>
  <c r="BM328" i="16" s="1"/>
  <c r="E425" i="16"/>
  <c r="L425" i="16" s="1"/>
  <c r="P425" i="16"/>
  <c r="AQ356" i="16" l="1"/>
  <c r="AB357" i="16"/>
  <c r="Z357" i="16"/>
  <c r="BC329" i="16"/>
  <c r="BH329" i="16" s="1"/>
  <c r="BO328" i="16"/>
  <c r="BP328" i="16" s="1"/>
  <c r="BN328" i="16"/>
  <c r="Q425" i="16"/>
  <c r="S425" i="16" s="1"/>
  <c r="N425" i="16"/>
  <c r="M426" i="16" s="1"/>
  <c r="U358" i="16" l="1"/>
  <c r="AC358" i="16" s="1"/>
  <c r="AF357" i="16"/>
  <c r="BD329" i="16"/>
  <c r="BE329" i="16" s="1"/>
  <c r="E327" i="14"/>
  <c r="F327" i="14" s="1"/>
  <c r="H327" i="14" s="1"/>
  <c r="AD468" i="15"/>
  <c r="AJ405" i="15"/>
  <c r="BQ328" i="16"/>
  <c r="O425" i="16"/>
  <c r="AG357" i="16" l="1"/>
  <c r="AL357" i="16" s="1"/>
  <c r="AY357" i="16" s="1"/>
  <c r="W358" i="16"/>
  <c r="AA358" i="16" s="1"/>
  <c r="AK358" i="16" s="1"/>
  <c r="AD358" i="16"/>
  <c r="BJ329" i="16"/>
  <c r="BK329" i="16"/>
  <c r="BF329" i="16"/>
  <c r="E426" i="16"/>
  <c r="P426" i="16"/>
  <c r="Y358" i="16" l="1"/>
  <c r="AB358" i="16" s="1"/>
  <c r="AM357" i="16"/>
  <c r="AN357" i="16" s="1"/>
  <c r="AO357" i="16" s="1"/>
  <c r="AP357" i="16" s="1"/>
  <c r="AQ357" i="16" s="1"/>
  <c r="AH357" i="16"/>
  <c r="AS357" i="16" s="1"/>
  <c r="AE358" i="16"/>
  <c r="BL329" i="16"/>
  <c r="BM329" i="16" s="1"/>
  <c r="BI329" i="16"/>
  <c r="BG329" i="16"/>
  <c r="L426" i="16"/>
  <c r="Q426" i="16"/>
  <c r="S426" i="16" s="1"/>
  <c r="AF358" i="16" l="1"/>
  <c r="AG358" i="16" s="1"/>
  <c r="AH358" i="16" s="1"/>
  <c r="AS358" i="16" s="1"/>
  <c r="AT358" i="16" s="1"/>
  <c r="Z358" i="16"/>
  <c r="U359" i="16" s="1"/>
  <c r="AC359" i="16" s="1"/>
  <c r="AD359" i="16" s="1"/>
  <c r="AR357" i="16"/>
  <c r="AT357" i="16"/>
  <c r="AW357" i="16" s="1"/>
  <c r="AX357" i="16" s="1"/>
  <c r="AZ357" i="16" s="1"/>
  <c r="AU357" i="16"/>
  <c r="AV357" i="16" s="1"/>
  <c r="AU358" i="16" s="1"/>
  <c r="AV358" i="16" s="1"/>
  <c r="AL358" i="16"/>
  <c r="AM358" i="16" s="1"/>
  <c r="BC330" i="16"/>
  <c r="BH330" i="16" s="1"/>
  <c r="BO329" i="16"/>
  <c r="BP329" i="16" s="1"/>
  <c r="BN329" i="16"/>
  <c r="N426" i="16"/>
  <c r="M427" i="16" s="1"/>
  <c r="W359" i="16" l="1"/>
  <c r="AA359" i="16" s="1"/>
  <c r="AK359" i="16" s="1"/>
  <c r="AY358" i="16"/>
  <c r="AW358" i="16"/>
  <c r="AX358" i="16" s="1"/>
  <c r="AZ358" i="16" s="1"/>
  <c r="E427" i="16"/>
  <c r="L427" i="16" s="1"/>
  <c r="AE359" i="16"/>
  <c r="O426" i="16"/>
  <c r="AN358" i="16"/>
  <c r="AO358" i="16" s="1"/>
  <c r="AJ124" i="15"/>
  <c r="BQ329" i="16"/>
  <c r="AD449" i="15"/>
  <c r="E328" i="14"/>
  <c r="F328" i="14" s="1"/>
  <c r="H328" i="14" s="1"/>
  <c r="BD330" i="16"/>
  <c r="P427" i="16"/>
  <c r="Y359" i="16" l="1"/>
  <c r="AB359" i="16" s="1"/>
  <c r="AF359" i="16" s="1"/>
  <c r="N427" i="16"/>
  <c r="M428" i="16" s="1"/>
  <c r="AP358" i="16"/>
  <c r="AR358" i="16" s="1"/>
  <c r="BJ330" i="16"/>
  <c r="BK330" i="16"/>
  <c r="BE330" i="16"/>
  <c r="BF330" i="16" s="1"/>
  <c r="Q427" i="16"/>
  <c r="S427" i="16" s="1"/>
  <c r="Z359" i="16" l="1"/>
  <c r="O427" i="16"/>
  <c r="AG359" i="16"/>
  <c r="AL359" i="16" s="1"/>
  <c r="AY359" i="16" s="1"/>
  <c r="AQ358" i="16"/>
  <c r="U360" i="16"/>
  <c r="AC360" i="16" s="1"/>
  <c r="BI330" i="16"/>
  <c r="BG330" i="16"/>
  <c r="BL330" i="16"/>
  <c r="BM330" i="16" s="1"/>
  <c r="E428" i="16"/>
  <c r="L428" i="16" s="1"/>
  <c r="P428" i="16"/>
  <c r="AM359" i="16" l="1"/>
  <c r="AH359" i="16"/>
  <c r="AS359" i="16" s="1"/>
  <c r="AD360" i="16"/>
  <c r="W360" i="16"/>
  <c r="AA360" i="16" s="1"/>
  <c r="AK360" i="16" s="1"/>
  <c r="AN359" i="16"/>
  <c r="AO359" i="16" s="1"/>
  <c r="BC331" i="16"/>
  <c r="BH331" i="16" s="1"/>
  <c r="BN330" i="16"/>
  <c r="BO330" i="16"/>
  <c r="BP330" i="16" s="1"/>
  <c r="Q428" i="16"/>
  <c r="S428" i="16" s="1"/>
  <c r="N428" i="16"/>
  <c r="M429" i="16" s="1"/>
  <c r="AU359" i="16" l="1"/>
  <c r="AT359" i="16"/>
  <c r="AW359" i="16" s="1"/>
  <c r="AX359" i="16" s="1"/>
  <c r="AZ359" i="16" s="1"/>
  <c r="AP359" i="16"/>
  <c r="AQ359" i="16" s="1"/>
  <c r="BD331" i="16"/>
  <c r="BE331" i="16" s="1"/>
  <c r="BF331" i="16" s="1"/>
  <c r="Y360" i="16"/>
  <c r="AB360" i="16" s="1"/>
  <c r="AE360" i="16"/>
  <c r="AJ56" i="15"/>
  <c r="BQ330" i="16"/>
  <c r="AD315" i="15"/>
  <c r="E329" i="14"/>
  <c r="F329" i="14" s="1"/>
  <c r="H329" i="14" s="1"/>
  <c r="O428" i="16"/>
  <c r="AV359" i="16" l="1"/>
  <c r="AR359" i="16"/>
  <c r="BK331" i="16"/>
  <c r="BL331" i="16" s="1"/>
  <c r="BM331" i="16" s="1"/>
  <c r="BJ331" i="16"/>
  <c r="Z360" i="16"/>
  <c r="AF360" i="16"/>
  <c r="AG360" i="16" s="1"/>
  <c r="AH360" i="16" s="1"/>
  <c r="AS360" i="16" s="1"/>
  <c r="AT360" i="16" s="1"/>
  <c r="AW360" i="16" s="1"/>
  <c r="AX360" i="16" s="1"/>
  <c r="AZ360" i="16" s="1"/>
  <c r="BI331" i="16"/>
  <c r="BG331" i="16"/>
  <c r="E429" i="16"/>
  <c r="L429" i="16" s="1"/>
  <c r="P429" i="16"/>
  <c r="AL360" i="16" l="1"/>
  <c r="AY360" i="16" s="1"/>
  <c r="AU360" i="16"/>
  <c r="AV360" i="16" s="1"/>
  <c r="U361" i="16"/>
  <c r="AC361" i="16" s="1"/>
  <c r="BC332" i="16"/>
  <c r="BH332" i="16" s="1"/>
  <c r="BO331" i="16"/>
  <c r="BP331" i="16" s="1"/>
  <c r="BN331" i="16"/>
  <c r="Q429" i="16"/>
  <c r="S429" i="16" s="1"/>
  <c r="N429" i="16"/>
  <c r="M430" i="16" s="1"/>
  <c r="AM360" i="16" l="1"/>
  <c r="AN360" i="16" s="1"/>
  <c r="AO360" i="16" s="1"/>
  <c r="AD361" i="16"/>
  <c r="W361" i="16"/>
  <c r="AA361" i="16" s="1"/>
  <c r="AK361" i="16" s="1"/>
  <c r="E330" i="14"/>
  <c r="F330" i="14" s="1"/>
  <c r="H330" i="14" s="1"/>
  <c r="AD280" i="15"/>
  <c r="BD332" i="16"/>
  <c r="AJ89" i="15"/>
  <c r="BQ331" i="16"/>
  <c r="O429" i="16"/>
  <c r="AP360" i="16" l="1"/>
  <c r="AR360" i="16" s="1"/>
  <c r="Y361" i="16"/>
  <c r="AB361" i="16" s="1"/>
  <c r="AE361" i="16"/>
  <c r="BJ332" i="16"/>
  <c r="BK332" i="16"/>
  <c r="BE332" i="16"/>
  <c r="BF332" i="16" s="1"/>
  <c r="E430" i="16"/>
  <c r="L430" i="16" s="1"/>
  <c r="P430" i="16"/>
  <c r="AQ360" i="16" l="1"/>
  <c r="AF361" i="16"/>
  <c r="AG361" i="16" s="1"/>
  <c r="AH361" i="16" s="1"/>
  <c r="AS361" i="16" s="1"/>
  <c r="Z361" i="16"/>
  <c r="BI332" i="16"/>
  <c r="BG332" i="16"/>
  <c r="BL332" i="16"/>
  <c r="BM332" i="16" s="1"/>
  <c r="Q430" i="16"/>
  <c r="S430" i="16" s="1"/>
  <c r="N430" i="16"/>
  <c r="M431" i="16" s="1"/>
  <c r="AL361" i="16" l="1"/>
  <c r="AM361" i="16" s="1"/>
  <c r="AU361" i="16"/>
  <c r="AV361" i="16" s="1"/>
  <c r="AT361" i="16"/>
  <c r="AW361" i="16" s="1"/>
  <c r="AX361" i="16" s="1"/>
  <c r="AZ361" i="16" s="1"/>
  <c r="U362" i="16"/>
  <c r="AC362" i="16" s="1"/>
  <c r="BC333" i="16"/>
  <c r="BH333" i="16" s="1"/>
  <c r="BO332" i="16"/>
  <c r="BP332" i="16" s="1"/>
  <c r="BN332" i="16"/>
  <c r="O430" i="16"/>
  <c r="E431" i="16"/>
  <c r="AY361" i="16" l="1"/>
  <c r="W362" i="16"/>
  <c r="AA362" i="16" s="1"/>
  <c r="AK362" i="16" s="1"/>
  <c r="AN361" i="16"/>
  <c r="AO361" i="16" s="1"/>
  <c r="AD362" i="16"/>
  <c r="BD333" i="16"/>
  <c r="BK333" i="16" s="1"/>
  <c r="E331" i="14"/>
  <c r="F331" i="14" s="1"/>
  <c r="H331" i="14" s="1"/>
  <c r="AD308" i="15"/>
  <c r="AJ406" i="15"/>
  <c r="BQ332" i="16"/>
  <c r="L431" i="16"/>
  <c r="P431" i="16"/>
  <c r="BJ333" i="16" l="1"/>
  <c r="Y362" i="16"/>
  <c r="AB362" i="16" s="1"/>
  <c r="BE333" i="16"/>
  <c r="BF333" i="16" s="1"/>
  <c r="AP361" i="16"/>
  <c r="AR361" i="16" s="1"/>
  <c r="AE362" i="16"/>
  <c r="BL333" i="16"/>
  <c r="BM333" i="16" s="1"/>
  <c r="N431" i="16"/>
  <c r="Q431" i="16"/>
  <c r="S431" i="16" s="1"/>
  <c r="AF362" i="16" l="1"/>
  <c r="AG362" i="16" s="1"/>
  <c r="AH362" i="16" s="1"/>
  <c r="AS362" i="16" s="1"/>
  <c r="Z362" i="16"/>
  <c r="U363" i="16" s="1"/>
  <c r="AC363" i="16" s="1"/>
  <c r="BG333" i="16"/>
  <c r="BC334" i="16" s="1"/>
  <c r="BH334" i="16" s="1"/>
  <c r="BI333" i="16"/>
  <c r="BN333" i="16" s="1"/>
  <c r="AQ361" i="16"/>
  <c r="O431" i="16"/>
  <c r="M432" i="16"/>
  <c r="E432" i="16" s="1"/>
  <c r="L432" i="16" s="1"/>
  <c r="AU362" i="16" l="1"/>
  <c r="AV362" i="16" s="1"/>
  <c r="AT362" i="16"/>
  <c r="AW362" i="16" s="1"/>
  <c r="AX362" i="16" s="1"/>
  <c r="AZ362" i="16" s="1"/>
  <c r="AL362" i="16"/>
  <c r="AD363" i="16"/>
  <c r="AE363" i="16" s="1"/>
  <c r="W363" i="16"/>
  <c r="AA363" i="16" s="1"/>
  <c r="AK363" i="16" s="1"/>
  <c r="BO333" i="16"/>
  <c r="BP333" i="16" s="1"/>
  <c r="AJ407" i="15" s="1"/>
  <c r="P432" i="16"/>
  <c r="Q432" i="16" s="1"/>
  <c r="S432" i="16" s="1"/>
  <c r="N432" i="16"/>
  <c r="M433" i="16" s="1"/>
  <c r="BD334" i="16"/>
  <c r="BE334" i="16" s="1"/>
  <c r="BF334" i="16" s="1"/>
  <c r="AD350" i="15"/>
  <c r="E332" i="14"/>
  <c r="F332" i="14" s="1"/>
  <c r="H332" i="14" s="1"/>
  <c r="Y363" i="16" l="1"/>
  <c r="AB363" i="16" s="1"/>
  <c r="AF363" i="16" s="1"/>
  <c r="AG363" i="16" s="1"/>
  <c r="AH363" i="16" s="1"/>
  <c r="AS363" i="16" s="1"/>
  <c r="AT363" i="16" s="1"/>
  <c r="AW363" i="16" s="1"/>
  <c r="AX363" i="16" s="1"/>
  <c r="AZ363" i="16" s="1"/>
  <c r="AM362" i="16"/>
  <c r="AN362" i="16" s="1"/>
  <c r="AO362" i="16" s="1"/>
  <c r="AP362" i="16" s="1"/>
  <c r="AR362" i="16" s="1"/>
  <c r="AY362" i="16"/>
  <c r="BQ333" i="16"/>
  <c r="BK334" i="16"/>
  <c r="BL334" i="16" s="1"/>
  <c r="BM334" i="16" s="1"/>
  <c r="E433" i="16"/>
  <c r="L433" i="16" s="1"/>
  <c r="BJ334" i="16"/>
  <c r="O432" i="16"/>
  <c r="BI334" i="16"/>
  <c r="BG334" i="16"/>
  <c r="P433" i="16"/>
  <c r="Z363" i="16" l="1"/>
  <c r="U364" i="16" s="1"/>
  <c r="AC364" i="16" s="1"/>
  <c r="AD364" i="16" s="1"/>
  <c r="AE364" i="16" s="1"/>
  <c r="AL363" i="16"/>
  <c r="AY363" i="16" s="1"/>
  <c r="AU363" i="16"/>
  <c r="AV363" i="16" s="1"/>
  <c r="AQ362" i="16"/>
  <c r="BC335" i="16"/>
  <c r="BH335" i="16" s="1"/>
  <c r="BO334" i="16"/>
  <c r="BP334" i="16" s="1"/>
  <c r="BN334" i="16"/>
  <c r="N433" i="16"/>
  <c r="Q433" i="16"/>
  <c r="S433" i="16" s="1"/>
  <c r="W364" i="16" l="1"/>
  <c r="AA364" i="16" s="1"/>
  <c r="AK364" i="16" s="1"/>
  <c r="AM363" i="16"/>
  <c r="AN363" i="16" s="1"/>
  <c r="AO363" i="16" s="1"/>
  <c r="AP363" i="16" s="1"/>
  <c r="AR363" i="16" s="1"/>
  <c r="BD335" i="16"/>
  <c r="BE335" i="16" s="1"/>
  <c r="BF335" i="16" s="1"/>
  <c r="E333" i="14"/>
  <c r="F333" i="14" s="1"/>
  <c r="H333" i="14" s="1"/>
  <c r="AD390" i="15"/>
  <c r="AJ408" i="15"/>
  <c r="BQ334" i="16"/>
  <c r="O433" i="16"/>
  <c r="M434" i="16"/>
  <c r="E434" i="16" s="1"/>
  <c r="L434" i="16" s="1"/>
  <c r="Y364" i="16" l="1"/>
  <c r="AB364" i="16" s="1"/>
  <c r="AF364" i="16" s="1"/>
  <c r="AQ363" i="16"/>
  <c r="BK335" i="16"/>
  <c r="BL335" i="16" s="1"/>
  <c r="BM335" i="16" s="1"/>
  <c r="BJ335" i="16"/>
  <c r="BI335" i="16"/>
  <c r="BG335" i="16"/>
  <c r="N434" i="16"/>
  <c r="M435" i="16" s="1"/>
  <c r="P434" i="16"/>
  <c r="Q434" i="16" s="1"/>
  <c r="S434" i="16" s="1"/>
  <c r="Z364" i="16" l="1"/>
  <c r="U365" i="16" s="1"/>
  <c r="AC365" i="16" s="1"/>
  <c r="AG364" i="16"/>
  <c r="E435" i="16"/>
  <c r="L435" i="16" s="1"/>
  <c r="AD365" i="16"/>
  <c r="BC336" i="16"/>
  <c r="BH336" i="16" s="1"/>
  <c r="BN335" i="16"/>
  <c r="BO335" i="16"/>
  <c r="BP335" i="16" s="1"/>
  <c r="O434" i="16"/>
  <c r="P435" i="16"/>
  <c r="W365" i="16" l="1"/>
  <c r="AA365" i="16" s="1"/>
  <c r="AK365" i="16" s="1"/>
  <c r="AL364" i="16"/>
  <c r="AM364" i="16" s="1"/>
  <c r="AN364" i="16" s="1"/>
  <c r="AO364" i="16" s="1"/>
  <c r="AP364" i="16" s="1"/>
  <c r="AQ364" i="16" s="1"/>
  <c r="AH364" i="16"/>
  <c r="AS364" i="16" s="1"/>
  <c r="AE365" i="16"/>
  <c r="E334" i="14"/>
  <c r="F334" i="14" s="1"/>
  <c r="H334" i="14" s="1"/>
  <c r="AD329" i="15"/>
  <c r="AJ87" i="15"/>
  <c r="BQ335" i="16"/>
  <c r="BD336" i="16"/>
  <c r="N435" i="16"/>
  <c r="Q435" i="16"/>
  <c r="S435" i="16" s="1"/>
  <c r="Y365" i="16" l="1"/>
  <c r="AB365" i="16" s="1"/>
  <c r="AF365" i="16" s="1"/>
  <c r="AU364" i="16"/>
  <c r="AV364" i="16" s="1"/>
  <c r="AT364" i="16"/>
  <c r="AW364" i="16" s="1"/>
  <c r="AX364" i="16" s="1"/>
  <c r="AZ364" i="16" s="1"/>
  <c r="AY364" i="16"/>
  <c r="AR364" i="16"/>
  <c r="Z365" i="16"/>
  <c r="U366" i="16" s="1"/>
  <c r="AC366" i="16" s="1"/>
  <c r="BE336" i="16"/>
  <c r="BF336" i="16" s="1"/>
  <c r="BJ336" i="16"/>
  <c r="BK336" i="16"/>
  <c r="O435" i="16"/>
  <c r="M436" i="16"/>
  <c r="E436" i="16" s="1"/>
  <c r="L436" i="16" s="1"/>
  <c r="AG365" i="16" l="1"/>
  <c r="AD366" i="16"/>
  <c r="AE366" i="16" s="1"/>
  <c r="W366" i="16"/>
  <c r="AA366" i="16" s="1"/>
  <c r="AK366" i="16" s="1"/>
  <c r="P436" i="16"/>
  <c r="Q436" i="16" s="1"/>
  <c r="S436" i="16" s="1"/>
  <c r="BI336" i="16"/>
  <c r="BG336" i="16"/>
  <c r="BL336" i="16"/>
  <c r="BM336" i="16" s="1"/>
  <c r="N436" i="16"/>
  <c r="M437" i="16" s="1"/>
  <c r="Y366" i="16" l="1"/>
  <c r="AB366" i="16" s="1"/>
  <c r="AF366" i="16" s="1"/>
  <c r="AG366" i="16" s="1"/>
  <c r="AH366" i="16" s="1"/>
  <c r="AS366" i="16" s="1"/>
  <c r="AT366" i="16" s="1"/>
  <c r="AL365" i="16"/>
  <c r="AY365" i="16" s="1"/>
  <c r="AH365" i="16"/>
  <c r="AS365" i="16" s="1"/>
  <c r="BC337" i="16"/>
  <c r="BH337" i="16" s="1"/>
  <c r="BN336" i="16"/>
  <c r="BO336" i="16"/>
  <c r="BP336" i="16" s="1"/>
  <c r="O436" i="16"/>
  <c r="Z366" i="16" l="1"/>
  <c r="AT365" i="16"/>
  <c r="AW365" i="16" s="1"/>
  <c r="AU365" i="16"/>
  <c r="AV365" i="16" s="1"/>
  <c r="AU366" i="16" s="1"/>
  <c r="AV366" i="16" s="1"/>
  <c r="AL366" i="16"/>
  <c r="AY366" i="16" s="1"/>
  <c r="AM365" i="16"/>
  <c r="AN365" i="16" s="1"/>
  <c r="U367" i="16"/>
  <c r="AC367" i="16" s="1"/>
  <c r="BD337" i="16"/>
  <c r="BE337" i="16" s="1"/>
  <c r="BF337" i="16" s="1"/>
  <c r="AD220" i="15"/>
  <c r="E335" i="14"/>
  <c r="F335" i="14" s="1"/>
  <c r="H335" i="14" s="1"/>
  <c r="AJ62" i="15"/>
  <c r="BQ336" i="16"/>
  <c r="E437" i="16"/>
  <c r="L437" i="16" s="1"/>
  <c r="P437" i="16"/>
  <c r="AM366" i="16" l="1"/>
  <c r="AO365" i="16"/>
  <c r="AP365" i="16" s="1"/>
  <c r="AQ365" i="16" s="1"/>
  <c r="AX365" i="16"/>
  <c r="AZ365" i="16" s="1"/>
  <c r="W367" i="16"/>
  <c r="AA367" i="16" s="1"/>
  <c r="AK367" i="16" s="1"/>
  <c r="AN366" i="16"/>
  <c r="AO366" i="16" s="1"/>
  <c r="AD367" i="16"/>
  <c r="BI337" i="16"/>
  <c r="BG337" i="16"/>
  <c r="BJ337" i="16"/>
  <c r="BK337" i="16"/>
  <c r="Q437" i="16"/>
  <c r="S437" i="16" s="1"/>
  <c r="N437" i="16"/>
  <c r="M438" i="16" s="1"/>
  <c r="AR365" i="16" l="1"/>
  <c r="AW366" i="16"/>
  <c r="AX366" i="16" s="1"/>
  <c r="AZ366" i="16" s="1"/>
  <c r="Y367" i="16"/>
  <c r="AB367" i="16" s="1"/>
  <c r="AP366" i="16"/>
  <c r="AQ366" i="16" s="1"/>
  <c r="AE367" i="16"/>
  <c r="BL337" i="16"/>
  <c r="BM337" i="16" s="1"/>
  <c r="BC338" i="16"/>
  <c r="BH338" i="16" s="1"/>
  <c r="BO337" i="16"/>
  <c r="BP337" i="16" s="1"/>
  <c r="O437" i="16"/>
  <c r="AF367" i="16" l="1"/>
  <c r="AG367" i="16" s="1"/>
  <c r="AH367" i="16" s="1"/>
  <c r="AS367" i="16" s="1"/>
  <c r="AR366" i="16"/>
  <c r="Z367" i="16"/>
  <c r="BD338" i="16"/>
  <c r="BJ338" i="16" s="1"/>
  <c r="BN337" i="16"/>
  <c r="BQ337" i="16" s="1"/>
  <c r="AJ409" i="15"/>
  <c r="E438" i="16"/>
  <c r="L438" i="16" s="1"/>
  <c r="P438" i="16"/>
  <c r="AT367" i="16" l="1"/>
  <c r="AW367" i="16" s="1"/>
  <c r="AX367" i="16" s="1"/>
  <c r="AZ367" i="16" s="1"/>
  <c r="AU367" i="16"/>
  <c r="AV367" i="16" s="1"/>
  <c r="AL367" i="16"/>
  <c r="AY367" i="16" s="1"/>
  <c r="AD258" i="15"/>
  <c r="U368" i="16"/>
  <c r="W368" i="16" s="1"/>
  <c r="AA368" i="16" s="1"/>
  <c r="AK368" i="16" s="1"/>
  <c r="BK338" i="16"/>
  <c r="BL338" i="16" s="1"/>
  <c r="BM338" i="16" s="1"/>
  <c r="E336" i="14"/>
  <c r="F336" i="14" s="1"/>
  <c r="H336" i="14" s="1"/>
  <c r="BE338" i="16"/>
  <c r="BF338" i="16" s="1"/>
  <c r="BI338" i="16" s="1"/>
  <c r="Q438" i="16"/>
  <c r="S438" i="16" s="1"/>
  <c r="N438" i="16"/>
  <c r="M439" i="16" s="1"/>
  <c r="AM367" i="16" l="1"/>
  <c r="AN367" i="16" s="1"/>
  <c r="AO367" i="16" s="1"/>
  <c r="AP367" i="16" s="1"/>
  <c r="AR367" i="16" s="1"/>
  <c r="BG338" i="16"/>
  <c r="BC339" i="16" s="1"/>
  <c r="BH339" i="16" s="1"/>
  <c r="AC368" i="16"/>
  <c r="Y368" i="16"/>
  <c r="AB368" i="16" s="1"/>
  <c r="BO338" i="16"/>
  <c r="BP338" i="16" s="1"/>
  <c r="BN338" i="16"/>
  <c r="O438" i="16"/>
  <c r="AQ367" i="16" l="1"/>
  <c r="Z368" i="16"/>
  <c r="AD368" i="16"/>
  <c r="BD339" i="16"/>
  <c r="BE339" i="16" s="1"/>
  <c r="BF339" i="16" s="1"/>
  <c r="AJ410" i="15"/>
  <c r="BQ338" i="16"/>
  <c r="E337" i="14"/>
  <c r="F337" i="14" s="1"/>
  <c r="H337" i="14" s="1"/>
  <c r="AD296" i="15"/>
  <c r="E439" i="16"/>
  <c r="L439" i="16" s="1"/>
  <c r="P439" i="16"/>
  <c r="AE368" i="16" l="1"/>
  <c r="AF368" i="16" s="1"/>
  <c r="AG368" i="16" s="1"/>
  <c r="U369" i="16"/>
  <c r="W369" i="16" s="1"/>
  <c r="BI339" i="16"/>
  <c r="BG339" i="16"/>
  <c r="BJ339" i="16"/>
  <c r="BK339" i="16"/>
  <c r="Q439" i="16"/>
  <c r="S439" i="16" s="1"/>
  <c r="N439" i="16"/>
  <c r="M440" i="16" s="1"/>
  <c r="AH368" i="16" l="1"/>
  <c r="AS368" i="16" s="1"/>
  <c r="AL368" i="16"/>
  <c r="AY368" i="16" s="1"/>
  <c r="Y369" i="16"/>
  <c r="AB369" i="16" s="1"/>
  <c r="AA369" i="16"/>
  <c r="AK369" i="16" s="1"/>
  <c r="AC369" i="16"/>
  <c r="BL339" i="16"/>
  <c r="BM339" i="16" s="1"/>
  <c r="BC340" i="16"/>
  <c r="BD340" i="16" s="1"/>
  <c r="BJ340" i="16" s="1"/>
  <c r="BO339" i="16"/>
  <c r="BP339" i="16" s="1"/>
  <c r="O439" i="16"/>
  <c r="AM368" i="16" l="1"/>
  <c r="AN368" i="16" s="1"/>
  <c r="AO368" i="16" s="1"/>
  <c r="AP368" i="16" s="1"/>
  <c r="AR368" i="16" s="1"/>
  <c r="AU368" i="16"/>
  <c r="AV368" i="16" s="1"/>
  <c r="AT368" i="16"/>
  <c r="AW368" i="16" s="1"/>
  <c r="AX368" i="16" s="1"/>
  <c r="AZ368" i="16" s="1"/>
  <c r="BN339" i="16"/>
  <c r="E338" i="14" s="1"/>
  <c r="F338" i="14" s="1"/>
  <c r="H338" i="14" s="1"/>
  <c r="Z369" i="16"/>
  <c r="AD369" i="16"/>
  <c r="BE340" i="16"/>
  <c r="BF340" i="16" s="1"/>
  <c r="BH340" i="16"/>
  <c r="AJ411" i="15"/>
  <c r="BK340" i="16"/>
  <c r="E440" i="16"/>
  <c r="P440" i="16"/>
  <c r="BQ339" i="16" l="1"/>
  <c r="AD331" i="15"/>
  <c r="AE369" i="16"/>
  <c r="U370" i="16"/>
  <c r="W370" i="16" s="1"/>
  <c r="AA370" i="16" s="1"/>
  <c r="AK370" i="16" s="1"/>
  <c r="AQ368" i="16"/>
  <c r="BL340" i="16"/>
  <c r="BM340" i="16" s="1"/>
  <c r="BI340" i="16"/>
  <c r="BG340" i="16"/>
  <c r="L440" i="16"/>
  <c r="N440" i="16" s="1"/>
  <c r="M441" i="16" s="1"/>
  <c r="Q440" i="16"/>
  <c r="S440" i="16" s="1"/>
  <c r="AC370" i="16" l="1"/>
  <c r="Y370" i="16"/>
  <c r="AB370" i="16" s="1"/>
  <c r="AF369" i="16"/>
  <c r="BO340" i="16"/>
  <c r="BP340" i="16" s="1"/>
  <c r="BN340" i="16"/>
  <c r="BC341" i="16"/>
  <c r="O440" i="16"/>
  <c r="AG369" i="16" l="1"/>
  <c r="Z370" i="16"/>
  <c r="U371" i="16" s="1"/>
  <c r="AD370" i="16"/>
  <c r="BH341" i="16"/>
  <c r="BD341" i="16"/>
  <c r="AD372" i="15"/>
  <c r="E339" i="14"/>
  <c r="F339" i="14" s="1"/>
  <c r="H339" i="14" s="1"/>
  <c r="AJ412" i="15"/>
  <c r="BQ340" i="16"/>
  <c r="E441" i="16"/>
  <c r="L441" i="16" s="1"/>
  <c r="P441" i="16"/>
  <c r="W371" i="16" l="1"/>
  <c r="AA371" i="16" s="1"/>
  <c r="AK371" i="16" s="1"/>
  <c r="AL369" i="16"/>
  <c r="AH369" i="16"/>
  <c r="AS369" i="16" s="1"/>
  <c r="AE370" i="16"/>
  <c r="AF370" i="16" s="1"/>
  <c r="AG370" i="16" s="1"/>
  <c r="AC371" i="16"/>
  <c r="BJ341" i="16"/>
  <c r="BK341" i="16"/>
  <c r="BE341" i="16"/>
  <c r="BF341" i="16" s="1"/>
  <c r="Q441" i="16"/>
  <c r="S441" i="16" s="1"/>
  <c r="N441" i="16"/>
  <c r="M442" i="16" s="1"/>
  <c r="Y371" i="16" l="1"/>
  <c r="AB371" i="16" s="1"/>
  <c r="AT369" i="16"/>
  <c r="AW369" i="16" s="1"/>
  <c r="AX369" i="16" s="1"/>
  <c r="AZ369" i="16" s="1"/>
  <c r="AU369" i="16"/>
  <c r="AV369" i="16" s="1"/>
  <c r="AY369" i="16"/>
  <c r="AH370" i="16"/>
  <c r="AS370" i="16" s="1"/>
  <c r="AT370" i="16" s="1"/>
  <c r="AL370" i="16"/>
  <c r="AY370" i="16" s="1"/>
  <c r="AM369" i="16"/>
  <c r="AD371" i="16"/>
  <c r="AE371" i="16" s="1"/>
  <c r="BI341" i="16"/>
  <c r="BG341" i="16"/>
  <c r="BL341" i="16"/>
  <c r="BM341" i="16" s="1"/>
  <c r="O441" i="16"/>
  <c r="AF371" i="16" l="1"/>
  <c r="AG371" i="16" s="1"/>
  <c r="AH371" i="16" s="1"/>
  <c r="AS371" i="16" s="1"/>
  <c r="AT371" i="16" s="1"/>
  <c r="Z371" i="16"/>
  <c r="U372" i="16" s="1"/>
  <c r="AC372" i="16" s="1"/>
  <c r="AD372" i="16" s="1"/>
  <c r="AE372" i="16" s="1"/>
  <c r="AM370" i="16"/>
  <c r="AN370" i="16" s="1"/>
  <c r="AU370" i="16"/>
  <c r="AV370" i="16" s="1"/>
  <c r="AN369" i="16"/>
  <c r="AW370" i="16"/>
  <c r="AX370" i="16" s="1"/>
  <c r="AZ370" i="16" s="1"/>
  <c r="BC342" i="16"/>
  <c r="BH342" i="16" s="1"/>
  <c r="BO341" i="16"/>
  <c r="BP341" i="16" s="1"/>
  <c r="BN341" i="16"/>
  <c r="E442" i="16"/>
  <c r="L442" i="16" s="1"/>
  <c r="P442" i="16"/>
  <c r="AL371" i="16" l="1"/>
  <c r="AM371" i="16" s="1"/>
  <c r="AN371" i="16" s="1"/>
  <c r="AU371" i="16"/>
  <c r="AV371" i="16" s="1"/>
  <c r="W372" i="16"/>
  <c r="AA372" i="16" s="1"/>
  <c r="AK372" i="16" s="1"/>
  <c r="AO370" i="16"/>
  <c r="AP370" i="16" s="1"/>
  <c r="AR370" i="16" s="1"/>
  <c r="AW371" i="16"/>
  <c r="AX371" i="16" s="1"/>
  <c r="AZ371" i="16" s="1"/>
  <c r="AO369" i="16"/>
  <c r="AP369" i="16" s="1"/>
  <c r="AQ369" i="16" s="1"/>
  <c r="BD342" i="16"/>
  <c r="BE342" i="16" s="1"/>
  <c r="BF342" i="16" s="1"/>
  <c r="AD410" i="15"/>
  <c r="E340" i="14"/>
  <c r="F340" i="14" s="1"/>
  <c r="H340" i="14" s="1"/>
  <c r="AJ413" i="15"/>
  <c r="BQ341" i="16"/>
  <c r="Q442" i="16"/>
  <c r="S442" i="16" s="1"/>
  <c r="N442" i="16"/>
  <c r="M443" i="16" s="1"/>
  <c r="AY371" i="16" l="1"/>
  <c r="AQ370" i="16"/>
  <c r="Y372" i="16"/>
  <c r="AB372" i="16" s="1"/>
  <c r="AF372" i="16" s="1"/>
  <c r="AG372" i="16" s="1"/>
  <c r="AH372" i="16" s="1"/>
  <c r="AS372" i="16" s="1"/>
  <c r="AU372" i="16" s="1"/>
  <c r="AV372" i="16" s="1"/>
  <c r="AO371" i="16"/>
  <c r="AP371" i="16" s="1"/>
  <c r="AR371" i="16" s="1"/>
  <c r="AR369" i="16"/>
  <c r="BI342" i="16"/>
  <c r="BG342" i="16"/>
  <c r="BJ342" i="16"/>
  <c r="BK342" i="16"/>
  <c r="O442" i="16"/>
  <c r="E443" i="16"/>
  <c r="L443" i="16" s="1"/>
  <c r="AL372" i="16" l="1"/>
  <c r="AY372" i="16" s="1"/>
  <c r="Z372" i="16"/>
  <c r="U373" i="16" s="1"/>
  <c r="AC373" i="16" s="1"/>
  <c r="AD373" i="16" s="1"/>
  <c r="AE373" i="16" s="1"/>
  <c r="AT372" i="16"/>
  <c r="AW372" i="16" s="1"/>
  <c r="AX372" i="16" s="1"/>
  <c r="AZ372" i="16" s="1"/>
  <c r="AM372" i="16"/>
  <c r="AN372" i="16" s="1"/>
  <c r="AQ371" i="16"/>
  <c r="BC343" i="16"/>
  <c r="BH343" i="16" s="1"/>
  <c r="BL342" i="16"/>
  <c r="BM342" i="16" s="1"/>
  <c r="BO342" i="16"/>
  <c r="BP342" i="16" s="1"/>
  <c r="N443" i="16"/>
  <c r="M444" i="16" s="1"/>
  <c r="P443" i="16"/>
  <c r="W373" i="16" l="1"/>
  <c r="AA373" i="16" s="1"/>
  <c r="AK373" i="16" s="1"/>
  <c r="AO372" i="16"/>
  <c r="AP372" i="16" s="1"/>
  <c r="AQ372" i="16" s="1"/>
  <c r="BN342" i="16"/>
  <c r="AD436" i="15" s="1"/>
  <c r="BD343" i="16"/>
  <c r="BE343" i="16" s="1"/>
  <c r="AJ414" i="15"/>
  <c r="Q443" i="16"/>
  <c r="S443" i="16" s="1"/>
  <c r="O443" i="16"/>
  <c r="Y373" i="16" l="1"/>
  <c r="E341" i="14"/>
  <c r="F341" i="14" s="1"/>
  <c r="H341" i="14" s="1"/>
  <c r="BQ342" i="16"/>
  <c r="AR372" i="16"/>
  <c r="BJ343" i="16"/>
  <c r="BK343" i="16"/>
  <c r="BF343" i="16"/>
  <c r="E444" i="16"/>
  <c r="L444" i="16" s="1"/>
  <c r="P444" i="16"/>
  <c r="AB373" i="16" l="1"/>
  <c r="AF373" i="16" s="1"/>
  <c r="Z373" i="16"/>
  <c r="U374" i="16" s="1"/>
  <c r="AC374" i="16" s="1"/>
  <c r="AD374" i="16" s="1"/>
  <c r="AG373" i="16"/>
  <c r="BI343" i="16"/>
  <c r="BG343" i="16"/>
  <c r="BL343" i="16"/>
  <c r="BM343" i="16" s="1"/>
  <c r="Q444" i="16"/>
  <c r="S444" i="16" s="1"/>
  <c r="N444" i="16"/>
  <c r="M445" i="16" s="1"/>
  <c r="W374" i="16" l="1"/>
  <c r="Y374" i="16" s="1"/>
  <c r="AB374" i="16" s="1"/>
  <c r="AL373" i="16"/>
  <c r="AY373" i="16" s="1"/>
  <c r="AH373" i="16"/>
  <c r="AS373" i="16" s="1"/>
  <c r="Z374" i="16"/>
  <c r="AE374" i="16"/>
  <c r="AF374" i="16" s="1"/>
  <c r="AG374" i="16" s="1"/>
  <c r="AH374" i="16" s="1"/>
  <c r="AS374" i="16" s="1"/>
  <c r="AT374" i="16" s="1"/>
  <c r="BC344" i="16"/>
  <c r="BH344" i="16" s="1"/>
  <c r="BO343" i="16"/>
  <c r="BP343" i="16" s="1"/>
  <c r="BN343" i="16"/>
  <c r="E445" i="16"/>
  <c r="L445" i="16" s="1"/>
  <c r="O444" i="16"/>
  <c r="AA374" i="16" l="1"/>
  <c r="AK374" i="16" s="1"/>
  <c r="AM373" i="16"/>
  <c r="AN373" i="16" s="1"/>
  <c r="AO373" i="16" s="1"/>
  <c r="AP373" i="16" s="1"/>
  <c r="AQ373" i="16" s="1"/>
  <c r="AL374" i="16"/>
  <c r="AY374" i="16" s="1"/>
  <c r="AT373" i="16"/>
  <c r="AW373" i="16" s="1"/>
  <c r="AX373" i="16" s="1"/>
  <c r="AZ373" i="16" s="1"/>
  <c r="AU373" i="16"/>
  <c r="AV373" i="16" s="1"/>
  <c r="AU374" i="16" s="1"/>
  <c r="AV374" i="16" s="1"/>
  <c r="U375" i="16"/>
  <c r="AC375" i="16" s="1"/>
  <c r="AJ415" i="15"/>
  <c r="BQ343" i="16"/>
  <c r="E342" i="14"/>
  <c r="F342" i="14" s="1"/>
  <c r="H342" i="14" s="1"/>
  <c r="AD484" i="15"/>
  <c r="BD344" i="16"/>
  <c r="N445" i="16"/>
  <c r="M446" i="16" s="1"/>
  <c r="P445" i="16"/>
  <c r="AM374" i="16" l="1"/>
  <c r="AN374" i="16" s="1"/>
  <c r="AO374" i="16" s="1"/>
  <c r="AW374" i="16"/>
  <c r="AX374" i="16" s="1"/>
  <c r="AZ374" i="16" s="1"/>
  <c r="AR373" i="16"/>
  <c r="AD375" i="16"/>
  <c r="W375" i="16"/>
  <c r="BJ344" i="16"/>
  <c r="BK344" i="16"/>
  <c r="BE344" i="16"/>
  <c r="BF344" i="16" s="1"/>
  <c r="Q445" i="16"/>
  <c r="S445" i="16" s="1"/>
  <c r="O445" i="16"/>
  <c r="AP374" i="16" l="1"/>
  <c r="AQ374" i="16" s="1"/>
  <c r="AA375" i="16"/>
  <c r="AK375" i="16" s="1"/>
  <c r="Y375" i="16"/>
  <c r="AB375" i="16" s="1"/>
  <c r="AE375" i="16"/>
  <c r="BI344" i="16"/>
  <c r="BG344" i="16"/>
  <c r="BL344" i="16"/>
  <c r="BM344" i="16" s="1"/>
  <c r="E446" i="16"/>
  <c r="L446" i="16" s="1"/>
  <c r="P446" i="16"/>
  <c r="AR374" i="16" l="1"/>
  <c r="Z375" i="16"/>
  <c r="U376" i="16" s="1"/>
  <c r="AC376" i="16" s="1"/>
  <c r="AF375" i="16"/>
  <c r="AG375" i="16" s="1"/>
  <c r="AH375" i="16" s="1"/>
  <c r="AS375" i="16" s="1"/>
  <c r="BC345" i="16"/>
  <c r="BN344" i="16"/>
  <c r="BO344" i="16"/>
  <c r="BP344" i="16" s="1"/>
  <c r="Q446" i="16"/>
  <c r="S446" i="16" s="1"/>
  <c r="N446" i="16"/>
  <c r="M447" i="16" s="1"/>
  <c r="AU375" i="16" l="1"/>
  <c r="AV375" i="16" s="1"/>
  <c r="AT375" i="16"/>
  <c r="AW375" i="16" s="1"/>
  <c r="AX375" i="16" s="1"/>
  <c r="AZ375" i="16" s="1"/>
  <c r="AL375" i="16"/>
  <c r="AY375" i="16" s="1"/>
  <c r="W376" i="16"/>
  <c r="AA376" i="16" s="1"/>
  <c r="AK376" i="16" s="1"/>
  <c r="AD376" i="16"/>
  <c r="BD345" i="16"/>
  <c r="BH345" i="16"/>
  <c r="E343" i="14"/>
  <c r="F343" i="14" s="1"/>
  <c r="H343" i="14" s="1"/>
  <c r="AD526" i="15"/>
  <c r="AJ416" i="15"/>
  <c r="BQ344" i="16"/>
  <c r="O446" i="16"/>
  <c r="E447" i="16"/>
  <c r="L447" i="16" s="1"/>
  <c r="AM375" i="16" l="1"/>
  <c r="AN375" i="16" s="1"/>
  <c r="AO375" i="16" s="1"/>
  <c r="Y376" i="16"/>
  <c r="AB376" i="16" s="1"/>
  <c r="AE376" i="16"/>
  <c r="BJ345" i="16"/>
  <c r="BK345" i="16"/>
  <c r="BE345" i="16"/>
  <c r="BF345" i="16" s="1"/>
  <c r="N447" i="16"/>
  <c r="M448" i="16" s="1"/>
  <c r="P447" i="16"/>
  <c r="Z376" i="16" l="1"/>
  <c r="U377" i="16" s="1"/>
  <c r="AC377" i="16" s="1"/>
  <c r="AD377" i="16" s="1"/>
  <c r="AE377" i="16" s="1"/>
  <c r="AF376" i="16"/>
  <c r="AG376" i="16" s="1"/>
  <c r="AH376" i="16" s="1"/>
  <c r="AS376" i="16" s="1"/>
  <c r="AP375" i="16"/>
  <c r="AQ375" i="16" s="1"/>
  <c r="BI345" i="16"/>
  <c r="BG345" i="16"/>
  <c r="BL345" i="16"/>
  <c r="BM345" i="16" s="1"/>
  <c r="Q447" i="16"/>
  <c r="S447" i="16" s="1"/>
  <c r="O447" i="16"/>
  <c r="W377" i="16" l="1"/>
  <c r="AA377" i="16" s="1"/>
  <c r="AK377" i="16" s="1"/>
  <c r="AT376" i="16"/>
  <c r="AW376" i="16" s="1"/>
  <c r="AU376" i="16"/>
  <c r="AV376" i="16" s="1"/>
  <c r="AL376" i="16"/>
  <c r="AY376" i="16" s="1"/>
  <c r="AR375" i="16"/>
  <c r="P448" i="16"/>
  <c r="Q448" i="16" s="1"/>
  <c r="S448" i="16" s="1"/>
  <c r="BC346" i="16"/>
  <c r="BH346" i="16" s="1"/>
  <c r="BN345" i="16"/>
  <c r="BO345" i="16"/>
  <c r="BP345" i="16" s="1"/>
  <c r="E448" i="16"/>
  <c r="L448" i="16" s="1"/>
  <c r="Y377" i="16" l="1"/>
  <c r="AB377" i="16" s="1"/>
  <c r="AM376" i="16"/>
  <c r="AN376" i="16" s="1"/>
  <c r="AO376" i="16" s="1"/>
  <c r="AP376" i="16" s="1"/>
  <c r="AR376" i="16" s="1"/>
  <c r="AX376" i="16"/>
  <c r="AZ376" i="16" s="1"/>
  <c r="Z377" i="16"/>
  <c r="U378" i="16" s="1"/>
  <c r="AC378" i="16" s="1"/>
  <c r="AD378" i="16" s="1"/>
  <c r="BD346" i="16"/>
  <c r="BK346" i="16" s="1"/>
  <c r="AF377" i="16"/>
  <c r="AG377" i="16" s="1"/>
  <c r="AH377" i="16" s="1"/>
  <c r="AS377" i="16" s="1"/>
  <c r="AT377" i="16" s="1"/>
  <c r="AJ417" i="15"/>
  <c r="BQ345" i="16"/>
  <c r="AD560" i="15"/>
  <c r="E344" i="14"/>
  <c r="F344" i="14" s="1"/>
  <c r="H344" i="14" s="1"/>
  <c r="N448" i="16"/>
  <c r="M449" i="16" s="1"/>
  <c r="AW377" i="16" l="1"/>
  <c r="AX377" i="16" s="1"/>
  <c r="AZ377" i="16" s="1"/>
  <c r="AL377" i="16"/>
  <c r="AM377" i="16" s="1"/>
  <c r="AU377" i="16"/>
  <c r="AV377" i="16" s="1"/>
  <c r="BE346" i="16"/>
  <c r="BF346" i="16" s="1"/>
  <c r="BG346" i="16" s="1"/>
  <c r="AQ376" i="16"/>
  <c r="BJ346" i="16"/>
  <c r="AE378" i="16"/>
  <c r="W378" i="16"/>
  <c r="BL346" i="16"/>
  <c r="BM346" i="16" s="1"/>
  <c r="O448" i="16"/>
  <c r="AY377" i="16" l="1"/>
  <c r="BI346" i="16"/>
  <c r="BO346" i="16" s="1"/>
  <c r="BP346" i="16" s="1"/>
  <c r="AA378" i="16"/>
  <c r="AK378" i="16" s="1"/>
  <c r="Y378" i="16"/>
  <c r="AB378" i="16" s="1"/>
  <c r="AN377" i="16"/>
  <c r="BC347" i="16"/>
  <c r="BH347" i="16" s="1"/>
  <c r="E449" i="16"/>
  <c r="P449" i="16"/>
  <c r="BN346" i="16" l="1"/>
  <c r="E345" i="14" s="1"/>
  <c r="F345" i="14" s="1"/>
  <c r="H345" i="14" s="1"/>
  <c r="AF378" i="16"/>
  <c r="AO377" i="16"/>
  <c r="Z378" i="16"/>
  <c r="BD347" i="16"/>
  <c r="BE347" i="16" s="1"/>
  <c r="BF347" i="16" s="1"/>
  <c r="AJ418" i="15"/>
  <c r="L449" i="16"/>
  <c r="Q449" i="16"/>
  <c r="S449" i="16" s="1"/>
  <c r="AD613" i="15" l="1"/>
  <c r="BQ346" i="16"/>
  <c r="AG378" i="16"/>
  <c r="AL378" i="16" s="1"/>
  <c r="AY378" i="16" s="1"/>
  <c r="AP377" i="16"/>
  <c r="AR377" i="16" s="1"/>
  <c r="U379" i="16"/>
  <c r="AC379" i="16" s="1"/>
  <c r="BI347" i="16"/>
  <c r="BG347" i="16"/>
  <c r="BJ347" i="16"/>
  <c r="BK347" i="16"/>
  <c r="N449" i="16"/>
  <c r="AM378" i="16" l="1"/>
  <c r="AN378" i="16" s="1"/>
  <c r="AO378" i="16" s="1"/>
  <c r="AH378" i="16"/>
  <c r="AS378" i="16" s="1"/>
  <c r="W379" i="16"/>
  <c r="AQ377" i="16"/>
  <c r="AD379" i="16"/>
  <c r="BL347" i="16"/>
  <c r="BM347" i="16" s="1"/>
  <c r="BC348" i="16"/>
  <c r="BH348" i="16" s="1"/>
  <c r="BO347" i="16"/>
  <c r="BP347" i="16" s="1"/>
  <c r="O449" i="16"/>
  <c r="M450" i="16"/>
  <c r="P450" i="16" s="1"/>
  <c r="AU378" i="16" l="1"/>
  <c r="AV378" i="16" s="1"/>
  <c r="AT378" i="16"/>
  <c r="AW378" i="16" s="1"/>
  <c r="AX378" i="16" s="1"/>
  <c r="AZ378" i="16" s="1"/>
  <c r="AA379" i="16"/>
  <c r="AK379" i="16" s="1"/>
  <c r="Y379" i="16"/>
  <c r="AB379" i="16" s="1"/>
  <c r="AP378" i="16"/>
  <c r="AQ378" i="16" s="1"/>
  <c r="E450" i="16"/>
  <c r="L450" i="16" s="1"/>
  <c r="N450" i="16" s="1"/>
  <c r="M451" i="16" s="1"/>
  <c r="BN347" i="16"/>
  <c r="BQ347" i="16" s="1"/>
  <c r="AE379" i="16"/>
  <c r="AJ419" i="15"/>
  <c r="BD348" i="16"/>
  <c r="Q450" i="16"/>
  <c r="S450" i="16" s="1"/>
  <c r="E346" i="14" l="1"/>
  <c r="F346" i="14" s="1"/>
  <c r="H346" i="14" s="1"/>
  <c r="AD677" i="15"/>
  <c r="AF379" i="16"/>
  <c r="AG379" i="16" s="1"/>
  <c r="AH379" i="16" s="1"/>
  <c r="AS379" i="16" s="1"/>
  <c r="AT379" i="16" s="1"/>
  <c r="AW379" i="16" s="1"/>
  <c r="AX379" i="16" s="1"/>
  <c r="AZ379" i="16" s="1"/>
  <c r="Z379" i="16"/>
  <c r="AR378" i="16"/>
  <c r="BJ348" i="16"/>
  <c r="BK348" i="16"/>
  <c r="BE348" i="16"/>
  <c r="BF348" i="16" s="1"/>
  <c r="E451" i="16"/>
  <c r="L451" i="16" s="1"/>
  <c r="O450" i="16"/>
  <c r="AU379" i="16" l="1"/>
  <c r="AV379" i="16" s="1"/>
  <c r="AL379" i="16"/>
  <c r="AY379" i="16" s="1"/>
  <c r="U380" i="16"/>
  <c r="W380" i="16" s="1"/>
  <c r="AA380" i="16" s="1"/>
  <c r="AK380" i="16" s="1"/>
  <c r="BI348" i="16"/>
  <c r="BG348" i="16"/>
  <c r="BL348" i="16"/>
  <c r="BM348" i="16" s="1"/>
  <c r="N451" i="16"/>
  <c r="M452" i="16" s="1"/>
  <c r="P451" i="16"/>
  <c r="AM379" i="16" l="1"/>
  <c r="AN379" i="16" s="1"/>
  <c r="AO379" i="16" s="1"/>
  <c r="AP379" i="16" s="1"/>
  <c r="AR379" i="16" s="1"/>
  <c r="AC380" i="16"/>
  <c r="Y380" i="16"/>
  <c r="BC349" i="16"/>
  <c r="BH349" i="16" s="1"/>
  <c r="BO348" i="16"/>
  <c r="BP348" i="16" s="1"/>
  <c r="BN348" i="16"/>
  <c r="Q451" i="16"/>
  <c r="S451" i="16" s="1"/>
  <c r="O451" i="16"/>
  <c r="AQ379" i="16" l="1"/>
  <c r="AB380" i="16"/>
  <c r="Z380" i="16"/>
  <c r="U381" i="16" s="1"/>
  <c r="AC381" i="16" s="1"/>
  <c r="AD380" i="16"/>
  <c r="AE380" i="16" s="1"/>
  <c r="AD717" i="15"/>
  <c r="E347" i="14"/>
  <c r="F347" i="14" s="1"/>
  <c r="H347" i="14" s="1"/>
  <c r="BD349" i="16"/>
  <c r="AJ420" i="15"/>
  <c r="BQ348" i="16"/>
  <c r="P452" i="16"/>
  <c r="Q452" i="16" s="1"/>
  <c r="S452" i="16" s="1"/>
  <c r="E452" i="16"/>
  <c r="L452" i="16" s="1"/>
  <c r="W381" i="16" l="1"/>
  <c r="AA381" i="16" s="1"/>
  <c r="AK381" i="16" s="1"/>
  <c r="AD381" i="16"/>
  <c r="AE381" i="16" s="1"/>
  <c r="AF380" i="16"/>
  <c r="AG380" i="16" s="1"/>
  <c r="AH380" i="16" s="1"/>
  <c r="AS380" i="16" s="1"/>
  <c r="BJ349" i="16"/>
  <c r="BK349" i="16"/>
  <c r="BE349" i="16"/>
  <c r="BF349" i="16" s="1"/>
  <c r="N452" i="16"/>
  <c r="M453" i="16" s="1"/>
  <c r="Y381" i="16" l="1"/>
  <c r="AB381" i="16" s="1"/>
  <c r="AF381" i="16" s="1"/>
  <c r="AL380" i="16"/>
  <c r="AY380" i="16" s="1"/>
  <c r="AU380" i="16"/>
  <c r="AV380" i="16" s="1"/>
  <c r="AT380" i="16"/>
  <c r="AW380" i="16" s="1"/>
  <c r="AX380" i="16" s="1"/>
  <c r="AZ380" i="16" s="1"/>
  <c r="BI349" i="16"/>
  <c r="BG349" i="16"/>
  <c r="BL349" i="16"/>
  <c r="BM349" i="16" s="1"/>
  <c r="E453" i="16"/>
  <c r="L453" i="16" s="1"/>
  <c r="O452" i="16"/>
  <c r="Z381" i="16" l="1"/>
  <c r="U382" i="16" s="1"/>
  <c r="AC382" i="16" s="1"/>
  <c r="AD382" i="16" s="1"/>
  <c r="AE382" i="16" s="1"/>
  <c r="AM380" i="16"/>
  <c r="AN380" i="16" s="1"/>
  <c r="AO380" i="16" s="1"/>
  <c r="AG381" i="16"/>
  <c r="AL381" i="16" s="1"/>
  <c r="AY381" i="16" s="1"/>
  <c r="BC350" i="16"/>
  <c r="BH350" i="16" s="1"/>
  <c r="BO349" i="16"/>
  <c r="BP349" i="16" s="1"/>
  <c r="BN349" i="16"/>
  <c r="N453" i="16"/>
  <c r="M454" i="16" s="1"/>
  <c r="P453" i="16"/>
  <c r="W382" i="16" l="1"/>
  <c r="AA382" i="16" s="1"/>
  <c r="AK382" i="16" s="1"/>
  <c r="AM381" i="16"/>
  <c r="AN381" i="16" s="1"/>
  <c r="AO381" i="16" s="1"/>
  <c r="AH381" i="16"/>
  <c r="AS381" i="16" s="1"/>
  <c r="AP380" i="16"/>
  <c r="AR380" i="16" s="1"/>
  <c r="BD350" i="16"/>
  <c r="BE350" i="16" s="1"/>
  <c r="E348" i="14"/>
  <c r="F348" i="14" s="1"/>
  <c r="H348" i="14" s="1"/>
  <c r="AD727" i="15"/>
  <c r="AJ421" i="15"/>
  <c r="BQ349" i="16"/>
  <c r="Q453" i="16"/>
  <c r="S453" i="16" s="1"/>
  <c r="O453" i="16"/>
  <c r="Y382" i="16" l="1"/>
  <c r="AB382" i="16" s="1"/>
  <c r="AF382" i="16" s="1"/>
  <c r="AU381" i="16"/>
  <c r="AV381" i="16" s="1"/>
  <c r="AT381" i="16"/>
  <c r="AW381" i="16" s="1"/>
  <c r="AX381" i="16" s="1"/>
  <c r="AZ381" i="16" s="1"/>
  <c r="AQ380" i="16"/>
  <c r="BK350" i="16"/>
  <c r="BL350" i="16" s="1"/>
  <c r="BM350" i="16" s="1"/>
  <c r="BJ350" i="16"/>
  <c r="BF350" i="16"/>
  <c r="BG350" i="16" s="1"/>
  <c r="AP381" i="16"/>
  <c r="AR381" i="16" s="1"/>
  <c r="E454" i="16"/>
  <c r="P454" i="16"/>
  <c r="Q454" i="16" s="1"/>
  <c r="S454" i="16" s="1"/>
  <c r="Z382" i="16" l="1"/>
  <c r="U383" i="16" s="1"/>
  <c r="AC383" i="16" s="1"/>
  <c r="AD383" i="16" s="1"/>
  <c r="AG382" i="16"/>
  <c r="BI350" i="16"/>
  <c r="BN350" i="16" s="1"/>
  <c r="AQ381" i="16"/>
  <c r="BC351" i="16"/>
  <c r="BH351" i="16" s="1"/>
  <c r="L454" i="16"/>
  <c r="W383" i="16" l="1"/>
  <c r="BO350" i="16"/>
  <c r="BP350" i="16" s="1"/>
  <c r="AJ422" i="15" s="1"/>
  <c r="AL382" i="16"/>
  <c r="AY382" i="16" s="1"/>
  <c r="AH382" i="16"/>
  <c r="AS382" i="16" s="1"/>
  <c r="AE383" i="16"/>
  <c r="AA383" i="16"/>
  <c r="AK383" i="16" s="1"/>
  <c r="Y383" i="16"/>
  <c r="AB383" i="16" s="1"/>
  <c r="E349" i="14"/>
  <c r="F349" i="14" s="1"/>
  <c r="H349" i="14" s="1"/>
  <c r="AD732" i="15"/>
  <c r="BD351" i="16"/>
  <c r="N454" i="16"/>
  <c r="AM382" i="16" l="1"/>
  <c r="AN382" i="16" s="1"/>
  <c r="AO382" i="16" s="1"/>
  <c r="AP382" i="16" s="1"/>
  <c r="AQ382" i="16" s="1"/>
  <c r="AU382" i="16"/>
  <c r="AV382" i="16" s="1"/>
  <c r="AT382" i="16"/>
  <c r="AW382" i="16" s="1"/>
  <c r="BQ350" i="16"/>
  <c r="AF383" i="16"/>
  <c r="AG383" i="16" s="1"/>
  <c r="AH383" i="16" s="1"/>
  <c r="AS383" i="16" s="1"/>
  <c r="AT383" i="16" s="1"/>
  <c r="Z383" i="16"/>
  <c r="BJ351" i="16"/>
  <c r="BK351" i="16"/>
  <c r="BE351" i="16"/>
  <c r="BF351" i="16" s="1"/>
  <c r="M455" i="16"/>
  <c r="O454" i="16"/>
  <c r="AR382" i="16" l="1"/>
  <c r="AU383" i="16"/>
  <c r="AV383" i="16" s="1"/>
  <c r="AL383" i="16"/>
  <c r="AM383" i="16" s="1"/>
  <c r="AX382" i="16"/>
  <c r="AZ382" i="16" s="1"/>
  <c r="U384" i="16"/>
  <c r="AC384" i="16" s="1"/>
  <c r="AD384" i="16" s="1"/>
  <c r="BI351" i="16"/>
  <c r="BG351" i="16"/>
  <c r="BL351" i="16"/>
  <c r="BM351" i="16" s="1"/>
  <c r="E455" i="16"/>
  <c r="L455" i="16" s="1"/>
  <c r="P455" i="16"/>
  <c r="Q455" i="16" s="1"/>
  <c r="S455" i="16" s="1"/>
  <c r="AY383" i="16" l="1"/>
  <c r="AW383" i="16"/>
  <c r="AX383" i="16" s="1"/>
  <c r="AZ383" i="16" s="1"/>
  <c r="AE384" i="16"/>
  <c r="W384" i="16"/>
  <c r="Y384" i="16" s="1"/>
  <c r="AB384" i="16" s="1"/>
  <c r="AN383" i="16"/>
  <c r="BC352" i="16"/>
  <c r="BH352" i="16" s="1"/>
  <c r="BO351" i="16"/>
  <c r="BP351" i="16" s="1"/>
  <c r="BN351" i="16"/>
  <c r="N455" i="16"/>
  <c r="M456" i="16" s="1"/>
  <c r="BD352" i="16" l="1"/>
  <c r="BJ352" i="16" s="1"/>
  <c r="AF384" i="16"/>
  <c r="AA384" i="16"/>
  <c r="AK384" i="16" s="1"/>
  <c r="Z384" i="16"/>
  <c r="AO383" i="16"/>
  <c r="E350" i="14"/>
  <c r="F350" i="14" s="1"/>
  <c r="H350" i="14" s="1"/>
  <c r="AD733" i="15"/>
  <c r="AJ423" i="15"/>
  <c r="BQ351" i="16"/>
  <c r="O455" i="16"/>
  <c r="AG384" i="16" l="1"/>
  <c r="AL384" i="16" s="1"/>
  <c r="AY384" i="16" s="1"/>
  <c r="BE352" i="16"/>
  <c r="BF352" i="16" s="1"/>
  <c r="BG352" i="16" s="1"/>
  <c r="BK352" i="16"/>
  <c r="BL352" i="16" s="1"/>
  <c r="BM352" i="16" s="1"/>
  <c r="AP383" i="16"/>
  <c r="AR383" i="16" s="1"/>
  <c r="U385" i="16"/>
  <c r="AC385" i="16" s="1"/>
  <c r="E456" i="16"/>
  <c r="L456" i="16" s="1"/>
  <c r="P456" i="16"/>
  <c r="BI352" i="16" l="1"/>
  <c r="BO352" i="16" s="1"/>
  <c r="BP352" i="16" s="1"/>
  <c r="AM384" i="16"/>
  <c r="AN384" i="16" s="1"/>
  <c r="AO384" i="16" s="1"/>
  <c r="AH384" i="16"/>
  <c r="AS384" i="16" s="1"/>
  <c r="AD385" i="16"/>
  <c r="AQ383" i="16"/>
  <c r="W385" i="16"/>
  <c r="AA385" i="16" s="1"/>
  <c r="AK385" i="16" s="1"/>
  <c r="BC353" i="16"/>
  <c r="BH353" i="16" s="1"/>
  <c r="Q456" i="16"/>
  <c r="S456" i="16" s="1"/>
  <c r="N456" i="16"/>
  <c r="M457" i="16" s="1"/>
  <c r="BN352" i="16" l="1"/>
  <c r="BQ352" i="16" s="1"/>
  <c r="AT384" i="16"/>
  <c r="AW384" i="16" s="1"/>
  <c r="AX384" i="16" s="1"/>
  <c r="AZ384" i="16" s="1"/>
  <c r="AU384" i="16"/>
  <c r="AV384" i="16" s="1"/>
  <c r="AP384" i="16"/>
  <c r="AQ384" i="16" s="1"/>
  <c r="Y385" i="16"/>
  <c r="AE385" i="16"/>
  <c r="BD353" i="16"/>
  <c r="BE353" i="16" s="1"/>
  <c r="BF353" i="16" s="1"/>
  <c r="AJ424" i="15"/>
  <c r="O456" i="16"/>
  <c r="E457" i="16"/>
  <c r="L457" i="16" s="1"/>
  <c r="AD734" i="15" l="1"/>
  <c r="E351" i="14"/>
  <c r="F351" i="14" s="1"/>
  <c r="H351" i="14" s="1"/>
  <c r="AR384" i="16"/>
  <c r="AB385" i="16"/>
  <c r="Z385" i="16"/>
  <c r="BI353" i="16"/>
  <c r="BG353" i="16"/>
  <c r="BJ353" i="16"/>
  <c r="BK353" i="16"/>
  <c r="N457" i="16"/>
  <c r="M458" i="16" s="1"/>
  <c r="P457" i="16"/>
  <c r="U386" i="16" l="1"/>
  <c r="AC386" i="16" s="1"/>
  <c r="AF385" i="16"/>
  <c r="AG385" i="16" s="1"/>
  <c r="AH385" i="16" s="1"/>
  <c r="AS385" i="16" s="1"/>
  <c r="BL353" i="16"/>
  <c r="BM353" i="16" s="1"/>
  <c r="BC354" i="16"/>
  <c r="BH354" i="16" s="1"/>
  <c r="BO353" i="16"/>
  <c r="BP353" i="16" s="1"/>
  <c r="Q457" i="16"/>
  <c r="S457" i="16" s="1"/>
  <c r="O457" i="16"/>
  <c r="AT385" i="16" l="1"/>
  <c r="AW385" i="16" s="1"/>
  <c r="AX385" i="16" s="1"/>
  <c r="AZ385" i="16" s="1"/>
  <c r="AU385" i="16"/>
  <c r="AV385" i="16" s="1"/>
  <c r="AL385" i="16"/>
  <c r="AM385" i="16" s="1"/>
  <c r="W386" i="16"/>
  <c r="AA386" i="16" s="1"/>
  <c r="AK386" i="16" s="1"/>
  <c r="AD386" i="16"/>
  <c r="BN353" i="16"/>
  <c r="BQ353" i="16" s="1"/>
  <c r="AJ114" i="15"/>
  <c r="BD354" i="16"/>
  <c r="E458" i="16"/>
  <c r="P458" i="16"/>
  <c r="AY385" i="16" l="1"/>
  <c r="E352" i="14"/>
  <c r="F352" i="14" s="1"/>
  <c r="H352" i="14" s="1"/>
  <c r="AD713" i="15"/>
  <c r="Y386" i="16"/>
  <c r="AB386" i="16" s="1"/>
  <c r="AN385" i="16"/>
  <c r="AO385" i="16" s="1"/>
  <c r="BE354" i="16"/>
  <c r="BF354" i="16" s="1"/>
  <c r="AE386" i="16"/>
  <c r="BJ354" i="16"/>
  <c r="BK354" i="16"/>
  <c r="Q458" i="16"/>
  <c r="S458" i="16" s="1"/>
  <c r="L458" i="16"/>
  <c r="N458" i="16" s="1"/>
  <c r="M459" i="16" s="1"/>
  <c r="Z386" i="16" l="1"/>
  <c r="U387" i="16" s="1"/>
  <c r="AC387" i="16" s="1"/>
  <c r="AF386" i="16"/>
  <c r="AG386" i="16" s="1"/>
  <c r="AH386" i="16" s="1"/>
  <c r="AS386" i="16" s="1"/>
  <c r="BG354" i="16"/>
  <c r="BC355" i="16" s="1"/>
  <c r="BH355" i="16" s="1"/>
  <c r="BI354" i="16"/>
  <c r="BO354" i="16" s="1"/>
  <c r="BP354" i="16" s="1"/>
  <c r="AP385" i="16"/>
  <c r="AQ385" i="16" s="1"/>
  <c r="BL354" i="16"/>
  <c r="BM354" i="16" s="1"/>
  <c r="O458" i="16"/>
  <c r="E459" i="16"/>
  <c r="L459" i="16" s="1"/>
  <c r="AT386" i="16" l="1"/>
  <c r="AW386" i="16" s="1"/>
  <c r="AX386" i="16" s="1"/>
  <c r="AZ386" i="16" s="1"/>
  <c r="AU386" i="16"/>
  <c r="AV386" i="16" s="1"/>
  <c r="AL386" i="16"/>
  <c r="AY386" i="16" s="1"/>
  <c r="AR385" i="16"/>
  <c r="BD355" i="16"/>
  <c r="BJ355" i="16" s="1"/>
  <c r="AD387" i="16"/>
  <c r="W387" i="16"/>
  <c r="AA387" i="16" s="1"/>
  <c r="AK387" i="16" s="1"/>
  <c r="BN354" i="16"/>
  <c r="BQ354" i="16" s="1"/>
  <c r="AJ425" i="15"/>
  <c r="N459" i="16"/>
  <c r="M460" i="16" s="1"/>
  <c r="P459" i="16"/>
  <c r="AM386" i="16" l="1"/>
  <c r="AN386" i="16" s="1"/>
  <c r="AO386" i="16" s="1"/>
  <c r="AP386" i="16" s="1"/>
  <c r="AR386" i="16" s="1"/>
  <c r="O459" i="16"/>
  <c r="BK355" i="16"/>
  <c r="BL355" i="16" s="1"/>
  <c r="BM355" i="16" s="1"/>
  <c r="E460" i="16"/>
  <c r="L460" i="16" s="1"/>
  <c r="BE355" i="16"/>
  <c r="BF355" i="16" s="1"/>
  <c r="BG355" i="16" s="1"/>
  <c r="Y387" i="16"/>
  <c r="AB387" i="16" s="1"/>
  <c r="AE387" i="16"/>
  <c r="AD726" i="15"/>
  <c r="E353" i="14"/>
  <c r="F353" i="14" s="1"/>
  <c r="H353" i="14" s="1"/>
  <c r="Q459" i="16"/>
  <c r="N460" i="16" l="1"/>
  <c r="M461" i="16" s="1"/>
  <c r="E461" i="16" s="1"/>
  <c r="L461" i="16" s="1"/>
  <c r="BI355" i="16"/>
  <c r="BO355" i="16" s="1"/>
  <c r="BP355" i="16" s="1"/>
  <c r="AQ386" i="16"/>
  <c r="Z387" i="16"/>
  <c r="AF387" i="16"/>
  <c r="P460" i="16"/>
  <c r="Q460" i="16" s="1"/>
  <c r="S460" i="16" s="1"/>
  <c r="S459" i="16"/>
  <c r="BC356" i="16"/>
  <c r="BH356" i="16" s="1"/>
  <c r="O460" i="16" l="1"/>
  <c r="N461" i="16" s="1"/>
  <c r="M462" i="16" s="1"/>
  <c r="BN355" i="16"/>
  <c r="AD735" i="15" s="1"/>
  <c r="AG387" i="16"/>
  <c r="AL387" i="16" s="1"/>
  <c r="AY387" i="16" s="1"/>
  <c r="P461" i="16"/>
  <c r="Q461" i="16" s="1"/>
  <c r="S461" i="16" s="1"/>
  <c r="U388" i="16"/>
  <c r="AC388" i="16" s="1"/>
  <c r="BD356" i="16"/>
  <c r="AJ426" i="15"/>
  <c r="E354" i="14" l="1"/>
  <c r="F354" i="14" s="1"/>
  <c r="H354" i="14" s="1"/>
  <c r="BQ355" i="16"/>
  <c r="AM387" i="16"/>
  <c r="AN387" i="16" s="1"/>
  <c r="AO387" i="16" s="1"/>
  <c r="AH387" i="16"/>
  <c r="AS387" i="16" s="1"/>
  <c r="W388" i="16"/>
  <c r="AA388" i="16" s="1"/>
  <c r="AK388" i="16" s="1"/>
  <c r="AD388" i="16"/>
  <c r="BJ356" i="16"/>
  <c r="BK356" i="16"/>
  <c r="BE356" i="16"/>
  <c r="BF356" i="16" s="1"/>
  <c r="O461" i="16"/>
  <c r="AT387" i="16" l="1"/>
  <c r="AW387" i="16" s="1"/>
  <c r="AX387" i="16" s="1"/>
  <c r="AZ387" i="16" s="1"/>
  <c r="AU387" i="16"/>
  <c r="AV387" i="16" s="1"/>
  <c r="Y388" i="16"/>
  <c r="AB388" i="16" s="1"/>
  <c r="AE388" i="16"/>
  <c r="AP387" i="16"/>
  <c r="AR387" i="16" s="1"/>
  <c r="BL356" i="16"/>
  <c r="BM356" i="16" s="1"/>
  <c r="BI356" i="16"/>
  <c r="BG356" i="16"/>
  <c r="E462" i="16"/>
  <c r="P462" i="16"/>
  <c r="Z388" i="16" l="1"/>
  <c r="U389" i="16" s="1"/>
  <c r="AC389" i="16" s="1"/>
  <c r="AD389" i="16" s="1"/>
  <c r="AQ387" i="16"/>
  <c r="AF388" i="16"/>
  <c r="AG388" i="16" s="1"/>
  <c r="AH388" i="16" s="1"/>
  <c r="AS388" i="16" s="1"/>
  <c r="AT388" i="16" s="1"/>
  <c r="AW388" i="16" s="1"/>
  <c r="AX388" i="16" s="1"/>
  <c r="AZ388" i="16" s="1"/>
  <c r="BC357" i="16"/>
  <c r="BH357" i="16" s="1"/>
  <c r="BO356" i="16"/>
  <c r="BP356" i="16" s="1"/>
  <c r="BN356" i="16"/>
  <c r="L462" i="16"/>
  <c r="N462" i="16" s="1"/>
  <c r="M463" i="16" s="1"/>
  <c r="Q462" i="16"/>
  <c r="S462" i="16" s="1"/>
  <c r="AL388" i="16" l="1"/>
  <c r="AM388" i="16" s="1"/>
  <c r="AU388" i="16"/>
  <c r="AV388" i="16" s="1"/>
  <c r="AE389" i="16"/>
  <c r="W389" i="16"/>
  <c r="AA389" i="16" s="1"/>
  <c r="AK389" i="16" s="1"/>
  <c r="E355" i="14"/>
  <c r="F355" i="14" s="1"/>
  <c r="H355" i="14" s="1"/>
  <c r="AD625" i="15"/>
  <c r="BD357" i="16"/>
  <c r="AJ83" i="15"/>
  <c r="BQ356" i="16"/>
  <c r="O462" i="16"/>
  <c r="AY388" i="16" l="1"/>
  <c r="AN388" i="16"/>
  <c r="Y389" i="16"/>
  <c r="AB389" i="16" s="1"/>
  <c r="BJ357" i="16"/>
  <c r="BK357" i="16"/>
  <c r="BE357" i="16"/>
  <c r="BF357" i="16" s="1"/>
  <c r="E463" i="16"/>
  <c r="L463" i="16" s="1"/>
  <c r="P463" i="16"/>
  <c r="AF389" i="16" l="1"/>
  <c r="Z389" i="16"/>
  <c r="AO388" i="16"/>
  <c r="BI357" i="16"/>
  <c r="BG357" i="16"/>
  <c r="BL357" i="16"/>
  <c r="BM357" i="16" s="1"/>
  <c r="Q463" i="16"/>
  <c r="S463" i="16" s="1"/>
  <c r="N463" i="16"/>
  <c r="M464" i="16" s="1"/>
  <c r="AG389" i="16" l="1"/>
  <c r="AL389" i="16" s="1"/>
  <c r="AY389" i="16" s="1"/>
  <c r="AP388" i="16"/>
  <c r="AR388" i="16" s="1"/>
  <c r="U390" i="16"/>
  <c r="AC390" i="16" s="1"/>
  <c r="AD390" i="16" s="1"/>
  <c r="BC358" i="16"/>
  <c r="BH358" i="16" s="1"/>
  <c r="BO357" i="16"/>
  <c r="BP357" i="16" s="1"/>
  <c r="BN357" i="16"/>
  <c r="O463" i="16"/>
  <c r="AM389" i="16" l="1"/>
  <c r="AH389" i="16"/>
  <c r="AS389" i="16" s="1"/>
  <c r="AQ388" i="16"/>
  <c r="AE390" i="16"/>
  <c r="AN389" i="16"/>
  <c r="AO389" i="16" s="1"/>
  <c r="W390" i="16"/>
  <c r="AA390" i="16" s="1"/>
  <c r="AK390" i="16" s="1"/>
  <c r="BD358" i="16"/>
  <c r="BE358" i="16" s="1"/>
  <c r="BF358" i="16" s="1"/>
  <c r="AJ427" i="15"/>
  <c r="BQ357" i="16"/>
  <c r="AD639" i="15"/>
  <c r="E356" i="14"/>
  <c r="F356" i="14" s="1"/>
  <c r="H356" i="14" s="1"/>
  <c r="E464" i="16"/>
  <c r="P464" i="16"/>
  <c r="AU389" i="16" l="1"/>
  <c r="AV389" i="16" s="1"/>
  <c r="AT389" i="16"/>
  <c r="AW389" i="16" s="1"/>
  <c r="AX389" i="16" s="1"/>
  <c r="AZ389" i="16" s="1"/>
  <c r="AP389" i="16"/>
  <c r="AR389" i="16" s="1"/>
  <c r="Y390" i="16"/>
  <c r="AB390" i="16" s="1"/>
  <c r="BI358" i="16"/>
  <c r="BG358" i="16"/>
  <c r="BJ358" i="16"/>
  <c r="BK358" i="16"/>
  <c r="L464" i="16"/>
  <c r="N464" i="16" s="1"/>
  <c r="M465" i="16" s="1"/>
  <c r="Q464" i="16"/>
  <c r="S464" i="16" s="1"/>
  <c r="AQ389" i="16" l="1"/>
  <c r="AF390" i="16"/>
  <c r="Z390" i="16"/>
  <c r="BC359" i="16"/>
  <c r="BH359" i="16" s="1"/>
  <c r="BL358" i="16"/>
  <c r="BM358" i="16" s="1"/>
  <c r="BO358" i="16"/>
  <c r="BP358" i="16" s="1"/>
  <c r="O464" i="16"/>
  <c r="AG390" i="16" l="1"/>
  <c r="AL390" i="16" s="1"/>
  <c r="AY390" i="16" s="1"/>
  <c r="U391" i="16"/>
  <c r="AC391" i="16" s="1"/>
  <c r="BD359" i="16"/>
  <c r="BJ359" i="16" s="1"/>
  <c r="BN358" i="16"/>
  <c r="BQ358" i="16" s="1"/>
  <c r="AJ428" i="15"/>
  <c r="E465" i="16"/>
  <c r="L465" i="16" s="1"/>
  <c r="P465" i="16"/>
  <c r="AM390" i="16" l="1"/>
  <c r="AN390" i="16" s="1"/>
  <c r="AH390" i="16"/>
  <c r="AS390" i="16" s="1"/>
  <c r="BE359" i="16"/>
  <c r="BF359" i="16" s="1"/>
  <c r="BI359" i="16" s="1"/>
  <c r="AD391" i="16"/>
  <c r="BK359" i="16"/>
  <c r="BL359" i="16" s="1"/>
  <c r="BM359" i="16" s="1"/>
  <c r="W391" i="16"/>
  <c r="AA391" i="16" s="1"/>
  <c r="AK391" i="16" s="1"/>
  <c r="AD689" i="15"/>
  <c r="E357" i="14"/>
  <c r="F357" i="14" s="1"/>
  <c r="H357" i="14" s="1"/>
  <c r="Q465" i="16"/>
  <c r="S465" i="16" s="1"/>
  <c r="N465" i="16"/>
  <c r="M466" i="16" s="1"/>
  <c r="BG359" i="16" l="1"/>
  <c r="BC360" i="16" s="1"/>
  <c r="BH360" i="16" s="1"/>
  <c r="AU390" i="16"/>
  <c r="AV390" i="16" s="1"/>
  <c r="AT390" i="16"/>
  <c r="AW390" i="16" s="1"/>
  <c r="AX390" i="16" s="1"/>
  <c r="AZ390" i="16" s="1"/>
  <c r="AE391" i="16"/>
  <c r="AO390" i="16"/>
  <c r="Y391" i="16"/>
  <c r="BN359" i="16"/>
  <c r="BO359" i="16"/>
  <c r="BP359" i="16" s="1"/>
  <c r="O465" i="16"/>
  <c r="AP390" i="16" l="1"/>
  <c r="AR390" i="16" s="1"/>
  <c r="BD360" i="16"/>
  <c r="BK360" i="16" s="1"/>
  <c r="AB391" i="16"/>
  <c r="Z391" i="16"/>
  <c r="AJ48" i="15"/>
  <c r="BQ359" i="16"/>
  <c r="AD419" i="15"/>
  <c r="E358" i="14"/>
  <c r="F358" i="14" s="1"/>
  <c r="H358" i="14" s="1"/>
  <c r="E466" i="16"/>
  <c r="P466" i="16"/>
  <c r="AQ390" i="16" l="1"/>
  <c r="BE360" i="16"/>
  <c r="BF360" i="16" s="1"/>
  <c r="BI360" i="16" s="1"/>
  <c r="BJ360" i="16"/>
  <c r="AF391" i="16"/>
  <c r="U392" i="16"/>
  <c r="AC392" i="16" s="1"/>
  <c r="AD392" i="16" s="1"/>
  <c r="BL360" i="16"/>
  <c r="BM360" i="16" s="1"/>
  <c r="L466" i="16"/>
  <c r="N466" i="16" s="1"/>
  <c r="M467" i="16" s="1"/>
  <c r="Q466" i="16"/>
  <c r="S466" i="16" s="1"/>
  <c r="AG391" i="16" l="1"/>
  <c r="AL391" i="16" s="1"/>
  <c r="BG360" i="16"/>
  <c r="BC361" i="16" s="1"/>
  <c r="BH361" i="16" s="1"/>
  <c r="AE392" i="16"/>
  <c r="W392" i="16"/>
  <c r="AA392" i="16" s="1"/>
  <c r="AK392" i="16" s="1"/>
  <c r="AY391" i="16"/>
  <c r="BO360" i="16"/>
  <c r="BP360" i="16" s="1"/>
  <c r="BN360" i="16"/>
  <c r="O466" i="16"/>
  <c r="E467" i="16"/>
  <c r="AM391" i="16" l="1"/>
  <c r="AN391" i="16" s="1"/>
  <c r="AO391" i="16" s="1"/>
  <c r="AH391" i="16"/>
  <c r="AS391" i="16" s="1"/>
  <c r="Y392" i="16"/>
  <c r="AB392" i="16" s="1"/>
  <c r="AD459" i="15"/>
  <c r="E359" i="14"/>
  <c r="F359" i="14" s="1"/>
  <c r="H359" i="14" s="1"/>
  <c r="BD361" i="16"/>
  <c r="BE361" i="16" s="1"/>
  <c r="AJ429" i="15"/>
  <c r="BQ360" i="16"/>
  <c r="L467" i="16"/>
  <c r="P467" i="16"/>
  <c r="AT391" i="16" l="1"/>
  <c r="AW391" i="16" s="1"/>
  <c r="AX391" i="16" s="1"/>
  <c r="AZ391" i="16" s="1"/>
  <c r="AU391" i="16"/>
  <c r="AV391" i="16" s="1"/>
  <c r="AF392" i="16"/>
  <c r="AP391" i="16"/>
  <c r="AR391" i="16" s="1"/>
  <c r="Z392" i="16"/>
  <c r="BF361" i="16"/>
  <c r="BJ361" i="16"/>
  <c r="BK361" i="16"/>
  <c r="N467" i="16"/>
  <c r="M468" i="16" s="1"/>
  <c r="Q467" i="16"/>
  <c r="S467" i="16" s="1"/>
  <c r="AG392" i="16" l="1"/>
  <c r="AL392" i="16" s="1"/>
  <c r="AY392" i="16" s="1"/>
  <c r="U393" i="16"/>
  <c r="AC393" i="16" s="1"/>
  <c r="AQ391" i="16"/>
  <c r="BL361" i="16"/>
  <c r="BM361" i="16" s="1"/>
  <c r="BI361" i="16"/>
  <c r="BG361" i="16"/>
  <c r="O467" i="16"/>
  <c r="P468" i="16"/>
  <c r="Q468" i="16" s="1"/>
  <c r="S468" i="16" s="1"/>
  <c r="E468" i="16"/>
  <c r="L468" i="16" s="1"/>
  <c r="AM392" i="16" l="1"/>
  <c r="AH392" i="16"/>
  <c r="AS392" i="16" s="1"/>
  <c r="AD393" i="16"/>
  <c r="W393" i="16"/>
  <c r="AN392" i="16"/>
  <c r="AO392" i="16" s="1"/>
  <c r="BC362" i="16"/>
  <c r="BH362" i="16" s="1"/>
  <c r="BO361" i="16"/>
  <c r="BP361" i="16" s="1"/>
  <c r="BN361" i="16"/>
  <c r="N468" i="16"/>
  <c r="M469" i="16" s="1"/>
  <c r="AU392" i="16" l="1"/>
  <c r="AV392" i="16" s="1"/>
  <c r="AT392" i="16"/>
  <c r="AW392" i="16" s="1"/>
  <c r="AX392" i="16" s="1"/>
  <c r="AZ392" i="16" s="1"/>
  <c r="AP392" i="16"/>
  <c r="AR392" i="16" s="1"/>
  <c r="AE393" i="16"/>
  <c r="AA393" i="16"/>
  <c r="AK393" i="16" s="1"/>
  <c r="Y393" i="16"/>
  <c r="AB393" i="16" s="1"/>
  <c r="BD362" i="16"/>
  <c r="BE362" i="16" s="1"/>
  <c r="BF362" i="16" s="1"/>
  <c r="AD511" i="15"/>
  <c r="E360" i="14"/>
  <c r="F360" i="14" s="1"/>
  <c r="H360" i="14" s="1"/>
  <c r="AJ430" i="15"/>
  <c r="BQ361" i="16"/>
  <c r="O468" i="16"/>
  <c r="Z393" i="16" l="1"/>
  <c r="U394" i="16" s="1"/>
  <c r="AC394" i="16" s="1"/>
  <c r="AQ392" i="16"/>
  <c r="AF393" i="16"/>
  <c r="AG393" i="16" s="1"/>
  <c r="AH393" i="16" s="1"/>
  <c r="AS393" i="16" s="1"/>
  <c r="AT393" i="16" s="1"/>
  <c r="AW393" i="16" s="1"/>
  <c r="AX393" i="16" s="1"/>
  <c r="AZ393" i="16" s="1"/>
  <c r="BI362" i="16"/>
  <c r="BG362" i="16"/>
  <c r="BJ362" i="16"/>
  <c r="BK362" i="16"/>
  <c r="E469" i="16"/>
  <c r="L469" i="16" s="1"/>
  <c r="P469" i="16"/>
  <c r="AL393" i="16" l="1"/>
  <c r="AY393" i="16" s="1"/>
  <c r="AU393" i="16"/>
  <c r="AV393" i="16" s="1"/>
  <c r="AD394" i="16"/>
  <c r="W394" i="16"/>
  <c r="Y394" i="16" s="1"/>
  <c r="AB394" i="16" s="1"/>
  <c r="BL362" i="16"/>
  <c r="BM362" i="16" s="1"/>
  <c r="BC363" i="16"/>
  <c r="BO362" i="16"/>
  <c r="BP362" i="16" s="1"/>
  <c r="Q469" i="16"/>
  <c r="S469" i="16" s="1"/>
  <c r="N469" i="16"/>
  <c r="M470" i="16" s="1"/>
  <c r="AM393" i="16" l="1"/>
  <c r="BN362" i="16"/>
  <c r="BQ362" i="16" s="1"/>
  <c r="AA394" i="16"/>
  <c r="AK394" i="16" s="1"/>
  <c r="Z394" i="16"/>
  <c r="AN393" i="16"/>
  <c r="AE394" i="16"/>
  <c r="BH363" i="16"/>
  <c r="AJ54" i="15"/>
  <c r="BD363" i="16"/>
  <c r="O469" i="16"/>
  <c r="E361" i="14" l="1"/>
  <c r="F361" i="14" s="1"/>
  <c r="H361" i="14" s="1"/>
  <c r="AD347" i="15"/>
  <c r="AF394" i="16"/>
  <c r="AG394" i="16" s="1"/>
  <c r="U395" i="16"/>
  <c r="AC395" i="16" s="1"/>
  <c r="AO393" i="16"/>
  <c r="BJ363" i="16"/>
  <c r="BK363" i="16"/>
  <c r="BE363" i="16"/>
  <c r="BF363" i="16" s="1"/>
  <c r="E470" i="16"/>
  <c r="P470" i="16"/>
  <c r="AH394" i="16" l="1"/>
  <c r="AS394" i="16" s="1"/>
  <c r="AL394" i="16"/>
  <c r="AD395" i="16"/>
  <c r="AP393" i="16"/>
  <c r="AR393" i="16" s="1"/>
  <c r="W395" i="16"/>
  <c r="BI363" i="16"/>
  <c r="BG363" i="16"/>
  <c r="BL363" i="16"/>
  <c r="BM363" i="16" s="1"/>
  <c r="L470" i="16"/>
  <c r="Q470" i="16"/>
  <c r="S470" i="16" s="1"/>
  <c r="AY394" i="16" l="1"/>
  <c r="AM394" i="16"/>
  <c r="AN394" i="16" s="1"/>
  <c r="AO394" i="16" s="1"/>
  <c r="AP394" i="16" s="1"/>
  <c r="AR394" i="16" s="1"/>
  <c r="AT394" i="16"/>
  <c r="AW394" i="16" s="1"/>
  <c r="AX394" i="16" s="1"/>
  <c r="AZ394" i="16" s="1"/>
  <c r="AU394" i="16"/>
  <c r="AV394" i="16" s="1"/>
  <c r="AQ393" i="16"/>
  <c r="AA395" i="16"/>
  <c r="AK395" i="16" s="1"/>
  <c r="AE395" i="16"/>
  <c r="Y395" i="16"/>
  <c r="AB395" i="16" s="1"/>
  <c r="BC364" i="16"/>
  <c r="BH364" i="16" s="1"/>
  <c r="BO363" i="16"/>
  <c r="BP363" i="16" s="1"/>
  <c r="BN363" i="16"/>
  <c r="N470" i="16"/>
  <c r="M471" i="16" s="1"/>
  <c r="AQ394" i="16" l="1"/>
  <c r="AF395" i="16"/>
  <c r="O470" i="16"/>
  <c r="Z395" i="16"/>
  <c r="E362" i="14"/>
  <c r="F362" i="14" s="1"/>
  <c r="H362" i="14" s="1"/>
  <c r="AD361" i="15"/>
  <c r="BD364" i="16"/>
  <c r="AJ431" i="15"/>
  <c r="BQ363" i="16"/>
  <c r="E471" i="16"/>
  <c r="L471" i="16" s="1"/>
  <c r="P471" i="16"/>
  <c r="AG395" i="16" l="1"/>
  <c r="AL395" i="16" s="1"/>
  <c r="AY395" i="16" s="1"/>
  <c r="U396" i="16"/>
  <c r="AC396" i="16" s="1"/>
  <c r="BJ364" i="16"/>
  <c r="BK364" i="16"/>
  <c r="BE364" i="16"/>
  <c r="BF364" i="16" s="1"/>
  <c r="Q471" i="16"/>
  <c r="S471" i="16" s="1"/>
  <c r="N471" i="16"/>
  <c r="M472" i="16" s="1"/>
  <c r="AM395" i="16" l="1"/>
  <c r="AN395" i="16" s="1"/>
  <c r="AO395" i="16" s="1"/>
  <c r="AP395" i="16" s="1"/>
  <c r="AQ395" i="16" s="1"/>
  <c r="AH395" i="16"/>
  <c r="AS395" i="16" s="1"/>
  <c r="AD396" i="16"/>
  <c r="W396" i="16"/>
  <c r="BI364" i="16"/>
  <c r="BG364" i="16"/>
  <c r="BL364" i="16"/>
  <c r="BM364" i="16" s="1"/>
  <c r="O471" i="16"/>
  <c r="AT395" i="16" l="1"/>
  <c r="AW395" i="16" s="1"/>
  <c r="AX395" i="16" s="1"/>
  <c r="AZ395" i="16" s="1"/>
  <c r="AU395" i="16"/>
  <c r="AV395" i="16" s="1"/>
  <c r="AA396" i="16"/>
  <c r="AK396" i="16" s="1"/>
  <c r="Y396" i="16"/>
  <c r="AB396" i="16" s="1"/>
  <c r="AE396" i="16"/>
  <c r="AR395" i="16"/>
  <c r="BC365" i="16"/>
  <c r="BH365" i="16" s="1"/>
  <c r="BO364" i="16"/>
  <c r="BP364" i="16" s="1"/>
  <c r="BN364" i="16"/>
  <c r="E472" i="16"/>
  <c r="L472" i="16" s="1"/>
  <c r="P472" i="16"/>
  <c r="Z396" i="16" l="1"/>
  <c r="U397" i="16" s="1"/>
  <c r="AC397" i="16" s="1"/>
  <c r="BD365" i="16"/>
  <c r="BE365" i="16" s="1"/>
  <c r="BF365" i="16" s="1"/>
  <c r="AF396" i="16"/>
  <c r="E363" i="14"/>
  <c r="F363" i="14" s="1"/>
  <c r="H363" i="14" s="1"/>
  <c r="AD402" i="15"/>
  <c r="AJ432" i="15"/>
  <c r="BQ364" i="16"/>
  <c r="Q472" i="16"/>
  <c r="S472" i="16" s="1"/>
  <c r="N472" i="16"/>
  <c r="M473" i="16" s="1"/>
  <c r="AG396" i="16" l="1"/>
  <c r="AL396" i="16" s="1"/>
  <c r="AY396" i="16" s="1"/>
  <c r="BJ365" i="16"/>
  <c r="W397" i="16"/>
  <c r="AA397" i="16" s="1"/>
  <c r="AK397" i="16" s="1"/>
  <c r="BK365" i="16"/>
  <c r="BL365" i="16" s="1"/>
  <c r="BM365" i="16" s="1"/>
  <c r="AD397" i="16"/>
  <c r="BI365" i="16"/>
  <c r="BG365" i="16"/>
  <c r="O472" i="16"/>
  <c r="AM396" i="16" l="1"/>
  <c r="AN396" i="16" s="1"/>
  <c r="AO396" i="16" s="1"/>
  <c r="AH396" i="16"/>
  <c r="AS396" i="16" s="1"/>
  <c r="Y397" i="16"/>
  <c r="AB397" i="16" s="1"/>
  <c r="AE397" i="16"/>
  <c r="BC366" i="16"/>
  <c r="BH366" i="16" s="1"/>
  <c r="BO365" i="16"/>
  <c r="BP365" i="16" s="1"/>
  <c r="BN365" i="16"/>
  <c r="E473" i="16"/>
  <c r="L473" i="16" s="1"/>
  <c r="P473" i="16"/>
  <c r="AT396" i="16" l="1"/>
  <c r="AW396" i="16" s="1"/>
  <c r="AX396" i="16" s="1"/>
  <c r="AZ396" i="16" s="1"/>
  <c r="AU396" i="16"/>
  <c r="AV396" i="16" s="1"/>
  <c r="Z397" i="16"/>
  <c r="U398" i="16" s="1"/>
  <c r="AC398" i="16" s="1"/>
  <c r="AP396" i="16"/>
  <c r="AR396" i="16" s="1"/>
  <c r="AF397" i="16"/>
  <c r="AG397" i="16" s="1"/>
  <c r="AH397" i="16" s="1"/>
  <c r="AS397" i="16" s="1"/>
  <c r="AT397" i="16" s="1"/>
  <c r="AJ35" i="15"/>
  <c r="BQ365" i="16"/>
  <c r="AD209" i="15"/>
  <c r="E364" i="14"/>
  <c r="F364" i="14" s="1"/>
  <c r="H364" i="14" s="1"/>
  <c r="BD366" i="16"/>
  <c r="Q473" i="16"/>
  <c r="S473" i="16" s="1"/>
  <c r="N473" i="16"/>
  <c r="M474" i="16" s="1"/>
  <c r="AW397" i="16" l="1"/>
  <c r="AL397" i="16"/>
  <c r="AM397" i="16" s="1"/>
  <c r="AU397" i="16"/>
  <c r="AV397" i="16" s="1"/>
  <c r="W398" i="16"/>
  <c r="AA398" i="16" s="1"/>
  <c r="AK398" i="16" s="1"/>
  <c r="AX397" i="16"/>
  <c r="AZ397" i="16" s="1"/>
  <c r="AD398" i="16"/>
  <c r="AQ396" i="16"/>
  <c r="BJ366" i="16"/>
  <c r="BK366" i="16"/>
  <c r="BE366" i="16"/>
  <c r="BF366" i="16" s="1"/>
  <c r="O473" i="16"/>
  <c r="AY397" i="16" l="1"/>
  <c r="Y398" i="16"/>
  <c r="AB398" i="16" s="1"/>
  <c r="AE398" i="16"/>
  <c r="AN397" i="16"/>
  <c r="AO397" i="16" s="1"/>
  <c r="BI366" i="16"/>
  <c r="BG366" i="16"/>
  <c r="BL366" i="16"/>
  <c r="BM366" i="16" s="1"/>
  <c r="E474" i="16"/>
  <c r="L474" i="16" s="1"/>
  <c r="P474" i="16"/>
  <c r="AF398" i="16" l="1"/>
  <c r="AG398" i="16"/>
  <c r="AL398" i="16" s="1"/>
  <c r="AY398" i="16" s="1"/>
  <c r="Z398" i="16"/>
  <c r="U399" i="16" s="1"/>
  <c r="AC399" i="16" s="1"/>
  <c r="AP397" i="16"/>
  <c r="AQ397" i="16" s="1"/>
  <c r="BO366" i="16"/>
  <c r="BP366" i="16" s="1"/>
  <c r="BN366" i="16"/>
  <c r="BC367" i="16"/>
  <c r="Q474" i="16"/>
  <c r="S474" i="16" s="1"/>
  <c r="N474" i="16"/>
  <c r="M475" i="16" s="1"/>
  <c r="AM398" i="16" l="1"/>
  <c r="AN398" i="16" s="1"/>
  <c r="AO398" i="16" s="1"/>
  <c r="AR397" i="16"/>
  <c r="AH398" i="16"/>
  <c r="AS398" i="16" s="1"/>
  <c r="W399" i="16"/>
  <c r="AA399" i="16" s="1"/>
  <c r="AK399" i="16" s="1"/>
  <c r="AD399" i="16"/>
  <c r="BH367" i="16"/>
  <c r="BD367" i="16"/>
  <c r="E365" i="14"/>
  <c r="F365" i="14" s="1"/>
  <c r="H365" i="14" s="1"/>
  <c r="AD210" i="15"/>
  <c r="AJ122" i="15"/>
  <c r="BQ366" i="16"/>
  <c r="O474" i="16"/>
  <c r="AU398" i="16" l="1"/>
  <c r="AV398" i="16" s="1"/>
  <c r="AT398" i="16"/>
  <c r="AW398" i="16" s="1"/>
  <c r="AX398" i="16" s="1"/>
  <c r="AZ398" i="16" s="1"/>
  <c r="Y399" i="16"/>
  <c r="AB399" i="16" s="1"/>
  <c r="AP398" i="16"/>
  <c r="AR398" i="16" s="1"/>
  <c r="AE399" i="16"/>
  <c r="BJ367" i="16"/>
  <c r="BK367" i="16"/>
  <c r="BE367" i="16"/>
  <c r="BF367" i="16" s="1"/>
  <c r="E475" i="16"/>
  <c r="P475" i="16"/>
  <c r="AF399" i="16" l="1"/>
  <c r="AG399" i="16" s="1"/>
  <c r="AH399" i="16" s="1"/>
  <c r="AS399" i="16" s="1"/>
  <c r="AT399" i="16" s="1"/>
  <c r="AW399" i="16" s="1"/>
  <c r="AX399" i="16" s="1"/>
  <c r="AZ399" i="16" s="1"/>
  <c r="Z399" i="16"/>
  <c r="U400" i="16" s="1"/>
  <c r="AC400" i="16" s="1"/>
  <c r="AQ398" i="16"/>
  <c r="BI367" i="16"/>
  <c r="BG367" i="16"/>
  <c r="BL367" i="16"/>
  <c r="BM367" i="16" s="1"/>
  <c r="L475" i="16"/>
  <c r="Q475" i="16"/>
  <c r="S475" i="16" s="1"/>
  <c r="AU399" i="16" l="1"/>
  <c r="AV399" i="16" s="1"/>
  <c r="AL399" i="16"/>
  <c r="W400" i="16"/>
  <c r="AA400" i="16" s="1"/>
  <c r="AK400" i="16" s="1"/>
  <c r="AD400" i="16"/>
  <c r="N475" i="16"/>
  <c r="M476" i="16" s="1"/>
  <c r="BC368" i="16"/>
  <c r="BH368" i="16" s="1"/>
  <c r="BO367" i="16"/>
  <c r="BP367" i="16" s="1"/>
  <c r="BN367" i="16"/>
  <c r="AY399" i="16" l="1"/>
  <c r="AM399" i="16"/>
  <c r="AN399" i="16" s="1"/>
  <c r="AO399" i="16" s="1"/>
  <c r="AP399" i="16" s="1"/>
  <c r="AQ399" i="16" s="1"/>
  <c r="Y400" i="16"/>
  <c r="AB400" i="16" s="1"/>
  <c r="O475" i="16"/>
  <c r="BD368" i="16"/>
  <c r="BK368" i="16" s="1"/>
  <c r="AE400" i="16"/>
  <c r="E366" i="14"/>
  <c r="F366" i="14" s="1"/>
  <c r="H366" i="14" s="1"/>
  <c r="AD223" i="15"/>
  <c r="AJ433" i="15"/>
  <c r="BQ367" i="16"/>
  <c r="E476" i="16"/>
  <c r="P476" i="16"/>
  <c r="Z400" i="16" l="1"/>
  <c r="BE368" i="16"/>
  <c r="BF368" i="16" s="1"/>
  <c r="BI368" i="16" s="1"/>
  <c r="AR399" i="16"/>
  <c r="BJ368" i="16"/>
  <c r="U401" i="16"/>
  <c r="AC401" i="16" s="1"/>
  <c r="AF400" i="16"/>
  <c r="AG400" i="16" s="1"/>
  <c r="BL368" i="16"/>
  <c r="BM368" i="16" s="1"/>
  <c r="L476" i="16"/>
  <c r="Q476" i="16"/>
  <c r="S476" i="16" s="1"/>
  <c r="BG368" i="16" l="1"/>
  <c r="BC369" i="16" s="1"/>
  <c r="BH369" i="16" s="1"/>
  <c r="AH400" i="16"/>
  <c r="AS400" i="16" s="1"/>
  <c r="AL400" i="16"/>
  <c r="AY400" i="16" s="1"/>
  <c r="AD401" i="16"/>
  <c r="W401" i="16"/>
  <c r="BO368" i="16"/>
  <c r="BP368" i="16" s="1"/>
  <c r="BN368" i="16"/>
  <c r="N476" i="16"/>
  <c r="AM400" i="16" l="1"/>
  <c r="AN400" i="16" s="1"/>
  <c r="AO400" i="16" s="1"/>
  <c r="AP400" i="16" s="1"/>
  <c r="AQ400" i="16" s="1"/>
  <c r="AU400" i="16"/>
  <c r="AV400" i="16" s="1"/>
  <c r="AT400" i="16"/>
  <c r="AW400" i="16" s="1"/>
  <c r="AX400" i="16" s="1"/>
  <c r="AZ400" i="16" s="1"/>
  <c r="AA401" i="16"/>
  <c r="AK401" i="16" s="1"/>
  <c r="BD369" i="16"/>
  <c r="BE369" i="16" s="1"/>
  <c r="Y401" i="16"/>
  <c r="AB401" i="16" s="1"/>
  <c r="AE401" i="16"/>
  <c r="AD200" i="15"/>
  <c r="E367" i="14"/>
  <c r="F367" i="14" s="1"/>
  <c r="H367" i="14" s="1"/>
  <c r="AJ95" i="15"/>
  <c r="BQ368" i="16"/>
  <c r="O476" i="16"/>
  <c r="M477" i="16"/>
  <c r="P477" i="16" s="1"/>
  <c r="AR400" i="16" l="1"/>
  <c r="Z401" i="16"/>
  <c r="U402" i="16" s="1"/>
  <c r="AC402" i="16" s="1"/>
  <c r="BJ369" i="16"/>
  <c r="BK369" i="16"/>
  <c r="BL369" i="16" s="1"/>
  <c r="BM369" i="16" s="1"/>
  <c r="BF369" i="16"/>
  <c r="BI369" i="16" s="1"/>
  <c r="AF401" i="16"/>
  <c r="AG401" i="16" s="1"/>
  <c r="AH401" i="16" s="1"/>
  <c r="AS401" i="16" s="1"/>
  <c r="AT401" i="16" s="1"/>
  <c r="AW401" i="16" s="1"/>
  <c r="AX401" i="16" s="1"/>
  <c r="AZ401" i="16" s="1"/>
  <c r="E477" i="16"/>
  <c r="L477" i="16" s="1"/>
  <c r="Q477" i="16"/>
  <c r="S477" i="16" s="1"/>
  <c r="AL401" i="16" l="1"/>
  <c r="AY401" i="16" s="1"/>
  <c r="AU401" i="16"/>
  <c r="AV401" i="16" s="1"/>
  <c r="BG369" i="16"/>
  <c r="BC370" i="16" s="1"/>
  <c r="BH370" i="16" s="1"/>
  <c r="AD402" i="16"/>
  <c r="N477" i="16"/>
  <c r="M478" i="16" s="1"/>
  <c r="W402" i="16"/>
  <c r="AA402" i="16" s="1"/>
  <c r="AK402" i="16" s="1"/>
  <c r="BN369" i="16"/>
  <c r="BO369" i="16"/>
  <c r="BP369" i="16" s="1"/>
  <c r="AM401" i="16" l="1"/>
  <c r="AN401" i="16" s="1"/>
  <c r="AO401" i="16" s="1"/>
  <c r="AP401" i="16" s="1"/>
  <c r="AQ401" i="16" s="1"/>
  <c r="E478" i="16"/>
  <c r="L478" i="16" s="1"/>
  <c r="O477" i="16"/>
  <c r="Y402" i="16"/>
  <c r="AB402" i="16" s="1"/>
  <c r="AE402" i="16"/>
  <c r="AJ120" i="15"/>
  <c r="BQ369" i="16"/>
  <c r="BD370" i="16"/>
  <c r="E368" i="14"/>
  <c r="F368" i="14" s="1"/>
  <c r="H368" i="14" s="1"/>
  <c r="AD196" i="15"/>
  <c r="P478" i="16"/>
  <c r="AR401" i="16" l="1"/>
  <c r="N478" i="16"/>
  <c r="M479" i="16" s="1"/>
  <c r="AF402" i="16"/>
  <c r="Z402" i="16"/>
  <c r="U403" i="16" s="1"/>
  <c r="AC403" i="16" s="1"/>
  <c r="AD403" i="16" s="1"/>
  <c r="BJ370" i="16"/>
  <c r="BK370" i="16"/>
  <c r="BE370" i="16"/>
  <c r="BF370" i="16" s="1"/>
  <c r="Q478" i="16"/>
  <c r="S478" i="16" s="1"/>
  <c r="O478" i="16" l="1"/>
  <c r="AG402" i="16"/>
  <c r="W403" i="16"/>
  <c r="Y403" i="16" s="1"/>
  <c r="AB403" i="16" s="1"/>
  <c r="AE403" i="16"/>
  <c r="BI370" i="16"/>
  <c r="BG370" i="16"/>
  <c r="BL370" i="16"/>
  <c r="BM370" i="16" s="1"/>
  <c r="P479" i="16"/>
  <c r="Q479" i="16" s="1"/>
  <c r="S479" i="16" s="1"/>
  <c r="E479" i="16"/>
  <c r="L479" i="16" s="1"/>
  <c r="AL402" i="16" l="1"/>
  <c r="AY402" i="16" s="1"/>
  <c r="AH402" i="16"/>
  <c r="AS402" i="16" s="1"/>
  <c r="AF403" i="16"/>
  <c r="AA403" i="16"/>
  <c r="AK403" i="16" s="1"/>
  <c r="Z403" i="16"/>
  <c r="BC371" i="16"/>
  <c r="BH371" i="16" s="1"/>
  <c r="BO370" i="16"/>
  <c r="BP370" i="16" s="1"/>
  <c r="BN370" i="16"/>
  <c r="N479" i="16"/>
  <c r="M480" i="16" s="1"/>
  <c r="AM402" i="16" l="1"/>
  <c r="AN402" i="16" s="1"/>
  <c r="AO402" i="16" s="1"/>
  <c r="AP402" i="16" s="1"/>
  <c r="AQ402" i="16" s="1"/>
  <c r="AG403" i="16"/>
  <c r="AL403" i="16" s="1"/>
  <c r="AY403" i="16" s="1"/>
  <c r="AU402" i="16"/>
  <c r="AV402" i="16" s="1"/>
  <c r="AT402" i="16"/>
  <c r="AW402" i="16" s="1"/>
  <c r="AX402" i="16" s="1"/>
  <c r="AZ402" i="16" s="1"/>
  <c r="BD371" i="16"/>
  <c r="BE371" i="16" s="1"/>
  <c r="U404" i="16"/>
  <c r="AC404" i="16" s="1"/>
  <c r="E369" i="14"/>
  <c r="F369" i="14" s="1"/>
  <c r="H369" i="14" s="1"/>
  <c r="AD191" i="15"/>
  <c r="AJ115" i="15"/>
  <c r="BQ370" i="16"/>
  <c r="O479" i="16"/>
  <c r="AR402" i="16" l="1"/>
  <c r="AH403" i="16"/>
  <c r="AS403" i="16" s="1"/>
  <c r="AT403" i="16" s="1"/>
  <c r="AW403" i="16" s="1"/>
  <c r="AX403" i="16" s="1"/>
  <c r="AZ403" i="16" s="1"/>
  <c r="AM403" i="16"/>
  <c r="AN403" i="16" s="1"/>
  <c r="AO403" i="16" s="1"/>
  <c r="BJ371" i="16"/>
  <c r="BF371" i="16"/>
  <c r="BI371" i="16" s="1"/>
  <c r="BK371" i="16"/>
  <c r="BL371" i="16" s="1"/>
  <c r="BM371" i="16" s="1"/>
  <c r="AD404" i="16"/>
  <c r="W404" i="16"/>
  <c r="E480" i="16"/>
  <c r="L480" i="16" s="1"/>
  <c r="P480" i="16"/>
  <c r="AU403" i="16" l="1"/>
  <c r="AV403" i="16" s="1"/>
  <c r="BG371" i="16"/>
  <c r="BC372" i="16" s="1"/>
  <c r="BH372" i="16" s="1"/>
  <c r="AP403" i="16"/>
  <c r="AR403" i="16" s="1"/>
  <c r="AA404" i="16"/>
  <c r="AK404" i="16" s="1"/>
  <c r="Y404" i="16"/>
  <c r="AE404" i="16"/>
  <c r="BO371" i="16"/>
  <c r="BP371" i="16" s="1"/>
  <c r="BN371" i="16"/>
  <c r="Q480" i="16"/>
  <c r="S480" i="16" s="1"/>
  <c r="N480" i="16"/>
  <c r="M481" i="16" s="1"/>
  <c r="AQ403" i="16" l="1"/>
  <c r="AB404" i="16"/>
  <c r="Z404" i="16"/>
  <c r="AD204" i="15"/>
  <c r="E370" i="14"/>
  <c r="F370" i="14" s="1"/>
  <c r="H370" i="14" s="1"/>
  <c r="BD372" i="16"/>
  <c r="AJ434" i="15"/>
  <c r="BQ371" i="16"/>
  <c r="O480" i="16"/>
  <c r="E481" i="16"/>
  <c r="L481" i="16" s="1"/>
  <c r="U405" i="16" l="1"/>
  <c r="AC405" i="16" s="1"/>
  <c r="AF404" i="16"/>
  <c r="AG404" i="16" s="1"/>
  <c r="AH404" i="16" s="1"/>
  <c r="AS404" i="16" s="1"/>
  <c r="BJ372" i="16"/>
  <c r="BK372" i="16"/>
  <c r="BE372" i="16"/>
  <c r="BF372" i="16" s="1"/>
  <c r="N481" i="16"/>
  <c r="M482" i="16" s="1"/>
  <c r="P481" i="16"/>
  <c r="AL404" i="16" l="1"/>
  <c r="AM404" i="16" s="1"/>
  <c r="AT404" i="16"/>
  <c r="AW404" i="16" s="1"/>
  <c r="AX404" i="16" s="1"/>
  <c r="AZ404" i="16" s="1"/>
  <c r="AU404" i="16"/>
  <c r="AV404" i="16" s="1"/>
  <c r="AD405" i="16"/>
  <c r="W405" i="16"/>
  <c r="AA405" i="16" s="1"/>
  <c r="AK405" i="16" s="1"/>
  <c r="BI372" i="16"/>
  <c r="BG372" i="16"/>
  <c r="BL372" i="16"/>
  <c r="BM372" i="16" s="1"/>
  <c r="Q481" i="16"/>
  <c r="S481" i="16" s="1"/>
  <c r="O481" i="16"/>
  <c r="AY404" i="16" l="1"/>
  <c r="Y405" i="16"/>
  <c r="AB405" i="16" s="1"/>
  <c r="AN404" i="16"/>
  <c r="AO404" i="16" s="1"/>
  <c r="AE405" i="16"/>
  <c r="BC373" i="16"/>
  <c r="BD373" i="16" s="1"/>
  <c r="BN372" i="16"/>
  <c r="BO372" i="16"/>
  <c r="BP372" i="16" s="1"/>
  <c r="P482" i="16"/>
  <c r="Q482" i="16" s="1"/>
  <c r="S482" i="16" s="1"/>
  <c r="E482" i="16"/>
  <c r="L482" i="16" s="1"/>
  <c r="AF405" i="16" l="1"/>
  <c r="Z405" i="16"/>
  <c r="U406" i="16" s="1"/>
  <c r="AC406" i="16" s="1"/>
  <c r="AP404" i="16"/>
  <c r="AR404" i="16" s="1"/>
  <c r="BJ373" i="16"/>
  <c r="BK373" i="16"/>
  <c r="BE373" i="16"/>
  <c r="BF373" i="16" s="1"/>
  <c r="BH373" i="16"/>
  <c r="AJ40" i="15"/>
  <c r="BQ372" i="16"/>
  <c r="E371" i="14"/>
  <c r="F371" i="14" s="1"/>
  <c r="H371" i="14" s="1"/>
  <c r="AD152" i="15"/>
  <c r="N482" i="16"/>
  <c r="M483" i="16" s="1"/>
  <c r="AG405" i="16" l="1"/>
  <c r="AQ404" i="16"/>
  <c r="AD406" i="16"/>
  <c r="W406" i="16"/>
  <c r="AA406" i="16" s="1"/>
  <c r="AK406" i="16" s="1"/>
  <c r="BI373" i="16"/>
  <c r="BG373" i="16"/>
  <c r="BL373" i="16"/>
  <c r="BM373" i="16" s="1"/>
  <c r="O482" i="16"/>
  <c r="AL405" i="16" l="1"/>
  <c r="AY405" i="16" s="1"/>
  <c r="AH405" i="16"/>
  <c r="AS405" i="16" s="1"/>
  <c r="Y406" i="16"/>
  <c r="AB406" i="16" s="1"/>
  <c r="AE406" i="16"/>
  <c r="BC374" i="16"/>
  <c r="BH374" i="16" s="1"/>
  <c r="BO373" i="16"/>
  <c r="BP373" i="16" s="1"/>
  <c r="BN373" i="16"/>
  <c r="E483" i="16"/>
  <c r="L483" i="16" s="1"/>
  <c r="P483" i="16"/>
  <c r="AM405" i="16" l="1"/>
  <c r="AN405" i="16" s="1"/>
  <c r="AU405" i="16"/>
  <c r="AV405" i="16" s="1"/>
  <c r="AT405" i="16"/>
  <c r="AW405" i="16" s="1"/>
  <c r="BD374" i="16"/>
  <c r="BJ374" i="16" s="1"/>
  <c r="AF406" i="16"/>
  <c r="AG406" i="16" s="1"/>
  <c r="AH406" i="16" s="1"/>
  <c r="AS406" i="16" s="1"/>
  <c r="AT406" i="16" s="1"/>
  <c r="Z406" i="16"/>
  <c r="AJ435" i="15"/>
  <c r="BQ373" i="16"/>
  <c r="AD169" i="15"/>
  <c r="E372" i="14"/>
  <c r="F372" i="14" s="1"/>
  <c r="H372" i="14" s="1"/>
  <c r="Q483" i="16"/>
  <c r="S483" i="16" s="1"/>
  <c r="N483" i="16"/>
  <c r="M484" i="16" s="1"/>
  <c r="AO405" i="16" l="1"/>
  <c r="AP405" i="16" s="1"/>
  <c r="AR405" i="16" s="1"/>
  <c r="AX405" i="16"/>
  <c r="AZ405" i="16" s="1"/>
  <c r="AU406" i="16"/>
  <c r="AV406" i="16" s="1"/>
  <c r="AL406" i="16"/>
  <c r="AM406" i="16" s="1"/>
  <c r="BK374" i="16"/>
  <c r="BL374" i="16" s="1"/>
  <c r="BM374" i="16" s="1"/>
  <c r="BE374" i="16"/>
  <c r="BF374" i="16" s="1"/>
  <c r="BI374" i="16" s="1"/>
  <c r="U407" i="16"/>
  <c r="AC407" i="16" s="1"/>
  <c r="O483" i="16"/>
  <c r="AQ405" i="16" l="1"/>
  <c r="AW406" i="16"/>
  <c r="AX406" i="16" s="1"/>
  <c r="AZ406" i="16" s="1"/>
  <c r="AY406" i="16"/>
  <c r="BG374" i="16"/>
  <c r="BC375" i="16" s="1"/>
  <c r="BH375" i="16" s="1"/>
  <c r="W407" i="16"/>
  <c r="AA407" i="16" s="1"/>
  <c r="AK407" i="16" s="1"/>
  <c r="AN406" i="16"/>
  <c r="AO406" i="16" s="1"/>
  <c r="AD407" i="16"/>
  <c r="BO374" i="16"/>
  <c r="BP374" i="16" s="1"/>
  <c r="BN374" i="16"/>
  <c r="E484" i="16"/>
  <c r="L484" i="16" s="1"/>
  <c r="P484" i="16"/>
  <c r="Y407" i="16" l="1"/>
  <c r="AB407" i="16" s="1"/>
  <c r="BD375" i="16"/>
  <c r="BK375" i="16" s="1"/>
  <c r="AE407" i="16"/>
  <c r="AP406" i="16"/>
  <c r="AQ406" i="16" s="1"/>
  <c r="AJ53" i="15"/>
  <c r="BQ374" i="16"/>
  <c r="AD130" i="15"/>
  <c r="E373" i="14"/>
  <c r="F373" i="14" s="1"/>
  <c r="H373" i="14" s="1"/>
  <c r="Q484" i="16"/>
  <c r="S484" i="16" s="1"/>
  <c r="N484" i="16"/>
  <c r="M485" i="16" s="1"/>
  <c r="AF407" i="16" l="1"/>
  <c r="AG407" i="16" s="1"/>
  <c r="AH407" i="16" s="1"/>
  <c r="AS407" i="16" s="1"/>
  <c r="AU407" i="16" s="1"/>
  <c r="AV407" i="16" s="1"/>
  <c r="Z407" i="16"/>
  <c r="U408" i="16" s="1"/>
  <c r="AC408" i="16" s="1"/>
  <c r="AD408" i="16" s="1"/>
  <c r="BE375" i="16"/>
  <c r="BF375" i="16" s="1"/>
  <c r="BG375" i="16" s="1"/>
  <c r="BJ375" i="16"/>
  <c r="AR406" i="16"/>
  <c r="BL375" i="16"/>
  <c r="BM375" i="16" s="1"/>
  <c r="O484" i="16"/>
  <c r="E485" i="16"/>
  <c r="L485" i="16" s="1"/>
  <c r="AT407" i="16" l="1"/>
  <c r="AW407" i="16" s="1"/>
  <c r="AX407" i="16" s="1"/>
  <c r="AZ407" i="16" s="1"/>
  <c r="AL407" i="16"/>
  <c r="W408" i="16"/>
  <c r="Y408" i="16" s="1"/>
  <c r="BI375" i="16"/>
  <c r="BN375" i="16" s="1"/>
  <c r="AE408" i="16"/>
  <c r="BC376" i="16"/>
  <c r="N485" i="16"/>
  <c r="M486" i="16" s="1"/>
  <c r="P485" i="16"/>
  <c r="AM407" i="16" l="1"/>
  <c r="AN407" i="16" s="1"/>
  <c r="AO407" i="16" s="1"/>
  <c r="AY407" i="16"/>
  <c r="AA408" i="16"/>
  <c r="AK408" i="16" s="1"/>
  <c r="BO375" i="16"/>
  <c r="BP375" i="16" s="1"/>
  <c r="BQ375" i="16" s="1"/>
  <c r="AP407" i="16"/>
  <c r="AR407" i="16" s="1"/>
  <c r="AB408" i="16"/>
  <c r="Z408" i="16"/>
  <c r="BD376" i="16"/>
  <c r="BE376" i="16" s="1"/>
  <c r="BH376" i="16"/>
  <c r="AD139" i="15"/>
  <c r="E374" i="14"/>
  <c r="F374" i="14" s="1"/>
  <c r="H374" i="14" s="1"/>
  <c r="Q485" i="16"/>
  <c r="S485" i="16" s="1"/>
  <c r="O485" i="16"/>
  <c r="AJ436" i="15" l="1"/>
  <c r="AQ407" i="16"/>
  <c r="U409" i="16"/>
  <c r="AC409" i="16" s="1"/>
  <c r="AD409" i="16" s="1"/>
  <c r="AF408" i="16"/>
  <c r="AG408" i="16" s="1"/>
  <c r="AH408" i="16" s="1"/>
  <c r="AS408" i="16" s="1"/>
  <c r="BJ376" i="16"/>
  <c r="BK376" i="16"/>
  <c r="BF376" i="16"/>
  <c r="P486" i="16"/>
  <c r="Q486" i="16" s="1"/>
  <c r="S486" i="16" s="1"/>
  <c r="E486" i="16"/>
  <c r="L486" i="16" s="1"/>
  <c r="AT408" i="16" l="1"/>
  <c r="AW408" i="16" s="1"/>
  <c r="AX408" i="16" s="1"/>
  <c r="AZ408" i="16" s="1"/>
  <c r="AU408" i="16"/>
  <c r="AV408" i="16" s="1"/>
  <c r="AL408" i="16"/>
  <c r="AY408" i="16" s="1"/>
  <c r="AE409" i="16"/>
  <c r="W409" i="16"/>
  <c r="Y409" i="16" s="1"/>
  <c r="AB409" i="16" s="1"/>
  <c r="BI376" i="16"/>
  <c r="BG376" i="16"/>
  <c r="BL376" i="16"/>
  <c r="BM376" i="16" s="1"/>
  <c r="N486" i="16"/>
  <c r="M487" i="16" s="1"/>
  <c r="AM408" i="16" l="1"/>
  <c r="AN408" i="16" s="1"/>
  <c r="AO408" i="16" s="1"/>
  <c r="AF409" i="16"/>
  <c r="AA409" i="16"/>
  <c r="AK409" i="16" s="1"/>
  <c r="Z409" i="16"/>
  <c r="BO376" i="16"/>
  <c r="BP376" i="16" s="1"/>
  <c r="BN376" i="16"/>
  <c r="BC377" i="16"/>
  <c r="O486" i="16"/>
  <c r="E487" i="16"/>
  <c r="L487" i="16" s="1"/>
  <c r="AG409" i="16" l="1"/>
  <c r="AL409" i="16" s="1"/>
  <c r="AY409" i="16" s="1"/>
  <c r="U410" i="16"/>
  <c r="AC410" i="16" s="1"/>
  <c r="AP408" i="16"/>
  <c r="AR408" i="16" s="1"/>
  <c r="BH377" i="16"/>
  <c r="AD118" i="15"/>
  <c r="E375" i="14"/>
  <c r="F375" i="14" s="1"/>
  <c r="H375" i="14" s="1"/>
  <c r="BD377" i="16"/>
  <c r="BE377" i="16" s="1"/>
  <c r="BF377" i="16" s="1"/>
  <c r="AJ75" i="15"/>
  <c r="BQ376" i="16"/>
  <c r="N487" i="16"/>
  <c r="M488" i="16" s="1"/>
  <c r="P487" i="16"/>
  <c r="AM409" i="16" l="1"/>
  <c r="AN409" i="16" s="1"/>
  <c r="AO409" i="16" s="1"/>
  <c r="AH409" i="16"/>
  <c r="AS409" i="16" s="1"/>
  <c r="AQ408" i="16"/>
  <c r="AD410" i="16"/>
  <c r="W410" i="16"/>
  <c r="BI377" i="16"/>
  <c r="BG377" i="16"/>
  <c r="BJ377" i="16"/>
  <c r="BK377" i="16"/>
  <c r="Q487" i="16"/>
  <c r="S487" i="16" s="1"/>
  <c r="O487" i="16"/>
  <c r="AT409" i="16" l="1"/>
  <c r="AW409" i="16" s="1"/>
  <c r="AX409" i="16" s="1"/>
  <c r="AZ409" i="16" s="1"/>
  <c r="AU409" i="16"/>
  <c r="AV409" i="16" s="1"/>
  <c r="AP409" i="16"/>
  <c r="AR409" i="16" s="1"/>
  <c r="AA410" i="16"/>
  <c r="AK410" i="16" s="1"/>
  <c r="Y410" i="16"/>
  <c r="AB410" i="16" s="1"/>
  <c r="AE410" i="16"/>
  <c r="BC378" i="16"/>
  <c r="BH378" i="16" s="1"/>
  <c r="BL377" i="16"/>
  <c r="BM377" i="16" s="1"/>
  <c r="BO377" i="16"/>
  <c r="BP377" i="16" s="1"/>
  <c r="P488" i="16"/>
  <c r="E488" i="16"/>
  <c r="L488" i="16" s="1"/>
  <c r="Z410" i="16" l="1"/>
  <c r="AF410" i="16"/>
  <c r="BD378" i="16"/>
  <c r="BJ378" i="16" s="1"/>
  <c r="AQ409" i="16"/>
  <c r="BN377" i="16"/>
  <c r="BQ377" i="16" s="1"/>
  <c r="AJ51" i="15"/>
  <c r="N488" i="16"/>
  <c r="M489" i="16" s="1"/>
  <c r="Q488" i="16"/>
  <c r="S488" i="16" s="1"/>
  <c r="AG410" i="16" l="1"/>
  <c r="AL410" i="16" s="1"/>
  <c r="AY410" i="16" s="1"/>
  <c r="BK378" i="16"/>
  <c r="BL378" i="16" s="1"/>
  <c r="BM378" i="16" s="1"/>
  <c r="BE378" i="16"/>
  <c r="BF378" i="16" s="1"/>
  <c r="BG378" i="16" s="1"/>
  <c r="U411" i="16"/>
  <c r="AC411" i="16" s="1"/>
  <c r="E376" i="14"/>
  <c r="F376" i="14" s="1"/>
  <c r="H376" i="14" s="1"/>
  <c r="AD92" i="15"/>
  <c r="E489" i="16"/>
  <c r="O488" i="16"/>
  <c r="AM410" i="16" l="1"/>
  <c r="AH410" i="16"/>
  <c r="AS410" i="16" s="1"/>
  <c r="BI378" i="16"/>
  <c r="BO378" i="16" s="1"/>
  <c r="BP378" i="16" s="1"/>
  <c r="AD411" i="16"/>
  <c r="AN410" i="16"/>
  <c r="AO410" i="16" s="1"/>
  <c r="W411" i="16"/>
  <c r="BC379" i="16"/>
  <c r="BH379" i="16" s="1"/>
  <c r="L489" i="16"/>
  <c r="N489" i="16" s="1"/>
  <c r="P489" i="16"/>
  <c r="BN378" i="16" l="1"/>
  <c r="E377" i="14" s="1"/>
  <c r="F377" i="14" s="1"/>
  <c r="H377" i="14" s="1"/>
  <c r="AT410" i="16"/>
  <c r="AW410" i="16" s="1"/>
  <c r="AX410" i="16" s="1"/>
  <c r="AZ410" i="16" s="1"/>
  <c r="AU410" i="16"/>
  <c r="AV410" i="16" s="1"/>
  <c r="AP410" i="16"/>
  <c r="AR410" i="16" s="1"/>
  <c r="AE411" i="16"/>
  <c r="AA411" i="16"/>
  <c r="AK411" i="16" s="1"/>
  <c r="Y411" i="16"/>
  <c r="AB411" i="16" s="1"/>
  <c r="BD379" i="16"/>
  <c r="AJ437" i="15"/>
  <c r="M490" i="16"/>
  <c r="E490" i="16" s="1"/>
  <c r="L490" i="16" s="1"/>
  <c r="O489" i="16"/>
  <c r="Q489" i="16"/>
  <c r="S489" i="16" s="1"/>
  <c r="AD112" i="15" l="1"/>
  <c r="BQ378" i="16"/>
  <c r="Z411" i="16"/>
  <c r="AF411" i="16"/>
  <c r="AG411" i="16" s="1"/>
  <c r="AH411" i="16" s="1"/>
  <c r="AS411" i="16" s="1"/>
  <c r="AT411" i="16" s="1"/>
  <c r="AW411" i="16" s="1"/>
  <c r="AX411" i="16" s="1"/>
  <c r="AZ411" i="16" s="1"/>
  <c r="AQ410" i="16"/>
  <c r="BJ379" i="16"/>
  <c r="BK379" i="16"/>
  <c r="BE379" i="16"/>
  <c r="BF379" i="16" s="1"/>
  <c r="P490" i="16"/>
  <c r="Q490" i="16" s="1"/>
  <c r="S490" i="16" s="1"/>
  <c r="N490" i="16"/>
  <c r="M491" i="16" s="1"/>
  <c r="AL411" i="16" l="1"/>
  <c r="AY411" i="16" s="1"/>
  <c r="AU411" i="16"/>
  <c r="AV411" i="16" s="1"/>
  <c r="U412" i="16"/>
  <c r="AC412" i="16" s="1"/>
  <c r="AD412" i="16" s="1"/>
  <c r="BL379" i="16"/>
  <c r="BM379" i="16" s="1"/>
  <c r="BI379" i="16"/>
  <c r="BG379" i="16"/>
  <c r="E491" i="16"/>
  <c r="O490" i="16"/>
  <c r="AM411" i="16" l="1"/>
  <c r="AN411" i="16" s="1"/>
  <c r="AO411" i="16" s="1"/>
  <c r="W412" i="16"/>
  <c r="AA412" i="16" s="1"/>
  <c r="AK412" i="16" s="1"/>
  <c r="AE412" i="16"/>
  <c r="BC380" i="16"/>
  <c r="BH380" i="16" s="1"/>
  <c r="BO379" i="16"/>
  <c r="BP379" i="16" s="1"/>
  <c r="BN379" i="16"/>
  <c r="L491" i="16"/>
  <c r="P491" i="16"/>
  <c r="Y412" i="16" l="1"/>
  <c r="AB412" i="16" s="1"/>
  <c r="AP411" i="16"/>
  <c r="AR411" i="16" s="1"/>
  <c r="BD380" i="16"/>
  <c r="BK380" i="16" s="1"/>
  <c r="E378" i="14"/>
  <c r="F378" i="14" s="1"/>
  <c r="H378" i="14" s="1"/>
  <c r="AD136" i="15"/>
  <c r="AJ438" i="15"/>
  <c r="BQ379" i="16"/>
  <c r="N491" i="16"/>
  <c r="Q491" i="16"/>
  <c r="S491" i="16" s="1"/>
  <c r="AF412" i="16" l="1"/>
  <c r="Z412" i="16"/>
  <c r="U413" i="16" s="1"/>
  <c r="AC413" i="16" s="1"/>
  <c r="BJ380" i="16"/>
  <c r="AQ411" i="16"/>
  <c r="BE380" i="16"/>
  <c r="BF380" i="16" s="1"/>
  <c r="BG380" i="16" s="1"/>
  <c r="BL380" i="16"/>
  <c r="BM380" i="16" s="1"/>
  <c r="M492" i="16"/>
  <c r="O491" i="16"/>
  <c r="AG412" i="16" l="1"/>
  <c r="BI380" i="16"/>
  <c r="BN380" i="16" s="1"/>
  <c r="AD413" i="16"/>
  <c r="P492" i="16"/>
  <c r="Q492" i="16" s="1"/>
  <c r="S492" i="16" s="1"/>
  <c r="W413" i="16"/>
  <c r="BC381" i="16"/>
  <c r="BH381" i="16" s="1"/>
  <c r="E492" i="16"/>
  <c r="L492" i="16" s="1"/>
  <c r="N492" i="16" s="1"/>
  <c r="M493" i="16" s="1"/>
  <c r="AL412" i="16" l="1"/>
  <c r="AY412" i="16" s="1"/>
  <c r="AH412" i="16"/>
  <c r="AS412" i="16" s="1"/>
  <c r="BO380" i="16"/>
  <c r="BP380" i="16" s="1"/>
  <c r="AJ439" i="15" s="1"/>
  <c r="AA413" i="16"/>
  <c r="AK413" i="16" s="1"/>
  <c r="Y413" i="16"/>
  <c r="AB413" i="16" s="1"/>
  <c r="AE413" i="16"/>
  <c r="BD381" i="16"/>
  <c r="AD159" i="15"/>
  <c r="E379" i="14"/>
  <c r="F379" i="14" s="1"/>
  <c r="H379" i="14" s="1"/>
  <c r="O492" i="16"/>
  <c r="AM412" i="16" l="1"/>
  <c r="AN412" i="16" s="1"/>
  <c r="AO412" i="16" s="1"/>
  <c r="AP412" i="16" s="1"/>
  <c r="BQ380" i="16"/>
  <c r="AT412" i="16"/>
  <c r="AW412" i="16" s="1"/>
  <c r="AU412" i="16"/>
  <c r="AV412" i="16" s="1"/>
  <c r="AR412" i="16"/>
  <c r="Z413" i="16"/>
  <c r="U414" i="16" s="1"/>
  <c r="AC414" i="16" s="1"/>
  <c r="AF413" i="16"/>
  <c r="AG413" i="16" s="1"/>
  <c r="AH413" i="16" s="1"/>
  <c r="AS413" i="16" s="1"/>
  <c r="AT413" i="16" s="1"/>
  <c r="BJ381" i="16"/>
  <c r="BK381" i="16"/>
  <c r="BE381" i="16"/>
  <c r="BF381" i="16" s="1"/>
  <c r="E493" i="16"/>
  <c r="L493" i="16" s="1"/>
  <c r="P493" i="16"/>
  <c r="AQ412" i="16" l="1"/>
  <c r="AL413" i="16"/>
  <c r="AM413" i="16" s="1"/>
  <c r="AU413" i="16"/>
  <c r="AV413" i="16" s="1"/>
  <c r="AX412" i="16"/>
  <c r="AZ412" i="16" s="1"/>
  <c r="AD414" i="16"/>
  <c r="W414" i="16"/>
  <c r="AA414" i="16" s="1"/>
  <c r="AK414" i="16" s="1"/>
  <c r="BI381" i="16"/>
  <c r="BG381" i="16"/>
  <c r="BL381" i="16"/>
  <c r="BM381" i="16" s="1"/>
  <c r="Q493" i="16"/>
  <c r="S493" i="16" s="1"/>
  <c r="N493" i="16"/>
  <c r="M494" i="16" s="1"/>
  <c r="AY413" i="16" l="1"/>
  <c r="AW413" i="16"/>
  <c r="AX413" i="16" s="1"/>
  <c r="AZ413" i="16" s="1"/>
  <c r="Y414" i="16"/>
  <c r="AB414" i="16" s="1"/>
  <c r="AE414" i="16"/>
  <c r="AN413" i="16"/>
  <c r="AO413" i="16" s="1"/>
  <c r="BC382" i="16"/>
  <c r="BH382" i="16" s="1"/>
  <c r="BO381" i="16"/>
  <c r="BP381" i="16" s="1"/>
  <c r="BN381" i="16"/>
  <c r="O493" i="16"/>
  <c r="AF414" i="16" l="1"/>
  <c r="AG414" i="16" s="1"/>
  <c r="AH414" i="16" s="1"/>
  <c r="AS414" i="16" s="1"/>
  <c r="Z414" i="16"/>
  <c r="U415" i="16" s="1"/>
  <c r="AC415" i="16" s="1"/>
  <c r="AP413" i="16"/>
  <c r="AQ413" i="16" s="1"/>
  <c r="BD382" i="16"/>
  <c r="BE382" i="16" s="1"/>
  <c r="BF382" i="16" s="1"/>
  <c r="AJ440" i="15"/>
  <c r="BQ381" i="16"/>
  <c r="AD192" i="15"/>
  <c r="E380" i="14"/>
  <c r="F380" i="14" s="1"/>
  <c r="H380" i="14" s="1"/>
  <c r="E494" i="16"/>
  <c r="L494" i="16" s="1"/>
  <c r="P494" i="16"/>
  <c r="AT414" i="16" l="1"/>
  <c r="AW414" i="16" s="1"/>
  <c r="AX414" i="16" s="1"/>
  <c r="AZ414" i="16" s="1"/>
  <c r="AU414" i="16"/>
  <c r="AV414" i="16" s="1"/>
  <c r="AL414" i="16"/>
  <c r="AY414" i="16" s="1"/>
  <c r="AR413" i="16"/>
  <c r="AD415" i="16"/>
  <c r="W415" i="16"/>
  <c r="AA415" i="16" s="1"/>
  <c r="AK415" i="16" s="1"/>
  <c r="BI382" i="16"/>
  <c r="BG382" i="16"/>
  <c r="BJ382" i="16"/>
  <c r="BK382" i="16"/>
  <c r="Q494" i="16"/>
  <c r="S494" i="16" s="1"/>
  <c r="N494" i="16"/>
  <c r="M495" i="16" s="1"/>
  <c r="AM414" i="16" l="1"/>
  <c r="AN414" i="16" s="1"/>
  <c r="AO414" i="16" s="1"/>
  <c r="AP414" i="16" s="1"/>
  <c r="AR414" i="16" s="1"/>
  <c r="AE415" i="16"/>
  <c r="Y415" i="16"/>
  <c r="BL382" i="16"/>
  <c r="BM382" i="16" s="1"/>
  <c r="BC383" i="16"/>
  <c r="BH383" i="16" s="1"/>
  <c r="BO382" i="16"/>
  <c r="BP382" i="16" s="1"/>
  <c r="O494" i="16"/>
  <c r="AQ414" i="16" l="1"/>
  <c r="BN382" i="16"/>
  <c r="BQ382" i="16" s="1"/>
  <c r="AB415" i="16"/>
  <c r="Z415" i="16"/>
  <c r="AJ441" i="15"/>
  <c r="BD383" i="16"/>
  <c r="E495" i="16"/>
  <c r="L495" i="16" s="1"/>
  <c r="P495" i="16"/>
  <c r="E381" i="14" l="1"/>
  <c r="F381" i="14" s="1"/>
  <c r="H381" i="14" s="1"/>
  <c r="AD195" i="15"/>
  <c r="U416" i="16"/>
  <c r="AC416" i="16" s="1"/>
  <c r="AF415" i="16"/>
  <c r="BJ383" i="16"/>
  <c r="BK383" i="16"/>
  <c r="BE383" i="16"/>
  <c r="BF383" i="16" s="1"/>
  <c r="Q495" i="16"/>
  <c r="S495" i="16" s="1"/>
  <c r="N495" i="16"/>
  <c r="M496" i="16" s="1"/>
  <c r="AG415" i="16" l="1"/>
  <c r="AL415" i="16" s="1"/>
  <c r="AY415" i="16" s="1"/>
  <c r="W416" i="16"/>
  <c r="AA416" i="16" s="1"/>
  <c r="AK416" i="16" s="1"/>
  <c r="AD416" i="16"/>
  <c r="BI383" i="16"/>
  <c r="BG383" i="16"/>
  <c r="BL383" i="16"/>
  <c r="BM383" i="16" s="1"/>
  <c r="O495" i="16"/>
  <c r="AM415" i="16" l="1"/>
  <c r="AN415" i="16" s="1"/>
  <c r="AO415" i="16" s="1"/>
  <c r="AP415" i="16" s="1"/>
  <c r="AH415" i="16"/>
  <c r="AS415" i="16" s="1"/>
  <c r="AE416" i="16"/>
  <c r="Y416" i="16"/>
  <c r="AB416" i="16" s="1"/>
  <c r="BC384" i="16"/>
  <c r="BH384" i="16" s="1"/>
  <c r="BN383" i="16"/>
  <c r="BO383" i="16"/>
  <c r="BP383" i="16" s="1"/>
  <c r="E496" i="16"/>
  <c r="L496" i="16" s="1"/>
  <c r="P496" i="16"/>
  <c r="AR415" i="16" l="1"/>
  <c r="AU415" i="16"/>
  <c r="AV415" i="16" s="1"/>
  <c r="AT415" i="16"/>
  <c r="AW415" i="16" s="1"/>
  <c r="AX415" i="16" s="1"/>
  <c r="AZ415" i="16" s="1"/>
  <c r="Z416" i="16"/>
  <c r="U417" i="16" s="1"/>
  <c r="AQ415" i="16"/>
  <c r="AF416" i="16"/>
  <c r="BD384" i="16"/>
  <c r="BE384" i="16" s="1"/>
  <c r="BF384" i="16" s="1"/>
  <c r="AD87" i="15"/>
  <c r="E382" i="14"/>
  <c r="F382" i="14" s="1"/>
  <c r="H382" i="14" s="1"/>
  <c r="AJ47" i="15"/>
  <c r="BQ383" i="16"/>
  <c r="Q496" i="16"/>
  <c r="S496" i="16" s="1"/>
  <c r="N496" i="16"/>
  <c r="M497" i="16" s="1"/>
  <c r="AG416" i="16" l="1"/>
  <c r="AL416" i="16" s="1"/>
  <c r="AY416" i="16" s="1"/>
  <c r="AC417" i="16"/>
  <c r="W417" i="16"/>
  <c r="AA417" i="16" s="1"/>
  <c r="AK417" i="16" s="1"/>
  <c r="BI384" i="16"/>
  <c r="BG384" i="16"/>
  <c r="BJ384" i="16"/>
  <c r="BK384" i="16"/>
  <c r="O496" i="16"/>
  <c r="AM416" i="16" l="1"/>
  <c r="AN416" i="16" s="1"/>
  <c r="AO416" i="16" s="1"/>
  <c r="Y417" i="16"/>
  <c r="AB417" i="16" s="1"/>
  <c r="AH416" i="16"/>
  <c r="AS416" i="16" s="1"/>
  <c r="AD417" i="16"/>
  <c r="AE417" i="16" s="1"/>
  <c r="BL384" i="16"/>
  <c r="BM384" i="16" s="1"/>
  <c r="BC385" i="16"/>
  <c r="BO384" i="16"/>
  <c r="BP384" i="16" s="1"/>
  <c r="E497" i="16"/>
  <c r="L497" i="16" s="1"/>
  <c r="P497" i="16"/>
  <c r="AF417" i="16" l="1"/>
  <c r="AG417" i="16" s="1"/>
  <c r="AH417" i="16" s="1"/>
  <c r="AS417" i="16" s="1"/>
  <c r="AT417" i="16" s="1"/>
  <c r="AT416" i="16"/>
  <c r="AW416" i="16" s="1"/>
  <c r="AX416" i="16" s="1"/>
  <c r="AZ416" i="16" s="1"/>
  <c r="AU416" i="16"/>
  <c r="AV416" i="16" s="1"/>
  <c r="Z417" i="16"/>
  <c r="U418" i="16" s="1"/>
  <c r="AC418" i="16" s="1"/>
  <c r="AD418" i="16" s="1"/>
  <c r="BN384" i="16"/>
  <c r="E383" i="14" s="1"/>
  <c r="F383" i="14" s="1"/>
  <c r="H383" i="14" s="1"/>
  <c r="AP416" i="16"/>
  <c r="AQ416" i="16" s="1"/>
  <c r="BH385" i="16"/>
  <c r="BD385" i="16"/>
  <c r="AJ442" i="15"/>
  <c r="Q497" i="16"/>
  <c r="S497" i="16" s="1"/>
  <c r="N497" i="16"/>
  <c r="M498" i="16" s="1"/>
  <c r="AD110" i="15" l="1"/>
  <c r="AU417" i="16"/>
  <c r="AV417" i="16" s="1"/>
  <c r="AW417" i="16"/>
  <c r="AX417" i="16" s="1"/>
  <c r="AZ417" i="16" s="1"/>
  <c r="AL417" i="16"/>
  <c r="AY417" i="16" s="1"/>
  <c r="BQ384" i="16"/>
  <c r="AR416" i="16"/>
  <c r="AE418" i="16"/>
  <c r="W418" i="16"/>
  <c r="AA418" i="16" s="1"/>
  <c r="AK418" i="16" s="1"/>
  <c r="BJ385" i="16"/>
  <c r="BK385" i="16"/>
  <c r="BE385" i="16"/>
  <c r="BF385" i="16" s="1"/>
  <c r="O497" i="16"/>
  <c r="AM417" i="16" l="1"/>
  <c r="AN417" i="16" s="1"/>
  <c r="AO417" i="16" s="1"/>
  <c r="AP417" i="16" s="1"/>
  <c r="AR417" i="16" s="1"/>
  <c r="Y418" i="16"/>
  <c r="AB418" i="16" s="1"/>
  <c r="AF418" i="16" s="1"/>
  <c r="BI385" i="16"/>
  <c r="BG385" i="16"/>
  <c r="BL385" i="16"/>
  <c r="BM385" i="16" s="1"/>
  <c r="E498" i="16"/>
  <c r="L498" i="16" s="1"/>
  <c r="P498" i="16"/>
  <c r="AG418" i="16" l="1"/>
  <c r="AH418" i="16" s="1"/>
  <c r="AS418" i="16" s="1"/>
  <c r="Z418" i="16"/>
  <c r="U419" i="16" s="1"/>
  <c r="AC419" i="16" s="1"/>
  <c r="AQ417" i="16"/>
  <c r="BN385" i="16"/>
  <c r="BO385" i="16"/>
  <c r="BP385" i="16" s="1"/>
  <c r="BC386" i="16"/>
  <c r="BH386" i="16" s="1"/>
  <c r="Q498" i="16"/>
  <c r="S498" i="16" s="1"/>
  <c r="N498" i="16"/>
  <c r="M499" i="16" s="1"/>
  <c r="AL418" i="16" l="1"/>
  <c r="AM418" i="16" s="1"/>
  <c r="AU418" i="16"/>
  <c r="AV418" i="16" s="1"/>
  <c r="AT418" i="16"/>
  <c r="AW418" i="16" s="1"/>
  <c r="AX418" i="16" s="1"/>
  <c r="AZ418" i="16" s="1"/>
  <c r="AD419" i="16"/>
  <c r="AN418" i="16"/>
  <c r="AO418" i="16" s="1"/>
  <c r="W419" i="16"/>
  <c r="AA419" i="16" s="1"/>
  <c r="AK419" i="16" s="1"/>
  <c r="AJ443" i="15"/>
  <c r="BQ385" i="16"/>
  <c r="BD386" i="16"/>
  <c r="BE386" i="16" s="1"/>
  <c r="E384" i="14"/>
  <c r="F384" i="14" s="1"/>
  <c r="H384" i="14" s="1"/>
  <c r="AD132" i="15"/>
  <c r="O498" i="16"/>
  <c r="AY418" i="16" l="1"/>
  <c r="AP418" i="16"/>
  <c r="AR418" i="16" s="1"/>
  <c r="AE419" i="16"/>
  <c r="Y419" i="16"/>
  <c r="AB419" i="16" s="1"/>
  <c r="BJ386" i="16"/>
  <c r="BK386" i="16"/>
  <c r="BF386" i="16"/>
  <c r="E499" i="16"/>
  <c r="L499" i="16" s="1"/>
  <c r="P499" i="16"/>
  <c r="AQ418" i="16" l="1"/>
  <c r="Z419" i="16"/>
  <c r="U420" i="16" s="1"/>
  <c r="AC420" i="16" s="1"/>
  <c r="AF419" i="16"/>
  <c r="AG419" i="16" s="1"/>
  <c r="AH419" i="16" s="1"/>
  <c r="AS419" i="16" s="1"/>
  <c r="BI386" i="16"/>
  <c r="BG386" i="16"/>
  <c r="BL386" i="16"/>
  <c r="BM386" i="16" s="1"/>
  <c r="Q499" i="16"/>
  <c r="S499" i="16" s="1"/>
  <c r="N499" i="16"/>
  <c r="M500" i="16" s="1"/>
  <c r="AL419" i="16" l="1"/>
  <c r="AY419" i="16" s="1"/>
  <c r="AT419" i="16"/>
  <c r="AW419" i="16" s="1"/>
  <c r="AX419" i="16" s="1"/>
  <c r="AZ419" i="16" s="1"/>
  <c r="AU419" i="16"/>
  <c r="AV419" i="16" s="1"/>
  <c r="AD420" i="16"/>
  <c r="W420" i="16"/>
  <c r="BC387" i="16"/>
  <c r="BH387" i="16" s="1"/>
  <c r="BO386" i="16"/>
  <c r="BP386" i="16" s="1"/>
  <c r="BN386" i="16"/>
  <c r="O499" i="16"/>
  <c r="AM419" i="16" l="1"/>
  <c r="AN419" i="16" s="1"/>
  <c r="AO419" i="16" s="1"/>
  <c r="AA420" i="16"/>
  <c r="AK420" i="16" s="1"/>
  <c r="Y420" i="16"/>
  <c r="AB420" i="16" s="1"/>
  <c r="AE420" i="16"/>
  <c r="BD387" i="16"/>
  <c r="BJ387" i="16" s="1"/>
  <c r="AD153" i="15"/>
  <c r="E385" i="14"/>
  <c r="F385" i="14" s="1"/>
  <c r="H385" i="14" s="1"/>
  <c r="AJ444" i="15"/>
  <c r="BQ386" i="16"/>
  <c r="E500" i="16"/>
  <c r="P500" i="16"/>
  <c r="BE387" i="16" l="1"/>
  <c r="BF387" i="16" s="1"/>
  <c r="BG387" i="16" s="1"/>
  <c r="BK387" i="16"/>
  <c r="BL387" i="16" s="1"/>
  <c r="BM387" i="16" s="1"/>
  <c r="Z420" i="16"/>
  <c r="U421" i="16" s="1"/>
  <c r="AC421" i="16" s="1"/>
  <c r="AP419" i="16"/>
  <c r="AR419" i="16" s="1"/>
  <c r="AF420" i="16"/>
  <c r="AG420" i="16" s="1"/>
  <c r="AH420" i="16" s="1"/>
  <c r="AS420" i="16" s="1"/>
  <c r="L500" i="16"/>
  <c r="Q500" i="16"/>
  <c r="S500" i="16" s="1"/>
  <c r="AT420" i="16" l="1"/>
  <c r="AW420" i="16" s="1"/>
  <c r="AX420" i="16" s="1"/>
  <c r="AZ420" i="16" s="1"/>
  <c r="AU420" i="16"/>
  <c r="AV420" i="16" s="1"/>
  <c r="AL420" i="16"/>
  <c r="AY420" i="16" s="1"/>
  <c r="BI387" i="16"/>
  <c r="BO387" i="16" s="1"/>
  <c r="BP387" i="16" s="1"/>
  <c r="AD421" i="16"/>
  <c r="W421" i="16"/>
  <c r="AA421" i="16" s="1"/>
  <c r="AK421" i="16" s="1"/>
  <c r="AQ419" i="16"/>
  <c r="BC388" i="16"/>
  <c r="BH388" i="16" s="1"/>
  <c r="N500" i="16"/>
  <c r="M501" i="16" s="1"/>
  <c r="BN387" i="16" l="1"/>
  <c r="AD179" i="15" s="1"/>
  <c r="AM420" i="16"/>
  <c r="AN420" i="16" s="1"/>
  <c r="Y421" i="16"/>
  <c r="AB421" i="16" s="1"/>
  <c r="O500" i="16"/>
  <c r="AE421" i="16"/>
  <c r="BD388" i="16"/>
  <c r="AJ445" i="15"/>
  <c r="E501" i="16"/>
  <c r="L501" i="16" s="1"/>
  <c r="P501" i="16"/>
  <c r="E386" i="14" l="1"/>
  <c r="F386" i="14" s="1"/>
  <c r="H386" i="14" s="1"/>
  <c r="BQ387" i="16"/>
  <c r="Z421" i="16"/>
  <c r="U422" i="16" s="1"/>
  <c r="AC422" i="16" s="1"/>
  <c r="AF421" i="16"/>
  <c r="AG421" i="16" s="1"/>
  <c r="AO420" i="16"/>
  <c r="BJ388" i="16"/>
  <c r="BK388" i="16"/>
  <c r="BE388" i="16"/>
  <c r="BF388" i="16" s="1"/>
  <c r="Q501" i="16"/>
  <c r="S501" i="16" s="1"/>
  <c r="N501" i="16"/>
  <c r="M502" i="16" s="1"/>
  <c r="AH421" i="16" l="1"/>
  <c r="AS421" i="16" s="1"/>
  <c r="AL421" i="16"/>
  <c r="AD422" i="16"/>
  <c r="W422" i="16"/>
  <c r="AA422" i="16" s="1"/>
  <c r="AK422" i="16" s="1"/>
  <c r="AP420" i="16"/>
  <c r="AR420" i="16" s="1"/>
  <c r="BL388" i="16"/>
  <c r="BM388" i="16" s="1"/>
  <c r="BI388" i="16"/>
  <c r="BG388" i="16"/>
  <c r="O501" i="16"/>
  <c r="AY421" i="16" l="1"/>
  <c r="AM421" i="16"/>
  <c r="AN421" i="16" s="1"/>
  <c r="AT421" i="16"/>
  <c r="AW421" i="16" s="1"/>
  <c r="AX421" i="16" s="1"/>
  <c r="AZ421" i="16" s="1"/>
  <c r="AU421" i="16"/>
  <c r="AV421" i="16" s="1"/>
  <c r="AQ420" i="16"/>
  <c r="Y422" i="16"/>
  <c r="AB422" i="16" s="1"/>
  <c r="AE422" i="16"/>
  <c r="BC389" i="16"/>
  <c r="BH389" i="16" s="1"/>
  <c r="BO388" i="16"/>
  <c r="BP388" i="16" s="1"/>
  <c r="BN388" i="16"/>
  <c r="E502" i="16"/>
  <c r="L502" i="16" s="1"/>
  <c r="P502" i="16"/>
  <c r="AO421" i="16" l="1"/>
  <c r="AP421" i="16" s="1"/>
  <c r="AR421" i="16" s="1"/>
  <c r="Z422" i="16"/>
  <c r="U423" i="16" s="1"/>
  <c r="AC423" i="16" s="1"/>
  <c r="AF422" i="16"/>
  <c r="AG422" i="16" s="1"/>
  <c r="AH422" i="16" s="1"/>
  <c r="AS422" i="16" s="1"/>
  <c r="AT422" i="16" s="1"/>
  <c r="AW422" i="16" s="1"/>
  <c r="AX422" i="16" s="1"/>
  <c r="AZ422" i="16" s="1"/>
  <c r="BD389" i="16"/>
  <c r="BE389" i="16" s="1"/>
  <c r="BF389" i="16" s="1"/>
  <c r="E387" i="14"/>
  <c r="F387" i="14" s="1"/>
  <c r="H387" i="14" s="1"/>
  <c r="AD133" i="15"/>
  <c r="AJ80" i="15"/>
  <c r="BQ388" i="16"/>
  <c r="Q502" i="16"/>
  <c r="S502" i="16" s="1"/>
  <c r="N502" i="16"/>
  <c r="M503" i="16" s="1"/>
  <c r="AL422" i="16" l="1"/>
  <c r="AM422" i="16" s="1"/>
  <c r="AU422" i="16"/>
  <c r="AV422" i="16" s="1"/>
  <c r="AQ421" i="16"/>
  <c r="W423" i="16"/>
  <c r="AA423" i="16" s="1"/>
  <c r="AK423" i="16" s="1"/>
  <c r="AD423" i="16"/>
  <c r="BI389" i="16"/>
  <c r="BG389" i="16"/>
  <c r="BJ389" i="16"/>
  <c r="BK389" i="16"/>
  <c r="O502" i="16"/>
  <c r="AY422" i="16" l="1"/>
  <c r="Y423" i="16"/>
  <c r="AB423" i="16" s="1"/>
  <c r="AE423" i="16"/>
  <c r="AN422" i="16"/>
  <c r="AO422" i="16" s="1"/>
  <c r="BL389" i="16"/>
  <c r="BM389" i="16" s="1"/>
  <c r="BC390" i="16"/>
  <c r="BH390" i="16" s="1"/>
  <c r="BO389" i="16"/>
  <c r="BP389" i="16" s="1"/>
  <c r="E503" i="16"/>
  <c r="L503" i="16" s="1"/>
  <c r="P503" i="16"/>
  <c r="AF423" i="16" l="1"/>
  <c r="AG423" i="16" s="1"/>
  <c r="AH423" i="16" s="1"/>
  <c r="AS423" i="16" s="1"/>
  <c r="Z423" i="16"/>
  <c r="U424" i="16" s="1"/>
  <c r="AC424" i="16" s="1"/>
  <c r="AP422" i="16"/>
  <c r="AQ422" i="16" s="1"/>
  <c r="BN389" i="16"/>
  <c r="BQ389" i="16" s="1"/>
  <c r="AJ446" i="15"/>
  <c r="BD390" i="16"/>
  <c r="BE390" i="16" s="1"/>
  <c r="Q503" i="16"/>
  <c r="S503" i="16" s="1"/>
  <c r="N503" i="16"/>
  <c r="M504" i="16" s="1"/>
  <c r="AT423" i="16" l="1"/>
  <c r="AW423" i="16" s="1"/>
  <c r="AX423" i="16" s="1"/>
  <c r="AZ423" i="16" s="1"/>
  <c r="AU423" i="16"/>
  <c r="AV423" i="16" s="1"/>
  <c r="AL423" i="16"/>
  <c r="E388" i="14"/>
  <c r="F388" i="14" s="1"/>
  <c r="H388" i="14" s="1"/>
  <c r="W424" i="16"/>
  <c r="AD140" i="15"/>
  <c r="AR422" i="16"/>
  <c r="AD424" i="16"/>
  <c r="AE424" i="16" s="1"/>
  <c r="BF390" i="16"/>
  <c r="BJ390" i="16"/>
  <c r="BK390" i="16"/>
  <c r="O503" i="16"/>
  <c r="AM423" i="16" l="1"/>
  <c r="AY423" i="16"/>
  <c r="AA424" i="16"/>
  <c r="AK424" i="16" s="1"/>
  <c r="Y424" i="16"/>
  <c r="BL390" i="16"/>
  <c r="BM390" i="16" s="1"/>
  <c r="BI390" i="16"/>
  <c r="BG390" i="16"/>
  <c r="E504" i="16"/>
  <c r="P504" i="16"/>
  <c r="AN423" i="16" l="1"/>
  <c r="AO423" i="16" s="1"/>
  <c r="AP423" i="16" s="1"/>
  <c r="AR423" i="16" s="1"/>
  <c r="AB424" i="16"/>
  <c r="Z424" i="16"/>
  <c r="BC391" i="16"/>
  <c r="BH391" i="16" s="1"/>
  <c r="BN390" i="16"/>
  <c r="BO390" i="16"/>
  <c r="BP390" i="16" s="1"/>
  <c r="L504" i="16"/>
  <c r="Q504" i="16"/>
  <c r="S504" i="16" s="1"/>
  <c r="AQ423" i="16" l="1"/>
  <c r="U425" i="16"/>
  <c r="AC425" i="16" s="1"/>
  <c r="AD425" i="16" s="1"/>
  <c r="AE425" i="16" s="1"/>
  <c r="AF424" i="16"/>
  <c r="AG424" i="16" s="1"/>
  <c r="AH424" i="16" s="1"/>
  <c r="AS424" i="16" s="1"/>
  <c r="AJ86" i="15"/>
  <c r="BQ390" i="16"/>
  <c r="BD391" i="16"/>
  <c r="AD102" i="15"/>
  <c r="E389" i="14"/>
  <c r="F389" i="14" s="1"/>
  <c r="H389" i="14" s="1"/>
  <c r="N504" i="16"/>
  <c r="M505" i="16" s="1"/>
  <c r="AT424" i="16" l="1"/>
  <c r="AW424" i="16" s="1"/>
  <c r="AX424" i="16" s="1"/>
  <c r="AZ424" i="16" s="1"/>
  <c r="AU424" i="16"/>
  <c r="AV424" i="16" s="1"/>
  <c r="AL424" i="16"/>
  <c r="AY424" i="16" s="1"/>
  <c r="O504" i="16"/>
  <c r="W425" i="16"/>
  <c r="BJ391" i="16"/>
  <c r="BK391" i="16"/>
  <c r="BE391" i="16"/>
  <c r="BF391" i="16" s="1"/>
  <c r="E505" i="16"/>
  <c r="L505" i="16" s="1"/>
  <c r="P505" i="16"/>
  <c r="AM424" i="16" l="1"/>
  <c r="AN424" i="16" s="1"/>
  <c r="AO424" i="16" s="1"/>
  <c r="AA425" i="16"/>
  <c r="AK425" i="16" s="1"/>
  <c r="Y425" i="16"/>
  <c r="AB425" i="16" s="1"/>
  <c r="BI391" i="16"/>
  <c r="BG391" i="16"/>
  <c r="BL391" i="16"/>
  <c r="BM391" i="16" s="1"/>
  <c r="Q505" i="16"/>
  <c r="S505" i="16" s="1"/>
  <c r="N505" i="16"/>
  <c r="M506" i="16" s="1"/>
  <c r="Z425" i="16" l="1"/>
  <c r="U426" i="16" s="1"/>
  <c r="AC426" i="16" s="1"/>
  <c r="AP424" i="16"/>
  <c r="AR424" i="16" s="1"/>
  <c r="AF425" i="16"/>
  <c r="BC392" i="16"/>
  <c r="BH392" i="16" s="1"/>
  <c r="BO391" i="16"/>
  <c r="BP391" i="16" s="1"/>
  <c r="BN391" i="16"/>
  <c r="O505" i="16"/>
  <c r="AG425" i="16" l="1"/>
  <c r="AL425" i="16" s="1"/>
  <c r="AY425" i="16" s="1"/>
  <c r="W426" i="16"/>
  <c r="AA426" i="16" s="1"/>
  <c r="AK426" i="16" s="1"/>
  <c r="AD426" i="16"/>
  <c r="AE426" i="16" s="1"/>
  <c r="AQ424" i="16"/>
  <c r="AD95" i="15"/>
  <c r="E390" i="14"/>
  <c r="F390" i="14" s="1"/>
  <c r="H390" i="14" s="1"/>
  <c r="AJ109" i="15"/>
  <c r="BQ391" i="16"/>
  <c r="BD392" i="16"/>
  <c r="E506" i="16"/>
  <c r="L506" i="16" s="1"/>
  <c r="P506" i="16"/>
  <c r="AM425" i="16" l="1"/>
  <c r="AN425" i="16" s="1"/>
  <c r="AO425" i="16" s="1"/>
  <c r="AH425" i="16"/>
  <c r="AS425" i="16" s="1"/>
  <c r="AT425" i="16" s="1"/>
  <c r="AW425" i="16" s="1"/>
  <c r="AX425" i="16" s="1"/>
  <c r="AZ425" i="16" s="1"/>
  <c r="Y426" i="16"/>
  <c r="AB426" i="16" s="1"/>
  <c r="BJ392" i="16"/>
  <c r="BK392" i="16"/>
  <c r="BE392" i="16"/>
  <c r="BF392" i="16" s="1"/>
  <c r="Q506" i="16"/>
  <c r="S506" i="16" s="1"/>
  <c r="N506" i="16"/>
  <c r="M507" i="16" s="1"/>
  <c r="AU425" i="16" l="1"/>
  <c r="AV425" i="16" s="1"/>
  <c r="Z426" i="16"/>
  <c r="U427" i="16" s="1"/>
  <c r="AC427" i="16" s="1"/>
  <c r="AD427" i="16" s="1"/>
  <c r="AF426" i="16"/>
  <c r="AG426" i="16" s="1"/>
  <c r="AP425" i="16"/>
  <c r="AR425" i="16" s="1"/>
  <c r="BI392" i="16"/>
  <c r="BG392" i="16"/>
  <c r="BL392" i="16"/>
  <c r="BM392" i="16" s="1"/>
  <c r="O506" i="16"/>
  <c r="W427" i="16" l="1"/>
  <c r="Y427" i="16" s="1"/>
  <c r="AB427" i="16" s="1"/>
  <c r="AH426" i="16"/>
  <c r="AS426" i="16" s="1"/>
  <c r="AL426" i="16"/>
  <c r="AY426" i="16" s="1"/>
  <c r="AQ425" i="16"/>
  <c r="AE427" i="16"/>
  <c r="BC393" i="16"/>
  <c r="BH393" i="16" s="1"/>
  <c r="BO392" i="16"/>
  <c r="BP392" i="16" s="1"/>
  <c r="BN392" i="16"/>
  <c r="E507" i="16"/>
  <c r="L507" i="16" s="1"/>
  <c r="P507" i="16"/>
  <c r="AA427" i="16" l="1"/>
  <c r="AK427" i="16" s="1"/>
  <c r="AF427" i="16"/>
  <c r="AG427" i="16" s="1"/>
  <c r="AH427" i="16" s="1"/>
  <c r="AS427" i="16" s="1"/>
  <c r="AT427" i="16" s="1"/>
  <c r="Z427" i="16"/>
  <c r="U428" i="16" s="1"/>
  <c r="AC428" i="16" s="1"/>
  <c r="AM426" i="16"/>
  <c r="AN426" i="16" s="1"/>
  <c r="AT426" i="16"/>
  <c r="AW426" i="16" s="1"/>
  <c r="AU426" i="16"/>
  <c r="AV426" i="16" s="1"/>
  <c r="AU427" i="16" s="1"/>
  <c r="AV427" i="16" s="1"/>
  <c r="BD393" i="16"/>
  <c r="BK393" i="16" s="1"/>
  <c r="AJ99" i="15"/>
  <c r="BQ392" i="16"/>
  <c r="E391" i="14"/>
  <c r="F391" i="14" s="1"/>
  <c r="H391" i="14" s="1"/>
  <c r="AD91" i="15"/>
  <c r="Q507" i="16"/>
  <c r="S507" i="16" s="1"/>
  <c r="N507" i="16"/>
  <c r="M508" i="16" s="1"/>
  <c r="AL427" i="16" l="1"/>
  <c r="AM427" i="16" s="1"/>
  <c r="AN427" i="16" s="1"/>
  <c r="AO427" i="16" s="1"/>
  <c r="AO426" i="16"/>
  <c r="AP426" i="16" s="1"/>
  <c r="AR426" i="16" s="1"/>
  <c r="BJ393" i="16"/>
  <c r="BE393" i="16"/>
  <c r="BF393" i="16" s="1"/>
  <c r="BI393" i="16" s="1"/>
  <c r="AX426" i="16"/>
  <c r="AZ426" i="16" s="1"/>
  <c r="AD428" i="16"/>
  <c r="W428" i="16"/>
  <c r="BL393" i="16"/>
  <c r="BM393" i="16" s="1"/>
  <c r="O507" i="16"/>
  <c r="AY427" i="16" l="1"/>
  <c r="AQ426" i="16"/>
  <c r="BG393" i="16"/>
  <c r="BC394" i="16" s="1"/>
  <c r="BH394" i="16" s="1"/>
  <c r="AW427" i="16"/>
  <c r="AX427" i="16" s="1"/>
  <c r="AZ427" i="16" s="1"/>
  <c r="AP427" i="16"/>
  <c r="AR427" i="16" s="1"/>
  <c r="AE428" i="16"/>
  <c r="AA428" i="16"/>
  <c r="AK428" i="16" s="1"/>
  <c r="Y428" i="16"/>
  <c r="AB428" i="16" s="1"/>
  <c r="BO393" i="16"/>
  <c r="BP393" i="16" s="1"/>
  <c r="BN393" i="16"/>
  <c r="E508" i="16"/>
  <c r="L508" i="16" s="1"/>
  <c r="P508" i="16"/>
  <c r="AQ427" i="16" l="1"/>
  <c r="Z428" i="16"/>
  <c r="U429" i="16" s="1"/>
  <c r="AC429" i="16" s="1"/>
  <c r="AF428" i="16"/>
  <c r="AG428" i="16" s="1"/>
  <c r="AH428" i="16" s="1"/>
  <c r="AS428" i="16" s="1"/>
  <c r="E392" i="14"/>
  <c r="F392" i="14" s="1"/>
  <c r="H392" i="14" s="1"/>
  <c r="AD115" i="15"/>
  <c r="BD394" i="16"/>
  <c r="AJ447" i="15"/>
  <c r="BQ393" i="16"/>
  <c r="Q508" i="16"/>
  <c r="S508" i="16" s="1"/>
  <c r="N508" i="16"/>
  <c r="M509" i="16" s="1"/>
  <c r="AL428" i="16" l="1"/>
  <c r="AM428" i="16" s="1"/>
  <c r="AU428" i="16"/>
  <c r="AV428" i="16" s="1"/>
  <c r="AT428" i="16"/>
  <c r="AW428" i="16" s="1"/>
  <c r="AX428" i="16" s="1"/>
  <c r="AZ428" i="16" s="1"/>
  <c r="W429" i="16"/>
  <c r="AA429" i="16" s="1"/>
  <c r="AK429" i="16" s="1"/>
  <c r="AD429" i="16"/>
  <c r="BJ394" i="16"/>
  <c r="BK394" i="16"/>
  <c r="BE394" i="16"/>
  <c r="BF394" i="16" s="1"/>
  <c r="O508" i="16"/>
  <c r="AY428" i="16" l="1"/>
  <c r="Y429" i="16"/>
  <c r="AB429" i="16" s="1"/>
  <c r="AE429" i="16"/>
  <c r="AN428" i="16"/>
  <c r="AO428" i="16" s="1"/>
  <c r="BI394" i="16"/>
  <c r="BG394" i="16"/>
  <c r="BL394" i="16"/>
  <c r="BM394" i="16" s="1"/>
  <c r="E509" i="16"/>
  <c r="L509" i="16" s="1"/>
  <c r="P509" i="16"/>
  <c r="AF429" i="16" l="1"/>
  <c r="Z429" i="16"/>
  <c r="U430" i="16" s="1"/>
  <c r="AC430" i="16" s="1"/>
  <c r="AP428" i="16"/>
  <c r="AQ428" i="16" s="1"/>
  <c r="BC395" i="16"/>
  <c r="BH395" i="16" s="1"/>
  <c r="BO394" i="16"/>
  <c r="BP394" i="16" s="1"/>
  <c r="BN394" i="16"/>
  <c r="Q509" i="16"/>
  <c r="S509" i="16" s="1"/>
  <c r="N509" i="16"/>
  <c r="M510" i="16" s="1"/>
  <c r="AG429" i="16" l="1"/>
  <c r="AH429" i="16" s="1"/>
  <c r="AS429" i="16" s="1"/>
  <c r="AU429" i="16" s="1"/>
  <c r="AV429" i="16" s="1"/>
  <c r="W430" i="16"/>
  <c r="AA430" i="16" s="1"/>
  <c r="AK430" i="16" s="1"/>
  <c r="AD430" i="16"/>
  <c r="AE430" i="16" s="1"/>
  <c r="AR428" i="16"/>
  <c r="BD395" i="16"/>
  <c r="BJ395" i="16" s="1"/>
  <c r="E393" i="14"/>
  <c r="F393" i="14" s="1"/>
  <c r="H393" i="14" s="1"/>
  <c r="AD75" i="15"/>
  <c r="AJ44" i="15"/>
  <c r="BQ394" i="16"/>
  <c r="O509" i="16"/>
  <c r="AT429" i="16" l="1"/>
  <c r="AW429" i="16" s="1"/>
  <c r="AX429" i="16" s="1"/>
  <c r="AZ429" i="16" s="1"/>
  <c r="AL429" i="16"/>
  <c r="AY429" i="16" s="1"/>
  <c r="Y430" i="16"/>
  <c r="AB430" i="16" s="1"/>
  <c r="AF430" i="16" s="1"/>
  <c r="AG430" i="16" s="1"/>
  <c r="AH430" i="16" s="1"/>
  <c r="AS430" i="16" s="1"/>
  <c r="BE395" i="16"/>
  <c r="BF395" i="16" s="1"/>
  <c r="BK395" i="16"/>
  <c r="BL395" i="16" s="1"/>
  <c r="BM395" i="16" s="1"/>
  <c r="E510" i="16"/>
  <c r="L510" i="16" s="1"/>
  <c r="P510" i="16"/>
  <c r="AT430" i="16" l="1"/>
  <c r="AW430" i="16" s="1"/>
  <c r="AX430" i="16" s="1"/>
  <c r="AZ430" i="16" s="1"/>
  <c r="AU430" i="16"/>
  <c r="AV430" i="16" s="1"/>
  <c r="AM429" i="16"/>
  <c r="AN429" i="16" s="1"/>
  <c r="AO429" i="16" s="1"/>
  <c r="AP429" i="16" s="1"/>
  <c r="AR429" i="16" s="1"/>
  <c r="AL430" i="16"/>
  <c r="Z430" i="16"/>
  <c r="U431" i="16" s="1"/>
  <c r="AC431" i="16" s="1"/>
  <c r="AD431" i="16" s="1"/>
  <c r="BI395" i="16"/>
  <c r="BN395" i="16" s="1"/>
  <c r="BG395" i="16"/>
  <c r="BC396" i="16" s="1"/>
  <c r="BH396" i="16" s="1"/>
  <c r="Q510" i="16"/>
  <c r="S510" i="16" s="1"/>
  <c r="N510" i="16"/>
  <c r="M511" i="16" s="1"/>
  <c r="W431" i="16" l="1"/>
  <c r="Y431" i="16" s="1"/>
  <c r="AB431" i="16" s="1"/>
  <c r="BO395" i="16"/>
  <c r="BP395" i="16" s="1"/>
  <c r="AJ448" i="15" s="1"/>
  <c r="AQ429" i="16"/>
  <c r="AM430" i="16"/>
  <c r="AN430" i="16" s="1"/>
  <c r="AO430" i="16" s="1"/>
  <c r="AP430" i="16" s="1"/>
  <c r="AQ430" i="16" s="1"/>
  <c r="AY430" i="16"/>
  <c r="AA431" i="16"/>
  <c r="AK431" i="16" s="1"/>
  <c r="AE431" i="16"/>
  <c r="BD396" i="16"/>
  <c r="BE396" i="16" s="1"/>
  <c r="BF396" i="16" s="1"/>
  <c r="AD77" i="15"/>
  <c r="E394" i="14"/>
  <c r="F394" i="14" s="1"/>
  <c r="H394" i="14" s="1"/>
  <c r="O510" i="16"/>
  <c r="E511" i="16"/>
  <c r="BQ395" i="16" l="1"/>
  <c r="Z431" i="16"/>
  <c r="U432" i="16" s="1"/>
  <c r="AC432" i="16" s="1"/>
  <c r="AR430" i="16"/>
  <c r="AF431" i="16"/>
  <c r="AG431" i="16" s="1"/>
  <c r="AH431" i="16" s="1"/>
  <c r="AS431" i="16" s="1"/>
  <c r="BI396" i="16"/>
  <c r="BG396" i="16"/>
  <c r="BJ396" i="16"/>
  <c r="BK396" i="16"/>
  <c r="L511" i="16"/>
  <c r="N511" i="16" s="1"/>
  <c r="M512" i="16" s="1"/>
  <c r="P511" i="16"/>
  <c r="AL431" i="16" l="1"/>
  <c r="AM431" i="16" s="1"/>
  <c r="AT431" i="16"/>
  <c r="AW431" i="16" s="1"/>
  <c r="AX431" i="16" s="1"/>
  <c r="AZ431" i="16" s="1"/>
  <c r="AU431" i="16"/>
  <c r="AV431" i="16" s="1"/>
  <c r="W432" i="16"/>
  <c r="AA432" i="16" s="1"/>
  <c r="AK432" i="16" s="1"/>
  <c r="AY431" i="16"/>
  <c r="AD432" i="16"/>
  <c r="BL396" i="16"/>
  <c r="BM396" i="16" s="1"/>
  <c r="BC397" i="16"/>
  <c r="BH397" i="16" s="1"/>
  <c r="BO396" i="16"/>
  <c r="BP396" i="16" s="1"/>
  <c r="Q511" i="16"/>
  <c r="S511" i="16" s="1"/>
  <c r="O511" i="16"/>
  <c r="Y432" i="16" l="1"/>
  <c r="AB432" i="16" s="1"/>
  <c r="BD397" i="16"/>
  <c r="BJ397" i="16" s="1"/>
  <c r="AN431" i="16"/>
  <c r="AE432" i="16"/>
  <c r="AJ449" i="15"/>
  <c r="BN396" i="16"/>
  <c r="BQ396" i="16" s="1"/>
  <c r="E512" i="16"/>
  <c r="L512" i="16" s="1"/>
  <c r="P512" i="16"/>
  <c r="AF432" i="16" l="1"/>
  <c r="AG432" i="16" s="1"/>
  <c r="AH432" i="16" s="1"/>
  <c r="AS432" i="16" s="1"/>
  <c r="Z432" i="16"/>
  <c r="BE397" i="16"/>
  <c r="BF397" i="16" s="1"/>
  <c r="BG397" i="16" s="1"/>
  <c r="BK397" i="16"/>
  <c r="BL397" i="16" s="1"/>
  <c r="BM397" i="16" s="1"/>
  <c r="AO431" i="16"/>
  <c r="AP431" i="16" s="1"/>
  <c r="AQ431" i="16" s="1"/>
  <c r="E395" i="14"/>
  <c r="F395" i="14" s="1"/>
  <c r="H395" i="14" s="1"/>
  <c r="AD98" i="15"/>
  <c r="Q512" i="16"/>
  <c r="S512" i="16" s="1"/>
  <c r="N512" i="16"/>
  <c r="M513" i="16" s="1"/>
  <c r="BI397" i="16" l="1"/>
  <c r="BN397" i="16" s="1"/>
  <c r="U433" i="16"/>
  <c r="W433" i="16" s="1"/>
  <c r="AA433" i="16" s="1"/>
  <c r="AK433" i="16" s="1"/>
  <c r="AT432" i="16"/>
  <c r="AW432" i="16" s="1"/>
  <c r="AU432" i="16"/>
  <c r="AV432" i="16" s="1"/>
  <c r="AL432" i="16"/>
  <c r="AY432" i="16" s="1"/>
  <c r="AR431" i="16"/>
  <c r="BC398" i="16"/>
  <c r="BH398" i="16" s="1"/>
  <c r="O512" i="16"/>
  <c r="BO397" i="16" l="1"/>
  <c r="BP397" i="16" s="1"/>
  <c r="BQ397" i="16" s="1"/>
  <c r="AX432" i="16"/>
  <c r="AZ432" i="16" s="1"/>
  <c r="AC433" i="16"/>
  <c r="Y433" i="16"/>
  <c r="AM432" i="16"/>
  <c r="AN432" i="16" s="1"/>
  <c r="AO432" i="16" s="1"/>
  <c r="AP432" i="16" s="1"/>
  <c r="AQ432" i="16" s="1"/>
  <c r="BD398" i="16"/>
  <c r="BK398" i="16" s="1"/>
  <c r="AD93" i="15"/>
  <c r="E396" i="14"/>
  <c r="F396" i="14" s="1"/>
  <c r="H396" i="14" s="1"/>
  <c r="AJ119" i="15"/>
  <c r="E513" i="16"/>
  <c r="L513" i="16" s="1"/>
  <c r="P513" i="16"/>
  <c r="AD433" i="16" l="1"/>
  <c r="AE433" i="16" s="1"/>
  <c r="AB433" i="16"/>
  <c r="Z433" i="16"/>
  <c r="U434" i="16" s="1"/>
  <c r="AC434" i="16" s="1"/>
  <c r="BJ398" i="16"/>
  <c r="BE398" i="16"/>
  <c r="BF398" i="16" s="1"/>
  <c r="BI398" i="16" s="1"/>
  <c r="AR432" i="16"/>
  <c r="BL398" i="16"/>
  <c r="BM398" i="16" s="1"/>
  <c r="Q513" i="16"/>
  <c r="S513" i="16" s="1"/>
  <c r="N513" i="16"/>
  <c r="M514" i="16" s="1"/>
  <c r="AD434" i="16" l="1"/>
  <c r="AE434" i="16" s="1"/>
  <c r="AF433" i="16"/>
  <c r="AG433" i="16" s="1"/>
  <c r="AH433" i="16" s="1"/>
  <c r="AS433" i="16" s="1"/>
  <c r="W434" i="16"/>
  <c r="AA434" i="16" s="1"/>
  <c r="AK434" i="16" s="1"/>
  <c r="BG398" i="16"/>
  <c r="BC399" i="16" s="1"/>
  <c r="BH399" i="16" s="1"/>
  <c r="BO398" i="16"/>
  <c r="BP398" i="16" s="1"/>
  <c r="BN398" i="16"/>
  <c r="E514" i="16"/>
  <c r="L514" i="16" s="1"/>
  <c r="O513" i="16"/>
  <c r="AL433" i="16" l="1"/>
  <c r="AY433" i="16" s="1"/>
  <c r="AU433" i="16"/>
  <c r="AV433" i="16" s="1"/>
  <c r="AT433" i="16"/>
  <c r="AW433" i="16" s="1"/>
  <c r="AX433" i="16" s="1"/>
  <c r="AZ433" i="16" s="1"/>
  <c r="Y434" i="16"/>
  <c r="AB434" i="16" s="1"/>
  <c r="E397" i="14"/>
  <c r="F397" i="14" s="1"/>
  <c r="H397" i="14" s="1"/>
  <c r="AD116" i="15"/>
  <c r="BD399" i="16"/>
  <c r="BE399" i="16" s="1"/>
  <c r="AJ450" i="15"/>
  <c r="BQ398" i="16"/>
  <c r="N514" i="16"/>
  <c r="M515" i="16" s="1"/>
  <c r="P514" i="16"/>
  <c r="AM433" i="16" l="1"/>
  <c r="AN433" i="16" s="1"/>
  <c r="AO433" i="16" s="1"/>
  <c r="AP433" i="16" s="1"/>
  <c r="AQ433" i="16" s="1"/>
  <c r="Z434" i="16"/>
  <c r="U435" i="16" s="1"/>
  <c r="AC435" i="16" s="1"/>
  <c r="AD435" i="16" s="1"/>
  <c r="AF434" i="16"/>
  <c r="BJ399" i="16"/>
  <c r="BK399" i="16"/>
  <c r="BF399" i="16"/>
  <c r="Q514" i="16"/>
  <c r="S514" i="16" s="1"/>
  <c r="O514" i="16"/>
  <c r="AR433" i="16" l="1"/>
  <c r="W435" i="16"/>
  <c r="AA435" i="16" s="1"/>
  <c r="AK435" i="16" s="1"/>
  <c r="AG434" i="16"/>
  <c r="P515" i="16"/>
  <c r="Q515" i="16" s="1"/>
  <c r="S515" i="16" s="1"/>
  <c r="AE435" i="16"/>
  <c r="BL399" i="16"/>
  <c r="BM399" i="16" s="1"/>
  <c r="BI399" i="16"/>
  <c r="BG399" i="16"/>
  <c r="E515" i="16"/>
  <c r="L515" i="16" s="1"/>
  <c r="Y435" i="16" l="1"/>
  <c r="AB435" i="16" s="1"/>
  <c r="AF435" i="16" s="1"/>
  <c r="AG435" i="16" s="1"/>
  <c r="AH435" i="16" s="1"/>
  <c r="AS435" i="16" s="1"/>
  <c r="AT435" i="16" s="1"/>
  <c r="AL434" i="16"/>
  <c r="AY434" i="16" s="1"/>
  <c r="AH434" i="16"/>
  <c r="AS434" i="16" s="1"/>
  <c r="BC400" i="16"/>
  <c r="BH400" i="16" s="1"/>
  <c r="BO399" i="16"/>
  <c r="BP399" i="16" s="1"/>
  <c r="BN399" i="16"/>
  <c r="N515" i="16"/>
  <c r="M516" i="16" s="1"/>
  <c r="Z435" i="16" l="1"/>
  <c r="AL435" i="16"/>
  <c r="AM435" i="16" s="1"/>
  <c r="AT434" i="16"/>
  <c r="AW434" i="16" s="1"/>
  <c r="AU434" i="16"/>
  <c r="AV434" i="16" s="1"/>
  <c r="AU435" i="16" s="1"/>
  <c r="AV435" i="16" s="1"/>
  <c r="AM434" i="16"/>
  <c r="AN434" i="16" s="1"/>
  <c r="AO434" i="16" s="1"/>
  <c r="AP434" i="16" s="1"/>
  <c r="AQ434" i="16" s="1"/>
  <c r="U436" i="16"/>
  <c r="AC436" i="16" s="1"/>
  <c r="AD436" i="16" s="1"/>
  <c r="E398" i="14"/>
  <c r="F398" i="14" s="1"/>
  <c r="H398" i="14" s="1"/>
  <c r="AD141" i="15"/>
  <c r="AJ451" i="15"/>
  <c r="BQ399" i="16"/>
  <c r="BD400" i="16"/>
  <c r="BE400" i="16" s="1"/>
  <c r="BF400" i="16" s="1"/>
  <c r="E516" i="16"/>
  <c r="O515" i="16"/>
  <c r="AY435" i="16" l="1"/>
  <c r="AX434" i="16"/>
  <c r="AZ434" i="16" s="1"/>
  <c r="AR434" i="16"/>
  <c r="W436" i="16"/>
  <c r="AA436" i="16" s="1"/>
  <c r="AK436" i="16" s="1"/>
  <c r="AN435" i="16"/>
  <c r="AO435" i="16" s="1"/>
  <c r="AE436" i="16"/>
  <c r="BI400" i="16"/>
  <c r="BG400" i="16"/>
  <c r="BJ400" i="16"/>
  <c r="BK400" i="16"/>
  <c r="L516" i="16"/>
  <c r="P516" i="16"/>
  <c r="AW435" i="16" l="1"/>
  <c r="AX435" i="16" s="1"/>
  <c r="AZ435" i="16" s="1"/>
  <c r="Y436" i="16"/>
  <c r="AB436" i="16" s="1"/>
  <c r="AF436" i="16" s="1"/>
  <c r="AP435" i="16"/>
  <c r="AR435" i="16" s="1"/>
  <c r="N516" i="16"/>
  <c r="M517" i="16" s="1"/>
  <c r="BL400" i="16"/>
  <c r="BM400" i="16" s="1"/>
  <c r="BC401" i="16"/>
  <c r="BH401" i="16" s="1"/>
  <c r="BO400" i="16"/>
  <c r="BP400" i="16" s="1"/>
  <c r="Q516" i="16"/>
  <c r="S516" i="16" s="1"/>
  <c r="Z436" i="16" l="1"/>
  <c r="U437" i="16" s="1"/>
  <c r="AC437" i="16" s="1"/>
  <c r="O516" i="16"/>
  <c r="AG436" i="16"/>
  <c r="AL436" i="16" s="1"/>
  <c r="AY436" i="16" s="1"/>
  <c r="AQ435" i="16"/>
  <c r="BD401" i="16"/>
  <c r="BJ401" i="16" s="1"/>
  <c r="AJ452" i="15"/>
  <c r="BN400" i="16"/>
  <c r="BQ400" i="16" s="1"/>
  <c r="E517" i="16"/>
  <c r="L517" i="16" s="1"/>
  <c r="P517" i="16"/>
  <c r="AM436" i="16" l="1"/>
  <c r="AH436" i="16"/>
  <c r="AS436" i="16" s="1"/>
  <c r="W437" i="16"/>
  <c r="AA437" i="16" s="1"/>
  <c r="AK437" i="16" s="1"/>
  <c r="BK401" i="16"/>
  <c r="BL401" i="16" s="1"/>
  <c r="BM401" i="16" s="1"/>
  <c r="AN436" i="16"/>
  <c r="AO436" i="16" s="1"/>
  <c r="BE401" i="16"/>
  <c r="BF401" i="16" s="1"/>
  <c r="BI401" i="16" s="1"/>
  <c r="AD437" i="16"/>
  <c r="E399" i="14"/>
  <c r="F399" i="14" s="1"/>
  <c r="H399" i="14" s="1"/>
  <c r="AD151" i="15"/>
  <c r="Q517" i="16"/>
  <c r="S517" i="16" s="1"/>
  <c r="N517" i="16"/>
  <c r="M518" i="16" s="1"/>
  <c r="AT436" i="16" l="1"/>
  <c r="AW436" i="16" s="1"/>
  <c r="AX436" i="16" s="1"/>
  <c r="AZ436" i="16" s="1"/>
  <c r="AU436" i="16"/>
  <c r="AV436" i="16" s="1"/>
  <c r="Y437" i="16"/>
  <c r="AB437" i="16" s="1"/>
  <c r="AP436" i="16"/>
  <c r="AR436" i="16" s="1"/>
  <c r="BG401" i="16"/>
  <c r="BC402" i="16" s="1"/>
  <c r="BH402" i="16" s="1"/>
  <c r="AE437" i="16"/>
  <c r="BN401" i="16"/>
  <c r="BO401" i="16"/>
  <c r="BP401" i="16" s="1"/>
  <c r="E518" i="16"/>
  <c r="O517" i="16"/>
  <c r="AF437" i="16" l="1"/>
  <c r="AG437" i="16" s="1"/>
  <c r="AH437" i="16" s="1"/>
  <c r="AS437" i="16" s="1"/>
  <c r="AT437" i="16" s="1"/>
  <c r="AW437" i="16" s="1"/>
  <c r="AX437" i="16" s="1"/>
  <c r="AZ437" i="16" s="1"/>
  <c r="Z437" i="16"/>
  <c r="U438" i="16" s="1"/>
  <c r="AC438" i="16" s="1"/>
  <c r="AQ436" i="16"/>
  <c r="BD402" i="16"/>
  <c r="BE402" i="16" s="1"/>
  <c r="AJ105" i="15"/>
  <c r="BQ401" i="16"/>
  <c r="E400" i="14"/>
  <c r="F400" i="14" s="1"/>
  <c r="H400" i="14" s="1"/>
  <c r="AD134" i="15"/>
  <c r="L518" i="16"/>
  <c r="P518" i="16"/>
  <c r="AU437" i="16" l="1"/>
  <c r="AV437" i="16" s="1"/>
  <c r="AL437" i="16"/>
  <c r="AD438" i="16"/>
  <c r="AE438" i="16" s="1"/>
  <c r="W438" i="16"/>
  <c r="Y438" i="16" s="1"/>
  <c r="AB438" i="16" s="1"/>
  <c r="BF402" i="16"/>
  <c r="BI402" i="16" s="1"/>
  <c r="BJ402" i="16"/>
  <c r="BK402" i="16"/>
  <c r="N518" i="16"/>
  <c r="M519" i="16" s="1"/>
  <c r="Q518" i="16"/>
  <c r="S518" i="16" s="1"/>
  <c r="AA438" i="16" l="1"/>
  <c r="AK438" i="16" s="1"/>
  <c r="AY437" i="16"/>
  <c r="AM437" i="16"/>
  <c r="AN437" i="16" s="1"/>
  <c r="AO437" i="16" s="1"/>
  <c r="AP437" i="16" s="1"/>
  <c r="AQ437" i="16" s="1"/>
  <c r="AF438" i="16"/>
  <c r="AG438" i="16" s="1"/>
  <c r="AH438" i="16" s="1"/>
  <c r="AS438" i="16" s="1"/>
  <c r="Z438" i="16"/>
  <c r="U439" i="16" s="1"/>
  <c r="AC439" i="16" s="1"/>
  <c r="BG402" i="16"/>
  <c r="BC403" i="16" s="1"/>
  <c r="BD403" i="16" s="1"/>
  <c r="BJ403" i="16" s="1"/>
  <c r="O518" i="16"/>
  <c r="BL402" i="16"/>
  <c r="BM402" i="16" s="1"/>
  <c r="BO402" i="16"/>
  <c r="BP402" i="16" s="1"/>
  <c r="E519" i="16"/>
  <c r="L519" i="16" s="1"/>
  <c r="P519" i="16"/>
  <c r="AL438" i="16" l="1"/>
  <c r="AY438" i="16" s="1"/>
  <c r="AT438" i="16"/>
  <c r="AW438" i="16" s="1"/>
  <c r="AX438" i="16" s="1"/>
  <c r="AZ438" i="16" s="1"/>
  <c r="AU438" i="16"/>
  <c r="AV438" i="16" s="1"/>
  <c r="W439" i="16"/>
  <c r="AA439" i="16" s="1"/>
  <c r="AK439" i="16" s="1"/>
  <c r="AR437" i="16"/>
  <c r="BE403" i="16"/>
  <c r="BF403" i="16" s="1"/>
  <c r="AD439" i="16"/>
  <c r="BN402" i="16"/>
  <c r="AD135" i="15" s="1"/>
  <c r="BH403" i="16"/>
  <c r="BK403" i="16"/>
  <c r="AJ453" i="15"/>
  <c r="Q519" i="16"/>
  <c r="S519" i="16" s="1"/>
  <c r="N519" i="16"/>
  <c r="M520" i="16" s="1"/>
  <c r="E401" i="14" l="1"/>
  <c r="F401" i="14" s="1"/>
  <c r="H401" i="14" s="1"/>
  <c r="AM438" i="16"/>
  <c r="AN438" i="16" s="1"/>
  <c r="AO438" i="16" s="1"/>
  <c r="AP438" i="16" s="1"/>
  <c r="AR438" i="16" s="1"/>
  <c r="Y439" i="16"/>
  <c r="AB439" i="16" s="1"/>
  <c r="BQ402" i="16"/>
  <c r="AE439" i="16"/>
  <c r="BL403" i="16"/>
  <c r="BM403" i="16" s="1"/>
  <c r="BI403" i="16"/>
  <c r="BG403" i="16"/>
  <c r="O519" i="16"/>
  <c r="Z439" i="16" l="1"/>
  <c r="U440" i="16" s="1"/>
  <c r="AC440" i="16" s="1"/>
  <c r="AD440" i="16" s="1"/>
  <c r="AF439" i="16"/>
  <c r="AG439" i="16" s="1"/>
  <c r="AH439" i="16" s="1"/>
  <c r="AS439" i="16" s="1"/>
  <c r="AQ438" i="16"/>
  <c r="BC404" i="16"/>
  <c r="BH404" i="16" s="1"/>
  <c r="BN403" i="16"/>
  <c r="BO403" i="16"/>
  <c r="BP403" i="16" s="1"/>
  <c r="E520" i="16"/>
  <c r="L520" i="16" s="1"/>
  <c r="P520" i="16"/>
  <c r="AT439" i="16" l="1"/>
  <c r="AW439" i="16" s="1"/>
  <c r="AX439" i="16" s="1"/>
  <c r="AZ439" i="16" s="1"/>
  <c r="AU439" i="16"/>
  <c r="AV439" i="16" s="1"/>
  <c r="AL439" i="16"/>
  <c r="AY439" i="16" s="1"/>
  <c r="AE440" i="16"/>
  <c r="W440" i="16"/>
  <c r="AA440" i="16" s="1"/>
  <c r="AK440" i="16" s="1"/>
  <c r="BD404" i="16"/>
  <c r="BJ404" i="16" s="1"/>
  <c r="AJ454" i="15"/>
  <c r="BQ403" i="16"/>
  <c r="AD150" i="15"/>
  <c r="E402" i="14"/>
  <c r="F402" i="14" s="1"/>
  <c r="H402" i="14" s="1"/>
  <c r="Q520" i="16"/>
  <c r="S520" i="16" s="1"/>
  <c r="N520" i="16"/>
  <c r="M521" i="16" s="1"/>
  <c r="AM439" i="16" l="1"/>
  <c r="AN439" i="16" s="1"/>
  <c r="AO439" i="16" s="1"/>
  <c r="AP439" i="16" s="1"/>
  <c r="AQ439" i="16" s="1"/>
  <c r="BE404" i="16"/>
  <c r="BF404" i="16" s="1"/>
  <c r="BI404" i="16" s="1"/>
  <c r="BK404" i="16"/>
  <c r="BL404" i="16" s="1"/>
  <c r="BM404" i="16" s="1"/>
  <c r="Y440" i="16"/>
  <c r="AB440" i="16" s="1"/>
  <c r="AF440" i="16" s="1"/>
  <c r="O520" i="16"/>
  <c r="AG440" i="16" l="1"/>
  <c r="AH440" i="16" s="1"/>
  <c r="AS440" i="16" s="1"/>
  <c r="AR439" i="16"/>
  <c r="BG404" i="16"/>
  <c r="BC405" i="16" s="1"/>
  <c r="BH405" i="16" s="1"/>
  <c r="Z440" i="16"/>
  <c r="U441" i="16" s="1"/>
  <c r="AC441" i="16" s="1"/>
  <c r="BN404" i="16"/>
  <c r="BO404" i="16"/>
  <c r="BP404" i="16" s="1"/>
  <c r="E521" i="16"/>
  <c r="L521" i="16" s="1"/>
  <c r="P521" i="16"/>
  <c r="AU440" i="16" l="1"/>
  <c r="AV440" i="16" s="1"/>
  <c r="AT440" i="16"/>
  <c r="AW440" i="16" s="1"/>
  <c r="AX440" i="16" s="1"/>
  <c r="AZ440" i="16" s="1"/>
  <c r="AL440" i="16"/>
  <c r="AM440" i="16" s="1"/>
  <c r="AN440" i="16" s="1"/>
  <c r="AO440" i="16" s="1"/>
  <c r="W441" i="16"/>
  <c r="AA441" i="16" s="1"/>
  <c r="AK441" i="16" s="1"/>
  <c r="AD441" i="16"/>
  <c r="BD405" i="16"/>
  <c r="BE405" i="16" s="1"/>
  <c r="BF405" i="16" s="1"/>
  <c r="AJ455" i="15"/>
  <c r="BQ404" i="16"/>
  <c r="AD155" i="15"/>
  <c r="E403" i="14"/>
  <c r="F403" i="14" s="1"/>
  <c r="H403" i="14" s="1"/>
  <c r="Q521" i="16"/>
  <c r="S521" i="16" s="1"/>
  <c r="N521" i="16"/>
  <c r="M522" i="16" s="1"/>
  <c r="AY440" i="16" l="1"/>
  <c r="BK405" i="16"/>
  <c r="BL405" i="16" s="1"/>
  <c r="BM405" i="16" s="1"/>
  <c r="BJ405" i="16"/>
  <c r="Y441" i="16"/>
  <c r="AB441" i="16" s="1"/>
  <c r="AE441" i="16"/>
  <c r="AP440" i="16"/>
  <c r="AQ440" i="16" s="1"/>
  <c r="BI405" i="16"/>
  <c r="BG405" i="16"/>
  <c r="O521" i="16"/>
  <c r="Z441" i="16" l="1"/>
  <c r="U442" i="16" s="1"/>
  <c r="AC442" i="16" s="1"/>
  <c r="AF441" i="16"/>
  <c r="AR440" i="16"/>
  <c r="BC406" i="16"/>
  <c r="BH406" i="16" s="1"/>
  <c r="BO405" i="16"/>
  <c r="BP405" i="16" s="1"/>
  <c r="BN405" i="16"/>
  <c r="E522" i="16"/>
  <c r="L522" i="16" s="1"/>
  <c r="P522" i="16"/>
  <c r="AG441" i="16" l="1"/>
  <c r="AD442" i="16"/>
  <c r="W442" i="16"/>
  <c r="AA442" i="16" s="1"/>
  <c r="AK442" i="16" s="1"/>
  <c r="AD186" i="15"/>
  <c r="E404" i="14"/>
  <c r="F404" i="14" s="1"/>
  <c r="H404" i="14" s="1"/>
  <c r="BD406" i="16"/>
  <c r="AJ456" i="15"/>
  <c r="BQ405" i="16"/>
  <c r="Q522" i="16"/>
  <c r="S522" i="16" s="1"/>
  <c r="N522" i="16"/>
  <c r="M523" i="16" s="1"/>
  <c r="AL441" i="16" l="1"/>
  <c r="AY441" i="16" s="1"/>
  <c r="AH441" i="16"/>
  <c r="AS441" i="16" s="1"/>
  <c r="Y442" i="16"/>
  <c r="AB442" i="16" s="1"/>
  <c r="AE442" i="16"/>
  <c r="BJ406" i="16"/>
  <c r="BK406" i="16"/>
  <c r="BE406" i="16"/>
  <c r="BF406" i="16" s="1"/>
  <c r="O522" i="16"/>
  <c r="AM441" i="16" l="1"/>
  <c r="AN441" i="16" s="1"/>
  <c r="AO441" i="16" s="1"/>
  <c r="AP441" i="16" s="1"/>
  <c r="AU441" i="16"/>
  <c r="AV441" i="16" s="1"/>
  <c r="AT441" i="16"/>
  <c r="AW441" i="16" s="1"/>
  <c r="Z442" i="16"/>
  <c r="U443" i="16" s="1"/>
  <c r="AC443" i="16" s="1"/>
  <c r="AD443" i="16" s="1"/>
  <c r="AF442" i="16"/>
  <c r="AG442" i="16" s="1"/>
  <c r="AH442" i="16" s="1"/>
  <c r="AS442" i="16" s="1"/>
  <c r="AT442" i="16" s="1"/>
  <c r="BI406" i="16"/>
  <c r="BG406" i="16"/>
  <c r="BL406" i="16"/>
  <c r="BM406" i="16" s="1"/>
  <c r="E523" i="16"/>
  <c r="L523" i="16" s="1"/>
  <c r="P523" i="16"/>
  <c r="AQ441" i="16" l="1"/>
  <c r="AR441" i="16"/>
  <c r="AL442" i="16"/>
  <c r="AY442" i="16" s="1"/>
  <c r="AX441" i="16"/>
  <c r="AZ441" i="16" s="1"/>
  <c r="AU442" i="16"/>
  <c r="AV442" i="16" s="1"/>
  <c r="AE443" i="16"/>
  <c r="W443" i="16"/>
  <c r="AA443" i="16" s="1"/>
  <c r="AK443" i="16" s="1"/>
  <c r="BC407" i="16"/>
  <c r="BH407" i="16" s="1"/>
  <c r="BN406" i="16"/>
  <c r="BO406" i="16"/>
  <c r="BP406" i="16" s="1"/>
  <c r="Q523" i="16"/>
  <c r="S523" i="16" s="1"/>
  <c r="N523" i="16"/>
  <c r="M524" i="16" s="1"/>
  <c r="AW442" i="16" l="1"/>
  <c r="AX442" i="16" s="1"/>
  <c r="AZ442" i="16" s="1"/>
  <c r="AM442" i="16"/>
  <c r="AN442" i="16" s="1"/>
  <c r="AO442" i="16" s="1"/>
  <c r="AP442" i="16" s="1"/>
  <c r="AR442" i="16" s="1"/>
  <c r="Y443" i="16"/>
  <c r="AB443" i="16" s="1"/>
  <c r="AF443" i="16" s="1"/>
  <c r="AJ457" i="15"/>
  <c r="BQ406" i="16"/>
  <c r="BD407" i="16"/>
  <c r="BE407" i="16" s="1"/>
  <c r="BF407" i="16" s="1"/>
  <c r="AD180" i="15"/>
  <c r="E405" i="14"/>
  <c r="F405" i="14" s="1"/>
  <c r="H405" i="14" s="1"/>
  <c r="O523" i="16"/>
  <c r="Z443" i="16" l="1"/>
  <c r="U444" i="16" s="1"/>
  <c r="AC444" i="16" s="1"/>
  <c r="AG443" i="16"/>
  <c r="AH443" i="16" s="1"/>
  <c r="AS443" i="16" s="1"/>
  <c r="AQ442" i="16"/>
  <c r="BI407" i="16"/>
  <c r="BG407" i="16"/>
  <c r="BJ407" i="16"/>
  <c r="BK407" i="16"/>
  <c r="E524" i="16"/>
  <c r="P524" i="16"/>
  <c r="AL443" i="16" l="1"/>
  <c r="AY443" i="16" s="1"/>
  <c r="AT443" i="16"/>
  <c r="AW443" i="16" s="1"/>
  <c r="AX443" i="16" s="1"/>
  <c r="AZ443" i="16" s="1"/>
  <c r="AU443" i="16"/>
  <c r="AV443" i="16" s="1"/>
  <c r="AD444" i="16"/>
  <c r="W444" i="16"/>
  <c r="AA444" i="16" s="1"/>
  <c r="AK444" i="16" s="1"/>
  <c r="BL407" i="16"/>
  <c r="BM407" i="16" s="1"/>
  <c r="BC408" i="16"/>
  <c r="BH408" i="16" s="1"/>
  <c r="BO407" i="16"/>
  <c r="BP407" i="16" s="1"/>
  <c r="L524" i="16"/>
  <c r="Q524" i="16"/>
  <c r="S524" i="16" s="1"/>
  <c r="AM443" i="16" l="1"/>
  <c r="AN443" i="16" s="1"/>
  <c r="AO443" i="16" s="1"/>
  <c r="AP443" i="16" s="1"/>
  <c r="AQ443" i="16" s="1"/>
  <c r="Y444" i="16"/>
  <c r="AB444" i="16" s="1"/>
  <c r="BN407" i="16"/>
  <c r="BQ407" i="16" s="1"/>
  <c r="AE444" i="16"/>
  <c r="AJ458" i="15"/>
  <c r="BD408" i="16"/>
  <c r="BE408" i="16" s="1"/>
  <c r="N524" i="16"/>
  <c r="M525" i="16" s="1"/>
  <c r="E406" i="14" l="1"/>
  <c r="F406" i="14" s="1"/>
  <c r="H406" i="14" s="1"/>
  <c r="AD232" i="15"/>
  <c r="Z444" i="16"/>
  <c r="U445" i="16" s="1"/>
  <c r="AC445" i="16" s="1"/>
  <c r="AF444" i="16"/>
  <c r="AR443" i="16"/>
  <c r="O524" i="16"/>
  <c r="BF408" i="16"/>
  <c r="BJ408" i="16"/>
  <c r="BK408" i="16"/>
  <c r="E525" i="16"/>
  <c r="L525" i="16" s="1"/>
  <c r="P525" i="16"/>
  <c r="AG444" i="16" l="1"/>
  <c r="W445" i="16"/>
  <c r="AA445" i="16" s="1"/>
  <c r="AK445" i="16" s="1"/>
  <c r="AD445" i="16"/>
  <c r="BL408" i="16"/>
  <c r="BM408" i="16" s="1"/>
  <c r="BI408" i="16"/>
  <c r="BG408" i="16"/>
  <c r="Q525" i="16"/>
  <c r="S525" i="16" s="1"/>
  <c r="N525" i="16"/>
  <c r="M526" i="16" s="1"/>
  <c r="AL444" i="16" l="1"/>
  <c r="AY444" i="16" s="1"/>
  <c r="AH444" i="16"/>
  <c r="AS444" i="16" s="1"/>
  <c r="Y445" i="16"/>
  <c r="AB445" i="16" s="1"/>
  <c r="AE445" i="16"/>
  <c r="BC409" i="16"/>
  <c r="BH409" i="16" s="1"/>
  <c r="BO408" i="16"/>
  <c r="BP408" i="16" s="1"/>
  <c r="BN408" i="16"/>
  <c r="O525" i="16"/>
  <c r="AM444" i="16" l="1"/>
  <c r="AN444" i="16" s="1"/>
  <c r="AO444" i="16" s="1"/>
  <c r="AP444" i="16" s="1"/>
  <c r="AU444" i="16"/>
  <c r="AV444" i="16" s="1"/>
  <c r="AT444" i="16"/>
  <c r="AW444" i="16" s="1"/>
  <c r="AF445" i="16"/>
  <c r="AG445" i="16" s="1"/>
  <c r="AH445" i="16" s="1"/>
  <c r="AS445" i="16" s="1"/>
  <c r="AT445" i="16" s="1"/>
  <c r="Z445" i="16"/>
  <c r="U446" i="16" s="1"/>
  <c r="AC446" i="16" s="1"/>
  <c r="AD446" i="16" s="1"/>
  <c r="BD409" i="16"/>
  <c r="BE409" i="16" s="1"/>
  <c r="BF409" i="16" s="1"/>
  <c r="E407" i="14"/>
  <c r="F407" i="14" s="1"/>
  <c r="H407" i="14" s="1"/>
  <c r="AD270" i="15"/>
  <c r="BQ408" i="16"/>
  <c r="AJ459" i="15"/>
  <c r="E526" i="16"/>
  <c r="L526" i="16" s="1"/>
  <c r="P526" i="16"/>
  <c r="AQ444" i="16" l="1"/>
  <c r="AR444" i="16"/>
  <c r="W446" i="16"/>
  <c r="AA446" i="16" s="1"/>
  <c r="AK446" i="16" s="1"/>
  <c r="AU445" i="16"/>
  <c r="AV445" i="16" s="1"/>
  <c r="AX444" i="16"/>
  <c r="AZ444" i="16" s="1"/>
  <c r="AL445" i="16"/>
  <c r="AE446" i="16"/>
  <c r="BI409" i="16"/>
  <c r="BG409" i="16"/>
  <c r="BJ409" i="16"/>
  <c r="BK409" i="16"/>
  <c r="Q526" i="16"/>
  <c r="S526" i="16" s="1"/>
  <c r="N526" i="16"/>
  <c r="M527" i="16" s="1"/>
  <c r="AW445" i="16" l="1"/>
  <c r="AX445" i="16" s="1"/>
  <c r="AZ445" i="16" s="1"/>
  <c r="Y446" i="16"/>
  <c r="AB446" i="16" s="1"/>
  <c r="AF446" i="16" s="1"/>
  <c r="AG446" i="16" s="1"/>
  <c r="AH446" i="16" s="1"/>
  <c r="AS446" i="16" s="1"/>
  <c r="AY445" i="16"/>
  <c r="AM445" i="16"/>
  <c r="AN445" i="16" s="1"/>
  <c r="AO445" i="16" s="1"/>
  <c r="AP445" i="16" s="1"/>
  <c r="AQ445" i="16" s="1"/>
  <c r="BL409" i="16"/>
  <c r="BM409" i="16" s="1"/>
  <c r="BC410" i="16"/>
  <c r="BO409" i="16"/>
  <c r="BP409" i="16" s="1"/>
  <c r="E527" i="16"/>
  <c r="O526" i="16"/>
  <c r="Z446" i="16" l="1"/>
  <c r="U447" i="16" s="1"/>
  <c r="AC447" i="16" s="1"/>
  <c r="AU446" i="16"/>
  <c r="AV446" i="16" s="1"/>
  <c r="AT446" i="16"/>
  <c r="AW446" i="16" s="1"/>
  <c r="AX446" i="16" s="1"/>
  <c r="AZ446" i="16" s="1"/>
  <c r="AL446" i="16"/>
  <c r="AM446" i="16" s="1"/>
  <c r="AR445" i="16"/>
  <c r="BN409" i="16"/>
  <c r="AD143" i="15" s="1"/>
  <c r="BH410" i="16"/>
  <c r="AJ60" i="15"/>
  <c r="BD410" i="16"/>
  <c r="L527" i="16"/>
  <c r="P527" i="16"/>
  <c r="AY446" i="16" l="1"/>
  <c r="W447" i="16"/>
  <c r="AA447" i="16" s="1"/>
  <c r="AK447" i="16" s="1"/>
  <c r="E408" i="14"/>
  <c r="F408" i="14" s="1"/>
  <c r="H408" i="14" s="1"/>
  <c r="BQ409" i="16"/>
  <c r="AN446" i="16"/>
  <c r="AO446" i="16" s="1"/>
  <c r="AP446" i="16" s="1"/>
  <c r="AQ446" i="16" s="1"/>
  <c r="AD447" i="16"/>
  <c r="BJ410" i="16"/>
  <c r="BE410" i="16"/>
  <c r="BF410" i="16" s="1"/>
  <c r="BK410" i="16"/>
  <c r="N527" i="16"/>
  <c r="M528" i="16" s="1"/>
  <c r="Q527" i="16"/>
  <c r="S527" i="16" s="1"/>
  <c r="Y447" i="16" l="1"/>
  <c r="AB447" i="16" s="1"/>
  <c r="O527" i="16"/>
  <c r="AR446" i="16"/>
  <c r="AE447" i="16"/>
  <c r="BI410" i="16"/>
  <c r="BG410" i="16"/>
  <c r="BL410" i="16"/>
  <c r="BM410" i="16" s="1"/>
  <c r="P528" i="16"/>
  <c r="Q528" i="16" s="1"/>
  <c r="S528" i="16" s="1"/>
  <c r="E528" i="16"/>
  <c r="L528" i="16" s="1"/>
  <c r="Z447" i="16" l="1"/>
  <c r="U448" i="16" s="1"/>
  <c r="AC448" i="16" s="1"/>
  <c r="AF447" i="16"/>
  <c r="BC411" i="16"/>
  <c r="BH411" i="16" s="1"/>
  <c r="BO410" i="16"/>
  <c r="BP410" i="16" s="1"/>
  <c r="BN410" i="16"/>
  <c r="N528" i="16"/>
  <c r="M529" i="16" s="1"/>
  <c r="AG447" i="16" l="1"/>
  <c r="AL447" i="16" s="1"/>
  <c r="AY447" i="16" s="1"/>
  <c r="BD411" i="16"/>
  <c r="BK411" i="16" s="1"/>
  <c r="W448" i="16"/>
  <c r="AA448" i="16" s="1"/>
  <c r="AK448" i="16" s="1"/>
  <c r="AD448" i="16"/>
  <c r="AJ460" i="15"/>
  <c r="BQ410" i="16"/>
  <c r="E409" i="14"/>
  <c r="F409" i="14" s="1"/>
  <c r="H409" i="14" s="1"/>
  <c r="AD170" i="15"/>
  <c r="E529" i="16"/>
  <c r="O528" i="16"/>
  <c r="BJ411" i="16" l="1"/>
  <c r="BE411" i="16"/>
  <c r="BF411" i="16" s="1"/>
  <c r="BG411" i="16" s="1"/>
  <c r="AM447" i="16"/>
  <c r="AN447" i="16" s="1"/>
  <c r="AH447" i="16"/>
  <c r="AS447" i="16" s="1"/>
  <c r="Y448" i="16"/>
  <c r="AB448" i="16" s="1"/>
  <c r="AE448" i="16"/>
  <c r="BL411" i="16"/>
  <c r="BM411" i="16" s="1"/>
  <c r="L529" i="16"/>
  <c r="N529" i="16" s="1"/>
  <c r="M530" i="16" s="1"/>
  <c r="P529" i="16"/>
  <c r="BI411" i="16" l="1"/>
  <c r="BO411" i="16" s="1"/>
  <c r="BP411" i="16" s="1"/>
  <c r="AU447" i="16"/>
  <c r="AV447" i="16" s="1"/>
  <c r="AT447" i="16"/>
  <c r="AW447" i="16" s="1"/>
  <c r="AX447" i="16" s="1"/>
  <c r="AZ447" i="16" s="1"/>
  <c r="Z448" i="16"/>
  <c r="U449" i="16" s="1"/>
  <c r="AC449" i="16" s="1"/>
  <c r="AD449" i="16" s="1"/>
  <c r="AF448" i="16"/>
  <c r="AG448" i="16" s="1"/>
  <c r="AH448" i="16" s="1"/>
  <c r="AS448" i="16" s="1"/>
  <c r="AT448" i="16" s="1"/>
  <c r="AO447" i="16"/>
  <c r="AP447" i="16" s="1"/>
  <c r="AQ447" i="16" s="1"/>
  <c r="BC412" i="16"/>
  <c r="BH412" i="16" s="1"/>
  <c r="Q529" i="16"/>
  <c r="S529" i="16" s="1"/>
  <c r="O529" i="16"/>
  <c r="BN411" i="16" l="1"/>
  <c r="E410" i="14" s="1"/>
  <c r="F410" i="14" s="1"/>
  <c r="H410" i="14" s="1"/>
  <c r="AW448" i="16"/>
  <c r="AX448" i="16" s="1"/>
  <c r="AZ448" i="16" s="1"/>
  <c r="AL448" i="16"/>
  <c r="AM448" i="16" s="1"/>
  <c r="AU448" i="16"/>
  <c r="AV448" i="16" s="1"/>
  <c r="W449" i="16"/>
  <c r="AA449" i="16" s="1"/>
  <c r="AK449" i="16" s="1"/>
  <c r="BD412" i="16"/>
  <c r="BJ412" i="16" s="1"/>
  <c r="AR447" i="16"/>
  <c r="AE449" i="16"/>
  <c r="AJ461" i="15"/>
  <c r="AD182" i="15"/>
  <c r="P530" i="16"/>
  <c r="E530" i="16"/>
  <c r="L530" i="16" s="1"/>
  <c r="BQ411" i="16" l="1"/>
  <c r="AY448" i="16"/>
  <c r="BE412" i="16"/>
  <c r="BF412" i="16" s="1"/>
  <c r="BI412" i="16" s="1"/>
  <c r="BK412" i="16"/>
  <c r="BL412" i="16" s="1"/>
  <c r="BM412" i="16" s="1"/>
  <c r="Y449" i="16"/>
  <c r="AB449" i="16" s="1"/>
  <c r="AF449" i="16" s="1"/>
  <c r="AN448" i="16"/>
  <c r="AO448" i="16" s="1"/>
  <c r="N530" i="16"/>
  <c r="M531" i="16" s="1"/>
  <c r="Q530" i="16"/>
  <c r="S530" i="16" s="1"/>
  <c r="BG412" i="16" l="1"/>
  <c r="BC413" i="16" s="1"/>
  <c r="AG449" i="16"/>
  <c r="AH449" i="16" s="1"/>
  <c r="AS449" i="16" s="1"/>
  <c r="Z449" i="16"/>
  <c r="U450" i="16" s="1"/>
  <c r="AC450" i="16" s="1"/>
  <c r="AP448" i="16"/>
  <c r="AQ448" i="16" s="1"/>
  <c r="BO412" i="16"/>
  <c r="BP412" i="16" s="1"/>
  <c r="BN412" i="16"/>
  <c r="E531" i="16"/>
  <c r="O530" i="16"/>
  <c r="AL449" i="16" l="1"/>
  <c r="AY449" i="16" s="1"/>
  <c r="AT449" i="16"/>
  <c r="AW449" i="16" s="1"/>
  <c r="AX449" i="16" s="1"/>
  <c r="AZ449" i="16" s="1"/>
  <c r="AU449" i="16"/>
  <c r="AV449" i="16" s="1"/>
  <c r="AD450" i="16"/>
  <c r="AE450" i="16" s="1"/>
  <c r="AR448" i="16"/>
  <c r="W450" i="16"/>
  <c r="AA450" i="16" s="1"/>
  <c r="AK450" i="16" s="1"/>
  <c r="BH413" i="16"/>
  <c r="BD413" i="16"/>
  <c r="E411" i="14"/>
  <c r="F411" i="14" s="1"/>
  <c r="H411" i="14" s="1"/>
  <c r="AD78" i="15"/>
  <c r="AJ38" i="15"/>
  <c r="BQ412" i="16"/>
  <c r="L531" i="16"/>
  <c r="P531" i="16"/>
  <c r="AM449" i="16" l="1"/>
  <c r="AN449" i="16" s="1"/>
  <c r="AO449" i="16" s="1"/>
  <c r="AP449" i="16" s="1"/>
  <c r="AR449" i="16" s="1"/>
  <c r="Y450" i="16"/>
  <c r="AB450" i="16" s="1"/>
  <c r="AF450" i="16" s="1"/>
  <c r="AG450" i="16" s="1"/>
  <c r="AH450" i="16" s="1"/>
  <c r="AS450" i="16" s="1"/>
  <c r="AT450" i="16" s="1"/>
  <c r="AW450" i="16" s="1"/>
  <c r="AX450" i="16" s="1"/>
  <c r="AZ450" i="16" s="1"/>
  <c r="BJ413" i="16"/>
  <c r="BK413" i="16"/>
  <c r="BE413" i="16"/>
  <c r="BF413" i="16" s="1"/>
  <c r="N531" i="16"/>
  <c r="M532" i="16" s="1"/>
  <c r="Q531" i="16"/>
  <c r="S531" i="16" s="1"/>
  <c r="Z450" i="16" l="1"/>
  <c r="U451" i="16" s="1"/>
  <c r="AC451" i="16" s="1"/>
  <c r="AD451" i="16" s="1"/>
  <c r="AL450" i="16"/>
  <c r="AY450" i="16" s="1"/>
  <c r="AU450" i="16"/>
  <c r="AV450" i="16" s="1"/>
  <c r="AQ449" i="16"/>
  <c r="O531" i="16"/>
  <c r="BI413" i="16"/>
  <c r="BG413" i="16"/>
  <c r="BL413" i="16"/>
  <c r="BM413" i="16" s="1"/>
  <c r="P532" i="16"/>
  <c r="Q532" i="16" s="1"/>
  <c r="S532" i="16" s="1"/>
  <c r="E532" i="16"/>
  <c r="L532" i="16" s="1"/>
  <c r="W451" i="16" l="1"/>
  <c r="AA451" i="16" s="1"/>
  <c r="AK451" i="16" s="1"/>
  <c r="AM450" i="16"/>
  <c r="AN450" i="16" s="1"/>
  <c r="AO450" i="16" s="1"/>
  <c r="AP450" i="16" s="1"/>
  <c r="AQ450" i="16" s="1"/>
  <c r="AE451" i="16"/>
  <c r="BC414" i="16"/>
  <c r="BH414" i="16" s="1"/>
  <c r="BN413" i="16"/>
  <c r="BO413" i="16"/>
  <c r="BP413" i="16" s="1"/>
  <c r="N532" i="16"/>
  <c r="M533" i="16" s="1"/>
  <c r="Y451" i="16" l="1"/>
  <c r="AB451" i="16" s="1"/>
  <c r="AF451" i="16" s="1"/>
  <c r="AR450" i="16"/>
  <c r="BD414" i="16"/>
  <c r="BE414" i="16" s="1"/>
  <c r="BF414" i="16" s="1"/>
  <c r="AJ462" i="15"/>
  <c r="BQ413" i="16"/>
  <c r="E412" i="14"/>
  <c r="F412" i="14" s="1"/>
  <c r="H412" i="14" s="1"/>
  <c r="AD99" i="15"/>
  <c r="O532" i="16"/>
  <c r="Z451" i="16" l="1"/>
  <c r="AG451" i="16"/>
  <c r="AL451" i="16" s="1"/>
  <c r="AY451" i="16" s="1"/>
  <c r="U452" i="16"/>
  <c r="AC452" i="16" s="1"/>
  <c r="BI414" i="16"/>
  <c r="BG414" i="16"/>
  <c r="BJ414" i="16"/>
  <c r="BK414" i="16"/>
  <c r="P533" i="16"/>
  <c r="Q533" i="16" s="1"/>
  <c r="S533" i="16" s="1"/>
  <c r="E533" i="16"/>
  <c r="L533" i="16" s="1"/>
  <c r="AM451" i="16" l="1"/>
  <c r="AN451" i="16" s="1"/>
  <c r="AO451" i="16" s="1"/>
  <c r="AP451" i="16" s="1"/>
  <c r="AQ451" i="16" s="1"/>
  <c r="AH451" i="16"/>
  <c r="AS451" i="16" s="1"/>
  <c r="AU451" i="16" s="1"/>
  <c r="AV451" i="16" s="1"/>
  <c r="AD452" i="16"/>
  <c r="W452" i="16"/>
  <c r="AA452" i="16" s="1"/>
  <c r="AK452" i="16" s="1"/>
  <c r="BC415" i="16"/>
  <c r="BH415" i="16" s="1"/>
  <c r="BL414" i="16"/>
  <c r="BM414" i="16" s="1"/>
  <c r="BO414" i="16"/>
  <c r="BP414" i="16" s="1"/>
  <c r="N533" i="16"/>
  <c r="M534" i="16" s="1"/>
  <c r="AT451" i="16" l="1"/>
  <c r="AW451" i="16" s="1"/>
  <c r="AX451" i="16" s="1"/>
  <c r="AZ451" i="16" s="1"/>
  <c r="Y452" i="16"/>
  <c r="AB452" i="16" s="1"/>
  <c r="BN414" i="16"/>
  <c r="AD109" i="15" s="1"/>
  <c r="BD415" i="16"/>
  <c r="BJ415" i="16" s="1"/>
  <c r="AE452" i="16"/>
  <c r="AR451" i="16"/>
  <c r="AJ463" i="15"/>
  <c r="O533" i="16"/>
  <c r="AF452" i="16" l="1"/>
  <c r="AG452" i="16"/>
  <c r="AH452" i="16" s="1"/>
  <c r="AS452" i="16" s="1"/>
  <c r="Z452" i="16"/>
  <c r="U453" i="16" s="1"/>
  <c r="AC453" i="16" s="1"/>
  <c r="BK415" i="16"/>
  <c r="BL415" i="16" s="1"/>
  <c r="BM415" i="16" s="1"/>
  <c r="BE415" i="16"/>
  <c r="BF415" i="16" s="1"/>
  <c r="E413" i="14"/>
  <c r="F413" i="14" s="1"/>
  <c r="H413" i="14" s="1"/>
  <c r="BQ414" i="16"/>
  <c r="P534" i="16"/>
  <c r="Q534" i="16" s="1"/>
  <c r="S534" i="16" s="1"/>
  <c r="E534" i="16"/>
  <c r="L534" i="16" s="1"/>
  <c r="AU452" i="16" l="1"/>
  <c r="AV452" i="16" s="1"/>
  <c r="AT452" i="16"/>
  <c r="AW452" i="16" s="1"/>
  <c r="AX452" i="16" s="1"/>
  <c r="AZ452" i="16" s="1"/>
  <c r="AL452" i="16"/>
  <c r="AY452" i="16" s="1"/>
  <c r="BG415" i="16"/>
  <c r="BC416" i="16" s="1"/>
  <c r="BH416" i="16" s="1"/>
  <c r="BI415" i="16"/>
  <c r="BO415" i="16" s="1"/>
  <c r="BP415" i="16" s="1"/>
  <c r="AD453" i="16"/>
  <c r="W453" i="16"/>
  <c r="N534" i="16"/>
  <c r="M535" i="16" s="1"/>
  <c r="AM452" i="16" l="1"/>
  <c r="AN452" i="16" s="1"/>
  <c r="AO452" i="16" s="1"/>
  <c r="AP452" i="16" s="1"/>
  <c r="AQ452" i="16" s="1"/>
  <c r="BN415" i="16"/>
  <c r="BQ415" i="16" s="1"/>
  <c r="AA453" i="16"/>
  <c r="AK453" i="16" s="1"/>
  <c r="Y453" i="16"/>
  <c r="AB453" i="16" s="1"/>
  <c r="AE453" i="16"/>
  <c r="BD416" i="16"/>
  <c r="BE416" i="16" s="1"/>
  <c r="BF416" i="16" s="1"/>
  <c r="AJ464" i="15"/>
  <c r="O534" i="16"/>
  <c r="E535" i="16"/>
  <c r="E414" i="14" l="1"/>
  <c r="F414" i="14" s="1"/>
  <c r="H414" i="14" s="1"/>
  <c r="AD128" i="15"/>
  <c r="AR452" i="16"/>
  <c r="Z453" i="16"/>
  <c r="AF453" i="16"/>
  <c r="BI416" i="16"/>
  <c r="BG416" i="16"/>
  <c r="BJ416" i="16"/>
  <c r="BK416" i="16"/>
  <c r="L535" i="16"/>
  <c r="P535" i="16"/>
  <c r="Q535" i="16" s="1"/>
  <c r="S535" i="16" s="1"/>
  <c r="AG453" i="16" l="1"/>
  <c r="AL453" i="16" s="1"/>
  <c r="AY453" i="16" s="1"/>
  <c r="U454" i="16"/>
  <c r="AC454" i="16" s="1"/>
  <c r="BL416" i="16"/>
  <c r="BM416" i="16" s="1"/>
  <c r="BC417" i="16"/>
  <c r="BH417" i="16" s="1"/>
  <c r="BO416" i="16"/>
  <c r="BP416" i="16" s="1"/>
  <c r="N535" i="16"/>
  <c r="M536" i="16" s="1"/>
  <c r="AM453" i="16" l="1"/>
  <c r="AN453" i="16" s="1"/>
  <c r="AO453" i="16" s="1"/>
  <c r="AH453" i="16"/>
  <c r="AS453" i="16" s="1"/>
  <c r="BN416" i="16"/>
  <c r="BQ416" i="16" s="1"/>
  <c r="BD417" i="16"/>
  <c r="BJ417" i="16" s="1"/>
  <c r="AD454" i="16"/>
  <c r="O535" i="16"/>
  <c r="W454" i="16"/>
  <c r="AJ465" i="15"/>
  <c r="P536" i="16"/>
  <c r="Q536" i="16" s="1"/>
  <c r="S536" i="16" s="1"/>
  <c r="E536" i="16"/>
  <c r="E415" i="14" l="1"/>
  <c r="F415" i="14" s="1"/>
  <c r="H415" i="14" s="1"/>
  <c r="AD154" i="15"/>
  <c r="AT453" i="16"/>
  <c r="AW453" i="16" s="1"/>
  <c r="AX453" i="16" s="1"/>
  <c r="AZ453" i="16" s="1"/>
  <c r="AU453" i="16"/>
  <c r="AV453" i="16" s="1"/>
  <c r="BK417" i="16"/>
  <c r="BL417" i="16" s="1"/>
  <c r="BM417" i="16" s="1"/>
  <c r="BE417" i="16"/>
  <c r="BF417" i="16" s="1"/>
  <c r="BG417" i="16" s="1"/>
  <c r="AP453" i="16"/>
  <c r="AQ453" i="16" s="1"/>
  <c r="AA454" i="16"/>
  <c r="AK454" i="16" s="1"/>
  <c r="Y454" i="16"/>
  <c r="AB454" i="16" s="1"/>
  <c r="AE454" i="16"/>
  <c r="L536" i="16"/>
  <c r="BI417" i="16" l="1"/>
  <c r="BN417" i="16" s="1"/>
  <c r="Z454" i="16"/>
  <c r="AR453" i="16"/>
  <c r="AF454" i="16"/>
  <c r="BC418" i="16"/>
  <c r="BH418" i="16" s="1"/>
  <c r="N536" i="16"/>
  <c r="M537" i="16" s="1"/>
  <c r="BO417" i="16" l="1"/>
  <c r="BP417" i="16" s="1"/>
  <c r="BQ417" i="16" s="1"/>
  <c r="AG454" i="16"/>
  <c r="AL454" i="16" s="1"/>
  <c r="AY454" i="16" s="1"/>
  <c r="U455" i="16"/>
  <c r="AC455" i="16" s="1"/>
  <c r="BD418" i="16"/>
  <c r="E416" i="14"/>
  <c r="F416" i="14" s="1"/>
  <c r="H416" i="14" s="1"/>
  <c r="AD163" i="15"/>
  <c r="O536" i="16"/>
  <c r="AJ466" i="15" l="1"/>
  <c r="AM454" i="16"/>
  <c r="AN454" i="16" s="1"/>
  <c r="AO454" i="16" s="1"/>
  <c r="AH454" i="16"/>
  <c r="AS454" i="16" s="1"/>
  <c r="AD455" i="16"/>
  <c r="AE455" i="16" s="1"/>
  <c r="W455" i="16"/>
  <c r="AA455" i="16" s="1"/>
  <c r="AK455" i="16" s="1"/>
  <c r="BJ418" i="16"/>
  <c r="BK418" i="16"/>
  <c r="BE418" i="16"/>
  <c r="BF418" i="16" s="1"/>
  <c r="E537" i="16"/>
  <c r="P537" i="16"/>
  <c r="Q537" i="16" s="1"/>
  <c r="S537" i="16" s="1"/>
  <c r="AU454" i="16" l="1"/>
  <c r="AV454" i="16" s="1"/>
  <c r="AT454" i="16"/>
  <c r="AW454" i="16" s="1"/>
  <c r="AX454" i="16" s="1"/>
  <c r="AZ454" i="16" s="1"/>
  <c r="Y455" i="16"/>
  <c r="AB455" i="16" s="1"/>
  <c r="AP454" i="16"/>
  <c r="AR454" i="16" s="1"/>
  <c r="BI418" i="16"/>
  <c r="BG418" i="16"/>
  <c r="BL418" i="16"/>
  <c r="BM418" i="16" s="1"/>
  <c r="L537" i="16"/>
  <c r="N537" i="16" s="1"/>
  <c r="M538" i="16" s="1"/>
  <c r="AQ454" i="16" l="1"/>
  <c r="Z455" i="16"/>
  <c r="AF455" i="16"/>
  <c r="AG455" i="16" s="1"/>
  <c r="AH455" i="16" s="1"/>
  <c r="AS455" i="16" s="1"/>
  <c r="AT455" i="16" s="1"/>
  <c r="AW455" i="16" s="1"/>
  <c r="AX455" i="16" s="1"/>
  <c r="AZ455" i="16" s="1"/>
  <c r="BC419" i="16"/>
  <c r="BH419" i="16" s="1"/>
  <c r="BO418" i="16"/>
  <c r="BP418" i="16" s="1"/>
  <c r="BN418" i="16"/>
  <c r="O537" i="16"/>
  <c r="E538" i="16"/>
  <c r="AU455" i="16" l="1"/>
  <c r="AV455" i="16" s="1"/>
  <c r="AL455" i="16"/>
  <c r="AY455" i="16" s="1"/>
  <c r="U456" i="16"/>
  <c r="W456" i="16" s="1"/>
  <c r="AA456" i="16" s="1"/>
  <c r="AK456" i="16" s="1"/>
  <c r="E417" i="14"/>
  <c r="F417" i="14" s="1"/>
  <c r="H417" i="14" s="1"/>
  <c r="AD79" i="15"/>
  <c r="BD419" i="16"/>
  <c r="BE419" i="16" s="1"/>
  <c r="BF419" i="16" s="1"/>
  <c r="AJ14" i="15"/>
  <c r="BQ418" i="16"/>
  <c r="L538" i="16"/>
  <c r="N538" i="16" s="1"/>
  <c r="M539" i="16" s="1"/>
  <c r="P538" i="16"/>
  <c r="AM455" i="16" l="1"/>
  <c r="AN455" i="16" s="1"/>
  <c r="AO455" i="16" s="1"/>
  <c r="AP455" i="16" s="1"/>
  <c r="AC456" i="16"/>
  <c r="Y456" i="16"/>
  <c r="AB456" i="16" s="1"/>
  <c r="BI419" i="16"/>
  <c r="BG419" i="16"/>
  <c r="BJ419" i="16"/>
  <c r="BK419" i="16"/>
  <c r="E539" i="16"/>
  <c r="L539" i="16" s="1"/>
  <c r="O538" i="16"/>
  <c r="Q538" i="16"/>
  <c r="AR455" i="16" l="1"/>
  <c r="AQ455" i="16"/>
  <c r="Z456" i="16"/>
  <c r="U457" i="16" s="1"/>
  <c r="AC457" i="16" s="1"/>
  <c r="AD456" i="16"/>
  <c r="P539" i="16"/>
  <c r="Q539" i="16" s="1"/>
  <c r="S539" i="16" s="1"/>
  <c r="S538" i="16"/>
  <c r="BL419" i="16"/>
  <c r="BM419" i="16" s="1"/>
  <c r="BO419" i="16"/>
  <c r="BP419" i="16" s="1"/>
  <c r="BC420" i="16"/>
  <c r="BH420" i="16" s="1"/>
  <c r="N539" i="16"/>
  <c r="M540" i="16" s="1"/>
  <c r="E540" i="16" l="1"/>
  <c r="L540" i="16" s="1"/>
  <c r="BN419" i="16"/>
  <c r="AD90" i="15" s="1"/>
  <c r="AE456" i="16"/>
  <c r="AF456" i="16" s="1"/>
  <c r="AG456" i="16" s="1"/>
  <c r="W457" i="16"/>
  <c r="O539" i="16"/>
  <c r="BD420" i="16"/>
  <c r="BE420" i="16" s="1"/>
  <c r="BF420" i="16" s="1"/>
  <c r="AJ467" i="15"/>
  <c r="P540" i="16"/>
  <c r="Q540" i="16" s="1"/>
  <c r="S540" i="16" s="1"/>
  <c r="AH456" i="16" l="1"/>
  <c r="AS456" i="16" s="1"/>
  <c r="AL456" i="16"/>
  <c r="E418" i="14"/>
  <c r="F418" i="14" s="1"/>
  <c r="H418" i="14" s="1"/>
  <c r="BQ419" i="16"/>
  <c r="N540" i="16"/>
  <c r="O540" i="16" s="1"/>
  <c r="AD457" i="16"/>
  <c r="AE457" i="16" s="1"/>
  <c r="AA457" i="16"/>
  <c r="AK457" i="16" s="1"/>
  <c r="Y457" i="16"/>
  <c r="AB457" i="16" s="1"/>
  <c r="BI420" i="16"/>
  <c r="BG420" i="16"/>
  <c r="BJ420" i="16"/>
  <c r="BK420" i="16"/>
  <c r="M541" i="16" l="1"/>
  <c r="E541" i="16" s="1"/>
  <c r="L541" i="16" s="1"/>
  <c r="N541" i="16" s="1"/>
  <c r="M542" i="16" s="1"/>
  <c r="AY456" i="16"/>
  <c r="AM456" i="16"/>
  <c r="AN456" i="16" s="1"/>
  <c r="AO456" i="16" s="1"/>
  <c r="AP456" i="16" s="1"/>
  <c r="AQ456" i="16" s="1"/>
  <c r="AU456" i="16"/>
  <c r="AV456" i="16" s="1"/>
  <c r="AT456" i="16"/>
  <c r="AW456" i="16" s="1"/>
  <c r="P541" i="16"/>
  <c r="Q541" i="16" s="1"/>
  <c r="S541" i="16" s="1"/>
  <c r="Z457" i="16"/>
  <c r="AF457" i="16"/>
  <c r="AG457" i="16" s="1"/>
  <c r="AH457" i="16" s="1"/>
  <c r="AS457" i="16" s="1"/>
  <c r="AT457" i="16" s="1"/>
  <c r="BL420" i="16"/>
  <c r="BM420" i="16" s="1"/>
  <c r="BC421" i="16"/>
  <c r="BO420" i="16"/>
  <c r="BP420" i="16" s="1"/>
  <c r="AR456" i="16" l="1"/>
  <c r="AL457" i="16"/>
  <c r="AY457" i="16" s="1"/>
  <c r="AU457" i="16"/>
  <c r="AV457" i="16" s="1"/>
  <c r="AX456" i="16"/>
  <c r="AZ456" i="16" s="1"/>
  <c r="U458" i="16"/>
  <c r="BN420" i="16"/>
  <c r="E419" i="14" s="1"/>
  <c r="F419" i="14" s="1"/>
  <c r="H419" i="14" s="1"/>
  <c r="BH421" i="16"/>
  <c r="AJ18" i="15"/>
  <c r="BD421" i="16"/>
  <c r="E542" i="16"/>
  <c r="O541" i="16"/>
  <c r="AM457" i="16" l="1"/>
  <c r="AW457" i="16"/>
  <c r="AX457" i="16" s="1"/>
  <c r="AZ457" i="16" s="1"/>
  <c r="BQ420" i="16"/>
  <c r="AD74" i="15"/>
  <c r="AN457" i="16"/>
  <c r="AO457" i="16" s="1"/>
  <c r="AC458" i="16"/>
  <c r="W458" i="16"/>
  <c r="BJ421" i="16"/>
  <c r="BK421" i="16"/>
  <c r="BE421" i="16"/>
  <c r="BF421" i="16" s="1"/>
  <c r="L542" i="16"/>
  <c r="P542" i="16"/>
  <c r="Q542" i="16" s="1"/>
  <c r="S542" i="16" s="1"/>
  <c r="AP457" i="16" l="1"/>
  <c r="AR457" i="16" s="1"/>
  <c r="AD458" i="16"/>
  <c r="AA458" i="16"/>
  <c r="AK458" i="16" s="1"/>
  <c r="Y458" i="16"/>
  <c r="AB458" i="16" s="1"/>
  <c r="BI421" i="16"/>
  <c r="BG421" i="16"/>
  <c r="BL421" i="16"/>
  <c r="BM421" i="16" s="1"/>
  <c r="N542" i="16"/>
  <c r="M543" i="16" s="1"/>
  <c r="Z458" i="16" l="1"/>
  <c r="U459" i="16" s="1"/>
  <c r="AE458" i="16"/>
  <c r="AF458" i="16" s="1"/>
  <c r="AQ457" i="16"/>
  <c r="O542" i="16"/>
  <c r="BC422" i="16"/>
  <c r="BH422" i="16" s="1"/>
  <c r="BO421" i="16"/>
  <c r="BP421" i="16" s="1"/>
  <c r="BN421" i="16"/>
  <c r="E543" i="16"/>
  <c r="L543" i="16" s="1"/>
  <c r="P543" i="16"/>
  <c r="Q543" i="16" s="1"/>
  <c r="S543" i="16" s="1"/>
  <c r="AG458" i="16" l="1"/>
  <c r="AL458" i="16" s="1"/>
  <c r="AY458" i="16" s="1"/>
  <c r="W459" i="16"/>
  <c r="AA459" i="16" s="1"/>
  <c r="AK459" i="16" s="1"/>
  <c r="AC459" i="16"/>
  <c r="BD422" i="16"/>
  <c r="BE422" i="16" s="1"/>
  <c r="AJ468" i="15"/>
  <c r="BQ421" i="16"/>
  <c r="AD88" i="15"/>
  <c r="E420" i="14"/>
  <c r="F420" i="14" s="1"/>
  <c r="H420" i="14" s="1"/>
  <c r="N543" i="16"/>
  <c r="M544" i="16" s="1"/>
  <c r="AM458" i="16" l="1"/>
  <c r="AN458" i="16" s="1"/>
  <c r="AO458" i="16" s="1"/>
  <c r="AP458" i="16" s="1"/>
  <c r="AH458" i="16"/>
  <c r="AS458" i="16" s="1"/>
  <c r="Y459" i="16"/>
  <c r="AB459" i="16" s="1"/>
  <c r="AD459" i="16"/>
  <c r="AE459" i="16" s="1"/>
  <c r="BK422" i="16"/>
  <c r="BL422" i="16" s="1"/>
  <c r="BM422" i="16" s="1"/>
  <c r="BF422" i="16"/>
  <c r="BI422" i="16" s="1"/>
  <c r="BJ422" i="16"/>
  <c r="O543" i="16"/>
  <c r="E544" i="16"/>
  <c r="L544" i="16" s="1"/>
  <c r="AR458" i="16" l="1"/>
  <c r="AF459" i="16"/>
  <c r="AG459" i="16" s="1"/>
  <c r="AH459" i="16" s="1"/>
  <c r="AS459" i="16" s="1"/>
  <c r="AT459" i="16" s="1"/>
  <c r="Z459" i="16"/>
  <c r="U460" i="16" s="1"/>
  <c r="AC460" i="16" s="1"/>
  <c r="AD460" i="16" s="1"/>
  <c r="AE460" i="16" s="1"/>
  <c r="AT458" i="16"/>
  <c r="AW458" i="16" s="1"/>
  <c r="AX458" i="16" s="1"/>
  <c r="AZ458" i="16" s="1"/>
  <c r="AU458" i="16"/>
  <c r="AV458" i="16" s="1"/>
  <c r="AQ458" i="16"/>
  <c r="BG422" i="16"/>
  <c r="BC423" i="16" s="1"/>
  <c r="BO422" i="16"/>
  <c r="BP422" i="16" s="1"/>
  <c r="BN422" i="16"/>
  <c r="N544" i="16"/>
  <c r="M545" i="16" s="1"/>
  <c r="P544" i="16"/>
  <c r="Q544" i="16" s="1"/>
  <c r="S544" i="16" s="1"/>
  <c r="AW459" i="16" l="1"/>
  <c r="AX459" i="16" s="1"/>
  <c r="AZ459" i="16" s="1"/>
  <c r="AU459" i="16"/>
  <c r="AV459" i="16" s="1"/>
  <c r="AL459" i="16"/>
  <c r="AY459" i="16" s="1"/>
  <c r="W460" i="16"/>
  <c r="AA460" i="16" s="1"/>
  <c r="AK460" i="16" s="1"/>
  <c r="BH423" i="16"/>
  <c r="BD423" i="16"/>
  <c r="BJ423" i="16" s="1"/>
  <c r="AD59" i="15"/>
  <c r="E421" i="14"/>
  <c r="F421" i="14" s="1"/>
  <c r="H421" i="14" s="1"/>
  <c r="AJ9" i="15"/>
  <c r="BQ422" i="16"/>
  <c r="O544" i="16"/>
  <c r="AM459" i="16" l="1"/>
  <c r="AN459" i="16" s="1"/>
  <c r="AO459" i="16" s="1"/>
  <c r="AP459" i="16" s="1"/>
  <c r="AR459" i="16" s="1"/>
  <c r="BK423" i="16"/>
  <c r="BL423" i="16" s="1"/>
  <c r="BM423" i="16" s="1"/>
  <c r="Y460" i="16"/>
  <c r="AB460" i="16" s="1"/>
  <c r="BE423" i="16"/>
  <c r="BF423" i="16" s="1"/>
  <c r="BG423" i="16" s="1"/>
  <c r="E545" i="16"/>
  <c r="L545" i="16" s="1"/>
  <c r="P545" i="16"/>
  <c r="Q545" i="16" s="1"/>
  <c r="S545" i="16" s="1"/>
  <c r="AF460" i="16" l="1"/>
  <c r="Z460" i="16"/>
  <c r="U461" i="16" s="1"/>
  <c r="AC461" i="16" s="1"/>
  <c r="BI423" i="16"/>
  <c r="BO423" i="16" s="1"/>
  <c r="BP423" i="16" s="1"/>
  <c r="AQ459" i="16"/>
  <c r="BC424" i="16"/>
  <c r="BH424" i="16" s="1"/>
  <c r="N545" i="16"/>
  <c r="M546" i="16" s="1"/>
  <c r="AG460" i="16" l="1"/>
  <c r="BN423" i="16"/>
  <c r="E422" i="14" s="1"/>
  <c r="F422" i="14" s="1"/>
  <c r="H422" i="14" s="1"/>
  <c r="AD461" i="16"/>
  <c r="AE461" i="16" s="1"/>
  <c r="W461" i="16"/>
  <c r="AA461" i="16" s="1"/>
  <c r="AK461" i="16" s="1"/>
  <c r="BD424" i="16"/>
  <c r="AJ17" i="15"/>
  <c r="O545" i="16"/>
  <c r="AD52" i="15" l="1"/>
  <c r="AL460" i="16"/>
  <c r="AY460" i="16" s="1"/>
  <c r="AH460" i="16"/>
  <c r="AS460" i="16" s="1"/>
  <c r="BQ423" i="16"/>
  <c r="Y461" i="16"/>
  <c r="AB461" i="16" s="1"/>
  <c r="AF461" i="16" s="1"/>
  <c r="AG461" i="16" s="1"/>
  <c r="AH461" i="16" s="1"/>
  <c r="AS461" i="16" s="1"/>
  <c r="AT461" i="16" s="1"/>
  <c r="BJ424" i="16"/>
  <c r="BK424" i="16"/>
  <c r="BE424" i="16"/>
  <c r="BF424" i="16" s="1"/>
  <c r="P546" i="16"/>
  <c r="Q546" i="16" s="1"/>
  <c r="S546" i="16" s="1"/>
  <c r="E546" i="16"/>
  <c r="L546" i="16" s="1"/>
  <c r="AU460" i="16" l="1"/>
  <c r="AV460" i="16" s="1"/>
  <c r="AU461" i="16" s="1"/>
  <c r="AV461" i="16" s="1"/>
  <c r="AT460" i="16"/>
  <c r="AW460" i="16" s="1"/>
  <c r="AM460" i="16"/>
  <c r="AN460" i="16" s="1"/>
  <c r="AO460" i="16" s="1"/>
  <c r="AP460" i="16" s="1"/>
  <c r="AR460" i="16" s="1"/>
  <c r="AL461" i="16"/>
  <c r="AM461" i="16" s="1"/>
  <c r="Z461" i="16"/>
  <c r="BL424" i="16"/>
  <c r="BM424" i="16" s="1"/>
  <c r="BI424" i="16"/>
  <c r="BG424" i="16"/>
  <c r="N546" i="16"/>
  <c r="M547" i="16" s="1"/>
  <c r="AX460" i="16" l="1"/>
  <c r="AZ460" i="16" s="1"/>
  <c r="AQ460" i="16"/>
  <c r="AY461" i="16"/>
  <c r="U462" i="16"/>
  <c r="W462" i="16" s="1"/>
  <c r="AA462" i="16" s="1"/>
  <c r="AK462" i="16" s="1"/>
  <c r="AN461" i="16"/>
  <c r="AO461" i="16" s="1"/>
  <c r="AP461" i="16" s="1"/>
  <c r="AQ461" i="16" s="1"/>
  <c r="BN424" i="16"/>
  <c r="BO424" i="16"/>
  <c r="BP424" i="16" s="1"/>
  <c r="BC425" i="16"/>
  <c r="BH425" i="16" s="1"/>
  <c r="O546" i="16"/>
  <c r="AW461" i="16" l="1"/>
  <c r="AX461" i="16" s="1"/>
  <c r="AZ461" i="16" s="1"/>
  <c r="Y462" i="16"/>
  <c r="AB462" i="16" s="1"/>
  <c r="AC462" i="16"/>
  <c r="AR461" i="16"/>
  <c r="AJ26" i="15"/>
  <c r="BQ424" i="16"/>
  <c r="BD425" i="16"/>
  <c r="E423" i="14"/>
  <c r="F423" i="14" s="1"/>
  <c r="H423" i="14" s="1"/>
  <c r="AD49" i="15"/>
  <c r="P547" i="16"/>
  <c r="Q547" i="16" s="1"/>
  <c r="S547" i="16" s="1"/>
  <c r="E547" i="16"/>
  <c r="L547" i="16" s="1"/>
  <c r="Z462" i="16" l="1"/>
  <c r="U463" i="16" s="1"/>
  <c r="AC463" i="16" s="1"/>
  <c r="AD462" i="16"/>
  <c r="BJ425" i="16"/>
  <c r="BK425" i="16"/>
  <c r="BE425" i="16"/>
  <c r="BF425" i="16" s="1"/>
  <c r="N547" i="16"/>
  <c r="M548" i="16" s="1"/>
  <c r="AE462" i="16" l="1"/>
  <c r="AF462" i="16" s="1"/>
  <c r="AG462" i="16" s="1"/>
  <c r="W463" i="16"/>
  <c r="BI425" i="16"/>
  <c r="BG425" i="16"/>
  <c r="BL425" i="16"/>
  <c r="BM425" i="16" s="1"/>
  <c r="O547" i="16"/>
  <c r="AH462" i="16" l="1"/>
  <c r="AS462" i="16" s="1"/>
  <c r="AL462" i="16"/>
  <c r="AY462" i="16" s="1"/>
  <c r="AD463" i="16"/>
  <c r="AE463" i="16" s="1"/>
  <c r="AA463" i="16"/>
  <c r="AK463" i="16" s="1"/>
  <c r="Y463" i="16"/>
  <c r="AB463" i="16" s="1"/>
  <c r="BC426" i="16"/>
  <c r="BH426" i="16" s="1"/>
  <c r="BO425" i="16"/>
  <c r="BP425" i="16" s="1"/>
  <c r="BN425" i="16"/>
  <c r="E548" i="16"/>
  <c r="L548" i="16" s="1"/>
  <c r="P548" i="16"/>
  <c r="Q548" i="16" s="1"/>
  <c r="S548" i="16" s="1"/>
  <c r="AM462" i="16" l="1"/>
  <c r="AU462" i="16"/>
  <c r="AV462" i="16" s="1"/>
  <c r="AT462" i="16"/>
  <c r="AW462" i="16" s="1"/>
  <c r="AX462" i="16" s="1"/>
  <c r="AZ462" i="16" s="1"/>
  <c r="Z463" i="16"/>
  <c r="AF463" i="16"/>
  <c r="AG463" i="16" s="1"/>
  <c r="AH463" i="16" s="1"/>
  <c r="AS463" i="16" s="1"/>
  <c r="AT463" i="16" s="1"/>
  <c r="BD426" i="16"/>
  <c r="BE426" i="16" s="1"/>
  <c r="BF426" i="16" s="1"/>
  <c r="AD31" i="15"/>
  <c r="E424" i="14"/>
  <c r="F424" i="14" s="1"/>
  <c r="H424" i="14" s="1"/>
  <c r="AJ7" i="15"/>
  <c r="BQ425" i="16"/>
  <c r="N548" i="16"/>
  <c r="M549" i="16" s="1"/>
  <c r="BK426" i="16" l="1"/>
  <c r="BL426" i="16" s="1"/>
  <c r="BM426" i="16" s="1"/>
  <c r="AW463" i="16"/>
  <c r="AX463" i="16" s="1"/>
  <c r="AZ463" i="16" s="1"/>
  <c r="AU463" i="16"/>
  <c r="AV463" i="16" s="1"/>
  <c r="AN462" i="16"/>
  <c r="AO462" i="16" s="1"/>
  <c r="AL463" i="16"/>
  <c r="BJ426" i="16"/>
  <c r="U464" i="16"/>
  <c r="AC464" i="16" s="1"/>
  <c r="BI426" i="16"/>
  <c r="BG426" i="16"/>
  <c r="E549" i="16"/>
  <c r="O548" i="16"/>
  <c r="AP462" i="16" l="1"/>
  <c r="AR462" i="16" s="1"/>
  <c r="AY463" i="16"/>
  <c r="AM463" i="16"/>
  <c r="AN463" i="16" s="1"/>
  <c r="AO463" i="16" s="1"/>
  <c r="AP463" i="16" s="1"/>
  <c r="AR463" i="16" s="1"/>
  <c r="W464" i="16"/>
  <c r="AA464" i="16" s="1"/>
  <c r="AK464" i="16" s="1"/>
  <c r="AD464" i="16"/>
  <c r="BO426" i="16"/>
  <c r="BP426" i="16" s="1"/>
  <c r="BN426" i="16"/>
  <c r="BC427" i="16"/>
  <c r="L549" i="16"/>
  <c r="P549" i="16"/>
  <c r="Q549" i="16" s="1"/>
  <c r="S549" i="16" s="1"/>
  <c r="AQ462" i="16" l="1"/>
  <c r="Y464" i="16"/>
  <c r="AB464" i="16" s="1"/>
  <c r="AE464" i="16"/>
  <c r="AQ463" i="16"/>
  <c r="BH427" i="16"/>
  <c r="BD427" i="16"/>
  <c r="BE427" i="16" s="1"/>
  <c r="E425" i="14"/>
  <c r="F425" i="14" s="1"/>
  <c r="H425" i="14" s="1"/>
  <c r="AD27" i="15"/>
  <c r="AJ23" i="15"/>
  <c r="BQ426" i="16"/>
  <c r="N549" i="16"/>
  <c r="M550" i="16" s="1"/>
  <c r="Z464" i="16" l="1"/>
  <c r="U465" i="16" s="1"/>
  <c r="AC465" i="16" s="1"/>
  <c r="AF464" i="16"/>
  <c r="BJ427" i="16"/>
  <c r="BK427" i="16"/>
  <c r="BF427" i="16"/>
  <c r="O549" i="16"/>
  <c r="E550" i="16"/>
  <c r="L550" i="16" s="1"/>
  <c r="P550" i="16"/>
  <c r="Q550" i="16" s="1"/>
  <c r="S550" i="16" s="1"/>
  <c r="AG464" i="16" l="1"/>
  <c r="AD465" i="16"/>
  <c r="W465" i="16"/>
  <c r="AA465" i="16" s="1"/>
  <c r="AK465" i="16" s="1"/>
  <c r="BI427" i="16"/>
  <c r="BG427" i="16"/>
  <c r="BL427" i="16"/>
  <c r="BM427" i="16" s="1"/>
  <c r="N550" i="16"/>
  <c r="M551" i="16" s="1"/>
  <c r="AL464" i="16" l="1"/>
  <c r="AY464" i="16" s="1"/>
  <c r="AH464" i="16"/>
  <c r="AS464" i="16" s="1"/>
  <c r="Y465" i="16"/>
  <c r="AB465" i="16" s="1"/>
  <c r="AE465" i="16"/>
  <c r="BC428" i="16"/>
  <c r="BH428" i="16" s="1"/>
  <c r="BO427" i="16"/>
  <c r="BP427" i="16" s="1"/>
  <c r="BN427" i="16"/>
  <c r="O550" i="16"/>
  <c r="AU464" i="16" l="1"/>
  <c r="AV464" i="16" s="1"/>
  <c r="AT464" i="16"/>
  <c r="AW464" i="16" s="1"/>
  <c r="AM464" i="16"/>
  <c r="AN464" i="16" s="1"/>
  <c r="AO464" i="16" s="1"/>
  <c r="Z465" i="16"/>
  <c r="U466" i="16" s="1"/>
  <c r="AC466" i="16" s="1"/>
  <c r="AF465" i="16"/>
  <c r="AG465" i="16" s="1"/>
  <c r="AH465" i="16" s="1"/>
  <c r="AS465" i="16" s="1"/>
  <c r="AT465" i="16" s="1"/>
  <c r="BD428" i="16"/>
  <c r="BJ428" i="16" s="1"/>
  <c r="E426" i="14"/>
  <c r="F426" i="14" s="1"/>
  <c r="H426" i="14" s="1"/>
  <c r="AD36" i="15"/>
  <c r="AJ469" i="15"/>
  <c r="BQ427" i="16"/>
  <c r="E551" i="16"/>
  <c r="L551" i="16" s="1"/>
  <c r="P551" i="16"/>
  <c r="AL465" i="16" l="1"/>
  <c r="AY465" i="16" s="1"/>
  <c r="AP464" i="16"/>
  <c r="AR464" i="16" s="1"/>
  <c r="AX464" i="16"/>
  <c r="AZ464" i="16" s="1"/>
  <c r="AU465" i="16"/>
  <c r="AV465" i="16" s="1"/>
  <c r="W466" i="16"/>
  <c r="AA466" i="16" s="1"/>
  <c r="AK466" i="16" s="1"/>
  <c r="BE428" i="16"/>
  <c r="BF428" i="16" s="1"/>
  <c r="BG428" i="16" s="1"/>
  <c r="BK428" i="16"/>
  <c r="BL428" i="16" s="1"/>
  <c r="BM428" i="16" s="1"/>
  <c r="AD466" i="16"/>
  <c r="Q551" i="16"/>
  <c r="S551" i="16" s="1"/>
  <c r="N551" i="16"/>
  <c r="M552" i="16" s="1"/>
  <c r="AM465" i="16" l="1"/>
  <c r="AN465" i="16" s="1"/>
  <c r="AO465" i="16" s="1"/>
  <c r="AP465" i="16" s="1"/>
  <c r="AR465" i="16" s="1"/>
  <c r="AQ464" i="16"/>
  <c r="Y466" i="16"/>
  <c r="AB466" i="16" s="1"/>
  <c r="AW465" i="16"/>
  <c r="AX465" i="16" s="1"/>
  <c r="AZ465" i="16" s="1"/>
  <c r="BI428" i="16"/>
  <c r="BO428" i="16" s="1"/>
  <c r="BP428" i="16" s="1"/>
  <c r="AE466" i="16"/>
  <c r="BC429" i="16"/>
  <c r="BD429" i="16" s="1"/>
  <c r="O551" i="16"/>
  <c r="E552" i="16"/>
  <c r="L552" i="16" s="1"/>
  <c r="AQ465" i="16" l="1"/>
  <c r="BN428" i="16"/>
  <c r="BQ428" i="16" s="1"/>
  <c r="AF466" i="16"/>
  <c r="AG466" i="16" s="1"/>
  <c r="Z466" i="16"/>
  <c r="U467" i="16" s="1"/>
  <c r="AC467" i="16" s="1"/>
  <c r="AD467" i="16" s="1"/>
  <c r="AE467" i="16" s="1"/>
  <c r="BJ429" i="16"/>
  <c r="BK429" i="16"/>
  <c r="BE429" i="16"/>
  <c r="BF429" i="16" s="1"/>
  <c r="BH429" i="16"/>
  <c r="AJ470" i="15"/>
  <c r="N552" i="16"/>
  <c r="M553" i="16" s="1"/>
  <c r="P552" i="16"/>
  <c r="E427" i="14" l="1"/>
  <c r="F427" i="14" s="1"/>
  <c r="H427" i="14" s="1"/>
  <c r="AD46" i="15"/>
  <c r="W467" i="16"/>
  <c r="AA467" i="16" s="1"/>
  <c r="AK467" i="16" s="1"/>
  <c r="AH466" i="16"/>
  <c r="AS466" i="16" s="1"/>
  <c r="AL466" i="16"/>
  <c r="BL429" i="16"/>
  <c r="BM429" i="16" s="1"/>
  <c r="BI429" i="16"/>
  <c r="BG429" i="16"/>
  <c r="Q552" i="16"/>
  <c r="S552" i="16" s="1"/>
  <c r="O552" i="16"/>
  <c r="Y467" i="16" l="1"/>
  <c r="AB467" i="16" s="1"/>
  <c r="AF467" i="16" s="1"/>
  <c r="AM466" i="16"/>
  <c r="AN466" i="16" s="1"/>
  <c r="AO466" i="16" s="1"/>
  <c r="AY466" i="16"/>
  <c r="AT466" i="16"/>
  <c r="AW466" i="16" s="1"/>
  <c r="AX466" i="16" s="1"/>
  <c r="AZ466" i="16" s="1"/>
  <c r="AU466" i="16"/>
  <c r="AV466" i="16" s="1"/>
  <c r="BC430" i="16"/>
  <c r="BO429" i="16"/>
  <c r="BP429" i="16" s="1"/>
  <c r="BN429" i="16"/>
  <c r="P553" i="16"/>
  <c r="Q553" i="16" s="1"/>
  <c r="S553" i="16" s="1"/>
  <c r="E553" i="16"/>
  <c r="L553" i="16" s="1"/>
  <c r="Z467" i="16" l="1"/>
  <c r="U468" i="16" s="1"/>
  <c r="W468" i="16" s="1"/>
  <c r="AA468" i="16" s="1"/>
  <c r="AK468" i="16" s="1"/>
  <c r="AG467" i="16"/>
  <c r="AL467" i="16" s="1"/>
  <c r="AY467" i="16" s="1"/>
  <c r="AP466" i="16"/>
  <c r="AR466" i="16" s="1"/>
  <c r="BH430" i="16"/>
  <c r="BD430" i="16"/>
  <c r="BE430" i="16" s="1"/>
  <c r="AJ471" i="15"/>
  <c r="BQ429" i="16"/>
  <c r="AD54" i="15"/>
  <c r="E428" i="14"/>
  <c r="F428" i="14" s="1"/>
  <c r="H428" i="14" s="1"/>
  <c r="N553" i="16"/>
  <c r="M554" i="16" s="1"/>
  <c r="AM467" i="16" l="1"/>
  <c r="AN467" i="16" s="1"/>
  <c r="AO467" i="16" s="1"/>
  <c r="AP467" i="16" s="1"/>
  <c r="AQ466" i="16"/>
  <c r="AH467" i="16"/>
  <c r="AS467" i="16" s="1"/>
  <c r="AC468" i="16"/>
  <c r="Y468" i="16"/>
  <c r="AB468" i="16" s="1"/>
  <c r="BJ430" i="16"/>
  <c r="BK430" i="16"/>
  <c r="BF430" i="16"/>
  <c r="E554" i="16"/>
  <c r="O553" i="16"/>
  <c r="AQ467" i="16" l="1"/>
  <c r="AR467" i="16"/>
  <c r="AU467" i="16"/>
  <c r="AV467" i="16" s="1"/>
  <c r="AT467" i="16"/>
  <c r="AW467" i="16" s="1"/>
  <c r="AX467" i="16" s="1"/>
  <c r="AZ467" i="16" s="1"/>
  <c r="AD468" i="16"/>
  <c r="AE468" i="16" s="1"/>
  <c r="AF468" i="16" s="1"/>
  <c r="AG468" i="16" s="1"/>
  <c r="AH468" i="16" s="1"/>
  <c r="AS468" i="16" s="1"/>
  <c r="AT468" i="16" s="1"/>
  <c r="Z468" i="16"/>
  <c r="U469" i="16" s="1"/>
  <c r="AC469" i="16" s="1"/>
  <c r="BI430" i="16"/>
  <c r="BG430" i="16"/>
  <c r="BL430" i="16"/>
  <c r="BM430" i="16" s="1"/>
  <c r="L554" i="16"/>
  <c r="P554" i="16"/>
  <c r="AW468" i="16" l="1"/>
  <c r="AX468" i="16" s="1"/>
  <c r="AZ468" i="16" s="1"/>
  <c r="AL468" i="16"/>
  <c r="AY468" i="16" s="1"/>
  <c r="AD469" i="16"/>
  <c r="AE469" i="16" s="1"/>
  <c r="AU468" i="16"/>
  <c r="AV468" i="16" s="1"/>
  <c r="W469" i="16"/>
  <c r="AA469" i="16" s="1"/>
  <c r="AK469" i="16" s="1"/>
  <c r="BC431" i="16"/>
  <c r="BH431" i="16" s="1"/>
  <c r="BO430" i="16"/>
  <c r="BP430" i="16" s="1"/>
  <c r="BN430" i="16"/>
  <c r="N554" i="16"/>
  <c r="M555" i="16" s="1"/>
  <c r="Q554" i="16"/>
  <c r="S554" i="16" s="1"/>
  <c r="AM468" i="16" l="1"/>
  <c r="AN468" i="16" s="1"/>
  <c r="AO468" i="16" s="1"/>
  <c r="AP468" i="16" s="1"/>
  <c r="AR468" i="16" s="1"/>
  <c r="Y469" i="16"/>
  <c r="O554" i="16"/>
  <c r="BD431" i="16"/>
  <c r="BK431" i="16" s="1"/>
  <c r="E429" i="14"/>
  <c r="F429" i="14" s="1"/>
  <c r="H429" i="14" s="1"/>
  <c r="AD63" i="15"/>
  <c r="AJ472" i="15"/>
  <c r="BQ430" i="16"/>
  <c r="E555" i="16"/>
  <c r="P555" i="16"/>
  <c r="Q555" i="16" s="1"/>
  <c r="S555" i="16" s="1"/>
  <c r="AB469" i="16" l="1"/>
  <c r="Z469" i="16"/>
  <c r="BJ431" i="16"/>
  <c r="BE431" i="16"/>
  <c r="BF431" i="16" s="1"/>
  <c r="BG431" i="16" s="1"/>
  <c r="AQ468" i="16"/>
  <c r="BL431" i="16"/>
  <c r="BM431" i="16" s="1"/>
  <c r="L555" i="16"/>
  <c r="N555" i="16" s="1"/>
  <c r="M556" i="16" s="1"/>
  <c r="U470" i="16" l="1"/>
  <c r="AF469" i="16"/>
  <c r="AG469" i="16" s="1"/>
  <c r="AH469" i="16" s="1"/>
  <c r="AS469" i="16" s="1"/>
  <c r="O555" i="16"/>
  <c r="BI431" i="16"/>
  <c r="BN431" i="16" s="1"/>
  <c r="BC432" i="16"/>
  <c r="BH432" i="16" s="1"/>
  <c r="E556" i="16"/>
  <c r="L556" i="16" s="1"/>
  <c r="P556" i="16"/>
  <c r="Q556" i="16" s="1"/>
  <c r="S556" i="16" s="1"/>
  <c r="AT469" i="16" l="1"/>
  <c r="AW469" i="16" s="1"/>
  <c r="AX469" i="16" s="1"/>
  <c r="AZ469" i="16" s="1"/>
  <c r="AU469" i="16"/>
  <c r="AV469" i="16" s="1"/>
  <c r="AL469" i="16"/>
  <c r="AY469" i="16" s="1"/>
  <c r="BO431" i="16"/>
  <c r="BP431" i="16" s="1"/>
  <c r="BQ431" i="16" s="1"/>
  <c r="AC470" i="16"/>
  <c r="W470" i="16"/>
  <c r="AA470" i="16" s="1"/>
  <c r="AK470" i="16" s="1"/>
  <c r="BD432" i="16"/>
  <c r="BK432" i="16" s="1"/>
  <c r="AD72" i="15"/>
  <c r="E430" i="14"/>
  <c r="F430" i="14" s="1"/>
  <c r="H430" i="14" s="1"/>
  <c r="N556" i="16"/>
  <c r="M557" i="16" s="1"/>
  <c r="AJ473" i="15" l="1"/>
  <c r="AM469" i="16"/>
  <c r="AN469" i="16" s="1"/>
  <c r="AO469" i="16" s="1"/>
  <c r="AP469" i="16" s="1"/>
  <c r="AR469" i="16" s="1"/>
  <c r="Y470" i="16"/>
  <c r="AB470" i="16" s="1"/>
  <c r="AD470" i="16"/>
  <c r="AE470" i="16" s="1"/>
  <c r="BE432" i="16"/>
  <c r="BF432" i="16" s="1"/>
  <c r="BI432" i="16" s="1"/>
  <c r="BJ432" i="16"/>
  <c r="BL432" i="16"/>
  <c r="BM432" i="16" s="1"/>
  <c r="O556" i="16"/>
  <c r="E557" i="16"/>
  <c r="AQ469" i="16" l="1"/>
  <c r="Z470" i="16"/>
  <c r="U471" i="16" s="1"/>
  <c r="AC471" i="16" s="1"/>
  <c r="AF470" i="16"/>
  <c r="AG470" i="16" s="1"/>
  <c r="AH470" i="16" s="1"/>
  <c r="AS470" i="16" s="1"/>
  <c r="BG432" i="16"/>
  <c r="BC433" i="16" s="1"/>
  <c r="BH433" i="16" s="1"/>
  <c r="BO432" i="16"/>
  <c r="BP432" i="16" s="1"/>
  <c r="BN432" i="16"/>
  <c r="L557" i="16"/>
  <c r="P557" i="16"/>
  <c r="AL470" i="16" l="1"/>
  <c r="AM470" i="16" s="1"/>
  <c r="AU470" i="16"/>
  <c r="AV470" i="16" s="1"/>
  <c r="AT470" i="16"/>
  <c r="AW470" i="16" s="1"/>
  <c r="AX470" i="16" s="1"/>
  <c r="AZ470" i="16" s="1"/>
  <c r="W471" i="16"/>
  <c r="AA471" i="16" s="1"/>
  <c r="AK471" i="16" s="1"/>
  <c r="AD471" i="16"/>
  <c r="AE471" i="16" s="1"/>
  <c r="E431" i="14"/>
  <c r="F431" i="14" s="1"/>
  <c r="H431" i="14" s="1"/>
  <c r="AD71" i="15"/>
  <c r="BD433" i="16"/>
  <c r="AJ130" i="15"/>
  <c r="BQ432" i="16"/>
  <c r="N557" i="16"/>
  <c r="Q557" i="16"/>
  <c r="S557" i="16" s="1"/>
  <c r="AY470" i="16" l="1"/>
  <c r="Y471" i="16"/>
  <c r="AN470" i="16"/>
  <c r="AO470" i="16" s="1"/>
  <c r="BJ433" i="16"/>
  <c r="BK433" i="16"/>
  <c r="BE433" i="16"/>
  <c r="BF433" i="16" s="1"/>
  <c r="O557" i="16"/>
  <c r="M558" i="16"/>
  <c r="P558" i="16" s="1"/>
  <c r="Q558" i="16" s="1"/>
  <c r="S558" i="16" s="1"/>
  <c r="AB471" i="16" l="1"/>
  <c r="Z471" i="16"/>
  <c r="AP470" i="16"/>
  <c r="AR470" i="16" s="1"/>
  <c r="BI433" i="16"/>
  <c r="BG433" i="16"/>
  <c r="BL433" i="16"/>
  <c r="BM433" i="16" s="1"/>
  <c r="E558" i="16"/>
  <c r="L558" i="16" s="1"/>
  <c r="N558" i="16" s="1"/>
  <c r="U472" i="16" l="1"/>
  <c r="W472" i="16" s="1"/>
  <c r="AA472" i="16" s="1"/>
  <c r="AK472" i="16" s="1"/>
  <c r="AF471" i="16"/>
  <c r="AG471" i="16" s="1"/>
  <c r="AL471" i="16" s="1"/>
  <c r="AY471" i="16" s="1"/>
  <c r="AQ470" i="16"/>
  <c r="BC434" i="16"/>
  <c r="BN433" i="16"/>
  <c r="BO433" i="16"/>
  <c r="BP433" i="16" s="1"/>
  <c r="O558" i="16"/>
  <c r="M559" i="16"/>
  <c r="P559" i="16" s="1"/>
  <c r="Q559" i="16" s="1"/>
  <c r="S559" i="16" s="1"/>
  <c r="AH471" i="16" l="1"/>
  <c r="AS471" i="16" s="1"/>
  <c r="AM471" i="16"/>
  <c r="AN471" i="16" s="1"/>
  <c r="AO471" i="16" s="1"/>
  <c r="AP471" i="16" s="1"/>
  <c r="AQ471" i="16" s="1"/>
  <c r="AC472" i="16"/>
  <c r="AD472" i="16" s="1"/>
  <c r="AE472" i="16" s="1"/>
  <c r="Y472" i="16"/>
  <c r="AB472" i="16" s="1"/>
  <c r="BH434" i="16"/>
  <c r="BD434" i="16"/>
  <c r="AJ474" i="15"/>
  <c r="BQ433" i="16"/>
  <c r="AD82" i="15"/>
  <c r="E432" i="14"/>
  <c r="F432" i="14" s="1"/>
  <c r="H432" i="14" s="1"/>
  <c r="E559" i="16"/>
  <c r="L559" i="16" s="1"/>
  <c r="N559" i="16" s="1"/>
  <c r="M560" i="16" s="1"/>
  <c r="AF472" i="16" l="1"/>
  <c r="AG472" i="16" s="1"/>
  <c r="AL472" i="16" s="1"/>
  <c r="AY472" i="16" s="1"/>
  <c r="AR471" i="16"/>
  <c r="AT471" i="16"/>
  <c r="AW471" i="16" s="1"/>
  <c r="AX471" i="16" s="1"/>
  <c r="AZ471" i="16" s="1"/>
  <c r="AU471" i="16"/>
  <c r="AV471" i="16" s="1"/>
  <c r="Z472" i="16"/>
  <c r="U473" i="16" s="1"/>
  <c r="AC473" i="16" s="1"/>
  <c r="AD473" i="16" s="1"/>
  <c r="BJ434" i="16"/>
  <c r="BK434" i="16"/>
  <c r="BE434" i="16"/>
  <c r="BF434" i="16" s="1"/>
  <c r="E560" i="16"/>
  <c r="L560" i="16" s="1"/>
  <c r="O559" i="16"/>
  <c r="AM472" i="16" l="1"/>
  <c r="AN472" i="16" s="1"/>
  <c r="AO472" i="16" s="1"/>
  <c r="W473" i="16"/>
  <c r="AA473" i="16" s="1"/>
  <c r="AK473" i="16" s="1"/>
  <c r="AH472" i="16"/>
  <c r="AS472" i="16" s="1"/>
  <c r="AT472" i="16" s="1"/>
  <c r="AW472" i="16" s="1"/>
  <c r="AX472" i="16" s="1"/>
  <c r="AZ472" i="16" s="1"/>
  <c r="AE473" i="16"/>
  <c r="BI434" i="16"/>
  <c r="BG434" i="16"/>
  <c r="BL434" i="16"/>
  <c r="BM434" i="16" s="1"/>
  <c r="N560" i="16"/>
  <c r="M561" i="16" s="1"/>
  <c r="P560" i="16"/>
  <c r="Q560" i="16" s="1"/>
  <c r="S560" i="16" s="1"/>
  <c r="Y473" i="16" l="1"/>
  <c r="AB473" i="16" s="1"/>
  <c r="AF473" i="16" s="1"/>
  <c r="AG473" i="16" s="1"/>
  <c r="AH473" i="16" s="1"/>
  <c r="AS473" i="16" s="1"/>
  <c r="AT473" i="16" s="1"/>
  <c r="AW473" i="16" s="1"/>
  <c r="AX473" i="16" s="1"/>
  <c r="AZ473" i="16" s="1"/>
  <c r="AU472" i="16"/>
  <c r="AV472" i="16" s="1"/>
  <c r="AP472" i="16"/>
  <c r="AR472" i="16" s="1"/>
  <c r="BC435" i="16"/>
  <c r="BH435" i="16" s="1"/>
  <c r="BN434" i="16"/>
  <c r="BO434" i="16"/>
  <c r="BP434" i="16" s="1"/>
  <c r="O560" i="16"/>
  <c r="Z473" i="16" l="1"/>
  <c r="U474" i="16" s="1"/>
  <c r="AC474" i="16" s="1"/>
  <c r="AL473" i="16"/>
  <c r="AY473" i="16" s="1"/>
  <c r="AU473" i="16"/>
  <c r="AV473" i="16" s="1"/>
  <c r="BD435" i="16"/>
  <c r="BK435" i="16" s="1"/>
  <c r="AQ472" i="16"/>
  <c r="AJ133" i="15"/>
  <c r="BQ434" i="16"/>
  <c r="AD85" i="15"/>
  <c r="E433" i="14"/>
  <c r="F433" i="14" s="1"/>
  <c r="H433" i="14" s="1"/>
  <c r="E561" i="16"/>
  <c r="L561" i="16" s="1"/>
  <c r="P561" i="16"/>
  <c r="Q561" i="16" s="1"/>
  <c r="S561" i="16" s="1"/>
  <c r="AM473" i="16" l="1"/>
  <c r="BJ435" i="16"/>
  <c r="BE435" i="16"/>
  <c r="BF435" i="16" s="1"/>
  <c r="BI435" i="16" s="1"/>
  <c r="W474" i="16"/>
  <c r="AA474" i="16" s="1"/>
  <c r="AK474" i="16" s="1"/>
  <c r="AN473" i="16"/>
  <c r="AO473" i="16" s="1"/>
  <c r="AD474" i="16"/>
  <c r="BL435" i="16"/>
  <c r="BM435" i="16" s="1"/>
  <c r="N561" i="16"/>
  <c r="M562" i="16" s="1"/>
  <c r="Y474" i="16" l="1"/>
  <c r="AB474" i="16" s="1"/>
  <c r="BG435" i="16"/>
  <c r="BC436" i="16" s="1"/>
  <c r="BD436" i="16" s="1"/>
  <c r="AP473" i="16"/>
  <c r="AR473" i="16" s="1"/>
  <c r="AE474" i="16"/>
  <c r="BN435" i="16"/>
  <c r="BO435" i="16"/>
  <c r="BP435" i="16" s="1"/>
  <c r="O561" i="16"/>
  <c r="E562" i="16"/>
  <c r="AF474" i="16" l="1"/>
  <c r="AG474" i="16" s="1"/>
  <c r="AH474" i="16" s="1"/>
  <c r="AS474" i="16" s="1"/>
  <c r="AU474" i="16" s="1"/>
  <c r="AV474" i="16" s="1"/>
  <c r="Z474" i="16"/>
  <c r="U475" i="16" s="1"/>
  <c r="AC475" i="16" s="1"/>
  <c r="AD475" i="16" s="1"/>
  <c r="AQ473" i="16"/>
  <c r="BJ436" i="16"/>
  <c r="BK436" i="16"/>
  <c r="BE436" i="16"/>
  <c r="BF436" i="16" s="1"/>
  <c r="AD106" i="15"/>
  <c r="E434" i="14"/>
  <c r="F434" i="14" s="1"/>
  <c r="H434" i="14" s="1"/>
  <c r="BH436" i="16"/>
  <c r="AJ475" i="15"/>
  <c r="BQ435" i="16"/>
  <c r="L562" i="16"/>
  <c r="P562" i="16"/>
  <c r="AL474" i="16" l="1"/>
  <c r="AY474" i="16" s="1"/>
  <c r="AT474" i="16"/>
  <c r="AW474" i="16" s="1"/>
  <c r="AX474" i="16" s="1"/>
  <c r="AZ474" i="16" s="1"/>
  <c r="AM474" i="16"/>
  <c r="AN474" i="16" s="1"/>
  <c r="AO474" i="16" s="1"/>
  <c r="W475" i="16"/>
  <c r="AA475" i="16" s="1"/>
  <c r="AK475" i="16" s="1"/>
  <c r="AE475" i="16"/>
  <c r="BI436" i="16"/>
  <c r="BG436" i="16"/>
  <c r="BL436" i="16"/>
  <c r="BM436" i="16" s="1"/>
  <c r="N562" i="16"/>
  <c r="M563" i="16" s="1"/>
  <c r="Q562" i="16"/>
  <c r="S562" i="16" s="1"/>
  <c r="Y475" i="16" l="1"/>
  <c r="AB475" i="16" s="1"/>
  <c r="AP474" i="16"/>
  <c r="AR474" i="16" s="1"/>
  <c r="BC437" i="16"/>
  <c r="BH437" i="16" s="1"/>
  <c r="BO436" i="16"/>
  <c r="BP436" i="16" s="1"/>
  <c r="BN436" i="16"/>
  <c r="O562" i="16"/>
  <c r="AF475" i="16" l="1"/>
  <c r="Z475" i="16"/>
  <c r="U476" i="16" s="1"/>
  <c r="AC476" i="16" s="1"/>
  <c r="AD476" i="16" s="1"/>
  <c r="AQ474" i="16"/>
  <c r="AD84" i="15"/>
  <c r="E435" i="14"/>
  <c r="F435" i="14" s="1"/>
  <c r="H435" i="14" s="1"/>
  <c r="AJ102" i="15"/>
  <c r="BQ436" i="16"/>
  <c r="BD437" i="16"/>
  <c r="E563" i="16"/>
  <c r="L563" i="16" s="1"/>
  <c r="P563" i="16"/>
  <c r="Q563" i="16" s="1"/>
  <c r="S563" i="16" s="1"/>
  <c r="AG475" i="16" l="1"/>
  <c r="W476" i="16"/>
  <c r="AA476" i="16" s="1"/>
  <c r="AK476" i="16" s="1"/>
  <c r="AE476" i="16"/>
  <c r="BE437" i="16"/>
  <c r="BF437" i="16" s="1"/>
  <c r="BJ437" i="16"/>
  <c r="BK437" i="16"/>
  <c r="N563" i="16"/>
  <c r="M564" i="16" s="1"/>
  <c r="AL475" i="16" l="1"/>
  <c r="AY475" i="16" s="1"/>
  <c r="AH475" i="16"/>
  <c r="AS475" i="16" s="1"/>
  <c r="Y476" i="16"/>
  <c r="AB476" i="16" s="1"/>
  <c r="BI437" i="16"/>
  <c r="BG437" i="16"/>
  <c r="BL437" i="16"/>
  <c r="BM437" i="16" s="1"/>
  <c r="O563" i="16"/>
  <c r="AM475" i="16" l="1"/>
  <c r="AN475" i="16" s="1"/>
  <c r="AO475" i="16" s="1"/>
  <c r="AP475" i="16" s="1"/>
  <c r="Z476" i="16"/>
  <c r="U477" i="16" s="1"/>
  <c r="AC477" i="16" s="1"/>
  <c r="AT475" i="16"/>
  <c r="AW475" i="16" s="1"/>
  <c r="AX475" i="16" s="1"/>
  <c r="AZ475" i="16" s="1"/>
  <c r="AU475" i="16"/>
  <c r="AV475" i="16" s="1"/>
  <c r="AF476" i="16"/>
  <c r="BC438" i="16"/>
  <c r="BH438" i="16" s="1"/>
  <c r="BO437" i="16"/>
  <c r="BP437" i="16" s="1"/>
  <c r="BN437" i="16"/>
  <c r="E564" i="16"/>
  <c r="L564" i="16" s="1"/>
  <c r="P564" i="16"/>
  <c r="Q564" i="16" s="1"/>
  <c r="S564" i="16" s="1"/>
  <c r="AQ475" i="16" l="1"/>
  <c r="AR475" i="16"/>
  <c r="AG476" i="16"/>
  <c r="AD477" i="16"/>
  <c r="W477" i="16"/>
  <c r="AD105" i="15"/>
  <c r="E436" i="14"/>
  <c r="F436" i="14" s="1"/>
  <c r="H436" i="14" s="1"/>
  <c r="AJ476" i="15"/>
  <c r="BQ437" i="16"/>
  <c r="BD438" i="16"/>
  <c r="N564" i="16"/>
  <c r="M565" i="16" s="1"/>
  <c r="AL476" i="16" l="1"/>
  <c r="AY476" i="16" s="1"/>
  <c r="AH476" i="16"/>
  <c r="AS476" i="16" s="1"/>
  <c r="AA477" i="16"/>
  <c r="AK477" i="16" s="1"/>
  <c r="Y477" i="16"/>
  <c r="AB477" i="16" s="1"/>
  <c r="AE477" i="16"/>
  <c r="BJ438" i="16"/>
  <c r="BK438" i="16"/>
  <c r="BE438" i="16"/>
  <c r="BF438" i="16" s="1"/>
  <c r="O564" i="16"/>
  <c r="AM476" i="16" l="1"/>
  <c r="AN476" i="16" s="1"/>
  <c r="AO476" i="16" s="1"/>
  <c r="AP476" i="16" s="1"/>
  <c r="AQ476" i="16" s="1"/>
  <c r="AU476" i="16"/>
  <c r="AV476" i="16" s="1"/>
  <c r="AT476" i="16"/>
  <c r="AW476" i="16" s="1"/>
  <c r="Z477" i="16"/>
  <c r="U478" i="16" s="1"/>
  <c r="AC478" i="16" s="1"/>
  <c r="AF477" i="16"/>
  <c r="AG477" i="16" s="1"/>
  <c r="AH477" i="16" s="1"/>
  <c r="AS477" i="16" s="1"/>
  <c r="AT477" i="16" s="1"/>
  <c r="BI438" i="16"/>
  <c r="BG438" i="16"/>
  <c r="BL438" i="16"/>
  <c r="BM438" i="16" s="1"/>
  <c r="E565" i="16"/>
  <c r="L565" i="16" s="1"/>
  <c r="P565" i="16"/>
  <c r="Q565" i="16" s="1"/>
  <c r="S565" i="16" s="1"/>
  <c r="AR476" i="16" l="1"/>
  <c r="AL477" i="16"/>
  <c r="AY477" i="16" s="1"/>
  <c r="AX476" i="16"/>
  <c r="AZ476" i="16" s="1"/>
  <c r="AU477" i="16"/>
  <c r="AV477" i="16" s="1"/>
  <c r="W478" i="16"/>
  <c r="AA478" i="16" s="1"/>
  <c r="AK478" i="16" s="1"/>
  <c r="AD478" i="16"/>
  <c r="BC439" i="16"/>
  <c r="BH439" i="16" s="1"/>
  <c r="BO438" i="16"/>
  <c r="BP438" i="16" s="1"/>
  <c r="BN438" i="16"/>
  <c r="N565" i="16"/>
  <c r="M566" i="16" s="1"/>
  <c r="AM477" i="16" l="1"/>
  <c r="Y478" i="16"/>
  <c r="AB478" i="16" s="1"/>
  <c r="AW477" i="16"/>
  <c r="AX477" i="16" s="1"/>
  <c r="AZ477" i="16" s="1"/>
  <c r="AE478" i="16"/>
  <c r="AN477" i="16"/>
  <c r="AO477" i="16" s="1"/>
  <c r="BD439" i="16"/>
  <c r="BE439" i="16" s="1"/>
  <c r="BF439" i="16" s="1"/>
  <c r="E437" i="14"/>
  <c r="F437" i="14" s="1"/>
  <c r="H437" i="14" s="1"/>
  <c r="AD28" i="15"/>
  <c r="AJ8" i="15"/>
  <c r="BQ438" i="16"/>
  <c r="O565" i="16"/>
  <c r="AF478" i="16" l="1"/>
  <c r="Z478" i="16"/>
  <c r="U479" i="16" s="1"/>
  <c r="AC479" i="16" s="1"/>
  <c r="AG478" i="16"/>
  <c r="AL478" i="16" s="1"/>
  <c r="AY478" i="16" s="1"/>
  <c r="AP477" i="16"/>
  <c r="AR477" i="16" s="1"/>
  <c r="BI439" i="16"/>
  <c r="BG439" i="16"/>
  <c r="BJ439" i="16"/>
  <c r="BK439" i="16"/>
  <c r="E566" i="16"/>
  <c r="L566" i="16" s="1"/>
  <c r="P566" i="16"/>
  <c r="Q566" i="16" s="1"/>
  <c r="S566" i="16" s="1"/>
  <c r="AM478" i="16" l="1"/>
  <c r="AN478" i="16" s="1"/>
  <c r="AO478" i="16" s="1"/>
  <c r="AH478" i="16"/>
  <c r="AS478" i="16" s="1"/>
  <c r="AQ477" i="16"/>
  <c r="AD479" i="16"/>
  <c r="W479" i="16"/>
  <c r="AA479" i="16" s="1"/>
  <c r="AK479" i="16" s="1"/>
  <c r="BC440" i="16"/>
  <c r="BH440" i="16" s="1"/>
  <c r="BL439" i="16"/>
  <c r="BM439" i="16" s="1"/>
  <c r="BO439" i="16"/>
  <c r="BP439" i="16" s="1"/>
  <c r="N566" i="16"/>
  <c r="M567" i="16" s="1"/>
  <c r="AU478" i="16" l="1"/>
  <c r="AV478" i="16" s="1"/>
  <c r="AT478" i="16"/>
  <c r="AW478" i="16" s="1"/>
  <c r="AX478" i="16" s="1"/>
  <c r="AZ478" i="16" s="1"/>
  <c r="Y479" i="16"/>
  <c r="AB479" i="16" s="1"/>
  <c r="BD440" i="16"/>
  <c r="AP478" i="16"/>
  <c r="AR478" i="16" s="1"/>
  <c r="AE479" i="16"/>
  <c r="AJ477" i="15"/>
  <c r="BN439" i="16"/>
  <c r="O566" i="16"/>
  <c r="E567" i="16"/>
  <c r="L567" i="16" s="1"/>
  <c r="Z479" i="16" l="1"/>
  <c r="U480" i="16" s="1"/>
  <c r="AC480" i="16" s="1"/>
  <c r="AD480" i="16" s="1"/>
  <c r="AF479" i="16"/>
  <c r="BJ440" i="16"/>
  <c r="BK440" i="16"/>
  <c r="BL440" i="16" s="1"/>
  <c r="BM440" i="16" s="1"/>
  <c r="BE440" i="16"/>
  <c r="BF440" i="16" s="1"/>
  <c r="BI440" i="16" s="1"/>
  <c r="AQ478" i="16"/>
  <c r="AD34" i="15"/>
  <c r="E438" i="14"/>
  <c r="F438" i="14" s="1"/>
  <c r="H438" i="14" s="1"/>
  <c r="BQ439" i="16"/>
  <c r="N567" i="16"/>
  <c r="M568" i="16" s="1"/>
  <c r="P567" i="16"/>
  <c r="AG479" i="16" l="1"/>
  <c r="BG440" i="16"/>
  <c r="BC441" i="16" s="1"/>
  <c r="BH441" i="16" s="1"/>
  <c r="AE480" i="16"/>
  <c r="O567" i="16"/>
  <c r="W480" i="16"/>
  <c r="AA480" i="16" s="1"/>
  <c r="AK480" i="16" s="1"/>
  <c r="BO440" i="16"/>
  <c r="BP440" i="16" s="1"/>
  <c r="BN440" i="16"/>
  <c r="E568" i="16"/>
  <c r="L568" i="16" s="1"/>
  <c r="Q567" i="16"/>
  <c r="AL479" i="16" l="1"/>
  <c r="AY479" i="16" s="1"/>
  <c r="AH479" i="16"/>
  <c r="AS479" i="16" s="1"/>
  <c r="Y480" i="16"/>
  <c r="AB480" i="16" s="1"/>
  <c r="P568" i="16"/>
  <c r="Q568" i="16" s="1"/>
  <c r="S568" i="16" s="1"/>
  <c r="S567" i="16"/>
  <c r="BD441" i="16"/>
  <c r="BE441" i="16" s="1"/>
  <c r="BF441" i="16" s="1"/>
  <c r="AD23" i="15"/>
  <c r="E439" i="14"/>
  <c r="F439" i="14" s="1"/>
  <c r="H439" i="14" s="1"/>
  <c r="AJ16" i="15"/>
  <c r="BQ440" i="16"/>
  <c r="N568" i="16"/>
  <c r="M569" i="16" s="1"/>
  <c r="AM479" i="16" l="1"/>
  <c r="AN479" i="16" s="1"/>
  <c r="AO479" i="16" s="1"/>
  <c r="AP479" i="16" s="1"/>
  <c r="AR479" i="16" s="1"/>
  <c r="Z480" i="16"/>
  <c r="U481" i="16" s="1"/>
  <c r="AC481" i="16" s="1"/>
  <c r="AD481" i="16" s="1"/>
  <c r="AU479" i="16"/>
  <c r="AV479" i="16" s="1"/>
  <c r="AT479" i="16"/>
  <c r="AW479" i="16" s="1"/>
  <c r="AX479" i="16" s="1"/>
  <c r="AZ479" i="16" s="1"/>
  <c r="AF480" i="16"/>
  <c r="BI441" i="16"/>
  <c r="BG441" i="16"/>
  <c r="BJ441" i="16"/>
  <c r="BK441" i="16"/>
  <c r="O568" i="16"/>
  <c r="E569" i="16"/>
  <c r="L569" i="16" s="1"/>
  <c r="AQ479" i="16" l="1"/>
  <c r="AG480" i="16"/>
  <c r="W481" i="16"/>
  <c r="AA481" i="16" s="1"/>
  <c r="AK481" i="16" s="1"/>
  <c r="AE481" i="16"/>
  <c r="BL441" i="16"/>
  <c r="BM441" i="16" s="1"/>
  <c r="BC442" i="16"/>
  <c r="BH442" i="16" s="1"/>
  <c r="BO441" i="16"/>
  <c r="BP441" i="16" s="1"/>
  <c r="N569" i="16"/>
  <c r="M570" i="16" s="1"/>
  <c r="P569" i="16"/>
  <c r="Q569" i="16" s="1"/>
  <c r="S569" i="16" s="1"/>
  <c r="AL480" i="16" l="1"/>
  <c r="AY480" i="16" s="1"/>
  <c r="AH480" i="16"/>
  <c r="AS480" i="16" s="1"/>
  <c r="Y481" i="16"/>
  <c r="BN441" i="16"/>
  <c r="E440" i="14" s="1"/>
  <c r="F440" i="14" s="1"/>
  <c r="H440" i="14" s="1"/>
  <c r="AJ21" i="15"/>
  <c r="BD442" i="16"/>
  <c r="BE442" i="16" s="1"/>
  <c r="O569" i="16"/>
  <c r="AM480" i="16" l="1"/>
  <c r="AN480" i="16" s="1"/>
  <c r="AO480" i="16" s="1"/>
  <c r="AP480" i="16" s="1"/>
  <c r="AR480" i="16" s="1"/>
  <c r="AT480" i="16"/>
  <c r="AW480" i="16" s="1"/>
  <c r="AX480" i="16" s="1"/>
  <c r="AZ480" i="16" s="1"/>
  <c r="AU480" i="16"/>
  <c r="AV480" i="16" s="1"/>
  <c r="AB481" i="16"/>
  <c r="Z481" i="16"/>
  <c r="U482" i="16" s="1"/>
  <c r="AC482" i="16" s="1"/>
  <c r="AD482" i="16" s="1"/>
  <c r="AD22" i="15"/>
  <c r="BQ441" i="16"/>
  <c r="BJ442" i="16"/>
  <c r="BK442" i="16"/>
  <c r="BF442" i="16"/>
  <c r="E570" i="16"/>
  <c r="L570" i="16" s="1"/>
  <c r="P570" i="16"/>
  <c r="Q570" i="16" s="1"/>
  <c r="S570" i="16" s="1"/>
  <c r="AQ480" i="16" l="1"/>
  <c r="AF481" i="16"/>
  <c r="W482" i="16"/>
  <c r="Y482" i="16" s="1"/>
  <c r="AB482" i="16" s="1"/>
  <c r="AE482" i="16"/>
  <c r="BI442" i="16"/>
  <c r="BG442" i="16"/>
  <c r="BL442" i="16"/>
  <c r="BM442" i="16" s="1"/>
  <c r="N570" i="16"/>
  <c r="M571" i="16" s="1"/>
  <c r="AG481" i="16" l="1"/>
  <c r="AL481" i="16" s="1"/>
  <c r="AY481" i="16" s="1"/>
  <c r="AA482" i="16"/>
  <c r="AK482" i="16" s="1"/>
  <c r="Z482" i="16"/>
  <c r="U483" i="16" s="1"/>
  <c r="AC483" i="16" s="1"/>
  <c r="AF482" i="16"/>
  <c r="BN442" i="16"/>
  <c r="BO442" i="16"/>
  <c r="BP442" i="16" s="1"/>
  <c r="BC443" i="16"/>
  <c r="BH443" i="16" s="1"/>
  <c r="O570" i="16"/>
  <c r="E571" i="16"/>
  <c r="L571" i="16" s="1"/>
  <c r="AM481" i="16" l="1"/>
  <c r="AN481" i="16" s="1"/>
  <c r="AO481" i="16" s="1"/>
  <c r="AP481" i="16" s="1"/>
  <c r="AG482" i="16"/>
  <c r="AL482" i="16" s="1"/>
  <c r="AY482" i="16" s="1"/>
  <c r="AH481" i="16"/>
  <c r="AS481" i="16" s="1"/>
  <c r="AD483" i="16"/>
  <c r="W483" i="16"/>
  <c r="AJ11" i="15"/>
  <c r="BQ442" i="16"/>
  <c r="BD443" i="16"/>
  <c r="AD13" i="15"/>
  <c r="E441" i="14"/>
  <c r="F441" i="14" s="1"/>
  <c r="H441" i="14" s="1"/>
  <c r="N571" i="16"/>
  <c r="P571" i="16"/>
  <c r="Q571" i="16" s="1"/>
  <c r="S571" i="16" s="1"/>
  <c r="AQ481" i="16" l="1"/>
  <c r="AM482" i="16"/>
  <c r="AN482" i="16" s="1"/>
  <c r="AU481" i="16"/>
  <c r="AT481" i="16"/>
  <c r="AW481" i="16" s="1"/>
  <c r="AX481" i="16" s="1"/>
  <c r="AZ481" i="16" s="1"/>
  <c r="AH482" i="16"/>
  <c r="AS482" i="16" s="1"/>
  <c r="AT482" i="16" s="1"/>
  <c r="AR481" i="16"/>
  <c r="AA483" i="16"/>
  <c r="AK483" i="16" s="1"/>
  <c r="Y483" i="16"/>
  <c r="AB483" i="16" s="1"/>
  <c r="AE483" i="16"/>
  <c r="BJ443" i="16"/>
  <c r="BK443" i="16"/>
  <c r="BE443" i="16"/>
  <c r="BF443" i="16" s="1"/>
  <c r="O571" i="16"/>
  <c r="M572" i="16"/>
  <c r="AW482" i="16" l="1"/>
  <c r="AX482" i="16" s="1"/>
  <c r="AZ482" i="16" s="1"/>
  <c r="AV481" i="16"/>
  <c r="AU482" i="16" s="1"/>
  <c r="AV482" i="16" s="1"/>
  <c r="Z483" i="16"/>
  <c r="U484" i="16" s="1"/>
  <c r="AC484" i="16" s="1"/>
  <c r="AF483" i="16"/>
  <c r="AG483" i="16" s="1"/>
  <c r="AH483" i="16" s="1"/>
  <c r="AS483" i="16" s="1"/>
  <c r="AT483" i="16" s="1"/>
  <c r="AO482" i="16"/>
  <c r="AP482" i="16" s="1"/>
  <c r="AQ482" i="16" s="1"/>
  <c r="BI443" i="16"/>
  <c r="BG443" i="16"/>
  <c r="BL443" i="16"/>
  <c r="BM443" i="16" s="1"/>
  <c r="E572" i="16"/>
  <c r="L572" i="16" s="1"/>
  <c r="P572" i="16"/>
  <c r="Q572" i="16" s="1"/>
  <c r="S572" i="16" s="1"/>
  <c r="AW483" i="16" l="1"/>
  <c r="AX483" i="16" s="1"/>
  <c r="AZ483" i="16" s="1"/>
  <c r="AU483" i="16"/>
  <c r="AV483" i="16" s="1"/>
  <c r="AL483" i="16"/>
  <c r="AY483" i="16" s="1"/>
  <c r="AR482" i="16"/>
  <c r="AD484" i="16"/>
  <c r="W484" i="16"/>
  <c r="AA484" i="16" s="1"/>
  <c r="AK484" i="16" s="1"/>
  <c r="BC444" i="16"/>
  <c r="BH444" i="16" s="1"/>
  <c r="BN443" i="16"/>
  <c r="BO443" i="16"/>
  <c r="BP443" i="16" s="1"/>
  <c r="N572" i="16"/>
  <c r="AM483" i="16" l="1"/>
  <c r="AN483" i="16" s="1"/>
  <c r="AO483" i="16" s="1"/>
  <c r="AE484" i="16"/>
  <c r="Y484" i="16"/>
  <c r="AB484" i="16" s="1"/>
  <c r="BD444" i="16"/>
  <c r="E442" i="14"/>
  <c r="F442" i="14" s="1"/>
  <c r="H442" i="14" s="1"/>
  <c r="AD10" i="15"/>
  <c r="AJ25" i="15"/>
  <c r="BQ443" i="16"/>
  <c r="M573" i="16"/>
  <c r="E573" i="16" s="1"/>
  <c r="L573" i="16" s="1"/>
  <c r="O572" i="16"/>
  <c r="AP483" i="16" l="1"/>
  <c r="AR483" i="16" s="1"/>
  <c r="AF484" i="16"/>
  <c r="Z484" i="16"/>
  <c r="BE444" i="16"/>
  <c r="BF444" i="16" s="1"/>
  <c r="BJ444" i="16"/>
  <c r="BK444" i="16"/>
  <c r="N573" i="16"/>
  <c r="P573" i="16"/>
  <c r="Q573" i="16" s="1"/>
  <c r="S573" i="16" s="1"/>
  <c r="AG484" i="16" l="1"/>
  <c r="AL484" i="16" s="1"/>
  <c r="AY484" i="16" s="1"/>
  <c r="AQ483" i="16"/>
  <c r="U485" i="16"/>
  <c r="AC485" i="16" s="1"/>
  <c r="AD485" i="16" s="1"/>
  <c r="BI444" i="16"/>
  <c r="BG444" i="16"/>
  <c r="BL444" i="16"/>
  <c r="BM444" i="16" s="1"/>
  <c r="M574" i="16"/>
  <c r="O573" i="16"/>
  <c r="AM484" i="16" l="1"/>
  <c r="AN484" i="16" s="1"/>
  <c r="AO484" i="16" s="1"/>
  <c r="AP484" i="16" s="1"/>
  <c r="AQ484" i="16" s="1"/>
  <c r="AH484" i="16"/>
  <c r="AS484" i="16" s="1"/>
  <c r="W485" i="16"/>
  <c r="AA485" i="16" s="1"/>
  <c r="AK485" i="16" s="1"/>
  <c r="AE485" i="16"/>
  <c r="BC445" i="16"/>
  <c r="BH445" i="16" s="1"/>
  <c r="BO444" i="16"/>
  <c r="BP444" i="16" s="1"/>
  <c r="BN444" i="16"/>
  <c r="E574" i="16"/>
  <c r="L574" i="16" s="1"/>
  <c r="P574" i="16"/>
  <c r="Q574" i="16" s="1"/>
  <c r="S574" i="16" s="1"/>
  <c r="AR484" i="16" l="1"/>
  <c r="AT484" i="16"/>
  <c r="AW484" i="16" s="1"/>
  <c r="AX484" i="16" s="1"/>
  <c r="AZ484" i="16" s="1"/>
  <c r="AU484" i="16"/>
  <c r="AV484" i="16" s="1"/>
  <c r="Y485" i="16"/>
  <c r="AB485" i="16" s="1"/>
  <c r="AD11" i="15"/>
  <c r="E443" i="14"/>
  <c r="F443" i="14" s="1"/>
  <c r="H443" i="14" s="1"/>
  <c r="BD445" i="16"/>
  <c r="BE445" i="16" s="1"/>
  <c r="AJ32" i="15"/>
  <c r="BQ444" i="16"/>
  <c r="N574" i="16"/>
  <c r="AF485" i="16" l="1"/>
  <c r="Z485" i="16"/>
  <c r="U486" i="16" s="1"/>
  <c r="W486" i="16" s="1"/>
  <c r="AA486" i="16" s="1"/>
  <c r="AK486" i="16" s="1"/>
  <c r="BF445" i="16"/>
  <c r="BI445" i="16" s="1"/>
  <c r="BJ445" i="16"/>
  <c r="BK445" i="16"/>
  <c r="M575" i="16"/>
  <c r="E575" i="16" s="1"/>
  <c r="L575" i="16" s="1"/>
  <c r="O574" i="16"/>
  <c r="AG485" i="16" l="1"/>
  <c r="AC486" i="16"/>
  <c r="AD486" i="16" s="1"/>
  <c r="AE486" i="16" s="1"/>
  <c r="Y486" i="16"/>
  <c r="AB486" i="16" s="1"/>
  <c r="BG445" i="16"/>
  <c r="BC446" i="16" s="1"/>
  <c r="N575" i="16"/>
  <c r="M576" i="16" s="1"/>
  <c r="BL445" i="16"/>
  <c r="BM445" i="16" s="1"/>
  <c r="BO445" i="16"/>
  <c r="BP445" i="16" s="1"/>
  <c r="P575" i="16"/>
  <c r="Q575" i="16" s="1"/>
  <c r="S575" i="16" s="1"/>
  <c r="AL485" i="16" l="1"/>
  <c r="AY485" i="16" s="1"/>
  <c r="AH485" i="16"/>
  <c r="AS485" i="16" s="1"/>
  <c r="O575" i="16"/>
  <c r="Z486" i="16"/>
  <c r="U487" i="16" s="1"/>
  <c r="AC487" i="16" s="1"/>
  <c r="AD487" i="16" s="1"/>
  <c r="AE487" i="16" s="1"/>
  <c r="E576" i="16"/>
  <c r="L576" i="16" s="1"/>
  <c r="P576" i="16"/>
  <c r="Q576" i="16" s="1"/>
  <c r="S576" i="16" s="1"/>
  <c r="AF486" i="16"/>
  <c r="AG486" i="16" s="1"/>
  <c r="AH486" i="16" s="1"/>
  <c r="AS486" i="16" s="1"/>
  <c r="AT486" i="16" s="1"/>
  <c r="BN445" i="16"/>
  <c r="E444" i="14" s="1"/>
  <c r="F444" i="14" s="1"/>
  <c r="H444" i="14" s="1"/>
  <c r="BH446" i="16"/>
  <c r="AJ28" i="15"/>
  <c r="BD446" i="16"/>
  <c r="AM485" i="16" l="1"/>
  <c r="AN485" i="16" s="1"/>
  <c r="AO485" i="16" s="1"/>
  <c r="AL486" i="16"/>
  <c r="AY486" i="16" s="1"/>
  <c r="AU485" i="16"/>
  <c r="AT485" i="16"/>
  <c r="AW485" i="16" s="1"/>
  <c r="N576" i="16"/>
  <c r="M577" i="16" s="1"/>
  <c r="P577" i="16" s="1"/>
  <c r="Q577" i="16" s="1"/>
  <c r="S577" i="16" s="1"/>
  <c r="BQ445" i="16"/>
  <c r="W487" i="16"/>
  <c r="AA487" i="16" s="1"/>
  <c r="AK487" i="16" s="1"/>
  <c r="AD9" i="15"/>
  <c r="BJ446" i="16"/>
  <c r="BE446" i="16"/>
  <c r="BF446" i="16" s="1"/>
  <c r="BK446" i="16"/>
  <c r="O576" i="16" l="1"/>
  <c r="AM486" i="16"/>
  <c r="AN486" i="16" s="1"/>
  <c r="AO486" i="16" s="1"/>
  <c r="AP486" i="16" s="1"/>
  <c r="AR486" i="16" s="1"/>
  <c r="AP485" i="16"/>
  <c r="AR485" i="16" s="1"/>
  <c r="AX485" i="16"/>
  <c r="AZ485" i="16" s="1"/>
  <c r="AV485" i="16"/>
  <c r="AU486" i="16" s="1"/>
  <c r="AV486" i="16" s="1"/>
  <c r="E577" i="16"/>
  <c r="L577" i="16" s="1"/>
  <c r="Y487" i="16"/>
  <c r="AB487" i="16" s="1"/>
  <c r="BI446" i="16"/>
  <c r="BG446" i="16"/>
  <c r="BL446" i="16"/>
  <c r="BM446" i="16" s="1"/>
  <c r="N577" i="16" l="1"/>
  <c r="M578" i="16" s="1"/>
  <c r="AQ486" i="16"/>
  <c r="AQ485" i="16"/>
  <c r="AW486" i="16"/>
  <c r="AX486" i="16" s="1"/>
  <c r="AZ486" i="16" s="1"/>
  <c r="AF487" i="16"/>
  <c r="Z487" i="16"/>
  <c r="U488" i="16" s="1"/>
  <c r="AC488" i="16" s="1"/>
  <c r="BC447" i="16"/>
  <c r="BH447" i="16" s="1"/>
  <c r="BO446" i="16"/>
  <c r="BP446" i="16" s="1"/>
  <c r="BN446" i="16"/>
  <c r="O577" i="16" l="1"/>
  <c r="E578" i="16"/>
  <c r="L578" i="16" s="1"/>
  <c r="N578" i="16" s="1"/>
  <c r="M579" i="16" s="1"/>
  <c r="AG487" i="16"/>
  <c r="W488" i="16"/>
  <c r="AA488" i="16" s="1"/>
  <c r="AK488" i="16" s="1"/>
  <c r="AD488" i="16"/>
  <c r="AE488" i="16" s="1"/>
  <c r="BD447" i="16"/>
  <c r="BE447" i="16" s="1"/>
  <c r="BF447" i="16" s="1"/>
  <c r="E445" i="14"/>
  <c r="F445" i="14" s="1"/>
  <c r="H445" i="14" s="1"/>
  <c r="AD6" i="15"/>
  <c r="AJ13" i="15"/>
  <c r="BQ446" i="16"/>
  <c r="P578" i="16"/>
  <c r="AL487" i="16" l="1"/>
  <c r="AY487" i="16" s="1"/>
  <c r="AH487" i="16"/>
  <c r="AS487" i="16" s="1"/>
  <c r="Y488" i="16"/>
  <c r="AB488" i="16" s="1"/>
  <c r="BI447" i="16"/>
  <c r="BG447" i="16"/>
  <c r="BJ447" i="16"/>
  <c r="BK447" i="16"/>
  <c r="Q578" i="16"/>
  <c r="S578" i="16" s="1"/>
  <c r="O578" i="16"/>
  <c r="AM487" i="16" l="1"/>
  <c r="AN487" i="16" s="1"/>
  <c r="AO487" i="16" s="1"/>
  <c r="AP487" i="16" s="1"/>
  <c r="AT487" i="16"/>
  <c r="AW487" i="16" s="1"/>
  <c r="AU487" i="16"/>
  <c r="AV487" i="16" s="1"/>
  <c r="AF488" i="16"/>
  <c r="AG488" i="16" s="1"/>
  <c r="AH488" i="16" s="1"/>
  <c r="AS488" i="16" s="1"/>
  <c r="AT488" i="16" s="1"/>
  <c r="Z488" i="16"/>
  <c r="U489" i="16" s="1"/>
  <c r="AC489" i="16" s="1"/>
  <c r="BL447" i="16"/>
  <c r="BM447" i="16" s="1"/>
  <c r="BC448" i="16"/>
  <c r="BO447" i="16"/>
  <c r="BP447" i="16" s="1"/>
  <c r="P579" i="16"/>
  <c r="Q579" i="16" s="1"/>
  <c r="S579" i="16" s="1"/>
  <c r="E579" i="16"/>
  <c r="L579" i="16" s="1"/>
  <c r="AQ487" i="16" l="1"/>
  <c r="AR487" i="16"/>
  <c r="AU488" i="16"/>
  <c r="AV488" i="16" s="1"/>
  <c r="AX487" i="16"/>
  <c r="AZ487" i="16" s="1"/>
  <c r="AL488" i="16"/>
  <c r="W489" i="16"/>
  <c r="AA489" i="16" s="1"/>
  <c r="AK489" i="16" s="1"/>
  <c r="BN447" i="16"/>
  <c r="E446" i="14" s="1"/>
  <c r="F446" i="14" s="1"/>
  <c r="H446" i="14" s="1"/>
  <c r="AD489" i="16"/>
  <c r="BH448" i="16"/>
  <c r="AJ478" i="15"/>
  <c r="BD448" i="16"/>
  <c r="N579" i="16"/>
  <c r="M580" i="16" s="1"/>
  <c r="AD8" i="15" l="1"/>
  <c r="Y489" i="16"/>
  <c r="Z489" i="16" s="1"/>
  <c r="AW488" i="16"/>
  <c r="AX488" i="16" s="1"/>
  <c r="AZ488" i="16" s="1"/>
  <c r="AY488" i="16"/>
  <c r="AM488" i="16"/>
  <c r="AN488" i="16" s="1"/>
  <c r="AO488" i="16" s="1"/>
  <c r="AP488" i="16" s="1"/>
  <c r="AQ488" i="16" s="1"/>
  <c r="BQ447" i="16"/>
  <c r="AE489" i="16"/>
  <c r="BJ448" i="16"/>
  <c r="BK448" i="16"/>
  <c r="BE448" i="16"/>
  <c r="BF448" i="16" s="1"/>
  <c r="O579" i="16"/>
  <c r="AB489" i="16" l="1"/>
  <c r="AF489" i="16" s="1"/>
  <c r="AG489" i="16" s="1"/>
  <c r="AH489" i="16" s="1"/>
  <c r="AS489" i="16" s="1"/>
  <c r="AR488" i="16"/>
  <c r="U490" i="16"/>
  <c r="AC490" i="16" s="1"/>
  <c r="BI448" i="16"/>
  <c r="BG448" i="16"/>
  <c r="BL448" i="16"/>
  <c r="BM448" i="16" s="1"/>
  <c r="E580" i="16"/>
  <c r="L580" i="16" s="1"/>
  <c r="P580" i="16"/>
  <c r="AL489" i="16" l="1"/>
  <c r="AY489" i="16" s="1"/>
  <c r="AU489" i="16"/>
  <c r="AV489" i="16" s="1"/>
  <c r="AT489" i="16"/>
  <c r="AW489" i="16" s="1"/>
  <c r="AX489" i="16" s="1"/>
  <c r="AZ489" i="16" s="1"/>
  <c r="AD490" i="16"/>
  <c r="W490" i="16"/>
  <c r="AA490" i="16" s="1"/>
  <c r="AK490" i="16" s="1"/>
  <c r="BC449" i="16"/>
  <c r="BH449" i="16" s="1"/>
  <c r="BN448" i="16"/>
  <c r="BO448" i="16"/>
  <c r="BP448" i="16" s="1"/>
  <c r="Q580" i="16"/>
  <c r="S580" i="16" s="1"/>
  <c r="N580" i="16"/>
  <c r="M581" i="16" s="1"/>
  <c r="AM489" i="16" l="1"/>
  <c r="AN489" i="16"/>
  <c r="AO489" i="16" s="1"/>
  <c r="AE490" i="16"/>
  <c r="Y490" i="16"/>
  <c r="AB490" i="16" s="1"/>
  <c r="BD449" i="16"/>
  <c r="BE449" i="16" s="1"/>
  <c r="BF449" i="16" s="1"/>
  <c r="E447" i="14"/>
  <c r="F447" i="14" s="1"/>
  <c r="H447" i="14" s="1"/>
  <c r="AD12" i="15"/>
  <c r="AJ479" i="15"/>
  <c r="BQ448" i="16"/>
  <c r="O580" i="16"/>
  <c r="E581" i="16"/>
  <c r="AP489" i="16" l="1"/>
  <c r="AR489" i="16" s="1"/>
  <c r="AF490" i="16"/>
  <c r="AG490" i="16" s="1"/>
  <c r="AH490" i="16" s="1"/>
  <c r="AS490" i="16" s="1"/>
  <c r="Z490" i="16"/>
  <c r="BI449" i="16"/>
  <c r="BG449" i="16"/>
  <c r="BJ449" i="16"/>
  <c r="BK449" i="16"/>
  <c r="L581" i="16"/>
  <c r="N581" i="16" s="1"/>
  <c r="M582" i="16" s="1"/>
  <c r="P581" i="16"/>
  <c r="AL490" i="16" l="1"/>
  <c r="AM490" i="16" s="1"/>
  <c r="AT490" i="16"/>
  <c r="AW490" i="16" s="1"/>
  <c r="AX490" i="16" s="1"/>
  <c r="AZ490" i="16" s="1"/>
  <c r="AU490" i="16"/>
  <c r="AV490" i="16" s="1"/>
  <c r="AQ489" i="16"/>
  <c r="U491" i="16"/>
  <c r="AC491" i="16" s="1"/>
  <c r="BL449" i="16"/>
  <c r="BM449" i="16" s="1"/>
  <c r="BC450" i="16"/>
  <c r="BO449" i="16"/>
  <c r="BP449" i="16" s="1"/>
  <c r="O581" i="16"/>
  <c r="Q581" i="16"/>
  <c r="E582" i="16"/>
  <c r="L582" i="16" s="1"/>
  <c r="AY490" i="16" l="1"/>
  <c r="BN449" i="16"/>
  <c r="E448" i="14" s="1"/>
  <c r="F448" i="14" s="1"/>
  <c r="H448" i="14" s="1"/>
  <c r="AD491" i="16"/>
  <c r="P582" i="16"/>
  <c r="Q582" i="16" s="1"/>
  <c r="S582" i="16" s="1"/>
  <c r="S581" i="16"/>
  <c r="BD450" i="16"/>
  <c r="BJ450" i="16" s="1"/>
  <c r="W491" i="16"/>
  <c r="AA491" i="16" s="1"/>
  <c r="AK491" i="16" s="1"/>
  <c r="AN490" i="16"/>
  <c r="AO490" i="16" s="1"/>
  <c r="BH450" i="16"/>
  <c r="AJ30" i="15"/>
  <c r="N582" i="16"/>
  <c r="M583" i="16" s="1"/>
  <c r="AD20" i="15" l="1"/>
  <c r="BK450" i="16"/>
  <c r="BL450" i="16" s="1"/>
  <c r="BM450" i="16" s="1"/>
  <c r="BQ449" i="16"/>
  <c r="BE450" i="16"/>
  <c r="BF450" i="16" s="1"/>
  <c r="AP490" i="16"/>
  <c r="AR490" i="16" s="1"/>
  <c r="AE491" i="16"/>
  <c r="Y491" i="16"/>
  <c r="O582" i="16"/>
  <c r="E583" i="16"/>
  <c r="L583" i="16" s="1"/>
  <c r="AQ490" i="16" l="1"/>
  <c r="BI450" i="16"/>
  <c r="BG450" i="16"/>
  <c r="BC451" i="16" s="1"/>
  <c r="BH451" i="16" s="1"/>
  <c r="AB491" i="16"/>
  <c r="Z491" i="16"/>
  <c r="N583" i="16"/>
  <c r="M584" i="16" s="1"/>
  <c r="P583" i="16"/>
  <c r="Q583" i="16" s="1"/>
  <c r="S583" i="16" s="1"/>
  <c r="BD451" i="16" l="1"/>
  <c r="BJ451" i="16" s="1"/>
  <c r="AF491" i="16"/>
  <c r="AG491" i="16" s="1"/>
  <c r="AH491" i="16" s="1"/>
  <c r="AS491" i="16" s="1"/>
  <c r="U492" i="16"/>
  <c r="AC492" i="16" s="1"/>
  <c r="BO450" i="16"/>
  <c r="BP450" i="16" s="1"/>
  <c r="BN450" i="16"/>
  <c r="O583" i="16"/>
  <c r="E584" i="16"/>
  <c r="AU491" i="16" l="1"/>
  <c r="AV491" i="16" s="1"/>
  <c r="AT491" i="16"/>
  <c r="AW491" i="16" s="1"/>
  <c r="AX491" i="16" s="1"/>
  <c r="AZ491" i="16" s="1"/>
  <c r="AL491" i="16"/>
  <c r="AM491" i="16" s="1"/>
  <c r="BE451" i="16"/>
  <c r="BF451" i="16" s="1"/>
  <c r="BI451" i="16" s="1"/>
  <c r="BK451" i="16"/>
  <c r="BL451" i="16" s="1"/>
  <c r="BM451" i="16" s="1"/>
  <c r="E449" i="14"/>
  <c r="F449" i="14" s="1"/>
  <c r="H449" i="14" s="1"/>
  <c r="AD15" i="15"/>
  <c r="AJ6" i="15"/>
  <c r="BQ450" i="16"/>
  <c r="AD492" i="16"/>
  <c r="W492" i="16"/>
  <c r="AA492" i="16" s="1"/>
  <c r="AK492" i="16" s="1"/>
  <c r="AY491" i="16"/>
  <c r="L584" i="16"/>
  <c r="P584" i="16"/>
  <c r="Q584" i="16" s="1"/>
  <c r="S584" i="16" s="1"/>
  <c r="BG451" i="16" l="1"/>
  <c r="BC452" i="16" s="1"/>
  <c r="BH452" i="16" s="1"/>
  <c r="Y492" i="16"/>
  <c r="AB492" i="16" s="1"/>
  <c r="AE492" i="16"/>
  <c r="AN491" i="16"/>
  <c r="AO491" i="16" s="1"/>
  <c r="N584" i="16"/>
  <c r="O584" i="16" s="1"/>
  <c r="BN451" i="16"/>
  <c r="BO451" i="16"/>
  <c r="BP451" i="16" s="1"/>
  <c r="AF492" i="16" l="1"/>
  <c r="AG492" i="16" s="1"/>
  <c r="AH492" i="16" s="1"/>
  <c r="AS492" i="16" s="1"/>
  <c r="M585" i="16"/>
  <c r="E585" i="16" s="1"/>
  <c r="L585" i="16" s="1"/>
  <c r="N585" i="16" s="1"/>
  <c r="M586" i="16" s="1"/>
  <c r="Z492" i="16"/>
  <c r="U493" i="16" s="1"/>
  <c r="AC493" i="16" s="1"/>
  <c r="BD452" i="16"/>
  <c r="BE452" i="16" s="1"/>
  <c r="BF452" i="16" s="1"/>
  <c r="AP491" i="16"/>
  <c r="AQ491" i="16" s="1"/>
  <c r="AJ480" i="15"/>
  <c r="BQ451" i="16"/>
  <c r="E450" i="14"/>
  <c r="F450" i="14" s="1"/>
  <c r="H450" i="14" s="1"/>
  <c r="AD26" i="15"/>
  <c r="AT492" i="16" l="1"/>
  <c r="AW492" i="16" s="1"/>
  <c r="AX492" i="16" s="1"/>
  <c r="AZ492" i="16" s="1"/>
  <c r="AU492" i="16"/>
  <c r="AV492" i="16" s="1"/>
  <c r="AL492" i="16"/>
  <c r="AY492" i="16" s="1"/>
  <c r="BK452" i="16"/>
  <c r="BL452" i="16" s="1"/>
  <c r="BM452" i="16" s="1"/>
  <c r="BJ452" i="16"/>
  <c r="P585" i="16"/>
  <c r="Q585" i="16" s="1"/>
  <c r="S585" i="16" s="1"/>
  <c r="AR491" i="16"/>
  <c r="AD493" i="16"/>
  <c r="W493" i="16"/>
  <c r="BI452" i="16"/>
  <c r="BG452" i="16"/>
  <c r="O585" i="16"/>
  <c r="E586" i="16"/>
  <c r="L586" i="16" s="1"/>
  <c r="P586" i="16" l="1"/>
  <c r="AM492" i="16"/>
  <c r="AN492" i="16" s="1"/>
  <c r="AO492" i="16" s="1"/>
  <c r="AE493" i="16"/>
  <c r="AA493" i="16"/>
  <c r="AK493" i="16" s="1"/>
  <c r="Y493" i="16"/>
  <c r="AB493" i="16" s="1"/>
  <c r="BC453" i="16"/>
  <c r="BH453" i="16" s="1"/>
  <c r="BN452" i="16"/>
  <c r="BO452" i="16"/>
  <c r="BP452" i="16" s="1"/>
  <c r="N586" i="16"/>
  <c r="M587" i="16" s="1"/>
  <c r="Q586" i="16"/>
  <c r="S586" i="16" s="1"/>
  <c r="AP492" i="16" l="1"/>
  <c r="AR492" i="16" s="1"/>
  <c r="BD453" i="16"/>
  <c r="BJ453" i="16" s="1"/>
  <c r="Z493" i="16"/>
  <c r="U494" i="16" s="1"/>
  <c r="AC494" i="16" s="1"/>
  <c r="AD494" i="16" s="1"/>
  <c r="AF493" i="16"/>
  <c r="AG493" i="16" s="1"/>
  <c r="AH493" i="16" s="1"/>
  <c r="AS493" i="16" s="1"/>
  <c r="E451" i="14"/>
  <c r="F451" i="14" s="1"/>
  <c r="H451" i="14" s="1"/>
  <c r="AD29" i="15"/>
  <c r="AJ481" i="15"/>
  <c r="BQ452" i="16"/>
  <c r="O586" i="16"/>
  <c r="AQ492" i="16" l="1"/>
  <c r="AT493" i="16"/>
  <c r="AW493" i="16" s="1"/>
  <c r="AX493" i="16" s="1"/>
  <c r="AZ493" i="16" s="1"/>
  <c r="AU493" i="16"/>
  <c r="AV493" i="16" s="1"/>
  <c r="AL493" i="16"/>
  <c r="AY493" i="16" s="1"/>
  <c r="BK453" i="16"/>
  <c r="BL453" i="16" s="1"/>
  <c r="BM453" i="16" s="1"/>
  <c r="BE453" i="16"/>
  <c r="BF453" i="16" s="1"/>
  <c r="BI453" i="16" s="1"/>
  <c r="W494" i="16"/>
  <c r="AA494" i="16" s="1"/>
  <c r="AK494" i="16" s="1"/>
  <c r="AE494" i="16"/>
  <c r="E587" i="16"/>
  <c r="L587" i="16" s="1"/>
  <c r="P587" i="16"/>
  <c r="AM493" i="16" l="1"/>
  <c r="AN493" i="16" s="1"/>
  <c r="AO493" i="16" s="1"/>
  <c r="AP493" i="16" s="1"/>
  <c r="AQ493" i="16" s="1"/>
  <c r="Y494" i="16"/>
  <c r="AB494" i="16" s="1"/>
  <c r="AF494" i="16" s="1"/>
  <c r="BG453" i="16"/>
  <c r="BC454" i="16" s="1"/>
  <c r="BH454" i="16" s="1"/>
  <c r="BN453" i="16"/>
  <c r="BO453" i="16"/>
  <c r="BP453" i="16" s="1"/>
  <c r="Q587" i="16"/>
  <c r="S587" i="16" s="1"/>
  <c r="N587" i="16"/>
  <c r="M588" i="16" s="1"/>
  <c r="AG494" i="16" l="1"/>
  <c r="AH494" i="16" s="1"/>
  <c r="AS494" i="16" s="1"/>
  <c r="AR493" i="16"/>
  <c r="Z494" i="16"/>
  <c r="U495" i="16" s="1"/>
  <c r="AC495" i="16" s="1"/>
  <c r="BD454" i="16"/>
  <c r="BK454" i="16" s="1"/>
  <c r="AJ482" i="15"/>
  <c r="BQ453" i="16"/>
  <c r="AD33" i="15"/>
  <c r="E452" i="14"/>
  <c r="F452" i="14" s="1"/>
  <c r="H452" i="14" s="1"/>
  <c r="E588" i="16"/>
  <c r="O587" i="16"/>
  <c r="AL494" i="16" l="1"/>
  <c r="AM494" i="16" s="1"/>
  <c r="AN494" i="16" s="1"/>
  <c r="AO494" i="16" s="1"/>
  <c r="AU494" i="16"/>
  <c r="AV494" i="16" s="1"/>
  <c r="AT494" i="16"/>
  <c r="AW494" i="16" s="1"/>
  <c r="AX494" i="16" s="1"/>
  <c r="AZ494" i="16" s="1"/>
  <c r="BE454" i="16"/>
  <c r="BF454" i="16" s="1"/>
  <c r="BI454" i="16" s="1"/>
  <c r="BJ454" i="16"/>
  <c r="W495" i="16"/>
  <c r="AD495" i="16"/>
  <c r="BL454" i="16"/>
  <c r="BM454" i="16" s="1"/>
  <c r="L588" i="16"/>
  <c r="P588" i="16"/>
  <c r="AY494" i="16" l="1"/>
  <c r="BG454" i="16"/>
  <c r="BC455" i="16" s="1"/>
  <c r="BH455" i="16" s="1"/>
  <c r="AP494" i="16"/>
  <c r="AQ494" i="16" s="1"/>
  <c r="AA495" i="16"/>
  <c r="AK495" i="16" s="1"/>
  <c r="Y495" i="16"/>
  <c r="AB495" i="16" s="1"/>
  <c r="AE495" i="16"/>
  <c r="BO454" i="16"/>
  <c r="BP454" i="16" s="1"/>
  <c r="BN454" i="16"/>
  <c r="N588" i="16"/>
  <c r="M589" i="16" s="1"/>
  <c r="Q588" i="16"/>
  <c r="S588" i="16" s="1"/>
  <c r="O588" i="16" l="1"/>
  <c r="AR494" i="16"/>
  <c r="AF495" i="16"/>
  <c r="AG495" i="16" s="1"/>
  <c r="AH495" i="16" s="1"/>
  <c r="AS495" i="16" s="1"/>
  <c r="Z495" i="16"/>
  <c r="BD455" i="16"/>
  <c r="BE455" i="16" s="1"/>
  <c r="E453" i="14"/>
  <c r="F453" i="14" s="1"/>
  <c r="H453" i="14" s="1"/>
  <c r="AD43" i="15"/>
  <c r="AJ483" i="15"/>
  <c r="BQ454" i="16"/>
  <c r="P589" i="16"/>
  <c r="Q589" i="16" s="1"/>
  <c r="S589" i="16" s="1"/>
  <c r="E589" i="16"/>
  <c r="L589" i="16" s="1"/>
  <c r="AL495" i="16" l="1"/>
  <c r="AY495" i="16" s="1"/>
  <c r="AT495" i="16"/>
  <c r="AW495" i="16" s="1"/>
  <c r="AX495" i="16" s="1"/>
  <c r="AZ495" i="16" s="1"/>
  <c r="AU495" i="16"/>
  <c r="AV495" i="16" s="1"/>
  <c r="U496" i="16"/>
  <c r="AC496" i="16" s="1"/>
  <c r="BF455" i="16"/>
  <c r="BG455" i="16" s="1"/>
  <c r="BJ455" i="16"/>
  <c r="BK455" i="16"/>
  <c r="N589" i="16"/>
  <c r="M590" i="16" s="1"/>
  <c r="AM495" i="16" l="1"/>
  <c r="AN495" i="16" s="1"/>
  <c r="AO495" i="16" s="1"/>
  <c r="AP495" i="16" s="1"/>
  <c r="AR495" i="16" s="1"/>
  <c r="BI455" i="16"/>
  <c r="BO455" i="16" s="1"/>
  <c r="BP455" i="16" s="1"/>
  <c r="AD496" i="16"/>
  <c r="W496" i="16"/>
  <c r="AA496" i="16" s="1"/>
  <c r="AK496" i="16" s="1"/>
  <c r="BL455" i="16"/>
  <c r="BM455" i="16" s="1"/>
  <c r="BC456" i="16"/>
  <c r="O589" i="16"/>
  <c r="BN455" i="16" l="1"/>
  <c r="E454" i="14" s="1"/>
  <c r="F454" i="14" s="1"/>
  <c r="H454" i="14" s="1"/>
  <c r="Y496" i="16"/>
  <c r="AQ495" i="16"/>
  <c r="AE496" i="16"/>
  <c r="BH456" i="16"/>
  <c r="AD51" i="15"/>
  <c r="BD456" i="16"/>
  <c r="AJ484" i="15"/>
  <c r="BQ455" i="16"/>
  <c r="E590" i="16"/>
  <c r="L590" i="16" s="1"/>
  <c r="P590" i="16"/>
  <c r="AB496" i="16" l="1"/>
  <c r="Z496" i="16"/>
  <c r="BJ456" i="16"/>
  <c r="BK456" i="16"/>
  <c r="BE456" i="16"/>
  <c r="BF456" i="16" s="1"/>
  <c r="Q590" i="16"/>
  <c r="S590" i="16" s="1"/>
  <c r="N590" i="16"/>
  <c r="M591" i="16" s="1"/>
  <c r="AF496" i="16" l="1"/>
  <c r="U497" i="16"/>
  <c r="BI456" i="16"/>
  <c r="BG456" i="16"/>
  <c r="BL456" i="16"/>
  <c r="BM456" i="16" s="1"/>
  <c r="O590" i="16"/>
  <c r="E591" i="16"/>
  <c r="AG496" i="16" l="1"/>
  <c r="AC497" i="16"/>
  <c r="AD497" i="16" s="1"/>
  <c r="AE497" i="16" s="1"/>
  <c r="W497" i="16"/>
  <c r="AA497" i="16" s="1"/>
  <c r="AK497" i="16" s="1"/>
  <c r="BC457" i="16"/>
  <c r="BH457" i="16" s="1"/>
  <c r="BO456" i="16"/>
  <c r="BP456" i="16" s="1"/>
  <c r="BN456" i="16"/>
  <c r="L591" i="16"/>
  <c r="N591" i="16" s="1"/>
  <c r="P591" i="16"/>
  <c r="AL496" i="16" l="1"/>
  <c r="AM496" i="16" s="1"/>
  <c r="AN496" i="16" s="1"/>
  <c r="AO496" i="16" s="1"/>
  <c r="AH496" i="16"/>
  <c r="AS496" i="16" s="1"/>
  <c r="Y497" i="16"/>
  <c r="AB497" i="16" s="1"/>
  <c r="AF497" i="16" s="1"/>
  <c r="AD58" i="15"/>
  <c r="E455" i="14"/>
  <c r="F455" i="14" s="1"/>
  <c r="H455" i="14" s="1"/>
  <c r="BD457" i="16"/>
  <c r="AJ485" i="15"/>
  <c r="BQ456" i="16"/>
  <c r="O591" i="16"/>
  <c r="M592" i="16"/>
  <c r="Q591" i="16"/>
  <c r="S591" i="16" s="1"/>
  <c r="AG497" i="16" l="1"/>
  <c r="AH497" i="16" s="1"/>
  <c r="AS497" i="16" s="1"/>
  <c r="AT497" i="16" s="1"/>
  <c r="AT496" i="16"/>
  <c r="AW496" i="16" s="1"/>
  <c r="AX496" i="16" s="1"/>
  <c r="AZ496" i="16" s="1"/>
  <c r="AU496" i="16"/>
  <c r="AV496" i="16" s="1"/>
  <c r="AP496" i="16"/>
  <c r="AQ496" i="16" s="1"/>
  <c r="AY496" i="16"/>
  <c r="Z497" i="16"/>
  <c r="U498" i="16" s="1"/>
  <c r="AC498" i="16" s="1"/>
  <c r="AD498" i="16" s="1"/>
  <c r="AE498" i="16" s="1"/>
  <c r="BJ457" i="16"/>
  <c r="BK457" i="16"/>
  <c r="BE457" i="16"/>
  <c r="BF457" i="16" s="1"/>
  <c r="P592" i="16"/>
  <c r="Q592" i="16" s="1"/>
  <c r="S592" i="16" s="1"/>
  <c r="E592" i="16"/>
  <c r="L592" i="16" s="1"/>
  <c r="AR496" i="16" l="1"/>
  <c r="AW497" i="16"/>
  <c r="AX497" i="16" s="1"/>
  <c r="AZ497" i="16" s="1"/>
  <c r="AL497" i="16"/>
  <c r="AU497" i="16"/>
  <c r="AV497" i="16" s="1"/>
  <c r="W498" i="16"/>
  <c r="BI457" i="16"/>
  <c r="BG457" i="16"/>
  <c r="BL457" i="16"/>
  <c r="BM457" i="16" s="1"/>
  <c r="N592" i="16"/>
  <c r="M593" i="16" s="1"/>
  <c r="AM497" i="16" l="1"/>
  <c r="AN497" i="16" s="1"/>
  <c r="AO497" i="16" s="1"/>
  <c r="AP497" i="16" s="1"/>
  <c r="AR497" i="16" s="1"/>
  <c r="AY497" i="16"/>
  <c r="AA498" i="16"/>
  <c r="AK498" i="16" s="1"/>
  <c r="Y498" i="16"/>
  <c r="O592" i="16"/>
  <c r="BC458" i="16"/>
  <c r="BH458" i="16" s="1"/>
  <c r="BO457" i="16"/>
  <c r="BP457" i="16" s="1"/>
  <c r="BN457" i="16"/>
  <c r="P593" i="16"/>
  <c r="Q593" i="16" s="1"/>
  <c r="S593" i="16" s="1"/>
  <c r="E593" i="16"/>
  <c r="L593" i="16" s="1"/>
  <c r="AB498" i="16" l="1"/>
  <c r="Z498" i="16"/>
  <c r="AQ497" i="16"/>
  <c r="AD67" i="15"/>
  <c r="E456" i="14"/>
  <c r="F456" i="14" s="1"/>
  <c r="H456" i="14" s="1"/>
  <c r="BD458" i="16"/>
  <c r="AJ486" i="15"/>
  <c r="BQ457" i="16"/>
  <c r="N593" i="16"/>
  <c r="M594" i="16" s="1"/>
  <c r="U499" i="16" l="1"/>
  <c r="W499" i="16" s="1"/>
  <c r="AA499" i="16" s="1"/>
  <c r="AK499" i="16" s="1"/>
  <c r="AF498" i="16"/>
  <c r="BJ458" i="16"/>
  <c r="BK458" i="16"/>
  <c r="BE458" i="16"/>
  <c r="BF458" i="16" s="1"/>
  <c r="O593" i="16"/>
  <c r="AG498" i="16" l="1"/>
  <c r="AL498" i="16" s="1"/>
  <c r="AY498" i="16" s="1"/>
  <c r="AC499" i="16"/>
  <c r="Y499" i="16"/>
  <c r="AB499" i="16" s="1"/>
  <c r="BI458" i="16"/>
  <c r="BG458" i="16"/>
  <c r="BL458" i="16"/>
  <c r="BM458" i="16" s="1"/>
  <c r="P594" i="16"/>
  <c r="Q594" i="16" s="1"/>
  <c r="S594" i="16" s="1"/>
  <c r="E594" i="16"/>
  <c r="L594" i="16" s="1"/>
  <c r="AM498" i="16" l="1"/>
  <c r="AN498" i="16" s="1"/>
  <c r="AO498" i="16" s="1"/>
  <c r="AP498" i="16" s="1"/>
  <c r="AQ498" i="16" s="1"/>
  <c r="AH498" i="16"/>
  <c r="AS498" i="16" s="1"/>
  <c r="Z499" i="16"/>
  <c r="AD499" i="16"/>
  <c r="BC459" i="16"/>
  <c r="BH459" i="16" s="1"/>
  <c r="BO458" i="16"/>
  <c r="BP458" i="16" s="1"/>
  <c r="BN458" i="16"/>
  <c r="N594" i="16"/>
  <c r="M595" i="16" s="1"/>
  <c r="AT498" i="16" l="1"/>
  <c r="AW498" i="16" s="1"/>
  <c r="AX498" i="16" s="1"/>
  <c r="AZ498" i="16" s="1"/>
  <c r="AU498" i="16"/>
  <c r="AV498" i="16" s="1"/>
  <c r="AR498" i="16"/>
  <c r="AE499" i="16"/>
  <c r="U500" i="16"/>
  <c r="W500" i="16" s="1"/>
  <c r="AA500" i="16" s="1"/>
  <c r="AK500" i="16" s="1"/>
  <c r="BD459" i="16"/>
  <c r="BE459" i="16" s="1"/>
  <c r="BF459" i="16" s="1"/>
  <c r="E457" i="14"/>
  <c r="F457" i="14" s="1"/>
  <c r="H457" i="14" s="1"/>
  <c r="AD41" i="15"/>
  <c r="AJ71" i="15"/>
  <c r="BQ458" i="16"/>
  <c r="O594" i="16"/>
  <c r="Y500" i="16" l="1"/>
  <c r="AB500" i="16" s="1"/>
  <c r="AF499" i="16"/>
  <c r="AC500" i="16"/>
  <c r="BI459" i="16"/>
  <c r="BG459" i="16"/>
  <c r="BJ459" i="16"/>
  <c r="BK459" i="16"/>
  <c r="P595" i="16"/>
  <c r="Q595" i="16" s="1"/>
  <c r="S595" i="16" s="1"/>
  <c r="E595" i="16"/>
  <c r="L595" i="16" s="1"/>
  <c r="AG499" i="16" l="1"/>
  <c r="Z500" i="16"/>
  <c r="AD500" i="16"/>
  <c r="AE500" i="16" s="1"/>
  <c r="AF500" i="16" s="1"/>
  <c r="AG500" i="16" s="1"/>
  <c r="AH500" i="16" s="1"/>
  <c r="AS500" i="16" s="1"/>
  <c r="AT500" i="16" s="1"/>
  <c r="BL459" i="16"/>
  <c r="BM459" i="16" s="1"/>
  <c r="BC460" i="16"/>
  <c r="BH460" i="16" s="1"/>
  <c r="BO459" i="16"/>
  <c r="BP459" i="16" s="1"/>
  <c r="N595" i="16"/>
  <c r="M596" i="16" s="1"/>
  <c r="AL500" i="16" l="1"/>
  <c r="AM500" i="16" s="1"/>
  <c r="AN500" i="16" s="1"/>
  <c r="AO500" i="16" s="1"/>
  <c r="AP500" i="16" s="1"/>
  <c r="AR500" i="16" s="1"/>
  <c r="AL499" i="16"/>
  <c r="AM499" i="16" s="1"/>
  <c r="AN499" i="16" s="1"/>
  <c r="AO499" i="16" s="1"/>
  <c r="AP499" i="16" s="1"/>
  <c r="AQ499" i="16" s="1"/>
  <c r="AH499" i="16"/>
  <c r="AS499" i="16" s="1"/>
  <c r="BD460" i="16"/>
  <c r="BJ460" i="16" s="1"/>
  <c r="U501" i="16"/>
  <c r="AJ487" i="15"/>
  <c r="BN459" i="16"/>
  <c r="BQ459" i="16" s="1"/>
  <c r="O595" i="16"/>
  <c r="AY500" i="16" l="1"/>
  <c r="BK460" i="16"/>
  <c r="BL460" i="16" s="1"/>
  <c r="BM460" i="16" s="1"/>
  <c r="BE460" i="16"/>
  <c r="BF460" i="16" s="1"/>
  <c r="BI460" i="16" s="1"/>
  <c r="AU499" i="16"/>
  <c r="AV499" i="16" s="1"/>
  <c r="AU500" i="16" s="1"/>
  <c r="AV500" i="16" s="1"/>
  <c r="AT499" i="16"/>
  <c r="AW499" i="16" s="1"/>
  <c r="AX499" i="16" s="1"/>
  <c r="AZ499" i="16" s="1"/>
  <c r="AY499" i="16"/>
  <c r="AR499" i="16"/>
  <c r="AC501" i="16"/>
  <c r="AQ500" i="16"/>
  <c r="W501" i="16"/>
  <c r="AA501" i="16" s="1"/>
  <c r="AK501" i="16" s="1"/>
  <c r="E458" i="14"/>
  <c r="F458" i="14" s="1"/>
  <c r="H458" i="14" s="1"/>
  <c r="AD50" i="15"/>
  <c r="E596" i="16"/>
  <c r="L596" i="16" s="1"/>
  <c r="P596" i="16"/>
  <c r="Q596" i="16" s="1"/>
  <c r="S596" i="16" s="1"/>
  <c r="BG460" i="16" l="1"/>
  <c r="BC461" i="16" s="1"/>
  <c r="BH461" i="16" s="1"/>
  <c r="AW500" i="16"/>
  <c r="AX500" i="16" s="1"/>
  <c r="AZ500" i="16" s="1"/>
  <c r="Y501" i="16"/>
  <c r="AB501" i="16" s="1"/>
  <c r="AD501" i="16"/>
  <c r="BN460" i="16"/>
  <c r="BO460" i="16"/>
  <c r="BP460" i="16" s="1"/>
  <c r="N596" i="16"/>
  <c r="M597" i="16" s="1"/>
  <c r="Z501" i="16" l="1"/>
  <c r="U502" i="16" s="1"/>
  <c r="W502" i="16" s="1"/>
  <c r="AA502" i="16" s="1"/>
  <c r="AK502" i="16" s="1"/>
  <c r="AE501" i="16"/>
  <c r="AJ488" i="15"/>
  <c r="BQ460" i="16"/>
  <c r="BD461" i="16"/>
  <c r="E459" i="14"/>
  <c r="F459" i="14" s="1"/>
  <c r="H459" i="14" s="1"/>
  <c r="AD53" i="15"/>
  <c r="O596" i="16"/>
  <c r="E597" i="16"/>
  <c r="L597" i="16" s="1"/>
  <c r="AC502" i="16" l="1"/>
  <c r="Y502" i="16"/>
  <c r="AB502" i="16" s="1"/>
  <c r="AF501" i="16"/>
  <c r="BJ461" i="16"/>
  <c r="BK461" i="16"/>
  <c r="BE461" i="16"/>
  <c r="BF461" i="16" s="1"/>
  <c r="N597" i="16"/>
  <c r="M598" i="16" s="1"/>
  <c r="P597" i="16"/>
  <c r="Q597" i="16" s="1"/>
  <c r="S597" i="16" s="1"/>
  <c r="AG501" i="16" l="1"/>
  <c r="Z502" i="16"/>
  <c r="U503" i="16" s="1"/>
  <c r="AD502" i="16"/>
  <c r="BI461" i="16"/>
  <c r="BG461" i="16"/>
  <c r="BL461" i="16"/>
  <c r="BM461" i="16" s="1"/>
  <c r="O597" i="16"/>
  <c r="AL501" i="16" l="1"/>
  <c r="AY501" i="16" s="1"/>
  <c r="AH501" i="16"/>
  <c r="AS501" i="16" s="1"/>
  <c r="AE502" i="16"/>
  <c r="AF502" i="16" s="1"/>
  <c r="AG502" i="16" s="1"/>
  <c r="AC503" i="16"/>
  <c r="W503" i="16"/>
  <c r="AA503" i="16" s="1"/>
  <c r="AK503" i="16" s="1"/>
  <c r="BC462" i="16"/>
  <c r="BH462" i="16" s="1"/>
  <c r="BN461" i="16"/>
  <c r="BO461" i="16"/>
  <c r="BP461" i="16" s="1"/>
  <c r="E598" i="16"/>
  <c r="L598" i="16" s="1"/>
  <c r="P598" i="16"/>
  <c r="Q598" i="16" s="1"/>
  <c r="S598" i="16" s="1"/>
  <c r="AH502" i="16" l="1"/>
  <c r="AS502" i="16" s="1"/>
  <c r="AT502" i="16" s="1"/>
  <c r="AL502" i="16"/>
  <c r="AT501" i="16"/>
  <c r="AW501" i="16" s="1"/>
  <c r="AU501" i="16"/>
  <c r="AV501" i="16" s="1"/>
  <c r="AM501" i="16"/>
  <c r="AN501" i="16" s="1"/>
  <c r="AO501" i="16" s="1"/>
  <c r="AD503" i="16"/>
  <c r="AE503" i="16" s="1"/>
  <c r="Y503" i="16"/>
  <c r="AB503" i="16" s="1"/>
  <c r="BQ461" i="16"/>
  <c r="AJ489" i="15"/>
  <c r="BD462" i="16"/>
  <c r="BE462" i="16" s="1"/>
  <c r="BF462" i="16" s="1"/>
  <c r="E460" i="14"/>
  <c r="F460" i="14" s="1"/>
  <c r="H460" i="14" s="1"/>
  <c r="AD62" i="15"/>
  <c r="N598" i="16"/>
  <c r="M599" i="16" s="1"/>
  <c r="AP501" i="16" l="1"/>
  <c r="AR501" i="16" s="1"/>
  <c r="AX501" i="16"/>
  <c r="AZ501" i="16" s="1"/>
  <c r="AY502" i="16"/>
  <c r="AM502" i="16"/>
  <c r="AN502" i="16" s="1"/>
  <c r="AO502" i="16" s="1"/>
  <c r="AP502" i="16" s="1"/>
  <c r="AR502" i="16" s="1"/>
  <c r="AU502" i="16"/>
  <c r="AV502" i="16" s="1"/>
  <c r="Z503" i="16"/>
  <c r="U504" i="16" s="1"/>
  <c r="AC504" i="16" s="1"/>
  <c r="AF503" i="16"/>
  <c r="AG503" i="16" s="1"/>
  <c r="AH503" i="16" s="1"/>
  <c r="AS503" i="16" s="1"/>
  <c r="AT503" i="16" s="1"/>
  <c r="BI462" i="16"/>
  <c r="BG462" i="16"/>
  <c r="BJ462" i="16"/>
  <c r="BK462" i="16"/>
  <c r="O598" i="16"/>
  <c r="AW502" i="16" l="1"/>
  <c r="AQ501" i="16"/>
  <c r="AL503" i="16"/>
  <c r="AY503" i="16" s="1"/>
  <c r="AX502" i="16"/>
  <c r="AZ502" i="16" s="1"/>
  <c r="AQ502" i="16"/>
  <c r="AU503" i="16"/>
  <c r="AV503" i="16" s="1"/>
  <c r="W504" i="16"/>
  <c r="AA504" i="16" s="1"/>
  <c r="AK504" i="16" s="1"/>
  <c r="AD504" i="16"/>
  <c r="AE504" i="16" s="1"/>
  <c r="BC463" i="16"/>
  <c r="BH463" i="16" s="1"/>
  <c r="BL462" i="16"/>
  <c r="BM462" i="16" s="1"/>
  <c r="BO462" i="16"/>
  <c r="BP462" i="16" s="1"/>
  <c r="AJ490" i="15" s="1"/>
  <c r="E599" i="16"/>
  <c r="L599" i="16" s="1"/>
  <c r="P599" i="16"/>
  <c r="Q599" i="16" s="1"/>
  <c r="S599" i="16" s="1"/>
  <c r="AM503" i="16" l="1"/>
  <c r="AN503" i="16" s="1"/>
  <c r="Y504" i="16"/>
  <c r="AB504" i="16" s="1"/>
  <c r="AF504" i="16" s="1"/>
  <c r="AG504" i="16" s="1"/>
  <c r="AH504" i="16" s="1"/>
  <c r="AS504" i="16" s="1"/>
  <c r="AT504" i="16" s="1"/>
  <c r="AW503" i="16"/>
  <c r="AX503" i="16" s="1"/>
  <c r="AZ503" i="16" s="1"/>
  <c r="BD463" i="16"/>
  <c r="BE463" i="16" s="1"/>
  <c r="BN462" i="16"/>
  <c r="N599" i="16"/>
  <c r="M600" i="16" s="1"/>
  <c r="AW504" i="16" l="1"/>
  <c r="AX504" i="16" s="1"/>
  <c r="AZ504" i="16" s="1"/>
  <c r="Z504" i="16"/>
  <c r="U505" i="16" s="1"/>
  <c r="AU504" i="16"/>
  <c r="AV504" i="16" s="1"/>
  <c r="AL504" i="16"/>
  <c r="BF463" i="16"/>
  <c r="BI463" i="16" s="1"/>
  <c r="AO503" i="16"/>
  <c r="AP503" i="16" s="1"/>
  <c r="AQ503" i="16" s="1"/>
  <c r="BQ462" i="16"/>
  <c r="E461" i="14"/>
  <c r="F461" i="14" s="1"/>
  <c r="H461" i="14" s="1"/>
  <c r="AD70" i="15"/>
  <c r="BJ463" i="16"/>
  <c r="BK463" i="16"/>
  <c r="E600" i="16"/>
  <c r="O599" i="16"/>
  <c r="BG463" i="16" l="1"/>
  <c r="BC464" i="16" s="1"/>
  <c r="BH464" i="16" s="1"/>
  <c r="AM504" i="16"/>
  <c r="AN504" i="16" s="1"/>
  <c r="AO504" i="16" s="1"/>
  <c r="AP504" i="16" s="1"/>
  <c r="AQ504" i="16" s="1"/>
  <c r="AY504" i="16"/>
  <c r="AC505" i="16"/>
  <c r="W505" i="16"/>
  <c r="AA505" i="16" s="1"/>
  <c r="AK505" i="16" s="1"/>
  <c r="AR503" i="16"/>
  <c r="BL463" i="16"/>
  <c r="BM463" i="16" s="1"/>
  <c r="BO463" i="16"/>
  <c r="BP463" i="16" s="1"/>
  <c r="L600" i="16"/>
  <c r="N600" i="16" s="1"/>
  <c r="M601" i="16" s="1"/>
  <c r="P600" i="16"/>
  <c r="Q600" i="16" s="1"/>
  <c r="S600" i="16" s="1"/>
  <c r="AR504" i="16" l="1"/>
  <c r="Y505" i="16"/>
  <c r="AB505" i="16" s="1"/>
  <c r="AD505" i="16"/>
  <c r="AE505" i="16" s="1"/>
  <c r="BD464" i="16"/>
  <c r="BE464" i="16" s="1"/>
  <c r="AJ491" i="15"/>
  <c r="BN463" i="16"/>
  <c r="BQ463" i="16" s="1"/>
  <c r="O600" i="16"/>
  <c r="Z505" i="16" l="1"/>
  <c r="U506" i="16" s="1"/>
  <c r="AC506" i="16" s="1"/>
  <c r="AD506" i="16" s="1"/>
  <c r="AE506" i="16" s="1"/>
  <c r="AF505" i="16"/>
  <c r="AG505" i="16" s="1"/>
  <c r="AH505" i="16" s="1"/>
  <c r="AS505" i="16" s="1"/>
  <c r="AD81" i="15"/>
  <c r="E462" i="14"/>
  <c r="F462" i="14" s="1"/>
  <c r="H462" i="14" s="1"/>
  <c r="BJ464" i="16"/>
  <c r="BK464" i="16"/>
  <c r="BF464" i="16"/>
  <c r="P601" i="16"/>
  <c r="Q601" i="16" s="1"/>
  <c r="S601" i="16" s="1"/>
  <c r="E601" i="16"/>
  <c r="L601" i="16" s="1"/>
  <c r="AU505" i="16" l="1"/>
  <c r="AV505" i="16" s="1"/>
  <c r="AT505" i="16"/>
  <c r="AW505" i="16" s="1"/>
  <c r="AX505" i="16" s="1"/>
  <c r="AZ505" i="16" s="1"/>
  <c r="W506" i="16"/>
  <c r="AA506" i="16" s="1"/>
  <c r="AK506" i="16" s="1"/>
  <c r="AL505" i="16"/>
  <c r="BL464" i="16"/>
  <c r="BM464" i="16" s="1"/>
  <c r="BI464" i="16"/>
  <c r="BG464" i="16"/>
  <c r="N601" i="16"/>
  <c r="M602" i="16" s="1"/>
  <c r="Y506" i="16" l="1"/>
  <c r="Z506" i="16" s="1"/>
  <c r="U507" i="16" s="1"/>
  <c r="AC507" i="16" s="1"/>
  <c r="AM505" i="16"/>
  <c r="AN505" i="16" s="1"/>
  <c r="AO505" i="16" s="1"/>
  <c r="AP505" i="16" s="1"/>
  <c r="AR505" i="16" s="1"/>
  <c r="AY505" i="16"/>
  <c r="BC465" i="16"/>
  <c r="BH465" i="16" s="1"/>
  <c r="BN464" i="16"/>
  <c r="BO464" i="16"/>
  <c r="BP464" i="16" s="1"/>
  <c r="O601" i="16"/>
  <c r="AQ505" i="16" l="1"/>
  <c r="AB506" i="16"/>
  <c r="AF506" i="16" s="1"/>
  <c r="W507" i="16"/>
  <c r="AA507" i="16" s="1"/>
  <c r="AK507" i="16" s="1"/>
  <c r="AD507" i="16"/>
  <c r="AE507" i="16" s="1"/>
  <c r="E463" i="14"/>
  <c r="F463" i="14" s="1"/>
  <c r="H463" i="14" s="1"/>
  <c r="AD94" i="15"/>
  <c r="AJ492" i="15"/>
  <c r="BQ464" i="16"/>
  <c r="BD465" i="16"/>
  <c r="BE465" i="16" s="1"/>
  <c r="BF465" i="16" s="1"/>
  <c r="P602" i="16"/>
  <c r="Q602" i="16" s="1"/>
  <c r="S602" i="16" s="1"/>
  <c r="E602" i="16"/>
  <c r="L602" i="16" s="1"/>
  <c r="AG506" i="16" l="1"/>
  <c r="AL506" i="16" s="1"/>
  <c r="AY506" i="16" s="1"/>
  <c r="Y507" i="16"/>
  <c r="AB507" i="16" s="1"/>
  <c r="BI465" i="16"/>
  <c r="BG465" i="16"/>
  <c r="BJ465" i="16"/>
  <c r="BK465" i="16"/>
  <c r="N602" i="16"/>
  <c r="M603" i="16" s="1"/>
  <c r="AM506" i="16" l="1"/>
  <c r="AN506" i="16" s="1"/>
  <c r="AO506" i="16" s="1"/>
  <c r="AP506" i="16" s="1"/>
  <c r="AH506" i="16"/>
  <c r="AS506" i="16" s="1"/>
  <c r="AF507" i="16"/>
  <c r="AG507" i="16" s="1"/>
  <c r="Z507" i="16"/>
  <c r="U508" i="16" s="1"/>
  <c r="AC508" i="16" s="1"/>
  <c r="BL465" i="16"/>
  <c r="BM465" i="16" s="1"/>
  <c r="BC466" i="16"/>
  <c r="BO465" i="16"/>
  <c r="BP465" i="16" s="1"/>
  <c r="O602" i="16"/>
  <c r="AR506" i="16" l="1"/>
  <c r="AH507" i="16"/>
  <c r="AS507" i="16" s="1"/>
  <c r="AT507" i="16" s="1"/>
  <c r="AU506" i="16"/>
  <c r="AV506" i="16" s="1"/>
  <c r="AT506" i="16"/>
  <c r="AW506" i="16" s="1"/>
  <c r="AX506" i="16" s="1"/>
  <c r="AZ506" i="16" s="1"/>
  <c r="W508" i="16"/>
  <c r="Y508" i="16" s="1"/>
  <c r="AB508" i="16" s="1"/>
  <c r="AL507" i="16"/>
  <c r="AY507" i="16" s="1"/>
  <c r="AD508" i="16"/>
  <c r="AE508" i="16" s="1"/>
  <c r="AQ506" i="16"/>
  <c r="BN465" i="16"/>
  <c r="AD113" i="15" s="1"/>
  <c r="BD466" i="16"/>
  <c r="BE466" i="16" s="1"/>
  <c r="BH466" i="16"/>
  <c r="AJ493" i="15"/>
  <c r="P603" i="16"/>
  <c r="Q603" i="16" s="1"/>
  <c r="S603" i="16" s="1"/>
  <c r="E603" i="16"/>
  <c r="L603" i="16" s="1"/>
  <c r="AU507" i="16" l="1"/>
  <c r="AV507" i="16" s="1"/>
  <c r="AW507" i="16"/>
  <c r="AX507" i="16" s="1"/>
  <c r="AZ507" i="16" s="1"/>
  <c r="AF508" i="16"/>
  <c r="AG508" i="16" s="1"/>
  <c r="AH508" i="16" s="1"/>
  <c r="AS508" i="16" s="1"/>
  <c r="AT508" i="16" s="1"/>
  <c r="E464" i="14"/>
  <c r="F464" i="14" s="1"/>
  <c r="H464" i="14" s="1"/>
  <c r="Z508" i="16"/>
  <c r="U509" i="16" s="1"/>
  <c r="AC509" i="16" s="1"/>
  <c r="AM507" i="16"/>
  <c r="AA508" i="16"/>
  <c r="AK508" i="16" s="1"/>
  <c r="BQ465" i="16"/>
  <c r="BJ466" i="16"/>
  <c r="BK466" i="16"/>
  <c r="BF466" i="16"/>
  <c r="N603" i="16"/>
  <c r="M604" i="16" s="1"/>
  <c r="AL508" i="16" l="1"/>
  <c r="AU508" i="16"/>
  <c r="AV508" i="16" s="1"/>
  <c r="AN507" i="16"/>
  <c r="AO507" i="16" s="1"/>
  <c r="AW508" i="16"/>
  <c r="AX508" i="16" s="1"/>
  <c r="AZ508" i="16" s="1"/>
  <c r="AD509" i="16"/>
  <c r="W509" i="16"/>
  <c r="AA509" i="16" s="1"/>
  <c r="AK509" i="16" s="1"/>
  <c r="BL466" i="16"/>
  <c r="BM466" i="16" s="1"/>
  <c r="BI466" i="16"/>
  <c r="BG466" i="16"/>
  <c r="O603" i="16"/>
  <c r="AM508" i="16" l="1"/>
  <c r="AN508" i="16" s="1"/>
  <c r="AO508" i="16" s="1"/>
  <c r="AP508" i="16" s="1"/>
  <c r="AR508" i="16" s="1"/>
  <c r="AY508" i="16"/>
  <c r="AP507" i="16"/>
  <c r="AR507" i="16" s="1"/>
  <c r="AE509" i="16"/>
  <c r="Y509" i="16"/>
  <c r="AB509" i="16" s="1"/>
  <c r="BO466" i="16"/>
  <c r="BP466" i="16" s="1"/>
  <c r="BN466" i="16"/>
  <c r="BC467" i="16"/>
  <c r="E604" i="16"/>
  <c r="L604" i="16" s="1"/>
  <c r="P604" i="16"/>
  <c r="Q604" i="16" s="1"/>
  <c r="S604" i="16" s="1"/>
  <c r="AQ507" i="16" l="1"/>
  <c r="AQ508" i="16"/>
  <c r="AF509" i="16"/>
  <c r="AG509" i="16" s="1"/>
  <c r="AH509" i="16" s="1"/>
  <c r="AS509" i="16" s="1"/>
  <c r="Z509" i="16"/>
  <c r="BH467" i="16"/>
  <c r="BD467" i="16"/>
  <c r="E465" i="14"/>
  <c r="F465" i="14" s="1"/>
  <c r="H465" i="14" s="1"/>
  <c r="AD131" i="15"/>
  <c r="AJ494" i="15"/>
  <c r="BQ466" i="16"/>
  <c r="N604" i="16"/>
  <c r="M605" i="16" s="1"/>
  <c r="AT509" i="16" l="1"/>
  <c r="AW509" i="16" s="1"/>
  <c r="AX509" i="16" s="1"/>
  <c r="AZ509" i="16" s="1"/>
  <c r="AU509" i="16"/>
  <c r="AV509" i="16" s="1"/>
  <c r="AL509" i="16"/>
  <c r="AY509" i="16" s="1"/>
  <c r="U510" i="16"/>
  <c r="AC510" i="16" s="1"/>
  <c r="BJ467" i="16"/>
  <c r="BK467" i="16"/>
  <c r="BE467" i="16"/>
  <c r="BF467" i="16" s="1"/>
  <c r="E605" i="16"/>
  <c r="O604" i="16"/>
  <c r="AM509" i="16" l="1"/>
  <c r="AN509" i="16" s="1"/>
  <c r="AO509" i="16" s="1"/>
  <c r="AD510" i="16"/>
  <c r="W510" i="16"/>
  <c r="AA510" i="16" s="1"/>
  <c r="AK510" i="16" s="1"/>
  <c r="BI467" i="16"/>
  <c r="BG467" i="16"/>
  <c r="BL467" i="16"/>
  <c r="BM467" i="16" s="1"/>
  <c r="L605" i="16"/>
  <c r="P605" i="16"/>
  <c r="Q605" i="16" s="1"/>
  <c r="S605" i="16" s="1"/>
  <c r="AP509" i="16" l="1"/>
  <c r="AQ509" i="16" s="1"/>
  <c r="Y510" i="16"/>
  <c r="AE510" i="16"/>
  <c r="BO467" i="16"/>
  <c r="BP467" i="16" s="1"/>
  <c r="BN467" i="16"/>
  <c r="BC468" i="16"/>
  <c r="N605" i="16"/>
  <c r="M606" i="16" s="1"/>
  <c r="AR509" i="16" l="1"/>
  <c r="AB510" i="16"/>
  <c r="Z510" i="16"/>
  <c r="BH468" i="16"/>
  <c r="AD145" i="15"/>
  <c r="E466" i="14"/>
  <c r="F466" i="14" s="1"/>
  <c r="H466" i="14" s="1"/>
  <c r="BD468" i="16"/>
  <c r="AJ495" i="15"/>
  <c r="BQ467" i="16"/>
  <c r="O605" i="16"/>
  <c r="E606" i="16"/>
  <c r="L606" i="16" s="1"/>
  <c r="P606" i="16"/>
  <c r="Q606" i="16" s="1"/>
  <c r="S606" i="16" s="1"/>
  <c r="U511" i="16" l="1"/>
  <c r="AC511" i="16" s="1"/>
  <c r="AF510" i="16"/>
  <c r="AG510" i="16" s="1"/>
  <c r="AH510" i="16" s="1"/>
  <c r="AS510" i="16" s="1"/>
  <c r="BJ468" i="16"/>
  <c r="BK468" i="16"/>
  <c r="BE468" i="16"/>
  <c r="BF468" i="16" s="1"/>
  <c r="N606" i="16"/>
  <c r="M607" i="16" s="1"/>
  <c r="AU510" i="16" l="1"/>
  <c r="AV510" i="16" s="1"/>
  <c r="AT510" i="16"/>
  <c r="AW510" i="16" s="1"/>
  <c r="AX510" i="16" s="1"/>
  <c r="AZ510" i="16" s="1"/>
  <c r="AL510" i="16"/>
  <c r="AY510" i="16" s="1"/>
  <c r="AD511" i="16"/>
  <c r="W511" i="16"/>
  <c r="BI468" i="16"/>
  <c r="BG468" i="16"/>
  <c r="BL468" i="16"/>
  <c r="BM468" i="16" s="1"/>
  <c r="O606" i="16"/>
  <c r="E607" i="16"/>
  <c r="L607" i="16" s="1"/>
  <c r="AM510" i="16" l="1"/>
  <c r="AA511" i="16"/>
  <c r="AK511" i="16" s="1"/>
  <c r="Y511" i="16"/>
  <c r="AE511" i="16"/>
  <c r="AN510" i="16"/>
  <c r="AO510" i="16" s="1"/>
  <c r="BC469" i="16"/>
  <c r="BH469" i="16" s="1"/>
  <c r="BO468" i="16"/>
  <c r="BP468" i="16" s="1"/>
  <c r="BN468" i="16"/>
  <c r="N607" i="16"/>
  <c r="M608" i="16" s="1"/>
  <c r="P607" i="16"/>
  <c r="Q607" i="16" s="1"/>
  <c r="S607" i="16" s="1"/>
  <c r="AP510" i="16" l="1"/>
  <c r="AQ510" i="16" s="1"/>
  <c r="AB511" i="16"/>
  <c r="Z511" i="16"/>
  <c r="BD469" i="16"/>
  <c r="BJ469" i="16" s="1"/>
  <c r="AR510" i="16"/>
  <c r="E467" i="14"/>
  <c r="F467" i="14" s="1"/>
  <c r="H467" i="14" s="1"/>
  <c r="AD161" i="15"/>
  <c r="AJ496" i="15"/>
  <c r="BQ468" i="16"/>
  <c r="E608" i="16"/>
  <c r="O607" i="16"/>
  <c r="BE469" i="16" l="1"/>
  <c r="BF469" i="16" s="1"/>
  <c r="BI469" i="16" s="1"/>
  <c r="BK469" i="16"/>
  <c r="BL469" i="16" s="1"/>
  <c r="BM469" i="16" s="1"/>
  <c r="U512" i="16"/>
  <c r="AC512" i="16" s="1"/>
  <c r="AD512" i="16" s="1"/>
  <c r="AF511" i="16"/>
  <c r="AG511" i="16" s="1"/>
  <c r="AH511" i="16" s="1"/>
  <c r="AS511" i="16" s="1"/>
  <c r="L608" i="16"/>
  <c r="P608" i="16"/>
  <c r="Q608" i="16" s="1"/>
  <c r="S608" i="16" s="1"/>
  <c r="AL511" i="16" l="1"/>
  <c r="AY511" i="16" s="1"/>
  <c r="BG469" i="16"/>
  <c r="BC470" i="16" s="1"/>
  <c r="BH470" i="16" s="1"/>
  <c r="AT511" i="16"/>
  <c r="AW511" i="16" s="1"/>
  <c r="AX511" i="16" s="1"/>
  <c r="AZ511" i="16" s="1"/>
  <c r="AU511" i="16"/>
  <c r="AV511" i="16" s="1"/>
  <c r="AE512" i="16"/>
  <c r="W512" i="16"/>
  <c r="AA512" i="16" s="1"/>
  <c r="AK512" i="16" s="1"/>
  <c r="BO469" i="16"/>
  <c r="BP469" i="16" s="1"/>
  <c r="BN469" i="16"/>
  <c r="N608" i="16"/>
  <c r="M609" i="16" s="1"/>
  <c r="AM511" i="16" l="1"/>
  <c r="AN511" i="16" s="1"/>
  <c r="AO511" i="16" s="1"/>
  <c r="Y512" i="16"/>
  <c r="AB512" i="16" s="1"/>
  <c r="AD178" i="15"/>
  <c r="E468" i="14"/>
  <c r="F468" i="14" s="1"/>
  <c r="H468" i="14" s="1"/>
  <c r="AJ497" i="15"/>
  <c r="BQ469" i="16"/>
  <c r="BD470" i="16"/>
  <c r="O608" i="16"/>
  <c r="AF512" i="16" l="1"/>
  <c r="Z512" i="16"/>
  <c r="U513" i="16" s="1"/>
  <c r="AC513" i="16" s="1"/>
  <c r="AP511" i="16"/>
  <c r="AR511" i="16" s="1"/>
  <c r="BJ470" i="16"/>
  <c r="BK470" i="16"/>
  <c r="BE470" i="16"/>
  <c r="BF470" i="16" s="1"/>
  <c r="E609" i="16"/>
  <c r="P609" i="16"/>
  <c r="Q609" i="16" s="1"/>
  <c r="S609" i="16" s="1"/>
  <c r="AG512" i="16" l="1"/>
  <c r="AQ511" i="16"/>
  <c r="AD513" i="16"/>
  <c r="W513" i="16"/>
  <c r="Y513" i="16" s="1"/>
  <c r="AB513" i="16" s="1"/>
  <c r="BI470" i="16"/>
  <c r="BG470" i="16"/>
  <c r="BL470" i="16"/>
  <c r="BM470" i="16" s="1"/>
  <c r="L609" i="16"/>
  <c r="N609" i="16" s="1"/>
  <c r="M610" i="16" s="1"/>
  <c r="AL512" i="16" l="1"/>
  <c r="AY512" i="16" s="1"/>
  <c r="AH512" i="16"/>
  <c r="AS512" i="16" s="1"/>
  <c r="AA513" i="16"/>
  <c r="AK513" i="16" s="1"/>
  <c r="Z513" i="16"/>
  <c r="AE513" i="16"/>
  <c r="AF513" i="16" s="1"/>
  <c r="AG513" i="16" s="1"/>
  <c r="AH513" i="16" s="1"/>
  <c r="AS513" i="16" s="1"/>
  <c r="AT513" i="16" s="1"/>
  <c r="BC471" i="16"/>
  <c r="BH471" i="16" s="1"/>
  <c r="BO470" i="16"/>
  <c r="BP470" i="16" s="1"/>
  <c r="BN470" i="16"/>
  <c r="O609" i="16"/>
  <c r="E610" i="16"/>
  <c r="L610" i="16" s="1"/>
  <c r="AM512" i="16" l="1"/>
  <c r="AN512" i="16" s="1"/>
  <c r="AO512" i="16" s="1"/>
  <c r="AP512" i="16" s="1"/>
  <c r="AR512" i="16" s="1"/>
  <c r="AL513" i="16"/>
  <c r="AM513" i="16" s="1"/>
  <c r="AT512" i="16"/>
  <c r="AW512" i="16" s="1"/>
  <c r="AU512" i="16"/>
  <c r="AV512" i="16" s="1"/>
  <c r="AU513" i="16" s="1"/>
  <c r="AV513" i="16" s="1"/>
  <c r="AQ512" i="16"/>
  <c r="U514" i="16"/>
  <c r="AC514" i="16" s="1"/>
  <c r="AD514" i="16" s="1"/>
  <c r="E469" i="14"/>
  <c r="F469" i="14" s="1"/>
  <c r="H469" i="14" s="1"/>
  <c r="AD187" i="15"/>
  <c r="AJ498" i="15"/>
  <c r="BQ470" i="16"/>
  <c r="BD471" i="16"/>
  <c r="N610" i="16"/>
  <c r="M611" i="16" s="1"/>
  <c r="P610" i="16"/>
  <c r="Q610" i="16" s="1"/>
  <c r="S610" i="16" s="1"/>
  <c r="AY513" i="16" l="1"/>
  <c r="AX512" i="16"/>
  <c r="AZ512" i="16" s="1"/>
  <c r="AE514" i="16"/>
  <c r="AN513" i="16"/>
  <c r="AO513" i="16" s="1"/>
  <c r="W514" i="16"/>
  <c r="BJ471" i="16"/>
  <c r="BK471" i="16"/>
  <c r="BE471" i="16"/>
  <c r="BF471" i="16" s="1"/>
  <c r="O610" i="16"/>
  <c r="AW513" i="16" l="1"/>
  <c r="AX513" i="16" s="1"/>
  <c r="AZ513" i="16" s="1"/>
  <c r="AP513" i="16"/>
  <c r="AR513" i="16" s="1"/>
  <c r="AA514" i="16"/>
  <c r="AK514" i="16" s="1"/>
  <c r="Y514" i="16"/>
  <c r="AB514" i="16" s="1"/>
  <c r="BI471" i="16"/>
  <c r="BG471" i="16"/>
  <c r="BL471" i="16"/>
  <c r="BM471" i="16" s="1"/>
  <c r="P611" i="16"/>
  <c r="Q611" i="16" s="1"/>
  <c r="S611" i="16" s="1"/>
  <c r="E611" i="16"/>
  <c r="L611" i="16" s="1"/>
  <c r="AQ513" i="16" l="1"/>
  <c r="AF514" i="16"/>
  <c r="Z514" i="16"/>
  <c r="BC472" i="16"/>
  <c r="BH472" i="16" s="1"/>
  <c r="BO471" i="16"/>
  <c r="BP471" i="16" s="1"/>
  <c r="BN471" i="16"/>
  <c r="N611" i="16"/>
  <c r="M612" i="16" s="1"/>
  <c r="AG514" i="16" l="1"/>
  <c r="AL514" i="16" s="1"/>
  <c r="AY514" i="16" s="1"/>
  <c r="U515" i="16"/>
  <c r="AC515" i="16" s="1"/>
  <c r="BD472" i="16"/>
  <c r="BE472" i="16" s="1"/>
  <c r="BF472" i="16" s="1"/>
  <c r="AJ499" i="15"/>
  <c r="BQ471" i="16"/>
  <c r="AD194" i="15"/>
  <c r="E470" i="14"/>
  <c r="F470" i="14" s="1"/>
  <c r="H470" i="14" s="1"/>
  <c r="O611" i="16"/>
  <c r="AM514" i="16" l="1"/>
  <c r="AH514" i="16"/>
  <c r="AS514" i="16" s="1"/>
  <c r="AN514" i="16"/>
  <c r="AO514" i="16" s="1"/>
  <c r="AD515" i="16"/>
  <c r="W515" i="16"/>
  <c r="BI472" i="16"/>
  <c r="BG472" i="16"/>
  <c r="BJ472" i="16"/>
  <c r="BK472" i="16"/>
  <c r="P612" i="16"/>
  <c r="Q612" i="16" s="1"/>
  <c r="S612" i="16" s="1"/>
  <c r="E612" i="16"/>
  <c r="AT514" i="16" l="1"/>
  <c r="AW514" i="16" s="1"/>
  <c r="AX514" i="16" s="1"/>
  <c r="AZ514" i="16" s="1"/>
  <c r="AU514" i="16"/>
  <c r="AV514" i="16" s="1"/>
  <c r="AP514" i="16"/>
  <c r="AQ514" i="16" s="1"/>
  <c r="AA515" i="16"/>
  <c r="AK515" i="16" s="1"/>
  <c r="Y515" i="16"/>
  <c r="AB515" i="16" s="1"/>
  <c r="AE515" i="16"/>
  <c r="BL472" i="16"/>
  <c r="BM472" i="16" s="1"/>
  <c r="BC473" i="16"/>
  <c r="BO472" i="16"/>
  <c r="BP472" i="16" s="1"/>
  <c r="L612" i="16"/>
  <c r="N612" i="16" s="1"/>
  <c r="M613" i="16" s="1"/>
  <c r="AR514" i="16" l="1"/>
  <c r="BN472" i="16"/>
  <c r="BQ472" i="16" s="1"/>
  <c r="Z515" i="16"/>
  <c r="AF515" i="16"/>
  <c r="BH473" i="16"/>
  <c r="AJ500" i="15"/>
  <c r="BD473" i="16"/>
  <c r="O612" i="16"/>
  <c r="E471" i="14" l="1"/>
  <c r="F471" i="14" s="1"/>
  <c r="H471" i="14" s="1"/>
  <c r="AD198" i="15"/>
  <c r="AG515" i="16"/>
  <c r="AL515" i="16" s="1"/>
  <c r="AY515" i="16" s="1"/>
  <c r="U516" i="16"/>
  <c r="AC516" i="16" s="1"/>
  <c r="BJ473" i="16"/>
  <c r="BK473" i="16"/>
  <c r="BE473" i="16"/>
  <c r="BF473" i="16" s="1"/>
  <c r="P613" i="16"/>
  <c r="Q613" i="16" s="1"/>
  <c r="S613" i="16" s="1"/>
  <c r="E613" i="16"/>
  <c r="AM515" i="16" l="1"/>
  <c r="AN515" i="16" s="1"/>
  <c r="AO515" i="16" s="1"/>
  <c r="AP515" i="16" s="1"/>
  <c r="AQ515" i="16" s="1"/>
  <c r="AH515" i="16"/>
  <c r="AS515" i="16" s="1"/>
  <c r="W516" i="16"/>
  <c r="AA516" i="16" s="1"/>
  <c r="AK516" i="16" s="1"/>
  <c r="AD516" i="16"/>
  <c r="BI473" i="16"/>
  <c r="BG473" i="16"/>
  <c r="BL473" i="16"/>
  <c r="BM473" i="16" s="1"/>
  <c r="L613" i="16"/>
  <c r="N613" i="16" s="1"/>
  <c r="M614" i="16" s="1"/>
  <c r="AU515" i="16" l="1"/>
  <c r="AV515" i="16" s="1"/>
  <c r="AT515" i="16"/>
  <c r="AW515" i="16" s="1"/>
  <c r="AX515" i="16" s="1"/>
  <c r="AZ515" i="16" s="1"/>
  <c r="Y516" i="16"/>
  <c r="AB516" i="16" s="1"/>
  <c r="AE516" i="16"/>
  <c r="AR515" i="16"/>
  <c r="BC474" i="16"/>
  <c r="BH474" i="16" s="1"/>
  <c r="BN473" i="16"/>
  <c r="BO473" i="16"/>
  <c r="BP473" i="16" s="1"/>
  <c r="O613" i="16"/>
  <c r="AF516" i="16" l="1"/>
  <c r="Z516" i="16"/>
  <c r="U517" i="16" s="1"/>
  <c r="AC517" i="16" s="1"/>
  <c r="BD474" i="16"/>
  <c r="BK474" i="16" s="1"/>
  <c r="AJ127" i="15"/>
  <c r="BQ473" i="16"/>
  <c r="AD176" i="15"/>
  <c r="E472" i="14"/>
  <c r="F472" i="14" s="1"/>
  <c r="H472" i="14" s="1"/>
  <c r="E614" i="16"/>
  <c r="L614" i="16" s="1"/>
  <c r="P614" i="16"/>
  <c r="Q614" i="16" s="1"/>
  <c r="S614" i="16" s="1"/>
  <c r="AG516" i="16" l="1"/>
  <c r="BE474" i="16"/>
  <c r="BF474" i="16" s="1"/>
  <c r="BI474" i="16" s="1"/>
  <c r="BJ474" i="16"/>
  <c r="W517" i="16"/>
  <c r="AA517" i="16" s="1"/>
  <c r="AK517" i="16" s="1"/>
  <c r="AD517" i="16"/>
  <c r="BL474" i="16"/>
  <c r="BM474" i="16" s="1"/>
  <c r="N614" i="16"/>
  <c r="M615" i="16" s="1"/>
  <c r="BG474" i="16" l="1"/>
  <c r="BC475" i="16" s="1"/>
  <c r="BH475" i="16" s="1"/>
  <c r="AL516" i="16"/>
  <c r="AY516" i="16" s="1"/>
  <c r="AH516" i="16"/>
  <c r="AS516" i="16" s="1"/>
  <c r="Y517" i="16"/>
  <c r="AB517" i="16" s="1"/>
  <c r="AE517" i="16"/>
  <c r="BO474" i="16"/>
  <c r="BP474" i="16" s="1"/>
  <c r="BN474" i="16"/>
  <c r="O614" i="16"/>
  <c r="E615" i="16"/>
  <c r="L615" i="16" s="1"/>
  <c r="Z517" i="16" l="1"/>
  <c r="AM516" i="16"/>
  <c r="AN516" i="16" s="1"/>
  <c r="AO516" i="16" s="1"/>
  <c r="AP516" i="16" s="1"/>
  <c r="AQ516" i="16" s="1"/>
  <c r="AU516" i="16"/>
  <c r="AV516" i="16" s="1"/>
  <c r="AT516" i="16"/>
  <c r="AW516" i="16" s="1"/>
  <c r="AF517" i="16"/>
  <c r="AG517" i="16" s="1"/>
  <c r="AH517" i="16" s="1"/>
  <c r="AS517" i="16" s="1"/>
  <c r="AT517" i="16" s="1"/>
  <c r="U518" i="16"/>
  <c r="AC518" i="16" s="1"/>
  <c r="BD475" i="16"/>
  <c r="AJ501" i="15"/>
  <c r="BQ474" i="16"/>
  <c r="E473" i="14"/>
  <c r="F473" i="14" s="1"/>
  <c r="H473" i="14" s="1"/>
  <c r="AD181" i="15"/>
  <c r="N615" i="16"/>
  <c r="M616" i="16" s="1"/>
  <c r="P615" i="16"/>
  <c r="Q615" i="16" s="1"/>
  <c r="S615" i="16" s="1"/>
  <c r="AR516" i="16" l="1"/>
  <c r="AL517" i="16"/>
  <c r="AY517" i="16" s="1"/>
  <c r="AX516" i="16"/>
  <c r="AZ516" i="16" s="1"/>
  <c r="AU517" i="16"/>
  <c r="AV517" i="16" s="1"/>
  <c r="AD518" i="16"/>
  <c r="W518" i="16"/>
  <c r="BJ475" i="16"/>
  <c r="BK475" i="16"/>
  <c r="BE475" i="16"/>
  <c r="BF475" i="16" s="1"/>
  <c r="O615" i="16"/>
  <c r="AW517" i="16" l="1"/>
  <c r="AX517" i="16" s="1"/>
  <c r="AZ517" i="16" s="1"/>
  <c r="AM517" i="16"/>
  <c r="AN517" i="16" s="1"/>
  <c r="AO517" i="16" s="1"/>
  <c r="AP517" i="16" s="1"/>
  <c r="AR517" i="16" s="1"/>
  <c r="AE518" i="16"/>
  <c r="AA518" i="16"/>
  <c r="AK518" i="16" s="1"/>
  <c r="Y518" i="16"/>
  <c r="BL475" i="16"/>
  <c r="BM475" i="16" s="1"/>
  <c r="BI475" i="16"/>
  <c r="BG475" i="16"/>
  <c r="E616" i="16"/>
  <c r="L616" i="16" s="1"/>
  <c r="P616" i="16"/>
  <c r="Q616" i="16" s="1"/>
  <c r="S616" i="16" s="1"/>
  <c r="AQ517" i="16" l="1"/>
  <c r="AB518" i="16"/>
  <c r="Z518" i="16"/>
  <c r="BC476" i="16"/>
  <c r="BH476" i="16" s="1"/>
  <c r="BN475" i="16"/>
  <c r="BO475" i="16"/>
  <c r="BP475" i="16" s="1"/>
  <c r="N616" i="16"/>
  <c r="M617" i="16" s="1"/>
  <c r="U519" i="16" l="1"/>
  <c r="AC519" i="16" s="1"/>
  <c r="AF518" i="16"/>
  <c r="AJ502" i="15"/>
  <c r="BQ475" i="16"/>
  <c r="BD476" i="16"/>
  <c r="BE476" i="16" s="1"/>
  <c r="AD211" i="15"/>
  <c r="E474" i="14"/>
  <c r="F474" i="14" s="1"/>
  <c r="H474" i="14" s="1"/>
  <c r="O616" i="16"/>
  <c r="AG518" i="16" l="1"/>
  <c r="AL518" i="16" s="1"/>
  <c r="AY518" i="16" s="1"/>
  <c r="AD519" i="16"/>
  <c r="W519" i="16"/>
  <c r="AA519" i="16" s="1"/>
  <c r="AK519" i="16" s="1"/>
  <c r="BF476" i="16"/>
  <c r="BJ476" i="16"/>
  <c r="BK476" i="16"/>
  <c r="P617" i="16"/>
  <c r="Q617" i="16" s="1"/>
  <c r="S617" i="16" s="1"/>
  <c r="E617" i="16"/>
  <c r="AM518" i="16" l="1"/>
  <c r="AN518" i="16" s="1"/>
  <c r="AH518" i="16"/>
  <c r="AS518" i="16" s="1"/>
  <c r="AE519" i="16"/>
  <c r="Y519" i="16"/>
  <c r="BL476" i="16"/>
  <c r="BM476" i="16" s="1"/>
  <c r="BI476" i="16"/>
  <c r="BG476" i="16"/>
  <c r="L617" i="16"/>
  <c r="N617" i="16" s="1"/>
  <c r="M618" i="16" s="1"/>
  <c r="AU518" i="16" l="1"/>
  <c r="AV518" i="16" s="1"/>
  <c r="AT518" i="16"/>
  <c r="AW518" i="16" s="1"/>
  <c r="AX518" i="16" s="1"/>
  <c r="AZ518" i="16" s="1"/>
  <c r="AB519" i="16"/>
  <c r="Z519" i="16"/>
  <c r="AO518" i="16"/>
  <c r="AP518" i="16" s="1"/>
  <c r="AQ518" i="16" s="1"/>
  <c r="BC477" i="16"/>
  <c r="BH477" i="16" s="1"/>
  <c r="BO476" i="16"/>
  <c r="BP476" i="16" s="1"/>
  <c r="BN476" i="16"/>
  <c r="O617" i="16"/>
  <c r="U520" i="16" l="1"/>
  <c r="AC520" i="16" s="1"/>
  <c r="AF519" i="16"/>
  <c r="AR518" i="16"/>
  <c r="E475" i="14"/>
  <c r="F475" i="14" s="1"/>
  <c r="H475" i="14" s="1"/>
  <c r="AD224" i="15"/>
  <c r="BD477" i="16"/>
  <c r="BE477" i="16" s="1"/>
  <c r="AJ503" i="15"/>
  <c r="BQ476" i="16"/>
  <c r="P618" i="16"/>
  <c r="Q618" i="16" s="1"/>
  <c r="S618" i="16" s="1"/>
  <c r="E618" i="16"/>
  <c r="L618" i="16" s="1"/>
  <c r="AG519" i="16" l="1"/>
  <c r="AL519" i="16" s="1"/>
  <c r="AY519" i="16" s="1"/>
  <c r="AD520" i="16"/>
  <c r="W520" i="16"/>
  <c r="BJ477" i="16"/>
  <c r="BK477" i="16"/>
  <c r="BF477" i="16"/>
  <c r="N618" i="16"/>
  <c r="M619" i="16" s="1"/>
  <c r="AM519" i="16" l="1"/>
  <c r="AN519" i="16" s="1"/>
  <c r="AO519" i="16" s="1"/>
  <c r="AH519" i="16"/>
  <c r="AS519" i="16" s="1"/>
  <c r="AE520" i="16"/>
  <c r="AA520" i="16"/>
  <c r="AK520" i="16" s="1"/>
  <c r="Y520" i="16"/>
  <c r="BI477" i="16"/>
  <c r="BG477" i="16"/>
  <c r="BL477" i="16"/>
  <c r="BM477" i="16" s="1"/>
  <c r="O618" i="16"/>
  <c r="AT519" i="16" l="1"/>
  <c r="AW519" i="16" s="1"/>
  <c r="AX519" i="16" s="1"/>
  <c r="AZ519" i="16" s="1"/>
  <c r="AU519" i="16"/>
  <c r="AV519" i="16" s="1"/>
  <c r="AB520" i="16"/>
  <c r="Z520" i="16"/>
  <c r="AP519" i="16"/>
  <c r="AR519" i="16" s="1"/>
  <c r="BC478" i="16"/>
  <c r="BH478" i="16" s="1"/>
  <c r="BN477" i="16"/>
  <c r="BO477" i="16"/>
  <c r="BP477" i="16" s="1"/>
  <c r="P619" i="16"/>
  <c r="Q619" i="16" s="1"/>
  <c r="S619" i="16" s="1"/>
  <c r="E619" i="16"/>
  <c r="AQ519" i="16" l="1"/>
  <c r="U521" i="16"/>
  <c r="AC521" i="16" s="1"/>
  <c r="AF520" i="16"/>
  <c r="AG520" i="16" s="1"/>
  <c r="AH520" i="16" s="1"/>
  <c r="AS520" i="16" s="1"/>
  <c r="AT520" i="16" s="1"/>
  <c r="AW520" i="16" s="1"/>
  <c r="AX520" i="16" s="1"/>
  <c r="AZ520" i="16" s="1"/>
  <c r="AJ504" i="15"/>
  <c r="BQ477" i="16"/>
  <c r="BD478" i="16"/>
  <c r="E476" i="14"/>
  <c r="F476" i="14" s="1"/>
  <c r="H476" i="14" s="1"/>
  <c r="AD229" i="15"/>
  <c r="L619" i="16"/>
  <c r="N619" i="16" s="1"/>
  <c r="M620" i="16" s="1"/>
  <c r="AL520" i="16" l="1"/>
  <c r="AM520" i="16" s="1"/>
  <c r="AU520" i="16"/>
  <c r="AV520" i="16" s="1"/>
  <c r="AD521" i="16"/>
  <c r="W521" i="16"/>
  <c r="BE478" i="16"/>
  <c r="BF478" i="16" s="1"/>
  <c r="BJ478" i="16"/>
  <c r="BK478" i="16"/>
  <c r="O619" i="16"/>
  <c r="AY520" i="16" l="1"/>
  <c r="AN520" i="16"/>
  <c r="AO520" i="16" s="1"/>
  <c r="AA521" i="16"/>
  <c r="AK521" i="16" s="1"/>
  <c r="Y521" i="16"/>
  <c r="AB521" i="16" s="1"/>
  <c r="AE521" i="16"/>
  <c r="BI478" i="16"/>
  <c r="BG478" i="16"/>
  <c r="BL478" i="16"/>
  <c r="BM478" i="16" s="1"/>
  <c r="P620" i="16"/>
  <c r="Q620" i="16" s="1"/>
  <c r="S620" i="16" s="1"/>
  <c r="E620" i="16"/>
  <c r="Z521" i="16" l="1"/>
  <c r="U522" i="16" s="1"/>
  <c r="AC522" i="16" s="1"/>
  <c r="AP520" i="16"/>
  <c r="AR520" i="16" s="1"/>
  <c r="AF521" i="16"/>
  <c r="BC479" i="16"/>
  <c r="BH479" i="16" s="1"/>
  <c r="BO478" i="16"/>
  <c r="BP478" i="16" s="1"/>
  <c r="BN478" i="16"/>
  <c r="L620" i="16"/>
  <c r="N620" i="16" s="1"/>
  <c r="M621" i="16" s="1"/>
  <c r="AG521" i="16" l="1"/>
  <c r="AL521" i="16" s="1"/>
  <c r="AY521" i="16" s="1"/>
  <c r="AQ520" i="16"/>
  <c r="AD522" i="16"/>
  <c r="W522" i="16"/>
  <c r="BD479" i="16"/>
  <c r="BE479" i="16" s="1"/>
  <c r="BF479" i="16" s="1"/>
  <c r="AJ505" i="15"/>
  <c r="BQ478" i="16"/>
  <c r="E477" i="14"/>
  <c r="F477" i="14" s="1"/>
  <c r="H477" i="14" s="1"/>
  <c r="AD233" i="15"/>
  <c r="O620" i="16"/>
  <c r="E621" i="16"/>
  <c r="AM521" i="16" l="1"/>
  <c r="AH521" i="16"/>
  <c r="AS521" i="16" s="1"/>
  <c r="AA522" i="16"/>
  <c r="AK522" i="16" s="1"/>
  <c r="Y522" i="16"/>
  <c r="AB522" i="16" s="1"/>
  <c r="AN521" i="16"/>
  <c r="AO521" i="16" s="1"/>
  <c r="AE522" i="16"/>
  <c r="BI479" i="16"/>
  <c r="BG479" i="16"/>
  <c r="BJ479" i="16"/>
  <c r="BK479" i="16"/>
  <c r="L621" i="16"/>
  <c r="N621" i="16" s="1"/>
  <c r="M622" i="16" s="1"/>
  <c r="P621" i="16"/>
  <c r="AT521" i="16" l="1"/>
  <c r="AW521" i="16" s="1"/>
  <c r="AX521" i="16" s="1"/>
  <c r="AZ521" i="16" s="1"/>
  <c r="AU521" i="16"/>
  <c r="AV521" i="16" s="1"/>
  <c r="AP521" i="16"/>
  <c r="AR521" i="16" s="1"/>
  <c r="Z522" i="16"/>
  <c r="AF522" i="16"/>
  <c r="BL479" i="16"/>
  <c r="BM479" i="16" s="1"/>
  <c r="BC480" i="16"/>
  <c r="BO479" i="16"/>
  <c r="BP479" i="16" s="1"/>
  <c r="Q621" i="16"/>
  <c r="S621" i="16" s="1"/>
  <c r="O621" i="16"/>
  <c r="E622" i="16"/>
  <c r="L622" i="16" s="1"/>
  <c r="AG522" i="16" l="1"/>
  <c r="AL522" i="16" s="1"/>
  <c r="BN479" i="16"/>
  <c r="BQ479" i="16" s="1"/>
  <c r="AQ521" i="16"/>
  <c r="U523" i="16"/>
  <c r="AC523" i="16" s="1"/>
  <c r="AY522" i="16"/>
  <c r="BH480" i="16"/>
  <c r="BD480" i="16"/>
  <c r="AJ506" i="15"/>
  <c r="N622" i="16"/>
  <c r="M623" i="16" s="1"/>
  <c r="P622" i="16"/>
  <c r="Q622" i="16" s="1"/>
  <c r="S622" i="16" s="1"/>
  <c r="E478" i="14" l="1"/>
  <c r="F478" i="14" s="1"/>
  <c r="H478" i="14" s="1"/>
  <c r="AD235" i="15"/>
  <c r="AM522" i="16"/>
  <c r="AN522" i="16" s="1"/>
  <c r="AO522" i="16" s="1"/>
  <c r="AH522" i="16"/>
  <c r="AS522" i="16" s="1"/>
  <c r="AD523" i="16"/>
  <c r="W523" i="16"/>
  <c r="BJ480" i="16"/>
  <c r="BK480" i="16"/>
  <c r="BE480" i="16"/>
  <c r="BF480" i="16" s="1"/>
  <c r="O622" i="16"/>
  <c r="AT522" i="16" l="1"/>
  <c r="AW522" i="16" s="1"/>
  <c r="AX522" i="16" s="1"/>
  <c r="AZ522" i="16" s="1"/>
  <c r="AU522" i="16"/>
  <c r="AV522" i="16" s="1"/>
  <c r="AP522" i="16"/>
  <c r="AQ522" i="16" s="1"/>
  <c r="AA523" i="16"/>
  <c r="AK523" i="16" s="1"/>
  <c r="Y523" i="16"/>
  <c r="AB523" i="16" s="1"/>
  <c r="AE523" i="16"/>
  <c r="BI480" i="16"/>
  <c r="BG480" i="16"/>
  <c r="BL480" i="16"/>
  <c r="BM480" i="16" s="1"/>
  <c r="E623" i="16"/>
  <c r="L623" i="16" s="1"/>
  <c r="P623" i="16"/>
  <c r="Q623" i="16" s="1"/>
  <c r="S623" i="16" s="1"/>
  <c r="AR522" i="16" l="1"/>
  <c r="Z523" i="16"/>
  <c r="AF523" i="16"/>
  <c r="AG523" i="16" s="1"/>
  <c r="AH523" i="16" s="1"/>
  <c r="AS523" i="16" s="1"/>
  <c r="AT523" i="16" s="1"/>
  <c r="AW523" i="16" s="1"/>
  <c r="AX523" i="16" s="1"/>
  <c r="AZ523" i="16" s="1"/>
  <c r="BC481" i="16"/>
  <c r="BH481" i="16" s="1"/>
  <c r="BO480" i="16"/>
  <c r="BP480" i="16" s="1"/>
  <c r="BN480" i="16"/>
  <c r="N623" i="16"/>
  <c r="M624" i="16" s="1"/>
  <c r="AL523" i="16" l="1"/>
  <c r="AM523" i="16" s="1"/>
  <c r="AU523" i="16"/>
  <c r="AV523" i="16" s="1"/>
  <c r="U524" i="16"/>
  <c r="AC524" i="16" s="1"/>
  <c r="BD481" i="16"/>
  <c r="BE481" i="16" s="1"/>
  <c r="BF481" i="16" s="1"/>
  <c r="AY523" i="16"/>
  <c r="AD236" i="15"/>
  <c r="E479" i="14"/>
  <c r="F479" i="14" s="1"/>
  <c r="H479" i="14" s="1"/>
  <c r="AJ507" i="15"/>
  <c r="BQ480" i="16"/>
  <c r="O623" i="16"/>
  <c r="BK481" i="16" l="1"/>
  <c r="BL481" i="16" s="1"/>
  <c r="BM481" i="16" s="1"/>
  <c r="BJ481" i="16"/>
  <c r="AD524" i="16"/>
  <c r="AN523" i="16"/>
  <c r="AO523" i="16" s="1"/>
  <c r="W524" i="16"/>
  <c r="AA524" i="16" s="1"/>
  <c r="AK524" i="16" s="1"/>
  <c r="BI481" i="16"/>
  <c r="BG481" i="16"/>
  <c r="E624" i="16"/>
  <c r="L624" i="16" s="1"/>
  <c r="P624" i="16"/>
  <c r="Q624" i="16" s="1"/>
  <c r="S624" i="16" s="1"/>
  <c r="Y524" i="16" l="1"/>
  <c r="AB524" i="16" s="1"/>
  <c r="AP523" i="16"/>
  <c r="AR523" i="16" s="1"/>
  <c r="AE524" i="16"/>
  <c r="BC482" i="16"/>
  <c r="BH482" i="16" s="1"/>
  <c r="BN481" i="16"/>
  <c r="BO481" i="16"/>
  <c r="BP481" i="16" s="1"/>
  <c r="N624" i="16"/>
  <c r="M625" i="16" s="1"/>
  <c r="AF524" i="16" l="1"/>
  <c r="AG524" i="16" s="1"/>
  <c r="AH524" i="16" s="1"/>
  <c r="AS524" i="16" s="1"/>
  <c r="AT524" i="16" s="1"/>
  <c r="AW524" i="16" s="1"/>
  <c r="AX524" i="16" s="1"/>
  <c r="AZ524" i="16" s="1"/>
  <c r="Z524" i="16"/>
  <c r="U525" i="16" s="1"/>
  <c r="AC525" i="16" s="1"/>
  <c r="AD525" i="16" s="1"/>
  <c r="AQ523" i="16"/>
  <c r="BD482" i="16"/>
  <c r="BK482" i="16" s="1"/>
  <c r="AD242" i="15"/>
  <c r="E480" i="14"/>
  <c r="F480" i="14" s="1"/>
  <c r="H480" i="14" s="1"/>
  <c r="AJ508" i="15"/>
  <c r="BQ481" i="16"/>
  <c r="O624" i="16"/>
  <c r="E625" i="16"/>
  <c r="L625" i="16" s="1"/>
  <c r="AL524" i="16" l="1"/>
  <c r="AM524" i="16" s="1"/>
  <c r="AN524" i="16" s="1"/>
  <c r="AU524" i="16"/>
  <c r="AV524" i="16" s="1"/>
  <c r="BE482" i="16"/>
  <c r="BF482" i="16" s="1"/>
  <c r="BI482" i="16" s="1"/>
  <c r="BJ482" i="16"/>
  <c r="W525" i="16"/>
  <c r="AA525" i="16" s="1"/>
  <c r="AK525" i="16" s="1"/>
  <c r="AE525" i="16"/>
  <c r="BL482" i="16"/>
  <c r="BM482" i="16" s="1"/>
  <c r="N625" i="16"/>
  <c r="M626" i="16" s="1"/>
  <c r="P625" i="16"/>
  <c r="Q625" i="16" s="1"/>
  <c r="S625" i="16" s="1"/>
  <c r="AY524" i="16" l="1"/>
  <c r="BG482" i="16"/>
  <c r="BC483" i="16" s="1"/>
  <c r="BH483" i="16" s="1"/>
  <c r="Y525" i="16"/>
  <c r="AB525" i="16" s="1"/>
  <c r="AF525" i="16" s="1"/>
  <c r="AO524" i="16"/>
  <c r="BO482" i="16"/>
  <c r="BP482" i="16" s="1"/>
  <c r="BN482" i="16"/>
  <c r="O625" i="16"/>
  <c r="AG525" i="16" l="1"/>
  <c r="AH525" i="16" s="1"/>
  <c r="AS525" i="16" s="1"/>
  <c r="Z525" i="16"/>
  <c r="U526" i="16" s="1"/>
  <c r="AC526" i="16" s="1"/>
  <c r="AP524" i="16"/>
  <c r="AR524" i="16" s="1"/>
  <c r="AJ509" i="15"/>
  <c r="BQ482" i="16"/>
  <c r="E481" i="14"/>
  <c r="F481" i="14" s="1"/>
  <c r="H481" i="14" s="1"/>
  <c r="AD249" i="15"/>
  <c r="BD483" i="16"/>
  <c r="E626" i="16"/>
  <c r="L626" i="16" s="1"/>
  <c r="P626" i="16"/>
  <c r="Q626" i="16" s="1"/>
  <c r="S626" i="16" s="1"/>
  <c r="AT525" i="16" l="1"/>
  <c r="AW525" i="16" s="1"/>
  <c r="AX525" i="16" s="1"/>
  <c r="AZ525" i="16" s="1"/>
  <c r="AU525" i="16"/>
  <c r="AV525" i="16" s="1"/>
  <c r="AL525" i="16"/>
  <c r="AY525" i="16" s="1"/>
  <c r="AQ524" i="16"/>
  <c r="W526" i="16"/>
  <c r="AA526" i="16" s="1"/>
  <c r="AK526" i="16" s="1"/>
  <c r="AD526" i="16"/>
  <c r="BJ483" i="16"/>
  <c r="BK483" i="16"/>
  <c r="BE483" i="16"/>
  <c r="BF483" i="16" s="1"/>
  <c r="N626" i="16"/>
  <c r="M627" i="16" s="1"/>
  <c r="AM525" i="16" l="1"/>
  <c r="AN525" i="16" s="1"/>
  <c r="AO525" i="16" s="1"/>
  <c r="AP525" i="16" s="1"/>
  <c r="AR525" i="16" s="1"/>
  <c r="Y526" i="16"/>
  <c r="AB526" i="16" s="1"/>
  <c r="AE526" i="16"/>
  <c r="BI483" i="16"/>
  <c r="BG483" i="16"/>
  <c r="BL483" i="16"/>
  <c r="BM483" i="16" s="1"/>
  <c r="E627" i="16"/>
  <c r="L627" i="16" s="1"/>
  <c r="O626" i="16"/>
  <c r="Z526" i="16" l="1"/>
  <c r="U527" i="16" s="1"/>
  <c r="AC527" i="16" s="1"/>
  <c r="AF526" i="16"/>
  <c r="AQ525" i="16"/>
  <c r="BC484" i="16"/>
  <c r="BH484" i="16" s="1"/>
  <c r="BO483" i="16"/>
  <c r="BP483" i="16" s="1"/>
  <c r="BN483" i="16"/>
  <c r="N627" i="16"/>
  <c r="M628" i="16" s="1"/>
  <c r="P627" i="16"/>
  <c r="Q627" i="16" s="1"/>
  <c r="S627" i="16" s="1"/>
  <c r="W527" i="16" l="1"/>
  <c r="AA527" i="16" s="1"/>
  <c r="AK527" i="16" s="1"/>
  <c r="AG526" i="16"/>
  <c r="AD527" i="16"/>
  <c r="AE527" i="16" s="1"/>
  <c r="E482" i="14"/>
  <c r="F482" i="14" s="1"/>
  <c r="H482" i="14" s="1"/>
  <c r="AD251" i="15"/>
  <c r="BD484" i="16"/>
  <c r="AJ510" i="15"/>
  <c r="BQ483" i="16"/>
  <c r="O627" i="16"/>
  <c r="E628" i="16"/>
  <c r="L628" i="16" s="1"/>
  <c r="Y527" i="16" l="1"/>
  <c r="AB527" i="16" s="1"/>
  <c r="AF527" i="16" s="1"/>
  <c r="AG527" i="16" s="1"/>
  <c r="AH527" i="16" s="1"/>
  <c r="AS527" i="16" s="1"/>
  <c r="AT527" i="16" s="1"/>
  <c r="AL526" i="16"/>
  <c r="AY526" i="16" s="1"/>
  <c r="AH526" i="16"/>
  <c r="AS526" i="16" s="1"/>
  <c r="BJ484" i="16"/>
  <c r="BK484" i="16"/>
  <c r="BE484" i="16"/>
  <c r="BF484" i="16" s="1"/>
  <c r="N628" i="16"/>
  <c r="P628" i="16"/>
  <c r="Q628" i="16" s="1"/>
  <c r="S628" i="16" s="1"/>
  <c r="Z527" i="16" l="1"/>
  <c r="U528" i="16" s="1"/>
  <c r="AC528" i="16" s="1"/>
  <c r="AD528" i="16" s="1"/>
  <c r="AE528" i="16" s="1"/>
  <c r="AM526" i="16"/>
  <c r="AN526" i="16" s="1"/>
  <c r="AO526" i="16" s="1"/>
  <c r="AP526" i="16" s="1"/>
  <c r="AQ526" i="16" s="1"/>
  <c r="AL527" i="16"/>
  <c r="AM527" i="16" s="1"/>
  <c r="AT526" i="16"/>
  <c r="AW526" i="16" s="1"/>
  <c r="AU526" i="16"/>
  <c r="BL484" i="16"/>
  <c r="BM484" i="16" s="1"/>
  <c r="BI484" i="16"/>
  <c r="BG484" i="16"/>
  <c r="O628" i="16"/>
  <c r="M629" i="16"/>
  <c r="E629" i="16" s="1"/>
  <c r="L629" i="16" s="1"/>
  <c r="AR526" i="16" l="1"/>
  <c r="W528" i="16"/>
  <c r="AA528" i="16" s="1"/>
  <c r="AK528" i="16" s="1"/>
  <c r="AY527" i="16"/>
  <c r="AV526" i="16"/>
  <c r="AU527" i="16" s="1"/>
  <c r="AV527" i="16" s="1"/>
  <c r="AX526" i="16"/>
  <c r="AZ526" i="16" s="1"/>
  <c r="AN527" i="16"/>
  <c r="AO527" i="16" s="1"/>
  <c r="BC485" i="16"/>
  <c r="BH485" i="16" s="1"/>
  <c r="BO484" i="16"/>
  <c r="BP484" i="16" s="1"/>
  <c r="BN484" i="16"/>
  <c r="P629" i="16"/>
  <c r="Q629" i="16" s="1"/>
  <c r="S629" i="16" s="1"/>
  <c r="N629" i="16"/>
  <c r="M630" i="16" s="1"/>
  <c r="Y528" i="16" l="1"/>
  <c r="Z528" i="16" s="1"/>
  <c r="U529" i="16" s="1"/>
  <c r="AC529" i="16" s="1"/>
  <c r="AW527" i="16"/>
  <c r="AX527" i="16" s="1"/>
  <c r="AZ527" i="16" s="1"/>
  <c r="AP527" i="16"/>
  <c r="AR527" i="16" s="1"/>
  <c r="AJ511" i="15"/>
  <c r="BQ484" i="16"/>
  <c r="AD256" i="15"/>
  <c r="E483" i="14"/>
  <c r="F483" i="14" s="1"/>
  <c r="H483" i="14" s="1"/>
  <c r="BD485" i="16"/>
  <c r="BE485" i="16" s="1"/>
  <c r="O629" i="16"/>
  <c r="AB528" i="16" l="1"/>
  <c r="AQ527" i="16"/>
  <c r="AD529" i="16"/>
  <c r="AE529" i="16" s="1"/>
  <c r="AF528" i="16"/>
  <c r="BF485" i="16"/>
  <c r="BG485" i="16" s="1"/>
  <c r="W529" i="16"/>
  <c r="AA529" i="16" s="1"/>
  <c r="AK529" i="16" s="1"/>
  <c r="BJ485" i="16"/>
  <c r="BK485" i="16"/>
  <c r="E630" i="16"/>
  <c r="L630" i="16" s="1"/>
  <c r="P630" i="16"/>
  <c r="AG528" i="16" l="1"/>
  <c r="AL528" i="16" s="1"/>
  <c r="AY528" i="16" s="1"/>
  <c r="BI485" i="16"/>
  <c r="BO485" i="16" s="1"/>
  <c r="BP485" i="16" s="1"/>
  <c r="Y529" i="16"/>
  <c r="BC486" i="16"/>
  <c r="BH486" i="16" s="1"/>
  <c r="BL485" i="16"/>
  <c r="BM485" i="16" s="1"/>
  <c r="Q630" i="16"/>
  <c r="S630" i="16" s="1"/>
  <c r="N630" i="16"/>
  <c r="M631" i="16" s="1"/>
  <c r="AM528" i="16" l="1"/>
  <c r="AN528" i="16" s="1"/>
  <c r="AO528" i="16" s="1"/>
  <c r="AP528" i="16" s="1"/>
  <c r="AH528" i="16"/>
  <c r="AS528" i="16" s="1"/>
  <c r="AB529" i="16"/>
  <c r="Z529" i="16"/>
  <c r="U530" i="16" s="1"/>
  <c r="AC530" i="16" s="1"/>
  <c r="AD530" i="16" s="1"/>
  <c r="AJ512" i="15"/>
  <c r="BD486" i="16"/>
  <c r="BN485" i="16"/>
  <c r="O630" i="16"/>
  <c r="AQ528" i="16" l="1"/>
  <c r="AU528" i="16"/>
  <c r="AV528" i="16" s="1"/>
  <c r="AT528" i="16"/>
  <c r="AW528" i="16" s="1"/>
  <c r="AX528" i="16" s="1"/>
  <c r="AZ528" i="16" s="1"/>
  <c r="AR528" i="16"/>
  <c r="AF529" i="16"/>
  <c r="AG529" i="16" s="1"/>
  <c r="AH529" i="16" s="1"/>
  <c r="AS529" i="16" s="1"/>
  <c r="AT529" i="16" s="1"/>
  <c r="W530" i="16"/>
  <c r="AA530" i="16" s="1"/>
  <c r="AK530" i="16" s="1"/>
  <c r="AE530" i="16"/>
  <c r="E484" i="14"/>
  <c r="F484" i="14" s="1"/>
  <c r="H484" i="14" s="1"/>
  <c r="AD262" i="15"/>
  <c r="BJ486" i="16"/>
  <c r="BE486" i="16"/>
  <c r="BF486" i="16" s="1"/>
  <c r="BK486" i="16"/>
  <c r="BQ485" i="16"/>
  <c r="E631" i="16"/>
  <c r="L631" i="16" s="1"/>
  <c r="P631" i="16"/>
  <c r="AW529" i="16" l="1"/>
  <c r="AX529" i="16" s="1"/>
  <c r="AZ529" i="16" s="1"/>
  <c r="AL529" i="16"/>
  <c r="AY529" i="16" s="1"/>
  <c r="AU529" i="16"/>
  <c r="AV529" i="16" s="1"/>
  <c r="Y530" i="16"/>
  <c r="AB530" i="16" s="1"/>
  <c r="AF530" i="16" s="1"/>
  <c r="BI486" i="16"/>
  <c r="BG486" i="16"/>
  <c r="BL486" i="16"/>
  <c r="BM486" i="16" s="1"/>
  <c r="Q631" i="16"/>
  <c r="S631" i="16" s="1"/>
  <c r="N631" i="16"/>
  <c r="M632" i="16" s="1"/>
  <c r="AM529" i="16" l="1"/>
  <c r="AN529" i="16" s="1"/>
  <c r="AO529" i="16" s="1"/>
  <c r="AP529" i="16" s="1"/>
  <c r="AR529" i="16" s="1"/>
  <c r="AG530" i="16"/>
  <c r="AH530" i="16" s="1"/>
  <c r="AS530" i="16" s="1"/>
  <c r="Z530" i="16"/>
  <c r="U531" i="16" s="1"/>
  <c r="AC531" i="16" s="1"/>
  <c r="BC487" i="16"/>
  <c r="BH487" i="16" s="1"/>
  <c r="BO486" i="16"/>
  <c r="BP486" i="16" s="1"/>
  <c r="BN486" i="16"/>
  <c r="O631" i="16"/>
  <c r="AQ529" i="16" l="1"/>
  <c r="AL530" i="16"/>
  <c r="AM530" i="16" s="1"/>
  <c r="AN530" i="16" s="1"/>
  <c r="AO530" i="16" s="1"/>
  <c r="AU530" i="16"/>
  <c r="AV530" i="16" s="1"/>
  <c r="AT530" i="16"/>
  <c r="AW530" i="16" s="1"/>
  <c r="AX530" i="16" s="1"/>
  <c r="AZ530" i="16" s="1"/>
  <c r="W531" i="16"/>
  <c r="AA531" i="16" s="1"/>
  <c r="AK531" i="16" s="1"/>
  <c r="AD531" i="16"/>
  <c r="E485" i="14"/>
  <c r="F485" i="14" s="1"/>
  <c r="H485" i="14" s="1"/>
  <c r="AD267" i="15"/>
  <c r="BD487" i="16"/>
  <c r="AJ513" i="15"/>
  <c r="BQ486" i="16"/>
  <c r="E632" i="16"/>
  <c r="L632" i="16" s="1"/>
  <c r="P632" i="16"/>
  <c r="AY530" i="16" l="1"/>
  <c r="Y531" i="16"/>
  <c r="AB531" i="16" s="1"/>
  <c r="AE531" i="16"/>
  <c r="AP530" i="16"/>
  <c r="AQ530" i="16" s="1"/>
  <c r="BJ487" i="16"/>
  <c r="BK487" i="16"/>
  <c r="BE487" i="16"/>
  <c r="BF487" i="16" s="1"/>
  <c r="Q632" i="16"/>
  <c r="S632" i="16" s="1"/>
  <c r="N632" i="16"/>
  <c r="M633" i="16" s="1"/>
  <c r="AR530" i="16" l="1"/>
  <c r="Z531" i="16"/>
  <c r="U532" i="16" s="1"/>
  <c r="AC532" i="16" s="1"/>
  <c r="AF531" i="16"/>
  <c r="AG531" i="16" s="1"/>
  <c r="AH531" i="16" s="1"/>
  <c r="AS531" i="16" s="1"/>
  <c r="BI487" i="16"/>
  <c r="BG487" i="16"/>
  <c r="BL487" i="16"/>
  <c r="BM487" i="16" s="1"/>
  <c r="O632" i="16"/>
  <c r="AL531" i="16" l="1"/>
  <c r="AT531" i="16"/>
  <c r="AW531" i="16" s="1"/>
  <c r="AX531" i="16" s="1"/>
  <c r="AZ531" i="16" s="1"/>
  <c r="AU531" i="16"/>
  <c r="AV531" i="16" s="1"/>
  <c r="W532" i="16"/>
  <c r="AA532" i="16" s="1"/>
  <c r="AK532" i="16" s="1"/>
  <c r="AY531" i="16"/>
  <c r="AM531" i="16"/>
  <c r="AD532" i="16"/>
  <c r="BC488" i="16"/>
  <c r="BH488" i="16" s="1"/>
  <c r="BO487" i="16"/>
  <c r="BP487" i="16" s="1"/>
  <c r="BN487" i="16"/>
  <c r="E633" i="16"/>
  <c r="L633" i="16" s="1"/>
  <c r="P633" i="16"/>
  <c r="Y532" i="16" l="1"/>
  <c r="AB532" i="16" s="1"/>
  <c r="AE532" i="16"/>
  <c r="AN531" i="16"/>
  <c r="AO531" i="16" s="1"/>
  <c r="BD488" i="16"/>
  <c r="BE488" i="16" s="1"/>
  <c r="AJ68" i="15"/>
  <c r="BQ487" i="16"/>
  <c r="AD142" i="15"/>
  <c r="E486" i="14"/>
  <c r="F486" i="14" s="1"/>
  <c r="H486" i="14" s="1"/>
  <c r="Q633" i="16"/>
  <c r="S633" i="16" s="1"/>
  <c r="N633" i="16"/>
  <c r="M634" i="16" s="1"/>
  <c r="AF532" i="16" l="1"/>
  <c r="AG532" i="16" s="1"/>
  <c r="AH532" i="16" s="1"/>
  <c r="AS532" i="16" s="1"/>
  <c r="Z532" i="16"/>
  <c r="AP531" i="16"/>
  <c r="AR531" i="16" s="1"/>
  <c r="BK488" i="16"/>
  <c r="BL488" i="16" s="1"/>
  <c r="BM488" i="16" s="1"/>
  <c r="BJ488" i="16"/>
  <c r="BF488" i="16"/>
  <c r="BI488" i="16" s="1"/>
  <c r="O633" i="16"/>
  <c r="AT532" i="16" l="1"/>
  <c r="AW532" i="16" s="1"/>
  <c r="AX532" i="16" s="1"/>
  <c r="AZ532" i="16" s="1"/>
  <c r="AU532" i="16"/>
  <c r="AV532" i="16" s="1"/>
  <c r="AL532" i="16"/>
  <c r="AQ531" i="16"/>
  <c r="U533" i="16"/>
  <c r="AC533" i="16" s="1"/>
  <c r="AD533" i="16" s="1"/>
  <c r="AE533" i="16" s="1"/>
  <c r="BG488" i="16"/>
  <c r="BC489" i="16" s="1"/>
  <c r="BH489" i="16" s="1"/>
  <c r="BO488" i="16"/>
  <c r="BP488" i="16" s="1"/>
  <c r="BN488" i="16"/>
  <c r="E634" i="16"/>
  <c r="L634" i="16" s="1"/>
  <c r="P634" i="16"/>
  <c r="AY532" i="16" l="1"/>
  <c r="AM532" i="16"/>
  <c r="AN532" i="16" s="1"/>
  <c r="AO532" i="16" s="1"/>
  <c r="AP532" i="16" s="1"/>
  <c r="AR532" i="16" s="1"/>
  <c r="W533" i="16"/>
  <c r="E487" i="14"/>
  <c r="F487" i="14" s="1"/>
  <c r="H487" i="14" s="1"/>
  <c r="AD160" i="15"/>
  <c r="BD489" i="16"/>
  <c r="AJ514" i="15"/>
  <c r="BQ488" i="16"/>
  <c r="Q634" i="16"/>
  <c r="S634" i="16" s="1"/>
  <c r="N634" i="16"/>
  <c r="M635" i="16" s="1"/>
  <c r="AQ532" i="16" l="1"/>
  <c r="AA533" i="16"/>
  <c r="AK533" i="16" s="1"/>
  <c r="Y533" i="16"/>
  <c r="AB533" i="16" s="1"/>
  <c r="BJ489" i="16"/>
  <c r="BK489" i="16"/>
  <c r="BE489" i="16"/>
  <c r="BF489" i="16" s="1"/>
  <c r="O634" i="16"/>
  <c r="E635" i="16"/>
  <c r="L635" i="16" s="1"/>
  <c r="AF533" i="16" l="1"/>
  <c r="Z533" i="16"/>
  <c r="BI489" i="16"/>
  <c r="BG489" i="16"/>
  <c r="BL489" i="16"/>
  <c r="BM489" i="16" s="1"/>
  <c r="N635" i="16"/>
  <c r="M636" i="16" s="1"/>
  <c r="P635" i="16"/>
  <c r="AG533" i="16" l="1"/>
  <c r="AL533" i="16" s="1"/>
  <c r="AY533" i="16" s="1"/>
  <c r="U534" i="16"/>
  <c r="W534" i="16" s="1"/>
  <c r="AA534" i="16" s="1"/>
  <c r="AK534" i="16" s="1"/>
  <c r="BC490" i="16"/>
  <c r="BH490" i="16" s="1"/>
  <c r="BN489" i="16"/>
  <c r="BO489" i="16"/>
  <c r="BP489" i="16" s="1"/>
  <c r="Q635" i="16"/>
  <c r="S635" i="16" s="1"/>
  <c r="O635" i="16"/>
  <c r="AM533" i="16" l="1"/>
  <c r="AN533" i="16" s="1"/>
  <c r="AO533" i="16" s="1"/>
  <c r="AH533" i="16"/>
  <c r="AS533" i="16" s="1"/>
  <c r="AC534" i="16"/>
  <c r="Y534" i="16"/>
  <c r="AJ515" i="15"/>
  <c r="BQ489" i="16"/>
  <c r="BD490" i="16"/>
  <c r="BE490" i="16" s="1"/>
  <c r="E488" i="14"/>
  <c r="F488" i="14" s="1"/>
  <c r="H488" i="14" s="1"/>
  <c r="AD183" i="15"/>
  <c r="E636" i="16"/>
  <c r="L636" i="16" s="1"/>
  <c r="P636" i="16"/>
  <c r="AU533" i="16" l="1"/>
  <c r="AV533" i="16" s="1"/>
  <c r="AT533" i="16"/>
  <c r="AW533" i="16" s="1"/>
  <c r="AX533" i="16" s="1"/>
  <c r="AZ533" i="16" s="1"/>
  <c r="AP533" i="16"/>
  <c r="AR533" i="16" s="1"/>
  <c r="AB534" i="16"/>
  <c r="Z534" i="16"/>
  <c r="U535" i="16" s="1"/>
  <c r="AC535" i="16" s="1"/>
  <c r="AD534" i="16"/>
  <c r="AE534" i="16" s="1"/>
  <c r="BJ490" i="16"/>
  <c r="BK490" i="16"/>
  <c r="BF490" i="16"/>
  <c r="Q636" i="16"/>
  <c r="S636" i="16" s="1"/>
  <c r="N636" i="16"/>
  <c r="M637" i="16" s="1"/>
  <c r="AD535" i="16" l="1"/>
  <c r="AE535" i="16" s="1"/>
  <c r="W535" i="16"/>
  <c r="AA535" i="16" s="1"/>
  <c r="AK535" i="16" s="1"/>
  <c r="AQ533" i="16"/>
  <c r="AF534" i="16"/>
  <c r="AG534" i="16" s="1"/>
  <c r="AH534" i="16" s="1"/>
  <c r="AS534" i="16" s="1"/>
  <c r="AT534" i="16" s="1"/>
  <c r="AW534" i="16" s="1"/>
  <c r="AX534" i="16" s="1"/>
  <c r="AZ534" i="16" s="1"/>
  <c r="BI490" i="16"/>
  <c r="BG490" i="16"/>
  <c r="BL490" i="16"/>
  <c r="BM490" i="16" s="1"/>
  <c r="O636" i="16"/>
  <c r="AU534" i="16" l="1"/>
  <c r="AV534" i="16" s="1"/>
  <c r="AL534" i="16"/>
  <c r="AY534" i="16" s="1"/>
  <c r="Y535" i="16"/>
  <c r="AB535" i="16" s="1"/>
  <c r="BC491" i="16"/>
  <c r="BH491" i="16" s="1"/>
  <c r="BO490" i="16"/>
  <c r="BP490" i="16" s="1"/>
  <c r="BN490" i="16"/>
  <c r="E637" i="16"/>
  <c r="L637" i="16" s="1"/>
  <c r="P637" i="16"/>
  <c r="Z535" i="16" l="1"/>
  <c r="U536" i="16" s="1"/>
  <c r="AC536" i="16" s="1"/>
  <c r="AM534" i="16"/>
  <c r="AN534" i="16" s="1"/>
  <c r="AO534" i="16" s="1"/>
  <c r="BD491" i="16"/>
  <c r="BJ491" i="16" s="1"/>
  <c r="AF535" i="16"/>
  <c r="AG535" i="16" s="1"/>
  <c r="AH535" i="16" s="1"/>
  <c r="AS535" i="16" s="1"/>
  <c r="AT535" i="16" s="1"/>
  <c r="AW535" i="16" s="1"/>
  <c r="AX535" i="16" s="1"/>
  <c r="AZ535" i="16" s="1"/>
  <c r="AJ516" i="15"/>
  <c r="BQ490" i="16"/>
  <c r="E489" i="14"/>
  <c r="F489" i="14" s="1"/>
  <c r="H489" i="14" s="1"/>
  <c r="AD221" i="15"/>
  <c r="Q637" i="16"/>
  <c r="S637" i="16" s="1"/>
  <c r="N637" i="16"/>
  <c r="M638" i="16" s="1"/>
  <c r="BE491" i="16" l="1"/>
  <c r="BF491" i="16" s="1"/>
  <c r="BI491" i="16" s="1"/>
  <c r="AL535" i="16"/>
  <c r="AM535" i="16" s="1"/>
  <c r="AN535" i="16" s="1"/>
  <c r="AO535" i="16" s="1"/>
  <c r="AU535" i="16"/>
  <c r="AV535" i="16" s="1"/>
  <c r="BK491" i="16"/>
  <c r="BL491" i="16" s="1"/>
  <c r="BM491" i="16" s="1"/>
  <c r="AP534" i="16"/>
  <c r="AR534" i="16" s="1"/>
  <c r="AD536" i="16"/>
  <c r="W536" i="16"/>
  <c r="AA536" i="16" s="1"/>
  <c r="AK536" i="16" s="1"/>
  <c r="O637" i="16"/>
  <c r="AY535" i="16" l="1"/>
  <c r="BG491" i="16"/>
  <c r="BC492" i="16" s="1"/>
  <c r="BH492" i="16" s="1"/>
  <c r="AQ534" i="16"/>
  <c r="Y536" i="16"/>
  <c r="AB536" i="16" s="1"/>
  <c r="AP535" i="16"/>
  <c r="AR535" i="16" s="1"/>
  <c r="AE536" i="16"/>
  <c r="BN491" i="16"/>
  <c r="BO491" i="16"/>
  <c r="BP491" i="16" s="1"/>
  <c r="E638" i="16"/>
  <c r="L638" i="16" s="1"/>
  <c r="P638" i="16"/>
  <c r="AQ535" i="16" l="1"/>
  <c r="Z536" i="16"/>
  <c r="U537" i="16" s="1"/>
  <c r="AC537" i="16" s="1"/>
  <c r="AF536" i="16"/>
  <c r="AJ517" i="15"/>
  <c r="BQ491" i="16"/>
  <c r="BD492" i="16"/>
  <c r="E490" i="14"/>
  <c r="F490" i="14" s="1"/>
  <c r="H490" i="14" s="1"/>
  <c r="AD244" i="15"/>
  <c r="Q638" i="16"/>
  <c r="S638" i="16" s="1"/>
  <c r="N638" i="16"/>
  <c r="M639" i="16" s="1"/>
  <c r="AG536" i="16" l="1"/>
  <c r="AD537" i="16"/>
  <c r="W537" i="16"/>
  <c r="BJ492" i="16"/>
  <c r="BK492" i="16"/>
  <c r="BE492" i="16"/>
  <c r="BF492" i="16" s="1"/>
  <c r="O638" i="16"/>
  <c r="AL536" i="16" l="1"/>
  <c r="AY536" i="16" s="1"/>
  <c r="AH536" i="16"/>
  <c r="AS536" i="16" s="1"/>
  <c r="AA537" i="16"/>
  <c r="AK537" i="16" s="1"/>
  <c r="Y537" i="16"/>
  <c r="AB537" i="16" s="1"/>
  <c r="AE537" i="16"/>
  <c r="BI492" i="16"/>
  <c r="BG492" i="16"/>
  <c r="BL492" i="16"/>
  <c r="BM492" i="16" s="1"/>
  <c r="E639" i="16"/>
  <c r="L639" i="16" s="1"/>
  <c r="P639" i="16"/>
  <c r="AM536" i="16" l="1"/>
  <c r="AN536" i="16" s="1"/>
  <c r="AO536" i="16" s="1"/>
  <c r="AP536" i="16" s="1"/>
  <c r="AQ536" i="16" s="1"/>
  <c r="AT536" i="16"/>
  <c r="AW536" i="16" s="1"/>
  <c r="AX536" i="16" s="1"/>
  <c r="AZ536" i="16" s="1"/>
  <c r="AU536" i="16"/>
  <c r="AV536" i="16" s="1"/>
  <c r="AF537" i="16"/>
  <c r="Z537" i="16"/>
  <c r="BC493" i="16"/>
  <c r="BH493" i="16" s="1"/>
  <c r="BO492" i="16"/>
  <c r="BP492" i="16" s="1"/>
  <c r="BN492" i="16"/>
  <c r="Q639" i="16"/>
  <c r="S639" i="16" s="1"/>
  <c r="N639" i="16"/>
  <c r="M640" i="16" s="1"/>
  <c r="AR536" i="16" l="1"/>
  <c r="AG537" i="16"/>
  <c r="AL537" i="16" s="1"/>
  <c r="AY537" i="16" s="1"/>
  <c r="U538" i="16"/>
  <c r="AC538" i="16" s="1"/>
  <c r="BD493" i="16"/>
  <c r="BK493" i="16" s="1"/>
  <c r="E491" i="14"/>
  <c r="F491" i="14" s="1"/>
  <c r="H491" i="14" s="1"/>
  <c r="AD275" i="15"/>
  <c r="AJ518" i="15"/>
  <c r="BQ492" i="16"/>
  <c r="O639" i="16"/>
  <c r="E640" i="16"/>
  <c r="L640" i="16" s="1"/>
  <c r="AM537" i="16" l="1"/>
  <c r="AN537" i="16" s="1"/>
  <c r="AO537" i="16" s="1"/>
  <c r="AP537" i="16" s="1"/>
  <c r="AQ537" i="16" s="1"/>
  <c r="AH537" i="16"/>
  <c r="AS537" i="16" s="1"/>
  <c r="BJ493" i="16"/>
  <c r="BE493" i="16"/>
  <c r="BF493" i="16" s="1"/>
  <c r="BG493" i="16" s="1"/>
  <c r="W538" i="16"/>
  <c r="AA538" i="16" s="1"/>
  <c r="AK538" i="16" s="1"/>
  <c r="AD538" i="16"/>
  <c r="BL493" i="16"/>
  <c r="BM493" i="16" s="1"/>
  <c r="N640" i="16"/>
  <c r="M641" i="16" s="1"/>
  <c r="P640" i="16"/>
  <c r="AT537" i="16" l="1"/>
  <c r="AW537" i="16" s="1"/>
  <c r="AX537" i="16" s="1"/>
  <c r="AZ537" i="16" s="1"/>
  <c r="AU537" i="16"/>
  <c r="AV537" i="16" s="1"/>
  <c r="BI493" i="16"/>
  <c r="BN493" i="16" s="1"/>
  <c r="Y538" i="16"/>
  <c r="AE538" i="16"/>
  <c r="AR537" i="16"/>
  <c r="BC494" i="16"/>
  <c r="BH494" i="16" s="1"/>
  <c r="Q640" i="16"/>
  <c r="S640" i="16" s="1"/>
  <c r="O640" i="16"/>
  <c r="BO493" i="16" l="1"/>
  <c r="BP493" i="16" s="1"/>
  <c r="BQ493" i="16" s="1"/>
  <c r="AB538" i="16"/>
  <c r="Z538" i="16"/>
  <c r="U539" i="16" s="1"/>
  <c r="AC539" i="16" s="1"/>
  <c r="BD494" i="16"/>
  <c r="AD291" i="15"/>
  <c r="E492" i="14"/>
  <c r="F492" i="14" s="1"/>
  <c r="H492" i="14" s="1"/>
  <c r="E641" i="16"/>
  <c r="L641" i="16" s="1"/>
  <c r="P641" i="16"/>
  <c r="AJ519" i="15" l="1"/>
  <c r="AD539" i="16"/>
  <c r="AE539" i="16" s="1"/>
  <c r="W539" i="16"/>
  <c r="AA539" i="16" s="1"/>
  <c r="AK539" i="16" s="1"/>
  <c r="AF538" i="16"/>
  <c r="AG538" i="16" s="1"/>
  <c r="AH538" i="16" s="1"/>
  <c r="AS538" i="16" s="1"/>
  <c r="BJ494" i="16"/>
  <c r="BK494" i="16"/>
  <c r="BE494" i="16"/>
  <c r="BF494" i="16" s="1"/>
  <c r="Q641" i="16"/>
  <c r="S641" i="16" s="1"/>
  <c r="N641" i="16"/>
  <c r="M642" i="16" s="1"/>
  <c r="AT538" i="16" l="1"/>
  <c r="AW538" i="16" s="1"/>
  <c r="AX538" i="16" s="1"/>
  <c r="AZ538" i="16" s="1"/>
  <c r="AU538" i="16"/>
  <c r="AV538" i="16" s="1"/>
  <c r="AL538" i="16"/>
  <c r="AY538" i="16" s="1"/>
  <c r="Y539" i="16"/>
  <c r="AB539" i="16" s="1"/>
  <c r="AF539" i="16" s="1"/>
  <c r="AG539" i="16" s="1"/>
  <c r="AH539" i="16" s="1"/>
  <c r="AS539" i="16" s="1"/>
  <c r="AT539" i="16" s="1"/>
  <c r="AW539" i="16" s="1"/>
  <c r="AX539" i="16" s="1"/>
  <c r="AZ539" i="16" s="1"/>
  <c r="BI494" i="16"/>
  <c r="BG494" i="16"/>
  <c r="BL494" i="16"/>
  <c r="BM494" i="16" s="1"/>
  <c r="O641" i="16"/>
  <c r="AL539" i="16" l="1"/>
  <c r="AU539" i="16"/>
  <c r="AV539" i="16" s="1"/>
  <c r="AM538" i="16"/>
  <c r="AN538" i="16" s="1"/>
  <c r="AO538" i="16" s="1"/>
  <c r="AP538" i="16" s="1"/>
  <c r="AR538" i="16" s="1"/>
  <c r="Z539" i="16"/>
  <c r="U540" i="16" s="1"/>
  <c r="AC540" i="16" s="1"/>
  <c r="AY539" i="16"/>
  <c r="AM539" i="16"/>
  <c r="AN539" i="16" s="1"/>
  <c r="AO539" i="16" s="1"/>
  <c r="BC495" i="16"/>
  <c r="BH495" i="16" s="1"/>
  <c r="BN494" i="16"/>
  <c r="BO494" i="16"/>
  <c r="BP494" i="16" s="1"/>
  <c r="E642" i="16"/>
  <c r="L642" i="16" s="1"/>
  <c r="P642" i="16"/>
  <c r="W540" i="16" l="1"/>
  <c r="AA540" i="16" s="1"/>
  <c r="AK540" i="16" s="1"/>
  <c r="AD540" i="16"/>
  <c r="AE540" i="16" s="1"/>
  <c r="AQ538" i="16"/>
  <c r="AP539" i="16"/>
  <c r="AR539" i="16" s="1"/>
  <c r="AD295" i="15"/>
  <c r="E493" i="14"/>
  <c r="F493" i="14" s="1"/>
  <c r="H493" i="14" s="1"/>
  <c r="AJ520" i="15"/>
  <c r="BQ494" i="16"/>
  <c r="BD495" i="16"/>
  <c r="Q642" i="16"/>
  <c r="S642" i="16" s="1"/>
  <c r="N642" i="16"/>
  <c r="M643" i="16" s="1"/>
  <c r="Y540" i="16" l="1"/>
  <c r="AB540" i="16" s="1"/>
  <c r="AF540" i="16" s="1"/>
  <c r="AG540" i="16" s="1"/>
  <c r="AQ539" i="16"/>
  <c r="BJ495" i="16"/>
  <c r="BK495" i="16"/>
  <c r="BE495" i="16"/>
  <c r="BF495" i="16" s="1"/>
  <c r="O642" i="16"/>
  <c r="Z540" i="16" l="1"/>
  <c r="U541" i="16" s="1"/>
  <c r="AC541" i="16" s="1"/>
  <c r="AD541" i="16" s="1"/>
  <c r="AE541" i="16" s="1"/>
  <c r="AH540" i="16"/>
  <c r="AS540" i="16" s="1"/>
  <c r="AL540" i="16"/>
  <c r="AY540" i="16" s="1"/>
  <c r="BI495" i="16"/>
  <c r="BG495" i="16"/>
  <c r="BL495" i="16"/>
  <c r="BM495" i="16" s="1"/>
  <c r="E643" i="16"/>
  <c r="L643" i="16" s="1"/>
  <c r="P643" i="16"/>
  <c r="W541" i="16" l="1"/>
  <c r="AA541" i="16" s="1"/>
  <c r="AK541" i="16" s="1"/>
  <c r="AM540" i="16"/>
  <c r="AN540" i="16" s="1"/>
  <c r="AO540" i="16" s="1"/>
  <c r="AP540" i="16" s="1"/>
  <c r="AR540" i="16" s="1"/>
  <c r="AT540" i="16"/>
  <c r="AW540" i="16" s="1"/>
  <c r="AX540" i="16" s="1"/>
  <c r="AZ540" i="16" s="1"/>
  <c r="AU540" i="16"/>
  <c r="AV540" i="16" s="1"/>
  <c r="Y541" i="16"/>
  <c r="AB541" i="16" s="1"/>
  <c r="AF541" i="16" s="1"/>
  <c r="BC496" i="16"/>
  <c r="BH496" i="16" s="1"/>
  <c r="BN495" i="16"/>
  <c r="BO495" i="16"/>
  <c r="BP495" i="16" s="1"/>
  <c r="Q643" i="16"/>
  <c r="S643" i="16" s="1"/>
  <c r="N643" i="16"/>
  <c r="M644" i="16" s="1"/>
  <c r="AG541" i="16" l="1"/>
  <c r="AH541" i="16" s="1"/>
  <c r="AS541" i="16" s="1"/>
  <c r="Z541" i="16"/>
  <c r="U542" i="16" s="1"/>
  <c r="AC542" i="16" s="1"/>
  <c r="BD496" i="16"/>
  <c r="BE496" i="16" s="1"/>
  <c r="AQ540" i="16"/>
  <c r="AJ521" i="15"/>
  <c r="BQ495" i="16"/>
  <c r="AD299" i="15"/>
  <c r="E494" i="14"/>
  <c r="F494" i="14" s="1"/>
  <c r="H494" i="14" s="1"/>
  <c r="O643" i="16"/>
  <c r="E644" i="16"/>
  <c r="L644" i="16" s="1"/>
  <c r="AT541" i="16" l="1"/>
  <c r="AW541" i="16" s="1"/>
  <c r="AX541" i="16" s="1"/>
  <c r="AZ541" i="16" s="1"/>
  <c r="AU541" i="16"/>
  <c r="AV541" i="16" s="1"/>
  <c r="AL541" i="16"/>
  <c r="BF496" i="16"/>
  <c r="BI496" i="16" s="1"/>
  <c r="BK496" i="16"/>
  <c r="BL496" i="16" s="1"/>
  <c r="BM496" i="16" s="1"/>
  <c r="BJ496" i="16"/>
  <c r="AD542" i="16"/>
  <c r="W542" i="16"/>
  <c r="AA542" i="16" s="1"/>
  <c r="AK542" i="16" s="1"/>
  <c r="N644" i="16"/>
  <c r="M645" i="16" s="1"/>
  <c r="P644" i="16"/>
  <c r="BG496" i="16" l="1"/>
  <c r="BC497" i="16" s="1"/>
  <c r="BH497" i="16" s="1"/>
  <c r="AY541" i="16"/>
  <c r="AM541" i="16"/>
  <c r="AN541" i="16" s="1"/>
  <c r="AO541" i="16" s="1"/>
  <c r="AP541" i="16" s="1"/>
  <c r="AR541" i="16" s="1"/>
  <c r="Y542" i="16"/>
  <c r="AE542" i="16"/>
  <c r="BN496" i="16"/>
  <c r="BO496" i="16"/>
  <c r="BP496" i="16" s="1"/>
  <c r="O644" i="16"/>
  <c r="Q644" i="16"/>
  <c r="S644" i="16" s="1"/>
  <c r="AQ541" i="16" l="1"/>
  <c r="BD497" i="16"/>
  <c r="AB542" i="16"/>
  <c r="Z542" i="16"/>
  <c r="AJ522" i="15"/>
  <c r="BQ496" i="16"/>
  <c r="AD301" i="15"/>
  <c r="E495" i="14"/>
  <c r="F495" i="14" s="1"/>
  <c r="H495" i="14" s="1"/>
  <c r="P645" i="16"/>
  <c r="Q645" i="16" s="1"/>
  <c r="S645" i="16" s="1"/>
  <c r="E645" i="16"/>
  <c r="L645" i="16" s="1"/>
  <c r="BJ497" i="16" l="1"/>
  <c r="BE497" i="16"/>
  <c r="BF497" i="16" s="1"/>
  <c r="AF542" i="16"/>
  <c r="AG542" i="16" s="1"/>
  <c r="AH542" i="16" s="1"/>
  <c r="AS542" i="16" s="1"/>
  <c r="BK497" i="16"/>
  <c r="BL497" i="16" s="1"/>
  <c r="BM497" i="16" s="1"/>
  <c r="U543" i="16"/>
  <c r="AC543" i="16" s="1"/>
  <c r="AD543" i="16" s="1"/>
  <c r="N645" i="16"/>
  <c r="M646" i="16" s="1"/>
  <c r="AT542" i="16" l="1"/>
  <c r="AW542" i="16" s="1"/>
  <c r="AX542" i="16" s="1"/>
  <c r="AZ542" i="16" s="1"/>
  <c r="AU542" i="16"/>
  <c r="AV542" i="16" s="1"/>
  <c r="AL542" i="16"/>
  <c r="AM542" i="16" s="1"/>
  <c r="BG497" i="16"/>
  <c r="BC498" i="16" s="1"/>
  <c r="BH498" i="16" s="1"/>
  <c r="BI497" i="16"/>
  <c r="BO497" i="16" s="1"/>
  <c r="BP497" i="16" s="1"/>
  <c r="AE543" i="16"/>
  <c r="W543" i="16"/>
  <c r="AA543" i="16" s="1"/>
  <c r="AK543" i="16" s="1"/>
  <c r="O645" i="16"/>
  <c r="E646" i="16"/>
  <c r="AY542" i="16" l="1"/>
  <c r="BN497" i="16"/>
  <c r="BQ497" i="16" s="1"/>
  <c r="AN542" i="16"/>
  <c r="AO542" i="16" s="1"/>
  <c r="AP542" i="16" s="1"/>
  <c r="AQ542" i="16" s="1"/>
  <c r="BD498" i="16"/>
  <c r="BJ498" i="16" s="1"/>
  <c r="Y543" i="16"/>
  <c r="AB543" i="16" s="1"/>
  <c r="AJ523" i="15"/>
  <c r="L646" i="16"/>
  <c r="P646" i="16"/>
  <c r="E496" i="14" l="1"/>
  <c r="F496" i="14" s="1"/>
  <c r="H496" i="14" s="1"/>
  <c r="AD302" i="15"/>
  <c r="BK498" i="16"/>
  <c r="BL498" i="16" s="1"/>
  <c r="BM498" i="16" s="1"/>
  <c r="Z543" i="16"/>
  <c r="BE498" i="16"/>
  <c r="BF498" i="16" s="1"/>
  <c r="BG498" i="16" s="1"/>
  <c r="AF543" i="16"/>
  <c r="AR542" i="16"/>
  <c r="N646" i="16"/>
  <c r="M647" i="16" s="1"/>
  <c r="Q646" i="16"/>
  <c r="S646" i="16" s="1"/>
  <c r="AG543" i="16" l="1"/>
  <c r="AL543" i="16" s="1"/>
  <c r="AY543" i="16" s="1"/>
  <c r="BI498" i="16"/>
  <c r="BN498" i="16" s="1"/>
  <c r="U544" i="16"/>
  <c r="AC544" i="16" s="1"/>
  <c r="BC499" i="16"/>
  <c r="BH499" i="16" s="1"/>
  <c r="O646" i="16"/>
  <c r="AM543" i="16" l="1"/>
  <c r="BO498" i="16"/>
  <c r="BP498" i="16" s="1"/>
  <c r="AJ524" i="15" s="1"/>
  <c r="AH543" i="16"/>
  <c r="AS543" i="16" s="1"/>
  <c r="AN543" i="16"/>
  <c r="AO543" i="16" s="1"/>
  <c r="AP543" i="16" s="1"/>
  <c r="AQ543" i="16" s="1"/>
  <c r="AD544" i="16"/>
  <c r="W544" i="16"/>
  <c r="BD499" i="16"/>
  <c r="E497" i="14"/>
  <c r="F497" i="14" s="1"/>
  <c r="H497" i="14" s="1"/>
  <c r="AD303" i="15"/>
  <c r="P647" i="16"/>
  <c r="Q647" i="16" s="1"/>
  <c r="S647" i="16" s="1"/>
  <c r="E647" i="16"/>
  <c r="L647" i="16" s="1"/>
  <c r="BQ498" i="16" l="1"/>
  <c r="AT543" i="16"/>
  <c r="AW543" i="16" s="1"/>
  <c r="AX543" i="16" s="1"/>
  <c r="AZ543" i="16" s="1"/>
  <c r="AU543" i="16"/>
  <c r="AV543" i="16" s="1"/>
  <c r="AA544" i="16"/>
  <c r="AK544" i="16" s="1"/>
  <c r="Y544" i="16"/>
  <c r="AR543" i="16"/>
  <c r="AE544" i="16"/>
  <c r="BJ499" i="16"/>
  <c r="BK499" i="16"/>
  <c r="BE499" i="16"/>
  <c r="BF499" i="16" s="1"/>
  <c r="N647" i="16"/>
  <c r="M648" i="16" s="1"/>
  <c r="AB544" i="16" l="1"/>
  <c r="Z544" i="16"/>
  <c r="BI499" i="16"/>
  <c r="BG499" i="16"/>
  <c r="BL499" i="16"/>
  <c r="BM499" i="16" s="1"/>
  <c r="O647" i="16"/>
  <c r="E648" i="16"/>
  <c r="L648" i="16" s="1"/>
  <c r="U545" i="16" l="1"/>
  <c r="AC545" i="16" s="1"/>
  <c r="AF544" i="16"/>
  <c r="BC500" i="16"/>
  <c r="BH500" i="16" s="1"/>
  <c r="BO499" i="16"/>
  <c r="BP499" i="16" s="1"/>
  <c r="BN499" i="16"/>
  <c r="N648" i="16"/>
  <c r="M649" i="16" s="1"/>
  <c r="P648" i="16"/>
  <c r="Q648" i="16" s="1"/>
  <c r="S648" i="16" s="1"/>
  <c r="AG544" i="16" l="1"/>
  <c r="AL544" i="16" s="1"/>
  <c r="AY544" i="16" s="1"/>
  <c r="O648" i="16"/>
  <c r="W545" i="16"/>
  <c r="AA545" i="16" s="1"/>
  <c r="AK545" i="16" s="1"/>
  <c r="AD545" i="16"/>
  <c r="BD500" i="16"/>
  <c r="BE500" i="16" s="1"/>
  <c r="BF500" i="16" s="1"/>
  <c r="AJ525" i="15"/>
  <c r="BQ499" i="16"/>
  <c r="E498" i="14"/>
  <c r="F498" i="14" s="1"/>
  <c r="H498" i="14" s="1"/>
  <c r="AD306" i="15"/>
  <c r="E649" i="16"/>
  <c r="L649" i="16" s="1"/>
  <c r="P649" i="16"/>
  <c r="Q649" i="16" s="1"/>
  <c r="S649" i="16" s="1"/>
  <c r="AM544" i="16" l="1"/>
  <c r="AN544" i="16" s="1"/>
  <c r="AO544" i="16" s="1"/>
  <c r="AP544" i="16" s="1"/>
  <c r="AH544" i="16"/>
  <c r="AS544" i="16" s="1"/>
  <c r="Y545" i="16"/>
  <c r="AB545" i="16" s="1"/>
  <c r="AE545" i="16"/>
  <c r="BI500" i="16"/>
  <c r="BG500" i="16"/>
  <c r="BJ500" i="16"/>
  <c r="BK500" i="16"/>
  <c r="N649" i="16"/>
  <c r="M650" i="16" s="1"/>
  <c r="AR544" i="16" l="1"/>
  <c r="Z545" i="16"/>
  <c r="U546" i="16" s="1"/>
  <c r="AC546" i="16" s="1"/>
  <c r="AT544" i="16"/>
  <c r="AW544" i="16" s="1"/>
  <c r="AX544" i="16" s="1"/>
  <c r="AZ544" i="16" s="1"/>
  <c r="AU544" i="16"/>
  <c r="AV544" i="16" s="1"/>
  <c r="AF545" i="16"/>
  <c r="AQ544" i="16"/>
  <c r="BL500" i="16"/>
  <c r="BM500" i="16" s="1"/>
  <c r="BC501" i="16"/>
  <c r="BH501" i="16" s="1"/>
  <c r="BO500" i="16"/>
  <c r="BP500" i="16" s="1"/>
  <c r="O649" i="16"/>
  <c r="E650" i="16"/>
  <c r="L650" i="16" s="1"/>
  <c r="AG545" i="16" l="1"/>
  <c r="BN500" i="16"/>
  <c r="BQ500" i="16" s="1"/>
  <c r="W546" i="16"/>
  <c r="AA546" i="16" s="1"/>
  <c r="AK546" i="16" s="1"/>
  <c r="AD546" i="16"/>
  <c r="AJ526" i="15"/>
  <c r="BD501" i="16"/>
  <c r="N650" i="16"/>
  <c r="M651" i="16" s="1"/>
  <c r="P650" i="16"/>
  <c r="Q650" i="16" s="1"/>
  <c r="S650" i="16" s="1"/>
  <c r="AL545" i="16" l="1"/>
  <c r="AY545" i="16" s="1"/>
  <c r="AH545" i="16"/>
  <c r="AS545" i="16" s="1"/>
  <c r="E499" i="14"/>
  <c r="F499" i="14" s="1"/>
  <c r="H499" i="14" s="1"/>
  <c r="AD311" i="15"/>
  <c r="Y546" i="16"/>
  <c r="AB546" i="16" s="1"/>
  <c r="AE546" i="16"/>
  <c r="BJ501" i="16"/>
  <c r="BK501" i="16"/>
  <c r="BE501" i="16"/>
  <c r="BF501" i="16" s="1"/>
  <c r="O650" i="16"/>
  <c r="Z546" i="16" l="1"/>
  <c r="U547" i="16" s="1"/>
  <c r="AC547" i="16" s="1"/>
  <c r="AT545" i="16"/>
  <c r="AW545" i="16" s="1"/>
  <c r="AX545" i="16" s="1"/>
  <c r="AZ545" i="16" s="1"/>
  <c r="AU545" i="16"/>
  <c r="AV545" i="16" s="1"/>
  <c r="AM545" i="16"/>
  <c r="AN545" i="16" s="1"/>
  <c r="AO545" i="16" s="1"/>
  <c r="AP545" i="16" s="1"/>
  <c r="AR545" i="16" s="1"/>
  <c r="AF546" i="16"/>
  <c r="BI501" i="16"/>
  <c r="BG501" i="16"/>
  <c r="BL501" i="16"/>
  <c r="BM501" i="16" s="1"/>
  <c r="E651" i="16"/>
  <c r="P651" i="16"/>
  <c r="Q651" i="16" s="1"/>
  <c r="S651" i="16" s="1"/>
  <c r="AQ545" i="16" l="1"/>
  <c r="AG546" i="16"/>
  <c r="AD547" i="16"/>
  <c r="W547" i="16"/>
  <c r="AA547" i="16" s="1"/>
  <c r="AK547" i="16" s="1"/>
  <c r="BC502" i="16"/>
  <c r="BH502" i="16" s="1"/>
  <c r="BO501" i="16"/>
  <c r="BP501" i="16" s="1"/>
  <c r="BN501" i="16"/>
  <c r="L651" i="16"/>
  <c r="N651" i="16" s="1"/>
  <c r="AL546" i="16" l="1"/>
  <c r="AY546" i="16" s="1"/>
  <c r="AH546" i="16"/>
  <c r="AS546" i="16" s="1"/>
  <c r="Y547" i="16"/>
  <c r="AB547" i="16" s="1"/>
  <c r="BD502" i="16"/>
  <c r="BE502" i="16" s="1"/>
  <c r="BF502" i="16" s="1"/>
  <c r="AE547" i="16"/>
  <c r="AD317" i="15"/>
  <c r="E500" i="14"/>
  <c r="F500" i="14" s="1"/>
  <c r="H500" i="14" s="1"/>
  <c r="AJ527" i="15"/>
  <c r="BQ501" i="16"/>
  <c r="O651" i="16"/>
  <c r="M652" i="16"/>
  <c r="E652" i="16" s="1"/>
  <c r="L652" i="16" s="1"/>
  <c r="AM546" i="16" l="1"/>
  <c r="AN546" i="16" s="1"/>
  <c r="AO546" i="16" s="1"/>
  <c r="AP546" i="16" s="1"/>
  <c r="AQ546" i="16" s="1"/>
  <c r="AT546" i="16"/>
  <c r="AW546" i="16" s="1"/>
  <c r="AX546" i="16" s="1"/>
  <c r="AZ546" i="16" s="1"/>
  <c r="AU546" i="16"/>
  <c r="AV546" i="16" s="1"/>
  <c r="BK502" i="16"/>
  <c r="BL502" i="16" s="1"/>
  <c r="BM502" i="16" s="1"/>
  <c r="BJ502" i="16"/>
  <c r="AF547" i="16"/>
  <c r="AG547" i="16" s="1"/>
  <c r="AH547" i="16" s="1"/>
  <c r="AS547" i="16" s="1"/>
  <c r="AT547" i="16" s="1"/>
  <c r="Z547" i="16"/>
  <c r="P652" i="16"/>
  <c r="Q652" i="16" s="1"/>
  <c r="S652" i="16" s="1"/>
  <c r="BI502" i="16"/>
  <c r="BG502" i="16"/>
  <c r="N652" i="16"/>
  <c r="M653" i="16" s="1"/>
  <c r="AR546" i="16" l="1"/>
  <c r="AW547" i="16"/>
  <c r="AX547" i="16" s="1"/>
  <c r="AZ547" i="16" s="1"/>
  <c r="AU547" i="16"/>
  <c r="AV547" i="16" s="1"/>
  <c r="AL547" i="16"/>
  <c r="AY547" i="16" s="1"/>
  <c r="U548" i="16"/>
  <c r="AC548" i="16" s="1"/>
  <c r="BC503" i="16"/>
  <c r="BH503" i="16" s="1"/>
  <c r="BN502" i="16"/>
  <c r="BO502" i="16"/>
  <c r="BP502" i="16" s="1"/>
  <c r="O652" i="16"/>
  <c r="E653" i="16"/>
  <c r="AM547" i="16" l="1"/>
  <c r="AN547" i="16" s="1"/>
  <c r="AO547" i="16" s="1"/>
  <c r="AP547" i="16" s="1"/>
  <c r="AQ547" i="16" s="1"/>
  <c r="BD503" i="16"/>
  <c r="BJ503" i="16" s="1"/>
  <c r="AD548" i="16"/>
  <c r="W548" i="16"/>
  <c r="AJ528" i="15"/>
  <c r="BQ502" i="16"/>
  <c r="E501" i="14"/>
  <c r="F501" i="14" s="1"/>
  <c r="H501" i="14" s="1"/>
  <c r="AD321" i="15"/>
  <c r="L653" i="16"/>
  <c r="N653" i="16" s="1"/>
  <c r="P653" i="16"/>
  <c r="Q653" i="16" s="1"/>
  <c r="S653" i="16" s="1"/>
  <c r="AR547" i="16" l="1"/>
  <c r="BK503" i="16"/>
  <c r="BL503" i="16" s="1"/>
  <c r="BM503" i="16" s="1"/>
  <c r="BE503" i="16"/>
  <c r="BF503" i="16" s="1"/>
  <c r="BI503" i="16" s="1"/>
  <c r="AE548" i="16"/>
  <c r="AA548" i="16"/>
  <c r="AK548" i="16" s="1"/>
  <c r="Y548" i="16"/>
  <c r="AB548" i="16" s="1"/>
  <c r="M654" i="16"/>
  <c r="O653" i="16"/>
  <c r="BG503" i="16" l="1"/>
  <c r="BC504" i="16" s="1"/>
  <c r="BH504" i="16" s="1"/>
  <c r="AF548" i="16"/>
  <c r="AG548" i="16" s="1"/>
  <c r="AH548" i="16" s="1"/>
  <c r="AS548" i="16" s="1"/>
  <c r="Z548" i="16"/>
  <c r="BO503" i="16"/>
  <c r="BP503" i="16" s="1"/>
  <c r="BN503" i="16"/>
  <c r="E654" i="16"/>
  <c r="L654" i="16" s="1"/>
  <c r="P654" i="16"/>
  <c r="Q654" i="16" s="1"/>
  <c r="S654" i="16" s="1"/>
  <c r="AU548" i="16" l="1"/>
  <c r="AV548" i="16" s="1"/>
  <c r="AT548" i="16"/>
  <c r="AW548" i="16" s="1"/>
  <c r="AX548" i="16" s="1"/>
  <c r="AZ548" i="16" s="1"/>
  <c r="AL548" i="16"/>
  <c r="U549" i="16"/>
  <c r="AC549" i="16" s="1"/>
  <c r="BD504" i="16"/>
  <c r="BE504" i="16" s="1"/>
  <c r="AD324" i="15"/>
  <c r="E502" i="14"/>
  <c r="F502" i="14" s="1"/>
  <c r="H502" i="14" s="1"/>
  <c r="AJ529" i="15"/>
  <c r="BQ503" i="16"/>
  <c r="N654" i="16"/>
  <c r="AY548" i="16" l="1"/>
  <c r="AM548" i="16"/>
  <c r="AN548" i="16" s="1"/>
  <c r="AO548" i="16" s="1"/>
  <c r="AP548" i="16" s="1"/>
  <c r="AR548" i="16" s="1"/>
  <c r="W549" i="16"/>
  <c r="AA549" i="16" s="1"/>
  <c r="AK549" i="16" s="1"/>
  <c r="AD549" i="16"/>
  <c r="BF504" i="16"/>
  <c r="BI504" i="16" s="1"/>
  <c r="BJ504" i="16"/>
  <c r="BK504" i="16"/>
  <c r="M655" i="16"/>
  <c r="E655" i="16" s="1"/>
  <c r="L655" i="16" s="1"/>
  <c r="O654" i="16"/>
  <c r="Y549" i="16" l="1"/>
  <c r="AB549" i="16" s="1"/>
  <c r="AQ548" i="16"/>
  <c r="BG504" i="16"/>
  <c r="BC505" i="16" s="1"/>
  <c r="AE549" i="16"/>
  <c r="BL504" i="16"/>
  <c r="BM504" i="16" s="1"/>
  <c r="BO504" i="16"/>
  <c r="BP504" i="16" s="1"/>
  <c r="N655" i="16"/>
  <c r="P655" i="16"/>
  <c r="Q655" i="16" s="1"/>
  <c r="S655" i="16" s="1"/>
  <c r="Z549" i="16" l="1"/>
  <c r="U550" i="16" s="1"/>
  <c r="AC550" i="16" s="1"/>
  <c r="AF549" i="16"/>
  <c r="AG549" i="16" s="1"/>
  <c r="AH549" i="16" s="1"/>
  <c r="AS549" i="16" s="1"/>
  <c r="BN504" i="16"/>
  <c r="AD327" i="15" s="1"/>
  <c r="BH505" i="16"/>
  <c r="AJ530" i="15"/>
  <c r="BD505" i="16"/>
  <c r="M656" i="16"/>
  <c r="P656" i="16" s="1"/>
  <c r="Q656" i="16" s="1"/>
  <c r="S656" i="16" s="1"/>
  <c r="O655" i="16"/>
  <c r="E503" i="14" l="1"/>
  <c r="F503" i="14" s="1"/>
  <c r="H503" i="14" s="1"/>
  <c r="AT549" i="16"/>
  <c r="AW549" i="16" s="1"/>
  <c r="AX549" i="16" s="1"/>
  <c r="AZ549" i="16" s="1"/>
  <c r="AU549" i="16"/>
  <c r="AV549" i="16" s="1"/>
  <c r="BQ504" i="16"/>
  <c r="AL549" i="16"/>
  <c r="E656" i="16"/>
  <c r="L656" i="16" s="1"/>
  <c r="N656" i="16" s="1"/>
  <c r="AD550" i="16"/>
  <c r="W550" i="16"/>
  <c r="AA550" i="16" s="1"/>
  <c r="AK550" i="16" s="1"/>
  <c r="BJ505" i="16"/>
  <c r="BK505" i="16"/>
  <c r="BE505" i="16"/>
  <c r="BF505" i="16" s="1"/>
  <c r="AY549" i="16" l="1"/>
  <c r="AM549" i="16"/>
  <c r="AN549" i="16" s="1"/>
  <c r="AO549" i="16" s="1"/>
  <c r="AP549" i="16" s="1"/>
  <c r="AR549" i="16" s="1"/>
  <c r="Y550" i="16"/>
  <c r="AB550" i="16" s="1"/>
  <c r="AE550" i="16"/>
  <c r="BI505" i="16"/>
  <c r="BG505" i="16"/>
  <c r="BL505" i="16"/>
  <c r="BM505" i="16" s="1"/>
  <c r="M657" i="16"/>
  <c r="O656" i="16"/>
  <c r="AQ549" i="16" l="1"/>
  <c r="Z550" i="16"/>
  <c r="U551" i="16" s="1"/>
  <c r="AC551" i="16" s="1"/>
  <c r="AF550" i="16"/>
  <c r="AG550" i="16" s="1"/>
  <c r="AH550" i="16" s="1"/>
  <c r="AS550" i="16" s="1"/>
  <c r="BC506" i="16"/>
  <c r="BH506" i="16" s="1"/>
  <c r="BO505" i="16"/>
  <c r="BP505" i="16" s="1"/>
  <c r="BN505" i="16"/>
  <c r="E657" i="16"/>
  <c r="L657" i="16" s="1"/>
  <c r="P657" i="16"/>
  <c r="Q657" i="16" s="1"/>
  <c r="S657" i="16" s="1"/>
  <c r="AT550" i="16" l="1"/>
  <c r="AW550" i="16" s="1"/>
  <c r="AX550" i="16" s="1"/>
  <c r="AZ550" i="16" s="1"/>
  <c r="AU550" i="16"/>
  <c r="AV550" i="16" s="1"/>
  <c r="AL550" i="16"/>
  <c r="AY550" i="16" s="1"/>
  <c r="AD551" i="16"/>
  <c r="W551" i="16"/>
  <c r="AD332" i="15"/>
  <c r="E504" i="14"/>
  <c r="F504" i="14" s="1"/>
  <c r="H504" i="14" s="1"/>
  <c r="BD506" i="16"/>
  <c r="BE506" i="16" s="1"/>
  <c r="AJ531" i="15"/>
  <c r="BQ505" i="16"/>
  <c r="N657" i="16"/>
  <c r="AM550" i="16" l="1"/>
  <c r="AN550" i="16" s="1"/>
  <c r="AO550" i="16" s="1"/>
  <c r="AP550" i="16" s="1"/>
  <c r="AR550" i="16" s="1"/>
  <c r="AA551" i="16"/>
  <c r="AK551" i="16" s="1"/>
  <c r="Y551" i="16"/>
  <c r="AB551" i="16" s="1"/>
  <c r="AE551" i="16"/>
  <c r="BF506" i="16"/>
  <c r="BJ506" i="16"/>
  <c r="BK506" i="16"/>
  <c r="M658" i="16"/>
  <c r="O657" i="16"/>
  <c r="AQ550" i="16" l="1"/>
  <c r="Z551" i="16"/>
  <c r="U552" i="16" s="1"/>
  <c r="AC552" i="16" s="1"/>
  <c r="AD552" i="16" s="1"/>
  <c r="AF551" i="16"/>
  <c r="AG551" i="16" s="1"/>
  <c r="AH551" i="16" s="1"/>
  <c r="AS551" i="16" s="1"/>
  <c r="BL506" i="16"/>
  <c r="BM506" i="16" s="1"/>
  <c r="BI506" i="16"/>
  <c r="BG506" i="16"/>
  <c r="P658" i="16"/>
  <c r="Q658" i="16" s="1"/>
  <c r="S658" i="16" s="1"/>
  <c r="E658" i="16"/>
  <c r="L658" i="16" s="1"/>
  <c r="AT551" i="16" l="1"/>
  <c r="AW551" i="16" s="1"/>
  <c r="AX551" i="16" s="1"/>
  <c r="AZ551" i="16" s="1"/>
  <c r="AU551" i="16"/>
  <c r="AV551" i="16" s="1"/>
  <c r="AL551" i="16"/>
  <c r="AY551" i="16" s="1"/>
  <c r="AE552" i="16"/>
  <c r="W552" i="16"/>
  <c r="BC507" i="16"/>
  <c r="BH507" i="16" s="1"/>
  <c r="BO506" i="16"/>
  <c r="BP506" i="16" s="1"/>
  <c r="BN506" i="16"/>
  <c r="N658" i="16"/>
  <c r="AM551" i="16" l="1"/>
  <c r="AN551" i="16" s="1"/>
  <c r="AO551" i="16" s="1"/>
  <c r="AP551" i="16" s="1"/>
  <c r="AQ551" i="16" s="1"/>
  <c r="AA552" i="16"/>
  <c r="AK552" i="16" s="1"/>
  <c r="Y552" i="16"/>
  <c r="AB552" i="16" s="1"/>
  <c r="E505" i="14"/>
  <c r="F505" i="14" s="1"/>
  <c r="H505" i="14" s="1"/>
  <c r="AD335" i="15"/>
  <c r="BD507" i="16"/>
  <c r="AJ532" i="15"/>
  <c r="BQ506" i="16"/>
  <c r="M659" i="16"/>
  <c r="E659" i="16" s="1"/>
  <c r="L659" i="16" s="1"/>
  <c r="O658" i="16"/>
  <c r="AR551" i="16" l="1"/>
  <c r="AF552" i="16"/>
  <c r="Z552" i="16"/>
  <c r="BJ507" i="16"/>
  <c r="BK507" i="16"/>
  <c r="BE507" i="16"/>
  <c r="BF507" i="16" s="1"/>
  <c r="N659" i="16"/>
  <c r="P659" i="16"/>
  <c r="Q659" i="16" s="1"/>
  <c r="S659" i="16" s="1"/>
  <c r="AG552" i="16" l="1"/>
  <c r="AL552" i="16" s="1"/>
  <c r="AY552" i="16" s="1"/>
  <c r="U553" i="16"/>
  <c r="AC553" i="16" s="1"/>
  <c r="BI507" i="16"/>
  <c r="BG507" i="16"/>
  <c r="BL507" i="16"/>
  <c r="BM507" i="16" s="1"/>
  <c r="M660" i="16"/>
  <c r="E660" i="16" s="1"/>
  <c r="L660" i="16" s="1"/>
  <c r="O659" i="16"/>
  <c r="AM552" i="16" l="1"/>
  <c r="AN552" i="16" s="1"/>
  <c r="AO552" i="16" s="1"/>
  <c r="AP552" i="16" s="1"/>
  <c r="AQ552" i="16" s="1"/>
  <c r="AH552" i="16"/>
  <c r="AS552" i="16" s="1"/>
  <c r="AD553" i="16"/>
  <c r="W553" i="16"/>
  <c r="AA553" i="16" s="1"/>
  <c r="AK553" i="16" s="1"/>
  <c r="BC508" i="16"/>
  <c r="BD508" i="16" s="1"/>
  <c r="BO507" i="16"/>
  <c r="BP507" i="16" s="1"/>
  <c r="BN507" i="16"/>
  <c r="P660" i="16"/>
  <c r="Q660" i="16" s="1"/>
  <c r="S660" i="16" s="1"/>
  <c r="N660" i="16"/>
  <c r="O660" i="16" s="1"/>
  <c r="AU552" i="16" l="1"/>
  <c r="AV552" i="16" s="1"/>
  <c r="AT552" i="16"/>
  <c r="AW552" i="16" s="1"/>
  <c r="AX552" i="16" s="1"/>
  <c r="AZ552" i="16" s="1"/>
  <c r="Y553" i="16"/>
  <c r="AB553" i="16" s="1"/>
  <c r="AE553" i="16"/>
  <c r="AR552" i="16"/>
  <c r="BJ508" i="16"/>
  <c r="BK508" i="16"/>
  <c r="BE508" i="16"/>
  <c r="BF508" i="16" s="1"/>
  <c r="AJ533" i="15"/>
  <c r="BQ507" i="16"/>
  <c r="BH508" i="16"/>
  <c r="AD339" i="15"/>
  <c r="E506" i="14"/>
  <c r="F506" i="14" s="1"/>
  <c r="H506" i="14" s="1"/>
  <c r="M661" i="16"/>
  <c r="Z553" i="16" l="1"/>
  <c r="U554" i="16" s="1"/>
  <c r="AC554" i="16" s="1"/>
  <c r="AF553" i="16"/>
  <c r="AG553" i="16" s="1"/>
  <c r="AH553" i="16" s="1"/>
  <c r="AS553" i="16" s="1"/>
  <c r="AT553" i="16" s="1"/>
  <c r="AW553" i="16" s="1"/>
  <c r="AX553" i="16" s="1"/>
  <c r="AZ553" i="16" s="1"/>
  <c r="E661" i="16"/>
  <c r="L661" i="16" s="1"/>
  <c r="N661" i="16" s="1"/>
  <c r="M662" i="16" s="1"/>
  <c r="BI508" i="16"/>
  <c r="BG508" i="16"/>
  <c r="BL508" i="16"/>
  <c r="BM508" i="16" s="1"/>
  <c r="P661" i="16"/>
  <c r="Q661" i="16" s="1"/>
  <c r="S661" i="16" s="1"/>
  <c r="AU553" i="16" l="1"/>
  <c r="AV553" i="16" s="1"/>
  <c r="AL553" i="16"/>
  <c r="O661" i="16"/>
  <c r="AD554" i="16"/>
  <c r="W554" i="16"/>
  <c r="AA554" i="16" s="1"/>
  <c r="AK554" i="16" s="1"/>
  <c r="BC509" i="16"/>
  <c r="BH509" i="16" s="1"/>
  <c r="BO508" i="16"/>
  <c r="BP508" i="16" s="1"/>
  <c r="BN508" i="16"/>
  <c r="E662" i="16"/>
  <c r="L662" i="16" s="1"/>
  <c r="P662" i="16"/>
  <c r="AY553" i="16" l="1"/>
  <c r="AM553" i="16"/>
  <c r="AN553" i="16" s="1"/>
  <c r="AO553" i="16" s="1"/>
  <c r="AP553" i="16" s="1"/>
  <c r="AR553" i="16" s="1"/>
  <c r="BD509" i="16"/>
  <c r="BK509" i="16" s="1"/>
  <c r="AE554" i="16"/>
  <c r="Y554" i="16"/>
  <c r="E507" i="14"/>
  <c r="F507" i="14" s="1"/>
  <c r="H507" i="14" s="1"/>
  <c r="AD342" i="15"/>
  <c r="AJ534" i="15"/>
  <c r="BQ508" i="16"/>
  <c r="Q662" i="16"/>
  <c r="S662" i="16" s="1"/>
  <c r="N662" i="16"/>
  <c r="M663" i="16" s="1"/>
  <c r="AQ553" i="16" l="1"/>
  <c r="BJ509" i="16"/>
  <c r="BE509" i="16"/>
  <c r="BF509" i="16" s="1"/>
  <c r="BI509" i="16" s="1"/>
  <c r="AB554" i="16"/>
  <c r="Z554" i="16"/>
  <c r="BL509" i="16"/>
  <c r="BM509" i="16" s="1"/>
  <c r="O662" i="16"/>
  <c r="BG509" i="16" l="1"/>
  <c r="BC510" i="16" s="1"/>
  <c r="U555" i="16"/>
  <c r="AC555" i="16" s="1"/>
  <c r="AF554" i="16"/>
  <c r="AG554" i="16" s="1"/>
  <c r="AH554" i="16" s="1"/>
  <c r="AS554" i="16" s="1"/>
  <c r="BO509" i="16"/>
  <c r="BP509" i="16" s="1"/>
  <c r="BN509" i="16"/>
  <c r="E663" i="16"/>
  <c r="L663" i="16" s="1"/>
  <c r="P663" i="16"/>
  <c r="AL554" i="16" l="1"/>
  <c r="AY554" i="16" s="1"/>
  <c r="AT554" i="16"/>
  <c r="AW554" i="16" s="1"/>
  <c r="AX554" i="16" s="1"/>
  <c r="AZ554" i="16" s="1"/>
  <c r="AU554" i="16"/>
  <c r="AV554" i="16" s="1"/>
  <c r="W555" i="16"/>
  <c r="AA555" i="16" s="1"/>
  <c r="AK555" i="16" s="1"/>
  <c r="AD555" i="16"/>
  <c r="BD510" i="16"/>
  <c r="BE510" i="16" s="1"/>
  <c r="BH510" i="16"/>
  <c r="AD344" i="15"/>
  <c r="E508" i="14"/>
  <c r="F508" i="14" s="1"/>
  <c r="H508" i="14" s="1"/>
  <c r="AJ535" i="15"/>
  <c r="BQ509" i="16"/>
  <c r="Q663" i="16"/>
  <c r="S663" i="16" s="1"/>
  <c r="N663" i="16"/>
  <c r="M664" i="16" s="1"/>
  <c r="AM554" i="16" l="1"/>
  <c r="AN554" i="16" s="1"/>
  <c r="AO554" i="16" s="1"/>
  <c r="AP554" i="16" s="1"/>
  <c r="AR554" i="16" s="1"/>
  <c r="Y555" i="16"/>
  <c r="AB555" i="16" s="1"/>
  <c r="BJ510" i="16"/>
  <c r="AE555" i="16"/>
  <c r="BF510" i="16"/>
  <c r="BG510" i="16" s="1"/>
  <c r="BK510" i="16"/>
  <c r="BL510" i="16" s="1"/>
  <c r="BM510" i="16" s="1"/>
  <c r="E664" i="16"/>
  <c r="O663" i="16"/>
  <c r="BI510" i="16" l="1"/>
  <c r="BO510" i="16" s="1"/>
  <c r="BP510" i="16" s="1"/>
  <c r="AF555" i="16"/>
  <c r="Z555" i="16"/>
  <c r="U556" i="16" s="1"/>
  <c r="AC556" i="16" s="1"/>
  <c r="AQ554" i="16"/>
  <c r="BC511" i="16"/>
  <c r="BH511" i="16" s="1"/>
  <c r="L664" i="16"/>
  <c r="N664" i="16" s="1"/>
  <c r="M665" i="16" s="1"/>
  <c r="P664" i="16"/>
  <c r="AG555" i="16" l="1"/>
  <c r="BN510" i="16"/>
  <c r="E509" i="14" s="1"/>
  <c r="F509" i="14" s="1"/>
  <c r="H509" i="14" s="1"/>
  <c r="W556" i="16"/>
  <c r="AA556" i="16" s="1"/>
  <c r="AK556" i="16" s="1"/>
  <c r="AD556" i="16"/>
  <c r="BD511" i="16"/>
  <c r="AJ536" i="15"/>
  <c r="Q664" i="16"/>
  <c r="S664" i="16" s="1"/>
  <c r="O664" i="16"/>
  <c r="AD349" i="15" l="1"/>
  <c r="BQ510" i="16"/>
  <c r="AL555" i="16"/>
  <c r="AY555" i="16" s="1"/>
  <c r="AH555" i="16"/>
  <c r="AS555" i="16" s="1"/>
  <c r="Y556" i="16"/>
  <c r="AB556" i="16" s="1"/>
  <c r="AE556" i="16"/>
  <c r="BJ511" i="16"/>
  <c r="BK511" i="16"/>
  <c r="BE511" i="16"/>
  <c r="BF511" i="16" s="1"/>
  <c r="E665" i="16"/>
  <c r="L665" i="16" s="1"/>
  <c r="P665" i="16"/>
  <c r="AM555" i="16" l="1"/>
  <c r="AN555" i="16" s="1"/>
  <c r="AO555" i="16" s="1"/>
  <c r="AP555" i="16" s="1"/>
  <c r="AR555" i="16" s="1"/>
  <c r="AT555" i="16"/>
  <c r="AW555" i="16" s="1"/>
  <c r="AX555" i="16" s="1"/>
  <c r="AZ555" i="16" s="1"/>
  <c r="AU555" i="16"/>
  <c r="AV555" i="16" s="1"/>
  <c r="AF556" i="16"/>
  <c r="AG556" i="16" s="1"/>
  <c r="AH556" i="16" s="1"/>
  <c r="AS556" i="16" s="1"/>
  <c r="AT556" i="16" s="1"/>
  <c r="Z556" i="16"/>
  <c r="U557" i="16" s="1"/>
  <c r="AC557" i="16" s="1"/>
  <c r="BI511" i="16"/>
  <c r="BG511" i="16"/>
  <c r="BL511" i="16"/>
  <c r="BM511" i="16" s="1"/>
  <c r="Q665" i="16"/>
  <c r="S665" i="16" s="1"/>
  <c r="N665" i="16"/>
  <c r="M666" i="16" s="1"/>
  <c r="AW556" i="16" l="1"/>
  <c r="AX556" i="16" s="1"/>
  <c r="AZ556" i="16" s="1"/>
  <c r="AQ555" i="16"/>
  <c r="AL556" i="16"/>
  <c r="AY556" i="16" s="1"/>
  <c r="AU556" i="16"/>
  <c r="AV556" i="16" s="1"/>
  <c r="W557" i="16"/>
  <c r="AA557" i="16" s="1"/>
  <c r="AK557" i="16" s="1"/>
  <c r="AD557" i="16"/>
  <c r="BO511" i="16"/>
  <c r="BP511" i="16" s="1"/>
  <c r="BN511" i="16"/>
  <c r="BC512" i="16"/>
  <c r="O665" i="16"/>
  <c r="AM556" i="16" l="1"/>
  <c r="AN556" i="16" s="1"/>
  <c r="AO556" i="16" s="1"/>
  <c r="AP556" i="16" s="1"/>
  <c r="AR556" i="16" s="1"/>
  <c r="Y557" i="16"/>
  <c r="AB557" i="16" s="1"/>
  <c r="AE557" i="16"/>
  <c r="BH512" i="16"/>
  <c r="BD512" i="16"/>
  <c r="E510" i="14"/>
  <c r="F510" i="14" s="1"/>
  <c r="H510" i="14" s="1"/>
  <c r="AD352" i="15"/>
  <c r="AJ537" i="15"/>
  <c r="BQ511" i="16"/>
  <c r="E666" i="16"/>
  <c r="L666" i="16" s="1"/>
  <c r="P666" i="16"/>
  <c r="Z557" i="16" l="1"/>
  <c r="U558" i="16" s="1"/>
  <c r="AC558" i="16" s="1"/>
  <c r="AF557" i="16"/>
  <c r="AG557" i="16" s="1"/>
  <c r="AH557" i="16" s="1"/>
  <c r="AS557" i="16" s="1"/>
  <c r="AQ556" i="16"/>
  <c r="BJ512" i="16"/>
  <c r="BK512" i="16"/>
  <c r="BE512" i="16"/>
  <c r="BF512" i="16" s="1"/>
  <c r="Q666" i="16"/>
  <c r="S666" i="16" s="1"/>
  <c r="N666" i="16"/>
  <c r="M667" i="16" s="1"/>
  <c r="AT557" i="16" l="1"/>
  <c r="AW557" i="16" s="1"/>
  <c r="AX557" i="16" s="1"/>
  <c r="AZ557" i="16" s="1"/>
  <c r="AU557" i="16"/>
  <c r="AV557" i="16" s="1"/>
  <c r="AL557" i="16"/>
  <c r="AY557" i="16" s="1"/>
  <c r="W558" i="16"/>
  <c r="Y558" i="16" s="1"/>
  <c r="AB558" i="16" s="1"/>
  <c r="AD558" i="16"/>
  <c r="AE558" i="16" s="1"/>
  <c r="BI512" i="16"/>
  <c r="BG512" i="16"/>
  <c r="BL512" i="16"/>
  <c r="BM512" i="16" s="1"/>
  <c r="O666" i="16"/>
  <c r="AM557" i="16" l="1"/>
  <c r="AN557" i="16" s="1"/>
  <c r="AO557" i="16" s="1"/>
  <c r="AP557" i="16" s="1"/>
  <c r="AR557" i="16" s="1"/>
  <c r="AA558" i="16"/>
  <c r="AK558" i="16" s="1"/>
  <c r="AF558" i="16"/>
  <c r="AG558" i="16" s="1"/>
  <c r="AH558" i="16" s="1"/>
  <c r="AS558" i="16" s="1"/>
  <c r="AT558" i="16" s="1"/>
  <c r="AW558" i="16" s="1"/>
  <c r="AX558" i="16" s="1"/>
  <c r="AZ558" i="16" s="1"/>
  <c r="Z558" i="16"/>
  <c r="U559" i="16" s="1"/>
  <c r="AC559" i="16" s="1"/>
  <c r="AQ557" i="16"/>
  <c r="BC513" i="16"/>
  <c r="BH513" i="16" s="1"/>
  <c r="BO512" i="16"/>
  <c r="BP512" i="16" s="1"/>
  <c r="BN512" i="16"/>
  <c r="E667" i="16"/>
  <c r="L667" i="16" s="1"/>
  <c r="P667" i="16"/>
  <c r="AL558" i="16" l="1"/>
  <c r="AY558" i="16" s="1"/>
  <c r="AU558" i="16"/>
  <c r="AV558" i="16" s="1"/>
  <c r="AD559" i="16"/>
  <c r="W559" i="16"/>
  <c r="AA559" i="16" s="1"/>
  <c r="AK559" i="16" s="1"/>
  <c r="AJ538" i="15"/>
  <c r="BQ512" i="16"/>
  <c r="E511" i="14"/>
  <c r="F511" i="14" s="1"/>
  <c r="H511" i="14" s="1"/>
  <c r="AD356" i="15"/>
  <c r="BD513" i="16"/>
  <c r="Q667" i="16"/>
  <c r="S667" i="16" s="1"/>
  <c r="N667" i="16"/>
  <c r="M668" i="16" s="1"/>
  <c r="AM558" i="16" l="1"/>
  <c r="AN558" i="16" s="1"/>
  <c r="AO558" i="16" s="1"/>
  <c r="AP558" i="16" s="1"/>
  <c r="AQ558" i="16" s="1"/>
  <c r="AE559" i="16"/>
  <c r="Y559" i="16"/>
  <c r="BJ513" i="16"/>
  <c r="BK513" i="16"/>
  <c r="BE513" i="16"/>
  <c r="BF513" i="16" s="1"/>
  <c r="E668" i="16"/>
  <c r="L668" i="16" s="1"/>
  <c r="O667" i="16"/>
  <c r="AR558" i="16" l="1"/>
  <c r="AB559" i="16"/>
  <c r="Z559" i="16"/>
  <c r="BI513" i="16"/>
  <c r="BG513" i="16"/>
  <c r="BL513" i="16"/>
  <c r="BM513" i="16" s="1"/>
  <c r="N668" i="16"/>
  <c r="M669" i="16" s="1"/>
  <c r="P668" i="16"/>
  <c r="U560" i="16" l="1"/>
  <c r="AC560" i="16" s="1"/>
  <c r="AF559" i="16"/>
  <c r="BC514" i="16"/>
  <c r="BN513" i="16"/>
  <c r="BO513" i="16"/>
  <c r="BP513" i="16" s="1"/>
  <c r="O668" i="16"/>
  <c r="Q668" i="16"/>
  <c r="E669" i="16"/>
  <c r="L669" i="16" s="1"/>
  <c r="AG559" i="16" l="1"/>
  <c r="AL559" i="16" s="1"/>
  <c r="AY559" i="16" s="1"/>
  <c r="W560" i="16"/>
  <c r="AA560" i="16" s="1"/>
  <c r="AK560" i="16" s="1"/>
  <c r="AD560" i="16"/>
  <c r="P669" i="16"/>
  <c r="Q669" i="16" s="1"/>
  <c r="S669" i="16" s="1"/>
  <c r="S668" i="16"/>
  <c r="AJ539" i="15"/>
  <c r="BQ513" i="16"/>
  <c r="BD514" i="16"/>
  <c r="BE514" i="16" s="1"/>
  <c r="BH514" i="16"/>
  <c r="E512" i="14"/>
  <c r="F512" i="14" s="1"/>
  <c r="H512" i="14" s="1"/>
  <c r="AD362" i="15"/>
  <c r="N669" i="16"/>
  <c r="M670" i="16" s="1"/>
  <c r="AM559" i="16" l="1"/>
  <c r="AN559" i="16" s="1"/>
  <c r="AO559" i="16" s="1"/>
  <c r="AP559" i="16" s="1"/>
  <c r="AH559" i="16"/>
  <c r="AS559" i="16" s="1"/>
  <c r="Y560" i="16"/>
  <c r="AB560" i="16" s="1"/>
  <c r="AE560" i="16"/>
  <c r="BJ514" i="16"/>
  <c r="BK514" i="16"/>
  <c r="BF514" i="16"/>
  <c r="O669" i="16"/>
  <c r="AR559" i="16" l="1"/>
  <c r="AU559" i="16"/>
  <c r="AV559" i="16" s="1"/>
  <c r="AT559" i="16"/>
  <c r="AW559" i="16" s="1"/>
  <c r="AF560" i="16"/>
  <c r="AG560" i="16" s="1"/>
  <c r="AH560" i="16" s="1"/>
  <c r="AS560" i="16" s="1"/>
  <c r="AT560" i="16" s="1"/>
  <c r="Z560" i="16"/>
  <c r="U561" i="16" s="1"/>
  <c r="AC561" i="16" s="1"/>
  <c r="AQ559" i="16"/>
  <c r="BI514" i="16"/>
  <c r="BG514" i="16"/>
  <c r="BL514" i="16"/>
  <c r="BM514" i="16" s="1"/>
  <c r="E670" i="16"/>
  <c r="L670" i="16" s="1"/>
  <c r="P670" i="16"/>
  <c r="AX559" i="16" l="1"/>
  <c r="AZ559" i="16" s="1"/>
  <c r="AU560" i="16"/>
  <c r="AV560" i="16" s="1"/>
  <c r="AL560" i="16"/>
  <c r="AY560" i="16" s="1"/>
  <c r="AD561" i="16"/>
  <c r="AE561" i="16" s="1"/>
  <c r="W561" i="16"/>
  <c r="AA561" i="16" s="1"/>
  <c r="AK561" i="16" s="1"/>
  <c r="BC515" i="16"/>
  <c r="BH515" i="16" s="1"/>
  <c r="BO514" i="16"/>
  <c r="BP514" i="16" s="1"/>
  <c r="BN514" i="16"/>
  <c r="Q670" i="16"/>
  <c r="S670" i="16" s="1"/>
  <c r="N670" i="16"/>
  <c r="M671" i="16" s="1"/>
  <c r="AM560" i="16" l="1"/>
  <c r="AN560" i="16" s="1"/>
  <c r="AO560" i="16" s="1"/>
  <c r="AP560" i="16" s="1"/>
  <c r="AR560" i="16" s="1"/>
  <c r="AW560" i="16"/>
  <c r="AX560" i="16" s="1"/>
  <c r="AZ560" i="16" s="1"/>
  <c r="Y561" i="16"/>
  <c r="E513" i="14"/>
  <c r="F513" i="14" s="1"/>
  <c r="H513" i="14" s="1"/>
  <c r="AD365" i="15"/>
  <c r="AJ540" i="15"/>
  <c r="BQ514" i="16"/>
  <c r="BD515" i="16"/>
  <c r="E671" i="16"/>
  <c r="L671" i="16" s="1"/>
  <c r="O670" i="16"/>
  <c r="AB561" i="16" l="1"/>
  <c r="Z561" i="16"/>
  <c r="U562" i="16" s="1"/>
  <c r="AC562" i="16" s="1"/>
  <c r="AD562" i="16" s="1"/>
  <c r="AQ560" i="16"/>
  <c r="BJ515" i="16"/>
  <c r="BK515" i="16"/>
  <c r="BE515" i="16"/>
  <c r="BF515" i="16" s="1"/>
  <c r="N671" i="16"/>
  <c r="M672" i="16" s="1"/>
  <c r="P671" i="16"/>
  <c r="AF561" i="16" l="1"/>
  <c r="AG561" i="16" s="1"/>
  <c r="AH561" i="16" s="1"/>
  <c r="AS561" i="16" s="1"/>
  <c r="W562" i="16"/>
  <c r="AA562" i="16" s="1"/>
  <c r="AK562" i="16" s="1"/>
  <c r="AE562" i="16"/>
  <c r="BI515" i="16"/>
  <c r="BG515" i="16"/>
  <c r="BL515" i="16"/>
  <c r="BM515" i="16" s="1"/>
  <c r="O671" i="16"/>
  <c r="Q671" i="16"/>
  <c r="S671" i="16" s="1"/>
  <c r="AT561" i="16" l="1"/>
  <c r="AW561" i="16" s="1"/>
  <c r="AX561" i="16" s="1"/>
  <c r="AZ561" i="16" s="1"/>
  <c r="AU561" i="16"/>
  <c r="AV561" i="16" s="1"/>
  <c r="AL561" i="16"/>
  <c r="AM561" i="16" s="1"/>
  <c r="AN561" i="16" s="1"/>
  <c r="AO561" i="16" s="1"/>
  <c r="AP561" i="16" s="1"/>
  <c r="AQ561" i="16" s="1"/>
  <c r="Y562" i="16"/>
  <c r="AB562" i="16" s="1"/>
  <c r="BO515" i="16"/>
  <c r="BP515" i="16" s="1"/>
  <c r="BN515" i="16"/>
  <c r="BC516" i="16"/>
  <c r="BH516" i="16" s="1"/>
  <c r="P672" i="16"/>
  <c r="Q672" i="16" s="1"/>
  <c r="S672" i="16" s="1"/>
  <c r="E672" i="16"/>
  <c r="L672" i="16" s="1"/>
  <c r="AY561" i="16" l="1"/>
  <c r="AR561" i="16"/>
  <c r="Z562" i="16"/>
  <c r="U563" i="16" s="1"/>
  <c r="AC563" i="16" s="1"/>
  <c r="AF562" i="16"/>
  <c r="AG562" i="16" s="1"/>
  <c r="AH562" i="16" s="1"/>
  <c r="AS562" i="16" s="1"/>
  <c r="AT562" i="16" s="1"/>
  <c r="AW562" i="16" s="1"/>
  <c r="AX562" i="16" s="1"/>
  <c r="AZ562" i="16" s="1"/>
  <c r="E514" i="14"/>
  <c r="F514" i="14" s="1"/>
  <c r="H514" i="14" s="1"/>
  <c r="AD368" i="15"/>
  <c r="BD516" i="16"/>
  <c r="AJ541" i="15"/>
  <c r="BQ515" i="16"/>
  <c r="N672" i="16"/>
  <c r="M673" i="16" s="1"/>
  <c r="AL562" i="16" l="1"/>
  <c r="AM562" i="16" s="1"/>
  <c r="AU562" i="16"/>
  <c r="AV562" i="16" s="1"/>
  <c r="AD563" i="16"/>
  <c r="W563" i="16"/>
  <c r="AY562" i="16"/>
  <c r="BJ516" i="16"/>
  <c r="BK516" i="16"/>
  <c r="BE516" i="16"/>
  <c r="BF516" i="16" s="1"/>
  <c r="O672" i="16"/>
  <c r="AA563" i="16" l="1"/>
  <c r="AK563" i="16" s="1"/>
  <c r="Y563" i="16"/>
  <c r="AE563" i="16"/>
  <c r="AN562" i="16"/>
  <c r="AO562" i="16" s="1"/>
  <c r="BI516" i="16"/>
  <c r="BG516" i="16"/>
  <c r="BL516" i="16"/>
  <c r="BM516" i="16" s="1"/>
  <c r="E673" i="16"/>
  <c r="P673" i="16"/>
  <c r="AB563" i="16" l="1"/>
  <c r="Z563" i="16"/>
  <c r="AP562" i="16"/>
  <c r="AR562" i="16" s="1"/>
  <c r="BC517" i="16"/>
  <c r="BH517" i="16" s="1"/>
  <c r="BO516" i="16"/>
  <c r="BP516" i="16" s="1"/>
  <c r="BN516" i="16"/>
  <c r="L673" i="16"/>
  <c r="N673" i="16" s="1"/>
  <c r="M674" i="16" s="1"/>
  <c r="Q673" i="16"/>
  <c r="S673" i="16" s="1"/>
  <c r="AQ562" i="16" l="1"/>
  <c r="U564" i="16"/>
  <c r="AC564" i="16" s="1"/>
  <c r="BD517" i="16"/>
  <c r="BK517" i="16" s="1"/>
  <c r="AF563" i="16"/>
  <c r="AG563" i="16" s="1"/>
  <c r="AH563" i="16" s="1"/>
  <c r="AS563" i="16" s="1"/>
  <c r="AD371" i="15"/>
  <c r="E515" i="14"/>
  <c r="F515" i="14" s="1"/>
  <c r="H515" i="14" s="1"/>
  <c r="AJ542" i="15"/>
  <c r="BQ516" i="16"/>
  <c r="O673" i="16"/>
  <c r="AL563" i="16" l="1"/>
  <c r="AM563" i="16" s="1"/>
  <c r="AT563" i="16"/>
  <c r="AW563" i="16" s="1"/>
  <c r="AX563" i="16" s="1"/>
  <c r="AZ563" i="16" s="1"/>
  <c r="AU563" i="16"/>
  <c r="AV563" i="16" s="1"/>
  <c r="BE517" i="16"/>
  <c r="BF517" i="16" s="1"/>
  <c r="BI517" i="16" s="1"/>
  <c r="BJ517" i="16"/>
  <c r="AD564" i="16"/>
  <c r="W564" i="16"/>
  <c r="AA564" i="16" s="1"/>
  <c r="AK564" i="16" s="1"/>
  <c r="BL517" i="16"/>
  <c r="BM517" i="16" s="1"/>
  <c r="E674" i="16"/>
  <c r="L674" i="16" s="1"/>
  <c r="P674" i="16"/>
  <c r="AY563" i="16" l="1"/>
  <c r="BG517" i="16"/>
  <c r="BC518" i="16" s="1"/>
  <c r="BH518" i="16" s="1"/>
  <c r="Y564" i="16"/>
  <c r="AB564" i="16" s="1"/>
  <c r="AN563" i="16"/>
  <c r="AO563" i="16" s="1"/>
  <c r="AE564" i="16"/>
  <c r="BO517" i="16"/>
  <c r="BP517" i="16" s="1"/>
  <c r="BN517" i="16"/>
  <c r="Q674" i="16"/>
  <c r="S674" i="16" s="1"/>
  <c r="N674" i="16"/>
  <c r="M675" i="16" s="1"/>
  <c r="AF564" i="16" l="1"/>
  <c r="AG564" i="16" s="1"/>
  <c r="AH564" i="16" s="1"/>
  <c r="AS564" i="16" s="1"/>
  <c r="Z564" i="16"/>
  <c r="U565" i="16" s="1"/>
  <c r="AC565" i="16" s="1"/>
  <c r="AP563" i="16"/>
  <c r="AR563" i="16" s="1"/>
  <c r="AD374" i="15"/>
  <c r="E516" i="14"/>
  <c r="F516" i="14" s="1"/>
  <c r="H516" i="14" s="1"/>
  <c r="BD518" i="16"/>
  <c r="AJ543" i="15"/>
  <c r="BQ517" i="16"/>
  <c r="O674" i="16"/>
  <c r="AT564" i="16" l="1"/>
  <c r="AW564" i="16" s="1"/>
  <c r="AX564" i="16" s="1"/>
  <c r="AZ564" i="16" s="1"/>
  <c r="AU564" i="16"/>
  <c r="AV564" i="16" s="1"/>
  <c r="AL564" i="16"/>
  <c r="AY564" i="16" s="1"/>
  <c r="AQ563" i="16"/>
  <c r="W565" i="16"/>
  <c r="AA565" i="16" s="1"/>
  <c r="AK565" i="16" s="1"/>
  <c r="AD565" i="16"/>
  <c r="BJ518" i="16"/>
  <c r="BK518" i="16"/>
  <c r="BE518" i="16"/>
  <c r="BF518" i="16" s="1"/>
  <c r="E675" i="16"/>
  <c r="P675" i="16"/>
  <c r="AM564" i="16" l="1"/>
  <c r="AN564" i="16" s="1"/>
  <c r="Y565" i="16"/>
  <c r="AB565" i="16" s="1"/>
  <c r="AE565" i="16"/>
  <c r="BI518" i="16"/>
  <c r="BG518" i="16"/>
  <c r="BL518" i="16"/>
  <c r="BM518" i="16" s="1"/>
  <c r="L675" i="16"/>
  <c r="Q675" i="16"/>
  <c r="S675" i="16" s="1"/>
  <c r="AO564" i="16" l="1"/>
  <c r="AP564" i="16" s="1"/>
  <c r="AQ564" i="16" s="1"/>
  <c r="AF565" i="16"/>
  <c r="AG565" i="16" s="1"/>
  <c r="AH565" i="16" s="1"/>
  <c r="AS565" i="16" s="1"/>
  <c r="Z565" i="16"/>
  <c r="U566" i="16" s="1"/>
  <c r="AC566" i="16" s="1"/>
  <c r="N675" i="16"/>
  <c r="M676" i="16" s="1"/>
  <c r="BC519" i="16"/>
  <c r="BH519" i="16" s="1"/>
  <c r="BN518" i="16"/>
  <c r="BO518" i="16"/>
  <c r="BP518" i="16" s="1"/>
  <c r="AR564" i="16" l="1"/>
  <c r="AT565" i="16"/>
  <c r="AW565" i="16" s="1"/>
  <c r="AX565" i="16" s="1"/>
  <c r="AZ565" i="16" s="1"/>
  <c r="AU565" i="16"/>
  <c r="AV565" i="16" s="1"/>
  <c r="AL565" i="16"/>
  <c r="O675" i="16"/>
  <c r="BD519" i="16"/>
  <c r="BK519" i="16" s="1"/>
  <c r="AD566" i="16"/>
  <c r="W566" i="16"/>
  <c r="AJ544" i="15"/>
  <c r="BQ518" i="16"/>
  <c r="AD377" i="15"/>
  <c r="E517" i="14"/>
  <c r="F517" i="14" s="1"/>
  <c r="H517" i="14" s="1"/>
  <c r="E676" i="16"/>
  <c r="L676" i="16" s="1"/>
  <c r="P676" i="16"/>
  <c r="AY565" i="16" l="1"/>
  <c r="AM565" i="16"/>
  <c r="AN565" i="16" s="1"/>
  <c r="AO565" i="16" s="1"/>
  <c r="AP565" i="16" s="1"/>
  <c r="AR565" i="16" s="1"/>
  <c r="BJ519" i="16"/>
  <c r="BE519" i="16"/>
  <c r="BF519" i="16" s="1"/>
  <c r="BG519" i="16" s="1"/>
  <c r="AE566" i="16"/>
  <c r="AA566" i="16"/>
  <c r="AK566" i="16" s="1"/>
  <c r="Y566" i="16"/>
  <c r="AB566" i="16" s="1"/>
  <c r="BL519" i="16"/>
  <c r="BM519" i="16" s="1"/>
  <c r="Q676" i="16"/>
  <c r="S676" i="16" s="1"/>
  <c r="N676" i="16"/>
  <c r="M677" i="16" s="1"/>
  <c r="BI519" i="16" l="1"/>
  <c r="BN519" i="16" s="1"/>
  <c r="AF566" i="16"/>
  <c r="AG566" i="16" s="1"/>
  <c r="AH566" i="16" s="1"/>
  <c r="AS566" i="16" s="1"/>
  <c r="Z566" i="16"/>
  <c r="AQ565" i="16"/>
  <c r="BC520" i="16"/>
  <c r="O676" i="16"/>
  <c r="AT566" i="16" l="1"/>
  <c r="AW566" i="16" s="1"/>
  <c r="AX566" i="16" s="1"/>
  <c r="AZ566" i="16" s="1"/>
  <c r="AU566" i="16"/>
  <c r="AV566" i="16" s="1"/>
  <c r="AL566" i="16"/>
  <c r="AY566" i="16" s="1"/>
  <c r="BO519" i="16"/>
  <c r="BP519" i="16" s="1"/>
  <c r="AJ545" i="15" s="1"/>
  <c r="U567" i="16"/>
  <c r="AC567" i="16" s="1"/>
  <c r="BH520" i="16"/>
  <c r="BD520" i="16"/>
  <c r="E518" i="14"/>
  <c r="F518" i="14" s="1"/>
  <c r="H518" i="14" s="1"/>
  <c r="AD380" i="15"/>
  <c r="E677" i="16"/>
  <c r="L677" i="16" s="1"/>
  <c r="P677" i="16"/>
  <c r="AM566" i="16" l="1"/>
  <c r="AN566" i="16" s="1"/>
  <c r="AO566" i="16" s="1"/>
  <c r="BQ519" i="16"/>
  <c r="AD567" i="16"/>
  <c r="W567" i="16"/>
  <c r="BJ520" i="16"/>
  <c r="BK520" i="16"/>
  <c r="BE520" i="16"/>
  <c r="BF520" i="16" s="1"/>
  <c r="Q677" i="16"/>
  <c r="S677" i="16" s="1"/>
  <c r="N677" i="16"/>
  <c r="M678" i="16" s="1"/>
  <c r="AP566" i="16" l="1"/>
  <c r="AR566" i="16" s="1"/>
  <c r="AE567" i="16"/>
  <c r="AA567" i="16"/>
  <c r="AK567" i="16" s="1"/>
  <c r="Y567" i="16"/>
  <c r="BI520" i="16"/>
  <c r="BG520" i="16"/>
  <c r="BL520" i="16"/>
  <c r="BM520" i="16" s="1"/>
  <c r="O677" i="16"/>
  <c r="AB567" i="16" l="1"/>
  <c r="Z567" i="16"/>
  <c r="AQ566" i="16"/>
  <c r="BC521" i="16"/>
  <c r="BH521" i="16" s="1"/>
  <c r="BO520" i="16"/>
  <c r="BP520" i="16" s="1"/>
  <c r="BN520" i="16"/>
  <c r="E678" i="16"/>
  <c r="P678" i="16"/>
  <c r="U568" i="16" l="1"/>
  <c r="AC568" i="16" s="1"/>
  <c r="AF567" i="16"/>
  <c r="AG567" i="16" s="1"/>
  <c r="AH567" i="16" s="1"/>
  <c r="AS567" i="16" s="1"/>
  <c r="E519" i="14"/>
  <c r="F519" i="14" s="1"/>
  <c r="H519" i="14" s="1"/>
  <c r="AD384" i="15"/>
  <c r="BD521" i="16"/>
  <c r="BE521" i="16" s="1"/>
  <c r="BF521" i="16" s="1"/>
  <c r="AJ546" i="15"/>
  <c r="BQ520" i="16"/>
  <c r="L678" i="16"/>
  <c r="N678" i="16" s="1"/>
  <c r="M679" i="16" s="1"/>
  <c r="Q678" i="16"/>
  <c r="S678" i="16" s="1"/>
  <c r="AU567" i="16" l="1"/>
  <c r="AV567" i="16" s="1"/>
  <c r="AT567" i="16"/>
  <c r="AW567" i="16" s="1"/>
  <c r="AX567" i="16" s="1"/>
  <c r="AZ567" i="16" s="1"/>
  <c r="AL567" i="16"/>
  <c r="W568" i="16"/>
  <c r="AA568" i="16" s="1"/>
  <c r="AK568" i="16" s="1"/>
  <c r="AD568" i="16"/>
  <c r="BI521" i="16"/>
  <c r="BG521" i="16"/>
  <c r="BJ521" i="16"/>
  <c r="BK521" i="16"/>
  <c r="O678" i="16"/>
  <c r="AY567" i="16" l="1"/>
  <c r="AM567" i="16"/>
  <c r="AN567" i="16" s="1"/>
  <c r="AO567" i="16" s="1"/>
  <c r="AP567" i="16" s="1"/>
  <c r="AQ567" i="16" s="1"/>
  <c r="Y568" i="16"/>
  <c r="AB568" i="16" s="1"/>
  <c r="AE568" i="16"/>
  <c r="BL521" i="16"/>
  <c r="BM521" i="16" s="1"/>
  <c r="BC522" i="16"/>
  <c r="BD522" i="16" s="1"/>
  <c r="BJ522" i="16" s="1"/>
  <c r="BO521" i="16"/>
  <c r="BP521" i="16" s="1"/>
  <c r="E679" i="16"/>
  <c r="L679" i="16" s="1"/>
  <c r="P679" i="16"/>
  <c r="AR567" i="16" l="1"/>
  <c r="BN521" i="16"/>
  <c r="AD386" i="15" s="1"/>
  <c r="AF568" i="16"/>
  <c r="Z568" i="16"/>
  <c r="U569" i="16" s="1"/>
  <c r="AC569" i="16" s="1"/>
  <c r="AD569" i="16" s="1"/>
  <c r="BE522" i="16"/>
  <c r="BF522" i="16" s="1"/>
  <c r="BH522" i="16"/>
  <c r="BK522" i="16"/>
  <c r="AJ547" i="15"/>
  <c r="Q679" i="16"/>
  <c r="S679" i="16" s="1"/>
  <c r="N679" i="16"/>
  <c r="M680" i="16" s="1"/>
  <c r="BQ521" i="16" l="1"/>
  <c r="E520" i="14"/>
  <c r="F520" i="14" s="1"/>
  <c r="H520" i="14" s="1"/>
  <c r="AG568" i="16"/>
  <c r="AE569" i="16"/>
  <c r="W569" i="16"/>
  <c r="BI522" i="16"/>
  <c r="BG522" i="16"/>
  <c r="BL522" i="16"/>
  <c r="BM522" i="16" s="1"/>
  <c r="O679" i="16"/>
  <c r="AL568" i="16" l="1"/>
  <c r="AY568" i="16" s="1"/>
  <c r="AH568" i="16"/>
  <c r="AS568" i="16" s="1"/>
  <c r="AA569" i="16"/>
  <c r="AK569" i="16" s="1"/>
  <c r="Y569" i="16"/>
  <c r="AB569" i="16" s="1"/>
  <c r="BC523" i="16"/>
  <c r="BH523" i="16" s="1"/>
  <c r="BO522" i="16"/>
  <c r="BP522" i="16" s="1"/>
  <c r="BN522" i="16"/>
  <c r="E680" i="16"/>
  <c r="L680" i="16" s="1"/>
  <c r="P680" i="16"/>
  <c r="AM568" i="16" l="1"/>
  <c r="AN568" i="16" s="1"/>
  <c r="AO568" i="16" s="1"/>
  <c r="AP568" i="16" s="1"/>
  <c r="AR568" i="16" s="1"/>
  <c r="AU568" i="16"/>
  <c r="AV568" i="16" s="1"/>
  <c r="AT568" i="16"/>
  <c r="AW568" i="16" s="1"/>
  <c r="AX568" i="16" s="1"/>
  <c r="AZ568" i="16" s="1"/>
  <c r="AF569" i="16"/>
  <c r="BD523" i="16"/>
  <c r="BJ523" i="16" s="1"/>
  <c r="Z569" i="16"/>
  <c r="AJ548" i="15"/>
  <c r="BQ522" i="16"/>
  <c r="E521" i="14"/>
  <c r="F521" i="14" s="1"/>
  <c r="H521" i="14" s="1"/>
  <c r="AD389" i="15"/>
  <c r="Q680" i="16"/>
  <c r="S680" i="16" s="1"/>
  <c r="N680" i="16"/>
  <c r="M681" i="16" s="1"/>
  <c r="AQ568" i="16" l="1"/>
  <c r="AG569" i="16"/>
  <c r="AL569" i="16" s="1"/>
  <c r="AY569" i="16" s="1"/>
  <c r="U570" i="16"/>
  <c r="AC570" i="16" s="1"/>
  <c r="BK523" i="16"/>
  <c r="BL523" i="16" s="1"/>
  <c r="BM523" i="16" s="1"/>
  <c r="BE523" i="16"/>
  <c r="BF523" i="16" s="1"/>
  <c r="O680" i="16"/>
  <c r="AM569" i="16" l="1"/>
  <c r="AN569" i="16" s="1"/>
  <c r="AO569" i="16" s="1"/>
  <c r="AP569" i="16" s="1"/>
  <c r="AH569" i="16"/>
  <c r="AS569" i="16" s="1"/>
  <c r="BG523" i="16"/>
  <c r="BC524" i="16" s="1"/>
  <c r="BH524" i="16" s="1"/>
  <c r="BI523" i="16"/>
  <c r="BN523" i="16" s="1"/>
  <c r="AD570" i="16"/>
  <c r="W570" i="16"/>
  <c r="Y570" i="16" s="1"/>
  <c r="AB570" i="16" s="1"/>
  <c r="E681" i="16"/>
  <c r="L681" i="16" s="1"/>
  <c r="P681" i="16"/>
  <c r="AU569" i="16" l="1"/>
  <c r="AV569" i="16" s="1"/>
  <c r="AT569" i="16"/>
  <c r="AW569" i="16" s="1"/>
  <c r="AX569" i="16" s="1"/>
  <c r="AZ569" i="16" s="1"/>
  <c r="AR569" i="16"/>
  <c r="BO523" i="16"/>
  <c r="BP523" i="16" s="1"/>
  <c r="AJ549" i="15" s="1"/>
  <c r="AQ569" i="16"/>
  <c r="AE570" i="16"/>
  <c r="AF570" i="16" s="1"/>
  <c r="AA570" i="16"/>
  <c r="AK570" i="16" s="1"/>
  <c r="Z570" i="16"/>
  <c r="AD393" i="15"/>
  <c r="E522" i="14"/>
  <c r="F522" i="14" s="1"/>
  <c r="H522" i="14" s="1"/>
  <c r="BD524" i="16"/>
  <c r="BE524" i="16" s="1"/>
  <c r="BF524" i="16" s="1"/>
  <c r="Q681" i="16"/>
  <c r="S681" i="16" s="1"/>
  <c r="N681" i="16"/>
  <c r="M682" i="16" s="1"/>
  <c r="AG570" i="16" l="1"/>
  <c r="AL570" i="16" s="1"/>
  <c r="AY570" i="16" s="1"/>
  <c r="BQ523" i="16"/>
  <c r="U571" i="16"/>
  <c r="AC571" i="16" s="1"/>
  <c r="AD571" i="16" s="1"/>
  <c r="BI524" i="16"/>
  <c r="BG524" i="16"/>
  <c r="BJ524" i="16"/>
  <c r="BK524" i="16"/>
  <c r="O681" i="16"/>
  <c r="AM570" i="16" l="1"/>
  <c r="AH570" i="16"/>
  <c r="AS570" i="16" s="1"/>
  <c r="W571" i="16"/>
  <c r="AA571" i="16" s="1"/>
  <c r="AK571" i="16" s="1"/>
  <c r="AN570" i="16"/>
  <c r="AE571" i="16"/>
  <c r="BL524" i="16"/>
  <c r="BM524" i="16" s="1"/>
  <c r="BC525" i="16"/>
  <c r="BO524" i="16"/>
  <c r="BP524" i="16" s="1"/>
  <c r="E682" i="16"/>
  <c r="L682" i="16" s="1"/>
  <c r="P682" i="16"/>
  <c r="AT570" i="16" l="1"/>
  <c r="AW570" i="16" s="1"/>
  <c r="AX570" i="16" s="1"/>
  <c r="AZ570" i="16" s="1"/>
  <c r="AU570" i="16"/>
  <c r="AV570" i="16" s="1"/>
  <c r="Y571" i="16"/>
  <c r="Z571" i="16" s="1"/>
  <c r="BN524" i="16"/>
  <c r="E523" i="14" s="1"/>
  <c r="F523" i="14" s="1"/>
  <c r="H523" i="14" s="1"/>
  <c r="AO570" i="16"/>
  <c r="AP570" i="16" s="1"/>
  <c r="AQ570" i="16" s="1"/>
  <c r="BH525" i="16"/>
  <c r="BD525" i="16"/>
  <c r="BE525" i="16" s="1"/>
  <c r="AJ73" i="15"/>
  <c r="Q682" i="16"/>
  <c r="S682" i="16" s="1"/>
  <c r="N682" i="16"/>
  <c r="M683" i="16" s="1"/>
  <c r="AB571" i="16" l="1"/>
  <c r="AF571" i="16" s="1"/>
  <c r="AD276" i="15"/>
  <c r="BQ524" i="16"/>
  <c r="U572" i="16"/>
  <c r="AC572" i="16" s="1"/>
  <c r="AR570" i="16"/>
  <c r="BJ525" i="16"/>
  <c r="BK525" i="16"/>
  <c r="BF525" i="16"/>
  <c r="O682" i="16"/>
  <c r="AG571" i="16" l="1"/>
  <c r="AL571" i="16" s="1"/>
  <c r="AY571" i="16" s="1"/>
  <c r="W572" i="16"/>
  <c r="AA572" i="16" s="1"/>
  <c r="AK572" i="16" s="1"/>
  <c r="AD572" i="16"/>
  <c r="BI525" i="16"/>
  <c r="BG525" i="16"/>
  <c r="BL525" i="16"/>
  <c r="BM525" i="16" s="1"/>
  <c r="E683" i="16"/>
  <c r="L683" i="16" s="1"/>
  <c r="P683" i="16"/>
  <c r="AM571" i="16" l="1"/>
  <c r="AN571" i="16" s="1"/>
  <c r="AO571" i="16" s="1"/>
  <c r="AP571" i="16" s="1"/>
  <c r="AQ571" i="16" s="1"/>
  <c r="AH571" i="16"/>
  <c r="AS571" i="16" s="1"/>
  <c r="Y572" i="16"/>
  <c r="AB572" i="16" s="1"/>
  <c r="AE572" i="16"/>
  <c r="BN525" i="16"/>
  <c r="BO525" i="16"/>
  <c r="BP525" i="16" s="1"/>
  <c r="BC526" i="16"/>
  <c r="Q683" i="16"/>
  <c r="S683" i="16" s="1"/>
  <c r="N683" i="16"/>
  <c r="M684" i="16" s="1"/>
  <c r="Z572" i="16" l="1"/>
  <c r="U573" i="16" s="1"/>
  <c r="AC573" i="16" s="1"/>
  <c r="AD573" i="16" s="1"/>
  <c r="AF572" i="16"/>
  <c r="AG572" i="16" s="1"/>
  <c r="AH572" i="16" s="1"/>
  <c r="AS572" i="16" s="1"/>
  <c r="AT572" i="16" s="1"/>
  <c r="AT571" i="16"/>
  <c r="AW571" i="16" s="1"/>
  <c r="AU571" i="16"/>
  <c r="AV571" i="16" s="1"/>
  <c r="AR571" i="16"/>
  <c r="BD526" i="16"/>
  <c r="AJ550" i="15"/>
  <c r="BQ525" i="16"/>
  <c r="BH526" i="16"/>
  <c r="E524" i="14"/>
  <c r="F524" i="14" s="1"/>
  <c r="H524" i="14" s="1"/>
  <c r="AD281" i="15"/>
  <c r="O683" i="16"/>
  <c r="W573" i="16" l="1"/>
  <c r="AA573" i="16" s="1"/>
  <c r="AK573" i="16" s="1"/>
  <c r="AU572" i="16"/>
  <c r="AV572" i="16" s="1"/>
  <c r="AL572" i="16"/>
  <c r="AY572" i="16" s="1"/>
  <c r="AX571" i="16"/>
  <c r="AZ571" i="16" s="1"/>
  <c r="AE573" i="16"/>
  <c r="BJ526" i="16"/>
  <c r="BK526" i="16"/>
  <c r="BE526" i="16"/>
  <c r="BF526" i="16" s="1"/>
  <c r="E684" i="16"/>
  <c r="L684" i="16" s="1"/>
  <c r="P684" i="16"/>
  <c r="AW572" i="16" l="1"/>
  <c r="AX572" i="16" s="1"/>
  <c r="AZ572" i="16" s="1"/>
  <c r="Y573" i="16"/>
  <c r="AB573" i="16" s="1"/>
  <c r="AF573" i="16" s="1"/>
  <c r="AG573" i="16" s="1"/>
  <c r="AH573" i="16" s="1"/>
  <c r="AS573" i="16" s="1"/>
  <c r="AM572" i="16"/>
  <c r="AN572" i="16" s="1"/>
  <c r="AO572" i="16" s="1"/>
  <c r="AP572" i="16" s="1"/>
  <c r="AQ572" i="16" s="1"/>
  <c r="BI526" i="16"/>
  <c r="BG526" i="16"/>
  <c r="BL526" i="16"/>
  <c r="BM526" i="16" s="1"/>
  <c r="Q684" i="16"/>
  <c r="S684" i="16" s="1"/>
  <c r="N684" i="16"/>
  <c r="M685" i="16" s="1"/>
  <c r="AR572" i="16" l="1"/>
  <c r="Z573" i="16"/>
  <c r="U574" i="16" s="1"/>
  <c r="AC574" i="16" s="1"/>
  <c r="AD574" i="16" s="1"/>
  <c r="AT573" i="16"/>
  <c r="AW573" i="16" s="1"/>
  <c r="AX573" i="16" s="1"/>
  <c r="AZ573" i="16" s="1"/>
  <c r="AU573" i="16"/>
  <c r="AV573" i="16" s="1"/>
  <c r="AL573" i="16"/>
  <c r="AY573" i="16" s="1"/>
  <c r="BC527" i="16"/>
  <c r="BH527" i="16" s="1"/>
  <c r="BO526" i="16"/>
  <c r="BP526" i="16" s="1"/>
  <c r="BN526" i="16"/>
  <c r="O684" i="16"/>
  <c r="AM573" i="16" l="1"/>
  <c r="AN573" i="16" s="1"/>
  <c r="AO573" i="16" s="1"/>
  <c r="W574" i="16"/>
  <c r="AA574" i="16" s="1"/>
  <c r="AK574" i="16" s="1"/>
  <c r="AE574" i="16"/>
  <c r="BD527" i="16"/>
  <c r="E525" i="14"/>
  <c r="F525" i="14" s="1"/>
  <c r="H525" i="14" s="1"/>
  <c r="AD298" i="15"/>
  <c r="AJ551" i="15"/>
  <c r="BQ526" i="16"/>
  <c r="E685" i="16"/>
  <c r="L685" i="16" s="1"/>
  <c r="P685" i="16"/>
  <c r="Y574" i="16" l="1"/>
  <c r="AP573" i="16"/>
  <c r="AR573" i="16" s="1"/>
  <c r="BJ527" i="16"/>
  <c r="BK527" i="16"/>
  <c r="BE527" i="16"/>
  <c r="BF527" i="16" s="1"/>
  <c r="Q685" i="16"/>
  <c r="S685" i="16" s="1"/>
  <c r="N685" i="16"/>
  <c r="M686" i="16" s="1"/>
  <c r="AB574" i="16" l="1"/>
  <c r="AF574" i="16" s="1"/>
  <c r="AG574" i="16" s="1"/>
  <c r="AL574" i="16" s="1"/>
  <c r="AY574" i="16" s="1"/>
  <c r="Z574" i="16"/>
  <c r="U575" i="16" s="1"/>
  <c r="AC575" i="16" s="1"/>
  <c r="AD575" i="16" s="1"/>
  <c r="AQ573" i="16"/>
  <c r="BI527" i="16"/>
  <c r="BG527" i="16"/>
  <c r="BL527" i="16"/>
  <c r="BM527" i="16" s="1"/>
  <c r="O685" i="16"/>
  <c r="W575" i="16" l="1"/>
  <c r="Y575" i="16" s="1"/>
  <c r="AH574" i="16"/>
  <c r="AS574" i="16" s="1"/>
  <c r="AT574" i="16" s="1"/>
  <c r="AW574" i="16" s="1"/>
  <c r="AX574" i="16" s="1"/>
  <c r="AZ574" i="16" s="1"/>
  <c r="AM574" i="16"/>
  <c r="AN574" i="16" s="1"/>
  <c r="AO574" i="16" s="1"/>
  <c r="AP574" i="16" s="1"/>
  <c r="AQ574" i="16" s="1"/>
  <c r="AE575" i="16"/>
  <c r="BC528" i="16"/>
  <c r="BH528" i="16" s="1"/>
  <c r="BO527" i="16"/>
  <c r="BP527" i="16" s="1"/>
  <c r="BN527" i="16"/>
  <c r="E686" i="16"/>
  <c r="L686" i="16" s="1"/>
  <c r="P686" i="16"/>
  <c r="AA575" i="16" l="1"/>
  <c r="AK575" i="16" s="1"/>
  <c r="AU574" i="16"/>
  <c r="AV574" i="16" s="1"/>
  <c r="AR574" i="16"/>
  <c r="AB575" i="16"/>
  <c r="Z575" i="16"/>
  <c r="E526" i="14"/>
  <c r="F526" i="14" s="1"/>
  <c r="H526" i="14" s="1"/>
  <c r="AD314" i="15"/>
  <c r="BD528" i="16"/>
  <c r="BE528" i="16" s="1"/>
  <c r="BF528" i="16" s="1"/>
  <c r="AJ552" i="15"/>
  <c r="BQ527" i="16"/>
  <c r="Q686" i="16"/>
  <c r="S686" i="16" s="1"/>
  <c r="N686" i="16"/>
  <c r="M687" i="16" s="1"/>
  <c r="U576" i="16" l="1"/>
  <c r="AC576" i="16" s="1"/>
  <c r="AF575" i="16"/>
  <c r="BI528" i="16"/>
  <c r="BG528" i="16"/>
  <c r="BJ528" i="16"/>
  <c r="BK528" i="16"/>
  <c r="O686" i="16"/>
  <c r="AG575" i="16" l="1"/>
  <c r="AL575" i="16" s="1"/>
  <c r="AY575" i="16" s="1"/>
  <c r="W576" i="16"/>
  <c r="AD576" i="16"/>
  <c r="BL528" i="16"/>
  <c r="BM528" i="16" s="1"/>
  <c r="BC529" i="16"/>
  <c r="BO528" i="16"/>
  <c r="BP528" i="16" s="1"/>
  <c r="E687" i="16"/>
  <c r="L687" i="16" s="1"/>
  <c r="P687" i="16"/>
  <c r="AM575" i="16" l="1"/>
  <c r="AN575" i="16" s="1"/>
  <c r="AO575" i="16" s="1"/>
  <c r="AP575" i="16" s="1"/>
  <c r="AH575" i="16"/>
  <c r="AS575" i="16" s="1"/>
  <c r="AT575" i="16" s="1"/>
  <c r="AW575" i="16" s="1"/>
  <c r="AX575" i="16" s="1"/>
  <c r="AZ575" i="16" s="1"/>
  <c r="BN528" i="16"/>
  <c r="E527" i="14" s="1"/>
  <c r="F527" i="14" s="1"/>
  <c r="H527" i="14" s="1"/>
  <c r="AA576" i="16"/>
  <c r="AK576" i="16" s="1"/>
  <c r="AE576" i="16"/>
  <c r="Y576" i="16"/>
  <c r="AB576" i="16" s="1"/>
  <c r="BH529" i="16"/>
  <c r="AJ553" i="15"/>
  <c r="BD529" i="16"/>
  <c r="Q687" i="16"/>
  <c r="S687" i="16" s="1"/>
  <c r="N687" i="16"/>
  <c r="M688" i="16" s="1"/>
  <c r="AR575" i="16" l="1"/>
  <c r="AU575" i="16"/>
  <c r="AV575" i="16" s="1"/>
  <c r="AD337" i="15"/>
  <c r="Z576" i="16"/>
  <c r="U577" i="16" s="1"/>
  <c r="AC577" i="16" s="1"/>
  <c r="BQ528" i="16"/>
  <c r="AF576" i="16"/>
  <c r="AG576" i="16" s="1"/>
  <c r="AH576" i="16" s="1"/>
  <c r="AS576" i="16" s="1"/>
  <c r="AT576" i="16" s="1"/>
  <c r="AW576" i="16" s="1"/>
  <c r="AX576" i="16" s="1"/>
  <c r="AZ576" i="16" s="1"/>
  <c r="AQ575" i="16"/>
  <c r="BE529" i="16"/>
  <c r="BF529" i="16" s="1"/>
  <c r="BJ529" i="16"/>
  <c r="BK529" i="16"/>
  <c r="O687" i="16"/>
  <c r="AL576" i="16" l="1"/>
  <c r="AM576" i="16" s="1"/>
  <c r="AU576" i="16"/>
  <c r="AV576" i="16" s="1"/>
  <c r="BI529" i="16"/>
  <c r="BO529" i="16" s="1"/>
  <c r="BP529" i="16" s="1"/>
  <c r="BG529" i="16"/>
  <c r="BC530" i="16" s="1"/>
  <c r="AY576" i="16"/>
  <c r="W577" i="16"/>
  <c r="AD577" i="16"/>
  <c r="BL529" i="16"/>
  <c r="BM529" i="16" s="1"/>
  <c r="E688" i="16"/>
  <c r="L688" i="16" s="1"/>
  <c r="P688" i="16"/>
  <c r="BH530" i="16" l="1"/>
  <c r="BD530" i="16"/>
  <c r="BJ530" i="16" s="1"/>
  <c r="AA577" i="16"/>
  <c r="AK577" i="16" s="1"/>
  <c r="BN529" i="16"/>
  <c r="E528" i="14" s="1"/>
  <c r="F528" i="14" s="1"/>
  <c r="H528" i="14" s="1"/>
  <c r="Y577" i="16"/>
  <c r="AB577" i="16" s="1"/>
  <c r="AN576" i="16"/>
  <c r="AO576" i="16" s="1"/>
  <c r="AP576" i="16" s="1"/>
  <c r="AQ576" i="16" s="1"/>
  <c r="AE577" i="16"/>
  <c r="AJ554" i="15"/>
  <c r="Q688" i="16"/>
  <c r="S688" i="16" s="1"/>
  <c r="N688" i="16"/>
  <c r="M689" i="16" s="1"/>
  <c r="BK530" i="16" l="1"/>
  <c r="BL530" i="16" s="1"/>
  <c r="BM530" i="16" s="1"/>
  <c r="BE530" i="16"/>
  <c r="BF530" i="16" s="1"/>
  <c r="BI530" i="16" s="1"/>
  <c r="BQ529" i="16"/>
  <c r="AD360" i="15"/>
  <c r="Z577" i="16"/>
  <c r="U578" i="16" s="1"/>
  <c r="AC578" i="16" s="1"/>
  <c r="AF577" i="16"/>
  <c r="AG577" i="16" s="1"/>
  <c r="AH577" i="16" s="1"/>
  <c r="AS577" i="16" s="1"/>
  <c r="AR576" i="16"/>
  <c r="E689" i="16"/>
  <c r="L689" i="16" s="1"/>
  <c r="O688" i="16"/>
  <c r="AT577" i="16" l="1"/>
  <c r="AW577" i="16" s="1"/>
  <c r="AX577" i="16" s="1"/>
  <c r="AZ577" i="16" s="1"/>
  <c r="AU577" i="16"/>
  <c r="AV577" i="16" s="1"/>
  <c r="AL577" i="16"/>
  <c r="AY577" i="16" s="1"/>
  <c r="BG530" i="16"/>
  <c r="BC531" i="16" s="1"/>
  <c r="BH531" i="16" s="1"/>
  <c r="W578" i="16"/>
  <c r="Y578" i="16" s="1"/>
  <c r="AB578" i="16" s="1"/>
  <c r="AD578" i="16"/>
  <c r="BO530" i="16"/>
  <c r="BP530" i="16" s="1"/>
  <c r="BN530" i="16"/>
  <c r="N689" i="16"/>
  <c r="M690" i="16" s="1"/>
  <c r="P689" i="16"/>
  <c r="AM577" i="16" l="1"/>
  <c r="AN577" i="16" s="1"/>
  <c r="AO577" i="16" s="1"/>
  <c r="AE578" i="16"/>
  <c r="AA578" i="16"/>
  <c r="AK578" i="16" s="1"/>
  <c r="Z578" i="16"/>
  <c r="E529" i="14"/>
  <c r="F529" i="14" s="1"/>
  <c r="H529" i="14" s="1"/>
  <c r="AD382" i="15"/>
  <c r="BD531" i="16"/>
  <c r="BE531" i="16" s="1"/>
  <c r="AJ555" i="15"/>
  <c r="BQ530" i="16"/>
  <c r="Q689" i="16"/>
  <c r="S689" i="16" s="1"/>
  <c r="O689" i="16"/>
  <c r="U579" i="16" l="1"/>
  <c r="AC579" i="16" s="1"/>
  <c r="AP577" i="16"/>
  <c r="AR577" i="16" s="1"/>
  <c r="AF578" i="16"/>
  <c r="AG578" i="16" s="1"/>
  <c r="BJ531" i="16"/>
  <c r="BK531" i="16"/>
  <c r="BF531" i="16"/>
  <c r="E690" i="16"/>
  <c r="P690" i="16"/>
  <c r="AH578" i="16" l="1"/>
  <c r="AS578" i="16" s="1"/>
  <c r="AL578" i="16"/>
  <c r="AY578" i="16" s="1"/>
  <c r="W579" i="16"/>
  <c r="AA579" i="16" s="1"/>
  <c r="AK579" i="16" s="1"/>
  <c r="AD579" i="16"/>
  <c r="AQ577" i="16"/>
  <c r="BL531" i="16"/>
  <c r="BM531" i="16" s="1"/>
  <c r="BI531" i="16"/>
  <c r="BG531" i="16"/>
  <c r="L690" i="16"/>
  <c r="Q690" i="16"/>
  <c r="S690" i="16" s="1"/>
  <c r="AM578" i="16" l="1"/>
  <c r="AN578" i="16" s="1"/>
  <c r="AT578" i="16"/>
  <c r="AW578" i="16" s="1"/>
  <c r="AX578" i="16" s="1"/>
  <c r="AZ578" i="16" s="1"/>
  <c r="AU578" i="16"/>
  <c r="AV578" i="16" s="1"/>
  <c r="Y579" i="16"/>
  <c r="AB579" i="16" s="1"/>
  <c r="AE579" i="16"/>
  <c r="N690" i="16"/>
  <c r="O690" i="16" s="1"/>
  <c r="BC532" i="16"/>
  <c r="BH532" i="16" s="1"/>
  <c r="BO531" i="16"/>
  <c r="BP531" i="16" s="1"/>
  <c r="BN531" i="16"/>
  <c r="M691" i="16" l="1"/>
  <c r="E691" i="16" s="1"/>
  <c r="L691" i="16" s="1"/>
  <c r="N691" i="16" s="1"/>
  <c r="M692" i="16" s="1"/>
  <c r="AO578" i="16"/>
  <c r="AP578" i="16" s="1"/>
  <c r="AQ578" i="16" s="1"/>
  <c r="Z579" i="16"/>
  <c r="U580" i="16" s="1"/>
  <c r="AC580" i="16" s="1"/>
  <c r="AD580" i="16" s="1"/>
  <c r="AE580" i="16" s="1"/>
  <c r="AF579" i="16"/>
  <c r="AG579" i="16" s="1"/>
  <c r="AH579" i="16" s="1"/>
  <c r="AS579" i="16" s="1"/>
  <c r="AT579" i="16" s="1"/>
  <c r="AW579" i="16" s="1"/>
  <c r="AX579" i="16" s="1"/>
  <c r="AZ579" i="16" s="1"/>
  <c r="BD532" i="16"/>
  <c r="BK532" i="16" s="1"/>
  <c r="AJ556" i="15"/>
  <c r="BQ531" i="16"/>
  <c r="AD378" i="15"/>
  <c r="E530" i="14"/>
  <c r="F530" i="14" s="1"/>
  <c r="H530" i="14" s="1"/>
  <c r="P691" i="16" l="1"/>
  <c r="Q691" i="16" s="1"/>
  <c r="S691" i="16" s="1"/>
  <c r="AR578" i="16"/>
  <c r="W580" i="16"/>
  <c r="AA580" i="16" s="1"/>
  <c r="AK580" i="16" s="1"/>
  <c r="BJ532" i="16"/>
  <c r="AU579" i="16"/>
  <c r="AV579" i="16" s="1"/>
  <c r="AL579" i="16"/>
  <c r="BE532" i="16"/>
  <c r="BF532" i="16" s="1"/>
  <c r="BI532" i="16" s="1"/>
  <c r="BL532" i="16"/>
  <c r="BM532" i="16" s="1"/>
  <c r="O691" i="16"/>
  <c r="Y580" i="16" l="1"/>
  <c r="Z580" i="16" s="1"/>
  <c r="AY579" i="16"/>
  <c r="AM579" i="16"/>
  <c r="AN579" i="16" s="1"/>
  <c r="AO579" i="16" s="1"/>
  <c r="AP579" i="16" s="1"/>
  <c r="AR579" i="16" s="1"/>
  <c r="BG532" i="16"/>
  <c r="BC533" i="16" s="1"/>
  <c r="BH533" i="16" s="1"/>
  <c r="BO532" i="16"/>
  <c r="BP532" i="16" s="1"/>
  <c r="BN532" i="16"/>
  <c r="E692" i="16"/>
  <c r="L692" i="16" s="1"/>
  <c r="P692" i="16"/>
  <c r="AB580" i="16" l="1"/>
  <c r="U581" i="16"/>
  <c r="AC581" i="16" s="1"/>
  <c r="AF580" i="16"/>
  <c r="AG580" i="16" s="1"/>
  <c r="AH580" i="16" s="1"/>
  <c r="AS580" i="16" s="1"/>
  <c r="BD533" i="16"/>
  <c r="BE533" i="16" s="1"/>
  <c r="AQ579" i="16"/>
  <c r="E531" i="14"/>
  <c r="F531" i="14" s="1"/>
  <c r="H531" i="14" s="1"/>
  <c r="AD381" i="15"/>
  <c r="AJ557" i="15"/>
  <c r="BQ532" i="16"/>
  <c r="Q692" i="16"/>
  <c r="S692" i="16" s="1"/>
  <c r="N692" i="16"/>
  <c r="M693" i="16" s="1"/>
  <c r="AT580" i="16" l="1"/>
  <c r="AW580" i="16" s="1"/>
  <c r="AX580" i="16" s="1"/>
  <c r="AZ580" i="16" s="1"/>
  <c r="AU580" i="16"/>
  <c r="AV580" i="16" s="1"/>
  <c r="AL580" i="16"/>
  <c r="AY580" i="16" s="1"/>
  <c r="W581" i="16"/>
  <c r="AA581" i="16" s="1"/>
  <c r="AK581" i="16" s="1"/>
  <c r="AD581" i="16"/>
  <c r="BK533" i="16"/>
  <c r="BL533" i="16" s="1"/>
  <c r="BM533" i="16" s="1"/>
  <c r="BJ533" i="16"/>
  <c r="BF533" i="16"/>
  <c r="BG533" i="16" s="1"/>
  <c r="O692" i="16"/>
  <c r="E693" i="16"/>
  <c r="L693" i="16" s="1"/>
  <c r="AM580" i="16" l="1"/>
  <c r="AN580" i="16" s="1"/>
  <c r="BI533" i="16"/>
  <c r="BN533" i="16" s="1"/>
  <c r="Y581" i="16"/>
  <c r="AB581" i="16" s="1"/>
  <c r="AE581" i="16"/>
  <c r="BC534" i="16"/>
  <c r="BH534" i="16" s="1"/>
  <c r="N693" i="16"/>
  <c r="M694" i="16" s="1"/>
  <c r="P693" i="16"/>
  <c r="AO580" i="16" l="1"/>
  <c r="AP580" i="16" s="1"/>
  <c r="AR580" i="16" s="1"/>
  <c r="BO533" i="16"/>
  <c r="BP533" i="16" s="1"/>
  <c r="AJ558" i="15" s="1"/>
  <c r="AF581" i="16"/>
  <c r="Z581" i="16"/>
  <c r="U582" i="16" s="1"/>
  <c r="AC582" i="16" s="1"/>
  <c r="BD534" i="16"/>
  <c r="BJ534" i="16" s="1"/>
  <c r="E532" i="14"/>
  <c r="F532" i="14" s="1"/>
  <c r="H532" i="14" s="1"/>
  <c r="AD397" i="15"/>
  <c r="Q693" i="16"/>
  <c r="S693" i="16" s="1"/>
  <c r="O693" i="16"/>
  <c r="AQ580" i="16" l="1"/>
  <c r="BQ533" i="16"/>
  <c r="AG581" i="16"/>
  <c r="BK534" i="16"/>
  <c r="BL534" i="16" s="1"/>
  <c r="BM534" i="16" s="1"/>
  <c r="BE534" i="16"/>
  <c r="BF534" i="16" s="1"/>
  <c r="AD582" i="16"/>
  <c r="W582" i="16"/>
  <c r="Y582" i="16" s="1"/>
  <c r="AB582" i="16" s="1"/>
  <c r="P694" i="16"/>
  <c r="Q694" i="16" s="1"/>
  <c r="S694" i="16" s="1"/>
  <c r="E694" i="16"/>
  <c r="L694" i="16" s="1"/>
  <c r="AL581" i="16" l="1"/>
  <c r="AY581" i="16" s="1"/>
  <c r="AH581" i="16"/>
  <c r="AS581" i="16" s="1"/>
  <c r="BG534" i="16"/>
  <c r="BC535" i="16" s="1"/>
  <c r="BH535" i="16" s="1"/>
  <c r="BI534" i="16"/>
  <c r="BO534" i="16" s="1"/>
  <c r="BP534" i="16" s="1"/>
  <c r="AE582" i="16"/>
  <c r="AA582" i="16"/>
  <c r="AK582" i="16" s="1"/>
  <c r="Z582" i="16"/>
  <c r="N694" i="16"/>
  <c r="M695" i="16" s="1"/>
  <c r="AM581" i="16" l="1"/>
  <c r="AN581" i="16" s="1"/>
  <c r="AO581" i="16" s="1"/>
  <c r="AP581" i="16" s="1"/>
  <c r="AU581" i="16"/>
  <c r="AV581" i="16" s="1"/>
  <c r="AT581" i="16"/>
  <c r="AW581" i="16" s="1"/>
  <c r="AX581" i="16" s="1"/>
  <c r="AZ581" i="16" s="1"/>
  <c r="BN534" i="16"/>
  <c r="BQ534" i="16" s="1"/>
  <c r="BD535" i="16"/>
  <c r="BE535" i="16" s="1"/>
  <c r="BF535" i="16" s="1"/>
  <c r="AF582" i="16"/>
  <c r="AG582" i="16" s="1"/>
  <c r="U583" i="16"/>
  <c r="AC583" i="16" s="1"/>
  <c r="AJ559" i="15"/>
  <c r="O694" i="16"/>
  <c r="E533" i="14" l="1"/>
  <c r="F533" i="14" s="1"/>
  <c r="H533" i="14" s="1"/>
  <c r="AR581" i="16"/>
  <c r="AQ581" i="16"/>
  <c r="AH582" i="16"/>
  <c r="AS582" i="16" s="1"/>
  <c r="AT582" i="16" s="1"/>
  <c r="AW582" i="16" s="1"/>
  <c r="AX582" i="16" s="1"/>
  <c r="AZ582" i="16" s="1"/>
  <c r="AL582" i="16"/>
  <c r="AY582" i="16" s="1"/>
  <c r="BJ535" i="16"/>
  <c r="BK535" i="16"/>
  <c r="BL535" i="16" s="1"/>
  <c r="BM535" i="16" s="1"/>
  <c r="AD415" i="15"/>
  <c r="W583" i="16"/>
  <c r="AA583" i="16" s="1"/>
  <c r="AK583" i="16" s="1"/>
  <c r="AD583" i="16"/>
  <c r="BI535" i="16"/>
  <c r="BG535" i="16"/>
  <c r="E695" i="16"/>
  <c r="P695" i="16"/>
  <c r="AU582" i="16" l="1"/>
  <c r="AV582" i="16" s="1"/>
  <c r="AM582" i="16"/>
  <c r="AN582" i="16" s="1"/>
  <c r="AO582" i="16" s="1"/>
  <c r="AP582" i="16" s="1"/>
  <c r="AQ582" i="16" s="1"/>
  <c r="Y583" i="16"/>
  <c r="AB583" i="16" s="1"/>
  <c r="AE583" i="16"/>
  <c r="BN535" i="16"/>
  <c r="BO535" i="16"/>
  <c r="BP535" i="16" s="1"/>
  <c r="BC536" i="16"/>
  <c r="BH536" i="16" s="1"/>
  <c r="L695" i="16"/>
  <c r="Q695" i="16"/>
  <c r="S695" i="16" s="1"/>
  <c r="AR582" i="16" l="1"/>
  <c r="Z583" i="16"/>
  <c r="U584" i="16" s="1"/>
  <c r="AC584" i="16" s="1"/>
  <c r="AD584" i="16" s="1"/>
  <c r="AF583" i="16"/>
  <c r="AJ560" i="15"/>
  <c r="BQ535" i="16"/>
  <c r="BD536" i="16"/>
  <c r="E534" i="14"/>
  <c r="F534" i="14" s="1"/>
  <c r="H534" i="14" s="1"/>
  <c r="AD418" i="15"/>
  <c r="N695" i="16"/>
  <c r="M696" i="16" s="1"/>
  <c r="O695" i="16" l="1"/>
  <c r="AG583" i="16"/>
  <c r="AL583" i="16" s="1"/>
  <c r="AY583" i="16" s="1"/>
  <c r="AE584" i="16"/>
  <c r="W584" i="16"/>
  <c r="BJ536" i="16"/>
  <c r="BK536" i="16"/>
  <c r="BE536" i="16"/>
  <c r="BF536" i="16" s="1"/>
  <c r="E696" i="16"/>
  <c r="L696" i="16" s="1"/>
  <c r="P696" i="16"/>
  <c r="AM583" i="16" l="1"/>
  <c r="AN583" i="16" s="1"/>
  <c r="AO583" i="16" s="1"/>
  <c r="AP583" i="16" s="1"/>
  <c r="AH583" i="16"/>
  <c r="AS583" i="16" s="1"/>
  <c r="AA584" i="16"/>
  <c r="AK584" i="16" s="1"/>
  <c r="Y584" i="16"/>
  <c r="AB584" i="16" s="1"/>
  <c r="BI536" i="16"/>
  <c r="BG536" i="16"/>
  <c r="BL536" i="16"/>
  <c r="BM536" i="16" s="1"/>
  <c r="Q696" i="16"/>
  <c r="S696" i="16" s="1"/>
  <c r="N696" i="16"/>
  <c r="M697" i="16" s="1"/>
  <c r="AR583" i="16" l="1"/>
  <c r="AU583" i="16"/>
  <c r="AV583" i="16" s="1"/>
  <c r="AT583" i="16"/>
  <c r="AW583" i="16" s="1"/>
  <c r="AX583" i="16" s="1"/>
  <c r="AZ583" i="16" s="1"/>
  <c r="AQ583" i="16"/>
  <c r="Z584" i="16"/>
  <c r="U585" i="16" s="1"/>
  <c r="AC585" i="16" s="1"/>
  <c r="AF584" i="16"/>
  <c r="BC537" i="16"/>
  <c r="BH537" i="16" s="1"/>
  <c r="BN536" i="16"/>
  <c r="BO536" i="16"/>
  <c r="BP536" i="16" s="1"/>
  <c r="O696" i="16"/>
  <c r="AG584" i="16" l="1"/>
  <c r="AL584" i="16" s="1"/>
  <c r="AY584" i="16" s="1"/>
  <c r="AD585" i="16"/>
  <c r="W585" i="16"/>
  <c r="AA585" i="16" s="1"/>
  <c r="AK585" i="16" s="1"/>
  <c r="BD537" i="16"/>
  <c r="AJ561" i="15"/>
  <c r="BQ536" i="16"/>
  <c r="AD420" i="15"/>
  <c r="E535" i="14"/>
  <c r="F535" i="14" s="1"/>
  <c r="H535" i="14" s="1"/>
  <c r="E697" i="16"/>
  <c r="L697" i="16" s="1"/>
  <c r="P697" i="16"/>
  <c r="AM584" i="16" l="1"/>
  <c r="AN584" i="16" s="1"/>
  <c r="AO584" i="16" s="1"/>
  <c r="AP584" i="16" s="1"/>
  <c r="AH584" i="16"/>
  <c r="AS584" i="16" s="1"/>
  <c r="AE585" i="16"/>
  <c r="Y585" i="16"/>
  <c r="AB585" i="16" s="1"/>
  <c r="BJ537" i="16"/>
  <c r="BK537" i="16"/>
  <c r="BE537" i="16"/>
  <c r="BF537" i="16" s="1"/>
  <c r="Q697" i="16"/>
  <c r="S697" i="16" s="1"/>
  <c r="N697" i="16"/>
  <c r="M698" i="16" s="1"/>
  <c r="AT584" i="16" l="1"/>
  <c r="AW584" i="16" s="1"/>
  <c r="AU584" i="16"/>
  <c r="AV584" i="16" s="1"/>
  <c r="AR584" i="16"/>
  <c r="Z585" i="16"/>
  <c r="U586" i="16" s="1"/>
  <c r="AC586" i="16" s="1"/>
  <c r="AQ584" i="16"/>
  <c r="AF585" i="16"/>
  <c r="AG585" i="16" s="1"/>
  <c r="AH585" i="16" s="1"/>
  <c r="AS585" i="16" s="1"/>
  <c r="AT585" i="16" s="1"/>
  <c r="BI537" i="16"/>
  <c r="BG537" i="16"/>
  <c r="BL537" i="16"/>
  <c r="BM537" i="16" s="1"/>
  <c r="O697" i="16"/>
  <c r="AL585" i="16" l="1"/>
  <c r="AU585" i="16"/>
  <c r="AV585" i="16" s="1"/>
  <c r="AX584" i="16"/>
  <c r="AZ584" i="16" s="1"/>
  <c r="AY585" i="16"/>
  <c r="AM585" i="16"/>
  <c r="AD586" i="16"/>
  <c r="W586" i="16"/>
  <c r="AA586" i="16" s="1"/>
  <c r="AK586" i="16" s="1"/>
  <c r="BC538" i="16"/>
  <c r="BH538" i="16" s="1"/>
  <c r="BO537" i="16"/>
  <c r="BP537" i="16" s="1"/>
  <c r="BN537" i="16"/>
  <c r="E698" i="16"/>
  <c r="L698" i="16" s="1"/>
  <c r="P698" i="16"/>
  <c r="AW585" i="16" l="1"/>
  <c r="AX585" i="16" s="1"/>
  <c r="AZ585" i="16" s="1"/>
  <c r="BD538" i="16"/>
  <c r="BJ538" i="16" s="1"/>
  <c r="AE586" i="16"/>
  <c r="AN585" i="16"/>
  <c r="AO585" i="16" s="1"/>
  <c r="Y586" i="16"/>
  <c r="E536" i="14"/>
  <c r="F536" i="14" s="1"/>
  <c r="H536" i="14" s="1"/>
  <c r="AD423" i="15"/>
  <c r="AJ562" i="15"/>
  <c r="BQ537" i="16"/>
  <c r="Q698" i="16"/>
  <c r="S698" i="16" s="1"/>
  <c r="N698" i="16"/>
  <c r="M699" i="16" s="1"/>
  <c r="BE538" i="16" l="1"/>
  <c r="BF538" i="16" s="1"/>
  <c r="BI538" i="16" s="1"/>
  <c r="BK538" i="16"/>
  <c r="BL538" i="16" s="1"/>
  <c r="BM538" i="16" s="1"/>
  <c r="AP585" i="16"/>
  <c r="AR585" i="16" s="1"/>
  <c r="AB586" i="16"/>
  <c r="Z586" i="16"/>
  <c r="O698" i="16"/>
  <c r="BG538" i="16" l="1"/>
  <c r="BC539" i="16" s="1"/>
  <c r="BH539" i="16" s="1"/>
  <c r="AF586" i="16"/>
  <c r="AG586" i="16" s="1"/>
  <c r="AH586" i="16" s="1"/>
  <c r="AS586" i="16" s="1"/>
  <c r="U587" i="16"/>
  <c r="AC587" i="16" s="1"/>
  <c r="AD587" i="16" s="1"/>
  <c r="AQ585" i="16"/>
  <c r="BO538" i="16"/>
  <c r="BP538" i="16" s="1"/>
  <c r="BN538" i="16"/>
  <c r="E699" i="16"/>
  <c r="L699" i="16" s="1"/>
  <c r="P699" i="16"/>
  <c r="AT586" i="16" l="1"/>
  <c r="AW586" i="16" s="1"/>
  <c r="AX586" i="16" s="1"/>
  <c r="AZ586" i="16" s="1"/>
  <c r="AU586" i="16"/>
  <c r="AV586" i="16" s="1"/>
  <c r="AL586" i="16"/>
  <c r="AM586" i="16" s="1"/>
  <c r="AN586" i="16" s="1"/>
  <c r="AO586" i="16" s="1"/>
  <c r="AP586" i="16" s="1"/>
  <c r="AQ586" i="16" s="1"/>
  <c r="BD539" i="16"/>
  <c r="BK539" i="16" s="1"/>
  <c r="AE587" i="16"/>
  <c r="W587" i="16"/>
  <c r="AA587" i="16" s="1"/>
  <c r="AK587" i="16" s="1"/>
  <c r="AD425" i="15"/>
  <c r="E537" i="14"/>
  <c r="F537" i="14" s="1"/>
  <c r="H537" i="14" s="1"/>
  <c r="AJ563" i="15"/>
  <c r="BQ538" i="16"/>
  <c r="Q699" i="16"/>
  <c r="S699" i="16" s="1"/>
  <c r="N699" i="16"/>
  <c r="M700" i="16" s="1"/>
  <c r="BJ539" i="16" l="1"/>
  <c r="AY586" i="16"/>
  <c r="BE539" i="16"/>
  <c r="BF539" i="16" s="1"/>
  <c r="BG539" i="16" s="1"/>
  <c r="AR586" i="16"/>
  <c r="Y587" i="16"/>
  <c r="BL539" i="16"/>
  <c r="BM539" i="16" s="1"/>
  <c r="O699" i="16"/>
  <c r="E700" i="16"/>
  <c r="L700" i="16" s="1"/>
  <c r="BI539" i="16" l="1"/>
  <c r="BO539" i="16" s="1"/>
  <c r="BP539" i="16" s="1"/>
  <c r="AB587" i="16"/>
  <c r="Z587" i="16"/>
  <c r="BC540" i="16"/>
  <c r="BH540" i="16" s="1"/>
  <c r="N700" i="16"/>
  <c r="M701" i="16" s="1"/>
  <c r="P700" i="16"/>
  <c r="BN539" i="16" l="1"/>
  <c r="AD429" i="15" s="1"/>
  <c r="BD540" i="16"/>
  <c r="BK540" i="16" s="1"/>
  <c r="U588" i="16"/>
  <c r="AC588" i="16" s="1"/>
  <c r="AD588" i="16" s="1"/>
  <c r="AF587" i="16"/>
  <c r="AJ564" i="15"/>
  <c r="BQ539" i="16"/>
  <c r="Q700" i="16"/>
  <c r="S700" i="16" s="1"/>
  <c r="O700" i="16"/>
  <c r="E538" i="14" l="1"/>
  <c r="F538" i="14" s="1"/>
  <c r="H538" i="14" s="1"/>
  <c r="BE540" i="16"/>
  <c r="BF540" i="16" s="1"/>
  <c r="BG540" i="16" s="1"/>
  <c r="BJ540" i="16"/>
  <c r="AG587" i="16"/>
  <c r="AL587" i="16" s="1"/>
  <c r="AY587" i="16" s="1"/>
  <c r="W588" i="16"/>
  <c r="AA588" i="16" s="1"/>
  <c r="AK588" i="16" s="1"/>
  <c r="P701" i="16"/>
  <c r="Q701" i="16" s="1"/>
  <c r="S701" i="16" s="1"/>
  <c r="AE588" i="16"/>
  <c r="BL540" i="16"/>
  <c r="BM540" i="16" s="1"/>
  <c r="E701" i="16"/>
  <c r="BI540" i="16" l="1"/>
  <c r="BN540" i="16" s="1"/>
  <c r="Y588" i="16"/>
  <c r="AB588" i="16" s="1"/>
  <c r="AF588" i="16" s="1"/>
  <c r="AM587" i="16"/>
  <c r="AN587" i="16" s="1"/>
  <c r="AO587" i="16" s="1"/>
  <c r="AP587" i="16" s="1"/>
  <c r="AH587" i="16"/>
  <c r="AS587" i="16" s="1"/>
  <c r="BC541" i="16"/>
  <c r="BH541" i="16" s="1"/>
  <c r="L701" i="16"/>
  <c r="N701" i="16" s="1"/>
  <c r="M702" i="16" s="1"/>
  <c r="BO540" i="16" l="1"/>
  <c r="BP540" i="16" s="1"/>
  <c r="BQ540" i="16" s="1"/>
  <c r="Z588" i="16"/>
  <c r="U589" i="16" s="1"/>
  <c r="AC589" i="16" s="1"/>
  <c r="AR587" i="16"/>
  <c r="AG588" i="16"/>
  <c r="AL588" i="16" s="1"/>
  <c r="AY588" i="16" s="1"/>
  <c r="AT587" i="16"/>
  <c r="AW587" i="16" s="1"/>
  <c r="AX587" i="16" s="1"/>
  <c r="AZ587" i="16" s="1"/>
  <c r="AU587" i="16"/>
  <c r="AV587" i="16" s="1"/>
  <c r="AQ587" i="16"/>
  <c r="BD541" i="16"/>
  <c r="AJ565" i="15"/>
  <c r="AD430" i="15"/>
  <c r="E539" i="14"/>
  <c r="F539" i="14" s="1"/>
  <c r="H539" i="14" s="1"/>
  <c r="E702" i="16"/>
  <c r="O701" i="16"/>
  <c r="AM588" i="16" l="1"/>
  <c r="AN588" i="16" s="1"/>
  <c r="AO588" i="16" s="1"/>
  <c r="AP588" i="16" s="1"/>
  <c r="AQ588" i="16" s="1"/>
  <c r="AH588" i="16"/>
  <c r="AS588" i="16" s="1"/>
  <c r="W589" i="16"/>
  <c r="AA589" i="16" s="1"/>
  <c r="AK589" i="16" s="1"/>
  <c r="AD589" i="16"/>
  <c r="BE541" i="16"/>
  <c r="BF541" i="16" s="1"/>
  <c r="BJ541" i="16"/>
  <c r="BK541" i="16"/>
  <c r="L702" i="16"/>
  <c r="P702" i="16"/>
  <c r="AT588" i="16" l="1"/>
  <c r="AW588" i="16" s="1"/>
  <c r="AX588" i="16" s="1"/>
  <c r="AZ588" i="16" s="1"/>
  <c r="AU588" i="16"/>
  <c r="AV588" i="16" s="1"/>
  <c r="Y589" i="16"/>
  <c r="AB589" i="16" s="1"/>
  <c r="AE589" i="16"/>
  <c r="N702" i="16"/>
  <c r="M703" i="16" s="1"/>
  <c r="AR588" i="16"/>
  <c r="BI541" i="16"/>
  <c r="BG541" i="16"/>
  <c r="BL541" i="16"/>
  <c r="BM541" i="16" s="1"/>
  <c r="Q702" i="16"/>
  <c r="S702" i="16" s="1"/>
  <c r="AF589" i="16" l="1"/>
  <c r="AG589" i="16" s="1"/>
  <c r="AH589" i="16" s="1"/>
  <c r="AS589" i="16" s="1"/>
  <c r="AT589" i="16" s="1"/>
  <c r="AW589" i="16" s="1"/>
  <c r="AX589" i="16" s="1"/>
  <c r="AZ589" i="16" s="1"/>
  <c r="Z589" i="16"/>
  <c r="U590" i="16" s="1"/>
  <c r="AC590" i="16" s="1"/>
  <c r="AD590" i="16" s="1"/>
  <c r="O702" i="16"/>
  <c r="BC542" i="16"/>
  <c r="BH542" i="16" s="1"/>
  <c r="BO541" i="16"/>
  <c r="BP541" i="16" s="1"/>
  <c r="BN541" i="16"/>
  <c r="P703" i="16"/>
  <c r="E703" i="16"/>
  <c r="L703" i="16" s="1"/>
  <c r="AU589" i="16" l="1"/>
  <c r="AV589" i="16" s="1"/>
  <c r="W590" i="16"/>
  <c r="Y590" i="16" s="1"/>
  <c r="AB590" i="16" s="1"/>
  <c r="AL589" i="16"/>
  <c r="AE590" i="16"/>
  <c r="E540" i="14"/>
  <c r="F540" i="14" s="1"/>
  <c r="H540" i="14" s="1"/>
  <c r="AD435" i="15"/>
  <c r="BD542" i="16"/>
  <c r="AJ566" i="15"/>
  <c r="BQ541" i="16"/>
  <c r="N703" i="16"/>
  <c r="M704" i="16" s="1"/>
  <c r="Q703" i="16"/>
  <c r="S703" i="16" s="1"/>
  <c r="Z590" i="16" l="1"/>
  <c r="U591" i="16" s="1"/>
  <c r="AC591" i="16" s="1"/>
  <c r="AD591" i="16" s="1"/>
  <c r="AA590" i="16"/>
  <c r="AK590" i="16" s="1"/>
  <c r="AY589" i="16"/>
  <c r="AM589" i="16"/>
  <c r="AN589" i="16" s="1"/>
  <c r="AO589" i="16" s="1"/>
  <c r="AP589" i="16" s="1"/>
  <c r="AQ589" i="16" s="1"/>
  <c r="AF590" i="16"/>
  <c r="BJ542" i="16"/>
  <c r="BK542" i="16"/>
  <c r="BE542" i="16"/>
  <c r="BF542" i="16" s="1"/>
  <c r="O703" i="16"/>
  <c r="AR589" i="16" l="1"/>
  <c r="AG590" i="16"/>
  <c r="AE591" i="16"/>
  <c r="W591" i="16"/>
  <c r="BI542" i="16"/>
  <c r="BG542" i="16"/>
  <c r="BL542" i="16"/>
  <c r="BM542" i="16" s="1"/>
  <c r="E704" i="16"/>
  <c r="L704" i="16" s="1"/>
  <c r="P704" i="16"/>
  <c r="AL590" i="16" l="1"/>
  <c r="AY590" i="16" s="1"/>
  <c r="AH590" i="16"/>
  <c r="AS590" i="16" s="1"/>
  <c r="AA591" i="16"/>
  <c r="AK591" i="16" s="1"/>
  <c r="Y591" i="16"/>
  <c r="AB591" i="16" s="1"/>
  <c r="BC543" i="16"/>
  <c r="BH543" i="16" s="1"/>
  <c r="BO542" i="16"/>
  <c r="BP542" i="16" s="1"/>
  <c r="BN542" i="16"/>
  <c r="Q704" i="16"/>
  <c r="S704" i="16" s="1"/>
  <c r="N704" i="16"/>
  <c r="M705" i="16" s="1"/>
  <c r="AM590" i="16" l="1"/>
  <c r="AN590" i="16" s="1"/>
  <c r="AO590" i="16" s="1"/>
  <c r="AP590" i="16" s="1"/>
  <c r="AT590" i="16"/>
  <c r="AW590" i="16" s="1"/>
  <c r="AX590" i="16" s="1"/>
  <c r="AZ590" i="16" s="1"/>
  <c r="AU590" i="16"/>
  <c r="AV590" i="16" s="1"/>
  <c r="Z591" i="16"/>
  <c r="AF591" i="16"/>
  <c r="AD438" i="15"/>
  <c r="E541" i="14"/>
  <c r="F541" i="14" s="1"/>
  <c r="H541" i="14" s="1"/>
  <c r="BD543" i="16"/>
  <c r="BE543" i="16" s="1"/>
  <c r="BF543" i="16" s="1"/>
  <c r="AJ567" i="15"/>
  <c r="BQ542" i="16"/>
  <c r="O704" i="16"/>
  <c r="AQ590" i="16" l="1"/>
  <c r="AR590" i="16"/>
  <c r="AG591" i="16"/>
  <c r="AL591" i="16" s="1"/>
  <c r="AY591" i="16" s="1"/>
  <c r="U592" i="16"/>
  <c r="AC592" i="16" s="1"/>
  <c r="AD592" i="16" s="1"/>
  <c r="BI543" i="16"/>
  <c r="BG543" i="16"/>
  <c r="BJ543" i="16"/>
  <c r="BK543" i="16"/>
  <c r="E705" i="16"/>
  <c r="P705" i="16"/>
  <c r="AM591" i="16" l="1"/>
  <c r="AN591" i="16" s="1"/>
  <c r="AO591" i="16" s="1"/>
  <c r="AP591" i="16" s="1"/>
  <c r="AH591" i="16"/>
  <c r="AS591" i="16" s="1"/>
  <c r="W592" i="16"/>
  <c r="AA592" i="16" s="1"/>
  <c r="AK592" i="16" s="1"/>
  <c r="AE592" i="16"/>
  <c r="BL543" i="16"/>
  <c r="BM543" i="16" s="1"/>
  <c r="BC544" i="16"/>
  <c r="BO543" i="16"/>
  <c r="BP543" i="16" s="1"/>
  <c r="L705" i="16"/>
  <c r="Q705" i="16"/>
  <c r="S705" i="16" s="1"/>
  <c r="AR591" i="16" l="1"/>
  <c r="AT591" i="16"/>
  <c r="AW591" i="16" s="1"/>
  <c r="AX591" i="16" s="1"/>
  <c r="AZ591" i="16" s="1"/>
  <c r="AU591" i="16"/>
  <c r="AV591" i="16" s="1"/>
  <c r="Y592" i="16"/>
  <c r="AB592" i="16" s="1"/>
  <c r="AQ591" i="16"/>
  <c r="BD544" i="16"/>
  <c r="BJ544" i="16" s="1"/>
  <c r="BN543" i="16"/>
  <c r="BQ543" i="16" s="1"/>
  <c r="AJ568" i="15"/>
  <c r="BH544" i="16"/>
  <c r="N705" i="16"/>
  <c r="AF592" i="16" l="1"/>
  <c r="Z592" i="16"/>
  <c r="U593" i="16" s="1"/>
  <c r="AC593" i="16" s="1"/>
  <c r="BK544" i="16"/>
  <c r="BL544" i="16" s="1"/>
  <c r="BM544" i="16" s="1"/>
  <c r="AD441" i="15"/>
  <c r="E542" i="14"/>
  <c r="F542" i="14" s="1"/>
  <c r="H542" i="14" s="1"/>
  <c r="BE544" i="16"/>
  <c r="BF544" i="16" s="1"/>
  <c r="BI544" i="16" s="1"/>
  <c r="O705" i="16"/>
  <c r="M706" i="16"/>
  <c r="E706" i="16" s="1"/>
  <c r="L706" i="16" s="1"/>
  <c r="AG592" i="16" l="1"/>
  <c r="BG544" i="16"/>
  <c r="BC545" i="16" s="1"/>
  <c r="BH545" i="16" s="1"/>
  <c r="W593" i="16"/>
  <c r="AA593" i="16" s="1"/>
  <c r="AK593" i="16" s="1"/>
  <c r="AD593" i="16"/>
  <c r="BN544" i="16"/>
  <c r="BO544" i="16"/>
  <c r="BP544" i="16" s="1"/>
  <c r="N706" i="16"/>
  <c r="M707" i="16" s="1"/>
  <c r="P706" i="16"/>
  <c r="Q706" i="16" s="1"/>
  <c r="S706" i="16" s="1"/>
  <c r="AL592" i="16" l="1"/>
  <c r="AY592" i="16" s="1"/>
  <c r="AH592" i="16"/>
  <c r="AS592" i="16" s="1"/>
  <c r="Y593" i="16"/>
  <c r="AB593" i="16" s="1"/>
  <c r="O706" i="16"/>
  <c r="AE593" i="16"/>
  <c r="AJ569" i="15"/>
  <c r="BQ544" i="16"/>
  <c r="BD545" i="16"/>
  <c r="E543" i="14"/>
  <c r="F543" i="14" s="1"/>
  <c r="H543" i="14" s="1"/>
  <c r="AD443" i="15"/>
  <c r="P707" i="16"/>
  <c r="Q707" i="16" s="1"/>
  <c r="S707" i="16" s="1"/>
  <c r="E707" i="16"/>
  <c r="L707" i="16" s="1"/>
  <c r="AM592" i="16" l="1"/>
  <c r="AN592" i="16" s="1"/>
  <c r="AO592" i="16" s="1"/>
  <c r="AP592" i="16" s="1"/>
  <c r="AQ592" i="16" s="1"/>
  <c r="AT592" i="16"/>
  <c r="AW592" i="16" s="1"/>
  <c r="AX592" i="16" s="1"/>
  <c r="AZ592" i="16" s="1"/>
  <c r="AU592" i="16"/>
  <c r="AV592" i="16" s="1"/>
  <c r="AF593" i="16"/>
  <c r="Z593" i="16"/>
  <c r="BJ545" i="16"/>
  <c r="BK545" i="16"/>
  <c r="BE545" i="16"/>
  <c r="BF545" i="16" s="1"/>
  <c r="N707" i="16"/>
  <c r="M708" i="16" s="1"/>
  <c r="AR592" i="16" l="1"/>
  <c r="AG593" i="16"/>
  <c r="U594" i="16"/>
  <c r="BI545" i="16"/>
  <c r="BG545" i="16"/>
  <c r="BL545" i="16"/>
  <c r="BM545" i="16" s="1"/>
  <c r="O707" i="16"/>
  <c r="AL593" i="16" l="1"/>
  <c r="AY593" i="16" s="1"/>
  <c r="AH593" i="16"/>
  <c r="AS593" i="16" s="1"/>
  <c r="AC594" i="16"/>
  <c r="AD594" i="16" s="1"/>
  <c r="AE594" i="16" s="1"/>
  <c r="W594" i="16"/>
  <c r="Y594" i="16" s="1"/>
  <c r="AB594" i="16" s="1"/>
  <c r="BC546" i="16"/>
  <c r="BH546" i="16" s="1"/>
  <c r="BO545" i="16"/>
  <c r="BP545" i="16" s="1"/>
  <c r="BN545" i="16"/>
  <c r="E708" i="16"/>
  <c r="L708" i="16" s="1"/>
  <c r="P708" i="16"/>
  <c r="AM593" i="16" l="1"/>
  <c r="AN593" i="16" s="1"/>
  <c r="AO593" i="16" s="1"/>
  <c r="AP593" i="16" s="1"/>
  <c r="AU593" i="16"/>
  <c r="AV593" i="16" s="1"/>
  <c r="AT593" i="16"/>
  <c r="AW593" i="16" s="1"/>
  <c r="AX593" i="16" s="1"/>
  <c r="AZ593" i="16" s="1"/>
  <c r="AF594" i="16"/>
  <c r="AA594" i="16"/>
  <c r="AK594" i="16" s="1"/>
  <c r="Z594" i="16"/>
  <c r="U595" i="16" s="1"/>
  <c r="AC595" i="16" s="1"/>
  <c r="AD595" i="16" s="1"/>
  <c r="AE595" i="16" s="1"/>
  <c r="BD546" i="16"/>
  <c r="BE546" i="16" s="1"/>
  <c r="E544" i="14"/>
  <c r="F544" i="14" s="1"/>
  <c r="H544" i="14" s="1"/>
  <c r="AD445" i="15"/>
  <c r="AJ570" i="15"/>
  <c r="BQ545" i="16"/>
  <c r="Q708" i="16"/>
  <c r="S708" i="16" s="1"/>
  <c r="N708" i="16"/>
  <c r="M709" i="16" s="1"/>
  <c r="AQ593" i="16" l="1"/>
  <c r="AR593" i="16"/>
  <c r="W595" i="16"/>
  <c r="AA595" i="16" s="1"/>
  <c r="AK595" i="16" s="1"/>
  <c r="AG594" i="16"/>
  <c r="BF546" i="16"/>
  <c r="BI546" i="16" s="1"/>
  <c r="BJ546" i="16"/>
  <c r="BK546" i="16"/>
  <c r="BL546" i="16" s="1"/>
  <c r="BM546" i="16" s="1"/>
  <c r="E709" i="16"/>
  <c r="O708" i="16"/>
  <c r="Y595" i="16" l="1"/>
  <c r="AB595" i="16" s="1"/>
  <c r="AF595" i="16" s="1"/>
  <c r="AL594" i="16"/>
  <c r="AY594" i="16" s="1"/>
  <c r="AH594" i="16"/>
  <c r="AS594" i="16" s="1"/>
  <c r="BG546" i="16"/>
  <c r="BC547" i="16" s="1"/>
  <c r="BH547" i="16" s="1"/>
  <c r="BO546" i="16"/>
  <c r="BP546" i="16" s="1"/>
  <c r="BN546" i="16"/>
  <c r="L709" i="16"/>
  <c r="P709" i="16"/>
  <c r="Z595" i="16" l="1"/>
  <c r="U596" i="16" s="1"/>
  <c r="AC596" i="16" s="1"/>
  <c r="AT594" i="16"/>
  <c r="AW594" i="16" s="1"/>
  <c r="AX594" i="16" s="1"/>
  <c r="AZ594" i="16" s="1"/>
  <c r="AU594" i="16"/>
  <c r="AV594" i="16" s="1"/>
  <c r="AG595" i="16"/>
  <c r="AL595" i="16" s="1"/>
  <c r="AY595" i="16" s="1"/>
  <c r="AM594" i="16"/>
  <c r="AN594" i="16" s="1"/>
  <c r="AO594" i="16" s="1"/>
  <c r="BD547" i="16"/>
  <c r="BE547" i="16" s="1"/>
  <c r="BF547" i="16" s="1"/>
  <c r="AD448" i="15"/>
  <c r="E545" i="14"/>
  <c r="F545" i="14" s="1"/>
  <c r="H545" i="14" s="1"/>
  <c r="AJ571" i="15"/>
  <c r="BQ546" i="16"/>
  <c r="N709" i="16"/>
  <c r="M710" i="16" s="1"/>
  <c r="Q709" i="16"/>
  <c r="AM595" i="16" l="1"/>
  <c r="AN595" i="16" s="1"/>
  <c r="AO595" i="16" s="1"/>
  <c r="AP595" i="16" s="1"/>
  <c r="AH595" i="16"/>
  <c r="AS595" i="16" s="1"/>
  <c r="AT595" i="16" s="1"/>
  <c r="AW595" i="16" s="1"/>
  <c r="AX595" i="16" s="1"/>
  <c r="AZ595" i="16" s="1"/>
  <c r="AP594" i="16"/>
  <c r="AR594" i="16" s="1"/>
  <c r="O709" i="16"/>
  <c r="E710" i="16"/>
  <c r="L710" i="16" s="1"/>
  <c r="P710" i="16"/>
  <c r="Q710" i="16" s="1"/>
  <c r="S710" i="16" s="1"/>
  <c r="S709" i="16"/>
  <c r="AD596" i="16"/>
  <c r="W596" i="16"/>
  <c r="AA596" i="16" s="1"/>
  <c r="AK596" i="16" s="1"/>
  <c r="BI547" i="16"/>
  <c r="BG547" i="16"/>
  <c r="BJ547" i="16"/>
  <c r="BK547" i="16"/>
  <c r="AQ594" i="16" l="1"/>
  <c r="N710" i="16"/>
  <c r="M711" i="16" s="1"/>
  <c r="AR595" i="16"/>
  <c r="AU595" i="16"/>
  <c r="AV595" i="16" s="1"/>
  <c r="AQ595" i="16"/>
  <c r="AE596" i="16"/>
  <c r="Y596" i="16"/>
  <c r="AB596" i="16" s="1"/>
  <c r="BL547" i="16"/>
  <c r="BM547" i="16" s="1"/>
  <c r="BC548" i="16"/>
  <c r="BH548" i="16" s="1"/>
  <c r="BO547" i="16"/>
  <c r="BP547" i="16" s="1"/>
  <c r="O710" i="16" l="1"/>
  <c r="Z596" i="16"/>
  <c r="U597" i="16" s="1"/>
  <c r="AC597" i="16" s="1"/>
  <c r="BN547" i="16"/>
  <c r="E546" i="14" s="1"/>
  <c r="F546" i="14" s="1"/>
  <c r="H546" i="14" s="1"/>
  <c r="AF596" i="16"/>
  <c r="AG596" i="16" s="1"/>
  <c r="AH596" i="16" s="1"/>
  <c r="AS596" i="16" s="1"/>
  <c r="AT596" i="16" s="1"/>
  <c r="AW596" i="16" s="1"/>
  <c r="AX596" i="16" s="1"/>
  <c r="AZ596" i="16" s="1"/>
  <c r="AJ572" i="15"/>
  <c r="BD548" i="16"/>
  <c r="E711" i="16"/>
  <c r="L711" i="16" s="1"/>
  <c r="P711" i="16"/>
  <c r="AL596" i="16" l="1"/>
  <c r="AM596" i="16" s="1"/>
  <c r="AU596" i="16"/>
  <c r="AV596" i="16" s="1"/>
  <c r="AD451" i="15"/>
  <c r="BQ547" i="16"/>
  <c r="AD597" i="16"/>
  <c r="AY596" i="16"/>
  <c r="W597" i="16"/>
  <c r="AA597" i="16" s="1"/>
  <c r="AK597" i="16" s="1"/>
  <c r="BJ548" i="16"/>
  <c r="BK548" i="16"/>
  <c r="BE548" i="16"/>
  <c r="BF548" i="16" s="1"/>
  <c r="Q711" i="16"/>
  <c r="S711" i="16" s="1"/>
  <c r="N711" i="16"/>
  <c r="M712" i="16" s="1"/>
  <c r="AN596" i="16" l="1"/>
  <c r="AO596" i="16" s="1"/>
  <c r="Y597" i="16"/>
  <c r="AE597" i="16"/>
  <c r="BI548" i="16"/>
  <c r="BG548" i="16"/>
  <c r="BL548" i="16"/>
  <c r="BM548" i="16" s="1"/>
  <c r="O711" i="16"/>
  <c r="AB597" i="16" l="1"/>
  <c r="Z597" i="16"/>
  <c r="AP596" i="16"/>
  <c r="AR596" i="16" s="1"/>
  <c r="BO548" i="16"/>
  <c r="BP548" i="16" s="1"/>
  <c r="BN548" i="16"/>
  <c r="BC549" i="16"/>
  <c r="BH549" i="16" s="1"/>
  <c r="E712" i="16"/>
  <c r="L712" i="16" s="1"/>
  <c r="P712" i="16"/>
  <c r="AQ596" i="16" l="1"/>
  <c r="U598" i="16"/>
  <c r="AC598" i="16" s="1"/>
  <c r="AF597" i="16"/>
  <c r="AG597" i="16" s="1"/>
  <c r="AH597" i="16" s="1"/>
  <c r="AS597" i="16" s="1"/>
  <c r="AD455" i="15"/>
  <c r="E547" i="14"/>
  <c r="F547" i="14" s="1"/>
  <c r="H547" i="14" s="1"/>
  <c r="BD549" i="16"/>
  <c r="AJ573" i="15"/>
  <c r="BQ548" i="16"/>
  <c r="Q712" i="16"/>
  <c r="S712" i="16" s="1"/>
  <c r="N712" i="16"/>
  <c r="M713" i="16" s="1"/>
  <c r="AL597" i="16" l="1"/>
  <c r="AT597" i="16"/>
  <c r="AW597" i="16" s="1"/>
  <c r="AX597" i="16" s="1"/>
  <c r="AZ597" i="16" s="1"/>
  <c r="AU597" i="16"/>
  <c r="AV597" i="16" s="1"/>
  <c r="W598" i="16"/>
  <c r="AA598" i="16" s="1"/>
  <c r="AK598" i="16" s="1"/>
  <c r="AY597" i="16"/>
  <c r="AM597" i="16"/>
  <c r="AD598" i="16"/>
  <c r="BJ549" i="16"/>
  <c r="BK549" i="16"/>
  <c r="BE549" i="16"/>
  <c r="BF549" i="16" s="1"/>
  <c r="O712" i="16"/>
  <c r="E713" i="16"/>
  <c r="Y598" i="16" l="1"/>
  <c r="AB598" i="16" s="1"/>
  <c r="AN597" i="16"/>
  <c r="AO597" i="16" s="1"/>
  <c r="AE598" i="16"/>
  <c r="BI549" i="16"/>
  <c r="BG549" i="16"/>
  <c r="BL549" i="16"/>
  <c r="BM549" i="16" s="1"/>
  <c r="L713" i="16"/>
  <c r="N713" i="16" s="1"/>
  <c r="M714" i="16" s="1"/>
  <c r="P713" i="16"/>
  <c r="Z598" i="16" l="1"/>
  <c r="U599" i="16" s="1"/>
  <c r="AC599" i="16" s="1"/>
  <c r="AP597" i="16"/>
  <c r="AR597" i="16" s="1"/>
  <c r="AF598" i="16"/>
  <c r="AG598" i="16" s="1"/>
  <c r="AH598" i="16" s="1"/>
  <c r="AS598" i="16" s="1"/>
  <c r="BC550" i="16"/>
  <c r="BH550" i="16" s="1"/>
  <c r="BO549" i="16"/>
  <c r="BP549" i="16" s="1"/>
  <c r="BN549" i="16"/>
  <c r="O713" i="16"/>
  <c r="Q713" i="16"/>
  <c r="E714" i="16"/>
  <c r="L714" i="16" s="1"/>
  <c r="AT598" i="16" l="1"/>
  <c r="AW598" i="16" s="1"/>
  <c r="AX598" i="16" s="1"/>
  <c r="AZ598" i="16" s="1"/>
  <c r="AU598" i="16"/>
  <c r="AV598" i="16" s="1"/>
  <c r="AL598" i="16"/>
  <c r="AY598" i="16" s="1"/>
  <c r="W599" i="16"/>
  <c r="Y599" i="16" s="1"/>
  <c r="AD599" i="16"/>
  <c r="AE599" i="16" s="1"/>
  <c r="AQ597" i="16"/>
  <c r="P714" i="16"/>
  <c r="S713" i="16"/>
  <c r="BD550" i="16"/>
  <c r="BE550" i="16" s="1"/>
  <c r="BF550" i="16" s="1"/>
  <c r="E548" i="14"/>
  <c r="F548" i="14" s="1"/>
  <c r="H548" i="14" s="1"/>
  <c r="AD458" i="15"/>
  <c r="AJ574" i="15"/>
  <c r="BQ549" i="16"/>
  <c r="N714" i="16"/>
  <c r="M715" i="16" s="1"/>
  <c r="Q714" i="16"/>
  <c r="S714" i="16" s="1"/>
  <c r="AA599" i="16" l="1"/>
  <c r="AK599" i="16" s="1"/>
  <c r="AM598" i="16"/>
  <c r="AN598" i="16" s="1"/>
  <c r="AO598" i="16" s="1"/>
  <c r="AP598" i="16" s="1"/>
  <c r="AR598" i="16" s="1"/>
  <c r="BK550" i="16"/>
  <c r="BL550" i="16" s="1"/>
  <c r="BM550" i="16" s="1"/>
  <c r="BJ550" i="16"/>
  <c r="AB599" i="16"/>
  <c r="Z599" i="16"/>
  <c r="BI550" i="16"/>
  <c r="BG550" i="16"/>
  <c r="E715" i="16"/>
  <c r="O714" i="16"/>
  <c r="AQ598" i="16" l="1"/>
  <c r="U600" i="16"/>
  <c r="AC600" i="16" s="1"/>
  <c r="AF599" i="16"/>
  <c r="AG599" i="16" s="1"/>
  <c r="AH599" i="16" s="1"/>
  <c r="AS599" i="16" s="1"/>
  <c r="BC551" i="16"/>
  <c r="BH551" i="16" s="1"/>
  <c r="BO550" i="16"/>
  <c r="BP550" i="16" s="1"/>
  <c r="BN550" i="16"/>
  <c r="L715" i="16"/>
  <c r="N715" i="16" s="1"/>
  <c r="M716" i="16" s="1"/>
  <c r="P715" i="16"/>
  <c r="AL599" i="16" l="1"/>
  <c r="AY599" i="16" s="1"/>
  <c r="AT599" i="16"/>
  <c r="AW599" i="16" s="1"/>
  <c r="AX599" i="16" s="1"/>
  <c r="AZ599" i="16" s="1"/>
  <c r="AU599" i="16"/>
  <c r="AV599" i="16" s="1"/>
  <c r="AD600" i="16"/>
  <c r="W600" i="16"/>
  <c r="BD551" i="16"/>
  <c r="BE551" i="16" s="1"/>
  <c r="BF551" i="16" s="1"/>
  <c r="E549" i="14"/>
  <c r="F549" i="14" s="1"/>
  <c r="H549" i="14" s="1"/>
  <c r="AD461" i="15"/>
  <c r="AJ575" i="15"/>
  <c r="BQ550" i="16"/>
  <c r="Q715" i="16"/>
  <c r="S715" i="16" s="1"/>
  <c r="O715" i="16"/>
  <c r="AM599" i="16" l="1"/>
  <c r="AN599" i="16" s="1"/>
  <c r="AO599" i="16" s="1"/>
  <c r="AA600" i="16"/>
  <c r="AK600" i="16" s="1"/>
  <c r="Y600" i="16"/>
  <c r="AE600" i="16"/>
  <c r="BI551" i="16"/>
  <c r="BG551" i="16"/>
  <c r="BJ551" i="16"/>
  <c r="BK551" i="16"/>
  <c r="E716" i="16"/>
  <c r="L716" i="16" s="1"/>
  <c r="P716" i="16"/>
  <c r="AP599" i="16" l="1"/>
  <c r="AR599" i="16" s="1"/>
  <c r="AB600" i="16"/>
  <c r="Z600" i="16"/>
  <c r="BL551" i="16"/>
  <c r="BM551" i="16" s="1"/>
  <c r="BC552" i="16"/>
  <c r="BH552" i="16" s="1"/>
  <c r="BO551" i="16"/>
  <c r="BP551" i="16" s="1"/>
  <c r="Q716" i="16"/>
  <c r="S716" i="16" s="1"/>
  <c r="N716" i="16"/>
  <c r="M717" i="16" s="1"/>
  <c r="BN551" i="16" l="1"/>
  <c r="BQ551" i="16" s="1"/>
  <c r="AF600" i="16"/>
  <c r="AG600" i="16" s="1"/>
  <c r="AH600" i="16" s="1"/>
  <c r="AS600" i="16" s="1"/>
  <c r="U601" i="16"/>
  <c r="AC601" i="16" s="1"/>
  <c r="AQ599" i="16"/>
  <c r="AJ576" i="15"/>
  <c r="BD552" i="16"/>
  <c r="BE552" i="16" s="1"/>
  <c r="O716" i="16"/>
  <c r="AT600" i="16" l="1"/>
  <c r="AW600" i="16" s="1"/>
  <c r="AX600" i="16" s="1"/>
  <c r="AZ600" i="16" s="1"/>
  <c r="AU600" i="16"/>
  <c r="AV600" i="16" s="1"/>
  <c r="AL600" i="16"/>
  <c r="AM600" i="16" s="1"/>
  <c r="AN600" i="16" s="1"/>
  <c r="AO600" i="16" s="1"/>
  <c r="AP600" i="16" s="1"/>
  <c r="AQ600" i="16" s="1"/>
  <c r="AD464" i="15"/>
  <c r="E550" i="14"/>
  <c r="F550" i="14" s="1"/>
  <c r="H550" i="14" s="1"/>
  <c r="AD601" i="16"/>
  <c r="W601" i="16"/>
  <c r="AA601" i="16" s="1"/>
  <c r="AK601" i="16" s="1"/>
  <c r="BJ552" i="16"/>
  <c r="BK552" i="16"/>
  <c r="BF552" i="16"/>
  <c r="E717" i="16"/>
  <c r="P717" i="16"/>
  <c r="AY600" i="16" l="1"/>
  <c r="AR600" i="16"/>
  <c r="AE601" i="16"/>
  <c r="Y601" i="16"/>
  <c r="AB601" i="16" s="1"/>
  <c r="BI552" i="16"/>
  <c r="BG552" i="16"/>
  <c r="BL552" i="16"/>
  <c r="BM552" i="16" s="1"/>
  <c r="L717" i="16"/>
  <c r="N717" i="16" s="1"/>
  <c r="M718" i="16" s="1"/>
  <c r="Q717" i="16"/>
  <c r="S717" i="16" s="1"/>
  <c r="Z601" i="16" l="1"/>
  <c r="U602" i="16" s="1"/>
  <c r="AC602" i="16" s="1"/>
  <c r="AF601" i="16"/>
  <c r="AG601" i="16" s="1"/>
  <c r="AH601" i="16" s="1"/>
  <c r="AS601" i="16" s="1"/>
  <c r="BC553" i="16"/>
  <c r="BH553" i="16" s="1"/>
  <c r="BO552" i="16"/>
  <c r="BP552" i="16" s="1"/>
  <c r="BN552" i="16"/>
  <c r="O717" i="16"/>
  <c r="AT601" i="16" l="1"/>
  <c r="AW601" i="16" s="1"/>
  <c r="AX601" i="16" s="1"/>
  <c r="AZ601" i="16" s="1"/>
  <c r="AU601" i="16"/>
  <c r="AV601" i="16" s="1"/>
  <c r="AL601" i="16"/>
  <c r="AM601" i="16" s="1"/>
  <c r="AN601" i="16" s="1"/>
  <c r="AO601" i="16" s="1"/>
  <c r="AP601" i="16" s="1"/>
  <c r="AQ601" i="16" s="1"/>
  <c r="W602" i="16"/>
  <c r="AA602" i="16" s="1"/>
  <c r="AK602" i="16" s="1"/>
  <c r="AD602" i="16"/>
  <c r="E551" i="14"/>
  <c r="F551" i="14" s="1"/>
  <c r="H551" i="14" s="1"/>
  <c r="AD469" i="15"/>
  <c r="AJ577" i="15"/>
  <c r="BQ552" i="16"/>
  <c r="BD553" i="16"/>
  <c r="BE553" i="16" s="1"/>
  <c r="BF553" i="16" s="1"/>
  <c r="E718" i="16"/>
  <c r="L718" i="16" s="1"/>
  <c r="P718" i="16"/>
  <c r="AY601" i="16" l="1"/>
  <c r="AE602" i="16"/>
  <c r="Y602" i="16"/>
  <c r="AR601" i="16"/>
  <c r="BI553" i="16"/>
  <c r="BG553" i="16"/>
  <c r="BJ553" i="16"/>
  <c r="BK553" i="16"/>
  <c r="Q718" i="16"/>
  <c r="S718" i="16" s="1"/>
  <c r="N718" i="16"/>
  <c r="M719" i="16" s="1"/>
  <c r="AB602" i="16" l="1"/>
  <c r="Z602" i="16"/>
  <c r="BO553" i="16"/>
  <c r="BP553" i="16" s="1"/>
  <c r="BL553" i="16"/>
  <c r="BM553" i="16" s="1"/>
  <c r="BC554" i="16"/>
  <c r="BH554" i="16" s="1"/>
  <c r="O718" i="16"/>
  <c r="BD554" i="16" l="1"/>
  <c r="BJ554" i="16" s="1"/>
  <c r="U603" i="16"/>
  <c r="AC603" i="16" s="1"/>
  <c r="AF602" i="16"/>
  <c r="AG602" i="16" s="1"/>
  <c r="AH602" i="16" s="1"/>
  <c r="AS602" i="16" s="1"/>
  <c r="AJ578" i="15"/>
  <c r="BN553" i="16"/>
  <c r="BQ553" i="16" s="1"/>
  <c r="E719" i="16"/>
  <c r="L719" i="16" s="1"/>
  <c r="P719" i="16"/>
  <c r="BE554" i="16" l="1"/>
  <c r="BF554" i="16" s="1"/>
  <c r="BI554" i="16" s="1"/>
  <c r="AT602" i="16"/>
  <c r="AW602" i="16" s="1"/>
  <c r="AX602" i="16" s="1"/>
  <c r="AZ602" i="16" s="1"/>
  <c r="AU602" i="16"/>
  <c r="AV602" i="16" s="1"/>
  <c r="AL602" i="16"/>
  <c r="AY602" i="16" s="1"/>
  <c r="BK554" i="16"/>
  <c r="BL554" i="16" s="1"/>
  <c r="BM554" i="16" s="1"/>
  <c r="W603" i="16"/>
  <c r="AA603" i="16" s="1"/>
  <c r="AK603" i="16" s="1"/>
  <c r="AD603" i="16"/>
  <c r="AD471" i="15"/>
  <c r="E552" i="14"/>
  <c r="F552" i="14" s="1"/>
  <c r="H552" i="14" s="1"/>
  <c r="Q719" i="16"/>
  <c r="S719" i="16" s="1"/>
  <c r="N719" i="16"/>
  <c r="M720" i="16" s="1"/>
  <c r="BG554" i="16" l="1"/>
  <c r="AM602" i="16"/>
  <c r="AN602" i="16" s="1"/>
  <c r="AO602" i="16" s="1"/>
  <c r="AP602" i="16" s="1"/>
  <c r="AQ602" i="16" s="1"/>
  <c r="Y603" i="16"/>
  <c r="AB603" i="16" s="1"/>
  <c r="AE603" i="16"/>
  <c r="BC555" i="16"/>
  <c r="BH555" i="16" s="1"/>
  <c r="BO554" i="16"/>
  <c r="BP554" i="16" s="1"/>
  <c r="BN554" i="16"/>
  <c r="O719" i="16"/>
  <c r="Z603" i="16" l="1"/>
  <c r="U604" i="16" s="1"/>
  <c r="AC604" i="16" s="1"/>
  <c r="BD555" i="16"/>
  <c r="BE555" i="16" s="1"/>
  <c r="BF555" i="16" s="1"/>
  <c r="AR602" i="16"/>
  <c r="AF603" i="16"/>
  <c r="AG603" i="16" s="1"/>
  <c r="AH603" i="16" s="1"/>
  <c r="AS603" i="16" s="1"/>
  <c r="AD475" i="15"/>
  <c r="E553" i="14"/>
  <c r="F553" i="14" s="1"/>
  <c r="H553" i="14" s="1"/>
  <c r="AJ579" i="15"/>
  <c r="BQ554" i="16"/>
  <c r="E720" i="16"/>
  <c r="L720" i="16" s="1"/>
  <c r="P720" i="16"/>
  <c r="AL603" i="16" l="1"/>
  <c r="AY603" i="16" s="1"/>
  <c r="AT603" i="16"/>
  <c r="AW603" i="16" s="1"/>
  <c r="AX603" i="16" s="1"/>
  <c r="AZ603" i="16" s="1"/>
  <c r="AU603" i="16"/>
  <c r="AV603" i="16" s="1"/>
  <c r="BJ555" i="16"/>
  <c r="BK555" i="16"/>
  <c r="BL555" i="16" s="1"/>
  <c r="BM555" i="16" s="1"/>
  <c r="AD604" i="16"/>
  <c r="W604" i="16"/>
  <c r="BI555" i="16"/>
  <c r="BG555" i="16"/>
  <c r="Q720" i="16"/>
  <c r="S720" i="16" s="1"/>
  <c r="N720" i="16"/>
  <c r="M721" i="16" s="1"/>
  <c r="AM603" i="16" l="1"/>
  <c r="AN603" i="16" s="1"/>
  <c r="AO603" i="16" s="1"/>
  <c r="AA604" i="16"/>
  <c r="AK604" i="16" s="1"/>
  <c r="Y604" i="16"/>
  <c r="AB604" i="16" s="1"/>
  <c r="AE604" i="16"/>
  <c r="BC556" i="16"/>
  <c r="BH556" i="16" s="1"/>
  <c r="BO555" i="16"/>
  <c r="BP555" i="16" s="1"/>
  <c r="BN555" i="16"/>
  <c r="O720" i="16"/>
  <c r="AP603" i="16" l="1"/>
  <c r="AR603" i="16" s="1"/>
  <c r="AF604" i="16"/>
  <c r="AG604" i="16" s="1"/>
  <c r="AH604" i="16" s="1"/>
  <c r="AS604" i="16" s="1"/>
  <c r="Z604" i="16"/>
  <c r="BD556" i="16"/>
  <c r="BE556" i="16" s="1"/>
  <c r="AD479" i="15"/>
  <c r="E554" i="14"/>
  <c r="F554" i="14" s="1"/>
  <c r="H554" i="14" s="1"/>
  <c r="AJ580" i="15"/>
  <c r="BQ555" i="16"/>
  <c r="E721" i="16"/>
  <c r="P721" i="16"/>
  <c r="AT604" i="16" l="1"/>
  <c r="AW604" i="16" s="1"/>
  <c r="AX604" i="16" s="1"/>
  <c r="AZ604" i="16" s="1"/>
  <c r="AU604" i="16"/>
  <c r="AV604" i="16" s="1"/>
  <c r="AL604" i="16"/>
  <c r="AM604" i="16" s="1"/>
  <c r="AN604" i="16" s="1"/>
  <c r="BF556" i="16"/>
  <c r="BI556" i="16" s="1"/>
  <c r="U605" i="16"/>
  <c r="AC605" i="16" s="1"/>
  <c r="AQ603" i="16"/>
  <c r="BJ556" i="16"/>
  <c r="BK556" i="16"/>
  <c r="L721" i="16"/>
  <c r="N721" i="16" s="1"/>
  <c r="M722" i="16" s="1"/>
  <c r="Q721" i="16"/>
  <c r="S721" i="16" s="1"/>
  <c r="AY604" i="16" l="1"/>
  <c r="BG556" i="16"/>
  <c r="BC557" i="16" s="1"/>
  <c r="BH557" i="16" s="1"/>
  <c r="AO604" i="16"/>
  <c r="AP604" i="16" s="1"/>
  <c r="AQ604" i="16" s="1"/>
  <c r="W605" i="16"/>
  <c r="AA605" i="16" s="1"/>
  <c r="AK605" i="16" s="1"/>
  <c r="AD605" i="16"/>
  <c r="BL556" i="16"/>
  <c r="BM556" i="16" s="1"/>
  <c r="BO556" i="16"/>
  <c r="BP556" i="16" s="1"/>
  <c r="O721" i="16"/>
  <c r="Y605" i="16" l="1"/>
  <c r="AB605" i="16" s="1"/>
  <c r="AR604" i="16"/>
  <c r="BN556" i="16"/>
  <c r="AD483" i="15" s="1"/>
  <c r="AE605" i="16"/>
  <c r="AJ581" i="15"/>
  <c r="BD557" i="16"/>
  <c r="E722" i="16"/>
  <c r="L722" i="16" s="1"/>
  <c r="P722" i="16"/>
  <c r="E555" i="14" l="1"/>
  <c r="F555" i="14" s="1"/>
  <c r="H555" i="14" s="1"/>
  <c r="AF605" i="16"/>
  <c r="AG605" i="16" s="1"/>
  <c r="AH605" i="16" s="1"/>
  <c r="AS605" i="16" s="1"/>
  <c r="AT605" i="16" s="1"/>
  <c r="AW605" i="16" s="1"/>
  <c r="AX605" i="16" s="1"/>
  <c r="AZ605" i="16" s="1"/>
  <c r="Z605" i="16"/>
  <c r="U606" i="16" s="1"/>
  <c r="AC606" i="16" s="1"/>
  <c r="AD606" i="16" s="1"/>
  <c r="BQ556" i="16"/>
  <c r="BJ557" i="16"/>
  <c r="BE557" i="16"/>
  <c r="BF557" i="16" s="1"/>
  <c r="BK557" i="16"/>
  <c r="Q722" i="16"/>
  <c r="S722" i="16" s="1"/>
  <c r="N722" i="16"/>
  <c r="M723" i="16" s="1"/>
  <c r="AU605" i="16" l="1"/>
  <c r="AV605" i="16" s="1"/>
  <c r="AL605" i="16"/>
  <c r="AM605" i="16" s="1"/>
  <c r="AN605" i="16" s="1"/>
  <c r="AO605" i="16" s="1"/>
  <c r="AP605" i="16" s="1"/>
  <c r="AQ605" i="16" s="1"/>
  <c r="W606" i="16"/>
  <c r="AA606" i="16" s="1"/>
  <c r="AK606" i="16" s="1"/>
  <c r="AE606" i="16"/>
  <c r="BI557" i="16"/>
  <c r="BG557" i="16"/>
  <c r="BL557" i="16"/>
  <c r="BM557" i="16" s="1"/>
  <c r="E723" i="16"/>
  <c r="O722" i="16"/>
  <c r="AY605" i="16" l="1"/>
  <c r="Y606" i="16"/>
  <c r="AB606" i="16" s="1"/>
  <c r="AF606" i="16" s="1"/>
  <c r="AG606" i="16" s="1"/>
  <c r="AH606" i="16" s="1"/>
  <c r="AS606" i="16" s="1"/>
  <c r="AR605" i="16"/>
  <c r="BC558" i="16"/>
  <c r="BH558" i="16" s="1"/>
  <c r="BO557" i="16"/>
  <c r="BP557" i="16" s="1"/>
  <c r="BN557" i="16"/>
  <c r="L723" i="16"/>
  <c r="N723" i="16" s="1"/>
  <c r="M724" i="16" s="1"/>
  <c r="P723" i="16"/>
  <c r="Z606" i="16" l="1"/>
  <c r="AT606" i="16"/>
  <c r="AW606" i="16" s="1"/>
  <c r="AX606" i="16" s="1"/>
  <c r="AZ606" i="16" s="1"/>
  <c r="AU606" i="16"/>
  <c r="AV606" i="16" s="1"/>
  <c r="AL606" i="16"/>
  <c r="AY606" i="16" s="1"/>
  <c r="U607" i="16"/>
  <c r="AC607" i="16" s="1"/>
  <c r="AD607" i="16" s="1"/>
  <c r="BD558" i="16"/>
  <c r="BE558" i="16" s="1"/>
  <c r="E556" i="14"/>
  <c r="F556" i="14" s="1"/>
  <c r="H556" i="14" s="1"/>
  <c r="AD487" i="15"/>
  <c r="AJ582" i="15"/>
  <c r="BQ557" i="16"/>
  <c r="Q723" i="16"/>
  <c r="S723" i="16" s="1"/>
  <c r="O723" i="16"/>
  <c r="AM606" i="16" l="1"/>
  <c r="AN606" i="16" s="1"/>
  <c r="BK558" i="16"/>
  <c r="BL558" i="16" s="1"/>
  <c r="BM558" i="16" s="1"/>
  <c r="BF558" i="16"/>
  <c r="BI558" i="16" s="1"/>
  <c r="BJ558" i="16"/>
  <c r="AE607" i="16"/>
  <c r="W607" i="16"/>
  <c r="AA607" i="16" s="1"/>
  <c r="AK607" i="16" s="1"/>
  <c r="P724" i="16"/>
  <c r="E724" i="16"/>
  <c r="L724" i="16" s="1"/>
  <c r="BG558" i="16" l="1"/>
  <c r="BC559" i="16" s="1"/>
  <c r="BH559" i="16" s="1"/>
  <c r="Y607" i="16"/>
  <c r="AB607" i="16" s="1"/>
  <c r="AF607" i="16" s="1"/>
  <c r="AO606" i="16"/>
  <c r="AP606" i="16" s="1"/>
  <c r="AQ606" i="16" s="1"/>
  <c r="BO558" i="16"/>
  <c r="BP558" i="16" s="1"/>
  <c r="BN558" i="16"/>
  <c r="N724" i="16"/>
  <c r="M725" i="16" s="1"/>
  <c r="Q724" i="16"/>
  <c r="S724" i="16" s="1"/>
  <c r="AG607" i="16" l="1"/>
  <c r="AH607" i="16" s="1"/>
  <c r="AS607" i="16" s="1"/>
  <c r="Z607" i="16"/>
  <c r="U608" i="16" s="1"/>
  <c r="AC608" i="16" s="1"/>
  <c r="AR606" i="16"/>
  <c r="AD489" i="15"/>
  <c r="E557" i="14"/>
  <c r="F557" i="14" s="1"/>
  <c r="H557" i="14" s="1"/>
  <c r="BD559" i="16"/>
  <c r="AJ583" i="15"/>
  <c r="BQ558" i="16"/>
  <c r="O724" i="16"/>
  <c r="AL607" i="16" l="1"/>
  <c r="AY607" i="16" s="1"/>
  <c r="AU607" i="16"/>
  <c r="AV607" i="16" s="1"/>
  <c r="AT607" i="16"/>
  <c r="AW607" i="16" s="1"/>
  <c r="AX607" i="16" s="1"/>
  <c r="AZ607" i="16" s="1"/>
  <c r="AD608" i="16"/>
  <c r="AE608" i="16" s="1"/>
  <c r="W608" i="16"/>
  <c r="Y608" i="16" s="1"/>
  <c r="BJ559" i="16"/>
  <c r="BK559" i="16"/>
  <c r="BE559" i="16"/>
  <c r="BF559" i="16" s="1"/>
  <c r="E725" i="16"/>
  <c r="L725" i="16" s="1"/>
  <c r="P725" i="16"/>
  <c r="AM607" i="16" l="1"/>
  <c r="AN607" i="16" s="1"/>
  <c r="AO607" i="16" s="1"/>
  <c r="AP607" i="16" s="1"/>
  <c r="AQ607" i="16" s="1"/>
  <c r="AA608" i="16"/>
  <c r="AK608" i="16" s="1"/>
  <c r="AB608" i="16"/>
  <c r="Z608" i="16"/>
  <c r="BI559" i="16"/>
  <c r="BG559" i="16"/>
  <c r="BL559" i="16"/>
  <c r="BM559" i="16" s="1"/>
  <c r="Q725" i="16"/>
  <c r="S725" i="16" s="1"/>
  <c r="N725" i="16"/>
  <c r="M726" i="16" s="1"/>
  <c r="AR607" i="16" l="1"/>
  <c r="AF608" i="16"/>
  <c r="AG608" i="16" s="1"/>
  <c r="AH608" i="16" s="1"/>
  <c r="AS608" i="16" s="1"/>
  <c r="U609" i="16"/>
  <c r="AC609" i="16" s="1"/>
  <c r="BC560" i="16"/>
  <c r="BH560" i="16" s="1"/>
  <c r="BO559" i="16"/>
  <c r="BP559" i="16" s="1"/>
  <c r="BN559" i="16"/>
  <c r="O725" i="16"/>
  <c r="E726" i="16"/>
  <c r="L726" i="16" s="1"/>
  <c r="AT608" i="16" l="1"/>
  <c r="AW608" i="16" s="1"/>
  <c r="AX608" i="16" s="1"/>
  <c r="AZ608" i="16" s="1"/>
  <c r="AU608" i="16"/>
  <c r="AV608" i="16" s="1"/>
  <c r="AL608" i="16"/>
  <c r="AY608" i="16" s="1"/>
  <c r="W609" i="16"/>
  <c r="AA609" i="16" s="1"/>
  <c r="AK609" i="16" s="1"/>
  <c r="AD609" i="16"/>
  <c r="AD491" i="15"/>
  <c r="E558" i="14"/>
  <c r="F558" i="14" s="1"/>
  <c r="H558" i="14" s="1"/>
  <c r="BD560" i="16"/>
  <c r="BE560" i="16" s="1"/>
  <c r="BF560" i="16" s="1"/>
  <c r="AJ584" i="15"/>
  <c r="BQ559" i="16"/>
  <c r="N726" i="16"/>
  <c r="M727" i="16" s="1"/>
  <c r="P726" i="16"/>
  <c r="Y609" i="16" l="1"/>
  <c r="AB609" i="16" s="1"/>
  <c r="AM608" i="16"/>
  <c r="AN608" i="16" s="1"/>
  <c r="AO608" i="16" s="1"/>
  <c r="AP608" i="16" s="1"/>
  <c r="AQ608" i="16" s="1"/>
  <c r="AE609" i="16"/>
  <c r="BI560" i="16"/>
  <c r="BG560" i="16"/>
  <c r="BJ560" i="16"/>
  <c r="BK560" i="16"/>
  <c r="Q726" i="16"/>
  <c r="S726" i="16" s="1"/>
  <c r="O726" i="16"/>
  <c r="Z609" i="16" l="1"/>
  <c r="AF609" i="16"/>
  <c r="AG609" i="16" s="1"/>
  <c r="AH609" i="16" s="1"/>
  <c r="AS609" i="16" s="1"/>
  <c r="AT609" i="16" s="1"/>
  <c r="AW609" i="16" s="1"/>
  <c r="AX609" i="16" s="1"/>
  <c r="AZ609" i="16" s="1"/>
  <c r="AR608" i="16"/>
  <c r="U610" i="16"/>
  <c r="AC610" i="16" s="1"/>
  <c r="BC561" i="16"/>
  <c r="BH561" i="16" s="1"/>
  <c r="BL560" i="16"/>
  <c r="BM560" i="16" s="1"/>
  <c r="BO560" i="16"/>
  <c r="BP560" i="16" s="1"/>
  <c r="P727" i="16"/>
  <c r="Q727" i="16" s="1"/>
  <c r="S727" i="16" s="1"/>
  <c r="E727" i="16"/>
  <c r="L727" i="16" s="1"/>
  <c r="AU609" i="16" l="1"/>
  <c r="AV609" i="16" s="1"/>
  <c r="AL609" i="16"/>
  <c r="AY609" i="16" s="1"/>
  <c r="AD610" i="16"/>
  <c r="W610" i="16"/>
  <c r="AA610" i="16" s="1"/>
  <c r="AK610" i="16" s="1"/>
  <c r="BN560" i="16"/>
  <c r="E559" i="14" s="1"/>
  <c r="F559" i="14" s="1"/>
  <c r="H559" i="14" s="1"/>
  <c r="AJ585" i="15"/>
  <c r="BD561" i="16"/>
  <c r="BE561" i="16" s="1"/>
  <c r="N727" i="16"/>
  <c r="M728" i="16" s="1"/>
  <c r="AM609" i="16" l="1"/>
  <c r="AN609" i="16" s="1"/>
  <c r="AO609" i="16" s="1"/>
  <c r="AP609" i="16" s="1"/>
  <c r="AR609" i="16" s="1"/>
  <c r="Y610" i="16"/>
  <c r="AB610" i="16" s="1"/>
  <c r="AD493" i="15"/>
  <c r="BQ560" i="16"/>
  <c r="AE610" i="16"/>
  <c r="BJ561" i="16"/>
  <c r="BK561" i="16"/>
  <c r="BF561" i="16"/>
  <c r="O727" i="16"/>
  <c r="E728" i="16"/>
  <c r="L728" i="16" s="1"/>
  <c r="Z610" i="16" l="1"/>
  <c r="U611" i="16" s="1"/>
  <c r="AC611" i="16" s="1"/>
  <c r="AF610" i="16"/>
  <c r="AG610" i="16" s="1"/>
  <c r="AH610" i="16" s="1"/>
  <c r="AS610" i="16" s="1"/>
  <c r="AQ609" i="16"/>
  <c r="BI561" i="16"/>
  <c r="BG561" i="16"/>
  <c r="BL561" i="16"/>
  <c r="BM561" i="16" s="1"/>
  <c r="N728" i="16"/>
  <c r="M729" i="16" s="1"/>
  <c r="P728" i="16"/>
  <c r="AL610" i="16" l="1"/>
  <c r="AU610" i="16"/>
  <c r="AV610" i="16" s="1"/>
  <c r="AT610" i="16"/>
  <c r="AW610" i="16" s="1"/>
  <c r="AX610" i="16" s="1"/>
  <c r="AZ610" i="16" s="1"/>
  <c r="AD611" i="16"/>
  <c r="W611" i="16"/>
  <c r="AA611" i="16" s="1"/>
  <c r="AK611" i="16" s="1"/>
  <c r="BC562" i="16"/>
  <c r="BH562" i="16" s="1"/>
  <c r="BO561" i="16"/>
  <c r="BP561" i="16" s="1"/>
  <c r="BN561" i="16"/>
  <c r="O728" i="16"/>
  <c r="Q728" i="16"/>
  <c r="S728" i="16" s="1"/>
  <c r="AM610" i="16" l="1"/>
  <c r="AN610" i="16" s="1"/>
  <c r="AO610" i="16" s="1"/>
  <c r="AP610" i="16" s="1"/>
  <c r="AR610" i="16" s="1"/>
  <c r="AY610" i="16"/>
  <c r="BD562" i="16"/>
  <c r="BJ562" i="16" s="1"/>
  <c r="AE611" i="16"/>
  <c r="Y611" i="16"/>
  <c r="E560" i="14"/>
  <c r="F560" i="14" s="1"/>
  <c r="H560" i="14" s="1"/>
  <c r="AD480" i="15"/>
  <c r="AJ586" i="15"/>
  <c r="BQ561" i="16"/>
  <c r="E729" i="16"/>
  <c r="L729" i="16" s="1"/>
  <c r="P729" i="16"/>
  <c r="BK562" i="16" l="1"/>
  <c r="BL562" i="16" s="1"/>
  <c r="BM562" i="16" s="1"/>
  <c r="BE562" i="16"/>
  <c r="BF562" i="16" s="1"/>
  <c r="BI562" i="16" s="1"/>
  <c r="AQ610" i="16"/>
  <c r="AB611" i="16"/>
  <c r="Z611" i="16"/>
  <c r="Q729" i="16"/>
  <c r="S729" i="16" s="1"/>
  <c r="N729" i="16"/>
  <c r="M730" i="16" s="1"/>
  <c r="BG562" i="16" l="1"/>
  <c r="BC563" i="16" s="1"/>
  <c r="BH563" i="16" s="1"/>
  <c r="U612" i="16"/>
  <c r="AC612" i="16" s="1"/>
  <c r="AF611" i="16"/>
  <c r="AG611" i="16" s="1"/>
  <c r="AH611" i="16" s="1"/>
  <c r="AS611" i="16" s="1"/>
  <c r="BN562" i="16"/>
  <c r="BO562" i="16"/>
  <c r="BP562" i="16" s="1"/>
  <c r="O729" i="16"/>
  <c r="AT611" i="16" l="1"/>
  <c r="AW611" i="16" s="1"/>
  <c r="AX611" i="16" s="1"/>
  <c r="AZ611" i="16" s="1"/>
  <c r="AU611" i="16"/>
  <c r="AV611" i="16" s="1"/>
  <c r="AL611" i="16"/>
  <c r="AM611" i="16" s="1"/>
  <c r="BD563" i="16"/>
  <c r="BK563" i="16" s="1"/>
  <c r="W612" i="16"/>
  <c r="AA612" i="16" s="1"/>
  <c r="AK612" i="16" s="1"/>
  <c r="AD612" i="16"/>
  <c r="AJ587" i="15"/>
  <c r="BQ562" i="16"/>
  <c r="AD497" i="15"/>
  <c r="E561" i="14"/>
  <c r="F561" i="14" s="1"/>
  <c r="H561" i="14" s="1"/>
  <c r="E730" i="16"/>
  <c r="L730" i="16" s="1"/>
  <c r="P730" i="16"/>
  <c r="AY611" i="16" l="1"/>
  <c r="BJ563" i="16"/>
  <c r="BE563" i="16"/>
  <c r="BF563" i="16" s="1"/>
  <c r="BI563" i="16" s="1"/>
  <c r="Y612" i="16"/>
  <c r="AB612" i="16" s="1"/>
  <c r="AN611" i="16"/>
  <c r="AO611" i="16" s="1"/>
  <c r="AP611" i="16" s="1"/>
  <c r="AQ611" i="16" s="1"/>
  <c r="AE612" i="16"/>
  <c r="BL563" i="16"/>
  <c r="BM563" i="16" s="1"/>
  <c r="Q730" i="16"/>
  <c r="S730" i="16" s="1"/>
  <c r="N730" i="16"/>
  <c r="M731" i="16" s="1"/>
  <c r="BG563" i="16" l="1"/>
  <c r="BC564" i="16" s="1"/>
  <c r="BH564" i="16" s="1"/>
  <c r="Z612" i="16"/>
  <c r="U613" i="16" s="1"/>
  <c r="AC613" i="16" s="1"/>
  <c r="AD613" i="16" s="1"/>
  <c r="AF612" i="16"/>
  <c r="AG612" i="16" s="1"/>
  <c r="AH612" i="16" s="1"/>
  <c r="AS612" i="16" s="1"/>
  <c r="AR611" i="16"/>
  <c r="BO563" i="16"/>
  <c r="BP563" i="16" s="1"/>
  <c r="BN563" i="16"/>
  <c r="O730" i="16"/>
  <c r="AT612" i="16" l="1"/>
  <c r="AW612" i="16" s="1"/>
  <c r="AX612" i="16" s="1"/>
  <c r="AZ612" i="16" s="1"/>
  <c r="AU612" i="16"/>
  <c r="AV612" i="16" s="1"/>
  <c r="AL612" i="16"/>
  <c r="AY612" i="16" s="1"/>
  <c r="W613" i="16"/>
  <c r="AA613" i="16" s="1"/>
  <c r="AK613" i="16" s="1"/>
  <c r="BD564" i="16"/>
  <c r="BE564" i="16" s="1"/>
  <c r="BF564" i="16" s="1"/>
  <c r="AE613" i="16"/>
  <c r="AJ588" i="15"/>
  <c r="BQ563" i="16"/>
  <c r="E562" i="14"/>
  <c r="F562" i="14" s="1"/>
  <c r="H562" i="14" s="1"/>
  <c r="AD501" i="15"/>
  <c r="E731" i="16"/>
  <c r="L731" i="16" s="1"/>
  <c r="P731" i="16"/>
  <c r="AM612" i="16" l="1"/>
  <c r="AN612" i="16" s="1"/>
  <c r="AO612" i="16" s="1"/>
  <c r="AP612" i="16" s="1"/>
  <c r="AQ612" i="16" s="1"/>
  <c r="Y613" i="16"/>
  <c r="AB613" i="16" s="1"/>
  <c r="BK564" i="16"/>
  <c r="BL564" i="16" s="1"/>
  <c r="BM564" i="16" s="1"/>
  <c r="BJ564" i="16"/>
  <c r="BI564" i="16"/>
  <c r="BG564" i="16"/>
  <c r="Q731" i="16"/>
  <c r="S731" i="16" s="1"/>
  <c r="N731" i="16"/>
  <c r="M732" i="16" s="1"/>
  <c r="AR612" i="16" l="1"/>
  <c r="AF613" i="16"/>
  <c r="Z613" i="16"/>
  <c r="U614" i="16" s="1"/>
  <c r="AC614" i="16" s="1"/>
  <c r="BC565" i="16"/>
  <c r="BH565" i="16" s="1"/>
  <c r="BO564" i="16"/>
  <c r="BP564" i="16" s="1"/>
  <c r="BN564" i="16"/>
  <c r="O731" i="16"/>
  <c r="AG613" i="16" l="1"/>
  <c r="W614" i="16"/>
  <c r="Y614" i="16" s="1"/>
  <c r="AB614" i="16" s="1"/>
  <c r="AD614" i="16"/>
  <c r="AD504" i="15"/>
  <c r="E563" i="14"/>
  <c r="F563" i="14" s="1"/>
  <c r="H563" i="14" s="1"/>
  <c r="BD565" i="16"/>
  <c r="AJ589" i="15"/>
  <c r="BQ564" i="16"/>
  <c r="E732" i="16"/>
  <c r="L732" i="16" s="1"/>
  <c r="P732" i="16"/>
  <c r="AL613" i="16" l="1"/>
  <c r="AY613" i="16" s="1"/>
  <c r="AH613" i="16"/>
  <c r="AS613" i="16" s="1"/>
  <c r="AE614" i="16"/>
  <c r="AF614" i="16" s="1"/>
  <c r="AA614" i="16"/>
  <c r="AK614" i="16" s="1"/>
  <c r="Z614" i="16"/>
  <c r="BJ565" i="16"/>
  <c r="BK565" i="16"/>
  <c r="BE565" i="16"/>
  <c r="BF565" i="16" s="1"/>
  <c r="Q732" i="16"/>
  <c r="S732" i="16" s="1"/>
  <c r="N732" i="16"/>
  <c r="M733" i="16" s="1"/>
  <c r="AM613" i="16" l="1"/>
  <c r="AN613" i="16" s="1"/>
  <c r="AO613" i="16" s="1"/>
  <c r="AP613" i="16" s="1"/>
  <c r="AR613" i="16" s="1"/>
  <c r="AT613" i="16"/>
  <c r="AW613" i="16" s="1"/>
  <c r="AX613" i="16" s="1"/>
  <c r="AZ613" i="16" s="1"/>
  <c r="AU613" i="16"/>
  <c r="AV613" i="16" s="1"/>
  <c r="AG614" i="16"/>
  <c r="AL614" i="16" s="1"/>
  <c r="AY614" i="16" s="1"/>
  <c r="U615" i="16"/>
  <c r="AC615" i="16" s="1"/>
  <c r="BL565" i="16"/>
  <c r="BM565" i="16" s="1"/>
  <c r="BI565" i="16"/>
  <c r="BG565" i="16"/>
  <c r="O732" i="16"/>
  <c r="AQ613" i="16" l="1"/>
  <c r="AM614" i="16"/>
  <c r="AN614" i="16" s="1"/>
  <c r="AO614" i="16" s="1"/>
  <c r="AP614" i="16" s="1"/>
  <c r="AQ614" i="16" s="1"/>
  <c r="AH614" i="16"/>
  <c r="AS614" i="16" s="1"/>
  <c r="AD615" i="16"/>
  <c r="W615" i="16"/>
  <c r="AA615" i="16" s="1"/>
  <c r="AK615" i="16" s="1"/>
  <c r="BC566" i="16"/>
  <c r="BH566" i="16" s="1"/>
  <c r="BO565" i="16"/>
  <c r="BP565" i="16" s="1"/>
  <c r="BN565" i="16"/>
  <c r="E733" i="16"/>
  <c r="L733" i="16" s="1"/>
  <c r="P733" i="16"/>
  <c r="AT614" i="16" l="1"/>
  <c r="AW614" i="16" s="1"/>
  <c r="AX614" i="16" s="1"/>
  <c r="AZ614" i="16" s="1"/>
  <c r="AU614" i="16"/>
  <c r="AV614" i="16" s="1"/>
  <c r="Y615" i="16"/>
  <c r="AB615" i="16" s="1"/>
  <c r="AR614" i="16"/>
  <c r="AE615" i="16"/>
  <c r="E564" i="14"/>
  <c r="F564" i="14" s="1"/>
  <c r="H564" i="14" s="1"/>
  <c r="AD509" i="15"/>
  <c r="AJ590" i="15"/>
  <c r="BQ565" i="16"/>
  <c r="BD566" i="16"/>
  <c r="BE566" i="16" s="1"/>
  <c r="BF566" i="16" s="1"/>
  <c r="Q733" i="16"/>
  <c r="S733" i="16" s="1"/>
  <c r="N733" i="16"/>
  <c r="M734" i="16" s="1"/>
  <c r="Z615" i="16" l="1"/>
  <c r="U616" i="16" s="1"/>
  <c r="AC616" i="16" s="1"/>
  <c r="AF615" i="16"/>
  <c r="AG615" i="16" s="1"/>
  <c r="BI566" i="16"/>
  <c r="BG566" i="16"/>
  <c r="BJ566" i="16"/>
  <c r="BK566" i="16"/>
  <c r="E734" i="16"/>
  <c r="O733" i="16"/>
  <c r="AH615" i="16" l="1"/>
  <c r="AS615" i="16" s="1"/>
  <c r="AL615" i="16"/>
  <c r="AY615" i="16" s="1"/>
  <c r="AD616" i="16"/>
  <c r="W616" i="16"/>
  <c r="BL566" i="16"/>
  <c r="BM566" i="16" s="1"/>
  <c r="BC567" i="16"/>
  <c r="BD567" i="16" s="1"/>
  <c r="BO566" i="16"/>
  <c r="BP566" i="16" s="1"/>
  <c r="L734" i="16"/>
  <c r="P734" i="16"/>
  <c r="AM615" i="16" l="1"/>
  <c r="AN615" i="16" s="1"/>
  <c r="AO615" i="16" s="1"/>
  <c r="AP615" i="16" s="1"/>
  <c r="AR615" i="16" s="1"/>
  <c r="AT615" i="16"/>
  <c r="AW615" i="16" s="1"/>
  <c r="AX615" i="16" s="1"/>
  <c r="AZ615" i="16" s="1"/>
  <c r="AU615" i="16"/>
  <c r="AV615" i="16" s="1"/>
  <c r="AA616" i="16"/>
  <c r="AK616" i="16" s="1"/>
  <c r="Y616" i="16"/>
  <c r="AB616" i="16" s="1"/>
  <c r="AE616" i="16"/>
  <c r="BJ567" i="16"/>
  <c r="BK567" i="16"/>
  <c r="AJ591" i="15"/>
  <c r="BE567" i="16"/>
  <c r="BF567" i="16" s="1"/>
  <c r="BH567" i="16"/>
  <c r="BN566" i="16"/>
  <c r="N734" i="16"/>
  <c r="Q734" i="16"/>
  <c r="S734" i="16" s="1"/>
  <c r="Z616" i="16" l="1"/>
  <c r="U617" i="16" s="1"/>
  <c r="AC617" i="16" s="1"/>
  <c r="AF616" i="16"/>
  <c r="AG616" i="16" s="1"/>
  <c r="AH616" i="16" s="1"/>
  <c r="AS616" i="16" s="1"/>
  <c r="AT616" i="16" s="1"/>
  <c r="AW616" i="16" s="1"/>
  <c r="AX616" i="16" s="1"/>
  <c r="AZ616" i="16" s="1"/>
  <c r="AQ615" i="16"/>
  <c r="E565" i="14"/>
  <c r="F565" i="14" s="1"/>
  <c r="H565" i="14" s="1"/>
  <c r="AD513" i="15"/>
  <c r="BQ566" i="16"/>
  <c r="BL567" i="16"/>
  <c r="BM567" i="16" s="1"/>
  <c r="BI567" i="16"/>
  <c r="BG567" i="16"/>
  <c r="M735" i="16"/>
  <c r="P735" i="16" s="1"/>
  <c r="Q735" i="16" s="1"/>
  <c r="S735" i="16" s="1"/>
  <c r="O734" i="16"/>
  <c r="AL616" i="16" l="1"/>
  <c r="AU616" i="16"/>
  <c r="AV616" i="16" s="1"/>
  <c r="AY616" i="16"/>
  <c r="AM616" i="16"/>
  <c r="AN616" i="16" s="1"/>
  <c r="AO616" i="16" s="1"/>
  <c r="AD617" i="16"/>
  <c r="E735" i="16"/>
  <c r="L735" i="16" s="1"/>
  <c r="N735" i="16" s="1"/>
  <c r="M736" i="16" s="1"/>
  <c r="W617" i="16"/>
  <c r="AA617" i="16" s="1"/>
  <c r="AK617" i="16" s="1"/>
  <c r="BC568" i="16"/>
  <c r="BH568" i="16" s="1"/>
  <c r="BO567" i="16"/>
  <c r="BP567" i="16" s="1"/>
  <c r="BN567" i="16"/>
  <c r="AE617" i="16" l="1"/>
  <c r="AP616" i="16"/>
  <c r="AR616" i="16" s="1"/>
  <c r="Y617" i="16"/>
  <c r="AB617" i="16" s="1"/>
  <c r="E566" i="14"/>
  <c r="F566" i="14" s="1"/>
  <c r="H566" i="14" s="1"/>
  <c r="AD515" i="15"/>
  <c r="BD568" i="16"/>
  <c r="BE568" i="16" s="1"/>
  <c r="AJ592" i="15"/>
  <c r="BQ567" i="16"/>
  <c r="O735" i="16"/>
  <c r="P736" i="16"/>
  <c r="Q736" i="16" s="1"/>
  <c r="S736" i="16" s="1"/>
  <c r="E736" i="16"/>
  <c r="L736" i="16" s="1"/>
  <c r="AQ616" i="16" l="1"/>
  <c r="Z617" i="16"/>
  <c r="AF617" i="16"/>
  <c r="AG617" i="16" s="1"/>
  <c r="AH617" i="16" s="1"/>
  <c r="AS617" i="16" s="1"/>
  <c r="BJ568" i="16"/>
  <c r="BK568" i="16"/>
  <c r="BF568" i="16"/>
  <c r="N736" i="16"/>
  <c r="O736" i="16" s="1"/>
  <c r="AL617" i="16" l="1"/>
  <c r="AY617" i="16" s="1"/>
  <c r="AT617" i="16"/>
  <c r="AW617" i="16" s="1"/>
  <c r="AX617" i="16" s="1"/>
  <c r="AZ617" i="16" s="1"/>
  <c r="AU617" i="16"/>
  <c r="AV617" i="16" s="1"/>
  <c r="AM617" i="16"/>
  <c r="U618" i="16"/>
  <c r="AC618" i="16" s="1"/>
  <c r="BI568" i="16"/>
  <c r="BG568" i="16"/>
  <c r="BL568" i="16"/>
  <c r="BM568" i="16" s="1"/>
  <c r="AD618" i="16" l="1"/>
  <c r="AN617" i="16"/>
  <c r="AO617" i="16" s="1"/>
  <c r="W618" i="16"/>
  <c r="AA618" i="16" s="1"/>
  <c r="AK618" i="16" s="1"/>
  <c r="BC569" i="16"/>
  <c r="BH569" i="16" s="1"/>
  <c r="BO568" i="16"/>
  <c r="BP568" i="16" s="1"/>
  <c r="BN568" i="16"/>
  <c r="AP617" i="16" l="1"/>
  <c r="AR617" i="16" s="1"/>
  <c r="Y618" i="16"/>
  <c r="AB618" i="16" s="1"/>
  <c r="AE618" i="16"/>
  <c r="E567" i="14"/>
  <c r="F567" i="14" s="1"/>
  <c r="H567" i="14" s="1"/>
  <c r="AD516" i="15"/>
  <c r="BD569" i="16"/>
  <c r="BE569" i="16" s="1"/>
  <c r="BF569" i="16" s="1"/>
  <c r="AJ593" i="15"/>
  <c r="BQ568" i="16"/>
  <c r="Z618" i="16" l="1"/>
  <c r="AF618" i="16"/>
  <c r="AG618" i="16" s="1"/>
  <c r="AH618" i="16" s="1"/>
  <c r="AS618" i="16" s="1"/>
  <c r="AQ617" i="16"/>
  <c r="BI569" i="16"/>
  <c r="BG569" i="16"/>
  <c r="BJ569" i="16"/>
  <c r="BK569" i="16"/>
  <c r="AU618" i="16" l="1"/>
  <c r="AV618" i="16" s="1"/>
  <c r="AT618" i="16"/>
  <c r="AW618" i="16" s="1"/>
  <c r="AX618" i="16" s="1"/>
  <c r="AZ618" i="16" s="1"/>
  <c r="AL618" i="16"/>
  <c r="AM618" i="16" s="1"/>
  <c r="U619" i="16"/>
  <c r="AC619" i="16" s="1"/>
  <c r="BL569" i="16"/>
  <c r="BM569" i="16" s="1"/>
  <c r="BC570" i="16"/>
  <c r="BO569" i="16"/>
  <c r="BP569" i="16" s="1"/>
  <c r="AY618" i="16" l="1"/>
  <c r="W619" i="16"/>
  <c r="AA619" i="16" s="1"/>
  <c r="AK619" i="16" s="1"/>
  <c r="BN569" i="16"/>
  <c r="AD519" i="15" s="1"/>
  <c r="AD619" i="16"/>
  <c r="AN618" i="16"/>
  <c r="BH570" i="16"/>
  <c r="BD570" i="16"/>
  <c r="AJ594" i="15"/>
  <c r="E568" i="14" l="1"/>
  <c r="F568" i="14" s="1"/>
  <c r="H568" i="14" s="1"/>
  <c r="BQ569" i="16"/>
  <c r="Y619" i="16"/>
  <c r="AE619" i="16"/>
  <c r="AO618" i="16"/>
  <c r="AP618" i="16" s="1"/>
  <c r="AQ618" i="16" s="1"/>
  <c r="BJ570" i="16"/>
  <c r="BK570" i="16"/>
  <c r="BE570" i="16"/>
  <c r="BF570" i="16" s="1"/>
  <c r="AB619" i="16" l="1"/>
  <c r="Z619" i="16"/>
  <c r="U620" i="16" s="1"/>
  <c r="AC620" i="16" s="1"/>
  <c r="AR618" i="16"/>
  <c r="BI570" i="16"/>
  <c r="BG570" i="16"/>
  <c r="BL570" i="16"/>
  <c r="BM570" i="16" s="1"/>
  <c r="AD620" i="16" l="1"/>
  <c r="AE620" i="16" s="1"/>
  <c r="AF619" i="16"/>
  <c r="AG619" i="16" s="1"/>
  <c r="AH619" i="16" s="1"/>
  <c r="AS619" i="16" s="1"/>
  <c r="W620" i="16"/>
  <c r="AA620" i="16" s="1"/>
  <c r="AK620" i="16" s="1"/>
  <c r="BC571" i="16"/>
  <c r="BH571" i="16" s="1"/>
  <c r="BO570" i="16"/>
  <c r="BP570" i="16" s="1"/>
  <c r="BN570" i="16"/>
  <c r="AU619" i="16" l="1"/>
  <c r="AV619" i="16" s="1"/>
  <c r="AT619" i="16"/>
  <c r="AW619" i="16" s="1"/>
  <c r="AX619" i="16" s="1"/>
  <c r="AZ619" i="16" s="1"/>
  <c r="AL619" i="16"/>
  <c r="AY619" i="16" s="1"/>
  <c r="Y620" i="16"/>
  <c r="AB620" i="16" s="1"/>
  <c r="AD520" i="15"/>
  <c r="E569" i="14"/>
  <c r="F569" i="14" s="1"/>
  <c r="H569" i="14" s="1"/>
  <c r="BD571" i="16"/>
  <c r="BE571" i="16" s="1"/>
  <c r="BF571" i="16" s="1"/>
  <c r="AJ595" i="15"/>
  <c r="BQ570" i="16"/>
  <c r="AM619" i="16" l="1"/>
  <c r="Z620" i="16"/>
  <c r="U621" i="16" s="1"/>
  <c r="AC621" i="16" s="1"/>
  <c r="AF620" i="16"/>
  <c r="AG620" i="16" s="1"/>
  <c r="AH620" i="16" s="1"/>
  <c r="AS620" i="16" s="1"/>
  <c r="AT620" i="16" s="1"/>
  <c r="AW620" i="16" s="1"/>
  <c r="AX620" i="16" s="1"/>
  <c r="AZ620" i="16" s="1"/>
  <c r="BI571" i="16"/>
  <c r="BG571" i="16"/>
  <c r="BJ571" i="16"/>
  <c r="BK571" i="16"/>
  <c r="AU620" i="16" l="1"/>
  <c r="AV620" i="16" s="1"/>
  <c r="AL620" i="16"/>
  <c r="AN619" i="16"/>
  <c r="AO619" i="16" s="1"/>
  <c r="AP619" i="16" s="1"/>
  <c r="AQ619" i="16" s="1"/>
  <c r="AD621" i="16"/>
  <c r="W621" i="16"/>
  <c r="AA621" i="16" s="1"/>
  <c r="AK621" i="16" s="1"/>
  <c r="BC572" i="16"/>
  <c r="BH572" i="16" s="1"/>
  <c r="BL571" i="16"/>
  <c r="BM571" i="16" s="1"/>
  <c r="BO571" i="16"/>
  <c r="BP571" i="16" s="1"/>
  <c r="AR619" i="16" l="1"/>
  <c r="AY620" i="16"/>
  <c r="AM620" i="16"/>
  <c r="AN620" i="16" s="1"/>
  <c r="AO620" i="16" s="1"/>
  <c r="AP620" i="16" s="1"/>
  <c r="AR620" i="16" s="1"/>
  <c r="BD572" i="16"/>
  <c r="BJ572" i="16" s="1"/>
  <c r="AE621" i="16"/>
  <c r="Y621" i="16"/>
  <c r="AJ596" i="15"/>
  <c r="BN571" i="16"/>
  <c r="BE572" i="16" l="1"/>
  <c r="BF572" i="16" s="1"/>
  <c r="BI572" i="16" s="1"/>
  <c r="BK572" i="16"/>
  <c r="BL572" i="16" s="1"/>
  <c r="BM572" i="16" s="1"/>
  <c r="AB621" i="16"/>
  <c r="Z621" i="16"/>
  <c r="AQ620" i="16"/>
  <c r="AD517" i="15"/>
  <c r="E570" i="14"/>
  <c r="F570" i="14" s="1"/>
  <c r="H570" i="14" s="1"/>
  <c r="BQ571" i="16"/>
  <c r="BG572" i="16" l="1"/>
  <c r="BC573" i="16" s="1"/>
  <c r="BH573" i="16" s="1"/>
  <c r="U622" i="16"/>
  <c r="AC622" i="16" s="1"/>
  <c r="AF621" i="16"/>
  <c r="AG621" i="16" s="1"/>
  <c r="AH621" i="16" s="1"/>
  <c r="AS621" i="16" s="1"/>
  <c r="BN572" i="16"/>
  <c r="BO572" i="16"/>
  <c r="BP572" i="16" s="1"/>
  <c r="AL621" i="16" l="1"/>
  <c r="AM621" i="16" s="1"/>
  <c r="AU621" i="16"/>
  <c r="AV621" i="16" s="1"/>
  <c r="AT621" i="16"/>
  <c r="AW621" i="16" s="1"/>
  <c r="AX621" i="16" s="1"/>
  <c r="AZ621" i="16" s="1"/>
  <c r="AD622" i="16"/>
  <c r="W622" i="16"/>
  <c r="BD573" i="16"/>
  <c r="BE573" i="16" s="1"/>
  <c r="AJ107" i="15"/>
  <c r="BQ572" i="16"/>
  <c r="E571" i="14"/>
  <c r="F571" i="14" s="1"/>
  <c r="H571" i="14" s="1"/>
  <c r="AD453" i="15"/>
  <c r="AY621" i="16" l="1"/>
  <c r="AA622" i="16"/>
  <c r="AK622" i="16" s="1"/>
  <c r="Y622" i="16"/>
  <c r="AB622" i="16" s="1"/>
  <c r="AE622" i="16"/>
  <c r="AN621" i="16"/>
  <c r="AO621" i="16" s="1"/>
  <c r="AP621" i="16" s="1"/>
  <c r="AQ621" i="16" s="1"/>
  <c r="BJ573" i="16"/>
  <c r="BK573" i="16"/>
  <c r="BF573" i="16"/>
  <c r="Z622" i="16" l="1"/>
  <c r="AR621" i="16"/>
  <c r="AF622" i="16"/>
  <c r="AG622" i="16" s="1"/>
  <c r="AH622" i="16" s="1"/>
  <c r="AS622" i="16" s="1"/>
  <c r="BI573" i="16"/>
  <c r="BG573" i="16"/>
  <c r="BL573" i="16"/>
  <c r="BM573" i="16" s="1"/>
  <c r="AT622" i="16" l="1"/>
  <c r="AW622" i="16" s="1"/>
  <c r="AX622" i="16" s="1"/>
  <c r="AZ622" i="16" s="1"/>
  <c r="AU622" i="16"/>
  <c r="AV622" i="16" s="1"/>
  <c r="AL622" i="16"/>
  <c r="AY622" i="16" s="1"/>
  <c r="U623" i="16"/>
  <c r="AC623" i="16" s="1"/>
  <c r="BC574" i="16"/>
  <c r="BH574" i="16" s="1"/>
  <c r="BN573" i="16"/>
  <c r="BO573" i="16"/>
  <c r="BP573" i="16" s="1"/>
  <c r="AM622" i="16" l="1"/>
  <c r="AN622" i="16" s="1"/>
  <c r="AO622" i="16" s="1"/>
  <c r="AP622" i="16" s="1"/>
  <c r="AQ622" i="16" s="1"/>
  <c r="W623" i="16"/>
  <c r="AA623" i="16" s="1"/>
  <c r="AK623" i="16" s="1"/>
  <c r="AD623" i="16"/>
  <c r="BD574" i="16"/>
  <c r="BE574" i="16" s="1"/>
  <c r="BF574" i="16" s="1"/>
  <c r="AJ93" i="15"/>
  <c r="BQ573" i="16"/>
  <c r="E572" i="14"/>
  <c r="F572" i="14" s="1"/>
  <c r="H572" i="14" s="1"/>
  <c r="AD391" i="15"/>
  <c r="Y623" i="16" l="1"/>
  <c r="AB623" i="16" s="1"/>
  <c r="AE623" i="16"/>
  <c r="AR622" i="16"/>
  <c r="BI574" i="16"/>
  <c r="BG574" i="16"/>
  <c r="BJ574" i="16"/>
  <c r="BK574" i="16"/>
  <c r="Z623" i="16" l="1"/>
  <c r="U624" i="16" s="1"/>
  <c r="AC624" i="16" s="1"/>
  <c r="AF623" i="16"/>
  <c r="BL574" i="16"/>
  <c r="BM574" i="16" s="1"/>
  <c r="BC575" i="16"/>
  <c r="BH575" i="16" s="1"/>
  <c r="BO574" i="16"/>
  <c r="BP574" i="16" s="1"/>
  <c r="AG623" i="16" l="1"/>
  <c r="AH623" i="16" s="1"/>
  <c r="AS623" i="16" s="1"/>
  <c r="BN574" i="16"/>
  <c r="BQ574" i="16" s="1"/>
  <c r="AD624" i="16"/>
  <c r="W624" i="16"/>
  <c r="AJ597" i="15"/>
  <c r="BD575" i="16"/>
  <c r="E573" i="14" l="1"/>
  <c r="F573" i="14" s="1"/>
  <c r="H573" i="14" s="1"/>
  <c r="AD414" i="15"/>
  <c r="AL623" i="16"/>
  <c r="AY623" i="16" s="1"/>
  <c r="AU623" i="16"/>
  <c r="AV623" i="16" s="1"/>
  <c r="AT623" i="16"/>
  <c r="AW623" i="16" s="1"/>
  <c r="AX623" i="16" s="1"/>
  <c r="AZ623" i="16" s="1"/>
  <c r="AE624" i="16"/>
  <c r="AA624" i="16"/>
  <c r="AK624" i="16" s="1"/>
  <c r="Y624" i="16"/>
  <c r="AB624" i="16" s="1"/>
  <c r="BJ575" i="16"/>
  <c r="BK575" i="16"/>
  <c r="BE575" i="16"/>
  <c r="BF575" i="16" s="1"/>
  <c r="AM623" i="16" l="1"/>
  <c r="AN623" i="16" s="1"/>
  <c r="AO623" i="16" s="1"/>
  <c r="AP623" i="16" s="1"/>
  <c r="AR623" i="16" s="1"/>
  <c r="AF624" i="16"/>
  <c r="AG624" i="16" s="1"/>
  <c r="AH624" i="16" s="1"/>
  <c r="AS624" i="16" s="1"/>
  <c r="AT624" i="16" s="1"/>
  <c r="AW624" i="16" s="1"/>
  <c r="AX624" i="16" s="1"/>
  <c r="AZ624" i="16" s="1"/>
  <c r="Z624" i="16"/>
  <c r="BI575" i="16"/>
  <c r="BG575" i="16"/>
  <c r="BL575" i="16"/>
  <c r="BM575" i="16" s="1"/>
  <c r="AL624" i="16" l="1"/>
  <c r="AM624" i="16" s="1"/>
  <c r="AN624" i="16" s="1"/>
  <c r="AO624" i="16" s="1"/>
  <c r="AQ623" i="16"/>
  <c r="AU624" i="16"/>
  <c r="AV624" i="16" s="1"/>
  <c r="U625" i="16"/>
  <c r="AC625" i="16" s="1"/>
  <c r="BC576" i="16"/>
  <c r="BH576" i="16" s="1"/>
  <c r="BO575" i="16"/>
  <c r="BP575" i="16" s="1"/>
  <c r="BN575" i="16"/>
  <c r="AY624" i="16" l="1"/>
  <c r="AD625" i="16"/>
  <c r="AP624" i="16"/>
  <c r="AR624" i="16" s="1"/>
  <c r="W625" i="16"/>
  <c r="E574" i="14"/>
  <c r="F574" i="14" s="1"/>
  <c r="H574" i="14" s="1"/>
  <c r="AD426" i="15"/>
  <c r="BD576" i="16"/>
  <c r="AJ598" i="15"/>
  <c r="BQ575" i="16"/>
  <c r="AQ624" i="16" l="1"/>
  <c r="AE625" i="16"/>
  <c r="AA625" i="16"/>
  <c r="AK625" i="16" s="1"/>
  <c r="Y625" i="16"/>
  <c r="AB625" i="16" s="1"/>
  <c r="BJ576" i="16"/>
  <c r="BK576" i="16"/>
  <c r="BE576" i="16"/>
  <c r="BF576" i="16" s="1"/>
  <c r="AF625" i="16" l="1"/>
  <c r="AG625" i="16" s="1"/>
  <c r="AH625" i="16" s="1"/>
  <c r="AS625" i="16" s="1"/>
  <c r="Z625" i="16"/>
  <c r="BI576" i="16"/>
  <c r="BG576" i="16"/>
  <c r="BL576" i="16"/>
  <c r="BM576" i="16" s="1"/>
  <c r="AU625" i="16" l="1"/>
  <c r="AV625" i="16" s="1"/>
  <c r="AT625" i="16"/>
  <c r="AW625" i="16" s="1"/>
  <c r="AX625" i="16" s="1"/>
  <c r="AZ625" i="16" s="1"/>
  <c r="AL625" i="16"/>
  <c r="AM625" i="16" s="1"/>
  <c r="U626" i="16"/>
  <c r="AC626" i="16" s="1"/>
  <c r="BC577" i="16"/>
  <c r="BH577" i="16" s="1"/>
  <c r="BO576" i="16"/>
  <c r="BP576" i="16" s="1"/>
  <c r="BN576" i="16"/>
  <c r="AY625" i="16" l="1"/>
  <c r="W626" i="16"/>
  <c r="AA626" i="16" s="1"/>
  <c r="AK626" i="16" s="1"/>
  <c r="AD626" i="16"/>
  <c r="AN625" i="16"/>
  <c r="AO625" i="16" s="1"/>
  <c r="AD452" i="15"/>
  <c r="E575" i="14"/>
  <c r="F575" i="14" s="1"/>
  <c r="H575" i="14" s="1"/>
  <c r="AJ599" i="15"/>
  <c r="BQ576" i="16"/>
  <c r="BD577" i="16"/>
  <c r="Y626" i="16" l="1"/>
  <c r="AB626" i="16" s="1"/>
  <c r="AE626" i="16"/>
  <c r="AP625" i="16"/>
  <c r="AR625" i="16" s="1"/>
  <c r="BJ577" i="16"/>
  <c r="BK577" i="16"/>
  <c r="BE577" i="16"/>
  <c r="BF577" i="16" s="1"/>
  <c r="AF626" i="16" l="1"/>
  <c r="AG626" i="16" s="1"/>
  <c r="AH626" i="16" s="1"/>
  <c r="AS626" i="16" s="1"/>
  <c r="Z626" i="16"/>
  <c r="U627" i="16" s="1"/>
  <c r="AC627" i="16" s="1"/>
  <c r="AQ625" i="16"/>
  <c r="BI577" i="16"/>
  <c r="BG577" i="16"/>
  <c r="BL577" i="16"/>
  <c r="BM577" i="16" s="1"/>
  <c r="AU626" i="16" l="1"/>
  <c r="AV626" i="16" s="1"/>
  <c r="AT626" i="16"/>
  <c r="AW626" i="16" s="1"/>
  <c r="AX626" i="16" s="1"/>
  <c r="AZ626" i="16" s="1"/>
  <c r="AL626" i="16"/>
  <c r="AY626" i="16" s="1"/>
  <c r="AD627" i="16"/>
  <c r="AE627" i="16" s="1"/>
  <c r="W627" i="16"/>
  <c r="Y627" i="16" s="1"/>
  <c r="BC578" i="16"/>
  <c r="BH578" i="16" s="1"/>
  <c r="BN577" i="16"/>
  <c r="BO577" i="16"/>
  <c r="BP577" i="16" s="1"/>
  <c r="AM626" i="16" l="1"/>
  <c r="AN626" i="16" s="1"/>
  <c r="AO626" i="16" s="1"/>
  <c r="AP626" i="16" s="1"/>
  <c r="AR626" i="16" s="1"/>
  <c r="AA627" i="16"/>
  <c r="AK627" i="16" s="1"/>
  <c r="AB627" i="16"/>
  <c r="Z627" i="16"/>
  <c r="AJ600" i="15"/>
  <c r="BQ577" i="16"/>
  <c r="BD578" i="16"/>
  <c r="E576" i="14"/>
  <c r="F576" i="14" s="1"/>
  <c r="H576" i="14" s="1"/>
  <c r="AD485" i="15"/>
  <c r="AQ626" i="16" l="1"/>
  <c r="AF627" i="16"/>
  <c r="AG627" i="16" s="1"/>
  <c r="AH627" i="16" s="1"/>
  <c r="AS627" i="16" s="1"/>
  <c r="U628" i="16"/>
  <c r="AC628" i="16" s="1"/>
  <c r="BJ578" i="16"/>
  <c r="BK578" i="16"/>
  <c r="BE578" i="16"/>
  <c r="BF578" i="16" s="1"/>
  <c r="AT627" i="16" l="1"/>
  <c r="AW627" i="16" s="1"/>
  <c r="AX627" i="16" s="1"/>
  <c r="AZ627" i="16" s="1"/>
  <c r="AU627" i="16"/>
  <c r="AV627" i="16" s="1"/>
  <c r="AL627" i="16"/>
  <c r="AY627" i="16" s="1"/>
  <c r="AD628" i="16"/>
  <c r="W628" i="16"/>
  <c r="BI578" i="16"/>
  <c r="BG578" i="16"/>
  <c r="BL578" i="16"/>
  <c r="BM578" i="16" s="1"/>
  <c r="AM627" i="16" l="1"/>
  <c r="AN627" i="16" s="1"/>
  <c r="AO627" i="16" s="1"/>
  <c r="AA628" i="16"/>
  <c r="AK628" i="16" s="1"/>
  <c r="AE628" i="16"/>
  <c r="Y628" i="16"/>
  <c r="AB628" i="16" s="1"/>
  <c r="BC579" i="16"/>
  <c r="BH579" i="16" s="1"/>
  <c r="BN578" i="16"/>
  <c r="BO578" i="16"/>
  <c r="BP578" i="16" s="1"/>
  <c r="Z628" i="16" l="1"/>
  <c r="U629" i="16" s="1"/>
  <c r="AC629" i="16" s="1"/>
  <c r="BD579" i="16"/>
  <c r="BK579" i="16" s="1"/>
  <c r="AF628" i="16"/>
  <c r="AG628" i="16" s="1"/>
  <c r="AH628" i="16" s="1"/>
  <c r="AS628" i="16" s="1"/>
  <c r="AP627" i="16"/>
  <c r="AR627" i="16" s="1"/>
  <c r="E577" i="14"/>
  <c r="F577" i="14" s="1"/>
  <c r="H577" i="14" s="1"/>
  <c r="AD510" i="15"/>
  <c r="AJ601" i="15"/>
  <c r="BQ578" i="16"/>
  <c r="AT628" i="16" l="1"/>
  <c r="AW628" i="16" s="1"/>
  <c r="AX628" i="16" s="1"/>
  <c r="AZ628" i="16" s="1"/>
  <c r="AU628" i="16"/>
  <c r="AV628" i="16" s="1"/>
  <c r="AL628" i="16"/>
  <c r="AY628" i="16" s="1"/>
  <c r="BJ579" i="16"/>
  <c r="BE579" i="16"/>
  <c r="BF579" i="16" s="1"/>
  <c r="BG579" i="16" s="1"/>
  <c r="AQ627" i="16"/>
  <c r="AD629" i="16"/>
  <c r="W629" i="16"/>
  <c r="AA629" i="16" s="1"/>
  <c r="AK629" i="16" s="1"/>
  <c r="BL579" i="16"/>
  <c r="BM579" i="16" s="1"/>
  <c r="AM628" i="16" l="1"/>
  <c r="AN628" i="16" s="1"/>
  <c r="BI579" i="16"/>
  <c r="BO579" i="16" s="1"/>
  <c r="BP579" i="16" s="1"/>
  <c r="Y629" i="16"/>
  <c r="AE629" i="16"/>
  <c r="BC580" i="16"/>
  <c r="BH580" i="16" s="1"/>
  <c r="BN579" i="16" l="1"/>
  <c r="AD531" i="15" s="1"/>
  <c r="AO628" i="16"/>
  <c r="AP628" i="16" s="1"/>
  <c r="AQ628" i="16" s="1"/>
  <c r="AB629" i="16"/>
  <c r="Z629" i="16"/>
  <c r="E578" i="14"/>
  <c r="F578" i="14" s="1"/>
  <c r="H578" i="14" s="1"/>
  <c r="BD580" i="16"/>
  <c r="AJ602" i="15"/>
  <c r="BQ579" i="16" l="1"/>
  <c r="AF629" i="16"/>
  <c r="U630" i="16"/>
  <c r="AC630" i="16" s="1"/>
  <c r="AR628" i="16"/>
  <c r="BJ580" i="16"/>
  <c r="BK580" i="16"/>
  <c r="BE580" i="16"/>
  <c r="BF580" i="16" s="1"/>
  <c r="AG629" i="16" l="1"/>
  <c r="AL629" i="16" s="1"/>
  <c r="AY629" i="16" s="1"/>
  <c r="AD630" i="16"/>
  <c r="W630" i="16"/>
  <c r="AA630" i="16" s="1"/>
  <c r="AK630" i="16" s="1"/>
  <c r="BI580" i="16"/>
  <c r="BG580" i="16"/>
  <c r="BL580" i="16"/>
  <c r="BM580" i="16" s="1"/>
  <c r="AM629" i="16" l="1"/>
  <c r="AN629" i="16" s="1"/>
  <c r="AO629" i="16" s="1"/>
  <c r="AP629" i="16" s="1"/>
  <c r="AQ629" i="16" s="1"/>
  <c r="AH629" i="16"/>
  <c r="AS629" i="16" s="1"/>
  <c r="Y630" i="16"/>
  <c r="AB630" i="16" s="1"/>
  <c r="AE630" i="16"/>
  <c r="BC581" i="16"/>
  <c r="BH581" i="16" s="1"/>
  <c r="BO580" i="16"/>
  <c r="BP580" i="16" s="1"/>
  <c r="BN580" i="16"/>
  <c r="AU629" i="16" l="1"/>
  <c r="AV629" i="16" s="1"/>
  <c r="AT629" i="16"/>
  <c r="AW629" i="16" s="1"/>
  <c r="BD581" i="16"/>
  <c r="BE581" i="16" s="1"/>
  <c r="BF581" i="16" s="1"/>
  <c r="AF630" i="16"/>
  <c r="AG630" i="16" s="1"/>
  <c r="AH630" i="16" s="1"/>
  <c r="AS630" i="16" s="1"/>
  <c r="AT630" i="16" s="1"/>
  <c r="AR629" i="16"/>
  <c r="Z630" i="16"/>
  <c r="AD534" i="15"/>
  <c r="E579" i="14"/>
  <c r="F579" i="14" s="1"/>
  <c r="H579" i="14" s="1"/>
  <c r="AJ603" i="15"/>
  <c r="BQ580" i="16"/>
  <c r="AX629" i="16" l="1"/>
  <c r="AZ629" i="16" s="1"/>
  <c r="AL630" i="16"/>
  <c r="AY630" i="16" s="1"/>
  <c r="AU630" i="16"/>
  <c r="AV630" i="16" s="1"/>
  <c r="BK581" i="16"/>
  <c r="BL581" i="16" s="1"/>
  <c r="BM581" i="16" s="1"/>
  <c r="BJ581" i="16"/>
  <c r="U631" i="16"/>
  <c r="AC631" i="16" s="1"/>
  <c r="BI581" i="16"/>
  <c r="BG581" i="16"/>
  <c r="AW630" i="16" l="1"/>
  <c r="AX630" i="16" s="1"/>
  <c r="AZ630" i="16" s="1"/>
  <c r="AM630" i="16"/>
  <c r="AN630" i="16" s="1"/>
  <c r="AO630" i="16" s="1"/>
  <c r="AP630" i="16" s="1"/>
  <c r="AR630" i="16" s="1"/>
  <c r="AD631" i="16"/>
  <c r="W631" i="16"/>
  <c r="AA631" i="16" s="1"/>
  <c r="AK631" i="16" s="1"/>
  <c r="BC582" i="16"/>
  <c r="BH582" i="16" s="1"/>
  <c r="BO581" i="16"/>
  <c r="BP581" i="16" s="1"/>
  <c r="BN581" i="16"/>
  <c r="AQ630" i="16" l="1"/>
  <c r="Y631" i="16"/>
  <c r="AE631" i="16"/>
  <c r="AD536" i="15"/>
  <c r="E580" i="14"/>
  <c r="F580" i="14" s="1"/>
  <c r="H580" i="14" s="1"/>
  <c r="AJ604" i="15"/>
  <c r="BQ581" i="16"/>
  <c r="BD582" i="16"/>
  <c r="AB631" i="16" l="1"/>
  <c r="Z631" i="16"/>
  <c r="BJ582" i="16"/>
  <c r="BK582" i="16"/>
  <c r="BE582" i="16"/>
  <c r="BF582" i="16" s="1"/>
  <c r="U632" i="16" l="1"/>
  <c r="AC632" i="16" s="1"/>
  <c r="AF631" i="16"/>
  <c r="AG631" i="16" s="1"/>
  <c r="AH631" i="16" s="1"/>
  <c r="AS631" i="16" s="1"/>
  <c r="BI582" i="16"/>
  <c r="BG582" i="16"/>
  <c r="BL582" i="16"/>
  <c r="BM582" i="16" s="1"/>
  <c r="AL631" i="16" l="1"/>
  <c r="AY631" i="16" s="1"/>
  <c r="AU631" i="16"/>
  <c r="AV631" i="16" s="1"/>
  <c r="AT631" i="16"/>
  <c r="AW631" i="16" s="1"/>
  <c r="AX631" i="16" s="1"/>
  <c r="AZ631" i="16" s="1"/>
  <c r="AD632" i="16"/>
  <c r="W632" i="16"/>
  <c r="AA632" i="16" s="1"/>
  <c r="AK632" i="16" s="1"/>
  <c r="BC583" i="16"/>
  <c r="BH583" i="16" s="1"/>
  <c r="BO582" i="16"/>
  <c r="BP582" i="16" s="1"/>
  <c r="BN582" i="16"/>
  <c r="AM631" i="16" l="1"/>
  <c r="AN631" i="16" s="1"/>
  <c r="AO631" i="16" s="1"/>
  <c r="Y632" i="16"/>
  <c r="AB632" i="16" s="1"/>
  <c r="AE632" i="16"/>
  <c r="AD539" i="15"/>
  <c r="E581" i="14"/>
  <c r="F581" i="14" s="1"/>
  <c r="H581" i="14" s="1"/>
  <c r="BD583" i="16"/>
  <c r="BE583" i="16" s="1"/>
  <c r="BF583" i="16" s="1"/>
  <c r="AJ605" i="15"/>
  <c r="BQ582" i="16"/>
  <c r="Z632" i="16" l="1"/>
  <c r="U633" i="16" s="1"/>
  <c r="AC633" i="16" s="1"/>
  <c r="AF632" i="16"/>
  <c r="AG632" i="16" s="1"/>
  <c r="AP631" i="16"/>
  <c r="AR631" i="16" s="1"/>
  <c r="BI583" i="16"/>
  <c r="BG583" i="16"/>
  <c r="BJ583" i="16"/>
  <c r="BK583" i="16"/>
  <c r="AH632" i="16" l="1"/>
  <c r="AS632" i="16" s="1"/>
  <c r="AT632" i="16" s="1"/>
  <c r="AW632" i="16" s="1"/>
  <c r="AX632" i="16" s="1"/>
  <c r="AZ632" i="16" s="1"/>
  <c r="AL632" i="16"/>
  <c r="AY632" i="16" s="1"/>
  <c r="AQ631" i="16"/>
  <c r="AD633" i="16"/>
  <c r="W633" i="16"/>
  <c r="AA633" i="16" s="1"/>
  <c r="AK633" i="16" s="1"/>
  <c r="BL583" i="16"/>
  <c r="BM583" i="16" s="1"/>
  <c r="BC584" i="16"/>
  <c r="BH584" i="16" s="1"/>
  <c r="BO583" i="16"/>
  <c r="BP583" i="16" s="1"/>
  <c r="AU632" i="16" l="1"/>
  <c r="AV632" i="16" s="1"/>
  <c r="AM632" i="16"/>
  <c r="AN632" i="16" s="1"/>
  <c r="AO632" i="16" s="1"/>
  <c r="AP632" i="16" s="1"/>
  <c r="AR632" i="16" s="1"/>
  <c r="AE633" i="16"/>
  <c r="BN583" i="16"/>
  <c r="BQ583" i="16" s="1"/>
  <c r="Y633" i="16"/>
  <c r="AB633" i="16" s="1"/>
  <c r="AJ606" i="15"/>
  <c r="BD584" i="16"/>
  <c r="AQ632" i="16" l="1"/>
  <c r="AD540" i="15"/>
  <c r="E582" i="14"/>
  <c r="F582" i="14" s="1"/>
  <c r="H582" i="14" s="1"/>
  <c r="AF633" i="16"/>
  <c r="AG633" i="16" s="1"/>
  <c r="AH633" i="16" s="1"/>
  <c r="AS633" i="16" s="1"/>
  <c r="Z633" i="16"/>
  <c r="BJ584" i="16"/>
  <c r="BK584" i="16"/>
  <c r="BE584" i="16"/>
  <c r="BF584" i="16" s="1"/>
  <c r="AT633" i="16" l="1"/>
  <c r="AW633" i="16" s="1"/>
  <c r="AX633" i="16" s="1"/>
  <c r="AZ633" i="16" s="1"/>
  <c r="AU633" i="16"/>
  <c r="AV633" i="16" s="1"/>
  <c r="AL633" i="16"/>
  <c r="AY633" i="16" s="1"/>
  <c r="U634" i="16"/>
  <c r="AC634" i="16" s="1"/>
  <c r="BI584" i="16"/>
  <c r="BG584" i="16"/>
  <c r="BL584" i="16"/>
  <c r="BM584" i="16" s="1"/>
  <c r="AM633" i="16" l="1"/>
  <c r="AN633" i="16" s="1"/>
  <c r="AO633" i="16" s="1"/>
  <c r="AP633" i="16" s="1"/>
  <c r="AQ633" i="16" s="1"/>
  <c r="W634" i="16"/>
  <c r="AA634" i="16" s="1"/>
  <c r="AK634" i="16" s="1"/>
  <c r="AD634" i="16"/>
  <c r="BC585" i="16"/>
  <c r="BH585" i="16" s="1"/>
  <c r="BO584" i="16"/>
  <c r="BP584" i="16" s="1"/>
  <c r="BN584" i="16"/>
  <c r="Y634" i="16" l="1"/>
  <c r="AB634" i="16" s="1"/>
  <c r="AE634" i="16"/>
  <c r="AR633" i="16"/>
  <c r="E583" i="14"/>
  <c r="F583" i="14" s="1"/>
  <c r="H583" i="14" s="1"/>
  <c r="AD542" i="15"/>
  <c r="BD585" i="16"/>
  <c r="AJ607" i="15"/>
  <c r="BQ584" i="16"/>
  <c r="AF634" i="16" l="1"/>
  <c r="AG634" i="16" s="1"/>
  <c r="AH634" i="16" s="1"/>
  <c r="AS634" i="16" s="1"/>
  <c r="Z634" i="16"/>
  <c r="BJ585" i="16"/>
  <c r="BK585" i="16"/>
  <c r="BE585" i="16"/>
  <c r="BF585" i="16" s="1"/>
  <c r="U635" i="16" l="1"/>
  <c r="AC635" i="16" s="1"/>
  <c r="AU634" i="16"/>
  <c r="AV634" i="16" s="1"/>
  <c r="AT634" i="16"/>
  <c r="AW634" i="16" s="1"/>
  <c r="AX634" i="16" s="1"/>
  <c r="AZ634" i="16" s="1"/>
  <c r="AL634" i="16"/>
  <c r="BI585" i="16"/>
  <c r="BG585" i="16"/>
  <c r="BL585" i="16"/>
  <c r="BM585" i="16" s="1"/>
  <c r="AY634" i="16" l="1"/>
  <c r="AM634" i="16"/>
  <c r="AN634" i="16" s="1"/>
  <c r="AO634" i="16" s="1"/>
  <c r="AP634" i="16" s="1"/>
  <c r="AR634" i="16" s="1"/>
  <c r="W635" i="16"/>
  <c r="AD635" i="16"/>
  <c r="AE635" i="16" s="1"/>
  <c r="BC586" i="16"/>
  <c r="BH586" i="16" s="1"/>
  <c r="BN585" i="16"/>
  <c r="BO585" i="16"/>
  <c r="BP585" i="16" s="1"/>
  <c r="AA635" i="16" l="1"/>
  <c r="AK635" i="16" s="1"/>
  <c r="Y635" i="16"/>
  <c r="AQ634" i="16"/>
  <c r="AJ608" i="15"/>
  <c r="BQ585" i="16"/>
  <c r="BD586" i="16"/>
  <c r="AD543" i="15"/>
  <c r="E584" i="14"/>
  <c r="F584" i="14" s="1"/>
  <c r="H584" i="14" s="1"/>
  <c r="AB635" i="16" l="1"/>
  <c r="Z635" i="16"/>
  <c r="BJ586" i="16"/>
  <c r="BK586" i="16"/>
  <c r="BE586" i="16"/>
  <c r="BF586" i="16" s="1"/>
  <c r="U636" i="16" l="1"/>
  <c r="W636" i="16" s="1"/>
  <c r="AA636" i="16" s="1"/>
  <c r="AK636" i="16" s="1"/>
  <c r="AF635" i="16"/>
  <c r="AG635" i="16" s="1"/>
  <c r="BI586" i="16"/>
  <c r="BG586" i="16"/>
  <c r="BL586" i="16"/>
  <c r="BM586" i="16" s="1"/>
  <c r="AH635" i="16" l="1"/>
  <c r="AS635" i="16" s="1"/>
  <c r="AL635" i="16"/>
  <c r="AY635" i="16" s="1"/>
  <c r="AC636" i="16"/>
  <c r="Y636" i="16"/>
  <c r="AB636" i="16" s="1"/>
  <c r="BC587" i="16"/>
  <c r="BH587" i="16" s="1"/>
  <c r="BO586" i="16"/>
  <c r="BP586" i="16" s="1"/>
  <c r="BN586" i="16"/>
  <c r="AM635" i="16" l="1"/>
  <c r="AN635" i="16" s="1"/>
  <c r="AO635" i="16" s="1"/>
  <c r="AP635" i="16" s="1"/>
  <c r="AR635" i="16" s="1"/>
  <c r="AD636" i="16"/>
  <c r="Z636" i="16"/>
  <c r="AU635" i="16"/>
  <c r="AV635" i="16" s="1"/>
  <c r="AT635" i="16"/>
  <c r="AW635" i="16" s="1"/>
  <c r="AX635" i="16" s="1"/>
  <c r="AZ635" i="16" s="1"/>
  <c r="AJ609" i="15"/>
  <c r="BQ586" i="16"/>
  <c r="E585" i="14"/>
  <c r="F585" i="14" s="1"/>
  <c r="H585" i="14" s="1"/>
  <c r="AD548" i="15"/>
  <c r="BD587" i="16"/>
  <c r="BE587" i="16" s="1"/>
  <c r="BF587" i="16" s="1"/>
  <c r="AQ635" i="16" l="1"/>
  <c r="U637" i="16"/>
  <c r="AE636" i="16"/>
  <c r="AF636" i="16" s="1"/>
  <c r="AG636" i="16" s="1"/>
  <c r="BI587" i="16"/>
  <c r="BG587" i="16"/>
  <c r="BJ587" i="16"/>
  <c r="BK587" i="16"/>
  <c r="W637" i="16" l="1"/>
  <c r="AA637" i="16" s="1"/>
  <c r="AK637" i="16" s="1"/>
  <c r="AC637" i="16"/>
  <c r="AH636" i="16"/>
  <c r="AS636" i="16" s="1"/>
  <c r="AL636" i="16"/>
  <c r="BL587" i="16"/>
  <c r="BM587" i="16" s="1"/>
  <c r="BC588" i="16"/>
  <c r="BH588" i="16" s="1"/>
  <c r="BO587" i="16"/>
  <c r="BP587" i="16" s="1"/>
  <c r="AY636" i="16" l="1"/>
  <c r="AD637" i="16"/>
  <c r="AM636" i="16"/>
  <c r="AN636" i="16" s="1"/>
  <c r="AO636" i="16" s="1"/>
  <c r="AP636" i="16" s="1"/>
  <c r="AQ636" i="16" s="1"/>
  <c r="AT636" i="16"/>
  <c r="AW636" i="16" s="1"/>
  <c r="AX636" i="16" s="1"/>
  <c r="AZ636" i="16" s="1"/>
  <c r="AU636" i="16"/>
  <c r="AV636" i="16" s="1"/>
  <c r="Y637" i="16"/>
  <c r="BN587" i="16"/>
  <c r="AD550" i="15" s="1"/>
  <c r="AJ610" i="15"/>
  <c r="BD588" i="16"/>
  <c r="E586" i="14" l="1"/>
  <c r="F586" i="14" s="1"/>
  <c r="H586" i="14" s="1"/>
  <c r="BQ587" i="16"/>
  <c r="AE637" i="16"/>
  <c r="AB637" i="16"/>
  <c r="Z637" i="16"/>
  <c r="AR636" i="16"/>
  <c r="BJ588" i="16"/>
  <c r="BK588" i="16"/>
  <c r="BE588" i="16"/>
  <c r="BF588" i="16" s="1"/>
  <c r="AF637" i="16" l="1"/>
  <c r="AG637" i="16" s="1"/>
  <c r="AL637" i="16" s="1"/>
  <c r="AY637" i="16" s="1"/>
  <c r="U638" i="16"/>
  <c r="W638" i="16" s="1"/>
  <c r="AA638" i="16" s="1"/>
  <c r="AK638" i="16" s="1"/>
  <c r="BI588" i="16"/>
  <c r="BG588" i="16"/>
  <c r="BL588" i="16"/>
  <c r="BM588" i="16" s="1"/>
  <c r="AC638" i="16" l="1"/>
  <c r="Y638" i="16"/>
  <c r="AB638" i="16" s="1"/>
  <c r="AH637" i="16"/>
  <c r="AS637" i="16" s="1"/>
  <c r="AM637" i="16"/>
  <c r="AN637" i="16" s="1"/>
  <c r="AO637" i="16" s="1"/>
  <c r="BC589" i="16"/>
  <c r="BH589" i="16" s="1"/>
  <c r="BN588" i="16"/>
  <c r="BO588" i="16"/>
  <c r="BP588" i="16" s="1"/>
  <c r="Z638" i="16" l="1"/>
  <c r="U639" i="16" s="1"/>
  <c r="AC639" i="16" s="1"/>
  <c r="AT637" i="16"/>
  <c r="AW637" i="16" s="1"/>
  <c r="AX637" i="16" s="1"/>
  <c r="AZ637" i="16" s="1"/>
  <c r="AU637" i="16"/>
  <c r="AV637" i="16" s="1"/>
  <c r="AP637" i="16"/>
  <c r="AR637" i="16" s="1"/>
  <c r="AD638" i="16"/>
  <c r="BD589" i="16"/>
  <c r="BE589" i="16" s="1"/>
  <c r="AJ611" i="15"/>
  <c r="BQ588" i="16"/>
  <c r="E587" i="14"/>
  <c r="F587" i="14" s="1"/>
  <c r="H587" i="14" s="1"/>
  <c r="AD552" i="15"/>
  <c r="AQ637" i="16" l="1"/>
  <c r="AE638" i="16"/>
  <c r="AF638" i="16" s="1"/>
  <c r="AG638" i="16" s="1"/>
  <c r="W639" i="16"/>
  <c r="AA639" i="16" s="1"/>
  <c r="AK639" i="16" s="1"/>
  <c r="BF589" i="16"/>
  <c r="BG589" i="16" s="1"/>
  <c r="BJ589" i="16"/>
  <c r="BK589" i="16"/>
  <c r="AD639" i="16" l="1"/>
  <c r="AE639" i="16" s="1"/>
  <c r="AH638" i="16"/>
  <c r="AS638" i="16" s="1"/>
  <c r="AL638" i="16"/>
  <c r="BI589" i="16"/>
  <c r="BO589" i="16" s="1"/>
  <c r="BP589" i="16" s="1"/>
  <c r="Y639" i="16"/>
  <c r="BL589" i="16"/>
  <c r="BM589" i="16" s="1"/>
  <c r="BC590" i="16"/>
  <c r="AB639" i="16" l="1"/>
  <c r="Z639" i="16"/>
  <c r="AY638" i="16"/>
  <c r="AM638" i="16"/>
  <c r="AT638" i="16"/>
  <c r="AW638" i="16" s="1"/>
  <c r="AX638" i="16" s="1"/>
  <c r="AZ638" i="16" s="1"/>
  <c r="AU638" i="16"/>
  <c r="AV638" i="16" s="1"/>
  <c r="BN589" i="16"/>
  <c r="E588" i="14" s="1"/>
  <c r="F588" i="14" s="1"/>
  <c r="H588" i="14" s="1"/>
  <c r="BH590" i="16"/>
  <c r="BD590" i="16"/>
  <c r="AJ612" i="15"/>
  <c r="U640" i="16" l="1"/>
  <c r="AC640" i="16" s="1"/>
  <c r="AD640" i="16" s="1"/>
  <c r="AE640" i="16" s="1"/>
  <c r="AN638" i="16"/>
  <c r="AF639" i="16"/>
  <c r="AG639" i="16" s="1"/>
  <c r="AL639" i="16" s="1"/>
  <c r="BQ589" i="16"/>
  <c r="AD533" i="15"/>
  <c r="BJ590" i="16"/>
  <c r="BK590" i="16"/>
  <c r="BE590" i="16"/>
  <c r="BF590" i="16" s="1"/>
  <c r="AY639" i="16" l="1"/>
  <c r="AO638" i="16"/>
  <c r="AP638" i="16" s="1"/>
  <c r="AQ638" i="16" s="1"/>
  <c r="W640" i="16"/>
  <c r="AA640" i="16" s="1"/>
  <c r="AK640" i="16" s="1"/>
  <c r="AH639" i="16"/>
  <c r="AS639" i="16" s="1"/>
  <c r="AM639" i="16"/>
  <c r="AN639" i="16" s="1"/>
  <c r="AO639" i="16" s="1"/>
  <c r="AP639" i="16" s="1"/>
  <c r="AQ639" i="16" s="1"/>
  <c r="BI590" i="16"/>
  <c r="BG590" i="16"/>
  <c r="BL590" i="16"/>
  <c r="BM590" i="16" s="1"/>
  <c r="Y640" i="16" l="1"/>
  <c r="AB640" i="16" s="1"/>
  <c r="AF640" i="16" s="1"/>
  <c r="AT639" i="16"/>
  <c r="AW639" i="16" s="1"/>
  <c r="AX639" i="16" s="1"/>
  <c r="AZ639" i="16" s="1"/>
  <c r="AU639" i="16"/>
  <c r="AR639" i="16"/>
  <c r="Z640" i="16"/>
  <c r="AR638" i="16"/>
  <c r="BC591" i="16"/>
  <c r="BH591" i="16" s="1"/>
  <c r="BO590" i="16"/>
  <c r="BP590" i="16" s="1"/>
  <c r="BN590" i="16"/>
  <c r="AV639" i="16" l="1"/>
  <c r="AG640" i="16"/>
  <c r="U641" i="16"/>
  <c r="W641" i="16" s="1"/>
  <c r="BD591" i="16"/>
  <c r="BJ591" i="16" s="1"/>
  <c r="E589" i="14"/>
  <c r="F589" i="14" s="1"/>
  <c r="H589" i="14" s="1"/>
  <c r="AD553" i="15"/>
  <c r="AJ613" i="15"/>
  <c r="BQ590" i="16"/>
  <c r="AA641" i="16" l="1"/>
  <c r="AK641" i="16" s="1"/>
  <c r="AL640" i="16"/>
  <c r="AY640" i="16" s="1"/>
  <c r="AH640" i="16"/>
  <c r="AS640" i="16" s="1"/>
  <c r="AC641" i="16"/>
  <c r="Y641" i="16"/>
  <c r="AB641" i="16" s="1"/>
  <c r="BE591" i="16"/>
  <c r="BF591" i="16" s="1"/>
  <c r="BG591" i="16" s="1"/>
  <c r="BK591" i="16"/>
  <c r="BL591" i="16" s="1"/>
  <c r="BM591" i="16" s="1"/>
  <c r="AM640" i="16" l="1"/>
  <c r="AN640" i="16" s="1"/>
  <c r="AO640" i="16" s="1"/>
  <c r="Z641" i="16"/>
  <c r="AD641" i="16"/>
  <c r="AT640" i="16"/>
  <c r="AW640" i="16" s="1"/>
  <c r="AU640" i="16"/>
  <c r="AV640" i="16" s="1"/>
  <c r="BI591" i="16"/>
  <c r="BN591" i="16" s="1"/>
  <c r="BC592" i="16"/>
  <c r="BH592" i="16" s="1"/>
  <c r="BO591" i="16" l="1"/>
  <c r="BP591" i="16" s="1"/>
  <c r="BQ591" i="16" s="1"/>
  <c r="AX640" i="16"/>
  <c r="AZ640" i="16" s="1"/>
  <c r="AE641" i="16"/>
  <c r="U642" i="16"/>
  <c r="AP640" i="16"/>
  <c r="AR640" i="16" s="1"/>
  <c r="BD592" i="16"/>
  <c r="BJ592" i="16" s="1"/>
  <c r="E590" i="14"/>
  <c r="F590" i="14" s="1"/>
  <c r="H590" i="14" s="1"/>
  <c r="AD556" i="15"/>
  <c r="AJ614" i="15" l="1"/>
  <c r="AC642" i="16"/>
  <c r="AF641" i="16"/>
  <c r="AG641" i="16" s="1"/>
  <c r="W642" i="16"/>
  <c r="AA642" i="16" s="1"/>
  <c r="AK642" i="16" s="1"/>
  <c r="AQ640" i="16"/>
  <c r="BE592" i="16"/>
  <c r="BF592" i="16" s="1"/>
  <c r="BG592" i="16" s="1"/>
  <c r="BK592" i="16"/>
  <c r="BL592" i="16" s="1"/>
  <c r="BM592" i="16" s="1"/>
  <c r="Y642" i="16" l="1"/>
  <c r="AB642" i="16" s="1"/>
  <c r="AH641" i="16"/>
  <c r="AS641" i="16" s="1"/>
  <c r="AL641" i="16"/>
  <c r="AY641" i="16" s="1"/>
  <c r="AD642" i="16"/>
  <c r="AE642" i="16" s="1"/>
  <c r="BI592" i="16"/>
  <c r="BN592" i="16" s="1"/>
  <c r="BC593" i="16"/>
  <c r="BH593" i="16" s="1"/>
  <c r="Z642" i="16" l="1"/>
  <c r="U643" i="16" s="1"/>
  <c r="AC643" i="16" s="1"/>
  <c r="AD643" i="16" s="1"/>
  <c r="AE643" i="16" s="1"/>
  <c r="AF642" i="16"/>
  <c r="AG642" i="16" s="1"/>
  <c r="AL642" i="16" s="1"/>
  <c r="AY642" i="16" s="1"/>
  <c r="BO592" i="16"/>
  <c r="BP592" i="16" s="1"/>
  <c r="BQ592" i="16" s="1"/>
  <c r="AM641" i="16"/>
  <c r="AN641" i="16" s="1"/>
  <c r="AO641" i="16" s="1"/>
  <c r="AP641" i="16" s="1"/>
  <c r="AR641" i="16" s="1"/>
  <c r="AT641" i="16"/>
  <c r="AW641" i="16" s="1"/>
  <c r="AX641" i="16" s="1"/>
  <c r="AZ641" i="16" s="1"/>
  <c r="AU641" i="16"/>
  <c r="AV641" i="16" s="1"/>
  <c r="BD593" i="16"/>
  <c r="AD562" i="15"/>
  <c r="E591" i="14"/>
  <c r="F591" i="14" s="1"/>
  <c r="H591" i="14" s="1"/>
  <c r="AH642" i="16" l="1"/>
  <c r="AS642" i="16" s="1"/>
  <c r="AT642" i="16" s="1"/>
  <c r="AW642" i="16" s="1"/>
  <c r="AX642" i="16" s="1"/>
  <c r="AZ642" i="16" s="1"/>
  <c r="W643" i="16"/>
  <c r="AA643" i="16" s="1"/>
  <c r="AK643" i="16" s="1"/>
  <c r="AJ615" i="15"/>
  <c r="AQ641" i="16"/>
  <c r="AM642" i="16"/>
  <c r="AN642" i="16" s="1"/>
  <c r="AO642" i="16" s="1"/>
  <c r="BJ593" i="16"/>
  <c r="BK593" i="16"/>
  <c r="BE593" i="16"/>
  <c r="BF593" i="16" s="1"/>
  <c r="AU642" i="16" l="1"/>
  <c r="AV642" i="16" s="1"/>
  <c r="Y643" i="16"/>
  <c r="AP642" i="16"/>
  <c r="AR642" i="16" s="1"/>
  <c r="BI593" i="16"/>
  <c r="BG593" i="16"/>
  <c r="BL593" i="16"/>
  <c r="BM593" i="16" s="1"/>
  <c r="AB643" i="16" l="1"/>
  <c r="AF643" i="16" s="1"/>
  <c r="AG643" i="16" s="1"/>
  <c r="AH643" i="16" s="1"/>
  <c r="AS643" i="16" s="1"/>
  <c r="AT643" i="16" s="1"/>
  <c r="AW643" i="16" s="1"/>
  <c r="AX643" i="16" s="1"/>
  <c r="AZ643" i="16" s="1"/>
  <c r="Z643" i="16"/>
  <c r="U644" i="16" s="1"/>
  <c r="AC644" i="16" s="1"/>
  <c r="AD644" i="16" s="1"/>
  <c r="AQ642" i="16"/>
  <c r="BC594" i="16"/>
  <c r="BH594" i="16" s="1"/>
  <c r="BO593" i="16"/>
  <c r="BP593" i="16" s="1"/>
  <c r="BN593" i="16"/>
  <c r="AU643" i="16" l="1"/>
  <c r="AV643" i="16" s="1"/>
  <c r="AL643" i="16"/>
  <c r="AY643" i="16" s="1"/>
  <c r="W644" i="16"/>
  <c r="AA644" i="16" s="1"/>
  <c r="AK644" i="16" s="1"/>
  <c r="AE644" i="16"/>
  <c r="E592" i="14"/>
  <c r="F592" i="14" s="1"/>
  <c r="H592" i="14" s="1"/>
  <c r="AD564" i="15"/>
  <c r="AJ616" i="15"/>
  <c r="BQ593" i="16"/>
  <c r="BD594" i="16"/>
  <c r="AM643" i="16" l="1"/>
  <c r="AN643" i="16" s="1"/>
  <c r="AO643" i="16" s="1"/>
  <c r="AP643" i="16" s="1"/>
  <c r="AR643" i="16" s="1"/>
  <c r="Y644" i="16"/>
  <c r="AB644" i="16" s="1"/>
  <c r="BJ594" i="16"/>
  <c r="BK594" i="16"/>
  <c r="BE594" i="16"/>
  <c r="BF594" i="16" s="1"/>
  <c r="Z644" i="16" l="1"/>
  <c r="U645" i="16" s="1"/>
  <c r="AC645" i="16" s="1"/>
  <c r="AQ643" i="16"/>
  <c r="AF644" i="16"/>
  <c r="BI594" i="16"/>
  <c r="BG594" i="16"/>
  <c r="BL594" i="16"/>
  <c r="BM594" i="16" s="1"/>
  <c r="AG644" i="16" l="1"/>
  <c r="AL644" i="16" s="1"/>
  <c r="AY644" i="16" s="1"/>
  <c r="AD645" i="16"/>
  <c r="W645" i="16"/>
  <c r="AA645" i="16" s="1"/>
  <c r="AK645" i="16" s="1"/>
  <c r="BC595" i="16"/>
  <c r="BH595" i="16" s="1"/>
  <c r="BO594" i="16"/>
  <c r="BP594" i="16" s="1"/>
  <c r="BN594" i="16"/>
  <c r="AM644" i="16" l="1"/>
  <c r="AN644" i="16" s="1"/>
  <c r="AO644" i="16" s="1"/>
  <c r="AP644" i="16" s="1"/>
  <c r="AH644" i="16"/>
  <c r="AS644" i="16" s="1"/>
  <c r="AE645" i="16"/>
  <c r="BD595" i="16"/>
  <c r="BK595" i="16" s="1"/>
  <c r="Y645" i="16"/>
  <c r="AJ617" i="15"/>
  <c r="BQ594" i="16"/>
  <c r="E593" i="14"/>
  <c r="F593" i="14" s="1"/>
  <c r="H593" i="14" s="1"/>
  <c r="AD566" i="15"/>
  <c r="AU644" i="16" l="1"/>
  <c r="AV644" i="16" s="1"/>
  <c r="AT644" i="16"/>
  <c r="AW644" i="16" s="1"/>
  <c r="AR644" i="16"/>
  <c r="BE595" i="16"/>
  <c r="BF595" i="16" s="1"/>
  <c r="BI595" i="16" s="1"/>
  <c r="BJ595" i="16"/>
  <c r="AQ644" i="16"/>
  <c r="AB645" i="16"/>
  <c r="Z645" i="16"/>
  <c r="BL595" i="16"/>
  <c r="BM595" i="16" s="1"/>
  <c r="AX644" i="16" l="1"/>
  <c r="AZ644" i="16" s="1"/>
  <c r="BG595" i="16"/>
  <c r="BC596" i="16" s="1"/>
  <c r="BH596" i="16" s="1"/>
  <c r="U646" i="16"/>
  <c r="AC646" i="16" s="1"/>
  <c r="AF645" i="16"/>
  <c r="AG645" i="16" s="1"/>
  <c r="AH645" i="16" s="1"/>
  <c r="AS645" i="16" s="1"/>
  <c r="AT645" i="16" s="1"/>
  <c r="BN595" i="16"/>
  <c r="BO595" i="16"/>
  <c r="BP595" i="16" s="1"/>
  <c r="AW645" i="16" l="1"/>
  <c r="AX645" i="16" s="1"/>
  <c r="AZ645" i="16" s="1"/>
  <c r="AU645" i="16"/>
  <c r="AV645" i="16" s="1"/>
  <c r="AL645" i="16"/>
  <c r="AM645" i="16" s="1"/>
  <c r="AD646" i="16"/>
  <c r="W646" i="16"/>
  <c r="AA646" i="16" s="1"/>
  <c r="AK646" i="16" s="1"/>
  <c r="BD596" i="16"/>
  <c r="BJ596" i="16" s="1"/>
  <c r="AJ618" i="15"/>
  <c r="BQ595" i="16"/>
  <c r="AD569" i="15"/>
  <c r="E594" i="14"/>
  <c r="F594" i="14" s="1"/>
  <c r="H594" i="14" s="1"/>
  <c r="AY645" i="16" l="1"/>
  <c r="Y646" i="16"/>
  <c r="AB646" i="16" s="1"/>
  <c r="BK596" i="16"/>
  <c r="BL596" i="16" s="1"/>
  <c r="BM596" i="16" s="1"/>
  <c r="BE596" i="16"/>
  <c r="BF596" i="16" s="1"/>
  <c r="BI596" i="16" s="1"/>
  <c r="AE646" i="16"/>
  <c r="AN645" i="16"/>
  <c r="AO645" i="16" s="1"/>
  <c r="AP645" i="16" s="1"/>
  <c r="AQ645" i="16" s="1"/>
  <c r="Z646" i="16" l="1"/>
  <c r="U647" i="16" s="1"/>
  <c r="AC647" i="16" s="1"/>
  <c r="BG596" i="16"/>
  <c r="BC597" i="16" s="1"/>
  <c r="AF646" i="16"/>
  <c r="AG646" i="16" s="1"/>
  <c r="AH646" i="16" s="1"/>
  <c r="AS646" i="16" s="1"/>
  <c r="AR645" i="16"/>
  <c r="BO596" i="16"/>
  <c r="BP596" i="16" s="1"/>
  <c r="BN596" i="16"/>
  <c r="AT646" i="16" l="1"/>
  <c r="AW646" i="16" s="1"/>
  <c r="AX646" i="16" s="1"/>
  <c r="AZ646" i="16" s="1"/>
  <c r="AU646" i="16"/>
  <c r="AV646" i="16" s="1"/>
  <c r="W647" i="16"/>
  <c r="AA647" i="16" s="1"/>
  <c r="AK647" i="16" s="1"/>
  <c r="AL646" i="16"/>
  <c r="AD647" i="16"/>
  <c r="AE647" i="16" s="1"/>
  <c r="BD597" i="16"/>
  <c r="BE597" i="16" s="1"/>
  <c r="BF597" i="16" s="1"/>
  <c r="E595" i="14"/>
  <c r="F595" i="14" s="1"/>
  <c r="H595" i="14" s="1"/>
  <c r="AD571" i="15"/>
  <c r="BH597" i="16"/>
  <c r="AJ619" i="15"/>
  <c r="BQ596" i="16"/>
  <c r="Y647" i="16" l="1"/>
  <c r="AB647" i="16" s="1"/>
  <c r="AF647" i="16" s="1"/>
  <c r="AG647" i="16" s="1"/>
  <c r="AH647" i="16" s="1"/>
  <c r="AS647" i="16" s="1"/>
  <c r="AT647" i="16" s="1"/>
  <c r="AW647" i="16" s="1"/>
  <c r="AX647" i="16" s="1"/>
  <c r="AZ647" i="16" s="1"/>
  <c r="AM646" i="16"/>
  <c r="AN646" i="16" s="1"/>
  <c r="AY646" i="16"/>
  <c r="BI597" i="16"/>
  <c r="BG597" i="16"/>
  <c r="BJ597" i="16"/>
  <c r="BK597" i="16"/>
  <c r="Z647" i="16" l="1"/>
  <c r="U648" i="16" s="1"/>
  <c r="AC648" i="16" s="1"/>
  <c r="AD648" i="16" s="1"/>
  <c r="AO646" i="16"/>
  <c r="AP646" i="16" s="1"/>
  <c r="AQ646" i="16" s="1"/>
  <c r="AU647" i="16"/>
  <c r="AV647" i="16" s="1"/>
  <c r="AL647" i="16"/>
  <c r="AY647" i="16" s="1"/>
  <c r="BL597" i="16"/>
  <c r="BM597" i="16" s="1"/>
  <c r="BC598" i="16"/>
  <c r="BH598" i="16" s="1"/>
  <c r="BO597" i="16"/>
  <c r="BP597" i="16" s="1"/>
  <c r="W648" i="16" l="1"/>
  <c r="AA648" i="16" s="1"/>
  <c r="AK648" i="16" s="1"/>
  <c r="AR646" i="16"/>
  <c r="AM647" i="16"/>
  <c r="AN647" i="16" s="1"/>
  <c r="AO647" i="16" s="1"/>
  <c r="AP647" i="16" s="1"/>
  <c r="AR647" i="16" s="1"/>
  <c r="BN597" i="16"/>
  <c r="AD572" i="15" s="1"/>
  <c r="AE648" i="16"/>
  <c r="AJ620" i="15"/>
  <c r="BD598" i="16"/>
  <c r="Y648" i="16" l="1"/>
  <c r="AB648" i="16" s="1"/>
  <c r="Z648" i="16"/>
  <c r="U649" i="16" s="1"/>
  <c r="AC649" i="16" s="1"/>
  <c r="E596" i="14"/>
  <c r="F596" i="14" s="1"/>
  <c r="H596" i="14" s="1"/>
  <c r="BQ597" i="16"/>
  <c r="AQ647" i="16"/>
  <c r="AF648" i="16"/>
  <c r="AG648" i="16" s="1"/>
  <c r="AH648" i="16" s="1"/>
  <c r="AS648" i="16" s="1"/>
  <c r="BJ598" i="16"/>
  <c r="BK598" i="16"/>
  <c r="BE598" i="16"/>
  <c r="BF598" i="16" s="1"/>
  <c r="AT648" i="16" l="1"/>
  <c r="AW648" i="16" s="1"/>
  <c r="AX648" i="16" s="1"/>
  <c r="AZ648" i="16" s="1"/>
  <c r="AU648" i="16"/>
  <c r="AV648" i="16" s="1"/>
  <c r="AL648" i="16"/>
  <c r="AY648" i="16" s="1"/>
  <c r="AD649" i="16"/>
  <c r="W649" i="16"/>
  <c r="AA649" i="16" s="1"/>
  <c r="AK649" i="16" s="1"/>
  <c r="BI598" i="16"/>
  <c r="BG598" i="16"/>
  <c r="BL598" i="16"/>
  <c r="BM598" i="16" s="1"/>
  <c r="AM648" i="16" l="1"/>
  <c r="AN648" i="16" s="1"/>
  <c r="AO648" i="16" s="1"/>
  <c r="AP648" i="16" s="1"/>
  <c r="AR648" i="16" s="1"/>
  <c r="Y649" i="16"/>
  <c r="AB649" i="16" s="1"/>
  <c r="AE649" i="16"/>
  <c r="BC599" i="16"/>
  <c r="BH599" i="16" s="1"/>
  <c r="BO598" i="16"/>
  <c r="BP598" i="16" s="1"/>
  <c r="BN598" i="16"/>
  <c r="Z649" i="16" l="1"/>
  <c r="U650" i="16" s="1"/>
  <c r="AC650" i="16" s="1"/>
  <c r="AD650" i="16" s="1"/>
  <c r="AE650" i="16" s="1"/>
  <c r="AF649" i="16"/>
  <c r="AG649" i="16" s="1"/>
  <c r="AH649" i="16" s="1"/>
  <c r="AS649" i="16" s="1"/>
  <c r="BD599" i="16"/>
  <c r="BE599" i="16" s="1"/>
  <c r="AQ648" i="16"/>
  <c r="E597" i="14"/>
  <c r="F597" i="14" s="1"/>
  <c r="H597" i="14" s="1"/>
  <c r="AD575" i="15"/>
  <c r="AJ621" i="15"/>
  <c r="BQ598" i="16"/>
  <c r="AT649" i="16" l="1"/>
  <c r="AW649" i="16" s="1"/>
  <c r="AX649" i="16" s="1"/>
  <c r="AZ649" i="16" s="1"/>
  <c r="AU649" i="16"/>
  <c r="AV649" i="16" s="1"/>
  <c r="AL649" i="16"/>
  <c r="AY649" i="16" s="1"/>
  <c r="W650" i="16"/>
  <c r="AA650" i="16" s="1"/>
  <c r="AK650" i="16" s="1"/>
  <c r="BJ599" i="16"/>
  <c r="BK599" i="16"/>
  <c r="BL599" i="16" s="1"/>
  <c r="BM599" i="16" s="1"/>
  <c r="BF599" i="16"/>
  <c r="BI599" i="16" s="1"/>
  <c r="Y650" i="16" l="1"/>
  <c r="AB650" i="16" s="1"/>
  <c r="AM649" i="16"/>
  <c r="AN649" i="16" s="1"/>
  <c r="AO649" i="16" s="1"/>
  <c r="AP649" i="16" s="1"/>
  <c r="AR649" i="16" s="1"/>
  <c r="BG599" i="16"/>
  <c r="BC600" i="16" s="1"/>
  <c r="BH600" i="16" s="1"/>
  <c r="BO599" i="16"/>
  <c r="BP599" i="16" s="1"/>
  <c r="BN599" i="16"/>
  <c r="Z650" i="16" l="1"/>
  <c r="AF650" i="16"/>
  <c r="U651" i="16"/>
  <c r="AC651" i="16" s="1"/>
  <c r="AQ649" i="16"/>
  <c r="BD600" i="16"/>
  <c r="BE600" i="16" s="1"/>
  <c r="BF600" i="16" s="1"/>
  <c r="AJ622" i="15"/>
  <c r="BQ599" i="16"/>
  <c r="E598" i="14"/>
  <c r="F598" i="14" s="1"/>
  <c r="H598" i="14" s="1"/>
  <c r="AD578" i="15"/>
  <c r="AG650" i="16" l="1"/>
  <c r="AL650" i="16" s="1"/>
  <c r="AM650" i="16" s="1"/>
  <c r="AN650" i="16" s="1"/>
  <c r="AO650" i="16" s="1"/>
  <c r="AD651" i="16"/>
  <c r="W651" i="16"/>
  <c r="AA651" i="16" s="1"/>
  <c r="AK651" i="16" s="1"/>
  <c r="BI600" i="16"/>
  <c r="BG600" i="16"/>
  <c r="BJ600" i="16"/>
  <c r="BK600" i="16"/>
  <c r="AY650" i="16" l="1"/>
  <c r="AH650" i="16"/>
  <c r="AS650" i="16" s="1"/>
  <c r="AE651" i="16"/>
  <c r="AP650" i="16"/>
  <c r="Y651" i="16"/>
  <c r="AB651" i="16" s="1"/>
  <c r="BL600" i="16"/>
  <c r="BM600" i="16" s="1"/>
  <c r="BC601" i="16"/>
  <c r="BH601" i="16" s="1"/>
  <c r="BO600" i="16"/>
  <c r="BP600" i="16" s="1"/>
  <c r="AR650" i="16" l="1"/>
  <c r="AT650" i="16"/>
  <c r="AW650" i="16" s="1"/>
  <c r="AU650" i="16"/>
  <c r="AV650" i="16" s="1"/>
  <c r="AQ650" i="16"/>
  <c r="BN600" i="16"/>
  <c r="BQ600" i="16" s="1"/>
  <c r="AF651" i="16"/>
  <c r="AG651" i="16" s="1"/>
  <c r="AH651" i="16" s="1"/>
  <c r="AS651" i="16" s="1"/>
  <c r="AT651" i="16" s="1"/>
  <c r="Z651" i="16"/>
  <c r="AJ623" i="15"/>
  <c r="BD601" i="16"/>
  <c r="AL651" i="16" l="1"/>
  <c r="AY651" i="16" s="1"/>
  <c r="AU651" i="16"/>
  <c r="AV651" i="16" s="1"/>
  <c r="AX650" i="16"/>
  <c r="AZ650" i="16" s="1"/>
  <c r="E599" i="14"/>
  <c r="F599" i="14" s="1"/>
  <c r="H599" i="14" s="1"/>
  <c r="AD546" i="15"/>
  <c r="U652" i="16"/>
  <c r="AC652" i="16" s="1"/>
  <c r="BJ601" i="16"/>
  <c r="BK601" i="16"/>
  <c r="BE601" i="16"/>
  <c r="BF601" i="16" s="1"/>
  <c r="AM651" i="16" l="1"/>
  <c r="AN651" i="16" s="1"/>
  <c r="AO651" i="16" s="1"/>
  <c r="AP651" i="16" s="1"/>
  <c r="AQ651" i="16" s="1"/>
  <c r="AW651" i="16"/>
  <c r="AX651" i="16" s="1"/>
  <c r="AZ651" i="16" s="1"/>
  <c r="AR651" i="16"/>
  <c r="AD652" i="16"/>
  <c r="W652" i="16"/>
  <c r="BI601" i="16"/>
  <c r="BG601" i="16"/>
  <c r="BL601" i="16"/>
  <c r="BM601" i="16" s="1"/>
  <c r="AA652" i="16" l="1"/>
  <c r="AK652" i="16" s="1"/>
  <c r="Y652" i="16"/>
  <c r="AB652" i="16" s="1"/>
  <c r="AE652" i="16"/>
  <c r="BC602" i="16"/>
  <c r="BH602" i="16" s="1"/>
  <c r="BN601" i="16"/>
  <c r="BO601" i="16"/>
  <c r="BP601" i="16" s="1"/>
  <c r="Z652" i="16" l="1"/>
  <c r="U653" i="16" s="1"/>
  <c r="AC653" i="16" s="1"/>
  <c r="BD602" i="16"/>
  <c r="BE602" i="16" s="1"/>
  <c r="AF652" i="16"/>
  <c r="AG652" i="16" s="1"/>
  <c r="AH652" i="16" s="1"/>
  <c r="AS652" i="16" s="1"/>
  <c r="AJ624" i="15"/>
  <c r="BQ601" i="16"/>
  <c r="E600" i="14"/>
  <c r="F600" i="14" s="1"/>
  <c r="H600" i="14" s="1"/>
  <c r="AD576" i="15"/>
  <c r="AU652" i="16" l="1"/>
  <c r="AV652" i="16" s="1"/>
  <c r="AT652" i="16"/>
  <c r="AW652" i="16" s="1"/>
  <c r="AX652" i="16" s="1"/>
  <c r="AZ652" i="16" s="1"/>
  <c r="AL652" i="16"/>
  <c r="AY652" i="16" s="1"/>
  <c r="BJ602" i="16"/>
  <c r="BF602" i="16"/>
  <c r="BI602" i="16" s="1"/>
  <c r="AD653" i="16"/>
  <c r="BK602" i="16"/>
  <c r="BL602" i="16" s="1"/>
  <c r="BM602" i="16" s="1"/>
  <c r="W653" i="16"/>
  <c r="BG602" i="16" l="1"/>
  <c r="AM652" i="16"/>
  <c r="AN652" i="16" s="1"/>
  <c r="AO652" i="16" s="1"/>
  <c r="AA653" i="16"/>
  <c r="AK653" i="16" s="1"/>
  <c r="Y653" i="16"/>
  <c r="AB653" i="16" s="1"/>
  <c r="AE653" i="16"/>
  <c r="BC603" i="16"/>
  <c r="BH603" i="16" s="1"/>
  <c r="BN602" i="16"/>
  <c r="BO602" i="16"/>
  <c r="BP602" i="16" s="1"/>
  <c r="Z653" i="16" l="1"/>
  <c r="U654" i="16" s="1"/>
  <c r="AC654" i="16" s="1"/>
  <c r="AP652" i="16"/>
  <c r="AR652" i="16" s="1"/>
  <c r="AF653" i="16"/>
  <c r="AG653" i="16" s="1"/>
  <c r="AH653" i="16" s="1"/>
  <c r="AS653" i="16" s="1"/>
  <c r="AJ625" i="15"/>
  <c r="BQ602" i="16"/>
  <c r="BD603" i="16"/>
  <c r="E601" i="14"/>
  <c r="F601" i="14" s="1"/>
  <c r="H601" i="14" s="1"/>
  <c r="AD582" i="15"/>
  <c r="AL653" i="16" l="1"/>
  <c r="AM653" i="16" s="1"/>
  <c r="AT653" i="16"/>
  <c r="AW653" i="16" s="1"/>
  <c r="AX653" i="16" s="1"/>
  <c r="AZ653" i="16" s="1"/>
  <c r="AU653" i="16"/>
  <c r="AV653" i="16" s="1"/>
  <c r="AD654" i="16"/>
  <c r="W654" i="16"/>
  <c r="AA654" i="16" s="1"/>
  <c r="AK654" i="16" s="1"/>
  <c r="AQ652" i="16"/>
  <c r="BJ603" i="16"/>
  <c r="BK603" i="16"/>
  <c r="BE603" i="16"/>
  <c r="BF603" i="16" s="1"/>
  <c r="AY653" i="16" l="1"/>
  <c r="Y654" i="16"/>
  <c r="AB654" i="16" s="1"/>
  <c r="AN653" i="16"/>
  <c r="AO653" i="16" s="1"/>
  <c r="AE654" i="16"/>
  <c r="BI603" i="16"/>
  <c r="BG603" i="16"/>
  <c r="BL603" i="16"/>
  <c r="BM603" i="16" s="1"/>
  <c r="Z654" i="16" l="1"/>
  <c r="U655" i="16" s="1"/>
  <c r="AC655" i="16" s="1"/>
  <c r="AD655" i="16" s="1"/>
  <c r="AF654" i="16"/>
  <c r="AG654" i="16" s="1"/>
  <c r="AH654" i="16" s="1"/>
  <c r="AS654" i="16" s="1"/>
  <c r="AP653" i="16"/>
  <c r="AR653" i="16" s="1"/>
  <c r="BC604" i="16"/>
  <c r="BH604" i="16" s="1"/>
  <c r="BN603" i="16"/>
  <c r="BO603" i="16"/>
  <c r="BP603" i="16" s="1"/>
  <c r="AT654" i="16" l="1"/>
  <c r="AW654" i="16" s="1"/>
  <c r="AX654" i="16" s="1"/>
  <c r="AZ654" i="16" s="1"/>
  <c r="AU654" i="16"/>
  <c r="AV654" i="16" s="1"/>
  <c r="W655" i="16"/>
  <c r="Y655" i="16" s="1"/>
  <c r="AB655" i="16" s="1"/>
  <c r="AL654" i="16"/>
  <c r="AY654" i="16" s="1"/>
  <c r="AQ653" i="16"/>
  <c r="AE655" i="16"/>
  <c r="AJ626" i="15"/>
  <c r="BQ603" i="16"/>
  <c r="BD604" i="16"/>
  <c r="E602" i="14"/>
  <c r="F602" i="14" s="1"/>
  <c r="H602" i="14" s="1"/>
  <c r="AD584" i="15"/>
  <c r="AA655" i="16" l="1"/>
  <c r="AK655" i="16" s="1"/>
  <c r="AM654" i="16"/>
  <c r="AN654" i="16" s="1"/>
  <c r="AO654" i="16" s="1"/>
  <c r="AP654" i="16" s="1"/>
  <c r="AQ654" i="16" s="1"/>
  <c r="AF655" i="16"/>
  <c r="Z655" i="16"/>
  <c r="BJ604" i="16"/>
  <c r="BK604" i="16"/>
  <c r="BE604" i="16"/>
  <c r="BF604" i="16" s="1"/>
  <c r="AR654" i="16" l="1"/>
  <c r="AG655" i="16"/>
  <c r="AL655" i="16" s="1"/>
  <c r="AY655" i="16" s="1"/>
  <c r="U656" i="16"/>
  <c r="AC656" i="16" s="1"/>
  <c r="BI604" i="16"/>
  <c r="BG604" i="16"/>
  <c r="BL604" i="16"/>
  <c r="BM604" i="16" s="1"/>
  <c r="AM655" i="16" l="1"/>
  <c r="AN655" i="16" s="1"/>
  <c r="AO655" i="16" s="1"/>
  <c r="AP655" i="16" s="1"/>
  <c r="AH655" i="16"/>
  <c r="AS655" i="16" s="1"/>
  <c r="AD656" i="16"/>
  <c r="W656" i="16"/>
  <c r="Y656" i="16" s="1"/>
  <c r="AB656" i="16" s="1"/>
  <c r="BC605" i="16"/>
  <c r="BH605" i="16" s="1"/>
  <c r="BN604" i="16"/>
  <c r="BO604" i="16"/>
  <c r="BP604" i="16" s="1"/>
  <c r="AR655" i="16" l="1"/>
  <c r="AT655" i="16"/>
  <c r="AW655" i="16" s="1"/>
  <c r="AX655" i="16" s="1"/>
  <c r="AZ655" i="16" s="1"/>
  <c r="AU655" i="16"/>
  <c r="AV655" i="16" s="1"/>
  <c r="AQ655" i="16"/>
  <c r="AE656" i="16"/>
  <c r="AA656" i="16"/>
  <c r="AK656" i="16" s="1"/>
  <c r="Z656" i="16"/>
  <c r="BD605" i="16"/>
  <c r="BE605" i="16" s="1"/>
  <c r="BF605" i="16" s="1"/>
  <c r="AJ627" i="15"/>
  <c r="BQ604" i="16"/>
  <c r="E603" i="14"/>
  <c r="F603" i="14" s="1"/>
  <c r="H603" i="14" s="1"/>
  <c r="AD586" i="15"/>
  <c r="U657" i="16" l="1"/>
  <c r="AC657" i="16" s="1"/>
  <c r="AF656" i="16"/>
  <c r="AG656" i="16" s="1"/>
  <c r="BI605" i="16"/>
  <c r="BG605" i="16"/>
  <c r="BJ605" i="16"/>
  <c r="BK605" i="16"/>
  <c r="AH656" i="16" l="1"/>
  <c r="AS656" i="16" s="1"/>
  <c r="AL656" i="16"/>
  <c r="AY656" i="16" s="1"/>
  <c r="W657" i="16"/>
  <c r="AA657" i="16" s="1"/>
  <c r="AK657" i="16" s="1"/>
  <c r="AD657" i="16"/>
  <c r="BL605" i="16"/>
  <c r="BM605" i="16" s="1"/>
  <c r="BC606" i="16"/>
  <c r="BH606" i="16" s="1"/>
  <c r="BO605" i="16"/>
  <c r="BP605" i="16" s="1"/>
  <c r="BN605" i="16" l="1"/>
  <c r="AD591" i="15" s="1"/>
  <c r="AM656" i="16"/>
  <c r="AN656" i="16" s="1"/>
  <c r="AO656" i="16" s="1"/>
  <c r="AP656" i="16" s="1"/>
  <c r="AR656" i="16" s="1"/>
  <c r="AT656" i="16"/>
  <c r="AW656" i="16" s="1"/>
  <c r="AX656" i="16" s="1"/>
  <c r="AZ656" i="16" s="1"/>
  <c r="AU656" i="16"/>
  <c r="AV656" i="16" s="1"/>
  <c r="Y657" i="16"/>
  <c r="AB657" i="16" s="1"/>
  <c r="AE657" i="16"/>
  <c r="BD606" i="16"/>
  <c r="BK606" i="16" s="1"/>
  <c r="AJ628" i="15"/>
  <c r="BQ605" i="16"/>
  <c r="E604" i="14" l="1"/>
  <c r="F604" i="14" s="1"/>
  <c r="H604" i="14" s="1"/>
  <c r="AF657" i="16"/>
  <c r="AG657" i="16" s="1"/>
  <c r="AH657" i="16" s="1"/>
  <c r="AS657" i="16" s="1"/>
  <c r="AT657" i="16" s="1"/>
  <c r="AW657" i="16" s="1"/>
  <c r="AX657" i="16" s="1"/>
  <c r="AZ657" i="16" s="1"/>
  <c r="Z657" i="16"/>
  <c r="U658" i="16" s="1"/>
  <c r="AC658" i="16" s="1"/>
  <c r="BJ606" i="16"/>
  <c r="BE606" i="16"/>
  <c r="BF606" i="16" s="1"/>
  <c r="AQ656" i="16"/>
  <c r="BL606" i="16"/>
  <c r="BM606" i="16" s="1"/>
  <c r="AU657" i="16" l="1"/>
  <c r="AV657" i="16" s="1"/>
  <c r="AL657" i="16"/>
  <c r="W658" i="16"/>
  <c r="AA658" i="16" s="1"/>
  <c r="AK658" i="16" s="1"/>
  <c r="AD658" i="16"/>
  <c r="AE658" i="16" s="1"/>
  <c r="BG606" i="16"/>
  <c r="BI606" i="16"/>
  <c r="AY657" i="16" l="1"/>
  <c r="AM657" i="16"/>
  <c r="AN657" i="16" s="1"/>
  <c r="AO657" i="16" s="1"/>
  <c r="AP657" i="16" s="1"/>
  <c r="AR657" i="16" s="1"/>
  <c r="Y658" i="16"/>
  <c r="BC607" i="16"/>
  <c r="BN606" i="16"/>
  <c r="BO606" i="16"/>
  <c r="BP606" i="16" s="1"/>
  <c r="AB658" i="16" l="1"/>
  <c r="Z658" i="16"/>
  <c r="U659" i="16" s="1"/>
  <c r="AC659" i="16" s="1"/>
  <c r="AJ629" i="15"/>
  <c r="BQ606" i="16"/>
  <c r="AD592" i="15"/>
  <c r="E605" i="14"/>
  <c r="F605" i="14" s="1"/>
  <c r="H605" i="14" s="1"/>
  <c r="BH607" i="16"/>
  <c r="AQ657" i="16"/>
  <c r="BD607" i="16"/>
  <c r="BE607" i="16" s="1"/>
  <c r="BF607" i="16" s="1"/>
  <c r="W659" i="16" l="1"/>
  <c r="AA659" i="16" s="1"/>
  <c r="AK659" i="16" s="1"/>
  <c r="AD659" i="16"/>
  <c r="AE659" i="16" s="1"/>
  <c r="AF658" i="16"/>
  <c r="AG658" i="16" s="1"/>
  <c r="AH658" i="16" s="1"/>
  <c r="AS658" i="16" s="1"/>
  <c r="BI607" i="16"/>
  <c r="BG607" i="16"/>
  <c r="BJ607" i="16"/>
  <c r="BK607" i="16"/>
  <c r="BL607" i="16" s="1"/>
  <c r="BM607" i="16" s="1"/>
  <c r="Y659" i="16" l="1"/>
  <c r="AB659" i="16" s="1"/>
  <c r="AF659" i="16" s="1"/>
  <c r="AG659" i="16" s="1"/>
  <c r="AH659" i="16" s="1"/>
  <c r="AS659" i="16" s="1"/>
  <c r="AT659" i="16" s="1"/>
  <c r="AT658" i="16"/>
  <c r="AW658" i="16" s="1"/>
  <c r="AX658" i="16" s="1"/>
  <c r="AZ658" i="16" s="1"/>
  <c r="AU658" i="16"/>
  <c r="AV658" i="16" s="1"/>
  <c r="AL658" i="16"/>
  <c r="AM658" i="16" s="1"/>
  <c r="BC608" i="16"/>
  <c r="BH608" i="16" s="1"/>
  <c r="BN607" i="16"/>
  <c r="BO607" i="16"/>
  <c r="BP607" i="16" s="1"/>
  <c r="Z659" i="16" l="1"/>
  <c r="AW659" i="16"/>
  <c r="AX659" i="16" s="1"/>
  <c r="AZ659" i="16" s="1"/>
  <c r="AY658" i="16"/>
  <c r="AU659" i="16"/>
  <c r="AV659" i="16" s="1"/>
  <c r="AL659" i="16"/>
  <c r="AY659" i="16" s="1"/>
  <c r="BD608" i="16"/>
  <c r="BE608" i="16" s="1"/>
  <c r="BF608" i="16" s="1"/>
  <c r="BI608" i="16" s="1"/>
  <c r="BO608" i="16" s="1"/>
  <c r="BP608" i="16" s="1"/>
  <c r="AN658" i="16"/>
  <c r="AO658" i="16" s="1"/>
  <c r="AJ630" i="15"/>
  <c r="BQ607" i="16"/>
  <c r="E606" i="14"/>
  <c r="F606" i="14" s="1"/>
  <c r="H606" i="14" s="1"/>
  <c r="AD594" i="15"/>
  <c r="U660" i="16"/>
  <c r="AC660" i="16" s="1"/>
  <c r="AM659" i="16" l="1"/>
  <c r="AN659" i="16" s="1"/>
  <c r="AO659" i="16" s="1"/>
  <c r="AP659" i="16" s="1"/>
  <c r="AR659" i="16" s="1"/>
  <c r="BK608" i="16"/>
  <c r="BL608" i="16" s="1"/>
  <c r="BM608" i="16" s="1"/>
  <c r="BJ608" i="16"/>
  <c r="AP658" i="16"/>
  <c r="AR658" i="16" s="1"/>
  <c r="BG608" i="16"/>
  <c r="BC609" i="16" s="1"/>
  <c r="BH609" i="16" s="1"/>
  <c r="AD660" i="16"/>
  <c r="W660" i="16"/>
  <c r="Y660" i="16" s="1"/>
  <c r="AB660" i="16" s="1"/>
  <c r="AJ631" i="15"/>
  <c r="BN608" i="16" l="1"/>
  <c r="BQ608" i="16" s="1"/>
  <c r="AQ659" i="16"/>
  <c r="BD609" i="16"/>
  <c r="BE609" i="16" s="1"/>
  <c r="BF609" i="16" s="1"/>
  <c r="BG609" i="16" s="1"/>
  <c r="AQ658" i="16"/>
  <c r="AE660" i="16"/>
  <c r="AF660" i="16" s="1"/>
  <c r="AG660" i="16" s="1"/>
  <c r="AH660" i="16" s="1"/>
  <c r="AS660" i="16" s="1"/>
  <c r="AA660" i="16"/>
  <c r="AK660" i="16" s="1"/>
  <c r="Z660" i="16"/>
  <c r="AD598" i="15" l="1"/>
  <c r="E607" i="14"/>
  <c r="F607" i="14" s="1"/>
  <c r="H607" i="14" s="1"/>
  <c r="AT660" i="16"/>
  <c r="AW660" i="16" s="1"/>
  <c r="AX660" i="16" s="1"/>
  <c r="AZ660" i="16" s="1"/>
  <c r="AU660" i="16"/>
  <c r="AV660" i="16" s="1"/>
  <c r="AL660" i="16"/>
  <c r="AM660" i="16" s="1"/>
  <c r="BJ609" i="16"/>
  <c r="BI609" i="16"/>
  <c r="BO609" i="16" s="1"/>
  <c r="BP609" i="16" s="1"/>
  <c r="BK609" i="16"/>
  <c r="BL609" i="16" s="1"/>
  <c r="BM609" i="16" s="1"/>
  <c r="U661" i="16"/>
  <c r="AC661" i="16" s="1"/>
  <c r="BC610" i="16"/>
  <c r="BH610" i="16" s="1"/>
  <c r="AY660" i="16" l="1"/>
  <c r="W661" i="16"/>
  <c r="AA661" i="16" s="1"/>
  <c r="AK661" i="16" s="1"/>
  <c r="AN660" i="16"/>
  <c r="AO660" i="16" s="1"/>
  <c r="AP660" i="16" s="1"/>
  <c r="AQ660" i="16" s="1"/>
  <c r="BN609" i="16"/>
  <c r="BQ609" i="16" s="1"/>
  <c r="AD661" i="16"/>
  <c r="AJ632" i="15"/>
  <c r="BD610" i="16"/>
  <c r="AD600" i="15" l="1"/>
  <c r="Y661" i="16"/>
  <c r="AB661" i="16" s="1"/>
  <c r="E608" i="14"/>
  <c r="F608" i="14" s="1"/>
  <c r="H608" i="14" s="1"/>
  <c r="AE661" i="16"/>
  <c r="AR660" i="16"/>
  <c r="BJ610" i="16"/>
  <c r="BK610" i="16"/>
  <c r="BE610" i="16"/>
  <c r="BF610" i="16" s="1"/>
  <c r="AF661" i="16" l="1"/>
  <c r="AG661" i="16" s="1"/>
  <c r="AH661" i="16" s="1"/>
  <c r="AS661" i="16" s="1"/>
  <c r="Z661" i="16"/>
  <c r="U662" i="16" s="1"/>
  <c r="AC662" i="16" s="1"/>
  <c r="BI610" i="16"/>
  <c r="BG610" i="16"/>
  <c r="BL610" i="16"/>
  <c r="BM610" i="16" s="1"/>
  <c r="AU661" i="16" l="1"/>
  <c r="AV661" i="16" s="1"/>
  <c r="AT661" i="16"/>
  <c r="AW661" i="16" s="1"/>
  <c r="AX661" i="16" s="1"/>
  <c r="AZ661" i="16" s="1"/>
  <c r="AL661" i="16"/>
  <c r="AY661" i="16" s="1"/>
  <c r="AD662" i="16"/>
  <c r="AE662" i="16" s="1"/>
  <c r="W662" i="16"/>
  <c r="AA662" i="16" s="1"/>
  <c r="AK662" i="16" s="1"/>
  <c r="BC611" i="16"/>
  <c r="BH611" i="16" s="1"/>
  <c r="BO610" i="16"/>
  <c r="BP610" i="16" s="1"/>
  <c r="BN610" i="16"/>
  <c r="AM661" i="16" l="1"/>
  <c r="AN661" i="16" s="1"/>
  <c r="AO661" i="16" s="1"/>
  <c r="AP661" i="16" s="1"/>
  <c r="AR661" i="16" s="1"/>
  <c r="Y662" i="16"/>
  <c r="AB662" i="16" s="1"/>
  <c r="AF662" i="16" s="1"/>
  <c r="AG662" i="16" s="1"/>
  <c r="AH662" i="16" s="1"/>
  <c r="AS662" i="16" s="1"/>
  <c r="E609" i="14"/>
  <c r="F609" i="14" s="1"/>
  <c r="H609" i="14" s="1"/>
  <c r="AD602" i="15"/>
  <c r="BD611" i="16"/>
  <c r="BQ610" i="16"/>
  <c r="AJ633" i="15"/>
  <c r="AT662" i="16" l="1"/>
  <c r="AW662" i="16" s="1"/>
  <c r="AX662" i="16" s="1"/>
  <c r="AZ662" i="16" s="1"/>
  <c r="AU662" i="16"/>
  <c r="AV662" i="16" s="1"/>
  <c r="AL662" i="16"/>
  <c r="AY662" i="16" s="1"/>
  <c r="Z662" i="16"/>
  <c r="U663" i="16" s="1"/>
  <c r="AC663" i="16" s="1"/>
  <c r="AQ661" i="16"/>
  <c r="BJ611" i="16"/>
  <c r="BK611" i="16"/>
  <c r="BE611" i="16"/>
  <c r="BF611" i="16" s="1"/>
  <c r="AM662" i="16" l="1"/>
  <c r="AN662" i="16" s="1"/>
  <c r="AO662" i="16" s="1"/>
  <c r="AD663" i="16"/>
  <c r="W663" i="16"/>
  <c r="BI611" i="16"/>
  <c r="BG611" i="16"/>
  <c r="BL611" i="16"/>
  <c r="BM611" i="16" s="1"/>
  <c r="AP662" i="16" l="1"/>
  <c r="AR662" i="16" s="1"/>
  <c r="AA663" i="16"/>
  <c r="AK663" i="16" s="1"/>
  <c r="Y663" i="16"/>
  <c r="AB663" i="16" s="1"/>
  <c r="AE663" i="16"/>
  <c r="BC612" i="16"/>
  <c r="BH612" i="16" s="1"/>
  <c r="BN611" i="16"/>
  <c r="BO611" i="16"/>
  <c r="BP611" i="16" s="1"/>
  <c r="AF663" i="16" l="1"/>
  <c r="AG663" i="16" s="1"/>
  <c r="AH663" i="16" s="1"/>
  <c r="AS663" i="16" s="1"/>
  <c r="AQ662" i="16"/>
  <c r="BD612" i="16"/>
  <c r="BK612" i="16" s="1"/>
  <c r="Z663" i="16"/>
  <c r="AJ634" i="15"/>
  <c r="BQ611" i="16"/>
  <c r="E610" i="14"/>
  <c r="F610" i="14" s="1"/>
  <c r="H610" i="14" s="1"/>
  <c r="AD604" i="15"/>
  <c r="AU663" i="16" l="1"/>
  <c r="AV663" i="16" s="1"/>
  <c r="AT663" i="16"/>
  <c r="AW663" i="16" s="1"/>
  <c r="AX663" i="16" s="1"/>
  <c r="AZ663" i="16" s="1"/>
  <c r="AL663" i="16"/>
  <c r="AY663" i="16" s="1"/>
  <c r="BJ612" i="16"/>
  <c r="BE612" i="16"/>
  <c r="BF612" i="16" s="1"/>
  <c r="U664" i="16"/>
  <c r="AC664" i="16" s="1"/>
  <c r="BL612" i="16"/>
  <c r="BM612" i="16" s="1"/>
  <c r="AM663" i="16" l="1"/>
  <c r="BG612" i="16"/>
  <c r="BC613" i="16" s="1"/>
  <c r="BH613" i="16" s="1"/>
  <c r="BI612" i="16"/>
  <c r="BO612" i="16" s="1"/>
  <c r="BP612" i="16" s="1"/>
  <c r="W664" i="16"/>
  <c r="AA664" i="16" s="1"/>
  <c r="AK664" i="16" s="1"/>
  <c r="AN663" i="16"/>
  <c r="AO663" i="16" s="1"/>
  <c r="AP663" i="16" s="1"/>
  <c r="AQ663" i="16" s="1"/>
  <c r="AD664" i="16"/>
  <c r="Y664" i="16" l="1"/>
  <c r="BN612" i="16"/>
  <c r="BQ612" i="16" s="1"/>
  <c r="AE664" i="16"/>
  <c r="AR663" i="16"/>
  <c r="BD613" i="16"/>
  <c r="BE613" i="16" s="1"/>
  <c r="BF613" i="16" s="1"/>
  <c r="AJ635" i="15"/>
  <c r="AD607" i="15" l="1"/>
  <c r="AB664" i="16"/>
  <c r="Z664" i="16"/>
  <c r="U665" i="16" s="1"/>
  <c r="AC665" i="16" s="1"/>
  <c r="AD665" i="16" s="1"/>
  <c r="AE665" i="16" s="1"/>
  <c r="E611" i="14"/>
  <c r="F611" i="14" s="1"/>
  <c r="H611" i="14" s="1"/>
  <c r="BI613" i="16"/>
  <c r="BG613" i="16"/>
  <c r="BJ613" i="16"/>
  <c r="BK613" i="16"/>
  <c r="W665" i="16" l="1"/>
  <c r="Y665" i="16" s="1"/>
  <c r="AB665" i="16" s="1"/>
  <c r="AF664" i="16"/>
  <c r="AG664" i="16" s="1"/>
  <c r="AH664" i="16" s="1"/>
  <c r="AS664" i="16" s="1"/>
  <c r="BL613" i="16"/>
  <c r="BM613" i="16" s="1"/>
  <c r="BC614" i="16"/>
  <c r="BO613" i="16"/>
  <c r="BP613" i="16" s="1"/>
  <c r="AU664" i="16" l="1"/>
  <c r="AV664" i="16" s="1"/>
  <c r="AT664" i="16"/>
  <c r="AW664" i="16" s="1"/>
  <c r="AX664" i="16" s="1"/>
  <c r="AZ664" i="16" s="1"/>
  <c r="AL664" i="16"/>
  <c r="AY664" i="16" s="1"/>
  <c r="AA665" i="16"/>
  <c r="AK665" i="16" s="1"/>
  <c r="BN613" i="16"/>
  <c r="AD610" i="15" s="1"/>
  <c r="AF665" i="16"/>
  <c r="Z665" i="16"/>
  <c r="BD614" i="16"/>
  <c r="BJ614" i="16" s="1"/>
  <c r="BH614" i="16"/>
  <c r="AJ636" i="15"/>
  <c r="AM664" i="16" l="1"/>
  <c r="AN664" i="16" s="1"/>
  <c r="AO664" i="16" s="1"/>
  <c r="AG665" i="16"/>
  <c r="AL665" i="16" s="1"/>
  <c r="AY665" i="16" s="1"/>
  <c r="E612" i="14"/>
  <c r="F612" i="14" s="1"/>
  <c r="H612" i="14" s="1"/>
  <c r="BQ613" i="16"/>
  <c r="U666" i="16"/>
  <c r="AC666" i="16" s="1"/>
  <c r="BE614" i="16"/>
  <c r="BF614" i="16" s="1"/>
  <c r="BK614" i="16"/>
  <c r="BL614" i="16" s="1"/>
  <c r="BM614" i="16" s="1"/>
  <c r="AM665" i="16" l="1"/>
  <c r="AN665" i="16" s="1"/>
  <c r="AO665" i="16" s="1"/>
  <c r="AP665" i="16" s="1"/>
  <c r="AH665" i="16"/>
  <c r="AS665" i="16" s="1"/>
  <c r="AP664" i="16"/>
  <c r="AR664" i="16" s="1"/>
  <c r="BI614" i="16"/>
  <c r="BN614" i="16" s="1"/>
  <c r="BG614" i="16"/>
  <c r="BC615" i="16" s="1"/>
  <c r="AD666" i="16"/>
  <c r="W666" i="16"/>
  <c r="AA666" i="16" s="1"/>
  <c r="AK666" i="16" s="1"/>
  <c r="AQ664" i="16" l="1"/>
  <c r="AR665" i="16"/>
  <c r="AT665" i="16"/>
  <c r="AW665" i="16" s="1"/>
  <c r="AX665" i="16" s="1"/>
  <c r="AZ665" i="16" s="1"/>
  <c r="AU665" i="16"/>
  <c r="AV665" i="16" s="1"/>
  <c r="AQ665" i="16"/>
  <c r="Y666" i="16"/>
  <c r="AB666" i="16" s="1"/>
  <c r="BO614" i="16"/>
  <c r="BP614" i="16" s="1"/>
  <c r="AJ637" i="15" s="1"/>
  <c r="AE666" i="16"/>
  <c r="BH615" i="16"/>
  <c r="BD615" i="16"/>
  <c r="E613" i="14"/>
  <c r="F613" i="14" s="1"/>
  <c r="H613" i="14" s="1"/>
  <c r="AD612" i="15"/>
  <c r="Z666" i="16" l="1"/>
  <c r="U667" i="16" s="1"/>
  <c r="AC667" i="16" s="1"/>
  <c r="BQ614" i="16"/>
  <c r="AF666" i="16"/>
  <c r="BJ615" i="16"/>
  <c r="BK615" i="16"/>
  <c r="BE615" i="16"/>
  <c r="BF615" i="16" s="1"/>
  <c r="AG666" i="16" l="1"/>
  <c r="AD667" i="16"/>
  <c r="W667" i="16"/>
  <c r="AA667" i="16" s="1"/>
  <c r="AK667" i="16" s="1"/>
  <c r="BI615" i="16"/>
  <c r="BG615" i="16"/>
  <c r="BL615" i="16"/>
  <c r="BM615" i="16" s="1"/>
  <c r="AH666" i="16" l="1"/>
  <c r="AS666" i="16" s="1"/>
  <c r="AL666" i="16"/>
  <c r="AY666" i="16" s="1"/>
  <c r="Y667" i="16"/>
  <c r="AB667" i="16" s="1"/>
  <c r="AE667" i="16"/>
  <c r="BC616" i="16"/>
  <c r="BH616" i="16" s="1"/>
  <c r="BO615" i="16"/>
  <c r="BP615" i="16" s="1"/>
  <c r="BN615" i="16"/>
  <c r="AM666" i="16" l="1"/>
  <c r="AN666" i="16" s="1"/>
  <c r="AO666" i="16" s="1"/>
  <c r="AP666" i="16" s="1"/>
  <c r="AR666" i="16" s="1"/>
  <c r="AT666" i="16"/>
  <c r="AW666" i="16" s="1"/>
  <c r="AX666" i="16" s="1"/>
  <c r="AZ666" i="16" s="1"/>
  <c r="AU666" i="16"/>
  <c r="AV666" i="16" s="1"/>
  <c r="AF667" i="16"/>
  <c r="AG667" i="16" s="1"/>
  <c r="AH667" i="16" s="1"/>
  <c r="AS667" i="16" s="1"/>
  <c r="AT667" i="16" s="1"/>
  <c r="Z667" i="16"/>
  <c r="U668" i="16" s="1"/>
  <c r="AC668" i="16" s="1"/>
  <c r="AD615" i="15"/>
  <c r="E614" i="14"/>
  <c r="F614" i="14" s="1"/>
  <c r="H614" i="14" s="1"/>
  <c r="BD616" i="16"/>
  <c r="AJ638" i="15"/>
  <c r="BQ615" i="16"/>
  <c r="AQ666" i="16" l="1"/>
  <c r="AU667" i="16"/>
  <c r="AV667" i="16" s="1"/>
  <c r="AL667" i="16"/>
  <c r="AY667" i="16" s="1"/>
  <c r="AW667" i="16"/>
  <c r="AX667" i="16" s="1"/>
  <c r="AZ667" i="16" s="1"/>
  <c r="AD668" i="16"/>
  <c r="W668" i="16"/>
  <c r="Y668" i="16" s="1"/>
  <c r="AB668" i="16" s="1"/>
  <c r="BJ616" i="16"/>
  <c r="BK616" i="16"/>
  <c r="BE616" i="16"/>
  <c r="BF616" i="16" s="1"/>
  <c r="AM667" i="16" l="1"/>
  <c r="AN667" i="16" s="1"/>
  <c r="AO667" i="16" s="1"/>
  <c r="AP667" i="16" s="1"/>
  <c r="AR667" i="16" s="1"/>
  <c r="AA668" i="16"/>
  <c r="AK668" i="16" s="1"/>
  <c r="Z668" i="16"/>
  <c r="AE668" i="16"/>
  <c r="BI616" i="16"/>
  <c r="BG616" i="16"/>
  <c r="BL616" i="16"/>
  <c r="BM616" i="16" s="1"/>
  <c r="AQ667" i="16" l="1"/>
  <c r="U669" i="16"/>
  <c r="AC669" i="16" s="1"/>
  <c r="AF668" i="16"/>
  <c r="AG668" i="16" s="1"/>
  <c r="BC617" i="16"/>
  <c r="BH617" i="16" s="1"/>
  <c r="BN616" i="16"/>
  <c r="BO616" i="16"/>
  <c r="BP616" i="16" s="1"/>
  <c r="AH668" i="16" l="1"/>
  <c r="AS668" i="16" s="1"/>
  <c r="AL668" i="16"/>
  <c r="AY668" i="16" s="1"/>
  <c r="AD669" i="16"/>
  <c r="BD617" i="16"/>
  <c r="BE617" i="16" s="1"/>
  <c r="W669" i="16"/>
  <c r="AA669" i="16" s="1"/>
  <c r="AK669" i="16" s="1"/>
  <c r="AJ639" i="15"/>
  <c r="BQ616" i="16"/>
  <c r="E615" i="14"/>
  <c r="F615" i="14" s="1"/>
  <c r="H615" i="14" s="1"/>
  <c r="AD617" i="15"/>
  <c r="AM668" i="16" l="1"/>
  <c r="AN668" i="16" s="1"/>
  <c r="AO668" i="16" s="1"/>
  <c r="AP668" i="16" s="1"/>
  <c r="AQ668" i="16" s="1"/>
  <c r="AU668" i="16"/>
  <c r="AV668" i="16" s="1"/>
  <c r="AT668" i="16"/>
  <c r="AW668" i="16" s="1"/>
  <c r="AX668" i="16" s="1"/>
  <c r="AZ668" i="16" s="1"/>
  <c r="BJ617" i="16"/>
  <c r="BF617" i="16"/>
  <c r="BG617" i="16" s="1"/>
  <c r="BK617" i="16"/>
  <c r="BL617" i="16" s="1"/>
  <c r="BM617" i="16" s="1"/>
  <c r="Y669" i="16"/>
  <c r="AB669" i="16" s="1"/>
  <c r="AE669" i="16"/>
  <c r="AR668" i="16" l="1"/>
  <c r="BI617" i="16"/>
  <c r="BO617" i="16" s="1"/>
  <c r="BP617" i="16" s="1"/>
  <c r="Z669" i="16"/>
  <c r="U670" i="16" s="1"/>
  <c r="AC670" i="16" s="1"/>
  <c r="AF669" i="16"/>
  <c r="AG669" i="16" s="1"/>
  <c r="AH669" i="16" s="1"/>
  <c r="AS669" i="16" s="1"/>
  <c r="AT669" i="16" s="1"/>
  <c r="AW669" i="16" s="1"/>
  <c r="AX669" i="16" s="1"/>
  <c r="AZ669" i="16" s="1"/>
  <c r="BC618" i="16"/>
  <c r="BH618" i="16" s="1"/>
  <c r="AL669" i="16" l="1"/>
  <c r="BN617" i="16"/>
  <c r="BQ617" i="16" s="1"/>
  <c r="AU669" i="16"/>
  <c r="AV669" i="16" s="1"/>
  <c r="BD618" i="16"/>
  <c r="BK618" i="16" s="1"/>
  <c r="AD670" i="16"/>
  <c r="W670" i="16"/>
  <c r="AJ640" i="15"/>
  <c r="E616" i="14" l="1"/>
  <c r="F616" i="14" s="1"/>
  <c r="H616" i="14" s="1"/>
  <c r="AD619" i="15"/>
  <c r="AY669" i="16"/>
  <c r="AM669" i="16"/>
  <c r="AN669" i="16" s="1"/>
  <c r="AO669" i="16" s="1"/>
  <c r="AP669" i="16" s="1"/>
  <c r="AR669" i="16" s="1"/>
  <c r="BJ618" i="16"/>
  <c r="BE618" i="16"/>
  <c r="BF618" i="16" s="1"/>
  <c r="BI618" i="16" s="1"/>
  <c r="AE670" i="16"/>
  <c r="AA670" i="16"/>
  <c r="AK670" i="16" s="1"/>
  <c r="Y670" i="16"/>
  <c r="AB670" i="16" s="1"/>
  <c r="BL618" i="16"/>
  <c r="BM618" i="16" s="1"/>
  <c r="BG618" i="16" l="1"/>
  <c r="BC619" i="16" s="1"/>
  <c r="BH619" i="16" s="1"/>
  <c r="Z670" i="16"/>
  <c r="U671" i="16" s="1"/>
  <c r="AC671" i="16" s="1"/>
  <c r="AQ669" i="16"/>
  <c r="AF670" i="16"/>
  <c r="AG670" i="16" s="1"/>
  <c r="AH670" i="16" s="1"/>
  <c r="AS670" i="16" s="1"/>
  <c r="BN618" i="16"/>
  <c r="BO618" i="16"/>
  <c r="BP618" i="16" s="1"/>
  <c r="AL670" i="16" l="1"/>
  <c r="AY670" i="16" s="1"/>
  <c r="AT670" i="16"/>
  <c r="AW670" i="16" s="1"/>
  <c r="AX670" i="16" s="1"/>
  <c r="AZ670" i="16" s="1"/>
  <c r="AU670" i="16"/>
  <c r="AV670" i="16" s="1"/>
  <c r="AM670" i="16"/>
  <c r="AD671" i="16"/>
  <c r="W671" i="16"/>
  <c r="BD619" i="16"/>
  <c r="BE619" i="16" s="1"/>
  <c r="AJ641" i="15"/>
  <c r="BQ618" i="16"/>
  <c r="E617" i="14"/>
  <c r="F617" i="14" s="1"/>
  <c r="H617" i="14" s="1"/>
  <c r="AD622" i="15"/>
  <c r="AN670" i="16" l="1"/>
  <c r="AO670" i="16" s="1"/>
  <c r="AA671" i="16"/>
  <c r="AK671" i="16" s="1"/>
  <c r="Y671" i="16"/>
  <c r="AB671" i="16" s="1"/>
  <c r="AE671" i="16"/>
  <c r="BF619" i="16"/>
  <c r="BJ619" i="16"/>
  <c r="BK619" i="16"/>
  <c r="AP670" i="16" l="1"/>
  <c r="AR670" i="16" s="1"/>
  <c r="AF671" i="16"/>
  <c r="Z671" i="16"/>
  <c r="BL619" i="16"/>
  <c r="BM619" i="16" s="1"/>
  <c r="BI619" i="16"/>
  <c r="BG619" i="16"/>
  <c r="AG671" i="16" l="1"/>
  <c r="AL671" i="16" s="1"/>
  <c r="AY671" i="16" s="1"/>
  <c r="AQ670" i="16"/>
  <c r="U672" i="16"/>
  <c r="AC672" i="16" s="1"/>
  <c r="BC620" i="16"/>
  <c r="BH620" i="16" s="1"/>
  <c r="BN619" i="16"/>
  <c r="BO619" i="16"/>
  <c r="BP619" i="16" s="1"/>
  <c r="AM671" i="16" l="1"/>
  <c r="AN671" i="16" s="1"/>
  <c r="AH671" i="16"/>
  <c r="AS671" i="16" s="1"/>
  <c r="AD672" i="16"/>
  <c r="W672" i="16"/>
  <c r="BD620" i="16"/>
  <c r="BE620" i="16" s="1"/>
  <c r="BF620" i="16" s="1"/>
  <c r="E618" i="14"/>
  <c r="F618" i="14" s="1"/>
  <c r="H618" i="14" s="1"/>
  <c r="AD624" i="15"/>
  <c r="AJ642" i="15"/>
  <c r="BQ619" i="16"/>
  <c r="AU671" i="16" l="1"/>
  <c r="AV671" i="16" s="1"/>
  <c r="AT671" i="16"/>
  <c r="AW671" i="16" s="1"/>
  <c r="AX671" i="16" s="1"/>
  <c r="AZ671" i="16" s="1"/>
  <c r="AA672" i="16"/>
  <c r="AK672" i="16" s="1"/>
  <c r="Y672" i="16"/>
  <c r="AB672" i="16" s="1"/>
  <c r="AE672" i="16"/>
  <c r="AO671" i="16"/>
  <c r="AP671" i="16" s="1"/>
  <c r="AQ671" i="16" s="1"/>
  <c r="BI620" i="16"/>
  <c r="BG620" i="16"/>
  <c r="BJ620" i="16"/>
  <c r="BK620" i="16"/>
  <c r="AF672" i="16" l="1"/>
  <c r="AG672" i="16" s="1"/>
  <c r="AH672" i="16" s="1"/>
  <c r="AS672" i="16" s="1"/>
  <c r="AT672" i="16" s="1"/>
  <c r="AW672" i="16" s="1"/>
  <c r="AX672" i="16" s="1"/>
  <c r="AZ672" i="16" s="1"/>
  <c r="Z672" i="16"/>
  <c r="AR671" i="16"/>
  <c r="BL620" i="16"/>
  <c r="BM620" i="16" s="1"/>
  <c r="BC621" i="16"/>
  <c r="BH621" i="16" s="1"/>
  <c r="BO620" i="16"/>
  <c r="BP620" i="16" s="1"/>
  <c r="AL672" i="16" l="1"/>
  <c r="AM672" i="16" s="1"/>
  <c r="AU672" i="16"/>
  <c r="AV672" i="16" s="1"/>
  <c r="BD621" i="16"/>
  <c r="BJ621" i="16" s="1"/>
  <c r="BN620" i="16"/>
  <c r="BQ620" i="16" s="1"/>
  <c r="U673" i="16"/>
  <c r="AC673" i="16" s="1"/>
  <c r="AY672" i="16"/>
  <c r="AJ643" i="15"/>
  <c r="BK621" i="16" l="1"/>
  <c r="BL621" i="16" s="1"/>
  <c r="BM621" i="16" s="1"/>
  <c r="BE621" i="16"/>
  <c r="BF621" i="16" s="1"/>
  <c r="BG621" i="16" s="1"/>
  <c r="E619" i="14"/>
  <c r="F619" i="14" s="1"/>
  <c r="H619" i="14" s="1"/>
  <c r="AD627" i="15"/>
  <c r="AN672" i="16"/>
  <c r="AO672" i="16" s="1"/>
  <c r="AD673" i="16"/>
  <c r="W673" i="16"/>
  <c r="BI621" i="16" l="1"/>
  <c r="BO621" i="16" s="1"/>
  <c r="BP621" i="16" s="1"/>
  <c r="AE673" i="16"/>
  <c r="AP672" i="16"/>
  <c r="AR672" i="16" s="1"/>
  <c r="AA673" i="16"/>
  <c r="AK673" i="16" s="1"/>
  <c r="Y673" i="16"/>
  <c r="AB673" i="16" s="1"/>
  <c r="BC622" i="16"/>
  <c r="BH622" i="16" s="1"/>
  <c r="BN621" i="16" l="1"/>
  <c r="AF673" i="16"/>
  <c r="AG673" i="16" s="1"/>
  <c r="AH673" i="16" s="1"/>
  <c r="AS673" i="16" s="1"/>
  <c r="AQ672" i="16"/>
  <c r="Z673" i="16"/>
  <c r="AD629" i="15"/>
  <c r="E620" i="14"/>
  <c r="F620" i="14" s="1"/>
  <c r="H620" i="14" s="1"/>
  <c r="BD622" i="16"/>
  <c r="AJ644" i="15"/>
  <c r="BQ621" i="16"/>
  <c r="AT673" i="16" l="1"/>
  <c r="AW673" i="16" s="1"/>
  <c r="AX673" i="16" s="1"/>
  <c r="AZ673" i="16" s="1"/>
  <c r="AU673" i="16"/>
  <c r="AV673" i="16" s="1"/>
  <c r="AL673" i="16"/>
  <c r="AY673" i="16" s="1"/>
  <c r="U674" i="16"/>
  <c r="AC674" i="16" s="1"/>
  <c r="BJ622" i="16"/>
  <c r="BK622" i="16"/>
  <c r="BE622" i="16"/>
  <c r="BF622" i="16" s="1"/>
  <c r="AM673" i="16" l="1"/>
  <c r="AN673" i="16" s="1"/>
  <c r="AO673" i="16" s="1"/>
  <c r="AD674" i="16"/>
  <c r="W674" i="16"/>
  <c r="BI622" i="16"/>
  <c r="BG622" i="16"/>
  <c r="BL622" i="16"/>
  <c r="BM622" i="16" s="1"/>
  <c r="AP673" i="16" l="1"/>
  <c r="AR673" i="16" s="1"/>
  <c r="AA674" i="16"/>
  <c r="AK674" i="16" s="1"/>
  <c r="Y674" i="16"/>
  <c r="AB674" i="16" s="1"/>
  <c r="AE674" i="16"/>
  <c r="BC623" i="16"/>
  <c r="BH623" i="16" s="1"/>
  <c r="BN622" i="16"/>
  <c r="BO622" i="16"/>
  <c r="BP622" i="16" s="1"/>
  <c r="AF674" i="16" l="1"/>
  <c r="AG674" i="16" s="1"/>
  <c r="AH674" i="16" s="1"/>
  <c r="AS674" i="16" s="1"/>
  <c r="AQ673" i="16"/>
  <c r="Z674" i="16"/>
  <c r="BD623" i="16"/>
  <c r="BE623" i="16" s="1"/>
  <c r="AJ645" i="15"/>
  <c r="BQ622" i="16"/>
  <c r="AD631" i="15"/>
  <c r="E621" i="14"/>
  <c r="F621" i="14" s="1"/>
  <c r="H621" i="14" s="1"/>
  <c r="AU674" i="16" l="1"/>
  <c r="AV674" i="16" s="1"/>
  <c r="AT674" i="16"/>
  <c r="AW674" i="16" s="1"/>
  <c r="AX674" i="16" s="1"/>
  <c r="AZ674" i="16" s="1"/>
  <c r="AL674" i="16"/>
  <c r="AY674" i="16" s="1"/>
  <c r="BF623" i="16"/>
  <c r="BG623" i="16" s="1"/>
  <c r="U675" i="16"/>
  <c r="AC675" i="16" s="1"/>
  <c r="BJ623" i="16"/>
  <c r="BK623" i="16"/>
  <c r="BI623" i="16" l="1"/>
  <c r="BO623" i="16" s="1"/>
  <c r="BP623" i="16" s="1"/>
  <c r="AM674" i="16"/>
  <c r="AN674" i="16" s="1"/>
  <c r="AO674" i="16" s="1"/>
  <c r="AP674" i="16" s="1"/>
  <c r="AQ674" i="16" s="1"/>
  <c r="AD675" i="16"/>
  <c r="W675" i="16"/>
  <c r="BL623" i="16"/>
  <c r="BM623" i="16" s="1"/>
  <c r="BC624" i="16"/>
  <c r="BH624" i="16" s="1"/>
  <c r="AE675" i="16" l="1"/>
  <c r="BN623" i="16"/>
  <c r="BQ623" i="16" s="1"/>
  <c r="AR674" i="16"/>
  <c r="BD624" i="16"/>
  <c r="BJ624" i="16" s="1"/>
  <c r="AA675" i="16"/>
  <c r="AK675" i="16" s="1"/>
  <c r="Y675" i="16"/>
  <c r="AB675" i="16" s="1"/>
  <c r="AJ646" i="15"/>
  <c r="E622" i="14" l="1"/>
  <c r="F622" i="14" s="1"/>
  <c r="H622" i="14" s="1"/>
  <c r="BE624" i="16"/>
  <c r="BF624" i="16" s="1"/>
  <c r="BI624" i="16" s="1"/>
  <c r="AD633" i="15"/>
  <c r="BK624" i="16"/>
  <c r="BL624" i="16" s="1"/>
  <c r="BM624" i="16" s="1"/>
  <c r="AF675" i="16"/>
  <c r="AG675" i="16" s="1"/>
  <c r="AH675" i="16" s="1"/>
  <c r="AS675" i="16" s="1"/>
  <c r="Z675" i="16"/>
  <c r="AU675" i="16" l="1"/>
  <c r="AV675" i="16" s="1"/>
  <c r="AT675" i="16"/>
  <c r="AW675" i="16" s="1"/>
  <c r="AX675" i="16" s="1"/>
  <c r="AZ675" i="16" s="1"/>
  <c r="AL675" i="16"/>
  <c r="AY675" i="16" s="1"/>
  <c r="BG624" i="16"/>
  <c r="BC625" i="16" s="1"/>
  <c r="BH625" i="16" s="1"/>
  <c r="U676" i="16"/>
  <c r="AC676" i="16" s="1"/>
  <c r="BO624" i="16"/>
  <c r="BP624" i="16" s="1"/>
  <c r="BN624" i="16"/>
  <c r="AM675" i="16" l="1"/>
  <c r="AN675" i="16" s="1"/>
  <c r="AO675" i="16" s="1"/>
  <c r="AD676" i="16"/>
  <c r="W676" i="16"/>
  <c r="AA676" i="16" s="1"/>
  <c r="AK676" i="16" s="1"/>
  <c r="E623" i="14"/>
  <c r="F623" i="14" s="1"/>
  <c r="H623" i="14" s="1"/>
  <c r="AD636" i="15"/>
  <c r="BD625" i="16"/>
  <c r="BE625" i="16" s="1"/>
  <c r="AJ647" i="15"/>
  <c r="BQ624" i="16"/>
  <c r="Y676" i="16" l="1"/>
  <c r="AB676" i="16" s="1"/>
  <c r="AE676" i="16"/>
  <c r="AP675" i="16"/>
  <c r="AR675" i="16" s="1"/>
  <c r="BJ625" i="16"/>
  <c r="BK625" i="16"/>
  <c r="BF625" i="16"/>
  <c r="AQ675" i="16" l="1"/>
  <c r="AF676" i="16"/>
  <c r="AG676" i="16" s="1"/>
  <c r="AH676" i="16" s="1"/>
  <c r="AS676" i="16" s="1"/>
  <c r="Z676" i="16"/>
  <c r="BI625" i="16"/>
  <c r="BG625" i="16"/>
  <c r="BL625" i="16"/>
  <c r="BM625" i="16" s="1"/>
  <c r="F24" i="8"/>
  <c r="F51" i="3" s="1"/>
  <c r="F23" i="8"/>
  <c r="F17" i="3" s="1"/>
  <c r="F26" i="8"/>
  <c r="F38" i="8"/>
  <c r="F37" i="8"/>
  <c r="F25" i="8"/>
  <c r="F19" i="3" s="1"/>
  <c r="F22" i="8"/>
  <c r="F18" i="3" s="1"/>
  <c r="AU676" i="16" l="1"/>
  <c r="AV676" i="16" s="1"/>
  <c r="AT676" i="16"/>
  <c r="AW676" i="16" s="1"/>
  <c r="AX676" i="16" s="1"/>
  <c r="AZ676" i="16" s="1"/>
  <c r="AL676" i="16"/>
  <c r="AM676" i="16" s="1"/>
  <c r="U677" i="16"/>
  <c r="AC677" i="16" s="1"/>
  <c r="AD677" i="16" s="1"/>
  <c r="F8" i="17"/>
  <c r="F13" i="17"/>
  <c r="F21" i="17"/>
  <c r="F25" i="17"/>
  <c r="F28" i="17"/>
  <c r="F39" i="17"/>
  <c r="F41" i="17"/>
  <c r="F11" i="17"/>
  <c r="F14" i="17"/>
  <c r="F9" i="17"/>
  <c r="F12" i="17"/>
  <c r="F18" i="17"/>
  <c r="F20" i="17"/>
  <c r="F27" i="17"/>
  <c r="F30" i="17"/>
  <c r="F10" i="17"/>
  <c r="F15" i="17"/>
  <c r="F16" i="17"/>
  <c r="F17" i="17"/>
  <c r="F19" i="17"/>
  <c r="F23" i="17"/>
  <c r="F26" i="17"/>
  <c r="F29" i="17"/>
  <c r="F32" i="17"/>
  <c r="F34" i="17"/>
  <c r="F36" i="17"/>
  <c r="F37" i="17"/>
  <c r="F44" i="17"/>
  <c r="F47" i="17"/>
  <c r="F56" i="17"/>
  <c r="F59" i="17"/>
  <c r="F64" i="17"/>
  <c r="F69" i="17"/>
  <c r="F74" i="17"/>
  <c r="F22" i="17"/>
  <c r="F33" i="17"/>
  <c r="F38" i="17"/>
  <c r="F43" i="17"/>
  <c r="F46" i="17"/>
  <c r="F48" i="17"/>
  <c r="F51" i="17"/>
  <c r="F53" i="17"/>
  <c r="F62" i="17"/>
  <c r="F63" i="17"/>
  <c r="F66" i="17"/>
  <c r="F68" i="17"/>
  <c r="F71" i="17"/>
  <c r="F40" i="17"/>
  <c r="F42" i="17"/>
  <c r="F45" i="17"/>
  <c r="F50" i="17"/>
  <c r="F55" i="17"/>
  <c r="F58" i="17"/>
  <c r="F61" i="17"/>
  <c r="F70" i="17"/>
  <c r="F73" i="17"/>
  <c r="F24" i="17"/>
  <c r="F31" i="17"/>
  <c r="F35" i="17"/>
  <c r="F49" i="17"/>
  <c r="F52" i="17"/>
  <c r="F54" i="17"/>
  <c r="F57" i="17"/>
  <c r="F60" i="17"/>
  <c r="F65" i="17"/>
  <c r="F67" i="17"/>
  <c r="F72" i="17"/>
  <c r="F75" i="17"/>
  <c r="F79" i="17"/>
  <c r="F83" i="17"/>
  <c r="F88" i="17"/>
  <c r="F90" i="17"/>
  <c r="F101" i="17"/>
  <c r="F102" i="17"/>
  <c r="F109" i="17"/>
  <c r="F110" i="17"/>
  <c r="F78" i="17"/>
  <c r="F82" i="17"/>
  <c r="F85" i="17"/>
  <c r="F87" i="17"/>
  <c r="F92" i="17"/>
  <c r="F94" i="17"/>
  <c r="F99" i="17"/>
  <c r="F100" i="17"/>
  <c r="F107" i="17"/>
  <c r="F76" i="17"/>
  <c r="F77" i="17"/>
  <c r="F84" i="17"/>
  <c r="F89" i="17"/>
  <c r="F91" i="17"/>
  <c r="F97" i="17"/>
  <c r="F98" i="17"/>
  <c r="F105" i="17"/>
  <c r="F106" i="17"/>
  <c r="F80" i="17"/>
  <c r="F81" i="17"/>
  <c r="F86" i="17"/>
  <c r="F93" i="17"/>
  <c r="F95" i="17"/>
  <c r="F96" i="17"/>
  <c r="F111" i="17"/>
  <c r="F112" i="17"/>
  <c r="F119" i="17"/>
  <c r="F125" i="17"/>
  <c r="F131" i="17"/>
  <c r="F135" i="17"/>
  <c r="F143" i="17"/>
  <c r="F151" i="17"/>
  <c r="F103" i="17"/>
  <c r="F104" i="17"/>
  <c r="F108" i="17"/>
  <c r="F116" i="17"/>
  <c r="F122" i="17"/>
  <c r="F129" i="17"/>
  <c r="F130" i="17"/>
  <c r="F133" i="17"/>
  <c r="F134" i="17"/>
  <c r="F139" i="17"/>
  <c r="F142" i="17"/>
  <c r="F115" i="17"/>
  <c r="F118" i="17"/>
  <c r="F121" i="17"/>
  <c r="F124" i="17"/>
  <c r="F127" i="17"/>
  <c r="F128" i="17"/>
  <c r="F132" i="17"/>
  <c r="F137" i="17"/>
  <c r="F138" i="17"/>
  <c r="F141" i="17"/>
  <c r="F144" i="17"/>
  <c r="F146" i="17"/>
  <c r="F150" i="17"/>
  <c r="F113" i="17"/>
  <c r="F114" i="17"/>
  <c r="F117" i="17"/>
  <c r="F120" i="17"/>
  <c r="F123" i="17"/>
  <c r="F126" i="17"/>
  <c r="F136" i="17"/>
  <c r="F140" i="17"/>
  <c r="F147" i="17"/>
  <c r="F148" i="17"/>
  <c r="F149" i="17"/>
  <c r="F153" i="17"/>
  <c r="F157" i="17"/>
  <c r="F163" i="17"/>
  <c r="F165" i="17"/>
  <c r="F168" i="17"/>
  <c r="F172" i="17"/>
  <c r="F178" i="17"/>
  <c r="F184" i="17"/>
  <c r="F185" i="17"/>
  <c r="F188" i="17"/>
  <c r="F193" i="17"/>
  <c r="F196" i="17"/>
  <c r="F202" i="17"/>
  <c r="F203" i="17"/>
  <c r="F215" i="17"/>
  <c r="F145" i="17"/>
  <c r="F159" i="17"/>
  <c r="F162" i="17"/>
  <c r="F167" i="17"/>
  <c r="F171" i="17"/>
  <c r="F175" i="17"/>
  <c r="F181" i="17"/>
  <c r="F190" i="17"/>
  <c r="F191" i="17"/>
  <c r="F198" i="17"/>
  <c r="F199" i="17"/>
  <c r="F205" i="17"/>
  <c r="F208" i="17"/>
  <c r="F210" i="17"/>
  <c r="F212" i="17"/>
  <c r="F217" i="17"/>
  <c r="F152" i="17"/>
  <c r="F155" i="17"/>
  <c r="F156" i="17"/>
  <c r="F161" i="17"/>
  <c r="F164" i="17"/>
  <c r="F170" i="17"/>
  <c r="F174" i="17"/>
  <c r="F177" i="17"/>
  <c r="F180" i="17"/>
  <c r="F183" i="17"/>
  <c r="F186" i="17"/>
  <c r="F187" i="17"/>
  <c r="F194" i="17"/>
  <c r="F195" i="17"/>
  <c r="F201" i="17"/>
  <c r="F204" i="17"/>
  <c r="F214" i="17"/>
  <c r="F219" i="17"/>
  <c r="F220" i="17"/>
  <c r="F154" i="17"/>
  <c r="F158" i="17"/>
  <c r="F160" i="17"/>
  <c r="F166" i="17"/>
  <c r="F169" i="17"/>
  <c r="F173" i="17"/>
  <c r="F176" i="17"/>
  <c r="F179" i="17"/>
  <c r="F182" i="17"/>
  <c r="F189" i="17"/>
  <c r="F192" i="17"/>
  <c r="F197" i="17"/>
  <c r="F200" i="17"/>
  <c r="F206" i="17"/>
  <c r="F207" i="17"/>
  <c r="F209" i="17"/>
  <c r="F211" i="17"/>
  <c r="F213" i="17"/>
  <c r="F224" i="17"/>
  <c r="F228" i="17"/>
  <c r="F232" i="17"/>
  <c r="F236" i="17"/>
  <c r="F240" i="17"/>
  <c r="F244" i="17"/>
  <c r="F248" i="17"/>
  <c r="F250" i="17"/>
  <c r="F252" i="17"/>
  <c r="F255" i="17"/>
  <c r="F258" i="17"/>
  <c r="F263" i="17"/>
  <c r="F266" i="17"/>
  <c r="F271" i="17"/>
  <c r="F274" i="17"/>
  <c r="F282" i="17"/>
  <c r="F285" i="17"/>
  <c r="F288" i="17"/>
  <c r="F291" i="17"/>
  <c r="F223" i="17"/>
  <c r="F227" i="17"/>
  <c r="F231" i="17"/>
  <c r="F235" i="17"/>
  <c r="F239" i="17"/>
  <c r="F243" i="17"/>
  <c r="F247" i="17"/>
  <c r="F257" i="17"/>
  <c r="F260" i="17"/>
  <c r="F265" i="17"/>
  <c r="F268" i="17"/>
  <c r="F273" i="17"/>
  <c r="F276" i="17"/>
  <c r="F278" i="17"/>
  <c r="F281" i="17"/>
  <c r="F284" i="17"/>
  <c r="F287" i="17"/>
  <c r="F293" i="17"/>
  <c r="F222" i="17"/>
  <c r="F226" i="17"/>
  <c r="F230" i="17"/>
  <c r="F234" i="17"/>
  <c r="F238" i="17"/>
  <c r="F242" i="17"/>
  <c r="F246" i="17"/>
  <c r="F249" i="17"/>
  <c r="F251" i="17"/>
  <c r="F253" i="17"/>
  <c r="F254" i="17"/>
  <c r="F259" i="17"/>
  <c r="F262" i="17"/>
  <c r="F267" i="17"/>
  <c r="F270" i="17"/>
  <c r="F275" i="17"/>
  <c r="F280" i="17"/>
  <c r="F283" i="17"/>
  <c r="F290" i="17"/>
  <c r="F292" i="17"/>
  <c r="F216" i="17"/>
  <c r="F218" i="17"/>
  <c r="F221" i="17"/>
  <c r="F225" i="17"/>
  <c r="F229" i="17"/>
  <c r="F233" i="17"/>
  <c r="F237" i="17"/>
  <c r="F241" i="17"/>
  <c r="F245" i="17"/>
  <c r="F256" i="17"/>
  <c r="F261" i="17"/>
  <c r="F264" i="17"/>
  <c r="F269" i="17"/>
  <c r="F272" i="17"/>
  <c r="F277" i="17"/>
  <c r="F279" i="17"/>
  <c r="F286" i="17"/>
  <c r="F289" i="17"/>
  <c r="F295" i="17"/>
  <c r="F302" i="17"/>
  <c r="F304" i="17"/>
  <c r="F309" i="17"/>
  <c r="F311" i="17"/>
  <c r="F317" i="17"/>
  <c r="F319" i="17"/>
  <c r="F329" i="17"/>
  <c r="F333" i="17"/>
  <c r="F335" i="17"/>
  <c r="F340" i="17"/>
  <c r="F343" i="17"/>
  <c r="F347" i="17"/>
  <c r="F348" i="17"/>
  <c r="F353" i="17"/>
  <c r="F355" i="17"/>
  <c r="F361" i="17"/>
  <c r="F362" i="17"/>
  <c r="F365" i="17"/>
  <c r="F366" i="17"/>
  <c r="F298" i="17"/>
  <c r="F301" i="17"/>
  <c r="F306" i="17"/>
  <c r="F308" i="17"/>
  <c r="F313" i="17"/>
  <c r="F316" i="17"/>
  <c r="F321" i="17"/>
  <c r="F323" i="17"/>
  <c r="F326" i="17"/>
  <c r="F328" i="17"/>
  <c r="F331" i="17"/>
  <c r="F332" i="17"/>
  <c r="F337" i="17"/>
  <c r="F339" i="17"/>
  <c r="F342" i="17"/>
  <c r="F345" i="17"/>
  <c r="F346" i="17"/>
  <c r="F352" i="17"/>
  <c r="F359" i="17"/>
  <c r="F360" i="17"/>
  <c r="F294" i="17"/>
  <c r="F297" i="17"/>
  <c r="F300" i="17"/>
  <c r="F303" i="17"/>
  <c r="F310" i="17"/>
  <c r="F312" i="17"/>
  <c r="F318" i="17"/>
  <c r="F320" i="17"/>
  <c r="F325" i="17"/>
  <c r="F330" i="17"/>
  <c r="F334" i="17"/>
  <c r="F336" i="17"/>
  <c r="F341" i="17"/>
  <c r="F344" i="17"/>
  <c r="F351" i="17"/>
  <c r="F354" i="17"/>
  <c r="F357" i="17"/>
  <c r="F358" i="17"/>
  <c r="F296" i="17"/>
  <c r="F299" i="17"/>
  <c r="F305" i="17"/>
  <c r="F307" i="17"/>
  <c r="F314" i="17"/>
  <c r="F315" i="17"/>
  <c r="F322" i="17"/>
  <c r="F324" i="17"/>
  <c r="F327" i="17"/>
  <c r="F338" i="17"/>
  <c r="F349" i="17"/>
  <c r="F350" i="17"/>
  <c r="F370" i="17"/>
  <c r="F379" i="17"/>
  <c r="F380" i="17"/>
  <c r="F384" i="17"/>
  <c r="F387" i="17"/>
  <c r="F397" i="17"/>
  <c r="F400" i="17"/>
  <c r="F402" i="17"/>
  <c r="F407" i="17"/>
  <c r="F410" i="17"/>
  <c r="F416" i="17"/>
  <c r="F418" i="17"/>
  <c r="F426" i="17"/>
  <c r="F432" i="17"/>
  <c r="F363" i="17"/>
  <c r="F364" i="17"/>
  <c r="F369" i="17"/>
  <c r="F372" i="17"/>
  <c r="F375" i="17"/>
  <c r="F378" i="17"/>
  <c r="F389" i="17"/>
  <c r="F393" i="17"/>
  <c r="F394" i="17"/>
  <c r="F399" i="17"/>
  <c r="F404" i="17"/>
  <c r="F412" i="17"/>
  <c r="F415" i="17"/>
  <c r="F420" i="17"/>
  <c r="F422" i="17"/>
  <c r="F430" i="17"/>
  <c r="F431" i="17"/>
  <c r="F434" i="17"/>
  <c r="F367" i="17"/>
  <c r="F368" i="17"/>
  <c r="F374" i="17"/>
  <c r="F377" i="17"/>
  <c r="F383" i="17"/>
  <c r="F385" i="17"/>
  <c r="F386" i="17"/>
  <c r="F392" i="17"/>
  <c r="F396" i="17"/>
  <c r="F398" i="17"/>
  <c r="F401" i="17"/>
  <c r="F403" i="17"/>
  <c r="F406" i="17"/>
  <c r="F409" i="17"/>
  <c r="F411" i="17"/>
  <c r="F417" i="17"/>
  <c r="F419" i="17"/>
  <c r="F424" i="17"/>
  <c r="F425" i="17"/>
  <c r="F428" i="17"/>
  <c r="F429" i="17"/>
  <c r="F433" i="17"/>
  <c r="F356" i="17"/>
  <c r="F371" i="17"/>
  <c r="F373" i="17"/>
  <c r="F376" i="17"/>
  <c r="F381" i="17"/>
  <c r="F382" i="17"/>
  <c r="F388" i="17"/>
  <c r="F390" i="17"/>
  <c r="F391" i="17"/>
  <c r="F395" i="17"/>
  <c r="F405" i="17"/>
  <c r="F408" i="17"/>
  <c r="F413" i="17"/>
  <c r="F414" i="17"/>
  <c r="F421" i="17"/>
  <c r="F427" i="17"/>
  <c r="F441" i="17"/>
  <c r="F444" i="17"/>
  <c r="F447" i="17"/>
  <c r="F450" i="17"/>
  <c r="F459" i="17"/>
  <c r="F466" i="17"/>
  <c r="F467" i="17"/>
  <c r="F474" i="17"/>
  <c r="F475" i="17"/>
  <c r="F482" i="17"/>
  <c r="F483" i="17"/>
  <c r="F490" i="17"/>
  <c r="F491" i="17"/>
  <c r="F498" i="17"/>
  <c r="F499" i="17"/>
  <c r="F512" i="17"/>
  <c r="F515" i="17"/>
  <c r="F517" i="17"/>
  <c r="F522" i="17"/>
  <c r="F527" i="17"/>
  <c r="F532" i="17"/>
  <c r="F534" i="17"/>
  <c r="F537" i="17"/>
  <c r="F544" i="17"/>
  <c r="F551" i="17"/>
  <c r="F556" i="17"/>
  <c r="F558" i="17"/>
  <c r="F564" i="17"/>
  <c r="F565" i="17"/>
  <c r="F568" i="17"/>
  <c r="F572" i="17"/>
  <c r="F576" i="17"/>
  <c r="F580" i="17"/>
  <c r="F423" i="17"/>
  <c r="F435" i="17"/>
  <c r="F438" i="17"/>
  <c r="F440" i="17"/>
  <c r="F443" i="17"/>
  <c r="F454" i="17"/>
  <c r="F458" i="17"/>
  <c r="F464" i="17"/>
  <c r="F465" i="17"/>
  <c r="F472" i="17"/>
  <c r="F473" i="17"/>
  <c r="F480" i="17"/>
  <c r="F481" i="17"/>
  <c r="F488" i="17"/>
  <c r="F489" i="17"/>
  <c r="F496" i="17"/>
  <c r="F497" i="17"/>
  <c r="F504" i="17"/>
  <c r="F505" i="17"/>
  <c r="F507" i="17"/>
  <c r="F509" i="17"/>
  <c r="F514" i="17"/>
  <c r="F519" i="17"/>
  <c r="F524" i="17"/>
  <c r="F526" i="17"/>
  <c r="F529" i="17"/>
  <c r="F536" i="17"/>
  <c r="F539" i="17"/>
  <c r="F541" i="17"/>
  <c r="F548" i="17"/>
  <c r="F550" i="17"/>
  <c r="F553" i="17"/>
  <c r="F560" i="17"/>
  <c r="F563" i="17"/>
  <c r="F571" i="17"/>
  <c r="F575" i="17"/>
  <c r="F579" i="17"/>
  <c r="F582" i="17"/>
  <c r="F437" i="17"/>
  <c r="F446" i="17"/>
  <c r="F448" i="17"/>
  <c r="F449" i="17"/>
  <c r="F452" i="17"/>
  <c r="F453" i="17"/>
  <c r="F456" i="17"/>
  <c r="F457" i="17"/>
  <c r="F462" i="17"/>
  <c r="F463" i="17"/>
  <c r="F470" i="17"/>
  <c r="F471" i="17"/>
  <c r="F478" i="17"/>
  <c r="F479" i="17"/>
  <c r="F486" i="17"/>
  <c r="F487" i="17"/>
  <c r="F494" i="17"/>
  <c r="F495" i="17"/>
  <c r="F502" i="17"/>
  <c r="F503" i="17"/>
  <c r="F506" i="17"/>
  <c r="F511" i="17"/>
  <c r="F516" i="17"/>
  <c r="F518" i="17"/>
  <c r="F521" i="17"/>
  <c r="F528" i="17"/>
  <c r="F531" i="17"/>
  <c r="F533" i="17"/>
  <c r="F538" i="17"/>
  <c r="F543" i="17"/>
  <c r="F547" i="17"/>
  <c r="F552" i="17"/>
  <c r="F555" i="17"/>
  <c r="F557" i="17"/>
  <c r="F562" i="17"/>
  <c r="F567" i="17"/>
  <c r="F570" i="17"/>
  <c r="F574" i="17"/>
  <c r="F578" i="17"/>
  <c r="F436" i="17"/>
  <c r="F439" i="17"/>
  <c r="F442" i="17"/>
  <c r="F445" i="17"/>
  <c r="F451" i="17"/>
  <c r="F455" i="17"/>
  <c r="F460" i="17"/>
  <c r="F461" i="17"/>
  <c r="F468" i="17"/>
  <c r="F469" i="17"/>
  <c r="F476" i="17"/>
  <c r="F477" i="17"/>
  <c r="F484" i="17"/>
  <c r="F485" i="17"/>
  <c r="F492" i="17"/>
  <c r="F493" i="17"/>
  <c r="F500" i="17"/>
  <c r="F501" i="17"/>
  <c r="F508" i="17"/>
  <c r="F510" i="17"/>
  <c r="F513" i="17"/>
  <c r="F520" i="17"/>
  <c r="F523" i="17"/>
  <c r="F525" i="17"/>
  <c r="F530" i="17"/>
  <c r="F535" i="17"/>
  <c r="F540" i="17"/>
  <c r="F542" i="17"/>
  <c r="F545" i="17"/>
  <c r="F546" i="17"/>
  <c r="F549" i="17"/>
  <c r="F554" i="17"/>
  <c r="F559" i="17"/>
  <c r="F561" i="17"/>
  <c r="F566" i="17"/>
  <c r="F569" i="17"/>
  <c r="F573" i="17"/>
  <c r="F577" i="17"/>
  <c r="F581" i="17"/>
  <c r="F585" i="17"/>
  <c r="F590" i="17"/>
  <c r="F591" i="17"/>
  <c r="F596" i="17"/>
  <c r="F600" i="17"/>
  <c r="F603" i="17"/>
  <c r="F606" i="17"/>
  <c r="F610" i="17"/>
  <c r="F613" i="17"/>
  <c r="F616" i="17"/>
  <c r="F626" i="17"/>
  <c r="F629" i="17"/>
  <c r="F634" i="17"/>
  <c r="F637" i="17"/>
  <c r="F642" i="17"/>
  <c r="F645" i="17"/>
  <c r="F650" i="17"/>
  <c r="F653" i="17"/>
  <c r="F657" i="17"/>
  <c r="F659" i="17"/>
  <c r="F661" i="17"/>
  <c r="F663" i="17"/>
  <c r="F665" i="17"/>
  <c r="F668" i="17"/>
  <c r="F669" i="17"/>
  <c r="F672" i="17"/>
  <c r="F674" i="17"/>
  <c r="F676" i="17"/>
  <c r="F677" i="17"/>
  <c r="F680" i="17"/>
  <c r="F681" i="17"/>
  <c r="F684" i="17"/>
  <c r="F685" i="17"/>
  <c r="F688" i="17"/>
  <c r="F690" i="17"/>
  <c r="F692" i="17"/>
  <c r="F694" i="17"/>
  <c r="F696" i="17"/>
  <c r="F698" i="17"/>
  <c r="F699" i="17"/>
  <c r="F701" i="17"/>
  <c r="F704" i="17"/>
  <c r="F705" i="17"/>
  <c r="F708" i="17"/>
  <c r="F709" i="17"/>
  <c r="F712" i="17"/>
  <c r="F714" i="17"/>
  <c r="F715" i="17"/>
  <c r="F718" i="17"/>
  <c r="F720" i="17"/>
  <c r="F721" i="17"/>
  <c r="F724" i="17"/>
  <c r="F584" i="17"/>
  <c r="F587" i="17"/>
  <c r="F593" i="17"/>
  <c r="F598" i="17"/>
  <c r="F599" i="17"/>
  <c r="F602" i="17"/>
  <c r="F612" i="17"/>
  <c r="F615" i="17"/>
  <c r="F619" i="17"/>
  <c r="F623" i="17"/>
  <c r="F628" i="17"/>
  <c r="F631" i="17"/>
  <c r="F636" i="17"/>
  <c r="F639" i="17"/>
  <c r="F644" i="17"/>
  <c r="F647" i="17"/>
  <c r="F652" i="17"/>
  <c r="F655" i="17"/>
  <c r="F586" i="17"/>
  <c r="F589" i="17"/>
  <c r="F592" i="17"/>
  <c r="F595" i="17"/>
  <c r="F605" i="17"/>
  <c r="F608" i="17"/>
  <c r="F609" i="17"/>
  <c r="F614" i="17"/>
  <c r="F618" i="17"/>
  <c r="F622" i="17"/>
  <c r="F625" i="17"/>
  <c r="F630" i="17"/>
  <c r="F633" i="17"/>
  <c r="F638" i="17"/>
  <c r="F641" i="17"/>
  <c r="F646" i="17"/>
  <c r="F649" i="17"/>
  <c r="F654" i="17"/>
  <c r="F656" i="17"/>
  <c r="F658" i="17"/>
  <c r="F660" i="17"/>
  <c r="F662" i="17"/>
  <c r="F664" i="17"/>
  <c r="F666" i="17"/>
  <c r="F667" i="17"/>
  <c r="F670" i="17"/>
  <c r="F671" i="17"/>
  <c r="F673" i="17"/>
  <c r="F675" i="17"/>
  <c r="F678" i="17"/>
  <c r="F679" i="17"/>
  <c r="F682" i="17"/>
  <c r="F683" i="17"/>
  <c r="F686" i="17"/>
  <c r="F687" i="17"/>
  <c r="F689" i="17"/>
  <c r="F691" i="17"/>
  <c r="F693" i="17"/>
  <c r="F695" i="17"/>
  <c r="F697" i="17"/>
  <c r="F700" i="17"/>
  <c r="F702" i="17"/>
  <c r="F703" i="17"/>
  <c r="F706" i="17"/>
  <c r="F707" i="17"/>
  <c r="F710" i="17"/>
  <c r="F711" i="17"/>
  <c r="F713" i="17"/>
  <c r="F716" i="17"/>
  <c r="F717" i="17"/>
  <c r="F719" i="17"/>
  <c r="F722" i="17"/>
  <c r="F723" i="17"/>
  <c r="F725" i="17"/>
  <c r="F583" i="17"/>
  <c r="F588" i="17"/>
  <c r="F594" i="17"/>
  <c r="F597" i="17"/>
  <c r="F601" i="17"/>
  <c r="F604" i="17"/>
  <c r="F607" i="17"/>
  <c r="F611" i="17"/>
  <c r="F617" i="17"/>
  <c r="F620" i="17"/>
  <c r="F621" i="17"/>
  <c r="F624" i="17"/>
  <c r="F627" i="17"/>
  <c r="F632" i="17"/>
  <c r="F635" i="17"/>
  <c r="F640" i="17"/>
  <c r="F643" i="17"/>
  <c r="F648" i="17"/>
  <c r="F651" i="17"/>
  <c r="F728" i="17"/>
  <c r="F729" i="17"/>
  <c r="F731" i="17"/>
  <c r="F734" i="17"/>
  <c r="F736" i="17"/>
  <c r="F726" i="17"/>
  <c r="F727" i="17"/>
  <c r="F730" i="17"/>
  <c r="F732" i="17"/>
  <c r="F733" i="17"/>
  <c r="F735" i="17"/>
  <c r="F7" i="17"/>
  <c r="D11" i="17"/>
  <c r="D14" i="17"/>
  <c r="D22" i="17"/>
  <c r="D24" i="17"/>
  <c r="D31" i="17"/>
  <c r="D33" i="17"/>
  <c r="D35" i="17"/>
  <c r="D38" i="17"/>
  <c r="D9" i="17"/>
  <c r="D12" i="17"/>
  <c r="D10" i="17"/>
  <c r="D15" i="17"/>
  <c r="D16" i="17"/>
  <c r="D17" i="17"/>
  <c r="D19" i="17"/>
  <c r="D23" i="17"/>
  <c r="D26" i="17"/>
  <c r="D29" i="17"/>
  <c r="D32" i="17"/>
  <c r="D34" i="17"/>
  <c r="D36" i="17"/>
  <c r="D37" i="17"/>
  <c r="D8" i="17"/>
  <c r="D13" i="17"/>
  <c r="D21" i="17"/>
  <c r="D25" i="17"/>
  <c r="D28" i="17"/>
  <c r="D39" i="17"/>
  <c r="D41" i="17"/>
  <c r="D43" i="17"/>
  <c r="D46" i="17"/>
  <c r="D48" i="17"/>
  <c r="D51" i="17"/>
  <c r="D53" i="17"/>
  <c r="D62" i="17"/>
  <c r="D63" i="17"/>
  <c r="D66" i="17"/>
  <c r="D68" i="17"/>
  <c r="D71" i="17"/>
  <c r="D20" i="17"/>
  <c r="D40" i="17"/>
  <c r="D42" i="17"/>
  <c r="D45" i="17"/>
  <c r="D50" i="17"/>
  <c r="D55" i="17"/>
  <c r="D58" i="17"/>
  <c r="D61" i="17"/>
  <c r="D70" i="17"/>
  <c r="D73" i="17"/>
  <c r="D27" i="17"/>
  <c r="D30" i="17"/>
  <c r="D49" i="17"/>
  <c r="D52" i="17"/>
  <c r="D54" i="17"/>
  <c r="D57" i="17"/>
  <c r="D60" i="17"/>
  <c r="D65" i="17"/>
  <c r="D67" i="17"/>
  <c r="D72" i="17"/>
  <c r="D18" i="17"/>
  <c r="D44" i="17"/>
  <c r="D47" i="17"/>
  <c r="D56" i="17"/>
  <c r="D59" i="17"/>
  <c r="D64" i="17"/>
  <c r="D69" i="17"/>
  <c r="D74" i="17"/>
  <c r="D78" i="17"/>
  <c r="D82" i="17"/>
  <c r="D85" i="17"/>
  <c r="D87" i="17"/>
  <c r="D92" i="17"/>
  <c r="D94" i="17"/>
  <c r="D99" i="17"/>
  <c r="D100" i="17"/>
  <c r="D107" i="17"/>
  <c r="D108" i="17"/>
  <c r="D76" i="17"/>
  <c r="D77" i="17"/>
  <c r="D84" i="17"/>
  <c r="D89" i="17"/>
  <c r="D91" i="17"/>
  <c r="D97" i="17"/>
  <c r="D98" i="17"/>
  <c r="D105" i="17"/>
  <c r="D106" i="17"/>
  <c r="D80" i="17"/>
  <c r="D81" i="17"/>
  <c r="D86" i="17"/>
  <c r="D93" i="17"/>
  <c r="D95" i="17"/>
  <c r="D96" i="17"/>
  <c r="D103" i="17"/>
  <c r="D104" i="17"/>
  <c r="D75" i="17"/>
  <c r="D79" i="17"/>
  <c r="D83" i="17"/>
  <c r="D88" i="17"/>
  <c r="D90" i="17"/>
  <c r="D101" i="17"/>
  <c r="D102" i="17"/>
  <c r="D116" i="17"/>
  <c r="D122" i="17"/>
  <c r="D129" i="17"/>
  <c r="D130" i="17"/>
  <c r="D133" i="17"/>
  <c r="D134" i="17"/>
  <c r="D139" i="17"/>
  <c r="D142" i="17"/>
  <c r="D147" i="17"/>
  <c r="D148" i="17"/>
  <c r="D109" i="17"/>
  <c r="D110" i="17"/>
  <c r="D115" i="17"/>
  <c r="D118" i="17"/>
  <c r="D121" i="17"/>
  <c r="D124" i="17"/>
  <c r="D127" i="17"/>
  <c r="D128" i="17"/>
  <c r="D132" i="17"/>
  <c r="D137" i="17"/>
  <c r="D138" i="17"/>
  <c r="D141" i="17"/>
  <c r="D144" i="17"/>
  <c r="D113" i="17"/>
  <c r="D114" i="17"/>
  <c r="D117" i="17"/>
  <c r="D120" i="17"/>
  <c r="D123" i="17"/>
  <c r="D126" i="17"/>
  <c r="D136" i="17"/>
  <c r="D140" i="17"/>
  <c r="D145" i="17"/>
  <c r="D149" i="17"/>
  <c r="D111" i="17"/>
  <c r="D112" i="17"/>
  <c r="D119" i="17"/>
  <c r="D125" i="17"/>
  <c r="D131" i="17"/>
  <c r="D135" i="17"/>
  <c r="D146" i="17"/>
  <c r="D150" i="17"/>
  <c r="D159" i="17"/>
  <c r="D162" i="17"/>
  <c r="D167" i="17"/>
  <c r="D171" i="17"/>
  <c r="D175" i="17"/>
  <c r="D181" i="17"/>
  <c r="D190" i="17"/>
  <c r="D191" i="17"/>
  <c r="D198" i="17"/>
  <c r="D199" i="17"/>
  <c r="D205" i="17"/>
  <c r="D208" i="17"/>
  <c r="D210" i="17"/>
  <c r="D212" i="17"/>
  <c r="D217" i="17"/>
  <c r="D143" i="17"/>
  <c r="D151" i="17"/>
  <c r="D152" i="17"/>
  <c r="D155" i="17"/>
  <c r="D156" i="17"/>
  <c r="D161" i="17"/>
  <c r="D164" i="17"/>
  <c r="D170" i="17"/>
  <c r="D174" i="17"/>
  <c r="D177" i="17"/>
  <c r="D180" i="17"/>
  <c r="D183" i="17"/>
  <c r="D186" i="17"/>
  <c r="D187" i="17"/>
  <c r="D194" i="17"/>
  <c r="D195" i="17"/>
  <c r="D201" i="17"/>
  <c r="D204" i="17"/>
  <c r="D214" i="17"/>
  <c r="D219" i="17"/>
  <c r="D220" i="17"/>
  <c r="D154" i="17"/>
  <c r="D158" i="17"/>
  <c r="D160" i="17"/>
  <c r="D166" i="17"/>
  <c r="D169" i="17"/>
  <c r="D173" i="17"/>
  <c r="D176" i="17"/>
  <c r="D179" i="17"/>
  <c r="D182" i="17"/>
  <c r="D189" i="17"/>
  <c r="D192" i="17"/>
  <c r="D197" i="17"/>
  <c r="D200" i="17"/>
  <c r="D206" i="17"/>
  <c r="D207" i="17"/>
  <c r="D209" i="17"/>
  <c r="D211" i="17"/>
  <c r="D213" i="17"/>
  <c r="D216" i="17"/>
  <c r="D153" i="17"/>
  <c r="D157" i="17"/>
  <c r="D163" i="17"/>
  <c r="D165" i="17"/>
  <c r="D168" i="17"/>
  <c r="D172" i="17"/>
  <c r="D178" i="17"/>
  <c r="D184" i="17"/>
  <c r="D185" i="17"/>
  <c r="D188" i="17"/>
  <c r="D193" i="17"/>
  <c r="D196" i="17"/>
  <c r="D202" i="17"/>
  <c r="D203" i="17"/>
  <c r="D223" i="17"/>
  <c r="D227" i="17"/>
  <c r="D231" i="17"/>
  <c r="D235" i="17"/>
  <c r="D239" i="17"/>
  <c r="D243" i="17"/>
  <c r="D247" i="17"/>
  <c r="D257" i="17"/>
  <c r="D260" i="17"/>
  <c r="D265" i="17"/>
  <c r="D268" i="17"/>
  <c r="D273" i="17"/>
  <c r="D276" i="17"/>
  <c r="D278" i="17"/>
  <c r="D281" i="17"/>
  <c r="D284" i="17"/>
  <c r="D287" i="17"/>
  <c r="D293" i="17"/>
  <c r="D222" i="17"/>
  <c r="D226" i="17"/>
  <c r="D230" i="17"/>
  <c r="D234" i="17"/>
  <c r="D238" i="17"/>
  <c r="D242" i="17"/>
  <c r="D246" i="17"/>
  <c r="D249" i="17"/>
  <c r="D251" i="17"/>
  <c r="D253" i="17"/>
  <c r="D254" i="17"/>
  <c r="D259" i="17"/>
  <c r="D262" i="17"/>
  <c r="D267" i="17"/>
  <c r="D270" i="17"/>
  <c r="D275" i="17"/>
  <c r="D280" i="17"/>
  <c r="D283" i="17"/>
  <c r="D290" i="17"/>
  <c r="D292" i="17"/>
  <c r="D215" i="17"/>
  <c r="D218" i="17"/>
  <c r="D221" i="17"/>
  <c r="D225" i="17"/>
  <c r="D229" i="17"/>
  <c r="D233" i="17"/>
  <c r="D237" i="17"/>
  <c r="D241" i="17"/>
  <c r="D245" i="17"/>
  <c r="D256" i="17"/>
  <c r="D261" i="17"/>
  <c r="D264" i="17"/>
  <c r="D269" i="17"/>
  <c r="D272" i="17"/>
  <c r="D277" i="17"/>
  <c r="D279" i="17"/>
  <c r="D286" i="17"/>
  <c r="D289" i="17"/>
  <c r="D224" i="17"/>
  <c r="D228" i="17"/>
  <c r="D232" i="17"/>
  <c r="D236" i="17"/>
  <c r="D240" i="17"/>
  <c r="D244" i="17"/>
  <c r="D248" i="17"/>
  <c r="D250" i="17"/>
  <c r="D252" i="17"/>
  <c r="D255" i="17"/>
  <c r="D258" i="17"/>
  <c r="D263" i="17"/>
  <c r="D266" i="17"/>
  <c r="D271" i="17"/>
  <c r="D274" i="17"/>
  <c r="D282" i="17"/>
  <c r="D285" i="17"/>
  <c r="D288" i="17"/>
  <c r="D291" i="17"/>
  <c r="D298" i="17"/>
  <c r="D301" i="17"/>
  <c r="D306" i="17"/>
  <c r="D308" i="17"/>
  <c r="D313" i="17"/>
  <c r="D316" i="17"/>
  <c r="D321" i="17"/>
  <c r="D323" i="17"/>
  <c r="D326" i="17"/>
  <c r="D328" i="17"/>
  <c r="D331" i="17"/>
  <c r="D332" i="17"/>
  <c r="D337" i="17"/>
  <c r="D339" i="17"/>
  <c r="D342" i="17"/>
  <c r="D345" i="17"/>
  <c r="D346" i="17"/>
  <c r="D352" i="17"/>
  <c r="D359" i="17"/>
  <c r="D360" i="17"/>
  <c r="D364" i="17"/>
  <c r="D294" i="17"/>
  <c r="D297" i="17"/>
  <c r="D300" i="17"/>
  <c r="D303" i="17"/>
  <c r="D310" i="17"/>
  <c r="D312" i="17"/>
  <c r="D318" i="17"/>
  <c r="D320" i="17"/>
  <c r="D325" i="17"/>
  <c r="D330" i="17"/>
  <c r="D334" i="17"/>
  <c r="D336" i="17"/>
  <c r="D341" i="17"/>
  <c r="D344" i="17"/>
  <c r="D351" i="17"/>
  <c r="D354" i="17"/>
  <c r="D357" i="17"/>
  <c r="D358" i="17"/>
  <c r="D296" i="17"/>
  <c r="D299" i="17"/>
  <c r="D305" i="17"/>
  <c r="D307" i="17"/>
  <c r="D314" i="17"/>
  <c r="D315" i="17"/>
  <c r="D322" i="17"/>
  <c r="D324" i="17"/>
  <c r="D327" i="17"/>
  <c r="D338" i="17"/>
  <c r="D349" i="17"/>
  <c r="D350" i="17"/>
  <c r="D356" i="17"/>
  <c r="D363" i="17"/>
  <c r="D367" i="17"/>
  <c r="D295" i="17"/>
  <c r="D302" i="17"/>
  <c r="D304" i="17"/>
  <c r="D309" i="17"/>
  <c r="D311" i="17"/>
  <c r="D317" i="17"/>
  <c r="D319" i="17"/>
  <c r="D329" i="17"/>
  <c r="D333" i="17"/>
  <c r="D335" i="17"/>
  <c r="D340" i="17"/>
  <c r="D343" i="17"/>
  <c r="D347" i="17"/>
  <c r="D348" i="17"/>
  <c r="D361" i="17"/>
  <c r="D362" i="17"/>
  <c r="D369" i="17"/>
  <c r="D372" i="17"/>
  <c r="D375" i="17"/>
  <c r="D378" i="17"/>
  <c r="D389" i="17"/>
  <c r="D393" i="17"/>
  <c r="D394" i="17"/>
  <c r="D399" i="17"/>
  <c r="D404" i="17"/>
  <c r="D412" i="17"/>
  <c r="D415" i="17"/>
  <c r="D420" i="17"/>
  <c r="D422" i="17"/>
  <c r="D430" i="17"/>
  <c r="D431" i="17"/>
  <c r="D434" i="17"/>
  <c r="D435" i="17"/>
  <c r="D353" i="17"/>
  <c r="D365" i="17"/>
  <c r="D366" i="17"/>
  <c r="D368" i="17"/>
  <c r="D374" i="17"/>
  <c r="D377" i="17"/>
  <c r="D383" i="17"/>
  <c r="D385" i="17"/>
  <c r="D386" i="17"/>
  <c r="D392" i="17"/>
  <c r="D396" i="17"/>
  <c r="D398" i="17"/>
  <c r="D401" i="17"/>
  <c r="D403" i="17"/>
  <c r="D406" i="17"/>
  <c r="D409" i="17"/>
  <c r="D411" i="17"/>
  <c r="D417" i="17"/>
  <c r="D419" i="17"/>
  <c r="D424" i="17"/>
  <c r="D425" i="17"/>
  <c r="D428" i="17"/>
  <c r="D429" i="17"/>
  <c r="D433" i="17"/>
  <c r="D371" i="17"/>
  <c r="D373" i="17"/>
  <c r="D376" i="17"/>
  <c r="D381" i="17"/>
  <c r="D382" i="17"/>
  <c r="D388" i="17"/>
  <c r="D390" i="17"/>
  <c r="D391" i="17"/>
  <c r="D395" i="17"/>
  <c r="D405" i="17"/>
  <c r="D408" i="17"/>
  <c r="D413" i="17"/>
  <c r="D414" i="17"/>
  <c r="D421" i="17"/>
  <c r="D423" i="17"/>
  <c r="D427" i="17"/>
  <c r="D355" i="17"/>
  <c r="D370" i="17"/>
  <c r="D379" i="17"/>
  <c r="D380" i="17"/>
  <c r="D384" i="17"/>
  <c r="D387" i="17"/>
  <c r="D397" i="17"/>
  <c r="D400" i="17"/>
  <c r="D402" i="17"/>
  <c r="D407" i="17"/>
  <c r="D410" i="17"/>
  <c r="D416" i="17"/>
  <c r="D418" i="17"/>
  <c r="D426" i="17"/>
  <c r="D438" i="17"/>
  <c r="D440" i="17"/>
  <c r="D443" i="17"/>
  <c r="D454" i="17"/>
  <c r="D458" i="17"/>
  <c r="D464" i="17"/>
  <c r="D465" i="17"/>
  <c r="D472" i="17"/>
  <c r="D473" i="17"/>
  <c r="D480" i="17"/>
  <c r="D481" i="17"/>
  <c r="D488" i="17"/>
  <c r="D489" i="17"/>
  <c r="D496" i="17"/>
  <c r="D497" i="17"/>
  <c r="D504" i="17"/>
  <c r="D505" i="17"/>
  <c r="D507" i="17"/>
  <c r="D509" i="17"/>
  <c r="D514" i="17"/>
  <c r="D519" i="17"/>
  <c r="D524" i="17"/>
  <c r="D526" i="17"/>
  <c r="D529" i="17"/>
  <c r="D536" i="17"/>
  <c r="D539" i="17"/>
  <c r="D541" i="17"/>
  <c r="D548" i="17"/>
  <c r="D550" i="17"/>
  <c r="D553" i="17"/>
  <c r="D560" i="17"/>
  <c r="D563" i="17"/>
  <c r="D571" i="17"/>
  <c r="D575" i="17"/>
  <c r="D579" i="17"/>
  <c r="D582" i="17"/>
  <c r="D432" i="17"/>
  <c r="D437" i="17"/>
  <c r="D446" i="17"/>
  <c r="D448" i="17"/>
  <c r="D449" i="17"/>
  <c r="D452" i="17"/>
  <c r="D453" i="17"/>
  <c r="D456" i="17"/>
  <c r="D457" i="17"/>
  <c r="D462" i="17"/>
  <c r="D463" i="17"/>
  <c r="D470" i="17"/>
  <c r="D471" i="17"/>
  <c r="D478" i="17"/>
  <c r="D479" i="17"/>
  <c r="D486" i="17"/>
  <c r="D487" i="17"/>
  <c r="D494" i="17"/>
  <c r="D495" i="17"/>
  <c r="D502" i="17"/>
  <c r="D503" i="17"/>
  <c r="D506" i="17"/>
  <c r="D511" i="17"/>
  <c r="D516" i="17"/>
  <c r="D518" i="17"/>
  <c r="D521" i="17"/>
  <c r="D528" i="17"/>
  <c r="D531" i="17"/>
  <c r="D533" i="17"/>
  <c r="D538" i="17"/>
  <c r="D543" i="17"/>
  <c r="D547" i="17"/>
  <c r="D552" i="17"/>
  <c r="D555" i="17"/>
  <c r="D557" i="17"/>
  <c r="D562" i="17"/>
  <c r="D567" i="17"/>
  <c r="D570" i="17"/>
  <c r="D574" i="17"/>
  <c r="D578" i="17"/>
  <c r="D436" i="17"/>
  <c r="D439" i="17"/>
  <c r="D442" i="17"/>
  <c r="D445" i="17"/>
  <c r="D451" i="17"/>
  <c r="D455" i="17"/>
  <c r="D460" i="17"/>
  <c r="D461" i="17"/>
  <c r="D468" i="17"/>
  <c r="D469" i="17"/>
  <c r="D476" i="17"/>
  <c r="D477" i="17"/>
  <c r="D484" i="17"/>
  <c r="D485" i="17"/>
  <c r="D492" i="17"/>
  <c r="D493" i="17"/>
  <c r="D500" i="17"/>
  <c r="D501" i="17"/>
  <c r="D508" i="17"/>
  <c r="D510" i="17"/>
  <c r="D513" i="17"/>
  <c r="D520" i="17"/>
  <c r="D523" i="17"/>
  <c r="D525" i="17"/>
  <c r="D530" i="17"/>
  <c r="D535" i="17"/>
  <c r="D540" i="17"/>
  <c r="D542" i="17"/>
  <c r="D545" i="17"/>
  <c r="D546" i="17"/>
  <c r="D549" i="17"/>
  <c r="D554" i="17"/>
  <c r="D559" i="17"/>
  <c r="D561" i="17"/>
  <c r="D566" i="17"/>
  <c r="D569" i="17"/>
  <c r="D573" i="17"/>
  <c r="D577" i="17"/>
  <c r="D581" i="17"/>
  <c r="D441" i="17"/>
  <c r="D444" i="17"/>
  <c r="D447" i="17"/>
  <c r="D450" i="17"/>
  <c r="D459" i="17"/>
  <c r="D466" i="17"/>
  <c r="D467" i="17"/>
  <c r="D474" i="17"/>
  <c r="D475" i="17"/>
  <c r="D482" i="17"/>
  <c r="D483" i="17"/>
  <c r="D490" i="17"/>
  <c r="D491" i="17"/>
  <c r="D498" i="17"/>
  <c r="D499" i="17"/>
  <c r="D512" i="17"/>
  <c r="D515" i="17"/>
  <c r="D517" i="17"/>
  <c r="D522" i="17"/>
  <c r="D527" i="17"/>
  <c r="D532" i="17"/>
  <c r="D534" i="17"/>
  <c r="D537" i="17"/>
  <c r="D544" i="17"/>
  <c r="D551" i="17"/>
  <c r="D556" i="17"/>
  <c r="D558" i="17"/>
  <c r="D564" i="17"/>
  <c r="D565" i="17"/>
  <c r="D568" i="17"/>
  <c r="D572" i="17"/>
  <c r="D576" i="17"/>
  <c r="D580" i="17"/>
  <c r="D584" i="17"/>
  <c r="D587" i="17"/>
  <c r="D593" i="17"/>
  <c r="D598" i="17"/>
  <c r="D599" i="17"/>
  <c r="D602" i="17"/>
  <c r="D612" i="17"/>
  <c r="D615" i="17"/>
  <c r="D619" i="17"/>
  <c r="D623" i="17"/>
  <c r="D628" i="17"/>
  <c r="D631" i="17"/>
  <c r="D636" i="17"/>
  <c r="D639" i="17"/>
  <c r="D644" i="17"/>
  <c r="D647" i="17"/>
  <c r="D652" i="17"/>
  <c r="D655" i="17"/>
  <c r="D586" i="17"/>
  <c r="D589" i="17"/>
  <c r="D592" i="17"/>
  <c r="D595" i="17"/>
  <c r="D605" i="17"/>
  <c r="D608" i="17"/>
  <c r="D609" i="17"/>
  <c r="D614" i="17"/>
  <c r="D618" i="17"/>
  <c r="D622" i="17"/>
  <c r="D625" i="17"/>
  <c r="D630" i="17"/>
  <c r="D633" i="17"/>
  <c r="D638" i="17"/>
  <c r="D641" i="17"/>
  <c r="D646" i="17"/>
  <c r="D649" i="17"/>
  <c r="D654" i="17"/>
  <c r="D656" i="17"/>
  <c r="D658" i="17"/>
  <c r="D660" i="17"/>
  <c r="D662" i="17"/>
  <c r="D664" i="17"/>
  <c r="D666" i="17"/>
  <c r="D667" i="17"/>
  <c r="D670" i="17"/>
  <c r="D671" i="17"/>
  <c r="D673" i="17"/>
  <c r="D675" i="17"/>
  <c r="D678" i="17"/>
  <c r="D679" i="17"/>
  <c r="D682" i="17"/>
  <c r="D683" i="17"/>
  <c r="D686" i="17"/>
  <c r="D687" i="17"/>
  <c r="D689" i="17"/>
  <c r="D691" i="17"/>
  <c r="D693" i="17"/>
  <c r="D695" i="17"/>
  <c r="D697" i="17"/>
  <c r="D700" i="17"/>
  <c r="D702" i="17"/>
  <c r="D703" i="17"/>
  <c r="D706" i="17"/>
  <c r="D707" i="17"/>
  <c r="D710" i="17"/>
  <c r="D711" i="17"/>
  <c r="D713" i="17"/>
  <c r="D716" i="17"/>
  <c r="D717" i="17"/>
  <c r="D719" i="17"/>
  <c r="D722" i="17"/>
  <c r="D723" i="17"/>
  <c r="D725" i="17"/>
  <c r="D583" i="17"/>
  <c r="D588" i="17"/>
  <c r="D594" i="17"/>
  <c r="D597" i="17"/>
  <c r="D601" i="17"/>
  <c r="D604" i="17"/>
  <c r="D607" i="17"/>
  <c r="D611" i="17"/>
  <c r="D617" i="17"/>
  <c r="D620" i="17"/>
  <c r="D621" i="17"/>
  <c r="D624" i="17"/>
  <c r="D627" i="17"/>
  <c r="D632" i="17"/>
  <c r="D635" i="17"/>
  <c r="D640" i="17"/>
  <c r="D643" i="17"/>
  <c r="D648" i="17"/>
  <c r="D651" i="17"/>
  <c r="D585" i="17"/>
  <c r="D590" i="17"/>
  <c r="D591" i="17"/>
  <c r="D596" i="17"/>
  <c r="D600" i="17"/>
  <c r="D603" i="17"/>
  <c r="D606" i="17"/>
  <c r="D610" i="17"/>
  <c r="D613" i="17"/>
  <c r="D616" i="17"/>
  <c r="D626" i="17"/>
  <c r="D629" i="17"/>
  <c r="D634" i="17"/>
  <c r="D637" i="17"/>
  <c r="D642" i="17"/>
  <c r="D645" i="17"/>
  <c r="D650" i="17"/>
  <c r="D653" i="17"/>
  <c r="D657" i="17"/>
  <c r="D659" i="17"/>
  <c r="D661" i="17"/>
  <c r="D663" i="17"/>
  <c r="D665" i="17"/>
  <c r="D668" i="17"/>
  <c r="D669" i="17"/>
  <c r="D672" i="17"/>
  <c r="D674" i="17"/>
  <c r="D676" i="17"/>
  <c r="D677" i="17"/>
  <c r="D680" i="17"/>
  <c r="D681" i="17"/>
  <c r="D684" i="17"/>
  <c r="D685" i="17"/>
  <c r="D688" i="17"/>
  <c r="D690" i="17"/>
  <c r="D692" i="17"/>
  <c r="D694" i="17"/>
  <c r="D696" i="17"/>
  <c r="D698" i="17"/>
  <c r="D699" i="17"/>
  <c r="D701" i="17"/>
  <c r="D704" i="17"/>
  <c r="D705" i="17"/>
  <c r="D708" i="17"/>
  <c r="D709" i="17"/>
  <c r="D712" i="17"/>
  <c r="D714" i="17"/>
  <c r="D715" i="17"/>
  <c r="D718" i="17"/>
  <c r="D720" i="17"/>
  <c r="D721" i="17"/>
  <c r="D724" i="17"/>
  <c r="D7" i="17"/>
  <c r="D726" i="17"/>
  <c r="D727" i="17"/>
  <c r="D730" i="17"/>
  <c r="D732" i="17"/>
  <c r="D733" i="17"/>
  <c r="D735" i="17"/>
  <c r="D728" i="17"/>
  <c r="D729" i="17"/>
  <c r="D731" i="17"/>
  <c r="D734" i="17"/>
  <c r="D736" i="17"/>
  <c r="BC626" i="16"/>
  <c r="BH626" i="16" s="1"/>
  <c r="BO625" i="16"/>
  <c r="BP625" i="16" s="1"/>
  <c r="BN625" i="16"/>
  <c r="AY676" i="16" l="1"/>
  <c r="AI734" i="17"/>
  <c r="I734" i="17"/>
  <c r="AI721" i="17"/>
  <c r="I721" i="17"/>
  <c r="AI698" i="17"/>
  <c r="I698" i="17"/>
  <c r="AI674" i="17"/>
  <c r="I674" i="17"/>
  <c r="AI642" i="17"/>
  <c r="I642" i="17"/>
  <c r="AI648" i="17"/>
  <c r="I648" i="17"/>
  <c r="AI604" i="17"/>
  <c r="I604" i="17"/>
  <c r="AI713" i="17"/>
  <c r="I713" i="17"/>
  <c r="AI682" i="17"/>
  <c r="I682" i="17"/>
  <c r="AI658" i="17"/>
  <c r="I658" i="17"/>
  <c r="AI614" i="17"/>
  <c r="I614" i="17"/>
  <c r="AI623" i="17"/>
  <c r="I623" i="17"/>
  <c r="AI572" i="17"/>
  <c r="I572" i="17"/>
  <c r="AI522" i="17"/>
  <c r="I522" i="17"/>
  <c r="AI447" i="17"/>
  <c r="I447" i="17"/>
  <c r="AI535" i="17"/>
  <c r="I535" i="17"/>
  <c r="AI485" i="17"/>
  <c r="I485" i="17"/>
  <c r="AI570" i="17"/>
  <c r="I570" i="17"/>
  <c r="AI521" i="17"/>
  <c r="I521" i="17"/>
  <c r="AI462" i="17"/>
  <c r="I462" i="17"/>
  <c r="AI553" i="17"/>
  <c r="I553" i="17"/>
  <c r="AI496" i="17"/>
  <c r="I496" i="17"/>
  <c r="AI440" i="17"/>
  <c r="I440" i="17"/>
  <c r="AI427" i="17"/>
  <c r="I427" i="17"/>
  <c r="AI381" i="17"/>
  <c r="I381" i="17"/>
  <c r="AI398" i="17"/>
  <c r="I398" i="17"/>
  <c r="AI435" i="17"/>
  <c r="I435" i="17"/>
  <c r="AI369" i="17"/>
  <c r="I369" i="17"/>
  <c r="AI311" i="17"/>
  <c r="I311" i="17"/>
  <c r="AI358" i="17"/>
  <c r="I358" i="17"/>
  <c r="AI312" i="17"/>
  <c r="I312" i="17"/>
  <c r="AI331" i="17"/>
  <c r="I331" i="17"/>
  <c r="AI271" i="17"/>
  <c r="I271" i="17"/>
  <c r="AI228" i="17"/>
  <c r="I228" i="17"/>
  <c r="AI241" i="17"/>
  <c r="I241" i="17"/>
  <c r="AI259" i="17"/>
  <c r="I259" i="17"/>
  <c r="AI293" i="17"/>
  <c r="I293" i="17"/>
  <c r="AI243" i="17"/>
  <c r="I243" i="17"/>
  <c r="AI184" i="17"/>
  <c r="I184" i="17"/>
  <c r="AI192" i="17"/>
  <c r="I192" i="17"/>
  <c r="AI183" i="17"/>
  <c r="I183" i="17"/>
  <c r="AI155" i="17"/>
  <c r="I155" i="17"/>
  <c r="AI167" i="17"/>
  <c r="I167" i="17"/>
  <c r="AI123" i="17"/>
  <c r="I123" i="17"/>
  <c r="AI124" i="17"/>
  <c r="I124" i="17"/>
  <c r="AI102" i="17"/>
  <c r="I102" i="17"/>
  <c r="AI105" i="17"/>
  <c r="I105" i="17"/>
  <c r="AI94" i="17"/>
  <c r="I94" i="17"/>
  <c r="AI44" i="17"/>
  <c r="I44" i="17"/>
  <c r="AI73" i="17"/>
  <c r="I73" i="17"/>
  <c r="AI51" i="17"/>
  <c r="I51" i="17"/>
  <c r="AI36" i="17"/>
  <c r="I36" i="17"/>
  <c r="AI9" i="17"/>
  <c r="I9" i="17"/>
  <c r="G736" i="17"/>
  <c r="G611" i="17"/>
  <c r="G717" i="17"/>
  <c r="G686" i="17"/>
  <c r="G654" i="17"/>
  <c r="G589" i="17"/>
  <c r="G598" i="17"/>
  <c r="G699" i="17"/>
  <c r="G668" i="17"/>
  <c r="G610" i="17"/>
  <c r="G549" i="17"/>
  <c r="G508" i="17"/>
  <c r="G476" i="17"/>
  <c r="G574" i="17"/>
  <c r="G511" i="17"/>
  <c r="G463" i="17"/>
  <c r="G575" i="17"/>
  <c r="G507" i="17"/>
  <c r="G480" i="17"/>
  <c r="G565" i="17"/>
  <c r="G515" i="17"/>
  <c r="G441" i="17"/>
  <c r="G381" i="17"/>
  <c r="G401" i="17"/>
  <c r="G431" i="17"/>
  <c r="G375" i="17"/>
  <c r="G380" i="17"/>
  <c r="G357" i="17"/>
  <c r="G310" i="17"/>
  <c r="G326" i="17"/>
  <c r="G361" i="17"/>
  <c r="G311" i="17"/>
  <c r="J311" i="17" s="1"/>
  <c r="K311" i="17" s="1"/>
  <c r="G237" i="17"/>
  <c r="G254" i="17"/>
  <c r="G276" i="17"/>
  <c r="G263" i="17"/>
  <c r="G213" i="17"/>
  <c r="G173" i="17"/>
  <c r="G180" i="17"/>
  <c r="G152" i="17"/>
  <c r="G196" i="17"/>
  <c r="G136" i="17"/>
  <c r="G146" i="17"/>
  <c r="G130" i="17"/>
  <c r="G119" i="17"/>
  <c r="G97" i="17"/>
  <c r="G85" i="17"/>
  <c r="G72" i="17"/>
  <c r="G70" i="17"/>
  <c r="G46" i="17"/>
  <c r="G29" i="17"/>
  <c r="G41" i="17"/>
  <c r="AI733" i="17"/>
  <c r="I733" i="17"/>
  <c r="AI720" i="17"/>
  <c r="I720" i="17"/>
  <c r="AI704" i="17"/>
  <c r="I704" i="17"/>
  <c r="AI696" i="17"/>
  <c r="I696" i="17"/>
  <c r="AI688" i="17"/>
  <c r="I688" i="17"/>
  <c r="AI680" i="17"/>
  <c r="I680" i="17"/>
  <c r="AI672" i="17"/>
  <c r="I672" i="17"/>
  <c r="AI663" i="17"/>
  <c r="I663" i="17"/>
  <c r="AI653" i="17"/>
  <c r="I653" i="17"/>
  <c r="AI637" i="17"/>
  <c r="I637" i="17"/>
  <c r="AI616" i="17"/>
  <c r="I616" i="17"/>
  <c r="AI603" i="17"/>
  <c r="I603" i="17"/>
  <c r="AI590" i="17"/>
  <c r="I590" i="17"/>
  <c r="AI643" i="17"/>
  <c r="I643" i="17"/>
  <c r="AI627" i="17"/>
  <c r="I627" i="17"/>
  <c r="AI617" i="17"/>
  <c r="I617" i="17"/>
  <c r="AI601" i="17"/>
  <c r="I601" i="17"/>
  <c r="AI583" i="17"/>
  <c r="I583" i="17"/>
  <c r="AI719" i="17"/>
  <c r="I719" i="17"/>
  <c r="AI711" i="17"/>
  <c r="I711" i="17"/>
  <c r="AI703" i="17"/>
  <c r="I703" i="17"/>
  <c r="AI695" i="17"/>
  <c r="I695" i="17"/>
  <c r="AI687" i="17"/>
  <c r="I687" i="17"/>
  <c r="AI679" i="17"/>
  <c r="I679" i="17"/>
  <c r="AI671" i="17"/>
  <c r="I671" i="17"/>
  <c r="AI664" i="17"/>
  <c r="I664" i="17"/>
  <c r="AI656" i="17"/>
  <c r="I656" i="17"/>
  <c r="AI641" i="17"/>
  <c r="I641" i="17"/>
  <c r="AI625" i="17"/>
  <c r="I625" i="17"/>
  <c r="AI609" i="17"/>
  <c r="I609" i="17"/>
  <c r="AI592" i="17"/>
  <c r="I592" i="17"/>
  <c r="AI652" i="17"/>
  <c r="I652" i="17"/>
  <c r="AI636" i="17"/>
  <c r="I636" i="17"/>
  <c r="AI619" i="17"/>
  <c r="I619" i="17"/>
  <c r="AI599" i="17"/>
  <c r="I599" i="17"/>
  <c r="AI584" i="17"/>
  <c r="I584" i="17"/>
  <c r="AI568" i="17"/>
  <c r="I568" i="17"/>
  <c r="AI556" i="17"/>
  <c r="I556" i="17"/>
  <c r="AI534" i="17"/>
  <c r="I534" i="17"/>
  <c r="AI517" i="17"/>
  <c r="I517" i="17"/>
  <c r="AI498" i="17"/>
  <c r="I498" i="17"/>
  <c r="AI482" i="17"/>
  <c r="I482" i="17"/>
  <c r="AI466" i="17"/>
  <c r="I466" i="17"/>
  <c r="AI444" i="17"/>
  <c r="I444" i="17"/>
  <c r="AI573" i="17"/>
  <c r="I573" i="17"/>
  <c r="AI559" i="17"/>
  <c r="I559" i="17"/>
  <c r="AI545" i="17"/>
  <c r="I545" i="17"/>
  <c r="AI530" i="17"/>
  <c r="I530" i="17"/>
  <c r="AI513" i="17"/>
  <c r="I513" i="17"/>
  <c r="AI500" i="17"/>
  <c r="I500" i="17"/>
  <c r="AI484" i="17"/>
  <c r="I484" i="17"/>
  <c r="AI468" i="17"/>
  <c r="I468" i="17"/>
  <c r="AI451" i="17"/>
  <c r="I451" i="17"/>
  <c r="AI436" i="17"/>
  <c r="I436" i="17"/>
  <c r="AI567" i="17"/>
  <c r="I567" i="17"/>
  <c r="AI552" i="17"/>
  <c r="I552" i="17"/>
  <c r="AI533" i="17"/>
  <c r="I533" i="17"/>
  <c r="AI518" i="17"/>
  <c r="I518" i="17"/>
  <c r="AI503" i="17"/>
  <c r="I503" i="17"/>
  <c r="AI487" i="17"/>
  <c r="I487" i="17"/>
  <c r="AI471" i="17"/>
  <c r="I471" i="17"/>
  <c r="AI457" i="17"/>
  <c r="I457" i="17"/>
  <c r="AI449" i="17"/>
  <c r="I449" i="17"/>
  <c r="AI432" i="17"/>
  <c r="I432" i="17"/>
  <c r="AI571" i="17"/>
  <c r="I571" i="17"/>
  <c r="AI550" i="17"/>
  <c r="I550" i="17"/>
  <c r="AI536" i="17"/>
  <c r="I536" i="17"/>
  <c r="AI519" i="17"/>
  <c r="I519" i="17"/>
  <c r="AI505" i="17"/>
  <c r="I505" i="17"/>
  <c r="AI489" i="17"/>
  <c r="I489" i="17"/>
  <c r="AI473" i="17"/>
  <c r="I473" i="17"/>
  <c r="AI458" i="17"/>
  <c r="I458" i="17"/>
  <c r="AI438" i="17"/>
  <c r="I438" i="17"/>
  <c r="AI410" i="17"/>
  <c r="I410" i="17"/>
  <c r="AI397" i="17"/>
  <c r="I397" i="17"/>
  <c r="AI379" i="17"/>
  <c r="I379" i="17"/>
  <c r="AI423" i="17"/>
  <c r="I423" i="17"/>
  <c r="AI408" i="17"/>
  <c r="I408" i="17"/>
  <c r="AI390" i="17"/>
  <c r="I390" i="17"/>
  <c r="AI376" i="17"/>
  <c r="I376" i="17"/>
  <c r="AI429" i="17"/>
  <c r="I429" i="17"/>
  <c r="AI419" i="17"/>
  <c r="I419" i="17"/>
  <c r="AI406" i="17"/>
  <c r="I406" i="17"/>
  <c r="AI396" i="17"/>
  <c r="I396" i="17"/>
  <c r="AI383" i="17"/>
  <c r="I383" i="17"/>
  <c r="AI366" i="17"/>
  <c r="I366" i="17"/>
  <c r="AI434" i="17"/>
  <c r="I434" i="17"/>
  <c r="AI420" i="17"/>
  <c r="I420" i="17"/>
  <c r="AI399" i="17"/>
  <c r="I399" i="17"/>
  <c r="AI378" i="17"/>
  <c r="I378" i="17"/>
  <c r="AI362" i="17"/>
  <c r="I362" i="17"/>
  <c r="AI343" i="17"/>
  <c r="I343" i="17"/>
  <c r="AI329" i="17"/>
  <c r="I329" i="17"/>
  <c r="AI309" i="17"/>
  <c r="I309" i="17"/>
  <c r="AI367" i="17"/>
  <c r="I367" i="17"/>
  <c r="AI349" i="17"/>
  <c r="I349" i="17"/>
  <c r="AI322" i="17"/>
  <c r="I322" i="17"/>
  <c r="AI305" i="17"/>
  <c r="I305" i="17"/>
  <c r="AI357" i="17"/>
  <c r="I357" i="17"/>
  <c r="AI341" i="17"/>
  <c r="I341" i="17"/>
  <c r="AI325" i="17"/>
  <c r="I325" i="17"/>
  <c r="AI310" i="17"/>
  <c r="I310" i="17"/>
  <c r="AI294" i="17"/>
  <c r="I294" i="17"/>
  <c r="AI352" i="17"/>
  <c r="I352" i="17"/>
  <c r="AI339" i="17"/>
  <c r="I339" i="17"/>
  <c r="AI328" i="17"/>
  <c r="I328" i="17"/>
  <c r="AI316" i="17"/>
  <c r="I316" i="17"/>
  <c r="AI301" i="17"/>
  <c r="I301" i="17"/>
  <c r="AI285" i="17"/>
  <c r="I285" i="17"/>
  <c r="AI266" i="17"/>
  <c r="I266" i="17"/>
  <c r="AI252" i="17"/>
  <c r="I252" i="17"/>
  <c r="AI240" i="17"/>
  <c r="I240" i="17"/>
  <c r="AI224" i="17"/>
  <c r="I224" i="17"/>
  <c r="AI277" i="17"/>
  <c r="I277" i="17"/>
  <c r="AI261" i="17"/>
  <c r="I261" i="17"/>
  <c r="AI237" i="17"/>
  <c r="I237" i="17"/>
  <c r="AI221" i="17"/>
  <c r="I221" i="17"/>
  <c r="AI290" i="17"/>
  <c r="I290" i="17"/>
  <c r="AI270" i="17"/>
  <c r="I270" i="17"/>
  <c r="AI254" i="17"/>
  <c r="I254" i="17"/>
  <c r="AI246" i="17"/>
  <c r="I246" i="17"/>
  <c r="AI230" i="17"/>
  <c r="I230" i="17"/>
  <c r="AI287" i="17"/>
  <c r="I287" i="17"/>
  <c r="AI276" i="17"/>
  <c r="I276" i="17"/>
  <c r="AI260" i="17"/>
  <c r="I260" i="17"/>
  <c r="AI239" i="17"/>
  <c r="I239" i="17"/>
  <c r="AI223" i="17"/>
  <c r="I223" i="17"/>
  <c r="AI193" i="17"/>
  <c r="I193" i="17"/>
  <c r="AI178" i="17"/>
  <c r="I178" i="17"/>
  <c r="AI163" i="17"/>
  <c r="I163" i="17"/>
  <c r="AI213" i="17"/>
  <c r="I213" i="17"/>
  <c r="AI206" i="17"/>
  <c r="I206" i="17"/>
  <c r="AI189" i="17"/>
  <c r="I189" i="17"/>
  <c r="AI173" i="17"/>
  <c r="I173" i="17"/>
  <c r="AI158" i="17"/>
  <c r="I158" i="17"/>
  <c r="AI214" i="17"/>
  <c r="I214" i="17"/>
  <c r="AI194" i="17"/>
  <c r="I194" i="17"/>
  <c r="AI180" i="17"/>
  <c r="I180" i="17"/>
  <c r="AI164" i="17"/>
  <c r="I164" i="17"/>
  <c r="AI152" i="17"/>
  <c r="I152" i="17"/>
  <c r="AI212" i="17"/>
  <c r="I212" i="17"/>
  <c r="AI199" i="17"/>
  <c r="I199" i="17"/>
  <c r="AI181" i="17"/>
  <c r="I181" i="17"/>
  <c r="AI162" i="17"/>
  <c r="I162" i="17"/>
  <c r="AI135" i="17"/>
  <c r="I135" i="17"/>
  <c r="AI112" i="17"/>
  <c r="I112" i="17"/>
  <c r="AI140" i="17"/>
  <c r="I140" i="17"/>
  <c r="AI120" i="17"/>
  <c r="I120" i="17"/>
  <c r="AI144" i="17"/>
  <c r="I144" i="17"/>
  <c r="AI132" i="17"/>
  <c r="I132" i="17"/>
  <c r="AI121" i="17"/>
  <c r="I121" i="17"/>
  <c r="AI109" i="17"/>
  <c r="I109" i="17"/>
  <c r="AI139" i="17"/>
  <c r="I139" i="17"/>
  <c r="AI129" i="17"/>
  <c r="I129" i="17"/>
  <c r="AI101" i="17"/>
  <c r="I101" i="17"/>
  <c r="AI79" i="17"/>
  <c r="I79" i="17"/>
  <c r="AI96" i="17"/>
  <c r="I96" i="17"/>
  <c r="AI81" i="17"/>
  <c r="I81" i="17"/>
  <c r="AI98" i="17"/>
  <c r="I98" i="17"/>
  <c r="AI84" i="17"/>
  <c r="I84" i="17"/>
  <c r="AI107" i="17"/>
  <c r="I107" i="17"/>
  <c r="AI92" i="17"/>
  <c r="I92" i="17"/>
  <c r="AI78" i="17"/>
  <c r="I78" i="17"/>
  <c r="AI59" i="17"/>
  <c r="I59" i="17"/>
  <c r="AI18" i="17"/>
  <c r="I18" i="17"/>
  <c r="AI60" i="17"/>
  <c r="I60" i="17"/>
  <c r="AI49" i="17"/>
  <c r="I49" i="17"/>
  <c r="AI70" i="17"/>
  <c r="I70" i="17"/>
  <c r="AI50" i="17"/>
  <c r="I50" i="17"/>
  <c r="AI20" i="17"/>
  <c r="I20" i="17"/>
  <c r="AI63" i="17"/>
  <c r="I63" i="17"/>
  <c r="AI48" i="17"/>
  <c r="I48" i="17"/>
  <c r="AI39" i="17"/>
  <c r="I39" i="17"/>
  <c r="AI13" i="17"/>
  <c r="I13" i="17"/>
  <c r="AI34" i="17"/>
  <c r="I34" i="17"/>
  <c r="AI23" i="17"/>
  <c r="I23" i="17"/>
  <c r="AI15" i="17"/>
  <c r="I15" i="17"/>
  <c r="AI38" i="17"/>
  <c r="I38" i="17"/>
  <c r="AI24" i="17"/>
  <c r="I24" i="17"/>
  <c r="G7" i="17"/>
  <c r="G730" i="17"/>
  <c r="G734" i="17"/>
  <c r="J734" i="17" s="1"/>
  <c r="K734" i="17" s="1"/>
  <c r="R734" i="17" s="1"/>
  <c r="G651" i="17"/>
  <c r="G635" i="17"/>
  <c r="G621" i="17"/>
  <c r="G607" i="17"/>
  <c r="G594" i="17"/>
  <c r="G723" i="17"/>
  <c r="G716" i="17"/>
  <c r="G707" i="17"/>
  <c r="G700" i="17"/>
  <c r="G691" i="17"/>
  <c r="G683" i="17"/>
  <c r="G675" i="17"/>
  <c r="G667" i="17"/>
  <c r="G660" i="17"/>
  <c r="G649" i="17"/>
  <c r="G633" i="17"/>
  <c r="G618" i="17"/>
  <c r="G605" i="17"/>
  <c r="G586" i="17"/>
  <c r="G644" i="17"/>
  <c r="G628" i="17"/>
  <c r="G612" i="17"/>
  <c r="G593" i="17"/>
  <c r="G721" i="17"/>
  <c r="G714" i="17"/>
  <c r="G705" i="17"/>
  <c r="G698" i="17"/>
  <c r="J698" i="17" s="1"/>
  <c r="K698" i="17" s="1"/>
  <c r="R698" i="17" s="1"/>
  <c r="G690" i="17"/>
  <c r="G681" i="17"/>
  <c r="G674" i="17"/>
  <c r="G665" i="17"/>
  <c r="G657" i="17"/>
  <c r="G642" i="17"/>
  <c r="J642" i="17" s="1"/>
  <c r="K642" i="17" s="1"/>
  <c r="R642" i="17" s="1"/>
  <c r="G626" i="17"/>
  <c r="G606" i="17"/>
  <c r="G591" i="17"/>
  <c r="G577" i="17"/>
  <c r="G561" i="17"/>
  <c r="G546" i="17"/>
  <c r="G535" i="17"/>
  <c r="G520" i="17"/>
  <c r="G501" i="17"/>
  <c r="G485" i="17"/>
  <c r="J485" i="17" s="1"/>
  <c r="K485" i="17" s="1"/>
  <c r="R485" i="17" s="1"/>
  <c r="G469" i="17"/>
  <c r="G455" i="17"/>
  <c r="G439" i="17"/>
  <c r="G570" i="17"/>
  <c r="G555" i="17"/>
  <c r="G538" i="17"/>
  <c r="G521" i="17"/>
  <c r="J521" i="17" s="1"/>
  <c r="K521" i="17" s="1"/>
  <c r="R521" i="17" s="1"/>
  <c r="G506" i="17"/>
  <c r="G494" i="17"/>
  <c r="G478" i="17"/>
  <c r="G462" i="17"/>
  <c r="G452" i="17"/>
  <c r="G437" i="17"/>
  <c r="G571" i="17"/>
  <c r="J571" i="17" s="1"/>
  <c r="K571" i="17" s="1"/>
  <c r="R571" i="17" s="1"/>
  <c r="G550" i="17"/>
  <c r="G536" i="17"/>
  <c r="G519" i="17"/>
  <c r="G505" i="17"/>
  <c r="J505" i="17" s="1"/>
  <c r="K505" i="17" s="1"/>
  <c r="R505" i="17" s="1"/>
  <c r="G489" i="17"/>
  <c r="J489" i="17" s="1"/>
  <c r="K489" i="17" s="1"/>
  <c r="G473" i="17"/>
  <c r="G458" i="17"/>
  <c r="G438" i="17"/>
  <c r="J438" i="17" s="1"/>
  <c r="K438" i="17" s="1"/>
  <c r="R438" i="17" s="1"/>
  <c r="G576" i="17"/>
  <c r="G564" i="17"/>
  <c r="G544" i="17"/>
  <c r="G527" i="17"/>
  <c r="G512" i="17"/>
  <c r="G490" i="17"/>
  <c r="G474" i="17"/>
  <c r="G450" i="17"/>
  <c r="G427" i="17"/>
  <c r="G408" i="17"/>
  <c r="J408" i="17" s="1"/>
  <c r="K408" i="17" s="1"/>
  <c r="R408" i="17" s="1"/>
  <c r="G390" i="17"/>
  <c r="G376" i="17"/>
  <c r="J376" i="17" s="1"/>
  <c r="K376" i="17" s="1"/>
  <c r="R376" i="17" s="1"/>
  <c r="G433" i="17"/>
  <c r="G424" i="17"/>
  <c r="G409" i="17"/>
  <c r="G398" i="17"/>
  <c r="J398" i="17" s="1"/>
  <c r="K398" i="17" s="1"/>
  <c r="R398" i="17" s="1"/>
  <c r="G385" i="17"/>
  <c r="G368" i="17"/>
  <c r="G430" i="17"/>
  <c r="G412" i="17"/>
  <c r="G393" i="17"/>
  <c r="G372" i="17"/>
  <c r="G432" i="17"/>
  <c r="J432" i="17" s="1"/>
  <c r="K432" i="17" s="1"/>
  <c r="R432" i="17" s="1"/>
  <c r="G410" i="17"/>
  <c r="J410" i="17" s="1"/>
  <c r="K410" i="17" s="1"/>
  <c r="R410" i="17" s="1"/>
  <c r="G397" i="17"/>
  <c r="G379" i="17"/>
  <c r="J379" i="17" s="1"/>
  <c r="K379" i="17" s="1"/>
  <c r="R379" i="17" s="1"/>
  <c r="G338" i="17"/>
  <c r="G315" i="17"/>
  <c r="G299" i="17"/>
  <c r="G354" i="17"/>
  <c r="G336" i="17"/>
  <c r="G320" i="17"/>
  <c r="G303" i="17"/>
  <c r="G360" i="17"/>
  <c r="G345" i="17"/>
  <c r="G332" i="17"/>
  <c r="G323" i="17"/>
  <c r="G308" i="17"/>
  <c r="G366" i="17"/>
  <c r="G355" i="17"/>
  <c r="G343" i="17"/>
  <c r="J343" i="17" s="1"/>
  <c r="K343" i="17" s="1"/>
  <c r="R343" i="17" s="1"/>
  <c r="G329" i="17"/>
  <c r="G309" i="17"/>
  <c r="G289" i="17"/>
  <c r="G272" i="17"/>
  <c r="G256" i="17"/>
  <c r="G233" i="17"/>
  <c r="G218" i="17"/>
  <c r="G283" i="17"/>
  <c r="G267" i="17"/>
  <c r="G253" i="17"/>
  <c r="G242" i="17"/>
  <c r="G226" i="17"/>
  <c r="G284" i="17"/>
  <c r="G273" i="17"/>
  <c r="G257" i="17"/>
  <c r="G235" i="17"/>
  <c r="G291" i="17"/>
  <c r="G274" i="17"/>
  <c r="G258" i="17"/>
  <c r="G248" i="17"/>
  <c r="G232" i="17"/>
  <c r="G211" i="17"/>
  <c r="G200" i="17"/>
  <c r="G182" i="17"/>
  <c r="G169" i="17"/>
  <c r="G154" i="17"/>
  <c r="G204" i="17"/>
  <c r="G187" i="17"/>
  <c r="G177" i="17"/>
  <c r="G161" i="17"/>
  <c r="G217" i="17"/>
  <c r="G205" i="17"/>
  <c r="G190" i="17"/>
  <c r="G167" i="17"/>
  <c r="J167" i="17" s="1"/>
  <c r="K167" i="17" s="1"/>
  <c r="R167" i="17" s="1"/>
  <c r="G215" i="17"/>
  <c r="G193" i="17"/>
  <c r="J193" i="17" s="1"/>
  <c r="K193" i="17" s="1"/>
  <c r="G178" i="17"/>
  <c r="G163" i="17"/>
  <c r="G148" i="17"/>
  <c r="G126" i="17"/>
  <c r="G114" i="17"/>
  <c r="G144" i="17"/>
  <c r="G132" i="17"/>
  <c r="J132" i="17" s="1"/>
  <c r="K132" i="17" s="1"/>
  <c r="R132" i="17" s="1"/>
  <c r="G121" i="17"/>
  <c r="G139" i="17"/>
  <c r="G129" i="17"/>
  <c r="G104" i="17"/>
  <c r="G135" i="17"/>
  <c r="G112" i="17"/>
  <c r="J112" i="17" s="1"/>
  <c r="K112" i="17" s="1"/>
  <c r="R112" i="17" s="1"/>
  <c r="G93" i="17"/>
  <c r="G106" i="17"/>
  <c r="G91" i="17"/>
  <c r="G76" i="17"/>
  <c r="G94" i="17"/>
  <c r="G82" i="17"/>
  <c r="G102" i="17"/>
  <c r="G83" i="17"/>
  <c r="G67" i="17"/>
  <c r="G54" i="17"/>
  <c r="G31" i="17"/>
  <c r="G61" i="17"/>
  <c r="G45" i="17"/>
  <c r="G68" i="17"/>
  <c r="G53" i="17"/>
  <c r="G43" i="17"/>
  <c r="G74" i="17"/>
  <c r="G56" i="17"/>
  <c r="G36" i="17"/>
  <c r="G26" i="17"/>
  <c r="G16" i="17"/>
  <c r="G27" i="17"/>
  <c r="G9" i="17"/>
  <c r="J9" i="17" s="1"/>
  <c r="K9" i="17" s="1"/>
  <c r="G39" i="17"/>
  <c r="G13" i="17"/>
  <c r="AI727" i="17"/>
  <c r="I727" i="17"/>
  <c r="AI705" i="17"/>
  <c r="I705" i="17"/>
  <c r="AI665" i="17"/>
  <c r="I665" i="17"/>
  <c r="AI606" i="17"/>
  <c r="I606" i="17"/>
  <c r="AI632" i="17"/>
  <c r="I632" i="17"/>
  <c r="AI588" i="17"/>
  <c r="I588" i="17"/>
  <c r="AI697" i="17"/>
  <c r="I697" i="17"/>
  <c r="AI673" i="17"/>
  <c r="I673" i="17"/>
  <c r="AI646" i="17"/>
  <c r="I646" i="17"/>
  <c r="AI655" i="17"/>
  <c r="I655" i="17"/>
  <c r="AI602" i="17"/>
  <c r="I602" i="17"/>
  <c r="AI558" i="17"/>
  <c r="I558" i="17"/>
  <c r="AI483" i="17"/>
  <c r="I483" i="17"/>
  <c r="AI577" i="17"/>
  <c r="I577" i="17"/>
  <c r="AI520" i="17"/>
  <c r="I520" i="17"/>
  <c r="AI455" i="17"/>
  <c r="I455" i="17"/>
  <c r="AI555" i="17"/>
  <c r="I555" i="17"/>
  <c r="AI506" i="17"/>
  <c r="I506" i="17"/>
  <c r="AI452" i="17"/>
  <c r="I452" i="17"/>
  <c r="AI575" i="17"/>
  <c r="I575" i="17"/>
  <c r="AI507" i="17"/>
  <c r="I507" i="17"/>
  <c r="AI464" i="17"/>
  <c r="I464" i="17"/>
  <c r="AI400" i="17"/>
  <c r="I400" i="17"/>
  <c r="AI391" i="17"/>
  <c r="I391" i="17"/>
  <c r="AI424" i="17"/>
  <c r="I424" i="17"/>
  <c r="AI368" i="17"/>
  <c r="I368" i="17"/>
  <c r="AI404" i="17"/>
  <c r="I404" i="17"/>
  <c r="AI347" i="17"/>
  <c r="I347" i="17"/>
  <c r="AI295" i="17"/>
  <c r="I295" i="17"/>
  <c r="AI307" i="17"/>
  <c r="I307" i="17"/>
  <c r="AI330" i="17"/>
  <c r="I330" i="17"/>
  <c r="AI342" i="17"/>
  <c r="I342" i="17"/>
  <c r="AI288" i="17"/>
  <c r="I288" i="17"/>
  <c r="AI244" i="17"/>
  <c r="I244" i="17"/>
  <c r="AI264" i="17"/>
  <c r="I264" i="17"/>
  <c r="AI275" i="17"/>
  <c r="I275" i="17"/>
  <c r="AI278" i="17"/>
  <c r="I278" i="17"/>
  <c r="AI227" i="17"/>
  <c r="I227" i="17"/>
  <c r="AI216" i="17"/>
  <c r="I216" i="17"/>
  <c r="AI176" i="17"/>
  <c r="I176" i="17"/>
  <c r="AI195" i="17"/>
  <c r="I195" i="17"/>
  <c r="AI217" i="17"/>
  <c r="I217" i="17"/>
  <c r="AI146" i="17"/>
  <c r="I146" i="17"/>
  <c r="AI145" i="17"/>
  <c r="I145" i="17"/>
  <c r="AI137" i="17"/>
  <c r="I137" i="17"/>
  <c r="AI130" i="17"/>
  <c r="I130" i="17"/>
  <c r="AI103" i="17"/>
  <c r="I103" i="17"/>
  <c r="AI108" i="17"/>
  <c r="I108" i="17"/>
  <c r="AI64" i="17"/>
  <c r="I64" i="17"/>
  <c r="AI55" i="17"/>
  <c r="I55" i="17"/>
  <c r="AI66" i="17"/>
  <c r="I66" i="17"/>
  <c r="AI26" i="17"/>
  <c r="I26" i="17"/>
  <c r="AI11" i="17"/>
  <c r="I11" i="17"/>
  <c r="G728" i="17"/>
  <c r="G597" i="17"/>
  <c r="G710" i="17"/>
  <c r="G678" i="17"/>
  <c r="G638" i="17"/>
  <c r="G647" i="17"/>
  <c r="G615" i="17"/>
  <c r="G715" i="17"/>
  <c r="G684" i="17"/>
  <c r="G645" i="17"/>
  <c r="G581" i="17"/>
  <c r="G523" i="17"/>
  <c r="G460" i="17"/>
  <c r="G557" i="17"/>
  <c r="G495" i="17"/>
  <c r="G453" i="17"/>
  <c r="G524" i="17"/>
  <c r="G440" i="17"/>
  <c r="J440" i="17" s="1"/>
  <c r="K440" i="17" s="1"/>
  <c r="R440" i="17" s="1"/>
  <c r="G532" i="17"/>
  <c r="G475" i="17"/>
  <c r="G413" i="17"/>
  <c r="G425" i="17"/>
  <c r="G386" i="17"/>
  <c r="G394" i="17"/>
  <c r="G416" i="17"/>
  <c r="G349" i="17"/>
  <c r="J349" i="17" s="1"/>
  <c r="K349" i="17" s="1"/>
  <c r="R349" i="17" s="1"/>
  <c r="G325" i="17"/>
  <c r="G346" i="17"/>
  <c r="G313" i="17"/>
  <c r="G333" i="17"/>
  <c r="G277" i="17"/>
  <c r="J277" i="17" s="1"/>
  <c r="K277" i="17" s="1"/>
  <c r="R277" i="17" s="1"/>
  <c r="G221" i="17"/>
  <c r="G246" i="17"/>
  <c r="G260" i="17"/>
  <c r="G282" i="17"/>
  <c r="G236" i="17"/>
  <c r="G158" i="17"/>
  <c r="G208" i="17"/>
  <c r="G145" i="17"/>
  <c r="G149" i="17"/>
  <c r="G137" i="17"/>
  <c r="G108" i="17"/>
  <c r="J108" i="17" s="1"/>
  <c r="K108" i="17" s="1"/>
  <c r="R108" i="17" s="1"/>
  <c r="G80" i="17"/>
  <c r="G99" i="17"/>
  <c r="G88" i="17"/>
  <c r="G71" i="17"/>
  <c r="G59" i="17"/>
  <c r="J59" i="17" s="1"/>
  <c r="K59" i="17" s="1"/>
  <c r="R59" i="17" s="1"/>
  <c r="G12" i="17"/>
  <c r="AI726" i="17"/>
  <c r="I726" i="17"/>
  <c r="AI712" i="17"/>
  <c r="I712" i="17"/>
  <c r="AI729" i="17"/>
  <c r="I729" i="17"/>
  <c r="AI718" i="17"/>
  <c r="I718" i="17"/>
  <c r="AI694" i="17"/>
  <c r="I694" i="17"/>
  <c r="AI669" i="17"/>
  <c r="I669" i="17"/>
  <c r="AI650" i="17"/>
  <c r="I650" i="17"/>
  <c r="AI613" i="17"/>
  <c r="I613" i="17"/>
  <c r="AI600" i="17"/>
  <c r="I600" i="17"/>
  <c r="AI585" i="17"/>
  <c r="I585" i="17"/>
  <c r="AI640" i="17"/>
  <c r="I640" i="17"/>
  <c r="AI624" i="17"/>
  <c r="I624" i="17"/>
  <c r="AI611" i="17"/>
  <c r="I611" i="17"/>
  <c r="AI597" i="17"/>
  <c r="I597" i="17"/>
  <c r="AI725" i="17"/>
  <c r="I725" i="17"/>
  <c r="AI717" i="17"/>
  <c r="I717" i="17"/>
  <c r="AI710" i="17"/>
  <c r="I710" i="17"/>
  <c r="AI702" i="17"/>
  <c r="I702" i="17"/>
  <c r="AI693" i="17"/>
  <c r="I693" i="17"/>
  <c r="AI686" i="17"/>
  <c r="I686" i="17"/>
  <c r="AI678" i="17"/>
  <c r="I678" i="17"/>
  <c r="AI670" i="17"/>
  <c r="I670" i="17"/>
  <c r="AI662" i="17"/>
  <c r="I662" i="17"/>
  <c r="AI654" i="17"/>
  <c r="I654" i="17"/>
  <c r="AI638" i="17"/>
  <c r="I638" i="17"/>
  <c r="AI622" i="17"/>
  <c r="I622" i="17"/>
  <c r="AI608" i="17"/>
  <c r="I608" i="17"/>
  <c r="AI589" i="17"/>
  <c r="I589" i="17"/>
  <c r="AI647" i="17"/>
  <c r="I647" i="17"/>
  <c r="AI631" i="17"/>
  <c r="I631" i="17"/>
  <c r="AI615" i="17"/>
  <c r="I615" i="17"/>
  <c r="AI598" i="17"/>
  <c r="I598" i="17"/>
  <c r="AI580" i="17"/>
  <c r="I580" i="17"/>
  <c r="AI565" i="17"/>
  <c r="I565" i="17"/>
  <c r="AI551" i="17"/>
  <c r="I551" i="17"/>
  <c r="AI532" i="17"/>
  <c r="I532" i="17"/>
  <c r="AI515" i="17"/>
  <c r="I515" i="17"/>
  <c r="AI491" i="17"/>
  <c r="I491" i="17"/>
  <c r="AI475" i="17"/>
  <c r="I475" i="17"/>
  <c r="AI459" i="17"/>
  <c r="I459" i="17"/>
  <c r="AI441" i="17"/>
  <c r="I441" i="17"/>
  <c r="AI569" i="17"/>
  <c r="I569" i="17"/>
  <c r="AI554" i="17"/>
  <c r="I554" i="17"/>
  <c r="AI542" i="17"/>
  <c r="I542" i="17"/>
  <c r="AI525" i="17"/>
  <c r="I525" i="17"/>
  <c r="AI510" i="17"/>
  <c r="I510" i="17"/>
  <c r="AI493" i="17"/>
  <c r="I493" i="17"/>
  <c r="AI477" i="17"/>
  <c r="I477" i="17"/>
  <c r="AI461" i="17"/>
  <c r="I461" i="17"/>
  <c r="AI445" i="17"/>
  <c r="I445" i="17"/>
  <c r="AI578" i="17"/>
  <c r="I578" i="17"/>
  <c r="AI562" i="17"/>
  <c r="I562" i="17"/>
  <c r="AI547" i="17"/>
  <c r="I547" i="17"/>
  <c r="AI531" i="17"/>
  <c r="I531" i="17"/>
  <c r="AI516" i="17"/>
  <c r="I516" i="17"/>
  <c r="AI502" i="17"/>
  <c r="I502" i="17"/>
  <c r="AI486" i="17"/>
  <c r="I486" i="17"/>
  <c r="AI470" i="17"/>
  <c r="I470" i="17"/>
  <c r="AI456" i="17"/>
  <c r="I456" i="17"/>
  <c r="AI448" i="17"/>
  <c r="I448" i="17"/>
  <c r="AI582" i="17"/>
  <c r="I582" i="17"/>
  <c r="AI563" i="17"/>
  <c r="I563" i="17"/>
  <c r="AI548" i="17"/>
  <c r="I548" i="17"/>
  <c r="AI529" i="17"/>
  <c r="I529" i="17"/>
  <c r="AI514" i="17"/>
  <c r="I514" i="17"/>
  <c r="AI504" i="17"/>
  <c r="I504" i="17"/>
  <c r="AI488" i="17"/>
  <c r="I488" i="17"/>
  <c r="AI472" i="17"/>
  <c r="I472" i="17"/>
  <c r="AI454" i="17"/>
  <c r="I454" i="17"/>
  <c r="AI426" i="17"/>
  <c r="I426" i="17"/>
  <c r="AI407" i="17"/>
  <c r="I407" i="17"/>
  <c r="AI387" i="17"/>
  <c r="I387" i="17"/>
  <c r="AI370" i="17"/>
  <c r="I370" i="17"/>
  <c r="AI421" i="17"/>
  <c r="I421" i="17"/>
  <c r="AI405" i="17"/>
  <c r="I405" i="17"/>
  <c r="AI388" i="17"/>
  <c r="I388" i="17"/>
  <c r="AI373" i="17"/>
  <c r="I373" i="17"/>
  <c r="AI428" i="17"/>
  <c r="I428" i="17"/>
  <c r="AI417" i="17"/>
  <c r="I417" i="17"/>
  <c r="AI403" i="17"/>
  <c r="I403" i="17"/>
  <c r="AI392" i="17"/>
  <c r="I392" i="17"/>
  <c r="AI377" i="17"/>
  <c r="I377" i="17"/>
  <c r="AI365" i="17"/>
  <c r="I365" i="17"/>
  <c r="AI431" i="17"/>
  <c r="I431" i="17"/>
  <c r="AI415" i="17"/>
  <c r="I415" i="17"/>
  <c r="AI394" i="17"/>
  <c r="I394" i="17"/>
  <c r="AI375" i="17"/>
  <c r="I375" i="17"/>
  <c r="AI361" i="17"/>
  <c r="I361" i="17"/>
  <c r="AI340" i="17"/>
  <c r="I340" i="17"/>
  <c r="AI319" i="17"/>
  <c r="I319" i="17"/>
  <c r="AI304" i="17"/>
  <c r="I304" i="17"/>
  <c r="AI363" i="17"/>
  <c r="I363" i="17"/>
  <c r="AI338" i="17"/>
  <c r="I338" i="17"/>
  <c r="AI315" i="17"/>
  <c r="I315" i="17"/>
  <c r="AI299" i="17"/>
  <c r="I299" i="17"/>
  <c r="AI354" i="17"/>
  <c r="I354" i="17"/>
  <c r="AI336" i="17"/>
  <c r="I336" i="17"/>
  <c r="AI320" i="17"/>
  <c r="I320" i="17"/>
  <c r="AI303" i="17"/>
  <c r="I303" i="17"/>
  <c r="AI364" i="17"/>
  <c r="I364" i="17"/>
  <c r="AI346" i="17"/>
  <c r="I346" i="17"/>
  <c r="AI337" i="17"/>
  <c r="I337" i="17"/>
  <c r="AI326" i="17"/>
  <c r="I326" i="17"/>
  <c r="AI313" i="17"/>
  <c r="I313" i="17"/>
  <c r="AI298" i="17"/>
  <c r="I298" i="17"/>
  <c r="AI282" i="17"/>
  <c r="I282" i="17"/>
  <c r="AI263" i="17"/>
  <c r="I263" i="17"/>
  <c r="AI250" i="17"/>
  <c r="I250" i="17"/>
  <c r="AI236" i="17"/>
  <c r="I236" i="17"/>
  <c r="AI289" i="17"/>
  <c r="I289" i="17"/>
  <c r="AI272" i="17"/>
  <c r="I272" i="17"/>
  <c r="AI256" i="17"/>
  <c r="I256" i="17"/>
  <c r="AI233" i="17"/>
  <c r="I233" i="17"/>
  <c r="AI218" i="17"/>
  <c r="I218" i="17"/>
  <c r="AI283" i="17"/>
  <c r="I283" i="17"/>
  <c r="AI267" i="17"/>
  <c r="I267" i="17"/>
  <c r="AI253" i="17"/>
  <c r="I253" i="17"/>
  <c r="AI242" i="17"/>
  <c r="I242" i="17"/>
  <c r="AI226" i="17"/>
  <c r="I226" i="17"/>
  <c r="AI284" i="17"/>
  <c r="I284" i="17"/>
  <c r="AI273" i="17"/>
  <c r="I273" i="17"/>
  <c r="AI257" i="17"/>
  <c r="I257" i="17"/>
  <c r="AI235" i="17"/>
  <c r="I235" i="17"/>
  <c r="AI203" i="17"/>
  <c r="I203" i="17"/>
  <c r="AI188" i="17"/>
  <c r="I188" i="17"/>
  <c r="AI172" i="17"/>
  <c r="I172" i="17"/>
  <c r="AI157" i="17"/>
  <c r="I157" i="17"/>
  <c r="AI211" i="17"/>
  <c r="I211" i="17"/>
  <c r="AI200" i="17"/>
  <c r="I200" i="17"/>
  <c r="AI182" i="17"/>
  <c r="I182" i="17"/>
  <c r="AI169" i="17"/>
  <c r="I169" i="17"/>
  <c r="AI154" i="17"/>
  <c r="I154" i="17"/>
  <c r="AI204" i="17"/>
  <c r="I204" i="17"/>
  <c r="AI187" i="17"/>
  <c r="I187" i="17"/>
  <c r="AI177" i="17"/>
  <c r="I177" i="17"/>
  <c r="AI161" i="17"/>
  <c r="I161" i="17"/>
  <c r="AI151" i="17"/>
  <c r="I151" i="17"/>
  <c r="AI210" i="17"/>
  <c r="I210" i="17"/>
  <c r="AI198" i="17"/>
  <c r="I198" i="17"/>
  <c r="AI175" i="17"/>
  <c r="I175" i="17"/>
  <c r="AI159" i="17"/>
  <c r="I159" i="17"/>
  <c r="AI131" i="17"/>
  <c r="I131" i="17"/>
  <c r="AI111" i="17"/>
  <c r="I111" i="17"/>
  <c r="AI136" i="17"/>
  <c r="I136" i="17"/>
  <c r="AI117" i="17"/>
  <c r="I117" i="17"/>
  <c r="AI141" i="17"/>
  <c r="I141" i="17"/>
  <c r="AI128" i="17"/>
  <c r="I128" i="17"/>
  <c r="AI118" i="17"/>
  <c r="I118" i="17"/>
  <c r="AI148" i="17"/>
  <c r="I148" i="17"/>
  <c r="AI134" i="17"/>
  <c r="I134" i="17"/>
  <c r="AI122" i="17"/>
  <c r="I122" i="17"/>
  <c r="AI90" i="17"/>
  <c r="I90" i="17"/>
  <c r="AI75" i="17"/>
  <c r="I75" i="17"/>
  <c r="AI95" i="17"/>
  <c r="I95" i="17"/>
  <c r="AI80" i="17"/>
  <c r="I80" i="17"/>
  <c r="AI97" i="17"/>
  <c r="I97" i="17"/>
  <c r="AI77" i="17"/>
  <c r="I77" i="17"/>
  <c r="AI100" i="17"/>
  <c r="I100" i="17"/>
  <c r="AI87" i="17"/>
  <c r="I87" i="17"/>
  <c r="AI74" i="17"/>
  <c r="I74" i="17"/>
  <c r="AI56" i="17"/>
  <c r="I56" i="17"/>
  <c r="AI72" i="17"/>
  <c r="I72" i="17"/>
  <c r="AI57" i="17"/>
  <c r="I57" i="17"/>
  <c r="AI30" i="17"/>
  <c r="I30" i="17"/>
  <c r="AI61" i="17"/>
  <c r="I61" i="17"/>
  <c r="AI45" i="17"/>
  <c r="I45" i="17"/>
  <c r="AI71" i="17"/>
  <c r="I71" i="17"/>
  <c r="AI62" i="17"/>
  <c r="I62" i="17"/>
  <c r="AI46" i="17"/>
  <c r="I46" i="17"/>
  <c r="AI28" i="17"/>
  <c r="I28" i="17"/>
  <c r="AI8" i="17"/>
  <c r="I8" i="17"/>
  <c r="AI32" i="17"/>
  <c r="I32" i="17"/>
  <c r="AI19" i="17"/>
  <c r="I19" i="17"/>
  <c r="AI10" i="17"/>
  <c r="I10" i="17"/>
  <c r="AI35" i="17"/>
  <c r="I35" i="17"/>
  <c r="AI22" i="17"/>
  <c r="I22" i="17"/>
  <c r="G735" i="17"/>
  <c r="G727" i="17"/>
  <c r="G731" i="17"/>
  <c r="G648" i="17"/>
  <c r="G632" i="17"/>
  <c r="G620" i="17"/>
  <c r="G604" i="17"/>
  <c r="J604" i="17" s="1"/>
  <c r="K604" i="17" s="1"/>
  <c r="R604" i="17" s="1"/>
  <c r="G588" i="17"/>
  <c r="G722" i="17"/>
  <c r="G713" i="17"/>
  <c r="G706" i="17"/>
  <c r="G697" i="17"/>
  <c r="J697" i="17" s="1"/>
  <c r="K697" i="17" s="1"/>
  <c r="R697" i="17" s="1"/>
  <c r="G689" i="17"/>
  <c r="G682" i="17"/>
  <c r="J682" i="17" s="1"/>
  <c r="K682" i="17" s="1"/>
  <c r="R682" i="17" s="1"/>
  <c r="G673" i="17"/>
  <c r="G666" i="17"/>
  <c r="G658" i="17"/>
  <c r="G646" i="17"/>
  <c r="G630" i="17"/>
  <c r="G614" i="17"/>
  <c r="J614" i="17" s="1"/>
  <c r="K614" i="17" s="1"/>
  <c r="R614" i="17" s="1"/>
  <c r="G595" i="17"/>
  <c r="G655" i="17"/>
  <c r="J655" i="17" s="1"/>
  <c r="K655" i="17" s="1"/>
  <c r="R655" i="17" s="1"/>
  <c r="G639" i="17"/>
  <c r="G623" i="17"/>
  <c r="G602" i="17"/>
  <c r="G587" i="17"/>
  <c r="G720" i="17"/>
  <c r="J720" i="17" s="1"/>
  <c r="K720" i="17" s="1"/>
  <c r="R720" i="17" s="1"/>
  <c r="G712" i="17"/>
  <c r="J712" i="17" s="1"/>
  <c r="K712" i="17" s="1"/>
  <c r="R712" i="17" s="1"/>
  <c r="G704" i="17"/>
  <c r="G696" i="17"/>
  <c r="J696" i="17" s="1"/>
  <c r="K696" i="17" s="1"/>
  <c r="R696" i="17" s="1"/>
  <c r="G688" i="17"/>
  <c r="G680" i="17"/>
  <c r="J680" i="17" s="1"/>
  <c r="K680" i="17" s="1"/>
  <c r="R680" i="17" s="1"/>
  <c r="G672" i="17"/>
  <c r="G663" i="17"/>
  <c r="J663" i="17" s="1"/>
  <c r="K663" i="17" s="1"/>
  <c r="R663" i="17" s="1"/>
  <c r="G653" i="17"/>
  <c r="G637" i="17"/>
  <c r="J637" i="17" s="1"/>
  <c r="K637" i="17" s="1"/>
  <c r="R637" i="17" s="1"/>
  <c r="G616" i="17"/>
  <c r="G603" i="17"/>
  <c r="J603" i="17" s="1"/>
  <c r="K603" i="17" s="1"/>
  <c r="R603" i="17" s="1"/>
  <c r="G590" i="17"/>
  <c r="G573" i="17"/>
  <c r="G559" i="17"/>
  <c r="J559" i="17" s="1"/>
  <c r="K559" i="17" s="1"/>
  <c r="R559" i="17" s="1"/>
  <c r="G545" i="17"/>
  <c r="G530" i="17"/>
  <c r="J530" i="17" s="1"/>
  <c r="K530" i="17" s="1"/>
  <c r="R530" i="17" s="1"/>
  <c r="G513" i="17"/>
  <c r="G500" i="17"/>
  <c r="J500" i="17" s="1"/>
  <c r="K500" i="17" s="1"/>
  <c r="R500" i="17" s="1"/>
  <c r="G484" i="17"/>
  <c r="G468" i="17"/>
  <c r="J468" i="17" s="1"/>
  <c r="K468" i="17" s="1"/>
  <c r="R468" i="17" s="1"/>
  <c r="G451" i="17"/>
  <c r="G436" i="17"/>
  <c r="J436" i="17" s="1"/>
  <c r="K436" i="17" s="1"/>
  <c r="R436" i="17" s="1"/>
  <c r="G567" i="17"/>
  <c r="G552" i="17"/>
  <c r="J552" i="17" s="1"/>
  <c r="K552" i="17" s="1"/>
  <c r="R552" i="17" s="1"/>
  <c r="G533" i="17"/>
  <c r="G518" i="17"/>
  <c r="J518" i="17" s="1"/>
  <c r="K518" i="17" s="1"/>
  <c r="R518" i="17" s="1"/>
  <c r="G503" i="17"/>
  <c r="G487" i="17"/>
  <c r="J487" i="17" s="1"/>
  <c r="K487" i="17" s="1"/>
  <c r="R487" i="17" s="1"/>
  <c r="G471" i="17"/>
  <c r="G457" i="17"/>
  <c r="J457" i="17" s="1"/>
  <c r="K457" i="17" s="1"/>
  <c r="G449" i="17"/>
  <c r="G582" i="17"/>
  <c r="G563" i="17"/>
  <c r="J563" i="17" s="1"/>
  <c r="K563" i="17" s="1"/>
  <c r="R563" i="17" s="1"/>
  <c r="G548" i="17"/>
  <c r="G529" i="17"/>
  <c r="G514" i="17"/>
  <c r="G504" i="17"/>
  <c r="J504" i="17" s="1"/>
  <c r="K504" i="17" s="1"/>
  <c r="R504" i="17" s="1"/>
  <c r="G488" i="17"/>
  <c r="G472" i="17"/>
  <c r="G454" i="17"/>
  <c r="G435" i="17"/>
  <c r="J435" i="17" s="1"/>
  <c r="K435" i="17" s="1"/>
  <c r="R435" i="17" s="1"/>
  <c r="G572" i="17"/>
  <c r="J572" i="17" s="1"/>
  <c r="K572" i="17" s="1"/>
  <c r="R572" i="17" s="1"/>
  <c r="G558" i="17"/>
  <c r="J558" i="17" s="1"/>
  <c r="K558" i="17" s="1"/>
  <c r="R558" i="17" s="1"/>
  <c r="G537" i="17"/>
  <c r="G522" i="17"/>
  <c r="G499" i="17"/>
  <c r="G483" i="17"/>
  <c r="G467" i="17"/>
  <c r="G447" i="17"/>
  <c r="J447" i="17" s="1"/>
  <c r="K447" i="17" s="1"/>
  <c r="R447" i="17" s="1"/>
  <c r="G421" i="17"/>
  <c r="G405" i="17"/>
  <c r="J405" i="17" s="1"/>
  <c r="K405" i="17" s="1"/>
  <c r="R405" i="17" s="1"/>
  <c r="G388" i="17"/>
  <c r="G373" i="17"/>
  <c r="G429" i="17"/>
  <c r="G419" i="17"/>
  <c r="J419" i="17" s="1"/>
  <c r="K419" i="17" s="1"/>
  <c r="R419" i="17" s="1"/>
  <c r="G406" i="17"/>
  <c r="G396" i="17"/>
  <c r="J396" i="17" s="1"/>
  <c r="K396" i="17" s="1"/>
  <c r="R396" i="17" s="1"/>
  <c r="G383" i="17"/>
  <c r="G367" i="17"/>
  <c r="G422" i="17"/>
  <c r="G404" i="17"/>
  <c r="J404" i="17" s="1"/>
  <c r="K404" i="17" s="1"/>
  <c r="R404" i="17" s="1"/>
  <c r="G389" i="17"/>
  <c r="G369" i="17"/>
  <c r="G426" i="17"/>
  <c r="G407" i="17"/>
  <c r="G387" i="17"/>
  <c r="G370" i="17"/>
  <c r="J370" i="17" s="1"/>
  <c r="K370" i="17" s="1"/>
  <c r="R370" i="17" s="1"/>
  <c r="G327" i="17"/>
  <c r="G314" i="17"/>
  <c r="G296" i="17"/>
  <c r="G351" i="17"/>
  <c r="G334" i="17"/>
  <c r="G318" i="17"/>
  <c r="G300" i="17"/>
  <c r="G359" i="17"/>
  <c r="G342" i="17"/>
  <c r="G331" i="17"/>
  <c r="G321" i="17"/>
  <c r="G306" i="17"/>
  <c r="G365" i="17"/>
  <c r="G353" i="17"/>
  <c r="G340" i="17"/>
  <c r="G319" i="17"/>
  <c r="G304" i="17"/>
  <c r="G286" i="17"/>
  <c r="G269" i="17"/>
  <c r="G245" i="17"/>
  <c r="G229" i="17"/>
  <c r="G216" i="17"/>
  <c r="J216" i="17" s="1"/>
  <c r="K216" i="17" s="1"/>
  <c r="R216" i="17" s="1"/>
  <c r="G280" i="17"/>
  <c r="G262" i="17"/>
  <c r="G251" i="17"/>
  <c r="G238" i="17"/>
  <c r="G222" i="17"/>
  <c r="G281" i="17"/>
  <c r="G268" i="17"/>
  <c r="G247" i="17"/>
  <c r="G231" i="17"/>
  <c r="G288" i="17"/>
  <c r="G271" i="17"/>
  <c r="J271" i="17" s="1"/>
  <c r="K271" i="17" s="1"/>
  <c r="R271" i="17" s="1"/>
  <c r="G255" i="17"/>
  <c r="G244" i="17"/>
  <c r="G228" i="17"/>
  <c r="G209" i="17"/>
  <c r="G197" i="17"/>
  <c r="G179" i="17"/>
  <c r="G166" i="17"/>
  <c r="G220" i="17"/>
  <c r="G201" i="17"/>
  <c r="G186" i="17"/>
  <c r="G174" i="17"/>
  <c r="G156" i="17"/>
  <c r="G212" i="17"/>
  <c r="G199" i="17"/>
  <c r="J199" i="17" s="1"/>
  <c r="K199" i="17" s="1"/>
  <c r="R199" i="17" s="1"/>
  <c r="G181" i="17"/>
  <c r="G162" i="17"/>
  <c r="J162" i="17" s="1"/>
  <c r="K162" i="17" s="1"/>
  <c r="R162" i="17" s="1"/>
  <c r="G203" i="17"/>
  <c r="J203" i="17" s="1"/>
  <c r="K203" i="17" s="1"/>
  <c r="R203" i="17" s="1"/>
  <c r="G188" i="17"/>
  <c r="G172" i="17"/>
  <c r="G157" i="17"/>
  <c r="G147" i="17"/>
  <c r="G123" i="17"/>
  <c r="G113" i="17"/>
  <c r="G141" i="17"/>
  <c r="G128" i="17"/>
  <c r="G118" i="17"/>
  <c r="G134" i="17"/>
  <c r="G122" i="17"/>
  <c r="G103" i="17"/>
  <c r="J103" i="17" s="1"/>
  <c r="K103" i="17" s="1"/>
  <c r="R103" i="17" s="1"/>
  <c r="G131" i="17"/>
  <c r="G111" i="17"/>
  <c r="J111" i="17" s="1"/>
  <c r="K111" i="17" s="1"/>
  <c r="R111" i="17" s="1"/>
  <c r="G86" i="17"/>
  <c r="G105" i="17"/>
  <c r="J105" i="17" s="1"/>
  <c r="K105" i="17" s="1"/>
  <c r="R105" i="17" s="1"/>
  <c r="G89" i="17"/>
  <c r="G107" i="17"/>
  <c r="G92" i="17"/>
  <c r="J92" i="17" s="1"/>
  <c r="K92" i="17" s="1"/>
  <c r="R92" i="17" s="1"/>
  <c r="G78" i="17"/>
  <c r="G101" i="17"/>
  <c r="G79" i="17"/>
  <c r="J79" i="17" s="1"/>
  <c r="K79" i="17" s="1"/>
  <c r="R79" i="17" s="1"/>
  <c r="G65" i="17"/>
  <c r="G52" i="17"/>
  <c r="G24" i="17"/>
  <c r="G58" i="17"/>
  <c r="G42" i="17"/>
  <c r="G66" i="17"/>
  <c r="J66" i="17" s="1"/>
  <c r="K66" i="17" s="1"/>
  <c r="R66" i="17" s="1"/>
  <c r="G51" i="17"/>
  <c r="J51" i="17" s="1"/>
  <c r="K51" i="17" s="1"/>
  <c r="R51" i="17" s="1"/>
  <c r="G38" i="17"/>
  <c r="J38" i="17" s="1"/>
  <c r="K38" i="17" s="1"/>
  <c r="R38" i="17" s="1"/>
  <c r="G69" i="17"/>
  <c r="G47" i="17"/>
  <c r="G34" i="17"/>
  <c r="G23" i="17"/>
  <c r="J23" i="17" s="1"/>
  <c r="K23" i="17" s="1"/>
  <c r="R23" i="17" s="1"/>
  <c r="G15" i="17"/>
  <c r="G20" i="17"/>
  <c r="J20" i="17" s="1"/>
  <c r="K20" i="17" s="1"/>
  <c r="G14" i="17"/>
  <c r="G28" i="17"/>
  <c r="G8" i="17"/>
  <c r="AI735" i="17"/>
  <c r="I735" i="17"/>
  <c r="AI714" i="17"/>
  <c r="I714" i="17"/>
  <c r="AI690" i="17"/>
  <c r="I690" i="17"/>
  <c r="AI681" i="17"/>
  <c r="I681" i="17"/>
  <c r="AI657" i="17"/>
  <c r="I657" i="17"/>
  <c r="AI626" i="17"/>
  <c r="I626" i="17"/>
  <c r="AI591" i="17"/>
  <c r="I591" i="17"/>
  <c r="AI620" i="17"/>
  <c r="I620" i="17"/>
  <c r="AI722" i="17"/>
  <c r="I722" i="17"/>
  <c r="AI706" i="17"/>
  <c r="I706" i="17"/>
  <c r="AI689" i="17"/>
  <c r="I689" i="17"/>
  <c r="AI666" i="17"/>
  <c r="I666" i="17"/>
  <c r="AI630" i="17"/>
  <c r="I630" i="17"/>
  <c r="AI595" i="17"/>
  <c r="I595" i="17"/>
  <c r="AI639" i="17"/>
  <c r="I639" i="17"/>
  <c r="AI587" i="17"/>
  <c r="I587" i="17"/>
  <c r="AI537" i="17"/>
  <c r="I537" i="17"/>
  <c r="AI499" i="17"/>
  <c r="I499" i="17"/>
  <c r="AI467" i="17"/>
  <c r="I467" i="17"/>
  <c r="AI561" i="17"/>
  <c r="I561" i="17"/>
  <c r="AI546" i="17"/>
  <c r="I546" i="17"/>
  <c r="AI501" i="17"/>
  <c r="I501" i="17"/>
  <c r="AI469" i="17"/>
  <c r="I469" i="17"/>
  <c r="AI439" i="17"/>
  <c r="I439" i="17"/>
  <c r="AI538" i="17"/>
  <c r="I538" i="17"/>
  <c r="AI494" i="17"/>
  <c r="I494" i="17"/>
  <c r="AI478" i="17"/>
  <c r="I478" i="17"/>
  <c r="AI437" i="17"/>
  <c r="I437" i="17"/>
  <c r="AI539" i="17"/>
  <c r="I539" i="17"/>
  <c r="AI524" i="17"/>
  <c r="I524" i="17"/>
  <c r="AI480" i="17"/>
  <c r="I480" i="17"/>
  <c r="AI416" i="17"/>
  <c r="I416" i="17"/>
  <c r="AI380" i="17"/>
  <c r="I380" i="17"/>
  <c r="AI413" i="17"/>
  <c r="I413" i="17"/>
  <c r="AI433" i="17"/>
  <c r="I433" i="17"/>
  <c r="AI409" i="17"/>
  <c r="I409" i="17"/>
  <c r="AI385" i="17"/>
  <c r="I385" i="17"/>
  <c r="AI422" i="17"/>
  <c r="I422" i="17"/>
  <c r="AI389" i="17"/>
  <c r="I389" i="17"/>
  <c r="AI333" i="17"/>
  <c r="I333" i="17"/>
  <c r="AI350" i="17"/>
  <c r="I350" i="17"/>
  <c r="AI324" i="17"/>
  <c r="I324" i="17"/>
  <c r="AI344" i="17"/>
  <c r="I344" i="17"/>
  <c r="AI297" i="17"/>
  <c r="I297" i="17"/>
  <c r="AI359" i="17"/>
  <c r="I359" i="17"/>
  <c r="AI321" i="17"/>
  <c r="I321" i="17"/>
  <c r="AI306" i="17"/>
  <c r="I306" i="17"/>
  <c r="AI255" i="17"/>
  <c r="I255" i="17"/>
  <c r="AI279" i="17"/>
  <c r="I279" i="17"/>
  <c r="AI225" i="17"/>
  <c r="I225" i="17"/>
  <c r="AI292" i="17"/>
  <c r="I292" i="17"/>
  <c r="AI249" i="17"/>
  <c r="I249" i="17"/>
  <c r="AI234" i="17"/>
  <c r="I234" i="17"/>
  <c r="AI265" i="17"/>
  <c r="I265" i="17"/>
  <c r="AI196" i="17"/>
  <c r="I196" i="17"/>
  <c r="AI165" i="17"/>
  <c r="I165" i="17"/>
  <c r="AI207" i="17"/>
  <c r="I207" i="17"/>
  <c r="AI160" i="17"/>
  <c r="I160" i="17"/>
  <c r="AI219" i="17"/>
  <c r="I219" i="17"/>
  <c r="AI170" i="17"/>
  <c r="I170" i="17"/>
  <c r="AI205" i="17"/>
  <c r="I205" i="17"/>
  <c r="AI190" i="17"/>
  <c r="I190" i="17"/>
  <c r="AI119" i="17"/>
  <c r="I119" i="17"/>
  <c r="AI113" i="17"/>
  <c r="I113" i="17"/>
  <c r="AI110" i="17"/>
  <c r="I110" i="17"/>
  <c r="AI142" i="17"/>
  <c r="I142" i="17"/>
  <c r="AI83" i="17"/>
  <c r="I83" i="17"/>
  <c r="AI86" i="17"/>
  <c r="I86" i="17"/>
  <c r="AI89" i="17"/>
  <c r="I89" i="17"/>
  <c r="AI82" i="17"/>
  <c r="I82" i="17"/>
  <c r="AI65" i="17"/>
  <c r="I65" i="17"/>
  <c r="AI52" i="17"/>
  <c r="I52" i="17"/>
  <c r="AI40" i="17"/>
  <c r="I40" i="17"/>
  <c r="AI41" i="17"/>
  <c r="I41" i="17"/>
  <c r="AI21" i="17"/>
  <c r="I21" i="17"/>
  <c r="AI16" i="17"/>
  <c r="I16" i="17"/>
  <c r="AI31" i="17"/>
  <c r="I31" i="17"/>
  <c r="G732" i="17"/>
  <c r="G640" i="17"/>
  <c r="G624" i="17"/>
  <c r="G725" i="17"/>
  <c r="G702" i="17"/>
  <c r="G693" i="17"/>
  <c r="G670" i="17"/>
  <c r="G662" i="17"/>
  <c r="G622" i="17"/>
  <c r="G608" i="17"/>
  <c r="G631" i="17"/>
  <c r="G724" i="17"/>
  <c r="G708" i="17"/>
  <c r="G692" i="17"/>
  <c r="G676" i="17"/>
  <c r="G659" i="17"/>
  <c r="G629" i="17"/>
  <c r="G596" i="17"/>
  <c r="G566" i="17"/>
  <c r="G540" i="17"/>
  <c r="G492" i="17"/>
  <c r="G442" i="17"/>
  <c r="G543" i="17"/>
  <c r="G528" i="17"/>
  <c r="G479" i="17"/>
  <c r="G446" i="17"/>
  <c r="G553" i="17"/>
  <c r="J553" i="17" s="1"/>
  <c r="K553" i="17" s="1"/>
  <c r="R553" i="17" s="1"/>
  <c r="G539" i="17"/>
  <c r="J539" i="17" s="1"/>
  <c r="K539" i="17" s="1"/>
  <c r="R539" i="17" s="1"/>
  <c r="G496" i="17"/>
  <c r="G464" i="17"/>
  <c r="G580" i="17"/>
  <c r="G551" i="17"/>
  <c r="G491" i="17"/>
  <c r="G459" i="17"/>
  <c r="G391" i="17"/>
  <c r="G356" i="17"/>
  <c r="G411" i="17"/>
  <c r="G374" i="17"/>
  <c r="G415" i="17"/>
  <c r="G363" i="17"/>
  <c r="G400" i="17"/>
  <c r="G322" i="17"/>
  <c r="J322" i="17" s="1"/>
  <c r="K322" i="17" s="1"/>
  <c r="R322" i="17" s="1"/>
  <c r="G305" i="17"/>
  <c r="J305" i="17" s="1"/>
  <c r="K305" i="17" s="1"/>
  <c r="R305" i="17" s="1"/>
  <c r="G341" i="17"/>
  <c r="J341" i="17" s="1"/>
  <c r="K341" i="17" s="1"/>
  <c r="R341" i="17" s="1"/>
  <c r="G294" i="17"/>
  <c r="G337" i="17"/>
  <c r="G298" i="17"/>
  <c r="G347" i="17"/>
  <c r="G295" i="17"/>
  <c r="G261" i="17"/>
  <c r="J261" i="17" s="1"/>
  <c r="K261" i="17" s="1"/>
  <c r="R261" i="17" s="1"/>
  <c r="G290" i="17"/>
  <c r="J290" i="17" s="1"/>
  <c r="K290" i="17" s="1"/>
  <c r="R290" i="17" s="1"/>
  <c r="G270" i="17"/>
  <c r="G230" i="17"/>
  <c r="J230" i="17" s="1"/>
  <c r="K230" i="17" s="1"/>
  <c r="R230" i="17" s="1"/>
  <c r="G287" i="17"/>
  <c r="J287" i="17" s="1"/>
  <c r="K287" i="17" s="1"/>
  <c r="R287" i="17" s="1"/>
  <c r="G239" i="17"/>
  <c r="J239" i="17" s="1"/>
  <c r="K239" i="17" s="1"/>
  <c r="R239" i="17" s="1"/>
  <c r="G223" i="17"/>
  <c r="G250" i="17"/>
  <c r="G206" i="17"/>
  <c r="J206" i="17" s="1"/>
  <c r="K206" i="17" s="1"/>
  <c r="R206" i="17" s="1"/>
  <c r="G189" i="17"/>
  <c r="G214" i="17"/>
  <c r="J214" i="17" s="1"/>
  <c r="K214" i="17" s="1"/>
  <c r="R214" i="17" s="1"/>
  <c r="G194" i="17"/>
  <c r="G164" i="17"/>
  <c r="J164" i="17" s="1"/>
  <c r="K164" i="17" s="1"/>
  <c r="R164" i="17" s="1"/>
  <c r="G191" i="17"/>
  <c r="G171" i="17"/>
  <c r="G184" i="17"/>
  <c r="J184" i="17" s="1"/>
  <c r="K184" i="17" s="1"/>
  <c r="R184" i="17" s="1"/>
  <c r="G165" i="17"/>
  <c r="J165" i="17" s="1"/>
  <c r="K165" i="17" s="1"/>
  <c r="R165" i="17" s="1"/>
  <c r="G117" i="17"/>
  <c r="G124" i="17"/>
  <c r="J124" i="17" s="1"/>
  <c r="K124" i="17" s="1"/>
  <c r="R124" i="17" s="1"/>
  <c r="G142" i="17"/>
  <c r="G143" i="17"/>
  <c r="G95" i="17"/>
  <c r="G77" i="17"/>
  <c r="G109" i="17"/>
  <c r="J109" i="17" s="1"/>
  <c r="K109" i="17" s="1"/>
  <c r="R109" i="17" s="1"/>
  <c r="G57" i="17"/>
  <c r="G35" i="17"/>
  <c r="G50" i="17"/>
  <c r="G62" i="17"/>
  <c r="G22" i="17"/>
  <c r="G37" i="17"/>
  <c r="G17" i="17"/>
  <c r="G30" i="17"/>
  <c r="G21" i="17"/>
  <c r="J21" i="17" s="1"/>
  <c r="K21" i="17" s="1"/>
  <c r="R21" i="17" s="1"/>
  <c r="AI731" i="17"/>
  <c r="I731" i="17"/>
  <c r="AI732" i="17"/>
  <c r="I732" i="17"/>
  <c r="AI7" i="17"/>
  <c r="I7" i="17"/>
  <c r="AI709" i="17"/>
  <c r="I709" i="17"/>
  <c r="AI701" i="17"/>
  <c r="I701" i="17"/>
  <c r="AI685" i="17"/>
  <c r="I685" i="17"/>
  <c r="AI677" i="17"/>
  <c r="I677" i="17"/>
  <c r="AI661" i="17"/>
  <c r="I661" i="17"/>
  <c r="AI634" i="17"/>
  <c r="I634" i="17"/>
  <c r="AI736" i="17"/>
  <c r="I736" i="17"/>
  <c r="AI728" i="17"/>
  <c r="I728" i="17"/>
  <c r="AI730" i="17"/>
  <c r="I730" i="17"/>
  <c r="AI724" i="17"/>
  <c r="I724" i="17"/>
  <c r="AI715" i="17"/>
  <c r="I715" i="17"/>
  <c r="AI708" i="17"/>
  <c r="I708" i="17"/>
  <c r="AI699" i="17"/>
  <c r="I699" i="17"/>
  <c r="AI692" i="17"/>
  <c r="I692" i="17"/>
  <c r="AI684" i="17"/>
  <c r="I684" i="17"/>
  <c r="AI676" i="17"/>
  <c r="I676" i="17"/>
  <c r="AI668" i="17"/>
  <c r="I668" i="17"/>
  <c r="AI659" i="17"/>
  <c r="I659" i="17"/>
  <c r="AI645" i="17"/>
  <c r="I645" i="17"/>
  <c r="AI629" i="17"/>
  <c r="I629" i="17"/>
  <c r="AI610" i="17"/>
  <c r="I610" i="17"/>
  <c r="AI596" i="17"/>
  <c r="I596" i="17"/>
  <c r="AI651" i="17"/>
  <c r="I651" i="17"/>
  <c r="AI635" i="17"/>
  <c r="I635" i="17"/>
  <c r="AI621" i="17"/>
  <c r="I621" i="17"/>
  <c r="AI607" i="17"/>
  <c r="I607" i="17"/>
  <c r="AI594" i="17"/>
  <c r="I594" i="17"/>
  <c r="AI723" i="17"/>
  <c r="I723" i="17"/>
  <c r="AI716" i="17"/>
  <c r="I716" i="17"/>
  <c r="AI707" i="17"/>
  <c r="I707" i="17"/>
  <c r="AI700" i="17"/>
  <c r="I700" i="17"/>
  <c r="AI691" i="17"/>
  <c r="I691" i="17"/>
  <c r="AI683" i="17"/>
  <c r="I683" i="17"/>
  <c r="AI675" i="17"/>
  <c r="I675" i="17"/>
  <c r="AI667" i="17"/>
  <c r="I667" i="17"/>
  <c r="AI660" i="17"/>
  <c r="I660" i="17"/>
  <c r="AI649" i="17"/>
  <c r="I649" i="17"/>
  <c r="AI633" i="17"/>
  <c r="I633" i="17"/>
  <c r="AI618" i="17"/>
  <c r="I618" i="17"/>
  <c r="AI605" i="17"/>
  <c r="I605" i="17"/>
  <c r="AI586" i="17"/>
  <c r="I586" i="17"/>
  <c r="AI644" i="17"/>
  <c r="I644" i="17"/>
  <c r="AI628" i="17"/>
  <c r="I628" i="17"/>
  <c r="AI612" i="17"/>
  <c r="I612" i="17"/>
  <c r="AI593" i="17"/>
  <c r="I593" i="17"/>
  <c r="AI576" i="17"/>
  <c r="I576" i="17"/>
  <c r="AI564" i="17"/>
  <c r="I564" i="17"/>
  <c r="AI544" i="17"/>
  <c r="I544" i="17"/>
  <c r="AI527" i="17"/>
  <c r="I527" i="17"/>
  <c r="AI512" i="17"/>
  <c r="I512" i="17"/>
  <c r="AI490" i="17"/>
  <c r="I490" i="17"/>
  <c r="AI474" i="17"/>
  <c r="I474" i="17"/>
  <c r="AI450" i="17"/>
  <c r="I450" i="17"/>
  <c r="AI581" i="17"/>
  <c r="I581" i="17"/>
  <c r="AI566" i="17"/>
  <c r="I566" i="17"/>
  <c r="AI549" i="17"/>
  <c r="I549" i="17"/>
  <c r="AI540" i="17"/>
  <c r="I540" i="17"/>
  <c r="AI523" i="17"/>
  <c r="I523" i="17"/>
  <c r="AI508" i="17"/>
  <c r="I508" i="17"/>
  <c r="AI492" i="17"/>
  <c r="I492" i="17"/>
  <c r="AI476" i="17"/>
  <c r="I476" i="17"/>
  <c r="AI460" i="17"/>
  <c r="I460" i="17"/>
  <c r="AI442" i="17"/>
  <c r="I442" i="17"/>
  <c r="AI574" i="17"/>
  <c r="I574" i="17"/>
  <c r="AI557" i="17"/>
  <c r="I557" i="17"/>
  <c r="AI543" i="17"/>
  <c r="I543" i="17"/>
  <c r="AI528" i="17"/>
  <c r="I528" i="17"/>
  <c r="AI511" i="17"/>
  <c r="I511" i="17"/>
  <c r="AI495" i="17"/>
  <c r="I495" i="17"/>
  <c r="AI479" i="17"/>
  <c r="I479" i="17"/>
  <c r="AI463" i="17"/>
  <c r="I463" i="17"/>
  <c r="AI453" i="17"/>
  <c r="I453" i="17"/>
  <c r="AI446" i="17"/>
  <c r="I446" i="17"/>
  <c r="AI579" i="17"/>
  <c r="I579" i="17"/>
  <c r="AI560" i="17"/>
  <c r="I560" i="17"/>
  <c r="AI541" i="17"/>
  <c r="I541" i="17"/>
  <c r="AI526" i="17"/>
  <c r="I526" i="17"/>
  <c r="AI509" i="17"/>
  <c r="I509" i="17"/>
  <c r="AI497" i="17"/>
  <c r="I497" i="17"/>
  <c r="AI481" i="17"/>
  <c r="I481" i="17"/>
  <c r="AI465" i="17"/>
  <c r="I465" i="17"/>
  <c r="AI443" i="17"/>
  <c r="I443" i="17"/>
  <c r="AI418" i="17"/>
  <c r="I418" i="17"/>
  <c r="AI402" i="17"/>
  <c r="I402" i="17"/>
  <c r="AI384" i="17"/>
  <c r="I384" i="17"/>
  <c r="AI355" i="17"/>
  <c r="I355" i="17"/>
  <c r="AI414" i="17"/>
  <c r="I414" i="17"/>
  <c r="AI395" i="17"/>
  <c r="I395" i="17"/>
  <c r="AI382" i="17"/>
  <c r="I382" i="17"/>
  <c r="AI371" i="17"/>
  <c r="I371" i="17"/>
  <c r="AI425" i="17"/>
  <c r="I425" i="17"/>
  <c r="AI411" i="17"/>
  <c r="I411" i="17"/>
  <c r="AI401" i="17"/>
  <c r="I401" i="17"/>
  <c r="AI386" i="17"/>
  <c r="I386" i="17"/>
  <c r="AI374" i="17"/>
  <c r="I374" i="17"/>
  <c r="AI353" i="17"/>
  <c r="I353" i="17"/>
  <c r="AI430" i="17"/>
  <c r="I430" i="17"/>
  <c r="AI412" i="17"/>
  <c r="I412" i="17"/>
  <c r="AI393" i="17"/>
  <c r="I393" i="17"/>
  <c r="AI372" i="17"/>
  <c r="I372" i="17"/>
  <c r="AI348" i="17"/>
  <c r="I348" i="17"/>
  <c r="AI335" i="17"/>
  <c r="I335" i="17"/>
  <c r="AI317" i="17"/>
  <c r="I317" i="17"/>
  <c r="AI302" i="17"/>
  <c r="I302" i="17"/>
  <c r="AI356" i="17"/>
  <c r="I356" i="17"/>
  <c r="AI327" i="17"/>
  <c r="I327" i="17"/>
  <c r="AI314" i="17"/>
  <c r="I314" i="17"/>
  <c r="AI296" i="17"/>
  <c r="I296" i="17"/>
  <c r="AI351" i="17"/>
  <c r="I351" i="17"/>
  <c r="AI334" i="17"/>
  <c r="I334" i="17"/>
  <c r="AI318" i="17"/>
  <c r="I318" i="17"/>
  <c r="AI300" i="17"/>
  <c r="I300" i="17"/>
  <c r="AI360" i="17"/>
  <c r="I360" i="17"/>
  <c r="AI345" i="17"/>
  <c r="I345" i="17"/>
  <c r="AI332" i="17"/>
  <c r="I332" i="17"/>
  <c r="AI323" i="17"/>
  <c r="I323" i="17"/>
  <c r="AI308" i="17"/>
  <c r="I308" i="17"/>
  <c r="AI291" i="17"/>
  <c r="I291" i="17"/>
  <c r="AI274" i="17"/>
  <c r="I274" i="17"/>
  <c r="AI258" i="17"/>
  <c r="I258" i="17"/>
  <c r="AI248" i="17"/>
  <c r="I248" i="17"/>
  <c r="AI232" i="17"/>
  <c r="I232" i="17"/>
  <c r="AI286" i="17"/>
  <c r="I286" i="17"/>
  <c r="AI269" i="17"/>
  <c r="I269" i="17"/>
  <c r="AI245" i="17"/>
  <c r="I245" i="17"/>
  <c r="AI229" i="17"/>
  <c r="I229" i="17"/>
  <c r="AI215" i="17"/>
  <c r="I215" i="17"/>
  <c r="AI280" i="17"/>
  <c r="I280" i="17"/>
  <c r="AI262" i="17"/>
  <c r="I262" i="17"/>
  <c r="AI251" i="17"/>
  <c r="I251" i="17"/>
  <c r="AI238" i="17"/>
  <c r="I238" i="17"/>
  <c r="AI222" i="17"/>
  <c r="I222" i="17"/>
  <c r="AI281" i="17"/>
  <c r="I281" i="17"/>
  <c r="AI268" i="17"/>
  <c r="I268" i="17"/>
  <c r="AI247" i="17"/>
  <c r="I247" i="17"/>
  <c r="AI231" i="17"/>
  <c r="I231" i="17"/>
  <c r="AI202" i="17"/>
  <c r="I202" i="17"/>
  <c r="AI185" i="17"/>
  <c r="I185" i="17"/>
  <c r="AI168" i="17"/>
  <c r="I168" i="17"/>
  <c r="AI153" i="17"/>
  <c r="I153" i="17"/>
  <c r="AI209" i="17"/>
  <c r="I209" i="17"/>
  <c r="AI197" i="17"/>
  <c r="I197" i="17"/>
  <c r="AI179" i="17"/>
  <c r="I179" i="17"/>
  <c r="AI166" i="17"/>
  <c r="I166" i="17"/>
  <c r="AI220" i="17"/>
  <c r="I220" i="17"/>
  <c r="AI201" i="17"/>
  <c r="I201" i="17"/>
  <c r="AI186" i="17"/>
  <c r="I186" i="17"/>
  <c r="AI174" i="17"/>
  <c r="I174" i="17"/>
  <c r="AI156" i="17"/>
  <c r="I156" i="17"/>
  <c r="AI143" i="17"/>
  <c r="I143" i="17"/>
  <c r="AI208" i="17"/>
  <c r="I208" i="17"/>
  <c r="AI191" i="17"/>
  <c r="I191" i="17"/>
  <c r="AI171" i="17"/>
  <c r="I171" i="17"/>
  <c r="AI150" i="17"/>
  <c r="I150" i="17"/>
  <c r="AI125" i="17"/>
  <c r="I125" i="17"/>
  <c r="AI149" i="17"/>
  <c r="I149" i="17"/>
  <c r="AI126" i="17"/>
  <c r="I126" i="17"/>
  <c r="AI114" i="17"/>
  <c r="I114" i="17"/>
  <c r="AI138" i="17"/>
  <c r="I138" i="17"/>
  <c r="AI127" i="17"/>
  <c r="I127" i="17"/>
  <c r="AI115" i="17"/>
  <c r="I115" i="17"/>
  <c r="AI147" i="17"/>
  <c r="I147" i="17"/>
  <c r="AI133" i="17"/>
  <c r="I133" i="17"/>
  <c r="AI116" i="17"/>
  <c r="I116" i="17"/>
  <c r="AI88" i="17"/>
  <c r="I88" i="17"/>
  <c r="AI104" i="17"/>
  <c r="I104" i="17"/>
  <c r="AI93" i="17"/>
  <c r="I93" i="17"/>
  <c r="AI106" i="17"/>
  <c r="I106" i="17"/>
  <c r="AI91" i="17"/>
  <c r="I91" i="17"/>
  <c r="AI76" i="17"/>
  <c r="I76" i="17"/>
  <c r="AI99" i="17"/>
  <c r="I99" i="17"/>
  <c r="AI85" i="17"/>
  <c r="I85" i="17"/>
  <c r="AI69" i="17"/>
  <c r="I69" i="17"/>
  <c r="AI47" i="17"/>
  <c r="I47" i="17"/>
  <c r="AI67" i="17"/>
  <c r="I67" i="17"/>
  <c r="AI54" i="17"/>
  <c r="I54" i="17"/>
  <c r="AI27" i="17"/>
  <c r="I27" i="17"/>
  <c r="AI58" i="17"/>
  <c r="I58" i="17"/>
  <c r="AI42" i="17"/>
  <c r="I42" i="17"/>
  <c r="AI68" i="17"/>
  <c r="I68" i="17"/>
  <c r="AI53" i="17"/>
  <c r="I53" i="17"/>
  <c r="AI43" i="17"/>
  <c r="I43" i="17"/>
  <c r="AI25" i="17"/>
  <c r="I25" i="17"/>
  <c r="AI37" i="17"/>
  <c r="I37" i="17"/>
  <c r="AI29" i="17"/>
  <c r="I29" i="17"/>
  <c r="AI17" i="17"/>
  <c r="I17" i="17"/>
  <c r="AI12" i="17"/>
  <c r="I12" i="17"/>
  <c r="AI33" i="17"/>
  <c r="I33" i="17"/>
  <c r="AI14" i="17"/>
  <c r="I14" i="17"/>
  <c r="G733" i="17"/>
  <c r="G726" i="17"/>
  <c r="G729" i="17"/>
  <c r="J729" i="17" s="1"/>
  <c r="K729" i="17" s="1"/>
  <c r="R729" i="17" s="1"/>
  <c r="G643" i="17"/>
  <c r="J643" i="17" s="1"/>
  <c r="K643" i="17" s="1"/>
  <c r="R643" i="17" s="1"/>
  <c r="G627" i="17"/>
  <c r="G617" i="17"/>
  <c r="J617" i="17" s="1"/>
  <c r="K617" i="17" s="1"/>
  <c r="R617" i="17" s="1"/>
  <c r="G601" i="17"/>
  <c r="G583" i="17"/>
  <c r="J583" i="17" s="1"/>
  <c r="K583" i="17" s="1"/>
  <c r="R583" i="17" s="1"/>
  <c r="G719" i="17"/>
  <c r="G711" i="17"/>
  <c r="J711" i="17" s="1"/>
  <c r="K711" i="17" s="1"/>
  <c r="R711" i="17" s="1"/>
  <c r="G703" i="17"/>
  <c r="G695" i="17"/>
  <c r="J695" i="17" s="1"/>
  <c r="K695" i="17" s="1"/>
  <c r="R695" i="17" s="1"/>
  <c r="G687" i="17"/>
  <c r="G679" i="17"/>
  <c r="J679" i="17" s="1"/>
  <c r="K679" i="17" s="1"/>
  <c r="R679" i="17" s="1"/>
  <c r="G671" i="17"/>
  <c r="G664" i="17"/>
  <c r="J664" i="17" s="1"/>
  <c r="K664" i="17" s="1"/>
  <c r="R664" i="17" s="1"/>
  <c r="G656" i="17"/>
  <c r="G641" i="17"/>
  <c r="J641" i="17" s="1"/>
  <c r="K641" i="17" s="1"/>
  <c r="R641" i="17" s="1"/>
  <c r="G625" i="17"/>
  <c r="G609" i="17"/>
  <c r="J609" i="17" s="1"/>
  <c r="K609" i="17" s="1"/>
  <c r="R609" i="17" s="1"/>
  <c r="G592" i="17"/>
  <c r="G652" i="17"/>
  <c r="J652" i="17" s="1"/>
  <c r="K652" i="17" s="1"/>
  <c r="R652" i="17" s="1"/>
  <c r="G636" i="17"/>
  <c r="G619" i="17"/>
  <c r="J619" i="17" s="1"/>
  <c r="K619" i="17" s="1"/>
  <c r="R619" i="17" s="1"/>
  <c r="G599" i="17"/>
  <c r="G584" i="17"/>
  <c r="J584" i="17" s="1"/>
  <c r="K584" i="17" s="1"/>
  <c r="R584" i="17" s="1"/>
  <c r="G718" i="17"/>
  <c r="G709" i="17"/>
  <c r="J709" i="17" s="1"/>
  <c r="K709" i="17" s="1"/>
  <c r="R709" i="17" s="1"/>
  <c r="G701" i="17"/>
  <c r="J701" i="17" s="1"/>
  <c r="K701" i="17" s="1"/>
  <c r="R701" i="17" s="1"/>
  <c r="G694" i="17"/>
  <c r="G685" i="17"/>
  <c r="G677" i="17"/>
  <c r="J677" i="17" s="1"/>
  <c r="K677" i="17" s="1"/>
  <c r="R677" i="17" s="1"/>
  <c r="G669" i="17"/>
  <c r="G661" i="17"/>
  <c r="G650" i="17"/>
  <c r="J650" i="17" s="1"/>
  <c r="K650" i="17" s="1"/>
  <c r="R650" i="17" s="1"/>
  <c r="G634" i="17"/>
  <c r="J634" i="17" s="1"/>
  <c r="K634" i="17" s="1"/>
  <c r="R634" i="17" s="1"/>
  <c r="G613" i="17"/>
  <c r="G600" i="17"/>
  <c r="G585" i="17"/>
  <c r="G569" i="17"/>
  <c r="J569" i="17" s="1"/>
  <c r="K569" i="17" s="1"/>
  <c r="R569" i="17" s="1"/>
  <c r="G554" i="17"/>
  <c r="G542" i="17"/>
  <c r="J542" i="17" s="1"/>
  <c r="K542" i="17" s="1"/>
  <c r="R542" i="17" s="1"/>
  <c r="G525" i="17"/>
  <c r="J525" i="17" s="1"/>
  <c r="K525" i="17" s="1"/>
  <c r="R525" i="17" s="1"/>
  <c r="G510" i="17"/>
  <c r="J510" i="17" s="1"/>
  <c r="K510" i="17" s="1"/>
  <c r="R510" i="17" s="1"/>
  <c r="G493" i="17"/>
  <c r="G477" i="17"/>
  <c r="J477" i="17" s="1"/>
  <c r="K477" i="17" s="1"/>
  <c r="R477" i="17" s="1"/>
  <c r="G461" i="17"/>
  <c r="J461" i="17" s="1"/>
  <c r="K461" i="17" s="1"/>
  <c r="R461" i="17" s="1"/>
  <c r="G445" i="17"/>
  <c r="J445" i="17" s="1"/>
  <c r="K445" i="17" s="1"/>
  <c r="R445" i="17" s="1"/>
  <c r="G578" i="17"/>
  <c r="G562" i="17"/>
  <c r="J562" i="17" s="1"/>
  <c r="K562" i="17" s="1"/>
  <c r="R562" i="17" s="1"/>
  <c r="G547" i="17"/>
  <c r="J547" i="17" s="1"/>
  <c r="K547" i="17" s="1"/>
  <c r="R547" i="17" s="1"/>
  <c r="G531" i="17"/>
  <c r="J531" i="17" s="1"/>
  <c r="K531" i="17" s="1"/>
  <c r="R531" i="17" s="1"/>
  <c r="G516" i="17"/>
  <c r="G502" i="17"/>
  <c r="J502" i="17" s="1"/>
  <c r="K502" i="17" s="1"/>
  <c r="R502" i="17" s="1"/>
  <c r="G486" i="17"/>
  <c r="J486" i="17" s="1"/>
  <c r="K486" i="17" s="1"/>
  <c r="R486" i="17" s="1"/>
  <c r="G470" i="17"/>
  <c r="J470" i="17" s="1"/>
  <c r="K470" i="17" s="1"/>
  <c r="R470" i="17" s="1"/>
  <c r="G456" i="17"/>
  <c r="G448" i="17"/>
  <c r="J448" i="17" s="1"/>
  <c r="K448" i="17" s="1"/>
  <c r="R448" i="17" s="1"/>
  <c r="G579" i="17"/>
  <c r="G560" i="17"/>
  <c r="J560" i="17" s="1"/>
  <c r="K560" i="17" s="1"/>
  <c r="R560" i="17" s="1"/>
  <c r="G541" i="17"/>
  <c r="J541" i="17" s="1"/>
  <c r="K541" i="17" s="1"/>
  <c r="R541" i="17" s="1"/>
  <c r="G526" i="17"/>
  <c r="G509" i="17"/>
  <c r="G497" i="17"/>
  <c r="J497" i="17" s="1"/>
  <c r="K497" i="17" s="1"/>
  <c r="R497" i="17" s="1"/>
  <c r="G481" i="17"/>
  <c r="J481" i="17" s="1"/>
  <c r="K481" i="17" s="1"/>
  <c r="R481" i="17" s="1"/>
  <c r="G465" i="17"/>
  <c r="G443" i="17"/>
  <c r="G423" i="17"/>
  <c r="J423" i="17" s="1"/>
  <c r="K423" i="17" s="1"/>
  <c r="R423" i="17" s="1"/>
  <c r="G568" i="17"/>
  <c r="G556" i="17"/>
  <c r="J556" i="17" s="1"/>
  <c r="K556" i="17" s="1"/>
  <c r="R556" i="17" s="1"/>
  <c r="G534" i="17"/>
  <c r="G517" i="17"/>
  <c r="J517" i="17" s="1"/>
  <c r="K517" i="17" s="1"/>
  <c r="R517" i="17" s="1"/>
  <c r="G498" i="17"/>
  <c r="G482" i="17"/>
  <c r="J482" i="17" s="1"/>
  <c r="K482" i="17" s="1"/>
  <c r="R482" i="17" s="1"/>
  <c r="G466" i="17"/>
  <c r="G444" i="17"/>
  <c r="J444" i="17" s="1"/>
  <c r="K444" i="17" s="1"/>
  <c r="R444" i="17" s="1"/>
  <c r="G414" i="17"/>
  <c r="G395" i="17"/>
  <c r="J395" i="17" s="1"/>
  <c r="K395" i="17" s="1"/>
  <c r="R395" i="17" s="1"/>
  <c r="G382" i="17"/>
  <c r="G371" i="17"/>
  <c r="J371" i="17" s="1"/>
  <c r="K371" i="17" s="1"/>
  <c r="R371" i="17" s="1"/>
  <c r="G428" i="17"/>
  <c r="G417" i="17"/>
  <c r="G403" i="17"/>
  <c r="G392" i="17"/>
  <c r="G377" i="17"/>
  <c r="G434" i="17"/>
  <c r="G420" i="17"/>
  <c r="J420" i="17" s="1"/>
  <c r="K420" i="17" s="1"/>
  <c r="R420" i="17" s="1"/>
  <c r="G399" i="17"/>
  <c r="J399" i="17" s="1"/>
  <c r="K399" i="17" s="1"/>
  <c r="R399" i="17" s="1"/>
  <c r="G378" i="17"/>
  <c r="J378" i="17" s="1"/>
  <c r="K378" i="17" s="1"/>
  <c r="R378" i="17" s="1"/>
  <c r="G364" i="17"/>
  <c r="J364" i="17" s="1"/>
  <c r="K364" i="17" s="1"/>
  <c r="R364" i="17" s="1"/>
  <c r="G418" i="17"/>
  <c r="G402" i="17"/>
  <c r="J402" i="17" s="1"/>
  <c r="K402" i="17" s="1"/>
  <c r="R402" i="17" s="1"/>
  <c r="G384" i="17"/>
  <c r="G350" i="17"/>
  <c r="J350" i="17" s="1"/>
  <c r="K350" i="17" s="1"/>
  <c r="R350" i="17" s="1"/>
  <c r="G324" i="17"/>
  <c r="G307" i="17"/>
  <c r="G358" i="17"/>
  <c r="G344" i="17"/>
  <c r="J344" i="17" s="1"/>
  <c r="K344" i="17" s="1"/>
  <c r="R344" i="17" s="1"/>
  <c r="G330" i="17"/>
  <c r="G312" i="17"/>
  <c r="J312" i="17" s="1"/>
  <c r="K312" i="17" s="1"/>
  <c r="R312" i="17" s="1"/>
  <c r="G297" i="17"/>
  <c r="G352" i="17"/>
  <c r="J352" i="17" s="1"/>
  <c r="K352" i="17" s="1"/>
  <c r="R352" i="17" s="1"/>
  <c r="G339" i="17"/>
  <c r="G328" i="17"/>
  <c r="J328" i="17" s="1"/>
  <c r="K328" i="17" s="1"/>
  <c r="R328" i="17" s="1"/>
  <c r="G316" i="17"/>
  <c r="G301" i="17"/>
  <c r="J301" i="17" s="1"/>
  <c r="K301" i="17" s="1"/>
  <c r="R301" i="17" s="1"/>
  <c r="G362" i="17"/>
  <c r="G348" i="17"/>
  <c r="J348" i="17" s="1"/>
  <c r="K348" i="17" s="1"/>
  <c r="R348" i="17" s="1"/>
  <c r="G335" i="17"/>
  <c r="J335" i="17" s="1"/>
  <c r="K335" i="17" s="1"/>
  <c r="R335" i="17" s="1"/>
  <c r="G317" i="17"/>
  <c r="G302" i="17"/>
  <c r="G279" i="17"/>
  <c r="J279" i="17" s="1"/>
  <c r="K279" i="17" s="1"/>
  <c r="R279" i="17" s="1"/>
  <c r="G264" i="17"/>
  <c r="G241" i="17"/>
  <c r="J241" i="17" s="1"/>
  <c r="K241" i="17" s="1"/>
  <c r="R241" i="17" s="1"/>
  <c r="G225" i="17"/>
  <c r="G292" i="17"/>
  <c r="J292" i="17" s="1"/>
  <c r="K292" i="17" s="1"/>
  <c r="R292" i="17" s="1"/>
  <c r="G275" i="17"/>
  <c r="G259" i="17"/>
  <c r="G249" i="17"/>
  <c r="G234" i="17"/>
  <c r="J234" i="17" s="1"/>
  <c r="K234" i="17" s="1"/>
  <c r="R234" i="17" s="1"/>
  <c r="G293" i="17"/>
  <c r="J293" i="17" s="1"/>
  <c r="K293" i="17" s="1"/>
  <c r="R293" i="17" s="1"/>
  <c r="G278" i="17"/>
  <c r="J278" i="17" s="1"/>
  <c r="K278" i="17" s="1"/>
  <c r="R278" i="17" s="1"/>
  <c r="G265" i="17"/>
  <c r="G243" i="17"/>
  <c r="J243" i="17" s="1"/>
  <c r="K243" i="17" s="1"/>
  <c r="R243" i="17" s="1"/>
  <c r="G227" i="17"/>
  <c r="G285" i="17"/>
  <c r="G266" i="17"/>
  <c r="J266" i="17" s="1"/>
  <c r="K266" i="17" s="1"/>
  <c r="R266" i="17" s="1"/>
  <c r="G252" i="17"/>
  <c r="J252" i="17" s="1"/>
  <c r="K252" i="17" s="1"/>
  <c r="R252" i="17" s="1"/>
  <c r="G240" i="17"/>
  <c r="J240" i="17" s="1"/>
  <c r="K240" i="17" s="1"/>
  <c r="R240" i="17" s="1"/>
  <c r="G224" i="17"/>
  <c r="G207" i="17"/>
  <c r="G192" i="17"/>
  <c r="J192" i="17" s="1"/>
  <c r="K192" i="17" s="1"/>
  <c r="R192" i="17" s="1"/>
  <c r="G176" i="17"/>
  <c r="G160" i="17"/>
  <c r="G219" i="17"/>
  <c r="G195" i="17"/>
  <c r="J195" i="17" s="1"/>
  <c r="K195" i="17" s="1"/>
  <c r="R195" i="17" s="1"/>
  <c r="G183" i="17"/>
  <c r="J183" i="17" s="1"/>
  <c r="K183" i="17" s="1"/>
  <c r="R183" i="17" s="1"/>
  <c r="G170" i="17"/>
  <c r="G155" i="17"/>
  <c r="G210" i="17"/>
  <c r="J210" i="17" s="1"/>
  <c r="K210" i="17" s="1"/>
  <c r="R210" i="17" s="1"/>
  <c r="G198" i="17"/>
  <c r="G175" i="17"/>
  <c r="J175" i="17" s="1"/>
  <c r="K175" i="17" s="1"/>
  <c r="R175" i="17" s="1"/>
  <c r="G159" i="17"/>
  <c r="J159" i="17" s="1"/>
  <c r="K159" i="17" s="1"/>
  <c r="R159" i="17" s="1"/>
  <c r="G202" i="17"/>
  <c r="J202" i="17" s="1"/>
  <c r="K202" i="17" s="1"/>
  <c r="R202" i="17" s="1"/>
  <c r="G185" i="17"/>
  <c r="J185" i="17" s="1"/>
  <c r="K185" i="17" s="1"/>
  <c r="R185" i="17" s="1"/>
  <c r="G168" i="17"/>
  <c r="G153" i="17"/>
  <c r="G140" i="17"/>
  <c r="J140" i="17" s="1"/>
  <c r="K140" i="17" s="1"/>
  <c r="R140" i="17" s="1"/>
  <c r="G120" i="17"/>
  <c r="J120" i="17" s="1"/>
  <c r="K120" i="17" s="1"/>
  <c r="R120" i="17" s="1"/>
  <c r="G150" i="17"/>
  <c r="J150" i="17" s="1"/>
  <c r="K150" i="17" s="1"/>
  <c r="R150" i="17" s="1"/>
  <c r="G138" i="17"/>
  <c r="G127" i="17"/>
  <c r="J127" i="17" s="1"/>
  <c r="K127" i="17" s="1"/>
  <c r="R127" i="17" s="1"/>
  <c r="G115" i="17"/>
  <c r="G133" i="17"/>
  <c r="G116" i="17"/>
  <c r="G151" i="17"/>
  <c r="G125" i="17"/>
  <c r="G96" i="17"/>
  <c r="G81" i="17"/>
  <c r="J81" i="17" s="1"/>
  <c r="K81" i="17" s="1"/>
  <c r="R81" i="17" s="1"/>
  <c r="G98" i="17"/>
  <c r="J98" i="17" s="1"/>
  <c r="K98" i="17" s="1"/>
  <c r="R98" i="17" s="1"/>
  <c r="G84" i="17"/>
  <c r="J84" i="17" s="1"/>
  <c r="K84" i="17" s="1"/>
  <c r="R84" i="17" s="1"/>
  <c r="G100" i="17"/>
  <c r="J100" i="17" s="1"/>
  <c r="K100" i="17" s="1"/>
  <c r="R100" i="17" s="1"/>
  <c r="G87" i="17"/>
  <c r="J87" i="17" s="1"/>
  <c r="K87" i="17" s="1"/>
  <c r="R87" i="17" s="1"/>
  <c r="G110" i="17"/>
  <c r="J110" i="17" s="1"/>
  <c r="K110" i="17" s="1"/>
  <c r="R110" i="17" s="1"/>
  <c r="G90" i="17"/>
  <c r="G75" i="17"/>
  <c r="G60" i="17"/>
  <c r="J60" i="17" s="1"/>
  <c r="K60" i="17" s="1"/>
  <c r="R60" i="17" s="1"/>
  <c r="G49" i="17"/>
  <c r="J49" i="17" s="1"/>
  <c r="K49" i="17" s="1"/>
  <c r="R49" i="17" s="1"/>
  <c r="G73" i="17"/>
  <c r="G55" i="17"/>
  <c r="G40" i="17"/>
  <c r="G63" i="17"/>
  <c r="J63" i="17" s="1"/>
  <c r="K63" i="17" s="1"/>
  <c r="R63" i="17" s="1"/>
  <c r="G48" i="17"/>
  <c r="J48" i="17" s="1"/>
  <c r="K48" i="17" s="1"/>
  <c r="R48" i="17" s="1"/>
  <c r="G33" i="17"/>
  <c r="J33" i="17" s="1"/>
  <c r="K33" i="17" s="1"/>
  <c r="R33" i="17" s="1"/>
  <c r="G64" i="17"/>
  <c r="G44" i="17"/>
  <c r="J44" i="17" s="1"/>
  <c r="K44" i="17" s="1"/>
  <c r="R44" i="17" s="1"/>
  <c r="G32" i="17"/>
  <c r="G19" i="17"/>
  <c r="G10" i="17"/>
  <c r="G18" i="17"/>
  <c r="J18" i="17" s="1"/>
  <c r="K18" i="17" s="1"/>
  <c r="R18" i="17" s="1"/>
  <c r="G11" i="17"/>
  <c r="J11" i="17" s="1"/>
  <c r="K11" i="17" s="1"/>
  <c r="R11" i="17" s="1"/>
  <c r="G25" i="17"/>
  <c r="W677" i="16"/>
  <c r="AA677" i="16" s="1"/>
  <c r="AK677" i="16" s="1"/>
  <c r="AE677" i="16"/>
  <c r="AN676" i="16"/>
  <c r="AO676" i="16" s="1"/>
  <c r="R311" i="17"/>
  <c r="R489" i="17"/>
  <c r="R193" i="17"/>
  <c r="R9" i="17"/>
  <c r="R457" i="17"/>
  <c r="R20" i="17"/>
  <c r="E624" i="14"/>
  <c r="F624" i="14" s="1"/>
  <c r="H624" i="14" s="1"/>
  <c r="AD638" i="15"/>
  <c r="BD626" i="16"/>
  <c r="AJ648" i="15"/>
  <c r="BQ625" i="16"/>
  <c r="J302" i="17" l="1"/>
  <c r="K302" i="17" s="1"/>
  <c r="R302" i="17" s="1"/>
  <c r="J443" i="17"/>
  <c r="K443" i="17" s="1"/>
  <c r="R443" i="17" s="1"/>
  <c r="J509" i="17"/>
  <c r="K509" i="17" s="1"/>
  <c r="R509" i="17" s="1"/>
  <c r="J163" i="17"/>
  <c r="K163" i="17" s="1"/>
  <c r="R163" i="17" s="1"/>
  <c r="J309" i="17"/>
  <c r="K309" i="17" s="1"/>
  <c r="R309" i="17" s="1"/>
  <c r="J366" i="17"/>
  <c r="K366" i="17" s="1"/>
  <c r="R366" i="17" s="1"/>
  <c r="J550" i="17"/>
  <c r="K550" i="17" s="1"/>
  <c r="R550" i="17" s="1"/>
  <c r="J116" i="17"/>
  <c r="K116" i="17" s="1"/>
  <c r="R116" i="17" s="1"/>
  <c r="J153" i="17"/>
  <c r="K153" i="17" s="1"/>
  <c r="R153" i="17" s="1"/>
  <c r="J579" i="17"/>
  <c r="K579" i="17" s="1"/>
  <c r="R579" i="17" s="1"/>
  <c r="J13" i="17"/>
  <c r="K13" i="17" s="1"/>
  <c r="R13" i="17" s="1"/>
  <c r="J129" i="17"/>
  <c r="K129" i="17" s="1"/>
  <c r="R129" i="17" s="1"/>
  <c r="J458" i="17"/>
  <c r="K458" i="17" s="1"/>
  <c r="R458" i="17" s="1"/>
  <c r="J519" i="17"/>
  <c r="K519" i="17" s="1"/>
  <c r="R519" i="17" s="1"/>
  <c r="J381" i="17"/>
  <c r="K381" i="17" s="1"/>
  <c r="R381" i="17" s="1"/>
  <c r="J22" i="17"/>
  <c r="K22" i="17" s="1"/>
  <c r="R22" i="17" s="1"/>
  <c r="J337" i="17"/>
  <c r="K337" i="17" s="1"/>
  <c r="R337" i="17" s="1"/>
  <c r="J459" i="17"/>
  <c r="K459" i="17" s="1"/>
  <c r="R459" i="17" s="1"/>
  <c r="J28" i="17"/>
  <c r="K28" i="17" s="1"/>
  <c r="R28" i="17" s="1"/>
  <c r="J134" i="17"/>
  <c r="K134" i="17" s="1"/>
  <c r="R134" i="17" s="1"/>
  <c r="J172" i="17"/>
  <c r="K172" i="17" s="1"/>
  <c r="R172" i="17" s="1"/>
  <c r="J288" i="17"/>
  <c r="K288" i="17" s="1"/>
  <c r="R288" i="17" s="1"/>
  <c r="J319" i="17"/>
  <c r="K319" i="17" s="1"/>
  <c r="R319" i="17" s="1"/>
  <c r="J483" i="17"/>
  <c r="K483" i="17" s="1"/>
  <c r="R483" i="17" s="1"/>
  <c r="J472" i="17"/>
  <c r="K472" i="17" s="1"/>
  <c r="R472" i="17" s="1"/>
  <c r="J529" i="17"/>
  <c r="K529" i="17" s="1"/>
  <c r="R529" i="17" s="1"/>
  <c r="J646" i="17"/>
  <c r="K646" i="17" s="1"/>
  <c r="R646" i="17" s="1"/>
  <c r="J727" i="17"/>
  <c r="K727" i="17" s="1"/>
  <c r="R727" i="17" s="1"/>
  <c r="J363" i="17"/>
  <c r="K363" i="17" s="1"/>
  <c r="R363" i="17" s="1"/>
  <c r="J155" i="17"/>
  <c r="K155" i="17" s="1"/>
  <c r="R155" i="17" s="1"/>
  <c r="J265" i="17"/>
  <c r="K265" i="17" s="1"/>
  <c r="R265" i="17" s="1"/>
  <c r="J249" i="17"/>
  <c r="K249" i="17" s="1"/>
  <c r="R249" i="17" s="1"/>
  <c r="J225" i="17"/>
  <c r="K225" i="17" s="1"/>
  <c r="R225" i="17" s="1"/>
  <c r="J362" i="17"/>
  <c r="K362" i="17" s="1"/>
  <c r="R362" i="17" s="1"/>
  <c r="J339" i="17"/>
  <c r="K339" i="17" s="1"/>
  <c r="R339" i="17" s="1"/>
  <c r="J324" i="17"/>
  <c r="K324" i="17" s="1"/>
  <c r="R324" i="17" s="1"/>
  <c r="J466" i="17"/>
  <c r="K466" i="17" s="1"/>
  <c r="R466" i="17" s="1"/>
  <c r="J534" i="17"/>
  <c r="K534" i="17" s="1"/>
  <c r="R534" i="17" s="1"/>
  <c r="J636" i="17"/>
  <c r="K636" i="17" s="1"/>
  <c r="R636" i="17" s="1"/>
  <c r="J625" i="17"/>
  <c r="K625" i="17" s="1"/>
  <c r="R625" i="17" s="1"/>
  <c r="J671" i="17"/>
  <c r="K671" i="17" s="1"/>
  <c r="R671" i="17" s="1"/>
  <c r="J703" i="17"/>
  <c r="K703" i="17" s="1"/>
  <c r="R703" i="17" s="1"/>
  <c r="J142" i="17"/>
  <c r="K142" i="17" s="1"/>
  <c r="R142" i="17" s="1"/>
  <c r="J107" i="17"/>
  <c r="K107" i="17" s="1"/>
  <c r="R107" i="17" s="1"/>
  <c r="J181" i="17"/>
  <c r="K181" i="17" s="1"/>
  <c r="R181" i="17" s="1"/>
  <c r="J228" i="17"/>
  <c r="K228" i="17" s="1"/>
  <c r="R228" i="17" s="1"/>
  <c r="J369" i="17"/>
  <c r="K369" i="17" s="1"/>
  <c r="R369" i="17" s="1"/>
  <c r="J367" i="17"/>
  <c r="K367" i="17" s="1"/>
  <c r="R367" i="17" s="1"/>
  <c r="J449" i="17"/>
  <c r="K449" i="17" s="1"/>
  <c r="R449" i="17" s="1"/>
  <c r="J503" i="17"/>
  <c r="K503" i="17" s="1"/>
  <c r="R503" i="17" s="1"/>
  <c r="J567" i="17"/>
  <c r="K567" i="17" s="1"/>
  <c r="R567" i="17" s="1"/>
  <c r="J484" i="17"/>
  <c r="K484" i="17" s="1"/>
  <c r="R484" i="17" s="1"/>
  <c r="J545" i="17"/>
  <c r="K545" i="17" s="1"/>
  <c r="R545" i="17" s="1"/>
  <c r="J713" i="17"/>
  <c r="K713" i="17" s="1"/>
  <c r="R713" i="17" s="1"/>
  <c r="J260" i="17"/>
  <c r="K260" i="17" s="1"/>
  <c r="R260" i="17" s="1"/>
  <c r="J96" i="17"/>
  <c r="K96" i="17" s="1"/>
  <c r="R96" i="17" s="1"/>
  <c r="J133" i="17"/>
  <c r="K133" i="17" s="1"/>
  <c r="R133" i="17" s="1"/>
  <c r="J168" i="17"/>
  <c r="K168" i="17" s="1"/>
  <c r="R168" i="17" s="1"/>
  <c r="J170" i="17"/>
  <c r="K170" i="17" s="1"/>
  <c r="R170" i="17" s="1"/>
  <c r="J160" i="17"/>
  <c r="K160" i="17" s="1"/>
  <c r="R160" i="17" s="1"/>
  <c r="J224" i="17"/>
  <c r="K224" i="17" s="1"/>
  <c r="R224" i="17" s="1"/>
  <c r="J285" i="17"/>
  <c r="K285" i="17" s="1"/>
  <c r="R285" i="17" s="1"/>
  <c r="J259" i="17"/>
  <c r="K259" i="17" s="1"/>
  <c r="R259" i="17" s="1"/>
  <c r="J317" i="17"/>
  <c r="K317" i="17" s="1"/>
  <c r="R317" i="17" s="1"/>
  <c r="J434" i="17"/>
  <c r="K434" i="17" s="1"/>
  <c r="R434" i="17" s="1"/>
  <c r="J465" i="17"/>
  <c r="K465" i="17" s="1"/>
  <c r="R465" i="17" s="1"/>
  <c r="J526" i="17"/>
  <c r="K526" i="17" s="1"/>
  <c r="R526" i="17" s="1"/>
  <c r="J661" i="17"/>
  <c r="K661" i="17" s="1"/>
  <c r="R661" i="17" s="1"/>
  <c r="J50" i="17"/>
  <c r="K50" i="17" s="1"/>
  <c r="R50" i="17" s="1"/>
  <c r="J223" i="17"/>
  <c r="K223" i="17" s="1"/>
  <c r="R223" i="17" s="1"/>
  <c r="J270" i="17"/>
  <c r="K270" i="17" s="1"/>
  <c r="R270" i="17" s="1"/>
  <c r="J39" i="17"/>
  <c r="K39" i="17" s="1"/>
  <c r="R39" i="17" s="1"/>
  <c r="J139" i="17"/>
  <c r="K139" i="17" s="1"/>
  <c r="R139" i="17" s="1"/>
  <c r="J178" i="17"/>
  <c r="K178" i="17" s="1"/>
  <c r="R178" i="17" s="1"/>
  <c r="J329" i="17"/>
  <c r="K329" i="17" s="1"/>
  <c r="R329" i="17" s="1"/>
  <c r="J473" i="17"/>
  <c r="K473" i="17" s="1"/>
  <c r="R473" i="17" s="1"/>
  <c r="J536" i="17"/>
  <c r="K536" i="17" s="1"/>
  <c r="R536" i="17" s="1"/>
  <c r="J570" i="17"/>
  <c r="K570" i="17" s="1"/>
  <c r="R570" i="17" s="1"/>
  <c r="J25" i="17"/>
  <c r="K25" i="17" s="1"/>
  <c r="R25" i="17" s="1"/>
  <c r="J73" i="17"/>
  <c r="K73" i="17" s="1"/>
  <c r="R73" i="17" s="1"/>
  <c r="J316" i="17"/>
  <c r="K316" i="17" s="1"/>
  <c r="R316" i="17" s="1"/>
  <c r="J297" i="17"/>
  <c r="K297" i="17" s="1"/>
  <c r="R297" i="17" s="1"/>
  <c r="J358" i="17"/>
  <c r="K358" i="17" s="1"/>
  <c r="R358" i="17" s="1"/>
  <c r="J498" i="17"/>
  <c r="K498" i="17" s="1"/>
  <c r="R498" i="17" s="1"/>
  <c r="J568" i="17"/>
  <c r="K568" i="17" s="1"/>
  <c r="R568" i="17" s="1"/>
  <c r="J599" i="17"/>
  <c r="K599" i="17" s="1"/>
  <c r="R599" i="17" s="1"/>
  <c r="J592" i="17"/>
  <c r="K592" i="17" s="1"/>
  <c r="R592" i="17" s="1"/>
  <c r="J656" i="17"/>
  <c r="K656" i="17" s="1"/>
  <c r="R656" i="17" s="1"/>
  <c r="J687" i="17"/>
  <c r="K687" i="17" s="1"/>
  <c r="R687" i="17" s="1"/>
  <c r="J719" i="17"/>
  <c r="K719" i="17" s="1"/>
  <c r="R719" i="17" s="1"/>
  <c r="J78" i="17"/>
  <c r="K78" i="17" s="1"/>
  <c r="R78" i="17" s="1"/>
  <c r="J212" i="17"/>
  <c r="K212" i="17" s="1"/>
  <c r="R212" i="17" s="1"/>
  <c r="J331" i="17"/>
  <c r="K331" i="17" s="1"/>
  <c r="R331" i="17" s="1"/>
  <c r="J522" i="17"/>
  <c r="K522" i="17" s="1"/>
  <c r="R522" i="17" s="1"/>
  <c r="J471" i="17"/>
  <c r="K471" i="17" s="1"/>
  <c r="R471" i="17" s="1"/>
  <c r="J533" i="17"/>
  <c r="K533" i="17" s="1"/>
  <c r="R533" i="17" s="1"/>
  <c r="J451" i="17"/>
  <c r="K451" i="17" s="1"/>
  <c r="R451" i="17" s="1"/>
  <c r="J513" i="17"/>
  <c r="K513" i="17" s="1"/>
  <c r="R513" i="17" s="1"/>
  <c r="J573" i="17"/>
  <c r="K573" i="17" s="1"/>
  <c r="R573" i="17" s="1"/>
  <c r="J623" i="17"/>
  <c r="K623" i="17" s="1"/>
  <c r="R623" i="17" s="1"/>
  <c r="J648" i="17"/>
  <c r="K648" i="17" s="1"/>
  <c r="R648" i="17" s="1"/>
  <c r="J221" i="17"/>
  <c r="K221" i="17" s="1"/>
  <c r="R221" i="17" s="1"/>
  <c r="J151" i="17"/>
  <c r="K151" i="17" s="1"/>
  <c r="R151" i="17" s="1"/>
  <c r="J307" i="17"/>
  <c r="K307" i="17" s="1"/>
  <c r="R307" i="17" s="1"/>
  <c r="J392" i="17"/>
  <c r="K392" i="17" s="1"/>
  <c r="R392" i="17" s="1"/>
  <c r="J57" i="17"/>
  <c r="K57" i="17" s="1"/>
  <c r="R57" i="17" s="1"/>
  <c r="J464" i="17"/>
  <c r="K464" i="17" s="1"/>
  <c r="R464" i="17" s="1"/>
  <c r="J608" i="17"/>
  <c r="K608" i="17" s="1"/>
  <c r="R608" i="17" s="1"/>
  <c r="J693" i="17"/>
  <c r="K693" i="17" s="1"/>
  <c r="R693" i="17" s="1"/>
  <c r="J640" i="17"/>
  <c r="K640" i="17" s="1"/>
  <c r="R640" i="17" s="1"/>
  <c r="J8" i="17"/>
  <c r="K8" i="17" s="1"/>
  <c r="R8" i="17" s="1"/>
  <c r="J122" i="17"/>
  <c r="K122" i="17" s="1"/>
  <c r="R122" i="17" s="1"/>
  <c r="J157" i="17"/>
  <c r="K157" i="17" s="1"/>
  <c r="R157" i="17" s="1"/>
  <c r="J304" i="17"/>
  <c r="K304" i="17" s="1"/>
  <c r="R304" i="17" s="1"/>
  <c r="J365" i="17"/>
  <c r="K365" i="17" s="1"/>
  <c r="R365" i="17" s="1"/>
  <c r="J342" i="17"/>
  <c r="K342" i="17" s="1"/>
  <c r="R342" i="17" s="1"/>
  <c r="J454" i="17"/>
  <c r="K454" i="17" s="1"/>
  <c r="R454" i="17" s="1"/>
  <c r="J514" i="17"/>
  <c r="K514" i="17" s="1"/>
  <c r="R514" i="17" s="1"/>
  <c r="J582" i="17"/>
  <c r="K582" i="17" s="1"/>
  <c r="R582" i="17" s="1"/>
  <c r="J673" i="17"/>
  <c r="K673" i="17" s="1"/>
  <c r="R673" i="17" s="1"/>
  <c r="J145" i="17"/>
  <c r="K145" i="17" s="1"/>
  <c r="R145" i="17" s="1"/>
  <c r="J19" i="17"/>
  <c r="K19" i="17" s="1"/>
  <c r="R19" i="17" s="1"/>
  <c r="J55" i="17"/>
  <c r="K55" i="17" s="1"/>
  <c r="R55" i="17" s="1"/>
  <c r="J75" i="17"/>
  <c r="K75" i="17" s="1"/>
  <c r="R75" i="17" s="1"/>
  <c r="J417" i="17"/>
  <c r="K417" i="17" s="1"/>
  <c r="R417" i="17" s="1"/>
  <c r="J600" i="17"/>
  <c r="K600" i="17" s="1"/>
  <c r="R600" i="17" s="1"/>
  <c r="J694" i="17"/>
  <c r="K694" i="17" s="1"/>
  <c r="R694" i="17" s="1"/>
  <c r="J726" i="17"/>
  <c r="K726" i="17" s="1"/>
  <c r="R726" i="17" s="1"/>
  <c r="J77" i="17"/>
  <c r="K77" i="17" s="1"/>
  <c r="R77" i="17" s="1"/>
  <c r="J347" i="17"/>
  <c r="K347" i="17" s="1"/>
  <c r="R347" i="17" s="1"/>
  <c r="J551" i="17"/>
  <c r="K551" i="17" s="1"/>
  <c r="R551" i="17" s="1"/>
  <c r="J662" i="17"/>
  <c r="K662" i="17" s="1"/>
  <c r="R662" i="17" s="1"/>
  <c r="J725" i="17"/>
  <c r="K725" i="17" s="1"/>
  <c r="R725" i="17" s="1"/>
  <c r="J188" i="17"/>
  <c r="K188" i="17" s="1"/>
  <c r="R188" i="17" s="1"/>
  <c r="J244" i="17"/>
  <c r="K244" i="17" s="1"/>
  <c r="R244" i="17" s="1"/>
  <c r="J340" i="17"/>
  <c r="K340" i="17" s="1"/>
  <c r="R340" i="17" s="1"/>
  <c r="J488" i="17"/>
  <c r="K488" i="17" s="1"/>
  <c r="R488" i="17" s="1"/>
  <c r="J548" i="17"/>
  <c r="K548" i="17" s="1"/>
  <c r="R548" i="17" s="1"/>
  <c r="J198" i="17"/>
  <c r="K198" i="17" s="1"/>
  <c r="R198" i="17" s="1"/>
  <c r="J176" i="17"/>
  <c r="K176" i="17" s="1"/>
  <c r="R176" i="17" s="1"/>
  <c r="J227" i="17"/>
  <c r="K227" i="17" s="1"/>
  <c r="R227" i="17" s="1"/>
  <c r="J275" i="17"/>
  <c r="K275" i="17" s="1"/>
  <c r="R275" i="17" s="1"/>
  <c r="J456" i="17"/>
  <c r="K456" i="17" s="1"/>
  <c r="R456" i="17" s="1"/>
  <c r="J516" i="17"/>
  <c r="K516" i="17" s="1"/>
  <c r="R516" i="17" s="1"/>
  <c r="J578" i="17"/>
  <c r="K578" i="17" s="1"/>
  <c r="R578" i="17" s="1"/>
  <c r="J493" i="17"/>
  <c r="K493" i="17" s="1"/>
  <c r="R493" i="17" s="1"/>
  <c r="J554" i="17"/>
  <c r="K554" i="17" s="1"/>
  <c r="R554" i="17" s="1"/>
  <c r="J35" i="17"/>
  <c r="K35" i="17" s="1"/>
  <c r="R35" i="17" s="1"/>
  <c r="J117" i="17"/>
  <c r="K117" i="17" s="1"/>
  <c r="R117" i="17" s="1"/>
  <c r="J298" i="17"/>
  <c r="K298" i="17" s="1"/>
  <c r="R298" i="17" s="1"/>
  <c r="J415" i="17"/>
  <c r="K415" i="17" s="1"/>
  <c r="R415" i="17" s="1"/>
  <c r="J391" i="17"/>
  <c r="K391" i="17" s="1"/>
  <c r="R391" i="17" s="1"/>
  <c r="J580" i="17"/>
  <c r="K580" i="17" s="1"/>
  <c r="R580" i="17" s="1"/>
  <c r="J128" i="17"/>
  <c r="K128" i="17" s="1"/>
  <c r="R128" i="17" s="1"/>
  <c r="J407" i="17"/>
  <c r="K407" i="17" s="1"/>
  <c r="R407" i="17" s="1"/>
  <c r="J373" i="17"/>
  <c r="K373" i="17" s="1"/>
  <c r="R373" i="17" s="1"/>
  <c r="J588" i="17"/>
  <c r="K588" i="17" s="1"/>
  <c r="R588" i="17" s="1"/>
  <c r="J143" i="17"/>
  <c r="K143" i="17" s="1"/>
  <c r="R143" i="17" s="1"/>
  <c r="J596" i="17"/>
  <c r="K596" i="17" s="1"/>
  <c r="R596" i="17" s="1"/>
  <c r="J692" i="17"/>
  <c r="K692" i="17" s="1"/>
  <c r="R692" i="17" s="1"/>
  <c r="J56" i="17"/>
  <c r="K56" i="17" s="1"/>
  <c r="R56" i="17" s="1"/>
  <c r="J68" i="17"/>
  <c r="K68" i="17" s="1"/>
  <c r="R68" i="17" s="1"/>
  <c r="J54" i="17"/>
  <c r="K54" i="17" s="1"/>
  <c r="R54" i="17" s="1"/>
  <c r="J82" i="17"/>
  <c r="K82" i="17" s="1"/>
  <c r="R82" i="17" s="1"/>
  <c r="J106" i="17"/>
  <c r="K106" i="17" s="1"/>
  <c r="R106" i="17" s="1"/>
  <c r="J104" i="17"/>
  <c r="K104" i="17" s="1"/>
  <c r="R104" i="17" s="1"/>
  <c r="J148" i="17"/>
  <c r="K148" i="17" s="1"/>
  <c r="R148" i="17" s="1"/>
  <c r="J217" i="17"/>
  <c r="K217" i="17" s="1"/>
  <c r="R217" i="17" s="1"/>
  <c r="J204" i="17"/>
  <c r="K204" i="17" s="1"/>
  <c r="R204" i="17" s="1"/>
  <c r="J200" i="17"/>
  <c r="K200" i="17" s="1"/>
  <c r="R200" i="17" s="1"/>
  <c r="J258" i="17"/>
  <c r="K258" i="17" s="1"/>
  <c r="R258" i="17" s="1"/>
  <c r="J355" i="17"/>
  <c r="K355" i="17" s="1"/>
  <c r="R355" i="17" s="1"/>
  <c r="J412" i="17"/>
  <c r="K412" i="17" s="1"/>
  <c r="R412" i="17" s="1"/>
  <c r="J455" i="17"/>
  <c r="K455" i="17" s="1"/>
  <c r="R455" i="17" s="1"/>
  <c r="J577" i="17"/>
  <c r="K577" i="17" s="1"/>
  <c r="R577" i="17" s="1"/>
  <c r="J681" i="17"/>
  <c r="K681" i="17" s="1"/>
  <c r="R681" i="17" s="1"/>
  <c r="J714" i="17"/>
  <c r="K714" i="17" s="1"/>
  <c r="R714" i="17" s="1"/>
  <c r="J58" i="17"/>
  <c r="K58" i="17" s="1"/>
  <c r="R58" i="17" s="1"/>
  <c r="J113" i="17"/>
  <c r="K113" i="17" s="1"/>
  <c r="R113" i="17" s="1"/>
  <c r="J174" i="17"/>
  <c r="K174" i="17" s="1"/>
  <c r="R174" i="17" s="1"/>
  <c r="J166" i="17"/>
  <c r="K166" i="17" s="1"/>
  <c r="R166" i="17" s="1"/>
  <c r="J306" i="17"/>
  <c r="K306" i="17" s="1"/>
  <c r="R306" i="17" s="1"/>
  <c r="J359" i="17"/>
  <c r="K359" i="17" s="1"/>
  <c r="R359" i="17" s="1"/>
  <c r="J587" i="17"/>
  <c r="K587" i="17" s="1"/>
  <c r="R587" i="17" s="1"/>
  <c r="J620" i="17"/>
  <c r="K620" i="17" s="1"/>
  <c r="R620" i="17" s="1"/>
  <c r="J71" i="17"/>
  <c r="K71" i="17" s="1"/>
  <c r="R71" i="17" s="1"/>
  <c r="J333" i="17"/>
  <c r="K333" i="17" s="1"/>
  <c r="R333" i="17" s="1"/>
  <c r="J647" i="17"/>
  <c r="K647" i="17" s="1"/>
  <c r="R647" i="17" s="1"/>
  <c r="J70" i="17"/>
  <c r="K70" i="17" s="1"/>
  <c r="R70" i="17" s="1"/>
  <c r="J237" i="17"/>
  <c r="K237" i="17" s="1"/>
  <c r="R237" i="17" s="1"/>
  <c r="J310" i="17"/>
  <c r="K310" i="17" s="1"/>
  <c r="R310" i="17" s="1"/>
  <c r="J515" i="17"/>
  <c r="K515" i="17" s="1"/>
  <c r="R515" i="17" s="1"/>
  <c r="J575" i="17"/>
  <c r="K575" i="17" s="1"/>
  <c r="R575" i="17" s="1"/>
  <c r="J17" i="17"/>
  <c r="K17" i="17" s="1"/>
  <c r="R17" i="17" s="1"/>
  <c r="J659" i="17"/>
  <c r="K659" i="17" s="1"/>
  <c r="R659" i="17" s="1"/>
  <c r="J724" i="17"/>
  <c r="K724" i="17" s="1"/>
  <c r="R724" i="17" s="1"/>
  <c r="J26" i="17"/>
  <c r="K26" i="17" s="1"/>
  <c r="R26" i="17" s="1"/>
  <c r="J43" i="17"/>
  <c r="K43" i="17" s="1"/>
  <c r="R43" i="17" s="1"/>
  <c r="J61" i="17"/>
  <c r="K61" i="17" s="1"/>
  <c r="R61" i="17" s="1"/>
  <c r="J76" i="17"/>
  <c r="K76" i="17" s="1"/>
  <c r="R76" i="17" s="1"/>
  <c r="J114" i="17"/>
  <c r="K114" i="17" s="1"/>
  <c r="R114" i="17" s="1"/>
  <c r="J190" i="17"/>
  <c r="K190" i="17" s="1"/>
  <c r="R190" i="17" s="1"/>
  <c r="J177" i="17"/>
  <c r="K177" i="17" s="1"/>
  <c r="R177" i="17" s="1"/>
  <c r="J169" i="17"/>
  <c r="K169" i="17" s="1"/>
  <c r="R169" i="17" s="1"/>
  <c r="J232" i="17"/>
  <c r="K232" i="17" s="1"/>
  <c r="R232" i="17" s="1"/>
  <c r="J291" i="17"/>
  <c r="K291" i="17" s="1"/>
  <c r="R291" i="17" s="1"/>
  <c r="J372" i="17"/>
  <c r="K372" i="17" s="1"/>
  <c r="R372" i="17" s="1"/>
  <c r="J368" i="17"/>
  <c r="K368" i="17" s="1"/>
  <c r="R368" i="17" s="1"/>
  <c r="J506" i="17"/>
  <c r="K506" i="17" s="1"/>
  <c r="R506" i="17" s="1"/>
  <c r="J606" i="17"/>
  <c r="K606" i="17" s="1"/>
  <c r="R606" i="17" s="1"/>
  <c r="J47" i="17"/>
  <c r="K47" i="17" s="1"/>
  <c r="R47" i="17" s="1"/>
  <c r="J52" i="17"/>
  <c r="K52" i="17" s="1"/>
  <c r="R52" i="17" s="1"/>
  <c r="J147" i="17"/>
  <c r="K147" i="17" s="1"/>
  <c r="R147" i="17" s="1"/>
  <c r="J201" i="17"/>
  <c r="K201" i="17" s="1"/>
  <c r="R201" i="17" s="1"/>
  <c r="J197" i="17"/>
  <c r="K197" i="17" s="1"/>
  <c r="R197" i="17" s="1"/>
  <c r="J255" i="17"/>
  <c r="K255" i="17" s="1"/>
  <c r="R255" i="17" s="1"/>
  <c r="J353" i="17"/>
  <c r="K353" i="17" s="1"/>
  <c r="R353" i="17" s="1"/>
  <c r="J666" i="17"/>
  <c r="K666" i="17" s="1"/>
  <c r="R666" i="17" s="1"/>
  <c r="J149" i="17"/>
  <c r="K149" i="17" s="1"/>
  <c r="R149" i="17" s="1"/>
  <c r="J236" i="17"/>
  <c r="K236" i="17" s="1"/>
  <c r="R236" i="17" s="1"/>
  <c r="J346" i="17"/>
  <c r="K346" i="17" s="1"/>
  <c r="R346" i="17" s="1"/>
  <c r="J475" i="17"/>
  <c r="K475" i="17" s="1"/>
  <c r="R475" i="17" s="1"/>
  <c r="J453" i="17"/>
  <c r="K453" i="17" s="1"/>
  <c r="R453" i="17" s="1"/>
  <c r="J523" i="17"/>
  <c r="K523" i="17" s="1"/>
  <c r="R523" i="17" s="1"/>
  <c r="J678" i="17"/>
  <c r="K678" i="17" s="1"/>
  <c r="R678" i="17" s="1"/>
  <c r="J85" i="17"/>
  <c r="K85" i="17" s="1"/>
  <c r="R85" i="17" s="1"/>
  <c r="J180" i="17"/>
  <c r="K180" i="17" s="1"/>
  <c r="R180" i="17" s="1"/>
  <c r="J276" i="17"/>
  <c r="K276" i="17" s="1"/>
  <c r="R276" i="17" s="1"/>
  <c r="J511" i="17"/>
  <c r="K511" i="17" s="1"/>
  <c r="R511" i="17" s="1"/>
  <c r="J549" i="17"/>
  <c r="K549" i="17" s="1"/>
  <c r="R549" i="17" s="1"/>
  <c r="J374" i="17"/>
  <c r="K374" i="17" s="1"/>
  <c r="R374" i="17" s="1"/>
  <c r="J446" i="17"/>
  <c r="K446" i="17" s="1"/>
  <c r="R446" i="17" s="1"/>
  <c r="J442" i="17"/>
  <c r="K442" i="17" s="1"/>
  <c r="R442" i="17" s="1"/>
  <c r="J281" i="17"/>
  <c r="K281" i="17" s="1"/>
  <c r="R281" i="17" s="1"/>
  <c r="J262" i="17"/>
  <c r="K262" i="17" s="1"/>
  <c r="R262" i="17" s="1"/>
  <c r="J245" i="17"/>
  <c r="K245" i="17" s="1"/>
  <c r="R245" i="17" s="1"/>
  <c r="J351" i="17"/>
  <c r="K351" i="17" s="1"/>
  <c r="R351" i="17" s="1"/>
  <c r="J171" i="17"/>
  <c r="K171" i="17" s="1"/>
  <c r="R171" i="17" s="1"/>
  <c r="J356" i="17"/>
  <c r="K356" i="17" s="1"/>
  <c r="R356" i="17" s="1"/>
  <c r="J528" i="17"/>
  <c r="K528" i="17" s="1"/>
  <c r="R528" i="17" s="1"/>
  <c r="J540" i="17"/>
  <c r="K540" i="17" s="1"/>
  <c r="R540" i="17" s="1"/>
  <c r="J247" i="17"/>
  <c r="K247" i="17" s="1"/>
  <c r="R247" i="17" s="1"/>
  <c r="J238" i="17"/>
  <c r="K238" i="17" s="1"/>
  <c r="R238" i="17" s="1"/>
  <c r="J286" i="17"/>
  <c r="K286" i="17" s="1"/>
  <c r="R286" i="17" s="1"/>
  <c r="J318" i="17"/>
  <c r="K318" i="17" s="1"/>
  <c r="R318" i="17" s="1"/>
  <c r="J314" i="17"/>
  <c r="K314" i="17" s="1"/>
  <c r="R314" i="17" s="1"/>
  <c r="J12" i="17"/>
  <c r="K12" i="17" s="1"/>
  <c r="R12" i="17" s="1"/>
  <c r="J99" i="17"/>
  <c r="K99" i="17" s="1"/>
  <c r="R99" i="17" s="1"/>
  <c r="J208" i="17"/>
  <c r="K208" i="17" s="1"/>
  <c r="R208" i="17" s="1"/>
  <c r="J394" i="17"/>
  <c r="K394" i="17" s="1"/>
  <c r="R394" i="17" s="1"/>
  <c r="J425" i="17"/>
  <c r="K425" i="17" s="1"/>
  <c r="R425" i="17" s="1"/>
  <c r="J557" i="17"/>
  <c r="K557" i="17" s="1"/>
  <c r="R557" i="17" s="1"/>
  <c r="J645" i="17"/>
  <c r="K645" i="17" s="1"/>
  <c r="R645" i="17" s="1"/>
  <c r="J715" i="17"/>
  <c r="K715" i="17" s="1"/>
  <c r="R715" i="17" s="1"/>
  <c r="J597" i="17"/>
  <c r="K597" i="17" s="1"/>
  <c r="R597" i="17" s="1"/>
  <c r="J27" i="17"/>
  <c r="K27" i="17" s="1"/>
  <c r="R27" i="17" s="1"/>
  <c r="J83" i="17"/>
  <c r="K83" i="17" s="1"/>
  <c r="R83" i="17" s="1"/>
  <c r="J215" i="17"/>
  <c r="K215" i="17" s="1"/>
  <c r="R215" i="17" s="1"/>
  <c r="J257" i="17"/>
  <c r="K257" i="17" s="1"/>
  <c r="R257" i="17" s="1"/>
  <c r="J284" i="17"/>
  <c r="K284" i="17" s="1"/>
  <c r="R284" i="17" s="1"/>
  <c r="J242" i="17"/>
  <c r="K242" i="17" s="1"/>
  <c r="R242" i="17" s="1"/>
  <c r="J267" i="17"/>
  <c r="K267" i="17" s="1"/>
  <c r="R267" i="17" s="1"/>
  <c r="J218" i="17"/>
  <c r="K218" i="17" s="1"/>
  <c r="R218" i="17" s="1"/>
  <c r="J256" i="17"/>
  <c r="K256" i="17" s="1"/>
  <c r="R256" i="17" s="1"/>
  <c r="J289" i="17"/>
  <c r="K289" i="17" s="1"/>
  <c r="R289" i="17" s="1"/>
  <c r="J308" i="17"/>
  <c r="K308" i="17" s="1"/>
  <c r="R308" i="17" s="1"/>
  <c r="J332" i="17"/>
  <c r="K332" i="17" s="1"/>
  <c r="R332" i="17" s="1"/>
  <c r="J360" i="17"/>
  <c r="K360" i="17" s="1"/>
  <c r="R360" i="17" s="1"/>
  <c r="J320" i="17"/>
  <c r="K320" i="17" s="1"/>
  <c r="R320" i="17" s="1"/>
  <c r="J354" i="17"/>
  <c r="K354" i="17" s="1"/>
  <c r="R354" i="17" s="1"/>
  <c r="J315" i="17"/>
  <c r="K315" i="17" s="1"/>
  <c r="R315" i="17" s="1"/>
  <c r="J424" i="17"/>
  <c r="K424" i="17" s="1"/>
  <c r="R424" i="17" s="1"/>
  <c r="J450" i="17"/>
  <c r="K450" i="17" s="1"/>
  <c r="R450" i="17" s="1"/>
  <c r="J490" i="17"/>
  <c r="K490" i="17" s="1"/>
  <c r="R490" i="17" s="1"/>
  <c r="J527" i="17"/>
  <c r="K527" i="17" s="1"/>
  <c r="R527" i="17" s="1"/>
  <c r="J564" i="17"/>
  <c r="K564" i="17" s="1"/>
  <c r="R564" i="17" s="1"/>
  <c r="J452" i="17"/>
  <c r="K452" i="17" s="1"/>
  <c r="R452" i="17" s="1"/>
  <c r="J478" i="17"/>
  <c r="K478" i="17" s="1"/>
  <c r="R478" i="17" s="1"/>
  <c r="J538" i="17"/>
  <c r="K538" i="17" s="1"/>
  <c r="R538" i="17" s="1"/>
  <c r="J520" i="17"/>
  <c r="K520" i="17" s="1"/>
  <c r="R520" i="17" s="1"/>
  <c r="J546" i="17"/>
  <c r="K546" i="17" s="1"/>
  <c r="R546" i="17" s="1"/>
  <c r="J665" i="17"/>
  <c r="K665" i="17" s="1"/>
  <c r="R665" i="17" s="1"/>
  <c r="J593" i="17"/>
  <c r="K593" i="17" s="1"/>
  <c r="R593" i="17" s="1"/>
  <c r="J628" i="17"/>
  <c r="K628" i="17" s="1"/>
  <c r="R628" i="17" s="1"/>
  <c r="J586" i="17"/>
  <c r="K586" i="17" s="1"/>
  <c r="R586" i="17" s="1"/>
  <c r="J618" i="17"/>
  <c r="K618" i="17" s="1"/>
  <c r="R618" i="17" s="1"/>
  <c r="J649" i="17"/>
  <c r="K649" i="17" s="1"/>
  <c r="R649" i="17" s="1"/>
  <c r="J667" i="17"/>
  <c r="K667" i="17" s="1"/>
  <c r="R667" i="17" s="1"/>
  <c r="J683" i="17"/>
  <c r="K683" i="17" s="1"/>
  <c r="R683" i="17" s="1"/>
  <c r="J700" i="17"/>
  <c r="K700" i="17" s="1"/>
  <c r="R700" i="17" s="1"/>
  <c r="J716" i="17"/>
  <c r="K716" i="17" s="1"/>
  <c r="R716" i="17" s="1"/>
  <c r="J594" i="17"/>
  <c r="K594" i="17" s="1"/>
  <c r="R594" i="17" s="1"/>
  <c r="J621" i="17"/>
  <c r="K621" i="17" s="1"/>
  <c r="R621" i="17" s="1"/>
  <c r="J651" i="17"/>
  <c r="K651" i="17" s="1"/>
  <c r="R651" i="17" s="1"/>
  <c r="J730" i="17"/>
  <c r="K730" i="17" s="1"/>
  <c r="R730" i="17" s="1"/>
  <c r="J29" i="17"/>
  <c r="K29" i="17" s="1"/>
  <c r="R29" i="17" s="1"/>
  <c r="J119" i="17"/>
  <c r="K119" i="17" s="1"/>
  <c r="R119" i="17" s="1"/>
  <c r="J146" i="17"/>
  <c r="K146" i="17" s="1"/>
  <c r="R146" i="17" s="1"/>
  <c r="J196" i="17"/>
  <c r="K196" i="17" s="1"/>
  <c r="R196" i="17" s="1"/>
  <c r="J213" i="17"/>
  <c r="K213" i="17" s="1"/>
  <c r="R213" i="17" s="1"/>
  <c r="J361" i="17"/>
  <c r="K361" i="17" s="1"/>
  <c r="R361" i="17" s="1"/>
  <c r="J380" i="17"/>
  <c r="K380" i="17" s="1"/>
  <c r="R380" i="17" s="1"/>
  <c r="J431" i="17"/>
  <c r="K431" i="17" s="1"/>
  <c r="R431" i="17" s="1"/>
  <c r="J480" i="17"/>
  <c r="K480" i="17" s="1"/>
  <c r="R480" i="17" s="1"/>
  <c r="J476" i="17"/>
  <c r="K476" i="17" s="1"/>
  <c r="R476" i="17" s="1"/>
  <c r="J668" i="17"/>
  <c r="K668" i="17" s="1"/>
  <c r="R668" i="17" s="1"/>
  <c r="J598" i="17"/>
  <c r="K598" i="17" s="1"/>
  <c r="R598" i="17" s="1"/>
  <c r="J654" i="17"/>
  <c r="K654" i="17" s="1"/>
  <c r="R654" i="17" s="1"/>
  <c r="J717" i="17"/>
  <c r="K717" i="17" s="1"/>
  <c r="R717" i="17" s="1"/>
  <c r="J736" i="17"/>
  <c r="K736" i="17" s="1"/>
  <c r="R736" i="17" s="1"/>
  <c r="J10" i="17"/>
  <c r="K10" i="17" s="1"/>
  <c r="R10" i="17" s="1"/>
  <c r="J32" i="17"/>
  <c r="K32" i="17" s="1"/>
  <c r="R32" i="17" s="1"/>
  <c r="J64" i="17"/>
  <c r="K64" i="17" s="1"/>
  <c r="R64" i="17" s="1"/>
  <c r="J40" i="17"/>
  <c r="K40" i="17" s="1"/>
  <c r="R40" i="17" s="1"/>
  <c r="J90" i="17"/>
  <c r="K90" i="17" s="1"/>
  <c r="R90" i="17" s="1"/>
  <c r="J125" i="17"/>
  <c r="K125" i="17" s="1"/>
  <c r="R125" i="17" s="1"/>
  <c r="J115" i="17"/>
  <c r="K115" i="17" s="1"/>
  <c r="R115" i="17" s="1"/>
  <c r="J138" i="17"/>
  <c r="K138" i="17" s="1"/>
  <c r="R138" i="17" s="1"/>
  <c r="J219" i="17"/>
  <c r="K219" i="17" s="1"/>
  <c r="R219" i="17" s="1"/>
  <c r="J207" i="17"/>
  <c r="K207" i="17" s="1"/>
  <c r="R207" i="17" s="1"/>
  <c r="J264" i="17"/>
  <c r="K264" i="17" s="1"/>
  <c r="R264" i="17" s="1"/>
  <c r="J330" i="17"/>
  <c r="K330" i="17" s="1"/>
  <c r="R330" i="17" s="1"/>
  <c r="J384" i="17"/>
  <c r="K384" i="17" s="1"/>
  <c r="R384" i="17" s="1"/>
  <c r="J418" i="17"/>
  <c r="K418" i="17" s="1"/>
  <c r="R418" i="17" s="1"/>
  <c r="J377" i="17"/>
  <c r="K377" i="17" s="1"/>
  <c r="R377" i="17" s="1"/>
  <c r="J403" i="17"/>
  <c r="K403" i="17" s="1"/>
  <c r="R403" i="17" s="1"/>
  <c r="J428" i="17"/>
  <c r="K428" i="17" s="1"/>
  <c r="R428" i="17" s="1"/>
  <c r="J382" i="17"/>
  <c r="K382" i="17" s="1"/>
  <c r="R382" i="17" s="1"/>
  <c r="J414" i="17"/>
  <c r="K414" i="17" s="1"/>
  <c r="R414" i="17" s="1"/>
  <c r="J585" i="17"/>
  <c r="K585" i="17" s="1"/>
  <c r="R585" i="17" s="1"/>
  <c r="J613" i="17"/>
  <c r="K613" i="17" s="1"/>
  <c r="R613" i="17" s="1"/>
  <c r="J669" i="17"/>
  <c r="K669" i="17" s="1"/>
  <c r="R669" i="17" s="1"/>
  <c r="J685" i="17"/>
  <c r="K685" i="17" s="1"/>
  <c r="R685" i="17" s="1"/>
  <c r="J718" i="17"/>
  <c r="K718" i="17" s="1"/>
  <c r="R718" i="17" s="1"/>
  <c r="J601" i="17"/>
  <c r="K601" i="17" s="1"/>
  <c r="R601" i="17" s="1"/>
  <c r="J627" i="17"/>
  <c r="K627" i="17" s="1"/>
  <c r="R627" i="17" s="1"/>
  <c r="J733" i="17"/>
  <c r="K733" i="17" s="1"/>
  <c r="R733" i="17" s="1"/>
  <c r="J30" i="17"/>
  <c r="K30" i="17" s="1"/>
  <c r="R30" i="17" s="1"/>
  <c r="J37" i="17"/>
  <c r="K37" i="17" s="1"/>
  <c r="R37" i="17" s="1"/>
  <c r="J62" i="17"/>
  <c r="K62" i="17" s="1"/>
  <c r="R62" i="17" s="1"/>
  <c r="J95" i="17"/>
  <c r="K95" i="17" s="1"/>
  <c r="R95" i="17" s="1"/>
  <c r="J191" i="17"/>
  <c r="K191" i="17" s="1"/>
  <c r="R191" i="17" s="1"/>
  <c r="J194" i="17"/>
  <c r="K194" i="17" s="1"/>
  <c r="R194" i="17" s="1"/>
  <c r="J189" i="17"/>
  <c r="K189" i="17" s="1"/>
  <c r="R189" i="17" s="1"/>
  <c r="J250" i="17"/>
  <c r="K250" i="17" s="1"/>
  <c r="R250" i="17" s="1"/>
  <c r="J295" i="17"/>
  <c r="K295" i="17" s="1"/>
  <c r="R295" i="17" s="1"/>
  <c r="J294" i="17"/>
  <c r="K294" i="17" s="1"/>
  <c r="R294" i="17" s="1"/>
  <c r="J400" i="17"/>
  <c r="K400" i="17" s="1"/>
  <c r="R400" i="17" s="1"/>
  <c r="J411" i="17"/>
  <c r="K411" i="17" s="1"/>
  <c r="R411" i="17" s="1"/>
  <c r="J491" i="17"/>
  <c r="K491" i="17" s="1"/>
  <c r="R491" i="17" s="1"/>
  <c r="J496" i="17"/>
  <c r="K496" i="17" s="1"/>
  <c r="R496" i="17" s="1"/>
  <c r="J479" i="17"/>
  <c r="K479" i="17" s="1"/>
  <c r="R479" i="17" s="1"/>
  <c r="J543" i="17"/>
  <c r="K543" i="17" s="1"/>
  <c r="R543" i="17" s="1"/>
  <c r="J492" i="17"/>
  <c r="K492" i="17" s="1"/>
  <c r="R492" i="17" s="1"/>
  <c r="J566" i="17"/>
  <c r="K566" i="17" s="1"/>
  <c r="R566" i="17" s="1"/>
  <c r="J629" i="17"/>
  <c r="K629" i="17" s="1"/>
  <c r="R629" i="17" s="1"/>
  <c r="J676" i="17"/>
  <c r="K676" i="17" s="1"/>
  <c r="R676" i="17" s="1"/>
  <c r="J708" i="17"/>
  <c r="K708" i="17" s="1"/>
  <c r="R708" i="17" s="1"/>
  <c r="J631" i="17"/>
  <c r="K631" i="17" s="1"/>
  <c r="R631" i="17" s="1"/>
  <c r="J622" i="17"/>
  <c r="K622" i="17" s="1"/>
  <c r="R622" i="17" s="1"/>
  <c r="J670" i="17"/>
  <c r="K670" i="17" s="1"/>
  <c r="R670" i="17" s="1"/>
  <c r="J702" i="17"/>
  <c r="K702" i="17" s="1"/>
  <c r="R702" i="17" s="1"/>
  <c r="J624" i="17"/>
  <c r="K624" i="17" s="1"/>
  <c r="R624" i="17" s="1"/>
  <c r="J732" i="17"/>
  <c r="K732" i="17" s="1"/>
  <c r="R732" i="17" s="1"/>
  <c r="J14" i="17"/>
  <c r="K14" i="17" s="1"/>
  <c r="R14" i="17" s="1"/>
  <c r="J15" i="17"/>
  <c r="K15" i="17" s="1"/>
  <c r="R15" i="17" s="1"/>
  <c r="J34" i="17"/>
  <c r="K34" i="17" s="1"/>
  <c r="R34" i="17" s="1"/>
  <c r="J69" i="17"/>
  <c r="K69" i="17" s="1"/>
  <c r="R69" i="17" s="1"/>
  <c r="J42" i="17"/>
  <c r="K42" i="17" s="1"/>
  <c r="R42" i="17" s="1"/>
  <c r="J24" i="17"/>
  <c r="K24" i="17" s="1"/>
  <c r="R24" i="17" s="1"/>
  <c r="J65" i="17"/>
  <c r="K65" i="17" s="1"/>
  <c r="R65" i="17" s="1"/>
  <c r="J101" i="17"/>
  <c r="K101" i="17" s="1"/>
  <c r="R101" i="17" s="1"/>
  <c r="J89" i="17"/>
  <c r="K89" i="17" s="1"/>
  <c r="R89" i="17" s="1"/>
  <c r="J86" i="17"/>
  <c r="K86" i="17" s="1"/>
  <c r="R86" i="17" s="1"/>
  <c r="J131" i="17"/>
  <c r="K131" i="17" s="1"/>
  <c r="R131" i="17" s="1"/>
  <c r="J118" i="17"/>
  <c r="K118" i="17" s="1"/>
  <c r="R118" i="17" s="1"/>
  <c r="J141" i="17"/>
  <c r="K141" i="17" s="1"/>
  <c r="R141" i="17" s="1"/>
  <c r="J123" i="17"/>
  <c r="K123" i="17" s="1"/>
  <c r="R123" i="17" s="1"/>
  <c r="J156" i="17"/>
  <c r="K156" i="17" s="1"/>
  <c r="R156" i="17" s="1"/>
  <c r="J186" i="17"/>
  <c r="K186" i="17" s="1"/>
  <c r="R186" i="17" s="1"/>
  <c r="J220" i="17"/>
  <c r="K220" i="17" s="1"/>
  <c r="R220" i="17" s="1"/>
  <c r="J179" i="17"/>
  <c r="K179" i="17" s="1"/>
  <c r="R179" i="17" s="1"/>
  <c r="J209" i="17"/>
  <c r="K209" i="17" s="1"/>
  <c r="R209" i="17" s="1"/>
  <c r="J231" i="17"/>
  <c r="K231" i="17" s="1"/>
  <c r="R231" i="17" s="1"/>
  <c r="J268" i="17"/>
  <c r="K268" i="17" s="1"/>
  <c r="R268" i="17" s="1"/>
  <c r="J222" i="17"/>
  <c r="K222" i="17" s="1"/>
  <c r="R222" i="17" s="1"/>
  <c r="J251" i="17"/>
  <c r="K251" i="17" s="1"/>
  <c r="R251" i="17" s="1"/>
  <c r="J280" i="17"/>
  <c r="K280" i="17" s="1"/>
  <c r="R280" i="17" s="1"/>
  <c r="J229" i="17"/>
  <c r="K229" i="17" s="1"/>
  <c r="R229" i="17" s="1"/>
  <c r="J269" i="17"/>
  <c r="K269" i="17" s="1"/>
  <c r="R269" i="17" s="1"/>
  <c r="J321" i="17"/>
  <c r="K321" i="17" s="1"/>
  <c r="R321" i="17" s="1"/>
  <c r="J300" i="17"/>
  <c r="K300" i="17" s="1"/>
  <c r="R300" i="17" s="1"/>
  <c r="J334" i="17"/>
  <c r="K334" i="17" s="1"/>
  <c r="R334" i="17" s="1"/>
  <c r="J296" i="17"/>
  <c r="K296" i="17" s="1"/>
  <c r="R296" i="17" s="1"/>
  <c r="J327" i="17"/>
  <c r="K327" i="17" s="1"/>
  <c r="R327" i="17" s="1"/>
  <c r="J387" i="17"/>
  <c r="K387" i="17" s="1"/>
  <c r="R387" i="17" s="1"/>
  <c r="J426" i="17"/>
  <c r="K426" i="17" s="1"/>
  <c r="R426" i="17" s="1"/>
  <c r="J389" i="17"/>
  <c r="K389" i="17" s="1"/>
  <c r="R389" i="17" s="1"/>
  <c r="J422" i="17"/>
  <c r="K422" i="17" s="1"/>
  <c r="R422" i="17" s="1"/>
  <c r="J383" i="17"/>
  <c r="K383" i="17" s="1"/>
  <c r="R383" i="17" s="1"/>
  <c r="J406" i="17"/>
  <c r="K406" i="17" s="1"/>
  <c r="R406" i="17" s="1"/>
  <c r="J429" i="17"/>
  <c r="K429" i="17" s="1"/>
  <c r="R429" i="17" s="1"/>
  <c r="J388" i="17"/>
  <c r="K388" i="17" s="1"/>
  <c r="R388" i="17" s="1"/>
  <c r="J421" i="17"/>
  <c r="K421" i="17" s="1"/>
  <c r="R421" i="17" s="1"/>
  <c r="J467" i="17"/>
  <c r="K467" i="17" s="1"/>
  <c r="R467" i="17" s="1"/>
  <c r="J499" i="17"/>
  <c r="K499" i="17" s="1"/>
  <c r="R499" i="17" s="1"/>
  <c r="J537" i="17"/>
  <c r="K537" i="17" s="1"/>
  <c r="R537" i="17" s="1"/>
  <c r="J590" i="17"/>
  <c r="K590" i="17" s="1"/>
  <c r="R590" i="17" s="1"/>
  <c r="J616" i="17"/>
  <c r="K616" i="17" s="1"/>
  <c r="R616" i="17" s="1"/>
  <c r="J653" i="17"/>
  <c r="K653" i="17" s="1"/>
  <c r="R653" i="17" s="1"/>
  <c r="J672" i="17"/>
  <c r="K672" i="17" s="1"/>
  <c r="R672" i="17" s="1"/>
  <c r="J688" i="17"/>
  <c r="K688" i="17" s="1"/>
  <c r="R688" i="17" s="1"/>
  <c r="J704" i="17"/>
  <c r="K704" i="17" s="1"/>
  <c r="R704" i="17" s="1"/>
  <c r="J602" i="17"/>
  <c r="K602" i="17" s="1"/>
  <c r="R602" i="17" s="1"/>
  <c r="J639" i="17"/>
  <c r="K639" i="17" s="1"/>
  <c r="R639" i="17" s="1"/>
  <c r="J595" i="17"/>
  <c r="K595" i="17" s="1"/>
  <c r="R595" i="17" s="1"/>
  <c r="J630" i="17"/>
  <c r="K630" i="17" s="1"/>
  <c r="R630" i="17" s="1"/>
  <c r="J658" i="17"/>
  <c r="K658" i="17" s="1"/>
  <c r="R658" i="17" s="1"/>
  <c r="J689" i="17"/>
  <c r="K689" i="17" s="1"/>
  <c r="R689" i="17" s="1"/>
  <c r="J706" i="17"/>
  <c r="K706" i="17" s="1"/>
  <c r="R706" i="17" s="1"/>
  <c r="J722" i="17"/>
  <c r="K722" i="17" s="1"/>
  <c r="R722" i="17" s="1"/>
  <c r="J632" i="17"/>
  <c r="K632" i="17" s="1"/>
  <c r="R632" i="17" s="1"/>
  <c r="J731" i="17"/>
  <c r="K731" i="17" s="1"/>
  <c r="R731" i="17" s="1"/>
  <c r="J735" i="17"/>
  <c r="K735" i="17" s="1"/>
  <c r="R735" i="17" s="1"/>
  <c r="J88" i="17"/>
  <c r="K88" i="17" s="1"/>
  <c r="R88" i="17" s="1"/>
  <c r="J80" i="17"/>
  <c r="K80" i="17" s="1"/>
  <c r="R80" i="17" s="1"/>
  <c r="J137" i="17"/>
  <c r="K137" i="17" s="1"/>
  <c r="R137" i="17" s="1"/>
  <c r="J158" i="17"/>
  <c r="K158" i="17" s="1"/>
  <c r="R158" i="17" s="1"/>
  <c r="J282" i="17"/>
  <c r="K282" i="17" s="1"/>
  <c r="R282" i="17" s="1"/>
  <c r="J246" i="17"/>
  <c r="K246" i="17" s="1"/>
  <c r="R246" i="17" s="1"/>
  <c r="J313" i="17"/>
  <c r="K313" i="17" s="1"/>
  <c r="R313" i="17" s="1"/>
  <c r="J325" i="17"/>
  <c r="K325" i="17" s="1"/>
  <c r="R325" i="17" s="1"/>
  <c r="J416" i="17"/>
  <c r="K416" i="17" s="1"/>
  <c r="R416" i="17" s="1"/>
  <c r="J386" i="17"/>
  <c r="K386" i="17" s="1"/>
  <c r="R386" i="17" s="1"/>
  <c r="J413" i="17"/>
  <c r="K413" i="17" s="1"/>
  <c r="R413" i="17" s="1"/>
  <c r="J532" i="17"/>
  <c r="K532" i="17" s="1"/>
  <c r="R532" i="17" s="1"/>
  <c r="J524" i="17"/>
  <c r="K524" i="17" s="1"/>
  <c r="R524" i="17" s="1"/>
  <c r="J495" i="17"/>
  <c r="K495" i="17" s="1"/>
  <c r="R495" i="17" s="1"/>
  <c r="J460" i="17"/>
  <c r="K460" i="17" s="1"/>
  <c r="R460" i="17" s="1"/>
  <c r="J581" i="17"/>
  <c r="K581" i="17" s="1"/>
  <c r="R581" i="17" s="1"/>
  <c r="J684" i="17"/>
  <c r="K684" i="17" s="1"/>
  <c r="R684" i="17" s="1"/>
  <c r="J615" i="17"/>
  <c r="K615" i="17" s="1"/>
  <c r="R615" i="17" s="1"/>
  <c r="J638" i="17"/>
  <c r="K638" i="17" s="1"/>
  <c r="R638" i="17" s="1"/>
  <c r="J710" i="17"/>
  <c r="K710" i="17" s="1"/>
  <c r="R710" i="17" s="1"/>
  <c r="J728" i="17"/>
  <c r="K728" i="17" s="1"/>
  <c r="R728" i="17" s="1"/>
  <c r="J16" i="17"/>
  <c r="K16" i="17" s="1"/>
  <c r="R16" i="17" s="1"/>
  <c r="J36" i="17"/>
  <c r="K36" i="17" s="1"/>
  <c r="R36" i="17" s="1"/>
  <c r="J74" i="17"/>
  <c r="K74" i="17" s="1"/>
  <c r="R74" i="17" s="1"/>
  <c r="J53" i="17"/>
  <c r="K53" i="17" s="1"/>
  <c r="R53" i="17" s="1"/>
  <c r="J45" i="17"/>
  <c r="K45" i="17" s="1"/>
  <c r="R45" i="17" s="1"/>
  <c r="J31" i="17"/>
  <c r="K31" i="17" s="1"/>
  <c r="R31" i="17" s="1"/>
  <c r="J67" i="17"/>
  <c r="K67" i="17" s="1"/>
  <c r="R67" i="17" s="1"/>
  <c r="J102" i="17"/>
  <c r="K102" i="17" s="1"/>
  <c r="R102" i="17" s="1"/>
  <c r="J94" i="17"/>
  <c r="K94" i="17" s="1"/>
  <c r="R94" i="17" s="1"/>
  <c r="J91" i="17"/>
  <c r="K91" i="17" s="1"/>
  <c r="R91" i="17" s="1"/>
  <c r="J93" i="17"/>
  <c r="K93" i="17" s="1"/>
  <c r="R93" i="17" s="1"/>
  <c r="J135" i="17"/>
  <c r="K135" i="17" s="1"/>
  <c r="R135" i="17" s="1"/>
  <c r="J121" i="17"/>
  <c r="K121" i="17" s="1"/>
  <c r="R121" i="17" s="1"/>
  <c r="J144" i="17"/>
  <c r="K144" i="17" s="1"/>
  <c r="R144" i="17" s="1"/>
  <c r="J126" i="17"/>
  <c r="K126" i="17" s="1"/>
  <c r="R126" i="17" s="1"/>
  <c r="J205" i="17"/>
  <c r="K205" i="17" s="1"/>
  <c r="R205" i="17" s="1"/>
  <c r="J161" i="17"/>
  <c r="K161" i="17" s="1"/>
  <c r="R161" i="17" s="1"/>
  <c r="J187" i="17"/>
  <c r="K187" i="17" s="1"/>
  <c r="R187" i="17" s="1"/>
  <c r="J154" i="17"/>
  <c r="K154" i="17" s="1"/>
  <c r="R154" i="17" s="1"/>
  <c r="J182" i="17"/>
  <c r="K182" i="17" s="1"/>
  <c r="R182" i="17" s="1"/>
  <c r="J211" i="17"/>
  <c r="K211" i="17" s="1"/>
  <c r="R211" i="17" s="1"/>
  <c r="J248" i="17"/>
  <c r="K248" i="17" s="1"/>
  <c r="R248" i="17" s="1"/>
  <c r="J274" i="17"/>
  <c r="K274" i="17" s="1"/>
  <c r="R274" i="17" s="1"/>
  <c r="J235" i="17"/>
  <c r="K235" i="17" s="1"/>
  <c r="R235" i="17" s="1"/>
  <c r="J273" i="17"/>
  <c r="K273" i="17" s="1"/>
  <c r="R273" i="17" s="1"/>
  <c r="J226" i="17"/>
  <c r="K226" i="17" s="1"/>
  <c r="R226" i="17" s="1"/>
  <c r="J253" i="17"/>
  <c r="K253" i="17" s="1"/>
  <c r="R253" i="17" s="1"/>
  <c r="J283" i="17"/>
  <c r="K283" i="17" s="1"/>
  <c r="R283" i="17" s="1"/>
  <c r="J233" i="17"/>
  <c r="K233" i="17" s="1"/>
  <c r="R233" i="17" s="1"/>
  <c r="J272" i="17"/>
  <c r="K272" i="17" s="1"/>
  <c r="R272" i="17" s="1"/>
  <c r="J323" i="17"/>
  <c r="K323" i="17" s="1"/>
  <c r="R323" i="17" s="1"/>
  <c r="J345" i="17"/>
  <c r="K345" i="17" s="1"/>
  <c r="R345" i="17" s="1"/>
  <c r="J303" i="17"/>
  <c r="K303" i="17" s="1"/>
  <c r="R303" i="17" s="1"/>
  <c r="J336" i="17"/>
  <c r="K336" i="17" s="1"/>
  <c r="R336" i="17" s="1"/>
  <c r="J299" i="17"/>
  <c r="K299" i="17" s="1"/>
  <c r="R299" i="17" s="1"/>
  <c r="J338" i="17"/>
  <c r="K338" i="17" s="1"/>
  <c r="R338" i="17" s="1"/>
  <c r="J397" i="17"/>
  <c r="K397" i="17" s="1"/>
  <c r="R397" i="17" s="1"/>
  <c r="J393" i="17"/>
  <c r="K393" i="17" s="1"/>
  <c r="R393" i="17" s="1"/>
  <c r="J430" i="17"/>
  <c r="K430" i="17" s="1"/>
  <c r="R430" i="17" s="1"/>
  <c r="J385" i="17"/>
  <c r="K385" i="17" s="1"/>
  <c r="R385" i="17" s="1"/>
  <c r="J409" i="17"/>
  <c r="K409" i="17" s="1"/>
  <c r="R409" i="17" s="1"/>
  <c r="J433" i="17"/>
  <c r="K433" i="17" s="1"/>
  <c r="R433" i="17" s="1"/>
  <c r="J390" i="17"/>
  <c r="K390" i="17" s="1"/>
  <c r="R390" i="17" s="1"/>
  <c r="J427" i="17"/>
  <c r="K427" i="17" s="1"/>
  <c r="R427" i="17" s="1"/>
  <c r="J474" i="17"/>
  <c r="K474" i="17" s="1"/>
  <c r="R474" i="17" s="1"/>
  <c r="J512" i="17"/>
  <c r="K512" i="17" s="1"/>
  <c r="R512" i="17" s="1"/>
  <c r="J544" i="17"/>
  <c r="K544" i="17" s="1"/>
  <c r="R544" i="17" s="1"/>
  <c r="J576" i="17"/>
  <c r="K576" i="17" s="1"/>
  <c r="R576" i="17" s="1"/>
  <c r="J437" i="17"/>
  <c r="K437" i="17" s="1"/>
  <c r="R437" i="17" s="1"/>
  <c r="J462" i="17"/>
  <c r="K462" i="17" s="1"/>
  <c r="R462" i="17" s="1"/>
  <c r="J494" i="17"/>
  <c r="K494" i="17" s="1"/>
  <c r="R494" i="17" s="1"/>
  <c r="J555" i="17"/>
  <c r="K555" i="17" s="1"/>
  <c r="R555" i="17" s="1"/>
  <c r="J439" i="17"/>
  <c r="K439" i="17" s="1"/>
  <c r="R439" i="17" s="1"/>
  <c r="J469" i="17"/>
  <c r="K469" i="17" s="1"/>
  <c r="R469" i="17" s="1"/>
  <c r="J501" i="17"/>
  <c r="K501" i="17" s="1"/>
  <c r="R501" i="17" s="1"/>
  <c r="J535" i="17"/>
  <c r="K535" i="17" s="1"/>
  <c r="R535" i="17" s="1"/>
  <c r="J561" i="17"/>
  <c r="K561" i="17" s="1"/>
  <c r="R561" i="17" s="1"/>
  <c r="J591" i="17"/>
  <c r="K591" i="17" s="1"/>
  <c r="R591" i="17" s="1"/>
  <c r="J626" i="17"/>
  <c r="K626" i="17" s="1"/>
  <c r="R626" i="17" s="1"/>
  <c r="J657" i="17"/>
  <c r="K657" i="17" s="1"/>
  <c r="R657" i="17" s="1"/>
  <c r="J674" i="17"/>
  <c r="K674" i="17" s="1"/>
  <c r="R674" i="17" s="1"/>
  <c r="J690" i="17"/>
  <c r="K690" i="17" s="1"/>
  <c r="R690" i="17" s="1"/>
  <c r="J705" i="17"/>
  <c r="K705" i="17" s="1"/>
  <c r="R705" i="17" s="1"/>
  <c r="J721" i="17"/>
  <c r="K721" i="17" s="1"/>
  <c r="R721" i="17" s="1"/>
  <c r="J612" i="17"/>
  <c r="K612" i="17" s="1"/>
  <c r="R612" i="17" s="1"/>
  <c r="J644" i="17"/>
  <c r="K644" i="17" s="1"/>
  <c r="R644" i="17" s="1"/>
  <c r="J605" i="17"/>
  <c r="K605" i="17" s="1"/>
  <c r="R605" i="17" s="1"/>
  <c r="J633" i="17"/>
  <c r="K633" i="17" s="1"/>
  <c r="R633" i="17" s="1"/>
  <c r="J660" i="17"/>
  <c r="K660" i="17" s="1"/>
  <c r="R660" i="17" s="1"/>
  <c r="J675" i="17"/>
  <c r="K675" i="17" s="1"/>
  <c r="R675" i="17" s="1"/>
  <c r="J691" i="17"/>
  <c r="K691" i="17" s="1"/>
  <c r="R691" i="17" s="1"/>
  <c r="J707" i="17"/>
  <c r="K707" i="17" s="1"/>
  <c r="R707" i="17" s="1"/>
  <c r="J723" i="17"/>
  <c r="K723" i="17" s="1"/>
  <c r="R723" i="17" s="1"/>
  <c r="J607" i="17"/>
  <c r="K607" i="17" s="1"/>
  <c r="R607" i="17" s="1"/>
  <c r="J635" i="17"/>
  <c r="K635" i="17" s="1"/>
  <c r="R635" i="17" s="1"/>
  <c r="J7" i="17"/>
  <c r="K7" i="17" s="1"/>
  <c r="J41" i="17"/>
  <c r="K41" i="17" s="1"/>
  <c r="R41" i="17" s="1"/>
  <c r="J46" i="17"/>
  <c r="K46" i="17" s="1"/>
  <c r="R46" i="17" s="1"/>
  <c r="J72" i="17"/>
  <c r="K72" i="17" s="1"/>
  <c r="R72" i="17" s="1"/>
  <c r="J97" i="17"/>
  <c r="K97" i="17" s="1"/>
  <c r="R97" i="17" s="1"/>
  <c r="J130" i="17"/>
  <c r="K130" i="17" s="1"/>
  <c r="R130" i="17" s="1"/>
  <c r="J136" i="17"/>
  <c r="K136" i="17" s="1"/>
  <c r="R136" i="17" s="1"/>
  <c r="J152" i="17"/>
  <c r="K152" i="17" s="1"/>
  <c r="R152" i="17" s="1"/>
  <c r="J173" i="17"/>
  <c r="K173" i="17" s="1"/>
  <c r="R173" i="17" s="1"/>
  <c r="J263" i="17"/>
  <c r="K263" i="17" s="1"/>
  <c r="R263" i="17" s="1"/>
  <c r="J254" i="17"/>
  <c r="K254" i="17" s="1"/>
  <c r="R254" i="17" s="1"/>
  <c r="J326" i="17"/>
  <c r="K326" i="17" s="1"/>
  <c r="R326" i="17" s="1"/>
  <c r="J357" i="17"/>
  <c r="K357" i="17" s="1"/>
  <c r="R357" i="17" s="1"/>
  <c r="J375" i="17"/>
  <c r="K375" i="17" s="1"/>
  <c r="R375" i="17" s="1"/>
  <c r="J401" i="17"/>
  <c r="K401" i="17" s="1"/>
  <c r="R401" i="17" s="1"/>
  <c r="J441" i="17"/>
  <c r="K441" i="17" s="1"/>
  <c r="R441" i="17" s="1"/>
  <c r="J565" i="17"/>
  <c r="K565" i="17" s="1"/>
  <c r="R565" i="17" s="1"/>
  <c r="J507" i="17"/>
  <c r="K507" i="17" s="1"/>
  <c r="R507" i="17" s="1"/>
  <c r="J463" i="17"/>
  <c r="K463" i="17" s="1"/>
  <c r="R463" i="17" s="1"/>
  <c r="J574" i="17"/>
  <c r="K574" i="17" s="1"/>
  <c r="R574" i="17" s="1"/>
  <c r="J508" i="17"/>
  <c r="K508" i="17" s="1"/>
  <c r="R508" i="17" s="1"/>
  <c r="J610" i="17"/>
  <c r="K610" i="17" s="1"/>
  <c r="R610" i="17" s="1"/>
  <c r="J699" i="17"/>
  <c r="K699" i="17" s="1"/>
  <c r="R699" i="17" s="1"/>
  <c r="J589" i="17"/>
  <c r="K589" i="17" s="1"/>
  <c r="R589" i="17" s="1"/>
  <c r="J686" i="17"/>
  <c r="K686" i="17" s="1"/>
  <c r="R686" i="17" s="1"/>
  <c r="J611" i="17"/>
  <c r="K611" i="17" s="1"/>
  <c r="R611" i="17" s="1"/>
  <c r="Y677" i="16"/>
  <c r="AB677" i="16" s="1"/>
  <c r="AF677" i="16" s="1"/>
  <c r="AP676" i="16"/>
  <c r="AR676" i="16" s="1"/>
  <c r="BJ626" i="16"/>
  <c r="BK626" i="16"/>
  <c r="BE626" i="16"/>
  <c r="BF626" i="16" s="1"/>
  <c r="R7" i="17" l="1"/>
  <c r="M7" i="17"/>
  <c r="AG677" i="16"/>
  <c r="AH677" i="16" s="1"/>
  <c r="AS677" i="16" s="1"/>
  <c r="Z677" i="16"/>
  <c r="U678" i="16" s="1"/>
  <c r="AC678" i="16" s="1"/>
  <c r="AD678" i="16" s="1"/>
  <c r="AQ676" i="16"/>
  <c r="BI626" i="16"/>
  <c r="BG626" i="16"/>
  <c r="BL626" i="16"/>
  <c r="BM626" i="16" s="1"/>
  <c r="AL677" i="16" l="1"/>
  <c r="AM677" i="16" s="1"/>
  <c r="AN677" i="16" s="1"/>
  <c r="AO677" i="16" s="1"/>
  <c r="AP677" i="16" s="1"/>
  <c r="AR677" i="16" s="1"/>
  <c r="AU677" i="16"/>
  <c r="AV677" i="16" s="1"/>
  <c r="AT677" i="16"/>
  <c r="AW677" i="16" s="1"/>
  <c r="AX677" i="16" s="1"/>
  <c r="AZ677" i="16" s="1"/>
  <c r="E7" i="17"/>
  <c r="L7" i="17" s="1"/>
  <c r="N7" i="17" s="1"/>
  <c r="P7" i="17"/>
  <c r="Q7" i="17" s="1"/>
  <c r="S7" i="17" s="1"/>
  <c r="U7" i="17" s="1"/>
  <c r="W678" i="16"/>
  <c r="AA678" i="16" s="1"/>
  <c r="AK678" i="16" s="1"/>
  <c r="AE678" i="16"/>
  <c r="BC627" i="16"/>
  <c r="BH627" i="16" s="1"/>
  <c r="BN626" i="16"/>
  <c r="BO626" i="16"/>
  <c r="BP626" i="16" s="1"/>
  <c r="AY677" i="16" l="1"/>
  <c r="M8" i="17"/>
  <c r="O7" i="17"/>
  <c r="W7" i="17"/>
  <c r="AA7" i="17" s="1"/>
  <c r="AK7" i="17" s="1"/>
  <c r="Y678" i="16"/>
  <c r="AB678" i="16" s="1"/>
  <c r="AQ677" i="16"/>
  <c r="AC7" i="17"/>
  <c r="AJ649" i="15"/>
  <c r="BQ626" i="16"/>
  <c r="BD627" i="16"/>
  <c r="BE627" i="16" s="1"/>
  <c r="BF627" i="16" s="1"/>
  <c r="E625" i="14"/>
  <c r="F625" i="14" s="1"/>
  <c r="H625" i="14" s="1"/>
  <c r="AD642" i="15"/>
  <c r="E8" i="17" l="1"/>
  <c r="L8" i="17" s="1"/>
  <c r="N8" i="17" s="1"/>
  <c r="P8" i="17"/>
  <c r="Q8" i="17" s="1"/>
  <c r="S8" i="17" s="1"/>
  <c r="Y7" i="17"/>
  <c r="AF678" i="16"/>
  <c r="AG678" i="16" s="1"/>
  <c r="AH678" i="16" s="1"/>
  <c r="AS678" i="16" s="1"/>
  <c r="Z678" i="16"/>
  <c r="U679" i="16" s="1"/>
  <c r="AC679" i="16" s="1"/>
  <c r="AD7" i="17"/>
  <c r="BI627" i="16"/>
  <c r="BG627" i="16"/>
  <c r="BJ627" i="16"/>
  <c r="BK627" i="16"/>
  <c r="M9" i="17" l="1"/>
  <c r="O8" i="17"/>
  <c r="AT678" i="16"/>
  <c r="AW678" i="16" s="1"/>
  <c r="AX678" i="16" s="1"/>
  <c r="AZ678" i="16" s="1"/>
  <c r="AU678" i="16"/>
  <c r="AV678" i="16" s="1"/>
  <c r="AL678" i="16"/>
  <c r="AB7" i="17"/>
  <c r="Z7" i="17"/>
  <c r="U8" i="17" s="1"/>
  <c r="AC8" i="17" s="1"/>
  <c r="W679" i="16"/>
  <c r="Y679" i="16" s="1"/>
  <c r="AB679" i="16" s="1"/>
  <c r="AD679" i="16"/>
  <c r="AE679" i="16" s="1"/>
  <c r="AE7" i="17"/>
  <c r="BL627" i="16"/>
  <c r="BM627" i="16" s="1"/>
  <c r="BC628" i="16"/>
  <c r="BH628" i="16" s="1"/>
  <c r="BO627" i="16"/>
  <c r="BP627" i="16" s="1"/>
  <c r="AY678" i="16" l="1"/>
  <c r="AM678" i="16"/>
  <c r="AN678" i="16" s="1"/>
  <c r="AO678" i="16" s="1"/>
  <c r="AP678" i="16" s="1"/>
  <c r="AR678" i="16" s="1"/>
  <c r="E9" i="17"/>
  <c r="L9" i="17" s="1"/>
  <c r="N9" i="17" s="1"/>
  <c r="P9" i="17"/>
  <c r="W8" i="17"/>
  <c r="AA8" i="17" s="1"/>
  <c r="AK8" i="17" s="1"/>
  <c r="AA679" i="16"/>
  <c r="AK679" i="16" s="1"/>
  <c r="AF679" i="16"/>
  <c r="AG679" i="16" s="1"/>
  <c r="AH679" i="16" s="1"/>
  <c r="AS679" i="16" s="1"/>
  <c r="AT679" i="16" s="1"/>
  <c r="AW679" i="16" s="1"/>
  <c r="AX679" i="16" s="1"/>
  <c r="AZ679" i="16" s="1"/>
  <c r="BN627" i="16"/>
  <c r="BQ627" i="16" s="1"/>
  <c r="Z679" i="16"/>
  <c r="AF7" i="17"/>
  <c r="AG7" i="17" s="1"/>
  <c r="AL7" i="17" s="1"/>
  <c r="AY7" i="17" s="1"/>
  <c r="AD8" i="17"/>
  <c r="AJ650" i="15"/>
  <c r="BD628" i="16"/>
  <c r="AL679" i="16" l="1"/>
  <c r="AY679" i="16" s="1"/>
  <c r="O9" i="17"/>
  <c r="M10" i="17"/>
  <c r="E10" i="17" s="1"/>
  <c r="L10" i="17" s="1"/>
  <c r="AU679" i="16"/>
  <c r="AV679" i="16" s="1"/>
  <c r="AM7" i="17"/>
  <c r="AN7" i="17" s="1"/>
  <c r="AO7" i="17" s="1"/>
  <c r="AH7" i="17"/>
  <c r="AS7" i="17" s="1"/>
  <c r="Q9" i="17"/>
  <c r="S9" i="17" s="1"/>
  <c r="Y8" i="17"/>
  <c r="AB8" i="17" s="1"/>
  <c r="AD644" i="15"/>
  <c r="AM679" i="16"/>
  <c r="AN679" i="16" s="1"/>
  <c r="E626" i="14"/>
  <c r="F626" i="14" s="1"/>
  <c r="H626" i="14" s="1"/>
  <c r="AQ678" i="16"/>
  <c r="U680" i="16"/>
  <c r="AC680" i="16" s="1"/>
  <c r="AE8" i="17"/>
  <c r="BJ628" i="16"/>
  <c r="BK628" i="16"/>
  <c r="BE628" i="16"/>
  <c r="BF628" i="16" s="1"/>
  <c r="N10" i="17" l="1"/>
  <c r="O10" i="17" s="1"/>
  <c r="Z8" i="17"/>
  <c r="U9" i="17" s="1"/>
  <c r="AC9" i="17" s="1"/>
  <c r="AD9" i="17" s="1"/>
  <c r="AU7" i="17"/>
  <c r="AV7" i="17" s="1"/>
  <c r="AT7" i="17"/>
  <c r="AW7" i="17" s="1"/>
  <c r="P10" i="17"/>
  <c r="AO679" i="16"/>
  <c r="AP679" i="16" s="1"/>
  <c r="AR679" i="16" s="1"/>
  <c r="AP7" i="17"/>
  <c r="AQ7" i="17" s="1"/>
  <c r="AD680" i="16"/>
  <c r="W680" i="16"/>
  <c r="AA680" i="16" s="1"/>
  <c r="AK680" i="16" s="1"/>
  <c r="AF8" i="17"/>
  <c r="AG8" i="17" s="1"/>
  <c r="BI628" i="16"/>
  <c r="BG628" i="16"/>
  <c r="BL628" i="16"/>
  <c r="BM628" i="16" s="1"/>
  <c r="W9" i="17" l="1"/>
  <c r="AA9" i="17" s="1"/>
  <c r="AK9" i="17" s="1"/>
  <c r="M11" i="17"/>
  <c r="E11" i="17" s="1"/>
  <c r="L11" i="17" s="1"/>
  <c r="N11" i="17" s="1"/>
  <c r="M12" i="17" s="1"/>
  <c r="E12" i="17" s="1"/>
  <c r="L12" i="17" s="1"/>
  <c r="AH8" i="17"/>
  <c r="AS8" i="17" s="1"/>
  <c r="AT8" i="17" s="1"/>
  <c r="Q10" i="17"/>
  <c r="S10" i="17" s="1"/>
  <c r="AL8" i="17"/>
  <c r="AY8" i="17" s="1"/>
  <c r="AX7" i="17"/>
  <c r="AZ7" i="17" s="1"/>
  <c r="BC7" i="17" s="1"/>
  <c r="BH7" i="17" s="1"/>
  <c r="AR7" i="17"/>
  <c r="Y680" i="16"/>
  <c r="AB680" i="16" s="1"/>
  <c r="AQ679" i="16"/>
  <c r="AE680" i="16"/>
  <c r="AE9" i="17"/>
  <c r="BC629" i="16"/>
  <c r="BH629" i="16" s="1"/>
  <c r="BO628" i="16"/>
  <c r="BP628" i="16" s="1"/>
  <c r="BN628" i="16"/>
  <c r="Y9" i="17" l="1"/>
  <c r="AB9" i="17" s="1"/>
  <c r="AF9" i="17" s="1"/>
  <c r="AG9" i="17" s="1"/>
  <c r="AH9" i="17" s="1"/>
  <c r="AS9" i="17" s="1"/>
  <c r="AT9" i="17" s="1"/>
  <c r="O11" i="17"/>
  <c r="N12" i="17" s="1"/>
  <c r="M13" i="17" s="1"/>
  <c r="E13" i="17" s="1"/>
  <c r="L13" i="17" s="1"/>
  <c r="AW8" i="17"/>
  <c r="AX8" i="17" s="1"/>
  <c r="AZ8" i="17" s="1"/>
  <c r="AM8" i="17"/>
  <c r="AN8" i="17" s="1"/>
  <c r="AO8" i="17" s="1"/>
  <c r="BD7" i="17"/>
  <c r="AU8" i="17"/>
  <c r="AV8" i="17" s="1"/>
  <c r="P11" i="17"/>
  <c r="Z680" i="16"/>
  <c r="U681" i="16" s="1"/>
  <c r="AC681" i="16" s="1"/>
  <c r="AF680" i="16"/>
  <c r="AG680" i="16" s="1"/>
  <c r="AH680" i="16" s="1"/>
  <c r="AS680" i="16" s="1"/>
  <c r="E627" i="14"/>
  <c r="F627" i="14" s="1"/>
  <c r="H627" i="14" s="1"/>
  <c r="AD646" i="15"/>
  <c r="BD629" i="16"/>
  <c r="AJ651" i="15"/>
  <c r="BQ628" i="16"/>
  <c r="Z9" i="17" l="1"/>
  <c r="U10" i="17" s="1"/>
  <c r="AC10" i="17" s="1"/>
  <c r="O12" i="17"/>
  <c r="N13" i="17" s="1"/>
  <c r="AU9" i="17"/>
  <c r="AV9" i="17" s="1"/>
  <c r="AW9" i="17"/>
  <c r="AX9" i="17" s="1"/>
  <c r="AZ9" i="17" s="1"/>
  <c r="AP8" i="17"/>
  <c r="AQ8" i="17" s="1"/>
  <c r="BJ7" i="17"/>
  <c r="BK7" i="17"/>
  <c r="BL7" i="17" s="1"/>
  <c r="BM7" i="17" s="1"/>
  <c r="AU680" i="16"/>
  <c r="AV680" i="16" s="1"/>
  <c r="AT680" i="16"/>
  <c r="AW680" i="16" s="1"/>
  <c r="AX680" i="16" s="1"/>
  <c r="AZ680" i="16" s="1"/>
  <c r="BE7" i="17"/>
  <c r="BF7" i="17" s="1"/>
  <c r="AL9" i="17"/>
  <c r="AY9" i="17" s="1"/>
  <c r="Q11" i="17"/>
  <c r="S11" i="17" s="1"/>
  <c r="AL680" i="16"/>
  <c r="W681" i="16"/>
  <c r="AA681" i="16" s="1"/>
  <c r="AK681" i="16" s="1"/>
  <c r="AD681" i="16"/>
  <c r="AE681" i="16" s="1"/>
  <c r="BJ629" i="16"/>
  <c r="BK629" i="16"/>
  <c r="BE629" i="16"/>
  <c r="BF629" i="16" s="1"/>
  <c r="M14" i="17" l="1"/>
  <c r="E14" i="17" s="1"/>
  <c r="L14" i="17" s="1"/>
  <c r="O13" i="17"/>
  <c r="AM9" i="17"/>
  <c r="AN9" i="17" s="1"/>
  <c r="AR8" i="17"/>
  <c r="P12" i="17"/>
  <c r="Q12" i="17" s="1"/>
  <c r="S12" i="17" s="1"/>
  <c r="BI7" i="17"/>
  <c r="BG7" i="17"/>
  <c r="BC8" i="17" s="1"/>
  <c r="BH8" i="17" s="1"/>
  <c r="Y681" i="16"/>
  <c r="Z681" i="16" s="1"/>
  <c r="AM680" i="16"/>
  <c r="AN680" i="16" s="1"/>
  <c r="AO680" i="16" s="1"/>
  <c r="AP680" i="16" s="1"/>
  <c r="AR680" i="16" s="1"/>
  <c r="AY680" i="16"/>
  <c r="W10" i="17"/>
  <c r="AA10" i="17" s="1"/>
  <c r="AK10" i="17" s="1"/>
  <c r="AD10" i="17"/>
  <c r="BI629" i="16"/>
  <c r="BG629" i="16"/>
  <c r="BL629" i="16"/>
  <c r="BM629" i="16" s="1"/>
  <c r="N14" i="17" l="1"/>
  <c r="M15" i="17" s="1"/>
  <c r="AB681" i="16"/>
  <c r="AF681" i="16" s="1"/>
  <c r="AG681" i="16" s="1"/>
  <c r="AH681" i="16" s="1"/>
  <c r="AS681" i="16" s="1"/>
  <c r="BD8" i="17"/>
  <c r="BE8" i="17" s="1"/>
  <c r="BF8" i="17" s="1"/>
  <c r="BI8" i="17" s="1"/>
  <c r="Y10" i="17"/>
  <c r="AB10" i="17" s="1"/>
  <c r="P13" i="17"/>
  <c r="BO7" i="17"/>
  <c r="BP7" i="17" s="1"/>
  <c r="BN7" i="17"/>
  <c r="U682" i="16"/>
  <c r="AC682" i="16" s="1"/>
  <c r="AQ680" i="16"/>
  <c r="AE10" i="17"/>
  <c r="O14" i="17"/>
  <c r="AO9" i="17"/>
  <c r="BC630" i="16"/>
  <c r="BH630" i="16" s="1"/>
  <c r="BN629" i="16"/>
  <c r="BO629" i="16"/>
  <c r="BP629" i="16" s="1"/>
  <c r="BJ8" i="17" l="1"/>
  <c r="BK8" i="17"/>
  <c r="BL8" i="17" s="1"/>
  <c r="BM8" i="17" s="1"/>
  <c r="Z10" i="17"/>
  <c r="U11" i="17" s="1"/>
  <c r="AC11" i="17" s="1"/>
  <c r="AD11" i="17" s="1"/>
  <c r="AE11" i="17" s="1"/>
  <c r="BG8" i="17"/>
  <c r="BC9" i="17" s="1"/>
  <c r="BH9" i="17" s="1"/>
  <c r="AL681" i="16"/>
  <c r="AY681" i="16" s="1"/>
  <c r="AL16" i="15"/>
  <c r="BQ7" i="17"/>
  <c r="Q13" i="17"/>
  <c r="S13" i="17" s="1"/>
  <c r="AT681" i="16"/>
  <c r="AW681" i="16" s="1"/>
  <c r="AX681" i="16" s="1"/>
  <c r="AZ681" i="16" s="1"/>
  <c r="AU681" i="16"/>
  <c r="AV681" i="16" s="1"/>
  <c r="BO8" i="17"/>
  <c r="BP8" i="17" s="1"/>
  <c r="E15" i="17"/>
  <c r="L15" i="17" s="1"/>
  <c r="N15" i="17" s="1"/>
  <c r="O15" i="17" s="1"/>
  <c r="AM681" i="16"/>
  <c r="AD682" i="16"/>
  <c r="W682" i="16"/>
  <c r="AP9" i="17"/>
  <c r="AQ9" i="17" s="1"/>
  <c r="AF10" i="17"/>
  <c r="AG10" i="17" s="1"/>
  <c r="AJ652" i="15"/>
  <c r="BQ629" i="16"/>
  <c r="BD630" i="16"/>
  <c r="E628" i="14"/>
  <c r="F628" i="14" s="1"/>
  <c r="H628" i="14" s="1"/>
  <c r="AD647" i="15"/>
  <c r="AF244" i="15"/>
  <c r="W11" i="17" l="1"/>
  <c r="AA11" i="17" s="1"/>
  <c r="AK11" i="17" s="1"/>
  <c r="BN8" i="17"/>
  <c r="BQ8" i="17" s="1"/>
  <c r="AH10" i="17"/>
  <c r="AS10" i="17" s="1"/>
  <c r="P14" i="17"/>
  <c r="AL10" i="17"/>
  <c r="AY10" i="17" s="1"/>
  <c r="M16" i="17"/>
  <c r="E16" i="17" s="1"/>
  <c r="L16" i="17" s="1"/>
  <c r="BD9" i="17"/>
  <c r="BE9" i="17" s="1"/>
  <c r="BF9" i="17" s="1"/>
  <c r="BG9" i="17" s="1"/>
  <c r="AN681" i="16"/>
  <c r="AO681" i="16" s="1"/>
  <c r="AA682" i="16"/>
  <c r="AK682" i="16" s="1"/>
  <c r="Y682" i="16"/>
  <c r="AB682" i="16" s="1"/>
  <c r="AE682" i="16"/>
  <c r="AR9" i="17"/>
  <c r="BJ630" i="16"/>
  <c r="BK630" i="16"/>
  <c r="BE630" i="16"/>
  <c r="BF630" i="16" s="1"/>
  <c r="Y11" i="17" l="1"/>
  <c r="AB11" i="17" s="1"/>
  <c r="AF11" i="17" s="1"/>
  <c r="AG11" i="17" s="1"/>
  <c r="AH11" i="17" s="1"/>
  <c r="AS11" i="17" s="1"/>
  <c r="AT11" i="17" s="1"/>
  <c r="AU10" i="17"/>
  <c r="AV10" i="17" s="1"/>
  <c r="AT10" i="17"/>
  <c r="AW10" i="17" s="1"/>
  <c r="AM10" i="17"/>
  <c r="Q14" i="17"/>
  <c r="S14" i="17" s="1"/>
  <c r="BJ9" i="17"/>
  <c r="BI9" i="17"/>
  <c r="BO9" i="17" s="1"/>
  <c r="BP9" i="17" s="1"/>
  <c r="BK9" i="17"/>
  <c r="BL9" i="17" s="1"/>
  <c r="BM9" i="17" s="1"/>
  <c r="AP681" i="16"/>
  <c r="AR681" i="16" s="1"/>
  <c r="AF682" i="16"/>
  <c r="AG682" i="16" s="1"/>
  <c r="AH682" i="16" s="1"/>
  <c r="AS682" i="16" s="1"/>
  <c r="Z682" i="16"/>
  <c r="N16" i="17"/>
  <c r="BL630" i="16"/>
  <c r="BM630" i="16" s="1"/>
  <c r="BI630" i="16"/>
  <c r="BG630" i="16"/>
  <c r="AL130" i="15"/>
  <c r="AL11" i="17" l="1"/>
  <c r="AY11" i="17" s="1"/>
  <c r="AU11" i="17"/>
  <c r="AV11" i="17" s="1"/>
  <c r="Z11" i="17"/>
  <c r="U12" i="17" s="1"/>
  <c r="AC12" i="17" s="1"/>
  <c r="AD12" i="17" s="1"/>
  <c r="AE12" i="17" s="1"/>
  <c r="P15" i="17"/>
  <c r="Q15" i="17" s="1"/>
  <c r="S15" i="17" s="1"/>
  <c r="AT682" i="16"/>
  <c r="AW682" i="16" s="1"/>
  <c r="AX682" i="16" s="1"/>
  <c r="AZ682" i="16" s="1"/>
  <c r="AU682" i="16"/>
  <c r="AV682" i="16" s="1"/>
  <c r="AX10" i="17"/>
  <c r="AZ10" i="17" s="1"/>
  <c r="BC10" i="17" s="1"/>
  <c r="BH10" i="17" s="1"/>
  <c r="AL682" i="16"/>
  <c r="AM682" i="16" s="1"/>
  <c r="AN10" i="17"/>
  <c r="AO10" i="17" s="1"/>
  <c r="BN9" i="17"/>
  <c r="BQ9" i="17" s="1"/>
  <c r="U683" i="16"/>
  <c r="AC683" i="16" s="1"/>
  <c r="AQ681" i="16"/>
  <c r="O16" i="17"/>
  <c r="M17" i="17"/>
  <c r="BC631" i="16"/>
  <c r="BH631" i="16" s="1"/>
  <c r="BO630" i="16"/>
  <c r="BP630" i="16" s="1"/>
  <c r="BN630" i="16"/>
  <c r="AF243" i="15"/>
  <c r="W12" i="17" l="1"/>
  <c r="Y12" i="17" s="1"/>
  <c r="AB12" i="17" s="1"/>
  <c r="AF12" i="17" s="1"/>
  <c r="AG12" i="17" s="1"/>
  <c r="AL12" i="17" s="1"/>
  <c r="AY12" i="17" s="1"/>
  <c r="AM11" i="17"/>
  <c r="AN11" i="17" s="1"/>
  <c r="BD10" i="17"/>
  <c r="BK10" i="17" s="1"/>
  <c r="BL10" i="17" s="1"/>
  <c r="P16" i="17"/>
  <c r="Q16" i="17" s="1"/>
  <c r="S16" i="17" s="1"/>
  <c r="AW11" i="17"/>
  <c r="AX11" i="17" s="1"/>
  <c r="AZ11" i="17" s="1"/>
  <c r="AY682" i="16"/>
  <c r="AP10" i="17"/>
  <c r="AQ10" i="17" s="1"/>
  <c r="AD683" i="16"/>
  <c r="AN682" i="16"/>
  <c r="AO682" i="16" s="1"/>
  <c r="W683" i="16"/>
  <c r="AA683" i="16" s="1"/>
  <c r="AK683" i="16" s="1"/>
  <c r="E17" i="17"/>
  <c r="L17" i="17" s="1"/>
  <c r="BD631" i="16"/>
  <c r="BE631" i="16" s="1"/>
  <c r="AD652" i="15"/>
  <c r="E629" i="14"/>
  <c r="F629" i="14" s="1"/>
  <c r="H629" i="14" s="1"/>
  <c r="AJ653" i="15"/>
  <c r="BQ630" i="16"/>
  <c r="AA12" i="17" l="1"/>
  <c r="AK12" i="17" s="1"/>
  <c r="Z12" i="17"/>
  <c r="U13" i="17" s="1"/>
  <c r="AC13" i="17" s="1"/>
  <c r="BE10" i="17"/>
  <c r="BF10" i="17" s="1"/>
  <c r="BG10" i="17" s="1"/>
  <c r="AO11" i="17"/>
  <c r="AP11" i="17" s="1"/>
  <c r="AR11" i="17" s="1"/>
  <c r="BJ10" i="17"/>
  <c r="P17" i="17"/>
  <c r="Q17" i="17" s="1"/>
  <c r="S17" i="17" s="1"/>
  <c r="AR10" i="17"/>
  <c r="BM10" i="17"/>
  <c r="AH12" i="17"/>
  <c r="AS12" i="17" s="1"/>
  <c r="Y683" i="16"/>
  <c r="AB683" i="16" s="1"/>
  <c r="BF631" i="16"/>
  <c r="BG631" i="16" s="1"/>
  <c r="AE683" i="16"/>
  <c r="AP682" i="16"/>
  <c r="AR682" i="16" s="1"/>
  <c r="AM12" i="17"/>
  <c r="N17" i="17"/>
  <c r="BJ631" i="16"/>
  <c r="BK631" i="16"/>
  <c r="AL34" i="15"/>
  <c r="BI10" i="17" l="1"/>
  <c r="BO10" i="17" s="1"/>
  <c r="BP10" i="17" s="1"/>
  <c r="AQ11" i="17"/>
  <c r="Z683" i="16"/>
  <c r="U684" i="16" s="1"/>
  <c r="AC684" i="16" s="1"/>
  <c r="AT12" i="17"/>
  <c r="AW12" i="17" s="1"/>
  <c r="AX12" i="17" s="1"/>
  <c r="AZ12" i="17" s="1"/>
  <c r="AU12" i="17"/>
  <c r="AV12" i="17" s="1"/>
  <c r="BI631" i="16"/>
  <c r="BO631" i="16" s="1"/>
  <c r="BP631" i="16" s="1"/>
  <c r="W13" i="17"/>
  <c r="AA13" i="17" s="1"/>
  <c r="AK13" i="17" s="1"/>
  <c r="BC11" i="17"/>
  <c r="BH11" i="17" s="1"/>
  <c r="AQ682" i="16"/>
  <c r="AF683" i="16"/>
  <c r="AG683" i="16" s="1"/>
  <c r="AH683" i="16" s="1"/>
  <c r="AS683" i="16" s="1"/>
  <c r="M18" i="17"/>
  <c r="O17" i="17"/>
  <c r="AD13" i="17"/>
  <c r="AN12" i="17"/>
  <c r="AO12" i="17" s="1"/>
  <c r="BL631" i="16"/>
  <c r="BM631" i="16" s="1"/>
  <c r="BC632" i="16"/>
  <c r="AF242" i="15"/>
  <c r="BN10" i="17" l="1"/>
  <c r="BQ10" i="17" s="1"/>
  <c r="AT683" i="16"/>
  <c r="AW683" i="16" s="1"/>
  <c r="AX683" i="16" s="1"/>
  <c r="AZ683" i="16" s="1"/>
  <c r="AU683" i="16"/>
  <c r="AV683" i="16" s="1"/>
  <c r="AL683" i="16"/>
  <c r="AY683" i="16" s="1"/>
  <c r="Y13" i="17"/>
  <c r="AB13" i="17" s="1"/>
  <c r="BD11" i="17"/>
  <c r="BE11" i="17" s="1"/>
  <c r="BN631" i="16"/>
  <c r="BQ631" i="16" s="1"/>
  <c r="AD684" i="16"/>
  <c r="W684" i="16"/>
  <c r="AP12" i="17"/>
  <c r="AE13" i="17"/>
  <c r="E18" i="17"/>
  <c r="L18" i="17" s="1"/>
  <c r="P18" i="17"/>
  <c r="Q18" i="17" s="1"/>
  <c r="BH632" i="16"/>
  <c r="AJ654" i="15"/>
  <c r="BD632" i="16"/>
  <c r="AM683" i="16" l="1"/>
  <c r="AN683" i="16" s="1"/>
  <c r="AO683" i="16" s="1"/>
  <c r="AP683" i="16" s="1"/>
  <c r="AR683" i="16" s="1"/>
  <c r="AF13" i="17"/>
  <c r="AG13" i="17" s="1"/>
  <c r="AH13" i="17" s="1"/>
  <c r="AS13" i="17" s="1"/>
  <c r="Z13" i="17"/>
  <c r="U14" i="17" s="1"/>
  <c r="AC14" i="17" s="1"/>
  <c r="AD654" i="15"/>
  <c r="BK11" i="17"/>
  <c r="BL11" i="17" s="1"/>
  <c r="BM11" i="17" s="1"/>
  <c r="BJ11" i="17"/>
  <c r="BF11" i="17"/>
  <c r="E630" i="14"/>
  <c r="F630" i="14" s="1"/>
  <c r="H630" i="14" s="1"/>
  <c r="AA684" i="16"/>
  <c r="AK684" i="16" s="1"/>
  <c r="Y684" i="16"/>
  <c r="AB684" i="16" s="1"/>
  <c r="AE684" i="16"/>
  <c r="S18" i="17"/>
  <c r="N18" i="17"/>
  <c r="AR12" i="17"/>
  <c r="AQ12" i="17"/>
  <c r="BJ632" i="16"/>
  <c r="BK632" i="16"/>
  <c r="BE632" i="16"/>
  <c r="BF632" i="16" s="1"/>
  <c r="AT13" i="17" l="1"/>
  <c r="AW13" i="17" s="1"/>
  <c r="AX13" i="17" s="1"/>
  <c r="AZ13" i="17" s="1"/>
  <c r="AU13" i="17"/>
  <c r="AL13" i="17"/>
  <c r="BG11" i="17"/>
  <c r="BI11" i="17"/>
  <c r="Z684" i="16"/>
  <c r="U685" i="16" s="1"/>
  <c r="AC685" i="16" s="1"/>
  <c r="AQ683" i="16"/>
  <c r="AF684" i="16"/>
  <c r="AG684" i="16" s="1"/>
  <c r="AH684" i="16" s="1"/>
  <c r="AS684" i="16" s="1"/>
  <c r="O18" i="17"/>
  <c r="M19" i="17"/>
  <c r="E19" i="17" s="1"/>
  <c r="L19" i="17" s="1"/>
  <c r="AD14" i="17"/>
  <c r="W14" i="17"/>
  <c r="AA14" i="17" s="1"/>
  <c r="AK14" i="17" s="1"/>
  <c r="BI632" i="16"/>
  <c r="BG632" i="16"/>
  <c r="BL632" i="16"/>
  <c r="BM632" i="16" s="1"/>
  <c r="AL684" i="16" l="1"/>
  <c r="AM684" i="16" s="1"/>
  <c r="AY13" i="17"/>
  <c r="AM13" i="17"/>
  <c r="AN13" i="17" s="1"/>
  <c r="AO13" i="17" s="1"/>
  <c r="AP13" i="17" s="1"/>
  <c r="AV13" i="17"/>
  <c r="AT684" i="16"/>
  <c r="AW684" i="16" s="1"/>
  <c r="AX684" i="16" s="1"/>
  <c r="AZ684" i="16" s="1"/>
  <c r="AU684" i="16"/>
  <c r="AV684" i="16" s="1"/>
  <c r="BO11" i="17"/>
  <c r="BP11" i="17" s="1"/>
  <c r="BN11" i="17"/>
  <c r="BC12" i="17"/>
  <c r="AD685" i="16"/>
  <c r="AY684" i="16"/>
  <c r="W685" i="16"/>
  <c r="Y14" i="17"/>
  <c r="AB14" i="17" s="1"/>
  <c r="N19" i="17"/>
  <c r="AE14" i="17"/>
  <c r="P19" i="17"/>
  <c r="BC633" i="16"/>
  <c r="BH633" i="16" s="1"/>
  <c r="BO632" i="16"/>
  <c r="BP632" i="16" s="1"/>
  <c r="BN632" i="16"/>
  <c r="BQ11" i="17" l="1"/>
  <c r="BD12" i="17"/>
  <c r="BE12" i="17" s="1"/>
  <c r="BF12" i="17" s="1"/>
  <c r="BH12" i="17"/>
  <c r="Z14" i="17"/>
  <c r="U15" i="17" s="1"/>
  <c r="AC15" i="17" s="1"/>
  <c r="AQ13" i="17"/>
  <c r="BD633" i="16"/>
  <c r="BJ633" i="16" s="1"/>
  <c r="AN684" i="16"/>
  <c r="AO684" i="16" s="1"/>
  <c r="AP684" i="16" s="1"/>
  <c r="AQ684" i="16" s="1"/>
  <c r="AA685" i="16"/>
  <c r="AK685" i="16" s="1"/>
  <c r="Y685" i="16"/>
  <c r="AB685" i="16" s="1"/>
  <c r="AE685" i="16"/>
  <c r="Q19" i="17"/>
  <c r="S19" i="17" s="1"/>
  <c r="M20" i="17"/>
  <c r="O19" i="17"/>
  <c r="AF14" i="17"/>
  <c r="AG14" i="17" s="1"/>
  <c r="AL14" i="17" s="1"/>
  <c r="AY14" i="17" s="1"/>
  <c r="AR13" i="17"/>
  <c r="E631" i="14"/>
  <c r="F631" i="14" s="1"/>
  <c r="H631" i="14" s="1"/>
  <c r="AD656" i="15"/>
  <c r="AJ655" i="15"/>
  <c r="BQ632" i="16"/>
  <c r="AF241" i="15"/>
  <c r="AH14" i="17" l="1"/>
  <c r="AS14" i="17" s="1"/>
  <c r="BG12" i="17"/>
  <c r="BI12" i="17"/>
  <c r="BK12" i="17"/>
  <c r="BJ12" i="17"/>
  <c r="BK633" i="16"/>
  <c r="BL633" i="16" s="1"/>
  <c r="BM633" i="16" s="1"/>
  <c r="BE633" i="16"/>
  <c r="BF633" i="16" s="1"/>
  <c r="BG633" i="16" s="1"/>
  <c r="AF685" i="16"/>
  <c r="AG685" i="16" s="1"/>
  <c r="AH685" i="16" s="1"/>
  <c r="AS685" i="16" s="1"/>
  <c r="AR684" i="16"/>
  <c r="Z685" i="16"/>
  <c r="AM14" i="17"/>
  <c r="W15" i="17"/>
  <c r="AA15" i="17" s="1"/>
  <c r="AK15" i="17" s="1"/>
  <c r="AD15" i="17"/>
  <c r="E20" i="17"/>
  <c r="L20" i="17" s="1"/>
  <c r="P20" i="17"/>
  <c r="AL131" i="15"/>
  <c r="AT14" i="17" l="1"/>
  <c r="AW14" i="17" s="1"/>
  <c r="AX14" i="17" s="1"/>
  <c r="AZ14" i="17" s="1"/>
  <c r="AU14" i="17"/>
  <c r="AV14" i="17" s="1"/>
  <c r="AT685" i="16"/>
  <c r="AW685" i="16" s="1"/>
  <c r="AX685" i="16" s="1"/>
  <c r="AZ685" i="16" s="1"/>
  <c r="AU685" i="16"/>
  <c r="AV685" i="16" s="1"/>
  <c r="AL685" i="16"/>
  <c r="AM685" i="16" s="1"/>
  <c r="BI633" i="16"/>
  <c r="BN633" i="16" s="1"/>
  <c r="BL12" i="17"/>
  <c r="BM12" i="17" s="1"/>
  <c r="BO12" i="17"/>
  <c r="BP12" i="17" s="1"/>
  <c r="BC13" i="17"/>
  <c r="BH13" i="17" s="1"/>
  <c r="U686" i="16"/>
  <c r="AC686" i="16" s="1"/>
  <c r="AN14" i="17"/>
  <c r="N20" i="17"/>
  <c r="Y15" i="17"/>
  <c r="Q20" i="17"/>
  <c r="S20" i="17" s="1"/>
  <c r="AE15" i="17"/>
  <c r="BC634" i="16"/>
  <c r="BH634" i="16" s="1"/>
  <c r="AY685" i="16" l="1"/>
  <c r="BO633" i="16"/>
  <c r="BP633" i="16" s="1"/>
  <c r="BQ633" i="16" s="1"/>
  <c r="BN12" i="17"/>
  <c r="BQ12" i="17" s="1"/>
  <c r="BD13" i="17"/>
  <c r="BD634" i="16"/>
  <c r="BE634" i="16" s="1"/>
  <c r="BF634" i="16" s="1"/>
  <c r="AD686" i="16"/>
  <c r="AN685" i="16"/>
  <c r="AO685" i="16" s="1"/>
  <c r="W686" i="16"/>
  <c r="AA686" i="16" s="1"/>
  <c r="AK686" i="16" s="1"/>
  <c r="AB15" i="17"/>
  <c r="Z15" i="17"/>
  <c r="AO14" i="17"/>
  <c r="M21" i="17"/>
  <c r="E21" i="17" s="1"/>
  <c r="L21" i="17" s="1"/>
  <c r="O20" i="17"/>
  <c r="E632" i="14"/>
  <c r="F632" i="14" s="1"/>
  <c r="H632" i="14" s="1"/>
  <c r="AD658" i="15"/>
  <c r="AL60" i="15"/>
  <c r="AF240" i="15"/>
  <c r="AJ656" i="15" l="1"/>
  <c r="BK634" i="16"/>
  <c r="BL634" i="16" s="1"/>
  <c r="BM634" i="16" s="1"/>
  <c r="BJ634" i="16"/>
  <c r="BJ13" i="17"/>
  <c r="BK13" i="17"/>
  <c r="BL13" i="17" s="1"/>
  <c r="BM13" i="17" s="1"/>
  <c r="BE13" i="17"/>
  <c r="BF13" i="17" s="1"/>
  <c r="Y686" i="16"/>
  <c r="AB686" i="16" s="1"/>
  <c r="AE686" i="16"/>
  <c r="AP685" i="16"/>
  <c r="AR685" i="16" s="1"/>
  <c r="U16" i="17"/>
  <c r="AC16" i="17" s="1"/>
  <c r="AF15" i="17"/>
  <c r="AG15" i="17" s="1"/>
  <c r="AL15" i="17" s="1"/>
  <c r="AY15" i="17" s="1"/>
  <c r="N21" i="17"/>
  <c r="P21" i="17"/>
  <c r="AP14" i="17"/>
  <c r="AQ14" i="17" s="1"/>
  <c r="BI634" i="16"/>
  <c r="BG634" i="16"/>
  <c r="AH15" i="17" l="1"/>
  <c r="AS15" i="17" s="1"/>
  <c r="AF686" i="16"/>
  <c r="AG686" i="16" s="1"/>
  <c r="AH686" i="16" s="1"/>
  <c r="AS686" i="16" s="1"/>
  <c r="BG13" i="17"/>
  <c r="BI13" i="17"/>
  <c r="Z686" i="16"/>
  <c r="U687" i="16" s="1"/>
  <c r="AC687" i="16" s="1"/>
  <c r="AQ685" i="16"/>
  <c r="Q21" i="17"/>
  <c r="S21" i="17" s="1"/>
  <c r="AM15" i="17"/>
  <c r="AD16" i="17"/>
  <c r="AR14" i="17"/>
  <c r="M22" i="17"/>
  <c r="O21" i="17"/>
  <c r="W16" i="17"/>
  <c r="BC635" i="16"/>
  <c r="BH635" i="16" s="1"/>
  <c r="BO634" i="16"/>
  <c r="BP634" i="16" s="1"/>
  <c r="BN634" i="16"/>
  <c r="AU686" i="16" l="1"/>
  <c r="AV686" i="16" s="1"/>
  <c r="AT686" i="16"/>
  <c r="AW686" i="16" s="1"/>
  <c r="AX686" i="16" s="1"/>
  <c r="AZ686" i="16" s="1"/>
  <c r="AL686" i="16"/>
  <c r="AT15" i="17"/>
  <c r="AW15" i="17" s="1"/>
  <c r="AX15" i="17" s="1"/>
  <c r="AZ15" i="17" s="1"/>
  <c r="AU15" i="17"/>
  <c r="AV15" i="17" s="1"/>
  <c r="P22" i="17"/>
  <c r="Q22" i="17" s="1"/>
  <c r="S22" i="17" s="1"/>
  <c r="BO13" i="17"/>
  <c r="BP13" i="17" s="1"/>
  <c r="BN13" i="17"/>
  <c r="BC14" i="17"/>
  <c r="BH14" i="17" s="1"/>
  <c r="AD687" i="16"/>
  <c r="W687" i="16"/>
  <c r="AA687" i="16" s="1"/>
  <c r="AK687" i="16" s="1"/>
  <c r="BD635" i="16"/>
  <c r="BJ635" i="16" s="1"/>
  <c r="AA16" i="17"/>
  <c r="AK16" i="17" s="1"/>
  <c r="Y16" i="17"/>
  <c r="AB16" i="17" s="1"/>
  <c r="AN15" i="17"/>
  <c r="AE16" i="17"/>
  <c r="E22" i="17"/>
  <c r="L22" i="17" s="1"/>
  <c r="AD663" i="15"/>
  <c r="E633" i="14"/>
  <c r="F633" i="14" s="1"/>
  <c r="H633" i="14" s="1"/>
  <c r="AJ657" i="15"/>
  <c r="BQ634" i="16"/>
  <c r="AL32" i="15"/>
  <c r="BQ13" i="17" l="1"/>
  <c r="AY686" i="16"/>
  <c r="AM686" i="16"/>
  <c r="AN686" i="16" s="1"/>
  <c r="BD14" i="17"/>
  <c r="BE14" i="17" s="1"/>
  <c r="BF14" i="17" s="1"/>
  <c r="BK635" i="16"/>
  <c r="BL635" i="16" s="1"/>
  <c r="BM635" i="16" s="1"/>
  <c r="BE635" i="16"/>
  <c r="BF635" i="16" s="1"/>
  <c r="BI635" i="16" s="1"/>
  <c r="Y687" i="16"/>
  <c r="AE687" i="16"/>
  <c r="AF16" i="17"/>
  <c r="AG16" i="17" s="1"/>
  <c r="N22" i="17"/>
  <c r="Z16" i="17"/>
  <c r="AO15" i="17"/>
  <c r="AF236" i="15"/>
  <c r="AO686" i="16" l="1"/>
  <c r="AP686" i="16" s="1"/>
  <c r="AQ686" i="16" s="1"/>
  <c r="AH16" i="17"/>
  <c r="AS16" i="17" s="1"/>
  <c r="AL16" i="17"/>
  <c r="AY16" i="17" s="1"/>
  <c r="BG14" i="17"/>
  <c r="BI14" i="17"/>
  <c r="BK14" i="17"/>
  <c r="BL14" i="17" s="1"/>
  <c r="BM14" i="17" s="1"/>
  <c r="BJ14" i="17"/>
  <c r="BG635" i="16"/>
  <c r="BC636" i="16" s="1"/>
  <c r="BH636" i="16" s="1"/>
  <c r="AB687" i="16"/>
  <c r="Z687" i="16"/>
  <c r="U17" i="17"/>
  <c r="AC17" i="17" s="1"/>
  <c r="M23" i="17"/>
  <c r="E23" i="17" s="1"/>
  <c r="L23" i="17" s="1"/>
  <c r="O22" i="17"/>
  <c r="AP15" i="17"/>
  <c r="BN635" i="16"/>
  <c r="BO635" i="16"/>
  <c r="BP635" i="16" s="1"/>
  <c r="AR686" i="16" l="1"/>
  <c r="AM16" i="17"/>
  <c r="AN16" i="17" s="1"/>
  <c r="AT16" i="17"/>
  <c r="AW16" i="17" s="1"/>
  <c r="AX16" i="17" s="1"/>
  <c r="AZ16" i="17" s="1"/>
  <c r="AU16" i="17"/>
  <c r="AV16" i="17" s="1"/>
  <c r="W17" i="17"/>
  <c r="AA17" i="17" s="1"/>
  <c r="AK17" i="17" s="1"/>
  <c r="BO14" i="17"/>
  <c r="BP14" i="17" s="1"/>
  <c r="BN14" i="17"/>
  <c r="BC15" i="17"/>
  <c r="BH15" i="17" s="1"/>
  <c r="AF687" i="16"/>
  <c r="BD636" i="16"/>
  <c r="BK636" i="16" s="1"/>
  <c r="U688" i="16"/>
  <c r="AC688" i="16" s="1"/>
  <c r="N23" i="17"/>
  <c r="AR15" i="17"/>
  <c r="AD17" i="17"/>
  <c r="AQ15" i="17"/>
  <c r="P23" i="17"/>
  <c r="E634" i="14"/>
  <c r="F634" i="14" s="1"/>
  <c r="H634" i="14" s="1"/>
  <c r="AD664" i="15"/>
  <c r="AJ658" i="15"/>
  <c r="BQ635" i="16"/>
  <c r="Y17" i="17" l="1"/>
  <c r="AB17" i="17" s="1"/>
  <c r="AG687" i="16"/>
  <c r="AL687" i="16" s="1"/>
  <c r="AY687" i="16" s="1"/>
  <c r="BE636" i="16"/>
  <c r="BF636" i="16" s="1"/>
  <c r="BI636" i="16" s="1"/>
  <c r="BQ14" i="17"/>
  <c r="BJ636" i="16"/>
  <c r="BD15" i="17"/>
  <c r="W688" i="16"/>
  <c r="AA688" i="16" s="1"/>
  <c r="AK688" i="16" s="1"/>
  <c r="AD688" i="16"/>
  <c r="AE17" i="17"/>
  <c r="Q23" i="17"/>
  <c r="S23" i="17" s="1"/>
  <c r="AO16" i="17"/>
  <c r="O23" i="17"/>
  <c r="M24" i="17"/>
  <c r="BL636" i="16"/>
  <c r="BM636" i="16" s="1"/>
  <c r="AL132" i="15"/>
  <c r="AF237" i="15"/>
  <c r="AM687" i="16" l="1"/>
  <c r="P24" i="17"/>
  <c r="Q24" i="17" s="1"/>
  <c r="S24" i="17" s="1"/>
  <c r="AF17" i="17"/>
  <c r="AG17" i="17" s="1"/>
  <c r="AL17" i="17" s="1"/>
  <c r="AY17" i="17" s="1"/>
  <c r="Z17" i="17"/>
  <c r="U18" i="17" s="1"/>
  <c r="AC18" i="17" s="1"/>
  <c r="AD18" i="17" s="1"/>
  <c r="AH687" i="16"/>
  <c r="AS687" i="16" s="1"/>
  <c r="BG636" i="16"/>
  <c r="BC637" i="16" s="1"/>
  <c r="BH637" i="16" s="1"/>
  <c r="BK15" i="17"/>
  <c r="BL15" i="17" s="1"/>
  <c r="BM15" i="17" s="1"/>
  <c r="BJ15" i="17"/>
  <c r="BE15" i="17"/>
  <c r="BF15" i="17" s="1"/>
  <c r="Y688" i="16"/>
  <c r="AB688" i="16" s="1"/>
  <c r="AN687" i="16"/>
  <c r="AO687" i="16" s="1"/>
  <c r="AE688" i="16"/>
  <c r="AP16" i="17"/>
  <c r="AQ16" i="17" s="1"/>
  <c r="E24" i="17"/>
  <c r="L24" i="17" s="1"/>
  <c r="BN636" i="16"/>
  <c r="BO636" i="16"/>
  <c r="BP636" i="16" s="1"/>
  <c r="W18" i="17" l="1"/>
  <c r="AA18" i="17" s="1"/>
  <c r="AK18" i="17" s="1"/>
  <c r="AH17" i="17"/>
  <c r="AS17" i="17" s="1"/>
  <c r="AT17" i="17" s="1"/>
  <c r="AW17" i="17" s="1"/>
  <c r="AX17" i="17" s="1"/>
  <c r="AZ17" i="17" s="1"/>
  <c r="AM17" i="17"/>
  <c r="AN17" i="17" s="1"/>
  <c r="AU687" i="16"/>
  <c r="AV687" i="16" s="1"/>
  <c r="AT687" i="16"/>
  <c r="AW687" i="16" s="1"/>
  <c r="BG15" i="17"/>
  <c r="BI15" i="17"/>
  <c r="Z688" i="16"/>
  <c r="U689" i="16" s="1"/>
  <c r="AC689" i="16" s="1"/>
  <c r="AD689" i="16" s="1"/>
  <c r="AE689" i="16" s="1"/>
  <c r="AF688" i="16"/>
  <c r="AG688" i="16" s="1"/>
  <c r="AH688" i="16" s="1"/>
  <c r="AS688" i="16" s="1"/>
  <c r="AT688" i="16" s="1"/>
  <c r="AP687" i="16"/>
  <c r="AR687" i="16" s="1"/>
  <c r="AE18" i="17"/>
  <c r="N24" i="17"/>
  <c r="AR16" i="17"/>
  <c r="AJ659" i="15"/>
  <c r="BQ636" i="16"/>
  <c r="E635" i="14"/>
  <c r="F635" i="14" s="1"/>
  <c r="H635" i="14" s="1"/>
  <c r="AD666" i="15"/>
  <c r="BD637" i="16"/>
  <c r="Y18" i="17" l="1"/>
  <c r="AB18" i="17" s="1"/>
  <c r="AF18" i="17" s="1"/>
  <c r="AG18" i="17" s="1"/>
  <c r="AL18" i="17" s="1"/>
  <c r="AY18" i="17" s="1"/>
  <c r="AU17" i="17"/>
  <c r="AV17" i="17" s="1"/>
  <c r="AU688" i="16"/>
  <c r="AV688" i="16" s="1"/>
  <c r="AL688" i="16"/>
  <c r="AX687" i="16"/>
  <c r="AZ687" i="16" s="1"/>
  <c r="BO15" i="17"/>
  <c r="BP15" i="17" s="1"/>
  <c r="BN15" i="17"/>
  <c r="BC16" i="17"/>
  <c r="W689" i="16"/>
  <c r="AA689" i="16" s="1"/>
  <c r="AK689" i="16" s="1"/>
  <c r="AQ687" i="16"/>
  <c r="O24" i="17"/>
  <c r="M25" i="17"/>
  <c r="E25" i="17" s="1"/>
  <c r="L25" i="17" s="1"/>
  <c r="AO17" i="17"/>
  <c r="BJ637" i="16"/>
  <c r="BK637" i="16"/>
  <c r="BE637" i="16"/>
  <c r="BF637" i="16" s="1"/>
  <c r="Z18" i="17" l="1"/>
  <c r="U19" i="17" s="1"/>
  <c r="AC19" i="17" s="1"/>
  <c r="AD19" i="17" s="1"/>
  <c r="AE19" i="17" s="1"/>
  <c r="AM18" i="17"/>
  <c r="AN18" i="17" s="1"/>
  <c r="AH18" i="17"/>
  <c r="AS18" i="17" s="1"/>
  <c r="AW688" i="16"/>
  <c r="AX688" i="16" s="1"/>
  <c r="AZ688" i="16" s="1"/>
  <c r="AY688" i="16"/>
  <c r="AM688" i="16"/>
  <c r="AN688" i="16" s="1"/>
  <c r="AO688" i="16" s="1"/>
  <c r="AP688" i="16" s="1"/>
  <c r="AQ688" i="16" s="1"/>
  <c r="BQ15" i="17"/>
  <c r="BD16" i="17"/>
  <c r="BH16" i="17"/>
  <c r="N25" i="17"/>
  <c r="M26" i="17" s="1"/>
  <c r="E26" i="17" s="1"/>
  <c r="L26" i="17" s="1"/>
  <c r="Y689" i="16"/>
  <c r="AB689" i="16" s="1"/>
  <c r="AF689" i="16" s="1"/>
  <c r="AP17" i="17"/>
  <c r="AQ17" i="17" s="1"/>
  <c r="P25" i="17"/>
  <c r="BI637" i="16"/>
  <c r="BG637" i="16"/>
  <c r="BL637" i="16"/>
  <c r="BM637" i="16" s="1"/>
  <c r="AL133" i="15"/>
  <c r="AF238" i="15"/>
  <c r="W19" i="17" l="1"/>
  <c r="AA19" i="17" s="1"/>
  <c r="AK19" i="17" s="1"/>
  <c r="AO18" i="17"/>
  <c r="AP18" i="17" s="1"/>
  <c r="AQ18" i="17" s="1"/>
  <c r="O25" i="17"/>
  <c r="N26" i="17" s="1"/>
  <c r="AT18" i="17"/>
  <c r="AW18" i="17" s="1"/>
  <c r="AU18" i="17"/>
  <c r="AV18" i="17" s="1"/>
  <c r="AG689" i="16"/>
  <c r="AL689" i="16" s="1"/>
  <c r="AY689" i="16" s="1"/>
  <c r="AR688" i="16"/>
  <c r="Z689" i="16"/>
  <c r="U690" i="16" s="1"/>
  <c r="AC690" i="16" s="1"/>
  <c r="BK16" i="17"/>
  <c r="BJ16" i="17"/>
  <c r="BE16" i="17"/>
  <c r="BF16" i="17" s="1"/>
  <c r="Q25" i="17"/>
  <c r="S25" i="17" s="1"/>
  <c r="AR17" i="17"/>
  <c r="BC638" i="16"/>
  <c r="BH638" i="16" s="1"/>
  <c r="BO637" i="16"/>
  <c r="BP637" i="16" s="1"/>
  <c r="BN637" i="16"/>
  <c r="Y19" i="17" l="1"/>
  <c r="AB19" i="17" s="1"/>
  <c r="AF19" i="17" s="1"/>
  <c r="AG19" i="17" s="1"/>
  <c r="AH19" i="17" s="1"/>
  <c r="AS19" i="17" s="1"/>
  <c r="AT19" i="17" s="1"/>
  <c r="AH689" i="16"/>
  <c r="AS689" i="16" s="1"/>
  <c r="AX18" i="17"/>
  <c r="AZ18" i="17" s="1"/>
  <c r="AM689" i="16"/>
  <c r="AN689" i="16" s="1"/>
  <c r="AO689" i="16" s="1"/>
  <c r="AP689" i="16" s="1"/>
  <c r="AQ689" i="16" s="1"/>
  <c r="BL16" i="17"/>
  <c r="BM16" i="17" s="1"/>
  <c r="BG16" i="17"/>
  <c r="BI16" i="17"/>
  <c r="AD690" i="16"/>
  <c r="W690" i="16"/>
  <c r="AA690" i="16" s="1"/>
  <c r="AK690" i="16" s="1"/>
  <c r="BD638" i="16"/>
  <c r="BJ638" i="16" s="1"/>
  <c r="O26" i="17"/>
  <c r="M27" i="17"/>
  <c r="E27" i="17" s="1"/>
  <c r="L27" i="17" s="1"/>
  <c r="AR18" i="17"/>
  <c r="P26" i="17"/>
  <c r="E636" i="14"/>
  <c r="F636" i="14" s="1"/>
  <c r="H636" i="14" s="1"/>
  <c r="AD668" i="15"/>
  <c r="AJ660" i="15"/>
  <c r="BQ637" i="16"/>
  <c r="AL19" i="17" l="1"/>
  <c r="AM19" i="17" s="1"/>
  <c r="AN19" i="17" s="1"/>
  <c r="AO19" i="17" s="1"/>
  <c r="Z19" i="17"/>
  <c r="U20" i="17" s="1"/>
  <c r="W20" i="17" s="1"/>
  <c r="AA20" i="17" s="1"/>
  <c r="AK20" i="17" s="1"/>
  <c r="AT689" i="16"/>
  <c r="AW689" i="16" s="1"/>
  <c r="AX689" i="16" s="1"/>
  <c r="AZ689" i="16" s="1"/>
  <c r="AU689" i="16"/>
  <c r="AV689" i="16" s="1"/>
  <c r="AW19" i="17"/>
  <c r="AX19" i="17" s="1"/>
  <c r="AZ19" i="17" s="1"/>
  <c r="AU19" i="17"/>
  <c r="AV19" i="17" s="1"/>
  <c r="AY19" i="17"/>
  <c r="BO16" i="17"/>
  <c r="BP16" i="17" s="1"/>
  <c r="BN16" i="17"/>
  <c r="BC17" i="17"/>
  <c r="BH17" i="17" s="1"/>
  <c r="Y690" i="16"/>
  <c r="AB690" i="16" s="1"/>
  <c r="BK638" i="16"/>
  <c r="BL638" i="16" s="1"/>
  <c r="BM638" i="16" s="1"/>
  <c r="AR689" i="16"/>
  <c r="BE638" i="16"/>
  <c r="BF638" i="16" s="1"/>
  <c r="BI638" i="16" s="1"/>
  <c r="AE690" i="16"/>
  <c r="Q26" i="17"/>
  <c r="S26" i="17" s="1"/>
  <c r="N27" i="17"/>
  <c r="AC20" i="17" l="1"/>
  <c r="AD20" i="17" s="1"/>
  <c r="AE20" i="17" s="1"/>
  <c r="Y20" i="17"/>
  <c r="AB20" i="17" s="1"/>
  <c r="AF690" i="16"/>
  <c r="AG690" i="16" s="1"/>
  <c r="AH690" i="16" s="1"/>
  <c r="AS690" i="16" s="1"/>
  <c r="BD17" i="17"/>
  <c r="BK17" i="17" s="1"/>
  <c r="BL17" i="17" s="1"/>
  <c r="BM17" i="17" s="1"/>
  <c r="BQ16" i="17"/>
  <c r="Z690" i="16"/>
  <c r="U691" i="16" s="1"/>
  <c r="AC691" i="16" s="1"/>
  <c r="AD691" i="16" s="1"/>
  <c r="AE691" i="16" s="1"/>
  <c r="BG638" i="16"/>
  <c r="AP19" i="17"/>
  <c r="O27" i="17"/>
  <c r="M28" i="17"/>
  <c r="P27" i="17"/>
  <c r="BO638" i="16"/>
  <c r="BP638" i="16" s="1"/>
  <c r="BN638" i="16"/>
  <c r="AL134" i="15"/>
  <c r="AF239" i="15"/>
  <c r="Z20" i="17" l="1"/>
  <c r="AF20" i="17"/>
  <c r="AG20" i="17" s="1"/>
  <c r="AH20" i="17" s="1"/>
  <c r="AS20" i="17" s="1"/>
  <c r="AT690" i="16"/>
  <c r="AW690" i="16" s="1"/>
  <c r="AX690" i="16" s="1"/>
  <c r="AZ690" i="16" s="1"/>
  <c r="AU690" i="16"/>
  <c r="AV690" i="16" s="1"/>
  <c r="AL690" i="16"/>
  <c r="AY690" i="16" s="1"/>
  <c r="BJ17" i="17"/>
  <c r="BE17" i="17"/>
  <c r="BF17" i="17" s="1"/>
  <c r="BI17" i="17" s="1"/>
  <c r="W691" i="16"/>
  <c r="AA691" i="16" s="1"/>
  <c r="AK691" i="16" s="1"/>
  <c r="BC639" i="16"/>
  <c r="BH639" i="16" s="1"/>
  <c r="E28" i="17"/>
  <c r="L28" i="17" s="1"/>
  <c r="AR19" i="17"/>
  <c r="AQ19" i="17"/>
  <c r="Q27" i="17"/>
  <c r="S27" i="17" s="1"/>
  <c r="AD659" i="15"/>
  <c r="E637" i="14"/>
  <c r="F637" i="14" s="1"/>
  <c r="H637" i="14" s="1"/>
  <c r="AJ661" i="15"/>
  <c r="BQ638" i="16"/>
  <c r="BG17" i="17" l="1"/>
  <c r="BC18" i="17" s="1"/>
  <c r="AL20" i="17"/>
  <c r="U21" i="17"/>
  <c r="AM690" i="16"/>
  <c r="AN690" i="16" s="1"/>
  <c r="AO690" i="16" s="1"/>
  <c r="AP690" i="16" s="1"/>
  <c r="AQ690" i="16" s="1"/>
  <c r="AT20" i="17"/>
  <c r="AW20" i="17" s="1"/>
  <c r="AX20" i="17" s="1"/>
  <c r="AZ20" i="17" s="1"/>
  <c r="AU20" i="17"/>
  <c r="AV20" i="17" s="1"/>
  <c r="Y691" i="16"/>
  <c r="AB691" i="16" s="1"/>
  <c r="AF691" i="16" s="1"/>
  <c r="P28" i="17"/>
  <c r="Q28" i="17" s="1"/>
  <c r="S28" i="17" s="1"/>
  <c r="BO17" i="17"/>
  <c r="BP17" i="17" s="1"/>
  <c r="BN17" i="17"/>
  <c r="BD639" i="16"/>
  <c r="N28" i="17"/>
  <c r="AF260" i="15"/>
  <c r="AR690" i="16" l="1"/>
  <c r="AC21" i="17"/>
  <c r="AD21" i="17" s="1"/>
  <c r="AE21" i="17" s="1"/>
  <c r="W21" i="17"/>
  <c r="AY20" i="17"/>
  <c r="AM20" i="17"/>
  <c r="AN20" i="17" s="1"/>
  <c r="AG691" i="16"/>
  <c r="AH691" i="16" s="1"/>
  <c r="AS691" i="16" s="1"/>
  <c r="BQ17" i="17"/>
  <c r="Z691" i="16"/>
  <c r="U692" i="16" s="1"/>
  <c r="AC692" i="16" s="1"/>
  <c r="BD18" i="17"/>
  <c r="BE18" i="17" s="1"/>
  <c r="BF18" i="17" s="1"/>
  <c r="BH18" i="17"/>
  <c r="BE639" i="16"/>
  <c r="BF639" i="16" s="1"/>
  <c r="BJ639" i="16"/>
  <c r="BK639" i="16"/>
  <c r="BL639" i="16" s="1"/>
  <c r="BM639" i="16" s="1"/>
  <c r="M29" i="17"/>
  <c r="E29" i="17" s="1"/>
  <c r="L29" i="17" s="1"/>
  <c r="O28" i="17"/>
  <c r="AL135" i="15"/>
  <c r="AA21" i="17" l="1"/>
  <c r="AK21" i="17" s="1"/>
  <c r="Y21" i="17"/>
  <c r="AB21" i="17" s="1"/>
  <c r="AO20" i="17"/>
  <c r="AT691" i="16"/>
  <c r="AW691" i="16" s="1"/>
  <c r="AX691" i="16" s="1"/>
  <c r="AZ691" i="16" s="1"/>
  <c r="AU691" i="16"/>
  <c r="AV691" i="16" s="1"/>
  <c r="AL691" i="16"/>
  <c r="AY691" i="16" s="1"/>
  <c r="BG18" i="17"/>
  <c r="BI18" i="17"/>
  <c r="BK18" i="17"/>
  <c r="BJ18" i="17"/>
  <c r="BG639" i="16"/>
  <c r="BC640" i="16" s="1"/>
  <c r="BH640" i="16" s="1"/>
  <c r="BI639" i="16"/>
  <c r="AD692" i="16"/>
  <c r="W692" i="16"/>
  <c r="N29" i="17"/>
  <c r="P29" i="17"/>
  <c r="Q29" i="17" s="1"/>
  <c r="AM691" i="16" l="1"/>
  <c r="AN691" i="16" s="1"/>
  <c r="AO691" i="16" s="1"/>
  <c r="AP691" i="16" s="1"/>
  <c r="AR691" i="16" s="1"/>
  <c r="AP20" i="17"/>
  <c r="AR20" i="17" s="1"/>
  <c r="AF21" i="17"/>
  <c r="AG21" i="17" s="1"/>
  <c r="AL21" i="17" s="1"/>
  <c r="AY21" i="17" s="1"/>
  <c r="Z21" i="17"/>
  <c r="BL18" i="17"/>
  <c r="BM18" i="17" s="1"/>
  <c r="BO18" i="17"/>
  <c r="BP18" i="17" s="1"/>
  <c r="BC19" i="17"/>
  <c r="BH19" i="17" s="1"/>
  <c r="BO639" i="16"/>
  <c r="BP639" i="16" s="1"/>
  <c r="BN639" i="16"/>
  <c r="BD640" i="16"/>
  <c r="BJ640" i="16" s="1"/>
  <c r="AE692" i="16"/>
  <c r="AA692" i="16"/>
  <c r="AK692" i="16" s="1"/>
  <c r="Y692" i="16"/>
  <c r="AB692" i="16" s="1"/>
  <c r="S29" i="17"/>
  <c r="O29" i="17"/>
  <c r="M30" i="17"/>
  <c r="E30" i="17" s="1"/>
  <c r="L30" i="17" s="1"/>
  <c r="AQ691" i="16" l="1"/>
  <c r="BE640" i="16"/>
  <c r="BF640" i="16" s="1"/>
  <c r="BG640" i="16" s="1"/>
  <c r="AQ20" i="17"/>
  <c r="AM21" i="17"/>
  <c r="AN21" i="17" s="1"/>
  <c r="AO21" i="17" s="1"/>
  <c r="AP21" i="17" s="1"/>
  <c r="AH21" i="17"/>
  <c r="AS21" i="17" s="1"/>
  <c r="U22" i="17"/>
  <c r="W22" i="17" s="1"/>
  <c r="AA22" i="17" s="1"/>
  <c r="AK22" i="17" s="1"/>
  <c r="BD19" i="17"/>
  <c r="BJ19" i="17" s="1"/>
  <c r="BN18" i="17"/>
  <c r="BQ18" i="17" s="1"/>
  <c r="Z692" i="16"/>
  <c r="U693" i="16" s="1"/>
  <c r="AC693" i="16" s="1"/>
  <c r="BK640" i="16"/>
  <c r="BL640" i="16" s="1"/>
  <c r="BM640" i="16" s="1"/>
  <c r="AD593" i="15"/>
  <c r="E638" i="14"/>
  <c r="F638" i="14" s="1"/>
  <c r="H638" i="14" s="1"/>
  <c r="BQ639" i="16"/>
  <c r="AJ111" i="15"/>
  <c r="AF692" i="16"/>
  <c r="AG692" i="16" s="1"/>
  <c r="AH692" i="16" s="1"/>
  <c r="AS692" i="16" s="1"/>
  <c r="N30" i="17"/>
  <c r="P30" i="17"/>
  <c r="AL136" i="15"/>
  <c r="AF262" i="15"/>
  <c r="BI640" i="16" l="1"/>
  <c r="BO640" i="16" s="1"/>
  <c r="BP640" i="16" s="1"/>
  <c r="AQ21" i="17"/>
  <c r="AR21" i="17"/>
  <c r="AC22" i="17"/>
  <c r="AD22" i="17" s="1"/>
  <c r="Y22" i="17"/>
  <c r="AB22" i="17" s="1"/>
  <c r="AT21" i="17"/>
  <c r="AW21" i="17" s="1"/>
  <c r="AX21" i="17" s="1"/>
  <c r="AZ21" i="17" s="1"/>
  <c r="AU21" i="17"/>
  <c r="AV21" i="17" s="1"/>
  <c r="AT692" i="16"/>
  <c r="AW692" i="16" s="1"/>
  <c r="AX692" i="16" s="1"/>
  <c r="AZ692" i="16" s="1"/>
  <c r="AU692" i="16"/>
  <c r="AV692" i="16" s="1"/>
  <c r="AL692" i="16"/>
  <c r="AM692" i="16" s="1"/>
  <c r="AN692" i="16" s="1"/>
  <c r="AO692" i="16" s="1"/>
  <c r="AP692" i="16" s="1"/>
  <c r="AQ692" i="16" s="1"/>
  <c r="BE19" i="17"/>
  <c r="BF19" i="17" s="1"/>
  <c r="BG19" i="17" s="1"/>
  <c r="BK19" i="17"/>
  <c r="BL19" i="17" s="1"/>
  <c r="BM19" i="17" s="1"/>
  <c r="AD693" i="16"/>
  <c r="W693" i="16"/>
  <c r="Q30" i="17"/>
  <c r="S30" i="17" s="1"/>
  <c r="M31" i="17"/>
  <c r="E31" i="17" s="1"/>
  <c r="L31" i="17" s="1"/>
  <c r="O30" i="17"/>
  <c r="BC641" i="16"/>
  <c r="BH641" i="16" s="1"/>
  <c r="AY692" i="16" l="1"/>
  <c r="BN640" i="16"/>
  <c r="BQ640" i="16" s="1"/>
  <c r="AE22" i="17"/>
  <c r="AF22" i="17" s="1"/>
  <c r="AG22" i="17" s="1"/>
  <c r="Z22" i="17"/>
  <c r="BI19" i="17"/>
  <c r="BN19" i="17" s="1"/>
  <c r="AR692" i="16"/>
  <c r="BC20" i="17"/>
  <c r="P31" i="17"/>
  <c r="Q31" i="17" s="1"/>
  <c r="S31" i="17" s="1"/>
  <c r="AA693" i="16"/>
  <c r="AK693" i="16" s="1"/>
  <c r="Y693" i="16"/>
  <c r="AB693" i="16" s="1"/>
  <c r="AE693" i="16"/>
  <c r="BD641" i="16"/>
  <c r="BJ641" i="16" s="1"/>
  <c r="N31" i="17"/>
  <c r="AJ662" i="15"/>
  <c r="AD650" i="15" l="1"/>
  <c r="E639" i="14"/>
  <c r="F639" i="14" s="1"/>
  <c r="H639" i="14" s="1"/>
  <c r="BO19" i="17"/>
  <c r="BP19" i="17" s="1"/>
  <c r="BQ19" i="17" s="1"/>
  <c r="AH22" i="17"/>
  <c r="AS22" i="17" s="1"/>
  <c r="AL22" i="17"/>
  <c r="AY22" i="17" s="1"/>
  <c r="U23" i="17"/>
  <c r="W23" i="17" s="1"/>
  <c r="AA23" i="17" s="1"/>
  <c r="AK23" i="17" s="1"/>
  <c r="BD20" i="17"/>
  <c r="BH20" i="17"/>
  <c r="Z693" i="16"/>
  <c r="U694" i="16" s="1"/>
  <c r="AC694" i="16" s="1"/>
  <c r="BE641" i="16"/>
  <c r="BF641" i="16" s="1"/>
  <c r="BI641" i="16" s="1"/>
  <c r="BK641" i="16"/>
  <c r="BL641" i="16" s="1"/>
  <c r="BM641" i="16" s="1"/>
  <c r="AF693" i="16"/>
  <c r="AG693" i="16" s="1"/>
  <c r="AH693" i="16" s="1"/>
  <c r="AS693" i="16" s="1"/>
  <c r="M32" i="17"/>
  <c r="O31" i="17"/>
  <c r="AT22" i="17" l="1"/>
  <c r="AW22" i="17" s="1"/>
  <c r="AX22" i="17" s="1"/>
  <c r="AZ22" i="17" s="1"/>
  <c r="AU22" i="17"/>
  <c r="AV22" i="17" s="1"/>
  <c r="Y23" i="17"/>
  <c r="AB23" i="17" s="1"/>
  <c r="AM22" i="17"/>
  <c r="AN22" i="17" s="1"/>
  <c r="AC23" i="17"/>
  <c r="AD23" i="17" s="1"/>
  <c r="AT693" i="16"/>
  <c r="AW693" i="16" s="1"/>
  <c r="AX693" i="16" s="1"/>
  <c r="AZ693" i="16" s="1"/>
  <c r="AU693" i="16"/>
  <c r="AV693" i="16" s="1"/>
  <c r="AL693" i="16"/>
  <c r="AY693" i="16" s="1"/>
  <c r="BG641" i="16"/>
  <c r="BC642" i="16" s="1"/>
  <c r="BH642" i="16" s="1"/>
  <c r="BK20" i="17"/>
  <c r="BL20" i="17" s="1"/>
  <c r="BM20" i="17" s="1"/>
  <c r="BJ20" i="17"/>
  <c r="BE20" i="17"/>
  <c r="BF20" i="17" s="1"/>
  <c r="AD694" i="16"/>
  <c r="W694" i="16"/>
  <c r="P32" i="17"/>
  <c r="E32" i="17"/>
  <c r="L32" i="17" s="1"/>
  <c r="BN641" i="16"/>
  <c r="BO641" i="16"/>
  <c r="BP641" i="16" s="1"/>
  <c r="AL28" i="15"/>
  <c r="AF225" i="15"/>
  <c r="AM693" i="16" l="1"/>
  <c r="AN693" i="16" s="1"/>
  <c r="AO693" i="16" s="1"/>
  <c r="Z23" i="17"/>
  <c r="U24" i="17" s="1"/>
  <c r="AO22" i="17"/>
  <c r="AE23" i="17"/>
  <c r="BG20" i="17"/>
  <c r="BI20" i="17"/>
  <c r="BD642" i="16"/>
  <c r="BE642" i="16" s="1"/>
  <c r="BF642" i="16" s="1"/>
  <c r="AA694" i="16"/>
  <c r="AK694" i="16" s="1"/>
  <c r="Y694" i="16"/>
  <c r="AB694" i="16" s="1"/>
  <c r="AE694" i="16"/>
  <c r="Q32" i="17"/>
  <c r="S32" i="17" s="1"/>
  <c r="N32" i="17"/>
  <c r="AJ663" i="15"/>
  <c r="BQ641" i="16"/>
  <c r="AD673" i="15"/>
  <c r="E640" i="14"/>
  <c r="F640" i="14" s="1"/>
  <c r="H640" i="14" s="1"/>
  <c r="AC24" i="17" l="1"/>
  <c r="AD24" i="17" s="1"/>
  <c r="AE24" i="17" s="1"/>
  <c r="W24" i="17"/>
  <c r="AA24" i="17" s="1"/>
  <c r="AK24" i="17" s="1"/>
  <c r="AF23" i="17"/>
  <c r="AG23" i="17" s="1"/>
  <c r="AP22" i="17"/>
  <c r="AR22" i="17" s="1"/>
  <c r="BO20" i="17"/>
  <c r="BP20" i="17" s="1"/>
  <c r="BN20" i="17"/>
  <c r="BC21" i="17"/>
  <c r="BK642" i="16"/>
  <c r="BL642" i="16" s="1"/>
  <c r="BM642" i="16" s="1"/>
  <c r="BJ642" i="16"/>
  <c r="AP693" i="16"/>
  <c r="AR693" i="16" s="1"/>
  <c r="AF694" i="16"/>
  <c r="AG694" i="16" s="1"/>
  <c r="AH694" i="16" s="1"/>
  <c r="AS694" i="16" s="1"/>
  <c r="Z694" i="16"/>
  <c r="O32" i="17"/>
  <c r="M33" i="17"/>
  <c r="BI642" i="16"/>
  <c r="BG642" i="16"/>
  <c r="Y24" i="17" l="1"/>
  <c r="AB24" i="17" s="1"/>
  <c r="AF24" i="17" s="1"/>
  <c r="AG24" i="17" s="1"/>
  <c r="AL24" i="17" s="1"/>
  <c r="AY24" i="17" s="1"/>
  <c r="AQ22" i="17"/>
  <c r="AH23" i="17"/>
  <c r="AS23" i="17" s="1"/>
  <c r="AL23" i="17"/>
  <c r="AT694" i="16"/>
  <c r="AW694" i="16" s="1"/>
  <c r="AX694" i="16" s="1"/>
  <c r="AZ694" i="16" s="1"/>
  <c r="AU694" i="16"/>
  <c r="AV694" i="16" s="1"/>
  <c r="AL694" i="16"/>
  <c r="AY694" i="16" s="1"/>
  <c r="BQ20" i="17"/>
  <c r="BH21" i="17"/>
  <c r="BD21" i="17"/>
  <c r="U695" i="16"/>
  <c r="AC695" i="16" s="1"/>
  <c r="AQ693" i="16"/>
  <c r="P33" i="17"/>
  <c r="E33" i="17"/>
  <c r="L33" i="17" s="1"/>
  <c r="BC643" i="16"/>
  <c r="BH643" i="16" s="1"/>
  <c r="BN642" i="16"/>
  <c r="BO642" i="16"/>
  <c r="BP642" i="16" s="1"/>
  <c r="AM694" i="16" l="1"/>
  <c r="AN694" i="16" s="1"/>
  <c r="AO694" i="16" s="1"/>
  <c r="AP694" i="16" s="1"/>
  <c r="AR694" i="16" s="1"/>
  <c r="AH24" i="17"/>
  <c r="AS24" i="17" s="1"/>
  <c r="AT24" i="17" s="1"/>
  <c r="AM24" i="17"/>
  <c r="AN24" i="17" s="1"/>
  <c r="Z24" i="17"/>
  <c r="U25" i="17" s="1"/>
  <c r="AC25" i="17" s="1"/>
  <c r="AD25" i="17" s="1"/>
  <c r="AE25" i="17" s="1"/>
  <c r="AT23" i="17"/>
  <c r="AW23" i="17" s="1"/>
  <c r="AX23" i="17" s="1"/>
  <c r="AZ23" i="17" s="1"/>
  <c r="AU23" i="17"/>
  <c r="AY23" i="17"/>
  <c r="AM23" i="17"/>
  <c r="BK21" i="17"/>
  <c r="BL21" i="17" s="1"/>
  <c r="BM21" i="17" s="1"/>
  <c r="BJ21" i="17"/>
  <c r="BE21" i="17"/>
  <c r="BF21" i="17" s="1"/>
  <c r="AD695" i="16"/>
  <c r="W695" i="16"/>
  <c r="N33" i="17"/>
  <c r="Q33" i="17"/>
  <c r="S33" i="17" s="1"/>
  <c r="AJ664" i="15"/>
  <c r="BQ642" i="16"/>
  <c r="BD643" i="16"/>
  <c r="AD679" i="15"/>
  <c r="E641" i="14"/>
  <c r="F641" i="14" s="1"/>
  <c r="H641" i="14" s="1"/>
  <c r="AL137" i="15"/>
  <c r="AF226" i="15"/>
  <c r="AO24" i="17" l="1"/>
  <c r="W25" i="17"/>
  <c r="AA25" i="17" s="1"/>
  <c r="AK25" i="17" s="1"/>
  <c r="AW24" i="17"/>
  <c r="AX24" i="17" s="1"/>
  <c r="AZ24" i="17" s="1"/>
  <c r="AN23" i="17"/>
  <c r="AV23" i="17"/>
  <c r="AU24" i="17" s="1"/>
  <c r="AV24" i="17" s="1"/>
  <c r="BG21" i="17"/>
  <c r="BI21" i="17"/>
  <c r="AQ694" i="16"/>
  <c r="AE695" i="16"/>
  <c r="AA695" i="16"/>
  <c r="AK695" i="16" s="1"/>
  <c r="Y695" i="16"/>
  <c r="AB695" i="16" s="1"/>
  <c r="M34" i="17"/>
  <c r="O33" i="17"/>
  <c r="AP24" i="17"/>
  <c r="AQ24" i="17" s="1"/>
  <c r="BJ643" i="16"/>
  <c r="BK643" i="16"/>
  <c r="BE643" i="16"/>
  <c r="BF643" i="16" s="1"/>
  <c r="Y25" i="17" l="1"/>
  <c r="AB25" i="17" s="1"/>
  <c r="AF25" i="17" s="1"/>
  <c r="AG25" i="17" s="1"/>
  <c r="AL25" i="17" s="1"/>
  <c r="AY25" i="17" s="1"/>
  <c r="AO23" i="17"/>
  <c r="BO21" i="17"/>
  <c r="BP21" i="17" s="1"/>
  <c r="BN21" i="17"/>
  <c r="BC22" i="17"/>
  <c r="AF695" i="16"/>
  <c r="Z695" i="16"/>
  <c r="P34" i="17"/>
  <c r="AR24" i="17"/>
  <c r="E34" i="17"/>
  <c r="L34" i="17" s="1"/>
  <c r="BI643" i="16"/>
  <c r="BG643" i="16"/>
  <c r="BL643" i="16"/>
  <c r="BM643" i="16" s="1"/>
  <c r="Z25" i="17" l="1"/>
  <c r="U26" i="17" s="1"/>
  <c r="W26" i="17" s="1"/>
  <c r="AA26" i="17" s="1"/>
  <c r="AK26" i="17" s="1"/>
  <c r="AH25" i="17"/>
  <c r="AS25" i="17" s="1"/>
  <c r="AT25" i="17" s="1"/>
  <c r="AW25" i="17" s="1"/>
  <c r="AX25" i="17" s="1"/>
  <c r="AZ25" i="17" s="1"/>
  <c r="AM25" i="17"/>
  <c r="AP23" i="17"/>
  <c r="AR23" i="17" s="1"/>
  <c r="AG695" i="16"/>
  <c r="AL695" i="16" s="1"/>
  <c r="AY695" i="16" s="1"/>
  <c r="BQ21" i="17"/>
  <c r="BD22" i="17"/>
  <c r="BH22" i="17"/>
  <c r="U696" i="16"/>
  <c r="AC696" i="16" s="1"/>
  <c r="N34" i="17"/>
  <c r="Q34" i="17"/>
  <c r="S34" i="17" s="1"/>
  <c r="BC644" i="16"/>
  <c r="BH644" i="16" s="1"/>
  <c r="BO643" i="16"/>
  <c r="BP643" i="16" s="1"/>
  <c r="BN643" i="16"/>
  <c r="AL138" i="15"/>
  <c r="AU25" i="17" l="1"/>
  <c r="AV25" i="17" s="1"/>
  <c r="AN25" i="17"/>
  <c r="AO25" i="17" s="1"/>
  <c r="AC26" i="17"/>
  <c r="AD26" i="17" s="1"/>
  <c r="Y26" i="17"/>
  <c r="AB26" i="17" s="1"/>
  <c r="AQ23" i="17"/>
  <c r="AM695" i="16"/>
  <c r="AN695" i="16" s="1"/>
  <c r="AO695" i="16" s="1"/>
  <c r="AP695" i="16" s="1"/>
  <c r="AQ695" i="16" s="1"/>
  <c r="AH695" i="16"/>
  <c r="AS695" i="16" s="1"/>
  <c r="BK22" i="17"/>
  <c r="BL22" i="17" s="1"/>
  <c r="BM22" i="17" s="1"/>
  <c r="BJ22" i="17"/>
  <c r="BE22" i="17"/>
  <c r="BF22" i="17" s="1"/>
  <c r="AD696" i="16"/>
  <c r="W696" i="16"/>
  <c r="Y696" i="16" s="1"/>
  <c r="AB696" i="16" s="1"/>
  <c r="M35" i="17"/>
  <c r="E35" i="17" s="1"/>
  <c r="L35" i="17" s="1"/>
  <c r="O34" i="17"/>
  <c r="AJ665" i="15"/>
  <c r="BQ643" i="16"/>
  <c r="E642" i="14"/>
  <c r="F642" i="14" s="1"/>
  <c r="H642" i="14" s="1"/>
  <c r="AD681" i="15"/>
  <c r="BD644" i="16"/>
  <c r="BE644" i="16" s="1"/>
  <c r="BF644" i="16" s="1"/>
  <c r="AF228" i="15"/>
  <c r="AR695" i="16" l="1"/>
  <c r="AP25" i="17"/>
  <c r="AR25" i="17" s="1"/>
  <c r="AE26" i="17"/>
  <c r="AF26" i="17" s="1"/>
  <c r="AG26" i="17" s="1"/>
  <c r="Z26" i="17"/>
  <c r="AU695" i="16"/>
  <c r="AV695" i="16" s="1"/>
  <c r="AT695" i="16"/>
  <c r="AW695" i="16" s="1"/>
  <c r="AX695" i="16" s="1"/>
  <c r="AZ695" i="16" s="1"/>
  <c r="BG22" i="17"/>
  <c r="BI22" i="17"/>
  <c r="AA696" i="16"/>
  <c r="AK696" i="16" s="1"/>
  <c r="Z696" i="16"/>
  <c r="AE696" i="16"/>
  <c r="AF696" i="16" s="1"/>
  <c r="AG696" i="16" s="1"/>
  <c r="AH696" i="16" s="1"/>
  <c r="AS696" i="16" s="1"/>
  <c r="AT696" i="16" s="1"/>
  <c r="N35" i="17"/>
  <c r="P35" i="17"/>
  <c r="BI644" i="16"/>
  <c r="BG644" i="16"/>
  <c r="BJ644" i="16"/>
  <c r="BK644" i="16"/>
  <c r="AW696" i="16" l="1"/>
  <c r="AX696" i="16" s="1"/>
  <c r="AZ696" i="16" s="1"/>
  <c r="AQ25" i="17"/>
  <c r="AH26" i="17"/>
  <c r="AS26" i="17" s="1"/>
  <c r="AL26" i="17"/>
  <c r="AY26" i="17" s="1"/>
  <c r="U27" i="17"/>
  <c r="W27" i="17" s="1"/>
  <c r="AA27" i="17" s="1"/>
  <c r="AK27" i="17" s="1"/>
  <c r="AL696" i="16"/>
  <c r="AY696" i="16" s="1"/>
  <c r="AU696" i="16"/>
  <c r="AV696" i="16" s="1"/>
  <c r="BO22" i="17"/>
  <c r="BP22" i="17" s="1"/>
  <c r="BN22" i="17"/>
  <c r="BC23" i="17"/>
  <c r="BH23" i="17" s="1"/>
  <c r="U697" i="16"/>
  <c r="AC697" i="16" s="1"/>
  <c r="Q35" i="17"/>
  <c r="S35" i="17" s="1"/>
  <c r="O35" i="17"/>
  <c r="M36" i="17"/>
  <c r="BL644" i="16"/>
  <c r="BM644" i="16" s="1"/>
  <c r="BC645" i="16"/>
  <c r="BO644" i="16"/>
  <c r="BP644" i="16" s="1"/>
  <c r="AM696" i="16" l="1"/>
  <c r="AN696" i="16" s="1"/>
  <c r="AO696" i="16" s="1"/>
  <c r="AP696" i="16" s="1"/>
  <c r="AQ696" i="16" s="1"/>
  <c r="AM26" i="17"/>
  <c r="AN26" i="17" s="1"/>
  <c r="AO26" i="17" s="1"/>
  <c r="AP26" i="17" s="1"/>
  <c r="AR26" i="17" s="1"/>
  <c r="Y27" i="17"/>
  <c r="AB27" i="17" s="1"/>
  <c r="AC27" i="17"/>
  <c r="AD27" i="17" s="1"/>
  <c r="AE27" i="17" s="1"/>
  <c r="AT26" i="17"/>
  <c r="AW26" i="17" s="1"/>
  <c r="AX26" i="17" s="1"/>
  <c r="AZ26" i="17" s="1"/>
  <c r="AU26" i="17"/>
  <c r="AV26" i="17" s="1"/>
  <c r="BQ22" i="17"/>
  <c r="BD23" i="17"/>
  <c r="BE23" i="17" s="1"/>
  <c r="AR696" i="16"/>
  <c r="P36" i="17"/>
  <c r="Q36" i="17" s="1"/>
  <c r="S36" i="17" s="1"/>
  <c r="BN644" i="16"/>
  <c r="AD682" i="15" s="1"/>
  <c r="AD697" i="16"/>
  <c r="W697" i="16"/>
  <c r="E36" i="17"/>
  <c r="L36" i="17" s="1"/>
  <c r="BH645" i="16"/>
  <c r="BD645" i="16"/>
  <c r="AJ666" i="15"/>
  <c r="AL139" i="15"/>
  <c r="AF231" i="15"/>
  <c r="E643" i="14" l="1"/>
  <c r="F643" i="14" s="1"/>
  <c r="H643" i="14" s="1"/>
  <c r="BQ644" i="16"/>
  <c r="AF27" i="17"/>
  <c r="AG27" i="17" s="1"/>
  <c r="Z27" i="17"/>
  <c r="AQ26" i="17"/>
  <c r="BK23" i="17"/>
  <c r="BL23" i="17" s="1"/>
  <c r="BM23" i="17" s="1"/>
  <c r="BJ23" i="17"/>
  <c r="BF23" i="17"/>
  <c r="AA697" i="16"/>
  <c r="AK697" i="16" s="1"/>
  <c r="Y697" i="16"/>
  <c r="AB697" i="16" s="1"/>
  <c r="AE697" i="16"/>
  <c r="N36" i="17"/>
  <c r="BJ645" i="16"/>
  <c r="BK645" i="16"/>
  <c r="BE645" i="16"/>
  <c r="BF645" i="16" s="1"/>
  <c r="U28" i="17" l="1"/>
  <c r="AC28" i="17" s="1"/>
  <c r="AD28" i="17" s="1"/>
  <c r="AE28" i="17" s="1"/>
  <c r="AL27" i="17"/>
  <c r="AY27" i="17" s="1"/>
  <c r="AH27" i="17"/>
  <c r="AS27" i="17" s="1"/>
  <c r="BG23" i="17"/>
  <c r="BI23" i="17"/>
  <c r="Z697" i="16"/>
  <c r="U698" i="16" s="1"/>
  <c r="AC698" i="16" s="1"/>
  <c r="AF697" i="16"/>
  <c r="AG697" i="16" s="1"/>
  <c r="AH697" i="16" s="1"/>
  <c r="AS697" i="16" s="1"/>
  <c r="M37" i="17"/>
  <c r="O36" i="17"/>
  <c r="BI645" i="16"/>
  <c r="BG645" i="16"/>
  <c r="BL645" i="16"/>
  <c r="BM645" i="16" s="1"/>
  <c r="AM27" i="17" l="1"/>
  <c r="W28" i="17"/>
  <c r="AT27" i="17"/>
  <c r="AW27" i="17" s="1"/>
  <c r="AX27" i="17" s="1"/>
  <c r="AZ27" i="17" s="1"/>
  <c r="AU27" i="17"/>
  <c r="AV27" i="17" s="1"/>
  <c r="AU697" i="16"/>
  <c r="AV697" i="16" s="1"/>
  <c r="AT697" i="16"/>
  <c r="AW697" i="16" s="1"/>
  <c r="AX697" i="16" s="1"/>
  <c r="AZ697" i="16" s="1"/>
  <c r="AL697" i="16"/>
  <c r="AM697" i="16" s="1"/>
  <c r="AN697" i="16" s="1"/>
  <c r="AO697" i="16" s="1"/>
  <c r="AP697" i="16" s="1"/>
  <c r="AQ697" i="16" s="1"/>
  <c r="BO23" i="17"/>
  <c r="BP23" i="17" s="1"/>
  <c r="BN23" i="17"/>
  <c r="BC24" i="17"/>
  <c r="AD698" i="16"/>
  <c r="W698" i="16"/>
  <c r="AA698" i="16" s="1"/>
  <c r="AK698" i="16" s="1"/>
  <c r="P37" i="17"/>
  <c r="E37" i="17"/>
  <c r="L37" i="17" s="1"/>
  <c r="BC646" i="16"/>
  <c r="BH646" i="16" s="1"/>
  <c r="BN645" i="16"/>
  <c r="BO645" i="16"/>
  <c r="BP645" i="16" s="1"/>
  <c r="AY697" i="16" l="1"/>
  <c r="AA28" i="17"/>
  <c r="AK28" i="17" s="1"/>
  <c r="Y28" i="17"/>
  <c r="AB28" i="17" s="1"/>
  <c r="AN27" i="17"/>
  <c r="AO27" i="17" s="1"/>
  <c r="AP27" i="17" s="1"/>
  <c r="AQ27" i="17" s="1"/>
  <c r="BQ23" i="17"/>
  <c r="BD24" i="17"/>
  <c r="BH24" i="17"/>
  <c r="AR697" i="16"/>
  <c r="Y698" i="16"/>
  <c r="AB698" i="16" s="1"/>
  <c r="BD646" i="16"/>
  <c r="BK646" i="16" s="1"/>
  <c r="AE698" i="16"/>
  <c r="N37" i="17"/>
  <c r="Q37" i="17"/>
  <c r="S37" i="17" s="1"/>
  <c r="AJ667" i="15"/>
  <c r="BQ645" i="16"/>
  <c r="E644" i="14"/>
  <c r="F644" i="14" s="1"/>
  <c r="H644" i="14" s="1"/>
  <c r="AD685" i="15"/>
  <c r="AF251" i="15"/>
  <c r="AR27" i="17" l="1"/>
  <c r="AF28" i="17"/>
  <c r="AG28" i="17" s="1"/>
  <c r="AL28" i="17" s="1"/>
  <c r="AY28" i="17" s="1"/>
  <c r="Z28" i="17"/>
  <c r="BK24" i="17"/>
  <c r="BL24" i="17" s="1"/>
  <c r="BM24" i="17" s="1"/>
  <c r="BJ24" i="17"/>
  <c r="BE24" i="17"/>
  <c r="BF24" i="17" s="1"/>
  <c r="BJ646" i="16"/>
  <c r="BE646" i="16"/>
  <c r="BF646" i="16" s="1"/>
  <c r="BI646" i="16" s="1"/>
  <c r="AF698" i="16"/>
  <c r="Z698" i="16"/>
  <c r="O37" i="17"/>
  <c r="M38" i="17"/>
  <c r="BL646" i="16"/>
  <c r="BM646" i="16" s="1"/>
  <c r="AL140" i="15"/>
  <c r="U29" i="17" l="1"/>
  <c r="W29" i="17" s="1"/>
  <c r="AA29" i="17" s="1"/>
  <c r="AK29" i="17" s="1"/>
  <c r="AH28" i="17"/>
  <c r="AS28" i="17" s="1"/>
  <c r="AM28" i="17"/>
  <c r="AG698" i="16"/>
  <c r="BG24" i="17"/>
  <c r="BI24" i="17"/>
  <c r="BG646" i="16"/>
  <c r="BC647" i="16" s="1"/>
  <c r="BH647" i="16" s="1"/>
  <c r="U699" i="16"/>
  <c r="AC699" i="16" s="1"/>
  <c r="P38" i="17"/>
  <c r="E38" i="17"/>
  <c r="L38" i="17" s="1"/>
  <c r="BO646" i="16"/>
  <c r="BP646" i="16" s="1"/>
  <c r="BN646" i="16"/>
  <c r="AT28" i="17" l="1"/>
  <c r="AW28" i="17" s="1"/>
  <c r="AX28" i="17" s="1"/>
  <c r="AZ28" i="17" s="1"/>
  <c r="AU28" i="17"/>
  <c r="AV28" i="17" s="1"/>
  <c r="Y29" i="17"/>
  <c r="AB29" i="17" s="1"/>
  <c r="AN28" i="17"/>
  <c r="AO28" i="17" s="1"/>
  <c r="AP28" i="17" s="1"/>
  <c r="AC29" i="17"/>
  <c r="AD29" i="17" s="1"/>
  <c r="AH698" i="16"/>
  <c r="AS698" i="16" s="1"/>
  <c r="AL698" i="16"/>
  <c r="AY698" i="16" s="1"/>
  <c r="BO24" i="17"/>
  <c r="BP24" i="17" s="1"/>
  <c r="BN24" i="17"/>
  <c r="BC25" i="17"/>
  <c r="BH25" i="17" s="1"/>
  <c r="AD699" i="16"/>
  <c r="W699" i="16"/>
  <c r="Q38" i="17"/>
  <c r="S38" i="17" s="1"/>
  <c r="N38" i="17"/>
  <c r="AD687" i="15"/>
  <c r="E645" i="14"/>
  <c r="F645" i="14" s="1"/>
  <c r="H645" i="14" s="1"/>
  <c r="BD647" i="16"/>
  <c r="BE647" i="16" s="1"/>
  <c r="BF647" i="16" s="1"/>
  <c r="AJ668" i="15"/>
  <c r="BQ646" i="16"/>
  <c r="Z29" i="17" l="1"/>
  <c r="U30" i="17" s="1"/>
  <c r="AC30" i="17" s="1"/>
  <c r="AQ28" i="17"/>
  <c r="AR28" i="17"/>
  <c r="AE29" i="17"/>
  <c r="AF29" i="17" s="1"/>
  <c r="AG29" i="17" s="1"/>
  <c r="AT698" i="16"/>
  <c r="AW698" i="16" s="1"/>
  <c r="AX698" i="16" s="1"/>
  <c r="AZ698" i="16" s="1"/>
  <c r="AU698" i="16"/>
  <c r="AV698" i="16" s="1"/>
  <c r="AM698" i="16"/>
  <c r="AN698" i="16" s="1"/>
  <c r="BQ24" i="17"/>
  <c r="BD25" i="17"/>
  <c r="AE699" i="16"/>
  <c r="AA699" i="16"/>
  <c r="AK699" i="16" s="1"/>
  <c r="Y699" i="16"/>
  <c r="O38" i="17"/>
  <c r="M39" i="17"/>
  <c r="BI647" i="16"/>
  <c r="BG647" i="16"/>
  <c r="BJ647" i="16"/>
  <c r="BK647" i="16"/>
  <c r="AF232" i="15"/>
  <c r="AD30" i="17" l="1"/>
  <c r="AE30" i="17" s="1"/>
  <c r="AH29" i="17"/>
  <c r="AS29" i="17" s="1"/>
  <c r="AL29" i="17"/>
  <c r="AY29" i="17" s="1"/>
  <c r="W30" i="17"/>
  <c r="AA30" i="17" s="1"/>
  <c r="AK30" i="17" s="1"/>
  <c r="AO698" i="16"/>
  <c r="AP698" i="16" s="1"/>
  <c r="AQ698" i="16" s="1"/>
  <c r="BK25" i="17"/>
  <c r="BL25" i="17" s="1"/>
  <c r="BM25" i="17" s="1"/>
  <c r="BJ25" i="17"/>
  <c r="BE25" i="17"/>
  <c r="BF25" i="17" s="1"/>
  <c r="AB699" i="16"/>
  <c r="Z699" i="16"/>
  <c r="E39" i="17"/>
  <c r="L39" i="17" s="1"/>
  <c r="P39" i="17"/>
  <c r="Q39" i="17" s="1"/>
  <c r="BL647" i="16"/>
  <c r="BM647" i="16" s="1"/>
  <c r="BC648" i="16"/>
  <c r="BD648" i="16" s="1"/>
  <c r="BO647" i="16"/>
  <c r="BP647" i="16" s="1"/>
  <c r="AL66" i="15"/>
  <c r="Y30" i="17" l="1"/>
  <c r="AM29" i="17"/>
  <c r="AU29" i="17"/>
  <c r="AT29" i="17"/>
  <c r="AW29" i="17" s="1"/>
  <c r="AX29" i="17" s="1"/>
  <c r="AZ29" i="17" s="1"/>
  <c r="AR698" i="16"/>
  <c r="BG25" i="17"/>
  <c r="BI25" i="17"/>
  <c r="U700" i="16"/>
  <c r="AC700" i="16" s="1"/>
  <c r="AF699" i="16"/>
  <c r="AG699" i="16" s="1"/>
  <c r="AH699" i="16" s="1"/>
  <c r="AS699" i="16" s="1"/>
  <c r="N39" i="17"/>
  <c r="S39" i="17"/>
  <c r="BJ648" i="16"/>
  <c r="BK648" i="16"/>
  <c r="AJ669" i="15"/>
  <c r="BE648" i="16"/>
  <c r="BF648" i="16" s="1"/>
  <c r="BH648" i="16"/>
  <c r="BN647" i="16"/>
  <c r="BQ647" i="16" s="1"/>
  <c r="AB30" i="17" l="1"/>
  <c r="Z30" i="17"/>
  <c r="AV29" i="17"/>
  <c r="AN29" i="17"/>
  <c r="AO29" i="17" s="1"/>
  <c r="AP29" i="17" s="1"/>
  <c r="AQ29" i="17" s="1"/>
  <c r="AT699" i="16"/>
  <c r="AW699" i="16" s="1"/>
  <c r="AX699" i="16" s="1"/>
  <c r="AZ699" i="16" s="1"/>
  <c r="AU699" i="16"/>
  <c r="AV699" i="16" s="1"/>
  <c r="AL699" i="16"/>
  <c r="AY699" i="16" s="1"/>
  <c r="BO25" i="17"/>
  <c r="BP25" i="17" s="1"/>
  <c r="BN25" i="17"/>
  <c r="BC26" i="17"/>
  <c r="AD700" i="16"/>
  <c r="W700" i="16"/>
  <c r="AA700" i="16" s="1"/>
  <c r="AK700" i="16" s="1"/>
  <c r="O39" i="17"/>
  <c r="M40" i="17"/>
  <c r="BI648" i="16"/>
  <c r="BG648" i="16"/>
  <c r="E646" i="14"/>
  <c r="F646" i="14" s="1"/>
  <c r="H646" i="14" s="1"/>
  <c r="AD688" i="15"/>
  <c r="BL648" i="16"/>
  <c r="BM648" i="16" s="1"/>
  <c r="U31" i="17" l="1"/>
  <c r="W31" i="17" s="1"/>
  <c r="AA31" i="17" s="1"/>
  <c r="AK31" i="17" s="1"/>
  <c r="AF30" i="17"/>
  <c r="AG30" i="17" s="1"/>
  <c r="AR29" i="17"/>
  <c r="AM699" i="16"/>
  <c r="AN699" i="16" s="1"/>
  <c r="AO699" i="16" s="1"/>
  <c r="AP699" i="16" s="1"/>
  <c r="AQ699" i="16" s="1"/>
  <c r="BQ25" i="17"/>
  <c r="BD26" i="17"/>
  <c r="BH26" i="17"/>
  <c r="Y700" i="16"/>
  <c r="AB700" i="16" s="1"/>
  <c r="AE700" i="16"/>
  <c r="P40" i="17"/>
  <c r="E40" i="17"/>
  <c r="L40" i="17" s="1"/>
  <c r="BC649" i="16"/>
  <c r="BH649" i="16" s="1"/>
  <c r="BO648" i="16"/>
  <c r="BP648" i="16" s="1"/>
  <c r="BN648" i="16"/>
  <c r="Y31" i="17" l="1"/>
  <c r="AB31" i="17" s="1"/>
  <c r="AH30" i="17"/>
  <c r="AS30" i="17" s="1"/>
  <c r="AL30" i="17"/>
  <c r="AY30" i="17" s="1"/>
  <c r="AC31" i="17"/>
  <c r="Z700" i="16"/>
  <c r="U701" i="16" s="1"/>
  <c r="AC701" i="16" s="1"/>
  <c r="BK26" i="17"/>
  <c r="BL26" i="17" s="1"/>
  <c r="BM26" i="17" s="1"/>
  <c r="BJ26" i="17"/>
  <c r="BE26" i="17"/>
  <c r="BF26" i="17" s="1"/>
  <c r="AF700" i="16"/>
  <c r="AG700" i="16" s="1"/>
  <c r="AH700" i="16" s="1"/>
  <c r="AS700" i="16" s="1"/>
  <c r="BD649" i="16"/>
  <c r="BE649" i="16" s="1"/>
  <c r="AR699" i="16"/>
  <c r="N40" i="17"/>
  <c r="Q40" i="17"/>
  <c r="S40" i="17" s="1"/>
  <c r="E647" i="14"/>
  <c r="F647" i="14" s="1"/>
  <c r="H647" i="14" s="1"/>
  <c r="AD691" i="15"/>
  <c r="AJ670" i="15"/>
  <c r="BQ648" i="16"/>
  <c r="AL141" i="15"/>
  <c r="AF233" i="15"/>
  <c r="AM30" i="17" l="1"/>
  <c r="AN30" i="17" s="1"/>
  <c r="Z31" i="17"/>
  <c r="AT30" i="17"/>
  <c r="AW30" i="17" s="1"/>
  <c r="AX30" i="17" s="1"/>
  <c r="AZ30" i="17" s="1"/>
  <c r="AU30" i="17"/>
  <c r="AD31" i="17"/>
  <c r="AT700" i="16"/>
  <c r="AW700" i="16" s="1"/>
  <c r="AX700" i="16" s="1"/>
  <c r="AZ700" i="16" s="1"/>
  <c r="AU700" i="16"/>
  <c r="AV700" i="16" s="1"/>
  <c r="AL700" i="16"/>
  <c r="AY700" i="16" s="1"/>
  <c r="BK649" i="16"/>
  <c r="BL649" i="16" s="1"/>
  <c r="BM649" i="16" s="1"/>
  <c r="BJ649" i="16"/>
  <c r="BG26" i="17"/>
  <c r="BI26" i="17"/>
  <c r="AD701" i="16"/>
  <c r="BF649" i="16"/>
  <c r="BG649" i="16" s="1"/>
  <c r="W701" i="16"/>
  <c r="Y701" i="16" s="1"/>
  <c r="AB701" i="16" s="1"/>
  <c r="M41" i="17"/>
  <c r="E41" i="17" s="1"/>
  <c r="L41" i="17" s="1"/>
  <c r="O40" i="17"/>
  <c r="AO30" i="17" l="1"/>
  <c r="AP30" i="17" s="1"/>
  <c r="AQ30" i="17" s="1"/>
  <c r="AE31" i="17"/>
  <c r="AV30" i="17"/>
  <c r="U32" i="17"/>
  <c r="W32" i="17" s="1"/>
  <c r="AM700" i="16"/>
  <c r="AN700" i="16" s="1"/>
  <c r="AO700" i="16" s="1"/>
  <c r="AP700" i="16" s="1"/>
  <c r="AQ700" i="16" s="1"/>
  <c r="N41" i="17"/>
  <c r="M42" i="17" s="1"/>
  <c r="E42" i="17" s="1"/>
  <c r="L42" i="17" s="1"/>
  <c r="BO26" i="17"/>
  <c r="BP26" i="17" s="1"/>
  <c r="BN26" i="17"/>
  <c r="BC27" i="17"/>
  <c r="BI649" i="16"/>
  <c r="BN649" i="16" s="1"/>
  <c r="AE701" i="16"/>
  <c r="AF701" i="16" s="1"/>
  <c r="AG701" i="16" s="1"/>
  <c r="AH701" i="16" s="1"/>
  <c r="AS701" i="16" s="1"/>
  <c r="AT701" i="16" s="1"/>
  <c r="AW701" i="16" s="1"/>
  <c r="AX701" i="16" s="1"/>
  <c r="AZ701" i="16" s="1"/>
  <c r="AA701" i="16"/>
  <c r="AK701" i="16" s="1"/>
  <c r="Z701" i="16"/>
  <c r="P41" i="17"/>
  <c r="BC650" i="16"/>
  <c r="BH650" i="16" s="1"/>
  <c r="AR30" i="17" l="1"/>
  <c r="AA32" i="17"/>
  <c r="AK32" i="17" s="1"/>
  <c r="AF31" i="17"/>
  <c r="AG31" i="17" s="1"/>
  <c r="AC32" i="17"/>
  <c r="AD32" i="17" s="1"/>
  <c r="AE32" i="17" s="1"/>
  <c r="Y32" i="17"/>
  <c r="AB32" i="17" s="1"/>
  <c r="O41" i="17"/>
  <c r="N42" i="17" s="1"/>
  <c r="BQ26" i="17"/>
  <c r="AU701" i="16"/>
  <c r="AV701" i="16" s="1"/>
  <c r="AL701" i="16"/>
  <c r="AM701" i="16" s="1"/>
  <c r="AR700" i="16"/>
  <c r="BO649" i="16"/>
  <c r="BP649" i="16" s="1"/>
  <c r="AJ671" i="15" s="1"/>
  <c r="BH27" i="17"/>
  <c r="BD27" i="17"/>
  <c r="U702" i="16"/>
  <c r="AC702" i="16" s="1"/>
  <c r="BD650" i="16"/>
  <c r="BK650" i="16" s="1"/>
  <c r="Q41" i="17"/>
  <c r="S41" i="17" s="1"/>
  <c r="E648" i="14"/>
  <c r="F648" i="14" s="1"/>
  <c r="H648" i="14" s="1"/>
  <c r="AD693" i="15"/>
  <c r="AF234" i="15"/>
  <c r="AF32" i="17" l="1"/>
  <c r="AG32" i="17" s="1"/>
  <c r="AH32" i="17" s="1"/>
  <c r="AS32" i="17" s="1"/>
  <c r="AY701" i="16"/>
  <c r="BQ649" i="16"/>
  <c r="AH31" i="17"/>
  <c r="AS31" i="17" s="1"/>
  <c r="AL31" i="17"/>
  <c r="Z32" i="17"/>
  <c r="U33" i="17" s="1"/>
  <c r="AC33" i="17" s="1"/>
  <c r="AD33" i="17" s="1"/>
  <c r="BK27" i="17"/>
  <c r="BL27" i="17" s="1"/>
  <c r="BM27" i="17" s="1"/>
  <c r="BJ27" i="17"/>
  <c r="BE27" i="17"/>
  <c r="BF27" i="17" s="1"/>
  <c r="BJ650" i="16"/>
  <c r="P42" i="17"/>
  <c r="Q42" i="17" s="1"/>
  <c r="S42" i="17" s="1"/>
  <c r="BE650" i="16"/>
  <c r="BF650" i="16" s="1"/>
  <c r="BI650" i="16" s="1"/>
  <c r="AN701" i="16"/>
  <c r="AO701" i="16" s="1"/>
  <c r="AD702" i="16"/>
  <c r="W702" i="16"/>
  <c r="O42" i="17"/>
  <c r="M43" i="17"/>
  <c r="BL650" i="16"/>
  <c r="BM650" i="16" s="1"/>
  <c r="AL74" i="15"/>
  <c r="AL32" i="17" l="1"/>
  <c r="AY32" i="17" s="1"/>
  <c r="W33" i="17"/>
  <c r="AA33" i="17" s="1"/>
  <c r="AK33" i="17" s="1"/>
  <c r="AY31" i="17"/>
  <c r="AM31" i="17"/>
  <c r="AN31" i="17" s="1"/>
  <c r="AO31" i="17" s="1"/>
  <c r="AT31" i="17"/>
  <c r="AW31" i="17" s="1"/>
  <c r="AX31" i="17" s="1"/>
  <c r="AZ31" i="17" s="1"/>
  <c r="AU31" i="17"/>
  <c r="AV31" i="17" s="1"/>
  <c r="AU32" i="17" s="1"/>
  <c r="AV32" i="17" s="1"/>
  <c r="AT32" i="17"/>
  <c r="BG27" i="17"/>
  <c r="BI27" i="17"/>
  <c r="BG650" i="16"/>
  <c r="BC651" i="16" s="1"/>
  <c r="BH651" i="16" s="1"/>
  <c r="AE702" i="16"/>
  <c r="AP701" i="16"/>
  <c r="AR701" i="16" s="1"/>
  <c r="AA702" i="16"/>
  <c r="AK702" i="16" s="1"/>
  <c r="Y702" i="16"/>
  <c r="AB702" i="16" s="1"/>
  <c r="AE33" i="17"/>
  <c r="P43" i="17"/>
  <c r="E43" i="17"/>
  <c r="L43" i="17" s="1"/>
  <c r="BN650" i="16"/>
  <c r="BO650" i="16"/>
  <c r="BP650" i="16" s="1"/>
  <c r="AM32" i="17" l="1"/>
  <c r="AN32" i="17" s="1"/>
  <c r="AO32" i="17" s="1"/>
  <c r="AP32" i="17" s="1"/>
  <c r="AQ32" i="17" s="1"/>
  <c r="Y33" i="17"/>
  <c r="AB33" i="17" s="1"/>
  <c r="AF33" i="17" s="1"/>
  <c r="AG33" i="17" s="1"/>
  <c r="AH33" i="17" s="1"/>
  <c r="AS33" i="17" s="1"/>
  <c r="AT33" i="17" s="1"/>
  <c r="AP31" i="17"/>
  <c r="AQ31" i="17" s="1"/>
  <c r="AW32" i="17"/>
  <c r="AX32" i="17" s="1"/>
  <c r="AZ32" i="17" s="1"/>
  <c r="BO27" i="17"/>
  <c r="BP27" i="17" s="1"/>
  <c r="BN27" i="17"/>
  <c r="BC28" i="17"/>
  <c r="AF702" i="16"/>
  <c r="AG702" i="16" s="1"/>
  <c r="AH702" i="16" s="1"/>
  <c r="AS702" i="16" s="1"/>
  <c r="AQ701" i="16"/>
  <c r="Z702" i="16"/>
  <c r="N43" i="17"/>
  <c r="Q43" i="17"/>
  <c r="S43" i="17" s="1"/>
  <c r="BD651" i="16"/>
  <c r="BE651" i="16" s="1"/>
  <c r="AJ672" i="15"/>
  <c r="BQ650" i="16"/>
  <c r="AD695" i="15"/>
  <c r="E649" i="14"/>
  <c r="F649" i="14" s="1"/>
  <c r="H649" i="14" s="1"/>
  <c r="Z33" i="17" l="1"/>
  <c r="U34" i="17" s="1"/>
  <c r="AC34" i="17" s="1"/>
  <c r="AD34" i="17" s="1"/>
  <c r="AW33" i="17"/>
  <c r="AX33" i="17" s="1"/>
  <c r="AZ33" i="17" s="1"/>
  <c r="AR31" i="17"/>
  <c r="AT702" i="16"/>
  <c r="AW702" i="16" s="1"/>
  <c r="AX702" i="16" s="1"/>
  <c r="AZ702" i="16" s="1"/>
  <c r="AU702" i="16"/>
  <c r="AV702" i="16" s="1"/>
  <c r="AL33" i="17"/>
  <c r="AY33" i="17" s="1"/>
  <c r="AL702" i="16"/>
  <c r="AY702" i="16" s="1"/>
  <c r="AU33" i="17"/>
  <c r="AV33" i="17" s="1"/>
  <c r="BD28" i="17"/>
  <c r="BH28" i="17"/>
  <c r="BQ27" i="17"/>
  <c r="U703" i="16"/>
  <c r="AC703" i="16" s="1"/>
  <c r="O43" i="17"/>
  <c r="M44" i="17"/>
  <c r="AR32" i="17"/>
  <c r="BJ651" i="16"/>
  <c r="BK651" i="16"/>
  <c r="BF651" i="16"/>
  <c r="W34" i="17" l="1"/>
  <c r="AM33" i="17"/>
  <c r="AN33" i="17" s="1"/>
  <c r="AM702" i="16"/>
  <c r="AN702" i="16" s="1"/>
  <c r="AO702" i="16" s="1"/>
  <c r="AP702" i="16" s="1"/>
  <c r="AR702" i="16" s="1"/>
  <c r="BK28" i="17"/>
  <c r="BL28" i="17" s="1"/>
  <c r="BM28" i="17" s="1"/>
  <c r="BJ28" i="17"/>
  <c r="BE28" i="17"/>
  <c r="BF28" i="17" s="1"/>
  <c r="AD703" i="16"/>
  <c r="W703" i="16"/>
  <c r="P44" i="17"/>
  <c r="E44" i="17"/>
  <c r="L44" i="17" s="1"/>
  <c r="AE34" i="17"/>
  <c r="AA34" i="17"/>
  <c r="AK34" i="17" s="1"/>
  <c r="Y34" i="17"/>
  <c r="AB34" i="17" s="1"/>
  <c r="BL651" i="16"/>
  <c r="BM651" i="16" s="1"/>
  <c r="BI651" i="16"/>
  <c r="BG651" i="16"/>
  <c r="AL102" i="15"/>
  <c r="AF235" i="15"/>
  <c r="BG28" i="17" l="1"/>
  <c r="BI28" i="17"/>
  <c r="AA703" i="16"/>
  <c r="AK703" i="16" s="1"/>
  <c r="Y703" i="16"/>
  <c r="AB703" i="16" s="1"/>
  <c r="AQ702" i="16"/>
  <c r="AE703" i="16"/>
  <c r="N44" i="17"/>
  <c r="AF34" i="17"/>
  <c r="AG34" i="17" s="1"/>
  <c r="AL34" i="17" s="1"/>
  <c r="AY34" i="17" s="1"/>
  <c r="AO33" i="17"/>
  <c r="Q44" i="17"/>
  <c r="S44" i="17" s="1"/>
  <c r="Z34" i="17"/>
  <c r="BC652" i="16"/>
  <c r="BH652" i="16" s="1"/>
  <c r="BN651" i="16"/>
  <c r="BO651" i="16"/>
  <c r="BP651" i="16" s="1"/>
  <c r="AH34" i="17" l="1"/>
  <c r="AS34" i="17" s="1"/>
  <c r="BO28" i="17"/>
  <c r="BP28" i="17" s="1"/>
  <c r="BN28" i="17"/>
  <c r="BC29" i="17"/>
  <c r="BD29" i="17" s="1"/>
  <c r="Z703" i="16"/>
  <c r="U704" i="16" s="1"/>
  <c r="AC704" i="16" s="1"/>
  <c r="AF703" i="16"/>
  <c r="AG703" i="16" s="1"/>
  <c r="AH703" i="16" s="1"/>
  <c r="AS703" i="16" s="1"/>
  <c r="AP33" i="17"/>
  <c r="O44" i="17"/>
  <c r="M45" i="17"/>
  <c r="AM34" i="17"/>
  <c r="U35" i="17"/>
  <c r="AC35" i="17" s="1"/>
  <c r="AJ673" i="15"/>
  <c r="BQ651" i="16"/>
  <c r="BD652" i="16"/>
  <c r="E650" i="14"/>
  <c r="F650" i="14" s="1"/>
  <c r="H650" i="14" s="1"/>
  <c r="AD697" i="15"/>
  <c r="AT34" i="17" l="1"/>
  <c r="AW34" i="17" s="1"/>
  <c r="AX34" i="17" s="1"/>
  <c r="AZ34" i="17" s="1"/>
  <c r="AU34" i="17"/>
  <c r="AV34" i="17" s="1"/>
  <c r="AU703" i="16"/>
  <c r="AV703" i="16" s="1"/>
  <c r="AT703" i="16"/>
  <c r="AW703" i="16" s="1"/>
  <c r="AX703" i="16" s="1"/>
  <c r="AZ703" i="16" s="1"/>
  <c r="AL703" i="16"/>
  <c r="AY703" i="16" s="1"/>
  <c r="BE29" i="17"/>
  <c r="BF29" i="17" s="1"/>
  <c r="BH29" i="17"/>
  <c r="BQ28" i="17"/>
  <c r="BK29" i="17"/>
  <c r="BL29" i="17" s="1"/>
  <c r="BM29" i="17" s="1"/>
  <c r="BJ29" i="17"/>
  <c r="AD704" i="16"/>
  <c r="W704" i="16"/>
  <c r="W35" i="17"/>
  <c r="AA35" i="17" s="1"/>
  <c r="AK35" i="17" s="1"/>
  <c r="AD35" i="17"/>
  <c r="P45" i="17"/>
  <c r="AN34" i="17"/>
  <c r="AO34" i="17" s="1"/>
  <c r="E45" i="17"/>
  <c r="L45" i="17" s="1"/>
  <c r="AR33" i="17"/>
  <c r="AQ33" i="17"/>
  <c r="BJ652" i="16"/>
  <c r="BK652" i="16"/>
  <c r="BE652" i="16"/>
  <c r="BF652" i="16" s="1"/>
  <c r="AL88" i="15"/>
  <c r="AF227" i="15"/>
  <c r="AM703" i="16" l="1"/>
  <c r="AN703" i="16" s="1"/>
  <c r="AO703" i="16" s="1"/>
  <c r="AP703" i="16" s="1"/>
  <c r="AQ703" i="16" s="1"/>
  <c r="Y35" i="17"/>
  <c r="AB35" i="17" s="1"/>
  <c r="BG29" i="17"/>
  <c r="BI29" i="17"/>
  <c r="AA704" i="16"/>
  <c r="AK704" i="16" s="1"/>
  <c r="Y704" i="16"/>
  <c r="AB704" i="16" s="1"/>
  <c r="AE704" i="16"/>
  <c r="Q45" i="17"/>
  <c r="S45" i="17" s="1"/>
  <c r="AP34" i="17"/>
  <c r="N45" i="17"/>
  <c r="AE35" i="17"/>
  <c r="BI652" i="16"/>
  <c r="BG652" i="16"/>
  <c r="BL652" i="16"/>
  <c r="BM652" i="16" s="1"/>
  <c r="AR703" i="16" l="1"/>
  <c r="Z35" i="17"/>
  <c r="U36" i="17" s="1"/>
  <c r="AC36" i="17" s="1"/>
  <c r="AF35" i="17"/>
  <c r="AG35" i="17" s="1"/>
  <c r="AH35" i="17" s="1"/>
  <c r="AS35" i="17" s="1"/>
  <c r="AT35" i="17" s="1"/>
  <c r="AW35" i="17" s="1"/>
  <c r="AX35" i="17" s="1"/>
  <c r="AZ35" i="17" s="1"/>
  <c r="BC30" i="17"/>
  <c r="BH30" i="17" s="1"/>
  <c r="BO29" i="17"/>
  <c r="BP29" i="17" s="1"/>
  <c r="BN29" i="17"/>
  <c r="AR34" i="17"/>
  <c r="Z704" i="16"/>
  <c r="U705" i="16" s="1"/>
  <c r="AC705" i="16" s="1"/>
  <c r="AD705" i="16" s="1"/>
  <c r="AF704" i="16"/>
  <c r="AQ34" i="17"/>
  <c r="M46" i="17"/>
  <c r="E46" i="17" s="1"/>
  <c r="L46" i="17" s="1"/>
  <c r="O45" i="17"/>
  <c r="BC653" i="16"/>
  <c r="BH653" i="16" s="1"/>
  <c r="BO652" i="16"/>
  <c r="BP652" i="16" s="1"/>
  <c r="BN652" i="16"/>
  <c r="AU35" i="17" l="1"/>
  <c r="AV35" i="17" s="1"/>
  <c r="AL35" i="17"/>
  <c r="AG704" i="16"/>
  <c r="AL704" i="16" s="1"/>
  <c r="AY704" i="16" s="1"/>
  <c r="BQ29" i="17"/>
  <c r="BD30" i="17"/>
  <c r="AE705" i="16"/>
  <c r="W705" i="16"/>
  <c r="N46" i="17"/>
  <c r="W36" i="17"/>
  <c r="AA36" i="17" s="1"/>
  <c r="AK36" i="17" s="1"/>
  <c r="AD36" i="17"/>
  <c r="P46" i="17"/>
  <c r="Q46" i="17" s="1"/>
  <c r="AD700" i="15"/>
  <c r="E651" i="14"/>
  <c r="F651" i="14" s="1"/>
  <c r="H651" i="14" s="1"/>
  <c r="AJ674" i="15"/>
  <c r="BQ652" i="16"/>
  <c r="BD653" i="16"/>
  <c r="AY35" i="17" l="1"/>
  <c r="AM35" i="17"/>
  <c r="AN35" i="17" s="1"/>
  <c r="AO35" i="17" s="1"/>
  <c r="AP35" i="17" s="1"/>
  <c r="AM704" i="16"/>
  <c r="AN704" i="16" s="1"/>
  <c r="AO704" i="16" s="1"/>
  <c r="AP704" i="16" s="1"/>
  <c r="AH704" i="16"/>
  <c r="AS704" i="16" s="1"/>
  <c r="BK30" i="17"/>
  <c r="BL30" i="17" s="1"/>
  <c r="BM30" i="17" s="1"/>
  <c r="BJ30" i="17"/>
  <c r="BE30" i="17"/>
  <c r="BF30" i="17" s="1"/>
  <c r="AA705" i="16"/>
  <c r="AK705" i="16" s="1"/>
  <c r="Y705" i="16"/>
  <c r="AB705" i="16" s="1"/>
  <c r="Y36" i="17"/>
  <c r="AB36" i="17" s="1"/>
  <c r="O46" i="17"/>
  <c r="M47" i="17"/>
  <c r="P47" i="17" s="1"/>
  <c r="S46" i="17"/>
  <c r="AE36" i="17"/>
  <c r="BJ653" i="16"/>
  <c r="BK653" i="16"/>
  <c r="BE653" i="16"/>
  <c r="BF653" i="16" s="1"/>
  <c r="AL142" i="15"/>
  <c r="AF230" i="15"/>
  <c r="AR704" i="16" l="1"/>
  <c r="AU704" i="16"/>
  <c r="AV704" i="16" s="1"/>
  <c r="AT704" i="16"/>
  <c r="AW704" i="16" s="1"/>
  <c r="AX704" i="16" s="1"/>
  <c r="AZ704" i="16" s="1"/>
  <c r="BG30" i="17"/>
  <c r="BI30" i="17"/>
  <c r="E47" i="17"/>
  <c r="L47" i="17" s="1"/>
  <c r="N47" i="17" s="1"/>
  <c r="AF705" i="16"/>
  <c r="Z705" i="16"/>
  <c r="AQ704" i="16"/>
  <c r="Q47" i="17"/>
  <c r="S47" i="17" s="1"/>
  <c r="AR35" i="17"/>
  <c r="AF36" i="17"/>
  <c r="AG36" i="17" s="1"/>
  <c r="AH36" i="17" s="1"/>
  <c r="AS36" i="17" s="1"/>
  <c r="Z36" i="17"/>
  <c r="AQ35" i="17"/>
  <c r="BI653" i="16"/>
  <c r="BG653" i="16"/>
  <c r="BL653" i="16"/>
  <c r="BM653" i="16" s="1"/>
  <c r="AG705" i="16" l="1"/>
  <c r="AL705" i="16" s="1"/>
  <c r="AY705" i="16" s="1"/>
  <c r="AT36" i="17"/>
  <c r="AW36" i="17" s="1"/>
  <c r="AX36" i="17" s="1"/>
  <c r="AZ36" i="17" s="1"/>
  <c r="AU36" i="17"/>
  <c r="AV36" i="17" s="1"/>
  <c r="AL36" i="17"/>
  <c r="AY36" i="17" s="1"/>
  <c r="BO30" i="17"/>
  <c r="BP30" i="17" s="1"/>
  <c r="BN30" i="17"/>
  <c r="BC31" i="17"/>
  <c r="BH31" i="17" s="1"/>
  <c r="U706" i="16"/>
  <c r="AC706" i="16" s="1"/>
  <c r="U37" i="17"/>
  <c r="AC37" i="17" s="1"/>
  <c r="O47" i="17"/>
  <c r="M48" i="17"/>
  <c r="BC654" i="16"/>
  <c r="BH654" i="16" s="1"/>
  <c r="BO653" i="16"/>
  <c r="BP653" i="16" s="1"/>
  <c r="BN653" i="16"/>
  <c r="AM705" i="16" l="1"/>
  <c r="AN705" i="16" s="1"/>
  <c r="AO705" i="16" s="1"/>
  <c r="AP705" i="16" s="1"/>
  <c r="AQ705" i="16" s="1"/>
  <c r="AM36" i="17"/>
  <c r="AN36" i="17" s="1"/>
  <c r="AO36" i="17" s="1"/>
  <c r="AH705" i="16"/>
  <c r="AS705" i="16" s="1"/>
  <c r="BD31" i="17"/>
  <c r="BK31" i="17" s="1"/>
  <c r="BL31" i="17" s="1"/>
  <c r="BM31" i="17" s="1"/>
  <c r="BQ30" i="17"/>
  <c r="AD706" i="16"/>
  <c r="W706" i="16"/>
  <c r="Y706" i="16" s="1"/>
  <c r="AB706" i="16" s="1"/>
  <c r="BD654" i="16"/>
  <c r="BJ654" i="16" s="1"/>
  <c r="W37" i="17"/>
  <c r="AA37" i="17" s="1"/>
  <c r="AK37" i="17" s="1"/>
  <c r="E48" i="17"/>
  <c r="L48" i="17" s="1"/>
  <c r="P48" i="17"/>
  <c r="AD37" i="17"/>
  <c r="AJ675" i="15"/>
  <c r="BQ653" i="16"/>
  <c r="E652" i="14"/>
  <c r="F652" i="14" s="1"/>
  <c r="H652" i="14" s="1"/>
  <c r="AD702" i="15"/>
  <c r="AT705" i="16" l="1"/>
  <c r="AW705" i="16" s="1"/>
  <c r="AX705" i="16" s="1"/>
  <c r="AZ705" i="16" s="1"/>
  <c r="AU705" i="16"/>
  <c r="AV705" i="16" s="1"/>
  <c r="BE31" i="17"/>
  <c r="BF31" i="17" s="1"/>
  <c r="BG31" i="17" s="1"/>
  <c r="BJ31" i="17"/>
  <c r="BK654" i="16"/>
  <c r="BL654" i="16" s="1"/>
  <c r="BM654" i="16" s="1"/>
  <c r="Y37" i="17"/>
  <c r="AB37" i="17" s="1"/>
  <c r="BE654" i="16"/>
  <c r="BF654" i="16" s="1"/>
  <c r="BI654" i="16" s="1"/>
  <c r="AR705" i="16"/>
  <c r="AE706" i="16"/>
  <c r="AF706" i="16" s="1"/>
  <c r="AG706" i="16" s="1"/>
  <c r="AH706" i="16" s="1"/>
  <c r="AS706" i="16" s="1"/>
  <c r="AT706" i="16" s="1"/>
  <c r="AW706" i="16" s="1"/>
  <c r="AX706" i="16" s="1"/>
  <c r="AZ706" i="16" s="1"/>
  <c r="AA706" i="16"/>
  <c r="AK706" i="16" s="1"/>
  <c r="Z706" i="16"/>
  <c r="AP36" i="17"/>
  <c r="Q48" i="17"/>
  <c r="S48" i="17" s="1"/>
  <c r="AE37" i="17"/>
  <c r="N48" i="17"/>
  <c r="AL22" i="15"/>
  <c r="AF211" i="15"/>
  <c r="AF37" i="17" l="1"/>
  <c r="AG37" i="17" s="1"/>
  <c r="AH37" i="17" s="1"/>
  <c r="AS37" i="17" s="1"/>
  <c r="AU37" i="17" s="1"/>
  <c r="AV37" i="17" s="1"/>
  <c r="BI31" i="17"/>
  <c r="BN31" i="17" s="1"/>
  <c r="AL706" i="16"/>
  <c r="AY706" i="16" s="1"/>
  <c r="AU706" i="16"/>
  <c r="AV706" i="16" s="1"/>
  <c r="BG654" i="16"/>
  <c r="BC655" i="16" s="1"/>
  <c r="BH655" i="16" s="1"/>
  <c r="Z37" i="17"/>
  <c r="U38" i="17" s="1"/>
  <c r="AC38" i="17" s="1"/>
  <c r="BC32" i="17"/>
  <c r="BH32" i="17" s="1"/>
  <c r="U707" i="16"/>
  <c r="AC707" i="16" s="1"/>
  <c r="M49" i="17"/>
  <c r="E49" i="17" s="1"/>
  <c r="L49" i="17" s="1"/>
  <c r="O48" i="17"/>
  <c r="AR36" i="17"/>
  <c r="AQ36" i="17"/>
  <c r="BO654" i="16"/>
  <c r="BP654" i="16" s="1"/>
  <c r="BN654" i="16"/>
  <c r="AM706" i="16" l="1"/>
  <c r="AN706" i="16" s="1"/>
  <c r="AO706" i="16" s="1"/>
  <c r="AP706" i="16" s="1"/>
  <c r="AQ706" i="16" s="1"/>
  <c r="AT37" i="17"/>
  <c r="AW37" i="17" s="1"/>
  <c r="AX37" i="17" s="1"/>
  <c r="AZ37" i="17" s="1"/>
  <c r="BO31" i="17"/>
  <c r="BP31" i="17" s="1"/>
  <c r="BQ31" i="17" s="1"/>
  <c r="AL37" i="17"/>
  <c r="AY37" i="17" s="1"/>
  <c r="BD32" i="17"/>
  <c r="BE32" i="17" s="1"/>
  <c r="BF32" i="17" s="1"/>
  <c r="W38" i="17"/>
  <c r="AA38" i="17" s="1"/>
  <c r="AK38" i="17" s="1"/>
  <c r="AD707" i="16"/>
  <c r="W707" i="16"/>
  <c r="AA707" i="16" s="1"/>
  <c r="AK707" i="16" s="1"/>
  <c r="N49" i="17"/>
  <c r="AD38" i="17"/>
  <c r="P49" i="17"/>
  <c r="BD655" i="16"/>
  <c r="BE655" i="16" s="1"/>
  <c r="BF655" i="16" s="1"/>
  <c r="AJ676" i="15"/>
  <c r="BQ654" i="16"/>
  <c r="E653" i="14"/>
  <c r="F653" i="14" s="1"/>
  <c r="H653" i="14" s="1"/>
  <c r="AD675" i="15"/>
  <c r="AR706" i="16" l="1"/>
  <c r="AM37" i="17"/>
  <c r="AN37" i="17" s="1"/>
  <c r="AO37" i="17" s="1"/>
  <c r="AP37" i="17" s="1"/>
  <c r="BK32" i="17"/>
  <c r="BL32" i="17" s="1"/>
  <c r="BM32" i="17" s="1"/>
  <c r="Y38" i="17"/>
  <c r="AB38" i="17" s="1"/>
  <c r="BJ32" i="17"/>
  <c r="BG32" i="17"/>
  <c r="BI32" i="17"/>
  <c r="Y707" i="16"/>
  <c r="AB707" i="16" s="1"/>
  <c r="AE707" i="16"/>
  <c r="O49" i="17"/>
  <c r="M50" i="17"/>
  <c r="E50" i="17" s="1"/>
  <c r="L50" i="17" s="1"/>
  <c r="Q49" i="17"/>
  <c r="S49" i="17" s="1"/>
  <c r="AE38" i="17"/>
  <c r="BI655" i="16"/>
  <c r="BG655" i="16"/>
  <c r="BJ655" i="16"/>
  <c r="BK655" i="16"/>
  <c r="AF191" i="15"/>
  <c r="Z38" i="17" l="1"/>
  <c r="U39" i="17" s="1"/>
  <c r="AC39" i="17" s="1"/>
  <c r="N50" i="17"/>
  <c r="O50" i="17" s="1"/>
  <c r="BO32" i="17"/>
  <c r="BP32" i="17" s="1"/>
  <c r="BN32" i="17"/>
  <c r="BC33" i="17"/>
  <c r="BH33" i="17" s="1"/>
  <c r="Z707" i="16"/>
  <c r="U708" i="16" s="1"/>
  <c r="AC708" i="16" s="1"/>
  <c r="P50" i="17"/>
  <c r="AF707" i="16"/>
  <c r="AG707" i="16" s="1"/>
  <c r="AH707" i="16" s="1"/>
  <c r="AS707" i="16" s="1"/>
  <c r="AF38" i="17"/>
  <c r="AG38" i="17" s="1"/>
  <c r="AR37" i="17"/>
  <c r="AQ37" i="17"/>
  <c r="BL655" i="16"/>
  <c r="BM655" i="16" s="1"/>
  <c r="BC656" i="16"/>
  <c r="BO655" i="16"/>
  <c r="BP655" i="16" s="1"/>
  <c r="AL143" i="15"/>
  <c r="AH38" i="17" l="1"/>
  <c r="AS38" i="17" s="1"/>
  <c r="AU707" i="16"/>
  <c r="AV707" i="16" s="1"/>
  <c r="AT707" i="16"/>
  <c r="AW707" i="16" s="1"/>
  <c r="AX707" i="16" s="1"/>
  <c r="AZ707" i="16" s="1"/>
  <c r="W39" i="17"/>
  <c r="AA39" i="17" s="1"/>
  <c r="AK39" i="17" s="1"/>
  <c r="AL38" i="17"/>
  <c r="AY38" i="17" s="1"/>
  <c r="AD39" i="17"/>
  <c r="AE39" i="17" s="1"/>
  <c r="AL707" i="16"/>
  <c r="AY707" i="16" s="1"/>
  <c r="M51" i="17"/>
  <c r="E51" i="17" s="1"/>
  <c r="L51" i="17" s="1"/>
  <c r="N51" i="17" s="1"/>
  <c r="O51" i="17" s="1"/>
  <c r="BQ32" i="17"/>
  <c r="BD33" i="17"/>
  <c r="Q50" i="17"/>
  <c r="S50" i="17" s="1"/>
  <c r="W708" i="16"/>
  <c r="AA708" i="16" s="1"/>
  <c r="AK708" i="16" s="1"/>
  <c r="BN655" i="16"/>
  <c r="AD699" i="15" s="1"/>
  <c r="AD708" i="16"/>
  <c r="BH656" i="16"/>
  <c r="AJ677" i="15"/>
  <c r="BD656" i="16"/>
  <c r="AM38" i="17" l="1"/>
  <c r="AN38" i="17" s="1"/>
  <c r="AM707" i="16"/>
  <c r="AN707" i="16" s="1"/>
  <c r="AO707" i="16" s="1"/>
  <c r="AP707" i="16" s="1"/>
  <c r="AR707" i="16" s="1"/>
  <c r="Y39" i="17"/>
  <c r="AB39" i="17" s="1"/>
  <c r="AF39" i="17" s="1"/>
  <c r="AG39" i="17" s="1"/>
  <c r="AH39" i="17" s="1"/>
  <c r="AS39" i="17" s="1"/>
  <c r="AT39" i="17" s="1"/>
  <c r="AU38" i="17"/>
  <c r="AV38" i="17" s="1"/>
  <c r="AT38" i="17"/>
  <c r="AW38" i="17" s="1"/>
  <c r="M52" i="17"/>
  <c r="E52" i="17" s="1"/>
  <c r="L52" i="17" s="1"/>
  <c r="BK33" i="17"/>
  <c r="BL33" i="17" s="1"/>
  <c r="BM33" i="17" s="1"/>
  <c r="BJ33" i="17"/>
  <c r="BE33" i="17"/>
  <c r="BF33" i="17" s="1"/>
  <c r="P51" i="17"/>
  <c r="Q51" i="17" s="1"/>
  <c r="S51" i="17" s="1"/>
  <c r="E654" i="14"/>
  <c r="F654" i="14" s="1"/>
  <c r="H654" i="14" s="1"/>
  <c r="BQ655" i="16"/>
  <c r="AE708" i="16"/>
  <c r="Y708" i="16"/>
  <c r="BJ656" i="16"/>
  <c r="BK656" i="16"/>
  <c r="BE656" i="16"/>
  <c r="BF656" i="16" s="1"/>
  <c r="AO38" i="17" l="1"/>
  <c r="AP38" i="17" s="1"/>
  <c r="Z39" i="17"/>
  <c r="U40" i="17" s="1"/>
  <c r="AC40" i="17" s="1"/>
  <c r="AD40" i="17" s="1"/>
  <c r="AL39" i="17"/>
  <c r="AX38" i="17"/>
  <c r="AZ38" i="17" s="1"/>
  <c r="AU39" i="17"/>
  <c r="AV39" i="17" s="1"/>
  <c r="BG33" i="17"/>
  <c r="BI33" i="17"/>
  <c r="P52" i="17"/>
  <c r="Q52" i="17" s="1"/>
  <c r="S52" i="17" s="1"/>
  <c r="AB708" i="16"/>
  <c r="Z708" i="16"/>
  <c r="AQ707" i="16"/>
  <c r="AR38" i="17"/>
  <c r="AQ38" i="17"/>
  <c r="N52" i="17"/>
  <c r="BI656" i="16"/>
  <c r="BG656" i="16"/>
  <c r="BL656" i="16"/>
  <c r="BM656" i="16" s="1"/>
  <c r="AL144" i="15"/>
  <c r="AF192" i="15"/>
  <c r="W40" i="17" l="1"/>
  <c r="Y40" i="17" s="1"/>
  <c r="AB40" i="17" s="1"/>
  <c r="AW39" i="17"/>
  <c r="AX39" i="17" s="1"/>
  <c r="AZ39" i="17" s="1"/>
  <c r="AY39" i="17"/>
  <c r="AM39" i="17"/>
  <c r="AN39" i="17" s="1"/>
  <c r="AO39" i="17" s="1"/>
  <c r="AP39" i="17" s="1"/>
  <c r="BO33" i="17"/>
  <c r="BP33" i="17" s="1"/>
  <c r="BN33" i="17"/>
  <c r="BC34" i="17"/>
  <c r="AF708" i="16"/>
  <c r="AG708" i="16" s="1"/>
  <c r="AH708" i="16" s="1"/>
  <c r="AS708" i="16" s="1"/>
  <c r="U709" i="16"/>
  <c r="AC709" i="16" s="1"/>
  <c r="O52" i="17"/>
  <c r="M53" i="17"/>
  <c r="E53" i="17" s="1"/>
  <c r="L53" i="17" s="1"/>
  <c r="AE40" i="17"/>
  <c r="BC657" i="16"/>
  <c r="BH657" i="16" s="1"/>
  <c r="BO656" i="16"/>
  <c r="BP656" i="16" s="1"/>
  <c r="BN656" i="16"/>
  <c r="AA40" i="17" l="1"/>
  <c r="AK40" i="17" s="1"/>
  <c r="AF40" i="17"/>
  <c r="AG40" i="17" s="1"/>
  <c r="AL40" i="17" s="1"/>
  <c r="AY40" i="17" s="1"/>
  <c r="Z40" i="17"/>
  <c r="U41" i="17" s="1"/>
  <c r="AC41" i="17" s="1"/>
  <c r="AT708" i="16"/>
  <c r="AW708" i="16" s="1"/>
  <c r="AX708" i="16" s="1"/>
  <c r="AZ708" i="16" s="1"/>
  <c r="AU708" i="16"/>
  <c r="AV708" i="16" s="1"/>
  <c r="AL708" i="16"/>
  <c r="AY708" i="16" s="1"/>
  <c r="BQ33" i="17"/>
  <c r="BD34" i="17"/>
  <c r="BH34" i="17"/>
  <c r="AD709" i="16"/>
  <c r="W709" i="16"/>
  <c r="AA709" i="16" s="1"/>
  <c r="AK709" i="16" s="1"/>
  <c r="N53" i="17"/>
  <c r="AQ39" i="17"/>
  <c r="P53" i="17"/>
  <c r="AR39" i="17"/>
  <c r="E655" i="14"/>
  <c r="F655" i="14" s="1"/>
  <c r="H655" i="14" s="1"/>
  <c r="AD587" i="15"/>
  <c r="BD657" i="16"/>
  <c r="AJ96" i="15"/>
  <c r="BQ656" i="16"/>
  <c r="AM708" i="16" l="1"/>
  <c r="AM40" i="17"/>
  <c r="AN40" i="17" s="1"/>
  <c r="AO40" i="17" s="1"/>
  <c r="AH40" i="17"/>
  <c r="AS40" i="17" s="1"/>
  <c r="AT40" i="17" s="1"/>
  <c r="AW40" i="17" s="1"/>
  <c r="AX40" i="17" s="1"/>
  <c r="AZ40" i="17" s="1"/>
  <c r="BK34" i="17"/>
  <c r="BL34" i="17" s="1"/>
  <c r="BM34" i="17" s="1"/>
  <c r="BJ34" i="17"/>
  <c r="BE34" i="17"/>
  <c r="BF34" i="17" s="1"/>
  <c r="W41" i="17"/>
  <c r="AA41" i="17" s="1"/>
  <c r="AK41" i="17" s="1"/>
  <c r="Y709" i="16"/>
  <c r="AB709" i="16" s="1"/>
  <c r="AE709" i="16"/>
  <c r="AN708" i="16"/>
  <c r="AO708" i="16" s="1"/>
  <c r="Q53" i="17"/>
  <c r="S53" i="17" s="1"/>
  <c r="AD41" i="17"/>
  <c r="O53" i="17"/>
  <c r="M54" i="17"/>
  <c r="BJ657" i="16"/>
  <c r="BK657" i="16"/>
  <c r="BE657" i="16"/>
  <c r="BF657" i="16" s="1"/>
  <c r="AL112" i="15"/>
  <c r="AF194" i="15"/>
  <c r="AU40" i="17" l="1"/>
  <c r="AV40" i="17" s="1"/>
  <c r="Z709" i="16"/>
  <c r="U710" i="16" s="1"/>
  <c r="AC710" i="16" s="1"/>
  <c r="AD710" i="16" s="1"/>
  <c r="BG34" i="17"/>
  <c r="BI34" i="17"/>
  <c r="Y41" i="17"/>
  <c r="AB41" i="17" s="1"/>
  <c r="AF709" i="16"/>
  <c r="AP708" i="16"/>
  <c r="AR708" i="16" s="1"/>
  <c r="AP40" i="17"/>
  <c r="P54" i="17"/>
  <c r="E54" i="17"/>
  <c r="L54" i="17" s="1"/>
  <c r="AE41" i="17"/>
  <c r="BI657" i="16"/>
  <c r="BG657" i="16"/>
  <c r="BL657" i="16"/>
  <c r="BM657" i="16" s="1"/>
  <c r="AG709" i="16" l="1"/>
  <c r="AH709" i="16" s="1"/>
  <c r="AS709" i="16" s="1"/>
  <c r="AU709" i="16" s="1"/>
  <c r="AV709" i="16" s="1"/>
  <c r="BO34" i="17"/>
  <c r="BP34" i="17" s="1"/>
  <c r="BN34" i="17"/>
  <c r="BC35" i="17"/>
  <c r="Z41" i="17"/>
  <c r="U42" i="17" s="1"/>
  <c r="AC42" i="17" s="1"/>
  <c r="AQ40" i="17"/>
  <c r="AR40" i="17"/>
  <c r="AE710" i="16"/>
  <c r="W710" i="16"/>
  <c r="AA710" i="16" s="1"/>
  <c r="AK710" i="16" s="1"/>
  <c r="AQ708" i="16"/>
  <c r="N54" i="17"/>
  <c r="Q54" i="17"/>
  <c r="S54" i="17" s="1"/>
  <c r="AF41" i="17"/>
  <c r="AG41" i="17" s="1"/>
  <c r="BC658" i="16"/>
  <c r="BH658" i="16" s="1"/>
  <c r="BN657" i="16"/>
  <c r="BO657" i="16"/>
  <c r="BP657" i="16" s="1"/>
  <c r="AH41" i="17" l="1"/>
  <c r="AS41" i="17" s="1"/>
  <c r="AT709" i="16"/>
  <c r="AW709" i="16" s="1"/>
  <c r="AX709" i="16" s="1"/>
  <c r="AZ709" i="16" s="1"/>
  <c r="AL41" i="17"/>
  <c r="AY41" i="17" s="1"/>
  <c r="AL709" i="16"/>
  <c r="AY709" i="16" s="1"/>
  <c r="BQ34" i="17"/>
  <c r="AD42" i="17"/>
  <c r="AE42" i="17" s="1"/>
  <c r="BH35" i="17"/>
  <c r="W42" i="17"/>
  <c r="AA42" i="17" s="1"/>
  <c r="AK42" i="17" s="1"/>
  <c r="BD35" i="17"/>
  <c r="BE35" i="17" s="1"/>
  <c r="BF35" i="17" s="1"/>
  <c r="Y710" i="16"/>
  <c r="AB710" i="16" s="1"/>
  <c r="M55" i="17"/>
  <c r="E55" i="17" s="1"/>
  <c r="L55" i="17" s="1"/>
  <c r="O54" i="17"/>
  <c r="BD658" i="16"/>
  <c r="BE658" i="16" s="1"/>
  <c r="BF658" i="16" s="1"/>
  <c r="AJ678" i="15"/>
  <c r="BQ657" i="16"/>
  <c r="AD568" i="15"/>
  <c r="E656" i="14"/>
  <c r="F656" i="14" s="1"/>
  <c r="H656" i="14" s="1"/>
  <c r="AM709" i="16" l="1"/>
  <c r="AN709" i="16" s="1"/>
  <c r="AO709" i="16" s="1"/>
  <c r="AP709" i="16" s="1"/>
  <c r="AR709" i="16" s="1"/>
  <c r="AM41" i="17"/>
  <c r="AN41" i="17" s="1"/>
  <c r="AT41" i="17"/>
  <c r="AW41" i="17" s="1"/>
  <c r="AX41" i="17" s="1"/>
  <c r="AZ41" i="17" s="1"/>
  <c r="AU41" i="17"/>
  <c r="AV41" i="17" s="1"/>
  <c r="Y42" i="17"/>
  <c r="AB42" i="17" s="1"/>
  <c r="AF42" i="17" s="1"/>
  <c r="AG42" i="17" s="1"/>
  <c r="BG35" i="17"/>
  <c r="BI35" i="17"/>
  <c r="BK35" i="17"/>
  <c r="BJ35" i="17"/>
  <c r="Z710" i="16"/>
  <c r="U711" i="16" s="1"/>
  <c r="AC711" i="16" s="1"/>
  <c r="AF710" i="16"/>
  <c r="P55" i="17"/>
  <c r="N55" i="17"/>
  <c r="BI658" i="16"/>
  <c r="BG658" i="16"/>
  <c r="BJ658" i="16"/>
  <c r="BK658" i="16"/>
  <c r="AL145" i="15"/>
  <c r="AF196" i="15"/>
  <c r="AQ709" i="16" l="1"/>
  <c r="AO41" i="17"/>
  <c r="AP41" i="17" s="1"/>
  <c r="AQ41" i="17" s="1"/>
  <c r="AL42" i="17"/>
  <c r="AY42" i="17" s="1"/>
  <c r="Z42" i="17"/>
  <c r="U43" i="17" s="1"/>
  <c r="AC43" i="17" s="1"/>
  <c r="AG710" i="16"/>
  <c r="AL710" i="16" s="1"/>
  <c r="AY710" i="16" s="1"/>
  <c r="AH42" i="17"/>
  <c r="AS42" i="17" s="1"/>
  <c r="BL35" i="17"/>
  <c r="BM35" i="17" s="1"/>
  <c r="BO35" i="17"/>
  <c r="BP35" i="17" s="1"/>
  <c r="BC36" i="17"/>
  <c r="AD711" i="16"/>
  <c r="W711" i="16"/>
  <c r="AA711" i="16" s="1"/>
  <c r="AK711" i="16" s="1"/>
  <c r="Q55" i="17"/>
  <c r="S55" i="17" s="1"/>
  <c r="M56" i="17"/>
  <c r="O55" i="17"/>
  <c r="BL658" i="16"/>
  <c r="BM658" i="16" s="1"/>
  <c r="BO658" i="16"/>
  <c r="BP658" i="16" s="1"/>
  <c r="BC659" i="16"/>
  <c r="BH659" i="16" s="1"/>
  <c r="AR41" i="17" l="1"/>
  <c r="AM710" i="16"/>
  <c r="AN710" i="16" s="1"/>
  <c r="AO710" i="16" s="1"/>
  <c r="AM42" i="17"/>
  <c r="AN42" i="17" s="1"/>
  <c r="AO42" i="17" s="1"/>
  <c r="BN35" i="17"/>
  <c r="BQ35" i="17" s="1"/>
  <c r="AT42" i="17"/>
  <c r="AW42" i="17" s="1"/>
  <c r="AX42" i="17" s="1"/>
  <c r="AZ42" i="17" s="1"/>
  <c r="AU42" i="17"/>
  <c r="AV42" i="17" s="1"/>
  <c r="AH710" i="16"/>
  <c r="AS710" i="16" s="1"/>
  <c r="BD36" i="17"/>
  <c r="BH36" i="17"/>
  <c r="W43" i="17"/>
  <c r="AA43" i="17" s="1"/>
  <c r="AK43" i="17" s="1"/>
  <c r="Y711" i="16"/>
  <c r="AB711" i="16" s="1"/>
  <c r="P56" i="17"/>
  <c r="Q56" i="17" s="1"/>
  <c r="S56" i="17" s="1"/>
  <c r="BD659" i="16"/>
  <c r="BJ659" i="16" s="1"/>
  <c r="BN658" i="16"/>
  <c r="E657" i="14" s="1"/>
  <c r="F657" i="14" s="1"/>
  <c r="H657" i="14" s="1"/>
  <c r="AE711" i="16"/>
  <c r="AD43" i="17"/>
  <c r="E56" i="17"/>
  <c r="L56" i="17" s="1"/>
  <c r="AJ42" i="15"/>
  <c r="BQ658" i="16" l="1"/>
  <c r="AT710" i="16"/>
  <c r="AW710" i="16" s="1"/>
  <c r="AU710" i="16"/>
  <c r="AV710" i="16" s="1"/>
  <c r="BE659" i="16"/>
  <c r="BF659" i="16" s="1"/>
  <c r="BI659" i="16" s="1"/>
  <c r="Y43" i="17"/>
  <c r="AB43" i="17" s="1"/>
  <c r="BJ36" i="17"/>
  <c r="BK36" i="17"/>
  <c r="BL36" i="17" s="1"/>
  <c r="BM36" i="17" s="1"/>
  <c r="BE36" i="17"/>
  <c r="BF36" i="17" s="1"/>
  <c r="Z711" i="16"/>
  <c r="U712" i="16" s="1"/>
  <c r="AC712" i="16" s="1"/>
  <c r="AD712" i="16" s="1"/>
  <c r="BK659" i="16"/>
  <c r="BL659" i="16" s="1"/>
  <c r="BM659" i="16" s="1"/>
  <c r="AF711" i="16"/>
  <c r="AG711" i="16" s="1"/>
  <c r="AH711" i="16" s="1"/>
  <c r="AS711" i="16" s="1"/>
  <c r="AT711" i="16" s="1"/>
  <c r="AD336" i="15"/>
  <c r="AP710" i="16"/>
  <c r="AR710" i="16" s="1"/>
  <c r="AP42" i="17"/>
  <c r="N56" i="17"/>
  <c r="AE43" i="17"/>
  <c r="BG659" i="16" l="1"/>
  <c r="BC660" i="16" s="1"/>
  <c r="BH660" i="16" s="1"/>
  <c r="Z43" i="17"/>
  <c r="U44" i="17" s="1"/>
  <c r="AC44" i="17" s="1"/>
  <c r="AU711" i="16"/>
  <c r="AV711" i="16" s="1"/>
  <c r="AX710" i="16"/>
  <c r="AZ710" i="16" s="1"/>
  <c r="AL711" i="16"/>
  <c r="AY711" i="16" s="1"/>
  <c r="BG36" i="17"/>
  <c r="BI36" i="17"/>
  <c r="AR42" i="17"/>
  <c r="AE712" i="16"/>
  <c r="W712" i="16"/>
  <c r="AQ710" i="16"/>
  <c r="M57" i="17"/>
  <c r="E57" i="17" s="1"/>
  <c r="L57" i="17" s="1"/>
  <c r="O56" i="17"/>
  <c r="AF43" i="17"/>
  <c r="AG43" i="17" s="1"/>
  <c r="AQ42" i="17"/>
  <c r="BO659" i="16"/>
  <c r="BP659" i="16" s="1"/>
  <c r="BN659" i="16"/>
  <c r="AL146" i="15"/>
  <c r="AF198" i="15"/>
  <c r="AM711" i="16" l="1"/>
  <c r="AN711" i="16" s="1"/>
  <c r="AO711" i="16" s="1"/>
  <c r="AP711" i="16" s="1"/>
  <c r="AQ711" i="16" s="1"/>
  <c r="AW711" i="16"/>
  <c r="AX711" i="16" s="1"/>
  <c r="AZ711" i="16" s="1"/>
  <c r="AH43" i="17"/>
  <c r="AS43" i="17" s="1"/>
  <c r="AL43" i="17"/>
  <c r="AY43" i="17" s="1"/>
  <c r="AR711" i="16"/>
  <c r="N57" i="17"/>
  <c r="M58" i="17" s="1"/>
  <c r="BO36" i="17"/>
  <c r="BP36" i="17" s="1"/>
  <c r="BN36" i="17"/>
  <c r="BC37" i="17"/>
  <c r="BD660" i="16"/>
  <c r="BE660" i="16" s="1"/>
  <c r="BF660" i="16" s="1"/>
  <c r="AA712" i="16"/>
  <c r="AK712" i="16" s="1"/>
  <c r="Y712" i="16"/>
  <c r="AB712" i="16" s="1"/>
  <c r="AD44" i="17"/>
  <c r="W44" i="17"/>
  <c r="P57" i="17"/>
  <c r="BQ659" i="16"/>
  <c r="AJ113" i="15"/>
  <c r="E658" i="14"/>
  <c r="F658" i="14" s="1"/>
  <c r="H658" i="14" s="1"/>
  <c r="AD319" i="15"/>
  <c r="O57" i="17" l="1"/>
  <c r="AT43" i="17"/>
  <c r="AW43" i="17" s="1"/>
  <c r="AX43" i="17" s="1"/>
  <c r="AZ43" i="17" s="1"/>
  <c r="AU43" i="17"/>
  <c r="AV43" i="17" s="1"/>
  <c r="AM43" i="17"/>
  <c r="AN43" i="17" s="1"/>
  <c r="BQ36" i="17"/>
  <c r="BH37" i="17"/>
  <c r="BD37" i="17"/>
  <c r="BK660" i="16"/>
  <c r="BL660" i="16" s="1"/>
  <c r="BM660" i="16" s="1"/>
  <c r="AF712" i="16"/>
  <c r="BJ660" i="16"/>
  <c r="Z712" i="16"/>
  <c r="AA44" i="17"/>
  <c r="AK44" i="17" s="1"/>
  <c r="Y44" i="17"/>
  <c r="AB44" i="17" s="1"/>
  <c r="AE44" i="17"/>
  <c r="Q57" i="17"/>
  <c r="S57" i="17" s="1"/>
  <c r="E58" i="17"/>
  <c r="L58" i="17" s="1"/>
  <c r="BI660" i="16"/>
  <c r="BG660" i="16"/>
  <c r="AO43" i="17" l="1"/>
  <c r="AP43" i="17" s="1"/>
  <c r="Z44" i="17"/>
  <c r="U45" i="17" s="1"/>
  <c r="AC45" i="17" s="1"/>
  <c r="AG712" i="16"/>
  <c r="AL712" i="16" s="1"/>
  <c r="AY712" i="16" s="1"/>
  <c r="BK37" i="17"/>
  <c r="BL37" i="17" s="1"/>
  <c r="BM37" i="17" s="1"/>
  <c r="BJ37" i="17"/>
  <c r="BE37" i="17"/>
  <c r="BF37" i="17" s="1"/>
  <c r="U713" i="16"/>
  <c r="AC713" i="16" s="1"/>
  <c r="N58" i="17"/>
  <c r="P58" i="17"/>
  <c r="AF44" i="17"/>
  <c r="AG44" i="17" s="1"/>
  <c r="BC661" i="16"/>
  <c r="BH661" i="16" s="1"/>
  <c r="BO660" i="16"/>
  <c r="BP660" i="16" s="1"/>
  <c r="BN660" i="16"/>
  <c r="AM712" i="16" l="1"/>
  <c r="AN712" i="16" s="1"/>
  <c r="AO712" i="16" s="1"/>
  <c r="AH712" i="16"/>
  <c r="AS712" i="16" s="1"/>
  <c r="AH44" i="17"/>
  <c r="AS44" i="17" s="1"/>
  <c r="AL44" i="17"/>
  <c r="AY44" i="17" s="1"/>
  <c r="BG37" i="17"/>
  <c r="BI37" i="17"/>
  <c r="BD661" i="16"/>
  <c r="BJ661" i="16" s="1"/>
  <c r="AD713" i="16"/>
  <c r="AP712" i="16"/>
  <c r="W713" i="16"/>
  <c r="AA713" i="16" s="1"/>
  <c r="AK713" i="16" s="1"/>
  <c r="Q58" i="17"/>
  <c r="S58" i="17" s="1"/>
  <c r="M59" i="17"/>
  <c r="O58" i="17"/>
  <c r="AR43" i="17"/>
  <c r="AD45" i="17"/>
  <c r="W45" i="17"/>
  <c r="AQ43" i="17"/>
  <c r="AD202" i="15"/>
  <c r="E659" i="14"/>
  <c r="F659" i="14" s="1"/>
  <c r="H659" i="14" s="1"/>
  <c r="AJ65" i="15"/>
  <c r="BQ660" i="16"/>
  <c r="AL147" i="15"/>
  <c r="AF200" i="15"/>
  <c r="BK661" i="16" l="1"/>
  <c r="BE661" i="16"/>
  <c r="BF661" i="16" s="1"/>
  <c r="BI661" i="16" s="1"/>
  <c r="AM44" i="17"/>
  <c r="AR712" i="16"/>
  <c r="AT44" i="17"/>
  <c r="AW44" i="17" s="1"/>
  <c r="AX44" i="17" s="1"/>
  <c r="AZ44" i="17" s="1"/>
  <c r="AU44" i="17"/>
  <c r="AV44" i="17" s="1"/>
  <c r="AT712" i="16"/>
  <c r="AW712" i="16" s="1"/>
  <c r="AX712" i="16" s="1"/>
  <c r="AZ712" i="16" s="1"/>
  <c r="AU712" i="16"/>
  <c r="AV712" i="16" s="1"/>
  <c r="Y713" i="16"/>
  <c r="AB713" i="16" s="1"/>
  <c r="BC38" i="17"/>
  <c r="BH38" i="17" s="1"/>
  <c r="BO37" i="17"/>
  <c r="BP37" i="17" s="1"/>
  <c r="BN37" i="17"/>
  <c r="AE713" i="16"/>
  <c r="AQ712" i="16"/>
  <c r="AE45" i="17"/>
  <c r="E59" i="17"/>
  <c r="L59" i="17" s="1"/>
  <c r="P59" i="17"/>
  <c r="AA45" i="17"/>
  <c r="AK45" i="17" s="1"/>
  <c r="Y45" i="17"/>
  <c r="AB45" i="17" s="1"/>
  <c r="AN44" i="17"/>
  <c r="AO44" i="17" s="1"/>
  <c r="BL661" i="16"/>
  <c r="BM661" i="16" s="1"/>
  <c r="BG661" i="16" l="1"/>
  <c r="BC662" i="16" s="1"/>
  <c r="BH662" i="16" s="1"/>
  <c r="AF713" i="16"/>
  <c r="AG713" i="16" s="1"/>
  <c r="AH713" i="16" s="1"/>
  <c r="AS713" i="16" s="1"/>
  <c r="AT713" i="16" s="1"/>
  <c r="AW713" i="16" s="1"/>
  <c r="AX713" i="16" s="1"/>
  <c r="AZ713" i="16" s="1"/>
  <c r="Z713" i="16"/>
  <c r="U714" i="16" s="1"/>
  <c r="AC714" i="16" s="1"/>
  <c r="BQ37" i="17"/>
  <c r="BD38" i="17"/>
  <c r="Z45" i="17"/>
  <c r="AP44" i="17"/>
  <c r="AQ44" i="17" s="1"/>
  <c r="Q59" i="17"/>
  <c r="S59" i="17" s="1"/>
  <c r="N59" i="17"/>
  <c r="AF45" i="17"/>
  <c r="AG45" i="17" s="1"/>
  <c r="BN661" i="16"/>
  <c r="BO661" i="16"/>
  <c r="BP661" i="16" s="1"/>
  <c r="AL98" i="15"/>
  <c r="AF202" i="15"/>
  <c r="AL713" i="16" l="1"/>
  <c r="AM713" i="16" s="1"/>
  <c r="AN713" i="16" s="1"/>
  <c r="AO713" i="16" s="1"/>
  <c r="AP713" i="16" s="1"/>
  <c r="AQ713" i="16" s="1"/>
  <c r="AU713" i="16"/>
  <c r="AV713" i="16" s="1"/>
  <c r="AH45" i="17"/>
  <c r="AS45" i="17" s="1"/>
  <c r="AL45" i="17"/>
  <c r="AY45" i="17" s="1"/>
  <c r="BK38" i="17"/>
  <c r="BL38" i="17" s="1"/>
  <c r="BM38" i="17" s="1"/>
  <c r="BJ38" i="17"/>
  <c r="BE38" i="17"/>
  <c r="BF38" i="17" s="1"/>
  <c r="AR44" i="17"/>
  <c r="AD714" i="16"/>
  <c r="W714" i="16"/>
  <c r="M60" i="17"/>
  <c r="O59" i="17"/>
  <c r="U46" i="17"/>
  <c r="AC46" i="17" s="1"/>
  <c r="BD662" i="16"/>
  <c r="BE662" i="16" s="1"/>
  <c r="BF662" i="16" s="1"/>
  <c r="AD247" i="15"/>
  <c r="E660" i="14"/>
  <c r="F660" i="14" s="1"/>
  <c r="H660" i="14" s="1"/>
  <c r="AJ679" i="15"/>
  <c r="BQ661" i="16"/>
  <c r="AY713" i="16" l="1"/>
  <c r="AT45" i="17"/>
  <c r="AW45" i="17" s="1"/>
  <c r="AX45" i="17" s="1"/>
  <c r="AZ45" i="17" s="1"/>
  <c r="AU45" i="17"/>
  <c r="AV45" i="17" s="1"/>
  <c r="AM45" i="17"/>
  <c r="AN45" i="17" s="1"/>
  <c r="BG38" i="17"/>
  <c r="BI38" i="17"/>
  <c r="AA714" i="16"/>
  <c r="AK714" i="16" s="1"/>
  <c r="Y714" i="16"/>
  <c r="AB714" i="16" s="1"/>
  <c r="AR713" i="16"/>
  <c r="AE714" i="16"/>
  <c r="AD46" i="17"/>
  <c r="AE46" i="17" s="1"/>
  <c r="P60" i="17"/>
  <c r="W46" i="17"/>
  <c r="AA46" i="17" s="1"/>
  <c r="AK46" i="17" s="1"/>
  <c r="E60" i="17"/>
  <c r="L60" i="17" s="1"/>
  <c r="BI662" i="16"/>
  <c r="BG662" i="16"/>
  <c r="BJ662" i="16"/>
  <c r="BK662" i="16"/>
  <c r="BO38" i="17" l="1"/>
  <c r="BP38" i="17" s="1"/>
  <c r="BN38" i="17"/>
  <c r="BC39" i="17"/>
  <c r="BH39" i="17" s="1"/>
  <c r="Z714" i="16"/>
  <c r="U715" i="16" s="1"/>
  <c r="AC715" i="16" s="1"/>
  <c r="AF714" i="16"/>
  <c r="AG714" i="16" s="1"/>
  <c r="AH714" i="16" s="1"/>
  <c r="AS714" i="16" s="1"/>
  <c r="N60" i="17"/>
  <c r="AO45" i="17"/>
  <c r="Q60" i="17"/>
  <c r="S60" i="17" s="1"/>
  <c r="Y46" i="17"/>
  <c r="BL662" i="16"/>
  <c r="BM662" i="16" s="1"/>
  <c r="BC663" i="16"/>
  <c r="BO662" i="16"/>
  <c r="BP662" i="16" s="1"/>
  <c r="AL148" i="15"/>
  <c r="AF203" i="15"/>
  <c r="AL714" i="16" l="1"/>
  <c r="AU714" i="16"/>
  <c r="AV714" i="16" s="1"/>
  <c r="AT714" i="16"/>
  <c r="AW714" i="16" s="1"/>
  <c r="AX714" i="16" s="1"/>
  <c r="AZ714" i="16" s="1"/>
  <c r="BQ38" i="17"/>
  <c r="BD39" i="17"/>
  <c r="BN662" i="16"/>
  <c r="E661" i="14" s="1"/>
  <c r="F661" i="14" s="1"/>
  <c r="H661" i="14" s="1"/>
  <c r="BD663" i="16"/>
  <c r="BJ663" i="16" s="1"/>
  <c r="AD715" i="16"/>
  <c r="AY714" i="16"/>
  <c r="AM714" i="16"/>
  <c r="AN714" i="16" s="1"/>
  <c r="AO714" i="16" s="1"/>
  <c r="AP714" i="16" s="1"/>
  <c r="AQ714" i="16" s="1"/>
  <c r="W715" i="16"/>
  <c r="M61" i="17"/>
  <c r="E61" i="17" s="1"/>
  <c r="L61" i="17" s="1"/>
  <c r="O60" i="17"/>
  <c r="AB46" i="17"/>
  <c r="Z46" i="17"/>
  <c r="AP45" i="17"/>
  <c r="AQ45" i="17" s="1"/>
  <c r="BH663" i="16"/>
  <c r="AJ680" i="15"/>
  <c r="AD287" i="15" l="1"/>
  <c r="BQ662" i="16"/>
  <c r="BK39" i="17"/>
  <c r="BJ39" i="17"/>
  <c r="BE39" i="17"/>
  <c r="BF39" i="17" s="1"/>
  <c r="BK663" i="16"/>
  <c r="BL663" i="16" s="1"/>
  <c r="BM663" i="16" s="1"/>
  <c r="AR714" i="16"/>
  <c r="AA715" i="16"/>
  <c r="AK715" i="16" s="1"/>
  <c r="Y715" i="16"/>
  <c r="AB715" i="16" s="1"/>
  <c r="AE715" i="16"/>
  <c r="BE663" i="16"/>
  <c r="BF663" i="16" s="1"/>
  <c r="N61" i="17"/>
  <c r="U47" i="17"/>
  <c r="AC47" i="17" s="1"/>
  <c r="AR45" i="17"/>
  <c r="AF46" i="17"/>
  <c r="AG46" i="17" s="1"/>
  <c r="P61" i="17"/>
  <c r="AH46" i="17" l="1"/>
  <c r="AS46" i="17" s="1"/>
  <c r="AL46" i="17"/>
  <c r="AY46" i="17" s="1"/>
  <c r="BG39" i="17"/>
  <c r="BI39" i="17"/>
  <c r="BL39" i="17"/>
  <c r="BM39" i="17" s="1"/>
  <c r="W47" i="17"/>
  <c r="AA47" i="17" s="1"/>
  <c r="AK47" i="17" s="1"/>
  <c r="Z715" i="16"/>
  <c r="U716" i="16" s="1"/>
  <c r="AC716" i="16" s="1"/>
  <c r="BG663" i="16"/>
  <c r="BC664" i="16" s="1"/>
  <c r="BH664" i="16" s="1"/>
  <c r="BI663" i="16"/>
  <c r="BO663" i="16" s="1"/>
  <c r="BP663" i="16" s="1"/>
  <c r="AJ82" i="15" s="1"/>
  <c r="AF715" i="16"/>
  <c r="AG715" i="16" s="1"/>
  <c r="AH715" i="16" s="1"/>
  <c r="AS715" i="16" s="1"/>
  <c r="Q61" i="17"/>
  <c r="S61" i="17" s="1"/>
  <c r="M62" i="17"/>
  <c r="E62" i="17" s="1"/>
  <c r="L62" i="17" s="1"/>
  <c r="O61" i="17"/>
  <c r="AD47" i="17"/>
  <c r="AL715" i="16" l="1"/>
  <c r="AM715" i="16" s="1"/>
  <c r="AN715" i="16" s="1"/>
  <c r="AO715" i="16" s="1"/>
  <c r="AM46" i="17"/>
  <c r="AN46" i="17" s="1"/>
  <c r="AT46" i="17"/>
  <c r="AW46" i="17" s="1"/>
  <c r="AX46" i="17" s="1"/>
  <c r="AZ46" i="17" s="1"/>
  <c r="AU46" i="17"/>
  <c r="AV46" i="17" s="1"/>
  <c r="AT715" i="16"/>
  <c r="AW715" i="16" s="1"/>
  <c r="AX715" i="16" s="1"/>
  <c r="AZ715" i="16" s="1"/>
  <c r="AU715" i="16"/>
  <c r="AV715" i="16" s="1"/>
  <c r="Y47" i="17"/>
  <c r="AB47" i="17" s="1"/>
  <c r="BO39" i="17"/>
  <c r="BP39" i="17" s="1"/>
  <c r="BN39" i="17"/>
  <c r="BC40" i="17"/>
  <c r="P62" i="17"/>
  <c r="Q62" i="17" s="1"/>
  <c r="S62" i="17" s="1"/>
  <c r="AD716" i="16"/>
  <c r="BN663" i="16"/>
  <c r="BQ663" i="16" s="1"/>
  <c r="BD664" i="16"/>
  <c r="BE664" i="16" s="1"/>
  <c r="BF664" i="16" s="1"/>
  <c r="BG664" i="16" s="1"/>
  <c r="AY715" i="16"/>
  <c r="W716" i="16"/>
  <c r="AA716" i="16" s="1"/>
  <c r="AK716" i="16" s="1"/>
  <c r="AE47" i="17"/>
  <c r="N62" i="17"/>
  <c r="AL149" i="15"/>
  <c r="AF204" i="15"/>
  <c r="E662" i="14" l="1"/>
  <c r="F662" i="14" s="1"/>
  <c r="H662" i="14" s="1"/>
  <c r="Z47" i="17"/>
  <c r="U48" i="17" s="1"/>
  <c r="AC48" i="17" s="1"/>
  <c r="BQ39" i="17"/>
  <c r="BD40" i="17"/>
  <c r="BE40" i="17" s="1"/>
  <c r="BF40" i="17" s="1"/>
  <c r="BH40" i="17"/>
  <c r="BK664" i="16"/>
  <c r="BL664" i="16" s="1"/>
  <c r="BM664" i="16" s="1"/>
  <c r="BI664" i="16"/>
  <c r="BO664" i="16" s="1"/>
  <c r="BP664" i="16" s="1"/>
  <c r="BJ664" i="16"/>
  <c r="Y716" i="16"/>
  <c r="AB716" i="16" s="1"/>
  <c r="AD222" i="15"/>
  <c r="AP715" i="16"/>
  <c r="AR715" i="16" s="1"/>
  <c r="AE716" i="16"/>
  <c r="M63" i="17"/>
  <c r="E63" i="17" s="1"/>
  <c r="L63" i="17" s="1"/>
  <c r="O62" i="17"/>
  <c r="AF47" i="17"/>
  <c r="AG47" i="17" s="1"/>
  <c r="AL47" i="17" s="1"/>
  <c r="AY47" i="17" s="1"/>
  <c r="AO46" i="17"/>
  <c r="BC665" i="16"/>
  <c r="AH47" i="17" l="1"/>
  <c r="AS47" i="17" s="1"/>
  <c r="BG40" i="17"/>
  <c r="BI40" i="17"/>
  <c r="BJ40" i="17"/>
  <c r="BK40" i="17"/>
  <c r="BL40" i="17" s="1"/>
  <c r="BM40" i="17" s="1"/>
  <c r="AQ715" i="16"/>
  <c r="W48" i="17"/>
  <c r="BN664" i="16"/>
  <c r="AD217" i="15" s="1"/>
  <c r="AF716" i="16"/>
  <c r="AG716" i="16" s="1"/>
  <c r="AH716" i="16" s="1"/>
  <c r="AS716" i="16" s="1"/>
  <c r="Z716" i="16"/>
  <c r="AM47" i="17"/>
  <c r="N63" i="17"/>
  <c r="AP46" i="17"/>
  <c r="AD48" i="17"/>
  <c r="P63" i="17"/>
  <c r="AJ131" i="15"/>
  <c r="BD665" i="16"/>
  <c r="BH665" i="16"/>
  <c r="AT47" i="17" l="1"/>
  <c r="AW47" i="17" s="1"/>
  <c r="AX47" i="17" s="1"/>
  <c r="AZ47" i="17" s="1"/>
  <c r="AU47" i="17"/>
  <c r="AV47" i="17" s="1"/>
  <c r="AT716" i="16"/>
  <c r="AW716" i="16" s="1"/>
  <c r="AX716" i="16" s="1"/>
  <c r="AZ716" i="16" s="1"/>
  <c r="AU716" i="16"/>
  <c r="AV716" i="16" s="1"/>
  <c r="AL716" i="16"/>
  <c r="AM716" i="16" s="1"/>
  <c r="AN716" i="16" s="1"/>
  <c r="AO716" i="16" s="1"/>
  <c r="BQ664" i="16"/>
  <c r="E663" i="14"/>
  <c r="F663" i="14" s="1"/>
  <c r="H663" i="14" s="1"/>
  <c r="BO40" i="17"/>
  <c r="BP40" i="17" s="1"/>
  <c r="BN40" i="17"/>
  <c r="BC41" i="17"/>
  <c r="BH41" i="17" s="1"/>
  <c r="AA48" i="17"/>
  <c r="AK48" i="17" s="1"/>
  <c r="Y48" i="17"/>
  <c r="AB48" i="17" s="1"/>
  <c r="U717" i="16"/>
  <c r="AC717" i="16" s="1"/>
  <c r="AR46" i="17"/>
  <c r="AE48" i="17"/>
  <c r="Q63" i="17"/>
  <c r="S63" i="17" s="1"/>
  <c r="AQ46" i="17"/>
  <c r="AN47" i="17"/>
  <c r="AO47" i="17" s="1"/>
  <c r="O63" i="17"/>
  <c r="M64" i="17"/>
  <c r="BJ665" i="16"/>
  <c r="BK665" i="16"/>
  <c r="BE665" i="16"/>
  <c r="BF665" i="16" s="1"/>
  <c r="AY716" i="16" l="1"/>
  <c r="BQ40" i="17"/>
  <c r="BD41" i="17"/>
  <c r="BE41" i="17" s="1"/>
  <c r="BF41" i="17" s="1"/>
  <c r="Z48" i="17"/>
  <c r="AD717" i="16"/>
  <c r="AP716" i="16"/>
  <c r="AR716" i="16" s="1"/>
  <c r="W717" i="16"/>
  <c r="AA717" i="16" s="1"/>
  <c r="AK717" i="16" s="1"/>
  <c r="AP47" i="17"/>
  <c r="AF48" i="17"/>
  <c r="AG48" i="17" s="1"/>
  <c r="E64" i="17"/>
  <c r="L64" i="17" s="1"/>
  <c r="P64" i="17"/>
  <c r="BI665" i="16"/>
  <c r="BG665" i="16"/>
  <c r="BL665" i="16"/>
  <c r="BM665" i="16" s="1"/>
  <c r="AL150" i="15"/>
  <c r="AF245" i="15"/>
  <c r="AH48" i="17" l="1"/>
  <c r="AS48" i="17" s="1"/>
  <c r="AL48" i="17"/>
  <c r="BG41" i="17"/>
  <c r="BI41" i="17"/>
  <c r="BK41" i="17"/>
  <c r="BL41" i="17" s="1"/>
  <c r="BM41" i="17" s="1"/>
  <c r="BJ41" i="17"/>
  <c r="Y717" i="16"/>
  <c r="AB717" i="16" s="1"/>
  <c r="AQ716" i="16"/>
  <c r="U49" i="17"/>
  <c r="AC49" i="17" s="1"/>
  <c r="AE717" i="16"/>
  <c r="N64" i="17"/>
  <c r="Q64" i="17"/>
  <c r="S64" i="17" s="1"/>
  <c r="AR47" i="17"/>
  <c r="AQ47" i="17"/>
  <c r="BC666" i="16"/>
  <c r="BH666" i="16" s="1"/>
  <c r="BN665" i="16"/>
  <c r="BO665" i="16"/>
  <c r="BP665" i="16" s="1"/>
  <c r="AY48" i="17" l="1"/>
  <c r="AM48" i="17"/>
  <c r="AN48" i="17" s="1"/>
  <c r="AT48" i="17"/>
  <c r="AW48" i="17" s="1"/>
  <c r="AX48" i="17" s="1"/>
  <c r="AZ48" i="17" s="1"/>
  <c r="AU48" i="17"/>
  <c r="AV48" i="17" s="1"/>
  <c r="AF717" i="16"/>
  <c r="AG717" i="16" s="1"/>
  <c r="AH717" i="16" s="1"/>
  <c r="AS717" i="16" s="1"/>
  <c r="BO41" i="17"/>
  <c r="BP41" i="17" s="1"/>
  <c r="BN41" i="17"/>
  <c r="BC42" i="17"/>
  <c r="Z717" i="16"/>
  <c r="U718" i="16" s="1"/>
  <c r="AC718" i="16" s="1"/>
  <c r="AD49" i="17"/>
  <c r="W49" i="17"/>
  <c r="AA49" i="17" s="1"/>
  <c r="AK49" i="17" s="1"/>
  <c r="BD666" i="16"/>
  <c r="BK666" i="16" s="1"/>
  <c r="M65" i="17"/>
  <c r="E65" i="17" s="1"/>
  <c r="L65" i="17" s="1"/>
  <c r="O64" i="17"/>
  <c r="AD257" i="15"/>
  <c r="E664" i="14"/>
  <c r="F664" i="14" s="1"/>
  <c r="H664" i="14" s="1"/>
  <c r="AJ681" i="15"/>
  <c r="BQ665" i="16"/>
  <c r="AL717" i="16" l="1"/>
  <c r="AO48" i="17"/>
  <c r="AT717" i="16"/>
  <c r="AW717" i="16" s="1"/>
  <c r="AX717" i="16" s="1"/>
  <c r="AZ717" i="16" s="1"/>
  <c r="AU717" i="16"/>
  <c r="AV717" i="16" s="1"/>
  <c r="BE666" i="16"/>
  <c r="BF666" i="16" s="1"/>
  <c r="BI666" i="16" s="1"/>
  <c r="BJ666" i="16"/>
  <c r="BQ41" i="17"/>
  <c r="BD42" i="17"/>
  <c r="BE42" i="17" s="1"/>
  <c r="BF42" i="17" s="1"/>
  <c r="BH42" i="17"/>
  <c r="AE49" i="17"/>
  <c r="Y49" i="17"/>
  <c r="AB49" i="17" s="1"/>
  <c r="AD718" i="16"/>
  <c r="W718" i="16"/>
  <c r="N65" i="17"/>
  <c r="P65" i="17"/>
  <c r="BL666" i="16"/>
  <c r="BM666" i="16" s="1"/>
  <c r="AF283" i="15"/>
  <c r="AL151" i="15"/>
  <c r="AM717" i="16" l="1"/>
  <c r="AN717" i="16" s="1"/>
  <c r="AO717" i="16" s="1"/>
  <c r="AP717" i="16" s="1"/>
  <c r="AR717" i="16" s="1"/>
  <c r="AY717" i="16"/>
  <c r="AP48" i="17"/>
  <c r="AR48" i="17" s="1"/>
  <c r="BG666" i="16"/>
  <c r="BC667" i="16" s="1"/>
  <c r="BH667" i="16" s="1"/>
  <c r="BG42" i="17"/>
  <c r="BI42" i="17"/>
  <c r="BK42" i="17"/>
  <c r="BL42" i="17" s="1"/>
  <c r="BM42" i="17" s="1"/>
  <c r="BJ42" i="17"/>
  <c r="Z49" i="17"/>
  <c r="AF49" i="17"/>
  <c r="AG49" i="17" s="1"/>
  <c r="AL49" i="17" s="1"/>
  <c r="AY49" i="17" s="1"/>
  <c r="AA718" i="16"/>
  <c r="AK718" i="16" s="1"/>
  <c r="Y718" i="16"/>
  <c r="AB718" i="16" s="1"/>
  <c r="AE718" i="16"/>
  <c r="O65" i="17"/>
  <c r="M66" i="17"/>
  <c r="Q65" i="17"/>
  <c r="S65" i="17" s="1"/>
  <c r="BN666" i="16"/>
  <c r="BO666" i="16"/>
  <c r="BP666" i="16" s="1"/>
  <c r="AQ717" i="16" l="1"/>
  <c r="AQ48" i="17"/>
  <c r="AH49" i="17"/>
  <c r="AS49" i="17" s="1"/>
  <c r="BO42" i="17"/>
  <c r="BP42" i="17" s="1"/>
  <c r="BN42" i="17"/>
  <c r="BC43" i="17"/>
  <c r="BH43" i="17" s="1"/>
  <c r="Z718" i="16"/>
  <c r="U719" i="16" s="1"/>
  <c r="AC719" i="16" s="1"/>
  <c r="AM49" i="17"/>
  <c r="U50" i="17"/>
  <c r="AC50" i="17" s="1"/>
  <c r="AF718" i="16"/>
  <c r="AG718" i="16" s="1"/>
  <c r="AH718" i="16" s="1"/>
  <c r="AS718" i="16" s="1"/>
  <c r="P66" i="17"/>
  <c r="E66" i="17"/>
  <c r="L66" i="17" s="1"/>
  <c r="AJ682" i="15"/>
  <c r="BQ666" i="16"/>
  <c r="E665" i="14"/>
  <c r="F665" i="14" s="1"/>
  <c r="H665" i="14" s="1"/>
  <c r="AD268" i="15"/>
  <c r="BD667" i="16"/>
  <c r="BE667" i="16" s="1"/>
  <c r="BF667" i="16" s="1"/>
  <c r="AL152" i="15"/>
  <c r="AF282" i="15"/>
  <c r="AT49" i="17" l="1"/>
  <c r="AW49" i="17" s="1"/>
  <c r="AX49" i="17" s="1"/>
  <c r="AZ49" i="17" s="1"/>
  <c r="AU49" i="17"/>
  <c r="AV49" i="17" s="1"/>
  <c r="AT718" i="16"/>
  <c r="AW718" i="16" s="1"/>
  <c r="AX718" i="16" s="1"/>
  <c r="AZ718" i="16" s="1"/>
  <c r="AU718" i="16"/>
  <c r="AV718" i="16" s="1"/>
  <c r="AL718" i="16"/>
  <c r="BQ42" i="17"/>
  <c r="BD43" i="17"/>
  <c r="BE43" i="17" s="1"/>
  <c r="BF43" i="17" s="1"/>
  <c r="W50" i="17"/>
  <c r="AA50" i="17" s="1"/>
  <c r="AK50" i="17" s="1"/>
  <c r="AD50" i="17"/>
  <c r="AN49" i="17"/>
  <c r="AD719" i="16"/>
  <c r="W719" i="16"/>
  <c r="AA719" i="16" s="1"/>
  <c r="AK719" i="16" s="1"/>
  <c r="AY718" i="16"/>
  <c r="AM718" i="16"/>
  <c r="AN718" i="16" s="1"/>
  <c r="AO718" i="16" s="1"/>
  <c r="AP718" i="16" s="1"/>
  <c r="AQ718" i="16" s="1"/>
  <c r="N66" i="17"/>
  <c r="Q66" i="17"/>
  <c r="S66" i="17" s="1"/>
  <c r="BI667" i="16"/>
  <c r="BG667" i="16"/>
  <c r="BJ667" i="16"/>
  <c r="BK667" i="16"/>
  <c r="Y50" i="17" l="1"/>
  <c r="AB50" i="17" s="1"/>
  <c r="BG43" i="17"/>
  <c r="BI43" i="17"/>
  <c r="BK43" i="17"/>
  <c r="BL43" i="17" s="1"/>
  <c r="BM43" i="17" s="1"/>
  <c r="BJ43" i="17"/>
  <c r="Y719" i="16"/>
  <c r="AB719" i="16" s="1"/>
  <c r="AE50" i="17"/>
  <c r="AO49" i="17"/>
  <c r="AE719" i="16"/>
  <c r="AR718" i="16"/>
  <c r="O66" i="17"/>
  <c r="M67" i="17"/>
  <c r="E67" i="17" s="1"/>
  <c r="L67" i="17" s="1"/>
  <c r="BL667" i="16"/>
  <c r="BM667" i="16" s="1"/>
  <c r="BC668" i="16"/>
  <c r="BD668" i="16" s="1"/>
  <c r="BJ668" i="16" s="1"/>
  <c r="BO667" i="16"/>
  <c r="BP667" i="16" s="1"/>
  <c r="AF328" i="15"/>
  <c r="Z50" i="17" l="1"/>
  <c r="U51" i="17" s="1"/>
  <c r="AC51" i="17" s="1"/>
  <c r="BO43" i="17"/>
  <c r="BP43" i="17" s="1"/>
  <c r="BN43" i="17"/>
  <c r="BC44" i="17"/>
  <c r="BH44" i="17" s="1"/>
  <c r="Z719" i="16"/>
  <c r="U720" i="16" s="1"/>
  <c r="AC720" i="16" s="1"/>
  <c r="AP49" i="17"/>
  <c r="AF50" i="17"/>
  <c r="AG50" i="17" s="1"/>
  <c r="BN667" i="16"/>
  <c r="E666" i="14" s="1"/>
  <c r="F666" i="14" s="1"/>
  <c r="H666" i="14" s="1"/>
  <c r="AF719" i="16"/>
  <c r="AG719" i="16" s="1"/>
  <c r="AH719" i="16" s="1"/>
  <c r="AS719" i="16" s="1"/>
  <c r="BE668" i="16"/>
  <c r="BF668" i="16" s="1"/>
  <c r="N67" i="17"/>
  <c r="P67" i="17"/>
  <c r="BK668" i="16"/>
  <c r="BH668" i="16"/>
  <c r="AJ683" i="15"/>
  <c r="AL153" i="15"/>
  <c r="AH50" i="17" l="1"/>
  <c r="AS50" i="17" s="1"/>
  <c r="AT719" i="16"/>
  <c r="AW719" i="16" s="1"/>
  <c r="AX719" i="16" s="1"/>
  <c r="AZ719" i="16" s="1"/>
  <c r="AU719" i="16"/>
  <c r="AV719" i="16" s="1"/>
  <c r="AL50" i="17"/>
  <c r="AY50" i="17" s="1"/>
  <c r="AL719" i="16"/>
  <c r="BQ667" i="16"/>
  <c r="AD266" i="15"/>
  <c r="BD44" i="17"/>
  <c r="BE44" i="17" s="1"/>
  <c r="BQ43" i="17"/>
  <c r="AD51" i="17"/>
  <c r="AR49" i="17"/>
  <c r="AQ49" i="17"/>
  <c r="W51" i="17"/>
  <c r="AA51" i="17" s="1"/>
  <c r="AK51" i="17" s="1"/>
  <c r="AD720" i="16"/>
  <c r="W720" i="16"/>
  <c r="O67" i="17"/>
  <c r="M68" i="17"/>
  <c r="E68" i="17" s="1"/>
  <c r="L68" i="17" s="1"/>
  <c r="Q67" i="17"/>
  <c r="S67" i="17" s="1"/>
  <c r="BI668" i="16"/>
  <c r="BG668" i="16"/>
  <c r="BL668" i="16"/>
  <c r="BM668" i="16" s="1"/>
  <c r="AT50" i="17" l="1"/>
  <c r="AW50" i="17" s="1"/>
  <c r="AX50" i="17" s="1"/>
  <c r="AZ50" i="17" s="1"/>
  <c r="AU50" i="17"/>
  <c r="AV50" i="17" s="1"/>
  <c r="AM719" i="16"/>
  <c r="AN719" i="16" s="1"/>
  <c r="AO719" i="16" s="1"/>
  <c r="AP719" i="16" s="1"/>
  <c r="AR719" i="16" s="1"/>
  <c r="AY719" i="16"/>
  <c r="AM50" i="17"/>
  <c r="AN50" i="17" s="1"/>
  <c r="AO50" i="17" s="1"/>
  <c r="AP50" i="17" s="1"/>
  <c r="BF44" i="17"/>
  <c r="BG44" i="17" s="1"/>
  <c r="BJ44" i="17"/>
  <c r="BK44" i="17"/>
  <c r="BL44" i="17" s="1"/>
  <c r="BM44" i="17" s="1"/>
  <c r="Y51" i="17"/>
  <c r="AB51" i="17" s="1"/>
  <c r="AE51" i="17"/>
  <c r="P68" i="17"/>
  <c r="Q68" i="17" s="1"/>
  <c r="S68" i="17" s="1"/>
  <c r="AA720" i="16"/>
  <c r="AK720" i="16" s="1"/>
  <c r="Y720" i="16"/>
  <c r="AB720" i="16" s="1"/>
  <c r="AE720" i="16"/>
  <c r="N68" i="17"/>
  <c r="BC669" i="16"/>
  <c r="BH669" i="16" s="1"/>
  <c r="BN668" i="16"/>
  <c r="BO668" i="16"/>
  <c r="BP668" i="16" s="1"/>
  <c r="BI44" i="17" l="1"/>
  <c r="BO44" i="17" s="1"/>
  <c r="BP44" i="17" s="1"/>
  <c r="AQ719" i="16"/>
  <c r="AF51" i="17"/>
  <c r="AG51" i="17" s="1"/>
  <c r="BC45" i="17"/>
  <c r="BH45" i="17" s="1"/>
  <c r="Z51" i="17"/>
  <c r="U52" i="17" s="1"/>
  <c r="AC52" i="17" s="1"/>
  <c r="AR50" i="17"/>
  <c r="AQ50" i="17"/>
  <c r="AF720" i="16"/>
  <c r="AG720" i="16" s="1"/>
  <c r="AH720" i="16" s="1"/>
  <c r="AS720" i="16" s="1"/>
  <c r="Z720" i="16"/>
  <c r="O68" i="17"/>
  <c r="M69" i="17"/>
  <c r="AJ684" i="15"/>
  <c r="BQ668" i="16"/>
  <c r="BD669" i="16"/>
  <c r="AD283" i="15"/>
  <c r="E667" i="14"/>
  <c r="F667" i="14" s="1"/>
  <c r="H667" i="14" s="1"/>
  <c r="AF371" i="15"/>
  <c r="BN44" i="17" l="1"/>
  <c r="BQ44" i="17" s="1"/>
  <c r="AL720" i="16"/>
  <c r="AY720" i="16" s="1"/>
  <c r="AH51" i="17"/>
  <c r="AS51" i="17" s="1"/>
  <c r="AT720" i="16"/>
  <c r="AW720" i="16" s="1"/>
  <c r="AX720" i="16" s="1"/>
  <c r="AZ720" i="16" s="1"/>
  <c r="AU720" i="16"/>
  <c r="AV720" i="16" s="1"/>
  <c r="AL51" i="17"/>
  <c r="AY51" i="17" s="1"/>
  <c r="BD45" i="17"/>
  <c r="BE45" i="17" s="1"/>
  <c r="BF45" i="17" s="1"/>
  <c r="BG45" i="17" s="1"/>
  <c r="AD52" i="17"/>
  <c r="W52" i="17"/>
  <c r="AA52" i="17" s="1"/>
  <c r="AK52" i="17" s="1"/>
  <c r="U721" i="16"/>
  <c r="AC721" i="16" s="1"/>
  <c r="P69" i="17"/>
  <c r="E69" i="17"/>
  <c r="L69" i="17" s="1"/>
  <c r="BJ669" i="16"/>
  <c r="BK669" i="16"/>
  <c r="BE669" i="16"/>
  <c r="BF669" i="16" s="1"/>
  <c r="AL154" i="15"/>
  <c r="AM720" i="16" l="1"/>
  <c r="AN720" i="16" s="1"/>
  <c r="AO720" i="16" s="1"/>
  <c r="AP720" i="16" s="1"/>
  <c r="AQ720" i="16" s="1"/>
  <c r="AT51" i="17"/>
  <c r="AW51" i="17" s="1"/>
  <c r="AX51" i="17" s="1"/>
  <c r="AZ51" i="17" s="1"/>
  <c r="AU51" i="17"/>
  <c r="AV51" i="17" s="1"/>
  <c r="BK45" i="17"/>
  <c r="BL45" i="17" s="1"/>
  <c r="BM45" i="17" s="1"/>
  <c r="AM51" i="17"/>
  <c r="AN51" i="17" s="1"/>
  <c r="AO51" i="17" s="1"/>
  <c r="AP51" i="17" s="1"/>
  <c r="BJ45" i="17"/>
  <c r="BI45" i="17"/>
  <c r="BO45" i="17" s="1"/>
  <c r="BP45" i="17" s="1"/>
  <c r="BC46" i="17"/>
  <c r="Y52" i="17"/>
  <c r="AE52" i="17"/>
  <c r="W721" i="16"/>
  <c r="AA721" i="16" s="1"/>
  <c r="AK721" i="16" s="1"/>
  <c r="AD721" i="16"/>
  <c r="AR720" i="16"/>
  <c r="N69" i="17"/>
  <c r="Q69" i="17"/>
  <c r="S69" i="17" s="1"/>
  <c r="BI669" i="16"/>
  <c r="BG669" i="16"/>
  <c r="BL669" i="16"/>
  <c r="BM669" i="16" s="1"/>
  <c r="BD46" i="17" l="1"/>
  <c r="BH46" i="17"/>
  <c r="BN45" i="17"/>
  <c r="BQ45" i="17" s="1"/>
  <c r="Y721" i="16"/>
  <c r="AB721" i="16" s="1"/>
  <c r="AR51" i="17"/>
  <c r="AB52" i="17"/>
  <c r="Z52" i="17"/>
  <c r="AQ51" i="17"/>
  <c r="AE721" i="16"/>
  <c r="M70" i="17"/>
  <c r="O69" i="17"/>
  <c r="BC670" i="16"/>
  <c r="BO669" i="16"/>
  <c r="BP669" i="16" s="1"/>
  <c r="BN669" i="16"/>
  <c r="BJ46" i="17" l="1"/>
  <c r="BK46" i="17"/>
  <c r="BL46" i="17" s="1"/>
  <c r="BM46" i="17" s="1"/>
  <c r="BE46" i="17"/>
  <c r="BF46" i="17" s="1"/>
  <c r="Z721" i="16"/>
  <c r="U722" i="16" s="1"/>
  <c r="AC722" i="16" s="1"/>
  <c r="AF721" i="16"/>
  <c r="AF52" i="17"/>
  <c r="AG52" i="17" s="1"/>
  <c r="AL52" i="17" s="1"/>
  <c r="AY52" i="17" s="1"/>
  <c r="U53" i="17"/>
  <c r="AC53" i="17" s="1"/>
  <c r="P70" i="17"/>
  <c r="E70" i="17"/>
  <c r="L70" i="17" s="1"/>
  <c r="E668" i="14"/>
  <c r="F668" i="14" s="1"/>
  <c r="H668" i="14" s="1"/>
  <c r="AD246" i="15"/>
  <c r="BD670" i="16"/>
  <c r="BH670" i="16"/>
  <c r="AJ103" i="15"/>
  <c r="BQ669" i="16"/>
  <c r="AL42" i="15"/>
  <c r="AF229" i="15"/>
  <c r="AH52" i="17" l="1"/>
  <c r="AS52" i="17" s="1"/>
  <c r="AG721" i="16"/>
  <c r="BG46" i="17"/>
  <c r="BI46" i="17"/>
  <c r="W722" i="16"/>
  <c r="AA722" i="16" s="1"/>
  <c r="AK722" i="16" s="1"/>
  <c r="AD722" i="16"/>
  <c r="AE722" i="16" s="1"/>
  <c r="AD53" i="17"/>
  <c r="W53" i="17"/>
  <c r="AA53" i="17" s="1"/>
  <c r="AK53" i="17" s="1"/>
  <c r="AM52" i="17"/>
  <c r="N70" i="17"/>
  <c r="Q70" i="17"/>
  <c r="S70" i="17" s="1"/>
  <c r="BJ670" i="16"/>
  <c r="BK670" i="16"/>
  <c r="BE670" i="16"/>
  <c r="BF670" i="16" s="1"/>
  <c r="AT52" i="17" l="1"/>
  <c r="AW52" i="17" s="1"/>
  <c r="AX52" i="17" s="1"/>
  <c r="AZ52" i="17" s="1"/>
  <c r="AU52" i="17"/>
  <c r="AV52" i="17" s="1"/>
  <c r="AL721" i="16"/>
  <c r="AY721" i="16" s="1"/>
  <c r="AH721" i="16"/>
  <c r="AS721" i="16" s="1"/>
  <c r="Y722" i="16"/>
  <c r="AB722" i="16" s="1"/>
  <c r="AF722" i="16" s="1"/>
  <c r="AG722" i="16" s="1"/>
  <c r="AH722" i="16" s="1"/>
  <c r="AS722" i="16" s="1"/>
  <c r="AT722" i="16" s="1"/>
  <c r="BO46" i="17"/>
  <c r="BP46" i="17" s="1"/>
  <c r="BN46" i="17"/>
  <c r="BC47" i="17"/>
  <c r="BH47" i="17" s="1"/>
  <c r="Y53" i="17"/>
  <c r="AB53" i="17" s="1"/>
  <c r="AE53" i="17"/>
  <c r="AN52" i="17"/>
  <c r="AO52" i="17" s="1"/>
  <c r="M71" i="17"/>
  <c r="O70" i="17"/>
  <c r="BI670" i="16"/>
  <c r="BG670" i="16"/>
  <c r="BL670" i="16"/>
  <c r="BM670" i="16" s="1"/>
  <c r="Z722" i="16" l="1"/>
  <c r="U723" i="16" s="1"/>
  <c r="AC723" i="16" s="1"/>
  <c r="AD723" i="16" s="1"/>
  <c r="AL722" i="16"/>
  <c r="AM722" i="16" s="1"/>
  <c r="AN722" i="16" s="1"/>
  <c r="AO722" i="16" s="1"/>
  <c r="AM721" i="16"/>
  <c r="AN721" i="16" s="1"/>
  <c r="AO721" i="16" s="1"/>
  <c r="AT721" i="16"/>
  <c r="AW721" i="16" s="1"/>
  <c r="AU721" i="16"/>
  <c r="AV721" i="16" s="1"/>
  <c r="AU722" i="16" s="1"/>
  <c r="AV722" i="16" s="1"/>
  <c r="BQ46" i="17"/>
  <c r="Z53" i="17"/>
  <c r="BD47" i="17"/>
  <c r="AP52" i="17"/>
  <c r="AR52" i="17" s="1"/>
  <c r="AF53" i="17"/>
  <c r="AG53" i="17" s="1"/>
  <c r="P71" i="17"/>
  <c r="E71" i="17"/>
  <c r="L71" i="17" s="1"/>
  <c r="BC671" i="16"/>
  <c r="BH671" i="16" s="1"/>
  <c r="BN670" i="16"/>
  <c r="BO670" i="16"/>
  <c r="BP670" i="16" s="1"/>
  <c r="W723" i="16" l="1"/>
  <c r="AY722" i="16"/>
  <c r="AH53" i="17"/>
  <c r="AS53" i="17" s="1"/>
  <c r="AX721" i="16"/>
  <c r="AZ721" i="16" s="1"/>
  <c r="AL53" i="17"/>
  <c r="AY53" i="17" s="1"/>
  <c r="AP721" i="16"/>
  <c r="AR721" i="16" s="1"/>
  <c r="U54" i="17"/>
  <c r="AC54" i="17" s="1"/>
  <c r="AD54" i="17" s="1"/>
  <c r="BK47" i="17"/>
  <c r="BL47" i="17" s="1"/>
  <c r="BM47" i="17" s="1"/>
  <c r="BJ47" i="17"/>
  <c r="BE47" i="17"/>
  <c r="BF47" i="17" s="1"/>
  <c r="AQ52" i="17"/>
  <c r="AA723" i="16"/>
  <c r="AK723" i="16" s="1"/>
  <c r="Y723" i="16"/>
  <c r="AB723" i="16" s="1"/>
  <c r="AP722" i="16"/>
  <c r="AQ722" i="16" s="1"/>
  <c r="AE723" i="16"/>
  <c r="N71" i="17"/>
  <c r="Q71" i="17"/>
  <c r="S71" i="17" s="1"/>
  <c r="AJ685" i="15"/>
  <c r="BQ670" i="16"/>
  <c r="BD671" i="16"/>
  <c r="BE671" i="16" s="1"/>
  <c r="BF671" i="16" s="1"/>
  <c r="AD265" i="15"/>
  <c r="E669" i="14"/>
  <c r="F669" i="14" s="1"/>
  <c r="H669" i="14" s="1"/>
  <c r="AL155" i="15"/>
  <c r="AF279" i="15"/>
  <c r="AQ721" i="16" l="1"/>
  <c r="AM53" i="17"/>
  <c r="AN53" i="17" s="1"/>
  <c r="AO53" i="17" s="1"/>
  <c r="AW722" i="16"/>
  <c r="AX722" i="16" s="1"/>
  <c r="AZ722" i="16" s="1"/>
  <c r="AT53" i="17"/>
  <c r="AW53" i="17" s="1"/>
  <c r="AX53" i="17" s="1"/>
  <c r="AZ53" i="17" s="1"/>
  <c r="AU53" i="17"/>
  <c r="AV53" i="17" s="1"/>
  <c r="W54" i="17"/>
  <c r="BG47" i="17"/>
  <c r="BI47" i="17"/>
  <c r="AE54" i="17"/>
  <c r="AR722" i="16"/>
  <c r="AF723" i="16"/>
  <c r="AG723" i="16" s="1"/>
  <c r="AH723" i="16" s="1"/>
  <c r="AS723" i="16" s="1"/>
  <c r="Z723" i="16"/>
  <c r="O71" i="17"/>
  <c r="M72" i="17"/>
  <c r="BI671" i="16"/>
  <c r="BG671" i="16"/>
  <c r="BJ671" i="16"/>
  <c r="BK671" i="16"/>
  <c r="AL723" i="16" l="1"/>
  <c r="AM723" i="16" s="1"/>
  <c r="AN723" i="16" s="1"/>
  <c r="AO723" i="16" s="1"/>
  <c r="AT723" i="16"/>
  <c r="AW723" i="16" s="1"/>
  <c r="AX723" i="16" s="1"/>
  <c r="AZ723" i="16" s="1"/>
  <c r="AU723" i="16"/>
  <c r="AV723" i="16" s="1"/>
  <c r="AA54" i="17"/>
  <c r="AK54" i="17" s="1"/>
  <c r="Y54" i="17"/>
  <c r="AB54" i="17" s="1"/>
  <c r="BO47" i="17"/>
  <c r="BP47" i="17" s="1"/>
  <c r="BN47" i="17"/>
  <c r="BC48" i="17"/>
  <c r="BH48" i="17" s="1"/>
  <c r="AP53" i="17"/>
  <c r="AY723" i="16"/>
  <c r="U724" i="16"/>
  <c r="AC724" i="16" s="1"/>
  <c r="P72" i="17"/>
  <c r="E72" i="17"/>
  <c r="L72" i="17" s="1"/>
  <c r="BC672" i="16"/>
  <c r="BH672" i="16" s="1"/>
  <c r="BL671" i="16"/>
  <c r="BM671" i="16" s="1"/>
  <c r="BO671" i="16"/>
  <c r="BP671" i="16" s="1"/>
  <c r="BQ47" i="17" l="1"/>
  <c r="Z54" i="17"/>
  <c r="U55" i="17" s="1"/>
  <c r="AC55" i="17" s="1"/>
  <c r="AF54" i="17"/>
  <c r="AG54" i="17" s="1"/>
  <c r="BD48" i="17"/>
  <c r="BE48" i="17" s="1"/>
  <c r="BF48" i="17" s="1"/>
  <c r="AR53" i="17"/>
  <c r="AQ53" i="17"/>
  <c r="BN671" i="16"/>
  <c r="AD297" i="15" s="1"/>
  <c r="AD724" i="16"/>
  <c r="AP723" i="16"/>
  <c r="AR723" i="16" s="1"/>
  <c r="W724" i="16"/>
  <c r="AA724" i="16" s="1"/>
  <c r="AK724" i="16" s="1"/>
  <c r="N72" i="17"/>
  <c r="Q72" i="17"/>
  <c r="S72" i="17" s="1"/>
  <c r="BD672" i="16"/>
  <c r="AJ686" i="15"/>
  <c r="BJ48" i="17" l="1"/>
  <c r="AH54" i="17"/>
  <c r="AS54" i="17" s="1"/>
  <c r="AL54" i="17"/>
  <c r="AD55" i="17"/>
  <c r="AE55" i="17" s="1"/>
  <c r="W55" i="17"/>
  <c r="AA55" i="17" s="1"/>
  <c r="AK55" i="17" s="1"/>
  <c r="BK48" i="17"/>
  <c r="BL48" i="17" s="1"/>
  <c r="BM48" i="17" s="1"/>
  <c r="BG48" i="17"/>
  <c r="BI48" i="17"/>
  <c r="Y724" i="16"/>
  <c r="AB724" i="16" s="1"/>
  <c r="AQ723" i="16"/>
  <c r="E670" i="14"/>
  <c r="F670" i="14" s="1"/>
  <c r="H670" i="14" s="1"/>
  <c r="BQ671" i="16"/>
  <c r="AE724" i="16"/>
  <c r="O72" i="17"/>
  <c r="M73" i="17"/>
  <c r="BJ672" i="16"/>
  <c r="BK672" i="16"/>
  <c r="BE672" i="16"/>
  <c r="BF672" i="16" s="1"/>
  <c r="AL156" i="15"/>
  <c r="AF303" i="15"/>
  <c r="Y55" i="17" l="1"/>
  <c r="AB55" i="17" s="1"/>
  <c r="AF55" i="17" s="1"/>
  <c r="AG55" i="17" s="1"/>
  <c r="AH55" i="17" s="1"/>
  <c r="AS55" i="17" s="1"/>
  <c r="AT55" i="17" s="1"/>
  <c r="AT54" i="17"/>
  <c r="AW54" i="17" s="1"/>
  <c r="AU54" i="17"/>
  <c r="AV54" i="17" s="1"/>
  <c r="AM54" i="17"/>
  <c r="AN54" i="17" s="1"/>
  <c r="AO54" i="17" s="1"/>
  <c r="AY54" i="17"/>
  <c r="Z724" i="16"/>
  <c r="U725" i="16" s="1"/>
  <c r="AC725" i="16" s="1"/>
  <c r="BO48" i="17"/>
  <c r="BP48" i="17" s="1"/>
  <c r="BN48" i="17"/>
  <c r="BC49" i="17"/>
  <c r="BD49" i="17" s="1"/>
  <c r="AF724" i="16"/>
  <c r="P73" i="17"/>
  <c r="E73" i="17"/>
  <c r="L73" i="17" s="1"/>
  <c r="BI672" i="16"/>
  <c r="BG672" i="16"/>
  <c r="BL672" i="16"/>
  <c r="BM672" i="16" s="1"/>
  <c r="Z55" i="17" l="1"/>
  <c r="U56" i="17" s="1"/>
  <c r="AC56" i="17" s="1"/>
  <c r="AD56" i="17" s="1"/>
  <c r="AL55" i="17"/>
  <c r="AY55" i="17" s="1"/>
  <c r="AU55" i="17"/>
  <c r="AV55" i="17" s="1"/>
  <c r="AG724" i="16"/>
  <c r="AP54" i="17"/>
  <c r="AR54" i="17" s="1"/>
  <c r="AX54" i="17"/>
  <c r="AZ54" i="17" s="1"/>
  <c r="BQ48" i="17"/>
  <c r="BK49" i="17"/>
  <c r="BL49" i="17" s="1"/>
  <c r="BM49" i="17" s="1"/>
  <c r="BJ49" i="17"/>
  <c r="BE49" i="17"/>
  <c r="BF49" i="17" s="1"/>
  <c r="BH49" i="17"/>
  <c r="AD725" i="16"/>
  <c r="W725" i="16"/>
  <c r="AA725" i="16" s="1"/>
  <c r="AK725" i="16" s="1"/>
  <c r="N73" i="17"/>
  <c r="Q73" i="17"/>
  <c r="S73" i="17" s="1"/>
  <c r="BC673" i="16"/>
  <c r="BH673" i="16" s="1"/>
  <c r="BO672" i="16"/>
  <c r="BP672" i="16" s="1"/>
  <c r="BN672" i="16"/>
  <c r="W56" i="17" l="1"/>
  <c r="AA56" i="17" s="1"/>
  <c r="AK56" i="17" s="1"/>
  <c r="AW55" i="17"/>
  <c r="AX55" i="17" s="1"/>
  <c r="AZ55" i="17" s="1"/>
  <c r="AM55" i="17"/>
  <c r="AN55" i="17" s="1"/>
  <c r="AL724" i="16"/>
  <c r="AY724" i="16" s="1"/>
  <c r="AH724" i="16"/>
  <c r="AS724" i="16" s="1"/>
  <c r="AQ54" i="17"/>
  <c r="BG49" i="17"/>
  <c r="BI49" i="17"/>
  <c r="Y725" i="16"/>
  <c r="AB725" i="16" s="1"/>
  <c r="AE56" i="17"/>
  <c r="AE725" i="16"/>
  <c r="BD673" i="16"/>
  <c r="BJ673" i="16" s="1"/>
  <c r="O73" i="17"/>
  <c r="M74" i="17"/>
  <c r="E74" i="17" s="1"/>
  <c r="L74" i="17" s="1"/>
  <c r="E671" i="14"/>
  <c r="F671" i="14" s="1"/>
  <c r="H671" i="14" s="1"/>
  <c r="AD313" i="15"/>
  <c r="AJ687" i="15"/>
  <c r="BQ672" i="16"/>
  <c r="AL14" i="15"/>
  <c r="AF193" i="15"/>
  <c r="Y56" i="17" l="1"/>
  <c r="AB56" i="17" s="1"/>
  <c r="AF56" i="17" s="1"/>
  <c r="AG56" i="17" s="1"/>
  <c r="AO55" i="17"/>
  <c r="AP55" i="17" s="1"/>
  <c r="AQ55" i="17" s="1"/>
  <c r="AU724" i="16"/>
  <c r="AV724" i="16" s="1"/>
  <c r="AT724" i="16"/>
  <c r="AW724" i="16" s="1"/>
  <c r="AM724" i="16"/>
  <c r="AN724" i="16" s="1"/>
  <c r="AO724" i="16" s="1"/>
  <c r="AF725" i="16"/>
  <c r="AG725" i="16" s="1"/>
  <c r="AH725" i="16" s="1"/>
  <c r="AS725" i="16" s="1"/>
  <c r="AT725" i="16" s="1"/>
  <c r="BO49" i="17"/>
  <c r="BP49" i="17" s="1"/>
  <c r="BN49" i="17"/>
  <c r="BC50" i="17"/>
  <c r="BH50" i="17" s="1"/>
  <c r="Z725" i="16"/>
  <c r="U726" i="16" s="1"/>
  <c r="AC726" i="16" s="1"/>
  <c r="AD726" i="16" s="1"/>
  <c r="AE726" i="16" s="1"/>
  <c r="BK673" i="16"/>
  <c r="BL673" i="16" s="1"/>
  <c r="BM673" i="16" s="1"/>
  <c r="BE673" i="16"/>
  <c r="BF673" i="16" s="1"/>
  <c r="BG673" i="16" s="1"/>
  <c r="N74" i="17"/>
  <c r="P74" i="17"/>
  <c r="Z56" i="17" l="1"/>
  <c r="BD50" i="17"/>
  <c r="BE50" i="17" s="1"/>
  <c r="BF50" i="17" s="1"/>
  <c r="AU725" i="16"/>
  <c r="AV725" i="16" s="1"/>
  <c r="AP724" i="16"/>
  <c r="AR724" i="16" s="1"/>
  <c r="AX724" i="16"/>
  <c r="AZ724" i="16" s="1"/>
  <c r="AH56" i="17"/>
  <c r="AS56" i="17" s="1"/>
  <c r="AL56" i="17"/>
  <c r="AY56" i="17" s="1"/>
  <c r="AL725" i="16"/>
  <c r="BI673" i="16"/>
  <c r="BN673" i="16" s="1"/>
  <c r="W726" i="16"/>
  <c r="AA726" i="16" s="1"/>
  <c r="AK726" i="16" s="1"/>
  <c r="BQ49" i="17"/>
  <c r="U57" i="17"/>
  <c r="AC57" i="17" s="1"/>
  <c r="AR55" i="17"/>
  <c r="M75" i="17"/>
  <c r="E75" i="17" s="1"/>
  <c r="L75" i="17" s="1"/>
  <c r="O74" i="17"/>
  <c r="Q74" i="17"/>
  <c r="S74" i="17" s="1"/>
  <c r="BC674" i="16"/>
  <c r="BH674" i="16" s="1"/>
  <c r="AW725" i="16" l="1"/>
  <c r="AX725" i="16" s="1"/>
  <c r="AZ725" i="16" s="1"/>
  <c r="AQ724" i="16"/>
  <c r="BJ50" i="17"/>
  <c r="BK50" i="17"/>
  <c r="BL50" i="17" s="1"/>
  <c r="BM50" i="17" s="1"/>
  <c r="AM56" i="17"/>
  <c r="AN56" i="17" s="1"/>
  <c r="AO56" i="17" s="1"/>
  <c r="AT56" i="17"/>
  <c r="AW56" i="17" s="1"/>
  <c r="AX56" i="17" s="1"/>
  <c r="AZ56" i="17" s="1"/>
  <c r="AU56" i="17"/>
  <c r="AV56" i="17" s="1"/>
  <c r="AY725" i="16"/>
  <c r="AM725" i="16"/>
  <c r="AN725" i="16" s="1"/>
  <c r="AO725" i="16" s="1"/>
  <c r="AP725" i="16" s="1"/>
  <c r="AR725" i="16" s="1"/>
  <c r="BO673" i="16"/>
  <c r="BP673" i="16" s="1"/>
  <c r="BQ673" i="16" s="1"/>
  <c r="Y726" i="16"/>
  <c r="AB726" i="16" s="1"/>
  <c r="AF726" i="16" s="1"/>
  <c r="BG50" i="17"/>
  <c r="BI50" i="17"/>
  <c r="N75" i="17"/>
  <c r="M76" i="17" s="1"/>
  <c r="W57" i="17"/>
  <c r="AA57" i="17" s="1"/>
  <c r="AK57" i="17" s="1"/>
  <c r="AD57" i="17"/>
  <c r="P75" i="17"/>
  <c r="BD674" i="16"/>
  <c r="BE674" i="16" s="1"/>
  <c r="BF674" i="16" s="1"/>
  <c r="E672" i="14"/>
  <c r="F672" i="14" s="1"/>
  <c r="H672" i="14" s="1"/>
  <c r="AD353" i="15"/>
  <c r="AJ688" i="15" l="1"/>
  <c r="AQ725" i="16"/>
  <c r="AG726" i="16"/>
  <c r="AL726" i="16" s="1"/>
  <c r="AY726" i="16" s="1"/>
  <c r="Z726" i="16"/>
  <c r="U727" i="16" s="1"/>
  <c r="AC727" i="16" s="1"/>
  <c r="AD727" i="16" s="1"/>
  <c r="AE727" i="16" s="1"/>
  <c r="O75" i="17"/>
  <c r="Y57" i="17"/>
  <c r="Z57" i="17" s="1"/>
  <c r="BO50" i="17"/>
  <c r="BP50" i="17" s="1"/>
  <c r="BN50" i="17"/>
  <c r="BC51" i="17"/>
  <c r="BD51" i="17" s="1"/>
  <c r="BE51" i="17" s="1"/>
  <c r="AP56" i="17"/>
  <c r="AQ56" i="17" s="1"/>
  <c r="AE57" i="17"/>
  <c r="E76" i="17"/>
  <c r="L76" i="17" s="1"/>
  <c r="Q75" i="17"/>
  <c r="S75" i="17" s="1"/>
  <c r="BI674" i="16"/>
  <c r="BG674" i="16"/>
  <c r="BJ674" i="16"/>
  <c r="BK674" i="16"/>
  <c r="AL157" i="15"/>
  <c r="AF195" i="15"/>
  <c r="AH726" i="16" l="1"/>
  <c r="AS726" i="16" s="1"/>
  <c r="W727" i="16"/>
  <c r="AA727" i="16" s="1"/>
  <c r="AK727" i="16" s="1"/>
  <c r="AM726" i="16"/>
  <c r="AN726" i="16" s="1"/>
  <c r="AO726" i="16" s="1"/>
  <c r="AP726" i="16" s="1"/>
  <c r="AR726" i="16" s="1"/>
  <c r="AB57" i="17"/>
  <c r="AF57" i="17" s="1"/>
  <c r="AG57" i="17" s="1"/>
  <c r="P76" i="17"/>
  <c r="Q76" i="17" s="1"/>
  <c r="S76" i="17" s="1"/>
  <c r="BQ50" i="17"/>
  <c r="BK51" i="17"/>
  <c r="BJ51" i="17"/>
  <c r="BF51" i="17"/>
  <c r="BH51" i="17"/>
  <c r="U58" i="17"/>
  <c r="AC58" i="17" s="1"/>
  <c r="AR56" i="17"/>
  <c r="N76" i="17"/>
  <c r="BC675" i="16"/>
  <c r="BH675" i="16" s="1"/>
  <c r="BL674" i="16"/>
  <c r="BM674" i="16" s="1"/>
  <c r="BO674" i="16"/>
  <c r="BP674" i="16" s="1"/>
  <c r="Y727" i="16" l="1"/>
  <c r="AB727" i="16" s="1"/>
  <c r="AF727" i="16" s="1"/>
  <c r="AG727" i="16" s="1"/>
  <c r="AH727" i="16" s="1"/>
  <c r="AS727" i="16" s="1"/>
  <c r="AU726" i="16"/>
  <c r="AV726" i="16" s="1"/>
  <c r="AT726" i="16"/>
  <c r="AW726" i="16" s="1"/>
  <c r="AX726" i="16" s="1"/>
  <c r="AZ726" i="16" s="1"/>
  <c r="AQ726" i="16"/>
  <c r="AL57" i="17"/>
  <c r="AY57" i="17" s="1"/>
  <c r="AH57" i="17"/>
  <c r="AS57" i="17" s="1"/>
  <c r="BL51" i="17"/>
  <c r="BM51" i="17" s="1"/>
  <c r="BG51" i="17"/>
  <c r="BI51" i="17"/>
  <c r="AD58" i="17"/>
  <c r="W58" i="17"/>
  <c r="BD675" i="16"/>
  <c r="BJ675" i="16" s="1"/>
  <c r="M77" i="17"/>
  <c r="E77" i="17" s="1"/>
  <c r="L77" i="17" s="1"/>
  <c r="O76" i="17"/>
  <c r="AJ689" i="15"/>
  <c r="BN674" i="16"/>
  <c r="BQ674" i="16" s="1"/>
  <c r="Z727" i="16" l="1"/>
  <c r="U728" i="16" s="1"/>
  <c r="AC728" i="16" s="1"/>
  <c r="AD728" i="16" s="1"/>
  <c r="AU727" i="16"/>
  <c r="AV727" i="16" s="1"/>
  <c r="AM57" i="17"/>
  <c r="AN57" i="17" s="1"/>
  <c r="AL727" i="16"/>
  <c r="AY727" i="16" s="1"/>
  <c r="AT727" i="16"/>
  <c r="AW727" i="16" s="1"/>
  <c r="AX727" i="16" s="1"/>
  <c r="AZ727" i="16" s="1"/>
  <c r="AT57" i="17"/>
  <c r="AW57" i="17" s="1"/>
  <c r="AX57" i="17" s="1"/>
  <c r="AZ57" i="17" s="1"/>
  <c r="AU57" i="17"/>
  <c r="AV57" i="17" s="1"/>
  <c r="BC52" i="17"/>
  <c r="BH52" i="17" s="1"/>
  <c r="BO51" i="17"/>
  <c r="BP51" i="17" s="1"/>
  <c r="BN51" i="17"/>
  <c r="BE675" i="16"/>
  <c r="BF675" i="16" s="1"/>
  <c r="BI675" i="16" s="1"/>
  <c r="AA58" i="17"/>
  <c r="AK58" i="17" s="1"/>
  <c r="Y58" i="17"/>
  <c r="AB58" i="17" s="1"/>
  <c r="AE58" i="17"/>
  <c r="BK675" i="16"/>
  <c r="BL675" i="16" s="1"/>
  <c r="BM675" i="16" s="1"/>
  <c r="P77" i="17"/>
  <c r="N77" i="17"/>
  <c r="E673" i="14"/>
  <c r="F673" i="14" s="1"/>
  <c r="H673" i="14" s="1"/>
  <c r="AD363" i="15"/>
  <c r="W728" i="16" l="1"/>
  <c r="AA728" i="16" s="1"/>
  <c r="AK728" i="16" s="1"/>
  <c r="AM727" i="16"/>
  <c r="AN727" i="16" s="1"/>
  <c r="AO727" i="16" s="1"/>
  <c r="AP727" i="16" s="1"/>
  <c r="AQ727" i="16" s="1"/>
  <c r="BQ51" i="17"/>
  <c r="BG675" i="16"/>
  <c r="BC676" i="16" s="1"/>
  <c r="BH676" i="16" s="1"/>
  <c r="BD52" i="17"/>
  <c r="BK52" i="17" s="1"/>
  <c r="BL52" i="17" s="1"/>
  <c r="BM52" i="17" s="1"/>
  <c r="AF58" i="17"/>
  <c r="AG58" i="17" s="1"/>
  <c r="AL58" i="17" s="1"/>
  <c r="AY58" i="17" s="1"/>
  <c r="AO57" i="17"/>
  <c r="Z58" i="17"/>
  <c r="AE728" i="16"/>
  <c r="Y728" i="16"/>
  <c r="AB728" i="16" s="1"/>
  <c r="Q77" i="17"/>
  <c r="S77" i="17" s="1"/>
  <c r="O77" i="17"/>
  <c r="M78" i="17"/>
  <c r="BN675" i="16"/>
  <c r="BO675" i="16"/>
  <c r="BP675" i="16" s="1"/>
  <c r="AL158" i="15"/>
  <c r="AF197" i="15"/>
  <c r="AR727" i="16" l="1"/>
  <c r="AH58" i="17"/>
  <c r="AS58" i="17" s="1"/>
  <c r="BJ52" i="17"/>
  <c r="BE52" i="17"/>
  <c r="BF52" i="17" s="1"/>
  <c r="BG52" i="17" s="1"/>
  <c r="P78" i="17"/>
  <c r="Q78" i="17" s="1"/>
  <c r="S78" i="17" s="1"/>
  <c r="AP57" i="17"/>
  <c r="AM58" i="17"/>
  <c r="U59" i="17"/>
  <c r="AC59" i="17" s="1"/>
  <c r="Z728" i="16"/>
  <c r="U729" i="16" s="1"/>
  <c r="AC729" i="16" s="1"/>
  <c r="AD729" i="16" s="1"/>
  <c r="BD676" i="16"/>
  <c r="BK676" i="16" s="1"/>
  <c r="AF728" i="16"/>
  <c r="AG728" i="16" s="1"/>
  <c r="AH728" i="16" s="1"/>
  <c r="AS728" i="16" s="1"/>
  <c r="E78" i="17"/>
  <c r="L78" i="17" s="1"/>
  <c r="E674" i="14"/>
  <c r="F674" i="14" s="1"/>
  <c r="H674" i="14" s="1"/>
  <c r="AD401" i="15"/>
  <c r="AJ690" i="15"/>
  <c r="BQ675" i="16"/>
  <c r="AU728" i="16" l="1"/>
  <c r="AV728" i="16" s="1"/>
  <c r="AT728" i="16"/>
  <c r="AW728" i="16" s="1"/>
  <c r="AX728" i="16" s="1"/>
  <c r="AZ728" i="16" s="1"/>
  <c r="AL728" i="16"/>
  <c r="AM728" i="16" s="1"/>
  <c r="AN728" i="16" s="1"/>
  <c r="AO728" i="16" s="1"/>
  <c r="AT58" i="17"/>
  <c r="AW58" i="17" s="1"/>
  <c r="AX58" i="17" s="1"/>
  <c r="AZ58" i="17" s="1"/>
  <c r="AU58" i="17"/>
  <c r="AV58" i="17" s="1"/>
  <c r="BI52" i="17"/>
  <c r="BO52" i="17" s="1"/>
  <c r="BP52" i="17" s="1"/>
  <c r="BC53" i="17"/>
  <c r="BH53" i="17" s="1"/>
  <c r="BJ676" i="16"/>
  <c r="AN58" i="17"/>
  <c r="AO58" i="17" s="1"/>
  <c r="W59" i="17"/>
  <c r="AA59" i="17" s="1"/>
  <c r="AK59" i="17" s="1"/>
  <c r="AD59" i="17"/>
  <c r="AR57" i="17"/>
  <c r="AQ57" i="17"/>
  <c r="BE676" i="16"/>
  <c r="BF676" i="16" s="1"/>
  <c r="BI676" i="16" s="1"/>
  <c r="AE729" i="16"/>
  <c r="W729" i="16"/>
  <c r="N78" i="17"/>
  <c r="BL676" i="16"/>
  <c r="BM676" i="16" s="1"/>
  <c r="AY728" i="16" l="1"/>
  <c r="BN52" i="17"/>
  <c r="BQ52" i="17" s="1"/>
  <c r="BD53" i="17"/>
  <c r="BK53" i="17" s="1"/>
  <c r="BL53" i="17" s="1"/>
  <c r="BM53" i="17" s="1"/>
  <c r="AE59" i="17"/>
  <c r="AP58" i="17"/>
  <c r="AQ58" i="17" s="1"/>
  <c r="Y59" i="17"/>
  <c r="AA729" i="16"/>
  <c r="AK729" i="16" s="1"/>
  <c r="Y729" i="16"/>
  <c r="AB729" i="16" s="1"/>
  <c r="AP728" i="16"/>
  <c r="AR728" i="16" s="1"/>
  <c r="BG676" i="16"/>
  <c r="BC677" i="16" s="1"/>
  <c r="BH677" i="16" s="1"/>
  <c r="O78" i="17"/>
  <c r="M79" i="17"/>
  <c r="E79" i="17" s="1"/>
  <c r="L79" i="17" s="1"/>
  <c r="BN676" i="16"/>
  <c r="BO676" i="16"/>
  <c r="BP676" i="16" s="1"/>
  <c r="AF199" i="15"/>
  <c r="BE53" i="17" l="1"/>
  <c r="BF53" i="17" s="1"/>
  <c r="BI53" i="17" s="1"/>
  <c r="N79" i="17"/>
  <c r="M80" i="17" s="1"/>
  <c r="E80" i="17" s="1"/>
  <c r="L80" i="17" s="1"/>
  <c r="BJ53" i="17"/>
  <c r="Z729" i="16"/>
  <c r="U730" i="16" s="1"/>
  <c r="AC730" i="16" s="1"/>
  <c r="AB59" i="17"/>
  <c r="Z59" i="17"/>
  <c r="AR58" i="17"/>
  <c r="AQ728" i="16"/>
  <c r="AF729" i="16"/>
  <c r="P79" i="17"/>
  <c r="Q79" i="17" s="1"/>
  <c r="BD677" i="16"/>
  <c r="BE677" i="16" s="1"/>
  <c r="BF677" i="16" s="1"/>
  <c r="AJ691" i="15"/>
  <c r="BQ676" i="16"/>
  <c r="AD421" i="15"/>
  <c r="E675" i="14"/>
  <c r="F675" i="14" s="1"/>
  <c r="H675" i="14" s="1"/>
  <c r="AL159" i="15"/>
  <c r="O79" i="17" l="1"/>
  <c r="N80" i="17" s="1"/>
  <c r="BG53" i="17"/>
  <c r="BC54" i="17" s="1"/>
  <c r="BH54" i="17" s="1"/>
  <c r="AG729" i="16"/>
  <c r="AL729" i="16" s="1"/>
  <c r="AY729" i="16" s="1"/>
  <c r="BO53" i="17"/>
  <c r="BP53" i="17" s="1"/>
  <c r="BN53" i="17"/>
  <c r="U60" i="17"/>
  <c r="AC60" i="17" s="1"/>
  <c r="AF59" i="17"/>
  <c r="AG59" i="17" s="1"/>
  <c r="AL59" i="17" s="1"/>
  <c r="AY59" i="17" s="1"/>
  <c r="AD730" i="16"/>
  <c r="W730" i="16"/>
  <c r="P80" i="17"/>
  <c r="S79" i="17"/>
  <c r="BI677" i="16"/>
  <c r="BG677" i="16"/>
  <c r="BJ677" i="16"/>
  <c r="BK677" i="16"/>
  <c r="AM729" i="16" l="1"/>
  <c r="AN729" i="16" s="1"/>
  <c r="AO729" i="16" s="1"/>
  <c r="AP729" i="16" s="1"/>
  <c r="BQ53" i="17"/>
  <c r="AH59" i="17"/>
  <c r="AS59" i="17" s="1"/>
  <c r="AH729" i="16"/>
  <c r="AS729" i="16" s="1"/>
  <c r="BD54" i="17"/>
  <c r="BE54" i="17" s="1"/>
  <c r="BF54" i="17" s="1"/>
  <c r="AD60" i="17"/>
  <c r="AM59" i="17"/>
  <c r="W60" i="17"/>
  <c r="AA730" i="16"/>
  <c r="AK730" i="16" s="1"/>
  <c r="Y730" i="16"/>
  <c r="AB730" i="16" s="1"/>
  <c r="AE730" i="16"/>
  <c r="M81" i="17"/>
  <c r="E81" i="17" s="1"/>
  <c r="L81" i="17" s="1"/>
  <c r="O80" i="17"/>
  <c r="Q80" i="17"/>
  <c r="S80" i="17" s="1"/>
  <c r="BL677" i="16"/>
  <c r="BM677" i="16" s="1"/>
  <c r="BC678" i="16"/>
  <c r="BO677" i="16"/>
  <c r="BP677" i="16" s="1"/>
  <c r="AL160" i="15"/>
  <c r="AF201" i="15"/>
  <c r="AR729" i="16" l="1"/>
  <c r="AT729" i="16"/>
  <c r="AW729" i="16" s="1"/>
  <c r="AU729" i="16"/>
  <c r="AV729" i="16" s="1"/>
  <c r="AT59" i="17"/>
  <c r="AW59" i="17" s="1"/>
  <c r="AX59" i="17" s="1"/>
  <c r="AZ59" i="17" s="1"/>
  <c r="AU59" i="17"/>
  <c r="AV59" i="17" s="1"/>
  <c r="BJ54" i="17"/>
  <c r="BK54" i="17"/>
  <c r="BL54" i="17" s="1"/>
  <c r="BM54" i="17" s="1"/>
  <c r="AQ729" i="16"/>
  <c r="BG54" i="17"/>
  <c r="BI54" i="17"/>
  <c r="P81" i="17"/>
  <c r="Q81" i="17" s="1"/>
  <c r="S81" i="17" s="1"/>
  <c r="AN59" i="17"/>
  <c r="AO59" i="17" s="1"/>
  <c r="AP59" i="17" s="1"/>
  <c r="AA60" i="17"/>
  <c r="AK60" i="17" s="1"/>
  <c r="Y60" i="17"/>
  <c r="AE60" i="17"/>
  <c r="AF730" i="16"/>
  <c r="AG730" i="16" s="1"/>
  <c r="AH730" i="16" s="1"/>
  <c r="AS730" i="16" s="1"/>
  <c r="AT730" i="16" s="1"/>
  <c r="BN677" i="16"/>
  <c r="E676" i="14" s="1"/>
  <c r="F676" i="14" s="1"/>
  <c r="H676" i="14" s="1"/>
  <c r="Z730" i="16"/>
  <c r="N81" i="17"/>
  <c r="BD678" i="16"/>
  <c r="BH678" i="16"/>
  <c r="AJ692" i="15"/>
  <c r="AU730" i="16" l="1"/>
  <c r="AV730" i="16" s="1"/>
  <c r="AL730" i="16"/>
  <c r="AM730" i="16" s="1"/>
  <c r="AN730" i="16" s="1"/>
  <c r="AO730" i="16" s="1"/>
  <c r="AX729" i="16"/>
  <c r="AZ729" i="16" s="1"/>
  <c r="BO54" i="17"/>
  <c r="BP54" i="17" s="1"/>
  <c r="BN54" i="17"/>
  <c r="BC55" i="17"/>
  <c r="AD427" i="15"/>
  <c r="AB60" i="17"/>
  <c r="Z60" i="17"/>
  <c r="AQ59" i="17"/>
  <c r="AR59" i="17"/>
  <c r="BQ677" i="16"/>
  <c r="U731" i="16"/>
  <c r="AC731" i="16" s="1"/>
  <c r="O81" i="17"/>
  <c r="M82" i="17"/>
  <c r="E82" i="17" s="1"/>
  <c r="L82" i="17" s="1"/>
  <c r="BJ678" i="16"/>
  <c r="BK678" i="16"/>
  <c r="BE678" i="16"/>
  <c r="BF678" i="16" s="1"/>
  <c r="N82" i="17" l="1"/>
  <c r="AY730" i="16"/>
  <c r="AW730" i="16"/>
  <c r="AX730" i="16" s="1"/>
  <c r="AZ730" i="16" s="1"/>
  <c r="BH55" i="17"/>
  <c r="BQ54" i="17"/>
  <c r="BD55" i="17"/>
  <c r="U61" i="17"/>
  <c r="AC61" i="17" s="1"/>
  <c r="AF60" i="17"/>
  <c r="AG60" i="17" s="1"/>
  <c r="AP730" i="16"/>
  <c r="AR730" i="16" s="1"/>
  <c r="AD731" i="16"/>
  <c r="W731" i="16"/>
  <c r="O82" i="17"/>
  <c r="M83" i="17"/>
  <c r="E83" i="17" s="1"/>
  <c r="L83" i="17" s="1"/>
  <c r="P82" i="17"/>
  <c r="BI678" i="16"/>
  <c r="BG678" i="16"/>
  <c r="BL678" i="16"/>
  <c r="BM678" i="16" s="1"/>
  <c r="AH60" i="17" l="1"/>
  <c r="AS60" i="17" s="1"/>
  <c r="AL60" i="17"/>
  <c r="AY60" i="17" s="1"/>
  <c r="W61" i="17"/>
  <c r="AA61" i="17" s="1"/>
  <c r="AK61" i="17" s="1"/>
  <c r="BK55" i="17"/>
  <c r="BJ55" i="17"/>
  <c r="BE55" i="17"/>
  <c r="BF55" i="17" s="1"/>
  <c r="AD61" i="17"/>
  <c r="AQ730" i="16"/>
  <c r="AA731" i="16"/>
  <c r="AK731" i="16" s="1"/>
  <c r="Y731" i="16"/>
  <c r="AB731" i="16" s="1"/>
  <c r="AE731" i="16"/>
  <c r="N83" i="17"/>
  <c r="Q82" i="17"/>
  <c r="S82" i="17" s="1"/>
  <c r="BC679" i="16"/>
  <c r="BH679" i="16" s="1"/>
  <c r="BN678" i="16"/>
  <c r="BO678" i="16"/>
  <c r="BP678" i="16" s="1"/>
  <c r="AL161" i="15"/>
  <c r="AF253" i="15"/>
  <c r="Y61" i="17" l="1"/>
  <c r="AB61" i="17" s="1"/>
  <c r="AT60" i="17"/>
  <c r="AW60" i="17" s="1"/>
  <c r="AX60" i="17" s="1"/>
  <c r="AZ60" i="17" s="1"/>
  <c r="AU60" i="17"/>
  <c r="AV60" i="17" s="1"/>
  <c r="AM60" i="17"/>
  <c r="AN60" i="17" s="1"/>
  <c r="Z61" i="17"/>
  <c r="U62" i="17" s="1"/>
  <c r="AC62" i="17" s="1"/>
  <c r="BG55" i="17"/>
  <c r="BI55" i="17"/>
  <c r="BL55" i="17"/>
  <c r="BM55" i="17" s="1"/>
  <c r="P83" i="17"/>
  <c r="Q83" i="17" s="1"/>
  <c r="S83" i="17" s="1"/>
  <c r="AE61" i="17"/>
  <c r="Z731" i="16"/>
  <c r="U732" i="16" s="1"/>
  <c r="AC732" i="16" s="1"/>
  <c r="BD679" i="16"/>
  <c r="BJ679" i="16" s="1"/>
  <c r="AF731" i="16"/>
  <c r="O83" i="17"/>
  <c r="M84" i="17"/>
  <c r="AJ693" i="15"/>
  <c r="BQ678" i="16"/>
  <c r="AD472" i="15"/>
  <c r="E677" i="14"/>
  <c r="F677" i="14" s="1"/>
  <c r="H677" i="14" s="1"/>
  <c r="AF61" i="17" l="1"/>
  <c r="AG61" i="17" s="1"/>
  <c r="AH61" i="17" s="1"/>
  <c r="AS61" i="17" s="1"/>
  <c r="AT61" i="17" s="1"/>
  <c r="AW61" i="17" s="1"/>
  <c r="AX61" i="17" s="1"/>
  <c r="AG731" i="16"/>
  <c r="AL731" i="16" s="1"/>
  <c r="AY731" i="16" s="1"/>
  <c r="AO60" i="17"/>
  <c r="AP60" i="17" s="1"/>
  <c r="BO55" i="17"/>
  <c r="BP55" i="17" s="1"/>
  <c r="BN55" i="17"/>
  <c r="BC56" i="17"/>
  <c r="BH56" i="17" s="1"/>
  <c r="P84" i="17"/>
  <c r="Q84" i="17" s="1"/>
  <c r="S84" i="17" s="1"/>
  <c r="E84" i="17"/>
  <c r="L84" i="17" s="1"/>
  <c r="N84" i="17" s="1"/>
  <c r="W62" i="17"/>
  <c r="AA62" i="17" s="1"/>
  <c r="AK62" i="17" s="1"/>
  <c r="BK679" i="16"/>
  <c r="BL679" i="16" s="1"/>
  <c r="BM679" i="16" s="1"/>
  <c r="BE679" i="16"/>
  <c r="BF679" i="16" s="1"/>
  <c r="BI679" i="16" s="1"/>
  <c r="AD62" i="17"/>
  <c r="AD732" i="16"/>
  <c r="W732" i="16"/>
  <c r="AL61" i="17" l="1"/>
  <c r="AY61" i="17" s="1"/>
  <c r="AM731" i="16"/>
  <c r="AN731" i="16" s="1"/>
  <c r="AO731" i="16" s="1"/>
  <c r="AP731" i="16" s="1"/>
  <c r="AQ731" i="16" s="1"/>
  <c r="AH731" i="16"/>
  <c r="AS731" i="16" s="1"/>
  <c r="AU61" i="17"/>
  <c r="AV61" i="17" s="1"/>
  <c r="AM61" i="17"/>
  <c r="BQ55" i="17"/>
  <c r="AZ61" i="17"/>
  <c r="BD56" i="17"/>
  <c r="Y62" i="17"/>
  <c r="AB62" i="17" s="1"/>
  <c r="BG679" i="16"/>
  <c r="BC680" i="16" s="1"/>
  <c r="BH680" i="16" s="1"/>
  <c r="AE62" i="17"/>
  <c r="AR60" i="17"/>
  <c r="AQ60" i="17"/>
  <c r="AA732" i="16"/>
  <c r="AK732" i="16" s="1"/>
  <c r="Y732" i="16"/>
  <c r="AB732" i="16" s="1"/>
  <c r="AE732" i="16"/>
  <c r="O84" i="17"/>
  <c r="M85" i="17"/>
  <c r="E85" i="17" s="1"/>
  <c r="L85" i="17" s="1"/>
  <c r="BN679" i="16"/>
  <c r="BO679" i="16"/>
  <c r="BP679" i="16" s="1"/>
  <c r="AL26" i="15"/>
  <c r="AF189" i="15"/>
  <c r="AR731" i="16" l="1"/>
  <c r="AN61" i="17"/>
  <c r="AO61" i="17" s="1"/>
  <c r="AU731" i="16"/>
  <c r="AV731" i="16" s="1"/>
  <c r="AT731" i="16"/>
  <c r="AW731" i="16" s="1"/>
  <c r="Z62" i="17"/>
  <c r="U63" i="17" s="1"/>
  <c r="AC63" i="17" s="1"/>
  <c r="BJ56" i="17"/>
  <c r="BK56" i="17"/>
  <c r="BL56" i="17" s="1"/>
  <c r="BM56" i="17" s="1"/>
  <c r="BE56" i="17"/>
  <c r="BF56" i="17" s="1"/>
  <c r="AF62" i="17"/>
  <c r="AG62" i="17" s="1"/>
  <c r="AF732" i="16"/>
  <c r="AG732" i="16" s="1"/>
  <c r="AH732" i="16" s="1"/>
  <c r="AS732" i="16" s="1"/>
  <c r="AT732" i="16" s="1"/>
  <c r="Z732" i="16"/>
  <c r="N85" i="17"/>
  <c r="P85" i="17"/>
  <c r="AJ694" i="15"/>
  <c r="BQ679" i="16"/>
  <c r="BD680" i="16"/>
  <c r="E678" i="14"/>
  <c r="F678" i="14" s="1"/>
  <c r="H678" i="14" s="1"/>
  <c r="AD473" i="15"/>
  <c r="AP61" i="17" l="1"/>
  <c r="AR61" i="17" s="1"/>
  <c r="AH62" i="17"/>
  <c r="AS62" i="17" s="1"/>
  <c r="AX731" i="16"/>
  <c r="AZ731" i="16" s="1"/>
  <c r="AL732" i="16"/>
  <c r="AY732" i="16" s="1"/>
  <c r="W63" i="17"/>
  <c r="AA63" i="17" s="1"/>
  <c r="AK63" i="17" s="1"/>
  <c r="AU732" i="16"/>
  <c r="AV732" i="16" s="1"/>
  <c r="AL62" i="17"/>
  <c r="AY62" i="17" s="1"/>
  <c r="AD63" i="17"/>
  <c r="AE63" i="17" s="1"/>
  <c r="BG56" i="17"/>
  <c r="BI56" i="17"/>
  <c r="U733" i="16"/>
  <c r="AC733" i="16" s="1"/>
  <c r="Q85" i="17"/>
  <c r="S85" i="17" s="1"/>
  <c r="M86" i="17"/>
  <c r="E86" i="17" s="1"/>
  <c r="L86" i="17" s="1"/>
  <c r="O85" i="17"/>
  <c r="BJ680" i="16"/>
  <c r="BK680" i="16"/>
  <c r="BE680" i="16"/>
  <c r="BF680" i="16" s="1"/>
  <c r="Y63" i="17" l="1"/>
  <c r="AB63" i="17" s="1"/>
  <c r="AF63" i="17" s="1"/>
  <c r="AG63" i="17" s="1"/>
  <c r="AM732" i="16"/>
  <c r="AN732" i="16" s="1"/>
  <c r="AO732" i="16" s="1"/>
  <c r="AP732" i="16" s="1"/>
  <c r="AR732" i="16" s="1"/>
  <c r="AT62" i="17"/>
  <c r="AW62" i="17" s="1"/>
  <c r="AU62" i="17"/>
  <c r="AV62" i="17" s="1"/>
  <c r="AW732" i="16"/>
  <c r="AX732" i="16" s="1"/>
  <c r="AZ732" i="16" s="1"/>
  <c r="AM62" i="17"/>
  <c r="AQ61" i="17"/>
  <c r="N86" i="17"/>
  <c r="M87" i="17" s="1"/>
  <c r="BO56" i="17"/>
  <c r="BP56" i="17" s="1"/>
  <c r="BN56" i="17"/>
  <c r="BC57" i="17"/>
  <c r="W733" i="16"/>
  <c r="AA733" i="16" s="1"/>
  <c r="AK733" i="16" s="1"/>
  <c r="AD733" i="16"/>
  <c r="P86" i="17"/>
  <c r="BI680" i="16"/>
  <c r="BG680" i="16"/>
  <c r="BL680" i="16"/>
  <c r="BM680" i="16" s="1"/>
  <c r="Z63" i="17" l="1"/>
  <c r="U64" i="17" s="1"/>
  <c r="AC64" i="17" s="1"/>
  <c r="O86" i="17"/>
  <c r="AN62" i="17"/>
  <c r="AO62" i="17" s="1"/>
  <c r="AP62" i="17" s="1"/>
  <c r="AQ62" i="17" s="1"/>
  <c r="AH63" i="17"/>
  <c r="AS63" i="17" s="1"/>
  <c r="AT63" i="17" s="1"/>
  <c r="AL63" i="17"/>
  <c r="AY63" i="17" s="1"/>
  <c r="AX62" i="17"/>
  <c r="AZ62" i="17" s="1"/>
  <c r="BQ56" i="17"/>
  <c r="BD57" i="17"/>
  <c r="BH57" i="17"/>
  <c r="Y733" i="16"/>
  <c r="AB733" i="16" s="1"/>
  <c r="AE733" i="16"/>
  <c r="AQ732" i="16"/>
  <c r="Q86" i="17"/>
  <c r="S86" i="17" s="1"/>
  <c r="E87" i="17"/>
  <c r="L87" i="17" s="1"/>
  <c r="BC681" i="16"/>
  <c r="BH681" i="16" s="1"/>
  <c r="BO680" i="16"/>
  <c r="BP680" i="16" s="1"/>
  <c r="BN680" i="16"/>
  <c r="AL162" i="15"/>
  <c r="AF190" i="15"/>
  <c r="AW63" i="17" l="1"/>
  <c r="AX63" i="17" s="1"/>
  <c r="AZ63" i="17" s="1"/>
  <c r="AR62" i="17"/>
  <c r="AM63" i="17"/>
  <c r="AN63" i="17" s="1"/>
  <c r="AO63" i="17" s="1"/>
  <c r="AU63" i="17"/>
  <c r="AV63" i="17" s="1"/>
  <c r="BK57" i="17"/>
  <c r="BL57" i="17" s="1"/>
  <c r="BM57" i="17" s="1"/>
  <c r="BJ57" i="17"/>
  <c r="BE57" i="17"/>
  <c r="BF57" i="17" s="1"/>
  <c r="W64" i="17"/>
  <c r="AA64" i="17" s="1"/>
  <c r="AK64" i="17" s="1"/>
  <c r="AF733" i="16"/>
  <c r="AG733" i="16" s="1"/>
  <c r="AH733" i="16" s="1"/>
  <c r="AS733" i="16" s="1"/>
  <c r="Z733" i="16"/>
  <c r="U734" i="16" s="1"/>
  <c r="AC734" i="16" s="1"/>
  <c r="AD64" i="17"/>
  <c r="N87" i="17"/>
  <c r="P87" i="17"/>
  <c r="BD681" i="16"/>
  <c r="BE681" i="16" s="1"/>
  <c r="BF681" i="16" s="1"/>
  <c r="AD500" i="15"/>
  <c r="E679" i="14"/>
  <c r="F679" i="14" s="1"/>
  <c r="H679" i="14" s="1"/>
  <c r="AJ695" i="15"/>
  <c r="BQ680" i="16"/>
  <c r="AU733" i="16" l="1"/>
  <c r="AV733" i="16" s="1"/>
  <c r="AT733" i="16"/>
  <c r="AW733" i="16" s="1"/>
  <c r="AX733" i="16" s="1"/>
  <c r="AZ733" i="16" s="1"/>
  <c r="AL733" i="16"/>
  <c r="BG57" i="17"/>
  <c r="BI57" i="17"/>
  <c r="Y64" i="17"/>
  <c r="AB64" i="17" s="1"/>
  <c r="W734" i="16"/>
  <c r="AA734" i="16" s="1"/>
  <c r="AK734" i="16" s="1"/>
  <c r="AD734" i="16"/>
  <c r="AE734" i="16" s="1"/>
  <c r="AP63" i="17"/>
  <c r="AE64" i="17"/>
  <c r="M88" i="17"/>
  <c r="E88" i="17" s="1"/>
  <c r="L88" i="17" s="1"/>
  <c r="O87" i="17"/>
  <c r="Q87" i="17"/>
  <c r="S87" i="17" s="1"/>
  <c r="BI681" i="16"/>
  <c r="BG681" i="16"/>
  <c r="BJ681" i="16"/>
  <c r="BK681" i="16"/>
  <c r="AY733" i="16" l="1"/>
  <c r="AM733" i="16"/>
  <c r="AN733" i="16" s="1"/>
  <c r="Y734" i="16"/>
  <c r="AB734" i="16" s="1"/>
  <c r="Z64" i="17"/>
  <c r="U65" i="17" s="1"/>
  <c r="AC65" i="17" s="1"/>
  <c r="BO57" i="17"/>
  <c r="BP57" i="17" s="1"/>
  <c r="BN57" i="17"/>
  <c r="BC58" i="17"/>
  <c r="BH58" i="17" s="1"/>
  <c r="P88" i="17"/>
  <c r="Q88" i="17" s="1"/>
  <c r="S88" i="17" s="1"/>
  <c r="AF64" i="17"/>
  <c r="AG64" i="17" s="1"/>
  <c r="AR63" i="17"/>
  <c r="AQ63" i="17"/>
  <c r="N88" i="17"/>
  <c r="BL681" i="16"/>
  <c r="BM681" i="16" s="1"/>
  <c r="BC682" i="16"/>
  <c r="BH682" i="16" s="1"/>
  <c r="BO681" i="16"/>
  <c r="BP681" i="16" s="1"/>
  <c r="Z734" i="16" l="1"/>
  <c r="U735" i="16" s="1"/>
  <c r="AC735" i="16" s="1"/>
  <c r="AD735" i="16" s="1"/>
  <c r="AE735" i="16" s="1"/>
  <c r="BD58" i="17"/>
  <c r="BK58" i="17" s="1"/>
  <c r="BL58" i="17" s="1"/>
  <c r="BM58" i="17" s="1"/>
  <c r="AO733" i="16"/>
  <c r="AP733" i="16" s="1"/>
  <c r="AQ733" i="16" s="1"/>
  <c r="AH64" i="17"/>
  <c r="AS64" i="17" s="1"/>
  <c r="AL64" i="17"/>
  <c r="BQ57" i="17"/>
  <c r="W65" i="17"/>
  <c r="AA65" i="17" s="1"/>
  <c r="AK65" i="17" s="1"/>
  <c r="AD65" i="17"/>
  <c r="W735" i="16"/>
  <c r="AA735" i="16" s="1"/>
  <c r="AK735" i="16" s="1"/>
  <c r="AF734" i="16"/>
  <c r="AG734" i="16" s="1"/>
  <c r="AH734" i="16" s="1"/>
  <c r="AS734" i="16" s="1"/>
  <c r="BN681" i="16"/>
  <c r="BQ681" i="16" s="1"/>
  <c r="M89" i="17"/>
  <c r="E89" i="17" s="1"/>
  <c r="L89" i="17" s="1"/>
  <c r="O88" i="17"/>
  <c r="AJ696" i="15"/>
  <c r="E680" i="14"/>
  <c r="F680" i="14" s="1"/>
  <c r="H680" i="14" s="1"/>
  <c r="BD682" i="16"/>
  <c r="BE682" i="16" s="1"/>
  <c r="AL50" i="15"/>
  <c r="AF181" i="15"/>
  <c r="AR733" i="16" l="1"/>
  <c r="BE58" i="17"/>
  <c r="BF58" i="17" s="1"/>
  <c r="BI58" i="17" s="1"/>
  <c r="BJ58" i="17"/>
  <c r="Y65" i="17"/>
  <c r="AB65" i="17" s="1"/>
  <c r="AT64" i="17"/>
  <c r="AW64" i="17" s="1"/>
  <c r="AX64" i="17" s="1"/>
  <c r="AZ64" i="17" s="1"/>
  <c r="AU64" i="17"/>
  <c r="AV64" i="17" s="1"/>
  <c r="AT734" i="16"/>
  <c r="AW734" i="16" s="1"/>
  <c r="AX734" i="16" s="1"/>
  <c r="AZ734" i="16" s="1"/>
  <c r="AU734" i="16"/>
  <c r="AV734" i="16" s="1"/>
  <c r="AL734" i="16"/>
  <c r="AY734" i="16" s="1"/>
  <c r="AY64" i="17"/>
  <c r="AM64" i="17"/>
  <c r="AN64" i="17" s="1"/>
  <c r="AO64" i="17" s="1"/>
  <c r="AP64" i="17" s="1"/>
  <c r="Y735" i="16"/>
  <c r="AB735" i="16" s="1"/>
  <c r="AF735" i="16" s="1"/>
  <c r="AD535" i="15"/>
  <c r="AE65" i="17"/>
  <c r="N89" i="17"/>
  <c r="P89" i="17"/>
  <c r="BF682" i="16"/>
  <c r="BJ682" i="16"/>
  <c r="BK682" i="16"/>
  <c r="BG58" i="17" l="1"/>
  <c r="AF65" i="17"/>
  <c r="AG65" i="17" s="1"/>
  <c r="AH65" i="17" s="1"/>
  <c r="AS65" i="17" s="1"/>
  <c r="AT65" i="17" s="1"/>
  <c r="AW65" i="17" s="1"/>
  <c r="AX65" i="17" s="1"/>
  <c r="AZ65" i="17" s="1"/>
  <c r="Z65" i="17"/>
  <c r="U66" i="17" s="1"/>
  <c r="AC66" i="17" s="1"/>
  <c r="AG735" i="16"/>
  <c r="AM734" i="16"/>
  <c r="AN734" i="16" s="1"/>
  <c r="Z735" i="16"/>
  <c r="U736" i="16" s="1"/>
  <c r="AC736" i="16" s="1"/>
  <c r="BO58" i="17"/>
  <c r="BP58" i="17" s="1"/>
  <c r="BN58" i="17"/>
  <c r="AR64" i="17"/>
  <c r="BC59" i="17"/>
  <c r="AQ64" i="17"/>
  <c r="Q89" i="17"/>
  <c r="S89" i="17" s="1"/>
  <c r="O89" i="17"/>
  <c r="M90" i="17"/>
  <c r="E90" i="17" s="1"/>
  <c r="L90" i="17" s="1"/>
  <c r="BL682" i="16"/>
  <c r="BM682" i="16" s="1"/>
  <c r="BI682" i="16"/>
  <c r="BG682" i="16"/>
  <c r="AL65" i="17" l="1"/>
  <c r="AY65" i="17" s="1"/>
  <c r="AU65" i="17"/>
  <c r="AV65" i="17" s="1"/>
  <c r="AH735" i="16"/>
  <c r="AS735" i="16" s="1"/>
  <c r="AL735" i="16"/>
  <c r="AY735" i="16" s="1"/>
  <c r="AO734" i="16"/>
  <c r="AP734" i="16" s="1"/>
  <c r="AQ734" i="16" s="1"/>
  <c r="BQ58" i="17"/>
  <c r="BD59" i="17"/>
  <c r="BH59" i="17"/>
  <c r="W66" i="17"/>
  <c r="AD66" i="17"/>
  <c r="W736" i="16"/>
  <c r="AA736" i="16" s="1"/>
  <c r="AK736" i="16" s="1"/>
  <c r="AD736" i="16"/>
  <c r="AE736" i="16" s="1"/>
  <c r="P90" i="17"/>
  <c r="N90" i="17"/>
  <c r="BC683" i="16"/>
  <c r="BH683" i="16" s="1"/>
  <c r="BO682" i="16"/>
  <c r="BP682" i="16" s="1"/>
  <c r="BN682" i="16"/>
  <c r="AF182" i="15"/>
  <c r="AM65" i="17" l="1"/>
  <c r="AN65" i="17" s="1"/>
  <c r="AO65" i="17" s="1"/>
  <c r="AP65" i="17" s="1"/>
  <c r="AR65" i="17" s="1"/>
  <c r="AR734" i="16"/>
  <c r="AU735" i="16"/>
  <c r="AV735" i="16" s="1"/>
  <c r="AT735" i="16"/>
  <c r="AW735" i="16" s="1"/>
  <c r="AX735" i="16" s="1"/>
  <c r="AZ735" i="16" s="1"/>
  <c r="AM735" i="16"/>
  <c r="AN735" i="16" s="1"/>
  <c r="BK59" i="17"/>
  <c r="BJ59" i="17"/>
  <c r="BE59" i="17"/>
  <c r="BF59" i="17" s="1"/>
  <c r="AA66" i="17"/>
  <c r="AK66" i="17" s="1"/>
  <c r="Y66" i="17"/>
  <c r="AB66" i="17" s="1"/>
  <c r="AE66" i="17"/>
  <c r="Y736" i="16"/>
  <c r="AB736" i="16" s="1"/>
  <c r="O90" i="17"/>
  <c r="M91" i="17"/>
  <c r="Q90" i="17"/>
  <c r="S90" i="17" s="1"/>
  <c r="E681" i="14"/>
  <c r="F681" i="14" s="1"/>
  <c r="H681" i="14" s="1"/>
  <c r="AD541" i="15"/>
  <c r="BD683" i="16"/>
  <c r="AJ697" i="15"/>
  <c r="BQ682" i="16"/>
  <c r="AL163" i="15"/>
  <c r="AO735" i="16" l="1"/>
  <c r="AP735" i="16" s="1"/>
  <c r="AQ735" i="16" s="1"/>
  <c r="BG59" i="17"/>
  <c r="BI59" i="17"/>
  <c r="BL59" i="17"/>
  <c r="BM59" i="17" s="1"/>
  <c r="Z66" i="17"/>
  <c r="U67" i="17" s="1"/>
  <c r="AC67" i="17" s="1"/>
  <c r="Z736" i="16"/>
  <c r="AF66" i="17"/>
  <c r="AG66" i="17" s="1"/>
  <c r="AL66" i="17" s="1"/>
  <c r="AY66" i="17" s="1"/>
  <c r="AQ65" i="17"/>
  <c r="AF736" i="16"/>
  <c r="AG736" i="16" s="1"/>
  <c r="AH736" i="16" s="1"/>
  <c r="AS736" i="16" s="1"/>
  <c r="AT736" i="16" s="1"/>
  <c r="AW736" i="16" s="1"/>
  <c r="AX736" i="16" s="1"/>
  <c r="AZ736" i="16" s="1"/>
  <c r="E91" i="17"/>
  <c r="L91" i="17" s="1"/>
  <c r="P91" i="17"/>
  <c r="Q91" i="17" s="1"/>
  <c r="BJ683" i="16"/>
  <c r="BK683" i="16"/>
  <c r="BE683" i="16"/>
  <c r="BF683" i="16" s="1"/>
  <c r="AR735" i="16" l="1"/>
  <c r="AU736" i="16"/>
  <c r="AV736" i="16" s="1"/>
  <c r="AH66" i="17"/>
  <c r="AS66" i="17" s="1"/>
  <c r="AL736" i="16"/>
  <c r="BC60" i="17"/>
  <c r="BH60" i="17" s="1"/>
  <c r="BO59" i="17"/>
  <c r="BP59" i="17" s="1"/>
  <c r="BN59" i="17"/>
  <c r="W67" i="17"/>
  <c r="AA67" i="17" s="1"/>
  <c r="AK67" i="17" s="1"/>
  <c r="AD67" i="17"/>
  <c r="AM66" i="17"/>
  <c r="S91" i="17"/>
  <c r="N91" i="17"/>
  <c r="BI683" i="16"/>
  <c r="BG683" i="16"/>
  <c r="BL683" i="16"/>
  <c r="BM683" i="16" s="1"/>
  <c r="AU66" i="17" l="1"/>
  <c r="AV66" i="17" s="1"/>
  <c r="AT66" i="17"/>
  <c r="AW66" i="17" s="1"/>
  <c r="AX66" i="17" s="1"/>
  <c r="AZ66" i="17" s="1"/>
  <c r="AM736" i="16"/>
  <c r="AN736" i="16" s="1"/>
  <c r="AO736" i="16" s="1"/>
  <c r="AP736" i="16" s="1"/>
  <c r="AR736" i="16" s="1"/>
  <c r="AY736" i="16"/>
  <c r="BQ59" i="17"/>
  <c r="BD60" i="17"/>
  <c r="Y67" i="17"/>
  <c r="AB67" i="17" s="1"/>
  <c r="AE67" i="17"/>
  <c r="AN66" i="17"/>
  <c r="M92" i="17"/>
  <c r="E92" i="17" s="1"/>
  <c r="L92" i="17" s="1"/>
  <c r="O91" i="17"/>
  <c r="BC684" i="16"/>
  <c r="BH684" i="16" s="1"/>
  <c r="BO683" i="16"/>
  <c r="BP683" i="16" s="1"/>
  <c r="BN683" i="16"/>
  <c r="AL10" i="15"/>
  <c r="AF165" i="15"/>
  <c r="AQ736" i="16" l="1"/>
  <c r="Z67" i="17"/>
  <c r="U68" i="17" s="1"/>
  <c r="AC68" i="17" s="1"/>
  <c r="BJ60" i="17"/>
  <c r="BK60" i="17"/>
  <c r="BL60" i="17" s="1"/>
  <c r="BM60" i="17" s="1"/>
  <c r="BE60" i="17"/>
  <c r="BF60" i="17" s="1"/>
  <c r="AF67" i="17"/>
  <c r="AG67" i="17" s="1"/>
  <c r="AO66" i="17"/>
  <c r="P92" i="17"/>
  <c r="N92" i="17"/>
  <c r="BD684" i="16"/>
  <c r="BE684" i="16" s="1"/>
  <c r="AJ698" i="15"/>
  <c r="BQ683" i="16"/>
  <c r="E682" i="14"/>
  <c r="F682" i="14" s="1"/>
  <c r="H682" i="14" s="1"/>
  <c r="AD589" i="15"/>
  <c r="AH67" i="17" l="1"/>
  <c r="AS67" i="17" s="1"/>
  <c r="AL67" i="17"/>
  <c r="AY67" i="17" s="1"/>
  <c r="BG60" i="17"/>
  <c r="BI60" i="17"/>
  <c r="W68" i="17"/>
  <c r="AA68" i="17" s="1"/>
  <c r="AK68" i="17" s="1"/>
  <c r="AP66" i="17"/>
  <c r="AQ66" i="17" s="1"/>
  <c r="AD68" i="17"/>
  <c r="BF684" i="16"/>
  <c r="BI684" i="16" s="1"/>
  <c r="Q92" i="17"/>
  <c r="S92" i="17" s="1"/>
  <c r="O92" i="17"/>
  <c r="M93" i="17"/>
  <c r="BJ684" i="16"/>
  <c r="BK684" i="16"/>
  <c r="AM67" i="17" l="1"/>
  <c r="AN67" i="17" s="1"/>
  <c r="AO67" i="17" s="1"/>
  <c r="AP67" i="17" s="1"/>
  <c r="AT67" i="17"/>
  <c r="AW67" i="17" s="1"/>
  <c r="AX67" i="17" s="1"/>
  <c r="AZ67" i="17" s="1"/>
  <c r="AU67" i="17"/>
  <c r="AV67" i="17" s="1"/>
  <c r="Y68" i="17"/>
  <c r="BO60" i="17"/>
  <c r="BP60" i="17" s="1"/>
  <c r="BN60" i="17"/>
  <c r="BC61" i="17"/>
  <c r="BG684" i="16"/>
  <c r="BC685" i="16" s="1"/>
  <c r="AE68" i="17"/>
  <c r="AR66" i="17"/>
  <c r="E93" i="17"/>
  <c r="L93" i="17" s="1"/>
  <c r="P93" i="17"/>
  <c r="BL684" i="16"/>
  <c r="BM684" i="16" s="1"/>
  <c r="BO684" i="16"/>
  <c r="BP684" i="16" s="1"/>
  <c r="AL54" i="15"/>
  <c r="AF148" i="15"/>
  <c r="BQ60" i="17" l="1"/>
  <c r="AB68" i="17"/>
  <c r="Z68" i="17"/>
  <c r="U69" i="17" s="1"/>
  <c r="AC69" i="17" s="1"/>
  <c r="BD61" i="17"/>
  <c r="BH61" i="17"/>
  <c r="AQ67" i="17"/>
  <c r="AR67" i="17"/>
  <c r="BN684" i="16"/>
  <c r="E683" i="14" s="1"/>
  <c r="F683" i="14" s="1"/>
  <c r="H683" i="14" s="1"/>
  <c r="Q93" i="17"/>
  <c r="S93" i="17" s="1"/>
  <c r="N93" i="17"/>
  <c r="BH685" i="16"/>
  <c r="BD685" i="16"/>
  <c r="AJ699" i="15"/>
  <c r="W69" i="17" l="1"/>
  <c r="Y69" i="17" s="1"/>
  <c r="AB69" i="17" s="1"/>
  <c r="AF68" i="17"/>
  <c r="AG68" i="17" s="1"/>
  <c r="AD69" i="17"/>
  <c r="AE69" i="17" s="1"/>
  <c r="BK61" i="17"/>
  <c r="BL61" i="17" s="1"/>
  <c r="BM61" i="17" s="1"/>
  <c r="BJ61" i="17"/>
  <c r="BE61" i="17"/>
  <c r="BF61" i="17" s="1"/>
  <c r="BQ684" i="16"/>
  <c r="AD640" i="15"/>
  <c r="M94" i="17"/>
  <c r="E94" i="17" s="1"/>
  <c r="L94" i="17" s="1"/>
  <c r="O93" i="17"/>
  <c r="BJ685" i="16"/>
  <c r="BK685" i="16"/>
  <c r="BE685" i="16"/>
  <c r="BF685" i="16" s="1"/>
  <c r="AH68" i="17" l="1"/>
  <c r="AS68" i="17" s="1"/>
  <c r="AL68" i="17"/>
  <c r="AY68" i="17" s="1"/>
  <c r="AA69" i="17"/>
  <c r="AK69" i="17" s="1"/>
  <c r="BG61" i="17"/>
  <c r="BI61" i="17"/>
  <c r="Z69" i="17"/>
  <c r="AF69" i="17"/>
  <c r="AG69" i="17" s="1"/>
  <c r="AH69" i="17" s="1"/>
  <c r="AS69" i="17" s="1"/>
  <c r="AT69" i="17" s="1"/>
  <c r="P94" i="17"/>
  <c r="N94" i="17"/>
  <c r="BI685" i="16"/>
  <c r="BG685" i="16"/>
  <c r="BL685" i="16"/>
  <c r="BM685" i="16" s="1"/>
  <c r="AL69" i="17" l="1"/>
  <c r="AY69" i="17" s="1"/>
  <c r="AM68" i="17"/>
  <c r="AN68" i="17" s="1"/>
  <c r="AO68" i="17" s="1"/>
  <c r="AP68" i="17" s="1"/>
  <c r="AT68" i="17"/>
  <c r="AW68" i="17" s="1"/>
  <c r="AU68" i="17"/>
  <c r="AV68" i="17" s="1"/>
  <c r="AU69" i="17" s="1"/>
  <c r="AV69" i="17" s="1"/>
  <c r="BC62" i="17"/>
  <c r="BO61" i="17"/>
  <c r="BP61" i="17" s="1"/>
  <c r="BN61" i="17"/>
  <c r="U70" i="17"/>
  <c r="AC70" i="17" s="1"/>
  <c r="M95" i="17"/>
  <c r="O94" i="17"/>
  <c r="Q94" i="17"/>
  <c r="S94" i="17" s="1"/>
  <c r="BC686" i="16"/>
  <c r="BH686" i="16" s="1"/>
  <c r="BO685" i="16"/>
  <c r="BP685" i="16" s="1"/>
  <c r="BN685" i="16"/>
  <c r="AL80" i="15"/>
  <c r="AF137" i="15"/>
  <c r="AM69" i="17" l="1"/>
  <c r="AN69" i="17" s="1"/>
  <c r="AO69" i="17" s="1"/>
  <c r="AX68" i="17"/>
  <c r="AZ68" i="17" s="1"/>
  <c r="AR68" i="17"/>
  <c r="AQ68" i="17"/>
  <c r="BQ61" i="17"/>
  <c r="BD62" i="17"/>
  <c r="BH62" i="17"/>
  <c r="P95" i="17"/>
  <c r="Q95" i="17" s="1"/>
  <c r="S95" i="17" s="1"/>
  <c r="AD70" i="17"/>
  <c r="W70" i="17"/>
  <c r="BD686" i="16"/>
  <c r="BK686" i="16" s="1"/>
  <c r="E95" i="17"/>
  <c r="L95" i="17" s="1"/>
  <c r="AD706" i="15"/>
  <c r="E684" i="14"/>
  <c r="F684" i="14" s="1"/>
  <c r="H684" i="14" s="1"/>
  <c r="AJ700" i="15"/>
  <c r="BQ685" i="16"/>
  <c r="AW69" i="17" l="1"/>
  <c r="AX69" i="17" s="1"/>
  <c r="AZ69" i="17" s="1"/>
  <c r="BK62" i="17"/>
  <c r="BL62" i="17" s="1"/>
  <c r="BM62" i="17" s="1"/>
  <c r="BJ62" i="17"/>
  <c r="BE62" i="17"/>
  <c r="BF62" i="17" s="1"/>
  <c r="BJ686" i="16"/>
  <c r="BE686" i="16"/>
  <c r="BF686" i="16" s="1"/>
  <c r="BG686" i="16" s="1"/>
  <c r="AP69" i="17"/>
  <c r="AR69" i="17" s="1"/>
  <c r="AE70" i="17"/>
  <c r="AA70" i="17"/>
  <c r="AK70" i="17" s="1"/>
  <c r="Y70" i="17"/>
  <c r="AB70" i="17" s="1"/>
  <c r="N95" i="17"/>
  <c r="BL686" i="16"/>
  <c r="BM686" i="16" s="1"/>
  <c r="BG62" i="17" l="1"/>
  <c r="BI62" i="17"/>
  <c r="Z70" i="17"/>
  <c r="U71" i="17" s="1"/>
  <c r="AC71" i="17" s="1"/>
  <c r="AQ69" i="17"/>
  <c r="BI686" i="16"/>
  <c r="BO686" i="16" s="1"/>
  <c r="BP686" i="16" s="1"/>
  <c r="AF70" i="17"/>
  <c r="AG70" i="17" s="1"/>
  <c r="O95" i="17"/>
  <c r="M96" i="17"/>
  <c r="E96" i="17" s="1"/>
  <c r="L96" i="17" s="1"/>
  <c r="BC687" i="16"/>
  <c r="BH687" i="16" s="1"/>
  <c r="AL8" i="15"/>
  <c r="AF132" i="15"/>
  <c r="BN686" i="16" l="1"/>
  <c r="AD716" i="15" s="1"/>
  <c r="AH70" i="17"/>
  <c r="AS70" i="17" s="1"/>
  <c r="AL70" i="17"/>
  <c r="AY70" i="17" s="1"/>
  <c r="BC63" i="17"/>
  <c r="BO62" i="17"/>
  <c r="BP62" i="17" s="1"/>
  <c r="BN62" i="17"/>
  <c r="AD71" i="17"/>
  <c r="W71" i="17"/>
  <c r="N96" i="17"/>
  <c r="P96" i="17"/>
  <c r="E685" i="14"/>
  <c r="F685" i="14" s="1"/>
  <c r="H685" i="14" s="1"/>
  <c r="BD687" i="16"/>
  <c r="BE687" i="16" s="1"/>
  <c r="AJ701" i="15"/>
  <c r="BQ686" i="16" l="1"/>
  <c r="AM70" i="17"/>
  <c r="AN70" i="17" s="1"/>
  <c r="AT70" i="17"/>
  <c r="AW70" i="17" s="1"/>
  <c r="AX70" i="17" s="1"/>
  <c r="AZ70" i="17" s="1"/>
  <c r="AU70" i="17"/>
  <c r="AV70" i="17" s="1"/>
  <c r="BQ62" i="17"/>
  <c r="BD63" i="17"/>
  <c r="BH63" i="17"/>
  <c r="AA71" i="17"/>
  <c r="AK71" i="17" s="1"/>
  <c r="Y71" i="17"/>
  <c r="AB71" i="17" s="1"/>
  <c r="AE71" i="17"/>
  <c r="Q96" i="17"/>
  <c r="S96" i="17" s="1"/>
  <c r="M97" i="17"/>
  <c r="O96" i="17"/>
  <c r="BJ687" i="16"/>
  <c r="BK687" i="16"/>
  <c r="BF687" i="16"/>
  <c r="Z71" i="17" l="1"/>
  <c r="U72" i="17" s="1"/>
  <c r="AC72" i="17" s="1"/>
  <c r="BK63" i="17"/>
  <c r="BL63" i="17" s="1"/>
  <c r="BM63" i="17" s="1"/>
  <c r="BJ63" i="17"/>
  <c r="BE63" i="17"/>
  <c r="BF63" i="17" s="1"/>
  <c r="P97" i="17"/>
  <c r="Q97" i="17" s="1"/>
  <c r="S97" i="17" s="1"/>
  <c r="AO70" i="17"/>
  <c r="AF71" i="17"/>
  <c r="AG71" i="17" s="1"/>
  <c r="AL71" i="17" s="1"/>
  <c r="AY71" i="17" s="1"/>
  <c r="E97" i="17"/>
  <c r="L97" i="17" s="1"/>
  <c r="BI687" i="16"/>
  <c r="BG687" i="16"/>
  <c r="BL687" i="16"/>
  <c r="BM687" i="16" s="1"/>
  <c r="AH71" i="17" l="1"/>
  <c r="AS71" i="17" s="1"/>
  <c r="BG63" i="17"/>
  <c r="BI63" i="17"/>
  <c r="W72" i="17"/>
  <c r="AA72" i="17" s="1"/>
  <c r="AK72" i="17" s="1"/>
  <c r="AP70" i="17"/>
  <c r="AM71" i="17"/>
  <c r="AD72" i="17"/>
  <c r="N97" i="17"/>
  <c r="BC688" i="16"/>
  <c r="BH688" i="16" s="1"/>
  <c r="BO687" i="16"/>
  <c r="BP687" i="16" s="1"/>
  <c r="BN687" i="16"/>
  <c r="AL64" i="15"/>
  <c r="AF128" i="15"/>
  <c r="AT71" i="17" l="1"/>
  <c r="AW71" i="17" s="1"/>
  <c r="AX71" i="17" s="1"/>
  <c r="AZ71" i="17" s="1"/>
  <c r="AU71" i="17"/>
  <c r="AV71" i="17" s="1"/>
  <c r="Y72" i="17"/>
  <c r="AB72" i="17" s="1"/>
  <c r="BO63" i="17"/>
  <c r="BP63" i="17" s="1"/>
  <c r="BN63" i="17"/>
  <c r="BC64" i="17"/>
  <c r="BH64" i="17" s="1"/>
  <c r="AN71" i="17"/>
  <c r="AO71" i="17" s="1"/>
  <c r="AE72" i="17"/>
  <c r="AR70" i="17"/>
  <c r="AQ70" i="17"/>
  <c r="BD688" i="16"/>
  <c r="BK688" i="16" s="1"/>
  <c r="O97" i="17"/>
  <c r="M98" i="17"/>
  <c r="E98" i="17" s="1"/>
  <c r="L98" i="17" s="1"/>
  <c r="E686" i="14"/>
  <c r="F686" i="14" s="1"/>
  <c r="H686" i="14" s="1"/>
  <c r="AD720" i="15"/>
  <c r="AJ702" i="15"/>
  <c r="BQ687" i="16"/>
  <c r="Z72" i="17" l="1"/>
  <c r="U73" i="17" s="1"/>
  <c r="AC73" i="17" s="1"/>
  <c r="AD73" i="17" s="1"/>
  <c r="AE73" i="17" s="1"/>
  <c r="BQ63" i="17"/>
  <c r="BD64" i="17"/>
  <c r="BJ64" i="17" s="1"/>
  <c r="BJ688" i="16"/>
  <c r="AF72" i="17"/>
  <c r="AG72" i="17" s="1"/>
  <c r="AP71" i="17"/>
  <c r="BE688" i="16"/>
  <c r="BF688" i="16" s="1"/>
  <c r="BG688" i="16" s="1"/>
  <c r="N98" i="17"/>
  <c r="P98" i="17"/>
  <c r="BL688" i="16"/>
  <c r="BM688" i="16" s="1"/>
  <c r="W73" i="17" l="1"/>
  <c r="Y73" i="17" s="1"/>
  <c r="AB73" i="17" s="1"/>
  <c r="AH72" i="17"/>
  <c r="AS72" i="17" s="1"/>
  <c r="AL72" i="17"/>
  <c r="AY72" i="17" s="1"/>
  <c r="BK64" i="17"/>
  <c r="BL64" i="17" s="1"/>
  <c r="BM64" i="17" s="1"/>
  <c r="BE64" i="17"/>
  <c r="BF64" i="17" s="1"/>
  <c r="BG64" i="17" s="1"/>
  <c r="AR71" i="17"/>
  <c r="AQ71" i="17"/>
  <c r="BI688" i="16"/>
  <c r="BO688" i="16" s="1"/>
  <c r="BP688" i="16" s="1"/>
  <c r="O98" i="17"/>
  <c r="M99" i="17"/>
  <c r="Q98" i="17"/>
  <c r="S98" i="17" s="1"/>
  <c r="BC689" i="16"/>
  <c r="BH689" i="16" s="1"/>
  <c r="AA73" i="17" l="1"/>
  <c r="AK73" i="17" s="1"/>
  <c r="AM72" i="17"/>
  <c r="AT72" i="17"/>
  <c r="AW72" i="17" s="1"/>
  <c r="AX72" i="17" s="1"/>
  <c r="AZ72" i="17" s="1"/>
  <c r="AU72" i="17"/>
  <c r="AV72" i="17" s="1"/>
  <c r="BI64" i="17"/>
  <c r="BO64" i="17" s="1"/>
  <c r="BP64" i="17" s="1"/>
  <c r="BC65" i="17"/>
  <c r="BN688" i="16"/>
  <c r="E687" i="14" s="1"/>
  <c r="F687" i="14" s="1"/>
  <c r="H687" i="14" s="1"/>
  <c r="Z73" i="17"/>
  <c r="U74" i="17" s="1"/>
  <c r="AC74" i="17" s="1"/>
  <c r="AF73" i="17"/>
  <c r="AG73" i="17" s="1"/>
  <c r="BD689" i="16"/>
  <c r="BJ689" i="16" s="1"/>
  <c r="E99" i="17"/>
  <c r="L99" i="17" s="1"/>
  <c r="P99" i="17"/>
  <c r="AJ703" i="15"/>
  <c r="AL164" i="15"/>
  <c r="AF125" i="15"/>
  <c r="AH73" i="17" l="1"/>
  <c r="AS73" i="17" s="1"/>
  <c r="AL73" i="17"/>
  <c r="AY73" i="17" s="1"/>
  <c r="AN72" i="17"/>
  <c r="AO72" i="17" s="1"/>
  <c r="BN64" i="17"/>
  <c r="BQ64" i="17" s="1"/>
  <c r="BQ688" i="16"/>
  <c r="AD714" i="15"/>
  <c r="BD65" i="17"/>
  <c r="BE65" i="17" s="1"/>
  <c r="BF65" i="17" s="1"/>
  <c r="BH65" i="17"/>
  <c r="W74" i="17"/>
  <c r="AA74" i="17" s="1"/>
  <c r="AK74" i="17" s="1"/>
  <c r="AD74" i="17"/>
  <c r="BK689" i="16"/>
  <c r="BL689" i="16" s="1"/>
  <c r="BM689" i="16" s="1"/>
  <c r="BE689" i="16"/>
  <c r="BF689" i="16" s="1"/>
  <c r="BG689" i="16" s="1"/>
  <c r="Q99" i="17"/>
  <c r="S99" i="17" s="1"/>
  <c r="N99" i="17"/>
  <c r="AT73" i="17" l="1"/>
  <c r="AW73" i="17" s="1"/>
  <c r="AX73" i="17" s="1"/>
  <c r="AZ73" i="17" s="1"/>
  <c r="AU73" i="17"/>
  <c r="AV73" i="17" s="1"/>
  <c r="AP72" i="17"/>
  <c r="AQ72" i="17" s="1"/>
  <c r="AM73" i="17"/>
  <c r="AN73" i="17" s="1"/>
  <c r="BG65" i="17"/>
  <c r="BI65" i="17"/>
  <c r="BK65" i="17"/>
  <c r="BL65" i="17" s="1"/>
  <c r="BM65" i="17" s="1"/>
  <c r="BJ65" i="17"/>
  <c r="BI689" i="16"/>
  <c r="BO689" i="16" s="1"/>
  <c r="BP689" i="16" s="1"/>
  <c r="AE74" i="17"/>
  <c r="Y74" i="17"/>
  <c r="O99" i="17"/>
  <c r="M100" i="17"/>
  <c r="BC690" i="16"/>
  <c r="BH690" i="16" s="1"/>
  <c r="AR72" i="17" l="1"/>
  <c r="BO65" i="17"/>
  <c r="BP65" i="17" s="1"/>
  <c r="BN65" i="17"/>
  <c r="BC66" i="17"/>
  <c r="BH66" i="17" s="1"/>
  <c r="BN689" i="16"/>
  <c r="BQ689" i="16" s="1"/>
  <c r="AB74" i="17"/>
  <c r="Z74" i="17"/>
  <c r="AO73" i="17"/>
  <c r="BD690" i="16"/>
  <c r="BJ690" i="16" s="1"/>
  <c r="P100" i="17"/>
  <c r="E100" i="17"/>
  <c r="L100" i="17" s="1"/>
  <c r="AJ704" i="15"/>
  <c r="AF122" i="15"/>
  <c r="BQ65" i="17" l="1"/>
  <c r="E688" i="14"/>
  <c r="F688" i="14" s="1"/>
  <c r="H688" i="14" s="1"/>
  <c r="AD719" i="15"/>
  <c r="BD66" i="17"/>
  <c r="BE66" i="17" s="1"/>
  <c r="BF66" i="17" s="1"/>
  <c r="BE690" i="16"/>
  <c r="BF690" i="16" s="1"/>
  <c r="BI690" i="16" s="1"/>
  <c r="AP73" i="17"/>
  <c r="AF74" i="17"/>
  <c r="AG74" i="17" s="1"/>
  <c r="AH74" i="17" s="1"/>
  <c r="AS74" i="17" s="1"/>
  <c r="U75" i="17"/>
  <c r="AC75" i="17" s="1"/>
  <c r="BK690" i="16"/>
  <c r="BL690" i="16" s="1"/>
  <c r="BM690" i="16" s="1"/>
  <c r="Q100" i="17"/>
  <c r="S100" i="17" s="1"/>
  <c r="N100" i="17"/>
  <c r="AL165" i="15"/>
  <c r="W75" i="17" l="1"/>
  <c r="AA75" i="17" s="1"/>
  <c r="AK75" i="17" s="1"/>
  <c r="AL74" i="17"/>
  <c r="AY74" i="17" s="1"/>
  <c r="AT74" i="17"/>
  <c r="AW74" i="17" s="1"/>
  <c r="AX74" i="17" s="1"/>
  <c r="AZ74" i="17" s="1"/>
  <c r="AU74" i="17"/>
  <c r="AV74" i="17" s="1"/>
  <c r="BG66" i="17"/>
  <c r="BI66" i="17"/>
  <c r="BK66" i="17"/>
  <c r="BL66" i="17" s="1"/>
  <c r="BM66" i="17" s="1"/>
  <c r="BJ66" i="17"/>
  <c r="BG690" i="16"/>
  <c r="BC691" i="16" s="1"/>
  <c r="AR73" i="17"/>
  <c r="AD75" i="17"/>
  <c r="AQ73" i="17"/>
  <c r="M101" i="17"/>
  <c r="E101" i="17" s="1"/>
  <c r="L101" i="17" s="1"/>
  <c r="O100" i="17"/>
  <c r="BN690" i="16"/>
  <c r="BO690" i="16"/>
  <c r="BP690" i="16" s="1"/>
  <c r="N101" i="17" l="1"/>
  <c r="M102" i="17" s="1"/>
  <c r="E102" i="17" s="1"/>
  <c r="L102" i="17" s="1"/>
  <c r="AM74" i="17"/>
  <c r="AN74" i="17" s="1"/>
  <c r="AO74" i="17" s="1"/>
  <c r="Y75" i="17"/>
  <c r="AB75" i="17" s="1"/>
  <c r="BO66" i="17"/>
  <c r="BP66" i="17" s="1"/>
  <c r="BN66" i="17"/>
  <c r="BC67" i="17"/>
  <c r="BD67" i="17" s="1"/>
  <c r="AE75" i="17"/>
  <c r="P101" i="17"/>
  <c r="BH691" i="16"/>
  <c r="BD691" i="16"/>
  <c r="AJ61" i="15"/>
  <c r="BQ690" i="16"/>
  <c r="E689" i="14"/>
  <c r="F689" i="14" s="1"/>
  <c r="H689" i="14" s="1"/>
  <c r="AD502" i="15"/>
  <c r="AL166" i="15"/>
  <c r="AF119" i="15"/>
  <c r="O101" i="17" l="1"/>
  <c r="N102" i="17" s="1"/>
  <c r="Z75" i="17"/>
  <c r="U76" i="17" s="1"/>
  <c r="AC76" i="17" s="1"/>
  <c r="BQ66" i="17"/>
  <c r="BK67" i="17"/>
  <c r="BL67" i="17" s="1"/>
  <c r="BM67" i="17" s="1"/>
  <c r="BJ67" i="17"/>
  <c r="BE67" i="17"/>
  <c r="BF67" i="17" s="1"/>
  <c r="BH67" i="17"/>
  <c r="AP74" i="17"/>
  <c r="AF75" i="17"/>
  <c r="AG75" i="17" s="1"/>
  <c r="Q101" i="17"/>
  <c r="S101" i="17" s="1"/>
  <c r="BJ691" i="16"/>
  <c r="BK691" i="16"/>
  <c r="BE691" i="16"/>
  <c r="BF691" i="16" s="1"/>
  <c r="AH75" i="17" l="1"/>
  <c r="AS75" i="17" s="1"/>
  <c r="AL75" i="17"/>
  <c r="AY75" i="17" s="1"/>
  <c r="BG67" i="17"/>
  <c r="BI67" i="17"/>
  <c r="AR74" i="17"/>
  <c r="P102" i="17"/>
  <c r="Q102" i="17" s="1"/>
  <c r="S102" i="17" s="1"/>
  <c r="W76" i="17"/>
  <c r="AA76" i="17" s="1"/>
  <c r="AK76" i="17" s="1"/>
  <c r="AD76" i="17"/>
  <c r="AQ74" i="17"/>
  <c r="M103" i="17"/>
  <c r="E103" i="17" s="1"/>
  <c r="L103" i="17" s="1"/>
  <c r="O102" i="17"/>
  <c r="BI691" i="16"/>
  <c r="BG691" i="16"/>
  <c r="BL691" i="16"/>
  <c r="BM691" i="16" s="1"/>
  <c r="AT75" i="17" l="1"/>
  <c r="AW75" i="17" s="1"/>
  <c r="AX75" i="17" s="1"/>
  <c r="AZ75" i="17" s="1"/>
  <c r="AU75" i="17"/>
  <c r="AV75" i="17" s="1"/>
  <c r="AM75" i="17"/>
  <c r="AN75" i="17" s="1"/>
  <c r="AO75" i="17" s="1"/>
  <c r="Y76" i="17"/>
  <c r="AB76" i="17" s="1"/>
  <c r="BO67" i="17"/>
  <c r="BP67" i="17" s="1"/>
  <c r="BN67" i="17"/>
  <c r="BC68" i="17"/>
  <c r="BH68" i="17" s="1"/>
  <c r="N103" i="17"/>
  <c r="O103" i="17" s="1"/>
  <c r="AE76" i="17"/>
  <c r="P103" i="17"/>
  <c r="BC692" i="16"/>
  <c r="BO691" i="16"/>
  <c r="BP691" i="16" s="1"/>
  <c r="BN691" i="16"/>
  <c r="AF114" i="15"/>
  <c r="M104" i="17" l="1"/>
  <c r="E104" i="17" s="1"/>
  <c r="L104" i="17" s="1"/>
  <c r="N104" i="17" s="1"/>
  <c r="Z76" i="17"/>
  <c r="U77" i="17" s="1"/>
  <c r="AC77" i="17" s="1"/>
  <c r="AF76" i="17"/>
  <c r="AG76" i="17" s="1"/>
  <c r="BD68" i="17"/>
  <c r="BK68" i="17" s="1"/>
  <c r="BL68" i="17" s="1"/>
  <c r="BM68" i="17" s="1"/>
  <c r="BQ67" i="17"/>
  <c r="AP75" i="17"/>
  <c r="AR75" i="17" s="1"/>
  <c r="Q103" i="17"/>
  <c r="S103" i="17" s="1"/>
  <c r="BH692" i="16"/>
  <c r="E690" i="14"/>
  <c r="F690" i="14" s="1"/>
  <c r="H690" i="14" s="1"/>
  <c r="AD408" i="15"/>
  <c r="BD692" i="16"/>
  <c r="AJ77" i="15"/>
  <c r="BQ691" i="16"/>
  <c r="AL167" i="15"/>
  <c r="BE68" i="17" l="1"/>
  <c r="BF68" i="17" s="1"/>
  <c r="BI68" i="17" s="1"/>
  <c r="AH76" i="17"/>
  <c r="AS76" i="17" s="1"/>
  <c r="AL76" i="17"/>
  <c r="BJ68" i="17"/>
  <c r="AD77" i="17"/>
  <c r="W77" i="17"/>
  <c r="AA77" i="17" s="1"/>
  <c r="AK77" i="17" s="1"/>
  <c r="AQ75" i="17"/>
  <c r="P104" i="17"/>
  <c r="O104" i="17"/>
  <c r="M105" i="17"/>
  <c r="E105" i="17" s="1"/>
  <c r="L105" i="17" s="1"/>
  <c r="BJ692" i="16"/>
  <c r="BK692" i="16"/>
  <c r="BE692" i="16"/>
  <c r="BF692" i="16" s="1"/>
  <c r="BG68" i="17" l="1"/>
  <c r="AY76" i="17"/>
  <c r="AM76" i="17"/>
  <c r="AN76" i="17" s="1"/>
  <c r="AT76" i="17"/>
  <c r="AW76" i="17" s="1"/>
  <c r="AX76" i="17" s="1"/>
  <c r="AZ76" i="17" s="1"/>
  <c r="AU76" i="17"/>
  <c r="AV76" i="17" s="1"/>
  <c r="BO68" i="17"/>
  <c r="BP68" i="17" s="1"/>
  <c r="BN68" i="17"/>
  <c r="BC69" i="17"/>
  <c r="BH69" i="17" s="1"/>
  <c r="Y77" i="17"/>
  <c r="AB77" i="17" s="1"/>
  <c r="AE77" i="17"/>
  <c r="N105" i="17"/>
  <c r="Q104" i="17"/>
  <c r="S104" i="17" s="1"/>
  <c r="BL692" i="16"/>
  <c r="BM692" i="16" s="1"/>
  <c r="BI692" i="16"/>
  <c r="BG692" i="16"/>
  <c r="AO76" i="17" l="1"/>
  <c r="AP76" i="17" s="1"/>
  <c r="AQ76" i="17" s="1"/>
  <c r="BD69" i="17"/>
  <c r="BE69" i="17" s="1"/>
  <c r="BF69" i="17" s="1"/>
  <c r="BQ68" i="17"/>
  <c r="Z77" i="17"/>
  <c r="U78" i="17" s="1"/>
  <c r="AC78" i="17" s="1"/>
  <c r="AF77" i="17"/>
  <c r="AG77" i="17" s="1"/>
  <c r="O105" i="17"/>
  <c r="M106" i="17"/>
  <c r="P105" i="17"/>
  <c r="BC693" i="16"/>
  <c r="BH693" i="16" s="1"/>
  <c r="BO692" i="16"/>
  <c r="BP692" i="16" s="1"/>
  <c r="BN692" i="16"/>
  <c r="AL168" i="15"/>
  <c r="AF113" i="15"/>
  <c r="AH77" i="17" l="1"/>
  <c r="AS77" i="17" s="1"/>
  <c r="AL77" i="17"/>
  <c r="AY77" i="17" s="1"/>
  <c r="BG69" i="17"/>
  <c r="BI69" i="17"/>
  <c r="BK69" i="17"/>
  <c r="BL69" i="17" s="1"/>
  <c r="BM69" i="17" s="1"/>
  <c r="BJ69" i="17"/>
  <c r="W78" i="17"/>
  <c r="AA78" i="17" s="1"/>
  <c r="AK78" i="17" s="1"/>
  <c r="AD78" i="17"/>
  <c r="AR76" i="17"/>
  <c r="Q105" i="17"/>
  <c r="S105" i="17" s="1"/>
  <c r="E106" i="17"/>
  <c r="L106" i="17" s="1"/>
  <c r="E691" i="14"/>
  <c r="F691" i="14" s="1"/>
  <c r="H691" i="14" s="1"/>
  <c r="AD428" i="15"/>
  <c r="BD693" i="16"/>
  <c r="BE693" i="16" s="1"/>
  <c r="BF693" i="16" s="1"/>
  <c r="AJ705" i="15"/>
  <c r="BQ692" i="16"/>
  <c r="AM77" i="17" l="1"/>
  <c r="AN77" i="17" s="1"/>
  <c r="AT77" i="17"/>
  <c r="AW77" i="17" s="1"/>
  <c r="AX77" i="17" s="1"/>
  <c r="AZ77" i="17" s="1"/>
  <c r="AU77" i="17"/>
  <c r="AV77" i="17" s="1"/>
  <c r="Y78" i="17"/>
  <c r="AB78" i="17" s="1"/>
  <c r="BO69" i="17"/>
  <c r="BP69" i="17" s="1"/>
  <c r="BN69" i="17"/>
  <c r="BC70" i="17"/>
  <c r="BH70" i="17" s="1"/>
  <c r="AE78" i="17"/>
  <c r="P106" i="17"/>
  <c r="Q106" i="17" s="1"/>
  <c r="S106" i="17" s="1"/>
  <c r="N106" i="17"/>
  <c r="BI693" i="16"/>
  <c r="BG693" i="16"/>
  <c r="BJ693" i="16"/>
  <c r="BK693" i="16"/>
  <c r="AF112" i="15"/>
  <c r="Z78" i="17" l="1"/>
  <c r="U79" i="17" s="1"/>
  <c r="AC79" i="17" s="1"/>
  <c r="BQ69" i="17"/>
  <c r="BD70" i="17"/>
  <c r="AF78" i="17"/>
  <c r="AG78" i="17" s="1"/>
  <c r="AH78" i="17" s="1"/>
  <c r="AS78" i="17" s="1"/>
  <c r="AT78" i="17" s="1"/>
  <c r="AW78" i="17" s="1"/>
  <c r="AX78" i="17" s="1"/>
  <c r="AZ78" i="17" s="1"/>
  <c r="AO77" i="17"/>
  <c r="O106" i="17"/>
  <c r="M107" i="17"/>
  <c r="E107" i="17" s="1"/>
  <c r="L107" i="17" s="1"/>
  <c r="BL693" i="16"/>
  <c r="BM693" i="16" s="1"/>
  <c r="BC694" i="16"/>
  <c r="BH694" i="16" s="1"/>
  <c r="BO693" i="16"/>
  <c r="BP693" i="16" s="1"/>
  <c r="AL124" i="15"/>
  <c r="AU78" i="17" l="1"/>
  <c r="AV78" i="17" s="1"/>
  <c r="AL78" i="17"/>
  <c r="AY78" i="17" s="1"/>
  <c r="BK70" i="17"/>
  <c r="BL70" i="17" s="1"/>
  <c r="BM70" i="17" s="1"/>
  <c r="BJ70" i="17"/>
  <c r="BE70" i="17"/>
  <c r="BF70" i="17" s="1"/>
  <c r="W79" i="17"/>
  <c r="AD79" i="17"/>
  <c r="AP77" i="17"/>
  <c r="BN693" i="16"/>
  <c r="AD462" i="15" s="1"/>
  <c r="N107" i="17"/>
  <c r="P107" i="17"/>
  <c r="AJ706" i="15"/>
  <c r="BD694" i="16"/>
  <c r="AM78" i="17" l="1"/>
  <c r="AN78" i="17" s="1"/>
  <c r="BG70" i="17"/>
  <c r="BI70" i="17"/>
  <c r="E692" i="14"/>
  <c r="F692" i="14" s="1"/>
  <c r="H692" i="14" s="1"/>
  <c r="AR77" i="17"/>
  <c r="AA79" i="17"/>
  <c r="AK79" i="17" s="1"/>
  <c r="Y79" i="17"/>
  <c r="AQ77" i="17"/>
  <c r="AE79" i="17"/>
  <c r="BQ693" i="16"/>
  <c r="Q107" i="17"/>
  <c r="S107" i="17" s="1"/>
  <c r="M108" i="17"/>
  <c r="E108" i="17" s="1"/>
  <c r="L108" i="17" s="1"/>
  <c r="O107" i="17"/>
  <c r="BJ694" i="16"/>
  <c r="BK694" i="16"/>
  <c r="BE694" i="16"/>
  <c r="BF694" i="16" s="1"/>
  <c r="AO78" i="17" l="1"/>
  <c r="AP78" i="17" s="1"/>
  <c r="AQ78" i="17" s="1"/>
  <c r="BO70" i="17"/>
  <c r="BP70" i="17" s="1"/>
  <c r="BN70" i="17"/>
  <c r="BC71" i="17"/>
  <c r="BH71" i="17" s="1"/>
  <c r="P108" i="17"/>
  <c r="Q108" i="17" s="1"/>
  <c r="S108" i="17" s="1"/>
  <c r="AB79" i="17"/>
  <c r="Z79" i="17"/>
  <c r="N108" i="17"/>
  <c r="BL694" i="16"/>
  <c r="BM694" i="16" s="1"/>
  <c r="BI694" i="16"/>
  <c r="BG694" i="16"/>
  <c r="AF115" i="15"/>
  <c r="BQ70" i="17" l="1"/>
  <c r="BD71" i="17"/>
  <c r="AR78" i="17"/>
  <c r="U80" i="17"/>
  <c r="AC80" i="17" s="1"/>
  <c r="AF79" i="17"/>
  <c r="AG79" i="17" s="1"/>
  <c r="AL79" i="17" s="1"/>
  <c r="AY79" i="17" s="1"/>
  <c r="O108" i="17"/>
  <c r="M109" i="17"/>
  <c r="E109" i="17" s="1"/>
  <c r="L109" i="17" s="1"/>
  <c r="BC695" i="16"/>
  <c r="BH695" i="16" s="1"/>
  <c r="BO694" i="16"/>
  <c r="BP694" i="16" s="1"/>
  <c r="BN694" i="16"/>
  <c r="AL169" i="15"/>
  <c r="AH79" i="17" l="1"/>
  <c r="AS79" i="17" s="1"/>
  <c r="BK71" i="17"/>
  <c r="BL71" i="17" s="1"/>
  <c r="BM71" i="17" s="1"/>
  <c r="BJ71" i="17"/>
  <c r="BE71" i="17"/>
  <c r="BF71" i="17" s="1"/>
  <c r="AD80" i="17"/>
  <c r="W80" i="17"/>
  <c r="AA80" i="17" s="1"/>
  <c r="AK80" i="17" s="1"/>
  <c r="AM79" i="17"/>
  <c r="N109" i="17"/>
  <c r="P109" i="17"/>
  <c r="AD446" i="15"/>
  <c r="E693" i="14"/>
  <c r="F693" i="14" s="1"/>
  <c r="H693" i="14" s="1"/>
  <c r="BD695" i="16"/>
  <c r="AJ125" i="15"/>
  <c r="BQ694" i="16"/>
  <c r="AT79" i="17" l="1"/>
  <c r="AW79" i="17" s="1"/>
  <c r="AX79" i="17" s="1"/>
  <c r="AZ79" i="17" s="1"/>
  <c r="AU79" i="17"/>
  <c r="AV79" i="17" s="1"/>
  <c r="BG71" i="17"/>
  <c r="BI71" i="17"/>
  <c r="Y80" i="17"/>
  <c r="AB80" i="17" s="1"/>
  <c r="AE80" i="17"/>
  <c r="AN79" i="17"/>
  <c r="AO79" i="17" s="1"/>
  <c r="O109" i="17"/>
  <c r="M110" i="17"/>
  <c r="E110" i="17" s="1"/>
  <c r="L110" i="17" s="1"/>
  <c r="Q109" i="17"/>
  <c r="S109" i="17" s="1"/>
  <c r="BJ695" i="16"/>
  <c r="BK695" i="16"/>
  <c r="BE695" i="16"/>
  <c r="BF695" i="16" s="1"/>
  <c r="N110" i="17" l="1"/>
  <c r="M111" i="17" s="1"/>
  <c r="Z80" i="17"/>
  <c r="U81" i="17" s="1"/>
  <c r="AC81" i="17" s="1"/>
  <c r="BO71" i="17"/>
  <c r="BP71" i="17" s="1"/>
  <c r="BN71" i="17"/>
  <c r="BC72" i="17"/>
  <c r="AP79" i="17"/>
  <c r="AF80" i="17"/>
  <c r="AG80" i="17" s="1"/>
  <c r="AH80" i="17" s="1"/>
  <c r="AS80" i="17" s="1"/>
  <c r="AT80" i="17" s="1"/>
  <c r="AW80" i="17" s="1"/>
  <c r="AX80" i="17" s="1"/>
  <c r="AZ80" i="17" s="1"/>
  <c r="P110" i="17"/>
  <c r="BL695" i="16"/>
  <c r="BM695" i="16" s="1"/>
  <c r="BI695" i="16"/>
  <c r="BG695" i="16"/>
  <c r="AF116" i="15"/>
  <c r="O110" i="17" l="1"/>
  <c r="BQ71" i="17"/>
  <c r="AL80" i="17"/>
  <c r="AY80" i="17" s="1"/>
  <c r="AU80" i="17"/>
  <c r="AV80" i="17" s="1"/>
  <c r="BD72" i="17"/>
  <c r="BE72" i="17" s="1"/>
  <c r="BF72" i="17" s="1"/>
  <c r="BH72" i="17"/>
  <c r="AR79" i="17"/>
  <c r="AQ79" i="17"/>
  <c r="W81" i="17"/>
  <c r="AA81" i="17" s="1"/>
  <c r="AK81" i="17" s="1"/>
  <c r="AD81" i="17"/>
  <c r="Q110" i="17"/>
  <c r="S110" i="17" s="1"/>
  <c r="E111" i="17"/>
  <c r="L111" i="17" s="1"/>
  <c r="BC696" i="16"/>
  <c r="BH696" i="16" s="1"/>
  <c r="BO695" i="16"/>
  <c r="BP695" i="16" s="1"/>
  <c r="BN695" i="16"/>
  <c r="AL170" i="15"/>
  <c r="AM80" i="17" l="1"/>
  <c r="AN80" i="17" s="1"/>
  <c r="BG72" i="17"/>
  <c r="BI72" i="17"/>
  <c r="BK72" i="17"/>
  <c r="BL72" i="17" s="1"/>
  <c r="BM72" i="17" s="1"/>
  <c r="BJ72" i="17"/>
  <c r="Y81" i="17"/>
  <c r="AB81" i="17" s="1"/>
  <c r="AE81" i="17"/>
  <c r="P111" i="17"/>
  <c r="N111" i="17"/>
  <c r="AD312" i="15"/>
  <c r="E694" i="14"/>
  <c r="F694" i="14" s="1"/>
  <c r="H694" i="14" s="1"/>
  <c r="BD696" i="16"/>
  <c r="AJ57" i="15"/>
  <c r="BQ695" i="16"/>
  <c r="Z81" i="17" l="1"/>
  <c r="U82" i="17" s="1"/>
  <c r="W82" i="17" s="1"/>
  <c r="AA82" i="17" s="1"/>
  <c r="AK82" i="17" s="1"/>
  <c r="BO72" i="17"/>
  <c r="BP72" i="17" s="1"/>
  <c r="BN72" i="17"/>
  <c r="BC73" i="17"/>
  <c r="AO80" i="17"/>
  <c r="AF81" i="17"/>
  <c r="AG81" i="17" s="1"/>
  <c r="M112" i="17"/>
  <c r="E112" i="17" s="1"/>
  <c r="L112" i="17" s="1"/>
  <c r="O111" i="17"/>
  <c r="Q111" i="17"/>
  <c r="S111" i="17" s="1"/>
  <c r="BJ696" i="16"/>
  <c r="BK696" i="16"/>
  <c r="BE696" i="16"/>
  <c r="BF696" i="16" s="1"/>
  <c r="AF118" i="15"/>
  <c r="AH81" i="17" l="1"/>
  <c r="AS81" i="17" s="1"/>
  <c r="AL81" i="17"/>
  <c r="AY81" i="17" s="1"/>
  <c r="BQ72" i="17"/>
  <c r="BH73" i="17"/>
  <c r="BD73" i="17"/>
  <c r="P112" i="17"/>
  <c r="Q112" i="17" s="1"/>
  <c r="S112" i="17" s="1"/>
  <c r="AC82" i="17"/>
  <c r="Y82" i="17"/>
  <c r="AB82" i="17" s="1"/>
  <c r="AP80" i="17"/>
  <c r="AQ80" i="17" s="1"/>
  <c r="N112" i="17"/>
  <c r="BL696" i="16"/>
  <c r="BM696" i="16" s="1"/>
  <c r="BI696" i="16"/>
  <c r="BG696" i="16"/>
  <c r="AL171" i="15"/>
  <c r="AT81" i="17" l="1"/>
  <c r="AW81" i="17" s="1"/>
  <c r="AX81" i="17" s="1"/>
  <c r="AZ81" i="17" s="1"/>
  <c r="AU81" i="17"/>
  <c r="AV81" i="17" s="1"/>
  <c r="AM81" i="17"/>
  <c r="AN81" i="17" s="1"/>
  <c r="AO81" i="17" s="1"/>
  <c r="AP81" i="17" s="1"/>
  <c r="BK73" i="17"/>
  <c r="BL73" i="17" s="1"/>
  <c r="BM73" i="17" s="1"/>
  <c r="BJ73" i="17"/>
  <c r="BE73" i="17"/>
  <c r="BF73" i="17" s="1"/>
  <c r="AR80" i="17"/>
  <c r="AD82" i="17"/>
  <c r="Z82" i="17"/>
  <c r="O112" i="17"/>
  <c r="M113" i="17"/>
  <c r="E113" i="17" s="1"/>
  <c r="L113" i="17" s="1"/>
  <c r="BC697" i="16"/>
  <c r="BH697" i="16" s="1"/>
  <c r="BO696" i="16"/>
  <c r="BP696" i="16" s="1"/>
  <c r="BN696" i="16"/>
  <c r="N113" i="17" l="1"/>
  <c r="M114" i="17" s="1"/>
  <c r="BG73" i="17"/>
  <c r="BI73" i="17"/>
  <c r="AR81" i="17"/>
  <c r="AQ81" i="17"/>
  <c r="U83" i="17"/>
  <c r="AC83" i="17" s="1"/>
  <c r="AE82" i="17"/>
  <c r="AF82" i="17" s="1"/>
  <c r="AG82" i="17" s="1"/>
  <c r="P113" i="17"/>
  <c r="E695" i="14"/>
  <c r="F695" i="14" s="1"/>
  <c r="H695" i="14" s="1"/>
  <c r="AD278" i="15"/>
  <c r="BD697" i="16"/>
  <c r="BE697" i="16" s="1"/>
  <c r="AJ90" i="15"/>
  <c r="BQ696" i="16"/>
  <c r="O113" i="17" l="1"/>
  <c r="AH82" i="17"/>
  <c r="AS82" i="17" s="1"/>
  <c r="AL82" i="17"/>
  <c r="AY82" i="17" s="1"/>
  <c r="BO73" i="17"/>
  <c r="BP73" i="17" s="1"/>
  <c r="BN73" i="17"/>
  <c r="BC74" i="17"/>
  <c r="AD83" i="17"/>
  <c r="AE83" i="17" s="1"/>
  <c r="W83" i="17"/>
  <c r="AA83" i="17" s="1"/>
  <c r="AK83" i="17" s="1"/>
  <c r="Q113" i="17"/>
  <c r="S113" i="17" s="1"/>
  <c r="E114" i="17"/>
  <c r="L114" i="17" s="1"/>
  <c r="BJ697" i="16"/>
  <c r="BK697" i="16"/>
  <c r="BF697" i="16"/>
  <c r="Y83" i="17" l="1"/>
  <c r="Z83" i="17" s="1"/>
  <c r="AT82" i="17"/>
  <c r="AW82" i="17" s="1"/>
  <c r="AX82" i="17" s="1"/>
  <c r="AZ82" i="17" s="1"/>
  <c r="AU82" i="17"/>
  <c r="AV82" i="17" s="1"/>
  <c r="AM82" i="17"/>
  <c r="AN82" i="17" s="1"/>
  <c r="P114" i="17"/>
  <c r="Q114" i="17" s="1"/>
  <c r="S114" i="17" s="1"/>
  <c r="BD74" i="17"/>
  <c r="BE74" i="17" s="1"/>
  <c r="BF74" i="17" s="1"/>
  <c r="BH74" i="17"/>
  <c r="BQ73" i="17"/>
  <c r="N114" i="17"/>
  <c r="BI697" i="16"/>
  <c r="BG697" i="16"/>
  <c r="BL697" i="16"/>
  <c r="BM697" i="16" s="1"/>
  <c r="AL90" i="15"/>
  <c r="AF120" i="15"/>
  <c r="AB83" i="17" l="1"/>
  <c r="AF83" i="17" s="1"/>
  <c r="AG83" i="17" s="1"/>
  <c r="AL83" i="17" s="1"/>
  <c r="AY83" i="17" s="1"/>
  <c r="AO82" i="17"/>
  <c r="AP82" i="17" s="1"/>
  <c r="AQ82" i="17" s="1"/>
  <c r="BG74" i="17"/>
  <c r="BI74" i="17"/>
  <c r="BK74" i="17"/>
  <c r="BL74" i="17" s="1"/>
  <c r="BM74" i="17" s="1"/>
  <c r="BJ74" i="17"/>
  <c r="U84" i="17"/>
  <c r="AC84" i="17" s="1"/>
  <c r="O114" i="17"/>
  <c r="M115" i="17"/>
  <c r="E115" i="17" s="1"/>
  <c r="L115" i="17" s="1"/>
  <c r="BC698" i="16"/>
  <c r="BH698" i="16" s="1"/>
  <c r="BN697" i="16"/>
  <c r="BO697" i="16"/>
  <c r="BP697" i="16" s="1"/>
  <c r="AH83" i="17" l="1"/>
  <c r="AS83" i="17" s="1"/>
  <c r="AR82" i="17"/>
  <c r="BO74" i="17"/>
  <c r="BP74" i="17" s="1"/>
  <c r="BN74" i="17"/>
  <c r="BC75" i="17"/>
  <c r="BH75" i="17" s="1"/>
  <c r="W84" i="17"/>
  <c r="AM83" i="17"/>
  <c r="AD84" i="17"/>
  <c r="N115" i="17"/>
  <c r="P115" i="17"/>
  <c r="AJ707" i="15"/>
  <c r="BQ697" i="16"/>
  <c r="BD698" i="16"/>
  <c r="AD305" i="15"/>
  <c r="E696" i="14"/>
  <c r="F696" i="14" s="1"/>
  <c r="H696" i="14" s="1"/>
  <c r="AT83" i="17" l="1"/>
  <c r="AW83" i="17" s="1"/>
  <c r="AX83" i="17" s="1"/>
  <c r="AZ83" i="17" s="1"/>
  <c r="AU83" i="17"/>
  <c r="AV83" i="17" s="1"/>
  <c r="BD75" i="17"/>
  <c r="BJ75" i="17" s="1"/>
  <c r="BQ74" i="17"/>
  <c r="AE84" i="17"/>
  <c r="AN83" i="17"/>
  <c r="AA84" i="17"/>
  <c r="AK84" i="17" s="1"/>
  <c r="Y84" i="17"/>
  <c r="AB84" i="17" s="1"/>
  <c r="Q115" i="17"/>
  <c r="S115" i="17" s="1"/>
  <c r="O115" i="17"/>
  <c r="M116" i="17"/>
  <c r="BJ698" i="16"/>
  <c r="BK698" i="16"/>
  <c r="BE698" i="16"/>
  <c r="BF698" i="16" s="1"/>
  <c r="AF121" i="15"/>
  <c r="BK75" i="17" l="1"/>
  <c r="BL75" i="17" s="1"/>
  <c r="BM75" i="17" s="1"/>
  <c r="BE75" i="17"/>
  <c r="BF75" i="17" s="1"/>
  <c r="BG75" i="17" s="1"/>
  <c r="Z84" i="17"/>
  <c r="U85" i="17" s="1"/>
  <c r="AC85" i="17" s="1"/>
  <c r="AO83" i="17"/>
  <c r="AF84" i="17"/>
  <c r="AG84" i="17" s="1"/>
  <c r="AH84" i="17" s="1"/>
  <c r="AS84" i="17" s="1"/>
  <c r="AT84" i="17" s="1"/>
  <c r="AW84" i="17" s="1"/>
  <c r="AX84" i="17" s="1"/>
  <c r="AZ84" i="17" s="1"/>
  <c r="E116" i="17"/>
  <c r="L116" i="17" s="1"/>
  <c r="P116" i="17"/>
  <c r="BI698" i="16"/>
  <c r="BG698" i="16"/>
  <c r="BL698" i="16"/>
  <c r="BM698" i="16" s="1"/>
  <c r="AL172" i="15"/>
  <c r="BI75" i="17" l="1"/>
  <c r="BO75" i="17" s="1"/>
  <c r="BP75" i="17" s="1"/>
  <c r="AL84" i="17"/>
  <c r="AY84" i="17" s="1"/>
  <c r="AU84" i="17"/>
  <c r="AV84" i="17" s="1"/>
  <c r="BC76" i="17"/>
  <c r="W85" i="17"/>
  <c r="AD85" i="17"/>
  <c r="AP83" i="17"/>
  <c r="AQ83" i="17" s="1"/>
  <c r="N116" i="17"/>
  <c r="Q116" i="17"/>
  <c r="S116" i="17" s="1"/>
  <c r="BC699" i="16"/>
  <c r="BH699" i="16" s="1"/>
  <c r="BO698" i="16"/>
  <c r="BP698" i="16" s="1"/>
  <c r="BN698" i="16"/>
  <c r="AM84" i="17" l="1"/>
  <c r="AN84" i="17" s="1"/>
  <c r="AO84" i="17" s="1"/>
  <c r="BN75" i="17"/>
  <c r="BQ75" i="17" s="1"/>
  <c r="BD76" i="17"/>
  <c r="BH76" i="17"/>
  <c r="AA85" i="17"/>
  <c r="AK85" i="17" s="1"/>
  <c r="Y85" i="17"/>
  <c r="AB85" i="17" s="1"/>
  <c r="AR83" i="17"/>
  <c r="AE85" i="17"/>
  <c r="M117" i="17"/>
  <c r="E117" i="17" s="1"/>
  <c r="L117" i="17" s="1"/>
  <c r="O116" i="17"/>
  <c r="E697" i="14"/>
  <c r="F697" i="14" s="1"/>
  <c r="H697" i="14" s="1"/>
  <c r="AD346" i="15"/>
  <c r="AJ708" i="15"/>
  <c r="BQ698" i="16"/>
  <c r="BD699" i="16"/>
  <c r="BE699" i="16" s="1"/>
  <c r="BF699" i="16" s="1"/>
  <c r="AF110" i="15"/>
  <c r="N117" i="17" l="1"/>
  <c r="O117" i="17" s="1"/>
  <c r="BK76" i="17"/>
  <c r="BL76" i="17" s="1"/>
  <c r="BM76" i="17" s="1"/>
  <c r="BJ76" i="17"/>
  <c r="BE76" i="17"/>
  <c r="BF76" i="17" s="1"/>
  <c r="AP84" i="17"/>
  <c r="AR84" i="17" s="1"/>
  <c r="AF85" i="17"/>
  <c r="AG85" i="17" s="1"/>
  <c r="AL85" i="17" s="1"/>
  <c r="AY85" i="17" s="1"/>
  <c r="Z85" i="17"/>
  <c r="P117" i="17"/>
  <c r="BI699" i="16"/>
  <c r="BG699" i="16"/>
  <c r="BJ699" i="16"/>
  <c r="BK699" i="16"/>
  <c r="AL6" i="15"/>
  <c r="M118" i="17" l="1"/>
  <c r="E118" i="17" s="1"/>
  <c r="L118" i="17" s="1"/>
  <c r="N118" i="17" s="1"/>
  <c r="AH85" i="17"/>
  <c r="AS85" i="17" s="1"/>
  <c r="BG76" i="17"/>
  <c r="BI76" i="17"/>
  <c r="AQ84" i="17"/>
  <c r="U86" i="17"/>
  <c r="AC86" i="17" s="1"/>
  <c r="AM85" i="17"/>
  <c r="AN85" i="17" s="1"/>
  <c r="Q117" i="17"/>
  <c r="S117" i="17" s="1"/>
  <c r="BL699" i="16"/>
  <c r="BM699" i="16" s="1"/>
  <c r="BC700" i="16"/>
  <c r="BH700" i="16" s="1"/>
  <c r="BO699" i="16"/>
  <c r="BP699" i="16" s="1"/>
  <c r="AT85" i="17" l="1"/>
  <c r="AW85" i="17" s="1"/>
  <c r="AX85" i="17" s="1"/>
  <c r="AZ85" i="17" s="1"/>
  <c r="AU85" i="17"/>
  <c r="AV85" i="17" s="1"/>
  <c r="BO76" i="17"/>
  <c r="BP76" i="17" s="1"/>
  <c r="BN76" i="17"/>
  <c r="BC77" i="17"/>
  <c r="BD77" i="17" s="1"/>
  <c r="W86" i="17"/>
  <c r="AA86" i="17" s="1"/>
  <c r="AK86" i="17" s="1"/>
  <c r="BN699" i="16"/>
  <c r="AD387" i="15" s="1"/>
  <c r="AD86" i="17"/>
  <c r="P118" i="17"/>
  <c r="Q118" i="17" s="1"/>
  <c r="S118" i="17" s="1"/>
  <c r="AO85" i="17"/>
  <c r="O118" i="17"/>
  <c r="M119" i="17"/>
  <c r="AJ709" i="15"/>
  <c r="BD700" i="16"/>
  <c r="BE700" i="16" s="1"/>
  <c r="BF700" i="16" s="1"/>
  <c r="AF105" i="15"/>
  <c r="E698" i="14" l="1"/>
  <c r="F698" i="14" s="1"/>
  <c r="H698" i="14" s="1"/>
  <c r="Y86" i="17"/>
  <c r="AB86" i="17" s="1"/>
  <c r="BK77" i="17"/>
  <c r="BL77" i="17" s="1"/>
  <c r="BM77" i="17" s="1"/>
  <c r="BJ77" i="17"/>
  <c r="BH77" i="17"/>
  <c r="BQ76" i="17"/>
  <c r="BE77" i="17"/>
  <c r="BF77" i="17" s="1"/>
  <c r="BQ699" i="16"/>
  <c r="AE86" i="17"/>
  <c r="AP85" i="17"/>
  <c r="AQ85" i="17" s="1"/>
  <c r="P119" i="17"/>
  <c r="E119" i="17"/>
  <c r="L119" i="17" s="1"/>
  <c r="BI700" i="16"/>
  <c r="BG700" i="16"/>
  <c r="BJ700" i="16"/>
  <c r="BK700" i="16"/>
  <c r="AL173" i="15"/>
  <c r="Z86" i="17" l="1"/>
  <c r="U87" i="17" s="1"/>
  <c r="AC87" i="17" s="1"/>
  <c r="BG77" i="17"/>
  <c r="BI77" i="17"/>
  <c r="AR85" i="17"/>
  <c r="AF86" i="17"/>
  <c r="AG86" i="17" s="1"/>
  <c r="N119" i="17"/>
  <c r="Q119" i="17"/>
  <c r="S119" i="17" s="1"/>
  <c r="BL700" i="16"/>
  <c r="BM700" i="16" s="1"/>
  <c r="BC701" i="16"/>
  <c r="BO700" i="16"/>
  <c r="BP700" i="16" s="1"/>
  <c r="AH86" i="17" l="1"/>
  <c r="AS86" i="17" s="1"/>
  <c r="AL86" i="17"/>
  <c r="AY86" i="17" s="1"/>
  <c r="BO77" i="17"/>
  <c r="BP77" i="17" s="1"/>
  <c r="BN77" i="17"/>
  <c r="BC78" i="17"/>
  <c r="W87" i="17"/>
  <c r="AA87" i="17" s="1"/>
  <c r="AK87" i="17" s="1"/>
  <c r="AD87" i="17"/>
  <c r="BN700" i="16"/>
  <c r="E699" i="14" s="1"/>
  <c r="F699" i="14" s="1"/>
  <c r="H699" i="14" s="1"/>
  <c r="O119" i="17"/>
  <c r="M120" i="17"/>
  <c r="E120" i="17" s="1"/>
  <c r="L120" i="17" s="1"/>
  <c r="BD701" i="16"/>
  <c r="BH701" i="16"/>
  <c r="AJ88" i="15"/>
  <c r="AF94" i="15"/>
  <c r="AM86" i="17" l="1"/>
  <c r="AT86" i="17"/>
  <c r="AW86" i="17" s="1"/>
  <c r="AX86" i="17" s="1"/>
  <c r="AZ86" i="17" s="1"/>
  <c r="AU86" i="17"/>
  <c r="AV86" i="17" s="1"/>
  <c r="BD78" i="17"/>
  <c r="BH78" i="17"/>
  <c r="BQ77" i="17"/>
  <c r="Y87" i="17"/>
  <c r="AB87" i="17" s="1"/>
  <c r="AE87" i="17"/>
  <c r="AN86" i="17"/>
  <c r="AO86" i="17" s="1"/>
  <c r="BQ700" i="16"/>
  <c r="AD325" i="15"/>
  <c r="N120" i="17"/>
  <c r="P120" i="17"/>
  <c r="Q120" i="17" s="1"/>
  <c r="BJ701" i="16"/>
  <c r="BK701" i="16"/>
  <c r="BE701" i="16"/>
  <c r="BF701" i="16" s="1"/>
  <c r="AL44" i="15"/>
  <c r="BK78" i="17" l="1"/>
  <c r="BL78" i="17" s="1"/>
  <c r="BM78" i="17" s="1"/>
  <c r="BJ78" i="17"/>
  <c r="BE78" i="17"/>
  <c r="BF78" i="17" s="1"/>
  <c r="Z87" i="17"/>
  <c r="U88" i="17" s="1"/>
  <c r="AC88" i="17" s="1"/>
  <c r="AP86" i="17"/>
  <c r="AF87" i="17"/>
  <c r="AG87" i="17" s="1"/>
  <c r="O120" i="17"/>
  <c r="M121" i="17"/>
  <c r="P121" i="17" s="1"/>
  <c r="S120" i="17"/>
  <c r="BI701" i="16"/>
  <c r="BG701" i="16"/>
  <c r="BL701" i="16"/>
  <c r="BM701" i="16" s="1"/>
  <c r="AH87" i="17" l="1"/>
  <c r="AS87" i="17" s="1"/>
  <c r="AL87" i="17"/>
  <c r="AY87" i="17" s="1"/>
  <c r="E121" i="17"/>
  <c r="L121" i="17" s="1"/>
  <c r="N121" i="17" s="1"/>
  <c r="BG78" i="17"/>
  <c r="BI78" i="17"/>
  <c r="W88" i="17"/>
  <c r="AA88" i="17" s="1"/>
  <c r="AK88" i="17" s="1"/>
  <c r="AR86" i="17"/>
  <c r="AD88" i="17"/>
  <c r="AQ86" i="17"/>
  <c r="Q121" i="17"/>
  <c r="S121" i="17" s="1"/>
  <c r="BC702" i="16"/>
  <c r="BH702" i="16" s="1"/>
  <c r="BO701" i="16"/>
  <c r="BP701" i="16" s="1"/>
  <c r="BN701" i="16"/>
  <c r="AT87" i="17" l="1"/>
  <c r="AW87" i="17" s="1"/>
  <c r="AX87" i="17" s="1"/>
  <c r="AZ87" i="17" s="1"/>
  <c r="AU87" i="17"/>
  <c r="AV87" i="17" s="1"/>
  <c r="AM87" i="17"/>
  <c r="AN87" i="17" s="1"/>
  <c r="BO78" i="17"/>
  <c r="BP78" i="17" s="1"/>
  <c r="BN78" i="17"/>
  <c r="Y88" i="17"/>
  <c r="AB88" i="17" s="1"/>
  <c r="BC79" i="17"/>
  <c r="BH79" i="17" s="1"/>
  <c r="AE88" i="17"/>
  <c r="BD702" i="16"/>
  <c r="BJ702" i="16" s="1"/>
  <c r="M122" i="17"/>
  <c r="O121" i="17"/>
  <c r="E700" i="14"/>
  <c r="F700" i="14" s="1"/>
  <c r="H700" i="14" s="1"/>
  <c r="AD215" i="15"/>
  <c r="AJ63" i="15"/>
  <c r="BQ701" i="16"/>
  <c r="AF91" i="15"/>
  <c r="BQ78" i="17" l="1"/>
  <c r="Z88" i="17"/>
  <c r="U89" i="17" s="1"/>
  <c r="AC89" i="17" s="1"/>
  <c r="BD79" i="17"/>
  <c r="BJ79" i="17" s="1"/>
  <c r="AF88" i="17"/>
  <c r="AG88" i="17" s="1"/>
  <c r="BE702" i="16"/>
  <c r="BF702" i="16" s="1"/>
  <c r="BI702" i="16" s="1"/>
  <c r="BK702" i="16"/>
  <c r="BL702" i="16" s="1"/>
  <c r="BM702" i="16" s="1"/>
  <c r="AO87" i="17"/>
  <c r="P122" i="17"/>
  <c r="E122" i="17"/>
  <c r="L122" i="17" s="1"/>
  <c r="AL96" i="15"/>
  <c r="AH88" i="17" l="1"/>
  <c r="AS88" i="17" s="1"/>
  <c r="AL88" i="17"/>
  <c r="W89" i="17"/>
  <c r="AA89" i="17" s="1"/>
  <c r="AK89" i="17" s="1"/>
  <c r="AD89" i="17"/>
  <c r="AE89" i="17" s="1"/>
  <c r="BK79" i="17"/>
  <c r="BL79" i="17" s="1"/>
  <c r="BM79" i="17" s="1"/>
  <c r="BE79" i="17"/>
  <c r="BF79" i="17" s="1"/>
  <c r="BG702" i="16"/>
  <c r="BC703" i="16" s="1"/>
  <c r="BH703" i="16" s="1"/>
  <c r="AP87" i="17"/>
  <c r="N122" i="17"/>
  <c r="Q122" i="17"/>
  <c r="S122" i="17" s="1"/>
  <c r="BO702" i="16"/>
  <c r="BP702" i="16" s="1"/>
  <c r="BN702" i="16"/>
  <c r="Y89" i="17" l="1"/>
  <c r="AB89" i="17" s="1"/>
  <c r="AF89" i="17" s="1"/>
  <c r="AG89" i="17" s="1"/>
  <c r="AH89" i="17" s="1"/>
  <c r="AS89" i="17" s="1"/>
  <c r="AT89" i="17" s="1"/>
  <c r="AT88" i="17"/>
  <c r="AW88" i="17" s="1"/>
  <c r="AU88" i="17"/>
  <c r="AV88" i="17" s="1"/>
  <c r="AY88" i="17"/>
  <c r="AM88" i="17"/>
  <c r="AN88" i="17" s="1"/>
  <c r="AO88" i="17" s="1"/>
  <c r="AP88" i="17" s="1"/>
  <c r="BI79" i="17"/>
  <c r="BG79" i="17"/>
  <c r="BC80" i="17" s="1"/>
  <c r="BH80" i="17" s="1"/>
  <c r="AR87" i="17"/>
  <c r="AQ87" i="17"/>
  <c r="M123" i="17"/>
  <c r="O122" i="17"/>
  <c r="BD703" i="16"/>
  <c r="AJ710" i="15"/>
  <c r="BQ702" i="16"/>
  <c r="AD254" i="15"/>
  <c r="E701" i="14"/>
  <c r="F701" i="14" s="1"/>
  <c r="H701" i="14" s="1"/>
  <c r="AF87" i="15"/>
  <c r="AL89" i="17" l="1"/>
  <c r="AY89" i="17" s="1"/>
  <c r="Z89" i="17"/>
  <c r="U90" i="17" s="1"/>
  <c r="AC90" i="17" s="1"/>
  <c r="AD90" i="17" s="1"/>
  <c r="AE90" i="17" s="1"/>
  <c r="AU89" i="17"/>
  <c r="AV89" i="17" s="1"/>
  <c r="AX88" i="17"/>
  <c r="AZ88" i="17" s="1"/>
  <c r="BD80" i="17"/>
  <c r="BE80" i="17" s="1"/>
  <c r="BF80" i="17" s="1"/>
  <c r="BO79" i="17"/>
  <c r="BP79" i="17" s="1"/>
  <c r="BN79" i="17"/>
  <c r="AR88" i="17"/>
  <c r="AQ88" i="17"/>
  <c r="P123" i="17"/>
  <c r="E123" i="17"/>
  <c r="L123" i="17" s="1"/>
  <c r="BE703" i="16"/>
  <c r="BF703" i="16" s="1"/>
  <c r="BJ703" i="16"/>
  <c r="BK703" i="16"/>
  <c r="AL17" i="15"/>
  <c r="AM89" i="17" l="1"/>
  <c r="AN89" i="17" s="1"/>
  <c r="AO89" i="17" s="1"/>
  <c r="W90" i="17"/>
  <c r="AA90" i="17" s="1"/>
  <c r="AK90" i="17" s="1"/>
  <c r="AW89" i="17"/>
  <c r="AX89" i="17" s="1"/>
  <c r="AZ89" i="17" s="1"/>
  <c r="BJ80" i="17"/>
  <c r="BK80" i="17"/>
  <c r="BL80" i="17" s="1"/>
  <c r="BM80" i="17" s="1"/>
  <c r="BQ79" i="17"/>
  <c r="BG80" i="17"/>
  <c r="BI80" i="17"/>
  <c r="AP89" i="17"/>
  <c r="Q123" i="17"/>
  <c r="S123" i="17" s="1"/>
  <c r="N123" i="17"/>
  <c r="BI703" i="16"/>
  <c r="BG703" i="16"/>
  <c r="BL703" i="16"/>
  <c r="BM703" i="16" s="1"/>
  <c r="Y90" i="17" l="1"/>
  <c r="AB90" i="17" s="1"/>
  <c r="AF90" i="17" s="1"/>
  <c r="AG90" i="17" s="1"/>
  <c r="BO80" i="17"/>
  <c r="BP80" i="17" s="1"/>
  <c r="BN80" i="17"/>
  <c r="BC81" i="17"/>
  <c r="BH81" i="17" s="1"/>
  <c r="AR89" i="17"/>
  <c r="AQ89" i="17"/>
  <c r="O123" i="17"/>
  <c r="M124" i="17"/>
  <c r="BC704" i="16"/>
  <c r="BH704" i="16" s="1"/>
  <c r="BN703" i="16"/>
  <c r="BO703" i="16"/>
  <c r="BP703" i="16" s="1"/>
  <c r="AF82" i="15"/>
  <c r="Z90" i="17" l="1"/>
  <c r="U91" i="17" s="1"/>
  <c r="AC91" i="17" s="1"/>
  <c r="AD91" i="17" s="1"/>
  <c r="AH90" i="17"/>
  <c r="AS90" i="17" s="1"/>
  <c r="AL90" i="17"/>
  <c r="AY90" i="17" s="1"/>
  <c r="BQ80" i="17"/>
  <c r="BD81" i="17"/>
  <c r="BE81" i="17" s="1"/>
  <c r="BF81" i="17" s="1"/>
  <c r="BG81" i="17" s="1"/>
  <c r="BD704" i="16"/>
  <c r="BK704" i="16" s="1"/>
  <c r="P124" i="17"/>
  <c r="E124" i="17"/>
  <c r="L124" i="17" s="1"/>
  <c r="AJ711" i="15"/>
  <c r="BQ703" i="16"/>
  <c r="AD294" i="15"/>
  <c r="E702" i="14"/>
  <c r="F702" i="14" s="1"/>
  <c r="H702" i="14" s="1"/>
  <c r="AL68" i="15"/>
  <c r="W91" i="17" l="1"/>
  <c r="AM90" i="17"/>
  <c r="AN90" i="17" s="1"/>
  <c r="AU90" i="17"/>
  <c r="AV90" i="17" s="1"/>
  <c r="AT90" i="17"/>
  <c r="AW90" i="17" s="1"/>
  <c r="AX90" i="17" s="1"/>
  <c r="AZ90" i="17" s="1"/>
  <c r="BI81" i="17"/>
  <c r="BO81" i="17" s="1"/>
  <c r="BP81" i="17" s="1"/>
  <c r="BJ81" i="17"/>
  <c r="BK81" i="17"/>
  <c r="BL81" i="17" s="1"/>
  <c r="BM81" i="17" s="1"/>
  <c r="BC82" i="17"/>
  <c r="BE704" i="16"/>
  <c r="BF704" i="16" s="1"/>
  <c r="BI704" i="16" s="1"/>
  <c r="BJ704" i="16"/>
  <c r="AE91" i="17"/>
  <c r="AA91" i="17"/>
  <c r="AK91" i="17" s="1"/>
  <c r="Y91" i="17"/>
  <c r="AB91" i="17" s="1"/>
  <c r="N124" i="17"/>
  <c r="Q124" i="17"/>
  <c r="S124" i="17" s="1"/>
  <c r="BL704" i="16"/>
  <c r="BM704" i="16" s="1"/>
  <c r="BN81" i="17" l="1"/>
  <c r="BQ81" i="17" s="1"/>
  <c r="BD82" i="17"/>
  <c r="BH82" i="17"/>
  <c r="BG704" i="16"/>
  <c r="BC705" i="16" s="1"/>
  <c r="BH705" i="16" s="1"/>
  <c r="Z91" i="17"/>
  <c r="AO90" i="17"/>
  <c r="AF91" i="17"/>
  <c r="AG91" i="17" s="1"/>
  <c r="O124" i="17"/>
  <c r="M125" i="17"/>
  <c r="BO704" i="16"/>
  <c r="BP704" i="16" s="1"/>
  <c r="BN704" i="16"/>
  <c r="AH91" i="17" l="1"/>
  <c r="AS91" i="17" s="1"/>
  <c r="AL91" i="17"/>
  <c r="AY91" i="17" s="1"/>
  <c r="BK82" i="17"/>
  <c r="BJ82" i="17"/>
  <c r="BE82" i="17"/>
  <c r="BF82" i="17" s="1"/>
  <c r="AP90" i="17"/>
  <c r="U92" i="17"/>
  <c r="AC92" i="17" s="1"/>
  <c r="P125" i="17"/>
  <c r="E125" i="17"/>
  <c r="L125" i="17" s="1"/>
  <c r="AD328" i="15"/>
  <c r="E703" i="14"/>
  <c r="F703" i="14" s="1"/>
  <c r="H703" i="14" s="1"/>
  <c r="BD705" i="16"/>
  <c r="AJ712" i="15"/>
  <c r="BQ704" i="16"/>
  <c r="AL125" i="15"/>
  <c r="AF78" i="15"/>
  <c r="AT91" i="17" l="1"/>
  <c r="AW91" i="17" s="1"/>
  <c r="AX91" i="17" s="1"/>
  <c r="AZ91" i="17" s="1"/>
  <c r="AU91" i="17"/>
  <c r="AV91" i="17" s="1"/>
  <c r="AM91" i="17"/>
  <c r="AN91" i="17" s="1"/>
  <c r="AO91" i="17" s="1"/>
  <c r="BG82" i="17"/>
  <c r="BI82" i="17"/>
  <c r="BL82" i="17"/>
  <c r="BM82" i="17" s="1"/>
  <c r="W92" i="17"/>
  <c r="AA92" i="17" s="1"/>
  <c r="AK92" i="17" s="1"/>
  <c r="AD92" i="17"/>
  <c r="AR90" i="17"/>
  <c r="AQ90" i="17"/>
  <c r="N125" i="17"/>
  <c r="Q125" i="17"/>
  <c r="S125" i="17" s="1"/>
  <c r="BJ705" i="16"/>
  <c r="BK705" i="16"/>
  <c r="BE705" i="16"/>
  <c r="BF705" i="16" s="1"/>
  <c r="Y92" i="17" l="1"/>
  <c r="AB92" i="17" s="1"/>
  <c r="BO82" i="17"/>
  <c r="BP82" i="17" s="1"/>
  <c r="BN82" i="17"/>
  <c r="BC83" i="17"/>
  <c r="AE92" i="17"/>
  <c r="AP91" i="17"/>
  <c r="AQ91" i="17" s="1"/>
  <c r="M126" i="17"/>
  <c r="E126" i="17" s="1"/>
  <c r="L126" i="17" s="1"/>
  <c r="O125" i="17"/>
  <c r="BI705" i="16"/>
  <c r="BG705" i="16"/>
  <c r="BL705" i="16"/>
  <c r="BM705" i="16" s="1"/>
  <c r="Z92" i="17" l="1"/>
  <c r="U93" i="17" s="1"/>
  <c r="AC93" i="17" s="1"/>
  <c r="BD83" i="17"/>
  <c r="BE83" i="17" s="1"/>
  <c r="BF83" i="17" s="1"/>
  <c r="BH83" i="17"/>
  <c r="BQ82" i="17"/>
  <c r="AR91" i="17"/>
  <c r="AF92" i="17"/>
  <c r="AG92" i="17" s="1"/>
  <c r="N126" i="17"/>
  <c r="P126" i="17"/>
  <c r="BC706" i="16"/>
  <c r="BH706" i="16" s="1"/>
  <c r="BO705" i="16"/>
  <c r="BP705" i="16" s="1"/>
  <c r="BN705" i="16"/>
  <c r="AF74" i="15"/>
  <c r="AH92" i="17" l="1"/>
  <c r="AS92" i="17" s="1"/>
  <c r="AL92" i="17"/>
  <c r="AY92" i="17" s="1"/>
  <c r="W93" i="17"/>
  <c r="AA93" i="17" s="1"/>
  <c r="AK93" i="17" s="1"/>
  <c r="BG83" i="17"/>
  <c r="BI83" i="17"/>
  <c r="BJ83" i="17"/>
  <c r="BK83" i="17"/>
  <c r="BL83" i="17" s="1"/>
  <c r="BM83" i="17" s="1"/>
  <c r="AD93" i="17"/>
  <c r="O126" i="17"/>
  <c r="M127" i="17"/>
  <c r="Q126" i="17"/>
  <c r="S126" i="17" s="1"/>
  <c r="E704" i="14"/>
  <c r="F704" i="14" s="1"/>
  <c r="H704" i="14" s="1"/>
  <c r="AD369" i="15"/>
  <c r="BD706" i="16"/>
  <c r="BE706" i="16" s="1"/>
  <c r="BF706" i="16" s="1"/>
  <c r="AJ713" i="15"/>
  <c r="BQ705" i="16"/>
  <c r="AL94" i="15"/>
  <c r="Y93" i="17" l="1"/>
  <c r="AB93" i="17" s="1"/>
  <c r="AT92" i="17"/>
  <c r="AW92" i="17" s="1"/>
  <c r="AX92" i="17" s="1"/>
  <c r="AZ92" i="17" s="1"/>
  <c r="AU92" i="17"/>
  <c r="AV92" i="17" s="1"/>
  <c r="AM92" i="17"/>
  <c r="BO83" i="17"/>
  <c r="BP83" i="17" s="1"/>
  <c r="BN83" i="17"/>
  <c r="BC84" i="17"/>
  <c r="AE93" i="17"/>
  <c r="P127" i="17"/>
  <c r="Q127" i="17" s="1"/>
  <c r="S127" i="17" s="1"/>
  <c r="E127" i="17"/>
  <c r="L127" i="17" s="1"/>
  <c r="BI706" i="16"/>
  <c r="BG706" i="16"/>
  <c r="BJ706" i="16"/>
  <c r="BK706" i="16"/>
  <c r="AF93" i="17" l="1"/>
  <c r="AG93" i="17" s="1"/>
  <c r="AH93" i="17" s="1"/>
  <c r="AS93" i="17" s="1"/>
  <c r="AT93" i="17" s="1"/>
  <c r="AW93" i="17" s="1"/>
  <c r="AX93" i="17" s="1"/>
  <c r="Z93" i="17"/>
  <c r="U94" i="17" s="1"/>
  <c r="AC94" i="17" s="1"/>
  <c r="AD94" i="17" s="1"/>
  <c r="AN92" i="17"/>
  <c r="AO92" i="17" s="1"/>
  <c r="AP92" i="17" s="1"/>
  <c r="BQ83" i="17"/>
  <c r="BD84" i="17"/>
  <c r="BH84" i="17"/>
  <c r="N127" i="17"/>
  <c r="BL706" i="16"/>
  <c r="BM706" i="16" s="1"/>
  <c r="BC707" i="16"/>
  <c r="BH707" i="16" s="1"/>
  <c r="BO706" i="16"/>
  <c r="BP706" i="16" s="1"/>
  <c r="AL93" i="17" l="1"/>
  <c r="AY93" i="17" s="1"/>
  <c r="W94" i="17"/>
  <c r="AA94" i="17" s="1"/>
  <c r="AK94" i="17" s="1"/>
  <c r="AU93" i="17"/>
  <c r="AV93" i="17" s="1"/>
  <c r="AQ92" i="17"/>
  <c r="AR92" i="17"/>
  <c r="AZ93" i="17"/>
  <c r="BK84" i="17"/>
  <c r="BL84" i="17" s="1"/>
  <c r="BM84" i="17" s="1"/>
  <c r="BJ84" i="17"/>
  <c r="BE84" i="17"/>
  <c r="BF84" i="17" s="1"/>
  <c r="AE94" i="17"/>
  <c r="BN706" i="16"/>
  <c r="E705" i="14" s="1"/>
  <c r="F705" i="14" s="1"/>
  <c r="H705" i="14" s="1"/>
  <c r="O127" i="17"/>
  <c r="M128" i="17"/>
  <c r="AJ714" i="15"/>
  <c r="BD707" i="16"/>
  <c r="AF68" i="15"/>
  <c r="AM93" i="17" l="1"/>
  <c r="AN93" i="17" s="1"/>
  <c r="Y94" i="17"/>
  <c r="AB94" i="17" s="1"/>
  <c r="AF94" i="17" s="1"/>
  <c r="AG94" i="17" s="1"/>
  <c r="AL94" i="17" s="1"/>
  <c r="AY94" i="17" s="1"/>
  <c r="BQ706" i="16"/>
  <c r="BG84" i="17"/>
  <c r="BI84" i="17"/>
  <c r="AD407" i="15"/>
  <c r="P128" i="17"/>
  <c r="E128" i="17"/>
  <c r="L128" i="17" s="1"/>
  <c r="BJ707" i="16"/>
  <c r="BK707" i="16"/>
  <c r="BE707" i="16"/>
  <c r="BF707" i="16" s="1"/>
  <c r="AL24" i="15"/>
  <c r="AO93" i="17" l="1"/>
  <c r="AP93" i="17" s="1"/>
  <c r="AR93" i="17" s="1"/>
  <c r="Z94" i="17"/>
  <c r="U95" i="17" s="1"/>
  <c r="AC95" i="17" s="1"/>
  <c r="AH94" i="17"/>
  <c r="AS94" i="17" s="1"/>
  <c r="BO84" i="17"/>
  <c r="BP84" i="17" s="1"/>
  <c r="BN84" i="17"/>
  <c r="BC85" i="17"/>
  <c r="BH85" i="17" s="1"/>
  <c r="AM94" i="17"/>
  <c r="N128" i="17"/>
  <c r="Q128" i="17"/>
  <c r="S128" i="17" s="1"/>
  <c r="BI707" i="16"/>
  <c r="BG707" i="16"/>
  <c r="BL707" i="16"/>
  <c r="BM707" i="16" s="1"/>
  <c r="AQ93" i="17" l="1"/>
  <c r="BQ84" i="17"/>
  <c r="AT94" i="17"/>
  <c r="AW94" i="17" s="1"/>
  <c r="AX94" i="17" s="1"/>
  <c r="AZ94" i="17" s="1"/>
  <c r="AU94" i="17"/>
  <c r="AV94" i="17" s="1"/>
  <c r="BD85" i="17"/>
  <c r="BE85" i="17" s="1"/>
  <c r="BF85" i="17" s="1"/>
  <c r="AD95" i="17"/>
  <c r="AN94" i="17"/>
  <c r="AO94" i="17" s="1"/>
  <c r="W95" i="17"/>
  <c r="M129" i="17"/>
  <c r="O128" i="17"/>
  <c r="BC708" i="16"/>
  <c r="BH708" i="16" s="1"/>
  <c r="BO707" i="16"/>
  <c r="BP707" i="16" s="1"/>
  <c r="BN707" i="16"/>
  <c r="BG85" i="17" l="1"/>
  <c r="BI85" i="17"/>
  <c r="BK85" i="17"/>
  <c r="BL85" i="17" s="1"/>
  <c r="BM85" i="17" s="1"/>
  <c r="BJ85" i="17"/>
  <c r="AP94" i="17"/>
  <c r="AR94" i="17" s="1"/>
  <c r="AA95" i="17"/>
  <c r="AK95" i="17" s="1"/>
  <c r="Y95" i="17"/>
  <c r="AB95" i="17" s="1"/>
  <c r="AE95" i="17"/>
  <c r="BD708" i="16"/>
  <c r="BE708" i="16" s="1"/>
  <c r="BF708" i="16" s="1"/>
  <c r="P129" i="17"/>
  <c r="E129" i="17"/>
  <c r="L129" i="17" s="1"/>
  <c r="AD433" i="15"/>
  <c r="E706" i="14"/>
  <c r="F706" i="14" s="1"/>
  <c r="H706" i="14" s="1"/>
  <c r="AJ715" i="15"/>
  <c r="BQ707" i="16"/>
  <c r="AF62" i="15"/>
  <c r="BO85" i="17" l="1"/>
  <c r="BP85" i="17" s="1"/>
  <c r="BN85" i="17"/>
  <c r="BC86" i="17"/>
  <c r="AQ94" i="17"/>
  <c r="BJ708" i="16"/>
  <c r="AF95" i="17"/>
  <c r="AG95" i="17" s="1"/>
  <c r="Z95" i="17"/>
  <c r="BK708" i="16"/>
  <c r="BL708" i="16" s="1"/>
  <c r="BM708" i="16" s="1"/>
  <c r="Q129" i="17"/>
  <c r="S129" i="17" s="1"/>
  <c r="N129" i="17"/>
  <c r="BI708" i="16"/>
  <c r="BG708" i="16"/>
  <c r="AL174" i="15"/>
  <c r="BQ85" i="17" l="1"/>
  <c r="AH95" i="17"/>
  <c r="AS95" i="17" s="1"/>
  <c r="AL95" i="17"/>
  <c r="AY95" i="17" s="1"/>
  <c r="BD86" i="17"/>
  <c r="BH86" i="17"/>
  <c r="U96" i="17"/>
  <c r="AC96" i="17" s="1"/>
  <c r="M130" i="17"/>
  <c r="O129" i="17"/>
  <c r="BC709" i="16"/>
  <c r="BH709" i="16" s="1"/>
  <c r="BO708" i="16"/>
  <c r="BP708" i="16" s="1"/>
  <c r="BN708" i="16"/>
  <c r="AF59" i="15"/>
  <c r="AM95" i="17" l="1"/>
  <c r="AN95" i="17" s="1"/>
  <c r="AO95" i="17" s="1"/>
  <c r="AT95" i="17"/>
  <c r="AW95" i="17" s="1"/>
  <c r="AX95" i="17" s="1"/>
  <c r="AZ95" i="17" s="1"/>
  <c r="AU95" i="17"/>
  <c r="AV95" i="17" s="1"/>
  <c r="BK86" i="17"/>
  <c r="BL86" i="17" s="1"/>
  <c r="BM86" i="17" s="1"/>
  <c r="BJ86" i="17"/>
  <c r="BE86" i="17"/>
  <c r="BF86" i="17" s="1"/>
  <c r="W96" i="17"/>
  <c r="AA96" i="17" s="1"/>
  <c r="AK96" i="17" s="1"/>
  <c r="AD96" i="17"/>
  <c r="P130" i="17"/>
  <c r="E130" i="17"/>
  <c r="L130" i="17" s="1"/>
  <c r="E707" i="14"/>
  <c r="F707" i="14" s="1"/>
  <c r="H707" i="14" s="1"/>
  <c r="AD476" i="15"/>
  <c r="BD709" i="16"/>
  <c r="AJ716" i="15"/>
  <c r="BQ708" i="16"/>
  <c r="AL175" i="15"/>
  <c r="BG86" i="17" l="1"/>
  <c r="BI86" i="17"/>
  <c r="Y96" i="17"/>
  <c r="AB96" i="17" s="1"/>
  <c r="AP95" i="17"/>
  <c r="AQ95" i="17" s="1"/>
  <c r="AE96" i="17"/>
  <c r="N130" i="17"/>
  <c r="Q130" i="17"/>
  <c r="S130" i="17" s="1"/>
  <c r="BJ709" i="16"/>
  <c r="BK709" i="16"/>
  <c r="BE709" i="16"/>
  <c r="BF709" i="16" s="1"/>
  <c r="AR95" i="17" l="1"/>
  <c r="Z96" i="17"/>
  <c r="U97" i="17" s="1"/>
  <c r="AC97" i="17" s="1"/>
  <c r="BO86" i="17"/>
  <c r="BP86" i="17" s="1"/>
  <c r="BN86" i="17"/>
  <c r="BC87" i="17"/>
  <c r="BH87" i="17" s="1"/>
  <c r="AF96" i="17"/>
  <c r="AG96" i="17" s="1"/>
  <c r="O130" i="17"/>
  <c r="M131" i="17"/>
  <c r="BI709" i="16"/>
  <c r="BG709" i="16"/>
  <c r="BL709" i="16"/>
  <c r="BM709" i="16" s="1"/>
  <c r="AH96" i="17" l="1"/>
  <c r="AS96" i="17" s="1"/>
  <c r="AL96" i="17"/>
  <c r="BQ86" i="17"/>
  <c r="BD87" i="17"/>
  <c r="W97" i="17"/>
  <c r="AD97" i="17"/>
  <c r="P131" i="17"/>
  <c r="E131" i="17"/>
  <c r="L131" i="17" s="1"/>
  <c r="BC710" i="16"/>
  <c r="BH710" i="16" s="1"/>
  <c r="BO709" i="16"/>
  <c r="BP709" i="16" s="1"/>
  <c r="BN709" i="16"/>
  <c r="AF54" i="15"/>
  <c r="AM96" i="17" l="1"/>
  <c r="AN96" i="17" s="1"/>
  <c r="AO96" i="17" s="1"/>
  <c r="AP96" i="17" s="1"/>
  <c r="AR96" i="17" s="1"/>
  <c r="AY96" i="17"/>
  <c r="AT96" i="17"/>
  <c r="AW96" i="17" s="1"/>
  <c r="AX96" i="17" s="1"/>
  <c r="AZ96" i="17" s="1"/>
  <c r="AU96" i="17"/>
  <c r="AV96" i="17" s="1"/>
  <c r="BK87" i="17"/>
  <c r="BL87" i="17" s="1"/>
  <c r="BM87" i="17" s="1"/>
  <c r="BJ87" i="17"/>
  <c r="BE87" i="17"/>
  <c r="BF87" i="17" s="1"/>
  <c r="AE97" i="17"/>
  <c r="AA97" i="17"/>
  <c r="AK97" i="17" s="1"/>
  <c r="Y97" i="17"/>
  <c r="AB97" i="17" s="1"/>
  <c r="BD710" i="16"/>
  <c r="BK710" i="16" s="1"/>
  <c r="Q131" i="17"/>
  <c r="S131" i="17" s="1"/>
  <c r="N131" i="17"/>
  <c r="E708" i="14"/>
  <c r="F708" i="14" s="1"/>
  <c r="H708" i="14" s="1"/>
  <c r="AD524" i="15"/>
  <c r="AJ717" i="15"/>
  <c r="BQ709" i="16"/>
  <c r="AL176" i="15"/>
  <c r="AQ96" i="17" l="1"/>
  <c r="BG87" i="17"/>
  <c r="BI87" i="17"/>
  <c r="BJ710" i="16"/>
  <c r="BE710" i="16"/>
  <c r="BF710" i="16" s="1"/>
  <c r="BG710" i="16" s="1"/>
  <c r="Z97" i="17"/>
  <c r="AF97" i="17"/>
  <c r="AG97" i="17" s="1"/>
  <c r="AL97" i="17" s="1"/>
  <c r="AY97" i="17" s="1"/>
  <c r="O131" i="17"/>
  <c r="M132" i="17"/>
  <c r="E132" i="17" s="1"/>
  <c r="L132" i="17" s="1"/>
  <c r="BL710" i="16"/>
  <c r="BM710" i="16" s="1"/>
  <c r="AF51" i="15"/>
  <c r="AH97" i="17" l="1"/>
  <c r="AS97" i="17" s="1"/>
  <c r="BO87" i="17"/>
  <c r="BP87" i="17" s="1"/>
  <c r="BN87" i="17"/>
  <c r="BC88" i="17"/>
  <c r="BD88" i="17" s="1"/>
  <c r="BI710" i="16"/>
  <c r="BO710" i="16" s="1"/>
  <c r="BP710" i="16" s="1"/>
  <c r="AM97" i="17"/>
  <c r="U98" i="17"/>
  <c r="AC98" i="17" s="1"/>
  <c r="P132" i="17"/>
  <c r="N132" i="17"/>
  <c r="BC711" i="16"/>
  <c r="BH711" i="16" s="1"/>
  <c r="AL120" i="15"/>
  <c r="AT97" i="17" l="1"/>
  <c r="AW97" i="17" s="1"/>
  <c r="AX97" i="17" s="1"/>
  <c r="AZ97" i="17" s="1"/>
  <c r="AU97" i="17"/>
  <c r="AV97" i="17" s="1"/>
  <c r="BK88" i="17"/>
  <c r="BL88" i="17" s="1"/>
  <c r="BM88" i="17" s="1"/>
  <c r="BJ88" i="17"/>
  <c r="BE88" i="17"/>
  <c r="BF88" i="17" s="1"/>
  <c r="BH88" i="17"/>
  <c r="BQ87" i="17"/>
  <c r="W98" i="17"/>
  <c r="AA98" i="17" s="1"/>
  <c r="AK98" i="17" s="1"/>
  <c r="BD711" i="16"/>
  <c r="BJ711" i="16" s="1"/>
  <c r="BN710" i="16"/>
  <c r="E709" i="14" s="1"/>
  <c r="AD98" i="17"/>
  <c r="AN97" i="17"/>
  <c r="AO97" i="17" s="1"/>
  <c r="Q132" i="17"/>
  <c r="S132" i="17" s="1"/>
  <c r="O132" i="17"/>
  <c r="M133" i="17"/>
  <c r="E133" i="17" s="1"/>
  <c r="L133" i="17" s="1"/>
  <c r="AJ718" i="15"/>
  <c r="Y98" i="17" l="1"/>
  <c r="AB98" i="17" s="1"/>
  <c r="BE711" i="16"/>
  <c r="BF711" i="16" s="1"/>
  <c r="BI711" i="16" s="1"/>
  <c r="BG88" i="17"/>
  <c r="BI88" i="17"/>
  <c r="BK711" i="16"/>
  <c r="BL711" i="16" s="1"/>
  <c r="BM711" i="16" s="1"/>
  <c r="BQ710" i="16"/>
  <c r="AD557" i="15"/>
  <c r="AP97" i="17"/>
  <c r="AE98" i="17"/>
  <c r="N133" i="17"/>
  <c r="P133" i="17"/>
  <c r="F709" i="14"/>
  <c r="BG711" i="16" l="1"/>
  <c r="BC712" i="16" s="1"/>
  <c r="BH712" i="16" s="1"/>
  <c r="AF98" i="17"/>
  <c r="AG98" i="17" s="1"/>
  <c r="Z98" i="17"/>
  <c r="U99" i="17" s="1"/>
  <c r="AC99" i="17" s="1"/>
  <c r="AD99" i="17" s="1"/>
  <c r="BO88" i="17"/>
  <c r="BP88" i="17" s="1"/>
  <c r="BN88" i="17"/>
  <c r="BC89" i="17"/>
  <c r="BD89" i="17" s="1"/>
  <c r="AR97" i="17"/>
  <c r="AQ97" i="17"/>
  <c r="Q133" i="17"/>
  <c r="S133" i="17" s="1"/>
  <c r="O133" i="17"/>
  <c r="M134" i="17"/>
  <c r="H709" i="14"/>
  <c r="BN711" i="16"/>
  <c r="BO711" i="16"/>
  <c r="BP711" i="16" s="1"/>
  <c r="AF48" i="15"/>
  <c r="W99" i="17" l="1"/>
  <c r="AA99" i="17" s="1"/>
  <c r="AK99" i="17" s="1"/>
  <c r="AH98" i="17"/>
  <c r="AS98" i="17" s="1"/>
  <c r="AL98" i="17"/>
  <c r="AY98" i="17" s="1"/>
  <c r="BE89" i="17"/>
  <c r="BF89" i="17" s="1"/>
  <c r="BQ88" i="17"/>
  <c r="BK89" i="17"/>
  <c r="BL89" i="17" s="1"/>
  <c r="BM89" i="17" s="1"/>
  <c r="BJ89" i="17"/>
  <c r="BH89" i="17"/>
  <c r="BD712" i="16"/>
  <c r="BK712" i="16" s="1"/>
  <c r="AE99" i="17"/>
  <c r="P134" i="17"/>
  <c r="E134" i="17"/>
  <c r="L134" i="17" s="1"/>
  <c r="AJ719" i="15"/>
  <c r="BQ711" i="16"/>
  <c r="AD608" i="15"/>
  <c r="E710" i="14"/>
  <c r="AL177" i="15"/>
  <c r="Y99" i="17" l="1"/>
  <c r="AB99" i="17" s="1"/>
  <c r="AF99" i="17" s="1"/>
  <c r="AG99" i="17" s="1"/>
  <c r="AL99" i="17" s="1"/>
  <c r="AY99" i="17" s="1"/>
  <c r="AM98" i="17"/>
  <c r="AN98" i="17" s="1"/>
  <c r="AT98" i="17"/>
  <c r="AW98" i="17" s="1"/>
  <c r="AU98" i="17"/>
  <c r="AV98" i="17" s="1"/>
  <c r="BG89" i="17"/>
  <c r="BI89" i="17"/>
  <c r="BJ712" i="16"/>
  <c r="BE712" i="16"/>
  <c r="BF712" i="16" s="1"/>
  <c r="BI712" i="16" s="1"/>
  <c r="N134" i="17"/>
  <c r="Q134" i="17"/>
  <c r="S134" i="17" s="1"/>
  <c r="F710" i="14"/>
  <c r="BL712" i="16"/>
  <c r="BM712" i="16" s="1"/>
  <c r="AF43" i="15"/>
  <c r="Z99" i="17" l="1"/>
  <c r="U100" i="17" s="1"/>
  <c r="AC100" i="17" s="1"/>
  <c r="AD100" i="17" s="1"/>
  <c r="AO98" i="17"/>
  <c r="AP98" i="17" s="1"/>
  <c r="AQ98" i="17" s="1"/>
  <c r="AH99" i="17"/>
  <c r="AS99" i="17" s="1"/>
  <c r="AM99" i="17"/>
  <c r="AN99" i="17" s="1"/>
  <c r="AX98" i="17"/>
  <c r="AZ98" i="17" s="1"/>
  <c r="BG712" i="16"/>
  <c r="BC713" i="16" s="1"/>
  <c r="BH713" i="16" s="1"/>
  <c r="BO89" i="17"/>
  <c r="BP89" i="17" s="1"/>
  <c r="BN89" i="17"/>
  <c r="BC90" i="17"/>
  <c r="O134" i="17"/>
  <c r="M135" i="17"/>
  <c r="E135" i="17" s="1"/>
  <c r="L135" i="17" s="1"/>
  <c r="H710" i="14"/>
  <c r="BN712" i="16"/>
  <c r="BO712" i="16"/>
  <c r="BP712" i="16" s="1"/>
  <c r="AL178" i="15"/>
  <c r="W100" i="17" l="1"/>
  <c r="AA100" i="17" s="1"/>
  <c r="AK100" i="17" s="1"/>
  <c r="AT99" i="17"/>
  <c r="AW99" i="17" s="1"/>
  <c r="AX99" i="17" s="1"/>
  <c r="AZ99" i="17" s="1"/>
  <c r="AU99" i="17"/>
  <c r="AV99" i="17" s="1"/>
  <c r="BQ89" i="17"/>
  <c r="BD90" i="17"/>
  <c r="BH90" i="17"/>
  <c r="BD713" i="16"/>
  <c r="BJ713" i="16" s="1"/>
  <c r="AE100" i="17"/>
  <c r="AO99" i="17"/>
  <c r="AR98" i="17"/>
  <c r="N135" i="17"/>
  <c r="P135" i="17"/>
  <c r="AJ720" i="15"/>
  <c r="BQ712" i="16"/>
  <c r="E711" i="14"/>
  <c r="AD670" i="15"/>
  <c r="AF39" i="15"/>
  <c r="Y100" i="17" l="1"/>
  <c r="AB100" i="17" s="1"/>
  <c r="AF100" i="17" s="1"/>
  <c r="AG100" i="17" s="1"/>
  <c r="AL100" i="17" s="1"/>
  <c r="AY100" i="17" s="1"/>
  <c r="BE713" i="16"/>
  <c r="BF713" i="16" s="1"/>
  <c r="BG713" i="16" s="1"/>
  <c r="BK90" i="17"/>
  <c r="BL90" i="17" s="1"/>
  <c r="BM90" i="17" s="1"/>
  <c r="BJ90" i="17"/>
  <c r="BE90" i="17"/>
  <c r="BF90" i="17" s="1"/>
  <c r="BK713" i="16"/>
  <c r="BL713" i="16" s="1"/>
  <c r="BM713" i="16" s="1"/>
  <c r="AP99" i="17"/>
  <c r="Q135" i="17"/>
  <c r="S135" i="17" s="1"/>
  <c r="M136" i="17"/>
  <c r="O135" i="17"/>
  <c r="F711" i="14"/>
  <c r="AL179" i="15"/>
  <c r="Z100" i="17" l="1"/>
  <c r="U101" i="17" s="1"/>
  <c r="AC101" i="17" s="1"/>
  <c r="BI713" i="16"/>
  <c r="BN713" i="16" s="1"/>
  <c r="P136" i="17"/>
  <c r="Q136" i="17" s="1"/>
  <c r="S136" i="17" s="1"/>
  <c r="AH100" i="17"/>
  <c r="AS100" i="17" s="1"/>
  <c r="BG90" i="17"/>
  <c r="BI90" i="17"/>
  <c r="E136" i="17"/>
  <c r="L136" i="17" s="1"/>
  <c r="N136" i="17" s="1"/>
  <c r="M137" i="17" s="1"/>
  <c r="E137" i="17" s="1"/>
  <c r="L137" i="17" s="1"/>
  <c r="AM100" i="17"/>
  <c r="AR99" i="17"/>
  <c r="AQ99" i="17"/>
  <c r="BC714" i="16"/>
  <c r="BH714" i="16" s="1"/>
  <c r="H711" i="14"/>
  <c r="AF34" i="15"/>
  <c r="BO713" i="16" l="1"/>
  <c r="BP713" i="16" s="1"/>
  <c r="AJ721" i="15" s="1"/>
  <c r="AT100" i="17"/>
  <c r="AW100" i="17" s="1"/>
  <c r="AX100" i="17" s="1"/>
  <c r="AZ100" i="17" s="1"/>
  <c r="AU100" i="17"/>
  <c r="AV100" i="17" s="1"/>
  <c r="BO90" i="17"/>
  <c r="BP90" i="17" s="1"/>
  <c r="BN90" i="17"/>
  <c r="O136" i="17"/>
  <c r="N137" i="17" s="1"/>
  <c r="BC91" i="17"/>
  <c r="BH91" i="17" s="1"/>
  <c r="AD101" i="17"/>
  <c r="AN100" i="17"/>
  <c r="AO100" i="17" s="1"/>
  <c r="W101" i="17"/>
  <c r="AA101" i="17" s="1"/>
  <c r="AK101" i="17" s="1"/>
  <c r="BD714" i="16"/>
  <c r="BJ714" i="16" s="1"/>
  <c r="P137" i="17"/>
  <c r="E712" i="14"/>
  <c r="AD715" i="15"/>
  <c r="AL180" i="15"/>
  <c r="BQ713" i="16" l="1"/>
  <c r="BQ90" i="17"/>
  <c r="BD91" i="17"/>
  <c r="BK714" i="16"/>
  <c r="BL714" i="16" s="1"/>
  <c r="BM714" i="16" s="1"/>
  <c r="AE101" i="17"/>
  <c r="AP100" i="17"/>
  <c r="Y101" i="17"/>
  <c r="AB101" i="17" s="1"/>
  <c r="BE714" i="16"/>
  <c r="BF714" i="16" s="1"/>
  <c r="BI714" i="16" s="1"/>
  <c r="Q137" i="17"/>
  <c r="S137" i="17" s="1"/>
  <c r="M138" i="17"/>
  <c r="E138" i="17" s="1"/>
  <c r="L138" i="17" s="1"/>
  <c r="O137" i="17"/>
  <c r="F712" i="14"/>
  <c r="AF31" i="15"/>
  <c r="Z101" i="17" l="1"/>
  <c r="U102" i="17" s="1"/>
  <c r="AC102" i="17" s="1"/>
  <c r="BK91" i="17"/>
  <c r="BL91" i="17" s="1"/>
  <c r="BM91" i="17" s="1"/>
  <c r="BJ91" i="17"/>
  <c r="BE91" i="17"/>
  <c r="BF91" i="17" s="1"/>
  <c r="AQ100" i="17"/>
  <c r="AR100" i="17"/>
  <c r="BG714" i="16"/>
  <c r="BC715" i="16" s="1"/>
  <c r="BH715" i="16" s="1"/>
  <c r="AF101" i="17"/>
  <c r="AG101" i="17" s="1"/>
  <c r="N138" i="17"/>
  <c r="P138" i="17"/>
  <c r="H712" i="14"/>
  <c r="BO714" i="16"/>
  <c r="BP714" i="16" s="1"/>
  <c r="BN714" i="16"/>
  <c r="AL181" i="15"/>
  <c r="AH101" i="17" l="1"/>
  <c r="AS101" i="17" s="1"/>
  <c r="AL101" i="17"/>
  <c r="AY101" i="17" s="1"/>
  <c r="BG91" i="17"/>
  <c r="BI91" i="17"/>
  <c r="AD102" i="17"/>
  <c r="W102" i="17"/>
  <c r="Y102" i="17" s="1"/>
  <c r="AB102" i="17" s="1"/>
  <c r="Q138" i="17"/>
  <c r="S138" i="17" s="1"/>
  <c r="O138" i="17"/>
  <c r="M139" i="17"/>
  <c r="E139" i="17" s="1"/>
  <c r="L139" i="17" s="1"/>
  <c r="E713" i="14"/>
  <c r="AD724" i="15"/>
  <c r="AJ722" i="15"/>
  <c r="BQ714" i="16"/>
  <c r="BD715" i="16"/>
  <c r="AM101" i="17" l="1"/>
  <c r="AN101" i="17" s="1"/>
  <c r="AT101" i="17"/>
  <c r="AW101" i="17" s="1"/>
  <c r="AX101" i="17" s="1"/>
  <c r="AZ101" i="17" s="1"/>
  <c r="AU101" i="17"/>
  <c r="AV101" i="17" s="1"/>
  <c r="BC92" i="17"/>
  <c r="BD92" i="17" s="1"/>
  <c r="BO91" i="17"/>
  <c r="BP91" i="17" s="1"/>
  <c r="AL182" i="15" s="1"/>
  <c r="BN91" i="17"/>
  <c r="P139" i="17"/>
  <c r="Q139" i="17" s="1"/>
  <c r="S139" i="17" s="1"/>
  <c r="AA102" i="17"/>
  <c r="AK102" i="17" s="1"/>
  <c r="Z102" i="17"/>
  <c r="AE102" i="17"/>
  <c r="N139" i="17"/>
  <c r="F713" i="14"/>
  <c r="BJ715" i="16"/>
  <c r="BK715" i="16"/>
  <c r="BE715" i="16"/>
  <c r="BF715" i="16" s="1"/>
  <c r="BK92" i="17" l="1"/>
  <c r="BL92" i="17" s="1"/>
  <c r="BM92" i="17" s="1"/>
  <c r="BJ92" i="17"/>
  <c r="BQ91" i="17"/>
  <c r="AF32" i="15"/>
  <c r="BE92" i="17"/>
  <c r="BF92" i="17" s="1"/>
  <c r="BH92" i="17"/>
  <c r="AF102" i="17"/>
  <c r="AG102" i="17" s="1"/>
  <c r="U103" i="17"/>
  <c r="AC103" i="17" s="1"/>
  <c r="AO101" i="17"/>
  <c r="O139" i="17"/>
  <c r="M140" i="17"/>
  <c r="BI715" i="16"/>
  <c r="BG715" i="16"/>
  <c r="BL715" i="16"/>
  <c r="BM715" i="16" s="1"/>
  <c r="H713" i="14"/>
  <c r="AH102" i="17" l="1"/>
  <c r="AS102" i="17" s="1"/>
  <c r="AL102" i="17"/>
  <c r="AY102" i="17" s="1"/>
  <c r="BG92" i="17"/>
  <c r="BI92" i="17"/>
  <c r="W103" i="17"/>
  <c r="AA103" i="17" s="1"/>
  <c r="AK103" i="17" s="1"/>
  <c r="AD103" i="17"/>
  <c r="AP101" i="17"/>
  <c r="AQ101" i="17" s="1"/>
  <c r="P140" i="17"/>
  <c r="E140" i="17"/>
  <c r="L140" i="17" s="1"/>
  <c r="BC716" i="16"/>
  <c r="BH716" i="16" s="1"/>
  <c r="BN715" i="16"/>
  <c r="BO715" i="16"/>
  <c r="BP715" i="16" s="1"/>
  <c r="AM102" i="17" l="1"/>
  <c r="AN102" i="17" s="1"/>
  <c r="AO102" i="17" s="1"/>
  <c r="AP102" i="17" s="1"/>
  <c r="AR102" i="17" s="1"/>
  <c r="AT102" i="17"/>
  <c r="AW102" i="17" s="1"/>
  <c r="AX102" i="17" s="1"/>
  <c r="AZ102" i="17" s="1"/>
  <c r="AU102" i="17"/>
  <c r="AV102" i="17" s="1"/>
  <c r="Y103" i="17"/>
  <c r="AB103" i="17" s="1"/>
  <c r="BO92" i="17"/>
  <c r="BP92" i="17" s="1"/>
  <c r="AL183" i="15" s="1"/>
  <c r="BN92" i="17"/>
  <c r="BC93" i="17"/>
  <c r="BD93" i="17" s="1"/>
  <c r="AR101" i="17"/>
  <c r="AE103" i="17"/>
  <c r="N140" i="17"/>
  <c r="Q140" i="17"/>
  <c r="S140" i="17" s="1"/>
  <c r="AJ723" i="15"/>
  <c r="BQ715" i="16"/>
  <c r="E714" i="14"/>
  <c r="AD728" i="15"/>
  <c r="BD716" i="16"/>
  <c r="AQ102" i="17" l="1"/>
  <c r="Z103" i="17"/>
  <c r="U104" i="17" s="1"/>
  <c r="AC104" i="17" s="1"/>
  <c r="BK93" i="17"/>
  <c r="BL93" i="17" s="1"/>
  <c r="BM93" i="17" s="1"/>
  <c r="BJ93" i="17"/>
  <c r="BE93" i="17"/>
  <c r="BF93" i="17" s="1"/>
  <c r="BH93" i="17"/>
  <c r="BQ92" i="17"/>
  <c r="AF35" i="15"/>
  <c r="AF103" i="17"/>
  <c r="AG103" i="17" s="1"/>
  <c r="O140" i="17"/>
  <c r="M141" i="17"/>
  <c r="BJ716" i="16"/>
  <c r="BK716" i="16"/>
  <c r="BE716" i="16"/>
  <c r="BF716" i="16" s="1"/>
  <c r="F714" i="14"/>
  <c r="H714" i="14" s="1"/>
  <c r="AH103" i="17" l="1"/>
  <c r="AS103" i="17" s="1"/>
  <c r="AL103" i="17"/>
  <c r="AY103" i="17" s="1"/>
  <c r="BG93" i="17"/>
  <c r="BI93" i="17"/>
  <c r="W104" i="17"/>
  <c r="AA104" i="17" s="1"/>
  <c r="AK104" i="17" s="1"/>
  <c r="AD104" i="17"/>
  <c r="P141" i="17"/>
  <c r="E141" i="17"/>
  <c r="L141" i="17" s="1"/>
  <c r="BI716" i="16"/>
  <c r="BG716" i="16"/>
  <c r="BL716" i="16"/>
  <c r="BM716" i="16" s="1"/>
  <c r="AM103" i="17" l="1"/>
  <c r="AN103" i="17" s="1"/>
  <c r="AT103" i="17"/>
  <c r="AW103" i="17" s="1"/>
  <c r="AX103" i="17" s="1"/>
  <c r="AZ103" i="17" s="1"/>
  <c r="AU103" i="17"/>
  <c r="AV103" i="17" s="1"/>
  <c r="BO93" i="17"/>
  <c r="BP93" i="17" s="1"/>
  <c r="AL56" i="15" s="1"/>
  <c r="BN93" i="17"/>
  <c r="BC94" i="17"/>
  <c r="AE104" i="17"/>
  <c r="Y104" i="17"/>
  <c r="AB104" i="17" s="1"/>
  <c r="N141" i="17"/>
  <c r="Q141" i="17"/>
  <c r="S141" i="17" s="1"/>
  <c r="BC717" i="16"/>
  <c r="BN716" i="16"/>
  <c r="BO716" i="16"/>
  <c r="BP716" i="16" s="1"/>
  <c r="BD94" i="17" l="1"/>
  <c r="BE94" i="17" s="1"/>
  <c r="BF94" i="17" s="1"/>
  <c r="BH94" i="17"/>
  <c r="BQ93" i="17"/>
  <c r="AF30" i="15"/>
  <c r="Z104" i="17"/>
  <c r="AO103" i="17"/>
  <c r="AF104" i="17"/>
  <c r="AG104" i="17" s="1"/>
  <c r="O141" i="17"/>
  <c r="M142" i="17"/>
  <c r="E142" i="17" s="1"/>
  <c r="L142" i="17" s="1"/>
  <c r="BH717" i="16"/>
  <c r="AJ724" i="15"/>
  <c r="BQ716" i="16"/>
  <c r="BD717" i="16"/>
  <c r="E715" i="14"/>
  <c r="AD729" i="15"/>
  <c r="AH104" i="17" l="1"/>
  <c r="AS104" i="17" s="1"/>
  <c r="AL104" i="17"/>
  <c r="AY104" i="17" s="1"/>
  <c r="BG94" i="17"/>
  <c r="BI94" i="17"/>
  <c r="BK94" i="17"/>
  <c r="BL94" i="17" s="1"/>
  <c r="BM94" i="17" s="1"/>
  <c r="BJ94" i="17"/>
  <c r="AP103" i="17"/>
  <c r="U105" i="17"/>
  <c r="AC105" i="17" s="1"/>
  <c r="N142" i="17"/>
  <c r="P142" i="17"/>
  <c r="F715" i="14"/>
  <c r="H715" i="14" s="1"/>
  <c r="BJ717" i="16"/>
  <c r="BK717" i="16"/>
  <c r="BE717" i="16"/>
  <c r="BF717" i="16" s="1"/>
  <c r="AM104" i="17" l="1"/>
  <c r="AN104" i="17" s="1"/>
  <c r="AO104" i="17" s="1"/>
  <c r="AP104" i="17" s="1"/>
  <c r="AT104" i="17"/>
  <c r="AW104" i="17" s="1"/>
  <c r="AX104" i="17" s="1"/>
  <c r="AZ104" i="17" s="1"/>
  <c r="AU104" i="17"/>
  <c r="AV104" i="17" s="1"/>
  <c r="BO94" i="17"/>
  <c r="BP94" i="17" s="1"/>
  <c r="AL184" i="15" s="1"/>
  <c r="BN94" i="17"/>
  <c r="BC95" i="17"/>
  <c r="AR103" i="17"/>
  <c r="AD105" i="17"/>
  <c r="W105" i="17"/>
  <c r="AQ103" i="17"/>
  <c r="O142" i="17"/>
  <c r="M143" i="17"/>
  <c r="E143" i="17" s="1"/>
  <c r="L143" i="17" s="1"/>
  <c r="Q142" i="17"/>
  <c r="S142" i="17" s="1"/>
  <c r="BI717" i="16"/>
  <c r="BG717" i="16"/>
  <c r="BL717" i="16"/>
  <c r="BM717" i="16" s="1"/>
  <c r="BD95" i="17" l="1"/>
  <c r="BH95" i="17"/>
  <c r="BQ94" i="17"/>
  <c r="AF27" i="15"/>
  <c r="AQ104" i="17"/>
  <c r="AE105" i="17"/>
  <c r="AA105" i="17"/>
  <c r="AK105" i="17" s="1"/>
  <c r="Y105" i="17"/>
  <c r="AB105" i="17" s="1"/>
  <c r="AR104" i="17"/>
  <c r="N143" i="17"/>
  <c r="P143" i="17"/>
  <c r="BC718" i="16"/>
  <c r="BH718" i="16" s="1"/>
  <c r="BN717" i="16"/>
  <c r="BO717" i="16"/>
  <c r="BP717" i="16" s="1"/>
  <c r="BK95" i="17" l="1"/>
  <c r="BL95" i="17" s="1"/>
  <c r="BM95" i="17" s="1"/>
  <c r="BJ95" i="17"/>
  <c r="BE95" i="17"/>
  <c r="BF95" i="17" s="1"/>
  <c r="Z105" i="17"/>
  <c r="AF105" i="17"/>
  <c r="AG105" i="17" s="1"/>
  <c r="M144" i="17"/>
  <c r="E144" i="17" s="1"/>
  <c r="L144" i="17" s="1"/>
  <c r="O143" i="17"/>
  <c r="Q143" i="17"/>
  <c r="S143" i="17" s="1"/>
  <c r="E716" i="14"/>
  <c r="AD730" i="15"/>
  <c r="AJ725" i="15"/>
  <c r="BQ717" i="16"/>
  <c r="BD718" i="16"/>
  <c r="AH105" i="17" l="1"/>
  <c r="AS105" i="17" s="1"/>
  <c r="AL105" i="17"/>
  <c r="AY105" i="17" s="1"/>
  <c r="BG95" i="17"/>
  <c r="BI95" i="17"/>
  <c r="U106" i="17"/>
  <c r="AC106" i="17" s="1"/>
  <c r="N144" i="17"/>
  <c r="P144" i="17"/>
  <c r="BJ718" i="16"/>
  <c r="BK718" i="16"/>
  <c r="BE718" i="16"/>
  <c r="BF718" i="16" s="1"/>
  <c r="F716" i="14"/>
  <c r="H716" i="14" s="1"/>
  <c r="AT105" i="17" l="1"/>
  <c r="AW105" i="17" s="1"/>
  <c r="AX105" i="17" s="1"/>
  <c r="AZ105" i="17" s="1"/>
  <c r="AU105" i="17"/>
  <c r="AV105" i="17" s="1"/>
  <c r="AM105" i="17"/>
  <c r="AN105" i="17" s="1"/>
  <c r="W106" i="17"/>
  <c r="AA106" i="17" s="1"/>
  <c r="AK106" i="17" s="1"/>
  <c r="BO95" i="17"/>
  <c r="BP95" i="17" s="1"/>
  <c r="AL185" i="15" s="1"/>
  <c r="BN95" i="17"/>
  <c r="BC96" i="17"/>
  <c r="BH96" i="17" s="1"/>
  <c r="AD106" i="17"/>
  <c r="Q144" i="17"/>
  <c r="S144" i="17" s="1"/>
  <c r="M145" i="17"/>
  <c r="O144" i="17"/>
  <c r="BI718" i="16"/>
  <c r="BG718" i="16"/>
  <c r="BL718" i="16"/>
  <c r="BM718" i="16" s="1"/>
  <c r="AO105" i="17" l="1"/>
  <c r="AP105" i="17" s="1"/>
  <c r="Y106" i="17"/>
  <c r="Z106" i="17" s="1"/>
  <c r="BQ95" i="17"/>
  <c r="AF26" i="15"/>
  <c r="BD96" i="17"/>
  <c r="BE96" i="17" s="1"/>
  <c r="BF96" i="17" s="1"/>
  <c r="AE106" i="17"/>
  <c r="P145" i="17"/>
  <c r="E145" i="17"/>
  <c r="L145" i="17" s="1"/>
  <c r="BC719" i="16"/>
  <c r="BH719" i="16" s="1"/>
  <c r="BN718" i="16"/>
  <c r="BO718" i="16"/>
  <c r="BP718" i="16" s="1"/>
  <c r="AB106" i="17" l="1"/>
  <c r="AF106" i="17" s="1"/>
  <c r="AG106" i="17" s="1"/>
  <c r="BG96" i="17"/>
  <c r="BI96" i="17"/>
  <c r="BK96" i="17"/>
  <c r="BL96" i="17" s="1"/>
  <c r="BM96" i="17" s="1"/>
  <c r="BJ96" i="17"/>
  <c r="AR105" i="17"/>
  <c r="U107" i="17"/>
  <c r="AC107" i="17" s="1"/>
  <c r="AQ105" i="17"/>
  <c r="N145" i="17"/>
  <c r="Q145" i="17"/>
  <c r="S145" i="17" s="1"/>
  <c r="E717" i="14"/>
  <c r="AD712" i="15"/>
  <c r="AJ116" i="15"/>
  <c r="BQ718" i="16"/>
  <c r="BD719" i="16"/>
  <c r="AH106" i="17" l="1"/>
  <c r="AS106" i="17" s="1"/>
  <c r="AL106" i="17"/>
  <c r="AY106" i="17" s="1"/>
  <c r="BO96" i="17"/>
  <c r="BP96" i="17" s="1"/>
  <c r="AL186" i="15" s="1"/>
  <c r="BN96" i="17"/>
  <c r="BC97" i="17"/>
  <c r="W107" i="17"/>
  <c r="AA107" i="17" s="1"/>
  <c r="AK107" i="17" s="1"/>
  <c r="AD107" i="17"/>
  <c r="O145" i="17"/>
  <c r="M146" i="17"/>
  <c r="BJ719" i="16"/>
  <c r="BK719" i="16"/>
  <c r="BE719" i="16"/>
  <c r="BF719" i="16" s="1"/>
  <c r="F717" i="14"/>
  <c r="H717" i="14" s="1"/>
  <c r="AM106" i="17" l="1"/>
  <c r="AN106" i="17" s="1"/>
  <c r="AO106" i="17" s="1"/>
  <c r="AT106" i="17"/>
  <c r="AW106" i="17" s="1"/>
  <c r="AX106" i="17" s="1"/>
  <c r="AZ106" i="17" s="1"/>
  <c r="AU106" i="17"/>
  <c r="AV106" i="17" s="1"/>
  <c r="BD97" i="17"/>
  <c r="BH97" i="17"/>
  <c r="BQ96" i="17"/>
  <c r="AF28" i="15"/>
  <c r="Y107" i="17"/>
  <c r="AB107" i="17" s="1"/>
  <c r="AE107" i="17"/>
  <c r="E146" i="17"/>
  <c r="L146" i="17" s="1"/>
  <c r="P146" i="17"/>
  <c r="BI719" i="16"/>
  <c r="BG719" i="16"/>
  <c r="BL719" i="16"/>
  <c r="BM719" i="16" s="1"/>
  <c r="BK97" i="17" l="1"/>
  <c r="BJ97" i="17"/>
  <c r="BE97" i="17"/>
  <c r="BF97" i="17" s="1"/>
  <c r="Z107" i="17"/>
  <c r="AP106" i="17"/>
  <c r="AR106" i="17" s="1"/>
  <c r="AF107" i="17"/>
  <c r="AG107" i="17" s="1"/>
  <c r="Q146" i="17"/>
  <c r="S146" i="17" s="1"/>
  <c r="N146" i="17"/>
  <c r="BC720" i="16"/>
  <c r="BH720" i="16" s="1"/>
  <c r="BN719" i="16"/>
  <c r="BO719" i="16"/>
  <c r="BP719" i="16" s="1"/>
  <c r="AH107" i="17" l="1"/>
  <c r="AS107" i="17" s="1"/>
  <c r="AL107" i="17"/>
  <c r="AY107" i="17" s="1"/>
  <c r="BL97" i="17"/>
  <c r="BM97" i="17" s="1"/>
  <c r="BG97" i="17"/>
  <c r="BI97" i="17"/>
  <c r="U108" i="17"/>
  <c r="AQ106" i="17"/>
  <c r="M147" i="17"/>
  <c r="E147" i="17" s="1"/>
  <c r="L147" i="17" s="1"/>
  <c r="O146" i="17"/>
  <c r="AD725" i="15"/>
  <c r="E718" i="14"/>
  <c r="AJ726" i="15"/>
  <c r="BQ719" i="16"/>
  <c r="BD720" i="16"/>
  <c r="AT107" i="17" l="1"/>
  <c r="AW107" i="17" s="1"/>
  <c r="AX107" i="17" s="1"/>
  <c r="AZ107" i="17" s="1"/>
  <c r="AU107" i="17"/>
  <c r="AV107" i="17" s="1"/>
  <c r="AM107" i="17"/>
  <c r="BO97" i="17"/>
  <c r="BP97" i="17" s="1"/>
  <c r="AL187" i="15" s="1"/>
  <c r="BN97" i="17"/>
  <c r="BC98" i="17"/>
  <c r="BH98" i="17" s="1"/>
  <c r="AC108" i="17"/>
  <c r="W108" i="17"/>
  <c r="N147" i="17"/>
  <c r="P147" i="17"/>
  <c r="F718" i="14"/>
  <c r="H718" i="14" s="1"/>
  <c r="BJ720" i="16"/>
  <c r="BK720" i="16"/>
  <c r="BE720" i="16"/>
  <c r="BF720" i="16" s="1"/>
  <c r="AN107" i="17" l="1"/>
  <c r="AO107" i="17" s="1"/>
  <c r="AP107" i="17" s="1"/>
  <c r="AQ107" i="17" s="1"/>
  <c r="BD98" i="17"/>
  <c r="BJ98" i="17" s="1"/>
  <c r="BQ97" i="17"/>
  <c r="AF33" i="15"/>
  <c r="AA108" i="17"/>
  <c r="AK108" i="17" s="1"/>
  <c r="Y108" i="17"/>
  <c r="AB108" i="17" s="1"/>
  <c r="AD108" i="17"/>
  <c r="AE108" i="17" s="1"/>
  <c r="Q147" i="17"/>
  <c r="S147" i="17" s="1"/>
  <c r="M148" i="17"/>
  <c r="E148" i="17" s="1"/>
  <c r="L148" i="17" s="1"/>
  <c r="O147" i="17"/>
  <c r="BI720" i="16"/>
  <c r="BG720" i="16"/>
  <c r="BL720" i="16"/>
  <c r="BM720" i="16" s="1"/>
  <c r="AR107" i="17" l="1"/>
  <c r="BE98" i="17"/>
  <c r="BF98" i="17" s="1"/>
  <c r="BI98" i="17" s="1"/>
  <c r="BK98" i="17"/>
  <c r="BL98" i="17" s="1"/>
  <c r="BM98" i="17" s="1"/>
  <c r="AF108" i="17"/>
  <c r="AG108" i="17" s="1"/>
  <c r="AL108" i="17" s="1"/>
  <c r="AY108" i="17" s="1"/>
  <c r="Z108" i="17"/>
  <c r="P148" i="17"/>
  <c r="N148" i="17"/>
  <c r="BC721" i="16"/>
  <c r="BN720" i="16"/>
  <c r="BO720" i="16"/>
  <c r="BP720" i="16" s="1"/>
  <c r="BG98" i="17" l="1"/>
  <c r="BC99" i="17" s="1"/>
  <c r="AH108" i="17"/>
  <c r="AS108" i="17" s="1"/>
  <c r="BO98" i="17"/>
  <c r="BP98" i="17" s="1"/>
  <c r="AL188" i="15" s="1"/>
  <c r="BN98" i="17"/>
  <c r="AM108" i="17"/>
  <c r="U109" i="17"/>
  <c r="AC109" i="17" s="1"/>
  <c r="Q148" i="17"/>
  <c r="S148" i="17" s="1"/>
  <c r="M149" i="17"/>
  <c r="O148" i="17"/>
  <c r="BH721" i="16"/>
  <c r="AJ727" i="15"/>
  <c r="BQ720" i="16"/>
  <c r="BD721" i="16"/>
  <c r="E719" i="14"/>
  <c r="AD731" i="15"/>
  <c r="AT108" i="17" l="1"/>
  <c r="AW108" i="17" s="1"/>
  <c r="AX108" i="17" s="1"/>
  <c r="AZ108" i="17" s="1"/>
  <c r="AU108" i="17"/>
  <c r="AV108" i="17" s="1"/>
  <c r="P149" i="17"/>
  <c r="Q149" i="17" s="1"/>
  <c r="S149" i="17" s="1"/>
  <c r="W109" i="17"/>
  <c r="AA109" i="17" s="1"/>
  <c r="AK109" i="17" s="1"/>
  <c r="BQ98" i="17"/>
  <c r="AF38" i="15"/>
  <c r="BD99" i="17"/>
  <c r="BH99" i="17"/>
  <c r="AD109" i="17"/>
  <c r="AN108" i="17"/>
  <c r="AO108" i="17" s="1"/>
  <c r="E149" i="17"/>
  <c r="L149" i="17" s="1"/>
  <c r="N149" i="17" s="1"/>
  <c r="M150" i="17" s="1"/>
  <c r="E150" i="17" s="1"/>
  <c r="L150" i="17" s="1"/>
  <c r="F719" i="14"/>
  <c r="H719" i="14" s="1"/>
  <c r="BJ721" i="16"/>
  <c r="BK721" i="16"/>
  <c r="BE721" i="16"/>
  <c r="BF721" i="16" s="1"/>
  <c r="O149" i="17" l="1"/>
  <c r="N150" i="17" s="1"/>
  <c r="Y109" i="17"/>
  <c r="AB109" i="17" s="1"/>
  <c r="BJ99" i="17"/>
  <c r="BK99" i="17"/>
  <c r="BL99" i="17" s="1"/>
  <c r="BM99" i="17" s="1"/>
  <c r="BE99" i="17"/>
  <c r="BF99" i="17" s="1"/>
  <c r="AP108" i="17"/>
  <c r="AQ108" i="17" s="1"/>
  <c r="AE109" i="17"/>
  <c r="P150" i="17"/>
  <c r="BI721" i="16"/>
  <c r="BG721" i="16"/>
  <c r="BL721" i="16"/>
  <c r="BM721" i="16" s="1"/>
  <c r="AF109" i="17" l="1"/>
  <c r="AG109" i="17" s="1"/>
  <c r="Z109" i="17"/>
  <c r="U110" i="17" s="1"/>
  <c r="AC110" i="17" s="1"/>
  <c r="AR108" i="17"/>
  <c r="BG99" i="17"/>
  <c r="BI99" i="17"/>
  <c r="O150" i="17"/>
  <c r="M151" i="17"/>
  <c r="E151" i="17" s="1"/>
  <c r="L151" i="17" s="1"/>
  <c r="Q150" i="17"/>
  <c r="S150" i="17" s="1"/>
  <c r="BC722" i="16"/>
  <c r="BO721" i="16"/>
  <c r="BP721" i="16" s="1"/>
  <c r="BN721" i="16"/>
  <c r="N151" i="17" l="1"/>
  <c r="M152" i="17" s="1"/>
  <c r="AH109" i="17"/>
  <c r="AS109" i="17" s="1"/>
  <c r="AL109" i="17"/>
  <c r="AY109" i="17" s="1"/>
  <c r="BC100" i="17"/>
  <c r="BH100" i="17" s="1"/>
  <c r="BO99" i="17"/>
  <c r="BP99" i="17" s="1"/>
  <c r="AL189" i="15" s="1"/>
  <c r="BN99" i="17"/>
  <c r="AD110" i="17"/>
  <c r="P151" i="17"/>
  <c r="Q151" i="17" s="1"/>
  <c r="S151" i="17" s="1"/>
  <c r="W110" i="17"/>
  <c r="AA110" i="17" s="1"/>
  <c r="AK110" i="17" s="1"/>
  <c r="BH722" i="16"/>
  <c r="E720" i="14"/>
  <c r="AD620" i="15"/>
  <c r="BD722" i="16"/>
  <c r="AJ84" i="15"/>
  <c r="BQ721" i="16"/>
  <c r="O151" i="17" l="1"/>
  <c r="AM109" i="17"/>
  <c r="AN109" i="17" s="1"/>
  <c r="AT109" i="17"/>
  <c r="AW109" i="17" s="1"/>
  <c r="AX109" i="17" s="1"/>
  <c r="AZ109" i="17" s="1"/>
  <c r="AU109" i="17"/>
  <c r="AV109" i="17" s="1"/>
  <c r="BQ99" i="17"/>
  <c r="AF41" i="15"/>
  <c r="BD100" i="17"/>
  <c r="AE110" i="17"/>
  <c r="Y110" i="17"/>
  <c r="AB110" i="17" s="1"/>
  <c r="E152" i="17"/>
  <c r="L152" i="17" s="1"/>
  <c r="P152" i="17"/>
  <c r="BJ722" i="16"/>
  <c r="BK722" i="16"/>
  <c r="BE722" i="16"/>
  <c r="BF722" i="16" s="1"/>
  <c r="F720" i="14"/>
  <c r="H720" i="14" s="1"/>
  <c r="AO109" i="17" l="1"/>
  <c r="BK100" i="17"/>
  <c r="BL100" i="17" s="1"/>
  <c r="BM100" i="17" s="1"/>
  <c r="BJ100" i="17"/>
  <c r="BE100" i="17"/>
  <c r="BF100" i="17" s="1"/>
  <c r="AF110" i="17"/>
  <c r="AG110" i="17" s="1"/>
  <c r="Z110" i="17"/>
  <c r="Q152" i="17"/>
  <c r="S152" i="17" s="1"/>
  <c r="N152" i="17"/>
  <c r="BI722" i="16"/>
  <c r="BG722" i="16"/>
  <c r="BL722" i="16"/>
  <c r="BM722" i="16" s="1"/>
  <c r="AH110" i="17" l="1"/>
  <c r="AS110" i="17" s="1"/>
  <c r="AL110" i="17"/>
  <c r="AY110" i="17" s="1"/>
  <c r="AP109" i="17"/>
  <c r="AR109" i="17" s="1"/>
  <c r="BG100" i="17"/>
  <c r="BI100" i="17"/>
  <c r="U111" i="17"/>
  <c r="AC111" i="17" s="1"/>
  <c r="O152" i="17"/>
  <c r="M153" i="17"/>
  <c r="E153" i="17" s="1"/>
  <c r="L153" i="17" s="1"/>
  <c r="BC723" i="16"/>
  <c r="BH723" i="16" s="1"/>
  <c r="BO722" i="16"/>
  <c r="BP722" i="16" s="1"/>
  <c r="BN722" i="16"/>
  <c r="AT110" i="17" l="1"/>
  <c r="AW110" i="17" s="1"/>
  <c r="AX110" i="17" s="1"/>
  <c r="AZ110" i="17" s="1"/>
  <c r="AU110" i="17"/>
  <c r="AV110" i="17" s="1"/>
  <c r="AM110" i="17"/>
  <c r="AN110" i="17" s="1"/>
  <c r="AQ109" i="17"/>
  <c r="BO100" i="17"/>
  <c r="BP100" i="17" s="1"/>
  <c r="AL190" i="15" s="1"/>
  <c r="BN100" i="17"/>
  <c r="BC101" i="17"/>
  <c r="W111" i="17"/>
  <c r="Y111" i="17" s="1"/>
  <c r="AB111" i="17" s="1"/>
  <c r="AD111" i="17"/>
  <c r="N153" i="17"/>
  <c r="P153" i="17"/>
  <c r="AJ728" i="15"/>
  <c r="BQ722" i="16"/>
  <c r="AD634" i="15"/>
  <c r="E721" i="14"/>
  <c r="BD723" i="16"/>
  <c r="AO110" i="17" l="1"/>
  <c r="AP110" i="17" s="1"/>
  <c r="BD101" i="17"/>
  <c r="BH101" i="17"/>
  <c r="BQ100" i="17"/>
  <c r="AF44" i="15"/>
  <c r="AE111" i="17"/>
  <c r="AA111" i="17"/>
  <c r="AK111" i="17" s="1"/>
  <c r="Z111" i="17"/>
  <c r="Q153" i="17"/>
  <c r="S153" i="17" s="1"/>
  <c r="M154" i="17"/>
  <c r="O153" i="17"/>
  <c r="BJ723" i="16"/>
  <c r="BK723" i="16"/>
  <c r="BE723" i="16"/>
  <c r="BF723" i="16" s="1"/>
  <c r="F721" i="14"/>
  <c r="H721" i="14" s="1"/>
  <c r="P154" i="17" l="1"/>
  <c r="Q154" i="17" s="1"/>
  <c r="S154" i="17" s="1"/>
  <c r="BK101" i="17"/>
  <c r="BL101" i="17" s="1"/>
  <c r="BM101" i="17" s="1"/>
  <c r="BJ101" i="17"/>
  <c r="BE101" i="17"/>
  <c r="BF101" i="17" s="1"/>
  <c r="AF111" i="17"/>
  <c r="AG111" i="17" s="1"/>
  <c r="AR110" i="17"/>
  <c r="U112" i="17"/>
  <c r="AC112" i="17" s="1"/>
  <c r="AQ110" i="17"/>
  <c r="E154" i="17"/>
  <c r="L154" i="17" s="1"/>
  <c r="BI723" i="16"/>
  <c r="BG723" i="16"/>
  <c r="BL723" i="16"/>
  <c r="BM723" i="16" s="1"/>
  <c r="AH111" i="17" l="1"/>
  <c r="AS111" i="17" s="1"/>
  <c r="AL111" i="17"/>
  <c r="AY111" i="17" s="1"/>
  <c r="BG101" i="17"/>
  <c r="BI101" i="17"/>
  <c r="W112" i="17"/>
  <c r="AA112" i="17" s="1"/>
  <c r="AK112" i="17" s="1"/>
  <c r="AD112" i="17"/>
  <c r="N154" i="17"/>
  <c r="BC724" i="16"/>
  <c r="BH724" i="16" s="1"/>
  <c r="BO723" i="16"/>
  <c r="BP723" i="16" s="1"/>
  <c r="BN723" i="16"/>
  <c r="AT111" i="17" l="1"/>
  <c r="AW111" i="17" s="1"/>
  <c r="AX111" i="17" s="1"/>
  <c r="AZ111" i="17" s="1"/>
  <c r="AU111" i="17"/>
  <c r="AV111" i="17" s="1"/>
  <c r="AM111" i="17"/>
  <c r="AN111" i="17" s="1"/>
  <c r="Y112" i="17"/>
  <c r="AB112" i="17" s="1"/>
  <c r="BO101" i="17"/>
  <c r="BP101" i="17" s="1"/>
  <c r="AL191" i="15" s="1"/>
  <c r="BN101" i="17"/>
  <c r="BC102" i="17"/>
  <c r="BH102" i="17" s="1"/>
  <c r="AE112" i="17"/>
  <c r="O154" i="17"/>
  <c r="M155" i="17"/>
  <c r="E155" i="17" s="1"/>
  <c r="L155" i="17" s="1"/>
  <c r="AJ729" i="15"/>
  <c r="BQ723" i="16"/>
  <c r="E722" i="14"/>
  <c r="AD683" i="15"/>
  <c r="BD724" i="16"/>
  <c r="AO111" i="17" l="1"/>
  <c r="AP111" i="17" s="1"/>
  <c r="AR111" i="17" s="1"/>
  <c r="Z112" i="17"/>
  <c r="U113" i="17" s="1"/>
  <c r="AC113" i="17" s="1"/>
  <c r="BQ101" i="17"/>
  <c r="AF47" i="15"/>
  <c r="BD102" i="17"/>
  <c r="AF112" i="17"/>
  <c r="AG112" i="17" s="1"/>
  <c r="N155" i="17"/>
  <c r="P155" i="17"/>
  <c r="BJ724" i="16"/>
  <c r="BK724" i="16"/>
  <c r="BE724" i="16"/>
  <c r="BF724" i="16" s="1"/>
  <c r="F722" i="14"/>
  <c r="H722" i="14" s="1"/>
  <c r="AQ111" i="17" l="1"/>
  <c r="AH112" i="17"/>
  <c r="AS112" i="17" s="1"/>
  <c r="AL112" i="17"/>
  <c r="AY112" i="17" s="1"/>
  <c r="W113" i="17"/>
  <c r="AA113" i="17" s="1"/>
  <c r="AK113" i="17" s="1"/>
  <c r="BK102" i="17"/>
  <c r="BL102" i="17" s="1"/>
  <c r="BM102" i="17" s="1"/>
  <c r="BJ102" i="17"/>
  <c r="BE102" i="17"/>
  <c r="BF102" i="17" s="1"/>
  <c r="AD113" i="17"/>
  <c r="Q155" i="17"/>
  <c r="S155" i="17" s="1"/>
  <c r="O155" i="17"/>
  <c r="M156" i="17"/>
  <c r="BI724" i="16"/>
  <c r="BG724" i="16"/>
  <c r="BL724" i="16"/>
  <c r="BM724" i="16" s="1"/>
  <c r="Y113" i="17" l="1"/>
  <c r="AB113" i="17" s="1"/>
  <c r="AT112" i="17"/>
  <c r="AW112" i="17" s="1"/>
  <c r="AX112" i="17" s="1"/>
  <c r="AZ112" i="17" s="1"/>
  <c r="AU112" i="17"/>
  <c r="AV112" i="17" s="1"/>
  <c r="AM112" i="17"/>
  <c r="AN112" i="17" s="1"/>
  <c r="AO112" i="17" s="1"/>
  <c r="AP112" i="17" s="1"/>
  <c r="AR112" i="17" s="1"/>
  <c r="P156" i="17"/>
  <c r="Q156" i="17" s="1"/>
  <c r="S156" i="17" s="1"/>
  <c r="BG102" i="17"/>
  <c r="BI102" i="17"/>
  <c r="AE113" i="17"/>
  <c r="E156" i="17"/>
  <c r="L156" i="17" s="1"/>
  <c r="N156" i="17" s="1"/>
  <c r="BC725" i="16"/>
  <c r="BH725" i="16" s="1"/>
  <c r="BN724" i="16"/>
  <c r="BO724" i="16"/>
  <c r="BP724" i="16" s="1"/>
  <c r="Z113" i="17" l="1"/>
  <c r="U114" i="17" s="1"/>
  <c r="AC114" i="17" s="1"/>
  <c r="AD114" i="17" s="1"/>
  <c r="AQ112" i="17"/>
  <c r="BO102" i="17"/>
  <c r="BP102" i="17" s="1"/>
  <c r="AL192" i="15" s="1"/>
  <c r="BN102" i="17"/>
  <c r="BC103" i="17"/>
  <c r="BH103" i="17" s="1"/>
  <c r="AF113" i="17"/>
  <c r="AG113" i="17" s="1"/>
  <c r="O156" i="17"/>
  <c r="M157" i="17"/>
  <c r="E157" i="17" s="1"/>
  <c r="L157" i="17" s="1"/>
  <c r="BD725" i="16"/>
  <c r="BE725" i="16" s="1"/>
  <c r="BF725" i="16" s="1"/>
  <c r="AJ49" i="15"/>
  <c r="BQ724" i="16"/>
  <c r="E723" i="14"/>
  <c r="AD417" i="15"/>
  <c r="W114" i="17" l="1"/>
  <c r="AA114" i="17" s="1"/>
  <c r="AK114" i="17" s="1"/>
  <c r="AH113" i="17"/>
  <c r="AS113" i="17" s="1"/>
  <c r="AL113" i="17"/>
  <c r="AY113" i="17" s="1"/>
  <c r="BQ102" i="17"/>
  <c r="AF49" i="15"/>
  <c r="BD103" i="17"/>
  <c r="AE114" i="17"/>
  <c r="N157" i="17"/>
  <c r="P157" i="17"/>
  <c r="BI725" i="16"/>
  <c r="BG725" i="16"/>
  <c r="F723" i="14"/>
  <c r="H723" i="14" s="1"/>
  <c r="BJ725" i="16"/>
  <c r="BK725" i="16"/>
  <c r="Y114" i="17" l="1"/>
  <c r="AB114" i="17" s="1"/>
  <c r="AM113" i="17"/>
  <c r="AT113" i="17"/>
  <c r="AW113" i="17" s="1"/>
  <c r="AU113" i="17"/>
  <c r="AV113" i="17" s="1"/>
  <c r="BK103" i="17"/>
  <c r="BL103" i="17" s="1"/>
  <c r="BM103" i="17" s="1"/>
  <c r="BJ103" i="17"/>
  <c r="BE103" i="17"/>
  <c r="BF103" i="17" s="1"/>
  <c r="Q157" i="17"/>
  <c r="S157" i="17" s="1"/>
  <c r="O157" i="17"/>
  <c r="M158" i="17"/>
  <c r="BL725" i="16"/>
  <c r="BM725" i="16" s="1"/>
  <c r="BC726" i="16"/>
  <c r="BH726" i="16" s="1"/>
  <c r="BO725" i="16"/>
  <c r="BP725" i="16" s="1"/>
  <c r="Z114" i="17" l="1"/>
  <c r="U115" i="17" s="1"/>
  <c r="AC115" i="17" s="1"/>
  <c r="AX113" i="17"/>
  <c r="AZ113" i="17" s="1"/>
  <c r="AN113" i="17"/>
  <c r="BG103" i="17"/>
  <c r="BI103" i="17"/>
  <c r="AF114" i="17"/>
  <c r="AG114" i="17" s="1"/>
  <c r="BN725" i="16"/>
  <c r="AD456" i="15" s="1"/>
  <c r="P158" i="17"/>
  <c r="E158" i="17"/>
  <c r="L158" i="17" s="1"/>
  <c r="BD726" i="16"/>
  <c r="BE726" i="16" s="1"/>
  <c r="BF726" i="16" s="1"/>
  <c r="AJ730" i="15"/>
  <c r="AH114" i="17" l="1"/>
  <c r="AS114" i="17" s="1"/>
  <c r="AL114" i="17"/>
  <c r="AY114" i="17" s="1"/>
  <c r="AO113" i="17"/>
  <c r="W115" i="17"/>
  <c r="AA115" i="17" s="1"/>
  <c r="AK115" i="17" s="1"/>
  <c r="BC104" i="17"/>
  <c r="BD104" i="17" s="1"/>
  <c r="BO103" i="17"/>
  <c r="BP103" i="17" s="1"/>
  <c r="AL193" i="15" s="1"/>
  <c r="BN103" i="17"/>
  <c r="AD115" i="17"/>
  <c r="E724" i="14"/>
  <c r="F724" i="14" s="1"/>
  <c r="H724" i="14" s="1"/>
  <c r="BQ725" i="16"/>
  <c r="N158" i="17"/>
  <c r="Q158" i="17"/>
  <c r="S158" i="17" s="1"/>
  <c r="BI726" i="16"/>
  <c r="BG726" i="16"/>
  <c r="BJ726" i="16"/>
  <c r="BK726" i="16"/>
  <c r="Y115" i="17" l="1"/>
  <c r="AB115" i="17" s="1"/>
  <c r="AM114" i="17"/>
  <c r="AN114" i="17" s="1"/>
  <c r="AT114" i="17"/>
  <c r="AW114" i="17" s="1"/>
  <c r="AX114" i="17" s="1"/>
  <c r="AZ114" i="17" s="1"/>
  <c r="AU114" i="17"/>
  <c r="AV114" i="17" s="1"/>
  <c r="AP113" i="17"/>
  <c r="AR113" i="17" s="1"/>
  <c r="BK104" i="17"/>
  <c r="BL104" i="17" s="1"/>
  <c r="BM104" i="17" s="1"/>
  <c r="BJ104" i="17"/>
  <c r="BQ103" i="17"/>
  <c r="AF50" i="15"/>
  <c r="BE104" i="17"/>
  <c r="BF104" i="17" s="1"/>
  <c r="BH104" i="17"/>
  <c r="AE115" i="17"/>
  <c r="M159" i="17"/>
  <c r="O158" i="17"/>
  <c r="BL726" i="16"/>
  <c r="BM726" i="16" s="1"/>
  <c r="BC727" i="16"/>
  <c r="BH727" i="16" s="1"/>
  <c r="BO726" i="16"/>
  <c r="BP726" i="16" s="1"/>
  <c r="Z115" i="17" l="1"/>
  <c r="U116" i="17" s="1"/>
  <c r="AC116" i="17" s="1"/>
  <c r="AD116" i="17" s="1"/>
  <c r="AQ113" i="17"/>
  <c r="BG104" i="17"/>
  <c r="BI104" i="17"/>
  <c r="AO114" i="17"/>
  <c r="AF115" i="17"/>
  <c r="AG115" i="17" s="1"/>
  <c r="BD727" i="16"/>
  <c r="BJ727" i="16" s="1"/>
  <c r="BN726" i="16"/>
  <c r="BQ726" i="16" s="1"/>
  <c r="P159" i="17"/>
  <c r="E159" i="17"/>
  <c r="L159" i="17" s="1"/>
  <c r="AJ731" i="15"/>
  <c r="W116" i="17" l="1"/>
  <c r="AA116" i="17" s="1"/>
  <c r="AK116" i="17" s="1"/>
  <c r="AH115" i="17"/>
  <c r="AS115" i="17" s="1"/>
  <c r="AL115" i="17"/>
  <c r="AY115" i="17" s="1"/>
  <c r="BO104" i="17"/>
  <c r="BP104" i="17" s="1"/>
  <c r="AL194" i="15" s="1"/>
  <c r="BN104" i="17"/>
  <c r="BC105" i="17"/>
  <c r="BK727" i="16"/>
  <c r="BL727" i="16" s="1"/>
  <c r="BM727" i="16" s="1"/>
  <c r="BE727" i="16"/>
  <c r="BF727" i="16" s="1"/>
  <c r="BI727" i="16" s="1"/>
  <c r="AD505" i="15"/>
  <c r="AE116" i="17"/>
  <c r="AP114" i="17"/>
  <c r="AQ114" i="17" s="1"/>
  <c r="E725" i="14"/>
  <c r="F725" i="14" s="1"/>
  <c r="H725" i="14" s="1"/>
  <c r="N159" i="17"/>
  <c r="Q159" i="17"/>
  <c r="S159" i="17" s="1"/>
  <c r="Y116" i="17" l="1"/>
  <c r="AB116" i="17" s="1"/>
  <c r="AF116" i="17" s="1"/>
  <c r="AG116" i="17" s="1"/>
  <c r="AL116" i="17" s="1"/>
  <c r="AY116" i="17" s="1"/>
  <c r="AM115" i="17"/>
  <c r="AT115" i="17"/>
  <c r="AW115" i="17" s="1"/>
  <c r="AU115" i="17"/>
  <c r="AV115" i="17" s="1"/>
  <c r="BG727" i="16"/>
  <c r="BC728" i="16" s="1"/>
  <c r="BH728" i="16" s="1"/>
  <c r="BQ104" i="17"/>
  <c r="AF52" i="15"/>
  <c r="BD105" i="17"/>
  <c r="BH105" i="17"/>
  <c r="AR114" i="17"/>
  <c r="O159" i="17"/>
  <c r="M160" i="17"/>
  <c r="E160" i="17" s="1"/>
  <c r="L160" i="17" s="1"/>
  <c r="BO727" i="16"/>
  <c r="BP727" i="16" s="1"/>
  <c r="BN727" i="16"/>
  <c r="Z116" i="17" l="1"/>
  <c r="U117" i="17" s="1"/>
  <c r="AC117" i="17" s="1"/>
  <c r="AD117" i="17" s="1"/>
  <c r="AM116" i="17"/>
  <c r="AN116" i="17" s="1"/>
  <c r="AO116" i="17" s="1"/>
  <c r="AH116" i="17"/>
  <c r="AS116" i="17" s="1"/>
  <c r="AT116" i="17" s="1"/>
  <c r="AX115" i="17"/>
  <c r="AZ115" i="17" s="1"/>
  <c r="AN115" i="17"/>
  <c r="AO115" i="17" s="1"/>
  <c r="AP115" i="17" s="1"/>
  <c r="AR115" i="17" s="1"/>
  <c r="BK105" i="17"/>
  <c r="BL105" i="17" s="1"/>
  <c r="BM105" i="17" s="1"/>
  <c r="BJ105" i="17"/>
  <c r="BE105" i="17"/>
  <c r="BF105" i="17" s="1"/>
  <c r="N160" i="17"/>
  <c r="P160" i="17"/>
  <c r="BD728" i="16"/>
  <c r="BE728" i="16" s="1"/>
  <c r="E726" i="14"/>
  <c r="AD345" i="15"/>
  <c r="AJ55" i="15"/>
  <c r="BQ727" i="16"/>
  <c r="W117" i="17" l="1"/>
  <c r="AA117" i="17" s="1"/>
  <c r="AK117" i="17" s="1"/>
  <c r="AW116" i="17"/>
  <c r="AX116" i="17" s="1"/>
  <c r="AZ116" i="17" s="1"/>
  <c r="AQ115" i="17"/>
  <c r="AU116" i="17"/>
  <c r="AV116" i="17" s="1"/>
  <c r="BG105" i="17"/>
  <c r="BI105" i="17"/>
  <c r="AE117" i="17"/>
  <c r="AP116" i="17"/>
  <c r="BF728" i="16"/>
  <c r="BI728" i="16" s="1"/>
  <c r="M161" i="17"/>
  <c r="E161" i="17" s="1"/>
  <c r="L161" i="17" s="1"/>
  <c r="O160" i="17"/>
  <c r="Q160" i="17"/>
  <c r="S160" i="17" s="1"/>
  <c r="F726" i="14"/>
  <c r="H726" i="14" s="1"/>
  <c r="BJ728" i="16"/>
  <c r="BK728" i="16"/>
  <c r="Y117" i="17" l="1"/>
  <c r="AB117" i="17" s="1"/>
  <c r="AF117" i="17" s="1"/>
  <c r="AG117" i="17" s="1"/>
  <c r="BO105" i="17"/>
  <c r="BP105" i="17" s="1"/>
  <c r="AL195" i="15" s="1"/>
  <c r="BN105" i="17"/>
  <c r="BC106" i="17"/>
  <c r="BH106" i="17" s="1"/>
  <c r="AR116" i="17"/>
  <c r="AQ116" i="17"/>
  <c r="P161" i="17"/>
  <c r="Q161" i="17" s="1"/>
  <c r="S161" i="17" s="1"/>
  <c r="BG728" i="16"/>
  <c r="BC729" i="16" s="1"/>
  <c r="BH729" i="16" s="1"/>
  <c r="N161" i="17"/>
  <c r="BL728" i="16"/>
  <c r="BM728" i="16" s="1"/>
  <c r="BO728" i="16"/>
  <c r="BP728" i="16" s="1"/>
  <c r="Z117" i="17" l="1"/>
  <c r="U118" i="17" s="1"/>
  <c r="AC118" i="17" s="1"/>
  <c r="AD118" i="17" s="1"/>
  <c r="AE118" i="17" s="1"/>
  <c r="AH117" i="17"/>
  <c r="AS117" i="17" s="1"/>
  <c r="AL117" i="17"/>
  <c r="AY117" i="17" s="1"/>
  <c r="BD106" i="17"/>
  <c r="BK106" i="17" s="1"/>
  <c r="BL106" i="17" s="1"/>
  <c r="BM106" i="17" s="1"/>
  <c r="BQ105" i="17"/>
  <c r="AF57" i="15"/>
  <c r="BN728" i="16"/>
  <c r="E727" i="14" s="1"/>
  <c r="O161" i="17"/>
  <c r="M162" i="17"/>
  <c r="E162" i="17" s="1"/>
  <c r="L162" i="17" s="1"/>
  <c r="AJ732" i="15"/>
  <c r="BD729" i="16"/>
  <c r="W118" i="17" l="1"/>
  <c r="AA118" i="17" s="1"/>
  <c r="AK118" i="17" s="1"/>
  <c r="AM117" i="17"/>
  <c r="AN117" i="17" s="1"/>
  <c r="AO117" i="17" s="1"/>
  <c r="AT117" i="17"/>
  <c r="AW117" i="17" s="1"/>
  <c r="AU117" i="17"/>
  <c r="AV117" i="17" s="1"/>
  <c r="BE106" i="17"/>
  <c r="BF106" i="17" s="1"/>
  <c r="BG106" i="17" s="1"/>
  <c r="BJ106" i="17"/>
  <c r="AD357" i="15"/>
  <c r="BQ728" i="16"/>
  <c r="N162" i="17"/>
  <c r="P162" i="17"/>
  <c r="BJ729" i="16"/>
  <c r="BK729" i="16"/>
  <c r="BE729" i="16"/>
  <c r="BF729" i="16" s="1"/>
  <c r="F727" i="14"/>
  <c r="H727" i="14" s="1"/>
  <c r="Y118" i="17" l="1"/>
  <c r="AB118" i="17" s="1"/>
  <c r="AF118" i="17" s="1"/>
  <c r="AG118" i="17" s="1"/>
  <c r="AH118" i="17" s="1"/>
  <c r="AS118" i="17" s="1"/>
  <c r="AT118" i="17" s="1"/>
  <c r="BI106" i="17"/>
  <c r="BO106" i="17" s="1"/>
  <c r="BP106" i="17" s="1"/>
  <c r="AL196" i="15" s="1"/>
  <c r="AP117" i="17"/>
  <c r="AQ117" i="17" s="1"/>
  <c r="AX117" i="17"/>
  <c r="AZ117" i="17" s="1"/>
  <c r="BC107" i="17"/>
  <c r="M163" i="17"/>
  <c r="O162" i="17"/>
  <c r="Q162" i="17"/>
  <c r="S162" i="17" s="1"/>
  <c r="BI729" i="16"/>
  <c r="BG729" i="16"/>
  <c r="BL729" i="16"/>
  <c r="BM729" i="16" s="1"/>
  <c r="AU118" i="17" l="1"/>
  <c r="AV118" i="17" s="1"/>
  <c r="AL118" i="17"/>
  <c r="AY118" i="17" s="1"/>
  <c r="Z118" i="17"/>
  <c r="U119" i="17" s="1"/>
  <c r="AC119" i="17" s="1"/>
  <c r="AD119" i="17" s="1"/>
  <c r="AE119" i="17" s="1"/>
  <c r="AM118" i="17"/>
  <c r="AN118" i="17" s="1"/>
  <c r="AO118" i="17" s="1"/>
  <c r="AP118" i="17" s="1"/>
  <c r="BN106" i="17"/>
  <c r="BQ106" i="17" s="1"/>
  <c r="AW118" i="17"/>
  <c r="AX118" i="17" s="1"/>
  <c r="AZ118" i="17" s="1"/>
  <c r="AR117" i="17"/>
  <c r="BD107" i="17"/>
  <c r="BH107" i="17"/>
  <c r="E163" i="17"/>
  <c r="L163" i="17" s="1"/>
  <c r="P163" i="17"/>
  <c r="BC730" i="16"/>
  <c r="BH730" i="16" s="1"/>
  <c r="BO729" i="16"/>
  <c r="BP729" i="16" s="1"/>
  <c r="BN729" i="16"/>
  <c r="W119" i="17" l="1"/>
  <c r="AA119" i="17" s="1"/>
  <c r="AK119" i="17" s="1"/>
  <c r="AR118" i="17"/>
  <c r="AQ118" i="17"/>
  <c r="AF61" i="15"/>
  <c r="BK107" i="17"/>
  <c r="BL107" i="17" s="1"/>
  <c r="BM107" i="17" s="1"/>
  <c r="BJ107" i="17"/>
  <c r="BE107" i="17"/>
  <c r="BF107" i="17" s="1"/>
  <c r="BD730" i="16"/>
  <c r="BJ730" i="16" s="1"/>
  <c r="Q163" i="17"/>
  <c r="S163" i="17" s="1"/>
  <c r="N163" i="17"/>
  <c r="E728" i="14"/>
  <c r="AD396" i="15"/>
  <c r="AJ733" i="15"/>
  <c r="BQ729" i="16"/>
  <c r="Y119" i="17" l="1"/>
  <c r="BG107" i="17"/>
  <c r="BI107" i="17"/>
  <c r="BE730" i="16"/>
  <c r="BF730" i="16" s="1"/>
  <c r="BK730" i="16"/>
  <c r="BL730" i="16" s="1"/>
  <c r="BM730" i="16" s="1"/>
  <c r="O163" i="17"/>
  <c r="M164" i="17"/>
  <c r="E164" i="17" s="1"/>
  <c r="L164" i="17" s="1"/>
  <c r="F728" i="14"/>
  <c r="H728" i="14" s="1"/>
  <c r="AB119" i="17" l="1"/>
  <c r="AF119" i="17" s="1"/>
  <c r="AG119" i="17" s="1"/>
  <c r="Z119" i="17"/>
  <c r="BO107" i="17"/>
  <c r="BP107" i="17" s="1"/>
  <c r="AL197" i="15" s="1"/>
  <c r="BN107" i="17"/>
  <c r="BC108" i="17"/>
  <c r="BH108" i="17" s="1"/>
  <c r="BI730" i="16"/>
  <c r="BN730" i="16" s="1"/>
  <c r="BG730" i="16"/>
  <c r="BC731" i="16" s="1"/>
  <c r="BH731" i="16" s="1"/>
  <c r="N164" i="17"/>
  <c r="P164" i="17"/>
  <c r="U120" i="17" l="1"/>
  <c r="W120" i="17" s="1"/>
  <c r="AA120" i="17" s="1"/>
  <c r="AK120" i="17" s="1"/>
  <c r="AL119" i="17"/>
  <c r="AY119" i="17" s="1"/>
  <c r="AH119" i="17"/>
  <c r="AS119" i="17" s="1"/>
  <c r="AM119" i="17"/>
  <c r="BQ107" i="17"/>
  <c r="AF69" i="15"/>
  <c r="BD108" i="17"/>
  <c r="BE108" i="17" s="1"/>
  <c r="BF108" i="17" s="1"/>
  <c r="BO730" i="16"/>
  <c r="BP730" i="16" s="1"/>
  <c r="BQ730" i="16" s="1"/>
  <c r="BD731" i="16"/>
  <c r="BE731" i="16" s="1"/>
  <c r="Q164" i="17"/>
  <c r="S164" i="17" s="1"/>
  <c r="O164" i="17"/>
  <c r="M165" i="17"/>
  <c r="E729" i="14"/>
  <c r="AD205" i="15"/>
  <c r="AN119" i="17" l="1"/>
  <c r="AO119" i="17" s="1"/>
  <c r="AT119" i="17"/>
  <c r="AW119" i="17" s="1"/>
  <c r="AX119" i="17" s="1"/>
  <c r="AZ119" i="17" s="1"/>
  <c r="AU119" i="17"/>
  <c r="AV119" i="17" s="1"/>
  <c r="AC120" i="17"/>
  <c r="AD120" i="17" s="1"/>
  <c r="AE120" i="17" s="1"/>
  <c r="Y120" i="17"/>
  <c r="AJ36" i="15"/>
  <c r="BK108" i="17"/>
  <c r="BJ108" i="17"/>
  <c r="BG108" i="17"/>
  <c r="BI108" i="17"/>
  <c r="P165" i="17"/>
  <c r="Q165" i="17" s="1"/>
  <c r="S165" i="17" s="1"/>
  <c r="BK731" i="16"/>
  <c r="BL731" i="16" s="1"/>
  <c r="BM731" i="16" s="1"/>
  <c r="BF731" i="16"/>
  <c r="BG731" i="16" s="1"/>
  <c r="BJ731" i="16"/>
  <c r="E165" i="17"/>
  <c r="L165" i="17" s="1"/>
  <c r="F729" i="14"/>
  <c r="H729" i="14" s="1"/>
  <c r="AP119" i="17" l="1"/>
  <c r="AR119" i="17" s="1"/>
  <c r="AB120" i="17"/>
  <c r="AF120" i="17" s="1"/>
  <c r="AG120" i="17" s="1"/>
  <c r="Z120" i="17"/>
  <c r="U121" i="17" s="1"/>
  <c r="AC121" i="17" s="1"/>
  <c r="AD121" i="17" s="1"/>
  <c r="AE121" i="17" s="1"/>
  <c r="AH120" i="17"/>
  <c r="AS120" i="17" s="1"/>
  <c r="AL120" i="17"/>
  <c r="BO108" i="17"/>
  <c r="BP108" i="17" s="1"/>
  <c r="AL122" i="15" s="1"/>
  <c r="BC109" i="17"/>
  <c r="BL108" i="17"/>
  <c r="BM108" i="17" s="1"/>
  <c r="BI731" i="16"/>
  <c r="BO731" i="16" s="1"/>
  <c r="BP731" i="16" s="1"/>
  <c r="N165" i="17"/>
  <c r="BC732" i="16"/>
  <c r="BH732" i="16" s="1"/>
  <c r="AQ119" i="17" l="1"/>
  <c r="W121" i="17"/>
  <c r="AY120" i="17"/>
  <c r="AM120" i="17"/>
  <c r="AT120" i="17"/>
  <c r="AW120" i="17" s="1"/>
  <c r="AX120" i="17" s="1"/>
  <c r="AZ120" i="17" s="1"/>
  <c r="AU120" i="17"/>
  <c r="AV120" i="17" s="1"/>
  <c r="BN731" i="16"/>
  <c r="E730" i="14" s="1"/>
  <c r="BD109" i="17"/>
  <c r="BH109" i="17"/>
  <c r="BN108" i="17"/>
  <c r="AA121" i="17"/>
  <c r="AK121" i="17" s="1"/>
  <c r="Y121" i="17"/>
  <c r="AB121" i="17" s="1"/>
  <c r="M166" i="17"/>
  <c r="E166" i="17" s="1"/>
  <c r="L166" i="17" s="1"/>
  <c r="O165" i="17"/>
  <c r="BD732" i="16"/>
  <c r="BE732" i="16" s="1"/>
  <c r="AJ123" i="15"/>
  <c r="BQ731" i="16" l="1"/>
  <c r="AD208" i="15"/>
  <c r="AN120" i="17"/>
  <c r="BQ108" i="17"/>
  <c r="AF56" i="15"/>
  <c r="BJ109" i="17"/>
  <c r="BE109" i="17"/>
  <c r="BF109" i="17" s="1"/>
  <c r="BK109" i="17"/>
  <c r="BL109" i="17" s="1"/>
  <c r="BM109" i="17" s="1"/>
  <c r="Z121" i="17"/>
  <c r="AF121" i="17"/>
  <c r="AG121" i="17" s="1"/>
  <c r="N166" i="17"/>
  <c r="P166" i="17"/>
  <c r="F730" i="14"/>
  <c r="H730" i="14" s="1"/>
  <c r="BJ732" i="16"/>
  <c r="BK732" i="16"/>
  <c r="BF732" i="16"/>
  <c r="AH121" i="17" l="1"/>
  <c r="AS121" i="17" s="1"/>
  <c r="AL121" i="17"/>
  <c r="AY121" i="17" s="1"/>
  <c r="AO120" i="17"/>
  <c r="BG109" i="17"/>
  <c r="BI109" i="17"/>
  <c r="U122" i="17"/>
  <c r="AC122" i="17" s="1"/>
  <c r="Q166" i="17"/>
  <c r="S166" i="17" s="1"/>
  <c r="M167" i="17"/>
  <c r="O166" i="17"/>
  <c r="BI732" i="16"/>
  <c r="BG732" i="16"/>
  <c r="BL732" i="16"/>
  <c r="BM732" i="16" s="1"/>
  <c r="AT121" i="17" l="1"/>
  <c r="AW121" i="17" s="1"/>
  <c r="AX121" i="17" s="1"/>
  <c r="AZ121" i="17" s="1"/>
  <c r="AU121" i="17"/>
  <c r="AV121" i="17" s="1"/>
  <c r="AM121" i="17"/>
  <c r="AN121" i="17" s="1"/>
  <c r="AO121" i="17" s="1"/>
  <c r="AP120" i="17"/>
  <c r="AR120" i="17" s="1"/>
  <c r="BO109" i="17"/>
  <c r="BP109" i="17" s="1"/>
  <c r="AL198" i="15" s="1"/>
  <c r="BN109" i="17"/>
  <c r="P167" i="17"/>
  <c r="Q167" i="17" s="1"/>
  <c r="S167" i="17" s="1"/>
  <c r="BC110" i="17"/>
  <c r="AD122" i="17"/>
  <c r="W122" i="17"/>
  <c r="AA122" i="17" s="1"/>
  <c r="AK122" i="17" s="1"/>
  <c r="E167" i="17"/>
  <c r="L167" i="17" s="1"/>
  <c r="BC733" i="16"/>
  <c r="BO732" i="16"/>
  <c r="BP732" i="16" s="1"/>
  <c r="BN732" i="16"/>
  <c r="AQ120" i="17" l="1"/>
  <c r="BD110" i="17"/>
  <c r="BE110" i="17" s="1"/>
  <c r="BF110" i="17" s="1"/>
  <c r="BH110" i="17"/>
  <c r="BQ109" i="17"/>
  <c r="AF66" i="15"/>
  <c r="AP121" i="17"/>
  <c r="AR121" i="17" s="1"/>
  <c r="AE122" i="17"/>
  <c r="Y122" i="17"/>
  <c r="AB122" i="17" s="1"/>
  <c r="N167" i="17"/>
  <c r="BH733" i="16"/>
  <c r="E731" i="14"/>
  <c r="AD219" i="15"/>
  <c r="BD733" i="16"/>
  <c r="AJ734" i="15"/>
  <c r="BQ732" i="16"/>
  <c r="Z122" i="17" l="1"/>
  <c r="U123" i="17" s="1"/>
  <c r="AC123" i="17" s="1"/>
  <c r="BG110" i="17"/>
  <c r="BI110" i="17"/>
  <c r="AQ121" i="17"/>
  <c r="BK110" i="17"/>
  <c r="BL110" i="17" s="1"/>
  <c r="BM110" i="17" s="1"/>
  <c r="BJ110" i="17"/>
  <c r="AF122" i="17"/>
  <c r="AG122" i="17" s="1"/>
  <c r="O167" i="17"/>
  <c r="M168" i="17"/>
  <c r="E168" i="17" s="1"/>
  <c r="L168" i="17" s="1"/>
  <c r="BJ733" i="16"/>
  <c r="BK733" i="16"/>
  <c r="BE733" i="16"/>
  <c r="BF733" i="16" s="1"/>
  <c r="F731" i="14"/>
  <c r="H731" i="14" s="1"/>
  <c r="AH122" i="17" l="1"/>
  <c r="AS122" i="17" s="1"/>
  <c r="AL122" i="17"/>
  <c r="AY122" i="17" s="1"/>
  <c r="BC111" i="17"/>
  <c r="BH111" i="17" s="1"/>
  <c r="BO110" i="17"/>
  <c r="BP110" i="17" s="1"/>
  <c r="BN110" i="17"/>
  <c r="AF81" i="15" s="1"/>
  <c r="W123" i="17"/>
  <c r="AA123" i="17" s="1"/>
  <c r="AK123" i="17" s="1"/>
  <c r="AD123" i="17"/>
  <c r="AE123" i="17" s="1"/>
  <c r="N168" i="17"/>
  <c r="P168" i="17"/>
  <c r="BL733" i="16"/>
  <c r="BM733" i="16" s="1"/>
  <c r="BI733" i="16"/>
  <c r="BG733" i="16"/>
  <c r="AM122" i="17" l="1"/>
  <c r="AN122" i="17" s="1"/>
  <c r="AT122" i="17"/>
  <c r="AW122" i="17" s="1"/>
  <c r="AX122" i="17" s="1"/>
  <c r="AZ122" i="17" s="1"/>
  <c r="AU122" i="17"/>
  <c r="AV122" i="17" s="1"/>
  <c r="Y123" i="17"/>
  <c r="AB123" i="17" s="1"/>
  <c r="AL199" i="15"/>
  <c r="BQ110" i="17"/>
  <c r="BD111" i="17"/>
  <c r="O168" i="17"/>
  <c r="M169" i="17"/>
  <c r="E169" i="17" s="1"/>
  <c r="L169" i="17" s="1"/>
  <c r="Q168" i="17"/>
  <c r="S168" i="17" s="1"/>
  <c r="BC734" i="16"/>
  <c r="BN733" i="16"/>
  <c r="BO733" i="16"/>
  <c r="BP733" i="16" s="1"/>
  <c r="Z123" i="17" l="1"/>
  <c r="U124" i="17" s="1"/>
  <c r="AC124" i="17" s="1"/>
  <c r="BK111" i="17"/>
  <c r="BL111" i="17" s="1"/>
  <c r="BM111" i="17" s="1"/>
  <c r="BJ111" i="17"/>
  <c r="BE111" i="17"/>
  <c r="BF111" i="17" s="1"/>
  <c r="P169" i="17"/>
  <c r="Q169" i="17" s="1"/>
  <c r="S169" i="17" s="1"/>
  <c r="AO122" i="17"/>
  <c r="AF123" i="17"/>
  <c r="AG123" i="17" s="1"/>
  <c r="AL123" i="17" s="1"/>
  <c r="AY123" i="17" s="1"/>
  <c r="N169" i="17"/>
  <c r="BH734" i="16"/>
  <c r="AJ97" i="15"/>
  <c r="BQ733" i="16"/>
  <c r="BD734" i="16"/>
  <c r="E732" i="14"/>
  <c r="AD197" i="15"/>
  <c r="AH123" i="17" l="1"/>
  <c r="AS123" i="17" s="1"/>
  <c r="BG111" i="17"/>
  <c r="BI111" i="17"/>
  <c r="AD124" i="17"/>
  <c r="AM123" i="17"/>
  <c r="AN123" i="17" s="1"/>
  <c r="AP122" i="17"/>
  <c r="AQ122" i="17" s="1"/>
  <c r="W124" i="17"/>
  <c r="AA124" i="17" s="1"/>
  <c r="AK124" i="17" s="1"/>
  <c r="O169" i="17"/>
  <c r="M170" i="17"/>
  <c r="E170" i="17" s="1"/>
  <c r="L170" i="17" s="1"/>
  <c r="F732" i="14"/>
  <c r="H732" i="14" s="1"/>
  <c r="BJ734" i="16"/>
  <c r="BK734" i="16"/>
  <c r="BE734" i="16"/>
  <c r="BF734" i="16" s="1"/>
  <c r="AT123" i="17" l="1"/>
  <c r="AW123" i="17" s="1"/>
  <c r="AX123" i="17" s="1"/>
  <c r="AZ123" i="17" s="1"/>
  <c r="AU123" i="17"/>
  <c r="AV123" i="17" s="1"/>
  <c r="N170" i="17"/>
  <c r="O170" i="17" s="1"/>
  <c r="BO111" i="17"/>
  <c r="BP111" i="17" s="1"/>
  <c r="BN111" i="17"/>
  <c r="AF88" i="15" s="1"/>
  <c r="BC112" i="17"/>
  <c r="AE124" i="17"/>
  <c r="Y124" i="17"/>
  <c r="AB124" i="17" s="1"/>
  <c r="AR122" i="17"/>
  <c r="AO123" i="17"/>
  <c r="P170" i="17"/>
  <c r="BI734" i="16"/>
  <c r="BG734" i="16"/>
  <c r="BL734" i="16"/>
  <c r="BM734" i="16" s="1"/>
  <c r="M171" i="17" l="1"/>
  <c r="E171" i="17" s="1"/>
  <c r="L171" i="17" s="1"/>
  <c r="N171" i="17" s="1"/>
  <c r="M172" i="17" s="1"/>
  <c r="E172" i="17" s="1"/>
  <c r="L172" i="17" s="1"/>
  <c r="BD112" i="17"/>
  <c r="BE112" i="17" s="1"/>
  <c r="BF112" i="17" s="1"/>
  <c r="BH112" i="17"/>
  <c r="AL200" i="15"/>
  <c r="BQ111" i="17"/>
  <c r="AF124" i="17"/>
  <c r="AG124" i="17" s="1"/>
  <c r="AH124" i="17" s="1"/>
  <c r="AS124" i="17" s="1"/>
  <c r="AT124" i="17" s="1"/>
  <c r="AW124" i="17" s="1"/>
  <c r="AX124" i="17" s="1"/>
  <c r="AZ124" i="17" s="1"/>
  <c r="AP123" i="17"/>
  <c r="Z124" i="17"/>
  <c r="Q170" i="17"/>
  <c r="S170" i="17" s="1"/>
  <c r="BC735" i="16"/>
  <c r="BH735" i="16" s="1"/>
  <c r="BO734" i="16"/>
  <c r="BP734" i="16" s="1"/>
  <c r="BN734" i="16"/>
  <c r="O171" i="17" l="1"/>
  <c r="N172" i="17" s="1"/>
  <c r="O172" i="17" s="1"/>
  <c r="AL124" i="17"/>
  <c r="AY124" i="17" s="1"/>
  <c r="AU124" i="17"/>
  <c r="AV124" i="17" s="1"/>
  <c r="BG112" i="17"/>
  <c r="BI112" i="17"/>
  <c r="BK112" i="17"/>
  <c r="BJ112" i="17"/>
  <c r="U125" i="17"/>
  <c r="AC125" i="17" s="1"/>
  <c r="AR123" i="17"/>
  <c r="AQ123" i="17"/>
  <c r="P171" i="17"/>
  <c r="AJ121" i="15"/>
  <c r="BQ734" i="16"/>
  <c r="E733" i="14"/>
  <c r="AD193" i="15"/>
  <c r="BD735" i="16"/>
  <c r="AM124" i="17" l="1"/>
  <c r="AN124" i="17" s="1"/>
  <c r="AO124" i="17" s="1"/>
  <c r="M173" i="17"/>
  <c r="E173" i="17" s="1"/>
  <c r="L173" i="17" s="1"/>
  <c r="N173" i="17" s="1"/>
  <c r="O173" i="17" s="1"/>
  <c r="W125" i="17"/>
  <c r="AA125" i="17" s="1"/>
  <c r="AK125" i="17" s="1"/>
  <c r="BO112" i="17"/>
  <c r="BP112" i="17" s="1"/>
  <c r="BL112" i="17"/>
  <c r="BM112" i="17" s="1"/>
  <c r="BC113" i="17"/>
  <c r="BH113" i="17" s="1"/>
  <c r="AD125" i="17"/>
  <c r="Q171" i="17"/>
  <c r="S171" i="17" s="1"/>
  <c r="BJ735" i="16"/>
  <c r="BK735" i="16"/>
  <c r="BE735" i="16"/>
  <c r="BF735" i="16" s="1"/>
  <c r="F733" i="14"/>
  <c r="H733" i="14" s="1"/>
  <c r="Y125" i="17" l="1"/>
  <c r="AB125" i="17" s="1"/>
  <c r="M174" i="17"/>
  <c r="E174" i="17" s="1"/>
  <c r="L174" i="17" s="1"/>
  <c r="N174" i="17" s="1"/>
  <c r="BN112" i="17"/>
  <c r="AF93" i="15" s="1"/>
  <c r="BD113" i="17"/>
  <c r="AL201" i="15"/>
  <c r="AE125" i="17"/>
  <c r="AP124" i="17"/>
  <c r="AQ124" i="17" s="1"/>
  <c r="P172" i="17"/>
  <c r="BI735" i="16"/>
  <c r="BG735" i="16"/>
  <c r="BL735" i="16"/>
  <c r="BM735" i="16" s="1"/>
  <c r="Z125" i="17" l="1"/>
  <c r="U126" i="17" s="1"/>
  <c r="AC126" i="17" s="1"/>
  <c r="AD126" i="17" s="1"/>
  <c r="BQ112" i="17"/>
  <c r="BJ113" i="17"/>
  <c r="BK113" i="17"/>
  <c r="BL113" i="17" s="1"/>
  <c r="BM113" i="17" s="1"/>
  <c r="BE113" i="17"/>
  <c r="BF113" i="17" s="1"/>
  <c r="AF125" i="17"/>
  <c r="AG125" i="17" s="1"/>
  <c r="AR124" i="17"/>
  <c r="Q172" i="17"/>
  <c r="S172" i="17" s="1"/>
  <c r="M175" i="17"/>
  <c r="E175" i="17" s="1"/>
  <c r="L175" i="17" s="1"/>
  <c r="O174" i="17"/>
  <c r="BC736" i="16"/>
  <c r="BN735" i="16"/>
  <c r="BO735" i="16"/>
  <c r="BP735" i="16" s="1"/>
  <c r="W126" i="17" l="1"/>
  <c r="AA126" i="17" s="1"/>
  <c r="AK126" i="17" s="1"/>
  <c r="AH125" i="17"/>
  <c r="AS125" i="17" s="1"/>
  <c r="AL125" i="17"/>
  <c r="AY125" i="17" s="1"/>
  <c r="BG113" i="17"/>
  <c r="BI113" i="17"/>
  <c r="AE126" i="17"/>
  <c r="P173" i="17"/>
  <c r="Q173" i="17" s="1"/>
  <c r="S173" i="17" s="1"/>
  <c r="N175" i="17"/>
  <c r="BH736" i="16"/>
  <c r="L7" i="8" s="1"/>
  <c r="AJ117" i="15"/>
  <c r="BQ735" i="16"/>
  <c r="BD736" i="16"/>
  <c r="E734" i="14"/>
  <c r="AD190" i="15"/>
  <c r="L46" i="8" l="1"/>
  <c r="L35" i="8"/>
  <c r="Y126" i="17"/>
  <c r="Z126" i="17" s="1"/>
  <c r="U127" i="17" s="1"/>
  <c r="AC127" i="17" s="1"/>
  <c r="AM125" i="17"/>
  <c r="AN125" i="17" s="1"/>
  <c r="AU125" i="17"/>
  <c r="AV125" i="17" s="1"/>
  <c r="AT125" i="17"/>
  <c r="AW125" i="17" s="1"/>
  <c r="BO113" i="17"/>
  <c r="BP113" i="17" s="1"/>
  <c r="BN113" i="17"/>
  <c r="AF108" i="15" s="1"/>
  <c r="BC114" i="17"/>
  <c r="P174" i="17"/>
  <c r="Q174" i="17" s="1"/>
  <c r="S174" i="17" s="1"/>
  <c r="O175" i="17"/>
  <c r="M176" i="17"/>
  <c r="E176" i="17" s="1"/>
  <c r="L176" i="17" s="1"/>
  <c r="F734" i="14"/>
  <c r="H734" i="14" s="1"/>
  <c r="BJ736" i="16"/>
  <c r="L9" i="8" s="1"/>
  <c r="L48" i="8" s="1"/>
  <c r="S48" i="8" s="1"/>
  <c r="BK736" i="16"/>
  <c r="BL736" i="16" s="1"/>
  <c r="BM736" i="16" s="1"/>
  <c r="L11" i="8" s="1"/>
  <c r="BE736" i="16"/>
  <c r="BF736" i="16" s="1"/>
  <c r="L50" i="8" l="1"/>
  <c r="S50" i="8" s="1"/>
  <c r="L34" i="8"/>
  <c r="AB126" i="17"/>
  <c r="AF126" i="17" s="1"/>
  <c r="AG126" i="17" s="1"/>
  <c r="AL126" i="17" s="1"/>
  <c r="AY126" i="17" s="1"/>
  <c r="AO125" i="17"/>
  <c r="AP125" i="17" s="1"/>
  <c r="W127" i="17"/>
  <c r="AA127" i="17" s="1"/>
  <c r="AK127" i="17" s="1"/>
  <c r="AX125" i="17"/>
  <c r="AZ125" i="17" s="1"/>
  <c r="P175" i="17"/>
  <c r="Q175" i="17" s="1"/>
  <c r="S175" i="17" s="1"/>
  <c r="BD114" i="17"/>
  <c r="BH114" i="17"/>
  <c r="N176" i="17"/>
  <c r="M177" i="17" s="1"/>
  <c r="E177" i="17" s="1"/>
  <c r="L177" i="17" s="1"/>
  <c r="AL202" i="15"/>
  <c r="BQ113" i="17"/>
  <c r="AD127" i="17"/>
  <c r="BI736" i="16"/>
  <c r="BG736" i="16"/>
  <c r="AM126" i="17" l="1"/>
  <c r="AN126" i="17" s="1"/>
  <c r="AO126" i="17" s="1"/>
  <c r="AH126" i="17"/>
  <c r="AS126" i="17" s="1"/>
  <c r="AT126" i="17" s="1"/>
  <c r="AW126" i="17" s="1"/>
  <c r="AX126" i="17" s="1"/>
  <c r="AZ126" i="17" s="1"/>
  <c r="Y127" i="17"/>
  <c r="AB127" i="17" s="1"/>
  <c r="O176" i="17"/>
  <c r="N177" i="17" s="1"/>
  <c r="BK114" i="17"/>
  <c r="BL114" i="17" s="1"/>
  <c r="BM114" i="17" s="1"/>
  <c r="BJ114" i="17"/>
  <c r="BE114" i="17"/>
  <c r="BF114" i="17" s="1"/>
  <c r="AE127" i="17"/>
  <c r="AR125" i="17"/>
  <c r="AQ125" i="17"/>
  <c r="P176" i="17"/>
  <c r="L8" i="8"/>
  <c r="L47" i="8" s="1"/>
  <c r="S47" i="8" s="1"/>
  <c r="BO736" i="16"/>
  <c r="BP736" i="16" s="1"/>
  <c r="BN736" i="16"/>
  <c r="AU126" i="17" l="1"/>
  <c r="AV126" i="17" s="1"/>
  <c r="Z127" i="17"/>
  <c r="U128" i="17" s="1"/>
  <c r="AC128" i="17" s="1"/>
  <c r="AD128" i="17" s="1"/>
  <c r="AE128" i="17" s="1"/>
  <c r="BG114" i="17"/>
  <c r="BI114" i="17"/>
  <c r="AP126" i="17"/>
  <c r="AR126" i="17" s="1"/>
  <c r="AF127" i="17"/>
  <c r="AG127" i="17" s="1"/>
  <c r="O177" i="17"/>
  <c r="M178" i="17"/>
  <c r="E178" i="17" s="1"/>
  <c r="L178" i="17" s="1"/>
  <c r="Q176" i="17"/>
  <c r="S176" i="17" s="1"/>
  <c r="AJ735" i="15"/>
  <c r="BQ736" i="16"/>
  <c r="L13" i="8" s="1"/>
  <c r="L52" i="8" s="1"/>
  <c r="S52" i="8" s="1"/>
  <c r="L12" i="8"/>
  <c r="L51" i="8" s="1"/>
  <c r="S51" i="8" s="1"/>
  <c r="L27" i="8"/>
  <c r="L66" i="8" s="1"/>
  <c r="S66" i="8" s="1"/>
  <c r="L24" i="8"/>
  <c r="L63" i="8" s="1"/>
  <c r="S63" i="8" s="1"/>
  <c r="L22" i="8"/>
  <c r="L61" i="8" s="1"/>
  <c r="S61" i="8" s="1"/>
  <c r="L25" i="8"/>
  <c r="L64" i="8" s="1"/>
  <c r="S64" i="8" s="1"/>
  <c r="L26" i="8"/>
  <c r="L65" i="8" s="1"/>
  <c r="S65" i="8" s="1"/>
  <c r="AD201" i="15"/>
  <c r="E735" i="14"/>
  <c r="L18" i="8"/>
  <c r="L10" i="8"/>
  <c r="N176" i="6"/>
  <c r="L19" i="8"/>
  <c r="L58" i="8" s="1"/>
  <c r="S58" i="8" s="1"/>
  <c r="L16" i="8"/>
  <c r="L55" i="8" s="1"/>
  <c r="S55" i="8" s="1"/>
  <c r="L20" i="8"/>
  <c r="L59" i="8" s="1"/>
  <c r="S59" i="8" s="1"/>
  <c r="L21" i="8"/>
  <c r="L60" i="8" s="1"/>
  <c r="S60" i="8" s="1"/>
  <c r="L49" i="8" l="1"/>
  <c r="S49" i="8" s="1"/>
  <c r="L32" i="8"/>
  <c r="L33" i="8"/>
  <c r="L57" i="8"/>
  <c r="S57" i="8" s="1"/>
  <c r="L40" i="8"/>
  <c r="W128" i="17"/>
  <c r="AA128" i="17" s="1"/>
  <c r="AK128" i="17" s="1"/>
  <c r="AH127" i="17"/>
  <c r="AS127" i="17" s="1"/>
  <c r="AL127" i="17"/>
  <c r="AY127" i="17" s="1"/>
  <c r="AQ126" i="17"/>
  <c r="BO114" i="17"/>
  <c r="BP114" i="17" s="1"/>
  <c r="BN114" i="17"/>
  <c r="AF111" i="15" s="1"/>
  <c r="BC115" i="17"/>
  <c r="BH115" i="17" s="1"/>
  <c r="L17" i="8"/>
  <c r="L56" i="8" s="1"/>
  <c r="S56" i="8" s="1"/>
  <c r="N178" i="17"/>
  <c r="P177" i="17"/>
  <c r="L23" i="8"/>
  <c r="L62" i="8" s="1"/>
  <c r="S62" i="8" s="1"/>
  <c r="J735" i="14"/>
  <c r="F735" i="14"/>
  <c r="J437" i="14"/>
  <c r="J386" i="14"/>
  <c r="J359" i="14"/>
  <c r="J76" i="14"/>
  <c r="J575" i="14"/>
  <c r="J564" i="14"/>
  <c r="J438" i="14"/>
  <c r="J111" i="14"/>
  <c r="J699" i="14"/>
  <c r="J707" i="14"/>
  <c r="J468" i="14"/>
  <c r="J194" i="14"/>
  <c r="J676" i="14"/>
  <c r="J548" i="14"/>
  <c r="J593" i="14"/>
  <c r="J69" i="14"/>
  <c r="J379" i="14"/>
  <c r="J314" i="14"/>
  <c r="J574" i="14"/>
  <c r="J680" i="14"/>
  <c r="J527" i="14"/>
  <c r="J661" i="14"/>
  <c r="J259" i="14"/>
  <c r="J375" i="14"/>
  <c r="J232" i="14"/>
  <c r="J491" i="14"/>
  <c r="J113" i="14"/>
  <c r="J385" i="14"/>
  <c r="J517" i="14"/>
  <c r="J407" i="14"/>
  <c r="J371" i="14"/>
  <c r="J144" i="14"/>
  <c r="J308" i="14"/>
  <c r="J148" i="14"/>
  <c r="J77" i="14"/>
  <c r="J233" i="14"/>
  <c r="J701" i="14"/>
  <c r="J175" i="14"/>
  <c r="J271" i="14"/>
  <c r="J336" i="14"/>
  <c r="J344" i="14"/>
  <c r="J241" i="14"/>
  <c r="J227" i="14"/>
  <c r="J423" i="14"/>
  <c r="J563" i="14"/>
  <c r="J406" i="14"/>
  <c r="J237" i="14"/>
  <c r="J161" i="14"/>
  <c r="J116" i="14"/>
  <c r="J326" i="14"/>
  <c r="J248" i="14"/>
  <c r="J534" i="14"/>
  <c r="J426" i="14"/>
  <c r="J700" i="14"/>
  <c r="J320" i="14"/>
  <c r="J143" i="14"/>
  <c r="J484" i="14"/>
  <c r="J687" i="14"/>
  <c r="J112" i="14"/>
  <c r="J99" i="14"/>
  <c r="J101" i="14"/>
  <c r="J119" i="14"/>
  <c r="J120" i="14"/>
  <c r="J474" i="14"/>
  <c r="J191" i="14"/>
  <c r="J498" i="14"/>
  <c r="J461" i="14"/>
  <c r="J541" i="14"/>
  <c r="J361" i="14"/>
  <c r="J654" i="14"/>
  <c r="J145" i="14"/>
  <c r="J106" i="14"/>
  <c r="J400" i="14"/>
  <c r="J578" i="14"/>
  <c r="J345" i="14"/>
  <c r="J486" i="14"/>
  <c r="J235" i="14"/>
  <c r="J514" i="14"/>
  <c r="J294" i="14"/>
  <c r="J94" i="14"/>
  <c r="J292" i="14"/>
  <c r="J505" i="14"/>
  <c r="J510" i="14"/>
  <c r="J483" i="14"/>
  <c r="J397" i="14"/>
  <c r="J413" i="14"/>
  <c r="J551" i="14"/>
  <c r="J533" i="14"/>
  <c r="J693" i="14"/>
  <c r="J553" i="14"/>
  <c r="J318" i="14"/>
  <c r="J103" i="14"/>
  <c r="J671" i="14"/>
  <c r="J347" i="14"/>
  <c r="J448" i="14"/>
  <c r="J546" i="14"/>
  <c r="J465" i="14"/>
  <c r="J629" i="14"/>
  <c r="J692" i="14"/>
  <c r="J582" i="14"/>
  <c r="J127" i="14"/>
  <c r="J376" i="14"/>
  <c r="J342" i="14"/>
  <c r="J201" i="14"/>
  <c r="J242" i="14"/>
  <c r="J576" i="14"/>
  <c r="J458" i="14"/>
  <c r="J210" i="14"/>
  <c r="J414" i="14"/>
  <c r="J315" i="14"/>
  <c r="J419" i="14"/>
  <c r="J643" i="14"/>
  <c r="J316" i="14"/>
  <c r="J151" i="14"/>
  <c r="J96" i="14"/>
  <c r="J476" i="14"/>
  <c r="J190" i="14"/>
  <c r="J639" i="14"/>
  <c r="J80" i="14"/>
  <c r="J239" i="14"/>
  <c r="J504" i="14"/>
  <c r="J358" i="14"/>
  <c r="J668" i="14"/>
  <c r="J455" i="14"/>
  <c r="J450" i="14"/>
  <c r="J489" i="14"/>
  <c r="J87" i="14"/>
  <c r="J481" i="14"/>
  <c r="J289" i="14"/>
  <c r="J298" i="14"/>
  <c r="J273" i="14"/>
  <c r="J203" i="14"/>
  <c r="J696" i="14"/>
  <c r="J275" i="14"/>
  <c r="J645" i="14"/>
  <c r="J494" i="14"/>
  <c r="J705" i="14"/>
  <c r="J405" i="14"/>
  <c r="J295" i="14"/>
  <c r="J257" i="14"/>
  <c r="J353" i="14"/>
  <c r="J365" i="14"/>
  <c r="J614" i="14"/>
  <c r="J126" i="14"/>
  <c r="J362" i="14"/>
  <c r="J521" i="14"/>
  <c r="J105" i="14"/>
  <c r="J261" i="14"/>
  <c r="J433" i="14"/>
  <c r="J454" i="14"/>
  <c r="J429" i="14"/>
  <c r="J263" i="14"/>
  <c r="J330" i="14"/>
  <c r="J246" i="14"/>
  <c r="J209" i="14"/>
  <c r="J378" i="14"/>
  <c r="J172" i="14"/>
  <c r="J619" i="14"/>
  <c r="J219" i="14"/>
  <c r="J93" i="14"/>
  <c r="J317" i="14"/>
  <c r="J495" i="14"/>
  <c r="J176" i="14"/>
  <c r="J641" i="14"/>
  <c r="J363" i="14"/>
  <c r="J186" i="14"/>
  <c r="J618" i="14"/>
  <c r="J311" i="14"/>
  <c r="J666" i="14"/>
  <c r="J377" i="14"/>
  <c r="J157" i="14"/>
  <c r="J68" i="14"/>
  <c r="J425" i="14"/>
  <c r="J555" i="14"/>
  <c r="J312" i="14"/>
  <c r="J335" i="14"/>
  <c r="J185" i="14"/>
  <c r="J530" i="14"/>
  <c r="J477" i="14"/>
  <c r="J473" i="14"/>
  <c r="J652" i="14"/>
  <c r="J84" i="14"/>
  <c r="J154" i="14"/>
  <c r="J369" i="14"/>
  <c r="J382" i="14"/>
  <c r="J92" i="14"/>
  <c r="J392" i="14"/>
  <c r="J97" i="14"/>
  <c r="J254" i="14"/>
  <c r="J85" i="14"/>
  <c r="J280" i="14"/>
  <c r="J243" i="14"/>
  <c r="J281" i="14"/>
  <c r="J258" i="14"/>
  <c r="J166" i="14"/>
  <c r="J595" i="14"/>
  <c r="J451" i="14"/>
  <c r="J136" i="14"/>
  <c r="J554" i="14"/>
  <c r="J403" i="14"/>
  <c r="J559" i="14"/>
  <c r="J276" i="14"/>
  <c r="J544" i="14"/>
  <c r="J302" i="14"/>
  <c r="J613" i="14"/>
  <c r="J435" i="14"/>
  <c r="J388" i="14"/>
  <c r="J390" i="14"/>
  <c r="J625" i="14"/>
  <c r="J501" i="14"/>
  <c r="J531" i="14"/>
  <c r="J597" i="14"/>
  <c r="J189" i="14"/>
  <c r="J667" i="14"/>
  <c r="J108" i="14"/>
  <c r="J637" i="14"/>
  <c r="J220" i="14"/>
  <c r="J178" i="14"/>
  <c r="J262" i="14"/>
  <c r="J131" i="14"/>
  <c r="J590" i="14"/>
  <c r="J507" i="14"/>
  <c r="J585" i="14"/>
  <c r="J601" i="14"/>
  <c r="J90" i="14"/>
  <c r="J513" i="14"/>
  <c r="J609" i="14"/>
  <c r="J252" i="14"/>
  <c r="J502" i="14"/>
  <c r="J177" i="14"/>
  <c r="J354" i="14"/>
  <c r="J325" i="14"/>
  <c r="J698" i="14"/>
  <c r="J500" i="14"/>
  <c r="J539" i="14"/>
  <c r="J482" i="14"/>
  <c r="J174" i="14"/>
  <c r="J169" i="14"/>
  <c r="J662" i="14"/>
  <c r="J703" i="14"/>
  <c r="J213" i="14"/>
  <c r="J669" i="14"/>
  <c r="J567" i="14"/>
  <c r="J269" i="14"/>
  <c r="J499" i="14"/>
  <c r="J404" i="14"/>
  <c r="J200" i="14"/>
  <c r="J66" i="14"/>
  <c r="J153" i="14"/>
  <c r="J104" i="14"/>
  <c r="J236" i="14"/>
  <c r="J226" i="14"/>
  <c r="J301" i="14"/>
  <c r="J128" i="14"/>
  <c r="J688" i="14"/>
  <c r="J678" i="14"/>
  <c r="J557" i="14"/>
  <c r="J140" i="14"/>
  <c r="J70" i="14"/>
  <c r="J452" i="14"/>
  <c r="J470" i="14"/>
  <c r="J75" i="14"/>
  <c r="J586" i="14"/>
  <c r="J545" i="14"/>
  <c r="J297" i="14"/>
  <c r="J556" i="14"/>
  <c r="J155" i="14"/>
  <c r="J78" i="14"/>
  <c r="J290" i="14"/>
  <c r="J621" i="14"/>
  <c r="J410" i="14"/>
  <c r="J432" i="14"/>
  <c r="J647" i="14"/>
  <c r="J373" i="14"/>
  <c r="J689" i="14"/>
  <c r="J277" i="14"/>
  <c r="J646" i="14"/>
  <c r="J665" i="14"/>
  <c r="J250" i="14"/>
  <c r="J171" i="14"/>
  <c r="J560" i="14"/>
  <c r="J82" i="14"/>
  <c r="J633" i="14"/>
  <c r="J565" i="14"/>
  <c r="J508" i="14"/>
  <c r="J440" i="14"/>
  <c r="J497" i="14"/>
  <c r="J343" i="14"/>
  <c r="J265" i="14"/>
  <c r="J367" i="14"/>
  <c r="J395" i="14"/>
  <c r="J588" i="14"/>
  <c r="J244" i="14"/>
  <c r="J683" i="14"/>
  <c r="J356" i="14"/>
  <c r="J279" i="14"/>
  <c r="J306" i="14"/>
  <c r="J496" i="14"/>
  <c r="J402" i="14"/>
  <c r="J428" i="14"/>
  <c r="J137" i="14"/>
  <c r="J528" i="14"/>
  <c r="J88" i="14"/>
  <c r="J350" i="14"/>
  <c r="J660" i="14"/>
  <c r="J384" i="14"/>
  <c r="J74" i="14"/>
  <c r="J552" i="14"/>
  <c r="J412" i="14"/>
  <c r="J649" i="14"/>
  <c r="J133" i="14"/>
  <c r="J339" i="14"/>
  <c r="J650" i="14"/>
  <c r="J617" i="14"/>
  <c r="J492" i="14"/>
  <c r="J615" i="14"/>
  <c r="J571" i="14"/>
  <c r="J230" i="14"/>
  <c r="J162" i="14"/>
  <c r="J331" i="14"/>
  <c r="J110" i="14"/>
  <c r="J415" i="14"/>
  <c r="J624" i="14"/>
  <c r="J79" i="14"/>
  <c r="J332" i="14"/>
  <c r="J478" i="14"/>
  <c r="J223" i="14"/>
  <c r="J674" i="14"/>
  <c r="J394" i="14"/>
  <c r="J264" i="14"/>
  <c r="J139" i="14"/>
  <c r="J364" i="14"/>
  <c r="J708" i="14"/>
  <c r="J313" i="14"/>
  <c r="J642" i="14"/>
  <c r="J287" i="14"/>
  <c r="J274" i="14"/>
  <c r="J558" i="14"/>
  <c r="J561" i="14"/>
  <c r="J272" i="14"/>
  <c r="J117" i="14"/>
  <c r="J114" i="14"/>
  <c r="J398" i="14"/>
  <c r="J709" i="14"/>
  <c r="J207" i="14"/>
  <c r="J224" i="14"/>
  <c r="J334" i="14"/>
  <c r="J516" i="14"/>
  <c r="J519" i="14"/>
  <c r="J464" i="14"/>
  <c r="J234" i="14"/>
  <c r="J540" i="14"/>
  <c r="J109" i="14"/>
  <c r="J180" i="14"/>
  <c r="J130" i="14"/>
  <c r="J570" i="14"/>
  <c r="J141" i="14"/>
  <c r="J471" i="14"/>
  <c r="J627" i="14"/>
  <c r="J202" i="14"/>
  <c r="J655" i="14"/>
  <c r="J184" i="14"/>
  <c r="J206" i="14"/>
  <c r="J598" i="14"/>
  <c r="J182" i="14"/>
  <c r="J67" i="14"/>
  <c r="J319" i="14"/>
  <c r="J444" i="14"/>
  <c r="J608" i="14"/>
  <c r="J129" i="14"/>
  <c r="J506" i="14"/>
  <c r="J89" i="14"/>
  <c r="J503" i="14"/>
  <c r="J543" i="14"/>
  <c r="J160" i="14"/>
  <c r="J285" i="14"/>
  <c r="J589" i="14"/>
  <c r="J704" i="14"/>
  <c r="J322" i="14"/>
  <c r="J592" i="14"/>
  <c r="J179" i="14"/>
  <c r="J616" i="14"/>
  <c r="J602" i="14"/>
  <c r="J164" i="14"/>
  <c r="J463" i="14"/>
  <c r="J86" i="14"/>
  <c r="J515" i="14"/>
  <c r="J485" i="14"/>
  <c r="J72" i="14"/>
  <c r="J324" i="14"/>
  <c r="J245" i="14"/>
  <c r="J81" i="14"/>
  <c r="J612" i="14"/>
  <c r="J622" i="14"/>
  <c r="J584" i="14"/>
  <c r="J95" i="14"/>
  <c r="J472" i="14"/>
  <c r="J675" i="14"/>
  <c r="J441" i="14"/>
  <c r="J644" i="14"/>
  <c r="J124" i="14"/>
  <c r="J212" i="14"/>
  <c r="J434" i="14"/>
  <c r="J150" i="14"/>
  <c r="J360" i="14"/>
  <c r="J346" i="14"/>
  <c r="J198" i="14"/>
  <c r="J657" i="14"/>
  <c r="J267" i="14"/>
  <c r="J466" i="14"/>
  <c r="J222" i="14"/>
  <c r="J221" i="14"/>
  <c r="J566" i="14"/>
  <c r="J460" i="14"/>
  <c r="J340" i="14"/>
  <c r="J216" i="14"/>
  <c r="J372" i="14"/>
  <c r="J351" i="14"/>
  <c r="J181" i="14"/>
  <c r="J594" i="14"/>
  <c r="J453" i="14"/>
  <c r="J417" i="14"/>
  <c r="J98" i="14"/>
  <c r="J303" i="14"/>
  <c r="J420" i="14"/>
  <c r="J439" i="14"/>
  <c r="J71" i="14"/>
  <c r="J529" i="14"/>
  <c r="J329" i="14"/>
  <c r="J411" i="14"/>
  <c r="J446" i="14"/>
  <c r="J83" i="14"/>
  <c r="J672" i="14"/>
  <c r="J542" i="14"/>
  <c r="J634" i="14"/>
  <c r="J146" i="14"/>
  <c r="J695" i="14"/>
  <c r="J338" i="14"/>
  <c r="J409" i="14"/>
  <c r="J173" i="14"/>
  <c r="J690" i="14"/>
  <c r="J562" i="14"/>
  <c r="J268" i="14"/>
  <c r="J651" i="14"/>
  <c r="J523" i="14"/>
  <c r="J430" i="14"/>
  <c r="J305" i="14"/>
  <c r="J215" i="14"/>
  <c r="J282" i="14"/>
  <c r="J205" i="14"/>
  <c r="J188" i="14"/>
  <c r="J152" i="14"/>
  <c r="J670" i="14"/>
  <c r="J659" i="14"/>
  <c r="J368" i="14"/>
  <c r="J192" i="14"/>
  <c r="J396" i="14"/>
  <c r="J456" i="14"/>
  <c r="J706" i="14"/>
  <c r="J605" i="14"/>
  <c r="J401" i="14"/>
  <c r="J183" i="14"/>
  <c r="J524" i="14"/>
  <c r="J159" i="14"/>
  <c r="J436" i="14"/>
  <c r="J679" i="14"/>
  <c r="J135" i="14"/>
  <c r="J132" i="14"/>
  <c r="J664" i="14"/>
  <c r="J462" i="14"/>
  <c r="J366" i="14"/>
  <c r="J370" i="14"/>
  <c r="J278" i="14"/>
  <c r="J422" i="14"/>
  <c r="J165" i="14"/>
  <c r="J697" i="14"/>
  <c r="J91" i="14"/>
  <c r="J288" i="14"/>
  <c r="J352" i="14"/>
  <c r="J293" i="14"/>
  <c r="J381" i="14"/>
  <c r="J195" i="14"/>
  <c r="J300" i="14"/>
  <c r="J168" i="14"/>
  <c r="J475" i="14"/>
  <c r="J583" i="14"/>
  <c r="J610" i="14"/>
  <c r="J520" i="14"/>
  <c r="J73" i="14"/>
  <c r="J240" i="14"/>
  <c r="J493" i="14"/>
  <c r="J348" i="14"/>
  <c r="J193" i="14"/>
  <c r="J535" i="14"/>
  <c r="J238" i="14"/>
  <c r="J387" i="14"/>
  <c r="J620" i="14"/>
  <c r="J393" i="14"/>
  <c r="J284" i="14"/>
  <c r="J599" i="14"/>
  <c r="J611" i="14"/>
  <c r="J337" i="14"/>
  <c r="J389" i="14"/>
  <c r="J102" i="14"/>
  <c r="J260" i="14"/>
  <c r="J211" i="14"/>
  <c r="J445" i="14"/>
  <c r="J443" i="14"/>
  <c r="J196" i="14"/>
  <c r="J138" i="14"/>
  <c r="J681" i="14"/>
  <c r="J424" i="14"/>
  <c r="J587" i="14"/>
  <c r="J163" i="14"/>
  <c r="J511" i="14"/>
  <c r="J579" i="14"/>
  <c r="J229" i="14"/>
  <c r="J568" i="14"/>
  <c r="J266" i="14"/>
  <c r="J469" i="14"/>
  <c r="J328" i="14"/>
  <c r="J538" i="14"/>
  <c r="J457" i="14"/>
  <c r="J134" i="14"/>
  <c r="J309" i="14"/>
  <c r="J447" i="14"/>
  <c r="J547" i="14"/>
  <c r="J532" i="14"/>
  <c r="J291" i="14"/>
  <c r="J631" i="14"/>
  <c r="J604" i="14"/>
  <c r="J199" i="14"/>
  <c r="J100" i="14"/>
  <c r="J197" i="14"/>
  <c r="J327" i="14"/>
  <c r="J628" i="14"/>
  <c r="J204" i="14"/>
  <c r="J656" i="14"/>
  <c r="J218" i="14"/>
  <c r="J591" i="14"/>
  <c r="J442" i="14"/>
  <c r="J522" i="14"/>
  <c r="J167" i="14"/>
  <c r="J626" i="14"/>
  <c r="J341" i="14"/>
  <c r="J449" i="14"/>
  <c r="J156" i="14"/>
  <c r="J349" i="14"/>
  <c r="J286" i="14"/>
  <c r="J488" i="14"/>
  <c r="J296" i="14"/>
  <c r="J549" i="14"/>
  <c r="J596" i="14"/>
  <c r="J673" i="14"/>
  <c r="J636" i="14"/>
  <c r="J270" i="14"/>
  <c r="J251" i="14"/>
  <c r="J121" i="14"/>
  <c r="J147" i="14"/>
  <c r="J357" i="14"/>
  <c r="J550" i="14"/>
  <c r="J115" i="14"/>
  <c r="J658" i="14"/>
  <c r="J123" i="14"/>
  <c r="J607" i="14"/>
  <c r="J509" i="14"/>
  <c r="J694" i="14"/>
  <c r="J623" i="14"/>
  <c r="J421" i="14"/>
  <c r="J572" i="14"/>
  <c r="J333" i="14"/>
  <c r="J536" i="14"/>
  <c r="J490" i="14"/>
  <c r="J142" i="14"/>
  <c r="J630" i="14"/>
  <c r="J663" i="14"/>
  <c r="J355" i="14"/>
  <c r="J208" i="14"/>
  <c r="J685" i="14"/>
  <c r="J512" i="14"/>
  <c r="J307" i="14"/>
  <c r="J122" i="14"/>
  <c r="J648" i="14"/>
  <c r="J580" i="14"/>
  <c r="J467" i="14"/>
  <c r="J149" i="14"/>
  <c r="J632" i="14"/>
  <c r="J321" i="14"/>
  <c r="J702" i="14"/>
  <c r="J253" i="14"/>
  <c r="J427" i="14"/>
  <c r="J581" i="14"/>
  <c r="J691" i="14"/>
  <c r="J214" i="14"/>
  <c r="J170" i="14"/>
  <c r="J247" i="14"/>
  <c r="J408" i="14"/>
  <c r="J304" i="14"/>
  <c r="J431" i="14"/>
  <c r="J682" i="14"/>
  <c r="J187" i="14"/>
  <c r="J418" i="14"/>
  <c r="J569" i="14"/>
  <c r="J380" i="14"/>
  <c r="J573" i="14"/>
  <c r="J383" i="14"/>
  <c r="J391" i="14"/>
  <c r="J684" i="14"/>
  <c r="J416" i="14"/>
  <c r="J487" i="14"/>
  <c r="J299" i="14"/>
  <c r="J399" i="14"/>
  <c r="J638" i="14"/>
  <c r="J310" i="14"/>
  <c r="J225" i="14"/>
  <c r="J600" i="14"/>
  <c r="J125" i="14"/>
  <c r="J677" i="14"/>
  <c r="J603" i="14"/>
  <c r="J249" i="14"/>
  <c r="J256" i="14"/>
  <c r="J283" i="14"/>
  <c r="J537" i="14"/>
  <c r="J217" i="14"/>
  <c r="J480" i="14"/>
  <c r="J255" i="14"/>
  <c r="J577" i="14"/>
  <c r="J686" i="14"/>
  <c r="J231" i="14"/>
  <c r="J459" i="14"/>
  <c r="J635" i="14"/>
  <c r="J606" i="14"/>
  <c r="J479" i="14"/>
  <c r="J323" i="14"/>
  <c r="J228" i="14"/>
  <c r="J158" i="14"/>
  <c r="J525" i="14"/>
  <c r="J118" i="14"/>
  <c r="J374" i="14"/>
  <c r="J518" i="14"/>
  <c r="J107" i="14"/>
  <c r="J653" i="14"/>
  <c r="J526" i="14"/>
  <c r="J640" i="14"/>
  <c r="J710" i="14"/>
  <c r="J711" i="14"/>
  <c r="J712" i="14"/>
  <c r="J713" i="14"/>
  <c r="J714" i="14"/>
  <c r="J715" i="14"/>
  <c r="J716" i="14"/>
  <c r="J717" i="14"/>
  <c r="J718" i="14"/>
  <c r="J719" i="14"/>
  <c r="J720" i="14"/>
  <c r="J721" i="14"/>
  <c r="J722" i="14"/>
  <c r="J723" i="14"/>
  <c r="J724" i="14"/>
  <c r="J725" i="14"/>
  <c r="J726" i="14"/>
  <c r="J727" i="14"/>
  <c r="J728" i="14"/>
  <c r="J729" i="14"/>
  <c r="J732" i="14"/>
  <c r="J733" i="14"/>
  <c r="J730" i="14"/>
  <c r="J734" i="14"/>
  <c r="J731" i="14"/>
  <c r="Y128" i="17" l="1"/>
  <c r="AB128" i="17" s="1"/>
  <c r="AF128" i="17" s="1"/>
  <c r="AG128" i="17" s="1"/>
  <c r="AH128" i="17" s="1"/>
  <c r="AS128" i="17" s="1"/>
  <c r="AT128" i="17" s="1"/>
  <c r="AT127" i="17"/>
  <c r="AW127" i="17" s="1"/>
  <c r="AU127" i="17"/>
  <c r="AV127" i="17" s="1"/>
  <c r="AM127" i="17"/>
  <c r="BD115" i="17"/>
  <c r="AL203" i="15"/>
  <c r="BQ114" i="17"/>
  <c r="Q177" i="17"/>
  <c r="S177" i="17" s="1"/>
  <c r="M179" i="17"/>
  <c r="E179" i="17" s="1"/>
  <c r="L179" i="17" s="1"/>
  <c r="O178" i="17"/>
  <c r="L726" i="14"/>
  <c r="K726" i="14"/>
  <c r="L107" i="14"/>
  <c r="K107" i="14"/>
  <c r="L231" i="14"/>
  <c r="K231" i="14"/>
  <c r="K638" i="14"/>
  <c r="L638" i="14"/>
  <c r="K408" i="14"/>
  <c r="L408" i="14"/>
  <c r="K355" i="14"/>
  <c r="L355" i="14"/>
  <c r="L550" i="14"/>
  <c r="K550" i="14"/>
  <c r="L341" i="14"/>
  <c r="K341" i="14"/>
  <c r="L730" i="14"/>
  <c r="K730" i="14"/>
  <c r="L728" i="14"/>
  <c r="K728" i="14"/>
  <c r="K724" i="14"/>
  <c r="L724" i="14"/>
  <c r="L720" i="14"/>
  <c r="K720" i="14"/>
  <c r="L716" i="14"/>
  <c r="K716" i="14"/>
  <c r="L712" i="14"/>
  <c r="K712" i="14"/>
  <c r="K526" i="14"/>
  <c r="L526" i="14"/>
  <c r="K374" i="14"/>
  <c r="L374" i="14"/>
  <c r="K228" i="14"/>
  <c r="L228" i="14"/>
  <c r="L635" i="14"/>
  <c r="K635" i="14"/>
  <c r="K577" i="14"/>
  <c r="L577" i="14"/>
  <c r="K537" i="14"/>
  <c r="L537" i="14"/>
  <c r="L603" i="14"/>
  <c r="K603" i="14"/>
  <c r="L225" i="14"/>
  <c r="K225" i="14"/>
  <c r="L299" i="14"/>
  <c r="K299" i="14"/>
  <c r="L391" i="14"/>
  <c r="K391" i="14"/>
  <c r="K569" i="14"/>
  <c r="L569" i="14"/>
  <c r="K431" i="14"/>
  <c r="L431" i="14"/>
  <c r="K170" i="14"/>
  <c r="L170" i="14"/>
  <c r="L427" i="14"/>
  <c r="K427" i="14"/>
  <c r="L632" i="14"/>
  <c r="K632" i="14"/>
  <c r="L648" i="14"/>
  <c r="K648" i="14"/>
  <c r="L685" i="14"/>
  <c r="K685" i="14"/>
  <c r="K630" i="14"/>
  <c r="L630" i="14"/>
  <c r="K333" i="14"/>
  <c r="L333" i="14"/>
  <c r="K694" i="14"/>
  <c r="L694" i="14"/>
  <c r="L658" i="14"/>
  <c r="K658" i="14"/>
  <c r="K147" i="14"/>
  <c r="L147" i="14"/>
  <c r="K636" i="14"/>
  <c r="L636" i="14"/>
  <c r="K296" i="14"/>
  <c r="L296" i="14"/>
  <c r="K156" i="14"/>
  <c r="L156" i="14"/>
  <c r="L167" i="14"/>
  <c r="K167" i="14"/>
  <c r="L218" i="14"/>
  <c r="K218" i="14"/>
  <c r="K327" i="14"/>
  <c r="L327" i="14"/>
  <c r="K604" i="14"/>
  <c r="L604" i="14"/>
  <c r="K547" i="14"/>
  <c r="L547" i="14"/>
  <c r="L457" i="14"/>
  <c r="K457" i="14"/>
  <c r="K266" i="14"/>
  <c r="L266" i="14"/>
  <c r="K511" i="14"/>
  <c r="L511" i="14"/>
  <c r="L681" i="14"/>
  <c r="K681" i="14"/>
  <c r="L445" i="14"/>
  <c r="K445" i="14"/>
  <c r="K389" i="14"/>
  <c r="L389" i="14"/>
  <c r="L284" i="14"/>
  <c r="K284" i="14"/>
  <c r="K238" i="14"/>
  <c r="L238" i="14"/>
  <c r="L493" i="14"/>
  <c r="K493" i="14"/>
  <c r="K610" i="14"/>
  <c r="L610" i="14"/>
  <c r="L300" i="14"/>
  <c r="K300" i="14"/>
  <c r="L352" i="14"/>
  <c r="K352" i="14"/>
  <c r="L165" i="14"/>
  <c r="K165" i="14"/>
  <c r="L366" i="14"/>
  <c r="K366" i="14"/>
  <c r="L135" i="14"/>
  <c r="K135" i="14"/>
  <c r="L524" i="14"/>
  <c r="K524" i="14"/>
  <c r="L706" i="14"/>
  <c r="K706" i="14"/>
  <c r="L368" i="14"/>
  <c r="K368" i="14"/>
  <c r="K188" i="14"/>
  <c r="L188" i="14"/>
  <c r="L305" i="14"/>
  <c r="K305" i="14"/>
  <c r="L268" i="14"/>
  <c r="K268" i="14"/>
  <c r="K409" i="14"/>
  <c r="L409" i="14"/>
  <c r="L634" i="14"/>
  <c r="K634" i="14"/>
  <c r="K446" i="14"/>
  <c r="L446" i="14"/>
  <c r="L71" i="14"/>
  <c r="K71" i="14"/>
  <c r="L98" i="14"/>
  <c r="K98" i="14"/>
  <c r="K181" i="14"/>
  <c r="L181" i="14"/>
  <c r="L340" i="14"/>
  <c r="K340" i="14"/>
  <c r="K222" i="14"/>
  <c r="L222" i="14"/>
  <c r="K198" i="14"/>
  <c r="L198" i="14"/>
  <c r="K434" i="14"/>
  <c r="L434" i="14"/>
  <c r="L441" i="14"/>
  <c r="K441" i="14"/>
  <c r="L584" i="14"/>
  <c r="K584" i="14"/>
  <c r="K245" i="14"/>
  <c r="L245" i="14"/>
  <c r="K515" i="14"/>
  <c r="L515" i="14"/>
  <c r="K602" i="14"/>
  <c r="L602" i="14"/>
  <c r="L322" i="14"/>
  <c r="K322" i="14"/>
  <c r="L160" i="14"/>
  <c r="K160" i="14"/>
  <c r="K506" i="14"/>
  <c r="L506" i="14"/>
  <c r="K319" i="14"/>
  <c r="L319" i="14"/>
  <c r="L206" i="14"/>
  <c r="K206" i="14"/>
  <c r="K627" i="14"/>
  <c r="L627" i="14"/>
  <c r="L130" i="14"/>
  <c r="K130" i="14"/>
  <c r="K234" i="14"/>
  <c r="L234" i="14"/>
  <c r="K334" i="14"/>
  <c r="L334" i="14"/>
  <c r="L398" i="14"/>
  <c r="K398" i="14"/>
  <c r="K561" i="14"/>
  <c r="L561" i="14"/>
  <c r="L642" i="14"/>
  <c r="K642" i="14"/>
  <c r="L139" i="14"/>
  <c r="K139" i="14"/>
  <c r="L223" i="14"/>
  <c r="K223" i="14"/>
  <c r="L624" i="14"/>
  <c r="K624" i="14"/>
  <c r="K162" i="14"/>
  <c r="L162" i="14"/>
  <c r="K492" i="14"/>
  <c r="L492" i="14"/>
  <c r="K133" i="14"/>
  <c r="L133" i="14"/>
  <c r="K74" i="14"/>
  <c r="L74" i="14"/>
  <c r="K88" i="14"/>
  <c r="L88" i="14"/>
  <c r="K402" i="14"/>
  <c r="L402" i="14"/>
  <c r="K356" i="14"/>
  <c r="L356" i="14"/>
  <c r="L395" i="14"/>
  <c r="K395" i="14"/>
  <c r="K497" i="14"/>
  <c r="L497" i="14"/>
  <c r="L633" i="14"/>
  <c r="K633" i="14"/>
  <c r="L250" i="14"/>
  <c r="K250" i="14"/>
  <c r="L689" i="14"/>
  <c r="K689" i="14"/>
  <c r="L410" i="14"/>
  <c r="K410" i="14"/>
  <c r="K155" i="14"/>
  <c r="L155" i="14"/>
  <c r="L586" i="14"/>
  <c r="K586" i="14"/>
  <c r="K70" i="14"/>
  <c r="L70" i="14"/>
  <c r="K688" i="14"/>
  <c r="L688" i="14"/>
  <c r="L236" i="14"/>
  <c r="K236" i="14"/>
  <c r="K200" i="14"/>
  <c r="L200" i="14"/>
  <c r="K567" i="14"/>
  <c r="L567" i="14"/>
  <c r="K662" i="14"/>
  <c r="L662" i="14"/>
  <c r="K539" i="14"/>
  <c r="L539" i="14"/>
  <c r="L354" i="14"/>
  <c r="K354" i="14"/>
  <c r="L609" i="14"/>
  <c r="K609" i="14"/>
  <c r="K585" i="14"/>
  <c r="L585" i="14"/>
  <c r="L262" i="14"/>
  <c r="K262" i="14"/>
  <c r="K108" i="14"/>
  <c r="L108" i="14"/>
  <c r="L531" i="14"/>
  <c r="K531" i="14"/>
  <c r="K388" i="14"/>
  <c r="L388" i="14"/>
  <c r="K544" i="14"/>
  <c r="L544" i="14"/>
  <c r="K554" i="14"/>
  <c r="L554" i="14"/>
  <c r="L166" i="14"/>
  <c r="K166" i="14"/>
  <c r="K280" i="14"/>
  <c r="L280" i="14"/>
  <c r="L392" i="14"/>
  <c r="K392" i="14"/>
  <c r="L154" i="14"/>
  <c r="K154" i="14"/>
  <c r="L477" i="14"/>
  <c r="K477" i="14"/>
  <c r="L312" i="14"/>
  <c r="K312" i="14"/>
  <c r="L157" i="14"/>
  <c r="K157" i="14"/>
  <c r="K618" i="14"/>
  <c r="L618" i="14"/>
  <c r="L176" i="14"/>
  <c r="K176" i="14"/>
  <c r="K219" i="14"/>
  <c r="L219" i="14"/>
  <c r="K209" i="14"/>
  <c r="L209" i="14"/>
  <c r="L429" i="14"/>
  <c r="K429" i="14"/>
  <c r="K105" i="14"/>
  <c r="L105" i="14"/>
  <c r="L614" i="14"/>
  <c r="K614" i="14"/>
  <c r="L295" i="14"/>
  <c r="K295" i="14"/>
  <c r="L645" i="14"/>
  <c r="K645" i="14"/>
  <c r="K273" i="14"/>
  <c r="L273" i="14"/>
  <c r="K87" i="14"/>
  <c r="L87" i="14"/>
  <c r="K668" i="14"/>
  <c r="L668" i="14"/>
  <c r="K80" i="14"/>
  <c r="L80" i="14"/>
  <c r="K96" i="14"/>
  <c r="L96" i="14"/>
  <c r="L419" i="14"/>
  <c r="K419" i="14"/>
  <c r="L458" i="14"/>
  <c r="K458" i="14"/>
  <c r="L342" i="14"/>
  <c r="K342" i="14"/>
  <c r="L692" i="14"/>
  <c r="K692" i="14"/>
  <c r="K448" i="14"/>
  <c r="L448" i="14"/>
  <c r="K318" i="14"/>
  <c r="L318" i="14"/>
  <c r="K551" i="14"/>
  <c r="L551" i="14"/>
  <c r="L510" i="14"/>
  <c r="K510" i="14"/>
  <c r="K294" i="14"/>
  <c r="L294" i="14"/>
  <c r="L345" i="14"/>
  <c r="K345" i="14"/>
  <c r="K145" i="14"/>
  <c r="L145" i="14"/>
  <c r="L461" i="14"/>
  <c r="K461" i="14"/>
  <c r="K120" i="14"/>
  <c r="L120" i="14"/>
  <c r="L112" i="14"/>
  <c r="K112" i="14"/>
  <c r="K320" i="14"/>
  <c r="L320" i="14"/>
  <c r="L248" i="14"/>
  <c r="K248" i="14"/>
  <c r="K237" i="14"/>
  <c r="L237" i="14"/>
  <c r="L227" i="14"/>
  <c r="K227" i="14"/>
  <c r="L271" i="14"/>
  <c r="K271" i="14"/>
  <c r="K77" i="14"/>
  <c r="L77" i="14"/>
  <c r="K371" i="14"/>
  <c r="L371" i="14"/>
  <c r="K113" i="14"/>
  <c r="L113" i="14"/>
  <c r="K259" i="14"/>
  <c r="L259" i="14"/>
  <c r="K574" i="14"/>
  <c r="L574" i="14"/>
  <c r="L593" i="14"/>
  <c r="K593" i="14"/>
  <c r="L468" i="14"/>
  <c r="K468" i="14"/>
  <c r="K438" i="14"/>
  <c r="L438" i="14"/>
  <c r="L359" i="14"/>
  <c r="K359" i="14"/>
  <c r="K735" i="14"/>
  <c r="L735" i="14"/>
  <c r="L731" i="14"/>
  <c r="K731" i="14"/>
  <c r="K718" i="14"/>
  <c r="L718" i="14"/>
  <c r="L479" i="14"/>
  <c r="K479" i="14"/>
  <c r="K256" i="14"/>
  <c r="L256" i="14"/>
  <c r="L187" i="14"/>
  <c r="K187" i="14"/>
  <c r="L702" i="14"/>
  <c r="K702" i="14"/>
  <c r="K490" i="14"/>
  <c r="L490" i="14"/>
  <c r="L251" i="14"/>
  <c r="K251" i="14"/>
  <c r="K733" i="14"/>
  <c r="L733" i="14"/>
  <c r="K727" i="14"/>
  <c r="L727" i="14"/>
  <c r="K723" i="14"/>
  <c r="L723" i="14"/>
  <c r="K719" i="14"/>
  <c r="L719" i="14"/>
  <c r="K715" i="14"/>
  <c r="L715" i="14"/>
  <c r="L711" i="14"/>
  <c r="K711" i="14"/>
  <c r="K653" i="14"/>
  <c r="L653" i="14"/>
  <c r="K118" i="14"/>
  <c r="L118" i="14"/>
  <c r="K323" i="14"/>
  <c r="L323" i="14"/>
  <c r="K459" i="14"/>
  <c r="L459" i="14"/>
  <c r="K255" i="14"/>
  <c r="L255" i="14"/>
  <c r="K283" i="14"/>
  <c r="L283" i="14"/>
  <c r="L677" i="14"/>
  <c r="K677" i="14"/>
  <c r="L310" i="14"/>
  <c r="K310" i="14"/>
  <c r="K487" i="14"/>
  <c r="L487" i="14"/>
  <c r="L383" i="14"/>
  <c r="K383" i="14"/>
  <c r="L418" i="14"/>
  <c r="K418" i="14"/>
  <c r="K304" i="14"/>
  <c r="L304" i="14"/>
  <c r="L214" i="14"/>
  <c r="K214" i="14"/>
  <c r="L253" i="14"/>
  <c r="K253" i="14"/>
  <c r="L149" i="14"/>
  <c r="K149" i="14"/>
  <c r="L122" i="14"/>
  <c r="K122" i="14"/>
  <c r="K208" i="14"/>
  <c r="L208" i="14"/>
  <c r="K142" i="14"/>
  <c r="L142" i="14"/>
  <c r="L572" i="14"/>
  <c r="K572" i="14"/>
  <c r="L509" i="14"/>
  <c r="K509" i="14"/>
  <c r="L115" i="14"/>
  <c r="K115" i="14"/>
  <c r="K121" i="14"/>
  <c r="L121" i="14"/>
  <c r="K673" i="14"/>
  <c r="L673" i="14"/>
  <c r="L488" i="14"/>
  <c r="K488" i="14"/>
  <c r="L449" i="14"/>
  <c r="K449" i="14"/>
  <c r="L522" i="14"/>
  <c r="K522" i="14"/>
  <c r="K656" i="14"/>
  <c r="L656" i="14"/>
  <c r="L197" i="14"/>
  <c r="K197" i="14"/>
  <c r="L631" i="14"/>
  <c r="K631" i="14"/>
  <c r="L447" i="14"/>
  <c r="K447" i="14"/>
  <c r="L538" i="14"/>
  <c r="K538" i="14"/>
  <c r="L568" i="14"/>
  <c r="K568" i="14"/>
  <c r="L163" i="14"/>
  <c r="K163" i="14"/>
  <c r="L138" i="14"/>
  <c r="K138" i="14"/>
  <c r="K211" i="14"/>
  <c r="L211" i="14"/>
  <c r="K337" i="14"/>
  <c r="L337" i="14"/>
  <c r="L393" i="14"/>
  <c r="K393" i="14"/>
  <c r="K535" i="14"/>
  <c r="L535" i="14"/>
  <c r="L240" i="14"/>
  <c r="K240" i="14"/>
  <c r="K583" i="14"/>
  <c r="L583" i="14"/>
  <c r="L195" i="14"/>
  <c r="K195" i="14"/>
  <c r="K288" i="14"/>
  <c r="L288" i="14"/>
  <c r="K422" i="14"/>
  <c r="L422" i="14"/>
  <c r="L462" i="14"/>
  <c r="K462" i="14"/>
  <c r="K679" i="14"/>
  <c r="L679" i="14"/>
  <c r="L183" i="14"/>
  <c r="K183" i="14"/>
  <c r="K456" i="14"/>
  <c r="L456" i="14"/>
  <c r="L659" i="14"/>
  <c r="K659" i="14"/>
  <c r="L205" i="14"/>
  <c r="K205" i="14"/>
  <c r="L430" i="14"/>
  <c r="K430" i="14"/>
  <c r="K562" i="14"/>
  <c r="L562" i="14"/>
  <c r="K338" i="14"/>
  <c r="L338" i="14"/>
  <c r="K542" i="14"/>
  <c r="L542" i="14"/>
  <c r="L411" i="14"/>
  <c r="K411" i="14"/>
  <c r="L439" i="14"/>
  <c r="K439" i="14"/>
  <c r="K417" i="14"/>
  <c r="L417" i="14"/>
  <c r="L351" i="14"/>
  <c r="K351" i="14"/>
  <c r="K460" i="14"/>
  <c r="L460" i="14"/>
  <c r="L466" i="14"/>
  <c r="K466" i="14"/>
  <c r="L346" i="14"/>
  <c r="K346" i="14"/>
  <c r="K212" i="14"/>
  <c r="L212" i="14"/>
  <c r="K675" i="14"/>
  <c r="L675" i="14"/>
  <c r="K622" i="14"/>
  <c r="L622" i="14"/>
  <c r="K324" i="14"/>
  <c r="L324" i="14"/>
  <c r="L86" i="14"/>
  <c r="K86" i="14"/>
  <c r="L616" i="14"/>
  <c r="K616" i="14"/>
  <c r="L704" i="14"/>
  <c r="K704" i="14"/>
  <c r="L543" i="14"/>
  <c r="K543" i="14"/>
  <c r="L129" i="14"/>
  <c r="K129" i="14"/>
  <c r="K67" i="14"/>
  <c r="L67" i="14"/>
  <c r="K184" i="14"/>
  <c r="L184" i="14"/>
  <c r="K471" i="14"/>
  <c r="L471" i="14"/>
  <c r="K180" i="14"/>
  <c r="L180" i="14"/>
  <c r="K464" i="14"/>
  <c r="L464" i="14"/>
  <c r="K224" i="14"/>
  <c r="L224" i="14"/>
  <c r="L114" i="14"/>
  <c r="K114" i="14"/>
  <c r="L558" i="14"/>
  <c r="K558" i="14"/>
  <c r="K313" i="14"/>
  <c r="L313" i="14"/>
  <c r="K264" i="14"/>
  <c r="L264" i="14"/>
  <c r="L478" i="14"/>
  <c r="K478" i="14"/>
  <c r="L415" i="14"/>
  <c r="K415" i="14"/>
  <c r="L230" i="14"/>
  <c r="K230" i="14"/>
  <c r="K617" i="14"/>
  <c r="L617" i="14"/>
  <c r="K649" i="14"/>
  <c r="L649" i="14"/>
  <c r="K384" i="14"/>
  <c r="L384" i="14"/>
  <c r="K528" i="14"/>
  <c r="L528" i="14"/>
  <c r="K496" i="14"/>
  <c r="L496" i="14"/>
  <c r="L683" i="14"/>
  <c r="K683" i="14"/>
  <c r="K367" i="14"/>
  <c r="L367" i="14"/>
  <c r="L440" i="14"/>
  <c r="K440" i="14"/>
  <c r="K82" i="14"/>
  <c r="L82" i="14"/>
  <c r="L665" i="14"/>
  <c r="K665" i="14"/>
  <c r="L373" i="14"/>
  <c r="K373" i="14"/>
  <c r="K621" i="14"/>
  <c r="L621" i="14"/>
  <c r="K556" i="14"/>
  <c r="L556" i="14"/>
  <c r="L75" i="14"/>
  <c r="K75" i="14"/>
  <c r="L140" i="14"/>
  <c r="K140" i="14"/>
  <c r="K128" i="14"/>
  <c r="L128" i="14"/>
  <c r="L104" i="14"/>
  <c r="K104" i="14"/>
  <c r="L404" i="14"/>
  <c r="K404" i="14"/>
  <c r="K669" i="14"/>
  <c r="L669" i="14"/>
  <c r="K169" i="14"/>
  <c r="L169" i="14"/>
  <c r="L500" i="14"/>
  <c r="K500" i="14"/>
  <c r="L177" i="14"/>
  <c r="K177" i="14"/>
  <c r="L513" i="14"/>
  <c r="K513" i="14"/>
  <c r="K507" i="14"/>
  <c r="L507" i="14"/>
  <c r="K178" i="14"/>
  <c r="L178" i="14"/>
  <c r="K667" i="14"/>
  <c r="L667" i="14"/>
  <c r="L501" i="14"/>
  <c r="K501" i="14"/>
  <c r="K435" i="14"/>
  <c r="L435" i="14"/>
  <c r="L276" i="14"/>
  <c r="K276" i="14"/>
  <c r="K136" i="14"/>
  <c r="L136" i="14"/>
  <c r="L258" i="14"/>
  <c r="K258" i="14"/>
  <c r="K85" i="14"/>
  <c r="L85" i="14"/>
  <c r="L92" i="14"/>
  <c r="K92" i="14"/>
  <c r="K84" i="14"/>
  <c r="L84" i="14"/>
  <c r="K530" i="14"/>
  <c r="L530" i="14"/>
  <c r="L555" i="14"/>
  <c r="K555" i="14"/>
  <c r="L377" i="14"/>
  <c r="K377" i="14"/>
  <c r="L186" i="14"/>
  <c r="K186" i="14"/>
  <c r="L495" i="14"/>
  <c r="K495" i="14"/>
  <c r="K619" i="14"/>
  <c r="L619" i="14"/>
  <c r="L246" i="14"/>
  <c r="K246" i="14"/>
  <c r="K454" i="14"/>
  <c r="L454" i="14"/>
  <c r="K521" i="14"/>
  <c r="L521" i="14"/>
  <c r="K365" i="14"/>
  <c r="L365" i="14"/>
  <c r="L405" i="14"/>
  <c r="K405" i="14"/>
  <c r="K275" i="14"/>
  <c r="L275" i="14"/>
  <c r="K298" i="14"/>
  <c r="L298" i="14"/>
  <c r="L489" i="14"/>
  <c r="K489" i="14"/>
  <c r="K358" i="14"/>
  <c r="L358" i="14"/>
  <c r="L639" i="14"/>
  <c r="K639" i="14"/>
  <c r="K151" i="14"/>
  <c r="L151" i="14"/>
  <c r="L315" i="14"/>
  <c r="K315" i="14"/>
  <c r="L576" i="14"/>
  <c r="K576" i="14"/>
  <c r="L376" i="14"/>
  <c r="K376" i="14"/>
  <c r="L629" i="14"/>
  <c r="K629" i="14"/>
  <c r="K347" i="14"/>
  <c r="L347" i="14"/>
  <c r="K553" i="14"/>
  <c r="L553" i="14"/>
  <c r="L413" i="14"/>
  <c r="K413" i="14"/>
  <c r="L505" i="14"/>
  <c r="K505" i="14"/>
  <c r="L514" i="14"/>
  <c r="K514" i="14"/>
  <c r="L578" i="14"/>
  <c r="K578" i="14"/>
  <c r="K654" i="14"/>
  <c r="L654" i="14"/>
  <c r="K498" i="14"/>
  <c r="L498" i="14"/>
  <c r="L119" i="14"/>
  <c r="K119" i="14"/>
  <c r="K687" i="14"/>
  <c r="L687" i="14"/>
  <c r="L700" i="14"/>
  <c r="K700" i="14"/>
  <c r="L326" i="14"/>
  <c r="K326" i="14"/>
  <c r="K406" i="14"/>
  <c r="L406" i="14"/>
  <c r="L241" i="14"/>
  <c r="K241" i="14"/>
  <c r="L175" i="14"/>
  <c r="K175" i="14"/>
  <c r="K148" i="14"/>
  <c r="L148" i="14"/>
  <c r="L407" i="14"/>
  <c r="K407" i="14"/>
  <c r="K491" i="14"/>
  <c r="L491" i="14"/>
  <c r="K661" i="14"/>
  <c r="L661" i="14"/>
  <c r="K314" i="14"/>
  <c r="L314" i="14"/>
  <c r="L548" i="14"/>
  <c r="K548" i="14"/>
  <c r="L707" i="14"/>
  <c r="K707" i="14"/>
  <c r="L564" i="14"/>
  <c r="K564" i="14"/>
  <c r="K386" i="14"/>
  <c r="L386" i="14"/>
  <c r="L732" i="14"/>
  <c r="K732" i="14"/>
  <c r="L714" i="14"/>
  <c r="K714" i="14"/>
  <c r="L525" i="14"/>
  <c r="K525" i="14"/>
  <c r="K125" i="14"/>
  <c r="L125" i="14"/>
  <c r="L573" i="14"/>
  <c r="K573" i="14"/>
  <c r="K467" i="14"/>
  <c r="L467" i="14"/>
  <c r="K421" i="14"/>
  <c r="L421" i="14"/>
  <c r="K596" i="14"/>
  <c r="L596" i="14"/>
  <c r="K442" i="14"/>
  <c r="L442" i="14"/>
  <c r="L100" i="14"/>
  <c r="K100" i="14"/>
  <c r="L291" i="14"/>
  <c r="K291" i="14"/>
  <c r="L309" i="14"/>
  <c r="K309" i="14"/>
  <c r="K328" i="14"/>
  <c r="L328" i="14"/>
  <c r="L229" i="14"/>
  <c r="K229" i="14"/>
  <c r="K587" i="14"/>
  <c r="L587" i="14"/>
  <c r="L196" i="14"/>
  <c r="K196" i="14"/>
  <c r="K260" i="14"/>
  <c r="L260" i="14"/>
  <c r="L611" i="14"/>
  <c r="K611" i="14"/>
  <c r="K620" i="14"/>
  <c r="L620" i="14"/>
  <c r="K193" i="14"/>
  <c r="L193" i="14"/>
  <c r="K73" i="14"/>
  <c r="L73" i="14"/>
  <c r="L475" i="14"/>
  <c r="K475" i="14"/>
  <c r="L381" i="14"/>
  <c r="K381" i="14"/>
  <c r="K91" i="14"/>
  <c r="L91" i="14"/>
  <c r="K278" i="14"/>
  <c r="L278" i="14"/>
  <c r="L664" i="14"/>
  <c r="K664" i="14"/>
  <c r="K436" i="14"/>
  <c r="L436" i="14"/>
  <c r="L401" i="14"/>
  <c r="K401" i="14"/>
  <c r="L396" i="14"/>
  <c r="K396" i="14"/>
  <c r="K670" i="14"/>
  <c r="L670" i="14"/>
  <c r="K282" i="14"/>
  <c r="L282" i="14"/>
  <c r="K523" i="14"/>
  <c r="L523" i="14"/>
  <c r="L690" i="14"/>
  <c r="K690" i="14"/>
  <c r="K695" i="14"/>
  <c r="L695" i="14"/>
  <c r="K672" i="14"/>
  <c r="L672" i="14"/>
  <c r="L329" i="14"/>
  <c r="K329" i="14"/>
  <c r="L420" i="14"/>
  <c r="K420" i="14"/>
  <c r="L453" i="14"/>
  <c r="K453" i="14"/>
  <c r="L372" i="14"/>
  <c r="K372" i="14"/>
  <c r="K566" i="14"/>
  <c r="L566" i="14"/>
  <c r="K267" i="14"/>
  <c r="L267" i="14"/>
  <c r="K360" i="14"/>
  <c r="L360" i="14"/>
  <c r="K124" i="14"/>
  <c r="L124" i="14"/>
  <c r="K472" i="14"/>
  <c r="L472" i="14"/>
  <c r="L612" i="14"/>
  <c r="K612" i="14"/>
  <c r="K72" i="14"/>
  <c r="L72" i="14"/>
  <c r="K463" i="14"/>
  <c r="L463" i="14"/>
  <c r="K179" i="14"/>
  <c r="L179" i="14"/>
  <c r="K589" i="14"/>
  <c r="L589" i="14"/>
  <c r="L503" i="14"/>
  <c r="K503" i="14"/>
  <c r="K608" i="14"/>
  <c r="L608" i="14"/>
  <c r="L182" i="14"/>
  <c r="K182" i="14"/>
  <c r="L655" i="14"/>
  <c r="K655" i="14"/>
  <c r="L141" i="14"/>
  <c r="K141" i="14"/>
  <c r="L109" i="14"/>
  <c r="K109" i="14"/>
  <c r="K519" i="14"/>
  <c r="L519" i="14"/>
  <c r="K207" i="14"/>
  <c r="L207" i="14"/>
  <c r="L117" i="14"/>
  <c r="K117" i="14"/>
  <c r="L274" i="14"/>
  <c r="K274" i="14"/>
  <c r="K708" i="14"/>
  <c r="L708" i="14"/>
  <c r="K394" i="14"/>
  <c r="L394" i="14"/>
  <c r="K332" i="14"/>
  <c r="L332" i="14"/>
  <c r="L110" i="14"/>
  <c r="K110" i="14"/>
  <c r="L571" i="14"/>
  <c r="K571" i="14"/>
  <c r="K650" i="14"/>
  <c r="L650" i="14"/>
  <c r="K412" i="14"/>
  <c r="L412" i="14"/>
  <c r="L660" i="14"/>
  <c r="K660" i="14"/>
  <c r="K137" i="14"/>
  <c r="L137" i="14"/>
  <c r="K306" i="14"/>
  <c r="L306" i="14"/>
  <c r="L244" i="14"/>
  <c r="K244" i="14"/>
  <c r="L265" i="14"/>
  <c r="K265" i="14"/>
  <c r="L508" i="14"/>
  <c r="K508" i="14"/>
  <c r="L560" i="14"/>
  <c r="K560" i="14"/>
  <c r="L646" i="14"/>
  <c r="K646" i="14"/>
  <c r="L647" i="14"/>
  <c r="K647" i="14"/>
  <c r="L290" i="14"/>
  <c r="K290" i="14"/>
  <c r="L297" i="14"/>
  <c r="K297" i="14"/>
  <c r="L470" i="14"/>
  <c r="K470" i="14"/>
  <c r="K557" i="14"/>
  <c r="L557" i="14"/>
  <c r="L301" i="14"/>
  <c r="K301" i="14"/>
  <c r="K153" i="14"/>
  <c r="L153" i="14"/>
  <c r="K499" i="14"/>
  <c r="L499" i="14"/>
  <c r="K213" i="14"/>
  <c r="L213" i="14"/>
  <c r="L174" i="14"/>
  <c r="K174" i="14"/>
  <c r="K698" i="14"/>
  <c r="L698" i="14"/>
  <c r="K502" i="14"/>
  <c r="L502" i="14"/>
  <c r="L90" i="14"/>
  <c r="K90" i="14"/>
  <c r="K590" i="14"/>
  <c r="L590" i="14"/>
  <c r="L220" i="14"/>
  <c r="K220" i="14"/>
  <c r="K189" i="14"/>
  <c r="L189" i="14"/>
  <c r="L625" i="14"/>
  <c r="K625" i="14"/>
  <c r="L613" i="14"/>
  <c r="K613" i="14"/>
  <c r="K559" i="14"/>
  <c r="L559" i="14"/>
  <c r="K451" i="14"/>
  <c r="L451" i="14"/>
  <c r="L281" i="14"/>
  <c r="K281" i="14"/>
  <c r="K254" i="14"/>
  <c r="L254" i="14"/>
  <c r="K382" i="14"/>
  <c r="L382" i="14"/>
  <c r="L652" i="14"/>
  <c r="K652" i="14"/>
  <c r="K185" i="14"/>
  <c r="L185" i="14"/>
  <c r="L425" i="14"/>
  <c r="K425" i="14"/>
  <c r="L666" i="14"/>
  <c r="K666" i="14"/>
  <c r="K363" i="14"/>
  <c r="L363" i="14"/>
  <c r="L317" i="14"/>
  <c r="K317" i="14"/>
  <c r="K172" i="14"/>
  <c r="L172" i="14"/>
  <c r="L330" i="14"/>
  <c r="K330" i="14"/>
  <c r="K433" i="14"/>
  <c r="L433" i="14"/>
  <c r="K362" i="14"/>
  <c r="L362" i="14"/>
  <c r="L353" i="14"/>
  <c r="K353" i="14"/>
  <c r="L705" i="14"/>
  <c r="K705" i="14"/>
  <c r="K696" i="14"/>
  <c r="L696" i="14"/>
  <c r="K289" i="14"/>
  <c r="L289" i="14"/>
  <c r="L450" i="14"/>
  <c r="K450" i="14"/>
  <c r="K504" i="14"/>
  <c r="L504" i="14"/>
  <c r="K190" i="14"/>
  <c r="L190" i="14"/>
  <c r="K316" i="14"/>
  <c r="L316" i="14"/>
  <c r="L414" i="14"/>
  <c r="K414" i="14"/>
  <c r="L242" i="14"/>
  <c r="K242" i="14"/>
  <c r="L127" i="14"/>
  <c r="K127" i="14"/>
  <c r="L465" i="14"/>
  <c r="K465" i="14"/>
  <c r="L671" i="14"/>
  <c r="K671" i="14"/>
  <c r="L693" i="14"/>
  <c r="K693" i="14"/>
  <c r="L397" i="14"/>
  <c r="K397" i="14"/>
  <c r="L292" i="14"/>
  <c r="K292" i="14"/>
  <c r="K235" i="14"/>
  <c r="L235" i="14"/>
  <c r="L400" i="14"/>
  <c r="K400" i="14"/>
  <c r="L361" i="14"/>
  <c r="K361" i="14"/>
  <c r="K191" i="14"/>
  <c r="L191" i="14"/>
  <c r="L101" i="14"/>
  <c r="K101" i="14"/>
  <c r="K484" i="14"/>
  <c r="L484" i="14"/>
  <c r="K426" i="14"/>
  <c r="L426" i="14"/>
  <c r="L116" i="14"/>
  <c r="K116" i="14"/>
  <c r="L563" i="14"/>
  <c r="K563" i="14"/>
  <c r="K344" i="14"/>
  <c r="L344" i="14"/>
  <c r="L701" i="14"/>
  <c r="K701" i="14"/>
  <c r="K308" i="14"/>
  <c r="L308" i="14"/>
  <c r="L517" i="14"/>
  <c r="K517" i="14"/>
  <c r="L232" i="14"/>
  <c r="K232" i="14"/>
  <c r="L527" i="14"/>
  <c r="K527" i="14"/>
  <c r="K379" i="14"/>
  <c r="L379" i="14"/>
  <c r="L676" i="14"/>
  <c r="K676" i="14"/>
  <c r="K699" i="14"/>
  <c r="L699" i="14"/>
  <c r="L575" i="14"/>
  <c r="K575" i="14"/>
  <c r="L437" i="14"/>
  <c r="K437" i="14"/>
  <c r="K722" i="14"/>
  <c r="L722" i="14"/>
  <c r="K710" i="14"/>
  <c r="L710" i="14"/>
  <c r="L480" i="14"/>
  <c r="K480" i="14"/>
  <c r="L416" i="14"/>
  <c r="K416" i="14"/>
  <c r="L691" i="14"/>
  <c r="K691" i="14"/>
  <c r="K307" i="14"/>
  <c r="L307" i="14"/>
  <c r="K607" i="14"/>
  <c r="L607" i="14"/>
  <c r="K286" i="14"/>
  <c r="L286" i="14"/>
  <c r="L204" i="14"/>
  <c r="K204" i="14"/>
  <c r="L734" i="14"/>
  <c r="K734" i="14"/>
  <c r="L729" i="14"/>
  <c r="K729" i="14"/>
  <c r="L725" i="14"/>
  <c r="K725" i="14"/>
  <c r="K721" i="14"/>
  <c r="L721" i="14"/>
  <c r="L717" i="14"/>
  <c r="K717" i="14"/>
  <c r="K713" i="14"/>
  <c r="L713" i="14"/>
  <c r="L640" i="14"/>
  <c r="K640" i="14"/>
  <c r="L518" i="14"/>
  <c r="K518" i="14"/>
  <c r="L158" i="14"/>
  <c r="K158" i="14"/>
  <c r="K606" i="14"/>
  <c r="L606" i="14"/>
  <c r="K686" i="14"/>
  <c r="L686" i="14"/>
  <c r="L217" i="14"/>
  <c r="K217" i="14"/>
  <c r="K249" i="14"/>
  <c r="L249" i="14"/>
  <c r="L600" i="14"/>
  <c r="K600" i="14"/>
  <c r="K399" i="14"/>
  <c r="L399" i="14"/>
  <c r="L684" i="14"/>
  <c r="K684" i="14"/>
  <c r="L380" i="14"/>
  <c r="K380" i="14"/>
  <c r="K682" i="14"/>
  <c r="L682" i="14"/>
  <c r="L247" i="14"/>
  <c r="K247" i="14"/>
  <c r="K581" i="14"/>
  <c r="L581" i="14"/>
  <c r="L321" i="14"/>
  <c r="K321" i="14"/>
  <c r="K580" i="14"/>
  <c r="L580" i="14"/>
  <c r="K512" i="14"/>
  <c r="L512" i="14"/>
  <c r="L663" i="14"/>
  <c r="K663" i="14"/>
  <c r="K536" i="14"/>
  <c r="L536" i="14"/>
  <c r="K623" i="14"/>
  <c r="L623" i="14"/>
  <c r="L123" i="14"/>
  <c r="K123" i="14"/>
  <c r="L357" i="14"/>
  <c r="K357" i="14"/>
  <c r="L270" i="14"/>
  <c r="K270" i="14"/>
  <c r="K549" i="14"/>
  <c r="L549" i="14"/>
  <c r="L349" i="14"/>
  <c r="K349" i="14"/>
  <c r="L626" i="14"/>
  <c r="K626" i="14"/>
  <c r="K591" i="14"/>
  <c r="L591" i="14"/>
  <c r="L628" i="14"/>
  <c r="K628" i="14"/>
  <c r="L199" i="14"/>
  <c r="K199" i="14"/>
  <c r="L532" i="14"/>
  <c r="K532" i="14"/>
  <c r="K134" i="14"/>
  <c r="L134" i="14"/>
  <c r="L469" i="14"/>
  <c r="K469" i="14"/>
  <c r="L579" i="14"/>
  <c r="K579" i="14"/>
  <c r="L424" i="14"/>
  <c r="K424" i="14"/>
  <c r="K443" i="14"/>
  <c r="L443" i="14"/>
  <c r="K102" i="14"/>
  <c r="L102" i="14"/>
  <c r="K599" i="14"/>
  <c r="L599" i="14"/>
  <c r="L387" i="14"/>
  <c r="K387" i="14"/>
  <c r="L348" i="14"/>
  <c r="K348" i="14"/>
  <c r="L520" i="14"/>
  <c r="K520" i="14"/>
  <c r="L168" i="14"/>
  <c r="K168" i="14"/>
  <c r="L293" i="14"/>
  <c r="K293" i="14"/>
  <c r="K697" i="14"/>
  <c r="L697" i="14"/>
  <c r="L370" i="14"/>
  <c r="K370" i="14"/>
  <c r="L132" i="14"/>
  <c r="K132" i="14"/>
  <c r="K159" i="14"/>
  <c r="L159" i="14"/>
  <c r="K605" i="14"/>
  <c r="L605" i="14"/>
  <c r="L192" i="14"/>
  <c r="K192" i="14"/>
  <c r="K152" i="14"/>
  <c r="L152" i="14"/>
  <c r="L215" i="14"/>
  <c r="K215" i="14"/>
  <c r="K651" i="14"/>
  <c r="L651" i="14"/>
  <c r="L173" i="14"/>
  <c r="K173" i="14"/>
  <c r="K146" i="14"/>
  <c r="L146" i="14"/>
  <c r="L83" i="14"/>
  <c r="K83" i="14"/>
  <c r="L529" i="14"/>
  <c r="K529" i="14"/>
  <c r="L303" i="14"/>
  <c r="K303" i="14"/>
  <c r="K594" i="14"/>
  <c r="L594" i="14"/>
  <c r="K216" i="14"/>
  <c r="L216" i="14"/>
  <c r="K221" i="14"/>
  <c r="L221" i="14"/>
  <c r="K657" i="14"/>
  <c r="L657" i="14"/>
  <c r="L150" i="14"/>
  <c r="K150" i="14"/>
  <c r="K644" i="14"/>
  <c r="L644" i="14"/>
  <c r="L95" i="14"/>
  <c r="K95" i="14"/>
  <c r="L81" i="14"/>
  <c r="K81" i="14"/>
  <c r="L485" i="14"/>
  <c r="K485" i="14"/>
  <c r="L164" i="14"/>
  <c r="K164" i="14"/>
  <c r="L592" i="14"/>
  <c r="K592" i="14"/>
  <c r="L285" i="14"/>
  <c r="K285" i="14"/>
  <c r="L89" i="14"/>
  <c r="K89" i="14"/>
  <c r="K444" i="14"/>
  <c r="L444" i="14"/>
  <c r="K598" i="14"/>
  <c r="L598" i="14"/>
  <c r="L202" i="14"/>
  <c r="K202" i="14"/>
  <c r="K570" i="14"/>
  <c r="L570" i="14"/>
  <c r="K540" i="14"/>
  <c r="L540" i="14"/>
  <c r="K516" i="14"/>
  <c r="L516" i="14"/>
  <c r="L709" i="14"/>
  <c r="K709" i="14"/>
  <c r="L272" i="14"/>
  <c r="K272" i="14"/>
  <c r="K287" i="14"/>
  <c r="L287" i="14"/>
  <c r="K364" i="14"/>
  <c r="L364" i="14"/>
  <c r="L674" i="14"/>
  <c r="K674" i="14"/>
  <c r="K79" i="14"/>
  <c r="L79" i="14"/>
  <c r="L331" i="14"/>
  <c r="K331" i="14"/>
  <c r="K615" i="14"/>
  <c r="L615" i="14"/>
  <c r="K339" i="14"/>
  <c r="L339" i="14"/>
  <c r="L552" i="14"/>
  <c r="K552" i="14"/>
  <c r="L350" i="14"/>
  <c r="K350" i="14"/>
  <c r="K428" i="14"/>
  <c r="L428" i="14"/>
  <c r="K279" i="14"/>
  <c r="L279" i="14"/>
  <c r="K588" i="14"/>
  <c r="L588" i="14"/>
  <c r="L343" i="14"/>
  <c r="K343" i="14"/>
  <c r="L565" i="14"/>
  <c r="K565" i="14"/>
  <c r="L171" i="14"/>
  <c r="K171" i="14"/>
  <c r="L277" i="14"/>
  <c r="K277" i="14"/>
  <c r="K432" i="14"/>
  <c r="L432" i="14"/>
  <c r="K78" i="14"/>
  <c r="L78" i="14"/>
  <c r="K545" i="14"/>
  <c r="L545" i="14"/>
  <c r="L452" i="14"/>
  <c r="K452" i="14"/>
  <c r="K678" i="14"/>
  <c r="L678" i="14"/>
  <c r="K226" i="14"/>
  <c r="L226" i="14"/>
  <c r="L66" i="14"/>
  <c r="K66" i="14"/>
  <c r="L269" i="14"/>
  <c r="K269" i="14"/>
  <c r="L703" i="14"/>
  <c r="K703" i="14"/>
  <c r="K482" i="14"/>
  <c r="L482" i="14"/>
  <c r="K325" i="14"/>
  <c r="L325" i="14"/>
  <c r="K252" i="14"/>
  <c r="L252" i="14"/>
  <c r="K601" i="14"/>
  <c r="L601" i="14"/>
  <c r="K131" i="14"/>
  <c r="L131" i="14"/>
  <c r="K637" i="14"/>
  <c r="L637" i="14"/>
  <c r="L597" i="14"/>
  <c r="K597" i="14"/>
  <c r="L390" i="14"/>
  <c r="K390" i="14"/>
  <c r="K302" i="14"/>
  <c r="L302" i="14"/>
  <c r="L403" i="14"/>
  <c r="K403" i="14"/>
  <c r="K595" i="14"/>
  <c r="L595" i="14"/>
  <c r="K243" i="14"/>
  <c r="L243" i="14"/>
  <c r="L97" i="14"/>
  <c r="K97" i="14"/>
  <c r="L369" i="14"/>
  <c r="K369" i="14"/>
  <c r="L473" i="14"/>
  <c r="K473" i="14"/>
  <c r="L335" i="14"/>
  <c r="K335" i="14"/>
  <c r="L68" i="14"/>
  <c r="K68" i="14"/>
  <c r="L311" i="14"/>
  <c r="K311" i="14"/>
  <c r="L641" i="14"/>
  <c r="K641" i="14"/>
  <c r="L93" i="14"/>
  <c r="K93" i="14"/>
  <c r="L378" i="14"/>
  <c r="K378" i="14"/>
  <c r="L263" i="14"/>
  <c r="K263" i="14"/>
  <c r="K261" i="14"/>
  <c r="L261" i="14"/>
  <c r="K126" i="14"/>
  <c r="L126" i="14"/>
  <c r="K257" i="14"/>
  <c r="L257" i="14"/>
  <c r="L494" i="14"/>
  <c r="K494" i="14"/>
  <c r="K203" i="14"/>
  <c r="L203" i="14"/>
  <c r="K481" i="14"/>
  <c r="L481" i="14"/>
  <c r="K455" i="14"/>
  <c r="L455" i="14"/>
  <c r="L239" i="14"/>
  <c r="K239" i="14"/>
  <c r="K476" i="14"/>
  <c r="L476" i="14"/>
  <c r="K643" i="14"/>
  <c r="L643" i="14"/>
  <c r="L210" i="14"/>
  <c r="K210" i="14"/>
  <c r="K201" i="14"/>
  <c r="L201" i="14"/>
  <c r="L582" i="14"/>
  <c r="K582" i="14"/>
  <c r="K546" i="14"/>
  <c r="L546" i="14"/>
  <c r="K103" i="14"/>
  <c r="L103" i="14"/>
  <c r="K533" i="14"/>
  <c r="L533" i="14"/>
  <c r="L483" i="14"/>
  <c r="K483" i="14"/>
  <c r="L94" i="14"/>
  <c r="K94" i="14"/>
  <c r="K486" i="14"/>
  <c r="L486" i="14"/>
  <c r="L106" i="14"/>
  <c r="K106" i="14"/>
  <c r="K541" i="14"/>
  <c r="L541" i="14"/>
  <c r="L474" i="14"/>
  <c r="K474" i="14"/>
  <c r="L99" i="14"/>
  <c r="K99" i="14"/>
  <c r="K143" i="14"/>
  <c r="L143" i="14"/>
  <c r="L534" i="14"/>
  <c r="K534" i="14"/>
  <c r="K161" i="14"/>
  <c r="L161" i="14"/>
  <c r="L423" i="14"/>
  <c r="K423" i="14"/>
  <c r="L336" i="14"/>
  <c r="K336" i="14"/>
  <c r="L233" i="14"/>
  <c r="K233" i="14"/>
  <c r="K144" i="14"/>
  <c r="L144" i="14"/>
  <c r="L385" i="14"/>
  <c r="K385" i="14"/>
  <c r="L375" i="14"/>
  <c r="K375" i="14"/>
  <c r="K680" i="14"/>
  <c r="L680" i="14"/>
  <c r="K69" i="14"/>
  <c r="L69" i="14"/>
  <c r="L194" i="14"/>
  <c r="K194" i="14"/>
  <c r="K111" i="14"/>
  <c r="L111" i="14"/>
  <c r="K76" i="14"/>
  <c r="L76" i="14"/>
  <c r="H735" i="14"/>
  <c r="D157" i="6"/>
  <c r="F157" i="6" s="1"/>
  <c r="Z128" i="17" l="1"/>
  <c r="U129" i="17" s="1"/>
  <c r="AC129" i="17" s="1"/>
  <c r="AD129" i="17" s="1"/>
  <c r="AL128" i="17"/>
  <c r="AY128" i="17" s="1"/>
  <c r="AN127" i="17"/>
  <c r="AO127" i="17" s="1"/>
  <c r="AU128" i="17"/>
  <c r="AV128" i="17" s="1"/>
  <c r="AX127" i="17"/>
  <c r="AZ127" i="17" s="1"/>
  <c r="BK115" i="17"/>
  <c r="BL115" i="17" s="1"/>
  <c r="BM115" i="17" s="1"/>
  <c r="BJ115" i="17"/>
  <c r="BE115" i="17"/>
  <c r="BF115" i="17" s="1"/>
  <c r="N179" i="17"/>
  <c r="P178" i="17"/>
  <c r="D155" i="6"/>
  <c r="F155" i="6" s="1"/>
  <c r="D156" i="6"/>
  <c r="F156" i="6" s="1"/>
  <c r="D154" i="6"/>
  <c r="D158" i="6"/>
  <c r="F158" i="6" s="1"/>
  <c r="AM128" i="17" l="1"/>
  <c r="AN128" i="17" s="1"/>
  <c r="AO128" i="17" s="1"/>
  <c r="AP128" i="17" s="1"/>
  <c r="W129" i="17"/>
  <c r="AA129" i="17" s="1"/>
  <c r="AK129" i="17" s="1"/>
  <c r="AP127" i="17"/>
  <c r="AQ127" i="17" s="1"/>
  <c r="AW128" i="17"/>
  <c r="AX128" i="17" s="1"/>
  <c r="AZ128" i="17" s="1"/>
  <c r="BG115" i="17"/>
  <c r="BI115" i="17"/>
  <c r="AE129" i="17"/>
  <c r="Q178" i="17"/>
  <c r="S178" i="17" s="1"/>
  <c r="O179" i="17"/>
  <c r="M180" i="17"/>
  <c r="E180" i="17" s="1"/>
  <c r="L180" i="17" s="1"/>
  <c r="F154" i="6"/>
  <c r="D159" i="6"/>
  <c r="F159" i="6" s="1"/>
  <c r="Y129" i="17" l="1"/>
  <c r="AB129" i="17" s="1"/>
  <c r="AF129" i="17" s="1"/>
  <c r="AG129" i="17" s="1"/>
  <c r="AL129" i="17" s="1"/>
  <c r="AY129" i="17" s="1"/>
  <c r="AR127" i="17"/>
  <c r="BO115" i="17"/>
  <c r="BP115" i="17" s="1"/>
  <c r="BN115" i="17"/>
  <c r="AF127" i="15" s="1"/>
  <c r="BC116" i="17"/>
  <c r="AR128" i="17"/>
  <c r="AQ128" i="17"/>
  <c r="N180" i="17"/>
  <c r="P179" i="17"/>
  <c r="Z129" i="17" l="1"/>
  <c r="U130" i="17" s="1"/>
  <c r="AC130" i="17" s="1"/>
  <c r="AH129" i="17"/>
  <c r="AS129" i="17" s="1"/>
  <c r="BD116" i="17"/>
  <c r="BH116" i="17"/>
  <c r="AL204" i="15"/>
  <c r="BQ115" i="17"/>
  <c r="AM129" i="17"/>
  <c r="O180" i="17"/>
  <c r="M181" i="17"/>
  <c r="E181" i="17" s="1"/>
  <c r="L181" i="17" s="1"/>
  <c r="Q179" i="17"/>
  <c r="S179" i="17" s="1"/>
  <c r="AT129" i="17" l="1"/>
  <c r="AW129" i="17" s="1"/>
  <c r="AX129" i="17" s="1"/>
  <c r="AZ129" i="17" s="1"/>
  <c r="AU129" i="17"/>
  <c r="AV129" i="17" s="1"/>
  <c r="BK116" i="17"/>
  <c r="BL116" i="17" s="1"/>
  <c r="BM116" i="17" s="1"/>
  <c r="BJ116" i="17"/>
  <c r="BE116" i="17"/>
  <c r="BF116" i="17" s="1"/>
  <c r="AN129" i="17"/>
  <c r="AO129" i="17" s="1"/>
  <c r="AD130" i="17"/>
  <c r="W130" i="17"/>
  <c r="N181" i="17"/>
  <c r="P180" i="17"/>
  <c r="BG116" i="17" l="1"/>
  <c r="BI116" i="17"/>
  <c r="AE130" i="17"/>
  <c r="AP129" i="17"/>
  <c r="AQ129" i="17" s="1"/>
  <c r="AA130" i="17"/>
  <c r="AK130" i="17" s="1"/>
  <c r="Y130" i="17"/>
  <c r="Q180" i="17"/>
  <c r="S180" i="17" s="1"/>
  <c r="O181" i="17"/>
  <c r="M182" i="17"/>
  <c r="E182" i="17" s="1"/>
  <c r="L182" i="17" s="1"/>
  <c r="AR129" i="17" l="1"/>
  <c r="BO116" i="17"/>
  <c r="BP116" i="17" s="1"/>
  <c r="BN116" i="17"/>
  <c r="AF133" i="15" s="1"/>
  <c r="P181" i="17"/>
  <c r="Q181" i="17" s="1"/>
  <c r="S181" i="17" s="1"/>
  <c r="BC117" i="17"/>
  <c r="BH117" i="17" s="1"/>
  <c r="AB130" i="17"/>
  <c r="Z130" i="17"/>
  <c r="N182" i="17"/>
  <c r="BD117" i="17" l="1"/>
  <c r="BE117" i="17" s="1"/>
  <c r="BF117" i="17" s="1"/>
  <c r="BG117" i="17" s="1"/>
  <c r="AL205" i="15"/>
  <c r="BQ116" i="17"/>
  <c r="U131" i="17"/>
  <c r="AC131" i="17" s="1"/>
  <c r="AF130" i="17"/>
  <c r="AG130" i="17" s="1"/>
  <c r="M183" i="17"/>
  <c r="E183" i="17" s="1"/>
  <c r="L183" i="17" s="1"/>
  <c r="O182" i="17"/>
  <c r="P182" i="17"/>
  <c r="AH130" i="17" l="1"/>
  <c r="AS130" i="17" s="1"/>
  <c r="AL130" i="17"/>
  <c r="AY130" i="17" s="1"/>
  <c r="BI117" i="17"/>
  <c r="BO117" i="17" s="1"/>
  <c r="BP117" i="17" s="1"/>
  <c r="BJ117" i="17"/>
  <c r="BK117" i="17"/>
  <c r="BL117" i="17" s="1"/>
  <c r="BM117" i="17" s="1"/>
  <c r="W131" i="17"/>
  <c r="AA131" i="17" s="1"/>
  <c r="AK131" i="17" s="1"/>
  <c r="BC118" i="17"/>
  <c r="AD131" i="17"/>
  <c r="Q182" i="17"/>
  <c r="S182" i="17" s="1"/>
  <c r="N183" i="17"/>
  <c r="AM130" i="17" l="1"/>
  <c r="Y131" i="17"/>
  <c r="AB131" i="17" s="1"/>
  <c r="AT130" i="17"/>
  <c r="AW130" i="17" s="1"/>
  <c r="AX130" i="17" s="1"/>
  <c r="AZ130" i="17" s="1"/>
  <c r="AU130" i="17"/>
  <c r="AV130" i="17" s="1"/>
  <c r="BN117" i="17"/>
  <c r="AF143" i="15" s="1"/>
  <c r="BD118" i="17"/>
  <c r="BE118" i="17" s="1"/>
  <c r="BF118" i="17" s="1"/>
  <c r="BH118" i="17"/>
  <c r="AL206" i="15"/>
  <c r="AN130" i="17"/>
  <c r="AE131" i="17"/>
  <c r="O183" i="17"/>
  <c r="M184" i="17"/>
  <c r="P183" i="17"/>
  <c r="BQ117" i="17" l="1"/>
  <c r="Z131" i="17"/>
  <c r="U132" i="17" s="1"/>
  <c r="AC132" i="17" s="1"/>
  <c r="BG118" i="17"/>
  <c r="BI118" i="17"/>
  <c r="BK118" i="17"/>
  <c r="BL118" i="17" s="1"/>
  <c r="BM118" i="17" s="1"/>
  <c r="BJ118" i="17"/>
  <c r="AF131" i="17"/>
  <c r="AG131" i="17" s="1"/>
  <c r="AO130" i="17"/>
  <c r="Q183" i="17"/>
  <c r="S183" i="17" s="1"/>
  <c r="E184" i="17"/>
  <c r="L184" i="17" s="1"/>
  <c r="AH131" i="17" l="1"/>
  <c r="AS131" i="17" s="1"/>
  <c r="AL131" i="17"/>
  <c r="AY131" i="17" s="1"/>
  <c r="W132" i="17"/>
  <c r="AA132" i="17" s="1"/>
  <c r="AK132" i="17" s="1"/>
  <c r="BO118" i="17"/>
  <c r="BP118" i="17" s="1"/>
  <c r="BN118" i="17"/>
  <c r="AF177" i="15" s="1"/>
  <c r="BC119" i="17"/>
  <c r="BH119" i="17" s="1"/>
  <c r="AP130" i="17"/>
  <c r="AD132" i="17"/>
  <c r="N184" i="17"/>
  <c r="P184" i="17"/>
  <c r="AT131" i="17" l="1"/>
  <c r="AW131" i="17" s="1"/>
  <c r="AX131" i="17" s="1"/>
  <c r="AZ131" i="17" s="1"/>
  <c r="AU131" i="17"/>
  <c r="AV131" i="17" s="1"/>
  <c r="AM131" i="17"/>
  <c r="AN131" i="17" s="1"/>
  <c r="AO131" i="17" s="1"/>
  <c r="AP131" i="17" s="1"/>
  <c r="Y132" i="17"/>
  <c r="AB132" i="17" s="1"/>
  <c r="AL207" i="15"/>
  <c r="BQ118" i="17"/>
  <c r="BD119" i="17"/>
  <c r="BE119" i="17" s="1"/>
  <c r="BF119" i="17" s="1"/>
  <c r="AE132" i="17"/>
  <c r="AR130" i="17"/>
  <c r="AQ130" i="17"/>
  <c r="Q184" i="17"/>
  <c r="S184" i="17" s="1"/>
  <c r="O184" i="17"/>
  <c r="M185" i="17"/>
  <c r="AR131" i="17" l="1"/>
  <c r="AQ131" i="17"/>
  <c r="AF132" i="17"/>
  <c r="AG132" i="17" s="1"/>
  <c r="AL132" i="17" s="1"/>
  <c r="AY132" i="17" s="1"/>
  <c r="Z132" i="17"/>
  <c r="U133" i="17" s="1"/>
  <c r="AC133" i="17" s="1"/>
  <c r="AD133" i="17" s="1"/>
  <c r="BG119" i="17"/>
  <c r="BI119" i="17"/>
  <c r="BK119" i="17"/>
  <c r="BJ119" i="17"/>
  <c r="E185" i="17"/>
  <c r="L185" i="17" s="1"/>
  <c r="P185" i="17"/>
  <c r="AM132" i="17" l="1"/>
  <c r="AN132" i="17" s="1"/>
  <c r="AO132" i="17" s="1"/>
  <c r="AH132" i="17"/>
  <c r="AS132" i="17" s="1"/>
  <c r="AT132" i="17" s="1"/>
  <c r="AW132" i="17" s="1"/>
  <c r="AX132" i="17" s="1"/>
  <c r="AZ132" i="17" s="1"/>
  <c r="W133" i="17"/>
  <c r="AA133" i="17" s="1"/>
  <c r="AK133" i="17" s="1"/>
  <c r="BL119" i="17"/>
  <c r="BM119" i="17" s="1"/>
  <c r="BO119" i="17"/>
  <c r="BP119" i="17" s="1"/>
  <c r="BC120" i="17"/>
  <c r="AE133" i="17"/>
  <c r="N185" i="17"/>
  <c r="Q185" i="17"/>
  <c r="S185" i="17" s="1"/>
  <c r="Y133" i="17" l="1"/>
  <c r="AB133" i="17" s="1"/>
  <c r="AF133" i="17" s="1"/>
  <c r="AG133" i="17" s="1"/>
  <c r="AL133" i="17" s="1"/>
  <c r="AY133" i="17" s="1"/>
  <c r="BN119" i="17"/>
  <c r="AF247" i="15" s="1"/>
  <c r="AU132" i="17"/>
  <c r="AV132" i="17" s="1"/>
  <c r="BD120" i="17"/>
  <c r="BE120" i="17" s="1"/>
  <c r="BF120" i="17" s="1"/>
  <c r="BH120" i="17"/>
  <c r="AL208" i="15"/>
  <c r="AP132" i="17"/>
  <c r="M186" i="17"/>
  <c r="O185" i="17"/>
  <c r="Z133" i="17" l="1"/>
  <c r="U134" i="17" s="1"/>
  <c r="AC134" i="17" s="1"/>
  <c r="AD134" i="17" s="1"/>
  <c r="BQ119" i="17"/>
  <c r="AH133" i="17"/>
  <c r="AS133" i="17" s="1"/>
  <c r="BG120" i="17"/>
  <c r="BI120" i="17"/>
  <c r="AR132" i="17"/>
  <c r="AQ132" i="17"/>
  <c r="BJ120" i="17"/>
  <c r="BK120" i="17"/>
  <c r="BL120" i="17" s="1"/>
  <c r="BM120" i="17" s="1"/>
  <c r="AM133" i="17"/>
  <c r="P186" i="17"/>
  <c r="E186" i="17"/>
  <c r="L186" i="17" s="1"/>
  <c r="W134" i="17" l="1"/>
  <c r="AA134" i="17" s="1"/>
  <c r="AK134" i="17" s="1"/>
  <c r="AT133" i="17"/>
  <c r="AW133" i="17" s="1"/>
  <c r="AX133" i="17" s="1"/>
  <c r="AZ133" i="17" s="1"/>
  <c r="AU133" i="17"/>
  <c r="AV133" i="17" s="1"/>
  <c r="BO120" i="17"/>
  <c r="BP120" i="17" s="1"/>
  <c r="BN120" i="17"/>
  <c r="AF252" i="15" s="1"/>
  <c r="BC121" i="17"/>
  <c r="AN133" i="17"/>
  <c r="AO133" i="17" s="1"/>
  <c r="AE134" i="17"/>
  <c r="N186" i="17"/>
  <c r="Q186" i="17"/>
  <c r="S186" i="17" s="1"/>
  <c r="Y134" i="17" l="1"/>
  <c r="AB134" i="17" s="1"/>
  <c r="AF134" i="17" s="1"/>
  <c r="AG134" i="17" s="1"/>
  <c r="AH134" i="17" s="1"/>
  <c r="AS134" i="17" s="1"/>
  <c r="AT134" i="17" s="1"/>
  <c r="AW134" i="17" s="1"/>
  <c r="AX134" i="17" s="1"/>
  <c r="AZ134" i="17" s="1"/>
  <c r="BD121" i="17"/>
  <c r="BE121" i="17" s="1"/>
  <c r="BF121" i="17" s="1"/>
  <c r="BH121" i="17"/>
  <c r="AL209" i="15"/>
  <c r="BQ120" i="17"/>
  <c r="AP133" i="17"/>
  <c r="O186" i="17"/>
  <c r="M187" i="17"/>
  <c r="E187" i="17" s="1"/>
  <c r="L187" i="17" s="1"/>
  <c r="Z134" i="17" l="1"/>
  <c r="U135" i="17" s="1"/>
  <c r="AC135" i="17" s="1"/>
  <c r="AD135" i="17" s="1"/>
  <c r="AL134" i="17"/>
  <c r="AY134" i="17" s="1"/>
  <c r="AU134" i="17"/>
  <c r="AV134" i="17" s="1"/>
  <c r="BG121" i="17"/>
  <c r="BI121" i="17"/>
  <c r="BK121" i="17"/>
  <c r="BL121" i="17" s="1"/>
  <c r="BM121" i="17" s="1"/>
  <c r="BJ121" i="17"/>
  <c r="AR133" i="17"/>
  <c r="AQ133" i="17"/>
  <c r="N187" i="17"/>
  <c r="P187" i="17"/>
  <c r="W135" i="17" l="1"/>
  <c r="AA135" i="17" s="1"/>
  <c r="AK135" i="17" s="1"/>
  <c r="AM134" i="17"/>
  <c r="AN134" i="17" s="1"/>
  <c r="AO134" i="17" s="1"/>
  <c r="AP134" i="17" s="1"/>
  <c r="AR134" i="17" s="1"/>
  <c r="BO121" i="17"/>
  <c r="BP121" i="17" s="1"/>
  <c r="BN121" i="17"/>
  <c r="AF259" i="15" s="1"/>
  <c r="BC122" i="17"/>
  <c r="BH122" i="17" s="1"/>
  <c r="AE135" i="17"/>
  <c r="M188" i="17"/>
  <c r="E188" i="17" s="1"/>
  <c r="L188" i="17" s="1"/>
  <c r="O187" i="17"/>
  <c r="Q187" i="17"/>
  <c r="S187" i="17" s="1"/>
  <c r="Y135" i="17" l="1"/>
  <c r="AB135" i="17" s="1"/>
  <c r="AF135" i="17" s="1"/>
  <c r="AG135" i="17" s="1"/>
  <c r="AL210" i="15"/>
  <c r="BQ121" i="17"/>
  <c r="BD122" i="17"/>
  <c r="P188" i="17"/>
  <c r="Q188" i="17" s="1"/>
  <c r="S188" i="17" s="1"/>
  <c r="AQ134" i="17"/>
  <c r="N188" i="17"/>
  <c r="Z135" i="17" l="1"/>
  <c r="U136" i="17" s="1"/>
  <c r="AC136" i="17" s="1"/>
  <c r="AD136" i="17" s="1"/>
  <c r="AH135" i="17"/>
  <c r="AS135" i="17" s="1"/>
  <c r="AL135" i="17"/>
  <c r="BK122" i="17"/>
  <c r="BL122" i="17" s="1"/>
  <c r="BM122" i="17" s="1"/>
  <c r="BJ122" i="17"/>
  <c r="BE122" i="17"/>
  <c r="BF122" i="17" s="1"/>
  <c r="O188" i="17"/>
  <c r="M189" i="17"/>
  <c r="E189" i="17" s="1"/>
  <c r="L189" i="17" s="1"/>
  <c r="W136" i="17" l="1"/>
  <c r="AA136" i="17" s="1"/>
  <c r="AK136" i="17" s="1"/>
  <c r="AT135" i="17"/>
  <c r="AW135" i="17" s="1"/>
  <c r="AX135" i="17" s="1"/>
  <c r="AZ135" i="17" s="1"/>
  <c r="AU135" i="17"/>
  <c r="AV135" i="17" s="1"/>
  <c r="AY135" i="17"/>
  <c r="AM135" i="17"/>
  <c r="BG122" i="17"/>
  <c r="BI122" i="17"/>
  <c r="AE136" i="17"/>
  <c r="N189" i="17"/>
  <c r="P189" i="17"/>
  <c r="Y136" i="17" l="1"/>
  <c r="AB136" i="17" s="1"/>
  <c r="AF136" i="17" s="1"/>
  <c r="AG136" i="17" s="1"/>
  <c r="AN135" i="17"/>
  <c r="AO135" i="17" s="1"/>
  <c r="BO122" i="17"/>
  <c r="BP122" i="17" s="1"/>
  <c r="BN122" i="17"/>
  <c r="AF72" i="15" s="1"/>
  <c r="BC123" i="17"/>
  <c r="Q189" i="17"/>
  <c r="S189" i="17" s="1"/>
  <c r="M190" i="17"/>
  <c r="O189" i="17"/>
  <c r="Z136" i="17" l="1"/>
  <c r="U137" i="17" s="1"/>
  <c r="AC137" i="17" s="1"/>
  <c r="AD137" i="17" s="1"/>
  <c r="AP135" i="17"/>
  <c r="AR135" i="17" s="1"/>
  <c r="AH136" i="17"/>
  <c r="AS136" i="17" s="1"/>
  <c r="AL136" i="17"/>
  <c r="AY136" i="17" s="1"/>
  <c r="BD123" i="17"/>
  <c r="BH123" i="17"/>
  <c r="AL51" i="15"/>
  <c r="BQ122" i="17"/>
  <c r="E190" i="17"/>
  <c r="L190" i="17" s="1"/>
  <c r="P190" i="17"/>
  <c r="W137" i="17" l="1"/>
  <c r="AA137" i="17" s="1"/>
  <c r="AK137" i="17" s="1"/>
  <c r="AM136" i="17"/>
  <c r="AN136" i="17" s="1"/>
  <c r="AO136" i="17" s="1"/>
  <c r="AQ135" i="17"/>
  <c r="AT136" i="17"/>
  <c r="AW136" i="17" s="1"/>
  <c r="AX136" i="17" s="1"/>
  <c r="AZ136" i="17" s="1"/>
  <c r="AU136" i="17"/>
  <c r="AV136" i="17" s="1"/>
  <c r="BK123" i="17"/>
  <c r="BL123" i="17" s="1"/>
  <c r="BM123" i="17" s="1"/>
  <c r="BJ123" i="17"/>
  <c r="BE123" i="17"/>
  <c r="BF123" i="17" s="1"/>
  <c r="Y137" i="17"/>
  <c r="AB137" i="17" s="1"/>
  <c r="AE137" i="17"/>
  <c r="Q190" i="17"/>
  <c r="S190" i="17" s="1"/>
  <c r="N190" i="17"/>
  <c r="BG123" i="17" l="1"/>
  <c r="BI123" i="17"/>
  <c r="Z137" i="17"/>
  <c r="U138" i="17" s="1"/>
  <c r="AC138" i="17" s="1"/>
  <c r="AP136" i="17"/>
  <c r="AF137" i="17"/>
  <c r="AG137" i="17" s="1"/>
  <c r="AL137" i="17" s="1"/>
  <c r="AY137" i="17" s="1"/>
  <c r="M191" i="17"/>
  <c r="E191" i="17" s="1"/>
  <c r="L191" i="17" s="1"/>
  <c r="O190" i="17"/>
  <c r="AH137" i="17" l="1"/>
  <c r="AS137" i="17" s="1"/>
  <c r="BO123" i="17"/>
  <c r="BP123" i="17" s="1"/>
  <c r="BN123" i="17"/>
  <c r="AF73" i="15" s="1"/>
  <c r="BC124" i="17"/>
  <c r="BH124" i="17" s="1"/>
  <c r="AD138" i="17"/>
  <c r="AM137" i="17"/>
  <c r="AN137" i="17" s="1"/>
  <c r="AR136" i="17"/>
  <c r="W138" i="17"/>
  <c r="AQ136" i="17"/>
  <c r="N191" i="17"/>
  <c r="P191" i="17"/>
  <c r="AT137" i="17" l="1"/>
  <c r="AW137" i="17" s="1"/>
  <c r="AX137" i="17" s="1"/>
  <c r="AZ137" i="17" s="1"/>
  <c r="AU137" i="17"/>
  <c r="AV137" i="17" s="1"/>
  <c r="BD124" i="17"/>
  <c r="AL211" i="15"/>
  <c r="BQ123" i="17"/>
  <c r="AE138" i="17"/>
  <c r="AA138" i="17"/>
  <c r="AK138" i="17" s="1"/>
  <c r="Y138" i="17"/>
  <c r="AB138" i="17" s="1"/>
  <c r="AO137" i="17"/>
  <c r="M192" i="17"/>
  <c r="O191" i="17"/>
  <c r="Q191" i="17"/>
  <c r="S191" i="17" s="1"/>
  <c r="Z138" i="17" l="1"/>
  <c r="U139" i="17" s="1"/>
  <c r="AC139" i="17" s="1"/>
  <c r="BK124" i="17"/>
  <c r="BJ124" i="17"/>
  <c r="BE124" i="17"/>
  <c r="BF124" i="17" s="1"/>
  <c r="AP137" i="17"/>
  <c r="AF138" i="17"/>
  <c r="AG138" i="17" s="1"/>
  <c r="AL138" i="17" s="1"/>
  <c r="AY138" i="17" s="1"/>
  <c r="E192" i="17"/>
  <c r="L192" i="17" s="1"/>
  <c r="P192" i="17"/>
  <c r="AH138" i="17" l="1"/>
  <c r="AS138" i="17" s="1"/>
  <c r="BG124" i="17"/>
  <c r="BI124" i="17"/>
  <c r="BL124" i="17"/>
  <c r="BM124" i="17" s="1"/>
  <c r="AD139" i="17"/>
  <c r="AM138" i="17"/>
  <c r="W139" i="17"/>
  <c r="AA139" i="17" s="1"/>
  <c r="AK139" i="17" s="1"/>
  <c r="AR137" i="17"/>
  <c r="AQ137" i="17"/>
  <c r="N192" i="17"/>
  <c r="Q192" i="17"/>
  <c r="S192" i="17" s="1"/>
  <c r="AT138" i="17" l="1"/>
  <c r="AW138" i="17" s="1"/>
  <c r="AX138" i="17" s="1"/>
  <c r="AZ138" i="17" s="1"/>
  <c r="AU138" i="17"/>
  <c r="AV138" i="17" s="1"/>
  <c r="Y139" i="17"/>
  <c r="AB139" i="17" s="1"/>
  <c r="BO124" i="17"/>
  <c r="BP124" i="17" s="1"/>
  <c r="BN124" i="17"/>
  <c r="AF76" i="15" s="1"/>
  <c r="BC125" i="17"/>
  <c r="AE139" i="17"/>
  <c r="AN138" i="17"/>
  <c r="AO138" i="17" s="1"/>
  <c r="O192" i="17"/>
  <c r="M193" i="17"/>
  <c r="AF139" i="17" l="1"/>
  <c r="AG139" i="17" s="1"/>
  <c r="AH139" i="17" s="1"/>
  <c r="Z139" i="17"/>
  <c r="U140" i="17" s="1"/>
  <c r="AC140" i="17" s="1"/>
  <c r="BD125" i="17"/>
  <c r="BE125" i="17" s="1"/>
  <c r="BF125" i="17" s="1"/>
  <c r="BH125" i="17"/>
  <c r="AL212" i="15"/>
  <c r="BQ124" i="17"/>
  <c r="AP138" i="17"/>
  <c r="AR138" i="17" s="1"/>
  <c r="P193" i="17"/>
  <c r="E193" i="17"/>
  <c r="L193" i="17" s="1"/>
  <c r="AL139" i="17" l="1"/>
  <c r="AY139" i="17" s="1"/>
  <c r="AS139" i="17"/>
  <c r="AT139" i="17" s="1"/>
  <c r="AW139" i="17" s="1"/>
  <c r="AX139" i="17" s="1"/>
  <c r="AZ139" i="17" s="1"/>
  <c r="BG125" i="17"/>
  <c r="BI125" i="17"/>
  <c r="BJ125" i="17"/>
  <c r="BK125" i="17"/>
  <c r="BL125" i="17" s="1"/>
  <c r="BM125" i="17" s="1"/>
  <c r="AD140" i="17"/>
  <c r="W140" i="17"/>
  <c r="AQ138" i="17"/>
  <c r="N193" i="17"/>
  <c r="Q193" i="17"/>
  <c r="S193" i="17" s="1"/>
  <c r="AM139" i="17" l="1"/>
  <c r="AN139" i="17" s="1"/>
  <c r="AU139" i="17"/>
  <c r="AV139" i="17" s="1"/>
  <c r="BO125" i="17"/>
  <c r="BP125" i="17" s="1"/>
  <c r="BN125" i="17"/>
  <c r="AF124" i="15" s="1"/>
  <c r="BC126" i="17"/>
  <c r="BH126" i="17" s="1"/>
  <c r="AA140" i="17"/>
  <c r="AK140" i="17" s="1"/>
  <c r="Y140" i="17"/>
  <c r="AB140" i="17" s="1"/>
  <c r="AE140" i="17"/>
  <c r="O193" i="17"/>
  <c r="M194" i="17"/>
  <c r="E194" i="17" s="1"/>
  <c r="L194" i="17" s="1"/>
  <c r="AO139" i="17" l="1"/>
  <c r="AP139" i="17" s="1"/>
  <c r="BD126" i="17"/>
  <c r="BK126" i="17" s="1"/>
  <c r="BL126" i="17" s="1"/>
  <c r="BM126" i="17" s="1"/>
  <c r="Z140" i="17"/>
  <c r="U141" i="17" s="1"/>
  <c r="AC141" i="17" s="1"/>
  <c r="AL213" i="15"/>
  <c r="BQ125" i="17"/>
  <c r="AF140" i="17"/>
  <c r="AG140" i="17" s="1"/>
  <c r="N194" i="17"/>
  <c r="P194" i="17"/>
  <c r="BE126" i="17" l="1"/>
  <c r="BF126" i="17" s="1"/>
  <c r="BI126" i="17" s="1"/>
  <c r="AH140" i="17"/>
  <c r="AS140" i="17" s="1"/>
  <c r="AL140" i="17"/>
  <c r="AY140" i="17" s="1"/>
  <c r="BJ126" i="17"/>
  <c r="AD141" i="17"/>
  <c r="AR139" i="17"/>
  <c r="AQ139" i="17"/>
  <c r="W141" i="17"/>
  <c r="AA141" i="17" s="1"/>
  <c r="AK141" i="17" s="1"/>
  <c r="M195" i="17"/>
  <c r="O194" i="17"/>
  <c r="Q194" i="17"/>
  <c r="S194" i="17" s="1"/>
  <c r="BG126" i="17" l="1"/>
  <c r="BC127" i="17" s="1"/>
  <c r="BD127" i="17" s="1"/>
  <c r="AM140" i="17"/>
  <c r="AN140" i="17" s="1"/>
  <c r="AT140" i="17"/>
  <c r="AW140" i="17" s="1"/>
  <c r="AX140" i="17" s="1"/>
  <c r="AZ140" i="17" s="1"/>
  <c r="AU140" i="17"/>
  <c r="AV140" i="17" s="1"/>
  <c r="P195" i="17"/>
  <c r="Q195" i="17" s="1"/>
  <c r="S195" i="17" s="1"/>
  <c r="BO126" i="17"/>
  <c r="BP126" i="17" s="1"/>
  <c r="BN126" i="17"/>
  <c r="AF254" i="15" s="1"/>
  <c r="Y141" i="17"/>
  <c r="AB141" i="17" s="1"/>
  <c r="AE141" i="17"/>
  <c r="E195" i="17"/>
  <c r="L195" i="17" s="1"/>
  <c r="AO140" i="17" l="1"/>
  <c r="AP140" i="17" s="1"/>
  <c r="AQ140" i="17" s="1"/>
  <c r="BK127" i="17"/>
  <c r="BL127" i="17" s="1"/>
  <c r="BM127" i="17" s="1"/>
  <c r="BJ127" i="17"/>
  <c r="Z141" i="17"/>
  <c r="U142" i="17" s="1"/>
  <c r="AC142" i="17" s="1"/>
  <c r="BE127" i="17"/>
  <c r="BF127" i="17" s="1"/>
  <c r="AL214" i="15"/>
  <c r="BQ126" i="17"/>
  <c r="BH127" i="17"/>
  <c r="AF141" i="17"/>
  <c r="AG141" i="17" s="1"/>
  <c r="AL141" i="17" s="1"/>
  <c r="AY141" i="17" s="1"/>
  <c r="N195" i="17"/>
  <c r="AH141" i="17" l="1"/>
  <c r="AS141" i="17" s="1"/>
  <c r="BG127" i="17"/>
  <c r="BI127" i="17"/>
  <c r="AM141" i="17"/>
  <c r="AR140" i="17"/>
  <c r="W142" i="17"/>
  <c r="AA142" i="17" s="1"/>
  <c r="AK142" i="17" s="1"/>
  <c r="AD142" i="17"/>
  <c r="M196" i="17"/>
  <c r="O195" i="17"/>
  <c r="AT141" i="17" l="1"/>
  <c r="AW141" i="17" s="1"/>
  <c r="AX141" i="17" s="1"/>
  <c r="AZ141" i="17" s="1"/>
  <c r="AU141" i="17"/>
  <c r="AV141" i="17" s="1"/>
  <c r="Y142" i="17"/>
  <c r="AB142" i="17" s="1"/>
  <c r="BO127" i="17"/>
  <c r="BP127" i="17" s="1"/>
  <c r="BN127" i="17"/>
  <c r="AF273" i="15" s="1"/>
  <c r="BC128" i="17"/>
  <c r="BH128" i="17" s="1"/>
  <c r="AE142" i="17"/>
  <c r="AN141" i="17"/>
  <c r="P196" i="17"/>
  <c r="E196" i="17"/>
  <c r="L196" i="17" s="1"/>
  <c r="AF142" i="17" l="1"/>
  <c r="AG142" i="17" s="1"/>
  <c r="AL142" i="17" s="1"/>
  <c r="BD128" i="17"/>
  <c r="BE128" i="17" s="1"/>
  <c r="BF128" i="17" s="1"/>
  <c r="BI128" i="17" s="1"/>
  <c r="AL215" i="15"/>
  <c r="BQ127" i="17"/>
  <c r="Z142" i="17"/>
  <c r="U143" i="17" s="1"/>
  <c r="AC143" i="17" s="1"/>
  <c r="AO141" i="17"/>
  <c r="Q196" i="17"/>
  <c r="S196" i="17" s="1"/>
  <c r="N196" i="17"/>
  <c r="BJ128" i="17" l="1"/>
  <c r="AY142" i="17"/>
  <c r="AM142" i="17"/>
  <c r="AN142" i="17" s="1"/>
  <c r="AO142" i="17" s="1"/>
  <c r="BK128" i="17"/>
  <c r="BL128" i="17" s="1"/>
  <c r="BM128" i="17" s="1"/>
  <c r="AH142" i="17"/>
  <c r="AS142" i="17" s="1"/>
  <c r="BG128" i="17"/>
  <c r="BC129" i="17" s="1"/>
  <c r="BH129" i="17" s="1"/>
  <c r="BO128" i="17"/>
  <c r="BP128" i="17" s="1"/>
  <c r="AP141" i="17"/>
  <c r="W143" i="17"/>
  <c r="AA143" i="17" s="1"/>
  <c r="AK143" i="17" s="1"/>
  <c r="AD143" i="17"/>
  <c r="M197" i="17"/>
  <c r="O196" i="17"/>
  <c r="BN128" i="17" l="1"/>
  <c r="AF277" i="15" s="1"/>
  <c r="AT142" i="17"/>
  <c r="AW142" i="17" s="1"/>
  <c r="AX142" i="17" s="1"/>
  <c r="AZ142" i="17" s="1"/>
  <c r="AU142" i="17"/>
  <c r="AV142" i="17" s="1"/>
  <c r="Y143" i="17"/>
  <c r="AB143" i="17" s="1"/>
  <c r="BD129" i="17"/>
  <c r="AL216" i="15"/>
  <c r="AP142" i="17"/>
  <c r="AE143" i="17"/>
  <c r="AR141" i="17"/>
  <c r="AQ141" i="17"/>
  <c r="P197" i="17"/>
  <c r="E197" i="17"/>
  <c r="L197" i="17" s="1"/>
  <c r="BQ128" i="17" l="1"/>
  <c r="Z143" i="17"/>
  <c r="U144" i="17" s="1"/>
  <c r="W144" i="17" s="1"/>
  <c r="AA144" i="17" s="1"/>
  <c r="AK144" i="17" s="1"/>
  <c r="AF143" i="17"/>
  <c r="AG143" i="17" s="1"/>
  <c r="AR142" i="17"/>
  <c r="BK129" i="17"/>
  <c r="BL129" i="17" s="1"/>
  <c r="BM129" i="17" s="1"/>
  <c r="BJ129" i="17"/>
  <c r="BE129" i="17"/>
  <c r="BF129" i="17" s="1"/>
  <c r="AQ142" i="17"/>
  <c r="N197" i="17"/>
  <c r="Q197" i="17"/>
  <c r="S197" i="17" s="1"/>
  <c r="AH143" i="17" l="1"/>
  <c r="AS143" i="17" s="1"/>
  <c r="AL143" i="17"/>
  <c r="Y144" i="17"/>
  <c r="AB144" i="17" s="1"/>
  <c r="BG129" i="17"/>
  <c r="BI129" i="17"/>
  <c r="AC144" i="17"/>
  <c r="O197" i="17"/>
  <c r="M198" i="17"/>
  <c r="E198" i="17" s="1"/>
  <c r="L198" i="17" s="1"/>
  <c r="AY143" i="17" l="1"/>
  <c r="AM143" i="17"/>
  <c r="AN143" i="17" s="1"/>
  <c r="AO143" i="17" s="1"/>
  <c r="AP143" i="17" s="1"/>
  <c r="AQ143" i="17" s="1"/>
  <c r="AT143" i="17"/>
  <c r="AW143" i="17" s="1"/>
  <c r="AX143" i="17" s="1"/>
  <c r="AZ143" i="17" s="1"/>
  <c r="AU143" i="17"/>
  <c r="AV143" i="17" s="1"/>
  <c r="Z144" i="17"/>
  <c r="U145" i="17" s="1"/>
  <c r="W145" i="17" s="1"/>
  <c r="AA145" i="17" s="1"/>
  <c r="AK145" i="17" s="1"/>
  <c r="BO129" i="17"/>
  <c r="BP129" i="17" s="1"/>
  <c r="BN129" i="17"/>
  <c r="AF287" i="15" s="1"/>
  <c r="BC130" i="17"/>
  <c r="BD130" i="17" s="1"/>
  <c r="AD144" i="17"/>
  <c r="N198" i="17"/>
  <c r="P198" i="17"/>
  <c r="BK130" i="17" l="1"/>
  <c r="BL130" i="17" s="1"/>
  <c r="BM130" i="17" s="1"/>
  <c r="BJ130" i="17"/>
  <c r="BE130" i="17"/>
  <c r="BF130" i="17" s="1"/>
  <c r="BH130" i="17"/>
  <c r="AR143" i="17"/>
  <c r="AL217" i="15"/>
  <c r="BQ129" i="17"/>
  <c r="AE144" i="17"/>
  <c r="AC145" i="17"/>
  <c r="Y145" i="17"/>
  <c r="AB145" i="17" s="1"/>
  <c r="Q198" i="17"/>
  <c r="S198" i="17" s="1"/>
  <c r="M199" i="17"/>
  <c r="O198" i="17"/>
  <c r="BG130" i="17" l="1"/>
  <c r="BI130" i="17"/>
  <c r="AD145" i="17"/>
  <c r="Z145" i="17"/>
  <c r="AF144" i="17"/>
  <c r="AG144" i="17" s="1"/>
  <c r="P199" i="17"/>
  <c r="Q199" i="17" s="1"/>
  <c r="S199" i="17" s="1"/>
  <c r="E199" i="17"/>
  <c r="L199" i="17" s="1"/>
  <c r="AH144" i="17" l="1"/>
  <c r="AS144" i="17" s="1"/>
  <c r="AL144" i="17"/>
  <c r="AY144" i="17" s="1"/>
  <c r="BC131" i="17"/>
  <c r="BO130" i="17"/>
  <c r="BP130" i="17" s="1"/>
  <c r="BN130" i="17"/>
  <c r="AF294" i="15" s="1"/>
  <c r="AE145" i="17"/>
  <c r="AF145" i="17" s="1"/>
  <c r="AG145" i="17" s="1"/>
  <c r="U146" i="17"/>
  <c r="W146" i="17" s="1"/>
  <c r="N199" i="17"/>
  <c r="AT144" i="17" l="1"/>
  <c r="AW144" i="17" s="1"/>
  <c r="AU144" i="17"/>
  <c r="AV144" i="17" s="1"/>
  <c r="AM144" i="17"/>
  <c r="AN144" i="17" s="1"/>
  <c r="AH145" i="17"/>
  <c r="AS145" i="17" s="1"/>
  <c r="AT145" i="17" s="1"/>
  <c r="AL145" i="17"/>
  <c r="AY145" i="17" s="1"/>
  <c r="AL218" i="15"/>
  <c r="BQ130" i="17"/>
  <c r="BH131" i="17"/>
  <c r="BD131" i="17"/>
  <c r="BE131" i="17" s="1"/>
  <c r="BF131" i="17" s="1"/>
  <c r="Y146" i="17"/>
  <c r="AB146" i="17" s="1"/>
  <c r="AA146" i="17"/>
  <c r="AK146" i="17" s="1"/>
  <c r="AC146" i="17"/>
  <c r="O199" i="17"/>
  <c r="M200" i="17"/>
  <c r="AU145" i="17" l="1"/>
  <c r="AV145" i="17" s="1"/>
  <c r="AM145" i="17"/>
  <c r="AN145" i="17" s="1"/>
  <c r="AO145" i="17" s="1"/>
  <c r="AP145" i="17" s="1"/>
  <c r="AQ145" i="17" s="1"/>
  <c r="AO144" i="17"/>
  <c r="AX144" i="17"/>
  <c r="AZ144" i="17" s="1"/>
  <c r="BG131" i="17"/>
  <c r="BI131" i="17"/>
  <c r="BK131" i="17"/>
  <c r="BL131" i="17" s="1"/>
  <c r="BM131" i="17" s="1"/>
  <c r="BJ131" i="17"/>
  <c r="Z146" i="17"/>
  <c r="AD146" i="17"/>
  <c r="P200" i="17"/>
  <c r="E200" i="17"/>
  <c r="L200" i="17" s="1"/>
  <c r="AR145" i="17" l="1"/>
  <c r="AW145" i="17"/>
  <c r="AX145" i="17" s="1"/>
  <c r="AZ145" i="17" s="1"/>
  <c r="AP144" i="17"/>
  <c r="AR144" i="17" s="1"/>
  <c r="BO131" i="17"/>
  <c r="BP131" i="17" s="1"/>
  <c r="BN131" i="17"/>
  <c r="AF298" i="15" s="1"/>
  <c r="BC132" i="17"/>
  <c r="BH132" i="17" s="1"/>
  <c r="U147" i="17"/>
  <c r="W147" i="17" s="1"/>
  <c r="AA147" i="17" s="1"/>
  <c r="AK147" i="17" s="1"/>
  <c r="AE146" i="17"/>
  <c r="AF146" i="17" s="1"/>
  <c r="AG146" i="17" s="1"/>
  <c r="N200" i="17"/>
  <c r="Q200" i="17"/>
  <c r="S200" i="17" s="1"/>
  <c r="AQ144" i="17" l="1"/>
  <c r="AH146" i="17"/>
  <c r="AS146" i="17" s="1"/>
  <c r="AL146" i="17"/>
  <c r="BD132" i="17"/>
  <c r="BE132" i="17" s="1"/>
  <c r="BF132" i="17" s="1"/>
  <c r="AL219" i="15"/>
  <c r="BQ131" i="17"/>
  <c r="AC147" i="17"/>
  <c r="Y147" i="17"/>
  <c r="AB147" i="17" s="1"/>
  <c r="M201" i="17"/>
  <c r="E201" i="17" s="1"/>
  <c r="L201" i="17" s="1"/>
  <c r="O200" i="17"/>
  <c r="AT146" i="17" l="1"/>
  <c r="AW146" i="17" s="1"/>
  <c r="AX146" i="17" s="1"/>
  <c r="AZ146" i="17" s="1"/>
  <c r="AU146" i="17"/>
  <c r="AV146" i="17" s="1"/>
  <c r="AY146" i="17"/>
  <c r="AM146" i="17"/>
  <c r="AN146" i="17" s="1"/>
  <c r="AO146" i="17" s="1"/>
  <c r="AP146" i="17" s="1"/>
  <c r="AR146" i="17" s="1"/>
  <c r="BG132" i="17"/>
  <c r="BI132" i="17"/>
  <c r="BK132" i="17"/>
  <c r="BL132" i="17" s="1"/>
  <c r="BM132" i="17" s="1"/>
  <c r="BJ132" i="17"/>
  <c r="AD147" i="17"/>
  <c r="Z147" i="17"/>
  <c r="P201" i="17"/>
  <c r="Q201" i="17" s="1"/>
  <c r="N201" i="17"/>
  <c r="AQ146" i="17" l="1"/>
  <c r="BO132" i="17"/>
  <c r="BP132" i="17" s="1"/>
  <c r="BN132" i="17"/>
  <c r="AF302" i="15" s="1"/>
  <c r="BC133" i="17"/>
  <c r="BH133" i="17" s="1"/>
  <c r="U148" i="17"/>
  <c r="AC148" i="17" s="1"/>
  <c r="AE147" i="17"/>
  <c r="AF147" i="17" s="1"/>
  <c r="AG147" i="17" s="1"/>
  <c r="M202" i="17"/>
  <c r="E202" i="17" s="1"/>
  <c r="L202" i="17" s="1"/>
  <c r="O201" i="17"/>
  <c r="S201" i="17"/>
  <c r="AH147" i="17" l="1"/>
  <c r="AS147" i="17" s="1"/>
  <c r="AL147" i="17"/>
  <c r="AY147" i="17" s="1"/>
  <c r="P202" i="17"/>
  <c r="Q202" i="17" s="1"/>
  <c r="S202" i="17" s="1"/>
  <c r="W148" i="17"/>
  <c r="AA148" i="17" s="1"/>
  <c r="AK148" i="17" s="1"/>
  <c r="AL220" i="15"/>
  <c r="BQ132" i="17"/>
  <c r="AD148" i="17"/>
  <c r="AE148" i="17" s="1"/>
  <c r="BD133" i="17"/>
  <c r="N202" i="17"/>
  <c r="O202" i="17" s="1"/>
  <c r="AM147" i="17" l="1"/>
  <c r="AT147" i="17"/>
  <c r="AW147" i="17" s="1"/>
  <c r="AX147" i="17" s="1"/>
  <c r="AZ147" i="17" s="1"/>
  <c r="AU147" i="17"/>
  <c r="AV147" i="17" s="1"/>
  <c r="Y148" i="17"/>
  <c r="AB148" i="17" s="1"/>
  <c r="M203" i="17"/>
  <c r="E203" i="17" s="1"/>
  <c r="L203" i="17" s="1"/>
  <c r="N203" i="17" s="1"/>
  <c r="BK133" i="17"/>
  <c r="BL133" i="17" s="1"/>
  <c r="BM133" i="17" s="1"/>
  <c r="BJ133" i="17"/>
  <c r="BE133" i="17"/>
  <c r="BF133" i="17" s="1"/>
  <c r="AN147" i="17" l="1"/>
  <c r="AO147" i="17" s="1"/>
  <c r="AF148" i="17"/>
  <c r="AG148" i="17" s="1"/>
  <c r="AL148" i="17" s="1"/>
  <c r="AM148" i="17" s="1"/>
  <c r="Z148" i="17"/>
  <c r="U149" i="17" s="1"/>
  <c r="AC149" i="17" s="1"/>
  <c r="P203" i="17"/>
  <c r="Q203" i="17" s="1"/>
  <c r="S203" i="17" s="1"/>
  <c r="BG133" i="17"/>
  <c r="BI133" i="17"/>
  <c r="O203" i="17"/>
  <c r="M204" i="17"/>
  <c r="E204" i="17" s="1"/>
  <c r="L204" i="17" s="1"/>
  <c r="AN148" i="17" l="1"/>
  <c r="AO148" i="17" s="1"/>
  <c r="AP148" i="17" s="1"/>
  <c r="AQ148" i="17" s="1"/>
  <c r="AP147" i="17"/>
  <c r="AR147" i="17" s="1"/>
  <c r="AY148" i="17"/>
  <c r="AH148" i="17"/>
  <c r="AS148" i="17" s="1"/>
  <c r="W149" i="17"/>
  <c r="BO133" i="17"/>
  <c r="BP133" i="17" s="1"/>
  <c r="BN133" i="17"/>
  <c r="AF306" i="15" s="1"/>
  <c r="BC134" i="17"/>
  <c r="AD149" i="17"/>
  <c r="AE149" i="17" s="1"/>
  <c r="N204" i="17"/>
  <c r="P204" i="17"/>
  <c r="AQ147" i="17" l="1"/>
  <c r="AR148" i="17"/>
  <c r="AT148" i="17"/>
  <c r="AW148" i="17" s="1"/>
  <c r="AX148" i="17" s="1"/>
  <c r="AZ148" i="17" s="1"/>
  <c r="AU148" i="17"/>
  <c r="AV148" i="17" s="1"/>
  <c r="AA149" i="17"/>
  <c r="AK149" i="17" s="1"/>
  <c r="Y149" i="17"/>
  <c r="BD134" i="17"/>
  <c r="BE134" i="17" s="1"/>
  <c r="BF134" i="17" s="1"/>
  <c r="BH134" i="17"/>
  <c r="AL221" i="15"/>
  <c r="BQ133" i="17"/>
  <c r="O204" i="17"/>
  <c r="M205" i="17"/>
  <c r="E205" i="17" s="1"/>
  <c r="L205" i="17" s="1"/>
  <c r="Q204" i="17"/>
  <c r="S204" i="17" s="1"/>
  <c r="N205" i="17" l="1"/>
  <c r="M206" i="17" s="1"/>
  <c r="AB149" i="17"/>
  <c r="Z149" i="17"/>
  <c r="BG134" i="17"/>
  <c r="BI134" i="17"/>
  <c r="BK134" i="17"/>
  <c r="BL134" i="17" s="1"/>
  <c r="BM134" i="17" s="1"/>
  <c r="BJ134" i="17"/>
  <c r="P205" i="17"/>
  <c r="Q205" i="17" s="1"/>
  <c r="S205" i="17" s="1"/>
  <c r="O205" i="17"/>
  <c r="U150" i="17" l="1"/>
  <c r="W150" i="17" s="1"/>
  <c r="AA150" i="17" s="1"/>
  <c r="AK150" i="17" s="1"/>
  <c r="AF149" i="17"/>
  <c r="AG149" i="17" s="1"/>
  <c r="P206" i="17"/>
  <c r="Q206" i="17" s="1"/>
  <c r="S206" i="17" s="1"/>
  <c r="BO134" i="17"/>
  <c r="BP134" i="17" s="1"/>
  <c r="BN134" i="17"/>
  <c r="AF309" i="15" s="1"/>
  <c r="BC135" i="17"/>
  <c r="BD135" i="17" s="1"/>
  <c r="E206" i="17"/>
  <c r="L206" i="17" s="1"/>
  <c r="AH149" i="17" l="1"/>
  <c r="AS149" i="17" s="1"/>
  <c r="AL149" i="17"/>
  <c r="AM149" i="17" s="1"/>
  <c r="AN149" i="17" s="1"/>
  <c r="AC150" i="17"/>
  <c r="Y150" i="17"/>
  <c r="AB150" i="17" s="1"/>
  <c r="AL222" i="15"/>
  <c r="BQ134" i="17"/>
  <c r="BE135" i="17"/>
  <c r="BF135" i="17" s="1"/>
  <c r="BH135" i="17"/>
  <c r="BK135" i="17"/>
  <c r="BJ135" i="17"/>
  <c r="N206" i="17"/>
  <c r="AY149" i="17" l="1"/>
  <c r="AT149" i="17"/>
  <c r="AW149" i="17" s="1"/>
  <c r="AX149" i="17" s="1"/>
  <c r="AZ149" i="17" s="1"/>
  <c r="AU149" i="17"/>
  <c r="AV149" i="17" s="1"/>
  <c r="Z150" i="17"/>
  <c r="U151" i="17" s="1"/>
  <c r="AC151" i="17" s="1"/>
  <c r="AD150" i="17"/>
  <c r="AO149" i="17"/>
  <c r="BL135" i="17"/>
  <c r="BM135" i="17" s="1"/>
  <c r="BG135" i="17"/>
  <c r="BI135" i="17"/>
  <c r="O206" i="17"/>
  <c r="M207" i="17"/>
  <c r="W151" i="17" l="1"/>
  <c r="AA151" i="17" s="1"/>
  <c r="AK151" i="17" s="1"/>
  <c r="AP149" i="17"/>
  <c r="AR149" i="17" s="1"/>
  <c r="AE150" i="17"/>
  <c r="BC136" i="17"/>
  <c r="BO135" i="17"/>
  <c r="BP135" i="17" s="1"/>
  <c r="BN135" i="17"/>
  <c r="AF312" i="15" s="1"/>
  <c r="P207" i="17"/>
  <c r="E207" i="17"/>
  <c r="L207" i="17" s="1"/>
  <c r="Y151" i="17" l="1"/>
  <c r="AB151" i="17" s="1"/>
  <c r="AQ149" i="17"/>
  <c r="AF150" i="17"/>
  <c r="AG150" i="17" s="1"/>
  <c r="AD151" i="17"/>
  <c r="AE151" i="17" s="1"/>
  <c r="AL223" i="15"/>
  <c r="BQ135" i="17"/>
  <c r="BD136" i="17"/>
  <c r="BH136" i="17"/>
  <c r="N207" i="17"/>
  <c r="Q207" i="17"/>
  <c r="S207" i="17" s="1"/>
  <c r="Z151" i="17" l="1"/>
  <c r="U152" i="17" s="1"/>
  <c r="AC152" i="17" s="1"/>
  <c r="AD152" i="17" s="1"/>
  <c r="AE152" i="17" s="1"/>
  <c r="AF151" i="17"/>
  <c r="AG151" i="17" s="1"/>
  <c r="AL151" i="17" s="1"/>
  <c r="AY151" i="17" s="1"/>
  <c r="AH150" i="17"/>
  <c r="AS150" i="17" s="1"/>
  <c r="AL150" i="17"/>
  <c r="AY150" i="17" s="1"/>
  <c r="BJ136" i="17"/>
  <c r="BK136" i="17"/>
  <c r="BL136" i="17" s="1"/>
  <c r="BM136" i="17" s="1"/>
  <c r="BE136" i="17"/>
  <c r="BF136" i="17" s="1"/>
  <c r="O207" i="17"/>
  <c r="M208" i="17"/>
  <c r="E208" i="17" s="1"/>
  <c r="L208" i="17" s="1"/>
  <c r="W152" i="17" l="1"/>
  <c r="AA152" i="17" s="1"/>
  <c r="AK152" i="17" s="1"/>
  <c r="AM151" i="17"/>
  <c r="AN151" i="17" s="1"/>
  <c r="AO151" i="17" s="1"/>
  <c r="AP151" i="17" s="1"/>
  <c r="AH151" i="17"/>
  <c r="AS151" i="17" s="1"/>
  <c r="AT151" i="17" s="1"/>
  <c r="AT150" i="17"/>
  <c r="AW150" i="17" s="1"/>
  <c r="AU150" i="17"/>
  <c r="AV150" i="17" s="1"/>
  <c r="AM150" i="17"/>
  <c r="BG136" i="17"/>
  <c r="BI136" i="17"/>
  <c r="N208" i="17"/>
  <c r="P208" i="17"/>
  <c r="Y152" i="17" l="1"/>
  <c r="AB152" i="17" s="1"/>
  <c r="AF152" i="17" s="1"/>
  <c r="AG152" i="17" s="1"/>
  <c r="AH152" i="17" s="1"/>
  <c r="AS152" i="17" s="1"/>
  <c r="AU151" i="17"/>
  <c r="AV151" i="17" s="1"/>
  <c r="AN150" i="17"/>
  <c r="AO150" i="17" s="1"/>
  <c r="AX150" i="17"/>
  <c r="AZ150" i="17" s="1"/>
  <c r="BO136" i="17"/>
  <c r="BP136" i="17" s="1"/>
  <c r="BN136" i="17"/>
  <c r="AF315" i="15" s="1"/>
  <c r="BC137" i="17"/>
  <c r="BH137" i="17" s="1"/>
  <c r="AR151" i="17"/>
  <c r="AQ151" i="17"/>
  <c r="Q208" i="17"/>
  <c r="S208" i="17" s="1"/>
  <c r="O208" i="17"/>
  <c r="M209" i="17"/>
  <c r="AL152" i="17" l="1"/>
  <c r="AY152" i="17" s="1"/>
  <c r="Z152" i="17"/>
  <c r="U153" i="17" s="1"/>
  <c r="AC153" i="17" s="1"/>
  <c r="AD153" i="17" s="1"/>
  <c r="AW151" i="17"/>
  <c r="AX151" i="17" s="1"/>
  <c r="AZ151" i="17" s="1"/>
  <c r="AT152" i="17"/>
  <c r="AU152" i="17"/>
  <c r="AV152" i="17" s="1"/>
  <c r="AP150" i="17"/>
  <c r="AR150" i="17" s="1"/>
  <c r="BD137" i="17"/>
  <c r="BJ137" i="17" s="1"/>
  <c r="AL224" i="15"/>
  <c r="BQ136" i="17"/>
  <c r="E209" i="17"/>
  <c r="L209" i="17" s="1"/>
  <c r="P209" i="17"/>
  <c r="AM152" i="17" l="1"/>
  <c r="AN152" i="17" s="1"/>
  <c r="W153" i="17"/>
  <c r="Y153" i="17" s="1"/>
  <c r="AB153" i="17" s="1"/>
  <c r="BK137" i="17"/>
  <c r="BL137" i="17" s="1"/>
  <c r="BM137" i="17" s="1"/>
  <c r="BE137" i="17"/>
  <c r="BF137" i="17" s="1"/>
  <c r="BG137" i="17" s="1"/>
  <c r="AW152" i="17"/>
  <c r="AX152" i="17" s="1"/>
  <c r="AZ152" i="17" s="1"/>
  <c r="AQ150" i="17"/>
  <c r="AE153" i="17"/>
  <c r="Q209" i="17"/>
  <c r="S209" i="17" s="1"/>
  <c r="N209" i="17"/>
  <c r="AO152" i="17" l="1"/>
  <c r="AP152" i="17" s="1"/>
  <c r="AA153" i="17"/>
  <c r="AK153" i="17" s="1"/>
  <c r="BI137" i="17"/>
  <c r="BO137" i="17" s="1"/>
  <c r="BP137" i="17" s="1"/>
  <c r="BC138" i="17"/>
  <c r="AF153" i="17"/>
  <c r="AG153" i="17" s="1"/>
  <c r="Z153" i="17"/>
  <c r="M210" i="17"/>
  <c r="E210" i="17" s="1"/>
  <c r="L210" i="17" s="1"/>
  <c r="O209" i="17"/>
  <c r="BN137" i="17" l="1"/>
  <c r="AF319" i="15" s="1"/>
  <c r="AH153" i="17"/>
  <c r="AS153" i="17" s="1"/>
  <c r="AL153" i="17"/>
  <c r="AY153" i="17" s="1"/>
  <c r="BD138" i="17"/>
  <c r="BE138" i="17" s="1"/>
  <c r="BF138" i="17" s="1"/>
  <c r="BH138" i="17"/>
  <c r="AL225" i="15"/>
  <c r="AR152" i="17"/>
  <c r="U154" i="17"/>
  <c r="AC154" i="17" s="1"/>
  <c r="AQ152" i="17"/>
  <c r="N210" i="17"/>
  <c r="P210" i="17"/>
  <c r="AM153" i="17" l="1"/>
  <c r="AN153" i="17" s="1"/>
  <c r="AO153" i="17" s="1"/>
  <c r="BQ137" i="17"/>
  <c r="AT153" i="17"/>
  <c r="AW153" i="17" s="1"/>
  <c r="AX153" i="17" s="1"/>
  <c r="AZ153" i="17" s="1"/>
  <c r="AU153" i="17"/>
  <c r="AV153" i="17" s="1"/>
  <c r="BG138" i="17"/>
  <c r="BI138" i="17"/>
  <c r="BJ138" i="17"/>
  <c r="BK138" i="17"/>
  <c r="BL138" i="17" s="1"/>
  <c r="BM138" i="17" s="1"/>
  <c r="AD154" i="17"/>
  <c r="W154" i="17"/>
  <c r="AA154" i="17" s="1"/>
  <c r="AK154" i="17" s="1"/>
  <c r="Q210" i="17"/>
  <c r="S210" i="17" s="1"/>
  <c r="M211" i="17"/>
  <c r="E211" i="17" s="1"/>
  <c r="L211" i="17" s="1"/>
  <c r="O210" i="17"/>
  <c r="P211" i="17" l="1"/>
  <c r="Q211" i="17" s="1"/>
  <c r="S211" i="17" s="1"/>
  <c r="BO138" i="17"/>
  <c r="BP138" i="17" s="1"/>
  <c r="BN138" i="17"/>
  <c r="AF321" i="15" s="1"/>
  <c r="BC139" i="17"/>
  <c r="Y154" i="17"/>
  <c r="AB154" i="17" s="1"/>
  <c r="AP153" i="17"/>
  <c r="AE154" i="17"/>
  <c r="N211" i="17"/>
  <c r="BH139" i="17" l="1"/>
  <c r="Z154" i="17"/>
  <c r="U155" i="17" s="1"/>
  <c r="AC155" i="17" s="1"/>
  <c r="AR153" i="17"/>
  <c r="AL226" i="15"/>
  <c r="BQ138" i="17"/>
  <c r="BD139" i="17"/>
  <c r="AQ153" i="17"/>
  <c r="AF154" i="17"/>
  <c r="AG154" i="17" s="1"/>
  <c r="O211" i="17"/>
  <c r="M212" i="17"/>
  <c r="E212" i="17" s="1"/>
  <c r="L212" i="17" s="1"/>
  <c r="AH154" i="17" l="1"/>
  <c r="AS154" i="17" s="1"/>
  <c r="AL154" i="17"/>
  <c r="AY154" i="17" s="1"/>
  <c r="N212" i="17"/>
  <c r="M213" i="17" s="1"/>
  <c r="E213" i="17" s="1"/>
  <c r="L213" i="17" s="1"/>
  <c r="BK139" i="17"/>
  <c r="BL139" i="17" s="1"/>
  <c r="BM139" i="17" s="1"/>
  <c r="BJ139" i="17"/>
  <c r="BE139" i="17"/>
  <c r="BF139" i="17" s="1"/>
  <c r="AD155" i="17"/>
  <c r="W155" i="17"/>
  <c r="P212" i="17"/>
  <c r="AM154" i="17" l="1"/>
  <c r="AN154" i="17" s="1"/>
  <c r="AO154" i="17" s="1"/>
  <c r="O212" i="17"/>
  <c r="N213" i="17" s="1"/>
  <c r="AT154" i="17"/>
  <c r="AW154" i="17" s="1"/>
  <c r="AX154" i="17" s="1"/>
  <c r="AZ154" i="17" s="1"/>
  <c r="AU154" i="17"/>
  <c r="AV154" i="17" s="1"/>
  <c r="BG139" i="17"/>
  <c r="BI139" i="17"/>
  <c r="AA155" i="17"/>
  <c r="AK155" i="17" s="1"/>
  <c r="AE155" i="17"/>
  <c r="Y155" i="17"/>
  <c r="AB155" i="17" s="1"/>
  <c r="Q212" i="17"/>
  <c r="S212" i="17" s="1"/>
  <c r="BO139" i="17" l="1"/>
  <c r="BP139" i="17" s="1"/>
  <c r="BN139" i="17"/>
  <c r="AF323" i="15" s="1"/>
  <c r="BC140" i="17"/>
  <c r="BD140" i="17" s="1"/>
  <c r="AF155" i="17"/>
  <c r="AG155" i="17" s="1"/>
  <c r="AL155" i="17" s="1"/>
  <c r="AY155" i="17" s="1"/>
  <c r="AP154" i="17"/>
  <c r="Z155" i="17"/>
  <c r="P213" i="17"/>
  <c r="Q213" i="17" s="1"/>
  <c r="S213" i="17" s="1"/>
  <c r="O213" i="17"/>
  <c r="M214" i="17"/>
  <c r="E214" i="17" s="1"/>
  <c r="L214" i="17" s="1"/>
  <c r="N214" i="17" l="1"/>
  <c r="M215" i="17" s="1"/>
  <c r="E215" i="17" s="1"/>
  <c r="L215" i="17" s="1"/>
  <c r="AH155" i="17"/>
  <c r="AS155" i="17" s="1"/>
  <c r="BK140" i="17"/>
  <c r="BL140" i="17" s="1"/>
  <c r="BM140" i="17" s="1"/>
  <c r="BJ140" i="17"/>
  <c r="AL227" i="15"/>
  <c r="BQ139" i="17"/>
  <c r="BE140" i="17"/>
  <c r="BF140" i="17" s="1"/>
  <c r="BH140" i="17"/>
  <c r="U156" i="17"/>
  <c r="AC156" i="17" s="1"/>
  <c r="AR154" i="17"/>
  <c r="AM155" i="17"/>
  <c r="P214" i="17"/>
  <c r="Q214" i="17" s="1"/>
  <c r="S214" i="17" s="1"/>
  <c r="AQ154" i="17"/>
  <c r="O214" i="17" l="1"/>
  <c r="N215" i="17" s="1"/>
  <c r="AT155" i="17"/>
  <c r="AW155" i="17" s="1"/>
  <c r="AX155" i="17" s="1"/>
  <c r="AZ155" i="17" s="1"/>
  <c r="AU155" i="17"/>
  <c r="AV155" i="17" s="1"/>
  <c r="BG140" i="17"/>
  <c r="BI140" i="17"/>
  <c r="W156" i="17"/>
  <c r="AA156" i="17" s="1"/>
  <c r="AK156" i="17" s="1"/>
  <c r="P215" i="17"/>
  <c r="Q215" i="17" s="1"/>
  <c r="S215" i="17" s="1"/>
  <c r="AN155" i="17"/>
  <c r="AD156" i="17"/>
  <c r="Y156" i="17" l="1"/>
  <c r="Z156" i="17" s="1"/>
  <c r="BO140" i="17"/>
  <c r="BP140" i="17" s="1"/>
  <c r="BN140" i="17"/>
  <c r="AF331" i="15" s="1"/>
  <c r="BC141" i="17"/>
  <c r="AE156" i="17"/>
  <c r="AO155" i="17"/>
  <c r="O215" i="17"/>
  <c r="M216" i="17"/>
  <c r="E216" i="17" s="1"/>
  <c r="L216" i="17" s="1"/>
  <c r="AB156" i="17" l="1"/>
  <c r="AF156" i="17" s="1"/>
  <c r="AG156" i="17" s="1"/>
  <c r="BD141" i="17"/>
  <c r="BE141" i="17" s="1"/>
  <c r="BF141" i="17" s="1"/>
  <c r="BH141" i="17"/>
  <c r="AL228" i="15"/>
  <c r="BQ140" i="17"/>
  <c r="U157" i="17"/>
  <c r="AC157" i="17" s="1"/>
  <c r="AP155" i="17"/>
  <c r="AQ155" i="17" s="1"/>
  <c r="N216" i="17"/>
  <c r="P216" i="17"/>
  <c r="AL156" i="17" l="1"/>
  <c r="AY156" i="17" s="1"/>
  <c r="AH156" i="17"/>
  <c r="AS156" i="17" s="1"/>
  <c r="W157" i="17"/>
  <c r="AA157" i="17" s="1"/>
  <c r="AK157" i="17" s="1"/>
  <c r="BG141" i="17"/>
  <c r="BI141" i="17"/>
  <c r="BK141" i="17"/>
  <c r="BL141" i="17" s="1"/>
  <c r="BM141" i="17" s="1"/>
  <c r="BJ141" i="17"/>
  <c r="AR155" i="17"/>
  <c r="AD157" i="17"/>
  <c r="Q216" i="17"/>
  <c r="S216" i="17" s="1"/>
  <c r="M217" i="17"/>
  <c r="E217" i="17" s="1"/>
  <c r="L217" i="17" s="1"/>
  <c r="O216" i="17"/>
  <c r="AM156" i="17" l="1"/>
  <c r="AN156" i="17" s="1"/>
  <c r="AO156" i="17" s="1"/>
  <c r="AT156" i="17"/>
  <c r="AW156" i="17" s="1"/>
  <c r="AX156" i="17" s="1"/>
  <c r="AZ156" i="17" s="1"/>
  <c r="AU156" i="17"/>
  <c r="AV156" i="17" s="1"/>
  <c r="Y157" i="17"/>
  <c r="AB157" i="17" s="1"/>
  <c r="BO141" i="17"/>
  <c r="BP141" i="17" s="1"/>
  <c r="BN141" i="17"/>
  <c r="AF336" i="15" s="1"/>
  <c r="BC142" i="17"/>
  <c r="BH142" i="17" s="1"/>
  <c r="AE157" i="17"/>
  <c r="N217" i="17"/>
  <c r="P217" i="17"/>
  <c r="Z157" i="17" l="1"/>
  <c r="U158" i="17" s="1"/>
  <c r="AC158" i="17" s="1"/>
  <c r="BD142" i="17"/>
  <c r="BE142" i="17" s="1"/>
  <c r="BF142" i="17" s="1"/>
  <c r="AL229" i="15"/>
  <c r="BQ141" i="17"/>
  <c r="AP156" i="17"/>
  <c r="AF157" i="17"/>
  <c r="AG157" i="17" s="1"/>
  <c r="Q217" i="17"/>
  <c r="S217" i="17" s="1"/>
  <c r="O217" i="17"/>
  <c r="M218" i="17"/>
  <c r="AH157" i="17" l="1"/>
  <c r="AS157" i="17" s="1"/>
  <c r="AL157" i="17"/>
  <c r="AY157" i="17" s="1"/>
  <c r="BJ142" i="17"/>
  <c r="BK142" i="17"/>
  <c r="BL142" i="17" s="1"/>
  <c r="BM142" i="17" s="1"/>
  <c r="W158" i="17"/>
  <c r="AA158" i="17" s="1"/>
  <c r="AK158" i="17" s="1"/>
  <c r="BG142" i="17"/>
  <c r="BI142" i="17"/>
  <c r="AR156" i="17"/>
  <c r="AQ156" i="17"/>
  <c r="AD158" i="17"/>
  <c r="E218" i="17"/>
  <c r="L218" i="17" s="1"/>
  <c r="P218" i="17"/>
  <c r="AM157" i="17" l="1"/>
  <c r="AN157" i="17" s="1"/>
  <c r="AO157" i="17" s="1"/>
  <c r="AP157" i="17" s="1"/>
  <c r="AT157" i="17"/>
  <c r="AW157" i="17" s="1"/>
  <c r="AX157" i="17" s="1"/>
  <c r="AZ157" i="17" s="1"/>
  <c r="AU157" i="17"/>
  <c r="AV157" i="17" s="1"/>
  <c r="Y158" i="17"/>
  <c r="AB158" i="17" s="1"/>
  <c r="BO142" i="17"/>
  <c r="BP142" i="17" s="1"/>
  <c r="BN142" i="17"/>
  <c r="AF341" i="15" s="1"/>
  <c r="BC143" i="17"/>
  <c r="AE158" i="17"/>
  <c r="Q218" i="17"/>
  <c r="S218" i="17" s="1"/>
  <c r="N218" i="17"/>
  <c r="Z158" i="17" l="1"/>
  <c r="U159" i="17" s="1"/>
  <c r="AC159" i="17" s="1"/>
  <c r="BD143" i="17"/>
  <c r="BE143" i="17" s="1"/>
  <c r="BF143" i="17" s="1"/>
  <c r="BH143" i="17"/>
  <c r="AL230" i="15"/>
  <c r="BQ142" i="17"/>
  <c r="AR157" i="17"/>
  <c r="AF158" i="17"/>
  <c r="AG158" i="17" s="1"/>
  <c r="AQ157" i="17"/>
  <c r="O218" i="17"/>
  <c r="M219" i="17"/>
  <c r="W159" i="17" l="1"/>
  <c r="AA159" i="17" s="1"/>
  <c r="AK159" i="17" s="1"/>
  <c r="AH158" i="17"/>
  <c r="AS158" i="17" s="1"/>
  <c r="AD159" i="17"/>
  <c r="AE159" i="17" s="1"/>
  <c r="AL158" i="17"/>
  <c r="AY158" i="17" s="1"/>
  <c r="BG143" i="17"/>
  <c r="BI143" i="17"/>
  <c r="BK143" i="17"/>
  <c r="BL143" i="17" s="1"/>
  <c r="BM143" i="17" s="1"/>
  <c r="BJ143" i="17"/>
  <c r="P219" i="17"/>
  <c r="E219" i="17"/>
  <c r="L219" i="17" s="1"/>
  <c r="Y159" i="17" l="1"/>
  <c r="AB159" i="17" s="1"/>
  <c r="AF159" i="17" s="1"/>
  <c r="AG159" i="17" s="1"/>
  <c r="AM158" i="17"/>
  <c r="AN158" i="17" s="1"/>
  <c r="AO158" i="17" s="1"/>
  <c r="AP158" i="17" s="1"/>
  <c r="AT158" i="17"/>
  <c r="AW158" i="17" s="1"/>
  <c r="AU158" i="17"/>
  <c r="AV158" i="17" s="1"/>
  <c r="BO143" i="17"/>
  <c r="BP143" i="17" s="1"/>
  <c r="BN143" i="17"/>
  <c r="AF345" i="15" s="1"/>
  <c r="BC144" i="17"/>
  <c r="N219" i="17"/>
  <c r="Q219" i="17"/>
  <c r="S219" i="17" s="1"/>
  <c r="AL159" i="17" l="1"/>
  <c r="AY159" i="17" s="1"/>
  <c r="AH159" i="17"/>
  <c r="AS159" i="17" s="1"/>
  <c r="AT159" i="17" s="1"/>
  <c r="Z159" i="17"/>
  <c r="U160" i="17" s="1"/>
  <c r="AC160" i="17" s="1"/>
  <c r="AD160" i="17" s="1"/>
  <c r="AR158" i="17"/>
  <c r="AQ158" i="17"/>
  <c r="AX158" i="17"/>
  <c r="AZ158" i="17" s="1"/>
  <c r="BH144" i="17"/>
  <c r="BD144" i="17"/>
  <c r="AL231" i="15"/>
  <c r="BQ143" i="17"/>
  <c r="O219" i="17"/>
  <c r="M220" i="17"/>
  <c r="E220" i="17" s="1"/>
  <c r="L220" i="17" s="1"/>
  <c r="AM159" i="17" l="1"/>
  <c r="AN159" i="17" s="1"/>
  <c r="AU159" i="17"/>
  <c r="AV159" i="17" s="1"/>
  <c r="W160" i="17"/>
  <c r="AA160" i="17" s="1"/>
  <c r="AK160" i="17" s="1"/>
  <c r="AW159" i="17"/>
  <c r="AX159" i="17" s="1"/>
  <c r="AZ159" i="17" s="1"/>
  <c r="BK144" i="17"/>
  <c r="BJ144" i="17"/>
  <c r="BE144" i="17"/>
  <c r="BF144" i="17" s="1"/>
  <c r="N220" i="17"/>
  <c r="O220" i="17" s="1"/>
  <c r="AE160" i="17"/>
  <c r="AO159" i="17"/>
  <c r="P220" i="17"/>
  <c r="Y160" i="17" l="1"/>
  <c r="AB160" i="17" s="1"/>
  <c r="AF160" i="17" s="1"/>
  <c r="AG160" i="17" s="1"/>
  <c r="M221" i="17"/>
  <c r="E221" i="17" s="1"/>
  <c r="L221" i="17" s="1"/>
  <c r="N221" i="17" s="1"/>
  <c r="BL144" i="17"/>
  <c r="BM144" i="17" s="1"/>
  <c r="BG144" i="17"/>
  <c r="BI144" i="17"/>
  <c r="AP159" i="17"/>
  <c r="Q220" i="17"/>
  <c r="S220" i="17" s="1"/>
  <c r="Z160" i="17" l="1"/>
  <c r="U161" i="17" s="1"/>
  <c r="AC161" i="17" s="1"/>
  <c r="AD161" i="17" s="1"/>
  <c r="AE161" i="17" s="1"/>
  <c r="AH160" i="17"/>
  <c r="AS160" i="17" s="1"/>
  <c r="AL160" i="17"/>
  <c r="AY160" i="17" s="1"/>
  <c r="BO144" i="17"/>
  <c r="BP144" i="17" s="1"/>
  <c r="BN144" i="17"/>
  <c r="AF347" i="15" s="1"/>
  <c r="BC145" i="17"/>
  <c r="AR159" i="17"/>
  <c r="AQ159" i="17"/>
  <c r="O221" i="17"/>
  <c r="M222" i="17"/>
  <c r="P221" i="17"/>
  <c r="W161" i="17" l="1"/>
  <c r="AA161" i="17" s="1"/>
  <c r="AK161" i="17" s="1"/>
  <c r="AM160" i="17"/>
  <c r="AN160" i="17" s="1"/>
  <c r="AO160" i="17" s="1"/>
  <c r="AP160" i="17" s="1"/>
  <c r="AR160" i="17" s="1"/>
  <c r="AT160" i="17"/>
  <c r="AW160" i="17" s="1"/>
  <c r="AX160" i="17" s="1"/>
  <c r="AZ160" i="17" s="1"/>
  <c r="AU160" i="17"/>
  <c r="AV160" i="17" s="1"/>
  <c r="BD145" i="17"/>
  <c r="BE145" i="17" s="1"/>
  <c r="BF145" i="17" s="1"/>
  <c r="BH145" i="17"/>
  <c r="AL232" i="15"/>
  <c r="BQ144" i="17"/>
  <c r="E222" i="17"/>
  <c r="L222" i="17" s="1"/>
  <c r="Q221" i="17"/>
  <c r="S221" i="17" s="1"/>
  <c r="Y161" i="17" l="1"/>
  <c r="AB161" i="17" s="1"/>
  <c r="AF161" i="17" s="1"/>
  <c r="AG161" i="17" s="1"/>
  <c r="BG145" i="17"/>
  <c r="BI145" i="17"/>
  <c r="BJ145" i="17"/>
  <c r="BK145" i="17"/>
  <c r="BL145" i="17" s="1"/>
  <c r="BM145" i="17" s="1"/>
  <c r="AQ160" i="17"/>
  <c r="P222" i="17"/>
  <c r="N222" i="17"/>
  <c r="Z161" i="17" l="1"/>
  <c r="U162" i="17" s="1"/>
  <c r="AC162" i="17" s="1"/>
  <c r="AD162" i="17" s="1"/>
  <c r="AH161" i="17"/>
  <c r="AS161" i="17" s="1"/>
  <c r="AL161" i="17"/>
  <c r="AY161" i="17" s="1"/>
  <c r="BO145" i="17"/>
  <c r="BP145" i="17" s="1"/>
  <c r="BN145" i="17"/>
  <c r="AF349" i="15" s="1"/>
  <c r="BC146" i="17"/>
  <c r="BH146" i="17" s="1"/>
  <c r="O222" i="17"/>
  <c r="M223" i="17"/>
  <c r="Q222" i="17"/>
  <c r="S222" i="17" s="1"/>
  <c r="W162" i="17" l="1"/>
  <c r="AA162" i="17" s="1"/>
  <c r="AK162" i="17" s="1"/>
  <c r="AM161" i="17"/>
  <c r="AN161" i="17" s="1"/>
  <c r="AO161" i="17" s="1"/>
  <c r="AP161" i="17" s="1"/>
  <c r="AR161" i="17" s="1"/>
  <c r="AT161" i="17"/>
  <c r="AW161" i="17" s="1"/>
  <c r="AX161" i="17" s="1"/>
  <c r="AZ161" i="17" s="1"/>
  <c r="AU161" i="17"/>
  <c r="AV161" i="17" s="1"/>
  <c r="BD146" i="17"/>
  <c r="BE146" i="17" s="1"/>
  <c r="BF146" i="17" s="1"/>
  <c r="AL233" i="15"/>
  <c r="BQ145" i="17"/>
  <c r="AE162" i="17"/>
  <c r="E223" i="17"/>
  <c r="L223" i="17" s="1"/>
  <c r="P223" i="17"/>
  <c r="Y162" i="17" l="1"/>
  <c r="AB162" i="17" s="1"/>
  <c r="AF162" i="17" s="1"/>
  <c r="AG162" i="17" s="1"/>
  <c r="BG146" i="17"/>
  <c r="BI146" i="17"/>
  <c r="BK146" i="17"/>
  <c r="BL146" i="17" s="1"/>
  <c r="BM146" i="17" s="1"/>
  <c r="BJ146" i="17"/>
  <c r="AQ161" i="17"/>
  <c r="Q223" i="17"/>
  <c r="S223" i="17" s="1"/>
  <c r="N223" i="17"/>
  <c r="Z162" i="17" l="1"/>
  <c r="U163" i="17" s="1"/>
  <c r="AC163" i="17" s="1"/>
  <c r="AD163" i="17" s="1"/>
  <c r="AH162" i="17"/>
  <c r="AS162" i="17" s="1"/>
  <c r="AL162" i="17"/>
  <c r="AY162" i="17" s="1"/>
  <c r="BO146" i="17"/>
  <c r="BP146" i="17" s="1"/>
  <c r="BN146" i="17"/>
  <c r="AF351" i="15" s="1"/>
  <c r="BC147" i="17"/>
  <c r="BH147" i="17" s="1"/>
  <c r="O223" i="17"/>
  <c r="M224" i="17"/>
  <c r="W163" i="17" l="1"/>
  <c r="AM162" i="17"/>
  <c r="AN162" i="17" s="1"/>
  <c r="AO162" i="17" s="1"/>
  <c r="AP162" i="17" s="1"/>
  <c r="AT162" i="17"/>
  <c r="AW162" i="17" s="1"/>
  <c r="AX162" i="17" s="1"/>
  <c r="AZ162" i="17" s="1"/>
  <c r="AU162" i="17"/>
  <c r="AV162" i="17" s="1"/>
  <c r="BD147" i="17"/>
  <c r="BE147" i="17" s="1"/>
  <c r="BF147" i="17" s="1"/>
  <c r="AL234" i="15"/>
  <c r="BQ146" i="17"/>
  <c r="AE163" i="17"/>
  <c r="AA163" i="17"/>
  <c r="AK163" i="17" s="1"/>
  <c r="Y163" i="17"/>
  <c r="P224" i="17"/>
  <c r="E224" i="17"/>
  <c r="L224" i="17" s="1"/>
  <c r="BG147" i="17" l="1"/>
  <c r="BI147" i="17"/>
  <c r="BK147" i="17"/>
  <c r="BL147" i="17" s="1"/>
  <c r="BM147" i="17" s="1"/>
  <c r="BJ147" i="17"/>
  <c r="AQ162" i="17"/>
  <c r="AR162" i="17"/>
  <c r="AB163" i="17"/>
  <c r="Z163" i="17"/>
  <c r="N224" i="17"/>
  <c r="Q224" i="17"/>
  <c r="S224" i="17" s="1"/>
  <c r="BO147" i="17" l="1"/>
  <c r="BP147" i="17" s="1"/>
  <c r="BN147" i="17"/>
  <c r="AF354" i="15" s="1"/>
  <c r="BC148" i="17"/>
  <c r="BH148" i="17" s="1"/>
  <c r="U164" i="17"/>
  <c r="AC164" i="17" s="1"/>
  <c r="AF163" i="17"/>
  <c r="AG163" i="17" s="1"/>
  <c r="AL163" i="17" s="1"/>
  <c r="AY163" i="17" s="1"/>
  <c r="O224" i="17"/>
  <c r="M225" i="17"/>
  <c r="AH163" i="17" l="1"/>
  <c r="AS163" i="17" s="1"/>
  <c r="BD148" i="17"/>
  <c r="BJ148" i="17" s="1"/>
  <c r="AL235" i="15"/>
  <c r="BQ147" i="17"/>
  <c r="AM163" i="17"/>
  <c r="W164" i="17"/>
  <c r="AD164" i="17"/>
  <c r="E225" i="17"/>
  <c r="L225" i="17" s="1"/>
  <c r="P225" i="17"/>
  <c r="Q225" i="17" s="1"/>
  <c r="BK148" i="17" l="1"/>
  <c r="BL148" i="17" s="1"/>
  <c r="BM148" i="17" s="1"/>
  <c r="AT163" i="17"/>
  <c r="AW163" i="17" s="1"/>
  <c r="AX163" i="17" s="1"/>
  <c r="AZ163" i="17" s="1"/>
  <c r="AU163" i="17"/>
  <c r="AV163" i="17" s="1"/>
  <c r="BE148" i="17"/>
  <c r="BF148" i="17" s="1"/>
  <c r="BG148" i="17" s="1"/>
  <c r="AE164" i="17"/>
  <c r="AN163" i="17"/>
  <c r="AA164" i="17"/>
  <c r="AK164" i="17" s="1"/>
  <c r="Y164" i="17"/>
  <c r="AB164" i="17" s="1"/>
  <c r="S225" i="17"/>
  <c r="N225" i="17"/>
  <c r="BI148" i="17" l="1"/>
  <c r="BN148" i="17" s="1"/>
  <c r="AF356" i="15" s="1"/>
  <c r="BC149" i="17"/>
  <c r="Z164" i="17"/>
  <c r="AO163" i="17"/>
  <c r="AF164" i="17"/>
  <c r="AG164" i="17" s="1"/>
  <c r="M226" i="17"/>
  <c r="O225" i="17"/>
  <c r="BO148" i="17" l="1"/>
  <c r="BP148" i="17" s="1"/>
  <c r="AL236" i="15" s="1"/>
  <c r="AH164" i="17"/>
  <c r="AS164" i="17" s="1"/>
  <c r="AL164" i="17"/>
  <c r="AY164" i="17" s="1"/>
  <c r="BD149" i="17"/>
  <c r="BE149" i="17" s="1"/>
  <c r="BF149" i="17" s="1"/>
  <c r="BH149" i="17"/>
  <c r="AP163" i="17"/>
  <c r="U165" i="17"/>
  <c r="AC165" i="17" s="1"/>
  <c r="P226" i="17"/>
  <c r="E226" i="17"/>
  <c r="L226" i="17" s="1"/>
  <c r="BQ148" i="17" l="1"/>
  <c r="AT164" i="17"/>
  <c r="AW164" i="17" s="1"/>
  <c r="AX164" i="17" s="1"/>
  <c r="AZ164" i="17" s="1"/>
  <c r="AU164" i="17"/>
  <c r="AV164" i="17" s="1"/>
  <c r="AM164" i="17"/>
  <c r="AN164" i="17" s="1"/>
  <c r="AO164" i="17" s="1"/>
  <c r="BG149" i="17"/>
  <c r="BI149" i="17"/>
  <c r="BK149" i="17"/>
  <c r="BL149" i="17" s="1"/>
  <c r="BM149" i="17" s="1"/>
  <c r="BJ149" i="17"/>
  <c r="W165" i="17"/>
  <c r="AA165" i="17" s="1"/>
  <c r="AK165" i="17" s="1"/>
  <c r="AR163" i="17"/>
  <c r="AD165" i="17"/>
  <c r="AQ163" i="17"/>
  <c r="Q226" i="17"/>
  <c r="S226" i="17" s="1"/>
  <c r="N226" i="17"/>
  <c r="Y165" i="17" l="1"/>
  <c r="AB165" i="17" s="1"/>
  <c r="BO149" i="17"/>
  <c r="BP149" i="17" s="1"/>
  <c r="BN149" i="17"/>
  <c r="AF360" i="15" s="1"/>
  <c r="BC150" i="17"/>
  <c r="BD150" i="17" s="1"/>
  <c r="AP164" i="17"/>
  <c r="AE165" i="17"/>
  <c r="O226" i="17"/>
  <c r="M227" i="17"/>
  <c r="E227" i="17" s="1"/>
  <c r="L227" i="17" s="1"/>
  <c r="Z165" i="17" l="1"/>
  <c r="U166" i="17" s="1"/>
  <c r="AC166" i="17" s="1"/>
  <c r="AL237" i="15"/>
  <c r="BQ149" i="17"/>
  <c r="BK150" i="17"/>
  <c r="BL150" i="17" s="1"/>
  <c r="BM150" i="17" s="1"/>
  <c r="BJ150" i="17"/>
  <c r="BE150" i="17"/>
  <c r="BF150" i="17" s="1"/>
  <c r="BH150" i="17"/>
  <c r="N227" i="17"/>
  <c r="O227" i="17" s="1"/>
  <c r="AR164" i="17"/>
  <c r="AF165" i="17"/>
  <c r="AG165" i="17" s="1"/>
  <c r="AQ164" i="17"/>
  <c r="P227" i="17"/>
  <c r="AH165" i="17" l="1"/>
  <c r="AS165" i="17" s="1"/>
  <c r="AL165" i="17"/>
  <c r="AY165" i="17" s="1"/>
  <c r="M228" i="17"/>
  <c r="E228" i="17" s="1"/>
  <c r="L228" i="17" s="1"/>
  <c r="N228" i="17" s="1"/>
  <c r="M229" i="17" s="1"/>
  <c r="W166" i="17"/>
  <c r="AA166" i="17" s="1"/>
  <c r="AK166" i="17" s="1"/>
  <c r="AD166" i="17"/>
  <c r="AE166" i="17" s="1"/>
  <c r="BG150" i="17"/>
  <c r="BI150" i="17"/>
  <c r="Q227" i="17"/>
  <c r="S227" i="17" s="1"/>
  <c r="AM165" i="17" l="1"/>
  <c r="AN165" i="17" s="1"/>
  <c r="AO165" i="17" s="1"/>
  <c r="AP165" i="17" s="1"/>
  <c r="AT165" i="17"/>
  <c r="AW165" i="17" s="1"/>
  <c r="AU165" i="17"/>
  <c r="AV165" i="17" s="1"/>
  <c r="Y166" i="17"/>
  <c r="AB166" i="17" s="1"/>
  <c r="O228" i="17"/>
  <c r="BC151" i="17"/>
  <c r="BH151" i="17" s="1"/>
  <c r="P228" i="17"/>
  <c r="Q228" i="17" s="1"/>
  <c r="S228" i="17" s="1"/>
  <c r="BO150" i="17"/>
  <c r="BP150" i="17" s="1"/>
  <c r="BN150" i="17"/>
  <c r="AF367" i="15" s="1"/>
  <c r="E229" i="17"/>
  <c r="L229" i="17" s="1"/>
  <c r="AR165" i="17" l="1"/>
  <c r="AQ165" i="17"/>
  <c r="AX165" i="17"/>
  <c r="AZ165" i="17" s="1"/>
  <c r="Z166" i="17"/>
  <c r="U167" i="17" s="1"/>
  <c r="AC167" i="17" s="1"/>
  <c r="AL238" i="15"/>
  <c r="BQ150" i="17"/>
  <c r="BD151" i="17"/>
  <c r="BE151" i="17" s="1"/>
  <c r="BF151" i="17" s="1"/>
  <c r="AF166" i="17"/>
  <c r="AG166" i="17" s="1"/>
  <c r="AH166" i="17" s="1"/>
  <c r="AS166" i="17" s="1"/>
  <c r="AT166" i="17" s="1"/>
  <c r="P229" i="17"/>
  <c r="Q229" i="17" s="1"/>
  <c r="S229" i="17" s="1"/>
  <c r="N229" i="17"/>
  <c r="AW166" i="17" l="1"/>
  <c r="AX166" i="17" s="1"/>
  <c r="AZ166" i="17" s="1"/>
  <c r="W167" i="17"/>
  <c r="AL166" i="17"/>
  <c r="AY166" i="17" s="1"/>
  <c r="AD167" i="17"/>
  <c r="AE167" i="17" s="1"/>
  <c r="AU166" i="17"/>
  <c r="AV166" i="17" s="1"/>
  <c r="BG151" i="17"/>
  <c r="BI151" i="17"/>
  <c r="BK151" i="17"/>
  <c r="BL151" i="17" s="1"/>
  <c r="BM151" i="17" s="1"/>
  <c r="BJ151" i="17"/>
  <c r="O229" i="17"/>
  <c r="M230" i="17"/>
  <c r="AM166" i="17" l="1"/>
  <c r="AN166" i="17" s="1"/>
  <c r="AO166" i="17" s="1"/>
  <c r="AP166" i="17" s="1"/>
  <c r="Y167" i="17"/>
  <c r="AA167" i="17"/>
  <c r="AK167" i="17" s="1"/>
  <c r="BO151" i="17"/>
  <c r="BP151" i="17" s="1"/>
  <c r="BN151" i="17"/>
  <c r="AF369" i="15" s="1"/>
  <c r="BC152" i="17"/>
  <c r="E230" i="17"/>
  <c r="L230" i="17" s="1"/>
  <c r="P230" i="17"/>
  <c r="AR166" i="17" l="1"/>
  <c r="AQ166" i="17"/>
  <c r="AB167" i="17"/>
  <c r="Z167" i="17"/>
  <c r="U168" i="17" s="1"/>
  <c r="AC168" i="17" s="1"/>
  <c r="AD168" i="17" s="1"/>
  <c r="BH152" i="17"/>
  <c r="AL239" i="15"/>
  <c r="BQ151" i="17"/>
  <c r="BD152" i="17"/>
  <c r="N230" i="17"/>
  <c r="Q230" i="17"/>
  <c r="S230" i="17" s="1"/>
  <c r="W168" i="17" l="1"/>
  <c r="AA168" i="17" s="1"/>
  <c r="AK168" i="17" s="1"/>
  <c r="AF167" i="17"/>
  <c r="AG167" i="17" s="1"/>
  <c r="BK152" i="17"/>
  <c r="BL152" i="17" s="1"/>
  <c r="BM152" i="17" s="1"/>
  <c r="BJ152" i="17"/>
  <c r="BE152" i="17"/>
  <c r="BF152" i="17" s="1"/>
  <c r="AE168" i="17"/>
  <c r="O230" i="17"/>
  <c r="M231" i="17"/>
  <c r="E231" i="17" s="1"/>
  <c r="L231" i="17" s="1"/>
  <c r="Y168" i="17" l="1"/>
  <c r="AB168" i="17" s="1"/>
  <c r="AF168" i="17" s="1"/>
  <c r="AG168" i="17" s="1"/>
  <c r="AH168" i="17" s="1"/>
  <c r="AS168" i="17" s="1"/>
  <c r="AT168" i="17" s="1"/>
  <c r="AH167" i="17"/>
  <c r="AS167" i="17" s="1"/>
  <c r="AL167" i="17"/>
  <c r="AY167" i="17" s="1"/>
  <c r="BG152" i="17"/>
  <c r="BI152" i="17"/>
  <c r="N231" i="17"/>
  <c r="P231" i="17"/>
  <c r="Z168" i="17" l="1"/>
  <c r="U169" i="17" s="1"/>
  <c r="AC169" i="17" s="1"/>
  <c r="AM167" i="17"/>
  <c r="AN167" i="17" s="1"/>
  <c r="AO167" i="17" s="1"/>
  <c r="AT167" i="17"/>
  <c r="AW167" i="17" s="1"/>
  <c r="AU167" i="17"/>
  <c r="AV167" i="17" s="1"/>
  <c r="AU168" i="17" s="1"/>
  <c r="AV168" i="17" s="1"/>
  <c r="AL168" i="17"/>
  <c r="AY168" i="17" s="1"/>
  <c r="BO152" i="17"/>
  <c r="BP152" i="17" s="1"/>
  <c r="BN152" i="17"/>
  <c r="AF372" i="15" s="1"/>
  <c r="BC153" i="17"/>
  <c r="BH153" i="17" s="1"/>
  <c r="Q231" i="17"/>
  <c r="S231" i="17" s="1"/>
  <c r="O231" i="17"/>
  <c r="M232" i="17"/>
  <c r="E232" i="17" s="1"/>
  <c r="L232" i="17" s="1"/>
  <c r="AM168" i="17" l="1"/>
  <c r="AN168" i="17" s="1"/>
  <c r="AX167" i="17"/>
  <c r="AZ167" i="17" s="1"/>
  <c r="AP167" i="17"/>
  <c r="AR167" i="17" s="1"/>
  <c r="BD153" i="17"/>
  <c r="BE153" i="17" s="1"/>
  <c r="BF153" i="17" s="1"/>
  <c r="AL240" i="15"/>
  <c r="BQ152" i="17"/>
  <c r="W169" i="17"/>
  <c r="AD169" i="17"/>
  <c r="N232" i="17"/>
  <c r="P232" i="17"/>
  <c r="AW168" i="17" l="1"/>
  <c r="AX168" i="17" s="1"/>
  <c r="AZ168" i="17" s="1"/>
  <c r="AQ167" i="17"/>
  <c r="BG153" i="17"/>
  <c r="BI153" i="17"/>
  <c r="BK153" i="17"/>
  <c r="BL153" i="17" s="1"/>
  <c r="BM153" i="17" s="1"/>
  <c r="BJ153" i="17"/>
  <c r="AA169" i="17"/>
  <c r="AK169" i="17" s="1"/>
  <c r="Y169" i="17"/>
  <c r="AB169" i="17" s="1"/>
  <c r="AE169" i="17"/>
  <c r="AO168" i="17"/>
  <c r="M233" i="17"/>
  <c r="O232" i="17"/>
  <c r="Q232" i="17"/>
  <c r="S232" i="17" s="1"/>
  <c r="P233" i="17" l="1"/>
  <c r="Q233" i="17" s="1"/>
  <c r="S233" i="17" s="1"/>
  <c r="BO153" i="17"/>
  <c r="BP153" i="17" s="1"/>
  <c r="BN153" i="17"/>
  <c r="AF374" i="15" s="1"/>
  <c r="BC154" i="17"/>
  <c r="BH154" i="17" s="1"/>
  <c r="AF169" i="17"/>
  <c r="AG169" i="17" s="1"/>
  <c r="AL169" i="17" s="1"/>
  <c r="AY169" i="17" s="1"/>
  <c r="AP168" i="17"/>
  <c r="AQ168" i="17" s="1"/>
  <c r="Z169" i="17"/>
  <c r="E233" i="17"/>
  <c r="L233" i="17" s="1"/>
  <c r="AH169" i="17" l="1"/>
  <c r="AS169" i="17" s="1"/>
  <c r="BD154" i="17"/>
  <c r="BE154" i="17" s="1"/>
  <c r="BF154" i="17" s="1"/>
  <c r="BG154" i="17" s="1"/>
  <c r="AL241" i="15"/>
  <c r="BQ153" i="17"/>
  <c r="U170" i="17"/>
  <c r="AC170" i="17" s="1"/>
  <c r="AR168" i="17"/>
  <c r="AM169" i="17"/>
  <c r="N233" i="17"/>
  <c r="BI154" i="17" l="1"/>
  <c r="BO154" i="17" s="1"/>
  <c r="BP154" i="17" s="1"/>
  <c r="BJ154" i="17"/>
  <c r="AU169" i="17"/>
  <c r="AV169" i="17" s="1"/>
  <c r="AT169" i="17"/>
  <c r="AW169" i="17" s="1"/>
  <c r="AX169" i="17" s="1"/>
  <c r="AZ169" i="17" s="1"/>
  <c r="BK154" i="17"/>
  <c r="BL154" i="17" s="1"/>
  <c r="BM154" i="17" s="1"/>
  <c r="BC155" i="17"/>
  <c r="W170" i="17"/>
  <c r="AA170" i="17" s="1"/>
  <c r="AK170" i="17" s="1"/>
  <c r="AN169" i="17"/>
  <c r="AO169" i="17" s="1"/>
  <c r="AD170" i="17"/>
  <c r="O233" i="17"/>
  <c r="M234" i="17"/>
  <c r="E234" i="17" s="1"/>
  <c r="L234" i="17" s="1"/>
  <c r="BN154" i="17" l="1"/>
  <c r="AF382" i="15" s="1"/>
  <c r="BD155" i="17"/>
  <c r="BH155" i="17"/>
  <c r="AL242" i="15"/>
  <c r="BQ154" i="17"/>
  <c r="Y170" i="17"/>
  <c r="AB170" i="17" s="1"/>
  <c r="AP169" i="17"/>
  <c r="AE170" i="17"/>
  <c r="N234" i="17"/>
  <c r="P234" i="17"/>
  <c r="Z170" i="17" l="1"/>
  <c r="U171" i="17" s="1"/>
  <c r="W171" i="17" s="1"/>
  <c r="AA171" i="17" s="1"/>
  <c r="AK171" i="17" s="1"/>
  <c r="BK155" i="17"/>
  <c r="BL155" i="17" s="1"/>
  <c r="BM155" i="17" s="1"/>
  <c r="BJ155" i="17"/>
  <c r="BE155" i="17"/>
  <c r="BF155" i="17" s="1"/>
  <c r="AR169" i="17"/>
  <c r="AF170" i="17"/>
  <c r="AG170" i="17" s="1"/>
  <c r="AH170" i="17" s="1"/>
  <c r="AS170" i="17" s="1"/>
  <c r="AQ169" i="17"/>
  <c r="Q234" i="17"/>
  <c r="S234" i="17" s="1"/>
  <c r="O234" i="17"/>
  <c r="M235" i="17"/>
  <c r="AT170" i="17" l="1"/>
  <c r="AW170" i="17" s="1"/>
  <c r="AX170" i="17" s="1"/>
  <c r="AZ170" i="17" s="1"/>
  <c r="AU170" i="17"/>
  <c r="AV170" i="17" s="1"/>
  <c r="AL170" i="17"/>
  <c r="BG155" i="17"/>
  <c r="BI155" i="17"/>
  <c r="P235" i="17"/>
  <c r="Q235" i="17" s="1"/>
  <c r="S235" i="17" s="1"/>
  <c r="AC171" i="17"/>
  <c r="Y171" i="17"/>
  <c r="AB171" i="17" s="1"/>
  <c r="E235" i="17"/>
  <c r="L235" i="17" s="1"/>
  <c r="AY170" i="17" l="1"/>
  <c r="AM170" i="17"/>
  <c r="BO155" i="17"/>
  <c r="BP155" i="17" s="1"/>
  <c r="BN155" i="17"/>
  <c r="AF384" i="15" s="1"/>
  <c r="Z171" i="17"/>
  <c r="U172" i="17" s="1"/>
  <c r="AC172" i="17" s="1"/>
  <c r="BC156" i="17"/>
  <c r="AD171" i="17"/>
  <c r="AE171" i="17" s="1"/>
  <c r="AF171" i="17" s="1"/>
  <c r="AG171" i="17" s="1"/>
  <c r="AL171" i="17" s="1"/>
  <c r="AY171" i="17" s="1"/>
  <c r="N235" i="17"/>
  <c r="AN170" i="17" l="1"/>
  <c r="AO170" i="17" s="1"/>
  <c r="AH171" i="17"/>
  <c r="AS171" i="17" s="1"/>
  <c r="BH156" i="17"/>
  <c r="W172" i="17"/>
  <c r="AA172" i="17" s="1"/>
  <c r="AK172" i="17" s="1"/>
  <c r="BD156" i="17"/>
  <c r="AL243" i="15"/>
  <c r="BQ155" i="17"/>
  <c r="AD172" i="17"/>
  <c r="AE172" i="17" s="1"/>
  <c r="AM171" i="17"/>
  <c r="AN171" i="17" s="1"/>
  <c r="AO171" i="17" s="1"/>
  <c r="M236" i="17"/>
  <c r="E236" i="17" s="1"/>
  <c r="L236" i="17" s="1"/>
  <c r="O235" i="17"/>
  <c r="AU171" i="17" l="1"/>
  <c r="AV171" i="17" s="1"/>
  <c r="AT171" i="17"/>
  <c r="AW171" i="17" s="1"/>
  <c r="AX171" i="17" s="1"/>
  <c r="AZ171" i="17" s="1"/>
  <c r="AP170" i="17"/>
  <c r="AR170" i="17" s="1"/>
  <c r="Y172" i="17"/>
  <c r="AB172" i="17" s="1"/>
  <c r="AF172" i="17" s="1"/>
  <c r="AG172" i="17" s="1"/>
  <c r="AH172" i="17" s="1"/>
  <c r="AS172" i="17" s="1"/>
  <c r="AT172" i="17" s="1"/>
  <c r="BK156" i="17"/>
  <c r="BL156" i="17" s="1"/>
  <c r="BM156" i="17" s="1"/>
  <c r="BJ156" i="17"/>
  <c r="BE156" i="17"/>
  <c r="BF156" i="17" s="1"/>
  <c r="AP171" i="17"/>
  <c r="AQ171" i="17" s="1"/>
  <c r="N236" i="17"/>
  <c r="P236" i="17"/>
  <c r="Z172" i="17" l="1"/>
  <c r="U173" i="17" s="1"/>
  <c r="AC173" i="17" s="1"/>
  <c r="AD173" i="17" s="1"/>
  <c r="AQ170" i="17"/>
  <c r="AL172" i="17"/>
  <c r="AY172" i="17" s="1"/>
  <c r="AW172" i="17"/>
  <c r="AX172" i="17" s="1"/>
  <c r="AZ172" i="17" s="1"/>
  <c r="AU172" i="17"/>
  <c r="AV172" i="17" s="1"/>
  <c r="BG156" i="17"/>
  <c r="BI156" i="17"/>
  <c r="AR171" i="17"/>
  <c r="Q236" i="17"/>
  <c r="S236" i="17" s="1"/>
  <c r="O236" i="17"/>
  <c r="M237" i="17"/>
  <c r="W173" i="17" l="1"/>
  <c r="AA173" i="17" s="1"/>
  <c r="AK173" i="17" s="1"/>
  <c r="AM172" i="17"/>
  <c r="AN172" i="17" s="1"/>
  <c r="AO172" i="17" s="1"/>
  <c r="P237" i="17"/>
  <c r="Q237" i="17" s="1"/>
  <c r="S237" i="17" s="1"/>
  <c r="BC157" i="17"/>
  <c r="BH157" i="17" s="1"/>
  <c r="E237" i="17"/>
  <c r="L237" i="17" s="1"/>
  <c r="N237" i="17" s="1"/>
  <c r="M238" i="17" s="1"/>
  <c r="E238" i="17" s="1"/>
  <c r="L238" i="17" s="1"/>
  <c r="BO156" i="17"/>
  <c r="BP156" i="17" s="1"/>
  <c r="BN156" i="17"/>
  <c r="AF385" i="15" s="1"/>
  <c r="AE173" i="17"/>
  <c r="Y173" i="17" l="1"/>
  <c r="Z173" i="17" s="1"/>
  <c r="U174" i="17" s="1"/>
  <c r="AC174" i="17" s="1"/>
  <c r="O237" i="17"/>
  <c r="N238" i="17" s="1"/>
  <c r="AL244" i="15"/>
  <c r="BQ156" i="17"/>
  <c r="BD157" i="17"/>
  <c r="P238" i="17"/>
  <c r="Q238" i="17" s="1"/>
  <c r="S238" i="17" s="1"/>
  <c r="AP172" i="17"/>
  <c r="AR172" i="17" s="1"/>
  <c r="AB173" i="17" l="1"/>
  <c r="AF173" i="17" s="1"/>
  <c r="AG173" i="17" s="1"/>
  <c r="AH173" i="17" s="1"/>
  <c r="AS173" i="17" s="1"/>
  <c r="BK157" i="17"/>
  <c r="BL157" i="17" s="1"/>
  <c r="BM157" i="17" s="1"/>
  <c r="BJ157" i="17"/>
  <c r="BE157" i="17"/>
  <c r="BF157" i="17" s="1"/>
  <c r="W174" i="17"/>
  <c r="AA174" i="17" s="1"/>
  <c r="AK174" i="17" s="1"/>
  <c r="AD174" i="17"/>
  <c r="AQ172" i="17"/>
  <c r="M239" i="17"/>
  <c r="O238" i="17"/>
  <c r="AL173" i="17" l="1"/>
  <c r="AY173" i="17" s="1"/>
  <c r="AT173" i="17"/>
  <c r="AW173" i="17" s="1"/>
  <c r="AX173" i="17" s="1"/>
  <c r="AZ173" i="17" s="1"/>
  <c r="AU173" i="17"/>
  <c r="AV173" i="17" s="1"/>
  <c r="Y174" i="17"/>
  <c r="AB174" i="17" s="1"/>
  <c r="BG157" i="17"/>
  <c r="BI157" i="17"/>
  <c r="AE174" i="17"/>
  <c r="P239" i="17"/>
  <c r="E239" i="17"/>
  <c r="L239" i="17" s="1"/>
  <c r="AM173" i="17" l="1"/>
  <c r="AN173" i="17" s="1"/>
  <c r="AF174" i="17"/>
  <c r="AG174" i="17" s="1"/>
  <c r="AH174" i="17" s="1"/>
  <c r="AS174" i="17" s="1"/>
  <c r="AT174" i="17" s="1"/>
  <c r="AW174" i="17" s="1"/>
  <c r="AX174" i="17" s="1"/>
  <c r="AZ174" i="17" s="1"/>
  <c r="Z174" i="17"/>
  <c r="U175" i="17" s="1"/>
  <c r="AC175" i="17" s="1"/>
  <c r="BO157" i="17"/>
  <c r="BP157" i="17" s="1"/>
  <c r="BN157" i="17"/>
  <c r="AF389" i="15" s="1"/>
  <c r="BC158" i="17"/>
  <c r="BH158" i="17" s="1"/>
  <c r="N239" i="17"/>
  <c r="Q239" i="17"/>
  <c r="S239" i="17" s="1"/>
  <c r="AO173" i="17" l="1"/>
  <c r="AP173" i="17" s="1"/>
  <c r="AU174" i="17"/>
  <c r="AV174" i="17" s="1"/>
  <c r="AL174" i="17"/>
  <c r="AY174" i="17" s="1"/>
  <c r="BD158" i="17"/>
  <c r="BK158" i="17" s="1"/>
  <c r="BL158" i="17" s="1"/>
  <c r="BM158" i="17" s="1"/>
  <c r="AL245" i="15"/>
  <c r="BQ157" i="17"/>
  <c r="W175" i="17"/>
  <c r="AA175" i="17" s="1"/>
  <c r="AK175" i="17" s="1"/>
  <c r="AD175" i="17"/>
  <c r="M240" i="17"/>
  <c r="E240" i="17" s="1"/>
  <c r="L240" i="17" s="1"/>
  <c r="O239" i="17"/>
  <c r="BE158" i="17" l="1"/>
  <c r="BF158" i="17" s="1"/>
  <c r="BG158" i="17" s="1"/>
  <c r="AM174" i="17"/>
  <c r="AN174" i="17" s="1"/>
  <c r="AO174" i="17" s="1"/>
  <c r="AP174" i="17" s="1"/>
  <c r="BJ158" i="17"/>
  <c r="Y175" i="17"/>
  <c r="AB175" i="17" s="1"/>
  <c r="AE175" i="17"/>
  <c r="AR173" i="17"/>
  <c r="AQ173" i="17"/>
  <c r="N240" i="17"/>
  <c r="P240" i="17"/>
  <c r="BI158" i="17" l="1"/>
  <c r="BO158" i="17" s="1"/>
  <c r="BP158" i="17" s="1"/>
  <c r="Z175" i="17"/>
  <c r="U176" i="17" s="1"/>
  <c r="AC176" i="17" s="1"/>
  <c r="BC159" i="17"/>
  <c r="AF175" i="17"/>
  <c r="AG175" i="17" s="1"/>
  <c r="AR174" i="17"/>
  <c r="AQ174" i="17"/>
  <c r="M241" i="17"/>
  <c r="E241" i="17" s="1"/>
  <c r="L241" i="17" s="1"/>
  <c r="O240" i="17"/>
  <c r="Q240" i="17"/>
  <c r="S240" i="17" s="1"/>
  <c r="BN158" i="17" l="1"/>
  <c r="AF391" i="15" s="1"/>
  <c r="AH175" i="17"/>
  <c r="AS175" i="17" s="1"/>
  <c r="AL175" i="17"/>
  <c r="AY175" i="17" s="1"/>
  <c r="W176" i="17"/>
  <c r="AA176" i="17" s="1"/>
  <c r="AK176" i="17" s="1"/>
  <c r="BH159" i="17"/>
  <c r="AL246" i="15"/>
  <c r="BD159" i="17"/>
  <c r="P241" i="17"/>
  <c r="Q241" i="17" s="1"/>
  <c r="S241" i="17" s="1"/>
  <c r="AD176" i="17"/>
  <c r="N241" i="17"/>
  <c r="BQ158" i="17" l="1"/>
  <c r="AM175" i="17"/>
  <c r="AN175" i="17" s="1"/>
  <c r="AT175" i="17"/>
  <c r="AW175" i="17" s="1"/>
  <c r="AX175" i="17" s="1"/>
  <c r="AZ175" i="17" s="1"/>
  <c r="AU175" i="17"/>
  <c r="AV175" i="17" s="1"/>
  <c r="Y176" i="17"/>
  <c r="AB176" i="17" s="1"/>
  <c r="BK159" i="17"/>
  <c r="BL159" i="17" s="1"/>
  <c r="BM159" i="17" s="1"/>
  <c r="BJ159" i="17"/>
  <c r="BE159" i="17"/>
  <c r="BF159" i="17" s="1"/>
  <c r="AE176" i="17"/>
  <c r="O241" i="17"/>
  <c r="M242" i="17"/>
  <c r="Z176" i="17" l="1"/>
  <c r="U177" i="17" s="1"/>
  <c r="AC177" i="17" s="1"/>
  <c r="BG159" i="17"/>
  <c r="BI159" i="17"/>
  <c r="AO175" i="17"/>
  <c r="AF176" i="17"/>
  <c r="AG176" i="17" s="1"/>
  <c r="P242" i="17"/>
  <c r="E242" i="17"/>
  <c r="L242" i="17" s="1"/>
  <c r="AH176" i="17" l="1"/>
  <c r="AS176" i="17" s="1"/>
  <c r="AL176" i="17"/>
  <c r="AY176" i="17" s="1"/>
  <c r="BO159" i="17"/>
  <c r="BP159" i="17" s="1"/>
  <c r="BN159" i="17"/>
  <c r="AF265" i="15" s="1"/>
  <c r="BC160" i="17"/>
  <c r="BH160" i="17" s="1"/>
  <c r="W177" i="17"/>
  <c r="AA177" i="17" s="1"/>
  <c r="AK177" i="17" s="1"/>
  <c r="AP175" i="17"/>
  <c r="AQ175" i="17" s="1"/>
  <c r="AD177" i="17"/>
  <c r="Q242" i="17"/>
  <c r="S242" i="17" s="1"/>
  <c r="N242" i="17"/>
  <c r="BD160" i="17" l="1"/>
  <c r="BE160" i="17" s="1"/>
  <c r="BF160" i="17" s="1"/>
  <c r="AM176" i="17"/>
  <c r="AN176" i="17" s="1"/>
  <c r="AO176" i="17" s="1"/>
  <c r="AP176" i="17" s="1"/>
  <c r="AT176" i="17"/>
  <c r="AW176" i="17" s="1"/>
  <c r="AX176" i="17" s="1"/>
  <c r="AZ176" i="17" s="1"/>
  <c r="AU176" i="17"/>
  <c r="AV176" i="17" s="1"/>
  <c r="Y177" i="17"/>
  <c r="Z177" i="17" s="1"/>
  <c r="AL58" i="15"/>
  <c r="BQ159" i="17"/>
  <c r="AR175" i="17"/>
  <c r="AE177" i="17"/>
  <c r="O242" i="17"/>
  <c r="M243" i="17"/>
  <c r="E243" i="17" s="1"/>
  <c r="L243" i="17" s="1"/>
  <c r="BJ160" i="17" l="1"/>
  <c r="BK160" i="17"/>
  <c r="BL160" i="17" s="1"/>
  <c r="BM160" i="17" s="1"/>
  <c r="AB177" i="17"/>
  <c r="BG160" i="17"/>
  <c r="BI160" i="17"/>
  <c r="AQ176" i="17"/>
  <c r="U178" i="17"/>
  <c r="AC178" i="17" s="1"/>
  <c r="AR176" i="17"/>
  <c r="P243" i="17"/>
  <c r="N243" i="17"/>
  <c r="AF177" i="17" l="1"/>
  <c r="AG177" i="17" s="1"/>
  <c r="BO160" i="17"/>
  <c r="BP160" i="17" s="1"/>
  <c r="BN160" i="17"/>
  <c r="AF272" i="15" s="1"/>
  <c r="BC161" i="17"/>
  <c r="AD178" i="17"/>
  <c r="W178" i="17"/>
  <c r="AA178" i="17" s="1"/>
  <c r="AK178" i="17" s="1"/>
  <c r="M244" i="17"/>
  <c r="O243" i="17"/>
  <c r="Q243" i="17"/>
  <c r="S243" i="17" s="1"/>
  <c r="AH177" i="17" l="1"/>
  <c r="AS177" i="17" s="1"/>
  <c r="AL177" i="17"/>
  <c r="AY177" i="17" s="1"/>
  <c r="BD161" i="17"/>
  <c r="BE161" i="17" s="1"/>
  <c r="BH161" i="17"/>
  <c r="AL247" i="15"/>
  <c r="BQ160" i="17"/>
  <c r="AE178" i="17"/>
  <c r="Y178" i="17"/>
  <c r="E244" i="17"/>
  <c r="L244" i="17" s="1"/>
  <c r="P244" i="17"/>
  <c r="AM177" i="17" l="1"/>
  <c r="AN177" i="17" s="1"/>
  <c r="AO177" i="17" s="1"/>
  <c r="AP177" i="17" s="1"/>
  <c r="AT177" i="17"/>
  <c r="AW177" i="17" s="1"/>
  <c r="AU177" i="17"/>
  <c r="AV177" i="17" s="1"/>
  <c r="BK161" i="17"/>
  <c r="BL161" i="17" s="1"/>
  <c r="BM161" i="17" s="1"/>
  <c r="BJ161" i="17"/>
  <c r="BF161" i="17"/>
  <c r="AB178" i="17"/>
  <c r="Z178" i="17"/>
  <c r="Q244" i="17"/>
  <c r="S244" i="17" s="1"/>
  <c r="N244" i="17"/>
  <c r="AX177" i="17" l="1"/>
  <c r="AZ177" i="17" s="1"/>
  <c r="BG161" i="17"/>
  <c r="BI161" i="17"/>
  <c r="AQ177" i="17"/>
  <c r="U179" i="17"/>
  <c r="AC179" i="17" s="1"/>
  <c r="AR177" i="17"/>
  <c r="AF178" i="17"/>
  <c r="AG178" i="17" s="1"/>
  <c r="AH178" i="17" s="1"/>
  <c r="AS178" i="17" s="1"/>
  <c r="AT178" i="17" s="1"/>
  <c r="O244" i="17"/>
  <c r="M245" i="17"/>
  <c r="E245" i="17" s="1"/>
  <c r="L245" i="17" s="1"/>
  <c r="AW178" i="17" l="1"/>
  <c r="AX178" i="17" s="1"/>
  <c r="AZ178" i="17" s="1"/>
  <c r="AL178" i="17"/>
  <c r="AY178" i="17" s="1"/>
  <c r="AU178" i="17"/>
  <c r="AV178" i="17" s="1"/>
  <c r="W179" i="17"/>
  <c r="AA179" i="17" s="1"/>
  <c r="AK179" i="17" s="1"/>
  <c r="BO161" i="17"/>
  <c r="BP161" i="17" s="1"/>
  <c r="BN161" i="17"/>
  <c r="AF305" i="15" s="1"/>
  <c r="BC162" i="17"/>
  <c r="BH162" i="17" s="1"/>
  <c r="AD179" i="17"/>
  <c r="N245" i="17"/>
  <c r="P245" i="17"/>
  <c r="AM178" i="17" l="1"/>
  <c r="AN178" i="17" s="1"/>
  <c r="AO178" i="17" s="1"/>
  <c r="Y179" i="17"/>
  <c r="AB179" i="17" s="1"/>
  <c r="AL248" i="15"/>
  <c r="BQ161" i="17"/>
  <c r="BD162" i="17"/>
  <c r="AE179" i="17"/>
  <c r="M246" i="17"/>
  <c r="E246" i="17" s="1"/>
  <c r="L246" i="17" s="1"/>
  <c r="O245" i="17"/>
  <c r="Q245" i="17"/>
  <c r="S245" i="17" s="1"/>
  <c r="Z179" i="17" l="1"/>
  <c r="U180" i="17" s="1"/>
  <c r="AC180" i="17" s="1"/>
  <c r="BK162" i="17"/>
  <c r="BL162" i="17" s="1"/>
  <c r="BM162" i="17" s="1"/>
  <c r="BJ162" i="17"/>
  <c r="BE162" i="17"/>
  <c r="BF162" i="17" s="1"/>
  <c r="AP178" i="17"/>
  <c r="AF179" i="17"/>
  <c r="AG179" i="17" s="1"/>
  <c r="P246" i="17"/>
  <c r="N246" i="17"/>
  <c r="AH179" i="17" l="1"/>
  <c r="AS179" i="17" s="1"/>
  <c r="W180" i="17"/>
  <c r="AA180" i="17" s="1"/>
  <c r="AK180" i="17" s="1"/>
  <c r="AD180" i="17"/>
  <c r="AE180" i="17" s="1"/>
  <c r="AL179" i="17"/>
  <c r="AY179" i="17" s="1"/>
  <c r="BG162" i="17"/>
  <c r="BI162" i="17"/>
  <c r="AR178" i="17"/>
  <c r="AQ178" i="17"/>
  <c r="Q246" i="17"/>
  <c r="S246" i="17" s="1"/>
  <c r="O246" i="17"/>
  <c r="M247" i="17"/>
  <c r="E247" i="17" s="1"/>
  <c r="L247" i="17" s="1"/>
  <c r="AM179" i="17" l="1"/>
  <c r="AN179" i="17" s="1"/>
  <c r="AO179" i="17" s="1"/>
  <c r="Y180" i="17"/>
  <c r="AB180" i="17" s="1"/>
  <c r="AF180" i="17" s="1"/>
  <c r="AG180" i="17" s="1"/>
  <c r="AH180" i="17" s="1"/>
  <c r="AS180" i="17" s="1"/>
  <c r="AT180" i="17" s="1"/>
  <c r="AT179" i="17"/>
  <c r="AW179" i="17" s="1"/>
  <c r="AU179" i="17"/>
  <c r="AV179" i="17" s="1"/>
  <c r="BC163" i="17"/>
  <c r="BH163" i="17" s="1"/>
  <c r="BO162" i="17"/>
  <c r="BP162" i="17" s="1"/>
  <c r="BN162" i="17"/>
  <c r="AF324" i="15" s="1"/>
  <c r="N247" i="17"/>
  <c r="P247" i="17"/>
  <c r="AU180" i="17" l="1"/>
  <c r="AV180" i="17" s="1"/>
  <c r="Z180" i="17"/>
  <c r="U181" i="17" s="1"/>
  <c r="AC181" i="17" s="1"/>
  <c r="AD181" i="17" s="1"/>
  <c r="AX179" i="17"/>
  <c r="AZ179" i="17" s="1"/>
  <c r="AP179" i="17"/>
  <c r="AR179" i="17" s="1"/>
  <c r="AL180" i="17"/>
  <c r="AL249" i="15"/>
  <c r="BQ162" i="17"/>
  <c r="BD163" i="17"/>
  <c r="BE163" i="17" s="1"/>
  <c r="O247" i="17"/>
  <c r="M248" i="17"/>
  <c r="E248" i="17" s="1"/>
  <c r="L248" i="17" s="1"/>
  <c r="Q247" i="17"/>
  <c r="S247" i="17" s="1"/>
  <c r="AW180" i="17" l="1"/>
  <c r="AX180" i="17" s="1"/>
  <c r="AZ180" i="17" s="1"/>
  <c r="W181" i="17"/>
  <c r="Y181" i="17" s="1"/>
  <c r="AB181" i="17" s="1"/>
  <c r="AY180" i="17"/>
  <c r="AM180" i="17"/>
  <c r="AN180" i="17" s="1"/>
  <c r="AQ179" i="17"/>
  <c r="BK163" i="17"/>
  <c r="BL163" i="17" s="1"/>
  <c r="BM163" i="17" s="1"/>
  <c r="BJ163" i="17"/>
  <c r="BF163" i="17"/>
  <c r="AE181" i="17"/>
  <c r="N248" i="17"/>
  <c r="P248" i="17"/>
  <c r="AA181" i="17" l="1"/>
  <c r="AK181" i="17" s="1"/>
  <c r="AO180" i="17"/>
  <c r="AP180" i="17" s="1"/>
  <c r="BG163" i="17"/>
  <c r="BI163" i="17"/>
  <c r="Z181" i="17"/>
  <c r="AF181" i="17"/>
  <c r="AG181" i="17" s="1"/>
  <c r="AL181" i="17" s="1"/>
  <c r="AY181" i="17" s="1"/>
  <c r="Q248" i="17"/>
  <c r="S248" i="17" s="1"/>
  <c r="M249" i="17"/>
  <c r="O248" i="17"/>
  <c r="AH181" i="17" l="1"/>
  <c r="AS181" i="17" s="1"/>
  <c r="BO163" i="17"/>
  <c r="BP163" i="17" s="1"/>
  <c r="BN163" i="17"/>
  <c r="AF352" i="15" s="1"/>
  <c r="BC164" i="17"/>
  <c r="BD164" i="17" s="1"/>
  <c r="AR180" i="17"/>
  <c r="AQ180" i="17"/>
  <c r="AM181" i="17"/>
  <c r="AN181" i="17" s="1"/>
  <c r="U182" i="17"/>
  <c r="AC182" i="17" s="1"/>
  <c r="E249" i="17"/>
  <c r="L249" i="17" s="1"/>
  <c r="P249" i="17"/>
  <c r="AT181" i="17" l="1"/>
  <c r="AW181" i="17" s="1"/>
  <c r="AX181" i="17" s="1"/>
  <c r="AZ181" i="17" s="1"/>
  <c r="AU181" i="17"/>
  <c r="AV181" i="17" s="1"/>
  <c r="BE164" i="17"/>
  <c r="BF164" i="17" s="1"/>
  <c r="BH164" i="17"/>
  <c r="BK164" i="17"/>
  <c r="BL164" i="17" s="1"/>
  <c r="BM164" i="17" s="1"/>
  <c r="BJ164" i="17"/>
  <c r="AL250" i="15"/>
  <c r="BQ163" i="17"/>
  <c r="W182" i="17"/>
  <c r="AA182" i="17" s="1"/>
  <c r="AK182" i="17" s="1"/>
  <c r="AD182" i="17"/>
  <c r="AO181" i="17"/>
  <c r="N249" i="17"/>
  <c r="Q249" i="17"/>
  <c r="S249" i="17" s="1"/>
  <c r="Y182" i="17" l="1"/>
  <c r="AB182" i="17" s="1"/>
  <c r="BG164" i="17"/>
  <c r="BI164" i="17"/>
  <c r="AE182" i="17"/>
  <c r="AP181" i="17"/>
  <c r="O249" i="17"/>
  <c r="M250" i="17"/>
  <c r="E250" i="17" s="1"/>
  <c r="L250" i="17" s="1"/>
  <c r="Z182" i="17" l="1"/>
  <c r="U183" i="17" s="1"/>
  <c r="AC183" i="17" s="1"/>
  <c r="AF182" i="17"/>
  <c r="AG182" i="17" s="1"/>
  <c r="BO164" i="17"/>
  <c r="BP164" i="17" s="1"/>
  <c r="BN164" i="17"/>
  <c r="AF377" i="15" s="1"/>
  <c r="BC165" i="17"/>
  <c r="BH165" i="17" s="1"/>
  <c r="N250" i="17"/>
  <c r="O250" i="17" s="1"/>
  <c r="AR181" i="17"/>
  <c r="AQ181" i="17"/>
  <c r="P250" i="17"/>
  <c r="AH182" i="17" l="1"/>
  <c r="AS182" i="17" s="1"/>
  <c r="AL182" i="17"/>
  <c r="BD165" i="17"/>
  <c r="BJ165" i="17" s="1"/>
  <c r="M251" i="17"/>
  <c r="E251" i="17" s="1"/>
  <c r="L251" i="17" s="1"/>
  <c r="N251" i="17" s="1"/>
  <c r="AL251" i="15"/>
  <c r="BQ164" i="17"/>
  <c r="W183" i="17"/>
  <c r="AA183" i="17" s="1"/>
  <c r="AK183" i="17" s="1"/>
  <c r="AD183" i="17"/>
  <c r="Q250" i="17"/>
  <c r="S250" i="17" s="1"/>
  <c r="AY182" i="17" l="1"/>
  <c r="AM182" i="17"/>
  <c r="AT182" i="17"/>
  <c r="AW182" i="17" s="1"/>
  <c r="AX182" i="17" s="1"/>
  <c r="AZ182" i="17" s="1"/>
  <c r="AU182" i="17"/>
  <c r="AV182" i="17" s="1"/>
  <c r="BK165" i="17"/>
  <c r="BL165" i="17" s="1"/>
  <c r="BM165" i="17" s="1"/>
  <c r="BE165" i="17"/>
  <c r="BF165" i="17" s="1"/>
  <c r="BG165" i="17" s="1"/>
  <c r="Y183" i="17"/>
  <c r="AB183" i="17" s="1"/>
  <c r="P251" i="17"/>
  <c r="Q251" i="17" s="1"/>
  <c r="S251" i="17" s="1"/>
  <c r="AE183" i="17"/>
  <c r="O251" i="17"/>
  <c r="M252" i="17"/>
  <c r="E252" i="17" s="1"/>
  <c r="L252" i="17" s="1"/>
  <c r="AN182" i="17" l="1"/>
  <c r="AO182" i="17" s="1"/>
  <c r="BI165" i="17"/>
  <c r="BN165" i="17" s="1"/>
  <c r="AF394" i="15" s="1"/>
  <c r="N252" i="17"/>
  <c r="M253" i="17" s="1"/>
  <c r="Z183" i="17"/>
  <c r="U184" i="17" s="1"/>
  <c r="AC184" i="17" s="1"/>
  <c r="AF183" i="17"/>
  <c r="AG183" i="17" s="1"/>
  <c r="AH183" i="17" s="1"/>
  <c r="AS183" i="17" s="1"/>
  <c r="AT183" i="17" s="1"/>
  <c r="AW183" i="17" s="1"/>
  <c r="AX183" i="17" s="1"/>
  <c r="AZ183" i="17" s="1"/>
  <c r="BC166" i="17"/>
  <c r="BH166" i="17" s="1"/>
  <c r="P252" i="17"/>
  <c r="Q252" i="17" s="1"/>
  <c r="S252" i="17" s="1"/>
  <c r="AP182" i="17" l="1"/>
  <c r="AR182" i="17" s="1"/>
  <c r="AL183" i="17"/>
  <c r="AY183" i="17" s="1"/>
  <c r="AU183" i="17"/>
  <c r="AV183" i="17" s="1"/>
  <c r="BO165" i="17"/>
  <c r="BP165" i="17" s="1"/>
  <c r="BQ165" i="17" s="1"/>
  <c r="O252" i="17"/>
  <c r="BD166" i="17"/>
  <c r="AD184" i="17"/>
  <c r="W184" i="17"/>
  <c r="AA184" i="17" s="1"/>
  <c r="AK184" i="17" s="1"/>
  <c r="P253" i="17"/>
  <c r="E253" i="17"/>
  <c r="L253" i="17" s="1"/>
  <c r="AQ182" i="17" l="1"/>
  <c r="AL252" i="15"/>
  <c r="AM183" i="17"/>
  <c r="AN183" i="17" s="1"/>
  <c r="AO183" i="17" s="1"/>
  <c r="AP183" i="17" s="1"/>
  <c r="BK166" i="17"/>
  <c r="BL166" i="17" s="1"/>
  <c r="BM166" i="17" s="1"/>
  <c r="BJ166" i="17"/>
  <c r="BE166" i="17"/>
  <c r="BF166" i="17" s="1"/>
  <c r="Y184" i="17"/>
  <c r="AB184" i="17" s="1"/>
  <c r="AE184" i="17"/>
  <c r="N253" i="17"/>
  <c r="Q253" i="17"/>
  <c r="S253" i="17" s="1"/>
  <c r="Z184" i="17" l="1"/>
  <c r="U185" i="17" s="1"/>
  <c r="AC185" i="17" s="1"/>
  <c r="BG166" i="17"/>
  <c r="BI166" i="17"/>
  <c r="AQ183" i="17"/>
  <c r="AR183" i="17"/>
  <c r="AF184" i="17"/>
  <c r="AG184" i="17" s="1"/>
  <c r="AL184" i="17" s="1"/>
  <c r="AY184" i="17" s="1"/>
  <c r="M254" i="17"/>
  <c r="O253" i="17"/>
  <c r="AH184" i="17" l="1"/>
  <c r="AS184" i="17" s="1"/>
  <c r="AM184" i="17"/>
  <c r="AN184" i="17" s="1"/>
  <c r="BO166" i="17"/>
  <c r="BP166" i="17" s="1"/>
  <c r="AL253" i="15" s="1"/>
  <c r="BN166" i="17"/>
  <c r="W185" i="17"/>
  <c r="AA185" i="17" s="1"/>
  <c r="AK185" i="17" s="1"/>
  <c r="BC167" i="17"/>
  <c r="AD185" i="17"/>
  <c r="E254" i="17"/>
  <c r="L254" i="17" s="1"/>
  <c r="P254" i="17"/>
  <c r="AT184" i="17" l="1"/>
  <c r="AW184" i="17" s="1"/>
  <c r="AX184" i="17" s="1"/>
  <c r="AZ184" i="17" s="1"/>
  <c r="AU184" i="17"/>
  <c r="AV184" i="17" s="1"/>
  <c r="BD167" i="17"/>
  <c r="BH167" i="17"/>
  <c r="Y185" i="17"/>
  <c r="AB185" i="17" s="1"/>
  <c r="BQ166" i="17"/>
  <c r="AF393" i="15"/>
  <c r="AE185" i="17"/>
  <c r="AO184" i="17"/>
  <c r="N254" i="17"/>
  <c r="Q254" i="17"/>
  <c r="S254" i="17" s="1"/>
  <c r="Z185" i="17" l="1"/>
  <c r="U186" i="17" s="1"/>
  <c r="AC186" i="17" s="1"/>
  <c r="BK167" i="17"/>
  <c r="BL167" i="17" s="1"/>
  <c r="BM167" i="17" s="1"/>
  <c r="BJ167" i="17"/>
  <c r="BE167" i="17"/>
  <c r="BF167" i="17" s="1"/>
  <c r="AP184" i="17"/>
  <c r="AF185" i="17"/>
  <c r="AG185" i="17" s="1"/>
  <c r="AH185" i="17" s="1"/>
  <c r="AS185" i="17" s="1"/>
  <c r="AT185" i="17" s="1"/>
  <c r="AW185" i="17" s="1"/>
  <c r="AX185" i="17" s="1"/>
  <c r="AZ185" i="17" s="1"/>
  <c r="M255" i="17"/>
  <c r="E255" i="17" s="1"/>
  <c r="L255" i="17" s="1"/>
  <c r="O254" i="17"/>
  <c r="N255" i="17" l="1"/>
  <c r="O255" i="17" s="1"/>
  <c r="AL185" i="17"/>
  <c r="AY185" i="17" s="1"/>
  <c r="AU185" i="17"/>
  <c r="AV185" i="17" s="1"/>
  <c r="BG167" i="17"/>
  <c r="BI167" i="17"/>
  <c r="W186" i="17"/>
  <c r="AA186" i="17" s="1"/>
  <c r="AK186" i="17" s="1"/>
  <c r="AR184" i="17"/>
  <c r="AD186" i="17"/>
  <c r="AQ184" i="17"/>
  <c r="P255" i="17"/>
  <c r="Q255" i="17" s="1"/>
  <c r="M256" i="17" l="1"/>
  <c r="E256" i="17" s="1"/>
  <c r="L256" i="17" s="1"/>
  <c r="N256" i="17" s="1"/>
  <c r="AM185" i="17"/>
  <c r="AN185" i="17" s="1"/>
  <c r="AO185" i="17" s="1"/>
  <c r="AP185" i="17" s="1"/>
  <c r="AR185" i="17" s="1"/>
  <c r="BO167" i="17"/>
  <c r="BP167" i="17" s="1"/>
  <c r="BN167" i="17"/>
  <c r="AF396" i="15" s="1"/>
  <c r="BC168" i="17"/>
  <c r="Y186" i="17"/>
  <c r="AB186" i="17" s="1"/>
  <c r="AE186" i="17"/>
  <c r="S255" i="17"/>
  <c r="P256" i="17" l="1"/>
  <c r="Q256" i="17" s="1"/>
  <c r="S256" i="17" s="1"/>
  <c r="Z186" i="17"/>
  <c r="U187" i="17" s="1"/>
  <c r="AC187" i="17" s="1"/>
  <c r="BH168" i="17"/>
  <c r="AL254" i="15"/>
  <c r="BQ167" i="17"/>
  <c r="BD168" i="17"/>
  <c r="BE168" i="17" s="1"/>
  <c r="AF186" i="17"/>
  <c r="AG186" i="17" s="1"/>
  <c r="AQ185" i="17"/>
  <c r="O256" i="17"/>
  <c r="M257" i="17"/>
  <c r="AH186" i="17" l="1"/>
  <c r="AS186" i="17" s="1"/>
  <c r="AL186" i="17"/>
  <c r="BF168" i="17"/>
  <c r="W187" i="17"/>
  <c r="AA187" i="17" s="1"/>
  <c r="AK187" i="17" s="1"/>
  <c r="AD187" i="17"/>
  <c r="AE187" i="17" s="1"/>
  <c r="BK168" i="17"/>
  <c r="BL168" i="17" s="1"/>
  <c r="BM168" i="17" s="1"/>
  <c r="BJ168" i="17"/>
  <c r="P257" i="17"/>
  <c r="E257" i="17"/>
  <c r="L257" i="17" s="1"/>
  <c r="AY186" i="17" l="1"/>
  <c r="AM186" i="17"/>
  <c r="AT186" i="17"/>
  <c r="AW186" i="17" s="1"/>
  <c r="AU186" i="17"/>
  <c r="AV186" i="17" s="1"/>
  <c r="BG168" i="17"/>
  <c r="BI168" i="17"/>
  <c r="Y187" i="17"/>
  <c r="N257" i="17"/>
  <c r="Q257" i="17"/>
  <c r="S257" i="17" s="1"/>
  <c r="AN186" i="17" l="1"/>
  <c r="AO186" i="17" s="1"/>
  <c r="AX186" i="17"/>
  <c r="AZ186" i="17" s="1"/>
  <c r="AB187" i="17"/>
  <c r="Z187" i="17"/>
  <c r="BO168" i="17"/>
  <c r="BP168" i="17" s="1"/>
  <c r="BN168" i="17"/>
  <c r="AF407" i="15" s="1"/>
  <c r="BC169" i="17"/>
  <c r="BH169" i="17" s="1"/>
  <c r="O257" i="17"/>
  <c r="M258" i="17"/>
  <c r="E258" i="17" s="1"/>
  <c r="L258" i="17" s="1"/>
  <c r="AP186" i="17" l="1"/>
  <c r="AR186" i="17" s="1"/>
  <c r="BD169" i="17"/>
  <c r="BE169" i="17" s="1"/>
  <c r="BF169" i="17" s="1"/>
  <c r="BI169" i="17" s="1"/>
  <c r="AL255" i="15"/>
  <c r="BQ168" i="17"/>
  <c r="U188" i="17"/>
  <c r="W188" i="17" s="1"/>
  <c r="AA188" i="17" s="1"/>
  <c r="AK188" i="17" s="1"/>
  <c r="AF187" i="17"/>
  <c r="AG187" i="17" s="1"/>
  <c r="AH187" i="17" s="1"/>
  <c r="AS187" i="17" s="1"/>
  <c r="N258" i="17"/>
  <c r="P258" i="17"/>
  <c r="AQ186" i="17" l="1"/>
  <c r="AL187" i="17"/>
  <c r="AM187" i="17" s="1"/>
  <c r="BJ169" i="17"/>
  <c r="BG169" i="17"/>
  <c r="BC170" i="17" s="1"/>
  <c r="BK169" i="17"/>
  <c r="BL169" i="17" s="1"/>
  <c r="BM169" i="17" s="1"/>
  <c r="AT187" i="17"/>
  <c r="AW187" i="17" s="1"/>
  <c r="AX187" i="17" s="1"/>
  <c r="AZ187" i="17" s="1"/>
  <c r="AU187" i="17"/>
  <c r="AV187" i="17" s="1"/>
  <c r="BO169" i="17"/>
  <c r="BP169" i="17" s="1"/>
  <c r="AC188" i="17"/>
  <c r="Y188" i="17"/>
  <c r="M259" i="17"/>
  <c r="O258" i="17"/>
  <c r="Q258" i="17"/>
  <c r="S258" i="17" s="1"/>
  <c r="BN169" i="17" l="1"/>
  <c r="AF417" i="15" s="1"/>
  <c r="AY187" i="17"/>
  <c r="P259" i="17"/>
  <c r="Q259" i="17" s="1"/>
  <c r="S259" i="17" s="1"/>
  <c r="AD188" i="17"/>
  <c r="AE188" i="17" s="1"/>
  <c r="BD170" i="17"/>
  <c r="BH170" i="17"/>
  <c r="AN187" i="17"/>
  <c r="AO187" i="17" s="1"/>
  <c r="AP187" i="17" s="1"/>
  <c r="AR187" i="17" s="1"/>
  <c r="AB188" i="17"/>
  <c r="Z188" i="17"/>
  <c r="U189" i="17" s="1"/>
  <c r="AC189" i="17" s="1"/>
  <c r="AL256" i="15"/>
  <c r="E259" i="17"/>
  <c r="L259" i="17" s="1"/>
  <c r="N259" i="17" s="1"/>
  <c r="BQ169" i="17" l="1"/>
  <c r="W189" i="17"/>
  <c r="AA189" i="17" s="1"/>
  <c r="AK189" i="17" s="1"/>
  <c r="AD189" i="17"/>
  <c r="AE189" i="17" s="1"/>
  <c r="BK170" i="17"/>
  <c r="BL170" i="17" s="1"/>
  <c r="BM170" i="17" s="1"/>
  <c r="BJ170" i="17"/>
  <c r="AF188" i="17"/>
  <c r="AG188" i="17" s="1"/>
  <c r="AQ187" i="17"/>
  <c r="BE170" i="17"/>
  <c r="BF170" i="17" s="1"/>
  <c r="M260" i="17"/>
  <c r="E260" i="17" s="1"/>
  <c r="L260" i="17" s="1"/>
  <c r="O259" i="17"/>
  <c r="Y189" i="17" l="1"/>
  <c r="AB189" i="17" s="1"/>
  <c r="AF189" i="17" s="1"/>
  <c r="AG189" i="17" s="1"/>
  <c r="AH189" i="17" s="1"/>
  <c r="AS189" i="17" s="1"/>
  <c r="AT189" i="17" s="1"/>
  <c r="AH188" i="17"/>
  <c r="AS188" i="17" s="1"/>
  <c r="AL188" i="17"/>
  <c r="N260" i="17"/>
  <c r="O260" i="17" s="1"/>
  <c r="BG170" i="17"/>
  <c r="BI170" i="17"/>
  <c r="P260" i="17"/>
  <c r="Z189" i="17" l="1"/>
  <c r="U190" i="17" s="1"/>
  <c r="AC190" i="17" s="1"/>
  <c r="AD190" i="17" s="1"/>
  <c r="M261" i="17"/>
  <c r="E261" i="17" s="1"/>
  <c r="L261" i="17" s="1"/>
  <c r="N261" i="17" s="1"/>
  <c r="AU188" i="17"/>
  <c r="AV188" i="17" s="1"/>
  <c r="AU189" i="17" s="1"/>
  <c r="AV189" i="17" s="1"/>
  <c r="AT188" i="17"/>
  <c r="AW188" i="17" s="1"/>
  <c r="AY188" i="17"/>
  <c r="AM188" i="17"/>
  <c r="AN188" i="17" s="1"/>
  <c r="AO188" i="17" s="1"/>
  <c r="AL189" i="17"/>
  <c r="AY189" i="17" s="1"/>
  <c r="BO170" i="17"/>
  <c r="BP170" i="17" s="1"/>
  <c r="BN170" i="17"/>
  <c r="AF419" i="15" s="1"/>
  <c r="BC171" i="17"/>
  <c r="BH171" i="17" s="1"/>
  <c r="Q260" i="17"/>
  <c r="S260" i="17" s="1"/>
  <c r="W190" i="17" l="1"/>
  <c r="Y190" i="17" s="1"/>
  <c r="AB190" i="17" s="1"/>
  <c r="AM189" i="17"/>
  <c r="AN189" i="17" s="1"/>
  <c r="AO189" i="17" s="1"/>
  <c r="AP188" i="17"/>
  <c r="AR188" i="17" s="1"/>
  <c r="AX188" i="17"/>
  <c r="AZ188" i="17" s="1"/>
  <c r="BD171" i="17"/>
  <c r="BK171" i="17" s="1"/>
  <c r="BL171" i="17" s="1"/>
  <c r="BM171" i="17" s="1"/>
  <c r="AL257" i="15"/>
  <c r="BQ170" i="17"/>
  <c r="AE190" i="17"/>
  <c r="O261" i="17"/>
  <c r="M262" i="17"/>
  <c r="P261" i="17"/>
  <c r="AA190" i="17" l="1"/>
  <c r="AK190" i="17" s="1"/>
  <c r="AW189" i="17"/>
  <c r="AX189" i="17" s="1"/>
  <c r="AZ189" i="17" s="1"/>
  <c r="AQ188" i="17"/>
  <c r="BE171" i="17"/>
  <c r="BF171" i="17" s="1"/>
  <c r="BG171" i="17" s="1"/>
  <c r="BJ171" i="17"/>
  <c r="AP189" i="17"/>
  <c r="AF190" i="17"/>
  <c r="AG190" i="17" s="1"/>
  <c r="AL190" i="17" s="1"/>
  <c r="AY190" i="17" s="1"/>
  <c r="Z190" i="17"/>
  <c r="E262" i="17"/>
  <c r="L262" i="17" s="1"/>
  <c r="Q261" i="17"/>
  <c r="S261" i="17" s="1"/>
  <c r="BI171" i="17" l="1"/>
  <c r="BO171" i="17" s="1"/>
  <c r="BP171" i="17" s="1"/>
  <c r="AH190" i="17"/>
  <c r="AS190" i="17" s="1"/>
  <c r="BC172" i="17"/>
  <c r="AR189" i="17"/>
  <c r="AM190" i="17"/>
  <c r="U191" i="17"/>
  <c r="AC191" i="17" s="1"/>
  <c r="AQ189" i="17"/>
  <c r="P262" i="17"/>
  <c r="N262" i="17"/>
  <c r="BN171" i="17" l="1"/>
  <c r="AF423" i="15" s="1"/>
  <c r="AT190" i="17"/>
  <c r="AW190" i="17" s="1"/>
  <c r="AX190" i="17" s="1"/>
  <c r="AZ190" i="17" s="1"/>
  <c r="AU190" i="17"/>
  <c r="AV190" i="17" s="1"/>
  <c r="BD172" i="17"/>
  <c r="BE172" i="17" s="1"/>
  <c r="BF172" i="17" s="1"/>
  <c r="BH172" i="17"/>
  <c r="AL258" i="15"/>
  <c r="W191" i="17"/>
  <c r="AA191" i="17" s="1"/>
  <c r="AK191" i="17" s="1"/>
  <c r="AN190" i="17"/>
  <c r="AO190" i="17" s="1"/>
  <c r="AD191" i="17"/>
  <c r="Q262" i="17"/>
  <c r="S262" i="17" s="1"/>
  <c r="O262" i="17"/>
  <c r="M263" i="17"/>
  <c r="E263" i="17" s="1"/>
  <c r="L263" i="17" s="1"/>
  <c r="BQ171" i="17" l="1"/>
  <c r="BG172" i="17"/>
  <c r="BI172" i="17"/>
  <c r="BK172" i="17"/>
  <c r="BL172" i="17" s="1"/>
  <c r="BM172" i="17" s="1"/>
  <c r="BJ172" i="17"/>
  <c r="Y191" i="17"/>
  <c r="AP190" i="17"/>
  <c r="AE191" i="17"/>
  <c r="N263" i="17"/>
  <c r="P263" i="17"/>
  <c r="BO172" i="17" l="1"/>
  <c r="BP172" i="17" s="1"/>
  <c r="BN172" i="17"/>
  <c r="AF425" i="15" s="1"/>
  <c r="BC173" i="17"/>
  <c r="BH173" i="17" s="1"/>
  <c r="AR190" i="17"/>
  <c r="AB191" i="17"/>
  <c r="Z191" i="17"/>
  <c r="U192" i="17" s="1"/>
  <c r="AC192" i="17" s="1"/>
  <c r="AQ190" i="17"/>
  <c r="Q263" i="17"/>
  <c r="S263" i="17" s="1"/>
  <c r="O263" i="17"/>
  <c r="M264" i="17"/>
  <c r="AD192" i="17" l="1"/>
  <c r="AE192" i="17" s="1"/>
  <c r="BD173" i="17"/>
  <c r="BE173" i="17" s="1"/>
  <c r="BF173" i="17" s="1"/>
  <c r="AL259" i="15"/>
  <c r="BQ172" i="17"/>
  <c r="W192" i="17"/>
  <c r="Y192" i="17" s="1"/>
  <c r="AF191" i="17"/>
  <c r="AG191" i="17" s="1"/>
  <c r="AH191" i="17" s="1"/>
  <c r="AS191" i="17" s="1"/>
  <c r="P264" i="17"/>
  <c r="Q264" i="17" s="1"/>
  <c r="S264" i="17" s="1"/>
  <c r="E264" i="17"/>
  <c r="L264" i="17" s="1"/>
  <c r="AL191" i="17" l="1"/>
  <c r="AT191" i="17"/>
  <c r="AW191" i="17" s="1"/>
  <c r="AU191" i="17"/>
  <c r="AV191" i="17" s="1"/>
  <c r="BK173" i="17"/>
  <c r="BL173" i="17" s="1"/>
  <c r="BM173" i="17" s="1"/>
  <c r="BJ173" i="17"/>
  <c r="BG173" i="17"/>
  <c r="BI173" i="17"/>
  <c r="AB192" i="17"/>
  <c r="Z192" i="17"/>
  <c r="U193" i="17" s="1"/>
  <c r="AC193" i="17" s="1"/>
  <c r="AA192" i="17"/>
  <c r="AK192" i="17" s="1"/>
  <c r="N264" i="17"/>
  <c r="AX191" i="17" l="1"/>
  <c r="AZ191" i="17" s="1"/>
  <c r="AY191" i="17"/>
  <c r="AM191" i="17"/>
  <c r="AN191" i="17" s="1"/>
  <c r="AO191" i="17" s="1"/>
  <c r="AP191" i="17" s="1"/>
  <c r="AQ191" i="17" s="1"/>
  <c r="AF192" i="17"/>
  <c r="AG192" i="17" s="1"/>
  <c r="AL192" i="17" s="1"/>
  <c r="AY192" i="17" s="1"/>
  <c r="BO173" i="17"/>
  <c r="BP173" i="17" s="1"/>
  <c r="BN173" i="17"/>
  <c r="AF427" i="15" s="1"/>
  <c r="BC174" i="17"/>
  <c r="W193" i="17"/>
  <c r="AA193" i="17" s="1"/>
  <c r="AK193" i="17" s="1"/>
  <c r="AD193" i="17"/>
  <c r="M265" i="17"/>
  <c r="E265" i="17" s="1"/>
  <c r="L265" i="17" s="1"/>
  <c r="O264" i="17"/>
  <c r="AH192" i="17" l="1"/>
  <c r="AS192" i="17" s="1"/>
  <c r="AM192" i="17"/>
  <c r="AN192" i="17" s="1"/>
  <c r="N265" i="17"/>
  <c r="M266" i="17" s="1"/>
  <c r="E266" i="17" s="1"/>
  <c r="L266" i="17" s="1"/>
  <c r="AL260" i="15"/>
  <c r="BQ173" i="17"/>
  <c r="BD174" i="17"/>
  <c r="BH174" i="17"/>
  <c r="Y193" i="17"/>
  <c r="AB193" i="17" s="1"/>
  <c r="AR191" i="17"/>
  <c r="AE193" i="17"/>
  <c r="P265" i="17"/>
  <c r="Z193" i="17" l="1"/>
  <c r="U194" i="17" s="1"/>
  <c r="AC194" i="17" s="1"/>
  <c r="O265" i="17"/>
  <c r="N266" i="17" s="1"/>
  <c r="M267" i="17" s="1"/>
  <c r="E267" i="17" s="1"/>
  <c r="L267" i="17" s="1"/>
  <c r="AO192" i="17"/>
  <c r="AP192" i="17" s="1"/>
  <c r="AT192" i="17"/>
  <c r="AW192" i="17" s="1"/>
  <c r="AU192" i="17"/>
  <c r="AV192" i="17" s="1"/>
  <c r="BK174" i="17"/>
  <c r="BL174" i="17" s="1"/>
  <c r="BM174" i="17" s="1"/>
  <c r="BJ174" i="17"/>
  <c r="BE174" i="17"/>
  <c r="BF174" i="17" s="1"/>
  <c r="AF193" i="17"/>
  <c r="AG193" i="17" s="1"/>
  <c r="Q265" i="17"/>
  <c r="S265" i="17" s="1"/>
  <c r="AH193" i="17" l="1"/>
  <c r="AS193" i="17" s="1"/>
  <c r="AT193" i="17" s="1"/>
  <c r="AL193" i="17"/>
  <c r="AY193" i="17" s="1"/>
  <c r="P266" i="17"/>
  <c r="Q266" i="17" s="1"/>
  <c r="S266" i="17" s="1"/>
  <c r="AX192" i="17"/>
  <c r="AZ192" i="17" s="1"/>
  <c r="BG174" i="17"/>
  <c r="BI174" i="17"/>
  <c r="O266" i="17"/>
  <c r="N267" i="17" s="1"/>
  <c r="W194" i="17"/>
  <c r="AA194" i="17" s="1"/>
  <c r="AK194" i="17" s="1"/>
  <c r="AR192" i="17"/>
  <c r="AD194" i="17"/>
  <c r="AQ192" i="17"/>
  <c r="AW193" i="17" l="1"/>
  <c r="AX193" i="17" s="1"/>
  <c r="AZ193" i="17" s="1"/>
  <c r="AM193" i="17"/>
  <c r="AN193" i="17" s="1"/>
  <c r="AO193" i="17" s="1"/>
  <c r="AP193" i="17" s="1"/>
  <c r="AR193" i="17" s="1"/>
  <c r="AU193" i="17"/>
  <c r="AV193" i="17" s="1"/>
  <c r="Y194" i="17"/>
  <c r="AB194" i="17" s="1"/>
  <c r="BO174" i="17"/>
  <c r="BP174" i="17" s="1"/>
  <c r="BN174" i="17"/>
  <c r="AF429" i="15" s="1"/>
  <c r="BC175" i="17"/>
  <c r="BH175" i="17" s="1"/>
  <c r="AE194" i="17"/>
  <c r="P267" i="17"/>
  <c r="M268" i="17"/>
  <c r="E268" i="17" s="1"/>
  <c r="L268" i="17" s="1"/>
  <c r="O267" i="17"/>
  <c r="Z194" i="17" l="1"/>
  <c r="U195" i="17" s="1"/>
  <c r="AC195" i="17" s="1"/>
  <c r="AD195" i="17" s="1"/>
  <c r="AE195" i="17" s="1"/>
  <c r="BD175" i="17"/>
  <c r="BE175" i="17" s="1"/>
  <c r="BF175" i="17" s="1"/>
  <c r="AL261" i="15"/>
  <c r="BQ174" i="17"/>
  <c r="AF194" i="17"/>
  <c r="AG194" i="17" s="1"/>
  <c r="AL194" i="17" s="1"/>
  <c r="AY194" i="17" s="1"/>
  <c r="AQ193" i="17"/>
  <c r="Q267" i="17"/>
  <c r="S267" i="17" s="1"/>
  <c r="N268" i="17"/>
  <c r="W195" i="17" l="1"/>
  <c r="Y195" i="17" s="1"/>
  <c r="AB195" i="17" s="1"/>
  <c r="AF195" i="17" s="1"/>
  <c r="AG195" i="17" s="1"/>
  <c r="AH195" i="17" s="1"/>
  <c r="AS195" i="17" s="1"/>
  <c r="AT195" i="17" s="1"/>
  <c r="AM194" i="17"/>
  <c r="AN194" i="17" s="1"/>
  <c r="AO194" i="17" s="1"/>
  <c r="AP194" i="17" s="1"/>
  <c r="AH194" i="17"/>
  <c r="AS194" i="17" s="1"/>
  <c r="BG175" i="17"/>
  <c r="BI175" i="17"/>
  <c r="BK175" i="17"/>
  <c r="BL175" i="17" s="1"/>
  <c r="BM175" i="17" s="1"/>
  <c r="BJ175" i="17"/>
  <c r="P268" i="17"/>
  <c r="Q268" i="17" s="1"/>
  <c r="S268" i="17" s="1"/>
  <c r="O268" i="17"/>
  <c r="M269" i="17"/>
  <c r="E269" i="17" s="1"/>
  <c r="L269" i="17" s="1"/>
  <c r="Z195" i="17" l="1"/>
  <c r="U196" i="17" s="1"/>
  <c r="AC196" i="17" s="1"/>
  <c r="AA195" i="17"/>
  <c r="AK195" i="17" s="1"/>
  <c r="AL195" i="17"/>
  <c r="AY195" i="17" s="1"/>
  <c r="AT194" i="17"/>
  <c r="AW194" i="17" s="1"/>
  <c r="AU194" i="17"/>
  <c r="AV194" i="17" s="1"/>
  <c r="AU195" i="17" s="1"/>
  <c r="AV195" i="17" s="1"/>
  <c r="BO175" i="17"/>
  <c r="BP175" i="17" s="1"/>
  <c r="BN175" i="17"/>
  <c r="AF433" i="15" s="1"/>
  <c r="BC176" i="17"/>
  <c r="AR194" i="17"/>
  <c r="AQ194" i="17"/>
  <c r="N269" i="17"/>
  <c r="P269" i="17"/>
  <c r="AM195" i="17" l="1"/>
  <c r="AN195" i="17" s="1"/>
  <c r="AO195" i="17" s="1"/>
  <c r="AX194" i="17"/>
  <c r="AZ194" i="17" s="1"/>
  <c r="BD176" i="17"/>
  <c r="BE176" i="17" s="1"/>
  <c r="BF176" i="17" s="1"/>
  <c r="BH176" i="17"/>
  <c r="AL262" i="15"/>
  <c r="BQ175" i="17"/>
  <c r="W196" i="17"/>
  <c r="AD196" i="17"/>
  <c r="Q269" i="17"/>
  <c r="S269" i="17" s="1"/>
  <c r="O269" i="17"/>
  <c r="M270" i="17"/>
  <c r="AW195" i="17" l="1"/>
  <c r="AX195" i="17" s="1"/>
  <c r="AZ195" i="17" s="1"/>
  <c r="BG176" i="17"/>
  <c r="BI176" i="17"/>
  <c r="BK176" i="17"/>
  <c r="BL176" i="17" s="1"/>
  <c r="BM176" i="17" s="1"/>
  <c r="BJ176" i="17"/>
  <c r="P270" i="17"/>
  <c r="Q270" i="17" s="1"/>
  <c r="S270" i="17" s="1"/>
  <c r="AA196" i="17"/>
  <c r="AK196" i="17" s="1"/>
  <c r="Y196" i="17"/>
  <c r="AP195" i="17"/>
  <c r="AQ195" i="17" s="1"/>
  <c r="AE196" i="17"/>
  <c r="E270" i="17"/>
  <c r="L270" i="17" s="1"/>
  <c r="BO176" i="17" l="1"/>
  <c r="BP176" i="17" s="1"/>
  <c r="BN176" i="17"/>
  <c r="AF436" i="15" s="1"/>
  <c r="BC177" i="17"/>
  <c r="BH177" i="17" s="1"/>
  <c r="AB196" i="17"/>
  <c r="Z196" i="17"/>
  <c r="AR195" i="17"/>
  <c r="N270" i="17"/>
  <c r="AL263" i="15" l="1"/>
  <c r="BQ176" i="17"/>
  <c r="AF196" i="17"/>
  <c r="AG196" i="17" s="1"/>
  <c r="BD177" i="17"/>
  <c r="U197" i="17"/>
  <c r="AC197" i="17" s="1"/>
  <c r="O270" i="17"/>
  <c r="M271" i="17"/>
  <c r="E271" i="17" s="1"/>
  <c r="L271" i="17" s="1"/>
  <c r="AH196" i="17" l="1"/>
  <c r="AS196" i="17" s="1"/>
  <c r="AL196" i="17"/>
  <c r="AY196" i="17" s="1"/>
  <c r="BK177" i="17"/>
  <c r="BL177" i="17" s="1"/>
  <c r="BM177" i="17" s="1"/>
  <c r="BJ177" i="17"/>
  <c r="BE177" i="17"/>
  <c r="BF177" i="17" s="1"/>
  <c r="AD197" i="17"/>
  <c r="AE197" i="17" s="1"/>
  <c r="N271" i="17"/>
  <c r="M272" i="17" s="1"/>
  <c r="E272" i="17" s="1"/>
  <c r="L272" i="17" s="1"/>
  <c r="W197" i="17"/>
  <c r="P271" i="17"/>
  <c r="AU196" i="17" l="1"/>
  <c r="AV196" i="17" s="1"/>
  <c r="AT196" i="17"/>
  <c r="AW196" i="17" s="1"/>
  <c r="AX196" i="17" s="1"/>
  <c r="AZ196" i="17" s="1"/>
  <c r="AM196" i="17"/>
  <c r="AN196" i="17" s="1"/>
  <c r="BG177" i="17"/>
  <c r="BI177" i="17"/>
  <c r="O271" i="17"/>
  <c r="N272" i="17" s="1"/>
  <c r="AA197" i="17"/>
  <c r="AK197" i="17" s="1"/>
  <c r="Y197" i="17"/>
  <c r="AB197" i="17" s="1"/>
  <c r="Q271" i="17"/>
  <c r="S271" i="17" s="1"/>
  <c r="AO196" i="17" l="1"/>
  <c r="AP196" i="17" s="1"/>
  <c r="AQ196" i="17" s="1"/>
  <c r="P272" i="17"/>
  <c r="Q272" i="17" s="1"/>
  <c r="S272" i="17" s="1"/>
  <c r="M273" i="17"/>
  <c r="E273" i="17" s="1"/>
  <c r="L273" i="17" s="1"/>
  <c r="O272" i="17"/>
  <c r="BO177" i="17"/>
  <c r="BP177" i="17" s="1"/>
  <c r="BN177" i="17"/>
  <c r="AF438" i="15" s="1"/>
  <c r="BC178" i="17"/>
  <c r="AF197" i="17"/>
  <c r="AG197" i="17" s="1"/>
  <c r="AH197" i="17" s="1"/>
  <c r="AS197" i="17" s="1"/>
  <c r="AT197" i="17" s="1"/>
  <c r="AW197" i="17" s="1"/>
  <c r="AX197" i="17" s="1"/>
  <c r="AZ197" i="17" s="1"/>
  <c r="Z197" i="17"/>
  <c r="N273" i="17" l="1"/>
  <c r="O273" i="17" s="1"/>
  <c r="AL197" i="17"/>
  <c r="AY197" i="17" s="1"/>
  <c r="AU197" i="17"/>
  <c r="AV197" i="17" s="1"/>
  <c r="BD178" i="17"/>
  <c r="BE178" i="17" s="1"/>
  <c r="BF178" i="17" s="1"/>
  <c r="BH178" i="17"/>
  <c r="AL264" i="15"/>
  <c r="BQ177" i="17"/>
  <c r="AR196" i="17"/>
  <c r="U198" i="17"/>
  <c r="W198" i="17" s="1"/>
  <c r="AA198" i="17" s="1"/>
  <c r="AK198" i="17" s="1"/>
  <c r="P273" i="17"/>
  <c r="M274" i="17" l="1"/>
  <c r="E274" i="17" s="1"/>
  <c r="L274" i="17" s="1"/>
  <c r="AM197" i="17"/>
  <c r="AN197" i="17" s="1"/>
  <c r="BG178" i="17"/>
  <c r="BI178" i="17"/>
  <c r="BK178" i="17"/>
  <c r="BL178" i="17" s="1"/>
  <c r="BM178" i="17" s="1"/>
  <c r="BJ178" i="17"/>
  <c r="AC198" i="17"/>
  <c r="Y198" i="17"/>
  <c r="Q273" i="17"/>
  <c r="S273" i="17" s="1"/>
  <c r="BC179" i="17" l="1"/>
  <c r="BH179" i="17" s="1"/>
  <c r="BO178" i="17"/>
  <c r="BP178" i="17" s="1"/>
  <c r="BN178" i="17"/>
  <c r="AF441" i="15" s="1"/>
  <c r="AO197" i="17"/>
  <c r="AB198" i="17"/>
  <c r="Z198" i="17"/>
  <c r="U199" i="17" s="1"/>
  <c r="AC199" i="17" s="1"/>
  <c r="AD198" i="17"/>
  <c r="AE198" i="17" s="1"/>
  <c r="N274" i="17"/>
  <c r="P274" i="17"/>
  <c r="BD179" i="17" l="1"/>
  <c r="BE179" i="17" s="1"/>
  <c r="BF179" i="17" s="1"/>
  <c r="BG179" i="17" s="1"/>
  <c r="AL265" i="15"/>
  <c r="BQ178" i="17"/>
  <c r="AP197" i="17"/>
  <c r="AQ197" i="17" s="1"/>
  <c r="AD199" i="17"/>
  <c r="AE199" i="17" s="1"/>
  <c r="AF198" i="17"/>
  <c r="AG198" i="17" s="1"/>
  <c r="AL198" i="17" s="1"/>
  <c r="AY198" i="17" s="1"/>
  <c r="W199" i="17"/>
  <c r="AA199" i="17" s="1"/>
  <c r="AK199" i="17" s="1"/>
  <c r="Q274" i="17"/>
  <c r="S274" i="17" s="1"/>
  <c r="O274" i="17"/>
  <c r="M275" i="17"/>
  <c r="AH198" i="17" l="1"/>
  <c r="AS198" i="17" s="1"/>
  <c r="BI179" i="17"/>
  <c r="BO179" i="17" s="1"/>
  <c r="BP179" i="17" s="1"/>
  <c r="BJ179" i="17"/>
  <c r="BK179" i="17"/>
  <c r="BL179" i="17" s="1"/>
  <c r="BM179" i="17" s="1"/>
  <c r="P275" i="17"/>
  <c r="Q275" i="17" s="1"/>
  <c r="S275" i="17" s="1"/>
  <c r="Y199" i="17"/>
  <c r="AB199" i="17" s="1"/>
  <c r="BC180" i="17"/>
  <c r="AM198" i="17"/>
  <c r="AR197" i="17"/>
  <c r="E275" i="17"/>
  <c r="L275" i="17" s="1"/>
  <c r="Z199" i="17" l="1"/>
  <c r="U200" i="17" s="1"/>
  <c r="AC200" i="17" s="1"/>
  <c r="AD200" i="17" s="1"/>
  <c r="AU198" i="17"/>
  <c r="AV198" i="17" s="1"/>
  <c r="AT198" i="17"/>
  <c r="AW198" i="17" s="1"/>
  <c r="AF199" i="17"/>
  <c r="AG199" i="17" s="1"/>
  <c r="AH199" i="17" s="1"/>
  <c r="AS199" i="17" s="1"/>
  <c r="AT199" i="17" s="1"/>
  <c r="BN179" i="17"/>
  <c r="AF443" i="15" s="1"/>
  <c r="BD180" i="17"/>
  <c r="BH180" i="17"/>
  <c r="AL266" i="15"/>
  <c r="AN198" i="17"/>
  <c r="AO198" i="17" s="1"/>
  <c r="AP198" i="17" s="1"/>
  <c r="N275" i="17"/>
  <c r="BQ179" i="17" l="1"/>
  <c r="W200" i="17"/>
  <c r="AA200" i="17" s="1"/>
  <c r="AK200" i="17" s="1"/>
  <c r="AU199" i="17"/>
  <c r="AV199" i="17" s="1"/>
  <c r="AX198" i="17"/>
  <c r="AZ198" i="17" s="1"/>
  <c r="AL199" i="17"/>
  <c r="AR198" i="17"/>
  <c r="BK180" i="17"/>
  <c r="BL180" i="17" s="1"/>
  <c r="BM180" i="17" s="1"/>
  <c r="BJ180" i="17"/>
  <c r="BE180" i="17"/>
  <c r="BF180" i="17" s="1"/>
  <c r="AQ198" i="17"/>
  <c r="AE200" i="17"/>
  <c r="M276" i="17"/>
  <c r="O275" i="17"/>
  <c r="Y200" i="17" l="1"/>
  <c r="AB200" i="17" s="1"/>
  <c r="AF200" i="17" s="1"/>
  <c r="AG200" i="17" s="1"/>
  <c r="AH200" i="17" s="1"/>
  <c r="AS200" i="17" s="1"/>
  <c r="AW199" i="17"/>
  <c r="AX199" i="17" s="1"/>
  <c r="AZ199" i="17" s="1"/>
  <c r="AY199" i="17"/>
  <c r="AM199" i="17"/>
  <c r="BG180" i="17"/>
  <c r="BI180" i="17"/>
  <c r="P276" i="17"/>
  <c r="E276" i="17"/>
  <c r="L276" i="17" s="1"/>
  <c r="Z200" i="17" l="1"/>
  <c r="AL200" i="17"/>
  <c r="AY200" i="17" s="1"/>
  <c r="AT200" i="17"/>
  <c r="AW200" i="17" s="1"/>
  <c r="AX200" i="17" s="1"/>
  <c r="AZ200" i="17" s="1"/>
  <c r="AU200" i="17"/>
  <c r="AV200" i="17" s="1"/>
  <c r="AN199" i="17"/>
  <c r="AO199" i="17" s="1"/>
  <c r="AP199" i="17" s="1"/>
  <c r="AQ199" i="17" s="1"/>
  <c r="U201" i="17"/>
  <c r="AC201" i="17" s="1"/>
  <c r="BO180" i="17"/>
  <c r="BP180" i="17" s="1"/>
  <c r="BN180" i="17"/>
  <c r="AF446" i="15" s="1"/>
  <c r="BC181" i="17"/>
  <c r="BH181" i="17" s="1"/>
  <c r="Q276" i="17"/>
  <c r="S276" i="17" s="1"/>
  <c r="N276" i="17"/>
  <c r="AM200" i="17" l="1"/>
  <c r="AN200" i="17" s="1"/>
  <c r="AR199" i="17"/>
  <c r="W201" i="17"/>
  <c r="AA201" i="17" s="1"/>
  <c r="AK201" i="17" s="1"/>
  <c r="BD181" i="17"/>
  <c r="AL267" i="15"/>
  <c r="BQ180" i="17"/>
  <c r="AD201" i="17"/>
  <c r="AE201" i="17" s="1"/>
  <c r="M277" i="17"/>
  <c r="E277" i="17" s="1"/>
  <c r="L277" i="17" s="1"/>
  <c r="O276" i="17"/>
  <c r="AO200" i="17" l="1"/>
  <c r="Y201" i="17"/>
  <c r="AB201" i="17" s="1"/>
  <c r="AF201" i="17" s="1"/>
  <c r="AG201" i="17" s="1"/>
  <c r="AH201" i="17" s="1"/>
  <c r="AS201" i="17" s="1"/>
  <c r="BK181" i="17"/>
  <c r="BL181" i="17" s="1"/>
  <c r="BM181" i="17" s="1"/>
  <c r="BJ181" i="17"/>
  <c r="BE181" i="17"/>
  <c r="BF181" i="17" s="1"/>
  <c r="AP200" i="17"/>
  <c r="N277" i="17"/>
  <c r="P277" i="17"/>
  <c r="Z201" i="17" l="1"/>
  <c r="U202" i="17" s="1"/>
  <c r="AU201" i="17"/>
  <c r="AV201" i="17" s="1"/>
  <c r="AT201" i="17"/>
  <c r="AW201" i="17" s="1"/>
  <c r="AX201" i="17" s="1"/>
  <c r="AZ201" i="17" s="1"/>
  <c r="AL201" i="17"/>
  <c r="AY201" i="17" s="1"/>
  <c r="BG181" i="17"/>
  <c r="BI181" i="17"/>
  <c r="AR200" i="17"/>
  <c r="AQ200" i="17"/>
  <c r="O277" i="17"/>
  <c r="M278" i="17"/>
  <c r="E278" i="17" s="1"/>
  <c r="L278" i="17" s="1"/>
  <c r="Q277" i="17"/>
  <c r="S277" i="17" s="1"/>
  <c r="AM201" i="17" l="1"/>
  <c r="AN201" i="17" s="1"/>
  <c r="AO201" i="17" s="1"/>
  <c r="AP201" i="17" s="1"/>
  <c r="AQ201" i="17" s="1"/>
  <c r="W202" i="17"/>
  <c r="AA202" i="17" s="1"/>
  <c r="AK202" i="17" s="1"/>
  <c r="BO181" i="17"/>
  <c r="BP181" i="17" s="1"/>
  <c r="BN181" i="17"/>
  <c r="AF448" i="15" s="1"/>
  <c r="AC202" i="17"/>
  <c r="BC182" i="17"/>
  <c r="P278" i="17"/>
  <c r="Q278" i="17" s="1"/>
  <c r="S278" i="17" s="1"/>
  <c r="N278" i="17"/>
  <c r="BD182" i="17" l="1"/>
  <c r="BH182" i="17"/>
  <c r="AL268" i="15"/>
  <c r="BQ181" i="17"/>
  <c r="AD202" i="17"/>
  <c r="Y202" i="17"/>
  <c r="AR201" i="17"/>
  <c r="O278" i="17"/>
  <c r="M279" i="17"/>
  <c r="E279" i="17" s="1"/>
  <c r="L279" i="17" s="1"/>
  <c r="N279" i="17" l="1"/>
  <c r="O279" i="17" s="1"/>
  <c r="AB202" i="17"/>
  <c r="Z202" i="17"/>
  <c r="AE202" i="17"/>
  <c r="BK182" i="17"/>
  <c r="BL182" i="17" s="1"/>
  <c r="BM182" i="17" s="1"/>
  <c r="BJ182" i="17"/>
  <c r="BE182" i="17"/>
  <c r="BF182" i="17" s="1"/>
  <c r="P279" i="17"/>
  <c r="M280" i="17" l="1"/>
  <c r="E280" i="17" s="1"/>
  <c r="L280" i="17" s="1"/>
  <c r="AF202" i="17"/>
  <c r="AG202" i="17" s="1"/>
  <c r="AH202" i="17" s="1"/>
  <c r="AS202" i="17" s="1"/>
  <c r="U203" i="17"/>
  <c r="AC203" i="17" s="1"/>
  <c r="BG182" i="17"/>
  <c r="BI182" i="17"/>
  <c r="Q279" i="17"/>
  <c r="S279" i="17" s="1"/>
  <c r="AL202" i="17" l="1"/>
  <c r="AU202" i="17"/>
  <c r="AV202" i="17" s="1"/>
  <c r="AT202" i="17"/>
  <c r="AW202" i="17" s="1"/>
  <c r="AX202" i="17" s="1"/>
  <c r="AZ202" i="17" s="1"/>
  <c r="BC183" i="17"/>
  <c r="BH183" i="17" s="1"/>
  <c r="P280" i="17"/>
  <c r="Q280" i="17" s="1"/>
  <c r="S280" i="17" s="1"/>
  <c r="BO182" i="17"/>
  <c r="BP182" i="17" s="1"/>
  <c r="BN182" i="17"/>
  <c r="AF451" i="15" s="1"/>
  <c r="W203" i="17"/>
  <c r="AA203" i="17" s="1"/>
  <c r="AK203" i="17" s="1"/>
  <c r="AD203" i="17"/>
  <c r="N280" i="17"/>
  <c r="AM202" i="17" l="1"/>
  <c r="AN202" i="17" s="1"/>
  <c r="AO202" i="17" s="1"/>
  <c r="AP202" i="17" s="1"/>
  <c r="AR202" i="17" s="1"/>
  <c r="AY202" i="17"/>
  <c r="Y203" i="17"/>
  <c r="AB203" i="17" s="1"/>
  <c r="BD183" i="17"/>
  <c r="BE183" i="17" s="1"/>
  <c r="BF183" i="17" s="1"/>
  <c r="AE203" i="17"/>
  <c r="AL269" i="15"/>
  <c r="BQ182" i="17"/>
  <c r="M281" i="17"/>
  <c r="E281" i="17" s="1"/>
  <c r="L281" i="17" s="1"/>
  <c r="O280" i="17"/>
  <c r="Z203" i="17" l="1"/>
  <c r="U204" i="17" s="1"/>
  <c r="AC204" i="17" s="1"/>
  <c r="AF203" i="17"/>
  <c r="AG203" i="17" s="1"/>
  <c r="AH203" i="17" s="1"/>
  <c r="AS203" i="17" s="1"/>
  <c r="BK183" i="17"/>
  <c r="BL183" i="17" s="1"/>
  <c r="BM183" i="17" s="1"/>
  <c r="BJ183" i="17"/>
  <c r="AQ202" i="17"/>
  <c r="BG183" i="17"/>
  <c r="BI183" i="17"/>
  <c r="N281" i="17"/>
  <c r="P281" i="17"/>
  <c r="AL203" i="17" l="1"/>
  <c r="AY203" i="17" s="1"/>
  <c r="AT203" i="17"/>
  <c r="AW203" i="17" s="1"/>
  <c r="AX203" i="17" s="1"/>
  <c r="AZ203" i="17" s="1"/>
  <c r="AU203" i="17"/>
  <c r="AV203" i="17" s="1"/>
  <c r="AD204" i="17"/>
  <c r="BC184" i="17"/>
  <c r="W204" i="17"/>
  <c r="AA204" i="17" s="1"/>
  <c r="AK204" i="17" s="1"/>
  <c r="BO183" i="17"/>
  <c r="BP183" i="17" s="1"/>
  <c r="BN183" i="17"/>
  <c r="AF455" i="15" s="1"/>
  <c r="Q281" i="17"/>
  <c r="S281" i="17" s="1"/>
  <c r="M282" i="17"/>
  <c r="E282" i="17" s="1"/>
  <c r="L282" i="17" s="1"/>
  <c r="O281" i="17"/>
  <c r="AM203" i="17" l="1"/>
  <c r="AN203" i="17" s="1"/>
  <c r="AO203" i="17" s="1"/>
  <c r="Y204" i="17"/>
  <c r="AB204" i="17" s="1"/>
  <c r="BD184" i="17"/>
  <c r="BH184" i="17"/>
  <c r="AE204" i="17"/>
  <c r="AL270" i="15"/>
  <c r="BQ183" i="17"/>
  <c r="P282" i="17"/>
  <c r="N282" i="17"/>
  <c r="Z204" i="17" l="1"/>
  <c r="U205" i="17" s="1"/>
  <c r="AC205" i="17" s="1"/>
  <c r="BK184" i="17"/>
  <c r="BL184" i="17" s="1"/>
  <c r="BM184" i="17" s="1"/>
  <c r="BJ184" i="17"/>
  <c r="BE184" i="17"/>
  <c r="BF184" i="17" s="1"/>
  <c r="AF204" i="17"/>
  <c r="AG204" i="17" s="1"/>
  <c r="AP203" i="17"/>
  <c r="O282" i="17"/>
  <c r="M283" i="17"/>
  <c r="Q282" i="17"/>
  <c r="S282" i="17" s="1"/>
  <c r="AH204" i="17" l="1"/>
  <c r="AS204" i="17" s="1"/>
  <c r="AL204" i="17"/>
  <c r="AR203" i="17"/>
  <c r="AQ203" i="17"/>
  <c r="W205" i="17"/>
  <c r="BG184" i="17"/>
  <c r="BI184" i="17"/>
  <c r="AD205" i="17"/>
  <c r="P283" i="17"/>
  <c r="Q283" i="17" s="1"/>
  <c r="S283" i="17" s="1"/>
  <c r="E283" i="17"/>
  <c r="L283" i="17" s="1"/>
  <c r="AY204" i="17" l="1"/>
  <c r="AM204" i="17"/>
  <c r="AN204" i="17" s="1"/>
  <c r="AT204" i="17"/>
  <c r="AW204" i="17" s="1"/>
  <c r="AX204" i="17" s="1"/>
  <c r="AZ204" i="17" s="1"/>
  <c r="AU204" i="17"/>
  <c r="AV204" i="17" s="1"/>
  <c r="AA205" i="17"/>
  <c r="AK205" i="17" s="1"/>
  <c r="Y205" i="17"/>
  <c r="AB205" i="17" s="1"/>
  <c r="BO184" i="17"/>
  <c r="BP184" i="17" s="1"/>
  <c r="BN184" i="17"/>
  <c r="AF459" i="15" s="1"/>
  <c r="AE205" i="17"/>
  <c r="BC185" i="17"/>
  <c r="BH185" i="17" s="1"/>
  <c r="N283" i="17"/>
  <c r="AO204" i="17" l="1"/>
  <c r="AP204" i="17" s="1"/>
  <c r="AQ204" i="17" s="1"/>
  <c r="Z205" i="17"/>
  <c r="AL271" i="15"/>
  <c r="BQ184" i="17"/>
  <c r="AF205" i="17"/>
  <c r="AG205" i="17" s="1"/>
  <c r="AH205" i="17" s="1"/>
  <c r="AS205" i="17" s="1"/>
  <c r="AT205" i="17" s="1"/>
  <c r="AW205" i="17" s="1"/>
  <c r="AX205" i="17" s="1"/>
  <c r="AZ205" i="17" s="1"/>
  <c r="BD185" i="17"/>
  <c r="O283" i="17"/>
  <c r="M284" i="17"/>
  <c r="AL205" i="17" l="1"/>
  <c r="AM205" i="17" s="1"/>
  <c r="AU205" i="17"/>
  <c r="AV205" i="17" s="1"/>
  <c r="U206" i="17"/>
  <c r="AC206" i="17" s="1"/>
  <c r="AR204" i="17"/>
  <c r="BK185" i="17"/>
  <c r="BL185" i="17" s="1"/>
  <c r="BM185" i="17" s="1"/>
  <c r="BJ185" i="17"/>
  <c r="BE185" i="17"/>
  <c r="BF185" i="17" s="1"/>
  <c r="P284" i="17"/>
  <c r="E284" i="17"/>
  <c r="L284" i="17" s="1"/>
  <c r="AY205" i="17" l="1"/>
  <c r="W206" i="17"/>
  <c r="AA206" i="17" s="1"/>
  <c r="AK206" i="17" s="1"/>
  <c r="BG185" i="17"/>
  <c r="BI185" i="17"/>
  <c r="AN205" i="17"/>
  <c r="AO205" i="17" s="1"/>
  <c r="AP205" i="17" s="1"/>
  <c r="AD206" i="17"/>
  <c r="Q284" i="17"/>
  <c r="S284" i="17" s="1"/>
  <c r="N284" i="17"/>
  <c r="Y206" i="17" l="1"/>
  <c r="AB206" i="17" s="1"/>
  <c r="BC186" i="17"/>
  <c r="AE206" i="17"/>
  <c r="BO185" i="17"/>
  <c r="BP185" i="17" s="1"/>
  <c r="BN185" i="17"/>
  <c r="AF462" i="15" s="1"/>
  <c r="AQ205" i="17"/>
  <c r="AR205" i="17"/>
  <c r="O284" i="17"/>
  <c r="M285" i="17"/>
  <c r="E285" i="17" s="1"/>
  <c r="L285" i="17" s="1"/>
  <c r="Z206" i="17" l="1"/>
  <c r="U207" i="17" s="1"/>
  <c r="AC207" i="17" s="1"/>
  <c r="AF206" i="17"/>
  <c r="AG206" i="17" s="1"/>
  <c r="AL206" i="17" s="1"/>
  <c r="BD186" i="17"/>
  <c r="BH186" i="17"/>
  <c r="AL272" i="15"/>
  <c r="BQ185" i="17"/>
  <c r="P285" i="17"/>
  <c r="N285" i="17"/>
  <c r="AH206" i="17" l="1"/>
  <c r="AS206" i="17" s="1"/>
  <c r="W207" i="17"/>
  <c r="AA207" i="17" s="1"/>
  <c r="AK207" i="17" s="1"/>
  <c r="AD207" i="17"/>
  <c r="AY206" i="17"/>
  <c r="AM206" i="17"/>
  <c r="BK186" i="17"/>
  <c r="BL186" i="17" s="1"/>
  <c r="BM186" i="17" s="1"/>
  <c r="BJ186" i="17"/>
  <c r="BE186" i="17"/>
  <c r="BF186" i="17" s="1"/>
  <c r="M286" i="17"/>
  <c r="O285" i="17"/>
  <c r="Q285" i="17"/>
  <c r="S285" i="17" s="1"/>
  <c r="AT206" i="17" l="1"/>
  <c r="AW206" i="17" s="1"/>
  <c r="AX206" i="17" s="1"/>
  <c r="AZ206" i="17" s="1"/>
  <c r="AU206" i="17"/>
  <c r="AV206" i="17" s="1"/>
  <c r="Y207" i="17"/>
  <c r="AB207" i="17" s="1"/>
  <c r="AE207" i="17"/>
  <c r="BG186" i="17"/>
  <c r="BI186" i="17"/>
  <c r="AN206" i="17"/>
  <c r="AO206" i="17" s="1"/>
  <c r="P286" i="17"/>
  <c r="Q286" i="17" s="1"/>
  <c r="S286" i="17" s="1"/>
  <c r="E286" i="17"/>
  <c r="L286" i="17" s="1"/>
  <c r="Z207" i="17" l="1"/>
  <c r="U208" i="17" s="1"/>
  <c r="AC208" i="17" s="1"/>
  <c r="AP206" i="17"/>
  <c r="AR206" i="17" s="1"/>
  <c r="BO186" i="17"/>
  <c r="BP186" i="17" s="1"/>
  <c r="BN186" i="17"/>
  <c r="AF465" i="15" s="1"/>
  <c r="AF207" i="17"/>
  <c r="AG207" i="17" s="1"/>
  <c r="AH207" i="17" s="1"/>
  <c r="AS207" i="17" s="1"/>
  <c r="AT207" i="17" s="1"/>
  <c r="AW207" i="17" s="1"/>
  <c r="AX207" i="17" s="1"/>
  <c r="AZ207" i="17" s="1"/>
  <c r="BC187" i="17"/>
  <c r="N286" i="17"/>
  <c r="AU207" i="17" l="1"/>
  <c r="AV207" i="17" s="1"/>
  <c r="AL207" i="17"/>
  <c r="AY207" i="17" s="1"/>
  <c r="W208" i="17"/>
  <c r="AA208" i="17" s="1"/>
  <c r="AK208" i="17" s="1"/>
  <c r="BD187" i="17"/>
  <c r="BJ187" i="17" s="1"/>
  <c r="AL273" i="15"/>
  <c r="BQ186" i="17"/>
  <c r="BH187" i="17"/>
  <c r="AD208" i="17"/>
  <c r="AQ206" i="17"/>
  <c r="O286" i="17"/>
  <c r="M287" i="17"/>
  <c r="E287" i="17" s="1"/>
  <c r="L287" i="17" s="1"/>
  <c r="AM207" i="17" l="1"/>
  <c r="AN207" i="17" s="1"/>
  <c r="AO207" i="17" s="1"/>
  <c r="AP207" i="17" s="1"/>
  <c r="AR207" i="17" s="1"/>
  <c r="Y208" i="17"/>
  <c r="AB208" i="17" s="1"/>
  <c r="BK187" i="17"/>
  <c r="BL187" i="17" s="1"/>
  <c r="BM187" i="17" s="1"/>
  <c r="BE187" i="17"/>
  <c r="BF187" i="17" s="1"/>
  <c r="BG187" i="17" s="1"/>
  <c r="AE208" i="17"/>
  <c r="N287" i="17"/>
  <c r="P287" i="17"/>
  <c r="Z208" i="17" l="1"/>
  <c r="U209" i="17" s="1"/>
  <c r="AC209" i="17" s="1"/>
  <c r="BI187" i="17"/>
  <c r="BN187" i="17" s="1"/>
  <c r="AF470" i="15" s="1"/>
  <c r="AQ207" i="17"/>
  <c r="AF208" i="17"/>
  <c r="AG208" i="17" s="1"/>
  <c r="BC188" i="17"/>
  <c r="O287" i="17"/>
  <c r="M288" i="17"/>
  <c r="Q287" i="17"/>
  <c r="S287" i="17" s="1"/>
  <c r="BO187" i="17" l="1"/>
  <c r="BP187" i="17" s="1"/>
  <c r="AL274" i="15" s="1"/>
  <c r="AH208" i="17"/>
  <c r="AS208" i="17" s="1"/>
  <c r="AL208" i="17"/>
  <c r="AY208" i="17" s="1"/>
  <c r="W209" i="17"/>
  <c r="AA209" i="17" s="1"/>
  <c r="AK209" i="17" s="1"/>
  <c r="AD209" i="17"/>
  <c r="BD188" i="17"/>
  <c r="BH188" i="17"/>
  <c r="P288" i="17"/>
  <c r="E288" i="17"/>
  <c r="L288" i="17" s="1"/>
  <c r="BQ187" i="17" l="1"/>
  <c r="Y209" i="17"/>
  <c r="AB209" i="17" s="1"/>
  <c r="AT208" i="17"/>
  <c r="AW208" i="17" s="1"/>
  <c r="AX208" i="17" s="1"/>
  <c r="AZ208" i="17" s="1"/>
  <c r="AU208" i="17"/>
  <c r="AV208" i="17" s="1"/>
  <c r="AM208" i="17"/>
  <c r="AE209" i="17"/>
  <c r="BK188" i="17"/>
  <c r="BL188" i="17" s="1"/>
  <c r="BM188" i="17" s="1"/>
  <c r="BJ188" i="17"/>
  <c r="BE188" i="17"/>
  <c r="BF188" i="17" s="1"/>
  <c r="N288" i="17"/>
  <c r="Q288" i="17"/>
  <c r="S288" i="17" s="1"/>
  <c r="Z209" i="17" l="1"/>
  <c r="U210" i="17" s="1"/>
  <c r="AC210" i="17" s="1"/>
  <c r="AD210" i="17" s="1"/>
  <c r="AF209" i="17"/>
  <c r="AG209" i="17" s="1"/>
  <c r="AH209" i="17" s="1"/>
  <c r="AS209" i="17" s="1"/>
  <c r="AT209" i="17" s="1"/>
  <c r="AW209" i="17" s="1"/>
  <c r="AX209" i="17" s="1"/>
  <c r="AZ209" i="17" s="1"/>
  <c r="AN208" i="17"/>
  <c r="AO208" i="17" s="1"/>
  <c r="AP208" i="17" s="1"/>
  <c r="AQ208" i="17" s="1"/>
  <c r="BG188" i="17"/>
  <c r="BI188" i="17"/>
  <c r="O288" i="17"/>
  <c r="M289" i="17"/>
  <c r="W210" i="17" l="1"/>
  <c r="AA210" i="17" s="1"/>
  <c r="AK210" i="17" s="1"/>
  <c r="AL209" i="17"/>
  <c r="AU209" i="17"/>
  <c r="AV209" i="17" s="1"/>
  <c r="AR208" i="17"/>
  <c r="AE210" i="17"/>
  <c r="BO188" i="17"/>
  <c r="BP188" i="17" s="1"/>
  <c r="BN188" i="17"/>
  <c r="AF474" i="15" s="1"/>
  <c r="BC189" i="17"/>
  <c r="BD189" i="17" s="1"/>
  <c r="P289" i="17"/>
  <c r="E289" i="17"/>
  <c r="L289" i="17" s="1"/>
  <c r="Y210" i="17" l="1"/>
  <c r="AB210" i="17" s="1"/>
  <c r="AF210" i="17" s="1"/>
  <c r="AG210" i="17" s="1"/>
  <c r="AM209" i="17"/>
  <c r="AY209" i="17"/>
  <c r="BK189" i="17"/>
  <c r="BL189" i="17" s="1"/>
  <c r="BM189" i="17" s="1"/>
  <c r="BJ189" i="17"/>
  <c r="BE189" i="17"/>
  <c r="BF189" i="17" s="1"/>
  <c r="AL275" i="15"/>
  <c r="BQ188" i="17"/>
  <c r="BH189" i="17"/>
  <c r="N289" i="17"/>
  <c r="Q289" i="17"/>
  <c r="S289" i="17" s="1"/>
  <c r="Z210" i="17" l="1"/>
  <c r="U211" i="17" s="1"/>
  <c r="AC211" i="17" s="1"/>
  <c r="AD211" i="17" s="1"/>
  <c r="AE211" i="17" s="1"/>
  <c r="AN209" i="17"/>
  <c r="AO209" i="17" s="1"/>
  <c r="AP209" i="17" s="1"/>
  <c r="AQ209" i="17" s="1"/>
  <c r="AH210" i="17"/>
  <c r="AS210" i="17" s="1"/>
  <c r="AL210" i="17"/>
  <c r="AY210" i="17" s="1"/>
  <c r="BG189" i="17"/>
  <c r="BI189" i="17"/>
  <c r="O289" i="17"/>
  <c r="M290" i="17"/>
  <c r="W211" i="17" l="1"/>
  <c r="Y211" i="17" s="1"/>
  <c r="AB211" i="17" s="1"/>
  <c r="AF211" i="17" s="1"/>
  <c r="AG211" i="17" s="1"/>
  <c r="AH211" i="17" s="1"/>
  <c r="AS211" i="17" s="1"/>
  <c r="AT211" i="17" s="1"/>
  <c r="AR209" i="17"/>
  <c r="AU210" i="17"/>
  <c r="AV210" i="17" s="1"/>
  <c r="AT210" i="17"/>
  <c r="AW210" i="17" s="1"/>
  <c r="AX210" i="17" s="1"/>
  <c r="AZ210" i="17" s="1"/>
  <c r="AM210" i="17"/>
  <c r="BO189" i="17"/>
  <c r="BP189" i="17" s="1"/>
  <c r="BN189" i="17"/>
  <c r="AF477" i="15" s="1"/>
  <c r="BC190" i="17"/>
  <c r="P290" i="17"/>
  <c r="E290" i="17"/>
  <c r="L290" i="17" s="1"/>
  <c r="AA211" i="17" l="1"/>
  <c r="AK211" i="17" s="1"/>
  <c r="Z211" i="17"/>
  <c r="U212" i="17" s="1"/>
  <c r="AC212" i="17" s="1"/>
  <c r="AL211" i="17"/>
  <c r="AM211" i="17" s="1"/>
  <c r="AN210" i="17"/>
  <c r="AO210" i="17" s="1"/>
  <c r="AP210" i="17" s="1"/>
  <c r="AR210" i="17" s="1"/>
  <c r="AW211" i="17"/>
  <c r="AX211" i="17" s="1"/>
  <c r="AZ211" i="17" s="1"/>
  <c r="AU211" i="17"/>
  <c r="AV211" i="17" s="1"/>
  <c r="BD190" i="17"/>
  <c r="BH190" i="17"/>
  <c r="AL276" i="15"/>
  <c r="BQ189" i="17"/>
  <c r="Q290" i="17"/>
  <c r="S290" i="17" s="1"/>
  <c r="N290" i="17"/>
  <c r="AY211" i="17" l="1"/>
  <c r="AQ210" i="17"/>
  <c r="W212" i="17"/>
  <c r="AA212" i="17" s="1"/>
  <c r="AK212" i="17" s="1"/>
  <c r="AD212" i="17"/>
  <c r="AE212" i="17" s="1"/>
  <c r="BK190" i="17"/>
  <c r="BJ190" i="17"/>
  <c r="BE190" i="17"/>
  <c r="BF190" i="17" s="1"/>
  <c r="AN211" i="17"/>
  <c r="M291" i="17"/>
  <c r="E291" i="17" s="1"/>
  <c r="L291" i="17" s="1"/>
  <c r="O290" i="17"/>
  <c r="Y212" i="17" l="1"/>
  <c r="BG190" i="17"/>
  <c r="BI190" i="17"/>
  <c r="AO211" i="17"/>
  <c r="BL190" i="17"/>
  <c r="BM190" i="17" s="1"/>
  <c r="P291" i="17"/>
  <c r="N291" i="17"/>
  <c r="AB212" i="17" l="1"/>
  <c r="Z212" i="17"/>
  <c r="U213" i="17" s="1"/>
  <c r="AC213" i="17" s="1"/>
  <c r="BC191" i="17"/>
  <c r="BH191" i="17" s="1"/>
  <c r="AP211" i="17"/>
  <c r="AQ211" i="17" s="1"/>
  <c r="BO190" i="17"/>
  <c r="BP190" i="17" s="1"/>
  <c r="AL277" i="15" s="1"/>
  <c r="BN190" i="17"/>
  <c r="Q291" i="17"/>
  <c r="S291" i="17" s="1"/>
  <c r="O291" i="17"/>
  <c r="M292" i="17"/>
  <c r="E292" i="17" s="1"/>
  <c r="L292" i="17" s="1"/>
  <c r="W213" i="17" l="1"/>
  <c r="Y213" i="17" s="1"/>
  <c r="AB213" i="17" s="1"/>
  <c r="BD191" i="17"/>
  <c r="BK191" i="17" s="1"/>
  <c r="BL191" i="17" s="1"/>
  <c r="BM191" i="17" s="1"/>
  <c r="AD213" i="17"/>
  <c r="AE213" i="17" s="1"/>
  <c r="AF212" i="17"/>
  <c r="AG212" i="17" s="1"/>
  <c r="BQ190" i="17"/>
  <c r="AF480" i="15"/>
  <c r="AR211" i="17"/>
  <c r="P292" i="17"/>
  <c r="N292" i="17"/>
  <c r="AA213" i="17" l="1"/>
  <c r="AK213" i="17" s="1"/>
  <c r="AH212" i="17"/>
  <c r="AS212" i="17" s="1"/>
  <c r="AL212" i="17"/>
  <c r="AM212" i="17" s="1"/>
  <c r="AN212" i="17" s="1"/>
  <c r="AO212" i="17" s="1"/>
  <c r="BE191" i="17"/>
  <c r="BF191" i="17" s="1"/>
  <c r="BG191" i="17" s="1"/>
  <c r="BJ191" i="17"/>
  <c r="Z213" i="17"/>
  <c r="U214" i="17" s="1"/>
  <c r="AC214" i="17" s="1"/>
  <c r="AF213" i="17"/>
  <c r="AG213" i="17" s="1"/>
  <c r="AH213" i="17" s="1"/>
  <c r="AS213" i="17" s="1"/>
  <c r="AT213" i="17" s="1"/>
  <c r="M293" i="17"/>
  <c r="O292" i="17"/>
  <c r="Q292" i="17"/>
  <c r="S292" i="17" s="1"/>
  <c r="AY212" i="17" l="1"/>
  <c r="AL213" i="17"/>
  <c r="AY213" i="17" s="1"/>
  <c r="AU212" i="17"/>
  <c r="AV212" i="17" s="1"/>
  <c r="AU213" i="17" s="1"/>
  <c r="AV213" i="17" s="1"/>
  <c r="AT212" i="17"/>
  <c r="AW212" i="17" s="1"/>
  <c r="AX212" i="17" s="1"/>
  <c r="AZ212" i="17" s="1"/>
  <c r="BI191" i="17"/>
  <c r="BN191" i="17" s="1"/>
  <c r="AF482" i="15" s="1"/>
  <c r="W214" i="17"/>
  <c r="AA214" i="17" s="1"/>
  <c r="AK214" i="17" s="1"/>
  <c r="AP212" i="17"/>
  <c r="AQ212" i="17" s="1"/>
  <c r="AD214" i="17"/>
  <c r="BC192" i="17"/>
  <c r="E293" i="17"/>
  <c r="L293" i="17" s="1"/>
  <c r="P293" i="17"/>
  <c r="Q293" i="17" s="1"/>
  <c r="AM213" i="17" l="1"/>
  <c r="AN213" i="17" s="1"/>
  <c r="AO213" i="17" s="1"/>
  <c r="BO191" i="17"/>
  <c r="BP191" i="17" s="1"/>
  <c r="AL278" i="15" s="1"/>
  <c r="AW213" i="17"/>
  <c r="AX213" i="17" s="1"/>
  <c r="AZ213" i="17" s="1"/>
  <c r="Y214" i="17"/>
  <c r="AB214" i="17" s="1"/>
  <c r="AR212" i="17"/>
  <c r="BD192" i="17"/>
  <c r="BH192" i="17"/>
  <c r="AE214" i="17"/>
  <c r="N293" i="17"/>
  <c r="S293" i="17"/>
  <c r="BQ191" i="17" l="1"/>
  <c r="AF214" i="17"/>
  <c r="AG214" i="17" s="1"/>
  <c r="AL214" i="17" s="1"/>
  <c r="Z214" i="17"/>
  <c r="U215" i="17" s="1"/>
  <c r="AC215" i="17" s="1"/>
  <c r="AD215" i="17" s="1"/>
  <c r="AE215" i="17" s="1"/>
  <c r="BK192" i="17"/>
  <c r="BL192" i="17" s="1"/>
  <c r="BM192" i="17" s="1"/>
  <c r="BJ192" i="17"/>
  <c r="BE192" i="17"/>
  <c r="BF192" i="17" s="1"/>
  <c r="AP213" i="17"/>
  <c r="AQ213" i="17" s="1"/>
  <c r="M294" i="17"/>
  <c r="E294" i="17" s="1"/>
  <c r="L294" i="17" s="1"/>
  <c r="O293" i="17"/>
  <c r="AM214" i="17" l="1"/>
  <c r="AN214" i="17" s="1"/>
  <c r="AY214" i="17"/>
  <c r="AH214" i="17"/>
  <c r="AS214" i="17" s="1"/>
  <c r="AT214" i="17" s="1"/>
  <c r="AW214" i="17" s="1"/>
  <c r="AX214" i="17" s="1"/>
  <c r="AZ214" i="17" s="1"/>
  <c r="W215" i="17"/>
  <c r="AA215" i="17" s="1"/>
  <c r="AK215" i="17" s="1"/>
  <c r="BG192" i="17"/>
  <c r="BI192" i="17"/>
  <c r="AR213" i="17"/>
  <c r="N294" i="17"/>
  <c r="P294" i="17"/>
  <c r="AO214" i="17" l="1"/>
  <c r="AP214" i="17" s="1"/>
  <c r="AQ214" i="17" s="1"/>
  <c r="AU214" i="17"/>
  <c r="AV214" i="17" s="1"/>
  <c r="Y215" i="17"/>
  <c r="Z215" i="17" s="1"/>
  <c r="BO192" i="17"/>
  <c r="BP192" i="17" s="1"/>
  <c r="BN192" i="17"/>
  <c r="AF485" i="15" s="1"/>
  <c r="BC193" i="17"/>
  <c r="BH193" i="17" s="1"/>
  <c r="Q294" i="17"/>
  <c r="S294" i="17" s="1"/>
  <c r="O294" i="17"/>
  <c r="M295" i="17"/>
  <c r="E295" i="17" s="1"/>
  <c r="L295" i="17" s="1"/>
  <c r="AB215" i="17" l="1"/>
  <c r="AF215" i="17" s="1"/>
  <c r="AG215" i="17" s="1"/>
  <c r="AH215" i="17" s="1"/>
  <c r="AS215" i="17" s="1"/>
  <c r="U216" i="17"/>
  <c r="W216" i="17" s="1"/>
  <c r="BD193" i="17"/>
  <c r="BE193" i="17" s="1"/>
  <c r="BF193" i="17" s="1"/>
  <c r="AR214" i="17"/>
  <c r="AL279" i="15"/>
  <c r="BQ192" i="17"/>
  <c r="N295" i="17"/>
  <c r="P295" i="17"/>
  <c r="AL215" i="17" l="1"/>
  <c r="AY215" i="17" s="1"/>
  <c r="AT215" i="17"/>
  <c r="AW215" i="17" s="1"/>
  <c r="AX215" i="17" s="1"/>
  <c r="AZ215" i="17" s="1"/>
  <c r="AU215" i="17"/>
  <c r="AV215" i="17" s="1"/>
  <c r="AA216" i="17"/>
  <c r="AK216" i="17" s="1"/>
  <c r="Y216" i="17"/>
  <c r="AB216" i="17" s="1"/>
  <c r="AC216" i="17"/>
  <c r="BG193" i="17"/>
  <c r="BI193" i="17"/>
  <c r="BK193" i="17"/>
  <c r="BL193" i="17" s="1"/>
  <c r="BM193" i="17" s="1"/>
  <c r="BJ193" i="17"/>
  <c r="O295" i="17"/>
  <c r="M296" i="17"/>
  <c r="E296" i="17" s="1"/>
  <c r="L296" i="17" s="1"/>
  <c r="Q295" i="17"/>
  <c r="S295" i="17" s="1"/>
  <c r="AM215" i="17" l="1"/>
  <c r="AN215" i="17" s="1"/>
  <c r="Z216" i="17"/>
  <c r="U217" i="17" s="1"/>
  <c r="AD216" i="17"/>
  <c r="BO193" i="17"/>
  <c r="BP193" i="17" s="1"/>
  <c r="BN193" i="17"/>
  <c r="AF486" i="15" s="1"/>
  <c r="BC194" i="17"/>
  <c r="N296" i="17"/>
  <c r="P296" i="17"/>
  <c r="W217" i="17" l="1"/>
  <c r="AA217" i="17" s="1"/>
  <c r="AK217" i="17" s="1"/>
  <c r="AC217" i="17"/>
  <c r="AE216" i="17"/>
  <c r="AO215" i="17"/>
  <c r="BD194" i="17"/>
  <c r="BH194" i="17"/>
  <c r="AL280" i="15"/>
  <c r="BQ193" i="17"/>
  <c r="Q296" i="17"/>
  <c r="S296" i="17" s="1"/>
  <c r="M297" i="17"/>
  <c r="E297" i="17" s="1"/>
  <c r="L297" i="17" s="1"/>
  <c r="O296" i="17"/>
  <c r="AP215" i="17" l="1"/>
  <c r="AR215" i="17" s="1"/>
  <c r="AF216" i="17"/>
  <c r="AG216" i="17" s="1"/>
  <c r="AD217" i="17"/>
  <c r="Y217" i="17"/>
  <c r="BK194" i="17"/>
  <c r="BL194" i="17" s="1"/>
  <c r="BM194" i="17" s="1"/>
  <c r="BJ194" i="17"/>
  <c r="BE194" i="17"/>
  <c r="BF194" i="17" s="1"/>
  <c r="P297" i="17"/>
  <c r="Q297" i="17" s="1"/>
  <c r="S297" i="17" s="1"/>
  <c r="N297" i="17"/>
  <c r="AH216" i="17" l="1"/>
  <c r="AS216" i="17" s="1"/>
  <c r="AL216" i="17"/>
  <c r="AY216" i="17" s="1"/>
  <c r="AQ215" i="17"/>
  <c r="AB217" i="17"/>
  <c r="Z217" i="17"/>
  <c r="AE217" i="17"/>
  <c r="BG194" i="17"/>
  <c r="BI194" i="17"/>
  <c r="M298" i="17"/>
  <c r="O297" i="17"/>
  <c r="AM216" i="17" l="1"/>
  <c r="AN216" i="17" s="1"/>
  <c r="AO216" i="17" s="1"/>
  <c r="AU216" i="17"/>
  <c r="AV216" i="17" s="1"/>
  <c r="AT216" i="17"/>
  <c r="AW216" i="17" s="1"/>
  <c r="AX216" i="17" s="1"/>
  <c r="AZ216" i="17" s="1"/>
  <c r="AF217" i="17"/>
  <c r="AG217" i="17" s="1"/>
  <c r="AH217" i="17" s="1"/>
  <c r="AS217" i="17" s="1"/>
  <c r="AT217" i="17" s="1"/>
  <c r="U218" i="17"/>
  <c r="AC218" i="17" s="1"/>
  <c r="BO194" i="17"/>
  <c r="BP194" i="17" s="1"/>
  <c r="BN194" i="17"/>
  <c r="AF488" i="15" s="1"/>
  <c r="BC195" i="17"/>
  <c r="BD195" i="17" s="1"/>
  <c r="P298" i="17"/>
  <c r="E298" i="17"/>
  <c r="L298" i="17" s="1"/>
  <c r="AW217" i="17" l="1"/>
  <c r="AX217" i="17" s="1"/>
  <c r="AZ217" i="17" s="1"/>
  <c r="AU217" i="17"/>
  <c r="AV217" i="17" s="1"/>
  <c r="AL217" i="17"/>
  <c r="AY217" i="17" s="1"/>
  <c r="AP216" i="17"/>
  <c r="AR216" i="17" s="1"/>
  <c r="W218" i="17"/>
  <c r="AA218" i="17" s="1"/>
  <c r="AK218" i="17" s="1"/>
  <c r="AD218" i="17"/>
  <c r="BK195" i="17"/>
  <c r="BL195" i="17" s="1"/>
  <c r="BM195" i="17" s="1"/>
  <c r="BJ195" i="17"/>
  <c r="BE195" i="17"/>
  <c r="BF195" i="17" s="1"/>
  <c r="BH195" i="17"/>
  <c r="AL281" i="15"/>
  <c r="BQ194" i="17"/>
  <c r="N298" i="17"/>
  <c r="Q298" i="17"/>
  <c r="S298" i="17" s="1"/>
  <c r="AM217" i="17" l="1"/>
  <c r="AN217" i="17" s="1"/>
  <c r="AO217" i="17" s="1"/>
  <c r="Y218" i="17"/>
  <c r="AB218" i="17" s="1"/>
  <c r="AQ216" i="17"/>
  <c r="AE218" i="17"/>
  <c r="BG195" i="17"/>
  <c r="BI195" i="17"/>
  <c r="M299" i="17"/>
  <c r="O298" i="17"/>
  <c r="AF218" i="17" l="1"/>
  <c r="AG218" i="17" s="1"/>
  <c r="AH218" i="17" s="1"/>
  <c r="AS218" i="17" s="1"/>
  <c r="Z218" i="17"/>
  <c r="U219" i="17" s="1"/>
  <c r="W219" i="17" s="1"/>
  <c r="AA219" i="17" s="1"/>
  <c r="AK219" i="17" s="1"/>
  <c r="AP217" i="17"/>
  <c r="AR217" i="17" s="1"/>
  <c r="BO195" i="17"/>
  <c r="BP195" i="17" s="1"/>
  <c r="BN195" i="17"/>
  <c r="AF490" i="15" s="1"/>
  <c r="BC196" i="17"/>
  <c r="BH196" i="17" s="1"/>
  <c r="P299" i="17"/>
  <c r="E299" i="17"/>
  <c r="L299" i="17" s="1"/>
  <c r="AL218" i="17" l="1"/>
  <c r="AY218" i="17" s="1"/>
  <c r="AQ217" i="17"/>
  <c r="AU218" i="17"/>
  <c r="AV218" i="17" s="1"/>
  <c r="AT218" i="17"/>
  <c r="AW218" i="17" s="1"/>
  <c r="AX218" i="17" s="1"/>
  <c r="AZ218" i="17" s="1"/>
  <c r="BD196" i="17"/>
  <c r="BK196" i="17" s="1"/>
  <c r="BL196" i="17" s="1"/>
  <c r="BM196" i="17" s="1"/>
  <c r="Y219" i="17"/>
  <c r="AB219" i="17" s="1"/>
  <c r="AC219" i="17"/>
  <c r="AL282" i="15"/>
  <c r="BQ195" i="17"/>
  <c r="N299" i="17"/>
  <c r="Q299" i="17"/>
  <c r="S299" i="17" s="1"/>
  <c r="AM218" i="17" l="1"/>
  <c r="AN218" i="17" s="1"/>
  <c r="AO218" i="17" s="1"/>
  <c r="AP218" i="17" s="1"/>
  <c r="AQ218" i="17" s="1"/>
  <c r="BJ196" i="17"/>
  <c r="BE196" i="17"/>
  <c r="BF196" i="17" s="1"/>
  <c r="BI196" i="17" s="1"/>
  <c r="Z219" i="17"/>
  <c r="U220" i="17" s="1"/>
  <c r="AC220" i="17" s="1"/>
  <c r="AD219" i="17"/>
  <c r="O299" i="17"/>
  <c r="M300" i="17"/>
  <c r="AR218" i="17" l="1"/>
  <c r="BG196" i="17"/>
  <c r="BC197" i="17" s="1"/>
  <c r="BH197" i="17" s="1"/>
  <c r="W220" i="17"/>
  <c r="AA220" i="17" s="1"/>
  <c r="AK220" i="17" s="1"/>
  <c r="AE219" i="17"/>
  <c r="BO196" i="17"/>
  <c r="BP196" i="17" s="1"/>
  <c r="BN196" i="17"/>
  <c r="AF483" i="15" s="1"/>
  <c r="P300" i="17"/>
  <c r="E300" i="17"/>
  <c r="L300" i="17" s="1"/>
  <c r="Y220" i="17" l="1"/>
  <c r="BD197" i="17"/>
  <c r="BE197" i="17" s="1"/>
  <c r="BF197" i="17" s="1"/>
  <c r="BG197" i="17" s="1"/>
  <c r="AF219" i="17"/>
  <c r="AG219" i="17" s="1"/>
  <c r="AD220" i="17"/>
  <c r="AE220" i="17" s="1"/>
  <c r="AL283" i="15"/>
  <c r="BQ196" i="17"/>
  <c r="Q300" i="17"/>
  <c r="S300" i="17" s="1"/>
  <c r="N300" i="17"/>
  <c r="AH219" i="17" l="1"/>
  <c r="AS219" i="17" s="1"/>
  <c r="AL219" i="17"/>
  <c r="AY219" i="17" s="1"/>
  <c r="BK197" i="17"/>
  <c r="BL197" i="17" s="1"/>
  <c r="BM197" i="17" s="1"/>
  <c r="AB220" i="17"/>
  <c r="Z220" i="17"/>
  <c r="BI197" i="17"/>
  <c r="BJ197" i="17"/>
  <c r="BC198" i="17"/>
  <c r="BH198" i="17" s="1"/>
  <c r="O300" i="17"/>
  <c r="M301" i="17"/>
  <c r="E301" i="17" s="1"/>
  <c r="L301" i="17" s="1"/>
  <c r="BN197" i="17" l="1"/>
  <c r="AF495" i="15" s="1"/>
  <c r="AM219" i="17"/>
  <c r="AN219" i="17" s="1"/>
  <c r="AU219" i="17"/>
  <c r="AV219" i="17" s="1"/>
  <c r="AT219" i="17"/>
  <c r="AW219" i="17" s="1"/>
  <c r="BO197" i="17"/>
  <c r="BP197" i="17" s="1"/>
  <c r="BQ197" i="17" s="1"/>
  <c r="U221" i="17"/>
  <c r="W221" i="17" s="1"/>
  <c r="AA221" i="17" s="1"/>
  <c r="AK221" i="17" s="1"/>
  <c r="AF220" i="17"/>
  <c r="AG220" i="17" s="1"/>
  <c r="AL220" i="17" s="1"/>
  <c r="AY220" i="17" s="1"/>
  <c r="BD198" i="17"/>
  <c r="BE198" i="17" s="1"/>
  <c r="BF198" i="17" s="1"/>
  <c r="BG198" i="17" s="1"/>
  <c r="N301" i="17"/>
  <c r="P301" i="17"/>
  <c r="AL284" i="15" l="1"/>
  <c r="AH220" i="17"/>
  <c r="AS220" i="17" s="1"/>
  <c r="AT220" i="17" s="1"/>
  <c r="AO219" i="17"/>
  <c r="AM220" i="17"/>
  <c r="AN220" i="17" s="1"/>
  <c r="AO220" i="17" s="1"/>
  <c r="AX219" i="17"/>
  <c r="AZ219" i="17" s="1"/>
  <c r="BI198" i="17"/>
  <c r="BJ198" i="17"/>
  <c r="AC221" i="17"/>
  <c r="Y221" i="17"/>
  <c r="AB221" i="17" s="1"/>
  <c r="BK198" i="17"/>
  <c r="BL198" i="17" s="1"/>
  <c r="BM198" i="17" s="1"/>
  <c r="BC199" i="17"/>
  <c r="Q301" i="17"/>
  <c r="S301" i="17" s="1"/>
  <c r="O301" i="17"/>
  <c r="M302" i="17"/>
  <c r="E302" i="17" s="1"/>
  <c r="L302" i="17" s="1"/>
  <c r="AW220" i="17" l="1"/>
  <c r="AX220" i="17" s="1"/>
  <c r="AZ220" i="17" s="1"/>
  <c r="AP219" i="17"/>
  <c r="AR219" i="17" s="1"/>
  <c r="AU220" i="17"/>
  <c r="AV220" i="17" s="1"/>
  <c r="BN198" i="17"/>
  <c r="AF499" i="15" s="1"/>
  <c r="AP220" i="17"/>
  <c r="AR220" i="17" s="1"/>
  <c r="BO198" i="17"/>
  <c r="BP198" i="17" s="1"/>
  <c r="AD221" i="17"/>
  <c r="AE221" i="17" s="1"/>
  <c r="AF221" i="17" s="1"/>
  <c r="AG221" i="17" s="1"/>
  <c r="AH221" i="17" s="1"/>
  <c r="AS221" i="17" s="1"/>
  <c r="AT221" i="17" s="1"/>
  <c r="Z221" i="17"/>
  <c r="BH199" i="17"/>
  <c r="BD199" i="17"/>
  <c r="BE199" i="17" s="1"/>
  <c r="N302" i="17"/>
  <c r="P302" i="17"/>
  <c r="AW221" i="17" l="1"/>
  <c r="AX221" i="17" s="1"/>
  <c r="AZ221" i="17" s="1"/>
  <c r="BQ198" i="17"/>
  <c r="AU221" i="17"/>
  <c r="AV221" i="17" s="1"/>
  <c r="AL221" i="17"/>
  <c r="AY221" i="17" s="1"/>
  <c r="AQ219" i="17"/>
  <c r="AL285" i="15"/>
  <c r="AQ220" i="17"/>
  <c r="U222" i="17"/>
  <c r="W222" i="17" s="1"/>
  <c r="AA222" i="17" s="1"/>
  <c r="AK222" i="17" s="1"/>
  <c r="BK199" i="17"/>
  <c r="BJ199" i="17"/>
  <c r="BF199" i="17"/>
  <c r="Q302" i="17"/>
  <c r="S302" i="17" s="1"/>
  <c r="O302" i="17"/>
  <c r="M303" i="17"/>
  <c r="E303" i="17" s="1"/>
  <c r="L303" i="17" s="1"/>
  <c r="AM221" i="17" l="1"/>
  <c r="AN221" i="17" s="1"/>
  <c r="AO221" i="17" s="1"/>
  <c r="AP221" i="17" s="1"/>
  <c r="AR221" i="17" s="1"/>
  <c r="AC222" i="17"/>
  <c r="Y222" i="17"/>
  <c r="AB222" i="17" s="1"/>
  <c r="BG199" i="17"/>
  <c r="BI199" i="17"/>
  <c r="BL199" i="17"/>
  <c r="BM199" i="17" s="1"/>
  <c r="P303" i="17"/>
  <c r="N303" i="17"/>
  <c r="AQ221" i="17" l="1"/>
  <c r="Z222" i="17"/>
  <c r="U223" i="17" s="1"/>
  <c r="W223" i="17" s="1"/>
  <c r="Y223" i="17" s="1"/>
  <c r="AB223" i="17" s="1"/>
  <c r="AD222" i="17"/>
  <c r="AE222" i="17" s="1"/>
  <c r="AF222" i="17" s="1"/>
  <c r="AG222" i="17" s="1"/>
  <c r="BC200" i="17"/>
  <c r="BO199" i="17"/>
  <c r="BP199" i="17" s="1"/>
  <c r="BN199" i="17"/>
  <c r="AF502" i="15" s="1"/>
  <c r="O303" i="17"/>
  <c r="M304" i="17"/>
  <c r="E304" i="17" s="1"/>
  <c r="L304" i="17" s="1"/>
  <c r="Q303" i="17"/>
  <c r="S303" i="17" s="1"/>
  <c r="AC223" i="17" l="1"/>
  <c r="AD223" i="17" s="1"/>
  <c r="AE223" i="17" s="1"/>
  <c r="AF223" i="17" s="1"/>
  <c r="AG223" i="17" s="1"/>
  <c r="AH223" i="17" s="1"/>
  <c r="AS223" i="17" s="1"/>
  <c r="AT223" i="17" s="1"/>
  <c r="AA223" i="17"/>
  <c r="AK223" i="17" s="1"/>
  <c r="AH222" i="17"/>
  <c r="AS222" i="17" s="1"/>
  <c r="AL222" i="17"/>
  <c r="AY222" i="17" s="1"/>
  <c r="N304" i="17"/>
  <c r="M305" i="17" s="1"/>
  <c r="E305" i="17" s="1"/>
  <c r="L305" i="17" s="1"/>
  <c r="BD200" i="17"/>
  <c r="BH200" i="17"/>
  <c r="AL286" i="15"/>
  <c r="BQ199" i="17"/>
  <c r="Z223" i="17"/>
  <c r="P304" i="17"/>
  <c r="Q304" i="17" s="1"/>
  <c r="S304" i="17" s="1"/>
  <c r="O304" i="17" l="1"/>
  <c r="N305" i="17" s="1"/>
  <c r="AL223" i="17"/>
  <c r="AY223" i="17" s="1"/>
  <c r="AU222" i="17"/>
  <c r="AV222" i="17" s="1"/>
  <c r="AU223" i="17" s="1"/>
  <c r="AV223" i="17" s="1"/>
  <c r="AT222" i="17"/>
  <c r="AW222" i="17" s="1"/>
  <c r="AX222" i="17" s="1"/>
  <c r="AZ222" i="17" s="1"/>
  <c r="AM222" i="17"/>
  <c r="AN222" i="17" s="1"/>
  <c r="AO222" i="17" s="1"/>
  <c r="BJ200" i="17"/>
  <c r="BK200" i="17"/>
  <c r="BL200" i="17" s="1"/>
  <c r="BM200" i="17" s="1"/>
  <c r="U224" i="17"/>
  <c r="AC224" i="17" s="1"/>
  <c r="BE200" i="17"/>
  <c r="BF200" i="17" s="1"/>
  <c r="P305" i="17"/>
  <c r="AM223" i="17" l="1"/>
  <c r="AN223" i="17" s="1"/>
  <c r="AO223" i="17" s="1"/>
  <c r="AP223" i="17" s="1"/>
  <c r="AW223" i="17"/>
  <c r="AX223" i="17" s="1"/>
  <c r="AZ223" i="17" s="1"/>
  <c r="AP222" i="17"/>
  <c r="AQ222" i="17" s="1"/>
  <c r="AD224" i="17"/>
  <c r="AE224" i="17" s="1"/>
  <c r="BG200" i="17"/>
  <c r="BI200" i="17"/>
  <c r="W224" i="17"/>
  <c r="Q305" i="17"/>
  <c r="S305" i="17" s="1"/>
  <c r="O305" i="17"/>
  <c r="M306" i="17"/>
  <c r="AR222" i="17" l="1"/>
  <c r="BO200" i="17"/>
  <c r="BP200" i="17" s="1"/>
  <c r="BN200" i="17"/>
  <c r="AF506" i="15" s="1"/>
  <c r="AQ223" i="17"/>
  <c r="BC201" i="17"/>
  <c r="BD201" i="17" s="1"/>
  <c r="AR223" i="17"/>
  <c r="AA224" i="17"/>
  <c r="AK224" i="17" s="1"/>
  <c r="Y224" i="17"/>
  <c r="E306" i="17"/>
  <c r="L306" i="17" s="1"/>
  <c r="P306" i="17"/>
  <c r="BE201" i="17" l="1"/>
  <c r="BF201" i="17" s="1"/>
  <c r="AB224" i="17"/>
  <c r="Z224" i="17"/>
  <c r="BK201" i="17"/>
  <c r="BL201" i="17" s="1"/>
  <c r="BM201" i="17" s="1"/>
  <c r="BJ201" i="17"/>
  <c r="BH201" i="17"/>
  <c r="AL287" i="15"/>
  <c r="BQ200" i="17"/>
  <c r="N306" i="17"/>
  <c r="Q306" i="17"/>
  <c r="S306" i="17" s="1"/>
  <c r="BG201" i="17" l="1"/>
  <c r="BI201" i="17"/>
  <c r="U225" i="17"/>
  <c r="AC225" i="17" s="1"/>
  <c r="AF224" i="17"/>
  <c r="AG224" i="17" s="1"/>
  <c r="AL224" i="17" s="1"/>
  <c r="M307" i="17"/>
  <c r="E307" i="17" s="1"/>
  <c r="L307" i="17" s="1"/>
  <c r="O306" i="17"/>
  <c r="AH224" i="17" l="1"/>
  <c r="AS224" i="17" s="1"/>
  <c r="N307" i="17"/>
  <c r="O307" i="17" s="1"/>
  <c r="AY224" i="17"/>
  <c r="AM224" i="17"/>
  <c r="AD225" i="17"/>
  <c r="BO201" i="17"/>
  <c r="BP201" i="17" s="1"/>
  <c r="BN201" i="17"/>
  <c r="AF508" i="15" s="1"/>
  <c r="W225" i="17"/>
  <c r="AA225" i="17" s="1"/>
  <c r="AK225" i="17" s="1"/>
  <c r="BC202" i="17"/>
  <c r="BH202" i="17" s="1"/>
  <c r="P307" i="17"/>
  <c r="M308" i="17" l="1"/>
  <c r="E308" i="17" s="1"/>
  <c r="L308" i="17" s="1"/>
  <c r="AT224" i="17"/>
  <c r="AW224" i="17" s="1"/>
  <c r="AX224" i="17" s="1"/>
  <c r="AZ224" i="17" s="1"/>
  <c r="AU224" i="17"/>
  <c r="AV224" i="17" s="1"/>
  <c r="Y225" i="17"/>
  <c r="AB225" i="17" s="1"/>
  <c r="AL288" i="15"/>
  <c r="BQ201" i="17"/>
  <c r="BD202" i="17"/>
  <c r="AN224" i="17"/>
  <c r="AE225" i="17"/>
  <c r="Q307" i="17"/>
  <c r="S307" i="17" s="1"/>
  <c r="Z225" i="17" l="1"/>
  <c r="U226" i="17" s="1"/>
  <c r="AC226" i="17" s="1"/>
  <c r="AO224" i="17"/>
  <c r="AP224" i="17" s="1"/>
  <c r="AR224" i="17" s="1"/>
  <c r="AF225" i="17"/>
  <c r="AG225" i="17" s="1"/>
  <c r="BK202" i="17"/>
  <c r="BL202" i="17" s="1"/>
  <c r="BM202" i="17" s="1"/>
  <c r="BJ202" i="17"/>
  <c r="BE202" i="17"/>
  <c r="BF202" i="17" s="1"/>
  <c r="N308" i="17"/>
  <c r="P308" i="17"/>
  <c r="AH225" i="17" l="1"/>
  <c r="AS225" i="17" s="1"/>
  <c r="AL225" i="17"/>
  <c r="AY225" i="17" s="1"/>
  <c r="W226" i="17"/>
  <c r="AA226" i="17" s="1"/>
  <c r="AK226" i="17" s="1"/>
  <c r="BG202" i="17"/>
  <c r="BI202" i="17"/>
  <c r="AQ224" i="17"/>
  <c r="AD226" i="17"/>
  <c r="O308" i="17"/>
  <c r="M309" i="17"/>
  <c r="E309" i="17" s="1"/>
  <c r="L309" i="17" s="1"/>
  <c r="Q308" i="17"/>
  <c r="S308" i="17" s="1"/>
  <c r="AM225" i="17" l="1"/>
  <c r="AT225" i="17"/>
  <c r="AW225" i="17" s="1"/>
  <c r="AX225" i="17" s="1"/>
  <c r="AZ225" i="17" s="1"/>
  <c r="AU225" i="17"/>
  <c r="AV225" i="17" s="1"/>
  <c r="Y226" i="17"/>
  <c r="AB226" i="17" s="1"/>
  <c r="BO202" i="17"/>
  <c r="BP202" i="17" s="1"/>
  <c r="BN202" i="17"/>
  <c r="AF510" i="15" s="1"/>
  <c r="AE226" i="17"/>
  <c r="BC203" i="17"/>
  <c r="BH203" i="17" s="1"/>
  <c r="N309" i="17"/>
  <c r="P309" i="17"/>
  <c r="Z226" i="17" l="1"/>
  <c r="U227" i="17" s="1"/>
  <c r="AC227" i="17" s="1"/>
  <c r="AN225" i="17"/>
  <c r="AO225" i="17" s="1"/>
  <c r="AP225" i="17" s="1"/>
  <c r="AQ225" i="17" s="1"/>
  <c r="BD203" i="17"/>
  <c r="BE203" i="17" s="1"/>
  <c r="BF203" i="17" s="1"/>
  <c r="AL289" i="15"/>
  <c r="BQ202" i="17"/>
  <c r="AF226" i="17"/>
  <c r="AG226" i="17" s="1"/>
  <c r="Q309" i="17"/>
  <c r="S309" i="17" s="1"/>
  <c r="O309" i="17"/>
  <c r="M310" i="17"/>
  <c r="BJ203" i="17" l="1"/>
  <c r="BK203" i="17"/>
  <c r="BL203" i="17" s="1"/>
  <c r="BM203" i="17" s="1"/>
  <c r="AR225" i="17"/>
  <c r="AH226" i="17"/>
  <c r="AS226" i="17" s="1"/>
  <c r="AL226" i="17"/>
  <c r="AY226" i="17" s="1"/>
  <c r="W227" i="17"/>
  <c r="AA227" i="17" s="1"/>
  <c r="AK227" i="17" s="1"/>
  <c r="P310" i="17"/>
  <c r="Q310" i="17" s="1"/>
  <c r="S310" i="17" s="1"/>
  <c r="BG203" i="17"/>
  <c r="BI203" i="17"/>
  <c r="AD227" i="17"/>
  <c r="E310" i="17"/>
  <c r="L310" i="17" s="1"/>
  <c r="AM226" i="17" l="1"/>
  <c r="AN226" i="17" s="1"/>
  <c r="Y227" i="17"/>
  <c r="AB227" i="17" s="1"/>
  <c r="AT226" i="17"/>
  <c r="AW226" i="17" s="1"/>
  <c r="AX226" i="17" s="1"/>
  <c r="AZ226" i="17" s="1"/>
  <c r="AU226" i="17"/>
  <c r="AV226" i="17" s="1"/>
  <c r="BO203" i="17"/>
  <c r="BP203" i="17" s="1"/>
  <c r="BN203" i="17"/>
  <c r="AF513" i="15" s="1"/>
  <c r="BC204" i="17"/>
  <c r="AE227" i="17"/>
  <c r="N310" i="17"/>
  <c r="AO226" i="17" l="1"/>
  <c r="AP226" i="17" s="1"/>
  <c r="Z227" i="17"/>
  <c r="U228" i="17" s="1"/>
  <c r="AC228" i="17" s="1"/>
  <c r="AF227" i="17"/>
  <c r="AG227" i="17" s="1"/>
  <c r="AH227" i="17" s="1"/>
  <c r="AS227" i="17" s="1"/>
  <c r="AT227" i="17" s="1"/>
  <c r="AW227" i="17" s="1"/>
  <c r="AX227" i="17" s="1"/>
  <c r="AZ227" i="17" s="1"/>
  <c r="BH204" i="17"/>
  <c r="BD204" i="17"/>
  <c r="AL290" i="15"/>
  <c r="BQ203" i="17"/>
  <c r="O310" i="17"/>
  <c r="M311" i="17"/>
  <c r="E311" i="17" s="1"/>
  <c r="L311" i="17" s="1"/>
  <c r="AL227" i="17" l="1"/>
  <c r="AY227" i="17" s="1"/>
  <c r="AU227" i="17"/>
  <c r="AV227" i="17" s="1"/>
  <c r="AR226" i="17"/>
  <c r="AQ226" i="17"/>
  <c r="AD228" i="17"/>
  <c r="W228" i="17"/>
  <c r="AA228" i="17" s="1"/>
  <c r="AK228" i="17" s="1"/>
  <c r="BK204" i="17"/>
  <c r="BL204" i="17" s="1"/>
  <c r="BM204" i="17" s="1"/>
  <c r="BJ204" i="17"/>
  <c r="BE204" i="17"/>
  <c r="BF204" i="17" s="1"/>
  <c r="N311" i="17"/>
  <c r="P311" i="17"/>
  <c r="AM227" i="17" l="1"/>
  <c r="AN227" i="17" s="1"/>
  <c r="AE228" i="17"/>
  <c r="BG204" i="17"/>
  <c r="BI204" i="17"/>
  <c r="Y228" i="17"/>
  <c r="AB228" i="17" s="1"/>
  <c r="O311" i="17"/>
  <c r="M312" i="17"/>
  <c r="E312" i="17" s="1"/>
  <c r="L312" i="17" s="1"/>
  <c r="Q311" i="17"/>
  <c r="S311" i="17" s="1"/>
  <c r="AO227" i="17" l="1"/>
  <c r="AP227" i="17" s="1"/>
  <c r="AR227" i="17" s="1"/>
  <c r="Z228" i="17"/>
  <c r="U229" i="17" s="1"/>
  <c r="AC229" i="17" s="1"/>
  <c r="BC205" i="17"/>
  <c r="BH205" i="17" s="1"/>
  <c r="AF228" i="17"/>
  <c r="AG228" i="17" s="1"/>
  <c r="BO204" i="17"/>
  <c r="BP204" i="17" s="1"/>
  <c r="BN204" i="17"/>
  <c r="AF516" i="15" s="1"/>
  <c r="P312" i="17"/>
  <c r="Q312" i="17" s="1"/>
  <c r="S312" i="17" s="1"/>
  <c r="N312" i="17"/>
  <c r="AQ227" i="17" l="1"/>
  <c r="AH228" i="17"/>
  <c r="AS228" i="17" s="1"/>
  <c r="AL228" i="17"/>
  <c r="AM228" i="17" s="1"/>
  <c r="AN228" i="17" s="1"/>
  <c r="AD229" i="17"/>
  <c r="AL291" i="15"/>
  <c r="BQ204" i="17"/>
  <c r="W229" i="17"/>
  <c r="BD205" i="17"/>
  <c r="O312" i="17"/>
  <c r="M313" i="17"/>
  <c r="E313" i="17" s="1"/>
  <c r="L313" i="17" s="1"/>
  <c r="AY228" i="17" l="1"/>
  <c r="AU228" i="17"/>
  <c r="AV228" i="17" s="1"/>
  <c r="AT228" i="17"/>
  <c r="AW228" i="17" s="1"/>
  <c r="AX228" i="17" s="1"/>
  <c r="AZ228" i="17" s="1"/>
  <c r="BK205" i="17"/>
  <c r="BL205" i="17" s="1"/>
  <c r="BM205" i="17" s="1"/>
  <c r="BJ205" i="17"/>
  <c r="AO228" i="17"/>
  <c r="BE205" i="17"/>
  <c r="BF205" i="17" s="1"/>
  <c r="AA229" i="17"/>
  <c r="AK229" i="17" s="1"/>
  <c r="Y229" i="17"/>
  <c r="AB229" i="17" s="1"/>
  <c r="AE229" i="17"/>
  <c r="N313" i="17"/>
  <c r="P313" i="17"/>
  <c r="Z229" i="17" l="1"/>
  <c r="U230" i="17" s="1"/>
  <c r="AC230" i="17" s="1"/>
  <c r="BG205" i="17"/>
  <c r="BI205" i="17"/>
  <c r="AF229" i="17"/>
  <c r="AG229" i="17" s="1"/>
  <c r="AH229" i="17" s="1"/>
  <c r="AS229" i="17" s="1"/>
  <c r="AT229" i="17" s="1"/>
  <c r="AW229" i="17" s="1"/>
  <c r="AX229" i="17" s="1"/>
  <c r="AZ229" i="17" s="1"/>
  <c r="AP228" i="17"/>
  <c r="Q313" i="17"/>
  <c r="S313" i="17" s="1"/>
  <c r="O313" i="17"/>
  <c r="M314" i="17"/>
  <c r="AU229" i="17" l="1"/>
  <c r="AV229" i="17" s="1"/>
  <c r="AL229" i="17"/>
  <c r="BO205" i="17"/>
  <c r="BP205" i="17" s="1"/>
  <c r="BN205" i="17"/>
  <c r="AF517" i="15" s="1"/>
  <c r="AR228" i="17"/>
  <c r="AQ228" i="17"/>
  <c r="BC206" i="17"/>
  <c r="AD230" i="17"/>
  <c r="W230" i="17"/>
  <c r="AA230" i="17" s="1"/>
  <c r="AK230" i="17" s="1"/>
  <c r="E314" i="17"/>
  <c r="L314" i="17" s="1"/>
  <c r="P314" i="17"/>
  <c r="AM229" i="17" l="1"/>
  <c r="AN229" i="17" s="1"/>
  <c r="AO229" i="17" s="1"/>
  <c r="AP229" i="17" s="1"/>
  <c r="AR229" i="17" s="1"/>
  <c r="AY229" i="17"/>
  <c r="Y230" i="17"/>
  <c r="AB230" i="17" s="1"/>
  <c r="AL292" i="15"/>
  <c r="BQ205" i="17"/>
  <c r="AE230" i="17"/>
  <c r="BD206" i="17"/>
  <c r="BH206" i="17"/>
  <c r="N314" i="17"/>
  <c r="Q314" i="17"/>
  <c r="S314" i="17" s="1"/>
  <c r="AQ229" i="17" l="1"/>
  <c r="Z230" i="17"/>
  <c r="U231" i="17" s="1"/>
  <c r="AC231" i="17" s="1"/>
  <c r="AF230" i="17"/>
  <c r="AG230" i="17" s="1"/>
  <c r="BK206" i="17"/>
  <c r="BL206" i="17" s="1"/>
  <c r="BM206" i="17" s="1"/>
  <c r="BJ206" i="17"/>
  <c r="BE206" i="17"/>
  <c r="BF206" i="17" s="1"/>
  <c r="O314" i="17"/>
  <c r="M315" i="17"/>
  <c r="E315" i="17" s="1"/>
  <c r="L315" i="17" s="1"/>
  <c r="AH230" i="17" l="1"/>
  <c r="AS230" i="17" s="1"/>
  <c r="AL230" i="17"/>
  <c r="AY230" i="17" s="1"/>
  <c r="AD231" i="17"/>
  <c r="BG206" i="17"/>
  <c r="BI206" i="17"/>
  <c r="W231" i="17"/>
  <c r="AA231" i="17" s="1"/>
  <c r="AK231" i="17" s="1"/>
  <c r="N315" i="17"/>
  <c r="P315" i="17"/>
  <c r="AT230" i="17" l="1"/>
  <c r="AW230" i="17" s="1"/>
  <c r="AX230" i="17" s="1"/>
  <c r="AZ230" i="17" s="1"/>
  <c r="AU230" i="17"/>
  <c r="AV230" i="17" s="1"/>
  <c r="AM230" i="17"/>
  <c r="AN230" i="17" s="1"/>
  <c r="AO230" i="17" s="1"/>
  <c r="AP230" i="17" s="1"/>
  <c r="Y231" i="17"/>
  <c r="AB231" i="17" s="1"/>
  <c r="BO206" i="17"/>
  <c r="BP206" i="17" s="1"/>
  <c r="BN206" i="17"/>
  <c r="AF515" i="15" s="1"/>
  <c r="BC207" i="17"/>
  <c r="BH207" i="17" s="1"/>
  <c r="AE231" i="17"/>
  <c r="Q315" i="17"/>
  <c r="S315" i="17" s="1"/>
  <c r="O315" i="17"/>
  <c r="M316" i="17"/>
  <c r="AQ230" i="17" l="1"/>
  <c r="AR230" i="17"/>
  <c r="AF231" i="17"/>
  <c r="AG231" i="17" s="1"/>
  <c r="AH231" i="17" s="1"/>
  <c r="AS231" i="17" s="1"/>
  <c r="AT231" i="17" s="1"/>
  <c r="AW231" i="17" s="1"/>
  <c r="AX231" i="17" s="1"/>
  <c r="AZ231" i="17" s="1"/>
  <c r="P316" i="17"/>
  <c r="Q316" i="17" s="1"/>
  <c r="S316" i="17" s="1"/>
  <c r="Z231" i="17"/>
  <c r="U232" i="17" s="1"/>
  <c r="AC232" i="17" s="1"/>
  <c r="BD207" i="17"/>
  <c r="AL293" i="15"/>
  <c r="BQ206" i="17"/>
  <c r="E316" i="17"/>
  <c r="L316" i="17" s="1"/>
  <c r="AL231" i="17" l="1"/>
  <c r="AM231" i="17" s="1"/>
  <c r="AN231" i="17" s="1"/>
  <c r="AU231" i="17"/>
  <c r="AV231" i="17" s="1"/>
  <c r="W232" i="17"/>
  <c r="BK207" i="17"/>
  <c r="BL207" i="17" s="1"/>
  <c r="BM207" i="17" s="1"/>
  <c r="BJ207" i="17"/>
  <c r="BE207" i="17"/>
  <c r="BF207" i="17" s="1"/>
  <c r="AD232" i="17"/>
  <c r="N316" i="17"/>
  <c r="AY231" i="17" l="1"/>
  <c r="AA232" i="17"/>
  <c r="AK232" i="17" s="1"/>
  <c r="BG207" i="17"/>
  <c r="BI207" i="17"/>
  <c r="Y232" i="17"/>
  <c r="AB232" i="17" s="1"/>
  <c r="AE232" i="17"/>
  <c r="AO231" i="17"/>
  <c r="M317" i="17"/>
  <c r="O316" i="17"/>
  <c r="AP231" i="17" l="1"/>
  <c r="AQ231" i="17" s="1"/>
  <c r="AF232" i="17"/>
  <c r="AG232" i="17" s="1"/>
  <c r="AL232" i="17" s="1"/>
  <c r="BO207" i="17"/>
  <c r="BP207" i="17" s="1"/>
  <c r="BN207" i="17"/>
  <c r="AF454" i="15" s="1"/>
  <c r="Z232" i="17"/>
  <c r="BC208" i="17"/>
  <c r="P317" i="17"/>
  <c r="E317" i="17"/>
  <c r="L317" i="17" s="1"/>
  <c r="AH232" i="17" l="1"/>
  <c r="AS232" i="17" s="1"/>
  <c r="AL100" i="15"/>
  <c r="BQ207" i="17"/>
  <c r="BD208" i="17"/>
  <c r="BH208" i="17"/>
  <c r="U233" i="17"/>
  <c r="AC233" i="17" s="1"/>
  <c r="AY232" i="17"/>
  <c r="AM232" i="17"/>
  <c r="AR231" i="17"/>
  <c r="N317" i="17"/>
  <c r="Q317" i="17"/>
  <c r="S317" i="17" s="1"/>
  <c r="AT232" i="17" l="1"/>
  <c r="AW232" i="17" s="1"/>
  <c r="AX232" i="17" s="1"/>
  <c r="AZ232" i="17" s="1"/>
  <c r="AU232" i="17"/>
  <c r="AV232" i="17" s="1"/>
  <c r="W233" i="17"/>
  <c r="AA233" i="17" s="1"/>
  <c r="AK233" i="17" s="1"/>
  <c r="AN232" i="17"/>
  <c r="AO232" i="17" s="1"/>
  <c r="BK208" i="17"/>
  <c r="BJ208" i="17"/>
  <c r="BE208" i="17"/>
  <c r="BF208" i="17" s="1"/>
  <c r="AD233" i="17"/>
  <c r="O317" i="17"/>
  <c r="M318" i="17"/>
  <c r="Y233" i="17" l="1"/>
  <c r="BG208" i="17"/>
  <c r="BI208" i="17"/>
  <c r="AE233" i="17"/>
  <c r="BL208" i="17"/>
  <c r="BM208" i="17" s="1"/>
  <c r="AP232" i="17"/>
  <c r="AR232" i="17" s="1"/>
  <c r="E318" i="17"/>
  <c r="L318" i="17" s="1"/>
  <c r="P318" i="17"/>
  <c r="AQ232" i="17" l="1"/>
  <c r="AB233" i="17"/>
  <c r="AF233" i="17" s="1"/>
  <c r="AG233" i="17" s="1"/>
  <c r="AH233" i="17" s="1"/>
  <c r="AS233" i="17" s="1"/>
  <c r="Z233" i="17"/>
  <c r="BO208" i="17"/>
  <c r="BP208" i="17" s="1"/>
  <c r="BN208" i="17"/>
  <c r="AF392" i="15" s="1"/>
  <c r="BC209" i="17"/>
  <c r="BH209" i="17" s="1"/>
  <c r="Q318" i="17"/>
  <c r="S318" i="17" s="1"/>
  <c r="N318" i="17"/>
  <c r="AT233" i="17" l="1"/>
  <c r="AW233" i="17" s="1"/>
  <c r="AX233" i="17" s="1"/>
  <c r="AZ233" i="17" s="1"/>
  <c r="AU233" i="17"/>
  <c r="AV233" i="17" s="1"/>
  <c r="AL233" i="17"/>
  <c r="AM233" i="17" s="1"/>
  <c r="U234" i="17"/>
  <c r="BD209" i="17"/>
  <c r="BE209" i="17" s="1"/>
  <c r="BF209" i="17" s="1"/>
  <c r="AL82" i="15"/>
  <c r="BQ208" i="17"/>
  <c r="O318" i="17"/>
  <c r="M319" i="17"/>
  <c r="AY233" i="17" l="1"/>
  <c r="BJ209" i="17"/>
  <c r="BK209" i="17"/>
  <c r="BL209" i="17" s="1"/>
  <c r="BM209" i="17" s="1"/>
  <c r="AN233" i="17"/>
  <c r="AO233" i="17" s="1"/>
  <c r="AC234" i="17"/>
  <c r="W234" i="17"/>
  <c r="BG209" i="17"/>
  <c r="BI209" i="17"/>
  <c r="P319" i="17"/>
  <c r="E319" i="17"/>
  <c r="L319" i="17" s="1"/>
  <c r="AP233" i="17" l="1"/>
  <c r="AQ233" i="17" s="1"/>
  <c r="AD234" i="17"/>
  <c r="AE234" i="17" s="1"/>
  <c r="AA234" i="17"/>
  <c r="AK234" i="17" s="1"/>
  <c r="Y234" i="17"/>
  <c r="AB234" i="17" s="1"/>
  <c r="BO209" i="17"/>
  <c r="BP209" i="17" s="1"/>
  <c r="BN209" i="17"/>
  <c r="AF413" i="15" s="1"/>
  <c r="BC210" i="17"/>
  <c r="BH210" i="17" s="1"/>
  <c r="N319" i="17"/>
  <c r="Q319" i="17"/>
  <c r="S319" i="17" s="1"/>
  <c r="AR233" i="17" l="1"/>
  <c r="Z234" i="17"/>
  <c r="AF234" i="17"/>
  <c r="AG234" i="17" s="1"/>
  <c r="AL294" i="15"/>
  <c r="BQ209" i="17"/>
  <c r="BD210" i="17"/>
  <c r="O319" i="17"/>
  <c r="M320" i="17"/>
  <c r="E320" i="17" s="1"/>
  <c r="L320" i="17" s="1"/>
  <c r="AH234" i="17" l="1"/>
  <c r="AS234" i="17" s="1"/>
  <c r="AL234" i="17"/>
  <c r="U235" i="17"/>
  <c r="BK210" i="17"/>
  <c r="BL210" i="17" s="1"/>
  <c r="BM210" i="17" s="1"/>
  <c r="BJ210" i="17"/>
  <c r="BE210" i="17"/>
  <c r="BF210" i="17" s="1"/>
  <c r="N320" i="17"/>
  <c r="P320" i="17"/>
  <c r="AM234" i="17" l="1"/>
  <c r="AN234" i="17" s="1"/>
  <c r="AO234" i="17" s="1"/>
  <c r="AY234" i="17"/>
  <c r="AU234" i="17"/>
  <c r="AV234" i="17" s="1"/>
  <c r="AT234" i="17"/>
  <c r="AW234" i="17" s="1"/>
  <c r="AX234" i="17" s="1"/>
  <c r="AZ234" i="17" s="1"/>
  <c r="W235" i="17"/>
  <c r="AA235" i="17" s="1"/>
  <c r="AK235" i="17" s="1"/>
  <c r="AC235" i="17"/>
  <c r="BG210" i="17"/>
  <c r="BI210" i="17"/>
  <c r="O320" i="17"/>
  <c r="M321" i="17"/>
  <c r="E321" i="17" s="1"/>
  <c r="L321" i="17" s="1"/>
  <c r="Q320" i="17"/>
  <c r="S320" i="17" s="1"/>
  <c r="AP234" i="17" l="1"/>
  <c r="AQ234" i="17" s="1"/>
  <c r="AD235" i="17"/>
  <c r="Y235" i="17"/>
  <c r="AB235" i="17" s="1"/>
  <c r="BC211" i="17"/>
  <c r="BH211" i="17" s="1"/>
  <c r="BO210" i="17"/>
  <c r="BP210" i="17" s="1"/>
  <c r="BN210" i="17"/>
  <c r="AF439" i="15" s="1"/>
  <c r="P321" i="17"/>
  <c r="N321" i="17"/>
  <c r="AR234" i="17" l="1"/>
  <c r="Z235" i="17"/>
  <c r="AE235" i="17"/>
  <c r="AF235" i="17" s="1"/>
  <c r="AG235" i="17" s="1"/>
  <c r="AH235" i="17" s="1"/>
  <c r="AS235" i="17" s="1"/>
  <c r="BD211" i="17"/>
  <c r="BE211" i="17" s="1"/>
  <c r="BF211" i="17" s="1"/>
  <c r="AL295" i="15"/>
  <c r="BQ210" i="17"/>
  <c r="Q321" i="17"/>
  <c r="S321" i="17" s="1"/>
  <c r="O321" i="17"/>
  <c r="M322" i="17"/>
  <c r="BJ211" i="17" l="1"/>
  <c r="BK211" i="17"/>
  <c r="BL211" i="17" s="1"/>
  <c r="BM211" i="17" s="1"/>
  <c r="AU235" i="17"/>
  <c r="AV235" i="17" s="1"/>
  <c r="AT235" i="17"/>
  <c r="AW235" i="17" s="1"/>
  <c r="AX235" i="17" s="1"/>
  <c r="AZ235" i="17" s="1"/>
  <c r="AL235" i="17"/>
  <c r="U236" i="17"/>
  <c r="AC236" i="17" s="1"/>
  <c r="P322" i="17"/>
  <c r="Q322" i="17" s="1"/>
  <c r="S322" i="17" s="1"/>
  <c r="BG211" i="17"/>
  <c r="BI211" i="17"/>
  <c r="E322" i="17"/>
  <c r="L322" i="17" s="1"/>
  <c r="AM235" i="17" l="1"/>
  <c r="AN235" i="17" s="1"/>
  <c r="AO235" i="17" s="1"/>
  <c r="AP235" i="17" s="1"/>
  <c r="AR235" i="17" s="1"/>
  <c r="AY235" i="17"/>
  <c r="W236" i="17"/>
  <c r="AA236" i="17" s="1"/>
  <c r="AK236" i="17" s="1"/>
  <c r="AD236" i="17"/>
  <c r="AE236" i="17" s="1"/>
  <c r="BC212" i="17"/>
  <c r="BH212" i="17" s="1"/>
  <c r="BO211" i="17"/>
  <c r="BP211" i="17" s="1"/>
  <c r="BN211" i="17"/>
  <c r="AF473" i="15" s="1"/>
  <c r="N322" i="17"/>
  <c r="Y236" i="17" l="1"/>
  <c r="AB236" i="17" s="1"/>
  <c r="AQ235" i="17"/>
  <c r="AL296" i="15"/>
  <c r="BQ211" i="17"/>
  <c r="BD212" i="17"/>
  <c r="M323" i="17"/>
  <c r="O322" i="17"/>
  <c r="Z236" i="17" l="1"/>
  <c r="U237" i="17" s="1"/>
  <c r="W237" i="17" s="1"/>
  <c r="AA237" i="17" s="1"/>
  <c r="AK237" i="17" s="1"/>
  <c r="AF236" i="17"/>
  <c r="AG236" i="17" s="1"/>
  <c r="BK212" i="17"/>
  <c r="BL212" i="17" s="1"/>
  <c r="BM212" i="17" s="1"/>
  <c r="BJ212" i="17"/>
  <c r="BE212" i="17"/>
  <c r="BF212" i="17" s="1"/>
  <c r="P323" i="17"/>
  <c r="E323" i="17"/>
  <c r="L323" i="17" s="1"/>
  <c r="AH236" i="17" l="1"/>
  <c r="AS236" i="17" s="1"/>
  <c r="AL236" i="17"/>
  <c r="AY236" i="17" s="1"/>
  <c r="Y237" i="17"/>
  <c r="AB237" i="17" s="1"/>
  <c r="AC237" i="17"/>
  <c r="BG212" i="17"/>
  <c r="BI212" i="17"/>
  <c r="N323" i="17"/>
  <c r="Q323" i="17"/>
  <c r="S323" i="17" s="1"/>
  <c r="Z237" i="17" l="1"/>
  <c r="U238" i="17" s="1"/>
  <c r="AC238" i="17" s="1"/>
  <c r="AM236" i="17"/>
  <c r="AN236" i="17" s="1"/>
  <c r="AU236" i="17"/>
  <c r="AV236" i="17" s="1"/>
  <c r="AT236" i="17"/>
  <c r="AW236" i="17" s="1"/>
  <c r="AX236" i="17" s="1"/>
  <c r="AZ236" i="17" s="1"/>
  <c r="AD237" i="17"/>
  <c r="BO212" i="17"/>
  <c r="BP212" i="17" s="1"/>
  <c r="BN212" i="17"/>
  <c r="AF503" i="15" s="1"/>
  <c r="BC213" i="17"/>
  <c r="BH213" i="17" s="1"/>
  <c r="M324" i="17"/>
  <c r="E324" i="17" s="1"/>
  <c r="L324" i="17" s="1"/>
  <c r="O323" i="17"/>
  <c r="W238" i="17" l="1"/>
  <c r="AA238" i="17" s="1"/>
  <c r="AK238" i="17" s="1"/>
  <c r="AO236" i="17"/>
  <c r="AP236" i="17" s="1"/>
  <c r="AQ236" i="17" s="1"/>
  <c r="BD213" i="17"/>
  <c r="BK213" i="17" s="1"/>
  <c r="AE237" i="17"/>
  <c r="AF237" i="17" s="1"/>
  <c r="AG237" i="17" s="1"/>
  <c r="AL297" i="15"/>
  <c r="BQ212" i="17"/>
  <c r="N324" i="17"/>
  <c r="P324" i="17"/>
  <c r="Y238" i="17" l="1"/>
  <c r="AB238" i="17" s="1"/>
  <c r="BJ213" i="17"/>
  <c r="BE213" i="17"/>
  <c r="BF213" i="17" s="1"/>
  <c r="BG213" i="17" s="1"/>
  <c r="AR236" i="17"/>
  <c r="AH237" i="17"/>
  <c r="AS237" i="17" s="1"/>
  <c r="AL237" i="17"/>
  <c r="AY237" i="17" s="1"/>
  <c r="AD238" i="17"/>
  <c r="AE238" i="17" s="1"/>
  <c r="BL213" i="17"/>
  <c r="BM213" i="17" s="1"/>
  <c r="Q324" i="17"/>
  <c r="S324" i="17" s="1"/>
  <c r="O324" i="17"/>
  <c r="M325" i="17"/>
  <c r="AF238" i="17" l="1"/>
  <c r="AG238" i="17" s="1"/>
  <c r="AH238" i="17" s="1"/>
  <c r="AS238" i="17" s="1"/>
  <c r="AT238" i="17" s="1"/>
  <c r="Z238" i="17"/>
  <c r="U239" i="17" s="1"/>
  <c r="AC239" i="17" s="1"/>
  <c r="AD239" i="17" s="1"/>
  <c r="AE239" i="17" s="1"/>
  <c r="BI213" i="17"/>
  <c r="BN213" i="17" s="1"/>
  <c r="AF523" i="15" s="1"/>
  <c r="AM237" i="17"/>
  <c r="AN237" i="17" s="1"/>
  <c r="AO237" i="17" s="1"/>
  <c r="AT237" i="17"/>
  <c r="AW237" i="17" s="1"/>
  <c r="AU237" i="17"/>
  <c r="AV237" i="17" s="1"/>
  <c r="P325" i="17"/>
  <c r="Q325" i="17" s="1"/>
  <c r="S325" i="17" s="1"/>
  <c r="BC214" i="17"/>
  <c r="BH214" i="17" s="1"/>
  <c r="E325" i="17"/>
  <c r="L325" i="17" s="1"/>
  <c r="N325" i="17" s="1"/>
  <c r="M326" i="17" s="1"/>
  <c r="E326" i="17" s="1"/>
  <c r="L326" i="17" s="1"/>
  <c r="AL238" i="17" l="1"/>
  <c r="AY238" i="17" s="1"/>
  <c r="W239" i="17"/>
  <c r="AA239" i="17" s="1"/>
  <c r="AK239" i="17" s="1"/>
  <c r="BO213" i="17"/>
  <c r="BP213" i="17" s="1"/>
  <c r="AL298" i="15" s="1"/>
  <c r="AX237" i="17"/>
  <c r="AZ237" i="17" s="1"/>
  <c r="AP237" i="17"/>
  <c r="AR237" i="17" s="1"/>
  <c r="BD214" i="17"/>
  <c r="BE214" i="17" s="1"/>
  <c r="BF214" i="17" s="1"/>
  <c r="BI214" i="17" s="1"/>
  <c r="AU238" i="17"/>
  <c r="AV238" i="17" s="1"/>
  <c r="O325" i="17"/>
  <c r="N326" i="17" s="1"/>
  <c r="P326" i="17"/>
  <c r="Q326" i="17" s="1"/>
  <c r="S326" i="17" s="1"/>
  <c r="AM238" i="17" l="1"/>
  <c r="AN238" i="17" s="1"/>
  <c r="AO238" i="17" s="1"/>
  <c r="AP238" i="17" s="1"/>
  <c r="AQ238" i="17" s="1"/>
  <c r="BQ213" i="17"/>
  <c r="Y239" i="17"/>
  <c r="Z239" i="17" s="1"/>
  <c r="U240" i="17" s="1"/>
  <c r="AC240" i="17" s="1"/>
  <c r="AW238" i="17"/>
  <c r="AX238" i="17" s="1"/>
  <c r="AZ238" i="17" s="1"/>
  <c r="AQ237" i="17"/>
  <c r="BJ214" i="17"/>
  <c r="BG214" i="17"/>
  <c r="BC215" i="17" s="1"/>
  <c r="BH215" i="17" s="1"/>
  <c r="BK214" i="17"/>
  <c r="BL214" i="17" s="1"/>
  <c r="BM214" i="17" s="1"/>
  <c r="BO214" i="17"/>
  <c r="BP214" i="17" s="1"/>
  <c r="O326" i="17"/>
  <c r="M327" i="17"/>
  <c r="E327" i="17" s="1"/>
  <c r="L327" i="17" s="1"/>
  <c r="AB239" i="17" l="1"/>
  <c r="AF239" i="17" s="1"/>
  <c r="AG239" i="17" s="1"/>
  <c r="AH239" i="17" s="1"/>
  <c r="AS239" i="17" s="1"/>
  <c r="AT239" i="17" s="1"/>
  <c r="AW239" i="17" s="1"/>
  <c r="AX239" i="17" s="1"/>
  <c r="AZ239" i="17" s="1"/>
  <c r="AR238" i="17"/>
  <c r="BN214" i="17"/>
  <c r="AF527" i="15" s="1"/>
  <c r="W240" i="17"/>
  <c r="Y240" i="17" s="1"/>
  <c r="AD240" i="17"/>
  <c r="AE240" i="17" s="1"/>
  <c r="BD215" i="17"/>
  <c r="BE215" i="17" s="1"/>
  <c r="BF215" i="17" s="1"/>
  <c r="AL299" i="15"/>
  <c r="N327" i="17"/>
  <c r="P327" i="17"/>
  <c r="Q327" i="17" s="1"/>
  <c r="AL239" i="17" l="1"/>
  <c r="AM239" i="17" s="1"/>
  <c r="AN239" i="17" s="1"/>
  <c r="AO239" i="17" s="1"/>
  <c r="AP239" i="17" s="1"/>
  <c r="AQ239" i="17" s="1"/>
  <c r="AU239" i="17"/>
  <c r="AV239" i="17" s="1"/>
  <c r="BQ214" i="17"/>
  <c r="AY239" i="17"/>
  <c r="AA240" i="17"/>
  <c r="AK240" i="17" s="1"/>
  <c r="AB240" i="17"/>
  <c r="Z240" i="17"/>
  <c r="BK215" i="17"/>
  <c r="BL215" i="17" s="1"/>
  <c r="BM215" i="17" s="1"/>
  <c r="BJ215" i="17"/>
  <c r="BG215" i="17"/>
  <c r="BI215" i="17"/>
  <c r="S327" i="17"/>
  <c r="O327" i="17"/>
  <c r="M328" i="17"/>
  <c r="E328" i="17" s="1"/>
  <c r="L328" i="17" s="1"/>
  <c r="AR239" i="17" l="1"/>
  <c r="AF240" i="17"/>
  <c r="AG240" i="17" s="1"/>
  <c r="U241" i="17"/>
  <c r="W241" i="17" s="1"/>
  <c r="BO215" i="17"/>
  <c r="BP215" i="17" s="1"/>
  <c r="BN215" i="17"/>
  <c r="AF530" i="15" s="1"/>
  <c r="BC216" i="17"/>
  <c r="BH216" i="17" s="1"/>
  <c r="P328" i="17"/>
  <c r="Q328" i="17" s="1"/>
  <c r="S328" i="17" s="1"/>
  <c r="N328" i="17"/>
  <c r="AH240" i="17" l="1"/>
  <c r="AS240" i="17" s="1"/>
  <c r="AL240" i="17"/>
  <c r="AY240" i="17" s="1"/>
  <c r="AA241" i="17"/>
  <c r="AK241" i="17" s="1"/>
  <c r="Y241" i="17"/>
  <c r="AB241" i="17" s="1"/>
  <c r="AC241" i="17"/>
  <c r="BD216" i="17"/>
  <c r="BE216" i="17" s="1"/>
  <c r="BF216" i="17" s="1"/>
  <c r="AL300" i="15"/>
  <c r="BQ215" i="17"/>
  <c r="O328" i="17"/>
  <c r="M329" i="17"/>
  <c r="E329" i="17" s="1"/>
  <c r="L329" i="17" s="1"/>
  <c r="AM240" i="17" l="1"/>
  <c r="AN240" i="17" s="1"/>
  <c r="AO240" i="17" s="1"/>
  <c r="AP240" i="17" s="1"/>
  <c r="AQ240" i="17" s="1"/>
  <c r="AU240" i="17"/>
  <c r="AV240" i="17" s="1"/>
  <c r="AT240" i="17"/>
  <c r="AW240" i="17" s="1"/>
  <c r="AX240" i="17" s="1"/>
  <c r="AZ240" i="17" s="1"/>
  <c r="Z241" i="17"/>
  <c r="AD241" i="17"/>
  <c r="BG216" i="17"/>
  <c r="BI216" i="17"/>
  <c r="BK216" i="17"/>
  <c r="BJ216" i="17"/>
  <c r="N329" i="17"/>
  <c r="P329" i="17"/>
  <c r="AR240" i="17" l="1"/>
  <c r="U242" i="17"/>
  <c r="W242" i="17" s="1"/>
  <c r="AA242" i="17" s="1"/>
  <c r="AK242" i="17" s="1"/>
  <c r="AE241" i="17"/>
  <c r="BC217" i="17"/>
  <c r="BH217" i="17" s="1"/>
  <c r="BO216" i="17"/>
  <c r="BP216" i="17" s="1"/>
  <c r="BL216" i="17"/>
  <c r="BM216" i="17" s="1"/>
  <c r="Q329" i="17"/>
  <c r="S329" i="17" s="1"/>
  <c r="O329" i="17"/>
  <c r="M330" i="17"/>
  <c r="AC242" i="17" l="1"/>
  <c r="AD242" i="17" s="1"/>
  <c r="AE242" i="17" s="1"/>
  <c r="Y242" i="17"/>
  <c r="AB242" i="17" s="1"/>
  <c r="AF241" i="17"/>
  <c r="AG241" i="17" s="1"/>
  <c r="BD217" i="17"/>
  <c r="BJ217" i="17" s="1"/>
  <c r="AL301" i="15"/>
  <c r="P330" i="17"/>
  <c r="Q330" i="17" s="1"/>
  <c r="S330" i="17" s="1"/>
  <c r="BN216" i="17"/>
  <c r="AF533" i="15" s="1"/>
  <c r="E330" i="17"/>
  <c r="L330" i="17" s="1"/>
  <c r="N330" i="17" s="1"/>
  <c r="AH241" i="17" l="1"/>
  <c r="AS241" i="17" s="1"/>
  <c r="AL241" i="17"/>
  <c r="AY241" i="17" s="1"/>
  <c r="BE217" i="17"/>
  <c r="BF217" i="17" s="1"/>
  <c r="BI217" i="17" s="1"/>
  <c r="BK217" i="17"/>
  <c r="BL217" i="17" s="1"/>
  <c r="BM217" i="17" s="1"/>
  <c r="Z242" i="17"/>
  <c r="U243" i="17" s="1"/>
  <c r="AC243" i="17" s="1"/>
  <c r="AD243" i="17" s="1"/>
  <c r="AE243" i="17" s="1"/>
  <c r="AF242" i="17"/>
  <c r="AG242" i="17" s="1"/>
  <c r="BQ216" i="17"/>
  <c r="M331" i="17"/>
  <c r="E331" i="17" s="1"/>
  <c r="L331" i="17" s="1"/>
  <c r="O330" i="17"/>
  <c r="W243" i="17" l="1"/>
  <c r="AA243" i="17" s="1"/>
  <c r="AK243" i="17" s="1"/>
  <c r="AM241" i="17"/>
  <c r="AN241" i="17" s="1"/>
  <c r="AO241" i="17" s="1"/>
  <c r="AH242" i="17"/>
  <c r="AS242" i="17" s="1"/>
  <c r="AT242" i="17" s="1"/>
  <c r="AL242" i="17"/>
  <c r="AY242" i="17" s="1"/>
  <c r="BG217" i="17"/>
  <c r="BC218" i="17" s="1"/>
  <c r="BH218" i="17" s="1"/>
  <c r="AT241" i="17"/>
  <c r="AW241" i="17" s="1"/>
  <c r="AX241" i="17" s="1"/>
  <c r="AZ241" i="17" s="1"/>
  <c r="AU241" i="17"/>
  <c r="AV241" i="17" s="1"/>
  <c r="BO217" i="17"/>
  <c r="BP217" i="17" s="1"/>
  <c r="BN217" i="17"/>
  <c r="AF535" i="15" s="1"/>
  <c r="P331" i="17"/>
  <c r="N331" i="17"/>
  <c r="Y243" i="17" l="1"/>
  <c r="AB243" i="17" s="1"/>
  <c r="AW242" i="17"/>
  <c r="AX242" i="17" s="1"/>
  <c r="AZ242" i="17" s="1"/>
  <c r="AM242" i="17"/>
  <c r="AN242" i="17" s="1"/>
  <c r="AO242" i="17" s="1"/>
  <c r="AP242" i="17" s="1"/>
  <c r="AP241" i="17"/>
  <c r="AR241" i="17" s="1"/>
  <c r="AU242" i="17"/>
  <c r="AV242" i="17" s="1"/>
  <c r="BD218" i="17"/>
  <c r="BJ218" i="17" s="1"/>
  <c r="AL302" i="15"/>
  <c r="BQ217" i="17"/>
  <c r="Q331" i="17"/>
  <c r="S331" i="17" s="1"/>
  <c r="O331" i="17"/>
  <c r="M332" i="17"/>
  <c r="Z243" i="17" l="1"/>
  <c r="U244" i="17" s="1"/>
  <c r="AC244" i="17" s="1"/>
  <c r="AD244" i="17" s="1"/>
  <c r="AE244" i="17" s="1"/>
  <c r="AR242" i="17"/>
  <c r="AQ242" i="17"/>
  <c r="AQ241" i="17"/>
  <c r="BK218" i="17"/>
  <c r="BL218" i="17" s="1"/>
  <c r="BM218" i="17" s="1"/>
  <c r="BE218" i="17"/>
  <c r="BF218" i="17" s="1"/>
  <c r="BG218" i="17" s="1"/>
  <c r="AF243" i="17"/>
  <c r="AG243" i="17" s="1"/>
  <c r="AH243" i="17" s="1"/>
  <c r="AS243" i="17" s="1"/>
  <c r="AT243" i="17" s="1"/>
  <c r="AW243" i="17" s="1"/>
  <c r="AX243" i="17" s="1"/>
  <c r="AZ243" i="17" s="1"/>
  <c r="P332" i="17"/>
  <c r="Q332" i="17" s="1"/>
  <c r="S332" i="17" s="1"/>
  <c r="E332" i="17"/>
  <c r="L332" i="17" s="1"/>
  <c r="N332" i="17" s="1"/>
  <c r="W244" i="17" l="1"/>
  <c r="Y244" i="17" s="1"/>
  <c r="AB244" i="17" s="1"/>
  <c r="AF244" i="17" s="1"/>
  <c r="AG244" i="17" s="1"/>
  <c r="AL244" i="17" s="1"/>
  <c r="AY244" i="17" s="1"/>
  <c r="AL243" i="17"/>
  <c r="AY243" i="17" s="1"/>
  <c r="AU243" i="17"/>
  <c r="AV243" i="17" s="1"/>
  <c r="BI218" i="17"/>
  <c r="BO218" i="17" s="1"/>
  <c r="BP218" i="17" s="1"/>
  <c r="BC219" i="17"/>
  <c r="BH219" i="17" s="1"/>
  <c r="O332" i="17"/>
  <c r="M333" i="17"/>
  <c r="E333" i="17" s="1"/>
  <c r="L333" i="17" s="1"/>
  <c r="AM243" i="17" l="1"/>
  <c r="AN243" i="17" s="1"/>
  <c r="AO243" i="17" s="1"/>
  <c r="AP243" i="17" s="1"/>
  <c r="AQ243" i="17" s="1"/>
  <c r="Z244" i="17"/>
  <c r="U245" i="17" s="1"/>
  <c r="AC245" i="17" s="1"/>
  <c r="AD245" i="17" s="1"/>
  <c r="AA244" i="17"/>
  <c r="AK244" i="17" s="1"/>
  <c r="AH244" i="17"/>
  <c r="AS244" i="17" s="1"/>
  <c r="AT244" i="17" s="1"/>
  <c r="AW244" i="17" s="1"/>
  <c r="AX244" i="17" s="1"/>
  <c r="AZ244" i="17" s="1"/>
  <c r="BN218" i="17"/>
  <c r="AF537" i="15" s="1"/>
  <c r="BD219" i="17"/>
  <c r="BE219" i="17" s="1"/>
  <c r="BF219" i="17" s="1"/>
  <c r="AL303" i="15"/>
  <c r="AM244" i="17"/>
  <c r="N333" i="17"/>
  <c r="P333" i="17"/>
  <c r="W245" i="17" l="1"/>
  <c r="Y245" i="17" s="1"/>
  <c r="AB245" i="17" s="1"/>
  <c r="BQ218" i="17"/>
  <c r="AU244" i="17"/>
  <c r="AV244" i="17" s="1"/>
  <c r="AR243" i="17"/>
  <c r="BJ219" i="17"/>
  <c r="BI219" i="17"/>
  <c r="BO219" i="17" s="1"/>
  <c r="BP219" i="17" s="1"/>
  <c r="BG219" i="17"/>
  <c r="BC220" i="17" s="1"/>
  <c r="BH220" i="17" s="1"/>
  <c r="BK219" i="17"/>
  <c r="BL219" i="17" s="1"/>
  <c r="BM219" i="17" s="1"/>
  <c r="AN244" i="17"/>
  <c r="AE245" i="17"/>
  <c r="Q333" i="17"/>
  <c r="S333" i="17" s="1"/>
  <c r="O333" i="17"/>
  <c r="M334" i="17"/>
  <c r="AA245" i="17" l="1"/>
  <c r="AK245" i="17" s="1"/>
  <c r="Z245" i="17"/>
  <c r="U246" i="17" s="1"/>
  <c r="AC246" i="17" s="1"/>
  <c r="AF245" i="17"/>
  <c r="AG245" i="17" s="1"/>
  <c r="AH245" i="17" s="1"/>
  <c r="AS245" i="17" s="1"/>
  <c r="AT245" i="17" s="1"/>
  <c r="AW245" i="17" s="1"/>
  <c r="AX245" i="17" s="1"/>
  <c r="AZ245" i="17" s="1"/>
  <c r="P334" i="17"/>
  <c r="Q334" i="17" s="1"/>
  <c r="S334" i="17" s="1"/>
  <c r="BN219" i="17"/>
  <c r="AF540" i="15" s="1"/>
  <c r="BD220" i="17"/>
  <c r="AL304" i="15"/>
  <c r="E334" i="17"/>
  <c r="L334" i="17" s="1"/>
  <c r="N334" i="17" s="1"/>
  <c r="AO244" i="17"/>
  <c r="AL245" i="17" l="1"/>
  <c r="AY245" i="17" s="1"/>
  <c r="AU245" i="17"/>
  <c r="AV245" i="17" s="1"/>
  <c r="BQ219" i="17"/>
  <c r="M335" i="17"/>
  <c r="P335" i="17" s="1"/>
  <c r="Q335" i="17" s="1"/>
  <c r="S335" i="17" s="1"/>
  <c r="O334" i="17"/>
  <c r="BK220" i="17"/>
  <c r="BL220" i="17" s="1"/>
  <c r="BM220" i="17" s="1"/>
  <c r="BJ220" i="17"/>
  <c r="BE220" i="17"/>
  <c r="BF220" i="17" s="1"/>
  <c r="W246" i="17"/>
  <c r="AA246" i="17" s="1"/>
  <c r="AK246" i="17" s="1"/>
  <c r="AP244" i="17"/>
  <c r="AD246" i="17"/>
  <c r="AE246" i="17" s="1"/>
  <c r="AM245" i="17" l="1"/>
  <c r="AN245" i="17" s="1"/>
  <c r="AO245" i="17" s="1"/>
  <c r="AP245" i="17" s="1"/>
  <c r="E335" i="17"/>
  <c r="L335" i="17" s="1"/>
  <c r="N335" i="17" s="1"/>
  <c r="M336" i="17" s="1"/>
  <c r="E336" i="17" s="1"/>
  <c r="L336" i="17" s="1"/>
  <c r="Y246" i="17"/>
  <c r="AB246" i="17" s="1"/>
  <c r="BG220" i="17"/>
  <c r="BI220" i="17"/>
  <c r="AR244" i="17"/>
  <c r="AQ244" i="17"/>
  <c r="Z246" i="17" l="1"/>
  <c r="AF246" i="17"/>
  <c r="AG246" i="17" s="1"/>
  <c r="O335" i="17"/>
  <c r="N336" i="17" s="1"/>
  <c r="BO220" i="17"/>
  <c r="BP220" i="17" s="1"/>
  <c r="BN220" i="17"/>
  <c r="AF542" i="15" s="1"/>
  <c r="AR245" i="17"/>
  <c r="BC221" i="17"/>
  <c r="BD221" i="17" s="1"/>
  <c r="AQ245" i="17"/>
  <c r="U247" i="17"/>
  <c r="AC247" i="17" s="1"/>
  <c r="P336" i="17"/>
  <c r="AH246" i="17" l="1"/>
  <c r="AS246" i="17" s="1"/>
  <c r="AL246" i="17"/>
  <c r="AY246" i="17" s="1"/>
  <c r="O336" i="17"/>
  <c r="M337" i="17"/>
  <c r="E337" i="17" s="1"/>
  <c r="L337" i="17" s="1"/>
  <c r="BK221" i="17"/>
  <c r="BL221" i="17" s="1"/>
  <c r="BM221" i="17" s="1"/>
  <c r="BJ221" i="17"/>
  <c r="AL305" i="15"/>
  <c r="BQ220" i="17"/>
  <c r="BE221" i="17"/>
  <c r="BF221" i="17" s="1"/>
  <c r="BH221" i="17"/>
  <c r="AD247" i="17"/>
  <c r="W247" i="17"/>
  <c r="AA247" i="17" s="1"/>
  <c r="AK247" i="17" s="1"/>
  <c r="Q336" i="17"/>
  <c r="S336" i="17" s="1"/>
  <c r="N337" i="17" l="1"/>
  <c r="O337" i="17" s="1"/>
  <c r="AM246" i="17"/>
  <c r="AU246" i="17"/>
  <c r="AV246" i="17" s="1"/>
  <c r="AT246" i="17"/>
  <c r="AW246" i="17" s="1"/>
  <c r="AX246" i="17" s="1"/>
  <c r="AZ246" i="17" s="1"/>
  <c r="BG221" i="17"/>
  <c r="BI221" i="17"/>
  <c r="P337" i="17"/>
  <c r="Q337" i="17" s="1"/>
  <c r="S337" i="17" s="1"/>
  <c r="Y247" i="17"/>
  <c r="AB247" i="17" s="1"/>
  <c r="AE247" i="17"/>
  <c r="M338" i="17" l="1"/>
  <c r="P338" i="17" s="1"/>
  <c r="AN246" i="17"/>
  <c r="BO221" i="17"/>
  <c r="BP221" i="17" s="1"/>
  <c r="BN221" i="17"/>
  <c r="AF544" i="15" s="1"/>
  <c r="BC222" i="17"/>
  <c r="AF247" i="17"/>
  <c r="AG247" i="17" s="1"/>
  <c r="AL247" i="17" s="1"/>
  <c r="AY247" i="17" s="1"/>
  <c r="Z247" i="17"/>
  <c r="E338" i="17" l="1"/>
  <c r="L338" i="17" s="1"/>
  <c r="N338" i="17" s="1"/>
  <c r="AO246" i="17"/>
  <c r="AH247" i="17"/>
  <c r="AS247" i="17" s="1"/>
  <c r="BD222" i="17"/>
  <c r="BH222" i="17"/>
  <c r="AL306" i="15"/>
  <c r="BQ221" i="17"/>
  <c r="U248" i="17"/>
  <c r="AC248" i="17" s="1"/>
  <c r="AM247" i="17"/>
  <c r="Q338" i="17"/>
  <c r="S338" i="17" s="1"/>
  <c r="AT247" i="17" l="1"/>
  <c r="AW247" i="17" s="1"/>
  <c r="AX247" i="17" s="1"/>
  <c r="AZ247" i="17" s="1"/>
  <c r="AU247" i="17"/>
  <c r="AV247" i="17" s="1"/>
  <c r="AP246" i="17"/>
  <c r="AR246" i="17" s="1"/>
  <c r="W248" i="17"/>
  <c r="AA248" i="17" s="1"/>
  <c r="AK248" i="17" s="1"/>
  <c r="BK222" i="17"/>
  <c r="BL222" i="17" s="1"/>
  <c r="BM222" i="17" s="1"/>
  <c r="BJ222" i="17"/>
  <c r="BE222" i="17"/>
  <c r="BF222" i="17" s="1"/>
  <c r="AN247" i="17"/>
  <c r="AO247" i="17" s="1"/>
  <c r="AD248" i="17"/>
  <c r="M339" i="17"/>
  <c r="E339" i="17" s="1"/>
  <c r="L339" i="17" s="1"/>
  <c r="O338" i="17"/>
  <c r="AQ246" i="17" l="1"/>
  <c r="Y248" i="17"/>
  <c r="AB248" i="17" s="1"/>
  <c r="BG222" i="17"/>
  <c r="BI222" i="17"/>
  <c r="AP247" i="17"/>
  <c r="AE248" i="17"/>
  <c r="N339" i="17"/>
  <c r="P339" i="17"/>
  <c r="Z248" i="17" l="1"/>
  <c r="U249" i="17" s="1"/>
  <c r="AC249" i="17" s="1"/>
  <c r="AD249" i="17" s="1"/>
  <c r="BC223" i="17"/>
  <c r="BD223" i="17" s="1"/>
  <c r="BO222" i="17"/>
  <c r="BP222" i="17" s="1"/>
  <c r="BN222" i="17"/>
  <c r="AF545" i="15" s="1"/>
  <c r="AF248" i="17"/>
  <c r="AG248" i="17" s="1"/>
  <c r="AH248" i="17" s="1"/>
  <c r="AS248" i="17" s="1"/>
  <c r="AR247" i="17"/>
  <c r="AQ247" i="17"/>
  <c r="Q339" i="17"/>
  <c r="S339" i="17" s="1"/>
  <c r="O339" i="17"/>
  <c r="M340" i="17"/>
  <c r="W249" i="17" l="1"/>
  <c r="AA249" i="17" s="1"/>
  <c r="AK249" i="17" s="1"/>
  <c r="AT248" i="17"/>
  <c r="AW248" i="17" s="1"/>
  <c r="AX248" i="17" s="1"/>
  <c r="AZ248" i="17" s="1"/>
  <c r="AU248" i="17"/>
  <c r="AV248" i="17" s="1"/>
  <c r="AL248" i="17"/>
  <c r="AY248" i="17" s="1"/>
  <c r="AL307" i="15"/>
  <c r="BQ222" i="17"/>
  <c r="BK223" i="17"/>
  <c r="BL223" i="17" s="1"/>
  <c r="BM223" i="17" s="1"/>
  <c r="BJ223" i="17"/>
  <c r="BE223" i="17"/>
  <c r="BF223" i="17" s="1"/>
  <c r="BH223" i="17"/>
  <c r="P340" i="17"/>
  <c r="Q340" i="17" s="1"/>
  <c r="S340" i="17" s="1"/>
  <c r="E340" i="17"/>
  <c r="L340" i="17" s="1"/>
  <c r="N340" i="17" s="1"/>
  <c r="AE249" i="17"/>
  <c r="Y249" i="17" l="1"/>
  <c r="AB249" i="17" s="1"/>
  <c r="AF249" i="17" s="1"/>
  <c r="AG249" i="17" s="1"/>
  <c r="AL249" i="17" s="1"/>
  <c r="AY249" i="17" s="1"/>
  <c r="AM248" i="17"/>
  <c r="AN248" i="17" s="1"/>
  <c r="AO248" i="17" s="1"/>
  <c r="AP248" i="17" s="1"/>
  <c r="AR248" i="17" s="1"/>
  <c r="BG223" i="17"/>
  <c r="BI223" i="17"/>
  <c r="O340" i="17"/>
  <c r="M341" i="17"/>
  <c r="Z249" i="17" l="1"/>
  <c r="U250" i="17" s="1"/>
  <c r="AC250" i="17" s="1"/>
  <c r="AD250" i="17" s="1"/>
  <c r="AE250" i="17" s="1"/>
  <c r="AQ248" i="17"/>
  <c r="AM249" i="17"/>
  <c r="AN249" i="17" s="1"/>
  <c r="AO249" i="17" s="1"/>
  <c r="AH249" i="17"/>
  <c r="AS249" i="17" s="1"/>
  <c r="AT249" i="17" s="1"/>
  <c r="AW249" i="17" s="1"/>
  <c r="AX249" i="17" s="1"/>
  <c r="AZ249" i="17" s="1"/>
  <c r="BO223" i="17"/>
  <c r="BP223" i="17" s="1"/>
  <c r="BN223" i="17"/>
  <c r="AF548" i="15" s="1"/>
  <c r="BC224" i="17"/>
  <c r="BD224" i="17" s="1"/>
  <c r="P341" i="17"/>
  <c r="E341" i="17"/>
  <c r="L341" i="17" s="1"/>
  <c r="W250" i="17" l="1"/>
  <c r="AA250" i="17" s="1"/>
  <c r="AK250" i="17" s="1"/>
  <c r="AU249" i="17"/>
  <c r="AV249" i="17" s="1"/>
  <c r="BK224" i="17"/>
  <c r="BL224" i="17" s="1"/>
  <c r="BM224" i="17" s="1"/>
  <c r="BJ224" i="17"/>
  <c r="AL308" i="15"/>
  <c r="BQ223" i="17"/>
  <c r="BE224" i="17"/>
  <c r="BF224" i="17" s="1"/>
  <c r="BH224" i="17"/>
  <c r="AP249" i="17"/>
  <c r="AR249" i="17" s="1"/>
  <c r="N341" i="17"/>
  <c r="Q341" i="17"/>
  <c r="S341" i="17" s="1"/>
  <c r="Y250" i="17" l="1"/>
  <c r="BG224" i="17"/>
  <c r="BI224" i="17"/>
  <c r="AQ249" i="17"/>
  <c r="M342" i="17"/>
  <c r="O341" i="17"/>
  <c r="AB250" i="17" l="1"/>
  <c r="Z250" i="17"/>
  <c r="U251" i="17" s="1"/>
  <c r="AC251" i="17" s="1"/>
  <c r="BO224" i="17"/>
  <c r="BP224" i="17" s="1"/>
  <c r="BN224" i="17"/>
  <c r="AF532" i="15" s="1"/>
  <c r="BC225" i="17"/>
  <c r="BH225" i="17" s="1"/>
  <c r="P342" i="17"/>
  <c r="E342" i="17"/>
  <c r="L342" i="17" s="1"/>
  <c r="W251" i="17" l="1"/>
  <c r="AA251" i="17" s="1"/>
  <c r="AK251" i="17" s="1"/>
  <c r="AF250" i="17"/>
  <c r="AG250" i="17" s="1"/>
  <c r="AL250" i="17" s="1"/>
  <c r="BD225" i="17"/>
  <c r="BE225" i="17" s="1"/>
  <c r="BF225" i="17" s="1"/>
  <c r="AL309" i="15"/>
  <c r="BQ224" i="17"/>
  <c r="AD251" i="17"/>
  <c r="N342" i="17"/>
  <c r="Q342" i="17"/>
  <c r="S342" i="17" s="1"/>
  <c r="Y251" i="17" l="1"/>
  <c r="AB251" i="17" s="1"/>
  <c r="AY250" i="17"/>
  <c r="AH250" i="17"/>
  <c r="AS250" i="17" s="1"/>
  <c r="AM250" i="17"/>
  <c r="AN250" i="17" s="1"/>
  <c r="AO250" i="17" s="1"/>
  <c r="AP250" i="17" s="1"/>
  <c r="AQ250" i="17" s="1"/>
  <c r="BG225" i="17"/>
  <c r="BC226" i="17" s="1"/>
  <c r="BH226" i="17" s="1"/>
  <c r="BI225" i="17"/>
  <c r="BO225" i="17" s="1"/>
  <c r="BP225" i="17" s="1"/>
  <c r="BK225" i="17"/>
  <c r="BL225" i="17" s="1"/>
  <c r="BM225" i="17" s="1"/>
  <c r="BJ225" i="17"/>
  <c r="AE251" i="17"/>
  <c r="O342" i="17"/>
  <c r="M343" i="17"/>
  <c r="E343" i="17" s="1"/>
  <c r="L343" i="17" s="1"/>
  <c r="Z251" i="17" l="1"/>
  <c r="U252" i="17" s="1"/>
  <c r="AC252" i="17" s="1"/>
  <c r="AD252" i="17" s="1"/>
  <c r="AE252" i="17" s="1"/>
  <c r="AF251" i="17"/>
  <c r="AG251" i="17" s="1"/>
  <c r="AH251" i="17" s="1"/>
  <c r="AS251" i="17" s="1"/>
  <c r="AT250" i="17"/>
  <c r="AW250" i="17" s="1"/>
  <c r="AX250" i="17" s="1"/>
  <c r="AZ250" i="17" s="1"/>
  <c r="AU250" i="17"/>
  <c r="AV250" i="17" s="1"/>
  <c r="AR250" i="17"/>
  <c r="BN225" i="17"/>
  <c r="AF550" i="15" s="1"/>
  <c r="BD226" i="17"/>
  <c r="BE226" i="17" s="1"/>
  <c r="BF226" i="17" s="1"/>
  <c r="BG226" i="17" s="1"/>
  <c r="AL310" i="15"/>
  <c r="P343" i="17"/>
  <c r="N343" i="17"/>
  <c r="W252" i="17" l="1"/>
  <c r="AA252" i="17" s="1"/>
  <c r="AK252" i="17" s="1"/>
  <c r="AL251" i="17"/>
  <c r="AM251" i="17" s="1"/>
  <c r="AN251" i="17" s="1"/>
  <c r="AO251" i="17" s="1"/>
  <c r="AP251" i="17" s="1"/>
  <c r="AR251" i="17" s="1"/>
  <c r="BQ225" i="17"/>
  <c r="AU251" i="17"/>
  <c r="AV251" i="17" s="1"/>
  <c r="AT251" i="17"/>
  <c r="AW251" i="17" s="1"/>
  <c r="AX251" i="17" s="1"/>
  <c r="AZ251" i="17" s="1"/>
  <c r="AY251" i="17"/>
  <c r="BJ226" i="17"/>
  <c r="BK226" i="17"/>
  <c r="BL226" i="17" s="1"/>
  <c r="BM226" i="17" s="1"/>
  <c r="BI226" i="17"/>
  <c r="BO226" i="17" s="1"/>
  <c r="BP226" i="17" s="1"/>
  <c r="BC227" i="17"/>
  <c r="O343" i="17"/>
  <c r="M344" i="17"/>
  <c r="E344" i="17" s="1"/>
  <c r="L344" i="17" s="1"/>
  <c r="Q343" i="17"/>
  <c r="S343" i="17" s="1"/>
  <c r="Y252" i="17" l="1"/>
  <c r="AB252" i="17" s="1"/>
  <c r="AQ251" i="17"/>
  <c r="BN226" i="17"/>
  <c r="AF555" i="15" s="1"/>
  <c r="BD227" i="17"/>
  <c r="BH227" i="17"/>
  <c r="AL311" i="15"/>
  <c r="P344" i="17"/>
  <c r="Q344" i="17" s="1"/>
  <c r="S344" i="17" s="1"/>
  <c r="N344" i="17"/>
  <c r="Z252" i="17" l="1"/>
  <c r="U253" i="17" s="1"/>
  <c r="W253" i="17" s="1"/>
  <c r="AA253" i="17" s="1"/>
  <c r="AK253" i="17" s="1"/>
  <c r="BQ226" i="17"/>
  <c r="AF252" i="17"/>
  <c r="AG252" i="17" s="1"/>
  <c r="AH252" i="17" s="1"/>
  <c r="AS252" i="17" s="1"/>
  <c r="BK227" i="17"/>
  <c r="BL227" i="17" s="1"/>
  <c r="BM227" i="17" s="1"/>
  <c r="BJ227" i="17"/>
  <c r="BE227" i="17"/>
  <c r="BF227" i="17" s="1"/>
  <c r="M345" i="17"/>
  <c r="E345" i="17" s="1"/>
  <c r="L345" i="17" s="1"/>
  <c r="O344" i="17"/>
  <c r="AT252" i="17" l="1"/>
  <c r="AW252" i="17" s="1"/>
  <c r="AX252" i="17" s="1"/>
  <c r="AZ252" i="17" s="1"/>
  <c r="AU252" i="17"/>
  <c r="AV252" i="17" s="1"/>
  <c r="AL252" i="17"/>
  <c r="AY252" i="17" s="1"/>
  <c r="Y253" i="17"/>
  <c r="AB253" i="17" s="1"/>
  <c r="AC253" i="17"/>
  <c r="N345" i="17"/>
  <c r="O345" i="17" s="1"/>
  <c r="BG227" i="17"/>
  <c r="BI227" i="17"/>
  <c r="P345" i="17"/>
  <c r="AM252" i="17" l="1"/>
  <c r="AN252" i="17" s="1"/>
  <c r="AO252" i="17" s="1"/>
  <c r="AP252" i="17" s="1"/>
  <c r="AQ252" i="17" s="1"/>
  <c r="Z253" i="17"/>
  <c r="U254" i="17" s="1"/>
  <c r="AC254" i="17" s="1"/>
  <c r="M346" i="17"/>
  <c r="E346" i="17" s="1"/>
  <c r="L346" i="17" s="1"/>
  <c r="AD253" i="17"/>
  <c r="BO227" i="17"/>
  <c r="BP227" i="17" s="1"/>
  <c r="BN227" i="17"/>
  <c r="AF560" i="15" s="1"/>
  <c r="BC228" i="17"/>
  <c r="BH228" i="17" s="1"/>
  <c r="Q345" i="17"/>
  <c r="S345" i="17" s="1"/>
  <c r="AR252" i="17" l="1"/>
  <c r="W254" i="17"/>
  <c r="AA254" i="17" s="1"/>
  <c r="AK254" i="17" s="1"/>
  <c r="AE253" i="17"/>
  <c r="AF253" i="17" s="1"/>
  <c r="AG253" i="17" s="1"/>
  <c r="BD228" i="17"/>
  <c r="BE228" i="17" s="1"/>
  <c r="BF228" i="17" s="1"/>
  <c r="AL312" i="15"/>
  <c r="BQ227" i="17"/>
  <c r="P346" i="17"/>
  <c r="N346" i="17"/>
  <c r="AD254" i="17" l="1"/>
  <c r="AE254" i="17" s="1"/>
  <c r="Y254" i="17"/>
  <c r="AB254" i="17" s="1"/>
  <c r="AH253" i="17"/>
  <c r="AS253" i="17" s="1"/>
  <c r="AL253" i="17"/>
  <c r="AY253" i="17" s="1"/>
  <c r="BG228" i="17"/>
  <c r="BI228" i="17"/>
  <c r="BK228" i="17"/>
  <c r="BL228" i="17" s="1"/>
  <c r="BM228" i="17" s="1"/>
  <c r="BJ228" i="17"/>
  <c r="O346" i="17"/>
  <c r="M347" i="17"/>
  <c r="Q346" i="17"/>
  <c r="S346" i="17" s="1"/>
  <c r="AF254" i="17" l="1"/>
  <c r="AG254" i="17" s="1"/>
  <c r="AH254" i="17" s="1"/>
  <c r="AS254" i="17" s="1"/>
  <c r="AT254" i="17" s="1"/>
  <c r="AM253" i="17"/>
  <c r="AN253" i="17" s="1"/>
  <c r="AO253" i="17" s="1"/>
  <c r="AP253" i="17" s="1"/>
  <c r="AR253" i="17" s="1"/>
  <c r="AU253" i="17"/>
  <c r="AV253" i="17" s="1"/>
  <c r="AT253" i="17"/>
  <c r="AW253" i="17" s="1"/>
  <c r="Z254" i="17"/>
  <c r="U255" i="17" s="1"/>
  <c r="AC255" i="17" s="1"/>
  <c r="BO228" i="17"/>
  <c r="BP228" i="17" s="1"/>
  <c r="BN228" i="17"/>
  <c r="AF562" i="15" s="1"/>
  <c r="BC229" i="17"/>
  <c r="E347" i="17"/>
  <c r="L347" i="17" s="1"/>
  <c r="P347" i="17"/>
  <c r="AU254" i="17" l="1"/>
  <c r="AV254" i="17" s="1"/>
  <c r="AL254" i="17"/>
  <c r="AY254" i="17" s="1"/>
  <c r="W255" i="17"/>
  <c r="Y255" i="17" s="1"/>
  <c r="AX253" i="17"/>
  <c r="AZ253" i="17" s="1"/>
  <c r="AQ253" i="17"/>
  <c r="AD255" i="17"/>
  <c r="AE255" i="17" s="1"/>
  <c r="BD229" i="17"/>
  <c r="BE229" i="17" s="1"/>
  <c r="BF229" i="17" s="1"/>
  <c r="BH229" i="17"/>
  <c r="AL313" i="15"/>
  <c r="BQ228" i="17"/>
  <c r="N347" i="17"/>
  <c r="Q347" i="17"/>
  <c r="S347" i="17" s="1"/>
  <c r="AM254" i="17" l="1"/>
  <c r="AN254" i="17" s="1"/>
  <c r="AO254" i="17" s="1"/>
  <c r="AA255" i="17"/>
  <c r="AK255" i="17" s="1"/>
  <c r="AW254" i="17"/>
  <c r="AX254" i="17" s="1"/>
  <c r="AZ254" i="17" s="1"/>
  <c r="Z255" i="17"/>
  <c r="AB255" i="17"/>
  <c r="BG229" i="17"/>
  <c r="BI229" i="17"/>
  <c r="BK229" i="17"/>
  <c r="BL229" i="17" s="1"/>
  <c r="BM229" i="17" s="1"/>
  <c r="BJ229" i="17"/>
  <c r="M348" i="17"/>
  <c r="O347" i="17"/>
  <c r="AP254" i="17" l="1"/>
  <c r="AQ254" i="17" s="1"/>
  <c r="AF255" i="17"/>
  <c r="AG255" i="17" s="1"/>
  <c r="AL255" i="17" s="1"/>
  <c r="U256" i="17"/>
  <c r="W256" i="17" s="1"/>
  <c r="AA256" i="17" s="1"/>
  <c r="AK256" i="17" s="1"/>
  <c r="BO229" i="17"/>
  <c r="BP229" i="17" s="1"/>
  <c r="BN229" i="17"/>
  <c r="AF565" i="15" s="1"/>
  <c r="BC230" i="17"/>
  <c r="BD230" i="17" s="1"/>
  <c r="P348" i="17"/>
  <c r="E348" i="17"/>
  <c r="L348" i="17" s="1"/>
  <c r="AH255" i="17" l="1"/>
  <c r="AS255" i="17" s="1"/>
  <c r="AR254" i="17"/>
  <c r="AC256" i="17"/>
  <c r="Y256" i="17"/>
  <c r="AB256" i="17" s="1"/>
  <c r="AY255" i="17"/>
  <c r="AM255" i="17"/>
  <c r="AN255" i="17" s="1"/>
  <c r="AO255" i="17" s="1"/>
  <c r="BE230" i="17"/>
  <c r="BF230" i="17" s="1"/>
  <c r="BH230" i="17"/>
  <c r="BK230" i="17"/>
  <c r="BL230" i="17" s="1"/>
  <c r="BM230" i="17" s="1"/>
  <c r="BJ230" i="17"/>
  <c r="AL314" i="15"/>
  <c r="BQ229" i="17"/>
  <c r="N348" i="17"/>
  <c r="Q348" i="17"/>
  <c r="S348" i="17" s="1"/>
  <c r="Z256" i="17" l="1"/>
  <c r="U257" i="17" s="1"/>
  <c r="AC257" i="17" s="1"/>
  <c r="AU255" i="17"/>
  <c r="AV255" i="17" s="1"/>
  <c r="AT255" i="17"/>
  <c r="AW255" i="17" s="1"/>
  <c r="AX255" i="17" s="1"/>
  <c r="AZ255" i="17" s="1"/>
  <c r="AD256" i="17"/>
  <c r="AE256" i="17" s="1"/>
  <c r="AF256" i="17" s="1"/>
  <c r="AG256" i="17" s="1"/>
  <c r="AH256" i="17" s="1"/>
  <c r="AS256" i="17" s="1"/>
  <c r="AT256" i="17" s="1"/>
  <c r="BG230" i="17"/>
  <c r="BI230" i="17"/>
  <c r="O348" i="17"/>
  <c r="M349" i="17"/>
  <c r="E349" i="17" s="1"/>
  <c r="L349" i="17" s="1"/>
  <c r="AP255" i="17"/>
  <c r="AQ255" i="17" s="1"/>
  <c r="AW256" i="17" l="1"/>
  <c r="AX256" i="17" s="1"/>
  <c r="AZ256" i="17" s="1"/>
  <c r="W257" i="17"/>
  <c r="AA257" i="17" s="1"/>
  <c r="AK257" i="17" s="1"/>
  <c r="AL256" i="17"/>
  <c r="AY256" i="17" s="1"/>
  <c r="AU256" i="17"/>
  <c r="AV256" i="17" s="1"/>
  <c r="AD257" i="17"/>
  <c r="AE257" i="17" s="1"/>
  <c r="BO230" i="17"/>
  <c r="BP230" i="17" s="1"/>
  <c r="BN230" i="17"/>
  <c r="AF568" i="15" s="1"/>
  <c r="BC231" i="17"/>
  <c r="N349" i="17"/>
  <c r="AR255" i="17"/>
  <c r="P349" i="17"/>
  <c r="Y257" i="17" l="1"/>
  <c r="AB257" i="17" s="1"/>
  <c r="AF257" i="17" s="1"/>
  <c r="AG257" i="17" s="1"/>
  <c r="AM256" i="17"/>
  <c r="AN256" i="17" s="1"/>
  <c r="BD231" i="17"/>
  <c r="BE231" i="17" s="1"/>
  <c r="BF231" i="17" s="1"/>
  <c r="BH231" i="17"/>
  <c r="AL315" i="15"/>
  <c r="BQ230" i="17"/>
  <c r="O349" i="17"/>
  <c r="M350" i="17"/>
  <c r="E350" i="17" s="1"/>
  <c r="L350" i="17" s="1"/>
  <c r="Q349" i="17"/>
  <c r="S349" i="17" s="1"/>
  <c r="Z257" i="17" l="1"/>
  <c r="U258" i="17" s="1"/>
  <c r="AC258" i="17" s="1"/>
  <c r="AD258" i="17" s="1"/>
  <c r="AO256" i="17"/>
  <c r="AP256" i="17" s="1"/>
  <c r="AQ256" i="17" s="1"/>
  <c r="AH257" i="17"/>
  <c r="AS257" i="17" s="1"/>
  <c r="AL257" i="17"/>
  <c r="AY257" i="17" s="1"/>
  <c r="BG231" i="17"/>
  <c r="BI231" i="17"/>
  <c r="BK231" i="17"/>
  <c r="BL231" i="17" s="1"/>
  <c r="BM231" i="17" s="1"/>
  <c r="BJ231" i="17"/>
  <c r="P350" i="17"/>
  <c r="N350" i="17"/>
  <c r="W258" i="17" l="1"/>
  <c r="AA258" i="17" s="1"/>
  <c r="AK258" i="17" s="1"/>
  <c r="AR256" i="17"/>
  <c r="AM257" i="17"/>
  <c r="AN257" i="17" s="1"/>
  <c r="AO257" i="17" s="1"/>
  <c r="AP257" i="17" s="1"/>
  <c r="AR257" i="17" s="1"/>
  <c r="AT257" i="17"/>
  <c r="AW257" i="17" s="1"/>
  <c r="AX257" i="17" s="1"/>
  <c r="AZ257" i="17" s="1"/>
  <c r="AU257" i="17"/>
  <c r="AV257" i="17" s="1"/>
  <c r="BO231" i="17"/>
  <c r="BP231" i="17" s="1"/>
  <c r="BN231" i="17"/>
  <c r="AF570" i="15" s="1"/>
  <c r="BC232" i="17"/>
  <c r="BH232" i="17" s="1"/>
  <c r="M351" i="17"/>
  <c r="E351" i="17" s="1"/>
  <c r="L351" i="17" s="1"/>
  <c r="O350" i="17"/>
  <c r="AE258" i="17"/>
  <c r="Q350" i="17"/>
  <c r="S350" i="17" s="1"/>
  <c r="Y258" i="17" l="1"/>
  <c r="AB258" i="17" s="1"/>
  <c r="AF258" i="17" s="1"/>
  <c r="AG258" i="17" s="1"/>
  <c r="AH258" i="17" s="1"/>
  <c r="AS258" i="17" s="1"/>
  <c r="AT258" i="17" s="1"/>
  <c r="AW258" i="17" s="1"/>
  <c r="AX258" i="17" s="1"/>
  <c r="AZ258" i="17" s="1"/>
  <c r="AQ257" i="17"/>
  <c r="BD232" i="17"/>
  <c r="AL316" i="15"/>
  <c r="BQ231" i="17"/>
  <c r="P351" i="17"/>
  <c r="Q351" i="17" s="1"/>
  <c r="S351" i="17" s="1"/>
  <c r="N351" i="17"/>
  <c r="Z258" i="17" l="1"/>
  <c r="U259" i="17" s="1"/>
  <c r="AC259" i="17" s="1"/>
  <c r="AD259" i="17" s="1"/>
  <c r="AE259" i="17" s="1"/>
  <c r="AL258" i="17"/>
  <c r="AY258" i="17" s="1"/>
  <c r="AU258" i="17"/>
  <c r="AV258" i="17" s="1"/>
  <c r="BK232" i="17"/>
  <c r="BL232" i="17" s="1"/>
  <c r="BM232" i="17" s="1"/>
  <c r="BJ232" i="17"/>
  <c r="BE232" i="17"/>
  <c r="BF232" i="17" s="1"/>
  <c r="O351" i="17"/>
  <c r="M352" i="17"/>
  <c r="W259" i="17" l="1"/>
  <c r="AA259" i="17" s="1"/>
  <c r="AK259" i="17" s="1"/>
  <c r="AM258" i="17"/>
  <c r="AN258" i="17" s="1"/>
  <c r="BG232" i="17"/>
  <c r="BI232" i="17"/>
  <c r="Y259" i="17"/>
  <c r="AB259" i="17" s="1"/>
  <c r="P352" i="17"/>
  <c r="E352" i="17"/>
  <c r="L352" i="17" s="1"/>
  <c r="AO258" i="17" l="1"/>
  <c r="AP258" i="17" s="1"/>
  <c r="AQ258" i="17" s="1"/>
  <c r="BO232" i="17"/>
  <c r="BP232" i="17" s="1"/>
  <c r="BN232" i="17"/>
  <c r="AF571" i="15" s="1"/>
  <c r="Z259" i="17"/>
  <c r="U260" i="17" s="1"/>
  <c r="AC260" i="17" s="1"/>
  <c r="AD260" i="17" s="1"/>
  <c r="BC233" i="17"/>
  <c r="BH233" i="17" s="1"/>
  <c r="AF259" i="17"/>
  <c r="AG259" i="17" s="1"/>
  <c r="N352" i="17"/>
  <c r="Q352" i="17"/>
  <c r="S352" i="17" s="1"/>
  <c r="AH259" i="17" l="1"/>
  <c r="AS259" i="17" s="1"/>
  <c r="W260" i="17"/>
  <c r="AA260" i="17" s="1"/>
  <c r="AK260" i="17" s="1"/>
  <c r="AL259" i="17"/>
  <c r="AY259" i="17" s="1"/>
  <c r="BD233" i="17"/>
  <c r="BE233" i="17" s="1"/>
  <c r="BF233" i="17" s="1"/>
  <c r="AL317" i="15"/>
  <c r="BQ232" i="17"/>
  <c r="AR258" i="17"/>
  <c r="AE260" i="17"/>
  <c r="O352" i="17"/>
  <c r="M353" i="17"/>
  <c r="AM259" i="17" l="1"/>
  <c r="AN259" i="17" s="1"/>
  <c r="AO259" i="17" s="1"/>
  <c r="AP259" i="17" s="1"/>
  <c r="AR259" i="17" s="1"/>
  <c r="Y260" i="17"/>
  <c r="AB260" i="17" s="1"/>
  <c r="AF260" i="17" s="1"/>
  <c r="AG260" i="17" s="1"/>
  <c r="AH260" i="17" s="1"/>
  <c r="AS260" i="17" s="1"/>
  <c r="AT260" i="17" s="1"/>
  <c r="AT259" i="17"/>
  <c r="AW259" i="17" s="1"/>
  <c r="AU259" i="17"/>
  <c r="AV259" i="17" s="1"/>
  <c r="BG233" i="17"/>
  <c r="BI233" i="17"/>
  <c r="BK233" i="17"/>
  <c r="BL233" i="17" s="1"/>
  <c r="BM233" i="17" s="1"/>
  <c r="BJ233" i="17"/>
  <c r="P353" i="17"/>
  <c r="E353" i="17"/>
  <c r="L353" i="17" s="1"/>
  <c r="Z260" i="17" l="1"/>
  <c r="U261" i="17" s="1"/>
  <c r="AC261" i="17" s="1"/>
  <c r="AD261" i="17" s="1"/>
  <c r="AQ259" i="17"/>
  <c r="AU260" i="17"/>
  <c r="AV260" i="17" s="1"/>
  <c r="AL260" i="17"/>
  <c r="AY260" i="17" s="1"/>
  <c r="AX259" i="17"/>
  <c r="AZ259" i="17" s="1"/>
  <c r="BO233" i="17"/>
  <c r="BP233" i="17" s="1"/>
  <c r="BN233" i="17"/>
  <c r="AF574" i="15" s="1"/>
  <c r="BC234" i="17"/>
  <c r="N353" i="17"/>
  <c r="Q353" i="17"/>
  <c r="S353" i="17" s="1"/>
  <c r="W261" i="17" l="1"/>
  <c r="AA261" i="17" s="1"/>
  <c r="AK261" i="17" s="1"/>
  <c r="AW260" i="17"/>
  <c r="AX260" i="17" s="1"/>
  <c r="AZ260" i="17" s="1"/>
  <c r="AM260" i="17"/>
  <c r="AN260" i="17" s="1"/>
  <c r="AO260" i="17" s="1"/>
  <c r="BH234" i="17"/>
  <c r="AL318" i="15"/>
  <c r="BQ233" i="17"/>
  <c r="BD234" i="17"/>
  <c r="AE261" i="17"/>
  <c r="M354" i="17"/>
  <c r="E354" i="17" s="1"/>
  <c r="L354" i="17" s="1"/>
  <c r="O353" i="17"/>
  <c r="Y261" i="17" l="1"/>
  <c r="AB261" i="17" s="1"/>
  <c r="AF261" i="17" s="1"/>
  <c r="AG261" i="17" s="1"/>
  <c r="AL261" i="17" s="1"/>
  <c r="AY261" i="17" s="1"/>
  <c r="BK234" i="17"/>
  <c r="BL234" i="17" s="1"/>
  <c r="BM234" i="17" s="1"/>
  <c r="BJ234" i="17"/>
  <c r="BE234" i="17"/>
  <c r="BF234" i="17" s="1"/>
  <c r="P354" i="17"/>
  <c r="N354" i="17"/>
  <c r="AP260" i="17"/>
  <c r="Z261" i="17" l="1"/>
  <c r="U262" i="17" s="1"/>
  <c r="AC262" i="17" s="1"/>
  <c r="AD262" i="17" s="1"/>
  <c r="AM261" i="17"/>
  <c r="AN261" i="17" s="1"/>
  <c r="AO261" i="17" s="1"/>
  <c r="AH261" i="17"/>
  <c r="AS261" i="17" s="1"/>
  <c r="AU261" i="17" s="1"/>
  <c r="AV261" i="17" s="1"/>
  <c r="BG234" i="17"/>
  <c r="BI234" i="17"/>
  <c r="AQ260" i="17"/>
  <c r="O354" i="17"/>
  <c r="M355" i="17"/>
  <c r="Q354" i="17"/>
  <c r="S354" i="17" s="1"/>
  <c r="AR260" i="17"/>
  <c r="W262" i="17" l="1"/>
  <c r="AA262" i="17" s="1"/>
  <c r="AK262" i="17" s="1"/>
  <c r="AT261" i="17"/>
  <c r="AW261" i="17" s="1"/>
  <c r="AX261" i="17" s="1"/>
  <c r="AZ261" i="17" s="1"/>
  <c r="BO234" i="17"/>
  <c r="BP234" i="17" s="1"/>
  <c r="BN234" i="17"/>
  <c r="AF577" i="15" s="1"/>
  <c r="BC235" i="17"/>
  <c r="BH235" i="17" s="1"/>
  <c r="P355" i="17"/>
  <c r="Q355" i="17" s="1"/>
  <c r="S355" i="17" s="1"/>
  <c r="E355" i="17"/>
  <c r="L355" i="17" s="1"/>
  <c r="N355" i="17" s="1"/>
  <c r="AP261" i="17"/>
  <c r="AR261" i="17" s="1"/>
  <c r="AE262" i="17"/>
  <c r="Y262" i="17" l="1"/>
  <c r="AB262" i="17" s="1"/>
  <c r="AF262" i="17" s="1"/>
  <c r="AG262" i="17" s="1"/>
  <c r="AH262" i="17" s="1"/>
  <c r="AS262" i="17" s="1"/>
  <c r="BD235" i="17"/>
  <c r="AL319" i="15"/>
  <c r="BQ234" i="17"/>
  <c r="AQ261" i="17"/>
  <c r="O355" i="17"/>
  <c r="M356" i="17"/>
  <c r="Z262" i="17" l="1"/>
  <c r="U263" i="17" s="1"/>
  <c r="AC263" i="17" s="1"/>
  <c r="AD263" i="17" s="1"/>
  <c r="AE263" i="17" s="1"/>
  <c r="AT262" i="17"/>
  <c r="AW262" i="17" s="1"/>
  <c r="AX262" i="17" s="1"/>
  <c r="AZ262" i="17" s="1"/>
  <c r="AU262" i="17"/>
  <c r="AV262" i="17" s="1"/>
  <c r="AL262" i="17"/>
  <c r="BK235" i="17"/>
  <c r="BL235" i="17" s="1"/>
  <c r="BM235" i="17" s="1"/>
  <c r="BJ235" i="17"/>
  <c r="BE235" i="17"/>
  <c r="BF235" i="17" s="1"/>
  <c r="P356" i="17"/>
  <c r="E356" i="17"/>
  <c r="L356" i="17" s="1"/>
  <c r="W263" i="17" l="1"/>
  <c r="Y263" i="17" s="1"/>
  <c r="AB263" i="17" s="1"/>
  <c r="AY262" i="17"/>
  <c r="AM262" i="17"/>
  <c r="AN262" i="17" s="1"/>
  <c r="AO262" i="17" s="1"/>
  <c r="AP262" i="17" s="1"/>
  <c r="AR262" i="17" s="1"/>
  <c r="BG235" i="17"/>
  <c r="BI235" i="17"/>
  <c r="Q356" i="17"/>
  <c r="S356" i="17" s="1"/>
  <c r="N356" i="17"/>
  <c r="AA263" i="17" l="1"/>
  <c r="AK263" i="17" s="1"/>
  <c r="Z263" i="17"/>
  <c r="U264" i="17" s="1"/>
  <c r="AC264" i="17" s="1"/>
  <c r="BC236" i="17"/>
  <c r="BO235" i="17"/>
  <c r="BP235" i="17" s="1"/>
  <c r="BN235" i="17"/>
  <c r="AF546" i="15" s="1"/>
  <c r="O356" i="17"/>
  <c r="M357" i="17"/>
  <c r="AF263" i="17"/>
  <c r="AG263" i="17" s="1"/>
  <c r="AQ262" i="17"/>
  <c r="AH263" i="17" l="1"/>
  <c r="AS263" i="17" s="1"/>
  <c r="AL263" i="17"/>
  <c r="AY263" i="17" s="1"/>
  <c r="AL320" i="15"/>
  <c r="BQ235" i="17"/>
  <c r="BD236" i="17"/>
  <c r="BH236" i="17"/>
  <c r="AD264" i="17"/>
  <c r="P357" i="17"/>
  <c r="Q357" i="17" s="1"/>
  <c r="W264" i="17"/>
  <c r="Y264" i="17" s="1"/>
  <c r="AB264" i="17" s="1"/>
  <c r="E357" i="17"/>
  <c r="L357" i="17" s="1"/>
  <c r="AM263" i="17" l="1"/>
  <c r="AN263" i="17" s="1"/>
  <c r="AT263" i="17"/>
  <c r="AW263" i="17" s="1"/>
  <c r="AX263" i="17" s="1"/>
  <c r="AZ263" i="17" s="1"/>
  <c r="AU263" i="17"/>
  <c r="AV263" i="17" s="1"/>
  <c r="BK236" i="17"/>
  <c r="BL236" i="17" s="1"/>
  <c r="BM236" i="17" s="1"/>
  <c r="BJ236" i="17"/>
  <c r="BE236" i="17"/>
  <c r="BF236" i="17" s="1"/>
  <c r="N357" i="17"/>
  <c r="S357" i="17"/>
  <c r="AE264" i="17"/>
  <c r="AF264" i="17" s="1"/>
  <c r="AG264" i="17" s="1"/>
  <c r="AH264" i="17" s="1"/>
  <c r="AS264" i="17" s="1"/>
  <c r="AT264" i="17" s="1"/>
  <c r="AA264" i="17"/>
  <c r="AK264" i="17" s="1"/>
  <c r="Z264" i="17"/>
  <c r="AW264" i="17" l="1"/>
  <c r="AX264" i="17" s="1"/>
  <c r="AZ264" i="17" s="1"/>
  <c r="AL264" i="17"/>
  <c r="AY264" i="17" s="1"/>
  <c r="AU264" i="17"/>
  <c r="AV264" i="17" s="1"/>
  <c r="BG236" i="17"/>
  <c r="BI236" i="17"/>
  <c r="AO263" i="17"/>
  <c r="O357" i="17"/>
  <c r="M358" i="17"/>
  <c r="E358" i="17" s="1"/>
  <c r="L358" i="17" s="1"/>
  <c r="U265" i="17"/>
  <c r="AC265" i="17" s="1"/>
  <c r="AM264" i="17" l="1"/>
  <c r="AN264" i="17" s="1"/>
  <c r="BO236" i="17"/>
  <c r="BP236" i="17" s="1"/>
  <c r="BN236" i="17"/>
  <c r="AF576" i="15" s="1"/>
  <c r="BC237" i="17"/>
  <c r="BD237" i="17" s="1"/>
  <c r="N358" i="17"/>
  <c r="AD265" i="17"/>
  <c r="AP263" i="17"/>
  <c r="W265" i="17"/>
  <c r="AA265" i="17" s="1"/>
  <c r="AK265" i="17" s="1"/>
  <c r="P358" i="17"/>
  <c r="BK237" i="17" l="1"/>
  <c r="BL237" i="17" s="1"/>
  <c r="BM237" i="17" s="1"/>
  <c r="BJ237" i="17"/>
  <c r="BH237" i="17"/>
  <c r="BE237" i="17"/>
  <c r="BF237" i="17" s="1"/>
  <c r="AL321" i="15"/>
  <c r="BQ236" i="17"/>
  <c r="AO264" i="17"/>
  <c r="AR263" i="17"/>
  <c r="Y265" i="17"/>
  <c r="AB265" i="17" s="1"/>
  <c r="Q358" i="17"/>
  <c r="S358" i="17" s="1"/>
  <c r="AQ263" i="17"/>
  <c r="O358" i="17"/>
  <c r="M359" i="17"/>
  <c r="AE265" i="17"/>
  <c r="BG237" i="17" l="1"/>
  <c r="BI237" i="17"/>
  <c r="Z265" i="17"/>
  <c r="U266" i="17" s="1"/>
  <c r="AC266" i="17" s="1"/>
  <c r="E359" i="17"/>
  <c r="L359" i="17" s="1"/>
  <c r="P359" i="17"/>
  <c r="AF265" i="17"/>
  <c r="AG265" i="17" s="1"/>
  <c r="AP264" i="17"/>
  <c r="AQ264" i="17" s="1"/>
  <c r="AH265" i="17" l="1"/>
  <c r="AS265" i="17" s="1"/>
  <c r="AL265" i="17"/>
  <c r="AY265" i="17" s="1"/>
  <c r="BC238" i="17"/>
  <c r="BO237" i="17"/>
  <c r="BP237" i="17" s="1"/>
  <c r="BN237" i="17"/>
  <c r="AF580" i="15" s="1"/>
  <c r="W266" i="17"/>
  <c r="AA266" i="17" s="1"/>
  <c r="AK266" i="17" s="1"/>
  <c r="Q359" i="17"/>
  <c r="S359" i="17" s="1"/>
  <c r="AR264" i="17"/>
  <c r="N359" i="17"/>
  <c r="AD266" i="17"/>
  <c r="AU265" i="17" l="1"/>
  <c r="AV265" i="17" s="1"/>
  <c r="AT265" i="17"/>
  <c r="AW265" i="17" s="1"/>
  <c r="AX265" i="17" s="1"/>
  <c r="AZ265" i="17" s="1"/>
  <c r="AM265" i="17"/>
  <c r="AN265" i="17" s="1"/>
  <c r="AO265" i="17" s="1"/>
  <c r="AP265" i="17" s="1"/>
  <c r="AL322" i="15"/>
  <c r="BQ237" i="17"/>
  <c r="BD238" i="17"/>
  <c r="BH238" i="17"/>
  <c r="Y266" i="17"/>
  <c r="M360" i="17"/>
  <c r="O359" i="17"/>
  <c r="AE266" i="17"/>
  <c r="BK238" i="17" l="1"/>
  <c r="BL238" i="17" s="1"/>
  <c r="BM238" i="17" s="1"/>
  <c r="BJ238" i="17"/>
  <c r="BE238" i="17"/>
  <c r="BF238" i="17" s="1"/>
  <c r="AQ265" i="17"/>
  <c r="P360" i="17"/>
  <c r="AR265" i="17"/>
  <c r="E360" i="17"/>
  <c r="L360" i="17" s="1"/>
  <c r="AB266" i="17"/>
  <c r="Z266" i="17"/>
  <c r="BG238" i="17" l="1"/>
  <c r="BI238" i="17"/>
  <c r="N360" i="17"/>
  <c r="Q360" i="17"/>
  <c r="S360" i="17" s="1"/>
  <c r="AF266" i="17"/>
  <c r="AG266" i="17" s="1"/>
  <c r="AH266" i="17" s="1"/>
  <c r="AS266" i="17" s="1"/>
  <c r="U267" i="17"/>
  <c r="AC267" i="17" s="1"/>
  <c r="AT266" i="17" l="1"/>
  <c r="AW266" i="17" s="1"/>
  <c r="AX266" i="17" s="1"/>
  <c r="AZ266" i="17" s="1"/>
  <c r="AU266" i="17"/>
  <c r="AV266" i="17" s="1"/>
  <c r="AL266" i="17"/>
  <c r="AY266" i="17" s="1"/>
  <c r="BO238" i="17"/>
  <c r="BP238" i="17" s="1"/>
  <c r="BN238" i="17"/>
  <c r="AF584" i="15" s="1"/>
  <c r="BC239" i="17"/>
  <c r="BD239" i="17" s="1"/>
  <c r="W267" i="17"/>
  <c r="AA267" i="17" s="1"/>
  <c r="AK267" i="17" s="1"/>
  <c r="AD267" i="17"/>
  <c r="O360" i="17"/>
  <c r="M361" i="17"/>
  <c r="E361" i="17" s="1"/>
  <c r="L361" i="17" s="1"/>
  <c r="AM266" i="17" l="1"/>
  <c r="AN266" i="17" s="1"/>
  <c r="AO266" i="17" s="1"/>
  <c r="BK239" i="17"/>
  <c r="BL239" i="17" s="1"/>
  <c r="BM239" i="17" s="1"/>
  <c r="BJ239" i="17"/>
  <c r="BH239" i="17"/>
  <c r="BE239" i="17"/>
  <c r="BF239" i="17" s="1"/>
  <c r="AL323" i="15"/>
  <c r="BQ238" i="17"/>
  <c r="Y267" i="17"/>
  <c r="P361" i="17"/>
  <c r="AE267" i="17"/>
  <c r="N361" i="17"/>
  <c r="BG239" i="17" l="1"/>
  <c r="BI239" i="17"/>
  <c r="AB267" i="17"/>
  <c r="Z267" i="17"/>
  <c r="U268" i="17" s="1"/>
  <c r="AC268" i="17" s="1"/>
  <c r="AP266" i="17"/>
  <c r="AR266" i="17" s="1"/>
  <c r="O361" i="17"/>
  <c r="M362" i="17"/>
  <c r="Q361" i="17"/>
  <c r="S361" i="17" s="1"/>
  <c r="BO239" i="17" l="1"/>
  <c r="BP239" i="17" s="1"/>
  <c r="BN239" i="17"/>
  <c r="AF586" i="15" s="1"/>
  <c r="AF267" i="17"/>
  <c r="AG267" i="17" s="1"/>
  <c r="W268" i="17"/>
  <c r="Y268" i="17" s="1"/>
  <c r="BC240" i="17"/>
  <c r="AD268" i="17"/>
  <c r="AE268" i="17" s="1"/>
  <c r="E362" i="17"/>
  <c r="L362" i="17" s="1"/>
  <c r="P362" i="17"/>
  <c r="AQ266" i="17"/>
  <c r="AA268" i="17" l="1"/>
  <c r="AK268" i="17" s="1"/>
  <c r="AH267" i="17"/>
  <c r="AS267" i="17" s="1"/>
  <c r="AL267" i="17"/>
  <c r="BD240" i="17"/>
  <c r="BE240" i="17" s="1"/>
  <c r="BF240" i="17" s="1"/>
  <c r="BH240" i="17"/>
  <c r="AL324" i="15"/>
  <c r="BQ239" i="17"/>
  <c r="Q362" i="17"/>
  <c r="S362" i="17" s="1"/>
  <c r="AB268" i="17"/>
  <c r="Z268" i="17"/>
  <c r="N362" i="17"/>
  <c r="AY267" i="17" l="1"/>
  <c r="AM267" i="17"/>
  <c r="AN267" i="17" s="1"/>
  <c r="AO267" i="17" s="1"/>
  <c r="AP267" i="17" s="1"/>
  <c r="AT267" i="17"/>
  <c r="AW267" i="17" s="1"/>
  <c r="AU267" i="17"/>
  <c r="AV267" i="17" s="1"/>
  <c r="BG240" i="17"/>
  <c r="BI240" i="17"/>
  <c r="BK240" i="17"/>
  <c r="BL240" i="17" s="1"/>
  <c r="BM240" i="17" s="1"/>
  <c r="BJ240" i="17"/>
  <c r="M363" i="17"/>
  <c r="O362" i="17"/>
  <c r="U269" i="17"/>
  <c r="AC269" i="17" s="1"/>
  <c r="AF268" i="17"/>
  <c r="AG268" i="17" s="1"/>
  <c r="AH268" i="17" s="1"/>
  <c r="AS268" i="17" s="1"/>
  <c r="AT268" i="17" s="1"/>
  <c r="AR267" i="17" l="1"/>
  <c r="AQ267" i="17"/>
  <c r="AU268" i="17"/>
  <c r="AV268" i="17" s="1"/>
  <c r="AX267" i="17"/>
  <c r="AZ267" i="17" s="1"/>
  <c r="AL268" i="17"/>
  <c r="AY268" i="17" s="1"/>
  <c r="BO240" i="17"/>
  <c r="BP240" i="17" s="1"/>
  <c r="BN240" i="17"/>
  <c r="AF590" i="15" s="1"/>
  <c r="BC241" i="17"/>
  <c r="BH241" i="17" s="1"/>
  <c r="AD269" i="17"/>
  <c r="P363" i="17"/>
  <c r="W269" i="17"/>
  <c r="AA269" i="17" s="1"/>
  <c r="AK269" i="17" s="1"/>
  <c r="E363" i="17"/>
  <c r="L363" i="17" s="1"/>
  <c r="AM268" i="17" l="1"/>
  <c r="AN268" i="17" s="1"/>
  <c r="AW268" i="17"/>
  <c r="AX268" i="17" s="1"/>
  <c r="AZ268" i="17" s="1"/>
  <c r="BD241" i="17"/>
  <c r="BE241" i="17" s="1"/>
  <c r="BF241" i="17" s="1"/>
  <c r="AL325" i="15"/>
  <c r="BQ240" i="17"/>
  <c r="N363" i="17"/>
  <c r="Y269" i="17"/>
  <c r="AB269" i="17" s="1"/>
  <c r="Q363" i="17"/>
  <c r="S363" i="17" s="1"/>
  <c r="AE269" i="17"/>
  <c r="BG241" i="17" l="1"/>
  <c r="BI241" i="17"/>
  <c r="BK241" i="17"/>
  <c r="BL241" i="17" s="1"/>
  <c r="BM241" i="17" s="1"/>
  <c r="BJ241" i="17"/>
  <c r="AF269" i="17"/>
  <c r="AG269" i="17" s="1"/>
  <c r="AL269" i="17" s="1"/>
  <c r="AY269" i="17" s="1"/>
  <c r="AO268" i="17"/>
  <c r="Z269" i="17"/>
  <c r="O363" i="17"/>
  <c r="M364" i="17"/>
  <c r="AH269" i="17" l="1"/>
  <c r="AS269" i="17" s="1"/>
  <c r="BO241" i="17"/>
  <c r="BP241" i="17" s="1"/>
  <c r="BN241" i="17"/>
  <c r="AF592" i="15" s="1"/>
  <c r="BC242" i="17"/>
  <c r="BH242" i="17" s="1"/>
  <c r="P364" i="17"/>
  <c r="AM269" i="17"/>
  <c r="U270" i="17"/>
  <c r="AC270" i="17" s="1"/>
  <c r="E364" i="17"/>
  <c r="L364" i="17" s="1"/>
  <c r="AP268" i="17"/>
  <c r="AQ268" i="17" s="1"/>
  <c r="AU269" i="17" l="1"/>
  <c r="AV269" i="17" s="1"/>
  <c r="AT269" i="17"/>
  <c r="AW269" i="17" s="1"/>
  <c r="AX269" i="17" s="1"/>
  <c r="AZ269" i="17" s="1"/>
  <c r="BD242" i="17"/>
  <c r="AL326" i="15"/>
  <c r="BQ241" i="17"/>
  <c r="W270" i="17"/>
  <c r="AA270" i="17" s="1"/>
  <c r="AK270" i="17" s="1"/>
  <c r="N364" i="17"/>
  <c r="AN269" i="17"/>
  <c r="Q364" i="17"/>
  <c r="S364" i="17" s="1"/>
  <c r="AR268" i="17"/>
  <c r="AD270" i="17"/>
  <c r="Y270" i="17" l="1"/>
  <c r="AB270" i="17" s="1"/>
  <c r="BK242" i="17"/>
  <c r="BL242" i="17" s="1"/>
  <c r="BM242" i="17" s="1"/>
  <c r="BJ242" i="17"/>
  <c r="BE242" i="17"/>
  <c r="BF242" i="17" s="1"/>
  <c r="AE270" i="17"/>
  <c r="AO269" i="17"/>
  <c r="AP269" i="17" s="1"/>
  <c r="AR269" i="17" s="1"/>
  <c r="O364" i="17"/>
  <c r="M365" i="17"/>
  <c r="E365" i="17" s="1"/>
  <c r="L365" i="17" s="1"/>
  <c r="Z270" i="17" l="1"/>
  <c r="U271" i="17" s="1"/>
  <c r="AC271" i="17" s="1"/>
  <c r="AF270" i="17"/>
  <c r="AG270" i="17" s="1"/>
  <c r="AH270" i="17" s="1"/>
  <c r="AS270" i="17" s="1"/>
  <c r="BG242" i="17"/>
  <c r="BI242" i="17"/>
  <c r="AQ269" i="17"/>
  <c r="N365" i="17"/>
  <c r="P365" i="17"/>
  <c r="AL270" i="17" l="1"/>
  <c r="AY270" i="17" s="1"/>
  <c r="AT270" i="17"/>
  <c r="AW270" i="17" s="1"/>
  <c r="AX270" i="17" s="1"/>
  <c r="AZ270" i="17" s="1"/>
  <c r="AU270" i="17"/>
  <c r="AV270" i="17" s="1"/>
  <c r="BO242" i="17"/>
  <c r="BP242" i="17" s="1"/>
  <c r="BN242" i="17"/>
  <c r="AF594" i="15" s="1"/>
  <c r="BC243" i="17"/>
  <c r="BH243" i="17" s="1"/>
  <c r="Q365" i="17"/>
  <c r="S365" i="17" s="1"/>
  <c r="W271" i="17"/>
  <c r="AA271" i="17" s="1"/>
  <c r="AK271" i="17" s="1"/>
  <c r="M366" i="17"/>
  <c r="E366" i="17" s="1"/>
  <c r="L366" i="17" s="1"/>
  <c r="O365" i="17"/>
  <c r="AD271" i="17"/>
  <c r="AM270" i="17" l="1"/>
  <c r="AN270" i="17" s="1"/>
  <c r="BD243" i="17"/>
  <c r="BK243" i="17" s="1"/>
  <c r="BL243" i="17" s="1"/>
  <c r="BM243" i="17" s="1"/>
  <c r="AL327" i="15"/>
  <c r="BQ242" i="17"/>
  <c r="P366" i="17"/>
  <c r="Q366" i="17" s="1"/>
  <c r="S366" i="17" s="1"/>
  <c r="Y271" i="17"/>
  <c r="AB271" i="17" s="1"/>
  <c r="AE271" i="17"/>
  <c r="N366" i="17"/>
  <c r="AO270" i="17" l="1"/>
  <c r="AP270" i="17" s="1"/>
  <c r="BE243" i="17"/>
  <c r="BF243" i="17" s="1"/>
  <c r="BI243" i="17" s="1"/>
  <c r="BJ243" i="17"/>
  <c r="Z271" i="17"/>
  <c r="U272" i="17" s="1"/>
  <c r="AC272" i="17" s="1"/>
  <c r="AF271" i="17"/>
  <c r="AG271" i="17" s="1"/>
  <c r="O366" i="17"/>
  <c r="M367" i="17"/>
  <c r="E367" i="17" s="1"/>
  <c r="L367" i="17" s="1"/>
  <c r="BG243" i="17" l="1"/>
  <c r="BC244" i="17" s="1"/>
  <c r="BD244" i="17" s="1"/>
  <c r="AH271" i="17"/>
  <c r="AS271" i="17" s="1"/>
  <c r="AL271" i="17"/>
  <c r="BO243" i="17"/>
  <c r="BP243" i="17" s="1"/>
  <c r="BN243" i="17"/>
  <c r="AF597" i="15" s="1"/>
  <c r="W272" i="17"/>
  <c r="AA272" i="17" s="1"/>
  <c r="AK272" i="17" s="1"/>
  <c r="N367" i="17"/>
  <c r="O367" i="17" s="1"/>
  <c r="P367" i="17"/>
  <c r="AD272" i="17"/>
  <c r="AR270" i="17"/>
  <c r="AQ270" i="17"/>
  <c r="Y272" i="17" l="1"/>
  <c r="AY271" i="17"/>
  <c r="AM271" i="17"/>
  <c r="AN271" i="17" s="1"/>
  <c r="AO271" i="17" s="1"/>
  <c r="AP271" i="17" s="1"/>
  <c r="AT271" i="17"/>
  <c r="AW271" i="17" s="1"/>
  <c r="AX271" i="17" s="1"/>
  <c r="AZ271" i="17" s="1"/>
  <c r="AU271" i="17"/>
  <c r="AV271" i="17" s="1"/>
  <c r="BK244" i="17"/>
  <c r="BL244" i="17" s="1"/>
  <c r="BM244" i="17" s="1"/>
  <c r="BJ244" i="17"/>
  <c r="BE244" i="17"/>
  <c r="BF244" i="17" s="1"/>
  <c r="BH244" i="17"/>
  <c r="M368" i="17"/>
  <c r="E368" i="17" s="1"/>
  <c r="L368" i="17" s="1"/>
  <c r="N368" i="17" s="1"/>
  <c r="AL328" i="15"/>
  <c r="BQ243" i="17"/>
  <c r="AB272" i="17"/>
  <c r="Z272" i="17"/>
  <c r="Q367" i="17"/>
  <c r="S367" i="17" s="1"/>
  <c r="AE272" i="17"/>
  <c r="BG244" i="17" l="1"/>
  <c r="BI244" i="17"/>
  <c r="P368" i="17"/>
  <c r="Q368" i="17" s="1"/>
  <c r="S368" i="17" s="1"/>
  <c r="AQ271" i="17"/>
  <c r="AR271" i="17"/>
  <c r="O368" i="17"/>
  <c r="M369" i="17"/>
  <c r="AF272" i="17"/>
  <c r="AG272" i="17" s="1"/>
  <c r="AH272" i="17" s="1"/>
  <c r="AS272" i="17" s="1"/>
  <c r="AT272" i="17" s="1"/>
  <c r="AW272" i="17" s="1"/>
  <c r="AX272" i="17" s="1"/>
  <c r="AZ272" i="17" s="1"/>
  <c r="U273" i="17"/>
  <c r="AC273" i="17" s="1"/>
  <c r="AL272" i="17" l="1"/>
  <c r="AY272" i="17" s="1"/>
  <c r="AU272" i="17"/>
  <c r="AV272" i="17" s="1"/>
  <c r="BO244" i="17"/>
  <c r="BP244" i="17" s="1"/>
  <c r="BN244" i="17"/>
  <c r="AF600" i="15" s="1"/>
  <c r="BC245" i="17"/>
  <c r="BH245" i="17" s="1"/>
  <c r="W273" i="17"/>
  <c r="AA273" i="17" s="1"/>
  <c r="AK273" i="17" s="1"/>
  <c r="E369" i="17"/>
  <c r="L369" i="17" s="1"/>
  <c r="P369" i="17"/>
  <c r="AD273" i="17"/>
  <c r="AM272" i="17" l="1"/>
  <c r="AN272" i="17" s="1"/>
  <c r="AO272" i="17" s="1"/>
  <c r="AP272" i="17" s="1"/>
  <c r="BD245" i="17"/>
  <c r="BE245" i="17" s="1"/>
  <c r="BF245" i="17" s="1"/>
  <c r="AL329" i="15"/>
  <c r="BQ244" i="17"/>
  <c r="N369" i="17"/>
  <c r="Y273" i="17"/>
  <c r="Q369" i="17"/>
  <c r="S369" i="17" s="1"/>
  <c r="AE273" i="17"/>
  <c r="BG245" i="17" l="1"/>
  <c r="BI245" i="17"/>
  <c r="BK245" i="17"/>
  <c r="BL245" i="17" s="1"/>
  <c r="BM245" i="17" s="1"/>
  <c r="BJ245" i="17"/>
  <c r="AR272" i="17"/>
  <c r="AQ272" i="17"/>
  <c r="O369" i="17"/>
  <c r="M370" i="17"/>
  <c r="E370" i="17" s="1"/>
  <c r="L370" i="17" s="1"/>
  <c r="AB273" i="17"/>
  <c r="Z273" i="17"/>
  <c r="BO245" i="17" l="1"/>
  <c r="BP245" i="17" s="1"/>
  <c r="BN245" i="17"/>
  <c r="AF602" i="15" s="1"/>
  <c r="BC246" i="17"/>
  <c r="BH246" i="17" s="1"/>
  <c r="U274" i="17"/>
  <c r="AC274" i="17" s="1"/>
  <c r="P370" i="17"/>
  <c r="AF273" i="17"/>
  <c r="AG273" i="17" s="1"/>
  <c r="AL273" i="17" s="1"/>
  <c r="AY273" i="17" s="1"/>
  <c r="N370" i="17"/>
  <c r="AH273" i="17" l="1"/>
  <c r="AS273" i="17" s="1"/>
  <c r="AL330" i="15"/>
  <c r="BQ245" i="17"/>
  <c r="BD246" i="17"/>
  <c r="Q370" i="17"/>
  <c r="S370" i="17" s="1"/>
  <c r="AD274" i="17"/>
  <c r="AE274" i="17" s="1"/>
  <c r="O370" i="17"/>
  <c r="M371" i="17"/>
  <c r="AM273" i="17"/>
  <c r="W274" i="17"/>
  <c r="AT273" i="17" l="1"/>
  <c r="AW273" i="17" s="1"/>
  <c r="AX273" i="17" s="1"/>
  <c r="AZ273" i="17" s="1"/>
  <c r="AU273" i="17"/>
  <c r="AV273" i="17" s="1"/>
  <c r="BK246" i="17"/>
  <c r="BL246" i="17" s="1"/>
  <c r="BM246" i="17" s="1"/>
  <c r="BJ246" i="17"/>
  <c r="BE246" i="17"/>
  <c r="BF246" i="17" s="1"/>
  <c r="AA274" i="17"/>
  <c r="AK274" i="17" s="1"/>
  <c r="Y274" i="17"/>
  <c r="E371" i="17"/>
  <c r="L371" i="17" s="1"/>
  <c r="P371" i="17"/>
  <c r="AN273" i="17"/>
  <c r="BG246" i="17" l="1"/>
  <c r="BI246" i="17"/>
  <c r="Q371" i="17"/>
  <c r="S371" i="17" s="1"/>
  <c r="AB274" i="17"/>
  <c r="Z274" i="17"/>
  <c r="N371" i="17"/>
  <c r="AO273" i="17"/>
  <c r="AP273" i="17" s="1"/>
  <c r="BO246" i="17" l="1"/>
  <c r="BP246" i="17" s="1"/>
  <c r="BN246" i="17"/>
  <c r="AF605" i="15" s="1"/>
  <c r="BC247" i="17"/>
  <c r="U275" i="17"/>
  <c r="AC275" i="17" s="1"/>
  <c r="AF274" i="17"/>
  <c r="AG274" i="17" s="1"/>
  <c r="AH274" i="17" s="1"/>
  <c r="AS274" i="17" s="1"/>
  <c r="O371" i="17"/>
  <c r="M372" i="17"/>
  <c r="E372" i="17" s="1"/>
  <c r="L372" i="17" s="1"/>
  <c r="AQ273" i="17"/>
  <c r="AR273" i="17"/>
  <c r="N372" i="17" l="1"/>
  <c r="O372" i="17" s="1"/>
  <c r="AT274" i="17"/>
  <c r="AW274" i="17" s="1"/>
  <c r="AX274" i="17" s="1"/>
  <c r="AZ274" i="17" s="1"/>
  <c r="AU274" i="17"/>
  <c r="AV274" i="17" s="1"/>
  <c r="AL274" i="17"/>
  <c r="AY274" i="17" s="1"/>
  <c r="BH247" i="17"/>
  <c r="BD247" i="17"/>
  <c r="AL331" i="15"/>
  <c r="BQ246" i="17"/>
  <c r="W275" i="17"/>
  <c r="AA275" i="17" s="1"/>
  <c r="AK275" i="17" s="1"/>
  <c r="P372" i="17"/>
  <c r="Q372" i="17" s="1"/>
  <c r="AD275" i="17"/>
  <c r="AM274" i="17" l="1"/>
  <c r="M373" i="17"/>
  <c r="E373" i="17" s="1"/>
  <c r="L373" i="17" s="1"/>
  <c r="N373" i="17" s="1"/>
  <c r="BK247" i="17"/>
  <c r="BJ247" i="17"/>
  <c r="BE247" i="17"/>
  <c r="BF247" i="17" s="1"/>
  <c r="Y275" i="17"/>
  <c r="AB275" i="17" s="1"/>
  <c r="AE275" i="17"/>
  <c r="S372" i="17"/>
  <c r="AN274" i="17"/>
  <c r="P373" i="17" l="1"/>
  <c r="Q373" i="17" s="1"/>
  <c r="S373" i="17" s="1"/>
  <c r="BG247" i="17"/>
  <c r="BI247" i="17"/>
  <c r="BL247" i="17"/>
  <c r="BM247" i="17" s="1"/>
  <c r="Z275" i="17"/>
  <c r="U276" i="17" s="1"/>
  <c r="AC276" i="17" s="1"/>
  <c r="AF275" i="17"/>
  <c r="AG275" i="17" s="1"/>
  <c r="O373" i="17"/>
  <c r="M374" i="17"/>
  <c r="E374" i="17" s="1"/>
  <c r="L374" i="17" s="1"/>
  <c r="AO274" i="17"/>
  <c r="AP274" i="17" s="1"/>
  <c r="AR274" i="17" s="1"/>
  <c r="AH275" i="17" l="1"/>
  <c r="AS275" i="17" s="1"/>
  <c r="AL275" i="17"/>
  <c r="AY275" i="17" s="1"/>
  <c r="AD276" i="17"/>
  <c r="AE276" i="17" s="1"/>
  <c r="W276" i="17"/>
  <c r="AA276" i="17" s="1"/>
  <c r="AK276" i="17" s="1"/>
  <c r="BO247" i="17"/>
  <c r="BP247" i="17" s="1"/>
  <c r="BN247" i="17"/>
  <c r="AF607" i="15" s="1"/>
  <c r="BC248" i="17"/>
  <c r="N374" i="17"/>
  <c r="P374" i="17"/>
  <c r="AQ274" i="17"/>
  <c r="AM275" i="17" l="1"/>
  <c r="AT275" i="17"/>
  <c r="AW275" i="17" s="1"/>
  <c r="AU275" i="17"/>
  <c r="AV275" i="17" s="1"/>
  <c r="AL332" i="15"/>
  <c r="BQ247" i="17"/>
  <c r="BD248" i="17"/>
  <c r="BH248" i="17"/>
  <c r="Y276" i="17"/>
  <c r="AB276" i="17" s="1"/>
  <c r="M375" i="17"/>
  <c r="E375" i="17" s="1"/>
  <c r="L375" i="17" s="1"/>
  <c r="O374" i="17"/>
  <c r="Q374" i="17"/>
  <c r="S374" i="17" s="1"/>
  <c r="AN275" i="17" l="1"/>
  <c r="AO275" i="17" s="1"/>
  <c r="AX275" i="17"/>
  <c r="AZ275" i="17" s="1"/>
  <c r="Z276" i="17"/>
  <c r="U277" i="17" s="1"/>
  <c r="AC277" i="17" s="1"/>
  <c r="AF276" i="17"/>
  <c r="AG276" i="17" s="1"/>
  <c r="AH276" i="17" s="1"/>
  <c r="AS276" i="17" s="1"/>
  <c r="AT276" i="17" s="1"/>
  <c r="BJ248" i="17"/>
  <c r="BK248" i="17"/>
  <c r="BL248" i="17" s="1"/>
  <c r="BM248" i="17" s="1"/>
  <c r="BE248" i="17"/>
  <c r="BF248" i="17" s="1"/>
  <c r="N375" i="17"/>
  <c r="M376" i="17" s="1"/>
  <c r="E376" i="17" s="1"/>
  <c r="L376" i="17" s="1"/>
  <c r="P375" i="17"/>
  <c r="Q375" i="17" s="1"/>
  <c r="S375" i="17" s="1"/>
  <c r="O375" i="17" l="1"/>
  <c r="N376" i="17" s="1"/>
  <c r="AP275" i="17"/>
  <c r="AR275" i="17" s="1"/>
  <c r="AW276" i="17"/>
  <c r="AX276" i="17" s="1"/>
  <c r="AZ276" i="17" s="1"/>
  <c r="AL276" i="17"/>
  <c r="AY276" i="17" s="1"/>
  <c r="AU276" i="17"/>
  <c r="AV276" i="17" s="1"/>
  <c r="W277" i="17"/>
  <c r="AA277" i="17" s="1"/>
  <c r="AK277" i="17" s="1"/>
  <c r="AD277" i="17"/>
  <c r="AE277" i="17" s="1"/>
  <c r="BG248" i="17"/>
  <c r="BI248" i="17"/>
  <c r="P376" i="17"/>
  <c r="AQ275" i="17" l="1"/>
  <c r="M377" i="17"/>
  <c r="E377" i="17" s="1"/>
  <c r="L377" i="17" s="1"/>
  <c r="O376" i="17"/>
  <c r="AM276" i="17"/>
  <c r="AN276" i="17" s="1"/>
  <c r="AO276" i="17" s="1"/>
  <c r="AP276" i="17" s="1"/>
  <c r="AR276" i="17" s="1"/>
  <c r="Y277" i="17"/>
  <c r="AB277" i="17" s="1"/>
  <c r="AF277" i="17" s="1"/>
  <c r="AG277" i="17" s="1"/>
  <c r="BO248" i="17"/>
  <c r="BP248" i="17" s="1"/>
  <c r="BN248" i="17"/>
  <c r="AF609" i="15" s="1"/>
  <c r="BC249" i="17"/>
  <c r="BD249" i="17" s="1"/>
  <c r="Q376" i="17"/>
  <c r="S376" i="17" s="1"/>
  <c r="Z277" i="17" l="1"/>
  <c r="U278" i="17" s="1"/>
  <c r="AC278" i="17" s="1"/>
  <c r="AD278" i="17" s="1"/>
  <c r="AL277" i="17"/>
  <c r="AY277" i="17" s="1"/>
  <c r="AH277" i="17"/>
  <c r="AS277" i="17" s="1"/>
  <c r="BK249" i="17"/>
  <c r="BL249" i="17" s="1"/>
  <c r="BM249" i="17" s="1"/>
  <c r="BJ249" i="17"/>
  <c r="P377" i="17"/>
  <c r="Q377" i="17" s="1"/>
  <c r="S377" i="17" s="1"/>
  <c r="BE249" i="17"/>
  <c r="BF249" i="17" s="1"/>
  <c r="BH249" i="17"/>
  <c r="AL333" i="15"/>
  <c r="BQ248" i="17"/>
  <c r="AQ276" i="17"/>
  <c r="N377" i="17"/>
  <c r="W278" i="17" l="1"/>
  <c r="AA278" i="17" s="1"/>
  <c r="AK278" i="17" s="1"/>
  <c r="AM277" i="17"/>
  <c r="AN277" i="17" s="1"/>
  <c r="AT277" i="17"/>
  <c r="AW277" i="17" s="1"/>
  <c r="AX277" i="17" s="1"/>
  <c r="AZ277" i="17" s="1"/>
  <c r="AU277" i="17"/>
  <c r="AV277" i="17" s="1"/>
  <c r="BG249" i="17"/>
  <c r="BI249" i="17"/>
  <c r="AE278" i="17"/>
  <c r="O377" i="17"/>
  <c r="M378" i="17"/>
  <c r="Y278" i="17" l="1"/>
  <c r="AB278" i="17" s="1"/>
  <c r="AF278" i="17" s="1"/>
  <c r="AG278" i="17" s="1"/>
  <c r="AO277" i="17"/>
  <c r="AP277" i="17" s="1"/>
  <c r="BO249" i="17"/>
  <c r="BP249" i="17" s="1"/>
  <c r="BN249" i="17"/>
  <c r="AF611" i="15" s="1"/>
  <c r="BC250" i="17"/>
  <c r="BH250" i="17" s="1"/>
  <c r="P378" i="17"/>
  <c r="E378" i="17"/>
  <c r="L378" i="17" s="1"/>
  <c r="Z278" i="17" l="1"/>
  <c r="U279" i="17" s="1"/>
  <c r="AC279" i="17" s="1"/>
  <c r="AH278" i="17"/>
  <c r="AS278" i="17" s="1"/>
  <c r="AL278" i="17"/>
  <c r="AY278" i="17" s="1"/>
  <c r="BD250" i="17"/>
  <c r="BK250" i="17" s="1"/>
  <c r="BL250" i="17" s="1"/>
  <c r="BM250" i="17" s="1"/>
  <c r="AL334" i="15"/>
  <c r="BQ249" i="17"/>
  <c r="AR277" i="17"/>
  <c r="Q378" i="17"/>
  <c r="S378" i="17" s="1"/>
  <c r="N378" i="17"/>
  <c r="AQ277" i="17"/>
  <c r="AM278" i="17" l="1"/>
  <c r="AN278" i="17" s="1"/>
  <c r="AT278" i="17"/>
  <c r="AW278" i="17" s="1"/>
  <c r="AX278" i="17" s="1"/>
  <c r="AZ278" i="17" s="1"/>
  <c r="AU278" i="17"/>
  <c r="AV278" i="17" s="1"/>
  <c r="BE250" i="17"/>
  <c r="BF250" i="17" s="1"/>
  <c r="BI250" i="17" s="1"/>
  <c r="BJ250" i="17"/>
  <c r="AD279" i="17"/>
  <c r="M379" i="17"/>
  <c r="E379" i="17" s="1"/>
  <c r="L379" i="17" s="1"/>
  <c r="O378" i="17"/>
  <c r="W279" i="17"/>
  <c r="BG250" i="17" l="1"/>
  <c r="BC251" i="17" s="1"/>
  <c r="BD251" i="17" s="1"/>
  <c r="BO250" i="17"/>
  <c r="BP250" i="17" s="1"/>
  <c r="BN250" i="17"/>
  <c r="AF613" i="15" s="1"/>
  <c r="AA279" i="17"/>
  <c r="AK279" i="17" s="1"/>
  <c r="Y279" i="17"/>
  <c r="P379" i="17"/>
  <c r="AE279" i="17"/>
  <c r="AO278" i="17"/>
  <c r="N379" i="17"/>
  <c r="AL335" i="15" l="1"/>
  <c r="BQ250" i="17"/>
  <c r="BK251" i="17"/>
  <c r="BL251" i="17" s="1"/>
  <c r="BM251" i="17" s="1"/>
  <c r="BJ251" i="17"/>
  <c r="BE251" i="17"/>
  <c r="BF251" i="17" s="1"/>
  <c r="BH251" i="17"/>
  <c r="O379" i="17"/>
  <c r="M380" i="17"/>
  <c r="Q379" i="17"/>
  <c r="S379" i="17" s="1"/>
  <c r="AP278" i="17"/>
  <c r="AQ278" i="17" s="1"/>
  <c r="AB279" i="17"/>
  <c r="Z279" i="17"/>
  <c r="BG251" i="17" l="1"/>
  <c r="BI251" i="17"/>
  <c r="P380" i="17"/>
  <c r="Q380" i="17" s="1"/>
  <c r="S380" i="17" s="1"/>
  <c r="AF279" i="17"/>
  <c r="AG279" i="17" s="1"/>
  <c r="AL279" i="17" s="1"/>
  <c r="AY279" i="17" s="1"/>
  <c r="E380" i="17"/>
  <c r="L380" i="17" s="1"/>
  <c r="U280" i="17"/>
  <c r="AC280" i="17" s="1"/>
  <c r="AR278" i="17"/>
  <c r="AH279" i="17" l="1"/>
  <c r="AS279" i="17" s="1"/>
  <c r="BO251" i="17"/>
  <c r="BP251" i="17" s="1"/>
  <c r="BN251" i="17"/>
  <c r="AF616" i="15" s="1"/>
  <c r="BC252" i="17"/>
  <c r="BH252" i="17" s="1"/>
  <c r="W280" i="17"/>
  <c r="AA280" i="17" s="1"/>
  <c r="AK280" i="17" s="1"/>
  <c r="AM279" i="17"/>
  <c r="AD280" i="17"/>
  <c r="N380" i="17"/>
  <c r="AT279" i="17" l="1"/>
  <c r="AW279" i="17" s="1"/>
  <c r="AX279" i="17" s="1"/>
  <c r="AZ279" i="17" s="1"/>
  <c r="AU279" i="17"/>
  <c r="AV279" i="17" s="1"/>
  <c r="BD252" i="17"/>
  <c r="BK252" i="17" s="1"/>
  <c r="BL252" i="17" s="1"/>
  <c r="BM252" i="17" s="1"/>
  <c r="AL336" i="15"/>
  <c r="BQ251" i="17"/>
  <c r="Y280" i="17"/>
  <c r="AB280" i="17" s="1"/>
  <c r="M381" i="17"/>
  <c r="E381" i="17" s="1"/>
  <c r="L381" i="17" s="1"/>
  <c r="O380" i="17"/>
  <c r="AN279" i="17"/>
  <c r="AO279" i="17" s="1"/>
  <c r="AE280" i="17"/>
  <c r="BE252" i="17" l="1"/>
  <c r="BF252" i="17" s="1"/>
  <c r="BG252" i="17" s="1"/>
  <c r="BJ252" i="17"/>
  <c r="Z280" i="17"/>
  <c r="U281" i="17" s="1"/>
  <c r="AC281" i="17" s="1"/>
  <c r="AF280" i="17"/>
  <c r="AG280" i="17" s="1"/>
  <c r="AP279" i="17"/>
  <c r="P381" i="17"/>
  <c r="N381" i="17"/>
  <c r="BI252" i="17" l="1"/>
  <c r="BO252" i="17" s="1"/>
  <c r="BP252" i="17" s="1"/>
  <c r="AH280" i="17"/>
  <c r="AS280" i="17" s="1"/>
  <c r="AL280" i="17"/>
  <c r="AY280" i="17" s="1"/>
  <c r="BC253" i="17"/>
  <c r="BH253" i="17" s="1"/>
  <c r="AR279" i="17"/>
  <c r="W281" i="17"/>
  <c r="AA281" i="17" s="1"/>
  <c r="AK281" i="17" s="1"/>
  <c r="AD281" i="17"/>
  <c r="Q381" i="17"/>
  <c r="S381" i="17" s="1"/>
  <c r="M382" i="17"/>
  <c r="O381" i="17"/>
  <c r="AQ279" i="17"/>
  <c r="BN252" i="17" l="1"/>
  <c r="AF620" i="15" s="1"/>
  <c r="AM280" i="17"/>
  <c r="AN280" i="17" s="1"/>
  <c r="AO280" i="17" s="1"/>
  <c r="P382" i="17"/>
  <c r="Q382" i="17" s="1"/>
  <c r="S382" i="17" s="1"/>
  <c r="AT280" i="17"/>
  <c r="AW280" i="17" s="1"/>
  <c r="AX280" i="17" s="1"/>
  <c r="AZ280" i="17" s="1"/>
  <c r="AU280" i="17"/>
  <c r="AV280" i="17" s="1"/>
  <c r="E382" i="17"/>
  <c r="L382" i="17" s="1"/>
  <c r="N382" i="17" s="1"/>
  <c r="BD253" i="17"/>
  <c r="AL337" i="15"/>
  <c r="Y281" i="17"/>
  <c r="AB281" i="17" s="1"/>
  <c r="AE281" i="17"/>
  <c r="BQ252" i="17" l="1"/>
  <c r="BK253" i="17"/>
  <c r="BL253" i="17" s="1"/>
  <c r="BM253" i="17" s="1"/>
  <c r="BJ253" i="17"/>
  <c r="BE253" i="17"/>
  <c r="BF253" i="17" s="1"/>
  <c r="Z281" i="17"/>
  <c r="U282" i="17" s="1"/>
  <c r="AC282" i="17" s="1"/>
  <c r="AP280" i="17"/>
  <c r="AQ280" i="17" s="1"/>
  <c r="M383" i="17"/>
  <c r="O382" i="17"/>
  <c r="AF281" i="17"/>
  <c r="AG281" i="17" s="1"/>
  <c r="AH281" i="17" l="1"/>
  <c r="AS281" i="17" s="1"/>
  <c r="AL281" i="17"/>
  <c r="BG253" i="17"/>
  <c r="BI253" i="17"/>
  <c r="AD282" i="17"/>
  <c r="AE282" i="17" s="1"/>
  <c r="W282" i="17"/>
  <c r="AA282" i="17" s="1"/>
  <c r="AK282" i="17" s="1"/>
  <c r="P383" i="17"/>
  <c r="E383" i="17"/>
  <c r="L383" i="17" s="1"/>
  <c r="AR280" i="17"/>
  <c r="AT281" i="17" l="1"/>
  <c r="AW281" i="17" s="1"/>
  <c r="AU281" i="17"/>
  <c r="AM281" i="17"/>
  <c r="AY281" i="17"/>
  <c r="BO253" i="17"/>
  <c r="BP253" i="17" s="1"/>
  <c r="BN253" i="17"/>
  <c r="AF623" i="15" s="1"/>
  <c r="BC254" i="17"/>
  <c r="Y282" i="17"/>
  <c r="AB282" i="17" s="1"/>
  <c r="AF282" i="17" s="1"/>
  <c r="AG282" i="17" s="1"/>
  <c r="N383" i="17"/>
  <c r="Q383" i="17"/>
  <c r="S383" i="17" s="1"/>
  <c r="AH282" i="17" l="1"/>
  <c r="AS282" i="17" s="1"/>
  <c r="AT282" i="17" s="1"/>
  <c r="AN281" i="17"/>
  <c r="AV281" i="17"/>
  <c r="AX281" i="17"/>
  <c r="AZ281" i="17" s="1"/>
  <c r="AL282" i="17"/>
  <c r="AY282" i="17" s="1"/>
  <c r="Z282" i="17"/>
  <c r="U283" i="17" s="1"/>
  <c r="AC283" i="17" s="1"/>
  <c r="BD254" i="17"/>
  <c r="BH254" i="17"/>
  <c r="AL338" i="15"/>
  <c r="BQ253" i="17"/>
  <c r="O383" i="17"/>
  <c r="M384" i="17"/>
  <c r="E384" i="17" s="1"/>
  <c r="L384" i="17" s="1"/>
  <c r="AW282" i="17" l="1"/>
  <c r="AX282" i="17" s="1"/>
  <c r="AZ282" i="17" s="1"/>
  <c r="AM282" i="17"/>
  <c r="AN282" i="17" s="1"/>
  <c r="AU282" i="17"/>
  <c r="AV282" i="17" s="1"/>
  <c r="N384" i="17"/>
  <c r="M385" i="17" s="1"/>
  <c r="E385" i="17" s="1"/>
  <c r="L385" i="17" s="1"/>
  <c r="AO281" i="17"/>
  <c r="BK254" i="17"/>
  <c r="BL254" i="17" s="1"/>
  <c r="BM254" i="17" s="1"/>
  <c r="BJ254" i="17"/>
  <c r="BE254" i="17"/>
  <c r="BF254" i="17" s="1"/>
  <c r="W283" i="17"/>
  <c r="AA283" i="17" s="1"/>
  <c r="AK283" i="17" s="1"/>
  <c r="AD283" i="17"/>
  <c r="P384" i="17"/>
  <c r="O384" i="17" l="1"/>
  <c r="N385" i="17" s="1"/>
  <c r="AP281" i="17"/>
  <c r="AR281" i="17" s="1"/>
  <c r="BG254" i="17"/>
  <c r="BI254" i="17"/>
  <c r="Y283" i="17"/>
  <c r="AB283" i="17" s="1"/>
  <c r="Q384" i="17"/>
  <c r="S384" i="17" s="1"/>
  <c r="AE283" i="17"/>
  <c r="AO282" i="17"/>
  <c r="AQ281" i="17" l="1"/>
  <c r="BO254" i="17"/>
  <c r="BP254" i="17" s="1"/>
  <c r="BN254" i="17"/>
  <c r="AF625" i="15" s="1"/>
  <c r="BC255" i="17"/>
  <c r="BD255" i="17" s="1"/>
  <c r="Z283" i="17"/>
  <c r="P385" i="17"/>
  <c r="Q385" i="17" s="1"/>
  <c r="S385" i="17" s="1"/>
  <c r="O385" i="17"/>
  <c r="M386" i="17"/>
  <c r="AP282" i="17"/>
  <c r="AQ282" i="17" s="1"/>
  <c r="AF283" i="17"/>
  <c r="AG283" i="17" s="1"/>
  <c r="AH283" i="17" l="1"/>
  <c r="AS283" i="17" s="1"/>
  <c r="AL283" i="17"/>
  <c r="P386" i="17"/>
  <c r="Q386" i="17" s="1"/>
  <c r="S386" i="17" s="1"/>
  <c r="BE255" i="17"/>
  <c r="BF255" i="17" s="1"/>
  <c r="BH255" i="17"/>
  <c r="U284" i="17"/>
  <c r="W284" i="17" s="1"/>
  <c r="AA284" i="17" s="1"/>
  <c r="AK284" i="17" s="1"/>
  <c r="AL339" i="15"/>
  <c r="BQ254" i="17"/>
  <c r="BK255" i="17"/>
  <c r="BL255" i="17" s="1"/>
  <c r="BM255" i="17" s="1"/>
  <c r="BJ255" i="17"/>
  <c r="E386" i="17"/>
  <c r="L386" i="17" s="1"/>
  <c r="AR282" i="17"/>
  <c r="AY283" i="17" l="1"/>
  <c r="AM283" i="17"/>
  <c r="AU283" i="17"/>
  <c r="AV283" i="17" s="1"/>
  <c r="AT283" i="17"/>
  <c r="AW283" i="17" s="1"/>
  <c r="AX283" i="17" s="1"/>
  <c r="AZ283" i="17" s="1"/>
  <c r="AC284" i="17"/>
  <c r="Y284" i="17"/>
  <c r="AB284" i="17" s="1"/>
  <c r="BG255" i="17"/>
  <c r="BI255" i="17"/>
  <c r="N386" i="17"/>
  <c r="AN283" i="17" l="1"/>
  <c r="AO283" i="17" s="1"/>
  <c r="AP283" i="17" s="1"/>
  <c r="AQ283" i="17" s="1"/>
  <c r="AD284" i="17"/>
  <c r="BO255" i="17"/>
  <c r="BP255" i="17" s="1"/>
  <c r="BN255" i="17"/>
  <c r="AF627" i="15" s="1"/>
  <c r="BC256" i="17"/>
  <c r="Z284" i="17"/>
  <c r="M387" i="17"/>
  <c r="O386" i="17"/>
  <c r="AR283" i="17" l="1"/>
  <c r="AE284" i="17"/>
  <c r="AF284" i="17" s="1"/>
  <c r="AG284" i="17" s="1"/>
  <c r="U285" i="17"/>
  <c r="W285" i="17" s="1"/>
  <c r="AA285" i="17" s="1"/>
  <c r="AK285" i="17" s="1"/>
  <c r="BD256" i="17"/>
  <c r="BE256" i="17" s="1"/>
  <c r="BH256" i="17"/>
  <c r="AL340" i="15"/>
  <c r="BQ255" i="17"/>
  <c r="P387" i="17"/>
  <c r="E387" i="17"/>
  <c r="L387" i="17" s="1"/>
  <c r="AH284" i="17" l="1"/>
  <c r="AS284" i="17" s="1"/>
  <c r="AL284" i="17"/>
  <c r="AY284" i="17" s="1"/>
  <c r="BK256" i="17"/>
  <c r="BL256" i="17" s="1"/>
  <c r="BM256" i="17" s="1"/>
  <c r="BJ256" i="17"/>
  <c r="AC285" i="17"/>
  <c r="Y285" i="17"/>
  <c r="BF256" i="17"/>
  <c r="Q387" i="17"/>
  <c r="S387" i="17" s="1"/>
  <c r="N387" i="17"/>
  <c r="AM284" i="17" l="1"/>
  <c r="AN284" i="17" s="1"/>
  <c r="AO284" i="17" s="1"/>
  <c r="AP284" i="17" s="1"/>
  <c r="AR284" i="17" s="1"/>
  <c r="AT284" i="17"/>
  <c r="AW284" i="17" s="1"/>
  <c r="AX284" i="17" s="1"/>
  <c r="AZ284" i="17" s="1"/>
  <c r="AU284" i="17"/>
  <c r="AV284" i="17" s="1"/>
  <c r="BG256" i="17"/>
  <c r="BI256" i="17"/>
  <c r="AB285" i="17"/>
  <c r="Z285" i="17"/>
  <c r="AD285" i="17"/>
  <c r="O387" i="17"/>
  <c r="M388" i="17"/>
  <c r="E388" i="17" s="1"/>
  <c r="L388" i="17" s="1"/>
  <c r="AQ284" i="17" l="1"/>
  <c r="U286" i="17"/>
  <c r="AC286" i="17" s="1"/>
  <c r="AE285" i="17"/>
  <c r="AF285" i="17" s="1"/>
  <c r="AG285" i="17" s="1"/>
  <c r="AL285" i="17" s="1"/>
  <c r="BO256" i="17"/>
  <c r="BP256" i="17" s="1"/>
  <c r="BN256" i="17"/>
  <c r="AF629" i="15" s="1"/>
  <c r="BC257" i="17"/>
  <c r="BH257" i="17" s="1"/>
  <c r="N388" i="17"/>
  <c r="P388" i="17"/>
  <c r="AH285" i="17" l="1"/>
  <c r="AS285" i="17" s="1"/>
  <c r="W286" i="17"/>
  <c r="AA286" i="17" s="1"/>
  <c r="AK286" i="17" s="1"/>
  <c r="BD257" i="17"/>
  <c r="BE257" i="17" s="1"/>
  <c r="AD286" i="17"/>
  <c r="AE286" i="17" s="1"/>
  <c r="AL341" i="15"/>
  <c r="BQ256" i="17"/>
  <c r="AY285" i="17"/>
  <c r="AM285" i="17"/>
  <c r="AN285" i="17" s="1"/>
  <c r="AO285" i="17" s="1"/>
  <c r="AP285" i="17" s="1"/>
  <c r="AQ285" i="17" s="1"/>
  <c r="Q388" i="17"/>
  <c r="S388" i="17" s="1"/>
  <c r="O388" i="17"/>
  <c r="M389" i="17"/>
  <c r="AT285" i="17" l="1"/>
  <c r="AW285" i="17" s="1"/>
  <c r="AX285" i="17" s="1"/>
  <c r="AZ285" i="17" s="1"/>
  <c r="AU285" i="17"/>
  <c r="AV285" i="17" s="1"/>
  <c r="BK257" i="17"/>
  <c r="BL257" i="17" s="1"/>
  <c r="BM257" i="17" s="1"/>
  <c r="P389" i="17"/>
  <c r="Q389" i="17" s="1"/>
  <c r="S389" i="17" s="1"/>
  <c r="BJ257" i="17"/>
  <c r="Y286" i="17"/>
  <c r="AB286" i="17" s="1"/>
  <c r="BF257" i="17"/>
  <c r="BI257" i="17" s="1"/>
  <c r="BO257" i="17" s="1"/>
  <c r="BP257" i="17" s="1"/>
  <c r="AR285" i="17"/>
  <c r="E389" i="17"/>
  <c r="L389" i="17" s="1"/>
  <c r="Z286" i="17" l="1"/>
  <c r="U287" i="17" s="1"/>
  <c r="W287" i="17" s="1"/>
  <c r="AA287" i="17" s="1"/>
  <c r="AK287" i="17" s="1"/>
  <c r="BG257" i="17"/>
  <c r="BC258" i="17" s="1"/>
  <c r="BH258" i="17" s="1"/>
  <c r="AF286" i="17"/>
  <c r="AG286" i="17" s="1"/>
  <c r="AL286" i="17" s="1"/>
  <c r="AY286" i="17" s="1"/>
  <c r="BN257" i="17"/>
  <c r="AF631" i="15" s="1"/>
  <c r="AL342" i="15"/>
  <c r="N389" i="17"/>
  <c r="AH286" i="17" l="1"/>
  <c r="AS286" i="17" s="1"/>
  <c r="AM286" i="17"/>
  <c r="AN286" i="17" s="1"/>
  <c r="BD258" i="17"/>
  <c r="BJ258" i="17" s="1"/>
  <c r="BQ257" i="17"/>
  <c r="AC287" i="17"/>
  <c r="Y287" i="17"/>
  <c r="M390" i="17"/>
  <c r="O389" i="17"/>
  <c r="BK258" i="17" l="1"/>
  <c r="BL258" i="17" s="1"/>
  <c r="BM258" i="17" s="1"/>
  <c r="BE258" i="17"/>
  <c r="BF258" i="17" s="1"/>
  <c r="BG258" i="17" s="1"/>
  <c r="AT286" i="17"/>
  <c r="AW286" i="17" s="1"/>
  <c r="AX286" i="17" s="1"/>
  <c r="AZ286" i="17" s="1"/>
  <c r="AU286" i="17"/>
  <c r="AV286" i="17" s="1"/>
  <c r="AO286" i="17"/>
  <c r="AB287" i="17"/>
  <c r="Z287" i="17"/>
  <c r="U288" i="17" s="1"/>
  <c r="AC288" i="17" s="1"/>
  <c r="AD287" i="17"/>
  <c r="AE287" i="17" s="1"/>
  <c r="P390" i="17"/>
  <c r="E390" i="17"/>
  <c r="L390" i="17" s="1"/>
  <c r="BI258" i="17" l="1"/>
  <c r="BO258" i="17" s="1"/>
  <c r="BP258" i="17" s="1"/>
  <c r="W288" i="17"/>
  <c r="AA288" i="17" s="1"/>
  <c r="AK288" i="17" s="1"/>
  <c r="AD288" i="17"/>
  <c r="AE288" i="17" s="1"/>
  <c r="BC259" i="17"/>
  <c r="AP286" i="17"/>
  <c r="AQ286" i="17" s="1"/>
  <c r="AF287" i="17"/>
  <c r="AG287" i="17" s="1"/>
  <c r="N390" i="17"/>
  <c r="Q390" i="17"/>
  <c r="S390" i="17" s="1"/>
  <c r="BN258" i="17" l="1"/>
  <c r="AF633" i="15" s="1"/>
  <c r="Y288" i="17"/>
  <c r="AB288" i="17" s="1"/>
  <c r="AF288" i="17" s="1"/>
  <c r="AG288" i="17" s="1"/>
  <c r="AH288" i="17" s="1"/>
  <c r="AS288" i="17" s="1"/>
  <c r="AT288" i="17" s="1"/>
  <c r="AH287" i="17"/>
  <c r="AS287" i="17" s="1"/>
  <c r="AL287" i="17"/>
  <c r="AY287" i="17" s="1"/>
  <c r="AR286" i="17"/>
  <c r="AL343" i="15"/>
  <c r="BD259" i="17"/>
  <c r="BH259" i="17"/>
  <c r="O390" i="17"/>
  <c r="M391" i="17"/>
  <c r="BQ258" i="17" l="1"/>
  <c r="AM287" i="17"/>
  <c r="AN287" i="17" s="1"/>
  <c r="AO287" i="17" s="1"/>
  <c r="Z288" i="17"/>
  <c r="U289" i="17" s="1"/>
  <c r="AC289" i="17" s="1"/>
  <c r="AD289" i="17" s="1"/>
  <c r="AT287" i="17"/>
  <c r="AW287" i="17" s="1"/>
  <c r="AU287" i="17"/>
  <c r="AV287" i="17" s="1"/>
  <c r="AU288" i="17" s="1"/>
  <c r="AV288" i="17" s="1"/>
  <c r="AL288" i="17"/>
  <c r="AY288" i="17" s="1"/>
  <c r="BK259" i="17"/>
  <c r="BL259" i="17" s="1"/>
  <c r="BM259" i="17" s="1"/>
  <c r="BJ259" i="17"/>
  <c r="BE259" i="17"/>
  <c r="BF259" i="17" s="1"/>
  <c r="E391" i="17"/>
  <c r="L391" i="17" s="1"/>
  <c r="P391" i="17"/>
  <c r="AM288" i="17" l="1"/>
  <c r="AN288" i="17" s="1"/>
  <c r="AO288" i="17" s="1"/>
  <c r="AP288" i="17" s="1"/>
  <c r="W289" i="17"/>
  <c r="AA289" i="17" s="1"/>
  <c r="AK289" i="17" s="1"/>
  <c r="AX287" i="17"/>
  <c r="AZ287" i="17" s="1"/>
  <c r="AP287" i="17"/>
  <c r="AQ287" i="17" s="1"/>
  <c r="BG259" i="17"/>
  <c r="BI259" i="17"/>
  <c r="AE289" i="17"/>
  <c r="N391" i="17"/>
  <c r="Q391" i="17"/>
  <c r="S391" i="17" s="1"/>
  <c r="Y289" i="17" l="1"/>
  <c r="AB289" i="17" s="1"/>
  <c r="AF289" i="17" s="1"/>
  <c r="AG289" i="17" s="1"/>
  <c r="AW288" i="17"/>
  <c r="AR287" i="17"/>
  <c r="BO259" i="17"/>
  <c r="BP259" i="17" s="1"/>
  <c r="BN259" i="17"/>
  <c r="AF636" i="15" s="1"/>
  <c r="BC260" i="17"/>
  <c r="BH260" i="17" s="1"/>
  <c r="AR288" i="17"/>
  <c r="O391" i="17"/>
  <c r="M392" i="17"/>
  <c r="AQ288" i="17"/>
  <c r="Z289" i="17" l="1"/>
  <c r="U290" i="17" s="1"/>
  <c r="AC290" i="17" s="1"/>
  <c r="AD290" i="17" s="1"/>
  <c r="AE290" i="17" s="1"/>
  <c r="AX288" i="17"/>
  <c r="AZ288" i="17" s="1"/>
  <c r="AH289" i="17"/>
  <c r="AS289" i="17" s="1"/>
  <c r="AL289" i="17"/>
  <c r="AY289" i="17" s="1"/>
  <c r="BD260" i="17"/>
  <c r="BJ260" i="17" s="1"/>
  <c r="AL344" i="15"/>
  <c r="BQ259" i="17"/>
  <c r="P392" i="17"/>
  <c r="E392" i="17"/>
  <c r="L392" i="17" s="1"/>
  <c r="W290" i="17" l="1"/>
  <c r="AA290" i="17" s="1"/>
  <c r="AK290" i="17" s="1"/>
  <c r="AT289" i="17"/>
  <c r="AW289" i="17" s="1"/>
  <c r="AX289" i="17" s="1"/>
  <c r="AZ289" i="17" s="1"/>
  <c r="AU289" i="17"/>
  <c r="AV289" i="17" s="1"/>
  <c r="AM289" i="17"/>
  <c r="AN289" i="17" s="1"/>
  <c r="BK260" i="17"/>
  <c r="BL260" i="17" s="1"/>
  <c r="BM260" i="17" s="1"/>
  <c r="BE260" i="17"/>
  <c r="BF260" i="17" s="1"/>
  <c r="BG260" i="17" s="1"/>
  <c r="N392" i="17"/>
  <c r="Q392" i="17"/>
  <c r="S392" i="17" s="1"/>
  <c r="Y290" i="17" l="1"/>
  <c r="Z290" i="17" s="1"/>
  <c r="AO289" i="17"/>
  <c r="AP289" i="17" s="1"/>
  <c r="BI260" i="17"/>
  <c r="BN260" i="17" s="1"/>
  <c r="AF637" i="15" s="1"/>
  <c r="BC261" i="17"/>
  <c r="M393" i="17"/>
  <c r="O392" i="17"/>
  <c r="AB290" i="17" l="1"/>
  <c r="AF290" i="17" s="1"/>
  <c r="AG290" i="17" s="1"/>
  <c r="BO260" i="17"/>
  <c r="BP260" i="17" s="1"/>
  <c r="AL345" i="15" s="1"/>
  <c r="BD261" i="17"/>
  <c r="BH261" i="17"/>
  <c r="AR289" i="17"/>
  <c r="AQ289" i="17"/>
  <c r="P393" i="17"/>
  <c r="E393" i="17"/>
  <c r="L393" i="17" s="1"/>
  <c r="U291" i="17"/>
  <c r="AC291" i="17" s="1"/>
  <c r="BQ260" i="17" l="1"/>
  <c r="AH290" i="17"/>
  <c r="AS290" i="17" s="1"/>
  <c r="AL290" i="17"/>
  <c r="AY290" i="17" s="1"/>
  <c r="BK261" i="17"/>
  <c r="BJ261" i="17"/>
  <c r="BE261" i="17"/>
  <c r="BF261" i="17" s="1"/>
  <c r="AD291" i="17"/>
  <c r="W291" i="17"/>
  <c r="AA291" i="17" s="1"/>
  <c r="AK291" i="17" s="1"/>
  <c r="Q393" i="17"/>
  <c r="S393" i="17" s="1"/>
  <c r="N393" i="17"/>
  <c r="AT290" i="17" l="1"/>
  <c r="AW290" i="17" s="1"/>
  <c r="AX290" i="17" s="1"/>
  <c r="AZ290" i="17" s="1"/>
  <c r="AU290" i="17"/>
  <c r="AV290" i="17" s="1"/>
  <c r="AM290" i="17"/>
  <c r="AN290" i="17" s="1"/>
  <c r="BG261" i="17"/>
  <c r="BI261" i="17"/>
  <c r="BL261" i="17"/>
  <c r="BM261" i="17" s="1"/>
  <c r="Y291" i="17"/>
  <c r="AB291" i="17" s="1"/>
  <c r="AE291" i="17"/>
  <c r="M394" i="17"/>
  <c r="O393" i="17"/>
  <c r="AF291" i="17" l="1"/>
  <c r="AG291" i="17" s="1"/>
  <c r="AL291" i="17" s="1"/>
  <c r="AY291" i="17" s="1"/>
  <c r="BO261" i="17"/>
  <c r="BP261" i="17" s="1"/>
  <c r="BN261" i="17"/>
  <c r="AF639" i="15" s="1"/>
  <c r="BC262" i="17"/>
  <c r="BH262" i="17" s="1"/>
  <c r="Z291" i="17"/>
  <c r="U292" i="17" s="1"/>
  <c r="AC292" i="17" s="1"/>
  <c r="P394" i="17"/>
  <c r="E394" i="17"/>
  <c r="L394" i="17" s="1"/>
  <c r="AO290" i="17"/>
  <c r="AM291" i="17" l="1"/>
  <c r="AN291" i="17" s="1"/>
  <c r="AH291" i="17"/>
  <c r="AS291" i="17" s="1"/>
  <c r="BD262" i="17"/>
  <c r="BE262" i="17" s="1"/>
  <c r="BF262" i="17" s="1"/>
  <c r="AL346" i="15"/>
  <c r="BQ261" i="17"/>
  <c r="N394" i="17"/>
  <c r="Q394" i="17"/>
  <c r="S394" i="17" s="1"/>
  <c r="AD292" i="17"/>
  <c r="W292" i="17"/>
  <c r="AP290" i="17"/>
  <c r="AQ290" i="17" s="1"/>
  <c r="AT291" i="17" l="1"/>
  <c r="AW291" i="17" s="1"/>
  <c r="AX291" i="17" s="1"/>
  <c r="AZ291" i="17" s="1"/>
  <c r="AU291" i="17"/>
  <c r="AV291" i="17" s="1"/>
  <c r="BG262" i="17"/>
  <c r="BI262" i="17"/>
  <c r="BJ262" i="17"/>
  <c r="BK262" i="17"/>
  <c r="BL262" i="17" s="1"/>
  <c r="BM262" i="17" s="1"/>
  <c r="AO291" i="17"/>
  <c r="AA292" i="17"/>
  <c r="AK292" i="17" s="1"/>
  <c r="Y292" i="17"/>
  <c r="AB292" i="17" s="1"/>
  <c r="AE292" i="17"/>
  <c r="O394" i="17"/>
  <c r="M395" i="17"/>
  <c r="E395" i="17" s="1"/>
  <c r="L395" i="17" s="1"/>
  <c r="AR290" i="17"/>
  <c r="BO262" i="17" l="1"/>
  <c r="BP262" i="17" s="1"/>
  <c r="BN262" i="17"/>
  <c r="AF642" i="15" s="1"/>
  <c r="BC263" i="17"/>
  <c r="N395" i="17"/>
  <c r="AP291" i="17"/>
  <c r="P395" i="17"/>
  <c r="Z292" i="17"/>
  <c r="AF292" i="17"/>
  <c r="AG292" i="17" s="1"/>
  <c r="AL292" i="17" s="1"/>
  <c r="AY292" i="17" s="1"/>
  <c r="AH292" i="17" l="1"/>
  <c r="AS292" i="17" s="1"/>
  <c r="BD263" i="17"/>
  <c r="BE263" i="17" s="1"/>
  <c r="BF263" i="17" s="1"/>
  <c r="BH263" i="17"/>
  <c r="AL347" i="15"/>
  <c r="BQ262" i="17"/>
  <c r="AR291" i="17"/>
  <c r="AM292" i="17"/>
  <c r="O395" i="17"/>
  <c r="M396" i="17"/>
  <c r="U293" i="17"/>
  <c r="AC293" i="17" s="1"/>
  <c r="AQ291" i="17"/>
  <c r="Q395" i="17"/>
  <c r="S395" i="17" s="1"/>
  <c r="AT292" i="17" l="1"/>
  <c r="AW292" i="17" s="1"/>
  <c r="AX292" i="17" s="1"/>
  <c r="AZ292" i="17" s="1"/>
  <c r="AU292" i="17"/>
  <c r="AV292" i="17" s="1"/>
  <c r="BG263" i="17"/>
  <c r="BI263" i="17"/>
  <c r="W293" i="17"/>
  <c r="AA293" i="17" s="1"/>
  <c r="AK293" i="17" s="1"/>
  <c r="BK263" i="17"/>
  <c r="BL263" i="17" s="1"/>
  <c r="BM263" i="17" s="1"/>
  <c r="BJ263" i="17"/>
  <c r="P396" i="17"/>
  <c r="E396" i="17"/>
  <c r="L396" i="17" s="1"/>
  <c r="AD293" i="17"/>
  <c r="AE293" i="17" s="1"/>
  <c r="AN292" i="17"/>
  <c r="Y293" i="17" l="1"/>
  <c r="AB293" i="17" s="1"/>
  <c r="AF293" i="17" s="1"/>
  <c r="AG293" i="17" s="1"/>
  <c r="BO263" i="17"/>
  <c r="BP263" i="17" s="1"/>
  <c r="BN263" i="17"/>
  <c r="AF645" i="15" s="1"/>
  <c r="BC264" i="17"/>
  <c r="N396" i="17"/>
  <c r="AO292" i="17"/>
  <c r="Q396" i="17"/>
  <c r="S396" i="17" s="1"/>
  <c r="Z293" i="17" l="1"/>
  <c r="U294" i="17" s="1"/>
  <c r="AC294" i="17" s="1"/>
  <c r="AH293" i="17"/>
  <c r="AS293" i="17" s="1"/>
  <c r="AL293" i="17"/>
  <c r="AY293" i="17" s="1"/>
  <c r="BH264" i="17"/>
  <c r="BD264" i="17"/>
  <c r="AL348" i="15"/>
  <c r="BQ263" i="17"/>
  <c r="M397" i="17"/>
  <c r="E397" i="17" s="1"/>
  <c r="L397" i="17" s="1"/>
  <c r="O396" i="17"/>
  <c r="AP292" i="17"/>
  <c r="AM293" i="17" l="1"/>
  <c r="AN293" i="17" s="1"/>
  <c r="AT293" i="17"/>
  <c r="AW293" i="17" s="1"/>
  <c r="AX293" i="17" s="1"/>
  <c r="AZ293" i="17" s="1"/>
  <c r="AU293" i="17"/>
  <c r="AV293" i="17" s="1"/>
  <c r="BK264" i="17"/>
  <c r="BL264" i="17" s="1"/>
  <c r="BM264" i="17" s="1"/>
  <c r="BJ264" i="17"/>
  <c r="BE264" i="17"/>
  <c r="BF264" i="17" s="1"/>
  <c r="AD294" i="17"/>
  <c r="W294" i="17"/>
  <c r="N397" i="17"/>
  <c r="AR292" i="17"/>
  <c r="AQ292" i="17"/>
  <c r="P397" i="17"/>
  <c r="BG264" i="17" l="1"/>
  <c r="BI264" i="17"/>
  <c r="AA294" i="17"/>
  <c r="AK294" i="17" s="1"/>
  <c r="Y294" i="17"/>
  <c r="AO293" i="17"/>
  <c r="Q397" i="17"/>
  <c r="S397" i="17" s="1"/>
  <c r="M398" i="17"/>
  <c r="E398" i="17" s="1"/>
  <c r="L398" i="17" s="1"/>
  <c r="O397" i="17"/>
  <c r="AE294" i="17"/>
  <c r="BO264" i="17" l="1"/>
  <c r="BP264" i="17" s="1"/>
  <c r="BN264" i="17"/>
  <c r="AF643" i="15" s="1"/>
  <c r="BC265" i="17"/>
  <c r="N398" i="17"/>
  <c r="AP293" i="17"/>
  <c r="AQ293" i="17" s="1"/>
  <c r="AB294" i="17"/>
  <c r="Z294" i="17"/>
  <c r="P398" i="17"/>
  <c r="BD265" i="17" l="1"/>
  <c r="BE265" i="17" s="1"/>
  <c r="BF265" i="17" s="1"/>
  <c r="BH265" i="17"/>
  <c r="AL349" i="15"/>
  <c r="BQ264" i="17"/>
  <c r="U295" i="17"/>
  <c r="AC295" i="17" s="1"/>
  <c r="AF294" i="17"/>
  <c r="AG294" i="17" s="1"/>
  <c r="Q398" i="17"/>
  <c r="S398" i="17" s="1"/>
  <c r="O398" i="17"/>
  <c r="M399" i="17"/>
  <c r="AR293" i="17"/>
  <c r="AH294" i="17" l="1"/>
  <c r="AS294" i="17" s="1"/>
  <c r="AL294" i="17"/>
  <c r="AY294" i="17" s="1"/>
  <c r="P399" i="17"/>
  <c r="Q399" i="17" s="1"/>
  <c r="S399" i="17" s="1"/>
  <c r="BG265" i="17"/>
  <c r="BI265" i="17"/>
  <c r="BK265" i="17"/>
  <c r="BJ265" i="17"/>
  <c r="W295" i="17"/>
  <c r="AA295" i="17" s="1"/>
  <c r="AK295" i="17" s="1"/>
  <c r="E399" i="17"/>
  <c r="L399" i="17" s="1"/>
  <c r="AD295" i="17"/>
  <c r="AT294" i="17" l="1"/>
  <c r="AW294" i="17" s="1"/>
  <c r="AX294" i="17" s="1"/>
  <c r="AZ294" i="17" s="1"/>
  <c r="AU294" i="17"/>
  <c r="AV294" i="17" s="1"/>
  <c r="AM294" i="17"/>
  <c r="AN294" i="17" s="1"/>
  <c r="AO294" i="17" s="1"/>
  <c r="BL265" i="17"/>
  <c r="BM265" i="17" s="1"/>
  <c r="BO265" i="17"/>
  <c r="BP265" i="17" s="1"/>
  <c r="BC266" i="17"/>
  <c r="BH266" i="17" s="1"/>
  <c r="Y295" i="17"/>
  <c r="AB295" i="17" s="1"/>
  <c r="N399" i="17"/>
  <c r="AE295" i="17"/>
  <c r="BN265" i="17" l="1"/>
  <c r="AF649" i="15" s="1"/>
  <c r="BD266" i="17"/>
  <c r="BJ266" i="17" s="1"/>
  <c r="AF295" i="17"/>
  <c r="AG295" i="17" s="1"/>
  <c r="AL350" i="15"/>
  <c r="Z295" i="17"/>
  <c r="U296" i="17" s="1"/>
  <c r="AC296" i="17" s="1"/>
  <c r="AP294" i="17"/>
  <c r="M400" i="17"/>
  <c r="O399" i="17"/>
  <c r="BQ265" i="17" l="1"/>
  <c r="AH295" i="17"/>
  <c r="AS295" i="17" s="1"/>
  <c r="AL295" i="17"/>
  <c r="BK266" i="17"/>
  <c r="BL266" i="17" s="1"/>
  <c r="BM266" i="17" s="1"/>
  <c r="W296" i="17"/>
  <c r="Y296" i="17" s="1"/>
  <c r="AD296" i="17"/>
  <c r="AE296" i="17" s="1"/>
  <c r="BE266" i="17"/>
  <c r="BF266" i="17" s="1"/>
  <c r="BG266" i="17" s="1"/>
  <c r="AR294" i="17"/>
  <c r="P400" i="17"/>
  <c r="E400" i="17"/>
  <c r="L400" i="17" s="1"/>
  <c r="AQ294" i="17"/>
  <c r="AA296" i="17" l="1"/>
  <c r="AK296" i="17" s="1"/>
  <c r="AT295" i="17"/>
  <c r="AW295" i="17" s="1"/>
  <c r="AU295" i="17"/>
  <c r="AV295" i="17" s="1"/>
  <c r="AY295" i="17"/>
  <c r="AM295" i="17"/>
  <c r="AN295" i="17" s="1"/>
  <c r="BI266" i="17"/>
  <c r="BO266" i="17" s="1"/>
  <c r="BP266" i="17" s="1"/>
  <c r="BC267" i="17"/>
  <c r="BD267" i="17" s="1"/>
  <c r="N400" i="17"/>
  <c r="Q400" i="17"/>
  <c r="S400" i="17" s="1"/>
  <c r="AB296" i="17"/>
  <c r="Z296" i="17"/>
  <c r="AO295" i="17" l="1"/>
  <c r="AP295" i="17" s="1"/>
  <c r="AR295" i="17" s="1"/>
  <c r="BN266" i="17"/>
  <c r="AF653" i="15" s="1"/>
  <c r="AX295" i="17"/>
  <c r="AZ295" i="17" s="1"/>
  <c r="AL351" i="15"/>
  <c r="BK267" i="17"/>
  <c r="BL267" i="17" s="1"/>
  <c r="BM267" i="17" s="1"/>
  <c r="BJ267" i="17"/>
  <c r="BE267" i="17"/>
  <c r="BF267" i="17" s="1"/>
  <c r="BH267" i="17"/>
  <c r="AF296" i="17"/>
  <c r="AG296" i="17" s="1"/>
  <c r="AL296" i="17" s="1"/>
  <c r="AY296" i="17" s="1"/>
  <c r="O400" i="17"/>
  <c r="M401" i="17"/>
  <c r="U297" i="17"/>
  <c r="AC297" i="17" s="1"/>
  <c r="AQ295" i="17"/>
  <c r="BQ266" i="17" l="1"/>
  <c r="AH296" i="17"/>
  <c r="AS296" i="17" s="1"/>
  <c r="BG267" i="17"/>
  <c r="BI267" i="17"/>
  <c r="W297" i="17"/>
  <c r="AA297" i="17" s="1"/>
  <c r="AK297" i="17" s="1"/>
  <c r="P401" i="17"/>
  <c r="E401" i="17"/>
  <c r="L401" i="17" s="1"/>
  <c r="AD297" i="17"/>
  <c r="AM296" i="17"/>
  <c r="AT296" i="17" l="1"/>
  <c r="AW296" i="17" s="1"/>
  <c r="AX296" i="17" s="1"/>
  <c r="AZ296" i="17" s="1"/>
  <c r="AU296" i="17"/>
  <c r="AV296" i="17" s="1"/>
  <c r="BO267" i="17"/>
  <c r="BP267" i="17" s="1"/>
  <c r="BN267" i="17"/>
  <c r="AF655" i="15" s="1"/>
  <c r="Y297" i="17"/>
  <c r="AB297" i="17" s="1"/>
  <c r="BC268" i="17"/>
  <c r="BD268" i="17" s="1"/>
  <c r="AN296" i="17"/>
  <c r="AO296" i="17" s="1"/>
  <c r="AE297" i="17"/>
  <c r="Q401" i="17"/>
  <c r="S401" i="17" s="1"/>
  <c r="N401" i="17"/>
  <c r="BE268" i="17" l="1"/>
  <c r="BF268" i="17" s="1"/>
  <c r="Z297" i="17"/>
  <c r="U298" i="17" s="1"/>
  <c r="AC298" i="17" s="1"/>
  <c r="BK268" i="17"/>
  <c r="BL268" i="17" s="1"/>
  <c r="BM268" i="17" s="1"/>
  <c r="BJ268" i="17"/>
  <c r="BH268" i="17"/>
  <c r="AL352" i="15"/>
  <c r="BQ267" i="17"/>
  <c r="AP296" i="17"/>
  <c r="AF297" i="17"/>
  <c r="AG297" i="17" s="1"/>
  <c r="AL297" i="17" s="1"/>
  <c r="AY297" i="17" s="1"/>
  <c r="M402" i="17"/>
  <c r="E402" i="17" s="1"/>
  <c r="L402" i="17" s="1"/>
  <c r="O401" i="17"/>
  <c r="AM297" i="17" l="1"/>
  <c r="AN297" i="17" s="1"/>
  <c r="AH297" i="17"/>
  <c r="AS297" i="17" s="1"/>
  <c r="BG268" i="17"/>
  <c r="BI268" i="17"/>
  <c r="AR296" i="17"/>
  <c r="W298" i="17"/>
  <c r="AA298" i="17" s="1"/>
  <c r="AK298" i="17" s="1"/>
  <c r="N402" i="17"/>
  <c r="P402" i="17"/>
  <c r="AD298" i="17"/>
  <c r="AQ296" i="17"/>
  <c r="AT297" i="17" l="1"/>
  <c r="AW297" i="17" s="1"/>
  <c r="AX297" i="17" s="1"/>
  <c r="AZ297" i="17" s="1"/>
  <c r="AU297" i="17"/>
  <c r="AV297" i="17" s="1"/>
  <c r="BO268" i="17"/>
  <c r="BP268" i="17" s="1"/>
  <c r="BN268" i="17"/>
  <c r="AF658" i="15" s="1"/>
  <c r="BC269" i="17"/>
  <c r="Y298" i="17"/>
  <c r="AB298" i="17" s="1"/>
  <c r="AO297" i="17"/>
  <c r="Q402" i="17"/>
  <c r="S402" i="17" s="1"/>
  <c r="O402" i="17"/>
  <c r="M403" i="17"/>
  <c r="AE298" i="17"/>
  <c r="Z298" i="17" l="1"/>
  <c r="U299" i="17" s="1"/>
  <c r="AC299" i="17" s="1"/>
  <c r="BD269" i="17"/>
  <c r="BE269" i="17" s="1"/>
  <c r="BF269" i="17" s="1"/>
  <c r="BH269" i="17"/>
  <c r="AL353" i="15"/>
  <c r="BQ268" i="17"/>
  <c r="AP297" i="17"/>
  <c r="AQ297" i="17" s="1"/>
  <c r="AF298" i="17"/>
  <c r="AG298" i="17" s="1"/>
  <c r="E403" i="17"/>
  <c r="L403" i="17" s="1"/>
  <c r="P403" i="17"/>
  <c r="AH298" i="17" l="1"/>
  <c r="AS298" i="17" s="1"/>
  <c r="AL298" i="17"/>
  <c r="AY298" i="17" s="1"/>
  <c r="BG269" i="17"/>
  <c r="BI269" i="17"/>
  <c r="BK269" i="17"/>
  <c r="BL269" i="17" s="1"/>
  <c r="BM269" i="17" s="1"/>
  <c r="BJ269" i="17"/>
  <c r="W299" i="17"/>
  <c r="AA299" i="17" s="1"/>
  <c r="AK299" i="17" s="1"/>
  <c r="N403" i="17"/>
  <c r="AD299" i="17"/>
  <c r="AR297" i="17"/>
  <c r="Q403" i="17"/>
  <c r="S403" i="17" s="1"/>
  <c r="AT298" i="17" l="1"/>
  <c r="AW298" i="17" s="1"/>
  <c r="AX298" i="17" s="1"/>
  <c r="AZ298" i="17" s="1"/>
  <c r="AU298" i="17"/>
  <c r="AV298" i="17" s="1"/>
  <c r="AM298" i="17"/>
  <c r="AN298" i="17" s="1"/>
  <c r="AO298" i="17" s="1"/>
  <c r="AP298" i="17" s="1"/>
  <c r="BO269" i="17"/>
  <c r="BP269" i="17" s="1"/>
  <c r="BN269" i="17"/>
  <c r="AF659" i="15" s="1"/>
  <c r="BC270" i="17"/>
  <c r="Y299" i="17"/>
  <c r="AB299" i="17" s="1"/>
  <c r="AE299" i="17"/>
  <c r="O403" i="17"/>
  <c r="M404" i="17"/>
  <c r="BH270" i="17" l="1"/>
  <c r="Z299" i="17"/>
  <c r="U300" i="17" s="1"/>
  <c r="AC300" i="17" s="1"/>
  <c r="BD270" i="17"/>
  <c r="BE270" i="17" s="1"/>
  <c r="AL354" i="15"/>
  <c r="BQ269" i="17"/>
  <c r="AQ298" i="17"/>
  <c r="P404" i="17"/>
  <c r="AR298" i="17"/>
  <c r="AF299" i="17"/>
  <c r="AG299" i="17" s="1"/>
  <c r="E404" i="17"/>
  <c r="L404" i="17" s="1"/>
  <c r="AH299" i="17" l="1"/>
  <c r="AS299" i="17" s="1"/>
  <c r="AL299" i="17"/>
  <c r="W300" i="17"/>
  <c r="AA300" i="17" s="1"/>
  <c r="AK300" i="17" s="1"/>
  <c r="BK270" i="17"/>
  <c r="BL270" i="17" s="1"/>
  <c r="BM270" i="17" s="1"/>
  <c r="BJ270" i="17"/>
  <c r="BF270" i="17"/>
  <c r="N404" i="17"/>
  <c r="AD300" i="17"/>
  <c r="Q404" i="17"/>
  <c r="S404" i="17" s="1"/>
  <c r="AY299" i="17" l="1"/>
  <c r="AM299" i="17"/>
  <c r="AN299" i="17" s="1"/>
  <c r="AO299" i="17" s="1"/>
  <c r="AP299" i="17" s="1"/>
  <c r="AR299" i="17" s="1"/>
  <c r="AT299" i="17"/>
  <c r="AW299" i="17" s="1"/>
  <c r="AX299" i="17" s="1"/>
  <c r="AZ299" i="17" s="1"/>
  <c r="AU299" i="17"/>
  <c r="AV299" i="17" s="1"/>
  <c r="Y300" i="17"/>
  <c r="AB300" i="17" s="1"/>
  <c r="BG270" i="17"/>
  <c r="BI270" i="17"/>
  <c r="AE300" i="17"/>
  <c r="O404" i="17"/>
  <c r="M405" i="17"/>
  <c r="Z300" i="17" l="1"/>
  <c r="U301" i="17" s="1"/>
  <c r="AC301" i="17" s="1"/>
  <c r="AD301" i="17" s="1"/>
  <c r="BC271" i="17"/>
  <c r="BO270" i="17"/>
  <c r="BP270" i="17" s="1"/>
  <c r="BN270" i="17"/>
  <c r="AF661" i="15" s="1"/>
  <c r="AF300" i="17"/>
  <c r="AG300" i="17" s="1"/>
  <c r="AL300" i="17" s="1"/>
  <c r="AY300" i="17" s="1"/>
  <c r="P405" i="17"/>
  <c r="E405" i="17"/>
  <c r="L405" i="17" s="1"/>
  <c r="AQ299" i="17"/>
  <c r="W301" i="17" l="1"/>
  <c r="AA301" i="17" s="1"/>
  <c r="AK301" i="17" s="1"/>
  <c r="AH300" i="17"/>
  <c r="AS300" i="17" s="1"/>
  <c r="AM300" i="17"/>
  <c r="AN300" i="17" s="1"/>
  <c r="AO300" i="17" s="1"/>
  <c r="BD271" i="17"/>
  <c r="BH271" i="17"/>
  <c r="AL355" i="15"/>
  <c r="BQ270" i="17"/>
  <c r="AE301" i="17"/>
  <c r="N405" i="17"/>
  <c r="Q405" i="17"/>
  <c r="S405" i="17" s="1"/>
  <c r="Y301" i="17" l="1"/>
  <c r="AB301" i="17" s="1"/>
  <c r="AF301" i="17" s="1"/>
  <c r="AG301" i="17" s="1"/>
  <c r="AT300" i="17"/>
  <c r="AW300" i="17" s="1"/>
  <c r="AU300" i="17"/>
  <c r="AV300" i="17" s="1"/>
  <c r="BK271" i="17"/>
  <c r="BL271" i="17" s="1"/>
  <c r="BM271" i="17" s="1"/>
  <c r="BJ271" i="17"/>
  <c r="BE271" i="17"/>
  <c r="BF271" i="17" s="1"/>
  <c r="O405" i="17"/>
  <c r="M406" i="17"/>
  <c r="E406" i="17" s="1"/>
  <c r="L406" i="17" s="1"/>
  <c r="AP300" i="17"/>
  <c r="Z301" i="17" l="1"/>
  <c r="U302" i="17" s="1"/>
  <c r="AC302" i="17" s="1"/>
  <c r="AD302" i="17" s="1"/>
  <c r="AH301" i="17"/>
  <c r="AS301" i="17" s="1"/>
  <c r="AL301" i="17"/>
  <c r="AX300" i="17"/>
  <c r="AZ300" i="17" s="1"/>
  <c r="BG271" i="17"/>
  <c r="BI271" i="17"/>
  <c r="N406" i="17"/>
  <c r="AR300" i="17"/>
  <c r="AQ300" i="17"/>
  <c r="P406" i="17"/>
  <c r="W302" i="17" l="1"/>
  <c r="Y302" i="17" s="1"/>
  <c r="AB302" i="17" s="1"/>
  <c r="AT301" i="17"/>
  <c r="AW301" i="17" s="1"/>
  <c r="AX301" i="17" s="1"/>
  <c r="AZ301" i="17" s="1"/>
  <c r="AU301" i="17"/>
  <c r="AV301" i="17" s="1"/>
  <c r="AY301" i="17"/>
  <c r="AM301" i="17"/>
  <c r="AN301" i="17" s="1"/>
  <c r="AO301" i="17" s="1"/>
  <c r="AP301" i="17" s="1"/>
  <c r="BO271" i="17"/>
  <c r="BP271" i="17" s="1"/>
  <c r="AL356" i="15" s="1"/>
  <c r="BN271" i="17"/>
  <c r="BC272" i="17"/>
  <c r="BH272" i="17" s="1"/>
  <c r="AE302" i="17"/>
  <c r="Q406" i="17"/>
  <c r="S406" i="17" s="1"/>
  <c r="O406" i="17"/>
  <c r="M407" i="17"/>
  <c r="E407" i="17" s="1"/>
  <c r="L407" i="17" s="1"/>
  <c r="AA302" i="17"/>
  <c r="AK302" i="17" s="1"/>
  <c r="BD272" i="17" l="1"/>
  <c r="BE272" i="17" s="1"/>
  <c r="BF272" i="17" s="1"/>
  <c r="BQ271" i="17"/>
  <c r="AF663" i="15"/>
  <c r="N407" i="17"/>
  <c r="M408" i="17" s="1"/>
  <c r="E408" i="17" s="1"/>
  <c r="L408" i="17" s="1"/>
  <c r="AF302" i="17"/>
  <c r="AG302" i="17" s="1"/>
  <c r="AQ301" i="17"/>
  <c r="Z302" i="17"/>
  <c r="P407" i="17"/>
  <c r="AR301" i="17"/>
  <c r="O407" i="17" l="1"/>
  <c r="N408" i="17" s="1"/>
  <c r="AH302" i="17"/>
  <c r="AS302" i="17" s="1"/>
  <c r="AL302" i="17"/>
  <c r="AY302" i="17" s="1"/>
  <c r="BG272" i="17"/>
  <c r="BI272" i="17"/>
  <c r="BK272" i="17"/>
  <c r="BL272" i="17" s="1"/>
  <c r="BM272" i="17" s="1"/>
  <c r="BJ272" i="17"/>
  <c r="Q407" i="17"/>
  <c r="S407" i="17" s="1"/>
  <c r="U303" i="17"/>
  <c r="AC303" i="17" s="1"/>
  <c r="AM302" i="17" l="1"/>
  <c r="AN302" i="17" s="1"/>
  <c r="AT302" i="17"/>
  <c r="AW302" i="17" s="1"/>
  <c r="AX302" i="17" s="1"/>
  <c r="AZ302" i="17" s="1"/>
  <c r="AU302" i="17"/>
  <c r="AV302" i="17" s="1"/>
  <c r="BO272" i="17"/>
  <c r="BP272" i="17" s="1"/>
  <c r="BN272" i="17"/>
  <c r="AF664" i="15" s="1"/>
  <c r="BC273" i="17"/>
  <c r="O408" i="17"/>
  <c r="M409" i="17"/>
  <c r="E409" i="17" s="1"/>
  <c r="L409" i="17" s="1"/>
  <c r="P408" i="17"/>
  <c r="AD303" i="17"/>
  <c r="W303" i="17"/>
  <c r="AA303" i="17" s="1"/>
  <c r="AK303" i="17" s="1"/>
  <c r="N409" i="17" l="1"/>
  <c r="O409" i="17" s="1"/>
  <c r="BD273" i="17"/>
  <c r="BH273" i="17"/>
  <c r="AL357" i="15"/>
  <c r="BQ272" i="17"/>
  <c r="Q408" i="17"/>
  <c r="S408" i="17" s="1"/>
  <c r="AO302" i="17"/>
  <c r="AP302" i="17" s="1"/>
  <c r="AE303" i="17"/>
  <c r="Y303" i="17"/>
  <c r="AB303" i="17" s="1"/>
  <c r="M410" i="17" l="1"/>
  <c r="E410" i="17" s="1"/>
  <c r="L410" i="17" s="1"/>
  <c r="N410" i="17" s="1"/>
  <c r="O410" i="17" s="1"/>
  <c r="AR302" i="17"/>
  <c r="BK273" i="17"/>
  <c r="BL273" i="17" s="1"/>
  <c r="BM273" i="17" s="1"/>
  <c r="BJ273" i="17"/>
  <c r="BE273" i="17"/>
  <c r="BF273" i="17" s="1"/>
  <c r="P409" i="17"/>
  <c r="Q409" i="17" s="1"/>
  <c r="S409" i="17" s="1"/>
  <c r="AF303" i="17"/>
  <c r="AG303" i="17" s="1"/>
  <c r="AQ302" i="17"/>
  <c r="Z303" i="17"/>
  <c r="M411" i="17" l="1"/>
  <c r="E411" i="17" s="1"/>
  <c r="L411" i="17" s="1"/>
  <c r="AH303" i="17"/>
  <c r="AS303" i="17" s="1"/>
  <c r="AL303" i="17"/>
  <c r="AY303" i="17" s="1"/>
  <c r="BG273" i="17"/>
  <c r="BI273" i="17"/>
  <c r="U304" i="17"/>
  <c r="AC304" i="17" s="1"/>
  <c r="P410" i="17"/>
  <c r="AT303" i="17" l="1"/>
  <c r="AW303" i="17" s="1"/>
  <c r="AX303" i="17" s="1"/>
  <c r="AZ303" i="17" s="1"/>
  <c r="AU303" i="17"/>
  <c r="AV303" i="17" s="1"/>
  <c r="AM303" i="17"/>
  <c r="AN303" i="17" s="1"/>
  <c r="BO273" i="17"/>
  <c r="BP273" i="17" s="1"/>
  <c r="BN273" i="17"/>
  <c r="AF656" i="15" s="1"/>
  <c r="BC274" i="17"/>
  <c r="BH274" i="17" s="1"/>
  <c r="AD304" i="17"/>
  <c r="N411" i="17"/>
  <c r="Q410" i="17"/>
  <c r="S410" i="17" s="1"/>
  <c r="W304" i="17"/>
  <c r="AA304" i="17" s="1"/>
  <c r="AK304" i="17" s="1"/>
  <c r="BD274" i="17" l="1"/>
  <c r="BE274" i="17" s="1"/>
  <c r="BF274" i="17" s="1"/>
  <c r="AL358" i="15"/>
  <c r="BQ273" i="17"/>
  <c r="AO303" i="17"/>
  <c r="AP303" i="17" s="1"/>
  <c r="AE304" i="17"/>
  <c r="P411" i="17"/>
  <c r="M412" i="17"/>
  <c r="O411" i="17"/>
  <c r="Y304" i="17"/>
  <c r="AB304" i="17" s="1"/>
  <c r="BJ274" i="17" l="1"/>
  <c r="BK274" i="17"/>
  <c r="BL274" i="17" s="1"/>
  <c r="BM274" i="17" s="1"/>
  <c r="BG274" i="17"/>
  <c r="BI274" i="17"/>
  <c r="Z304" i="17"/>
  <c r="U305" i="17" s="1"/>
  <c r="AQ303" i="17"/>
  <c r="E412" i="17"/>
  <c r="L412" i="17" s="1"/>
  <c r="AF304" i="17"/>
  <c r="AG304" i="17" s="1"/>
  <c r="AR303" i="17"/>
  <c r="Q411" i="17"/>
  <c r="S411" i="17" s="1"/>
  <c r="AH304" i="17" l="1"/>
  <c r="AS304" i="17" s="1"/>
  <c r="AL304" i="17"/>
  <c r="AY304" i="17" s="1"/>
  <c r="BO274" i="17"/>
  <c r="BP274" i="17" s="1"/>
  <c r="BN274" i="17"/>
  <c r="AF596" i="15" s="1"/>
  <c r="BC275" i="17"/>
  <c r="BD275" i="17" s="1"/>
  <c r="P412" i="17"/>
  <c r="Q412" i="17" s="1"/>
  <c r="S412" i="17" s="1"/>
  <c r="AC305" i="17"/>
  <c r="W305" i="17"/>
  <c r="AA305" i="17" s="1"/>
  <c r="AK305" i="17" s="1"/>
  <c r="N412" i="17"/>
  <c r="AM304" i="17" l="1"/>
  <c r="AN304" i="17" s="1"/>
  <c r="AO304" i="17" s="1"/>
  <c r="AT304" i="17"/>
  <c r="AW304" i="17" s="1"/>
  <c r="AX304" i="17" s="1"/>
  <c r="AZ304" i="17" s="1"/>
  <c r="AU304" i="17"/>
  <c r="AV304" i="17" s="1"/>
  <c r="BK275" i="17"/>
  <c r="BL275" i="17" s="1"/>
  <c r="BM275" i="17" s="1"/>
  <c r="BJ275" i="17"/>
  <c r="BE275" i="17"/>
  <c r="BF275" i="17" s="1"/>
  <c r="BH275" i="17"/>
  <c r="AD305" i="17"/>
  <c r="AE305" i="17" s="1"/>
  <c r="Y305" i="17"/>
  <c r="AB305" i="17" s="1"/>
  <c r="AL104" i="15"/>
  <c r="BQ274" i="17"/>
  <c r="O412" i="17"/>
  <c r="M413" i="17"/>
  <c r="E413" i="17" s="1"/>
  <c r="L413" i="17" s="1"/>
  <c r="Z305" i="17" l="1"/>
  <c r="U306" i="17" s="1"/>
  <c r="AC306" i="17" s="1"/>
  <c r="BG275" i="17"/>
  <c r="BI275" i="17"/>
  <c r="N413" i="17"/>
  <c r="P413" i="17"/>
  <c r="AP304" i="17"/>
  <c r="AF305" i="17"/>
  <c r="AG305" i="17" s="1"/>
  <c r="AH305" i="17" l="1"/>
  <c r="AS305" i="17" s="1"/>
  <c r="AL305" i="17"/>
  <c r="AY305" i="17" s="1"/>
  <c r="W306" i="17"/>
  <c r="AA306" i="17" s="1"/>
  <c r="AK306" i="17" s="1"/>
  <c r="AD306" i="17"/>
  <c r="AE306" i="17" s="1"/>
  <c r="BO275" i="17"/>
  <c r="BP275" i="17" s="1"/>
  <c r="BN275" i="17"/>
  <c r="AF660" i="15" s="1"/>
  <c r="BC276" i="17"/>
  <c r="BD276" i="17" s="1"/>
  <c r="AQ304" i="17"/>
  <c r="AR304" i="17"/>
  <c r="M414" i="17"/>
  <c r="E414" i="17" s="1"/>
  <c r="L414" i="17" s="1"/>
  <c r="O413" i="17"/>
  <c r="Q413" i="17"/>
  <c r="S413" i="17" s="1"/>
  <c r="Y306" i="17" l="1"/>
  <c r="AB306" i="17" s="1"/>
  <c r="AF306" i="17" s="1"/>
  <c r="AG306" i="17" s="1"/>
  <c r="AM305" i="17"/>
  <c r="AN305" i="17" s="1"/>
  <c r="AO305" i="17" s="1"/>
  <c r="AP305" i="17" s="1"/>
  <c r="AT305" i="17"/>
  <c r="AW305" i="17" s="1"/>
  <c r="AU305" i="17"/>
  <c r="AV305" i="17" s="1"/>
  <c r="BK276" i="17"/>
  <c r="BL276" i="17" s="1"/>
  <c r="BM276" i="17" s="1"/>
  <c r="BJ276" i="17"/>
  <c r="AL359" i="15"/>
  <c r="BQ275" i="17"/>
  <c r="BH276" i="17"/>
  <c r="BE276" i="17"/>
  <c r="BF276" i="17" s="1"/>
  <c r="N414" i="17"/>
  <c r="M415" i="17" s="1"/>
  <c r="E415" i="17" s="1"/>
  <c r="L415" i="17" s="1"/>
  <c r="P414" i="17"/>
  <c r="Z306" i="17" l="1"/>
  <c r="U307" i="17" s="1"/>
  <c r="AC307" i="17" s="1"/>
  <c r="AQ305" i="17"/>
  <c r="AR305" i="17"/>
  <c r="AH306" i="17"/>
  <c r="AS306" i="17" s="1"/>
  <c r="AT306" i="17" s="1"/>
  <c r="AX305" i="17"/>
  <c r="AZ305" i="17" s="1"/>
  <c r="AL306" i="17"/>
  <c r="AY306" i="17" s="1"/>
  <c r="BG276" i="17"/>
  <c r="BI276" i="17"/>
  <c r="O414" i="17"/>
  <c r="N415" i="17" s="1"/>
  <c r="Q414" i="17"/>
  <c r="S414" i="17" s="1"/>
  <c r="AW306" i="17" l="1"/>
  <c r="AX306" i="17" s="1"/>
  <c r="AZ306" i="17" s="1"/>
  <c r="AM306" i="17"/>
  <c r="AN306" i="17" s="1"/>
  <c r="AU306" i="17"/>
  <c r="AV306" i="17" s="1"/>
  <c r="BO276" i="17"/>
  <c r="BP276" i="17" s="1"/>
  <c r="BN276" i="17"/>
  <c r="AF668" i="15" s="1"/>
  <c r="P415" i="17"/>
  <c r="Q415" i="17" s="1"/>
  <c r="S415" i="17" s="1"/>
  <c r="BC277" i="17"/>
  <c r="O415" i="17"/>
  <c r="M416" i="17"/>
  <c r="E416" i="17" s="1"/>
  <c r="L416" i="17" s="1"/>
  <c r="AD307" i="17"/>
  <c r="W307" i="17"/>
  <c r="BD277" i="17" l="1"/>
  <c r="BE277" i="17" s="1"/>
  <c r="BF277" i="17" s="1"/>
  <c r="BH277" i="17"/>
  <c r="AL360" i="15"/>
  <c r="BQ276" i="17"/>
  <c r="N416" i="17"/>
  <c r="P416" i="17"/>
  <c r="AO306" i="17"/>
  <c r="AE307" i="17"/>
  <c r="AA307" i="17"/>
  <c r="AK307" i="17" s="1"/>
  <c r="Y307" i="17"/>
  <c r="AB307" i="17" s="1"/>
  <c r="BG277" i="17" l="1"/>
  <c r="BI277" i="17"/>
  <c r="BK277" i="17"/>
  <c r="BL277" i="17" s="1"/>
  <c r="BM277" i="17" s="1"/>
  <c r="BJ277" i="17"/>
  <c r="AP306" i="17"/>
  <c r="O416" i="17"/>
  <c r="M417" i="17"/>
  <c r="AF307" i="17"/>
  <c r="AG307" i="17" s="1"/>
  <c r="AL307" i="17" s="1"/>
  <c r="AY307" i="17" s="1"/>
  <c r="Q416" i="17"/>
  <c r="S416" i="17" s="1"/>
  <c r="Z307" i="17"/>
  <c r="AH307" i="17" l="1"/>
  <c r="AS307" i="17" s="1"/>
  <c r="P417" i="17"/>
  <c r="Q417" i="17" s="1"/>
  <c r="S417" i="17" s="1"/>
  <c r="BO277" i="17"/>
  <c r="BP277" i="17" s="1"/>
  <c r="BN277" i="17"/>
  <c r="AF671" i="15" s="1"/>
  <c r="BC278" i="17"/>
  <c r="BH278" i="17" s="1"/>
  <c r="AM307" i="17"/>
  <c r="AR306" i="17"/>
  <c r="E417" i="17"/>
  <c r="L417" i="17" s="1"/>
  <c r="U308" i="17"/>
  <c r="AC308" i="17" s="1"/>
  <c r="AQ306" i="17"/>
  <c r="AT307" i="17" l="1"/>
  <c r="AW307" i="17" s="1"/>
  <c r="AX307" i="17" s="1"/>
  <c r="AZ307" i="17" s="1"/>
  <c r="AU307" i="17"/>
  <c r="AV307" i="17" s="1"/>
  <c r="BD278" i="17"/>
  <c r="BE278" i="17" s="1"/>
  <c r="BF278" i="17" s="1"/>
  <c r="AL361" i="15"/>
  <c r="BQ277" i="17"/>
  <c r="N417" i="17"/>
  <c r="AD308" i="17"/>
  <c r="AN307" i="17"/>
  <c r="AO307" i="17" s="1"/>
  <c r="W308" i="17"/>
  <c r="BG278" i="17" l="1"/>
  <c r="BI278" i="17"/>
  <c r="BK278" i="17"/>
  <c r="BL278" i="17" s="1"/>
  <c r="BM278" i="17" s="1"/>
  <c r="BJ278" i="17"/>
  <c r="O417" i="17"/>
  <c r="M418" i="17"/>
  <c r="AP307" i="17"/>
  <c r="AA308" i="17"/>
  <c r="AK308" i="17" s="1"/>
  <c r="Y308" i="17"/>
  <c r="AE308" i="17"/>
  <c r="BO278" i="17" l="1"/>
  <c r="BP278" i="17" s="1"/>
  <c r="BN278" i="17"/>
  <c r="AF675" i="15" s="1"/>
  <c r="BC279" i="17"/>
  <c r="AB308" i="17"/>
  <c r="Z308" i="17"/>
  <c r="P418" i="17"/>
  <c r="AR307" i="17"/>
  <c r="E418" i="17"/>
  <c r="L418" i="17" s="1"/>
  <c r="AQ307" i="17"/>
  <c r="AL362" i="15" l="1"/>
  <c r="BQ278" i="17"/>
  <c r="BD279" i="17"/>
  <c r="BH279" i="17"/>
  <c r="Q418" i="17"/>
  <c r="S418" i="17" s="1"/>
  <c r="U309" i="17"/>
  <c r="AC309" i="17" s="1"/>
  <c r="N418" i="17"/>
  <c r="AF308" i="17"/>
  <c r="AG308" i="17" s="1"/>
  <c r="AL308" i="17" s="1"/>
  <c r="AY308" i="17" s="1"/>
  <c r="AH308" i="17" l="1"/>
  <c r="AS308" i="17" s="1"/>
  <c r="BK279" i="17"/>
  <c r="BL279" i="17" s="1"/>
  <c r="BM279" i="17" s="1"/>
  <c r="BJ279" i="17"/>
  <c r="BE279" i="17"/>
  <c r="BF279" i="17" s="1"/>
  <c r="O418" i="17"/>
  <c r="M419" i="17"/>
  <c r="E419" i="17" s="1"/>
  <c r="L419" i="17" s="1"/>
  <c r="AM308" i="17"/>
  <c r="AD309" i="17"/>
  <c r="W309" i="17"/>
  <c r="AT308" i="17" l="1"/>
  <c r="AW308" i="17" s="1"/>
  <c r="AX308" i="17" s="1"/>
  <c r="AZ308" i="17" s="1"/>
  <c r="AU308" i="17"/>
  <c r="AV308" i="17" s="1"/>
  <c r="N419" i="17"/>
  <c r="O419" i="17" s="1"/>
  <c r="BG279" i="17"/>
  <c r="BI279" i="17"/>
  <c r="AA309" i="17"/>
  <c r="AK309" i="17" s="1"/>
  <c r="Y309" i="17"/>
  <c r="AE309" i="17"/>
  <c r="AN308" i="17"/>
  <c r="AO308" i="17" s="1"/>
  <c r="P419" i="17"/>
  <c r="M420" i="17" l="1"/>
  <c r="E420" i="17" s="1"/>
  <c r="L420" i="17" s="1"/>
  <c r="N420" i="17" s="1"/>
  <c r="BO279" i="17"/>
  <c r="BP279" i="17" s="1"/>
  <c r="BN279" i="17"/>
  <c r="AF677" i="15" s="1"/>
  <c r="BC280" i="17"/>
  <c r="Q419" i="17"/>
  <c r="S419" i="17" s="1"/>
  <c r="AP308" i="17"/>
  <c r="AB309" i="17"/>
  <c r="Z309" i="17"/>
  <c r="P420" i="17" l="1"/>
  <c r="Q420" i="17" s="1"/>
  <c r="S420" i="17" s="1"/>
  <c r="BH280" i="17"/>
  <c r="BD280" i="17"/>
  <c r="AL363" i="15"/>
  <c r="BQ279" i="17"/>
  <c r="U310" i="17"/>
  <c r="AC310" i="17" s="1"/>
  <c r="AR308" i="17"/>
  <c r="AF309" i="17"/>
  <c r="AG309" i="17" s="1"/>
  <c r="AL309" i="17" s="1"/>
  <c r="AY309" i="17" s="1"/>
  <c r="AQ308" i="17"/>
  <c r="O420" i="17"/>
  <c r="M421" i="17"/>
  <c r="E421" i="17" s="1"/>
  <c r="L421" i="17" s="1"/>
  <c r="AH309" i="17" l="1"/>
  <c r="AS309" i="17" s="1"/>
  <c r="BK280" i="17"/>
  <c r="BL280" i="17" s="1"/>
  <c r="BM280" i="17" s="1"/>
  <c r="BJ280" i="17"/>
  <c r="BE280" i="17"/>
  <c r="BF280" i="17" s="1"/>
  <c r="AD310" i="17"/>
  <c r="AM309" i="17"/>
  <c r="W310" i="17"/>
  <c r="N421" i="17"/>
  <c r="P421" i="17"/>
  <c r="AT309" i="17" l="1"/>
  <c r="AW309" i="17" s="1"/>
  <c r="AX309" i="17" s="1"/>
  <c r="AZ309" i="17" s="1"/>
  <c r="AU309" i="17"/>
  <c r="AV309" i="17" s="1"/>
  <c r="BG280" i="17"/>
  <c r="BI280" i="17"/>
  <c r="O421" i="17"/>
  <c r="M422" i="17"/>
  <c r="AN309" i="17"/>
  <c r="AO309" i="17" s="1"/>
  <c r="Q421" i="17"/>
  <c r="S421" i="17" s="1"/>
  <c r="AA310" i="17"/>
  <c r="AK310" i="17" s="1"/>
  <c r="Y310" i="17"/>
  <c r="AE310" i="17"/>
  <c r="BO280" i="17" l="1"/>
  <c r="BP280" i="17" s="1"/>
  <c r="BN280" i="17"/>
  <c r="AF680" i="15" s="1"/>
  <c r="BC281" i="17"/>
  <c r="AP309" i="17"/>
  <c r="AR309" i="17" s="1"/>
  <c r="AB310" i="17"/>
  <c r="Z310" i="17"/>
  <c r="E422" i="17"/>
  <c r="L422" i="17" s="1"/>
  <c r="P422" i="17"/>
  <c r="BD281" i="17" l="1"/>
  <c r="BE281" i="17" s="1"/>
  <c r="BF281" i="17" s="1"/>
  <c r="BH281" i="17"/>
  <c r="AL364" i="15"/>
  <c r="BQ280" i="17"/>
  <c r="N422" i="17"/>
  <c r="AF310" i="17"/>
  <c r="AG310" i="17" s="1"/>
  <c r="AL310" i="17" s="1"/>
  <c r="AY310" i="17" s="1"/>
  <c r="Q422" i="17"/>
  <c r="S422" i="17" s="1"/>
  <c r="U311" i="17"/>
  <c r="AC311" i="17" s="1"/>
  <c r="AQ309" i="17"/>
  <c r="AH310" i="17" l="1"/>
  <c r="AS310" i="17" s="1"/>
  <c r="BG281" i="17"/>
  <c r="BI281" i="17"/>
  <c r="BK281" i="17"/>
  <c r="BJ281" i="17"/>
  <c r="AD311" i="17"/>
  <c r="AE311" i="17" s="1"/>
  <c r="AM310" i="17"/>
  <c r="M423" i="17"/>
  <c r="E423" i="17" s="1"/>
  <c r="L423" i="17" s="1"/>
  <c r="O422" i="17"/>
  <c r="W311" i="17"/>
  <c r="AA311" i="17" s="1"/>
  <c r="AK311" i="17" s="1"/>
  <c r="AT310" i="17" l="1"/>
  <c r="AW310" i="17" s="1"/>
  <c r="AX310" i="17" s="1"/>
  <c r="AZ310" i="17" s="1"/>
  <c r="AU310" i="17"/>
  <c r="AV310" i="17" s="1"/>
  <c r="BL281" i="17"/>
  <c r="BM281" i="17" s="1"/>
  <c r="BO281" i="17"/>
  <c r="BP281" i="17" s="1"/>
  <c r="BC282" i="17"/>
  <c r="BH282" i="17" s="1"/>
  <c r="Y311" i="17"/>
  <c r="AB311" i="17" s="1"/>
  <c r="N423" i="17"/>
  <c r="AN310" i="17"/>
  <c r="P423" i="17"/>
  <c r="BD282" i="17" l="1"/>
  <c r="BJ282" i="17" s="1"/>
  <c r="AF311" i="17"/>
  <c r="AG311" i="17" s="1"/>
  <c r="AL311" i="17" s="1"/>
  <c r="Z311" i="17"/>
  <c r="U312" i="17" s="1"/>
  <c r="AC312" i="17" s="1"/>
  <c r="BN281" i="17"/>
  <c r="AF683" i="15" s="1"/>
  <c r="AL365" i="15"/>
  <c r="Q423" i="17"/>
  <c r="S423" i="17" s="1"/>
  <c r="AO310" i="17"/>
  <c r="O423" i="17"/>
  <c r="M424" i="17"/>
  <c r="BE282" i="17" l="1"/>
  <c r="BF282" i="17" s="1"/>
  <c r="BG282" i="17" s="1"/>
  <c r="BC283" i="17" s="1"/>
  <c r="BK282" i="17"/>
  <c r="BL282" i="17" s="1"/>
  <c r="BM282" i="17" s="1"/>
  <c r="AY311" i="17"/>
  <c r="AM311" i="17"/>
  <c r="AN311" i="17" s="1"/>
  <c r="AH311" i="17"/>
  <c r="AS311" i="17" s="1"/>
  <c r="BQ281" i="17"/>
  <c r="AD312" i="17"/>
  <c r="E424" i="17"/>
  <c r="L424" i="17" s="1"/>
  <c r="W312" i="17"/>
  <c r="P424" i="17"/>
  <c r="AP310" i="17"/>
  <c r="BI282" i="17" l="1"/>
  <c r="BO282" i="17" s="1"/>
  <c r="BP282" i="17" s="1"/>
  <c r="AL366" i="15" s="1"/>
  <c r="AT311" i="17"/>
  <c r="AW311" i="17" s="1"/>
  <c r="AX311" i="17" s="1"/>
  <c r="AZ311" i="17" s="1"/>
  <c r="AU311" i="17"/>
  <c r="AV311" i="17" s="1"/>
  <c r="BD283" i="17"/>
  <c r="BE283" i="17" s="1"/>
  <c r="BF283" i="17" s="1"/>
  <c r="BH283" i="17"/>
  <c r="AR310" i="17"/>
  <c r="AO311" i="17"/>
  <c r="AQ310" i="17"/>
  <c r="AA312" i="17"/>
  <c r="AK312" i="17" s="1"/>
  <c r="Y312" i="17"/>
  <c r="AE312" i="17"/>
  <c r="Q424" i="17"/>
  <c r="S424" i="17" s="1"/>
  <c r="N424" i="17"/>
  <c r="BN282" i="17" l="1"/>
  <c r="AF685" i="15" s="1"/>
  <c r="BG283" i="17"/>
  <c r="BI283" i="17"/>
  <c r="BJ283" i="17"/>
  <c r="BK283" i="17"/>
  <c r="BL283" i="17" s="1"/>
  <c r="BM283" i="17" s="1"/>
  <c r="O424" i="17"/>
  <c r="M425" i="17"/>
  <c r="AP311" i="17"/>
  <c r="AB312" i="17"/>
  <c r="Z312" i="17"/>
  <c r="BQ282" i="17" l="1"/>
  <c r="BO283" i="17"/>
  <c r="BP283" i="17" s="1"/>
  <c r="BN283" i="17"/>
  <c r="AF687" i="15" s="1"/>
  <c r="BC284" i="17"/>
  <c r="AR311" i="17"/>
  <c r="U313" i="17"/>
  <c r="AC313" i="17" s="1"/>
  <c r="AF312" i="17"/>
  <c r="AG312" i="17" s="1"/>
  <c r="E425" i="17"/>
  <c r="L425" i="17" s="1"/>
  <c r="P425" i="17"/>
  <c r="AQ311" i="17"/>
  <c r="AH312" i="17" l="1"/>
  <c r="AS312" i="17" s="1"/>
  <c r="AL312" i="17"/>
  <c r="AY312" i="17" s="1"/>
  <c r="BD284" i="17"/>
  <c r="BH284" i="17"/>
  <c r="AL367" i="15"/>
  <c r="BQ283" i="17"/>
  <c r="N425" i="17"/>
  <c r="W313" i="17"/>
  <c r="AD313" i="17"/>
  <c r="Q425" i="17"/>
  <c r="S425" i="17" s="1"/>
  <c r="AT312" i="17" l="1"/>
  <c r="AW312" i="17" s="1"/>
  <c r="AX312" i="17" s="1"/>
  <c r="AZ312" i="17" s="1"/>
  <c r="AU312" i="17"/>
  <c r="AV312" i="17" s="1"/>
  <c r="AM312" i="17"/>
  <c r="AN312" i="17" s="1"/>
  <c r="BK284" i="17"/>
  <c r="BL284" i="17" s="1"/>
  <c r="BM284" i="17" s="1"/>
  <c r="BJ284" i="17"/>
  <c r="BE284" i="17"/>
  <c r="BF284" i="17" s="1"/>
  <c r="M426" i="17"/>
  <c r="E426" i="17" s="1"/>
  <c r="L426" i="17" s="1"/>
  <c r="O425" i="17"/>
  <c r="AA313" i="17"/>
  <c r="AK313" i="17" s="1"/>
  <c r="Y313" i="17"/>
  <c r="AB313" i="17" s="1"/>
  <c r="AE313" i="17"/>
  <c r="BG284" i="17" l="1"/>
  <c r="BI284" i="17"/>
  <c r="N426" i="17"/>
  <c r="AF313" i="17"/>
  <c r="AG313" i="17" s="1"/>
  <c r="Z313" i="17"/>
  <c r="AO312" i="17"/>
  <c r="AP312" i="17" s="1"/>
  <c r="P426" i="17"/>
  <c r="AH313" i="17" l="1"/>
  <c r="AS313" i="17" s="1"/>
  <c r="AL313" i="17"/>
  <c r="AY313" i="17" s="1"/>
  <c r="BO284" i="17"/>
  <c r="BP284" i="17" s="1"/>
  <c r="BN284" i="17"/>
  <c r="AF690" i="15" s="1"/>
  <c r="BC285" i="17"/>
  <c r="BH285" i="17" s="1"/>
  <c r="AR312" i="17"/>
  <c r="Q426" i="17"/>
  <c r="S426" i="17" s="1"/>
  <c r="O426" i="17"/>
  <c r="M427" i="17"/>
  <c r="U314" i="17"/>
  <c r="AC314" i="17" s="1"/>
  <c r="AQ312" i="17"/>
  <c r="AT313" i="17" l="1"/>
  <c r="AW313" i="17" s="1"/>
  <c r="AX313" i="17" s="1"/>
  <c r="AZ313" i="17" s="1"/>
  <c r="AU313" i="17"/>
  <c r="AV313" i="17" s="1"/>
  <c r="AM313" i="17"/>
  <c r="AN313" i="17" s="1"/>
  <c r="BD285" i="17"/>
  <c r="AL368" i="15"/>
  <c r="BQ284" i="17"/>
  <c r="P427" i="17"/>
  <c r="Q427" i="17" s="1"/>
  <c r="S427" i="17" s="1"/>
  <c r="E427" i="17"/>
  <c r="L427" i="17" s="1"/>
  <c r="N427" i="17" s="1"/>
  <c r="AD314" i="17"/>
  <c r="W314" i="17"/>
  <c r="BK285" i="17" l="1"/>
  <c r="BL285" i="17" s="1"/>
  <c r="BM285" i="17" s="1"/>
  <c r="BJ285" i="17"/>
  <c r="BE285" i="17"/>
  <c r="BF285" i="17" s="1"/>
  <c r="AA314" i="17"/>
  <c r="AK314" i="17" s="1"/>
  <c r="Y314" i="17"/>
  <c r="AB314" i="17" s="1"/>
  <c r="O427" i="17"/>
  <c r="M428" i="17"/>
  <c r="E428" i="17" s="1"/>
  <c r="L428" i="17" s="1"/>
  <c r="AE314" i="17"/>
  <c r="AO313" i="17"/>
  <c r="BG285" i="17" l="1"/>
  <c r="BI285" i="17"/>
  <c r="Z314" i="17"/>
  <c r="U315" i="17" s="1"/>
  <c r="AC315" i="17" s="1"/>
  <c r="P428" i="17"/>
  <c r="AF314" i="17"/>
  <c r="AG314" i="17" s="1"/>
  <c r="AP313" i="17"/>
  <c r="AQ313" i="17" s="1"/>
  <c r="N428" i="17"/>
  <c r="AH314" i="17" l="1"/>
  <c r="AS314" i="17" s="1"/>
  <c r="AL314" i="17"/>
  <c r="AY314" i="17" s="1"/>
  <c r="BO285" i="17"/>
  <c r="BP285" i="17" s="1"/>
  <c r="BN285" i="17"/>
  <c r="AF691" i="15" s="1"/>
  <c r="BC286" i="17"/>
  <c r="AD315" i="17"/>
  <c r="Q428" i="17"/>
  <c r="S428" i="17" s="1"/>
  <c r="M429" i="17"/>
  <c r="E429" i="17" s="1"/>
  <c r="L429" i="17" s="1"/>
  <c r="O428" i="17"/>
  <c r="AR313" i="17"/>
  <c r="W315" i="17"/>
  <c r="AT314" i="17" l="1"/>
  <c r="AW314" i="17" s="1"/>
  <c r="AX314" i="17" s="1"/>
  <c r="AZ314" i="17" s="1"/>
  <c r="AU314" i="17"/>
  <c r="AV314" i="17" s="1"/>
  <c r="AM314" i="17"/>
  <c r="AN314" i="17" s="1"/>
  <c r="BD286" i="17"/>
  <c r="BH286" i="17"/>
  <c r="AL369" i="15"/>
  <c r="BQ285" i="17"/>
  <c r="P429" i="17"/>
  <c r="Q429" i="17" s="1"/>
  <c r="S429" i="17" s="1"/>
  <c r="AA315" i="17"/>
  <c r="AK315" i="17" s="1"/>
  <c r="Y315" i="17"/>
  <c r="AB315" i="17" s="1"/>
  <c r="N429" i="17"/>
  <c r="AE315" i="17"/>
  <c r="BK286" i="17" l="1"/>
  <c r="BJ286" i="17"/>
  <c r="BE286" i="17"/>
  <c r="BF286" i="17" s="1"/>
  <c r="Z315" i="17"/>
  <c r="O429" i="17"/>
  <c r="M430" i="17"/>
  <c r="AO314" i="17"/>
  <c r="AF315" i="17"/>
  <c r="AG315" i="17" s="1"/>
  <c r="AH315" i="17" l="1"/>
  <c r="AS315" i="17" s="1"/>
  <c r="AL315" i="17"/>
  <c r="AY315" i="17" s="1"/>
  <c r="BG286" i="17"/>
  <c r="BI286" i="17"/>
  <c r="BL286" i="17"/>
  <c r="BM286" i="17" s="1"/>
  <c r="P430" i="17"/>
  <c r="AP314" i="17"/>
  <c r="E430" i="17"/>
  <c r="L430" i="17" s="1"/>
  <c r="U316" i="17"/>
  <c r="AC316" i="17" s="1"/>
  <c r="AM315" i="17" l="1"/>
  <c r="AN315" i="17" s="1"/>
  <c r="AT315" i="17"/>
  <c r="AW315" i="17" s="1"/>
  <c r="AX315" i="17" s="1"/>
  <c r="AZ315" i="17" s="1"/>
  <c r="AU315" i="17"/>
  <c r="AV315" i="17" s="1"/>
  <c r="BO286" i="17"/>
  <c r="BP286" i="17" s="1"/>
  <c r="BN286" i="17"/>
  <c r="AF692" i="15" s="1"/>
  <c r="BC287" i="17"/>
  <c r="BH287" i="17" s="1"/>
  <c r="AR314" i="17"/>
  <c r="W316" i="17"/>
  <c r="AA316" i="17" s="1"/>
  <c r="AK316" i="17" s="1"/>
  <c r="AQ314" i="17"/>
  <c r="Q430" i="17"/>
  <c r="S430" i="17" s="1"/>
  <c r="AD316" i="17"/>
  <c r="N430" i="17"/>
  <c r="BD287" i="17" l="1"/>
  <c r="BE287" i="17" s="1"/>
  <c r="BF287" i="17" s="1"/>
  <c r="AL370" i="15"/>
  <c r="BQ286" i="17"/>
  <c r="O430" i="17"/>
  <c r="M431" i="17"/>
  <c r="E431" i="17" s="1"/>
  <c r="L431" i="17" s="1"/>
  <c r="AE316" i="17"/>
  <c r="Y316" i="17"/>
  <c r="AO315" i="17"/>
  <c r="BG287" i="17" l="1"/>
  <c r="BI287" i="17"/>
  <c r="BJ287" i="17"/>
  <c r="BK287" i="17"/>
  <c r="BL287" i="17" s="1"/>
  <c r="BM287" i="17" s="1"/>
  <c r="N431" i="17"/>
  <c r="AP315" i="17"/>
  <c r="AQ315" i="17" s="1"/>
  <c r="P431" i="17"/>
  <c r="Q431" i="17" s="1"/>
  <c r="AB316" i="17"/>
  <c r="Z316" i="17"/>
  <c r="BO287" i="17" l="1"/>
  <c r="BP287" i="17" s="1"/>
  <c r="BN287" i="17"/>
  <c r="AF693" i="15" s="1"/>
  <c r="BC288" i="17"/>
  <c r="AF316" i="17"/>
  <c r="AG316" i="17" s="1"/>
  <c r="AL316" i="17" s="1"/>
  <c r="AY316" i="17" s="1"/>
  <c r="M432" i="17"/>
  <c r="P432" i="17" s="1"/>
  <c r="O431" i="17"/>
  <c r="U317" i="17"/>
  <c r="AC317" i="17" s="1"/>
  <c r="AR315" i="17"/>
  <c r="S431" i="17"/>
  <c r="AH316" i="17" l="1"/>
  <c r="AS316" i="17" s="1"/>
  <c r="BD288" i="17"/>
  <c r="BH288" i="17"/>
  <c r="AL371" i="15"/>
  <c r="BQ287" i="17"/>
  <c r="AD317" i="17"/>
  <c r="Q432" i="17"/>
  <c r="S432" i="17" s="1"/>
  <c r="W317" i="17"/>
  <c r="AA317" i="17" s="1"/>
  <c r="AK317" i="17" s="1"/>
  <c r="E432" i="17"/>
  <c r="L432" i="17" s="1"/>
  <c r="AM316" i="17"/>
  <c r="AT316" i="17" l="1"/>
  <c r="AW316" i="17" s="1"/>
  <c r="AX316" i="17" s="1"/>
  <c r="AZ316" i="17" s="1"/>
  <c r="AU316" i="17"/>
  <c r="AV316" i="17" s="1"/>
  <c r="Y317" i="17"/>
  <c r="AB317" i="17" s="1"/>
  <c r="BK288" i="17"/>
  <c r="BL288" i="17" s="1"/>
  <c r="BM288" i="17" s="1"/>
  <c r="BJ288" i="17"/>
  <c r="BE288" i="17"/>
  <c r="BF288" i="17" s="1"/>
  <c r="N432" i="17"/>
  <c r="AE317" i="17"/>
  <c r="AN316" i="17"/>
  <c r="AO316" i="17" s="1"/>
  <c r="Z317" i="17" l="1"/>
  <c r="U318" i="17" s="1"/>
  <c r="AC318" i="17" s="1"/>
  <c r="BG288" i="17"/>
  <c r="BI288" i="17"/>
  <c r="AP316" i="17"/>
  <c r="O432" i="17"/>
  <c r="M433" i="17"/>
  <c r="E433" i="17" s="1"/>
  <c r="L433" i="17" s="1"/>
  <c r="AF317" i="17"/>
  <c r="AG317" i="17" s="1"/>
  <c r="AH317" i="17" l="1"/>
  <c r="AS317" i="17" s="1"/>
  <c r="AL317" i="17"/>
  <c r="AY317" i="17" s="1"/>
  <c r="AR316" i="17"/>
  <c r="BO288" i="17"/>
  <c r="BP288" i="17" s="1"/>
  <c r="BN288" i="17"/>
  <c r="AF695" i="15" s="1"/>
  <c r="BC289" i="17"/>
  <c r="BD289" i="17" s="1"/>
  <c r="W318" i="17"/>
  <c r="AA318" i="17" s="1"/>
  <c r="AK318" i="17" s="1"/>
  <c r="AD318" i="17"/>
  <c r="N433" i="17"/>
  <c r="P433" i="17"/>
  <c r="AQ316" i="17"/>
  <c r="AM317" i="17" l="1"/>
  <c r="AN317" i="17" s="1"/>
  <c r="AO317" i="17" s="1"/>
  <c r="AT317" i="17"/>
  <c r="AW317" i="17" s="1"/>
  <c r="AX317" i="17" s="1"/>
  <c r="AZ317" i="17" s="1"/>
  <c r="AU317" i="17"/>
  <c r="AV317" i="17" s="1"/>
  <c r="BE289" i="17"/>
  <c r="BF289" i="17" s="1"/>
  <c r="AL372" i="15"/>
  <c r="BQ288" i="17"/>
  <c r="BK289" i="17"/>
  <c r="BL289" i="17" s="1"/>
  <c r="BM289" i="17" s="1"/>
  <c r="BJ289" i="17"/>
  <c r="BH289" i="17"/>
  <c r="Y318" i="17"/>
  <c r="AB318" i="17" s="1"/>
  <c r="AE318" i="17"/>
  <c r="Q433" i="17"/>
  <c r="S433" i="17" s="1"/>
  <c r="M434" i="17"/>
  <c r="O433" i="17"/>
  <c r="Z318" i="17" l="1"/>
  <c r="U319" i="17" s="1"/>
  <c r="AC319" i="17" s="1"/>
  <c r="BG289" i="17"/>
  <c r="BI289" i="17"/>
  <c r="P434" i="17"/>
  <c r="Q434" i="17" s="1"/>
  <c r="S434" i="17" s="1"/>
  <c r="E434" i="17"/>
  <c r="L434" i="17" s="1"/>
  <c r="AP317" i="17"/>
  <c r="AF318" i="17"/>
  <c r="AG318" i="17" s="1"/>
  <c r="AH318" i="17" l="1"/>
  <c r="AS318" i="17" s="1"/>
  <c r="AL318" i="17"/>
  <c r="AY318" i="17" s="1"/>
  <c r="BO289" i="17"/>
  <c r="BP289" i="17" s="1"/>
  <c r="BN289" i="17"/>
  <c r="AF678" i="15" s="1"/>
  <c r="BC290" i="17"/>
  <c r="AD319" i="17"/>
  <c r="W319" i="17"/>
  <c r="AA319" i="17" s="1"/>
  <c r="AK319" i="17" s="1"/>
  <c r="AR317" i="17"/>
  <c r="N434" i="17"/>
  <c r="AQ317" i="17"/>
  <c r="AT318" i="17" l="1"/>
  <c r="AW318" i="17" s="1"/>
  <c r="AX318" i="17" s="1"/>
  <c r="AZ318" i="17" s="1"/>
  <c r="AU318" i="17"/>
  <c r="AV318" i="17" s="1"/>
  <c r="AM318" i="17"/>
  <c r="AN318" i="17" s="1"/>
  <c r="BD290" i="17"/>
  <c r="BH290" i="17"/>
  <c r="AL373" i="15"/>
  <c r="BQ289" i="17"/>
  <c r="M435" i="17"/>
  <c r="E435" i="17" s="1"/>
  <c r="L435" i="17" s="1"/>
  <c r="O434" i="17"/>
  <c r="AE319" i="17"/>
  <c r="Y319" i="17"/>
  <c r="AB319" i="17" s="1"/>
  <c r="BK290" i="17" l="1"/>
  <c r="BL290" i="17" s="1"/>
  <c r="BM290" i="17" s="1"/>
  <c r="BJ290" i="17"/>
  <c r="BE290" i="17"/>
  <c r="BF290" i="17" s="1"/>
  <c r="AF319" i="17"/>
  <c r="AG319" i="17" s="1"/>
  <c r="P435" i="17"/>
  <c r="Q435" i="17" s="1"/>
  <c r="Z319" i="17"/>
  <c r="N435" i="17"/>
  <c r="AO318" i="17"/>
  <c r="AP318" i="17" s="1"/>
  <c r="AH319" i="17" l="1"/>
  <c r="AS319" i="17" s="1"/>
  <c r="AL319" i="17"/>
  <c r="AY319" i="17" s="1"/>
  <c r="BG290" i="17"/>
  <c r="BI290" i="17"/>
  <c r="M436" i="17"/>
  <c r="E436" i="17" s="1"/>
  <c r="L436" i="17" s="1"/>
  <c r="O435" i="17"/>
  <c r="U320" i="17"/>
  <c r="AC320" i="17" s="1"/>
  <c r="AQ318" i="17"/>
  <c r="AR318" i="17"/>
  <c r="S435" i="17"/>
  <c r="AT319" i="17" l="1"/>
  <c r="AW319" i="17" s="1"/>
  <c r="AX319" i="17" s="1"/>
  <c r="AZ319" i="17" s="1"/>
  <c r="AU319" i="17"/>
  <c r="AV319" i="17" s="1"/>
  <c r="AM319" i="17"/>
  <c r="AN319" i="17" s="1"/>
  <c r="P436" i="17"/>
  <c r="Q436" i="17" s="1"/>
  <c r="S436" i="17" s="1"/>
  <c r="BO290" i="17"/>
  <c r="BP290" i="17" s="1"/>
  <c r="BN290" i="17"/>
  <c r="AF694" i="15" s="1"/>
  <c r="BC291" i="17"/>
  <c r="BH291" i="17" s="1"/>
  <c r="AD320" i="17"/>
  <c r="N436" i="17"/>
  <c r="W320" i="17"/>
  <c r="BD291" i="17" l="1"/>
  <c r="BE291" i="17" s="1"/>
  <c r="BF291" i="17" s="1"/>
  <c r="AL374" i="15"/>
  <c r="BQ290" i="17"/>
  <c r="AE320" i="17"/>
  <c r="AA320" i="17"/>
  <c r="AK320" i="17" s="1"/>
  <c r="Y320" i="17"/>
  <c r="AO319" i="17"/>
  <c r="O436" i="17"/>
  <c r="M437" i="17"/>
  <c r="E437" i="17" s="1"/>
  <c r="L437" i="17" s="1"/>
  <c r="BG291" i="17" l="1"/>
  <c r="BI291" i="17"/>
  <c r="BK291" i="17"/>
  <c r="BL291" i="17" s="1"/>
  <c r="BM291" i="17" s="1"/>
  <c r="BJ291" i="17"/>
  <c r="AP319" i="17"/>
  <c r="N437" i="17"/>
  <c r="AB320" i="17"/>
  <c r="Z320" i="17"/>
  <c r="P437" i="17"/>
  <c r="BO291" i="17" l="1"/>
  <c r="BP291" i="17" s="1"/>
  <c r="BN291" i="17"/>
  <c r="AF587" i="15" s="1"/>
  <c r="BC292" i="17"/>
  <c r="AR319" i="17"/>
  <c r="U321" i="17"/>
  <c r="AC321" i="17" s="1"/>
  <c r="AF320" i="17"/>
  <c r="AG320" i="17" s="1"/>
  <c r="AQ319" i="17"/>
  <c r="Q437" i="17"/>
  <c r="S437" i="17" s="1"/>
  <c r="O437" i="17"/>
  <c r="M438" i="17"/>
  <c r="E438" i="17" s="1"/>
  <c r="L438" i="17" s="1"/>
  <c r="AH320" i="17" l="1"/>
  <c r="AS320" i="17" s="1"/>
  <c r="AL320" i="17"/>
  <c r="AY320" i="17" s="1"/>
  <c r="N438" i="17"/>
  <c r="M439" i="17" s="1"/>
  <c r="BD292" i="17"/>
  <c r="BH292" i="17"/>
  <c r="AL84" i="15"/>
  <c r="BQ291" i="17"/>
  <c r="P438" i="17"/>
  <c r="Q438" i="17" s="1"/>
  <c r="S438" i="17" s="1"/>
  <c r="W321" i="17"/>
  <c r="Y321" i="17" s="1"/>
  <c r="AB321" i="17" s="1"/>
  <c r="AD321" i="17"/>
  <c r="AM320" i="17" l="1"/>
  <c r="AN320" i="17" s="1"/>
  <c r="AO320" i="17" s="1"/>
  <c r="O438" i="17"/>
  <c r="AT320" i="17"/>
  <c r="AW320" i="17" s="1"/>
  <c r="AX320" i="17" s="1"/>
  <c r="AZ320" i="17" s="1"/>
  <c r="AU320" i="17"/>
  <c r="AV320" i="17" s="1"/>
  <c r="BK292" i="17"/>
  <c r="BL292" i="17" s="1"/>
  <c r="BM292" i="17" s="1"/>
  <c r="BJ292" i="17"/>
  <c r="BE292" i="17"/>
  <c r="BF292" i="17" s="1"/>
  <c r="E439" i="17"/>
  <c r="L439" i="17" s="1"/>
  <c r="AE321" i="17"/>
  <c r="AF321" i="17" s="1"/>
  <c r="AG321" i="17" s="1"/>
  <c r="AH321" i="17" s="1"/>
  <c r="AS321" i="17" s="1"/>
  <c r="AT321" i="17" s="1"/>
  <c r="AA321" i="17"/>
  <c r="AK321" i="17" s="1"/>
  <c r="Z321" i="17"/>
  <c r="P439" i="17"/>
  <c r="AW321" i="17" l="1"/>
  <c r="AX321" i="17" s="1"/>
  <c r="AZ321" i="17" s="1"/>
  <c r="AU321" i="17"/>
  <c r="AV321" i="17" s="1"/>
  <c r="AL321" i="17"/>
  <c r="AY321" i="17" s="1"/>
  <c r="BG292" i="17"/>
  <c r="BI292" i="17"/>
  <c r="AP320" i="17"/>
  <c r="N439" i="17"/>
  <c r="U322" i="17"/>
  <c r="AC322" i="17" s="1"/>
  <c r="Q439" i="17"/>
  <c r="S439" i="17" s="1"/>
  <c r="AM321" i="17" l="1"/>
  <c r="AN321" i="17" s="1"/>
  <c r="BO292" i="17"/>
  <c r="BP292" i="17" s="1"/>
  <c r="BN292" i="17"/>
  <c r="AF573" i="15" s="1"/>
  <c r="BC293" i="17"/>
  <c r="W322" i="17"/>
  <c r="AA322" i="17" s="1"/>
  <c r="AK322" i="17" s="1"/>
  <c r="AR320" i="17"/>
  <c r="AQ320" i="17"/>
  <c r="O439" i="17"/>
  <c r="M440" i="17"/>
  <c r="AD322" i="17"/>
  <c r="BH293" i="17" l="1"/>
  <c r="AL375" i="15"/>
  <c r="BQ292" i="17"/>
  <c r="BD293" i="17"/>
  <c r="Y322" i="17"/>
  <c r="AB322" i="17" s="1"/>
  <c r="P440" i="17"/>
  <c r="AO321" i="17"/>
  <c r="AE322" i="17"/>
  <c r="E440" i="17"/>
  <c r="L440" i="17" s="1"/>
  <c r="AF322" i="17" l="1"/>
  <c r="AG322" i="17" s="1"/>
  <c r="AL322" i="17" s="1"/>
  <c r="AY322" i="17" s="1"/>
  <c r="BK293" i="17"/>
  <c r="BL293" i="17" s="1"/>
  <c r="BM293" i="17" s="1"/>
  <c r="BJ293" i="17"/>
  <c r="BE293" i="17"/>
  <c r="BF293" i="17" s="1"/>
  <c r="Z322" i="17"/>
  <c r="U323" i="17" s="1"/>
  <c r="AC323" i="17" s="1"/>
  <c r="Q440" i="17"/>
  <c r="S440" i="17" s="1"/>
  <c r="N440" i="17"/>
  <c r="AP321" i="17"/>
  <c r="AQ321" i="17" s="1"/>
  <c r="AH322" i="17" l="1"/>
  <c r="AS322" i="17" s="1"/>
  <c r="AM322" i="17"/>
  <c r="AN322" i="17" s="1"/>
  <c r="AO322" i="17" s="1"/>
  <c r="BG293" i="17"/>
  <c r="BI293" i="17"/>
  <c r="W323" i="17"/>
  <c r="AA323" i="17" s="1"/>
  <c r="AK323" i="17" s="1"/>
  <c r="AR321" i="17"/>
  <c r="AD323" i="17"/>
  <c r="O440" i="17"/>
  <c r="M441" i="17"/>
  <c r="E441" i="17" s="1"/>
  <c r="L441" i="17" s="1"/>
  <c r="AU322" i="17" l="1"/>
  <c r="AV322" i="17" s="1"/>
  <c r="AT322" i="17"/>
  <c r="AW322" i="17" s="1"/>
  <c r="AX322" i="17" s="1"/>
  <c r="AZ322" i="17" s="1"/>
  <c r="BO293" i="17"/>
  <c r="BP293" i="17" s="1"/>
  <c r="BN293" i="17"/>
  <c r="AF329" i="15" s="1"/>
  <c r="BC294" i="17"/>
  <c r="AP322" i="17"/>
  <c r="AR322" i="17" s="1"/>
  <c r="N441" i="17"/>
  <c r="P441" i="17"/>
  <c r="Y323" i="17"/>
  <c r="AB323" i="17" s="1"/>
  <c r="AE323" i="17"/>
  <c r="BD294" i="17" l="1"/>
  <c r="BE294" i="17" s="1"/>
  <c r="BF294" i="17" s="1"/>
  <c r="BH294" i="17"/>
  <c r="AL20" i="15"/>
  <c r="BQ293" i="17"/>
  <c r="Q441" i="17"/>
  <c r="S441" i="17" s="1"/>
  <c r="M442" i="17"/>
  <c r="O441" i="17"/>
  <c r="AF323" i="17"/>
  <c r="AG323" i="17" s="1"/>
  <c r="Z323" i="17"/>
  <c r="AQ322" i="17"/>
  <c r="AH323" i="17" l="1"/>
  <c r="AS323" i="17" s="1"/>
  <c r="AL323" i="17"/>
  <c r="AY323" i="17" s="1"/>
  <c r="BG294" i="17"/>
  <c r="BI294" i="17"/>
  <c r="BK294" i="17"/>
  <c r="BL294" i="17" s="1"/>
  <c r="BM294" i="17" s="1"/>
  <c r="BJ294" i="17"/>
  <c r="E442" i="17"/>
  <c r="L442" i="17" s="1"/>
  <c r="U324" i="17"/>
  <c r="AC324" i="17" s="1"/>
  <c r="P442" i="17"/>
  <c r="AM323" i="17" l="1"/>
  <c r="AN323" i="17" s="1"/>
  <c r="AT323" i="17"/>
  <c r="AW323" i="17" s="1"/>
  <c r="AX323" i="17" s="1"/>
  <c r="AZ323" i="17" s="1"/>
  <c r="AU323" i="17"/>
  <c r="AV323" i="17" s="1"/>
  <c r="BO294" i="17"/>
  <c r="BP294" i="17" s="1"/>
  <c r="BN294" i="17"/>
  <c r="AF318" i="15" s="1"/>
  <c r="BC295" i="17"/>
  <c r="BH295" i="17" s="1"/>
  <c r="W324" i="17"/>
  <c r="AA324" i="17" s="1"/>
  <c r="AK324" i="17" s="1"/>
  <c r="AD324" i="17"/>
  <c r="Q442" i="17"/>
  <c r="S442" i="17" s="1"/>
  <c r="N442" i="17"/>
  <c r="BD295" i="17" l="1"/>
  <c r="BK295" i="17" s="1"/>
  <c r="BL295" i="17" s="1"/>
  <c r="BM295" i="17" s="1"/>
  <c r="Y324" i="17"/>
  <c r="AB324" i="17" s="1"/>
  <c r="AL106" i="15"/>
  <c r="BQ294" i="17"/>
  <c r="AO323" i="17"/>
  <c r="O442" i="17"/>
  <c r="M443" i="17"/>
  <c r="AE324" i="17"/>
  <c r="BE295" i="17" l="1"/>
  <c r="BF295" i="17" s="1"/>
  <c r="BG295" i="17" s="1"/>
  <c r="BJ295" i="17"/>
  <c r="Z324" i="17"/>
  <c r="U325" i="17" s="1"/>
  <c r="AC325" i="17" s="1"/>
  <c r="P443" i="17"/>
  <c r="AP323" i="17"/>
  <c r="AQ323" i="17" s="1"/>
  <c r="E443" i="17"/>
  <c r="L443" i="17" s="1"/>
  <c r="AF324" i="17"/>
  <c r="AG324" i="17" s="1"/>
  <c r="BI295" i="17" l="1"/>
  <c r="BO295" i="17" s="1"/>
  <c r="BP295" i="17" s="1"/>
  <c r="AH324" i="17"/>
  <c r="AS324" i="17" s="1"/>
  <c r="AL324" i="17"/>
  <c r="AY324" i="17" s="1"/>
  <c r="BC296" i="17"/>
  <c r="N443" i="17"/>
  <c r="AD325" i="17"/>
  <c r="W325" i="17"/>
  <c r="Q443" i="17"/>
  <c r="S443" i="17" s="1"/>
  <c r="AR323" i="17"/>
  <c r="BN295" i="17" l="1"/>
  <c r="AF166" i="15" s="1"/>
  <c r="AT324" i="17"/>
  <c r="AW324" i="17" s="1"/>
  <c r="AX324" i="17" s="1"/>
  <c r="AZ324" i="17" s="1"/>
  <c r="AU324" i="17"/>
  <c r="AV324" i="17" s="1"/>
  <c r="AM324" i="17"/>
  <c r="AN324" i="17" s="1"/>
  <c r="AO324" i="17" s="1"/>
  <c r="AP324" i="17" s="1"/>
  <c r="BD296" i="17"/>
  <c r="BH296" i="17"/>
  <c r="AL48" i="15"/>
  <c r="AE325" i="17"/>
  <c r="O443" i="17"/>
  <c r="M444" i="17"/>
  <c r="E444" i="17" s="1"/>
  <c r="L444" i="17" s="1"/>
  <c r="AA325" i="17"/>
  <c r="AK325" i="17" s="1"/>
  <c r="Y325" i="17"/>
  <c r="BQ295" i="17" l="1"/>
  <c r="BK296" i="17"/>
  <c r="BL296" i="17" s="1"/>
  <c r="BM296" i="17" s="1"/>
  <c r="BJ296" i="17"/>
  <c r="BE296" i="17"/>
  <c r="BF296" i="17" s="1"/>
  <c r="AR324" i="17"/>
  <c r="AB325" i="17"/>
  <c r="Z325" i="17"/>
  <c r="N444" i="17"/>
  <c r="P444" i="17"/>
  <c r="AQ324" i="17"/>
  <c r="BG296" i="17" l="1"/>
  <c r="BI296" i="17"/>
  <c r="AF325" i="17"/>
  <c r="AG325" i="17" s="1"/>
  <c r="AL325" i="17" s="1"/>
  <c r="AY325" i="17" s="1"/>
  <c r="O444" i="17"/>
  <c r="M445" i="17"/>
  <c r="Q444" i="17"/>
  <c r="S444" i="17" s="1"/>
  <c r="U326" i="17"/>
  <c r="AC326" i="17" s="1"/>
  <c r="AH325" i="17" l="1"/>
  <c r="AS325" i="17" s="1"/>
  <c r="P445" i="17"/>
  <c r="Q445" i="17" s="1"/>
  <c r="S445" i="17" s="1"/>
  <c r="BO296" i="17"/>
  <c r="BP296" i="17" s="1"/>
  <c r="BN296" i="17"/>
  <c r="AF250" i="15" s="1"/>
  <c r="BC297" i="17"/>
  <c r="BD297" i="17" s="1"/>
  <c r="AD326" i="17"/>
  <c r="W326" i="17"/>
  <c r="AA326" i="17" s="1"/>
  <c r="AK326" i="17" s="1"/>
  <c r="E445" i="17"/>
  <c r="L445" i="17" s="1"/>
  <c r="AM325" i="17"/>
  <c r="AT325" i="17" l="1"/>
  <c r="AW325" i="17" s="1"/>
  <c r="AX325" i="17" s="1"/>
  <c r="AZ325" i="17" s="1"/>
  <c r="AU325" i="17"/>
  <c r="AV325" i="17" s="1"/>
  <c r="BK297" i="17"/>
  <c r="BL297" i="17" s="1"/>
  <c r="BM297" i="17" s="1"/>
  <c r="BJ297" i="17"/>
  <c r="BH297" i="17"/>
  <c r="BE297" i="17"/>
  <c r="BF297" i="17" s="1"/>
  <c r="AL376" i="15"/>
  <c r="BQ296" i="17"/>
  <c r="AE326" i="17"/>
  <c r="AN325" i="17"/>
  <c r="N445" i="17"/>
  <c r="Y326" i="17"/>
  <c r="AB326" i="17" s="1"/>
  <c r="BG297" i="17" l="1"/>
  <c r="BI297" i="17"/>
  <c r="Z326" i="17"/>
  <c r="AF326" i="17"/>
  <c r="AG326" i="17" s="1"/>
  <c r="O445" i="17"/>
  <c r="M446" i="17"/>
  <c r="AO325" i="17"/>
  <c r="AH326" i="17" l="1"/>
  <c r="AS326" i="17" s="1"/>
  <c r="AL326" i="17"/>
  <c r="AY326" i="17" s="1"/>
  <c r="BO297" i="17"/>
  <c r="BP297" i="17" s="1"/>
  <c r="BN297" i="17"/>
  <c r="AF295" i="15" s="1"/>
  <c r="BC298" i="17"/>
  <c r="P446" i="17"/>
  <c r="AP325" i="17"/>
  <c r="AQ325" i="17" s="1"/>
  <c r="E446" i="17"/>
  <c r="L446" i="17" s="1"/>
  <c r="U327" i="17"/>
  <c r="AC327" i="17" s="1"/>
  <c r="AM326" i="17" l="1"/>
  <c r="AT326" i="17"/>
  <c r="AW326" i="17" s="1"/>
  <c r="AX326" i="17" s="1"/>
  <c r="AZ326" i="17" s="1"/>
  <c r="AU326" i="17"/>
  <c r="AV326" i="17" s="1"/>
  <c r="BD298" i="17"/>
  <c r="BH298" i="17"/>
  <c r="AL377" i="15"/>
  <c r="BQ297" i="17"/>
  <c r="AD327" i="17"/>
  <c r="AE327" i="17" s="1"/>
  <c r="AN326" i="17"/>
  <c r="W327" i="17"/>
  <c r="AA327" i="17" s="1"/>
  <c r="AK327" i="17" s="1"/>
  <c r="N446" i="17"/>
  <c r="Q446" i="17"/>
  <c r="S446" i="17" s="1"/>
  <c r="AR325" i="17"/>
  <c r="BK298" i="17" l="1"/>
  <c r="BL298" i="17" s="1"/>
  <c r="BM298" i="17" s="1"/>
  <c r="BJ298" i="17"/>
  <c r="BE298" i="17"/>
  <c r="BF298" i="17" s="1"/>
  <c r="O446" i="17"/>
  <c r="M447" i="17"/>
  <c r="E447" i="17" s="1"/>
  <c r="L447" i="17" s="1"/>
  <c r="Y327" i="17"/>
  <c r="AO326" i="17"/>
  <c r="N447" i="17" l="1"/>
  <c r="O447" i="17" s="1"/>
  <c r="BG298" i="17"/>
  <c r="BI298" i="17"/>
  <c r="AP326" i="17"/>
  <c r="AB327" i="17"/>
  <c r="Z327" i="17"/>
  <c r="P447" i="17"/>
  <c r="M448" i="17" l="1"/>
  <c r="E448" i="17" s="1"/>
  <c r="L448" i="17" s="1"/>
  <c r="N448" i="17" s="1"/>
  <c r="BO298" i="17"/>
  <c r="BP298" i="17" s="1"/>
  <c r="BN298" i="17"/>
  <c r="AF167" i="15" s="1"/>
  <c r="BC299" i="17"/>
  <c r="BH299" i="17" s="1"/>
  <c r="AF327" i="17"/>
  <c r="AG327" i="17" s="1"/>
  <c r="AL327" i="17" s="1"/>
  <c r="AY327" i="17" s="1"/>
  <c r="AR326" i="17"/>
  <c r="U328" i="17"/>
  <c r="AC328" i="17" s="1"/>
  <c r="Q447" i="17"/>
  <c r="S447" i="17" s="1"/>
  <c r="AQ326" i="17"/>
  <c r="AH327" i="17" l="1"/>
  <c r="AS327" i="17" s="1"/>
  <c r="BD299" i="17"/>
  <c r="BE299" i="17" s="1"/>
  <c r="BF299" i="17" s="1"/>
  <c r="AL70" i="15"/>
  <c r="BQ298" i="17"/>
  <c r="W328" i="17"/>
  <c r="AA328" i="17" s="1"/>
  <c r="AK328" i="17" s="1"/>
  <c r="P448" i="17"/>
  <c r="Q448" i="17" s="1"/>
  <c r="S448" i="17" s="1"/>
  <c r="M449" i="17"/>
  <c r="O448" i="17"/>
  <c r="AD328" i="17"/>
  <c r="AM327" i="17"/>
  <c r="AT327" i="17" l="1"/>
  <c r="AW327" i="17" s="1"/>
  <c r="AX327" i="17" s="1"/>
  <c r="AZ327" i="17" s="1"/>
  <c r="AU327" i="17"/>
  <c r="AV327" i="17" s="1"/>
  <c r="BG299" i="17"/>
  <c r="BI299" i="17"/>
  <c r="BK299" i="17"/>
  <c r="BL299" i="17" s="1"/>
  <c r="BM299" i="17" s="1"/>
  <c r="BJ299" i="17"/>
  <c r="Y328" i="17"/>
  <c r="AB328" i="17" s="1"/>
  <c r="P449" i="17"/>
  <c r="Q449" i="17" s="1"/>
  <c r="S449" i="17" s="1"/>
  <c r="AE328" i="17"/>
  <c r="E449" i="17"/>
  <c r="L449" i="17" s="1"/>
  <c r="AN327" i="17"/>
  <c r="AO327" i="17" s="1"/>
  <c r="AP327" i="17" s="1"/>
  <c r="Z328" i="17" l="1"/>
  <c r="U329" i="17" s="1"/>
  <c r="AC329" i="17" s="1"/>
  <c r="BO299" i="17"/>
  <c r="BP299" i="17" s="1"/>
  <c r="BN299" i="17"/>
  <c r="AF169" i="15" s="1"/>
  <c r="BC300" i="17"/>
  <c r="BH300" i="17" s="1"/>
  <c r="AF328" i="17"/>
  <c r="AG328" i="17" s="1"/>
  <c r="AQ327" i="17"/>
  <c r="N449" i="17"/>
  <c r="AR327" i="17"/>
  <c r="AH328" i="17" l="1"/>
  <c r="AS328" i="17" s="1"/>
  <c r="AL328" i="17"/>
  <c r="BD300" i="17"/>
  <c r="BE300" i="17" s="1"/>
  <c r="BF300" i="17" s="1"/>
  <c r="AL126" i="15"/>
  <c r="BQ299" i="17"/>
  <c r="W329" i="17"/>
  <c r="AA329" i="17" s="1"/>
  <c r="AK329" i="17" s="1"/>
  <c r="O449" i="17"/>
  <c r="M450" i="17"/>
  <c r="E450" i="17" s="1"/>
  <c r="L450" i="17" s="1"/>
  <c r="AD329" i="17"/>
  <c r="AY328" i="17" l="1"/>
  <c r="AM328" i="17"/>
  <c r="AN328" i="17" s="1"/>
  <c r="AO328" i="17" s="1"/>
  <c r="AP328" i="17" s="1"/>
  <c r="AR328" i="17" s="1"/>
  <c r="AT328" i="17"/>
  <c r="AW328" i="17" s="1"/>
  <c r="AX328" i="17" s="1"/>
  <c r="AZ328" i="17" s="1"/>
  <c r="AU328" i="17"/>
  <c r="AV328" i="17" s="1"/>
  <c r="Y329" i="17"/>
  <c r="AB329" i="17" s="1"/>
  <c r="BG300" i="17"/>
  <c r="BI300" i="17"/>
  <c r="BK300" i="17"/>
  <c r="BL300" i="17" s="1"/>
  <c r="BM300" i="17" s="1"/>
  <c r="BJ300" i="17"/>
  <c r="AE329" i="17"/>
  <c r="P450" i="17"/>
  <c r="N450" i="17"/>
  <c r="Z329" i="17" l="1"/>
  <c r="U330" i="17" s="1"/>
  <c r="AC330" i="17" s="1"/>
  <c r="AF329" i="17"/>
  <c r="AG329" i="17" s="1"/>
  <c r="AH329" i="17" s="1"/>
  <c r="AS329" i="17" s="1"/>
  <c r="AT329" i="17" s="1"/>
  <c r="AW329" i="17" s="1"/>
  <c r="AX329" i="17" s="1"/>
  <c r="AZ329" i="17" s="1"/>
  <c r="BO300" i="17"/>
  <c r="BP300" i="17" s="1"/>
  <c r="BN300" i="17"/>
  <c r="AF270" i="15" s="1"/>
  <c r="BC301" i="17"/>
  <c r="O450" i="17"/>
  <c r="M451" i="17"/>
  <c r="Q450" i="17"/>
  <c r="S450" i="17" s="1"/>
  <c r="AQ328" i="17"/>
  <c r="AL329" i="17" l="1"/>
  <c r="AY329" i="17" s="1"/>
  <c r="AU329" i="17"/>
  <c r="AV329" i="17" s="1"/>
  <c r="BD301" i="17"/>
  <c r="BE301" i="17" s="1"/>
  <c r="BF301" i="17" s="1"/>
  <c r="BH301" i="17"/>
  <c r="AL378" i="15"/>
  <c r="BQ300" i="17"/>
  <c r="E451" i="17"/>
  <c r="L451" i="17" s="1"/>
  <c r="AD330" i="17"/>
  <c r="P451" i="17"/>
  <c r="Q451" i="17" s="1"/>
  <c r="W330" i="17"/>
  <c r="AM329" i="17" l="1"/>
  <c r="AN329" i="17" s="1"/>
  <c r="AO329" i="17" s="1"/>
  <c r="BG301" i="17"/>
  <c r="BI301" i="17"/>
  <c r="BK301" i="17"/>
  <c r="BL301" i="17" s="1"/>
  <c r="BM301" i="17" s="1"/>
  <c r="BJ301" i="17"/>
  <c r="S451" i="17"/>
  <c r="AA330" i="17"/>
  <c r="AK330" i="17" s="1"/>
  <c r="Y330" i="17"/>
  <c r="AB330" i="17" s="1"/>
  <c r="AE330" i="17"/>
  <c r="N451" i="17"/>
  <c r="BO301" i="17" l="1"/>
  <c r="BP301" i="17" s="1"/>
  <c r="BN301" i="17"/>
  <c r="AF285" i="15" s="1"/>
  <c r="BC302" i="17"/>
  <c r="BH302" i="17" s="1"/>
  <c r="Z330" i="17"/>
  <c r="U331" i="17" s="1"/>
  <c r="M452" i="17"/>
  <c r="E452" i="17" s="1"/>
  <c r="L452" i="17" s="1"/>
  <c r="O451" i="17"/>
  <c r="AF330" i="17"/>
  <c r="AG330" i="17" s="1"/>
  <c r="AP329" i="17"/>
  <c r="AQ329" i="17" s="1"/>
  <c r="AH330" i="17" l="1"/>
  <c r="AS330" i="17" s="1"/>
  <c r="AL330" i="17"/>
  <c r="BD302" i="17"/>
  <c r="BE302" i="17" s="1"/>
  <c r="BF302" i="17" s="1"/>
  <c r="AL379" i="15"/>
  <c r="BQ301" i="17"/>
  <c r="AC331" i="17"/>
  <c r="W331" i="17"/>
  <c r="AA331" i="17" s="1"/>
  <c r="AK331" i="17" s="1"/>
  <c r="N452" i="17"/>
  <c r="AR329" i="17"/>
  <c r="P452" i="17"/>
  <c r="AY330" i="17" l="1"/>
  <c r="AM330" i="17"/>
  <c r="AN330" i="17" s="1"/>
  <c r="AO330" i="17" s="1"/>
  <c r="AU330" i="17"/>
  <c r="AV330" i="17" s="1"/>
  <c r="AT330" i="17"/>
  <c r="AW330" i="17" s="1"/>
  <c r="AX330" i="17" s="1"/>
  <c r="AZ330" i="17" s="1"/>
  <c r="AD331" i="17"/>
  <c r="AE331" i="17" s="1"/>
  <c r="Y331" i="17"/>
  <c r="AB331" i="17" s="1"/>
  <c r="BK302" i="17"/>
  <c r="BL302" i="17" s="1"/>
  <c r="BM302" i="17" s="1"/>
  <c r="BJ302" i="17"/>
  <c r="BG302" i="17"/>
  <c r="BI302" i="17"/>
  <c r="O452" i="17"/>
  <c r="M453" i="17"/>
  <c r="E453" i="17" s="1"/>
  <c r="L453" i="17" s="1"/>
  <c r="Q452" i="17"/>
  <c r="S452" i="17" s="1"/>
  <c r="AF331" i="17" l="1"/>
  <c r="AG331" i="17" s="1"/>
  <c r="AH331" i="17" s="1"/>
  <c r="AS331" i="17" s="1"/>
  <c r="Z331" i="17"/>
  <c r="U332" i="17" s="1"/>
  <c r="AC332" i="17" s="1"/>
  <c r="BO302" i="17"/>
  <c r="BP302" i="17" s="1"/>
  <c r="BN302" i="17"/>
  <c r="AF293" i="15" s="1"/>
  <c r="BC303" i="17"/>
  <c r="BD303" i="17" s="1"/>
  <c r="P453" i="17"/>
  <c r="Q453" i="17" s="1"/>
  <c r="S453" i="17" s="1"/>
  <c r="N453" i="17"/>
  <c r="AP330" i="17"/>
  <c r="AQ330" i="17" s="1"/>
  <c r="AL331" i="17" l="1"/>
  <c r="AY331" i="17" s="1"/>
  <c r="AT331" i="17"/>
  <c r="AW331" i="17" s="1"/>
  <c r="AX331" i="17" s="1"/>
  <c r="AZ331" i="17" s="1"/>
  <c r="AU331" i="17"/>
  <c r="AV331" i="17" s="1"/>
  <c r="BK303" i="17"/>
  <c r="BL303" i="17" s="1"/>
  <c r="BM303" i="17" s="1"/>
  <c r="BJ303" i="17"/>
  <c r="BE303" i="17"/>
  <c r="BF303" i="17" s="1"/>
  <c r="BH303" i="17"/>
  <c r="AL380" i="15"/>
  <c r="BQ302" i="17"/>
  <c r="W332" i="17"/>
  <c r="AA332" i="17" s="1"/>
  <c r="AK332" i="17" s="1"/>
  <c r="O453" i="17"/>
  <c r="M454" i="17"/>
  <c r="E454" i="17" s="1"/>
  <c r="L454" i="17" s="1"/>
  <c r="AR330" i="17"/>
  <c r="AD332" i="17"/>
  <c r="AM331" i="17" l="1"/>
  <c r="AN331" i="17" s="1"/>
  <c r="AO331" i="17" s="1"/>
  <c r="AP331" i="17" s="1"/>
  <c r="BG303" i="17"/>
  <c r="BI303" i="17"/>
  <c r="Y332" i="17"/>
  <c r="AB332" i="17" s="1"/>
  <c r="P454" i="17"/>
  <c r="AE332" i="17"/>
  <c r="N454" i="17"/>
  <c r="Z332" i="17" l="1"/>
  <c r="U333" i="17" s="1"/>
  <c r="AC333" i="17" s="1"/>
  <c r="BO303" i="17"/>
  <c r="BP303" i="17" s="1"/>
  <c r="BN303" i="17"/>
  <c r="AF311" i="15" s="1"/>
  <c r="BC304" i="17"/>
  <c r="BD304" i="17" s="1"/>
  <c r="AF332" i="17"/>
  <c r="AG332" i="17" s="1"/>
  <c r="AQ331" i="17"/>
  <c r="Q454" i="17"/>
  <c r="S454" i="17" s="1"/>
  <c r="M455" i="17"/>
  <c r="E455" i="17" s="1"/>
  <c r="L455" i="17" s="1"/>
  <c r="O454" i="17"/>
  <c r="AR331" i="17"/>
  <c r="AH332" i="17" l="1"/>
  <c r="AS332" i="17" s="1"/>
  <c r="AL332" i="17"/>
  <c r="AY332" i="17" s="1"/>
  <c r="BK304" i="17"/>
  <c r="BL304" i="17" s="1"/>
  <c r="BM304" i="17" s="1"/>
  <c r="BJ304" i="17"/>
  <c r="BH304" i="17"/>
  <c r="BE304" i="17"/>
  <c r="BF304" i="17" s="1"/>
  <c r="AL381" i="15"/>
  <c r="BQ303" i="17"/>
  <c r="W333" i="17"/>
  <c r="AA333" i="17" s="1"/>
  <c r="AK333" i="17" s="1"/>
  <c r="N455" i="17"/>
  <c r="P455" i="17"/>
  <c r="AD333" i="17"/>
  <c r="AM332" i="17" l="1"/>
  <c r="AN332" i="17" s="1"/>
  <c r="AT332" i="17"/>
  <c r="AW332" i="17" s="1"/>
  <c r="AX332" i="17" s="1"/>
  <c r="AZ332" i="17" s="1"/>
  <c r="AU332" i="17"/>
  <c r="AV332" i="17" s="1"/>
  <c r="BG304" i="17"/>
  <c r="BI304" i="17"/>
  <c r="Y333" i="17"/>
  <c r="AB333" i="17" s="1"/>
  <c r="Q455" i="17"/>
  <c r="S455" i="17" s="1"/>
  <c r="AE333" i="17"/>
  <c r="M456" i="17"/>
  <c r="O455" i="17"/>
  <c r="AO332" i="17" l="1"/>
  <c r="AP332" i="17" s="1"/>
  <c r="AR332" i="17" s="1"/>
  <c r="Z333" i="17"/>
  <c r="U334" i="17" s="1"/>
  <c r="AC334" i="17" s="1"/>
  <c r="BO304" i="17"/>
  <c r="BP304" i="17" s="1"/>
  <c r="BN304" i="17"/>
  <c r="AF275" i="15" s="1"/>
  <c r="BC305" i="17"/>
  <c r="E456" i="17"/>
  <c r="L456" i="17" s="1"/>
  <c r="AF333" i="17"/>
  <c r="AG333" i="17" s="1"/>
  <c r="P456" i="17"/>
  <c r="AQ332" i="17" l="1"/>
  <c r="AH333" i="17"/>
  <c r="AS333" i="17" s="1"/>
  <c r="AL333" i="17"/>
  <c r="AY333" i="17" s="1"/>
  <c r="BD305" i="17"/>
  <c r="BH305" i="17"/>
  <c r="AL91" i="15"/>
  <c r="BQ304" i="17"/>
  <c r="AD334" i="17"/>
  <c r="AE334" i="17" s="1"/>
  <c r="N456" i="17"/>
  <c r="Q456" i="17"/>
  <c r="S456" i="17" s="1"/>
  <c r="W334" i="17"/>
  <c r="AA334" i="17" s="1"/>
  <c r="AK334" i="17" s="1"/>
  <c r="AT333" i="17" l="1"/>
  <c r="AW333" i="17" s="1"/>
  <c r="AX333" i="17" s="1"/>
  <c r="AZ333" i="17" s="1"/>
  <c r="AU333" i="17"/>
  <c r="AV333" i="17" s="1"/>
  <c r="AM333" i="17"/>
  <c r="AN333" i="17" s="1"/>
  <c r="BK305" i="17"/>
  <c r="BL305" i="17" s="1"/>
  <c r="BM305" i="17" s="1"/>
  <c r="BJ305" i="17"/>
  <c r="BE305" i="17"/>
  <c r="BF305" i="17" s="1"/>
  <c r="O456" i="17"/>
  <c r="M457" i="17"/>
  <c r="Y334" i="17"/>
  <c r="AB334" i="17" s="1"/>
  <c r="BG305" i="17" l="1"/>
  <c r="BI305" i="17"/>
  <c r="Z334" i="17"/>
  <c r="U335" i="17" s="1"/>
  <c r="AC335" i="17" s="1"/>
  <c r="P457" i="17"/>
  <c r="E457" i="17"/>
  <c r="L457" i="17" s="1"/>
  <c r="AF334" i="17"/>
  <c r="AG334" i="17" s="1"/>
  <c r="AO333" i="17"/>
  <c r="AH334" i="17" l="1"/>
  <c r="AS334" i="17" s="1"/>
  <c r="AL334" i="17"/>
  <c r="AY334" i="17" s="1"/>
  <c r="BO305" i="17"/>
  <c r="BP305" i="17" s="1"/>
  <c r="AL382" i="15" s="1"/>
  <c r="BN305" i="17"/>
  <c r="BC306" i="17"/>
  <c r="BH306" i="17" s="1"/>
  <c r="W335" i="17"/>
  <c r="AA335" i="17" s="1"/>
  <c r="AK335" i="17" s="1"/>
  <c r="N457" i="17"/>
  <c r="AP333" i="17"/>
  <c r="Q457" i="17"/>
  <c r="S457" i="17" s="1"/>
  <c r="AD335" i="17"/>
  <c r="AT334" i="17" l="1"/>
  <c r="AW334" i="17" s="1"/>
  <c r="AX334" i="17" s="1"/>
  <c r="AZ334" i="17" s="1"/>
  <c r="AU334" i="17"/>
  <c r="AV334" i="17" s="1"/>
  <c r="AM334" i="17"/>
  <c r="AN334" i="17" s="1"/>
  <c r="Y335" i="17"/>
  <c r="AB335" i="17" s="1"/>
  <c r="BD306" i="17"/>
  <c r="BK306" i="17" s="1"/>
  <c r="BQ305" i="17"/>
  <c r="AF301" i="15"/>
  <c r="AR333" i="17"/>
  <c r="AQ333" i="17"/>
  <c r="M458" i="17"/>
  <c r="E458" i="17" s="1"/>
  <c r="L458" i="17" s="1"/>
  <c r="O457" i="17"/>
  <c r="AE335" i="17"/>
  <c r="Z335" i="17" l="1"/>
  <c r="U336" i="17" s="1"/>
  <c r="AC336" i="17" s="1"/>
  <c r="AD336" i="17" s="1"/>
  <c r="AE336" i="17" s="1"/>
  <c r="AF335" i="17"/>
  <c r="AG335" i="17" s="1"/>
  <c r="AL335" i="17" s="1"/>
  <c r="AY335" i="17" s="1"/>
  <c r="BJ306" i="17"/>
  <c r="BE306" i="17"/>
  <c r="BF306" i="17" s="1"/>
  <c r="BI306" i="17" s="1"/>
  <c r="BL306" i="17"/>
  <c r="BM306" i="17" s="1"/>
  <c r="AO334" i="17"/>
  <c r="P458" i="17"/>
  <c r="N458" i="17"/>
  <c r="W336" i="17" l="1"/>
  <c r="AA336" i="17" s="1"/>
  <c r="AK336" i="17" s="1"/>
  <c r="AM335" i="17"/>
  <c r="AN335" i="17" s="1"/>
  <c r="AO335" i="17" s="1"/>
  <c r="AH335" i="17"/>
  <c r="AS335" i="17" s="1"/>
  <c r="BG306" i="17"/>
  <c r="BC307" i="17" s="1"/>
  <c r="BO306" i="17"/>
  <c r="BP306" i="17" s="1"/>
  <c r="BN306" i="17"/>
  <c r="AF343" i="15" s="1"/>
  <c r="AP334" i="17"/>
  <c r="O458" i="17"/>
  <c r="M459" i="17"/>
  <c r="Q458" i="17"/>
  <c r="S458" i="17" s="1"/>
  <c r="Y336" i="17" l="1"/>
  <c r="AB336" i="17" s="1"/>
  <c r="AF336" i="17" s="1"/>
  <c r="AG336" i="17" s="1"/>
  <c r="AL336" i="17" s="1"/>
  <c r="AY336" i="17" s="1"/>
  <c r="AT335" i="17"/>
  <c r="AW335" i="17" s="1"/>
  <c r="AU335" i="17"/>
  <c r="AV335" i="17" s="1"/>
  <c r="AL383" i="15"/>
  <c r="BQ306" i="17"/>
  <c r="BD307" i="17"/>
  <c r="BH307" i="17"/>
  <c r="AP335" i="17"/>
  <c r="AR335" i="17" s="1"/>
  <c r="E459" i="17"/>
  <c r="L459" i="17" s="1"/>
  <c r="AR334" i="17"/>
  <c r="P459" i="17"/>
  <c r="AQ334" i="17"/>
  <c r="Z336" i="17" l="1"/>
  <c r="U337" i="17" s="1"/>
  <c r="AC337" i="17" s="1"/>
  <c r="AD337" i="17" s="1"/>
  <c r="AE337" i="17" s="1"/>
  <c r="AM336" i="17"/>
  <c r="AN336" i="17" s="1"/>
  <c r="AO336" i="17" s="1"/>
  <c r="AH336" i="17"/>
  <c r="AS336" i="17" s="1"/>
  <c r="AT336" i="17" s="1"/>
  <c r="AX335" i="17"/>
  <c r="AZ335" i="17" s="1"/>
  <c r="BJ307" i="17"/>
  <c r="BK307" i="17"/>
  <c r="BL307" i="17" s="1"/>
  <c r="BM307" i="17" s="1"/>
  <c r="BE307" i="17"/>
  <c r="BF307" i="17" s="1"/>
  <c r="AQ335" i="17"/>
  <c r="Q459" i="17"/>
  <c r="S459" i="17" s="1"/>
  <c r="N459" i="17"/>
  <c r="W337" i="17" l="1"/>
  <c r="AA337" i="17" s="1"/>
  <c r="AK337" i="17" s="1"/>
  <c r="AW336" i="17"/>
  <c r="AX336" i="17" s="1"/>
  <c r="AZ336" i="17" s="1"/>
  <c r="AU336" i="17"/>
  <c r="AV336" i="17" s="1"/>
  <c r="BG307" i="17"/>
  <c r="BI307" i="17"/>
  <c r="AP336" i="17"/>
  <c r="O459" i="17"/>
  <c r="M460" i="17"/>
  <c r="Y337" i="17" l="1"/>
  <c r="AB337" i="17" s="1"/>
  <c r="AF337" i="17" s="1"/>
  <c r="AG337" i="17" s="1"/>
  <c r="AH337" i="17" s="1"/>
  <c r="AS337" i="17" s="1"/>
  <c r="AT337" i="17" s="1"/>
  <c r="AW337" i="17" s="1"/>
  <c r="AX337" i="17" s="1"/>
  <c r="AZ337" i="17" s="1"/>
  <c r="BO307" i="17"/>
  <c r="BP307" i="17" s="1"/>
  <c r="BN307" i="17"/>
  <c r="AF366" i="15" s="1"/>
  <c r="BC308" i="17"/>
  <c r="P460" i="17"/>
  <c r="Q460" i="17" s="1"/>
  <c r="AR336" i="17"/>
  <c r="E460" i="17"/>
  <c r="L460" i="17" s="1"/>
  <c r="AQ336" i="17"/>
  <c r="Z337" i="17" l="1"/>
  <c r="U338" i="17" s="1"/>
  <c r="AC338" i="17" s="1"/>
  <c r="AD338" i="17" s="1"/>
  <c r="AE338" i="17" s="1"/>
  <c r="AL337" i="17"/>
  <c r="AY337" i="17" s="1"/>
  <c r="AU337" i="17"/>
  <c r="AV337" i="17" s="1"/>
  <c r="BH308" i="17"/>
  <c r="AL384" i="15"/>
  <c r="BQ307" i="17"/>
  <c r="BD308" i="17"/>
  <c r="N460" i="17"/>
  <c r="S460" i="17"/>
  <c r="W338" i="17" l="1"/>
  <c r="AA338" i="17" s="1"/>
  <c r="AK338" i="17" s="1"/>
  <c r="AM337" i="17"/>
  <c r="BK308" i="17"/>
  <c r="BL308" i="17" s="1"/>
  <c r="BM308" i="17" s="1"/>
  <c r="BJ308" i="17"/>
  <c r="BE308" i="17"/>
  <c r="BF308" i="17" s="1"/>
  <c r="O460" i="17"/>
  <c r="M461" i="17"/>
  <c r="Y338" i="17" l="1"/>
  <c r="AB338" i="17" s="1"/>
  <c r="AF338" i="17" s="1"/>
  <c r="AG338" i="17" s="1"/>
  <c r="AH338" i="17" s="1"/>
  <c r="AS338" i="17" s="1"/>
  <c r="AN337" i="17"/>
  <c r="AO337" i="17" s="1"/>
  <c r="AP337" i="17" s="1"/>
  <c r="AQ337" i="17" s="1"/>
  <c r="BG308" i="17"/>
  <c r="BI308" i="17"/>
  <c r="P461" i="17"/>
  <c r="E461" i="17"/>
  <c r="L461" i="17" s="1"/>
  <c r="Z338" i="17" l="1"/>
  <c r="U339" i="17" s="1"/>
  <c r="AC339" i="17" s="1"/>
  <c r="AD339" i="17" s="1"/>
  <c r="AL338" i="17"/>
  <c r="AY338" i="17" s="1"/>
  <c r="AT338" i="17"/>
  <c r="AW338" i="17" s="1"/>
  <c r="AX338" i="17" s="1"/>
  <c r="AZ338" i="17" s="1"/>
  <c r="AU338" i="17"/>
  <c r="AV338" i="17" s="1"/>
  <c r="AR337" i="17"/>
  <c r="BO308" i="17"/>
  <c r="BP308" i="17" s="1"/>
  <c r="BN308" i="17"/>
  <c r="AF400" i="15" s="1"/>
  <c r="BC309" i="17"/>
  <c r="BD309" i="17" s="1"/>
  <c r="Q461" i="17"/>
  <c r="S461" i="17" s="1"/>
  <c r="N461" i="17"/>
  <c r="W339" i="17" l="1"/>
  <c r="AA339" i="17" s="1"/>
  <c r="AK339" i="17" s="1"/>
  <c r="AM338" i="17"/>
  <c r="AN338" i="17" s="1"/>
  <c r="BK309" i="17"/>
  <c r="BL309" i="17" s="1"/>
  <c r="BM309" i="17" s="1"/>
  <c r="BJ309" i="17"/>
  <c r="BH309" i="17"/>
  <c r="Y339" i="17"/>
  <c r="AB339" i="17" s="1"/>
  <c r="BE309" i="17"/>
  <c r="BF309" i="17" s="1"/>
  <c r="AL385" i="15"/>
  <c r="BQ308" i="17"/>
  <c r="AE339" i="17"/>
  <c r="O461" i="17"/>
  <c r="M462" i="17"/>
  <c r="AO338" i="17" l="1"/>
  <c r="AP338" i="17" s="1"/>
  <c r="AQ338" i="17" s="1"/>
  <c r="Z339" i="17"/>
  <c r="U340" i="17" s="1"/>
  <c r="AC340" i="17" s="1"/>
  <c r="AF339" i="17"/>
  <c r="AG339" i="17" s="1"/>
  <c r="BG309" i="17"/>
  <c r="BI309" i="17"/>
  <c r="P462" i="17"/>
  <c r="E462" i="17"/>
  <c r="L462" i="17" s="1"/>
  <c r="W340" i="17" l="1"/>
  <c r="AA340" i="17" s="1"/>
  <c r="AK340" i="17" s="1"/>
  <c r="AH339" i="17"/>
  <c r="AS339" i="17" s="1"/>
  <c r="AD340" i="17"/>
  <c r="AE340" i="17" s="1"/>
  <c r="AL339" i="17"/>
  <c r="AY339" i="17" s="1"/>
  <c r="BO309" i="17"/>
  <c r="BP309" i="17" s="1"/>
  <c r="BN309" i="17"/>
  <c r="AF406" i="15" s="1"/>
  <c r="BC310" i="17"/>
  <c r="Q462" i="17"/>
  <c r="S462" i="17" s="1"/>
  <c r="AR338" i="17"/>
  <c r="N462" i="17"/>
  <c r="Y340" i="17" l="1"/>
  <c r="AB340" i="17" s="1"/>
  <c r="AF340" i="17" s="1"/>
  <c r="AG340" i="17" s="1"/>
  <c r="AM339" i="17"/>
  <c r="AN339" i="17" s="1"/>
  <c r="AO339" i="17" s="1"/>
  <c r="AP339" i="17" s="1"/>
  <c r="AT339" i="17"/>
  <c r="AW339" i="17" s="1"/>
  <c r="AU339" i="17"/>
  <c r="AV339" i="17" s="1"/>
  <c r="AL386" i="15"/>
  <c r="BQ309" i="17"/>
  <c r="BD310" i="17"/>
  <c r="BH310" i="17"/>
  <c r="O462" i="17"/>
  <c r="M463" i="17"/>
  <c r="Z340" i="17" l="1"/>
  <c r="U341" i="17" s="1"/>
  <c r="AC341" i="17" s="1"/>
  <c r="AH340" i="17"/>
  <c r="AS340" i="17" s="1"/>
  <c r="AT340" i="17" s="1"/>
  <c r="AL340" i="17"/>
  <c r="AY340" i="17" s="1"/>
  <c r="AX339" i="17"/>
  <c r="AZ339" i="17" s="1"/>
  <c r="BK310" i="17"/>
  <c r="BL310" i="17" s="1"/>
  <c r="BM310" i="17" s="1"/>
  <c r="BJ310" i="17"/>
  <c r="BE310" i="17"/>
  <c r="BF310" i="17" s="1"/>
  <c r="P463" i="17"/>
  <c r="AQ339" i="17"/>
  <c r="E463" i="17"/>
  <c r="L463" i="17" s="1"/>
  <c r="AR339" i="17"/>
  <c r="AW340" i="17" l="1"/>
  <c r="AX340" i="17" s="1"/>
  <c r="AZ340" i="17" s="1"/>
  <c r="AM340" i="17"/>
  <c r="AN340" i="17" s="1"/>
  <c r="AO340" i="17" s="1"/>
  <c r="AU340" i="17"/>
  <c r="AV340" i="17" s="1"/>
  <c r="BG310" i="17"/>
  <c r="BI310" i="17"/>
  <c r="W341" i="17"/>
  <c r="N463" i="17"/>
  <c r="Q463" i="17"/>
  <c r="S463" i="17" s="1"/>
  <c r="AD341" i="17"/>
  <c r="AE341" i="17" s="1"/>
  <c r="BO310" i="17" l="1"/>
  <c r="BP310" i="17" s="1"/>
  <c r="BN310" i="17"/>
  <c r="AF453" i="15" s="1"/>
  <c r="BC311" i="17"/>
  <c r="BH311" i="17" s="1"/>
  <c r="AA341" i="17"/>
  <c r="AK341" i="17" s="1"/>
  <c r="Y341" i="17"/>
  <c r="AP340" i="17"/>
  <c r="O463" i="17"/>
  <c r="M464" i="17"/>
  <c r="BD311" i="17" l="1"/>
  <c r="AL387" i="15"/>
  <c r="BQ310" i="17"/>
  <c r="AR340" i="17"/>
  <c r="AB341" i="17"/>
  <c r="Z341" i="17"/>
  <c r="P464" i="17"/>
  <c r="E464" i="17"/>
  <c r="L464" i="17" s="1"/>
  <c r="AQ340" i="17"/>
  <c r="BK311" i="17" l="1"/>
  <c r="BL311" i="17" s="1"/>
  <c r="BM311" i="17" s="1"/>
  <c r="BJ311" i="17"/>
  <c r="BE311" i="17"/>
  <c r="BF311" i="17" s="1"/>
  <c r="U342" i="17"/>
  <c r="AC342" i="17" s="1"/>
  <c r="AF341" i="17"/>
  <c r="AG341" i="17" s="1"/>
  <c r="Q464" i="17"/>
  <c r="S464" i="17" s="1"/>
  <c r="N464" i="17"/>
  <c r="AH341" i="17" l="1"/>
  <c r="AS341" i="17" s="1"/>
  <c r="AL341" i="17"/>
  <c r="AY341" i="17" s="1"/>
  <c r="BG311" i="17"/>
  <c r="BI311" i="17"/>
  <c r="W342" i="17"/>
  <c r="AA342" i="17" s="1"/>
  <c r="AK342" i="17" s="1"/>
  <c r="AD342" i="17"/>
  <c r="AE342" i="17" s="1"/>
  <c r="O464" i="17"/>
  <c r="M465" i="17"/>
  <c r="E465" i="17" s="1"/>
  <c r="L465" i="17" s="1"/>
  <c r="N465" i="17" l="1"/>
  <c r="M466" i="17" s="1"/>
  <c r="E466" i="17" s="1"/>
  <c r="L466" i="17" s="1"/>
  <c r="AM341" i="17"/>
  <c r="AN341" i="17" s="1"/>
  <c r="AO341" i="17" s="1"/>
  <c r="AU341" i="17"/>
  <c r="AV341" i="17" s="1"/>
  <c r="AT341" i="17"/>
  <c r="AW341" i="17" s="1"/>
  <c r="AX341" i="17" s="1"/>
  <c r="AZ341" i="17" s="1"/>
  <c r="Y342" i="17"/>
  <c r="AB342" i="17" s="1"/>
  <c r="AF342" i="17" s="1"/>
  <c r="AG342" i="17" s="1"/>
  <c r="BO311" i="17"/>
  <c r="BP311" i="17" s="1"/>
  <c r="BN311" i="17"/>
  <c r="AF500" i="15" s="1"/>
  <c r="BC312" i="17"/>
  <c r="P465" i="17"/>
  <c r="Z342" i="17" l="1"/>
  <c r="U343" i="17" s="1"/>
  <c r="AC343" i="17" s="1"/>
  <c r="AD343" i="17" s="1"/>
  <c r="AE343" i="17" s="1"/>
  <c r="O465" i="17"/>
  <c r="N466" i="17" s="1"/>
  <c r="AH342" i="17"/>
  <c r="AS342" i="17" s="1"/>
  <c r="AT342" i="17" s="1"/>
  <c r="AW342" i="17" s="1"/>
  <c r="AX342" i="17" s="1"/>
  <c r="AZ342" i="17" s="1"/>
  <c r="AL342" i="17"/>
  <c r="AY342" i="17" s="1"/>
  <c r="AL388" i="15"/>
  <c r="BQ311" i="17"/>
  <c r="BD312" i="17"/>
  <c r="BH312" i="17"/>
  <c r="AP341" i="17"/>
  <c r="AQ341" i="17" s="1"/>
  <c r="Q465" i="17"/>
  <c r="S465" i="17" s="1"/>
  <c r="W343" i="17" l="1"/>
  <c r="AA343" i="17" s="1"/>
  <c r="AK343" i="17" s="1"/>
  <c r="AU342" i="17"/>
  <c r="AV342" i="17" s="1"/>
  <c r="AM342" i="17"/>
  <c r="AN342" i="17" s="1"/>
  <c r="BK312" i="17"/>
  <c r="BL312" i="17" s="1"/>
  <c r="BM312" i="17" s="1"/>
  <c r="BJ312" i="17"/>
  <c r="BE312" i="17"/>
  <c r="BF312" i="17" s="1"/>
  <c r="P466" i="17"/>
  <c r="Q466" i="17" s="1"/>
  <c r="S466" i="17" s="1"/>
  <c r="AR341" i="17"/>
  <c r="O466" i="17"/>
  <c r="M467" i="17"/>
  <c r="E467" i="17" s="1"/>
  <c r="L467" i="17" s="1"/>
  <c r="Y343" i="17" l="1"/>
  <c r="Z343" i="17" s="1"/>
  <c r="U344" i="17" s="1"/>
  <c r="AC344" i="17" s="1"/>
  <c r="BG312" i="17"/>
  <c r="BI312" i="17"/>
  <c r="AO342" i="17"/>
  <c r="N467" i="17"/>
  <c r="P467" i="17"/>
  <c r="AB343" i="17" l="1"/>
  <c r="AF343" i="17" s="1"/>
  <c r="AG343" i="17" s="1"/>
  <c r="AH343" i="17" s="1"/>
  <c r="AS343" i="17" s="1"/>
  <c r="W344" i="17"/>
  <c r="AA344" i="17" s="1"/>
  <c r="AK344" i="17" s="1"/>
  <c r="BO312" i="17"/>
  <c r="BP312" i="17" s="1"/>
  <c r="BN312" i="17"/>
  <c r="AF514" i="15" s="1"/>
  <c r="BC313" i="17"/>
  <c r="BH313" i="17" s="1"/>
  <c r="AD344" i="17"/>
  <c r="AE344" i="17" s="1"/>
  <c r="AP342" i="17"/>
  <c r="M468" i="17"/>
  <c r="E468" i="17" s="1"/>
  <c r="L468" i="17" s="1"/>
  <c r="O467" i="17"/>
  <c r="Q467" i="17"/>
  <c r="S467" i="17" s="1"/>
  <c r="AL343" i="17" l="1"/>
  <c r="AY343" i="17" s="1"/>
  <c r="Y344" i="17"/>
  <c r="AB344" i="17" s="1"/>
  <c r="AT343" i="17"/>
  <c r="AW343" i="17" s="1"/>
  <c r="AX343" i="17" s="1"/>
  <c r="AZ343" i="17" s="1"/>
  <c r="AU343" i="17"/>
  <c r="AV343" i="17" s="1"/>
  <c r="AL389" i="15"/>
  <c r="BQ312" i="17"/>
  <c r="BD313" i="17"/>
  <c r="BE313" i="17" s="1"/>
  <c r="BF313" i="17" s="1"/>
  <c r="AR342" i="17"/>
  <c r="AQ342" i="17"/>
  <c r="N468" i="17"/>
  <c r="P468" i="17"/>
  <c r="AM343" i="17" l="1"/>
  <c r="AN343" i="17" s="1"/>
  <c r="AO343" i="17" s="1"/>
  <c r="AP343" i="17" s="1"/>
  <c r="AQ343" i="17" s="1"/>
  <c r="AF344" i="17"/>
  <c r="AG344" i="17" s="1"/>
  <c r="AL344" i="17" s="1"/>
  <c r="AY344" i="17" s="1"/>
  <c r="Z344" i="17"/>
  <c r="U345" i="17" s="1"/>
  <c r="AC345" i="17" s="1"/>
  <c r="AD345" i="17" s="1"/>
  <c r="AE345" i="17" s="1"/>
  <c r="BG313" i="17"/>
  <c r="BI313" i="17"/>
  <c r="BK313" i="17"/>
  <c r="BL313" i="17" s="1"/>
  <c r="BM313" i="17" s="1"/>
  <c r="BJ313" i="17"/>
  <c r="Q468" i="17"/>
  <c r="S468" i="17" s="1"/>
  <c r="M469" i="17"/>
  <c r="O468" i="17"/>
  <c r="AH344" i="17" l="1"/>
  <c r="AS344" i="17" s="1"/>
  <c r="AT344" i="17" s="1"/>
  <c r="AW344" i="17" s="1"/>
  <c r="W345" i="17"/>
  <c r="AA345" i="17" s="1"/>
  <c r="AK345" i="17" s="1"/>
  <c r="AM344" i="17"/>
  <c r="AN344" i="17" s="1"/>
  <c r="BO313" i="17"/>
  <c r="BP313" i="17" s="1"/>
  <c r="BN313" i="17"/>
  <c r="AF558" i="15" s="1"/>
  <c r="BC314" i="17"/>
  <c r="P469" i="17"/>
  <c r="Q469" i="17" s="1"/>
  <c r="S469" i="17" s="1"/>
  <c r="E469" i="17"/>
  <c r="L469" i="17" s="1"/>
  <c r="N469" i="17" s="1"/>
  <c r="AR343" i="17"/>
  <c r="AU344" i="17" l="1"/>
  <c r="AV344" i="17" s="1"/>
  <c r="Y345" i="17"/>
  <c r="Z345" i="17" s="1"/>
  <c r="U346" i="17" s="1"/>
  <c r="AC346" i="17" s="1"/>
  <c r="AO344" i="17"/>
  <c r="AP344" i="17" s="1"/>
  <c r="AX344" i="17"/>
  <c r="AZ344" i="17" s="1"/>
  <c r="BD314" i="17"/>
  <c r="BE314" i="17" s="1"/>
  <c r="BF314" i="17" s="1"/>
  <c r="BH314" i="17"/>
  <c r="AL390" i="15"/>
  <c r="BQ313" i="17"/>
  <c r="O469" i="17"/>
  <c r="M470" i="17"/>
  <c r="AB345" i="17" l="1"/>
  <c r="AF345" i="17" s="1"/>
  <c r="AG345" i="17" s="1"/>
  <c r="AH345" i="17" s="1"/>
  <c r="AS345" i="17" s="1"/>
  <c r="W346" i="17"/>
  <c r="AA346" i="17" s="1"/>
  <c r="AK346" i="17" s="1"/>
  <c r="BG314" i="17"/>
  <c r="BI314" i="17"/>
  <c r="BK314" i="17"/>
  <c r="BL314" i="17" s="1"/>
  <c r="BM314" i="17" s="1"/>
  <c r="BJ314" i="17"/>
  <c r="AR344" i="17"/>
  <c r="P470" i="17"/>
  <c r="AQ344" i="17"/>
  <c r="AD346" i="17"/>
  <c r="E470" i="17"/>
  <c r="L470" i="17" s="1"/>
  <c r="AL345" i="17" l="1"/>
  <c r="AY345" i="17" s="1"/>
  <c r="Y346" i="17"/>
  <c r="AB346" i="17" s="1"/>
  <c r="AT345" i="17"/>
  <c r="AW345" i="17" s="1"/>
  <c r="AX345" i="17" s="1"/>
  <c r="AZ345" i="17" s="1"/>
  <c r="AU345" i="17"/>
  <c r="AV345" i="17" s="1"/>
  <c r="BO314" i="17"/>
  <c r="BP314" i="17" s="1"/>
  <c r="BN314" i="17"/>
  <c r="AF563" i="15" s="1"/>
  <c r="BC315" i="17"/>
  <c r="BH315" i="17" s="1"/>
  <c r="Q470" i="17"/>
  <c r="S470" i="17" s="1"/>
  <c r="N470" i="17"/>
  <c r="AE346" i="17"/>
  <c r="AM345" i="17" l="1"/>
  <c r="AN345" i="17" s="1"/>
  <c r="AO345" i="17" s="1"/>
  <c r="AP345" i="17" s="1"/>
  <c r="Z346" i="17"/>
  <c r="U347" i="17" s="1"/>
  <c r="AC347" i="17" s="1"/>
  <c r="AD347" i="17" s="1"/>
  <c r="AE347" i="17" s="1"/>
  <c r="BD315" i="17"/>
  <c r="BE315" i="17" s="1"/>
  <c r="BF315" i="17" s="1"/>
  <c r="AL391" i="15"/>
  <c r="BQ314" i="17"/>
  <c r="AF346" i="17"/>
  <c r="AG346" i="17" s="1"/>
  <c r="O470" i="17"/>
  <c r="M471" i="17"/>
  <c r="E471" i="17" s="1"/>
  <c r="L471" i="17" s="1"/>
  <c r="W347" i="17" l="1"/>
  <c r="AA347" i="17" s="1"/>
  <c r="AK347" i="17" s="1"/>
  <c r="AH346" i="17"/>
  <c r="AS346" i="17" s="1"/>
  <c r="AL346" i="17"/>
  <c r="BG315" i="17"/>
  <c r="BI315" i="17"/>
  <c r="BK315" i="17"/>
  <c r="BL315" i="17" s="1"/>
  <c r="BM315" i="17" s="1"/>
  <c r="BJ315" i="17"/>
  <c r="AR345" i="17"/>
  <c r="N471" i="17"/>
  <c r="AQ345" i="17"/>
  <c r="P471" i="17"/>
  <c r="Y347" i="17" l="1"/>
  <c r="AB347" i="17" s="1"/>
  <c r="AF347" i="17" s="1"/>
  <c r="AG347" i="17" s="1"/>
  <c r="AY346" i="17"/>
  <c r="AM346" i="17"/>
  <c r="AN346" i="17" s="1"/>
  <c r="AO346" i="17" s="1"/>
  <c r="AP346" i="17" s="1"/>
  <c r="AT346" i="17"/>
  <c r="AW346" i="17" s="1"/>
  <c r="AU346" i="17"/>
  <c r="AV346" i="17" s="1"/>
  <c r="BO315" i="17"/>
  <c r="BP315" i="17" s="1"/>
  <c r="BN315" i="17"/>
  <c r="AF604" i="15" s="1"/>
  <c r="BC316" i="17"/>
  <c r="Q471" i="17"/>
  <c r="S471" i="17" s="1"/>
  <c r="O471" i="17"/>
  <c r="M472" i="17"/>
  <c r="E472" i="17" s="1"/>
  <c r="L472" i="17" s="1"/>
  <c r="Z347" i="17" l="1"/>
  <c r="U348" i="17" s="1"/>
  <c r="AC348" i="17" s="1"/>
  <c r="AD348" i="17" s="1"/>
  <c r="AX346" i="17"/>
  <c r="AZ346" i="17" s="1"/>
  <c r="AH347" i="17"/>
  <c r="AS347" i="17" s="1"/>
  <c r="AL347" i="17"/>
  <c r="AY347" i="17" s="1"/>
  <c r="BD316" i="17"/>
  <c r="BE316" i="17" s="1"/>
  <c r="BF316" i="17" s="1"/>
  <c r="BH316" i="17"/>
  <c r="AR346" i="17"/>
  <c r="AL392" i="15"/>
  <c r="BQ315" i="17"/>
  <c r="N472" i="17"/>
  <c r="AQ346" i="17"/>
  <c r="P472" i="17"/>
  <c r="W348" i="17" l="1"/>
  <c r="AA348" i="17" s="1"/>
  <c r="AK348" i="17" s="1"/>
  <c r="AM347" i="17"/>
  <c r="AN347" i="17" s="1"/>
  <c r="AO347" i="17" s="1"/>
  <c r="AT347" i="17"/>
  <c r="AW347" i="17" s="1"/>
  <c r="AX347" i="17" s="1"/>
  <c r="AZ347" i="17" s="1"/>
  <c r="AU347" i="17"/>
  <c r="AV347" i="17" s="1"/>
  <c r="BG316" i="17"/>
  <c r="BI316" i="17"/>
  <c r="BK316" i="17"/>
  <c r="BL316" i="17" s="1"/>
  <c r="BM316" i="17" s="1"/>
  <c r="BJ316" i="17"/>
  <c r="AE348" i="17"/>
  <c r="Q472" i="17"/>
  <c r="S472" i="17" s="1"/>
  <c r="O472" i="17"/>
  <c r="M473" i="17"/>
  <c r="Y348" i="17" l="1"/>
  <c r="Z348" i="17" s="1"/>
  <c r="BO316" i="17"/>
  <c r="BP316" i="17" s="1"/>
  <c r="BN316" i="17"/>
  <c r="AF681" i="15" s="1"/>
  <c r="BC317" i="17"/>
  <c r="BD317" i="17" s="1"/>
  <c r="E473" i="17"/>
  <c r="L473" i="17" s="1"/>
  <c r="P473" i="17"/>
  <c r="AP347" i="17"/>
  <c r="AB348" i="17" l="1"/>
  <c r="AF348" i="17" s="1"/>
  <c r="AG348" i="17" s="1"/>
  <c r="BK317" i="17"/>
  <c r="BL317" i="17" s="1"/>
  <c r="BM317" i="17" s="1"/>
  <c r="BJ317" i="17"/>
  <c r="AL393" i="15"/>
  <c r="BQ316" i="17"/>
  <c r="BE317" i="17"/>
  <c r="BF317" i="17" s="1"/>
  <c r="BH317" i="17"/>
  <c r="U349" i="17"/>
  <c r="W349" i="17" s="1"/>
  <c r="AA349" i="17" s="1"/>
  <c r="AK349" i="17" s="1"/>
  <c r="Q473" i="17"/>
  <c r="S473" i="17" s="1"/>
  <c r="N473" i="17"/>
  <c r="AQ347" i="17"/>
  <c r="AR347" i="17"/>
  <c r="AH348" i="17" l="1"/>
  <c r="AS348" i="17" s="1"/>
  <c r="AL348" i="17"/>
  <c r="AY348" i="17" s="1"/>
  <c r="BG317" i="17"/>
  <c r="BI317" i="17"/>
  <c r="AC349" i="17"/>
  <c r="Y349" i="17"/>
  <c r="AB349" i="17" s="1"/>
  <c r="O473" i="17"/>
  <c r="M474" i="17"/>
  <c r="E474" i="17" s="1"/>
  <c r="L474" i="17" s="1"/>
  <c r="N474" i="17" l="1"/>
  <c r="AM348" i="17"/>
  <c r="AN348" i="17" s="1"/>
  <c r="AO348" i="17" s="1"/>
  <c r="AT348" i="17"/>
  <c r="AW348" i="17" s="1"/>
  <c r="AX348" i="17" s="1"/>
  <c r="AZ348" i="17" s="1"/>
  <c r="AU348" i="17"/>
  <c r="AV348" i="17" s="1"/>
  <c r="BO317" i="17"/>
  <c r="BP317" i="17" s="1"/>
  <c r="BN317" i="17"/>
  <c r="AF699" i="15" s="1"/>
  <c r="BC318" i="17"/>
  <c r="BH318" i="17" s="1"/>
  <c r="AD349" i="17"/>
  <c r="Z349" i="17"/>
  <c r="O474" i="17"/>
  <c r="M475" i="17"/>
  <c r="E475" i="17" s="1"/>
  <c r="L475" i="17" s="1"/>
  <c r="P474" i="17"/>
  <c r="BD318" i="17" l="1"/>
  <c r="BK318" i="17" s="1"/>
  <c r="BL318" i="17" s="1"/>
  <c r="BM318" i="17" s="1"/>
  <c r="N475" i="17"/>
  <c r="O475" i="17" s="1"/>
  <c r="AL394" i="15"/>
  <c r="BQ317" i="17"/>
  <c r="AP348" i="17"/>
  <c r="AR348" i="17" s="1"/>
  <c r="AE349" i="17"/>
  <c r="AF349" i="17" s="1"/>
  <c r="AG349" i="17" s="1"/>
  <c r="U350" i="17"/>
  <c r="AC350" i="17" s="1"/>
  <c r="Q474" i="17"/>
  <c r="S474" i="17" s="1"/>
  <c r="AH349" i="17" l="1"/>
  <c r="AS349" i="17" s="1"/>
  <c r="AL349" i="17"/>
  <c r="AY349" i="17" s="1"/>
  <c r="BJ318" i="17"/>
  <c r="BE318" i="17"/>
  <c r="BF318" i="17" s="1"/>
  <c r="BI318" i="17" s="1"/>
  <c r="M476" i="17"/>
  <c r="E476" i="17" s="1"/>
  <c r="L476" i="17" s="1"/>
  <c r="N476" i="17" s="1"/>
  <c r="O476" i="17" s="1"/>
  <c r="P475" i="17"/>
  <c r="Q475" i="17" s="1"/>
  <c r="S475" i="17" s="1"/>
  <c r="W350" i="17"/>
  <c r="AA350" i="17" s="1"/>
  <c r="AK350" i="17" s="1"/>
  <c r="AD350" i="17"/>
  <c r="AQ348" i="17"/>
  <c r="AM349" i="17" l="1"/>
  <c r="AN349" i="17" s="1"/>
  <c r="AO349" i="17" s="1"/>
  <c r="AP349" i="17" s="1"/>
  <c r="AQ349" i="17" s="1"/>
  <c r="AT349" i="17"/>
  <c r="AW349" i="17" s="1"/>
  <c r="AX349" i="17" s="1"/>
  <c r="AZ349" i="17" s="1"/>
  <c r="AU349" i="17"/>
  <c r="AV349" i="17" s="1"/>
  <c r="BG318" i="17"/>
  <c r="BC319" i="17" s="1"/>
  <c r="BH319" i="17" s="1"/>
  <c r="M477" i="17"/>
  <c r="E477" i="17" s="1"/>
  <c r="L477" i="17" s="1"/>
  <c r="N477" i="17" s="1"/>
  <c r="Y350" i="17"/>
  <c r="AB350" i="17" s="1"/>
  <c r="BO318" i="17"/>
  <c r="BP318" i="17" s="1"/>
  <c r="BN318" i="17"/>
  <c r="AF708" i="15" s="1"/>
  <c r="P476" i="17"/>
  <c r="AE350" i="17"/>
  <c r="AR349" i="17" l="1"/>
  <c r="Z350" i="17"/>
  <c r="U351" i="17" s="1"/>
  <c r="AC351" i="17" s="1"/>
  <c r="Q476" i="17"/>
  <c r="S476" i="17" s="1"/>
  <c r="AF350" i="17"/>
  <c r="AG350" i="17" s="1"/>
  <c r="AL350" i="17" s="1"/>
  <c r="AY350" i="17" s="1"/>
  <c r="BD319" i="17"/>
  <c r="BE319" i="17" s="1"/>
  <c r="BF319" i="17" s="1"/>
  <c r="AL395" i="15"/>
  <c r="BQ318" i="17"/>
  <c r="O477" i="17"/>
  <c r="M478" i="17"/>
  <c r="AM350" i="17" l="1"/>
  <c r="AN350" i="17" s="1"/>
  <c r="AH350" i="17"/>
  <c r="AS350" i="17" s="1"/>
  <c r="BJ319" i="17"/>
  <c r="BK319" i="17"/>
  <c r="BL319" i="17" s="1"/>
  <c r="BM319" i="17" s="1"/>
  <c r="P477" i="17"/>
  <c r="Q477" i="17" s="1"/>
  <c r="S477" i="17" s="1"/>
  <c r="BG319" i="17"/>
  <c r="BI319" i="17"/>
  <c r="W351" i="17"/>
  <c r="AA351" i="17" s="1"/>
  <c r="AK351" i="17" s="1"/>
  <c r="AD351" i="17"/>
  <c r="AE351" i="17" s="1"/>
  <c r="E478" i="17"/>
  <c r="L478" i="17" s="1"/>
  <c r="AO350" i="17" l="1"/>
  <c r="AP350" i="17" s="1"/>
  <c r="AQ350" i="17" s="1"/>
  <c r="AT350" i="17"/>
  <c r="AW350" i="17" s="1"/>
  <c r="AX350" i="17" s="1"/>
  <c r="AZ350" i="17" s="1"/>
  <c r="AU350" i="17"/>
  <c r="AV350" i="17" s="1"/>
  <c r="P478" i="17"/>
  <c r="Q478" i="17" s="1"/>
  <c r="S478" i="17" s="1"/>
  <c r="Y351" i="17"/>
  <c r="AB351" i="17" s="1"/>
  <c r="AF351" i="17" s="1"/>
  <c r="AG351" i="17" s="1"/>
  <c r="BO319" i="17"/>
  <c r="BP319" i="17" s="1"/>
  <c r="BN319" i="17"/>
  <c r="AF711" i="15" s="1"/>
  <c r="BC320" i="17"/>
  <c r="BH320" i="17" s="1"/>
  <c r="N478" i="17"/>
  <c r="AH351" i="17" l="1"/>
  <c r="AS351" i="17" s="1"/>
  <c r="AT351" i="17" s="1"/>
  <c r="AW351" i="17" s="1"/>
  <c r="AX351" i="17" s="1"/>
  <c r="AZ351" i="17" s="1"/>
  <c r="AL351" i="17"/>
  <c r="AY351" i="17" s="1"/>
  <c r="BD320" i="17"/>
  <c r="BJ320" i="17" s="1"/>
  <c r="Z351" i="17"/>
  <c r="U352" i="17" s="1"/>
  <c r="AC352" i="17" s="1"/>
  <c r="AL396" i="15"/>
  <c r="BQ319" i="17"/>
  <c r="AR350" i="17"/>
  <c r="O478" i="17"/>
  <c r="M479" i="17"/>
  <c r="AM351" i="17" l="1"/>
  <c r="AN351" i="17" s="1"/>
  <c r="AO351" i="17" s="1"/>
  <c r="AP351" i="17" s="1"/>
  <c r="AU351" i="17"/>
  <c r="AV351" i="17" s="1"/>
  <c r="BK320" i="17"/>
  <c r="BL320" i="17" s="1"/>
  <c r="BM320" i="17" s="1"/>
  <c r="BE320" i="17"/>
  <c r="BF320" i="17" s="1"/>
  <c r="BG320" i="17" s="1"/>
  <c r="W352" i="17"/>
  <c r="AA352" i="17" s="1"/>
  <c r="AK352" i="17" s="1"/>
  <c r="AD352" i="17"/>
  <c r="AE352" i="17" s="1"/>
  <c r="P479" i="17"/>
  <c r="Q479" i="17" s="1"/>
  <c r="E479" i="17"/>
  <c r="L479" i="17" s="1"/>
  <c r="AR351" i="17" l="1"/>
  <c r="Y352" i="17"/>
  <c r="AB352" i="17" s="1"/>
  <c r="AF352" i="17" s="1"/>
  <c r="AG352" i="17" s="1"/>
  <c r="AL352" i="17" s="1"/>
  <c r="AY352" i="17" s="1"/>
  <c r="AQ351" i="17"/>
  <c r="BI320" i="17"/>
  <c r="BN320" i="17" s="1"/>
  <c r="AF715" i="15" s="1"/>
  <c r="BC321" i="17"/>
  <c r="N479" i="17"/>
  <c r="S479" i="17"/>
  <c r="Z352" i="17" l="1"/>
  <c r="U353" i="17" s="1"/>
  <c r="AC353" i="17" s="1"/>
  <c r="AD353" i="17" s="1"/>
  <c r="AE353" i="17" s="1"/>
  <c r="BO320" i="17"/>
  <c r="BP320" i="17" s="1"/>
  <c r="AL397" i="15" s="1"/>
  <c r="AH352" i="17"/>
  <c r="AS352" i="17" s="1"/>
  <c r="BD321" i="17"/>
  <c r="BE321" i="17" s="1"/>
  <c r="BF321" i="17" s="1"/>
  <c r="BH321" i="17"/>
  <c r="AM352" i="17"/>
  <c r="M480" i="17"/>
  <c r="O479" i="17"/>
  <c r="W353" i="17" l="1"/>
  <c r="AA353" i="17" s="1"/>
  <c r="AK353" i="17" s="1"/>
  <c r="BQ320" i="17"/>
  <c r="AT352" i="17"/>
  <c r="AW352" i="17" s="1"/>
  <c r="AX352" i="17" s="1"/>
  <c r="AZ352" i="17" s="1"/>
  <c r="AU352" i="17"/>
  <c r="AV352" i="17" s="1"/>
  <c r="BK321" i="17"/>
  <c r="BL321" i="17" s="1"/>
  <c r="BM321" i="17" s="1"/>
  <c r="BJ321" i="17"/>
  <c r="BG321" i="17"/>
  <c r="BI321" i="17"/>
  <c r="AN352" i="17"/>
  <c r="AO352" i="17" s="1"/>
  <c r="P480" i="17"/>
  <c r="E480" i="17"/>
  <c r="L480" i="17" s="1"/>
  <c r="Y353" i="17" l="1"/>
  <c r="AB353" i="17" s="1"/>
  <c r="AF353" i="17" s="1"/>
  <c r="AG353" i="17" s="1"/>
  <c r="AL353" i="17" s="1"/>
  <c r="AY353" i="17" s="1"/>
  <c r="BC322" i="17"/>
  <c r="BH322" i="17" s="1"/>
  <c r="BO321" i="17"/>
  <c r="BP321" i="17" s="1"/>
  <c r="BN321" i="17"/>
  <c r="AF716" i="15" s="1"/>
  <c r="AP352" i="17"/>
  <c r="N480" i="17"/>
  <c r="Q480" i="17"/>
  <c r="S480" i="17" s="1"/>
  <c r="Z353" i="17" l="1"/>
  <c r="U354" i="17" s="1"/>
  <c r="W354" i="17" s="1"/>
  <c r="AA354" i="17" s="1"/>
  <c r="AK354" i="17" s="1"/>
  <c r="BD322" i="17"/>
  <c r="BE322" i="17" s="1"/>
  <c r="BF322" i="17" s="1"/>
  <c r="BG322" i="17" s="1"/>
  <c r="AH353" i="17"/>
  <c r="AS353" i="17" s="1"/>
  <c r="AL398" i="15"/>
  <c r="BQ321" i="17"/>
  <c r="AR352" i="17"/>
  <c r="AQ352" i="17"/>
  <c r="AM353" i="17"/>
  <c r="O480" i="17"/>
  <c r="M481" i="17"/>
  <c r="E481" i="17" s="1"/>
  <c r="L481" i="17" s="1"/>
  <c r="BJ322" i="17" l="1"/>
  <c r="Y354" i="17"/>
  <c r="AB354" i="17" s="1"/>
  <c r="AC354" i="17"/>
  <c r="AD354" i="17" s="1"/>
  <c r="AE354" i="17" s="1"/>
  <c r="BK322" i="17"/>
  <c r="BL322" i="17" s="1"/>
  <c r="BM322" i="17" s="1"/>
  <c r="BI322" i="17"/>
  <c r="BO322" i="17" s="1"/>
  <c r="BP322" i="17" s="1"/>
  <c r="AT353" i="17"/>
  <c r="AW353" i="17" s="1"/>
  <c r="AX353" i="17" s="1"/>
  <c r="AZ353" i="17" s="1"/>
  <c r="AU353" i="17"/>
  <c r="AV353" i="17" s="1"/>
  <c r="BC323" i="17"/>
  <c r="AN353" i="17"/>
  <c r="AO353" i="17" s="1"/>
  <c r="N481" i="17"/>
  <c r="P481" i="17"/>
  <c r="AF354" i="17" l="1"/>
  <c r="AG354" i="17" s="1"/>
  <c r="AH354" i="17" s="1"/>
  <c r="AS354" i="17" s="1"/>
  <c r="AT354" i="17" s="1"/>
  <c r="AW354" i="17" s="1"/>
  <c r="AX354" i="17" s="1"/>
  <c r="AZ354" i="17" s="1"/>
  <c r="Z354" i="17"/>
  <c r="U355" i="17" s="1"/>
  <c r="AC355" i="17" s="1"/>
  <c r="AD355" i="17" s="1"/>
  <c r="AE355" i="17" s="1"/>
  <c r="BN322" i="17"/>
  <c r="AF717" i="15" s="1"/>
  <c r="BD323" i="17"/>
  <c r="BH323" i="17"/>
  <c r="AL399" i="15"/>
  <c r="AP353" i="17"/>
  <c r="AQ353" i="17" s="1"/>
  <c r="M482" i="17"/>
  <c r="O481" i="17"/>
  <c r="Q481" i="17"/>
  <c r="S481" i="17" s="1"/>
  <c r="W355" i="17" l="1"/>
  <c r="AA355" i="17" s="1"/>
  <c r="AK355" i="17" s="1"/>
  <c r="AL354" i="17"/>
  <c r="AY354" i="17" s="1"/>
  <c r="BQ322" i="17"/>
  <c r="AU354" i="17"/>
  <c r="AV354" i="17" s="1"/>
  <c r="BK323" i="17"/>
  <c r="BL323" i="17" s="1"/>
  <c r="BM323" i="17" s="1"/>
  <c r="BJ323" i="17"/>
  <c r="BE323" i="17"/>
  <c r="BF323" i="17" s="1"/>
  <c r="AR353" i="17"/>
  <c r="E482" i="17"/>
  <c r="L482" i="17" s="1"/>
  <c r="P482" i="17"/>
  <c r="Y355" i="17" l="1"/>
  <c r="AB355" i="17" s="1"/>
  <c r="AF355" i="17" s="1"/>
  <c r="AG355" i="17" s="1"/>
  <c r="AL355" i="17" s="1"/>
  <c r="AY355" i="17" s="1"/>
  <c r="AM354" i="17"/>
  <c r="AN354" i="17" s="1"/>
  <c r="AO354" i="17" s="1"/>
  <c r="AP354" i="17" s="1"/>
  <c r="AR354" i="17" s="1"/>
  <c r="BG323" i="17"/>
  <c r="BI323" i="17"/>
  <c r="Q482" i="17"/>
  <c r="S482" i="17" s="1"/>
  <c r="N482" i="17"/>
  <c r="AM355" i="17" l="1"/>
  <c r="AN355" i="17" s="1"/>
  <c r="AO355" i="17" s="1"/>
  <c r="AH355" i="17"/>
  <c r="AS355" i="17" s="1"/>
  <c r="AT355" i="17" s="1"/>
  <c r="AW355" i="17" s="1"/>
  <c r="AX355" i="17" s="1"/>
  <c r="AZ355" i="17" s="1"/>
  <c r="AQ354" i="17"/>
  <c r="Z355" i="17"/>
  <c r="U356" i="17" s="1"/>
  <c r="AC356" i="17" s="1"/>
  <c r="AD356" i="17" s="1"/>
  <c r="BO323" i="17"/>
  <c r="BP323" i="17" s="1"/>
  <c r="BN323" i="17"/>
  <c r="AF706" i="15" s="1"/>
  <c r="BC324" i="17"/>
  <c r="BD324" i="17" s="1"/>
  <c r="BE324" i="17" s="1"/>
  <c r="M483" i="17"/>
  <c r="O482" i="17"/>
  <c r="W356" i="17" l="1"/>
  <c r="AA356" i="17" s="1"/>
  <c r="AK356" i="17" s="1"/>
  <c r="AU355" i="17"/>
  <c r="AV355" i="17" s="1"/>
  <c r="BK324" i="17"/>
  <c r="BL324" i="17" s="1"/>
  <c r="BM324" i="17" s="1"/>
  <c r="BJ324" i="17"/>
  <c r="BF324" i="17"/>
  <c r="BH324" i="17"/>
  <c r="AL400" i="15"/>
  <c r="BQ323" i="17"/>
  <c r="AP355" i="17"/>
  <c r="AR355" i="17" s="1"/>
  <c r="P483" i="17"/>
  <c r="E483" i="17"/>
  <c r="L483" i="17" s="1"/>
  <c r="AE356" i="17"/>
  <c r="Y356" i="17" l="1"/>
  <c r="AB356" i="17" s="1"/>
  <c r="AF356" i="17" s="1"/>
  <c r="AG356" i="17" s="1"/>
  <c r="BG324" i="17"/>
  <c r="BI324" i="17"/>
  <c r="N483" i="17"/>
  <c r="AQ355" i="17"/>
  <c r="Q483" i="17"/>
  <c r="S483" i="17" s="1"/>
  <c r="Z356" i="17" l="1"/>
  <c r="U357" i="17" s="1"/>
  <c r="AC357" i="17" s="1"/>
  <c r="AD357" i="17" s="1"/>
  <c r="AE357" i="17" s="1"/>
  <c r="AH356" i="17"/>
  <c r="AS356" i="17" s="1"/>
  <c r="AL356" i="17"/>
  <c r="BO324" i="17"/>
  <c r="BP324" i="17" s="1"/>
  <c r="BN324" i="17"/>
  <c r="AF714" i="15" s="1"/>
  <c r="BC325" i="17"/>
  <c r="O483" i="17"/>
  <c r="M484" i="17"/>
  <c r="W357" i="17" l="1"/>
  <c r="AA357" i="17" s="1"/>
  <c r="AK357" i="17" s="1"/>
  <c r="AY356" i="17"/>
  <c r="AM356" i="17"/>
  <c r="AN356" i="17" s="1"/>
  <c r="AU356" i="17"/>
  <c r="AV356" i="17" s="1"/>
  <c r="AT356" i="17"/>
  <c r="AW356" i="17" s="1"/>
  <c r="BD325" i="17"/>
  <c r="BE325" i="17" s="1"/>
  <c r="BF325" i="17" s="1"/>
  <c r="BH325" i="17"/>
  <c r="AL401" i="15"/>
  <c r="BQ324" i="17"/>
  <c r="P484" i="17"/>
  <c r="E484" i="17"/>
  <c r="L484" i="17" s="1"/>
  <c r="Y357" i="17" l="1"/>
  <c r="AB357" i="17" s="1"/>
  <c r="AF357" i="17" s="1"/>
  <c r="AG357" i="17" s="1"/>
  <c r="AL357" i="17" s="1"/>
  <c r="AY357" i="17"/>
  <c r="AO356" i="17"/>
  <c r="AP356" i="17" s="1"/>
  <c r="AX356" i="17"/>
  <c r="AZ356" i="17" s="1"/>
  <c r="BG325" i="17"/>
  <c r="BI325" i="17"/>
  <c r="BK325" i="17"/>
  <c r="BL325" i="17" s="1"/>
  <c r="BM325" i="17" s="1"/>
  <c r="BJ325" i="17"/>
  <c r="N484" i="17"/>
  <c r="Q484" i="17"/>
  <c r="S484" i="17" s="1"/>
  <c r="AM357" i="17" l="1"/>
  <c r="AN357" i="17" s="1"/>
  <c r="AH357" i="17"/>
  <c r="AS357" i="17" s="1"/>
  <c r="AT357" i="17" s="1"/>
  <c r="Z357" i="17"/>
  <c r="U358" i="17" s="1"/>
  <c r="AC358" i="17" s="1"/>
  <c r="AD358" i="17" s="1"/>
  <c r="AE358" i="17" s="1"/>
  <c r="AU357" i="17"/>
  <c r="AV357" i="17" s="1"/>
  <c r="AW357" i="17"/>
  <c r="AX357" i="17" s="1"/>
  <c r="AZ357" i="17" s="1"/>
  <c r="BO325" i="17"/>
  <c r="BP325" i="17" s="1"/>
  <c r="BN325" i="17"/>
  <c r="AF494" i="15" s="1"/>
  <c r="BC326" i="17"/>
  <c r="BH326" i="17" s="1"/>
  <c r="AR356" i="17"/>
  <c r="AQ356" i="17"/>
  <c r="M485" i="17"/>
  <c r="O484" i="17"/>
  <c r="AO357" i="17" l="1"/>
  <c r="W358" i="17"/>
  <c r="AA358" i="17" s="1"/>
  <c r="AK358" i="17" s="1"/>
  <c r="Y358" i="17"/>
  <c r="AB358" i="17" s="1"/>
  <c r="BD326" i="17"/>
  <c r="BE326" i="17" s="1"/>
  <c r="BF326" i="17" s="1"/>
  <c r="AL40" i="15"/>
  <c r="BQ325" i="17"/>
  <c r="P485" i="17"/>
  <c r="E485" i="17"/>
  <c r="L485" i="17" s="1"/>
  <c r="AP357" i="17"/>
  <c r="AQ357" i="17" s="1"/>
  <c r="Z358" i="17" l="1"/>
  <c r="U359" i="17" s="1"/>
  <c r="AC359" i="17" s="1"/>
  <c r="BG326" i="17"/>
  <c r="BI326" i="17"/>
  <c r="BK326" i="17"/>
  <c r="BL326" i="17" s="1"/>
  <c r="BM326" i="17" s="1"/>
  <c r="BJ326" i="17"/>
  <c r="AR357" i="17"/>
  <c r="Q485" i="17"/>
  <c r="S485" i="17" s="1"/>
  <c r="AF358" i="17"/>
  <c r="AG358" i="17" s="1"/>
  <c r="AL358" i="17" s="1"/>
  <c r="AY358" i="17" s="1"/>
  <c r="N485" i="17"/>
  <c r="AH358" i="17" l="1"/>
  <c r="AS358" i="17" s="1"/>
  <c r="BO326" i="17"/>
  <c r="BP326" i="17" s="1"/>
  <c r="BN326" i="17"/>
  <c r="AF397" i="15" s="1"/>
  <c r="BC327" i="17"/>
  <c r="BH327" i="17" s="1"/>
  <c r="AM358" i="17"/>
  <c r="AD359" i="17"/>
  <c r="M486" i="17"/>
  <c r="E486" i="17" s="1"/>
  <c r="L486" i="17" s="1"/>
  <c r="O485" i="17"/>
  <c r="W359" i="17"/>
  <c r="AT358" i="17" l="1"/>
  <c r="AW358" i="17" s="1"/>
  <c r="AX358" i="17" s="1"/>
  <c r="AZ358" i="17" s="1"/>
  <c r="AU358" i="17"/>
  <c r="AV358" i="17" s="1"/>
  <c r="BD327" i="17"/>
  <c r="BE327" i="17" s="1"/>
  <c r="BF327" i="17" s="1"/>
  <c r="AL62" i="15"/>
  <c r="BQ326" i="17"/>
  <c r="AE359" i="17"/>
  <c r="N486" i="17"/>
  <c r="AN358" i="17"/>
  <c r="AA359" i="17"/>
  <c r="AK359" i="17" s="1"/>
  <c r="P486" i="17"/>
  <c r="Y359" i="17"/>
  <c r="AB359" i="17" s="1"/>
  <c r="BK327" i="17" l="1"/>
  <c r="BL327" i="17" s="1"/>
  <c r="BM327" i="17" s="1"/>
  <c r="BJ327" i="17"/>
  <c r="BI327" i="17"/>
  <c r="BG327" i="17"/>
  <c r="O486" i="17"/>
  <c r="M487" i="17"/>
  <c r="Z359" i="17"/>
  <c r="AO358" i="17"/>
  <c r="AF359" i="17"/>
  <c r="AG359" i="17" s="1"/>
  <c r="Q486" i="17"/>
  <c r="S486" i="17" s="1"/>
  <c r="BN327" i="17" l="1"/>
  <c r="AF434" i="15" s="1"/>
  <c r="AH359" i="17"/>
  <c r="AS359" i="17" s="1"/>
  <c r="BO327" i="17"/>
  <c r="BP327" i="17" s="1"/>
  <c r="AL402" i="15" s="1"/>
  <c r="AL359" i="17"/>
  <c r="AY359" i="17" s="1"/>
  <c r="BC328" i="17"/>
  <c r="BD328" i="17" s="1"/>
  <c r="P487" i="17"/>
  <c r="AP358" i="17"/>
  <c r="AQ358" i="17" s="1"/>
  <c r="U360" i="17"/>
  <c r="AC360" i="17" s="1"/>
  <c r="E487" i="17"/>
  <c r="L487" i="17" s="1"/>
  <c r="BQ327" i="17" l="1"/>
  <c r="AT359" i="17"/>
  <c r="AW359" i="17" s="1"/>
  <c r="AX359" i="17" s="1"/>
  <c r="AZ359" i="17" s="1"/>
  <c r="AU359" i="17"/>
  <c r="AV359" i="17" s="1"/>
  <c r="AM359" i="17"/>
  <c r="AN359" i="17" s="1"/>
  <c r="AO359" i="17" s="1"/>
  <c r="BH328" i="17"/>
  <c r="BK328" i="17"/>
  <c r="BL328" i="17" s="1"/>
  <c r="BM328" i="17" s="1"/>
  <c r="BJ328" i="17"/>
  <c r="BE328" i="17"/>
  <c r="BF328" i="17" s="1"/>
  <c r="W360" i="17"/>
  <c r="AA360" i="17" s="1"/>
  <c r="AK360" i="17" s="1"/>
  <c r="AR358" i="17"/>
  <c r="AD360" i="17"/>
  <c r="N487" i="17"/>
  <c r="Q487" i="17"/>
  <c r="S487" i="17" s="1"/>
  <c r="BG328" i="17" l="1"/>
  <c r="BC329" i="17" s="1"/>
  <c r="BH329" i="17" s="1"/>
  <c r="BI328" i="17"/>
  <c r="BO328" i="17" s="1"/>
  <c r="BP328" i="17" s="1"/>
  <c r="Y360" i="17"/>
  <c r="AB360" i="17" s="1"/>
  <c r="O487" i="17"/>
  <c r="M488" i="17"/>
  <c r="AP359" i="17"/>
  <c r="AE360" i="17"/>
  <c r="BN328" i="17" l="1"/>
  <c r="AF479" i="15" s="1"/>
  <c r="BD329" i="17"/>
  <c r="AL403" i="15"/>
  <c r="AF360" i="17"/>
  <c r="AG360" i="17" s="1"/>
  <c r="Z360" i="17"/>
  <c r="U361" i="17" s="1"/>
  <c r="AC361" i="17" s="1"/>
  <c r="AR359" i="17"/>
  <c r="P488" i="17"/>
  <c r="AQ359" i="17"/>
  <c r="E488" i="17"/>
  <c r="L488" i="17" s="1"/>
  <c r="AH360" i="17" l="1"/>
  <c r="AS360" i="17" s="1"/>
  <c r="BQ328" i="17"/>
  <c r="AL360" i="17"/>
  <c r="AY360" i="17" s="1"/>
  <c r="BK329" i="17"/>
  <c r="BL329" i="17" s="1"/>
  <c r="BM329" i="17" s="1"/>
  <c r="BJ329" i="17"/>
  <c r="BE329" i="17"/>
  <c r="BF329" i="17" s="1"/>
  <c r="AD361" i="17"/>
  <c r="N488" i="17"/>
  <c r="W361" i="17"/>
  <c r="Q488" i="17"/>
  <c r="S488" i="17" s="1"/>
  <c r="AM360" i="17" l="1"/>
  <c r="AN360" i="17" s="1"/>
  <c r="AO360" i="17" s="1"/>
  <c r="AT360" i="17"/>
  <c r="AW360" i="17" s="1"/>
  <c r="AX360" i="17" s="1"/>
  <c r="AZ360" i="17" s="1"/>
  <c r="AU360" i="17"/>
  <c r="AV360" i="17" s="1"/>
  <c r="BG329" i="17"/>
  <c r="BI329" i="17"/>
  <c r="M489" i="17"/>
  <c r="E489" i="17" s="1"/>
  <c r="L489" i="17" s="1"/>
  <c r="O488" i="17"/>
  <c r="AA361" i="17"/>
  <c r="AK361" i="17" s="1"/>
  <c r="Y361" i="17"/>
  <c r="AB361" i="17" s="1"/>
  <c r="AE361" i="17"/>
  <c r="BO329" i="17" l="1"/>
  <c r="BP329" i="17" s="1"/>
  <c r="BN329" i="17"/>
  <c r="AF466" i="15" s="1"/>
  <c r="BC330" i="17"/>
  <c r="Z361" i="17"/>
  <c r="U362" i="17" s="1"/>
  <c r="AC362" i="17" s="1"/>
  <c r="N489" i="17"/>
  <c r="AP360" i="17"/>
  <c r="AQ360" i="17" s="1"/>
  <c r="AF361" i="17"/>
  <c r="AG361" i="17" s="1"/>
  <c r="AL361" i="17" s="1"/>
  <c r="AY361" i="17" s="1"/>
  <c r="P489" i="17"/>
  <c r="AH361" i="17" l="1"/>
  <c r="AS361" i="17" s="1"/>
  <c r="BD330" i="17"/>
  <c r="BE330" i="17" s="1"/>
  <c r="BF330" i="17" s="1"/>
  <c r="BH330" i="17"/>
  <c r="AL118" i="15"/>
  <c r="BQ329" i="17"/>
  <c r="W362" i="17"/>
  <c r="AA362" i="17" s="1"/>
  <c r="AK362" i="17" s="1"/>
  <c r="Q489" i="17"/>
  <c r="S489" i="17" s="1"/>
  <c r="AM361" i="17"/>
  <c r="O489" i="17"/>
  <c r="M490" i="17"/>
  <c r="E490" i="17" s="1"/>
  <c r="L490" i="17" s="1"/>
  <c r="AD362" i="17"/>
  <c r="AE362" i="17" s="1"/>
  <c r="AR360" i="17"/>
  <c r="AT361" i="17" l="1"/>
  <c r="AW361" i="17" s="1"/>
  <c r="AX361" i="17" s="1"/>
  <c r="AZ361" i="17" s="1"/>
  <c r="AU361" i="17"/>
  <c r="AV361" i="17" s="1"/>
  <c r="Y362" i="17"/>
  <c r="AB362" i="17" s="1"/>
  <c r="BG330" i="17"/>
  <c r="BI330" i="17"/>
  <c r="BK330" i="17"/>
  <c r="BL330" i="17" s="1"/>
  <c r="BM330" i="17" s="1"/>
  <c r="BJ330" i="17"/>
  <c r="P490" i="17"/>
  <c r="Q490" i="17" s="1"/>
  <c r="S490" i="17" s="1"/>
  <c r="AN361" i="17"/>
  <c r="N490" i="17"/>
  <c r="Z362" i="17" l="1"/>
  <c r="U363" i="17" s="1"/>
  <c r="AC363" i="17" s="1"/>
  <c r="BO330" i="17"/>
  <c r="BP330" i="17" s="1"/>
  <c r="BN330" i="17"/>
  <c r="AF330" i="15" s="1"/>
  <c r="BC331" i="17"/>
  <c r="BH331" i="17" s="1"/>
  <c r="AF362" i="17"/>
  <c r="AG362" i="17" s="1"/>
  <c r="AO361" i="17"/>
  <c r="M491" i="17"/>
  <c r="E491" i="17" s="1"/>
  <c r="L491" i="17" s="1"/>
  <c r="O490" i="17"/>
  <c r="AH362" i="17" l="1"/>
  <c r="AS362" i="17" s="1"/>
  <c r="AL362" i="17"/>
  <c r="AY362" i="17" s="1"/>
  <c r="BD331" i="17"/>
  <c r="BK331" i="17" s="1"/>
  <c r="BL331" i="17" s="1"/>
  <c r="BM331" i="17" s="1"/>
  <c r="AL38" i="15"/>
  <c r="BQ330" i="17"/>
  <c r="W363" i="17"/>
  <c r="AA363" i="17" s="1"/>
  <c r="AK363" i="17" s="1"/>
  <c r="N491" i="17"/>
  <c r="AD363" i="17"/>
  <c r="AP361" i="17"/>
  <c r="P491" i="17"/>
  <c r="AM362" i="17" l="1"/>
  <c r="AN362" i="17" s="1"/>
  <c r="AO362" i="17" s="1"/>
  <c r="AT362" i="17"/>
  <c r="AW362" i="17" s="1"/>
  <c r="AX362" i="17" s="1"/>
  <c r="AZ362" i="17" s="1"/>
  <c r="AU362" i="17"/>
  <c r="AV362" i="17" s="1"/>
  <c r="Y363" i="17"/>
  <c r="AB363" i="17" s="1"/>
  <c r="BE331" i="17"/>
  <c r="BF331" i="17" s="1"/>
  <c r="BG331" i="17" s="1"/>
  <c r="BJ331" i="17"/>
  <c r="AE363" i="17"/>
  <c r="AR361" i="17"/>
  <c r="Q491" i="17"/>
  <c r="S491" i="17" s="1"/>
  <c r="AQ361" i="17"/>
  <c r="O491" i="17"/>
  <c r="M492" i="17"/>
  <c r="P492" i="17" l="1"/>
  <c r="Q492" i="17" s="1"/>
  <c r="S492" i="17" s="1"/>
  <c r="BI331" i="17"/>
  <c r="BO331" i="17" s="1"/>
  <c r="BP331" i="17" s="1"/>
  <c r="Z363" i="17"/>
  <c r="U364" i="17" s="1"/>
  <c r="AC364" i="17" s="1"/>
  <c r="BC332" i="17"/>
  <c r="E492" i="17"/>
  <c r="L492" i="17" s="1"/>
  <c r="AP362" i="17"/>
  <c r="AF363" i="17"/>
  <c r="AG363" i="17" s="1"/>
  <c r="BN331" i="17" l="1"/>
  <c r="AF284" i="15" s="1"/>
  <c r="W364" i="17"/>
  <c r="AA364" i="17" s="1"/>
  <c r="AK364" i="17" s="1"/>
  <c r="AD364" i="17"/>
  <c r="AE364" i="17" s="1"/>
  <c r="AH363" i="17"/>
  <c r="AS363" i="17" s="1"/>
  <c r="AL363" i="17"/>
  <c r="BD332" i="17"/>
  <c r="BE332" i="17" s="1"/>
  <c r="BF332" i="17" s="1"/>
  <c r="BH332" i="17"/>
  <c r="AL78" i="15"/>
  <c r="AR362" i="17"/>
  <c r="N492" i="17"/>
  <c r="AQ362" i="17"/>
  <c r="BQ331" i="17" l="1"/>
  <c r="Y364" i="17"/>
  <c r="Z364" i="17" s="1"/>
  <c r="AT363" i="17"/>
  <c r="AW363" i="17" s="1"/>
  <c r="AU363" i="17"/>
  <c r="AV363" i="17" s="1"/>
  <c r="AY363" i="17"/>
  <c r="AM363" i="17"/>
  <c r="AN363" i="17" s="1"/>
  <c r="AO363" i="17" s="1"/>
  <c r="AP363" i="17" s="1"/>
  <c r="BG332" i="17"/>
  <c r="BI332" i="17"/>
  <c r="BK332" i="17"/>
  <c r="BL332" i="17" s="1"/>
  <c r="BM332" i="17" s="1"/>
  <c r="BJ332" i="17"/>
  <c r="O492" i="17"/>
  <c r="M493" i="17"/>
  <c r="E493" i="17" s="1"/>
  <c r="L493" i="17" s="1"/>
  <c r="AB364" i="17" l="1"/>
  <c r="AF364" i="17" s="1"/>
  <c r="AG364" i="17" s="1"/>
  <c r="AR363" i="17"/>
  <c r="AX363" i="17"/>
  <c r="AZ363" i="17" s="1"/>
  <c r="BO332" i="17"/>
  <c r="BP332" i="17" s="1"/>
  <c r="BN332" i="17"/>
  <c r="AF334" i="15" s="1"/>
  <c r="AQ363" i="17"/>
  <c r="BC333" i="17"/>
  <c r="BH333" i="17" s="1"/>
  <c r="U365" i="17"/>
  <c r="AC365" i="17" s="1"/>
  <c r="N493" i="17"/>
  <c r="P493" i="17"/>
  <c r="AH364" i="17" l="1"/>
  <c r="AS364" i="17" s="1"/>
  <c r="AL364" i="17"/>
  <c r="AY364" i="17" s="1"/>
  <c r="BD333" i="17"/>
  <c r="BE333" i="17" s="1"/>
  <c r="BF333" i="17" s="1"/>
  <c r="BG333" i="17" s="1"/>
  <c r="AL404" i="15"/>
  <c r="BQ332" i="17"/>
  <c r="AD365" i="17"/>
  <c r="O493" i="17"/>
  <c r="M494" i="17"/>
  <c r="E494" i="17" s="1"/>
  <c r="L494" i="17" s="1"/>
  <c r="Q493" i="17"/>
  <c r="S493" i="17" s="1"/>
  <c r="W365" i="17"/>
  <c r="AM364" i="17" l="1"/>
  <c r="AT364" i="17"/>
  <c r="AW364" i="17" s="1"/>
  <c r="AX364" i="17" s="1"/>
  <c r="AZ364" i="17" s="1"/>
  <c r="AU364" i="17"/>
  <c r="AV364" i="17" s="1"/>
  <c r="BK333" i="17"/>
  <c r="BL333" i="17" s="1"/>
  <c r="BM333" i="17" s="1"/>
  <c r="BJ333" i="17"/>
  <c r="BI333" i="17"/>
  <c r="BO333" i="17" s="1"/>
  <c r="BP333" i="17" s="1"/>
  <c r="BC334" i="17"/>
  <c r="P494" i="17"/>
  <c r="AN364" i="17"/>
  <c r="AO364" i="17" s="1"/>
  <c r="AP364" i="17" s="1"/>
  <c r="AE365" i="17"/>
  <c r="AA365" i="17"/>
  <c r="AK365" i="17" s="1"/>
  <c r="N494" i="17"/>
  <c r="Y365" i="17"/>
  <c r="AB365" i="17" s="1"/>
  <c r="BN333" i="17" l="1"/>
  <c r="AF381" i="15" s="1"/>
  <c r="BD334" i="17"/>
  <c r="BH334" i="17"/>
  <c r="AL405" i="15"/>
  <c r="AF365" i="17"/>
  <c r="AG365" i="17" s="1"/>
  <c r="AL365" i="17" s="1"/>
  <c r="AY365" i="17" s="1"/>
  <c r="AQ364" i="17"/>
  <c r="M495" i="17"/>
  <c r="O494" i="17"/>
  <c r="Z365" i="17"/>
  <c r="AR364" i="17"/>
  <c r="Q494" i="17"/>
  <c r="S494" i="17" s="1"/>
  <c r="BQ333" i="17" l="1"/>
  <c r="AH365" i="17"/>
  <c r="AS365" i="17" s="1"/>
  <c r="BK334" i="17"/>
  <c r="BL334" i="17" s="1"/>
  <c r="BM334" i="17" s="1"/>
  <c r="BJ334" i="17"/>
  <c r="BE334" i="17"/>
  <c r="BF334" i="17" s="1"/>
  <c r="P495" i="17"/>
  <c r="U366" i="17"/>
  <c r="AC366" i="17" s="1"/>
  <c r="AM365" i="17"/>
  <c r="E495" i="17"/>
  <c r="L495" i="17" s="1"/>
  <c r="AT365" i="17" l="1"/>
  <c r="AW365" i="17" s="1"/>
  <c r="AX365" i="17" s="1"/>
  <c r="AZ365" i="17" s="1"/>
  <c r="AU365" i="17"/>
  <c r="AV365" i="17" s="1"/>
  <c r="BG334" i="17"/>
  <c r="BI334" i="17"/>
  <c r="AN365" i="17"/>
  <c r="AD366" i="17"/>
  <c r="W366" i="17"/>
  <c r="AA366" i="17" s="1"/>
  <c r="AK366" i="17" s="1"/>
  <c r="N495" i="17"/>
  <c r="Q495" i="17"/>
  <c r="S495" i="17" s="1"/>
  <c r="BO334" i="17" l="1"/>
  <c r="BP334" i="17" s="1"/>
  <c r="BN334" i="17"/>
  <c r="AF414" i="15" s="1"/>
  <c r="BC335" i="17"/>
  <c r="O495" i="17"/>
  <c r="M496" i="17"/>
  <c r="Y366" i="17"/>
  <c r="AB366" i="17" s="1"/>
  <c r="AE366" i="17"/>
  <c r="AO365" i="17"/>
  <c r="BH335" i="17" l="1"/>
  <c r="AL406" i="15"/>
  <c r="BQ334" i="17"/>
  <c r="BD335" i="17"/>
  <c r="P496" i="17"/>
  <c r="Z366" i="17"/>
  <c r="AF366" i="17"/>
  <c r="AG366" i="17" s="1"/>
  <c r="E496" i="17"/>
  <c r="L496" i="17" s="1"/>
  <c r="AP365" i="17"/>
  <c r="AH366" i="17" l="1"/>
  <c r="AS366" i="17" s="1"/>
  <c r="AL366" i="17"/>
  <c r="AY366" i="17" s="1"/>
  <c r="BK335" i="17"/>
  <c r="BL335" i="17" s="1"/>
  <c r="BM335" i="17" s="1"/>
  <c r="BJ335" i="17"/>
  <c r="BE335" i="17"/>
  <c r="BF335" i="17" s="1"/>
  <c r="N496" i="17"/>
  <c r="U367" i="17"/>
  <c r="AC367" i="17" s="1"/>
  <c r="AR365" i="17"/>
  <c r="AQ365" i="17"/>
  <c r="Q496" i="17"/>
  <c r="S496" i="17" s="1"/>
  <c r="AM366" i="17" l="1"/>
  <c r="AN366" i="17" s="1"/>
  <c r="AO366" i="17" s="1"/>
  <c r="AT366" i="17"/>
  <c r="AW366" i="17" s="1"/>
  <c r="AX366" i="17" s="1"/>
  <c r="AZ366" i="17" s="1"/>
  <c r="AU366" i="17"/>
  <c r="AV366" i="17" s="1"/>
  <c r="BG335" i="17"/>
  <c r="BI335" i="17"/>
  <c r="AD367" i="17"/>
  <c r="W367" i="17"/>
  <c r="AA367" i="17" s="1"/>
  <c r="AK367" i="17" s="1"/>
  <c r="O496" i="17"/>
  <c r="M497" i="17"/>
  <c r="E497" i="17" s="1"/>
  <c r="L497" i="17" s="1"/>
  <c r="BO335" i="17" l="1"/>
  <c r="BP335" i="17" s="1"/>
  <c r="BN335" i="17"/>
  <c r="AF365" i="15" s="1"/>
  <c r="BC336" i="17"/>
  <c r="Y367" i="17"/>
  <c r="AB367" i="17" s="1"/>
  <c r="AP366" i="17"/>
  <c r="P497" i="17"/>
  <c r="Q497" i="17" s="1"/>
  <c r="AE367" i="17"/>
  <c r="N497" i="17"/>
  <c r="BD336" i="17" l="1"/>
  <c r="BE336" i="17" s="1"/>
  <c r="BF336" i="17" s="1"/>
  <c r="BH336" i="17"/>
  <c r="Z367" i="17"/>
  <c r="U368" i="17" s="1"/>
  <c r="AC368" i="17" s="1"/>
  <c r="AL76" i="15"/>
  <c r="BQ335" i="17"/>
  <c r="AF367" i="17"/>
  <c r="AG367" i="17" s="1"/>
  <c r="AR366" i="17"/>
  <c r="S497" i="17"/>
  <c r="O497" i="17"/>
  <c r="M498" i="17"/>
  <c r="E498" i="17" s="1"/>
  <c r="L498" i="17" s="1"/>
  <c r="AQ366" i="17"/>
  <c r="AH367" i="17" l="1"/>
  <c r="AS367" i="17" s="1"/>
  <c r="AL367" i="17"/>
  <c r="AY367" i="17" s="1"/>
  <c r="BG336" i="17"/>
  <c r="BI336" i="17"/>
  <c r="BK336" i="17"/>
  <c r="BL336" i="17" s="1"/>
  <c r="BM336" i="17" s="1"/>
  <c r="BJ336" i="17"/>
  <c r="N498" i="17"/>
  <c r="W368" i="17"/>
  <c r="AA368" i="17" s="1"/>
  <c r="AK368" i="17" s="1"/>
  <c r="P498" i="17"/>
  <c r="AD368" i="17"/>
  <c r="AM367" i="17" l="1"/>
  <c r="AN367" i="17" s="1"/>
  <c r="AO367" i="17" s="1"/>
  <c r="AP367" i="17" s="1"/>
  <c r="AT367" i="17"/>
  <c r="AW367" i="17" s="1"/>
  <c r="AX367" i="17" s="1"/>
  <c r="AZ367" i="17" s="1"/>
  <c r="AU367" i="17"/>
  <c r="AV367" i="17" s="1"/>
  <c r="BO336" i="17"/>
  <c r="BP336" i="17" s="1"/>
  <c r="BN336" i="17"/>
  <c r="AF249" i="15" s="1"/>
  <c r="BC337" i="17"/>
  <c r="BH337" i="17" s="1"/>
  <c r="AE368" i="17"/>
  <c r="Q498" i="17"/>
  <c r="S498" i="17" s="1"/>
  <c r="O498" i="17"/>
  <c r="M499" i="17"/>
  <c r="Y368" i="17"/>
  <c r="BD337" i="17" l="1"/>
  <c r="AL46" i="15"/>
  <c r="BQ336" i="17"/>
  <c r="P499" i="17"/>
  <c r="AB368" i="17"/>
  <c r="Z368" i="17"/>
  <c r="E499" i="17"/>
  <c r="L499" i="17" s="1"/>
  <c r="AR367" i="17"/>
  <c r="AQ367" i="17"/>
  <c r="BK337" i="17" l="1"/>
  <c r="BJ337" i="17"/>
  <c r="BE337" i="17"/>
  <c r="BF337" i="17" s="1"/>
  <c r="U369" i="17"/>
  <c r="AC369" i="17" s="1"/>
  <c r="N499" i="17"/>
  <c r="AF368" i="17"/>
  <c r="AG368" i="17" s="1"/>
  <c r="Q499" i="17"/>
  <c r="S499" i="17" s="1"/>
  <c r="AH368" i="17" l="1"/>
  <c r="AS368" i="17" s="1"/>
  <c r="AL368" i="17"/>
  <c r="AY368" i="17" s="1"/>
  <c r="BG337" i="17"/>
  <c r="BI337" i="17"/>
  <c r="BL337" i="17"/>
  <c r="BM337" i="17" s="1"/>
  <c r="AD369" i="17"/>
  <c r="O499" i="17"/>
  <c r="M500" i="17"/>
  <c r="W369" i="17"/>
  <c r="AA369" i="17" s="1"/>
  <c r="AK369" i="17" s="1"/>
  <c r="AM368" i="17" l="1"/>
  <c r="AN368" i="17" s="1"/>
  <c r="AO368" i="17" s="1"/>
  <c r="AP368" i="17" s="1"/>
  <c r="AT368" i="17"/>
  <c r="AW368" i="17" s="1"/>
  <c r="AX368" i="17" s="1"/>
  <c r="AZ368" i="17" s="1"/>
  <c r="AU368" i="17"/>
  <c r="AV368" i="17" s="1"/>
  <c r="BO337" i="17"/>
  <c r="BP337" i="17" s="1"/>
  <c r="BN337" i="17"/>
  <c r="AF291" i="15" s="1"/>
  <c r="BC338" i="17"/>
  <c r="P500" i="17"/>
  <c r="Y369" i="17"/>
  <c r="AB369" i="17" s="1"/>
  <c r="E500" i="17"/>
  <c r="L500" i="17" s="1"/>
  <c r="AE369" i="17"/>
  <c r="BD338" i="17" l="1"/>
  <c r="BE338" i="17" s="1"/>
  <c r="BF338" i="17" s="1"/>
  <c r="BH338" i="17"/>
  <c r="AL407" i="15"/>
  <c r="BQ337" i="17"/>
  <c r="Z369" i="17"/>
  <c r="U370" i="17" s="1"/>
  <c r="AC370" i="17" s="1"/>
  <c r="N500" i="17"/>
  <c r="AR368" i="17"/>
  <c r="AQ368" i="17"/>
  <c r="Q500" i="17"/>
  <c r="S500" i="17" s="1"/>
  <c r="AF369" i="17"/>
  <c r="AG369" i="17" s="1"/>
  <c r="AH369" i="17" l="1"/>
  <c r="AS369" i="17" s="1"/>
  <c r="AL369" i="17"/>
  <c r="AY369" i="17" s="1"/>
  <c r="BG338" i="17"/>
  <c r="BI338" i="17"/>
  <c r="BJ338" i="17"/>
  <c r="BK338" i="17"/>
  <c r="BL338" i="17" s="1"/>
  <c r="BM338" i="17" s="1"/>
  <c r="W370" i="17"/>
  <c r="AA370" i="17" s="1"/>
  <c r="AK370" i="17" s="1"/>
  <c r="O500" i="17"/>
  <c r="M501" i="17"/>
  <c r="E501" i="17" s="1"/>
  <c r="L501" i="17" s="1"/>
  <c r="AD370" i="17"/>
  <c r="AM369" i="17" l="1"/>
  <c r="AN369" i="17" s="1"/>
  <c r="AO369" i="17" s="1"/>
  <c r="AT369" i="17"/>
  <c r="AW369" i="17" s="1"/>
  <c r="AX369" i="17" s="1"/>
  <c r="AZ369" i="17" s="1"/>
  <c r="AU369" i="17"/>
  <c r="AV369" i="17" s="1"/>
  <c r="BO338" i="17"/>
  <c r="BP338" i="17" s="1"/>
  <c r="BN338" i="17"/>
  <c r="AF337" i="15" s="1"/>
  <c r="BC339" i="17"/>
  <c r="BH339" i="17" s="1"/>
  <c r="Y370" i="17"/>
  <c r="AB370" i="17" s="1"/>
  <c r="N501" i="17"/>
  <c r="AE370" i="17"/>
  <c r="P501" i="17"/>
  <c r="BD339" i="17" l="1"/>
  <c r="BK339" i="17" s="1"/>
  <c r="BL339" i="17" s="1"/>
  <c r="BM339" i="17" s="1"/>
  <c r="AL408" i="15"/>
  <c r="BQ338" i="17"/>
  <c r="Z370" i="17"/>
  <c r="U371" i="17" s="1"/>
  <c r="AC371" i="17" s="1"/>
  <c r="AF370" i="17"/>
  <c r="AG370" i="17" s="1"/>
  <c r="AL370" i="17" s="1"/>
  <c r="AY370" i="17" s="1"/>
  <c r="AP369" i="17"/>
  <c r="Q501" i="17"/>
  <c r="S501" i="17" s="1"/>
  <c r="O501" i="17"/>
  <c r="M502" i="17"/>
  <c r="AH370" i="17" l="1"/>
  <c r="AS370" i="17" s="1"/>
  <c r="AM370" i="17"/>
  <c r="AN370" i="17" s="1"/>
  <c r="AO370" i="17" s="1"/>
  <c r="BJ339" i="17"/>
  <c r="BE339" i="17"/>
  <c r="BF339" i="17" s="1"/>
  <c r="BG339" i="17" s="1"/>
  <c r="BC340" i="17" s="1"/>
  <c r="AQ369" i="17"/>
  <c r="AR369" i="17"/>
  <c r="W371" i="17"/>
  <c r="E502" i="17"/>
  <c r="L502" i="17" s="1"/>
  <c r="P502" i="17"/>
  <c r="AD371" i="17"/>
  <c r="AT370" i="17" l="1"/>
  <c r="AW370" i="17" s="1"/>
  <c r="AX370" i="17" s="1"/>
  <c r="AZ370" i="17" s="1"/>
  <c r="AU370" i="17"/>
  <c r="AV370" i="17" s="1"/>
  <c r="BI339" i="17"/>
  <c r="BD340" i="17"/>
  <c r="BE340" i="17" s="1"/>
  <c r="BF340" i="17" s="1"/>
  <c r="BH340" i="17"/>
  <c r="AE371" i="17"/>
  <c r="Q502" i="17"/>
  <c r="S502" i="17" s="1"/>
  <c r="AP370" i="17"/>
  <c r="N502" i="17"/>
  <c r="AA371" i="17"/>
  <c r="AK371" i="17" s="1"/>
  <c r="Y371" i="17"/>
  <c r="AB371" i="17" s="1"/>
  <c r="BN339" i="17" l="1"/>
  <c r="AF383" i="15" s="1"/>
  <c r="BO339" i="17"/>
  <c r="BP339" i="17" s="1"/>
  <c r="Z371" i="17"/>
  <c r="U372" i="17" s="1"/>
  <c r="AC372" i="17" s="1"/>
  <c r="BG340" i="17"/>
  <c r="BI340" i="17"/>
  <c r="BK340" i="17"/>
  <c r="BL340" i="17" s="1"/>
  <c r="BM340" i="17" s="1"/>
  <c r="BJ340" i="17"/>
  <c r="AF371" i="17"/>
  <c r="AG371" i="17" s="1"/>
  <c r="AR370" i="17"/>
  <c r="M503" i="17"/>
  <c r="E503" i="17" s="1"/>
  <c r="L503" i="17" s="1"/>
  <c r="O502" i="17"/>
  <c r="AQ370" i="17"/>
  <c r="AH371" i="17" l="1"/>
  <c r="AS371" i="17" s="1"/>
  <c r="AL371" i="17"/>
  <c r="AY371" i="17" s="1"/>
  <c r="BQ339" i="17"/>
  <c r="AL409" i="15"/>
  <c r="BC341" i="17"/>
  <c r="BD341" i="17" s="1"/>
  <c r="BO340" i="17"/>
  <c r="BP340" i="17" s="1"/>
  <c r="BN340" i="17"/>
  <c r="AF415" i="15" s="1"/>
  <c r="AD372" i="17"/>
  <c r="P503" i="17"/>
  <c r="W372" i="17"/>
  <c r="N503" i="17"/>
  <c r="AM371" i="17" l="1"/>
  <c r="AN371" i="17" s="1"/>
  <c r="AO371" i="17" s="1"/>
  <c r="AT371" i="17"/>
  <c r="AW371" i="17" s="1"/>
  <c r="AX371" i="17" s="1"/>
  <c r="AZ371" i="17" s="1"/>
  <c r="AU371" i="17"/>
  <c r="AV371" i="17" s="1"/>
  <c r="AL410" i="15"/>
  <c r="BQ340" i="17"/>
  <c r="BK341" i="17"/>
  <c r="BL341" i="17" s="1"/>
  <c r="BM341" i="17" s="1"/>
  <c r="BJ341" i="17"/>
  <c r="BE341" i="17"/>
  <c r="BF341" i="17" s="1"/>
  <c r="BH341" i="17"/>
  <c r="AA372" i="17"/>
  <c r="AK372" i="17" s="1"/>
  <c r="Y372" i="17"/>
  <c r="M504" i="17"/>
  <c r="O503" i="17"/>
  <c r="AE372" i="17"/>
  <c r="Q503" i="17"/>
  <c r="S503" i="17" s="1"/>
  <c r="BG341" i="17" l="1"/>
  <c r="BI341" i="17"/>
  <c r="P504" i="17"/>
  <c r="E504" i="17"/>
  <c r="L504" i="17" s="1"/>
  <c r="AP371" i="17"/>
  <c r="AB372" i="17"/>
  <c r="Z372" i="17"/>
  <c r="AQ371" i="17" l="1"/>
  <c r="BO341" i="17"/>
  <c r="BP341" i="17" s="1"/>
  <c r="BN341" i="17"/>
  <c r="AF458" i="15" s="1"/>
  <c r="BC342" i="17"/>
  <c r="BH342" i="17" s="1"/>
  <c r="U373" i="17"/>
  <c r="AC373" i="17" s="1"/>
  <c r="N504" i="17"/>
  <c r="Q504" i="17"/>
  <c r="S504" i="17" s="1"/>
  <c r="AF372" i="17"/>
  <c r="AG372" i="17" s="1"/>
  <c r="AL372" i="17" s="1"/>
  <c r="AY372" i="17" s="1"/>
  <c r="AR371" i="17"/>
  <c r="AH372" i="17" l="1"/>
  <c r="AS372" i="17" s="1"/>
  <c r="AL411" i="15"/>
  <c r="BQ341" i="17"/>
  <c r="BD342" i="17"/>
  <c r="BE342" i="17" s="1"/>
  <c r="AD373" i="17"/>
  <c r="W373" i="17"/>
  <c r="AA373" i="17" s="1"/>
  <c r="AK373" i="17" s="1"/>
  <c r="O504" i="17"/>
  <c r="M505" i="17"/>
  <c r="E505" i="17" s="1"/>
  <c r="L505" i="17" s="1"/>
  <c r="AM372" i="17"/>
  <c r="AT372" i="17" l="1"/>
  <c r="AW372" i="17" s="1"/>
  <c r="AX372" i="17" s="1"/>
  <c r="AZ372" i="17" s="1"/>
  <c r="AU372" i="17"/>
  <c r="AV372" i="17" s="1"/>
  <c r="BK342" i="17"/>
  <c r="BL342" i="17" s="1"/>
  <c r="BM342" i="17" s="1"/>
  <c r="BJ342" i="17"/>
  <c r="BF342" i="17"/>
  <c r="Y373" i="17"/>
  <c r="AB373" i="17" s="1"/>
  <c r="N505" i="17"/>
  <c r="AN372" i="17"/>
  <c r="P505" i="17"/>
  <c r="AE373" i="17"/>
  <c r="BG342" i="17" l="1"/>
  <c r="BI342" i="17"/>
  <c r="AF373" i="17"/>
  <c r="AG373" i="17" s="1"/>
  <c r="Z373" i="17"/>
  <c r="U374" i="17" s="1"/>
  <c r="AC374" i="17" s="1"/>
  <c r="AO372" i="17"/>
  <c r="Q505" i="17"/>
  <c r="S505" i="17" s="1"/>
  <c r="O505" i="17"/>
  <c r="M506" i="17"/>
  <c r="AH373" i="17" l="1"/>
  <c r="AS373" i="17" s="1"/>
  <c r="AL373" i="17"/>
  <c r="BC343" i="17"/>
  <c r="BH343" i="17" s="1"/>
  <c r="BO342" i="17"/>
  <c r="BP342" i="17" s="1"/>
  <c r="BN342" i="17"/>
  <c r="AF512" i="15" s="1"/>
  <c r="W374" i="17"/>
  <c r="E506" i="17"/>
  <c r="L506" i="17" s="1"/>
  <c r="P506" i="17"/>
  <c r="AD374" i="17"/>
  <c r="AP372" i="17"/>
  <c r="AY373" i="17" l="1"/>
  <c r="AM373" i="17"/>
  <c r="AN373" i="17" s="1"/>
  <c r="AT373" i="17"/>
  <c r="AW373" i="17" s="1"/>
  <c r="AX373" i="17" s="1"/>
  <c r="AZ373" i="17" s="1"/>
  <c r="AU373" i="17"/>
  <c r="AV373" i="17" s="1"/>
  <c r="BD343" i="17"/>
  <c r="BE343" i="17" s="1"/>
  <c r="BF343" i="17" s="1"/>
  <c r="AL412" i="15"/>
  <c r="BQ342" i="17"/>
  <c r="AR372" i="17"/>
  <c r="N506" i="17"/>
  <c r="AA374" i="17"/>
  <c r="AK374" i="17" s="1"/>
  <c r="Y374" i="17"/>
  <c r="AQ372" i="17"/>
  <c r="AE374" i="17"/>
  <c r="Q506" i="17"/>
  <c r="S506" i="17" s="1"/>
  <c r="AO373" i="17" l="1"/>
  <c r="AP373" i="17" s="1"/>
  <c r="BJ343" i="17"/>
  <c r="BK343" i="17"/>
  <c r="BL343" i="17" s="1"/>
  <c r="BM343" i="17" s="1"/>
  <c r="BG343" i="17"/>
  <c r="BC344" i="17" s="1"/>
  <c r="BH344" i="17" s="1"/>
  <c r="BI343" i="17"/>
  <c r="BO343" i="17" s="1"/>
  <c r="BP343" i="17" s="1"/>
  <c r="AB374" i="17"/>
  <c r="Z374" i="17"/>
  <c r="M507" i="17"/>
  <c r="E507" i="17" s="1"/>
  <c r="L507" i="17" s="1"/>
  <c r="O506" i="17"/>
  <c r="BN343" i="17" l="1"/>
  <c r="AF553" i="15" s="1"/>
  <c r="BD344" i="17"/>
  <c r="BK344" i="17" s="1"/>
  <c r="BL344" i="17" s="1"/>
  <c r="BM344" i="17" s="1"/>
  <c r="AL413" i="15"/>
  <c r="AR373" i="17"/>
  <c r="P507" i="17"/>
  <c r="AQ373" i="17"/>
  <c r="U375" i="17"/>
  <c r="AC375" i="17" s="1"/>
  <c r="N507" i="17"/>
  <c r="AF374" i="17"/>
  <c r="AG374" i="17" s="1"/>
  <c r="BQ343" i="17" l="1"/>
  <c r="BE344" i="17"/>
  <c r="BF344" i="17" s="1"/>
  <c r="BG344" i="17" s="1"/>
  <c r="AH374" i="17"/>
  <c r="AS374" i="17" s="1"/>
  <c r="AL374" i="17"/>
  <c r="AY374" i="17" s="1"/>
  <c r="BJ344" i="17"/>
  <c r="W375" i="17"/>
  <c r="AD375" i="17"/>
  <c r="Q507" i="17"/>
  <c r="S507" i="17" s="1"/>
  <c r="O507" i="17"/>
  <c r="M508" i="17"/>
  <c r="BI344" i="17" l="1"/>
  <c r="BN344" i="17" s="1"/>
  <c r="AF622" i="15" s="1"/>
  <c r="AM374" i="17"/>
  <c r="AN374" i="17" s="1"/>
  <c r="AO374" i="17" s="1"/>
  <c r="AT374" i="17"/>
  <c r="AW374" i="17" s="1"/>
  <c r="AX374" i="17" s="1"/>
  <c r="AZ374" i="17" s="1"/>
  <c r="AU374" i="17"/>
  <c r="AV374" i="17" s="1"/>
  <c r="P508" i="17"/>
  <c r="Q508" i="17" s="1"/>
  <c r="S508" i="17" s="1"/>
  <c r="BC345" i="17"/>
  <c r="BD345" i="17" s="1"/>
  <c r="AA375" i="17"/>
  <c r="AK375" i="17" s="1"/>
  <c r="Y375" i="17"/>
  <c r="E508" i="17"/>
  <c r="L508" i="17" s="1"/>
  <c r="AE375" i="17"/>
  <c r="BO344" i="17" l="1"/>
  <c r="BP344" i="17" s="1"/>
  <c r="BQ344" i="17" s="1"/>
  <c r="BK345" i="17"/>
  <c r="BL345" i="17" s="1"/>
  <c r="BM345" i="17" s="1"/>
  <c r="BJ345" i="17"/>
  <c r="BE345" i="17"/>
  <c r="BF345" i="17" s="1"/>
  <c r="BH345" i="17"/>
  <c r="N508" i="17"/>
  <c r="AB375" i="17"/>
  <c r="Z375" i="17"/>
  <c r="AP374" i="17"/>
  <c r="AL414" i="15" l="1"/>
  <c r="BG345" i="17"/>
  <c r="BI345" i="17"/>
  <c r="AQ374" i="17"/>
  <c r="O508" i="17"/>
  <c r="M509" i="17"/>
  <c r="E509" i="17" s="1"/>
  <c r="L509" i="17" s="1"/>
  <c r="U376" i="17"/>
  <c r="AC376" i="17" s="1"/>
  <c r="AF375" i="17"/>
  <c r="AG375" i="17" s="1"/>
  <c r="AR374" i="17"/>
  <c r="AH375" i="17" l="1"/>
  <c r="AS375" i="17" s="1"/>
  <c r="AL375" i="17"/>
  <c r="AY375" i="17" s="1"/>
  <c r="BO345" i="17"/>
  <c r="BP345" i="17" s="1"/>
  <c r="BN345" i="17"/>
  <c r="AF698" i="15" s="1"/>
  <c r="BC346" i="17"/>
  <c r="BH346" i="17" s="1"/>
  <c r="W376" i="17"/>
  <c r="AA376" i="17" s="1"/>
  <c r="AK376" i="17" s="1"/>
  <c r="N509" i="17"/>
  <c r="P509" i="17"/>
  <c r="AD376" i="17"/>
  <c r="AM375" i="17" l="1"/>
  <c r="AN375" i="17" s="1"/>
  <c r="AO375" i="17" s="1"/>
  <c r="Y376" i="17"/>
  <c r="AB376" i="17" s="1"/>
  <c r="BD346" i="17"/>
  <c r="BK346" i="17" s="1"/>
  <c r="BL346" i="17" s="1"/>
  <c r="BM346" i="17" s="1"/>
  <c r="AT375" i="17"/>
  <c r="AW375" i="17" s="1"/>
  <c r="AX375" i="17" s="1"/>
  <c r="AZ375" i="17" s="1"/>
  <c r="AU375" i="17"/>
  <c r="AV375" i="17" s="1"/>
  <c r="AL415" i="15"/>
  <c r="BQ345" i="17"/>
  <c r="Q509" i="17"/>
  <c r="S509" i="17" s="1"/>
  <c r="O509" i="17"/>
  <c r="M510" i="17"/>
  <c r="E510" i="17" s="1"/>
  <c r="L510" i="17" s="1"/>
  <c r="AE376" i="17"/>
  <c r="Z376" i="17" l="1"/>
  <c r="U377" i="17" s="1"/>
  <c r="AC377" i="17" s="1"/>
  <c r="BE346" i="17"/>
  <c r="BF346" i="17" s="1"/>
  <c r="BG346" i="17" s="1"/>
  <c r="BJ346" i="17"/>
  <c r="P510" i="17"/>
  <c r="Q510" i="17" s="1"/>
  <c r="S510" i="17" s="1"/>
  <c r="AP375" i="17"/>
  <c r="AR375" i="17" s="1"/>
  <c r="N510" i="17"/>
  <c r="AF376" i="17"/>
  <c r="AG376" i="17" s="1"/>
  <c r="BI346" i="17" l="1"/>
  <c r="BN346" i="17" s="1"/>
  <c r="AF719" i="15" s="1"/>
  <c r="AH376" i="17"/>
  <c r="AS376" i="17" s="1"/>
  <c r="AL376" i="17"/>
  <c r="AY376" i="17" s="1"/>
  <c r="BC347" i="17"/>
  <c r="AD377" i="17"/>
  <c r="W377" i="17"/>
  <c r="AA377" i="17" s="1"/>
  <c r="AK377" i="17" s="1"/>
  <c r="M511" i="17"/>
  <c r="E511" i="17" s="1"/>
  <c r="L511" i="17" s="1"/>
  <c r="O510" i="17"/>
  <c r="AQ375" i="17"/>
  <c r="BO346" i="17" l="1"/>
  <c r="BP346" i="17" s="1"/>
  <c r="AL416" i="15" s="1"/>
  <c r="AT376" i="17"/>
  <c r="AW376" i="17" s="1"/>
  <c r="AX376" i="17" s="1"/>
  <c r="AZ376" i="17" s="1"/>
  <c r="AU376" i="17"/>
  <c r="AV376" i="17" s="1"/>
  <c r="N511" i="17"/>
  <c r="O511" i="17" s="1"/>
  <c r="AM376" i="17"/>
  <c r="AN376" i="17" s="1"/>
  <c r="AO376" i="17" s="1"/>
  <c r="AP376" i="17" s="1"/>
  <c r="BD347" i="17"/>
  <c r="BE347" i="17" s="1"/>
  <c r="BF347" i="17" s="1"/>
  <c r="BH347" i="17"/>
  <c r="AE377" i="17"/>
  <c r="Y377" i="17"/>
  <c r="AB377" i="17" s="1"/>
  <c r="P511" i="17"/>
  <c r="BQ346" i="17" l="1"/>
  <c r="M512" i="17"/>
  <c r="E512" i="17" s="1"/>
  <c r="L512" i="17" s="1"/>
  <c r="N512" i="17" s="1"/>
  <c r="BG347" i="17"/>
  <c r="BI347" i="17"/>
  <c r="BK347" i="17"/>
  <c r="BL347" i="17" s="1"/>
  <c r="BM347" i="17" s="1"/>
  <c r="BJ347" i="17"/>
  <c r="AQ376" i="17"/>
  <c r="Q511" i="17"/>
  <c r="S511" i="17" s="1"/>
  <c r="AR376" i="17"/>
  <c r="AF377" i="17"/>
  <c r="AG377" i="17" s="1"/>
  <c r="Z377" i="17"/>
  <c r="AH377" i="17" l="1"/>
  <c r="AS377" i="17" s="1"/>
  <c r="AL377" i="17"/>
  <c r="AY377" i="17" s="1"/>
  <c r="BO347" i="17"/>
  <c r="BP347" i="17" s="1"/>
  <c r="BN347" i="17"/>
  <c r="AF724" i="15" s="1"/>
  <c r="BC348" i="17"/>
  <c r="BD348" i="17" s="1"/>
  <c r="P512" i="17"/>
  <c r="Q512" i="17" s="1"/>
  <c r="S512" i="17" s="1"/>
  <c r="U378" i="17"/>
  <c r="AC378" i="17" s="1"/>
  <c r="M513" i="17"/>
  <c r="E513" i="17" s="1"/>
  <c r="L513" i="17" s="1"/>
  <c r="O512" i="17"/>
  <c r="AM377" i="17" l="1"/>
  <c r="AT377" i="17"/>
  <c r="AW377" i="17" s="1"/>
  <c r="AX377" i="17" s="1"/>
  <c r="AZ377" i="17" s="1"/>
  <c r="AU377" i="17"/>
  <c r="AV377" i="17" s="1"/>
  <c r="BK348" i="17"/>
  <c r="BL348" i="17" s="1"/>
  <c r="BM348" i="17" s="1"/>
  <c r="BJ348" i="17"/>
  <c r="BH348" i="17"/>
  <c r="BE348" i="17"/>
  <c r="BF348" i="17" s="1"/>
  <c r="AL417" i="15"/>
  <c r="BQ347" i="17"/>
  <c r="W378" i="17"/>
  <c r="AA378" i="17" s="1"/>
  <c r="AK378" i="17" s="1"/>
  <c r="P513" i="17"/>
  <c r="N513" i="17"/>
  <c r="AN377" i="17"/>
  <c r="AD378" i="17"/>
  <c r="Y378" i="17" l="1"/>
  <c r="AB378" i="17" s="1"/>
  <c r="BG348" i="17"/>
  <c r="BI348" i="17"/>
  <c r="AE378" i="17"/>
  <c r="Q513" i="17"/>
  <c r="S513" i="17" s="1"/>
  <c r="AO377" i="17"/>
  <c r="O513" i="17"/>
  <c r="M514" i="17"/>
  <c r="P514" i="17" l="1"/>
  <c r="Q514" i="17" s="1"/>
  <c r="S514" i="17" s="1"/>
  <c r="Z378" i="17"/>
  <c r="U379" i="17" s="1"/>
  <c r="AC379" i="17" s="1"/>
  <c r="AF378" i="17"/>
  <c r="AG378" i="17" s="1"/>
  <c r="BO348" i="17"/>
  <c r="BP348" i="17" s="1"/>
  <c r="BN348" i="17"/>
  <c r="AF728" i="15" s="1"/>
  <c r="BC349" i="17"/>
  <c r="E514" i="17"/>
  <c r="L514" i="17" s="1"/>
  <c r="AP377" i="17"/>
  <c r="AQ377" i="17" s="1"/>
  <c r="AH378" i="17" l="1"/>
  <c r="AS378" i="17" s="1"/>
  <c r="AL378" i="17"/>
  <c r="W379" i="17"/>
  <c r="AA379" i="17" s="1"/>
  <c r="AK379" i="17" s="1"/>
  <c r="BD349" i="17"/>
  <c r="BH349" i="17"/>
  <c r="AL418" i="15"/>
  <c r="BQ348" i="17"/>
  <c r="N514" i="17"/>
  <c r="AR377" i="17"/>
  <c r="AD379" i="17"/>
  <c r="AY378" i="17" l="1"/>
  <c r="AM378" i="17"/>
  <c r="AN378" i="17" s="1"/>
  <c r="AT378" i="17"/>
  <c r="AW378" i="17" s="1"/>
  <c r="AX378" i="17" s="1"/>
  <c r="AZ378" i="17" s="1"/>
  <c r="AU378" i="17"/>
  <c r="AV378" i="17" s="1"/>
  <c r="BK349" i="17"/>
  <c r="BL349" i="17" s="1"/>
  <c r="BM349" i="17" s="1"/>
  <c r="BJ349" i="17"/>
  <c r="Y379" i="17"/>
  <c r="AB379" i="17" s="1"/>
  <c r="BE349" i="17"/>
  <c r="BF349" i="17" s="1"/>
  <c r="AE379" i="17"/>
  <c r="M515" i="17"/>
  <c r="E515" i="17" s="1"/>
  <c r="L515" i="17" s="1"/>
  <c r="O514" i="17"/>
  <c r="AO378" i="17" l="1"/>
  <c r="AP378" i="17" s="1"/>
  <c r="AF379" i="17"/>
  <c r="AG379" i="17" s="1"/>
  <c r="AL379" i="17" s="1"/>
  <c r="AY379" i="17" s="1"/>
  <c r="Z379" i="17"/>
  <c r="U380" i="17" s="1"/>
  <c r="AC380" i="17" s="1"/>
  <c r="BG349" i="17"/>
  <c r="BI349" i="17"/>
  <c r="P515" i="17"/>
  <c r="N515" i="17"/>
  <c r="AM379" i="17" l="1"/>
  <c r="AN379" i="17" s="1"/>
  <c r="AH379" i="17"/>
  <c r="AS379" i="17" s="1"/>
  <c r="BO349" i="17"/>
  <c r="BP349" i="17" s="1"/>
  <c r="AL419" i="15" s="1"/>
  <c r="BN349" i="17"/>
  <c r="W380" i="17"/>
  <c r="AA380" i="17" s="1"/>
  <c r="AK380" i="17" s="1"/>
  <c r="BC350" i="17"/>
  <c r="M516" i="17"/>
  <c r="E516" i="17" s="1"/>
  <c r="L516" i="17" s="1"/>
  <c r="O515" i="17"/>
  <c r="AR378" i="17"/>
  <c r="AQ378" i="17"/>
  <c r="AD380" i="17"/>
  <c r="Q515" i="17"/>
  <c r="S515" i="17" s="1"/>
  <c r="AT379" i="17" l="1"/>
  <c r="AW379" i="17" s="1"/>
  <c r="AX379" i="17" s="1"/>
  <c r="AZ379" i="17" s="1"/>
  <c r="AU379" i="17"/>
  <c r="AV379" i="17" s="1"/>
  <c r="Y380" i="17"/>
  <c r="AB380" i="17" s="1"/>
  <c r="P516" i="17"/>
  <c r="Q516" i="17" s="1"/>
  <c r="S516" i="17" s="1"/>
  <c r="BH350" i="17"/>
  <c r="BQ349" i="17"/>
  <c r="AF730" i="15"/>
  <c r="BD350" i="17"/>
  <c r="AE380" i="17"/>
  <c r="N516" i="17"/>
  <c r="AO379" i="17"/>
  <c r="AP379" i="17" s="1"/>
  <c r="Z380" i="17" l="1"/>
  <c r="U381" i="17" s="1"/>
  <c r="AC381" i="17" s="1"/>
  <c r="AD381" i="17" s="1"/>
  <c r="AF380" i="17"/>
  <c r="AG380" i="17" s="1"/>
  <c r="BK350" i="17"/>
  <c r="BL350" i="17" s="1"/>
  <c r="BM350" i="17" s="1"/>
  <c r="BJ350" i="17"/>
  <c r="BE350" i="17"/>
  <c r="BF350" i="17" s="1"/>
  <c r="AQ379" i="17"/>
  <c r="AR379" i="17"/>
  <c r="O516" i="17"/>
  <c r="M517" i="17"/>
  <c r="W381" i="17" l="1"/>
  <c r="AA381" i="17" s="1"/>
  <c r="AK381" i="17" s="1"/>
  <c r="AH380" i="17"/>
  <c r="AS380" i="17" s="1"/>
  <c r="AL380" i="17"/>
  <c r="AY380" i="17" s="1"/>
  <c r="BG350" i="17"/>
  <c r="BI350" i="17"/>
  <c r="P517" i="17"/>
  <c r="E517" i="17"/>
  <c r="L517" i="17" s="1"/>
  <c r="AE381" i="17"/>
  <c r="Y381" i="17" l="1"/>
  <c r="AB381" i="17" s="1"/>
  <c r="AF381" i="17" s="1"/>
  <c r="AG381" i="17" s="1"/>
  <c r="AM380" i="17"/>
  <c r="AN380" i="17" s="1"/>
  <c r="AT380" i="17"/>
  <c r="AW380" i="17" s="1"/>
  <c r="AU380" i="17"/>
  <c r="AV380" i="17" s="1"/>
  <c r="BO350" i="17"/>
  <c r="BP350" i="17" s="1"/>
  <c r="BN350" i="17"/>
  <c r="AF732" i="15" s="1"/>
  <c r="BC351" i="17"/>
  <c r="Q517" i="17"/>
  <c r="S517" i="17" s="1"/>
  <c r="N517" i="17"/>
  <c r="Z381" i="17" l="1"/>
  <c r="U382" i="17" s="1"/>
  <c r="AC382" i="17" s="1"/>
  <c r="AD382" i="17" s="1"/>
  <c r="AH381" i="17"/>
  <c r="AS381" i="17" s="1"/>
  <c r="AT381" i="17" s="1"/>
  <c r="AL381" i="17"/>
  <c r="AY381" i="17" s="1"/>
  <c r="AX380" i="17"/>
  <c r="AZ380" i="17" s="1"/>
  <c r="AO380" i="17"/>
  <c r="AP380" i="17" s="1"/>
  <c r="AR380" i="17" s="1"/>
  <c r="BD351" i="17"/>
  <c r="BH351" i="17"/>
  <c r="AL420" i="15"/>
  <c r="BQ350" i="17"/>
  <c r="O517" i="17"/>
  <c r="M518" i="17"/>
  <c r="E518" i="17" s="1"/>
  <c r="L518" i="17" s="1"/>
  <c r="W382" i="17" l="1"/>
  <c r="AA382" i="17" s="1"/>
  <c r="AK382" i="17" s="1"/>
  <c r="AU381" i="17"/>
  <c r="AV381" i="17" s="1"/>
  <c r="AM381" i="17"/>
  <c r="AN381" i="17" s="1"/>
  <c r="AQ380" i="17"/>
  <c r="AW381" i="17"/>
  <c r="AX381" i="17" s="1"/>
  <c r="AZ381" i="17" s="1"/>
  <c r="BK351" i="17"/>
  <c r="BL351" i="17" s="1"/>
  <c r="BM351" i="17" s="1"/>
  <c r="BJ351" i="17"/>
  <c r="BE351" i="17"/>
  <c r="BF351" i="17" s="1"/>
  <c r="Y382" i="17"/>
  <c r="AB382" i="17" s="1"/>
  <c r="N518" i="17"/>
  <c r="P518" i="17"/>
  <c r="AE382" i="17"/>
  <c r="AO381" i="17" l="1"/>
  <c r="AP381" i="17" s="1"/>
  <c r="BG351" i="17"/>
  <c r="BI351" i="17"/>
  <c r="AF382" i="17"/>
  <c r="AG382" i="17" s="1"/>
  <c r="AL382" i="17" s="1"/>
  <c r="AY382" i="17" s="1"/>
  <c r="Z382" i="17"/>
  <c r="Q518" i="17"/>
  <c r="S518" i="17" s="1"/>
  <c r="M519" i="17"/>
  <c r="O518" i="17"/>
  <c r="AH382" i="17" l="1"/>
  <c r="AS382" i="17" s="1"/>
  <c r="BO351" i="17"/>
  <c r="BP351" i="17" s="1"/>
  <c r="BN351" i="17"/>
  <c r="AF733" i="15" s="1"/>
  <c r="BC352" i="17"/>
  <c r="BH352" i="17" s="1"/>
  <c r="P519" i="17"/>
  <c r="Q519" i="17" s="1"/>
  <c r="S519" i="17" s="1"/>
  <c r="E519" i="17"/>
  <c r="L519" i="17" s="1"/>
  <c r="N519" i="17" s="1"/>
  <c r="M520" i="17" s="1"/>
  <c r="AR381" i="17"/>
  <c r="AQ381" i="17"/>
  <c r="U383" i="17"/>
  <c r="AC383" i="17" s="1"/>
  <c r="AM382" i="17"/>
  <c r="AT382" i="17" l="1"/>
  <c r="AW382" i="17" s="1"/>
  <c r="AX382" i="17" s="1"/>
  <c r="AZ382" i="17" s="1"/>
  <c r="AU382" i="17"/>
  <c r="AV382" i="17" s="1"/>
  <c r="O519" i="17"/>
  <c r="BD352" i="17"/>
  <c r="BE352" i="17" s="1"/>
  <c r="BF352" i="17" s="1"/>
  <c r="AL421" i="15"/>
  <c r="BQ351" i="17"/>
  <c r="W383" i="17"/>
  <c r="AA383" i="17" s="1"/>
  <c r="AK383" i="17" s="1"/>
  <c r="AN382" i="17"/>
  <c r="AO382" i="17" s="1"/>
  <c r="E520" i="17"/>
  <c r="L520" i="17" s="1"/>
  <c r="AD383" i="17"/>
  <c r="P520" i="17"/>
  <c r="BG352" i="17" l="1"/>
  <c r="BI352" i="17"/>
  <c r="BK352" i="17"/>
  <c r="BL352" i="17" s="1"/>
  <c r="BM352" i="17" s="1"/>
  <c r="BJ352" i="17"/>
  <c r="Y383" i="17"/>
  <c r="AB383" i="17" s="1"/>
  <c r="AP382" i="17"/>
  <c r="N520" i="17"/>
  <c r="AE383" i="17"/>
  <c r="Q520" i="17"/>
  <c r="S520" i="17" s="1"/>
  <c r="BO352" i="17" l="1"/>
  <c r="BP352" i="17" s="1"/>
  <c r="BN352" i="17"/>
  <c r="AF734" i="15" s="1"/>
  <c r="Z383" i="17"/>
  <c r="U384" i="17" s="1"/>
  <c r="AC384" i="17" s="1"/>
  <c r="BC353" i="17"/>
  <c r="AF383" i="17"/>
  <c r="AG383" i="17" s="1"/>
  <c r="AR382" i="17"/>
  <c r="O520" i="17"/>
  <c r="M521" i="17"/>
  <c r="AQ382" i="17"/>
  <c r="AH383" i="17" l="1"/>
  <c r="AS383" i="17" s="1"/>
  <c r="AL383" i="17"/>
  <c r="AL422" i="15"/>
  <c r="BQ352" i="17"/>
  <c r="BD353" i="17"/>
  <c r="BH353" i="17"/>
  <c r="P521" i="17"/>
  <c r="AD384" i="17"/>
  <c r="W384" i="17"/>
  <c r="AA384" i="17" s="1"/>
  <c r="AK384" i="17" s="1"/>
  <c r="E521" i="17"/>
  <c r="L521" i="17" s="1"/>
  <c r="AY383" i="17" l="1"/>
  <c r="AM383" i="17"/>
  <c r="AN383" i="17" s="1"/>
  <c r="AT383" i="17"/>
  <c r="AW383" i="17" s="1"/>
  <c r="AX383" i="17" s="1"/>
  <c r="AZ383" i="17" s="1"/>
  <c r="AU383" i="17"/>
  <c r="AV383" i="17" s="1"/>
  <c r="BK353" i="17"/>
  <c r="BL353" i="17" s="1"/>
  <c r="BM353" i="17" s="1"/>
  <c r="BJ353" i="17"/>
  <c r="BE353" i="17"/>
  <c r="BF353" i="17" s="1"/>
  <c r="N521" i="17"/>
  <c r="AE384" i="17"/>
  <c r="Q521" i="17"/>
  <c r="S521" i="17" s="1"/>
  <c r="Y384" i="17"/>
  <c r="AB384" i="17" s="1"/>
  <c r="AO383" i="17" l="1"/>
  <c r="AP383" i="17" s="1"/>
  <c r="BG353" i="17"/>
  <c r="BI353" i="17"/>
  <c r="AF384" i="17"/>
  <c r="AG384" i="17" s="1"/>
  <c r="O521" i="17"/>
  <c r="M522" i="17"/>
  <c r="Z384" i="17"/>
  <c r="AH384" i="17" l="1"/>
  <c r="AS384" i="17" s="1"/>
  <c r="AL384" i="17"/>
  <c r="AY384" i="17" s="1"/>
  <c r="BC354" i="17"/>
  <c r="BH354" i="17" s="1"/>
  <c r="BO353" i="17"/>
  <c r="BP353" i="17" s="1"/>
  <c r="BN353" i="17"/>
  <c r="AF705" i="15" s="1"/>
  <c r="U385" i="17"/>
  <c r="AC385" i="17" s="1"/>
  <c r="AR383" i="17"/>
  <c r="AQ383" i="17"/>
  <c r="P522" i="17"/>
  <c r="E522" i="17"/>
  <c r="L522" i="17" s="1"/>
  <c r="AM384" i="17" l="1"/>
  <c r="AT384" i="17"/>
  <c r="AW384" i="17" s="1"/>
  <c r="AX384" i="17" s="1"/>
  <c r="AZ384" i="17" s="1"/>
  <c r="AU384" i="17"/>
  <c r="AV384" i="17" s="1"/>
  <c r="BD354" i="17"/>
  <c r="BE354" i="17" s="1"/>
  <c r="AL108" i="15"/>
  <c r="BQ353" i="17"/>
  <c r="N522" i="17"/>
  <c r="AD385" i="17"/>
  <c r="AN384" i="17"/>
  <c r="W385" i="17"/>
  <c r="Q522" i="17"/>
  <c r="S522" i="17" s="1"/>
  <c r="BK354" i="17" l="1"/>
  <c r="BL354" i="17" s="1"/>
  <c r="BM354" i="17" s="1"/>
  <c r="BJ354" i="17"/>
  <c r="BF354" i="17"/>
  <c r="BG354" i="17" s="1"/>
  <c r="BC355" i="17" s="1"/>
  <c r="BH355" i="17" s="1"/>
  <c r="AO384" i="17"/>
  <c r="AP384" i="17" s="1"/>
  <c r="AE385" i="17"/>
  <c r="O522" i="17"/>
  <c r="M523" i="17"/>
  <c r="E523" i="17" s="1"/>
  <c r="L523" i="17" s="1"/>
  <c r="AA385" i="17"/>
  <c r="AK385" i="17" s="1"/>
  <c r="Y385" i="17"/>
  <c r="BI354" i="17" l="1"/>
  <c r="BO354" i="17" s="1"/>
  <c r="BP354" i="17" s="1"/>
  <c r="AL423" i="15" s="1"/>
  <c r="BD355" i="17"/>
  <c r="BE355" i="17" s="1"/>
  <c r="BF355" i="17" s="1"/>
  <c r="N523" i="17"/>
  <c r="P523" i="17"/>
  <c r="AQ384" i="17"/>
  <c r="AB385" i="17"/>
  <c r="Z385" i="17"/>
  <c r="AR384" i="17"/>
  <c r="BN354" i="17" l="1"/>
  <c r="AF723" i="15" s="1"/>
  <c r="BG355" i="17"/>
  <c r="BI355" i="17"/>
  <c r="BK355" i="17"/>
  <c r="BJ355" i="17"/>
  <c r="U386" i="17"/>
  <c r="AC386" i="17" s="1"/>
  <c r="O523" i="17"/>
  <c r="M524" i="17"/>
  <c r="E524" i="17" s="1"/>
  <c r="L524" i="17" s="1"/>
  <c r="AF385" i="17"/>
  <c r="AG385" i="17" s="1"/>
  <c r="Q523" i="17"/>
  <c r="S523" i="17" s="1"/>
  <c r="BQ354" i="17" l="1"/>
  <c r="AH385" i="17"/>
  <c r="AS385" i="17" s="1"/>
  <c r="AL385" i="17"/>
  <c r="AY385" i="17" s="1"/>
  <c r="P524" i="17"/>
  <c r="Q524" i="17" s="1"/>
  <c r="S524" i="17" s="1"/>
  <c r="BL355" i="17"/>
  <c r="BM355" i="17" s="1"/>
  <c r="BO355" i="17"/>
  <c r="BP355" i="17" s="1"/>
  <c r="BC356" i="17"/>
  <c r="BH356" i="17" s="1"/>
  <c r="N524" i="17"/>
  <c r="AD386" i="17"/>
  <c r="W386" i="17"/>
  <c r="AT385" i="17" l="1"/>
  <c r="AW385" i="17" s="1"/>
  <c r="AX385" i="17" s="1"/>
  <c r="AZ385" i="17" s="1"/>
  <c r="AU385" i="17"/>
  <c r="AV385" i="17" s="1"/>
  <c r="AM385" i="17"/>
  <c r="AN385" i="17" s="1"/>
  <c r="AO385" i="17" s="1"/>
  <c r="AL424" i="15"/>
  <c r="BD356" i="17"/>
  <c r="BN355" i="17"/>
  <c r="AF735" i="15" s="1"/>
  <c r="AA386" i="17"/>
  <c r="AK386" i="17" s="1"/>
  <c r="Y386" i="17"/>
  <c r="AB386" i="17" s="1"/>
  <c r="AE386" i="17"/>
  <c r="O524" i="17"/>
  <c r="M525" i="17"/>
  <c r="BQ355" i="17" l="1"/>
  <c r="BJ356" i="17"/>
  <c r="BE356" i="17"/>
  <c r="BF356" i="17" s="1"/>
  <c r="BK356" i="17"/>
  <c r="Z386" i="17"/>
  <c r="U387" i="17" s="1"/>
  <c r="AC387" i="17" s="1"/>
  <c r="P525" i="17"/>
  <c r="AF386" i="17"/>
  <c r="AG386" i="17" s="1"/>
  <c r="AP385" i="17"/>
  <c r="E525" i="17"/>
  <c r="L525" i="17" s="1"/>
  <c r="AH386" i="17" l="1"/>
  <c r="AS386" i="17" s="1"/>
  <c r="AL386" i="17"/>
  <c r="AY386" i="17" s="1"/>
  <c r="BL356" i="17"/>
  <c r="BM356" i="17" s="1"/>
  <c r="BG356" i="17"/>
  <c r="BI356" i="17"/>
  <c r="AR385" i="17"/>
  <c r="AQ385" i="17"/>
  <c r="N525" i="17"/>
  <c r="W387" i="17"/>
  <c r="AA387" i="17" s="1"/>
  <c r="AK387" i="17" s="1"/>
  <c r="AD387" i="17"/>
  <c r="Q525" i="17"/>
  <c r="S525" i="17" s="1"/>
  <c r="AM386" i="17" l="1"/>
  <c r="AN386" i="17" s="1"/>
  <c r="AT386" i="17"/>
  <c r="AW386" i="17" s="1"/>
  <c r="AX386" i="17" s="1"/>
  <c r="AZ386" i="17" s="1"/>
  <c r="AU386" i="17"/>
  <c r="AV386" i="17" s="1"/>
  <c r="BO356" i="17"/>
  <c r="BP356" i="17" s="1"/>
  <c r="BN356" i="17"/>
  <c r="AF619" i="15" s="1"/>
  <c r="BC357" i="17"/>
  <c r="Y387" i="17"/>
  <c r="AB387" i="17" s="1"/>
  <c r="O525" i="17"/>
  <c r="M526" i="17"/>
  <c r="AE387" i="17"/>
  <c r="Z387" i="17" l="1"/>
  <c r="U388" i="17" s="1"/>
  <c r="AC388" i="17" s="1"/>
  <c r="BD357" i="17"/>
  <c r="BH357" i="17"/>
  <c r="AL72" i="15"/>
  <c r="BQ356" i="17"/>
  <c r="P526" i="17"/>
  <c r="E526" i="17"/>
  <c r="L526" i="17" s="1"/>
  <c r="AF387" i="17"/>
  <c r="AG387" i="17" s="1"/>
  <c r="AO386" i="17"/>
  <c r="AH387" i="17" l="1"/>
  <c r="AS387" i="17" s="1"/>
  <c r="AL387" i="17"/>
  <c r="AY387" i="17" s="1"/>
  <c r="BJ357" i="17"/>
  <c r="BK357" i="17"/>
  <c r="BL357" i="17" s="1"/>
  <c r="BM357" i="17" s="1"/>
  <c r="BE357" i="17"/>
  <c r="BF357" i="17" s="1"/>
  <c r="N526" i="17"/>
  <c r="Q526" i="17"/>
  <c r="S526" i="17" s="1"/>
  <c r="AD388" i="17"/>
  <c r="W388" i="17"/>
  <c r="AA388" i="17" s="1"/>
  <c r="AK388" i="17" s="1"/>
  <c r="AP386" i="17"/>
  <c r="AQ386" i="17" s="1"/>
  <c r="AM387" i="17" l="1"/>
  <c r="AN387" i="17" s="1"/>
  <c r="AT387" i="17"/>
  <c r="AW387" i="17" s="1"/>
  <c r="AX387" i="17" s="1"/>
  <c r="AZ387" i="17" s="1"/>
  <c r="AU387" i="17"/>
  <c r="AV387" i="17" s="1"/>
  <c r="BG357" i="17"/>
  <c r="BI357" i="17"/>
  <c r="Y388" i="17"/>
  <c r="AB388" i="17" s="1"/>
  <c r="AE388" i="17"/>
  <c r="M527" i="17"/>
  <c r="E527" i="17" s="1"/>
  <c r="L527" i="17" s="1"/>
  <c r="O526" i="17"/>
  <c r="AR386" i="17"/>
  <c r="AO387" i="17" l="1"/>
  <c r="AP387" i="17" s="1"/>
  <c r="AQ387" i="17" s="1"/>
  <c r="BO357" i="17"/>
  <c r="BP357" i="17" s="1"/>
  <c r="BN357" i="17"/>
  <c r="AF646" i="15" s="1"/>
  <c r="AF388" i="17"/>
  <c r="AG388" i="17" s="1"/>
  <c r="AH388" i="17" s="1"/>
  <c r="AS388" i="17" s="1"/>
  <c r="AT388" i="17" s="1"/>
  <c r="AW388" i="17" s="1"/>
  <c r="AX388" i="17" s="1"/>
  <c r="AZ388" i="17" s="1"/>
  <c r="BC358" i="17"/>
  <c r="BH358" i="17" s="1"/>
  <c r="Z388" i="17"/>
  <c r="U389" i="17" s="1"/>
  <c r="AC389" i="17" s="1"/>
  <c r="P527" i="17"/>
  <c r="N527" i="17"/>
  <c r="AR387" i="17" l="1"/>
  <c r="AL388" i="17"/>
  <c r="AY388" i="17" s="1"/>
  <c r="AU388" i="17"/>
  <c r="AV388" i="17" s="1"/>
  <c r="BD358" i="17"/>
  <c r="BE358" i="17" s="1"/>
  <c r="BF358" i="17" s="1"/>
  <c r="W389" i="17"/>
  <c r="AA389" i="17" s="1"/>
  <c r="AK389" i="17" s="1"/>
  <c r="AL425" i="15"/>
  <c r="BQ357" i="17"/>
  <c r="AD389" i="17"/>
  <c r="AE389" i="17" s="1"/>
  <c r="O527" i="17"/>
  <c r="M528" i="17"/>
  <c r="E528" i="17" s="1"/>
  <c r="L528" i="17" s="1"/>
  <c r="Q527" i="17"/>
  <c r="S527" i="17" s="1"/>
  <c r="AM388" i="17" l="1"/>
  <c r="AN388" i="17" s="1"/>
  <c r="AO388" i="17" s="1"/>
  <c r="AP388" i="17" s="1"/>
  <c r="Y389" i="17"/>
  <c r="AB389" i="17" s="1"/>
  <c r="AF389" i="17" s="1"/>
  <c r="AG389" i="17" s="1"/>
  <c r="BJ358" i="17"/>
  <c r="BK358" i="17"/>
  <c r="BL358" i="17" s="1"/>
  <c r="BM358" i="17" s="1"/>
  <c r="BG358" i="17"/>
  <c r="BI358" i="17"/>
  <c r="N528" i="17"/>
  <c r="P528" i="17"/>
  <c r="Q528" i="17" s="1"/>
  <c r="Z389" i="17" l="1"/>
  <c r="U390" i="17" s="1"/>
  <c r="AC390" i="17" s="1"/>
  <c r="AD390" i="17" s="1"/>
  <c r="AH389" i="17"/>
  <c r="AS389" i="17" s="1"/>
  <c r="AL389" i="17"/>
  <c r="AY389" i="17" s="1"/>
  <c r="BO358" i="17"/>
  <c r="BP358" i="17" s="1"/>
  <c r="BN358" i="17"/>
  <c r="AF701" i="15" s="1"/>
  <c r="BC359" i="17"/>
  <c r="BH359" i="17" s="1"/>
  <c r="S528" i="17"/>
  <c r="AR388" i="17"/>
  <c r="AQ388" i="17"/>
  <c r="M529" i="17"/>
  <c r="O528" i="17"/>
  <c r="W390" i="17" l="1"/>
  <c r="AA390" i="17" s="1"/>
  <c r="AK390" i="17" s="1"/>
  <c r="AM389" i="17"/>
  <c r="AN389" i="17" s="1"/>
  <c r="AO389" i="17" s="1"/>
  <c r="AT389" i="17"/>
  <c r="AW389" i="17" s="1"/>
  <c r="AX389" i="17" s="1"/>
  <c r="AZ389" i="17" s="1"/>
  <c r="AU389" i="17"/>
  <c r="AV389" i="17" s="1"/>
  <c r="BD359" i="17"/>
  <c r="BE359" i="17" s="1"/>
  <c r="BF359" i="17" s="1"/>
  <c r="AL426" i="15"/>
  <c r="BQ358" i="17"/>
  <c r="AE390" i="17"/>
  <c r="E529" i="17"/>
  <c r="L529" i="17" s="1"/>
  <c r="P529" i="17"/>
  <c r="Y390" i="17" l="1"/>
  <c r="AB390" i="17" s="1"/>
  <c r="AF390" i="17" s="1"/>
  <c r="AG390" i="17" s="1"/>
  <c r="BG359" i="17"/>
  <c r="BI359" i="17"/>
  <c r="BK359" i="17"/>
  <c r="BL359" i="17" s="1"/>
  <c r="BM359" i="17" s="1"/>
  <c r="BJ359" i="17"/>
  <c r="N529" i="17"/>
  <c r="AP389" i="17"/>
  <c r="AQ389" i="17" s="1"/>
  <c r="Q529" i="17"/>
  <c r="S529" i="17" s="1"/>
  <c r="Z390" i="17" l="1"/>
  <c r="U391" i="17" s="1"/>
  <c r="AC391" i="17" s="1"/>
  <c r="AD391" i="17" s="1"/>
  <c r="AH390" i="17"/>
  <c r="AS390" i="17" s="1"/>
  <c r="AL390" i="17"/>
  <c r="AY390" i="17" s="1"/>
  <c r="BO359" i="17"/>
  <c r="BP359" i="17" s="1"/>
  <c r="BN359" i="17"/>
  <c r="AF422" i="15" s="1"/>
  <c r="BC360" i="17"/>
  <c r="BD360" i="17" s="1"/>
  <c r="O529" i="17"/>
  <c r="M530" i="17"/>
  <c r="AR389" i="17"/>
  <c r="W391" i="17" l="1"/>
  <c r="AM390" i="17"/>
  <c r="AN390" i="17" s="1"/>
  <c r="AT390" i="17"/>
  <c r="AW390" i="17" s="1"/>
  <c r="AX390" i="17" s="1"/>
  <c r="AZ390" i="17" s="1"/>
  <c r="AU390" i="17"/>
  <c r="AV390" i="17" s="1"/>
  <c r="BE360" i="17"/>
  <c r="BF360" i="17" s="1"/>
  <c r="BH360" i="17"/>
  <c r="BK360" i="17"/>
  <c r="BL360" i="17" s="1"/>
  <c r="BM360" i="17" s="1"/>
  <c r="BJ360" i="17"/>
  <c r="AL30" i="15"/>
  <c r="BQ359" i="17"/>
  <c r="AE391" i="17"/>
  <c r="P530" i="17"/>
  <c r="AA391" i="17"/>
  <c r="AK391" i="17" s="1"/>
  <c r="Y391" i="17"/>
  <c r="AB391" i="17" s="1"/>
  <c r="E530" i="17"/>
  <c r="L530" i="17" s="1"/>
  <c r="AO390" i="17" l="1"/>
  <c r="AP390" i="17" s="1"/>
  <c r="BG360" i="17"/>
  <c r="BI360" i="17"/>
  <c r="Z391" i="17"/>
  <c r="U392" i="17" s="1"/>
  <c r="AC392" i="17" s="1"/>
  <c r="N530" i="17"/>
  <c r="AF391" i="17"/>
  <c r="AG391" i="17" s="1"/>
  <c r="AL391" i="17" s="1"/>
  <c r="AY391" i="17" s="1"/>
  <c r="Q530" i="17"/>
  <c r="S530" i="17" s="1"/>
  <c r="AH391" i="17" l="1"/>
  <c r="AS391" i="17" s="1"/>
  <c r="BO360" i="17"/>
  <c r="BP360" i="17" s="1"/>
  <c r="BN360" i="17"/>
  <c r="AF471" i="15" s="1"/>
  <c r="BC361" i="17"/>
  <c r="BH361" i="17" s="1"/>
  <c r="AR390" i="17"/>
  <c r="W392" i="17"/>
  <c r="AM391" i="17"/>
  <c r="M531" i="17"/>
  <c r="O530" i="17"/>
  <c r="AD392" i="17"/>
  <c r="AQ390" i="17"/>
  <c r="AT391" i="17" l="1"/>
  <c r="AW391" i="17" s="1"/>
  <c r="AX391" i="17" s="1"/>
  <c r="AZ391" i="17" s="1"/>
  <c r="AU391" i="17"/>
  <c r="AV391" i="17" s="1"/>
  <c r="BD361" i="17"/>
  <c r="BK361" i="17" s="1"/>
  <c r="BL361" i="17" s="1"/>
  <c r="BM361" i="17" s="1"/>
  <c r="AL427" i="15"/>
  <c r="BQ360" i="17"/>
  <c r="AA392" i="17"/>
  <c r="AK392" i="17" s="1"/>
  <c r="Y392" i="17"/>
  <c r="P531" i="17"/>
  <c r="E531" i="17"/>
  <c r="L531" i="17" s="1"/>
  <c r="AE392" i="17"/>
  <c r="AN391" i="17"/>
  <c r="BE361" i="17" l="1"/>
  <c r="BF361" i="17" s="1"/>
  <c r="BG361" i="17" s="1"/>
  <c r="BJ361" i="17"/>
  <c r="N531" i="17"/>
  <c r="AO391" i="17"/>
  <c r="Q531" i="17"/>
  <c r="S531" i="17" s="1"/>
  <c r="AB392" i="17"/>
  <c r="Z392" i="17"/>
  <c r="BI361" i="17" l="1"/>
  <c r="BO361" i="17" s="1"/>
  <c r="BP361" i="17" s="1"/>
  <c r="BC362" i="17"/>
  <c r="BH362" i="17" s="1"/>
  <c r="AP391" i="17"/>
  <c r="AQ391" i="17" s="1"/>
  <c r="O531" i="17"/>
  <c r="M532" i="17"/>
  <c r="E532" i="17" s="1"/>
  <c r="L532" i="17" s="1"/>
  <c r="U393" i="17"/>
  <c r="AC393" i="17" s="1"/>
  <c r="AF392" i="17"/>
  <c r="AG392" i="17" s="1"/>
  <c r="AL392" i="17" s="1"/>
  <c r="AY392" i="17" s="1"/>
  <c r="BN361" i="17" l="1"/>
  <c r="AF520" i="15" s="1"/>
  <c r="N532" i="17"/>
  <c r="O532" i="17" s="1"/>
  <c r="AH392" i="17"/>
  <c r="AS392" i="17" s="1"/>
  <c r="BD362" i="17"/>
  <c r="BK362" i="17" s="1"/>
  <c r="AL428" i="15"/>
  <c r="W393" i="17"/>
  <c r="P532" i="17"/>
  <c r="AD393" i="17"/>
  <c r="AR391" i="17"/>
  <c r="AM392" i="17"/>
  <c r="BQ361" i="17" l="1"/>
  <c r="M533" i="17"/>
  <c r="E533" i="17" s="1"/>
  <c r="L533" i="17" s="1"/>
  <c r="BE362" i="17"/>
  <c r="BF362" i="17" s="1"/>
  <c r="BI362" i="17" s="1"/>
  <c r="AT392" i="17"/>
  <c r="AW392" i="17" s="1"/>
  <c r="AX392" i="17" s="1"/>
  <c r="AZ392" i="17" s="1"/>
  <c r="AU392" i="17"/>
  <c r="AV392" i="17" s="1"/>
  <c r="BJ362" i="17"/>
  <c r="BL362" i="17"/>
  <c r="BM362" i="17" s="1"/>
  <c r="AN392" i="17"/>
  <c r="Q532" i="17"/>
  <c r="S532" i="17" s="1"/>
  <c r="AA393" i="17"/>
  <c r="AK393" i="17" s="1"/>
  <c r="Y393" i="17"/>
  <c r="AE393" i="17"/>
  <c r="BG362" i="17" l="1"/>
  <c r="BC363" i="17" s="1"/>
  <c r="BH363" i="17" s="1"/>
  <c r="BO362" i="17"/>
  <c r="BP362" i="17" s="1"/>
  <c r="BN362" i="17"/>
  <c r="AF359" i="15" s="1"/>
  <c r="P533" i="17"/>
  <c r="Q533" i="17" s="1"/>
  <c r="S533" i="17" s="1"/>
  <c r="AB393" i="17"/>
  <c r="Z393" i="17"/>
  <c r="N533" i="17"/>
  <c r="AO392" i="17"/>
  <c r="AL36" i="15" l="1"/>
  <c r="BQ362" i="17"/>
  <c r="BD363" i="17"/>
  <c r="U394" i="17"/>
  <c r="AC394" i="17" s="1"/>
  <c r="AP392" i="17"/>
  <c r="M534" i="17"/>
  <c r="E534" i="17" s="1"/>
  <c r="L534" i="17" s="1"/>
  <c r="O533" i="17"/>
  <c r="AF393" i="17"/>
  <c r="AG393" i="17" s="1"/>
  <c r="AL393" i="17" s="1"/>
  <c r="AY393" i="17" s="1"/>
  <c r="AH393" i="17" l="1"/>
  <c r="AS393" i="17" s="1"/>
  <c r="BJ363" i="17"/>
  <c r="BK363" i="17"/>
  <c r="BL363" i="17" s="1"/>
  <c r="BM363" i="17" s="1"/>
  <c r="BE363" i="17"/>
  <c r="BF363" i="17" s="1"/>
  <c r="W394" i="17"/>
  <c r="AA394" i="17" s="1"/>
  <c r="AK394" i="17" s="1"/>
  <c r="AR392" i="17"/>
  <c r="AM393" i="17"/>
  <c r="P534" i="17"/>
  <c r="AD394" i="17"/>
  <c r="N534" i="17"/>
  <c r="AQ392" i="17"/>
  <c r="AT393" i="17" l="1"/>
  <c r="AW393" i="17" s="1"/>
  <c r="AX393" i="17" s="1"/>
  <c r="AZ393" i="17" s="1"/>
  <c r="AU393" i="17"/>
  <c r="AV393" i="17" s="1"/>
  <c r="BG363" i="17"/>
  <c r="BI363" i="17"/>
  <c r="Y394" i="17"/>
  <c r="AB394" i="17" s="1"/>
  <c r="AN393" i="17"/>
  <c r="AO393" i="17" s="1"/>
  <c r="AE394" i="17"/>
  <c r="O534" i="17"/>
  <c r="M535" i="17"/>
  <c r="Q534" i="17"/>
  <c r="S534" i="17" s="1"/>
  <c r="P535" i="17" l="1"/>
  <c r="Q535" i="17" s="1"/>
  <c r="S535" i="17" s="1"/>
  <c r="BO363" i="17"/>
  <c r="BP363" i="17" s="1"/>
  <c r="BN363" i="17"/>
  <c r="AF380" i="15" s="1"/>
  <c r="BC364" i="17"/>
  <c r="AF394" i="17"/>
  <c r="AG394" i="17" s="1"/>
  <c r="E535" i="17"/>
  <c r="L535" i="17" s="1"/>
  <c r="Z394" i="17"/>
  <c r="AP393" i="17"/>
  <c r="AH394" i="17" l="1"/>
  <c r="AS394" i="17" s="1"/>
  <c r="AL394" i="17"/>
  <c r="AY394" i="17" s="1"/>
  <c r="BD364" i="17"/>
  <c r="BH364" i="17"/>
  <c r="AL429" i="15"/>
  <c r="BQ363" i="17"/>
  <c r="AQ393" i="17"/>
  <c r="U395" i="17"/>
  <c r="AC395" i="17" s="1"/>
  <c r="N535" i="17"/>
  <c r="AR393" i="17"/>
  <c r="AM394" i="17" l="1"/>
  <c r="AN394" i="17" s="1"/>
  <c r="AT394" i="17"/>
  <c r="AW394" i="17" s="1"/>
  <c r="AX394" i="17" s="1"/>
  <c r="AZ394" i="17" s="1"/>
  <c r="AU394" i="17"/>
  <c r="AV394" i="17" s="1"/>
  <c r="BK364" i="17"/>
  <c r="BJ364" i="17"/>
  <c r="BE364" i="17"/>
  <c r="BF364" i="17" s="1"/>
  <c r="AD395" i="17"/>
  <c r="O535" i="17"/>
  <c r="M536" i="17"/>
  <c r="W395" i="17"/>
  <c r="AA395" i="17" s="1"/>
  <c r="AK395" i="17" s="1"/>
  <c r="BG364" i="17" l="1"/>
  <c r="BI364" i="17"/>
  <c r="BL364" i="17"/>
  <c r="BM364" i="17" s="1"/>
  <c r="Y395" i="17"/>
  <c r="AB395" i="17" s="1"/>
  <c r="AO394" i="17"/>
  <c r="AE395" i="17"/>
  <c r="P536" i="17"/>
  <c r="E536" i="17"/>
  <c r="L536" i="17" s="1"/>
  <c r="BO364" i="17" l="1"/>
  <c r="BP364" i="17" s="1"/>
  <c r="BN364" i="17"/>
  <c r="AF412" i="15" s="1"/>
  <c r="BC365" i="17"/>
  <c r="BH365" i="17" s="1"/>
  <c r="Z395" i="17"/>
  <c r="U396" i="17" s="1"/>
  <c r="AC396" i="17" s="1"/>
  <c r="AP394" i="17"/>
  <c r="N536" i="17"/>
  <c r="Q536" i="17"/>
  <c r="S536" i="17" s="1"/>
  <c r="AF395" i="17"/>
  <c r="AG395" i="17" s="1"/>
  <c r="AH395" i="17" l="1"/>
  <c r="AS395" i="17" s="1"/>
  <c r="AL395" i="17"/>
  <c r="BD365" i="17"/>
  <c r="BE365" i="17" s="1"/>
  <c r="BF365" i="17" s="1"/>
  <c r="AL430" i="15"/>
  <c r="BQ364" i="17"/>
  <c r="AD396" i="17"/>
  <c r="AR394" i="17"/>
  <c r="O536" i="17"/>
  <c r="M537" i="17"/>
  <c r="W396" i="17"/>
  <c r="AQ394" i="17"/>
  <c r="AY395" i="17" l="1"/>
  <c r="AM395" i="17"/>
  <c r="AN395" i="17" s="1"/>
  <c r="AO395" i="17" s="1"/>
  <c r="AT395" i="17"/>
  <c r="AW395" i="17" s="1"/>
  <c r="AX395" i="17" s="1"/>
  <c r="AZ395" i="17" s="1"/>
  <c r="AU395" i="17"/>
  <c r="AV395" i="17" s="1"/>
  <c r="BG365" i="17"/>
  <c r="BI365" i="17"/>
  <c r="BJ365" i="17"/>
  <c r="BK365" i="17"/>
  <c r="BL365" i="17" s="1"/>
  <c r="BM365" i="17" s="1"/>
  <c r="AA396" i="17"/>
  <c r="AK396" i="17" s="1"/>
  <c r="Y396" i="17"/>
  <c r="AB396" i="17" s="1"/>
  <c r="AE396" i="17"/>
  <c r="E537" i="17"/>
  <c r="L537" i="17" s="1"/>
  <c r="P537" i="17"/>
  <c r="BO365" i="17" l="1"/>
  <c r="BP365" i="17" s="1"/>
  <c r="BN365" i="17"/>
  <c r="AF213" i="15" s="1"/>
  <c r="BC366" i="17"/>
  <c r="N537" i="17"/>
  <c r="AP395" i="17"/>
  <c r="Z396" i="17"/>
  <c r="AF396" i="17"/>
  <c r="AG396" i="17" s="1"/>
  <c r="AH396" i="17" s="1"/>
  <c r="AS396" i="17" s="1"/>
  <c r="AT396" i="17" s="1"/>
  <c r="AW396" i="17" s="1"/>
  <c r="AX396" i="17" s="1"/>
  <c r="AZ396" i="17" s="1"/>
  <c r="Q537" i="17"/>
  <c r="S537" i="17" s="1"/>
  <c r="AL396" i="17" l="1"/>
  <c r="AY396" i="17" s="1"/>
  <c r="AU396" i="17"/>
  <c r="AV396" i="17" s="1"/>
  <c r="AL12" i="15"/>
  <c r="BQ365" i="17"/>
  <c r="BD366" i="17"/>
  <c r="BE366" i="17" s="1"/>
  <c r="BF366" i="17" s="1"/>
  <c r="BH366" i="17"/>
  <c r="AR395" i="17"/>
  <c r="AQ395" i="17"/>
  <c r="AM396" i="17"/>
  <c r="O537" i="17"/>
  <c r="M538" i="17"/>
  <c r="E538" i="17" s="1"/>
  <c r="L538" i="17" s="1"/>
  <c r="U397" i="17"/>
  <c r="AC397" i="17" s="1"/>
  <c r="BG366" i="17" l="1"/>
  <c r="BI366" i="17"/>
  <c r="BK366" i="17"/>
  <c r="BL366" i="17" s="1"/>
  <c r="BM366" i="17" s="1"/>
  <c r="BJ366" i="17"/>
  <c r="W397" i="17"/>
  <c r="AA397" i="17" s="1"/>
  <c r="AK397" i="17" s="1"/>
  <c r="N538" i="17"/>
  <c r="AD397" i="17"/>
  <c r="P538" i="17"/>
  <c r="AN396" i="17"/>
  <c r="AO396" i="17" s="1"/>
  <c r="BO366" i="17" l="1"/>
  <c r="BP366" i="17" s="1"/>
  <c r="BN366" i="17"/>
  <c r="AF214" i="15" s="1"/>
  <c r="BC367" i="17"/>
  <c r="BH367" i="17" s="1"/>
  <c r="Y397" i="17"/>
  <c r="AB397" i="17" s="1"/>
  <c r="AP396" i="17"/>
  <c r="Q538" i="17"/>
  <c r="S538" i="17" s="1"/>
  <c r="AE397" i="17"/>
  <c r="M539" i="17"/>
  <c r="E539" i="17" s="1"/>
  <c r="L539" i="17" s="1"/>
  <c r="O538" i="17"/>
  <c r="Z397" i="17" l="1"/>
  <c r="U398" i="17" s="1"/>
  <c r="AC398" i="17" s="1"/>
  <c r="BD367" i="17"/>
  <c r="AL116" i="15"/>
  <c r="BQ366" i="17"/>
  <c r="P539" i="17"/>
  <c r="Q539" i="17" s="1"/>
  <c r="S539" i="17" s="1"/>
  <c r="N539" i="17"/>
  <c r="AQ396" i="17"/>
  <c r="AR396" i="17"/>
  <c r="AF397" i="17"/>
  <c r="AG397" i="17" s="1"/>
  <c r="AH397" i="17" l="1"/>
  <c r="AS397" i="17" s="1"/>
  <c r="AL397" i="17"/>
  <c r="AY397" i="17" s="1"/>
  <c r="BK367" i="17"/>
  <c r="BL367" i="17" s="1"/>
  <c r="BM367" i="17" s="1"/>
  <c r="BJ367" i="17"/>
  <c r="BE367" i="17"/>
  <c r="BF367" i="17" s="1"/>
  <c r="AD398" i="17"/>
  <c r="O539" i="17"/>
  <c r="M540" i="17"/>
  <c r="W398" i="17"/>
  <c r="AA398" i="17" s="1"/>
  <c r="AK398" i="17" s="1"/>
  <c r="AM397" i="17" l="1"/>
  <c r="AN397" i="17" s="1"/>
  <c r="AO397" i="17" s="1"/>
  <c r="AU397" i="17"/>
  <c r="AV397" i="17" s="1"/>
  <c r="AT397" i="17"/>
  <c r="AW397" i="17" s="1"/>
  <c r="AX397" i="17" s="1"/>
  <c r="AZ397" i="17" s="1"/>
  <c r="BG367" i="17"/>
  <c r="BI367" i="17"/>
  <c r="Y398" i="17"/>
  <c r="AB398" i="17" s="1"/>
  <c r="P540" i="17"/>
  <c r="E540" i="17"/>
  <c r="L540" i="17" s="1"/>
  <c r="AE398" i="17"/>
  <c r="BO367" i="17" l="1"/>
  <c r="BP367" i="17" s="1"/>
  <c r="BN367" i="17"/>
  <c r="AF215" i="15" s="1"/>
  <c r="BC368" i="17"/>
  <c r="Z398" i="17"/>
  <c r="N540" i="17"/>
  <c r="AP397" i="17"/>
  <c r="Q540" i="17"/>
  <c r="S540" i="17" s="1"/>
  <c r="AF398" i="17"/>
  <c r="AG398" i="17" s="1"/>
  <c r="AH398" i="17" l="1"/>
  <c r="AS398" i="17" s="1"/>
  <c r="AL398" i="17"/>
  <c r="AY398" i="17" s="1"/>
  <c r="BD368" i="17"/>
  <c r="BH368" i="17"/>
  <c r="AL431" i="15"/>
  <c r="BQ367" i="17"/>
  <c r="U399" i="17"/>
  <c r="AC399" i="17" s="1"/>
  <c r="AD399" i="17" s="1"/>
  <c r="O540" i="17"/>
  <c r="M541" i="17"/>
  <c r="AR397" i="17"/>
  <c r="AQ397" i="17"/>
  <c r="AM398" i="17" l="1"/>
  <c r="AN398" i="17" s="1"/>
  <c r="AT398" i="17"/>
  <c r="AW398" i="17" s="1"/>
  <c r="AX398" i="17" s="1"/>
  <c r="AZ398" i="17" s="1"/>
  <c r="AU398" i="17"/>
  <c r="AV398" i="17" s="1"/>
  <c r="BK368" i="17"/>
  <c r="BL368" i="17" s="1"/>
  <c r="BM368" i="17" s="1"/>
  <c r="BJ368" i="17"/>
  <c r="BE368" i="17"/>
  <c r="BF368" i="17" s="1"/>
  <c r="W399" i="17"/>
  <c r="AE399" i="17"/>
  <c r="P541" i="17"/>
  <c r="E541" i="17"/>
  <c r="L541" i="17" s="1"/>
  <c r="BG368" i="17" l="1"/>
  <c r="BI368" i="17"/>
  <c r="AA399" i="17"/>
  <c r="AK399" i="17" s="1"/>
  <c r="Y399" i="17"/>
  <c r="AO398" i="17"/>
  <c r="N541" i="17"/>
  <c r="Q541" i="17"/>
  <c r="S541" i="17" s="1"/>
  <c r="BO368" i="17" l="1"/>
  <c r="BP368" i="17" s="1"/>
  <c r="BN368" i="17"/>
  <c r="AF216" i="15" s="1"/>
  <c r="BC369" i="17"/>
  <c r="BH369" i="17" s="1"/>
  <c r="AB399" i="17"/>
  <c r="Z399" i="17"/>
  <c r="U400" i="17" s="1"/>
  <c r="AC400" i="17" s="1"/>
  <c r="AD400" i="17" s="1"/>
  <c r="AE400" i="17" s="1"/>
  <c r="AP398" i="17"/>
  <c r="O541" i="17"/>
  <c r="M542" i="17"/>
  <c r="W400" i="17" l="1"/>
  <c r="Y400" i="17" s="1"/>
  <c r="AB400" i="17" s="1"/>
  <c r="AL85" i="15"/>
  <c r="BQ368" i="17"/>
  <c r="BD369" i="17"/>
  <c r="AF399" i="17"/>
  <c r="AG399" i="17" s="1"/>
  <c r="AR398" i="17"/>
  <c r="AQ398" i="17"/>
  <c r="P542" i="17"/>
  <c r="E542" i="17"/>
  <c r="L542" i="17" s="1"/>
  <c r="AA400" i="17" l="1"/>
  <c r="AK400" i="17" s="1"/>
  <c r="AH399" i="17"/>
  <c r="AS399" i="17" s="1"/>
  <c r="AL399" i="17"/>
  <c r="AY399" i="17" s="1"/>
  <c r="BK369" i="17"/>
  <c r="BL369" i="17" s="1"/>
  <c r="BM369" i="17" s="1"/>
  <c r="BJ369" i="17"/>
  <c r="BE369" i="17"/>
  <c r="BF369" i="17" s="1"/>
  <c r="AF400" i="17"/>
  <c r="AG400" i="17" s="1"/>
  <c r="AL400" i="17" s="1"/>
  <c r="AY400" i="17" s="1"/>
  <c r="N542" i="17"/>
  <c r="Z400" i="17"/>
  <c r="Q542" i="17"/>
  <c r="S542" i="17" s="1"/>
  <c r="AM399" i="17" l="1"/>
  <c r="AN399" i="17" s="1"/>
  <c r="AO399" i="17" s="1"/>
  <c r="AT399" i="17"/>
  <c r="AW399" i="17" s="1"/>
  <c r="AX399" i="17" s="1"/>
  <c r="AZ399" i="17" s="1"/>
  <c r="AU399" i="17"/>
  <c r="AV399" i="17" s="1"/>
  <c r="AH400" i="17"/>
  <c r="AS400" i="17" s="1"/>
  <c r="AT400" i="17" s="1"/>
  <c r="BG369" i="17"/>
  <c r="BI369" i="17"/>
  <c r="U401" i="17"/>
  <c r="AC401" i="17" s="1"/>
  <c r="M543" i="17"/>
  <c r="O542" i="17"/>
  <c r="AM400" i="17"/>
  <c r="AW400" i="17" l="1"/>
  <c r="AX400" i="17" s="1"/>
  <c r="AZ400" i="17" s="1"/>
  <c r="AU400" i="17"/>
  <c r="AV400" i="17" s="1"/>
  <c r="BO369" i="17"/>
  <c r="BP369" i="17" s="1"/>
  <c r="BN369" i="17"/>
  <c r="AF217" i="15" s="1"/>
  <c r="BC370" i="17"/>
  <c r="AP399" i="17"/>
  <c r="AQ399" i="17" s="1"/>
  <c r="AD401" i="17"/>
  <c r="AN400" i="17"/>
  <c r="AO400" i="17" s="1"/>
  <c r="W401" i="17"/>
  <c r="P543" i="17"/>
  <c r="E543" i="17"/>
  <c r="L543" i="17" s="1"/>
  <c r="AR399" i="17" l="1"/>
  <c r="BD370" i="17"/>
  <c r="BH370" i="17"/>
  <c r="AL114" i="15"/>
  <c r="BQ369" i="17"/>
  <c r="N543" i="17"/>
  <c r="AE401" i="17"/>
  <c r="Q543" i="17"/>
  <c r="S543" i="17" s="1"/>
  <c r="AA401" i="17"/>
  <c r="AK401" i="17" s="1"/>
  <c r="Y401" i="17"/>
  <c r="AB401" i="17" s="1"/>
  <c r="AP400" i="17"/>
  <c r="BK370" i="17" l="1"/>
  <c r="BL370" i="17" s="1"/>
  <c r="BM370" i="17" s="1"/>
  <c r="BJ370" i="17"/>
  <c r="BE370" i="17"/>
  <c r="BF370" i="17" s="1"/>
  <c r="O543" i="17"/>
  <c r="M544" i="17"/>
  <c r="E544" i="17" s="1"/>
  <c r="L544" i="17" s="1"/>
  <c r="AR400" i="17"/>
  <c r="AQ400" i="17"/>
  <c r="AF401" i="17"/>
  <c r="AG401" i="17" s="1"/>
  <c r="Z401" i="17"/>
  <c r="AH401" i="17" l="1"/>
  <c r="AS401" i="17" s="1"/>
  <c r="AL401" i="17"/>
  <c r="AY401" i="17" s="1"/>
  <c r="BG370" i="17"/>
  <c r="BI370" i="17"/>
  <c r="N544" i="17"/>
  <c r="P544" i="17"/>
  <c r="U402" i="17"/>
  <c r="AC402" i="17" s="1"/>
  <c r="AT401" i="17" l="1"/>
  <c r="AW401" i="17" s="1"/>
  <c r="AX401" i="17" s="1"/>
  <c r="AZ401" i="17" s="1"/>
  <c r="AU401" i="17"/>
  <c r="AV401" i="17" s="1"/>
  <c r="AM401" i="17"/>
  <c r="AN401" i="17" s="1"/>
  <c r="AO401" i="17" s="1"/>
  <c r="BO370" i="17"/>
  <c r="BP370" i="17" s="1"/>
  <c r="BN370" i="17"/>
  <c r="AF218" i="15" s="1"/>
  <c r="BC371" i="17"/>
  <c r="BD371" i="17" s="1"/>
  <c r="W402" i="17"/>
  <c r="AA402" i="17" s="1"/>
  <c r="AK402" i="17" s="1"/>
  <c r="Q544" i="17"/>
  <c r="S544" i="17" s="1"/>
  <c r="M545" i="17"/>
  <c r="E545" i="17" s="1"/>
  <c r="L545" i="17" s="1"/>
  <c r="O544" i="17"/>
  <c r="AD402" i="17"/>
  <c r="N545" i="17" l="1"/>
  <c r="M546" i="17" s="1"/>
  <c r="Y402" i="17"/>
  <c r="AB402" i="17" s="1"/>
  <c r="BK371" i="17"/>
  <c r="BL371" i="17" s="1"/>
  <c r="BM371" i="17" s="1"/>
  <c r="BJ371" i="17"/>
  <c r="BE371" i="17"/>
  <c r="BF371" i="17" s="1"/>
  <c r="BH371" i="17"/>
  <c r="AL109" i="15"/>
  <c r="BQ370" i="17"/>
  <c r="AP401" i="17"/>
  <c r="AR401" i="17" s="1"/>
  <c r="AE402" i="17"/>
  <c r="P545" i="17"/>
  <c r="O545" i="17" l="1"/>
  <c r="Z402" i="17"/>
  <c r="U403" i="17" s="1"/>
  <c r="AC403" i="17" s="1"/>
  <c r="BG371" i="17"/>
  <c r="BI371" i="17"/>
  <c r="AQ401" i="17"/>
  <c r="Q545" i="17"/>
  <c r="S545" i="17" s="1"/>
  <c r="AF402" i="17"/>
  <c r="AG402" i="17" s="1"/>
  <c r="E546" i="17"/>
  <c r="L546" i="17" s="1"/>
  <c r="AH402" i="17" l="1"/>
  <c r="AS402" i="17" s="1"/>
  <c r="AL402" i="17"/>
  <c r="AY402" i="17" s="1"/>
  <c r="BO371" i="17"/>
  <c r="BP371" i="17" s="1"/>
  <c r="BN371" i="17"/>
  <c r="AF220" i="15" s="1"/>
  <c r="BC372" i="17"/>
  <c r="P546" i="17"/>
  <c r="Q546" i="17" s="1"/>
  <c r="S546" i="17" s="1"/>
  <c r="W403" i="17"/>
  <c r="AA403" i="17" s="1"/>
  <c r="AK403" i="17" s="1"/>
  <c r="AD403" i="17"/>
  <c r="AE403" i="17" s="1"/>
  <c r="N546" i="17"/>
  <c r="AM402" i="17" l="1"/>
  <c r="AN402" i="17" s="1"/>
  <c r="AO402" i="17" s="1"/>
  <c r="AP402" i="17" s="1"/>
  <c r="AT402" i="17"/>
  <c r="AW402" i="17" s="1"/>
  <c r="AX402" i="17" s="1"/>
  <c r="AZ402" i="17" s="1"/>
  <c r="AU402" i="17"/>
  <c r="AV402" i="17" s="1"/>
  <c r="BD372" i="17"/>
  <c r="BH372" i="17"/>
  <c r="AL432" i="15"/>
  <c r="BQ371" i="17"/>
  <c r="Y403" i="17"/>
  <c r="M547" i="17"/>
  <c r="O546" i="17"/>
  <c r="BK372" i="17" l="1"/>
  <c r="BL372" i="17" s="1"/>
  <c r="BM372" i="17" s="1"/>
  <c r="BJ372" i="17"/>
  <c r="BE372" i="17"/>
  <c r="BF372" i="17" s="1"/>
  <c r="AB403" i="17"/>
  <c r="Z403" i="17"/>
  <c r="U404" i="17" s="1"/>
  <c r="AC404" i="17" s="1"/>
  <c r="AD404" i="17" s="1"/>
  <c r="AR402" i="17"/>
  <c r="P547" i="17"/>
  <c r="E547" i="17"/>
  <c r="L547" i="17" s="1"/>
  <c r="AQ402" i="17"/>
  <c r="BG372" i="17" l="1"/>
  <c r="BI372" i="17"/>
  <c r="W404" i="17"/>
  <c r="AA404" i="17" s="1"/>
  <c r="AK404" i="17" s="1"/>
  <c r="AF403" i="17"/>
  <c r="AG403" i="17" s="1"/>
  <c r="AL403" i="17" s="1"/>
  <c r="AY403" i="17" s="1"/>
  <c r="N547" i="17"/>
  <c r="Q547" i="17"/>
  <c r="S547" i="17" s="1"/>
  <c r="AE404" i="17"/>
  <c r="AH403" i="17" l="1"/>
  <c r="AS403" i="17" s="1"/>
  <c r="BO372" i="17"/>
  <c r="BP372" i="17" s="1"/>
  <c r="BN372" i="17"/>
  <c r="AF221" i="15" s="1"/>
  <c r="BC373" i="17"/>
  <c r="BH373" i="17" s="1"/>
  <c r="Y404" i="17"/>
  <c r="AB404" i="17" s="1"/>
  <c r="AM403" i="17"/>
  <c r="O547" i="17"/>
  <c r="M548" i="17"/>
  <c r="AT403" i="17" l="1"/>
  <c r="AW403" i="17" s="1"/>
  <c r="AX403" i="17" s="1"/>
  <c r="AZ403" i="17" s="1"/>
  <c r="AU403" i="17"/>
  <c r="AV403" i="17" s="1"/>
  <c r="AF404" i="17"/>
  <c r="AG404" i="17" s="1"/>
  <c r="AH404" i="17" s="1"/>
  <c r="AS404" i="17" s="1"/>
  <c r="AT404" i="17" s="1"/>
  <c r="Z404" i="17"/>
  <c r="U405" i="17" s="1"/>
  <c r="AC405" i="17" s="1"/>
  <c r="BD373" i="17"/>
  <c r="BE373" i="17" s="1"/>
  <c r="BF373" i="17" s="1"/>
  <c r="BG373" i="17" s="1"/>
  <c r="AL18" i="15"/>
  <c r="BQ372" i="17"/>
  <c r="AN403" i="17"/>
  <c r="AO403" i="17" s="1"/>
  <c r="AP403" i="17" s="1"/>
  <c r="E548" i="17"/>
  <c r="L548" i="17" s="1"/>
  <c r="P548" i="17"/>
  <c r="AW404" i="17" l="1"/>
  <c r="AX404" i="17" s="1"/>
  <c r="AZ404" i="17" s="1"/>
  <c r="AU404" i="17"/>
  <c r="AV404" i="17" s="1"/>
  <c r="AL404" i="17"/>
  <c r="AY404" i="17" s="1"/>
  <c r="BK373" i="17"/>
  <c r="BL373" i="17" s="1"/>
  <c r="BM373" i="17" s="1"/>
  <c r="BJ373" i="17"/>
  <c r="W405" i="17"/>
  <c r="AA405" i="17" s="1"/>
  <c r="AK405" i="17" s="1"/>
  <c r="AD405" i="17"/>
  <c r="AE405" i="17" s="1"/>
  <c r="BI373" i="17"/>
  <c r="BO373" i="17" s="1"/>
  <c r="BP373" i="17" s="1"/>
  <c r="BC374" i="17"/>
  <c r="BH374" i="17" s="1"/>
  <c r="AQ403" i="17"/>
  <c r="AR403" i="17"/>
  <c r="N548" i="17"/>
  <c r="Q548" i="17"/>
  <c r="S548" i="17" s="1"/>
  <c r="AM404" i="17" l="1"/>
  <c r="AN404" i="17" s="1"/>
  <c r="AO404" i="17" s="1"/>
  <c r="AP404" i="17" s="1"/>
  <c r="AR404" i="17" s="1"/>
  <c r="BN373" i="17"/>
  <c r="AF222" i="15" s="1"/>
  <c r="Y405" i="17"/>
  <c r="AB405" i="17" s="1"/>
  <c r="AF405" i="17" s="1"/>
  <c r="AG405" i="17" s="1"/>
  <c r="BD374" i="17"/>
  <c r="AL433" i="15"/>
  <c r="M549" i="17"/>
  <c r="O548" i="17"/>
  <c r="AQ404" i="17" l="1"/>
  <c r="BQ373" i="17"/>
  <c r="Z405" i="17"/>
  <c r="U406" i="17" s="1"/>
  <c r="AC406" i="17" s="1"/>
  <c r="AD406" i="17" s="1"/>
  <c r="AE406" i="17" s="1"/>
  <c r="AH405" i="17"/>
  <c r="AS405" i="17" s="1"/>
  <c r="AL405" i="17"/>
  <c r="AY405" i="17" s="1"/>
  <c r="BK374" i="17"/>
  <c r="BL374" i="17" s="1"/>
  <c r="BM374" i="17" s="1"/>
  <c r="BJ374" i="17"/>
  <c r="BE374" i="17"/>
  <c r="BF374" i="17" s="1"/>
  <c r="P549" i="17"/>
  <c r="E549" i="17"/>
  <c r="L549" i="17" s="1"/>
  <c r="W406" i="17" l="1"/>
  <c r="AA406" i="17" s="1"/>
  <c r="AK406" i="17" s="1"/>
  <c r="AT405" i="17"/>
  <c r="AW405" i="17" s="1"/>
  <c r="AU405" i="17"/>
  <c r="AV405" i="17" s="1"/>
  <c r="AM405" i="17"/>
  <c r="BG374" i="17"/>
  <c r="BI374" i="17"/>
  <c r="Q549" i="17"/>
  <c r="S549" i="17" s="1"/>
  <c r="N549" i="17"/>
  <c r="Y406" i="17" l="1"/>
  <c r="AB406" i="17" s="1"/>
  <c r="AF406" i="17" s="1"/>
  <c r="AG406" i="17" s="1"/>
  <c r="AL406" i="17" s="1"/>
  <c r="AN405" i="17"/>
  <c r="AO405" i="17" s="1"/>
  <c r="AP405" i="17" s="1"/>
  <c r="AR405" i="17" s="1"/>
  <c r="AX405" i="17"/>
  <c r="AZ405" i="17" s="1"/>
  <c r="BO374" i="17"/>
  <c r="BP374" i="17" s="1"/>
  <c r="BN374" i="17"/>
  <c r="AF223" i="15" s="1"/>
  <c r="BC375" i="17"/>
  <c r="O549" i="17"/>
  <c r="M550" i="17"/>
  <c r="Z406" i="17" l="1"/>
  <c r="U407" i="17" s="1"/>
  <c r="AC407" i="17" s="1"/>
  <c r="AD407" i="17" s="1"/>
  <c r="AE407" i="17" s="1"/>
  <c r="AY406" i="17"/>
  <c r="AM406" i="17"/>
  <c r="AN406" i="17" s="1"/>
  <c r="AQ405" i="17"/>
  <c r="AH406" i="17"/>
  <c r="AS406" i="17" s="1"/>
  <c r="AL35" i="15"/>
  <c r="BQ374" i="17"/>
  <c r="BD375" i="17"/>
  <c r="BH375" i="17"/>
  <c r="P550" i="17"/>
  <c r="E550" i="17"/>
  <c r="L550" i="17" s="1"/>
  <c r="W407" i="17" l="1"/>
  <c r="AA407" i="17" s="1"/>
  <c r="AK407" i="17" s="1"/>
  <c r="AT406" i="17"/>
  <c r="AW406" i="17" s="1"/>
  <c r="AU406" i="17"/>
  <c r="AV406" i="17" s="1"/>
  <c r="BK375" i="17"/>
  <c r="BL375" i="17" s="1"/>
  <c r="BM375" i="17" s="1"/>
  <c r="BJ375" i="17"/>
  <c r="BE375" i="17"/>
  <c r="BF375" i="17" s="1"/>
  <c r="N550" i="17"/>
  <c r="AO406" i="17"/>
  <c r="Q550" i="17"/>
  <c r="S550" i="17" s="1"/>
  <c r="Y407" i="17" l="1"/>
  <c r="AB407" i="17" s="1"/>
  <c r="AF407" i="17" s="1"/>
  <c r="AG407" i="17" s="1"/>
  <c r="AH407" i="17" s="1"/>
  <c r="AS407" i="17" s="1"/>
  <c r="AX406" i="17"/>
  <c r="AZ406" i="17" s="1"/>
  <c r="BG375" i="17"/>
  <c r="BI375" i="17"/>
  <c r="AP406" i="17"/>
  <c r="O550" i="17"/>
  <c r="M551" i="17"/>
  <c r="E551" i="17" s="1"/>
  <c r="L551" i="17" s="1"/>
  <c r="Z407" i="17" l="1"/>
  <c r="U408" i="17" s="1"/>
  <c r="AC408" i="17" s="1"/>
  <c r="AD408" i="17" s="1"/>
  <c r="AE408" i="17" s="1"/>
  <c r="AL407" i="17"/>
  <c r="AY407" i="17" s="1"/>
  <c r="AT407" i="17"/>
  <c r="AW407" i="17" s="1"/>
  <c r="AX407" i="17" s="1"/>
  <c r="AZ407" i="17" s="1"/>
  <c r="AU407" i="17"/>
  <c r="AV407" i="17" s="1"/>
  <c r="BO375" i="17"/>
  <c r="BP375" i="17" s="1"/>
  <c r="BN375" i="17"/>
  <c r="AF224" i="15" s="1"/>
  <c r="BC376" i="17"/>
  <c r="BH376" i="17" s="1"/>
  <c r="N551" i="17"/>
  <c r="P551" i="17"/>
  <c r="AR406" i="17"/>
  <c r="AQ406" i="17"/>
  <c r="W408" i="17" l="1"/>
  <c r="AA408" i="17" s="1"/>
  <c r="AK408" i="17" s="1"/>
  <c r="AM407" i="17"/>
  <c r="AN407" i="17" s="1"/>
  <c r="AO407" i="17" s="1"/>
  <c r="AL434" i="15"/>
  <c r="BQ375" i="17"/>
  <c r="BD376" i="17"/>
  <c r="Q551" i="17"/>
  <c r="S551" i="17" s="1"/>
  <c r="O551" i="17"/>
  <c r="M552" i="17"/>
  <c r="E552" i="17" s="1"/>
  <c r="L552" i="17" s="1"/>
  <c r="Y408" i="17" l="1"/>
  <c r="AB408" i="17" s="1"/>
  <c r="AF408" i="17" s="1"/>
  <c r="AG408" i="17" s="1"/>
  <c r="AL408" i="17" s="1"/>
  <c r="AY408" i="17" s="1"/>
  <c r="AP407" i="17"/>
  <c r="AR407" i="17" s="1"/>
  <c r="BK376" i="17"/>
  <c r="BL376" i="17" s="1"/>
  <c r="BM376" i="17" s="1"/>
  <c r="BJ376" i="17"/>
  <c r="BE376" i="17"/>
  <c r="BF376" i="17" s="1"/>
  <c r="N552" i="17"/>
  <c r="P552" i="17"/>
  <c r="AM408" i="17" l="1"/>
  <c r="AN408" i="17" s="1"/>
  <c r="AO408" i="17" s="1"/>
  <c r="AH408" i="17"/>
  <c r="AS408" i="17" s="1"/>
  <c r="AT408" i="17" s="1"/>
  <c r="AW408" i="17" s="1"/>
  <c r="Z408" i="17"/>
  <c r="U409" i="17" s="1"/>
  <c r="AC409" i="17" s="1"/>
  <c r="AD409" i="17" s="1"/>
  <c r="AE409" i="17" s="1"/>
  <c r="AQ407" i="17"/>
  <c r="BG376" i="17"/>
  <c r="BI376" i="17"/>
  <c r="M553" i="17"/>
  <c r="O552" i="17"/>
  <c r="Q552" i="17"/>
  <c r="S552" i="17" s="1"/>
  <c r="AU408" i="17" l="1"/>
  <c r="AV408" i="17" s="1"/>
  <c r="W409" i="17"/>
  <c r="AX408" i="17"/>
  <c r="AZ408" i="17" s="1"/>
  <c r="BO376" i="17"/>
  <c r="BP376" i="17" s="1"/>
  <c r="BN376" i="17"/>
  <c r="AF219" i="15" s="1"/>
  <c r="BC377" i="17"/>
  <c r="BH377" i="17" s="1"/>
  <c r="AP408" i="17"/>
  <c r="P553" i="17"/>
  <c r="E553" i="17"/>
  <c r="L553" i="17" s="1"/>
  <c r="AA409" i="17" l="1"/>
  <c r="AK409" i="17" s="1"/>
  <c r="Y409" i="17"/>
  <c r="BD377" i="17"/>
  <c r="BE377" i="17" s="1"/>
  <c r="BF377" i="17" s="1"/>
  <c r="BI377" i="17" s="1"/>
  <c r="AL61" i="15"/>
  <c r="BQ376" i="17"/>
  <c r="AQ408" i="17"/>
  <c r="AR408" i="17"/>
  <c r="Q553" i="17"/>
  <c r="S553" i="17" s="1"/>
  <c r="N553" i="17"/>
  <c r="AB409" i="17" l="1"/>
  <c r="Z409" i="17"/>
  <c r="BJ377" i="17"/>
  <c r="BK377" i="17"/>
  <c r="BL377" i="17" s="1"/>
  <c r="BM377" i="17" s="1"/>
  <c r="BG377" i="17"/>
  <c r="BC378" i="17" s="1"/>
  <c r="BH378" i="17" s="1"/>
  <c r="BO377" i="17"/>
  <c r="BP377" i="17" s="1"/>
  <c r="O553" i="17"/>
  <c r="M554" i="17"/>
  <c r="U410" i="17" l="1"/>
  <c r="AC410" i="17" s="1"/>
  <c r="AD410" i="17" s="1"/>
  <c r="AE410" i="17" s="1"/>
  <c r="AF409" i="17"/>
  <c r="AG409" i="17" s="1"/>
  <c r="AL409" i="17" s="1"/>
  <c r="AY409" i="17" s="1"/>
  <c r="BN377" i="17"/>
  <c r="AF188" i="15" s="1"/>
  <c r="AL33" i="15"/>
  <c r="BD378" i="17"/>
  <c r="BE378" i="17" s="1"/>
  <c r="BF378" i="17" s="1"/>
  <c r="E554" i="17"/>
  <c r="L554" i="17" s="1"/>
  <c r="P554" i="17"/>
  <c r="AH409" i="17" l="1"/>
  <c r="AS409" i="17" s="1"/>
  <c r="AM409" i="17"/>
  <c r="W410" i="17"/>
  <c r="BQ377" i="17"/>
  <c r="BG378" i="17"/>
  <c r="BI378" i="17"/>
  <c r="BK378" i="17"/>
  <c r="BL378" i="17" s="1"/>
  <c r="BM378" i="17" s="1"/>
  <c r="BJ378" i="17"/>
  <c r="Q554" i="17"/>
  <c r="S554" i="17" s="1"/>
  <c r="N554" i="17"/>
  <c r="AA410" i="17" l="1"/>
  <c r="AK410" i="17" s="1"/>
  <c r="Y410" i="17"/>
  <c r="AB410" i="17" s="1"/>
  <c r="AN409" i="17"/>
  <c r="AU409" i="17"/>
  <c r="AV409" i="17" s="1"/>
  <c r="AT409" i="17"/>
  <c r="AW409" i="17" s="1"/>
  <c r="AX409" i="17" s="1"/>
  <c r="AZ409" i="17" s="1"/>
  <c r="BO378" i="17"/>
  <c r="BP378" i="17" s="1"/>
  <c r="BN378" i="17"/>
  <c r="AF183" i="15" s="1"/>
  <c r="BC379" i="17"/>
  <c r="M555" i="17"/>
  <c r="E555" i="17" s="1"/>
  <c r="L555" i="17" s="1"/>
  <c r="O554" i="17"/>
  <c r="Z410" i="17" l="1"/>
  <c r="U411" i="17" s="1"/>
  <c r="AC411" i="17" s="1"/>
  <c r="AD411" i="17" s="1"/>
  <c r="AE411" i="17" s="1"/>
  <c r="AF410" i="17"/>
  <c r="AG410" i="17" s="1"/>
  <c r="AL410" i="17" s="1"/>
  <c r="AY410" i="17" s="1"/>
  <c r="AO409" i="17"/>
  <c r="BD379" i="17"/>
  <c r="BH379" i="17"/>
  <c r="AL435" i="15"/>
  <c r="BQ378" i="17"/>
  <c r="N555" i="17"/>
  <c r="P555" i="17"/>
  <c r="W411" i="17" l="1"/>
  <c r="AA411" i="17" s="1"/>
  <c r="AK411" i="17" s="1"/>
  <c r="AP409" i="17"/>
  <c r="AR409" i="17" s="1"/>
  <c r="AH410" i="17"/>
  <c r="AS410" i="17" s="1"/>
  <c r="AM410" i="17"/>
  <c r="BK379" i="17"/>
  <c r="BL379" i="17" s="1"/>
  <c r="BM379" i="17" s="1"/>
  <c r="BJ379" i="17"/>
  <c r="BE379" i="17"/>
  <c r="BF379" i="17" s="1"/>
  <c r="O555" i="17"/>
  <c r="M556" i="17"/>
  <c r="Q555" i="17"/>
  <c r="S555" i="17" s="1"/>
  <c r="Y411" i="17" l="1"/>
  <c r="AN410" i="17"/>
  <c r="AO410" i="17" s="1"/>
  <c r="AP410" i="17" s="1"/>
  <c r="AR410" i="17" s="1"/>
  <c r="AT410" i="17"/>
  <c r="AW410" i="17" s="1"/>
  <c r="AX410" i="17" s="1"/>
  <c r="AZ410" i="17" s="1"/>
  <c r="AU410" i="17"/>
  <c r="AV410" i="17" s="1"/>
  <c r="AQ409" i="17"/>
  <c r="BG379" i="17"/>
  <c r="BI379" i="17"/>
  <c r="P556" i="17"/>
  <c r="E556" i="17"/>
  <c r="L556" i="17" s="1"/>
  <c r="AB411" i="17" l="1"/>
  <c r="AF411" i="17" s="1"/>
  <c r="AG411" i="17" s="1"/>
  <c r="Z411" i="17"/>
  <c r="U412" i="17" s="1"/>
  <c r="AC412" i="17" s="1"/>
  <c r="AD412" i="17" s="1"/>
  <c r="AQ410" i="17"/>
  <c r="BO379" i="17"/>
  <c r="BP379" i="17" s="1"/>
  <c r="BN379" i="17"/>
  <c r="AF184" i="15" s="1"/>
  <c r="BC380" i="17"/>
  <c r="BD380" i="17" s="1"/>
  <c r="N556" i="17"/>
  <c r="Q556" i="17"/>
  <c r="S556" i="17" s="1"/>
  <c r="W412" i="17" l="1"/>
  <c r="AA412" i="17" s="1"/>
  <c r="AK412" i="17" s="1"/>
  <c r="AL411" i="17"/>
  <c r="AY411" i="17" s="1"/>
  <c r="AH411" i="17"/>
  <c r="AS411" i="17" s="1"/>
  <c r="BK380" i="17"/>
  <c r="BL380" i="17" s="1"/>
  <c r="BM380" i="17" s="1"/>
  <c r="BJ380" i="17"/>
  <c r="AL436" i="15"/>
  <c r="BQ379" i="17"/>
  <c r="BE380" i="17"/>
  <c r="BF380" i="17" s="1"/>
  <c r="BH380" i="17"/>
  <c r="AE412" i="17"/>
  <c r="O556" i="17"/>
  <c r="M557" i="17"/>
  <c r="Y412" i="17" l="1"/>
  <c r="AB412" i="17" s="1"/>
  <c r="AF412" i="17" s="1"/>
  <c r="AG412" i="17" s="1"/>
  <c r="AH412" i="17" s="1"/>
  <c r="AS412" i="17" s="1"/>
  <c r="AU411" i="17"/>
  <c r="AV411" i="17" s="1"/>
  <c r="AT411" i="17"/>
  <c r="AW411" i="17" s="1"/>
  <c r="AX411" i="17" s="1"/>
  <c r="AZ411" i="17" s="1"/>
  <c r="AM411" i="17"/>
  <c r="BG380" i="17"/>
  <c r="BI380" i="17"/>
  <c r="P557" i="17"/>
  <c r="E557" i="17"/>
  <c r="L557" i="17" s="1"/>
  <c r="Z412" i="17" l="1"/>
  <c r="U413" i="17" s="1"/>
  <c r="AC413" i="17" s="1"/>
  <c r="AN411" i="17"/>
  <c r="AO411" i="17" s="1"/>
  <c r="AL412" i="17"/>
  <c r="AY412" i="17" s="1"/>
  <c r="AT412" i="17"/>
  <c r="AW412" i="17" s="1"/>
  <c r="AX412" i="17" s="1"/>
  <c r="AZ412" i="17" s="1"/>
  <c r="AU412" i="17"/>
  <c r="AV412" i="17" s="1"/>
  <c r="BO380" i="17"/>
  <c r="BP380" i="17" s="1"/>
  <c r="BN380" i="17"/>
  <c r="AF185" i="15" s="1"/>
  <c r="BC381" i="17"/>
  <c r="BH381" i="17" s="1"/>
  <c r="Q557" i="17"/>
  <c r="S557" i="17" s="1"/>
  <c r="N557" i="17"/>
  <c r="AM412" i="17" l="1"/>
  <c r="AP411" i="17"/>
  <c r="AQ411" i="17" s="1"/>
  <c r="BD381" i="17"/>
  <c r="AL437" i="15"/>
  <c r="BQ380" i="17"/>
  <c r="AD413" i="17"/>
  <c r="W413" i="17"/>
  <c r="M558" i="17"/>
  <c r="E558" i="17" s="1"/>
  <c r="L558" i="17" s="1"/>
  <c r="O557" i="17"/>
  <c r="AN412" i="17"/>
  <c r="AO412" i="17" s="1"/>
  <c r="AP412" i="17" s="1"/>
  <c r="AR411" i="17" l="1"/>
  <c r="BK381" i="17"/>
  <c r="BL381" i="17" s="1"/>
  <c r="BM381" i="17" s="1"/>
  <c r="BJ381" i="17"/>
  <c r="BE381" i="17"/>
  <c r="BF381" i="17" s="1"/>
  <c r="AQ412" i="17"/>
  <c r="AE413" i="17"/>
  <c r="P558" i="17"/>
  <c r="AA413" i="17"/>
  <c r="AK413" i="17" s="1"/>
  <c r="Y413" i="17"/>
  <c r="N558" i="17"/>
  <c r="AR412" i="17"/>
  <c r="BG381" i="17" l="1"/>
  <c r="BI381" i="17"/>
  <c r="AB413" i="17"/>
  <c r="Z413" i="17"/>
  <c r="O558" i="17"/>
  <c r="M559" i="17"/>
  <c r="E559" i="17" s="1"/>
  <c r="L559" i="17" s="1"/>
  <c r="Q558" i="17"/>
  <c r="S558" i="17" s="1"/>
  <c r="N559" i="17" l="1"/>
  <c r="M560" i="17" s="1"/>
  <c r="E560" i="17" s="1"/>
  <c r="L560" i="17" s="1"/>
  <c r="BO381" i="17"/>
  <c r="BP381" i="17" s="1"/>
  <c r="BN381" i="17"/>
  <c r="AF186" i="15" s="1"/>
  <c r="BC382" i="17"/>
  <c r="BH382" i="17" s="1"/>
  <c r="U414" i="17"/>
  <c r="AC414" i="17" s="1"/>
  <c r="AF413" i="17"/>
  <c r="AG413" i="17" s="1"/>
  <c r="P559" i="17"/>
  <c r="O559" i="17" l="1"/>
  <c r="N560" i="17" s="1"/>
  <c r="AH413" i="17"/>
  <c r="AS413" i="17" s="1"/>
  <c r="AL413" i="17"/>
  <c r="AY413" i="17" s="1"/>
  <c r="BD382" i="17"/>
  <c r="BK382" i="17" s="1"/>
  <c r="BL382" i="17" s="1"/>
  <c r="BM382" i="17" s="1"/>
  <c r="AL438" i="15"/>
  <c r="BQ381" i="17"/>
  <c r="AD414" i="17"/>
  <c r="W414" i="17"/>
  <c r="Y414" i="17" s="1"/>
  <c r="AB414" i="17" s="1"/>
  <c r="Q559" i="17"/>
  <c r="S559" i="17" s="1"/>
  <c r="AM413" i="17" l="1"/>
  <c r="AN413" i="17" s="1"/>
  <c r="AU413" i="17"/>
  <c r="AV413" i="17" s="1"/>
  <c r="AT413" i="17"/>
  <c r="AW413" i="17" s="1"/>
  <c r="AX413" i="17" s="1"/>
  <c r="AZ413" i="17" s="1"/>
  <c r="BE382" i="17"/>
  <c r="BF382" i="17" s="1"/>
  <c r="BG382" i="17" s="1"/>
  <c r="BJ382" i="17"/>
  <c r="AE414" i="17"/>
  <c r="AF414" i="17" s="1"/>
  <c r="AG414" i="17" s="1"/>
  <c r="AL414" i="17" s="1"/>
  <c r="AY414" i="17" s="1"/>
  <c r="P560" i="17"/>
  <c r="M561" i="17"/>
  <c r="O560" i="17"/>
  <c r="AA414" i="17"/>
  <c r="AK414" i="17" s="1"/>
  <c r="Z414" i="17"/>
  <c r="AH414" i="17" l="1"/>
  <c r="AS414" i="17" s="1"/>
  <c r="BI382" i="17"/>
  <c r="BO382" i="17" s="1"/>
  <c r="BP382" i="17" s="1"/>
  <c r="BC383" i="17"/>
  <c r="BH383" i="17" s="1"/>
  <c r="AM414" i="17"/>
  <c r="U415" i="17"/>
  <c r="AC415" i="17" s="1"/>
  <c r="AO413" i="17"/>
  <c r="AP413" i="17" s="1"/>
  <c r="E561" i="17"/>
  <c r="L561" i="17" s="1"/>
  <c r="Q560" i="17"/>
  <c r="S560" i="17" s="1"/>
  <c r="AT414" i="17" l="1"/>
  <c r="AW414" i="17" s="1"/>
  <c r="AX414" i="17" s="1"/>
  <c r="AZ414" i="17" s="1"/>
  <c r="AU414" i="17"/>
  <c r="AV414" i="17" s="1"/>
  <c r="BN382" i="17"/>
  <c r="AF187" i="15" s="1"/>
  <c r="P561" i="17"/>
  <c r="Q561" i="17" s="1"/>
  <c r="S561" i="17" s="1"/>
  <c r="BD383" i="17"/>
  <c r="BE383" i="17" s="1"/>
  <c r="BF383" i="17" s="1"/>
  <c r="AL439" i="15"/>
  <c r="W415" i="17"/>
  <c r="AA415" i="17" s="1"/>
  <c r="AK415" i="17" s="1"/>
  <c r="AQ413" i="17"/>
  <c r="AR413" i="17"/>
  <c r="AN414" i="17"/>
  <c r="N561" i="17"/>
  <c r="AD415" i="17"/>
  <c r="BQ382" i="17" l="1"/>
  <c r="BG383" i="17"/>
  <c r="BI383" i="17"/>
  <c r="BK383" i="17"/>
  <c r="BL383" i="17" s="1"/>
  <c r="BM383" i="17" s="1"/>
  <c r="BJ383" i="17"/>
  <c r="Y415" i="17"/>
  <c r="AB415" i="17" s="1"/>
  <c r="AO414" i="17"/>
  <c r="O561" i="17"/>
  <c r="M562" i="17"/>
  <c r="AE415" i="17"/>
  <c r="AF415" i="17" l="1"/>
  <c r="AG415" i="17" s="1"/>
  <c r="AH415" i="17" s="1"/>
  <c r="AS415" i="17" s="1"/>
  <c r="Z415" i="17"/>
  <c r="U416" i="17" s="1"/>
  <c r="AC416" i="17" s="1"/>
  <c r="BO383" i="17"/>
  <c r="BP383" i="17" s="1"/>
  <c r="BN383" i="17"/>
  <c r="AF175" i="15" s="1"/>
  <c r="BC384" i="17"/>
  <c r="BH384" i="17" s="1"/>
  <c r="P562" i="17"/>
  <c r="E562" i="17"/>
  <c r="L562" i="17" s="1"/>
  <c r="AP414" i="17"/>
  <c r="AQ414" i="17" s="1"/>
  <c r="AL415" i="17" l="1"/>
  <c r="AY415" i="17" s="1"/>
  <c r="AT415" i="17"/>
  <c r="AW415" i="17" s="1"/>
  <c r="AX415" i="17" s="1"/>
  <c r="AZ415" i="17" s="1"/>
  <c r="AU415" i="17"/>
  <c r="AV415" i="17" s="1"/>
  <c r="BD384" i="17"/>
  <c r="BK384" i="17" s="1"/>
  <c r="BL384" i="17" s="1"/>
  <c r="BM384" i="17" s="1"/>
  <c r="AL29" i="15"/>
  <c r="BQ383" i="17"/>
  <c r="W416" i="17"/>
  <c r="AA416" i="17" s="1"/>
  <c r="AK416" i="17" s="1"/>
  <c r="N562" i="17"/>
  <c r="AR414" i="17"/>
  <c r="Q562" i="17"/>
  <c r="S562" i="17" s="1"/>
  <c r="AD416" i="17"/>
  <c r="AM415" i="17" l="1"/>
  <c r="AN415" i="17" s="1"/>
  <c r="AO415" i="17" s="1"/>
  <c r="BE384" i="17"/>
  <c r="BF384" i="17" s="1"/>
  <c r="BI384" i="17" s="1"/>
  <c r="BJ384" i="17"/>
  <c r="Y416" i="17"/>
  <c r="AB416" i="17" s="1"/>
  <c r="AE416" i="17"/>
  <c r="O562" i="17"/>
  <c r="M563" i="17"/>
  <c r="E563" i="17" s="1"/>
  <c r="L563" i="17" s="1"/>
  <c r="BG384" i="17" l="1"/>
  <c r="BC385" i="17" s="1"/>
  <c r="BH385" i="17" s="1"/>
  <c r="BO384" i="17"/>
  <c r="BP384" i="17" s="1"/>
  <c r="BN384" i="17"/>
  <c r="AF171" i="15" s="1"/>
  <c r="Z416" i="17"/>
  <c r="N563" i="17"/>
  <c r="AF416" i="17"/>
  <c r="AG416" i="17" s="1"/>
  <c r="AP415" i="17"/>
  <c r="AQ415" i="17" s="1"/>
  <c r="P563" i="17"/>
  <c r="AH416" i="17" l="1"/>
  <c r="AS416" i="17" s="1"/>
  <c r="AL416" i="17"/>
  <c r="AL440" i="15"/>
  <c r="BQ384" i="17"/>
  <c r="U417" i="17"/>
  <c r="W417" i="17" s="1"/>
  <c r="AA417" i="17" s="1"/>
  <c r="AK417" i="17" s="1"/>
  <c r="BD385" i="17"/>
  <c r="BE385" i="17" s="1"/>
  <c r="BF385" i="17" s="1"/>
  <c r="Q563" i="17"/>
  <c r="S563" i="17" s="1"/>
  <c r="AR415" i="17"/>
  <c r="O563" i="17"/>
  <c r="M564" i="17"/>
  <c r="AY416" i="17" l="1"/>
  <c r="AM416" i="17"/>
  <c r="AN416" i="17" s="1"/>
  <c r="AO416" i="17" s="1"/>
  <c r="AT416" i="17"/>
  <c r="AW416" i="17" s="1"/>
  <c r="AX416" i="17" s="1"/>
  <c r="AZ416" i="17" s="1"/>
  <c r="AU416" i="17"/>
  <c r="AV416" i="17" s="1"/>
  <c r="AC417" i="17"/>
  <c r="Y417" i="17"/>
  <c r="AB417" i="17" s="1"/>
  <c r="BG385" i="17"/>
  <c r="BI385" i="17"/>
  <c r="BK385" i="17"/>
  <c r="BL385" i="17" s="1"/>
  <c r="BM385" i="17" s="1"/>
  <c r="BJ385" i="17"/>
  <c r="P564" i="17"/>
  <c r="E564" i="17"/>
  <c r="L564" i="17" s="1"/>
  <c r="AP416" i="17" l="1"/>
  <c r="AR416" i="17" s="1"/>
  <c r="Z417" i="17"/>
  <c r="BC386" i="17"/>
  <c r="BD386" i="17" s="1"/>
  <c r="BO385" i="17"/>
  <c r="BP385" i="17" s="1"/>
  <c r="BN385" i="17"/>
  <c r="AF173" i="15" s="1"/>
  <c r="AD417" i="17"/>
  <c r="Q564" i="17"/>
  <c r="S564" i="17" s="1"/>
  <c r="N564" i="17"/>
  <c r="AQ416" i="17" l="1"/>
  <c r="U418" i="17"/>
  <c r="W418" i="17" s="1"/>
  <c r="AL441" i="15"/>
  <c r="BQ385" i="17"/>
  <c r="BK386" i="17"/>
  <c r="BL386" i="17" s="1"/>
  <c r="BM386" i="17" s="1"/>
  <c r="BJ386" i="17"/>
  <c r="AE417" i="17"/>
  <c r="AF417" i="17" s="1"/>
  <c r="AG417" i="17" s="1"/>
  <c r="BE386" i="17"/>
  <c r="BF386" i="17" s="1"/>
  <c r="BH386" i="17"/>
  <c r="O564" i="17"/>
  <c r="M565" i="17"/>
  <c r="E565" i="17" s="1"/>
  <c r="L565" i="17" s="1"/>
  <c r="AH417" i="17" l="1"/>
  <c r="AS417" i="17" s="1"/>
  <c r="AL417" i="17"/>
  <c r="AA418" i="17"/>
  <c r="AK418" i="17" s="1"/>
  <c r="AC418" i="17"/>
  <c r="Y418" i="17"/>
  <c r="AB418" i="17" s="1"/>
  <c r="BG386" i="17"/>
  <c r="BI386" i="17"/>
  <c r="N565" i="17"/>
  <c r="O565" i="17" s="1"/>
  <c r="P565" i="17"/>
  <c r="AY417" i="17" l="1"/>
  <c r="AM417" i="17"/>
  <c r="AU417" i="17"/>
  <c r="AV417" i="17" s="1"/>
  <c r="AT417" i="17"/>
  <c r="AW417" i="17" s="1"/>
  <c r="AX417" i="17" s="1"/>
  <c r="AZ417" i="17" s="1"/>
  <c r="M566" i="17"/>
  <c r="E566" i="17" s="1"/>
  <c r="L566" i="17" s="1"/>
  <c r="N566" i="17" s="1"/>
  <c r="Z418" i="17"/>
  <c r="U419" i="17" s="1"/>
  <c r="AC419" i="17" s="1"/>
  <c r="AD418" i="17"/>
  <c r="AE418" i="17" s="1"/>
  <c r="AF418" i="17" s="1"/>
  <c r="AG418" i="17" s="1"/>
  <c r="BC387" i="17"/>
  <c r="BH387" i="17" s="1"/>
  <c r="BO386" i="17"/>
  <c r="BP386" i="17" s="1"/>
  <c r="BN386" i="17"/>
  <c r="AF174" i="15" s="1"/>
  <c r="Q565" i="17"/>
  <c r="S565" i="17" s="1"/>
  <c r="AN417" i="17" l="1"/>
  <c r="AO417" i="17" s="1"/>
  <c r="AH418" i="17"/>
  <c r="AS418" i="17" s="1"/>
  <c r="AT418" i="17" s="1"/>
  <c r="AW418" i="17" s="1"/>
  <c r="AL418" i="17"/>
  <c r="AY418" i="17" s="1"/>
  <c r="AD419" i="17"/>
  <c r="AE419" i="17" s="1"/>
  <c r="W419" i="17"/>
  <c r="AA419" i="17" s="1"/>
  <c r="AK419" i="17" s="1"/>
  <c r="BD387" i="17"/>
  <c r="BE387" i="17" s="1"/>
  <c r="AL442" i="15"/>
  <c r="BQ386" i="17"/>
  <c r="P566" i="17"/>
  <c r="Q566" i="17" s="1"/>
  <c r="S566" i="17" s="1"/>
  <c r="O566" i="17"/>
  <c r="M567" i="17"/>
  <c r="E567" i="17" s="1"/>
  <c r="L567" i="17" s="1"/>
  <c r="Y419" i="17" l="1"/>
  <c r="AB419" i="17" s="1"/>
  <c r="AF419" i="17" s="1"/>
  <c r="AG419" i="17" s="1"/>
  <c r="AX418" i="17"/>
  <c r="AZ418" i="17" s="1"/>
  <c r="AP417" i="17"/>
  <c r="AR417" i="17" s="1"/>
  <c r="AM418" i="17"/>
  <c r="AN418" i="17" s="1"/>
  <c r="AO418" i="17" s="1"/>
  <c r="AP418" i="17" s="1"/>
  <c r="AR418" i="17" s="1"/>
  <c r="AU418" i="17"/>
  <c r="AV418" i="17" s="1"/>
  <c r="BK387" i="17"/>
  <c r="BL387" i="17" s="1"/>
  <c r="BM387" i="17" s="1"/>
  <c r="BJ387" i="17"/>
  <c r="BF387" i="17"/>
  <c r="BG387" i="17" s="1"/>
  <c r="BC388" i="17" s="1"/>
  <c r="P567" i="17"/>
  <c r="N567" i="17"/>
  <c r="Z419" i="17" l="1"/>
  <c r="U420" i="17" s="1"/>
  <c r="AC420" i="17" s="1"/>
  <c r="AD420" i="17" s="1"/>
  <c r="AQ418" i="17"/>
  <c r="AQ417" i="17"/>
  <c r="AH419" i="17"/>
  <c r="AS419" i="17" s="1"/>
  <c r="AT419" i="17" s="1"/>
  <c r="AW419" i="17" s="1"/>
  <c r="AX419" i="17" s="1"/>
  <c r="AZ419" i="17" s="1"/>
  <c r="AL419" i="17"/>
  <c r="AY419" i="17" s="1"/>
  <c r="BI387" i="17"/>
  <c r="BD388" i="17"/>
  <c r="BH388" i="17"/>
  <c r="Q567" i="17"/>
  <c r="S567" i="17" s="1"/>
  <c r="M568" i="17"/>
  <c r="O567" i="17"/>
  <c r="W420" i="17" l="1"/>
  <c r="AA420" i="17" s="1"/>
  <c r="AK420" i="17" s="1"/>
  <c r="AU419" i="17"/>
  <c r="AV419" i="17" s="1"/>
  <c r="AM419" i="17"/>
  <c r="AN419" i="17" s="1"/>
  <c r="AO419" i="17" s="1"/>
  <c r="P568" i="17"/>
  <c r="Q568" i="17" s="1"/>
  <c r="S568" i="17" s="1"/>
  <c r="BN387" i="17"/>
  <c r="AF176" i="15" s="1"/>
  <c r="BO387" i="17"/>
  <c r="BP387" i="17" s="1"/>
  <c r="E568" i="17"/>
  <c r="L568" i="17" s="1"/>
  <c r="N568" i="17" s="1"/>
  <c r="BK388" i="17"/>
  <c r="BL388" i="17" s="1"/>
  <c r="BM388" i="17" s="1"/>
  <c r="BJ388" i="17"/>
  <c r="BE388" i="17"/>
  <c r="BF388" i="17" s="1"/>
  <c r="AE420" i="17"/>
  <c r="Y420" i="17" l="1"/>
  <c r="AB420" i="17" s="1"/>
  <c r="AF420" i="17" s="1"/>
  <c r="AG420" i="17" s="1"/>
  <c r="AH420" i="17" s="1"/>
  <c r="AS420" i="17" s="1"/>
  <c r="AL443" i="15"/>
  <c r="BQ387" i="17"/>
  <c r="BG388" i="17"/>
  <c r="BI388" i="17"/>
  <c r="O568" i="17"/>
  <c r="M569" i="17"/>
  <c r="E569" i="17" s="1"/>
  <c r="L569" i="17" s="1"/>
  <c r="AP419" i="17"/>
  <c r="AQ419" i="17" s="1"/>
  <c r="Z420" i="17" l="1"/>
  <c r="U421" i="17" s="1"/>
  <c r="AC421" i="17" s="1"/>
  <c r="AD421" i="17" s="1"/>
  <c r="AT420" i="17"/>
  <c r="AW420" i="17" s="1"/>
  <c r="AX420" i="17" s="1"/>
  <c r="AZ420" i="17" s="1"/>
  <c r="AU420" i="17"/>
  <c r="AV420" i="17" s="1"/>
  <c r="AL420" i="17"/>
  <c r="BO388" i="17"/>
  <c r="BP388" i="17" s="1"/>
  <c r="BN388" i="17"/>
  <c r="AF178" i="15" s="1"/>
  <c r="BC389" i="17"/>
  <c r="BH389" i="17" s="1"/>
  <c r="N569" i="17"/>
  <c r="AR419" i="17"/>
  <c r="P569" i="17"/>
  <c r="Q569" i="17" s="1"/>
  <c r="W421" i="17" l="1"/>
  <c r="AA421" i="17" s="1"/>
  <c r="AK421" i="17" s="1"/>
  <c r="AY420" i="17"/>
  <c r="AM420" i="17"/>
  <c r="AN420" i="17" s="1"/>
  <c r="BD389" i="17"/>
  <c r="BK389" i="17" s="1"/>
  <c r="BL389" i="17" s="1"/>
  <c r="BM389" i="17" s="1"/>
  <c r="AL67" i="15"/>
  <c r="BQ388" i="17"/>
  <c r="AE421" i="17"/>
  <c r="O569" i="17"/>
  <c r="M570" i="17"/>
  <c r="E570" i="17" s="1"/>
  <c r="L570" i="17" s="1"/>
  <c r="S569" i="17"/>
  <c r="Y421" i="17" l="1"/>
  <c r="AB421" i="17" s="1"/>
  <c r="AF421" i="17" s="1"/>
  <c r="AG421" i="17" s="1"/>
  <c r="AO420" i="17"/>
  <c r="AP420" i="17" s="1"/>
  <c r="BE389" i="17"/>
  <c r="BF389" i="17" s="1"/>
  <c r="BG389" i="17" s="1"/>
  <c r="BJ389" i="17"/>
  <c r="N570" i="17"/>
  <c r="M571" i="17" s="1"/>
  <c r="P570" i="17"/>
  <c r="Q570" i="17" s="1"/>
  <c r="S570" i="17" s="1"/>
  <c r="Z421" i="17" l="1"/>
  <c r="U422" i="17" s="1"/>
  <c r="AC422" i="17" s="1"/>
  <c r="AD422" i="17" s="1"/>
  <c r="AE422" i="17" s="1"/>
  <c r="O570" i="17"/>
  <c r="BI389" i="17"/>
  <c r="BO389" i="17" s="1"/>
  <c r="BP389" i="17" s="1"/>
  <c r="AH421" i="17"/>
  <c r="AS421" i="17" s="1"/>
  <c r="AL421" i="17"/>
  <c r="AY421" i="17" s="1"/>
  <c r="P571" i="17"/>
  <c r="Q571" i="17" s="1"/>
  <c r="S571" i="17" s="1"/>
  <c r="BC390" i="17"/>
  <c r="AR420" i="17"/>
  <c r="AQ420" i="17"/>
  <c r="E571" i="17"/>
  <c r="L571" i="17" s="1"/>
  <c r="W422" i="17" l="1"/>
  <c r="Y422" i="17" s="1"/>
  <c r="AB422" i="17" s="1"/>
  <c r="BN389" i="17"/>
  <c r="AF179" i="15" s="1"/>
  <c r="AT421" i="17"/>
  <c r="AW421" i="17" s="1"/>
  <c r="AU421" i="17"/>
  <c r="AV421" i="17" s="1"/>
  <c r="AM421" i="17"/>
  <c r="AN421" i="17" s="1"/>
  <c r="AO421" i="17" s="1"/>
  <c r="BD390" i="17"/>
  <c r="BE390" i="17" s="1"/>
  <c r="BF390" i="17" s="1"/>
  <c r="BH390" i="17"/>
  <c r="AL444" i="15"/>
  <c r="N571" i="17"/>
  <c r="AA422" i="17" l="1"/>
  <c r="AK422" i="17" s="1"/>
  <c r="BQ389" i="17"/>
  <c r="AX421" i="17"/>
  <c r="AZ421" i="17" s="1"/>
  <c r="BG390" i="17"/>
  <c r="BI390" i="17"/>
  <c r="BK390" i="17"/>
  <c r="BL390" i="17" s="1"/>
  <c r="BM390" i="17" s="1"/>
  <c r="BJ390" i="17"/>
  <c r="AF422" i="17"/>
  <c r="AG422" i="17" s="1"/>
  <c r="Z422" i="17"/>
  <c r="M572" i="17"/>
  <c r="O571" i="17"/>
  <c r="AP421" i="17"/>
  <c r="AQ421" i="17" s="1"/>
  <c r="AH422" i="17" l="1"/>
  <c r="AS422" i="17" s="1"/>
  <c r="AL422" i="17"/>
  <c r="AY422" i="17" s="1"/>
  <c r="BO390" i="17"/>
  <c r="BP390" i="17" s="1"/>
  <c r="BN390" i="17"/>
  <c r="AF180" i="15" s="1"/>
  <c r="BC391" i="17"/>
  <c r="BH391" i="17" s="1"/>
  <c r="U423" i="17"/>
  <c r="W423" i="17" s="1"/>
  <c r="AA423" i="17" s="1"/>
  <c r="AK423" i="17" s="1"/>
  <c r="P572" i="17"/>
  <c r="E572" i="17"/>
  <c r="L572" i="17" s="1"/>
  <c r="AR421" i="17"/>
  <c r="AM422" i="17" l="1"/>
  <c r="AN422" i="17" s="1"/>
  <c r="AT422" i="17"/>
  <c r="AW422" i="17" s="1"/>
  <c r="AX422" i="17" s="1"/>
  <c r="AZ422" i="17" s="1"/>
  <c r="AU422" i="17"/>
  <c r="AV422" i="17" s="1"/>
  <c r="BD391" i="17"/>
  <c r="AL75" i="15"/>
  <c r="BQ390" i="17"/>
  <c r="AC423" i="17"/>
  <c r="Y423" i="17"/>
  <c r="N572" i="17"/>
  <c r="Q572" i="17"/>
  <c r="S572" i="17" s="1"/>
  <c r="AO422" i="17" l="1"/>
  <c r="BK391" i="17"/>
  <c r="BJ391" i="17"/>
  <c r="BE391" i="17"/>
  <c r="BF391" i="17" s="1"/>
  <c r="AB423" i="17"/>
  <c r="Z423" i="17"/>
  <c r="U424" i="17" s="1"/>
  <c r="AC424" i="17" s="1"/>
  <c r="AD423" i="17"/>
  <c r="AE423" i="17" s="1"/>
  <c r="M573" i="17"/>
  <c r="E573" i="17" s="1"/>
  <c r="L573" i="17" s="1"/>
  <c r="O572" i="17"/>
  <c r="N573" i="17" l="1"/>
  <c r="O573" i="17" s="1"/>
  <c r="AP422" i="17"/>
  <c r="AR422" i="17" s="1"/>
  <c r="BG391" i="17"/>
  <c r="BI391" i="17"/>
  <c r="AD424" i="17"/>
  <c r="AE424" i="17" s="1"/>
  <c r="W424" i="17"/>
  <c r="AA424" i="17" s="1"/>
  <c r="AK424" i="17" s="1"/>
  <c r="BL391" i="17"/>
  <c r="BM391" i="17" s="1"/>
  <c r="AF423" i="17"/>
  <c r="AG423" i="17" s="1"/>
  <c r="AL423" i="17" s="1"/>
  <c r="AY423" i="17" s="1"/>
  <c r="P573" i="17"/>
  <c r="AQ422" i="17" l="1"/>
  <c r="AH423" i="17"/>
  <c r="AS423" i="17" s="1"/>
  <c r="M574" i="17"/>
  <c r="E574" i="17" s="1"/>
  <c r="L574" i="17" s="1"/>
  <c r="N574" i="17" s="1"/>
  <c r="Y424" i="17"/>
  <c r="BO391" i="17"/>
  <c r="BP391" i="17" s="1"/>
  <c r="BN391" i="17"/>
  <c r="AF172" i="15" s="1"/>
  <c r="BC392" i="17"/>
  <c r="AM423" i="17"/>
  <c r="AN423" i="17" s="1"/>
  <c r="Q573" i="17"/>
  <c r="S573" i="17" s="1"/>
  <c r="AU423" i="17" l="1"/>
  <c r="AV423" i="17" s="1"/>
  <c r="AT423" i="17"/>
  <c r="AW423" i="17" s="1"/>
  <c r="BD392" i="17"/>
  <c r="BH392" i="17"/>
  <c r="AL103" i="15"/>
  <c r="BQ391" i="17"/>
  <c r="AB424" i="17"/>
  <c r="Z424" i="17"/>
  <c r="AO423" i="17"/>
  <c r="O574" i="17"/>
  <c r="M575" i="17"/>
  <c r="E575" i="17" s="1"/>
  <c r="L575" i="17" s="1"/>
  <c r="P574" i="17"/>
  <c r="Q574" i="17" s="1"/>
  <c r="AX423" i="17" l="1"/>
  <c r="AZ423" i="17" s="1"/>
  <c r="AF424" i="17"/>
  <c r="AG424" i="17" s="1"/>
  <c r="AL424" i="17" s="1"/>
  <c r="BJ392" i="17"/>
  <c r="BK392" i="17"/>
  <c r="BL392" i="17" s="1"/>
  <c r="BM392" i="17" s="1"/>
  <c r="U425" i="17"/>
  <c r="W425" i="17" s="1"/>
  <c r="AA425" i="17" s="1"/>
  <c r="AK425" i="17" s="1"/>
  <c r="BE392" i="17"/>
  <c r="BF392" i="17" s="1"/>
  <c r="AP423" i="17"/>
  <c r="AQ423" i="17" s="1"/>
  <c r="P575" i="17"/>
  <c r="S574" i="17"/>
  <c r="N575" i="17"/>
  <c r="AH424" i="17" l="1"/>
  <c r="AS424" i="17" s="1"/>
  <c r="BG392" i="17"/>
  <c r="BI392" i="17"/>
  <c r="AC425" i="17"/>
  <c r="Y425" i="17"/>
  <c r="AB425" i="17" s="1"/>
  <c r="AY424" i="17"/>
  <c r="AM424" i="17"/>
  <c r="AR423" i="17"/>
  <c r="M576" i="17"/>
  <c r="O575" i="17"/>
  <c r="Q575" i="17"/>
  <c r="S575" i="17" s="1"/>
  <c r="AT424" i="17" l="1"/>
  <c r="AW424" i="17" s="1"/>
  <c r="AX424" i="17" s="1"/>
  <c r="AZ424" i="17" s="1"/>
  <c r="AU424" i="17"/>
  <c r="AV424" i="17" s="1"/>
  <c r="AN424" i="17"/>
  <c r="AO424" i="17" s="1"/>
  <c r="AP424" i="17" s="1"/>
  <c r="AQ424" i="17" s="1"/>
  <c r="Z425" i="17"/>
  <c r="BO392" i="17"/>
  <c r="BP392" i="17" s="1"/>
  <c r="BN392" i="17"/>
  <c r="AF168" i="15" s="1"/>
  <c r="AD425" i="17"/>
  <c r="BC393" i="17"/>
  <c r="BD393" i="17" s="1"/>
  <c r="E576" i="17"/>
  <c r="L576" i="17" s="1"/>
  <c r="P576" i="17"/>
  <c r="BE393" i="17" l="1"/>
  <c r="BF393" i="17" s="1"/>
  <c r="BH393" i="17"/>
  <c r="BK393" i="17"/>
  <c r="BL393" i="17" s="1"/>
  <c r="BM393" i="17" s="1"/>
  <c r="BJ393" i="17"/>
  <c r="U426" i="17"/>
  <c r="AC426" i="17" s="1"/>
  <c r="AL89" i="15"/>
  <c r="BQ392" i="17"/>
  <c r="AR424" i="17"/>
  <c r="AE425" i="17"/>
  <c r="AF425" i="17" s="1"/>
  <c r="AG425" i="17" s="1"/>
  <c r="N576" i="17"/>
  <c r="Q576" i="17"/>
  <c r="S576" i="17" s="1"/>
  <c r="AH425" i="17" l="1"/>
  <c r="AS425" i="17" s="1"/>
  <c r="AL425" i="17"/>
  <c r="AY425" i="17" s="1"/>
  <c r="BG393" i="17"/>
  <c r="BI393" i="17"/>
  <c r="AD426" i="17"/>
  <c r="W426" i="17"/>
  <c r="O576" i="17"/>
  <c r="M577" i="17"/>
  <c r="AT425" i="17" l="1"/>
  <c r="AW425" i="17" s="1"/>
  <c r="AX425" i="17" s="1"/>
  <c r="AZ425" i="17" s="1"/>
  <c r="AU425" i="17"/>
  <c r="AV425" i="17" s="1"/>
  <c r="AM425" i="17"/>
  <c r="AN425" i="17" s="1"/>
  <c r="AO425" i="17" s="1"/>
  <c r="AP425" i="17" s="1"/>
  <c r="AQ425" i="17" s="1"/>
  <c r="BO393" i="17"/>
  <c r="BP393" i="17" s="1"/>
  <c r="BN393" i="17"/>
  <c r="AF170" i="15" s="1"/>
  <c r="AA426" i="17"/>
  <c r="AK426" i="17" s="1"/>
  <c r="Y426" i="17"/>
  <c r="AB426" i="17" s="1"/>
  <c r="AE426" i="17"/>
  <c r="BC394" i="17"/>
  <c r="BH394" i="17" s="1"/>
  <c r="E577" i="17"/>
  <c r="L577" i="17" s="1"/>
  <c r="P577" i="17"/>
  <c r="AR425" i="17" l="1"/>
  <c r="BD394" i="17"/>
  <c r="BE394" i="17" s="1"/>
  <c r="BF394" i="17" s="1"/>
  <c r="BG394" i="17" s="1"/>
  <c r="Z426" i="17"/>
  <c r="AF426" i="17"/>
  <c r="AG426" i="17" s="1"/>
  <c r="AL426" i="17" s="1"/>
  <c r="AY426" i="17" s="1"/>
  <c r="AL445" i="15"/>
  <c r="BQ393" i="17"/>
  <c r="N577" i="17"/>
  <c r="Q577" i="17"/>
  <c r="S577" i="17" s="1"/>
  <c r="AH426" i="17" l="1"/>
  <c r="AS426" i="17" s="1"/>
  <c r="AM426" i="17"/>
  <c r="AN426" i="17" s="1"/>
  <c r="BK394" i="17"/>
  <c r="BL394" i="17" s="1"/>
  <c r="BM394" i="17" s="1"/>
  <c r="BI394" i="17"/>
  <c r="BO394" i="17" s="1"/>
  <c r="BP394" i="17" s="1"/>
  <c r="BJ394" i="17"/>
  <c r="U427" i="17"/>
  <c r="AC427" i="17" s="1"/>
  <c r="BC395" i="17"/>
  <c r="BD395" i="17" s="1"/>
  <c r="M578" i="17"/>
  <c r="E578" i="17" s="1"/>
  <c r="L578" i="17" s="1"/>
  <c r="O577" i="17"/>
  <c r="AO426" i="17" l="1"/>
  <c r="AT426" i="17"/>
  <c r="AW426" i="17" s="1"/>
  <c r="AX426" i="17" s="1"/>
  <c r="AZ426" i="17" s="1"/>
  <c r="AU426" i="17"/>
  <c r="AV426" i="17" s="1"/>
  <c r="BN394" i="17"/>
  <c r="AF161" i="15" s="1"/>
  <c r="AP426" i="17"/>
  <c r="AQ426" i="17" s="1"/>
  <c r="BK395" i="17"/>
  <c r="BJ395" i="17"/>
  <c r="W427" i="17"/>
  <c r="AD427" i="17"/>
  <c r="BE395" i="17"/>
  <c r="BF395" i="17" s="1"/>
  <c r="BH395" i="17"/>
  <c r="AL23" i="15"/>
  <c r="P578" i="17"/>
  <c r="N578" i="17"/>
  <c r="BQ394" i="17" l="1"/>
  <c r="AE427" i="17"/>
  <c r="BL395" i="17"/>
  <c r="BM395" i="17" s="1"/>
  <c r="BG395" i="17"/>
  <c r="BI395" i="17"/>
  <c r="AA427" i="17"/>
  <c r="AK427" i="17" s="1"/>
  <c r="Y427" i="17"/>
  <c r="AR426" i="17"/>
  <c r="Q578" i="17"/>
  <c r="S578" i="17" s="1"/>
  <c r="O578" i="17"/>
  <c r="M579" i="17"/>
  <c r="E579" i="17" s="1"/>
  <c r="L579" i="17" s="1"/>
  <c r="AB427" i="17" l="1"/>
  <c r="Z427" i="17"/>
  <c r="BO395" i="17"/>
  <c r="BP395" i="17" s="1"/>
  <c r="BN395" i="17"/>
  <c r="AF153" i="15" s="1"/>
  <c r="BC396" i="17"/>
  <c r="P579" i="17"/>
  <c r="Q579" i="17" s="1"/>
  <c r="S579" i="17" s="1"/>
  <c r="N579" i="17"/>
  <c r="BD396" i="17" l="1"/>
  <c r="BE396" i="17" s="1"/>
  <c r="BF396" i="17" s="1"/>
  <c r="BH396" i="17"/>
  <c r="U428" i="17"/>
  <c r="AC428" i="17" s="1"/>
  <c r="AF427" i="17"/>
  <c r="AG427" i="17" s="1"/>
  <c r="AL446" i="15"/>
  <c r="BQ395" i="17"/>
  <c r="M580" i="17"/>
  <c r="O579" i="17"/>
  <c r="AH427" i="17" l="1"/>
  <c r="AS427" i="17" s="1"/>
  <c r="AL427" i="17"/>
  <c r="AM427" i="17" s="1"/>
  <c r="AN427" i="17" s="1"/>
  <c r="W428" i="17"/>
  <c r="AA428" i="17" s="1"/>
  <c r="AK428" i="17" s="1"/>
  <c r="AD428" i="17"/>
  <c r="BG396" i="17"/>
  <c r="BI396" i="17"/>
  <c r="BJ396" i="17"/>
  <c r="BK396" i="17"/>
  <c r="BL396" i="17" s="1"/>
  <c r="BM396" i="17" s="1"/>
  <c r="E580" i="17"/>
  <c r="L580" i="17" s="1"/>
  <c r="P580" i="17"/>
  <c r="AY427" i="17" l="1"/>
  <c r="AT427" i="17"/>
  <c r="AW427" i="17" s="1"/>
  <c r="AX427" i="17" s="1"/>
  <c r="AZ427" i="17" s="1"/>
  <c r="AU427" i="17"/>
  <c r="AV427" i="17" s="1"/>
  <c r="BC397" i="17"/>
  <c r="AE428" i="17"/>
  <c r="AO427" i="17"/>
  <c r="Y428" i="17"/>
  <c r="AB428" i="17" s="1"/>
  <c r="BO396" i="17"/>
  <c r="BP396" i="17" s="1"/>
  <c r="BN396" i="17"/>
  <c r="AF146" i="15" s="1"/>
  <c r="Q580" i="17"/>
  <c r="S580" i="17" s="1"/>
  <c r="N580" i="17"/>
  <c r="Z428" i="17" l="1"/>
  <c r="U429" i="17" s="1"/>
  <c r="AC429" i="17" s="1"/>
  <c r="BH397" i="17"/>
  <c r="AL447" i="15"/>
  <c r="BQ396" i="17"/>
  <c r="BD397" i="17"/>
  <c r="AP427" i="17"/>
  <c r="AQ427" i="17" s="1"/>
  <c r="AF428" i="17"/>
  <c r="AG428" i="17" s="1"/>
  <c r="AL428" i="17" s="1"/>
  <c r="O580" i="17"/>
  <c r="M581" i="17"/>
  <c r="E581" i="17" s="1"/>
  <c r="L581" i="17" s="1"/>
  <c r="AH428" i="17" l="1"/>
  <c r="AS428" i="17" s="1"/>
  <c r="BK397" i="17"/>
  <c r="BJ397" i="17"/>
  <c r="AY428" i="17"/>
  <c r="AM428" i="17"/>
  <c r="AN428" i="17" s="1"/>
  <c r="AR427" i="17"/>
  <c r="W429" i="17"/>
  <c r="AA429" i="17" s="1"/>
  <c r="AK429" i="17" s="1"/>
  <c r="AD429" i="17"/>
  <c r="BE397" i="17"/>
  <c r="BF397" i="17" s="1"/>
  <c r="N581" i="17"/>
  <c r="P581" i="17"/>
  <c r="AT428" i="17" l="1"/>
  <c r="AW428" i="17" s="1"/>
  <c r="AX428" i="17" s="1"/>
  <c r="AZ428" i="17" s="1"/>
  <c r="AU428" i="17"/>
  <c r="AV428" i="17" s="1"/>
  <c r="Y429" i="17"/>
  <c r="AB429" i="17" s="1"/>
  <c r="BG397" i="17"/>
  <c r="BI397" i="17"/>
  <c r="BL397" i="17"/>
  <c r="BM397" i="17" s="1"/>
  <c r="AE429" i="17"/>
  <c r="AO428" i="17"/>
  <c r="Q581" i="17"/>
  <c r="S581" i="17" s="1"/>
  <c r="O581" i="17"/>
  <c r="M582" i="17"/>
  <c r="E582" i="17" s="1"/>
  <c r="L582" i="17" s="1"/>
  <c r="Z429" i="17" l="1"/>
  <c r="AP428" i="17"/>
  <c r="BO397" i="17"/>
  <c r="BP397" i="17" s="1"/>
  <c r="BN397" i="17"/>
  <c r="AF141" i="15" s="1"/>
  <c r="U430" i="17"/>
  <c r="AC430" i="17" s="1"/>
  <c r="BC398" i="17"/>
  <c r="AF429" i="17"/>
  <c r="AG429" i="17" s="1"/>
  <c r="AL429" i="17" s="1"/>
  <c r="P582" i="17"/>
  <c r="Q582" i="17" s="1"/>
  <c r="S582" i="17" s="1"/>
  <c r="N582" i="17"/>
  <c r="AH429" i="17" l="1"/>
  <c r="AS429" i="17" s="1"/>
  <c r="BD398" i="17"/>
  <c r="BE398" i="17" s="1"/>
  <c r="BF398" i="17" s="1"/>
  <c r="BH398" i="17"/>
  <c r="W430" i="17"/>
  <c r="AA430" i="17" s="1"/>
  <c r="AK430" i="17" s="1"/>
  <c r="AD430" i="17"/>
  <c r="AY429" i="17"/>
  <c r="AM429" i="17"/>
  <c r="AN429" i="17" s="1"/>
  <c r="AR428" i="17"/>
  <c r="AL113" i="15"/>
  <c r="BQ397" i="17"/>
  <c r="AQ428" i="17"/>
  <c r="M583" i="17"/>
  <c r="O582" i="17"/>
  <c r="AT429" i="17" l="1"/>
  <c r="AW429" i="17" s="1"/>
  <c r="AX429" i="17" s="1"/>
  <c r="AZ429" i="17" s="1"/>
  <c r="AU429" i="17"/>
  <c r="AV429" i="17" s="1"/>
  <c r="AO429" i="17"/>
  <c r="BG398" i="17"/>
  <c r="BI398" i="17"/>
  <c r="Y430" i="17"/>
  <c r="AB430" i="17" s="1"/>
  <c r="AE430" i="17"/>
  <c r="BJ398" i="17"/>
  <c r="BK398" i="17"/>
  <c r="BL398" i="17" s="1"/>
  <c r="BM398" i="17" s="1"/>
  <c r="P583" i="17"/>
  <c r="E583" i="17"/>
  <c r="L583" i="17" s="1"/>
  <c r="BC399" i="17" l="1"/>
  <c r="BH399" i="17" s="1"/>
  <c r="AF430" i="17"/>
  <c r="AG430" i="17" s="1"/>
  <c r="AP429" i="17"/>
  <c r="Z430" i="17"/>
  <c r="BO398" i="17"/>
  <c r="BP398" i="17" s="1"/>
  <c r="BN398" i="17"/>
  <c r="AF142" i="15" s="1"/>
  <c r="Q583" i="17"/>
  <c r="S583" i="17" s="1"/>
  <c r="N583" i="17"/>
  <c r="AH430" i="17" l="1"/>
  <c r="AS430" i="17" s="1"/>
  <c r="AL430" i="17"/>
  <c r="AY430" i="17" s="1"/>
  <c r="BD399" i="17"/>
  <c r="BE399" i="17" s="1"/>
  <c r="BF399" i="17" s="1"/>
  <c r="BG399" i="17" s="1"/>
  <c r="AL448" i="15"/>
  <c r="BQ398" i="17"/>
  <c r="AR429" i="17"/>
  <c r="U431" i="17"/>
  <c r="AC431" i="17" s="1"/>
  <c r="AQ429" i="17"/>
  <c r="O583" i="17"/>
  <c r="M584" i="17"/>
  <c r="AM430" i="17" l="1"/>
  <c r="AN430" i="17" s="1"/>
  <c r="BJ399" i="17"/>
  <c r="AT430" i="17"/>
  <c r="AW430" i="17" s="1"/>
  <c r="AX430" i="17" s="1"/>
  <c r="AZ430" i="17" s="1"/>
  <c r="AU430" i="17"/>
  <c r="AV430" i="17" s="1"/>
  <c r="BK399" i="17"/>
  <c r="BL399" i="17" s="1"/>
  <c r="BM399" i="17" s="1"/>
  <c r="BI399" i="17"/>
  <c r="BO399" i="17" s="1"/>
  <c r="BP399" i="17" s="1"/>
  <c r="AD431" i="17"/>
  <c r="W431" i="17"/>
  <c r="BC400" i="17"/>
  <c r="E584" i="17"/>
  <c r="L584" i="17" s="1"/>
  <c r="P584" i="17"/>
  <c r="BN399" i="17" l="1"/>
  <c r="AF145" i="15" s="1"/>
  <c r="Y431" i="17"/>
  <c r="AA431" i="17"/>
  <c r="AK431" i="17" s="1"/>
  <c r="AL449" i="15"/>
  <c r="AE431" i="17"/>
  <c r="BD400" i="17"/>
  <c r="BH400" i="17"/>
  <c r="AO430" i="17"/>
  <c r="AP430" i="17" s="1"/>
  <c r="AR430" i="17" s="1"/>
  <c r="Q584" i="17"/>
  <c r="S584" i="17" s="1"/>
  <c r="N584" i="17"/>
  <c r="BQ399" i="17" l="1"/>
  <c r="AQ430" i="17"/>
  <c r="BK400" i="17"/>
  <c r="BL400" i="17" s="1"/>
  <c r="BM400" i="17" s="1"/>
  <c r="BJ400" i="17"/>
  <c r="BE400" i="17"/>
  <c r="BF400" i="17" s="1"/>
  <c r="AB431" i="17"/>
  <c r="Z431" i="17"/>
  <c r="M585" i="17"/>
  <c r="E585" i="17" s="1"/>
  <c r="L585" i="17" s="1"/>
  <c r="O584" i="17"/>
  <c r="BG400" i="17" l="1"/>
  <c r="BI400" i="17"/>
  <c r="U432" i="17"/>
  <c r="AC432" i="17" s="1"/>
  <c r="AF431" i="17"/>
  <c r="AG431" i="17" s="1"/>
  <c r="AL431" i="17" s="1"/>
  <c r="N585" i="17"/>
  <c r="P585" i="17"/>
  <c r="AH431" i="17" l="1"/>
  <c r="AS431" i="17" s="1"/>
  <c r="AY431" i="17"/>
  <c r="AM431" i="17"/>
  <c r="AD432" i="17"/>
  <c r="BO400" i="17"/>
  <c r="BP400" i="17" s="1"/>
  <c r="BN400" i="17"/>
  <c r="AF147" i="15" s="1"/>
  <c r="W432" i="17"/>
  <c r="BC401" i="17"/>
  <c r="BD401" i="17" s="1"/>
  <c r="O585" i="17"/>
  <c r="M586" i="17"/>
  <c r="Q585" i="17"/>
  <c r="S585" i="17" s="1"/>
  <c r="AT431" i="17" l="1"/>
  <c r="AW431" i="17" s="1"/>
  <c r="AX431" i="17" s="1"/>
  <c r="AZ431" i="17" s="1"/>
  <c r="AU431" i="17"/>
  <c r="AV431" i="17" s="1"/>
  <c r="P586" i="17"/>
  <c r="Q586" i="17" s="1"/>
  <c r="S586" i="17" s="1"/>
  <c r="AA432" i="17"/>
  <c r="AK432" i="17" s="1"/>
  <c r="Y432" i="17"/>
  <c r="AB432" i="17" s="1"/>
  <c r="AE432" i="17"/>
  <c r="BK401" i="17"/>
  <c r="BL401" i="17" s="1"/>
  <c r="BM401" i="17" s="1"/>
  <c r="BJ401" i="17"/>
  <c r="AL450" i="15"/>
  <c r="BQ400" i="17"/>
  <c r="AN431" i="17"/>
  <c r="AO431" i="17" s="1"/>
  <c r="BE401" i="17"/>
  <c r="BF401" i="17" s="1"/>
  <c r="BH401" i="17"/>
  <c r="E586" i="17"/>
  <c r="L586" i="17" s="1"/>
  <c r="Z432" i="17" l="1"/>
  <c r="U433" i="17" s="1"/>
  <c r="AC433" i="17" s="1"/>
  <c r="AP431" i="17"/>
  <c r="AQ431" i="17" s="1"/>
  <c r="AF432" i="17"/>
  <c r="AG432" i="17" s="1"/>
  <c r="BG401" i="17"/>
  <c r="BI401" i="17"/>
  <c r="N586" i="17"/>
  <c r="AH432" i="17" l="1"/>
  <c r="AS432" i="17" s="1"/>
  <c r="AL432" i="17"/>
  <c r="AM432" i="17" s="1"/>
  <c r="AN432" i="17" s="1"/>
  <c r="W433" i="17"/>
  <c r="AA433" i="17" s="1"/>
  <c r="AK433" i="17" s="1"/>
  <c r="AD433" i="17"/>
  <c r="BO401" i="17"/>
  <c r="BP401" i="17" s="1"/>
  <c r="BN401" i="17"/>
  <c r="AF149" i="15" s="1"/>
  <c r="BC402" i="17"/>
  <c r="BH402" i="17" s="1"/>
  <c r="AR431" i="17"/>
  <c r="M587" i="17"/>
  <c r="E587" i="17" s="1"/>
  <c r="L587" i="17" s="1"/>
  <c r="O586" i="17"/>
  <c r="AY432" i="17" l="1"/>
  <c r="AT432" i="17"/>
  <c r="AW432" i="17" s="1"/>
  <c r="AX432" i="17" s="1"/>
  <c r="AZ432" i="17" s="1"/>
  <c r="AU432" i="17"/>
  <c r="AV432" i="17" s="1"/>
  <c r="AL99" i="15"/>
  <c r="BQ401" i="17"/>
  <c r="BD402" i="17"/>
  <c r="AE433" i="17"/>
  <c r="AO432" i="17"/>
  <c r="Y433" i="17"/>
  <c r="AB433" i="17" s="1"/>
  <c r="N587" i="17"/>
  <c r="P587" i="17"/>
  <c r="Z433" i="17" l="1"/>
  <c r="BK402" i="17"/>
  <c r="BL402" i="17" s="1"/>
  <c r="BM402" i="17" s="1"/>
  <c r="BJ402" i="17"/>
  <c r="AP432" i="17"/>
  <c r="AQ432" i="17" s="1"/>
  <c r="AF433" i="17"/>
  <c r="AG433" i="17" s="1"/>
  <c r="U434" i="17"/>
  <c r="AC434" i="17" s="1"/>
  <c r="BE402" i="17"/>
  <c r="BF402" i="17" s="1"/>
  <c r="M588" i="17"/>
  <c r="O587" i="17"/>
  <c r="Q587" i="17"/>
  <c r="S587" i="17" s="1"/>
  <c r="AH433" i="17" l="1"/>
  <c r="AS433" i="17" s="1"/>
  <c r="AL433" i="17"/>
  <c r="AY433" i="17" s="1"/>
  <c r="W434" i="17"/>
  <c r="AA434" i="17" s="1"/>
  <c r="AK434" i="17" s="1"/>
  <c r="AR432" i="17"/>
  <c r="AD434" i="17"/>
  <c r="BG402" i="17"/>
  <c r="BI402" i="17"/>
  <c r="E588" i="17"/>
  <c r="L588" i="17" s="1"/>
  <c r="P588" i="17"/>
  <c r="AM433" i="17" l="1"/>
  <c r="AN433" i="17" s="1"/>
  <c r="Y434" i="17"/>
  <c r="AB434" i="17" s="1"/>
  <c r="AT433" i="17"/>
  <c r="AW433" i="17" s="1"/>
  <c r="AX433" i="17" s="1"/>
  <c r="AZ433" i="17" s="1"/>
  <c r="AU433" i="17"/>
  <c r="AV433" i="17" s="1"/>
  <c r="BC403" i="17"/>
  <c r="BH403" i="17" s="1"/>
  <c r="AE434" i="17"/>
  <c r="BO402" i="17"/>
  <c r="BP402" i="17" s="1"/>
  <c r="BN402" i="17"/>
  <c r="AF152" i="15" s="1"/>
  <c r="Q588" i="17"/>
  <c r="S588" i="17" s="1"/>
  <c r="N588" i="17"/>
  <c r="AF434" i="17" l="1"/>
  <c r="AG434" i="17" s="1"/>
  <c r="AL434" i="17" s="1"/>
  <c r="AY434" i="17" s="1"/>
  <c r="Z434" i="17"/>
  <c r="U435" i="17" s="1"/>
  <c r="AC435" i="17" s="1"/>
  <c r="AD435" i="17" s="1"/>
  <c r="BD403" i="17"/>
  <c r="AL451" i="15"/>
  <c r="BQ402" i="17"/>
  <c r="AO433" i="17"/>
  <c r="O588" i="17"/>
  <c r="M589" i="17"/>
  <c r="E589" i="17" s="1"/>
  <c r="L589" i="17" s="1"/>
  <c r="AM434" i="17" l="1"/>
  <c r="AN434" i="17" s="1"/>
  <c r="AO434" i="17" s="1"/>
  <c r="AH434" i="17"/>
  <c r="AS434" i="17" s="1"/>
  <c r="W435" i="17"/>
  <c r="AA435" i="17" s="1"/>
  <c r="AK435" i="17" s="1"/>
  <c r="BK403" i="17"/>
  <c r="BL403" i="17" s="1"/>
  <c r="BM403" i="17" s="1"/>
  <c r="BJ403" i="17"/>
  <c r="AP433" i="17"/>
  <c r="AQ433" i="17" s="1"/>
  <c r="AE435" i="17"/>
  <c r="BE403" i="17"/>
  <c r="BF403" i="17" s="1"/>
  <c r="N589" i="17"/>
  <c r="P589" i="17"/>
  <c r="AT434" i="17" l="1"/>
  <c r="AW434" i="17" s="1"/>
  <c r="AX434" i="17" s="1"/>
  <c r="AZ434" i="17" s="1"/>
  <c r="AU434" i="17"/>
  <c r="AV434" i="17" s="1"/>
  <c r="Y435" i="17"/>
  <c r="AB435" i="17" s="1"/>
  <c r="AF435" i="17" s="1"/>
  <c r="AG435" i="17" s="1"/>
  <c r="AL435" i="17" s="1"/>
  <c r="AY435" i="17" s="1"/>
  <c r="AP434" i="17"/>
  <c r="AR434" i="17" s="1"/>
  <c r="BG403" i="17"/>
  <c r="BI403" i="17"/>
  <c r="AR433" i="17"/>
  <c r="Q589" i="17"/>
  <c r="S589" i="17" s="1"/>
  <c r="O589" i="17"/>
  <c r="M590" i="17"/>
  <c r="E590" i="17" s="1"/>
  <c r="L590" i="17" s="1"/>
  <c r="Z435" i="17" l="1"/>
  <c r="U436" i="17" s="1"/>
  <c r="AC436" i="17" s="1"/>
  <c r="AD436" i="17" s="1"/>
  <c r="AH435" i="17"/>
  <c r="AS435" i="17" s="1"/>
  <c r="AM435" i="17"/>
  <c r="AN435" i="17" s="1"/>
  <c r="AO435" i="17" s="1"/>
  <c r="BO403" i="17"/>
  <c r="BP403" i="17" s="1"/>
  <c r="BN403" i="17"/>
  <c r="AF155" i="15" s="1"/>
  <c r="BC404" i="17"/>
  <c r="BH404" i="17" s="1"/>
  <c r="AQ434" i="17"/>
  <c r="N590" i="17"/>
  <c r="P590" i="17"/>
  <c r="W436" i="17" l="1"/>
  <c r="AA436" i="17" s="1"/>
  <c r="AK436" i="17" s="1"/>
  <c r="AT435" i="17"/>
  <c r="AW435" i="17" s="1"/>
  <c r="AX435" i="17" s="1"/>
  <c r="AZ435" i="17" s="1"/>
  <c r="AU435" i="17"/>
  <c r="AV435" i="17" s="1"/>
  <c r="AL452" i="15"/>
  <c r="BQ403" i="17"/>
  <c r="AP435" i="17"/>
  <c r="AE436" i="17"/>
  <c r="BD404" i="17"/>
  <c r="Q590" i="17"/>
  <c r="S590" i="17" s="1"/>
  <c r="O590" i="17"/>
  <c r="M591" i="17"/>
  <c r="Y436" i="17" l="1"/>
  <c r="Z436" i="17" s="1"/>
  <c r="U437" i="17" s="1"/>
  <c r="AC437" i="17" s="1"/>
  <c r="BK404" i="17"/>
  <c r="BL404" i="17" s="1"/>
  <c r="BM404" i="17" s="1"/>
  <c r="BJ404" i="17"/>
  <c r="BE404" i="17"/>
  <c r="BF404" i="17" s="1"/>
  <c r="AQ435" i="17"/>
  <c r="AR435" i="17"/>
  <c r="E591" i="17"/>
  <c r="L591" i="17" s="1"/>
  <c r="P591" i="17"/>
  <c r="AB436" i="17" l="1"/>
  <c r="AF436" i="17" s="1"/>
  <c r="AG436" i="17" s="1"/>
  <c r="AH436" i="17" s="1"/>
  <c r="AS436" i="17" s="1"/>
  <c r="W437" i="17"/>
  <c r="Y437" i="17" s="1"/>
  <c r="AB437" i="17" s="1"/>
  <c r="AD437" i="17"/>
  <c r="AE437" i="17" s="1"/>
  <c r="BG404" i="17"/>
  <c r="BI404" i="17"/>
  <c r="N591" i="17"/>
  <c r="Q591" i="17"/>
  <c r="S591" i="17" s="1"/>
  <c r="AL436" i="17" l="1"/>
  <c r="AY436" i="17" s="1"/>
  <c r="AT436" i="17"/>
  <c r="AW436" i="17" s="1"/>
  <c r="AU436" i="17"/>
  <c r="AV436" i="17" s="1"/>
  <c r="AA437" i="17"/>
  <c r="AK437" i="17" s="1"/>
  <c r="Z437" i="17"/>
  <c r="U438" i="17" s="1"/>
  <c r="AC438" i="17" s="1"/>
  <c r="BO404" i="17"/>
  <c r="BP404" i="17" s="1"/>
  <c r="BN404" i="17"/>
  <c r="AF157" i="15" s="1"/>
  <c r="AF437" i="17"/>
  <c r="AG437" i="17" s="1"/>
  <c r="AL437" i="17" s="1"/>
  <c r="BC405" i="17"/>
  <c r="BH405" i="17" s="1"/>
  <c r="O591" i="17"/>
  <c r="M592" i="17"/>
  <c r="E592" i="17" s="1"/>
  <c r="L592" i="17" s="1"/>
  <c r="AM436" i="17" l="1"/>
  <c r="AN436" i="17" s="1"/>
  <c r="AO436" i="17" s="1"/>
  <c r="AP436" i="17" s="1"/>
  <c r="AQ436" i="17" s="1"/>
  <c r="W438" i="17"/>
  <c r="AA438" i="17" s="1"/>
  <c r="AK438" i="17" s="1"/>
  <c r="AH437" i="17"/>
  <c r="AS437" i="17" s="1"/>
  <c r="AT437" i="17" s="1"/>
  <c r="AX436" i="17"/>
  <c r="AZ436" i="17" s="1"/>
  <c r="N592" i="17"/>
  <c r="M593" i="17" s="1"/>
  <c r="E593" i="17" s="1"/>
  <c r="L593" i="17" s="1"/>
  <c r="BD405" i="17"/>
  <c r="AL453" i="15"/>
  <c r="BQ404" i="17"/>
  <c r="AY437" i="17"/>
  <c r="AM437" i="17"/>
  <c r="AD438" i="17"/>
  <c r="AE438" i="17" s="1"/>
  <c r="P592" i="17"/>
  <c r="AW437" i="17" l="1"/>
  <c r="AX437" i="17" s="1"/>
  <c r="AZ437" i="17" s="1"/>
  <c r="Y438" i="17"/>
  <c r="AB438" i="17" s="1"/>
  <c r="AF438" i="17" s="1"/>
  <c r="AG438" i="17" s="1"/>
  <c r="AL438" i="17" s="1"/>
  <c r="O592" i="17"/>
  <c r="N593" i="17" s="1"/>
  <c r="AU437" i="17"/>
  <c r="AV437" i="17" s="1"/>
  <c r="AR436" i="17"/>
  <c r="AN437" i="17"/>
  <c r="AO437" i="17" s="1"/>
  <c r="BK405" i="17"/>
  <c r="BL405" i="17" s="1"/>
  <c r="BM405" i="17" s="1"/>
  <c r="BJ405" i="17"/>
  <c r="BE405" i="17"/>
  <c r="BF405" i="17" s="1"/>
  <c r="Q592" i="17"/>
  <c r="S592" i="17" s="1"/>
  <c r="Z438" i="17" l="1"/>
  <c r="U439" i="17" s="1"/>
  <c r="AC439" i="17" s="1"/>
  <c r="AD439" i="17" s="1"/>
  <c r="AE439" i="17" s="1"/>
  <c r="AH438" i="17"/>
  <c r="AS438" i="17" s="1"/>
  <c r="AP437" i="17"/>
  <c r="AQ437" i="17" s="1"/>
  <c r="BG405" i="17"/>
  <c r="BI405" i="17"/>
  <c r="P593" i="17"/>
  <c r="Q593" i="17" s="1"/>
  <c r="S593" i="17" s="1"/>
  <c r="AY438" i="17"/>
  <c r="AM438" i="17"/>
  <c r="AN438" i="17" s="1"/>
  <c r="AO438" i="17" s="1"/>
  <c r="AP438" i="17" s="1"/>
  <c r="O593" i="17"/>
  <c r="M594" i="17"/>
  <c r="E594" i="17" s="1"/>
  <c r="L594" i="17" s="1"/>
  <c r="W439" i="17" l="1"/>
  <c r="Y439" i="17" s="1"/>
  <c r="AT438" i="17"/>
  <c r="AW438" i="17" s="1"/>
  <c r="AU438" i="17"/>
  <c r="AV438" i="17" s="1"/>
  <c r="BC406" i="17"/>
  <c r="BH406" i="17" s="1"/>
  <c r="AR437" i="17"/>
  <c r="BO405" i="17"/>
  <c r="BP405" i="17" s="1"/>
  <c r="BN405" i="17"/>
  <c r="AF256" i="15" s="1"/>
  <c r="AR438" i="17"/>
  <c r="N594" i="17"/>
  <c r="AQ438" i="17"/>
  <c r="P594" i="17"/>
  <c r="AA439" i="17" l="1"/>
  <c r="AK439" i="17" s="1"/>
  <c r="AX438" i="17"/>
  <c r="AZ438" i="17" s="1"/>
  <c r="AB439" i="17"/>
  <c r="Z439" i="17"/>
  <c r="U440" i="17" s="1"/>
  <c r="AC440" i="17" s="1"/>
  <c r="AD440" i="17" s="1"/>
  <c r="AL454" i="15"/>
  <c r="BQ405" i="17"/>
  <c r="BD406" i="17"/>
  <c r="Q594" i="17"/>
  <c r="S594" i="17" s="1"/>
  <c r="M595" i="17"/>
  <c r="O594" i="17"/>
  <c r="W440" i="17" l="1"/>
  <c r="AA440" i="17" s="1"/>
  <c r="AK440" i="17" s="1"/>
  <c r="AF439" i="17"/>
  <c r="AG439" i="17" s="1"/>
  <c r="AL439" i="17" s="1"/>
  <c r="P595" i="17"/>
  <c r="Q595" i="17" s="1"/>
  <c r="S595" i="17" s="1"/>
  <c r="BK406" i="17"/>
  <c r="BL406" i="17" s="1"/>
  <c r="BM406" i="17" s="1"/>
  <c r="BJ406" i="17"/>
  <c r="BE406" i="17"/>
  <c r="BF406" i="17" s="1"/>
  <c r="AE440" i="17"/>
  <c r="E595" i="17"/>
  <c r="L595" i="17" s="1"/>
  <c r="Y440" i="17" l="1"/>
  <c r="AB440" i="17" s="1"/>
  <c r="AF440" i="17" s="1"/>
  <c r="AG440" i="17" s="1"/>
  <c r="AH439" i="17"/>
  <c r="AS439" i="17" s="1"/>
  <c r="AY439" i="17"/>
  <c r="AM439" i="17"/>
  <c r="BG406" i="17"/>
  <c r="BI406" i="17"/>
  <c r="N595" i="17"/>
  <c r="Z440" i="17" l="1"/>
  <c r="U441" i="17" s="1"/>
  <c r="AC441" i="17" s="1"/>
  <c r="AH440" i="17"/>
  <c r="AS440" i="17" s="1"/>
  <c r="AT440" i="17" s="1"/>
  <c r="AT439" i="17"/>
  <c r="AW439" i="17" s="1"/>
  <c r="AU439" i="17"/>
  <c r="AV439" i="17" s="1"/>
  <c r="AL440" i="17"/>
  <c r="AY440" i="17" s="1"/>
  <c r="AN439" i="17"/>
  <c r="AO439" i="17" s="1"/>
  <c r="AP439" i="17" s="1"/>
  <c r="AQ439" i="17" s="1"/>
  <c r="BO406" i="17"/>
  <c r="BP406" i="17" s="1"/>
  <c r="BN406" i="17"/>
  <c r="AF257" i="15" s="1"/>
  <c r="BC407" i="17"/>
  <c r="O595" i="17"/>
  <c r="M596" i="17"/>
  <c r="AM440" i="17" l="1"/>
  <c r="AN440" i="17" s="1"/>
  <c r="AU440" i="17"/>
  <c r="AV440" i="17" s="1"/>
  <c r="AX439" i="17"/>
  <c r="AZ439" i="17" s="1"/>
  <c r="AR439" i="17"/>
  <c r="BD407" i="17"/>
  <c r="BH407" i="17"/>
  <c r="AL455" i="15"/>
  <c r="BQ406" i="17"/>
  <c r="W441" i="17"/>
  <c r="AA441" i="17" s="1"/>
  <c r="AK441" i="17" s="1"/>
  <c r="P596" i="17"/>
  <c r="E596" i="17"/>
  <c r="L596" i="17" s="1"/>
  <c r="AD441" i="17"/>
  <c r="AW440" i="17" l="1"/>
  <c r="AX440" i="17" s="1"/>
  <c r="AZ440" i="17" s="1"/>
  <c r="Y441" i="17"/>
  <c r="AB441" i="17" s="1"/>
  <c r="BK407" i="17"/>
  <c r="BL407" i="17" s="1"/>
  <c r="BM407" i="17" s="1"/>
  <c r="BJ407" i="17"/>
  <c r="BE407" i="17"/>
  <c r="BF407" i="17" s="1"/>
  <c r="N596" i="17"/>
  <c r="AO440" i="17"/>
  <c r="AE441" i="17"/>
  <c r="Q596" i="17"/>
  <c r="S596" i="17" s="1"/>
  <c r="Z441" i="17" l="1"/>
  <c r="U442" i="17" s="1"/>
  <c r="AC442" i="17" s="1"/>
  <c r="AF441" i="17"/>
  <c r="AG441" i="17" s="1"/>
  <c r="BG407" i="17"/>
  <c r="BI407" i="17"/>
  <c r="O596" i="17"/>
  <c r="M597" i="17"/>
  <c r="E597" i="17" s="1"/>
  <c r="L597" i="17" s="1"/>
  <c r="AP440" i="17"/>
  <c r="AQ440" i="17" s="1"/>
  <c r="W442" i="17" l="1"/>
  <c r="AA442" i="17" s="1"/>
  <c r="AK442" i="17" s="1"/>
  <c r="AH441" i="17"/>
  <c r="AS441" i="17" s="1"/>
  <c r="AD442" i="17"/>
  <c r="AE442" i="17" s="1"/>
  <c r="AL441" i="17"/>
  <c r="BO407" i="17"/>
  <c r="BP407" i="17" s="1"/>
  <c r="BN407" i="17"/>
  <c r="AF297" i="15" s="1"/>
  <c r="BC408" i="17"/>
  <c r="BH408" i="17" s="1"/>
  <c r="N597" i="17"/>
  <c r="AR440" i="17"/>
  <c r="P597" i="17"/>
  <c r="Y442" i="17" l="1"/>
  <c r="AB442" i="17" s="1"/>
  <c r="AF442" i="17" s="1"/>
  <c r="AG442" i="17" s="1"/>
  <c r="AT441" i="17"/>
  <c r="AW441" i="17" s="1"/>
  <c r="AU441" i="17"/>
  <c r="AV441" i="17" s="1"/>
  <c r="AY441" i="17"/>
  <c r="AM441" i="17"/>
  <c r="AN441" i="17" s="1"/>
  <c r="BD408" i="17"/>
  <c r="AL456" i="15"/>
  <c r="BQ407" i="17"/>
  <c r="M598" i="17"/>
  <c r="E598" i="17" s="1"/>
  <c r="L598" i="17" s="1"/>
  <c r="O597" i="17"/>
  <c r="Q597" i="17"/>
  <c r="S597" i="17" s="1"/>
  <c r="Z442" i="17" l="1"/>
  <c r="U443" i="17" s="1"/>
  <c r="AC443" i="17" s="1"/>
  <c r="AD443" i="17" s="1"/>
  <c r="AO441" i="17"/>
  <c r="AP441" i="17" s="1"/>
  <c r="AH442" i="17"/>
  <c r="AS442" i="17" s="1"/>
  <c r="AL442" i="17"/>
  <c r="AY442" i="17" s="1"/>
  <c r="AX441" i="17"/>
  <c r="AZ441" i="17" s="1"/>
  <c r="BK408" i="17"/>
  <c r="BL408" i="17" s="1"/>
  <c r="BM408" i="17" s="1"/>
  <c r="BJ408" i="17"/>
  <c r="BE408" i="17"/>
  <c r="BF408" i="17" s="1"/>
  <c r="N598" i="17"/>
  <c r="P598" i="17"/>
  <c r="W443" i="17" l="1"/>
  <c r="AA443" i="17" s="1"/>
  <c r="AK443" i="17" s="1"/>
  <c r="AM442" i="17"/>
  <c r="AT442" i="17"/>
  <c r="AW442" i="17" s="1"/>
  <c r="AX442" i="17" s="1"/>
  <c r="AZ442" i="17" s="1"/>
  <c r="AU442" i="17"/>
  <c r="AV442" i="17" s="1"/>
  <c r="BG408" i="17"/>
  <c r="BI408" i="17"/>
  <c r="M599" i="17"/>
  <c r="E599" i="17" s="1"/>
  <c r="L599" i="17" s="1"/>
  <c r="O598" i="17"/>
  <c r="AE443" i="17"/>
  <c r="AR441" i="17"/>
  <c r="Y443" i="17"/>
  <c r="AB443" i="17" s="1"/>
  <c r="AQ441" i="17"/>
  <c r="Q598" i="17"/>
  <c r="S598" i="17" s="1"/>
  <c r="AN442" i="17"/>
  <c r="BO408" i="17" l="1"/>
  <c r="BP408" i="17" s="1"/>
  <c r="BN408" i="17"/>
  <c r="AF340" i="15" s="1"/>
  <c r="BC409" i="17"/>
  <c r="P599" i="17"/>
  <c r="Q599" i="17" s="1"/>
  <c r="S599" i="17" s="1"/>
  <c r="AF443" i="17"/>
  <c r="AG443" i="17" s="1"/>
  <c r="N599" i="17"/>
  <c r="AO442" i="17"/>
  <c r="Z443" i="17"/>
  <c r="AH443" i="17" l="1"/>
  <c r="AS443" i="17" s="1"/>
  <c r="AL443" i="17"/>
  <c r="AY443" i="17" s="1"/>
  <c r="BD409" i="17"/>
  <c r="BE409" i="17" s="1"/>
  <c r="BF409" i="17" s="1"/>
  <c r="BH409" i="17"/>
  <c r="AL457" i="15"/>
  <c r="BQ408" i="17"/>
  <c r="U444" i="17"/>
  <c r="AC444" i="17" s="1"/>
  <c r="AP442" i="17"/>
  <c r="AQ442" i="17" s="1"/>
  <c r="O599" i="17"/>
  <c r="M600" i="17"/>
  <c r="E600" i="17" s="1"/>
  <c r="L600" i="17" s="1"/>
  <c r="AM443" i="17" l="1"/>
  <c r="AN443" i="17" s="1"/>
  <c r="AT443" i="17"/>
  <c r="AW443" i="17" s="1"/>
  <c r="AX443" i="17" s="1"/>
  <c r="AZ443" i="17" s="1"/>
  <c r="AU443" i="17"/>
  <c r="AV443" i="17" s="1"/>
  <c r="N600" i="17"/>
  <c r="O600" i="17" s="1"/>
  <c r="BG409" i="17"/>
  <c r="BI409" i="17"/>
  <c r="BK409" i="17"/>
  <c r="BL409" i="17" s="1"/>
  <c r="BM409" i="17" s="1"/>
  <c r="BJ409" i="17"/>
  <c r="W444" i="17"/>
  <c r="AA444" i="17" s="1"/>
  <c r="AK444" i="17" s="1"/>
  <c r="P600" i="17"/>
  <c r="AD444" i="17"/>
  <c r="AR442" i="17"/>
  <c r="M601" i="17" l="1"/>
  <c r="E601" i="17" s="1"/>
  <c r="L601" i="17" s="1"/>
  <c r="N601" i="17" s="1"/>
  <c r="M602" i="17" s="1"/>
  <c r="E602" i="17" s="1"/>
  <c r="L602" i="17" s="1"/>
  <c r="Y444" i="17"/>
  <c r="AB444" i="17" s="1"/>
  <c r="BO409" i="17"/>
  <c r="BP409" i="17" s="1"/>
  <c r="BN409" i="17"/>
  <c r="AF160" i="15" s="1"/>
  <c r="BC410" i="17"/>
  <c r="BH410" i="17" s="1"/>
  <c r="AE444" i="17"/>
  <c r="Q600" i="17"/>
  <c r="S600" i="17" s="1"/>
  <c r="AO443" i="17"/>
  <c r="AF444" i="17" l="1"/>
  <c r="AG444" i="17" s="1"/>
  <c r="Z444" i="17"/>
  <c r="U445" i="17" s="1"/>
  <c r="AC445" i="17" s="1"/>
  <c r="P601" i="17"/>
  <c r="Q601" i="17" s="1"/>
  <c r="S601" i="17" s="1"/>
  <c r="BD410" i="17"/>
  <c r="AL43" i="15"/>
  <c r="BQ409" i="17"/>
  <c r="O601" i="17"/>
  <c r="N602" i="17" s="1"/>
  <c r="AP443" i="17"/>
  <c r="AH444" i="17" l="1"/>
  <c r="AS444" i="17" s="1"/>
  <c r="AL444" i="17"/>
  <c r="AY444" i="17" s="1"/>
  <c r="BK410" i="17"/>
  <c r="BL410" i="17" s="1"/>
  <c r="BM410" i="17" s="1"/>
  <c r="BJ410" i="17"/>
  <c r="BE410" i="17"/>
  <c r="BF410" i="17" s="1"/>
  <c r="P602" i="17"/>
  <c r="Q602" i="17" s="1"/>
  <c r="S602" i="17" s="1"/>
  <c r="W445" i="17"/>
  <c r="AR443" i="17"/>
  <c r="AQ443" i="17"/>
  <c r="O602" i="17"/>
  <c r="M603" i="17"/>
  <c r="AD445" i="17"/>
  <c r="AM444" i="17" l="1"/>
  <c r="AN444" i="17" s="1"/>
  <c r="AO444" i="17" s="1"/>
  <c r="AP444" i="17" s="1"/>
  <c r="AT444" i="17"/>
  <c r="AW444" i="17" s="1"/>
  <c r="AX444" i="17" s="1"/>
  <c r="AZ444" i="17" s="1"/>
  <c r="AU444" i="17"/>
  <c r="AV444" i="17" s="1"/>
  <c r="BG410" i="17"/>
  <c r="BI410" i="17"/>
  <c r="E603" i="17"/>
  <c r="L603" i="17" s="1"/>
  <c r="AE445" i="17"/>
  <c r="AA445" i="17"/>
  <c r="AK445" i="17" s="1"/>
  <c r="Y445" i="17"/>
  <c r="AB445" i="17" s="1"/>
  <c r="P603" i="17"/>
  <c r="AR444" i="17" l="1"/>
  <c r="AQ444" i="17"/>
  <c r="BO410" i="17"/>
  <c r="BP410" i="17" s="1"/>
  <c r="BN410" i="17"/>
  <c r="AF258" i="15" s="1"/>
  <c r="BC411" i="17"/>
  <c r="AF445" i="17"/>
  <c r="AG445" i="17" s="1"/>
  <c r="Z445" i="17"/>
  <c r="Q603" i="17"/>
  <c r="S603" i="17" s="1"/>
  <c r="N603" i="17"/>
  <c r="AH445" i="17" l="1"/>
  <c r="AS445" i="17" s="1"/>
  <c r="AL445" i="17"/>
  <c r="AY445" i="17" s="1"/>
  <c r="BD411" i="17"/>
  <c r="BE411" i="17" s="1"/>
  <c r="BF411" i="17" s="1"/>
  <c r="BH411" i="17"/>
  <c r="AL458" i="15"/>
  <c r="BQ410" i="17"/>
  <c r="O603" i="17"/>
  <c r="M604" i="17"/>
  <c r="E604" i="17" s="1"/>
  <c r="L604" i="17" s="1"/>
  <c r="U446" i="17"/>
  <c r="AC446" i="17" s="1"/>
  <c r="AM445" i="17" l="1"/>
  <c r="AN445" i="17" s="1"/>
  <c r="AT445" i="17"/>
  <c r="AW445" i="17" s="1"/>
  <c r="AX445" i="17" s="1"/>
  <c r="AZ445" i="17" s="1"/>
  <c r="AU445" i="17"/>
  <c r="AV445" i="17" s="1"/>
  <c r="BG411" i="17"/>
  <c r="BI411" i="17"/>
  <c r="BK411" i="17"/>
  <c r="BL411" i="17" s="1"/>
  <c r="BM411" i="17" s="1"/>
  <c r="BJ411" i="17"/>
  <c r="AD446" i="17"/>
  <c r="N604" i="17"/>
  <c r="W446" i="17"/>
  <c r="P604" i="17"/>
  <c r="BO411" i="17" l="1"/>
  <c r="BP411" i="17" s="1"/>
  <c r="BN411" i="17"/>
  <c r="AF267" i="15" s="1"/>
  <c r="BC412" i="17"/>
  <c r="O604" i="17"/>
  <c r="M605" i="17"/>
  <c r="E605" i="17" s="1"/>
  <c r="L605" i="17" s="1"/>
  <c r="AE446" i="17"/>
  <c r="AA446" i="17"/>
  <c r="AK446" i="17" s="1"/>
  <c r="Y446" i="17"/>
  <c r="AB446" i="17" s="1"/>
  <c r="Q604" i="17"/>
  <c r="S604" i="17" s="1"/>
  <c r="AO445" i="17"/>
  <c r="BD412" i="17" l="1"/>
  <c r="BE412" i="17" s="1"/>
  <c r="BF412" i="17" s="1"/>
  <c r="BH412" i="17"/>
  <c r="AL459" i="15"/>
  <c r="BQ411" i="17"/>
  <c r="P605" i="17"/>
  <c r="Q605" i="17" s="1"/>
  <c r="S605" i="17" s="1"/>
  <c r="N605" i="17"/>
  <c r="AF446" i="17"/>
  <c r="AG446" i="17" s="1"/>
  <c r="AL446" i="17" s="1"/>
  <c r="AY446" i="17" s="1"/>
  <c r="AP445" i="17"/>
  <c r="Z446" i="17"/>
  <c r="BJ412" i="17" l="1"/>
  <c r="AH446" i="17"/>
  <c r="AS446" i="17" s="1"/>
  <c r="BK412" i="17"/>
  <c r="BL412" i="17" s="1"/>
  <c r="BM412" i="17" s="1"/>
  <c r="BG412" i="17"/>
  <c r="BI412" i="17"/>
  <c r="AM446" i="17"/>
  <c r="AR445" i="17"/>
  <c r="O605" i="17"/>
  <c r="M606" i="17"/>
  <c r="E606" i="17" s="1"/>
  <c r="L606" i="17" s="1"/>
  <c r="U447" i="17"/>
  <c r="AC447" i="17" s="1"/>
  <c r="AQ445" i="17"/>
  <c r="AT446" i="17" l="1"/>
  <c r="AW446" i="17" s="1"/>
  <c r="AX446" i="17" s="1"/>
  <c r="AZ446" i="17" s="1"/>
  <c r="AU446" i="17"/>
  <c r="AV446" i="17" s="1"/>
  <c r="BO412" i="17"/>
  <c r="BP412" i="17" s="1"/>
  <c r="BN412" i="17"/>
  <c r="AF151" i="15" s="1"/>
  <c r="BC413" i="17"/>
  <c r="AD447" i="17"/>
  <c r="P606" i="17"/>
  <c r="AN446" i="17"/>
  <c r="AO446" i="17" s="1"/>
  <c r="W447" i="17"/>
  <c r="AA447" i="17" s="1"/>
  <c r="AK447" i="17" s="1"/>
  <c r="N606" i="17"/>
  <c r="BD413" i="17" l="1"/>
  <c r="BH413" i="17"/>
  <c r="AL15" i="15"/>
  <c r="BQ412" i="17"/>
  <c r="Y447" i="17"/>
  <c r="AB447" i="17" s="1"/>
  <c r="AP446" i="17"/>
  <c r="Q606" i="17"/>
  <c r="S606" i="17" s="1"/>
  <c r="O606" i="17"/>
  <c r="M607" i="17"/>
  <c r="E607" i="17" s="1"/>
  <c r="L607" i="17" s="1"/>
  <c r="AE447" i="17"/>
  <c r="Z447" i="17" l="1"/>
  <c r="U448" i="17" s="1"/>
  <c r="AC448" i="17" s="1"/>
  <c r="BK413" i="17"/>
  <c r="BL413" i="17" s="1"/>
  <c r="BM413" i="17" s="1"/>
  <c r="BJ413" i="17"/>
  <c r="AR446" i="17"/>
  <c r="BE413" i="17"/>
  <c r="BF413" i="17" s="1"/>
  <c r="P607" i="17"/>
  <c r="Q607" i="17" s="1"/>
  <c r="S607" i="17" s="1"/>
  <c r="AQ446" i="17"/>
  <c r="N607" i="17"/>
  <c r="AF447" i="17"/>
  <c r="AG447" i="17" s="1"/>
  <c r="AH447" i="17" l="1"/>
  <c r="AS447" i="17" s="1"/>
  <c r="AL447" i="17"/>
  <c r="AY447" i="17" s="1"/>
  <c r="BG413" i="17"/>
  <c r="BI413" i="17"/>
  <c r="M608" i="17"/>
  <c r="E608" i="17" s="1"/>
  <c r="L608" i="17" s="1"/>
  <c r="O607" i="17"/>
  <c r="AD448" i="17"/>
  <c r="W448" i="17"/>
  <c r="AA448" i="17" s="1"/>
  <c r="AK448" i="17" s="1"/>
  <c r="AM447" i="17" l="1"/>
  <c r="AN447" i="17" s="1"/>
  <c r="AO447" i="17" s="1"/>
  <c r="AP447" i="17" s="1"/>
  <c r="AT447" i="17"/>
  <c r="AW447" i="17" s="1"/>
  <c r="AX447" i="17" s="1"/>
  <c r="AZ447" i="17" s="1"/>
  <c r="AU447" i="17"/>
  <c r="AV447" i="17" s="1"/>
  <c r="BO413" i="17"/>
  <c r="BP413" i="17" s="1"/>
  <c r="BN413" i="17"/>
  <c r="AF150" i="15" s="1"/>
  <c r="BC414" i="17"/>
  <c r="BH414" i="17" s="1"/>
  <c r="N608" i="17"/>
  <c r="Y448" i="17"/>
  <c r="AB448" i="17" s="1"/>
  <c r="AE448" i="17"/>
  <c r="P608" i="17"/>
  <c r="BD414" i="17" l="1"/>
  <c r="BK414" i="17" s="1"/>
  <c r="BL414" i="17" s="1"/>
  <c r="BM414" i="17" s="1"/>
  <c r="AL460" i="15"/>
  <c r="BQ413" i="17"/>
  <c r="Z448" i="17"/>
  <c r="U449" i="17" s="1"/>
  <c r="AC449" i="17" s="1"/>
  <c r="O608" i="17"/>
  <c r="M609" i="17"/>
  <c r="E609" i="17" s="1"/>
  <c r="L609" i="17" s="1"/>
  <c r="Q608" i="17"/>
  <c r="S608" i="17" s="1"/>
  <c r="AR447" i="17"/>
  <c r="AF448" i="17"/>
  <c r="AG448" i="17" s="1"/>
  <c r="AL448" i="17" s="1"/>
  <c r="AY448" i="17" s="1"/>
  <c r="AQ447" i="17"/>
  <c r="BJ414" i="17" l="1"/>
  <c r="AH448" i="17"/>
  <c r="AS448" i="17" s="1"/>
  <c r="BE414" i="17"/>
  <c r="BF414" i="17" s="1"/>
  <c r="BG414" i="17" s="1"/>
  <c r="P609" i="17"/>
  <c r="Q609" i="17" s="1"/>
  <c r="S609" i="17" s="1"/>
  <c r="N609" i="17"/>
  <c r="AD449" i="17"/>
  <c r="AM448" i="17"/>
  <c r="W449" i="17"/>
  <c r="AA449" i="17" s="1"/>
  <c r="AK449" i="17" s="1"/>
  <c r="AT448" i="17" l="1"/>
  <c r="AW448" i="17" s="1"/>
  <c r="AX448" i="17" s="1"/>
  <c r="AZ448" i="17" s="1"/>
  <c r="AU448" i="17"/>
  <c r="AV448" i="17" s="1"/>
  <c r="BI414" i="17"/>
  <c r="BO414" i="17" s="1"/>
  <c r="BP414" i="17" s="1"/>
  <c r="BC415" i="17"/>
  <c r="Y449" i="17"/>
  <c r="AB449" i="17" s="1"/>
  <c r="AE449" i="17"/>
  <c r="AN448" i="17"/>
  <c r="O609" i="17"/>
  <c r="M610" i="17"/>
  <c r="E610" i="17" s="1"/>
  <c r="L610" i="17" s="1"/>
  <c r="BN414" i="17" l="1"/>
  <c r="AF154" i="15" s="1"/>
  <c r="BD415" i="17"/>
  <c r="BE415" i="17" s="1"/>
  <c r="BF415" i="17" s="1"/>
  <c r="BH415" i="17"/>
  <c r="AL461" i="15"/>
  <c r="Z449" i="17"/>
  <c r="U450" i="17" s="1"/>
  <c r="AC450" i="17" s="1"/>
  <c r="AF449" i="17"/>
  <c r="AG449" i="17" s="1"/>
  <c r="N610" i="17"/>
  <c r="P610" i="17"/>
  <c r="AO448" i="17"/>
  <c r="AP448" i="17" s="1"/>
  <c r="BQ414" i="17" l="1"/>
  <c r="AH449" i="17"/>
  <c r="AS449" i="17" s="1"/>
  <c r="AL449" i="17"/>
  <c r="AY449" i="17" s="1"/>
  <c r="BG415" i="17"/>
  <c r="BI415" i="17"/>
  <c r="BK415" i="17"/>
  <c r="BL415" i="17" s="1"/>
  <c r="BM415" i="17" s="1"/>
  <c r="BJ415" i="17"/>
  <c r="AQ448" i="17"/>
  <c r="Q610" i="17"/>
  <c r="S610" i="17" s="1"/>
  <c r="AD450" i="17"/>
  <c r="W450" i="17"/>
  <c r="AR448" i="17"/>
  <c r="O610" i="17"/>
  <c r="M611" i="17"/>
  <c r="AT449" i="17" l="1"/>
  <c r="AW449" i="17" s="1"/>
  <c r="AX449" i="17" s="1"/>
  <c r="AZ449" i="17" s="1"/>
  <c r="AU449" i="17"/>
  <c r="AV449" i="17" s="1"/>
  <c r="AM449" i="17"/>
  <c r="AN449" i="17" s="1"/>
  <c r="BO415" i="17"/>
  <c r="BP415" i="17" s="1"/>
  <c r="BN415" i="17"/>
  <c r="AF156" i="15" s="1"/>
  <c r="BC416" i="17"/>
  <c r="BH416" i="17" s="1"/>
  <c r="AA450" i="17"/>
  <c r="AK450" i="17" s="1"/>
  <c r="Y450" i="17"/>
  <c r="AB450" i="17" s="1"/>
  <c r="AE450" i="17"/>
  <c r="P611" i="17"/>
  <c r="E611" i="17"/>
  <c r="L611" i="17" s="1"/>
  <c r="AO449" i="17" l="1"/>
  <c r="AP449" i="17" s="1"/>
  <c r="AQ449" i="17" s="1"/>
  <c r="BD416" i="17"/>
  <c r="BE416" i="17" s="1"/>
  <c r="BF416" i="17" s="1"/>
  <c r="AL462" i="15"/>
  <c r="BQ415" i="17"/>
  <c r="Z450" i="17"/>
  <c r="U451" i="17" s="1"/>
  <c r="AC451" i="17" s="1"/>
  <c r="Q611" i="17"/>
  <c r="S611" i="17" s="1"/>
  <c r="AF450" i="17"/>
  <c r="AG450" i="17" s="1"/>
  <c r="N611" i="17"/>
  <c r="AH450" i="17" l="1"/>
  <c r="AS450" i="17" s="1"/>
  <c r="AL450" i="17"/>
  <c r="AY450" i="17" s="1"/>
  <c r="BG416" i="17"/>
  <c r="BI416" i="17"/>
  <c r="BK416" i="17"/>
  <c r="BL416" i="17" s="1"/>
  <c r="BM416" i="17" s="1"/>
  <c r="BJ416" i="17"/>
  <c r="O611" i="17"/>
  <c r="M612" i="17"/>
  <c r="AD451" i="17"/>
  <c r="AR449" i="17"/>
  <c r="W451" i="17"/>
  <c r="AA451" i="17" s="1"/>
  <c r="AK451" i="17" s="1"/>
  <c r="AM450" i="17" l="1"/>
  <c r="AN450" i="17" s="1"/>
  <c r="AO450" i="17" s="1"/>
  <c r="AT450" i="17"/>
  <c r="AW450" i="17" s="1"/>
  <c r="AX450" i="17" s="1"/>
  <c r="AZ450" i="17" s="1"/>
  <c r="AU450" i="17"/>
  <c r="AV450" i="17" s="1"/>
  <c r="Y451" i="17"/>
  <c r="AB451" i="17" s="1"/>
  <c r="BO416" i="17"/>
  <c r="BP416" i="17" s="1"/>
  <c r="BN416" i="17"/>
  <c r="AF158" i="15" s="1"/>
  <c r="BC417" i="17"/>
  <c r="BH417" i="17" s="1"/>
  <c r="P612" i="17"/>
  <c r="E612" i="17"/>
  <c r="L612" i="17" s="1"/>
  <c r="AE451" i="17"/>
  <c r="Z451" i="17" l="1"/>
  <c r="U452" i="17" s="1"/>
  <c r="AC452" i="17" s="1"/>
  <c r="AF451" i="17"/>
  <c r="AG451" i="17" s="1"/>
  <c r="AL451" i="17" s="1"/>
  <c r="AY451" i="17" s="1"/>
  <c r="BD417" i="17"/>
  <c r="AL463" i="15"/>
  <c r="BQ416" i="17"/>
  <c r="AP450" i="17"/>
  <c r="Q612" i="17"/>
  <c r="S612" i="17" s="1"/>
  <c r="N612" i="17"/>
  <c r="AM451" i="17" l="1"/>
  <c r="AN451" i="17" s="1"/>
  <c r="AH451" i="17"/>
  <c r="AS451" i="17" s="1"/>
  <c r="BK417" i="17"/>
  <c r="BL417" i="17" s="1"/>
  <c r="BM417" i="17" s="1"/>
  <c r="BJ417" i="17"/>
  <c r="BE417" i="17"/>
  <c r="BF417" i="17" s="1"/>
  <c r="AQ450" i="17"/>
  <c r="AD452" i="17"/>
  <c r="W452" i="17"/>
  <c r="AA452" i="17" s="1"/>
  <c r="AK452" i="17" s="1"/>
  <c r="AR450" i="17"/>
  <c r="O612" i="17"/>
  <c r="M613" i="17"/>
  <c r="AT451" i="17" l="1"/>
  <c r="AW451" i="17" s="1"/>
  <c r="AX451" i="17" s="1"/>
  <c r="AZ451" i="17" s="1"/>
  <c r="AU451" i="17"/>
  <c r="AV451" i="17" s="1"/>
  <c r="BG417" i="17"/>
  <c r="BI417" i="17"/>
  <c r="P613" i="17"/>
  <c r="Y452" i="17"/>
  <c r="AB452" i="17" s="1"/>
  <c r="E613" i="17"/>
  <c r="L613" i="17" s="1"/>
  <c r="AO451" i="17"/>
  <c r="AE452" i="17"/>
  <c r="BO417" i="17" l="1"/>
  <c r="BP417" i="17" s="1"/>
  <c r="BN417" i="17"/>
  <c r="AF159" i="15" s="1"/>
  <c r="BC418" i="17"/>
  <c r="BH418" i="17" s="1"/>
  <c r="Z452" i="17"/>
  <c r="U453" i="17" s="1"/>
  <c r="AC453" i="17" s="1"/>
  <c r="Q613" i="17"/>
  <c r="S613" i="17" s="1"/>
  <c r="AP451" i="17"/>
  <c r="AQ451" i="17" s="1"/>
  <c r="AF452" i="17"/>
  <c r="AG452" i="17" s="1"/>
  <c r="N613" i="17"/>
  <c r="AH452" i="17" l="1"/>
  <c r="AS452" i="17" s="1"/>
  <c r="AL452" i="17"/>
  <c r="AY452" i="17" s="1"/>
  <c r="BD418" i="17"/>
  <c r="BK418" i="17" s="1"/>
  <c r="AL464" i="15"/>
  <c r="BQ417" i="17"/>
  <c r="AR451" i="17"/>
  <c r="AD453" i="17"/>
  <c r="W453" i="17"/>
  <c r="AA453" i="17" s="1"/>
  <c r="AK453" i="17" s="1"/>
  <c r="O613" i="17"/>
  <c r="M614" i="17"/>
  <c r="AM452" i="17" l="1"/>
  <c r="AN452" i="17" s="1"/>
  <c r="AO452" i="17" s="1"/>
  <c r="AP452" i="17" s="1"/>
  <c r="AT452" i="17"/>
  <c r="AW452" i="17" s="1"/>
  <c r="AX452" i="17" s="1"/>
  <c r="AZ452" i="17" s="1"/>
  <c r="AU452" i="17"/>
  <c r="AV452" i="17" s="1"/>
  <c r="BE418" i="17"/>
  <c r="BF418" i="17" s="1"/>
  <c r="BG418" i="17" s="1"/>
  <c r="BJ418" i="17"/>
  <c r="BL418" i="17"/>
  <c r="BM418" i="17" s="1"/>
  <c r="P614" i="17"/>
  <c r="Y453" i="17"/>
  <c r="E614" i="17"/>
  <c r="L614" i="17" s="1"/>
  <c r="AE453" i="17"/>
  <c r="BI418" i="17" l="1"/>
  <c r="BO418" i="17" s="1"/>
  <c r="BP418" i="17" s="1"/>
  <c r="BC419" i="17"/>
  <c r="BH419" i="17" s="1"/>
  <c r="AQ452" i="17"/>
  <c r="Q614" i="17"/>
  <c r="S614" i="17" s="1"/>
  <c r="AB453" i="17"/>
  <c r="Z453" i="17"/>
  <c r="AR452" i="17"/>
  <c r="N614" i="17"/>
  <c r="BN418" i="17" l="1"/>
  <c r="AF144" i="15" s="1"/>
  <c r="BD419" i="17"/>
  <c r="BE419" i="17" s="1"/>
  <c r="BF419" i="17" s="1"/>
  <c r="AL27" i="15"/>
  <c r="U454" i="17"/>
  <c r="AC454" i="17" s="1"/>
  <c r="O614" i="17"/>
  <c r="M615" i="17"/>
  <c r="AF453" i="17"/>
  <c r="AG453" i="17" s="1"/>
  <c r="BQ418" i="17" l="1"/>
  <c r="BK419" i="17"/>
  <c r="BL419" i="17" s="1"/>
  <c r="BM419" i="17" s="1"/>
  <c r="BJ419" i="17"/>
  <c r="AH453" i="17"/>
  <c r="AS453" i="17" s="1"/>
  <c r="AL453" i="17"/>
  <c r="AY453" i="17" s="1"/>
  <c r="BG419" i="17"/>
  <c r="BI419" i="17"/>
  <c r="AD454" i="17"/>
  <c r="W454" i="17"/>
  <c r="AA454" i="17" s="1"/>
  <c r="AK454" i="17" s="1"/>
  <c r="P615" i="17"/>
  <c r="E615" i="17"/>
  <c r="L615" i="17" s="1"/>
  <c r="AM453" i="17" l="1"/>
  <c r="AN453" i="17" s="1"/>
  <c r="AT453" i="17"/>
  <c r="AW453" i="17" s="1"/>
  <c r="AX453" i="17" s="1"/>
  <c r="AZ453" i="17" s="1"/>
  <c r="AU453" i="17"/>
  <c r="AV453" i="17" s="1"/>
  <c r="BO419" i="17"/>
  <c r="BP419" i="17" s="1"/>
  <c r="BN419" i="17"/>
  <c r="AF140" i="15" s="1"/>
  <c r="BC420" i="17"/>
  <c r="Y454" i="17"/>
  <c r="Q615" i="17"/>
  <c r="S615" i="17" s="1"/>
  <c r="N615" i="17"/>
  <c r="AE454" i="17"/>
  <c r="BD420" i="17" l="1"/>
  <c r="BE420" i="17" s="1"/>
  <c r="BF420" i="17" s="1"/>
  <c r="BH420" i="17"/>
  <c r="AL465" i="15"/>
  <c r="BQ419" i="17"/>
  <c r="AB454" i="17"/>
  <c r="Z454" i="17"/>
  <c r="M616" i="17"/>
  <c r="O615" i="17"/>
  <c r="AO453" i="17"/>
  <c r="BG420" i="17" l="1"/>
  <c r="BI420" i="17"/>
  <c r="BK420" i="17"/>
  <c r="BL420" i="17" s="1"/>
  <c r="BM420" i="17" s="1"/>
  <c r="BJ420" i="17"/>
  <c r="U455" i="17"/>
  <c r="AC455" i="17" s="1"/>
  <c r="AP453" i="17"/>
  <c r="P616" i="17"/>
  <c r="E616" i="17"/>
  <c r="L616" i="17" s="1"/>
  <c r="AF454" i="17"/>
  <c r="AG454" i="17" s="1"/>
  <c r="AH454" i="17" l="1"/>
  <c r="AS454" i="17" s="1"/>
  <c r="AL454" i="17"/>
  <c r="AY454" i="17" s="1"/>
  <c r="BO420" i="17"/>
  <c r="BP420" i="17" s="1"/>
  <c r="BN420" i="17"/>
  <c r="AF139" i="15" s="1"/>
  <c r="BC421" i="17"/>
  <c r="BD421" i="17" s="1"/>
  <c r="AD455" i="17"/>
  <c r="AR453" i="17"/>
  <c r="W455" i="17"/>
  <c r="AA455" i="17" s="1"/>
  <c r="AK455" i="17" s="1"/>
  <c r="N616" i="17"/>
  <c r="AQ453" i="17"/>
  <c r="Q616" i="17"/>
  <c r="S616" i="17" s="1"/>
  <c r="AM454" i="17" l="1"/>
  <c r="AN454" i="17" s="1"/>
  <c r="AT454" i="17"/>
  <c r="AW454" i="17" s="1"/>
  <c r="AX454" i="17" s="1"/>
  <c r="AZ454" i="17" s="1"/>
  <c r="AU454" i="17"/>
  <c r="AV454" i="17" s="1"/>
  <c r="Y455" i="17"/>
  <c r="AB455" i="17" s="1"/>
  <c r="BK421" i="17"/>
  <c r="BJ421" i="17"/>
  <c r="BH421" i="17"/>
  <c r="BE421" i="17"/>
  <c r="BF421" i="17" s="1"/>
  <c r="AL52" i="15"/>
  <c r="BQ420" i="17"/>
  <c r="O616" i="17"/>
  <c r="M617" i="17"/>
  <c r="E617" i="17" s="1"/>
  <c r="L617" i="17" s="1"/>
  <c r="AE455" i="17"/>
  <c r="Z455" i="17" l="1"/>
  <c r="U456" i="17" s="1"/>
  <c r="AC456" i="17" s="1"/>
  <c r="AF455" i="17"/>
  <c r="AG455" i="17" s="1"/>
  <c r="BG421" i="17"/>
  <c r="BI421" i="17"/>
  <c r="BL421" i="17"/>
  <c r="BM421" i="17" s="1"/>
  <c r="P617" i="17"/>
  <c r="AO454" i="17"/>
  <c r="N617" i="17"/>
  <c r="AH455" i="17" l="1"/>
  <c r="AS455" i="17" s="1"/>
  <c r="AL455" i="17"/>
  <c r="AY455" i="17" s="1"/>
  <c r="BO421" i="17"/>
  <c r="BP421" i="17" s="1"/>
  <c r="BN421" i="17"/>
  <c r="AF138" i="15" s="1"/>
  <c r="BC422" i="17"/>
  <c r="AD456" i="17"/>
  <c r="AE456" i="17" s="1"/>
  <c r="W456" i="17"/>
  <c r="Q617" i="17"/>
  <c r="S617" i="17" s="1"/>
  <c r="M618" i="17"/>
  <c r="O617" i="17"/>
  <c r="AP454" i="17"/>
  <c r="AQ454" i="17" s="1"/>
  <c r="AM455" i="17" l="1"/>
  <c r="AN455" i="17" s="1"/>
  <c r="AT455" i="17"/>
  <c r="AW455" i="17" s="1"/>
  <c r="AX455" i="17" s="1"/>
  <c r="AZ455" i="17" s="1"/>
  <c r="AU455" i="17"/>
  <c r="AV455" i="17" s="1"/>
  <c r="BD422" i="17"/>
  <c r="BH422" i="17"/>
  <c r="AL466" i="15"/>
  <c r="BQ421" i="17"/>
  <c r="AA456" i="17"/>
  <c r="AK456" i="17" s="1"/>
  <c r="Y456" i="17"/>
  <c r="AB456" i="17" s="1"/>
  <c r="P618" i="17"/>
  <c r="Q618" i="17" s="1"/>
  <c r="S618" i="17" s="1"/>
  <c r="E618" i="17"/>
  <c r="L618" i="17" s="1"/>
  <c r="N618" i="17" s="1"/>
  <c r="AR454" i="17"/>
  <c r="AO455" i="17" l="1"/>
  <c r="AP455" i="17" s="1"/>
  <c r="BJ422" i="17"/>
  <c r="BK422" i="17"/>
  <c r="BL422" i="17" s="1"/>
  <c r="BM422" i="17" s="1"/>
  <c r="Z456" i="17"/>
  <c r="U457" i="17" s="1"/>
  <c r="AC457" i="17" s="1"/>
  <c r="BE422" i="17"/>
  <c r="BF422" i="17" s="1"/>
  <c r="AF456" i="17"/>
  <c r="AG456" i="17" s="1"/>
  <c r="AL456" i="17" s="1"/>
  <c r="AY456" i="17" s="1"/>
  <c r="M619" i="17"/>
  <c r="E619" i="17" s="1"/>
  <c r="L619" i="17" s="1"/>
  <c r="O618" i="17"/>
  <c r="AH456" i="17" l="1"/>
  <c r="AS456" i="17" s="1"/>
  <c r="BG422" i="17"/>
  <c r="BI422" i="17"/>
  <c r="AD457" i="17"/>
  <c r="AE457" i="17" s="1"/>
  <c r="W457" i="17"/>
  <c r="AM456" i="17"/>
  <c r="AN456" i="17" s="1"/>
  <c r="N619" i="17"/>
  <c r="AR455" i="17"/>
  <c r="AQ455" i="17"/>
  <c r="P619" i="17"/>
  <c r="AT456" i="17" l="1"/>
  <c r="AW456" i="17" s="1"/>
  <c r="AX456" i="17" s="1"/>
  <c r="AZ456" i="17" s="1"/>
  <c r="AU456" i="17"/>
  <c r="AV456" i="17" s="1"/>
  <c r="BO422" i="17"/>
  <c r="BP422" i="17" s="1"/>
  <c r="BN422" i="17"/>
  <c r="AF136" i="15" s="1"/>
  <c r="BC423" i="17"/>
  <c r="BD423" i="17" s="1"/>
  <c r="AA457" i="17"/>
  <c r="AK457" i="17" s="1"/>
  <c r="Y457" i="17"/>
  <c r="AO456" i="17"/>
  <c r="AP456" i="17" s="1"/>
  <c r="M620" i="17"/>
  <c r="O619" i="17"/>
  <c r="Q619" i="17"/>
  <c r="S619" i="17" s="1"/>
  <c r="P620" i="17" l="1"/>
  <c r="Q620" i="17" s="1"/>
  <c r="S620" i="17" s="1"/>
  <c r="BK423" i="17"/>
  <c r="BL423" i="17" s="1"/>
  <c r="BM423" i="17" s="1"/>
  <c r="BJ423" i="17"/>
  <c r="AB457" i="17"/>
  <c r="Z457" i="17"/>
  <c r="BE423" i="17"/>
  <c r="BF423" i="17" s="1"/>
  <c r="BH423" i="17"/>
  <c r="AL11" i="15"/>
  <c r="BQ422" i="17"/>
  <c r="AQ456" i="17"/>
  <c r="E620" i="17"/>
  <c r="L620" i="17" s="1"/>
  <c r="AR456" i="17"/>
  <c r="BG423" i="17" l="1"/>
  <c r="BI423" i="17"/>
  <c r="U458" i="17"/>
  <c r="AC458" i="17" s="1"/>
  <c r="AF457" i="17"/>
  <c r="AG457" i="17" s="1"/>
  <c r="N620" i="17"/>
  <c r="AH457" i="17" l="1"/>
  <c r="AS457" i="17" s="1"/>
  <c r="AL457" i="17"/>
  <c r="AM457" i="17" s="1"/>
  <c r="W458" i="17"/>
  <c r="AA458" i="17" s="1"/>
  <c r="AK458" i="17" s="1"/>
  <c r="AD458" i="17"/>
  <c r="AE458" i="17" s="1"/>
  <c r="BO423" i="17"/>
  <c r="BP423" i="17" s="1"/>
  <c r="BN423" i="17"/>
  <c r="AF131" i="15" s="1"/>
  <c r="BC424" i="17"/>
  <c r="BH424" i="17" s="1"/>
  <c r="M621" i="17"/>
  <c r="O620" i="17"/>
  <c r="AY457" i="17" l="1"/>
  <c r="AT457" i="17"/>
  <c r="AW457" i="17" s="1"/>
  <c r="AX457" i="17" s="1"/>
  <c r="AZ457" i="17" s="1"/>
  <c r="AU457" i="17"/>
  <c r="AV457" i="17" s="1"/>
  <c r="Y458" i="17"/>
  <c r="AB458" i="17" s="1"/>
  <c r="AL55" i="15"/>
  <c r="BQ423" i="17"/>
  <c r="AN457" i="17"/>
  <c r="AO457" i="17" s="1"/>
  <c r="AP457" i="17" s="1"/>
  <c r="AQ457" i="17" s="1"/>
  <c r="BD424" i="17"/>
  <c r="P621" i="17"/>
  <c r="E621" i="17"/>
  <c r="L621" i="17" s="1"/>
  <c r="Z458" i="17" l="1"/>
  <c r="U459" i="17" s="1"/>
  <c r="AF458" i="17"/>
  <c r="AG458" i="17" s="1"/>
  <c r="AL458" i="17" s="1"/>
  <c r="AR457" i="17"/>
  <c r="BK424" i="17"/>
  <c r="BJ424" i="17"/>
  <c r="BE424" i="17"/>
  <c r="BF424" i="17" s="1"/>
  <c r="Q621" i="17"/>
  <c r="S621" i="17" s="1"/>
  <c r="N621" i="17"/>
  <c r="AH458" i="17" l="1"/>
  <c r="AS458" i="17" s="1"/>
  <c r="AC459" i="17"/>
  <c r="BG424" i="17"/>
  <c r="BI424" i="17"/>
  <c r="BL424" i="17"/>
  <c r="BM424" i="17" s="1"/>
  <c r="AY458" i="17"/>
  <c r="AM458" i="17"/>
  <c r="W459" i="17"/>
  <c r="AA459" i="17" s="1"/>
  <c r="AK459" i="17" s="1"/>
  <c r="O621" i="17"/>
  <c r="M622" i="17"/>
  <c r="E622" i="17" s="1"/>
  <c r="L622" i="17" s="1"/>
  <c r="AT458" i="17" l="1"/>
  <c r="AW458" i="17" s="1"/>
  <c r="AX458" i="17" s="1"/>
  <c r="AZ458" i="17" s="1"/>
  <c r="AU458" i="17"/>
  <c r="AV458" i="17" s="1"/>
  <c r="BO424" i="17"/>
  <c r="BP424" i="17" s="1"/>
  <c r="BN424" i="17"/>
  <c r="AF130" i="15" s="1"/>
  <c r="BC425" i="17"/>
  <c r="BH425" i="17" s="1"/>
  <c r="Y459" i="17"/>
  <c r="AN458" i="17"/>
  <c r="AO458" i="17" s="1"/>
  <c r="AP458" i="17" s="1"/>
  <c r="AD459" i="17"/>
  <c r="N622" i="17"/>
  <c r="P622" i="17"/>
  <c r="BD425" i="17" l="1"/>
  <c r="BJ425" i="17" s="1"/>
  <c r="AQ458" i="17"/>
  <c r="AR458" i="17"/>
  <c r="AE459" i="17"/>
  <c r="AB459" i="17"/>
  <c r="Z459" i="17"/>
  <c r="AL81" i="15"/>
  <c r="BQ424" i="17"/>
  <c r="Q622" i="17"/>
  <c r="S622" i="17" s="1"/>
  <c r="M623" i="17"/>
  <c r="E623" i="17" s="1"/>
  <c r="L623" i="17" s="1"/>
  <c r="O622" i="17"/>
  <c r="N623" i="17" l="1"/>
  <c r="O623" i="17" s="1"/>
  <c r="BE425" i="17"/>
  <c r="BF425" i="17" s="1"/>
  <c r="BG425" i="17" s="1"/>
  <c r="BK425" i="17"/>
  <c r="BL425" i="17" s="1"/>
  <c r="BM425" i="17" s="1"/>
  <c r="AF459" i="17"/>
  <c r="AG459" i="17" s="1"/>
  <c r="U460" i="17"/>
  <c r="AC460" i="17" s="1"/>
  <c r="P623" i="17"/>
  <c r="M624" i="17" l="1"/>
  <c r="E624" i="17" s="1"/>
  <c r="L624" i="17" s="1"/>
  <c r="N624" i="17" s="1"/>
  <c r="BI425" i="17"/>
  <c r="BN425" i="17" s="1"/>
  <c r="AF126" i="15" s="1"/>
  <c r="AH459" i="17"/>
  <c r="AS459" i="17" s="1"/>
  <c r="AL459" i="17"/>
  <c r="AY459" i="17" s="1"/>
  <c r="AD460" i="17"/>
  <c r="W460" i="17"/>
  <c r="AA460" i="17" s="1"/>
  <c r="AK460" i="17" s="1"/>
  <c r="BC426" i="17"/>
  <c r="BH426" i="17" s="1"/>
  <c r="Q623" i="17"/>
  <c r="S623" i="17" s="1"/>
  <c r="BO425" i="17" l="1"/>
  <c r="BP425" i="17" s="1"/>
  <c r="BQ425" i="17" s="1"/>
  <c r="AM459" i="17"/>
  <c r="AN459" i="17" s="1"/>
  <c r="AT459" i="17"/>
  <c r="AW459" i="17" s="1"/>
  <c r="AX459" i="17" s="1"/>
  <c r="AZ459" i="17" s="1"/>
  <c r="AU459" i="17"/>
  <c r="AV459" i="17" s="1"/>
  <c r="BD426" i="17"/>
  <c r="BK426" i="17" s="1"/>
  <c r="BL426" i="17" s="1"/>
  <c r="BM426" i="17" s="1"/>
  <c r="P624" i="17"/>
  <c r="Q624" i="17" s="1"/>
  <c r="S624" i="17" s="1"/>
  <c r="Y460" i="17"/>
  <c r="AE460" i="17"/>
  <c r="M625" i="17"/>
  <c r="O624" i="17"/>
  <c r="AL9" i="15" l="1"/>
  <c r="AO459" i="17"/>
  <c r="AP459" i="17" s="1"/>
  <c r="BJ426" i="17"/>
  <c r="BE426" i="17"/>
  <c r="BF426" i="17" s="1"/>
  <c r="BI426" i="17" s="1"/>
  <c r="AB460" i="17"/>
  <c r="Z460" i="17"/>
  <c r="P625" i="17"/>
  <c r="Q625" i="17" s="1"/>
  <c r="S625" i="17" s="1"/>
  <c r="E625" i="17"/>
  <c r="L625" i="17" s="1"/>
  <c r="BG426" i="17" l="1"/>
  <c r="BC427" i="17" s="1"/>
  <c r="AR459" i="17"/>
  <c r="U461" i="17"/>
  <c r="AC461" i="17" s="1"/>
  <c r="BO426" i="17"/>
  <c r="BP426" i="17" s="1"/>
  <c r="BN426" i="17"/>
  <c r="AF117" i="15" s="1"/>
  <c r="AQ459" i="17"/>
  <c r="AF460" i="17"/>
  <c r="AG460" i="17" s="1"/>
  <c r="AL460" i="17" s="1"/>
  <c r="N625" i="17"/>
  <c r="AH460" i="17" l="1"/>
  <c r="AS460" i="17" s="1"/>
  <c r="AD461" i="17"/>
  <c r="AL65" i="15"/>
  <c r="BQ426" i="17"/>
  <c r="AY460" i="17"/>
  <c r="AM460" i="17"/>
  <c r="AN460" i="17" s="1"/>
  <c r="BD427" i="17"/>
  <c r="BH427" i="17"/>
  <c r="W461" i="17"/>
  <c r="AA461" i="17" s="1"/>
  <c r="AK461" i="17" s="1"/>
  <c r="M626" i="17"/>
  <c r="E626" i="17" s="1"/>
  <c r="L626" i="17" s="1"/>
  <c r="O625" i="17"/>
  <c r="AT460" i="17" l="1"/>
  <c r="AW460" i="17" s="1"/>
  <c r="AX460" i="17" s="1"/>
  <c r="AZ460" i="17" s="1"/>
  <c r="AU460" i="17"/>
  <c r="AV460" i="17" s="1"/>
  <c r="Y461" i="17"/>
  <c r="AB461" i="17" s="1"/>
  <c r="BK427" i="17"/>
  <c r="BL427" i="17" s="1"/>
  <c r="BM427" i="17" s="1"/>
  <c r="BJ427" i="17"/>
  <c r="AE461" i="17"/>
  <c r="AO460" i="17"/>
  <c r="BE427" i="17"/>
  <c r="BF427" i="17" s="1"/>
  <c r="N626" i="17"/>
  <c r="P626" i="17"/>
  <c r="Q626" i="17" s="1"/>
  <c r="AF461" i="17" l="1"/>
  <c r="AG461" i="17" s="1"/>
  <c r="AL461" i="17" s="1"/>
  <c r="Z461" i="17"/>
  <c r="U462" i="17" s="1"/>
  <c r="AC462" i="17" s="1"/>
  <c r="BG427" i="17"/>
  <c r="BI427" i="17"/>
  <c r="AP460" i="17"/>
  <c r="O626" i="17"/>
  <c r="M627" i="17"/>
  <c r="P627" i="17" s="1"/>
  <c r="S626" i="17"/>
  <c r="AH461" i="17" l="1"/>
  <c r="AS461" i="17" s="1"/>
  <c r="AT461" i="17" s="1"/>
  <c r="AW461" i="17" s="1"/>
  <c r="AX461" i="17" s="1"/>
  <c r="AZ461" i="17" s="1"/>
  <c r="AY461" i="17"/>
  <c r="AM461" i="17"/>
  <c r="AN461" i="17" s="1"/>
  <c r="AO461" i="17" s="1"/>
  <c r="AD462" i="17"/>
  <c r="AE462" i="17" s="1"/>
  <c r="W462" i="17"/>
  <c r="AA462" i="17" s="1"/>
  <c r="AK462" i="17" s="1"/>
  <c r="BO427" i="17"/>
  <c r="BP427" i="17" s="1"/>
  <c r="BN427" i="17"/>
  <c r="AF109" i="15" s="1"/>
  <c r="BC428" i="17"/>
  <c r="BH428" i="17" s="1"/>
  <c r="AR460" i="17"/>
  <c r="E627" i="17"/>
  <c r="L627" i="17" s="1"/>
  <c r="N627" i="17" s="1"/>
  <c r="AQ460" i="17"/>
  <c r="Q627" i="17"/>
  <c r="S627" i="17" s="1"/>
  <c r="AU461" i="17" l="1"/>
  <c r="AV461" i="17" s="1"/>
  <c r="Y462" i="17"/>
  <c r="AB462" i="17" s="1"/>
  <c r="AF462" i="17" s="1"/>
  <c r="AG462" i="17" s="1"/>
  <c r="AP461" i="17"/>
  <c r="AR461" i="17" s="1"/>
  <c r="BD428" i="17"/>
  <c r="BE428" i="17" s="1"/>
  <c r="BF428" i="17" s="1"/>
  <c r="AL467" i="15"/>
  <c r="BQ427" i="17"/>
  <c r="M628" i="17"/>
  <c r="O627" i="17"/>
  <c r="Z462" i="17" l="1"/>
  <c r="U463" i="17" s="1"/>
  <c r="AC463" i="17" s="1"/>
  <c r="AH462" i="17"/>
  <c r="AS462" i="17" s="1"/>
  <c r="AL462" i="17"/>
  <c r="AY462" i="17" s="1"/>
  <c r="AQ461" i="17"/>
  <c r="BG428" i="17"/>
  <c r="BI428" i="17"/>
  <c r="BK428" i="17"/>
  <c r="BL428" i="17" s="1"/>
  <c r="BM428" i="17" s="1"/>
  <c r="BJ428" i="17"/>
  <c r="P628" i="17"/>
  <c r="E628" i="17"/>
  <c r="L628" i="17" s="1"/>
  <c r="W463" i="17" l="1"/>
  <c r="AA463" i="17" s="1"/>
  <c r="AK463" i="17" s="1"/>
  <c r="AM462" i="17"/>
  <c r="AN462" i="17" s="1"/>
  <c r="AO462" i="17" s="1"/>
  <c r="AP462" i="17" s="1"/>
  <c r="AQ462" i="17" s="1"/>
  <c r="AT462" i="17"/>
  <c r="AW462" i="17" s="1"/>
  <c r="AX462" i="17" s="1"/>
  <c r="AZ462" i="17" s="1"/>
  <c r="AU462" i="17"/>
  <c r="AV462" i="17" s="1"/>
  <c r="BO428" i="17"/>
  <c r="BP428" i="17" s="1"/>
  <c r="BN428" i="17"/>
  <c r="AF106" i="15" s="1"/>
  <c r="BC429" i="17"/>
  <c r="AD463" i="17"/>
  <c r="N628" i="17"/>
  <c r="Q628" i="17"/>
  <c r="S628" i="17" s="1"/>
  <c r="Y463" i="17" l="1"/>
  <c r="AB463" i="17" s="1"/>
  <c r="AE463" i="17"/>
  <c r="AR462" i="17"/>
  <c r="BD429" i="17"/>
  <c r="BH429" i="17"/>
  <c r="AL468" i="15"/>
  <c r="BQ428" i="17"/>
  <c r="O628" i="17"/>
  <c r="M629" i="17"/>
  <c r="E629" i="17" s="1"/>
  <c r="L629" i="17" s="1"/>
  <c r="Z463" i="17" l="1"/>
  <c r="U464" i="17" s="1"/>
  <c r="AC464" i="17" s="1"/>
  <c r="AF463" i="17"/>
  <c r="AG463" i="17" s="1"/>
  <c r="AH463" i="17" s="1"/>
  <c r="AS463" i="17" s="1"/>
  <c r="BK429" i="17"/>
  <c r="BL429" i="17" s="1"/>
  <c r="BM429" i="17" s="1"/>
  <c r="BJ429" i="17"/>
  <c r="BE429" i="17"/>
  <c r="BF429" i="17" s="1"/>
  <c r="N629" i="17"/>
  <c r="P629" i="17"/>
  <c r="AL463" i="17" l="1"/>
  <c r="AM463" i="17" s="1"/>
  <c r="AN463" i="17" s="1"/>
  <c r="AO463" i="17" s="1"/>
  <c r="AT463" i="17"/>
  <c r="AW463" i="17" s="1"/>
  <c r="AX463" i="17" s="1"/>
  <c r="AZ463" i="17" s="1"/>
  <c r="AU463" i="17"/>
  <c r="AV463" i="17" s="1"/>
  <c r="W464" i="17"/>
  <c r="AA464" i="17" s="1"/>
  <c r="AK464" i="17" s="1"/>
  <c r="BG429" i="17"/>
  <c r="BI429" i="17"/>
  <c r="AD464" i="17"/>
  <c r="Q629" i="17"/>
  <c r="S629" i="17" s="1"/>
  <c r="O629" i="17"/>
  <c r="M630" i="17"/>
  <c r="E630" i="17" s="1"/>
  <c r="L630" i="17" s="1"/>
  <c r="AY463" i="17" l="1"/>
  <c r="Y464" i="17"/>
  <c r="AB464" i="17" s="1"/>
  <c r="AP463" i="17"/>
  <c r="AQ463" i="17" s="1"/>
  <c r="AE464" i="17"/>
  <c r="BO429" i="17"/>
  <c r="BP429" i="17" s="1"/>
  <c r="BN429" i="17"/>
  <c r="AF103" i="15" s="1"/>
  <c r="BC430" i="17"/>
  <c r="BH430" i="17" s="1"/>
  <c r="N630" i="17"/>
  <c r="P630" i="17"/>
  <c r="AF464" i="17" l="1"/>
  <c r="AG464" i="17" s="1"/>
  <c r="AL464" i="17" s="1"/>
  <c r="AY464" i="17" s="1"/>
  <c r="Z464" i="17"/>
  <c r="U465" i="17" s="1"/>
  <c r="AC465" i="17" s="1"/>
  <c r="BD430" i="17"/>
  <c r="BE430" i="17" s="1"/>
  <c r="AR463" i="17"/>
  <c r="AL469" i="15"/>
  <c r="BQ429" i="17"/>
  <c r="Q630" i="17"/>
  <c r="S630" i="17" s="1"/>
  <c r="O630" i="17"/>
  <c r="M631" i="17"/>
  <c r="E631" i="17" s="1"/>
  <c r="L631" i="17" s="1"/>
  <c r="AM464" i="17" l="1"/>
  <c r="AN464" i="17" s="1"/>
  <c r="AO464" i="17" s="1"/>
  <c r="AH464" i="17"/>
  <c r="AS464" i="17" s="1"/>
  <c r="AT464" i="17" s="1"/>
  <c r="AW464" i="17" s="1"/>
  <c r="AX464" i="17" s="1"/>
  <c r="AZ464" i="17" s="1"/>
  <c r="BF430" i="17"/>
  <c r="BG430" i="17" s="1"/>
  <c r="BJ430" i="17"/>
  <c r="BK430" i="17"/>
  <c r="BL430" i="17" s="1"/>
  <c r="BM430" i="17" s="1"/>
  <c r="W465" i="17"/>
  <c r="AD465" i="17"/>
  <c r="N631" i="17"/>
  <c r="P631" i="17"/>
  <c r="AU464" i="17" l="1"/>
  <c r="AV464" i="17" s="1"/>
  <c r="BI430" i="17"/>
  <c r="BO430" i="17" s="1"/>
  <c r="BP430" i="17" s="1"/>
  <c r="AP464" i="17"/>
  <c r="AQ464" i="17" s="1"/>
  <c r="AE465" i="17"/>
  <c r="BC431" i="17"/>
  <c r="BH431" i="17" s="1"/>
  <c r="AA465" i="17"/>
  <c r="AK465" i="17" s="1"/>
  <c r="Y465" i="17"/>
  <c r="AB465" i="17" s="1"/>
  <c r="M632" i="17"/>
  <c r="E632" i="17" s="1"/>
  <c r="L632" i="17" s="1"/>
  <c r="O631" i="17"/>
  <c r="Q631" i="17"/>
  <c r="S631" i="17" s="1"/>
  <c r="BN430" i="17" l="1"/>
  <c r="AF100" i="15" s="1"/>
  <c r="AR464" i="17"/>
  <c r="BD431" i="17"/>
  <c r="BE431" i="17" s="1"/>
  <c r="BF431" i="17" s="1"/>
  <c r="BG431" i="17" s="1"/>
  <c r="AF465" i="17"/>
  <c r="AG465" i="17" s="1"/>
  <c r="Z465" i="17"/>
  <c r="AL470" i="15"/>
  <c r="N632" i="17"/>
  <c r="P632" i="17"/>
  <c r="BQ430" i="17" l="1"/>
  <c r="AH465" i="17"/>
  <c r="AS465" i="17" s="1"/>
  <c r="AL465" i="17"/>
  <c r="AY465" i="17" s="1"/>
  <c r="BK431" i="17"/>
  <c r="BL431" i="17" s="1"/>
  <c r="BM431" i="17" s="1"/>
  <c r="BJ431" i="17"/>
  <c r="BI431" i="17"/>
  <c r="BO431" i="17" s="1"/>
  <c r="BP431" i="17" s="1"/>
  <c r="BC432" i="17"/>
  <c r="BH432" i="17" s="1"/>
  <c r="U466" i="17"/>
  <c r="AC466" i="17" s="1"/>
  <c r="Q632" i="17"/>
  <c r="S632" i="17" s="1"/>
  <c r="O632" i="17"/>
  <c r="M633" i="17"/>
  <c r="AM465" i="17" l="1"/>
  <c r="AN465" i="17" s="1"/>
  <c r="AO465" i="17" s="1"/>
  <c r="BN431" i="17"/>
  <c r="AF97" i="15" s="1"/>
  <c r="AT465" i="17"/>
  <c r="AW465" i="17" s="1"/>
  <c r="AX465" i="17" s="1"/>
  <c r="AZ465" i="17" s="1"/>
  <c r="AU465" i="17"/>
  <c r="AV465" i="17" s="1"/>
  <c r="BD432" i="17"/>
  <c r="BE432" i="17" s="1"/>
  <c r="BF432" i="17" s="1"/>
  <c r="BI432" i="17" s="1"/>
  <c r="W466" i="17"/>
  <c r="AA466" i="17" s="1"/>
  <c r="AK466" i="17" s="1"/>
  <c r="P633" i="17"/>
  <c r="Q633" i="17" s="1"/>
  <c r="S633" i="17" s="1"/>
  <c r="AD466" i="17"/>
  <c r="AL471" i="15"/>
  <c r="E633" i="17"/>
  <c r="L633" i="17" s="1"/>
  <c r="BQ431" i="17" l="1"/>
  <c r="BG432" i="17"/>
  <c r="BC433" i="17" s="1"/>
  <c r="BK432" i="17"/>
  <c r="BL432" i="17" s="1"/>
  <c r="BM432" i="17" s="1"/>
  <c r="BJ432" i="17"/>
  <c r="Y466" i="17"/>
  <c r="AB466" i="17" s="1"/>
  <c r="AE466" i="17"/>
  <c r="BO432" i="17"/>
  <c r="BP432" i="17" s="1"/>
  <c r="AP465" i="17"/>
  <c r="AQ465" i="17" s="1"/>
  <c r="N633" i="17"/>
  <c r="BN432" i="17" l="1"/>
  <c r="AF95" i="15" s="1"/>
  <c r="Z466" i="17"/>
  <c r="U467" i="17" s="1"/>
  <c r="W467" i="17" s="1"/>
  <c r="AA467" i="17" s="1"/>
  <c r="AK467" i="17" s="1"/>
  <c r="BD433" i="17"/>
  <c r="BH433" i="17"/>
  <c r="AL127" i="15"/>
  <c r="AR465" i="17"/>
  <c r="AF466" i="17"/>
  <c r="AG466" i="17" s="1"/>
  <c r="O633" i="17"/>
  <c r="M634" i="17"/>
  <c r="E634" i="17" s="1"/>
  <c r="L634" i="17" s="1"/>
  <c r="BQ432" i="17" l="1"/>
  <c r="Y467" i="17"/>
  <c r="AB467" i="17" s="1"/>
  <c r="AC467" i="17"/>
  <c r="AD467" i="17" s="1"/>
  <c r="AH466" i="17"/>
  <c r="AS466" i="17" s="1"/>
  <c r="AL466" i="17"/>
  <c r="AY466" i="17" s="1"/>
  <c r="BK433" i="17"/>
  <c r="BL433" i="17" s="1"/>
  <c r="BM433" i="17" s="1"/>
  <c r="BJ433" i="17"/>
  <c r="BE433" i="17"/>
  <c r="BF433" i="17" s="1"/>
  <c r="N634" i="17"/>
  <c r="P634" i="17"/>
  <c r="Z467" i="17" l="1"/>
  <c r="U468" i="17" s="1"/>
  <c r="AC468" i="17" s="1"/>
  <c r="AM466" i="17"/>
  <c r="AN466" i="17" s="1"/>
  <c r="AO466" i="17" s="1"/>
  <c r="AP466" i="17" s="1"/>
  <c r="AT466" i="17"/>
  <c r="AW466" i="17" s="1"/>
  <c r="AX466" i="17" s="1"/>
  <c r="AZ466" i="17" s="1"/>
  <c r="AU466" i="17"/>
  <c r="AV466" i="17" s="1"/>
  <c r="BG433" i="17"/>
  <c r="BI433" i="17"/>
  <c r="AE467" i="17"/>
  <c r="AF467" i="17" s="1"/>
  <c r="AG467" i="17" s="1"/>
  <c r="Q634" i="17"/>
  <c r="S634" i="17" s="1"/>
  <c r="O634" i="17"/>
  <c r="M635" i="17"/>
  <c r="W468" i="17" l="1"/>
  <c r="AA468" i="17" s="1"/>
  <c r="AK468" i="17" s="1"/>
  <c r="AR466" i="17"/>
  <c r="AQ466" i="17"/>
  <c r="AH467" i="17"/>
  <c r="AS467" i="17" s="1"/>
  <c r="AL467" i="17"/>
  <c r="AY467" i="17" s="1"/>
  <c r="AD468" i="17"/>
  <c r="AE468" i="17" s="1"/>
  <c r="BO433" i="17"/>
  <c r="BP433" i="17" s="1"/>
  <c r="BN433" i="17"/>
  <c r="AF96" i="15" s="1"/>
  <c r="BC434" i="17"/>
  <c r="BH434" i="17" s="1"/>
  <c r="P635" i="17"/>
  <c r="E635" i="17"/>
  <c r="L635" i="17" s="1"/>
  <c r="Y468" i="17" l="1"/>
  <c r="AB468" i="17" s="1"/>
  <c r="AF468" i="17" s="1"/>
  <c r="AG468" i="17" s="1"/>
  <c r="AL468" i="17" s="1"/>
  <c r="AY468" i="17" s="1"/>
  <c r="AM467" i="17"/>
  <c r="AT467" i="17"/>
  <c r="AW467" i="17" s="1"/>
  <c r="AU467" i="17"/>
  <c r="AV467" i="17" s="1"/>
  <c r="BD434" i="17"/>
  <c r="BE434" i="17" s="1"/>
  <c r="BF434" i="17" s="1"/>
  <c r="BG434" i="17" s="1"/>
  <c r="AL472" i="15"/>
  <c r="BQ433" i="17"/>
  <c r="N635" i="17"/>
  <c r="Q635" i="17"/>
  <c r="S635" i="17" s="1"/>
  <c r="Z468" i="17" l="1"/>
  <c r="U469" i="17" s="1"/>
  <c r="AC469" i="17" s="1"/>
  <c r="AD469" i="17" s="1"/>
  <c r="AE469" i="17" s="1"/>
  <c r="AM468" i="17"/>
  <c r="AN468" i="17" s="1"/>
  <c r="AH468" i="17"/>
  <c r="AS468" i="17" s="1"/>
  <c r="AT468" i="17" s="1"/>
  <c r="BI434" i="17"/>
  <c r="BO434" i="17" s="1"/>
  <c r="BP434" i="17" s="1"/>
  <c r="AN467" i="17"/>
  <c r="AO467" i="17" s="1"/>
  <c r="AX467" i="17"/>
  <c r="AZ467" i="17" s="1"/>
  <c r="BJ434" i="17"/>
  <c r="BK434" i="17"/>
  <c r="BL434" i="17" s="1"/>
  <c r="BM434" i="17" s="1"/>
  <c r="BC435" i="17"/>
  <c r="BH435" i="17" s="1"/>
  <c r="O635" i="17"/>
  <c r="M636" i="17"/>
  <c r="E636" i="17" s="1"/>
  <c r="L636" i="17" s="1"/>
  <c r="W469" i="17" l="1"/>
  <c r="Y469" i="17" s="1"/>
  <c r="AB469" i="17" s="1"/>
  <c r="AF469" i="17" s="1"/>
  <c r="AG469" i="17" s="1"/>
  <c r="AL469" i="17" s="1"/>
  <c r="AY469" i="17" s="1"/>
  <c r="AU468" i="17"/>
  <c r="AV468" i="17" s="1"/>
  <c r="AO468" i="17"/>
  <c r="AP468" i="17" s="1"/>
  <c r="AQ468" i="17" s="1"/>
  <c r="AW468" i="17"/>
  <c r="AX468" i="17" s="1"/>
  <c r="AZ468" i="17" s="1"/>
  <c r="AP467" i="17"/>
  <c r="AR467" i="17" s="1"/>
  <c r="BN434" i="17"/>
  <c r="AF98" i="15" s="1"/>
  <c r="AL473" i="15"/>
  <c r="BD435" i="17"/>
  <c r="BE435" i="17" s="1"/>
  <c r="BF435" i="17" s="1"/>
  <c r="N636" i="17"/>
  <c r="M637" i="17" s="1"/>
  <c r="E637" i="17" s="1"/>
  <c r="L637" i="17" s="1"/>
  <c r="P636" i="17"/>
  <c r="Z469" i="17" l="1"/>
  <c r="U470" i="17" s="1"/>
  <c r="W470" i="17" s="1"/>
  <c r="AA470" i="17" s="1"/>
  <c r="AK470" i="17" s="1"/>
  <c r="AA469" i="17"/>
  <c r="AK469" i="17" s="1"/>
  <c r="AR468" i="17"/>
  <c r="AQ467" i="17"/>
  <c r="BQ434" i="17"/>
  <c r="AH469" i="17"/>
  <c r="AS469" i="17" s="1"/>
  <c r="AM469" i="17"/>
  <c r="AN469" i="17" s="1"/>
  <c r="O636" i="17"/>
  <c r="N637" i="17" s="1"/>
  <c r="M638" i="17" s="1"/>
  <c r="E638" i="17" s="1"/>
  <c r="L638" i="17" s="1"/>
  <c r="BG435" i="17"/>
  <c r="BI435" i="17"/>
  <c r="BK435" i="17"/>
  <c r="BL435" i="17" s="1"/>
  <c r="BM435" i="17" s="1"/>
  <c r="BJ435" i="17"/>
  <c r="Q636" i="17"/>
  <c r="S636" i="17" s="1"/>
  <c r="AC470" i="17" l="1"/>
  <c r="AD470" i="17" s="1"/>
  <c r="AE470" i="17" s="1"/>
  <c r="Y470" i="17"/>
  <c r="AB470" i="17" s="1"/>
  <c r="AO469" i="17"/>
  <c r="AP469" i="17" s="1"/>
  <c r="AT469" i="17"/>
  <c r="AW469" i="17" s="1"/>
  <c r="AU469" i="17"/>
  <c r="AV469" i="17" s="1"/>
  <c r="O637" i="17"/>
  <c r="N638" i="17" s="1"/>
  <c r="BO435" i="17"/>
  <c r="BP435" i="17" s="1"/>
  <c r="BN435" i="17"/>
  <c r="AF101" i="15" s="1"/>
  <c r="BC436" i="17"/>
  <c r="BH436" i="17" s="1"/>
  <c r="P637" i="17"/>
  <c r="AF470" i="17" l="1"/>
  <c r="AG470" i="17" s="1"/>
  <c r="AL470" i="17" s="1"/>
  <c r="AY470" i="17" s="1"/>
  <c r="Z470" i="17"/>
  <c r="U471" i="17" s="1"/>
  <c r="AC471" i="17" s="1"/>
  <c r="AD471" i="17" s="1"/>
  <c r="AX469" i="17"/>
  <c r="AZ469" i="17" s="1"/>
  <c r="BD436" i="17"/>
  <c r="BK436" i="17" s="1"/>
  <c r="BL436" i="17" s="1"/>
  <c r="BM436" i="17" s="1"/>
  <c r="AL474" i="15"/>
  <c r="BQ435" i="17"/>
  <c r="M639" i="17"/>
  <c r="O638" i="17"/>
  <c r="AR469" i="17"/>
  <c r="Q637" i="17"/>
  <c r="S637" i="17" s="1"/>
  <c r="AQ469" i="17"/>
  <c r="AH470" i="17" l="1"/>
  <c r="AS470" i="17" s="1"/>
  <c r="AT470" i="17" s="1"/>
  <c r="AW470" i="17" s="1"/>
  <c r="AX470" i="17" s="1"/>
  <c r="AZ470" i="17" s="1"/>
  <c r="AM470" i="17"/>
  <c r="AN470" i="17" s="1"/>
  <c r="AO470" i="17" s="1"/>
  <c r="W471" i="17"/>
  <c r="AA471" i="17" s="1"/>
  <c r="AK471" i="17" s="1"/>
  <c r="BE436" i="17"/>
  <c r="BF436" i="17" s="1"/>
  <c r="BI436" i="17" s="1"/>
  <c r="BJ436" i="17"/>
  <c r="P638" i="17"/>
  <c r="Q638" i="17" s="1"/>
  <c r="S638" i="17" s="1"/>
  <c r="AE471" i="17"/>
  <c r="E639" i="17"/>
  <c r="L639" i="17" s="1"/>
  <c r="Y471" i="17" l="1"/>
  <c r="AB471" i="17" s="1"/>
  <c r="AF471" i="17" s="1"/>
  <c r="AG471" i="17" s="1"/>
  <c r="AL471" i="17" s="1"/>
  <c r="AY471" i="17" s="1"/>
  <c r="AU470" i="17"/>
  <c r="AV470" i="17" s="1"/>
  <c r="BG436" i="17"/>
  <c r="BC437" i="17" s="1"/>
  <c r="BH437" i="17" s="1"/>
  <c r="BO436" i="17"/>
  <c r="BP436" i="17" s="1"/>
  <c r="BN436" i="17"/>
  <c r="AF102" i="15" s="1"/>
  <c r="N639" i="17"/>
  <c r="AP470" i="17"/>
  <c r="P639" i="17"/>
  <c r="Z471" i="17" l="1"/>
  <c r="AH471" i="17"/>
  <c r="AS471" i="17" s="1"/>
  <c r="BD437" i="17"/>
  <c r="BK437" i="17" s="1"/>
  <c r="BL437" i="17" s="1"/>
  <c r="BM437" i="17" s="1"/>
  <c r="AL92" i="15"/>
  <c r="BQ436" i="17"/>
  <c r="U472" i="17"/>
  <c r="AC472" i="17" s="1"/>
  <c r="AR470" i="17"/>
  <c r="Q639" i="17"/>
  <c r="S639" i="17" s="1"/>
  <c r="AQ470" i="17"/>
  <c r="O639" i="17"/>
  <c r="M640" i="17"/>
  <c r="AM471" i="17"/>
  <c r="AU471" i="17" l="1"/>
  <c r="AV471" i="17" s="1"/>
  <c r="AT471" i="17"/>
  <c r="AW471" i="17" s="1"/>
  <c r="AX471" i="17" s="1"/>
  <c r="AZ471" i="17" s="1"/>
  <c r="BE437" i="17"/>
  <c r="BF437" i="17" s="1"/>
  <c r="BG437" i="17" s="1"/>
  <c r="BJ437" i="17"/>
  <c r="AN471" i="17"/>
  <c r="AD472" i="17"/>
  <c r="E640" i="17"/>
  <c r="L640" i="17" s="1"/>
  <c r="W472" i="17"/>
  <c r="P640" i="17"/>
  <c r="BI437" i="17" l="1"/>
  <c r="BO437" i="17" s="1"/>
  <c r="BP437" i="17" s="1"/>
  <c r="BC438" i="17"/>
  <c r="BH438" i="17" s="1"/>
  <c r="Q640" i="17"/>
  <c r="S640" i="17" s="1"/>
  <c r="AA472" i="17"/>
  <c r="AK472" i="17" s="1"/>
  <c r="Y472" i="17"/>
  <c r="AE472" i="17"/>
  <c r="N640" i="17"/>
  <c r="AO471" i="17"/>
  <c r="BN437" i="17" l="1"/>
  <c r="AF104" i="15" s="1"/>
  <c r="BD438" i="17"/>
  <c r="BK438" i="17" s="1"/>
  <c r="BL438" i="17" s="1"/>
  <c r="BM438" i="17" s="1"/>
  <c r="AL475" i="15"/>
  <c r="AB472" i="17"/>
  <c r="Z472" i="17"/>
  <c r="O640" i="17"/>
  <c r="M641" i="17"/>
  <c r="E641" i="17" s="1"/>
  <c r="L641" i="17" s="1"/>
  <c r="AP471" i="17"/>
  <c r="BQ437" i="17" l="1"/>
  <c r="BE438" i="17"/>
  <c r="BF438" i="17" s="1"/>
  <c r="BG438" i="17" s="1"/>
  <c r="BJ438" i="17"/>
  <c r="N641" i="17"/>
  <c r="P641" i="17"/>
  <c r="AR471" i="17"/>
  <c r="U473" i="17"/>
  <c r="AC473" i="17" s="1"/>
  <c r="AQ471" i="17"/>
  <c r="AF472" i="17"/>
  <c r="AG472" i="17" s="1"/>
  <c r="AL472" i="17" s="1"/>
  <c r="AY472" i="17" s="1"/>
  <c r="AH472" i="17" l="1"/>
  <c r="AS472" i="17" s="1"/>
  <c r="BI438" i="17"/>
  <c r="BO438" i="17" s="1"/>
  <c r="BP438" i="17" s="1"/>
  <c r="BC439" i="17"/>
  <c r="W473" i="17"/>
  <c r="AA473" i="17" s="1"/>
  <c r="AK473" i="17" s="1"/>
  <c r="AM472" i="17"/>
  <c r="AD473" i="17"/>
  <c r="O641" i="17"/>
  <c r="M642" i="17"/>
  <c r="Q641" i="17"/>
  <c r="S641" i="17" s="1"/>
  <c r="BN438" i="17" l="1"/>
  <c r="AF92" i="15" s="1"/>
  <c r="AT472" i="17"/>
  <c r="AW472" i="17" s="1"/>
  <c r="AX472" i="17" s="1"/>
  <c r="AZ472" i="17" s="1"/>
  <c r="AU472" i="17"/>
  <c r="AV472" i="17" s="1"/>
  <c r="BD439" i="17"/>
  <c r="BH439" i="17"/>
  <c r="AL7" i="15"/>
  <c r="Y473" i="17"/>
  <c r="AB473" i="17" s="1"/>
  <c r="P642" i="17"/>
  <c r="Q642" i="17" s="1"/>
  <c r="S642" i="17" s="1"/>
  <c r="E642" i="17"/>
  <c r="L642" i="17" s="1"/>
  <c r="AN472" i="17"/>
  <c r="AE473" i="17"/>
  <c r="BQ438" i="17" l="1"/>
  <c r="Z473" i="17"/>
  <c r="U474" i="17" s="1"/>
  <c r="BK439" i="17"/>
  <c r="BL439" i="17" s="1"/>
  <c r="BM439" i="17" s="1"/>
  <c r="BJ439" i="17"/>
  <c r="BE439" i="17"/>
  <c r="BF439" i="17" s="1"/>
  <c r="AF473" i="17"/>
  <c r="AG473" i="17" s="1"/>
  <c r="N642" i="17"/>
  <c r="AO472" i="17"/>
  <c r="AH473" i="17" l="1"/>
  <c r="AS473" i="17" s="1"/>
  <c r="AL473" i="17"/>
  <c r="AY473" i="17" s="1"/>
  <c r="BG439" i="17"/>
  <c r="BI439" i="17"/>
  <c r="AC474" i="17"/>
  <c r="W474" i="17"/>
  <c r="AA474" i="17" s="1"/>
  <c r="AK474" i="17" s="1"/>
  <c r="O642" i="17"/>
  <c r="M643" i="17"/>
  <c r="E643" i="17" s="1"/>
  <c r="L643" i="17" s="1"/>
  <c r="AP472" i="17"/>
  <c r="AQ472" i="17" s="1"/>
  <c r="AM473" i="17" l="1"/>
  <c r="AN473" i="17" s="1"/>
  <c r="AO473" i="17" s="1"/>
  <c r="AP473" i="17" s="1"/>
  <c r="AT473" i="17"/>
  <c r="AW473" i="17" s="1"/>
  <c r="AX473" i="17" s="1"/>
  <c r="AZ473" i="17" s="1"/>
  <c r="AU473" i="17"/>
  <c r="AV473" i="17" s="1"/>
  <c r="BO439" i="17"/>
  <c r="BP439" i="17" s="1"/>
  <c r="BN439" i="17"/>
  <c r="AF89" i="15" s="1"/>
  <c r="BC440" i="17"/>
  <c r="Y474" i="17"/>
  <c r="AD474" i="17"/>
  <c r="AE474" i="17" s="1"/>
  <c r="N643" i="17"/>
  <c r="P643" i="17"/>
  <c r="Q643" i="17" s="1"/>
  <c r="AR472" i="17"/>
  <c r="BH440" i="17" l="1"/>
  <c r="AL476" i="15"/>
  <c r="BQ439" i="17"/>
  <c r="BD440" i="17"/>
  <c r="AB474" i="17"/>
  <c r="Z474" i="17"/>
  <c r="AR473" i="17"/>
  <c r="O643" i="17"/>
  <c r="M644" i="17"/>
  <c r="S643" i="17"/>
  <c r="AQ473" i="17"/>
  <c r="BK440" i="17" l="1"/>
  <c r="BL440" i="17" s="1"/>
  <c r="BM440" i="17" s="1"/>
  <c r="BJ440" i="17"/>
  <c r="BE440" i="17"/>
  <c r="BF440" i="17" s="1"/>
  <c r="U475" i="17"/>
  <c r="AC475" i="17" s="1"/>
  <c r="AF474" i="17"/>
  <c r="AG474" i="17" s="1"/>
  <c r="P644" i="17"/>
  <c r="E644" i="17"/>
  <c r="L644" i="17" s="1"/>
  <c r="AH474" i="17" l="1"/>
  <c r="AS474" i="17" s="1"/>
  <c r="AL474" i="17"/>
  <c r="AY474" i="17" s="1"/>
  <c r="BG440" i="17"/>
  <c r="BI440" i="17"/>
  <c r="W475" i="17"/>
  <c r="AD475" i="17"/>
  <c r="N644" i="17"/>
  <c r="Q644" i="17"/>
  <c r="S644" i="17" s="1"/>
  <c r="AM474" i="17" l="1"/>
  <c r="AN474" i="17" s="1"/>
  <c r="AO474" i="17" s="1"/>
  <c r="AT474" i="17"/>
  <c r="AW474" i="17" s="1"/>
  <c r="AX474" i="17" s="1"/>
  <c r="AZ474" i="17" s="1"/>
  <c r="AU474" i="17"/>
  <c r="AV474" i="17" s="1"/>
  <c r="BO440" i="17"/>
  <c r="BP440" i="17" s="1"/>
  <c r="BN440" i="17"/>
  <c r="AF86" i="15" s="1"/>
  <c r="BC441" i="17"/>
  <c r="BH441" i="17" s="1"/>
  <c r="AE475" i="17"/>
  <c r="AA475" i="17"/>
  <c r="AK475" i="17" s="1"/>
  <c r="Y475" i="17"/>
  <c r="AB475" i="17" s="1"/>
  <c r="M645" i="17"/>
  <c r="E645" i="17" s="1"/>
  <c r="L645" i="17" s="1"/>
  <c r="O644" i="17"/>
  <c r="BD441" i="17" l="1"/>
  <c r="AL45" i="15"/>
  <c r="BQ440" i="17"/>
  <c r="Z475" i="17"/>
  <c r="U476" i="17" s="1"/>
  <c r="AC476" i="17" s="1"/>
  <c r="AF475" i="17"/>
  <c r="AG475" i="17" s="1"/>
  <c r="AL475" i="17" s="1"/>
  <c r="AY475" i="17" s="1"/>
  <c r="AP474" i="17"/>
  <c r="AQ474" i="17" s="1"/>
  <c r="N645" i="17"/>
  <c r="P645" i="17"/>
  <c r="AH475" i="17" l="1"/>
  <c r="AS475" i="17" s="1"/>
  <c r="BK441" i="17"/>
  <c r="BJ441" i="17"/>
  <c r="BE441" i="17"/>
  <c r="BF441" i="17" s="1"/>
  <c r="AD476" i="17"/>
  <c r="AR474" i="17"/>
  <c r="AM475" i="17"/>
  <c r="W476" i="17"/>
  <c r="M646" i="17"/>
  <c r="O645" i="17"/>
  <c r="Q645" i="17"/>
  <c r="S645" i="17" s="1"/>
  <c r="AT475" i="17" l="1"/>
  <c r="AW475" i="17" s="1"/>
  <c r="AX475" i="17" s="1"/>
  <c r="AZ475" i="17" s="1"/>
  <c r="AU475" i="17"/>
  <c r="AV475" i="17" s="1"/>
  <c r="BG441" i="17"/>
  <c r="BI441" i="17"/>
  <c r="BL441" i="17"/>
  <c r="BM441" i="17" s="1"/>
  <c r="AE476" i="17"/>
  <c r="AA476" i="17"/>
  <c r="AK476" i="17" s="1"/>
  <c r="Y476" i="17"/>
  <c r="AB476" i="17" s="1"/>
  <c r="AN475" i="17"/>
  <c r="AO475" i="17" s="1"/>
  <c r="E646" i="17"/>
  <c r="L646" i="17" s="1"/>
  <c r="P646" i="17"/>
  <c r="BC442" i="17" l="1"/>
  <c r="BH442" i="17" s="1"/>
  <c r="BO441" i="17"/>
  <c r="BP441" i="17" s="1"/>
  <c r="BN441" i="17"/>
  <c r="AF83" i="15" s="1"/>
  <c r="AP475" i="17"/>
  <c r="AR475" i="17" s="1"/>
  <c r="AF476" i="17"/>
  <c r="AG476" i="17" s="1"/>
  <c r="AL476" i="17" s="1"/>
  <c r="AY476" i="17" s="1"/>
  <c r="Z476" i="17"/>
  <c r="Q646" i="17"/>
  <c r="S646" i="17" s="1"/>
  <c r="N646" i="17"/>
  <c r="AH476" i="17" l="1"/>
  <c r="AS476" i="17" s="1"/>
  <c r="BD442" i="17"/>
  <c r="BJ442" i="17" s="1"/>
  <c r="AL97" i="15"/>
  <c r="BQ441" i="17"/>
  <c r="AM476" i="17"/>
  <c r="U477" i="17"/>
  <c r="AC477" i="17" s="1"/>
  <c r="AQ475" i="17"/>
  <c r="O646" i="17"/>
  <c r="M647" i="17"/>
  <c r="E647" i="17" s="1"/>
  <c r="L647" i="17" s="1"/>
  <c r="BE442" i="17" l="1"/>
  <c r="BF442" i="17" s="1"/>
  <c r="BI442" i="17" s="1"/>
  <c r="AT476" i="17"/>
  <c r="AW476" i="17" s="1"/>
  <c r="AX476" i="17" s="1"/>
  <c r="AZ476" i="17" s="1"/>
  <c r="AU476" i="17"/>
  <c r="AV476" i="17" s="1"/>
  <c r="BK442" i="17"/>
  <c r="BL442" i="17" s="1"/>
  <c r="BM442" i="17" s="1"/>
  <c r="W477" i="17"/>
  <c r="AA477" i="17" s="1"/>
  <c r="AK477" i="17" s="1"/>
  <c r="AD477" i="17"/>
  <c r="AN476" i="17"/>
  <c r="AO476" i="17" s="1"/>
  <c r="N647" i="17"/>
  <c r="P647" i="17"/>
  <c r="BG442" i="17" l="1"/>
  <c r="Y477" i="17"/>
  <c r="BO442" i="17"/>
  <c r="BP442" i="17" s="1"/>
  <c r="BN442" i="17"/>
  <c r="AF79" i="15" s="1"/>
  <c r="BC443" i="17"/>
  <c r="BH443" i="17" s="1"/>
  <c r="AP476" i="17"/>
  <c r="AQ476" i="17" s="1"/>
  <c r="AE477" i="17"/>
  <c r="M648" i="17"/>
  <c r="E648" i="17" s="1"/>
  <c r="L648" i="17" s="1"/>
  <c r="O647" i="17"/>
  <c r="Q647" i="17"/>
  <c r="S647" i="17" s="1"/>
  <c r="BD443" i="17" l="1"/>
  <c r="BE443" i="17" s="1"/>
  <c r="BF443" i="17" s="1"/>
  <c r="BG443" i="17" s="1"/>
  <c r="P648" i="17"/>
  <c r="Q648" i="17" s="1"/>
  <c r="S648" i="17" s="1"/>
  <c r="AL19" i="15"/>
  <c r="BQ442" i="17"/>
  <c r="AB477" i="17"/>
  <c r="Z477" i="17"/>
  <c r="U478" i="17" s="1"/>
  <c r="AC478" i="17" s="1"/>
  <c r="AR476" i="17"/>
  <c r="N648" i="17"/>
  <c r="BK443" i="17" l="1"/>
  <c r="BL443" i="17" s="1"/>
  <c r="BM443" i="17" s="1"/>
  <c r="BI443" i="17"/>
  <c r="BO443" i="17" s="1"/>
  <c r="BP443" i="17" s="1"/>
  <c r="BJ443" i="17"/>
  <c r="W478" i="17"/>
  <c r="AA478" i="17" s="1"/>
  <c r="AK478" i="17" s="1"/>
  <c r="AF477" i="17"/>
  <c r="AG477" i="17" s="1"/>
  <c r="AD478" i="17"/>
  <c r="AE478" i="17" s="1"/>
  <c r="BC444" i="17"/>
  <c r="O648" i="17"/>
  <c r="M649" i="17"/>
  <c r="AH477" i="17" l="1"/>
  <c r="AS477" i="17" s="1"/>
  <c r="AL477" i="17"/>
  <c r="AY477" i="17" s="1"/>
  <c r="Y478" i="17"/>
  <c r="AB478" i="17" s="1"/>
  <c r="BN443" i="17"/>
  <c r="AF75" i="15" s="1"/>
  <c r="BD444" i="17"/>
  <c r="BH444" i="17"/>
  <c r="AL69" i="15"/>
  <c r="P649" i="17"/>
  <c r="E649" i="17"/>
  <c r="L649" i="17" s="1"/>
  <c r="AF478" i="17" l="1"/>
  <c r="AG478" i="17" s="1"/>
  <c r="AL478" i="17" s="1"/>
  <c r="Z478" i="17"/>
  <c r="U479" i="17" s="1"/>
  <c r="W479" i="17" s="1"/>
  <c r="Y479" i="17" s="1"/>
  <c r="AB479" i="17" s="1"/>
  <c r="AM477" i="17"/>
  <c r="AN477" i="17" s="1"/>
  <c r="AO477" i="17" s="1"/>
  <c r="AP477" i="17" s="1"/>
  <c r="AR477" i="17" s="1"/>
  <c r="AT477" i="17"/>
  <c r="AW477" i="17" s="1"/>
  <c r="AU477" i="17"/>
  <c r="AV477" i="17" s="1"/>
  <c r="BQ443" i="17"/>
  <c r="BK444" i="17"/>
  <c r="BL444" i="17" s="1"/>
  <c r="BM444" i="17" s="1"/>
  <c r="BJ444" i="17"/>
  <c r="BE444" i="17"/>
  <c r="BF444" i="17" s="1"/>
  <c r="Q649" i="17"/>
  <c r="S649" i="17" s="1"/>
  <c r="N649" i="17"/>
  <c r="AQ477" i="17" l="1"/>
  <c r="AC479" i="17"/>
  <c r="AD479" i="17" s="1"/>
  <c r="AE479" i="17" s="1"/>
  <c r="AF479" i="17" s="1"/>
  <c r="AG479" i="17" s="1"/>
  <c r="AL479" i="17" s="1"/>
  <c r="AY479" i="17" s="1"/>
  <c r="AA479" i="17"/>
  <c r="AK479" i="17" s="1"/>
  <c r="AY478" i="17"/>
  <c r="AM478" i="17"/>
  <c r="AN478" i="17" s="1"/>
  <c r="AH478" i="17"/>
  <c r="AS478" i="17" s="1"/>
  <c r="AT478" i="17" s="1"/>
  <c r="AX477" i="17"/>
  <c r="AZ477" i="17" s="1"/>
  <c r="BG444" i="17"/>
  <c r="BI444" i="17"/>
  <c r="Z479" i="17"/>
  <c r="U480" i="17" s="1"/>
  <c r="AC480" i="17" s="1"/>
  <c r="O649" i="17"/>
  <c r="M650" i="17"/>
  <c r="E650" i="17" s="1"/>
  <c r="L650" i="17" s="1"/>
  <c r="AW478" i="17" l="1"/>
  <c r="AX478" i="17" s="1"/>
  <c r="AZ478" i="17" s="1"/>
  <c r="AU478" i="17"/>
  <c r="AV478" i="17" s="1"/>
  <c r="AM479" i="17"/>
  <c r="AN479" i="17" s="1"/>
  <c r="AO479" i="17" s="1"/>
  <c r="AH479" i="17"/>
  <c r="AS479" i="17" s="1"/>
  <c r="BO444" i="17"/>
  <c r="BP444" i="17" s="1"/>
  <c r="BN444" i="17"/>
  <c r="AF70" i="15" s="1"/>
  <c r="N650" i="17"/>
  <c r="M651" i="17" s="1"/>
  <c r="E651" i="17" s="1"/>
  <c r="L651" i="17" s="1"/>
  <c r="BC445" i="17"/>
  <c r="BH445" i="17" s="1"/>
  <c r="AD480" i="17"/>
  <c r="AE480" i="17" s="1"/>
  <c r="AO478" i="17"/>
  <c r="W480" i="17"/>
  <c r="AA480" i="17" s="1"/>
  <c r="AK480" i="17" s="1"/>
  <c r="P650" i="17"/>
  <c r="AT479" i="17" l="1"/>
  <c r="AW479" i="17" s="1"/>
  <c r="AX479" i="17" s="1"/>
  <c r="AZ479" i="17" s="1"/>
  <c r="AU479" i="17"/>
  <c r="AV479" i="17" s="1"/>
  <c r="O650" i="17"/>
  <c r="N651" i="17" s="1"/>
  <c r="BD445" i="17"/>
  <c r="AL128" i="15"/>
  <c r="BQ444" i="17"/>
  <c r="Y480" i="17"/>
  <c r="AB480" i="17" s="1"/>
  <c r="AP478" i="17"/>
  <c r="AQ478" i="17" s="1"/>
  <c r="AP479" i="17"/>
  <c r="Q650" i="17"/>
  <c r="S650" i="17" s="1"/>
  <c r="Z480" i="17" l="1"/>
  <c r="U481" i="17" s="1"/>
  <c r="AC481" i="17" s="1"/>
  <c r="BK445" i="17"/>
  <c r="BL445" i="17" s="1"/>
  <c r="BM445" i="17" s="1"/>
  <c r="BJ445" i="17"/>
  <c r="BE445" i="17"/>
  <c r="BF445" i="17" s="1"/>
  <c r="AR478" i="17"/>
  <c r="P651" i="17"/>
  <c r="Q651" i="17" s="1"/>
  <c r="S651" i="17" s="1"/>
  <c r="AQ479" i="17"/>
  <c r="AR479" i="17"/>
  <c r="O651" i="17"/>
  <c r="M652" i="17"/>
  <c r="AF480" i="17"/>
  <c r="AG480" i="17" s="1"/>
  <c r="AL480" i="17" s="1"/>
  <c r="AY480" i="17" s="1"/>
  <c r="AH480" i="17" l="1"/>
  <c r="AS480" i="17" s="1"/>
  <c r="BG445" i="17"/>
  <c r="BI445" i="17"/>
  <c r="AM480" i="17"/>
  <c r="W481" i="17"/>
  <c r="E652" i="17"/>
  <c r="L652" i="17" s="1"/>
  <c r="P652" i="17"/>
  <c r="AD481" i="17"/>
  <c r="AT480" i="17" l="1"/>
  <c r="AW480" i="17" s="1"/>
  <c r="AX480" i="17" s="1"/>
  <c r="AZ480" i="17" s="1"/>
  <c r="AU480" i="17"/>
  <c r="AV480" i="17" s="1"/>
  <c r="BO445" i="17"/>
  <c r="BP445" i="17" s="1"/>
  <c r="BN445" i="17"/>
  <c r="AF64" i="15" s="1"/>
  <c r="BC446" i="17"/>
  <c r="N652" i="17"/>
  <c r="AN480" i="17"/>
  <c r="AE481" i="17"/>
  <c r="AA481" i="17"/>
  <c r="AK481" i="17" s="1"/>
  <c r="Y481" i="17"/>
  <c r="AB481" i="17" s="1"/>
  <c r="Q652" i="17"/>
  <c r="S652" i="17" s="1"/>
  <c r="BD446" i="17" l="1"/>
  <c r="BH446" i="17"/>
  <c r="AL95" i="15"/>
  <c r="BQ445" i="17"/>
  <c r="Z481" i="17"/>
  <c r="U482" i="17" s="1"/>
  <c r="AC482" i="17" s="1"/>
  <c r="AO480" i="17"/>
  <c r="AF481" i="17"/>
  <c r="AG481" i="17" s="1"/>
  <c r="AL481" i="17" s="1"/>
  <c r="AY481" i="17" s="1"/>
  <c r="O652" i="17"/>
  <c r="M653" i="17"/>
  <c r="E653" i="17" s="1"/>
  <c r="L653" i="17" s="1"/>
  <c r="AH481" i="17" l="1"/>
  <c r="AS481" i="17" s="1"/>
  <c r="BK446" i="17"/>
  <c r="BJ446" i="17"/>
  <c r="BE446" i="17"/>
  <c r="BF446" i="17" s="1"/>
  <c r="W482" i="17"/>
  <c r="AA482" i="17" s="1"/>
  <c r="AK482" i="17" s="1"/>
  <c r="AP480" i="17"/>
  <c r="N653" i="17"/>
  <c r="AD482" i="17"/>
  <c r="P653" i="17"/>
  <c r="AM481" i="17"/>
  <c r="AT481" i="17" l="1"/>
  <c r="AW481" i="17" s="1"/>
  <c r="AX481" i="17" s="1"/>
  <c r="AZ481" i="17" s="1"/>
  <c r="AU481" i="17"/>
  <c r="AV481" i="17" s="1"/>
  <c r="Y482" i="17"/>
  <c r="AB482" i="17" s="1"/>
  <c r="BG446" i="17"/>
  <c r="BI446" i="17"/>
  <c r="BL446" i="17"/>
  <c r="BM446" i="17" s="1"/>
  <c r="AR480" i="17"/>
  <c r="Q653" i="17"/>
  <c r="S653" i="17" s="1"/>
  <c r="O653" i="17"/>
  <c r="M654" i="17"/>
  <c r="E654" i="17" s="1"/>
  <c r="L654" i="17" s="1"/>
  <c r="AQ480" i="17"/>
  <c r="AN481" i="17"/>
  <c r="AE482" i="17"/>
  <c r="Z482" i="17" l="1"/>
  <c r="U483" i="17" s="1"/>
  <c r="AC483" i="17" s="1"/>
  <c r="BO446" i="17"/>
  <c r="BP446" i="17" s="1"/>
  <c r="BN446" i="17"/>
  <c r="AF58" i="15" s="1"/>
  <c r="BC447" i="17"/>
  <c r="BH447" i="17" s="1"/>
  <c r="N654" i="17"/>
  <c r="M655" i="17" s="1"/>
  <c r="E655" i="17" s="1"/>
  <c r="L655" i="17" s="1"/>
  <c r="AO481" i="17"/>
  <c r="AP481" i="17" s="1"/>
  <c r="AR481" i="17" s="1"/>
  <c r="AF482" i="17"/>
  <c r="AG482" i="17" s="1"/>
  <c r="P654" i="17"/>
  <c r="AH482" i="17" l="1"/>
  <c r="AS482" i="17" s="1"/>
  <c r="AL482" i="17"/>
  <c r="O654" i="17"/>
  <c r="N655" i="17" s="1"/>
  <c r="M656" i="17" s="1"/>
  <c r="E656" i="17" s="1"/>
  <c r="L656" i="17" s="1"/>
  <c r="BD447" i="17"/>
  <c r="BK447" i="17" s="1"/>
  <c r="BL447" i="17" s="1"/>
  <c r="BM447" i="17" s="1"/>
  <c r="AL25" i="15"/>
  <c r="BQ446" i="17"/>
  <c r="AD483" i="17"/>
  <c r="AQ481" i="17"/>
  <c r="Q654" i="17"/>
  <c r="S654" i="17" s="1"/>
  <c r="W483" i="17"/>
  <c r="BJ447" i="17" l="1"/>
  <c r="AY482" i="17"/>
  <c r="AM482" i="17"/>
  <c r="AN482" i="17" s="1"/>
  <c r="AO482" i="17" s="1"/>
  <c r="AT482" i="17"/>
  <c r="AW482" i="17" s="1"/>
  <c r="AX482" i="17" s="1"/>
  <c r="AZ482" i="17" s="1"/>
  <c r="AU482" i="17"/>
  <c r="AV482" i="17" s="1"/>
  <c r="BE447" i="17"/>
  <c r="BF447" i="17" s="1"/>
  <c r="BG447" i="17" s="1"/>
  <c r="O655" i="17"/>
  <c r="N656" i="17" s="1"/>
  <c r="P655" i="17"/>
  <c r="Q655" i="17" s="1"/>
  <c r="AE483" i="17"/>
  <c r="AA483" i="17"/>
  <c r="AK483" i="17" s="1"/>
  <c r="Y483" i="17"/>
  <c r="BI447" i="17" l="1"/>
  <c r="BN447" i="17" s="1"/>
  <c r="AF53" i="15" s="1"/>
  <c r="BC448" i="17"/>
  <c r="AP482" i="17"/>
  <c r="AB483" i="17"/>
  <c r="Z483" i="17"/>
  <c r="O656" i="17"/>
  <c r="M657" i="17"/>
  <c r="P656" i="17"/>
  <c r="S655" i="17"/>
  <c r="BO447" i="17" l="1"/>
  <c r="BP447" i="17" s="1"/>
  <c r="AL477" i="15" s="1"/>
  <c r="BD448" i="17"/>
  <c r="BE448" i="17" s="1"/>
  <c r="BF448" i="17" s="1"/>
  <c r="BH448" i="17"/>
  <c r="Q656" i="17"/>
  <c r="S656" i="17" s="1"/>
  <c r="U484" i="17"/>
  <c r="AC484" i="17" s="1"/>
  <c r="AF483" i="17"/>
  <c r="AG483" i="17" s="1"/>
  <c r="AR482" i="17"/>
  <c r="E657" i="17"/>
  <c r="L657" i="17" s="1"/>
  <c r="AQ482" i="17"/>
  <c r="BQ447" i="17" l="1"/>
  <c r="AH483" i="17"/>
  <c r="AS483" i="17" s="1"/>
  <c r="AL483" i="17"/>
  <c r="AY483" i="17" s="1"/>
  <c r="BG448" i="17"/>
  <c r="BI448" i="17"/>
  <c r="BK448" i="17"/>
  <c r="BL448" i="17" s="1"/>
  <c r="BM448" i="17" s="1"/>
  <c r="BJ448" i="17"/>
  <c r="W484" i="17"/>
  <c r="AA484" i="17" s="1"/>
  <c r="AK484" i="17" s="1"/>
  <c r="P657" i="17"/>
  <c r="Q657" i="17" s="1"/>
  <c r="S657" i="17" s="1"/>
  <c r="N657" i="17"/>
  <c r="AD484" i="17"/>
  <c r="AM483" i="17" l="1"/>
  <c r="AT483" i="17"/>
  <c r="AW483" i="17" s="1"/>
  <c r="AX483" i="17" s="1"/>
  <c r="AZ483" i="17" s="1"/>
  <c r="AU483" i="17"/>
  <c r="AV483" i="17" s="1"/>
  <c r="Y484" i="17"/>
  <c r="AB484" i="17" s="1"/>
  <c r="BO448" i="17"/>
  <c r="BP448" i="17" s="1"/>
  <c r="BN448" i="17"/>
  <c r="AF46" i="15" s="1"/>
  <c r="BC449" i="17"/>
  <c r="BH449" i="17" s="1"/>
  <c r="AE484" i="17"/>
  <c r="AN483" i="17"/>
  <c r="O657" i="17"/>
  <c r="M658" i="17"/>
  <c r="Z484" i="17" l="1"/>
  <c r="U485" i="17" s="1"/>
  <c r="AC485" i="17" s="1"/>
  <c r="AD485" i="17" s="1"/>
  <c r="AF484" i="17"/>
  <c r="AG484" i="17" s="1"/>
  <c r="BD449" i="17"/>
  <c r="AL478" i="15"/>
  <c r="BQ448" i="17"/>
  <c r="P658" i="17"/>
  <c r="AO483" i="17"/>
  <c r="E658" i="17"/>
  <c r="L658" i="17" s="1"/>
  <c r="W485" i="17" l="1"/>
  <c r="AA485" i="17" s="1"/>
  <c r="AK485" i="17" s="1"/>
  <c r="AH484" i="17"/>
  <c r="AS484" i="17" s="1"/>
  <c r="AL484" i="17"/>
  <c r="BK449" i="17"/>
  <c r="BJ449" i="17"/>
  <c r="BE449" i="17"/>
  <c r="BF449" i="17" s="1"/>
  <c r="AE485" i="17"/>
  <c r="AP483" i="17"/>
  <c r="Q658" i="17"/>
  <c r="S658" i="17" s="1"/>
  <c r="N658" i="17"/>
  <c r="Y485" i="17" l="1"/>
  <c r="AB485" i="17" s="1"/>
  <c r="AF485" i="17" s="1"/>
  <c r="AG485" i="17" s="1"/>
  <c r="AY484" i="17"/>
  <c r="AM484" i="17"/>
  <c r="AN484" i="17" s="1"/>
  <c r="AT484" i="17"/>
  <c r="AW484" i="17" s="1"/>
  <c r="AU484" i="17"/>
  <c r="AV484" i="17" s="1"/>
  <c r="BL449" i="17"/>
  <c r="BM449" i="17" s="1"/>
  <c r="BG449" i="17"/>
  <c r="BI449" i="17"/>
  <c r="O658" i="17"/>
  <c r="M659" i="17"/>
  <c r="AR483" i="17"/>
  <c r="AQ483" i="17"/>
  <c r="Z485" i="17" l="1"/>
  <c r="U486" i="17" s="1"/>
  <c r="AC486" i="17" s="1"/>
  <c r="AD486" i="17" s="1"/>
  <c r="AO484" i="17"/>
  <c r="AP484" i="17" s="1"/>
  <c r="AQ484" i="17" s="1"/>
  <c r="AX484" i="17"/>
  <c r="AZ484" i="17" s="1"/>
  <c r="AH485" i="17"/>
  <c r="AS485" i="17" s="1"/>
  <c r="AL485" i="17"/>
  <c r="BC450" i="17"/>
  <c r="BO449" i="17"/>
  <c r="BP449" i="17" s="1"/>
  <c r="BN449" i="17"/>
  <c r="AF37" i="15" s="1"/>
  <c r="E659" i="17"/>
  <c r="L659" i="17" s="1"/>
  <c r="P659" i="17"/>
  <c r="W486" i="17" l="1"/>
  <c r="AA486" i="17" s="1"/>
  <c r="AK486" i="17" s="1"/>
  <c r="AT485" i="17"/>
  <c r="AW485" i="17" s="1"/>
  <c r="AX485" i="17" s="1"/>
  <c r="AZ485" i="17" s="1"/>
  <c r="AU485" i="17"/>
  <c r="AV485" i="17" s="1"/>
  <c r="AY485" i="17"/>
  <c r="AM485" i="17"/>
  <c r="AN485" i="17" s="1"/>
  <c r="AL479" i="15"/>
  <c r="BQ449" i="17"/>
  <c r="BD450" i="17"/>
  <c r="BH450" i="17"/>
  <c r="N659" i="17"/>
  <c r="AR484" i="17"/>
  <c r="AE486" i="17"/>
  <c r="Q659" i="17"/>
  <c r="S659" i="17" s="1"/>
  <c r="Y486" i="17" l="1"/>
  <c r="AB486" i="17" s="1"/>
  <c r="AF486" i="17" s="1"/>
  <c r="AG486" i="17" s="1"/>
  <c r="AH486" i="17" s="1"/>
  <c r="AS486" i="17" s="1"/>
  <c r="AT486" i="17" s="1"/>
  <c r="AW486" i="17" s="1"/>
  <c r="AX486" i="17" s="1"/>
  <c r="AZ486" i="17" s="1"/>
  <c r="AO485" i="17"/>
  <c r="AP485" i="17" s="1"/>
  <c r="BJ450" i="17"/>
  <c r="BK450" i="17"/>
  <c r="BL450" i="17" s="1"/>
  <c r="BM450" i="17" s="1"/>
  <c r="BE450" i="17"/>
  <c r="BF450" i="17" s="1"/>
  <c r="O659" i="17"/>
  <c r="M660" i="17"/>
  <c r="Z486" i="17" l="1"/>
  <c r="U487" i="17" s="1"/>
  <c r="AC487" i="17" s="1"/>
  <c r="AD487" i="17" s="1"/>
  <c r="AL486" i="17"/>
  <c r="AU486" i="17"/>
  <c r="AV486" i="17" s="1"/>
  <c r="BG450" i="17"/>
  <c r="BI450" i="17"/>
  <c r="AR485" i="17"/>
  <c r="P660" i="17"/>
  <c r="E660" i="17"/>
  <c r="L660" i="17" s="1"/>
  <c r="AQ485" i="17"/>
  <c r="W487" i="17" l="1"/>
  <c r="AA487" i="17" s="1"/>
  <c r="AK487" i="17" s="1"/>
  <c r="AY486" i="17"/>
  <c r="AM486" i="17"/>
  <c r="AN486" i="17" s="1"/>
  <c r="AO486" i="17" s="1"/>
  <c r="AP486" i="17" s="1"/>
  <c r="BO450" i="17"/>
  <c r="BP450" i="17" s="1"/>
  <c r="BN450" i="17"/>
  <c r="AF25" i="15" s="1"/>
  <c r="BC451" i="17"/>
  <c r="N660" i="17"/>
  <c r="AE487" i="17"/>
  <c r="Q660" i="17"/>
  <c r="S660" i="17" s="1"/>
  <c r="Y487" i="17" l="1"/>
  <c r="AB487" i="17" s="1"/>
  <c r="AF487" i="17" s="1"/>
  <c r="AG487" i="17" s="1"/>
  <c r="BD451" i="17"/>
  <c r="BE451" i="17" s="1"/>
  <c r="BH451" i="17"/>
  <c r="AL121" i="15"/>
  <c r="BQ450" i="17"/>
  <c r="M661" i="17"/>
  <c r="E661" i="17" s="1"/>
  <c r="L661" i="17" s="1"/>
  <c r="O660" i="17"/>
  <c r="AR486" i="17"/>
  <c r="AQ486" i="17"/>
  <c r="Z487" i="17" l="1"/>
  <c r="U488" i="17" s="1"/>
  <c r="AC488" i="17" s="1"/>
  <c r="AD488" i="17" s="1"/>
  <c r="AH487" i="17"/>
  <c r="AS487" i="17" s="1"/>
  <c r="AL487" i="17"/>
  <c r="BK451" i="17"/>
  <c r="BJ451" i="17"/>
  <c r="BF451" i="17"/>
  <c r="N661" i="17"/>
  <c r="P661" i="17"/>
  <c r="W488" i="17" l="1"/>
  <c r="AA488" i="17" s="1"/>
  <c r="AK488" i="17" s="1"/>
  <c r="AT487" i="17"/>
  <c r="AW487" i="17" s="1"/>
  <c r="AX487" i="17" s="1"/>
  <c r="AZ487" i="17" s="1"/>
  <c r="AU487" i="17"/>
  <c r="AV487" i="17" s="1"/>
  <c r="AY487" i="17"/>
  <c r="AM487" i="17"/>
  <c r="AN487" i="17" s="1"/>
  <c r="BG451" i="17"/>
  <c r="BI451" i="17"/>
  <c r="BL451" i="17"/>
  <c r="BM451" i="17" s="1"/>
  <c r="Y488" i="17"/>
  <c r="AB488" i="17" s="1"/>
  <c r="AE488" i="17"/>
  <c r="Q661" i="17"/>
  <c r="S661" i="17" s="1"/>
  <c r="M662" i="17"/>
  <c r="O661" i="17"/>
  <c r="AO487" i="17" l="1"/>
  <c r="AP487" i="17" s="1"/>
  <c r="AQ487" i="17" s="1"/>
  <c r="P662" i="17"/>
  <c r="Q662" i="17" s="1"/>
  <c r="S662" i="17" s="1"/>
  <c r="BO451" i="17"/>
  <c r="BP451" i="17" s="1"/>
  <c r="BN451" i="17"/>
  <c r="AF21" i="15" s="1"/>
  <c r="BC452" i="17"/>
  <c r="BH452" i="17" s="1"/>
  <c r="E662" i="17"/>
  <c r="L662" i="17" s="1"/>
  <c r="N662" i="17" s="1"/>
  <c r="Z488" i="17"/>
  <c r="U489" i="17" s="1"/>
  <c r="AC489" i="17" s="1"/>
  <c r="AF488" i="17"/>
  <c r="AG488" i="17" s="1"/>
  <c r="AL488" i="17" s="1"/>
  <c r="AY488" i="17" s="1"/>
  <c r="AH488" i="17" l="1"/>
  <c r="AS488" i="17" s="1"/>
  <c r="AM488" i="17"/>
  <c r="AN488" i="17" s="1"/>
  <c r="BD452" i="17"/>
  <c r="AL480" i="15"/>
  <c r="BQ451" i="17"/>
  <c r="AD489" i="17"/>
  <c r="AE489" i="17" s="1"/>
  <c r="W489" i="17"/>
  <c r="AA489" i="17" s="1"/>
  <c r="AK489" i="17" s="1"/>
  <c r="O662" i="17"/>
  <c r="M663" i="17"/>
  <c r="E663" i="17" s="1"/>
  <c r="L663" i="17" s="1"/>
  <c r="AR487" i="17"/>
  <c r="AT488" i="17" l="1"/>
  <c r="AW488" i="17" s="1"/>
  <c r="AU488" i="17"/>
  <c r="AV488" i="17" s="1"/>
  <c r="AO488" i="17"/>
  <c r="AP488" i="17" s="1"/>
  <c r="AQ488" i="17" s="1"/>
  <c r="BJ452" i="17"/>
  <c r="BK452" i="17"/>
  <c r="BL452" i="17" s="1"/>
  <c r="BM452" i="17" s="1"/>
  <c r="BE452" i="17"/>
  <c r="BF452" i="17" s="1"/>
  <c r="Y489" i="17"/>
  <c r="AB489" i="17" s="1"/>
  <c r="AF489" i="17" s="1"/>
  <c r="AG489" i="17" s="1"/>
  <c r="N663" i="17"/>
  <c r="P663" i="17"/>
  <c r="AH489" i="17" l="1"/>
  <c r="AS489" i="17" s="1"/>
  <c r="AX488" i="17"/>
  <c r="AZ488" i="17" s="1"/>
  <c r="AL489" i="17"/>
  <c r="AY489" i="17" s="1"/>
  <c r="Z489" i="17"/>
  <c r="U490" i="17" s="1"/>
  <c r="AC490" i="17" s="1"/>
  <c r="BG452" i="17"/>
  <c r="BI452" i="17"/>
  <c r="Q663" i="17"/>
  <c r="S663" i="17" s="1"/>
  <c r="AR488" i="17"/>
  <c r="O663" i="17"/>
  <c r="M664" i="17"/>
  <c r="AT489" i="17" l="1"/>
  <c r="AW489" i="17" s="1"/>
  <c r="AX489" i="17" s="1"/>
  <c r="AZ489" i="17" s="1"/>
  <c r="AU489" i="17"/>
  <c r="AV489" i="17" s="1"/>
  <c r="P664" i="17"/>
  <c r="Q664" i="17" s="1"/>
  <c r="S664" i="17" s="1"/>
  <c r="AM489" i="17"/>
  <c r="AN489" i="17" s="1"/>
  <c r="E664" i="17"/>
  <c r="L664" i="17" s="1"/>
  <c r="N664" i="17" s="1"/>
  <c r="BC453" i="17"/>
  <c r="BO452" i="17"/>
  <c r="BP452" i="17" s="1"/>
  <c r="BN452" i="17"/>
  <c r="AF19" i="15" s="1"/>
  <c r="AD490" i="17"/>
  <c r="W490" i="17"/>
  <c r="AA490" i="17" s="1"/>
  <c r="AK490" i="17" s="1"/>
  <c r="AL481" i="15" l="1"/>
  <c r="BQ452" i="17"/>
  <c r="BD453" i="17"/>
  <c r="BH453" i="17"/>
  <c r="O664" i="17"/>
  <c r="M665" i="17"/>
  <c r="E665" i="17" s="1"/>
  <c r="L665" i="17" s="1"/>
  <c r="AE490" i="17"/>
  <c r="Y490" i="17"/>
  <c r="AB490" i="17" s="1"/>
  <c r="AO489" i="17"/>
  <c r="AP489" i="17" s="1"/>
  <c r="AR489" i="17" s="1"/>
  <c r="BK453" i="17" l="1"/>
  <c r="BJ453" i="17"/>
  <c r="BE453" i="17"/>
  <c r="BF453" i="17" s="1"/>
  <c r="Z490" i="17"/>
  <c r="U491" i="17" s="1"/>
  <c r="AC491" i="17" s="1"/>
  <c r="N665" i="17"/>
  <c r="P665" i="17"/>
  <c r="AQ489" i="17"/>
  <c r="AF490" i="17"/>
  <c r="AG490" i="17" s="1"/>
  <c r="AH490" i="17" l="1"/>
  <c r="AS490" i="17" s="1"/>
  <c r="AL490" i="17"/>
  <c r="AY490" i="17" s="1"/>
  <c r="BG453" i="17"/>
  <c r="BI453" i="17"/>
  <c r="BL453" i="17"/>
  <c r="BM453" i="17" s="1"/>
  <c r="W491" i="17"/>
  <c r="AA491" i="17" s="1"/>
  <c r="AK491" i="17" s="1"/>
  <c r="M666" i="17"/>
  <c r="O665" i="17"/>
  <c r="Q665" i="17"/>
  <c r="S665" i="17" s="1"/>
  <c r="AD491" i="17"/>
  <c r="AM490" i="17" l="1"/>
  <c r="AN490" i="17" s="1"/>
  <c r="AT490" i="17"/>
  <c r="AW490" i="17" s="1"/>
  <c r="AX490" i="17" s="1"/>
  <c r="AZ490" i="17" s="1"/>
  <c r="AU490" i="17"/>
  <c r="AV490" i="17" s="1"/>
  <c r="Y491" i="17"/>
  <c r="AB491" i="17" s="1"/>
  <c r="BO453" i="17"/>
  <c r="BP453" i="17" s="1"/>
  <c r="BN453" i="17"/>
  <c r="AF16" i="15" s="1"/>
  <c r="BC454" i="17"/>
  <c r="BH454" i="17" s="1"/>
  <c r="AE491" i="17"/>
  <c r="E666" i="17"/>
  <c r="L666" i="17" s="1"/>
  <c r="P666" i="17"/>
  <c r="BD454" i="17" l="1"/>
  <c r="BE454" i="17" s="1"/>
  <c r="BF454" i="17" s="1"/>
  <c r="BG454" i="17" s="1"/>
  <c r="Z491" i="17"/>
  <c r="U492" i="17" s="1"/>
  <c r="AC492" i="17" s="1"/>
  <c r="AL482" i="15"/>
  <c r="BQ453" i="17"/>
  <c r="Q666" i="17"/>
  <c r="S666" i="17" s="1"/>
  <c r="N666" i="17"/>
  <c r="AO490" i="17"/>
  <c r="AF491" i="17"/>
  <c r="AG491" i="17" s="1"/>
  <c r="AH491" i="17" s="1"/>
  <c r="AS491" i="17" s="1"/>
  <c r="AT491" i="17" s="1"/>
  <c r="AW491" i="17" s="1"/>
  <c r="AX491" i="17" s="1"/>
  <c r="BK454" i="17" l="1"/>
  <c r="BL454" i="17" s="1"/>
  <c r="BM454" i="17" s="1"/>
  <c r="BJ454" i="17"/>
  <c r="AL491" i="17"/>
  <c r="AY491" i="17" s="1"/>
  <c r="AU491" i="17"/>
  <c r="AV491" i="17" s="1"/>
  <c r="W492" i="17"/>
  <c r="AA492" i="17" s="1"/>
  <c r="AK492" i="17" s="1"/>
  <c r="BI454" i="17"/>
  <c r="BO454" i="17" s="1"/>
  <c r="BP454" i="17" s="1"/>
  <c r="AZ491" i="17"/>
  <c r="AD492" i="17"/>
  <c r="AE492" i="17" s="1"/>
  <c r="BC455" i="17"/>
  <c r="M667" i="17"/>
  <c r="O666" i="17"/>
  <c r="AP490" i="17"/>
  <c r="AQ490" i="17" s="1"/>
  <c r="BN454" i="17" l="1"/>
  <c r="AF14" i="15" s="1"/>
  <c r="AM491" i="17"/>
  <c r="AN491" i="17" s="1"/>
  <c r="Y492" i="17"/>
  <c r="AB492" i="17" s="1"/>
  <c r="AF492" i="17" s="1"/>
  <c r="AG492" i="17" s="1"/>
  <c r="BD455" i="17"/>
  <c r="BH455" i="17"/>
  <c r="AL483" i="15"/>
  <c r="AR490" i="17"/>
  <c r="P667" i="17"/>
  <c r="Q667" i="17" s="1"/>
  <c r="E667" i="17"/>
  <c r="L667" i="17" s="1"/>
  <c r="BQ454" i="17" l="1"/>
  <c r="AO491" i="17"/>
  <c r="AP491" i="17" s="1"/>
  <c r="Z492" i="17"/>
  <c r="U493" i="17" s="1"/>
  <c r="AC493" i="17" s="1"/>
  <c r="AH492" i="17"/>
  <c r="AS492" i="17" s="1"/>
  <c r="AL492" i="17"/>
  <c r="AY492" i="17" s="1"/>
  <c r="BK455" i="17"/>
  <c r="BL455" i="17" s="1"/>
  <c r="BM455" i="17" s="1"/>
  <c r="BJ455" i="17"/>
  <c r="BE455" i="17"/>
  <c r="BF455" i="17" s="1"/>
  <c r="S667" i="17"/>
  <c r="N667" i="17"/>
  <c r="AM492" i="17" l="1"/>
  <c r="AN492" i="17" s="1"/>
  <c r="AT492" i="17"/>
  <c r="AW492" i="17" s="1"/>
  <c r="AX492" i="17" s="1"/>
  <c r="AZ492" i="17" s="1"/>
  <c r="AU492" i="17"/>
  <c r="AV492" i="17" s="1"/>
  <c r="BG455" i="17"/>
  <c r="BI455" i="17"/>
  <c r="O667" i="17"/>
  <c r="M668" i="17"/>
  <c r="E668" i="17" s="1"/>
  <c r="L668" i="17" s="1"/>
  <c r="AD493" i="17"/>
  <c r="AR491" i="17"/>
  <c r="W493" i="17"/>
  <c r="AQ491" i="17"/>
  <c r="N668" i="17" l="1"/>
  <c r="M669" i="17" s="1"/>
  <c r="E669" i="17" s="1"/>
  <c r="L669" i="17" s="1"/>
  <c r="BO455" i="17"/>
  <c r="BP455" i="17" s="1"/>
  <c r="BN455" i="17"/>
  <c r="AF12" i="15" s="1"/>
  <c r="BC456" i="17"/>
  <c r="BH456" i="17" s="1"/>
  <c r="P668" i="17"/>
  <c r="AA493" i="17"/>
  <c r="AK493" i="17" s="1"/>
  <c r="Y493" i="17"/>
  <c r="AB493" i="17" s="1"/>
  <c r="AO492" i="17"/>
  <c r="AE493" i="17"/>
  <c r="O668" i="17" l="1"/>
  <c r="N669" i="17" s="1"/>
  <c r="Z493" i="17"/>
  <c r="U494" i="17" s="1"/>
  <c r="AC494" i="17" s="1"/>
  <c r="BD456" i="17"/>
  <c r="BE456" i="17" s="1"/>
  <c r="BF456" i="17" s="1"/>
  <c r="AL484" i="15"/>
  <c r="BQ455" i="17"/>
  <c r="Q668" i="17"/>
  <c r="S668" i="17" s="1"/>
  <c r="AP492" i="17"/>
  <c r="AF493" i="17"/>
  <c r="AG493" i="17" s="1"/>
  <c r="BJ456" i="17" l="1"/>
  <c r="BK456" i="17"/>
  <c r="BL456" i="17" s="1"/>
  <c r="BM456" i="17" s="1"/>
  <c r="AH493" i="17"/>
  <c r="AS493" i="17" s="1"/>
  <c r="AL493" i="17"/>
  <c r="AY493" i="17" s="1"/>
  <c r="BG456" i="17"/>
  <c r="BI456" i="17"/>
  <c r="W494" i="17"/>
  <c r="AA494" i="17" s="1"/>
  <c r="AK494" i="17" s="1"/>
  <c r="P669" i="17"/>
  <c r="Q669" i="17" s="1"/>
  <c r="S669" i="17" s="1"/>
  <c r="AR492" i="17"/>
  <c r="AQ492" i="17"/>
  <c r="O669" i="17"/>
  <c r="M670" i="17"/>
  <c r="AD494" i="17"/>
  <c r="AT493" i="17" l="1"/>
  <c r="AW493" i="17" s="1"/>
  <c r="AX493" i="17" s="1"/>
  <c r="AZ493" i="17" s="1"/>
  <c r="AU493" i="17"/>
  <c r="AV493" i="17" s="1"/>
  <c r="AM493" i="17"/>
  <c r="AN493" i="17" s="1"/>
  <c r="AO493" i="17" s="1"/>
  <c r="AP493" i="17" s="1"/>
  <c r="Y494" i="17"/>
  <c r="AB494" i="17" s="1"/>
  <c r="BO456" i="17"/>
  <c r="BP456" i="17" s="1"/>
  <c r="BN456" i="17"/>
  <c r="AF11" i="15" s="1"/>
  <c r="BC457" i="17"/>
  <c r="P670" i="17"/>
  <c r="Q670" i="17" s="1"/>
  <c r="S670" i="17" s="1"/>
  <c r="E670" i="17"/>
  <c r="L670" i="17" s="1"/>
  <c r="N670" i="17" s="1"/>
  <c r="AE494" i="17"/>
  <c r="Z494" i="17" l="1"/>
  <c r="U495" i="17" s="1"/>
  <c r="AC495" i="17" s="1"/>
  <c r="BD457" i="17"/>
  <c r="BH457" i="17"/>
  <c r="AL485" i="15"/>
  <c r="BQ456" i="17"/>
  <c r="O670" i="17"/>
  <c r="M671" i="17"/>
  <c r="E671" i="17" s="1"/>
  <c r="L671" i="17" s="1"/>
  <c r="AQ493" i="17"/>
  <c r="AF494" i="17"/>
  <c r="AG494" i="17" s="1"/>
  <c r="AR493" i="17"/>
  <c r="N671" i="17" l="1"/>
  <c r="O671" i="17" s="1"/>
  <c r="AH494" i="17"/>
  <c r="AS494" i="17" s="1"/>
  <c r="AL494" i="17"/>
  <c r="AY494" i="17" s="1"/>
  <c r="BK457" i="17"/>
  <c r="BL457" i="17" s="1"/>
  <c r="BM457" i="17" s="1"/>
  <c r="BJ457" i="17"/>
  <c r="BE457" i="17"/>
  <c r="BF457" i="17" s="1"/>
  <c r="AD495" i="17"/>
  <c r="AE495" i="17" s="1"/>
  <c r="W495" i="17"/>
  <c r="P671" i="17"/>
  <c r="Q671" i="17" s="1"/>
  <c r="M672" i="17" l="1"/>
  <c r="E672" i="17" s="1"/>
  <c r="L672" i="17" s="1"/>
  <c r="N672" i="17" s="1"/>
  <c r="AM494" i="17"/>
  <c r="AN494" i="17" s="1"/>
  <c r="AO494" i="17" s="1"/>
  <c r="AP494" i="17" s="1"/>
  <c r="AT494" i="17"/>
  <c r="AW494" i="17" s="1"/>
  <c r="AX494" i="17" s="1"/>
  <c r="AZ494" i="17" s="1"/>
  <c r="AU494" i="17"/>
  <c r="AV494" i="17" s="1"/>
  <c r="BG457" i="17"/>
  <c r="BI457" i="17"/>
  <c r="S671" i="17"/>
  <c r="AA495" i="17"/>
  <c r="AK495" i="17" s="1"/>
  <c r="Y495" i="17"/>
  <c r="P672" i="17" l="1"/>
  <c r="AQ494" i="17"/>
  <c r="AR494" i="17"/>
  <c r="BO457" i="17"/>
  <c r="BP457" i="17" s="1"/>
  <c r="BN457" i="17"/>
  <c r="AF13" i="15" s="1"/>
  <c r="BC458" i="17"/>
  <c r="BH458" i="17" s="1"/>
  <c r="AB495" i="17"/>
  <c r="Z495" i="17"/>
  <c r="Q672" i="17"/>
  <c r="S672" i="17" s="1"/>
  <c r="O672" i="17"/>
  <c r="M673" i="17"/>
  <c r="P673" i="17" l="1"/>
  <c r="Q673" i="17" s="1"/>
  <c r="S673" i="17" s="1"/>
  <c r="E673" i="17"/>
  <c r="L673" i="17" s="1"/>
  <c r="N673" i="17" s="1"/>
  <c r="BD458" i="17"/>
  <c r="AL486" i="15"/>
  <c r="BQ457" i="17"/>
  <c r="U496" i="17"/>
  <c r="AC496" i="17" s="1"/>
  <c r="AF495" i="17"/>
  <c r="AG495" i="17" s="1"/>
  <c r="AH495" i="17" l="1"/>
  <c r="AS495" i="17" s="1"/>
  <c r="AL495" i="17"/>
  <c r="AY495" i="17" s="1"/>
  <c r="BK458" i="17"/>
  <c r="BL458" i="17" s="1"/>
  <c r="BM458" i="17" s="1"/>
  <c r="BJ458" i="17"/>
  <c r="BE458" i="17"/>
  <c r="BF458" i="17" s="1"/>
  <c r="O673" i="17"/>
  <c r="M674" i="17"/>
  <c r="E674" i="17" s="1"/>
  <c r="L674" i="17" s="1"/>
  <c r="AD496" i="17"/>
  <c r="W496" i="17"/>
  <c r="AA496" i="17" s="1"/>
  <c r="AK496" i="17" s="1"/>
  <c r="AM495" i="17" l="1"/>
  <c r="AN495" i="17" s="1"/>
  <c r="AT495" i="17"/>
  <c r="AW495" i="17" s="1"/>
  <c r="AX495" i="17" s="1"/>
  <c r="AZ495" i="17" s="1"/>
  <c r="AU495" i="17"/>
  <c r="AV495" i="17" s="1"/>
  <c r="N674" i="17"/>
  <c r="O674" i="17" s="1"/>
  <c r="BG458" i="17"/>
  <c r="BI458" i="17"/>
  <c r="Y496" i="17"/>
  <c r="AB496" i="17" s="1"/>
  <c r="AE496" i="17"/>
  <c r="P674" i="17"/>
  <c r="M675" i="17" l="1"/>
  <c r="E675" i="17" s="1"/>
  <c r="L675" i="17" s="1"/>
  <c r="BO458" i="17"/>
  <c r="BP458" i="17" s="1"/>
  <c r="BN458" i="17"/>
  <c r="AF9" i="15" s="1"/>
  <c r="BC459" i="17"/>
  <c r="Z496" i="17"/>
  <c r="U497" i="17" s="1"/>
  <c r="AC497" i="17" s="1"/>
  <c r="Q674" i="17"/>
  <c r="S674" i="17" s="1"/>
  <c r="AO495" i="17"/>
  <c r="AF496" i="17"/>
  <c r="AG496" i="17" s="1"/>
  <c r="AH496" i="17" l="1"/>
  <c r="AS496" i="17" s="1"/>
  <c r="AL496" i="17"/>
  <c r="AY496" i="17" s="1"/>
  <c r="BD459" i="17"/>
  <c r="BH459" i="17"/>
  <c r="AL57" i="15"/>
  <c r="BQ458" i="17"/>
  <c r="AD497" i="17"/>
  <c r="W497" i="17"/>
  <c r="AA497" i="17" s="1"/>
  <c r="AK497" i="17" s="1"/>
  <c r="N675" i="17"/>
  <c r="AP495" i="17"/>
  <c r="P675" i="17"/>
  <c r="AM496" i="17" l="1"/>
  <c r="AN496" i="17" s="1"/>
  <c r="AT496" i="17"/>
  <c r="AW496" i="17" s="1"/>
  <c r="AX496" i="17" s="1"/>
  <c r="AZ496" i="17" s="1"/>
  <c r="AU496" i="17"/>
  <c r="AV496" i="17" s="1"/>
  <c r="BK459" i="17"/>
  <c r="BJ459" i="17"/>
  <c r="BE459" i="17"/>
  <c r="BF459" i="17" s="1"/>
  <c r="Y497" i="17"/>
  <c r="AB497" i="17" s="1"/>
  <c r="AR495" i="17"/>
  <c r="AE497" i="17"/>
  <c r="AQ495" i="17"/>
  <c r="M676" i="17"/>
  <c r="O675" i="17"/>
  <c r="Q675" i="17"/>
  <c r="S675" i="17" s="1"/>
  <c r="Z497" i="17" l="1"/>
  <c r="U498" i="17" s="1"/>
  <c r="AC498" i="17" s="1"/>
  <c r="BG459" i="17"/>
  <c r="BI459" i="17"/>
  <c r="BL459" i="17"/>
  <c r="BM459" i="17" s="1"/>
  <c r="AO496" i="17"/>
  <c r="P676" i="17"/>
  <c r="E676" i="17"/>
  <c r="L676" i="17" s="1"/>
  <c r="AF497" i="17"/>
  <c r="AG497" i="17" s="1"/>
  <c r="AH497" i="17" l="1"/>
  <c r="AS497" i="17" s="1"/>
  <c r="AL497" i="17"/>
  <c r="AY497" i="17" s="1"/>
  <c r="BO459" i="17"/>
  <c r="BP459" i="17" s="1"/>
  <c r="BN459" i="17"/>
  <c r="AF7" i="15" s="1"/>
  <c r="BC460" i="17"/>
  <c r="BH460" i="17" s="1"/>
  <c r="W498" i="17"/>
  <c r="Y498" i="17" s="1"/>
  <c r="AB498" i="17" s="1"/>
  <c r="AP496" i="17"/>
  <c r="N676" i="17"/>
  <c r="Q676" i="17"/>
  <c r="S676" i="17" s="1"/>
  <c r="AD498" i="17"/>
  <c r="AM497" i="17" l="1"/>
  <c r="AT497" i="17"/>
  <c r="AW497" i="17" s="1"/>
  <c r="AX497" i="17" s="1"/>
  <c r="AZ497" i="17" s="1"/>
  <c r="AU497" i="17"/>
  <c r="AV497" i="17" s="1"/>
  <c r="BD460" i="17"/>
  <c r="BE460" i="17" s="1"/>
  <c r="BF460" i="17" s="1"/>
  <c r="AL487" i="15"/>
  <c r="BQ459" i="17"/>
  <c r="O676" i="17"/>
  <c r="M677" i="17"/>
  <c r="AN497" i="17"/>
  <c r="AR496" i="17"/>
  <c r="AE498" i="17"/>
  <c r="AQ496" i="17"/>
  <c r="AA498" i="17"/>
  <c r="AK498" i="17" s="1"/>
  <c r="Z498" i="17"/>
  <c r="BG460" i="17" l="1"/>
  <c r="BI460" i="17"/>
  <c r="BJ460" i="17"/>
  <c r="BK460" i="17"/>
  <c r="BL460" i="17" s="1"/>
  <c r="BM460" i="17" s="1"/>
  <c r="P677" i="17"/>
  <c r="E677" i="17"/>
  <c r="L677" i="17" s="1"/>
  <c r="AF498" i="17"/>
  <c r="AG498" i="17" s="1"/>
  <c r="U499" i="17"/>
  <c r="AC499" i="17" s="1"/>
  <c r="AO497" i="17"/>
  <c r="AH498" i="17" l="1"/>
  <c r="AS498" i="17" s="1"/>
  <c r="AL498" i="17"/>
  <c r="BO460" i="17"/>
  <c r="BP460" i="17" s="1"/>
  <c r="AL488" i="15" s="1"/>
  <c r="BN460" i="17"/>
  <c r="BC461" i="17"/>
  <c r="AD499" i="17"/>
  <c r="Q677" i="17"/>
  <c r="S677" i="17" s="1"/>
  <c r="W499" i="17"/>
  <c r="Y499" i="17" s="1"/>
  <c r="AB499" i="17" s="1"/>
  <c r="AP497" i="17"/>
  <c r="AQ497" i="17" s="1"/>
  <c r="N677" i="17"/>
  <c r="AY498" i="17" l="1"/>
  <c r="AM498" i="17"/>
  <c r="AN498" i="17" s="1"/>
  <c r="AO498" i="17" s="1"/>
  <c r="AP498" i="17" s="1"/>
  <c r="AT498" i="17"/>
  <c r="AW498" i="17" s="1"/>
  <c r="AX498" i="17" s="1"/>
  <c r="AZ498" i="17" s="1"/>
  <c r="AU498" i="17"/>
  <c r="AV498" i="17" s="1"/>
  <c r="BQ460" i="17"/>
  <c r="AF6" i="15"/>
  <c r="BD461" i="17"/>
  <c r="BH461" i="17"/>
  <c r="O677" i="17"/>
  <c r="M678" i="17"/>
  <c r="AE499" i="17"/>
  <c r="AF499" i="17" s="1"/>
  <c r="AG499" i="17" s="1"/>
  <c r="AL499" i="17" s="1"/>
  <c r="AY499" i="17" s="1"/>
  <c r="AR497" i="17"/>
  <c r="AA499" i="17"/>
  <c r="AK499" i="17" s="1"/>
  <c r="Z499" i="17"/>
  <c r="AR498" i="17" l="1"/>
  <c r="AH499" i="17"/>
  <c r="AS499" i="17" s="1"/>
  <c r="AT499" i="17" s="1"/>
  <c r="AW499" i="17" s="1"/>
  <c r="AX499" i="17" s="1"/>
  <c r="AZ499" i="17" s="1"/>
  <c r="BK461" i="17"/>
  <c r="BL461" i="17" s="1"/>
  <c r="BM461" i="17" s="1"/>
  <c r="BJ461" i="17"/>
  <c r="BE461" i="17"/>
  <c r="BF461" i="17" s="1"/>
  <c r="P678" i="17"/>
  <c r="AM499" i="17"/>
  <c r="E678" i="17"/>
  <c r="L678" i="17" s="1"/>
  <c r="U500" i="17"/>
  <c r="AC500" i="17" s="1"/>
  <c r="AQ498" i="17"/>
  <c r="AU499" i="17" l="1"/>
  <c r="AV499" i="17" s="1"/>
  <c r="W500" i="17"/>
  <c r="AA500" i="17" s="1"/>
  <c r="AK500" i="17" s="1"/>
  <c r="BG461" i="17"/>
  <c r="BI461" i="17"/>
  <c r="N678" i="17"/>
  <c r="AD500" i="17"/>
  <c r="AN499" i="17"/>
  <c r="AO499" i="17" s="1"/>
  <c r="Q678" i="17"/>
  <c r="S678" i="17" s="1"/>
  <c r="Y500" i="17" l="1"/>
  <c r="AB500" i="17" s="1"/>
  <c r="BO461" i="17"/>
  <c r="BP461" i="17" s="1"/>
  <c r="BN461" i="17"/>
  <c r="AF8" i="15" s="1"/>
  <c r="BC462" i="17"/>
  <c r="BH462" i="17" s="1"/>
  <c r="AP499" i="17"/>
  <c r="AR499" i="17" s="1"/>
  <c r="AE500" i="17"/>
  <c r="O678" i="17"/>
  <c r="M679" i="17"/>
  <c r="E679" i="17" s="1"/>
  <c r="L679" i="17" s="1"/>
  <c r="Z500" i="17" l="1"/>
  <c r="U501" i="17" s="1"/>
  <c r="AC501" i="17" s="1"/>
  <c r="AF500" i="17"/>
  <c r="AG500" i="17" s="1"/>
  <c r="AL500" i="17" s="1"/>
  <c r="AY500" i="17" s="1"/>
  <c r="N679" i="17"/>
  <c r="O679" i="17" s="1"/>
  <c r="BD462" i="17"/>
  <c r="BK462" i="17" s="1"/>
  <c r="BL462" i="17" s="1"/>
  <c r="BM462" i="17" s="1"/>
  <c r="AL489" i="15"/>
  <c r="BQ461" i="17"/>
  <c r="P679" i="17"/>
  <c r="AQ499" i="17"/>
  <c r="M680" i="17" l="1"/>
  <c r="AH500" i="17"/>
  <c r="AS500" i="17" s="1"/>
  <c r="AT500" i="17" s="1"/>
  <c r="AW500" i="17" s="1"/>
  <c r="AX500" i="17" s="1"/>
  <c r="AZ500" i="17" s="1"/>
  <c r="BE462" i="17"/>
  <c r="BF462" i="17" s="1"/>
  <c r="BG462" i="17" s="1"/>
  <c r="BJ462" i="17"/>
  <c r="AM500" i="17"/>
  <c r="AN500" i="17" s="1"/>
  <c r="Q679" i="17"/>
  <c r="S679" i="17" s="1"/>
  <c r="AD501" i="17"/>
  <c r="W501" i="17"/>
  <c r="AA501" i="17" s="1"/>
  <c r="AK501" i="17" s="1"/>
  <c r="E680" i="17"/>
  <c r="L680" i="17" s="1"/>
  <c r="AU500" i="17" l="1"/>
  <c r="AV500" i="17" s="1"/>
  <c r="BI462" i="17"/>
  <c r="BO462" i="17" s="1"/>
  <c r="BP462" i="17" s="1"/>
  <c r="BC463" i="17"/>
  <c r="BH463" i="17" s="1"/>
  <c r="Y501" i="17"/>
  <c r="AB501" i="17" s="1"/>
  <c r="AO500" i="17"/>
  <c r="P680" i="17"/>
  <c r="N680" i="17"/>
  <c r="AE501" i="17"/>
  <c r="BN462" i="17" l="1"/>
  <c r="AF10" i="15" s="1"/>
  <c r="BD463" i="17"/>
  <c r="BE463" i="17" s="1"/>
  <c r="BF463" i="17" s="1"/>
  <c r="BG463" i="17" s="1"/>
  <c r="AL490" i="15"/>
  <c r="AF501" i="17"/>
  <c r="AG501" i="17" s="1"/>
  <c r="M681" i="17"/>
  <c r="O680" i="17"/>
  <c r="Q680" i="17"/>
  <c r="S680" i="17" s="1"/>
  <c r="AP500" i="17"/>
  <c r="Z501" i="17"/>
  <c r="BQ462" i="17" l="1"/>
  <c r="BJ463" i="17"/>
  <c r="BK463" i="17"/>
  <c r="BL463" i="17" s="1"/>
  <c r="BM463" i="17" s="1"/>
  <c r="AH501" i="17"/>
  <c r="AS501" i="17" s="1"/>
  <c r="AL501" i="17"/>
  <c r="AY501" i="17" s="1"/>
  <c r="P681" i="17"/>
  <c r="Q681" i="17" s="1"/>
  <c r="S681" i="17" s="1"/>
  <c r="BI463" i="17"/>
  <c r="BC464" i="17"/>
  <c r="AR500" i="17"/>
  <c r="U502" i="17"/>
  <c r="AC502" i="17" s="1"/>
  <c r="AQ500" i="17"/>
  <c r="E681" i="17"/>
  <c r="L681" i="17" s="1"/>
  <c r="BN463" i="17" l="1"/>
  <c r="AF15" i="15" s="1"/>
  <c r="BO463" i="17"/>
  <c r="BP463" i="17" s="1"/>
  <c r="AT501" i="17"/>
  <c r="AW501" i="17" s="1"/>
  <c r="AX501" i="17" s="1"/>
  <c r="AZ501" i="17" s="1"/>
  <c r="AU501" i="17"/>
  <c r="AV501" i="17" s="1"/>
  <c r="AM501" i="17"/>
  <c r="AN501" i="17" s="1"/>
  <c r="BD464" i="17"/>
  <c r="BE464" i="17" s="1"/>
  <c r="BF464" i="17" s="1"/>
  <c r="BH464" i="17"/>
  <c r="AD502" i="17"/>
  <c r="AE502" i="17" s="1"/>
  <c r="W502" i="17"/>
  <c r="AA502" i="17" s="1"/>
  <c r="AK502" i="17" s="1"/>
  <c r="N681" i="17"/>
  <c r="BQ463" i="17" l="1"/>
  <c r="AL491" i="15"/>
  <c r="BG464" i="17"/>
  <c r="BI464" i="17"/>
  <c r="BK464" i="17"/>
  <c r="BL464" i="17" s="1"/>
  <c r="BM464" i="17" s="1"/>
  <c r="BJ464" i="17"/>
  <c r="Y502" i="17"/>
  <c r="AB502" i="17" s="1"/>
  <c r="O681" i="17"/>
  <c r="M682" i="17"/>
  <c r="E682" i="17" s="1"/>
  <c r="L682" i="17" s="1"/>
  <c r="AO501" i="17"/>
  <c r="AF502" i="17" l="1"/>
  <c r="AG502" i="17" s="1"/>
  <c r="BO464" i="17"/>
  <c r="BP464" i="17" s="1"/>
  <c r="BN464" i="17"/>
  <c r="AF17" i="15" s="1"/>
  <c r="BC465" i="17"/>
  <c r="BH465" i="17" s="1"/>
  <c r="Z502" i="17"/>
  <c r="U503" i="17" s="1"/>
  <c r="AC503" i="17" s="1"/>
  <c r="N682" i="17"/>
  <c r="AP501" i="17"/>
  <c r="P682" i="17"/>
  <c r="AH502" i="17" l="1"/>
  <c r="AS502" i="17" s="1"/>
  <c r="AL502" i="17"/>
  <c r="AY502" i="17" s="1"/>
  <c r="AL492" i="15"/>
  <c r="BQ464" i="17"/>
  <c r="BD465" i="17"/>
  <c r="AR501" i="17"/>
  <c r="AQ501" i="17"/>
  <c r="Q682" i="17"/>
  <c r="S682" i="17" s="1"/>
  <c r="W503" i="17"/>
  <c r="O682" i="17"/>
  <c r="M683" i="17"/>
  <c r="E683" i="17" s="1"/>
  <c r="L683" i="17" s="1"/>
  <c r="AD503" i="17"/>
  <c r="AM502" i="17" l="1"/>
  <c r="AN502" i="17" s="1"/>
  <c r="AO502" i="17" s="1"/>
  <c r="AP502" i="17" s="1"/>
  <c r="AT502" i="17"/>
  <c r="AW502" i="17" s="1"/>
  <c r="AX502" i="17" s="1"/>
  <c r="AZ502" i="17" s="1"/>
  <c r="AU502" i="17"/>
  <c r="AV502" i="17" s="1"/>
  <c r="N683" i="17"/>
  <c r="M684" i="17" s="1"/>
  <c r="E684" i="17" s="1"/>
  <c r="L684" i="17" s="1"/>
  <c r="BK465" i="17"/>
  <c r="BL465" i="17" s="1"/>
  <c r="BM465" i="17" s="1"/>
  <c r="BJ465" i="17"/>
  <c r="BE465" i="17"/>
  <c r="BF465" i="17" s="1"/>
  <c r="AA503" i="17"/>
  <c r="AK503" i="17" s="1"/>
  <c r="Y503" i="17"/>
  <c r="P683" i="17"/>
  <c r="AE503" i="17"/>
  <c r="O683" i="17" l="1"/>
  <c r="N684" i="17" s="1"/>
  <c r="BG465" i="17"/>
  <c r="BI465" i="17"/>
  <c r="AB503" i="17"/>
  <c r="Z503" i="17"/>
  <c r="AR502" i="17"/>
  <c r="Q683" i="17"/>
  <c r="S683" i="17" s="1"/>
  <c r="AQ502" i="17"/>
  <c r="BO465" i="17" l="1"/>
  <c r="BP465" i="17" s="1"/>
  <c r="BN465" i="17"/>
  <c r="AF18" i="15" s="1"/>
  <c r="BC466" i="17"/>
  <c r="P684" i="17"/>
  <c r="U504" i="17"/>
  <c r="AC504" i="17" s="1"/>
  <c r="AF503" i="17"/>
  <c r="AG503" i="17" s="1"/>
  <c r="M685" i="17"/>
  <c r="O684" i="17"/>
  <c r="AH503" i="17" l="1"/>
  <c r="AS503" i="17" s="1"/>
  <c r="AL503" i="17"/>
  <c r="AY503" i="17" s="1"/>
  <c r="BD466" i="17"/>
  <c r="BH466" i="17"/>
  <c r="AL493" i="15"/>
  <c r="BQ465" i="17"/>
  <c r="AD504" i="17"/>
  <c r="E685" i="17"/>
  <c r="L685" i="17" s="1"/>
  <c r="W504" i="17"/>
  <c r="Y504" i="17" s="1"/>
  <c r="AB504" i="17" s="1"/>
  <c r="Q684" i="17"/>
  <c r="S684" i="17" s="1"/>
  <c r="AM503" i="17" l="1"/>
  <c r="AN503" i="17" s="1"/>
  <c r="AT503" i="17"/>
  <c r="AW503" i="17" s="1"/>
  <c r="AX503" i="17" s="1"/>
  <c r="AZ503" i="17" s="1"/>
  <c r="AU503" i="17"/>
  <c r="AV503" i="17" s="1"/>
  <c r="BK466" i="17"/>
  <c r="BL466" i="17" s="1"/>
  <c r="BM466" i="17" s="1"/>
  <c r="BJ466" i="17"/>
  <c r="BE466" i="17"/>
  <c r="BF466" i="17" s="1"/>
  <c r="P685" i="17"/>
  <c r="Q685" i="17" s="1"/>
  <c r="S685" i="17" s="1"/>
  <c r="N685" i="17"/>
  <c r="AE504" i="17"/>
  <c r="AF504" i="17" s="1"/>
  <c r="AG504" i="17" s="1"/>
  <c r="AA504" i="17"/>
  <c r="AK504" i="17" s="1"/>
  <c r="Z504" i="17"/>
  <c r="AH504" i="17" l="1"/>
  <c r="AS504" i="17" s="1"/>
  <c r="AT504" i="17" s="1"/>
  <c r="AW504" i="17" s="1"/>
  <c r="AX504" i="17" s="1"/>
  <c r="AZ504" i="17" s="1"/>
  <c r="AL504" i="17"/>
  <c r="AY504" i="17" s="1"/>
  <c r="BG466" i="17"/>
  <c r="BI466" i="17"/>
  <c r="O685" i="17"/>
  <c r="M686" i="17"/>
  <c r="E686" i="17" s="1"/>
  <c r="L686" i="17" s="1"/>
  <c r="U505" i="17"/>
  <c r="AC505" i="17" s="1"/>
  <c r="AO503" i="17"/>
  <c r="AM504" i="17" l="1"/>
  <c r="AN504" i="17" s="1"/>
  <c r="AU504" i="17"/>
  <c r="AV504" i="17" s="1"/>
  <c r="BO466" i="17"/>
  <c r="BP466" i="17" s="1"/>
  <c r="BN466" i="17"/>
  <c r="AF20" i="15" s="1"/>
  <c r="BC467" i="17"/>
  <c r="BD467" i="17" s="1"/>
  <c r="W505" i="17"/>
  <c r="AA505" i="17" s="1"/>
  <c r="AK505" i="17" s="1"/>
  <c r="AP503" i="17"/>
  <c r="AD505" i="17"/>
  <c r="P686" i="17"/>
  <c r="N686" i="17"/>
  <c r="Y505" i="17" l="1"/>
  <c r="AB505" i="17" s="1"/>
  <c r="BH467" i="17"/>
  <c r="BK467" i="17"/>
  <c r="BL467" i="17" s="1"/>
  <c r="BM467" i="17" s="1"/>
  <c r="BJ467" i="17"/>
  <c r="BE467" i="17"/>
  <c r="BF467" i="17" s="1"/>
  <c r="AL494" i="15"/>
  <c r="BQ466" i="17"/>
  <c r="AO504" i="17"/>
  <c r="AE505" i="17"/>
  <c r="Q686" i="17"/>
  <c r="S686" i="17" s="1"/>
  <c r="AR503" i="17"/>
  <c r="M687" i="17"/>
  <c r="E687" i="17" s="1"/>
  <c r="L687" i="17" s="1"/>
  <c r="O686" i="17"/>
  <c r="AQ503" i="17"/>
  <c r="Z505" i="17" l="1"/>
  <c r="U506" i="17" s="1"/>
  <c r="AC506" i="17" s="1"/>
  <c r="AF505" i="17"/>
  <c r="AG505" i="17" s="1"/>
  <c r="AH505" i="17" s="1"/>
  <c r="AS505" i="17" s="1"/>
  <c r="BG467" i="17"/>
  <c r="BI467" i="17"/>
  <c r="N687" i="17"/>
  <c r="AP504" i="17"/>
  <c r="P687" i="17"/>
  <c r="AL505" i="17" l="1"/>
  <c r="AY505" i="17" s="1"/>
  <c r="AT505" i="17"/>
  <c r="AW505" i="17" s="1"/>
  <c r="AX505" i="17" s="1"/>
  <c r="AZ505" i="17" s="1"/>
  <c r="AU505" i="17"/>
  <c r="AV505" i="17" s="1"/>
  <c r="BO467" i="17"/>
  <c r="BP467" i="17" s="1"/>
  <c r="BN467" i="17"/>
  <c r="AF22" i="15" s="1"/>
  <c r="BC468" i="17"/>
  <c r="AR504" i="17"/>
  <c r="AD506" i="17"/>
  <c r="O687" i="17"/>
  <c r="M688" i="17"/>
  <c r="E688" i="17" s="1"/>
  <c r="L688" i="17" s="1"/>
  <c r="Q687" i="17"/>
  <c r="S687" i="17" s="1"/>
  <c r="W506" i="17"/>
  <c r="AQ504" i="17"/>
  <c r="AM505" i="17" l="1"/>
  <c r="AN505" i="17" s="1"/>
  <c r="AO505" i="17" s="1"/>
  <c r="BD468" i="17"/>
  <c r="BH468" i="17"/>
  <c r="AL495" i="15"/>
  <c r="BQ467" i="17"/>
  <c r="AE506" i="17"/>
  <c r="AA506" i="17"/>
  <c r="AK506" i="17" s="1"/>
  <c r="Y506" i="17"/>
  <c r="AB506" i="17" s="1"/>
  <c r="N688" i="17"/>
  <c r="P688" i="17"/>
  <c r="BK468" i="17" l="1"/>
  <c r="BJ468" i="17"/>
  <c r="BE468" i="17"/>
  <c r="BF468" i="17" s="1"/>
  <c r="Z506" i="17"/>
  <c r="U507" i="17" s="1"/>
  <c r="AC507" i="17" s="1"/>
  <c r="AF506" i="17"/>
  <c r="AG506" i="17" s="1"/>
  <c r="Q688" i="17"/>
  <c r="S688" i="17" s="1"/>
  <c r="M689" i="17"/>
  <c r="O688" i="17"/>
  <c r="AP505" i="17"/>
  <c r="AQ505" i="17" s="1"/>
  <c r="AH506" i="17" l="1"/>
  <c r="AS506" i="17" s="1"/>
  <c r="AL506" i="17"/>
  <c r="AY506" i="17" s="1"/>
  <c r="W507" i="17"/>
  <c r="AA507" i="17" s="1"/>
  <c r="AK507" i="17" s="1"/>
  <c r="BG468" i="17"/>
  <c r="BI468" i="17"/>
  <c r="BL468" i="17"/>
  <c r="BM468" i="17" s="1"/>
  <c r="AD507" i="17"/>
  <c r="AR505" i="17"/>
  <c r="E689" i="17"/>
  <c r="L689" i="17" s="1"/>
  <c r="P689" i="17"/>
  <c r="AM506" i="17" l="1"/>
  <c r="AN506" i="17" s="1"/>
  <c r="Y507" i="17"/>
  <c r="AB507" i="17" s="1"/>
  <c r="AT506" i="17"/>
  <c r="AW506" i="17" s="1"/>
  <c r="AX506" i="17" s="1"/>
  <c r="AZ506" i="17" s="1"/>
  <c r="AU506" i="17"/>
  <c r="AV506" i="17" s="1"/>
  <c r="BO468" i="17"/>
  <c r="BP468" i="17" s="1"/>
  <c r="BN468" i="17"/>
  <c r="AF23" i="15" s="1"/>
  <c r="BC469" i="17"/>
  <c r="BH469" i="17" s="1"/>
  <c r="N689" i="17"/>
  <c r="AE507" i="17"/>
  <c r="Q689" i="17"/>
  <c r="S689" i="17" s="1"/>
  <c r="Z507" i="17" l="1"/>
  <c r="AF507" i="17"/>
  <c r="AG507" i="17" s="1"/>
  <c r="AH507" i="17" s="1"/>
  <c r="AS507" i="17" s="1"/>
  <c r="BD469" i="17"/>
  <c r="BE469" i="17" s="1"/>
  <c r="BF469" i="17" s="1"/>
  <c r="AL496" i="15"/>
  <c r="BQ468" i="17"/>
  <c r="AO506" i="17"/>
  <c r="O689" i="17"/>
  <c r="M690" i="17"/>
  <c r="E690" i="17" s="1"/>
  <c r="L690" i="17" s="1"/>
  <c r="U508" i="17"/>
  <c r="AC508" i="17" s="1"/>
  <c r="AL507" i="17" l="1"/>
  <c r="AY507" i="17" s="1"/>
  <c r="AT507" i="17"/>
  <c r="AW507" i="17" s="1"/>
  <c r="AX507" i="17" s="1"/>
  <c r="AZ507" i="17" s="1"/>
  <c r="AU507" i="17"/>
  <c r="AV507" i="17" s="1"/>
  <c r="BG469" i="17"/>
  <c r="BI469" i="17"/>
  <c r="BJ469" i="17"/>
  <c r="BK469" i="17"/>
  <c r="BL469" i="17" s="1"/>
  <c r="BM469" i="17" s="1"/>
  <c r="AP506" i="17"/>
  <c r="AQ506" i="17" s="1"/>
  <c r="N690" i="17"/>
  <c r="W508" i="17"/>
  <c r="P690" i="17"/>
  <c r="AD508" i="17"/>
  <c r="AM507" i="17" l="1"/>
  <c r="AN507" i="17" s="1"/>
  <c r="AO507" i="17" s="1"/>
  <c r="AP507" i="17" s="1"/>
  <c r="AR507" i="17" s="1"/>
  <c r="BO469" i="17"/>
  <c r="BP469" i="17" s="1"/>
  <c r="BN469" i="17"/>
  <c r="AF24" i="15" s="1"/>
  <c r="BC470" i="17"/>
  <c r="O690" i="17"/>
  <c r="M691" i="17"/>
  <c r="E691" i="17" s="1"/>
  <c r="L691" i="17" s="1"/>
  <c r="Q690" i="17"/>
  <c r="S690" i="17" s="1"/>
  <c r="AR506" i="17"/>
  <c r="AE508" i="17"/>
  <c r="AA508" i="17"/>
  <c r="AK508" i="17" s="1"/>
  <c r="Y508" i="17"/>
  <c r="BD470" i="17" l="1"/>
  <c r="BE470" i="17" s="1"/>
  <c r="BH470" i="17"/>
  <c r="AL497" i="15"/>
  <c r="BQ469" i="17"/>
  <c r="P691" i="17"/>
  <c r="Q691" i="17" s="1"/>
  <c r="S691" i="17" s="1"/>
  <c r="N691" i="17"/>
  <c r="AB508" i="17"/>
  <c r="Z508" i="17"/>
  <c r="AQ507" i="17"/>
  <c r="BK470" i="17" l="1"/>
  <c r="BL470" i="17" s="1"/>
  <c r="BM470" i="17" s="1"/>
  <c r="BJ470" i="17"/>
  <c r="BF470" i="17"/>
  <c r="O691" i="17"/>
  <c r="M692" i="17"/>
  <c r="E692" i="17" s="1"/>
  <c r="L692" i="17" s="1"/>
  <c r="U509" i="17"/>
  <c r="AC509" i="17" s="1"/>
  <c r="AF508" i="17"/>
  <c r="AG508" i="17" s="1"/>
  <c r="AH508" i="17" l="1"/>
  <c r="AS508" i="17" s="1"/>
  <c r="AL508" i="17"/>
  <c r="AY508" i="17" s="1"/>
  <c r="BG470" i="17"/>
  <c r="BI470" i="17"/>
  <c r="N692" i="17"/>
  <c r="W509" i="17"/>
  <c r="AA509" i="17" s="1"/>
  <c r="AK509" i="17" s="1"/>
  <c r="P692" i="17"/>
  <c r="AD509" i="17"/>
  <c r="AM508" i="17" l="1"/>
  <c r="AN508" i="17" s="1"/>
  <c r="AO508" i="17" s="1"/>
  <c r="AP508" i="17" s="1"/>
  <c r="AT508" i="17"/>
  <c r="AW508" i="17" s="1"/>
  <c r="AX508" i="17" s="1"/>
  <c r="AZ508" i="17" s="1"/>
  <c r="AU508" i="17"/>
  <c r="AV508" i="17" s="1"/>
  <c r="BO470" i="17"/>
  <c r="BP470" i="17" s="1"/>
  <c r="BN470" i="17"/>
  <c r="AF29" i="15" s="1"/>
  <c r="BC471" i="17"/>
  <c r="BH471" i="17" s="1"/>
  <c r="AE509" i="17"/>
  <c r="Y509" i="17"/>
  <c r="Q692" i="17"/>
  <c r="S692" i="17" s="1"/>
  <c r="M693" i="17"/>
  <c r="O692" i="17"/>
  <c r="BD471" i="17" l="1"/>
  <c r="BE471" i="17" s="1"/>
  <c r="BF471" i="17" s="1"/>
  <c r="AL498" i="15"/>
  <c r="BQ470" i="17"/>
  <c r="AQ508" i="17"/>
  <c r="E693" i="17"/>
  <c r="L693" i="17" s="1"/>
  <c r="P693" i="17"/>
  <c r="Q693" i="17" s="1"/>
  <c r="AB509" i="17"/>
  <c r="Z509" i="17"/>
  <c r="AR508" i="17"/>
  <c r="BK471" i="17" l="1"/>
  <c r="BL471" i="17" s="1"/>
  <c r="BM471" i="17" s="1"/>
  <c r="BJ471" i="17"/>
  <c r="BG471" i="17"/>
  <c r="BC472" i="17" s="1"/>
  <c r="BH472" i="17" s="1"/>
  <c r="BI471" i="17"/>
  <c r="N693" i="17"/>
  <c r="U510" i="17"/>
  <c r="AC510" i="17" s="1"/>
  <c r="AF509" i="17"/>
  <c r="AG509" i="17" s="1"/>
  <c r="S693" i="17"/>
  <c r="BN471" i="17" l="1"/>
  <c r="AF36" i="15" s="1"/>
  <c r="AH509" i="17"/>
  <c r="AS509" i="17" s="1"/>
  <c r="AL509" i="17"/>
  <c r="AY509" i="17" s="1"/>
  <c r="BO471" i="17"/>
  <c r="BP471" i="17" s="1"/>
  <c r="BD472" i="17"/>
  <c r="BK472" i="17" s="1"/>
  <c r="BL472" i="17" s="1"/>
  <c r="BM472" i="17" s="1"/>
  <c r="W510" i="17"/>
  <c r="AA510" i="17" s="1"/>
  <c r="AK510" i="17" s="1"/>
  <c r="AD510" i="17"/>
  <c r="O693" i="17"/>
  <c r="M694" i="17"/>
  <c r="E694" i="17" s="1"/>
  <c r="L694" i="17" s="1"/>
  <c r="BQ471" i="17" l="1"/>
  <c r="AM509" i="17"/>
  <c r="AN509" i="17" s="1"/>
  <c r="N694" i="17"/>
  <c r="O694" i="17" s="1"/>
  <c r="Y510" i="17"/>
  <c r="AB510" i="17" s="1"/>
  <c r="BE472" i="17"/>
  <c r="BF472" i="17" s="1"/>
  <c r="BG472" i="17" s="1"/>
  <c r="AL499" i="15"/>
  <c r="AT509" i="17"/>
  <c r="AW509" i="17" s="1"/>
  <c r="AX509" i="17" s="1"/>
  <c r="AZ509" i="17" s="1"/>
  <c r="AU509" i="17"/>
  <c r="AV509" i="17" s="1"/>
  <c r="BJ472" i="17"/>
  <c r="AE510" i="17"/>
  <c r="P694" i="17"/>
  <c r="M695" i="17" l="1"/>
  <c r="E695" i="17" s="1"/>
  <c r="L695" i="17" s="1"/>
  <c r="N695" i="17" s="1"/>
  <c r="AF510" i="17"/>
  <c r="AG510" i="17" s="1"/>
  <c r="AL510" i="17" s="1"/>
  <c r="AY510" i="17" s="1"/>
  <c r="Z510" i="17"/>
  <c r="U511" i="17" s="1"/>
  <c r="AC511" i="17" s="1"/>
  <c r="AD511" i="17" s="1"/>
  <c r="AE511" i="17" s="1"/>
  <c r="BI472" i="17"/>
  <c r="BO472" i="17" s="1"/>
  <c r="BP472" i="17" s="1"/>
  <c r="BC473" i="17"/>
  <c r="BD473" i="17" s="1"/>
  <c r="AO509" i="17"/>
  <c r="Q694" i="17"/>
  <c r="S694" i="17" s="1"/>
  <c r="AH510" i="17" l="1"/>
  <c r="AS510" i="17" s="1"/>
  <c r="AU510" i="17" s="1"/>
  <c r="AV510" i="17" s="1"/>
  <c r="AM510" i="17"/>
  <c r="AN510" i="17" s="1"/>
  <c r="W511" i="17"/>
  <c r="Y511" i="17" s="1"/>
  <c r="AB511" i="17" s="1"/>
  <c r="AF511" i="17" s="1"/>
  <c r="AG511" i="17" s="1"/>
  <c r="AH511" i="17" s="1"/>
  <c r="AS511" i="17" s="1"/>
  <c r="AT511" i="17" s="1"/>
  <c r="BN472" i="17"/>
  <c r="AF40" i="15" s="1"/>
  <c r="BK473" i="17"/>
  <c r="BJ473" i="17"/>
  <c r="AL500" i="15"/>
  <c r="BE473" i="17"/>
  <c r="BF473" i="17" s="1"/>
  <c r="BH473" i="17"/>
  <c r="AP509" i="17"/>
  <c r="AQ509" i="17" s="1"/>
  <c r="P695" i="17"/>
  <c r="O695" i="17"/>
  <c r="M696" i="17"/>
  <c r="AT510" i="17" l="1"/>
  <c r="AW510" i="17" s="1"/>
  <c r="AX510" i="17" s="1"/>
  <c r="AZ510" i="17" s="1"/>
  <c r="Z511" i="17"/>
  <c r="U512" i="17" s="1"/>
  <c r="AC512" i="17" s="1"/>
  <c r="AA511" i="17"/>
  <c r="AK511" i="17" s="1"/>
  <c r="BQ472" i="17"/>
  <c r="AU511" i="17"/>
  <c r="AV511" i="17" s="1"/>
  <c r="AL511" i="17"/>
  <c r="AY511" i="17" s="1"/>
  <c r="BG473" i="17"/>
  <c r="BI473" i="17"/>
  <c r="BL473" i="17"/>
  <c r="BM473" i="17" s="1"/>
  <c r="AO510" i="17"/>
  <c r="E696" i="17"/>
  <c r="L696" i="17" s="1"/>
  <c r="Q695" i="17"/>
  <c r="S695" i="17" s="1"/>
  <c r="AR509" i="17"/>
  <c r="AM511" i="17" l="1"/>
  <c r="AN511" i="17" s="1"/>
  <c r="P696" i="17"/>
  <c r="Q696" i="17" s="1"/>
  <c r="S696" i="17" s="1"/>
  <c r="AW511" i="17"/>
  <c r="AX511" i="17" s="1"/>
  <c r="AZ511" i="17" s="1"/>
  <c r="BO473" i="17"/>
  <c r="BP473" i="17" s="1"/>
  <c r="BN473" i="17"/>
  <c r="AF42" i="15" s="1"/>
  <c r="BC474" i="17"/>
  <c r="AD512" i="17"/>
  <c r="N696" i="17"/>
  <c r="W512" i="17"/>
  <c r="AA512" i="17" s="1"/>
  <c r="AK512" i="17" s="1"/>
  <c r="AP510" i="17"/>
  <c r="BD474" i="17" l="1"/>
  <c r="BH474" i="17"/>
  <c r="AL123" i="15"/>
  <c r="BQ473" i="17"/>
  <c r="Y512" i="17"/>
  <c r="AB512" i="17" s="1"/>
  <c r="AE512" i="17"/>
  <c r="AO511" i="17"/>
  <c r="AR510" i="17"/>
  <c r="AQ510" i="17"/>
  <c r="O696" i="17"/>
  <c r="M697" i="17"/>
  <c r="Z512" i="17" l="1"/>
  <c r="U513" i="17" s="1"/>
  <c r="AC513" i="17" s="1"/>
  <c r="BJ474" i="17"/>
  <c r="BK474" i="17"/>
  <c r="BL474" i="17" s="1"/>
  <c r="BM474" i="17" s="1"/>
  <c r="BE474" i="17"/>
  <c r="BF474" i="17" s="1"/>
  <c r="AP511" i="17"/>
  <c r="AF512" i="17"/>
  <c r="AG512" i="17" s="1"/>
  <c r="P697" i="17"/>
  <c r="E697" i="17"/>
  <c r="L697" i="17" s="1"/>
  <c r="AH512" i="17" l="1"/>
  <c r="AS512" i="17" s="1"/>
  <c r="AL512" i="17"/>
  <c r="BG474" i="17"/>
  <c r="BI474" i="17"/>
  <c r="AD513" i="17"/>
  <c r="AR511" i="17"/>
  <c r="W513" i="17"/>
  <c r="AA513" i="17" s="1"/>
  <c r="AK513" i="17" s="1"/>
  <c r="AQ511" i="17"/>
  <c r="N697" i="17"/>
  <c r="Q697" i="17"/>
  <c r="S697" i="17" s="1"/>
  <c r="AY512" i="17" l="1"/>
  <c r="AM512" i="17"/>
  <c r="AN512" i="17" s="1"/>
  <c r="AO512" i="17" s="1"/>
  <c r="AP512" i="17" s="1"/>
  <c r="AU512" i="17"/>
  <c r="AV512" i="17" s="1"/>
  <c r="AT512" i="17"/>
  <c r="AW512" i="17" s="1"/>
  <c r="AX512" i="17" s="1"/>
  <c r="AZ512" i="17" s="1"/>
  <c r="BO474" i="17"/>
  <c r="BP474" i="17" s="1"/>
  <c r="BN474" i="17"/>
  <c r="AF45" i="15" s="1"/>
  <c r="Y513" i="17"/>
  <c r="AB513" i="17" s="1"/>
  <c r="BC475" i="17"/>
  <c r="BH475" i="17" s="1"/>
  <c r="O697" i="17"/>
  <c r="M698" i="17"/>
  <c r="AE513" i="17"/>
  <c r="Z513" i="17" l="1"/>
  <c r="U514" i="17" s="1"/>
  <c r="AC514" i="17" s="1"/>
  <c r="BD475" i="17"/>
  <c r="BE475" i="17" s="1"/>
  <c r="BF475" i="17" s="1"/>
  <c r="BG475" i="17" s="1"/>
  <c r="AL501" i="15"/>
  <c r="BQ474" i="17"/>
  <c r="AR512" i="17"/>
  <c r="P698" i="17"/>
  <c r="AF513" i="17"/>
  <c r="AG513" i="17" s="1"/>
  <c r="E698" i="17"/>
  <c r="L698" i="17" s="1"/>
  <c r="AQ512" i="17"/>
  <c r="AH513" i="17" l="1"/>
  <c r="AS513" i="17" s="1"/>
  <c r="AL513" i="17"/>
  <c r="BJ475" i="17"/>
  <c r="BK475" i="17"/>
  <c r="BL475" i="17" s="1"/>
  <c r="BM475" i="17" s="1"/>
  <c r="BI475" i="17"/>
  <c r="BO475" i="17" s="1"/>
  <c r="BP475" i="17" s="1"/>
  <c r="BC476" i="17"/>
  <c r="BH476" i="17" s="1"/>
  <c r="N698" i="17"/>
  <c r="AD514" i="17"/>
  <c r="Q698" i="17"/>
  <c r="S698" i="17" s="1"/>
  <c r="W514" i="17"/>
  <c r="AA514" i="17" s="1"/>
  <c r="AK514" i="17" s="1"/>
  <c r="AT513" i="17" l="1"/>
  <c r="AW513" i="17" s="1"/>
  <c r="AX513" i="17" s="1"/>
  <c r="AZ513" i="17" s="1"/>
  <c r="AU513" i="17"/>
  <c r="AV513" i="17" s="1"/>
  <c r="AY513" i="17"/>
  <c r="AM513" i="17"/>
  <c r="AN513" i="17" s="1"/>
  <c r="AO513" i="17" s="1"/>
  <c r="AP513" i="17" s="1"/>
  <c r="BN475" i="17"/>
  <c r="AF55" i="15" s="1"/>
  <c r="BD476" i="17"/>
  <c r="AL502" i="15"/>
  <c r="AE514" i="17"/>
  <c r="Y514" i="17"/>
  <c r="AB514" i="17" s="1"/>
  <c r="O698" i="17"/>
  <c r="M699" i="17"/>
  <c r="E699" i="17" s="1"/>
  <c r="L699" i="17" s="1"/>
  <c r="BQ475" i="17" l="1"/>
  <c r="BK476" i="17"/>
  <c r="BJ476" i="17"/>
  <c r="BE476" i="17"/>
  <c r="BF476" i="17" s="1"/>
  <c r="P699" i="17"/>
  <c r="AF514" i="17"/>
  <c r="AG514" i="17" s="1"/>
  <c r="AL514" i="17" s="1"/>
  <c r="AY514" i="17" s="1"/>
  <c r="N699" i="17"/>
  <c r="Z514" i="17"/>
  <c r="AQ513" i="17"/>
  <c r="AR513" i="17"/>
  <c r="AH514" i="17" l="1"/>
  <c r="AS514" i="17" s="1"/>
  <c r="BG476" i="17"/>
  <c r="BI476" i="17"/>
  <c r="BL476" i="17"/>
  <c r="BM476" i="17" s="1"/>
  <c r="AM514" i="17"/>
  <c r="U515" i="17"/>
  <c r="AC515" i="17" s="1"/>
  <c r="Q699" i="17"/>
  <c r="S699" i="17" s="1"/>
  <c r="M700" i="17"/>
  <c r="O699" i="17"/>
  <c r="AT514" i="17" l="1"/>
  <c r="AW514" i="17" s="1"/>
  <c r="AX514" i="17" s="1"/>
  <c r="AZ514" i="17" s="1"/>
  <c r="AU514" i="17"/>
  <c r="AV514" i="17" s="1"/>
  <c r="W515" i="17"/>
  <c r="AA515" i="17" s="1"/>
  <c r="AK515" i="17" s="1"/>
  <c r="P700" i="17"/>
  <c r="Q700" i="17" s="1"/>
  <c r="S700" i="17" s="1"/>
  <c r="BO476" i="17"/>
  <c r="BP476" i="17" s="1"/>
  <c r="BN476" i="17"/>
  <c r="AF65" i="15" s="1"/>
  <c r="BC477" i="17"/>
  <c r="BH477" i="17" s="1"/>
  <c r="E700" i="17"/>
  <c r="L700" i="17" s="1"/>
  <c r="N700" i="17" s="1"/>
  <c r="O700" i="17" s="1"/>
  <c r="AN514" i="17"/>
  <c r="AO514" i="17" s="1"/>
  <c r="AD515" i="17"/>
  <c r="Y515" i="17" l="1"/>
  <c r="AB515" i="17" s="1"/>
  <c r="M701" i="17"/>
  <c r="E701" i="17" s="1"/>
  <c r="L701" i="17" s="1"/>
  <c r="N701" i="17" s="1"/>
  <c r="O701" i="17" s="1"/>
  <c r="AL503" i="15"/>
  <c r="BQ476" i="17"/>
  <c r="BD477" i="17"/>
  <c r="AE515" i="17"/>
  <c r="AP514" i="17"/>
  <c r="Z515" i="17" l="1"/>
  <c r="U516" i="17" s="1"/>
  <c r="AC516" i="17" s="1"/>
  <c r="AD516" i="17" s="1"/>
  <c r="AE516" i="17" s="1"/>
  <c r="M702" i="17"/>
  <c r="E702" i="17" s="1"/>
  <c r="L702" i="17" s="1"/>
  <c r="P701" i="17"/>
  <c r="Q701" i="17" s="1"/>
  <c r="S701" i="17" s="1"/>
  <c r="BE477" i="17"/>
  <c r="BF477" i="17" s="1"/>
  <c r="BJ477" i="17"/>
  <c r="BK477" i="17"/>
  <c r="AQ514" i="17"/>
  <c r="AF515" i="17"/>
  <c r="AG515" i="17" s="1"/>
  <c r="AR514" i="17"/>
  <c r="W516" i="17" l="1"/>
  <c r="AA516" i="17" s="1"/>
  <c r="AK516" i="17" s="1"/>
  <c r="AH515" i="17"/>
  <c r="AS515" i="17" s="1"/>
  <c r="AL515" i="17"/>
  <c r="AY515" i="17" s="1"/>
  <c r="BL477" i="17"/>
  <c r="BM477" i="17" s="1"/>
  <c r="BG477" i="17"/>
  <c r="BI477" i="17"/>
  <c r="N702" i="17"/>
  <c r="P702" i="17"/>
  <c r="Y516" i="17" l="1"/>
  <c r="AB516" i="17" s="1"/>
  <c r="AF516" i="17" s="1"/>
  <c r="AG516" i="17" s="1"/>
  <c r="AL516" i="17" s="1"/>
  <c r="AY516" i="17" s="1"/>
  <c r="AM515" i="17"/>
  <c r="AN515" i="17" s="1"/>
  <c r="AO515" i="17" s="1"/>
  <c r="AP515" i="17" s="1"/>
  <c r="AT515" i="17"/>
  <c r="AW515" i="17" s="1"/>
  <c r="AU515" i="17"/>
  <c r="AV515" i="17" s="1"/>
  <c r="BC478" i="17"/>
  <c r="BH478" i="17" s="1"/>
  <c r="BO477" i="17"/>
  <c r="BP477" i="17" s="1"/>
  <c r="BN477" i="17"/>
  <c r="AF71" i="15" s="1"/>
  <c r="O702" i="17"/>
  <c r="M703" i="17"/>
  <c r="E703" i="17" s="1"/>
  <c r="L703" i="17" s="1"/>
  <c r="Q702" i="17"/>
  <c r="S702" i="17" s="1"/>
  <c r="Z516" i="17" l="1"/>
  <c r="U517" i="17" s="1"/>
  <c r="AC517" i="17" s="1"/>
  <c r="AR515" i="17"/>
  <c r="AM516" i="17"/>
  <c r="AN516" i="17" s="1"/>
  <c r="AQ515" i="17"/>
  <c r="BD478" i="17"/>
  <c r="BJ478" i="17" s="1"/>
  <c r="AX515" i="17"/>
  <c r="AZ515" i="17" s="1"/>
  <c r="AH516" i="17"/>
  <c r="AS516" i="17" s="1"/>
  <c r="AL504" i="15"/>
  <c r="BQ477" i="17"/>
  <c r="P703" i="17"/>
  <c r="Q703" i="17" s="1"/>
  <c r="S703" i="17" s="1"/>
  <c r="N703" i="17"/>
  <c r="W517" i="17" l="1"/>
  <c r="AA517" i="17" s="1"/>
  <c r="AK517" i="17" s="1"/>
  <c r="BK478" i="17"/>
  <c r="BL478" i="17" s="1"/>
  <c r="BM478" i="17" s="1"/>
  <c r="BE478" i="17"/>
  <c r="BF478" i="17" s="1"/>
  <c r="BG478" i="17" s="1"/>
  <c r="AT516" i="17"/>
  <c r="AW516" i="17" s="1"/>
  <c r="AX516" i="17" s="1"/>
  <c r="AZ516" i="17" s="1"/>
  <c r="AU516" i="17"/>
  <c r="AV516" i="17" s="1"/>
  <c r="AD517" i="17"/>
  <c r="AE517" i="17" s="1"/>
  <c r="M704" i="17"/>
  <c r="E704" i="17" s="1"/>
  <c r="L704" i="17" s="1"/>
  <c r="O703" i="17"/>
  <c r="AO516" i="17"/>
  <c r="AP516" i="17" s="1"/>
  <c r="AR516" i="17" s="1"/>
  <c r="Y517" i="17" l="1"/>
  <c r="AB517" i="17" s="1"/>
  <c r="AF517" i="17" s="1"/>
  <c r="AG517" i="17" s="1"/>
  <c r="BI478" i="17"/>
  <c r="BN478" i="17" s="1"/>
  <c r="AF77" i="15" s="1"/>
  <c r="BC479" i="17"/>
  <c r="BD479" i="17" s="1"/>
  <c r="AQ516" i="17"/>
  <c r="P704" i="17"/>
  <c r="N704" i="17"/>
  <c r="Z517" i="17" l="1"/>
  <c r="U518" i="17" s="1"/>
  <c r="AC518" i="17" s="1"/>
  <c r="AD518" i="17" s="1"/>
  <c r="AE518" i="17" s="1"/>
  <c r="BO478" i="17"/>
  <c r="BP478" i="17" s="1"/>
  <c r="AL505" i="15" s="1"/>
  <c r="AH517" i="17"/>
  <c r="AS517" i="17" s="1"/>
  <c r="AL517" i="17"/>
  <c r="AY517" i="17" s="1"/>
  <c r="BK479" i="17"/>
  <c r="BL479" i="17" s="1"/>
  <c r="BM479" i="17" s="1"/>
  <c r="BJ479" i="17"/>
  <c r="BE479" i="17"/>
  <c r="BF479" i="17" s="1"/>
  <c r="BH479" i="17"/>
  <c r="O704" i="17"/>
  <c r="M705" i="17"/>
  <c r="E705" i="17" s="1"/>
  <c r="L705" i="17" s="1"/>
  <c r="Q704" i="17"/>
  <c r="S704" i="17" s="1"/>
  <c r="BQ478" i="17" l="1"/>
  <c r="W518" i="17"/>
  <c r="AA518" i="17" s="1"/>
  <c r="AK518" i="17" s="1"/>
  <c r="AT517" i="17"/>
  <c r="AW517" i="17" s="1"/>
  <c r="AU517" i="17"/>
  <c r="AV517" i="17" s="1"/>
  <c r="AM517" i="17"/>
  <c r="AN517" i="17" s="1"/>
  <c r="AO517" i="17" s="1"/>
  <c r="AP517" i="17" s="1"/>
  <c r="BG479" i="17"/>
  <c r="BI479" i="17"/>
  <c r="N705" i="17"/>
  <c r="P705" i="17"/>
  <c r="Y518" i="17" l="1"/>
  <c r="AB518" i="17" s="1"/>
  <c r="AX517" i="17"/>
  <c r="AZ517" i="17" s="1"/>
  <c r="BO479" i="17"/>
  <c r="BP479" i="17" s="1"/>
  <c r="BN479" i="17"/>
  <c r="AF80" i="15" s="1"/>
  <c r="BC480" i="17"/>
  <c r="AR517" i="17"/>
  <c r="Q705" i="17"/>
  <c r="S705" i="17" s="1"/>
  <c r="AQ517" i="17"/>
  <c r="O705" i="17"/>
  <c r="M706" i="17"/>
  <c r="E706" i="17" s="1"/>
  <c r="L706" i="17" s="1"/>
  <c r="Z518" i="17" l="1"/>
  <c r="U519" i="17" s="1"/>
  <c r="AC519" i="17" s="1"/>
  <c r="AD519" i="17" s="1"/>
  <c r="AE519" i="17" s="1"/>
  <c r="AF518" i="17"/>
  <c r="AG518" i="17" s="1"/>
  <c r="AL518" i="17" s="1"/>
  <c r="BD480" i="17"/>
  <c r="BE480" i="17" s="1"/>
  <c r="BF480" i="17" s="1"/>
  <c r="BH480" i="17"/>
  <c r="AL506" i="15"/>
  <c r="BQ479" i="17"/>
  <c r="P706" i="17"/>
  <c r="Q706" i="17" s="1"/>
  <c r="S706" i="17" s="1"/>
  <c r="N706" i="17"/>
  <c r="W519" i="17" l="1"/>
  <c r="AA519" i="17" s="1"/>
  <c r="AK519" i="17" s="1"/>
  <c r="AH518" i="17"/>
  <c r="AS518" i="17" s="1"/>
  <c r="AY518" i="17"/>
  <c r="AM518" i="17"/>
  <c r="BG480" i="17"/>
  <c r="BI480" i="17"/>
  <c r="BK480" i="17"/>
  <c r="BJ480" i="17"/>
  <c r="M707" i="17"/>
  <c r="O706" i="17"/>
  <c r="Y519" i="17" l="1"/>
  <c r="AB519" i="17" s="1"/>
  <c r="AF519" i="17" s="1"/>
  <c r="AG519" i="17" s="1"/>
  <c r="AH519" i="17" s="1"/>
  <c r="AS519" i="17" s="1"/>
  <c r="AT519" i="17" s="1"/>
  <c r="AT518" i="17"/>
  <c r="AW518" i="17" s="1"/>
  <c r="AU518" i="17"/>
  <c r="AV518" i="17" s="1"/>
  <c r="AN518" i="17"/>
  <c r="AO518" i="17" s="1"/>
  <c r="AP518" i="17" s="1"/>
  <c r="AQ518" i="17" s="1"/>
  <c r="BL480" i="17"/>
  <c r="BM480" i="17" s="1"/>
  <c r="BO480" i="17"/>
  <c r="BP480" i="17" s="1"/>
  <c r="BC481" i="17"/>
  <c r="BH481" i="17" s="1"/>
  <c r="P707" i="17"/>
  <c r="E707" i="17"/>
  <c r="L707" i="17" s="1"/>
  <c r="AL519" i="17" l="1"/>
  <c r="AY519" i="17" s="1"/>
  <c r="AU519" i="17"/>
  <c r="AV519" i="17" s="1"/>
  <c r="Z519" i="17"/>
  <c r="U520" i="17" s="1"/>
  <c r="AC520" i="17" s="1"/>
  <c r="AD520" i="17" s="1"/>
  <c r="AX518" i="17"/>
  <c r="AZ518" i="17" s="1"/>
  <c r="AR518" i="17"/>
  <c r="BN480" i="17"/>
  <c r="AF84" i="15" s="1"/>
  <c r="AL507" i="15"/>
  <c r="BD481" i="17"/>
  <c r="BE481" i="17" s="1"/>
  <c r="BF481" i="17" s="1"/>
  <c r="Q707" i="17"/>
  <c r="S707" i="17" s="1"/>
  <c r="N707" i="17"/>
  <c r="W520" i="17" l="1"/>
  <c r="AA520" i="17" s="1"/>
  <c r="AK520" i="17" s="1"/>
  <c r="AM519" i="17"/>
  <c r="AN519" i="17" s="1"/>
  <c r="AO519" i="17" s="1"/>
  <c r="AW519" i="17"/>
  <c r="AX519" i="17" s="1"/>
  <c r="AZ519" i="17" s="1"/>
  <c r="BQ480" i="17"/>
  <c r="BG481" i="17"/>
  <c r="BI481" i="17"/>
  <c r="BJ481" i="17"/>
  <c r="BK481" i="17"/>
  <c r="BL481" i="17" s="1"/>
  <c r="BM481" i="17" s="1"/>
  <c r="AE520" i="17"/>
  <c r="Y520" i="17"/>
  <c r="AB520" i="17" s="1"/>
  <c r="O707" i="17"/>
  <c r="M708" i="17"/>
  <c r="BO481" i="17" l="1"/>
  <c r="BP481" i="17" s="1"/>
  <c r="BN481" i="17"/>
  <c r="AF90" i="15" s="1"/>
  <c r="BC482" i="17"/>
  <c r="BH482" i="17" s="1"/>
  <c r="AF520" i="17"/>
  <c r="AG520" i="17" s="1"/>
  <c r="AL520" i="17" s="1"/>
  <c r="AY520" i="17" s="1"/>
  <c r="E708" i="17"/>
  <c r="L708" i="17" s="1"/>
  <c r="P708" i="17"/>
  <c r="Z520" i="17"/>
  <c r="AP519" i="17"/>
  <c r="AH520" i="17" l="1"/>
  <c r="AS520" i="17" s="1"/>
  <c r="BD482" i="17"/>
  <c r="BE482" i="17" s="1"/>
  <c r="BF482" i="17" s="1"/>
  <c r="AL508" i="15"/>
  <c r="BQ481" i="17"/>
  <c r="U521" i="17"/>
  <c r="AC521" i="17" s="1"/>
  <c r="N708" i="17"/>
  <c r="AR519" i="17"/>
  <c r="AQ519" i="17"/>
  <c r="Q708" i="17"/>
  <c r="S708" i="17" s="1"/>
  <c r="AM520" i="17"/>
  <c r="AU520" i="17" l="1"/>
  <c r="AV520" i="17" s="1"/>
  <c r="AT520" i="17"/>
  <c r="AW520" i="17" s="1"/>
  <c r="AX520" i="17" s="1"/>
  <c r="AZ520" i="17" s="1"/>
  <c r="BJ482" i="17"/>
  <c r="BK482" i="17"/>
  <c r="BL482" i="17" s="1"/>
  <c r="BM482" i="17" s="1"/>
  <c r="BG482" i="17"/>
  <c r="BI482" i="17"/>
  <c r="AD521" i="17"/>
  <c r="AN520" i="17"/>
  <c r="M709" i="17"/>
  <c r="E709" i="17" s="1"/>
  <c r="L709" i="17" s="1"/>
  <c r="O708" i="17"/>
  <c r="W521" i="17"/>
  <c r="AA521" i="17" s="1"/>
  <c r="AK521" i="17" s="1"/>
  <c r="BO482" i="17" l="1"/>
  <c r="BP482" i="17" s="1"/>
  <c r="BN482" i="17"/>
  <c r="AF99" i="15" s="1"/>
  <c r="BC483" i="17"/>
  <c r="BH483" i="17" s="1"/>
  <c r="P709" i="17"/>
  <c r="Y521" i="17"/>
  <c r="AB521" i="17" s="1"/>
  <c r="N709" i="17"/>
  <c r="AO520" i="17"/>
  <c r="AE521" i="17"/>
  <c r="AL509" i="15" l="1"/>
  <c r="BQ482" i="17"/>
  <c r="BD483" i="17"/>
  <c r="AF521" i="17"/>
  <c r="AG521" i="17" s="1"/>
  <c r="AL521" i="17" s="1"/>
  <c r="AY521" i="17" s="1"/>
  <c r="Z521" i="17"/>
  <c r="AP520" i="17"/>
  <c r="Q709" i="17"/>
  <c r="S709" i="17" s="1"/>
  <c r="O709" i="17"/>
  <c r="M710" i="17"/>
  <c r="AH521" i="17" l="1"/>
  <c r="AS521" i="17" s="1"/>
  <c r="BK483" i="17"/>
  <c r="BL483" i="17" s="1"/>
  <c r="BM483" i="17" s="1"/>
  <c r="BJ483" i="17"/>
  <c r="BE483" i="17"/>
  <c r="BF483" i="17" s="1"/>
  <c r="AR520" i="17"/>
  <c r="E710" i="17"/>
  <c r="L710" i="17" s="1"/>
  <c r="AQ520" i="17"/>
  <c r="P710" i="17"/>
  <c r="U522" i="17"/>
  <c r="AC522" i="17" s="1"/>
  <c r="AM521" i="17"/>
  <c r="AT521" i="17" l="1"/>
  <c r="AW521" i="17" s="1"/>
  <c r="AX521" i="17" s="1"/>
  <c r="AZ521" i="17" s="1"/>
  <c r="AU521" i="17"/>
  <c r="AV521" i="17" s="1"/>
  <c r="BG483" i="17"/>
  <c r="BI483" i="17"/>
  <c r="W522" i="17"/>
  <c r="AA522" i="17" s="1"/>
  <c r="AK522" i="17" s="1"/>
  <c r="Q710" i="17"/>
  <c r="S710" i="17" s="1"/>
  <c r="N710" i="17"/>
  <c r="AD522" i="17"/>
  <c r="AN521" i="17"/>
  <c r="BO483" i="17" l="1"/>
  <c r="BP483" i="17" s="1"/>
  <c r="BN483" i="17"/>
  <c r="AF107" i="15" s="1"/>
  <c r="BC484" i="17"/>
  <c r="BH484" i="17" s="1"/>
  <c r="Y522" i="17"/>
  <c r="AB522" i="17" s="1"/>
  <c r="O710" i="17"/>
  <c r="M711" i="17"/>
  <c r="AO521" i="17"/>
  <c r="AE522" i="17"/>
  <c r="AF522" i="17" l="1"/>
  <c r="AG522" i="17" s="1"/>
  <c r="Z522" i="17"/>
  <c r="U523" i="17" s="1"/>
  <c r="AC523" i="17" s="1"/>
  <c r="BD484" i="17"/>
  <c r="AL510" i="15"/>
  <c r="BQ483" i="17"/>
  <c r="P711" i="17"/>
  <c r="AP521" i="17"/>
  <c r="AQ521" i="17" s="1"/>
  <c r="E711" i="17"/>
  <c r="L711" i="17" s="1"/>
  <c r="AH522" i="17" l="1"/>
  <c r="AS522" i="17" s="1"/>
  <c r="AL522" i="17"/>
  <c r="BK484" i="17"/>
  <c r="BL484" i="17" s="1"/>
  <c r="BM484" i="17" s="1"/>
  <c r="BJ484" i="17"/>
  <c r="BE484" i="17"/>
  <c r="BF484" i="17" s="1"/>
  <c r="N711" i="17"/>
  <c r="AD523" i="17"/>
  <c r="Q711" i="17"/>
  <c r="S711" i="17" s="1"/>
  <c r="W523" i="17"/>
  <c r="AR521" i="17"/>
  <c r="AY522" i="17" l="1"/>
  <c r="AM522" i="17"/>
  <c r="AN522" i="17" s="1"/>
  <c r="AO522" i="17" s="1"/>
  <c r="AP522" i="17" s="1"/>
  <c r="AR522" i="17" s="1"/>
  <c r="AT522" i="17"/>
  <c r="AW522" i="17" s="1"/>
  <c r="AX522" i="17" s="1"/>
  <c r="AZ522" i="17" s="1"/>
  <c r="AU522" i="17"/>
  <c r="AV522" i="17" s="1"/>
  <c r="BG484" i="17"/>
  <c r="BI484" i="17"/>
  <c r="O711" i="17"/>
  <c r="M712" i="17"/>
  <c r="E712" i="17" s="1"/>
  <c r="L712" i="17" s="1"/>
  <c r="AA523" i="17"/>
  <c r="AK523" i="17" s="1"/>
  <c r="Y523" i="17"/>
  <c r="AB523" i="17" s="1"/>
  <c r="AE523" i="17"/>
  <c r="BO484" i="17" l="1"/>
  <c r="BP484" i="17" s="1"/>
  <c r="BN484" i="17"/>
  <c r="AF123" i="15" s="1"/>
  <c r="BC485" i="17"/>
  <c r="AF523" i="17"/>
  <c r="AG523" i="17" s="1"/>
  <c r="AL523" i="17" s="1"/>
  <c r="AY523" i="17" s="1"/>
  <c r="P712" i="17"/>
  <c r="Z523" i="17"/>
  <c r="N712" i="17"/>
  <c r="AQ522" i="17"/>
  <c r="AH523" i="17" l="1"/>
  <c r="AS523" i="17" s="1"/>
  <c r="AL511" i="15"/>
  <c r="BQ484" i="17"/>
  <c r="BD485" i="17"/>
  <c r="BH485" i="17"/>
  <c r="U524" i="17"/>
  <c r="AC524" i="17" s="1"/>
  <c r="Q712" i="17"/>
  <c r="S712" i="17" s="1"/>
  <c r="O712" i="17"/>
  <c r="M713" i="17"/>
  <c r="E713" i="17" s="1"/>
  <c r="L713" i="17" s="1"/>
  <c r="AM523" i="17"/>
  <c r="AT523" i="17" l="1"/>
  <c r="AW523" i="17" s="1"/>
  <c r="AX523" i="17" s="1"/>
  <c r="AZ523" i="17" s="1"/>
  <c r="AU523" i="17"/>
  <c r="AV523" i="17" s="1"/>
  <c r="BK485" i="17"/>
  <c r="BL485" i="17" s="1"/>
  <c r="BM485" i="17" s="1"/>
  <c r="BJ485" i="17"/>
  <c r="BE485" i="17"/>
  <c r="BF485" i="17" s="1"/>
  <c r="P713" i="17"/>
  <c r="Q713" i="17" s="1"/>
  <c r="S713" i="17" s="1"/>
  <c r="AD524" i="17"/>
  <c r="W524" i="17"/>
  <c r="AN523" i="17"/>
  <c r="AO523" i="17" s="1"/>
  <c r="N713" i="17"/>
  <c r="BG485" i="17" l="1"/>
  <c r="BI485" i="17"/>
  <c r="O713" i="17"/>
  <c r="M714" i="17"/>
  <c r="E714" i="17" s="1"/>
  <c r="L714" i="17" s="1"/>
  <c r="AP523" i="17"/>
  <c r="AE524" i="17"/>
  <c r="AA524" i="17"/>
  <c r="AK524" i="17" s="1"/>
  <c r="Y524" i="17"/>
  <c r="AB524" i="17" s="1"/>
  <c r="N714" i="17" l="1"/>
  <c r="M715" i="17" s="1"/>
  <c r="BO485" i="17"/>
  <c r="BP485" i="17" s="1"/>
  <c r="BN485" i="17"/>
  <c r="AF129" i="15" s="1"/>
  <c r="AR523" i="17"/>
  <c r="AQ523" i="17"/>
  <c r="BC486" i="17"/>
  <c r="P714" i="17"/>
  <c r="Q714" i="17" s="1"/>
  <c r="AF524" i="17"/>
  <c r="AG524" i="17" s="1"/>
  <c r="Z524" i="17"/>
  <c r="AH524" i="17" l="1"/>
  <c r="AS524" i="17" s="1"/>
  <c r="O714" i="17"/>
  <c r="AL524" i="17"/>
  <c r="AY524" i="17" s="1"/>
  <c r="BH486" i="17"/>
  <c r="AL512" i="15"/>
  <c r="BQ485" i="17"/>
  <c r="BD486" i="17"/>
  <c r="U525" i="17"/>
  <c r="AC525" i="17" s="1"/>
  <c r="P715" i="17"/>
  <c r="S714" i="17"/>
  <c r="E715" i="17"/>
  <c r="L715" i="17" s="1"/>
  <c r="AM524" i="17" l="1"/>
  <c r="AN524" i="17" s="1"/>
  <c r="AO524" i="17" s="1"/>
  <c r="AP524" i="17" s="1"/>
  <c r="AT524" i="17"/>
  <c r="AW524" i="17" s="1"/>
  <c r="AX524" i="17" s="1"/>
  <c r="AZ524" i="17" s="1"/>
  <c r="AU524" i="17"/>
  <c r="AV524" i="17" s="1"/>
  <c r="BK486" i="17"/>
  <c r="BL486" i="17" s="1"/>
  <c r="BM486" i="17" s="1"/>
  <c r="BJ486" i="17"/>
  <c r="BE486" i="17"/>
  <c r="BF486" i="17" s="1"/>
  <c r="Q715" i="17"/>
  <c r="S715" i="17" s="1"/>
  <c r="N715" i="17"/>
  <c r="AD525" i="17"/>
  <c r="W525" i="17"/>
  <c r="BG486" i="17" l="1"/>
  <c r="BI486" i="17"/>
  <c r="AR524" i="17"/>
  <c r="AA525" i="17"/>
  <c r="AK525" i="17" s="1"/>
  <c r="Y525" i="17"/>
  <c r="AB525" i="17" s="1"/>
  <c r="O715" i="17"/>
  <c r="M716" i="17"/>
  <c r="E716" i="17" s="1"/>
  <c r="L716" i="17" s="1"/>
  <c r="AE525" i="17"/>
  <c r="AQ524" i="17"/>
  <c r="N716" i="17" l="1"/>
  <c r="M717" i="17" s="1"/>
  <c r="BO486" i="17"/>
  <c r="BP486" i="17" s="1"/>
  <c r="BN486" i="17"/>
  <c r="AF135" i="15" s="1"/>
  <c r="BC487" i="17"/>
  <c r="Z525" i="17"/>
  <c r="AF525" i="17"/>
  <c r="AG525" i="17" s="1"/>
  <c r="P716" i="17"/>
  <c r="O716" i="17" l="1"/>
  <c r="AH525" i="17"/>
  <c r="AS525" i="17" s="1"/>
  <c r="AL525" i="17"/>
  <c r="AY525" i="17" s="1"/>
  <c r="AL513" i="15"/>
  <c r="BQ486" i="17"/>
  <c r="BD487" i="17"/>
  <c r="BH487" i="17"/>
  <c r="Q716" i="17"/>
  <c r="S716" i="17" s="1"/>
  <c r="E717" i="17"/>
  <c r="L717" i="17" s="1"/>
  <c r="U526" i="17"/>
  <c r="AC526" i="17" s="1"/>
  <c r="AM525" i="17" l="1"/>
  <c r="AN525" i="17" s="1"/>
  <c r="AO525" i="17" s="1"/>
  <c r="AT525" i="17"/>
  <c r="AW525" i="17" s="1"/>
  <c r="AX525" i="17" s="1"/>
  <c r="AZ525" i="17" s="1"/>
  <c r="AU525" i="17"/>
  <c r="AV525" i="17" s="1"/>
  <c r="BK487" i="17"/>
  <c r="BL487" i="17" s="1"/>
  <c r="BM487" i="17" s="1"/>
  <c r="BJ487" i="17"/>
  <c r="BE487" i="17"/>
  <c r="BF487" i="17" s="1"/>
  <c r="W526" i="17"/>
  <c r="N717" i="17"/>
  <c r="AD526" i="17"/>
  <c r="P717" i="17"/>
  <c r="BG487" i="17" l="1"/>
  <c r="BI487" i="17"/>
  <c r="AA526" i="17"/>
  <c r="AK526" i="17" s="1"/>
  <c r="Y526" i="17"/>
  <c r="AP525" i="17"/>
  <c r="AQ525" i="17" s="1"/>
  <c r="Q717" i="17"/>
  <c r="S717" i="17" s="1"/>
  <c r="AE526" i="17"/>
  <c r="O717" i="17"/>
  <c r="M718" i="17"/>
  <c r="BC488" i="17" l="1"/>
  <c r="BD488" i="17" s="1"/>
  <c r="BO487" i="17"/>
  <c r="BP487" i="17" s="1"/>
  <c r="BN487" i="17"/>
  <c r="AF60" i="15" s="1"/>
  <c r="AB526" i="17"/>
  <c r="Z526" i="17"/>
  <c r="U527" i="17" s="1"/>
  <c r="AC527" i="17" s="1"/>
  <c r="AR525" i="17"/>
  <c r="P718" i="17"/>
  <c r="E718" i="17"/>
  <c r="L718" i="17" s="1"/>
  <c r="AF526" i="17" l="1"/>
  <c r="AG526" i="17" s="1"/>
  <c r="AL526" i="17" s="1"/>
  <c r="BK488" i="17"/>
  <c r="BL488" i="17" s="1"/>
  <c r="BM488" i="17" s="1"/>
  <c r="BJ488" i="17"/>
  <c r="AL53" i="15"/>
  <c r="BQ487" i="17"/>
  <c r="BE488" i="17"/>
  <c r="BF488" i="17" s="1"/>
  <c r="BH488" i="17"/>
  <c r="AD527" i="17"/>
  <c r="AE527" i="17" s="1"/>
  <c r="W527" i="17"/>
  <c r="AA527" i="17" s="1"/>
  <c r="AK527" i="17" s="1"/>
  <c r="Q718" i="17"/>
  <c r="S718" i="17" s="1"/>
  <c r="N718" i="17"/>
  <c r="AY526" i="17" l="1"/>
  <c r="AM526" i="17"/>
  <c r="AN526" i="17" s="1"/>
  <c r="Y527" i="17"/>
  <c r="AB527" i="17" s="1"/>
  <c r="AF527" i="17" s="1"/>
  <c r="AG527" i="17" s="1"/>
  <c r="AH527" i="17" s="1"/>
  <c r="AS527" i="17" s="1"/>
  <c r="AT527" i="17" s="1"/>
  <c r="AH526" i="17"/>
  <c r="AS526" i="17" s="1"/>
  <c r="BG488" i="17"/>
  <c r="BI488" i="17"/>
  <c r="O718" i="17"/>
  <c r="M719" i="17"/>
  <c r="E719" i="17" s="1"/>
  <c r="L719" i="17" s="1"/>
  <c r="Z527" i="17" l="1"/>
  <c r="U528" i="17" s="1"/>
  <c r="AC528" i="17" s="1"/>
  <c r="AD528" i="17" s="1"/>
  <c r="AO526" i="17"/>
  <c r="AP526" i="17" s="1"/>
  <c r="AR526" i="17" s="1"/>
  <c r="AT526" i="17"/>
  <c r="AW526" i="17" s="1"/>
  <c r="AX526" i="17" s="1"/>
  <c r="AZ526" i="17" s="1"/>
  <c r="AU526" i="17"/>
  <c r="AV526" i="17" s="1"/>
  <c r="AU527" i="17" s="1"/>
  <c r="AV527" i="17" s="1"/>
  <c r="AL527" i="17"/>
  <c r="AY527" i="17" s="1"/>
  <c r="BO488" i="17"/>
  <c r="BP488" i="17" s="1"/>
  <c r="BN488" i="17"/>
  <c r="AF63" i="15" s="1"/>
  <c r="BC489" i="17"/>
  <c r="N719" i="17"/>
  <c r="P719" i="17"/>
  <c r="W528" i="17" l="1"/>
  <c r="AA528" i="17" s="1"/>
  <c r="AK528" i="17" s="1"/>
  <c r="AQ526" i="17"/>
  <c r="AM527" i="17"/>
  <c r="AN527" i="17" s="1"/>
  <c r="AW527" i="17"/>
  <c r="AX527" i="17" s="1"/>
  <c r="AZ527" i="17" s="1"/>
  <c r="BD489" i="17"/>
  <c r="BH489" i="17"/>
  <c r="AL514" i="15"/>
  <c r="BQ488" i="17"/>
  <c r="AE528" i="17"/>
  <c r="O719" i="17"/>
  <c r="M720" i="17"/>
  <c r="E720" i="17" s="1"/>
  <c r="L720" i="17" s="1"/>
  <c r="Q719" i="17"/>
  <c r="S719" i="17" s="1"/>
  <c r="Y528" i="17" l="1"/>
  <c r="AB528" i="17" s="1"/>
  <c r="AF528" i="17" s="1"/>
  <c r="AG528" i="17" s="1"/>
  <c r="P720" i="17"/>
  <c r="Q720" i="17" s="1"/>
  <c r="S720" i="17" s="1"/>
  <c r="BK489" i="17"/>
  <c r="BL489" i="17" s="1"/>
  <c r="BM489" i="17" s="1"/>
  <c r="BJ489" i="17"/>
  <c r="BE489" i="17"/>
  <c r="BF489" i="17" s="1"/>
  <c r="N720" i="17"/>
  <c r="AO527" i="17"/>
  <c r="Z528" i="17" l="1"/>
  <c r="U529" i="17" s="1"/>
  <c r="AC529" i="17" s="1"/>
  <c r="AH528" i="17"/>
  <c r="AS528" i="17" s="1"/>
  <c r="AL528" i="17"/>
  <c r="AY528" i="17" s="1"/>
  <c r="BG489" i="17"/>
  <c r="BI489" i="17"/>
  <c r="O720" i="17"/>
  <c r="M721" i="17"/>
  <c r="E721" i="17" s="1"/>
  <c r="L721" i="17" s="1"/>
  <c r="AP527" i="17"/>
  <c r="AQ527" i="17" s="1"/>
  <c r="AT528" i="17" l="1"/>
  <c r="AW528" i="17" s="1"/>
  <c r="AX528" i="17" s="1"/>
  <c r="AZ528" i="17" s="1"/>
  <c r="AU528" i="17"/>
  <c r="AV528" i="17" s="1"/>
  <c r="AM528" i="17"/>
  <c r="AN528" i="17" s="1"/>
  <c r="AO528" i="17" s="1"/>
  <c r="N721" i="17"/>
  <c r="O721" i="17" s="1"/>
  <c r="BO489" i="17"/>
  <c r="BP489" i="17" s="1"/>
  <c r="BN489" i="17"/>
  <c r="AF67" i="15" s="1"/>
  <c r="BC490" i="17"/>
  <c r="BH490" i="17" s="1"/>
  <c r="W529" i="17"/>
  <c r="AA529" i="17" s="1"/>
  <c r="AK529" i="17" s="1"/>
  <c r="P721" i="17"/>
  <c r="AD529" i="17"/>
  <c r="AE529" i="17" s="1"/>
  <c r="AR527" i="17"/>
  <c r="M722" i="17" l="1"/>
  <c r="E722" i="17" s="1"/>
  <c r="L722" i="17" s="1"/>
  <c r="N722" i="17" s="1"/>
  <c r="BD490" i="17"/>
  <c r="BE490" i="17" s="1"/>
  <c r="BF490" i="17" s="1"/>
  <c r="Y529" i="17"/>
  <c r="AB529" i="17" s="1"/>
  <c r="AL515" i="15"/>
  <c r="BQ489" i="17"/>
  <c r="Q721" i="17"/>
  <c r="S721" i="17" s="1"/>
  <c r="AP528" i="17"/>
  <c r="AF529" i="17" l="1"/>
  <c r="AG529" i="17" s="1"/>
  <c r="Z529" i="17"/>
  <c r="U530" i="17" s="1"/>
  <c r="AC530" i="17" s="1"/>
  <c r="BG490" i="17"/>
  <c r="BI490" i="17"/>
  <c r="BK490" i="17"/>
  <c r="BL490" i="17" s="1"/>
  <c r="BM490" i="17" s="1"/>
  <c r="BJ490" i="17"/>
  <c r="P722" i="17"/>
  <c r="Q722" i="17" s="1"/>
  <c r="S722" i="17" s="1"/>
  <c r="O722" i="17"/>
  <c r="M723" i="17"/>
  <c r="E723" i="17" s="1"/>
  <c r="L723" i="17" s="1"/>
  <c r="AQ528" i="17"/>
  <c r="AR528" i="17"/>
  <c r="AH529" i="17" l="1"/>
  <c r="AS529" i="17" s="1"/>
  <c r="AL529" i="17"/>
  <c r="W530" i="17"/>
  <c r="AA530" i="17" s="1"/>
  <c r="AK530" i="17" s="1"/>
  <c r="AD530" i="17"/>
  <c r="AE530" i="17" s="1"/>
  <c r="BO490" i="17"/>
  <c r="BP490" i="17" s="1"/>
  <c r="BN490" i="17"/>
  <c r="AF85" i="15" s="1"/>
  <c r="BC491" i="17"/>
  <c r="N723" i="17"/>
  <c r="P723" i="17"/>
  <c r="Y530" i="17" l="1"/>
  <c r="AB530" i="17" s="1"/>
  <c r="AF530" i="17" s="1"/>
  <c r="AG530" i="17" s="1"/>
  <c r="AL530" i="17" s="1"/>
  <c r="AT529" i="17"/>
  <c r="AW529" i="17" s="1"/>
  <c r="AU529" i="17"/>
  <c r="AV529" i="17" s="1"/>
  <c r="AY529" i="17"/>
  <c r="AM529" i="17"/>
  <c r="AN529" i="17" s="1"/>
  <c r="BH491" i="17"/>
  <c r="AL516" i="15"/>
  <c r="BQ490" i="17"/>
  <c r="BD491" i="17"/>
  <c r="O723" i="17"/>
  <c r="M724" i="17"/>
  <c r="Q723" i="17"/>
  <c r="S723" i="17" s="1"/>
  <c r="Z530" i="17" l="1"/>
  <c r="U531" i="17" s="1"/>
  <c r="AC531" i="17" s="1"/>
  <c r="AD531" i="17" s="1"/>
  <c r="AY530" i="17"/>
  <c r="AM530" i="17"/>
  <c r="AO529" i="17"/>
  <c r="AP529" i="17" s="1"/>
  <c r="AR529" i="17" s="1"/>
  <c r="AH530" i="17"/>
  <c r="AS530" i="17" s="1"/>
  <c r="AX529" i="17"/>
  <c r="AZ529" i="17" s="1"/>
  <c r="BK491" i="17"/>
  <c r="BL491" i="17" s="1"/>
  <c r="BM491" i="17" s="1"/>
  <c r="BJ491" i="17"/>
  <c r="BE491" i="17"/>
  <c r="BF491" i="17" s="1"/>
  <c r="E724" i="17"/>
  <c r="L724" i="17" s="1"/>
  <c r="AN530" i="17"/>
  <c r="P724" i="17"/>
  <c r="AQ529" i="17" l="1"/>
  <c r="W531" i="17"/>
  <c r="AA531" i="17" s="1"/>
  <c r="AK531" i="17" s="1"/>
  <c r="AT530" i="17"/>
  <c r="AW530" i="17" s="1"/>
  <c r="AX530" i="17" s="1"/>
  <c r="AZ530" i="17" s="1"/>
  <c r="AU530" i="17"/>
  <c r="AV530" i="17" s="1"/>
  <c r="BG491" i="17"/>
  <c r="BI491" i="17"/>
  <c r="Q724" i="17"/>
  <c r="S724" i="17" s="1"/>
  <c r="N724" i="17"/>
  <c r="AO530" i="17"/>
  <c r="AE531" i="17"/>
  <c r="Y531" i="17" l="1"/>
  <c r="Z531" i="17" s="1"/>
  <c r="BC492" i="17"/>
  <c r="BH492" i="17" s="1"/>
  <c r="BO491" i="17"/>
  <c r="BP491" i="17" s="1"/>
  <c r="BN491" i="17"/>
  <c r="AF134" i="15" s="1"/>
  <c r="AP530" i="17"/>
  <c r="AQ530" i="17" s="1"/>
  <c r="M725" i="17"/>
  <c r="O724" i="17"/>
  <c r="AB531" i="17" l="1"/>
  <c r="AF531" i="17" s="1"/>
  <c r="AG531" i="17" s="1"/>
  <c r="AL531" i="17" s="1"/>
  <c r="AY531" i="17" s="1"/>
  <c r="BD492" i="17"/>
  <c r="BE492" i="17" s="1"/>
  <c r="BF492" i="17" s="1"/>
  <c r="AL517" i="15"/>
  <c r="BQ491" i="17"/>
  <c r="P725" i="17"/>
  <c r="E725" i="17"/>
  <c r="L725" i="17" s="1"/>
  <c r="AR530" i="17"/>
  <c r="U532" i="17"/>
  <c r="AC532" i="17" s="1"/>
  <c r="AH531" i="17" l="1"/>
  <c r="AS531" i="17" s="1"/>
  <c r="BJ492" i="17"/>
  <c r="BK492" i="17"/>
  <c r="BL492" i="17" s="1"/>
  <c r="BM492" i="17" s="1"/>
  <c r="BG492" i="17"/>
  <c r="BC493" i="17" s="1"/>
  <c r="BH493" i="17" s="1"/>
  <c r="BI492" i="17"/>
  <c r="BO492" i="17" s="1"/>
  <c r="BP492" i="17" s="1"/>
  <c r="AD532" i="17"/>
  <c r="Q725" i="17"/>
  <c r="S725" i="17" s="1"/>
  <c r="AM531" i="17"/>
  <c r="N725" i="17"/>
  <c r="W532" i="17"/>
  <c r="AA532" i="17" s="1"/>
  <c r="AK532" i="17" s="1"/>
  <c r="AT531" i="17" l="1"/>
  <c r="AW531" i="17" s="1"/>
  <c r="AX531" i="17" s="1"/>
  <c r="AZ531" i="17" s="1"/>
  <c r="AU531" i="17"/>
  <c r="AV531" i="17" s="1"/>
  <c r="BN492" i="17"/>
  <c r="AF261" i="15" s="1"/>
  <c r="BD493" i="17"/>
  <c r="BE493" i="17" s="1"/>
  <c r="BF493" i="17" s="1"/>
  <c r="AL518" i="15"/>
  <c r="Y532" i="17"/>
  <c r="AB532" i="17" s="1"/>
  <c r="AE532" i="17"/>
  <c r="O725" i="17"/>
  <c r="M726" i="17"/>
  <c r="E726" i="17" s="1"/>
  <c r="L726" i="17" s="1"/>
  <c r="AN531" i="17"/>
  <c r="AO531" i="17" s="1"/>
  <c r="N726" i="17" l="1"/>
  <c r="M727" i="17" s="1"/>
  <c r="E727" i="17" s="1"/>
  <c r="L727" i="17" s="1"/>
  <c r="BQ492" i="17"/>
  <c r="Z532" i="17"/>
  <c r="U533" i="17" s="1"/>
  <c r="AC533" i="17" s="1"/>
  <c r="BG493" i="17"/>
  <c r="BI493" i="17"/>
  <c r="BK493" i="17"/>
  <c r="BL493" i="17" s="1"/>
  <c r="BM493" i="17" s="1"/>
  <c r="BJ493" i="17"/>
  <c r="P726" i="17"/>
  <c r="AP531" i="17"/>
  <c r="AF532" i="17"/>
  <c r="AG532" i="17" s="1"/>
  <c r="O726" i="17" l="1"/>
  <c r="N727" i="17" s="1"/>
  <c r="AH532" i="17"/>
  <c r="AS532" i="17" s="1"/>
  <c r="AL532" i="17"/>
  <c r="AY532" i="17" s="1"/>
  <c r="BO493" i="17"/>
  <c r="BP493" i="17" s="1"/>
  <c r="BN493" i="17"/>
  <c r="AF264" i="15" s="1"/>
  <c r="BC494" i="17"/>
  <c r="BH494" i="17" s="1"/>
  <c r="W533" i="17"/>
  <c r="AA533" i="17" s="1"/>
  <c r="AK533" i="17" s="1"/>
  <c r="AQ531" i="17"/>
  <c r="AR531" i="17"/>
  <c r="Q726" i="17"/>
  <c r="S726" i="17" s="1"/>
  <c r="AD533" i="17"/>
  <c r="AM532" i="17" l="1"/>
  <c r="AN532" i="17" s="1"/>
  <c r="AT532" i="17"/>
  <c r="AW532" i="17" s="1"/>
  <c r="AX532" i="17" s="1"/>
  <c r="AZ532" i="17" s="1"/>
  <c r="AU532" i="17"/>
  <c r="AV532" i="17" s="1"/>
  <c r="Y533" i="17"/>
  <c r="AB533" i="17" s="1"/>
  <c r="P727" i="17"/>
  <c r="Q727" i="17" s="1"/>
  <c r="S727" i="17" s="1"/>
  <c r="BD494" i="17"/>
  <c r="AL519" i="15"/>
  <c r="BQ493" i="17"/>
  <c r="AE533" i="17"/>
  <c r="M728" i="17"/>
  <c r="O727" i="17"/>
  <c r="AO532" i="17" l="1"/>
  <c r="AP532" i="17" s="1"/>
  <c r="AQ532" i="17" s="1"/>
  <c r="Z533" i="17"/>
  <c r="U534" i="17" s="1"/>
  <c r="AC534" i="17" s="1"/>
  <c r="AF533" i="17"/>
  <c r="AG533" i="17" s="1"/>
  <c r="BK494" i="17"/>
  <c r="BL494" i="17" s="1"/>
  <c r="BM494" i="17" s="1"/>
  <c r="BJ494" i="17"/>
  <c r="P728" i="17"/>
  <c r="Q728" i="17" s="1"/>
  <c r="S728" i="17" s="1"/>
  <c r="BE494" i="17"/>
  <c r="BF494" i="17" s="1"/>
  <c r="E728" i="17"/>
  <c r="L728" i="17" s="1"/>
  <c r="AH533" i="17" l="1"/>
  <c r="AS533" i="17" s="1"/>
  <c r="AL533" i="17"/>
  <c r="AY533" i="17" s="1"/>
  <c r="BG494" i="17"/>
  <c r="BI494" i="17"/>
  <c r="W534" i="17"/>
  <c r="AA534" i="17" s="1"/>
  <c r="AK534" i="17" s="1"/>
  <c r="AR532" i="17"/>
  <c r="AD534" i="17"/>
  <c r="N728" i="17"/>
  <c r="AT533" i="17" l="1"/>
  <c r="AW533" i="17" s="1"/>
  <c r="AX533" i="17" s="1"/>
  <c r="AZ533" i="17" s="1"/>
  <c r="AU533" i="17"/>
  <c r="AV533" i="17" s="1"/>
  <c r="AM533" i="17"/>
  <c r="AN533" i="17" s="1"/>
  <c r="BO494" i="17"/>
  <c r="BP494" i="17" s="1"/>
  <c r="BN494" i="17"/>
  <c r="AF266" i="15" s="1"/>
  <c r="BC495" i="17"/>
  <c r="Y534" i="17"/>
  <c r="Z534" i="17" s="1"/>
  <c r="AE534" i="17"/>
  <c r="O728" i="17"/>
  <c r="M729" i="17"/>
  <c r="E729" i="17" s="1"/>
  <c r="L729" i="17" s="1"/>
  <c r="AO533" i="17" l="1"/>
  <c r="AP533" i="17" s="1"/>
  <c r="AB534" i="17"/>
  <c r="AF534" i="17" s="1"/>
  <c r="AG534" i="17" s="1"/>
  <c r="BD495" i="17"/>
  <c r="BE495" i="17" s="1"/>
  <c r="BF495" i="17" s="1"/>
  <c r="BH495" i="17"/>
  <c r="AL520" i="15"/>
  <c r="BQ494" i="17"/>
  <c r="U535" i="17"/>
  <c r="AC535" i="17" s="1"/>
  <c r="N729" i="17"/>
  <c r="P729" i="17"/>
  <c r="AL534" i="17" l="1"/>
  <c r="AY534" i="17" s="1"/>
  <c r="AH534" i="17"/>
  <c r="AS534" i="17" s="1"/>
  <c r="BG495" i="17"/>
  <c r="BI495" i="17"/>
  <c r="BK495" i="17"/>
  <c r="BL495" i="17" s="1"/>
  <c r="BM495" i="17" s="1"/>
  <c r="BJ495" i="17"/>
  <c r="AR533" i="17"/>
  <c r="AQ533" i="17"/>
  <c r="Q729" i="17"/>
  <c r="S729" i="17" s="1"/>
  <c r="O729" i="17"/>
  <c r="M730" i="17"/>
  <c r="E730" i="17" s="1"/>
  <c r="L730" i="17" s="1"/>
  <c r="AD535" i="17"/>
  <c r="W535" i="17"/>
  <c r="AM534" i="17" l="1"/>
  <c r="AN534" i="17" s="1"/>
  <c r="AT534" i="17"/>
  <c r="AW534" i="17" s="1"/>
  <c r="AX534" i="17" s="1"/>
  <c r="AZ534" i="17" s="1"/>
  <c r="AU534" i="17"/>
  <c r="AV534" i="17" s="1"/>
  <c r="BO495" i="17"/>
  <c r="BP495" i="17" s="1"/>
  <c r="BN495" i="17"/>
  <c r="AF269" i="15" s="1"/>
  <c r="N730" i="17"/>
  <c r="O730" i="17" s="1"/>
  <c r="BC496" i="17"/>
  <c r="BH496" i="17" s="1"/>
  <c r="AE535" i="17"/>
  <c r="AA535" i="17"/>
  <c r="AK535" i="17" s="1"/>
  <c r="Y535" i="17"/>
  <c r="AB535" i="17" s="1"/>
  <c r="P730" i="17"/>
  <c r="M731" i="17" l="1"/>
  <c r="E731" i="17" s="1"/>
  <c r="L731" i="17" s="1"/>
  <c r="N731" i="17" s="1"/>
  <c r="BD496" i="17"/>
  <c r="AL521" i="15"/>
  <c r="BQ495" i="17"/>
  <c r="AF535" i="17"/>
  <c r="AG535" i="17" s="1"/>
  <c r="AH535" i="17" s="1"/>
  <c r="AS535" i="17" s="1"/>
  <c r="AT535" i="17" s="1"/>
  <c r="AW535" i="17" s="1"/>
  <c r="AX535" i="17" s="1"/>
  <c r="AZ535" i="17" s="1"/>
  <c r="Q730" i="17"/>
  <c r="S730" i="17" s="1"/>
  <c r="Z535" i="17"/>
  <c r="AO534" i="17"/>
  <c r="AL535" i="17" l="1"/>
  <c r="AY535" i="17" s="1"/>
  <c r="AU535" i="17"/>
  <c r="AV535" i="17" s="1"/>
  <c r="BK496" i="17"/>
  <c r="BJ496" i="17"/>
  <c r="BE496" i="17"/>
  <c r="BF496" i="17" s="1"/>
  <c r="P731" i="17"/>
  <c r="O731" i="17"/>
  <c r="M732" i="17"/>
  <c r="AP534" i="17"/>
  <c r="AQ534" i="17" s="1"/>
  <c r="U536" i="17"/>
  <c r="AC536" i="17" s="1"/>
  <c r="AM535" i="17" l="1"/>
  <c r="AN535" i="17" s="1"/>
  <c r="AO535" i="17" s="1"/>
  <c r="W536" i="17"/>
  <c r="AA536" i="17" s="1"/>
  <c r="AK536" i="17" s="1"/>
  <c r="BG496" i="17"/>
  <c r="BI496" i="17"/>
  <c r="BL496" i="17"/>
  <c r="BM496" i="17" s="1"/>
  <c r="AR534" i="17"/>
  <c r="AD536" i="17"/>
  <c r="E732" i="17"/>
  <c r="L732" i="17" s="1"/>
  <c r="Q731" i="17"/>
  <c r="S731" i="17" s="1"/>
  <c r="Y536" i="17" l="1"/>
  <c r="AB536" i="17" s="1"/>
  <c r="BO496" i="17"/>
  <c r="BP496" i="17" s="1"/>
  <c r="BN496" i="17"/>
  <c r="AF274" i="15" s="1"/>
  <c r="BC497" i="17"/>
  <c r="P732" i="17"/>
  <c r="Q732" i="17" s="1"/>
  <c r="S732" i="17" s="1"/>
  <c r="N732" i="17"/>
  <c r="AP535" i="17"/>
  <c r="AE536" i="17"/>
  <c r="Z536" i="17"/>
  <c r="AR535" i="17" l="1"/>
  <c r="BD497" i="17"/>
  <c r="BH497" i="17"/>
  <c r="AL522" i="15"/>
  <c r="BQ496" i="17"/>
  <c r="M733" i="17"/>
  <c r="E733" i="17" s="1"/>
  <c r="L733" i="17" s="1"/>
  <c r="O732" i="17"/>
  <c r="AF536" i="17"/>
  <c r="AG536" i="17" s="1"/>
  <c r="U537" i="17"/>
  <c r="AC537" i="17" s="1"/>
  <c r="AQ535" i="17"/>
  <c r="N733" i="17" l="1"/>
  <c r="O733" i="17" s="1"/>
  <c r="AH536" i="17"/>
  <c r="AS536" i="17" s="1"/>
  <c r="AL536" i="17"/>
  <c r="BJ497" i="17"/>
  <c r="BK497" i="17"/>
  <c r="BL497" i="17" s="1"/>
  <c r="BM497" i="17" s="1"/>
  <c r="BE497" i="17"/>
  <c r="BF497" i="17" s="1"/>
  <c r="AD537" i="17"/>
  <c r="W537" i="17"/>
  <c r="AA537" i="17" s="1"/>
  <c r="AK537" i="17" s="1"/>
  <c r="P733" i="17"/>
  <c r="M734" i="17" l="1"/>
  <c r="E734" i="17" s="1"/>
  <c r="L734" i="17" s="1"/>
  <c r="N734" i="17" s="1"/>
  <c r="AY536" i="17"/>
  <c r="AM536" i="17"/>
  <c r="AN536" i="17" s="1"/>
  <c r="AO536" i="17" s="1"/>
  <c r="AP536" i="17" s="1"/>
  <c r="AU536" i="17"/>
  <c r="AV536" i="17" s="1"/>
  <c r="AT536" i="17"/>
  <c r="AW536" i="17" s="1"/>
  <c r="AX536" i="17" s="1"/>
  <c r="AZ536" i="17" s="1"/>
  <c r="BG497" i="17"/>
  <c r="BI497" i="17"/>
  <c r="Q733" i="17"/>
  <c r="S733" i="17" s="1"/>
  <c r="Y537" i="17"/>
  <c r="AB537" i="17" s="1"/>
  <c r="AE537" i="17"/>
  <c r="BO497" i="17" l="1"/>
  <c r="BP497" i="17" s="1"/>
  <c r="BN497" i="17"/>
  <c r="AF276" i="15" s="1"/>
  <c r="BC498" i="17"/>
  <c r="BD498" i="17" s="1"/>
  <c r="P734" i="17"/>
  <c r="Q734" i="17" s="1"/>
  <c r="S734" i="17" s="1"/>
  <c r="O734" i="17"/>
  <c r="M735" i="17"/>
  <c r="Z537" i="17"/>
  <c r="AR536" i="17"/>
  <c r="AF537" i="17"/>
  <c r="AG537" i="17" s="1"/>
  <c r="AQ536" i="17"/>
  <c r="AH537" i="17" l="1"/>
  <c r="AS537" i="17" s="1"/>
  <c r="AL537" i="17"/>
  <c r="AY537" i="17" s="1"/>
  <c r="BK498" i="17"/>
  <c r="BJ498" i="17"/>
  <c r="AL523" i="15"/>
  <c r="BQ497" i="17"/>
  <c r="BE498" i="17"/>
  <c r="BF498" i="17" s="1"/>
  <c r="BH498" i="17"/>
  <c r="P735" i="17"/>
  <c r="U538" i="17"/>
  <c r="AC538" i="17" s="1"/>
  <c r="E735" i="17"/>
  <c r="L735" i="17" s="1"/>
  <c r="AM537" i="17" l="1"/>
  <c r="AN537" i="17" s="1"/>
  <c r="AO537" i="17" s="1"/>
  <c r="AP537" i="17" s="1"/>
  <c r="AR537" i="17" s="1"/>
  <c r="AT537" i="17"/>
  <c r="AW537" i="17" s="1"/>
  <c r="AX537" i="17" s="1"/>
  <c r="AZ537" i="17" s="1"/>
  <c r="AU537" i="17"/>
  <c r="AV537" i="17" s="1"/>
  <c r="BG498" i="17"/>
  <c r="BI498" i="17"/>
  <c r="BL498" i="17"/>
  <c r="BM498" i="17" s="1"/>
  <c r="AD538" i="17"/>
  <c r="W538" i="17"/>
  <c r="AA538" i="17" s="1"/>
  <c r="AK538" i="17" s="1"/>
  <c r="N735" i="17"/>
  <c r="Q735" i="17"/>
  <c r="S735" i="17" s="1"/>
  <c r="BO498" i="17" l="1"/>
  <c r="BP498" i="17" s="1"/>
  <c r="AL524" i="15" s="1"/>
  <c r="BN498" i="17"/>
  <c r="BC499" i="17"/>
  <c r="Y538" i="17"/>
  <c r="AB538" i="17" s="1"/>
  <c r="AE538" i="17"/>
  <c r="M736" i="17"/>
  <c r="O735" i="17"/>
  <c r="AQ537" i="17"/>
  <c r="AF538" i="17" l="1"/>
  <c r="AG538" i="17" s="1"/>
  <c r="Z538" i="17"/>
  <c r="U539" i="17" s="1"/>
  <c r="AC539" i="17" s="1"/>
  <c r="BQ498" i="17"/>
  <c r="AF281" i="15"/>
  <c r="BD499" i="17"/>
  <c r="BH499" i="17"/>
  <c r="P736" i="17"/>
  <c r="Q736" i="17" s="1"/>
  <c r="S736" i="17" s="1"/>
  <c r="E736" i="17"/>
  <c r="L736" i="17" s="1"/>
  <c r="AH538" i="17" l="1"/>
  <c r="AS538" i="17" s="1"/>
  <c r="AL538" i="17"/>
  <c r="BJ499" i="17"/>
  <c r="BK499" i="17"/>
  <c r="BL499" i="17" s="1"/>
  <c r="BM499" i="17" s="1"/>
  <c r="BE499" i="17"/>
  <c r="BF499" i="17" s="1"/>
  <c r="N736" i="17"/>
  <c r="O736" i="17" s="1"/>
  <c r="W539" i="17"/>
  <c r="AA539" i="17" s="1"/>
  <c r="AK539" i="17" s="1"/>
  <c r="AD539" i="17"/>
  <c r="AY538" i="17" l="1"/>
  <c r="AM538" i="17"/>
  <c r="AN538" i="17" s="1"/>
  <c r="AO538" i="17" s="1"/>
  <c r="AP538" i="17" s="1"/>
  <c r="AR538" i="17" s="1"/>
  <c r="AT538" i="17"/>
  <c r="AW538" i="17" s="1"/>
  <c r="AX538" i="17" s="1"/>
  <c r="AZ538" i="17" s="1"/>
  <c r="AU538" i="17"/>
  <c r="AV538" i="17" s="1"/>
  <c r="Y539" i="17"/>
  <c r="AB539" i="17" s="1"/>
  <c r="BG499" i="17"/>
  <c r="BI499" i="17"/>
  <c r="AE539" i="17"/>
  <c r="Z539" i="17" l="1"/>
  <c r="U540" i="17" s="1"/>
  <c r="AC540" i="17" s="1"/>
  <c r="BO499" i="17"/>
  <c r="BP499" i="17" s="1"/>
  <c r="BN499" i="17"/>
  <c r="AF292" i="15" s="1"/>
  <c r="BC500" i="17"/>
  <c r="BH500" i="17" s="1"/>
  <c r="AQ538" i="17"/>
  <c r="AF539" i="17"/>
  <c r="AG539" i="17" s="1"/>
  <c r="AL539" i="17" s="1"/>
  <c r="AY539" i="17" s="1"/>
  <c r="AH539" i="17" l="1"/>
  <c r="AS539" i="17" s="1"/>
  <c r="AM539" i="17"/>
  <c r="AN539" i="17" s="1"/>
  <c r="BD500" i="17"/>
  <c r="BE500" i="17" s="1"/>
  <c r="BF500" i="17" s="1"/>
  <c r="AL525" i="15"/>
  <c r="BQ499" i="17"/>
  <c r="W540" i="17"/>
  <c r="AA540" i="17" s="1"/>
  <c r="AK540" i="17" s="1"/>
  <c r="AD540" i="17"/>
  <c r="AT539" i="17" l="1"/>
  <c r="AW539" i="17" s="1"/>
  <c r="AX539" i="17" s="1"/>
  <c r="AZ539" i="17" s="1"/>
  <c r="AU539" i="17"/>
  <c r="AV539" i="17" s="1"/>
  <c r="Y540" i="17"/>
  <c r="AB540" i="17" s="1"/>
  <c r="BG500" i="17"/>
  <c r="BI500" i="17"/>
  <c r="BK500" i="17"/>
  <c r="BL500" i="17" s="1"/>
  <c r="BM500" i="17" s="1"/>
  <c r="BJ500" i="17"/>
  <c r="AE540" i="17"/>
  <c r="AO539" i="17"/>
  <c r="Z540" i="17" l="1"/>
  <c r="U541" i="17" s="1"/>
  <c r="AC541" i="17" s="1"/>
  <c r="BO500" i="17"/>
  <c r="BP500" i="17" s="1"/>
  <c r="BN500" i="17"/>
  <c r="AF296" i="15" s="1"/>
  <c r="BC501" i="17"/>
  <c r="BH501" i="17" s="1"/>
  <c r="AF540" i="17"/>
  <c r="AG540" i="17" s="1"/>
  <c r="AL540" i="17" s="1"/>
  <c r="AY540" i="17" s="1"/>
  <c r="AP539" i="17"/>
  <c r="AQ539" i="17" s="1"/>
  <c r="AH540" i="17" l="1"/>
  <c r="AS540" i="17" s="1"/>
  <c r="BD501" i="17"/>
  <c r="BE501" i="17" s="1"/>
  <c r="AL526" i="15"/>
  <c r="BQ500" i="17"/>
  <c r="W541" i="17"/>
  <c r="AA541" i="17" s="1"/>
  <c r="AK541" i="17" s="1"/>
  <c r="AD541" i="17"/>
  <c r="AR539" i="17"/>
  <c r="AM540" i="17"/>
  <c r="AT540" i="17" l="1"/>
  <c r="AW540" i="17" s="1"/>
  <c r="AX540" i="17" s="1"/>
  <c r="AZ540" i="17" s="1"/>
  <c r="AU540" i="17"/>
  <c r="AV540" i="17" s="1"/>
  <c r="Y541" i="17"/>
  <c r="AB541" i="17" s="1"/>
  <c r="BF501" i="17"/>
  <c r="BG501" i="17" s="1"/>
  <c r="BJ501" i="17"/>
  <c r="BK501" i="17"/>
  <c r="BL501" i="17" s="1"/>
  <c r="BM501" i="17" s="1"/>
  <c r="AE541" i="17"/>
  <c r="AN540" i="17"/>
  <c r="AF541" i="17" l="1"/>
  <c r="AG541" i="17" s="1"/>
  <c r="Z541" i="17"/>
  <c r="U542" i="17" s="1"/>
  <c r="AC542" i="17" s="1"/>
  <c r="BI501" i="17"/>
  <c r="BN501" i="17" s="1"/>
  <c r="AF300" i="15" s="1"/>
  <c r="BC502" i="17"/>
  <c r="BD502" i="17" s="1"/>
  <c r="AO540" i="17"/>
  <c r="BO501" i="17" l="1"/>
  <c r="BP501" i="17" s="1"/>
  <c r="BQ501" i="17" s="1"/>
  <c r="AH541" i="17"/>
  <c r="AS541" i="17" s="1"/>
  <c r="AL541" i="17"/>
  <c r="BK502" i="17"/>
  <c r="BL502" i="17" s="1"/>
  <c r="BM502" i="17" s="1"/>
  <c r="BJ502" i="17"/>
  <c r="BE502" i="17"/>
  <c r="BF502" i="17" s="1"/>
  <c r="BH502" i="17"/>
  <c r="W542" i="17"/>
  <c r="AA542" i="17" s="1"/>
  <c r="AK542" i="17" s="1"/>
  <c r="AP540" i="17"/>
  <c r="AQ540" i="17" s="1"/>
  <c r="AD542" i="17"/>
  <c r="AL527" i="15" l="1"/>
  <c r="AY541" i="17"/>
  <c r="AM541" i="17"/>
  <c r="AN541" i="17" s="1"/>
  <c r="AO541" i="17" s="1"/>
  <c r="AP541" i="17" s="1"/>
  <c r="AT541" i="17"/>
  <c r="AW541" i="17" s="1"/>
  <c r="AX541" i="17" s="1"/>
  <c r="AZ541" i="17" s="1"/>
  <c r="AU541" i="17"/>
  <c r="AV541" i="17" s="1"/>
  <c r="Y542" i="17"/>
  <c r="AB542" i="17" s="1"/>
  <c r="BG502" i="17"/>
  <c r="BI502" i="17"/>
  <c r="AE542" i="17"/>
  <c r="AR540" i="17"/>
  <c r="AF542" i="17" l="1"/>
  <c r="AG542" i="17" s="1"/>
  <c r="BO502" i="17"/>
  <c r="BP502" i="17" s="1"/>
  <c r="BN502" i="17"/>
  <c r="AF304" i="15" s="1"/>
  <c r="BC503" i="17"/>
  <c r="BH503" i="17" s="1"/>
  <c r="Z542" i="17"/>
  <c r="U543" i="17" s="1"/>
  <c r="AC543" i="17" s="1"/>
  <c r="AR541" i="17"/>
  <c r="AQ541" i="17"/>
  <c r="AH542" i="17" l="1"/>
  <c r="AS542" i="17" s="1"/>
  <c r="AL542" i="17"/>
  <c r="AY542" i="17" s="1"/>
  <c r="AD543" i="17"/>
  <c r="AE543" i="17" s="1"/>
  <c r="W543" i="17"/>
  <c r="AA543" i="17" s="1"/>
  <c r="AK543" i="17" s="1"/>
  <c r="BD503" i="17"/>
  <c r="AL528" i="15"/>
  <c r="BQ502" i="17"/>
  <c r="AT542" i="17" l="1"/>
  <c r="AW542" i="17" s="1"/>
  <c r="AU542" i="17"/>
  <c r="AV542" i="17" s="1"/>
  <c r="AM542" i="17"/>
  <c r="AN542" i="17" s="1"/>
  <c r="AO542" i="17" s="1"/>
  <c r="BK503" i="17"/>
  <c r="BL503" i="17" s="1"/>
  <c r="BM503" i="17" s="1"/>
  <c r="BJ503" i="17"/>
  <c r="BE503" i="17"/>
  <c r="BF503" i="17" s="1"/>
  <c r="Y543" i="17"/>
  <c r="AB543" i="17" s="1"/>
  <c r="AX542" i="17" l="1"/>
  <c r="AZ542" i="17" s="1"/>
  <c r="BG503" i="17"/>
  <c r="BI503" i="17"/>
  <c r="Z543" i="17"/>
  <c r="AF543" i="17"/>
  <c r="AG543" i="17" s="1"/>
  <c r="AH543" i="17" s="1"/>
  <c r="AS543" i="17" s="1"/>
  <c r="AT543" i="17" s="1"/>
  <c r="AP542" i="17"/>
  <c r="AW543" i="17" l="1"/>
  <c r="AX543" i="17" s="1"/>
  <c r="AZ543" i="17" s="1"/>
  <c r="AL543" i="17"/>
  <c r="AM543" i="17" s="1"/>
  <c r="AU543" i="17"/>
  <c r="AV543" i="17" s="1"/>
  <c r="BO503" i="17"/>
  <c r="BP503" i="17" s="1"/>
  <c r="BN503" i="17"/>
  <c r="AF307" i="15" s="1"/>
  <c r="U544" i="17"/>
  <c r="AC544" i="17" s="1"/>
  <c r="BC504" i="17"/>
  <c r="AR542" i="17"/>
  <c r="AQ542" i="17"/>
  <c r="AY543" i="17" l="1"/>
  <c r="AL529" i="15"/>
  <c r="BQ503" i="17"/>
  <c r="W544" i="17"/>
  <c r="AN543" i="17"/>
  <c r="AO543" i="17" s="1"/>
  <c r="BH504" i="17"/>
  <c r="AD544" i="17"/>
  <c r="AE544" i="17" s="1"/>
  <c r="BD504" i="17"/>
  <c r="BE504" i="17" s="1"/>
  <c r="AP543" i="17" l="1"/>
  <c r="AR543" i="17" s="1"/>
  <c r="AA544" i="17"/>
  <c r="AK544" i="17" s="1"/>
  <c r="Y544" i="17"/>
  <c r="AB544" i="17" s="1"/>
  <c r="BK504" i="17"/>
  <c r="BL504" i="17" s="1"/>
  <c r="BM504" i="17" s="1"/>
  <c r="BJ504" i="17"/>
  <c r="BF504" i="17"/>
  <c r="AQ543" i="17" l="1"/>
  <c r="BG504" i="17"/>
  <c r="BI504" i="17"/>
  <c r="AF544" i="17"/>
  <c r="AG544" i="17" s="1"/>
  <c r="Z544" i="17"/>
  <c r="AH544" i="17" l="1"/>
  <c r="AS544" i="17" s="1"/>
  <c r="AL544" i="17"/>
  <c r="BO504" i="17"/>
  <c r="BP504" i="17" s="1"/>
  <c r="BN504" i="17"/>
  <c r="AF310" i="15" s="1"/>
  <c r="BC505" i="17"/>
  <c r="BH505" i="17" s="1"/>
  <c r="U545" i="17"/>
  <c r="AC545" i="17" s="1"/>
  <c r="AY544" i="17" l="1"/>
  <c r="AM544" i="17"/>
  <c r="AU544" i="17"/>
  <c r="AV544" i="17" s="1"/>
  <c r="AT544" i="17"/>
  <c r="AW544" i="17" s="1"/>
  <c r="AX544" i="17" s="1"/>
  <c r="AZ544" i="17" s="1"/>
  <c r="W545" i="17"/>
  <c r="AA545" i="17" s="1"/>
  <c r="AK545" i="17" s="1"/>
  <c r="BD505" i="17"/>
  <c r="AD545" i="17"/>
  <c r="AL530" i="15"/>
  <c r="BQ504" i="17"/>
  <c r="AN544" i="17" l="1"/>
  <c r="Y545" i="17"/>
  <c r="AB545" i="17" s="1"/>
  <c r="AE545" i="17"/>
  <c r="BK505" i="17"/>
  <c r="BL505" i="17" s="1"/>
  <c r="BM505" i="17" s="1"/>
  <c r="BJ505" i="17"/>
  <c r="BE505" i="17"/>
  <c r="BF505" i="17" s="1"/>
  <c r="Z545" i="17" l="1"/>
  <c r="U546" i="17" s="1"/>
  <c r="AC546" i="17" s="1"/>
  <c r="AF545" i="17"/>
  <c r="AG545" i="17" s="1"/>
  <c r="AO544" i="17"/>
  <c r="AP544" i="17" s="1"/>
  <c r="AQ544" i="17" s="1"/>
  <c r="BG505" i="17"/>
  <c r="BI505" i="17"/>
  <c r="AR544" i="17" l="1"/>
  <c r="AH545" i="17"/>
  <c r="AS545" i="17" s="1"/>
  <c r="AL545" i="17"/>
  <c r="AY545" i="17" s="1"/>
  <c r="AD546" i="17"/>
  <c r="BO505" i="17"/>
  <c r="BP505" i="17" s="1"/>
  <c r="BN505" i="17"/>
  <c r="AF313" i="15" s="1"/>
  <c r="W546" i="17"/>
  <c r="BC506" i="17"/>
  <c r="BH506" i="17" s="1"/>
  <c r="AM545" i="17" l="1"/>
  <c r="AN545" i="17" s="1"/>
  <c r="AO545" i="17" s="1"/>
  <c r="AP545" i="17" s="1"/>
  <c r="AT545" i="17"/>
  <c r="AW545" i="17" s="1"/>
  <c r="AX545" i="17" s="1"/>
  <c r="AZ545" i="17" s="1"/>
  <c r="AU545" i="17"/>
  <c r="AV545" i="17" s="1"/>
  <c r="BD506" i="17"/>
  <c r="BK506" i="17" s="1"/>
  <c r="BL506" i="17" s="1"/>
  <c r="BM506" i="17" s="1"/>
  <c r="AL531" i="15"/>
  <c r="BQ505" i="17"/>
  <c r="AA546" i="17"/>
  <c r="AK546" i="17" s="1"/>
  <c r="Y546" i="17"/>
  <c r="AB546" i="17" s="1"/>
  <c r="AE546" i="17"/>
  <c r="AR545" i="17" l="1"/>
  <c r="AQ545" i="17"/>
  <c r="BE506" i="17"/>
  <c r="BF506" i="17" s="1"/>
  <c r="BI506" i="17" s="1"/>
  <c r="BJ506" i="17"/>
  <c r="AF546" i="17"/>
  <c r="AG546" i="17" s="1"/>
  <c r="Z546" i="17"/>
  <c r="BG506" i="17" l="1"/>
  <c r="BC507" i="17" s="1"/>
  <c r="BH507" i="17" s="1"/>
  <c r="AH546" i="17"/>
  <c r="AS546" i="17" s="1"/>
  <c r="AL546" i="17"/>
  <c r="AY546" i="17" s="1"/>
  <c r="U547" i="17"/>
  <c r="AC547" i="17" s="1"/>
  <c r="BO506" i="17"/>
  <c r="BP506" i="17" s="1"/>
  <c r="BN506" i="17"/>
  <c r="AF317" i="15" s="1"/>
  <c r="AM546" i="17" l="1"/>
  <c r="AN546" i="17" s="1"/>
  <c r="AO546" i="17" s="1"/>
  <c r="AP546" i="17" s="1"/>
  <c r="AR546" i="17" s="1"/>
  <c r="AT546" i="17"/>
  <c r="AW546" i="17" s="1"/>
  <c r="AX546" i="17" s="1"/>
  <c r="AZ546" i="17" s="1"/>
  <c r="AU546" i="17"/>
  <c r="AV546" i="17" s="1"/>
  <c r="BD507" i="17"/>
  <c r="W547" i="17"/>
  <c r="AL532" i="15"/>
  <c r="BQ506" i="17"/>
  <c r="AD547" i="17"/>
  <c r="AE547" i="17" l="1"/>
  <c r="AA547" i="17"/>
  <c r="AK547" i="17" s="1"/>
  <c r="Y547" i="17"/>
  <c r="AB547" i="17" s="1"/>
  <c r="BK507" i="17"/>
  <c r="BJ507" i="17"/>
  <c r="BE507" i="17"/>
  <c r="BF507" i="17" s="1"/>
  <c r="AQ546" i="17"/>
  <c r="Z547" i="17" l="1"/>
  <c r="U548" i="17" s="1"/>
  <c r="AC548" i="17" s="1"/>
  <c r="BG507" i="17"/>
  <c r="BI507" i="17"/>
  <c r="BL507" i="17"/>
  <c r="BM507" i="17" s="1"/>
  <c r="AF547" i="17"/>
  <c r="AG547" i="17" s="1"/>
  <c r="AL547" i="17" s="1"/>
  <c r="AH547" i="17" l="1"/>
  <c r="AS547" i="17" s="1"/>
  <c r="BO507" i="17"/>
  <c r="BP507" i="17" s="1"/>
  <c r="BN507" i="17"/>
  <c r="AF320" i="15" s="1"/>
  <c r="W548" i="17"/>
  <c r="BC508" i="17"/>
  <c r="AD548" i="17"/>
  <c r="AY547" i="17"/>
  <c r="AM547" i="17"/>
  <c r="AN547" i="17" s="1"/>
  <c r="AT547" i="17" l="1"/>
  <c r="AW547" i="17" s="1"/>
  <c r="AX547" i="17" s="1"/>
  <c r="AZ547" i="17" s="1"/>
  <c r="AU547" i="17"/>
  <c r="AV547" i="17" s="1"/>
  <c r="AA548" i="17"/>
  <c r="AK548" i="17" s="1"/>
  <c r="Y548" i="17"/>
  <c r="AO547" i="17"/>
  <c r="BD508" i="17"/>
  <c r="BE508" i="17" s="1"/>
  <c r="BF508" i="17" s="1"/>
  <c r="BH508" i="17"/>
  <c r="AE548" i="17"/>
  <c r="AL533" i="15"/>
  <c r="BQ507" i="17"/>
  <c r="BG508" i="17" l="1"/>
  <c r="BI508" i="17"/>
  <c r="AB548" i="17"/>
  <c r="Z548" i="17"/>
  <c r="BJ508" i="17"/>
  <c r="BK508" i="17"/>
  <c r="AP547" i="17"/>
  <c r="AQ547" i="17" s="1"/>
  <c r="BL508" i="17" l="1"/>
  <c r="BM508" i="17" s="1"/>
  <c r="BO508" i="17"/>
  <c r="BP508" i="17" s="1"/>
  <c r="U549" i="17"/>
  <c r="AC549" i="17" s="1"/>
  <c r="AR547" i="17"/>
  <c r="AF548" i="17"/>
  <c r="AG548" i="17" s="1"/>
  <c r="BC509" i="17"/>
  <c r="BH509" i="17" s="1"/>
  <c r="AH548" i="17" l="1"/>
  <c r="AS548" i="17" s="1"/>
  <c r="AL548" i="17"/>
  <c r="AY548" i="17" s="1"/>
  <c r="W549" i="17"/>
  <c r="AA549" i="17" s="1"/>
  <c r="AK549" i="17" s="1"/>
  <c r="BN508" i="17"/>
  <c r="AF322" i="15" s="1"/>
  <c r="BD509" i="17"/>
  <c r="BJ509" i="17" s="1"/>
  <c r="AL534" i="15"/>
  <c r="AD549" i="17"/>
  <c r="AM548" i="17" l="1"/>
  <c r="AT548" i="17"/>
  <c r="AW548" i="17" s="1"/>
  <c r="AX548" i="17" s="1"/>
  <c r="AZ548" i="17" s="1"/>
  <c r="AU548" i="17"/>
  <c r="AV548" i="17" s="1"/>
  <c r="Y549" i="17"/>
  <c r="Z549" i="17" s="1"/>
  <c r="BE509" i="17"/>
  <c r="BF509" i="17" s="1"/>
  <c r="BG509" i="17" s="1"/>
  <c r="BQ508" i="17"/>
  <c r="BK509" i="17"/>
  <c r="BL509" i="17" s="1"/>
  <c r="BM509" i="17" s="1"/>
  <c r="AE549" i="17"/>
  <c r="AN548" i="17"/>
  <c r="AO548" i="17" s="1"/>
  <c r="AP548" i="17" s="1"/>
  <c r="AB549" i="17" l="1"/>
  <c r="AF549" i="17" s="1"/>
  <c r="AG549" i="17" s="1"/>
  <c r="AL549" i="17" s="1"/>
  <c r="AY549" i="17" s="1"/>
  <c r="BI509" i="17"/>
  <c r="BN509" i="17" s="1"/>
  <c r="AF326" i="15" s="1"/>
  <c r="BC510" i="17"/>
  <c r="BH510" i="17" s="1"/>
  <c r="U550" i="17"/>
  <c r="AC550" i="17" s="1"/>
  <c r="AQ548" i="17"/>
  <c r="AR548" i="17"/>
  <c r="BO509" i="17" l="1"/>
  <c r="BP509" i="17" s="1"/>
  <c r="AL535" i="15" s="1"/>
  <c r="AM549" i="17"/>
  <c r="AN549" i="17" s="1"/>
  <c r="AH549" i="17"/>
  <c r="AS549" i="17" s="1"/>
  <c r="W550" i="17"/>
  <c r="AA550" i="17" s="1"/>
  <c r="AK550" i="17" s="1"/>
  <c r="BD510" i="17"/>
  <c r="BK510" i="17" s="1"/>
  <c r="BL510" i="17" s="1"/>
  <c r="BM510" i="17" s="1"/>
  <c r="AD550" i="17"/>
  <c r="BQ509" i="17" l="1"/>
  <c r="Y550" i="17"/>
  <c r="AB550" i="17" s="1"/>
  <c r="AT549" i="17"/>
  <c r="AW549" i="17" s="1"/>
  <c r="AX549" i="17" s="1"/>
  <c r="AZ549" i="17" s="1"/>
  <c r="AU549" i="17"/>
  <c r="AV549" i="17" s="1"/>
  <c r="BJ510" i="17"/>
  <c r="BE510" i="17"/>
  <c r="BF510" i="17" s="1"/>
  <c r="BI510" i="17" s="1"/>
  <c r="AE550" i="17"/>
  <c r="AO549" i="17"/>
  <c r="AF550" i="17" l="1"/>
  <c r="AG550" i="17" s="1"/>
  <c r="AH550" i="17" s="1"/>
  <c r="AS550" i="17" s="1"/>
  <c r="AT550" i="17" s="1"/>
  <c r="AW550" i="17" s="1"/>
  <c r="AX550" i="17" s="1"/>
  <c r="AZ550" i="17" s="1"/>
  <c r="Z550" i="17"/>
  <c r="U551" i="17" s="1"/>
  <c r="W551" i="17" s="1"/>
  <c r="BG510" i="17"/>
  <c r="BC511" i="17" s="1"/>
  <c r="AP549" i="17"/>
  <c r="BO510" i="17"/>
  <c r="BP510" i="17" s="1"/>
  <c r="BN510" i="17"/>
  <c r="AF333" i="15" s="1"/>
  <c r="AL550" i="17" l="1"/>
  <c r="AY550" i="17" s="1"/>
  <c r="AU550" i="17"/>
  <c r="AV550" i="17" s="1"/>
  <c r="AA551" i="17"/>
  <c r="AK551" i="17" s="1"/>
  <c r="Y551" i="17"/>
  <c r="AB551" i="17" s="1"/>
  <c r="AL536" i="15"/>
  <c r="BQ510" i="17"/>
  <c r="AR549" i="17"/>
  <c r="AC551" i="17"/>
  <c r="AQ549" i="17"/>
  <c r="BD511" i="17"/>
  <c r="BH511" i="17"/>
  <c r="AM550" i="17" l="1"/>
  <c r="AN550" i="17" s="1"/>
  <c r="AD551" i="17"/>
  <c r="BK511" i="17"/>
  <c r="BL511" i="17" s="1"/>
  <c r="BM511" i="17" s="1"/>
  <c r="BJ511" i="17"/>
  <c r="BE511" i="17"/>
  <c r="BF511" i="17" s="1"/>
  <c r="Z551" i="17"/>
  <c r="AO550" i="17" l="1"/>
  <c r="AP550" i="17" s="1"/>
  <c r="AQ550" i="17" s="1"/>
  <c r="BG511" i="17"/>
  <c r="BI511" i="17"/>
  <c r="U552" i="17"/>
  <c r="AC552" i="17" s="1"/>
  <c r="AE551" i="17"/>
  <c r="AF551" i="17" s="1"/>
  <c r="AG551" i="17" s="1"/>
  <c r="AR550" i="17" l="1"/>
  <c r="AH551" i="17"/>
  <c r="AS551" i="17" s="1"/>
  <c r="AL551" i="17"/>
  <c r="AY551" i="17" s="1"/>
  <c r="W552" i="17"/>
  <c r="AA552" i="17" s="1"/>
  <c r="AK552" i="17" s="1"/>
  <c r="AD552" i="17"/>
  <c r="AE552" i="17" s="1"/>
  <c r="BO511" i="17"/>
  <c r="BP511" i="17" s="1"/>
  <c r="BN511" i="17"/>
  <c r="AF338" i="15" s="1"/>
  <c r="BC512" i="17"/>
  <c r="AM551" i="17" l="1"/>
  <c r="AN551" i="17" s="1"/>
  <c r="AO551" i="17" s="1"/>
  <c r="AP551" i="17" s="1"/>
  <c r="AU551" i="17"/>
  <c r="AV551" i="17" s="1"/>
  <c r="AT551" i="17"/>
  <c r="AW551" i="17" s="1"/>
  <c r="Y552" i="17"/>
  <c r="AB552" i="17" s="1"/>
  <c r="AF552" i="17" s="1"/>
  <c r="AG552" i="17" s="1"/>
  <c r="BH512" i="17"/>
  <c r="AL537" i="15"/>
  <c r="BQ511" i="17"/>
  <c r="BD512" i="17"/>
  <c r="AH552" i="17" l="1"/>
  <c r="AS552" i="17" s="1"/>
  <c r="AL552" i="17"/>
  <c r="AY552" i="17" s="1"/>
  <c r="Z552" i="17"/>
  <c r="U553" i="17" s="1"/>
  <c r="AX551" i="17"/>
  <c r="AZ551" i="17" s="1"/>
  <c r="BE512" i="17"/>
  <c r="BF512" i="17" s="1"/>
  <c r="AR551" i="17"/>
  <c r="BK512" i="17"/>
  <c r="BL512" i="17" s="1"/>
  <c r="BM512" i="17" s="1"/>
  <c r="BJ512" i="17"/>
  <c r="AQ551" i="17"/>
  <c r="AM552" i="17" l="1"/>
  <c r="AN552" i="17" s="1"/>
  <c r="AO552" i="17" s="1"/>
  <c r="AT552" i="17"/>
  <c r="AW552" i="17" s="1"/>
  <c r="AX552" i="17" s="1"/>
  <c r="AZ552" i="17" s="1"/>
  <c r="AU552" i="17"/>
  <c r="AV552" i="17" s="1"/>
  <c r="BG512" i="17"/>
  <c r="BI512" i="17"/>
  <c r="AC553" i="17"/>
  <c r="W553" i="17"/>
  <c r="AA553" i="17" s="1"/>
  <c r="AK553" i="17" s="1"/>
  <c r="AP552" i="17" l="1"/>
  <c r="AQ552" i="17" s="1"/>
  <c r="Y553" i="17"/>
  <c r="AB553" i="17" s="1"/>
  <c r="AD553" i="17"/>
  <c r="AE553" i="17" s="1"/>
  <c r="BO512" i="17"/>
  <c r="BP512" i="17" s="1"/>
  <c r="BN512" i="17"/>
  <c r="AF344" i="15" s="1"/>
  <c r="BC513" i="17"/>
  <c r="AR552" i="17" l="1"/>
  <c r="AF553" i="17"/>
  <c r="AG553" i="17" s="1"/>
  <c r="BD513" i="17"/>
  <c r="BH513" i="17"/>
  <c r="AL538" i="15"/>
  <c r="BQ512" i="17"/>
  <c r="Z553" i="17"/>
  <c r="AH553" i="17" l="1"/>
  <c r="AS553" i="17" s="1"/>
  <c r="AL553" i="17"/>
  <c r="AM553" i="17" s="1"/>
  <c r="BK513" i="17"/>
  <c r="BL513" i="17" s="1"/>
  <c r="BM513" i="17" s="1"/>
  <c r="BJ513" i="17"/>
  <c r="BE513" i="17"/>
  <c r="BF513" i="17" s="1"/>
  <c r="U554" i="17"/>
  <c r="AY553" i="17" l="1"/>
  <c r="AU553" i="17"/>
  <c r="AV553" i="17" s="1"/>
  <c r="AT553" i="17"/>
  <c r="AW553" i="17" s="1"/>
  <c r="AX553" i="17" s="1"/>
  <c r="AZ553" i="17" s="1"/>
  <c r="AC554" i="17"/>
  <c r="BG513" i="17"/>
  <c r="BI513" i="17"/>
  <c r="AN553" i="17"/>
  <c r="AO553" i="17" s="1"/>
  <c r="AP553" i="17" s="1"/>
  <c r="AQ553" i="17" s="1"/>
  <c r="W554" i="17"/>
  <c r="AA554" i="17" s="1"/>
  <c r="AK554" i="17" s="1"/>
  <c r="AR553" i="17" l="1"/>
  <c r="BO513" i="17"/>
  <c r="BP513" i="17" s="1"/>
  <c r="BN513" i="17"/>
  <c r="AF346" i="15" s="1"/>
  <c r="BC514" i="17"/>
  <c r="BH514" i="17" s="1"/>
  <c r="Y554" i="17"/>
  <c r="AB554" i="17" s="1"/>
  <c r="AD554" i="17"/>
  <c r="AE554" i="17" s="1"/>
  <c r="AF554" i="17" l="1"/>
  <c r="AG554" i="17" s="1"/>
  <c r="AL539" i="15"/>
  <c r="BQ513" i="17"/>
  <c r="BD514" i="17"/>
  <c r="Z554" i="17"/>
  <c r="AH554" i="17" l="1"/>
  <c r="AS554" i="17" s="1"/>
  <c r="AL554" i="17"/>
  <c r="AM554" i="17" s="1"/>
  <c r="BK514" i="17"/>
  <c r="BL514" i="17" s="1"/>
  <c r="BM514" i="17" s="1"/>
  <c r="BJ514" i="17"/>
  <c r="BE514" i="17"/>
  <c r="BF514" i="17" s="1"/>
  <c r="U555" i="17"/>
  <c r="AC555" i="17" s="1"/>
  <c r="AY554" i="17" l="1"/>
  <c r="AU554" i="17"/>
  <c r="AV554" i="17" s="1"/>
  <c r="AT554" i="17"/>
  <c r="AW554" i="17" s="1"/>
  <c r="AX554" i="17" s="1"/>
  <c r="AZ554" i="17" s="1"/>
  <c r="W555" i="17"/>
  <c r="AA555" i="17" s="1"/>
  <c r="AK555" i="17" s="1"/>
  <c r="BG514" i="17"/>
  <c r="BI514" i="17"/>
  <c r="AN554" i="17"/>
  <c r="AO554" i="17" s="1"/>
  <c r="AD555" i="17"/>
  <c r="Y555" i="17" l="1"/>
  <c r="AB555" i="17" s="1"/>
  <c r="BO514" i="17"/>
  <c r="BP514" i="17" s="1"/>
  <c r="BN514" i="17"/>
  <c r="AF348" i="15" s="1"/>
  <c r="BC515" i="17"/>
  <c r="BH515" i="17" s="1"/>
  <c r="AP554" i="17"/>
  <c r="AQ554" i="17" s="1"/>
  <c r="AE555" i="17"/>
  <c r="AF555" i="17" l="1"/>
  <c r="AG555" i="17" s="1"/>
  <c r="AH555" i="17" s="1"/>
  <c r="Z555" i="17"/>
  <c r="AR554" i="17"/>
  <c r="BD515" i="17"/>
  <c r="AL540" i="15"/>
  <c r="BQ514" i="17"/>
  <c r="AS555" i="17" l="1"/>
  <c r="AU555" i="17" s="1"/>
  <c r="AV555" i="17" s="1"/>
  <c r="AL555" i="17"/>
  <c r="AY555" i="17" s="1"/>
  <c r="U556" i="17"/>
  <c r="AC556" i="17" s="1"/>
  <c r="BK515" i="17"/>
  <c r="BL515" i="17" s="1"/>
  <c r="BM515" i="17" s="1"/>
  <c r="BJ515" i="17"/>
  <c r="BE515" i="17"/>
  <c r="BF515" i="17" s="1"/>
  <c r="AT555" i="17" l="1"/>
  <c r="AW555" i="17" s="1"/>
  <c r="AX555" i="17" s="1"/>
  <c r="AZ555" i="17" s="1"/>
  <c r="AM555" i="17"/>
  <c r="AN555" i="17" s="1"/>
  <c r="AO555" i="17" s="1"/>
  <c r="AP555" i="17" s="1"/>
  <c r="AR555" i="17" s="1"/>
  <c r="W556" i="17"/>
  <c r="AA556" i="17" s="1"/>
  <c r="AK556" i="17" s="1"/>
  <c r="AD556" i="17"/>
  <c r="AE556" i="17" s="1"/>
  <c r="BG515" i="17"/>
  <c r="BI515" i="17"/>
  <c r="AQ555" i="17" l="1"/>
  <c r="Y556" i="17"/>
  <c r="AB556" i="17" s="1"/>
  <c r="AF556" i="17" s="1"/>
  <c r="AG556" i="17" s="1"/>
  <c r="BC516" i="17"/>
  <c r="BH516" i="17" s="1"/>
  <c r="BO515" i="17"/>
  <c r="BP515" i="17" s="1"/>
  <c r="BN515" i="17"/>
  <c r="AF350" i="15" s="1"/>
  <c r="Z556" i="17" l="1"/>
  <c r="U557" i="17" s="1"/>
  <c r="AC557" i="17" s="1"/>
  <c r="AD557" i="17" s="1"/>
  <c r="AE557" i="17" s="1"/>
  <c r="AH556" i="17"/>
  <c r="AS556" i="17" s="1"/>
  <c r="AL556" i="17"/>
  <c r="AY556" i="17" s="1"/>
  <c r="BD516" i="17"/>
  <c r="BE516" i="17" s="1"/>
  <c r="BF516" i="17" s="1"/>
  <c r="BG516" i="17" s="1"/>
  <c r="AL541" i="15"/>
  <c r="BQ515" i="17"/>
  <c r="AM556" i="17" l="1"/>
  <c r="AN556" i="17" s="1"/>
  <c r="W557" i="17"/>
  <c r="Y557" i="17" s="1"/>
  <c r="BJ516" i="17"/>
  <c r="BI516" i="17"/>
  <c r="BO516" i="17" s="1"/>
  <c r="BP516" i="17" s="1"/>
  <c r="BK516" i="17"/>
  <c r="BL516" i="17" s="1"/>
  <c r="BM516" i="17" s="1"/>
  <c r="AU556" i="17"/>
  <c r="AV556" i="17" s="1"/>
  <c r="AT556" i="17"/>
  <c r="AW556" i="17" s="1"/>
  <c r="AX556" i="17" s="1"/>
  <c r="AZ556" i="17" s="1"/>
  <c r="BC517" i="17"/>
  <c r="BH517" i="17" s="1"/>
  <c r="AA557" i="17" l="1"/>
  <c r="AK557" i="17" s="1"/>
  <c r="BN516" i="17"/>
  <c r="AF353" i="15" s="1"/>
  <c r="AO556" i="17"/>
  <c r="AP556" i="17" s="1"/>
  <c r="AR556" i="17" s="1"/>
  <c r="AB557" i="17"/>
  <c r="Z557" i="17"/>
  <c r="BD517" i="17"/>
  <c r="BE517" i="17" s="1"/>
  <c r="BF517" i="17" s="1"/>
  <c r="BG517" i="17" s="1"/>
  <c r="AL542" i="15"/>
  <c r="AQ556" i="17" l="1"/>
  <c r="BQ516" i="17"/>
  <c r="BI517" i="17"/>
  <c r="BO517" i="17" s="1"/>
  <c r="BP517" i="17" s="1"/>
  <c r="BJ517" i="17"/>
  <c r="U558" i="17"/>
  <c r="BK517" i="17"/>
  <c r="BL517" i="17" s="1"/>
  <c r="BM517" i="17" s="1"/>
  <c r="AF557" i="17"/>
  <c r="AG557" i="17" s="1"/>
  <c r="BC518" i="17"/>
  <c r="BN517" i="17" l="1"/>
  <c r="AF355" i="15" s="1"/>
  <c r="AH557" i="17"/>
  <c r="AS557" i="17" s="1"/>
  <c r="AL557" i="17"/>
  <c r="AY557" i="17" s="1"/>
  <c r="W558" i="17"/>
  <c r="AA558" i="17" s="1"/>
  <c r="AK558" i="17" s="1"/>
  <c r="AC558" i="17"/>
  <c r="BD518" i="17"/>
  <c r="BE518" i="17" s="1"/>
  <c r="BF518" i="17" s="1"/>
  <c r="BH518" i="17"/>
  <c r="AL543" i="15"/>
  <c r="BQ517" i="17" l="1"/>
  <c r="AM557" i="17"/>
  <c r="AN557" i="17" s="1"/>
  <c r="AO557" i="17" s="1"/>
  <c r="AP557" i="17" s="1"/>
  <c r="AR557" i="17" s="1"/>
  <c r="AT557" i="17"/>
  <c r="AW557" i="17" s="1"/>
  <c r="AX557" i="17" s="1"/>
  <c r="AZ557" i="17" s="1"/>
  <c r="AU557" i="17"/>
  <c r="AV557" i="17" s="1"/>
  <c r="AD558" i="17"/>
  <c r="AE558" i="17" s="1"/>
  <c r="Y558" i="17"/>
  <c r="BG518" i="17"/>
  <c r="BI518" i="17"/>
  <c r="BK518" i="17"/>
  <c r="BL518" i="17" s="1"/>
  <c r="BM518" i="17" s="1"/>
  <c r="BJ518" i="17"/>
  <c r="AB558" i="17" l="1"/>
  <c r="Z558" i="17"/>
  <c r="AQ557" i="17"/>
  <c r="BO518" i="17"/>
  <c r="BP518" i="17" s="1"/>
  <c r="BN518" i="17"/>
  <c r="AF358" i="15" s="1"/>
  <c r="BC519" i="17"/>
  <c r="BH519" i="17" s="1"/>
  <c r="U559" i="17" l="1"/>
  <c r="AC559" i="17" s="1"/>
  <c r="AF558" i="17"/>
  <c r="AG558" i="17" s="1"/>
  <c r="BD519" i="17"/>
  <c r="BE519" i="17" s="1"/>
  <c r="BF519" i="17" s="1"/>
  <c r="AL544" i="15"/>
  <c r="BQ518" i="17"/>
  <c r="W559" i="17" l="1"/>
  <c r="AA559" i="17" s="1"/>
  <c r="AK559" i="17" s="1"/>
  <c r="AH558" i="17"/>
  <c r="AS558" i="17" s="1"/>
  <c r="AL558" i="17"/>
  <c r="AY558" i="17" s="1"/>
  <c r="AD559" i="17"/>
  <c r="AE559" i="17" s="1"/>
  <c r="BG519" i="17"/>
  <c r="BI519" i="17"/>
  <c r="BK519" i="17"/>
  <c r="BL519" i="17" s="1"/>
  <c r="BM519" i="17" s="1"/>
  <c r="BJ519" i="17"/>
  <c r="Y559" i="17" l="1"/>
  <c r="AB559" i="17" s="1"/>
  <c r="AF559" i="17" s="1"/>
  <c r="AG559" i="17" s="1"/>
  <c r="AH559" i="17" s="1"/>
  <c r="AS559" i="17" s="1"/>
  <c r="AT559" i="17" s="1"/>
  <c r="AM558" i="17"/>
  <c r="AN558" i="17" s="1"/>
  <c r="AO558" i="17" s="1"/>
  <c r="AP558" i="17" s="1"/>
  <c r="AQ558" i="17" s="1"/>
  <c r="AT558" i="17"/>
  <c r="AW558" i="17" s="1"/>
  <c r="AX558" i="17" s="1"/>
  <c r="AZ558" i="17" s="1"/>
  <c r="AU558" i="17"/>
  <c r="AV558" i="17" s="1"/>
  <c r="BO519" i="17"/>
  <c r="BP519" i="17" s="1"/>
  <c r="BN519" i="17"/>
  <c r="AF364" i="15" s="1"/>
  <c r="BC520" i="17"/>
  <c r="AR558" i="17" l="1"/>
  <c r="AL559" i="17"/>
  <c r="AY559" i="17" s="1"/>
  <c r="AU559" i="17"/>
  <c r="AV559" i="17" s="1"/>
  <c r="Z559" i="17"/>
  <c r="AW559" i="17"/>
  <c r="AX559" i="17" s="1"/>
  <c r="AZ559" i="17" s="1"/>
  <c r="BD520" i="17"/>
  <c r="BE520" i="17" s="1"/>
  <c r="BF520" i="17" s="1"/>
  <c r="BH520" i="17"/>
  <c r="AL545" i="15"/>
  <c r="BQ519" i="17"/>
  <c r="AM559" i="17" l="1"/>
  <c r="AN559" i="17" s="1"/>
  <c r="AO559" i="17" s="1"/>
  <c r="AP559" i="17" s="1"/>
  <c r="U560" i="17"/>
  <c r="BG520" i="17"/>
  <c r="BI520" i="17"/>
  <c r="BK520" i="17"/>
  <c r="BL520" i="17" s="1"/>
  <c r="BM520" i="17" s="1"/>
  <c r="BJ520" i="17"/>
  <c r="AR559" i="17" l="1"/>
  <c r="AQ559" i="17"/>
  <c r="AC560" i="17"/>
  <c r="AD560" i="17" s="1"/>
  <c r="AE560" i="17" s="1"/>
  <c r="W560" i="17"/>
  <c r="AA560" i="17" s="1"/>
  <c r="AK560" i="17" s="1"/>
  <c r="BO520" i="17"/>
  <c r="BP520" i="17" s="1"/>
  <c r="BN520" i="17"/>
  <c r="AF368" i="15" s="1"/>
  <c r="BC521" i="17"/>
  <c r="BH521" i="17" s="1"/>
  <c r="Y560" i="17" l="1"/>
  <c r="AB560" i="17" s="1"/>
  <c r="AF560" i="17" s="1"/>
  <c r="AG560" i="17" s="1"/>
  <c r="BD521" i="17"/>
  <c r="AL546" i="15"/>
  <c r="BQ520" i="17"/>
  <c r="Z560" i="17" l="1"/>
  <c r="U561" i="17" s="1"/>
  <c r="AC561" i="17" s="1"/>
  <c r="AD561" i="17" s="1"/>
  <c r="AE561" i="17" s="1"/>
  <c r="AH560" i="17"/>
  <c r="AS560" i="17" s="1"/>
  <c r="AL560" i="17"/>
  <c r="AY560" i="17" s="1"/>
  <c r="BK521" i="17"/>
  <c r="BL521" i="17" s="1"/>
  <c r="BM521" i="17" s="1"/>
  <c r="BJ521" i="17"/>
  <c r="BE521" i="17"/>
  <c r="BF521" i="17" s="1"/>
  <c r="AU560" i="17" l="1"/>
  <c r="AV560" i="17" s="1"/>
  <c r="AT560" i="17"/>
  <c r="AW560" i="17" s="1"/>
  <c r="AX560" i="17" s="1"/>
  <c r="AZ560" i="17" s="1"/>
  <c r="AM560" i="17"/>
  <c r="AN560" i="17" s="1"/>
  <c r="AO560" i="17" s="1"/>
  <c r="W561" i="17"/>
  <c r="BG521" i="17"/>
  <c r="BI521" i="17"/>
  <c r="AA561" i="17" l="1"/>
  <c r="AK561" i="17" s="1"/>
  <c r="Y561" i="17"/>
  <c r="AB561" i="17" s="1"/>
  <c r="AF561" i="17" s="1"/>
  <c r="AG561" i="17" s="1"/>
  <c r="AH561" i="17" s="1"/>
  <c r="AS561" i="17" s="1"/>
  <c r="AP560" i="17"/>
  <c r="AR560" i="17" s="1"/>
  <c r="BO521" i="17"/>
  <c r="BP521" i="17" s="1"/>
  <c r="BN521" i="17"/>
  <c r="AF370" i="15" s="1"/>
  <c r="BC522" i="17"/>
  <c r="AL561" i="17" l="1"/>
  <c r="AY561" i="17" s="1"/>
  <c r="Z561" i="17"/>
  <c r="AQ560" i="17"/>
  <c r="AU561" i="17"/>
  <c r="AV561" i="17" s="1"/>
  <c r="AT561" i="17"/>
  <c r="AW561" i="17" s="1"/>
  <c r="AX561" i="17" s="1"/>
  <c r="AZ561" i="17" s="1"/>
  <c r="BD522" i="17"/>
  <c r="BH522" i="17"/>
  <c r="AL547" i="15"/>
  <c r="BQ521" i="17"/>
  <c r="AM561" i="17" l="1"/>
  <c r="AN561" i="17" s="1"/>
  <c r="AO561" i="17" s="1"/>
  <c r="AP561" i="17" s="1"/>
  <c r="AQ561" i="17" s="1"/>
  <c r="U562" i="17"/>
  <c r="BK522" i="17"/>
  <c r="BL522" i="17" s="1"/>
  <c r="BM522" i="17" s="1"/>
  <c r="BJ522" i="17"/>
  <c r="BE522" i="17"/>
  <c r="BF522" i="17" s="1"/>
  <c r="AC562" i="17" l="1"/>
  <c r="AD562" i="17" s="1"/>
  <c r="AE562" i="17" s="1"/>
  <c r="AR561" i="17"/>
  <c r="W562" i="17"/>
  <c r="AA562" i="17" s="1"/>
  <c r="AK562" i="17" s="1"/>
  <c r="BG522" i="17"/>
  <c r="BI522" i="17"/>
  <c r="Y562" i="17" l="1"/>
  <c r="AB562" i="17" s="1"/>
  <c r="AF562" i="17" s="1"/>
  <c r="AG562" i="17" s="1"/>
  <c r="AH562" i="17" s="1"/>
  <c r="AS562" i="17" s="1"/>
  <c r="AT562" i="17" s="1"/>
  <c r="AW562" i="17" s="1"/>
  <c r="AX562" i="17" s="1"/>
  <c r="AZ562" i="17" s="1"/>
  <c r="BO522" i="17"/>
  <c r="BP522" i="17" s="1"/>
  <c r="BN522" i="17"/>
  <c r="AF373" i="15" s="1"/>
  <c r="BC523" i="17"/>
  <c r="BH523" i="17" s="1"/>
  <c r="AL562" i="17" l="1"/>
  <c r="AY562" i="17" s="1"/>
  <c r="AU562" i="17"/>
  <c r="AV562" i="17" s="1"/>
  <c r="Z562" i="17"/>
  <c r="BD523" i="17"/>
  <c r="BE523" i="17" s="1"/>
  <c r="BF523" i="17" s="1"/>
  <c r="AL548" i="15"/>
  <c r="BQ522" i="17"/>
  <c r="AM562" i="17" l="1"/>
  <c r="AN562" i="17" s="1"/>
  <c r="U563" i="17"/>
  <c r="AC563" i="17" s="1"/>
  <c r="AD563" i="17" s="1"/>
  <c r="AE563" i="17" s="1"/>
  <c r="BG523" i="17"/>
  <c r="BI523" i="17"/>
  <c r="BK523" i="17"/>
  <c r="BL523" i="17" s="1"/>
  <c r="BM523" i="17" s="1"/>
  <c r="BJ523" i="17"/>
  <c r="AO562" i="17" l="1"/>
  <c r="AP562" i="17" s="1"/>
  <c r="AQ562" i="17" s="1"/>
  <c r="W563" i="17"/>
  <c r="BO523" i="17"/>
  <c r="BP523" i="17" s="1"/>
  <c r="BN523" i="17"/>
  <c r="AF378" i="15" s="1"/>
  <c r="BC524" i="17"/>
  <c r="BH524" i="17" s="1"/>
  <c r="AR562" i="17" l="1"/>
  <c r="AA563" i="17"/>
  <c r="AK563" i="17" s="1"/>
  <c r="Y563" i="17"/>
  <c r="BD524" i="17"/>
  <c r="BK524" i="17" s="1"/>
  <c r="BL524" i="17" s="1"/>
  <c r="BM524" i="17" s="1"/>
  <c r="AL549" i="15"/>
  <c r="BQ523" i="17"/>
  <c r="AB563" i="17" l="1"/>
  <c r="Z563" i="17"/>
  <c r="BJ524" i="17"/>
  <c r="BE524" i="17"/>
  <c r="BF524" i="17" s="1"/>
  <c r="BG524" i="17" s="1"/>
  <c r="U564" i="17" l="1"/>
  <c r="W564" i="17" s="1"/>
  <c r="AA564" i="17" s="1"/>
  <c r="AK564" i="17" s="1"/>
  <c r="AF563" i="17"/>
  <c r="AG563" i="17" s="1"/>
  <c r="AH563" i="17" s="1"/>
  <c r="AS563" i="17" s="1"/>
  <c r="BI524" i="17"/>
  <c r="BO524" i="17" s="1"/>
  <c r="BP524" i="17" s="1"/>
  <c r="BC525" i="17"/>
  <c r="AL563" i="17" l="1"/>
  <c r="AU563" i="17"/>
  <c r="AV563" i="17" s="1"/>
  <c r="AT563" i="17"/>
  <c r="AW563" i="17" s="1"/>
  <c r="AX563" i="17" s="1"/>
  <c r="AZ563" i="17" s="1"/>
  <c r="AC564" i="17"/>
  <c r="AD564" i="17" s="1"/>
  <c r="AE564" i="17" s="1"/>
  <c r="Y564" i="17"/>
  <c r="BN524" i="17"/>
  <c r="AF255" i="15" s="1"/>
  <c r="BD525" i="17"/>
  <c r="BH525" i="17"/>
  <c r="AL59" i="15"/>
  <c r="BQ524" i="17" l="1"/>
  <c r="AB564" i="17"/>
  <c r="Z564" i="17"/>
  <c r="AM563" i="17"/>
  <c r="AN563" i="17" s="1"/>
  <c r="AO563" i="17" s="1"/>
  <c r="AY563" i="17"/>
  <c r="BK525" i="17"/>
  <c r="BJ525" i="17"/>
  <c r="BE525" i="17"/>
  <c r="BF525" i="17" s="1"/>
  <c r="U565" i="17" l="1"/>
  <c r="W565" i="17" s="1"/>
  <c r="AA565" i="17" s="1"/>
  <c r="AK565" i="17" s="1"/>
  <c r="AF564" i="17"/>
  <c r="AG564" i="17" s="1"/>
  <c r="AH564" i="17" s="1"/>
  <c r="AS564" i="17" s="1"/>
  <c r="AP563" i="17"/>
  <c r="AR563" i="17" s="1"/>
  <c r="BG525" i="17"/>
  <c r="BI525" i="17"/>
  <c r="BL525" i="17"/>
  <c r="BM525" i="17" s="1"/>
  <c r="AQ563" i="17" l="1"/>
  <c r="AL564" i="17"/>
  <c r="AT564" i="17"/>
  <c r="AW564" i="17" s="1"/>
  <c r="AX564" i="17" s="1"/>
  <c r="AZ564" i="17" s="1"/>
  <c r="AU564" i="17"/>
  <c r="AV564" i="17" s="1"/>
  <c r="AC565" i="17"/>
  <c r="AD565" i="17" s="1"/>
  <c r="AE565" i="17" s="1"/>
  <c r="Y565" i="17"/>
  <c r="AB565" i="17" s="1"/>
  <c r="BO525" i="17"/>
  <c r="BP525" i="17" s="1"/>
  <c r="BN525" i="17"/>
  <c r="AF263" i="15" s="1"/>
  <c r="BC526" i="17"/>
  <c r="BH526" i="17" s="1"/>
  <c r="AF565" i="17" l="1"/>
  <c r="AG565" i="17" s="1"/>
  <c r="Z565" i="17"/>
  <c r="AM564" i="17"/>
  <c r="AN564" i="17" s="1"/>
  <c r="AY564" i="17"/>
  <c r="AL550" i="15"/>
  <c r="BQ525" i="17"/>
  <c r="BD526" i="17"/>
  <c r="AO564" i="17" l="1"/>
  <c r="AP564" i="17" s="1"/>
  <c r="AQ564" i="17" s="1"/>
  <c r="U566" i="17"/>
  <c r="W566" i="17" s="1"/>
  <c r="AL565" i="17"/>
  <c r="AY565" i="17" s="1"/>
  <c r="AH565" i="17"/>
  <c r="AS565" i="17" s="1"/>
  <c r="BJ526" i="17"/>
  <c r="BK526" i="17"/>
  <c r="BL526" i="17" s="1"/>
  <c r="BM526" i="17" s="1"/>
  <c r="BE526" i="17"/>
  <c r="BF526" i="17" s="1"/>
  <c r="AR564" i="17" l="1"/>
  <c r="AA566" i="17"/>
  <c r="AK566" i="17" s="1"/>
  <c r="AM565" i="17"/>
  <c r="AN565" i="17" s="1"/>
  <c r="AO565" i="17" s="1"/>
  <c r="AP565" i="17" s="1"/>
  <c r="AQ565" i="17" s="1"/>
  <c r="AC566" i="17"/>
  <c r="AD566" i="17" s="1"/>
  <c r="AE566" i="17" s="1"/>
  <c r="Y566" i="17"/>
  <c r="AB566" i="17" s="1"/>
  <c r="AT565" i="17"/>
  <c r="AW565" i="17" s="1"/>
  <c r="AX565" i="17" s="1"/>
  <c r="AZ565" i="17" s="1"/>
  <c r="AU565" i="17"/>
  <c r="AV565" i="17" s="1"/>
  <c r="BG526" i="17"/>
  <c r="BI526" i="17"/>
  <c r="AR565" i="17" l="1"/>
  <c r="AF566" i="17"/>
  <c r="AG566" i="17" s="1"/>
  <c r="AH566" i="17" s="1"/>
  <c r="AS566" i="17" s="1"/>
  <c r="AT566" i="17" s="1"/>
  <c r="AW566" i="17" s="1"/>
  <c r="AX566" i="17" s="1"/>
  <c r="AZ566" i="17" s="1"/>
  <c r="Z566" i="17"/>
  <c r="BO526" i="17"/>
  <c r="BP526" i="17" s="1"/>
  <c r="BN526" i="17"/>
  <c r="AF289" i="15" s="1"/>
  <c r="BC527" i="17"/>
  <c r="AU566" i="17" l="1"/>
  <c r="AV566" i="17" s="1"/>
  <c r="AL566" i="17"/>
  <c r="U567" i="17"/>
  <c r="AC567" i="17" s="1"/>
  <c r="AD567" i="17" s="1"/>
  <c r="AE567" i="17" s="1"/>
  <c r="BD527" i="17"/>
  <c r="BE527" i="17" s="1"/>
  <c r="BF527" i="17" s="1"/>
  <c r="BH527" i="17"/>
  <c r="AL551" i="15"/>
  <c r="BQ526" i="17"/>
  <c r="W567" i="17" l="1"/>
  <c r="AA567" i="17" s="1"/>
  <c r="AK567" i="17" s="1"/>
  <c r="AY566" i="17"/>
  <c r="AM566" i="17"/>
  <c r="AN566" i="17" s="1"/>
  <c r="AO566" i="17" s="1"/>
  <c r="BG527" i="17"/>
  <c r="BI527" i="17"/>
  <c r="BK527" i="17"/>
  <c r="BL527" i="17" s="1"/>
  <c r="BM527" i="17" s="1"/>
  <c r="BJ527" i="17"/>
  <c r="Y567" i="17" l="1"/>
  <c r="AB567" i="17" s="1"/>
  <c r="AF567" i="17" s="1"/>
  <c r="AG567" i="17" s="1"/>
  <c r="AL567" i="17" s="1"/>
  <c r="AY567" i="17" s="1"/>
  <c r="AP566" i="17"/>
  <c r="AR566" i="17" s="1"/>
  <c r="BO527" i="17"/>
  <c r="BP527" i="17" s="1"/>
  <c r="BN527" i="17"/>
  <c r="AF314" i="15" s="1"/>
  <c r="BC528" i="17"/>
  <c r="BH528" i="17" s="1"/>
  <c r="Z567" i="17" l="1"/>
  <c r="U568" i="17" s="1"/>
  <c r="AQ566" i="17"/>
  <c r="AH567" i="17"/>
  <c r="AS567" i="17" s="1"/>
  <c r="AM567" i="17"/>
  <c r="AN567" i="17" s="1"/>
  <c r="AO567" i="17" s="1"/>
  <c r="AP567" i="17" s="1"/>
  <c r="AL552" i="15"/>
  <c r="BQ527" i="17"/>
  <c r="BD528" i="17"/>
  <c r="BE528" i="17" s="1"/>
  <c r="AR567" i="17" l="1"/>
  <c r="AT567" i="17"/>
  <c r="AW567" i="17" s="1"/>
  <c r="AX567" i="17" s="1"/>
  <c r="AZ567" i="17" s="1"/>
  <c r="AU567" i="17"/>
  <c r="AV567" i="17" s="1"/>
  <c r="W568" i="17"/>
  <c r="AC568" i="17"/>
  <c r="AD568" i="17" s="1"/>
  <c r="AE568" i="17" s="1"/>
  <c r="AQ567" i="17"/>
  <c r="BK528" i="17"/>
  <c r="BL528" i="17" s="1"/>
  <c r="BM528" i="17" s="1"/>
  <c r="BJ528" i="17"/>
  <c r="BF528" i="17"/>
  <c r="AA568" i="17" l="1"/>
  <c r="AK568" i="17" s="1"/>
  <c r="Y568" i="17"/>
  <c r="AB568" i="17" s="1"/>
  <c r="BG528" i="17"/>
  <c r="BI528" i="17"/>
  <c r="Z568" i="17" l="1"/>
  <c r="AF568" i="17"/>
  <c r="AG568" i="17" s="1"/>
  <c r="AL568" i="17" s="1"/>
  <c r="BO528" i="17"/>
  <c r="BP528" i="17" s="1"/>
  <c r="BN528" i="17"/>
  <c r="AF342" i="15" s="1"/>
  <c r="BC529" i="17"/>
  <c r="AH568" i="17" l="1"/>
  <c r="AS568" i="17" s="1"/>
  <c r="AM568" i="17"/>
  <c r="AN568" i="17" s="1"/>
  <c r="AO568" i="17" s="1"/>
  <c r="AY568" i="17"/>
  <c r="U569" i="17"/>
  <c r="AC569" i="17" s="1"/>
  <c r="AD569" i="17" s="1"/>
  <c r="AE569" i="17" s="1"/>
  <c r="BD529" i="17"/>
  <c r="BE529" i="17" s="1"/>
  <c r="BH529" i="17"/>
  <c r="AL553" i="15"/>
  <c r="BQ528" i="17"/>
  <c r="W569" i="17" l="1"/>
  <c r="AP568" i="17"/>
  <c r="AR568" i="17" s="1"/>
  <c r="AU568" i="17"/>
  <c r="AV568" i="17" s="1"/>
  <c r="AT568" i="17"/>
  <c r="AW568" i="17" s="1"/>
  <c r="AX568" i="17" s="1"/>
  <c r="AZ568" i="17" s="1"/>
  <c r="BF529" i="17"/>
  <c r="BK529" i="17"/>
  <c r="BL529" i="17" s="1"/>
  <c r="BM529" i="17" s="1"/>
  <c r="BJ529" i="17"/>
  <c r="AQ568" i="17" l="1"/>
  <c r="AA569" i="17"/>
  <c r="AK569" i="17" s="1"/>
  <c r="Y569" i="17"/>
  <c r="BG529" i="17"/>
  <c r="BI529" i="17"/>
  <c r="AB569" i="17" l="1"/>
  <c r="Z569" i="17"/>
  <c r="BO529" i="17"/>
  <c r="BP529" i="17" s="1"/>
  <c r="AL554" i="15" s="1"/>
  <c r="BN529" i="17"/>
  <c r="BC530" i="17"/>
  <c r="BH530" i="17" s="1"/>
  <c r="U570" i="17" l="1"/>
  <c r="AC570" i="17" s="1"/>
  <c r="AD570" i="17" s="1"/>
  <c r="AE570" i="17" s="1"/>
  <c r="AF569" i="17"/>
  <c r="AG569" i="17" s="1"/>
  <c r="AL569" i="17" s="1"/>
  <c r="BD530" i="17"/>
  <c r="BE530" i="17" s="1"/>
  <c r="BF530" i="17" s="1"/>
  <c r="BQ529" i="17"/>
  <c r="AF363" i="15"/>
  <c r="AY569" i="17" l="1"/>
  <c r="W570" i="17"/>
  <c r="AH569" i="17"/>
  <c r="AS569" i="17" s="1"/>
  <c r="AM569" i="17"/>
  <c r="AN569" i="17" s="1"/>
  <c r="AO569" i="17" s="1"/>
  <c r="AP569" i="17" s="1"/>
  <c r="AQ569" i="17" s="1"/>
  <c r="BG530" i="17"/>
  <c r="BI530" i="17"/>
  <c r="BK530" i="17"/>
  <c r="BL530" i="17" s="1"/>
  <c r="BM530" i="17" s="1"/>
  <c r="BJ530" i="17"/>
  <c r="AU569" i="17" l="1"/>
  <c r="AT569" i="17"/>
  <c r="AW569" i="17" s="1"/>
  <c r="AX569" i="17" s="1"/>
  <c r="AZ569" i="17" s="1"/>
  <c r="AA570" i="17"/>
  <c r="AK570" i="17" s="1"/>
  <c r="Y570" i="17"/>
  <c r="AB570" i="17" s="1"/>
  <c r="AR569" i="17"/>
  <c r="BO530" i="17"/>
  <c r="BP530" i="17" s="1"/>
  <c r="BN530" i="17"/>
  <c r="AF388" i="15" s="1"/>
  <c r="BC531" i="17"/>
  <c r="BH531" i="17" s="1"/>
  <c r="AF570" i="17" l="1"/>
  <c r="AG570" i="17" s="1"/>
  <c r="AL570" i="17" s="1"/>
  <c r="AY570" i="17" s="1"/>
  <c r="Z570" i="17"/>
  <c r="AV569" i="17"/>
  <c r="BD531" i="17"/>
  <c r="BK531" i="17" s="1"/>
  <c r="BL531" i="17" s="1"/>
  <c r="BM531" i="17" s="1"/>
  <c r="AL555" i="15"/>
  <c r="BQ530" i="17"/>
  <c r="U571" i="17" l="1"/>
  <c r="AC571" i="17" s="1"/>
  <c r="AD571" i="17" s="1"/>
  <c r="AE571" i="17" s="1"/>
  <c r="AH570" i="17"/>
  <c r="AS570" i="17" s="1"/>
  <c r="AM570" i="17"/>
  <c r="AN570" i="17" s="1"/>
  <c r="AO570" i="17" s="1"/>
  <c r="BE531" i="17"/>
  <c r="BF531" i="17" s="1"/>
  <c r="BG531" i="17" s="1"/>
  <c r="BJ531" i="17"/>
  <c r="AT570" i="17" l="1"/>
  <c r="AW570" i="17" s="1"/>
  <c r="AX570" i="17" s="1"/>
  <c r="AZ570" i="17" s="1"/>
  <c r="AU570" i="17"/>
  <c r="BI531" i="17"/>
  <c r="BN531" i="17" s="1"/>
  <c r="AF387" i="15" s="1"/>
  <c r="AP570" i="17"/>
  <c r="AR570" i="17" s="1"/>
  <c r="W571" i="17"/>
  <c r="AA571" i="17" s="1"/>
  <c r="AK571" i="17" s="1"/>
  <c r="BC532" i="17"/>
  <c r="BO531" i="17" l="1"/>
  <c r="BP531" i="17" s="1"/>
  <c r="AL556" i="15" s="1"/>
  <c r="AQ570" i="17"/>
  <c r="Y571" i="17"/>
  <c r="AB571" i="17" s="1"/>
  <c r="AV570" i="17"/>
  <c r="BD532" i="17"/>
  <c r="BE532" i="17" s="1"/>
  <c r="BF532" i="17" s="1"/>
  <c r="BH532" i="17"/>
  <c r="BQ531" i="17" l="1"/>
  <c r="Z571" i="17"/>
  <c r="AF571" i="17"/>
  <c r="AG571" i="17" s="1"/>
  <c r="AL571" i="17" s="1"/>
  <c r="BG532" i="17"/>
  <c r="BI532" i="17"/>
  <c r="BK532" i="17"/>
  <c r="BL532" i="17" s="1"/>
  <c r="BM532" i="17" s="1"/>
  <c r="BJ532" i="17"/>
  <c r="AY571" i="17" l="1"/>
  <c r="AH571" i="17"/>
  <c r="AS571" i="17" s="1"/>
  <c r="AM571" i="17"/>
  <c r="U572" i="17"/>
  <c r="BO532" i="17"/>
  <c r="BP532" i="17" s="1"/>
  <c r="BN532" i="17"/>
  <c r="AF390" i="15" s="1"/>
  <c r="BC533" i="17"/>
  <c r="BH533" i="17" s="1"/>
  <c r="AN571" i="17" l="1"/>
  <c r="AO571" i="17" s="1"/>
  <c r="AP571" i="17" s="1"/>
  <c r="AQ571" i="17" s="1"/>
  <c r="AT571" i="17"/>
  <c r="AW571" i="17" s="1"/>
  <c r="AU571" i="17"/>
  <c r="W572" i="17"/>
  <c r="AC572" i="17"/>
  <c r="AD572" i="17" s="1"/>
  <c r="BD533" i="17"/>
  <c r="AL557" i="15"/>
  <c r="BQ532" i="17"/>
  <c r="AV571" i="17" l="1"/>
  <c r="AX571" i="17"/>
  <c r="AZ571" i="17" s="1"/>
  <c r="AE572" i="17"/>
  <c r="AA572" i="17"/>
  <c r="AK572" i="17" s="1"/>
  <c r="Y572" i="17"/>
  <c r="AB572" i="17" s="1"/>
  <c r="AR571" i="17"/>
  <c r="BK533" i="17"/>
  <c r="BL533" i="17" s="1"/>
  <c r="BM533" i="17" s="1"/>
  <c r="BJ533" i="17"/>
  <c r="BE533" i="17"/>
  <c r="BF533" i="17" s="1"/>
  <c r="AF572" i="17" l="1"/>
  <c r="AG572" i="17" s="1"/>
  <c r="AL572" i="17" s="1"/>
  <c r="Z572" i="17"/>
  <c r="BG533" i="17"/>
  <c r="BI533" i="17"/>
  <c r="U573" i="17" l="1"/>
  <c r="AC573" i="17" s="1"/>
  <c r="AY572" i="17"/>
  <c r="AH572" i="17"/>
  <c r="AS572" i="17" s="1"/>
  <c r="AM572" i="17"/>
  <c r="AN572" i="17" s="1"/>
  <c r="AO572" i="17" s="1"/>
  <c r="AP572" i="17" s="1"/>
  <c r="AQ572" i="17" s="1"/>
  <c r="BO533" i="17"/>
  <c r="BP533" i="17" s="1"/>
  <c r="BN533" i="17"/>
  <c r="AF398" i="15" s="1"/>
  <c r="BC534" i="17"/>
  <c r="AR572" i="17" l="1"/>
  <c r="W573" i="17"/>
  <c r="AT572" i="17"/>
  <c r="AW572" i="17" s="1"/>
  <c r="AX572" i="17" s="1"/>
  <c r="AZ572" i="17" s="1"/>
  <c r="AU572" i="17"/>
  <c r="AD573" i="17"/>
  <c r="AL558" i="15"/>
  <c r="BQ533" i="17"/>
  <c r="BD534" i="17"/>
  <c r="BH534" i="17"/>
  <c r="AV572" i="17" l="1"/>
  <c r="AE573" i="17"/>
  <c r="AA573" i="17"/>
  <c r="AK573" i="17" s="1"/>
  <c r="Y573" i="17"/>
  <c r="AB573" i="17" s="1"/>
  <c r="BK534" i="17"/>
  <c r="BL534" i="17" s="1"/>
  <c r="BM534" i="17" s="1"/>
  <c r="BJ534" i="17"/>
  <c r="BE534" i="17"/>
  <c r="BF534" i="17" s="1"/>
  <c r="Z573" i="17" l="1"/>
  <c r="U574" i="17" s="1"/>
  <c r="AC574" i="17" s="1"/>
  <c r="AD574" i="17" s="1"/>
  <c r="AF573" i="17"/>
  <c r="AG573" i="17" s="1"/>
  <c r="AH573" i="17" s="1"/>
  <c r="AS573" i="17" s="1"/>
  <c r="BG534" i="17"/>
  <c r="BI534" i="17"/>
  <c r="AL573" i="17" l="1"/>
  <c r="W574" i="17"/>
  <c r="AT573" i="17"/>
  <c r="AW573" i="17" s="1"/>
  <c r="AX573" i="17" s="1"/>
  <c r="AZ573" i="17" s="1"/>
  <c r="AU573" i="17"/>
  <c r="AE574" i="17"/>
  <c r="BO534" i="17"/>
  <c r="BP534" i="17" s="1"/>
  <c r="BN534" i="17"/>
  <c r="AF401" i="15" s="1"/>
  <c r="BC535" i="17"/>
  <c r="BH535" i="17" s="1"/>
  <c r="AV573" i="17" l="1"/>
  <c r="AA574" i="17"/>
  <c r="AK574" i="17" s="1"/>
  <c r="Y574" i="17"/>
  <c r="AB574" i="17" s="1"/>
  <c r="AM573" i="17"/>
  <c r="AN573" i="17" s="1"/>
  <c r="AO573" i="17" s="1"/>
  <c r="AP573" i="17" s="1"/>
  <c r="AQ573" i="17" s="1"/>
  <c r="AY573" i="17"/>
  <c r="BD535" i="17"/>
  <c r="BE535" i="17" s="1"/>
  <c r="BF535" i="17" s="1"/>
  <c r="AL559" i="15"/>
  <c r="BQ534" i="17"/>
  <c r="AR573" i="17" l="1"/>
  <c r="AF574" i="17"/>
  <c r="AG574" i="17" s="1"/>
  <c r="AH574" i="17" s="1"/>
  <c r="AS574" i="17" s="1"/>
  <c r="Z574" i="17"/>
  <c r="BJ535" i="17"/>
  <c r="BK535" i="17"/>
  <c r="BL535" i="17" s="1"/>
  <c r="BM535" i="17" s="1"/>
  <c r="BG535" i="17"/>
  <c r="BI535" i="17"/>
  <c r="U575" i="17" l="1"/>
  <c r="AT574" i="17"/>
  <c r="AW574" i="17" s="1"/>
  <c r="AX574" i="17" s="1"/>
  <c r="AZ574" i="17" s="1"/>
  <c r="AU574" i="17"/>
  <c r="AL574" i="17"/>
  <c r="BO535" i="17"/>
  <c r="BP535" i="17" s="1"/>
  <c r="BN535" i="17"/>
  <c r="AF403" i="15" s="1"/>
  <c r="BC536" i="17"/>
  <c r="AM574" i="17" l="1"/>
  <c r="AN574" i="17" s="1"/>
  <c r="AO574" i="17" s="1"/>
  <c r="AP574" i="17" s="1"/>
  <c r="AQ574" i="17" s="1"/>
  <c r="AY574" i="17"/>
  <c r="AV574" i="17"/>
  <c r="W575" i="17"/>
  <c r="AC575" i="17"/>
  <c r="BD536" i="17"/>
  <c r="BE536" i="17" s="1"/>
  <c r="BF536" i="17" s="1"/>
  <c r="BH536" i="17"/>
  <c r="AL560" i="15"/>
  <c r="BQ535" i="17"/>
  <c r="AR574" i="17" l="1"/>
  <c r="AD575" i="17"/>
  <c r="AA575" i="17"/>
  <c r="AK575" i="17" s="1"/>
  <c r="Y575" i="17"/>
  <c r="AB575" i="17" s="1"/>
  <c r="BG536" i="17"/>
  <c r="BI536" i="17"/>
  <c r="BK536" i="17"/>
  <c r="BL536" i="17" s="1"/>
  <c r="BM536" i="17" s="1"/>
  <c r="BJ536" i="17"/>
  <c r="Z575" i="17" l="1"/>
  <c r="U576" i="17" s="1"/>
  <c r="AE575" i="17"/>
  <c r="BO536" i="17"/>
  <c r="BP536" i="17" s="1"/>
  <c r="BN536" i="17"/>
  <c r="AF405" i="15" s="1"/>
  <c r="BC537" i="17"/>
  <c r="AF575" i="17" l="1"/>
  <c r="AG575" i="17" s="1"/>
  <c r="W576" i="17"/>
  <c r="AA576" i="17" s="1"/>
  <c r="AK576" i="17" s="1"/>
  <c r="AC576" i="17"/>
  <c r="BH537" i="17"/>
  <c r="BD537" i="17"/>
  <c r="AL561" i="15"/>
  <c r="BQ536" i="17"/>
  <c r="AH575" i="17" l="1"/>
  <c r="AS575" i="17" s="1"/>
  <c r="AL575" i="17"/>
  <c r="AD576" i="17"/>
  <c r="Y576" i="17"/>
  <c r="BK537" i="17"/>
  <c r="BL537" i="17" s="1"/>
  <c r="BM537" i="17" s="1"/>
  <c r="BJ537" i="17"/>
  <c r="BE537" i="17"/>
  <c r="BF537" i="17" s="1"/>
  <c r="AY575" i="17" l="1"/>
  <c r="AB576" i="17"/>
  <c r="Z576" i="17"/>
  <c r="AM575" i="17"/>
  <c r="AN575" i="17" s="1"/>
  <c r="AO575" i="17" s="1"/>
  <c r="AP575" i="17" s="1"/>
  <c r="AQ575" i="17" s="1"/>
  <c r="AE576" i="17"/>
  <c r="AU575" i="17"/>
  <c r="AT575" i="17"/>
  <c r="AW575" i="17" s="1"/>
  <c r="AX575" i="17" s="1"/>
  <c r="AZ575" i="17" s="1"/>
  <c r="BG537" i="17"/>
  <c r="BI537" i="17"/>
  <c r="U577" i="17" l="1"/>
  <c r="AC577" i="17" s="1"/>
  <c r="AD577" i="17" s="1"/>
  <c r="AF576" i="17"/>
  <c r="AG576" i="17" s="1"/>
  <c r="AL576" i="17" s="1"/>
  <c r="AY576" i="17" s="1"/>
  <c r="AV575" i="17"/>
  <c r="AR575" i="17"/>
  <c r="BO537" i="17"/>
  <c r="BP537" i="17" s="1"/>
  <c r="BN537" i="17"/>
  <c r="AF410" i="15" s="1"/>
  <c r="BC538" i="17"/>
  <c r="W577" i="17" l="1"/>
  <c r="AA577" i="17" s="1"/>
  <c r="AK577" i="17" s="1"/>
  <c r="AH576" i="17"/>
  <c r="AS576" i="17" s="1"/>
  <c r="AM576" i="17"/>
  <c r="AN576" i="17" s="1"/>
  <c r="AO576" i="17" s="1"/>
  <c r="AE577" i="17"/>
  <c r="BD538" i="17"/>
  <c r="BE538" i="17" s="1"/>
  <c r="BF538" i="17" s="1"/>
  <c r="BH538" i="17"/>
  <c r="AL562" i="15"/>
  <c r="BQ537" i="17"/>
  <c r="Y577" i="17" l="1"/>
  <c r="AB577" i="17" s="1"/>
  <c r="AF577" i="17" s="1"/>
  <c r="AG577" i="17" s="1"/>
  <c r="AL577" i="17" s="1"/>
  <c r="AP576" i="17"/>
  <c r="AR576" i="17" s="1"/>
  <c r="AT576" i="17"/>
  <c r="AW576" i="17" s="1"/>
  <c r="AU576" i="17"/>
  <c r="BG538" i="17"/>
  <c r="BI538" i="17"/>
  <c r="BK538" i="17"/>
  <c r="BL538" i="17" s="1"/>
  <c r="BM538" i="17" s="1"/>
  <c r="BJ538" i="17"/>
  <c r="Z577" i="17" l="1"/>
  <c r="U578" i="17" s="1"/>
  <c r="AC578" i="17" s="1"/>
  <c r="AD578" i="17" s="1"/>
  <c r="AH577" i="17"/>
  <c r="AS577" i="17" s="1"/>
  <c r="AT577" i="17" s="1"/>
  <c r="AY577" i="17"/>
  <c r="AV576" i="17"/>
  <c r="AX576" i="17"/>
  <c r="AZ576" i="17" s="1"/>
  <c r="AM577" i="17"/>
  <c r="AN577" i="17" s="1"/>
  <c r="AO577" i="17" s="1"/>
  <c r="AQ576" i="17"/>
  <c r="BC539" i="17"/>
  <c r="BD539" i="17" s="1"/>
  <c r="BO538" i="17"/>
  <c r="BP538" i="17" s="1"/>
  <c r="BN538" i="17"/>
  <c r="AF416" i="15" s="1"/>
  <c r="AU577" i="17" l="1"/>
  <c r="W578" i="17"/>
  <c r="AA578" i="17" s="1"/>
  <c r="AK578" i="17" s="1"/>
  <c r="AW577" i="17"/>
  <c r="AX577" i="17" s="1"/>
  <c r="AZ577" i="17" s="1"/>
  <c r="AE578" i="17"/>
  <c r="AV577" i="17"/>
  <c r="AP577" i="17"/>
  <c r="AQ577" i="17" s="1"/>
  <c r="BK539" i="17"/>
  <c r="BL539" i="17" s="1"/>
  <c r="BM539" i="17" s="1"/>
  <c r="BJ539" i="17"/>
  <c r="BE539" i="17"/>
  <c r="BF539" i="17" s="1"/>
  <c r="BH539" i="17"/>
  <c r="AL563" i="15"/>
  <c r="BQ538" i="17"/>
  <c r="Y578" i="17" l="1"/>
  <c r="AB578" i="17" s="1"/>
  <c r="AF578" i="17" s="1"/>
  <c r="AG578" i="17" s="1"/>
  <c r="AR577" i="17"/>
  <c r="BG539" i="17"/>
  <c r="BI539" i="17"/>
  <c r="Z578" i="17" l="1"/>
  <c r="U579" i="17" s="1"/>
  <c r="W579" i="17" s="1"/>
  <c r="AA579" i="17" s="1"/>
  <c r="AK579" i="17" s="1"/>
  <c r="AH578" i="17"/>
  <c r="AS578" i="17" s="1"/>
  <c r="AL578" i="17"/>
  <c r="AY578" i="17" s="1"/>
  <c r="BO539" i="17"/>
  <c r="BP539" i="17" s="1"/>
  <c r="BN539" i="17"/>
  <c r="AF418" i="15" s="1"/>
  <c r="BC540" i="17"/>
  <c r="BH540" i="17" s="1"/>
  <c r="AM578" i="17" l="1"/>
  <c r="AN578" i="17" s="1"/>
  <c r="AO578" i="17" s="1"/>
  <c r="AP578" i="17" s="1"/>
  <c r="AR578" i="17" s="1"/>
  <c r="Y579" i="17"/>
  <c r="AB579" i="17" s="1"/>
  <c r="AC579" i="17"/>
  <c r="AD579" i="17" s="1"/>
  <c r="AE579" i="17" s="1"/>
  <c r="AT578" i="17"/>
  <c r="AW578" i="17" s="1"/>
  <c r="AX578" i="17" s="1"/>
  <c r="AZ578" i="17" s="1"/>
  <c r="AU578" i="17"/>
  <c r="BD540" i="17"/>
  <c r="BE540" i="17" s="1"/>
  <c r="AL564" i="15"/>
  <c r="BQ539" i="17"/>
  <c r="AF579" i="17" l="1"/>
  <c r="AG579" i="17" s="1"/>
  <c r="AH579" i="17" s="1"/>
  <c r="AS579" i="17" s="1"/>
  <c r="AT579" i="17" s="1"/>
  <c r="AW579" i="17" s="1"/>
  <c r="AX579" i="17" s="1"/>
  <c r="AZ579" i="17" s="1"/>
  <c r="Z579" i="17"/>
  <c r="U580" i="17" s="1"/>
  <c r="AQ578" i="17"/>
  <c r="AV578" i="17"/>
  <c r="BK540" i="17"/>
  <c r="BL540" i="17" s="1"/>
  <c r="BM540" i="17" s="1"/>
  <c r="BJ540" i="17"/>
  <c r="BF540" i="17"/>
  <c r="AU579" i="17" l="1"/>
  <c r="AV579" i="17" s="1"/>
  <c r="AL579" i="17"/>
  <c r="AM579" i="17" s="1"/>
  <c r="AN579" i="17" s="1"/>
  <c r="AO579" i="17" s="1"/>
  <c r="AP579" i="17" s="1"/>
  <c r="AR579" i="17" s="1"/>
  <c r="AC580" i="17"/>
  <c r="AD580" i="17" s="1"/>
  <c r="AE580" i="17" s="1"/>
  <c r="W580" i="17"/>
  <c r="AA580" i="17" s="1"/>
  <c r="AK580" i="17" s="1"/>
  <c r="BG540" i="17"/>
  <c r="BI540" i="17"/>
  <c r="AY579" i="17" l="1"/>
  <c r="Y580" i="17"/>
  <c r="AB580" i="17" s="1"/>
  <c r="AF580" i="17" s="1"/>
  <c r="AG580" i="17" s="1"/>
  <c r="AL580" i="17" s="1"/>
  <c r="AY580" i="17" s="1"/>
  <c r="AQ579" i="17"/>
  <c r="BO540" i="17"/>
  <c r="BP540" i="17" s="1"/>
  <c r="BN540" i="17"/>
  <c r="AF421" i="15" s="1"/>
  <c r="BC541" i="17"/>
  <c r="AH580" i="17" l="1"/>
  <c r="AS580" i="17" s="1"/>
  <c r="AT580" i="17" s="1"/>
  <c r="AW580" i="17" s="1"/>
  <c r="AX580" i="17" s="1"/>
  <c r="AZ580" i="17" s="1"/>
  <c r="Z580" i="17"/>
  <c r="U581" i="17" s="1"/>
  <c r="AC581" i="17" s="1"/>
  <c r="AD581" i="17" s="1"/>
  <c r="AE581" i="17" s="1"/>
  <c r="AM580" i="17"/>
  <c r="AN580" i="17" s="1"/>
  <c r="AO580" i="17" s="1"/>
  <c r="AP580" i="17" s="1"/>
  <c r="AQ580" i="17" s="1"/>
  <c r="BD541" i="17"/>
  <c r="BH541" i="17"/>
  <c r="AL565" i="15"/>
  <c r="BQ540" i="17"/>
  <c r="AU580" i="17" l="1"/>
  <c r="AV580" i="17" s="1"/>
  <c r="W581" i="17"/>
  <c r="AA581" i="17" s="1"/>
  <c r="AK581" i="17" s="1"/>
  <c r="AR580" i="17"/>
  <c r="BK541" i="17"/>
  <c r="BJ541" i="17"/>
  <c r="BE541" i="17"/>
  <c r="BF541" i="17" s="1"/>
  <c r="Y581" i="17" l="1"/>
  <c r="AB581" i="17" s="1"/>
  <c r="AF581" i="17" s="1"/>
  <c r="AG581" i="17" s="1"/>
  <c r="AH581" i="17" s="1"/>
  <c r="AS581" i="17" s="1"/>
  <c r="AT581" i="17" s="1"/>
  <c r="AW581" i="17" s="1"/>
  <c r="AX581" i="17" s="1"/>
  <c r="AZ581" i="17" s="1"/>
  <c r="BG541" i="17"/>
  <c r="BI541" i="17"/>
  <c r="BL541" i="17"/>
  <c r="BM541" i="17" s="1"/>
  <c r="AU581" i="17" l="1"/>
  <c r="AV581" i="17" s="1"/>
  <c r="AL581" i="17"/>
  <c r="AY581" i="17" s="1"/>
  <c r="Z581" i="17"/>
  <c r="U582" i="17" s="1"/>
  <c r="AC582" i="17" s="1"/>
  <c r="AD582" i="17" s="1"/>
  <c r="AE582" i="17" s="1"/>
  <c r="BO541" i="17"/>
  <c r="BP541" i="17" s="1"/>
  <c r="BN541" i="17"/>
  <c r="AF424" i="15" s="1"/>
  <c r="BC542" i="17"/>
  <c r="AM581" i="17" l="1"/>
  <c r="AN581" i="17" s="1"/>
  <c r="AO581" i="17" s="1"/>
  <c r="AP581" i="17" s="1"/>
  <c r="AR581" i="17" s="1"/>
  <c r="W582" i="17"/>
  <c r="Y582" i="17" s="1"/>
  <c r="BD542" i="17"/>
  <c r="BH542" i="17"/>
  <c r="AL566" i="15"/>
  <c r="BQ541" i="17"/>
  <c r="AQ581" i="17" l="1"/>
  <c r="AA582" i="17"/>
  <c r="AK582" i="17" s="1"/>
  <c r="AB582" i="17"/>
  <c r="Z582" i="17"/>
  <c r="BJ542" i="17"/>
  <c r="BK542" i="17"/>
  <c r="BL542" i="17" s="1"/>
  <c r="BM542" i="17" s="1"/>
  <c r="BE542" i="17"/>
  <c r="BF542" i="17" s="1"/>
  <c r="U583" i="17" l="1"/>
  <c r="AC583" i="17" s="1"/>
  <c r="AD583" i="17" s="1"/>
  <c r="AE583" i="17" s="1"/>
  <c r="AF582" i="17"/>
  <c r="AG582" i="17" s="1"/>
  <c r="AL582" i="17" s="1"/>
  <c r="BG542" i="17"/>
  <c r="BI542" i="17"/>
  <c r="AY582" i="17" l="1"/>
  <c r="W583" i="17"/>
  <c r="AH582" i="17"/>
  <c r="AS582" i="17" s="1"/>
  <c r="AM582" i="17"/>
  <c r="AN582" i="17" s="1"/>
  <c r="AO582" i="17" s="1"/>
  <c r="AP582" i="17" s="1"/>
  <c r="AQ582" i="17" s="1"/>
  <c r="BO542" i="17"/>
  <c r="BP542" i="17" s="1"/>
  <c r="BN542" i="17"/>
  <c r="AF426" i="15" s="1"/>
  <c r="BC543" i="17"/>
  <c r="AA583" i="17" l="1"/>
  <c r="AK583" i="17" s="1"/>
  <c r="Y583" i="17"/>
  <c r="AB583" i="17" s="1"/>
  <c r="AR582" i="17"/>
  <c r="AT582" i="17"/>
  <c r="AW582" i="17" s="1"/>
  <c r="AX582" i="17" s="1"/>
  <c r="AZ582" i="17" s="1"/>
  <c r="AU582" i="17"/>
  <c r="AL567" i="15"/>
  <c r="BQ542" i="17"/>
  <c r="BD543" i="17"/>
  <c r="BH543" i="17"/>
  <c r="AF583" i="17" l="1"/>
  <c r="AG583" i="17" s="1"/>
  <c r="AL583" i="17" s="1"/>
  <c r="AY583" i="17" s="1"/>
  <c r="Z583" i="17"/>
  <c r="AV582" i="17"/>
  <c r="BK543" i="17"/>
  <c r="BL543" i="17" s="1"/>
  <c r="BM543" i="17" s="1"/>
  <c r="BJ543" i="17"/>
  <c r="BE543" i="17"/>
  <c r="BF543" i="17" s="1"/>
  <c r="U584" i="17" l="1"/>
  <c r="AC584" i="17" s="1"/>
  <c r="AD584" i="17" s="1"/>
  <c r="AE584" i="17" s="1"/>
  <c r="AH583" i="17"/>
  <c r="AS583" i="17" s="1"/>
  <c r="AM583" i="17"/>
  <c r="AN583" i="17" s="1"/>
  <c r="AO583" i="17" s="1"/>
  <c r="BG543" i="17"/>
  <c r="BI543" i="17"/>
  <c r="W584" i="17" l="1"/>
  <c r="AA584" i="17" s="1"/>
  <c r="AK584" i="17" s="1"/>
  <c r="AT583" i="17"/>
  <c r="AW583" i="17" s="1"/>
  <c r="AX583" i="17" s="1"/>
  <c r="AZ583" i="17" s="1"/>
  <c r="AU583" i="17"/>
  <c r="AP583" i="17"/>
  <c r="AR583" i="17" s="1"/>
  <c r="BO543" i="17"/>
  <c r="BP543" i="17" s="1"/>
  <c r="BN543" i="17"/>
  <c r="AF428" i="15" s="1"/>
  <c r="BC544" i="17"/>
  <c r="Y584" i="17" l="1"/>
  <c r="AB584" i="17" s="1"/>
  <c r="AF584" i="17" s="1"/>
  <c r="AG584" i="17" s="1"/>
  <c r="AL584" i="17" s="1"/>
  <c r="AY584" i="17" s="1"/>
  <c r="AV583" i="17"/>
  <c r="AQ583" i="17"/>
  <c r="BH544" i="17"/>
  <c r="BD544" i="17"/>
  <c r="AL568" i="15"/>
  <c r="BQ543" i="17"/>
  <c r="Z584" i="17" l="1"/>
  <c r="U585" i="17" s="1"/>
  <c r="AC585" i="17" s="1"/>
  <c r="AD585" i="17" s="1"/>
  <c r="AH584" i="17"/>
  <c r="AS584" i="17" s="1"/>
  <c r="AM584" i="17"/>
  <c r="BK544" i="17"/>
  <c r="BL544" i="17" s="1"/>
  <c r="BM544" i="17" s="1"/>
  <c r="BJ544" i="17"/>
  <c r="BE544" i="17"/>
  <c r="BF544" i="17" s="1"/>
  <c r="W585" i="17" l="1"/>
  <c r="AA585" i="17" s="1"/>
  <c r="AK585" i="17" s="1"/>
  <c r="AN584" i="17"/>
  <c r="AO584" i="17" s="1"/>
  <c r="AT584" i="17"/>
  <c r="AW584" i="17" s="1"/>
  <c r="AX584" i="17" s="1"/>
  <c r="AZ584" i="17" s="1"/>
  <c r="AU584" i="17"/>
  <c r="AE585" i="17"/>
  <c r="BG544" i="17"/>
  <c r="BI544" i="17"/>
  <c r="Y585" i="17" l="1"/>
  <c r="AB585" i="17" s="1"/>
  <c r="AF585" i="17" s="1"/>
  <c r="AG585" i="17" s="1"/>
  <c r="AP584" i="17"/>
  <c r="AR584" i="17" s="1"/>
  <c r="AV584" i="17"/>
  <c r="BO544" i="17"/>
  <c r="BP544" i="17" s="1"/>
  <c r="BN544" i="17"/>
  <c r="AF431" i="15" s="1"/>
  <c r="BC545" i="17"/>
  <c r="BH545" i="17" s="1"/>
  <c r="Z585" i="17" l="1"/>
  <c r="U586" i="17" s="1"/>
  <c r="AC586" i="17" s="1"/>
  <c r="AD586" i="17" s="1"/>
  <c r="AE586" i="17" s="1"/>
  <c r="AH585" i="17"/>
  <c r="AS585" i="17" s="1"/>
  <c r="AL585" i="17"/>
  <c r="AY585" i="17" s="1"/>
  <c r="AQ584" i="17"/>
  <c r="BD545" i="17"/>
  <c r="BE545" i="17" s="1"/>
  <c r="BF545" i="17" s="1"/>
  <c r="AL569" i="15"/>
  <c r="BQ544" i="17"/>
  <c r="W586" i="17" l="1"/>
  <c r="Y586" i="17" s="1"/>
  <c r="AB586" i="17" s="1"/>
  <c r="AT585" i="17"/>
  <c r="AW585" i="17" s="1"/>
  <c r="AU585" i="17"/>
  <c r="AM585" i="17"/>
  <c r="AN585" i="17" s="1"/>
  <c r="AO585" i="17" s="1"/>
  <c r="BG545" i="17"/>
  <c r="BI545" i="17"/>
  <c r="BK545" i="17"/>
  <c r="BL545" i="17" s="1"/>
  <c r="BM545" i="17" s="1"/>
  <c r="BJ545" i="17"/>
  <c r="AA586" i="17" l="1"/>
  <c r="AK586" i="17" s="1"/>
  <c r="AF586" i="17"/>
  <c r="AG586" i="17" s="1"/>
  <c r="AL586" i="17" s="1"/>
  <c r="AX585" i="17"/>
  <c r="AZ585" i="17" s="1"/>
  <c r="AP585" i="17"/>
  <c r="AR585" i="17" s="1"/>
  <c r="Z586" i="17"/>
  <c r="AV585" i="17"/>
  <c r="BO545" i="17"/>
  <c r="BP545" i="17" s="1"/>
  <c r="BN545" i="17"/>
  <c r="AF435" i="15" s="1"/>
  <c r="BC546" i="17"/>
  <c r="BH546" i="17" s="1"/>
  <c r="U587" i="17" l="1"/>
  <c r="AC587" i="17" s="1"/>
  <c r="AD587" i="17" s="1"/>
  <c r="AE587" i="17" s="1"/>
  <c r="AY586" i="17"/>
  <c r="AQ585" i="17"/>
  <c r="AM586" i="17"/>
  <c r="AH586" i="17"/>
  <c r="AS586" i="17" s="1"/>
  <c r="BD546" i="17"/>
  <c r="AL570" i="15"/>
  <c r="BQ545" i="17"/>
  <c r="AN586" i="17" l="1"/>
  <c r="AO586" i="17" s="1"/>
  <c r="AP586" i="17" s="1"/>
  <c r="AQ586" i="17" s="1"/>
  <c r="AT586" i="17"/>
  <c r="AW586" i="17" s="1"/>
  <c r="AU586" i="17"/>
  <c r="W587" i="17"/>
  <c r="AA587" i="17" s="1"/>
  <c r="AK587" i="17" s="1"/>
  <c r="BK546" i="17"/>
  <c r="BL546" i="17" s="1"/>
  <c r="BM546" i="17" s="1"/>
  <c r="BJ546" i="17"/>
  <c r="BE546" i="17"/>
  <c r="BF546" i="17" s="1"/>
  <c r="Y587" i="17" l="1"/>
  <c r="AB587" i="17" s="1"/>
  <c r="AF587" i="17" s="1"/>
  <c r="AG587" i="17" s="1"/>
  <c r="AH587" i="17" s="1"/>
  <c r="AS587" i="17" s="1"/>
  <c r="AT587" i="17" s="1"/>
  <c r="AV586" i="17"/>
  <c r="AX586" i="17"/>
  <c r="AZ586" i="17" s="1"/>
  <c r="AR586" i="17"/>
  <c r="BG546" i="17"/>
  <c r="BI546" i="17"/>
  <c r="Z587" i="17" l="1"/>
  <c r="U588" i="17" s="1"/>
  <c r="AC588" i="17" s="1"/>
  <c r="AL587" i="17"/>
  <c r="AM587" i="17" s="1"/>
  <c r="AN587" i="17" s="1"/>
  <c r="AO587" i="17" s="1"/>
  <c r="AP587" i="17" s="1"/>
  <c r="AR587" i="17" s="1"/>
  <c r="AW587" i="17"/>
  <c r="AX587" i="17" s="1"/>
  <c r="AZ587" i="17" s="1"/>
  <c r="AU587" i="17"/>
  <c r="BO546" i="17"/>
  <c r="BP546" i="17" s="1"/>
  <c r="BN546" i="17"/>
  <c r="AF437" i="15" s="1"/>
  <c r="BC547" i="17"/>
  <c r="BH547" i="17" s="1"/>
  <c r="AY587" i="17" l="1"/>
  <c r="AQ587" i="17"/>
  <c r="W588" i="17"/>
  <c r="AA588" i="17" s="1"/>
  <c r="AK588" i="17" s="1"/>
  <c r="AV587" i="17"/>
  <c r="AD588" i="17"/>
  <c r="BD547" i="17"/>
  <c r="BE547" i="17" s="1"/>
  <c r="AL571" i="15"/>
  <c r="BQ546" i="17"/>
  <c r="Y588" i="17" l="1"/>
  <c r="AE588" i="17"/>
  <c r="BF547" i="17"/>
  <c r="BG547" i="17" s="1"/>
  <c r="BJ547" i="17"/>
  <c r="BK547" i="17"/>
  <c r="BL547" i="17" s="1"/>
  <c r="BM547" i="17" s="1"/>
  <c r="AB588" i="17" l="1"/>
  <c r="AF588" i="17" s="1"/>
  <c r="AG588" i="17" s="1"/>
  <c r="Z588" i="17"/>
  <c r="U589" i="17" s="1"/>
  <c r="AC589" i="17" s="1"/>
  <c r="AD589" i="17" s="1"/>
  <c r="AE589" i="17" s="1"/>
  <c r="BI547" i="17"/>
  <c r="BO547" i="17" s="1"/>
  <c r="BP547" i="17" s="1"/>
  <c r="BC548" i="17"/>
  <c r="W589" i="17" l="1"/>
  <c r="AA589" i="17" s="1"/>
  <c r="AK589" i="17" s="1"/>
  <c r="AH588" i="17"/>
  <c r="AS588" i="17" s="1"/>
  <c r="AL588" i="17"/>
  <c r="BN547" i="17"/>
  <c r="AF440" i="15" s="1"/>
  <c r="BD548" i="17"/>
  <c r="BE548" i="17" s="1"/>
  <c r="BH548" i="17"/>
  <c r="AL572" i="15"/>
  <c r="Y589" i="17" l="1"/>
  <c r="AB589" i="17" s="1"/>
  <c r="AF589" i="17" s="1"/>
  <c r="AG589" i="17" s="1"/>
  <c r="AL589" i="17" s="1"/>
  <c r="AY589" i="17" s="1"/>
  <c r="AY588" i="17"/>
  <c r="AM588" i="17"/>
  <c r="AN588" i="17" s="1"/>
  <c r="AO588" i="17" s="1"/>
  <c r="AP588" i="17" s="1"/>
  <c r="AQ588" i="17" s="1"/>
  <c r="AU588" i="17"/>
  <c r="AT588" i="17"/>
  <c r="AW588" i="17" s="1"/>
  <c r="AX588" i="17" s="1"/>
  <c r="AZ588" i="17" s="1"/>
  <c r="BQ547" i="17"/>
  <c r="BK548" i="17"/>
  <c r="BL548" i="17" s="1"/>
  <c r="BM548" i="17" s="1"/>
  <c r="BJ548" i="17"/>
  <c r="BF548" i="17"/>
  <c r="AH589" i="17" l="1"/>
  <c r="AS589" i="17" s="1"/>
  <c r="AT589" i="17" s="1"/>
  <c r="AW589" i="17" s="1"/>
  <c r="AX589" i="17" s="1"/>
  <c r="AZ589" i="17" s="1"/>
  <c r="AM589" i="17"/>
  <c r="AN589" i="17" s="1"/>
  <c r="AO589" i="17" s="1"/>
  <c r="AP589" i="17" s="1"/>
  <c r="Z589" i="17"/>
  <c r="U590" i="17" s="1"/>
  <c r="AC590" i="17" s="1"/>
  <c r="AD590" i="17" s="1"/>
  <c r="AE590" i="17" s="1"/>
  <c r="AV588" i="17"/>
  <c r="AR588" i="17"/>
  <c r="BG548" i="17"/>
  <c r="BI548" i="17"/>
  <c r="AU589" i="17" l="1"/>
  <c r="AV589" i="17" s="1"/>
  <c r="AR589" i="17"/>
  <c r="W590" i="17"/>
  <c r="AA590" i="17" s="1"/>
  <c r="AK590" i="17" s="1"/>
  <c r="AQ589" i="17"/>
  <c r="BO548" i="17"/>
  <c r="BP548" i="17" s="1"/>
  <c r="BN548" i="17"/>
  <c r="AF442" i="15" s="1"/>
  <c r="BC549" i="17"/>
  <c r="BH549" i="17" s="1"/>
  <c r="Y590" i="17" l="1"/>
  <c r="AB590" i="17" s="1"/>
  <c r="AF590" i="17" s="1"/>
  <c r="AG590" i="17" s="1"/>
  <c r="AL590" i="17" s="1"/>
  <c r="BD549" i="17"/>
  <c r="BE549" i="17" s="1"/>
  <c r="BF549" i="17" s="1"/>
  <c r="AL573" i="15"/>
  <c r="BQ548" i="17"/>
  <c r="Z590" i="17" l="1"/>
  <c r="U591" i="17" s="1"/>
  <c r="AC591" i="17" s="1"/>
  <c r="AY590" i="17"/>
  <c r="AH590" i="17"/>
  <c r="AS590" i="17" s="1"/>
  <c r="AM590" i="17"/>
  <c r="AN590" i="17" s="1"/>
  <c r="AO590" i="17" s="1"/>
  <c r="AP590" i="17" s="1"/>
  <c r="AQ590" i="17" s="1"/>
  <c r="BG549" i="17"/>
  <c r="BI549" i="17"/>
  <c r="BK549" i="17"/>
  <c r="BL549" i="17" s="1"/>
  <c r="BM549" i="17" s="1"/>
  <c r="BJ549" i="17"/>
  <c r="AT590" i="17" l="1"/>
  <c r="AW590" i="17" s="1"/>
  <c r="AX590" i="17" s="1"/>
  <c r="AZ590" i="17" s="1"/>
  <c r="AU590" i="17"/>
  <c r="W591" i="17"/>
  <c r="AR590" i="17"/>
  <c r="AD591" i="17"/>
  <c r="BO549" i="17"/>
  <c r="BP549" i="17" s="1"/>
  <c r="BN549" i="17"/>
  <c r="AF445" i="15" s="1"/>
  <c r="BC550" i="17"/>
  <c r="BH550" i="17" s="1"/>
  <c r="Y591" i="17" l="1"/>
  <c r="AB591" i="17" s="1"/>
  <c r="AA591" i="17"/>
  <c r="AK591" i="17" s="1"/>
  <c r="AE591" i="17"/>
  <c r="AV590" i="17"/>
  <c r="BD550" i="17"/>
  <c r="BE550" i="17" s="1"/>
  <c r="BF550" i="17" s="1"/>
  <c r="AL574" i="15"/>
  <c r="BQ549" i="17"/>
  <c r="AF591" i="17" l="1"/>
  <c r="AG591" i="17" s="1"/>
  <c r="AL591" i="17" s="1"/>
  <c r="Z591" i="17"/>
  <c r="BG550" i="17"/>
  <c r="BI550" i="17"/>
  <c r="BK550" i="17"/>
  <c r="BL550" i="17" s="1"/>
  <c r="BM550" i="17" s="1"/>
  <c r="BJ550" i="17"/>
  <c r="AH591" i="17" l="1"/>
  <c r="AS591" i="17" s="1"/>
  <c r="AT591" i="17" s="1"/>
  <c r="AW591" i="17" s="1"/>
  <c r="AX591" i="17" s="1"/>
  <c r="AZ591" i="17" s="1"/>
  <c r="AY591" i="17"/>
  <c r="AM591" i="17"/>
  <c r="AN591" i="17" s="1"/>
  <c r="AO591" i="17" s="1"/>
  <c r="AP591" i="17" s="1"/>
  <c r="AQ591" i="17" s="1"/>
  <c r="U592" i="17"/>
  <c r="AC592" i="17" s="1"/>
  <c r="BO550" i="17"/>
  <c r="BP550" i="17" s="1"/>
  <c r="BN550" i="17"/>
  <c r="AF447" i="15" s="1"/>
  <c r="BC551" i="17"/>
  <c r="BH551" i="17" s="1"/>
  <c r="W592" i="17" l="1"/>
  <c r="AA592" i="17" s="1"/>
  <c r="AK592" i="17" s="1"/>
  <c r="AU591" i="17"/>
  <c r="AV591" i="17" s="1"/>
  <c r="AR591" i="17"/>
  <c r="AD592" i="17"/>
  <c r="BD551" i="17"/>
  <c r="BE551" i="17" s="1"/>
  <c r="BF551" i="17" s="1"/>
  <c r="BG551" i="17" s="1"/>
  <c r="AL575" i="15"/>
  <c r="BQ550" i="17"/>
  <c r="Y592" i="17" l="1"/>
  <c r="AB592" i="17" s="1"/>
  <c r="AE592" i="17"/>
  <c r="BJ551" i="17"/>
  <c r="BK551" i="17"/>
  <c r="BL551" i="17" s="1"/>
  <c r="BM551" i="17" s="1"/>
  <c r="BI551" i="17"/>
  <c r="BO551" i="17" s="1"/>
  <c r="BP551" i="17" s="1"/>
  <c r="BC552" i="17"/>
  <c r="BH552" i="17" s="1"/>
  <c r="Z592" i="17" l="1"/>
  <c r="U593" i="17" s="1"/>
  <c r="AC593" i="17" s="1"/>
  <c r="AF592" i="17"/>
  <c r="AG592" i="17" s="1"/>
  <c r="AL592" i="17" s="1"/>
  <c r="BN551" i="17"/>
  <c r="AF449" i="15" s="1"/>
  <c r="BD552" i="17"/>
  <c r="BE552" i="17" s="1"/>
  <c r="BF552" i="17" s="1"/>
  <c r="AL576" i="15"/>
  <c r="W593" i="17" l="1"/>
  <c r="AA593" i="17" s="1"/>
  <c r="AK593" i="17" s="1"/>
  <c r="AD593" i="17"/>
  <c r="AY592" i="17"/>
  <c r="AH592" i="17"/>
  <c r="AS592" i="17" s="1"/>
  <c r="AM592" i="17"/>
  <c r="AN592" i="17" s="1"/>
  <c r="AO592" i="17" s="1"/>
  <c r="AP592" i="17" s="1"/>
  <c r="AQ592" i="17" s="1"/>
  <c r="BQ551" i="17"/>
  <c r="BG552" i="17"/>
  <c r="BI552" i="17"/>
  <c r="BK552" i="17"/>
  <c r="BL552" i="17" s="1"/>
  <c r="BM552" i="17" s="1"/>
  <c r="BJ552" i="17"/>
  <c r="Y593" i="17" l="1"/>
  <c r="AB593" i="17" s="1"/>
  <c r="AT592" i="17"/>
  <c r="AW592" i="17" s="1"/>
  <c r="AX592" i="17" s="1"/>
  <c r="AZ592" i="17" s="1"/>
  <c r="AU592" i="17"/>
  <c r="AE593" i="17"/>
  <c r="AR592" i="17"/>
  <c r="BO552" i="17"/>
  <c r="BP552" i="17" s="1"/>
  <c r="BN552" i="17"/>
  <c r="AF452" i="15" s="1"/>
  <c r="BC553" i="17"/>
  <c r="Z593" i="17" l="1"/>
  <c r="U594" i="17" s="1"/>
  <c r="AC594" i="17" s="1"/>
  <c r="AF593" i="17"/>
  <c r="AG593" i="17" s="1"/>
  <c r="AV592" i="17"/>
  <c r="BD553" i="17"/>
  <c r="BH553" i="17"/>
  <c r="AL577" i="15"/>
  <c r="BQ552" i="17"/>
  <c r="W594" i="17" l="1"/>
  <c r="AA594" i="17" s="1"/>
  <c r="AK594" i="17" s="1"/>
  <c r="AH593" i="17"/>
  <c r="AS593" i="17" s="1"/>
  <c r="AL593" i="17"/>
  <c r="AY593" i="17" s="1"/>
  <c r="AD594" i="17"/>
  <c r="AE594" i="17" s="1"/>
  <c r="BK553" i="17"/>
  <c r="BL553" i="17" s="1"/>
  <c r="BM553" i="17" s="1"/>
  <c r="BJ553" i="17"/>
  <c r="BE553" i="17"/>
  <c r="BF553" i="17" s="1"/>
  <c r="Y594" i="17" l="1"/>
  <c r="AM593" i="17"/>
  <c r="AN593" i="17" s="1"/>
  <c r="AO593" i="17" s="1"/>
  <c r="AP593" i="17" s="1"/>
  <c r="AR593" i="17" s="1"/>
  <c r="AT593" i="17"/>
  <c r="AW593" i="17" s="1"/>
  <c r="AX593" i="17" s="1"/>
  <c r="AZ593" i="17" s="1"/>
  <c r="AU593" i="17"/>
  <c r="BG553" i="17"/>
  <c r="BI553" i="17"/>
  <c r="AB594" i="17" l="1"/>
  <c r="Z594" i="17"/>
  <c r="U595" i="17" s="1"/>
  <c r="AC595" i="17" s="1"/>
  <c r="AD595" i="17" s="1"/>
  <c r="AE595" i="17" s="1"/>
  <c r="AQ593" i="17"/>
  <c r="AV593" i="17"/>
  <c r="BO553" i="17"/>
  <c r="BP553" i="17" s="1"/>
  <c r="BN553" i="17"/>
  <c r="AF457" i="15" s="1"/>
  <c r="BC554" i="17"/>
  <c r="BH554" i="17" s="1"/>
  <c r="W595" i="17" l="1"/>
  <c r="AA595" i="17" s="1"/>
  <c r="AK595" i="17" s="1"/>
  <c r="AF594" i="17"/>
  <c r="AG594" i="17" s="1"/>
  <c r="BD554" i="17"/>
  <c r="BK554" i="17" s="1"/>
  <c r="BL554" i="17" s="1"/>
  <c r="BM554" i="17" s="1"/>
  <c r="AL578" i="15"/>
  <c r="BQ553" i="17"/>
  <c r="Y595" i="17" l="1"/>
  <c r="AB595" i="17" s="1"/>
  <c r="AF595" i="17" s="1"/>
  <c r="AG595" i="17" s="1"/>
  <c r="AL595" i="17" s="1"/>
  <c r="AY595" i="17" s="1"/>
  <c r="AH594" i="17"/>
  <c r="AS594" i="17" s="1"/>
  <c r="AL594" i="17"/>
  <c r="AY594" i="17" s="1"/>
  <c r="BE554" i="17"/>
  <c r="BF554" i="17" s="1"/>
  <c r="BI554" i="17" s="1"/>
  <c r="BJ554" i="17"/>
  <c r="Z595" i="17" l="1"/>
  <c r="U596" i="17" s="1"/>
  <c r="AC596" i="17" s="1"/>
  <c r="AD596" i="17" s="1"/>
  <c r="AE596" i="17" s="1"/>
  <c r="AM594" i="17"/>
  <c r="AN594" i="17" s="1"/>
  <c r="AO594" i="17" s="1"/>
  <c r="AT594" i="17"/>
  <c r="AW594" i="17" s="1"/>
  <c r="AX594" i="17" s="1"/>
  <c r="AZ594" i="17" s="1"/>
  <c r="AU594" i="17"/>
  <c r="AV594" i="17" s="1"/>
  <c r="AH595" i="17"/>
  <c r="AS595" i="17" s="1"/>
  <c r="AM595" i="17"/>
  <c r="BG554" i="17"/>
  <c r="BC555" i="17" s="1"/>
  <c r="BO554" i="17"/>
  <c r="BP554" i="17" s="1"/>
  <c r="BN554" i="17"/>
  <c r="AF461" i="15" s="1"/>
  <c r="W596" i="17" l="1"/>
  <c r="AA596" i="17" s="1"/>
  <c r="AK596" i="17" s="1"/>
  <c r="AP594" i="17"/>
  <c r="AR594" i="17" s="1"/>
  <c r="AT595" i="17"/>
  <c r="AW595" i="17" s="1"/>
  <c r="AX595" i="17" s="1"/>
  <c r="AZ595" i="17" s="1"/>
  <c r="AU595" i="17"/>
  <c r="AN595" i="17"/>
  <c r="AO595" i="17" s="1"/>
  <c r="BD555" i="17"/>
  <c r="BH555" i="17"/>
  <c r="AL579" i="15"/>
  <c r="BQ554" i="17"/>
  <c r="Y596" i="17" l="1"/>
  <c r="AB596" i="17" s="1"/>
  <c r="AF596" i="17" s="1"/>
  <c r="AG596" i="17" s="1"/>
  <c r="AL596" i="17" s="1"/>
  <c r="AQ594" i="17"/>
  <c r="AP595" i="17"/>
  <c r="AR595" i="17" s="1"/>
  <c r="AV595" i="17"/>
  <c r="BK555" i="17"/>
  <c r="BL555" i="17" s="1"/>
  <c r="BM555" i="17" s="1"/>
  <c r="BJ555" i="17"/>
  <c r="BE555" i="17"/>
  <c r="BF555" i="17" s="1"/>
  <c r="AH596" i="17" l="1"/>
  <c r="AS596" i="17" s="1"/>
  <c r="AT596" i="17" s="1"/>
  <c r="AW596" i="17" s="1"/>
  <c r="AX596" i="17" s="1"/>
  <c r="AZ596" i="17" s="1"/>
  <c r="Z596" i="17"/>
  <c r="U597" i="17" s="1"/>
  <c r="AC597" i="17" s="1"/>
  <c r="AD597" i="17" s="1"/>
  <c r="AE597" i="17" s="1"/>
  <c r="AY596" i="17"/>
  <c r="AM596" i="17"/>
  <c r="AN596" i="17" s="1"/>
  <c r="AO596" i="17" s="1"/>
  <c r="AP596" i="17" s="1"/>
  <c r="AQ596" i="17" s="1"/>
  <c r="AQ595" i="17"/>
  <c r="BG555" i="17"/>
  <c r="BI555" i="17"/>
  <c r="AU596" i="17" l="1"/>
  <c r="AV596" i="17" s="1"/>
  <c r="W597" i="17"/>
  <c r="AA597" i="17" s="1"/>
  <c r="AK597" i="17" s="1"/>
  <c r="AR596" i="17"/>
  <c r="BO555" i="17"/>
  <c r="BP555" i="17" s="1"/>
  <c r="BN555" i="17"/>
  <c r="AF464" i="15" s="1"/>
  <c r="BC556" i="17"/>
  <c r="BH556" i="17" s="1"/>
  <c r="Y597" i="17" l="1"/>
  <c r="AB597" i="17" s="1"/>
  <c r="AF597" i="17" s="1"/>
  <c r="AG597" i="17" s="1"/>
  <c r="AL597" i="17" s="1"/>
  <c r="AY597" i="17" s="1"/>
  <c r="AL580" i="15"/>
  <c r="BQ555" i="17"/>
  <c r="BD556" i="17"/>
  <c r="Z597" i="17" l="1"/>
  <c r="U598" i="17" s="1"/>
  <c r="AC598" i="17" s="1"/>
  <c r="AD598" i="17" s="1"/>
  <c r="AE598" i="17" s="1"/>
  <c r="AM597" i="17"/>
  <c r="AN597" i="17" s="1"/>
  <c r="AO597" i="17" s="1"/>
  <c r="AP597" i="17" s="1"/>
  <c r="AH597" i="17"/>
  <c r="AS597" i="17" s="1"/>
  <c r="AT597" i="17" s="1"/>
  <c r="AW597" i="17" s="1"/>
  <c r="AX597" i="17" s="1"/>
  <c r="AZ597" i="17" s="1"/>
  <c r="BK556" i="17"/>
  <c r="BL556" i="17" s="1"/>
  <c r="BM556" i="17" s="1"/>
  <c r="BJ556" i="17"/>
  <c r="BE556" i="17"/>
  <c r="BF556" i="17" s="1"/>
  <c r="W598" i="17" l="1"/>
  <c r="AA598" i="17" s="1"/>
  <c r="AK598" i="17" s="1"/>
  <c r="AQ597" i="17"/>
  <c r="AU597" i="17"/>
  <c r="AV597" i="17" s="1"/>
  <c r="AR597" i="17"/>
  <c r="BG556" i="17"/>
  <c r="BI556" i="17"/>
  <c r="Y598" i="17" l="1"/>
  <c r="AB598" i="17" s="1"/>
  <c r="AF598" i="17" s="1"/>
  <c r="AG598" i="17" s="1"/>
  <c r="AH598" i="17" s="1"/>
  <c r="AS598" i="17" s="1"/>
  <c r="BO556" i="17"/>
  <c r="BP556" i="17" s="1"/>
  <c r="BN556" i="17"/>
  <c r="AF468" i="15" s="1"/>
  <c r="BC557" i="17"/>
  <c r="BH557" i="17" s="1"/>
  <c r="AL598" i="17" l="1"/>
  <c r="AM598" i="17" s="1"/>
  <c r="AN598" i="17" s="1"/>
  <c r="AO598" i="17" s="1"/>
  <c r="AP598" i="17" s="1"/>
  <c r="AQ598" i="17" s="1"/>
  <c r="Z598" i="17"/>
  <c r="U599" i="17" s="1"/>
  <c r="AC599" i="17" s="1"/>
  <c r="AD599" i="17" s="1"/>
  <c r="AU598" i="17"/>
  <c r="AT598" i="17"/>
  <c r="AW598" i="17" s="1"/>
  <c r="AX598" i="17" s="1"/>
  <c r="AZ598" i="17" s="1"/>
  <c r="AY598" i="17"/>
  <c r="BD557" i="17"/>
  <c r="BK557" i="17" s="1"/>
  <c r="BL557" i="17" s="1"/>
  <c r="BM557" i="17" s="1"/>
  <c r="AL581" i="15"/>
  <c r="BQ556" i="17"/>
  <c r="AR598" i="17" l="1"/>
  <c r="W599" i="17"/>
  <c r="AA599" i="17" s="1"/>
  <c r="AK599" i="17" s="1"/>
  <c r="AV598" i="17"/>
  <c r="AE599" i="17"/>
  <c r="BE557" i="17"/>
  <c r="BF557" i="17" s="1"/>
  <c r="BG557" i="17" s="1"/>
  <c r="BJ557" i="17"/>
  <c r="Y599" i="17" l="1"/>
  <c r="AB599" i="17" s="1"/>
  <c r="AF599" i="17" s="1"/>
  <c r="AG599" i="17" s="1"/>
  <c r="AL599" i="17" s="1"/>
  <c r="AM599" i="17" s="1"/>
  <c r="AN599" i="17" s="1"/>
  <c r="AO599" i="17" s="1"/>
  <c r="AP599" i="17" s="1"/>
  <c r="AQ599" i="17" s="1"/>
  <c r="BI557" i="17"/>
  <c r="BO557" i="17" s="1"/>
  <c r="BP557" i="17" s="1"/>
  <c r="BC558" i="17"/>
  <c r="BH558" i="17" s="1"/>
  <c r="Z599" i="17" l="1"/>
  <c r="AH599" i="17"/>
  <c r="AS599" i="17" s="1"/>
  <c r="AU599" i="17" s="1"/>
  <c r="AY599" i="17"/>
  <c r="U600" i="17"/>
  <c r="AC600" i="17" s="1"/>
  <c r="BN557" i="17"/>
  <c r="AF472" i="15" s="1"/>
  <c r="BD558" i="17"/>
  <c r="BE558" i="17" s="1"/>
  <c r="AL582" i="15"/>
  <c r="AR599" i="17" l="1"/>
  <c r="AT599" i="17"/>
  <c r="AW599" i="17" s="1"/>
  <c r="AX599" i="17" s="1"/>
  <c r="AZ599" i="17" s="1"/>
  <c r="W600" i="17"/>
  <c r="AA600" i="17" s="1"/>
  <c r="AK600" i="17" s="1"/>
  <c r="AV599" i="17"/>
  <c r="AD600" i="17"/>
  <c r="BQ557" i="17"/>
  <c r="BK558" i="17"/>
  <c r="BL558" i="17" s="1"/>
  <c r="BM558" i="17" s="1"/>
  <c r="BJ558" i="17"/>
  <c r="BF558" i="17"/>
  <c r="Y600" i="17" l="1"/>
  <c r="AB600" i="17" s="1"/>
  <c r="AE600" i="17"/>
  <c r="BG558" i="17"/>
  <c r="BI558" i="17"/>
  <c r="Z600" i="17" l="1"/>
  <c r="U601" i="17" s="1"/>
  <c r="AC601" i="17" s="1"/>
  <c r="AF600" i="17"/>
  <c r="AG600" i="17" s="1"/>
  <c r="BO558" i="17"/>
  <c r="BP558" i="17" s="1"/>
  <c r="BN558" i="17"/>
  <c r="AF475" i="15" s="1"/>
  <c r="BC559" i="17"/>
  <c r="BH559" i="17" s="1"/>
  <c r="AD601" i="17" l="1"/>
  <c r="W601" i="17"/>
  <c r="AA601" i="17" s="1"/>
  <c r="AK601" i="17" s="1"/>
  <c r="AH600" i="17"/>
  <c r="AS600" i="17" s="1"/>
  <c r="AL600" i="17"/>
  <c r="AY600" i="17" s="1"/>
  <c r="BD559" i="17"/>
  <c r="BJ559" i="17" s="1"/>
  <c r="AL583" i="15"/>
  <c r="BQ558" i="17"/>
  <c r="Y601" i="17" l="1"/>
  <c r="AB601" i="17" s="1"/>
  <c r="AM600" i="17"/>
  <c r="AN600" i="17" s="1"/>
  <c r="AO600" i="17" s="1"/>
  <c r="AE601" i="17"/>
  <c r="AT600" i="17"/>
  <c r="AW600" i="17" s="1"/>
  <c r="AX600" i="17" s="1"/>
  <c r="AZ600" i="17" s="1"/>
  <c r="AU600" i="17"/>
  <c r="BK559" i="17"/>
  <c r="BL559" i="17" s="1"/>
  <c r="BM559" i="17" s="1"/>
  <c r="BE559" i="17"/>
  <c r="BF559" i="17" s="1"/>
  <c r="BG559" i="17" s="1"/>
  <c r="AF601" i="17" l="1"/>
  <c r="AG601" i="17" s="1"/>
  <c r="AL601" i="17" s="1"/>
  <c r="AM601" i="17" s="1"/>
  <c r="AN601" i="17" s="1"/>
  <c r="AO601" i="17" s="1"/>
  <c r="AP601" i="17" s="1"/>
  <c r="AQ601" i="17" s="1"/>
  <c r="Z601" i="17"/>
  <c r="U602" i="17" s="1"/>
  <c r="AC602" i="17" s="1"/>
  <c r="AV600" i="17"/>
  <c r="AP600" i="17"/>
  <c r="AR600" i="17" s="1"/>
  <c r="BI559" i="17"/>
  <c r="BN559" i="17" s="1"/>
  <c r="AF478" i="15" s="1"/>
  <c r="BC560" i="17"/>
  <c r="BH560" i="17" s="1"/>
  <c r="AH601" i="17" l="1"/>
  <c r="AS601" i="17" s="1"/>
  <c r="AT601" i="17" s="1"/>
  <c r="AW601" i="17" s="1"/>
  <c r="AX601" i="17" s="1"/>
  <c r="AZ601" i="17" s="1"/>
  <c r="AQ600" i="17"/>
  <c r="AD602" i="17"/>
  <c r="AE602" i="17" s="1"/>
  <c r="AY601" i="17"/>
  <c r="W602" i="17"/>
  <c r="BO559" i="17"/>
  <c r="BP559" i="17" s="1"/>
  <c r="AL584" i="15" s="1"/>
  <c r="BD560" i="17"/>
  <c r="BK560" i="17" s="1"/>
  <c r="BL560" i="17" s="1"/>
  <c r="BM560" i="17" s="1"/>
  <c r="AR601" i="17" l="1"/>
  <c r="AU601" i="17"/>
  <c r="AV601" i="17" s="1"/>
  <c r="BQ559" i="17"/>
  <c r="AA602" i="17"/>
  <c r="AK602" i="17" s="1"/>
  <c r="Y602" i="17"/>
  <c r="AB602" i="17" s="1"/>
  <c r="BE560" i="17"/>
  <c r="BF560" i="17" s="1"/>
  <c r="BG560" i="17" s="1"/>
  <c r="BJ560" i="17"/>
  <c r="Z602" i="17" l="1"/>
  <c r="U603" i="17" s="1"/>
  <c r="AC603" i="17" s="1"/>
  <c r="AF602" i="17"/>
  <c r="AG602" i="17" s="1"/>
  <c r="AL602" i="17" s="1"/>
  <c r="AY602" i="17" s="1"/>
  <c r="BI560" i="17"/>
  <c r="BN560" i="17" s="1"/>
  <c r="AF481" i="15" s="1"/>
  <c r="BC561" i="17"/>
  <c r="BH561" i="17" s="1"/>
  <c r="W603" i="17" l="1"/>
  <c r="AA603" i="17" s="1"/>
  <c r="AK603" i="17" s="1"/>
  <c r="AH602" i="17"/>
  <c r="AS602" i="17" s="1"/>
  <c r="AM602" i="17"/>
  <c r="AN602" i="17" s="1"/>
  <c r="AO602" i="17" s="1"/>
  <c r="AD603" i="17"/>
  <c r="AE603" i="17" s="1"/>
  <c r="BO560" i="17"/>
  <c r="BP560" i="17" s="1"/>
  <c r="AL585" i="15" s="1"/>
  <c r="BD561" i="17"/>
  <c r="Y603" i="17" l="1"/>
  <c r="AB603" i="17" s="1"/>
  <c r="AF603" i="17" s="1"/>
  <c r="AG603" i="17" s="1"/>
  <c r="AH603" i="17" s="1"/>
  <c r="AS603" i="17" s="1"/>
  <c r="AT603" i="17" s="1"/>
  <c r="BQ560" i="17"/>
  <c r="AU602" i="17"/>
  <c r="AT602" i="17"/>
  <c r="AW602" i="17" s="1"/>
  <c r="AX602" i="17" s="1"/>
  <c r="AZ602" i="17" s="1"/>
  <c r="AP602" i="17"/>
  <c r="AR602" i="17" s="1"/>
  <c r="BK561" i="17"/>
  <c r="BL561" i="17" s="1"/>
  <c r="BM561" i="17" s="1"/>
  <c r="BJ561" i="17"/>
  <c r="BE561" i="17"/>
  <c r="BF561" i="17" s="1"/>
  <c r="Z603" i="17" l="1"/>
  <c r="U604" i="17" s="1"/>
  <c r="AC604" i="17" s="1"/>
  <c r="AD604" i="17" s="1"/>
  <c r="AE604" i="17" s="1"/>
  <c r="AW603" i="17"/>
  <c r="AX603" i="17" s="1"/>
  <c r="AZ603" i="17" s="1"/>
  <c r="AQ602" i="17"/>
  <c r="AL603" i="17"/>
  <c r="AV602" i="17"/>
  <c r="AU603" i="17" s="1"/>
  <c r="BG561" i="17"/>
  <c r="BI561" i="17"/>
  <c r="W604" i="17" l="1"/>
  <c r="AA604" i="17" s="1"/>
  <c r="AK604" i="17" s="1"/>
  <c r="AM603" i="17"/>
  <c r="AN603" i="17" s="1"/>
  <c r="AO603" i="17" s="1"/>
  <c r="AP603" i="17" s="1"/>
  <c r="AQ603" i="17" s="1"/>
  <c r="AY603" i="17"/>
  <c r="AV603" i="17"/>
  <c r="BO561" i="17"/>
  <c r="BP561" i="17" s="1"/>
  <c r="BN561" i="17"/>
  <c r="AF469" i="15" s="1"/>
  <c r="BC562" i="17"/>
  <c r="Y604" i="17" l="1"/>
  <c r="AB604" i="17" s="1"/>
  <c r="AF604" i="17" s="1"/>
  <c r="AG604" i="17" s="1"/>
  <c r="AL604" i="17" s="1"/>
  <c r="AY604" i="17" s="1"/>
  <c r="AR603" i="17"/>
  <c r="BD562" i="17"/>
  <c r="BE562" i="17" s="1"/>
  <c r="BF562" i="17" s="1"/>
  <c r="BH562" i="17"/>
  <c r="AL586" i="15"/>
  <c r="BQ561" i="17"/>
  <c r="Z604" i="17" l="1"/>
  <c r="U605" i="17" s="1"/>
  <c r="AC605" i="17" s="1"/>
  <c r="AD605" i="17" s="1"/>
  <c r="AE605" i="17" s="1"/>
  <c r="AH604" i="17"/>
  <c r="AS604" i="17" s="1"/>
  <c r="AT604" i="17" s="1"/>
  <c r="AW604" i="17" s="1"/>
  <c r="AX604" i="17" s="1"/>
  <c r="AZ604" i="17" s="1"/>
  <c r="AM604" i="17"/>
  <c r="AN604" i="17" s="1"/>
  <c r="AO604" i="17" s="1"/>
  <c r="AP604" i="17" s="1"/>
  <c r="BG562" i="17"/>
  <c r="BI562" i="17"/>
  <c r="BK562" i="17"/>
  <c r="BL562" i="17" s="1"/>
  <c r="BM562" i="17" s="1"/>
  <c r="BJ562" i="17"/>
  <c r="W605" i="17" l="1"/>
  <c r="AA605" i="17" s="1"/>
  <c r="AK605" i="17" s="1"/>
  <c r="AU604" i="17"/>
  <c r="AV604" i="17" s="1"/>
  <c r="AQ604" i="17"/>
  <c r="AR604" i="17"/>
  <c r="BO562" i="17"/>
  <c r="BP562" i="17" s="1"/>
  <c r="BN562" i="17"/>
  <c r="AF484" i="15" s="1"/>
  <c r="BC563" i="17"/>
  <c r="BD563" i="17" s="1"/>
  <c r="Y605" i="17" l="1"/>
  <c r="AB605" i="17" s="1"/>
  <c r="AF605" i="17" s="1"/>
  <c r="AG605" i="17" s="1"/>
  <c r="AH605" i="17" s="1"/>
  <c r="AS605" i="17" s="1"/>
  <c r="AT605" i="17" s="1"/>
  <c r="AW605" i="17" s="1"/>
  <c r="AX605" i="17" s="1"/>
  <c r="AZ605" i="17" s="1"/>
  <c r="BK563" i="17"/>
  <c r="BL563" i="17" s="1"/>
  <c r="BM563" i="17" s="1"/>
  <c r="BJ563" i="17"/>
  <c r="BE563" i="17"/>
  <c r="BF563" i="17" s="1"/>
  <c r="BH563" i="17"/>
  <c r="AL587" i="15"/>
  <c r="BQ562" i="17"/>
  <c r="AL605" i="17" l="1"/>
  <c r="AY605" i="17" s="1"/>
  <c r="Z605" i="17"/>
  <c r="U606" i="17" s="1"/>
  <c r="AC606" i="17" s="1"/>
  <c r="AD606" i="17" s="1"/>
  <c r="AE606" i="17" s="1"/>
  <c r="AU605" i="17"/>
  <c r="AV605" i="17" s="1"/>
  <c r="BG563" i="17"/>
  <c r="BI563" i="17"/>
  <c r="AM605" i="17" l="1"/>
  <c r="AN605" i="17" s="1"/>
  <c r="AO605" i="17" s="1"/>
  <c r="AP605" i="17" s="1"/>
  <c r="AQ605" i="17" s="1"/>
  <c r="W606" i="17"/>
  <c r="AA606" i="17" s="1"/>
  <c r="AK606" i="17" s="1"/>
  <c r="BO563" i="17"/>
  <c r="BP563" i="17" s="1"/>
  <c r="BN563" i="17"/>
  <c r="AF487" i="15" s="1"/>
  <c r="BC564" i="17"/>
  <c r="BH564" i="17" s="1"/>
  <c r="AR605" i="17" l="1"/>
  <c r="Y606" i="17"/>
  <c r="AB606" i="17" s="1"/>
  <c r="AF606" i="17" s="1"/>
  <c r="AG606" i="17" s="1"/>
  <c r="AH606" i="17" s="1"/>
  <c r="AS606" i="17" s="1"/>
  <c r="AL588" i="15"/>
  <c r="BQ563" i="17"/>
  <c r="BD564" i="17"/>
  <c r="AL606" i="17" l="1"/>
  <c r="AY606" i="17" s="1"/>
  <c r="Z606" i="17"/>
  <c r="U607" i="17" s="1"/>
  <c r="AC607" i="17" s="1"/>
  <c r="AD607" i="17" s="1"/>
  <c r="AE607" i="17" s="1"/>
  <c r="AT606" i="17"/>
  <c r="AW606" i="17" s="1"/>
  <c r="AX606" i="17" s="1"/>
  <c r="AZ606" i="17" s="1"/>
  <c r="AU606" i="17"/>
  <c r="BK564" i="17"/>
  <c r="BL564" i="17" s="1"/>
  <c r="BM564" i="17" s="1"/>
  <c r="BJ564" i="17"/>
  <c r="BE564" i="17"/>
  <c r="BF564" i="17" s="1"/>
  <c r="W607" i="17" l="1"/>
  <c r="Y607" i="17" s="1"/>
  <c r="AB607" i="17" s="1"/>
  <c r="AM606" i="17"/>
  <c r="AN606" i="17" s="1"/>
  <c r="AO606" i="17" s="1"/>
  <c r="AV606" i="17"/>
  <c r="BG564" i="17"/>
  <c r="BI564" i="17"/>
  <c r="AA607" i="17" l="1"/>
  <c r="AK607" i="17" s="1"/>
  <c r="AF607" i="17"/>
  <c r="AG607" i="17" s="1"/>
  <c r="AL607" i="17" s="1"/>
  <c r="AY607" i="17" s="1"/>
  <c r="AP606" i="17"/>
  <c r="AR606" i="17" s="1"/>
  <c r="Z607" i="17"/>
  <c r="BO564" i="17"/>
  <c r="BP564" i="17" s="1"/>
  <c r="BN564" i="17"/>
  <c r="AF489" i="15" s="1"/>
  <c r="BC565" i="17"/>
  <c r="BD565" i="17" s="1"/>
  <c r="AQ606" i="17" l="1"/>
  <c r="U608" i="17"/>
  <c r="AC608" i="17" s="1"/>
  <c r="AH607" i="17"/>
  <c r="AS607" i="17" s="1"/>
  <c r="AM607" i="17"/>
  <c r="AN607" i="17" s="1"/>
  <c r="AO607" i="17" s="1"/>
  <c r="BK565" i="17"/>
  <c r="BL565" i="17" s="1"/>
  <c r="BM565" i="17" s="1"/>
  <c r="BJ565" i="17"/>
  <c r="BE565" i="17"/>
  <c r="BF565" i="17" s="1"/>
  <c r="BH565" i="17"/>
  <c r="AL589" i="15"/>
  <c r="BQ564" i="17"/>
  <c r="AT607" i="17" l="1"/>
  <c r="AW607" i="17" s="1"/>
  <c r="AX607" i="17" s="1"/>
  <c r="AZ607" i="17" s="1"/>
  <c r="AU607" i="17"/>
  <c r="AP607" i="17"/>
  <c r="AR607" i="17" s="1"/>
  <c r="W608" i="17"/>
  <c r="AA608" i="17" s="1"/>
  <c r="AK608" i="17" s="1"/>
  <c r="AD608" i="17"/>
  <c r="AE608" i="17" s="1"/>
  <c r="BG565" i="17"/>
  <c r="BI565" i="17"/>
  <c r="AQ607" i="17" l="1"/>
  <c r="AV607" i="17"/>
  <c r="Y608" i="17"/>
  <c r="AB608" i="17" s="1"/>
  <c r="AF608" i="17" s="1"/>
  <c r="AG608" i="17" s="1"/>
  <c r="BO565" i="17"/>
  <c r="BP565" i="17" s="1"/>
  <c r="BN565" i="17"/>
  <c r="AF493" i="15" s="1"/>
  <c r="BC566" i="17"/>
  <c r="BH566" i="17" s="1"/>
  <c r="Z608" i="17" l="1"/>
  <c r="U609" i="17" s="1"/>
  <c r="AL608" i="17"/>
  <c r="AH608" i="17"/>
  <c r="AS608" i="17" s="1"/>
  <c r="BD566" i="17"/>
  <c r="AL590" i="15"/>
  <c r="BQ565" i="17"/>
  <c r="AY608" i="17" l="1"/>
  <c r="AT608" i="17"/>
  <c r="AW608" i="17" s="1"/>
  <c r="AX608" i="17" s="1"/>
  <c r="AZ608" i="17" s="1"/>
  <c r="AU608" i="17"/>
  <c r="AM608" i="17"/>
  <c r="AN608" i="17" s="1"/>
  <c r="AO608" i="17" s="1"/>
  <c r="AP608" i="17" s="1"/>
  <c r="AQ608" i="17" s="1"/>
  <c r="W609" i="17"/>
  <c r="AC609" i="17"/>
  <c r="BK566" i="17"/>
  <c r="BL566" i="17" s="1"/>
  <c r="BM566" i="17" s="1"/>
  <c r="BJ566" i="17"/>
  <c r="BE566" i="17"/>
  <c r="BF566" i="17" s="1"/>
  <c r="AR608" i="17" l="1"/>
  <c r="AD609" i="17"/>
  <c r="AE609" i="17" s="1"/>
  <c r="AV608" i="17"/>
  <c r="AA609" i="17"/>
  <c r="AK609" i="17" s="1"/>
  <c r="Y609" i="17"/>
  <c r="AB609" i="17" s="1"/>
  <c r="BG566" i="17"/>
  <c r="BI566" i="17"/>
  <c r="Z609" i="17" l="1"/>
  <c r="AF609" i="17"/>
  <c r="AG609" i="17" s="1"/>
  <c r="BO566" i="17"/>
  <c r="BP566" i="17" s="1"/>
  <c r="BN566" i="17"/>
  <c r="AF496" i="15" s="1"/>
  <c r="BC567" i="17"/>
  <c r="BH567" i="17" s="1"/>
  <c r="AH609" i="17" l="1"/>
  <c r="AS609" i="17" s="1"/>
  <c r="U610" i="17"/>
  <c r="AL609" i="17"/>
  <c r="AY609" i="17" s="1"/>
  <c r="BD567" i="17"/>
  <c r="BK567" i="17" s="1"/>
  <c r="BL567" i="17" s="1"/>
  <c r="BM567" i="17" s="1"/>
  <c r="AL591" i="15"/>
  <c r="BQ566" i="17"/>
  <c r="W610" i="17" l="1"/>
  <c r="AC610" i="17"/>
  <c r="AD610" i="17" s="1"/>
  <c r="AE610" i="17" s="1"/>
  <c r="AM609" i="17"/>
  <c r="AN609" i="17" s="1"/>
  <c r="AO609" i="17" s="1"/>
  <c r="AU609" i="17"/>
  <c r="AT609" i="17"/>
  <c r="AW609" i="17" s="1"/>
  <c r="AX609" i="17" s="1"/>
  <c r="AZ609" i="17" s="1"/>
  <c r="BE567" i="17"/>
  <c r="BF567" i="17" s="1"/>
  <c r="BG567" i="17" s="1"/>
  <c r="BJ567" i="17"/>
  <c r="AP609" i="17" l="1"/>
  <c r="AR609" i="17" s="1"/>
  <c r="AV609" i="17"/>
  <c r="AA610" i="17"/>
  <c r="AK610" i="17" s="1"/>
  <c r="Y610" i="17"/>
  <c r="BI567" i="17"/>
  <c r="BO567" i="17" s="1"/>
  <c r="BP567" i="17" s="1"/>
  <c r="AL592" i="15" s="1"/>
  <c r="BC568" i="17"/>
  <c r="AB610" i="17" l="1"/>
  <c r="Z610" i="17"/>
  <c r="AQ609" i="17"/>
  <c r="BN567" i="17"/>
  <c r="BQ567" i="17" s="1"/>
  <c r="BD568" i="17"/>
  <c r="BH568" i="17"/>
  <c r="AF498" i="15" l="1"/>
  <c r="U611" i="17"/>
  <c r="AC611" i="17" s="1"/>
  <c r="AF610" i="17"/>
  <c r="AG610" i="17" s="1"/>
  <c r="BK568" i="17"/>
  <c r="BL568" i="17" s="1"/>
  <c r="BM568" i="17" s="1"/>
  <c r="BJ568" i="17"/>
  <c r="BE568" i="17"/>
  <c r="BF568" i="17" s="1"/>
  <c r="AH610" i="17" l="1"/>
  <c r="AS610" i="17" s="1"/>
  <c r="W611" i="17"/>
  <c r="AL610" i="17"/>
  <c r="AM610" i="17" s="1"/>
  <c r="AN610" i="17" s="1"/>
  <c r="AO610" i="17" s="1"/>
  <c r="AP610" i="17" s="1"/>
  <c r="AQ610" i="17" s="1"/>
  <c r="AD611" i="17"/>
  <c r="BG568" i="17"/>
  <c r="BI568" i="17"/>
  <c r="AA611" i="17" l="1"/>
  <c r="AK611" i="17" s="1"/>
  <c r="AT610" i="17"/>
  <c r="AW610" i="17" s="1"/>
  <c r="AX610" i="17" s="1"/>
  <c r="AZ610" i="17" s="1"/>
  <c r="AU610" i="17"/>
  <c r="AE611" i="17"/>
  <c r="AY610" i="17"/>
  <c r="AR610" i="17"/>
  <c r="Y611" i="17"/>
  <c r="AB611" i="17" s="1"/>
  <c r="BO568" i="17"/>
  <c r="BP568" i="17" s="1"/>
  <c r="BN568" i="17"/>
  <c r="AF501" i="15" s="1"/>
  <c r="BC569" i="17"/>
  <c r="BH569" i="17" s="1"/>
  <c r="AV610" i="17" l="1"/>
  <c r="Z611" i="17"/>
  <c r="AF611" i="17"/>
  <c r="AG611" i="17" s="1"/>
  <c r="AL611" i="17" s="1"/>
  <c r="AY611" i="17" s="1"/>
  <c r="BD569" i="17"/>
  <c r="BJ569" i="17" s="1"/>
  <c r="AL593" i="15"/>
  <c r="BQ568" i="17"/>
  <c r="BK569" i="17" l="1"/>
  <c r="BL569" i="17" s="1"/>
  <c r="BM569" i="17" s="1"/>
  <c r="AH611" i="17"/>
  <c r="AS611" i="17" s="1"/>
  <c r="AM611" i="17"/>
  <c r="U612" i="17"/>
  <c r="AC612" i="17" s="1"/>
  <c r="AD612" i="17" s="1"/>
  <c r="AE612" i="17" s="1"/>
  <c r="BE569" i="17"/>
  <c r="BF569" i="17" s="1"/>
  <c r="BG569" i="17" s="1"/>
  <c r="W612" i="17" l="1"/>
  <c r="AA612" i="17" s="1"/>
  <c r="AK612" i="17" s="1"/>
  <c r="AN611" i="17"/>
  <c r="AO611" i="17" s="1"/>
  <c r="AT611" i="17"/>
  <c r="AW611" i="17" s="1"/>
  <c r="AU611" i="17"/>
  <c r="BI569" i="17"/>
  <c r="BO569" i="17" s="1"/>
  <c r="BP569" i="17" s="1"/>
  <c r="BC570" i="17"/>
  <c r="BH570" i="17" s="1"/>
  <c r="Y612" i="17" l="1"/>
  <c r="AB612" i="17" s="1"/>
  <c r="AF612" i="17" s="1"/>
  <c r="AG612" i="17" s="1"/>
  <c r="AL612" i="17" s="1"/>
  <c r="AP611" i="17"/>
  <c r="AR611" i="17" s="1"/>
  <c r="AV611" i="17"/>
  <c r="AX611" i="17"/>
  <c r="AZ611" i="17" s="1"/>
  <c r="BN569" i="17"/>
  <c r="AF505" i="15" s="1"/>
  <c r="BD570" i="17"/>
  <c r="BK570" i="17" s="1"/>
  <c r="BL570" i="17" s="1"/>
  <c r="BM570" i="17" s="1"/>
  <c r="AL594" i="15"/>
  <c r="Z612" i="17" l="1"/>
  <c r="U613" i="17" s="1"/>
  <c r="AC613" i="17" s="1"/>
  <c r="AQ611" i="17"/>
  <c r="AY612" i="17"/>
  <c r="AH612" i="17"/>
  <c r="AS612" i="17" s="1"/>
  <c r="AM612" i="17"/>
  <c r="BQ569" i="17"/>
  <c r="BJ570" i="17"/>
  <c r="BE570" i="17"/>
  <c r="BF570" i="17" s="1"/>
  <c r="BI570" i="17" s="1"/>
  <c r="AN612" i="17" l="1"/>
  <c r="AO612" i="17" s="1"/>
  <c r="AP612" i="17" s="1"/>
  <c r="AQ612" i="17" s="1"/>
  <c r="W613" i="17"/>
  <c r="AA613" i="17" s="1"/>
  <c r="AK613" i="17" s="1"/>
  <c r="AD613" i="17"/>
  <c r="AT612" i="17"/>
  <c r="AW612" i="17" s="1"/>
  <c r="AX612" i="17" s="1"/>
  <c r="AZ612" i="17" s="1"/>
  <c r="AU612" i="17"/>
  <c r="BG570" i="17"/>
  <c r="BC571" i="17" s="1"/>
  <c r="BD571" i="17" s="1"/>
  <c r="BO570" i="17"/>
  <c r="BP570" i="17" s="1"/>
  <c r="BN570" i="17"/>
  <c r="AF507" i="15" s="1"/>
  <c r="Y613" i="17" l="1"/>
  <c r="AB613" i="17" s="1"/>
  <c r="AE613" i="17"/>
  <c r="AV612" i="17"/>
  <c r="AR612" i="17"/>
  <c r="AL595" i="15"/>
  <c r="BQ570" i="17"/>
  <c r="BK571" i="17"/>
  <c r="BL571" i="17" s="1"/>
  <c r="BM571" i="17" s="1"/>
  <c r="BJ571" i="17"/>
  <c r="BE571" i="17"/>
  <c r="BF571" i="17" s="1"/>
  <c r="BH571" i="17"/>
  <c r="Z613" i="17" l="1"/>
  <c r="U614" i="17" s="1"/>
  <c r="AC614" i="17" s="1"/>
  <c r="AD614" i="17" s="1"/>
  <c r="AF613" i="17"/>
  <c r="AG613" i="17" s="1"/>
  <c r="AL613" i="17" s="1"/>
  <c r="AY613" i="17" s="1"/>
  <c r="BG571" i="17"/>
  <c r="BI571" i="17"/>
  <c r="AH613" i="17" l="1"/>
  <c r="AS613" i="17" s="1"/>
  <c r="AU613" i="17" s="1"/>
  <c r="AM613" i="17"/>
  <c r="AN613" i="17" s="1"/>
  <c r="AO613" i="17" s="1"/>
  <c r="W614" i="17"/>
  <c r="AA614" i="17" s="1"/>
  <c r="AK614" i="17" s="1"/>
  <c r="AE614" i="17"/>
  <c r="BO571" i="17"/>
  <c r="BP571" i="17" s="1"/>
  <c r="BN571" i="17"/>
  <c r="AF504" i="15" s="1"/>
  <c r="BC572" i="17"/>
  <c r="AT613" i="17" l="1"/>
  <c r="AW613" i="17" s="1"/>
  <c r="AX613" i="17" s="1"/>
  <c r="AZ613" i="17" s="1"/>
  <c r="Y614" i="17"/>
  <c r="AB614" i="17" s="1"/>
  <c r="AV613" i="17"/>
  <c r="AP613" i="17"/>
  <c r="AQ613" i="17" s="1"/>
  <c r="BD572" i="17"/>
  <c r="BH572" i="17"/>
  <c r="AL596" i="15"/>
  <c r="BQ571" i="17"/>
  <c r="Z614" i="17" l="1"/>
  <c r="U615" i="17" s="1"/>
  <c r="AC615" i="17" s="1"/>
  <c r="AR613" i="17"/>
  <c r="AF614" i="17"/>
  <c r="AG614" i="17" s="1"/>
  <c r="AL614" i="17" s="1"/>
  <c r="BK572" i="17"/>
  <c r="BL572" i="17" s="1"/>
  <c r="BM572" i="17" s="1"/>
  <c r="BJ572" i="17"/>
  <c r="BE572" i="17"/>
  <c r="BF572" i="17" s="1"/>
  <c r="W615" i="17" l="1"/>
  <c r="AA615" i="17" s="1"/>
  <c r="AK615" i="17" s="1"/>
  <c r="AY614" i="17"/>
  <c r="AH614" i="17"/>
  <c r="AS614" i="17" s="1"/>
  <c r="AM614" i="17"/>
  <c r="AN614" i="17" s="1"/>
  <c r="AO614" i="17" s="1"/>
  <c r="AD615" i="17"/>
  <c r="BG572" i="17"/>
  <c r="BI572" i="17"/>
  <c r="Y615" i="17" l="1"/>
  <c r="AB615" i="17" s="1"/>
  <c r="AT614" i="17"/>
  <c r="AW614" i="17" s="1"/>
  <c r="AX614" i="17" s="1"/>
  <c r="AZ614" i="17" s="1"/>
  <c r="AU614" i="17"/>
  <c r="AE615" i="17"/>
  <c r="AP614" i="17"/>
  <c r="AR614" i="17" s="1"/>
  <c r="BO572" i="17"/>
  <c r="BP572" i="17" s="1"/>
  <c r="BN572" i="17"/>
  <c r="AF444" i="15" s="1"/>
  <c r="BC573" i="17"/>
  <c r="BH573" i="17" s="1"/>
  <c r="Z615" i="17" l="1"/>
  <c r="AQ614" i="17"/>
  <c r="AF615" i="17"/>
  <c r="AG615" i="17" s="1"/>
  <c r="AV614" i="17"/>
  <c r="BD573" i="17"/>
  <c r="BE573" i="17" s="1"/>
  <c r="BF573" i="17" s="1"/>
  <c r="AL101" i="15"/>
  <c r="BQ572" i="17"/>
  <c r="U616" i="17" l="1"/>
  <c r="AC616" i="17" s="1"/>
  <c r="AD616" i="17" s="1"/>
  <c r="AE616" i="17" s="1"/>
  <c r="AL615" i="17"/>
  <c r="AH615" i="17"/>
  <c r="AS615" i="17" s="1"/>
  <c r="BG573" i="17"/>
  <c r="BI573" i="17"/>
  <c r="BK573" i="17"/>
  <c r="BL573" i="17" s="1"/>
  <c r="BM573" i="17" s="1"/>
  <c r="BJ573" i="17"/>
  <c r="W616" i="17" l="1"/>
  <c r="Y616" i="17" s="1"/>
  <c r="AY615" i="17"/>
  <c r="AM615" i="17"/>
  <c r="AT615" i="17"/>
  <c r="AW615" i="17" s="1"/>
  <c r="AX615" i="17" s="1"/>
  <c r="AZ615" i="17" s="1"/>
  <c r="AU615" i="17"/>
  <c r="BC574" i="17"/>
  <c r="BH574" i="17" s="1"/>
  <c r="BO573" i="17"/>
  <c r="BP573" i="17" s="1"/>
  <c r="BN573" i="17"/>
  <c r="AF386" i="15" s="1"/>
  <c r="AA616" i="17" l="1"/>
  <c r="AK616" i="17" s="1"/>
  <c r="AB616" i="17"/>
  <c r="Z616" i="17"/>
  <c r="AV615" i="17"/>
  <c r="AN615" i="17"/>
  <c r="AO615" i="17" s="1"/>
  <c r="AP615" i="17" s="1"/>
  <c r="AQ615" i="17" s="1"/>
  <c r="BD574" i="17"/>
  <c r="BE574" i="17" s="1"/>
  <c r="BF574" i="17" s="1"/>
  <c r="BI574" i="17" s="1"/>
  <c r="AL83" i="15"/>
  <c r="BQ573" i="17"/>
  <c r="U617" i="17" l="1"/>
  <c r="AC617" i="17" s="1"/>
  <c r="AD617" i="17" s="1"/>
  <c r="AE617" i="17" s="1"/>
  <c r="AF616" i="17"/>
  <c r="AG616" i="17" s="1"/>
  <c r="AR615" i="17"/>
  <c r="BJ574" i="17"/>
  <c r="BK574" i="17"/>
  <c r="BL574" i="17" s="1"/>
  <c r="BM574" i="17" s="1"/>
  <c r="BG574" i="17"/>
  <c r="BC575" i="17" s="1"/>
  <c r="BD575" i="17" s="1"/>
  <c r="BO574" i="17"/>
  <c r="BP574" i="17" s="1"/>
  <c r="W617" i="17" l="1"/>
  <c r="AA617" i="17" s="1"/>
  <c r="AK617" i="17" s="1"/>
  <c r="AH616" i="17"/>
  <c r="AS616" i="17" s="1"/>
  <c r="AL616" i="17"/>
  <c r="AY616" i="17" s="1"/>
  <c r="BN574" i="17"/>
  <c r="AF402" i="15" s="1"/>
  <c r="BK575" i="17"/>
  <c r="BL575" i="17" s="1"/>
  <c r="BM575" i="17" s="1"/>
  <c r="BJ575" i="17"/>
  <c r="AL597" i="15"/>
  <c r="BE575" i="17"/>
  <c r="BF575" i="17" s="1"/>
  <c r="BH575" i="17"/>
  <c r="Y617" i="17" l="1"/>
  <c r="Z617" i="17" s="1"/>
  <c r="AM616" i="17"/>
  <c r="AN616" i="17" s="1"/>
  <c r="AO616" i="17" s="1"/>
  <c r="AT616" i="17"/>
  <c r="AW616" i="17" s="1"/>
  <c r="AX616" i="17" s="1"/>
  <c r="AZ616" i="17" s="1"/>
  <c r="AU616" i="17"/>
  <c r="AV616" i="17" s="1"/>
  <c r="BQ574" i="17"/>
  <c r="BG575" i="17"/>
  <c r="BI575" i="17"/>
  <c r="AB617" i="17" l="1"/>
  <c r="AF617" i="17" s="1"/>
  <c r="AG617" i="17" s="1"/>
  <c r="AH617" i="17" s="1"/>
  <c r="AS617" i="17" s="1"/>
  <c r="AP616" i="17"/>
  <c r="AR616" i="17" s="1"/>
  <c r="U618" i="17"/>
  <c r="W618" i="17" s="1"/>
  <c r="AA618" i="17" s="1"/>
  <c r="AK618" i="17" s="1"/>
  <c r="BO575" i="17"/>
  <c r="BP575" i="17" s="1"/>
  <c r="BN575" i="17"/>
  <c r="AF430" i="15" s="1"/>
  <c r="BC576" i="17"/>
  <c r="BH576" i="17" s="1"/>
  <c r="AL617" i="17" l="1"/>
  <c r="AY617" i="17" s="1"/>
  <c r="AQ616" i="17"/>
  <c r="AC618" i="17"/>
  <c r="AD618" i="17" s="1"/>
  <c r="AE618" i="17" s="1"/>
  <c r="Y618" i="17"/>
  <c r="AB618" i="17" s="1"/>
  <c r="AT617" i="17"/>
  <c r="AW617" i="17" s="1"/>
  <c r="AX617" i="17" s="1"/>
  <c r="AZ617" i="17" s="1"/>
  <c r="AU617" i="17"/>
  <c r="AV617" i="17" s="1"/>
  <c r="BD576" i="17"/>
  <c r="BE576" i="17" s="1"/>
  <c r="BF576" i="17" s="1"/>
  <c r="BG576" i="17" s="1"/>
  <c r="AL598" i="15"/>
  <c r="BQ575" i="17"/>
  <c r="AM617" i="17" l="1"/>
  <c r="AN617" i="17" s="1"/>
  <c r="AO617" i="17" s="1"/>
  <c r="AP617" i="17" s="1"/>
  <c r="AR617" i="17" s="1"/>
  <c r="Z618" i="17"/>
  <c r="U619" i="17" s="1"/>
  <c r="AF618" i="17"/>
  <c r="AG618" i="17" s="1"/>
  <c r="AL618" i="17" s="1"/>
  <c r="BK576" i="17"/>
  <c r="BL576" i="17" s="1"/>
  <c r="BM576" i="17" s="1"/>
  <c r="BJ576" i="17"/>
  <c r="BI576" i="17"/>
  <c r="BO576" i="17" s="1"/>
  <c r="BP576" i="17" s="1"/>
  <c r="BC577" i="17"/>
  <c r="AQ617" i="17" l="1"/>
  <c r="AM618" i="17"/>
  <c r="AN618" i="17" s="1"/>
  <c r="AO618" i="17" s="1"/>
  <c r="AP618" i="17" s="1"/>
  <c r="AQ618" i="17" s="1"/>
  <c r="AH618" i="17"/>
  <c r="AS618" i="17" s="1"/>
  <c r="AT618" i="17" s="1"/>
  <c r="AW618" i="17" s="1"/>
  <c r="AX618" i="17" s="1"/>
  <c r="AZ618" i="17" s="1"/>
  <c r="W619" i="17"/>
  <c r="AC619" i="17"/>
  <c r="AD619" i="17" s="1"/>
  <c r="AE619" i="17" s="1"/>
  <c r="AY618" i="17"/>
  <c r="BN576" i="17"/>
  <c r="AF460" i="15" s="1"/>
  <c r="AL599" i="15"/>
  <c r="BD577" i="17"/>
  <c r="BH577" i="17"/>
  <c r="AU618" i="17" l="1"/>
  <c r="AV618" i="17" s="1"/>
  <c r="AR618" i="17"/>
  <c r="AA619" i="17"/>
  <c r="AK619" i="17" s="1"/>
  <c r="Y619" i="17"/>
  <c r="BQ576" i="17"/>
  <c r="BK577" i="17"/>
  <c r="BL577" i="17" s="1"/>
  <c r="BM577" i="17" s="1"/>
  <c r="BJ577" i="17"/>
  <c r="BE577" i="17"/>
  <c r="BF577" i="17" s="1"/>
  <c r="AB619" i="17" l="1"/>
  <c r="AF619" i="17" s="1"/>
  <c r="AG619" i="17" s="1"/>
  <c r="Z619" i="17"/>
  <c r="U620" i="17" s="1"/>
  <c r="AC620" i="17" s="1"/>
  <c r="AD620" i="17" s="1"/>
  <c r="AE620" i="17" s="1"/>
  <c r="BG577" i="17"/>
  <c r="BI577" i="17"/>
  <c r="W620" i="17" l="1"/>
  <c r="AA620" i="17" s="1"/>
  <c r="AK620" i="17" s="1"/>
  <c r="AL619" i="17"/>
  <c r="AY619" i="17" s="1"/>
  <c r="AH619" i="17"/>
  <c r="AS619" i="17" s="1"/>
  <c r="BO577" i="17"/>
  <c r="BP577" i="17" s="1"/>
  <c r="BN577" i="17"/>
  <c r="AF492" i="15" s="1"/>
  <c r="BC578" i="17"/>
  <c r="BH578" i="17" s="1"/>
  <c r="Y620" i="17" l="1"/>
  <c r="AB620" i="17" s="1"/>
  <c r="AF620" i="17" s="1"/>
  <c r="AG620" i="17" s="1"/>
  <c r="AL620" i="17" s="1"/>
  <c r="AM619" i="17"/>
  <c r="AN619" i="17" s="1"/>
  <c r="AO619" i="17" s="1"/>
  <c r="AP619" i="17" s="1"/>
  <c r="AQ619" i="17" s="1"/>
  <c r="AT619" i="17"/>
  <c r="AW619" i="17" s="1"/>
  <c r="AX619" i="17" s="1"/>
  <c r="AZ619" i="17" s="1"/>
  <c r="AU619" i="17"/>
  <c r="AV619" i="17" s="1"/>
  <c r="AY620" i="17"/>
  <c r="BD578" i="17"/>
  <c r="AL600" i="15"/>
  <c r="BQ577" i="17"/>
  <c r="Z620" i="17" l="1"/>
  <c r="U621" i="17" s="1"/>
  <c r="AC621" i="17" s="1"/>
  <c r="AD621" i="17" s="1"/>
  <c r="AE621" i="17" s="1"/>
  <c r="AM620" i="17"/>
  <c r="AN620" i="17" s="1"/>
  <c r="AO620" i="17" s="1"/>
  <c r="AP620" i="17" s="1"/>
  <c r="AQ620" i="17" s="1"/>
  <c r="AH620" i="17"/>
  <c r="AS620" i="17" s="1"/>
  <c r="AU620" i="17" s="1"/>
  <c r="AV620" i="17" s="1"/>
  <c r="AR619" i="17"/>
  <c r="BK578" i="17"/>
  <c r="BL578" i="17" s="1"/>
  <c r="BM578" i="17" s="1"/>
  <c r="BJ578" i="17"/>
  <c r="BE578" i="17"/>
  <c r="BF578" i="17" s="1"/>
  <c r="W621" i="17" l="1"/>
  <c r="AA621" i="17" s="1"/>
  <c r="AK621" i="17" s="1"/>
  <c r="AT620" i="17"/>
  <c r="AW620" i="17" s="1"/>
  <c r="AX620" i="17" s="1"/>
  <c r="AZ620" i="17" s="1"/>
  <c r="AR620" i="17"/>
  <c r="BG578" i="17"/>
  <c r="BI578" i="17"/>
  <c r="Y621" i="17" l="1"/>
  <c r="AB621" i="17" s="1"/>
  <c r="AF621" i="17" s="1"/>
  <c r="AG621" i="17" s="1"/>
  <c r="AL621" i="17" s="1"/>
  <c r="AY621" i="17" s="1"/>
  <c r="BO578" i="17"/>
  <c r="BP578" i="17" s="1"/>
  <c r="BN578" i="17"/>
  <c r="AF519" i="15" s="1"/>
  <c r="BC579" i="17"/>
  <c r="Z621" i="17" l="1"/>
  <c r="U622" i="17" s="1"/>
  <c r="AC622" i="17" s="1"/>
  <c r="AD622" i="17" s="1"/>
  <c r="AE622" i="17" s="1"/>
  <c r="AM621" i="17"/>
  <c r="AN621" i="17" s="1"/>
  <c r="AO621" i="17" s="1"/>
  <c r="AP621" i="17" s="1"/>
  <c r="AH621" i="17"/>
  <c r="AS621" i="17" s="1"/>
  <c r="AU621" i="17" s="1"/>
  <c r="BD579" i="17"/>
  <c r="BH579" i="17"/>
  <c r="AL601" i="15"/>
  <c r="BQ578" i="17"/>
  <c r="W622" i="17" l="1"/>
  <c r="AA622" i="17" s="1"/>
  <c r="AK622" i="17" s="1"/>
  <c r="AT621" i="17"/>
  <c r="AW621" i="17" s="1"/>
  <c r="AX621" i="17" s="1"/>
  <c r="AZ621" i="17" s="1"/>
  <c r="AR621" i="17"/>
  <c r="AQ621" i="17"/>
  <c r="AV621" i="17"/>
  <c r="BK579" i="17"/>
  <c r="BJ579" i="17"/>
  <c r="BE579" i="17"/>
  <c r="BF579" i="17" s="1"/>
  <c r="Y622" i="17" l="1"/>
  <c r="AB622" i="17" s="1"/>
  <c r="AF622" i="17" s="1"/>
  <c r="AG622" i="17" s="1"/>
  <c r="AL622" i="17" s="1"/>
  <c r="AY622" i="17" s="1"/>
  <c r="BL579" i="17"/>
  <c r="BM579" i="17" s="1"/>
  <c r="BG579" i="17"/>
  <c r="BI579" i="17"/>
  <c r="Z622" i="17" l="1"/>
  <c r="U623" i="17" s="1"/>
  <c r="AC623" i="17" s="1"/>
  <c r="AH622" i="17"/>
  <c r="AS622" i="17" s="1"/>
  <c r="AM622" i="17"/>
  <c r="AN622" i="17" s="1"/>
  <c r="AO622" i="17" s="1"/>
  <c r="BC580" i="17"/>
  <c r="BH580" i="17" s="1"/>
  <c r="BO579" i="17"/>
  <c r="BP579" i="17" s="1"/>
  <c r="BN579" i="17"/>
  <c r="AF521" i="15" s="1"/>
  <c r="W623" i="17" l="1"/>
  <c r="AA623" i="17" s="1"/>
  <c r="AK623" i="17" s="1"/>
  <c r="AP622" i="17"/>
  <c r="AR622" i="17" s="1"/>
  <c r="AT622" i="17"/>
  <c r="AW622" i="17" s="1"/>
  <c r="AX622" i="17" s="1"/>
  <c r="AZ622" i="17" s="1"/>
  <c r="AU622" i="17"/>
  <c r="AD623" i="17"/>
  <c r="AE623" i="17" s="1"/>
  <c r="AL602" i="15"/>
  <c r="BQ579" i="17"/>
  <c r="BD580" i="17"/>
  <c r="BE580" i="17" s="1"/>
  <c r="BF580" i="17" s="1"/>
  <c r="Y623" i="17" l="1"/>
  <c r="AB623" i="17" s="1"/>
  <c r="AF623" i="17" s="1"/>
  <c r="AG623" i="17" s="1"/>
  <c r="AL623" i="17" s="1"/>
  <c r="AY623" i="17" s="1"/>
  <c r="AQ622" i="17"/>
  <c r="AV622" i="17"/>
  <c r="BG580" i="17"/>
  <c r="BI580" i="17"/>
  <c r="BJ580" i="17"/>
  <c r="BK580" i="17"/>
  <c r="BL580" i="17" s="1"/>
  <c r="BM580" i="17" s="1"/>
  <c r="Z623" i="17" l="1"/>
  <c r="U624" i="17" s="1"/>
  <c r="AC624" i="17" s="1"/>
  <c r="AH623" i="17"/>
  <c r="AS623" i="17" s="1"/>
  <c r="AM623" i="17"/>
  <c r="AN623" i="17" s="1"/>
  <c r="AO623" i="17" s="1"/>
  <c r="BO580" i="17"/>
  <c r="BP580" i="17" s="1"/>
  <c r="BN580" i="17"/>
  <c r="AF522" i="15" s="1"/>
  <c r="BC581" i="17"/>
  <c r="AD624" i="17" l="1"/>
  <c r="AT623" i="17"/>
  <c r="AW623" i="17" s="1"/>
  <c r="AX623" i="17" s="1"/>
  <c r="AZ623" i="17" s="1"/>
  <c r="AU623" i="17"/>
  <c r="AP623" i="17"/>
  <c r="AR623" i="17" s="1"/>
  <c r="W624" i="17"/>
  <c r="AA624" i="17" s="1"/>
  <c r="AK624" i="17" s="1"/>
  <c r="BD581" i="17"/>
  <c r="BH581" i="17"/>
  <c r="AL603" i="15"/>
  <c r="BQ580" i="17"/>
  <c r="Y624" i="17" l="1"/>
  <c r="AB624" i="17" s="1"/>
  <c r="AQ623" i="17"/>
  <c r="AV623" i="17"/>
  <c r="AE624" i="17"/>
  <c r="BK581" i="17"/>
  <c r="BL581" i="17" s="1"/>
  <c r="BM581" i="17" s="1"/>
  <c r="BJ581" i="17"/>
  <c r="BE581" i="17"/>
  <c r="BF581" i="17" s="1"/>
  <c r="Z624" i="17" l="1"/>
  <c r="U625" i="17" s="1"/>
  <c r="AC625" i="17" s="1"/>
  <c r="AD625" i="17" s="1"/>
  <c r="AF624" i="17"/>
  <c r="AG624" i="17" s="1"/>
  <c r="AH624" i="17" s="1"/>
  <c r="AS624" i="17" s="1"/>
  <c r="BG581" i="17"/>
  <c r="BI581" i="17"/>
  <c r="AL624" i="17" l="1"/>
  <c r="AM624" i="17" s="1"/>
  <c r="W625" i="17"/>
  <c r="AA625" i="17" s="1"/>
  <c r="AK625" i="17" s="1"/>
  <c r="AE625" i="17"/>
  <c r="AY624" i="17"/>
  <c r="AT624" i="17"/>
  <c r="AW624" i="17" s="1"/>
  <c r="AX624" i="17" s="1"/>
  <c r="AZ624" i="17" s="1"/>
  <c r="AU624" i="17"/>
  <c r="BO581" i="17"/>
  <c r="BP581" i="17" s="1"/>
  <c r="BN581" i="17"/>
  <c r="AF524" i="15" s="1"/>
  <c r="BC582" i="17"/>
  <c r="BD582" i="17" s="1"/>
  <c r="Y625" i="17" l="1"/>
  <c r="AB625" i="17" s="1"/>
  <c r="AF625" i="17" s="1"/>
  <c r="AG625" i="17" s="1"/>
  <c r="AL625" i="17" s="1"/>
  <c r="AV624" i="17"/>
  <c r="AN624" i="17"/>
  <c r="AO624" i="17" s="1"/>
  <c r="BH582" i="17"/>
  <c r="AL604" i="15"/>
  <c r="BQ581" i="17"/>
  <c r="BK582" i="17"/>
  <c r="BL582" i="17" s="1"/>
  <c r="BM582" i="17" s="1"/>
  <c r="BJ582" i="17"/>
  <c r="BE582" i="17"/>
  <c r="BF582" i="17" s="1"/>
  <c r="Z625" i="17" l="1"/>
  <c r="U626" i="17" s="1"/>
  <c r="AC626" i="17" s="1"/>
  <c r="AD626" i="17" s="1"/>
  <c r="AE626" i="17" s="1"/>
  <c r="AY625" i="17"/>
  <c r="AP624" i="17"/>
  <c r="AR624" i="17" s="1"/>
  <c r="AH625" i="17"/>
  <c r="AS625" i="17" s="1"/>
  <c r="AM625" i="17"/>
  <c r="AN625" i="17" s="1"/>
  <c r="AO625" i="17" s="1"/>
  <c r="AP625" i="17" s="1"/>
  <c r="AQ625" i="17" s="1"/>
  <c r="BG582" i="17"/>
  <c r="BI582" i="17"/>
  <c r="AQ624" i="17" l="1"/>
  <c r="W626" i="17"/>
  <c r="AA626" i="17" s="1"/>
  <c r="AK626" i="17" s="1"/>
  <c r="AR625" i="17"/>
  <c r="AT625" i="17"/>
  <c r="AW625" i="17" s="1"/>
  <c r="AX625" i="17" s="1"/>
  <c r="AZ625" i="17" s="1"/>
  <c r="AU625" i="17"/>
  <c r="BO582" i="17"/>
  <c r="BP582" i="17" s="1"/>
  <c r="BN582" i="17"/>
  <c r="AF526" i="15" s="1"/>
  <c r="BC583" i="17"/>
  <c r="Y626" i="17" l="1"/>
  <c r="AB626" i="17" s="1"/>
  <c r="AF626" i="17" s="1"/>
  <c r="AG626" i="17" s="1"/>
  <c r="AH626" i="17" s="1"/>
  <c r="AS626" i="17" s="1"/>
  <c r="AT626" i="17" s="1"/>
  <c r="AW626" i="17" s="1"/>
  <c r="AX626" i="17" s="1"/>
  <c r="AZ626" i="17" s="1"/>
  <c r="AV625" i="17"/>
  <c r="BD583" i="17"/>
  <c r="BH583" i="17"/>
  <c r="AL605" i="15"/>
  <c r="BQ582" i="17"/>
  <c r="Z626" i="17" l="1"/>
  <c r="U627" i="17" s="1"/>
  <c r="W627" i="17" s="1"/>
  <c r="AL626" i="17"/>
  <c r="AM626" i="17" s="1"/>
  <c r="AN626" i="17" s="1"/>
  <c r="AO626" i="17" s="1"/>
  <c r="AP626" i="17" s="1"/>
  <c r="AQ626" i="17" s="1"/>
  <c r="AU626" i="17"/>
  <c r="BK583" i="17"/>
  <c r="BJ583" i="17"/>
  <c r="BE583" i="17"/>
  <c r="BF583" i="17" s="1"/>
  <c r="AC627" i="17" l="1"/>
  <c r="AD627" i="17" s="1"/>
  <c r="AE627" i="17" s="1"/>
  <c r="AY626" i="17"/>
  <c r="AR626" i="17"/>
  <c r="AV626" i="17"/>
  <c r="AA627" i="17"/>
  <c r="AK627" i="17" s="1"/>
  <c r="Y627" i="17"/>
  <c r="AB627" i="17" s="1"/>
  <c r="BG583" i="17"/>
  <c r="BI583" i="17"/>
  <c r="BL583" i="17"/>
  <c r="BM583" i="17" s="1"/>
  <c r="AF627" i="17" l="1"/>
  <c r="AG627" i="17" s="1"/>
  <c r="AH627" i="17" s="1"/>
  <c r="AS627" i="17" s="1"/>
  <c r="Z627" i="17"/>
  <c r="BO583" i="17"/>
  <c r="BP583" i="17" s="1"/>
  <c r="BN583" i="17"/>
  <c r="AF528" i="15" s="1"/>
  <c r="BC584" i="17"/>
  <c r="BH584" i="17" s="1"/>
  <c r="U628" i="17" l="1"/>
  <c r="AC628" i="17" s="1"/>
  <c r="AT627" i="17"/>
  <c r="AW627" i="17" s="1"/>
  <c r="AX627" i="17" s="1"/>
  <c r="AZ627" i="17" s="1"/>
  <c r="AU627" i="17"/>
  <c r="AL627" i="17"/>
  <c r="BD584" i="17"/>
  <c r="AL606" i="15"/>
  <c r="BQ583" i="17"/>
  <c r="W628" i="17" l="1"/>
  <c r="AA628" i="17" s="1"/>
  <c r="AK628" i="17" s="1"/>
  <c r="AV627" i="17"/>
  <c r="AM627" i="17"/>
  <c r="AN627" i="17" s="1"/>
  <c r="AO627" i="17" s="1"/>
  <c r="AY627" i="17"/>
  <c r="AD628" i="17"/>
  <c r="AE628" i="17" s="1"/>
  <c r="BJ584" i="17"/>
  <c r="BK584" i="17"/>
  <c r="BL584" i="17" s="1"/>
  <c r="BM584" i="17" s="1"/>
  <c r="BE584" i="17"/>
  <c r="BF584" i="17" s="1"/>
  <c r="Y628" i="17" l="1"/>
  <c r="AB628" i="17" s="1"/>
  <c r="AF628" i="17" s="1"/>
  <c r="AG628" i="17" s="1"/>
  <c r="AL628" i="17" s="1"/>
  <c r="AP627" i="17"/>
  <c r="AR627" i="17" s="1"/>
  <c r="BG584" i="17"/>
  <c r="BI584" i="17"/>
  <c r="Z628" i="17" l="1"/>
  <c r="U629" i="17" s="1"/>
  <c r="AC629" i="17" s="1"/>
  <c r="AY628" i="17"/>
  <c r="AM628" i="17"/>
  <c r="AN628" i="17" s="1"/>
  <c r="AO628" i="17" s="1"/>
  <c r="AP628" i="17" s="1"/>
  <c r="AQ628" i="17" s="1"/>
  <c r="AH628" i="17"/>
  <c r="AS628" i="17" s="1"/>
  <c r="AQ627" i="17"/>
  <c r="BO584" i="17"/>
  <c r="BP584" i="17" s="1"/>
  <c r="BN584" i="17"/>
  <c r="AF529" i="15" s="1"/>
  <c r="BC585" i="17"/>
  <c r="W629" i="17" l="1"/>
  <c r="AA629" i="17" s="1"/>
  <c r="AK629" i="17" s="1"/>
  <c r="AU628" i="17"/>
  <c r="AT628" i="17"/>
  <c r="AW628" i="17" s="1"/>
  <c r="AX628" i="17" s="1"/>
  <c r="AZ628" i="17" s="1"/>
  <c r="AR628" i="17"/>
  <c r="AD629" i="17"/>
  <c r="AE629" i="17" s="1"/>
  <c r="AL607" i="15"/>
  <c r="BQ584" i="17"/>
  <c r="BD585" i="17"/>
  <c r="BH585" i="17"/>
  <c r="Y629" i="17" l="1"/>
  <c r="AB629" i="17" s="1"/>
  <c r="AF629" i="17" s="1"/>
  <c r="AG629" i="17" s="1"/>
  <c r="AV628" i="17"/>
  <c r="BK585" i="17"/>
  <c r="BL585" i="17" s="1"/>
  <c r="BM585" i="17" s="1"/>
  <c r="BJ585" i="17"/>
  <c r="BE585" i="17"/>
  <c r="BF585" i="17" s="1"/>
  <c r="Z629" i="17" l="1"/>
  <c r="AH629" i="17"/>
  <c r="AS629" i="17" s="1"/>
  <c r="AL629" i="17"/>
  <c r="AY629" i="17" s="1"/>
  <c r="BG585" i="17"/>
  <c r="BI585" i="17"/>
  <c r="AM629" i="17" l="1"/>
  <c r="AN629" i="17" s="1"/>
  <c r="AO629" i="17" s="1"/>
  <c r="AP629" i="17" s="1"/>
  <c r="AR629" i="17" s="1"/>
  <c r="U630" i="17"/>
  <c r="W630" i="17" s="1"/>
  <c r="AA630" i="17" s="1"/>
  <c r="AK630" i="17" s="1"/>
  <c r="AT629" i="17"/>
  <c r="AW629" i="17" s="1"/>
  <c r="AX629" i="17" s="1"/>
  <c r="AZ629" i="17" s="1"/>
  <c r="AU629" i="17"/>
  <c r="BO585" i="17"/>
  <c r="BP585" i="17" s="1"/>
  <c r="BN585" i="17"/>
  <c r="AF531" i="15" s="1"/>
  <c r="BC586" i="17"/>
  <c r="BH586" i="17" s="1"/>
  <c r="AC630" i="17" l="1"/>
  <c r="AD630" i="17" s="1"/>
  <c r="AE630" i="17" s="1"/>
  <c r="Y630" i="17"/>
  <c r="AB630" i="17" s="1"/>
  <c r="AV629" i="17"/>
  <c r="AQ629" i="17"/>
  <c r="BD586" i="17"/>
  <c r="BK586" i="17" s="1"/>
  <c r="BL586" i="17" s="1"/>
  <c r="BM586" i="17" s="1"/>
  <c r="AL608" i="15"/>
  <c r="BQ585" i="17"/>
  <c r="AF630" i="17" l="1"/>
  <c r="AG630" i="17" s="1"/>
  <c r="AH630" i="17" s="1"/>
  <c r="AS630" i="17" s="1"/>
  <c r="AT630" i="17" s="1"/>
  <c r="AW630" i="17" s="1"/>
  <c r="AX630" i="17" s="1"/>
  <c r="AZ630" i="17" s="1"/>
  <c r="Z630" i="17"/>
  <c r="U631" i="17" s="1"/>
  <c r="AC631" i="17" s="1"/>
  <c r="AD631" i="17" s="1"/>
  <c r="BE586" i="17"/>
  <c r="BF586" i="17" s="1"/>
  <c r="BG586" i="17" s="1"/>
  <c r="BC587" i="17" s="1"/>
  <c r="BD587" i="17" s="1"/>
  <c r="BJ586" i="17"/>
  <c r="AU630" i="17" l="1"/>
  <c r="AV630" i="17" s="1"/>
  <c r="AL630" i="17"/>
  <c r="AY630" i="17" s="1"/>
  <c r="W631" i="17"/>
  <c r="AA631" i="17" s="1"/>
  <c r="AK631" i="17" s="1"/>
  <c r="AE631" i="17"/>
  <c r="BI586" i="17"/>
  <c r="BK587" i="17"/>
  <c r="BL587" i="17" s="1"/>
  <c r="BM587" i="17" s="1"/>
  <c r="BJ587" i="17"/>
  <c r="BE587" i="17"/>
  <c r="BF587" i="17" s="1"/>
  <c r="BH587" i="17"/>
  <c r="AM630" i="17" l="1"/>
  <c r="AN630" i="17" s="1"/>
  <c r="AO630" i="17" s="1"/>
  <c r="AP630" i="17" s="1"/>
  <c r="AQ630" i="17" s="1"/>
  <c r="Y631" i="17"/>
  <c r="AB631" i="17" s="1"/>
  <c r="AF631" i="17" s="1"/>
  <c r="AG631" i="17" s="1"/>
  <c r="AL631" i="17" s="1"/>
  <c r="AY631" i="17" s="1"/>
  <c r="BO586" i="17"/>
  <c r="BP586" i="17" s="1"/>
  <c r="BN586" i="17"/>
  <c r="AF534" i="15" s="1"/>
  <c r="BG587" i="17"/>
  <c r="BI587" i="17"/>
  <c r="AR630" i="17" l="1"/>
  <c r="Z631" i="17"/>
  <c r="U632" i="17" s="1"/>
  <c r="AC632" i="17" s="1"/>
  <c r="AH631" i="17"/>
  <c r="AS631" i="17" s="1"/>
  <c r="AM631" i="17"/>
  <c r="AN631" i="17" s="1"/>
  <c r="AO631" i="17" s="1"/>
  <c r="AL609" i="15"/>
  <c r="BQ586" i="17"/>
  <c r="BC588" i="17"/>
  <c r="BH588" i="17" s="1"/>
  <c r="BO587" i="17"/>
  <c r="BP587" i="17" s="1"/>
  <c r="BN587" i="17"/>
  <c r="AF536" i="15" s="1"/>
  <c r="W632" i="17" l="1"/>
  <c r="AA632" i="17" s="1"/>
  <c r="AK632" i="17" s="1"/>
  <c r="AP631" i="17"/>
  <c r="AR631" i="17" s="1"/>
  <c r="AU631" i="17"/>
  <c r="AT631" i="17"/>
  <c r="AW631" i="17" s="1"/>
  <c r="AX631" i="17" s="1"/>
  <c r="AZ631" i="17" s="1"/>
  <c r="AD632" i="17"/>
  <c r="BD588" i="17"/>
  <c r="BE588" i="17" s="1"/>
  <c r="BF588" i="17" s="1"/>
  <c r="BG588" i="17" s="1"/>
  <c r="AL610" i="15"/>
  <c r="BQ587" i="17"/>
  <c r="Y632" i="17" l="1"/>
  <c r="AB632" i="17" s="1"/>
  <c r="AE632" i="17"/>
  <c r="AV631" i="17"/>
  <c r="AQ631" i="17"/>
  <c r="BJ588" i="17"/>
  <c r="BK588" i="17"/>
  <c r="BL588" i="17" s="1"/>
  <c r="BM588" i="17" s="1"/>
  <c r="BI588" i="17"/>
  <c r="BC589" i="17"/>
  <c r="Z632" i="17" l="1"/>
  <c r="U633" i="17" s="1"/>
  <c r="AC633" i="17" s="1"/>
  <c r="AD633" i="17" s="1"/>
  <c r="AF632" i="17"/>
  <c r="AG632" i="17" s="1"/>
  <c r="AL632" i="17" s="1"/>
  <c r="BN588" i="17"/>
  <c r="AF539" i="15" s="1"/>
  <c r="BO588" i="17"/>
  <c r="BP588" i="17" s="1"/>
  <c r="AL611" i="15" s="1"/>
  <c r="BD589" i="17"/>
  <c r="BE589" i="17" s="1"/>
  <c r="BF589" i="17" s="1"/>
  <c r="BH589" i="17"/>
  <c r="AH632" i="17" l="1"/>
  <c r="AS632" i="17" s="1"/>
  <c r="AT632" i="17" s="1"/>
  <c r="AW632" i="17" s="1"/>
  <c r="AX632" i="17" s="1"/>
  <c r="AZ632" i="17" s="1"/>
  <c r="AY632" i="17"/>
  <c r="AE633" i="17"/>
  <c r="W633" i="17"/>
  <c r="AM632" i="17"/>
  <c r="AN632" i="17" s="1"/>
  <c r="AO632" i="17" s="1"/>
  <c r="BQ588" i="17"/>
  <c r="BG589" i="17"/>
  <c r="BI589" i="17"/>
  <c r="BK589" i="17"/>
  <c r="BL589" i="17" s="1"/>
  <c r="BM589" i="17" s="1"/>
  <c r="BJ589" i="17"/>
  <c r="AU632" i="17" l="1"/>
  <c r="AV632" i="17" s="1"/>
  <c r="AA633" i="17"/>
  <c r="AK633" i="17" s="1"/>
  <c r="Y633" i="17"/>
  <c r="AB633" i="17" s="1"/>
  <c r="AP632" i="17"/>
  <c r="AQ632" i="17" s="1"/>
  <c r="BC590" i="17"/>
  <c r="BH590" i="17" s="1"/>
  <c r="BO589" i="17"/>
  <c r="BP589" i="17" s="1"/>
  <c r="BN589" i="17"/>
  <c r="AF525" i="15" s="1"/>
  <c r="AF633" i="17" l="1"/>
  <c r="AG633" i="17" s="1"/>
  <c r="AH633" i="17" s="1"/>
  <c r="AS633" i="17" s="1"/>
  <c r="AR632" i="17"/>
  <c r="Z633" i="17"/>
  <c r="BD590" i="17"/>
  <c r="BK590" i="17" s="1"/>
  <c r="BL590" i="17" s="1"/>
  <c r="BM590" i="17" s="1"/>
  <c r="AL612" i="15"/>
  <c r="BQ589" i="17"/>
  <c r="U634" i="17" l="1"/>
  <c r="AC634" i="17" s="1"/>
  <c r="AT633" i="17"/>
  <c r="AW633" i="17" s="1"/>
  <c r="AX633" i="17" s="1"/>
  <c r="AZ633" i="17" s="1"/>
  <c r="AU633" i="17"/>
  <c r="AL633" i="17"/>
  <c r="BJ590" i="17"/>
  <c r="BE590" i="17"/>
  <c r="BF590" i="17" s="1"/>
  <c r="BG590" i="17" s="1"/>
  <c r="BC591" i="17" s="1"/>
  <c r="W634" i="17" l="1"/>
  <c r="AA634" i="17" s="1"/>
  <c r="AK634" i="17" s="1"/>
  <c r="AM633" i="17"/>
  <c r="AN633" i="17" s="1"/>
  <c r="AO633" i="17" s="1"/>
  <c r="AY633" i="17"/>
  <c r="AV633" i="17"/>
  <c r="AD634" i="17"/>
  <c r="BI590" i="17"/>
  <c r="BD591" i="17"/>
  <c r="BE591" i="17" s="1"/>
  <c r="BF591" i="17" s="1"/>
  <c r="BH591" i="17"/>
  <c r="Y634" i="17" l="1"/>
  <c r="AB634" i="17" s="1"/>
  <c r="AE634" i="17"/>
  <c r="AP633" i="17"/>
  <c r="AR633" i="17" s="1"/>
  <c r="BO590" i="17"/>
  <c r="BP590" i="17" s="1"/>
  <c r="BN590" i="17"/>
  <c r="AF541" i="15" s="1"/>
  <c r="BG591" i="17"/>
  <c r="BI591" i="17"/>
  <c r="BK591" i="17"/>
  <c r="BL591" i="17" s="1"/>
  <c r="BM591" i="17" s="1"/>
  <c r="BJ591" i="17"/>
  <c r="Z634" i="17" l="1"/>
  <c r="U635" i="17" s="1"/>
  <c r="AC635" i="17" s="1"/>
  <c r="AD635" i="17" s="1"/>
  <c r="AE635" i="17" s="1"/>
  <c r="AQ633" i="17"/>
  <c r="AF634" i="17"/>
  <c r="AG634" i="17" s="1"/>
  <c r="AL613" i="15"/>
  <c r="BQ590" i="17"/>
  <c r="BO591" i="17"/>
  <c r="BP591" i="17" s="1"/>
  <c r="BN591" i="17"/>
  <c r="AF543" i="15" s="1"/>
  <c r="BC592" i="17"/>
  <c r="BH592" i="17" s="1"/>
  <c r="W635" i="17" l="1"/>
  <c r="AA635" i="17" s="1"/>
  <c r="AK635" i="17" s="1"/>
  <c r="AH634" i="17"/>
  <c r="AS634" i="17" s="1"/>
  <c r="AL634" i="17"/>
  <c r="BD592" i="17"/>
  <c r="BK592" i="17" s="1"/>
  <c r="BL592" i="17" s="1"/>
  <c r="BM592" i="17" s="1"/>
  <c r="AL614" i="15"/>
  <c r="BQ591" i="17"/>
  <c r="Y635" i="17" l="1"/>
  <c r="AB635" i="17" s="1"/>
  <c r="AF635" i="17" s="1"/>
  <c r="AG635" i="17" s="1"/>
  <c r="AH635" i="17" s="1"/>
  <c r="AS635" i="17" s="1"/>
  <c r="AT635" i="17" s="1"/>
  <c r="AY634" i="17"/>
  <c r="AM634" i="17"/>
  <c r="AT634" i="17"/>
  <c r="AW634" i="17" s="1"/>
  <c r="AX634" i="17" s="1"/>
  <c r="AZ634" i="17" s="1"/>
  <c r="AU634" i="17"/>
  <c r="BE592" i="17"/>
  <c r="BF592" i="17" s="1"/>
  <c r="BI592" i="17" s="1"/>
  <c r="BJ592" i="17"/>
  <c r="AL635" i="17" l="1"/>
  <c r="AM635" i="17" s="1"/>
  <c r="AN635" i="17" s="1"/>
  <c r="AO635" i="17" s="1"/>
  <c r="AP635" i="17" s="1"/>
  <c r="AQ635" i="17" s="1"/>
  <c r="Z635" i="17"/>
  <c r="U636" i="17" s="1"/>
  <c r="AW635" i="17"/>
  <c r="AV634" i="17"/>
  <c r="AU635" i="17" s="1"/>
  <c r="AV635" i="17" s="1"/>
  <c r="AY635" i="17"/>
  <c r="AN634" i="17"/>
  <c r="AO634" i="17" s="1"/>
  <c r="AP634" i="17" s="1"/>
  <c r="AQ634" i="17" s="1"/>
  <c r="BG592" i="17"/>
  <c r="BC593" i="17" s="1"/>
  <c r="BO592" i="17"/>
  <c r="BP592" i="17" s="1"/>
  <c r="BN592" i="17"/>
  <c r="AF547" i="15" s="1"/>
  <c r="AC636" i="17" l="1"/>
  <c r="AD636" i="17" s="1"/>
  <c r="AE636" i="17" s="1"/>
  <c r="W636" i="17"/>
  <c r="AA636" i="17" s="1"/>
  <c r="AK636" i="17" s="1"/>
  <c r="AR634" i="17"/>
  <c r="AR635" i="17"/>
  <c r="AX635" i="17"/>
  <c r="AZ635" i="17" s="1"/>
  <c r="BD593" i="17"/>
  <c r="BE593" i="17" s="1"/>
  <c r="BF593" i="17" s="1"/>
  <c r="BH593" i="17"/>
  <c r="AL615" i="15"/>
  <c r="BQ592" i="17"/>
  <c r="Y636" i="17" l="1"/>
  <c r="AB636" i="17" s="1"/>
  <c r="AF636" i="17" s="1"/>
  <c r="AG636" i="17" s="1"/>
  <c r="AL636" i="17" s="1"/>
  <c r="AY636" i="17" s="1"/>
  <c r="BG593" i="17"/>
  <c r="BI593" i="17"/>
  <c r="BK593" i="17"/>
  <c r="BL593" i="17" s="1"/>
  <c r="BM593" i="17" s="1"/>
  <c r="BJ593" i="17"/>
  <c r="Z636" i="17" l="1"/>
  <c r="U637" i="17" s="1"/>
  <c r="AC637" i="17" s="1"/>
  <c r="AD637" i="17" s="1"/>
  <c r="AE637" i="17" s="1"/>
  <c r="AH636" i="17"/>
  <c r="AS636" i="17" s="1"/>
  <c r="AM636" i="17"/>
  <c r="AN636" i="17" s="1"/>
  <c r="AO636" i="17" s="1"/>
  <c r="BO593" i="17"/>
  <c r="BP593" i="17" s="1"/>
  <c r="BN593" i="17"/>
  <c r="AF551" i="15" s="1"/>
  <c r="BC594" i="17"/>
  <c r="W637" i="17" l="1"/>
  <c r="AA637" i="17" s="1"/>
  <c r="AK637" i="17" s="1"/>
  <c r="AP636" i="17"/>
  <c r="AR636" i="17" s="1"/>
  <c r="AT636" i="17"/>
  <c r="AW636" i="17" s="1"/>
  <c r="AX636" i="17" s="1"/>
  <c r="AZ636" i="17" s="1"/>
  <c r="AU636" i="17"/>
  <c r="AV636" i="17" s="1"/>
  <c r="BH594" i="17"/>
  <c r="AL616" i="15"/>
  <c r="BQ593" i="17"/>
  <c r="BD594" i="17"/>
  <c r="BE594" i="17" s="1"/>
  <c r="Y637" i="17" l="1"/>
  <c r="AB637" i="17" s="1"/>
  <c r="AF637" i="17" s="1"/>
  <c r="AG637" i="17" s="1"/>
  <c r="AH637" i="17" s="1"/>
  <c r="AS637" i="17" s="1"/>
  <c r="AU637" i="17" s="1"/>
  <c r="AV637" i="17" s="1"/>
  <c r="AQ636" i="17"/>
  <c r="AY637" i="17"/>
  <c r="BK594" i="17"/>
  <c r="BL594" i="17" s="1"/>
  <c r="BM594" i="17" s="1"/>
  <c r="BJ594" i="17"/>
  <c r="BF594" i="17"/>
  <c r="AT637" i="17" l="1"/>
  <c r="AW637" i="17" s="1"/>
  <c r="AX637" i="17" s="1"/>
  <c r="AZ637" i="17" s="1"/>
  <c r="Z637" i="17"/>
  <c r="U638" i="17" s="1"/>
  <c r="AC638" i="17" s="1"/>
  <c r="AD638" i="17" s="1"/>
  <c r="AE638" i="17" s="1"/>
  <c r="AL637" i="17"/>
  <c r="AM637" i="17" s="1"/>
  <c r="AN637" i="17" s="1"/>
  <c r="AO637" i="17" s="1"/>
  <c r="AP637" i="17" s="1"/>
  <c r="AQ637" i="17" s="1"/>
  <c r="BG594" i="17"/>
  <c r="BI594" i="17"/>
  <c r="W638" i="17" l="1"/>
  <c r="AA638" i="17" s="1"/>
  <c r="AK638" i="17" s="1"/>
  <c r="AR637" i="17"/>
  <c r="BO594" i="17"/>
  <c r="BP594" i="17" s="1"/>
  <c r="BN594" i="17"/>
  <c r="AF552" i="15" s="1"/>
  <c r="BC595" i="17"/>
  <c r="Y638" i="17" l="1"/>
  <c r="AB638" i="17" s="1"/>
  <c r="AF638" i="17" s="1"/>
  <c r="AG638" i="17" s="1"/>
  <c r="AL638" i="17" s="1"/>
  <c r="AY638" i="17" s="1"/>
  <c r="AL617" i="15"/>
  <c r="BQ594" i="17"/>
  <c r="BD595" i="17"/>
  <c r="BH595" i="17"/>
  <c r="Z638" i="17" l="1"/>
  <c r="U639" i="17" s="1"/>
  <c r="AC639" i="17" s="1"/>
  <c r="AD639" i="17" s="1"/>
  <c r="AE639" i="17" s="1"/>
  <c r="AM638" i="17"/>
  <c r="AN638" i="17" s="1"/>
  <c r="AO638" i="17" s="1"/>
  <c r="AP638" i="17" s="1"/>
  <c r="AH638" i="17"/>
  <c r="AS638" i="17" s="1"/>
  <c r="BK595" i="17"/>
  <c r="BL595" i="17" s="1"/>
  <c r="BM595" i="17" s="1"/>
  <c r="BJ595" i="17"/>
  <c r="BE595" i="17"/>
  <c r="BF595" i="17" s="1"/>
  <c r="AQ638" i="17" l="1"/>
  <c r="W639" i="17"/>
  <c r="AA639" i="17" s="1"/>
  <c r="AK639" i="17" s="1"/>
  <c r="AR638" i="17"/>
  <c r="AT638" i="17"/>
  <c r="AW638" i="17" s="1"/>
  <c r="AX638" i="17" s="1"/>
  <c r="AZ638" i="17" s="1"/>
  <c r="AU638" i="17"/>
  <c r="AV638" i="17" s="1"/>
  <c r="AY639" i="17"/>
  <c r="BG595" i="17"/>
  <c r="BI595" i="17"/>
  <c r="Y639" i="17" l="1"/>
  <c r="AB639" i="17" s="1"/>
  <c r="AF639" i="17" s="1"/>
  <c r="AG639" i="17" s="1"/>
  <c r="AL639" i="17" s="1"/>
  <c r="AM639" i="17" s="1"/>
  <c r="AN639" i="17" s="1"/>
  <c r="AO639" i="17" s="1"/>
  <c r="AP639" i="17" s="1"/>
  <c r="AQ639" i="17" s="1"/>
  <c r="Z639" i="17"/>
  <c r="U640" i="17" s="1"/>
  <c r="AC640" i="17" s="1"/>
  <c r="AD640" i="17" s="1"/>
  <c r="AE640" i="17" s="1"/>
  <c r="AH639" i="17"/>
  <c r="AS639" i="17" s="1"/>
  <c r="AT639" i="17" s="1"/>
  <c r="AW639" i="17" s="1"/>
  <c r="AX639" i="17" s="1"/>
  <c r="AZ639" i="17" s="1"/>
  <c r="BC596" i="17"/>
  <c r="BO595" i="17"/>
  <c r="BP595" i="17" s="1"/>
  <c r="BN595" i="17"/>
  <c r="AF556" i="15" s="1"/>
  <c r="AU639" i="17" l="1"/>
  <c r="AV639" i="17" s="1"/>
  <c r="W640" i="17"/>
  <c r="AA640" i="17" s="1"/>
  <c r="AK640" i="17" s="1"/>
  <c r="AR639" i="17"/>
  <c r="BH596" i="17"/>
  <c r="BD596" i="17"/>
  <c r="BE596" i="17" s="1"/>
  <c r="BF596" i="17" s="1"/>
  <c r="AL618" i="15"/>
  <c r="BQ595" i="17"/>
  <c r="Y640" i="17" l="1"/>
  <c r="AB640" i="17" s="1"/>
  <c r="AF640" i="17" s="1"/>
  <c r="AG640" i="17" s="1"/>
  <c r="AL640" i="17" s="1"/>
  <c r="AY640" i="17" s="1"/>
  <c r="BG596" i="17"/>
  <c r="BI596" i="17"/>
  <c r="BK596" i="17"/>
  <c r="BL596" i="17" s="1"/>
  <c r="BM596" i="17" s="1"/>
  <c r="BJ596" i="17"/>
  <c r="Z640" i="17" l="1"/>
  <c r="U641" i="17" s="1"/>
  <c r="AC641" i="17" s="1"/>
  <c r="AD641" i="17" s="1"/>
  <c r="AE641" i="17" s="1"/>
  <c r="AH640" i="17"/>
  <c r="AS640" i="17" s="1"/>
  <c r="AU640" i="17" s="1"/>
  <c r="AV640" i="17" s="1"/>
  <c r="AM640" i="17"/>
  <c r="AN640" i="17" s="1"/>
  <c r="AO640" i="17" s="1"/>
  <c r="AP640" i="17" s="1"/>
  <c r="BO596" i="17"/>
  <c r="BP596" i="17" s="1"/>
  <c r="BN596" i="17"/>
  <c r="AF557" i="15" s="1"/>
  <c r="BC597" i="17"/>
  <c r="AR640" i="17" l="1"/>
  <c r="AT640" i="17"/>
  <c r="AW640" i="17" s="1"/>
  <c r="AX640" i="17" s="1"/>
  <c r="AZ640" i="17" s="1"/>
  <c r="W641" i="17"/>
  <c r="AA641" i="17" s="1"/>
  <c r="AK641" i="17" s="1"/>
  <c r="AQ640" i="17"/>
  <c r="BD597" i="17"/>
  <c r="BH597" i="17"/>
  <c r="AL619" i="15"/>
  <c r="BQ596" i="17"/>
  <c r="Y641" i="17" l="1"/>
  <c r="AB641" i="17" s="1"/>
  <c r="AF641" i="17" s="1"/>
  <c r="AG641" i="17" s="1"/>
  <c r="AH641" i="17" s="1"/>
  <c r="AS641" i="17" s="1"/>
  <c r="AU641" i="17" s="1"/>
  <c r="AV641" i="17" s="1"/>
  <c r="BK597" i="17"/>
  <c r="BL597" i="17" s="1"/>
  <c r="BM597" i="17" s="1"/>
  <c r="BJ597" i="17"/>
  <c r="BE597" i="17"/>
  <c r="BF597" i="17" s="1"/>
  <c r="AL641" i="17" l="1"/>
  <c r="AY641" i="17" s="1"/>
  <c r="AT641" i="17"/>
  <c r="AW641" i="17" s="1"/>
  <c r="AX641" i="17" s="1"/>
  <c r="AZ641" i="17" s="1"/>
  <c r="Z641" i="17"/>
  <c r="U642" i="17" s="1"/>
  <c r="AC642" i="17" s="1"/>
  <c r="AD642" i="17" s="1"/>
  <c r="AE642" i="17" s="1"/>
  <c r="BG597" i="17"/>
  <c r="BI597" i="17"/>
  <c r="W642" i="17" l="1"/>
  <c r="AA642" i="17" s="1"/>
  <c r="AK642" i="17" s="1"/>
  <c r="AM641" i="17"/>
  <c r="AN641" i="17" s="1"/>
  <c r="AO641" i="17" s="1"/>
  <c r="AP641" i="17" s="1"/>
  <c r="AR641" i="17" s="1"/>
  <c r="BO597" i="17"/>
  <c r="BP597" i="17" s="1"/>
  <c r="BN597" i="17"/>
  <c r="AF561" i="15" s="1"/>
  <c r="BC598" i="17"/>
  <c r="BD598" i="17" s="1"/>
  <c r="Y642" i="17" l="1"/>
  <c r="AB642" i="17" s="1"/>
  <c r="AF642" i="17" s="1"/>
  <c r="AG642" i="17" s="1"/>
  <c r="AH642" i="17" s="1"/>
  <c r="AS642" i="17" s="1"/>
  <c r="AU642" i="17" s="1"/>
  <c r="Z642" i="17"/>
  <c r="U643" i="17" s="1"/>
  <c r="AC643" i="17" s="1"/>
  <c r="AD643" i="17" s="1"/>
  <c r="AE643" i="17" s="1"/>
  <c r="AQ641" i="17"/>
  <c r="AV642" i="17"/>
  <c r="BK598" i="17"/>
  <c r="BL598" i="17" s="1"/>
  <c r="BM598" i="17" s="1"/>
  <c r="BJ598" i="17"/>
  <c r="BE598" i="17"/>
  <c r="BF598" i="17" s="1"/>
  <c r="BH598" i="17"/>
  <c r="AL620" i="15"/>
  <c r="BQ597" i="17"/>
  <c r="AL642" i="17" l="1"/>
  <c r="AM642" i="17" s="1"/>
  <c r="AN642" i="17" s="1"/>
  <c r="AO642" i="17" s="1"/>
  <c r="AP642" i="17" s="1"/>
  <c r="AQ642" i="17" s="1"/>
  <c r="AT642" i="17"/>
  <c r="AW642" i="17" s="1"/>
  <c r="AX642" i="17" s="1"/>
  <c r="AZ642" i="17" s="1"/>
  <c r="AY642" i="17"/>
  <c r="W643" i="17"/>
  <c r="BG598" i="17"/>
  <c r="BI598" i="17"/>
  <c r="AR642" i="17" l="1"/>
  <c r="Y643" i="17"/>
  <c r="AA643" i="17"/>
  <c r="AK643" i="17" s="1"/>
  <c r="BO598" i="17"/>
  <c r="BP598" i="17" s="1"/>
  <c r="BN598" i="17"/>
  <c r="AF564" i="15" s="1"/>
  <c r="BC599" i="17"/>
  <c r="AB643" i="17" l="1"/>
  <c r="Z643" i="17"/>
  <c r="U644" i="17" s="1"/>
  <c r="AC644" i="17" s="1"/>
  <c r="AD644" i="17" s="1"/>
  <c r="AE644" i="17" s="1"/>
  <c r="BD599" i="17"/>
  <c r="BH599" i="17"/>
  <c r="AL621" i="15"/>
  <c r="BQ598" i="17"/>
  <c r="W644" i="17" l="1"/>
  <c r="AA644" i="17" s="1"/>
  <c r="AK644" i="17" s="1"/>
  <c r="AF643" i="17"/>
  <c r="AG643" i="17" s="1"/>
  <c r="AL643" i="17" s="1"/>
  <c r="BK599" i="17"/>
  <c r="BL599" i="17" s="1"/>
  <c r="BM599" i="17" s="1"/>
  <c r="BJ599" i="17"/>
  <c r="BE599" i="17"/>
  <c r="BF599" i="17" s="1"/>
  <c r="Y644" i="17" l="1"/>
  <c r="AB644" i="17" s="1"/>
  <c r="AF644" i="17" s="1"/>
  <c r="AG644" i="17" s="1"/>
  <c r="AH643" i="17"/>
  <c r="AS643" i="17" s="1"/>
  <c r="AM643" i="17"/>
  <c r="AN643" i="17" s="1"/>
  <c r="AO643" i="17" s="1"/>
  <c r="AP643" i="17" s="1"/>
  <c r="AQ643" i="17" s="1"/>
  <c r="AY643" i="17"/>
  <c r="BG599" i="17"/>
  <c r="BI599" i="17"/>
  <c r="Z644" i="17" l="1"/>
  <c r="U645" i="17" s="1"/>
  <c r="AC645" i="17" s="1"/>
  <c r="AR643" i="17"/>
  <c r="AT643" i="17"/>
  <c r="AW643" i="17" s="1"/>
  <c r="AX643" i="17" s="1"/>
  <c r="AZ643" i="17" s="1"/>
  <c r="AU643" i="17"/>
  <c r="AV643" i="17" s="1"/>
  <c r="AH644" i="17"/>
  <c r="AS644" i="17" s="1"/>
  <c r="AL644" i="17"/>
  <c r="BC600" i="17"/>
  <c r="BD600" i="17" s="1"/>
  <c r="BO599" i="17"/>
  <c r="BP599" i="17" s="1"/>
  <c r="BN599" i="17"/>
  <c r="AF567" i="15" s="1"/>
  <c r="AD645" i="17" l="1"/>
  <c r="AE645" i="17" s="1"/>
  <c r="AY644" i="17"/>
  <c r="AM644" i="17"/>
  <c r="AN644" i="17" s="1"/>
  <c r="AO644" i="17" s="1"/>
  <c r="AP644" i="17" s="1"/>
  <c r="AQ644" i="17" s="1"/>
  <c r="W645" i="17"/>
  <c r="AA645" i="17" s="1"/>
  <c r="AK645" i="17" s="1"/>
  <c r="AT644" i="17"/>
  <c r="AW644" i="17" s="1"/>
  <c r="AX644" i="17" s="1"/>
  <c r="AZ644" i="17" s="1"/>
  <c r="AU644" i="17"/>
  <c r="BK600" i="17"/>
  <c r="BL600" i="17" s="1"/>
  <c r="BM600" i="17" s="1"/>
  <c r="BJ600" i="17"/>
  <c r="AL622" i="15"/>
  <c r="BQ599" i="17"/>
  <c r="BE600" i="17"/>
  <c r="BF600" i="17" s="1"/>
  <c r="BH600" i="17"/>
  <c r="Y645" i="17" l="1"/>
  <c r="AB645" i="17" s="1"/>
  <c r="AF645" i="17" s="1"/>
  <c r="AG645" i="17" s="1"/>
  <c r="AL645" i="17" s="1"/>
  <c r="AR644" i="17"/>
  <c r="AV644" i="17"/>
  <c r="BG600" i="17"/>
  <c r="BI600" i="17"/>
  <c r="Z645" i="17" l="1"/>
  <c r="U646" i="17" s="1"/>
  <c r="AC646" i="17" s="1"/>
  <c r="AD646" i="17" s="1"/>
  <c r="AE646" i="17" s="1"/>
  <c r="AY645" i="17"/>
  <c r="AH645" i="17"/>
  <c r="AS645" i="17" s="1"/>
  <c r="AM645" i="17"/>
  <c r="AN645" i="17" s="1"/>
  <c r="AO645" i="17" s="1"/>
  <c r="AP645" i="17" s="1"/>
  <c r="AQ645" i="17" s="1"/>
  <c r="BO600" i="17"/>
  <c r="BP600" i="17" s="1"/>
  <c r="BN600" i="17"/>
  <c r="AF538" i="15" s="1"/>
  <c r="BC601" i="17"/>
  <c r="W646" i="17" l="1"/>
  <c r="AA646" i="17" s="1"/>
  <c r="AK646" i="17" s="1"/>
  <c r="AT645" i="17"/>
  <c r="AW645" i="17" s="1"/>
  <c r="AX645" i="17" s="1"/>
  <c r="AZ645" i="17" s="1"/>
  <c r="AU645" i="17"/>
  <c r="AR645" i="17"/>
  <c r="BH601" i="17"/>
  <c r="BD601" i="17"/>
  <c r="AL623" i="15"/>
  <c r="BQ600" i="17"/>
  <c r="Y646" i="17" l="1"/>
  <c r="AB646" i="17" s="1"/>
  <c r="AF646" i="17" s="1"/>
  <c r="AG646" i="17" s="1"/>
  <c r="AV645" i="17"/>
  <c r="BK601" i="17"/>
  <c r="BL601" i="17" s="1"/>
  <c r="BM601" i="17" s="1"/>
  <c r="BJ601" i="17"/>
  <c r="BE601" i="17"/>
  <c r="BF601" i="17" s="1"/>
  <c r="Z646" i="17" l="1"/>
  <c r="U647" i="17" s="1"/>
  <c r="AC647" i="17" s="1"/>
  <c r="AH646" i="17"/>
  <c r="AS646" i="17" s="1"/>
  <c r="AL646" i="17"/>
  <c r="AY646" i="17" s="1"/>
  <c r="BG601" i="17"/>
  <c r="BI601" i="17"/>
  <c r="W647" i="17" l="1"/>
  <c r="AA647" i="17" s="1"/>
  <c r="AK647" i="17" s="1"/>
  <c r="AD647" i="17"/>
  <c r="AM646" i="17"/>
  <c r="AN646" i="17" s="1"/>
  <c r="AO646" i="17" s="1"/>
  <c r="AT646" i="17"/>
  <c r="AW646" i="17" s="1"/>
  <c r="AX646" i="17" s="1"/>
  <c r="AZ646" i="17" s="1"/>
  <c r="AU646" i="17"/>
  <c r="BO601" i="17"/>
  <c r="BP601" i="17" s="1"/>
  <c r="BN601" i="17"/>
  <c r="AF566" i="15" s="1"/>
  <c r="BC602" i="17"/>
  <c r="BH602" i="17" s="1"/>
  <c r="Y647" i="17" l="1"/>
  <c r="AB647" i="17" s="1"/>
  <c r="AV646" i="17"/>
  <c r="AP646" i="17"/>
  <c r="AR646" i="17" s="1"/>
  <c r="AE647" i="17"/>
  <c r="BD602" i="17"/>
  <c r="BE602" i="17" s="1"/>
  <c r="BF602" i="17" s="1"/>
  <c r="AL624" i="15"/>
  <c r="BQ601" i="17"/>
  <c r="AF647" i="17" l="1"/>
  <c r="AG647" i="17" s="1"/>
  <c r="AL647" i="17" s="1"/>
  <c r="AM647" i="17" s="1"/>
  <c r="AN647" i="17" s="1"/>
  <c r="AO647" i="17" s="1"/>
  <c r="AP647" i="17" s="1"/>
  <c r="AQ647" i="17" s="1"/>
  <c r="Z647" i="17"/>
  <c r="U648" i="17" s="1"/>
  <c r="AC648" i="17" s="1"/>
  <c r="AQ646" i="17"/>
  <c r="BJ602" i="17"/>
  <c r="BG602" i="17"/>
  <c r="BC603" i="17" s="1"/>
  <c r="BH603" i="17" s="1"/>
  <c r="BI602" i="17"/>
  <c r="BO602" i="17" s="1"/>
  <c r="BP602" i="17" s="1"/>
  <c r="BK602" i="17"/>
  <c r="BL602" i="17" s="1"/>
  <c r="BM602" i="17" s="1"/>
  <c r="AH647" i="17" l="1"/>
  <c r="AS647" i="17" s="1"/>
  <c r="AT647" i="17" s="1"/>
  <c r="AW647" i="17" s="1"/>
  <c r="AX647" i="17" s="1"/>
  <c r="AZ647" i="17" s="1"/>
  <c r="AD648" i="17"/>
  <c r="W648" i="17"/>
  <c r="AA648" i="17" s="1"/>
  <c r="AK648" i="17" s="1"/>
  <c r="AY647" i="17"/>
  <c r="BN602" i="17"/>
  <c r="AF572" i="15" s="1"/>
  <c r="BD603" i="17"/>
  <c r="AL625" i="15"/>
  <c r="AU647" i="17" l="1"/>
  <c r="AR647" i="17"/>
  <c r="Y648" i="17"/>
  <c r="AB648" i="17" s="1"/>
  <c r="AV647" i="17"/>
  <c r="AE648" i="17"/>
  <c r="BQ602" i="17"/>
  <c r="BK603" i="17"/>
  <c r="BL603" i="17" s="1"/>
  <c r="BM603" i="17" s="1"/>
  <c r="BJ603" i="17"/>
  <c r="BE603" i="17"/>
  <c r="BF603" i="17" s="1"/>
  <c r="Z648" i="17" l="1"/>
  <c r="AF648" i="17"/>
  <c r="AG648" i="17" s="1"/>
  <c r="AL648" i="17" s="1"/>
  <c r="BG603" i="17"/>
  <c r="BI603" i="17"/>
  <c r="AY648" i="17" l="1"/>
  <c r="AH648" i="17"/>
  <c r="AS648" i="17" s="1"/>
  <c r="AM648" i="17"/>
  <c r="AN648" i="17" s="1"/>
  <c r="AO648" i="17" s="1"/>
  <c r="AP648" i="17" s="1"/>
  <c r="AQ648" i="17" s="1"/>
  <c r="U649" i="17"/>
  <c r="AC649" i="17" s="1"/>
  <c r="BO603" i="17"/>
  <c r="BP603" i="17" s="1"/>
  <c r="BN603" i="17"/>
  <c r="AF575" i="15" s="1"/>
  <c r="BC604" i="17"/>
  <c r="BH604" i="17" s="1"/>
  <c r="W649" i="17" l="1"/>
  <c r="AT648" i="17"/>
  <c r="AW648" i="17" s="1"/>
  <c r="AX648" i="17" s="1"/>
  <c r="AZ648" i="17" s="1"/>
  <c r="AU648" i="17"/>
  <c r="AR648" i="17"/>
  <c r="AD649" i="17"/>
  <c r="BD604" i="17"/>
  <c r="BE604" i="17" s="1"/>
  <c r="BF604" i="17" s="1"/>
  <c r="AL626" i="15"/>
  <c r="BQ603" i="17"/>
  <c r="Y649" i="17" l="1"/>
  <c r="AB649" i="17" s="1"/>
  <c r="AA649" i="17"/>
  <c r="AK649" i="17" s="1"/>
  <c r="AE649" i="17"/>
  <c r="AV648" i="17"/>
  <c r="BG604" i="17"/>
  <c r="BI604" i="17"/>
  <c r="BK604" i="17"/>
  <c r="BL604" i="17" s="1"/>
  <c r="BM604" i="17" s="1"/>
  <c r="BJ604" i="17"/>
  <c r="Z649" i="17" l="1"/>
  <c r="AF649" i="17"/>
  <c r="AG649" i="17" s="1"/>
  <c r="BO604" i="17"/>
  <c r="BP604" i="17" s="1"/>
  <c r="BN604" i="17"/>
  <c r="AF578" i="15" s="1"/>
  <c r="BC605" i="17"/>
  <c r="BH605" i="17" s="1"/>
  <c r="U650" i="17" l="1"/>
  <c r="AC650" i="17" s="1"/>
  <c r="AD650" i="17" s="1"/>
  <c r="AE650" i="17" s="1"/>
  <c r="AH649" i="17"/>
  <c r="AS649" i="17" s="1"/>
  <c r="AL649" i="17"/>
  <c r="AY649" i="17" s="1"/>
  <c r="BD605" i="17"/>
  <c r="BE605" i="17" s="1"/>
  <c r="BF605" i="17" s="1"/>
  <c r="AL627" i="15"/>
  <c r="BQ604" i="17"/>
  <c r="W650" i="17" l="1"/>
  <c r="AA650" i="17" s="1"/>
  <c r="AK650" i="17" s="1"/>
  <c r="AM649" i="17"/>
  <c r="AN649" i="17" s="1"/>
  <c r="AO649" i="17" s="1"/>
  <c r="AT649" i="17"/>
  <c r="AW649" i="17" s="1"/>
  <c r="AX649" i="17" s="1"/>
  <c r="AZ649" i="17" s="1"/>
  <c r="AU649" i="17"/>
  <c r="BG605" i="17"/>
  <c r="BI605" i="17"/>
  <c r="BK605" i="17"/>
  <c r="BL605" i="17" s="1"/>
  <c r="BM605" i="17" s="1"/>
  <c r="BJ605" i="17"/>
  <c r="Y650" i="17" l="1"/>
  <c r="AB650" i="17" s="1"/>
  <c r="AV649" i="17"/>
  <c r="AP649" i="17"/>
  <c r="AR649" i="17" s="1"/>
  <c r="BO605" i="17"/>
  <c r="BP605" i="17" s="1"/>
  <c r="BN605" i="17"/>
  <c r="AF579" i="15" s="1"/>
  <c r="BC606" i="17"/>
  <c r="BD606" i="17" s="1"/>
  <c r="Z650" i="17" l="1"/>
  <c r="U651" i="17" s="1"/>
  <c r="AC651" i="17" s="1"/>
  <c r="AD651" i="17" s="1"/>
  <c r="AE651" i="17" s="1"/>
  <c r="AF650" i="17"/>
  <c r="AG650" i="17" s="1"/>
  <c r="AH650" i="17" s="1"/>
  <c r="AS650" i="17" s="1"/>
  <c r="AT650" i="17" s="1"/>
  <c r="AW650" i="17" s="1"/>
  <c r="AX650" i="17" s="1"/>
  <c r="AZ650" i="17" s="1"/>
  <c r="AQ649" i="17"/>
  <c r="BK606" i="17"/>
  <c r="BL606" i="17" s="1"/>
  <c r="BM606" i="17" s="1"/>
  <c r="BJ606" i="17"/>
  <c r="BE606" i="17"/>
  <c r="BF606" i="17" s="1"/>
  <c r="BH606" i="17"/>
  <c r="AL628" i="15"/>
  <c r="BQ605" i="17"/>
  <c r="W651" i="17" l="1"/>
  <c r="AA651" i="17" s="1"/>
  <c r="AK651" i="17" s="1"/>
  <c r="AU650" i="17"/>
  <c r="AL650" i="17"/>
  <c r="BG606" i="17"/>
  <c r="BI606" i="17"/>
  <c r="Y651" i="17" l="1"/>
  <c r="AB651" i="17" s="1"/>
  <c r="AM650" i="17"/>
  <c r="AN650" i="17" s="1"/>
  <c r="AO650" i="17" s="1"/>
  <c r="AP650" i="17" s="1"/>
  <c r="AQ650" i="17" s="1"/>
  <c r="AY650" i="17"/>
  <c r="AV650" i="17"/>
  <c r="BC607" i="17"/>
  <c r="BH607" i="17" s="1"/>
  <c r="BO606" i="17"/>
  <c r="BP606" i="17" s="1"/>
  <c r="BN606" i="17"/>
  <c r="AF581" i="15" s="1"/>
  <c r="Z651" i="17" l="1"/>
  <c r="U652" i="17" s="1"/>
  <c r="AC652" i="17" s="1"/>
  <c r="AD652" i="17" s="1"/>
  <c r="AE652" i="17" s="1"/>
  <c r="AR650" i="17"/>
  <c r="AF651" i="17"/>
  <c r="AG651" i="17" s="1"/>
  <c r="AH651" i="17" s="1"/>
  <c r="AS651" i="17" s="1"/>
  <c r="AL629" i="15"/>
  <c r="BQ606" i="17"/>
  <c r="BD607" i="17"/>
  <c r="W652" i="17" l="1"/>
  <c r="AA652" i="17" s="1"/>
  <c r="AK652" i="17" s="1"/>
  <c r="AL651" i="17"/>
  <c r="AT651" i="17"/>
  <c r="AW651" i="17" s="1"/>
  <c r="AX651" i="17" s="1"/>
  <c r="AZ651" i="17" s="1"/>
  <c r="AU651" i="17"/>
  <c r="AV651" i="17" s="1"/>
  <c r="BK607" i="17"/>
  <c r="BL607" i="17" s="1"/>
  <c r="BM607" i="17" s="1"/>
  <c r="BJ607" i="17"/>
  <c r="BE607" i="17"/>
  <c r="BF607" i="17" s="1"/>
  <c r="Y652" i="17" l="1"/>
  <c r="Z652" i="17" s="1"/>
  <c r="AM651" i="17"/>
  <c r="AN651" i="17" s="1"/>
  <c r="AO651" i="17" s="1"/>
  <c r="AY651" i="17"/>
  <c r="BG607" i="17"/>
  <c r="BI607" i="17"/>
  <c r="AB652" i="17" l="1"/>
  <c r="AF652" i="17" s="1"/>
  <c r="AG652" i="17" s="1"/>
  <c r="AL652" i="17" s="1"/>
  <c r="AY652" i="17" s="1"/>
  <c r="AP651" i="17"/>
  <c r="AR651" i="17" s="1"/>
  <c r="U653" i="17"/>
  <c r="W653" i="17" s="1"/>
  <c r="AA653" i="17" s="1"/>
  <c r="AK653" i="17" s="1"/>
  <c r="BO607" i="17"/>
  <c r="BP607" i="17" s="1"/>
  <c r="BN607" i="17"/>
  <c r="AF583" i="15" s="1"/>
  <c r="BC608" i="17"/>
  <c r="BD608" i="17" s="1"/>
  <c r="AQ651" i="17" l="1"/>
  <c r="AH652" i="17"/>
  <c r="AS652" i="17" s="1"/>
  <c r="AM652" i="17"/>
  <c r="AN652" i="17" s="1"/>
  <c r="AO652" i="17" s="1"/>
  <c r="AP652" i="17" s="1"/>
  <c r="Y653" i="17"/>
  <c r="AB653" i="17" s="1"/>
  <c r="AC653" i="17"/>
  <c r="AD653" i="17" s="1"/>
  <c r="AE653" i="17" s="1"/>
  <c r="AL630" i="15"/>
  <c r="BQ607" i="17"/>
  <c r="BK608" i="17"/>
  <c r="BL608" i="17" s="1"/>
  <c r="BM608" i="17" s="1"/>
  <c r="BJ608" i="17"/>
  <c r="BE608" i="17"/>
  <c r="BF608" i="17" s="1"/>
  <c r="BH608" i="17"/>
  <c r="AR652" i="17" l="1"/>
  <c r="AQ652" i="17"/>
  <c r="AF653" i="17"/>
  <c r="AG653" i="17" s="1"/>
  <c r="Z653" i="17"/>
  <c r="AT652" i="17"/>
  <c r="AW652" i="17" s="1"/>
  <c r="AX652" i="17" s="1"/>
  <c r="AZ652" i="17" s="1"/>
  <c r="AU652" i="17"/>
  <c r="AV652" i="17" s="1"/>
  <c r="BG608" i="17"/>
  <c r="BI608" i="17"/>
  <c r="U654" i="17" l="1"/>
  <c r="W654" i="17" s="1"/>
  <c r="AA654" i="17" s="1"/>
  <c r="AK654" i="17" s="1"/>
  <c r="AH653" i="17"/>
  <c r="AS653" i="17" s="1"/>
  <c r="AT653" i="17" s="1"/>
  <c r="AW653" i="17" s="1"/>
  <c r="AX653" i="17" s="1"/>
  <c r="AZ653" i="17" s="1"/>
  <c r="AL653" i="17"/>
  <c r="BO608" i="17"/>
  <c r="BP608" i="17" s="1"/>
  <c r="BN608" i="17"/>
  <c r="AF585" i="15" s="1"/>
  <c r="BC609" i="17"/>
  <c r="BH609" i="17" s="1"/>
  <c r="AC654" i="17" l="1"/>
  <c r="AD654" i="17" s="1"/>
  <c r="AE654" i="17" s="1"/>
  <c r="Y654" i="17"/>
  <c r="AM653" i="17"/>
  <c r="AN653" i="17" s="1"/>
  <c r="AY653" i="17"/>
  <c r="AU653" i="17"/>
  <c r="AV653" i="17" s="1"/>
  <c r="BD609" i="17"/>
  <c r="AL631" i="15"/>
  <c r="BQ608" i="17"/>
  <c r="AO653" i="17" l="1"/>
  <c r="AB654" i="17"/>
  <c r="AF654" i="17" s="1"/>
  <c r="AG654" i="17" s="1"/>
  <c r="Z654" i="17"/>
  <c r="U655" i="17" s="1"/>
  <c r="AC655" i="17" s="1"/>
  <c r="AD655" i="17" s="1"/>
  <c r="AE655" i="17" s="1"/>
  <c r="BK609" i="17"/>
  <c r="BL609" i="17" s="1"/>
  <c r="BM609" i="17" s="1"/>
  <c r="BJ609" i="17"/>
  <c r="BE609" i="17"/>
  <c r="BF609" i="17" s="1"/>
  <c r="AL654" i="17" l="1"/>
  <c r="AY654" i="17" s="1"/>
  <c r="AH654" i="17"/>
  <c r="AS654" i="17" s="1"/>
  <c r="W655" i="17"/>
  <c r="AA655" i="17" s="1"/>
  <c r="AK655" i="17" s="1"/>
  <c r="AP653" i="17"/>
  <c r="AR653" i="17" s="1"/>
  <c r="BG609" i="17"/>
  <c r="BI609" i="17"/>
  <c r="Y655" i="17" l="1"/>
  <c r="AB655" i="17" s="1"/>
  <c r="AF655" i="17" s="1"/>
  <c r="AG655" i="17" s="1"/>
  <c r="AL655" i="17" s="1"/>
  <c r="AY655" i="17" s="1"/>
  <c r="AT654" i="17"/>
  <c r="AW654" i="17" s="1"/>
  <c r="AX654" i="17" s="1"/>
  <c r="AZ654" i="17" s="1"/>
  <c r="AU654" i="17"/>
  <c r="AV654" i="17" s="1"/>
  <c r="AQ653" i="17"/>
  <c r="AM654" i="17"/>
  <c r="AN654" i="17" s="1"/>
  <c r="BO609" i="17"/>
  <c r="BP609" i="17" s="1"/>
  <c r="BN609" i="17"/>
  <c r="AF588" i="15" s="1"/>
  <c r="BC610" i="17"/>
  <c r="BH610" i="17" s="1"/>
  <c r="AH655" i="17" l="1"/>
  <c r="AS655" i="17" s="1"/>
  <c r="AU655" i="17" s="1"/>
  <c r="Z655" i="17"/>
  <c r="U656" i="17" s="1"/>
  <c r="AC656" i="17" s="1"/>
  <c r="AD656" i="17" s="1"/>
  <c r="AE656" i="17" s="1"/>
  <c r="AM655" i="17"/>
  <c r="AN655" i="17" s="1"/>
  <c r="AO655" i="17" s="1"/>
  <c r="AP655" i="17" s="1"/>
  <c r="AQ655" i="17" s="1"/>
  <c r="AO654" i="17"/>
  <c r="AP654" i="17" s="1"/>
  <c r="AQ654" i="17" s="1"/>
  <c r="BD610" i="17"/>
  <c r="AL632" i="15"/>
  <c r="BQ609" i="17"/>
  <c r="AT655" i="17" l="1"/>
  <c r="AW655" i="17" s="1"/>
  <c r="AX655" i="17" s="1"/>
  <c r="AZ655" i="17" s="1"/>
  <c r="W656" i="17"/>
  <c r="AA656" i="17" s="1"/>
  <c r="AK656" i="17" s="1"/>
  <c r="AR654" i="17"/>
  <c r="AV655" i="17"/>
  <c r="AR655" i="17"/>
  <c r="BK610" i="17"/>
  <c r="BL610" i="17" s="1"/>
  <c r="BM610" i="17" s="1"/>
  <c r="BJ610" i="17"/>
  <c r="BE610" i="17"/>
  <c r="BF610" i="17" s="1"/>
  <c r="Y656" i="17" l="1"/>
  <c r="AB656" i="17" s="1"/>
  <c r="AF656" i="17" s="1"/>
  <c r="AG656" i="17" s="1"/>
  <c r="AH656" i="17" s="1"/>
  <c r="AS656" i="17" s="1"/>
  <c r="AT656" i="17" s="1"/>
  <c r="AW656" i="17" s="1"/>
  <c r="AX656" i="17" s="1"/>
  <c r="AZ656" i="17" s="1"/>
  <c r="BG610" i="17"/>
  <c r="BI610" i="17"/>
  <c r="Z656" i="17" l="1"/>
  <c r="U657" i="17" s="1"/>
  <c r="AC657" i="17" s="1"/>
  <c r="AD657" i="17" s="1"/>
  <c r="AE657" i="17" s="1"/>
  <c r="AU656" i="17"/>
  <c r="AV656" i="17" s="1"/>
  <c r="AL656" i="17"/>
  <c r="AY656" i="17" s="1"/>
  <c r="BO610" i="17"/>
  <c r="BP610" i="17" s="1"/>
  <c r="BN610" i="17"/>
  <c r="AF591" i="15" s="1"/>
  <c r="BC611" i="17"/>
  <c r="BH611" i="17" s="1"/>
  <c r="W657" i="17" l="1"/>
  <c r="AA657" i="17" s="1"/>
  <c r="AK657" i="17" s="1"/>
  <c r="AM656" i="17"/>
  <c r="AN656" i="17" s="1"/>
  <c r="AO656" i="17" s="1"/>
  <c r="AP656" i="17" s="1"/>
  <c r="AR656" i="17" s="1"/>
  <c r="BD611" i="17"/>
  <c r="BK611" i="17" s="1"/>
  <c r="BL611" i="17" s="1"/>
  <c r="BM611" i="17" s="1"/>
  <c r="AL633" i="15"/>
  <c r="BQ610" i="17"/>
  <c r="Y657" i="17" l="1"/>
  <c r="AB657" i="17" s="1"/>
  <c r="AF657" i="17" s="1"/>
  <c r="AG657" i="17" s="1"/>
  <c r="AH657" i="17" s="1"/>
  <c r="AS657" i="17" s="1"/>
  <c r="AT657" i="17" s="1"/>
  <c r="AW657" i="17" s="1"/>
  <c r="AX657" i="17" s="1"/>
  <c r="AZ657" i="17" s="1"/>
  <c r="AQ656" i="17"/>
  <c r="BE611" i="17"/>
  <c r="BF611" i="17" s="1"/>
  <c r="BG611" i="17" s="1"/>
  <c r="BJ611" i="17"/>
  <c r="AU657" i="17" l="1"/>
  <c r="AV657" i="17" s="1"/>
  <c r="Z657" i="17"/>
  <c r="U658" i="17" s="1"/>
  <c r="AC658" i="17" s="1"/>
  <c r="AL657" i="17"/>
  <c r="AY657" i="17" s="1"/>
  <c r="BI611" i="17"/>
  <c r="BO611" i="17" s="1"/>
  <c r="BP611" i="17" s="1"/>
  <c r="BC612" i="17"/>
  <c r="BH612" i="17" s="1"/>
  <c r="W658" i="17" l="1"/>
  <c r="Y658" i="17" s="1"/>
  <c r="AB658" i="17" s="1"/>
  <c r="AM657" i="17"/>
  <c r="AN657" i="17" s="1"/>
  <c r="AO657" i="17" s="1"/>
  <c r="AP657" i="17" s="1"/>
  <c r="AR657" i="17" s="1"/>
  <c r="BN611" i="17"/>
  <c r="AF593" i="15" s="1"/>
  <c r="AD658" i="17"/>
  <c r="AE658" i="17" s="1"/>
  <c r="BD612" i="17"/>
  <c r="BK612" i="17" s="1"/>
  <c r="BL612" i="17" s="1"/>
  <c r="BM612" i="17" s="1"/>
  <c r="AL634" i="15"/>
  <c r="AQ657" i="17" l="1"/>
  <c r="AF658" i="17"/>
  <c r="AG658" i="17" s="1"/>
  <c r="AH658" i="17" s="1"/>
  <c r="AS658" i="17" s="1"/>
  <c r="Z658" i="17"/>
  <c r="U659" i="17" s="1"/>
  <c r="AC659" i="17" s="1"/>
  <c r="AA658" i="17"/>
  <c r="AK658" i="17" s="1"/>
  <c r="BQ611" i="17"/>
  <c r="BE612" i="17"/>
  <c r="BF612" i="17" s="1"/>
  <c r="BG612" i="17" s="1"/>
  <c r="BJ612" i="17"/>
  <c r="AL658" i="17" l="1"/>
  <c r="AM658" i="17" s="1"/>
  <c r="W659" i="17"/>
  <c r="AA659" i="17" s="1"/>
  <c r="AK659" i="17" s="1"/>
  <c r="AD659" i="17"/>
  <c r="AE659" i="17" s="1"/>
  <c r="AY658" i="17"/>
  <c r="AU658" i="17"/>
  <c r="AT658" i="17"/>
  <c r="AW658" i="17" s="1"/>
  <c r="AX658" i="17" s="1"/>
  <c r="AZ658" i="17" s="1"/>
  <c r="BI612" i="17"/>
  <c r="BN612" i="17" s="1"/>
  <c r="AF595" i="15" s="1"/>
  <c r="BC613" i="17"/>
  <c r="BD613" i="17" s="1"/>
  <c r="Y659" i="17" l="1"/>
  <c r="AB659" i="17" s="1"/>
  <c r="AF659" i="17" s="1"/>
  <c r="AG659" i="17" s="1"/>
  <c r="AH659" i="17" s="1"/>
  <c r="AS659" i="17" s="1"/>
  <c r="AT659" i="17" s="1"/>
  <c r="AW659" i="17" s="1"/>
  <c r="AX659" i="17" s="1"/>
  <c r="AZ659" i="17" s="1"/>
  <c r="AV658" i="17"/>
  <c r="AN658" i="17"/>
  <c r="AO658" i="17" s="1"/>
  <c r="BO612" i="17"/>
  <c r="BP612" i="17" s="1"/>
  <c r="AL635" i="15" s="1"/>
  <c r="BK613" i="17"/>
  <c r="BL613" i="17" s="1"/>
  <c r="BM613" i="17" s="1"/>
  <c r="BJ613" i="17"/>
  <c r="BE613" i="17"/>
  <c r="BF613" i="17" s="1"/>
  <c r="BH613" i="17"/>
  <c r="Z659" i="17" l="1"/>
  <c r="U660" i="17" s="1"/>
  <c r="AL659" i="17"/>
  <c r="AM659" i="17" s="1"/>
  <c r="AN659" i="17" s="1"/>
  <c r="AO659" i="17" s="1"/>
  <c r="AP659" i="17" s="1"/>
  <c r="AR659" i="17" s="1"/>
  <c r="BQ612" i="17"/>
  <c r="AP658" i="17"/>
  <c r="AR658" i="17" s="1"/>
  <c r="AY659" i="17"/>
  <c r="AU659" i="17"/>
  <c r="BG613" i="17"/>
  <c r="BI613" i="17"/>
  <c r="AQ659" i="17" l="1"/>
  <c r="AQ658" i="17"/>
  <c r="AV659" i="17"/>
  <c r="W660" i="17"/>
  <c r="AC660" i="17"/>
  <c r="BO613" i="17"/>
  <c r="BP613" i="17" s="1"/>
  <c r="BN613" i="17"/>
  <c r="AF598" i="15" s="1"/>
  <c r="BC614" i="17"/>
  <c r="BD614" i="17" s="1"/>
  <c r="AD660" i="17" l="1"/>
  <c r="AE660" i="17" s="1"/>
  <c r="AA660" i="17"/>
  <c r="AK660" i="17" s="1"/>
  <c r="Y660" i="17"/>
  <c r="AB660" i="17" s="1"/>
  <c r="BK614" i="17"/>
  <c r="BJ614" i="17"/>
  <c r="BE614" i="17"/>
  <c r="BF614" i="17" s="1"/>
  <c r="BH614" i="17"/>
  <c r="AL636" i="15"/>
  <c r="BQ613" i="17"/>
  <c r="Z660" i="17" l="1"/>
  <c r="U661" i="17" s="1"/>
  <c r="AC661" i="17" s="1"/>
  <c r="AF660" i="17"/>
  <c r="AG660" i="17" s="1"/>
  <c r="AL660" i="17" s="1"/>
  <c r="BG614" i="17"/>
  <c r="BI614" i="17"/>
  <c r="BL614" i="17"/>
  <c r="BM614" i="17" s="1"/>
  <c r="W661" i="17" l="1"/>
  <c r="AA661" i="17" s="1"/>
  <c r="AK661" i="17" s="1"/>
  <c r="AY660" i="17"/>
  <c r="AH660" i="17"/>
  <c r="AS660" i="17" s="1"/>
  <c r="AM660" i="17"/>
  <c r="AD661" i="17"/>
  <c r="BO614" i="17"/>
  <c r="BP614" i="17" s="1"/>
  <c r="BN614" i="17"/>
  <c r="AF601" i="15" s="1"/>
  <c r="BC615" i="17"/>
  <c r="BH615" i="17" s="1"/>
  <c r="Y661" i="17" l="1"/>
  <c r="AB661" i="17" s="1"/>
  <c r="AN660" i="17"/>
  <c r="AO660" i="17" s="1"/>
  <c r="AP660" i="17" s="1"/>
  <c r="AQ660" i="17" s="1"/>
  <c r="AE661" i="17"/>
  <c r="AU660" i="17"/>
  <c r="AT660" i="17"/>
  <c r="AW660" i="17" s="1"/>
  <c r="AX660" i="17" s="1"/>
  <c r="AZ660" i="17" s="1"/>
  <c r="BD615" i="17"/>
  <c r="BE615" i="17" s="1"/>
  <c r="BF615" i="17" s="1"/>
  <c r="AL637" i="15"/>
  <c r="BQ614" i="17"/>
  <c r="Z661" i="17" l="1"/>
  <c r="U662" i="17" s="1"/>
  <c r="AC662" i="17" s="1"/>
  <c r="AD662" i="17" s="1"/>
  <c r="AF661" i="17"/>
  <c r="AG661" i="17" s="1"/>
  <c r="AH661" i="17" s="1"/>
  <c r="AS661" i="17" s="1"/>
  <c r="AT661" i="17" s="1"/>
  <c r="AW661" i="17" s="1"/>
  <c r="AV660" i="17"/>
  <c r="AR660" i="17"/>
  <c r="BG615" i="17"/>
  <c r="BI615" i="17"/>
  <c r="BJ615" i="17"/>
  <c r="BK615" i="17"/>
  <c r="BL615" i="17" s="1"/>
  <c r="BM615" i="17" s="1"/>
  <c r="AL661" i="17" l="1"/>
  <c r="AM661" i="17" s="1"/>
  <c r="AU661" i="17"/>
  <c r="AV661" i="17" s="1"/>
  <c r="W662" i="17"/>
  <c r="AA662" i="17" s="1"/>
  <c r="AK662" i="17" s="1"/>
  <c r="AY661" i="17"/>
  <c r="AE662" i="17"/>
  <c r="AX661" i="17"/>
  <c r="AZ661" i="17" s="1"/>
  <c r="BO615" i="17"/>
  <c r="BP615" i="17" s="1"/>
  <c r="BN615" i="17"/>
  <c r="AF603" i="15" s="1"/>
  <c r="BC616" i="17"/>
  <c r="Y662" i="17" l="1"/>
  <c r="AB662" i="17" s="1"/>
  <c r="AF662" i="17" s="1"/>
  <c r="AG662" i="17" s="1"/>
  <c r="AN661" i="17"/>
  <c r="AO661" i="17" s="1"/>
  <c r="AP661" i="17" s="1"/>
  <c r="AQ661" i="17" s="1"/>
  <c r="AL638" i="15"/>
  <c r="BQ615" i="17"/>
  <c r="BD616" i="17"/>
  <c r="BH616" i="17"/>
  <c r="Z662" i="17" l="1"/>
  <c r="U663" i="17" s="1"/>
  <c r="AC663" i="17" s="1"/>
  <c r="AH662" i="17"/>
  <c r="AS662" i="17" s="1"/>
  <c r="AL662" i="17"/>
  <c r="AM662" i="17" s="1"/>
  <c r="AR661" i="17"/>
  <c r="BK616" i="17"/>
  <c r="BL616" i="17" s="1"/>
  <c r="BM616" i="17" s="1"/>
  <c r="BJ616" i="17"/>
  <c r="BE616" i="17"/>
  <c r="BF616" i="17" s="1"/>
  <c r="AD663" i="17" l="1"/>
  <c r="AY662" i="17"/>
  <c r="AN662" i="17"/>
  <c r="AO662" i="17" s="1"/>
  <c r="W663" i="17"/>
  <c r="AT662" i="17"/>
  <c r="AW662" i="17" s="1"/>
  <c r="AX662" i="17" s="1"/>
  <c r="AZ662" i="17" s="1"/>
  <c r="AU662" i="17"/>
  <c r="BG616" i="17"/>
  <c r="BI616" i="17"/>
  <c r="AP662" i="17" l="1"/>
  <c r="AR662" i="17" s="1"/>
  <c r="AV662" i="17"/>
  <c r="AE663" i="17"/>
  <c r="AA663" i="17"/>
  <c r="AK663" i="17" s="1"/>
  <c r="Y663" i="17"/>
  <c r="AB663" i="17" s="1"/>
  <c r="BO616" i="17"/>
  <c r="BP616" i="17" s="1"/>
  <c r="BN616" i="17"/>
  <c r="AF606" i="15" s="1"/>
  <c r="BC617" i="17"/>
  <c r="BH617" i="17" s="1"/>
  <c r="AQ662" i="17" l="1"/>
  <c r="AF663" i="17"/>
  <c r="AG663" i="17" s="1"/>
  <c r="Z663" i="17"/>
  <c r="BD617" i="17"/>
  <c r="BE617" i="17" s="1"/>
  <c r="BF617" i="17" s="1"/>
  <c r="AL639" i="15"/>
  <c r="BQ616" i="17"/>
  <c r="AL663" i="17" l="1"/>
  <c r="AM663" i="17" s="1"/>
  <c r="AH663" i="17"/>
  <c r="AS663" i="17" s="1"/>
  <c r="U664" i="17"/>
  <c r="AC664" i="17" s="1"/>
  <c r="BG617" i="17"/>
  <c r="BI617" i="17"/>
  <c r="BK617" i="17"/>
  <c r="BL617" i="17" s="1"/>
  <c r="BM617" i="17" s="1"/>
  <c r="BJ617" i="17"/>
  <c r="AD664" i="17" l="1"/>
  <c r="AN663" i="17"/>
  <c r="AO663" i="17" s="1"/>
  <c r="AP663" i="17" s="1"/>
  <c r="AT663" i="17"/>
  <c r="AW663" i="17" s="1"/>
  <c r="AX663" i="17" s="1"/>
  <c r="AZ663" i="17" s="1"/>
  <c r="AU663" i="17"/>
  <c r="W664" i="17"/>
  <c r="AY663" i="17"/>
  <c r="BO617" i="17"/>
  <c r="BP617" i="17" s="1"/>
  <c r="BN617" i="17"/>
  <c r="AF608" i="15" s="1"/>
  <c r="BC618" i="17"/>
  <c r="BH618" i="17" s="1"/>
  <c r="AQ663" i="17" l="1"/>
  <c r="AR663" i="17"/>
  <c r="AA664" i="17"/>
  <c r="AK664" i="17" s="1"/>
  <c r="Y664" i="17"/>
  <c r="AB664" i="17" s="1"/>
  <c r="AV663" i="17"/>
  <c r="AE664" i="17"/>
  <c r="BD618" i="17"/>
  <c r="AL640" i="15"/>
  <c r="BQ617" i="17"/>
  <c r="AF664" i="17" l="1"/>
  <c r="AG664" i="17" s="1"/>
  <c r="AL664" i="17" s="1"/>
  <c r="Z664" i="17"/>
  <c r="BE618" i="17"/>
  <c r="BF618" i="17" s="1"/>
  <c r="BK618" i="17"/>
  <c r="BL618" i="17" s="1"/>
  <c r="BM618" i="17" s="1"/>
  <c r="BJ618" i="17"/>
  <c r="U665" i="17" l="1"/>
  <c r="AC665" i="17" s="1"/>
  <c r="AY664" i="17"/>
  <c r="AH664" i="17"/>
  <c r="AS664" i="17" s="1"/>
  <c r="AM664" i="17"/>
  <c r="BG618" i="17"/>
  <c r="BI618" i="17"/>
  <c r="AN664" i="17" l="1"/>
  <c r="AO664" i="17" s="1"/>
  <c r="AT664" i="17"/>
  <c r="AW664" i="17" s="1"/>
  <c r="AX664" i="17" s="1"/>
  <c r="AZ664" i="17" s="1"/>
  <c r="AU664" i="17"/>
  <c r="W665" i="17"/>
  <c r="AA665" i="17" s="1"/>
  <c r="AK665" i="17" s="1"/>
  <c r="AD665" i="17"/>
  <c r="BO618" i="17"/>
  <c r="BP618" i="17" s="1"/>
  <c r="BN618" i="17"/>
  <c r="AF610" i="15" s="1"/>
  <c r="BC619" i="17"/>
  <c r="BH619" i="17" s="1"/>
  <c r="AP664" i="17" l="1"/>
  <c r="AQ664" i="17" s="1"/>
  <c r="Y665" i="17"/>
  <c r="AB665" i="17" s="1"/>
  <c r="AE665" i="17"/>
  <c r="AV664" i="17"/>
  <c r="BD619" i="17"/>
  <c r="BE619" i="17" s="1"/>
  <c r="BF619" i="17" s="1"/>
  <c r="AL641" i="15"/>
  <c r="BQ618" i="17"/>
  <c r="AR664" i="17" l="1"/>
  <c r="AF665" i="17"/>
  <c r="AG665" i="17" s="1"/>
  <c r="AL665" i="17" s="1"/>
  <c r="AY665" i="17" s="1"/>
  <c r="Z665" i="17"/>
  <c r="BG619" i="17"/>
  <c r="BI619" i="17"/>
  <c r="BK619" i="17"/>
  <c r="BL619" i="17" s="1"/>
  <c r="BM619" i="17" s="1"/>
  <c r="BJ619" i="17"/>
  <c r="U666" i="17" l="1"/>
  <c r="AC666" i="17" s="1"/>
  <c r="AH665" i="17"/>
  <c r="AS665" i="17" s="1"/>
  <c r="AM665" i="17"/>
  <c r="BO619" i="17"/>
  <c r="BP619" i="17" s="1"/>
  <c r="BN619" i="17"/>
  <c r="AF612" i="15" s="1"/>
  <c r="BC620" i="17"/>
  <c r="AT665" i="17" l="1"/>
  <c r="AW665" i="17" s="1"/>
  <c r="AX665" i="17" s="1"/>
  <c r="AZ665" i="17" s="1"/>
  <c r="AU665" i="17"/>
  <c r="W666" i="17"/>
  <c r="AN665" i="17"/>
  <c r="AO665" i="17" s="1"/>
  <c r="AD666" i="17"/>
  <c r="BD620" i="17"/>
  <c r="BE620" i="17" s="1"/>
  <c r="BF620" i="17" s="1"/>
  <c r="BH620" i="17"/>
  <c r="AL642" i="15"/>
  <c r="BQ619" i="17"/>
  <c r="AP665" i="17" l="1"/>
  <c r="AR665" i="17" s="1"/>
  <c r="AE666" i="17"/>
  <c r="Y666" i="17"/>
  <c r="AB666" i="17" s="1"/>
  <c r="AA666" i="17"/>
  <c r="AK666" i="17" s="1"/>
  <c r="AV665" i="17"/>
  <c r="BG620" i="17"/>
  <c r="BI620" i="17"/>
  <c r="BK620" i="17"/>
  <c r="BL620" i="17" s="1"/>
  <c r="BM620" i="17" s="1"/>
  <c r="BJ620" i="17"/>
  <c r="Z666" i="17" l="1"/>
  <c r="U667" i="17" s="1"/>
  <c r="AF666" i="17"/>
  <c r="AG666" i="17" s="1"/>
  <c r="AL666" i="17" s="1"/>
  <c r="AQ665" i="17"/>
  <c r="BO620" i="17"/>
  <c r="BP620" i="17" s="1"/>
  <c r="BN620" i="17"/>
  <c r="AF615" i="15" s="1"/>
  <c r="BC621" i="17"/>
  <c r="BH621" i="17" s="1"/>
  <c r="AC667" i="17" l="1"/>
  <c r="AD667" i="17" s="1"/>
  <c r="W667" i="17"/>
  <c r="AA667" i="17" s="1"/>
  <c r="AK667" i="17" s="1"/>
  <c r="AY666" i="17"/>
  <c r="AH666" i="17"/>
  <c r="AS666" i="17" s="1"/>
  <c r="AM666" i="17"/>
  <c r="AL643" i="15"/>
  <c r="BQ620" i="17"/>
  <c r="BD621" i="17"/>
  <c r="Y667" i="17" l="1"/>
  <c r="AB667" i="17" s="1"/>
  <c r="AN666" i="17"/>
  <c r="AO666" i="17" s="1"/>
  <c r="AP666" i="17" s="1"/>
  <c r="AQ666" i="17" s="1"/>
  <c r="AT666" i="17"/>
  <c r="AW666" i="17" s="1"/>
  <c r="AX666" i="17" s="1"/>
  <c r="AZ666" i="17" s="1"/>
  <c r="AU666" i="17"/>
  <c r="AE667" i="17"/>
  <c r="BK621" i="17"/>
  <c r="BL621" i="17" s="1"/>
  <c r="BM621" i="17" s="1"/>
  <c r="BJ621" i="17"/>
  <c r="BE621" i="17"/>
  <c r="BF621" i="17" s="1"/>
  <c r="Z667" i="17" l="1"/>
  <c r="U668" i="17" s="1"/>
  <c r="AC668" i="17" s="1"/>
  <c r="AD668" i="17" s="1"/>
  <c r="AE668" i="17" s="1"/>
  <c r="AV666" i="17"/>
  <c r="AF667" i="17"/>
  <c r="AG667" i="17" s="1"/>
  <c r="AR666" i="17"/>
  <c r="BG621" i="17"/>
  <c r="BI621" i="17"/>
  <c r="W668" i="17" l="1"/>
  <c r="AA668" i="17" s="1"/>
  <c r="AK668" i="17" s="1"/>
  <c r="AH667" i="17"/>
  <c r="AS667" i="17" s="1"/>
  <c r="AL667" i="17"/>
  <c r="AM667" i="17" s="1"/>
  <c r="AN667" i="17" s="1"/>
  <c r="AO667" i="17" s="1"/>
  <c r="BO621" i="17"/>
  <c r="BP621" i="17" s="1"/>
  <c r="AL644" i="15" s="1"/>
  <c r="BN621" i="17"/>
  <c r="BC622" i="17"/>
  <c r="BH622" i="17" s="1"/>
  <c r="Y668" i="17" l="1"/>
  <c r="AB668" i="17" s="1"/>
  <c r="AF668" i="17" s="1"/>
  <c r="AG668" i="17" s="1"/>
  <c r="AH668" i="17" s="1"/>
  <c r="AS668" i="17" s="1"/>
  <c r="AT668" i="17" s="1"/>
  <c r="AP667" i="17"/>
  <c r="AQ667" i="17" s="1"/>
  <c r="AT667" i="17"/>
  <c r="AW667" i="17" s="1"/>
  <c r="AX667" i="17" s="1"/>
  <c r="AZ667" i="17" s="1"/>
  <c r="AU667" i="17"/>
  <c r="AY667" i="17"/>
  <c r="BD622" i="17"/>
  <c r="BK622" i="17" s="1"/>
  <c r="BL622" i="17" s="1"/>
  <c r="BM622" i="17" s="1"/>
  <c r="BQ621" i="17"/>
  <c r="AF618" i="15"/>
  <c r="AL668" i="17" l="1"/>
  <c r="AY668" i="17" s="1"/>
  <c r="Z668" i="17"/>
  <c r="U669" i="17" s="1"/>
  <c r="AC669" i="17" s="1"/>
  <c r="AD669" i="17" s="1"/>
  <c r="AE669" i="17" s="1"/>
  <c r="AW668" i="17"/>
  <c r="AX668" i="17" s="1"/>
  <c r="AZ668" i="17" s="1"/>
  <c r="AV667" i="17"/>
  <c r="AU668" i="17" s="1"/>
  <c r="AR667" i="17"/>
  <c r="BE622" i="17"/>
  <c r="BF622" i="17" s="1"/>
  <c r="BG622" i="17" s="1"/>
  <c r="BJ622" i="17"/>
  <c r="AM668" i="17" l="1"/>
  <c r="AN668" i="17" s="1"/>
  <c r="AO668" i="17" s="1"/>
  <c r="AP668" i="17" s="1"/>
  <c r="AR668" i="17" s="1"/>
  <c r="W669" i="17"/>
  <c r="AA669" i="17" s="1"/>
  <c r="AK669" i="17" s="1"/>
  <c r="AV668" i="17"/>
  <c r="BI622" i="17"/>
  <c r="BO622" i="17" s="1"/>
  <c r="BP622" i="17" s="1"/>
  <c r="BC623" i="17"/>
  <c r="BH623" i="17" s="1"/>
  <c r="Y669" i="17" l="1"/>
  <c r="AB669" i="17" s="1"/>
  <c r="AF669" i="17" s="1"/>
  <c r="AG669" i="17" s="1"/>
  <c r="AL669" i="17" s="1"/>
  <c r="AM669" i="17" s="1"/>
  <c r="AN669" i="17" s="1"/>
  <c r="AO669" i="17" s="1"/>
  <c r="AP669" i="17" s="1"/>
  <c r="AQ669" i="17" s="1"/>
  <c r="AQ668" i="17"/>
  <c r="AY669" i="17"/>
  <c r="BN622" i="17"/>
  <c r="AF621" i="15" s="1"/>
  <c r="BD623" i="17"/>
  <c r="BK623" i="17" s="1"/>
  <c r="BL623" i="17" s="1"/>
  <c r="BM623" i="17" s="1"/>
  <c r="AL645" i="15"/>
  <c r="Z669" i="17" l="1"/>
  <c r="U670" i="17" s="1"/>
  <c r="AC670" i="17" s="1"/>
  <c r="AD670" i="17" s="1"/>
  <c r="AE670" i="17" s="1"/>
  <c r="AH669" i="17"/>
  <c r="AS669" i="17" s="1"/>
  <c r="AT669" i="17" s="1"/>
  <c r="AW669" i="17" s="1"/>
  <c r="AX669" i="17" s="1"/>
  <c r="AZ669" i="17" s="1"/>
  <c r="BQ622" i="17"/>
  <c r="BE623" i="17"/>
  <c r="BF623" i="17" s="1"/>
  <c r="BG623" i="17" s="1"/>
  <c r="BJ623" i="17"/>
  <c r="AU669" i="17" l="1"/>
  <c r="AV669" i="17" s="1"/>
  <c r="AR669" i="17"/>
  <c r="W670" i="17"/>
  <c r="AA670" i="17" s="1"/>
  <c r="AK670" i="17" s="1"/>
  <c r="BI623" i="17"/>
  <c r="BN623" i="17" s="1"/>
  <c r="AF624" i="15" s="1"/>
  <c r="BC624" i="17"/>
  <c r="BH624" i="17" s="1"/>
  <c r="Y670" i="17" l="1"/>
  <c r="AB670" i="17" s="1"/>
  <c r="AF670" i="17" s="1"/>
  <c r="AG670" i="17" s="1"/>
  <c r="AH670" i="17" s="1"/>
  <c r="AS670" i="17" s="1"/>
  <c r="AU670" i="17" s="1"/>
  <c r="AY670" i="17"/>
  <c r="BO623" i="17"/>
  <c r="BP623" i="17" s="1"/>
  <c r="AL646" i="15" s="1"/>
  <c r="BD624" i="17"/>
  <c r="BE624" i="17" s="1"/>
  <c r="BF624" i="17" s="1"/>
  <c r="AT670" i="17" l="1"/>
  <c r="AW670" i="17" s="1"/>
  <c r="AX670" i="17" s="1"/>
  <c r="AZ670" i="17" s="1"/>
  <c r="Z670" i="17"/>
  <c r="U671" i="17" s="1"/>
  <c r="AC671" i="17" s="1"/>
  <c r="AD671" i="17" s="1"/>
  <c r="AE671" i="17" s="1"/>
  <c r="AL670" i="17"/>
  <c r="AM670" i="17" s="1"/>
  <c r="AN670" i="17" s="1"/>
  <c r="AO670" i="17" s="1"/>
  <c r="AP670" i="17" s="1"/>
  <c r="AR670" i="17" s="1"/>
  <c r="BQ623" i="17"/>
  <c r="AV670" i="17"/>
  <c r="BG624" i="17"/>
  <c r="BI624" i="17"/>
  <c r="BK624" i="17"/>
  <c r="BL624" i="17" s="1"/>
  <c r="BM624" i="17" s="1"/>
  <c r="BJ624" i="17"/>
  <c r="W671" i="17" l="1"/>
  <c r="AA671" i="17" s="1"/>
  <c r="AK671" i="17" s="1"/>
  <c r="AQ670" i="17"/>
  <c r="BO624" i="17"/>
  <c r="BP624" i="17" s="1"/>
  <c r="BN624" i="17"/>
  <c r="AF626" i="15" s="1"/>
  <c r="BC625" i="17"/>
  <c r="BH625" i="17" s="1"/>
  <c r="Y671" i="17" l="1"/>
  <c r="AB671" i="17" s="1"/>
  <c r="AF671" i="17" s="1"/>
  <c r="AG671" i="17" s="1"/>
  <c r="AH671" i="17" s="1"/>
  <c r="AS671" i="17" s="1"/>
  <c r="AT671" i="17" s="1"/>
  <c r="AW671" i="17" s="1"/>
  <c r="AX671" i="17" s="1"/>
  <c r="AZ671" i="17" s="1"/>
  <c r="AL647" i="15"/>
  <c r="BQ624" i="17"/>
  <c r="BD625" i="17"/>
  <c r="AU671" i="17" l="1"/>
  <c r="AV671" i="17" s="1"/>
  <c r="AL671" i="17"/>
  <c r="AY671" i="17" s="1"/>
  <c r="Z671" i="17"/>
  <c r="U672" i="17" s="1"/>
  <c r="AC672" i="17" s="1"/>
  <c r="AD672" i="17" s="1"/>
  <c r="AE672" i="17" s="1"/>
  <c r="BK625" i="17"/>
  <c r="BL625" i="17" s="1"/>
  <c r="BM625" i="17" s="1"/>
  <c r="BJ625" i="17"/>
  <c r="BE625" i="17"/>
  <c r="BF625" i="17" s="1"/>
  <c r="AM671" i="17" l="1"/>
  <c r="AN671" i="17" s="1"/>
  <c r="AO671" i="17" s="1"/>
  <c r="AP671" i="17" s="1"/>
  <c r="AQ671" i="17" s="1"/>
  <c r="W672" i="17"/>
  <c r="AA672" i="17" s="1"/>
  <c r="AK672" i="17" s="1"/>
  <c r="BG625" i="17"/>
  <c r="BI625" i="17"/>
  <c r="Y672" i="17" l="1"/>
  <c r="AB672" i="17" s="1"/>
  <c r="AF672" i="17" s="1"/>
  <c r="AG672" i="17" s="1"/>
  <c r="AH672" i="17" s="1"/>
  <c r="AS672" i="17" s="1"/>
  <c r="AT672" i="17" s="1"/>
  <c r="AW672" i="17" s="1"/>
  <c r="AX672" i="17" s="1"/>
  <c r="AZ672" i="17" s="1"/>
  <c r="AR671" i="17"/>
  <c r="BO625" i="17"/>
  <c r="BP625" i="17" s="1"/>
  <c r="BN625" i="17"/>
  <c r="AF628" i="15" s="1"/>
  <c r="BC626" i="17"/>
  <c r="BH626" i="17" s="1"/>
  <c r="Z672" i="17" l="1"/>
  <c r="U673" i="17" s="1"/>
  <c r="AC673" i="17" s="1"/>
  <c r="AD673" i="17" s="1"/>
  <c r="AE673" i="17" s="1"/>
  <c r="AL672" i="17"/>
  <c r="AM672" i="17" s="1"/>
  <c r="AN672" i="17" s="1"/>
  <c r="AO672" i="17" s="1"/>
  <c r="AU672" i="17"/>
  <c r="AV672" i="17" s="1"/>
  <c r="AY672" i="17"/>
  <c r="BD626" i="17"/>
  <c r="AL648" i="15"/>
  <c r="BQ625" i="17"/>
  <c r="W673" i="17" l="1"/>
  <c r="AA673" i="17" s="1"/>
  <c r="AK673" i="17" s="1"/>
  <c r="AP672" i="17"/>
  <c r="AR672" i="17" s="1"/>
  <c r="BK626" i="17"/>
  <c r="BJ626" i="17"/>
  <c r="BE626" i="17"/>
  <c r="BF626" i="17" s="1"/>
  <c r="Y673" i="17" l="1"/>
  <c r="AB673" i="17" s="1"/>
  <c r="AF673" i="17" s="1"/>
  <c r="AG673" i="17" s="1"/>
  <c r="AL673" i="17" s="1"/>
  <c r="AM673" i="17" s="1"/>
  <c r="AN673" i="17" s="1"/>
  <c r="AO673" i="17" s="1"/>
  <c r="AP673" i="17" s="1"/>
  <c r="AQ673" i="17" s="1"/>
  <c r="AQ672" i="17"/>
  <c r="AY673" i="17"/>
  <c r="BG626" i="17"/>
  <c r="BI626" i="17"/>
  <c r="BL626" i="17"/>
  <c r="BM626" i="17" s="1"/>
  <c r="AH673" i="17" l="1"/>
  <c r="AS673" i="17" s="1"/>
  <c r="AT673" i="17" s="1"/>
  <c r="AW673" i="17" s="1"/>
  <c r="AX673" i="17" s="1"/>
  <c r="AZ673" i="17" s="1"/>
  <c r="Z673" i="17"/>
  <c r="U674" i="17" s="1"/>
  <c r="AC674" i="17" s="1"/>
  <c r="AD674" i="17" s="1"/>
  <c r="AE674" i="17" s="1"/>
  <c r="BC627" i="17"/>
  <c r="BH627" i="17" s="1"/>
  <c r="BO626" i="17"/>
  <c r="BP626" i="17" s="1"/>
  <c r="BN626" i="17"/>
  <c r="AF630" i="15" s="1"/>
  <c r="AR673" i="17" l="1"/>
  <c r="AU673" i="17"/>
  <c r="AV673" i="17" s="1"/>
  <c r="W674" i="17"/>
  <c r="AA674" i="17" s="1"/>
  <c r="AK674" i="17" s="1"/>
  <c r="AL649" i="15"/>
  <c r="BQ626" i="17"/>
  <c r="BD627" i="17"/>
  <c r="Y674" i="17" l="1"/>
  <c r="AB674" i="17" s="1"/>
  <c r="AF674" i="17" s="1"/>
  <c r="AG674" i="17" s="1"/>
  <c r="AH674" i="17" s="1"/>
  <c r="AS674" i="17" s="1"/>
  <c r="AT674" i="17" s="1"/>
  <c r="AW674" i="17" s="1"/>
  <c r="AX674" i="17" s="1"/>
  <c r="AZ674" i="17" s="1"/>
  <c r="BJ627" i="17"/>
  <c r="BK627" i="17"/>
  <c r="BE627" i="17"/>
  <c r="BF627" i="17" s="1"/>
  <c r="Z674" i="17" l="1"/>
  <c r="U675" i="17" s="1"/>
  <c r="AC675" i="17" s="1"/>
  <c r="AD675" i="17" s="1"/>
  <c r="AE675" i="17" s="1"/>
  <c r="AU674" i="17"/>
  <c r="AV674" i="17" s="1"/>
  <c r="AL674" i="17"/>
  <c r="AY674" i="17" s="1"/>
  <c r="AY675" i="17"/>
  <c r="BG627" i="17"/>
  <c r="BI627" i="17"/>
  <c r="BL627" i="17"/>
  <c r="BM627" i="17" s="1"/>
  <c r="W675" i="17" l="1"/>
  <c r="AA675" i="17" s="1"/>
  <c r="AK675" i="17" s="1"/>
  <c r="AM674" i="17"/>
  <c r="AN674" i="17" s="1"/>
  <c r="AO674" i="17" s="1"/>
  <c r="AP674" i="17" s="1"/>
  <c r="AQ674" i="17" s="1"/>
  <c r="Y675" i="17"/>
  <c r="AB675" i="17" s="1"/>
  <c r="AF675" i="17" s="1"/>
  <c r="AG675" i="17" s="1"/>
  <c r="AH675" i="17" s="1"/>
  <c r="AS675" i="17" s="1"/>
  <c r="AU675" i="17" s="1"/>
  <c r="AV675" i="17" s="1"/>
  <c r="BO627" i="17"/>
  <c r="BP627" i="17" s="1"/>
  <c r="BN627" i="17"/>
  <c r="AF632" i="15" s="1"/>
  <c r="BC628" i="17"/>
  <c r="BH628" i="17" s="1"/>
  <c r="AR674" i="17" l="1"/>
  <c r="Z675" i="17"/>
  <c r="U676" i="17" s="1"/>
  <c r="AC676" i="17" s="1"/>
  <c r="AD676" i="17" s="1"/>
  <c r="AE676" i="17" s="1"/>
  <c r="AT675" i="17"/>
  <c r="AW675" i="17" s="1"/>
  <c r="AX675" i="17" s="1"/>
  <c r="AZ675" i="17" s="1"/>
  <c r="AL675" i="17"/>
  <c r="AM675" i="17" s="1"/>
  <c r="AN675" i="17" s="1"/>
  <c r="AO675" i="17" s="1"/>
  <c r="AP675" i="17" s="1"/>
  <c r="AQ675" i="17" s="1"/>
  <c r="BD628" i="17"/>
  <c r="AL650" i="15"/>
  <c r="BQ627" i="17"/>
  <c r="AR675" i="17" l="1"/>
  <c r="W676" i="17"/>
  <c r="AA676" i="17" s="1"/>
  <c r="AK676" i="17" s="1"/>
  <c r="AY676" i="17"/>
  <c r="BJ628" i="17"/>
  <c r="BK628" i="17"/>
  <c r="BL628" i="17" s="1"/>
  <c r="BM628" i="17" s="1"/>
  <c r="BE628" i="17"/>
  <c r="BF628" i="17" s="1"/>
  <c r="Y676" i="17" l="1"/>
  <c r="Z676" i="17" s="1"/>
  <c r="U677" i="17" s="1"/>
  <c r="AC677" i="17" s="1"/>
  <c r="AD677" i="17" s="1"/>
  <c r="BG628" i="17"/>
  <c r="BI628" i="17"/>
  <c r="AB676" i="17" l="1"/>
  <c r="AF676" i="17" s="1"/>
  <c r="AG676" i="17" s="1"/>
  <c r="AH676" i="17" s="1"/>
  <c r="AS676" i="17" s="1"/>
  <c r="W677" i="17"/>
  <c r="AA677" i="17" s="1"/>
  <c r="AK677" i="17" s="1"/>
  <c r="AE677" i="17"/>
  <c r="BO628" i="17"/>
  <c r="BP628" i="17" s="1"/>
  <c r="BN628" i="17"/>
  <c r="AF635" i="15" s="1"/>
  <c r="BC629" i="17"/>
  <c r="BH629" i="17" s="1"/>
  <c r="AL676" i="17" l="1"/>
  <c r="AM676" i="17" s="1"/>
  <c r="AN676" i="17" s="1"/>
  <c r="AO676" i="17" s="1"/>
  <c r="AP676" i="17" s="1"/>
  <c r="AQ676" i="17" s="1"/>
  <c r="Y677" i="17"/>
  <c r="AB677" i="17" s="1"/>
  <c r="AF677" i="17" s="1"/>
  <c r="AG677" i="17" s="1"/>
  <c r="AH677" i="17" s="1"/>
  <c r="AS677" i="17" s="1"/>
  <c r="AT676" i="17"/>
  <c r="AW676" i="17" s="1"/>
  <c r="AX676" i="17" s="1"/>
  <c r="AZ676" i="17" s="1"/>
  <c r="AU676" i="17"/>
  <c r="AV676" i="17" s="1"/>
  <c r="AR676" i="17"/>
  <c r="AL651" i="15"/>
  <c r="BQ628" i="17"/>
  <c r="BD629" i="17"/>
  <c r="Z677" i="17" l="1"/>
  <c r="U678" i="17" s="1"/>
  <c r="AC678" i="17" s="1"/>
  <c r="AD678" i="17" s="1"/>
  <c r="AE678" i="17" s="1"/>
  <c r="AL677" i="17"/>
  <c r="AY677" i="17" s="1"/>
  <c r="AT677" i="17"/>
  <c r="AW677" i="17" s="1"/>
  <c r="AX677" i="17" s="1"/>
  <c r="AZ677" i="17" s="1"/>
  <c r="AU677" i="17"/>
  <c r="BK629" i="17"/>
  <c r="BJ629" i="17"/>
  <c r="BE629" i="17"/>
  <c r="BF629" i="17" s="1"/>
  <c r="W678" i="17" l="1"/>
  <c r="AA678" i="17" s="1"/>
  <c r="AK678" i="17" s="1"/>
  <c r="AM677" i="17"/>
  <c r="AN677" i="17" s="1"/>
  <c r="AO677" i="17" s="1"/>
  <c r="AP677" i="17" s="1"/>
  <c r="AR677" i="17" s="1"/>
  <c r="AV677" i="17"/>
  <c r="BG629" i="17"/>
  <c r="BI629" i="17"/>
  <c r="BL629" i="17"/>
  <c r="BM629" i="17" s="1"/>
  <c r="Y678" i="17" l="1"/>
  <c r="AB678" i="17" s="1"/>
  <c r="AF678" i="17" s="1"/>
  <c r="AG678" i="17" s="1"/>
  <c r="AL678" i="17" s="1"/>
  <c r="AQ677" i="17"/>
  <c r="AY678" i="17"/>
  <c r="BO629" i="17"/>
  <c r="BP629" i="17" s="1"/>
  <c r="BN629" i="17"/>
  <c r="AF634" i="15" s="1"/>
  <c r="BC630" i="17"/>
  <c r="Z678" i="17" l="1"/>
  <c r="U679" i="17" s="1"/>
  <c r="AC679" i="17" s="1"/>
  <c r="AD679" i="17" s="1"/>
  <c r="AE679" i="17" s="1"/>
  <c r="AM678" i="17"/>
  <c r="AN678" i="17" s="1"/>
  <c r="AO678" i="17" s="1"/>
  <c r="AH678" i="17"/>
  <c r="AS678" i="17" s="1"/>
  <c r="AU678" i="17" s="1"/>
  <c r="BD630" i="17"/>
  <c r="BH630" i="17"/>
  <c r="AL652" i="15"/>
  <c r="BQ629" i="17"/>
  <c r="AT678" i="17" l="1"/>
  <c r="AW678" i="17" s="1"/>
  <c r="AX678" i="17" s="1"/>
  <c r="AZ678" i="17" s="1"/>
  <c r="W679" i="17"/>
  <c r="AA679" i="17" s="1"/>
  <c r="AK679" i="17" s="1"/>
  <c r="AV678" i="17"/>
  <c r="AP678" i="17"/>
  <c r="AR678" i="17" s="1"/>
  <c r="BJ630" i="17"/>
  <c r="BK630" i="17"/>
  <c r="BL630" i="17" s="1"/>
  <c r="BM630" i="17" s="1"/>
  <c r="BE630" i="17"/>
  <c r="BF630" i="17" s="1"/>
  <c r="Y679" i="17" l="1"/>
  <c r="AB679" i="17" s="1"/>
  <c r="AF679" i="17" s="1"/>
  <c r="AG679" i="17" s="1"/>
  <c r="AL679" i="17" s="1"/>
  <c r="AM679" i="17" s="1"/>
  <c r="AN679" i="17" s="1"/>
  <c r="AO679" i="17" s="1"/>
  <c r="AQ678" i="17"/>
  <c r="AY679" i="17"/>
  <c r="BG630" i="17"/>
  <c r="BI630" i="17"/>
  <c r="Z679" i="17" l="1"/>
  <c r="U680" i="17" s="1"/>
  <c r="AC680" i="17" s="1"/>
  <c r="AD680" i="17" s="1"/>
  <c r="AE680" i="17" s="1"/>
  <c r="AH679" i="17"/>
  <c r="AS679" i="17" s="1"/>
  <c r="AU679" i="17" s="1"/>
  <c r="AV679" i="17" s="1"/>
  <c r="AP679" i="17"/>
  <c r="BO630" i="17"/>
  <c r="BP630" i="17" s="1"/>
  <c r="BN630" i="17"/>
  <c r="AF638" i="15" s="1"/>
  <c r="BC631" i="17"/>
  <c r="BH631" i="17" s="1"/>
  <c r="AR679" i="17" l="1"/>
  <c r="W680" i="17"/>
  <c r="AA680" i="17" s="1"/>
  <c r="AK680" i="17" s="1"/>
  <c r="AT679" i="17"/>
  <c r="AW679" i="17" s="1"/>
  <c r="AX679" i="17" s="1"/>
  <c r="AZ679" i="17" s="1"/>
  <c r="AQ679" i="17"/>
  <c r="BD631" i="17"/>
  <c r="BE631" i="17" s="1"/>
  <c r="BF631" i="17" s="1"/>
  <c r="AL653" i="15"/>
  <c r="BQ630" i="17"/>
  <c r="Y680" i="17" l="1"/>
  <c r="AB680" i="17" s="1"/>
  <c r="AF680" i="17" s="1"/>
  <c r="AG680" i="17" s="1"/>
  <c r="AL680" i="17" s="1"/>
  <c r="AY680" i="17" s="1"/>
  <c r="BG631" i="17"/>
  <c r="BI631" i="17"/>
  <c r="BK631" i="17"/>
  <c r="BL631" i="17" s="1"/>
  <c r="BM631" i="17" s="1"/>
  <c r="BJ631" i="17"/>
  <c r="Z680" i="17" l="1"/>
  <c r="U681" i="17" s="1"/>
  <c r="W681" i="17" s="1"/>
  <c r="AH680" i="17"/>
  <c r="AS680" i="17" s="1"/>
  <c r="AT680" i="17" s="1"/>
  <c r="AW680" i="17" s="1"/>
  <c r="AX680" i="17" s="1"/>
  <c r="AZ680" i="17" s="1"/>
  <c r="AM680" i="17"/>
  <c r="AN680" i="17" s="1"/>
  <c r="AO680" i="17" s="1"/>
  <c r="AP680" i="17" s="1"/>
  <c r="AC681" i="17"/>
  <c r="BO631" i="17"/>
  <c r="BP631" i="17" s="1"/>
  <c r="BN631" i="17"/>
  <c r="AF640" i="15" s="1"/>
  <c r="BC632" i="17"/>
  <c r="AR680" i="17" l="1"/>
  <c r="AU680" i="17"/>
  <c r="AV680" i="17" s="1"/>
  <c r="AQ680" i="17"/>
  <c r="AD681" i="17"/>
  <c r="AA681" i="17"/>
  <c r="AK681" i="17" s="1"/>
  <c r="Y681" i="17"/>
  <c r="AB681" i="17" s="1"/>
  <c r="BD632" i="17"/>
  <c r="BH632" i="17"/>
  <c r="AL654" i="15"/>
  <c r="BQ631" i="17"/>
  <c r="Z681" i="17" l="1"/>
  <c r="U682" i="17" s="1"/>
  <c r="AC682" i="17" s="1"/>
  <c r="AE681" i="17"/>
  <c r="BK632" i="17"/>
  <c r="BL632" i="17" s="1"/>
  <c r="BM632" i="17" s="1"/>
  <c r="BJ632" i="17"/>
  <c r="BE632" i="17"/>
  <c r="BF632" i="17" s="1"/>
  <c r="AD682" i="17" l="1"/>
  <c r="AE682" i="17" s="1"/>
  <c r="W682" i="17"/>
  <c r="AA682" i="17" s="1"/>
  <c r="AK682" i="17" s="1"/>
  <c r="AF681" i="17"/>
  <c r="AG681" i="17" s="1"/>
  <c r="BG632" i="17"/>
  <c r="BI632" i="17"/>
  <c r="Y682" i="17" l="1"/>
  <c r="AL681" i="17"/>
  <c r="AY681" i="17" s="1"/>
  <c r="AH681" i="17"/>
  <c r="AS681" i="17" s="1"/>
  <c r="BO632" i="17"/>
  <c r="BP632" i="17" s="1"/>
  <c r="BN632" i="17"/>
  <c r="AF644" i="15" s="1"/>
  <c r="BC633" i="17"/>
  <c r="BH633" i="17" s="1"/>
  <c r="AB682" i="17" l="1"/>
  <c r="Z682" i="17"/>
  <c r="AT681" i="17"/>
  <c r="AW681" i="17" s="1"/>
  <c r="AX681" i="17" s="1"/>
  <c r="AZ681" i="17" s="1"/>
  <c r="AU681" i="17"/>
  <c r="AM681" i="17"/>
  <c r="AN681" i="17" s="1"/>
  <c r="AO681" i="17" s="1"/>
  <c r="BD633" i="17"/>
  <c r="BK633" i="17" s="1"/>
  <c r="BL633" i="17" s="1"/>
  <c r="BM633" i="17" s="1"/>
  <c r="AL655" i="15"/>
  <c r="BQ632" i="17"/>
  <c r="U683" i="17" l="1"/>
  <c r="W683" i="17" s="1"/>
  <c r="AF682" i="17"/>
  <c r="AG682" i="17" s="1"/>
  <c r="AL682" i="17" s="1"/>
  <c r="AY682" i="17" s="1"/>
  <c r="AV681" i="17"/>
  <c r="AP681" i="17"/>
  <c r="AR681" i="17" s="1"/>
  <c r="BJ633" i="17"/>
  <c r="BE633" i="17"/>
  <c r="BF633" i="17" s="1"/>
  <c r="BG633" i="17" s="1"/>
  <c r="AA683" i="17" l="1"/>
  <c r="AK683" i="17" s="1"/>
  <c r="AH682" i="17"/>
  <c r="AS682" i="17" s="1"/>
  <c r="AT682" i="17" s="1"/>
  <c r="AW682" i="17" s="1"/>
  <c r="AX682" i="17" s="1"/>
  <c r="AZ682" i="17" s="1"/>
  <c r="AM682" i="17"/>
  <c r="AN682" i="17" s="1"/>
  <c r="AO682" i="17" s="1"/>
  <c r="AC683" i="17"/>
  <c r="AD683" i="17" s="1"/>
  <c r="AE683" i="17" s="1"/>
  <c r="Y683" i="17"/>
  <c r="AB683" i="17" s="1"/>
  <c r="AQ681" i="17"/>
  <c r="BI633" i="17"/>
  <c r="BN633" i="17" s="1"/>
  <c r="AF648" i="15" s="1"/>
  <c r="BC634" i="17"/>
  <c r="BH634" i="17" s="1"/>
  <c r="AU682" i="17" l="1"/>
  <c r="AV682" i="17" s="1"/>
  <c r="BO633" i="17"/>
  <c r="BP633" i="17" s="1"/>
  <c r="AL656" i="15" s="1"/>
  <c r="AF683" i="17"/>
  <c r="AG683" i="17" s="1"/>
  <c r="AH683" i="17" s="1"/>
  <c r="AS683" i="17" s="1"/>
  <c r="AT683" i="17" s="1"/>
  <c r="AW683" i="17" s="1"/>
  <c r="AX683" i="17" s="1"/>
  <c r="AZ683" i="17" s="1"/>
  <c r="Z683" i="17"/>
  <c r="U684" i="17" s="1"/>
  <c r="AC684" i="17" s="1"/>
  <c r="AP682" i="17"/>
  <c r="AR682" i="17" s="1"/>
  <c r="BD634" i="17"/>
  <c r="BE634" i="17" s="1"/>
  <c r="BF634" i="17" s="1"/>
  <c r="BG634" i="17" s="1"/>
  <c r="W684" i="17" l="1"/>
  <c r="AA684" i="17" s="1"/>
  <c r="AK684" i="17" s="1"/>
  <c r="BQ633" i="17"/>
  <c r="AU683" i="17"/>
  <c r="AV683" i="17" s="1"/>
  <c r="AQ682" i="17"/>
  <c r="AL683" i="17"/>
  <c r="AD684" i="17"/>
  <c r="BJ634" i="17"/>
  <c r="BK634" i="17"/>
  <c r="BL634" i="17" s="1"/>
  <c r="BM634" i="17" s="1"/>
  <c r="BI634" i="17"/>
  <c r="BO634" i="17" s="1"/>
  <c r="BP634" i="17" s="1"/>
  <c r="BC635" i="17"/>
  <c r="BD635" i="17" s="1"/>
  <c r="Y684" i="17" l="1"/>
  <c r="AB684" i="17" s="1"/>
  <c r="AY683" i="17"/>
  <c r="AM683" i="17"/>
  <c r="AN683" i="17" s="1"/>
  <c r="AO683" i="17" s="1"/>
  <c r="AP683" i="17" s="1"/>
  <c r="AE684" i="17"/>
  <c r="BN634" i="17"/>
  <c r="AF650" i="15" s="1"/>
  <c r="BK635" i="17"/>
  <c r="BL635" i="17" s="1"/>
  <c r="BM635" i="17" s="1"/>
  <c r="BJ635" i="17"/>
  <c r="BE635" i="17"/>
  <c r="BF635" i="17" s="1"/>
  <c r="BH635" i="17"/>
  <c r="AL657" i="15"/>
  <c r="Z684" i="17" l="1"/>
  <c r="U685" i="17" s="1"/>
  <c r="AR683" i="17"/>
  <c r="AQ683" i="17"/>
  <c r="AF684" i="17"/>
  <c r="AG684" i="17" s="1"/>
  <c r="BQ634" i="17"/>
  <c r="BG635" i="17"/>
  <c r="BI635" i="17"/>
  <c r="AH684" i="17" l="1"/>
  <c r="AS684" i="17" s="1"/>
  <c r="AL684" i="17"/>
  <c r="AY684" i="17" s="1"/>
  <c r="W685" i="17"/>
  <c r="AC685" i="17"/>
  <c r="BO635" i="17"/>
  <c r="BP635" i="17" s="1"/>
  <c r="BN635" i="17"/>
  <c r="AF652" i="15" s="1"/>
  <c r="BC636" i="17"/>
  <c r="BH636" i="17" s="1"/>
  <c r="AM684" i="17" l="1"/>
  <c r="AN684" i="17" s="1"/>
  <c r="AO684" i="17" s="1"/>
  <c r="AP684" i="17" s="1"/>
  <c r="AR684" i="17" s="1"/>
  <c r="AA685" i="17"/>
  <c r="AK685" i="17" s="1"/>
  <c r="Y685" i="17"/>
  <c r="AB685" i="17" s="1"/>
  <c r="AD685" i="17"/>
  <c r="AT684" i="17"/>
  <c r="AW684" i="17" s="1"/>
  <c r="AX684" i="17" s="1"/>
  <c r="AZ684" i="17" s="1"/>
  <c r="AU684" i="17"/>
  <c r="BD636" i="17"/>
  <c r="BK636" i="17" s="1"/>
  <c r="BL636" i="17" s="1"/>
  <c r="BM636" i="17" s="1"/>
  <c r="AL658" i="15"/>
  <c r="BQ635" i="17"/>
  <c r="Z685" i="17" l="1"/>
  <c r="U686" i="17" s="1"/>
  <c r="AQ684" i="17"/>
  <c r="AE685" i="17"/>
  <c r="AF685" i="17" s="1"/>
  <c r="AG685" i="17" s="1"/>
  <c r="AL685" i="17" s="1"/>
  <c r="AV684" i="17"/>
  <c r="BE636" i="17"/>
  <c r="BF636" i="17" s="1"/>
  <c r="BG636" i="17" s="1"/>
  <c r="BJ636" i="17"/>
  <c r="AY685" i="17" l="1"/>
  <c r="W686" i="17"/>
  <c r="AC686" i="17"/>
  <c r="AH685" i="17"/>
  <c r="AS685" i="17" s="1"/>
  <c r="AM685" i="17"/>
  <c r="AN685" i="17" s="1"/>
  <c r="AO685" i="17" s="1"/>
  <c r="AP685" i="17" s="1"/>
  <c r="AQ685" i="17" s="1"/>
  <c r="BI636" i="17"/>
  <c r="BO636" i="17" s="1"/>
  <c r="BP636" i="17" s="1"/>
  <c r="AL659" i="15" s="1"/>
  <c r="BC637" i="17"/>
  <c r="BH637" i="17" s="1"/>
  <c r="BN636" i="17" l="1"/>
  <c r="BQ636" i="17" s="1"/>
  <c r="AD686" i="17"/>
  <c r="AA686" i="17"/>
  <c r="AK686" i="17" s="1"/>
  <c r="Y686" i="17"/>
  <c r="AB686" i="17" s="1"/>
  <c r="AT685" i="17"/>
  <c r="AW685" i="17" s="1"/>
  <c r="AX685" i="17" s="1"/>
  <c r="AZ685" i="17" s="1"/>
  <c r="AU685" i="17"/>
  <c r="AR685" i="17"/>
  <c r="BD637" i="17"/>
  <c r="AF654" i="15" l="1"/>
  <c r="Z686" i="17"/>
  <c r="U687" i="17" s="1"/>
  <c r="AV685" i="17"/>
  <c r="AE686" i="17"/>
  <c r="AF686" i="17" s="1"/>
  <c r="AG686" i="17" s="1"/>
  <c r="BK637" i="17"/>
  <c r="BL637" i="17" s="1"/>
  <c r="BM637" i="17" s="1"/>
  <c r="BJ637" i="17"/>
  <c r="BE637" i="17"/>
  <c r="BF637" i="17" s="1"/>
  <c r="W687" i="17" l="1"/>
  <c r="AC687" i="17"/>
  <c r="AH686" i="17"/>
  <c r="AS686" i="17" s="1"/>
  <c r="AL686" i="17"/>
  <c r="AY686" i="17" s="1"/>
  <c r="BG637" i="17"/>
  <c r="BI637" i="17"/>
  <c r="AM686" i="17" l="1"/>
  <c r="AN686" i="17" s="1"/>
  <c r="AO686" i="17" s="1"/>
  <c r="AT686" i="17"/>
  <c r="AW686" i="17" s="1"/>
  <c r="AX686" i="17" s="1"/>
  <c r="AZ686" i="17" s="1"/>
  <c r="AU686" i="17"/>
  <c r="AD687" i="17"/>
  <c r="AA687" i="17"/>
  <c r="AK687" i="17" s="1"/>
  <c r="Y687" i="17"/>
  <c r="AB687" i="17" s="1"/>
  <c r="BO637" i="17"/>
  <c r="BP637" i="17" s="1"/>
  <c r="BN637" i="17"/>
  <c r="AF657" i="15" s="1"/>
  <c r="BC638" i="17"/>
  <c r="BH638" i="17" s="1"/>
  <c r="AV686" i="17" l="1"/>
  <c r="AE687" i="17"/>
  <c r="AF687" i="17" s="1"/>
  <c r="AG687" i="17" s="1"/>
  <c r="AP686" i="17"/>
  <c r="AR686" i="17" s="1"/>
  <c r="Z687" i="17"/>
  <c r="BD638" i="17"/>
  <c r="BK638" i="17" s="1"/>
  <c r="BL638" i="17" s="1"/>
  <c r="BM638" i="17" s="1"/>
  <c r="AL660" i="15"/>
  <c r="BQ637" i="17"/>
  <c r="AQ686" i="17" l="1"/>
  <c r="U688" i="17"/>
  <c r="AC688" i="17" s="1"/>
  <c r="AD688" i="17" s="1"/>
  <c r="AH687" i="17"/>
  <c r="AS687" i="17" s="1"/>
  <c r="AL687" i="17"/>
  <c r="BE638" i="17"/>
  <c r="BF638" i="17" s="1"/>
  <c r="BG638" i="17" s="1"/>
  <c r="BJ638" i="17"/>
  <c r="W688" i="17" l="1"/>
  <c r="AA688" i="17" s="1"/>
  <c r="AK688" i="17" s="1"/>
  <c r="AY687" i="17"/>
  <c r="AM687" i="17"/>
  <c r="AT687" i="17"/>
  <c r="AW687" i="17" s="1"/>
  <c r="AU687" i="17"/>
  <c r="AE688" i="17"/>
  <c r="BI638" i="17"/>
  <c r="BO638" i="17" s="1"/>
  <c r="BP638" i="17" s="1"/>
  <c r="BC639" i="17"/>
  <c r="BD639" i="17" s="1"/>
  <c r="Y688" i="17" l="1"/>
  <c r="AB688" i="17" s="1"/>
  <c r="AF688" i="17" s="1"/>
  <c r="AG688" i="17" s="1"/>
  <c r="AL688" i="17" s="1"/>
  <c r="AV687" i="17"/>
  <c r="AX687" i="17"/>
  <c r="AZ687" i="17" s="1"/>
  <c r="AN687" i="17"/>
  <c r="BN638" i="17"/>
  <c r="AF647" i="15" s="1"/>
  <c r="BK639" i="17"/>
  <c r="BL639" i="17" s="1"/>
  <c r="BM639" i="17" s="1"/>
  <c r="BJ639" i="17"/>
  <c r="AL661" i="15"/>
  <c r="BE639" i="17"/>
  <c r="BF639" i="17" s="1"/>
  <c r="BH639" i="17"/>
  <c r="Z688" i="17" l="1"/>
  <c r="U689" i="17" s="1"/>
  <c r="AC689" i="17" s="1"/>
  <c r="AY688" i="17"/>
  <c r="AH688" i="17"/>
  <c r="AS688" i="17" s="1"/>
  <c r="AM688" i="17"/>
  <c r="AN688" i="17" s="1"/>
  <c r="AO688" i="17" s="1"/>
  <c r="AP688" i="17" s="1"/>
  <c r="AQ688" i="17" s="1"/>
  <c r="AO687" i="17"/>
  <c r="AP687" i="17" s="1"/>
  <c r="AQ687" i="17" s="1"/>
  <c r="BQ638" i="17"/>
  <c r="BG639" i="17"/>
  <c r="BI639" i="17"/>
  <c r="AR688" i="17" l="1"/>
  <c r="AT688" i="17"/>
  <c r="AW688" i="17" s="1"/>
  <c r="AX688" i="17" s="1"/>
  <c r="AZ688" i="17" s="1"/>
  <c r="AU688" i="17"/>
  <c r="AD689" i="17"/>
  <c r="W689" i="17"/>
  <c r="AR687" i="17"/>
  <c r="BO639" i="17"/>
  <c r="BP639" i="17" s="1"/>
  <c r="BN639" i="17"/>
  <c r="AF589" i="15" s="1"/>
  <c r="BC640" i="17"/>
  <c r="BH640" i="17" s="1"/>
  <c r="AE689" i="17" l="1"/>
  <c r="AV688" i="17"/>
  <c r="AA689" i="17"/>
  <c r="AK689" i="17" s="1"/>
  <c r="Y689" i="17"/>
  <c r="AB689" i="17" s="1"/>
  <c r="BD640" i="17"/>
  <c r="BE640" i="17" s="1"/>
  <c r="AL105" i="15"/>
  <c r="BQ639" i="17"/>
  <c r="Z689" i="17" l="1"/>
  <c r="AF689" i="17"/>
  <c r="AG689" i="17" s="1"/>
  <c r="AL689" i="17" s="1"/>
  <c r="BK640" i="17"/>
  <c r="BL640" i="17" s="1"/>
  <c r="BM640" i="17" s="1"/>
  <c r="BJ640" i="17"/>
  <c r="BF640" i="17"/>
  <c r="AY689" i="17" l="1"/>
  <c r="AH689" i="17"/>
  <c r="AS689" i="17" s="1"/>
  <c r="AM689" i="17"/>
  <c r="AN689" i="17" s="1"/>
  <c r="AO689" i="17" s="1"/>
  <c r="AP689" i="17" s="1"/>
  <c r="AQ689" i="17" s="1"/>
  <c r="U690" i="17"/>
  <c r="BG640" i="17"/>
  <c r="BI640" i="17"/>
  <c r="AT689" i="17" l="1"/>
  <c r="AW689" i="17" s="1"/>
  <c r="AX689" i="17" s="1"/>
  <c r="AZ689" i="17" s="1"/>
  <c r="AU689" i="17"/>
  <c r="AR689" i="17"/>
  <c r="W690" i="17"/>
  <c r="AC690" i="17"/>
  <c r="BO640" i="17"/>
  <c r="BP640" i="17" s="1"/>
  <c r="BN640" i="17"/>
  <c r="AF651" i="15" s="1"/>
  <c r="BC641" i="17"/>
  <c r="AA690" i="17" l="1"/>
  <c r="AK690" i="17" s="1"/>
  <c r="Y690" i="17"/>
  <c r="AB690" i="17" s="1"/>
  <c r="AV689" i="17"/>
  <c r="AD690" i="17"/>
  <c r="BH641" i="17"/>
  <c r="AL662" i="15"/>
  <c r="BQ640" i="17"/>
  <c r="BD641" i="17"/>
  <c r="AE690" i="17" l="1"/>
  <c r="AF690" i="17" s="1"/>
  <c r="AG690" i="17" s="1"/>
  <c r="Z690" i="17"/>
  <c r="BK641" i="17"/>
  <c r="BJ641" i="17"/>
  <c r="BE641" i="17"/>
  <c r="BF641" i="17" s="1"/>
  <c r="U691" i="17" l="1"/>
  <c r="AC691" i="17" s="1"/>
  <c r="AH690" i="17"/>
  <c r="AS690" i="17" s="1"/>
  <c r="AL690" i="17"/>
  <c r="BL641" i="17"/>
  <c r="BM641" i="17" s="1"/>
  <c r="BG641" i="17"/>
  <c r="BI641" i="17"/>
  <c r="W691" i="17" l="1"/>
  <c r="AA691" i="17" s="1"/>
  <c r="AK691" i="17" s="1"/>
  <c r="AY690" i="17"/>
  <c r="AM690" i="17"/>
  <c r="AN690" i="17" s="1"/>
  <c r="AO690" i="17" s="1"/>
  <c r="AP690" i="17" s="1"/>
  <c r="AQ690" i="17" s="1"/>
  <c r="AU690" i="17"/>
  <c r="AT690" i="17"/>
  <c r="AW690" i="17" s="1"/>
  <c r="AX690" i="17" s="1"/>
  <c r="AZ690" i="17" s="1"/>
  <c r="AD691" i="17"/>
  <c r="BC642" i="17"/>
  <c r="BO641" i="17"/>
  <c r="BP641" i="17" s="1"/>
  <c r="BN641" i="17"/>
  <c r="AF662" i="15" s="1"/>
  <c r="Y691" i="17" l="1"/>
  <c r="AB691" i="17" s="1"/>
  <c r="AR690" i="17"/>
  <c r="AV690" i="17"/>
  <c r="AE691" i="17"/>
  <c r="AL663" i="15"/>
  <c r="BQ641" i="17"/>
  <c r="BD642" i="17"/>
  <c r="BH642" i="17"/>
  <c r="AF691" i="17" l="1"/>
  <c r="AG691" i="17" s="1"/>
  <c r="AL691" i="17" s="1"/>
  <c r="AM691" i="17" s="1"/>
  <c r="Z691" i="17"/>
  <c r="U692" i="17" s="1"/>
  <c r="AC692" i="17" s="1"/>
  <c r="BJ642" i="17"/>
  <c r="BK642" i="17"/>
  <c r="BL642" i="17" s="1"/>
  <c r="BM642" i="17" s="1"/>
  <c r="BE642" i="17"/>
  <c r="BF642" i="17" s="1"/>
  <c r="AH691" i="17" l="1"/>
  <c r="AS691" i="17" s="1"/>
  <c r="AT691" i="17" s="1"/>
  <c r="AW691" i="17" s="1"/>
  <c r="AX691" i="17" s="1"/>
  <c r="AZ691" i="17" s="1"/>
  <c r="W692" i="17"/>
  <c r="AA692" i="17" s="1"/>
  <c r="AK692" i="17" s="1"/>
  <c r="AY691" i="17"/>
  <c r="AN691" i="17"/>
  <c r="AO691" i="17" s="1"/>
  <c r="AD692" i="17"/>
  <c r="BG642" i="17"/>
  <c r="BI642" i="17"/>
  <c r="AU691" i="17" l="1"/>
  <c r="AV691" i="17" s="1"/>
  <c r="Y692" i="17"/>
  <c r="AB692" i="17" s="1"/>
  <c r="AE692" i="17"/>
  <c r="AP691" i="17"/>
  <c r="AR691" i="17" s="1"/>
  <c r="BO642" i="17"/>
  <c r="BP642" i="17" s="1"/>
  <c r="BN642" i="17"/>
  <c r="AF665" i="15" s="1"/>
  <c r="BC643" i="17"/>
  <c r="AF692" i="17" l="1"/>
  <c r="AG692" i="17" s="1"/>
  <c r="AH692" i="17" s="1"/>
  <c r="AS692" i="17" s="1"/>
  <c r="Z692" i="17"/>
  <c r="U693" i="17" s="1"/>
  <c r="AC693" i="17" s="1"/>
  <c r="AD693" i="17" s="1"/>
  <c r="AE693" i="17" s="1"/>
  <c r="AQ691" i="17"/>
  <c r="BH643" i="17"/>
  <c r="BD643" i="17"/>
  <c r="AL664" i="15"/>
  <c r="BQ642" i="17"/>
  <c r="AL692" i="17" l="1"/>
  <c r="AY692" i="17" s="1"/>
  <c r="W693" i="17"/>
  <c r="AA693" i="17" s="1"/>
  <c r="AK693" i="17" s="1"/>
  <c r="AT692" i="17"/>
  <c r="AW692" i="17" s="1"/>
  <c r="AU692" i="17"/>
  <c r="BK643" i="17"/>
  <c r="BL643" i="17" s="1"/>
  <c r="BM643" i="17" s="1"/>
  <c r="BJ643" i="17"/>
  <c r="BE643" i="17"/>
  <c r="BF643" i="17" s="1"/>
  <c r="AM692" i="17" l="1"/>
  <c r="AN692" i="17" s="1"/>
  <c r="AO692" i="17" s="1"/>
  <c r="AP692" i="17" s="1"/>
  <c r="AR692" i="17" s="1"/>
  <c r="Y693" i="17"/>
  <c r="AV692" i="17"/>
  <c r="AX692" i="17"/>
  <c r="AZ692" i="17" s="1"/>
  <c r="BG643" i="17"/>
  <c r="BI643" i="17"/>
  <c r="AB693" i="17" l="1"/>
  <c r="Z693" i="17"/>
  <c r="AQ692" i="17"/>
  <c r="BO643" i="17"/>
  <c r="BP643" i="17" s="1"/>
  <c r="BN643" i="17"/>
  <c r="AF666" i="15" s="1"/>
  <c r="BC644" i="17"/>
  <c r="U694" i="17" l="1"/>
  <c r="W694" i="17" s="1"/>
  <c r="AF693" i="17"/>
  <c r="AG693" i="17" s="1"/>
  <c r="AH693" i="17" s="1"/>
  <c r="AS693" i="17" s="1"/>
  <c r="BD644" i="17"/>
  <c r="BE644" i="17" s="1"/>
  <c r="BF644" i="17" s="1"/>
  <c r="BH644" i="17"/>
  <c r="AL665" i="15"/>
  <c r="BQ643" i="17"/>
  <c r="AA694" i="17" l="1"/>
  <c r="AK694" i="17" s="1"/>
  <c r="Y694" i="17"/>
  <c r="AB694" i="17" s="1"/>
  <c r="AT693" i="17"/>
  <c r="AW693" i="17" s="1"/>
  <c r="AX693" i="17" s="1"/>
  <c r="AZ693" i="17" s="1"/>
  <c r="AU693" i="17"/>
  <c r="AV693" i="17" s="1"/>
  <c r="AL693" i="17"/>
  <c r="AC694" i="17"/>
  <c r="AD694" i="17" s="1"/>
  <c r="AE694" i="17" s="1"/>
  <c r="BG644" i="17"/>
  <c r="BI644" i="17"/>
  <c r="BK644" i="17"/>
  <c r="BJ644" i="17"/>
  <c r="Z694" i="17" l="1"/>
  <c r="AF694" i="17"/>
  <c r="AG694" i="17" s="1"/>
  <c r="AM693" i="17"/>
  <c r="AN693" i="17" s="1"/>
  <c r="AO693" i="17" s="1"/>
  <c r="AP693" i="17" s="1"/>
  <c r="AQ693" i="17" s="1"/>
  <c r="AY693" i="17"/>
  <c r="BO644" i="17"/>
  <c r="BP644" i="17" s="1"/>
  <c r="BL644" i="17"/>
  <c r="BM644" i="17" s="1"/>
  <c r="BC645" i="17"/>
  <c r="BH645" i="17" s="1"/>
  <c r="AR693" i="17" l="1"/>
  <c r="AH694" i="17"/>
  <c r="AS694" i="17" s="1"/>
  <c r="AL694" i="17"/>
  <c r="AY694" i="17" s="1"/>
  <c r="U695" i="17"/>
  <c r="W695" i="17" s="1"/>
  <c r="AA695" i="17" s="1"/>
  <c r="AK695" i="17" s="1"/>
  <c r="BD645" i="17"/>
  <c r="BJ645" i="17" s="1"/>
  <c r="BN644" i="17"/>
  <c r="AF667" i="15" s="1"/>
  <c r="AL666" i="15"/>
  <c r="AC695" i="17" l="1"/>
  <c r="AD695" i="17" s="1"/>
  <c r="AE695" i="17" s="1"/>
  <c r="AT694" i="17"/>
  <c r="AW694" i="17" s="1"/>
  <c r="AX694" i="17" s="1"/>
  <c r="AZ694" i="17" s="1"/>
  <c r="AU694" i="17"/>
  <c r="AV694" i="17" s="1"/>
  <c r="Y695" i="17"/>
  <c r="AB695" i="17" s="1"/>
  <c r="AM694" i="17"/>
  <c r="AN694" i="17" s="1"/>
  <c r="AO694" i="17" s="1"/>
  <c r="AP694" i="17" s="1"/>
  <c r="AR694" i="17" s="1"/>
  <c r="BK645" i="17"/>
  <c r="BL645" i="17" s="1"/>
  <c r="BM645" i="17" s="1"/>
  <c r="BE645" i="17"/>
  <c r="BF645" i="17" s="1"/>
  <c r="BG645" i="17" s="1"/>
  <c r="BC646" i="17" s="1"/>
  <c r="BQ644" i="17"/>
  <c r="AQ694" i="17" l="1"/>
  <c r="Z695" i="17"/>
  <c r="AF695" i="17"/>
  <c r="AG695" i="17" s="1"/>
  <c r="BI645" i="17"/>
  <c r="BO645" i="17" s="1"/>
  <c r="BP645" i="17" s="1"/>
  <c r="AL667" i="15" s="1"/>
  <c r="BD646" i="17"/>
  <c r="BE646" i="17" s="1"/>
  <c r="BH646" i="17"/>
  <c r="AH695" i="17" l="1"/>
  <c r="AS695" i="17" s="1"/>
  <c r="AL695" i="17"/>
  <c r="U696" i="17"/>
  <c r="AC696" i="17" s="1"/>
  <c r="AD696" i="17" s="1"/>
  <c r="AE696" i="17" s="1"/>
  <c r="BN645" i="17"/>
  <c r="AF670" i="15" s="1"/>
  <c r="BK646" i="17"/>
  <c r="BL646" i="17" s="1"/>
  <c r="BM646" i="17" s="1"/>
  <c r="BJ646" i="17"/>
  <c r="BF646" i="17"/>
  <c r="AY695" i="17" l="1"/>
  <c r="AM695" i="17"/>
  <c r="AN695" i="17" s="1"/>
  <c r="AO695" i="17" s="1"/>
  <c r="AP695" i="17" s="1"/>
  <c r="AQ695" i="17" s="1"/>
  <c r="W696" i="17"/>
  <c r="AA696" i="17" s="1"/>
  <c r="AK696" i="17" s="1"/>
  <c r="AT695" i="17"/>
  <c r="AW695" i="17" s="1"/>
  <c r="AX695" i="17" s="1"/>
  <c r="AZ695" i="17" s="1"/>
  <c r="AU695" i="17"/>
  <c r="AV695" i="17" s="1"/>
  <c r="BQ645" i="17"/>
  <c r="BG646" i="17"/>
  <c r="BI646" i="17"/>
  <c r="AR695" i="17" l="1"/>
  <c r="Y696" i="17"/>
  <c r="AB696" i="17" s="1"/>
  <c r="BO646" i="17"/>
  <c r="BP646" i="17" s="1"/>
  <c r="BN646" i="17"/>
  <c r="AF672" i="15" s="1"/>
  <c r="BC647" i="17"/>
  <c r="BH647" i="17" s="1"/>
  <c r="AF696" i="17" l="1"/>
  <c r="AG696" i="17" s="1"/>
  <c r="AL696" i="17" s="1"/>
  <c r="AY696" i="17" s="1"/>
  <c r="Z696" i="17"/>
  <c r="AL668" i="15"/>
  <c r="BQ646" i="17"/>
  <c r="BD647" i="17"/>
  <c r="U697" i="17" l="1"/>
  <c r="AC697" i="17" s="1"/>
  <c r="AD697" i="17" s="1"/>
  <c r="AE697" i="17" s="1"/>
  <c r="AH696" i="17"/>
  <c r="AS696" i="17" s="1"/>
  <c r="AM696" i="17"/>
  <c r="AN696" i="17" s="1"/>
  <c r="AO696" i="17" s="1"/>
  <c r="AP696" i="17" s="1"/>
  <c r="BK647" i="17"/>
  <c r="BJ647" i="17"/>
  <c r="BE647" i="17"/>
  <c r="BF647" i="17" s="1"/>
  <c r="AQ696" i="17" l="1"/>
  <c r="AR696" i="17"/>
  <c r="W697" i="17"/>
  <c r="AT696" i="17"/>
  <c r="AW696" i="17" s="1"/>
  <c r="AX696" i="17" s="1"/>
  <c r="AZ696" i="17" s="1"/>
  <c r="AU696" i="17"/>
  <c r="AV696" i="17" s="1"/>
  <c r="BL647" i="17"/>
  <c r="BM647" i="17" s="1"/>
  <c r="BG647" i="17"/>
  <c r="BI647" i="17"/>
  <c r="AA697" i="17" l="1"/>
  <c r="AK697" i="17" s="1"/>
  <c r="Y697" i="17"/>
  <c r="AB697" i="17" s="1"/>
  <c r="BC648" i="17"/>
  <c r="BO647" i="17"/>
  <c r="BP647" i="17" s="1"/>
  <c r="BN647" i="17"/>
  <c r="AF674" i="15" s="1"/>
  <c r="Z697" i="17" l="1"/>
  <c r="U698" i="17" s="1"/>
  <c r="AC698" i="17" s="1"/>
  <c r="AD698" i="17" s="1"/>
  <c r="AE698" i="17" s="1"/>
  <c r="AF697" i="17"/>
  <c r="AG697" i="17" s="1"/>
  <c r="AL697" i="17" s="1"/>
  <c r="AY697" i="17" s="1"/>
  <c r="AL669" i="15"/>
  <c r="BQ647" i="17"/>
  <c r="BD648" i="17"/>
  <c r="BH648" i="17"/>
  <c r="W698" i="17" l="1"/>
  <c r="AH697" i="17"/>
  <c r="AS697" i="17" s="1"/>
  <c r="AM697" i="17"/>
  <c r="AN697" i="17" s="1"/>
  <c r="AO697" i="17" s="1"/>
  <c r="BJ648" i="17"/>
  <c r="BK648" i="17"/>
  <c r="BE648" i="17"/>
  <c r="BF648" i="17" s="1"/>
  <c r="AP697" i="17" l="1"/>
  <c r="AR697" i="17" s="1"/>
  <c r="AT697" i="17"/>
  <c r="AW697" i="17" s="1"/>
  <c r="AX697" i="17" s="1"/>
  <c r="AZ697" i="17" s="1"/>
  <c r="AU697" i="17"/>
  <c r="AA698" i="17"/>
  <c r="AK698" i="17" s="1"/>
  <c r="Y698" i="17"/>
  <c r="AB698" i="17" s="1"/>
  <c r="BG648" i="17"/>
  <c r="BI648" i="17"/>
  <c r="BL648" i="17"/>
  <c r="BM648" i="17" s="1"/>
  <c r="Z698" i="17" l="1"/>
  <c r="U699" i="17" s="1"/>
  <c r="AC699" i="17" s="1"/>
  <c r="AD699" i="17" s="1"/>
  <c r="AE699" i="17" s="1"/>
  <c r="AV697" i="17"/>
  <c r="AF698" i="17"/>
  <c r="AG698" i="17" s="1"/>
  <c r="AH698" i="17" s="1"/>
  <c r="AS698" i="17" s="1"/>
  <c r="AT698" i="17" s="1"/>
  <c r="AW698" i="17" s="1"/>
  <c r="AX698" i="17" s="1"/>
  <c r="AZ698" i="17" s="1"/>
  <c r="AQ697" i="17"/>
  <c r="BO648" i="17"/>
  <c r="BP648" i="17" s="1"/>
  <c r="BN648" i="17"/>
  <c r="AF676" i="15" s="1"/>
  <c r="BC649" i="17"/>
  <c r="BH649" i="17" s="1"/>
  <c r="W699" i="17" l="1"/>
  <c r="AA699" i="17" s="1"/>
  <c r="AK699" i="17" s="1"/>
  <c r="AU698" i="17"/>
  <c r="AV698" i="17" s="1"/>
  <c r="AL698" i="17"/>
  <c r="AY698" i="17" s="1"/>
  <c r="BD649" i="17"/>
  <c r="AL670" i="15"/>
  <c r="BQ648" i="17"/>
  <c r="Y699" i="17" l="1"/>
  <c r="AB699" i="17" s="1"/>
  <c r="AF699" i="17" s="1"/>
  <c r="AG699" i="17" s="1"/>
  <c r="AH699" i="17" s="1"/>
  <c r="AS699" i="17" s="1"/>
  <c r="AM698" i="17"/>
  <c r="AN698" i="17" s="1"/>
  <c r="AO698" i="17" s="1"/>
  <c r="AP698" i="17" s="1"/>
  <c r="AQ698" i="17" s="1"/>
  <c r="BJ649" i="17"/>
  <c r="BK649" i="17"/>
  <c r="BE649" i="17"/>
  <c r="BF649" i="17" s="1"/>
  <c r="Z699" i="17" l="1"/>
  <c r="U700" i="17" s="1"/>
  <c r="AC700" i="17" s="1"/>
  <c r="AD700" i="17" s="1"/>
  <c r="AE700" i="17" s="1"/>
  <c r="AL699" i="17"/>
  <c r="AY699" i="17" s="1"/>
  <c r="AR698" i="17"/>
  <c r="AT699" i="17"/>
  <c r="AW699" i="17" s="1"/>
  <c r="AX699" i="17" s="1"/>
  <c r="AZ699" i="17" s="1"/>
  <c r="AU699" i="17"/>
  <c r="AV699" i="17" s="1"/>
  <c r="BG649" i="17"/>
  <c r="BI649" i="17"/>
  <c r="BL649" i="17"/>
  <c r="BM649" i="17" s="1"/>
  <c r="AM699" i="17" l="1"/>
  <c r="AN699" i="17" s="1"/>
  <c r="AO699" i="17" s="1"/>
  <c r="AP699" i="17" s="1"/>
  <c r="AR699" i="17" s="1"/>
  <c r="W700" i="17"/>
  <c r="AA700" i="17" s="1"/>
  <c r="AK700" i="17" s="1"/>
  <c r="BO649" i="17"/>
  <c r="BP649" i="17" s="1"/>
  <c r="BN649" i="17"/>
  <c r="AF679" i="15" s="1"/>
  <c r="BC650" i="17"/>
  <c r="BH650" i="17" s="1"/>
  <c r="Y700" i="17" l="1"/>
  <c r="AB700" i="17" s="1"/>
  <c r="AF700" i="17" s="1"/>
  <c r="AG700" i="17" s="1"/>
  <c r="AL700" i="17" s="1"/>
  <c r="AY700" i="17" s="1"/>
  <c r="AQ699" i="17"/>
  <c r="BD650" i="17"/>
  <c r="BJ650" i="17" s="1"/>
  <c r="AL671" i="15"/>
  <c r="BQ649" i="17"/>
  <c r="AH700" i="17" l="1"/>
  <c r="AS700" i="17" s="1"/>
  <c r="AT700" i="17" s="1"/>
  <c r="AW700" i="17" s="1"/>
  <c r="AX700" i="17" s="1"/>
  <c r="AZ700" i="17" s="1"/>
  <c r="AM700" i="17"/>
  <c r="AN700" i="17" s="1"/>
  <c r="AO700" i="17" s="1"/>
  <c r="AP700" i="17" s="1"/>
  <c r="AR700" i="17" s="1"/>
  <c r="Z700" i="17"/>
  <c r="U701" i="17" s="1"/>
  <c r="AC701" i="17" s="1"/>
  <c r="AD701" i="17" s="1"/>
  <c r="AE701" i="17" s="1"/>
  <c r="BE650" i="17"/>
  <c r="BF650" i="17" s="1"/>
  <c r="BG650" i="17" s="1"/>
  <c r="BK650" i="17"/>
  <c r="BL650" i="17" s="1"/>
  <c r="BM650" i="17" s="1"/>
  <c r="AU700" i="17" l="1"/>
  <c r="AV700" i="17" s="1"/>
  <c r="W701" i="17"/>
  <c r="AA701" i="17" s="1"/>
  <c r="AK701" i="17" s="1"/>
  <c r="AQ700" i="17"/>
  <c r="BI650" i="17"/>
  <c r="BO650" i="17" s="1"/>
  <c r="BP650" i="17" s="1"/>
  <c r="BC651" i="17"/>
  <c r="BH651" i="17" s="1"/>
  <c r="Y701" i="17" l="1"/>
  <c r="AB701" i="17" s="1"/>
  <c r="AF701" i="17" s="1"/>
  <c r="AG701" i="17" s="1"/>
  <c r="AL701" i="17" s="1"/>
  <c r="AY701" i="17" s="1"/>
  <c r="BN650" i="17"/>
  <c r="AF682" i="15" s="1"/>
  <c r="BD651" i="17"/>
  <c r="BE651" i="17" s="1"/>
  <c r="BF651" i="17" s="1"/>
  <c r="BG651" i="17" s="1"/>
  <c r="AL672" i="15"/>
  <c r="Z701" i="17" l="1"/>
  <c r="U702" i="17" s="1"/>
  <c r="AC702" i="17" s="1"/>
  <c r="AD702" i="17" s="1"/>
  <c r="AE702" i="17" s="1"/>
  <c r="AH701" i="17"/>
  <c r="AS701" i="17" s="1"/>
  <c r="AM701" i="17"/>
  <c r="AN701" i="17" s="1"/>
  <c r="AO701" i="17" s="1"/>
  <c r="AP701" i="17" s="1"/>
  <c r="BQ650" i="17"/>
  <c r="BJ651" i="17"/>
  <c r="BI651" i="17"/>
  <c r="BO651" i="17" s="1"/>
  <c r="BP651" i="17" s="1"/>
  <c r="BK651" i="17"/>
  <c r="BL651" i="17" s="1"/>
  <c r="BM651" i="17" s="1"/>
  <c r="BC652" i="17"/>
  <c r="BH652" i="17" s="1"/>
  <c r="W702" i="17" l="1"/>
  <c r="AA702" i="17" s="1"/>
  <c r="AK702" i="17" s="1"/>
  <c r="AQ701" i="17"/>
  <c r="AT701" i="17"/>
  <c r="AW701" i="17" s="1"/>
  <c r="AX701" i="17" s="1"/>
  <c r="AZ701" i="17" s="1"/>
  <c r="AU701" i="17"/>
  <c r="AR701" i="17"/>
  <c r="BN651" i="17"/>
  <c r="AF684" i="15" s="1"/>
  <c r="BD652" i="17"/>
  <c r="BE652" i="17" s="1"/>
  <c r="AL673" i="15"/>
  <c r="Y702" i="17" l="1"/>
  <c r="AB702" i="17" s="1"/>
  <c r="AF702" i="17" s="1"/>
  <c r="AG702" i="17" s="1"/>
  <c r="AH702" i="17" s="1"/>
  <c r="AS702" i="17" s="1"/>
  <c r="AT702" i="17" s="1"/>
  <c r="AW702" i="17" s="1"/>
  <c r="AX702" i="17" s="1"/>
  <c r="AZ702" i="17" s="1"/>
  <c r="AV701" i="17"/>
  <c r="BQ651" i="17"/>
  <c r="BK652" i="17"/>
  <c r="BL652" i="17" s="1"/>
  <c r="BM652" i="17" s="1"/>
  <c r="BJ652" i="17"/>
  <c r="BF652" i="17"/>
  <c r="Z702" i="17" l="1"/>
  <c r="U703" i="17" s="1"/>
  <c r="AU702" i="17"/>
  <c r="AV702" i="17" s="1"/>
  <c r="AL702" i="17"/>
  <c r="AM702" i="17" s="1"/>
  <c r="AN702" i="17" s="1"/>
  <c r="AO702" i="17" s="1"/>
  <c r="BG652" i="17"/>
  <c r="BI652" i="17"/>
  <c r="AY702" i="17" l="1"/>
  <c r="W703" i="17"/>
  <c r="AA703" i="17" s="1"/>
  <c r="AK703" i="17" s="1"/>
  <c r="AC703" i="17"/>
  <c r="AD703" i="17" s="1"/>
  <c r="AP702" i="17"/>
  <c r="AR702" i="17" s="1"/>
  <c r="BC653" i="17"/>
  <c r="BD653" i="17" s="1"/>
  <c r="BO652" i="17"/>
  <c r="BP652" i="17" s="1"/>
  <c r="BN652" i="17"/>
  <c r="AF686" i="15" s="1"/>
  <c r="Y703" i="17" l="1"/>
  <c r="AB703" i="17" s="1"/>
  <c r="AQ702" i="17"/>
  <c r="AE703" i="17"/>
  <c r="BK653" i="17"/>
  <c r="BL653" i="17" s="1"/>
  <c r="BM653" i="17" s="1"/>
  <c r="BJ653" i="17"/>
  <c r="AL674" i="15"/>
  <c r="BQ652" i="17"/>
  <c r="BE653" i="17"/>
  <c r="BF653" i="17" s="1"/>
  <c r="BH653" i="17"/>
  <c r="Z703" i="17" l="1"/>
  <c r="U704" i="17" s="1"/>
  <c r="AC704" i="17" s="1"/>
  <c r="AD704" i="17" s="1"/>
  <c r="AE704" i="17" s="1"/>
  <c r="AF703" i="17"/>
  <c r="AG703" i="17" s="1"/>
  <c r="AL703" i="17" s="1"/>
  <c r="AY703" i="17"/>
  <c r="BG653" i="17"/>
  <c r="BI653" i="17"/>
  <c r="AH703" i="17" l="1"/>
  <c r="AS703" i="17" s="1"/>
  <c r="AU703" i="17" s="1"/>
  <c r="AM703" i="17"/>
  <c r="AN703" i="17" s="1"/>
  <c r="AO703" i="17" s="1"/>
  <c r="AP703" i="17" s="1"/>
  <c r="AQ703" i="17" s="1"/>
  <c r="W704" i="17"/>
  <c r="AA704" i="17" s="1"/>
  <c r="AK704" i="17" s="1"/>
  <c r="BO653" i="17"/>
  <c r="BP653" i="17" s="1"/>
  <c r="BN653" i="17"/>
  <c r="AF689" i="15" s="1"/>
  <c r="BC654" i="17"/>
  <c r="BH654" i="17" s="1"/>
  <c r="AT703" i="17" l="1"/>
  <c r="AW703" i="17" s="1"/>
  <c r="AX703" i="17" s="1"/>
  <c r="AZ703" i="17" s="1"/>
  <c r="AR703" i="17"/>
  <c r="Y704" i="17"/>
  <c r="AB704" i="17" s="1"/>
  <c r="AV703" i="17"/>
  <c r="BD654" i="17"/>
  <c r="AL675" i="15"/>
  <c r="BQ653" i="17"/>
  <c r="AF704" i="17" l="1"/>
  <c r="AG704" i="17" s="1"/>
  <c r="Z704" i="17"/>
  <c r="U705" i="17" s="1"/>
  <c r="W705" i="17" s="1"/>
  <c r="BK654" i="17"/>
  <c r="BL654" i="17" s="1"/>
  <c r="BM654" i="17" s="1"/>
  <c r="BJ654" i="17"/>
  <c r="BE654" i="17"/>
  <c r="BF654" i="17" s="1"/>
  <c r="AC705" i="17" l="1"/>
  <c r="AD705" i="17" s="1"/>
  <c r="AE705" i="17" s="1"/>
  <c r="AH704" i="17"/>
  <c r="AS704" i="17" s="1"/>
  <c r="AL704" i="17"/>
  <c r="AA705" i="17"/>
  <c r="AK705" i="17" s="1"/>
  <c r="Y705" i="17"/>
  <c r="BG654" i="17"/>
  <c r="BI654" i="17"/>
  <c r="AY704" i="17" l="1"/>
  <c r="AM704" i="17"/>
  <c r="AN704" i="17" s="1"/>
  <c r="AO704" i="17" s="1"/>
  <c r="AP704" i="17" s="1"/>
  <c r="AQ704" i="17" s="1"/>
  <c r="AT704" i="17"/>
  <c r="AW704" i="17" s="1"/>
  <c r="AX704" i="17" s="1"/>
  <c r="AZ704" i="17" s="1"/>
  <c r="AU704" i="17"/>
  <c r="AV704" i="17" s="1"/>
  <c r="AB705" i="17"/>
  <c r="Z705" i="17"/>
  <c r="BO654" i="17"/>
  <c r="BP654" i="17" s="1"/>
  <c r="BN654" i="17"/>
  <c r="AF669" i="15" s="1"/>
  <c r="BC655" i="17"/>
  <c r="AR704" i="17" l="1"/>
  <c r="U706" i="17"/>
  <c r="W706" i="17" s="1"/>
  <c r="AA706" i="17" s="1"/>
  <c r="AK706" i="17" s="1"/>
  <c r="AF705" i="17"/>
  <c r="AG705" i="17" s="1"/>
  <c r="BH655" i="17"/>
  <c r="BD655" i="17"/>
  <c r="AL676" i="15"/>
  <c r="BQ654" i="17"/>
  <c r="AH705" i="17" l="1"/>
  <c r="AS705" i="17" s="1"/>
  <c r="Y706" i="17"/>
  <c r="AB706" i="17" s="1"/>
  <c r="AL705" i="17"/>
  <c r="AY705" i="17" s="1"/>
  <c r="AC706" i="17"/>
  <c r="AD706" i="17" s="1"/>
  <c r="AE706" i="17" s="1"/>
  <c r="BK655" i="17"/>
  <c r="BL655" i="17" s="1"/>
  <c r="BM655" i="17" s="1"/>
  <c r="BJ655" i="17"/>
  <c r="BE655" i="17"/>
  <c r="BF655" i="17" s="1"/>
  <c r="AM705" i="17" l="1"/>
  <c r="AN705" i="17" s="1"/>
  <c r="AO705" i="17" s="1"/>
  <c r="AP705" i="17" s="1"/>
  <c r="AR705" i="17" s="1"/>
  <c r="Z706" i="17"/>
  <c r="U707" i="17" s="1"/>
  <c r="AC707" i="17" s="1"/>
  <c r="AD707" i="17" s="1"/>
  <c r="AE707" i="17" s="1"/>
  <c r="AF706" i="17"/>
  <c r="AG706" i="17" s="1"/>
  <c r="AL706" i="17" s="1"/>
  <c r="AY706" i="17" s="1"/>
  <c r="AT705" i="17"/>
  <c r="AW705" i="17" s="1"/>
  <c r="AX705" i="17" s="1"/>
  <c r="AZ705" i="17" s="1"/>
  <c r="AU705" i="17"/>
  <c r="BG655" i="17"/>
  <c r="BI655" i="17"/>
  <c r="W707" i="17" l="1"/>
  <c r="AA707" i="17" s="1"/>
  <c r="AK707" i="17" s="1"/>
  <c r="AH706" i="17"/>
  <c r="AS706" i="17" s="1"/>
  <c r="AT706" i="17" s="1"/>
  <c r="AW706" i="17" s="1"/>
  <c r="AX706" i="17" s="1"/>
  <c r="AZ706" i="17" s="1"/>
  <c r="AM706" i="17"/>
  <c r="AN706" i="17" s="1"/>
  <c r="AO706" i="17" s="1"/>
  <c r="AP706" i="17" s="1"/>
  <c r="AV705" i="17"/>
  <c r="AQ705" i="17"/>
  <c r="BO655" i="17"/>
  <c r="BP655" i="17" s="1"/>
  <c r="BN655" i="17"/>
  <c r="AF688" i="15" s="1"/>
  <c r="BC656" i="17"/>
  <c r="BH656" i="17" s="1"/>
  <c r="AR706" i="17" l="1"/>
  <c r="Y707" i="17"/>
  <c r="AB707" i="17" s="1"/>
  <c r="AF707" i="17" s="1"/>
  <c r="AG707" i="17" s="1"/>
  <c r="AH707" i="17" s="1"/>
  <c r="AS707" i="17" s="1"/>
  <c r="AQ706" i="17"/>
  <c r="AU706" i="17"/>
  <c r="AV706" i="17" s="1"/>
  <c r="BD656" i="17"/>
  <c r="AL677" i="15"/>
  <c r="BQ655" i="17"/>
  <c r="Z707" i="17" l="1"/>
  <c r="U708" i="17" s="1"/>
  <c r="AC708" i="17" s="1"/>
  <c r="AD708" i="17" s="1"/>
  <c r="AE708" i="17" s="1"/>
  <c r="AL707" i="17"/>
  <c r="AM707" i="17" s="1"/>
  <c r="AN707" i="17" s="1"/>
  <c r="AO707" i="17" s="1"/>
  <c r="AP707" i="17" s="1"/>
  <c r="AQ707" i="17" s="1"/>
  <c r="AT707" i="17"/>
  <c r="AW707" i="17" s="1"/>
  <c r="AX707" i="17" s="1"/>
  <c r="AZ707" i="17" s="1"/>
  <c r="AU707" i="17"/>
  <c r="BK656" i="17"/>
  <c r="BL656" i="17" s="1"/>
  <c r="BM656" i="17" s="1"/>
  <c r="BJ656" i="17"/>
  <c r="BE656" i="17"/>
  <c r="BF656" i="17" s="1"/>
  <c r="W708" i="17" l="1"/>
  <c r="AA708" i="17" s="1"/>
  <c r="AK708" i="17" s="1"/>
  <c r="AY707" i="17"/>
  <c r="AR707" i="17"/>
  <c r="AV707" i="17"/>
  <c r="BG656" i="17"/>
  <c r="BI656" i="17"/>
  <c r="Y708" i="17" l="1"/>
  <c r="AB708" i="17" s="1"/>
  <c r="BO656" i="17"/>
  <c r="BP656" i="17" s="1"/>
  <c r="BN656" i="17"/>
  <c r="AF582" i="15" s="1"/>
  <c r="BC657" i="17"/>
  <c r="BH657" i="17" s="1"/>
  <c r="Z708" i="17" l="1"/>
  <c r="U709" i="17" s="1"/>
  <c r="AC709" i="17" s="1"/>
  <c r="AD709" i="17" s="1"/>
  <c r="AE709" i="17" s="1"/>
  <c r="AF708" i="17"/>
  <c r="AG708" i="17" s="1"/>
  <c r="BD657" i="17"/>
  <c r="BE657" i="17" s="1"/>
  <c r="BF657" i="17" s="1"/>
  <c r="AL86" i="15"/>
  <c r="BQ656" i="17"/>
  <c r="W709" i="17" l="1"/>
  <c r="AA709" i="17" s="1"/>
  <c r="AK709" i="17" s="1"/>
  <c r="AH708" i="17"/>
  <c r="AS708" i="17" s="1"/>
  <c r="AL708" i="17"/>
  <c r="AM708" i="17" s="1"/>
  <c r="AN708" i="17" s="1"/>
  <c r="AO708" i="17" s="1"/>
  <c r="AP708" i="17" s="1"/>
  <c r="AQ708" i="17" s="1"/>
  <c r="BG657" i="17"/>
  <c r="BI657" i="17"/>
  <c r="BK657" i="17"/>
  <c r="BL657" i="17" s="1"/>
  <c r="BM657" i="17" s="1"/>
  <c r="BJ657" i="17"/>
  <c r="Y709" i="17" l="1"/>
  <c r="AB709" i="17" s="1"/>
  <c r="AF709" i="17" s="1"/>
  <c r="AG709" i="17" s="1"/>
  <c r="AH709" i="17" s="1"/>
  <c r="AS709" i="17" s="1"/>
  <c r="AT709" i="17" s="1"/>
  <c r="AT708" i="17"/>
  <c r="AW708" i="17" s="1"/>
  <c r="AX708" i="17" s="1"/>
  <c r="AZ708" i="17" s="1"/>
  <c r="AU708" i="17"/>
  <c r="AY708" i="17"/>
  <c r="AR708" i="17"/>
  <c r="BO657" i="17"/>
  <c r="BP657" i="17" s="1"/>
  <c r="BN657" i="17"/>
  <c r="AF569" i="15" s="1"/>
  <c r="BC658" i="17"/>
  <c r="AL709" i="17" l="1"/>
  <c r="AM709" i="17" s="1"/>
  <c r="AN709" i="17" s="1"/>
  <c r="AO709" i="17" s="1"/>
  <c r="AP709" i="17" s="1"/>
  <c r="AQ709" i="17" s="1"/>
  <c r="Z709" i="17"/>
  <c r="U710" i="17" s="1"/>
  <c r="AC710" i="17" s="1"/>
  <c r="AD710" i="17" s="1"/>
  <c r="AE710" i="17" s="1"/>
  <c r="AY709" i="17"/>
  <c r="AW709" i="17"/>
  <c r="AX709" i="17" s="1"/>
  <c r="AZ709" i="17" s="1"/>
  <c r="AV708" i="17"/>
  <c r="AU709" i="17" s="1"/>
  <c r="AV709" i="17" s="1"/>
  <c r="BD658" i="17"/>
  <c r="BE658" i="17" s="1"/>
  <c r="BF658" i="17" s="1"/>
  <c r="BH658" i="17"/>
  <c r="AL678" i="15"/>
  <c r="BQ657" i="17"/>
  <c r="W710" i="17" l="1"/>
  <c r="AA710" i="17" s="1"/>
  <c r="AK710" i="17" s="1"/>
  <c r="AR709" i="17"/>
  <c r="BG658" i="17"/>
  <c r="BI658" i="17"/>
  <c r="BK658" i="17"/>
  <c r="BL658" i="17" s="1"/>
  <c r="BM658" i="17" s="1"/>
  <c r="BJ658" i="17"/>
  <c r="Y710" i="17" l="1"/>
  <c r="AB710" i="17" s="1"/>
  <c r="AY710" i="17"/>
  <c r="BO658" i="17"/>
  <c r="BP658" i="17" s="1"/>
  <c r="BN658" i="17"/>
  <c r="AF325" i="15" s="1"/>
  <c r="BC659" i="17"/>
  <c r="AF710" i="17" l="1"/>
  <c r="AG710" i="17" s="1"/>
  <c r="AL710" i="17" s="1"/>
  <c r="Z710" i="17"/>
  <c r="U711" i="17" s="1"/>
  <c r="AC711" i="17" s="1"/>
  <c r="AD711" i="17" s="1"/>
  <c r="AE711" i="17" s="1"/>
  <c r="BH659" i="17"/>
  <c r="BD659" i="17"/>
  <c r="AL21" i="15"/>
  <c r="BQ658" i="17"/>
  <c r="W711" i="17" l="1"/>
  <c r="AA711" i="17" s="1"/>
  <c r="AK711" i="17" s="1"/>
  <c r="AH710" i="17"/>
  <c r="AS710" i="17" s="1"/>
  <c r="AM710" i="17"/>
  <c r="AN710" i="17" s="1"/>
  <c r="AO710" i="17" s="1"/>
  <c r="AP710" i="17" s="1"/>
  <c r="BK659" i="17"/>
  <c r="BL659" i="17" s="1"/>
  <c r="BM659" i="17" s="1"/>
  <c r="BJ659" i="17"/>
  <c r="BE659" i="17"/>
  <c r="BF659" i="17" s="1"/>
  <c r="AR710" i="17" l="1"/>
  <c r="Y711" i="17"/>
  <c r="AB711" i="17" s="1"/>
  <c r="AF711" i="17" s="1"/>
  <c r="AG711" i="17" s="1"/>
  <c r="AH711" i="17" s="1"/>
  <c r="AS711" i="17" s="1"/>
  <c r="AQ710" i="17"/>
  <c r="AT710" i="17"/>
  <c r="AW710" i="17" s="1"/>
  <c r="AX710" i="17" s="1"/>
  <c r="AZ710" i="17" s="1"/>
  <c r="AU710" i="17"/>
  <c r="AV710" i="17" s="1"/>
  <c r="BG659" i="17"/>
  <c r="BI659" i="17"/>
  <c r="AL711" i="17" l="1"/>
  <c r="AY711" i="17" s="1"/>
  <c r="Z711" i="17"/>
  <c r="U712" i="17" s="1"/>
  <c r="AC712" i="17" s="1"/>
  <c r="AD712" i="17" s="1"/>
  <c r="AE712" i="17" s="1"/>
  <c r="AU711" i="17"/>
  <c r="AV711" i="17" s="1"/>
  <c r="AT711" i="17"/>
  <c r="AW711" i="17" s="1"/>
  <c r="AX711" i="17" s="1"/>
  <c r="AZ711" i="17" s="1"/>
  <c r="BO659" i="17"/>
  <c r="BP659" i="17" s="1"/>
  <c r="BN659" i="17"/>
  <c r="AF316" i="15" s="1"/>
  <c r="BC660" i="17"/>
  <c r="BD660" i="17" s="1"/>
  <c r="AM711" i="17" l="1"/>
  <c r="AN711" i="17" s="1"/>
  <c r="AO711" i="17" s="1"/>
  <c r="AP711" i="17" s="1"/>
  <c r="AQ711" i="17" s="1"/>
  <c r="W712" i="17"/>
  <c r="AA712" i="17" s="1"/>
  <c r="AK712" i="17" s="1"/>
  <c r="BK660" i="17"/>
  <c r="BL660" i="17" s="1"/>
  <c r="BM660" i="17" s="1"/>
  <c r="BJ660" i="17"/>
  <c r="BH660" i="17"/>
  <c r="BE660" i="17"/>
  <c r="BF660" i="17" s="1"/>
  <c r="AL107" i="15"/>
  <c r="BQ659" i="17"/>
  <c r="AR711" i="17" l="1"/>
  <c r="Y712" i="17"/>
  <c r="AB712" i="17" s="1"/>
  <c r="BG660" i="17"/>
  <c r="BI660" i="17"/>
  <c r="AF712" i="17" l="1"/>
  <c r="AG712" i="17" s="1"/>
  <c r="AL712" i="17" s="1"/>
  <c r="Z712" i="17"/>
  <c r="BO660" i="17"/>
  <c r="BP660" i="17" s="1"/>
  <c r="BN660" i="17"/>
  <c r="AF162" i="15" s="1"/>
  <c r="BC661" i="17"/>
  <c r="BH661" i="17" s="1"/>
  <c r="AY712" i="17" l="1"/>
  <c r="U713" i="17"/>
  <c r="W713" i="17" s="1"/>
  <c r="AA713" i="17" s="1"/>
  <c r="AK713" i="17" s="1"/>
  <c r="AH712" i="17"/>
  <c r="AS712" i="17" s="1"/>
  <c r="AM712" i="17"/>
  <c r="AN712" i="17" s="1"/>
  <c r="AO712" i="17" s="1"/>
  <c r="AP712" i="17" s="1"/>
  <c r="AQ712" i="17" s="1"/>
  <c r="BD661" i="17"/>
  <c r="BE661" i="17" s="1"/>
  <c r="BF661" i="17" s="1"/>
  <c r="AL49" i="15"/>
  <c r="BQ660" i="17"/>
  <c r="AT712" i="17" l="1"/>
  <c r="AW712" i="17" s="1"/>
  <c r="AX712" i="17" s="1"/>
  <c r="AZ712" i="17" s="1"/>
  <c r="AU712" i="17"/>
  <c r="AV712" i="17" s="1"/>
  <c r="AR712" i="17"/>
  <c r="AC713" i="17"/>
  <c r="AD713" i="17" s="1"/>
  <c r="Y713" i="17"/>
  <c r="AB713" i="17" s="1"/>
  <c r="AY713" i="17"/>
  <c r="BG661" i="17"/>
  <c r="BI661" i="17"/>
  <c r="BK661" i="17"/>
  <c r="BL661" i="17" s="1"/>
  <c r="BM661" i="17" s="1"/>
  <c r="BJ661" i="17"/>
  <c r="AE713" i="17" l="1"/>
  <c r="AF713" i="17" s="1"/>
  <c r="AG713" i="17" s="1"/>
  <c r="AL713" i="17" s="1"/>
  <c r="Z713" i="17"/>
  <c r="BO661" i="17"/>
  <c r="BP661" i="17" s="1"/>
  <c r="BN661" i="17"/>
  <c r="AF248" i="15" s="1"/>
  <c r="BC662" i="17"/>
  <c r="BD662" i="17" s="1"/>
  <c r="U714" i="17" l="1"/>
  <c r="AC714" i="17" s="1"/>
  <c r="AD714" i="17" s="1"/>
  <c r="AE714" i="17" s="1"/>
  <c r="AH713" i="17"/>
  <c r="AS713" i="17" s="1"/>
  <c r="AM713" i="17"/>
  <c r="AN713" i="17" s="1"/>
  <c r="AO713" i="17" s="1"/>
  <c r="AP713" i="17" s="1"/>
  <c r="AY714" i="17"/>
  <c r="BK662" i="17"/>
  <c r="BL662" i="17" s="1"/>
  <c r="BM662" i="17" s="1"/>
  <c r="BJ662" i="17"/>
  <c r="BE662" i="17"/>
  <c r="BF662" i="17" s="1"/>
  <c r="BH662" i="17"/>
  <c r="AL679" i="15"/>
  <c r="BQ661" i="17"/>
  <c r="W714" i="17" l="1"/>
  <c r="AA714" i="17" s="1"/>
  <c r="AK714" i="17" s="1"/>
  <c r="AU713" i="17"/>
  <c r="AT713" i="17"/>
  <c r="AW713" i="17" s="1"/>
  <c r="AX713" i="17" s="1"/>
  <c r="AZ713" i="17" s="1"/>
  <c r="AQ713" i="17"/>
  <c r="AR713" i="17"/>
  <c r="BG662" i="17"/>
  <c r="BI662" i="17"/>
  <c r="Y714" i="17" l="1"/>
  <c r="Z714" i="17" s="1"/>
  <c r="AV713" i="17"/>
  <c r="BO662" i="17"/>
  <c r="BP662" i="17" s="1"/>
  <c r="BN662" i="17"/>
  <c r="AF290" i="15" s="1"/>
  <c r="BC663" i="17"/>
  <c r="BH663" i="17" s="1"/>
  <c r="AB714" i="17" l="1"/>
  <c r="AF714" i="17" s="1"/>
  <c r="AG714" i="17" s="1"/>
  <c r="AH714" i="17" s="1"/>
  <c r="AS714" i="17" s="1"/>
  <c r="U715" i="17"/>
  <c r="AL680" i="15"/>
  <c r="BQ662" i="17"/>
  <c r="BD663" i="17"/>
  <c r="AL714" i="17" l="1"/>
  <c r="AM714" i="17" s="1"/>
  <c r="AN714" i="17" s="1"/>
  <c r="AO714" i="17" s="1"/>
  <c r="AP714" i="17"/>
  <c r="AR714" i="17" s="1"/>
  <c r="AT714" i="17"/>
  <c r="AW714" i="17" s="1"/>
  <c r="AX714" i="17" s="1"/>
  <c r="AZ714" i="17" s="1"/>
  <c r="AU714" i="17"/>
  <c r="AV714" i="17" s="1"/>
  <c r="AC715" i="17"/>
  <c r="AD715" i="17" s="1"/>
  <c r="AE715" i="17" s="1"/>
  <c r="W715" i="17"/>
  <c r="AA715" i="17" s="1"/>
  <c r="AK715" i="17" s="1"/>
  <c r="BK663" i="17"/>
  <c r="BL663" i="17" s="1"/>
  <c r="BM663" i="17" s="1"/>
  <c r="BJ663" i="17"/>
  <c r="BE663" i="17"/>
  <c r="BF663" i="17" s="1"/>
  <c r="AQ714" i="17" l="1"/>
  <c r="Y715" i="17"/>
  <c r="AB715" i="17" s="1"/>
  <c r="BG663" i="17"/>
  <c r="BI663" i="17"/>
  <c r="Z715" i="17" l="1"/>
  <c r="U716" i="17" s="1"/>
  <c r="AF715" i="17"/>
  <c r="AG715" i="17" s="1"/>
  <c r="AL715" i="17" s="1"/>
  <c r="AY715" i="17" s="1"/>
  <c r="BO663" i="17"/>
  <c r="BP663" i="17" s="1"/>
  <c r="BN663" i="17"/>
  <c r="AF163" i="15" s="1"/>
  <c r="BC664" i="17"/>
  <c r="BH664" i="17" s="1"/>
  <c r="W716" i="17" l="1"/>
  <c r="AA716" i="17" s="1"/>
  <c r="AK716" i="17" s="1"/>
  <c r="AH715" i="17"/>
  <c r="AS715" i="17" s="1"/>
  <c r="AM715" i="17"/>
  <c r="AN715" i="17" s="1"/>
  <c r="AO715" i="17" s="1"/>
  <c r="AC716" i="17"/>
  <c r="AD716" i="17" s="1"/>
  <c r="AY716" i="17"/>
  <c r="AL71" i="15"/>
  <c r="BQ663" i="17"/>
  <c r="BD664" i="17"/>
  <c r="BE664" i="17" s="1"/>
  <c r="BF664" i="17" s="1"/>
  <c r="Y716" i="17" l="1"/>
  <c r="AB716" i="17" s="1"/>
  <c r="AE716" i="17"/>
  <c r="AP715" i="17"/>
  <c r="AR715" i="17" s="1"/>
  <c r="AT715" i="17"/>
  <c r="AW715" i="17" s="1"/>
  <c r="AX715" i="17" s="1"/>
  <c r="AZ715" i="17" s="1"/>
  <c r="AU715" i="17"/>
  <c r="BG664" i="17"/>
  <c r="BI664" i="17"/>
  <c r="BK664" i="17"/>
  <c r="BL664" i="17" s="1"/>
  <c r="BM664" i="17" s="1"/>
  <c r="BJ664" i="17"/>
  <c r="Z716" i="17" l="1"/>
  <c r="U717" i="17" s="1"/>
  <c r="W717" i="17" s="1"/>
  <c r="AA717" i="17" s="1"/>
  <c r="AK717" i="17" s="1"/>
  <c r="AQ715" i="17"/>
  <c r="AV715" i="17"/>
  <c r="AF716" i="17"/>
  <c r="AG716" i="17" s="1"/>
  <c r="AH716" i="17" s="1"/>
  <c r="AS716" i="17" s="1"/>
  <c r="AT716" i="17" s="1"/>
  <c r="AW716" i="17" s="1"/>
  <c r="AX716" i="17" s="1"/>
  <c r="AZ716" i="17" s="1"/>
  <c r="AY717" i="17"/>
  <c r="BO664" i="17"/>
  <c r="BP664" i="17" s="1"/>
  <c r="BN664" i="17"/>
  <c r="AF164" i="15" s="1"/>
  <c r="BC665" i="17"/>
  <c r="AL716" i="17" l="1"/>
  <c r="AM716" i="17" s="1"/>
  <c r="AN716" i="17" s="1"/>
  <c r="AO716" i="17" s="1"/>
  <c r="AP716" i="17" s="1"/>
  <c r="AR716" i="17" s="1"/>
  <c r="Y717" i="17"/>
  <c r="AB717" i="17" s="1"/>
  <c r="AU716" i="17"/>
  <c r="AV716" i="17" s="1"/>
  <c r="AC717" i="17"/>
  <c r="AD717" i="17" s="1"/>
  <c r="BD665" i="17"/>
  <c r="BE665" i="17" s="1"/>
  <c r="BF665" i="17" s="1"/>
  <c r="BH665" i="17"/>
  <c r="AL129" i="15"/>
  <c r="BQ664" i="17"/>
  <c r="AQ716" i="17" l="1"/>
  <c r="Z717" i="17"/>
  <c r="U718" i="17" s="1"/>
  <c r="AE717" i="17"/>
  <c r="BG665" i="17"/>
  <c r="BI665" i="17"/>
  <c r="BK665" i="17"/>
  <c r="BL665" i="17" s="1"/>
  <c r="BM665" i="17" s="1"/>
  <c r="BJ665" i="17"/>
  <c r="AC718" i="17" l="1"/>
  <c r="AD718" i="17" s="1"/>
  <c r="AE718" i="17" s="1"/>
  <c r="W718" i="17"/>
  <c r="AA718" i="17" s="1"/>
  <c r="AK718" i="17" s="1"/>
  <c r="AF717" i="17"/>
  <c r="AG717" i="17" s="1"/>
  <c r="AY718" i="17"/>
  <c r="BO665" i="17"/>
  <c r="BP665" i="17" s="1"/>
  <c r="BN665" i="17"/>
  <c r="AF268" i="15" s="1"/>
  <c r="BC666" i="17"/>
  <c r="BH666" i="17" s="1"/>
  <c r="Y718" i="17" l="1"/>
  <c r="AB718" i="17" s="1"/>
  <c r="AF718" i="17" s="1"/>
  <c r="AG718" i="17" s="1"/>
  <c r="AL717" i="17"/>
  <c r="AM717" i="17" s="1"/>
  <c r="AN717" i="17" s="1"/>
  <c r="AO717" i="17" s="1"/>
  <c r="AH717" i="17"/>
  <c r="AS717" i="17" s="1"/>
  <c r="AL681" i="15"/>
  <c r="BQ665" i="17"/>
  <c r="BD666" i="17"/>
  <c r="BE666" i="17" s="1"/>
  <c r="BF666" i="17" s="1"/>
  <c r="Z718" i="17" l="1"/>
  <c r="AT717" i="17"/>
  <c r="AW717" i="17" s="1"/>
  <c r="AX717" i="17" s="1"/>
  <c r="AZ717" i="17" s="1"/>
  <c r="AU717" i="17"/>
  <c r="AP717" i="17"/>
  <c r="AR717" i="17" s="1"/>
  <c r="U719" i="17"/>
  <c r="AC719" i="17" s="1"/>
  <c r="AD719" i="17" s="1"/>
  <c r="AE719" i="17" s="1"/>
  <c r="AL718" i="17"/>
  <c r="AM718" i="17" s="1"/>
  <c r="AN718" i="17" s="1"/>
  <c r="AO718" i="17" s="1"/>
  <c r="AH718" i="17"/>
  <c r="AS718" i="17" s="1"/>
  <c r="AT718" i="17" s="1"/>
  <c r="BG666" i="17"/>
  <c r="BI666" i="17"/>
  <c r="BK666" i="17"/>
  <c r="BL666" i="17" s="1"/>
  <c r="BM666" i="17" s="1"/>
  <c r="BJ666" i="17"/>
  <c r="AW718" i="17" l="1"/>
  <c r="AX718" i="17" s="1"/>
  <c r="AZ718" i="17" s="1"/>
  <c r="W719" i="17"/>
  <c r="AA719" i="17" s="1"/>
  <c r="AK719" i="17" s="1"/>
  <c r="AP718" i="17"/>
  <c r="AR718" i="17" s="1"/>
  <c r="AQ717" i="17"/>
  <c r="AV717" i="17"/>
  <c r="AU718" i="17" s="1"/>
  <c r="AV718" i="17" s="1"/>
  <c r="BO666" i="17"/>
  <c r="BP666" i="17" s="1"/>
  <c r="BN666" i="17"/>
  <c r="AF278" i="15" s="1"/>
  <c r="BC667" i="17"/>
  <c r="Y719" i="17" l="1"/>
  <c r="AB719" i="17" s="1"/>
  <c r="AF719" i="17" s="1"/>
  <c r="AG719" i="17" s="1"/>
  <c r="AH719" i="17" s="1"/>
  <c r="AS719" i="17" s="1"/>
  <c r="AT719" i="17" s="1"/>
  <c r="AW719" i="17" s="1"/>
  <c r="AX719" i="17" s="1"/>
  <c r="AZ719" i="17" s="1"/>
  <c r="AQ718" i="17"/>
  <c r="AY719" i="17"/>
  <c r="BD667" i="17"/>
  <c r="BE667" i="17" s="1"/>
  <c r="BF667" i="17" s="1"/>
  <c r="BH667" i="17"/>
  <c r="AL682" i="15"/>
  <c r="BQ666" i="17"/>
  <c r="AU719" i="17" l="1"/>
  <c r="AV719" i="17" s="1"/>
  <c r="AL719" i="17"/>
  <c r="AM719" i="17" s="1"/>
  <c r="AN719" i="17" s="1"/>
  <c r="AO719" i="17" s="1"/>
  <c r="Z719" i="17"/>
  <c r="BG667" i="17"/>
  <c r="BI667" i="17"/>
  <c r="BK667" i="17"/>
  <c r="BL667" i="17" s="1"/>
  <c r="BM667" i="17" s="1"/>
  <c r="BJ667" i="17"/>
  <c r="U720" i="17" l="1"/>
  <c r="AC720" i="17" s="1"/>
  <c r="AD720" i="17" s="1"/>
  <c r="AE720" i="17" s="1"/>
  <c r="AP719" i="17"/>
  <c r="AQ719" i="17" s="1"/>
  <c r="BO667" i="17"/>
  <c r="BP667" i="17" s="1"/>
  <c r="BN667" i="17"/>
  <c r="AF288" i="15" s="1"/>
  <c r="BC668" i="17"/>
  <c r="BD668" i="17" s="1"/>
  <c r="W720" i="17" l="1"/>
  <c r="AR719" i="17"/>
  <c r="AL683" i="15"/>
  <c r="BQ667" i="17"/>
  <c r="BK668" i="17"/>
  <c r="BL668" i="17" s="1"/>
  <c r="BM668" i="17" s="1"/>
  <c r="BJ668" i="17"/>
  <c r="BE668" i="17"/>
  <c r="BF668" i="17" s="1"/>
  <c r="BH668" i="17"/>
  <c r="AA720" i="17" l="1"/>
  <c r="AK720" i="17" s="1"/>
  <c r="Y720" i="17"/>
  <c r="AY720" i="17"/>
  <c r="BG668" i="17"/>
  <c r="BI668" i="17"/>
  <c r="Z720" i="17" l="1"/>
  <c r="AB720" i="17"/>
  <c r="BO668" i="17"/>
  <c r="BP668" i="17" s="1"/>
  <c r="BN668" i="17"/>
  <c r="AF308" i="15" s="1"/>
  <c r="BC669" i="17"/>
  <c r="BH669" i="17" s="1"/>
  <c r="AF720" i="17" l="1"/>
  <c r="AG720" i="17" s="1"/>
  <c r="AH720" i="17" s="1"/>
  <c r="AS720" i="17" s="1"/>
  <c r="U721" i="17"/>
  <c r="AC721" i="17" s="1"/>
  <c r="AD721" i="17" s="1"/>
  <c r="AE721" i="17" s="1"/>
  <c r="AY721" i="17"/>
  <c r="AL684" i="15"/>
  <c r="BQ668" i="17"/>
  <c r="BD669" i="17"/>
  <c r="BE669" i="17" s="1"/>
  <c r="BF669" i="17" s="1"/>
  <c r="W721" i="17" l="1"/>
  <c r="AL720" i="17"/>
  <c r="AM720" i="17" s="1"/>
  <c r="AN720" i="17" s="1"/>
  <c r="AO720" i="17" s="1"/>
  <c r="AU720" i="17"/>
  <c r="AV720" i="17" s="1"/>
  <c r="AT720" i="17"/>
  <c r="AW720" i="17" s="1"/>
  <c r="AX720" i="17" s="1"/>
  <c r="AZ720" i="17" s="1"/>
  <c r="BG669" i="17"/>
  <c r="BI669" i="17"/>
  <c r="BK669" i="17"/>
  <c r="BL669" i="17" s="1"/>
  <c r="BM669" i="17" s="1"/>
  <c r="BJ669" i="17"/>
  <c r="AA721" i="17" l="1"/>
  <c r="AK721" i="17" s="1"/>
  <c r="Y721" i="17"/>
  <c r="AP720" i="17"/>
  <c r="AR720" i="17" s="1"/>
  <c r="BO669" i="17"/>
  <c r="BP669" i="17" s="1"/>
  <c r="BN669" i="17"/>
  <c r="AF271" i="15" s="1"/>
  <c r="BC670" i="17"/>
  <c r="AB721" i="17" l="1"/>
  <c r="AF721" i="17" s="1"/>
  <c r="AG721" i="17" s="1"/>
  <c r="Z721" i="17"/>
  <c r="AQ720" i="17"/>
  <c r="BD670" i="17"/>
  <c r="BE670" i="17" s="1"/>
  <c r="BF670" i="17" s="1"/>
  <c r="BH670" i="17"/>
  <c r="AL93" i="15"/>
  <c r="BQ669" i="17"/>
  <c r="U722" i="17" l="1"/>
  <c r="W722" i="17" s="1"/>
  <c r="AA722" i="17" s="1"/>
  <c r="AK722" i="17" s="1"/>
  <c r="AL721" i="17"/>
  <c r="AM721" i="17" s="1"/>
  <c r="AN721" i="17" s="1"/>
  <c r="AO721" i="17" s="1"/>
  <c r="AH721" i="17"/>
  <c r="AS721" i="17" s="1"/>
  <c r="BG670" i="17"/>
  <c r="BI670" i="17"/>
  <c r="BK670" i="17"/>
  <c r="BL670" i="17" s="1"/>
  <c r="BM670" i="17" s="1"/>
  <c r="BJ670" i="17"/>
  <c r="AT721" i="17" l="1"/>
  <c r="AW721" i="17" s="1"/>
  <c r="AX721" i="17" s="1"/>
  <c r="AZ721" i="17" s="1"/>
  <c r="AU721" i="17"/>
  <c r="AV721" i="17" s="1"/>
  <c r="AP721" i="17"/>
  <c r="AR721" i="17" s="1"/>
  <c r="AC722" i="17"/>
  <c r="AD722" i="17" s="1"/>
  <c r="AE722" i="17" s="1"/>
  <c r="Y722" i="17"/>
  <c r="AB722" i="17" s="1"/>
  <c r="AY722" i="17"/>
  <c r="BO670" i="17"/>
  <c r="BP670" i="17" s="1"/>
  <c r="BN670" i="17"/>
  <c r="AF299" i="15" s="1"/>
  <c r="BC671" i="17"/>
  <c r="BH671" i="17" s="1"/>
  <c r="AQ721" i="17" l="1"/>
  <c r="AF722" i="17"/>
  <c r="AG722" i="17" s="1"/>
  <c r="AH722" i="17" s="1"/>
  <c r="AS722" i="17" s="1"/>
  <c r="Z722" i="17"/>
  <c r="BD671" i="17"/>
  <c r="BE671" i="17" s="1"/>
  <c r="BF671" i="17" s="1"/>
  <c r="AL685" i="15"/>
  <c r="BQ670" i="17"/>
  <c r="AL722" i="17" l="1"/>
  <c r="AM722" i="17" s="1"/>
  <c r="AN722" i="17" s="1"/>
  <c r="AO722" i="17" s="1"/>
  <c r="AP722" i="17" s="1"/>
  <c r="AR722" i="17" s="1"/>
  <c r="U723" i="17"/>
  <c r="W723" i="17" s="1"/>
  <c r="AA723" i="17" s="1"/>
  <c r="AK723" i="17" s="1"/>
  <c r="AU722" i="17"/>
  <c r="AV722" i="17" s="1"/>
  <c r="AT722" i="17"/>
  <c r="AW722" i="17" s="1"/>
  <c r="AX722" i="17" s="1"/>
  <c r="AZ722" i="17" s="1"/>
  <c r="BJ671" i="17"/>
  <c r="BK671" i="17"/>
  <c r="BL671" i="17" s="1"/>
  <c r="BM671" i="17" s="1"/>
  <c r="BI671" i="17"/>
  <c r="BG671" i="17"/>
  <c r="BC672" i="17" s="1"/>
  <c r="BD672" i="17" s="1"/>
  <c r="AQ722" i="17" l="1"/>
  <c r="AC723" i="17"/>
  <c r="AD723" i="17" s="1"/>
  <c r="AE723" i="17" s="1"/>
  <c r="Y723" i="17"/>
  <c r="AB723" i="17" s="1"/>
  <c r="BN671" i="17"/>
  <c r="AF339" i="15" s="1"/>
  <c r="BO671" i="17"/>
  <c r="BP671" i="17" s="1"/>
  <c r="AL686" i="15" s="1"/>
  <c r="BK672" i="17"/>
  <c r="BL672" i="17" s="1"/>
  <c r="BM672" i="17" s="1"/>
  <c r="BJ672" i="17"/>
  <c r="BE672" i="17"/>
  <c r="BF672" i="17" s="1"/>
  <c r="BH672" i="17"/>
  <c r="Z723" i="17" l="1"/>
  <c r="U724" i="17" s="1"/>
  <c r="W724" i="17" s="1"/>
  <c r="AA724" i="17" s="1"/>
  <c r="AK724" i="17" s="1"/>
  <c r="AF723" i="17"/>
  <c r="AG723" i="17" s="1"/>
  <c r="BQ671" i="17"/>
  <c r="BG672" i="17"/>
  <c r="BI672" i="17"/>
  <c r="Y724" i="17" l="1"/>
  <c r="AB724" i="17" s="1"/>
  <c r="AC724" i="17"/>
  <c r="AD724" i="17" s="1"/>
  <c r="AE724" i="17" s="1"/>
  <c r="AL723" i="17"/>
  <c r="AM723" i="17" s="1"/>
  <c r="AN723" i="17" s="1"/>
  <c r="AO723" i="17" s="1"/>
  <c r="AH723" i="17"/>
  <c r="AS723" i="17" s="1"/>
  <c r="Z724" i="17"/>
  <c r="U725" i="17" s="1"/>
  <c r="W725" i="17" s="1"/>
  <c r="BO672" i="17"/>
  <c r="BP672" i="17" s="1"/>
  <c r="BN672" i="17"/>
  <c r="AF362" i="15" s="1"/>
  <c r="BC673" i="17"/>
  <c r="BH673" i="17" s="1"/>
  <c r="AF724" i="17" l="1"/>
  <c r="AG724" i="17" s="1"/>
  <c r="AP723" i="17"/>
  <c r="AQ723" i="17" s="1"/>
  <c r="AT723" i="17"/>
  <c r="AW723" i="17" s="1"/>
  <c r="AU723" i="17"/>
  <c r="AY723" i="17"/>
  <c r="Y725" i="17"/>
  <c r="AB725" i="17" s="1"/>
  <c r="AA725" i="17"/>
  <c r="AK725" i="17" s="1"/>
  <c r="AC725" i="17"/>
  <c r="AD725" i="17" s="1"/>
  <c r="AE725" i="17" s="1"/>
  <c r="BD673" i="17"/>
  <c r="AL687" i="15"/>
  <c r="BQ672" i="17"/>
  <c r="AR723" i="17" l="1"/>
  <c r="AH724" i="17"/>
  <c r="AS724" i="17" s="1"/>
  <c r="AT724" i="17" s="1"/>
  <c r="AL724" i="17"/>
  <c r="AX723" i="17"/>
  <c r="AZ723" i="17" s="1"/>
  <c r="AV723" i="17"/>
  <c r="Z725" i="17"/>
  <c r="U726" i="17" s="1"/>
  <c r="AC726" i="17" s="1"/>
  <c r="AD726" i="17" s="1"/>
  <c r="AE726" i="17" s="1"/>
  <c r="AF725" i="17"/>
  <c r="AG725" i="17" s="1"/>
  <c r="BK673" i="17"/>
  <c r="BL673" i="17" s="1"/>
  <c r="BM673" i="17" s="1"/>
  <c r="BJ673" i="17"/>
  <c r="BE673" i="17"/>
  <c r="BF673" i="17" s="1"/>
  <c r="AU724" i="17" l="1"/>
  <c r="AV724" i="17" s="1"/>
  <c r="AW724" i="17"/>
  <c r="AX724" i="17" s="1"/>
  <c r="AZ724" i="17" s="1"/>
  <c r="AY724" i="17"/>
  <c r="AM724" i="17"/>
  <c r="AN724" i="17" s="1"/>
  <c r="W726" i="17"/>
  <c r="AA726" i="17" s="1"/>
  <c r="AK726" i="17" s="1"/>
  <c r="AL725" i="17"/>
  <c r="AH725" i="17"/>
  <c r="AS725" i="17" s="1"/>
  <c r="BG673" i="17"/>
  <c r="BI673" i="17"/>
  <c r="AO724" i="17" l="1"/>
  <c r="AP724" i="17" s="1"/>
  <c r="AQ724" i="17" s="1"/>
  <c r="Y726" i="17"/>
  <c r="AB726" i="17" s="1"/>
  <c r="AF726" i="17" s="1"/>
  <c r="AG726" i="17" s="1"/>
  <c r="AH726" i="17" s="1"/>
  <c r="AS726" i="17" s="1"/>
  <c r="AU725" i="17"/>
  <c r="AV725" i="17" s="1"/>
  <c r="AT725" i="17"/>
  <c r="AW725" i="17" s="1"/>
  <c r="AX725" i="17" s="1"/>
  <c r="AZ725" i="17" s="1"/>
  <c r="AM725" i="17"/>
  <c r="AN725" i="17" s="1"/>
  <c r="AO725" i="17" s="1"/>
  <c r="AP725" i="17" s="1"/>
  <c r="AR725" i="17" s="1"/>
  <c r="AY725" i="17"/>
  <c r="BO673" i="17"/>
  <c r="BP673" i="17" s="1"/>
  <c r="BN673" i="17"/>
  <c r="AF399" i="15" s="1"/>
  <c r="BC674" i="17"/>
  <c r="BH674" i="17" s="1"/>
  <c r="AR724" i="17" l="1"/>
  <c r="Z726" i="17"/>
  <c r="AL726" i="17"/>
  <c r="AM726" i="17" s="1"/>
  <c r="AQ725" i="17"/>
  <c r="AY726" i="17"/>
  <c r="AT726" i="17"/>
  <c r="AW726" i="17" s="1"/>
  <c r="AX726" i="17" s="1"/>
  <c r="AZ726" i="17" s="1"/>
  <c r="AU726" i="17"/>
  <c r="BD674" i="17"/>
  <c r="BE674" i="17" s="1"/>
  <c r="BF674" i="17" s="1"/>
  <c r="AL688" i="15"/>
  <c r="BQ673" i="17"/>
  <c r="U727" i="17" l="1"/>
  <c r="AC727" i="17" s="1"/>
  <c r="AD727" i="17" s="1"/>
  <c r="AE727" i="17" s="1"/>
  <c r="AV726" i="17"/>
  <c r="AN726" i="17"/>
  <c r="AO726" i="17" s="1"/>
  <c r="AP726" i="17" s="1"/>
  <c r="AQ726" i="17" s="1"/>
  <c r="BJ674" i="17"/>
  <c r="BG674" i="17"/>
  <c r="BC675" i="17" s="1"/>
  <c r="BI674" i="17"/>
  <c r="BK674" i="17"/>
  <c r="BL674" i="17" s="1"/>
  <c r="BM674" i="17" s="1"/>
  <c r="W727" i="17" l="1"/>
  <c r="AA727" i="17" s="1"/>
  <c r="AK727" i="17" s="1"/>
  <c r="AR726" i="17"/>
  <c r="BN674" i="17"/>
  <c r="AF404" i="15" s="1"/>
  <c r="BO674" i="17"/>
  <c r="BP674" i="17" s="1"/>
  <c r="AL689" i="15" s="1"/>
  <c r="BD675" i="17"/>
  <c r="BH675" i="17"/>
  <c r="Y727" i="17" l="1"/>
  <c r="AB727" i="17" s="1"/>
  <c r="AF727" i="17" s="1"/>
  <c r="AG727" i="17" s="1"/>
  <c r="AH727" i="17" s="1"/>
  <c r="AS727" i="17" s="1"/>
  <c r="AT727" i="17" s="1"/>
  <c r="AW727" i="17" s="1"/>
  <c r="AX727" i="17" s="1"/>
  <c r="AZ727" i="17" s="1"/>
  <c r="AY727" i="17"/>
  <c r="BQ674" i="17"/>
  <c r="BK675" i="17"/>
  <c r="BL675" i="17" s="1"/>
  <c r="BM675" i="17" s="1"/>
  <c r="BJ675" i="17"/>
  <c r="BE675" i="17"/>
  <c r="BF675" i="17" s="1"/>
  <c r="Z727" i="17" l="1"/>
  <c r="U728" i="17" s="1"/>
  <c r="W728" i="17" s="1"/>
  <c r="AU727" i="17"/>
  <c r="AV727" i="17" s="1"/>
  <c r="AL727" i="17"/>
  <c r="BG675" i="17"/>
  <c r="BI675" i="17"/>
  <c r="AM727" i="17" l="1"/>
  <c r="AN727" i="17" s="1"/>
  <c r="AO727" i="17" s="1"/>
  <c r="AP727" i="17" s="1"/>
  <c r="AQ727" i="17" s="1"/>
  <c r="AA728" i="17"/>
  <c r="AK728" i="17" s="1"/>
  <c r="AC728" i="17"/>
  <c r="AD728" i="17" s="1"/>
  <c r="AE728" i="17" s="1"/>
  <c r="Y728" i="17"/>
  <c r="AB728" i="17" s="1"/>
  <c r="BO675" i="17"/>
  <c r="BP675" i="17" s="1"/>
  <c r="BN675" i="17"/>
  <c r="AF450" i="15" s="1"/>
  <c r="BC676" i="17"/>
  <c r="BH676" i="17" s="1"/>
  <c r="AR727" i="17" l="1"/>
  <c r="AF728" i="17"/>
  <c r="AG728" i="17" s="1"/>
  <c r="AH728" i="17" s="1"/>
  <c r="AS728" i="17" s="1"/>
  <c r="AU728" i="17" s="1"/>
  <c r="AV728" i="17" s="1"/>
  <c r="Z728" i="17"/>
  <c r="AL690" i="15"/>
  <c r="BQ675" i="17"/>
  <c r="BD676" i="17"/>
  <c r="AL728" i="17" l="1"/>
  <c r="AY728" i="17" s="1"/>
  <c r="AT728" i="17"/>
  <c r="AW728" i="17" s="1"/>
  <c r="AX728" i="17" s="1"/>
  <c r="AZ728" i="17" s="1"/>
  <c r="U729" i="17"/>
  <c r="AC729" i="17" s="1"/>
  <c r="AD729" i="17" s="1"/>
  <c r="AE729" i="17" s="1"/>
  <c r="AY729" i="17"/>
  <c r="BK676" i="17"/>
  <c r="BL676" i="17" s="1"/>
  <c r="BM676" i="17" s="1"/>
  <c r="BJ676" i="17"/>
  <c r="BE676" i="17"/>
  <c r="BF676" i="17" s="1"/>
  <c r="AM728" i="17" l="1"/>
  <c r="AN728" i="17" s="1"/>
  <c r="AO728" i="17" s="1"/>
  <c r="AP728" i="17" s="1"/>
  <c r="AR728" i="17" s="1"/>
  <c r="W729" i="17"/>
  <c r="AA729" i="17" s="1"/>
  <c r="AK729" i="17" s="1"/>
  <c r="BG676" i="17"/>
  <c r="BI676" i="17"/>
  <c r="AQ728" i="17" l="1"/>
  <c r="Y729" i="17"/>
  <c r="AB729" i="17" s="1"/>
  <c r="AF729" i="17" s="1"/>
  <c r="AG729" i="17" s="1"/>
  <c r="BO676" i="17"/>
  <c r="BP676" i="17" s="1"/>
  <c r="BN676" i="17"/>
  <c r="AF497" i="15" s="1"/>
  <c r="BC677" i="17"/>
  <c r="BH677" i="17" s="1"/>
  <c r="Z729" i="17" l="1"/>
  <c r="U730" i="17" s="1"/>
  <c r="AC730" i="17" s="1"/>
  <c r="AD730" i="17" s="1"/>
  <c r="AE730" i="17" s="1"/>
  <c r="AL729" i="17"/>
  <c r="AM729" i="17" s="1"/>
  <c r="AN729" i="17" s="1"/>
  <c r="AO729" i="17" s="1"/>
  <c r="AH729" i="17"/>
  <c r="AS729" i="17" s="1"/>
  <c r="BD677" i="17"/>
  <c r="AL691" i="15"/>
  <c r="BQ676" i="17"/>
  <c r="W730" i="17" l="1"/>
  <c r="AA730" i="17" s="1"/>
  <c r="AK730" i="17" s="1"/>
  <c r="AU729" i="17"/>
  <c r="AT729" i="17"/>
  <c r="AW729" i="17" s="1"/>
  <c r="AX729" i="17" s="1"/>
  <c r="AZ729" i="17" s="1"/>
  <c r="AP729" i="17"/>
  <c r="AR729" i="17" s="1"/>
  <c r="AY730" i="17"/>
  <c r="BK677" i="17"/>
  <c r="BL677" i="17" s="1"/>
  <c r="BM677" i="17" s="1"/>
  <c r="BJ677" i="17"/>
  <c r="BE677" i="17"/>
  <c r="BF677" i="17" s="1"/>
  <c r="Y730" i="17" l="1"/>
  <c r="AB730" i="17" s="1"/>
  <c r="AV729" i="17"/>
  <c r="AQ729" i="17"/>
  <c r="AY731" i="17"/>
  <c r="BG677" i="17"/>
  <c r="BI677" i="17"/>
  <c r="Z730" i="17" l="1"/>
  <c r="U731" i="17" s="1"/>
  <c r="AC731" i="17" s="1"/>
  <c r="AD731" i="17" s="1"/>
  <c r="AE731" i="17" s="1"/>
  <c r="AF730" i="17"/>
  <c r="AG730" i="17" s="1"/>
  <c r="AH730" i="17" s="1"/>
  <c r="AS730" i="17" s="1"/>
  <c r="BO677" i="17"/>
  <c r="BP677" i="17" s="1"/>
  <c r="BN677" i="17"/>
  <c r="AF511" i="15" s="1"/>
  <c r="BC678" i="17"/>
  <c r="AL730" i="17" l="1"/>
  <c r="AM730" i="17" s="1"/>
  <c r="AT730" i="17"/>
  <c r="AW730" i="17" s="1"/>
  <c r="AX730" i="17" s="1"/>
  <c r="AZ730" i="17" s="1"/>
  <c r="AU730" i="17"/>
  <c r="W731" i="17"/>
  <c r="AN730" i="17"/>
  <c r="AO730" i="17" s="1"/>
  <c r="BH678" i="17"/>
  <c r="BD678" i="17"/>
  <c r="AL692" i="15"/>
  <c r="BQ677" i="17"/>
  <c r="AP730" i="17" l="1"/>
  <c r="AR730" i="17" s="1"/>
  <c r="AA731" i="17"/>
  <c r="AK731" i="17" s="1"/>
  <c r="Y731" i="17"/>
  <c r="AB731" i="17" s="1"/>
  <c r="AF731" i="17" s="1"/>
  <c r="AG731" i="17" s="1"/>
  <c r="AV730" i="17"/>
  <c r="BK678" i="17"/>
  <c r="BJ678" i="17"/>
  <c r="BE678" i="17"/>
  <c r="BF678" i="17" s="1"/>
  <c r="AQ730" i="17" l="1"/>
  <c r="AL731" i="17"/>
  <c r="AM731" i="17" s="1"/>
  <c r="AN731" i="17" s="1"/>
  <c r="AO731" i="17" s="1"/>
  <c r="AH731" i="17"/>
  <c r="AS731" i="17" s="1"/>
  <c r="Z731" i="17"/>
  <c r="BG678" i="17"/>
  <c r="BI678" i="17"/>
  <c r="BL678" i="17"/>
  <c r="BM678" i="17" s="1"/>
  <c r="U732" i="17" l="1"/>
  <c r="AC732" i="17" s="1"/>
  <c r="AP731" i="17"/>
  <c r="AR731" i="17" s="1"/>
  <c r="AT731" i="17"/>
  <c r="AW731" i="17" s="1"/>
  <c r="AX731" i="17" s="1"/>
  <c r="AZ731" i="17" s="1"/>
  <c r="AU731" i="17"/>
  <c r="BO678" i="17"/>
  <c r="BP678" i="17" s="1"/>
  <c r="BN678" i="17"/>
  <c r="BC679" i="17"/>
  <c r="AQ731" i="17" l="1"/>
  <c r="W732" i="17"/>
  <c r="AA732" i="17" s="1"/>
  <c r="AK732" i="17" s="1"/>
  <c r="AV731" i="17"/>
  <c r="AD732" i="17"/>
  <c r="AE732" i="17" s="1"/>
  <c r="BD679" i="17"/>
  <c r="BE679" i="17" s="1"/>
  <c r="BF679" i="17" s="1"/>
  <c r="BH679" i="17"/>
  <c r="AF554" i="15"/>
  <c r="AL693" i="15"/>
  <c r="BQ678" i="17"/>
  <c r="Y732" i="17" l="1"/>
  <c r="AB732" i="17" s="1"/>
  <c r="AF732" i="17" s="1"/>
  <c r="AG732" i="17" s="1"/>
  <c r="BG679" i="17"/>
  <c r="BI679" i="17"/>
  <c r="BJ679" i="17"/>
  <c r="BK679" i="17"/>
  <c r="BL679" i="17" s="1"/>
  <c r="BM679" i="17" s="1"/>
  <c r="Z732" i="17" l="1"/>
  <c r="U733" i="17" s="1"/>
  <c r="AC733" i="17" s="1"/>
  <c r="AD733" i="17" s="1"/>
  <c r="AH732" i="17"/>
  <c r="AS732" i="17" s="1"/>
  <c r="AL732" i="17"/>
  <c r="AY732" i="17" s="1"/>
  <c r="BO679" i="17"/>
  <c r="BP679" i="17" s="1"/>
  <c r="BN679" i="17"/>
  <c r="BC680" i="17"/>
  <c r="AM732" i="17" l="1"/>
  <c r="AN732" i="17" s="1"/>
  <c r="AO732" i="17" s="1"/>
  <c r="AP732" i="17" s="1"/>
  <c r="AR732" i="17" s="1"/>
  <c r="W733" i="17"/>
  <c r="AA733" i="17" s="1"/>
  <c r="AK733" i="17" s="1"/>
  <c r="AE733" i="17"/>
  <c r="AU732" i="17"/>
  <c r="AT732" i="17"/>
  <c r="AW732" i="17" s="1"/>
  <c r="AX732" i="17" s="1"/>
  <c r="AZ732" i="17" s="1"/>
  <c r="BD680" i="17"/>
  <c r="BE680" i="17" s="1"/>
  <c r="BF680" i="17" s="1"/>
  <c r="BH680" i="17"/>
  <c r="AF559" i="15"/>
  <c r="AL694" i="15"/>
  <c r="BQ679" i="17"/>
  <c r="Y733" i="17" l="1"/>
  <c r="AB733" i="17" s="1"/>
  <c r="AQ732" i="17"/>
  <c r="AV732" i="17"/>
  <c r="AY734" i="17"/>
  <c r="BG680" i="17"/>
  <c r="BI680" i="17"/>
  <c r="BK680" i="17"/>
  <c r="BL680" i="17" s="1"/>
  <c r="BM680" i="17" s="1"/>
  <c r="BJ680" i="17"/>
  <c r="Z733" i="17" l="1"/>
  <c r="U734" i="17" s="1"/>
  <c r="AC734" i="17" s="1"/>
  <c r="AF733" i="17"/>
  <c r="AG733" i="17" s="1"/>
  <c r="AL733" i="17" s="1"/>
  <c r="AY733" i="17" s="1"/>
  <c r="BO680" i="17"/>
  <c r="BP680" i="17" s="1"/>
  <c r="BN680" i="17"/>
  <c r="BC681" i="17"/>
  <c r="BH681" i="17" s="1"/>
  <c r="W734" i="17" l="1"/>
  <c r="AA734" i="17" s="1"/>
  <c r="AK734" i="17" s="1"/>
  <c r="AH733" i="17"/>
  <c r="AS733" i="17" s="1"/>
  <c r="AM733" i="17"/>
  <c r="AN733" i="17" s="1"/>
  <c r="AO733" i="17" s="1"/>
  <c r="AD734" i="17"/>
  <c r="AF599" i="15"/>
  <c r="BD681" i="17"/>
  <c r="AL695" i="15"/>
  <c r="BQ680" i="17"/>
  <c r="Y734" i="17" l="1"/>
  <c r="AB734" i="17" s="1"/>
  <c r="AP733" i="17"/>
  <c r="AR733" i="17" s="1"/>
  <c r="AT733" i="17"/>
  <c r="AW733" i="17" s="1"/>
  <c r="AX733" i="17" s="1"/>
  <c r="AZ733" i="17" s="1"/>
  <c r="AU733" i="17"/>
  <c r="AE734" i="17"/>
  <c r="BK681" i="17"/>
  <c r="BL681" i="17" s="1"/>
  <c r="BM681" i="17" s="1"/>
  <c r="BJ681" i="17"/>
  <c r="BE681" i="17"/>
  <c r="BF681" i="17" s="1"/>
  <c r="Z734" i="17" l="1"/>
  <c r="U735" i="17" s="1"/>
  <c r="AC735" i="17" s="1"/>
  <c r="AD735" i="17" s="1"/>
  <c r="AE735" i="17" s="1"/>
  <c r="AF734" i="17"/>
  <c r="AG734" i="17" s="1"/>
  <c r="AH734" i="17" s="1"/>
  <c r="AS734" i="17" s="1"/>
  <c r="AT734" i="17" s="1"/>
  <c r="AW734" i="17" s="1"/>
  <c r="AX734" i="17" s="1"/>
  <c r="AZ734" i="17" s="1"/>
  <c r="AQ733" i="17"/>
  <c r="AV733" i="17"/>
  <c r="AY735" i="17"/>
  <c r="BG681" i="17"/>
  <c r="BI681" i="17"/>
  <c r="AL734" i="17" l="1"/>
  <c r="AM734" i="17" s="1"/>
  <c r="AN734" i="17" s="1"/>
  <c r="AO734" i="17" s="1"/>
  <c r="AP734" i="17" s="1"/>
  <c r="AQ734" i="17" s="1"/>
  <c r="AU734" i="17"/>
  <c r="AV734" i="17" s="1"/>
  <c r="W735" i="17"/>
  <c r="AA735" i="17" s="1"/>
  <c r="AK735" i="17" s="1"/>
  <c r="BO681" i="17"/>
  <c r="BP681" i="17" s="1"/>
  <c r="BN681" i="17"/>
  <c r="BC682" i="17"/>
  <c r="Y735" i="17" l="1"/>
  <c r="AB735" i="17" s="1"/>
  <c r="AR734" i="17"/>
  <c r="BD682" i="17"/>
  <c r="BE682" i="17" s="1"/>
  <c r="BF682" i="17" s="1"/>
  <c r="BH682" i="17"/>
  <c r="AF673" i="15"/>
  <c r="AL696" i="15"/>
  <c r="BQ681" i="17"/>
  <c r="Z735" i="17" l="1"/>
  <c r="U736" i="17" s="1"/>
  <c r="AC736" i="17" s="1"/>
  <c r="AD736" i="17" s="1"/>
  <c r="AE736" i="17" s="1"/>
  <c r="AF735" i="17"/>
  <c r="AG735" i="17" s="1"/>
  <c r="AH735" i="17" s="1"/>
  <c r="AS735" i="17" s="1"/>
  <c r="BG682" i="17"/>
  <c r="BI682" i="17"/>
  <c r="BK682" i="17"/>
  <c r="BL682" i="17" s="1"/>
  <c r="BM682" i="17" s="1"/>
  <c r="BJ682" i="17"/>
  <c r="W736" i="17" l="1"/>
  <c r="AA736" i="17" s="1"/>
  <c r="AK736" i="17" s="1"/>
  <c r="AL735" i="17"/>
  <c r="AM735" i="17" s="1"/>
  <c r="AN735" i="17" s="1"/>
  <c r="AT735" i="17"/>
  <c r="AW735" i="17" s="1"/>
  <c r="AX735" i="17" s="1"/>
  <c r="AZ735" i="17" s="1"/>
  <c r="AU735" i="17"/>
  <c r="AV735" i="17" s="1"/>
  <c r="BO682" i="17"/>
  <c r="BP682" i="17" s="1"/>
  <c r="BN682" i="17"/>
  <c r="BC683" i="17"/>
  <c r="BH683" i="17" s="1"/>
  <c r="Y736" i="17" l="1"/>
  <c r="AB736" i="17" s="1"/>
  <c r="AF736" i="17" s="1"/>
  <c r="AG736" i="17" s="1"/>
  <c r="AH736" i="17" s="1"/>
  <c r="AS736" i="17" s="1"/>
  <c r="AT736" i="17" s="1"/>
  <c r="AW736" i="17" s="1"/>
  <c r="AX736" i="17" s="1"/>
  <c r="AZ736" i="17" s="1"/>
  <c r="AO735" i="17"/>
  <c r="AP735" i="17" s="1"/>
  <c r="AR735" i="17" s="1"/>
  <c r="BD683" i="17"/>
  <c r="BQ682" i="17"/>
  <c r="AF696" i="15"/>
  <c r="AL697" i="15"/>
  <c r="Z736" i="17" l="1"/>
  <c r="AL736" i="17"/>
  <c r="AM736" i="17" s="1"/>
  <c r="AN736" i="17" s="1"/>
  <c r="AO736" i="17" s="1"/>
  <c r="AP736" i="17" s="1"/>
  <c r="AQ736" i="17" s="1"/>
  <c r="AU736" i="17"/>
  <c r="AV736" i="17" s="1"/>
  <c r="AQ735" i="17"/>
  <c r="AY736" i="17"/>
  <c r="BK683" i="17"/>
  <c r="BL683" i="17" s="1"/>
  <c r="BM683" i="17" s="1"/>
  <c r="BJ683" i="17"/>
  <c r="BE683" i="17"/>
  <c r="BF683" i="17" s="1"/>
  <c r="AR736" i="17" l="1"/>
  <c r="BG683" i="17"/>
  <c r="BI683" i="17"/>
  <c r="BO683" i="17" l="1"/>
  <c r="BP683" i="17" s="1"/>
  <c r="BN683" i="17"/>
  <c r="AF704" i="15" s="1"/>
  <c r="BC684" i="17"/>
  <c r="BD684" i="17" l="1"/>
  <c r="BH684" i="17"/>
  <c r="AL698" i="15"/>
  <c r="BQ683" i="17"/>
  <c r="BK684" i="17" l="1"/>
  <c r="BL684" i="17" s="1"/>
  <c r="BM684" i="17" s="1"/>
  <c r="BJ684" i="17"/>
  <c r="BE684" i="17"/>
  <c r="BF684" i="17" s="1"/>
  <c r="BG684" i="17" l="1"/>
  <c r="BI684" i="17"/>
  <c r="BO684" i="17" l="1"/>
  <c r="BP684" i="17" s="1"/>
  <c r="BN684" i="17"/>
  <c r="AF707" i="15" s="1"/>
  <c r="BC685" i="17"/>
  <c r="BH685" i="17" s="1"/>
  <c r="BD685" i="17" l="1"/>
  <c r="BK685" i="17" s="1"/>
  <c r="AL699" i="15"/>
  <c r="BQ684" i="17"/>
  <c r="BE685" i="17" l="1"/>
  <c r="BF685" i="17" s="1"/>
  <c r="BG685" i="17" s="1"/>
  <c r="BJ685" i="17"/>
  <c r="BL685" i="17"/>
  <c r="BM685" i="17" s="1"/>
  <c r="BI685" i="17" l="1"/>
  <c r="BO685" i="17" s="1"/>
  <c r="BP685" i="17" s="1"/>
  <c r="BC686" i="17"/>
  <c r="BH686" i="17" s="1"/>
  <c r="BN685" i="17" l="1"/>
  <c r="AF709" i="15" s="1"/>
  <c r="BD686" i="17"/>
  <c r="BE686" i="17" s="1"/>
  <c r="BF686" i="17" s="1"/>
  <c r="BG686" i="17" s="1"/>
  <c r="AL700" i="15"/>
  <c r="BQ685" i="17" l="1"/>
  <c r="BK686" i="17"/>
  <c r="BL686" i="17" s="1"/>
  <c r="BM686" i="17" s="1"/>
  <c r="BJ686" i="17"/>
  <c r="BI686" i="17"/>
  <c r="BO686" i="17" s="1"/>
  <c r="BP686" i="17" s="1"/>
  <c r="BC687" i="17"/>
  <c r="BH687" i="17" s="1"/>
  <c r="BN686" i="17" l="1"/>
  <c r="AF712" i="15" s="1"/>
  <c r="BD687" i="17"/>
  <c r="BK687" i="17" s="1"/>
  <c r="BL687" i="17" s="1"/>
  <c r="BM687" i="17" s="1"/>
  <c r="AL701" i="15"/>
  <c r="BQ686" i="17" l="1"/>
  <c r="BE687" i="17"/>
  <c r="BF687" i="17" s="1"/>
  <c r="BG687" i="17" s="1"/>
  <c r="BJ687" i="17"/>
  <c r="BI687" i="17" l="1"/>
  <c r="BN687" i="17" s="1"/>
  <c r="AF713" i="15" s="1"/>
  <c r="BC688" i="17"/>
  <c r="BO687" i="17" l="1"/>
  <c r="BP687" i="17" s="1"/>
  <c r="AL702" i="15" s="1"/>
  <c r="BH688" i="17"/>
  <c r="BD688" i="17"/>
  <c r="BQ687" i="17" l="1"/>
  <c r="BK688" i="17"/>
  <c r="BL688" i="17" s="1"/>
  <c r="BM688" i="17" s="1"/>
  <c r="BJ688" i="17"/>
  <c r="BE688" i="17"/>
  <c r="BF688" i="17" s="1"/>
  <c r="BG688" i="17" l="1"/>
  <c r="BI688" i="17"/>
  <c r="BO688" i="17" l="1"/>
  <c r="BP688" i="17" s="1"/>
  <c r="BN688" i="17"/>
  <c r="AF703" i="15" s="1"/>
  <c r="BC689" i="17"/>
  <c r="BH689" i="17" s="1"/>
  <c r="BD689" i="17" l="1"/>
  <c r="BE689" i="17" s="1"/>
  <c r="BF689" i="17" s="1"/>
  <c r="AL703" i="15"/>
  <c r="BQ688" i="17"/>
  <c r="BG689" i="17" l="1"/>
  <c r="BI689" i="17"/>
  <c r="BK689" i="17"/>
  <c r="BL689" i="17" s="1"/>
  <c r="BM689" i="17" s="1"/>
  <c r="BJ689" i="17"/>
  <c r="BO689" i="17" l="1"/>
  <c r="BP689" i="17" s="1"/>
  <c r="BN689" i="17"/>
  <c r="AF710" i="15" s="1"/>
  <c r="BC690" i="17"/>
  <c r="BD690" i="17" l="1"/>
  <c r="BE690" i="17" s="1"/>
  <c r="BF690" i="17" s="1"/>
  <c r="BH690" i="17"/>
  <c r="AL704" i="15"/>
  <c r="BQ689" i="17"/>
  <c r="BG690" i="17" l="1"/>
  <c r="BI690" i="17"/>
  <c r="BK690" i="17"/>
  <c r="BL690" i="17" s="1"/>
  <c r="BM690" i="17" s="1"/>
  <c r="BJ690" i="17"/>
  <c r="BO690" i="17" l="1"/>
  <c r="BP690" i="17" s="1"/>
  <c r="BN690" i="17"/>
  <c r="AF491" i="15" s="1"/>
  <c r="BC691" i="17"/>
  <c r="BH691" i="17" s="1"/>
  <c r="BD691" i="17" l="1"/>
  <c r="BK691" i="17" s="1"/>
  <c r="BL691" i="17" s="1"/>
  <c r="BM691" i="17" s="1"/>
  <c r="AL41" i="15"/>
  <c r="BQ690" i="17"/>
  <c r="BE691" i="17" l="1"/>
  <c r="BF691" i="17" s="1"/>
  <c r="BG691" i="17" s="1"/>
  <c r="BJ691" i="17"/>
  <c r="BI691" i="17" l="1"/>
  <c r="BO691" i="17" s="1"/>
  <c r="BP691" i="17" s="1"/>
  <c r="BC692" i="17"/>
  <c r="BN691" i="17" l="1"/>
  <c r="AF395" i="15" s="1"/>
  <c r="AL63" i="15"/>
  <c r="BD692" i="17"/>
  <c r="BH692" i="17"/>
  <c r="BQ691" i="17" l="1"/>
  <c r="BK692" i="17"/>
  <c r="BL692" i="17" s="1"/>
  <c r="BM692" i="17" s="1"/>
  <c r="BJ692" i="17"/>
  <c r="BE692" i="17"/>
  <c r="BF692" i="17" s="1"/>
  <c r="BG692" i="17" l="1"/>
  <c r="BI692" i="17"/>
  <c r="BO692" i="17" l="1"/>
  <c r="BP692" i="17" s="1"/>
  <c r="BN692" i="17"/>
  <c r="AF432" i="15" s="1"/>
  <c r="BC693" i="17"/>
  <c r="BH693" i="17" s="1"/>
  <c r="BD693" i="17" l="1"/>
  <c r="AL705" i="15"/>
  <c r="BQ692" i="17"/>
  <c r="BK693" i="17" l="1"/>
  <c r="BL693" i="17" s="1"/>
  <c r="BM693" i="17" s="1"/>
  <c r="BJ693" i="17"/>
  <c r="BE693" i="17"/>
  <c r="BF693" i="17" s="1"/>
  <c r="BG693" i="17" l="1"/>
  <c r="BI693" i="17"/>
  <c r="BC694" i="17" l="1"/>
  <c r="BH694" i="17" s="1"/>
  <c r="BO693" i="17"/>
  <c r="BP693" i="17" s="1"/>
  <c r="BN693" i="17"/>
  <c r="AF476" i="15" s="1"/>
  <c r="BD694" i="17" l="1"/>
  <c r="AL706" i="15"/>
  <c r="BQ693" i="17"/>
  <c r="BE694" i="17" l="1"/>
  <c r="BF694" i="17" s="1"/>
  <c r="BK694" i="17"/>
  <c r="BL694" i="17" s="1"/>
  <c r="BM694" i="17" s="1"/>
  <c r="BJ694" i="17"/>
  <c r="BG694" i="17" l="1"/>
  <c r="BC695" i="17" s="1"/>
  <c r="BH695" i="17" s="1"/>
  <c r="BI694" i="17"/>
  <c r="BO694" i="17" s="1"/>
  <c r="BP694" i="17" s="1"/>
  <c r="BN694" i="17" l="1"/>
  <c r="AF463" i="15" s="1"/>
  <c r="BD695" i="17"/>
  <c r="BE695" i="17" s="1"/>
  <c r="BF695" i="17" s="1"/>
  <c r="AL119" i="15"/>
  <c r="BQ694" i="17" l="1"/>
  <c r="BG695" i="17"/>
  <c r="BI695" i="17"/>
  <c r="BK695" i="17"/>
  <c r="BL695" i="17" s="1"/>
  <c r="BM695" i="17" s="1"/>
  <c r="BJ695" i="17"/>
  <c r="BO695" i="17" l="1"/>
  <c r="BP695" i="17" s="1"/>
  <c r="BN695" i="17"/>
  <c r="AF327" i="15" s="1"/>
  <c r="BC696" i="17"/>
  <c r="BH696" i="17" s="1"/>
  <c r="BD696" i="17" l="1"/>
  <c r="BK696" i="17" s="1"/>
  <c r="BL696" i="17" s="1"/>
  <c r="BM696" i="17" s="1"/>
  <c r="AL39" i="15"/>
  <c r="BQ695" i="17"/>
  <c r="BE696" i="17" l="1"/>
  <c r="BF696" i="17" s="1"/>
  <c r="BG696" i="17" s="1"/>
  <c r="BJ696" i="17"/>
  <c r="BI696" i="17" l="1"/>
  <c r="BO696" i="17" s="1"/>
  <c r="BP696" i="17" s="1"/>
  <c r="BC697" i="17"/>
  <c r="BN696" i="17" l="1"/>
  <c r="AF280" i="15" s="1"/>
  <c r="BD697" i="17"/>
  <c r="BE697" i="17" s="1"/>
  <c r="BF697" i="17" s="1"/>
  <c r="BH697" i="17"/>
  <c r="AL79" i="15"/>
  <c r="BQ696" i="17" l="1"/>
  <c r="BG697" i="17"/>
  <c r="BI697" i="17"/>
  <c r="BK697" i="17"/>
  <c r="BL697" i="17" s="1"/>
  <c r="BM697" i="17" s="1"/>
  <c r="BJ697" i="17"/>
  <c r="BC698" i="17" l="1"/>
  <c r="BH698" i="17" s="1"/>
  <c r="BO697" i="17"/>
  <c r="BP697" i="17" s="1"/>
  <c r="BN697" i="17"/>
  <c r="AF332" i="15" s="1"/>
  <c r="BD698" i="17" l="1"/>
  <c r="BE698" i="17" s="1"/>
  <c r="BF698" i="17" s="1"/>
  <c r="BG698" i="17" s="1"/>
  <c r="AL707" i="15"/>
  <c r="BQ697" i="17"/>
  <c r="BJ698" i="17" l="1"/>
  <c r="BI698" i="17"/>
  <c r="BO698" i="17" s="1"/>
  <c r="BP698" i="17" s="1"/>
  <c r="BK698" i="17"/>
  <c r="BL698" i="17" s="1"/>
  <c r="BM698" i="17" s="1"/>
  <c r="BC699" i="17"/>
  <c r="BN698" i="17" l="1"/>
  <c r="AF375" i="15" s="1"/>
  <c r="BD699" i="17"/>
  <c r="BH699" i="17"/>
  <c r="AL708" i="15"/>
  <c r="BQ698" i="17" l="1"/>
  <c r="BK699" i="17"/>
  <c r="BL699" i="17" s="1"/>
  <c r="BM699" i="17" s="1"/>
  <c r="BJ699" i="17"/>
  <c r="BE699" i="17"/>
  <c r="BF699" i="17" s="1"/>
  <c r="BG699" i="17" l="1"/>
  <c r="BI699" i="17"/>
  <c r="BC700" i="17" l="1"/>
  <c r="BH700" i="17" s="1"/>
  <c r="BO699" i="17"/>
  <c r="BP699" i="17" s="1"/>
  <c r="BN699" i="17"/>
  <c r="AF409" i="15" s="1"/>
  <c r="AL709" i="15" l="1"/>
  <c r="BQ699" i="17"/>
  <c r="BD700" i="17"/>
  <c r="BK700" i="17" l="1"/>
  <c r="BL700" i="17" s="1"/>
  <c r="BM700" i="17" s="1"/>
  <c r="BJ700" i="17"/>
  <c r="BE700" i="17"/>
  <c r="BF700" i="17" s="1"/>
  <c r="BG700" i="17" l="1"/>
  <c r="BI700" i="17"/>
  <c r="BO700" i="17" l="1"/>
  <c r="BP700" i="17" s="1"/>
  <c r="BN700" i="17"/>
  <c r="AF361" i="15" s="1"/>
  <c r="BC701" i="17"/>
  <c r="BD701" i="17" l="1"/>
  <c r="BH701" i="17"/>
  <c r="AL77" i="15"/>
  <c r="BQ700" i="17"/>
  <c r="BK701" i="17" l="1"/>
  <c r="BL701" i="17" s="1"/>
  <c r="BM701" i="17" s="1"/>
  <c r="BJ701" i="17"/>
  <c r="BE701" i="17"/>
  <c r="BF701" i="17" s="1"/>
  <c r="BG701" i="17" l="1"/>
  <c r="BI701" i="17"/>
  <c r="BO701" i="17" l="1"/>
  <c r="BP701" i="17" s="1"/>
  <c r="BN701" i="17"/>
  <c r="AF246" i="15" s="1"/>
  <c r="BC702" i="17"/>
  <c r="BH702" i="17" s="1"/>
  <c r="BD702" i="17" l="1"/>
  <c r="BE702" i="17" s="1"/>
  <c r="BF702" i="17" s="1"/>
  <c r="AL47" i="15"/>
  <c r="BQ701" i="17"/>
  <c r="BG702" i="17" l="1"/>
  <c r="BI702" i="17"/>
  <c r="BK702" i="17"/>
  <c r="BL702" i="17" s="1"/>
  <c r="BM702" i="17" s="1"/>
  <c r="BJ702" i="17"/>
  <c r="BO702" i="17" l="1"/>
  <c r="BP702" i="17" s="1"/>
  <c r="BN702" i="17"/>
  <c r="AF286" i="15" s="1"/>
  <c r="BC703" i="17"/>
  <c r="BD703" i="17" l="1"/>
  <c r="BH703" i="17"/>
  <c r="AL710" i="15"/>
  <c r="BQ702" i="17"/>
  <c r="BK703" i="17" l="1"/>
  <c r="BL703" i="17" s="1"/>
  <c r="BM703" i="17" s="1"/>
  <c r="BJ703" i="17"/>
  <c r="BE703" i="17"/>
  <c r="BF703" i="17" s="1"/>
  <c r="BG703" i="17" l="1"/>
  <c r="BI703" i="17"/>
  <c r="BO703" i="17" l="1"/>
  <c r="BP703" i="17" s="1"/>
  <c r="BN703" i="17"/>
  <c r="AF335" i="15" s="1"/>
  <c r="BC704" i="17"/>
  <c r="BD704" i="17" s="1"/>
  <c r="BK704" i="17" l="1"/>
  <c r="BL704" i="17" s="1"/>
  <c r="BM704" i="17" s="1"/>
  <c r="BJ704" i="17"/>
  <c r="BH704" i="17"/>
  <c r="BE704" i="17"/>
  <c r="BF704" i="17" s="1"/>
  <c r="AL711" i="15"/>
  <c r="BQ703" i="17"/>
  <c r="BG704" i="17" l="1"/>
  <c r="BI704" i="17"/>
  <c r="BO704" i="17" l="1"/>
  <c r="BP704" i="17" s="1"/>
  <c r="BN704" i="17"/>
  <c r="AF379" i="15" s="1"/>
  <c r="BC705" i="17"/>
  <c r="BD705" i="17" s="1"/>
  <c r="BK705" i="17" l="1"/>
  <c r="BL705" i="17" s="1"/>
  <c r="BM705" i="17" s="1"/>
  <c r="BJ705" i="17"/>
  <c r="BE705" i="17"/>
  <c r="BF705" i="17" s="1"/>
  <c r="BH705" i="17"/>
  <c r="AL712" i="15"/>
  <c r="BQ704" i="17"/>
  <c r="BG705" i="17" l="1"/>
  <c r="BI705" i="17"/>
  <c r="BO705" i="17" l="1"/>
  <c r="BP705" i="17" s="1"/>
  <c r="BN705" i="17"/>
  <c r="AF411" i="15" s="1"/>
  <c r="BC706" i="17"/>
  <c r="BD706" i="17" s="1"/>
  <c r="BK706" i="17" l="1"/>
  <c r="BL706" i="17" s="1"/>
  <c r="BM706" i="17" s="1"/>
  <c r="BJ706" i="17"/>
  <c r="BE706" i="17"/>
  <c r="BF706" i="17" s="1"/>
  <c r="BH706" i="17"/>
  <c r="AL713" i="15"/>
  <c r="BQ705" i="17"/>
  <c r="BG706" i="17" l="1"/>
  <c r="BI706" i="17"/>
  <c r="BC707" i="17" l="1"/>
  <c r="BO706" i="17"/>
  <c r="BP706" i="17" s="1"/>
  <c r="BN706" i="17"/>
  <c r="AF456" i="15" s="1"/>
  <c r="AL714" i="15" l="1"/>
  <c r="BQ706" i="17"/>
  <c r="BD707" i="17"/>
  <c r="BH707" i="17"/>
  <c r="BK707" i="17" l="1"/>
  <c r="BL707" i="17" s="1"/>
  <c r="BM707" i="17" s="1"/>
  <c r="BJ707" i="17"/>
  <c r="BE707" i="17"/>
  <c r="BF707" i="17" s="1"/>
  <c r="BG707" i="17" l="1"/>
  <c r="BI707" i="17"/>
  <c r="BO707" i="17" l="1"/>
  <c r="BP707" i="17" s="1"/>
  <c r="BN707" i="17"/>
  <c r="AF509" i="15" s="1"/>
  <c r="BC708" i="17"/>
  <c r="BH708" i="17" s="1"/>
  <c r="BD708" i="17" l="1"/>
  <c r="BE708" i="17" s="1"/>
  <c r="BF708" i="17" s="1"/>
  <c r="AL715" i="15"/>
  <c r="BQ707" i="17"/>
  <c r="BG708" i="17" l="1"/>
  <c r="BI708" i="17"/>
  <c r="BK708" i="17"/>
  <c r="BL708" i="17" s="1"/>
  <c r="BM708" i="17" s="1"/>
  <c r="BJ708" i="17"/>
  <c r="BO708" i="17" l="1"/>
  <c r="BP708" i="17" s="1"/>
  <c r="BN708" i="17"/>
  <c r="AF549" i="15" s="1"/>
  <c r="BC709" i="17"/>
  <c r="AL716" i="15" l="1"/>
  <c r="BQ708" i="17"/>
  <c r="BD709" i="17"/>
  <c r="BH709" i="17"/>
  <c r="BK709" i="17" l="1"/>
  <c r="BL709" i="17" s="1"/>
  <c r="BM709" i="17" s="1"/>
  <c r="BJ709" i="17"/>
  <c r="BE709" i="17"/>
  <c r="BF709" i="17" s="1"/>
  <c r="BG709" i="17" l="1"/>
  <c r="BI709" i="17"/>
  <c r="BO709" i="17" l="1"/>
  <c r="BP709" i="17" s="1"/>
  <c r="BN709" i="17"/>
  <c r="AF617" i="15" s="1"/>
  <c r="BC710" i="17"/>
  <c r="BH710" i="17" s="1"/>
  <c r="BD710" i="17" l="1"/>
  <c r="BE710" i="17" s="1"/>
  <c r="BF710" i="17" s="1"/>
  <c r="AL717" i="15"/>
  <c r="BQ709" i="17"/>
  <c r="BG710" i="17" l="1"/>
  <c r="BI710" i="17"/>
  <c r="BK710" i="17"/>
  <c r="BL710" i="17" s="1"/>
  <c r="BM710" i="17" s="1"/>
  <c r="BJ710" i="17"/>
  <c r="BO710" i="17" l="1"/>
  <c r="BP710" i="17" s="1"/>
  <c r="BN710" i="17"/>
  <c r="AF697" i="15" s="1"/>
  <c r="BC711" i="17"/>
  <c r="BD711" i="17" l="1"/>
  <c r="BH711" i="17"/>
  <c r="AL718" i="15"/>
  <c r="BQ710" i="17"/>
  <c r="BK711" i="17" l="1"/>
  <c r="BL711" i="17" s="1"/>
  <c r="BM711" i="17" s="1"/>
  <c r="BJ711" i="17"/>
  <c r="BE711" i="17"/>
  <c r="BF711" i="17" s="1"/>
  <c r="BG711" i="17" l="1"/>
  <c r="BI711" i="17"/>
  <c r="BO711" i="17" l="1"/>
  <c r="BP711" i="17" s="1"/>
  <c r="BN711" i="17"/>
  <c r="AF718" i="15" s="1"/>
  <c r="BC712" i="17"/>
  <c r="BH712" i="17" l="1"/>
  <c r="BD712" i="17"/>
  <c r="AL719" i="15"/>
  <c r="BQ711" i="17"/>
  <c r="BK712" i="17" l="1"/>
  <c r="BL712" i="17" s="1"/>
  <c r="BM712" i="17" s="1"/>
  <c r="BJ712" i="17"/>
  <c r="BE712" i="17"/>
  <c r="BF712" i="17" s="1"/>
  <c r="BG712" i="17" l="1"/>
  <c r="BI712" i="17"/>
  <c r="BO712" i="17" l="1"/>
  <c r="BP712" i="17" s="1"/>
  <c r="BN712" i="17"/>
  <c r="AF721" i="15" s="1"/>
  <c r="BC713" i="17"/>
  <c r="BH713" i="17" s="1"/>
  <c r="BD713" i="17" l="1"/>
  <c r="AL720" i="15"/>
  <c r="BQ712" i="17"/>
  <c r="BK713" i="17" l="1"/>
  <c r="BL713" i="17" s="1"/>
  <c r="BM713" i="17" s="1"/>
  <c r="BJ713" i="17"/>
  <c r="BE713" i="17"/>
  <c r="BF713" i="17" s="1"/>
  <c r="BG713" i="17" l="1"/>
  <c r="BI713" i="17"/>
  <c r="BO713" i="17" l="1"/>
  <c r="BP713" i="17" s="1"/>
  <c r="BN713" i="17"/>
  <c r="AF722" i="15" s="1"/>
  <c r="BC714" i="17"/>
  <c r="BD714" i="17" s="1"/>
  <c r="BK714" i="17" l="1"/>
  <c r="BL714" i="17" s="1"/>
  <c r="BM714" i="17" s="1"/>
  <c r="BJ714" i="17"/>
  <c r="BE714" i="17"/>
  <c r="BF714" i="17" s="1"/>
  <c r="BH714" i="17"/>
  <c r="AL721" i="15"/>
  <c r="BQ713" i="17"/>
  <c r="BG714" i="17" l="1"/>
  <c r="BI714" i="17"/>
  <c r="BO714" i="17" l="1"/>
  <c r="BP714" i="17" s="1"/>
  <c r="BN714" i="17"/>
  <c r="AF725" i="15" s="1"/>
  <c r="BC715" i="17"/>
  <c r="BH715" i="17" s="1"/>
  <c r="BD715" i="17" l="1"/>
  <c r="AL722" i="15"/>
  <c r="BQ714" i="17"/>
  <c r="BK715" i="17" l="1"/>
  <c r="BL715" i="17" s="1"/>
  <c r="BM715" i="17" s="1"/>
  <c r="BJ715" i="17"/>
  <c r="BE715" i="17"/>
  <c r="BF715" i="17" s="1"/>
  <c r="BG715" i="17" l="1"/>
  <c r="BI715" i="17"/>
  <c r="BO715" i="17" l="1"/>
  <c r="BP715" i="17" s="1"/>
  <c r="BN715" i="17"/>
  <c r="AF726" i="15" s="1"/>
  <c r="BC716" i="17"/>
  <c r="BD716" i="17" s="1"/>
  <c r="BK716" i="17" l="1"/>
  <c r="BJ716" i="17"/>
  <c r="BE716" i="17"/>
  <c r="BF716" i="17" s="1"/>
  <c r="BH716" i="17"/>
  <c r="AL723" i="15"/>
  <c r="BQ715" i="17"/>
  <c r="BG716" i="17" l="1"/>
  <c r="BI716" i="17"/>
  <c r="BL716" i="17"/>
  <c r="BM716" i="17" s="1"/>
  <c r="BO716" i="17" l="1"/>
  <c r="BP716" i="17" s="1"/>
  <c r="BN716" i="17"/>
  <c r="AF727" i="15" s="1"/>
  <c r="BC717" i="17"/>
  <c r="BD717" i="17" l="1"/>
  <c r="BH717" i="17"/>
  <c r="AL724" i="15"/>
  <c r="BQ716" i="17"/>
  <c r="BJ717" i="17" l="1"/>
  <c r="BK717" i="17"/>
  <c r="BL717" i="17" s="1"/>
  <c r="BM717" i="17" s="1"/>
  <c r="BE717" i="17"/>
  <c r="BF717" i="17" s="1"/>
  <c r="BG717" i="17" l="1"/>
  <c r="BI717" i="17"/>
  <c r="BO717" i="17" l="1"/>
  <c r="BP717" i="17" s="1"/>
  <c r="BN717" i="17"/>
  <c r="AF729" i="15" s="1"/>
  <c r="BC718" i="17"/>
  <c r="BH718" i="17" s="1"/>
  <c r="BD718" i="17" l="1"/>
  <c r="BE718" i="17" s="1"/>
  <c r="BF718" i="17" s="1"/>
  <c r="AL725" i="15"/>
  <c r="BQ717" i="17"/>
  <c r="BG718" i="17" l="1"/>
  <c r="BI718" i="17"/>
  <c r="BK718" i="17"/>
  <c r="BL718" i="17" s="1"/>
  <c r="BM718" i="17" s="1"/>
  <c r="BJ718" i="17"/>
  <c r="BO718" i="17" l="1"/>
  <c r="BP718" i="17" s="1"/>
  <c r="BN718" i="17"/>
  <c r="AF702" i="15" s="1"/>
  <c r="BC719" i="17"/>
  <c r="BH719" i="17" l="1"/>
  <c r="BD719" i="17"/>
  <c r="AL110" i="15"/>
  <c r="BQ718" i="17"/>
  <c r="BK719" i="17" l="1"/>
  <c r="BL719" i="17" s="1"/>
  <c r="BM719" i="17" s="1"/>
  <c r="BJ719" i="17"/>
  <c r="BE719" i="17"/>
  <c r="BF719" i="17" s="1"/>
  <c r="BG719" i="17" l="1"/>
  <c r="BI719" i="17"/>
  <c r="BO719" i="17" l="1"/>
  <c r="BP719" i="17" s="1"/>
  <c r="BN719" i="17"/>
  <c r="AF720" i="15" s="1"/>
  <c r="BC720" i="17"/>
  <c r="BD720" i="17" s="1"/>
  <c r="BK720" i="17" l="1"/>
  <c r="BL720" i="17" s="1"/>
  <c r="BM720" i="17" s="1"/>
  <c r="BJ720" i="17"/>
  <c r="BE720" i="17"/>
  <c r="BF720" i="17" s="1"/>
  <c r="BH720" i="17"/>
  <c r="AL726" i="15"/>
  <c r="BQ719" i="17"/>
  <c r="BG720" i="17" l="1"/>
  <c r="BI720" i="17"/>
  <c r="BO720" i="17" l="1"/>
  <c r="BP720" i="17" s="1"/>
  <c r="BN720" i="17"/>
  <c r="AF731" i="15" s="1"/>
  <c r="BC721" i="17"/>
  <c r="BH721" i="17" s="1"/>
  <c r="BD721" i="17" l="1"/>
  <c r="BE721" i="17" s="1"/>
  <c r="BF721" i="17" s="1"/>
  <c r="AL727" i="15"/>
  <c r="BQ720" i="17"/>
  <c r="BG721" i="17" l="1"/>
  <c r="BI721" i="17"/>
  <c r="BK721" i="17"/>
  <c r="BL721" i="17" s="1"/>
  <c r="BM721" i="17" s="1"/>
  <c r="BJ721" i="17"/>
  <c r="BO721" i="17" l="1"/>
  <c r="BP721" i="17" s="1"/>
  <c r="BN721" i="17"/>
  <c r="AF614" i="15" s="1"/>
  <c r="BC722" i="17"/>
  <c r="BD722" i="17" s="1"/>
  <c r="BK722" i="17" l="1"/>
  <c r="BL722" i="17" s="1"/>
  <c r="BM722" i="17" s="1"/>
  <c r="BJ722" i="17"/>
  <c r="BE722" i="17"/>
  <c r="BF722" i="17" s="1"/>
  <c r="BH722" i="17"/>
  <c r="AL73" i="15"/>
  <c r="BQ721" i="17"/>
  <c r="BG722" i="17" l="1"/>
  <c r="BI722" i="17"/>
  <c r="BO722" i="17" l="1"/>
  <c r="BP722" i="17" s="1"/>
  <c r="BN722" i="17"/>
  <c r="AF641" i="15" s="1"/>
  <c r="BC723" i="17"/>
  <c r="BH723" i="17" s="1"/>
  <c r="BD723" i="17" l="1"/>
  <c r="BE723" i="17" s="1"/>
  <c r="BF723" i="17" s="1"/>
  <c r="AL728" i="15"/>
  <c r="BQ722" i="17"/>
  <c r="BG723" i="17" l="1"/>
  <c r="BI723" i="17"/>
  <c r="BK723" i="17"/>
  <c r="BJ723" i="17"/>
  <c r="BL723" i="17" l="1"/>
  <c r="BM723" i="17" s="1"/>
  <c r="BO723" i="17"/>
  <c r="BP723" i="17" s="1"/>
  <c r="BC724" i="17"/>
  <c r="BH724" i="17" s="1"/>
  <c r="BD724" i="17" l="1"/>
  <c r="BJ724" i="17" s="1"/>
  <c r="BN723" i="17"/>
  <c r="AF700" i="15" s="1"/>
  <c r="AL729" i="15"/>
  <c r="BE724" i="17" l="1"/>
  <c r="BF724" i="17" s="1"/>
  <c r="BI724" i="17" s="1"/>
  <c r="BQ723" i="17"/>
  <c r="BK724" i="17"/>
  <c r="BL724" i="17" s="1"/>
  <c r="BM724" i="17" s="1"/>
  <c r="BG724" i="17" l="1"/>
  <c r="BC725" i="17" s="1"/>
  <c r="BO724" i="17"/>
  <c r="BP724" i="17" s="1"/>
  <c r="BN724" i="17"/>
  <c r="AF420" i="15" s="1"/>
  <c r="BD725" i="17" l="1"/>
  <c r="BE725" i="17" s="1"/>
  <c r="BF725" i="17" s="1"/>
  <c r="BH725" i="17"/>
  <c r="AL31" i="15"/>
  <c r="BQ724" i="17"/>
  <c r="BG725" i="17" l="1"/>
  <c r="BI725" i="17"/>
  <c r="BK725" i="17"/>
  <c r="BL725" i="17" s="1"/>
  <c r="BM725" i="17" s="1"/>
  <c r="BJ725" i="17"/>
  <c r="BO725" i="17" l="1"/>
  <c r="BP725" i="17" s="1"/>
  <c r="BN725" i="17"/>
  <c r="AF467" i="15" s="1"/>
  <c r="BC726" i="17"/>
  <c r="BD726" i="17" l="1"/>
  <c r="BH726" i="17"/>
  <c r="AL730" i="15"/>
  <c r="BQ725" i="17"/>
  <c r="BK726" i="17" l="1"/>
  <c r="BL726" i="17" s="1"/>
  <c r="BM726" i="17" s="1"/>
  <c r="BJ726" i="17"/>
  <c r="BE726" i="17"/>
  <c r="BF726" i="17" s="1"/>
  <c r="BG726" i="17" l="1"/>
  <c r="BI726" i="17"/>
  <c r="BO726" i="17" l="1"/>
  <c r="BP726" i="17" s="1"/>
  <c r="BN726" i="17"/>
  <c r="AF518" i="15" s="1"/>
  <c r="BC727" i="17"/>
  <c r="BH727" i="17" s="1"/>
  <c r="BD727" i="17" l="1"/>
  <c r="BJ727" i="17" s="1"/>
  <c r="AL731" i="15"/>
  <c r="BQ726" i="17"/>
  <c r="BK727" i="17" l="1"/>
  <c r="BL727" i="17" s="1"/>
  <c r="BM727" i="17" s="1"/>
  <c r="BE727" i="17"/>
  <c r="BF727" i="17" s="1"/>
  <c r="BG727" i="17" s="1"/>
  <c r="BI727" i="17" l="1"/>
  <c r="BO727" i="17" s="1"/>
  <c r="BP727" i="17" s="1"/>
  <c r="BC728" i="17"/>
  <c r="BN727" i="17" l="1"/>
  <c r="AF357" i="15" s="1"/>
  <c r="BD728" i="17"/>
  <c r="BE728" i="17" s="1"/>
  <c r="BF728" i="17" s="1"/>
  <c r="BH728" i="17"/>
  <c r="AL37" i="15"/>
  <c r="BQ727" i="17" l="1"/>
  <c r="BG728" i="17"/>
  <c r="BI728" i="17"/>
  <c r="BK728" i="17"/>
  <c r="BL728" i="17" s="1"/>
  <c r="BM728" i="17" s="1"/>
  <c r="BJ728" i="17"/>
  <c r="BO728" i="17" l="1"/>
  <c r="BP728" i="17" s="1"/>
  <c r="BN728" i="17"/>
  <c r="AF376" i="15" s="1"/>
  <c r="BC729" i="17"/>
  <c r="BH729" i="17" s="1"/>
  <c r="BD729" i="17" l="1"/>
  <c r="BK729" i="17" s="1"/>
  <c r="BL729" i="17" s="1"/>
  <c r="BM729" i="17" s="1"/>
  <c r="AL732" i="15"/>
  <c r="BQ728" i="17"/>
  <c r="BE729" i="17" l="1"/>
  <c r="BF729" i="17" s="1"/>
  <c r="BG729" i="17" s="1"/>
  <c r="BJ729" i="17"/>
  <c r="BI729" i="17" l="1"/>
  <c r="BO729" i="17" s="1"/>
  <c r="BP729" i="17" s="1"/>
  <c r="AL733" i="15" s="1"/>
  <c r="BC730" i="17"/>
  <c r="BN729" i="17" l="1"/>
  <c r="BQ729" i="17" s="1"/>
  <c r="BD730" i="17"/>
  <c r="BH730" i="17"/>
  <c r="AF408" i="15" l="1"/>
  <c r="BK730" i="17"/>
  <c r="BL730" i="17" s="1"/>
  <c r="BM730" i="17" s="1"/>
  <c r="BJ730" i="17"/>
  <c r="BE730" i="17"/>
  <c r="BF730" i="17" s="1"/>
  <c r="BG730" i="17" l="1"/>
  <c r="BI730" i="17"/>
  <c r="BC731" i="17" l="1"/>
  <c r="BH731" i="17" s="1"/>
  <c r="BO730" i="17"/>
  <c r="BP730" i="17" s="1"/>
  <c r="BN730" i="17"/>
  <c r="AF205" i="15" s="1"/>
  <c r="AL13" i="15" l="1"/>
  <c r="BQ730" i="17"/>
  <c r="BD731" i="17"/>
  <c r="BE731" i="17" s="1"/>
  <c r="BF731" i="17" s="1"/>
  <c r="BG731" i="17" l="1"/>
  <c r="BI731" i="17"/>
  <c r="BK731" i="17"/>
  <c r="BL731" i="17" s="1"/>
  <c r="BM731" i="17" s="1"/>
  <c r="BJ731" i="17"/>
  <c r="BO731" i="17" l="1"/>
  <c r="BP731" i="17" s="1"/>
  <c r="BN731" i="17"/>
  <c r="AF206" i="15" s="1"/>
  <c r="BC732" i="17"/>
  <c r="BD732" i="17" l="1"/>
  <c r="BH732" i="17"/>
  <c r="AL117" i="15"/>
  <c r="BQ731" i="17"/>
  <c r="BK732" i="17" l="1"/>
  <c r="BL732" i="17" s="1"/>
  <c r="BM732" i="17" s="1"/>
  <c r="BJ732" i="17"/>
  <c r="BE732" i="17"/>
  <c r="BF732" i="17" s="1"/>
  <c r="BG732" i="17" l="1"/>
  <c r="BI732" i="17"/>
  <c r="BO732" i="17" l="1"/>
  <c r="BP732" i="17" s="1"/>
  <c r="BN732" i="17"/>
  <c r="AF207" i="15" s="1"/>
  <c r="BC733" i="17"/>
  <c r="BD733" i="17" s="1"/>
  <c r="BE733" i="17" l="1"/>
  <c r="BF733" i="17" s="1"/>
  <c r="BK733" i="17"/>
  <c r="BJ733" i="17"/>
  <c r="BH733" i="17"/>
  <c r="AL734" i="15"/>
  <c r="BQ732" i="17"/>
  <c r="BG733" i="17" l="1"/>
  <c r="BI733" i="17"/>
  <c r="BL733" i="17"/>
  <c r="BM733" i="17" s="1"/>
  <c r="BO733" i="17" l="1"/>
  <c r="BP733" i="17" s="1"/>
  <c r="BN733" i="17"/>
  <c r="AF208" i="15" s="1"/>
  <c r="BC734" i="17"/>
  <c r="BD734" i="17" l="1"/>
  <c r="BH734" i="17"/>
  <c r="AL87" i="15"/>
  <c r="BQ733" i="17"/>
  <c r="BJ734" i="17" l="1"/>
  <c r="BK734" i="17"/>
  <c r="BL734" i="17" s="1"/>
  <c r="BM734" i="17" s="1"/>
  <c r="BE734" i="17"/>
  <c r="BF734" i="17" s="1"/>
  <c r="BG734" i="17" l="1"/>
  <c r="BI734" i="17"/>
  <c r="BO734" i="17" l="1"/>
  <c r="BP734" i="17" s="1"/>
  <c r="BN734" i="17"/>
  <c r="AF209" i="15" s="1"/>
  <c r="BC735" i="17"/>
  <c r="BD735" i="17" s="1"/>
  <c r="BK735" i="17" l="1"/>
  <c r="BL735" i="17" s="1"/>
  <c r="BM735" i="17" s="1"/>
  <c r="BJ735" i="17"/>
  <c r="BH735" i="17"/>
  <c r="BE735" i="17"/>
  <c r="BF735" i="17" s="1"/>
  <c r="AL115" i="15"/>
  <c r="BQ734" i="17"/>
  <c r="BG735" i="17" l="1"/>
  <c r="BI735" i="17"/>
  <c r="BO735" i="17" l="1"/>
  <c r="BP735" i="17" s="1"/>
  <c r="BN735" i="17"/>
  <c r="AF210" i="15" s="1"/>
  <c r="BC736" i="17"/>
  <c r="AL111" i="15" l="1"/>
  <c r="BQ735" i="17"/>
  <c r="BD736" i="17"/>
  <c r="BH736" i="17"/>
  <c r="M7" i="8" s="1"/>
  <c r="M46" i="8" l="1"/>
  <c r="M35" i="8"/>
  <c r="BK736" i="17"/>
  <c r="BL736" i="17" s="1"/>
  <c r="BM736" i="17" s="1"/>
  <c r="M11" i="8" s="1"/>
  <c r="BJ736" i="17"/>
  <c r="M9" i="8" s="1"/>
  <c r="M48" i="8" s="1"/>
  <c r="T48" i="8" s="1"/>
  <c r="BE736" i="17"/>
  <c r="BF736" i="17" s="1"/>
  <c r="M50" i="8" l="1"/>
  <c r="T50" i="8" s="1"/>
  <c r="M34" i="8"/>
  <c r="BG736" i="17"/>
  <c r="BI736" i="17"/>
  <c r="BO736" i="17" l="1"/>
  <c r="BP736" i="17" s="1"/>
  <c r="BN736" i="17"/>
  <c r="M8" i="8"/>
  <c r="M47" i="8" s="1"/>
  <c r="T47" i="8" s="1"/>
  <c r="AL735" i="15" l="1"/>
  <c r="BQ736" i="17"/>
  <c r="M13" i="8" s="1"/>
  <c r="M52" i="8" s="1"/>
  <c r="T52" i="8" s="1"/>
  <c r="M24" i="8"/>
  <c r="M63" i="8" s="1"/>
  <c r="T63" i="8" s="1"/>
  <c r="M22" i="8"/>
  <c r="M61" i="8" s="1"/>
  <c r="T61" i="8" s="1"/>
  <c r="M25" i="8"/>
  <c r="M64" i="8" s="1"/>
  <c r="T64" i="8" s="1"/>
  <c r="M12" i="8"/>
  <c r="M51" i="8" s="1"/>
  <c r="T51" i="8" s="1"/>
  <c r="M26" i="8"/>
  <c r="M65" i="8" s="1"/>
  <c r="T65" i="8" s="1"/>
  <c r="M27" i="8"/>
  <c r="M66" i="8" s="1"/>
  <c r="T66" i="8" s="1"/>
  <c r="AF212" i="15"/>
  <c r="M18" i="8"/>
  <c r="M21" i="8"/>
  <c r="M60" i="8" s="1"/>
  <c r="T60" i="8" s="1"/>
  <c r="M16" i="8"/>
  <c r="M55" i="8" s="1"/>
  <c r="T55" i="8" s="1"/>
  <c r="M19" i="8"/>
  <c r="M58" i="8" s="1"/>
  <c r="T58" i="8" s="1"/>
  <c r="M10" i="8"/>
  <c r="M20" i="8"/>
  <c r="M59" i="8" s="1"/>
  <c r="T59" i="8" s="1"/>
  <c r="M49" i="8" l="1"/>
  <c r="T49" i="8" s="1"/>
  <c r="M32" i="8"/>
  <c r="M33" i="8"/>
  <c r="M57" i="8"/>
  <c r="T57" i="8" s="1"/>
  <c r="M40" i="8"/>
  <c r="M17" i="8"/>
  <c r="M56" i="8" s="1"/>
  <c r="T56" i="8" s="1"/>
  <c r="M23" i="8"/>
  <c r="M62" i="8" s="1"/>
  <c r="T62" i="8" s="1"/>
</calcChain>
</file>

<file path=xl/sharedStrings.xml><?xml version="1.0" encoding="utf-8"?>
<sst xmlns="http://schemas.openxmlformats.org/spreadsheetml/2006/main" count="769" uniqueCount="520">
  <si>
    <t>a</t>
  </si>
  <si>
    <t>b</t>
  </si>
  <si>
    <t>S</t>
  </si>
  <si>
    <t>CN</t>
  </si>
  <si>
    <t>d</t>
  </si>
  <si>
    <t>Sum R</t>
  </si>
  <si>
    <t>Ratio</t>
  </si>
  <si>
    <t>Arena</t>
  </si>
  <si>
    <t>Arena arcillosa</t>
  </si>
  <si>
    <t>Franco arenoso</t>
  </si>
  <si>
    <t>Franco arcilloso arenoso</t>
  </si>
  <si>
    <t>Marga</t>
  </si>
  <si>
    <t>Limo</t>
  </si>
  <si>
    <t>Franco arcilloso</t>
  </si>
  <si>
    <t>Arcilla limosa</t>
  </si>
  <si>
    <t>Arcilla</t>
  </si>
  <si>
    <t>Arcilla arenosa</t>
  </si>
  <si>
    <t>Franco limosa</t>
  </si>
  <si>
    <t>Franco arcillo limoso</t>
  </si>
  <si>
    <t>Valores para diferentes texturas de suelo</t>
  </si>
  <si>
    <t>Textura del suelo</t>
  </si>
  <si>
    <t>Valores para diferentes usos/condiciones de cobertura de suelo</t>
  </si>
  <si>
    <t>Vegetación</t>
  </si>
  <si>
    <t>Condición de la vegetación</t>
  </si>
  <si>
    <t>Suelo tipo B</t>
  </si>
  <si>
    <t>Suelo tipo C</t>
  </si>
  <si>
    <t>Entradas</t>
  </si>
  <si>
    <t>Línea base</t>
  </si>
  <si>
    <t>Escenario 1</t>
  </si>
  <si>
    <t>Escenario 2</t>
  </si>
  <si>
    <t>Coeficientes del modelo</t>
  </si>
  <si>
    <t>Profundidad del suelo (mm)</t>
  </si>
  <si>
    <t>Rango</t>
  </si>
  <si>
    <t>Día</t>
  </si>
  <si>
    <t>Erosión</t>
  </si>
  <si>
    <t>Escenario</t>
  </si>
  <si>
    <t>Pradera</t>
  </si>
  <si>
    <t>Matorral</t>
  </si>
  <si>
    <t>Pastizales arbolados</t>
  </si>
  <si>
    <t>Bosque</t>
  </si>
  <si>
    <t>Instrucciones:</t>
  </si>
  <si>
    <t>Ajuste del factor K</t>
  </si>
  <si>
    <t>NSE</t>
  </si>
  <si>
    <t>RSR</t>
  </si>
  <si>
    <t>KGE</t>
  </si>
  <si>
    <t>OF</t>
  </si>
  <si>
    <t>Indicador</t>
  </si>
  <si>
    <t>Escenarios</t>
  </si>
  <si>
    <t>Aceptabilidad</t>
  </si>
  <si>
    <t>Umbral</t>
  </si>
  <si>
    <t>Precipitación observada (mm)</t>
  </si>
  <si>
    <t>Caudal total simulado (mm)</t>
  </si>
  <si>
    <t>Caudal base simulado (mm)</t>
  </si>
  <si>
    <t>Escorrentía simulada (mm)</t>
  </si>
  <si>
    <t>Percolación simulada (mm)</t>
  </si>
  <si>
    <t>Evapotranspiración real simulada (mm)</t>
  </si>
  <si>
    <t>Beneficios calculados con respecto a línea base</t>
  </si>
  <si>
    <t>Latitud (grados)</t>
  </si>
  <si>
    <t>Constantes</t>
  </si>
  <si>
    <t>Resultados hidrológicos</t>
  </si>
  <si>
    <t>Resultados económicos</t>
  </si>
  <si>
    <t>0.1 – 0.8</t>
  </si>
  <si>
    <t>1 – 10</t>
  </si>
  <si>
    <t>75 – 1000</t>
  </si>
  <si>
    <t>0 – 1</t>
  </si>
  <si>
    <t>0.1 – 0.5</t>
  </si>
  <si>
    <t>Evapotranspiración</t>
  </si>
  <si>
    <t>Variables meteorológicas ET</t>
  </si>
  <si>
    <t>Variables posición ET</t>
  </si>
  <si>
    <t>1 – 50</t>
  </si>
  <si>
    <t>20 – 100</t>
  </si>
  <si>
    <t>(-) Sur</t>
  </si>
  <si>
    <t>Altitud (m snm)</t>
  </si>
  <si>
    <t>Características del sitio</t>
  </si>
  <si>
    <t>Características del suelo</t>
  </si>
  <si>
    <t>Referencia</t>
  </si>
  <si>
    <t>(+) Norte</t>
  </si>
  <si>
    <t>Caudal subsuperficial</t>
  </si>
  <si>
    <t>Pobre</t>
  </si>
  <si>
    <t>Buena</t>
  </si>
  <si>
    <t>Regular</t>
  </si>
  <si>
    <t>Amuna 1</t>
  </si>
  <si>
    <t>Amuna 2</t>
  </si>
  <si>
    <t>Mampostería de piedra bruta</t>
  </si>
  <si>
    <t>n</t>
  </si>
  <si>
    <t>Mampostería de piedras rectangulares</t>
  </si>
  <si>
    <t>Mampostería de ladrillos, sin revestido</t>
  </si>
  <si>
    <t>Mampostería de ladrillo, revestida</t>
  </si>
  <si>
    <t>Canales de concreto, con revestimiento liso</t>
  </si>
  <si>
    <t>Canales con revestimiento muy liso</t>
  </si>
  <si>
    <t>Canales de tierra en buenas condiciones</t>
  </si>
  <si>
    <t>Canales de tierra con plantas acuáticas</t>
  </si>
  <si>
    <t>Canales irregulares y muy mal conservados</t>
  </si>
  <si>
    <t>Conductos de madera cepillada</t>
  </si>
  <si>
    <t>Barro (vitrificado)</t>
  </si>
  <si>
    <t>Características de las amunas</t>
  </si>
  <si>
    <t>Periodo de calentamiento (días)</t>
  </si>
  <si>
    <t>Indicadores de desempeño</t>
  </si>
  <si>
    <t>*El tiempo de residencia medio (días) del agua infiltrada por la amuna puede considerarse similar al del caudal base o al del interflujo.</t>
  </si>
  <si>
    <t>Costos de vegetación (USD/ha)</t>
  </si>
  <si>
    <t>Total de área considerada (ha)</t>
  </si>
  <si>
    <t>Parámetros combinados de los escenarios</t>
  </si>
  <si>
    <t>Costos de implementación de las amunas</t>
  </si>
  <si>
    <t>Costos de cambio de cobertura</t>
  </si>
  <si>
    <t>Costos de escenario por cambio de cobertura (USD)</t>
  </si>
  <si>
    <t>LB</t>
  </si>
  <si>
    <t>Costo total de implementación (USD)</t>
  </si>
  <si>
    <t>Costos de excavación de los canales (USD)</t>
  </si>
  <si>
    <t>Costos de impermeabilización de los canales (USD)</t>
  </si>
  <si>
    <t>Costos de remoción de vegetación en los canales (USD)</t>
  </si>
  <si>
    <t>Los cuadros naranja pueden ser editados para ingresar variables de entradas, parámetros y configurar el modelo.</t>
  </si>
  <si>
    <r>
      <t xml:space="preserve">Número de curva </t>
    </r>
    <r>
      <rPr>
        <i/>
        <sz val="11"/>
        <color theme="1"/>
        <rFont val="Gill Sans"/>
        <family val="2"/>
      </rPr>
      <t>CN</t>
    </r>
    <r>
      <rPr>
        <sz val="11"/>
        <color theme="1"/>
        <rFont val="Gill Sans"/>
        <family val="2"/>
      </rPr>
      <t xml:space="preserve"> (sin unidades)</t>
    </r>
  </si>
  <si>
    <r>
      <t xml:space="preserve">Factor </t>
    </r>
    <r>
      <rPr>
        <i/>
        <sz val="11"/>
        <color theme="1"/>
        <rFont val="Gill Sans"/>
        <family val="2"/>
      </rPr>
      <t>C</t>
    </r>
    <r>
      <rPr>
        <sz val="11"/>
        <color theme="1"/>
        <rFont val="Gill Sans"/>
        <family val="2"/>
      </rPr>
      <t xml:space="preserve"> de USLE (adimensional)</t>
    </r>
  </si>
  <si>
    <r>
      <t xml:space="preserve">Albedo </t>
    </r>
    <r>
      <rPr>
        <i/>
        <sz val="11"/>
        <color theme="1"/>
        <rFont val="Gill Sans"/>
        <family val="2"/>
      </rPr>
      <t>⍺</t>
    </r>
    <r>
      <rPr>
        <sz val="11"/>
        <color theme="1"/>
        <rFont val="Gill Sans"/>
        <family val="2"/>
      </rPr>
      <t xml:space="preserve"> (fracción)</t>
    </r>
  </si>
  <si>
    <r>
      <t xml:space="preserve">Pendiente </t>
    </r>
    <r>
      <rPr>
        <i/>
        <sz val="11"/>
        <color theme="1"/>
        <rFont val="Gill Sans"/>
        <family val="2"/>
      </rPr>
      <t>s</t>
    </r>
    <r>
      <rPr>
        <sz val="11"/>
        <color theme="1"/>
        <rFont val="Gill Sans"/>
        <family val="2"/>
      </rPr>
      <t xml:space="preserve"> (m/m)</t>
    </r>
  </si>
  <si>
    <r>
      <t xml:space="preserve">Capacidad de campo </t>
    </r>
    <r>
      <rPr>
        <i/>
        <sz val="11"/>
        <color theme="1"/>
        <rFont val="Gill Sans"/>
        <family val="2"/>
      </rPr>
      <t>fc</t>
    </r>
    <r>
      <rPr>
        <sz val="11"/>
        <color theme="1"/>
        <rFont val="Gill Sans"/>
        <family val="2"/>
      </rPr>
      <t xml:space="preserve"> (mm/mm)</t>
    </r>
  </si>
  <si>
    <r>
      <t xml:space="preserve">Punto de marchitez </t>
    </r>
    <r>
      <rPr>
        <i/>
        <sz val="11"/>
        <color theme="1"/>
        <rFont val="Gill Sans"/>
        <family val="2"/>
      </rPr>
      <t>wp</t>
    </r>
    <r>
      <rPr>
        <sz val="11"/>
        <color theme="1"/>
        <rFont val="Gill Sans"/>
        <family val="2"/>
      </rPr>
      <t xml:space="preserve"> (mm/mm)</t>
    </r>
  </si>
  <si>
    <r>
      <t xml:space="preserve">Factor </t>
    </r>
    <r>
      <rPr>
        <i/>
        <sz val="11"/>
        <color theme="1"/>
        <rFont val="Gill Sans"/>
        <family val="2"/>
      </rPr>
      <t>K</t>
    </r>
    <r>
      <rPr>
        <sz val="11"/>
        <color theme="1"/>
        <rFont val="Gill Sans"/>
        <family val="2"/>
      </rPr>
      <t xml:space="preserve"> de USLE (adimensional)</t>
    </r>
  </si>
  <si>
    <r>
      <t xml:space="preserve">Coeficiente de nubosidad </t>
    </r>
    <r>
      <rPr>
        <i/>
        <sz val="11"/>
        <color theme="1"/>
        <rFont val="Gill Sans"/>
        <family val="2"/>
      </rPr>
      <t>c</t>
    </r>
  </si>
  <si>
    <r>
      <t xml:space="preserve">Ajuste factor USLE </t>
    </r>
    <r>
      <rPr>
        <i/>
        <sz val="11"/>
        <color theme="1"/>
        <rFont val="Gill Sans"/>
        <family val="2"/>
      </rPr>
      <t>K</t>
    </r>
  </si>
  <si>
    <r>
      <rPr>
        <i/>
        <sz val="11"/>
        <color theme="1"/>
        <rFont val="Gill Sans"/>
        <family val="2"/>
      </rPr>
      <t>RMSE</t>
    </r>
    <r>
      <rPr>
        <sz val="11"/>
        <color theme="1"/>
        <rFont val="Gill Sans"/>
        <family val="2"/>
      </rPr>
      <t xml:space="preserve"> (mm)</t>
    </r>
  </si>
  <si>
    <t>PBIAS (%)</t>
  </si>
  <si>
    <r>
      <t xml:space="preserve">Ancho superior del canal de amuna </t>
    </r>
    <r>
      <rPr>
        <i/>
        <sz val="11"/>
        <color theme="1"/>
        <rFont val="Gill Sans"/>
        <family val="2"/>
      </rPr>
      <t>T</t>
    </r>
    <r>
      <rPr>
        <sz val="11"/>
        <color theme="1"/>
        <rFont val="Gill Sans"/>
        <family val="2"/>
      </rPr>
      <t xml:space="preserve"> (cm)</t>
    </r>
  </si>
  <si>
    <r>
      <t xml:space="preserve">Ancho del fondo del canal de amuna </t>
    </r>
    <r>
      <rPr>
        <i/>
        <sz val="11"/>
        <color theme="1"/>
        <rFont val="Gill Sans"/>
        <family val="2"/>
      </rPr>
      <t>b</t>
    </r>
    <r>
      <rPr>
        <sz val="11"/>
        <color theme="1"/>
        <rFont val="Gill Sans"/>
        <family val="2"/>
      </rPr>
      <t xml:space="preserve"> (cm)</t>
    </r>
  </si>
  <si>
    <r>
      <t xml:space="preserve">Altura del canal de amuna </t>
    </r>
    <r>
      <rPr>
        <i/>
        <sz val="11"/>
        <color theme="1"/>
        <rFont val="Gill Sans"/>
        <family val="2"/>
      </rPr>
      <t>y</t>
    </r>
    <r>
      <rPr>
        <sz val="11"/>
        <color theme="1"/>
        <rFont val="Gill Sans"/>
        <family val="2"/>
      </rPr>
      <t xml:space="preserve"> (cm)</t>
    </r>
  </si>
  <si>
    <r>
      <t xml:space="preserve">Inclinación de las paredes del canal de amuna </t>
    </r>
    <r>
      <rPr>
        <i/>
        <sz val="11"/>
        <color theme="1"/>
        <rFont val="Gill Sans"/>
        <family val="2"/>
      </rPr>
      <t>z</t>
    </r>
  </si>
  <si>
    <r>
      <t xml:space="preserve">Radio hidráulico </t>
    </r>
    <r>
      <rPr>
        <i/>
        <sz val="11"/>
        <color theme="1"/>
        <rFont val="Gill Sans"/>
        <family val="2"/>
      </rPr>
      <t>R</t>
    </r>
    <r>
      <rPr>
        <i/>
        <vertAlign val="subscript"/>
        <sz val="11"/>
        <color theme="1"/>
        <rFont val="Gill Sans"/>
        <family val="2"/>
      </rPr>
      <t>h</t>
    </r>
    <r>
      <rPr>
        <sz val="11"/>
        <color theme="1"/>
        <rFont val="Gill Sans"/>
        <family val="2"/>
      </rPr>
      <t xml:space="preserve"> (m)</t>
    </r>
  </si>
  <si>
    <r>
      <rPr>
        <i/>
        <sz val="11"/>
        <color theme="1"/>
        <rFont val="Gill Sans"/>
        <family val="2"/>
      </rPr>
      <t>LAI</t>
    </r>
    <r>
      <rPr>
        <sz val="11"/>
        <color theme="1"/>
        <rFont val="Gill Sans"/>
        <family val="2"/>
      </rPr>
      <t xml:space="preserve"> (m2/m2)</t>
    </r>
  </si>
  <si>
    <t>⍺ (fracción)</t>
  </si>
  <si>
    <r>
      <t xml:space="preserve">Factor </t>
    </r>
    <r>
      <rPr>
        <i/>
        <sz val="11"/>
        <color theme="1"/>
        <rFont val="Gill Sans"/>
        <family val="2"/>
      </rPr>
      <t>C</t>
    </r>
    <r>
      <rPr>
        <sz val="11"/>
        <color theme="1"/>
        <rFont val="Gill Sans"/>
        <family val="2"/>
      </rPr>
      <t xml:space="preserve"> de USLE</t>
    </r>
  </si>
  <si>
    <r>
      <rPr>
        <i/>
        <sz val="11"/>
        <color theme="1"/>
        <rFont val="Gill Sans"/>
        <family val="2"/>
      </rPr>
      <t>fc</t>
    </r>
    <r>
      <rPr>
        <sz val="11"/>
        <color theme="1"/>
        <rFont val="Gill Sans"/>
        <family val="2"/>
      </rPr>
      <t xml:space="preserve"> (mm/mm)</t>
    </r>
  </si>
  <si>
    <r>
      <rPr>
        <i/>
        <sz val="11"/>
        <color theme="1"/>
        <rFont val="Gill Sans"/>
        <family val="2"/>
      </rPr>
      <t>wp</t>
    </r>
    <r>
      <rPr>
        <sz val="11"/>
        <color theme="1"/>
        <rFont val="Gill Sans"/>
        <family val="2"/>
      </rPr>
      <t xml:space="preserve"> (mm/mm)</t>
    </r>
  </si>
  <si>
    <r>
      <t xml:space="preserve">Factor </t>
    </r>
    <r>
      <rPr>
        <i/>
        <sz val="11"/>
        <color theme="1"/>
        <rFont val="Gill Sans"/>
        <family val="2"/>
      </rPr>
      <t>K</t>
    </r>
    <r>
      <rPr>
        <sz val="11"/>
        <color theme="1"/>
        <rFont val="Gill Sans"/>
        <family val="2"/>
      </rPr>
      <t xml:space="preserve"> de USLE</t>
    </r>
  </si>
  <si>
    <r>
      <t xml:space="preserve">Velocidad del agua máximo en el canal de amuna </t>
    </r>
    <r>
      <rPr>
        <i/>
        <sz val="11"/>
        <color theme="1"/>
        <rFont val="Gill Sans"/>
        <family val="2"/>
      </rPr>
      <t>v</t>
    </r>
    <r>
      <rPr>
        <i/>
        <vertAlign val="subscript"/>
        <sz val="11"/>
        <color theme="1"/>
        <rFont val="Gill Sans"/>
        <family val="2"/>
      </rPr>
      <t>max</t>
    </r>
    <r>
      <rPr>
        <sz val="11"/>
        <color theme="1"/>
        <rFont val="Gill Sans"/>
        <family val="2"/>
      </rPr>
      <t xml:space="preserve"> (m/s)</t>
    </r>
  </si>
  <si>
    <t>Salidas de variables hidrológicas</t>
  </si>
  <si>
    <t>Generación de sedimentos simulada (ton)</t>
  </si>
  <si>
    <r>
      <t>Concentración de sedimentos simulada (g/m</t>
    </r>
    <r>
      <rPr>
        <vertAlign val="superscript"/>
        <sz val="11"/>
        <color theme="1"/>
        <rFont val="Gill Sans"/>
        <family val="2"/>
      </rPr>
      <t>3</t>
    </r>
    <r>
      <rPr>
        <sz val="11"/>
        <color theme="1"/>
        <rFont val="Gill Sans"/>
        <family val="2"/>
      </rPr>
      <t>)</t>
    </r>
  </si>
  <si>
    <t>Costo-eficiencia de los escenarios</t>
  </si>
  <si>
    <r>
      <t xml:space="preserve">Temperatura máxima - </t>
    </r>
    <r>
      <rPr>
        <b/>
        <i/>
        <sz val="11"/>
        <color theme="0"/>
        <rFont val="Gill Sans"/>
        <family val="2"/>
      </rPr>
      <t>T</t>
    </r>
    <r>
      <rPr>
        <b/>
        <i/>
        <vertAlign val="subscript"/>
        <sz val="11"/>
        <color theme="0"/>
        <rFont val="Gill Sans"/>
        <family val="2"/>
      </rPr>
      <t>max</t>
    </r>
    <r>
      <rPr>
        <b/>
        <sz val="11"/>
        <color theme="0"/>
        <rFont val="Gill Sans"/>
        <family val="2"/>
      </rPr>
      <t xml:space="preserve"> (ºC)</t>
    </r>
  </si>
  <si>
    <r>
      <t xml:space="preserve">Temperatura mínima - </t>
    </r>
    <r>
      <rPr>
        <b/>
        <i/>
        <sz val="11"/>
        <color theme="0"/>
        <rFont val="Gill Sans"/>
        <family val="2"/>
      </rPr>
      <t>T</t>
    </r>
    <r>
      <rPr>
        <b/>
        <i/>
        <vertAlign val="subscript"/>
        <sz val="11"/>
        <color theme="0"/>
        <rFont val="Gill Sans"/>
        <family val="2"/>
      </rPr>
      <t>min</t>
    </r>
    <r>
      <rPr>
        <b/>
        <sz val="11"/>
        <color theme="0"/>
        <rFont val="Gill Sans"/>
        <family val="2"/>
      </rPr>
      <t xml:space="preserve"> (ºC)</t>
    </r>
  </si>
  <si>
    <r>
      <t xml:space="preserve">Precipitación - </t>
    </r>
    <r>
      <rPr>
        <b/>
        <i/>
        <sz val="11"/>
        <color theme="0"/>
        <rFont val="Gill Sans"/>
        <family val="2"/>
      </rPr>
      <t>P</t>
    </r>
    <r>
      <rPr>
        <b/>
        <sz val="11"/>
        <color theme="0"/>
        <rFont val="Gill Sans"/>
        <family val="2"/>
      </rPr>
      <t xml:space="preserve"> (mm)</t>
    </r>
  </si>
  <si>
    <r>
      <t xml:space="preserve">Evapotranspiración - </t>
    </r>
    <r>
      <rPr>
        <b/>
        <i/>
        <sz val="11"/>
        <color theme="0"/>
        <rFont val="Gill Sans"/>
        <family val="2"/>
      </rPr>
      <t>ET</t>
    </r>
    <r>
      <rPr>
        <b/>
        <sz val="11"/>
        <color theme="0"/>
        <rFont val="Gill Sans"/>
        <family val="2"/>
      </rPr>
      <t xml:space="preserve"> (mm)</t>
    </r>
  </si>
  <si>
    <r>
      <t xml:space="preserve">Caudal observado - </t>
    </r>
    <r>
      <rPr>
        <b/>
        <i/>
        <sz val="11"/>
        <color theme="0"/>
        <rFont val="Gill Sans"/>
        <family val="2"/>
      </rPr>
      <t>Q</t>
    </r>
    <r>
      <rPr>
        <b/>
        <i/>
        <vertAlign val="subscript"/>
        <sz val="11"/>
        <color theme="0"/>
        <rFont val="Gill Sans"/>
        <family val="2"/>
      </rPr>
      <t>obs</t>
    </r>
    <r>
      <rPr>
        <b/>
        <sz val="11"/>
        <color theme="0"/>
        <rFont val="Gill Sans"/>
        <family val="2"/>
      </rPr>
      <t xml:space="preserve"> (mm)</t>
    </r>
  </si>
  <si>
    <r>
      <t xml:space="preserve">Temperatura promedio - </t>
    </r>
    <r>
      <rPr>
        <b/>
        <i/>
        <sz val="11"/>
        <color theme="0"/>
        <rFont val="Gill Sans"/>
        <family val="2"/>
      </rPr>
      <t>T</t>
    </r>
    <r>
      <rPr>
        <b/>
        <sz val="11"/>
        <color theme="0"/>
        <rFont val="Gill Sans"/>
        <family val="2"/>
      </rPr>
      <t xml:space="preserve"> (°C)</t>
    </r>
  </si>
  <si>
    <r>
      <t xml:space="preserve">Presión de vapor de saturación - </t>
    </r>
    <r>
      <rPr>
        <b/>
        <i/>
        <sz val="11"/>
        <color theme="0"/>
        <rFont val="Gill Sans"/>
        <family val="2"/>
      </rPr>
      <t>e</t>
    </r>
    <r>
      <rPr>
        <b/>
        <i/>
        <vertAlign val="subscript"/>
        <sz val="11"/>
        <color theme="0"/>
        <rFont val="Gill Sans"/>
        <family val="2"/>
      </rPr>
      <t>0</t>
    </r>
    <r>
      <rPr>
        <b/>
        <sz val="11"/>
        <color theme="0"/>
        <rFont val="Gill Sans"/>
        <family val="2"/>
      </rPr>
      <t xml:space="preserve"> (kPa)</t>
    </r>
  </si>
  <si>
    <r>
      <t xml:space="preserve">Pendiente de la curva Temperatura - Presión de saturación - </t>
    </r>
    <r>
      <rPr>
        <b/>
        <i/>
        <sz val="11"/>
        <color theme="0"/>
        <rFont val="Gill Sans"/>
        <family val="2"/>
      </rPr>
      <t>Δ</t>
    </r>
    <r>
      <rPr>
        <b/>
        <sz val="11"/>
        <color theme="0"/>
        <rFont val="Gill Sans"/>
        <family val="2"/>
      </rPr>
      <t xml:space="preserve"> (kPa/°C)</t>
    </r>
  </si>
  <si>
    <r>
      <t xml:space="preserve">Calor latente de vaporización - </t>
    </r>
    <r>
      <rPr>
        <b/>
        <i/>
        <sz val="11"/>
        <color theme="0"/>
        <rFont val="Gill Sans"/>
        <family val="2"/>
      </rPr>
      <t>λ</t>
    </r>
    <r>
      <rPr>
        <b/>
        <sz val="11"/>
        <color theme="0"/>
        <rFont val="Gill Sans"/>
        <family val="2"/>
      </rPr>
      <t xml:space="preserve"> (MJ/kg)</t>
    </r>
  </si>
  <si>
    <r>
      <t xml:space="preserve">Constante psicrométrica - </t>
    </r>
    <r>
      <rPr>
        <b/>
        <i/>
        <sz val="11"/>
        <color theme="0"/>
        <rFont val="Gill Sans"/>
        <family val="2"/>
      </rPr>
      <t>γ</t>
    </r>
    <r>
      <rPr>
        <b/>
        <sz val="11"/>
        <color theme="0"/>
        <rFont val="Gill Sans"/>
        <family val="2"/>
      </rPr>
      <t xml:space="preserve"> (kPa/°C)</t>
    </r>
  </si>
  <si>
    <r>
      <t>(α</t>
    </r>
    <r>
      <rPr>
        <b/>
        <vertAlign val="subscript"/>
        <sz val="11"/>
        <color theme="0"/>
        <rFont val="Gill Sans"/>
        <family val="2"/>
      </rPr>
      <t>etp</t>
    </r>
    <r>
      <rPr>
        <b/>
        <sz val="11"/>
        <color theme="0"/>
        <rFont val="Gill Sans"/>
        <family val="2"/>
      </rPr>
      <t>·Δ)/(λ(Δ+γ))</t>
    </r>
  </si>
  <si>
    <r>
      <t xml:space="preserve">Declinación solar - </t>
    </r>
    <r>
      <rPr>
        <b/>
        <i/>
        <sz val="11"/>
        <color theme="0"/>
        <rFont val="Gill Sans"/>
        <family val="2"/>
      </rPr>
      <t>δ</t>
    </r>
  </si>
  <si>
    <r>
      <t xml:space="preserve">Radiación de onda corta - </t>
    </r>
    <r>
      <rPr>
        <b/>
        <i/>
        <sz val="11"/>
        <color theme="0"/>
        <rFont val="Gill Sans"/>
        <family val="2"/>
      </rPr>
      <t>H</t>
    </r>
    <r>
      <rPr>
        <b/>
        <i/>
        <vertAlign val="subscript"/>
        <sz val="11"/>
        <color theme="0"/>
        <rFont val="Gill Sans"/>
        <family val="2"/>
      </rPr>
      <t>sw</t>
    </r>
  </si>
  <si>
    <r>
      <t xml:space="preserve">Radiación de onda larga - </t>
    </r>
    <r>
      <rPr>
        <b/>
        <i/>
        <sz val="11"/>
        <color theme="0"/>
        <rFont val="Gill Sans"/>
        <family val="2"/>
      </rPr>
      <t>H</t>
    </r>
    <r>
      <rPr>
        <b/>
        <i/>
        <vertAlign val="subscript"/>
        <sz val="11"/>
        <color theme="0"/>
        <rFont val="Gill Sans"/>
        <family val="2"/>
      </rPr>
      <t>lw</t>
    </r>
  </si>
  <si>
    <t>Presión atmosférica (kPa)</t>
  </si>
  <si>
    <r>
      <t xml:space="preserve">Nubosidad </t>
    </r>
    <r>
      <rPr>
        <i/>
        <sz val="11"/>
        <color theme="1"/>
        <rFont val="Gill Sans"/>
        <family val="2"/>
      </rPr>
      <t>c</t>
    </r>
  </si>
  <si>
    <r>
      <t xml:space="preserve">Capacidad de campo </t>
    </r>
    <r>
      <rPr>
        <i/>
        <sz val="11"/>
        <color theme="1"/>
        <rFont val="Gill Sans"/>
        <family val="2"/>
      </rPr>
      <t>fc</t>
    </r>
    <r>
      <rPr>
        <sz val="11"/>
        <color theme="1"/>
        <rFont val="Gill Sans"/>
        <family val="2"/>
      </rPr>
      <t xml:space="preserve"> (mm)</t>
    </r>
  </si>
  <si>
    <r>
      <t xml:space="preserve">Punto de marchitez </t>
    </r>
    <r>
      <rPr>
        <i/>
        <sz val="11"/>
        <color theme="1"/>
        <rFont val="Gill Sans"/>
        <family val="2"/>
      </rPr>
      <t>wp</t>
    </r>
    <r>
      <rPr>
        <sz val="11"/>
        <color theme="1"/>
        <rFont val="Gill Sans"/>
        <family val="2"/>
      </rPr>
      <t xml:space="preserve"> (mm)</t>
    </r>
  </si>
  <si>
    <r>
      <t>Coeficiente r</t>
    </r>
    <r>
      <rPr>
        <sz val="11"/>
        <color theme="1"/>
        <rFont val="Gill Sans"/>
        <family val="2"/>
      </rPr>
      <t xml:space="preserve"> de </t>
    </r>
    <r>
      <rPr>
        <i/>
        <sz val="11"/>
        <color theme="1"/>
        <rFont val="Gill Sans"/>
        <family val="2"/>
      </rPr>
      <t>LAI</t>
    </r>
  </si>
  <si>
    <r>
      <t xml:space="preserve">Retención potencial </t>
    </r>
    <r>
      <rPr>
        <i/>
        <sz val="11"/>
        <color theme="1"/>
        <rFont val="Gill Sans"/>
        <family val="2"/>
      </rPr>
      <t>S</t>
    </r>
    <r>
      <rPr>
        <sz val="11"/>
        <color theme="1"/>
        <rFont val="Gill Sans"/>
        <family val="2"/>
      </rPr>
      <t xml:space="preserve"> (mm)</t>
    </r>
  </si>
  <si>
    <t>Albedo ⍺ (%)</t>
  </si>
  <si>
    <r>
      <t>⍺</t>
    </r>
    <r>
      <rPr>
        <vertAlign val="subscript"/>
        <sz val="11"/>
        <color theme="1"/>
        <rFont val="Gill Sans"/>
        <family val="2"/>
      </rPr>
      <t>i</t>
    </r>
    <r>
      <rPr>
        <sz val="11"/>
        <color theme="1"/>
        <rFont val="Gill Sans"/>
        <family val="2"/>
      </rPr>
      <t xml:space="preserve"> (interflujo) (1/día)</t>
    </r>
  </si>
  <si>
    <r>
      <t>⍺</t>
    </r>
    <r>
      <rPr>
        <vertAlign val="subscript"/>
        <sz val="11"/>
        <color theme="1"/>
        <rFont val="Gill Sans"/>
        <family val="2"/>
      </rPr>
      <t>b</t>
    </r>
    <r>
      <rPr>
        <sz val="11"/>
        <color theme="1"/>
        <rFont val="Gill Sans"/>
        <family val="2"/>
      </rPr>
      <t xml:space="preserve"> (caudal base) (1/día)</t>
    </r>
  </si>
  <si>
    <r>
      <rPr>
        <i/>
        <sz val="11"/>
        <color theme="1"/>
        <rFont val="Gill Sans"/>
        <family val="2"/>
      </rPr>
      <t>K</t>
    </r>
    <r>
      <rPr>
        <sz val="11"/>
        <color theme="1"/>
        <rFont val="Gill Sans"/>
        <family val="2"/>
      </rPr>
      <t xml:space="preserve"> (met)</t>
    </r>
  </si>
  <si>
    <t>θ</t>
  </si>
  <si>
    <t>L·S</t>
  </si>
  <si>
    <t>K·L·S·C</t>
  </si>
  <si>
    <r>
      <t xml:space="preserve">Caudal simulado – </t>
    </r>
    <r>
      <rPr>
        <b/>
        <i/>
        <sz val="11"/>
        <color theme="0"/>
        <rFont val="Gill Sans"/>
        <family val="2"/>
      </rPr>
      <t>Q</t>
    </r>
    <r>
      <rPr>
        <b/>
        <i/>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</si>
  <si>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Q</t>
    </r>
    <r>
      <rPr>
        <b/>
        <i/>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</si>
  <si>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μ</t>
    </r>
    <r>
      <rPr>
        <b/>
        <vertAlign val="subscript"/>
        <sz val="11"/>
        <color theme="0"/>
        <rFont val="Gill Sans"/>
        <family val="2"/>
      </rPr>
      <t>obs</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</si>
  <si>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Q</t>
    </r>
    <r>
      <rPr>
        <b/>
        <i/>
        <vertAlign val="subscript"/>
        <sz val="11"/>
        <color theme="0"/>
        <rFont val="Gill Sans"/>
        <family val="2"/>
      </rPr>
      <t>sim</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</si>
  <si>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obs </t>
    </r>
    <r>
      <rPr>
        <b/>
        <sz val="11"/>
        <color theme="0"/>
        <rFont val="Gill Sans"/>
        <family val="2"/>
      </rPr>
      <t>– μ</t>
    </r>
    <r>
      <rPr>
        <b/>
        <i/>
        <vertAlign val="subscript"/>
        <sz val="11"/>
        <color theme="0"/>
        <rFont val="Gill Sans"/>
        <family val="2"/>
      </rPr>
      <t>obs</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</si>
  <si>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sim </t>
    </r>
    <r>
      <rPr>
        <b/>
        <sz val="11"/>
        <color theme="0"/>
        <rFont val="Gill Sans"/>
        <family val="2"/>
      </rPr>
      <t xml:space="preserve">– </t>
    </r>
    <r>
      <rPr>
        <b/>
        <i/>
        <sz val="11"/>
        <color theme="0"/>
        <rFont val="Gill Sans"/>
        <family val="2"/>
      </rPr>
      <t>μ</t>
    </r>
    <r>
      <rPr>
        <b/>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</si>
  <si>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sim </t>
    </r>
    <r>
      <rPr>
        <b/>
        <sz val="11"/>
        <color theme="0"/>
        <rFont val="Gill Sans"/>
        <family val="2"/>
      </rPr>
      <t>– μ</t>
    </r>
    <r>
      <rPr>
        <b/>
        <i/>
        <vertAlign val="subscript"/>
        <sz val="11"/>
        <color theme="0"/>
        <rFont val="Gill Sans"/>
        <family val="2"/>
      </rPr>
      <t>sim</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</si>
  <si>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μ</t>
    </r>
    <r>
      <rPr>
        <b/>
        <vertAlign val="subscript"/>
        <sz val="11"/>
        <color theme="0"/>
        <rFont val="Gill Sans"/>
        <family val="2"/>
      </rPr>
      <t>obs</t>
    </r>
    <r>
      <rPr>
        <b/>
        <sz val="11"/>
        <color theme="0"/>
        <rFont val="Gill Sans"/>
        <family val="2"/>
      </rPr>
      <t>) (Q</t>
    </r>
    <r>
      <rPr>
        <b/>
        <vertAlign val="subscript"/>
        <sz val="11"/>
        <color theme="0"/>
        <rFont val="Gill Sans"/>
        <family val="2"/>
      </rPr>
      <t>sim</t>
    </r>
    <r>
      <rPr>
        <b/>
        <sz val="11"/>
        <color theme="0"/>
        <rFont val="Gill Sans"/>
        <family val="2"/>
      </rPr>
      <t xml:space="preserve"> – μ</t>
    </r>
    <r>
      <rPr>
        <b/>
        <vertAlign val="subscript"/>
        <sz val="11"/>
        <color theme="0"/>
        <rFont val="Gill Sans"/>
        <family val="2"/>
      </rPr>
      <t>sim</t>
    </r>
    <r>
      <rPr>
        <b/>
        <sz val="11"/>
        <color theme="0"/>
        <rFont val="Gill Sans"/>
        <family val="2"/>
      </rPr>
      <t>) (mm</t>
    </r>
    <r>
      <rPr>
        <b/>
        <vertAlign val="superscript"/>
        <sz val="11"/>
        <color theme="0"/>
        <rFont val="Gill Sans"/>
        <family val="2"/>
      </rPr>
      <t>2</t>
    </r>
    <r>
      <rPr>
        <b/>
        <sz val="11"/>
        <color theme="0"/>
        <rFont val="Gill Sans"/>
        <family val="2"/>
      </rPr>
      <t>)</t>
    </r>
  </si>
  <si>
    <r>
      <t xml:space="preserve">Evapotranspiración potencial - </t>
    </r>
    <r>
      <rPr>
        <b/>
        <i/>
        <sz val="11"/>
        <color theme="0"/>
        <rFont val="Gill Sans"/>
        <family val="2"/>
      </rPr>
      <t>ET</t>
    </r>
    <r>
      <rPr>
        <b/>
        <i/>
        <vertAlign val="subscript"/>
        <sz val="11"/>
        <color theme="0"/>
        <rFont val="Gill Sans"/>
        <family val="2"/>
      </rPr>
      <t>P</t>
    </r>
    <r>
      <rPr>
        <b/>
        <sz val="11"/>
        <color theme="0"/>
        <rFont val="Gill Sans"/>
        <family val="2"/>
      </rPr>
      <t xml:space="preserve"> (mm/día)</t>
    </r>
  </si>
  <si>
    <r>
      <t xml:space="preserve">Evapotranspiración real - </t>
    </r>
    <r>
      <rPr>
        <b/>
        <i/>
        <sz val="11"/>
        <color theme="0"/>
        <rFont val="Gill Sans"/>
        <family val="2"/>
      </rPr>
      <t>ET</t>
    </r>
    <r>
      <rPr>
        <b/>
        <sz val="11"/>
        <color theme="0"/>
        <rFont val="Gill Sans"/>
        <family val="2"/>
      </rPr>
      <t xml:space="preserve"> (mm/día)</t>
    </r>
  </si>
  <si>
    <r>
      <t xml:space="preserve">Escorrentía - </t>
    </r>
    <r>
      <rPr>
        <b/>
        <i/>
        <sz val="11"/>
        <color theme="0"/>
        <rFont val="Gill Sans"/>
        <family val="2"/>
      </rPr>
      <t>q</t>
    </r>
    <r>
      <rPr>
        <b/>
        <i/>
        <vertAlign val="subscript"/>
        <sz val="11"/>
        <color theme="0"/>
        <rFont val="Gill Sans"/>
        <family val="2"/>
      </rPr>
      <t>o</t>
    </r>
    <r>
      <rPr>
        <b/>
        <sz val="11"/>
        <color theme="0"/>
        <rFont val="Gill Sans"/>
        <family val="2"/>
      </rPr>
      <t xml:space="preserve"> (mm)</t>
    </r>
  </si>
  <si>
    <r>
      <t xml:space="preserve">Percolación - </t>
    </r>
    <r>
      <rPr>
        <b/>
        <i/>
        <sz val="11"/>
        <color theme="0"/>
        <rFont val="Gill Sans"/>
        <family val="2"/>
      </rPr>
      <t>p</t>
    </r>
    <r>
      <rPr>
        <b/>
        <sz val="11"/>
        <color theme="0"/>
        <rFont val="Gill Sans"/>
        <family val="2"/>
      </rPr>
      <t xml:space="preserve"> (mm)</t>
    </r>
  </si>
  <si>
    <r>
      <t xml:space="preserve">Balance de agua - </t>
    </r>
    <r>
      <rPr>
        <b/>
        <i/>
        <sz val="11"/>
        <color theme="0"/>
        <rFont val="Gill Sans"/>
        <family val="2"/>
      </rPr>
      <t>R</t>
    </r>
    <r>
      <rPr>
        <b/>
        <i/>
        <vertAlign val="subscript"/>
        <sz val="11"/>
        <color theme="0"/>
        <rFont val="Gill Sans"/>
        <family val="2"/>
      </rPr>
      <t>s</t>
    </r>
    <r>
      <rPr>
        <b/>
        <sz val="11"/>
        <color theme="0"/>
        <rFont val="Gill Sans"/>
        <family val="2"/>
      </rPr>
      <t xml:space="preserve"> (mm)</t>
    </r>
  </si>
  <si>
    <r>
      <t xml:space="preserve">Interflujo - </t>
    </r>
    <r>
      <rPr>
        <b/>
        <i/>
        <sz val="11"/>
        <color theme="0"/>
        <rFont val="Gill Sans"/>
        <family val="2"/>
      </rPr>
      <t>q</t>
    </r>
    <r>
      <rPr>
        <b/>
        <i/>
        <vertAlign val="subscript"/>
        <sz val="11"/>
        <color theme="0"/>
        <rFont val="Gill Sans"/>
        <family val="2"/>
      </rPr>
      <t>i</t>
    </r>
    <r>
      <rPr>
        <b/>
        <sz val="11"/>
        <color theme="0"/>
        <rFont val="Gill Sans"/>
        <family val="2"/>
      </rPr>
      <t xml:space="preserve"> (mm)</t>
    </r>
  </si>
  <si>
    <r>
      <t xml:space="preserve">Reservorio subsuperficial - </t>
    </r>
    <r>
      <rPr>
        <b/>
        <i/>
        <sz val="11"/>
        <color theme="0"/>
        <rFont val="Gill Sans"/>
        <family val="2"/>
      </rPr>
      <t>R</t>
    </r>
    <r>
      <rPr>
        <b/>
        <i/>
        <vertAlign val="subscript"/>
        <sz val="11"/>
        <color theme="0"/>
        <rFont val="Gill Sans"/>
        <family val="2"/>
      </rPr>
      <t>b</t>
    </r>
    <r>
      <rPr>
        <b/>
        <sz val="11"/>
        <color theme="0"/>
        <rFont val="Gill Sans"/>
        <family val="2"/>
      </rPr>
      <t xml:space="preserve"> (mm)</t>
    </r>
  </si>
  <si>
    <r>
      <t xml:space="preserve">Caudal base – </t>
    </r>
    <r>
      <rPr>
        <b/>
        <i/>
        <sz val="11"/>
        <color theme="0"/>
        <rFont val="Gill Sans"/>
        <family val="2"/>
      </rPr>
      <t>q</t>
    </r>
    <r>
      <rPr>
        <b/>
        <i/>
        <vertAlign val="subscript"/>
        <sz val="11"/>
        <color theme="0"/>
        <rFont val="Gill Sans"/>
        <family val="2"/>
      </rPr>
      <t>b</t>
    </r>
    <r>
      <rPr>
        <b/>
        <sz val="11"/>
        <color theme="0"/>
        <rFont val="Gill Sans"/>
        <family val="2"/>
      </rPr>
      <t xml:space="preserve"> (mm)</t>
    </r>
  </si>
  <si>
    <r>
      <t xml:space="preserve">Factor </t>
    </r>
    <r>
      <rPr>
        <b/>
        <i/>
        <sz val="11"/>
        <color theme="0"/>
        <rFont val="Gill Sans"/>
        <family val="2"/>
      </rPr>
      <t>R</t>
    </r>
    <r>
      <rPr>
        <b/>
        <sz val="11"/>
        <color theme="0"/>
        <rFont val="Gill Sans"/>
        <family val="2"/>
      </rPr>
      <t xml:space="preserve"> de USLE - </t>
    </r>
    <r>
      <rPr>
        <b/>
        <i/>
        <sz val="11"/>
        <color theme="0"/>
        <rFont val="Gill Sans"/>
        <family val="2"/>
      </rPr>
      <t>R</t>
    </r>
    <r>
      <rPr>
        <b/>
        <i/>
        <vertAlign val="subscript"/>
        <sz val="11"/>
        <color theme="0"/>
        <rFont val="Gill Sans"/>
        <family val="2"/>
      </rPr>
      <t>UM</t>
    </r>
    <r>
      <rPr>
        <b/>
        <sz val="11"/>
        <color theme="0"/>
        <rFont val="Gill Sans"/>
        <family val="2"/>
      </rPr>
      <t xml:space="preserve"> (MJ·mm/ha·h)</t>
    </r>
  </si>
  <si>
    <r>
      <t xml:space="preserve">Pérdida de suelo - </t>
    </r>
    <r>
      <rPr>
        <b/>
        <i/>
        <sz val="11"/>
        <color theme="0"/>
        <rFont val="Gill Sans"/>
        <family val="2"/>
      </rPr>
      <t>A</t>
    </r>
    <r>
      <rPr>
        <b/>
        <sz val="11"/>
        <color theme="0"/>
        <rFont val="Gill Sans"/>
        <family val="2"/>
      </rPr>
      <t xml:space="preserve"> (t/ha)</t>
    </r>
  </si>
  <si>
    <r>
      <t xml:space="preserve">Concentración de sólidos - </t>
    </r>
    <r>
      <rPr>
        <b/>
        <i/>
        <sz val="11"/>
        <color theme="0"/>
        <rFont val="Gill Sans"/>
        <family val="2"/>
      </rPr>
      <t>c</t>
    </r>
    <r>
      <rPr>
        <b/>
        <i/>
        <vertAlign val="subscript"/>
        <sz val="11"/>
        <color theme="0"/>
        <rFont val="Gill Sans"/>
        <family val="2"/>
      </rPr>
      <t>sim</t>
    </r>
    <r>
      <rPr>
        <b/>
        <sz val="11"/>
        <color theme="0"/>
        <rFont val="Gill Sans"/>
        <family val="2"/>
      </rPr>
      <t xml:space="preserve"> (g/m3)</t>
    </r>
  </si>
  <si>
    <r>
      <t xml:space="preserve">Factor </t>
    </r>
    <r>
      <rPr>
        <b/>
        <i/>
        <sz val="11"/>
        <color theme="0"/>
        <rFont val="Gill Sans"/>
        <family val="2"/>
      </rPr>
      <t>R</t>
    </r>
  </si>
  <si>
    <r>
      <t xml:space="preserve">Escorrentía - </t>
    </r>
    <r>
      <rPr>
        <b/>
        <i/>
        <sz val="11"/>
        <color theme="0"/>
        <rFont val="Gill Sans"/>
        <family val="2"/>
      </rPr>
      <t>q</t>
    </r>
    <r>
      <rPr>
        <b/>
        <i/>
        <vertAlign val="subscript"/>
        <sz val="11"/>
        <color theme="0"/>
        <rFont val="Gill Sans"/>
        <family val="2"/>
      </rPr>
      <t>o</t>
    </r>
    <r>
      <rPr>
        <b/>
        <i/>
        <sz val="11"/>
        <color theme="0"/>
        <rFont val="Gill Sans"/>
        <family val="2"/>
      </rPr>
      <t xml:space="preserve"> (mm)</t>
    </r>
  </si>
  <si>
    <r>
      <t xml:space="preserve">Factor </t>
    </r>
    <r>
      <rPr>
        <b/>
        <i/>
        <sz val="11"/>
        <color theme="0"/>
        <rFont val="Gill Sans"/>
        <family val="2"/>
      </rPr>
      <t>R</t>
    </r>
    <r>
      <rPr>
        <b/>
        <i/>
        <vertAlign val="subscript"/>
        <sz val="11"/>
        <color theme="0"/>
        <rFont val="Gill Sans"/>
        <family val="2"/>
      </rPr>
      <t>UM</t>
    </r>
  </si>
  <si>
    <r>
      <t>Sum R</t>
    </r>
    <r>
      <rPr>
        <vertAlign val="subscript"/>
        <sz val="11"/>
        <color theme="1"/>
        <rFont val="Gill Sans"/>
        <family val="2"/>
      </rPr>
      <t>UM</t>
    </r>
  </si>
  <si>
    <r>
      <t xml:space="preserve">Interflujo antes de la amuna - </t>
    </r>
    <r>
      <rPr>
        <b/>
        <i/>
        <sz val="11"/>
        <color theme="0"/>
        <rFont val="Gill Sans"/>
        <family val="2"/>
      </rPr>
      <t>q</t>
    </r>
    <r>
      <rPr>
        <b/>
        <i/>
        <vertAlign val="subscript"/>
        <sz val="11"/>
        <color theme="0"/>
        <rFont val="Gill Sans"/>
        <family val="2"/>
      </rPr>
      <t>i</t>
    </r>
    <r>
      <rPr>
        <b/>
        <sz val="11"/>
        <color theme="0"/>
        <rFont val="Gill Sans"/>
        <family val="2"/>
      </rPr>
      <t xml:space="preserve"> (mm)</t>
    </r>
  </si>
  <si>
    <r>
      <t xml:space="preserve">Caudal base antes de la amuna – </t>
    </r>
    <r>
      <rPr>
        <b/>
        <i/>
        <sz val="11"/>
        <color theme="0"/>
        <rFont val="Gill Sans"/>
        <family val="2"/>
      </rPr>
      <t>q</t>
    </r>
    <r>
      <rPr>
        <b/>
        <i/>
        <vertAlign val="subscript"/>
        <sz val="11"/>
        <color theme="0"/>
        <rFont val="Gill Sans"/>
        <family val="2"/>
      </rPr>
      <t>b</t>
    </r>
    <r>
      <rPr>
        <b/>
        <sz val="11"/>
        <color theme="0"/>
        <rFont val="Gill Sans"/>
        <family val="2"/>
      </rPr>
      <t xml:space="preserve"> (mm)</t>
    </r>
  </si>
  <si>
    <r>
      <t xml:space="preserve">Caudal simulado antes de la amuna – </t>
    </r>
    <r>
      <rPr>
        <b/>
        <i/>
        <sz val="11"/>
        <color theme="0"/>
        <rFont val="Gill Sans"/>
        <family val="2"/>
      </rPr>
      <t>Q</t>
    </r>
    <r>
      <rPr>
        <b/>
        <i/>
        <vertAlign val="subscript"/>
        <sz val="11"/>
        <color theme="0"/>
        <rFont val="Gill Sans"/>
        <family val="2"/>
      </rPr>
      <t>sim</t>
    </r>
    <r>
      <rPr>
        <b/>
        <sz val="11"/>
        <color theme="0"/>
        <rFont val="Gill Sans"/>
        <family val="2"/>
      </rPr>
      <t xml:space="preserve"> (mm)</t>
    </r>
  </si>
  <si>
    <r>
      <t xml:space="preserve">Evapotranspiración real después de la amuna - </t>
    </r>
    <r>
      <rPr>
        <b/>
        <i/>
        <sz val="11"/>
        <color theme="0"/>
        <rFont val="Gill Sans"/>
        <family val="2"/>
      </rPr>
      <t>ET</t>
    </r>
    <r>
      <rPr>
        <b/>
        <i/>
        <vertAlign val="subscript"/>
        <sz val="11"/>
        <color theme="0"/>
        <rFont val="Gill Sans"/>
        <family val="2"/>
      </rPr>
      <t>am</t>
    </r>
    <r>
      <rPr>
        <b/>
        <sz val="11"/>
        <color theme="0"/>
        <rFont val="Gill Sans"/>
        <family val="2"/>
      </rPr>
      <t xml:space="preserve"> (mm/día)</t>
    </r>
  </si>
  <si>
    <r>
      <t xml:space="preserve">Escorrentía restante - </t>
    </r>
    <r>
      <rPr>
        <b/>
        <i/>
        <sz val="11"/>
        <color theme="0"/>
        <rFont val="Gill Sans"/>
        <family val="2"/>
      </rPr>
      <t>q</t>
    </r>
    <r>
      <rPr>
        <b/>
        <i/>
        <vertAlign val="subscript"/>
        <sz val="11"/>
        <color theme="0"/>
        <rFont val="Gill Sans"/>
        <family val="2"/>
      </rPr>
      <t>0_r</t>
    </r>
    <r>
      <rPr>
        <b/>
        <sz val="11"/>
        <color theme="0"/>
        <rFont val="Gill Sans"/>
        <family val="2"/>
      </rPr>
      <t xml:space="preserve"> (mm)</t>
    </r>
  </si>
  <si>
    <r>
      <t xml:space="preserve">Caudal desviado hacia la amuna - </t>
    </r>
    <r>
      <rPr>
        <b/>
        <i/>
        <sz val="11"/>
        <color theme="0"/>
        <rFont val="Gill Sans"/>
        <family val="2"/>
      </rPr>
      <t>q</t>
    </r>
    <r>
      <rPr>
        <b/>
        <i/>
        <vertAlign val="subscript"/>
        <sz val="11"/>
        <color theme="0"/>
        <rFont val="Gill Sans"/>
        <family val="2"/>
      </rPr>
      <t>am</t>
    </r>
    <r>
      <rPr>
        <b/>
        <sz val="11"/>
        <color theme="0"/>
        <rFont val="Gill Sans"/>
        <family val="2"/>
      </rPr>
      <t xml:space="preserve"> (mm)</t>
    </r>
  </si>
  <si>
    <r>
      <t xml:space="preserve">Caudal desviado restante - </t>
    </r>
    <r>
      <rPr>
        <b/>
        <i/>
        <sz val="11"/>
        <color theme="0"/>
        <rFont val="Gill Sans"/>
        <family val="2"/>
      </rPr>
      <t>q</t>
    </r>
    <r>
      <rPr>
        <b/>
        <i/>
        <vertAlign val="subscript"/>
        <sz val="11"/>
        <color theme="0"/>
        <rFont val="Gill Sans"/>
        <family val="2"/>
      </rPr>
      <t>am2</t>
    </r>
    <r>
      <rPr>
        <b/>
        <sz val="11"/>
        <color theme="0"/>
        <rFont val="Gill Sans"/>
        <family val="2"/>
      </rPr>
      <t xml:space="preserve"> (mm)</t>
    </r>
  </si>
  <si>
    <r>
      <t xml:space="preserve">Interflujo restante - </t>
    </r>
    <r>
      <rPr>
        <b/>
        <i/>
        <sz val="11"/>
        <color theme="0"/>
        <rFont val="Gill Sans"/>
        <family val="2"/>
      </rPr>
      <t>q</t>
    </r>
    <r>
      <rPr>
        <b/>
        <i/>
        <vertAlign val="subscript"/>
        <sz val="11"/>
        <color theme="0"/>
        <rFont val="Gill Sans"/>
        <family val="2"/>
      </rPr>
      <t>i_r</t>
    </r>
    <r>
      <rPr>
        <b/>
        <sz val="11"/>
        <color theme="0"/>
        <rFont val="Gill Sans"/>
        <family val="2"/>
      </rPr>
      <t xml:space="preserve"> (mm)</t>
    </r>
  </si>
  <si>
    <r>
      <t xml:space="preserve">Caudal desviado restante - </t>
    </r>
    <r>
      <rPr>
        <b/>
        <i/>
        <sz val="11"/>
        <color theme="0"/>
        <rFont val="Gill Sans"/>
        <family val="2"/>
      </rPr>
      <t>q</t>
    </r>
    <r>
      <rPr>
        <b/>
        <i/>
        <vertAlign val="subscript"/>
        <sz val="11"/>
        <color theme="0"/>
        <rFont val="Gill Sans"/>
        <family val="2"/>
      </rPr>
      <t>am3</t>
    </r>
    <r>
      <rPr>
        <b/>
        <sz val="11"/>
        <color theme="0"/>
        <rFont val="Gill Sans"/>
        <family val="2"/>
      </rPr>
      <t xml:space="preserve"> (mm)</t>
    </r>
  </si>
  <si>
    <r>
      <t xml:space="preserve">Caudal base restante - </t>
    </r>
    <r>
      <rPr>
        <b/>
        <i/>
        <sz val="11"/>
        <color theme="0"/>
        <rFont val="Gill Sans"/>
        <family val="2"/>
      </rPr>
      <t>q</t>
    </r>
    <r>
      <rPr>
        <b/>
        <i/>
        <vertAlign val="subscript"/>
        <sz val="11"/>
        <color theme="0"/>
        <rFont val="Gill Sans"/>
        <family val="2"/>
      </rPr>
      <t>b_r</t>
    </r>
    <r>
      <rPr>
        <b/>
        <sz val="11"/>
        <color theme="0"/>
        <rFont val="Gill Sans"/>
        <family val="2"/>
      </rPr>
      <t xml:space="preserve"> (mm)</t>
    </r>
  </si>
  <si>
    <r>
      <t xml:space="preserve">Caudal desviado restante - </t>
    </r>
    <r>
      <rPr>
        <b/>
        <i/>
        <sz val="11"/>
        <color theme="0"/>
        <rFont val="Gill Sans"/>
        <family val="2"/>
      </rPr>
      <t>q</t>
    </r>
    <r>
      <rPr>
        <b/>
        <i/>
        <vertAlign val="subscript"/>
        <sz val="11"/>
        <color theme="0"/>
        <rFont val="Gill Sans"/>
        <family val="2"/>
      </rPr>
      <t>am4</t>
    </r>
    <r>
      <rPr>
        <b/>
        <sz val="11"/>
        <color theme="0"/>
        <rFont val="Gill Sans"/>
        <family val="2"/>
      </rPr>
      <t xml:space="preserve"> (mm)</t>
    </r>
  </si>
  <si>
    <r>
      <t>Caudal total restante – Q</t>
    </r>
    <r>
      <rPr>
        <b/>
        <vertAlign val="subscript"/>
        <sz val="11"/>
        <color theme="0"/>
        <rFont val="Gill Sans"/>
        <family val="2"/>
      </rPr>
      <t xml:space="preserve">sim_r </t>
    </r>
    <r>
      <rPr>
        <b/>
        <sz val="11"/>
        <color theme="0"/>
        <rFont val="Gill Sans"/>
        <family val="2"/>
      </rPr>
      <t>(mm)</t>
    </r>
  </si>
  <si>
    <r>
      <t xml:space="preserve">Percolación adicional - </t>
    </r>
    <r>
      <rPr>
        <b/>
        <i/>
        <sz val="11"/>
        <color theme="0"/>
        <rFont val="Gill Sans"/>
        <family val="2"/>
      </rPr>
      <t>p</t>
    </r>
    <r>
      <rPr>
        <b/>
        <i/>
        <vertAlign val="subscript"/>
        <sz val="11"/>
        <color theme="0"/>
        <rFont val="Gill Sans"/>
        <family val="2"/>
      </rPr>
      <t>am</t>
    </r>
    <r>
      <rPr>
        <b/>
        <sz val="11"/>
        <color theme="0"/>
        <rFont val="Gill Sans"/>
        <family val="2"/>
      </rPr>
      <t xml:space="preserve"> (mm)</t>
    </r>
  </si>
  <si>
    <r>
      <t xml:space="preserve">Percolación después de la amuna - </t>
    </r>
    <r>
      <rPr>
        <b/>
        <i/>
        <sz val="11"/>
        <color theme="0"/>
        <rFont val="Gill Sans"/>
        <family val="2"/>
      </rPr>
      <t>p</t>
    </r>
    <r>
      <rPr>
        <b/>
        <i/>
        <vertAlign val="subscript"/>
        <sz val="11"/>
        <color theme="0"/>
        <rFont val="Gill Sans"/>
        <family val="2"/>
      </rPr>
      <t>2</t>
    </r>
    <r>
      <rPr>
        <b/>
        <sz val="11"/>
        <color theme="0"/>
        <rFont val="Gill Sans"/>
        <family val="2"/>
      </rPr>
      <t xml:space="preserve"> (mm)</t>
    </r>
  </si>
  <si>
    <r>
      <t>Tiempo de residencia medio del agua infiltrada 𝛕</t>
    </r>
    <r>
      <rPr>
        <vertAlign val="subscript"/>
        <sz val="11"/>
        <color theme="1"/>
        <rFont val="Gill Sans"/>
        <family val="2"/>
      </rPr>
      <t>am</t>
    </r>
    <r>
      <rPr>
        <sz val="11"/>
        <color theme="1"/>
        <rFont val="Gill Sans"/>
        <family val="2"/>
      </rPr>
      <t xml:space="preserve"> (día)</t>
    </r>
  </si>
  <si>
    <r>
      <t xml:space="preserve">Tiempo de residencia del caudal base </t>
    </r>
    <r>
      <rPr>
        <i/>
        <sz val="11"/>
        <color theme="1"/>
        <rFont val="Gill Sans"/>
        <family val="2"/>
      </rPr>
      <t>𝛕</t>
    </r>
    <r>
      <rPr>
        <i/>
        <vertAlign val="subscript"/>
        <sz val="11"/>
        <color theme="1"/>
        <rFont val="Gill Sans"/>
        <family val="2"/>
      </rPr>
      <t>b</t>
    </r>
    <r>
      <rPr>
        <sz val="11"/>
        <color theme="1"/>
        <rFont val="Gill Sans"/>
        <family val="2"/>
      </rPr>
      <t xml:space="preserve"> (día)</t>
    </r>
  </si>
  <si>
    <r>
      <t xml:space="preserve">Tiempo de residencia del interflujo </t>
    </r>
    <r>
      <rPr>
        <i/>
        <sz val="11"/>
        <color theme="1"/>
        <rFont val="Gill Sans"/>
        <family val="2"/>
      </rPr>
      <t>𝛕</t>
    </r>
    <r>
      <rPr>
        <i/>
        <vertAlign val="subscript"/>
        <sz val="11"/>
        <color theme="1"/>
        <rFont val="Gill Sans"/>
        <family val="2"/>
      </rPr>
      <t>i</t>
    </r>
    <r>
      <rPr>
        <sz val="11"/>
        <color theme="1"/>
        <rFont val="Gill Sans"/>
        <family val="2"/>
      </rPr>
      <t xml:space="preserve"> (día)</t>
    </r>
  </si>
  <si>
    <r>
      <t>Costos de excavación (USD/m</t>
    </r>
    <r>
      <rPr>
        <vertAlign val="superscript"/>
        <sz val="11"/>
        <color theme="1"/>
        <rFont val="Gill Sans"/>
        <family val="2"/>
      </rPr>
      <t>3</t>
    </r>
    <r>
      <rPr>
        <sz val="11"/>
        <color theme="1"/>
        <rFont val="Gill Sans"/>
        <family val="2"/>
      </rPr>
      <t>)</t>
    </r>
  </si>
  <si>
    <r>
      <t>Volumen de excavación total de los canales (m</t>
    </r>
    <r>
      <rPr>
        <vertAlign val="superscript"/>
        <sz val="11"/>
        <color theme="1"/>
        <rFont val="Gill Sans"/>
        <family val="2"/>
      </rPr>
      <t>3</t>
    </r>
    <r>
      <rPr>
        <sz val="11"/>
        <color theme="1"/>
        <rFont val="Gill Sans"/>
        <family val="2"/>
      </rPr>
      <t>)</t>
    </r>
  </si>
  <si>
    <r>
      <t>Volumen equivalente máximo en el canal de amuna q</t>
    </r>
    <r>
      <rPr>
        <i/>
        <vertAlign val="subscript"/>
        <sz val="11"/>
        <color theme="1"/>
        <rFont val="Gill Sans"/>
        <family val="2"/>
      </rPr>
      <t>max</t>
    </r>
    <r>
      <rPr>
        <sz val="11"/>
        <color theme="1"/>
        <rFont val="Gill Sans"/>
        <family val="2"/>
      </rPr>
      <t xml:space="preserve"> (mm/día)</t>
    </r>
  </si>
  <si>
    <r>
      <t>Volumen equivalente mínimo ecológico en el canal de amuna q</t>
    </r>
    <r>
      <rPr>
        <i/>
        <vertAlign val="subscript"/>
        <sz val="11"/>
        <color theme="1"/>
        <rFont val="Gill Sans"/>
        <family val="2"/>
      </rPr>
      <t>min</t>
    </r>
    <r>
      <rPr>
        <sz val="11"/>
        <color theme="1"/>
        <rFont val="Gill Sans"/>
        <family val="2"/>
      </rPr>
      <t xml:space="preserve"> (mm/día)</t>
    </r>
  </si>
  <si>
    <r>
      <t xml:space="preserve">Caudal ecológico mínimo en el cauce </t>
    </r>
    <r>
      <rPr>
        <i/>
        <sz val="11"/>
        <color theme="1"/>
        <rFont val="Gill Sans"/>
        <family val="2"/>
      </rPr>
      <t>Q</t>
    </r>
    <r>
      <rPr>
        <i/>
        <vertAlign val="subscript"/>
        <sz val="11"/>
        <color theme="1"/>
        <rFont val="Gill Sans"/>
        <family val="2"/>
      </rPr>
      <t>min</t>
    </r>
    <r>
      <rPr>
        <sz val="11"/>
        <color theme="1"/>
        <rFont val="Gill Sans"/>
        <family val="2"/>
      </rPr>
      <t xml:space="preserve"> (l/s)</t>
    </r>
  </si>
  <si>
    <r>
      <t xml:space="preserve">Caudal máximo en el canal de amuna </t>
    </r>
    <r>
      <rPr>
        <i/>
        <sz val="11"/>
        <color theme="1"/>
        <rFont val="Gill Sans"/>
        <family val="2"/>
      </rPr>
      <t>Q</t>
    </r>
    <r>
      <rPr>
        <i/>
        <vertAlign val="subscript"/>
        <sz val="11"/>
        <color theme="1"/>
        <rFont val="Gill Sans"/>
        <family val="2"/>
      </rPr>
      <t>max</t>
    </r>
    <r>
      <rPr>
        <sz val="11"/>
        <color theme="1"/>
        <rFont val="Gill Sans"/>
        <family val="2"/>
      </rPr>
      <t xml:space="preserve"> (l/s)</t>
    </r>
  </si>
  <si>
    <r>
      <t xml:space="preserve">Pendiente del fondo del canal </t>
    </r>
    <r>
      <rPr>
        <i/>
        <sz val="11"/>
        <color theme="1"/>
        <rFont val="Gill Sans"/>
        <family val="2"/>
      </rPr>
      <t>S</t>
    </r>
    <r>
      <rPr>
        <i/>
        <vertAlign val="subscript"/>
        <sz val="11"/>
        <color theme="1"/>
        <rFont val="Gill Sans"/>
        <family val="2"/>
      </rPr>
      <t>0</t>
    </r>
    <r>
      <rPr>
        <sz val="11"/>
        <color theme="1"/>
        <rFont val="Gill Sans"/>
        <family val="2"/>
      </rPr>
      <t xml:space="preserve"> (m/m)</t>
    </r>
  </si>
  <si>
    <r>
      <t xml:space="preserve">Área de sección transversal del canal de amuna </t>
    </r>
    <r>
      <rPr>
        <i/>
        <sz val="11"/>
        <color theme="1"/>
        <rFont val="Gill Sans"/>
        <family val="2"/>
      </rPr>
      <t>A</t>
    </r>
    <r>
      <rPr>
        <i/>
        <vertAlign val="subscript"/>
        <sz val="11"/>
        <color theme="1"/>
        <rFont val="Gill Sans"/>
        <family val="2"/>
      </rPr>
      <t>am</t>
    </r>
    <r>
      <rPr>
        <sz val="11"/>
        <color theme="1"/>
        <rFont val="Gill Sans"/>
        <family val="2"/>
      </rPr>
      <t xml:space="preserve"> (m2)</t>
    </r>
  </si>
  <si>
    <r>
      <t xml:space="preserve">Coeficiente Chézy </t>
    </r>
    <r>
      <rPr>
        <i/>
        <sz val="11"/>
        <color theme="1"/>
        <rFont val="Gill Sans"/>
        <family val="2"/>
      </rPr>
      <t>C</t>
    </r>
    <r>
      <rPr>
        <sz val="11"/>
        <color theme="1"/>
        <rFont val="Gill Sans"/>
        <family val="2"/>
      </rPr>
      <t xml:space="preserve"> (m</t>
    </r>
    <r>
      <rPr>
        <vertAlign val="superscript"/>
        <sz val="11"/>
        <color theme="1"/>
        <rFont val="Gill Sans"/>
        <family val="2"/>
      </rPr>
      <t>1/2</t>
    </r>
    <r>
      <rPr>
        <sz val="11"/>
        <color theme="1"/>
        <rFont val="Gill Sans"/>
        <family val="2"/>
      </rPr>
      <t>/s)</t>
    </r>
  </si>
  <si>
    <r>
      <t xml:space="preserve">Rugosidad </t>
    </r>
    <r>
      <rPr>
        <i/>
        <sz val="11"/>
        <color theme="1"/>
        <rFont val="Gill Sans"/>
        <family val="2"/>
      </rPr>
      <t>n</t>
    </r>
    <r>
      <rPr>
        <sz val="11"/>
        <color theme="1"/>
        <rFont val="Gill Sans"/>
        <family val="2"/>
      </rPr>
      <t xml:space="preserve"> de Chézy del canal de amuna (adimensional)</t>
    </r>
  </si>
  <si>
    <t>Canales de concreto, terminación ordinaria</t>
  </si>
  <si>
    <r>
      <t xml:space="preserve">Pérdidas por percolación profunda - </t>
    </r>
    <r>
      <rPr>
        <b/>
        <i/>
        <sz val="11"/>
        <color theme="0"/>
        <rFont val="Gill Sans"/>
        <family val="2"/>
      </rPr>
      <t>L</t>
    </r>
    <r>
      <rPr>
        <b/>
        <i/>
        <vertAlign val="subscript"/>
        <sz val="11"/>
        <color theme="0"/>
        <rFont val="Gill Sans"/>
        <family val="2"/>
      </rPr>
      <t>p</t>
    </r>
    <r>
      <rPr>
        <b/>
        <sz val="11"/>
        <color theme="0"/>
        <rFont val="Gill Sans"/>
        <family val="2"/>
      </rPr>
      <t xml:space="preserve"> (mm)</t>
    </r>
  </si>
  <si>
    <t>Características del acuífero</t>
  </si>
  <si>
    <t>0.305 – 305</t>
  </si>
  <si>
    <t>15 – 250</t>
  </si>
  <si>
    <r>
      <t xml:space="preserve">Porcentaje de agua que vuelve inmediatamente al cauce </t>
    </r>
    <r>
      <rPr>
        <i/>
        <sz val="11"/>
        <color theme="1"/>
        <rFont val="Gill Sans"/>
        <family val="2"/>
      </rPr>
      <t>F</t>
    </r>
    <r>
      <rPr>
        <i/>
        <vertAlign val="subscript"/>
        <sz val="11"/>
        <color theme="1"/>
        <rFont val="Gill Sans"/>
        <family val="2"/>
      </rPr>
      <t>ret</t>
    </r>
    <r>
      <rPr>
        <sz val="11"/>
        <color theme="1"/>
        <rFont val="Gill Sans"/>
        <family val="2"/>
      </rPr>
      <t xml:space="preserve"> (%)</t>
    </r>
  </si>
  <si>
    <r>
      <t>F</t>
    </r>
    <r>
      <rPr>
        <i/>
        <vertAlign val="subscript"/>
        <sz val="11"/>
        <color theme="1"/>
        <rFont val="Gill Sans"/>
        <family val="2"/>
      </rPr>
      <t>ret</t>
    </r>
  </si>
  <si>
    <r>
      <t xml:space="preserve">Retorno inmediato al cauce - </t>
    </r>
    <r>
      <rPr>
        <b/>
        <i/>
        <sz val="11"/>
        <color theme="0"/>
        <rFont val="Gill Sans"/>
        <family val="2"/>
      </rPr>
      <t>L</t>
    </r>
    <r>
      <rPr>
        <b/>
        <i/>
        <vertAlign val="subscript"/>
        <sz val="11"/>
        <color theme="0"/>
        <rFont val="Gill Sans"/>
        <family val="2"/>
      </rPr>
      <t>ret</t>
    </r>
    <r>
      <rPr>
        <b/>
        <sz val="11"/>
        <color theme="0"/>
        <rFont val="Gill Sans"/>
        <family val="2"/>
      </rPr>
      <t xml:space="preserve"> (mm)</t>
    </r>
  </si>
  <si>
    <r>
      <t xml:space="preserve">Percolación profunda al acuífero </t>
    </r>
    <r>
      <rPr>
        <i/>
        <sz val="11"/>
        <color theme="1"/>
        <rFont val="Gill Sans"/>
        <family val="2"/>
      </rPr>
      <t>r</t>
    </r>
    <r>
      <rPr>
        <i/>
        <vertAlign val="subscript"/>
        <sz val="11"/>
        <color theme="1"/>
        <rFont val="Gill Sans"/>
        <family val="2"/>
      </rPr>
      <t>a</t>
    </r>
    <r>
      <rPr>
        <sz val="11"/>
        <color theme="1"/>
        <rFont val="Gill Sans"/>
        <family val="2"/>
      </rPr>
      <t xml:space="preserve"> (mm/día)</t>
    </r>
  </si>
  <si>
    <r>
      <t xml:space="preserve">Valores del coeficiente de rugosidad </t>
    </r>
    <r>
      <rPr>
        <b/>
        <i/>
        <sz val="11"/>
        <color theme="0"/>
        <rFont val="Gill Sans"/>
        <family val="2"/>
      </rPr>
      <t>n</t>
    </r>
    <r>
      <rPr>
        <b/>
        <sz val="11"/>
        <color theme="0"/>
        <rFont val="Gill Sans"/>
        <family val="2"/>
      </rPr>
      <t xml:space="preserve"> de Chézy y </t>
    </r>
    <r>
      <rPr>
        <b/>
        <i/>
        <sz val="11"/>
        <color theme="0"/>
        <rFont val="Gill Sans"/>
        <family val="2"/>
      </rPr>
      <t>F</t>
    </r>
    <r>
      <rPr>
        <b/>
        <i/>
        <vertAlign val="subscript"/>
        <sz val="11"/>
        <color theme="0"/>
        <rFont val="Gill Sans"/>
        <family val="2"/>
      </rPr>
      <t>ret</t>
    </r>
  </si>
  <si>
    <t>Material</t>
  </si>
  <si>
    <r>
      <t xml:space="preserve">Área de pampa de infiltración </t>
    </r>
    <r>
      <rPr>
        <i/>
        <sz val="11"/>
        <color theme="1"/>
        <rFont val="Gill Sans"/>
        <family val="2"/>
      </rPr>
      <t>A</t>
    </r>
    <r>
      <rPr>
        <i/>
        <vertAlign val="subscript"/>
        <sz val="11"/>
        <color theme="1"/>
        <rFont val="Gill Sans"/>
        <family val="2"/>
      </rPr>
      <t>i</t>
    </r>
    <r>
      <rPr>
        <sz val="11"/>
        <color theme="1"/>
        <rFont val="Gill Sans"/>
        <family val="2"/>
      </rPr>
      <t xml:space="preserve"> (ha)</t>
    </r>
  </si>
  <si>
    <r>
      <t xml:space="preserve">Área de percolación profunda </t>
    </r>
    <r>
      <rPr>
        <i/>
        <sz val="11"/>
        <color theme="1"/>
        <rFont val="Gill Sans"/>
        <family val="2"/>
      </rPr>
      <t>A</t>
    </r>
    <r>
      <rPr>
        <i/>
        <vertAlign val="subscript"/>
        <sz val="11"/>
        <color theme="1"/>
        <rFont val="Gill Sans"/>
        <family val="2"/>
      </rPr>
      <t>p</t>
    </r>
    <r>
      <rPr>
        <sz val="11"/>
        <color theme="1"/>
        <rFont val="Gill Sans"/>
        <family val="2"/>
      </rPr>
      <t xml:space="preserve"> (ha)</t>
    </r>
  </si>
  <si>
    <r>
      <t>⍺</t>
    </r>
    <r>
      <rPr>
        <vertAlign val="subscript"/>
        <sz val="11"/>
        <color theme="1"/>
        <rFont val="Gill Sans"/>
        <family val="2"/>
      </rPr>
      <t>am</t>
    </r>
    <r>
      <rPr>
        <sz val="11"/>
        <color theme="1"/>
        <rFont val="Gill Sans"/>
        <family val="2"/>
      </rPr>
      <t xml:space="preserve"> (agua infiltrada por amuna) (1/día)</t>
    </r>
  </si>
  <si>
    <r>
      <t>Costos de remoción de vegetación (USD/m</t>
    </r>
    <r>
      <rPr>
        <vertAlign val="superscript"/>
        <sz val="11"/>
        <color theme="1"/>
        <rFont val="Gill Sans"/>
        <family val="2"/>
      </rPr>
      <t>2</t>
    </r>
    <r>
      <rPr>
        <sz val="11"/>
        <color theme="1"/>
        <rFont val="Gill Sans"/>
        <family val="2"/>
      </rPr>
      <t>)</t>
    </r>
  </si>
  <si>
    <r>
      <t xml:space="preserve">Longitud del canal de amuna </t>
    </r>
    <r>
      <rPr>
        <i/>
        <sz val="11"/>
        <color theme="1"/>
        <rFont val="Gill Sans"/>
        <family val="2"/>
      </rPr>
      <t>L</t>
    </r>
    <r>
      <rPr>
        <i/>
        <vertAlign val="subscript"/>
        <sz val="11"/>
        <color theme="1"/>
        <rFont val="Gill Sans"/>
        <family val="2"/>
      </rPr>
      <t>am</t>
    </r>
    <r>
      <rPr>
        <sz val="11"/>
        <color theme="1"/>
        <rFont val="Gill Sans"/>
        <family val="2"/>
      </rPr>
      <t xml:space="preserve"> (m)</t>
    </r>
  </si>
  <si>
    <r>
      <t>Costos de impermeabilización (USD/m</t>
    </r>
    <r>
      <rPr>
        <vertAlign val="superscript"/>
        <sz val="11"/>
        <color theme="1"/>
        <rFont val="Gill Sans"/>
        <family val="2"/>
      </rPr>
      <t>2</t>
    </r>
    <r>
      <rPr>
        <sz val="11"/>
        <color theme="1"/>
        <rFont val="Gill Sans"/>
        <family val="2"/>
      </rPr>
      <t>)</t>
    </r>
  </si>
  <si>
    <r>
      <t xml:space="preserve">Perímetro mojado </t>
    </r>
    <r>
      <rPr>
        <i/>
        <sz val="11"/>
        <color theme="1"/>
        <rFont val="Gill Sans"/>
        <family val="2"/>
      </rPr>
      <t>P</t>
    </r>
    <r>
      <rPr>
        <i/>
        <vertAlign val="subscript"/>
        <sz val="11"/>
        <color theme="1"/>
        <rFont val="Gill Sans"/>
        <family val="2"/>
      </rPr>
      <t>am</t>
    </r>
    <r>
      <rPr>
        <sz val="11"/>
        <color theme="1"/>
        <rFont val="Gill Sans"/>
        <family val="2"/>
      </rPr>
      <t xml:space="preserve"> (m)</t>
    </r>
  </si>
  <si>
    <r>
      <t xml:space="preserve">Altitud del final del canal de amuna </t>
    </r>
    <r>
      <rPr>
        <i/>
        <sz val="11"/>
        <color theme="1"/>
        <rFont val="Gill Sans"/>
        <family val="2"/>
      </rPr>
      <t>H</t>
    </r>
    <r>
      <rPr>
        <i/>
        <vertAlign val="subscript"/>
        <sz val="11"/>
        <color theme="1"/>
        <rFont val="Gill Sans"/>
        <family val="2"/>
      </rPr>
      <t>f</t>
    </r>
    <r>
      <rPr>
        <sz val="11"/>
        <color theme="1"/>
        <rFont val="Gill Sans"/>
        <family val="2"/>
      </rPr>
      <t xml:space="preserve"> (m snm)</t>
    </r>
  </si>
  <si>
    <r>
      <t xml:space="preserve">Altitud de la bocatoma del canal de amuna </t>
    </r>
    <r>
      <rPr>
        <i/>
        <sz val="11"/>
        <color theme="1"/>
        <rFont val="Gill Sans"/>
        <family val="2"/>
      </rPr>
      <t>H</t>
    </r>
    <r>
      <rPr>
        <i/>
        <vertAlign val="subscript"/>
        <sz val="11"/>
        <color theme="1"/>
        <rFont val="Gill Sans"/>
        <family val="2"/>
      </rPr>
      <t>o</t>
    </r>
    <r>
      <rPr>
        <sz val="11"/>
        <color theme="1"/>
        <rFont val="Gill Sans"/>
        <family val="2"/>
      </rPr>
      <t xml:space="preserve"> (m snm)</t>
    </r>
  </si>
  <si>
    <r>
      <t xml:space="preserve">Pérdidas por evaporación - </t>
    </r>
    <r>
      <rPr>
        <b/>
        <i/>
        <sz val="11"/>
        <color theme="0"/>
        <rFont val="Gill Sans"/>
        <family val="2"/>
      </rPr>
      <t>L</t>
    </r>
    <r>
      <rPr>
        <b/>
        <i/>
        <vertAlign val="subscript"/>
        <sz val="11"/>
        <color theme="0"/>
        <rFont val="Gill Sans"/>
        <family val="2"/>
      </rPr>
      <t>ET</t>
    </r>
    <r>
      <rPr>
        <b/>
        <sz val="11"/>
        <color theme="0"/>
        <rFont val="Gill Sans"/>
        <family val="2"/>
      </rPr>
      <t xml:space="preserve"> (mm)</t>
    </r>
  </si>
  <si>
    <r>
      <t xml:space="preserve">Índice de área foliar </t>
    </r>
    <r>
      <rPr>
        <i/>
        <sz val="11"/>
        <color theme="1"/>
        <rFont val="Gill Sans"/>
        <family val="2"/>
      </rPr>
      <t>LAI</t>
    </r>
    <r>
      <rPr>
        <sz val="11"/>
        <color theme="1"/>
        <rFont val="Gill Sans"/>
        <family val="2"/>
      </rPr>
      <t xml:space="preserve"> (m</t>
    </r>
    <r>
      <rPr>
        <vertAlign val="superscript"/>
        <sz val="11"/>
        <color theme="1"/>
        <rFont val="Gill Sans"/>
        <family val="2"/>
      </rPr>
      <t>2</t>
    </r>
    <r>
      <rPr>
        <sz val="11"/>
        <color theme="1"/>
        <rFont val="Gill Sans"/>
        <family val="2"/>
      </rPr>
      <t>/m</t>
    </r>
    <r>
      <rPr>
        <vertAlign val="superscript"/>
        <sz val="11"/>
        <color theme="1"/>
        <rFont val="Gill Sans"/>
        <family val="2"/>
      </rPr>
      <t>2</t>
    </r>
    <r>
      <rPr>
        <sz val="11"/>
        <color theme="1"/>
        <rFont val="Gill Sans"/>
        <family val="2"/>
      </rPr>
      <t>)</t>
    </r>
  </si>
  <si>
    <t>Gráficos de simulaciones de caudal y carga de sedimentos</t>
  </si>
  <si>
    <t>Umbrales</t>
  </si>
  <si>
    <t>Umbral alto de caudal</t>
  </si>
  <si>
    <t>Umbral bajo de caudal</t>
  </si>
  <si>
    <t>Umbral alto de sedimentos</t>
  </si>
  <si>
    <t>Umbral bajo de sedimentos</t>
  </si>
  <si>
    <t>Umbrales de análisis de eventos extremos</t>
  </si>
  <si>
    <t>Valor ref.</t>
  </si>
  <si>
    <r>
      <t>Umbral alto de caudal a analizar U</t>
    </r>
    <r>
      <rPr>
        <vertAlign val="subscript"/>
        <sz val="11"/>
        <color theme="1"/>
        <rFont val="Gill Sans"/>
        <family val="2"/>
      </rPr>
      <t>Q,alto</t>
    </r>
    <r>
      <rPr>
        <sz val="11"/>
        <color theme="1"/>
        <rFont val="Gill Sans"/>
        <family val="2"/>
      </rPr>
      <t xml:space="preserve"> (mm)</t>
    </r>
  </si>
  <si>
    <t>3 veces la media</t>
  </si>
  <si>
    <r>
      <t>Umbral bajo de caudal a analizar U</t>
    </r>
    <r>
      <rPr>
        <vertAlign val="subscript"/>
        <sz val="11"/>
        <color theme="1"/>
        <rFont val="Gill Sans"/>
        <family val="2"/>
      </rPr>
      <t>Q,bajo</t>
    </r>
    <r>
      <rPr>
        <sz val="11"/>
        <color theme="1"/>
        <rFont val="Gill Sans"/>
        <family val="2"/>
      </rPr>
      <t xml:space="preserve"> (mm)</t>
    </r>
  </si>
  <si>
    <r>
      <t>Percentil 10% (Q</t>
    </r>
    <r>
      <rPr>
        <vertAlign val="subscript"/>
        <sz val="11"/>
        <color theme="1"/>
        <rFont val="Gill Sans"/>
        <family val="2"/>
      </rPr>
      <t>90</t>
    </r>
    <r>
      <rPr>
        <sz val="11"/>
        <color theme="1"/>
        <rFont val="Gill Sans"/>
        <family val="2"/>
      </rPr>
      <t>)</t>
    </r>
  </si>
  <si>
    <r>
      <t>Umbral alto de sedimentos a analizar UA</t>
    </r>
    <r>
      <rPr>
        <vertAlign val="subscript"/>
        <sz val="11"/>
        <color theme="1"/>
        <rFont val="Gill Sans"/>
        <family val="2"/>
      </rPr>
      <t>,alto</t>
    </r>
    <r>
      <rPr>
        <sz val="11"/>
        <color theme="1"/>
        <rFont val="Gill Sans"/>
        <family val="2"/>
      </rPr>
      <t xml:space="preserve"> (ton/ha)</t>
    </r>
  </si>
  <si>
    <r>
      <t>Umbral bajo de sedimentos a analizar UA</t>
    </r>
    <r>
      <rPr>
        <vertAlign val="subscript"/>
        <sz val="11"/>
        <color theme="1"/>
        <rFont val="Gill Sans"/>
        <family val="2"/>
      </rPr>
      <t>,bajo</t>
    </r>
    <r>
      <rPr>
        <sz val="11"/>
        <color theme="1"/>
        <rFont val="Gill Sans"/>
        <family val="2"/>
      </rPr>
      <t xml:space="preserve"> (ton/ha)</t>
    </r>
  </si>
  <si>
    <t>50% de la media</t>
  </si>
  <si>
    <r>
      <t>Coeficiente de ET de vegetación K</t>
    </r>
    <r>
      <rPr>
        <vertAlign val="subscript"/>
        <sz val="11"/>
        <color theme="1"/>
        <rFont val="Gill Sans"/>
        <family val="2"/>
      </rPr>
      <t>c</t>
    </r>
    <r>
      <rPr>
        <sz val="11"/>
        <color theme="1"/>
        <rFont val="Gill Sans"/>
        <family val="2"/>
      </rPr>
      <t xml:space="preserve"> (adimensional)</t>
    </r>
  </si>
  <si>
    <t>Otros costos adicionales (USD)</t>
  </si>
  <si>
    <t>Análisis de umbrales para eventos extremos</t>
  </si>
  <si>
    <t>Número de días por encima del umbral alto de caudal (día)</t>
  </si>
  <si>
    <t>Volumen de caudal por encima del umbral alto (mm)</t>
  </si>
  <si>
    <t>Caudal máximo (mm)</t>
  </si>
  <si>
    <t>Número de días por debajo del umbral bajo de caudal (día)</t>
  </si>
  <si>
    <t>Volumen de caudal por debajo del umbral bajo (mm)</t>
  </si>
  <si>
    <t>Caudal mínimo (mm)</t>
  </si>
  <si>
    <t>Número de días por encima del umbral alto de sedimentos (día)</t>
  </si>
  <si>
    <t>Carga de sedimentos por encima del umbral alto (ton)</t>
  </si>
  <si>
    <t>Carga de sedimentos máxima (ton)</t>
  </si>
  <si>
    <t>Número de días por debajo del umbral bajo de sedimentos (día)</t>
  </si>
  <si>
    <t>Carga de sedimentos por debajo del umbral bajo (ton)</t>
  </si>
  <si>
    <t>Carga de sedimentos mínima (ton)</t>
  </si>
  <si>
    <t>Unidades</t>
  </si>
  <si>
    <t>Cambio en la evapotranspiración</t>
  </si>
  <si>
    <r>
      <t>(x1000 m</t>
    </r>
    <r>
      <rPr>
        <vertAlign val="superscript"/>
        <sz val="11"/>
        <color theme="1"/>
        <rFont val="Gill Sans"/>
        <family val="2"/>
      </rPr>
      <t>3</t>
    </r>
    <r>
      <rPr>
        <sz val="11"/>
        <color theme="1"/>
        <rFont val="Gill Sans"/>
        <family val="2"/>
      </rPr>
      <t>)</t>
    </r>
  </si>
  <si>
    <t>Cambio en la escorrentía</t>
  </si>
  <si>
    <t>Costo-eficiencia para la escorrentía</t>
  </si>
  <si>
    <r>
      <t>(USD por 1000 m</t>
    </r>
    <r>
      <rPr>
        <vertAlign val="superscript"/>
        <sz val="11"/>
        <color theme="1"/>
        <rFont val="Gill Sans"/>
        <family val="2"/>
      </rPr>
      <t>3</t>
    </r>
    <r>
      <rPr>
        <sz val="11"/>
        <color theme="1"/>
        <rFont val="Gill Sans"/>
        <family val="2"/>
      </rPr>
      <t>)</t>
    </r>
  </si>
  <si>
    <t>Cambio en la percolación</t>
  </si>
  <si>
    <t>Costo-eficiencia para la percolación</t>
  </si>
  <si>
    <t>Cambio en el caudal total</t>
  </si>
  <si>
    <t>Costo-eficiencia para el caudal total</t>
  </si>
  <si>
    <t>Cambio en el caudal base</t>
  </si>
  <si>
    <t>Costo-eficiencia para el caudal base</t>
  </si>
  <si>
    <t>Cambio en la carga de sedimentos</t>
  </si>
  <si>
    <t>(ton)</t>
  </si>
  <si>
    <t>Costo-eficiencia para la carga de sedimentos</t>
  </si>
  <si>
    <t>(USD por ton)</t>
  </si>
  <si>
    <t>Cambio en la concentración de sedimentos</t>
  </si>
  <si>
    <r>
      <t>(g/m</t>
    </r>
    <r>
      <rPr>
        <vertAlign val="superscript"/>
        <sz val="11"/>
        <color theme="1"/>
        <rFont val="Gill Sans"/>
        <family val="2"/>
      </rPr>
      <t>3</t>
    </r>
    <r>
      <rPr>
        <sz val="11"/>
        <color theme="1"/>
        <rFont val="Gill Sans"/>
        <family val="2"/>
      </rPr>
      <t>)</t>
    </r>
  </si>
  <si>
    <t>Costo-eficiencia para la concentración de sedimentos</t>
  </si>
  <si>
    <r>
      <t>(USD por g/m</t>
    </r>
    <r>
      <rPr>
        <vertAlign val="superscript"/>
        <sz val="11"/>
        <color theme="1"/>
        <rFont val="Gill Sans"/>
        <family val="2"/>
      </rPr>
      <t>3</t>
    </r>
    <r>
      <rPr>
        <sz val="11"/>
        <color theme="1"/>
        <rFont val="Gill Sans"/>
        <family val="2"/>
      </rPr>
      <t>)</t>
    </r>
  </si>
  <si>
    <t>Beneficios en eventos extremos con la línea base</t>
  </si>
  <si>
    <t>Costo-eficiencia para eventos extremos</t>
  </si>
  <si>
    <t>Cambio en el número de días por encima del umbral alto de caudal</t>
  </si>
  <si>
    <t>(día)</t>
  </si>
  <si>
    <t>Costo-eficiencia para el número de días por encima del umbral alto de caudal</t>
  </si>
  <si>
    <t>(USD por día)</t>
  </si>
  <si>
    <t>Cambio en el volumen de agua por encima del umbral alto de caudal</t>
  </si>
  <si>
    <t>Costo-eficiencia para el volumen de agua por encima del umbral alto de caudal</t>
  </si>
  <si>
    <t>Cambio en el caudal máximo</t>
  </si>
  <si>
    <t>Costo-eficiencia para el caudal máximo</t>
  </si>
  <si>
    <t>Cambio en el número de días por debajo del umbral bajo de caudal</t>
  </si>
  <si>
    <t>Costo-eficiencia para el número de días por debajo del umbral bajo de caudal</t>
  </si>
  <si>
    <t>Cambio en el volumen de agua por debajo del umbral bajo de caudal</t>
  </si>
  <si>
    <t>Costo-eficiencia para el volumen de agua por debajo del umbral bajo de caudal</t>
  </si>
  <si>
    <t>Cambio en el caudal mínimo</t>
  </si>
  <si>
    <t>Costo-eficiencia para el caudal mínimo</t>
  </si>
  <si>
    <t>Cambio en el número de días por encima del umbral alto de sedimentos</t>
  </si>
  <si>
    <t>Costo-eficiencia para el número de días por encima del umbral alto de sedimentos</t>
  </si>
  <si>
    <t>Cambio en la carga de sedimentos por encima del umbral alto</t>
  </si>
  <si>
    <t>Costo-eficiencia para la carga de sedimentos por encima del umbral alto</t>
  </si>
  <si>
    <t>Cambio en la carga de sedimentos máxima</t>
  </si>
  <si>
    <t>Costo-eficiencia para la carga de sedimentos máxima</t>
  </si>
  <si>
    <t>Cambio en el número de días por debajo del umbral bajo de sedimentos</t>
  </si>
  <si>
    <t>Costo-eficiencia para el número de días por debajo del umbral bajo de sedimentos</t>
  </si>
  <si>
    <t>Cambio en la carga de sedimentos por debajo del umbral bajo</t>
  </si>
  <si>
    <t>Costo-eficiencia para la carga de sedimentos por debajo del umbral bajo</t>
  </si>
  <si>
    <t>Cambio en la carga de sedimentos mínima</t>
  </si>
  <si>
    <t>Costo-eficiencia para la carga de sedimentos mínima</t>
  </si>
  <si>
    <t>Observaciones</t>
  </si>
  <si>
    <r>
      <t>Percentil 95% (A</t>
    </r>
    <r>
      <rPr>
        <vertAlign val="subscript"/>
        <sz val="11"/>
        <color theme="1"/>
        <rFont val="Gill Sans"/>
        <family val="2"/>
      </rPr>
      <t>5</t>
    </r>
    <r>
      <rPr>
        <sz val="11"/>
        <color theme="1"/>
        <rFont val="Gill Sans"/>
        <family val="2"/>
      </rPr>
      <t>)</t>
    </r>
  </si>
  <si>
    <t>Calibración después de la intervención</t>
  </si>
  <si>
    <t>Amunas</t>
  </si>
  <si>
    <t>Características de las zanjas</t>
  </si>
  <si>
    <t>Zanjas 1</t>
  </si>
  <si>
    <t>Zanjas 2</t>
  </si>
  <si>
    <r>
      <t xml:space="preserve">Longitud pediente arriba </t>
    </r>
    <r>
      <rPr>
        <i/>
        <sz val="11"/>
        <color theme="1"/>
        <rFont val="Gill Sans"/>
        <family val="2"/>
      </rPr>
      <t>L</t>
    </r>
    <r>
      <rPr>
        <sz val="11"/>
        <color theme="1"/>
        <rFont val="Gill Sans"/>
        <family val="2"/>
      </rPr>
      <t xml:space="preserve"> (m)</t>
    </r>
  </si>
  <si>
    <r>
      <t xml:space="preserve">Ancho superior de la zanja </t>
    </r>
    <r>
      <rPr>
        <i/>
        <sz val="11"/>
        <color theme="1"/>
        <rFont val="Gill Sans"/>
        <family val="2"/>
      </rPr>
      <t>T</t>
    </r>
    <r>
      <rPr>
        <sz val="11"/>
        <color theme="1"/>
        <rFont val="Gill Sans"/>
        <family val="2"/>
      </rPr>
      <t xml:space="preserve"> (cm)</t>
    </r>
  </si>
  <si>
    <r>
      <t xml:space="preserve">Ancho del fondo de la zanja </t>
    </r>
    <r>
      <rPr>
        <i/>
        <sz val="11"/>
        <color theme="1"/>
        <rFont val="Gill Sans"/>
        <family val="2"/>
      </rPr>
      <t>b</t>
    </r>
    <r>
      <rPr>
        <sz val="11"/>
        <color theme="1"/>
        <rFont val="Gill Sans"/>
        <family val="2"/>
      </rPr>
      <t xml:space="preserve"> (cm)</t>
    </r>
  </si>
  <si>
    <r>
      <t xml:space="preserve">Profundidad de la zanja </t>
    </r>
    <r>
      <rPr>
        <i/>
        <sz val="11"/>
        <color theme="1"/>
        <rFont val="Gill Sans"/>
        <family val="2"/>
      </rPr>
      <t>y</t>
    </r>
    <r>
      <rPr>
        <sz val="11"/>
        <color theme="1"/>
        <rFont val="Gill Sans"/>
        <family val="2"/>
      </rPr>
      <t xml:space="preserve"> (cm)</t>
    </r>
  </si>
  <si>
    <t>Costos de implementación de las zanjas</t>
  </si>
  <si>
    <t>Zanjas de infiltración</t>
  </si>
  <si>
    <t>Validación (áreas iguales)</t>
  </si>
  <si>
    <r>
      <t xml:space="preserve">Área bruta total cubierta por las zanjas de infiltración </t>
    </r>
    <r>
      <rPr>
        <i/>
        <sz val="11"/>
        <color theme="1"/>
        <rFont val="Gill Sans"/>
        <family val="2"/>
      </rPr>
      <t>A</t>
    </r>
    <r>
      <rPr>
        <i/>
        <vertAlign val="subscript"/>
        <sz val="11"/>
        <color theme="1"/>
        <rFont val="Gill Sans"/>
        <family val="2"/>
      </rPr>
      <t>z</t>
    </r>
    <r>
      <rPr>
        <sz val="11"/>
        <color theme="1"/>
        <rFont val="Gill Sans"/>
        <family val="2"/>
      </rPr>
      <t xml:space="preserve"> (ha)</t>
    </r>
  </si>
  <si>
    <r>
      <t>Volumen de excavación total de las zanjas (m</t>
    </r>
    <r>
      <rPr>
        <vertAlign val="superscript"/>
        <sz val="11"/>
        <color theme="1"/>
        <rFont val="Gill Sans"/>
        <family val="2"/>
      </rPr>
      <t>3</t>
    </r>
    <r>
      <rPr>
        <sz val="11"/>
        <color theme="1"/>
        <rFont val="Gill Sans"/>
        <family val="2"/>
      </rPr>
      <t>)</t>
    </r>
  </si>
  <si>
    <t>Costos de remoción de vegetación en las zanjas (USD)</t>
  </si>
  <si>
    <t>Costos de excavación de las zanjas (USD)</t>
  </si>
  <si>
    <t>E1</t>
  </si>
  <si>
    <t>E2</t>
  </si>
  <si>
    <t>Zanjas</t>
  </si>
  <si>
    <r>
      <t xml:space="preserve">Ancho superior de la zanja </t>
    </r>
    <r>
      <rPr>
        <i/>
        <sz val="11"/>
        <color theme="1"/>
        <rFont val="Gill Sans"/>
        <family val="2"/>
      </rPr>
      <t>T</t>
    </r>
    <r>
      <rPr>
        <sz val="11"/>
        <color theme="1"/>
        <rFont val="Gill Sans"/>
        <family val="2"/>
      </rPr>
      <t xml:space="preserve"> (m)</t>
    </r>
  </si>
  <si>
    <r>
      <t xml:space="preserve">Longitud de zanja equivalente </t>
    </r>
    <r>
      <rPr>
        <i/>
        <sz val="11"/>
        <color theme="1"/>
        <rFont val="Gill Sans"/>
        <family val="2"/>
      </rPr>
      <t>L</t>
    </r>
    <r>
      <rPr>
        <i/>
        <vertAlign val="subscript"/>
        <sz val="11"/>
        <color theme="1"/>
        <rFont val="Gill Sans"/>
        <family val="2"/>
      </rPr>
      <t>2</t>
    </r>
    <r>
      <rPr>
        <sz val="11"/>
        <color theme="1"/>
        <rFont val="Gill Sans"/>
        <family val="2"/>
      </rPr>
      <t xml:space="preserve"> (m)</t>
    </r>
  </si>
  <si>
    <r>
      <t xml:space="preserve">Área plana de zanja equivalente </t>
    </r>
    <r>
      <rPr>
        <i/>
        <sz val="11"/>
        <color theme="1"/>
        <rFont val="Gill Sans"/>
        <family val="2"/>
      </rPr>
      <t>A</t>
    </r>
    <r>
      <rPr>
        <i/>
        <vertAlign val="subscript"/>
        <sz val="11"/>
        <color theme="1"/>
        <rFont val="Gill Sans"/>
        <family val="2"/>
      </rPr>
      <t>z2</t>
    </r>
    <r>
      <rPr>
        <sz val="11"/>
        <color theme="1"/>
        <rFont val="Gill Sans"/>
        <family val="2"/>
      </rPr>
      <t xml:space="preserve"> (m</t>
    </r>
    <r>
      <rPr>
        <vertAlign val="superscript"/>
        <sz val="11"/>
        <color theme="1"/>
        <rFont val="Gill Sans"/>
        <family val="2"/>
      </rPr>
      <t>2</t>
    </r>
    <r>
      <rPr>
        <sz val="11"/>
        <color theme="1"/>
        <rFont val="Gill Sans"/>
        <family val="2"/>
      </rPr>
      <t>)</t>
    </r>
  </si>
  <si>
    <r>
      <t xml:space="preserve">Volumen de zanja equivalente </t>
    </r>
    <r>
      <rPr>
        <i/>
        <sz val="11"/>
        <color theme="1"/>
        <rFont val="Gill Sans"/>
        <family val="2"/>
      </rPr>
      <t>V</t>
    </r>
    <r>
      <rPr>
        <i/>
        <vertAlign val="subscript"/>
        <sz val="11"/>
        <color theme="1"/>
        <rFont val="Gill Sans"/>
        <family val="2"/>
      </rPr>
      <t>z</t>
    </r>
    <r>
      <rPr>
        <sz val="11"/>
        <color theme="1"/>
        <rFont val="Gill Sans"/>
        <family val="2"/>
      </rPr>
      <t xml:space="preserve"> (m</t>
    </r>
    <r>
      <rPr>
        <vertAlign val="superscript"/>
        <sz val="11"/>
        <color theme="1"/>
        <rFont val="Gill Sans"/>
        <family val="2"/>
      </rPr>
      <t>3</t>
    </r>
    <r>
      <rPr>
        <sz val="11"/>
        <color theme="1"/>
        <rFont val="Gill Sans"/>
        <family val="2"/>
      </rPr>
      <t>)</t>
    </r>
  </si>
  <si>
    <r>
      <t xml:space="preserve">Ingreso de escorrentía hacia la zanja - </t>
    </r>
    <r>
      <rPr>
        <b/>
        <i/>
        <sz val="11"/>
        <color theme="0"/>
        <rFont val="Gill Sans"/>
        <family val="2"/>
      </rPr>
      <t>V</t>
    </r>
    <r>
      <rPr>
        <b/>
        <i/>
        <vertAlign val="subscript"/>
        <sz val="11"/>
        <color theme="0"/>
        <rFont val="Gill Sans"/>
        <family val="2"/>
      </rPr>
      <t>qo</t>
    </r>
    <r>
      <rPr>
        <b/>
        <sz val="11"/>
        <color theme="0"/>
        <rFont val="Gill Sans"/>
        <family val="2"/>
      </rPr>
      <t xml:space="preserve"> (m3</t>
    </r>
    <r>
      <rPr>
        <b/>
        <sz val="11"/>
        <color theme="0"/>
        <rFont val="Calibri"/>
        <family val="2"/>
        <scheme val="minor"/>
      </rPr>
      <t>)</t>
    </r>
  </si>
  <si>
    <r>
      <t xml:space="preserve">Ingreso de lluvia hacia la zanja - </t>
    </r>
    <r>
      <rPr>
        <b/>
        <i/>
        <sz val="11"/>
        <color theme="0"/>
        <rFont val="Gill Sans"/>
        <family val="2"/>
      </rPr>
      <t>V</t>
    </r>
    <r>
      <rPr>
        <b/>
        <i/>
        <vertAlign val="subscript"/>
        <sz val="11"/>
        <color theme="0"/>
        <rFont val="Gill Sans"/>
        <family val="2"/>
      </rPr>
      <t>P</t>
    </r>
    <r>
      <rPr>
        <b/>
        <sz val="11"/>
        <color theme="0"/>
        <rFont val="Gill Sans"/>
        <family val="2"/>
      </rPr>
      <t xml:space="preserve"> (m3</t>
    </r>
    <r>
      <rPr>
        <b/>
        <sz val="11"/>
        <color theme="0"/>
        <rFont val="Calibri"/>
        <family val="2"/>
        <scheme val="minor"/>
      </rPr>
      <t>)</t>
    </r>
  </si>
  <si>
    <r>
      <t xml:space="preserve">Pérdida por evaporación de la zanja - </t>
    </r>
    <r>
      <rPr>
        <b/>
        <i/>
        <sz val="11"/>
        <color theme="0"/>
        <rFont val="Gill Sans"/>
        <family val="2"/>
      </rPr>
      <t>V</t>
    </r>
    <r>
      <rPr>
        <b/>
        <i/>
        <vertAlign val="subscript"/>
        <sz val="11"/>
        <color theme="0"/>
        <rFont val="Gill Sans"/>
        <family val="2"/>
      </rPr>
      <t>ET</t>
    </r>
    <r>
      <rPr>
        <b/>
        <sz val="11"/>
        <color theme="0"/>
        <rFont val="Gill Sans"/>
        <family val="2"/>
      </rPr>
      <t xml:space="preserve"> (m</t>
    </r>
    <r>
      <rPr>
        <b/>
        <vertAlign val="superscript"/>
        <sz val="11"/>
        <color theme="0"/>
        <rFont val="Gill Sans"/>
        <family val="2"/>
      </rPr>
      <t>3</t>
    </r>
    <r>
      <rPr>
        <b/>
        <sz val="11"/>
        <color theme="0"/>
        <rFont val="Calibri"/>
        <family val="2"/>
        <scheme val="minor"/>
      </rPr>
      <t>)</t>
    </r>
  </si>
  <si>
    <r>
      <t xml:space="preserve">Volumen de agua en la zanja - </t>
    </r>
    <r>
      <rPr>
        <b/>
        <i/>
        <sz val="11"/>
        <color theme="0"/>
        <rFont val="Gill Sans"/>
        <family val="2"/>
      </rPr>
      <t>V</t>
    </r>
    <r>
      <rPr>
        <b/>
        <i/>
        <vertAlign val="subscript"/>
        <sz val="11"/>
        <color theme="0"/>
        <rFont val="Gill Sans"/>
        <family val="2"/>
      </rPr>
      <t>z2</t>
    </r>
    <r>
      <rPr>
        <b/>
        <sz val="11"/>
        <color theme="0"/>
        <rFont val="Gill Sans"/>
        <family val="2"/>
      </rPr>
      <t xml:space="preserve"> (m3</t>
    </r>
    <r>
      <rPr>
        <b/>
        <sz val="11"/>
        <color theme="0"/>
        <rFont val="Calibri"/>
        <family val="2"/>
        <scheme val="minor"/>
      </rPr>
      <t>)</t>
    </r>
  </si>
  <si>
    <r>
      <t xml:space="preserve">Escorrentía despues de la intercepción de la zanja - </t>
    </r>
    <r>
      <rPr>
        <b/>
        <i/>
        <sz val="11"/>
        <color theme="0"/>
        <rFont val="Gill Sans"/>
        <family val="2"/>
      </rPr>
      <t>q</t>
    </r>
    <r>
      <rPr>
        <b/>
        <i/>
        <vertAlign val="subscript"/>
        <sz val="11"/>
        <color theme="0"/>
        <rFont val="Calibri (Body)"/>
      </rPr>
      <t>oz</t>
    </r>
    <r>
      <rPr>
        <b/>
        <sz val="11"/>
        <color theme="0"/>
        <rFont val="Calibri"/>
        <family val="2"/>
        <scheme val="minor"/>
      </rPr>
      <t xml:space="preserve"> (mm)</t>
    </r>
  </si>
  <si>
    <r>
      <t>Evapotranspiración después de las zanjas - ET</t>
    </r>
    <r>
      <rPr>
        <b/>
        <vertAlign val="subscript"/>
        <sz val="11"/>
        <color theme="0"/>
        <rFont val="Gill Sans"/>
        <family val="2"/>
      </rPr>
      <t>z</t>
    </r>
    <r>
      <rPr>
        <b/>
        <sz val="11"/>
        <color theme="0"/>
        <rFont val="Gill Sans"/>
        <family val="2"/>
      </rPr>
      <t xml:space="preserve"> (mm/día)</t>
    </r>
  </si>
  <si>
    <r>
      <t xml:space="preserve">Escorrentía pendiente arriba - </t>
    </r>
    <r>
      <rPr>
        <b/>
        <i/>
        <sz val="11"/>
        <color theme="0"/>
        <rFont val="Gill Sans"/>
        <family val="2"/>
      </rPr>
      <t>q</t>
    </r>
    <r>
      <rPr>
        <b/>
        <i/>
        <vertAlign val="subscript"/>
        <sz val="11"/>
        <color theme="0"/>
        <rFont val="Gill Sans"/>
        <family val="2"/>
      </rPr>
      <t>o</t>
    </r>
    <r>
      <rPr>
        <b/>
        <sz val="11"/>
        <color theme="0"/>
        <rFont val="Gill Sans"/>
        <family val="2"/>
      </rPr>
      <t xml:space="preserve"> (mm)</t>
    </r>
  </si>
  <si>
    <r>
      <t xml:space="preserve">Evapotranspiración real pendiente arriba - </t>
    </r>
    <r>
      <rPr>
        <b/>
        <i/>
        <sz val="11"/>
        <color theme="0"/>
        <rFont val="Gill Sans"/>
        <family val="2"/>
      </rPr>
      <t>ET</t>
    </r>
    <r>
      <rPr>
        <b/>
        <sz val="11"/>
        <color theme="0"/>
        <rFont val="Gill Sans"/>
        <family val="2"/>
      </rPr>
      <t xml:space="preserve"> (mm/día)</t>
    </r>
  </si>
  <si>
    <t>Humedales altoandinos</t>
  </si>
  <si>
    <t>Parámetros del sitio de proyecto</t>
  </si>
  <si>
    <t>Coberturas del suelo</t>
  </si>
  <si>
    <t>Cambios de cobertura del suelo</t>
  </si>
  <si>
    <t>Características de los humedales</t>
  </si>
  <si>
    <t>Humedal 1</t>
  </si>
  <si>
    <t>Humedal 2</t>
  </si>
  <si>
    <r>
      <t xml:space="preserve">Profundiad máxima del humedal </t>
    </r>
    <r>
      <rPr>
        <i/>
        <sz val="11"/>
        <color theme="1"/>
        <rFont val="Gill Sans"/>
        <family val="2"/>
      </rPr>
      <t>y</t>
    </r>
    <r>
      <rPr>
        <i/>
        <vertAlign val="subscript"/>
        <sz val="11"/>
        <color theme="1"/>
        <rFont val="Gill Sans"/>
        <family val="2"/>
      </rPr>
      <t>wl</t>
    </r>
    <r>
      <rPr>
        <sz val="11"/>
        <color theme="1"/>
        <rFont val="Gill Sans"/>
        <family val="2"/>
      </rPr>
      <t xml:space="preserve"> (m)</t>
    </r>
  </si>
  <si>
    <r>
      <t xml:space="preserve">Conductividad hidráulica en el humedal </t>
    </r>
    <r>
      <rPr>
        <i/>
        <sz val="11"/>
        <color theme="1"/>
        <rFont val="Gill Sans"/>
        <family val="2"/>
      </rPr>
      <t>K</t>
    </r>
    <r>
      <rPr>
        <i/>
        <vertAlign val="subscript"/>
        <sz val="11"/>
        <color theme="1"/>
        <rFont val="Gill Sans"/>
        <family val="2"/>
      </rPr>
      <t>sat,wl</t>
    </r>
    <r>
      <rPr>
        <sz val="11"/>
        <color theme="1"/>
        <rFont val="Gill Sans"/>
        <family val="2"/>
      </rPr>
      <t xml:space="preserve"> (mm/día)</t>
    </r>
  </si>
  <si>
    <r>
      <t xml:space="preserve">Profundidad de agua inicial en el humedal </t>
    </r>
    <r>
      <rPr>
        <i/>
        <sz val="11"/>
        <color theme="1"/>
        <rFont val="Gill Sans"/>
        <family val="2"/>
      </rPr>
      <t>y</t>
    </r>
    <r>
      <rPr>
        <i/>
        <vertAlign val="subscript"/>
        <sz val="11"/>
        <color theme="1"/>
        <rFont val="Gill Sans"/>
        <family val="2"/>
      </rPr>
      <t>o</t>
    </r>
    <r>
      <rPr>
        <sz val="11"/>
        <color theme="1"/>
        <rFont val="Gill Sans"/>
        <family val="2"/>
      </rPr>
      <t xml:space="preserve"> (m)</t>
    </r>
  </si>
  <si>
    <r>
      <t xml:space="preserve">Capacidad de campo del suelo del humedal </t>
    </r>
    <r>
      <rPr>
        <i/>
        <sz val="11"/>
        <color theme="1"/>
        <rFont val="Gill Sans"/>
        <family val="2"/>
      </rPr>
      <t>fc</t>
    </r>
    <r>
      <rPr>
        <i/>
        <vertAlign val="subscript"/>
        <sz val="11"/>
        <color theme="1"/>
        <rFont val="Gill Sans"/>
        <family val="2"/>
      </rPr>
      <t>wl</t>
    </r>
    <r>
      <rPr>
        <sz val="11"/>
        <color theme="1"/>
        <rFont val="Gill Sans"/>
        <family val="2"/>
      </rPr>
      <t xml:space="preserve"> (mm/mm)</t>
    </r>
  </si>
  <si>
    <r>
      <t xml:space="preserve">Punto de marchitez del suelo del humedal </t>
    </r>
    <r>
      <rPr>
        <i/>
        <sz val="11"/>
        <color theme="1"/>
        <rFont val="Gill Sans"/>
        <family val="2"/>
      </rPr>
      <t>wp</t>
    </r>
    <r>
      <rPr>
        <i/>
        <vertAlign val="subscript"/>
        <sz val="11"/>
        <color theme="1"/>
        <rFont val="Gill Sans"/>
        <family val="2"/>
      </rPr>
      <t>wl</t>
    </r>
    <r>
      <rPr>
        <sz val="11"/>
        <color theme="1"/>
        <rFont val="Gill Sans"/>
        <family val="2"/>
      </rPr>
      <t xml:space="preserve"> (mm/mm)</t>
    </r>
  </si>
  <si>
    <r>
      <t xml:space="preserve">Albedo del humedal </t>
    </r>
    <r>
      <rPr>
        <i/>
        <sz val="11"/>
        <color theme="1"/>
        <rFont val="Gill Sans"/>
        <family val="2"/>
      </rPr>
      <t>⍺</t>
    </r>
    <r>
      <rPr>
        <i/>
        <vertAlign val="subscript"/>
        <sz val="11"/>
        <color theme="1"/>
        <rFont val="Gill Sans"/>
        <family val="2"/>
      </rPr>
      <t>wl</t>
    </r>
    <r>
      <rPr>
        <sz val="11"/>
        <color theme="1"/>
        <rFont val="Gill Sans"/>
        <family val="2"/>
      </rPr>
      <t xml:space="preserve"> (fracción)</t>
    </r>
  </si>
  <si>
    <r>
      <t xml:space="preserve">Recarga </t>
    </r>
    <r>
      <rPr>
        <i/>
        <sz val="11"/>
        <color theme="1"/>
        <rFont val="Gill Sans"/>
        <family val="2"/>
      </rPr>
      <t>r</t>
    </r>
    <r>
      <rPr>
        <i/>
        <vertAlign val="subscript"/>
        <sz val="11"/>
        <color theme="1"/>
        <rFont val="Gill Sans"/>
        <family val="2"/>
      </rPr>
      <t>a</t>
    </r>
    <r>
      <rPr>
        <sz val="11"/>
        <color theme="1"/>
        <rFont val="Gill Sans"/>
        <family val="2"/>
      </rPr>
      <t xml:space="preserve"> (m</t>
    </r>
    <r>
      <rPr>
        <vertAlign val="superscript"/>
        <sz val="11"/>
        <color theme="1"/>
        <rFont val="Gill Sans"/>
        <family val="2"/>
      </rPr>
      <t>3</t>
    </r>
    <r>
      <rPr>
        <sz val="11"/>
        <color theme="1"/>
        <rFont val="Gill Sans"/>
        <family val="2"/>
      </rPr>
      <t>/m</t>
    </r>
    <r>
      <rPr>
        <vertAlign val="superscript"/>
        <sz val="11"/>
        <color theme="1"/>
        <rFont val="Gill Sans"/>
        <family val="2"/>
      </rPr>
      <t>3</t>
    </r>
    <r>
      <rPr>
        <sz val="11"/>
        <color theme="1"/>
        <rFont val="Gill Sans"/>
        <family val="2"/>
      </rPr>
      <t>) (aporte de agua subterránea)</t>
    </r>
  </si>
  <si>
    <t>Costos de recuperación del humedal</t>
  </si>
  <si>
    <t>Costos de recuperación del humedal (USD/ha)</t>
  </si>
  <si>
    <r>
      <t xml:space="preserve">Rendimiento del acuífero </t>
    </r>
    <r>
      <rPr>
        <i/>
        <sz val="11"/>
        <color theme="1"/>
        <rFont val="Gill Sans"/>
        <family val="2"/>
      </rPr>
      <t>Y</t>
    </r>
    <r>
      <rPr>
        <i/>
        <vertAlign val="subscript"/>
        <sz val="11"/>
        <color theme="1"/>
        <rFont val="Gill Sans"/>
        <family val="2"/>
      </rPr>
      <t>a</t>
    </r>
    <r>
      <rPr>
        <sz val="11"/>
        <color theme="1"/>
        <rFont val="Gill Sans"/>
        <family val="2"/>
      </rPr>
      <t xml:space="preserve"> (mm/mm)</t>
    </r>
  </si>
  <si>
    <r>
      <t xml:space="preserve">Conductividad hidráulica </t>
    </r>
    <r>
      <rPr>
        <i/>
        <sz val="11"/>
        <color theme="1"/>
        <rFont val="Gill Sans"/>
        <family val="2"/>
      </rPr>
      <t>K</t>
    </r>
    <r>
      <rPr>
        <i/>
        <vertAlign val="subscript"/>
        <sz val="11"/>
        <color theme="1"/>
        <rFont val="Gill Sans"/>
        <family val="2"/>
      </rPr>
      <t>sat,a</t>
    </r>
    <r>
      <rPr>
        <sz val="11"/>
        <color theme="1"/>
        <rFont val="Gill Sans"/>
        <family val="2"/>
      </rPr>
      <t xml:space="preserve"> (mm/día)</t>
    </r>
  </si>
  <si>
    <t>**Estos valores afectan las entradas de agua subterránea al humedal y a la qocha. Esto es opcional. Si desea incluir el agua subterránea, cambie el input de recarga a un valor entre 0 y 1. La recarga describe la fracción del acuífero poco profundo del área de aporte que contribuye al humedal o a la qocha.</t>
  </si>
  <si>
    <r>
      <t xml:space="preserve">Caudal observado luego de la intervención - </t>
    </r>
    <r>
      <rPr>
        <b/>
        <i/>
        <sz val="11"/>
        <color theme="0"/>
        <rFont val="Gill Sans"/>
        <family val="2"/>
      </rPr>
      <t>Q</t>
    </r>
    <r>
      <rPr>
        <b/>
        <i/>
        <vertAlign val="subscript"/>
        <sz val="11"/>
        <color theme="0"/>
        <rFont val="Gill Sans"/>
        <family val="2"/>
      </rPr>
      <t>obs am</t>
    </r>
    <r>
      <rPr>
        <b/>
        <sz val="11"/>
        <color theme="0"/>
        <rFont val="Gill Sans"/>
        <family val="2"/>
      </rPr>
      <t xml:space="preserve"> (mm)</t>
    </r>
  </si>
  <si>
    <r>
      <t xml:space="preserve">Caudal drenaje del humedal - </t>
    </r>
    <r>
      <rPr>
        <b/>
        <i/>
        <sz val="11"/>
        <color theme="0"/>
        <rFont val="Gill Sans"/>
        <family val="2"/>
      </rPr>
      <t>Q</t>
    </r>
    <r>
      <rPr>
        <b/>
        <i/>
        <vertAlign val="subscript"/>
        <sz val="11"/>
        <color theme="0"/>
        <rFont val="Gill Sans"/>
        <family val="2"/>
      </rPr>
      <t>in</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</si>
  <si>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Caudal de irrigación artificial del humedal - </t>
    </r>
    <r>
      <rPr>
        <b/>
        <i/>
        <sz val="11"/>
        <color theme="0"/>
        <rFont val="Gill Sans"/>
        <family val="2"/>
      </rPr>
      <t>Q</t>
    </r>
    <r>
      <rPr>
        <b/>
        <i/>
        <vertAlign val="subscript"/>
        <sz val="11"/>
        <color theme="0"/>
        <rFont val="Gill Sans"/>
        <family val="2"/>
      </rPr>
      <t>in</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</si>
  <si>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Área de contribución al humedal </t>
    </r>
    <r>
      <rPr>
        <i/>
        <sz val="11"/>
        <color theme="1"/>
        <rFont val="Gill Sans"/>
        <family val="2"/>
      </rPr>
      <t>A</t>
    </r>
    <r>
      <rPr>
        <i/>
        <vertAlign val="subscript"/>
        <sz val="11"/>
        <color theme="1"/>
        <rFont val="Gill Sans"/>
        <family val="2"/>
      </rPr>
      <t>c</t>
    </r>
    <r>
      <rPr>
        <sz val="11"/>
        <color theme="1"/>
        <rFont val="Gill Sans"/>
        <family val="2"/>
      </rPr>
      <t xml:space="preserve"> (ha)</t>
    </r>
  </si>
  <si>
    <r>
      <t xml:space="preserve">Área de humedal </t>
    </r>
    <r>
      <rPr>
        <i/>
        <sz val="11"/>
        <color theme="1"/>
        <rFont val="Gill Sans"/>
        <family val="2"/>
      </rPr>
      <t>A</t>
    </r>
    <r>
      <rPr>
        <i/>
        <vertAlign val="subscript"/>
        <sz val="11"/>
        <color theme="1"/>
        <rFont val="Gill Sans"/>
        <family val="2"/>
      </rPr>
      <t>wl</t>
    </r>
    <r>
      <rPr>
        <sz val="11"/>
        <color theme="1"/>
        <rFont val="Gill Sans"/>
        <family val="2"/>
      </rPr>
      <t xml:space="preserve"> (ha)</t>
    </r>
  </si>
  <si>
    <r>
      <t xml:space="preserve">Profundidad máxima de almacenamiento del humedal </t>
    </r>
    <r>
      <rPr>
        <i/>
        <sz val="11"/>
        <color theme="1"/>
        <rFont val="Gill Sans"/>
        <family val="2"/>
      </rPr>
      <t>W</t>
    </r>
    <r>
      <rPr>
        <i/>
        <vertAlign val="subscript"/>
        <sz val="11"/>
        <color theme="1"/>
        <rFont val="Gill Sans"/>
        <family val="2"/>
      </rPr>
      <t>max</t>
    </r>
    <r>
      <rPr>
        <sz val="11"/>
        <color theme="1"/>
        <rFont val="Gill Sans"/>
        <family val="2"/>
      </rPr>
      <t xml:space="preserve"> (mm)</t>
    </r>
  </si>
  <si>
    <r>
      <t xml:space="preserve">Capacidad de campo del humedal </t>
    </r>
    <r>
      <rPr>
        <i/>
        <sz val="11"/>
        <color theme="1"/>
        <rFont val="Gill Sans"/>
        <family val="2"/>
      </rPr>
      <t>fc</t>
    </r>
    <r>
      <rPr>
        <i/>
        <vertAlign val="subscript"/>
        <sz val="11"/>
        <color theme="1"/>
        <rFont val="Gill Sans"/>
        <family val="2"/>
      </rPr>
      <t>wl</t>
    </r>
    <r>
      <rPr>
        <sz val="11"/>
        <color theme="1"/>
        <rFont val="Gill Sans"/>
        <family val="2"/>
      </rPr>
      <t xml:space="preserve"> ( mm)</t>
    </r>
  </si>
  <si>
    <r>
      <t xml:space="preserve">Punto de marchitez del humedal </t>
    </r>
    <r>
      <rPr>
        <i/>
        <sz val="11"/>
        <color theme="1"/>
        <rFont val="Gill Sans"/>
        <family val="2"/>
      </rPr>
      <t>wp</t>
    </r>
    <r>
      <rPr>
        <i/>
        <vertAlign val="subscript"/>
        <sz val="11"/>
        <color theme="1"/>
        <rFont val="Gill Sans"/>
        <family val="2"/>
      </rPr>
      <t>wl</t>
    </r>
    <r>
      <rPr>
        <sz val="11"/>
        <color theme="1"/>
        <rFont val="Gill Sans"/>
        <family val="2"/>
      </rPr>
      <t xml:space="preserve"> (mm)</t>
    </r>
  </si>
  <si>
    <r>
      <t>Lámina de infiltración de agua del humedal –</t>
    </r>
    <r>
      <rPr>
        <i/>
        <sz val="11"/>
        <color theme="1"/>
        <rFont val="Gill Sans"/>
        <family val="2"/>
      </rPr>
      <t>K</t>
    </r>
    <r>
      <rPr>
        <i/>
        <vertAlign val="subscript"/>
        <sz val="11"/>
        <color theme="1"/>
        <rFont val="Gill Sans"/>
        <family val="2"/>
      </rPr>
      <t>sat,wl</t>
    </r>
    <r>
      <rPr>
        <i/>
        <sz val="11"/>
        <color theme="1"/>
        <rFont val="Gill Sans"/>
        <family val="2"/>
      </rPr>
      <t>·fc</t>
    </r>
    <r>
      <rPr>
        <i/>
        <vertAlign val="subscript"/>
        <sz val="11"/>
        <color theme="1"/>
        <rFont val="Gill Sans"/>
        <family val="2"/>
      </rPr>
      <t>wl</t>
    </r>
    <r>
      <rPr>
        <i/>
        <vertAlign val="superscript"/>
        <sz val="11"/>
        <color theme="1"/>
        <rFont val="Gill Sans"/>
        <family val="2"/>
      </rPr>
      <t>2</t>
    </r>
  </si>
  <si>
    <t>Recarga</t>
  </si>
  <si>
    <r>
      <t xml:space="preserve">Coeficiente de distancia de trayectoria del agua </t>
    </r>
    <r>
      <rPr>
        <i/>
        <sz val="11"/>
        <color theme="1"/>
        <rFont val="Gill Sans"/>
        <family val="2"/>
      </rPr>
      <t>L</t>
    </r>
    <r>
      <rPr>
        <sz val="11"/>
        <color theme="1"/>
        <rFont val="Gill Sans"/>
        <family val="2"/>
      </rPr>
      <t xml:space="preserve"> (m</t>
    </r>
    <r>
      <rPr>
        <vertAlign val="superscript"/>
        <sz val="11"/>
        <color theme="1"/>
        <rFont val="Gill Sans"/>
        <family val="2"/>
      </rPr>
      <t>2</t>
    </r>
    <r>
      <rPr>
        <sz val="11"/>
        <color theme="1"/>
        <rFont val="Gill Sans"/>
        <family val="2"/>
      </rPr>
      <t>)</t>
    </r>
  </si>
  <si>
    <r>
      <t xml:space="preserve">Coeficiente mínimo </t>
    </r>
    <r>
      <rPr>
        <i/>
        <sz val="11"/>
        <color theme="1"/>
        <rFont val="Gill Sans"/>
        <family val="2"/>
      </rPr>
      <t>L</t>
    </r>
    <r>
      <rPr>
        <i/>
        <vertAlign val="subscript"/>
        <sz val="11"/>
        <color theme="1"/>
        <rFont val="Gill Sans"/>
        <family val="2"/>
      </rPr>
      <t>min</t>
    </r>
    <r>
      <rPr>
        <sz val="11"/>
        <color theme="1"/>
        <rFont val="Gill Sans"/>
        <family val="2"/>
      </rPr>
      <t xml:space="preserve"> (m</t>
    </r>
    <r>
      <rPr>
        <vertAlign val="superscript"/>
        <sz val="11"/>
        <color theme="1"/>
        <rFont val="Gill Sans"/>
        <family val="2"/>
      </rPr>
      <t>2</t>
    </r>
    <r>
      <rPr>
        <sz val="11"/>
        <color theme="1"/>
        <rFont val="Gill Sans"/>
        <family val="2"/>
      </rPr>
      <t>)</t>
    </r>
  </si>
  <si>
    <r>
      <t xml:space="preserve">Coeficiente corregido </t>
    </r>
    <r>
      <rPr>
        <i/>
        <sz val="11"/>
        <color theme="1"/>
        <rFont val="Gill Sans"/>
        <family val="2"/>
      </rPr>
      <t>L*</t>
    </r>
    <r>
      <rPr>
        <sz val="11"/>
        <color theme="1"/>
        <rFont val="Gill Sans"/>
        <family val="2"/>
      </rPr>
      <t xml:space="preserve"> (m</t>
    </r>
    <r>
      <rPr>
        <vertAlign val="superscript"/>
        <sz val="11"/>
        <color theme="1"/>
        <rFont val="Gill Sans"/>
        <family val="2"/>
      </rPr>
      <t>2</t>
    </r>
    <r>
      <rPr>
        <sz val="11"/>
        <color theme="1"/>
        <rFont val="Gill Sans"/>
        <family val="2"/>
      </rPr>
      <t>)</t>
    </r>
  </si>
  <si>
    <r>
      <t xml:space="preserve">Altura del nivel freático - </t>
    </r>
    <r>
      <rPr>
        <b/>
        <i/>
        <sz val="11"/>
        <color theme="0"/>
        <rFont val="Gill Sans"/>
        <family val="2"/>
      </rPr>
      <t>h</t>
    </r>
    <r>
      <rPr>
        <b/>
        <sz val="11"/>
        <color theme="0"/>
        <rFont val="Gill Sans"/>
        <family val="2"/>
      </rPr>
      <t xml:space="preserve"> (m)</t>
    </r>
  </si>
  <si>
    <r>
      <t>Flujo de agua subterránea - q</t>
    </r>
    <r>
      <rPr>
        <b/>
        <i/>
        <vertAlign val="subscript"/>
        <sz val="11"/>
        <color theme="0"/>
        <rFont val="Calibri"/>
        <family val="2"/>
        <scheme val="minor"/>
      </rPr>
      <t>gw</t>
    </r>
    <r>
      <rPr>
        <b/>
        <sz val="11"/>
        <color theme="0"/>
        <rFont val="Calibri"/>
        <family val="2"/>
        <scheme val="minor"/>
      </rPr>
      <t xml:space="preserve"> (mm)</t>
    </r>
  </si>
  <si>
    <r>
      <t xml:space="preserve">Ingreso de escorrentía  - </t>
    </r>
    <r>
      <rPr>
        <b/>
        <i/>
        <sz val="11"/>
        <color theme="0"/>
        <rFont val="Gill Sans"/>
        <family val="2"/>
      </rPr>
      <t>W</t>
    </r>
    <r>
      <rPr>
        <b/>
        <i/>
        <vertAlign val="subscript"/>
        <sz val="11"/>
        <color theme="0"/>
        <rFont val="Gill Sans"/>
        <family val="2"/>
      </rPr>
      <t>qo</t>
    </r>
    <r>
      <rPr>
        <b/>
        <sz val="11"/>
        <color theme="0"/>
        <rFont val="Gill Sans"/>
        <family val="2"/>
      </rPr>
      <t xml:space="preserve"> (mm)</t>
    </r>
  </si>
  <si>
    <r>
      <t xml:space="preserve">Ingreso de agua subterránea  - </t>
    </r>
    <r>
      <rPr>
        <b/>
        <i/>
        <sz val="11"/>
        <color theme="0"/>
        <rFont val="Gill Sans"/>
        <family val="2"/>
      </rPr>
      <t>W</t>
    </r>
    <r>
      <rPr>
        <b/>
        <i/>
        <vertAlign val="subscript"/>
        <sz val="11"/>
        <color theme="0"/>
        <rFont val="Gill Sans"/>
        <family val="2"/>
      </rPr>
      <t>gw</t>
    </r>
    <r>
      <rPr>
        <b/>
        <sz val="11"/>
        <color theme="0"/>
        <rFont val="Gill Sans"/>
        <family val="2"/>
      </rPr>
      <t xml:space="preserve"> (mm)</t>
    </r>
  </si>
  <si>
    <r>
      <t xml:space="preserve">Ingreso de irrigación - </t>
    </r>
    <r>
      <rPr>
        <b/>
        <i/>
        <sz val="11"/>
        <color theme="0"/>
        <rFont val="Gill Sans"/>
        <family val="2"/>
      </rPr>
      <t>W</t>
    </r>
    <r>
      <rPr>
        <b/>
        <i/>
        <vertAlign val="subscript"/>
        <sz val="11"/>
        <color theme="0"/>
        <rFont val="Gill Sans"/>
        <family val="2"/>
      </rPr>
      <t>in</t>
    </r>
    <r>
      <rPr>
        <b/>
        <sz val="11"/>
        <color theme="0"/>
        <rFont val="Gill Sans"/>
        <family val="2"/>
      </rPr>
      <t xml:space="preserve"> (mm)</t>
    </r>
  </si>
  <si>
    <r>
      <t xml:space="preserve">Salida por filtración - </t>
    </r>
    <r>
      <rPr>
        <b/>
        <i/>
        <sz val="11"/>
        <color theme="0"/>
        <rFont val="Gill Sans"/>
        <family val="2"/>
      </rPr>
      <t>W</t>
    </r>
    <r>
      <rPr>
        <b/>
        <i/>
        <vertAlign val="subscript"/>
        <sz val="11"/>
        <color theme="0"/>
        <rFont val="Gill Sans"/>
        <family val="2"/>
      </rPr>
      <t>s</t>
    </r>
    <r>
      <rPr>
        <b/>
        <sz val="11"/>
        <color theme="0"/>
        <rFont val="Gill Sans"/>
        <family val="2"/>
      </rPr>
      <t xml:space="preserve"> (mm)</t>
    </r>
  </si>
  <si>
    <r>
      <t xml:space="preserve">Evapotranspiración potencial del humedal - </t>
    </r>
    <r>
      <rPr>
        <b/>
        <i/>
        <sz val="11"/>
        <color theme="0"/>
        <rFont val="Gill Sans"/>
        <family val="2"/>
      </rPr>
      <t>ET</t>
    </r>
    <r>
      <rPr>
        <b/>
        <i/>
        <vertAlign val="subscript"/>
        <sz val="11"/>
        <color theme="0"/>
        <rFont val="Gill Sans"/>
        <family val="2"/>
      </rPr>
      <t>P,wl</t>
    </r>
    <r>
      <rPr>
        <b/>
        <sz val="11"/>
        <color theme="0"/>
        <rFont val="Gill Sans"/>
        <family val="2"/>
      </rPr>
      <t xml:space="preserve"> (mm)</t>
    </r>
  </si>
  <si>
    <r>
      <t xml:space="preserve">Salida por evapotranspiración - </t>
    </r>
    <r>
      <rPr>
        <b/>
        <i/>
        <sz val="11"/>
        <color theme="0"/>
        <rFont val="Gill Sans"/>
        <family val="2"/>
      </rPr>
      <t>W</t>
    </r>
    <r>
      <rPr>
        <b/>
        <i/>
        <vertAlign val="subscript"/>
        <sz val="11"/>
        <color theme="0"/>
        <rFont val="Gill Sans"/>
        <family val="2"/>
      </rPr>
      <t>ET</t>
    </r>
    <r>
      <rPr>
        <b/>
        <sz val="11"/>
        <color theme="0"/>
        <rFont val="Gill Sans"/>
        <family val="2"/>
      </rPr>
      <t xml:space="preserve"> (mm)</t>
    </r>
  </si>
  <si>
    <r>
      <t xml:space="preserve">Salida por drenaje del humedal - </t>
    </r>
    <r>
      <rPr>
        <b/>
        <i/>
        <sz val="11"/>
        <color theme="0"/>
        <rFont val="Gill Sans"/>
        <family val="2"/>
      </rPr>
      <t>V</t>
    </r>
    <r>
      <rPr>
        <b/>
        <i/>
        <vertAlign val="subscript"/>
        <sz val="11"/>
        <color theme="0"/>
        <rFont val="Gill Sans"/>
        <family val="2"/>
      </rPr>
      <t>wd</t>
    </r>
    <r>
      <rPr>
        <b/>
        <sz val="11"/>
        <color theme="0"/>
        <rFont val="Gill Sans"/>
        <family val="2"/>
      </rPr>
      <t xml:space="preserve"> (mm)</t>
    </r>
  </si>
  <si>
    <r>
      <t xml:space="preserve">Salida por saturación del humedal - </t>
    </r>
    <r>
      <rPr>
        <b/>
        <i/>
        <sz val="11"/>
        <color theme="0"/>
        <rFont val="Gill Sans"/>
        <family val="2"/>
      </rPr>
      <t>V</t>
    </r>
    <r>
      <rPr>
        <b/>
        <i/>
        <vertAlign val="subscript"/>
        <sz val="11"/>
        <color theme="0"/>
        <rFont val="Gill Sans"/>
        <family val="2"/>
      </rPr>
      <t>out</t>
    </r>
    <r>
      <rPr>
        <b/>
        <sz val="11"/>
        <color theme="0"/>
        <rFont val="Gill Sans"/>
        <family val="2"/>
      </rPr>
      <t xml:space="preserve"> (mm)</t>
    </r>
  </si>
  <si>
    <r>
      <t xml:space="preserve">Almacenamiento total en el humedal - </t>
    </r>
    <r>
      <rPr>
        <b/>
        <i/>
        <sz val="11"/>
        <color theme="0"/>
        <rFont val="Gill Sans"/>
        <family val="2"/>
      </rPr>
      <t>W</t>
    </r>
    <r>
      <rPr>
        <b/>
        <i/>
        <vertAlign val="subscript"/>
        <sz val="11"/>
        <color theme="0"/>
        <rFont val="Gill Sans"/>
        <family val="2"/>
      </rPr>
      <t>wl</t>
    </r>
    <r>
      <rPr>
        <b/>
        <sz val="11"/>
        <color theme="0"/>
        <rFont val="Gill Sans"/>
        <family val="2"/>
      </rPr>
      <t xml:space="preserve"> (mm)</t>
    </r>
  </si>
  <si>
    <r>
      <t xml:space="preserve">Evapotranspiración después del humedal - </t>
    </r>
    <r>
      <rPr>
        <b/>
        <i/>
        <sz val="11"/>
        <color theme="0"/>
        <rFont val="Gill Sans"/>
        <family val="2"/>
      </rPr>
      <t>ET</t>
    </r>
    <r>
      <rPr>
        <b/>
        <i/>
        <vertAlign val="subscript"/>
        <sz val="11"/>
        <color theme="0"/>
        <rFont val="Gill Sans"/>
        <family val="2"/>
      </rPr>
      <t>wl</t>
    </r>
    <r>
      <rPr>
        <b/>
        <sz val="11"/>
        <color theme="0"/>
        <rFont val="Gill Sans"/>
        <family val="2"/>
      </rPr>
      <t xml:space="preserve"> (mm/día)</t>
    </r>
  </si>
  <si>
    <r>
      <t xml:space="preserve">Escorrentía después del humedal - </t>
    </r>
    <r>
      <rPr>
        <b/>
        <i/>
        <sz val="11"/>
        <color theme="0"/>
        <rFont val="Gill Sans"/>
        <family val="2"/>
      </rPr>
      <t>q</t>
    </r>
    <r>
      <rPr>
        <b/>
        <i/>
        <vertAlign val="subscript"/>
        <sz val="11"/>
        <color theme="0"/>
        <rFont val="Gill Sans"/>
        <family val="2"/>
      </rPr>
      <t>0,wl</t>
    </r>
    <r>
      <rPr>
        <b/>
        <sz val="11"/>
        <color theme="0"/>
        <rFont val="Gill Sans"/>
        <family val="2"/>
      </rPr>
      <t xml:space="preserve"> (mm)</t>
    </r>
  </si>
  <si>
    <r>
      <t xml:space="preserve">Percolación después del humedal - </t>
    </r>
    <r>
      <rPr>
        <b/>
        <i/>
        <sz val="11"/>
        <color theme="0"/>
        <rFont val="Gill Sans"/>
        <family val="2"/>
      </rPr>
      <t>p</t>
    </r>
    <r>
      <rPr>
        <b/>
        <i/>
        <vertAlign val="subscript"/>
        <sz val="11"/>
        <color theme="0"/>
        <rFont val="Gill Sans"/>
        <family val="2"/>
      </rPr>
      <t>wl</t>
    </r>
    <r>
      <rPr>
        <b/>
        <sz val="11"/>
        <color theme="0"/>
        <rFont val="Gill Sans"/>
        <family val="2"/>
      </rPr>
      <t xml:space="preserve"> (mm)</t>
    </r>
  </si>
  <si>
    <r>
      <t xml:space="preserve">Percolación antes del humedal - </t>
    </r>
    <r>
      <rPr>
        <b/>
        <i/>
        <sz val="11"/>
        <color theme="0"/>
        <rFont val="Gill Sans"/>
        <family val="2"/>
      </rPr>
      <t>p</t>
    </r>
    <r>
      <rPr>
        <b/>
        <sz val="11"/>
        <color theme="0"/>
        <rFont val="Gill Sans"/>
        <family val="2"/>
      </rPr>
      <t xml:space="preserve"> (mm)</t>
    </r>
  </si>
  <si>
    <r>
      <t xml:space="preserve">Reservorio subsuperficial de la amuna - </t>
    </r>
    <r>
      <rPr>
        <b/>
        <i/>
        <sz val="11"/>
        <color theme="0"/>
        <rFont val="Gill Sans"/>
        <family val="2"/>
      </rPr>
      <t>R</t>
    </r>
    <r>
      <rPr>
        <b/>
        <i/>
        <vertAlign val="subscript"/>
        <sz val="11"/>
        <color theme="0"/>
        <rFont val="Gill Sans"/>
        <family val="2"/>
      </rPr>
      <t>b2</t>
    </r>
    <r>
      <rPr>
        <b/>
        <sz val="11"/>
        <color theme="0"/>
        <rFont val="Gill Sans"/>
        <family val="2"/>
      </rPr>
      <t xml:space="preserve"> (mm)</t>
    </r>
  </si>
  <si>
    <t>Área equivalente de la qocha (ha)</t>
  </si>
  <si>
    <r>
      <t xml:space="preserve">Área de contribución a la qocha </t>
    </r>
    <r>
      <rPr>
        <i/>
        <sz val="11"/>
        <color theme="1"/>
        <rFont val="Gill Sans"/>
        <family val="2"/>
      </rPr>
      <t>A</t>
    </r>
    <r>
      <rPr>
        <i/>
        <vertAlign val="subscript"/>
        <sz val="11"/>
        <color theme="1"/>
        <rFont val="Gill Sans"/>
        <family val="2"/>
      </rPr>
      <t>c</t>
    </r>
    <r>
      <rPr>
        <sz val="11"/>
        <color theme="1"/>
        <rFont val="Gill Sans"/>
        <family val="2"/>
      </rPr>
      <t xml:space="preserve"> (ha)</t>
    </r>
  </si>
  <si>
    <r>
      <t xml:space="preserve">Área de la qocha </t>
    </r>
    <r>
      <rPr>
        <i/>
        <sz val="11"/>
        <color theme="1"/>
        <rFont val="Gill Sans"/>
        <family val="2"/>
      </rPr>
      <t>A</t>
    </r>
    <r>
      <rPr>
        <i/>
        <vertAlign val="subscript"/>
        <sz val="11"/>
        <color theme="1"/>
        <rFont val="Gill Sans"/>
        <family val="2"/>
      </rPr>
      <t>qc</t>
    </r>
    <r>
      <rPr>
        <sz val="11"/>
        <color theme="1"/>
        <rFont val="Gill Sans"/>
        <family val="2"/>
      </rPr>
      <t xml:space="preserve"> (m</t>
    </r>
    <r>
      <rPr>
        <vertAlign val="superscript"/>
        <sz val="11"/>
        <color theme="1"/>
        <rFont val="Gill Sans"/>
        <family val="2"/>
      </rPr>
      <t>2</t>
    </r>
    <r>
      <rPr>
        <sz val="11"/>
        <color theme="1"/>
        <rFont val="Gill Sans"/>
        <family val="2"/>
      </rPr>
      <t>)</t>
    </r>
  </si>
  <si>
    <t>Validación (área de zanjas menor que área total)</t>
  </si>
  <si>
    <t>Características de las qochas</t>
  </si>
  <si>
    <t>Qochas 1</t>
  </si>
  <si>
    <t>Qochas 2</t>
  </si>
  <si>
    <r>
      <t xml:space="preserve">Altura máxima de agua en la qocha </t>
    </r>
    <r>
      <rPr>
        <i/>
        <sz val="11"/>
        <color theme="1"/>
        <rFont val="Gill Sans"/>
        <family val="2"/>
      </rPr>
      <t>y</t>
    </r>
    <r>
      <rPr>
        <i/>
        <vertAlign val="subscript"/>
        <sz val="11"/>
        <color theme="1"/>
        <rFont val="Gill Sans"/>
        <family val="2"/>
      </rPr>
      <t>qc</t>
    </r>
    <r>
      <rPr>
        <sz val="11"/>
        <color theme="1"/>
        <rFont val="Gill Sans"/>
        <family val="2"/>
      </rPr>
      <t xml:space="preserve"> (m)</t>
    </r>
  </si>
  <si>
    <r>
      <t xml:space="preserve">Conductividad hidráulica en la qocha </t>
    </r>
    <r>
      <rPr>
        <i/>
        <sz val="11"/>
        <color theme="1"/>
        <rFont val="Gill Sans"/>
        <family val="2"/>
      </rPr>
      <t>K</t>
    </r>
    <r>
      <rPr>
        <i/>
        <vertAlign val="subscript"/>
        <sz val="11"/>
        <color theme="1"/>
        <rFont val="Gill Sans"/>
        <family val="2"/>
      </rPr>
      <t>sat,qc</t>
    </r>
    <r>
      <rPr>
        <sz val="11"/>
        <color theme="1"/>
        <rFont val="Gill Sans"/>
        <family val="2"/>
      </rPr>
      <t xml:space="preserve"> (mm/día)</t>
    </r>
  </si>
  <si>
    <r>
      <t xml:space="preserve">Altura inicial de agua en la qocha </t>
    </r>
    <r>
      <rPr>
        <i/>
        <sz val="11"/>
        <color theme="1"/>
        <rFont val="Gill Sans"/>
        <family val="2"/>
      </rPr>
      <t>y</t>
    </r>
    <r>
      <rPr>
        <i/>
        <vertAlign val="subscript"/>
        <sz val="11"/>
        <color theme="1"/>
        <rFont val="Gill Sans"/>
        <family val="2"/>
      </rPr>
      <t>o</t>
    </r>
    <r>
      <rPr>
        <sz val="11"/>
        <color theme="1"/>
        <rFont val="Gill Sans"/>
        <family val="2"/>
      </rPr>
      <t xml:space="preserve"> (m)</t>
    </r>
  </si>
  <si>
    <r>
      <t xml:space="preserve">Uso de agua directo de la qocha </t>
    </r>
    <r>
      <rPr>
        <i/>
        <sz val="11"/>
        <color theme="1"/>
        <rFont val="Gill Sans"/>
        <family val="2"/>
      </rPr>
      <t>Q</t>
    </r>
    <r>
      <rPr>
        <i/>
        <vertAlign val="subscript"/>
        <sz val="11"/>
        <color theme="1"/>
        <rFont val="Gill Sans"/>
        <family val="2"/>
      </rPr>
      <t>out</t>
    </r>
    <r>
      <rPr>
        <sz val="11"/>
        <color theme="1"/>
        <rFont val="Gill Sans"/>
        <family val="2"/>
      </rPr>
      <t xml:space="preserve"> (m</t>
    </r>
    <r>
      <rPr>
        <vertAlign val="superscript"/>
        <sz val="11"/>
        <color theme="1"/>
        <rFont val="Gill Sans"/>
        <family val="2"/>
      </rPr>
      <t>3</t>
    </r>
    <r>
      <rPr>
        <sz val="11"/>
        <color theme="1"/>
        <rFont val="Gill Sans"/>
        <family val="2"/>
      </rPr>
      <t>/día)</t>
    </r>
  </si>
  <si>
    <t>Costos de implementación de las qochas</t>
  </si>
  <si>
    <t>Qochas</t>
  </si>
  <si>
    <r>
      <t xml:space="preserve">Caudal adicional de ingreso a la qocha - </t>
    </r>
    <r>
      <rPr>
        <b/>
        <i/>
        <sz val="11"/>
        <color theme="0"/>
        <rFont val="Gill Sans"/>
        <family val="2"/>
      </rPr>
      <t>Q</t>
    </r>
    <r>
      <rPr>
        <b/>
        <i/>
        <vertAlign val="subscript"/>
        <sz val="11"/>
        <color theme="0"/>
        <rFont val="Gill Sans"/>
        <family val="2"/>
      </rPr>
      <t>in</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</si>
  <si>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infiltración </t>
    </r>
    <r>
      <rPr>
        <i/>
        <sz val="11"/>
        <color theme="1"/>
        <rFont val="Gill Sans"/>
        <family val="2"/>
      </rPr>
      <t>V</t>
    </r>
    <r>
      <rPr>
        <i/>
        <vertAlign val="subscript"/>
        <sz val="11"/>
        <color theme="1"/>
        <rFont val="Gill Sans"/>
        <family val="2"/>
      </rPr>
      <t>qo</t>
    </r>
    <r>
      <rPr>
        <sz val="11"/>
        <color theme="1"/>
        <rFont val="Gill Sans"/>
        <family val="2"/>
      </rPr>
      <t xml:space="preserve"> (m</t>
    </r>
    <r>
      <rPr>
        <vertAlign val="superscript"/>
        <sz val="11"/>
        <color theme="1"/>
        <rFont val="Gill Sans"/>
        <family val="2"/>
      </rPr>
      <t>3</t>
    </r>
    <r>
      <rPr>
        <sz val="11"/>
        <color theme="1"/>
        <rFont val="Gill Sans"/>
        <family val="2"/>
      </rPr>
      <t>)</t>
    </r>
  </si>
  <si>
    <r>
      <t xml:space="preserve">Volumen máximo de retención de qocha </t>
    </r>
    <r>
      <rPr>
        <i/>
        <sz val="11"/>
        <color theme="1"/>
        <rFont val="Gill Sans"/>
        <family val="2"/>
      </rPr>
      <t>V</t>
    </r>
    <r>
      <rPr>
        <i/>
        <vertAlign val="subscript"/>
        <sz val="11"/>
        <color theme="1"/>
        <rFont val="Gill Sans"/>
        <family val="2"/>
      </rPr>
      <t>max</t>
    </r>
    <r>
      <rPr>
        <sz val="11"/>
        <color theme="1"/>
        <rFont val="Gill Sans"/>
        <family val="2"/>
      </rPr>
      <t xml:space="preserve"> (m</t>
    </r>
    <r>
      <rPr>
        <vertAlign val="superscript"/>
        <sz val="11"/>
        <color theme="1"/>
        <rFont val="Gill Sans"/>
        <family val="2"/>
      </rPr>
      <t>3</t>
    </r>
    <r>
      <rPr>
        <sz val="11"/>
        <color theme="1"/>
        <rFont val="Gill Sans"/>
        <family val="2"/>
      </rPr>
      <t>)</t>
    </r>
  </si>
  <si>
    <r>
      <t xml:space="preserve">Volumen de escorrentía  - </t>
    </r>
    <r>
      <rPr>
        <b/>
        <i/>
        <sz val="11"/>
        <color theme="0"/>
        <rFont val="Gill Sans"/>
        <family val="2"/>
      </rPr>
      <t>V</t>
    </r>
    <r>
      <rPr>
        <b/>
        <i/>
        <vertAlign val="subscript"/>
        <sz val="11"/>
        <color theme="0"/>
        <rFont val="Gill Sans"/>
        <family val="2"/>
      </rPr>
      <t>qo</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</si>
  <si>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agua subterránea  - </t>
    </r>
    <r>
      <rPr>
        <b/>
        <i/>
        <sz val="11"/>
        <color theme="0"/>
        <rFont val="Gill Sans"/>
        <family val="2"/>
      </rPr>
      <t>V</t>
    </r>
    <r>
      <rPr>
        <b/>
        <i/>
        <vertAlign val="subscript"/>
        <sz val="11"/>
        <color theme="0"/>
        <rFont val="Gill Sans"/>
        <family val="2"/>
      </rPr>
      <t>gw</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</si>
  <si>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precipitación - </t>
    </r>
    <r>
      <rPr>
        <b/>
        <i/>
        <sz val="11"/>
        <color theme="0"/>
        <rFont val="Gill Sans"/>
        <family val="2"/>
      </rPr>
      <t>V</t>
    </r>
    <r>
      <rPr>
        <b/>
        <i/>
        <vertAlign val="subscript"/>
        <sz val="11"/>
        <color theme="0"/>
        <rFont val="Gill Sans"/>
        <family val="2"/>
      </rPr>
      <t>P</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</si>
  <si>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ingreso adicional - </t>
    </r>
    <r>
      <rPr>
        <b/>
        <i/>
        <sz val="11"/>
        <color theme="0"/>
        <rFont val="Gill Sans"/>
        <family val="2"/>
      </rPr>
      <t>V</t>
    </r>
    <r>
      <rPr>
        <b/>
        <i/>
        <vertAlign val="subscript"/>
        <sz val="11"/>
        <color theme="0"/>
        <rFont val="Gill Sans"/>
        <family val="2"/>
      </rPr>
      <t>in</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</si>
  <si>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evaporación - </t>
    </r>
    <r>
      <rPr>
        <b/>
        <i/>
        <sz val="11"/>
        <color theme="0"/>
        <rFont val="Gill Sans"/>
        <family val="2"/>
      </rPr>
      <t>V</t>
    </r>
    <r>
      <rPr>
        <b/>
        <i/>
        <vertAlign val="subscript"/>
        <sz val="11"/>
        <color theme="0"/>
        <rFont val="Gill Sans"/>
        <family val="2"/>
      </rPr>
      <t>ET</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</si>
  <si>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filtración - </t>
    </r>
    <r>
      <rPr>
        <b/>
        <i/>
        <sz val="11"/>
        <color theme="0"/>
        <rFont val="Gill Sans"/>
        <family val="2"/>
      </rPr>
      <t>V</t>
    </r>
    <r>
      <rPr>
        <b/>
        <i/>
        <vertAlign val="subscript"/>
        <sz val="11"/>
        <color theme="0"/>
        <rFont val="Gill Sans"/>
        <family val="2"/>
      </rPr>
      <t>s</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</si>
  <si>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Uso de agua directo - </t>
    </r>
    <r>
      <rPr>
        <b/>
        <i/>
        <sz val="11"/>
        <color theme="0"/>
        <rFont val="Gill Sans"/>
        <family val="2"/>
      </rPr>
      <t>V</t>
    </r>
    <r>
      <rPr>
        <b/>
        <i/>
        <vertAlign val="subscript"/>
        <sz val="11"/>
        <color theme="0"/>
        <rFont val="Gill Sans"/>
        <family val="2"/>
      </rPr>
      <t>wd</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</si>
  <si>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salida - </t>
    </r>
    <r>
      <rPr>
        <b/>
        <i/>
        <sz val="11"/>
        <color theme="0"/>
        <rFont val="Gill Sans"/>
        <family val="2"/>
      </rPr>
      <t>V</t>
    </r>
    <r>
      <rPr>
        <b/>
        <i/>
        <vertAlign val="subscript"/>
        <sz val="11"/>
        <color theme="0"/>
        <rFont val="Gill Sans"/>
        <family val="2"/>
      </rPr>
      <t>out</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</si>
  <si>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total - </t>
    </r>
    <r>
      <rPr>
        <b/>
        <i/>
        <sz val="11"/>
        <color theme="0"/>
        <rFont val="Gill Sans"/>
        <family val="2"/>
      </rPr>
      <t>V</t>
    </r>
    <r>
      <rPr>
        <b/>
        <i/>
        <vertAlign val="subscript"/>
        <sz val="11"/>
        <color theme="0"/>
        <rFont val="Gill Sans"/>
        <family val="2"/>
      </rPr>
      <t>tot</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</si>
  <si>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Evapotranspiración después de la qocha - </t>
    </r>
    <r>
      <rPr>
        <b/>
        <i/>
        <sz val="11"/>
        <color theme="0"/>
        <rFont val="Gill Sans"/>
        <family val="2"/>
      </rPr>
      <t>ET</t>
    </r>
    <r>
      <rPr>
        <b/>
        <i/>
        <vertAlign val="subscript"/>
        <sz val="11"/>
        <color theme="0"/>
        <rFont val="Gill Sans"/>
        <family val="2"/>
      </rPr>
      <t>qc</t>
    </r>
    <r>
      <rPr>
        <b/>
        <sz val="11"/>
        <color theme="0"/>
        <rFont val="Gill Sans"/>
        <family val="2"/>
      </rPr>
      <t xml:space="preserve"> (mm/día)</t>
    </r>
  </si>
  <si>
    <r>
      <t xml:space="preserve">Escorrentía después de la qocha - </t>
    </r>
    <r>
      <rPr>
        <b/>
        <i/>
        <sz val="11"/>
        <color theme="0"/>
        <rFont val="Gill Sans"/>
        <family val="2"/>
      </rPr>
      <t>q</t>
    </r>
    <r>
      <rPr>
        <b/>
        <i/>
        <vertAlign val="subscript"/>
        <sz val="11"/>
        <color theme="0"/>
        <rFont val="Gill Sans"/>
        <family val="2"/>
      </rPr>
      <t>0,qc</t>
    </r>
    <r>
      <rPr>
        <b/>
        <sz val="11"/>
        <color theme="0"/>
        <rFont val="Gill Sans"/>
        <family val="2"/>
      </rPr>
      <t xml:space="preserve"> (mm)</t>
    </r>
  </si>
  <si>
    <r>
      <t xml:space="preserve">Percolación después de la qocha - </t>
    </r>
    <r>
      <rPr>
        <b/>
        <i/>
        <sz val="11"/>
        <color theme="0"/>
        <rFont val="Gill Sans"/>
        <family val="2"/>
      </rPr>
      <t>p</t>
    </r>
    <r>
      <rPr>
        <b/>
        <i/>
        <vertAlign val="subscript"/>
        <sz val="11"/>
        <color theme="0"/>
        <rFont val="Gill Sans"/>
        <family val="2"/>
      </rPr>
      <t>qc</t>
    </r>
    <r>
      <rPr>
        <b/>
        <sz val="11"/>
        <color theme="0"/>
        <rFont val="Gill Sans"/>
        <family val="2"/>
      </rPr>
      <t xml:space="preserve"> (mm)</t>
    </r>
  </si>
  <si>
    <r>
      <t xml:space="preserve">Evapotranspiración potencial de la qocha - </t>
    </r>
    <r>
      <rPr>
        <b/>
        <i/>
        <sz val="11"/>
        <color theme="0"/>
        <rFont val="Gill Sans"/>
        <family val="2"/>
      </rPr>
      <t>ET</t>
    </r>
    <r>
      <rPr>
        <b/>
        <i/>
        <vertAlign val="subscript"/>
        <sz val="11"/>
        <color theme="0"/>
        <rFont val="Gill Sans"/>
        <family val="2"/>
      </rPr>
      <t>P,wl</t>
    </r>
  </si>
  <si>
    <r>
      <t xml:space="preserve">Reservorio subsuperficial de la qocha - </t>
    </r>
    <r>
      <rPr>
        <b/>
        <i/>
        <sz val="11"/>
        <color theme="0"/>
        <rFont val="Gill Sans"/>
        <family val="2"/>
      </rPr>
      <t>R</t>
    </r>
    <r>
      <rPr>
        <b/>
        <i/>
        <vertAlign val="subscript"/>
        <sz val="11"/>
        <color theme="0"/>
        <rFont val="Gill Sans"/>
        <family val="2"/>
      </rPr>
      <t>b2</t>
    </r>
    <r>
      <rPr>
        <b/>
        <sz val="11"/>
        <color theme="0"/>
        <rFont val="Gill Sans"/>
        <family val="2"/>
      </rPr>
      <t xml:space="preserve"> (mm)</t>
    </r>
  </si>
  <si>
    <r>
      <t xml:space="preserve">Caudal base adicional de la amuna – </t>
    </r>
    <r>
      <rPr>
        <b/>
        <i/>
        <sz val="11"/>
        <color theme="0"/>
        <rFont val="Gill Sans"/>
        <family val="2"/>
      </rPr>
      <t>q</t>
    </r>
    <r>
      <rPr>
        <b/>
        <i/>
        <vertAlign val="subscript"/>
        <sz val="11"/>
        <color theme="0"/>
        <rFont val="Gill Sans"/>
        <family val="2"/>
      </rPr>
      <t>b am</t>
    </r>
    <r>
      <rPr>
        <b/>
        <sz val="11"/>
        <color theme="0"/>
        <rFont val="Gill Sans"/>
        <family val="2"/>
      </rPr>
      <t xml:space="preserve"> (mm)</t>
    </r>
  </si>
  <si>
    <r>
      <t xml:space="preserve">Caudal base adicional de la qocha – </t>
    </r>
    <r>
      <rPr>
        <b/>
        <i/>
        <sz val="11"/>
        <color theme="0"/>
        <rFont val="Gill Sans"/>
        <family val="2"/>
      </rPr>
      <t>q</t>
    </r>
    <r>
      <rPr>
        <b/>
        <i/>
        <vertAlign val="subscript"/>
        <sz val="11"/>
        <color theme="0"/>
        <rFont val="Gill Sans"/>
        <family val="2"/>
      </rPr>
      <t>b am</t>
    </r>
    <r>
      <rPr>
        <b/>
        <sz val="11"/>
        <color theme="0"/>
        <rFont val="Gill Sans"/>
        <family val="2"/>
      </rPr>
      <t xml:space="preserve"> (mm)</t>
    </r>
  </si>
  <si>
    <t>Q LB (mm)</t>
  </si>
  <si>
    <t>Q E1 (mm)</t>
  </si>
  <si>
    <t>Q E2 (mm)</t>
  </si>
  <si>
    <t>Curvas de duración de caudal y sedimentos</t>
  </si>
  <si>
    <r>
      <t xml:space="preserve">Caudal simulado después de la intervención – </t>
    </r>
    <r>
      <rPr>
        <b/>
        <i/>
        <sz val="11"/>
        <color theme="0"/>
        <rFont val="Gill Sans"/>
        <family val="2"/>
      </rPr>
      <t>Q</t>
    </r>
    <r>
      <rPr>
        <b/>
        <i/>
        <vertAlign val="subscript"/>
        <sz val="11"/>
        <color theme="0"/>
        <rFont val="Gill Sans"/>
        <family val="2"/>
      </rPr>
      <t>sim2</t>
    </r>
    <r>
      <rPr>
        <b/>
        <sz val="11"/>
        <color theme="0"/>
        <rFont val="Gill Sans"/>
        <family val="2"/>
      </rPr>
      <t xml:space="preserve"> (mm)</t>
    </r>
  </si>
  <si>
    <r>
      <t xml:space="preserve">Caudal base  después de la intervención – </t>
    </r>
    <r>
      <rPr>
        <b/>
        <i/>
        <sz val="11"/>
        <color theme="0"/>
        <rFont val="Gill Sans"/>
        <family val="2"/>
      </rPr>
      <t>q</t>
    </r>
    <r>
      <rPr>
        <b/>
        <i/>
        <vertAlign val="subscript"/>
        <sz val="11"/>
        <color theme="0"/>
        <rFont val="Gill Sans"/>
        <family val="2"/>
      </rPr>
      <t>b2</t>
    </r>
    <r>
      <rPr>
        <b/>
        <sz val="11"/>
        <color theme="0"/>
        <rFont val="Gill Sans"/>
        <family val="2"/>
      </rPr>
      <t xml:space="preserve"> (mm)</t>
    </r>
  </si>
  <si>
    <t>A LB (ton/ha)</t>
  </si>
  <si>
    <t>A E1 (ton/ha)</t>
  </si>
  <si>
    <t>A E2 (ton/ha)</t>
  </si>
  <si>
    <t>Índice</t>
  </si>
  <si>
    <t>Humedales</t>
  </si>
  <si>
    <t>Costos de recuperación de humedales (USD)</t>
  </si>
  <si>
    <r>
      <t>Volumen de excavación total de las qochas (m</t>
    </r>
    <r>
      <rPr>
        <vertAlign val="superscript"/>
        <sz val="11"/>
        <color theme="1"/>
        <rFont val="Gill Sans"/>
        <family val="2"/>
      </rPr>
      <t>3</t>
    </r>
    <r>
      <rPr>
        <sz val="11"/>
        <color theme="1"/>
        <rFont val="Gill Sans"/>
        <family val="2"/>
      </rPr>
      <t>)</t>
    </r>
  </si>
  <si>
    <t>Costos de remoción de vegetación en las qochas (USD)</t>
  </si>
  <si>
    <t>Costos de excavación de las qochas (USD)</t>
  </si>
  <si>
    <t>Costos de construcción y recuperación de amunas</t>
  </si>
  <si>
    <t>Costos de construcción de qochas</t>
  </si>
  <si>
    <t>Costos de cambios de cobertura del suelo</t>
  </si>
  <si>
    <t>Costos de implementación de los escenarios de intervenciones</t>
  </si>
  <si>
    <t>*Reemplace por cero si no hay amunas.</t>
  </si>
  <si>
    <t>*Reemplace por cero si no hay zanjas.</t>
  </si>
  <si>
    <t>*En la Hoja Escenarios, reemplace el área de humedal por cero si no existe.</t>
  </si>
  <si>
    <t>*En la Hoja Escenarios, reemplace el área de la qocha por cero si no existe.</t>
  </si>
  <si>
    <t>Evaluación de desempeño para el caudal después de la intervención</t>
  </si>
  <si>
    <t>Evaluación de desempeño para la línea base</t>
  </si>
  <si>
    <t>*Los valores de la curva de duración de caudal se deben ordenar de mayor a menor manualmente para obtener los gráficos de las curvas deseados.</t>
  </si>
  <si>
    <t>Calibración de la línea base (antes de la intervención)</t>
  </si>
  <si>
    <t>SUPERCUBHIC INTEGRAL</t>
  </si>
  <si>
    <t>Pastos degr.</t>
  </si>
  <si>
    <t>Bosque Tipo 1</t>
  </si>
  <si>
    <t>Bosque Tipo 2</t>
  </si>
  <si>
    <t>Pastos recup.</t>
  </si>
  <si>
    <t>Patos conserv.</t>
  </si>
  <si>
    <t>Costos de conservación y restauración de humedales</t>
  </si>
  <si>
    <r>
      <t xml:space="preserve">En la pestaña </t>
    </r>
    <r>
      <rPr>
        <b/>
        <sz val="12"/>
        <color theme="7"/>
        <rFont val="Gill Sans"/>
        <family val="2"/>
      </rPr>
      <t>Entradas</t>
    </r>
    <r>
      <rPr>
        <sz val="12"/>
        <color theme="0"/>
        <rFont val="Gill Sans"/>
        <family val="2"/>
      </rPr>
      <t>, ingrese los parámetros para las condiciones del sitio comunes en todos los escenarios. Aquí se pueden ingresar coberturas de la tierra que luego son combinadas en los escenarios. Las tablas de referencia contienen valores aproximados de la capacidad de campo (</t>
    </r>
    <r>
      <rPr>
        <i/>
        <sz val="12"/>
        <color theme="0"/>
        <rFont val="Gill Sans"/>
        <family val="2"/>
      </rPr>
      <t>fc</t>
    </r>
    <r>
      <rPr>
        <sz val="12"/>
        <color theme="0"/>
        <rFont val="Gill Sans"/>
        <family val="2"/>
      </rPr>
      <t>) y el punto de marchitez (</t>
    </r>
    <r>
      <rPr>
        <i/>
        <sz val="12"/>
        <color theme="0"/>
        <rFont val="Gill Sans"/>
        <family val="2"/>
      </rPr>
      <t>wp</t>
    </r>
    <r>
      <rPr>
        <sz val="12"/>
        <color theme="0"/>
        <rFont val="Gill Sans"/>
        <family val="2"/>
      </rPr>
      <t>) para texturas comunes de suelo. También se pueden ver valores de ejemplo para el número de curva (</t>
    </r>
    <r>
      <rPr>
        <i/>
        <sz val="12"/>
        <color theme="0"/>
        <rFont val="Gill Sans"/>
        <family val="2"/>
      </rPr>
      <t>CN</t>
    </r>
    <r>
      <rPr>
        <sz val="12"/>
        <color theme="0"/>
        <rFont val="Gill Sans"/>
        <family val="2"/>
      </rPr>
      <t>), el índice de área foliar (</t>
    </r>
    <r>
      <rPr>
        <i/>
        <sz val="12"/>
        <color theme="0"/>
        <rFont val="Gill Sans"/>
        <family val="2"/>
      </rPr>
      <t>LAI</t>
    </r>
    <r>
      <rPr>
        <sz val="12"/>
        <color theme="0"/>
        <rFont val="Gill Sans"/>
        <family val="2"/>
      </rPr>
      <t xml:space="preserve">), el factor </t>
    </r>
    <r>
      <rPr>
        <i/>
        <sz val="12"/>
        <color theme="0"/>
        <rFont val="Gill Sans"/>
        <family val="2"/>
      </rPr>
      <t>C</t>
    </r>
    <r>
      <rPr>
        <sz val="12"/>
        <color theme="0"/>
        <rFont val="Gill Sans"/>
        <family val="2"/>
      </rPr>
      <t xml:space="preserve"> para la ecuación USLE y el albedo (</t>
    </r>
    <r>
      <rPr>
        <i/>
        <sz val="12"/>
        <color theme="0"/>
        <rFont val="Gill Sans"/>
        <family val="2"/>
      </rPr>
      <t>⍺</t>
    </r>
    <r>
      <rPr>
        <sz val="12"/>
        <color theme="0"/>
        <rFont val="Gill Sans"/>
        <family val="2"/>
      </rPr>
      <t xml:space="preserve">). Aquí se definen las características de dos tipos de intervenciones y del acuífero que es alimentado por ellas. Además, se pueden ingresar los costos de implementación por cambio de cobertura de suelo y por implementación de las intervenciones (USD). En esta pestaña se puede </t>
    </r>
    <r>
      <rPr>
        <b/>
        <sz val="12"/>
        <color theme="0"/>
        <rFont val="Gill Sans"/>
        <family val="2"/>
      </rPr>
      <t xml:space="preserve">calibrar </t>
    </r>
    <r>
      <rPr>
        <sz val="12"/>
        <color theme="0"/>
        <rFont val="Gill Sans"/>
        <family val="2"/>
      </rPr>
      <t xml:space="preserve">el modelo hidrológico para el escenario de línea base (antes de la amuna) y para el escenario 1 (después de la intervención) utilizando los datos de caudal ingresados en la pestaña Clima. La calibración se puede realizar de manera manual cambiando los parámetros del modelo uno a uno, o de manera automática utilizando la herramienta Solver de Excel.
La pestaña </t>
    </r>
    <r>
      <rPr>
        <b/>
        <sz val="12"/>
        <color rgb="FFFFC000"/>
        <rFont val="Gill Sans"/>
        <family val="2"/>
      </rPr>
      <t>Observaciones</t>
    </r>
    <r>
      <rPr>
        <sz val="12"/>
        <color theme="0"/>
        <rFont val="Gill Sans"/>
        <family val="2"/>
      </rPr>
      <t xml:space="preserve"> contiene temperaturas máximas y mínimas (°C), precipitación diaria (mm), evapotranspiración (mm) y caudal observado (mm) para un periodo representativo de 365 días. Estos valores son automáticamente replicados en un año adicional consecutivo durante los cálculos del modelo. Los valores predeterminados son para Cusco (Perú) en el 2018. Se pueden ingresar datos alternativos en lugar de los datos predeterminados para una región o año diferente. Los datos de caudal se utilizan para calibrar el modelo (pestaña Entradas) con respecto al escenario de línea base o escenario 1 de amunas (pestaña Escenarios). Los datos de evapotranspiración pueden ser calculados utilizando las ecuaciones de CUBHIC 2.0 Evapotranspiración, o pueden ser obtenidas de otras fuentes, por ejemplo, estaciones meteorológicas locales, bases de datos disponibles, o del producto PISCO Evapotranspiración. Si no se tienen datos confiables de temperatura local, se recomienda utilizar PISCO Temperatura y PISCO Evapotranspiración.
La pestaña </t>
    </r>
    <r>
      <rPr>
        <b/>
        <sz val="12"/>
        <color theme="7"/>
        <rFont val="Gill Sans"/>
        <family val="2"/>
      </rPr>
      <t>Escenarios</t>
    </r>
    <r>
      <rPr>
        <sz val="12"/>
        <color theme="0"/>
        <rFont val="Gill Sans"/>
        <family val="2"/>
      </rPr>
      <t xml:space="preserve"> se puede usar para cuantificar los beneficios calculados y la eficiencia de costos para diferentes escenarios de intervención. En esta pestaña, ingrese la condición de línea de base y hasta 2 escenarios de intervención. Los escenarios se configuran combinando las coberturas de vegetación ingresadas en la pestaña de Entradas. Esto se puede interpretar como ha de extensión de terreno o como % de cobertura. Asegúrese de que los valores totales de los escenarios coincidan. También, aquí se pueden visualizar los resultados del modelo expresados en volúmenes de agua (mm). Un milímetro de agua equivale a un volumen de Un litro por cada metro cuadrado de superficie (1 mm = 1 l/m</t>
    </r>
    <r>
      <rPr>
        <vertAlign val="superscript"/>
        <sz val="12"/>
        <color theme="0"/>
        <rFont val="Gill Sans"/>
        <family val="2"/>
      </rPr>
      <t>2</t>
    </r>
    <r>
      <rPr>
        <sz val="12"/>
        <color theme="0"/>
        <rFont val="Gill Sans"/>
        <family val="2"/>
      </rPr>
      <t>). Los beneficios hídricos son calculados en unidades de megalitros (ML), en toneladas métricas de sedimentos (ton), y en gramos de sedimento por metro cúbico de agua (g/m</t>
    </r>
    <r>
      <rPr>
        <vertAlign val="superscript"/>
        <sz val="12"/>
        <color theme="0"/>
        <rFont val="Gill Sans"/>
        <family val="2"/>
      </rPr>
      <t>3</t>
    </r>
    <r>
      <rPr>
        <sz val="12"/>
        <color theme="0"/>
        <rFont val="Gill Sans"/>
        <family val="2"/>
      </rPr>
      <t>). Un megalitro equivale a un millón de litros o a mil metros cúbicos de agua (1 ML = 1000000 l = 1000 m</t>
    </r>
    <r>
      <rPr>
        <vertAlign val="superscript"/>
        <sz val="12"/>
        <color theme="0"/>
        <rFont val="Gill Sans"/>
        <family val="2"/>
      </rPr>
      <t>3</t>
    </r>
    <r>
      <rPr>
        <sz val="12"/>
        <color theme="0"/>
        <rFont val="Gill Sans"/>
        <family val="2"/>
      </rPr>
      <t>). Los beneficios económicos están expresados en términos dólar invertido por x1000 m</t>
    </r>
    <r>
      <rPr>
        <vertAlign val="superscript"/>
        <sz val="12"/>
        <color theme="0"/>
        <rFont val="Gill Sans"/>
        <family val="2"/>
      </rPr>
      <t>3</t>
    </r>
    <r>
      <rPr>
        <sz val="12"/>
        <color theme="0"/>
        <rFont val="Gill Sans"/>
        <family val="2"/>
      </rPr>
      <t xml:space="preserve"> (USD por 1000 m</t>
    </r>
    <r>
      <rPr>
        <vertAlign val="superscript"/>
        <sz val="12"/>
        <color theme="0"/>
        <rFont val="Gill Sans"/>
        <family val="2"/>
      </rPr>
      <t>3</t>
    </r>
    <r>
      <rPr>
        <sz val="12"/>
        <color theme="0"/>
        <rFont val="Gill Sans"/>
        <family val="2"/>
      </rPr>
      <t>), dólar invertido por tonelada de sedimentos (USD por ton), o dólar invertido por gramo de sedimentos por metro cúbico de agua (USD por g/m</t>
    </r>
    <r>
      <rPr>
        <vertAlign val="superscript"/>
        <sz val="12"/>
        <color theme="0"/>
        <rFont val="Gill Sans"/>
        <family val="2"/>
      </rPr>
      <t>3</t>
    </r>
    <r>
      <rPr>
        <sz val="12"/>
        <color theme="0"/>
        <rFont val="Gill Sans"/>
        <family val="2"/>
      </rPr>
      <t xml:space="preserve">). También se realiza un análisis de umbrales altos y bajos para eventos extremos.
Las pestañas de </t>
    </r>
    <r>
      <rPr>
        <b/>
        <sz val="12"/>
        <color theme="7"/>
        <rFont val="Gill Sans"/>
        <family val="2"/>
      </rPr>
      <t>Constantes</t>
    </r>
    <r>
      <rPr>
        <sz val="12"/>
        <color theme="0"/>
        <rFont val="Gill Sans"/>
        <family val="2"/>
      </rPr>
      <t xml:space="preserve">, </t>
    </r>
    <r>
      <rPr>
        <b/>
        <sz val="12"/>
        <color theme="7"/>
        <rFont val="Gill Sans"/>
        <family val="2"/>
      </rPr>
      <t>ETo</t>
    </r>
    <r>
      <rPr>
        <sz val="12"/>
        <color theme="0"/>
        <rFont val="Gill Sans"/>
        <family val="2"/>
      </rPr>
      <t xml:space="preserve">, </t>
    </r>
    <r>
      <rPr>
        <b/>
        <sz val="12"/>
        <color theme="7"/>
        <rFont val="Gill Sans"/>
        <family val="2"/>
      </rPr>
      <t>Cálculos</t>
    </r>
    <r>
      <rPr>
        <sz val="12"/>
        <color theme="0"/>
        <rFont val="Gill Sans"/>
        <family val="2"/>
      </rPr>
      <t xml:space="preserve"> y </t>
    </r>
    <r>
      <rPr>
        <b/>
        <sz val="12"/>
        <color theme="7"/>
        <rFont val="Gill Sans"/>
        <family val="2"/>
      </rPr>
      <t>Evaluación</t>
    </r>
    <r>
      <rPr>
        <sz val="12"/>
        <color theme="0"/>
        <rFont val="Gill Sans"/>
        <family val="2"/>
      </rPr>
      <t xml:space="preserve"> realizan los cálculos del modelo hidrológico y no requieren ser modificadas. Pueden ser visualizadas (</t>
    </r>
    <r>
      <rPr>
        <b/>
        <sz val="12"/>
        <color rgb="FFFFC000"/>
        <rFont val="Gill Sans"/>
        <family val="2"/>
      </rPr>
      <t>Gráficos</t>
    </r>
    <r>
      <rPr>
        <sz val="12"/>
        <color theme="0"/>
        <rFont val="Gill Sans"/>
        <family val="2"/>
      </rPr>
      <t>), consultadas y extraídas según convenga.</t>
    </r>
  </si>
  <si>
    <r>
      <t>Coeficiente de ET del humedal K</t>
    </r>
    <r>
      <rPr>
        <vertAlign val="subscript"/>
        <sz val="11"/>
        <color theme="1"/>
        <rFont val="Gill Sans"/>
        <family val="2"/>
      </rPr>
      <t>c,wl</t>
    </r>
    <r>
      <rPr>
        <sz val="11"/>
        <color theme="1"/>
        <rFont val="Gill Sans"/>
        <family val="2"/>
      </rPr>
      <t xml:space="preserve"> (adimensional)</t>
    </r>
  </si>
  <si>
    <t>Cálculo de estacionalidad</t>
  </si>
  <si>
    <t>Cálculo de rapidez de respuesta de caudal</t>
  </si>
  <si>
    <t>Mes</t>
  </si>
  <si>
    <t>P (mm)</t>
  </si>
  <si>
    <t>Diff P (mm)</t>
  </si>
  <si>
    <t>Diff LB (mm)</t>
  </si>
  <si>
    <t>Diff E1 (mm)</t>
  </si>
  <si>
    <t>Diff E2 (mm)</t>
  </si>
  <si>
    <t>Qi - Qi-1 LB (mm)</t>
  </si>
  <si>
    <t>Qi - Qi-1 E1 (mm)</t>
  </si>
  <si>
    <t>Qi - Qi-1 E2 (mm)</t>
  </si>
  <si>
    <t>TOTAL</t>
  </si>
  <si>
    <t>PROMEDIO</t>
  </si>
  <si>
    <t>SINDX</t>
  </si>
  <si>
    <t>SUMA 365</t>
  </si>
  <si>
    <t>Indicadores hidrológicos</t>
  </si>
  <si>
    <r>
      <t>Índice de estacionalidad de lluvia</t>
    </r>
    <r>
      <rPr>
        <i/>
        <sz val="11"/>
        <color theme="1"/>
        <rFont val="Gill Sans"/>
        <family val="2"/>
      </rPr>
      <t xml:space="preserve"> SINDX = (6/11) SUM(abs(Pmes – Paño/12)) / Paño</t>
    </r>
    <r>
      <rPr>
        <sz val="11"/>
        <color theme="1"/>
        <rFont val="Gill Sans"/>
        <family val="2"/>
      </rPr>
      <t xml:space="preserve"> (%)</t>
    </r>
  </si>
  <si>
    <r>
      <t xml:space="preserve">Porcentaje de días con lluvia cero </t>
    </r>
    <r>
      <rPr>
        <i/>
        <sz val="11"/>
        <color theme="1"/>
        <rFont val="Gill Sans"/>
        <family val="2"/>
      </rPr>
      <t>PP0 = días P=0 / total días</t>
    </r>
    <r>
      <rPr>
        <sz val="11"/>
        <color theme="1"/>
        <rFont val="Gill Sans"/>
        <family val="2"/>
      </rPr>
      <t xml:space="preserve"> (%)</t>
    </r>
  </si>
  <si>
    <r>
      <t xml:space="preserve">Coeficiente de escorrentía </t>
    </r>
    <r>
      <rPr>
        <i/>
        <sz val="11"/>
        <color theme="1"/>
        <rFont val="Gill Sans"/>
        <family val="2"/>
      </rPr>
      <t xml:space="preserve">RR = caudal / precipitación anual </t>
    </r>
    <r>
      <rPr>
        <sz val="11"/>
        <color theme="1"/>
        <rFont val="Gill Sans"/>
        <family val="2"/>
      </rPr>
      <t>(%)</t>
    </r>
  </si>
  <si>
    <r>
      <t xml:space="preserve">Índice de caudal base </t>
    </r>
    <r>
      <rPr>
        <i/>
        <sz val="11"/>
        <color theme="1"/>
        <rFont val="Gill Sans"/>
        <family val="2"/>
      </rPr>
      <t>BFI</t>
    </r>
    <r>
      <rPr>
        <sz val="11"/>
        <color theme="1"/>
        <rFont val="Gill Sans"/>
        <family val="2"/>
      </rPr>
      <t xml:space="preserve"> = caudal base / caudal total (%)</t>
    </r>
  </si>
  <si>
    <r>
      <t xml:space="preserve">Coeficiente de rendimiento de caudal base </t>
    </r>
    <r>
      <rPr>
        <i/>
        <sz val="11"/>
        <color theme="1"/>
        <rFont val="Gill Sans"/>
        <family val="2"/>
      </rPr>
      <t xml:space="preserve">BYC = caudal base / precipitación </t>
    </r>
    <r>
      <rPr>
        <sz val="11"/>
        <color theme="1"/>
        <rFont val="Gill Sans"/>
        <family val="2"/>
      </rPr>
      <t>(%)</t>
    </r>
  </si>
  <si>
    <r>
      <t xml:space="preserve">Índice de humedad </t>
    </r>
    <r>
      <rPr>
        <i/>
        <sz val="11"/>
        <color theme="1"/>
        <rFont val="Gill Sans"/>
        <family val="2"/>
      </rPr>
      <t>RPPE = precipitación / evapotranspiración</t>
    </r>
    <r>
      <rPr>
        <sz val="11"/>
        <color theme="1"/>
        <rFont val="Gill Sans"/>
        <family val="2"/>
      </rPr>
      <t xml:space="preserve"> (%)</t>
    </r>
  </si>
  <si>
    <r>
      <t>Pendiente de la curva de duración de caudal</t>
    </r>
    <r>
      <rPr>
        <i/>
        <sz val="11"/>
        <color theme="1"/>
        <rFont val="Gill Sans"/>
        <family val="2"/>
      </rPr>
      <t xml:space="preserve"> R2FDC = abs(log(Q66) – log(Q33))/(0.33)</t>
    </r>
    <r>
      <rPr>
        <sz val="11"/>
        <color theme="1"/>
        <rFont val="Gill Sans"/>
        <family val="2"/>
      </rPr>
      <t xml:space="preserve"> (-)</t>
    </r>
  </si>
  <si>
    <r>
      <t>Índice de rapidez de respuesta Richards–Baker</t>
    </r>
    <r>
      <rPr>
        <i/>
        <sz val="11"/>
        <color theme="1"/>
        <rFont val="Gill Sans"/>
        <family val="2"/>
      </rPr>
      <t xml:space="preserve"> RBI = SUM(abs(Qi - Qi-1)) / SUM(Qi)</t>
    </r>
    <r>
      <rPr>
        <sz val="11"/>
        <color theme="1"/>
        <rFont val="Gill Sans"/>
        <family val="2"/>
      </rPr>
      <t xml:space="preserve"> (-)</t>
    </r>
  </si>
  <si>
    <r>
      <t>Índice de estacionalidad de caudal</t>
    </r>
    <r>
      <rPr>
        <i/>
        <sz val="11"/>
        <color theme="1"/>
        <rFont val="Gill Sans"/>
        <family val="2"/>
      </rPr>
      <t xml:space="preserve"> SINDQ = (6/11) SUM(abs(Qmes – Qaño/12)) / Qaño</t>
    </r>
    <r>
      <rPr>
        <sz val="11"/>
        <color theme="1"/>
        <rFont val="Gill Sans"/>
        <family val="2"/>
      </rPr>
      <t xml:space="preserve"> (%)</t>
    </r>
  </si>
  <si>
    <r>
      <t xml:space="preserve">Porcentaje de días con caudal cero </t>
    </r>
    <r>
      <rPr>
        <i/>
        <sz val="11"/>
        <color theme="1"/>
        <rFont val="Gill Sans"/>
        <family val="2"/>
      </rPr>
      <t>PQ0 = días Q=0 / total días</t>
    </r>
    <r>
      <rPr>
        <sz val="11"/>
        <color theme="1"/>
        <rFont val="Gill Sans"/>
        <family val="2"/>
      </rPr>
      <t xml:space="preserve"> (%)</t>
    </r>
  </si>
  <si>
    <r>
      <t xml:space="preserve">Rango de caudal </t>
    </r>
    <r>
      <rPr>
        <i/>
        <sz val="11"/>
        <color theme="1"/>
        <rFont val="Gill Sans"/>
        <family val="2"/>
      </rPr>
      <t>= Qmáx / Qmín</t>
    </r>
    <r>
      <rPr>
        <sz val="11"/>
        <color theme="1"/>
        <rFont val="Gill Sans"/>
        <family val="2"/>
      </rPr>
      <t xml:space="preserve"> (%)</t>
    </r>
  </si>
  <si>
    <r>
      <t xml:space="preserve">Coeficiente de variación de caudal </t>
    </r>
    <r>
      <rPr>
        <i/>
        <sz val="11"/>
        <color theme="1"/>
        <rFont val="Gill Sans"/>
        <family val="2"/>
      </rPr>
      <t>Qvar = Qstd / Qmedia</t>
    </r>
    <r>
      <rPr>
        <sz val="11"/>
        <color theme="1"/>
        <rFont val="Gill Sans"/>
        <family val="2"/>
      </rPr>
      <t xml:space="preserve"> (-)</t>
    </r>
  </si>
  <si>
    <t>Beneficios hidrológicos</t>
  </si>
  <si>
    <t>Costo-eficiencia</t>
  </si>
  <si>
    <t>Beneficios calculados en indicadores hidrológicos</t>
  </si>
  <si>
    <t>Costo-eficiencia para indicadores hidrológicos</t>
  </si>
  <si>
    <t>Cambio en el coeficiente de escorrentía</t>
  </si>
  <si>
    <t>(%)</t>
  </si>
  <si>
    <t>Costo-eficiencia para el coeficiente de escorrentía</t>
  </si>
  <si>
    <t>(USD por %)</t>
  </si>
  <si>
    <t>Cambio en el índide de caudal base</t>
  </si>
  <si>
    <t>Costo-eficiencia para el índide de caudal base</t>
  </si>
  <si>
    <t>Cambio en el coeficiente de rendimiento de caudal base</t>
  </si>
  <si>
    <t>Costo-eficiencia para el coeficiente de rendimiento de caudal base</t>
  </si>
  <si>
    <t>Cambio en el índice de humedad</t>
  </si>
  <si>
    <t>Costo-eficiencia para el índide de humedad</t>
  </si>
  <si>
    <t>Cambio en la pendiente de la curva de duración de caudal</t>
  </si>
  <si>
    <t>(mm/mm)</t>
  </si>
  <si>
    <t>Costo-eficiencia para la pendiente de la curva de duración de caudal</t>
  </si>
  <si>
    <t>(USD por mm/mm)</t>
  </si>
  <si>
    <t>Cambio en el índice de rapidez de respuesta de Richards-Baker</t>
  </si>
  <si>
    <t>Costo-eficiencia para el índice de rapidez de respuesta de Richards-Baker</t>
  </si>
  <si>
    <t>Cambio en el índide de estacionalidad de caudal</t>
  </si>
  <si>
    <t>Costo-eficiencia para el índice de estacionalidad de caudal</t>
  </si>
  <si>
    <t>Cambio en el número de días con caudal cero al año</t>
  </si>
  <si>
    <t>Costo-eficiencia para el número de días con caudal cero</t>
  </si>
  <si>
    <t>Cambio en el rango Qmáx / Qmín</t>
  </si>
  <si>
    <t>Costo-eficiencia para el rango de caudal Qmáx / Qmín</t>
  </si>
  <si>
    <t>Cambio en el coeficiente de variación de caudal</t>
  </si>
  <si>
    <t>Costo-eficiencia para el coeficiente de variación de caudal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</si>
</sst>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quot;$&quot;#,##0.00"/>
    <numFmt numFmtId="166" formatCode="0.0000"/>
    <numFmt numFmtId="167" formatCode="0.000"/>
    <numFmt numFmtId="168" formatCode="\+&quot;$&quot;#,##0.00;\ \-&quot;$&quot;#,##0.00;\ &quot;$&quot;#,##0.00"/>
    <numFmt numFmtId="169" formatCode="\+0.0;\ \-0.0;\ 0.0"/>
    <numFmt numFmtId="170" formatCode="[$$-409]#,##0.00"/>
    <numFmt numFmtId="171" formatCode="0.0%"/>
    <numFmt numFmtId="172" formatCode="\+0.00;\ \-0.00;\ 0.00"/>
  </numFmts>
  <fonts count="29">
    <font>
      <sz val="11"/>
      <color theme="1"/>
      <name val="Calibri"/>
      <family val="2"/>
      <scheme val="minor"/>
    </font>
    <font>
      <sz val="11"/>
      <color rgb="FF3F3F76"/>
      <name val="Calibri"/>
      <family val="2"/>
      <scheme val="minor"/>
    </font>
    <font>
      <b/>
      <sz val="11"/>
      <color theme="3"/>
      <name val="Calibri"/>
      <family val="2"/>
      <scheme val="minor"/>
    </font>
    <font>
      <sz val="11"/>
      <color theme="1"/>
      <name val="Calibri"/>
      <family val="2"/>
      <scheme val="minor"/>
    </font>
    <font>
      <sz val="11"/>
      <color theme="1"/>
      <name val="Gill Sans"/>
      <family val="2"/>
    </font>
    <font>
      <sz val="11"/>
      <color rgb="FF3F3F76"/>
      <name val="Gill Sans"/>
      <family val="2"/>
    </font>
    <font>
      <b/>
      <sz val="20"/>
      <color theme="0"/>
      <name val="Gill Sans"/>
      <family val="2"/>
    </font>
    <font>
      <b/>
      <sz val="11"/>
      <color theme="0"/>
      <name val="Gill Sans"/>
      <family val="2"/>
    </font>
    <font>
      <b/>
      <vertAlign val="subscript"/>
      <sz val="11"/>
      <color theme="0"/>
      <name val="Gill Sans"/>
      <family val="2"/>
    </font>
    <font>
      <b/>
      <sz val="11"/>
      <color theme="1"/>
      <name val="Gill Sans"/>
      <family val="2"/>
    </font>
    <font>
      <sz val="12"/>
      <color theme="0"/>
      <name val="Gill Sans"/>
      <family val="2"/>
    </font>
    <font>
      <b/>
      <sz val="12"/>
      <color theme="0"/>
      <name val="Gill Sans"/>
      <family val="2"/>
    </font>
    <font>
      <b/>
      <sz val="48"/>
      <color theme="1"/>
      <name val="Gill Sans"/>
      <family val="2"/>
    </font>
    <font>
      <b/>
      <sz val="12"/>
      <color theme="7"/>
      <name val="Gill Sans"/>
      <family val="2"/>
    </font>
    <font>
      <vertAlign val="superscript"/>
      <sz val="12"/>
      <color theme="0"/>
      <name val="Gill Sans"/>
      <family val="2"/>
    </font>
    <font>
      <i/>
      <sz val="12"/>
      <color theme="0"/>
      <name val="Gill Sans"/>
      <family val="2"/>
    </font>
    <font>
      <i/>
      <sz val="11"/>
      <color theme="1"/>
      <name val="Gill Sans"/>
      <family val="2"/>
    </font>
    <font>
      <vertAlign val="subscript"/>
      <sz val="11"/>
      <color theme="1"/>
      <name val="Gill Sans"/>
      <family val="2"/>
    </font>
    <font>
      <i/>
      <vertAlign val="subscript"/>
      <sz val="11"/>
      <color theme="1"/>
      <name val="Gill Sans"/>
      <family val="2"/>
    </font>
    <font>
      <vertAlign val="superscript"/>
      <sz val="11"/>
      <color theme="1"/>
      <name val="Gill Sans"/>
      <family val="2"/>
    </font>
    <font>
      <b/>
      <i/>
      <sz val="11"/>
      <color theme="0"/>
      <name val="Gill Sans"/>
      <family val="2"/>
    </font>
    <font>
      <b/>
      <i/>
      <vertAlign val="subscript"/>
      <sz val="11"/>
      <color theme="0"/>
      <name val="Gill Sans"/>
      <family val="2"/>
    </font>
    <font>
      <b/>
      <i/>
      <vertAlign val="superscript"/>
      <sz val="11"/>
      <color theme="0"/>
      <name val="Gill Sans"/>
      <family val="2"/>
    </font>
    <font>
      <b/>
      <vertAlign val="superscript"/>
      <sz val="11"/>
      <color theme="0"/>
      <name val="Gill Sans"/>
      <family val="2"/>
    </font>
    <font>
      <b/>
      <sz val="12"/>
      <color rgb="FFFFC000"/>
      <name val="Gill Sans"/>
      <family val="2"/>
    </font>
    <font>
      <b/>
      <sz val="11"/>
      <color theme="0"/>
      <name val="Calibri"/>
      <family val="2"/>
      <scheme val="minor"/>
    </font>
    <font>
      <b/>
      <i/>
      <vertAlign val="subscript"/>
      <sz val="11"/>
      <color theme="0"/>
      <name val="Calibri (Body)"/>
    </font>
    <font>
      <i/>
      <vertAlign val="superscript"/>
      <sz val="11"/>
      <color theme="1"/>
      <name val="Gill Sans"/>
      <family val="2"/>
    </font>
    <font>
      <b/>
      <i/>
      <vertAlign val="subscript"/>
      <sz val="11"/>
      <color theme="0"/>
      <name val="Calibri"/>
      <family val="2"/>
      <scheme val="minor"/>
    </font>
  </fonts>
  <fills count="12">
    <fill>
      <patternFill patternType="none"/>
    </fill>
    <fill>
      <patternFill patternType="gray125"/>
    </fill>
    <fill>
      <patternFill patternType="solid">
        <fgColor rgb="FFFFCC99"/>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193F57"/>
        <bgColor indexed="64"/>
      </patternFill>
    </fill>
    <fill>
      <patternFill patternType="solid">
        <fgColor theme="0"/>
        <bgColor indexed="64"/>
      </patternFill>
    </fill>
    <fill>
      <patternFill patternType="solid">
        <fgColor theme="2"/>
        <bgColor indexed="64"/>
      </patternFill>
    </fill>
    <fill>
      <patternFill patternType="solid">
        <fgColor rgb="FF7D7F43"/>
        <bgColor indexed="64"/>
      </patternFill>
    </fill>
    <fill>
      <patternFill patternType="solid">
        <fgColor rgb="FF184059"/>
        <bgColor indexed="64"/>
      </patternFill>
    </fill>
  </fills>
  <borders count="39">
    <border>
      <left/>
      <right/>
      <top/>
      <bottom/>
      <diagonal/>
    </border>
    <border>
      <left style="thin">
        <color rgb="FF7F7F7F"/>
      </left>
      <right style="thin">
        <color rgb="FF7F7F7F"/>
      </right>
      <top style="thin">
        <color rgb="FF7F7F7F"/>
      </top>
      <bottom style="thin">
        <color rgb="FF7F7F7F"/>
      </bottom>
      <diagonal/>
    </border>
    <border>
      <left/>
      <right/>
      <top/>
      <bottom style="medium">
        <color theme="4" tint="0.39997558519241921"/>
      </bottom>
      <diagonal/>
    </border>
    <border>
      <left style="thin">
        <color auto="1"/>
      </left>
      <right style="thin">
        <color auto="1"/>
      </right>
      <top style="thin">
        <color auto="1"/>
      </top>
      <bottom style="thin">
        <color auto="1"/>
      </bottom>
      <diagonal/>
    </border>
    <border>
      <left style="thin">
        <color rgb="FF193F57"/>
      </left>
      <right style="thin">
        <color rgb="FF193F57"/>
      </right>
      <top style="thin">
        <color rgb="FF193F57"/>
      </top>
      <bottom style="thin">
        <color rgb="FF193F57"/>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rgb="FF7F7F7F"/>
      </left>
      <right style="thin">
        <color rgb="FF7F7F7F"/>
      </right>
      <top/>
      <bottom style="thin">
        <color rgb="FF7F7F7F"/>
      </bottom>
      <diagonal/>
    </border>
    <border>
      <left style="thin">
        <color theme="1" tint="0.499984740745262"/>
      </left>
      <right style="thin">
        <color theme="1" tint="0.499984740745262"/>
      </right>
      <top/>
      <bottom style="thin">
        <color theme="1" tint="0.499984740745262"/>
      </bottom>
      <diagonal/>
    </border>
    <border>
      <left style="thin">
        <color rgb="FF193F57"/>
      </left>
      <right style="thin">
        <color rgb="FF193F57"/>
      </right>
      <top/>
      <bottom style="thin">
        <color rgb="FF193F57"/>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7F7F7F"/>
      </left>
      <right/>
      <top/>
      <bottom/>
      <diagonal/>
    </border>
    <border>
      <left/>
      <right/>
      <top/>
      <bottom style="thin">
        <color auto="1"/>
      </bottom>
      <diagonal/>
    </border>
  </borders>
  <cellStyleXfs count="4">
    <xf numFmtId="0" fontId="0" fillId="0" borderId="0"/>
    <xf numFmtId="0" fontId="1" fillId="2" borderId="1" applyNumberFormat="0" applyAlignment="0" applyProtection="0"/>
    <xf numFmtId="0" fontId="2" fillId="0" borderId="2" applyNumberFormat="0" applyFill="0" applyAlignment="0" applyProtection="0"/>
    <xf numFmtId="9" fontId="3" fillId="0" borderId="0" applyFont="0" applyFill="0" applyBorder="0" applyAlignment="0" applyProtection="0"/>
  </cellStyleXfs>
  <cellXfs count="244">
    <xf numFmtId="0" fontId="0" fillId="0" borderId="0" xfId="0"/>
    <xf numFmtId="0" fontId="4" fillId="8" borderId="23" xfId="0" applyFont="1" applyFill="1" applyBorder="1"/>
    <xf numFmtId="0" fontId="4" fillId="8" borderId="0" xfId="0" applyFont="1" applyFill="1"/>
    <xf numFmtId="0" fontId="4" fillId="0" borderId="0" xfId="0" applyFont="1"/>
    <xf numFmtId="0" fontId="4" fillId="9" borderId="8" xfId="0" applyFont="1" applyFill="1" applyBorder="1"/>
    <xf numFmtId="0" fontId="4" fillId="9" borderId="9" xfId="0" applyFont="1" applyFill="1" applyBorder="1"/>
    <xf numFmtId="0" fontId="5" fillId="9" borderId="9" xfId="1" applyFont="1" applyFill="1" applyBorder="1" applyAlignment="1">
      <alignment horizontal="center"/>
    </xf>
    <xf numFmtId="0" fontId="4" fillId="9" borderId="10" xfId="0" applyFont="1" applyFill="1" applyBorder="1"/>
    <xf numFmtId="0" fontId="4" fillId="8" borderId="17" xfId="0" applyFont="1" applyFill="1" applyBorder="1"/>
    <xf numFmtId="0" fontId="4" fillId="8" borderId="18" xfId="0" applyFont="1" applyFill="1" applyBorder="1"/>
    <xf numFmtId="0" fontId="4" fillId="8" borderId="19" xfId="0" applyFont="1" applyFill="1" applyBorder="1"/>
    <xf numFmtId="0" fontId="4" fillId="9" borderId="11" xfId="0" applyFont="1" applyFill="1" applyBorder="1"/>
    <xf numFmtId="0" fontId="4" fillId="9" borderId="12" xfId="0" applyFont="1" applyFill="1" applyBorder="1"/>
    <xf numFmtId="0" fontId="4" fillId="8" borderId="20" xfId="0" applyFont="1" applyFill="1" applyBorder="1"/>
    <xf numFmtId="0" fontId="4" fillId="8" borderId="21" xfId="0" applyFont="1" applyFill="1" applyBorder="1"/>
    <xf numFmtId="0" fontId="4" fillId="9" borderId="0" xfId="0" applyFont="1" applyFill="1" applyBorder="1"/>
    <xf numFmtId="0" fontId="5" fillId="9" borderId="0" xfId="1" applyFont="1" applyFill="1" applyBorder="1" applyAlignment="1">
      <alignment horizontal="center"/>
    </xf>
    <xf numFmtId="0" fontId="7" fillId="11" borderId="0" xfId="0" applyFont="1" applyFill="1" applyBorder="1"/>
    <xf numFmtId="0" fontId="7" fillId="11" borderId="0" xfId="2" applyFont="1" applyFill="1" applyBorder="1"/>
    <xf numFmtId="0" fontId="5" fillId="2" borderId="1" xfId="1" applyFont="1" applyBorder="1" applyAlignment="1" applyProtection="1">
      <alignment horizontal="center"/>
      <protection locked="0"/>
    </xf>
    <xf numFmtId="2" fontId="4" fillId="4" borderId="0" xfId="0" applyNumberFormat="1" applyFont="1" applyFill="1" applyBorder="1" applyAlignment="1">
      <alignment horizontal="center"/>
    </xf>
    <xf numFmtId="2" fontId="4" fillId="3" borderId="0" xfId="0" applyNumberFormat="1" applyFont="1" applyFill="1" applyBorder="1" applyAlignment="1">
      <alignment horizontal="center"/>
    </xf>
    <xf numFmtId="2" fontId="4" fillId="9" borderId="0" xfId="0" applyNumberFormat="1" applyFont="1" applyFill="1" applyBorder="1" applyAlignment="1">
      <alignment horizontal="center"/>
    </xf>
    <xf numFmtId="0" fontId="5" fillId="8" borderId="0" xfId="1" applyFont="1" applyFill="1" applyBorder="1" applyAlignment="1">
      <alignment horizontal="center"/>
    </xf>
    <xf numFmtId="9" fontId="4" fillId="4" borderId="0" xfId="3" applyFont="1" applyFill="1" applyBorder="1" applyAlignment="1">
      <alignment horizontal="center"/>
    </xf>
    <xf numFmtId="0" fontId="4" fillId="8" borderId="22" xfId="0" applyFont="1" applyFill="1" applyBorder="1"/>
    <xf numFmtId="0" fontId="4" fillId="8" borderId="24" xfId="0" applyFont="1" applyFill="1" applyBorder="1"/>
    <xf numFmtId="164" fontId="4" fillId="4" borderId="0" xfId="0" applyNumberFormat="1" applyFont="1" applyFill="1" applyBorder="1" applyAlignment="1">
      <alignment horizontal="center"/>
    </xf>
    <xf numFmtId="164" fontId="4" fillId="3" borderId="0" xfId="0" applyNumberFormat="1" applyFont="1" applyFill="1" applyBorder="1" applyAlignment="1">
      <alignment horizontal="center"/>
    </xf>
    <xf numFmtId="0" fontId="4" fillId="9" borderId="0" xfId="0" applyFont="1" applyFill="1" applyBorder="1" applyAlignment="1">
      <alignment horizontal="center"/>
    </xf>
    <xf numFmtId="165" fontId="4" fillId="3" borderId="0" xfId="0" applyNumberFormat="1" applyFont="1" applyFill="1" applyBorder="1" applyAlignment="1">
      <alignment horizontal="center"/>
    </xf>
    <xf numFmtId="165" fontId="4" fillId="4" borderId="0" xfId="0" applyNumberFormat="1" applyFont="1" applyFill="1" applyBorder="1" applyAlignment="1">
      <alignment horizontal="center"/>
    </xf>
    <xf numFmtId="0" fontId="4" fillId="9" borderId="0" xfId="0" applyFont="1" applyFill="1"/>
    <xf numFmtId="0" fontId="4" fillId="9" borderId="13" xfId="0" applyFont="1" applyFill="1" applyBorder="1"/>
    <xf numFmtId="0" fontId="4" fillId="9" borderId="14" xfId="0" applyFont="1" applyFill="1" applyBorder="1"/>
    <xf numFmtId="0" fontId="4" fillId="9" borderId="15" xfId="0" applyFont="1" applyFill="1" applyBorder="1"/>
    <xf numFmtId="0" fontId="4" fillId="9" borderId="17" xfId="0" applyFont="1" applyFill="1" applyBorder="1"/>
    <xf numFmtId="0" fontId="4" fillId="9" borderId="18" xfId="0" applyFont="1" applyFill="1" applyBorder="1"/>
    <xf numFmtId="0" fontId="4" fillId="9" borderId="19" xfId="0" applyFont="1" applyFill="1" applyBorder="1"/>
    <xf numFmtId="0" fontId="4" fillId="9" borderId="20" xfId="0" applyFont="1" applyFill="1" applyBorder="1"/>
    <xf numFmtId="0" fontId="4" fillId="9" borderId="21" xfId="0" applyFont="1" applyFill="1" applyBorder="1"/>
    <xf numFmtId="0" fontId="4" fillId="9" borderId="22" xfId="0" applyFont="1" applyFill="1" applyBorder="1"/>
    <xf numFmtId="0" fontId="4" fillId="9" borderId="23" xfId="0" applyFont="1" applyFill="1" applyBorder="1"/>
    <xf numFmtId="0" fontId="4" fillId="9" borderId="24" xfId="0" applyFont="1" applyFill="1" applyBorder="1"/>
    <xf numFmtId="0" fontId="5" fillId="2" borderId="30" xfId="1" applyFont="1" applyBorder="1" applyAlignment="1" applyProtection="1">
      <alignment horizontal="center"/>
      <protection locked="0"/>
    </xf>
    <xf numFmtId="0" fontId="5" fillId="2" borderId="30" xfId="1" applyNumberFormat="1" applyFont="1" applyBorder="1" applyAlignment="1" applyProtection="1">
      <alignment horizontal="center"/>
      <protection locked="0"/>
    </xf>
    <xf numFmtId="0" fontId="5" fillId="9" borderId="0" xfId="1" applyNumberFormat="1" applyFont="1" applyFill="1" applyBorder="1" applyAlignment="1">
      <alignment horizontal="center"/>
    </xf>
    <xf numFmtId="0" fontId="4" fillId="9" borderId="0" xfId="0" quotePrefix="1" applyFont="1" applyFill="1" applyBorder="1" applyAlignment="1">
      <alignment horizontal="center"/>
    </xf>
    <xf numFmtId="0" fontId="4" fillId="0" borderId="31" xfId="0" applyFont="1" applyBorder="1"/>
    <xf numFmtId="2" fontId="4" fillId="0" borderId="16" xfId="0" applyNumberFormat="1" applyFont="1" applyBorder="1"/>
    <xf numFmtId="0" fontId="4" fillId="0" borderId="16" xfId="0" applyFont="1" applyBorder="1"/>
    <xf numFmtId="0" fontId="4" fillId="8" borderId="0" xfId="0" applyFont="1" applyFill="1" applyAlignment="1">
      <alignment wrapText="1"/>
    </xf>
    <xf numFmtId="0" fontId="4" fillId="9" borderId="17" xfId="0" applyFont="1" applyFill="1" applyBorder="1" applyAlignment="1">
      <alignment wrapText="1"/>
    </xf>
    <xf numFmtId="0" fontId="4" fillId="9" borderId="18" xfId="0" applyFont="1" applyFill="1" applyBorder="1" applyAlignment="1">
      <alignment wrapText="1"/>
    </xf>
    <xf numFmtId="0" fontId="4" fillId="9" borderId="19" xfId="0" applyFont="1" applyFill="1" applyBorder="1" applyAlignment="1">
      <alignment wrapText="1"/>
    </xf>
    <xf numFmtId="0" fontId="4" fillId="9" borderId="20" xfId="0" applyFont="1" applyFill="1" applyBorder="1" applyAlignment="1">
      <alignment wrapText="1"/>
    </xf>
    <xf numFmtId="0" fontId="4" fillId="9" borderId="21" xfId="0" applyFont="1" applyFill="1" applyBorder="1" applyAlignment="1">
      <alignment wrapText="1"/>
    </xf>
    <xf numFmtId="0" fontId="4" fillId="9" borderId="0" xfId="0" applyFont="1" applyFill="1" applyBorder="1" applyAlignment="1">
      <alignment wrapText="1"/>
    </xf>
    <xf numFmtId="0" fontId="7" fillId="11" borderId="0" xfId="0" applyFont="1" applyFill="1" applyBorder="1" applyAlignment="1">
      <alignment wrapText="1"/>
    </xf>
    <xf numFmtId="0" fontId="4" fillId="0" borderId="0" xfId="0" applyFont="1" applyAlignment="1">
      <alignment wrapText="1"/>
    </xf>
    <xf numFmtId="0" fontId="4" fillId="0" borderId="4" xfId="0" applyFont="1" applyBorder="1" applyAlignment="1">
      <alignment horizontal="center" wrapText="1"/>
    </xf>
    <xf numFmtId="0" fontId="4" fillId="9" borderId="22" xfId="0" applyFont="1" applyFill="1" applyBorder="1" applyAlignment="1">
      <alignment wrapText="1"/>
    </xf>
    <xf numFmtId="0" fontId="4" fillId="9" borderId="23" xfId="0" applyFont="1" applyFill="1" applyBorder="1" applyAlignment="1">
      <alignment wrapText="1"/>
    </xf>
    <xf numFmtId="0" fontId="4" fillId="9" borderId="24" xfId="0" applyFont="1" applyFill="1" applyBorder="1" applyAlignment="1">
      <alignment wrapText="1"/>
    </xf>
    <xf numFmtId="0" fontId="4" fillId="0" borderId="32" xfId="0" applyFont="1" applyBorder="1" applyAlignment="1">
      <alignment horizontal="center"/>
    </xf>
    <xf numFmtId="0" fontId="4" fillId="0" borderId="4" xfId="0" applyFont="1" applyBorder="1" applyAlignment="1">
      <alignment horizontal="center"/>
    </xf>
    <xf numFmtId="2" fontId="4" fillId="8" borderId="0" xfId="0" applyNumberFormat="1" applyFont="1" applyFill="1"/>
    <xf numFmtId="2" fontId="4" fillId="9" borderId="18" xfId="0" applyNumberFormat="1" applyFont="1" applyFill="1" applyBorder="1"/>
    <xf numFmtId="0" fontId="7" fillId="9" borderId="0" xfId="0" applyFont="1" applyFill="1" applyBorder="1"/>
    <xf numFmtId="0" fontId="9" fillId="8" borderId="0" xfId="0" applyFont="1" applyFill="1"/>
    <xf numFmtId="0" fontId="9" fillId="9" borderId="20" xfId="0" applyFont="1" applyFill="1" applyBorder="1"/>
    <xf numFmtId="0" fontId="7" fillId="7" borderId="0" xfId="0" applyFont="1" applyFill="1" applyBorder="1" applyAlignment="1">
      <alignment horizontal="center" vertical="center" wrapText="1"/>
    </xf>
    <xf numFmtId="0" fontId="9" fillId="9" borderId="0" xfId="0" applyFont="1" applyFill="1" applyBorder="1"/>
    <xf numFmtId="0" fontId="9" fillId="9" borderId="21" xfId="0" applyFont="1" applyFill="1" applyBorder="1"/>
    <xf numFmtId="0" fontId="9" fillId="0" borderId="0" xfId="0" applyFont="1"/>
    <xf numFmtId="0" fontId="4" fillId="8" borderId="28" xfId="0" applyFont="1" applyFill="1" applyBorder="1" applyAlignment="1">
      <alignment horizontal="center"/>
    </xf>
    <xf numFmtId="166" fontId="4" fillId="8" borderId="28" xfId="0" applyNumberFormat="1" applyFont="1" applyFill="1" applyBorder="1" applyAlignment="1">
      <alignment horizontal="center"/>
    </xf>
    <xf numFmtId="2" fontId="4" fillId="0" borderId="0" xfId="0" applyNumberFormat="1" applyFont="1"/>
    <xf numFmtId="0" fontId="4" fillId="8" borderId="29" xfId="0" applyFont="1" applyFill="1" applyBorder="1" applyAlignment="1">
      <alignment horizontal="center"/>
    </xf>
    <xf numFmtId="166" fontId="4" fillId="8" borderId="28" xfId="0" applyNumberFormat="1" applyFont="1" applyFill="1" applyBorder="1"/>
    <xf numFmtId="14" fontId="4" fillId="8" borderId="21" xfId="0" applyNumberFormat="1" applyFont="1" applyFill="1" applyBorder="1"/>
    <xf numFmtId="0" fontId="4" fillId="0" borderId="3" xfId="0" quotePrefix="1" applyFont="1" applyBorder="1" applyAlignment="1">
      <alignment horizontal="center" vertical="center" wrapText="1"/>
    </xf>
    <xf numFmtId="0" fontId="4" fillId="5" borderId="3" xfId="0" applyFont="1" applyFill="1" applyBorder="1" applyAlignment="1">
      <alignment horizontal="center"/>
    </xf>
    <xf numFmtId="0" fontId="4" fillId="5" borderId="7" xfId="0" applyFont="1" applyFill="1" applyBorder="1" applyAlignment="1">
      <alignment horizontal="center"/>
    </xf>
    <xf numFmtId="0" fontId="4" fillId="6" borderId="3" xfId="0" applyFont="1" applyFill="1" applyBorder="1" applyAlignment="1">
      <alignment horizontal="center"/>
    </xf>
    <xf numFmtId="0" fontId="4" fillId="6" borderId="7" xfId="0" applyFont="1" applyFill="1" applyBorder="1" applyAlignment="1">
      <alignment horizontal="center"/>
    </xf>
    <xf numFmtId="0" fontId="7" fillId="11" borderId="21" xfId="0" applyFont="1" applyFill="1" applyBorder="1"/>
    <xf numFmtId="9" fontId="5" fillId="2" borderId="1" xfId="3" applyFont="1" applyFill="1" applyBorder="1" applyAlignment="1" applyProtection="1">
      <alignment horizontal="center"/>
      <protection locked="0"/>
    </xf>
    <xf numFmtId="0" fontId="7" fillId="8" borderId="20" xfId="0" applyFont="1" applyFill="1" applyBorder="1" applyAlignment="1">
      <alignment horizontal="center"/>
    </xf>
    <xf numFmtId="0" fontId="7" fillId="8" borderId="21" xfId="0" applyFont="1" applyFill="1" applyBorder="1"/>
    <xf numFmtId="0" fontId="4" fillId="9" borderId="11" xfId="0" applyFont="1" applyFill="1" applyBorder="1" applyAlignment="1">
      <alignment wrapText="1"/>
    </xf>
    <xf numFmtId="0" fontId="4" fillId="9" borderId="12" xfId="0" applyFont="1" applyFill="1" applyBorder="1" applyAlignment="1">
      <alignment wrapText="1"/>
    </xf>
    <xf numFmtId="0" fontId="4" fillId="8" borderId="3" xfId="0" applyFont="1" applyFill="1" applyBorder="1"/>
    <xf numFmtId="166" fontId="4" fillId="4" borderId="0" xfId="0" applyNumberFormat="1" applyFont="1" applyFill="1" applyBorder="1" applyAlignment="1">
      <alignment horizontal="center"/>
    </xf>
    <xf numFmtId="9" fontId="5" fillId="2" borderId="30" xfId="3" applyFont="1" applyFill="1" applyBorder="1" applyAlignment="1" applyProtection="1">
      <alignment horizontal="center"/>
      <protection locked="0"/>
    </xf>
    <xf numFmtId="9" fontId="4" fillId="5" borderId="3" xfId="3" applyFont="1" applyFill="1" applyBorder="1" applyAlignment="1">
      <alignment horizontal="center"/>
    </xf>
    <xf numFmtId="9" fontId="4" fillId="6" borderId="3" xfId="3" applyFont="1" applyFill="1" applyBorder="1" applyAlignment="1">
      <alignment horizontal="center"/>
    </xf>
    <xf numFmtId="167" fontId="4" fillId="5" borderId="3" xfId="0" applyNumberFormat="1" applyFont="1" applyFill="1" applyBorder="1" applyAlignment="1">
      <alignment horizontal="center"/>
    </xf>
    <xf numFmtId="167" fontId="4" fillId="6" borderId="3" xfId="0" applyNumberFormat="1" applyFont="1" applyFill="1" applyBorder="1" applyAlignment="1">
      <alignment horizontal="center"/>
    </xf>
    <xf numFmtId="2" fontId="5" fillId="2" borderId="1" xfId="1" applyNumberFormat="1" applyFont="1" applyBorder="1" applyAlignment="1" applyProtection="1">
      <alignment horizontal="center"/>
      <protection locked="0"/>
    </xf>
    <xf numFmtId="164" fontId="4" fillId="8" borderId="0" xfId="0" applyNumberFormat="1" applyFont="1" applyFill="1" applyAlignment="1">
      <alignment wrapText="1"/>
    </xf>
    <xf numFmtId="164" fontId="4" fillId="9" borderId="18" xfId="0" applyNumberFormat="1" applyFont="1" applyFill="1" applyBorder="1" applyAlignment="1">
      <alignment wrapText="1"/>
    </xf>
    <xf numFmtId="164" fontId="4" fillId="9" borderId="0" xfId="0" applyNumberFormat="1" applyFont="1" applyFill="1" applyBorder="1" applyAlignment="1">
      <alignment wrapText="1"/>
    </xf>
    <xf numFmtId="164" fontId="4" fillId="9" borderId="23" xfId="0" applyNumberFormat="1" applyFont="1" applyFill="1" applyBorder="1" applyAlignment="1">
      <alignment wrapText="1"/>
    </xf>
    <xf numFmtId="164" fontId="4" fillId="0" borderId="0" xfId="0" applyNumberFormat="1" applyFont="1" applyAlignment="1">
      <alignment wrapText="1"/>
    </xf>
    <xf numFmtId="2" fontId="4" fillId="3" borderId="0" xfId="0" applyNumberFormat="1" applyFont="1" applyFill="1" applyAlignment="1">
      <alignment horizontal="center"/>
    </xf>
    <xf numFmtId="2" fontId="4" fillId="4" borderId="0" xfId="0" applyNumberFormat="1" applyFont="1" applyFill="1" applyAlignment="1">
      <alignment horizontal="center"/>
    </xf>
    <xf numFmtId="166" fontId="4" fillId="8" borderId="0" xfId="0" applyNumberFormat="1" applyFont="1" applyFill="1"/>
    <xf numFmtId="166" fontId="4" fillId="9" borderId="18" xfId="0" applyNumberFormat="1" applyFont="1" applyFill="1" applyBorder="1"/>
    <xf numFmtId="166" fontId="4" fillId="9" borderId="0" xfId="0" applyNumberFormat="1" applyFont="1" applyFill="1" applyBorder="1"/>
    <xf numFmtId="166" fontId="4" fillId="8" borderId="29" xfId="0" applyNumberFormat="1" applyFont="1" applyFill="1" applyBorder="1" applyAlignment="1">
      <alignment horizontal="center"/>
    </xf>
    <xf numFmtId="166" fontId="4" fillId="9" borderId="23" xfId="0" applyNumberFormat="1" applyFont="1" applyFill="1" applyBorder="1"/>
    <xf numFmtId="166" fontId="4" fillId="0" borderId="0" xfId="0" applyNumberFormat="1" applyFont="1"/>
    <xf numFmtId="166" fontId="4" fillId="9" borderId="0" xfId="0" applyNumberFormat="1" applyFont="1" applyFill="1" applyBorder="1" applyAlignment="1">
      <alignment horizontal="center"/>
    </xf>
    <xf numFmtId="166" fontId="7" fillId="9" borderId="0" xfId="0" applyNumberFormat="1" applyFont="1" applyFill="1" applyBorder="1"/>
    <xf numFmtId="166" fontId="4" fillId="9" borderId="0" xfId="0" applyNumberFormat="1" applyFont="1" applyFill="1"/>
    <xf numFmtId="167" fontId="4" fillId="3" borderId="0" xfId="0" applyNumberFormat="1" applyFont="1" applyFill="1" applyBorder="1" applyAlignment="1">
      <alignment horizontal="center"/>
    </xf>
    <xf numFmtId="167" fontId="4" fillId="4" borderId="0" xfId="0" applyNumberFormat="1" applyFont="1" applyFill="1" applyBorder="1" applyAlignment="1">
      <alignment horizontal="center"/>
    </xf>
    <xf numFmtId="0" fontId="7" fillId="11" borderId="0" xfId="0" applyFont="1" applyFill="1"/>
    <xf numFmtId="0" fontId="5" fillId="2" borderId="1" xfId="1" applyFont="1" applyAlignment="1" applyProtection="1">
      <alignment horizontal="center"/>
      <protection locked="0"/>
    </xf>
    <xf numFmtId="166" fontId="4" fillId="0" borderId="16" xfId="0" applyNumberFormat="1" applyFont="1" applyBorder="1"/>
    <xf numFmtId="0" fontId="7" fillId="11" borderId="0" xfId="0" applyFont="1" applyFill="1" applyBorder="1" applyAlignment="1" applyProtection="1">
      <alignment wrapText="1"/>
      <protection locked="0"/>
    </xf>
    <xf numFmtId="0" fontId="4" fillId="9" borderId="0" xfId="0" applyFont="1" applyFill="1" applyAlignment="1">
      <alignment horizontal="right"/>
    </xf>
    <xf numFmtId="0" fontId="7" fillId="8" borderId="0" xfId="0" applyFont="1" applyFill="1" applyAlignment="1">
      <alignment horizontal="center"/>
    </xf>
    <xf numFmtId="0" fontId="7" fillId="8" borderId="0" xfId="0" applyFont="1" applyFill="1"/>
    <xf numFmtId="0" fontId="10" fillId="11" borderId="0" xfId="0" applyFont="1" applyFill="1" applyAlignment="1">
      <alignment horizontal="left"/>
    </xf>
    <xf numFmtId="2" fontId="5" fillId="2" borderId="1" xfId="1" applyNumberFormat="1" applyFont="1" applyAlignment="1" applyProtection="1">
      <alignment horizontal="center"/>
      <protection locked="0"/>
    </xf>
    <xf numFmtId="164" fontId="5" fillId="2" borderId="1" xfId="1" applyNumberFormat="1" applyFont="1" applyAlignment="1" applyProtection="1">
      <alignment horizontal="center"/>
      <protection locked="0"/>
    </xf>
    <xf numFmtId="164" fontId="7" fillId="11" borderId="0" xfId="0" applyNumberFormat="1" applyFont="1" applyFill="1" applyAlignment="1">
      <alignment horizontal="center" vertical="center" wrapText="1"/>
    </xf>
    <xf numFmtId="0" fontId="7" fillId="11" borderId="0" xfId="0" applyFont="1" applyFill="1" applyAlignment="1">
      <alignment horizontal="center" vertical="center"/>
    </xf>
    <xf numFmtId="0" fontId="7" fillId="11" borderId="0" xfId="0" applyFont="1" applyFill="1" applyAlignment="1">
      <alignment horizontal="center" vertical="center" wrapText="1"/>
    </xf>
    <xf numFmtId="0" fontId="16" fillId="0" borderId="16" xfId="0" applyFont="1" applyBorder="1"/>
    <xf numFmtId="0" fontId="7" fillId="7" borderId="0" xfId="0" applyFont="1" applyFill="1" applyAlignment="1">
      <alignment horizontal="center" vertical="center" wrapText="1"/>
    </xf>
    <xf numFmtId="166" fontId="7" fillId="11" borderId="0" xfId="0" applyNumberFormat="1" applyFont="1" applyFill="1" applyAlignment="1">
      <alignment horizontal="center" vertical="center" wrapText="1"/>
    </xf>
    <xf numFmtId="0" fontId="7" fillId="9" borderId="0" xfId="0" applyFont="1" applyFill="1"/>
    <xf numFmtId="0" fontId="20" fillId="11" borderId="0" xfId="0" applyFont="1" applyFill="1" applyAlignment="1">
      <alignment vertical="center"/>
    </xf>
    <xf numFmtId="1" fontId="7" fillId="11" borderId="0" xfId="0" applyNumberFormat="1" applyFont="1" applyFill="1" applyAlignment="1">
      <alignment vertical="center"/>
    </xf>
    <xf numFmtId="0" fontId="7" fillId="11" borderId="0" xfId="0" applyFont="1" applyFill="1" applyBorder="1" applyProtection="1">
      <protection locked="0"/>
    </xf>
    <xf numFmtId="0" fontId="16" fillId="9" borderId="0" xfId="0" applyFont="1" applyFill="1" applyBorder="1"/>
    <xf numFmtId="166" fontId="4" fillId="9" borderId="9" xfId="0" applyNumberFormat="1" applyFont="1" applyFill="1" applyBorder="1"/>
    <xf numFmtId="166" fontId="4" fillId="0" borderId="32" xfId="0" applyNumberFormat="1" applyFont="1" applyBorder="1" applyAlignment="1">
      <alignment horizontal="center"/>
    </xf>
    <xf numFmtId="166" fontId="4" fillId="0" borderId="4" xfId="0" applyNumberFormat="1" applyFont="1" applyBorder="1" applyAlignment="1">
      <alignment horizontal="center"/>
    </xf>
    <xf numFmtId="166" fontId="4" fillId="9" borderId="14" xfId="0" applyNumberFormat="1" applyFont="1" applyFill="1" applyBorder="1"/>
    <xf numFmtId="169" fontId="4" fillId="4" borderId="0" xfId="0" applyNumberFormat="1" applyFont="1" applyFill="1" applyBorder="1" applyAlignment="1">
      <alignment horizontal="center"/>
    </xf>
    <xf numFmtId="169" fontId="4" fillId="3" borderId="0" xfId="0" applyNumberFormat="1" applyFont="1" applyFill="1" applyBorder="1" applyAlignment="1">
      <alignment horizontal="center"/>
    </xf>
    <xf numFmtId="165" fontId="4" fillId="9" borderId="0" xfId="0" applyNumberFormat="1" applyFont="1" applyFill="1" applyBorder="1" applyAlignment="1">
      <alignment horizontal="center"/>
    </xf>
    <xf numFmtId="166" fontId="5" fillId="2" borderId="1" xfId="1" applyNumberFormat="1" applyFont="1" applyAlignment="1" applyProtection="1">
      <alignment horizontal="center"/>
      <protection locked="0"/>
    </xf>
    <xf numFmtId="0" fontId="0" fillId="8" borderId="0" xfId="0" applyFill="1"/>
    <xf numFmtId="0" fontId="0" fillId="9" borderId="9" xfId="0" applyFill="1" applyBorder="1"/>
    <xf numFmtId="0" fontId="0" fillId="9" borderId="10" xfId="0" applyFill="1" applyBorder="1"/>
    <xf numFmtId="0" fontId="0" fillId="9" borderId="8" xfId="0" applyFill="1" applyBorder="1"/>
    <xf numFmtId="0" fontId="0" fillId="9" borderId="12" xfId="0" applyFill="1" applyBorder="1"/>
    <xf numFmtId="0" fontId="0" fillId="9" borderId="11" xfId="0" applyFill="1" applyBorder="1"/>
    <xf numFmtId="0" fontId="0" fillId="9" borderId="0" xfId="0" applyFill="1"/>
    <xf numFmtId="0" fontId="0" fillId="9" borderId="13" xfId="0" applyFill="1" applyBorder="1"/>
    <xf numFmtId="0" fontId="0" fillId="9" borderId="14" xfId="0" applyFill="1" applyBorder="1"/>
    <xf numFmtId="0" fontId="0" fillId="9" borderId="15" xfId="0" applyFill="1" applyBorder="1"/>
    <xf numFmtId="2" fontId="4" fillId="9" borderId="9" xfId="0" applyNumberFormat="1" applyFont="1" applyFill="1" applyBorder="1" applyAlignment="1">
      <alignment horizontal="center"/>
    </xf>
    <xf numFmtId="164" fontId="4" fillId="4" borderId="0" xfId="0" applyNumberFormat="1" applyFont="1" applyFill="1" applyAlignment="1">
      <alignment horizontal="center"/>
    </xf>
    <xf numFmtId="164" fontId="4" fillId="3" borderId="0" xfId="0" applyNumberFormat="1" applyFont="1" applyFill="1" applyAlignment="1">
      <alignment horizontal="center"/>
    </xf>
    <xf numFmtId="170" fontId="5" fillId="2" borderId="1" xfId="1" applyNumberFormat="1" applyFont="1" applyAlignment="1" applyProtection="1">
      <alignment horizontal="center"/>
      <protection locked="0"/>
    </xf>
    <xf numFmtId="165" fontId="4" fillId="4" borderId="0" xfId="0" applyNumberFormat="1" applyFont="1" applyFill="1" applyAlignment="1">
      <alignment horizontal="center"/>
    </xf>
    <xf numFmtId="169" fontId="4" fillId="5" borderId="0" xfId="0" applyNumberFormat="1" applyFont="1" applyFill="1" applyAlignment="1">
      <alignment horizontal="center"/>
    </xf>
    <xf numFmtId="0" fontId="7" fillId="9" borderId="0" xfId="2" applyFont="1" applyFill="1" applyBorder="1"/>
    <xf numFmtId="168" fontId="4" fillId="3" borderId="0" xfId="0" applyNumberFormat="1" applyFont="1" applyFill="1" applyAlignment="1">
      <alignment horizontal="center"/>
    </xf>
    <xf numFmtId="168" fontId="4" fillId="4" borderId="0" xfId="0" applyNumberFormat="1" applyFont="1" applyFill="1" applyAlignment="1">
      <alignment horizontal="center"/>
    </xf>
    <xf numFmtId="165" fontId="4" fillId="9" borderId="0" xfId="0" applyNumberFormat="1" applyFont="1" applyFill="1" applyAlignment="1">
      <alignment horizontal="center"/>
    </xf>
    <xf numFmtId="165" fontId="4" fillId="3" borderId="0" xfId="0" applyNumberFormat="1" applyFont="1" applyFill="1" applyAlignment="1">
      <alignment horizontal="center"/>
    </xf>
    <xf numFmtId="0" fontId="4" fillId="8" borderId="0" xfId="0" applyFont="1" applyFill="1" applyBorder="1"/>
    <xf numFmtId="166" fontId="7" fillId="7" borderId="0" xfId="0" applyNumberFormat="1" applyFont="1" applyFill="1" applyAlignment="1">
      <alignment horizontal="center" vertical="center" wrapText="1"/>
    </xf>
    <xf numFmtId="166" fontId="0" fillId="0" borderId="3" xfId="0" applyNumberFormat="1" applyBorder="1" applyAlignment="1">
      <alignment horizontal="center"/>
    </xf>
    <xf numFmtId="166" fontId="4" fillId="8" borderId="3" xfId="0" applyNumberFormat="1" applyFont="1" applyFill="1" applyBorder="1" applyAlignment="1">
      <alignment horizontal="center"/>
    </xf>
    <xf numFmtId="166" fontId="4" fillId="3" borderId="0" xfId="0" applyNumberFormat="1" applyFont="1" applyFill="1" applyAlignment="1">
      <alignment horizontal="center"/>
    </xf>
    <xf numFmtId="0" fontId="0" fillId="9" borderId="0" xfId="0" applyFill="1" applyBorder="1"/>
    <xf numFmtId="0" fontId="0" fillId="8" borderId="0" xfId="0" applyNumberFormat="1" applyFill="1"/>
    <xf numFmtId="0" fontId="0" fillId="9" borderId="9" xfId="0" applyNumberFormat="1" applyFill="1" applyBorder="1"/>
    <xf numFmtId="0" fontId="0" fillId="9" borderId="0" xfId="0" applyNumberFormat="1" applyFill="1" applyBorder="1"/>
    <xf numFmtId="0" fontId="0" fillId="9" borderId="14" xfId="0" applyNumberFormat="1" applyFill="1" applyBorder="1"/>
    <xf numFmtId="0" fontId="7" fillId="7" borderId="0" xfId="0" applyNumberFormat="1" applyFont="1" applyFill="1" applyBorder="1" applyAlignment="1" applyProtection="1">
      <alignment horizontal="center" vertical="center" wrapText="1"/>
      <protection locked="0"/>
    </xf>
    <xf numFmtId="0" fontId="7" fillId="9" borderId="0"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0" fillId="9" borderId="0" xfId="0" applyFill="1" applyBorder="1" applyProtection="1">
      <protection locked="0"/>
    </xf>
    <xf numFmtId="166" fontId="4" fillId="8" borderId="28" xfId="0" applyNumberFormat="1" applyFont="1" applyFill="1" applyBorder="1" applyAlignment="1" applyProtection="1">
      <alignment horizontal="center"/>
      <protection locked="0"/>
    </xf>
    <xf numFmtId="0" fontId="4" fillId="8" borderId="28" xfId="0" applyNumberFormat="1" applyFont="1" applyFill="1" applyBorder="1" applyAlignment="1" applyProtection="1">
      <alignment horizontal="center"/>
    </xf>
    <xf numFmtId="0" fontId="0" fillId="9" borderId="0" xfId="0" applyFill="1" applyBorder="1" applyProtection="1"/>
    <xf numFmtId="0" fontId="4" fillId="9" borderId="0" xfId="0" applyFont="1" applyFill="1" applyBorder="1" applyAlignment="1">
      <alignment vertical="top" wrapText="1"/>
    </xf>
    <xf numFmtId="166" fontId="5" fillId="2" borderId="1" xfId="1" applyNumberFormat="1" applyFont="1" applyBorder="1" applyAlignment="1" applyProtection="1">
      <alignment horizontal="center"/>
      <protection locked="0"/>
    </xf>
    <xf numFmtId="0" fontId="4" fillId="9" borderId="0" xfId="0" applyFont="1" applyFill="1" applyBorder="1" applyAlignment="1">
      <alignment horizontal="left"/>
    </xf>
    <xf numFmtId="0" fontId="4" fillId="0" borderId="3" xfId="0" applyFont="1" applyBorder="1" applyAlignment="1">
      <alignment horizontal="center" vertical="center"/>
    </xf>
    <xf numFmtId="0" fontId="7" fillId="7" borderId="0" xfId="0" applyFont="1" applyFill="1" applyAlignment="1" applyProtection="1">
      <alignment horizontal="center" vertical="center" wrapText="1"/>
      <protection locked="0"/>
    </xf>
    <xf numFmtId="2" fontId="4" fillId="8" borderId="28" xfId="0" applyNumberFormat="1" applyFont="1" applyFill="1" applyBorder="1" applyAlignment="1" applyProtection="1">
      <alignment horizontal="center"/>
      <protection locked="0"/>
    </xf>
    <xf numFmtId="0" fontId="9" fillId="8" borderId="28" xfId="0" applyFont="1" applyFill="1" applyBorder="1" applyAlignment="1">
      <alignment horizontal="center"/>
    </xf>
    <xf numFmtId="2" fontId="9" fillId="8" borderId="28" xfId="0" applyNumberFormat="1" applyFont="1" applyFill="1" applyBorder="1" applyAlignment="1" applyProtection="1">
      <alignment horizontal="center"/>
      <protection locked="0"/>
    </xf>
    <xf numFmtId="171" fontId="4" fillId="4" borderId="0" xfId="3" applyNumberFormat="1" applyFont="1" applyFill="1" applyBorder="1" applyAlignment="1">
      <alignment horizontal="center"/>
    </xf>
    <xf numFmtId="171" fontId="4" fillId="3" borderId="0" xfId="3" applyNumberFormat="1" applyFont="1" applyFill="1" applyBorder="1" applyAlignment="1">
      <alignment horizontal="center"/>
    </xf>
    <xf numFmtId="10" fontId="4" fillId="9" borderId="0" xfId="3" applyNumberFormat="1" applyFont="1" applyFill="1" applyBorder="1"/>
    <xf numFmtId="2" fontId="4" fillId="4" borderId="0" xfId="3" applyNumberFormat="1" applyFont="1" applyFill="1" applyBorder="1" applyAlignment="1">
      <alignment horizontal="center"/>
    </xf>
    <xf numFmtId="2" fontId="4" fillId="3" borderId="0" xfId="3" applyNumberFormat="1" applyFont="1" applyFill="1" applyBorder="1" applyAlignment="1">
      <alignment horizontal="center"/>
    </xf>
    <xf numFmtId="171" fontId="4" fillId="5" borderId="0" xfId="3" applyNumberFormat="1" applyFont="1" applyFill="1" applyBorder="1" applyAlignment="1">
      <alignment horizontal="center"/>
    </xf>
    <xf numFmtId="172" fontId="4" fillId="5" borderId="0" xfId="0" applyNumberFormat="1" applyFont="1" applyFill="1" applyAlignment="1">
      <alignment horizontal="center"/>
    </xf>
    <xf numFmtId="0" fontId="10" fillId="11" borderId="0" xfId="0" applyFont="1" applyFill="1" applyAlignment="1">
      <alignment horizontal="left" vertical="top" wrapText="1"/>
    </xf>
    <xf numFmtId="0" fontId="10" fillId="11" borderId="0" xfId="0" applyFont="1" applyFill="1" applyAlignment="1">
      <alignment horizontal="left" vertical="top"/>
    </xf>
    <xf numFmtId="0" fontId="7" fillId="11" borderId="20" xfId="0" applyFont="1" applyFill="1" applyBorder="1" applyAlignment="1">
      <alignment horizontal="center"/>
    </xf>
    <xf numFmtId="0" fontId="7" fillId="11" borderId="0" xfId="0" applyFont="1" applyFill="1" applyAlignment="1">
      <alignment horizontal="center"/>
    </xf>
    <xf numFmtId="0" fontId="12" fillId="8" borderId="0" xfId="0" applyFont="1" applyFill="1" applyBorder="1" applyAlignment="1">
      <alignment horizontal="center" vertical="center"/>
    </xf>
    <xf numFmtId="0" fontId="11" fillId="11" borderId="0" xfId="0" applyFont="1" applyFill="1" applyAlignment="1">
      <alignment horizontal="left"/>
    </xf>
    <xf numFmtId="0" fontId="10" fillId="11" borderId="0" xfId="0" applyFont="1" applyFill="1" applyAlignment="1">
      <alignment horizontal="left"/>
    </xf>
    <xf numFmtId="0" fontId="10" fillId="11" borderId="37" xfId="0" applyFont="1" applyFill="1" applyBorder="1" applyAlignment="1">
      <alignment horizontal="left"/>
    </xf>
    <xf numFmtId="0" fontId="6" fillId="10" borderId="34" xfId="0" applyFont="1" applyFill="1" applyBorder="1" applyAlignment="1">
      <alignment horizontal="center"/>
    </xf>
    <xf numFmtId="0" fontId="6" fillId="10" borderId="35" xfId="0" applyFont="1" applyFill="1" applyBorder="1" applyAlignment="1">
      <alignment horizontal="center"/>
    </xf>
    <xf numFmtId="0" fontId="6" fillId="10" borderId="36" xfId="0" applyFont="1" applyFill="1" applyBorder="1" applyAlignment="1">
      <alignment horizontal="center"/>
    </xf>
    <xf numFmtId="0" fontId="6" fillId="11" borderId="34" xfId="0" applyFont="1" applyFill="1" applyBorder="1" applyAlignment="1">
      <alignment horizontal="center"/>
    </xf>
    <xf numFmtId="0" fontId="6" fillId="11" borderId="35" xfId="0" applyFont="1" applyFill="1" applyBorder="1" applyAlignment="1">
      <alignment horizontal="center"/>
    </xf>
    <xf numFmtId="0" fontId="6" fillId="11" borderId="36" xfId="0" applyFont="1" applyFill="1" applyBorder="1" applyAlignment="1">
      <alignment horizontal="center"/>
    </xf>
    <xf numFmtId="0" fontId="4" fillId="9" borderId="0" xfId="0" applyFont="1" applyFill="1" applyBorder="1" applyAlignment="1">
      <alignment vertical="top" wrapText="1"/>
    </xf>
    <xf numFmtId="0" fontId="4" fillId="9" borderId="37" xfId="0" applyFont="1" applyFill="1" applyBorder="1" applyAlignment="1">
      <alignment vertical="top"/>
    </xf>
    <xf numFmtId="0" fontId="4" fillId="9" borderId="0" xfId="0" applyFont="1" applyFill="1" applyBorder="1" applyAlignment="1">
      <alignment vertical="top"/>
    </xf>
    <xf numFmtId="0" fontId="4" fillId="9" borderId="37" xfId="0" applyFont="1" applyFill="1" applyBorder="1" applyAlignment="1">
      <alignment vertical="top" wrapText="1"/>
    </xf>
    <xf numFmtId="0" fontId="7" fillId="11" borderId="38" xfId="0" applyFont="1" applyFill="1" applyBorder="1" applyAlignment="1">
      <alignment horizontal="center"/>
    </xf>
    <xf numFmtId="0" fontId="4" fillId="0" borderId="7" xfId="0" applyFont="1" applyBorder="1" applyAlignment="1">
      <alignment horizontal="center" wrapText="1"/>
    </xf>
    <xf numFmtId="0" fontId="4" fillId="8" borderId="3" xfId="0" applyFont="1" applyFill="1" applyBorder="1" applyAlignment="1">
      <alignment horizontal="center" vertical="center"/>
    </xf>
    <xf numFmtId="0" fontId="4" fillId="0" borderId="3" xfId="0" applyFont="1" applyBorder="1" applyAlignment="1">
      <alignment horizontal="center" wrapText="1"/>
    </xf>
    <xf numFmtId="0" fontId="16" fillId="0" borderId="3" xfId="0" applyFont="1" applyBorder="1" applyAlignment="1">
      <alignment horizontal="center"/>
    </xf>
    <xf numFmtId="0" fontId="4" fillId="0" borderId="3" xfId="0" applyFont="1" applyBorder="1" applyAlignment="1">
      <alignment horizontal="center"/>
    </xf>
    <xf numFmtId="0" fontId="4" fillId="8"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lignment horizontal="left" vertical="center"/>
    </xf>
    <xf numFmtId="0" fontId="16" fillId="0" borderId="3" xfId="0" applyFont="1" applyBorder="1" applyAlignment="1">
      <alignment horizontal="center" vertical="center" wrapText="1"/>
    </xf>
    <xf numFmtId="0" fontId="4" fillId="0" borderId="3" xfId="0" applyFont="1" applyBorder="1" applyAlignment="1">
      <alignment horizontal="center"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8" borderId="5" xfId="0" applyFont="1" applyFill="1" applyBorder="1" applyAlignment="1">
      <alignment horizontal="center" vertical="center" wrapText="1"/>
    </xf>
    <xf numFmtId="0" fontId="4" fillId="8" borderId="33"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6" fillId="10" borderId="34" xfId="0" applyFont="1" applyFill="1" applyBorder="1" applyAlignment="1">
      <alignment horizontal="center" wrapText="1"/>
    </xf>
    <xf numFmtId="0" fontId="6" fillId="10" borderId="35" xfId="0" applyFont="1" applyFill="1" applyBorder="1" applyAlignment="1">
      <alignment horizontal="center" wrapText="1"/>
    </xf>
    <xf numFmtId="0" fontId="6" fillId="10" borderId="36" xfId="0" applyFont="1" applyFill="1" applyBorder="1" applyAlignment="1">
      <alignment horizontal="center" wrapText="1"/>
    </xf>
    <xf numFmtId="0" fontId="6" fillId="10" borderId="25" xfId="0" applyFont="1" applyFill="1" applyBorder="1" applyAlignment="1">
      <alignment horizontal="center"/>
    </xf>
    <xf numFmtId="0" fontId="6" fillId="10" borderId="26" xfId="0" applyFont="1" applyFill="1" applyBorder="1" applyAlignment="1">
      <alignment horizontal="center"/>
    </xf>
    <xf numFmtId="0" fontId="6" fillId="10" borderId="27" xfId="0" applyFont="1" applyFill="1" applyBorder="1" applyAlignment="1">
      <alignment horizontal="center"/>
    </xf>
    <xf numFmtId="0" fontId="6" fillId="10" borderId="25" xfId="0" applyFont="1" applyFill="1" applyBorder="1" applyAlignment="1">
      <alignment horizontal="left"/>
    </xf>
    <xf numFmtId="0" fontId="6" fillId="10" borderId="26" xfId="0" applyFont="1" applyFill="1" applyBorder="1" applyAlignment="1">
      <alignment horizontal="left"/>
    </xf>
    <xf numFmtId="0" fontId="6" fillId="10" borderId="27" xfId="0" applyFont="1" applyFill="1" applyBorder="1" applyAlignment="1">
      <alignment horizontal="left"/>
    </xf>
    <xf numFmtId="0" fontId="0" fillId="8" borderId="0" xfId="0" applyFill="1" applyAlignment="1">
      <alignment vertical="top" wrapText="1"/>
    </xf>
  </cellXfs>
  <cellStyles count="4">
    <cellStyle name="Entrada" xfId="1" builtinId="20"/>
    <cellStyle name="Normal" xfId="0" builtinId="0"/>
    <cellStyle name="Porcentaje" xfId="3" builtinId="5"/>
    <cellStyle name="Título 3" xfId="2" builtinId="18"/>
  </cellStyles>
  <dxfs count="72">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184059"/>
      <color rgb="FFE7E6E6"/>
      <color rgb="FF7D7F43"/>
      <color rgb="FF193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Gráfico de calibración de caudal antes de la intervención (línea base)</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3"/>
          <c:order val="0"/>
          <c:tx>
            <c:strRef>
              <c:f>Observaciones!$H$5</c:f>
              <c:strCache>
                <c:ptCount val="1"/>
                <c:pt idx="0">
                  <c:v>Caudal observado - Qobs (mm)</c:v>
                </c:pt>
              </c:strCache>
            </c:strRef>
          </c:tx>
          <c:spPr>
            <a:ln w="12700" cap="rnd">
              <a:noFill/>
              <a:round/>
            </a:ln>
            <a:effectLst/>
          </c:spPr>
          <c:marker>
            <c:symbol val="circle"/>
            <c:size val="2"/>
            <c:spPr>
              <a:solidFill>
                <a:schemeClr val="tx1"/>
              </a:solidFill>
              <a:ln w="12700">
                <a:noFill/>
              </a:ln>
              <a:effectLst/>
            </c:spPr>
          </c:marker>
          <c:xVal>
            <c:strRef>
              <c:f>Observaciones!$C:$C</c:f>
              <c:strCache>
                <c:ptCount val="735"/>
                <c:pt idx="2">
                  <c:v>Observaciones</c:v>
                </c:pt>
                <c:pt idx="4">
                  <c:v>Día</c:v>
                </c:pt>
                <c:pt idx="5">
                  <c:v>1</c:v>
                </c:pt>
                <c:pt idx="6">
                  <c:v>2</c:v>
                </c:pt>
                <c:pt idx="7">
                  <c:v>3</c:v>
                </c:pt>
                <c:pt idx="8">
                  <c:v>4</c:v>
                </c:pt>
                <c:pt idx="9">
                  <c:v>5</c:v>
                </c:pt>
                <c:pt idx="10">
                  <c:v>6</c:v>
                </c:pt>
                <c:pt idx="11">
                  <c:v>7</c:v>
                </c:pt>
                <c:pt idx="12">
                  <c:v>8</c:v>
                </c:pt>
                <c:pt idx="13">
                  <c:v>9</c:v>
                </c:pt>
                <c:pt idx="14">
                  <c:v>10</c:v>
                </c:pt>
                <c:pt idx="15">
                  <c:v>11</c:v>
                </c:pt>
                <c:pt idx="16">
                  <c:v>12</c:v>
                </c:pt>
                <c:pt idx="17">
                  <c:v>13</c:v>
                </c:pt>
                <c:pt idx="18">
                  <c:v>14</c:v>
                </c:pt>
                <c:pt idx="19">
                  <c:v>15</c:v>
                </c:pt>
                <c:pt idx="20">
                  <c:v>16</c:v>
                </c:pt>
                <c:pt idx="21">
                  <c:v>17</c:v>
                </c:pt>
                <c:pt idx="22">
                  <c:v>18</c:v>
                </c:pt>
                <c:pt idx="23">
                  <c:v>19</c:v>
                </c:pt>
                <c:pt idx="24">
                  <c:v>20</c:v>
                </c:pt>
                <c:pt idx="25">
                  <c:v>21</c:v>
                </c:pt>
                <c:pt idx="26">
                  <c:v>22</c:v>
                </c:pt>
                <c:pt idx="27">
                  <c:v>23</c:v>
                </c:pt>
                <c:pt idx="28">
                  <c:v>24</c:v>
                </c:pt>
                <c:pt idx="29">
                  <c:v>25</c:v>
                </c:pt>
                <c:pt idx="30">
                  <c:v>26</c:v>
                </c:pt>
                <c:pt idx="31">
                  <c:v>27</c:v>
                </c:pt>
                <c:pt idx="32">
                  <c:v>28</c:v>
                </c:pt>
                <c:pt idx="33">
                  <c:v>29</c:v>
                </c:pt>
                <c:pt idx="34">
                  <c:v>30</c:v>
                </c:pt>
                <c:pt idx="35">
                  <c:v>31</c:v>
                </c:pt>
                <c:pt idx="36">
                  <c:v>32</c:v>
                </c:pt>
                <c:pt idx="37">
                  <c:v>33</c:v>
                </c:pt>
                <c:pt idx="38">
                  <c:v>34</c:v>
                </c:pt>
                <c:pt idx="39">
                  <c:v>35</c:v>
                </c:pt>
                <c:pt idx="40">
                  <c:v>36</c:v>
                </c:pt>
                <c:pt idx="41">
                  <c:v>37</c:v>
                </c:pt>
                <c:pt idx="42">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60</c:v>
                </c:pt>
                <c:pt idx="65">
                  <c:v>61</c:v>
                </c:pt>
                <c:pt idx="66">
                  <c:v>62</c:v>
                </c:pt>
                <c:pt idx="67">
                  <c:v>63</c:v>
                </c:pt>
                <c:pt idx="68">
                  <c:v>64</c:v>
                </c:pt>
                <c:pt idx="69">
                  <c:v>65</c:v>
                </c:pt>
                <c:pt idx="70">
                  <c:v>66</c:v>
                </c:pt>
                <c:pt idx="71">
                  <c:v>67</c:v>
                </c:pt>
                <c:pt idx="72">
                  <c:v>68</c:v>
                </c:pt>
                <c:pt idx="73">
                  <c:v>69</c:v>
                </c:pt>
                <c:pt idx="74">
                  <c:v>70</c:v>
                </c:pt>
                <c:pt idx="75">
                  <c:v>71</c:v>
                </c:pt>
                <c:pt idx="76">
                  <c:v>72</c:v>
                </c:pt>
                <c:pt idx="77">
                  <c:v>73</c:v>
                </c:pt>
                <c:pt idx="78">
                  <c:v>74</c:v>
                </c:pt>
                <c:pt idx="79">
                  <c:v>75</c:v>
                </c:pt>
                <c:pt idx="80">
                  <c:v>76</c:v>
                </c:pt>
                <c:pt idx="81">
                  <c:v>77</c:v>
                </c:pt>
                <c:pt idx="82">
                  <c:v>78</c:v>
                </c:pt>
                <c:pt idx="83">
                  <c:v>79</c:v>
                </c:pt>
                <c:pt idx="84">
                  <c:v>80</c:v>
                </c:pt>
                <c:pt idx="85">
                  <c:v>81</c:v>
                </c:pt>
                <c:pt idx="86">
                  <c:v>82</c:v>
                </c:pt>
                <c:pt idx="87">
                  <c:v>83</c:v>
                </c:pt>
                <c:pt idx="88">
                  <c:v>84</c:v>
                </c:pt>
                <c:pt idx="89">
                  <c:v>85</c:v>
                </c:pt>
                <c:pt idx="90">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38">
                  <c:v>134</c:v>
                </c:pt>
                <c:pt idx="139">
                  <c:v>135</c:v>
                </c:pt>
                <c:pt idx="140">
                  <c:v>136</c:v>
                </c:pt>
                <c:pt idx="141">
                  <c:v>137</c:v>
                </c:pt>
                <c:pt idx="142">
                  <c:v>138</c:v>
                </c:pt>
                <c:pt idx="143">
                  <c:v>139</c:v>
                </c:pt>
                <c:pt idx="144">
                  <c:v>140</c:v>
                </c:pt>
                <c:pt idx="145">
                  <c:v>141</c:v>
                </c:pt>
                <c:pt idx="146">
                  <c:v>142</c:v>
                </c:pt>
                <c:pt idx="147">
                  <c:v>143</c:v>
                </c:pt>
                <c:pt idx="148">
                  <c:v>144</c:v>
                </c:pt>
                <c:pt idx="149">
                  <c:v>145</c:v>
                </c:pt>
                <c:pt idx="150">
                  <c:v>146</c:v>
                </c:pt>
                <c:pt idx="151">
                  <c:v>147</c:v>
                </c:pt>
                <c:pt idx="152">
                  <c:v>148</c:v>
                </c:pt>
                <c:pt idx="153">
                  <c:v>149</c:v>
                </c:pt>
                <c:pt idx="154">
                  <c:v>150</c:v>
                </c:pt>
                <c:pt idx="155">
                  <c:v>151</c:v>
                </c:pt>
                <c:pt idx="156">
                  <c:v>152</c:v>
                </c:pt>
                <c:pt idx="157">
                  <c:v>153</c:v>
                </c:pt>
                <c:pt idx="158">
                  <c:v>154</c:v>
                </c:pt>
                <c:pt idx="159">
                  <c:v>155</c:v>
                </c:pt>
                <c:pt idx="160">
                  <c:v>156</c:v>
                </c:pt>
                <c:pt idx="161">
                  <c:v>157</c:v>
                </c:pt>
                <c:pt idx="162">
                  <c:v>158</c:v>
                </c:pt>
                <c:pt idx="163">
                  <c:v>159</c:v>
                </c:pt>
                <c:pt idx="164">
                  <c:v>160</c:v>
                </c:pt>
                <c:pt idx="165">
                  <c:v>161</c:v>
                </c:pt>
                <c:pt idx="166">
                  <c:v>162</c:v>
                </c:pt>
                <c:pt idx="167">
                  <c:v>163</c:v>
                </c:pt>
                <c:pt idx="168">
                  <c:v>164</c:v>
                </c:pt>
                <c:pt idx="169">
                  <c:v>165</c:v>
                </c:pt>
                <c:pt idx="170">
                  <c:v>166</c:v>
                </c:pt>
                <c:pt idx="171">
                  <c:v>167</c:v>
                </c:pt>
                <c:pt idx="172">
                  <c:v>168</c:v>
                </c:pt>
                <c:pt idx="173">
                  <c:v>169</c:v>
                </c:pt>
                <c:pt idx="174">
                  <c:v>170</c:v>
                </c:pt>
                <c:pt idx="175">
                  <c:v>171</c:v>
                </c:pt>
                <c:pt idx="176">
                  <c:v>172</c:v>
                </c:pt>
                <c:pt idx="177">
                  <c:v>173</c:v>
                </c:pt>
                <c:pt idx="178">
                  <c:v>174</c:v>
                </c:pt>
                <c:pt idx="179">
                  <c:v>175</c:v>
                </c:pt>
                <c:pt idx="180">
                  <c:v>176</c:v>
                </c:pt>
                <c:pt idx="181">
                  <c:v>177</c:v>
                </c:pt>
                <c:pt idx="182">
                  <c:v>178</c:v>
                </c:pt>
                <c:pt idx="183">
                  <c:v>179</c:v>
                </c:pt>
                <c:pt idx="184">
                  <c:v>180</c:v>
                </c:pt>
                <c:pt idx="185">
                  <c:v>181</c:v>
                </c:pt>
                <c:pt idx="186">
                  <c:v>182</c:v>
                </c:pt>
                <c:pt idx="187">
                  <c:v>183</c:v>
                </c:pt>
                <c:pt idx="188">
                  <c:v>184</c:v>
                </c:pt>
                <c:pt idx="189">
                  <c:v>185</c:v>
                </c:pt>
                <c:pt idx="190">
                  <c:v>186</c:v>
                </c:pt>
                <c:pt idx="191">
                  <c:v>187</c:v>
                </c:pt>
                <c:pt idx="192">
                  <c:v>188</c:v>
                </c:pt>
                <c:pt idx="193">
                  <c:v>189</c:v>
                </c:pt>
                <c:pt idx="194">
                  <c:v>190</c:v>
                </c:pt>
                <c:pt idx="195">
                  <c:v>191</c:v>
                </c:pt>
                <c:pt idx="196">
                  <c:v>192</c:v>
                </c:pt>
                <c:pt idx="197">
                  <c:v>193</c:v>
                </c:pt>
                <c:pt idx="198">
                  <c:v>194</c:v>
                </c:pt>
                <c:pt idx="199">
                  <c:v>195</c:v>
                </c:pt>
                <c:pt idx="200">
                  <c:v>196</c:v>
                </c:pt>
                <c:pt idx="201">
                  <c:v>197</c:v>
                </c:pt>
                <c:pt idx="202">
                  <c:v>198</c:v>
                </c:pt>
                <c:pt idx="203">
                  <c:v>199</c:v>
                </c:pt>
                <c:pt idx="204">
                  <c:v>200</c:v>
                </c:pt>
                <c:pt idx="205">
                  <c:v>201</c:v>
                </c:pt>
                <c:pt idx="206">
                  <c:v>202</c:v>
                </c:pt>
                <c:pt idx="207">
                  <c:v>203</c:v>
                </c:pt>
                <c:pt idx="208">
                  <c:v>204</c:v>
                </c:pt>
                <c:pt idx="209">
                  <c:v>205</c:v>
                </c:pt>
                <c:pt idx="210">
                  <c:v>206</c:v>
                </c:pt>
                <c:pt idx="211">
                  <c:v>207</c:v>
                </c:pt>
                <c:pt idx="212">
                  <c:v>208</c:v>
                </c:pt>
                <c:pt idx="213">
                  <c:v>209</c:v>
                </c:pt>
                <c:pt idx="214">
                  <c:v>210</c:v>
                </c:pt>
                <c:pt idx="215">
                  <c:v>211</c:v>
                </c:pt>
                <c:pt idx="216">
                  <c:v>212</c:v>
                </c:pt>
                <c:pt idx="217">
                  <c:v>213</c:v>
                </c:pt>
                <c:pt idx="218">
                  <c:v>214</c:v>
                </c:pt>
                <c:pt idx="219">
                  <c:v>215</c:v>
                </c:pt>
                <c:pt idx="220">
                  <c:v>216</c:v>
                </c:pt>
                <c:pt idx="221">
                  <c:v>217</c:v>
                </c:pt>
                <c:pt idx="222">
                  <c:v>218</c:v>
                </c:pt>
                <c:pt idx="223">
                  <c:v>219</c:v>
                </c:pt>
                <c:pt idx="224">
                  <c:v>220</c:v>
                </c:pt>
                <c:pt idx="225">
                  <c:v>221</c:v>
                </c:pt>
                <c:pt idx="226">
                  <c:v>222</c:v>
                </c:pt>
                <c:pt idx="227">
                  <c:v>223</c:v>
                </c:pt>
                <c:pt idx="228">
                  <c:v>224</c:v>
                </c:pt>
                <c:pt idx="229">
                  <c:v>225</c:v>
                </c:pt>
                <c:pt idx="230">
                  <c:v>226</c:v>
                </c:pt>
                <c:pt idx="231">
                  <c:v>227</c:v>
                </c:pt>
                <c:pt idx="232">
                  <c:v>228</c:v>
                </c:pt>
                <c:pt idx="233">
                  <c:v>229</c:v>
                </c:pt>
                <c:pt idx="234">
                  <c:v>230</c:v>
                </c:pt>
                <c:pt idx="235">
                  <c:v>231</c:v>
                </c:pt>
                <c:pt idx="236">
                  <c:v>232</c:v>
                </c:pt>
                <c:pt idx="237">
                  <c:v>233</c:v>
                </c:pt>
                <c:pt idx="238">
                  <c:v>234</c:v>
                </c:pt>
                <c:pt idx="239">
                  <c:v>235</c:v>
                </c:pt>
                <c:pt idx="240">
                  <c:v>236</c:v>
                </c:pt>
                <c:pt idx="241">
                  <c:v>237</c:v>
                </c:pt>
                <c:pt idx="242">
                  <c:v>238</c:v>
                </c:pt>
                <c:pt idx="243">
                  <c:v>239</c:v>
                </c:pt>
                <c:pt idx="244">
                  <c:v>240</c:v>
                </c:pt>
                <c:pt idx="245">
                  <c:v>241</c:v>
                </c:pt>
                <c:pt idx="246">
                  <c:v>242</c:v>
                </c:pt>
                <c:pt idx="247">
                  <c:v>243</c:v>
                </c:pt>
                <c:pt idx="248">
                  <c:v>244</c:v>
                </c:pt>
                <c:pt idx="249">
                  <c:v>245</c:v>
                </c:pt>
                <c:pt idx="250">
                  <c:v>246</c:v>
                </c:pt>
                <c:pt idx="251">
                  <c:v>247</c:v>
                </c:pt>
                <c:pt idx="252">
                  <c:v>248</c:v>
                </c:pt>
                <c:pt idx="253">
                  <c:v>249</c:v>
                </c:pt>
                <c:pt idx="254">
                  <c:v>250</c:v>
                </c:pt>
                <c:pt idx="255">
                  <c:v>251</c:v>
                </c:pt>
                <c:pt idx="256">
                  <c:v>252</c:v>
                </c:pt>
                <c:pt idx="257">
                  <c:v>253</c:v>
                </c:pt>
                <c:pt idx="258">
                  <c:v>254</c:v>
                </c:pt>
                <c:pt idx="259">
                  <c:v>255</c:v>
                </c:pt>
                <c:pt idx="260">
                  <c:v>256</c:v>
                </c:pt>
                <c:pt idx="261">
                  <c:v>257</c:v>
                </c:pt>
                <c:pt idx="262">
                  <c:v>258</c:v>
                </c:pt>
                <c:pt idx="263">
                  <c:v>259</c:v>
                </c:pt>
                <c:pt idx="264">
                  <c:v>260</c:v>
                </c:pt>
                <c:pt idx="265">
                  <c:v>261</c:v>
                </c:pt>
                <c:pt idx="266">
                  <c:v>262</c:v>
                </c:pt>
                <c:pt idx="267">
                  <c:v>263</c:v>
                </c:pt>
                <c:pt idx="268">
                  <c:v>264</c:v>
                </c:pt>
                <c:pt idx="269">
                  <c:v>265</c:v>
                </c:pt>
                <c:pt idx="270">
                  <c:v>266</c:v>
                </c:pt>
                <c:pt idx="271">
                  <c:v>267</c:v>
                </c:pt>
                <c:pt idx="272">
                  <c:v>268</c:v>
                </c:pt>
                <c:pt idx="273">
                  <c:v>269</c:v>
                </c:pt>
                <c:pt idx="274">
                  <c:v>270</c:v>
                </c:pt>
                <c:pt idx="275">
                  <c:v>271</c:v>
                </c:pt>
                <c:pt idx="276">
                  <c:v>272</c:v>
                </c:pt>
                <c:pt idx="277">
                  <c:v>273</c:v>
                </c:pt>
                <c:pt idx="278">
                  <c:v>274</c:v>
                </c:pt>
                <c:pt idx="279">
                  <c:v>275</c:v>
                </c:pt>
                <c:pt idx="280">
                  <c:v>276</c:v>
                </c:pt>
                <c:pt idx="281">
                  <c:v>277</c:v>
                </c:pt>
                <c:pt idx="282">
                  <c:v>278</c:v>
                </c:pt>
                <c:pt idx="283">
                  <c:v>279</c:v>
                </c:pt>
                <c:pt idx="284">
                  <c:v>280</c:v>
                </c:pt>
                <c:pt idx="285">
                  <c:v>281</c:v>
                </c:pt>
                <c:pt idx="286">
                  <c:v>282</c:v>
                </c:pt>
                <c:pt idx="287">
                  <c:v>283</c:v>
                </c:pt>
                <c:pt idx="288">
                  <c:v>284</c:v>
                </c:pt>
                <c:pt idx="289">
                  <c:v>285</c:v>
                </c:pt>
                <c:pt idx="290">
                  <c:v>286</c:v>
                </c:pt>
                <c:pt idx="291">
                  <c:v>287</c:v>
                </c:pt>
                <c:pt idx="292">
                  <c:v>288</c:v>
                </c:pt>
                <c:pt idx="293">
                  <c:v>289</c:v>
                </c:pt>
                <c:pt idx="294">
                  <c:v>290</c:v>
                </c:pt>
                <c:pt idx="295">
                  <c:v>291</c:v>
                </c:pt>
                <c:pt idx="296">
                  <c:v>292</c:v>
                </c:pt>
                <c:pt idx="297">
                  <c:v>293</c:v>
                </c:pt>
                <c:pt idx="298">
                  <c:v>294</c:v>
                </c:pt>
                <c:pt idx="299">
                  <c:v>295</c:v>
                </c:pt>
                <c:pt idx="300">
                  <c:v>296</c:v>
                </c:pt>
                <c:pt idx="301">
                  <c:v>297</c:v>
                </c:pt>
                <c:pt idx="302">
                  <c:v>298</c:v>
                </c:pt>
                <c:pt idx="303">
                  <c:v>299</c:v>
                </c:pt>
                <c:pt idx="304">
                  <c:v>300</c:v>
                </c:pt>
                <c:pt idx="305">
                  <c:v>301</c:v>
                </c:pt>
                <c:pt idx="306">
                  <c:v>302</c:v>
                </c:pt>
                <c:pt idx="307">
                  <c:v>303</c:v>
                </c:pt>
                <c:pt idx="308">
                  <c:v>304</c:v>
                </c:pt>
                <c:pt idx="309">
                  <c:v>305</c:v>
                </c:pt>
                <c:pt idx="310">
                  <c:v>306</c:v>
                </c:pt>
                <c:pt idx="311">
                  <c:v>307</c:v>
                </c:pt>
                <c:pt idx="312">
                  <c:v>308</c:v>
                </c:pt>
                <c:pt idx="313">
                  <c:v>309</c:v>
                </c:pt>
                <c:pt idx="314">
                  <c:v>310</c:v>
                </c:pt>
                <c:pt idx="315">
                  <c:v>311</c:v>
                </c:pt>
                <c:pt idx="316">
                  <c:v>312</c:v>
                </c:pt>
                <c:pt idx="317">
                  <c:v>313</c:v>
                </c:pt>
                <c:pt idx="318">
                  <c:v>314</c:v>
                </c:pt>
                <c:pt idx="319">
                  <c:v>315</c:v>
                </c:pt>
                <c:pt idx="320">
                  <c:v>316</c:v>
                </c:pt>
                <c:pt idx="321">
                  <c:v>317</c:v>
                </c:pt>
                <c:pt idx="322">
                  <c:v>318</c:v>
                </c:pt>
                <c:pt idx="323">
                  <c:v>319</c:v>
                </c:pt>
                <c:pt idx="324">
                  <c:v>320</c:v>
                </c:pt>
                <c:pt idx="325">
                  <c:v>321</c:v>
                </c:pt>
                <c:pt idx="326">
                  <c:v>322</c:v>
                </c:pt>
                <c:pt idx="327">
                  <c:v>323</c:v>
                </c:pt>
                <c:pt idx="328">
                  <c:v>324</c:v>
                </c:pt>
                <c:pt idx="329">
                  <c:v>325</c:v>
                </c:pt>
                <c:pt idx="330">
                  <c:v>326</c:v>
                </c:pt>
                <c:pt idx="331">
                  <c:v>327</c:v>
                </c:pt>
                <c:pt idx="332">
                  <c:v>328</c:v>
                </c:pt>
                <c:pt idx="333">
                  <c:v>329</c:v>
                </c:pt>
                <c:pt idx="334">
                  <c:v>330</c:v>
                </c:pt>
                <c:pt idx="335">
                  <c:v>331</c:v>
                </c:pt>
                <c:pt idx="336">
                  <c:v>332</c:v>
                </c:pt>
                <c:pt idx="337">
                  <c:v>333</c:v>
                </c:pt>
                <c:pt idx="338">
                  <c:v>334</c:v>
                </c:pt>
                <c:pt idx="339">
                  <c:v>335</c:v>
                </c:pt>
                <c:pt idx="340">
                  <c:v>336</c:v>
                </c:pt>
                <c:pt idx="341">
                  <c:v>337</c:v>
                </c:pt>
                <c:pt idx="342">
                  <c:v>338</c:v>
                </c:pt>
                <c:pt idx="343">
                  <c:v>339</c:v>
                </c:pt>
                <c:pt idx="344">
                  <c:v>340</c:v>
                </c:pt>
                <c:pt idx="345">
                  <c:v>341</c:v>
                </c:pt>
                <c:pt idx="346">
                  <c:v>342</c:v>
                </c:pt>
                <c:pt idx="347">
                  <c:v>343</c:v>
                </c:pt>
                <c:pt idx="348">
                  <c:v>344</c:v>
                </c:pt>
                <c:pt idx="349">
                  <c:v>345</c:v>
                </c:pt>
                <c:pt idx="350">
                  <c:v>346</c:v>
                </c:pt>
                <c:pt idx="351">
                  <c:v>347</c:v>
                </c:pt>
                <c:pt idx="352">
                  <c:v>348</c:v>
                </c:pt>
                <c:pt idx="353">
                  <c:v>349</c:v>
                </c:pt>
                <c:pt idx="354">
                  <c:v>350</c:v>
                </c:pt>
                <c:pt idx="355">
                  <c:v>351</c:v>
                </c:pt>
                <c:pt idx="356">
                  <c:v>352</c:v>
                </c:pt>
                <c:pt idx="357">
                  <c:v>353</c:v>
                </c:pt>
                <c:pt idx="358">
                  <c:v>354</c:v>
                </c:pt>
                <c:pt idx="359">
                  <c:v>355</c:v>
                </c:pt>
                <c:pt idx="360">
                  <c:v>356</c:v>
                </c:pt>
                <c:pt idx="361">
                  <c:v>357</c:v>
                </c:pt>
                <c:pt idx="362">
                  <c:v>358</c:v>
                </c:pt>
                <c:pt idx="363">
                  <c:v>359</c:v>
                </c:pt>
                <c:pt idx="364">
                  <c:v>360</c:v>
                </c:pt>
                <c:pt idx="365">
                  <c:v>361</c:v>
                </c:pt>
                <c:pt idx="366">
                  <c:v>362</c:v>
                </c:pt>
                <c:pt idx="367">
                  <c:v>363</c:v>
                </c:pt>
                <c:pt idx="368">
                  <c:v>364</c:v>
                </c:pt>
                <c:pt idx="369">
                  <c:v>365</c:v>
                </c:pt>
                <c:pt idx="370">
                  <c:v>366</c:v>
                </c:pt>
                <c:pt idx="371">
                  <c:v>367</c:v>
                </c:pt>
                <c:pt idx="372">
                  <c:v>368</c:v>
                </c:pt>
                <c:pt idx="373">
                  <c:v>369</c:v>
                </c:pt>
                <c:pt idx="374">
                  <c:v>370</c:v>
                </c:pt>
                <c:pt idx="375">
                  <c:v>371</c:v>
                </c:pt>
                <c:pt idx="376">
                  <c:v>372</c:v>
                </c:pt>
                <c:pt idx="377">
                  <c:v>373</c:v>
                </c:pt>
                <c:pt idx="378">
                  <c:v>374</c:v>
                </c:pt>
                <c:pt idx="379">
                  <c:v>375</c:v>
                </c:pt>
                <c:pt idx="380">
                  <c:v>376</c:v>
                </c:pt>
                <c:pt idx="381">
                  <c:v>377</c:v>
                </c:pt>
                <c:pt idx="382">
                  <c:v>378</c:v>
                </c:pt>
                <c:pt idx="383">
                  <c:v>379</c:v>
                </c:pt>
                <c:pt idx="384">
                  <c:v>380</c:v>
                </c:pt>
                <c:pt idx="385">
                  <c:v>381</c:v>
                </c:pt>
                <c:pt idx="386">
                  <c:v>382</c:v>
                </c:pt>
                <c:pt idx="387">
                  <c:v>383</c:v>
                </c:pt>
                <c:pt idx="388">
                  <c:v>384</c:v>
                </c:pt>
                <c:pt idx="389">
                  <c:v>385</c:v>
                </c:pt>
                <c:pt idx="390">
                  <c:v>386</c:v>
                </c:pt>
                <c:pt idx="391">
                  <c:v>387</c:v>
                </c:pt>
                <c:pt idx="392">
                  <c:v>388</c:v>
                </c:pt>
                <c:pt idx="393">
                  <c:v>389</c:v>
                </c:pt>
                <c:pt idx="394">
                  <c:v>390</c:v>
                </c:pt>
                <c:pt idx="395">
                  <c:v>391</c:v>
                </c:pt>
                <c:pt idx="396">
                  <c:v>392</c:v>
                </c:pt>
                <c:pt idx="397">
                  <c:v>393</c:v>
                </c:pt>
                <c:pt idx="398">
                  <c:v>394</c:v>
                </c:pt>
                <c:pt idx="399">
                  <c:v>395</c:v>
                </c:pt>
                <c:pt idx="400">
                  <c:v>396</c:v>
                </c:pt>
                <c:pt idx="401">
                  <c:v>397</c:v>
                </c:pt>
                <c:pt idx="402">
                  <c:v>398</c:v>
                </c:pt>
                <c:pt idx="403">
                  <c:v>399</c:v>
                </c:pt>
                <c:pt idx="404">
                  <c:v>400</c:v>
                </c:pt>
                <c:pt idx="405">
                  <c:v>401</c:v>
                </c:pt>
                <c:pt idx="406">
                  <c:v>402</c:v>
                </c:pt>
                <c:pt idx="407">
                  <c:v>403</c:v>
                </c:pt>
                <c:pt idx="408">
                  <c:v>404</c:v>
                </c:pt>
                <c:pt idx="409">
                  <c:v>405</c:v>
                </c:pt>
                <c:pt idx="410">
                  <c:v>406</c:v>
                </c:pt>
                <c:pt idx="411">
                  <c:v>407</c:v>
                </c:pt>
                <c:pt idx="412">
                  <c:v>408</c:v>
                </c:pt>
                <c:pt idx="413">
                  <c:v>409</c:v>
                </c:pt>
                <c:pt idx="414">
                  <c:v>410</c:v>
                </c:pt>
                <c:pt idx="415">
                  <c:v>411</c:v>
                </c:pt>
                <c:pt idx="416">
                  <c:v>412</c:v>
                </c:pt>
                <c:pt idx="417">
                  <c:v>413</c:v>
                </c:pt>
                <c:pt idx="418">
                  <c:v>414</c:v>
                </c:pt>
                <c:pt idx="419">
                  <c:v>415</c:v>
                </c:pt>
                <c:pt idx="420">
                  <c:v>416</c:v>
                </c:pt>
                <c:pt idx="421">
                  <c:v>417</c:v>
                </c:pt>
                <c:pt idx="422">
                  <c:v>418</c:v>
                </c:pt>
                <c:pt idx="423">
                  <c:v>419</c:v>
                </c:pt>
                <c:pt idx="424">
                  <c:v>420</c:v>
                </c:pt>
                <c:pt idx="425">
                  <c:v>421</c:v>
                </c:pt>
                <c:pt idx="426">
                  <c:v>422</c:v>
                </c:pt>
                <c:pt idx="427">
                  <c:v>423</c:v>
                </c:pt>
                <c:pt idx="428">
                  <c:v>424</c:v>
                </c:pt>
                <c:pt idx="429">
                  <c:v>425</c:v>
                </c:pt>
                <c:pt idx="430">
                  <c:v>426</c:v>
                </c:pt>
                <c:pt idx="431">
                  <c:v>427</c:v>
                </c:pt>
                <c:pt idx="432">
                  <c:v>428</c:v>
                </c:pt>
                <c:pt idx="433">
                  <c:v>429</c:v>
                </c:pt>
                <c:pt idx="434">
                  <c:v>430</c:v>
                </c:pt>
                <c:pt idx="435">
                  <c:v>431</c:v>
                </c:pt>
                <c:pt idx="436">
                  <c:v>432</c:v>
                </c:pt>
                <c:pt idx="437">
                  <c:v>433</c:v>
                </c:pt>
                <c:pt idx="438">
                  <c:v>434</c:v>
                </c:pt>
                <c:pt idx="439">
                  <c:v>435</c:v>
                </c:pt>
                <c:pt idx="440">
                  <c:v>436</c:v>
                </c:pt>
                <c:pt idx="441">
                  <c:v>437</c:v>
                </c:pt>
                <c:pt idx="442">
                  <c:v>438</c:v>
                </c:pt>
                <c:pt idx="443">
                  <c:v>439</c:v>
                </c:pt>
                <c:pt idx="444">
                  <c:v>440</c:v>
                </c:pt>
                <c:pt idx="445">
                  <c:v>441</c:v>
                </c:pt>
                <c:pt idx="446">
                  <c:v>442</c:v>
                </c:pt>
                <c:pt idx="447">
                  <c:v>443</c:v>
                </c:pt>
                <c:pt idx="448">
                  <c:v>444</c:v>
                </c:pt>
                <c:pt idx="449">
                  <c:v>445</c:v>
                </c:pt>
                <c:pt idx="450">
                  <c:v>446</c:v>
                </c:pt>
                <c:pt idx="451">
                  <c:v>447</c:v>
                </c:pt>
                <c:pt idx="452">
                  <c:v>448</c:v>
                </c:pt>
                <c:pt idx="453">
                  <c:v>449</c:v>
                </c:pt>
                <c:pt idx="454">
                  <c:v>450</c:v>
                </c:pt>
                <c:pt idx="455">
                  <c:v>451</c:v>
                </c:pt>
                <c:pt idx="456">
                  <c:v>452</c:v>
                </c:pt>
                <c:pt idx="457">
                  <c:v>453</c:v>
                </c:pt>
                <c:pt idx="458">
                  <c:v>454</c:v>
                </c:pt>
                <c:pt idx="459">
                  <c:v>455</c:v>
                </c:pt>
                <c:pt idx="460">
                  <c:v>456</c:v>
                </c:pt>
                <c:pt idx="461">
                  <c:v>457</c:v>
                </c:pt>
                <c:pt idx="462">
                  <c:v>458</c:v>
                </c:pt>
                <c:pt idx="463">
                  <c:v>459</c:v>
                </c:pt>
                <c:pt idx="464">
                  <c:v>460</c:v>
                </c:pt>
                <c:pt idx="465">
                  <c:v>461</c:v>
                </c:pt>
                <c:pt idx="466">
                  <c:v>462</c:v>
                </c:pt>
                <c:pt idx="467">
                  <c:v>463</c:v>
                </c:pt>
                <c:pt idx="468">
                  <c:v>464</c:v>
                </c:pt>
                <c:pt idx="469">
                  <c:v>465</c:v>
                </c:pt>
                <c:pt idx="470">
                  <c:v>466</c:v>
                </c:pt>
                <c:pt idx="471">
                  <c:v>467</c:v>
                </c:pt>
                <c:pt idx="472">
                  <c:v>468</c:v>
                </c:pt>
                <c:pt idx="473">
                  <c:v>469</c:v>
                </c:pt>
                <c:pt idx="474">
                  <c:v>470</c:v>
                </c:pt>
                <c:pt idx="475">
                  <c:v>471</c:v>
                </c:pt>
                <c:pt idx="476">
                  <c:v>472</c:v>
                </c:pt>
                <c:pt idx="477">
                  <c:v>473</c:v>
                </c:pt>
                <c:pt idx="478">
                  <c:v>474</c:v>
                </c:pt>
                <c:pt idx="479">
                  <c:v>475</c:v>
                </c:pt>
                <c:pt idx="480">
                  <c:v>476</c:v>
                </c:pt>
                <c:pt idx="481">
                  <c:v>477</c:v>
                </c:pt>
                <c:pt idx="482">
                  <c:v>478</c:v>
                </c:pt>
                <c:pt idx="483">
                  <c:v>479</c:v>
                </c:pt>
                <c:pt idx="484">
                  <c:v>480</c:v>
                </c:pt>
                <c:pt idx="485">
                  <c:v>481</c:v>
                </c:pt>
                <c:pt idx="486">
                  <c:v>482</c:v>
                </c:pt>
                <c:pt idx="487">
                  <c:v>483</c:v>
                </c:pt>
                <c:pt idx="488">
                  <c:v>484</c:v>
                </c:pt>
                <c:pt idx="489">
                  <c:v>485</c:v>
                </c:pt>
                <c:pt idx="490">
                  <c:v>486</c:v>
                </c:pt>
                <c:pt idx="491">
                  <c:v>487</c:v>
                </c:pt>
                <c:pt idx="492">
                  <c:v>488</c:v>
                </c:pt>
                <c:pt idx="493">
                  <c:v>489</c:v>
                </c:pt>
                <c:pt idx="494">
                  <c:v>490</c:v>
                </c:pt>
                <c:pt idx="495">
                  <c:v>491</c:v>
                </c:pt>
                <c:pt idx="496">
                  <c:v>492</c:v>
                </c:pt>
                <c:pt idx="497">
                  <c:v>493</c:v>
                </c:pt>
                <c:pt idx="498">
                  <c:v>494</c:v>
                </c:pt>
                <c:pt idx="499">
                  <c:v>495</c:v>
                </c:pt>
                <c:pt idx="500">
                  <c:v>496</c:v>
                </c:pt>
                <c:pt idx="501">
                  <c:v>497</c:v>
                </c:pt>
                <c:pt idx="502">
                  <c:v>498</c:v>
                </c:pt>
                <c:pt idx="503">
                  <c:v>499</c:v>
                </c:pt>
                <c:pt idx="504">
                  <c:v>500</c:v>
                </c:pt>
                <c:pt idx="505">
                  <c:v>501</c:v>
                </c:pt>
                <c:pt idx="506">
                  <c:v>502</c:v>
                </c:pt>
                <c:pt idx="507">
                  <c:v>503</c:v>
                </c:pt>
                <c:pt idx="508">
                  <c:v>504</c:v>
                </c:pt>
                <c:pt idx="509">
                  <c:v>505</c:v>
                </c:pt>
                <c:pt idx="510">
                  <c:v>506</c:v>
                </c:pt>
                <c:pt idx="511">
                  <c:v>507</c:v>
                </c:pt>
                <c:pt idx="512">
                  <c:v>508</c:v>
                </c:pt>
                <c:pt idx="513">
                  <c:v>509</c:v>
                </c:pt>
                <c:pt idx="514">
                  <c:v>510</c:v>
                </c:pt>
                <c:pt idx="515">
                  <c:v>511</c:v>
                </c:pt>
                <c:pt idx="516">
                  <c:v>512</c:v>
                </c:pt>
                <c:pt idx="517">
                  <c:v>513</c:v>
                </c:pt>
                <c:pt idx="518">
                  <c:v>514</c:v>
                </c:pt>
                <c:pt idx="519">
                  <c:v>515</c:v>
                </c:pt>
                <c:pt idx="520">
                  <c:v>516</c:v>
                </c:pt>
                <c:pt idx="521">
                  <c:v>517</c:v>
                </c:pt>
                <c:pt idx="522">
                  <c:v>518</c:v>
                </c:pt>
                <c:pt idx="523">
                  <c:v>519</c:v>
                </c:pt>
                <c:pt idx="524">
                  <c:v>520</c:v>
                </c:pt>
                <c:pt idx="525">
                  <c:v>521</c:v>
                </c:pt>
                <c:pt idx="526">
                  <c:v>522</c:v>
                </c:pt>
                <c:pt idx="527">
                  <c:v>523</c:v>
                </c:pt>
                <c:pt idx="528">
                  <c:v>524</c:v>
                </c:pt>
                <c:pt idx="529">
                  <c:v>525</c:v>
                </c:pt>
                <c:pt idx="530">
                  <c:v>526</c:v>
                </c:pt>
                <c:pt idx="531">
                  <c:v>527</c:v>
                </c:pt>
                <c:pt idx="532">
                  <c:v>528</c:v>
                </c:pt>
                <c:pt idx="533">
                  <c:v>529</c:v>
                </c:pt>
                <c:pt idx="534">
                  <c:v>530</c:v>
                </c:pt>
                <c:pt idx="535">
                  <c:v>531</c:v>
                </c:pt>
                <c:pt idx="536">
                  <c:v>532</c:v>
                </c:pt>
                <c:pt idx="537">
                  <c:v>533</c:v>
                </c:pt>
                <c:pt idx="538">
                  <c:v>534</c:v>
                </c:pt>
                <c:pt idx="539">
                  <c:v>535</c:v>
                </c:pt>
                <c:pt idx="540">
                  <c:v>536</c:v>
                </c:pt>
                <c:pt idx="541">
                  <c:v>537</c:v>
                </c:pt>
                <c:pt idx="542">
                  <c:v>538</c:v>
                </c:pt>
                <c:pt idx="543">
                  <c:v>539</c:v>
                </c:pt>
                <c:pt idx="544">
                  <c:v>540</c:v>
                </c:pt>
                <c:pt idx="545">
                  <c:v>541</c:v>
                </c:pt>
                <c:pt idx="546">
                  <c:v>542</c:v>
                </c:pt>
                <c:pt idx="547">
                  <c:v>543</c:v>
                </c:pt>
                <c:pt idx="548">
                  <c:v>544</c:v>
                </c:pt>
                <c:pt idx="549">
                  <c:v>545</c:v>
                </c:pt>
                <c:pt idx="550">
                  <c:v>546</c:v>
                </c:pt>
                <c:pt idx="551">
                  <c:v>547</c:v>
                </c:pt>
                <c:pt idx="552">
                  <c:v>548</c:v>
                </c:pt>
                <c:pt idx="553">
                  <c:v>549</c:v>
                </c:pt>
                <c:pt idx="554">
                  <c:v>550</c:v>
                </c:pt>
                <c:pt idx="555">
                  <c:v>551</c:v>
                </c:pt>
                <c:pt idx="556">
                  <c:v>552</c:v>
                </c:pt>
                <c:pt idx="557">
                  <c:v>553</c:v>
                </c:pt>
                <c:pt idx="558">
                  <c:v>554</c:v>
                </c:pt>
                <c:pt idx="559">
                  <c:v>555</c:v>
                </c:pt>
                <c:pt idx="560">
                  <c:v>556</c:v>
                </c:pt>
                <c:pt idx="561">
                  <c:v>557</c:v>
                </c:pt>
                <c:pt idx="562">
                  <c:v>558</c:v>
                </c:pt>
                <c:pt idx="563">
                  <c:v>559</c:v>
                </c:pt>
                <c:pt idx="564">
                  <c:v>560</c:v>
                </c:pt>
                <c:pt idx="565">
                  <c:v>561</c:v>
                </c:pt>
                <c:pt idx="566">
                  <c:v>562</c:v>
                </c:pt>
                <c:pt idx="567">
                  <c:v>563</c:v>
                </c:pt>
                <c:pt idx="568">
                  <c:v>564</c:v>
                </c:pt>
                <c:pt idx="569">
                  <c:v>565</c:v>
                </c:pt>
                <c:pt idx="570">
                  <c:v>566</c:v>
                </c:pt>
                <c:pt idx="571">
                  <c:v>567</c:v>
                </c:pt>
                <c:pt idx="572">
                  <c:v>568</c:v>
                </c:pt>
                <c:pt idx="573">
                  <c:v>569</c:v>
                </c:pt>
                <c:pt idx="574">
                  <c:v>570</c:v>
                </c:pt>
                <c:pt idx="575">
                  <c:v>571</c:v>
                </c:pt>
                <c:pt idx="576">
                  <c:v>572</c:v>
                </c:pt>
                <c:pt idx="577">
                  <c:v>573</c:v>
                </c:pt>
                <c:pt idx="578">
                  <c:v>574</c:v>
                </c:pt>
                <c:pt idx="579">
                  <c:v>575</c:v>
                </c:pt>
                <c:pt idx="580">
                  <c:v>576</c:v>
                </c:pt>
                <c:pt idx="581">
                  <c:v>577</c:v>
                </c:pt>
                <c:pt idx="582">
                  <c:v>578</c:v>
                </c:pt>
                <c:pt idx="583">
                  <c:v>579</c:v>
                </c:pt>
                <c:pt idx="584">
                  <c:v>580</c:v>
                </c:pt>
                <c:pt idx="585">
                  <c:v>581</c:v>
                </c:pt>
                <c:pt idx="586">
                  <c:v>582</c:v>
                </c:pt>
                <c:pt idx="587">
                  <c:v>583</c:v>
                </c:pt>
                <c:pt idx="588">
                  <c:v>584</c:v>
                </c:pt>
                <c:pt idx="589">
                  <c:v>585</c:v>
                </c:pt>
                <c:pt idx="590">
                  <c:v>586</c:v>
                </c:pt>
                <c:pt idx="591">
                  <c:v>587</c:v>
                </c:pt>
                <c:pt idx="592">
                  <c:v>588</c:v>
                </c:pt>
                <c:pt idx="593">
                  <c:v>589</c:v>
                </c:pt>
                <c:pt idx="594">
                  <c:v>590</c:v>
                </c:pt>
                <c:pt idx="595">
                  <c:v>591</c:v>
                </c:pt>
                <c:pt idx="596">
                  <c:v>592</c:v>
                </c:pt>
                <c:pt idx="597">
                  <c:v>593</c:v>
                </c:pt>
                <c:pt idx="598">
                  <c:v>594</c:v>
                </c:pt>
                <c:pt idx="599">
                  <c:v>595</c:v>
                </c:pt>
                <c:pt idx="600">
                  <c:v>596</c:v>
                </c:pt>
                <c:pt idx="601">
                  <c:v>597</c:v>
                </c:pt>
                <c:pt idx="602">
                  <c:v>598</c:v>
                </c:pt>
                <c:pt idx="603">
                  <c:v>599</c:v>
                </c:pt>
                <c:pt idx="604">
                  <c:v>600</c:v>
                </c:pt>
                <c:pt idx="605">
                  <c:v>601</c:v>
                </c:pt>
                <c:pt idx="606">
                  <c:v>602</c:v>
                </c:pt>
                <c:pt idx="607">
                  <c:v>603</c:v>
                </c:pt>
                <c:pt idx="608">
                  <c:v>604</c:v>
                </c:pt>
                <c:pt idx="609">
                  <c:v>605</c:v>
                </c:pt>
                <c:pt idx="610">
                  <c:v>606</c:v>
                </c:pt>
                <c:pt idx="611">
                  <c:v>607</c:v>
                </c:pt>
                <c:pt idx="612">
                  <c:v>608</c:v>
                </c:pt>
                <c:pt idx="613">
                  <c:v>609</c:v>
                </c:pt>
                <c:pt idx="614">
                  <c:v>610</c:v>
                </c:pt>
                <c:pt idx="615">
                  <c:v>611</c:v>
                </c:pt>
                <c:pt idx="616">
                  <c:v>612</c:v>
                </c:pt>
                <c:pt idx="617">
                  <c:v>613</c:v>
                </c:pt>
                <c:pt idx="618">
                  <c:v>614</c:v>
                </c:pt>
                <c:pt idx="619">
                  <c:v>615</c:v>
                </c:pt>
                <c:pt idx="620">
                  <c:v>616</c:v>
                </c:pt>
                <c:pt idx="621">
                  <c:v>617</c:v>
                </c:pt>
                <c:pt idx="622">
                  <c:v>618</c:v>
                </c:pt>
                <c:pt idx="623">
                  <c:v>619</c:v>
                </c:pt>
                <c:pt idx="624">
                  <c:v>620</c:v>
                </c:pt>
                <c:pt idx="625">
                  <c:v>621</c:v>
                </c:pt>
                <c:pt idx="626">
                  <c:v>622</c:v>
                </c:pt>
                <c:pt idx="627">
                  <c:v>623</c:v>
                </c:pt>
                <c:pt idx="628">
                  <c:v>624</c:v>
                </c:pt>
                <c:pt idx="629">
                  <c:v>625</c:v>
                </c:pt>
                <c:pt idx="630">
                  <c:v>626</c:v>
                </c:pt>
                <c:pt idx="631">
                  <c:v>627</c:v>
                </c:pt>
                <c:pt idx="632">
                  <c:v>628</c:v>
                </c:pt>
                <c:pt idx="633">
                  <c:v>629</c:v>
                </c:pt>
                <c:pt idx="634">
                  <c:v>630</c:v>
                </c:pt>
                <c:pt idx="635">
                  <c:v>631</c:v>
                </c:pt>
                <c:pt idx="636">
                  <c:v>632</c:v>
                </c:pt>
                <c:pt idx="637">
                  <c:v>633</c:v>
                </c:pt>
                <c:pt idx="638">
                  <c:v>634</c:v>
                </c:pt>
                <c:pt idx="639">
                  <c:v>635</c:v>
                </c:pt>
                <c:pt idx="640">
                  <c:v>636</c:v>
                </c:pt>
                <c:pt idx="641">
                  <c:v>637</c:v>
                </c:pt>
                <c:pt idx="642">
                  <c:v>638</c:v>
                </c:pt>
                <c:pt idx="643">
                  <c:v>639</c:v>
                </c:pt>
                <c:pt idx="644">
                  <c:v>640</c:v>
                </c:pt>
                <c:pt idx="645">
                  <c:v>641</c:v>
                </c:pt>
                <c:pt idx="646">
                  <c:v>642</c:v>
                </c:pt>
                <c:pt idx="647">
                  <c:v>643</c:v>
                </c:pt>
                <c:pt idx="648">
                  <c:v>644</c:v>
                </c:pt>
                <c:pt idx="649">
                  <c:v>645</c:v>
                </c:pt>
                <c:pt idx="650">
                  <c:v>646</c:v>
                </c:pt>
                <c:pt idx="651">
                  <c:v>647</c:v>
                </c:pt>
                <c:pt idx="652">
                  <c:v>648</c:v>
                </c:pt>
                <c:pt idx="653">
                  <c:v>649</c:v>
                </c:pt>
                <c:pt idx="654">
                  <c:v>650</c:v>
                </c:pt>
                <c:pt idx="655">
                  <c:v>651</c:v>
                </c:pt>
                <c:pt idx="656">
                  <c:v>652</c:v>
                </c:pt>
                <c:pt idx="657">
                  <c:v>653</c:v>
                </c:pt>
                <c:pt idx="658">
                  <c:v>654</c:v>
                </c:pt>
                <c:pt idx="659">
                  <c:v>655</c:v>
                </c:pt>
                <c:pt idx="660">
                  <c:v>656</c:v>
                </c:pt>
                <c:pt idx="661">
                  <c:v>657</c:v>
                </c:pt>
                <c:pt idx="662">
                  <c:v>658</c:v>
                </c:pt>
                <c:pt idx="663">
                  <c:v>659</c:v>
                </c:pt>
                <c:pt idx="664">
                  <c:v>660</c:v>
                </c:pt>
                <c:pt idx="665">
                  <c:v>661</c:v>
                </c:pt>
                <c:pt idx="666">
                  <c:v>662</c:v>
                </c:pt>
                <c:pt idx="667">
                  <c:v>663</c:v>
                </c:pt>
                <c:pt idx="668">
                  <c:v>664</c:v>
                </c:pt>
                <c:pt idx="669">
                  <c:v>665</c:v>
                </c:pt>
                <c:pt idx="670">
                  <c:v>666</c:v>
                </c:pt>
                <c:pt idx="671">
                  <c:v>667</c:v>
                </c:pt>
                <c:pt idx="672">
                  <c:v>668</c:v>
                </c:pt>
                <c:pt idx="673">
                  <c:v>669</c:v>
                </c:pt>
                <c:pt idx="674">
                  <c:v>670</c:v>
                </c:pt>
                <c:pt idx="675">
                  <c:v>671</c:v>
                </c:pt>
                <c:pt idx="676">
                  <c:v>672</c:v>
                </c:pt>
                <c:pt idx="677">
                  <c:v>673</c:v>
                </c:pt>
                <c:pt idx="678">
                  <c:v>674</c:v>
                </c:pt>
                <c:pt idx="679">
                  <c:v>675</c:v>
                </c:pt>
                <c:pt idx="680">
                  <c:v>676</c:v>
                </c:pt>
                <c:pt idx="681">
                  <c:v>677</c:v>
                </c:pt>
                <c:pt idx="682">
                  <c:v>678</c:v>
                </c:pt>
                <c:pt idx="683">
                  <c:v>679</c:v>
                </c:pt>
                <c:pt idx="684">
                  <c:v>680</c:v>
                </c:pt>
                <c:pt idx="685">
                  <c:v>681</c:v>
                </c:pt>
                <c:pt idx="686">
                  <c:v>682</c:v>
                </c:pt>
                <c:pt idx="687">
                  <c:v>683</c:v>
                </c:pt>
                <c:pt idx="688">
                  <c:v>684</c:v>
                </c:pt>
                <c:pt idx="689">
                  <c:v>685</c:v>
                </c:pt>
                <c:pt idx="690">
                  <c:v>686</c:v>
                </c:pt>
                <c:pt idx="691">
                  <c:v>687</c:v>
                </c:pt>
                <c:pt idx="692">
                  <c:v>688</c:v>
                </c:pt>
                <c:pt idx="693">
                  <c:v>689</c:v>
                </c:pt>
                <c:pt idx="694">
                  <c:v>690</c:v>
                </c:pt>
                <c:pt idx="695">
                  <c:v>691</c:v>
                </c:pt>
                <c:pt idx="696">
                  <c:v>692</c:v>
                </c:pt>
                <c:pt idx="697">
                  <c:v>693</c:v>
                </c:pt>
                <c:pt idx="698">
                  <c:v>694</c:v>
                </c:pt>
                <c:pt idx="699">
                  <c:v>695</c:v>
                </c:pt>
                <c:pt idx="700">
                  <c:v>696</c:v>
                </c:pt>
                <c:pt idx="701">
                  <c:v>697</c:v>
                </c:pt>
                <c:pt idx="702">
                  <c:v>698</c:v>
                </c:pt>
                <c:pt idx="703">
                  <c:v>699</c:v>
                </c:pt>
                <c:pt idx="704">
                  <c:v>700</c:v>
                </c:pt>
                <c:pt idx="705">
                  <c:v>701</c:v>
                </c:pt>
                <c:pt idx="706">
                  <c:v>702</c:v>
                </c:pt>
                <c:pt idx="707">
                  <c:v>703</c:v>
                </c:pt>
                <c:pt idx="708">
                  <c:v>704</c:v>
                </c:pt>
                <c:pt idx="709">
                  <c:v>705</c:v>
                </c:pt>
                <c:pt idx="710">
                  <c:v>706</c:v>
                </c:pt>
                <c:pt idx="711">
                  <c:v>707</c:v>
                </c:pt>
                <c:pt idx="712">
                  <c:v>708</c:v>
                </c:pt>
                <c:pt idx="713">
                  <c:v>709</c:v>
                </c:pt>
                <c:pt idx="714">
                  <c:v>710</c:v>
                </c:pt>
                <c:pt idx="715">
                  <c:v>711</c:v>
                </c:pt>
                <c:pt idx="716">
                  <c:v>712</c:v>
                </c:pt>
                <c:pt idx="717">
                  <c:v>713</c:v>
                </c:pt>
                <c:pt idx="718">
                  <c:v>714</c:v>
                </c:pt>
                <c:pt idx="719">
                  <c:v>715</c:v>
                </c:pt>
                <c:pt idx="720">
                  <c:v>716</c:v>
                </c:pt>
                <c:pt idx="721">
                  <c:v>717</c:v>
                </c:pt>
                <c:pt idx="722">
                  <c:v>718</c:v>
                </c:pt>
                <c:pt idx="723">
                  <c:v>719</c:v>
                </c:pt>
                <c:pt idx="724">
                  <c:v>720</c:v>
                </c:pt>
                <c:pt idx="725">
                  <c:v>721</c:v>
                </c:pt>
                <c:pt idx="726">
                  <c:v>722</c:v>
                </c:pt>
                <c:pt idx="727">
                  <c:v>723</c:v>
                </c:pt>
                <c:pt idx="728">
                  <c:v>724</c:v>
                </c:pt>
                <c:pt idx="729">
                  <c:v>725</c:v>
                </c:pt>
                <c:pt idx="730">
                  <c:v>726</c:v>
                </c:pt>
                <c:pt idx="731">
                  <c:v>727</c:v>
                </c:pt>
                <c:pt idx="732">
                  <c:v>728</c:v>
                </c:pt>
                <c:pt idx="733">
                  <c:v>729</c:v>
                </c:pt>
                <c:pt idx="734">
                  <c:v>730</c:v>
                </c:pt>
              </c:strCache>
            </c:strRef>
          </c:xVal>
          <c:yVal>
            <c:numRef>
              <c:f>Observaciones!$H:$H</c:f>
              <c:numCache>
                <c:formatCode>0.0</c:formatCode>
                <c:ptCount val="1048576"/>
                <c:pt idx="4">
                  <c:v>0</c:v>
                </c:pt>
                <c:pt idx="5">
                  <c:v>3.5956025883777398</c:v>
                </c:pt>
                <c:pt idx="6">
                  <c:v>1.2058495533566642</c:v>
                </c:pt>
                <c:pt idx="7">
                  <c:v>2.5752731916512372</c:v>
                </c:pt>
                <c:pt idx="8">
                  <c:v>1.342278116725431</c:v>
                </c:pt>
                <c:pt idx="9">
                  <c:v>1.6960917506784017</c:v>
                </c:pt>
                <c:pt idx="10">
                  <c:v>3.0895402328869666</c:v>
                </c:pt>
                <c:pt idx="11">
                  <c:v>1.4514309807432555</c:v>
                </c:pt>
                <c:pt idx="12">
                  <c:v>1.3407784172268926</c:v>
                </c:pt>
                <c:pt idx="13">
                  <c:v>1.2339445056609823</c:v>
                </c:pt>
                <c:pt idx="14">
                  <c:v>1.1339854884349567</c:v>
                </c:pt>
                <c:pt idx="15">
                  <c:v>1.1340431599414478</c:v>
                </c:pt>
                <c:pt idx="16">
                  <c:v>3.2357969162921236</c:v>
                </c:pt>
                <c:pt idx="17">
                  <c:v>1.4458934562639241</c:v>
                </c:pt>
                <c:pt idx="18">
                  <c:v>1.3495059526051145</c:v>
                </c:pt>
                <c:pt idx="19">
                  <c:v>1.2597898866800317</c:v>
                </c:pt>
                <c:pt idx="20">
                  <c:v>1.1555650692802824</c:v>
                </c:pt>
                <c:pt idx="21">
                  <c:v>1.5449266705292974</c:v>
                </c:pt>
                <c:pt idx="22">
                  <c:v>1.3293722147809401</c:v>
                </c:pt>
                <c:pt idx="23">
                  <c:v>1.6131532015776715</c:v>
                </c:pt>
                <c:pt idx="24">
                  <c:v>1.5184124805995169</c:v>
                </c:pt>
                <c:pt idx="25">
                  <c:v>1.5696137436765665</c:v>
                </c:pt>
                <c:pt idx="26">
                  <c:v>1.4291947825224085</c:v>
                </c:pt>
                <c:pt idx="27">
                  <c:v>3.8448020243048981</c:v>
                </c:pt>
                <c:pt idx="28">
                  <c:v>1.6175923816307491</c:v>
                </c:pt>
                <c:pt idx="29">
                  <c:v>1.5048036971785259</c:v>
                </c:pt>
                <c:pt idx="30">
                  <c:v>1.5319344256860985</c:v>
                </c:pt>
                <c:pt idx="31">
                  <c:v>1.424381885699505</c:v>
                </c:pt>
                <c:pt idx="32">
                  <c:v>1.3175786744990317</c:v>
                </c:pt>
                <c:pt idx="33">
                  <c:v>1.2754658649863604</c:v>
                </c:pt>
                <c:pt idx="34">
                  <c:v>1.3562422040366251</c:v>
                </c:pt>
                <c:pt idx="35">
                  <c:v>1.3527754041930637</c:v>
                </c:pt>
                <c:pt idx="36">
                  <c:v>1.2954507144270362</c:v>
                </c:pt>
                <c:pt idx="37">
                  <c:v>1.2655579471481655</c:v>
                </c:pt>
                <c:pt idx="38">
                  <c:v>1.1606371170349079</c:v>
                </c:pt>
                <c:pt idx="39">
                  <c:v>1.1739087389155642</c:v>
                </c:pt>
                <c:pt idx="40">
                  <c:v>1.0713822106249293</c:v>
                </c:pt>
                <c:pt idx="41">
                  <c:v>0.97117967790813964</c:v>
                </c:pt>
                <c:pt idx="42">
                  <c:v>2.1270987011681908</c:v>
                </c:pt>
                <c:pt idx="43">
                  <c:v>1.2004187285257604</c:v>
                </c:pt>
                <c:pt idx="44">
                  <c:v>1.1689217641251128</c:v>
                </c:pt>
                <c:pt idx="45">
                  <c:v>4.4032537348740508</c:v>
                </c:pt>
                <c:pt idx="46">
                  <c:v>1.4997265502264259</c:v>
                </c:pt>
                <c:pt idx="47">
                  <c:v>1.4533256023375341</c:v>
                </c:pt>
                <c:pt idx="48">
                  <c:v>1.3697479345123544</c:v>
                </c:pt>
                <c:pt idx="49">
                  <c:v>1.2630436644665124</c:v>
                </c:pt>
                <c:pt idx="50">
                  <c:v>1.2173372095634136</c:v>
                </c:pt>
                <c:pt idx="51">
                  <c:v>3.3952154230607219</c:v>
                </c:pt>
                <c:pt idx="52">
                  <c:v>1.5414560032866587</c:v>
                </c:pt>
                <c:pt idx="53">
                  <c:v>2.3116266113290607</c:v>
                </c:pt>
                <c:pt idx="54">
                  <c:v>1.5438254277009555</c:v>
                </c:pt>
                <c:pt idx="55">
                  <c:v>5.268308813292637</c:v>
                </c:pt>
                <c:pt idx="56">
                  <c:v>2.4614053137426222</c:v>
                </c:pt>
                <c:pt idx="57">
                  <c:v>1.956252497450039</c:v>
                </c:pt>
                <c:pt idx="58">
                  <c:v>6.8407540069502977</c:v>
                </c:pt>
                <c:pt idx="59">
                  <c:v>2.3428761560723417</c:v>
                </c:pt>
                <c:pt idx="60">
                  <c:v>2.0279643365142075</c:v>
                </c:pt>
                <c:pt idx="61">
                  <c:v>1.9122849593360747</c:v>
                </c:pt>
                <c:pt idx="62">
                  <c:v>1.8414231349023102</c:v>
                </c:pt>
                <c:pt idx="63">
                  <c:v>1.7468009173253582</c:v>
                </c:pt>
                <c:pt idx="64">
                  <c:v>1.6416058517647789</c:v>
                </c:pt>
                <c:pt idx="65">
                  <c:v>1.6562901632511569</c:v>
                </c:pt>
                <c:pt idx="66">
                  <c:v>1.554571674700465</c:v>
                </c:pt>
                <c:pt idx="67">
                  <c:v>1.5436649264345652</c:v>
                </c:pt>
                <c:pt idx="68">
                  <c:v>1.4457732217530124</c:v>
                </c:pt>
                <c:pt idx="69">
                  <c:v>1.5679672147681845</c:v>
                </c:pt>
                <c:pt idx="70">
                  <c:v>1.4531277378914504</c:v>
                </c:pt>
                <c:pt idx="71">
                  <c:v>9.3468132740992171</c:v>
                </c:pt>
                <c:pt idx="72">
                  <c:v>2.056557924933486</c:v>
                </c:pt>
                <c:pt idx="73">
                  <c:v>2.9018501764971205</c:v>
                </c:pt>
                <c:pt idx="74">
                  <c:v>2.1734552594877981</c:v>
                </c:pt>
                <c:pt idx="75">
                  <c:v>4.6054455786262913</c:v>
                </c:pt>
                <c:pt idx="76">
                  <c:v>2.5096134060582695</c:v>
                </c:pt>
                <c:pt idx="77">
                  <c:v>2.3328614266619714</c:v>
                </c:pt>
                <c:pt idx="78">
                  <c:v>2.3593596997005997</c:v>
                </c:pt>
                <c:pt idx="79">
                  <c:v>4.3023523663830732</c:v>
                </c:pt>
                <c:pt idx="80">
                  <c:v>2.3562536234519964</c:v>
                </c:pt>
                <c:pt idx="81">
                  <c:v>2.3163146530564633</c:v>
                </c:pt>
                <c:pt idx="82">
                  <c:v>2.2086844197465547</c:v>
                </c:pt>
                <c:pt idx="83">
                  <c:v>2.2216181054241204</c:v>
                </c:pt>
                <c:pt idx="84">
                  <c:v>2.1135830543938239</c:v>
                </c:pt>
                <c:pt idx="85">
                  <c:v>2.0667826046999278</c:v>
                </c:pt>
                <c:pt idx="86">
                  <c:v>2.0440356159383235</c:v>
                </c:pt>
                <c:pt idx="87">
                  <c:v>1.9418248897828101</c:v>
                </c:pt>
                <c:pt idx="88">
                  <c:v>1.8402693663725844</c:v>
                </c:pt>
                <c:pt idx="89">
                  <c:v>1.7436099901210342</c:v>
                </c:pt>
                <c:pt idx="90">
                  <c:v>1.649395639465888</c:v>
                </c:pt>
                <c:pt idx="91">
                  <c:v>2.4745970659183545</c:v>
                </c:pt>
                <c:pt idx="92">
                  <c:v>1.84026242571557</c:v>
                </c:pt>
                <c:pt idx="93">
                  <c:v>1.8029017356293684</c:v>
                </c:pt>
                <c:pt idx="94">
                  <c:v>1.7067722329624782</c:v>
                </c:pt>
                <c:pt idx="95">
                  <c:v>1.6139090188549681</c:v>
                </c:pt>
                <c:pt idx="96">
                  <c:v>1.5234173601148857</c:v>
                </c:pt>
                <c:pt idx="97">
                  <c:v>1.4539643504233009</c:v>
                </c:pt>
                <c:pt idx="98">
                  <c:v>1.3707006453922901</c:v>
                </c:pt>
                <c:pt idx="99">
                  <c:v>1.2902200528905174</c:v>
                </c:pt>
                <c:pt idx="100">
                  <c:v>1.2152595052007524</c:v>
                </c:pt>
                <c:pt idx="101">
                  <c:v>1.1490388729876222</c:v>
                </c:pt>
                <c:pt idx="102">
                  <c:v>1.0807753160336795</c:v>
                </c:pt>
                <c:pt idx="103">
                  <c:v>1.0606774656290725</c:v>
                </c:pt>
                <c:pt idx="104">
                  <c:v>1.0486584730463187</c:v>
                </c:pt>
                <c:pt idx="105">
                  <c:v>1.0380656222792037</c:v>
                </c:pt>
                <c:pt idx="106">
                  <c:v>1.0887431899739624</c:v>
                </c:pt>
                <c:pt idx="107">
                  <c:v>1.0833773615611493</c:v>
                </c:pt>
                <c:pt idx="108">
                  <c:v>1.0185363626944253</c:v>
                </c:pt>
                <c:pt idx="109">
                  <c:v>0.99951233700667741</c:v>
                </c:pt>
                <c:pt idx="110">
                  <c:v>0.98817244421426786</c:v>
                </c:pt>
                <c:pt idx="111">
                  <c:v>0.97818825841460821</c:v>
                </c:pt>
                <c:pt idx="112">
                  <c:v>0.97327778332761328</c:v>
                </c:pt>
                <c:pt idx="113">
                  <c:v>0.96315680945707449</c:v>
                </c:pt>
                <c:pt idx="114">
                  <c:v>0.95020567447289872</c:v>
                </c:pt>
                <c:pt idx="115">
                  <c:v>0.94026877902682371</c:v>
                </c:pt>
                <c:pt idx="116">
                  <c:v>0.93499643131339782</c:v>
                </c:pt>
                <c:pt idx="117">
                  <c:v>0.92239879973718275</c:v>
                </c:pt>
                <c:pt idx="118">
                  <c:v>0.91274850860403167</c:v>
                </c:pt>
                <c:pt idx="119">
                  <c:v>0.90366177768538103</c:v>
                </c:pt>
                <c:pt idx="120">
                  <c:v>1.9000128438682864</c:v>
                </c:pt>
                <c:pt idx="121">
                  <c:v>1.1708370253172318</c:v>
                </c:pt>
                <c:pt idx="122">
                  <c:v>1.100456065246725</c:v>
                </c:pt>
                <c:pt idx="123">
                  <c:v>1.0306468915308535</c:v>
                </c:pt>
                <c:pt idx="124">
                  <c:v>0.96475238973979693</c:v>
                </c:pt>
                <c:pt idx="125">
                  <c:v>0.901247931503947</c:v>
                </c:pt>
                <c:pt idx="126">
                  <c:v>0.85138058655227067</c:v>
                </c:pt>
                <c:pt idx="127">
                  <c:v>0.83619047623077258</c:v>
                </c:pt>
                <c:pt idx="128">
                  <c:v>0.82682271707983279</c:v>
                </c:pt>
                <c:pt idx="129">
                  <c:v>0.81848856428509997</c:v>
                </c:pt>
                <c:pt idx="130">
                  <c:v>0.81039272634569748</c:v>
                </c:pt>
                <c:pt idx="131">
                  <c:v>0.8024025772934188</c:v>
                </c:pt>
                <c:pt idx="132">
                  <c:v>0.79449545793141441</c:v>
                </c:pt>
                <c:pt idx="133">
                  <c:v>0.78802950980983999</c:v>
                </c:pt>
                <c:pt idx="134">
                  <c:v>0.77914181847214359</c:v>
                </c:pt>
                <c:pt idx="135">
                  <c:v>0.77127839394867781</c:v>
                </c:pt>
                <c:pt idx="136">
                  <c:v>0.76364788122921512</c:v>
                </c:pt>
                <c:pt idx="137">
                  <c:v>0.75611834551966217</c:v>
                </c:pt>
                <c:pt idx="138">
                  <c:v>0.74866727990726833</c:v>
                </c:pt>
                <c:pt idx="139">
                  <c:v>0.74129034159143758</c:v>
                </c:pt>
                <c:pt idx="140">
                  <c:v>0.73398620784927993</c:v>
                </c:pt>
                <c:pt idx="141">
                  <c:v>0.7267540630310938</c:v>
                </c:pt>
                <c:pt idx="142">
                  <c:v>0.71959318150316576</c:v>
                </c:pt>
                <c:pt idx="143">
                  <c:v>0.71250285838495209</c:v>
                </c:pt>
                <c:pt idx="144">
                  <c:v>0.70548239799855084</c:v>
                </c:pt>
                <c:pt idx="145">
                  <c:v>0.69853111189530581</c:v>
                </c:pt>
                <c:pt idx="146">
                  <c:v>0.69164831847216357</c:v>
                </c:pt>
                <c:pt idx="147">
                  <c:v>0.68483334285238129</c:v>
                </c:pt>
                <c:pt idx="148">
                  <c:v>0.67808551681064921</c:v>
                </c:pt>
                <c:pt idx="149">
                  <c:v>0.67140417870612457</c:v>
                </c:pt>
                <c:pt idx="150">
                  <c:v>0.6647886734173164</c:v>
                </c:pt>
                <c:pt idx="151">
                  <c:v>0.65823835227780969</c:v>
                </c:pt>
                <c:pt idx="152">
                  <c:v>0.65175257301265566</c:v>
                </c:pt>
                <c:pt idx="153">
                  <c:v>0.64533069967539336</c:v>
                </c:pt>
                <c:pt idx="154">
                  <c:v>0.63897210258569426</c:v>
                </c:pt>
                <c:pt idx="155">
                  <c:v>0.63267615826761969</c:v>
                </c:pt>
                <c:pt idx="156">
                  <c:v>0.62644224938848836</c:v>
                </c:pt>
                <c:pt idx="157">
                  <c:v>1.4767519172164114</c:v>
                </c:pt>
                <c:pt idx="158">
                  <c:v>0.94472018161146487</c:v>
                </c:pt>
                <c:pt idx="159">
                  <c:v>0.88377610078853419</c:v>
                </c:pt>
                <c:pt idx="160">
                  <c:v>0.82771851848180744</c:v>
                </c:pt>
                <c:pt idx="161">
                  <c:v>0.77229829002998884</c:v>
                </c:pt>
                <c:pt idx="162">
                  <c:v>0.71974881770565036</c:v>
                </c:pt>
                <c:pt idx="163">
                  <c:v>0.6684789463114138</c:v>
                </c:pt>
                <c:pt idx="164">
                  <c:v>0.67890355415465209</c:v>
                </c:pt>
                <c:pt idx="165">
                  <c:v>0.67604261583468173</c:v>
                </c:pt>
                <c:pt idx="166">
                  <c:v>0.63767204069798034</c:v>
                </c:pt>
                <c:pt idx="167">
                  <c:v>0.58867937610803378</c:v>
                </c:pt>
                <c:pt idx="168">
                  <c:v>0.56071894970316749</c:v>
                </c:pt>
                <c:pt idx="169">
                  <c:v>0.551516898593992</c:v>
                </c:pt>
                <c:pt idx="170">
                  <c:v>0.54547249783773333</c:v>
                </c:pt>
                <c:pt idx="171">
                  <c:v>0.53999657746221608</c:v>
                </c:pt>
                <c:pt idx="172">
                  <c:v>0.53465906152514808</c:v>
                </c:pt>
                <c:pt idx="173">
                  <c:v>0.52938815054281418</c:v>
                </c:pt>
                <c:pt idx="174">
                  <c:v>0.52417150039064964</c:v>
                </c:pt>
                <c:pt idx="175">
                  <c:v>0.5190066369848354</c:v>
                </c:pt>
                <c:pt idx="176">
                  <c:v>0.51389272823484788</c:v>
                </c:pt>
                <c:pt idx="177">
                  <c:v>0.50882921867013697</c:v>
                </c:pt>
                <c:pt idx="178">
                  <c:v>0.5038156028341626</c:v>
                </c:pt>
                <c:pt idx="179">
                  <c:v>0.49885138764170955</c:v>
                </c:pt>
                <c:pt idx="180">
                  <c:v>0.49393608609247464</c:v>
                </c:pt>
                <c:pt idx="181">
                  <c:v>0.48906921618819305</c:v>
                </c:pt>
                <c:pt idx="182">
                  <c:v>0.48425030071361308</c:v>
                </c:pt>
                <c:pt idx="183">
                  <c:v>0.47947886716120219</c:v>
                </c:pt>
                <c:pt idx="184">
                  <c:v>0.47475444768008696</c:v>
                </c:pt>
                <c:pt idx="185">
                  <c:v>0.4700765790293942</c:v>
                </c:pt>
                <c:pt idx="186">
                  <c:v>0.46544480253269932</c:v>
                </c:pt>
                <c:pt idx="187">
                  <c:v>0.46085866403302972</c:v>
                </c:pt>
                <c:pt idx="188">
                  <c:v>0.45631771384833053</c:v>
                </c:pt>
                <c:pt idx="189">
                  <c:v>0.4518215067273712</c:v>
                </c:pt>
                <c:pt idx="190">
                  <c:v>0.44736960180608781</c:v>
                </c:pt>
                <c:pt idx="191">
                  <c:v>0.44296156256435493</c:v>
                </c:pt>
                <c:pt idx="192">
                  <c:v>0.43859695678318411</c:v>
                </c:pt>
                <c:pt idx="193">
                  <c:v>0.43427535650234311</c:v>
                </c:pt>
                <c:pt idx="194">
                  <c:v>0.46673150141145658</c:v>
                </c:pt>
                <c:pt idx="195">
                  <c:v>0.43185517980568139</c:v>
                </c:pt>
                <c:pt idx="196">
                  <c:v>0.4225758698378323</c:v>
                </c:pt>
                <c:pt idx="197">
                  <c:v>0.41757844212331774</c:v>
                </c:pt>
                <c:pt idx="198">
                  <c:v>0.41332560331019036</c:v>
                </c:pt>
                <c:pt idx="199">
                  <c:v>0.40923005223454412</c:v>
                </c:pt>
                <c:pt idx="200">
                  <c:v>0.40519400191415422</c:v>
                </c:pt>
                <c:pt idx="201">
                  <c:v>0.40120089682811094</c:v>
                </c:pt>
                <c:pt idx="202">
                  <c:v>0.39724766394876837</c:v>
                </c:pt>
                <c:pt idx="203">
                  <c:v>0.39469601753775185</c:v>
                </c:pt>
                <c:pt idx="204">
                  <c:v>0.40370887175651904</c:v>
                </c:pt>
                <c:pt idx="205">
                  <c:v>0.53627056947260843</c:v>
                </c:pt>
                <c:pt idx="206">
                  <c:v>0.76278442032947424</c:v>
                </c:pt>
                <c:pt idx="207">
                  <c:v>0.65258167712238535</c:v>
                </c:pt>
                <c:pt idx="208">
                  <c:v>0.59731516684897612</c:v>
                </c:pt>
                <c:pt idx="209">
                  <c:v>0.54277851294565549</c:v>
                </c:pt>
                <c:pt idx="210">
                  <c:v>0.48979587905881394</c:v>
                </c:pt>
                <c:pt idx="211">
                  <c:v>0.43952996938800232</c:v>
                </c:pt>
                <c:pt idx="212">
                  <c:v>0.3907724027209234</c:v>
                </c:pt>
                <c:pt idx="213">
                  <c:v>0.36139144171613563</c:v>
                </c:pt>
                <c:pt idx="214">
                  <c:v>0.35359411380808009</c:v>
                </c:pt>
                <c:pt idx="215">
                  <c:v>0.3494070854999124</c:v>
                </c:pt>
                <c:pt idx="216">
                  <c:v>0.34584764413041885</c:v>
                </c:pt>
                <c:pt idx="217">
                  <c:v>0.3424205684233429</c:v>
                </c:pt>
                <c:pt idx="218">
                  <c:v>0.34176849874473908</c:v>
                </c:pt>
                <c:pt idx="219">
                  <c:v>0.33615438869858794</c:v>
                </c:pt>
                <c:pt idx="220">
                  <c:v>0.33246938960163064</c:v>
                </c:pt>
                <c:pt idx="221">
                  <c:v>0.32913163014044072</c:v>
                </c:pt>
                <c:pt idx="222">
                  <c:v>0.37177130520181545</c:v>
                </c:pt>
                <c:pt idx="223">
                  <c:v>0.33028100075596389</c:v>
                </c:pt>
                <c:pt idx="224">
                  <c:v>0.32483740497761687</c:v>
                </c:pt>
                <c:pt idx="225">
                  <c:v>0.31722606311903995</c:v>
                </c:pt>
                <c:pt idx="226">
                  <c:v>0.31336847349689817</c:v>
                </c:pt>
                <c:pt idx="227">
                  <c:v>0.3101593328685569</c:v>
                </c:pt>
                <c:pt idx="228">
                  <c:v>0.30708310671443972</c:v>
                </c:pt>
                <c:pt idx="229">
                  <c:v>0.30541654655466866</c:v>
                </c:pt>
                <c:pt idx="230">
                  <c:v>0.30128362436071976</c:v>
                </c:pt>
                <c:pt idx="231">
                  <c:v>0.29812856227339773</c:v>
                </c:pt>
                <c:pt idx="232">
                  <c:v>0.29516009291076828</c:v>
                </c:pt>
                <c:pt idx="233">
                  <c:v>0.35366515771315216</c:v>
                </c:pt>
                <c:pt idx="234">
                  <c:v>0.2995578058563349</c:v>
                </c:pt>
                <c:pt idx="235">
                  <c:v>0.2882060622414469</c:v>
                </c:pt>
                <c:pt idx="236">
                  <c:v>0.28397241266212792</c:v>
                </c:pt>
                <c:pt idx="237">
                  <c:v>0.28094306841741629</c:v>
                </c:pt>
                <c:pt idx="238">
                  <c:v>0.27813648896908444</c:v>
                </c:pt>
                <c:pt idx="239">
                  <c:v>0.27538957518040313</c:v>
                </c:pt>
                <c:pt idx="240">
                  <c:v>0.27267503930212456</c:v>
                </c:pt>
                <c:pt idx="241">
                  <c:v>0.26998813183201165</c:v>
                </c:pt>
                <c:pt idx="242">
                  <c:v>0.26732784536402548</c:v>
                </c:pt>
                <c:pt idx="243">
                  <c:v>0.26469379560256001</c:v>
                </c:pt>
                <c:pt idx="244">
                  <c:v>0.26208570378810392</c:v>
                </c:pt>
                <c:pt idx="245">
                  <c:v>0.25950331079177474</c:v>
                </c:pt>
                <c:pt idx="246">
                  <c:v>0.25694636283960831</c:v>
                </c:pt>
                <c:pt idx="247">
                  <c:v>0.25441460912303321</c:v>
                </c:pt>
                <c:pt idx="248">
                  <c:v>0.25190780138189772</c:v>
                </c:pt>
                <c:pt idx="249">
                  <c:v>0.24942569381501734</c:v>
                </c:pt>
                <c:pt idx="250">
                  <c:v>0.24696804304526951</c:v>
                </c:pt>
                <c:pt idx="251">
                  <c:v>0.24453460809393668</c:v>
                </c:pt>
                <c:pt idx="252">
                  <c:v>0.24212515035678067</c:v>
                </c:pt>
                <c:pt idx="253">
                  <c:v>0.23973943358059746</c:v>
                </c:pt>
                <c:pt idx="254">
                  <c:v>0.23737722384004351</c:v>
                </c:pt>
                <c:pt idx="255">
                  <c:v>0.23503828951469777</c:v>
                </c:pt>
                <c:pt idx="256">
                  <c:v>0.23272240126635049</c:v>
                </c:pt>
                <c:pt idx="257">
                  <c:v>0.23042933201651578</c:v>
                </c:pt>
                <c:pt idx="258">
                  <c:v>0.22815885692416618</c:v>
                </c:pt>
                <c:pt idx="259">
                  <c:v>0.22591075336368649</c:v>
                </c:pt>
                <c:pt idx="260">
                  <c:v>0.22368480090304474</c:v>
                </c:pt>
                <c:pt idx="261">
                  <c:v>0.2214807812821783</c:v>
                </c:pt>
                <c:pt idx="262">
                  <c:v>0.22270484549910824</c:v>
                </c:pt>
                <c:pt idx="263">
                  <c:v>0.21770291830396379</c:v>
                </c:pt>
                <c:pt idx="264">
                  <c:v>0.21509196284851936</c:v>
                </c:pt>
                <c:pt idx="265">
                  <c:v>0.21289530463026463</c:v>
                </c:pt>
                <c:pt idx="266">
                  <c:v>0.21078476863253254</c:v>
                </c:pt>
                <c:pt idx="267">
                  <c:v>0.20870572749525815</c:v>
                </c:pt>
                <c:pt idx="268">
                  <c:v>0.20664894703919839</c:v>
                </c:pt>
                <c:pt idx="269">
                  <c:v>0.204612727133172</c:v>
                </c:pt>
                <c:pt idx="270">
                  <c:v>0.20259661947209576</c:v>
                </c:pt>
                <c:pt idx="271">
                  <c:v>0.21422585354190035</c:v>
                </c:pt>
                <c:pt idx="272">
                  <c:v>0.30181865919995365</c:v>
                </c:pt>
                <c:pt idx="273">
                  <c:v>0.23342816843066405</c:v>
                </c:pt>
                <c:pt idx="274">
                  <c:v>0.20082898696949908</c:v>
                </c:pt>
                <c:pt idx="275">
                  <c:v>0.19382244005931062</c:v>
                </c:pt>
                <c:pt idx="276">
                  <c:v>0.19107837815627893</c:v>
                </c:pt>
                <c:pt idx="277">
                  <c:v>0.18905719948747957</c:v>
                </c:pt>
                <c:pt idx="278">
                  <c:v>0.18717140199451726</c:v>
                </c:pt>
                <c:pt idx="279">
                  <c:v>0.18532334572105638</c:v>
                </c:pt>
                <c:pt idx="280">
                  <c:v>0.18349667812756082</c:v>
                </c:pt>
                <c:pt idx="281">
                  <c:v>0.18168853669317106</c:v>
                </c:pt>
                <c:pt idx="282">
                  <c:v>0.17989829884973521</c:v>
                </c:pt>
                <c:pt idx="283">
                  <c:v>0.17812571517269227</c:v>
                </c:pt>
                <c:pt idx="284">
                  <c:v>0.17637059959529314</c:v>
                </c:pt>
                <c:pt idx="285">
                  <c:v>0.17463277798969981</c:v>
                </c:pt>
                <c:pt idx="286">
                  <c:v>0.17291207962067556</c:v>
                </c:pt>
                <c:pt idx="287">
                  <c:v>0.20755797699425474</c:v>
                </c:pt>
                <c:pt idx="288">
                  <c:v>0.17759692549910291</c:v>
                </c:pt>
                <c:pt idx="289">
                  <c:v>0.35656894370068726</c:v>
                </c:pt>
                <c:pt idx="290">
                  <c:v>0.36197495685391301</c:v>
                </c:pt>
                <c:pt idx="291">
                  <c:v>3.1693932735117767</c:v>
                </c:pt>
                <c:pt idx="292">
                  <c:v>0.93817436103621699</c:v>
                </c:pt>
                <c:pt idx="293">
                  <c:v>1.9162861432839533</c:v>
                </c:pt>
                <c:pt idx="294">
                  <c:v>1.1379667132872107</c:v>
                </c:pt>
                <c:pt idx="295">
                  <c:v>1.0348205459506223</c:v>
                </c:pt>
                <c:pt idx="296">
                  <c:v>1.3775360399882048</c:v>
                </c:pt>
                <c:pt idx="297">
                  <c:v>1.2260342853661697</c:v>
                </c:pt>
                <c:pt idx="298">
                  <c:v>1.1191601365119377</c:v>
                </c:pt>
                <c:pt idx="299">
                  <c:v>1.1003688193512919</c:v>
                </c:pt>
                <c:pt idx="300">
                  <c:v>1.1051303607601723</c:v>
                </c:pt>
                <c:pt idx="301">
                  <c:v>1.0666982580066742</c:v>
                </c:pt>
                <c:pt idx="302">
                  <c:v>1.1834646752837472</c:v>
                </c:pt>
                <c:pt idx="303">
                  <c:v>1.1184221062144395</c:v>
                </c:pt>
                <c:pt idx="304">
                  <c:v>1.0236528970178127</c:v>
                </c:pt>
                <c:pt idx="305">
                  <c:v>0.96742474825156077</c:v>
                </c:pt>
                <c:pt idx="306">
                  <c:v>0.86553152601627414</c:v>
                </c:pt>
                <c:pt idx="307">
                  <c:v>0.85428203570419292</c:v>
                </c:pt>
                <c:pt idx="308">
                  <c:v>0.75705876225588364</c:v>
                </c:pt>
                <c:pt idx="309">
                  <c:v>0.67726039705570662</c:v>
                </c:pt>
                <c:pt idx="310">
                  <c:v>0.66125457776348462</c:v>
                </c:pt>
                <c:pt idx="311">
                  <c:v>0.57017707433682929</c:v>
                </c:pt>
                <c:pt idx="312">
                  <c:v>0.57178055737785349</c:v>
                </c:pt>
                <c:pt idx="313">
                  <c:v>0.52016842296232813</c:v>
                </c:pt>
                <c:pt idx="314">
                  <c:v>0.43705193757466165</c:v>
                </c:pt>
                <c:pt idx="315">
                  <c:v>0.42177802858705143</c:v>
                </c:pt>
                <c:pt idx="316">
                  <c:v>0.33882326794785461</c:v>
                </c:pt>
                <c:pt idx="317">
                  <c:v>0.27151315814143218</c:v>
                </c:pt>
                <c:pt idx="318">
                  <c:v>0.19383269744930406</c:v>
                </c:pt>
                <c:pt idx="319">
                  <c:v>0.13597640525342611</c:v>
                </c:pt>
                <c:pt idx="320">
                  <c:v>0.12535305504518732</c:v>
                </c:pt>
                <c:pt idx="321">
                  <c:v>0.13892800672441252</c:v>
                </c:pt>
                <c:pt idx="322">
                  <c:v>0.12791483154701255</c:v>
                </c:pt>
                <c:pt idx="323">
                  <c:v>1.3048685997153773</c:v>
                </c:pt>
                <c:pt idx="324">
                  <c:v>0.97794050343412853</c:v>
                </c:pt>
                <c:pt idx="325">
                  <c:v>0.63648235015696397</c:v>
                </c:pt>
                <c:pt idx="326">
                  <c:v>0.56377497132283116</c:v>
                </c:pt>
                <c:pt idx="327">
                  <c:v>0.60286052532240753</c:v>
                </c:pt>
                <c:pt idx="328">
                  <c:v>1.7854315916865511</c:v>
                </c:pt>
                <c:pt idx="329">
                  <c:v>1.1417879082143905</c:v>
                </c:pt>
                <c:pt idx="330">
                  <c:v>0.97196464164670626</c:v>
                </c:pt>
                <c:pt idx="331">
                  <c:v>0.86769651009169035</c:v>
                </c:pt>
                <c:pt idx="332">
                  <c:v>0.76886436106209854</c:v>
                </c:pt>
                <c:pt idx="333">
                  <c:v>1.0313193279471664</c:v>
                </c:pt>
                <c:pt idx="334">
                  <c:v>1.9351068582041395</c:v>
                </c:pt>
                <c:pt idx="335">
                  <c:v>1.1306968057497018</c:v>
                </c:pt>
                <c:pt idx="336">
                  <c:v>1.0211805291160685</c:v>
                </c:pt>
                <c:pt idx="337">
                  <c:v>0.9172855282013781</c:v>
                </c:pt>
                <c:pt idx="338">
                  <c:v>0.81852382973480409</c:v>
                </c:pt>
                <c:pt idx="339">
                  <c:v>0.72449970081980919</c:v>
                </c:pt>
                <c:pt idx="340">
                  <c:v>0.63342916912613545</c:v>
                </c:pt>
                <c:pt idx="341">
                  <c:v>0.54358868353579615</c:v>
                </c:pt>
                <c:pt idx="342">
                  <c:v>0.45685603354325571</c:v>
                </c:pt>
                <c:pt idx="343">
                  <c:v>0.37305223474391563</c:v>
                </c:pt>
                <c:pt idx="344">
                  <c:v>0.29156133348238034</c:v>
                </c:pt>
                <c:pt idx="345">
                  <c:v>0.21674514251598001</c:v>
                </c:pt>
                <c:pt idx="346">
                  <c:v>0.1411210851867275</c:v>
                </c:pt>
                <c:pt idx="347">
                  <c:v>0.10316907938270582</c:v>
                </c:pt>
                <c:pt idx="348">
                  <c:v>9.6085647761876919E-2</c:v>
                </c:pt>
                <c:pt idx="349">
                  <c:v>9.4132176843521556E-2</c:v>
                </c:pt>
                <c:pt idx="350">
                  <c:v>9.3037619303150826E-2</c:v>
                </c:pt>
                <c:pt idx="351">
                  <c:v>0.16368499597931857</c:v>
                </c:pt>
                <c:pt idx="352">
                  <c:v>0.10578593914603057</c:v>
                </c:pt>
                <c:pt idx="353">
                  <c:v>9.2705432096798518E-2</c:v>
                </c:pt>
                <c:pt idx="354">
                  <c:v>0.41871149003078056</c:v>
                </c:pt>
                <c:pt idx="355">
                  <c:v>0.27114265053946274</c:v>
                </c:pt>
                <c:pt idx="356">
                  <c:v>0.21506529338924849</c:v>
                </c:pt>
                <c:pt idx="357">
                  <c:v>2.2448826668454513</c:v>
                </c:pt>
                <c:pt idx="358">
                  <c:v>0.58121582898816548</c:v>
                </c:pt>
                <c:pt idx="359">
                  <c:v>0.49274741358436686</c:v>
                </c:pt>
                <c:pt idx="360">
                  <c:v>1.8462634579632737</c:v>
                </c:pt>
                <c:pt idx="361">
                  <c:v>0.838320232762649</c:v>
                </c:pt>
                <c:pt idx="362">
                  <c:v>0.74095895842834647</c:v>
                </c:pt>
                <c:pt idx="363">
                  <c:v>4.4030202170012602</c:v>
                </c:pt>
                <c:pt idx="364">
                  <c:v>1.2398845191109809</c:v>
                </c:pt>
                <c:pt idx="365">
                  <c:v>1.2234656020381622</c:v>
                </c:pt>
                <c:pt idx="366">
                  <c:v>1.2967261567784383</c:v>
                </c:pt>
                <c:pt idx="367">
                  <c:v>1.2688106132196546</c:v>
                </c:pt>
                <c:pt idx="368">
                  <c:v>1.2762538381371709</c:v>
                </c:pt>
                <c:pt idx="369">
                  <c:v>1.2543410695170669</c:v>
                </c:pt>
                <c:pt idx="370">
                  <c:v>3.5956025883777398</c:v>
                </c:pt>
                <c:pt idx="371">
                  <c:v>1.2058495533566642</c:v>
                </c:pt>
                <c:pt idx="372">
                  <c:v>2.5752731916512372</c:v>
                </c:pt>
                <c:pt idx="373">
                  <c:v>1.342278116725431</c:v>
                </c:pt>
                <c:pt idx="374">
                  <c:v>1.6960917506784017</c:v>
                </c:pt>
                <c:pt idx="375">
                  <c:v>3.0895402328869666</c:v>
                </c:pt>
                <c:pt idx="376">
                  <c:v>1.4514309807432555</c:v>
                </c:pt>
                <c:pt idx="377">
                  <c:v>1.3407784172268926</c:v>
                </c:pt>
                <c:pt idx="378">
                  <c:v>1.2339445056609823</c:v>
                </c:pt>
                <c:pt idx="379">
                  <c:v>1.1339854884349567</c:v>
                </c:pt>
                <c:pt idx="380">
                  <c:v>1.1340431599414478</c:v>
                </c:pt>
                <c:pt idx="381">
                  <c:v>3.2357969162921236</c:v>
                </c:pt>
                <c:pt idx="382">
                  <c:v>1.4458934562639241</c:v>
                </c:pt>
                <c:pt idx="383">
                  <c:v>1.3495059526051145</c:v>
                </c:pt>
                <c:pt idx="384">
                  <c:v>1.2597898866800317</c:v>
                </c:pt>
                <c:pt idx="385">
                  <c:v>1.1555650692802824</c:v>
                </c:pt>
                <c:pt idx="386">
                  <c:v>1.5449266705292974</c:v>
                </c:pt>
                <c:pt idx="387">
                  <c:v>1.3293722147809401</c:v>
                </c:pt>
                <c:pt idx="388">
                  <c:v>1.6131532015776715</c:v>
                </c:pt>
                <c:pt idx="389">
                  <c:v>1.5184124805995169</c:v>
                </c:pt>
                <c:pt idx="390">
                  <c:v>1.5696137436765665</c:v>
                </c:pt>
                <c:pt idx="391">
                  <c:v>1.4291947825224085</c:v>
                </c:pt>
                <c:pt idx="392">
                  <c:v>3.8448020243048981</c:v>
                </c:pt>
                <c:pt idx="393">
                  <c:v>1.6175923816307491</c:v>
                </c:pt>
                <c:pt idx="394">
                  <c:v>1.5048036971785259</c:v>
                </c:pt>
                <c:pt idx="395">
                  <c:v>1.5319344256860985</c:v>
                </c:pt>
                <c:pt idx="396">
                  <c:v>1.424381885699505</c:v>
                </c:pt>
                <c:pt idx="397">
                  <c:v>1.3175786744990317</c:v>
                </c:pt>
                <c:pt idx="398">
                  <c:v>1.2754658649863604</c:v>
                </c:pt>
                <c:pt idx="399">
                  <c:v>1.3562422040366251</c:v>
                </c:pt>
                <c:pt idx="400">
                  <c:v>1.3527754041930637</c:v>
                </c:pt>
                <c:pt idx="401">
                  <c:v>1.2954507144270362</c:v>
                </c:pt>
                <c:pt idx="402">
                  <c:v>1.2655579471481655</c:v>
                </c:pt>
                <c:pt idx="403">
                  <c:v>1.1606371170349079</c:v>
                </c:pt>
                <c:pt idx="404">
                  <c:v>1.1739087389155642</c:v>
                </c:pt>
                <c:pt idx="405">
                  <c:v>1.0713822106249293</c:v>
                </c:pt>
                <c:pt idx="406">
                  <c:v>0.97117967790813964</c:v>
                </c:pt>
                <c:pt idx="407">
                  <c:v>2.1270987011681908</c:v>
                </c:pt>
                <c:pt idx="408">
                  <c:v>1.2004187285257604</c:v>
                </c:pt>
                <c:pt idx="409">
                  <c:v>1.1689217641251128</c:v>
                </c:pt>
                <c:pt idx="410">
                  <c:v>4.4032537348740508</c:v>
                </c:pt>
                <c:pt idx="411">
                  <c:v>1.4997265502264259</c:v>
                </c:pt>
                <c:pt idx="412">
                  <c:v>1.4533256023375341</c:v>
                </c:pt>
                <c:pt idx="413">
                  <c:v>1.3697479345123544</c:v>
                </c:pt>
                <c:pt idx="414">
                  <c:v>1.2630436644665124</c:v>
                </c:pt>
                <c:pt idx="415">
                  <c:v>1.2173372095634136</c:v>
                </c:pt>
                <c:pt idx="416">
                  <c:v>3.3952154230607219</c:v>
                </c:pt>
                <c:pt idx="417">
                  <c:v>1.5414560032866587</c:v>
                </c:pt>
                <c:pt idx="418">
                  <c:v>2.3116266113290607</c:v>
                </c:pt>
                <c:pt idx="419">
                  <c:v>1.5438254277009555</c:v>
                </c:pt>
                <c:pt idx="420">
                  <c:v>5.268308813292637</c:v>
                </c:pt>
                <c:pt idx="421">
                  <c:v>2.4614053137426222</c:v>
                </c:pt>
                <c:pt idx="422">
                  <c:v>1.956252497450039</c:v>
                </c:pt>
                <c:pt idx="423">
                  <c:v>6.8407540069502977</c:v>
                </c:pt>
                <c:pt idx="424">
                  <c:v>2.3428761560723417</c:v>
                </c:pt>
                <c:pt idx="425">
                  <c:v>2.0279643365142075</c:v>
                </c:pt>
                <c:pt idx="426">
                  <c:v>1.9122849593360747</c:v>
                </c:pt>
                <c:pt idx="427">
                  <c:v>1.8414231349023102</c:v>
                </c:pt>
                <c:pt idx="428">
                  <c:v>1.7468009173253582</c:v>
                </c:pt>
                <c:pt idx="429">
                  <c:v>1.6416058517647789</c:v>
                </c:pt>
                <c:pt idx="430">
                  <c:v>1.6562901632511569</c:v>
                </c:pt>
                <c:pt idx="431">
                  <c:v>1.554571674700465</c:v>
                </c:pt>
                <c:pt idx="432">
                  <c:v>1.5436649264345652</c:v>
                </c:pt>
                <c:pt idx="433">
                  <c:v>1.4457732217530124</c:v>
                </c:pt>
                <c:pt idx="434">
                  <c:v>1.5679672147681845</c:v>
                </c:pt>
                <c:pt idx="435">
                  <c:v>1.4531277378914504</c:v>
                </c:pt>
                <c:pt idx="436">
                  <c:v>9.3468132740992171</c:v>
                </c:pt>
                <c:pt idx="437">
                  <c:v>2.056557924933486</c:v>
                </c:pt>
                <c:pt idx="438">
                  <c:v>2.9018501764971205</c:v>
                </c:pt>
                <c:pt idx="439">
                  <c:v>2.1734552594877981</c:v>
                </c:pt>
                <c:pt idx="440">
                  <c:v>4.6054455786262913</c:v>
                </c:pt>
                <c:pt idx="441">
                  <c:v>2.5096134060582695</c:v>
                </c:pt>
                <c:pt idx="442">
                  <c:v>2.3328614266619714</c:v>
                </c:pt>
                <c:pt idx="443">
                  <c:v>2.3593596997005997</c:v>
                </c:pt>
                <c:pt idx="444">
                  <c:v>4.3023523663830732</c:v>
                </c:pt>
                <c:pt idx="445">
                  <c:v>2.3562536234519964</c:v>
                </c:pt>
                <c:pt idx="446">
                  <c:v>2.3163146530564633</c:v>
                </c:pt>
                <c:pt idx="447">
                  <c:v>2.2086844197465547</c:v>
                </c:pt>
                <c:pt idx="448">
                  <c:v>2.2216181054241204</c:v>
                </c:pt>
                <c:pt idx="449">
                  <c:v>2.1135830543938239</c:v>
                </c:pt>
                <c:pt idx="450">
                  <c:v>2.0667826046999278</c:v>
                </c:pt>
                <c:pt idx="451">
                  <c:v>2.0440356159383235</c:v>
                </c:pt>
                <c:pt idx="452">
                  <c:v>1.9418248897828101</c:v>
                </c:pt>
                <c:pt idx="453">
                  <c:v>1.8402693663725844</c:v>
                </c:pt>
                <c:pt idx="454">
                  <c:v>1.7436099901210342</c:v>
                </c:pt>
                <c:pt idx="455">
                  <c:v>1.649395639465888</c:v>
                </c:pt>
                <c:pt idx="456">
                  <c:v>2.4745970659183545</c:v>
                </c:pt>
                <c:pt idx="457">
                  <c:v>1.84026242571557</c:v>
                </c:pt>
                <c:pt idx="458">
                  <c:v>1.8029017356293684</c:v>
                </c:pt>
                <c:pt idx="459">
                  <c:v>1.7067722329624782</c:v>
                </c:pt>
                <c:pt idx="460">
                  <c:v>1.6139090188549681</c:v>
                </c:pt>
                <c:pt idx="461">
                  <c:v>1.5234173601148857</c:v>
                </c:pt>
                <c:pt idx="462">
                  <c:v>1.4539643504233009</c:v>
                </c:pt>
                <c:pt idx="463">
                  <c:v>1.3707006453922901</c:v>
                </c:pt>
                <c:pt idx="464">
                  <c:v>1.2902200528905174</c:v>
                </c:pt>
                <c:pt idx="465">
                  <c:v>1.2152595052007524</c:v>
                </c:pt>
                <c:pt idx="466">
                  <c:v>1.1490388729876222</c:v>
                </c:pt>
                <c:pt idx="467">
                  <c:v>1.0807753160336795</c:v>
                </c:pt>
                <c:pt idx="468">
                  <c:v>1.0606774656290725</c:v>
                </c:pt>
                <c:pt idx="469">
                  <c:v>1.0486584730463187</c:v>
                </c:pt>
                <c:pt idx="470">
                  <c:v>1.0380656222792037</c:v>
                </c:pt>
                <c:pt idx="471">
                  <c:v>1.0887431899739624</c:v>
                </c:pt>
                <c:pt idx="472">
                  <c:v>1.0833773615611493</c:v>
                </c:pt>
                <c:pt idx="473">
                  <c:v>1.0185363626944253</c:v>
                </c:pt>
                <c:pt idx="474">
                  <c:v>0.99951233700667741</c:v>
                </c:pt>
                <c:pt idx="475">
                  <c:v>0.98817244421426786</c:v>
                </c:pt>
                <c:pt idx="476">
                  <c:v>0.97818825841460821</c:v>
                </c:pt>
                <c:pt idx="477">
                  <c:v>0.97327778332761328</c:v>
                </c:pt>
                <c:pt idx="478">
                  <c:v>0.96315680945707449</c:v>
                </c:pt>
                <c:pt idx="479">
                  <c:v>0.95020567447289872</c:v>
                </c:pt>
                <c:pt idx="480">
                  <c:v>0.94026877902682371</c:v>
                </c:pt>
                <c:pt idx="481">
                  <c:v>0.93499643131339782</c:v>
                </c:pt>
                <c:pt idx="482">
                  <c:v>0.92239879973718275</c:v>
                </c:pt>
                <c:pt idx="483">
                  <c:v>0.91274850860403167</c:v>
                </c:pt>
                <c:pt idx="484">
                  <c:v>0.90366177768538103</c:v>
                </c:pt>
                <c:pt idx="485">
                  <c:v>1.9000128438682864</c:v>
                </c:pt>
                <c:pt idx="486">
                  <c:v>1.1708370253172318</c:v>
                </c:pt>
                <c:pt idx="487">
                  <c:v>1.100456065246725</c:v>
                </c:pt>
                <c:pt idx="488">
                  <c:v>1.0306468915308535</c:v>
                </c:pt>
                <c:pt idx="489">
                  <c:v>0.96475238973979693</c:v>
                </c:pt>
                <c:pt idx="490">
                  <c:v>0.901247931503947</c:v>
                </c:pt>
                <c:pt idx="491">
                  <c:v>0.85138058655227067</c:v>
                </c:pt>
                <c:pt idx="492">
                  <c:v>0.83619047623077258</c:v>
                </c:pt>
                <c:pt idx="493">
                  <c:v>0.82682271707983279</c:v>
                </c:pt>
                <c:pt idx="494">
                  <c:v>0.81848856428509997</c:v>
                </c:pt>
                <c:pt idx="495">
                  <c:v>0.81039272634569748</c:v>
                </c:pt>
                <c:pt idx="496">
                  <c:v>0.8024025772934188</c:v>
                </c:pt>
                <c:pt idx="497">
                  <c:v>0.79449545793141441</c:v>
                </c:pt>
                <c:pt idx="498">
                  <c:v>0.78802950980983999</c:v>
                </c:pt>
                <c:pt idx="499">
                  <c:v>0.77914181847214359</c:v>
                </c:pt>
                <c:pt idx="500">
                  <c:v>0.77127839394867781</c:v>
                </c:pt>
                <c:pt idx="501">
                  <c:v>0.76364788122921512</c:v>
                </c:pt>
                <c:pt idx="502">
                  <c:v>0.75611834551966217</c:v>
                </c:pt>
                <c:pt idx="503">
                  <c:v>0.74866727990726833</c:v>
                </c:pt>
                <c:pt idx="504">
                  <c:v>0.74129034159143758</c:v>
                </c:pt>
                <c:pt idx="505">
                  <c:v>0.73398620784927993</c:v>
                </c:pt>
                <c:pt idx="506">
                  <c:v>0.7267540630310938</c:v>
                </c:pt>
                <c:pt idx="507">
                  <c:v>0.71959318150316576</c:v>
                </c:pt>
                <c:pt idx="508">
                  <c:v>0.71250285838495209</c:v>
                </c:pt>
                <c:pt idx="509">
                  <c:v>0.70548239799855084</c:v>
                </c:pt>
                <c:pt idx="510">
                  <c:v>0.69853111189530581</c:v>
                </c:pt>
                <c:pt idx="511">
                  <c:v>0.69164831847216357</c:v>
                </c:pt>
                <c:pt idx="512">
                  <c:v>0.68483334285238129</c:v>
                </c:pt>
                <c:pt idx="513">
                  <c:v>0.67808551681064921</c:v>
                </c:pt>
                <c:pt idx="514">
                  <c:v>0.67140417870612457</c:v>
                </c:pt>
                <c:pt idx="515">
                  <c:v>0.6647886734173164</c:v>
                </c:pt>
                <c:pt idx="516">
                  <c:v>0.65823835227780969</c:v>
                </c:pt>
                <c:pt idx="517">
                  <c:v>0.65175257301265566</c:v>
                </c:pt>
                <c:pt idx="518">
                  <c:v>0.64533069967539336</c:v>
                </c:pt>
                <c:pt idx="519">
                  <c:v>0.63897210258569426</c:v>
                </c:pt>
                <c:pt idx="520">
                  <c:v>0.63267615826761969</c:v>
                </c:pt>
                <c:pt idx="521">
                  <c:v>0.62644224938848836</c:v>
                </c:pt>
                <c:pt idx="522">
                  <c:v>1.4767519172164114</c:v>
                </c:pt>
                <c:pt idx="523">
                  <c:v>0.94472018161146487</c:v>
                </c:pt>
                <c:pt idx="524">
                  <c:v>0.88377610078853419</c:v>
                </c:pt>
                <c:pt idx="525">
                  <c:v>0.82771851848180744</c:v>
                </c:pt>
                <c:pt idx="526">
                  <c:v>0.77229829002998884</c:v>
                </c:pt>
                <c:pt idx="527">
                  <c:v>0.71974881770565036</c:v>
                </c:pt>
                <c:pt idx="528">
                  <c:v>0.6684789463114138</c:v>
                </c:pt>
                <c:pt idx="529">
                  <c:v>0.67890355415465209</c:v>
                </c:pt>
                <c:pt idx="530">
                  <c:v>0.67604261583468173</c:v>
                </c:pt>
                <c:pt idx="531">
                  <c:v>0.63767204069798034</c:v>
                </c:pt>
                <c:pt idx="532">
                  <c:v>0.58867937610803378</c:v>
                </c:pt>
                <c:pt idx="533">
                  <c:v>0.56071894970316749</c:v>
                </c:pt>
                <c:pt idx="534">
                  <c:v>0.551516898593992</c:v>
                </c:pt>
                <c:pt idx="535">
                  <c:v>0.54547249783773333</c:v>
                </c:pt>
                <c:pt idx="536">
                  <c:v>0.53999657746221608</c:v>
                </c:pt>
                <c:pt idx="537">
                  <c:v>0.53465906152514808</c:v>
                </c:pt>
                <c:pt idx="538">
                  <c:v>0.52938815054281418</c:v>
                </c:pt>
                <c:pt idx="539">
                  <c:v>0.52417150039064964</c:v>
                </c:pt>
                <c:pt idx="540">
                  <c:v>0.5190066369848354</c:v>
                </c:pt>
                <c:pt idx="541">
                  <c:v>0.51389272823484788</c:v>
                </c:pt>
                <c:pt idx="542">
                  <c:v>0.50882921867013697</c:v>
                </c:pt>
                <c:pt idx="543">
                  <c:v>0.5038156028341626</c:v>
                </c:pt>
                <c:pt idx="544">
                  <c:v>0.49885138764170955</c:v>
                </c:pt>
                <c:pt idx="545">
                  <c:v>0.49393608609247464</c:v>
                </c:pt>
                <c:pt idx="546">
                  <c:v>0.48906921618819305</c:v>
                </c:pt>
                <c:pt idx="547">
                  <c:v>0.48425030071361308</c:v>
                </c:pt>
                <c:pt idx="548">
                  <c:v>0.47947886716120219</c:v>
                </c:pt>
                <c:pt idx="549">
                  <c:v>0.47475444768008696</c:v>
                </c:pt>
                <c:pt idx="550">
                  <c:v>0.4700765790293942</c:v>
                </c:pt>
                <c:pt idx="551">
                  <c:v>0.46544480253269932</c:v>
                </c:pt>
                <c:pt idx="552">
                  <c:v>0.46085866403302972</c:v>
                </c:pt>
                <c:pt idx="553">
                  <c:v>0.45631771384833053</c:v>
                </c:pt>
                <c:pt idx="554">
                  <c:v>0.4518215067273712</c:v>
                </c:pt>
                <c:pt idx="555">
                  <c:v>0.44736960180608781</c:v>
                </c:pt>
                <c:pt idx="556">
                  <c:v>0.44296156256435493</c:v>
                </c:pt>
                <c:pt idx="557">
                  <c:v>0.43859695678318411</c:v>
                </c:pt>
                <c:pt idx="558">
                  <c:v>0.43427535650234311</c:v>
                </c:pt>
                <c:pt idx="559">
                  <c:v>0.46673150141145658</c:v>
                </c:pt>
                <c:pt idx="560">
                  <c:v>0.43185517980568139</c:v>
                </c:pt>
                <c:pt idx="561">
                  <c:v>0.4225758698378323</c:v>
                </c:pt>
                <c:pt idx="562">
                  <c:v>0.41757844212331774</c:v>
                </c:pt>
                <c:pt idx="563">
                  <c:v>0.41332560331019036</c:v>
                </c:pt>
                <c:pt idx="564">
                  <c:v>0.40923005223454412</c:v>
                </c:pt>
                <c:pt idx="565">
                  <c:v>0.40519400191415422</c:v>
                </c:pt>
                <c:pt idx="566">
                  <c:v>0.40120089682811094</c:v>
                </c:pt>
                <c:pt idx="567">
                  <c:v>0.39724766394876837</c:v>
                </c:pt>
                <c:pt idx="568">
                  <c:v>0.39469601753775185</c:v>
                </c:pt>
                <c:pt idx="569">
                  <c:v>0.40370887175651904</c:v>
                </c:pt>
                <c:pt idx="570">
                  <c:v>0.53627056947260843</c:v>
                </c:pt>
                <c:pt idx="571">
                  <c:v>0.76278442032947424</c:v>
                </c:pt>
                <c:pt idx="572">
                  <c:v>0.65258167712238535</c:v>
                </c:pt>
                <c:pt idx="573">
                  <c:v>0.59731516684897612</c:v>
                </c:pt>
                <c:pt idx="574">
                  <c:v>0.54277851294565549</c:v>
                </c:pt>
                <c:pt idx="575">
                  <c:v>0.48979587905881394</c:v>
                </c:pt>
                <c:pt idx="576">
                  <c:v>0.43952996938800232</c:v>
                </c:pt>
                <c:pt idx="577">
                  <c:v>0.3907724027209234</c:v>
                </c:pt>
                <c:pt idx="578">
                  <c:v>0.36139144171613563</c:v>
                </c:pt>
                <c:pt idx="579">
                  <c:v>0.35359411380808009</c:v>
                </c:pt>
                <c:pt idx="580">
                  <c:v>0.3494070854999124</c:v>
                </c:pt>
                <c:pt idx="581">
                  <c:v>0.34584764413041885</c:v>
                </c:pt>
                <c:pt idx="582">
                  <c:v>0.3424205684233429</c:v>
                </c:pt>
                <c:pt idx="583">
                  <c:v>0.34176849874473908</c:v>
                </c:pt>
                <c:pt idx="584">
                  <c:v>0.33615438869858794</c:v>
                </c:pt>
                <c:pt idx="585">
                  <c:v>0.33246938960163064</c:v>
                </c:pt>
                <c:pt idx="586">
                  <c:v>0.32913163014044072</c:v>
                </c:pt>
                <c:pt idx="587">
                  <c:v>0.37177130520181545</c:v>
                </c:pt>
                <c:pt idx="588">
                  <c:v>0.33028100075596389</c:v>
                </c:pt>
                <c:pt idx="589">
                  <c:v>0.32483740497761687</c:v>
                </c:pt>
                <c:pt idx="590">
                  <c:v>0.31722606311903995</c:v>
                </c:pt>
                <c:pt idx="591">
                  <c:v>0.31336847349689817</c:v>
                </c:pt>
                <c:pt idx="592">
                  <c:v>0.3101593328685569</c:v>
                </c:pt>
                <c:pt idx="593">
                  <c:v>0.30708310671443972</c:v>
                </c:pt>
                <c:pt idx="594">
                  <c:v>0.30541654655466866</c:v>
                </c:pt>
                <c:pt idx="595">
                  <c:v>0.30128362436071976</c:v>
                </c:pt>
                <c:pt idx="596">
                  <c:v>0.29812856227339773</c:v>
                </c:pt>
                <c:pt idx="597">
                  <c:v>0.29516009291076828</c:v>
                </c:pt>
                <c:pt idx="598">
                  <c:v>0.35366515771315216</c:v>
                </c:pt>
                <c:pt idx="599">
                  <c:v>0.2995578058563349</c:v>
                </c:pt>
                <c:pt idx="600">
                  <c:v>0.2882060622414469</c:v>
                </c:pt>
                <c:pt idx="601">
                  <c:v>0.28397241266212792</c:v>
                </c:pt>
                <c:pt idx="602">
                  <c:v>0.28094306841741629</c:v>
                </c:pt>
                <c:pt idx="603">
                  <c:v>0.27813648896908444</c:v>
                </c:pt>
                <c:pt idx="604">
                  <c:v>0.27538957518040313</c:v>
                </c:pt>
                <c:pt idx="605">
                  <c:v>0.27267503930212456</c:v>
                </c:pt>
                <c:pt idx="606">
                  <c:v>0.26998813183201165</c:v>
                </c:pt>
                <c:pt idx="607">
                  <c:v>0.26732784536402548</c:v>
                </c:pt>
                <c:pt idx="608">
                  <c:v>0.26469379560256001</c:v>
                </c:pt>
                <c:pt idx="609">
                  <c:v>0.26208570378810392</c:v>
                </c:pt>
                <c:pt idx="610">
                  <c:v>0.25950331079177474</c:v>
                </c:pt>
                <c:pt idx="611">
                  <c:v>0.25694636283960831</c:v>
                </c:pt>
                <c:pt idx="612">
                  <c:v>0.25441460912303321</c:v>
                </c:pt>
                <c:pt idx="613">
                  <c:v>0.25190780138189772</c:v>
                </c:pt>
                <c:pt idx="614">
                  <c:v>0.24942569381501734</c:v>
                </c:pt>
                <c:pt idx="615">
                  <c:v>0.24696804304526951</c:v>
                </c:pt>
                <c:pt idx="616">
                  <c:v>0.24453460809393668</c:v>
                </c:pt>
                <c:pt idx="617">
                  <c:v>0.24212515035678067</c:v>
                </c:pt>
                <c:pt idx="618">
                  <c:v>0.23973943358059746</c:v>
                </c:pt>
                <c:pt idx="619">
                  <c:v>0.23737722384004351</c:v>
                </c:pt>
                <c:pt idx="620">
                  <c:v>0.23503828951469777</c:v>
                </c:pt>
                <c:pt idx="621">
                  <c:v>0.23272240126635049</c:v>
                </c:pt>
                <c:pt idx="622">
                  <c:v>0.23042933201651578</c:v>
                </c:pt>
                <c:pt idx="623">
                  <c:v>0.22815885692416618</c:v>
                </c:pt>
                <c:pt idx="624">
                  <c:v>0.22591075336368649</c:v>
                </c:pt>
                <c:pt idx="625">
                  <c:v>0.22368480090304474</c:v>
                </c:pt>
                <c:pt idx="626">
                  <c:v>0.2214807812821783</c:v>
                </c:pt>
                <c:pt idx="627">
                  <c:v>0.22270484549910824</c:v>
                </c:pt>
                <c:pt idx="628">
                  <c:v>0.21770291830396379</c:v>
                </c:pt>
                <c:pt idx="629">
                  <c:v>0.21509196284851936</c:v>
                </c:pt>
                <c:pt idx="630">
                  <c:v>0.21289530463026463</c:v>
                </c:pt>
                <c:pt idx="631">
                  <c:v>0.21078476863253254</c:v>
                </c:pt>
                <c:pt idx="632">
                  <c:v>0.20870572749525815</c:v>
                </c:pt>
                <c:pt idx="633">
                  <c:v>0.20664894703919839</c:v>
                </c:pt>
                <c:pt idx="634">
                  <c:v>0.204612727133172</c:v>
                </c:pt>
                <c:pt idx="635">
                  <c:v>0.20259661947209576</c:v>
                </c:pt>
                <c:pt idx="636">
                  <c:v>0.21422585354190035</c:v>
                </c:pt>
                <c:pt idx="637">
                  <c:v>0.30181865919995365</c:v>
                </c:pt>
                <c:pt idx="638">
                  <c:v>0.23342816843066405</c:v>
                </c:pt>
                <c:pt idx="639">
                  <c:v>0.20082898696949908</c:v>
                </c:pt>
                <c:pt idx="640">
                  <c:v>0.19382244005931062</c:v>
                </c:pt>
                <c:pt idx="641">
                  <c:v>0.19107837815627893</c:v>
                </c:pt>
                <c:pt idx="642">
                  <c:v>0.18905719948747957</c:v>
                </c:pt>
                <c:pt idx="643">
                  <c:v>0.18717140199451726</c:v>
                </c:pt>
                <c:pt idx="644">
                  <c:v>0.18532334572105638</c:v>
                </c:pt>
                <c:pt idx="645">
                  <c:v>0.18349667812756082</c:v>
                </c:pt>
                <c:pt idx="646">
                  <c:v>0.18168853669317106</c:v>
                </c:pt>
                <c:pt idx="647">
                  <c:v>0.17989829884973521</c:v>
                </c:pt>
                <c:pt idx="648">
                  <c:v>0.17812571517269227</c:v>
                </c:pt>
                <c:pt idx="649">
                  <c:v>0.17637059959529314</c:v>
                </c:pt>
                <c:pt idx="650">
                  <c:v>0.17463277798969981</c:v>
                </c:pt>
                <c:pt idx="651">
                  <c:v>0.17291207962067556</c:v>
                </c:pt>
                <c:pt idx="652">
                  <c:v>0.20755797699425474</c:v>
                </c:pt>
                <c:pt idx="653">
                  <c:v>0.17759692549910291</c:v>
                </c:pt>
                <c:pt idx="654">
                  <c:v>0.35656894370068726</c:v>
                </c:pt>
                <c:pt idx="655">
                  <c:v>0.36197495685391301</c:v>
                </c:pt>
                <c:pt idx="656">
                  <c:v>3.1693932735117767</c:v>
                </c:pt>
                <c:pt idx="657">
                  <c:v>0.93817436103621699</c:v>
                </c:pt>
                <c:pt idx="658">
                  <c:v>1.9162861432839533</c:v>
                </c:pt>
                <c:pt idx="659">
                  <c:v>1.1379667132872107</c:v>
                </c:pt>
                <c:pt idx="660">
                  <c:v>1.0348205459506223</c:v>
                </c:pt>
                <c:pt idx="661">
                  <c:v>1.3775360399882048</c:v>
                </c:pt>
                <c:pt idx="662">
                  <c:v>1.2260342853661697</c:v>
                </c:pt>
                <c:pt idx="663">
                  <c:v>1.1191601365119377</c:v>
                </c:pt>
                <c:pt idx="664">
                  <c:v>1.1003688193512919</c:v>
                </c:pt>
                <c:pt idx="665">
                  <c:v>1.1051303607601723</c:v>
                </c:pt>
                <c:pt idx="666">
                  <c:v>1.0666982580066742</c:v>
                </c:pt>
                <c:pt idx="667">
                  <c:v>1.1834646752837472</c:v>
                </c:pt>
                <c:pt idx="668">
                  <c:v>1.1184221062144395</c:v>
                </c:pt>
                <c:pt idx="669">
                  <c:v>1.0236528970178127</c:v>
                </c:pt>
                <c:pt idx="670">
                  <c:v>0.96742474825156077</c:v>
                </c:pt>
                <c:pt idx="671">
                  <c:v>0.86553152601627414</c:v>
                </c:pt>
                <c:pt idx="672">
                  <c:v>0.85428203570419292</c:v>
                </c:pt>
                <c:pt idx="673">
                  <c:v>0.75705876225588364</c:v>
                </c:pt>
                <c:pt idx="674">
                  <c:v>0.67726039705570662</c:v>
                </c:pt>
                <c:pt idx="675">
                  <c:v>0.66125457776348462</c:v>
                </c:pt>
                <c:pt idx="676">
                  <c:v>0.57017707433682929</c:v>
                </c:pt>
                <c:pt idx="677">
                  <c:v>0.57178055737785349</c:v>
                </c:pt>
                <c:pt idx="678">
                  <c:v>0.52016842296232813</c:v>
                </c:pt>
                <c:pt idx="679">
                  <c:v>0.43705193757466165</c:v>
                </c:pt>
                <c:pt idx="680">
                  <c:v>0.42177802858705143</c:v>
                </c:pt>
                <c:pt idx="681">
                  <c:v>0.33882326794785461</c:v>
                </c:pt>
                <c:pt idx="682">
                  <c:v>0.27151315814143218</c:v>
                </c:pt>
                <c:pt idx="683">
                  <c:v>0.19383269744930406</c:v>
                </c:pt>
                <c:pt idx="684">
                  <c:v>0.13597640525342611</c:v>
                </c:pt>
                <c:pt idx="685">
                  <c:v>0.12535305504518732</c:v>
                </c:pt>
                <c:pt idx="686">
                  <c:v>0.13892800672441252</c:v>
                </c:pt>
                <c:pt idx="687">
                  <c:v>0.12791483154701255</c:v>
                </c:pt>
                <c:pt idx="688">
                  <c:v>1.3048685997153773</c:v>
                </c:pt>
                <c:pt idx="689">
                  <c:v>0.97794050343412853</c:v>
                </c:pt>
                <c:pt idx="690">
                  <c:v>0.63648235015696397</c:v>
                </c:pt>
                <c:pt idx="691">
                  <c:v>0.56377497132283116</c:v>
                </c:pt>
                <c:pt idx="692">
                  <c:v>0.60286052532240753</c:v>
                </c:pt>
                <c:pt idx="693">
                  <c:v>1.7854315916865511</c:v>
                </c:pt>
                <c:pt idx="694">
                  <c:v>1.1417879082143905</c:v>
                </c:pt>
                <c:pt idx="695">
                  <c:v>0.97196464164670626</c:v>
                </c:pt>
                <c:pt idx="696">
                  <c:v>0.86769651009169035</c:v>
                </c:pt>
                <c:pt idx="697">
                  <c:v>0.76886436106209854</c:v>
                </c:pt>
                <c:pt idx="698">
                  <c:v>1.0313193279471664</c:v>
                </c:pt>
                <c:pt idx="699">
                  <c:v>1.9351068582041395</c:v>
                </c:pt>
                <c:pt idx="700">
                  <c:v>1.1306968057497018</c:v>
                </c:pt>
                <c:pt idx="701">
                  <c:v>1.0211805291160685</c:v>
                </c:pt>
                <c:pt idx="702">
                  <c:v>0.9172855282013781</c:v>
                </c:pt>
                <c:pt idx="703">
                  <c:v>0.81852382973480409</c:v>
                </c:pt>
                <c:pt idx="704">
                  <c:v>0.72449970081980919</c:v>
                </c:pt>
                <c:pt idx="705">
                  <c:v>0.63342916912613545</c:v>
                </c:pt>
                <c:pt idx="706">
                  <c:v>0.54358868353579615</c:v>
                </c:pt>
                <c:pt idx="707">
                  <c:v>0.45685603354325571</c:v>
                </c:pt>
                <c:pt idx="708">
                  <c:v>0.37305223474391563</c:v>
                </c:pt>
                <c:pt idx="709">
                  <c:v>0.29156133348238034</c:v>
                </c:pt>
                <c:pt idx="710">
                  <c:v>0.21674514251598001</c:v>
                </c:pt>
                <c:pt idx="711">
                  <c:v>0.1411210851867275</c:v>
                </c:pt>
                <c:pt idx="712">
                  <c:v>0.10316907938270582</c:v>
                </c:pt>
                <c:pt idx="713">
                  <c:v>9.6085647761876919E-2</c:v>
                </c:pt>
                <c:pt idx="714">
                  <c:v>9.4132176843521556E-2</c:v>
                </c:pt>
                <c:pt idx="715">
                  <c:v>9.3037619303150826E-2</c:v>
                </c:pt>
                <c:pt idx="716">
                  <c:v>0.16368499597931857</c:v>
                </c:pt>
                <c:pt idx="717">
                  <c:v>0.10578593914603057</c:v>
                </c:pt>
                <c:pt idx="718">
                  <c:v>9.2705432096798518E-2</c:v>
                </c:pt>
                <c:pt idx="719">
                  <c:v>0.41871149003078056</c:v>
                </c:pt>
                <c:pt idx="720">
                  <c:v>0.27114265053946274</c:v>
                </c:pt>
                <c:pt idx="721">
                  <c:v>0.21506529338924849</c:v>
                </c:pt>
                <c:pt idx="722">
                  <c:v>2.2448826668454513</c:v>
                </c:pt>
                <c:pt idx="723">
                  <c:v>0.58121582898816548</c:v>
                </c:pt>
                <c:pt idx="724">
                  <c:v>0.49274741358436686</c:v>
                </c:pt>
                <c:pt idx="725">
                  <c:v>1.8462634579632737</c:v>
                </c:pt>
                <c:pt idx="726">
                  <c:v>0.838320232762649</c:v>
                </c:pt>
                <c:pt idx="727">
                  <c:v>0.74095895842834647</c:v>
                </c:pt>
                <c:pt idx="728">
                  <c:v>4.4030202170012602</c:v>
                </c:pt>
                <c:pt idx="729">
                  <c:v>1.2398845191109809</c:v>
                </c:pt>
                <c:pt idx="730">
                  <c:v>1.2234656020381622</c:v>
                </c:pt>
                <c:pt idx="731">
                  <c:v>1.2967261567784383</c:v>
                </c:pt>
                <c:pt idx="732">
                  <c:v>1.2688106132196546</c:v>
                </c:pt>
                <c:pt idx="733">
                  <c:v>1.2762538381371709</c:v>
                </c:pt>
                <c:pt idx="734">
                  <c:v>1.2543410695170669</c:v>
                </c:pt>
              </c:numCache>
            </c:numRef>
          </c:yVal>
          <c:smooth val="0"/>
          <c:extLst>
            <c:ext xmlns:c16="http://schemas.microsoft.com/office/drawing/2014/chart" uri="{C3380CC4-5D6E-409C-BE32-E72D297353CC}">
              <c16:uniqueId val="{00000000-80BF-2C40-BB57-6238225301C6}"/>
            </c:ext>
          </c:extLst>
        </c:ser>
        <c:ser>
          <c:idx val="0"/>
          <c:order val="1"/>
          <c:tx>
            <c:strRef>
              <c:f>Escenarios!$D$21</c:f>
              <c:strCache>
                <c:ptCount val="1"/>
                <c:pt idx="0">
                  <c:v>Línea base</c:v>
                </c:pt>
              </c:strCache>
            </c:strRef>
          </c:tx>
          <c:spPr>
            <a:ln w="12700" cap="rnd">
              <a:solidFill>
                <a:schemeClr val="accent1"/>
              </a:solidFill>
              <a:round/>
            </a:ln>
            <a:effectLst/>
          </c:spPr>
          <c:marker>
            <c:symbol val="none"/>
          </c:marker>
          <c:xVal>
            <c:strRef>
              <c:f>LíneaBase!$C:$C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LíneaBase!$L:$L</c:f>
              <c:numCache>
                <c:formatCode>General</c:formatCode>
                <c:ptCount val="1048576"/>
                <c:pt idx="4">
                  <c:v>0</c:v>
                </c:pt>
                <c:pt idx="6" formatCode="0.0000">
                  <c:v>4.3585938675872358</c:v>
                </c:pt>
                <c:pt idx="7" formatCode="0.0000">
                  <c:v>1.2407799324562991</c:v>
                </c:pt>
                <c:pt idx="8" formatCode="0.0000">
                  <c:v>3.0667773552040081</c:v>
                </c:pt>
                <c:pt idx="9" formatCode="0.0000">
                  <c:v>1.370500668185999</c:v>
                </c:pt>
                <c:pt idx="10" formatCode="0.0000">
                  <c:v>1.9004462758969225</c:v>
                </c:pt>
                <c:pt idx="11" formatCode="0.0000">
                  <c:v>3.6590784970323407</c:v>
                </c:pt>
                <c:pt idx="12" formatCode="0.0000">
                  <c:v>1.4691961986309505</c:v>
                </c:pt>
                <c:pt idx="13" formatCode="0.0000">
                  <c:v>1.3544359545162783</c:v>
                </c:pt>
                <c:pt idx="14" formatCode="0.0000">
                  <c:v>1.2436457991895276</c:v>
                </c:pt>
                <c:pt idx="15" formatCode="0.0000">
                  <c:v>1.1398683158671576</c:v>
                </c:pt>
                <c:pt idx="16" formatCode="0.0000">
                  <c:v>1.1362944017493872</c:v>
                </c:pt>
                <c:pt idx="17" formatCode="0.0000">
                  <c:v>3.8287111396977553</c:v>
                </c:pt>
                <c:pt idx="18" formatCode="0.0000">
                  <c:v>1.4528664410546774</c:v>
                </c:pt>
                <c:pt idx="19" formatCode="0.0000">
                  <c:v>1.3524854541634634</c:v>
                </c:pt>
                <c:pt idx="20" formatCode="0.0000">
                  <c:v>1.25892353933118</c:v>
                </c:pt>
                <c:pt idx="21" formatCode="0.0000">
                  <c:v>1.1509756226758947</c:v>
                </c:pt>
                <c:pt idx="22" formatCode="0.0000">
                  <c:v>1.6758714316701147</c:v>
                </c:pt>
                <c:pt idx="23" formatCode="0.0000">
                  <c:v>1.3131448900168086</c:v>
                </c:pt>
                <c:pt idx="24" formatCode="0.0000">
                  <c:v>1.7006604303592725</c:v>
                </c:pt>
                <c:pt idx="25" formatCode="0.0000">
                  <c:v>1.5428633584480724</c:v>
                </c:pt>
                <c:pt idx="26" formatCode="0.0000">
                  <c:v>1.6246068562580451</c:v>
                </c:pt>
                <c:pt idx="27" formatCode="0.0000">
                  <c:v>1.42532237279437</c:v>
                </c:pt>
                <c:pt idx="28" formatCode="0.0000">
                  <c:v>4.5361554597857587</c:v>
                </c:pt>
                <c:pt idx="29" formatCode="0.0000">
                  <c:v>1.6056165572795995</c:v>
                </c:pt>
                <c:pt idx="30" formatCode="0.0000">
                  <c:v>1.4890469709983785</c:v>
                </c:pt>
                <c:pt idx="31" formatCode="0.0000">
                  <c:v>1.5141990459537686</c:v>
                </c:pt>
                <c:pt idx="32" formatCode="0.0000">
                  <c:v>1.4013926977953328</c:v>
                </c:pt>
                <c:pt idx="33" formatCode="0.0000">
                  <c:v>1.2912133804007551</c:v>
                </c:pt>
                <c:pt idx="34" formatCode="0.0000">
                  <c:v>1.2459788409374613</c:v>
                </c:pt>
                <c:pt idx="35" formatCode="0.0000">
                  <c:v>1.3497466796449995</c:v>
                </c:pt>
                <c:pt idx="36" formatCode="0.0000">
                  <c:v>1.3163113555809418</c:v>
                </c:pt>
                <c:pt idx="37" formatCode="0.0000">
                  <c:v>1.2561122030552123</c:v>
                </c:pt>
                <c:pt idx="38" formatCode="0.0000">
                  <c:v>1.2233919433615881</c:v>
                </c:pt>
                <c:pt idx="39" formatCode="0.0000">
                  <c:v>1.11571456954441</c:v>
                </c:pt>
                <c:pt idx="40" formatCode="0.0000">
                  <c:v>1.1264230972379972</c:v>
                </c:pt>
                <c:pt idx="41" formatCode="0.0000">
                  <c:v>1.0213259871617324</c:v>
                </c:pt>
                <c:pt idx="42" formatCode="0.0000">
                  <c:v>0.91861282635198993</c:v>
                </c:pt>
                <c:pt idx="43" formatCode="0.0000">
                  <c:v>2.4145541438235458</c:v>
                </c:pt>
                <c:pt idx="44" formatCode="0.0000">
                  <c:v>1.1315523051233156</c:v>
                </c:pt>
                <c:pt idx="45" formatCode="0.0000">
                  <c:v>1.0984193153049628</c:v>
                </c:pt>
                <c:pt idx="46" formatCode="0.0000">
                  <c:v>5.204571287426166</c:v>
                </c:pt>
                <c:pt idx="47" formatCode="0.0000">
                  <c:v>1.4691000586225718</c:v>
                </c:pt>
                <c:pt idx="48" formatCode="0.0000">
                  <c:v>1.4190001401552881</c:v>
                </c:pt>
                <c:pt idx="49" formatCode="0.0000">
                  <c:v>1.3318231164520247</c:v>
                </c:pt>
                <c:pt idx="50" formatCode="0.0000">
                  <c:v>1.2217120547254565</c:v>
                </c:pt>
                <c:pt idx="51" formatCode="0.0000">
                  <c:v>1.1727158854778452</c:v>
                </c:pt>
                <c:pt idx="52" formatCode="0.0000">
                  <c:v>3.9630902510214479</c:v>
                </c:pt>
                <c:pt idx="53" formatCode="0.0000">
                  <c:v>1.5007291465354489</c:v>
                </c:pt>
                <c:pt idx="54" formatCode="0.0000">
                  <c:v>2.5754582127776322</c:v>
                </c:pt>
                <c:pt idx="55" formatCode="0.0000">
                  <c:v>1.498842694548111</c:v>
                </c:pt>
                <c:pt idx="56" formatCode="0.0000">
                  <c:v>6.1843269841292114</c:v>
                </c:pt>
                <c:pt idx="57" formatCode="0.0000">
                  <c:v>2.6928378941272801</c:v>
                </c:pt>
                <c:pt idx="58" formatCode="0.0000">
                  <c:v>1.9740213428903668</c:v>
                </c:pt>
                <c:pt idx="59" formatCode="0.0000">
                  <c:v>7.9827223123626272</c:v>
                </c:pt>
                <c:pt idx="60" formatCode="0.0000">
                  <c:v>2.4250244408712098</c:v>
                </c:pt>
                <c:pt idx="61" formatCode="0.0000">
                  <c:v>1.9550698629179706</c:v>
                </c:pt>
                <c:pt idx="62" formatCode="0.0000">
                  <c:v>1.8361900039984562</c:v>
                </c:pt>
                <c:pt idx="63" formatCode="0.0000">
                  <c:v>1.7624033699732009</c:v>
                </c:pt>
                <c:pt idx="64" formatCode="0.0000">
                  <c:v>1.664902256799496</c:v>
                </c:pt>
                <c:pt idx="65" formatCode="0.0000">
                  <c:v>1.5569553810692396</c:v>
                </c:pt>
                <c:pt idx="66" formatCode="0.0000">
                  <c:v>1.5690351038139871</c:v>
                </c:pt>
                <c:pt idx="67" formatCode="0.0000">
                  <c:v>1.4648322645420859</c:v>
                </c:pt>
                <c:pt idx="68" formatCode="0.0000">
                  <c:v>1.4515137819343895</c:v>
                </c:pt>
                <c:pt idx="69" formatCode="0.0000">
                  <c:v>1.3513726982081324</c:v>
                </c:pt>
                <c:pt idx="70" formatCode="0.0000">
                  <c:v>1.5132744517588801</c:v>
                </c:pt>
                <c:pt idx="71" formatCode="0.0000">
                  <c:v>1.3532484108829466</c:v>
                </c:pt>
                <c:pt idx="72" formatCode="0.0000">
                  <c:v>10.891936377278416</c:v>
                </c:pt>
                <c:pt idx="73" formatCode="0.0000">
                  <c:v>1.9688594263651642</c:v>
                </c:pt>
                <c:pt idx="74" formatCode="0.0000">
                  <c:v>3.1475444802114856</c:v>
                </c:pt>
                <c:pt idx="75" formatCode="0.0000">
                  <c:v>2.1166859423120066</c:v>
                </c:pt>
                <c:pt idx="76" formatCode="0.0000">
                  <c:v>5.2329913660461358</c:v>
                </c:pt>
                <c:pt idx="77" formatCode="0.0000">
                  <c:v>2.5449407533871247</c:v>
                </c:pt>
                <c:pt idx="78" formatCode="0.0000">
                  <c:v>2.2358630689511321</c:v>
                </c:pt>
                <c:pt idx="79" formatCode="0.0000">
                  <c:v>2.299866823933006</c:v>
                </c:pt>
                <c:pt idx="80" formatCode="0.0000">
                  <c:v>4.8158055672220756</c:v>
                </c:pt>
                <c:pt idx="81" formatCode="0.0000">
                  <c:v>2.2503506150379891</c:v>
                </c:pt>
                <c:pt idx="82" formatCode="0.0000">
                  <c:v>2.2076729076555766</c:v>
                </c:pt>
                <c:pt idx="83" formatCode="0.0000">
                  <c:v>2.0974092234657986</c:v>
                </c:pt>
                <c:pt idx="84" formatCode="0.0000">
                  <c:v>2.1078866142877475</c:v>
                </c:pt>
                <c:pt idx="85" formatCode="0.0000">
                  <c:v>1.9976059163052433</c:v>
                </c:pt>
                <c:pt idx="86" formatCode="0.0000">
                  <c:v>1.9486682136551399</c:v>
                </c:pt>
                <c:pt idx="87" formatCode="0.0000">
                  <c:v>1.9239811840971788</c:v>
                </c:pt>
                <c:pt idx="88" formatCode="0.0000">
                  <c:v>1.8198669878949481</c:v>
                </c:pt>
                <c:pt idx="89" formatCode="0.0000">
                  <c:v>1.7164084387398189</c:v>
                </c:pt>
                <c:pt idx="90" formatCode="0.0000">
                  <c:v>1.618009482409732</c:v>
                </c:pt>
                <c:pt idx="91" formatCode="0.0000">
                  <c:v>1.5221256255636699</c:v>
                </c:pt>
                <c:pt idx="92" formatCode="0.0000">
                  <c:v>2.6041331115925752</c:v>
                </c:pt>
                <c:pt idx="93" formatCode="0.0000">
                  <c:v>1.7012414681313577</c:v>
                </c:pt>
                <c:pt idx="94" formatCode="0.0000">
                  <c:v>1.6628822087910664</c:v>
                </c:pt>
                <c:pt idx="95" formatCode="0.0000">
                  <c:v>1.5657471769351505</c:v>
                </c:pt>
                <c:pt idx="96" formatCode="0.0000">
                  <c:v>1.4719535030100386</c:v>
                </c:pt>
                <c:pt idx="97" formatCode="0.0000">
                  <c:v>1.3805735843568869</c:v>
                </c:pt>
                <c:pt idx="98" formatCode="0.0000">
                  <c:v>1.3103381613151517</c:v>
                </c:pt>
                <c:pt idx="99" formatCode="0.0000">
                  <c:v>1.2263915532532434</c:v>
                </c:pt>
                <c:pt idx="100" formatCode="0.0000">
                  <c:v>1.145288742987012</c:v>
                </c:pt>
                <c:pt idx="101" formatCode="0.0000">
                  <c:v>1.0698753592782264</c:v>
                </c:pt>
                <c:pt idx="102" formatCode="0.0000">
                  <c:v>1.0032311458587693</c:v>
                </c:pt>
                <c:pt idx="103" formatCode="0.0000">
                  <c:v>0.95719969037570041</c:v>
                </c:pt>
                <c:pt idx="104" formatCode="0.0000">
                  <c:v>0.94177017622949344</c:v>
                </c:pt>
                <c:pt idx="105" formatCode="0.0000">
                  <c:v>0.93149540466666558</c:v>
                </c:pt>
                <c:pt idx="106" formatCode="0.0000">
                  <c:v>0.92215200452356894</c:v>
                </c:pt>
                <c:pt idx="107" formatCode="0.0000">
                  <c:v>0.9715288158531209</c:v>
                </c:pt>
                <c:pt idx="108" formatCode="0.0000">
                  <c:v>0.96508547615643092</c:v>
                </c:pt>
                <c:pt idx="109" formatCode="0.0000">
                  <c:v>0.9052591121673117</c:v>
                </c:pt>
                <c:pt idx="110" formatCode="0.0000">
                  <c:v>0.88798993587615049</c:v>
                </c:pt>
                <c:pt idx="111" formatCode="0.0000">
                  <c:v>0.87785488367448106</c:v>
                </c:pt>
                <c:pt idx="112" formatCode="0.0000">
                  <c:v>0.86897526963874494</c:v>
                </c:pt>
                <c:pt idx="113" formatCode="0.0000">
                  <c:v>0.86514381439258936</c:v>
                </c:pt>
                <c:pt idx="114" formatCode="0.0000">
                  <c:v>0.85608879451715103</c:v>
                </c:pt>
                <c:pt idx="115" formatCode="0.0000">
                  <c:v>0.84419270653941114</c:v>
                </c:pt>
                <c:pt idx="116" formatCode="0.0000">
                  <c:v>0.83530039545029089</c:v>
                </c:pt>
                <c:pt idx="117" formatCode="0.0000">
                  <c:v>0.83106232843429184</c:v>
                </c:pt>
                <c:pt idx="118" formatCode="0.0000">
                  <c:v>0.81948878469605779</c:v>
                </c:pt>
                <c:pt idx="119" formatCode="0.0000">
                  <c:v>0.81085249051328423</c:v>
                </c:pt>
                <c:pt idx="120" formatCode="0.0000">
                  <c:v>0.80276976534073163</c:v>
                </c:pt>
                <c:pt idx="121" formatCode="0.0000">
                  <c:v>2.0927104196115405</c:v>
                </c:pt>
                <c:pt idx="122" formatCode="0.0000">
                  <c:v>1.0574316775508241</c:v>
                </c:pt>
                <c:pt idx="123" formatCode="0.0000">
                  <c:v>0.98630924202356429</c:v>
                </c:pt>
                <c:pt idx="124" formatCode="0.0000">
                  <c:v>0.91574259852252682</c:v>
                </c:pt>
                <c:pt idx="125" formatCode="0.0000">
                  <c:v>0.84920747135622654</c:v>
                </c:pt>
                <c:pt idx="126" formatCode="0.0000">
                  <c:v>0.78512018856102328</c:v>
                </c:pt>
                <c:pt idx="127" formatCode="0.0000">
                  <c:v>0.75375115527646586</c:v>
                </c:pt>
                <c:pt idx="128" formatCode="0.0000">
                  <c:v>0.74240268288325062</c:v>
                </c:pt>
                <c:pt idx="129" formatCode="0.0000">
                  <c:v>0.73443687938034574</c:v>
                </c:pt>
                <c:pt idx="130" formatCode="0.0000">
                  <c:v>0.72709231762648996</c:v>
                </c:pt>
                <c:pt idx="131" formatCode="0.0000">
                  <c:v>0.71991018599439105</c:v>
                </c:pt>
                <c:pt idx="132" formatCode="0.0000">
                  <c:v>0.71281376624084958</c:v>
                </c:pt>
                <c:pt idx="133" formatCode="0.0000">
                  <c:v>0.70578974905757419</c:v>
                </c:pt>
                <c:pt idx="134" formatCode="0.0000">
                  <c:v>0.70019789952983624</c:v>
                </c:pt>
                <c:pt idx="135" formatCode="0.0000">
                  <c:v>0.69217564394355802</c:v>
                </c:pt>
                <c:pt idx="136" formatCode="0.0000">
                  <c:v>0.68516911950674431</c:v>
                </c:pt>
                <c:pt idx="137" formatCode="0.0000">
                  <c:v>0.67838706225266254</c:v>
                </c:pt>
                <c:pt idx="138" formatCode="0.0000">
                  <c:v>0.67169762174560865</c:v>
                </c:pt>
                <c:pt idx="139" formatCode="0.0000">
                  <c:v>0.66507837363957345</c:v>
                </c:pt>
                <c:pt idx="140" formatCode="0.0000">
                  <c:v>0.65852505672777972</c:v>
                </c:pt>
                <c:pt idx="141" formatCode="0.0000">
                  <c:v>0.65203642905074688</c:v>
                </c:pt>
                <c:pt idx="142" formatCode="0.0000">
                  <c:v>0.64561175492201361</c:v>
                </c:pt>
                <c:pt idx="143" formatCode="0.0000">
                  <c:v>0.63925038788248234</c:v>
                </c:pt>
                <c:pt idx="144" formatCode="0.0000">
                  <c:v>0.6329517014459769</c:v>
                </c:pt>
                <c:pt idx="145" formatCode="0.0000">
                  <c:v>0.6267150775565048</c:v>
                </c:pt>
                <c:pt idx="146" formatCode="0.0000">
                  <c:v>0.6205399046224892</c:v>
                </c:pt>
                <c:pt idx="147" formatCode="0.0000">
                  <c:v>0.61442557714066437</c:v>
                </c:pt>
                <c:pt idx="148" formatCode="0.0000">
                  <c:v>0.60837149558424541</c:v>
                </c:pt>
                <c:pt idx="149" formatCode="0.0000">
                  <c:v>0.60237706633543953</c:v>
                </c:pt>
                <c:pt idx="150" formatCode="0.0000">
                  <c:v>0.59644170162579502</c:v>
                </c:pt>
                <c:pt idx="151" formatCode="0.0000">
                  <c:v>0.59056481947833039</c:v>
                </c:pt>
                <c:pt idx="152" formatCode="0.0000">
                  <c:v>0.58474584365042914</c:v>
                </c:pt>
                <c:pt idx="153" formatCode="0.0000">
                  <c:v>0.57898420357733249</c:v>
                </c:pt>
                <c:pt idx="154" formatCode="0.0000">
                  <c:v>0.57327933431619171</c:v>
                </c:pt>
                <c:pt idx="155" formatCode="0.0000">
                  <c:v>0.567630676490675</c:v>
                </c:pt>
                <c:pt idx="156" formatCode="0.0000">
                  <c:v>0.56203767623611856</c:v>
                </c:pt>
                <c:pt idx="157" formatCode="0.0000">
                  <c:v>0.55649978514521914</c:v>
                </c:pt>
                <c:pt idx="158" formatCode="0.0000">
                  <c:v>1.6595477187016181</c:v>
                </c:pt>
                <c:pt idx="159" formatCode="0.0000">
                  <c:v>0.86405420061373739</c:v>
                </c:pt>
                <c:pt idx="160" formatCode="0.0000">
                  <c:v>0.80228337764042057</c:v>
                </c:pt>
                <c:pt idx="161" formatCode="0.0000">
                  <c:v>0.74556511604381881</c:v>
                </c:pt>
                <c:pt idx="162" formatCode="0.0000">
                  <c:v>0.68947489970077247</c:v>
                </c:pt>
                <c:pt idx="163" formatCode="0.0000">
                  <c:v>0.63634073580302652</c:v>
                </c:pt>
                <c:pt idx="164" formatCode="0.0000">
                  <c:v>0.5845057947544402</c:v>
                </c:pt>
                <c:pt idx="165" formatCode="0.0000">
                  <c:v>0.59449257149465551</c:v>
                </c:pt>
                <c:pt idx="166" formatCode="0.0000">
                  <c:v>0.59125996558765193</c:v>
                </c:pt>
                <c:pt idx="167" formatCode="0.0000">
                  <c:v>0.55248419792142245</c:v>
                </c:pt>
                <c:pt idx="168" formatCode="0.0000">
                  <c:v>0.50710812538139449</c:v>
                </c:pt>
                <c:pt idx="169" formatCode="0.0000">
                  <c:v>0.4954852466233351</c:v>
                </c:pt>
                <c:pt idx="170" formatCode="0.0000">
                  <c:v>0.4895035815835399</c:v>
                </c:pt>
                <c:pt idx="171" formatCode="0.0000">
                  <c:v>0.48449793408419722</c:v>
                </c:pt>
                <c:pt idx="172" formatCode="0.0000">
                  <c:v>0.47969378510636212</c:v>
                </c:pt>
                <c:pt idx="173" formatCode="0.0000">
                  <c:v>0.47496222419302953</c:v>
                </c:pt>
                <c:pt idx="174" formatCode="0.0000">
                  <c:v>0.47028147464084724</c:v>
                </c:pt>
                <c:pt idx="175" formatCode="0.0000">
                  <c:v>0.46564754092938537</c:v>
                </c:pt>
                <c:pt idx="176" formatCode="0.0000">
                  <c:v>0.46105938184611456</c:v>
                </c:pt>
                <c:pt idx="177" formatCode="0.0000">
                  <c:v>0.45651645013211151</c:v>
                </c:pt>
                <c:pt idx="178" formatCode="0.0000">
                  <c:v>0.45201828418318052</c:v>
                </c:pt>
                <c:pt idx="179" formatCode="0.0000">
                  <c:v>0.44756444026187908</c:v>
                </c:pt>
                <c:pt idx="180" formatCode="0.0000">
                  <c:v>0.44315448121303158</c:v>
                </c:pt>
                <c:pt idx="181" formatCode="0.0000">
                  <c:v>0.43878797455557778</c:v>
                </c:pt>
                <c:pt idx="182" formatCode="0.0000">
                  <c:v>0.43446449213064936</c:v>
                </c:pt>
                <c:pt idx="183" formatCode="0.0000">
                  <c:v>0.43018361000822664</c:v>
                </c:pt>
                <c:pt idx="184" formatCode="0.0000">
                  <c:v>0.42594490843704919</c:v>
                </c:pt>
                <c:pt idx="185" formatCode="0.0000">
                  <c:v>0.42174797180204376</c:v>
                </c:pt>
                <c:pt idx="186" formatCode="0.0000">
                  <c:v>0.41759238858333714</c:v>
                </c:pt>
                <c:pt idx="187" formatCode="0.0000">
                  <c:v>0.4134777513158675</c:v>
                </c:pt>
                <c:pt idx="188" formatCode="0.0000">
                  <c:v>0.40940365654942462</c:v>
                </c:pt>
                <c:pt idx="189" formatCode="0.0000">
                  <c:v>0.40536970480908929</c:v>
                </c:pt>
                <c:pt idx="190" formatCode="0.0000">
                  <c:v>0.40137550055606397</c:v>
                </c:pt>
                <c:pt idx="191" formatCode="0.0000">
                  <c:v>0.39742065214888905</c:v>
                </c:pt>
                <c:pt idx="192" formatCode="0.0000">
                  <c:v>0.39350477180504145</c:v>
                </c:pt>
                <c:pt idx="193" formatCode="0.0000">
                  <c:v>0.38962747556291188</c:v>
                </c:pt>
                <c:pt idx="194" formatCode="0.0000">
                  <c:v>0.38578838324415599</c:v>
                </c:pt>
                <c:pt idx="195" formatCode="0.0000">
                  <c:v>0.41703561743642437</c:v>
                </c:pt>
                <c:pt idx="196" formatCode="0.0000">
                  <c:v>0.38403912761812309</c:v>
                </c:pt>
                <c:pt idx="197" formatCode="0.0000">
                  <c:v>0.37546163971138585</c:v>
                </c:pt>
                <c:pt idx="198" formatCode="0.0000">
                  <c:v>0.37096671777271728</c:v>
                </c:pt>
                <c:pt idx="199" formatCode="0.0000">
                  <c:v>0.3671795070998759</c:v>
                </c:pt>
                <c:pt idx="200" formatCode="0.0000">
                  <c:v>0.36353969848213602</c:v>
                </c:pt>
                <c:pt idx="201" formatCode="0.0000">
                  <c:v>0.35995402099356821</c:v>
                </c:pt>
                <c:pt idx="202" formatCode="0.0000">
                  <c:v>0.35640670523607881</c:v>
                </c:pt>
                <c:pt idx="203" formatCode="0.0000">
                  <c:v>0.35289484501131235</c:v>
                </c:pt>
                <c:pt idx="204" formatCode="0.0000">
                  <c:v>0.35078021828840039</c:v>
                </c:pt>
                <c:pt idx="205" formatCode="0.0000">
                  <c:v>0.35840491493489901</c:v>
                </c:pt>
                <c:pt idx="206" formatCode="0.0000">
                  <c:v>0.51330077160438381</c:v>
                </c:pt>
                <c:pt idx="207" formatCode="0.0000">
                  <c:v>0.78201074700496942</c:v>
                </c:pt>
                <c:pt idx="208" formatCode="0.0000">
                  <c:v>0.60043660822967337</c:v>
                </c:pt>
                <c:pt idx="209" formatCode="0.0000">
                  <c:v>0.54408225368341878</c:v>
                </c:pt>
                <c:pt idx="210" formatCode="0.0000">
                  <c:v>0.48846136768044413</c:v>
                </c:pt>
                <c:pt idx="211" formatCode="0.0000">
                  <c:v>0.43443373403949542</c:v>
                </c:pt>
                <c:pt idx="212" formatCode="0.0000">
                  <c:v>0.38321196099461508</c:v>
                </c:pt>
                <c:pt idx="213" formatCode="0.0000">
                  <c:v>0.33353739493892604</c:v>
                </c:pt>
                <c:pt idx="214" formatCode="0.0000">
                  <c:v>0.31878439028380906</c:v>
                </c:pt>
                <c:pt idx="215" formatCode="0.0000">
                  <c:v>0.31374060935815301</c:v>
                </c:pt>
                <c:pt idx="216" formatCode="0.0000">
                  <c:v>0.31033351763699285</c:v>
                </c:pt>
                <c:pt idx="217" formatCode="0.0000">
                  <c:v>0.30722333636713406</c:v>
                </c:pt>
                <c:pt idx="218" formatCode="0.0000">
                  <c:v>0.3041874980548025</c:v>
                </c:pt>
                <c:pt idx="219" formatCode="0.0000">
                  <c:v>0.30391391728589612</c:v>
                </c:pt>
                <c:pt idx="220" formatCode="0.0000">
                  <c:v>0.29867309104837808</c:v>
                </c:pt>
                <c:pt idx="221" formatCode="0.0000">
                  <c:v>0.29535745282363318</c:v>
                </c:pt>
                <c:pt idx="222" formatCode="0.0000">
                  <c:v>0.29238537419916277</c:v>
                </c:pt>
                <c:pt idx="223" formatCode="0.0000">
                  <c:v>0.33354651850305106</c:v>
                </c:pt>
                <c:pt idx="224" formatCode="0.0000">
                  <c:v>0.29394989534060656</c:v>
                </c:pt>
                <c:pt idx="225" formatCode="0.0000">
                  <c:v>0.28911601120256508</c:v>
                </c:pt>
                <c:pt idx="226" formatCode="0.0000">
                  <c:v>0.2818984123294131</c:v>
                </c:pt>
                <c:pt idx="227" formatCode="0.0000">
                  <c:v>0.27839584588825894</c:v>
                </c:pt>
                <c:pt idx="228" formatCode="0.0000">
                  <c:v>0.27553244906452429</c:v>
                </c:pt>
                <c:pt idx="229" formatCode="0.0000">
                  <c:v>0.27279760069981784</c:v>
                </c:pt>
                <c:pt idx="230" formatCode="0.0000">
                  <c:v>0.2714688954668924</c:v>
                </c:pt>
                <c:pt idx="231" formatCode="0.0000">
                  <c:v>0.267670472820001</c:v>
                </c:pt>
                <c:pt idx="232" formatCode="0.0000">
                  <c:v>0.26484660999286519</c:v>
                </c:pt>
                <c:pt idx="233" formatCode="0.0000">
                  <c:v>0.26220607577790028</c:v>
                </c:pt>
                <c:pt idx="234" formatCode="0.0000">
                  <c:v>0.31886495502571732</c:v>
                </c:pt>
                <c:pt idx="235" formatCode="0.0000">
                  <c:v>0.26688976751659654</c:v>
                </c:pt>
                <c:pt idx="236" formatCode="0.0000">
                  <c:v>0.25615681470353535</c:v>
                </c:pt>
                <c:pt idx="237" formatCode="0.0000">
                  <c:v>0.25228822129279116</c:v>
                </c:pt>
                <c:pt idx="238" formatCode="0.0000">
                  <c:v>0.24957924416696797</c:v>
                </c:pt>
                <c:pt idx="239" formatCode="0.0000">
                  <c:v>0.24708305651769771</c:v>
                </c:pt>
                <c:pt idx="240" formatCode="0.0000">
                  <c:v>0.24464234469929813</c:v>
                </c:pt>
                <c:pt idx="241" formatCode="0.0000">
                  <c:v>0.24223080595929891</c:v>
                </c:pt>
                <c:pt idx="242" formatCode="0.0000">
                  <c:v>0.23984387896977222</c:v>
                </c:pt>
                <c:pt idx="243" formatCode="0.0000">
                  <c:v>0.23748061203354714</c:v>
                </c:pt>
                <c:pt idx="244" formatCode="0.0000">
                  <c:v>0.23514065434181072</c:v>
                </c:pt>
                <c:pt idx="245" formatCode="0.0000">
                  <c:v>0.23282375669552649</c:v>
                </c:pt>
                <c:pt idx="246" formatCode="0.0000">
                  <c:v>0.23052968863825254</c:v>
                </c:pt>
                <c:pt idx="247" formatCode="0.0000">
                  <c:v>0.22825822468692375</c:v>
                </c:pt>
                <c:pt idx="248" formatCode="0.0000">
                  <c:v>0.22600914202867867</c:v>
                </c:pt>
                <c:pt idx="249" formatCode="0.0000">
                  <c:v>0.2237822201205005</c:v>
                </c:pt>
                <c:pt idx="250" formatCode="0.0000">
                  <c:v>0.22157724060478379</c:v>
                </c:pt>
                <c:pt idx="251" formatCode="0.0000">
                  <c:v>0.21939398727750178</c:v>
                </c:pt>
                <c:pt idx="252" formatCode="0.0000">
                  <c:v>0.21723224606527733</c:v>
                </c:pt>
                <c:pt idx="253" formatCode="0.0000">
                  <c:v>0.21509180500410577</c:v>
                </c:pt>
                <c:pt idx="254" formatCode="0.0000">
                  <c:v>0.21297245421852362</c:v>
                </c:pt>
                <c:pt idx="255" formatCode="0.0000">
                  <c:v>0.21087398590102191</c:v>
                </c:pt>
                <c:pt idx="256" formatCode="0.0000">
                  <c:v>0.20879619429166885</c:v>
                </c:pt>
                <c:pt idx="257" formatCode="0.0000">
                  <c:v>0.20673887565793417</c:v>
                </c:pt>
                <c:pt idx="258" formatCode="0.0000">
                  <c:v>0.20470182827471275</c:v>
                </c:pt>
                <c:pt idx="259" formatCode="0.0000">
                  <c:v>0.20268485240454515</c:v>
                </c:pt>
                <c:pt idx="260" formatCode="0.0000">
                  <c:v>0.20068775027803246</c:v>
                </c:pt>
                <c:pt idx="261" formatCode="0.0000">
                  <c:v>0.19871032607444497</c:v>
                </c:pt>
                <c:pt idx="262" formatCode="0.0000">
                  <c:v>0.19675238590252114</c:v>
                </c:pt>
                <c:pt idx="263" formatCode="0.0000">
                  <c:v>0.19822010488897174</c:v>
                </c:pt>
                <c:pt idx="264" formatCode="0.0000">
                  <c:v>0.19345943167486976</c:v>
                </c:pt>
                <c:pt idx="265" formatCode="0.0000">
                  <c:v>0.19108735306753055</c:v>
                </c:pt>
                <c:pt idx="266" formatCode="0.0000">
                  <c:v>0.18912721798690046</c:v>
                </c:pt>
                <c:pt idx="267" formatCode="0.0000">
                  <c:v>0.1872508746079827</c:v>
                </c:pt>
                <c:pt idx="268" formatCode="0.0000">
                  <c:v>0.18540371853386914</c:v>
                </c:pt>
                <c:pt idx="269" formatCode="0.0000">
                  <c:v>0.18357653832221194</c:v>
                </c:pt>
                <c:pt idx="270" formatCode="0.0000">
                  <c:v>0.18176765635469372</c:v>
                </c:pt>
                <c:pt idx="271" formatCode="0.0000">
                  <c:v>0.17997664661726989</c:v>
                </c:pt>
                <c:pt idx="272" formatCode="0.0000">
                  <c:v>0.19182876066727086</c:v>
                </c:pt>
                <c:pt idx="273" formatCode="0.0000">
                  <c:v>0.28660200711152017</c:v>
                </c:pt>
                <c:pt idx="274" formatCode="0.0000">
                  <c:v>0.20601478682687535</c:v>
                </c:pt>
                <c:pt idx="275" formatCode="0.0000">
                  <c:v>0.1781821811739594</c:v>
                </c:pt>
                <c:pt idx="276" formatCode="0.0000">
                  <c:v>0.17214490556871903</c:v>
                </c:pt>
                <c:pt idx="277" formatCode="0.0000">
                  <c:v>0.16973824714044936</c:v>
                </c:pt>
                <c:pt idx="278" formatCode="0.0000">
                  <c:v>0.16794788236994776</c:v>
                </c:pt>
                <c:pt idx="279" formatCode="0.0000">
                  <c:v>0.16627348908606099</c:v>
                </c:pt>
                <c:pt idx="280" formatCode="0.0000">
                  <c:v>0.16463191061614743</c:v>
                </c:pt>
                <c:pt idx="281" formatCode="0.0000">
                  <c:v>0.16300921452960582</c:v>
                </c:pt>
                <c:pt idx="282" formatCode="0.0000">
                  <c:v>0.16140295652998288</c:v>
                </c:pt>
                <c:pt idx="283" formatCode="0.0000">
                  <c:v>0.1598125999242016</c:v>
                </c:pt>
                <c:pt idx="284" formatCode="0.0000">
                  <c:v>0.15823792585160135</c:v>
                </c:pt>
                <c:pt idx="285" formatCode="0.0000">
                  <c:v>0.1566787694704535</c:v>
                </c:pt>
                <c:pt idx="286" formatCode="0.0000">
                  <c:v>0.1551349761691182</c:v>
                </c:pt>
                <c:pt idx="287" formatCode="0.0000">
                  <c:v>0.15360639428740619</c:v>
                </c:pt>
                <c:pt idx="288" formatCode="0.0000">
                  <c:v>0.18573423851794335</c:v>
                </c:pt>
                <c:pt idx="289" formatCode="0.0000">
                  <c:v>0.15822041139374701</c:v>
                </c:pt>
                <c:pt idx="290" formatCode="0.0000">
                  <c:v>0.39050690964565848</c:v>
                </c:pt>
                <c:pt idx="291" formatCode="0.0000">
                  <c:v>0.33574109083754278</c:v>
                </c:pt>
                <c:pt idx="292" formatCode="0.0000">
                  <c:v>3.8340067967060687</c:v>
                </c:pt>
                <c:pt idx="293" formatCode="0.0000">
                  <c:v>0.88777808205994668</c:v>
                </c:pt>
                <c:pt idx="294" formatCode="0.0000">
                  <c:v>2.1597244928581425</c:v>
                </c:pt>
                <c:pt idx="295" formatCode="0.0000">
                  <c:v>1.0703333332146081</c:v>
                </c:pt>
                <c:pt idx="296" formatCode="0.0000">
                  <c:v>0.96626062874889107</c:v>
                </c:pt>
                <c:pt idx="297" formatCode="0.0000">
                  <c:v>1.4325255216894952</c:v>
                </c:pt>
                <c:pt idx="298" formatCode="0.0000">
                  <c:v>1.1515019126225119</c:v>
                </c:pt>
                <c:pt idx="299" formatCode="0.0000">
                  <c:v>1.0439260795458627</c:v>
                </c:pt>
                <c:pt idx="300" formatCode="0.0000">
                  <c:v>1.024435280827217</c:v>
                </c:pt>
                <c:pt idx="301" formatCode="0.0000">
                  <c:v>1.0284913336719399</c:v>
                </c:pt>
                <c:pt idx="302" formatCode="0.0000">
                  <c:v>0.98956408029643306</c:v>
                </c:pt>
                <c:pt idx="303" formatCode="0.0000">
                  <c:v>1.1476447240356507</c:v>
                </c:pt>
                <c:pt idx="304" formatCode="0.0000">
                  <c:v>1.0388274692142905</c:v>
                </c:pt>
                <c:pt idx="305" formatCode="0.0000">
                  <c:v>0.94349469920268014</c:v>
                </c:pt>
                <c:pt idx="306" formatCode="0.0000">
                  <c:v>0.88664600789181891</c:v>
                </c:pt>
                <c:pt idx="307" formatCode="0.0000">
                  <c:v>0.78416273897606581</c:v>
                </c:pt>
                <c:pt idx="308" formatCode="0.0000">
                  <c:v>0.77242484412846735</c:v>
                </c:pt>
                <c:pt idx="309" formatCode="0.0000">
                  <c:v>0.67468945252139179</c:v>
                </c:pt>
                <c:pt idx="310" formatCode="0.0000">
                  <c:v>0.5944200785519318</c:v>
                </c:pt>
                <c:pt idx="311" formatCode="0.0000">
                  <c:v>0.57795525903080303</c:v>
                </c:pt>
                <c:pt idx="312" formatCode="0.0000">
                  <c:v>0.48641376698729039</c:v>
                </c:pt>
                <c:pt idx="313" formatCode="0.0000">
                  <c:v>0.48761253850340447</c:v>
                </c:pt>
                <c:pt idx="314" formatCode="0.0000">
                  <c:v>0.43553622142772758</c:v>
                </c:pt>
                <c:pt idx="315" formatCode="0.0000">
                  <c:v>0.35200640413455375</c:v>
                </c:pt>
                <c:pt idx="316" formatCode="0.0000">
                  <c:v>0.33634905458649972</c:v>
                </c:pt>
                <c:pt idx="317" formatCode="0.0000">
                  <c:v>0.25302588324470221</c:v>
                </c:pt>
                <c:pt idx="318" formatCode="0.0000">
                  <c:v>0.18533412260816434</c:v>
                </c:pt>
                <c:pt idx="319" formatCode="0.0000">
                  <c:v>0.12389321032451006</c:v>
                </c:pt>
                <c:pt idx="320" formatCode="0.0000">
                  <c:v>0.11278020475963134</c:v>
                </c:pt>
                <c:pt idx="321" formatCode="0.0000">
                  <c:v>0.11002746985232927</c:v>
                </c:pt>
                <c:pt idx="322" formatCode="0.0000">
                  <c:v>0.12502152315839118</c:v>
                </c:pt>
                <c:pt idx="323" formatCode="0.0000">
                  <c:v>0.11435579490248231</c:v>
                </c:pt>
                <c:pt idx="324" formatCode="0.0000">
                  <c:v>1.6308515546246409</c:v>
                </c:pt>
                <c:pt idx="325" formatCode="0.0000">
                  <c:v>1.1130023217989466</c:v>
                </c:pt>
                <c:pt idx="326" formatCode="0.0000">
                  <c:v>0.59780083419189167</c:v>
                </c:pt>
                <c:pt idx="327" formatCode="0.0000">
                  <c:v>0.52306929776072952</c:v>
                </c:pt>
                <c:pt idx="328" formatCode="0.0000">
                  <c:v>0.56038457940056863</c:v>
                </c:pt>
                <c:pt idx="329" formatCode="0.0000">
                  <c:v>2.088389906478973</c:v>
                </c:pt>
                <c:pt idx="330" formatCode="0.0000">
                  <c:v>1.1578999225028352</c:v>
                </c:pt>
                <c:pt idx="331" formatCode="0.0000">
                  <c:v>0.91024324452725525</c:v>
                </c:pt>
                <c:pt idx="332" formatCode="0.0000">
                  <c:v>0.80476773605185459</c:v>
                </c:pt>
                <c:pt idx="333" formatCode="0.0000">
                  <c:v>0.70484430662660791</c:v>
                </c:pt>
                <c:pt idx="334" formatCode="0.0000">
                  <c:v>1.0628615239856649</c:v>
                </c:pt>
                <c:pt idx="335" formatCode="0.0000">
                  <c:v>2.1781002236388671</c:v>
                </c:pt>
                <c:pt idx="336" formatCode="0.0000">
                  <c:v>1.0532292452520771</c:v>
                </c:pt>
                <c:pt idx="337" formatCode="0.0000">
                  <c:v>0.94303088090978027</c:v>
                </c:pt>
                <c:pt idx="338" formatCode="0.0000">
                  <c:v>0.83855257634354752</c:v>
                </c:pt>
                <c:pt idx="339" formatCode="0.0000">
                  <c:v>0.73929264666166794</c:v>
                </c:pt>
                <c:pt idx="340" formatCode="0.0000">
                  <c:v>0.64484459318533982</c:v>
                </c:pt>
                <c:pt idx="341" formatCode="0.0000">
                  <c:v>0.55335894684209086</c:v>
                </c:pt>
                <c:pt idx="342" formatCode="0.0000">
                  <c:v>0.46304919735749034</c:v>
                </c:pt>
                <c:pt idx="343" formatCode="0.0000">
                  <c:v>0.37586906487517968</c:v>
                </c:pt>
                <c:pt idx="344" formatCode="0.0000">
                  <c:v>0.29163597790268136</c:v>
                </c:pt>
                <c:pt idx="345" formatCode="0.0000">
                  <c:v>0.20971355752659146</c:v>
                </c:pt>
                <c:pt idx="346" formatCode="0.0000">
                  <c:v>0.1345032560711176</c:v>
                </c:pt>
                <c:pt idx="347" formatCode="0.0000">
                  <c:v>9.2905553274510916E-2</c:v>
                </c:pt>
                <c:pt idx="348" formatCode="0.0000">
                  <c:v>8.5307476827766016E-2</c:v>
                </c:pt>
                <c:pt idx="349" formatCode="0.0000">
                  <c:v>8.3358026552086142E-2</c:v>
                </c:pt>
                <c:pt idx="350" formatCode="0.0000">
                  <c:v>8.2352674032313791E-2</c:v>
                </c:pt>
                <c:pt idx="351" formatCode="0.0000">
                  <c:v>8.1510700235106384E-2</c:v>
                </c:pt>
                <c:pt idx="352" formatCode="0.0000">
                  <c:v>0.15221293023193921</c:v>
                </c:pt>
                <c:pt idx="353" formatCode="0.0000">
                  <c:v>9.4029247885892037E-2</c:v>
                </c:pt>
                <c:pt idx="354" formatCode="0.0000">
                  <c:v>8.1462473057871673E-2</c:v>
                </c:pt>
                <c:pt idx="355" formatCode="0.0000">
                  <c:v>0.51493482607767005</c:v>
                </c:pt>
                <c:pt idx="356" formatCode="0.0000">
                  <c:v>0.25065755856110916</c:v>
                </c:pt>
                <c:pt idx="357" formatCode="0.0000">
                  <c:v>0.19217484318141448</c:v>
                </c:pt>
                <c:pt idx="358" formatCode="0.0000">
                  <c:v>2.7540371030225859</c:v>
                </c:pt>
                <c:pt idx="359" formatCode="0.0000">
                  <c:v>0.53551175435553189</c:v>
                </c:pt>
                <c:pt idx="360" formatCode="0.0000">
                  <c:v>0.44545359753754354</c:v>
                </c:pt>
                <c:pt idx="361" formatCode="0.0000">
                  <c:v>2.1843047364001626</c:v>
                </c:pt>
                <c:pt idx="362" formatCode="0.0000">
                  <c:v>0.77473021515612561</c:v>
                </c:pt>
                <c:pt idx="363" formatCode="0.0000">
                  <c:v>0.67639315005762513</c:v>
                </c:pt>
                <c:pt idx="364" formatCode="0.0000">
                  <c:v>5.2872146561170554</c:v>
                </c:pt>
                <c:pt idx="365" formatCode="0.0000">
                  <c:v>1.2382839391505354</c:v>
                </c:pt>
                <c:pt idx="366" formatCode="0.0000">
                  <c:v>1.2174482405924141</c:v>
                </c:pt>
                <c:pt idx="367" formatCode="0.0000">
                  <c:v>1.3498628437075286</c:v>
                </c:pt>
                <c:pt idx="368" formatCode="0.0000">
                  <c:v>1.2641644113190702</c:v>
                </c:pt>
                <c:pt idx="369" formatCode="0.0000">
                  <c:v>1.272735597865525</c:v>
                </c:pt>
                <c:pt idx="370" formatCode="0.0000">
                  <c:v>1.2441724444320688</c:v>
                </c:pt>
                <c:pt idx="371" formatCode="0.0000">
                  <c:v>4.4268042260306348</c:v>
                </c:pt>
                <c:pt idx="372" formatCode="0.0000">
                  <c:v>1.3082047545270306</c:v>
                </c:pt>
                <c:pt idx="373" formatCode="0.0000">
                  <c:v>3.1302113529085061</c:v>
                </c:pt>
                <c:pt idx="374" formatCode="0.0000">
                  <c:v>1.4333133682709001</c:v>
                </c:pt>
                <c:pt idx="375" formatCode="0.0000">
                  <c:v>1.9627495195022959</c:v>
                </c:pt>
                <c:pt idx="376" formatCode="0.0000">
                  <c:v>3.7207641236015485</c:v>
                </c:pt>
                <c:pt idx="377" formatCode="0.0000">
                  <c:v>1.5302740262128074</c:v>
                </c:pt>
                <c:pt idx="378" formatCode="0.0000">
                  <c:v>1.4149119717564635</c:v>
                </c:pt>
                <c:pt idx="379" formatCode="0.0000">
                  <c:v>1.3035259357310227</c:v>
                </c:pt>
                <c:pt idx="380" formatCode="0.0000">
                  <c:v>1.1991584429314495</c:v>
                </c:pt>
                <c:pt idx="381" formatCode="0.0000">
                  <c:v>1.1950003327119476</c:v>
                </c:pt>
                <c:pt idx="382" formatCode="0.0000">
                  <c:v>3.8868387339344466</c:v>
                </c:pt>
                <c:pt idx="383" formatCode="0.0000">
                  <c:v>1.5104212901406047</c:v>
                </c:pt>
                <c:pt idx="384" formatCode="0.0000">
                  <c:v>1.409473201497097</c:v>
                </c:pt>
                <c:pt idx="385" formatCode="0.0000">
                  <c:v>1.3153497727051009</c:v>
                </c:pt>
                <c:pt idx="386" formatCode="0.0000">
                  <c:v>1.2068458748246991</c:v>
                </c:pt>
                <c:pt idx="387" formatCode="0.0000">
                  <c:v>1.7311911808129177</c:v>
                </c:pt>
                <c:pt idx="388" formatCode="0.0000">
                  <c:v>1.3679195603944003</c:v>
                </c:pt>
                <c:pt idx="389" formatCode="0.0000">
                  <c:v>1.7548953927659872</c:v>
                </c:pt>
                <c:pt idx="390" formatCode="0.0000">
                  <c:v>1.5965639279982606</c:v>
                </c:pt>
                <c:pt idx="391" formatCode="0.0000">
                  <c:v>1.6777783014031995</c:v>
                </c:pt>
                <c:pt idx="392" formatCode="0.0000">
                  <c:v>1.4779699070259484</c:v>
                </c:pt>
                <c:pt idx="393" formatCode="0.0000">
                  <c:v>4.5882842453196888</c:v>
                </c:pt>
                <c:pt idx="394" formatCode="0.0000">
                  <c:v>1.6572317054735581</c:v>
                </c:pt>
                <c:pt idx="395" formatCode="0.0000">
                  <c:v>1.540153542843415</c:v>
                </c:pt>
                <c:pt idx="396" formatCode="0.0000">
                  <c:v>1.5648020525737827</c:v>
                </c:pt>
                <c:pt idx="397" formatCode="0.0000">
                  <c:v>1.4514971009384259</c:v>
                </c:pt>
                <c:pt idx="398" formatCode="0.0000">
                  <c:v>1.3408240929257431</c:v>
                </c:pt>
                <c:pt idx="399" formatCode="0.0000">
                  <c:v>1.2951007272955923</c:v>
                </c:pt>
                <c:pt idx="400" formatCode="0.0000">
                  <c:v>1.398384556356925</c:v>
                </c:pt>
                <c:pt idx="401" formatCode="0.0000">
                  <c:v>1.364469991708988</c:v>
                </c:pt>
                <c:pt idx="402" formatCode="0.0000">
                  <c:v>1.3037963206709979</c:v>
                </c:pt>
                <c:pt idx="403" formatCode="0.0000">
                  <c:v>1.2706062180090361</c:v>
                </c:pt>
                <c:pt idx="404" formatCode="0.0000">
                  <c:v>1.1624636306981952</c:v>
                </c:pt>
                <c:pt idx="405" formatCode="0.0000">
                  <c:v>1.1727115287574779</c:v>
                </c:pt>
                <c:pt idx="406" formatCode="0.0000">
                  <c:v>1.0671583277404086</c:v>
                </c:pt>
                <c:pt idx="407" formatCode="0.0000">
                  <c:v>0.96399356996253371</c:v>
                </c:pt>
                <c:pt idx="408" formatCode="0.0000">
                  <c:v>2.4594877401584454</c:v>
                </c:pt>
                <c:pt idx="409" formatCode="0.0000">
                  <c:v>1.1760431600311811</c:v>
                </c:pt>
                <c:pt idx="410" formatCode="0.0000">
                  <c:v>1.1424717912225273</c:v>
                </c:pt>
                <c:pt idx="411" formatCode="0.0000">
                  <c:v>5.2481897038060925</c:v>
                </c:pt>
                <c:pt idx="412" formatCode="0.0000">
                  <c:v>1.5122886923568097</c:v>
                </c:pt>
                <c:pt idx="413" formatCode="0.0000">
                  <c:v>1.4617632259946118</c:v>
                </c:pt>
                <c:pt idx="414" formatCode="0.0000">
                  <c:v>1.3741648474211998</c:v>
                </c:pt>
                <c:pt idx="415" formatCode="0.0000">
                  <c:v>1.2636365825343776</c:v>
                </c:pt>
                <c:pt idx="416" formatCode="0.0000">
                  <c:v>1.2142273209286203</c:v>
                </c:pt>
                <c:pt idx="417" formatCode="0.0000">
                  <c:v>4.0041926644114705</c:v>
                </c:pt>
                <c:pt idx="418" formatCode="0.0000">
                  <c:v>1.541426568056508</c:v>
                </c:pt>
                <c:pt idx="419" formatCode="0.0000">
                  <c:v>2.6157546329110741</c:v>
                </c:pt>
                <c:pt idx="420" formatCode="0.0000">
                  <c:v>1.5387420644561185</c:v>
                </c:pt>
                <c:pt idx="421" formatCode="0.0000">
                  <c:v>6.2238332160422258</c:v>
                </c:pt>
                <c:pt idx="422" formatCode="0.0000">
                  <c:v>2.7319548617276044</c:v>
                </c:pt>
                <c:pt idx="423" formatCode="0.0000">
                  <c:v>2.0127528816919891</c:v>
                </c:pt>
                <c:pt idx="424" formatCode="0.0000">
                  <c:v>8.0210722200873033</c:v>
                </c:pt>
                <c:pt idx="425" formatCode="0.0000">
                  <c:v>2.4629964778208384</c:v>
                </c:pt>
                <c:pt idx="426" formatCode="0.0000">
                  <c:v>1.9926677523432998</c:v>
                </c:pt>
                <c:pt idx="427" formatCode="0.0000">
                  <c:v>1.8734174324641581</c:v>
                </c:pt>
                <c:pt idx="428" formatCode="0.0000">
                  <c:v>1.7992639877193477</c:v>
                </c:pt>
                <c:pt idx="429" formatCode="0.0000">
                  <c:v>1.7013996780994751</c:v>
                </c:pt>
                <c:pt idx="430" formatCode="0.0000">
                  <c:v>1.593093184584141</c:v>
                </c:pt>
                <c:pt idx="431" formatCode="0.0000">
                  <c:v>1.6048168329435024</c:v>
                </c:pt>
                <c:pt idx="432" formatCode="0.0000">
                  <c:v>1.5002614277719444</c:v>
                </c:pt>
                <c:pt idx="433" formatCode="0.0000">
                  <c:v>1.4865938531803748</c:v>
                </c:pt>
                <c:pt idx="434" formatCode="0.0000">
                  <c:v>1.3861071171567092</c:v>
                </c:pt>
                <c:pt idx="435" formatCode="0.0000">
                  <c:v>1.5476666242044625</c:v>
                </c:pt>
                <c:pt idx="436" formatCode="0.0000">
                  <c:v>1.3873017090618456</c:v>
                </c:pt>
                <c:pt idx="437" formatCode="0.0000">
                  <c:v>10.925654140199494</c:v>
                </c:pt>
                <c:pt idx="438" formatCode="0.0000">
                  <c:v>2.0022449601372356</c:v>
                </c:pt>
                <c:pt idx="439" formatCode="0.0000">
                  <c:v>3.1806010583674862</c:v>
                </c:pt>
                <c:pt idx="440" formatCode="0.0000">
                  <c:v>2.1494168061299725</c:v>
                </c:pt>
                <c:pt idx="441" formatCode="0.0000">
                  <c:v>5.2653997248670183</c:v>
                </c:pt>
                <c:pt idx="442" formatCode="0.0000">
                  <c:v>2.5770297849294757</c:v>
                </c:pt>
                <c:pt idx="443" formatCode="0.0000">
                  <c:v>2.267635919622685</c:v>
                </c:pt>
                <c:pt idx="444" formatCode="0.0000">
                  <c:v>2.3313266091391887</c:v>
                </c:pt>
                <c:pt idx="445" formatCode="0.0000">
                  <c:v>4.8469553716714842</c:v>
                </c:pt>
                <c:pt idx="446" formatCode="0.0000">
                  <c:v>2.281193493044853</c:v>
                </c:pt>
                <c:pt idx="447" formatCode="0.0000">
                  <c:v>2.238211883439237</c:v>
                </c:pt>
                <c:pt idx="448" formatCode="0.0000">
                  <c:v>2.127647291447246</c:v>
                </c:pt>
                <c:pt idx="449" formatCode="0.0000">
                  <c:v>2.1378267393832271</c:v>
                </c:pt>
                <c:pt idx="450" formatCode="0.0000">
                  <c:v>2.0272510342169747</c:v>
                </c:pt>
                <c:pt idx="451" formatCode="0.0000">
                  <c:v>1.9780212311591701</c:v>
                </c:pt>
                <c:pt idx="452" formatCode="0.0000">
                  <c:v>1.9530449793283979</c:v>
                </c:pt>
                <c:pt idx="453" formatCode="0.0000">
                  <c:v>1.8486444106292974</c:v>
                </c:pt>
                <c:pt idx="454" formatCode="0.0000">
                  <c:v>1.7449023106737185</c:v>
                </c:pt>
                <c:pt idx="455" formatCode="0.0000">
                  <c:v>1.6462225974367553</c:v>
                </c:pt>
                <c:pt idx="456" formatCode="0.0000">
                  <c:v>1.5500607500484915</c:v>
                </c:pt>
                <c:pt idx="457" formatCode="0.0000">
                  <c:v>2.6317929846422192</c:v>
                </c:pt>
                <c:pt idx="458" formatCode="0.0000">
                  <c:v>1.7286288018637752</c:v>
                </c:pt>
                <c:pt idx="459" formatCode="0.0000">
                  <c:v>1.689999688601064</c:v>
                </c:pt>
                <c:pt idx="460" formatCode="0.0000">
                  <c:v>1.5925974617576997</c:v>
                </c:pt>
                <c:pt idx="461" formatCode="0.0000">
                  <c:v>1.4985392255809915</c:v>
                </c:pt>
                <c:pt idx="462" formatCode="0.0000">
                  <c:v>1.4068973514711225</c:v>
                </c:pt>
                <c:pt idx="463" formatCode="0.0000">
                  <c:v>1.3364025540821776</c:v>
                </c:pt>
                <c:pt idx="464" formatCode="0.0000">
                  <c:v>1.2521991273502813</c:v>
                </c:pt>
                <c:pt idx="465" formatCode="0.0000">
                  <c:v>1.1708420289095867</c:v>
                </c:pt>
                <c:pt idx="466" formatCode="0.0000">
                  <c:v>1.0951768625882874</c:v>
                </c:pt>
                <c:pt idx="467" formatCode="0.0000">
                  <c:v>1.0282833474303676</c:v>
                </c:pt>
                <c:pt idx="468" formatCode="0.0000">
                  <c:v>0.98200504663824417</c:v>
                </c:pt>
                <c:pt idx="469" formatCode="0.0000">
                  <c:v>0.96633111940860694</c:v>
                </c:pt>
                <c:pt idx="470" formatCode="0.0000">
                  <c:v>0.95581434302267443</c:v>
                </c:pt>
                <c:pt idx="471" formatCode="0.0000">
                  <c:v>0.9462313225876362</c:v>
                </c:pt>
                <c:pt idx="472" formatCode="0.0000">
                  <c:v>0.995370874661056</c:v>
                </c:pt>
                <c:pt idx="473" formatCode="0.0000">
                  <c:v>0.98869261348019555</c:v>
                </c:pt>
                <c:pt idx="474" formatCode="0.0000">
                  <c:v>0.92863364274424332</c:v>
                </c:pt>
                <c:pt idx="475" formatCode="0.0000">
                  <c:v>0.91113415163592837</c:v>
                </c:pt>
                <c:pt idx="476" formatCode="0.0000">
                  <c:v>0.90077105396385515</c:v>
                </c:pt>
                <c:pt idx="477" formatCode="0.0000">
                  <c:v>0.89166564144405147</c:v>
                </c:pt>
                <c:pt idx="478" formatCode="0.0000">
                  <c:v>0.88761061256007268</c:v>
                </c:pt>
                <c:pt idx="479" formatCode="0.0000">
                  <c:v>0.87833422197111577</c:v>
                </c:pt>
                <c:pt idx="480" formatCode="0.0000">
                  <c:v>0.86621894449822401</c:v>
                </c:pt>
                <c:pt idx="481" formatCode="0.0000">
                  <c:v>0.85710960364025446</c:v>
                </c:pt>
                <c:pt idx="482" formatCode="0.0000">
                  <c:v>0.85265664530141094</c:v>
                </c:pt>
                <c:pt idx="483" formatCode="0.0000">
                  <c:v>0.84087032761571956</c:v>
                </c:pt>
                <c:pt idx="484" formatCode="0.0000">
                  <c:v>0.83202335599787203</c:v>
                </c:pt>
                <c:pt idx="485" formatCode="0.0000">
                  <c:v>0.82373202924519262</c:v>
                </c:pt>
                <c:pt idx="486" formatCode="0.0000">
                  <c:v>2.1134661373369283</c:v>
                </c:pt>
                <c:pt idx="487" formatCode="0.0000">
                  <c:v>1.077982884245837</c:v>
                </c:pt>
                <c:pt idx="488" formatCode="0.0000">
                  <c:v>1.0066579527840951</c:v>
                </c:pt>
                <c:pt idx="489" formatCode="0.0000">
                  <c:v>0.93589080858924878</c:v>
                </c:pt>
                <c:pt idx="490" formatCode="0.0000">
                  <c:v>0.86915715631023138</c:v>
                </c:pt>
                <c:pt idx="491" formatCode="0.0000">
                  <c:v>0.80487330451753147</c:v>
                </c:pt>
                <c:pt idx="492" formatCode="0.0000">
                  <c:v>0.77330963907662897</c:v>
                </c:pt>
                <c:pt idx="493" formatCode="0.0000">
                  <c:v>0.76176845228406276</c:v>
                </c:pt>
                <c:pt idx="494" formatCode="0.0000">
                  <c:v>0.75361183324268477</c:v>
                </c:pt>
                <c:pt idx="495" formatCode="0.0000">
                  <c:v>0.74607833610130514</c:v>
                </c:pt>
                <c:pt idx="496" formatCode="0.0000">
                  <c:v>0.73870913070705657</c:v>
                </c:pt>
                <c:pt idx="497" formatCode="0.0000">
                  <c:v>0.73142748047370143</c:v>
                </c:pt>
                <c:pt idx="498" formatCode="0.0000">
                  <c:v>0.72422005793064848</c:v>
                </c:pt>
                <c:pt idx="499" formatCode="0.0000">
                  <c:v>0.71844661017982647</c:v>
                </c:pt>
                <c:pt idx="500" formatCode="0.0000">
                  <c:v>0.7102445457010097</c:v>
                </c:pt>
                <c:pt idx="501" formatCode="0.0000">
                  <c:v>0.70305998407150272</c:v>
                </c:pt>
                <c:pt idx="502" formatCode="0.0000">
                  <c:v>0.69610164386759243</c:v>
                </c:pt>
                <c:pt idx="503" formatCode="0.0000">
                  <c:v>0.68923765736860187</c:v>
                </c:pt>
                <c:pt idx="504" formatCode="0.0000">
                  <c:v>0.68244558311386239</c:v>
                </c:pt>
                <c:pt idx="505" formatCode="0.0000">
                  <c:v>0.6757211429505714</c:v>
                </c:pt>
                <c:pt idx="506" formatCode="0.0000">
                  <c:v>0.66906307814019683</c:v>
                </c:pt>
                <c:pt idx="507" formatCode="0.0000">
                  <c:v>0.66247063638255332</c:v>
                </c:pt>
                <c:pt idx="508" formatCode="0.0000">
                  <c:v>0.65594315476851861</c:v>
                </c:pt>
                <c:pt idx="509" formatCode="0.0000">
                  <c:v>0.64947999052397776</c:v>
                </c:pt>
                <c:pt idx="510" formatCode="0.0000">
                  <c:v>0.64308050946548834</c:v>
                </c:pt>
                <c:pt idx="511" formatCode="0.0000">
                  <c:v>0.63674408403293137</c:v>
                </c:pt>
                <c:pt idx="512" formatCode="0.0000">
                  <c:v>0.63047009291184053</c:v>
                </c:pt>
                <c:pt idx="513" formatCode="0.0000">
                  <c:v>0.62425792092002241</c:v>
                </c:pt>
                <c:pt idx="514" formatCode="0.0000">
                  <c:v>0.61810695893853129</c:v>
                </c:pt>
                <c:pt idx="515" formatCode="0.0000">
                  <c:v>0.61201660385050005</c:v>
                </c:pt>
                <c:pt idx="516" formatCode="0.0000">
                  <c:v>0.60598625848176269</c:v>
                </c:pt>
                <c:pt idx="517" formatCode="0.0000">
                  <c:v>0.60001533154226006</c:v>
                </c:pt>
                <c:pt idx="518" formatCode="0.0000">
                  <c:v>0.59410323756805639</c:v>
                </c:pt>
                <c:pt idx="519" formatCode="0.0000">
                  <c:v>0.58824939686393163</c:v>
                </c:pt>
                <c:pt idx="520" formatCode="0.0000">
                  <c:v>0.58245323544654093</c:v>
                </c:pt>
                <c:pt idx="521" formatCode="0.0000">
                  <c:v>0.57671418498813387</c:v>
                </c:pt>
                <c:pt idx="522" formatCode="0.0000">
                  <c:v>0.57103168276082883</c:v>
                </c:pt>
                <c:pt idx="523" formatCode="0.0000">
                  <c:v>1.6739364300687929</c:v>
                </c:pt>
                <c:pt idx="524" formatCode="0.0000">
                  <c:v>0.87830113658068731</c:v>
                </c:pt>
                <c:pt idx="525" formatCode="0.0000">
                  <c:v>0.81638993515393232</c:v>
                </c:pt>
                <c:pt idx="526" formatCode="0.0000">
                  <c:v>0.75953267828622983</c:v>
                </c:pt>
                <c:pt idx="527" formatCode="0.0000">
                  <c:v>0.70330483622559492</c:v>
                </c:pt>
                <c:pt idx="528" formatCode="0.0000">
                  <c:v>0.65003440266923551</c:v>
                </c:pt>
                <c:pt idx="529" formatCode="0.0000">
                  <c:v>0.5980645346594391</c:v>
                </c:pt>
                <c:pt idx="530" formatCode="0.0000">
                  <c:v>0.60791771390593041</c:v>
                </c:pt>
                <c:pt idx="531" formatCode="0.0000">
                  <c:v>0.60455282687312872</c:v>
                </c:pt>
                <c:pt idx="532" formatCode="0.0000">
                  <c:v>0.56564608147854056</c:v>
                </c:pt>
                <c:pt idx="533" formatCode="0.0000">
                  <c:v>0.52014032176490776</c:v>
                </c:pt>
                <c:pt idx="534" formatCode="0.0000">
                  <c:v>0.50838903367185417</c:v>
                </c:pt>
                <c:pt idx="535" formatCode="0.0000">
                  <c:v>0.50228022454482746</c:v>
                </c:pt>
                <c:pt idx="536" formatCode="0.0000">
                  <c:v>0.49714868573922794</c:v>
                </c:pt>
                <c:pt idx="537" formatCode="0.0000">
                  <c:v>0.49221988589216153</c:v>
                </c:pt>
                <c:pt idx="538" formatCode="0.0000">
                  <c:v>0.48736490232430157</c:v>
                </c:pt>
                <c:pt idx="539" formatCode="0.0000">
                  <c:v>0.48256194623040416</c:v>
                </c:pt>
                <c:pt idx="540" formatCode="0.0000">
                  <c:v>0.47780701010738991</c:v>
                </c:pt>
                <c:pt idx="541" formatCode="0.0000">
                  <c:v>0.47309904087814819</c:v>
                </c:pt>
                <c:pt idx="542" formatCode="0.0000">
                  <c:v>0.46843747953607906</c:v>
                </c:pt>
                <c:pt idx="543" formatCode="0.0000">
                  <c:v>0.46382185284506278</c:v>
                </c:pt>
                <c:pt idx="544" formatCode="0.0000">
                  <c:v>0.45925170555034489</c:v>
                </c:pt>
                <c:pt idx="545" formatCode="0.0000">
                  <c:v>0.45472658909292052</c:v>
                </c:pt>
                <c:pt idx="546" formatCode="0.0000">
                  <c:v>0.45024605970026482</c:v>
                </c:pt>
                <c:pt idx="547" formatCode="0.0000">
                  <c:v>0.44580967803330263</c:v>
                </c:pt>
                <c:pt idx="548" formatCode="0.0000">
                  <c:v>0.44141700909196846</c:v>
                </c:pt>
                <c:pt idx="549" formatCode="0.0000">
                  <c:v>0.43706762216403172</c:v>
                </c:pt>
                <c:pt idx="550" formatCode="0.0000">
                  <c:v>0.43276109078145036</c:v>
                </c:pt>
                <c:pt idx="551" formatCode="0.0000">
                  <c:v>0.42849699267831909</c:v>
                </c:pt>
                <c:pt idx="552" formatCode="0.0000">
                  <c:v>0.42427490974942733</c:v>
                </c:pt>
                <c:pt idx="553" formatCode="0.0000">
                  <c:v>0.42009442800925578</c:v>
                </c:pt>
                <c:pt idx="554" formatCode="0.0000">
                  <c:v>0.41595513755138347</c:v>
                </c:pt>
                <c:pt idx="555" formatCode="0.0000">
                  <c:v>0.41185663250829468</c:v>
                </c:pt>
                <c:pt idx="556" formatCode="0.0000">
                  <c:v>0.40779851101158332</c:v>
                </c:pt>
                <c:pt idx="557" formatCode="0.0000">
                  <c:v>0.40378037515254833</c:v>
                </c:pt>
                <c:pt idx="558" formatCode="0.0000">
                  <c:v>0.39980183094317767</c:v>
                </c:pt>
                <c:pt idx="559" formatCode="0.0000">
                  <c:v>0.39586248827751741</c:v>
                </c:pt>
                <c:pt idx="560" formatCode="0.0000">
                  <c:v>0.42701045991342729</c:v>
                </c:pt>
                <c:pt idx="561" formatCode="0.0000">
                  <c:v>0.39391568559637774</c:v>
                </c:pt>
                <c:pt idx="562" formatCode="0.0000">
                  <c:v>0.38524088161146786</c:v>
                </c:pt>
                <c:pt idx="563" formatCode="0.0000">
                  <c:v>0.3806496024731239</c:v>
                </c:pt>
                <c:pt idx="564" formatCode="0.0000">
                  <c:v>0.37676698403104603</c:v>
                </c:pt>
                <c:pt idx="565" formatCode="0.0000">
                  <c:v>0.37303270771954422</c:v>
                </c:pt>
                <c:pt idx="566" formatCode="0.0000">
                  <c:v>0.36935349334990153</c:v>
                </c:pt>
                <c:pt idx="567" formatCode="0.0000">
                  <c:v>0.36571356235250524</c:v>
                </c:pt>
                <c:pt idx="568" formatCode="0.0000">
                  <c:v>0.36210999944784994</c:v>
                </c:pt>
                <c:pt idx="569" formatCode="0.0000">
                  <c:v>0.3599045736133959</c:v>
                </c:pt>
                <c:pt idx="570" formatCode="0.0000">
                  <c:v>0.36743936581362519</c:v>
                </c:pt>
                <c:pt idx="571" formatCode="0.0000">
                  <c:v>0.52224620388676346</c:v>
                </c:pt>
                <c:pt idx="572" formatCode="0.0000">
                  <c:v>0.79086803781243464</c:v>
                </c:pt>
                <c:pt idx="573" formatCode="0.0000">
                  <c:v>0.60920662604117026</c:v>
                </c:pt>
                <c:pt idx="574" formatCode="0.0000">
                  <c:v>0.55276585842056369</c:v>
                </c:pt>
                <c:pt idx="575" formatCode="0.0000">
                  <c:v>0.49705941079184035</c:v>
                </c:pt>
                <c:pt idx="576" formatCode="0.0000">
                  <c:v>0.44294705858422079</c:v>
                </c:pt>
                <c:pt idx="577" formatCode="0.0000">
                  <c:v>0.39164140172488537</c:v>
                </c:pt>
                <c:pt idx="578" formatCode="0.0000">
                  <c:v>0.34188377838194467</c:v>
                </c:pt>
                <c:pt idx="579" formatCode="0.0000">
                  <c:v>0.3270485348228101</c:v>
                </c:pt>
                <c:pt idx="580" formatCode="0.0000">
                  <c:v>0.32192332531264545</c:v>
                </c:pt>
                <c:pt idx="581" formatCode="0.0000">
                  <c:v>0.31843560734221449</c:v>
                </c:pt>
                <c:pt idx="582" formatCode="0.0000">
                  <c:v>0.31524559425272275</c:v>
                </c:pt>
                <c:pt idx="583" formatCode="0.0000">
                  <c:v>0.31213071072269155</c:v>
                </c:pt>
                <c:pt idx="584" formatCode="0.0000">
                  <c:v>0.31177886358744267</c:v>
                </c:pt>
                <c:pt idx="585" formatCode="0.0000">
                  <c:v>0.30646054216073121</c:v>
                </c:pt>
                <c:pt idx="586" formatCode="0.0000">
                  <c:v>0.30306817232534994</c:v>
                </c:pt>
                <c:pt idx="587" formatCode="0.0000">
                  <c:v>0.30002011814507867</c:v>
                </c:pt>
                <c:pt idx="588" formatCode="0.0000">
                  <c:v>0.34110603549841345</c:v>
                </c:pt>
                <c:pt idx="589" formatCode="0.0000">
                  <c:v>0.30143492661447713</c:v>
                </c:pt>
                <c:pt idx="590" formatCode="0.0000">
                  <c:v>0.2965272906804986</c:v>
                </c:pt>
                <c:pt idx="591" formatCode="0.0000">
                  <c:v>0.28923666670542131</c:v>
                </c:pt>
                <c:pt idx="592" formatCode="0.0000">
                  <c:v>0.28566179469606434</c:v>
                </c:pt>
                <c:pt idx="593" formatCode="0.0000">
                  <c:v>0.28272680474811207</c:v>
                </c:pt>
                <c:pt idx="594" formatCode="0.0000">
                  <c:v>0.27992106868329331</c:v>
                </c:pt>
                <c:pt idx="595" formatCode="0.0000">
                  <c:v>0.27852217422364883</c:v>
                </c:pt>
                <c:pt idx="596" formatCode="0.0000">
                  <c:v>0.27465425394120696</c:v>
                </c:pt>
                <c:pt idx="597" formatCode="0.0000">
                  <c:v>0.2717615782552768</c:v>
                </c:pt>
                <c:pt idx="598" formatCode="0.0000">
                  <c:v>0.26905290921100528</c:v>
                </c:pt>
                <c:pt idx="599" formatCode="0.0000">
                  <c:v>0.32564432497821733</c:v>
                </c:pt>
                <c:pt idx="600" formatCode="0.0000">
                  <c:v>0.27360233872223449</c:v>
                </c:pt>
                <c:pt idx="601" formatCode="0.0000">
                  <c:v>0.26280324534627419</c:v>
                </c:pt>
                <c:pt idx="602" formatCode="0.0000">
                  <c:v>0.25886916307135055</c:v>
                </c:pt>
                <c:pt idx="603" formatCode="0.0000">
                  <c:v>0.25609534235872511</c:v>
                </c:pt>
                <c:pt idx="604" formatCode="0.0000">
                  <c:v>0.25353495004195781</c:v>
                </c:pt>
                <c:pt idx="605" formatCode="0.0000">
                  <c:v>0.25103066617994246</c:v>
                </c:pt>
                <c:pt idx="606" formatCode="0.0000">
                  <c:v>0.24855618178681482</c:v>
                </c:pt>
                <c:pt idx="607" formatCode="0.0000">
                  <c:v>0.24610692936267248</c:v>
                </c:pt>
                <c:pt idx="608" formatCode="0.0000">
                  <c:v>0.24368195109918375</c:v>
                </c:pt>
                <c:pt idx="609" formatCode="0.0000">
                  <c:v>0.24128089013658968</c:v>
                </c:pt>
                <c:pt idx="610" formatCode="0.0000">
                  <c:v>0.23890349128452917</c:v>
                </c:pt>
                <c:pt idx="611" formatCode="0.0000">
                  <c:v>0.23654951815426978</c:v>
                </c:pt>
                <c:pt idx="612" formatCode="0.0000">
                  <c:v>0.23421873938890808</c:v>
                </c:pt>
                <c:pt idx="613" formatCode="0.0000">
                  <c:v>0.23191092635962024</c:v>
                </c:pt>
                <c:pt idx="614" formatCode="0.0000">
                  <c:v>0.22962585276473377</c:v>
                </c:pt>
                <c:pt idx="615" formatCode="0.0000">
                  <c:v>0.22736329454472859</c:v>
                </c:pt>
                <c:pt idx="616" formatCode="0.0000">
                  <c:v>0.22512302984984567</c:v>
                </c:pt>
                <c:pt idx="617" formatCode="0.0000">
                  <c:v>0.22290483901660429</c:v>
                </c:pt>
                <c:pt idx="618" formatCode="0.0000">
                  <c:v>0.22070850454597693</c:v>
                </c:pt>
                <c:pt idx="619" formatCode="0.0000">
                  <c:v>0.21853381108201508</c:v>
                </c:pt>
                <c:pt idx="620" formatCode="0.0000">
                  <c:v>0.21638054539072549</c:v>
                </c:pt>
                <c:pt idx="621" formatCode="0.0000">
                  <c:v>0.21424849633916013</c:v>
                </c:pt>
                <c:pt idx="622" formatCode="0.0000">
                  <c:v>0.21213745487471422</c:v>
                </c:pt>
                <c:pt idx="623" formatCode="0.0000">
                  <c:v>0.21004721400462839</c:v>
                </c:pt>
                <c:pt idx="624" formatCode="0.0000">
                  <c:v>0.20797756877569215</c:v>
                </c:pt>
                <c:pt idx="625" formatCode="0.0000">
                  <c:v>0.20592831625414776</c:v>
                </c:pt>
                <c:pt idx="626" formatCode="0.0000">
                  <c:v>0.2038992555057921</c:v>
                </c:pt>
                <c:pt idx="627" formatCode="0.0000">
                  <c:v>0.20189018757627458</c:v>
                </c:pt>
                <c:pt idx="628" formatCode="0.0000">
                  <c:v>0.20330728257910477</c:v>
                </c:pt>
                <c:pt idx="629" formatCode="0.0000">
                  <c:v>0.19849648419155064</c:v>
                </c:pt>
                <c:pt idx="630" formatCode="0.0000">
                  <c:v>0.1960747743060321</c:v>
                </c:pt>
                <c:pt idx="631" formatCode="0.0000">
                  <c:v>0.19406549697602793</c:v>
                </c:pt>
                <c:pt idx="632" formatCode="0.0000">
                  <c:v>0.19214049555802384</c:v>
                </c:pt>
                <c:pt idx="633" formatCode="0.0000">
                  <c:v>0.19024516088407256</c:v>
                </c:pt>
                <c:pt idx="634" formatCode="0.0000">
                  <c:v>0.18837027678779714</c:v>
                </c:pt>
                <c:pt idx="635" formatCode="0.0000">
                  <c:v>0.18651416097339787</c:v>
                </c:pt>
                <c:pt idx="636" formatCode="0.0000">
                  <c:v>0.18467638279543661</c:v>
                </c:pt>
                <c:pt idx="637" formatCode="0.0000">
                  <c:v>0.19648218922548413</c:v>
                </c:pt>
                <c:pt idx="638" formatCode="0.0000">
                  <c:v>0.29120958432978905</c:v>
                </c:pt>
                <c:pt idx="639" formatCode="0.0000">
                  <c:v>0.21057696448937324</c:v>
                </c:pt>
                <c:pt idx="640" formatCode="0.0000">
                  <c:v>0.18269940661332268</c:v>
                </c:pt>
                <c:pt idx="641" formatCode="0.0000">
                  <c:v>0.17661762170990908</c:v>
                </c:pt>
                <c:pt idx="642" formatCode="0.0000">
                  <c:v>0.17416689254418222</c:v>
                </c:pt>
                <c:pt idx="643" formatCode="0.0000">
                  <c:v>0.17233289127569645</c:v>
                </c:pt>
                <c:pt idx="644" formatCode="0.0000">
                  <c:v>0.17061529145463367</c:v>
                </c:pt>
                <c:pt idx="645" formatCode="0.0000">
                  <c:v>0.16893093217184582</c:v>
                </c:pt>
                <c:pt idx="646" formatCode="0.0000">
                  <c:v>0.16726587680196861</c:v>
                </c:pt>
                <c:pt idx="647" formatCode="0.0000">
                  <c:v>0.16561767689511808</c:v>
                </c:pt>
                <c:pt idx="648" formatCode="0.0000">
                  <c:v>0.16398579164571089</c:v>
                </c:pt>
                <c:pt idx="649" formatCode="0.0000">
                  <c:v>0.16236999812110167</c:v>
                </c:pt>
                <c:pt idx="650" formatCode="0.0000">
                  <c:v>0.16077012744769953</c:v>
                </c:pt>
                <c:pt idx="651" formatCode="0.0000">
                  <c:v>0.15918602102172885</c:v>
                </c:pt>
                <c:pt idx="652" formatCode="0.0000">
                  <c:v>0.15761752323020045</c:v>
                </c:pt>
                <c:pt idx="653" formatCode="0.0000">
                  <c:v>0.18970584485188779</c:v>
                </c:pt>
                <c:pt idx="654" formatCode="0.0000">
                  <c:v>0.16215288454452015</c:v>
                </c:pt>
                <c:pt idx="655" formatCode="0.0000">
                  <c:v>0.39440063520183488</c:v>
                </c:pt>
                <c:pt idx="656" formatCode="0.0000">
                  <c:v>0.33959645058840093</c:v>
                </c:pt>
                <c:pt idx="657" formatCode="0.0000">
                  <c:v>3.8378241686790266</c:v>
                </c:pt>
                <c:pt idx="658" formatCode="0.0000">
                  <c:v>0.89155784055762777</c:v>
                </c:pt>
                <c:pt idx="659" formatCode="0.0000">
                  <c:v>2.1634670084950778</c:v>
                </c:pt>
                <c:pt idx="660" formatCode="0.0000">
                  <c:v>1.0740389729535746</c:v>
                </c:pt>
                <c:pt idx="661" formatCode="0.0000">
                  <c:v>0.96992975593689501</c:v>
                </c:pt>
                <c:pt idx="662" formatCode="0.0000">
                  <c:v>1.4361584960933977</c:v>
                </c:pt>
                <c:pt idx="663" formatCode="0.0000">
                  <c:v>1.1550990904643057</c:v>
                </c:pt>
                <c:pt idx="664" formatCode="0.0000">
                  <c:v>1.0474878135376002</c:v>
                </c:pt>
                <c:pt idx="665" formatCode="0.0000">
                  <c:v>1.0279619202055952</c:v>
                </c:pt>
                <c:pt idx="666" formatCode="0.0000">
                  <c:v>1.0319832242325429</c:v>
                </c:pt>
                <c:pt idx="667" formatCode="0.0000">
                  <c:v>0.99302156442763878</c:v>
                </c:pt>
                <c:pt idx="668" formatCode="0.0000">
                  <c:v>1.151068140752203</c:v>
                </c:pt>
                <c:pt idx="669" formatCode="0.0000">
                  <c:v>1.0422171541905403</c:v>
                </c:pt>
                <c:pt idx="670" formatCode="0.0000">
                  <c:v>0.94685098480549901</c:v>
                </c:pt>
                <c:pt idx="671" formatCode="0.0000">
                  <c:v>0.88996922321318828</c:v>
                </c:pt>
                <c:pt idx="672" formatCode="0.0000">
                  <c:v>0.7874532098653455</c:v>
                </c:pt>
                <c:pt idx="673" formatCode="0.0000">
                  <c:v>0.7756828932243458</c:v>
                </c:pt>
                <c:pt idx="674" formatCode="0.0000">
                  <c:v>0.67791539928352174</c:v>
                </c:pt>
                <c:pt idx="675" formatCode="0.0000">
                  <c:v>0.59761423929225388</c:v>
                </c:pt>
                <c:pt idx="676" formatCode="0.0000">
                  <c:v>0.58111794694456098</c:v>
                </c:pt>
                <c:pt idx="677" formatCode="0.0000">
                  <c:v>0.48954529218374043</c:v>
                </c:pt>
                <c:pt idx="678" formatCode="0.0000">
                  <c:v>0.49071320803622265</c:v>
                </c:pt>
                <c:pt idx="679" formatCode="0.0000">
                  <c:v>0.43860633932511695</c:v>
                </c:pt>
                <c:pt idx="680" formatCode="0.0000">
                  <c:v>0.35504627142905498</c:v>
                </c:pt>
                <c:pt idx="681" formatCode="0.0000">
                  <c:v>0.33935896934450827</c:v>
                </c:pt>
                <c:pt idx="682" formatCode="0.0000">
                  <c:v>0.25600614059569426</c:v>
                </c:pt>
                <c:pt idx="683" formatCode="0.0000">
                  <c:v>0.18828501477363499</c:v>
                </c:pt>
                <c:pt idx="684" formatCode="0.0000">
                  <c:v>0.12681502664662656</c:v>
                </c:pt>
                <c:pt idx="685" formatCode="0.0000">
                  <c:v>0.1156732317296036</c:v>
                </c:pt>
                <c:pt idx="686" formatCode="0.0000">
                  <c:v>0.112891991138501</c:v>
                </c:pt>
                <c:pt idx="687" formatCode="0.0000">
                  <c:v>0.12785781963405446</c:v>
                </c:pt>
                <c:pt idx="688" formatCode="0.0000">
                  <c:v>0.11716414467341768</c:v>
                </c:pt>
                <c:pt idx="689" formatCode="0.0000">
                  <c:v>1.6336322330563864</c:v>
                </c:pt>
                <c:pt idx="690" formatCode="0.0000">
                  <c:v>1.1157556015437984</c:v>
                </c:pt>
                <c:pt idx="691" formatCode="0.0000">
                  <c:v>0.60052698521563708</c:v>
                </c:pt>
                <c:pt idx="692" formatCode="0.0000">
                  <c:v>0.52576858736911936</c:v>
                </c:pt>
                <c:pt idx="693" formatCode="0.0000">
                  <c:v>0.56305727226552627</c:v>
                </c:pt>
                <c:pt idx="694" formatCode="0.0000">
                  <c:v>2.0910362646645466</c:v>
                </c:pt>
                <c:pt idx="695" formatCode="0.0000">
                  <c:v>1.1605202054908925</c:v>
                </c:pt>
                <c:pt idx="696" formatCode="0.0000">
                  <c:v>0.91283770924292862</c:v>
                </c:pt>
                <c:pt idx="697" formatCode="0.0000">
                  <c:v>0.80733663688873103</c:v>
                </c:pt>
                <c:pt idx="698" formatCode="0.0000">
                  <c:v>0.70738789547167424</c:v>
                </c:pt>
                <c:pt idx="699" formatCode="0.0000">
                  <c:v>1.0653800502440052</c:v>
                </c:pt>
                <c:pt idx="700" formatCode="0.0000">
                  <c:v>2.1805939342581175</c:v>
                </c:pt>
                <c:pt idx="701" formatCode="0.0000">
                  <c:v>1.0556983847466406</c:v>
                </c:pt>
                <c:pt idx="702" formatCode="0.0000">
                  <c:v>0.94547569138480059</c:v>
                </c:pt>
                <c:pt idx="703" formatCode="0.0000">
                  <c:v>0.84097329751864902</c:v>
                </c:pt>
                <c:pt idx="704" formatCode="0.0000">
                  <c:v>0.74168951589446031</c:v>
                </c:pt>
                <c:pt idx="705" formatCode="0.0000">
                  <c:v>0.64721784549469152</c:v>
                </c:pt>
                <c:pt idx="706" formatCode="0.0000">
                  <c:v>0.55570881493117397</c:v>
                </c:pt>
                <c:pt idx="707" formatCode="0.0000">
                  <c:v>0.4653759116365967</c:v>
                </c:pt>
                <c:pt idx="708" formatCode="0.0000">
                  <c:v>0.37817285348431384</c:v>
                </c:pt>
                <c:pt idx="709" formatCode="0.0000">
                  <c:v>0.29391706673393003</c:v>
                </c:pt>
                <c:pt idx="710" formatCode="0.0000">
                  <c:v>0.21197217024627282</c:v>
                </c:pt>
                <c:pt idx="711" formatCode="0.0000">
                  <c:v>0.13673961414171235</c:v>
                </c:pt>
                <c:pt idx="712" formatCode="0.0000">
                  <c:v>9.5119875976377069E-2</c:v>
                </c:pt>
                <c:pt idx="713" formatCode="0.0000">
                  <c:v>8.7499981280640085E-2</c:v>
                </c:pt>
                <c:pt idx="714" formatCode="0.0000">
                  <c:v>8.5528927736372204E-2</c:v>
                </c:pt>
                <c:pt idx="715" formatCode="0.0000">
                  <c:v>8.4502184810162709E-2</c:v>
                </c:pt>
                <c:pt idx="716" formatCode="0.0000">
                  <c:v>8.3639031371287517E-2</c:v>
                </c:pt>
                <c:pt idx="717" formatCode="0.0000">
                  <c:v>0.15432029041450651</c:v>
                </c:pt>
                <c:pt idx="718" formatCode="0.0000">
                  <c:v>9.611584374664639E-2</c:v>
                </c:pt>
                <c:pt idx="719" formatCode="0.0000">
                  <c:v>8.3528509192621558E-2</c:v>
                </c:pt>
                <c:pt idx="720" formatCode="0.0000">
                  <c:v>0.51698050506629278</c:v>
                </c:pt>
                <c:pt idx="721" formatCode="0.0000">
                  <c:v>0.25268308098741421</c:v>
                </c:pt>
                <c:pt idx="722" formatCode="0.0000">
                  <c:v>0.1941804076528113</c:v>
                </c:pt>
                <c:pt idx="723" formatCode="0.0000">
                  <c:v>2.7560229061895578</c:v>
                </c:pt>
                <c:pt idx="724" formatCode="0.0000">
                  <c:v>0.53747799093091819</c:v>
                </c:pt>
                <c:pt idx="725" formatCode="0.0000">
                  <c:v>0.44740046031563152</c:v>
                </c:pt>
                <c:pt idx="726" formatCode="0.0000">
                  <c:v>2.1862324162755917</c:v>
                </c:pt>
                <c:pt idx="727" formatCode="0.0000">
                  <c:v>0.77663890114260425</c:v>
                </c:pt>
                <c:pt idx="728" formatCode="0.0000">
                  <c:v>0.67828302930646545</c:v>
                </c:pt>
                <c:pt idx="729" formatCode="0.0000">
                  <c:v>5.2890859139355229</c:v>
                </c:pt>
                <c:pt idx="730" formatCode="0.0000">
                  <c:v>1.2401367590200183</c:v>
                </c:pt>
                <c:pt idx="731" formatCode="0.0000">
                  <c:v>1.2192828041864159</c:v>
                </c:pt>
                <c:pt idx="732" formatCode="0.0000">
                  <c:v>1.3516793309094797</c:v>
                </c:pt>
                <c:pt idx="733" formatCode="0.0000">
                  <c:v>1.2659630002399667</c:v>
                </c:pt>
                <c:pt idx="734" formatCode="0.0000">
                  <c:v>1.2745164648613936</c:v>
                </c:pt>
                <c:pt idx="735" formatCode="0.0000">
                  <c:v>1.2459357641212574</c:v>
                </c:pt>
              </c:numCache>
            </c:numRef>
          </c:yVal>
          <c:smooth val="0"/>
          <c:extLst>
            <c:ext xmlns:c16="http://schemas.microsoft.com/office/drawing/2014/chart" uri="{C3380CC4-5D6E-409C-BE32-E72D297353CC}">
              <c16:uniqueId val="{00000001-80BF-2C40-BB57-6238225301C6}"/>
            </c:ext>
          </c:extLst>
        </c:ser>
        <c:ser>
          <c:idx val="1"/>
          <c:order val="2"/>
          <c:tx>
            <c:v>Periodo de calentamiento</c:v>
          </c:tx>
          <c:spPr>
            <a:ln w="19050" cap="rnd">
              <a:solidFill>
                <a:srgbClr val="FF0000"/>
              </a:solidFill>
              <a:prstDash val="dash"/>
              <a:round/>
            </a:ln>
            <a:effectLst/>
          </c:spPr>
          <c:marker>
            <c:symbol val="none"/>
          </c:marker>
          <c:xVal>
            <c:numRef>
              <c:f>Entradas!$M$146:$M$147</c:f>
              <c:numCache>
                <c:formatCode>General</c:formatCode>
                <c:ptCount val="2"/>
                <c:pt idx="0">
                  <c:v>60</c:v>
                </c:pt>
                <c:pt idx="1">
                  <c:v>60</c:v>
                </c:pt>
              </c:numCache>
            </c:numRef>
          </c:xVal>
          <c:yVal>
            <c:numRef>
              <c:f>Entradas!$N$146:$N$147</c:f>
              <c:numCache>
                <c:formatCode>General</c:formatCode>
                <c:ptCount val="2"/>
                <c:pt idx="0">
                  <c:v>0</c:v>
                </c:pt>
                <c:pt idx="1">
                  <c:v>10.925654140199494</c:v>
                </c:pt>
              </c:numCache>
            </c:numRef>
          </c:yVal>
          <c:smooth val="0"/>
          <c:extLst>
            <c:ext xmlns:c16="http://schemas.microsoft.com/office/drawing/2014/chart" uri="{C3380CC4-5D6E-409C-BE32-E72D297353CC}">
              <c16:uniqueId val="{00000001-078F-FF48-B718-7868F0AFB74F}"/>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Gráfico de calibración de caudal después de la intervención</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3"/>
          <c:order val="0"/>
          <c:tx>
            <c:strRef>
              <c:f>Observaciones!$L$5</c:f>
              <c:strCache>
                <c:ptCount val="1"/>
                <c:pt idx="0">
                  <c:v>Caudal observado luego de la intervención - Qobs am (mm)</c:v>
                </c:pt>
              </c:strCache>
            </c:strRef>
          </c:tx>
          <c:spPr>
            <a:ln w="25400" cap="rnd">
              <a:noFill/>
              <a:round/>
            </a:ln>
            <a:effectLst/>
          </c:spPr>
          <c:marker>
            <c:symbol val="circle"/>
            <c:size val="2"/>
            <c:spPr>
              <a:solidFill>
                <a:schemeClr val="tx1"/>
              </a:solidFill>
              <a:ln w="12700">
                <a:noFill/>
              </a:ln>
              <a:effectLst/>
            </c:spPr>
          </c:marker>
          <c:xVal>
            <c:strRef>
              <c:f>Observaciones!$C:$C</c:f>
              <c:strCache>
                <c:ptCount val="735"/>
                <c:pt idx="2">
                  <c:v>Observaciones</c:v>
                </c:pt>
                <c:pt idx="4">
                  <c:v>Día</c:v>
                </c:pt>
                <c:pt idx="5">
                  <c:v>1</c:v>
                </c:pt>
                <c:pt idx="6">
                  <c:v>2</c:v>
                </c:pt>
                <c:pt idx="7">
                  <c:v>3</c:v>
                </c:pt>
                <c:pt idx="8">
                  <c:v>4</c:v>
                </c:pt>
                <c:pt idx="9">
                  <c:v>5</c:v>
                </c:pt>
                <c:pt idx="10">
                  <c:v>6</c:v>
                </c:pt>
                <c:pt idx="11">
                  <c:v>7</c:v>
                </c:pt>
                <c:pt idx="12">
                  <c:v>8</c:v>
                </c:pt>
                <c:pt idx="13">
                  <c:v>9</c:v>
                </c:pt>
                <c:pt idx="14">
                  <c:v>10</c:v>
                </c:pt>
                <c:pt idx="15">
                  <c:v>11</c:v>
                </c:pt>
                <c:pt idx="16">
                  <c:v>12</c:v>
                </c:pt>
                <c:pt idx="17">
                  <c:v>13</c:v>
                </c:pt>
                <c:pt idx="18">
                  <c:v>14</c:v>
                </c:pt>
                <c:pt idx="19">
                  <c:v>15</c:v>
                </c:pt>
                <c:pt idx="20">
                  <c:v>16</c:v>
                </c:pt>
                <c:pt idx="21">
                  <c:v>17</c:v>
                </c:pt>
                <c:pt idx="22">
                  <c:v>18</c:v>
                </c:pt>
                <c:pt idx="23">
                  <c:v>19</c:v>
                </c:pt>
                <c:pt idx="24">
                  <c:v>20</c:v>
                </c:pt>
                <c:pt idx="25">
                  <c:v>21</c:v>
                </c:pt>
                <c:pt idx="26">
                  <c:v>22</c:v>
                </c:pt>
                <c:pt idx="27">
                  <c:v>23</c:v>
                </c:pt>
                <c:pt idx="28">
                  <c:v>24</c:v>
                </c:pt>
                <c:pt idx="29">
                  <c:v>25</c:v>
                </c:pt>
                <c:pt idx="30">
                  <c:v>26</c:v>
                </c:pt>
                <c:pt idx="31">
                  <c:v>27</c:v>
                </c:pt>
                <c:pt idx="32">
                  <c:v>28</c:v>
                </c:pt>
                <c:pt idx="33">
                  <c:v>29</c:v>
                </c:pt>
                <c:pt idx="34">
                  <c:v>30</c:v>
                </c:pt>
                <c:pt idx="35">
                  <c:v>31</c:v>
                </c:pt>
                <c:pt idx="36">
                  <c:v>32</c:v>
                </c:pt>
                <c:pt idx="37">
                  <c:v>33</c:v>
                </c:pt>
                <c:pt idx="38">
                  <c:v>34</c:v>
                </c:pt>
                <c:pt idx="39">
                  <c:v>35</c:v>
                </c:pt>
                <c:pt idx="40">
                  <c:v>36</c:v>
                </c:pt>
                <c:pt idx="41">
                  <c:v>37</c:v>
                </c:pt>
                <c:pt idx="42">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60</c:v>
                </c:pt>
                <c:pt idx="65">
                  <c:v>61</c:v>
                </c:pt>
                <c:pt idx="66">
                  <c:v>62</c:v>
                </c:pt>
                <c:pt idx="67">
                  <c:v>63</c:v>
                </c:pt>
                <c:pt idx="68">
                  <c:v>64</c:v>
                </c:pt>
                <c:pt idx="69">
                  <c:v>65</c:v>
                </c:pt>
                <c:pt idx="70">
                  <c:v>66</c:v>
                </c:pt>
                <c:pt idx="71">
                  <c:v>67</c:v>
                </c:pt>
                <c:pt idx="72">
                  <c:v>68</c:v>
                </c:pt>
                <c:pt idx="73">
                  <c:v>69</c:v>
                </c:pt>
                <c:pt idx="74">
                  <c:v>70</c:v>
                </c:pt>
                <c:pt idx="75">
                  <c:v>71</c:v>
                </c:pt>
                <c:pt idx="76">
                  <c:v>72</c:v>
                </c:pt>
                <c:pt idx="77">
                  <c:v>73</c:v>
                </c:pt>
                <c:pt idx="78">
                  <c:v>74</c:v>
                </c:pt>
                <c:pt idx="79">
                  <c:v>75</c:v>
                </c:pt>
                <c:pt idx="80">
                  <c:v>76</c:v>
                </c:pt>
                <c:pt idx="81">
                  <c:v>77</c:v>
                </c:pt>
                <c:pt idx="82">
                  <c:v>78</c:v>
                </c:pt>
                <c:pt idx="83">
                  <c:v>79</c:v>
                </c:pt>
                <c:pt idx="84">
                  <c:v>80</c:v>
                </c:pt>
                <c:pt idx="85">
                  <c:v>81</c:v>
                </c:pt>
                <c:pt idx="86">
                  <c:v>82</c:v>
                </c:pt>
                <c:pt idx="87">
                  <c:v>83</c:v>
                </c:pt>
                <c:pt idx="88">
                  <c:v>84</c:v>
                </c:pt>
                <c:pt idx="89">
                  <c:v>85</c:v>
                </c:pt>
                <c:pt idx="90">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38">
                  <c:v>134</c:v>
                </c:pt>
                <c:pt idx="139">
                  <c:v>135</c:v>
                </c:pt>
                <c:pt idx="140">
                  <c:v>136</c:v>
                </c:pt>
                <c:pt idx="141">
                  <c:v>137</c:v>
                </c:pt>
                <c:pt idx="142">
                  <c:v>138</c:v>
                </c:pt>
                <c:pt idx="143">
                  <c:v>139</c:v>
                </c:pt>
                <c:pt idx="144">
                  <c:v>140</c:v>
                </c:pt>
                <c:pt idx="145">
                  <c:v>141</c:v>
                </c:pt>
                <c:pt idx="146">
                  <c:v>142</c:v>
                </c:pt>
                <c:pt idx="147">
                  <c:v>143</c:v>
                </c:pt>
                <c:pt idx="148">
                  <c:v>144</c:v>
                </c:pt>
                <c:pt idx="149">
                  <c:v>145</c:v>
                </c:pt>
                <c:pt idx="150">
                  <c:v>146</c:v>
                </c:pt>
                <c:pt idx="151">
                  <c:v>147</c:v>
                </c:pt>
                <c:pt idx="152">
                  <c:v>148</c:v>
                </c:pt>
                <c:pt idx="153">
                  <c:v>149</c:v>
                </c:pt>
                <c:pt idx="154">
                  <c:v>150</c:v>
                </c:pt>
                <c:pt idx="155">
                  <c:v>151</c:v>
                </c:pt>
                <c:pt idx="156">
                  <c:v>152</c:v>
                </c:pt>
                <c:pt idx="157">
                  <c:v>153</c:v>
                </c:pt>
                <c:pt idx="158">
                  <c:v>154</c:v>
                </c:pt>
                <c:pt idx="159">
                  <c:v>155</c:v>
                </c:pt>
                <c:pt idx="160">
                  <c:v>156</c:v>
                </c:pt>
                <c:pt idx="161">
                  <c:v>157</c:v>
                </c:pt>
                <c:pt idx="162">
                  <c:v>158</c:v>
                </c:pt>
                <c:pt idx="163">
                  <c:v>159</c:v>
                </c:pt>
                <c:pt idx="164">
                  <c:v>160</c:v>
                </c:pt>
                <c:pt idx="165">
                  <c:v>161</c:v>
                </c:pt>
                <c:pt idx="166">
                  <c:v>162</c:v>
                </c:pt>
                <c:pt idx="167">
                  <c:v>163</c:v>
                </c:pt>
                <c:pt idx="168">
                  <c:v>164</c:v>
                </c:pt>
                <c:pt idx="169">
                  <c:v>165</c:v>
                </c:pt>
                <c:pt idx="170">
                  <c:v>166</c:v>
                </c:pt>
                <c:pt idx="171">
                  <c:v>167</c:v>
                </c:pt>
                <c:pt idx="172">
                  <c:v>168</c:v>
                </c:pt>
                <c:pt idx="173">
                  <c:v>169</c:v>
                </c:pt>
                <c:pt idx="174">
                  <c:v>170</c:v>
                </c:pt>
                <c:pt idx="175">
                  <c:v>171</c:v>
                </c:pt>
                <c:pt idx="176">
                  <c:v>172</c:v>
                </c:pt>
                <c:pt idx="177">
                  <c:v>173</c:v>
                </c:pt>
                <c:pt idx="178">
                  <c:v>174</c:v>
                </c:pt>
                <c:pt idx="179">
                  <c:v>175</c:v>
                </c:pt>
                <c:pt idx="180">
                  <c:v>176</c:v>
                </c:pt>
                <c:pt idx="181">
                  <c:v>177</c:v>
                </c:pt>
                <c:pt idx="182">
                  <c:v>178</c:v>
                </c:pt>
                <c:pt idx="183">
                  <c:v>179</c:v>
                </c:pt>
                <c:pt idx="184">
                  <c:v>180</c:v>
                </c:pt>
                <c:pt idx="185">
                  <c:v>181</c:v>
                </c:pt>
                <c:pt idx="186">
                  <c:v>182</c:v>
                </c:pt>
                <c:pt idx="187">
                  <c:v>183</c:v>
                </c:pt>
                <c:pt idx="188">
                  <c:v>184</c:v>
                </c:pt>
                <c:pt idx="189">
                  <c:v>185</c:v>
                </c:pt>
                <c:pt idx="190">
                  <c:v>186</c:v>
                </c:pt>
                <c:pt idx="191">
                  <c:v>187</c:v>
                </c:pt>
                <c:pt idx="192">
                  <c:v>188</c:v>
                </c:pt>
                <c:pt idx="193">
                  <c:v>189</c:v>
                </c:pt>
                <c:pt idx="194">
                  <c:v>190</c:v>
                </c:pt>
                <c:pt idx="195">
                  <c:v>191</c:v>
                </c:pt>
                <c:pt idx="196">
                  <c:v>192</c:v>
                </c:pt>
                <c:pt idx="197">
                  <c:v>193</c:v>
                </c:pt>
                <c:pt idx="198">
                  <c:v>194</c:v>
                </c:pt>
                <c:pt idx="199">
                  <c:v>195</c:v>
                </c:pt>
                <c:pt idx="200">
                  <c:v>196</c:v>
                </c:pt>
                <c:pt idx="201">
                  <c:v>197</c:v>
                </c:pt>
                <c:pt idx="202">
                  <c:v>198</c:v>
                </c:pt>
                <c:pt idx="203">
                  <c:v>199</c:v>
                </c:pt>
                <c:pt idx="204">
                  <c:v>200</c:v>
                </c:pt>
                <c:pt idx="205">
                  <c:v>201</c:v>
                </c:pt>
                <c:pt idx="206">
                  <c:v>202</c:v>
                </c:pt>
                <c:pt idx="207">
                  <c:v>203</c:v>
                </c:pt>
                <c:pt idx="208">
                  <c:v>204</c:v>
                </c:pt>
                <c:pt idx="209">
                  <c:v>205</c:v>
                </c:pt>
                <c:pt idx="210">
                  <c:v>206</c:v>
                </c:pt>
                <c:pt idx="211">
                  <c:v>207</c:v>
                </c:pt>
                <c:pt idx="212">
                  <c:v>208</c:v>
                </c:pt>
                <c:pt idx="213">
                  <c:v>209</c:v>
                </c:pt>
                <c:pt idx="214">
                  <c:v>210</c:v>
                </c:pt>
                <c:pt idx="215">
                  <c:v>211</c:v>
                </c:pt>
                <c:pt idx="216">
                  <c:v>212</c:v>
                </c:pt>
                <c:pt idx="217">
                  <c:v>213</c:v>
                </c:pt>
                <c:pt idx="218">
                  <c:v>214</c:v>
                </c:pt>
                <c:pt idx="219">
                  <c:v>215</c:v>
                </c:pt>
                <c:pt idx="220">
                  <c:v>216</c:v>
                </c:pt>
                <c:pt idx="221">
                  <c:v>217</c:v>
                </c:pt>
                <c:pt idx="222">
                  <c:v>218</c:v>
                </c:pt>
                <c:pt idx="223">
                  <c:v>219</c:v>
                </c:pt>
                <c:pt idx="224">
                  <c:v>220</c:v>
                </c:pt>
                <c:pt idx="225">
                  <c:v>221</c:v>
                </c:pt>
                <c:pt idx="226">
                  <c:v>222</c:v>
                </c:pt>
                <c:pt idx="227">
                  <c:v>223</c:v>
                </c:pt>
                <c:pt idx="228">
                  <c:v>224</c:v>
                </c:pt>
                <c:pt idx="229">
                  <c:v>225</c:v>
                </c:pt>
                <c:pt idx="230">
                  <c:v>226</c:v>
                </c:pt>
                <c:pt idx="231">
                  <c:v>227</c:v>
                </c:pt>
                <c:pt idx="232">
                  <c:v>228</c:v>
                </c:pt>
                <c:pt idx="233">
                  <c:v>229</c:v>
                </c:pt>
                <c:pt idx="234">
                  <c:v>230</c:v>
                </c:pt>
                <c:pt idx="235">
                  <c:v>231</c:v>
                </c:pt>
                <c:pt idx="236">
                  <c:v>232</c:v>
                </c:pt>
                <c:pt idx="237">
                  <c:v>233</c:v>
                </c:pt>
                <c:pt idx="238">
                  <c:v>234</c:v>
                </c:pt>
                <c:pt idx="239">
                  <c:v>235</c:v>
                </c:pt>
                <c:pt idx="240">
                  <c:v>236</c:v>
                </c:pt>
                <c:pt idx="241">
                  <c:v>237</c:v>
                </c:pt>
                <c:pt idx="242">
                  <c:v>238</c:v>
                </c:pt>
                <c:pt idx="243">
                  <c:v>239</c:v>
                </c:pt>
                <c:pt idx="244">
                  <c:v>240</c:v>
                </c:pt>
                <c:pt idx="245">
                  <c:v>241</c:v>
                </c:pt>
                <c:pt idx="246">
                  <c:v>242</c:v>
                </c:pt>
                <c:pt idx="247">
                  <c:v>243</c:v>
                </c:pt>
                <c:pt idx="248">
                  <c:v>244</c:v>
                </c:pt>
                <c:pt idx="249">
                  <c:v>245</c:v>
                </c:pt>
                <c:pt idx="250">
                  <c:v>246</c:v>
                </c:pt>
                <c:pt idx="251">
                  <c:v>247</c:v>
                </c:pt>
                <c:pt idx="252">
                  <c:v>248</c:v>
                </c:pt>
                <c:pt idx="253">
                  <c:v>249</c:v>
                </c:pt>
                <c:pt idx="254">
                  <c:v>250</c:v>
                </c:pt>
                <c:pt idx="255">
                  <c:v>251</c:v>
                </c:pt>
                <c:pt idx="256">
                  <c:v>252</c:v>
                </c:pt>
                <c:pt idx="257">
                  <c:v>253</c:v>
                </c:pt>
                <c:pt idx="258">
                  <c:v>254</c:v>
                </c:pt>
                <c:pt idx="259">
                  <c:v>255</c:v>
                </c:pt>
                <c:pt idx="260">
                  <c:v>256</c:v>
                </c:pt>
                <c:pt idx="261">
                  <c:v>257</c:v>
                </c:pt>
                <c:pt idx="262">
                  <c:v>258</c:v>
                </c:pt>
                <c:pt idx="263">
                  <c:v>259</c:v>
                </c:pt>
                <c:pt idx="264">
                  <c:v>260</c:v>
                </c:pt>
                <c:pt idx="265">
                  <c:v>261</c:v>
                </c:pt>
                <c:pt idx="266">
                  <c:v>262</c:v>
                </c:pt>
                <c:pt idx="267">
                  <c:v>263</c:v>
                </c:pt>
                <c:pt idx="268">
                  <c:v>264</c:v>
                </c:pt>
                <c:pt idx="269">
                  <c:v>265</c:v>
                </c:pt>
                <c:pt idx="270">
                  <c:v>266</c:v>
                </c:pt>
                <c:pt idx="271">
                  <c:v>267</c:v>
                </c:pt>
                <c:pt idx="272">
                  <c:v>268</c:v>
                </c:pt>
                <c:pt idx="273">
                  <c:v>269</c:v>
                </c:pt>
                <c:pt idx="274">
                  <c:v>270</c:v>
                </c:pt>
                <c:pt idx="275">
                  <c:v>271</c:v>
                </c:pt>
                <c:pt idx="276">
                  <c:v>272</c:v>
                </c:pt>
                <c:pt idx="277">
                  <c:v>273</c:v>
                </c:pt>
                <c:pt idx="278">
                  <c:v>274</c:v>
                </c:pt>
                <c:pt idx="279">
                  <c:v>275</c:v>
                </c:pt>
                <c:pt idx="280">
                  <c:v>276</c:v>
                </c:pt>
                <c:pt idx="281">
                  <c:v>277</c:v>
                </c:pt>
                <c:pt idx="282">
                  <c:v>278</c:v>
                </c:pt>
                <c:pt idx="283">
                  <c:v>279</c:v>
                </c:pt>
                <c:pt idx="284">
                  <c:v>280</c:v>
                </c:pt>
                <c:pt idx="285">
                  <c:v>281</c:v>
                </c:pt>
                <c:pt idx="286">
                  <c:v>282</c:v>
                </c:pt>
                <c:pt idx="287">
                  <c:v>283</c:v>
                </c:pt>
                <c:pt idx="288">
                  <c:v>284</c:v>
                </c:pt>
                <c:pt idx="289">
                  <c:v>285</c:v>
                </c:pt>
                <c:pt idx="290">
                  <c:v>286</c:v>
                </c:pt>
                <c:pt idx="291">
                  <c:v>287</c:v>
                </c:pt>
                <c:pt idx="292">
                  <c:v>288</c:v>
                </c:pt>
                <c:pt idx="293">
                  <c:v>289</c:v>
                </c:pt>
                <c:pt idx="294">
                  <c:v>290</c:v>
                </c:pt>
                <c:pt idx="295">
                  <c:v>291</c:v>
                </c:pt>
                <c:pt idx="296">
                  <c:v>292</c:v>
                </c:pt>
                <c:pt idx="297">
                  <c:v>293</c:v>
                </c:pt>
                <c:pt idx="298">
                  <c:v>294</c:v>
                </c:pt>
                <c:pt idx="299">
                  <c:v>295</c:v>
                </c:pt>
                <c:pt idx="300">
                  <c:v>296</c:v>
                </c:pt>
                <c:pt idx="301">
                  <c:v>297</c:v>
                </c:pt>
                <c:pt idx="302">
                  <c:v>298</c:v>
                </c:pt>
                <c:pt idx="303">
                  <c:v>299</c:v>
                </c:pt>
                <c:pt idx="304">
                  <c:v>300</c:v>
                </c:pt>
                <c:pt idx="305">
                  <c:v>301</c:v>
                </c:pt>
                <c:pt idx="306">
                  <c:v>302</c:v>
                </c:pt>
                <c:pt idx="307">
                  <c:v>303</c:v>
                </c:pt>
                <c:pt idx="308">
                  <c:v>304</c:v>
                </c:pt>
                <c:pt idx="309">
                  <c:v>305</c:v>
                </c:pt>
                <c:pt idx="310">
                  <c:v>306</c:v>
                </c:pt>
                <c:pt idx="311">
                  <c:v>307</c:v>
                </c:pt>
                <c:pt idx="312">
                  <c:v>308</c:v>
                </c:pt>
                <c:pt idx="313">
                  <c:v>309</c:v>
                </c:pt>
                <c:pt idx="314">
                  <c:v>310</c:v>
                </c:pt>
                <c:pt idx="315">
                  <c:v>311</c:v>
                </c:pt>
                <c:pt idx="316">
                  <c:v>312</c:v>
                </c:pt>
                <c:pt idx="317">
                  <c:v>313</c:v>
                </c:pt>
                <c:pt idx="318">
                  <c:v>314</c:v>
                </c:pt>
                <c:pt idx="319">
                  <c:v>315</c:v>
                </c:pt>
                <c:pt idx="320">
                  <c:v>316</c:v>
                </c:pt>
                <c:pt idx="321">
                  <c:v>317</c:v>
                </c:pt>
                <c:pt idx="322">
                  <c:v>318</c:v>
                </c:pt>
                <c:pt idx="323">
                  <c:v>319</c:v>
                </c:pt>
                <c:pt idx="324">
                  <c:v>320</c:v>
                </c:pt>
                <c:pt idx="325">
                  <c:v>321</c:v>
                </c:pt>
                <c:pt idx="326">
                  <c:v>322</c:v>
                </c:pt>
                <c:pt idx="327">
                  <c:v>323</c:v>
                </c:pt>
                <c:pt idx="328">
                  <c:v>324</c:v>
                </c:pt>
                <c:pt idx="329">
                  <c:v>325</c:v>
                </c:pt>
                <c:pt idx="330">
                  <c:v>326</c:v>
                </c:pt>
                <c:pt idx="331">
                  <c:v>327</c:v>
                </c:pt>
                <c:pt idx="332">
                  <c:v>328</c:v>
                </c:pt>
                <c:pt idx="333">
                  <c:v>329</c:v>
                </c:pt>
                <c:pt idx="334">
                  <c:v>330</c:v>
                </c:pt>
                <c:pt idx="335">
                  <c:v>331</c:v>
                </c:pt>
                <c:pt idx="336">
                  <c:v>332</c:v>
                </c:pt>
                <c:pt idx="337">
                  <c:v>333</c:v>
                </c:pt>
                <c:pt idx="338">
                  <c:v>334</c:v>
                </c:pt>
                <c:pt idx="339">
                  <c:v>335</c:v>
                </c:pt>
                <c:pt idx="340">
                  <c:v>336</c:v>
                </c:pt>
                <c:pt idx="341">
                  <c:v>337</c:v>
                </c:pt>
                <c:pt idx="342">
                  <c:v>338</c:v>
                </c:pt>
                <c:pt idx="343">
                  <c:v>339</c:v>
                </c:pt>
                <c:pt idx="344">
                  <c:v>340</c:v>
                </c:pt>
                <c:pt idx="345">
                  <c:v>341</c:v>
                </c:pt>
                <c:pt idx="346">
                  <c:v>342</c:v>
                </c:pt>
                <c:pt idx="347">
                  <c:v>343</c:v>
                </c:pt>
                <c:pt idx="348">
                  <c:v>344</c:v>
                </c:pt>
                <c:pt idx="349">
                  <c:v>345</c:v>
                </c:pt>
                <c:pt idx="350">
                  <c:v>346</c:v>
                </c:pt>
                <c:pt idx="351">
                  <c:v>347</c:v>
                </c:pt>
                <c:pt idx="352">
                  <c:v>348</c:v>
                </c:pt>
                <c:pt idx="353">
                  <c:v>349</c:v>
                </c:pt>
                <c:pt idx="354">
                  <c:v>350</c:v>
                </c:pt>
                <c:pt idx="355">
                  <c:v>351</c:v>
                </c:pt>
                <c:pt idx="356">
                  <c:v>352</c:v>
                </c:pt>
                <c:pt idx="357">
                  <c:v>353</c:v>
                </c:pt>
                <c:pt idx="358">
                  <c:v>354</c:v>
                </c:pt>
                <c:pt idx="359">
                  <c:v>355</c:v>
                </c:pt>
                <c:pt idx="360">
                  <c:v>356</c:v>
                </c:pt>
                <c:pt idx="361">
                  <c:v>357</c:v>
                </c:pt>
                <c:pt idx="362">
                  <c:v>358</c:v>
                </c:pt>
                <c:pt idx="363">
                  <c:v>359</c:v>
                </c:pt>
                <c:pt idx="364">
                  <c:v>360</c:v>
                </c:pt>
                <c:pt idx="365">
                  <c:v>361</c:v>
                </c:pt>
                <c:pt idx="366">
                  <c:v>362</c:v>
                </c:pt>
                <c:pt idx="367">
                  <c:v>363</c:v>
                </c:pt>
                <c:pt idx="368">
                  <c:v>364</c:v>
                </c:pt>
                <c:pt idx="369">
                  <c:v>365</c:v>
                </c:pt>
                <c:pt idx="370">
                  <c:v>366</c:v>
                </c:pt>
                <c:pt idx="371">
                  <c:v>367</c:v>
                </c:pt>
                <c:pt idx="372">
                  <c:v>368</c:v>
                </c:pt>
                <c:pt idx="373">
                  <c:v>369</c:v>
                </c:pt>
                <c:pt idx="374">
                  <c:v>370</c:v>
                </c:pt>
                <c:pt idx="375">
                  <c:v>371</c:v>
                </c:pt>
                <c:pt idx="376">
                  <c:v>372</c:v>
                </c:pt>
                <c:pt idx="377">
                  <c:v>373</c:v>
                </c:pt>
                <c:pt idx="378">
                  <c:v>374</c:v>
                </c:pt>
                <c:pt idx="379">
                  <c:v>375</c:v>
                </c:pt>
                <c:pt idx="380">
                  <c:v>376</c:v>
                </c:pt>
                <c:pt idx="381">
                  <c:v>377</c:v>
                </c:pt>
                <c:pt idx="382">
                  <c:v>378</c:v>
                </c:pt>
                <c:pt idx="383">
                  <c:v>379</c:v>
                </c:pt>
                <c:pt idx="384">
                  <c:v>380</c:v>
                </c:pt>
                <c:pt idx="385">
                  <c:v>381</c:v>
                </c:pt>
                <c:pt idx="386">
                  <c:v>382</c:v>
                </c:pt>
                <c:pt idx="387">
                  <c:v>383</c:v>
                </c:pt>
                <c:pt idx="388">
                  <c:v>384</c:v>
                </c:pt>
                <c:pt idx="389">
                  <c:v>385</c:v>
                </c:pt>
                <c:pt idx="390">
                  <c:v>386</c:v>
                </c:pt>
                <c:pt idx="391">
                  <c:v>387</c:v>
                </c:pt>
                <c:pt idx="392">
                  <c:v>388</c:v>
                </c:pt>
                <c:pt idx="393">
                  <c:v>389</c:v>
                </c:pt>
                <c:pt idx="394">
                  <c:v>390</c:v>
                </c:pt>
                <c:pt idx="395">
                  <c:v>391</c:v>
                </c:pt>
                <c:pt idx="396">
                  <c:v>392</c:v>
                </c:pt>
                <c:pt idx="397">
                  <c:v>393</c:v>
                </c:pt>
                <c:pt idx="398">
                  <c:v>394</c:v>
                </c:pt>
                <c:pt idx="399">
                  <c:v>395</c:v>
                </c:pt>
                <c:pt idx="400">
                  <c:v>396</c:v>
                </c:pt>
                <c:pt idx="401">
                  <c:v>397</c:v>
                </c:pt>
                <c:pt idx="402">
                  <c:v>398</c:v>
                </c:pt>
                <c:pt idx="403">
                  <c:v>399</c:v>
                </c:pt>
                <c:pt idx="404">
                  <c:v>400</c:v>
                </c:pt>
                <c:pt idx="405">
                  <c:v>401</c:v>
                </c:pt>
                <c:pt idx="406">
                  <c:v>402</c:v>
                </c:pt>
                <c:pt idx="407">
                  <c:v>403</c:v>
                </c:pt>
                <c:pt idx="408">
                  <c:v>404</c:v>
                </c:pt>
                <c:pt idx="409">
                  <c:v>405</c:v>
                </c:pt>
                <c:pt idx="410">
                  <c:v>406</c:v>
                </c:pt>
                <c:pt idx="411">
                  <c:v>407</c:v>
                </c:pt>
                <c:pt idx="412">
                  <c:v>408</c:v>
                </c:pt>
                <c:pt idx="413">
                  <c:v>409</c:v>
                </c:pt>
                <c:pt idx="414">
                  <c:v>410</c:v>
                </c:pt>
                <c:pt idx="415">
                  <c:v>411</c:v>
                </c:pt>
                <c:pt idx="416">
                  <c:v>412</c:v>
                </c:pt>
                <c:pt idx="417">
                  <c:v>413</c:v>
                </c:pt>
                <c:pt idx="418">
                  <c:v>414</c:v>
                </c:pt>
                <c:pt idx="419">
                  <c:v>415</c:v>
                </c:pt>
                <c:pt idx="420">
                  <c:v>416</c:v>
                </c:pt>
                <c:pt idx="421">
                  <c:v>417</c:v>
                </c:pt>
                <c:pt idx="422">
                  <c:v>418</c:v>
                </c:pt>
                <c:pt idx="423">
                  <c:v>419</c:v>
                </c:pt>
                <c:pt idx="424">
                  <c:v>420</c:v>
                </c:pt>
                <c:pt idx="425">
                  <c:v>421</c:v>
                </c:pt>
                <c:pt idx="426">
                  <c:v>422</c:v>
                </c:pt>
                <c:pt idx="427">
                  <c:v>423</c:v>
                </c:pt>
                <c:pt idx="428">
                  <c:v>424</c:v>
                </c:pt>
                <c:pt idx="429">
                  <c:v>425</c:v>
                </c:pt>
                <c:pt idx="430">
                  <c:v>426</c:v>
                </c:pt>
                <c:pt idx="431">
                  <c:v>427</c:v>
                </c:pt>
                <c:pt idx="432">
                  <c:v>428</c:v>
                </c:pt>
                <c:pt idx="433">
                  <c:v>429</c:v>
                </c:pt>
                <c:pt idx="434">
                  <c:v>430</c:v>
                </c:pt>
                <c:pt idx="435">
                  <c:v>431</c:v>
                </c:pt>
                <c:pt idx="436">
                  <c:v>432</c:v>
                </c:pt>
                <c:pt idx="437">
                  <c:v>433</c:v>
                </c:pt>
                <c:pt idx="438">
                  <c:v>434</c:v>
                </c:pt>
                <c:pt idx="439">
                  <c:v>435</c:v>
                </c:pt>
                <c:pt idx="440">
                  <c:v>436</c:v>
                </c:pt>
                <c:pt idx="441">
                  <c:v>437</c:v>
                </c:pt>
                <c:pt idx="442">
                  <c:v>438</c:v>
                </c:pt>
                <c:pt idx="443">
                  <c:v>439</c:v>
                </c:pt>
                <c:pt idx="444">
                  <c:v>440</c:v>
                </c:pt>
                <c:pt idx="445">
                  <c:v>441</c:v>
                </c:pt>
                <c:pt idx="446">
                  <c:v>442</c:v>
                </c:pt>
                <c:pt idx="447">
                  <c:v>443</c:v>
                </c:pt>
                <c:pt idx="448">
                  <c:v>444</c:v>
                </c:pt>
                <c:pt idx="449">
                  <c:v>445</c:v>
                </c:pt>
                <c:pt idx="450">
                  <c:v>446</c:v>
                </c:pt>
                <c:pt idx="451">
                  <c:v>447</c:v>
                </c:pt>
                <c:pt idx="452">
                  <c:v>448</c:v>
                </c:pt>
                <c:pt idx="453">
                  <c:v>449</c:v>
                </c:pt>
                <c:pt idx="454">
                  <c:v>450</c:v>
                </c:pt>
                <c:pt idx="455">
                  <c:v>451</c:v>
                </c:pt>
                <c:pt idx="456">
                  <c:v>452</c:v>
                </c:pt>
                <c:pt idx="457">
                  <c:v>453</c:v>
                </c:pt>
                <c:pt idx="458">
                  <c:v>454</c:v>
                </c:pt>
                <c:pt idx="459">
                  <c:v>455</c:v>
                </c:pt>
                <c:pt idx="460">
                  <c:v>456</c:v>
                </c:pt>
                <c:pt idx="461">
                  <c:v>457</c:v>
                </c:pt>
                <c:pt idx="462">
                  <c:v>458</c:v>
                </c:pt>
                <c:pt idx="463">
                  <c:v>459</c:v>
                </c:pt>
                <c:pt idx="464">
                  <c:v>460</c:v>
                </c:pt>
                <c:pt idx="465">
                  <c:v>461</c:v>
                </c:pt>
                <c:pt idx="466">
                  <c:v>462</c:v>
                </c:pt>
                <c:pt idx="467">
                  <c:v>463</c:v>
                </c:pt>
                <c:pt idx="468">
                  <c:v>464</c:v>
                </c:pt>
                <c:pt idx="469">
                  <c:v>465</c:v>
                </c:pt>
                <c:pt idx="470">
                  <c:v>466</c:v>
                </c:pt>
                <c:pt idx="471">
                  <c:v>467</c:v>
                </c:pt>
                <c:pt idx="472">
                  <c:v>468</c:v>
                </c:pt>
                <c:pt idx="473">
                  <c:v>469</c:v>
                </c:pt>
                <c:pt idx="474">
                  <c:v>470</c:v>
                </c:pt>
                <c:pt idx="475">
                  <c:v>471</c:v>
                </c:pt>
                <c:pt idx="476">
                  <c:v>472</c:v>
                </c:pt>
                <c:pt idx="477">
                  <c:v>473</c:v>
                </c:pt>
                <c:pt idx="478">
                  <c:v>474</c:v>
                </c:pt>
                <c:pt idx="479">
                  <c:v>475</c:v>
                </c:pt>
                <c:pt idx="480">
                  <c:v>476</c:v>
                </c:pt>
                <c:pt idx="481">
                  <c:v>477</c:v>
                </c:pt>
                <c:pt idx="482">
                  <c:v>478</c:v>
                </c:pt>
                <c:pt idx="483">
                  <c:v>479</c:v>
                </c:pt>
                <c:pt idx="484">
                  <c:v>480</c:v>
                </c:pt>
                <c:pt idx="485">
                  <c:v>481</c:v>
                </c:pt>
                <c:pt idx="486">
                  <c:v>482</c:v>
                </c:pt>
                <c:pt idx="487">
                  <c:v>483</c:v>
                </c:pt>
                <c:pt idx="488">
                  <c:v>484</c:v>
                </c:pt>
                <c:pt idx="489">
                  <c:v>485</c:v>
                </c:pt>
                <c:pt idx="490">
                  <c:v>486</c:v>
                </c:pt>
                <c:pt idx="491">
                  <c:v>487</c:v>
                </c:pt>
                <c:pt idx="492">
                  <c:v>488</c:v>
                </c:pt>
                <c:pt idx="493">
                  <c:v>489</c:v>
                </c:pt>
                <c:pt idx="494">
                  <c:v>490</c:v>
                </c:pt>
                <c:pt idx="495">
                  <c:v>491</c:v>
                </c:pt>
                <c:pt idx="496">
                  <c:v>492</c:v>
                </c:pt>
                <c:pt idx="497">
                  <c:v>493</c:v>
                </c:pt>
                <c:pt idx="498">
                  <c:v>494</c:v>
                </c:pt>
                <c:pt idx="499">
                  <c:v>495</c:v>
                </c:pt>
                <c:pt idx="500">
                  <c:v>496</c:v>
                </c:pt>
                <c:pt idx="501">
                  <c:v>497</c:v>
                </c:pt>
                <c:pt idx="502">
                  <c:v>498</c:v>
                </c:pt>
                <c:pt idx="503">
                  <c:v>499</c:v>
                </c:pt>
                <c:pt idx="504">
                  <c:v>500</c:v>
                </c:pt>
                <c:pt idx="505">
                  <c:v>501</c:v>
                </c:pt>
                <c:pt idx="506">
                  <c:v>502</c:v>
                </c:pt>
                <c:pt idx="507">
                  <c:v>503</c:v>
                </c:pt>
                <c:pt idx="508">
                  <c:v>504</c:v>
                </c:pt>
                <c:pt idx="509">
                  <c:v>505</c:v>
                </c:pt>
                <c:pt idx="510">
                  <c:v>506</c:v>
                </c:pt>
                <c:pt idx="511">
                  <c:v>507</c:v>
                </c:pt>
                <c:pt idx="512">
                  <c:v>508</c:v>
                </c:pt>
                <c:pt idx="513">
                  <c:v>509</c:v>
                </c:pt>
                <c:pt idx="514">
                  <c:v>510</c:v>
                </c:pt>
                <c:pt idx="515">
                  <c:v>511</c:v>
                </c:pt>
                <c:pt idx="516">
                  <c:v>512</c:v>
                </c:pt>
                <c:pt idx="517">
                  <c:v>513</c:v>
                </c:pt>
                <c:pt idx="518">
                  <c:v>514</c:v>
                </c:pt>
                <c:pt idx="519">
                  <c:v>515</c:v>
                </c:pt>
                <c:pt idx="520">
                  <c:v>516</c:v>
                </c:pt>
                <c:pt idx="521">
                  <c:v>517</c:v>
                </c:pt>
                <c:pt idx="522">
                  <c:v>518</c:v>
                </c:pt>
                <c:pt idx="523">
                  <c:v>519</c:v>
                </c:pt>
                <c:pt idx="524">
                  <c:v>520</c:v>
                </c:pt>
                <c:pt idx="525">
                  <c:v>521</c:v>
                </c:pt>
                <c:pt idx="526">
                  <c:v>522</c:v>
                </c:pt>
                <c:pt idx="527">
                  <c:v>523</c:v>
                </c:pt>
                <c:pt idx="528">
                  <c:v>524</c:v>
                </c:pt>
                <c:pt idx="529">
                  <c:v>525</c:v>
                </c:pt>
                <c:pt idx="530">
                  <c:v>526</c:v>
                </c:pt>
                <c:pt idx="531">
                  <c:v>527</c:v>
                </c:pt>
                <c:pt idx="532">
                  <c:v>528</c:v>
                </c:pt>
                <c:pt idx="533">
                  <c:v>529</c:v>
                </c:pt>
                <c:pt idx="534">
                  <c:v>530</c:v>
                </c:pt>
                <c:pt idx="535">
                  <c:v>531</c:v>
                </c:pt>
                <c:pt idx="536">
                  <c:v>532</c:v>
                </c:pt>
                <c:pt idx="537">
                  <c:v>533</c:v>
                </c:pt>
                <c:pt idx="538">
                  <c:v>534</c:v>
                </c:pt>
                <c:pt idx="539">
                  <c:v>535</c:v>
                </c:pt>
                <c:pt idx="540">
                  <c:v>536</c:v>
                </c:pt>
                <c:pt idx="541">
                  <c:v>537</c:v>
                </c:pt>
                <c:pt idx="542">
                  <c:v>538</c:v>
                </c:pt>
                <c:pt idx="543">
                  <c:v>539</c:v>
                </c:pt>
                <c:pt idx="544">
                  <c:v>540</c:v>
                </c:pt>
                <c:pt idx="545">
                  <c:v>541</c:v>
                </c:pt>
                <c:pt idx="546">
                  <c:v>542</c:v>
                </c:pt>
                <c:pt idx="547">
                  <c:v>543</c:v>
                </c:pt>
                <c:pt idx="548">
                  <c:v>544</c:v>
                </c:pt>
                <c:pt idx="549">
                  <c:v>545</c:v>
                </c:pt>
                <c:pt idx="550">
                  <c:v>546</c:v>
                </c:pt>
                <c:pt idx="551">
                  <c:v>547</c:v>
                </c:pt>
                <c:pt idx="552">
                  <c:v>548</c:v>
                </c:pt>
                <c:pt idx="553">
                  <c:v>549</c:v>
                </c:pt>
                <c:pt idx="554">
                  <c:v>550</c:v>
                </c:pt>
                <c:pt idx="555">
                  <c:v>551</c:v>
                </c:pt>
                <c:pt idx="556">
                  <c:v>552</c:v>
                </c:pt>
                <c:pt idx="557">
                  <c:v>553</c:v>
                </c:pt>
                <c:pt idx="558">
                  <c:v>554</c:v>
                </c:pt>
                <c:pt idx="559">
                  <c:v>555</c:v>
                </c:pt>
                <c:pt idx="560">
                  <c:v>556</c:v>
                </c:pt>
                <c:pt idx="561">
                  <c:v>557</c:v>
                </c:pt>
                <c:pt idx="562">
                  <c:v>558</c:v>
                </c:pt>
                <c:pt idx="563">
                  <c:v>559</c:v>
                </c:pt>
                <c:pt idx="564">
                  <c:v>560</c:v>
                </c:pt>
                <c:pt idx="565">
                  <c:v>561</c:v>
                </c:pt>
                <c:pt idx="566">
                  <c:v>562</c:v>
                </c:pt>
                <c:pt idx="567">
                  <c:v>563</c:v>
                </c:pt>
                <c:pt idx="568">
                  <c:v>564</c:v>
                </c:pt>
                <c:pt idx="569">
                  <c:v>565</c:v>
                </c:pt>
                <c:pt idx="570">
                  <c:v>566</c:v>
                </c:pt>
                <c:pt idx="571">
                  <c:v>567</c:v>
                </c:pt>
                <c:pt idx="572">
                  <c:v>568</c:v>
                </c:pt>
                <c:pt idx="573">
                  <c:v>569</c:v>
                </c:pt>
                <c:pt idx="574">
                  <c:v>570</c:v>
                </c:pt>
                <c:pt idx="575">
                  <c:v>571</c:v>
                </c:pt>
                <c:pt idx="576">
                  <c:v>572</c:v>
                </c:pt>
                <c:pt idx="577">
                  <c:v>573</c:v>
                </c:pt>
                <c:pt idx="578">
                  <c:v>574</c:v>
                </c:pt>
                <c:pt idx="579">
                  <c:v>575</c:v>
                </c:pt>
                <c:pt idx="580">
                  <c:v>576</c:v>
                </c:pt>
                <c:pt idx="581">
                  <c:v>577</c:v>
                </c:pt>
                <c:pt idx="582">
                  <c:v>578</c:v>
                </c:pt>
                <c:pt idx="583">
                  <c:v>579</c:v>
                </c:pt>
                <c:pt idx="584">
                  <c:v>580</c:v>
                </c:pt>
                <c:pt idx="585">
                  <c:v>581</c:v>
                </c:pt>
                <c:pt idx="586">
                  <c:v>582</c:v>
                </c:pt>
                <c:pt idx="587">
                  <c:v>583</c:v>
                </c:pt>
                <c:pt idx="588">
                  <c:v>584</c:v>
                </c:pt>
                <c:pt idx="589">
                  <c:v>585</c:v>
                </c:pt>
                <c:pt idx="590">
                  <c:v>586</c:v>
                </c:pt>
                <c:pt idx="591">
                  <c:v>587</c:v>
                </c:pt>
                <c:pt idx="592">
                  <c:v>588</c:v>
                </c:pt>
                <c:pt idx="593">
                  <c:v>589</c:v>
                </c:pt>
                <c:pt idx="594">
                  <c:v>590</c:v>
                </c:pt>
                <c:pt idx="595">
                  <c:v>591</c:v>
                </c:pt>
                <c:pt idx="596">
                  <c:v>592</c:v>
                </c:pt>
                <c:pt idx="597">
                  <c:v>593</c:v>
                </c:pt>
                <c:pt idx="598">
                  <c:v>594</c:v>
                </c:pt>
                <c:pt idx="599">
                  <c:v>595</c:v>
                </c:pt>
                <c:pt idx="600">
                  <c:v>596</c:v>
                </c:pt>
                <c:pt idx="601">
                  <c:v>597</c:v>
                </c:pt>
                <c:pt idx="602">
                  <c:v>598</c:v>
                </c:pt>
                <c:pt idx="603">
                  <c:v>599</c:v>
                </c:pt>
                <c:pt idx="604">
                  <c:v>600</c:v>
                </c:pt>
                <c:pt idx="605">
                  <c:v>601</c:v>
                </c:pt>
                <c:pt idx="606">
                  <c:v>602</c:v>
                </c:pt>
                <c:pt idx="607">
                  <c:v>603</c:v>
                </c:pt>
                <c:pt idx="608">
                  <c:v>604</c:v>
                </c:pt>
                <c:pt idx="609">
                  <c:v>605</c:v>
                </c:pt>
                <c:pt idx="610">
                  <c:v>606</c:v>
                </c:pt>
                <c:pt idx="611">
                  <c:v>607</c:v>
                </c:pt>
                <c:pt idx="612">
                  <c:v>608</c:v>
                </c:pt>
                <c:pt idx="613">
                  <c:v>609</c:v>
                </c:pt>
                <c:pt idx="614">
                  <c:v>610</c:v>
                </c:pt>
                <c:pt idx="615">
                  <c:v>611</c:v>
                </c:pt>
                <c:pt idx="616">
                  <c:v>612</c:v>
                </c:pt>
                <c:pt idx="617">
                  <c:v>613</c:v>
                </c:pt>
                <c:pt idx="618">
                  <c:v>614</c:v>
                </c:pt>
                <c:pt idx="619">
                  <c:v>615</c:v>
                </c:pt>
                <c:pt idx="620">
                  <c:v>616</c:v>
                </c:pt>
                <c:pt idx="621">
                  <c:v>617</c:v>
                </c:pt>
                <c:pt idx="622">
                  <c:v>618</c:v>
                </c:pt>
                <c:pt idx="623">
                  <c:v>619</c:v>
                </c:pt>
                <c:pt idx="624">
                  <c:v>620</c:v>
                </c:pt>
                <c:pt idx="625">
                  <c:v>621</c:v>
                </c:pt>
                <c:pt idx="626">
                  <c:v>622</c:v>
                </c:pt>
                <c:pt idx="627">
                  <c:v>623</c:v>
                </c:pt>
                <c:pt idx="628">
                  <c:v>624</c:v>
                </c:pt>
                <c:pt idx="629">
                  <c:v>625</c:v>
                </c:pt>
                <c:pt idx="630">
                  <c:v>626</c:v>
                </c:pt>
                <c:pt idx="631">
                  <c:v>627</c:v>
                </c:pt>
                <c:pt idx="632">
                  <c:v>628</c:v>
                </c:pt>
                <c:pt idx="633">
                  <c:v>629</c:v>
                </c:pt>
                <c:pt idx="634">
                  <c:v>630</c:v>
                </c:pt>
                <c:pt idx="635">
                  <c:v>631</c:v>
                </c:pt>
                <c:pt idx="636">
                  <c:v>632</c:v>
                </c:pt>
                <c:pt idx="637">
                  <c:v>633</c:v>
                </c:pt>
                <c:pt idx="638">
                  <c:v>634</c:v>
                </c:pt>
                <c:pt idx="639">
                  <c:v>635</c:v>
                </c:pt>
                <c:pt idx="640">
                  <c:v>636</c:v>
                </c:pt>
                <c:pt idx="641">
                  <c:v>637</c:v>
                </c:pt>
                <c:pt idx="642">
                  <c:v>638</c:v>
                </c:pt>
                <c:pt idx="643">
                  <c:v>639</c:v>
                </c:pt>
                <c:pt idx="644">
                  <c:v>640</c:v>
                </c:pt>
                <c:pt idx="645">
                  <c:v>641</c:v>
                </c:pt>
                <c:pt idx="646">
                  <c:v>642</c:v>
                </c:pt>
                <c:pt idx="647">
                  <c:v>643</c:v>
                </c:pt>
                <c:pt idx="648">
                  <c:v>644</c:v>
                </c:pt>
                <c:pt idx="649">
                  <c:v>645</c:v>
                </c:pt>
                <c:pt idx="650">
                  <c:v>646</c:v>
                </c:pt>
                <c:pt idx="651">
                  <c:v>647</c:v>
                </c:pt>
                <c:pt idx="652">
                  <c:v>648</c:v>
                </c:pt>
                <c:pt idx="653">
                  <c:v>649</c:v>
                </c:pt>
                <c:pt idx="654">
                  <c:v>650</c:v>
                </c:pt>
                <c:pt idx="655">
                  <c:v>651</c:v>
                </c:pt>
                <c:pt idx="656">
                  <c:v>652</c:v>
                </c:pt>
                <c:pt idx="657">
                  <c:v>653</c:v>
                </c:pt>
                <c:pt idx="658">
                  <c:v>654</c:v>
                </c:pt>
                <c:pt idx="659">
                  <c:v>655</c:v>
                </c:pt>
                <c:pt idx="660">
                  <c:v>656</c:v>
                </c:pt>
                <c:pt idx="661">
                  <c:v>657</c:v>
                </c:pt>
                <c:pt idx="662">
                  <c:v>658</c:v>
                </c:pt>
                <c:pt idx="663">
                  <c:v>659</c:v>
                </c:pt>
                <c:pt idx="664">
                  <c:v>660</c:v>
                </c:pt>
                <c:pt idx="665">
                  <c:v>661</c:v>
                </c:pt>
                <c:pt idx="666">
                  <c:v>662</c:v>
                </c:pt>
                <c:pt idx="667">
                  <c:v>663</c:v>
                </c:pt>
                <c:pt idx="668">
                  <c:v>664</c:v>
                </c:pt>
                <c:pt idx="669">
                  <c:v>665</c:v>
                </c:pt>
                <c:pt idx="670">
                  <c:v>666</c:v>
                </c:pt>
                <c:pt idx="671">
                  <c:v>667</c:v>
                </c:pt>
                <c:pt idx="672">
                  <c:v>668</c:v>
                </c:pt>
                <c:pt idx="673">
                  <c:v>669</c:v>
                </c:pt>
                <c:pt idx="674">
                  <c:v>670</c:v>
                </c:pt>
                <c:pt idx="675">
                  <c:v>671</c:v>
                </c:pt>
                <c:pt idx="676">
                  <c:v>672</c:v>
                </c:pt>
                <c:pt idx="677">
                  <c:v>673</c:v>
                </c:pt>
                <c:pt idx="678">
                  <c:v>674</c:v>
                </c:pt>
                <c:pt idx="679">
                  <c:v>675</c:v>
                </c:pt>
                <c:pt idx="680">
                  <c:v>676</c:v>
                </c:pt>
                <c:pt idx="681">
                  <c:v>677</c:v>
                </c:pt>
                <c:pt idx="682">
                  <c:v>678</c:v>
                </c:pt>
                <c:pt idx="683">
                  <c:v>679</c:v>
                </c:pt>
                <c:pt idx="684">
                  <c:v>680</c:v>
                </c:pt>
                <c:pt idx="685">
                  <c:v>681</c:v>
                </c:pt>
                <c:pt idx="686">
                  <c:v>682</c:v>
                </c:pt>
                <c:pt idx="687">
                  <c:v>683</c:v>
                </c:pt>
                <c:pt idx="688">
                  <c:v>684</c:v>
                </c:pt>
                <c:pt idx="689">
                  <c:v>685</c:v>
                </c:pt>
                <c:pt idx="690">
                  <c:v>686</c:v>
                </c:pt>
                <c:pt idx="691">
                  <c:v>687</c:v>
                </c:pt>
                <c:pt idx="692">
                  <c:v>688</c:v>
                </c:pt>
                <c:pt idx="693">
                  <c:v>689</c:v>
                </c:pt>
                <c:pt idx="694">
                  <c:v>690</c:v>
                </c:pt>
                <c:pt idx="695">
                  <c:v>691</c:v>
                </c:pt>
                <c:pt idx="696">
                  <c:v>692</c:v>
                </c:pt>
                <c:pt idx="697">
                  <c:v>693</c:v>
                </c:pt>
                <c:pt idx="698">
                  <c:v>694</c:v>
                </c:pt>
                <c:pt idx="699">
                  <c:v>695</c:v>
                </c:pt>
                <c:pt idx="700">
                  <c:v>696</c:v>
                </c:pt>
                <c:pt idx="701">
                  <c:v>697</c:v>
                </c:pt>
                <c:pt idx="702">
                  <c:v>698</c:v>
                </c:pt>
                <c:pt idx="703">
                  <c:v>699</c:v>
                </c:pt>
                <c:pt idx="704">
                  <c:v>700</c:v>
                </c:pt>
                <c:pt idx="705">
                  <c:v>701</c:v>
                </c:pt>
                <c:pt idx="706">
                  <c:v>702</c:v>
                </c:pt>
                <c:pt idx="707">
                  <c:v>703</c:v>
                </c:pt>
                <c:pt idx="708">
                  <c:v>704</c:v>
                </c:pt>
                <c:pt idx="709">
                  <c:v>705</c:v>
                </c:pt>
                <c:pt idx="710">
                  <c:v>706</c:v>
                </c:pt>
                <c:pt idx="711">
                  <c:v>707</c:v>
                </c:pt>
                <c:pt idx="712">
                  <c:v>708</c:v>
                </c:pt>
                <c:pt idx="713">
                  <c:v>709</c:v>
                </c:pt>
                <c:pt idx="714">
                  <c:v>710</c:v>
                </c:pt>
                <c:pt idx="715">
                  <c:v>711</c:v>
                </c:pt>
                <c:pt idx="716">
                  <c:v>712</c:v>
                </c:pt>
                <c:pt idx="717">
                  <c:v>713</c:v>
                </c:pt>
                <c:pt idx="718">
                  <c:v>714</c:v>
                </c:pt>
                <c:pt idx="719">
                  <c:v>715</c:v>
                </c:pt>
                <c:pt idx="720">
                  <c:v>716</c:v>
                </c:pt>
                <c:pt idx="721">
                  <c:v>717</c:v>
                </c:pt>
                <c:pt idx="722">
                  <c:v>718</c:v>
                </c:pt>
                <c:pt idx="723">
                  <c:v>719</c:v>
                </c:pt>
                <c:pt idx="724">
                  <c:v>720</c:v>
                </c:pt>
                <c:pt idx="725">
                  <c:v>721</c:v>
                </c:pt>
                <c:pt idx="726">
                  <c:v>722</c:v>
                </c:pt>
                <c:pt idx="727">
                  <c:v>723</c:v>
                </c:pt>
                <c:pt idx="728">
                  <c:v>724</c:v>
                </c:pt>
                <c:pt idx="729">
                  <c:v>725</c:v>
                </c:pt>
                <c:pt idx="730">
                  <c:v>726</c:v>
                </c:pt>
                <c:pt idx="731">
                  <c:v>727</c:v>
                </c:pt>
                <c:pt idx="732">
                  <c:v>728</c:v>
                </c:pt>
                <c:pt idx="733">
                  <c:v>729</c:v>
                </c:pt>
                <c:pt idx="734">
                  <c:v>730</c:v>
                </c:pt>
              </c:strCache>
            </c:strRef>
          </c:xVal>
          <c:yVal>
            <c:numRef>
              <c:f>Observaciones!$L:$L</c:f>
              <c:numCache>
                <c:formatCode>0.0</c:formatCode>
                <c:ptCount val="1048576"/>
                <c:pt idx="4">
                  <c:v>0</c:v>
                </c:pt>
                <c:pt idx="5">
                  <c:v>2.6358852226188021</c:v>
                </c:pt>
                <c:pt idx="6">
                  <c:v>0.84562130567263949</c:v>
                </c:pt>
                <c:pt idx="7">
                  <c:v>1.2544264455099672</c:v>
                </c:pt>
                <c:pt idx="8">
                  <c:v>0.86545968799630535</c:v>
                </c:pt>
                <c:pt idx="9">
                  <c:v>0.87401138708168846</c:v>
                </c:pt>
                <c:pt idx="10">
                  <c:v>1.9049229743664646</c:v>
                </c:pt>
                <c:pt idx="11">
                  <c:v>0.89378298074723239</c:v>
                </c:pt>
                <c:pt idx="12">
                  <c:v>0.8966474132540414</c:v>
                </c:pt>
                <c:pt idx="13">
                  <c:v>0.89853350491710149</c:v>
                </c:pt>
                <c:pt idx="14">
                  <c:v>0.89951518062780633</c:v>
                </c:pt>
                <c:pt idx="15">
                  <c:v>0.90044868298428149</c:v>
                </c:pt>
                <c:pt idx="16">
                  <c:v>2.1076306730857404</c:v>
                </c:pt>
                <c:pt idx="17">
                  <c:v>0.91922953932504359</c:v>
                </c:pt>
                <c:pt idx="18">
                  <c:v>0.92163806911027246</c:v>
                </c:pt>
                <c:pt idx="19">
                  <c:v>0.92322092317354287</c:v>
                </c:pt>
                <c:pt idx="20">
                  <c:v>0.92386977531693359</c:v>
                </c:pt>
                <c:pt idx="21">
                  <c:v>0.9294296188990443</c:v>
                </c:pt>
                <c:pt idx="22">
                  <c:v>0.93132490658292566</c:v>
                </c:pt>
                <c:pt idx="23">
                  <c:v>0.9368486446936386</c:v>
                </c:pt>
                <c:pt idx="24">
                  <c:v>0.94068375861574172</c:v>
                </c:pt>
                <c:pt idx="25">
                  <c:v>0.9452542866849678</c:v>
                </c:pt>
                <c:pt idx="26">
                  <c:v>0.94785144308436564</c:v>
                </c:pt>
                <c:pt idx="27">
                  <c:v>2.9003443044225752</c:v>
                </c:pt>
                <c:pt idx="28">
                  <c:v>0.96642155793051931</c:v>
                </c:pt>
                <c:pt idx="29">
                  <c:v>0.96920014808726296</c:v>
                </c:pt>
                <c:pt idx="30">
                  <c:v>0.97217805225851139</c:v>
                </c:pt>
                <c:pt idx="31">
                  <c:v>0.97412645915117291</c:v>
                </c:pt>
                <c:pt idx="32">
                  <c:v>0.97511677178961997</c:v>
                </c:pt>
                <c:pt idx="33">
                  <c:v>0.97570962148594531</c:v>
                </c:pt>
                <c:pt idx="34">
                  <c:v>0.97728961166030259</c:v>
                </c:pt>
                <c:pt idx="35">
                  <c:v>0.97843217465731191</c:v>
                </c:pt>
                <c:pt idx="36">
                  <c:v>0.97904930894569686</c:v>
                </c:pt>
                <c:pt idx="37">
                  <c:v>0.97938005489074698</c:v>
                </c:pt>
                <c:pt idx="38">
                  <c:v>0.97879863202458151</c:v>
                </c:pt>
                <c:pt idx="39">
                  <c:v>0.97831425306794406</c:v>
                </c:pt>
                <c:pt idx="40">
                  <c:v>0.97695186084766872</c:v>
                </c:pt>
                <c:pt idx="41">
                  <c:v>0.97474491431754573</c:v>
                </c:pt>
                <c:pt idx="42">
                  <c:v>0.9863353621729527</c:v>
                </c:pt>
                <c:pt idx="43">
                  <c:v>0.985730905268144</c:v>
                </c:pt>
                <c:pt idx="44">
                  <c:v>0.98485668224762546</c:v>
                </c:pt>
                <c:pt idx="45">
                  <c:v>3.6446997562800254</c:v>
                </c:pt>
                <c:pt idx="46">
                  <c:v>1.0010754661941275</c:v>
                </c:pt>
                <c:pt idx="47">
                  <c:v>1.0026552322127062</c:v>
                </c:pt>
                <c:pt idx="48">
                  <c:v>1.003476629582901</c:v>
                </c:pt>
                <c:pt idx="49">
                  <c:v>1.0033584525755335</c:v>
                </c:pt>
                <c:pt idx="50">
                  <c:v>1.0028288469022764</c:v>
                </c:pt>
                <c:pt idx="51">
                  <c:v>2.3314911773290614</c:v>
                </c:pt>
                <c:pt idx="52">
                  <c:v>1.0187370675949043</c:v>
                </c:pt>
                <c:pt idx="53">
                  <c:v>1.0307948620481349</c:v>
                </c:pt>
                <c:pt idx="54">
                  <c:v>1.0325484460238321</c:v>
                </c:pt>
                <c:pt idx="55">
                  <c:v>4.7149072951742967</c:v>
                </c:pt>
                <c:pt idx="56">
                  <c:v>1.058524051846675</c:v>
                </c:pt>
                <c:pt idx="57">
                  <c:v>1.0640894235756075</c:v>
                </c:pt>
                <c:pt idx="58">
                  <c:v>6.6289806653156962</c:v>
                </c:pt>
                <c:pt idx="59">
                  <c:v>1.0863569810901652</c:v>
                </c:pt>
                <c:pt idx="60">
                  <c:v>1.0910027378169305</c:v>
                </c:pt>
                <c:pt idx="61">
                  <c:v>1.0945781523867031</c:v>
                </c:pt>
                <c:pt idx="62">
                  <c:v>1.0974786707384765</c:v>
                </c:pt>
                <c:pt idx="63">
                  <c:v>1.0995152269471415</c:v>
                </c:pt>
                <c:pt idx="64">
                  <c:v>1.1006131964738437</c:v>
                </c:pt>
                <c:pt idx="65">
                  <c:v>1.1017960334111263</c:v>
                </c:pt>
                <c:pt idx="66">
                  <c:v>1.1020847122339488</c:v>
                </c:pt>
                <c:pt idx="67">
                  <c:v>1.102257011718865</c:v>
                </c:pt>
                <c:pt idx="68">
                  <c:v>1.1015847950662878</c:v>
                </c:pt>
                <c:pt idx="69">
                  <c:v>1.1024636358102891</c:v>
                </c:pt>
                <c:pt idx="70">
                  <c:v>1.1017978614062895</c:v>
                </c:pt>
                <c:pt idx="71">
                  <c:v>9.7231703399355904</c:v>
                </c:pt>
                <c:pt idx="72">
                  <c:v>1.1184740636137809</c:v>
                </c:pt>
                <c:pt idx="73">
                  <c:v>1.5032030778697645</c:v>
                </c:pt>
                <c:pt idx="74">
                  <c:v>1.1360225468554859</c:v>
                </c:pt>
                <c:pt idx="75">
                  <c:v>3.7541337253690221</c:v>
                </c:pt>
                <c:pt idx="76">
                  <c:v>1.1569525420194617</c:v>
                </c:pt>
                <c:pt idx="77">
                  <c:v>1.1627816753791345</c:v>
                </c:pt>
                <c:pt idx="78">
                  <c:v>1.1692256048646983</c:v>
                </c:pt>
                <c:pt idx="79">
                  <c:v>3.325499759288157</c:v>
                </c:pt>
                <c:pt idx="80">
                  <c:v>1.1861626902123361</c:v>
                </c:pt>
                <c:pt idx="81">
                  <c:v>1.1912898391097353</c:v>
                </c:pt>
                <c:pt idx="82">
                  <c:v>1.1954129007626957</c:v>
                </c:pt>
                <c:pt idx="83">
                  <c:v>1.1995682751960035</c:v>
                </c:pt>
                <c:pt idx="84">
                  <c:v>1.2027280058639476</c:v>
                </c:pt>
                <c:pt idx="85">
                  <c:v>1.2054292199177374</c:v>
                </c:pt>
                <c:pt idx="86">
                  <c:v>1.2078827697618437</c:v>
                </c:pt>
                <c:pt idx="87">
                  <c:v>1.2094246870896819</c:v>
                </c:pt>
                <c:pt idx="88">
                  <c:v>1.2100743922214423</c:v>
                </c:pt>
                <c:pt idx="89">
                  <c:v>1.2098880399378018</c:v>
                </c:pt>
                <c:pt idx="90">
                  <c:v>1.208899531122607</c:v>
                </c:pt>
                <c:pt idx="91">
                  <c:v>1.2179337536047621</c:v>
                </c:pt>
                <c:pt idx="92">
                  <c:v>1.2182991651146349</c:v>
                </c:pt>
                <c:pt idx="93">
                  <c:v>1.218338585899057</c:v>
                </c:pt>
                <c:pt idx="94">
                  <c:v>1.2175628227377493</c:v>
                </c:pt>
                <c:pt idx="95">
                  <c:v>1.2160123734037398</c:v>
                </c:pt>
                <c:pt idx="96">
                  <c:v>1.2137193181452783</c:v>
                </c:pt>
                <c:pt idx="97">
                  <c:v>1.2108727199672047</c:v>
                </c:pt>
                <c:pt idx="98">
                  <c:v>1.207365724187226</c:v>
                </c:pt>
                <c:pt idx="99">
                  <c:v>1.2032322861832678</c:v>
                </c:pt>
                <c:pt idx="100">
                  <c:v>1.1985297595762354</c:v>
                </c:pt>
                <c:pt idx="101">
                  <c:v>1.193340523944233</c:v>
                </c:pt>
                <c:pt idx="102">
                  <c:v>1.1878524646815274</c:v>
                </c:pt>
                <c:pt idx="103">
                  <c:v>1.1823204320767975</c:v>
                </c:pt>
                <c:pt idx="104">
                  <c:v>1.1767872708304321</c:v>
                </c:pt>
                <c:pt idx="105">
                  <c:v>1.1712606313970715</c:v>
                </c:pt>
                <c:pt idx="106">
                  <c:v>1.1662367206191875</c:v>
                </c:pt>
                <c:pt idx="107">
                  <c:v>1.161234777154752</c:v>
                </c:pt>
                <c:pt idx="108">
                  <c:v>1.1558054586189161</c:v>
                </c:pt>
                <c:pt idx="109">
                  <c:v>1.1503141683699076</c:v>
                </c:pt>
                <c:pt idx="110">
                  <c:v>1.1448220079263092</c:v>
                </c:pt>
                <c:pt idx="111">
                  <c:v>1.1393395709688425</c:v>
                </c:pt>
                <c:pt idx="112">
                  <c:v>1.1339091489597584</c:v>
                </c:pt>
                <c:pt idx="113">
                  <c:v>1.1284860295623003</c:v>
                </c:pt>
                <c:pt idx="114">
                  <c:v>1.1230462125999083</c:v>
                </c:pt>
                <c:pt idx="115">
                  <c:v>1.1176152016148655</c:v>
                </c:pt>
                <c:pt idx="116">
                  <c:v>1.1122319856321679</c:v>
                </c:pt>
                <c:pt idx="117">
                  <c:v>1.106834161542378</c:v>
                </c:pt>
                <c:pt idx="118">
                  <c:v>1.1014466417597986</c:v>
                </c:pt>
                <c:pt idx="119">
                  <c:v>1.096073918615279</c:v>
                </c:pt>
                <c:pt idx="120">
                  <c:v>1.1026606863314188</c:v>
                </c:pt>
                <c:pt idx="121">
                  <c:v>1.0993777350791443</c:v>
                </c:pt>
                <c:pt idx="122">
                  <c:v>1.0955494752732831</c:v>
                </c:pt>
                <c:pt idx="123">
                  <c:v>1.0911888519390378</c:v>
                </c:pt>
                <c:pt idx="124">
                  <c:v>1.0863378230777889</c:v>
                </c:pt>
                <c:pt idx="125">
                  <c:v>1.0810243980667649</c:v>
                </c:pt>
                <c:pt idx="126">
                  <c:v>1.0755501727424059</c:v>
                </c:pt>
                <c:pt idx="127">
                  <c:v>1.070068123343253</c:v>
                </c:pt>
                <c:pt idx="128">
                  <c:v>1.0646038517875838</c:v>
                </c:pt>
                <c:pt idx="129">
                  <c:v>1.0591618156560973</c:v>
                </c:pt>
                <c:pt idx="130">
                  <c:v>1.0537429557814022</c:v>
                </c:pt>
                <c:pt idx="131">
                  <c:v>1.0483476214784671</c:v>
                </c:pt>
                <c:pt idx="132">
                  <c:v>1.0429760561164645</c:v>
                </c:pt>
                <c:pt idx="133">
                  <c:v>1.0376399326353729</c:v>
                </c:pt>
                <c:pt idx="134">
                  <c:v>1.0292233815672795</c:v>
                </c:pt>
                <c:pt idx="135">
                  <c:v>1.0170427457086608</c:v>
                </c:pt>
                <c:pt idx="136">
                  <c:v>1.0051658836772461</c:v>
                </c:pt>
                <c:pt idx="137">
                  <c:v>0.99345973082039685</c:v>
                </c:pt>
                <c:pt idx="138">
                  <c:v>0.98190066701823331</c:v>
                </c:pt>
                <c:pt idx="139">
                  <c:v>0.97048325356601384</c:v>
                </c:pt>
                <c:pt idx="140">
                  <c:v>0.95920508902171719</c:v>
                </c:pt>
                <c:pt idx="141">
                  <c:v>0.94806429595935371</c:v>
                </c:pt>
                <c:pt idx="142">
                  <c:v>0.93705910365242417</c:v>
                </c:pt>
                <c:pt idx="143">
                  <c:v>0.92618777855229983</c:v>
                </c:pt>
                <c:pt idx="144">
                  <c:v>0.91544861248231535</c:v>
                </c:pt>
                <c:pt idx="145">
                  <c:v>0.90483992041284722</c:v>
                </c:pt>
                <c:pt idx="146">
                  <c:v>0.894360039830015</c:v>
                </c:pt>
                <c:pt idx="147">
                  <c:v>0.88400733037256152</c:v>
                </c:pt>
                <c:pt idx="148">
                  <c:v>0.87378017351691417</c:v>
                </c:pt>
                <c:pt idx="149">
                  <c:v>0.86367697227387175</c:v>
                </c:pt>
                <c:pt idx="150">
                  <c:v>0.85369615089079409</c:v>
                </c:pt>
                <c:pt idx="151">
                  <c:v>0.84383615455822991</c:v>
                </c:pt>
                <c:pt idx="152">
                  <c:v>0.83409544912075329</c:v>
                </c:pt>
                <c:pt idx="153">
                  <c:v>0.82447252079192057</c:v>
                </c:pt>
                <c:pt idx="154">
                  <c:v>0.81496587587328206</c:v>
                </c:pt>
                <c:pt idx="155">
                  <c:v>0.8055740404773909</c:v>
                </c:pt>
                <c:pt idx="156">
                  <c:v>0.79629556025474912</c:v>
                </c:pt>
                <c:pt idx="157">
                  <c:v>0.93958462625145722</c:v>
                </c:pt>
                <c:pt idx="158">
                  <c:v>0.93718541691504798</c:v>
                </c:pt>
                <c:pt idx="159">
                  <c:v>0.93430584829463126</c:v>
                </c:pt>
                <c:pt idx="160">
                  <c:v>0.93099563604460278</c:v>
                </c:pt>
                <c:pt idx="161">
                  <c:v>0.9197525447923347</c:v>
                </c:pt>
                <c:pt idx="162">
                  <c:v>0.86325164925978148</c:v>
                </c:pt>
                <c:pt idx="163">
                  <c:v>0.80809867132944069</c:v>
                </c:pt>
                <c:pt idx="164">
                  <c:v>0.81481017659428956</c:v>
                </c:pt>
                <c:pt idx="165">
                  <c:v>0.80834704725331585</c:v>
                </c:pt>
                <c:pt idx="166">
                  <c:v>0.76639070978628598</c:v>
                </c:pt>
                <c:pt idx="167">
                  <c:v>0.71915050650717716</c:v>
                </c:pt>
                <c:pt idx="168">
                  <c:v>0.70450636764795949</c:v>
                </c:pt>
                <c:pt idx="169">
                  <c:v>0.69535301692134754</c:v>
                </c:pt>
                <c:pt idx="170">
                  <c:v>0.6871916699564028</c:v>
                </c:pt>
                <c:pt idx="171">
                  <c:v>0.67927479432469462</c:v>
                </c:pt>
                <c:pt idx="172">
                  <c:v>0.67147734005033177</c:v>
                </c:pt>
                <c:pt idx="173">
                  <c:v>0.66377756290169154</c:v>
                </c:pt>
                <c:pt idx="174">
                  <c:v>0.65617087393195539</c:v>
                </c:pt>
                <c:pt idx="175">
                  <c:v>0.64865554380828405</c:v>
                </c:pt>
                <c:pt idx="176">
                  <c:v>0.64123033046338151</c:v>
                </c:pt>
                <c:pt idx="177">
                  <c:v>0.63389408526191504</c:v>
                </c:pt>
                <c:pt idx="178">
                  <c:v>0.62664568747690041</c:v>
                </c:pt>
                <c:pt idx="179">
                  <c:v>0.61948403324707491</c:v>
                </c:pt>
                <c:pt idx="180">
                  <c:v>0.61240803357704732</c:v>
                </c:pt>
                <c:pt idx="181">
                  <c:v>0.6054166138403424</c:v>
                </c:pt>
                <c:pt idx="182">
                  <c:v>0.59850871353416069</c:v>
                </c:pt>
                <c:pt idx="183">
                  <c:v>0.59168328607820797</c:v>
                </c:pt>
                <c:pt idx="184">
                  <c:v>0.58493929862310412</c:v>
                </c:pt>
                <c:pt idx="185">
                  <c:v>0.57827573186261239</c:v>
                </c:pt>
                <c:pt idx="186">
                  <c:v>0.57169157984870722</c:v>
                </c:pt>
                <c:pt idx="187">
                  <c:v>0.56518584980927833</c:v>
                </c:pt>
                <c:pt idx="188">
                  <c:v>0.5587575619684132</c:v>
                </c:pt>
                <c:pt idx="189">
                  <c:v>0.55240574936921227</c:v>
                </c:pt>
                <c:pt idx="190">
                  <c:v>0.54612945769910159</c:v>
                </c:pt>
                <c:pt idx="191">
                  <c:v>0.53992774511760677</c:v>
                </c:pt>
                <c:pt idx="192">
                  <c:v>0.53379968208655049</c:v>
                </c:pt>
                <c:pt idx="193">
                  <c:v>0.52774435120264218</c:v>
                </c:pt>
                <c:pt idx="194">
                  <c:v>0.55692192037094435</c:v>
                </c:pt>
                <c:pt idx="195">
                  <c:v>0.52168277538037766</c:v>
                </c:pt>
                <c:pt idx="196">
                  <c:v>0.51097391139091186</c:v>
                </c:pt>
                <c:pt idx="197">
                  <c:v>0.50439306877098888</c:v>
                </c:pt>
                <c:pt idx="198">
                  <c:v>0.49855405674293762</c:v>
                </c:pt>
                <c:pt idx="199">
                  <c:v>0.49289427782567596</c:v>
                </c:pt>
                <c:pt idx="200">
                  <c:v>0.48731968041627505</c:v>
                </c:pt>
                <c:pt idx="201">
                  <c:v>0.48181397074256777</c:v>
                </c:pt>
                <c:pt idx="202">
                  <c:v>0.47637376680659005</c:v>
                </c:pt>
                <c:pt idx="203">
                  <c:v>0.47236038479014719</c:v>
                </c:pt>
                <c:pt idx="204">
                  <c:v>0.47823024091191901</c:v>
                </c:pt>
                <c:pt idx="205">
                  <c:v>0.64535181915131179</c:v>
                </c:pt>
                <c:pt idx="206">
                  <c:v>0.81027909226538741</c:v>
                </c:pt>
                <c:pt idx="207">
                  <c:v>0.71458746562592157</c:v>
                </c:pt>
                <c:pt idx="208">
                  <c:v>0.65661176177431324</c:v>
                </c:pt>
                <c:pt idx="209">
                  <c:v>0.59939286502954536</c:v>
                </c:pt>
                <c:pt idx="210">
                  <c:v>0.54378864174426755</c:v>
                </c:pt>
                <c:pt idx="211">
                  <c:v>0.49100913317253891</c:v>
                </c:pt>
                <c:pt idx="212">
                  <c:v>0.43979765783059283</c:v>
                </c:pt>
                <c:pt idx="213">
                  <c:v>0.42374949560197905</c:v>
                </c:pt>
                <c:pt idx="214">
                  <c:v>0.41714742716992165</c:v>
                </c:pt>
                <c:pt idx="215">
                  <c:v>0.41215900240862818</c:v>
                </c:pt>
                <c:pt idx="216">
                  <c:v>0.40748396532594028</c:v>
                </c:pt>
                <c:pt idx="217">
                  <c:v>0.40290599556483792</c:v>
                </c:pt>
                <c:pt idx="218">
                  <c:v>0.40111373797668731</c:v>
                </c:pt>
                <c:pt idx="219">
                  <c:v>0.39437750905630753</c:v>
                </c:pt>
                <c:pt idx="220">
                  <c:v>0.38958941528297791</c:v>
                </c:pt>
                <c:pt idx="221">
                  <c:v>0.38516748147923457</c:v>
                </c:pt>
                <c:pt idx="222">
                  <c:v>0.42500310880191838</c:v>
                </c:pt>
                <c:pt idx="223">
                  <c:v>0.38391565506039138</c:v>
                </c:pt>
                <c:pt idx="224">
                  <c:v>0.37768353390100906</c:v>
                </c:pt>
                <c:pt idx="225">
                  <c:v>0.36910072934080601</c:v>
                </c:pt>
                <c:pt idx="226">
                  <c:v>0.36425583422531727</c:v>
                </c:pt>
                <c:pt idx="227">
                  <c:v>0.36007103413060415</c:v>
                </c:pt>
                <c:pt idx="228">
                  <c:v>0.35603512149977035</c:v>
                </c:pt>
                <c:pt idx="229">
                  <c:v>0.35342533516556512</c:v>
                </c:pt>
                <c:pt idx="230">
                  <c:v>0.34836550095916996</c:v>
                </c:pt>
                <c:pt idx="231">
                  <c:v>0.3442995933948747</c:v>
                </c:pt>
                <c:pt idx="232">
                  <c:v>0.34043608419363275</c:v>
                </c:pt>
                <c:pt idx="233">
                  <c:v>0.39599744396811409</c:v>
                </c:pt>
                <c:pt idx="234">
                  <c:v>0.34274757207488749</c:v>
                </c:pt>
                <c:pt idx="235">
                  <c:v>0.33083235292176916</c:v>
                </c:pt>
                <c:pt idx="236">
                  <c:v>0.32581173464129509</c:v>
                </c:pt>
                <c:pt idx="237">
                  <c:v>0.3219704282542864</c:v>
                </c:pt>
                <c:pt idx="238">
                  <c:v>0.31835963200079653</c:v>
                </c:pt>
                <c:pt idx="239">
                  <c:v>0.31482148295479162</c:v>
                </c:pt>
                <c:pt idx="240">
                  <c:v>0.31132936904721575</c:v>
                </c:pt>
                <c:pt idx="241">
                  <c:v>0.30787846279345032</c:v>
                </c:pt>
                <c:pt idx="242">
                  <c:v>0.3044675567914828</c:v>
                </c:pt>
                <c:pt idx="243">
                  <c:v>0.30109604950170304</c:v>
                </c:pt>
                <c:pt idx="244">
                  <c:v>0.29776344500977348</c:v>
                </c:pt>
                <c:pt idx="245">
                  <c:v>0.29446926995156664</c:v>
                </c:pt>
                <c:pt idx="246">
                  <c:v>0.29121305966137612</c:v>
                </c:pt>
                <c:pt idx="247">
                  <c:v>0.287994355807701</c:v>
                </c:pt>
                <c:pt idx="248">
                  <c:v>0.284812705936142</c:v>
                </c:pt>
                <c:pt idx="249">
                  <c:v>0.28166766332964843</c:v>
                </c:pt>
                <c:pt idx="250">
                  <c:v>0.27855878692230485</c:v>
                </c:pt>
                <c:pt idx="251">
                  <c:v>0.27548564122286878</c:v>
                </c:pt>
                <c:pt idx="252">
                  <c:v>0.27244779624078225</c:v>
                </c:pt>
                <c:pt idx="253">
                  <c:v>0.26944482741343478</c:v>
                </c:pt>
                <c:pt idx="254">
                  <c:v>0.26647631553446643</c:v>
                </c:pt>
                <c:pt idx="255">
                  <c:v>0.26354184668306141</c:v>
                </c:pt>
                <c:pt idx="256">
                  <c:v>0.2606410121542132</c:v>
                </c:pt>
                <c:pt idx="257">
                  <c:v>0.25777340838994822</c:v>
                </c:pt>
                <c:pt idx="258">
                  <c:v>0.25493863691149066</c:v>
                </c:pt>
                <c:pt idx="259">
                  <c:v>0.25213630425235978</c:v>
                </c:pt>
                <c:pt idx="260">
                  <c:v>0.24936602189238233</c:v>
                </c:pt>
                <c:pt idx="261">
                  <c:v>0.24662740619260975</c:v>
                </c:pt>
                <c:pt idx="262">
                  <c:v>0.24732644543864157</c:v>
                </c:pt>
                <c:pt idx="263">
                  <c:v>0.24180890429252677</c:v>
                </c:pt>
                <c:pt idx="264">
                  <c:v>0.23869158840083443</c:v>
                </c:pt>
                <c:pt idx="265">
                  <c:v>0.23599766829790536</c:v>
                </c:pt>
                <c:pt idx="266">
                  <c:v>0.23339881650579791</c:v>
                </c:pt>
                <c:pt idx="267">
                  <c:v>0.23084025566549299</c:v>
                </c:pt>
                <c:pt idx="268">
                  <c:v>0.2283126040221761</c:v>
                </c:pt>
                <c:pt idx="269">
                  <c:v>0.22581401625414954</c:v>
                </c:pt>
                <c:pt idx="270">
                  <c:v>0.22334390121313674</c:v>
                </c:pt>
                <c:pt idx="271">
                  <c:v>0.23452734785205781</c:v>
                </c:pt>
                <c:pt idx="272">
                  <c:v>0.33693678225539869</c:v>
                </c:pt>
                <c:pt idx="273">
                  <c:v>0.24730547159680216</c:v>
                </c:pt>
                <c:pt idx="274">
                  <c:v>0.21891900463814945</c:v>
                </c:pt>
                <c:pt idx="275">
                  <c:v>0.2122672486179373</c:v>
                </c:pt>
                <c:pt idx="276">
                  <c:v>0.20924408417670479</c:v>
                </c:pt>
                <c:pt idx="277">
                  <c:v>0.20684478734659503</c:v>
                </c:pt>
                <c:pt idx="278">
                  <c:v>0.20457050751815087</c:v>
                </c:pt>
                <c:pt idx="279">
                  <c:v>0.20233821271095445</c:v>
                </c:pt>
                <c:pt idx="280">
                  <c:v>0.20013387352288081</c:v>
                </c:pt>
                <c:pt idx="281">
                  <c:v>0.19795491370668511</c:v>
                </c:pt>
                <c:pt idx="282">
                  <c:v>0.1958006605893694</c:v>
                </c:pt>
                <c:pt idx="283">
                  <c:v>0.19367076040979925</c:v>
                </c:pt>
                <c:pt idx="284">
                  <c:v>0.19156491532615705</c:v>
                </c:pt>
                <c:pt idx="285">
                  <c:v>0.18948283973697028</c:v>
                </c:pt>
                <c:pt idx="286">
                  <c:v>0.18742425299475879</c:v>
                </c:pt>
                <c:pt idx="287">
                  <c:v>0.21911678276306842</c:v>
                </c:pt>
                <c:pt idx="288">
                  <c:v>0.19101694668892791</c:v>
                </c:pt>
                <c:pt idx="289">
                  <c:v>0.44999818528641633</c:v>
                </c:pt>
                <c:pt idx="290">
                  <c:v>0.36677753778558164</c:v>
                </c:pt>
                <c:pt idx="291">
                  <c:v>1.9397050269185223</c:v>
                </c:pt>
                <c:pt idx="292">
                  <c:v>0.74285838297751672</c:v>
                </c:pt>
                <c:pt idx="293">
                  <c:v>0.75537260103781378</c:v>
                </c:pt>
                <c:pt idx="294">
                  <c:v>0.7574578776616846</c:v>
                </c:pt>
                <c:pt idx="295">
                  <c:v>0.75864102326628435</c:v>
                </c:pt>
                <c:pt idx="296">
                  <c:v>0.76419143427946223</c:v>
                </c:pt>
                <c:pt idx="297">
                  <c:v>0.76682219302289245</c:v>
                </c:pt>
                <c:pt idx="298">
                  <c:v>0.76851303474289678</c:v>
                </c:pt>
                <c:pt idx="299">
                  <c:v>0.7700187569389555</c:v>
                </c:pt>
                <c:pt idx="300">
                  <c:v>0.77153998712831995</c:v>
                </c:pt>
                <c:pt idx="301">
                  <c:v>0.77271498079366774</c:v>
                </c:pt>
                <c:pt idx="302">
                  <c:v>0.77538481952852101</c:v>
                </c:pt>
                <c:pt idx="303">
                  <c:v>0.77691719472067522</c:v>
                </c:pt>
                <c:pt idx="304">
                  <c:v>0.77762875832485023</c:v>
                </c:pt>
                <c:pt idx="305">
                  <c:v>0.77785544160575648</c:v>
                </c:pt>
                <c:pt idx="306">
                  <c:v>0.77722087968814724</c:v>
                </c:pt>
                <c:pt idx="307">
                  <c:v>0.77650100250469534</c:v>
                </c:pt>
                <c:pt idx="308">
                  <c:v>0.74865460883835888</c:v>
                </c:pt>
                <c:pt idx="309">
                  <c:v>0.66750801248270686</c:v>
                </c:pt>
                <c:pt idx="310">
                  <c:v>0.65017176661116127</c:v>
                </c:pt>
                <c:pt idx="311">
                  <c:v>0.55776461986571835</c:v>
                </c:pt>
                <c:pt idx="312">
                  <c:v>0.55810435637808864</c:v>
                </c:pt>
                <c:pt idx="313">
                  <c:v>0.50517441395611606</c:v>
                </c:pt>
                <c:pt idx="314">
                  <c:v>0.42079796275794423</c:v>
                </c:pt>
                <c:pt idx="315">
                  <c:v>0.40430075593978182</c:v>
                </c:pt>
                <c:pt idx="316">
                  <c:v>0.32014445134262381</c:v>
                </c:pt>
                <c:pt idx="317">
                  <c:v>0.25162603447757631</c:v>
                </c:pt>
                <c:pt idx="318">
                  <c:v>0.19421416844071632</c:v>
                </c:pt>
                <c:pt idx="319">
                  <c:v>0.18286000068178032</c:v>
                </c:pt>
                <c:pt idx="320">
                  <c:v>0.17917145579000948</c:v>
                </c:pt>
                <c:pt idx="321">
                  <c:v>0.19312815343983047</c:v>
                </c:pt>
                <c:pt idx="322">
                  <c:v>0.18142173101765863</c:v>
                </c:pt>
                <c:pt idx="323">
                  <c:v>0.76695282265436371</c:v>
                </c:pt>
                <c:pt idx="324">
                  <c:v>0.76989712989498815</c:v>
                </c:pt>
                <c:pt idx="325">
                  <c:v>0.66782310289204905</c:v>
                </c:pt>
                <c:pt idx="326">
                  <c:v>0.59222668578517657</c:v>
                </c:pt>
                <c:pt idx="327">
                  <c:v>0.63014121230304543</c:v>
                </c:pt>
                <c:pt idx="328">
                  <c:v>0.77809072886853958</c:v>
                </c:pt>
                <c:pt idx="329">
                  <c:v>0.78088174333230731</c:v>
                </c:pt>
                <c:pt idx="330">
                  <c:v>0.7812522763852241</c:v>
                </c:pt>
                <c:pt idx="331">
                  <c:v>0.78073439187382176</c:v>
                </c:pt>
                <c:pt idx="332">
                  <c:v>0.77938822021769516</c:v>
                </c:pt>
                <c:pt idx="333">
                  <c:v>0.78144288434563003</c:v>
                </c:pt>
                <c:pt idx="334">
                  <c:v>0.79354449684455419</c:v>
                </c:pt>
                <c:pt idx="335">
                  <c:v>0.79489329753532822</c:v>
                </c:pt>
                <c:pt idx="336">
                  <c:v>0.79530006036135426</c:v>
                </c:pt>
                <c:pt idx="337">
                  <c:v>0.79482711141260565</c:v>
                </c:pt>
                <c:pt idx="338">
                  <c:v>0.7935316066496384</c:v>
                </c:pt>
                <c:pt idx="339">
                  <c:v>0.73236992001678813</c:v>
                </c:pt>
                <c:pt idx="340">
                  <c:v>0.63986387764554975</c:v>
                </c:pt>
                <c:pt idx="341">
                  <c:v>0.5485396102150476</c:v>
                </c:pt>
                <c:pt idx="342">
                  <c:v>0.46035117464305336</c:v>
                </c:pt>
                <c:pt idx="343">
                  <c:v>0.37511620870975271</c:v>
                </c:pt>
                <c:pt idx="344">
                  <c:v>0.29219842692406994</c:v>
                </c:pt>
                <c:pt idx="345">
                  <c:v>0.21599971272471249</c:v>
                </c:pt>
                <c:pt idx="346">
                  <c:v>0.18123362461651843</c:v>
                </c:pt>
                <c:pt idx="347">
                  <c:v>0.17362348051319917</c:v>
                </c:pt>
                <c:pt idx="348">
                  <c:v>0.17054388143723909</c:v>
                </c:pt>
                <c:pt idx="349">
                  <c:v>0.16824011597996574</c:v>
                </c:pt>
                <c:pt idx="350">
                  <c:v>0.16608881011975146</c:v>
                </c:pt>
                <c:pt idx="351">
                  <c:v>0.24027056372470662</c:v>
                </c:pt>
                <c:pt idx="352">
                  <c:v>0.17602344000916559</c:v>
                </c:pt>
                <c:pt idx="353">
                  <c:v>0.16221234771349963</c:v>
                </c:pt>
                <c:pt idx="354">
                  <c:v>0.64366414137024464</c:v>
                </c:pt>
                <c:pt idx="355">
                  <c:v>0.32743932773091122</c:v>
                </c:pt>
                <c:pt idx="356">
                  <c:v>0.26789078907782804</c:v>
                </c:pt>
                <c:pt idx="357">
                  <c:v>0.84251749354534256</c:v>
                </c:pt>
                <c:pt idx="358">
                  <c:v>0.62015373311605204</c:v>
                </c:pt>
                <c:pt idx="359">
                  <c:v>0.52904074118082911</c:v>
                </c:pt>
                <c:pt idx="360">
                  <c:v>0.79576914643851782</c:v>
                </c:pt>
                <c:pt idx="361">
                  <c:v>0.79476142854568022</c:v>
                </c:pt>
                <c:pt idx="362">
                  <c:v>0.76562231624948685</c:v>
                </c:pt>
                <c:pt idx="363">
                  <c:v>3.5190219695095739</c:v>
                </c:pt>
                <c:pt idx="364">
                  <c:v>0.81293431633862812</c:v>
                </c:pt>
                <c:pt idx="365">
                  <c:v>0.81534545370273026</c:v>
                </c:pt>
                <c:pt idx="366">
                  <c:v>0.81916599446896288</c:v>
                </c:pt>
                <c:pt idx="367">
                  <c:v>0.82199530234862006</c:v>
                </c:pt>
                <c:pt idx="368">
                  <c:v>0.82486829513646487</c:v>
                </c:pt>
                <c:pt idx="369">
                  <c:v>0.82741763483772712</c:v>
                </c:pt>
                <c:pt idx="370">
                  <c:v>2.6358852226188021</c:v>
                </c:pt>
                <c:pt idx="371">
                  <c:v>0.84562130567263949</c:v>
                </c:pt>
                <c:pt idx="372">
                  <c:v>1.2544264455099672</c:v>
                </c:pt>
                <c:pt idx="373">
                  <c:v>0.86545968799630535</c:v>
                </c:pt>
                <c:pt idx="374">
                  <c:v>0.87401138708168846</c:v>
                </c:pt>
                <c:pt idx="375">
                  <c:v>1.9049229743664646</c:v>
                </c:pt>
                <c:pt idx="376">
                  <c:v>0.89378298074723239</c:v>
                </c:pt>
                <c:pt idx="377">
                  <c:v>0.8966474132540414</c:v>
                </c:pt>
                <c:pt idx="378">
                  <c:v>0.89853350491710149</c:v>
                </c:pt>
                <c:pt idx="379">
                  <c:v>0.89951518062780633</c:v>
                </c:pt>
                <c:pt idx="380">
                  <c:v>0.90044868298428149</c:v>
                </c:pt>
                <c:pt idx="381">
                  <c:v>2.1076306730857404</c:v>
                </c:pt>
                <c:pt idx="382">
                  <c:v>0.91922953932504359</c:v>
                </c:pt>
                <c:pt idx="383">
                  <c:v>0.92163806911027246</c:v>
                </c:pt>
                <c:pt idx="384">
                  <c:v>0.92322092317354287</c:v>
                </c:pt>
                <c:pt idx="385">
                  <c:v>0.92386977531693359</c:v>
                </c:pt>
                <c:pt idx="386">
                  <c:v>0.9294296188990443</c:v>
                </c:pt>
                <c:pt idx="387">
                  <c:v>0.93132490658292566</c:v>
                </c:pt>
                <c:pt idx="388">
                  <c:v>0.9368486446936386</c:v>
                </c:pt>
                <c:pt idx="389">
                  <c:v>0.94068375861574172</c:v>
                </c:pt>
                <c:pt idx="390">
                  <c:v>0.9452542866849678</c:v>
                </c:pt>
                <c:pt idx="391">
                  <c:v>0.94785144308436564</c:v>
                </c:pt>
                <c:pt idx="392">
                  <c:v>2.9003443044225752</c:v>
                </c:pt>
                <c:pt idx="393">
                  <c:v>0.96642155793051931</c:v>
                </c:pt>
                <c:pt idx="394">
                  <c:v>0.96920014808726296</c:v>
                </c:pt>
                <c:pt idx="395">
                  <c:v>0.97217805225851139</c:v>
                </c:pt>
                <c:pt idx="396">
                  <c:v>0.97412645915117291</c:v>
                </c:pt>
                <c:pt idx="397">
                  <c:v>0.97511677178961997</c:v>
                </c:pt>
                <c:pt idx="398">
                  <c:v>0.97570962148594531</c:v>
                </c:pt>
                <c:pt idx="399">
                  <c:v>0.97728961166030259</c:v>
                </c:pt>
                <c:pt idx="400">
                  <c:v>0.97843217465731191</c:v>
                </c:pt>
                <c:pt idx="401">
                  <c:v>0.97904930894569686</c:v>
                </c:pt>
                <c:pt idx="402">
                  <c:v>0.97938005489074698</c:v>
                </c:pt>
                <c:pt idx="403">
                  <c:v>0.97879863202458151</c:v>
                </c:pt>
                <c:pt idx="404">
                  <c:v>0.97831425306794406</c:v>
                </c:pt>
                <c:pt idx="405">
                  <c:v>0.97695186084766872</c:v>
                </c:pt>
                <c:pt idx="406">
                  <c:v>0.97474491431754573</c:v>
                </c:pt>
                <c:pt idx="407">
                  <c:v>0.9863353621729527</c:v>
                </c:pt>
                <c:pt idx="408">
                  <c:v>0.985730905268144</c:v>
                </c:pt>
                <c:pt idx="409">
                  <c:v>0.98485668224762546</c:v>
                </c:pt>
                <c:pt idx="410">
                  <c:v>3.6446997562800254</c:v>
                </c:pt>
                <c:pt idx="411">
                  <c:v>1.0010754661941275</c:v>
                </c:pt>
                <c:pt idx="412">
                  <c:v>1.0026552322127062</c:v>
                </c:pt>
                <c:pt idx="413">
                  <c:v>1.003476629582901</c:v>
                </c:pt>
                <c:pt idx="414">
                  <c:v>1.0033584525755335</c:v>
                </c:pt>
                <c:pt idx="415">
                  <c:v>1.0028288469022764</c:v>
                </c:pt>
                <c:pt idx="416">
                  <c:v>2.3314911773290614</c:v>
                </c:pt>
                <c:pt idx="417">
                  <c:v>1.0187370675949043</c:v>
                </c:pt>
                <c:pt idx="418">
                  <c:v>1.0307948620481349</c:v>
                </c:pt>
                <c:pt idx="419">
                  <c:v>1.0325484460238321</c:v>
                </c:pt>
                <c:pt idx="420">
                  <c:v>4.7149072951742967</c:v>
                </c:pt>
                <c:pt idx="421">
                  <c:v>1.058524051846675</c:v>
                </c:pt>
                <c:pt idx="422">
                  <c:v>1.0640894235756075</c:v>
                </c:pt>
                <c:pt idx="423">
                  <c:v>6.6289806653156962</c:v>
                </c:pt>
                <c:pt idx="424">
                  <c:v>1.0863569810901652</c:v>
                </c:pt>
                <c:pt idx="425">
                  <c:v>1.0910027378169305</c:v>
                </c:pt>
                <c:pt idx="426">
                  <c:v>1.0945781523867031</c:v>
                </c:pt>
                <c:pt idx="427">
                  <c:v>1.0974786707384765</c:v>
                </c:pt>
                <c:pt idx="428">
                  <c:v>1.0995152269471415</c:v>
                </c:pt>
                <c:pt idx="429">
                  <c:v>1.1006131964738437</c:v>
                </c:pt>
                <c:pt idx="430">
                  <c:v>1.1017960334111263</c:v>
                </c:pt>
                <c:pt idx="431">
                  <c:v>1.1020847122339488</c:v>
                </c:pt>
                <c:pt idx="432">
                  <c:v>1.102257011718865</c:v>
                </c:pt>
                <c:pt idx="433">
                  <c:v>1.1015847950662878</c:v>
                </c:pt>
                <c:pt idx="434">
                  <c:v>1.1024636358102891</c:v>
                </c:pt>
                <c:pt idx="435">
                  <c:v>1.1017978614062895</c:v>
                </c:pt>
                <c:pt idx="436">
                  <c:v>9.7231703399355904</c:v>
                </c:pt>
                <c:pt idx="437">
                  <c:v>1.1184740636137809</c:v>
                </c:pt>
                <c:pt idx="438">
                  <c:v>1.5032030778697645</c:v>
                </c:pt>
                <c:pt idx="439">
                  <c:v>1.1360225468554859</c:v>
                </c:pt>
                <c:pt idx="440">
                  <c:v>3.7541337253690221</c:v>
                </c:pt>
                <c:pt idx="441">
                  <c:v>1.1569525420194617</c:v>
                </c:pt>
                <c:pt idx="442">
                  <c:v>1.1627816753791345</c:v>
                </c:pt>
                <c:pt idx="443">
                  <c:v>1.1692256048646983</c:v>
                </c:pt>
                <c:pt idx="444">
                  <c:v>3.325499759288157</c:v>
                </c:pt>
                <c:pt idx="445">
                  <c:v>1.1861626902123361</c:v>
                </c:pt>
                <c:pt idx="446">
                  <c:v>1.1912898391097353</c:v>
                </c:pt>
                <c:pt idx="447">
                  <c:v>1.1954129007626957</c:v>
                </c:pt>
                <c:pt idx="448">
                  <c:v>1.1995682751960035</c:v>
                </c:pt>
                <c:pt idx="449">
                  <c:v>1.2027280058639476</c:v>
                </c:pt>
                <c:pt idx="450">
                  <c:v>1.2054292199177374</c:v>
                </c:pt>
                <c:pt idx="451">
                  <c:v>1.2078827697618437</c:v>
                </c:pt>
                <c:pt idx="452">
                  <c:v>1.2094246870896819</c:v>
                </c:pt>
                <c:pt idx="453">
                  <c:v>1.2100743922214423</c:v>
                </c:pt>
                <c:pt idx="454">
                  <c:v>1.2098880399378018</c:v>
                </c:pt>
                <c:pt idx="455">
                  <c:v>1.208899531122607</c:v>
                </c:pt>
                <c:pt idx="456">
                  <c:v>1.2179337536047621</c:v>
                </c:pt>
                <c:pt idx="457">
                  <c:v>1.2182991651146349</c:v>
                </c:pt>
                <c:pt idx="458">
                  <c:v>1.218338585899057</c:v>
                </c:pt>
                <c:pt idx="459">
                  <c:v>1.2175628227377493</c:v>
                </c:pt>
                <c:pt idx="460">
                  <c:v>1.2160123734037398</c:v>
                </c:pt>
                <c:pt idx="461">
                  <c:v>1.2137193181452783</c:v>
                </c:pt>
                <c:pt idx="462">
                  <c:v>1.2108727199672047</c:v>
                </c:pt>
                <c:pt idx="463">
                  <c:v>1.207365724187226</c:v>
                </c:pt>
                <c:pt idx="464">
                  <c:v>1.2032322861832678</c:v>
                </c:pt>
                <c:pt idx="465">
                  <c:v>1.1985297595762354</c:v>
                </c:pt>
                <c:pt idx="466">
                  <c:v>1.193340523944233</c:v>
                </c:pt>
                <c:pt idx="467">
                  <c:v>1.1878524646815274</c:v>
                </c:pt>
                <c:pt idx="468">
                  <c:v>1.1823204320767975</c:v>
                </c:pt>
                <c:pt idx="469">
                  <c:v>1.1767872708304321</c:v>
                </c:pt>
                <c:pt idx="470">
                  <c:v>1.1712606313970715</c:v>
                </c:pt>
                <c:pt idx="471">
                  <c:v>1.1662367206191875</c:v>
                </c:pt>
                <c:pt idx="472">
                  <c:v>1.161234777154752</c:v>
                </c:pt>
                <c:pt idx="473">
                  <c:v>1.1558054586189161</c:v>
                </c:pt>
                <c:pt idx="474">
                  <c:v>1.1503141683699076</c:v>
                </c:pt>
                <c:pt idx="475">
                  <c:v>1.1448220079263092</c:v>
                </c:pt>
                <c:pt idx="476">
                  <c:v>1.1393395709688425</c:v>
                </c:pt>
                <c:pt idx="477">
                  <c:v>1.1339091489597584</c:v>
                </c:pt>
                <c:pt idx="478">
                  <c:v>1.1284860295623003</c:v>
                </c:pt>
                <c:pt idx="479">
                  <c:v>1.1230462125999083</c:v>
                </c:pt>
                <c:pt idx="480">
                  <c:v>1.1176152016148655</c:v>
                </c:pt>
                <c:pt idx="481">
                  <c:v>1.1122319856321679</c:v>
                </c:pt>
                <c:pt idx="482">
                  <c:v>1.106834161542378</c:v>
                </c:pt>
                <c:pt idx="483">
                  <c:v>1.1014466417597986</c:v>
                </c:pt>
                <c:pt idx="484">
                  <c:v>1.096073918615279</c:v>
                </c:pt>
                <c:pt idx="485">
                  <c:v>1.1026606863314188</c:v>
                </c:pt>
                <c:pt idx="486">
                  <c:v>1.0993777350791443</c:v>
                </c:pt>
                <c:pt idx="487">
                  <c:v>1.0955494752732831</c:v>
                </c:pt>
                <c:pt idx="488">
                  <c:v>1.0911888519390378</c:v>
                </c:pt>
                <c:pt idx="489">
                  <c:v>1.0863378230777889</c:v>
                </c:pt>
                <c:pt idx="490">
                  <c:v>1.0810243980667649</c:v>
                </c:pt>
                <c:pt idx="491">
                  <c:v>1.0755501727424059</c:v>
                </c:pt>
                <c:pt idx="492">
                  <c:v>1.070068123343253</c:v>
                </c:pt>
                <c:pt idx="493">
                  <c:v>1.0646038517875838</c:v>
                </c:pt>
                <c:pt idx="494">
                  <c:v>1.0591618156560973</c:v>
                </c:pt>
                <c:pt idx="495">
                  <c:v>1.0537429557814022</c:v>
                </c:pt>
                <c:pt idx="496">
                  <c:v>1.0483476214784671</c:v>
                </c:pt>
                <c:pt idx="497">
                  <c:v>1.0429760561164645</c:v>
                </c:pt>
                <c:pt idx="498">
                  <c:v>1.0376399326353729</c:v>
                </c:pt>
                <c:pt idx="499">
                  <c:v>1.0292233815672795</c:v>
                </c:pt>
                <c:pt idx="500">
                  <c:v>1.0170427457086608</c:v>
                </c:pt>
                <c:pt idx="501">
                  <c:v>1.0051658836772461</c:v>
                </c:pt>
                <c:pt idx="502">
                  <c:v>0.99345973082039685</c:v>
                </c:pt>
                <c:pt idx="503">
                  <c:v>0.98190066701823331</c:v>
                </c:pt>
                <c:pt idx="504">
                  <c:v>0.97048325356601384</c:v>
                </c:pt>
                <c:pt idx="505">
                  <c:v>0.95920508902171719</c:v>
                </c:pt>
                <c:pt idx="506">
                  <c:v>0.94806429595935371</c:v>
                </c:pt>
                <c:pt idx="507">
                  <c:v>0.93705910365242417</c:v>
                </c:pt>
                <c:pt idx="508">
                  <c:v>0.92618777855229983</c:v>
                </c:pt>
                <c:pt idx="509">
                  <c:v>0.91544861248231535</c:v>
                </c:pt>
                <c:pt idx="510">
                  <c:v>0.90483992041284722</c:v>
                </c:pt>
                <c:pt idx="511">
                  <c:v>0.894360039830015</c:v>
                </c:pt>
                <c:pt idx="512">
                  <c:v>0.88400733037256152</c:v>
                </c:pt>
                <c:pt idx="513">
                  <c:v>0.87378017351691417</c:v>
                </c:pt>
                <c:pt idx="514">
                  <c:v>0.86367697227387175</c:v>
                </c:pt>
                <c:pt idx="515">
                  <c:v>0.85369615089079409</c:v>
                </c:pt>
                <c:pt idx="516">
                  <c:v>0.84383615455822991</c:v>
                </c:pt>
                <c:pt idx="517">
                  <c:v>0.83409544912075329</c:v>
                </c:pt>
                <c:pt idx="518">
                  <c:v>0.82447252079192057</c:v>
                </c:pt>
                <c:pt idx="519">
                  <c:v>0.81496587587328206</c:v>
                </c:pt>
                <c:pt idx="520">
                  <c:v>0.8055740404773909</c:v>
                </c:pt>
                <c:pt idx="521">
                  <c:v>0.79629556025474912</c:v>
                </c:pt>
                <c:pt idx="522">
                  <c:v>0.93958462625145722</c:v>
                </c:pt>
                <c:pt idx="523">
                  <c:v>0.93718541691504798</c:v>
                </c:pt>
                <c:pt idx="524">
                  <c:v>0.93430584829463126</c:v>
                </c:pt>
                <c:pt idx="525">
                  <c:v>0.93099563604460278</c:v>
                </c:pt>
                <c:pt idx="526">
                  <c:v>0.9197525447923347</c:v>
                </c:pt>
                <c:pt idx="527">
                  <c:v>0.86325164925978148</c:v>
                </c:pt>
                <c:pt idx="528">
                  <c:v>0.80809867132944069</c:v>
                </c:pt>
                <c:pt idx="529">
                  <c:v>0.81481017659428956</c:v>
                </c:pt>
                <c:pt idx="530">
                  <c:v>0.80834704725331585</c:v>
                </c:pt>
                <c:pt idx="531">
                  <c:v>0.76639070978628598</c:v>
                </c:pt>
                <c:pt idx="532">
                  <c:v>0.71915050650717716</c:v>
                </c:pt>
                <c:pt idx="533">
                  <c:v>0.70450636764795949</c:v>
                </c:pt>
                <c:pt idx="534">
                  <c:v>0.69535301692134754</c:v>
                </c:pt>
                <c:pt idx="535">
                  <c:v>0.6871916699564028</c:v>
                </c:pt>
                <c:pt idx="536">
                  <c:v>0.67927479432469462</c:v>
                </c:pt>
                <c:pt idx="537">
                  <c:v>0.67147734005033177</c:v>
                </c:pt>
                <c:pt idx="538">
                  <c:v>0.66377756290169154</c:v>
                </c:pt>
                <c:pt idx="539">
                  <c:v>0.65617087393195539</c:v>
                </c:pt>
                <c:pt idx="540">
                  <c:v>0.64865554380828405</c:v>
                </c:pt>
                <c:pt idx="541">
                  <c:v>0.64123033046338151</c:v>
                </c:pt>
                <c:pt idx="542">
                  <c:v>0.63389408526191504</c:v>
                </c:pt>
                <c:pt idx="543">
                  <c:v>0.62664568747690041</c:v>
                </c:pt>
                <c:pt idx="544">
                  <c:v>0.61948403324707491</c:v>
                </c:pt>
                <c:pt idx="545">
                  <c:v>0.61240803357704732</c:v>
                </c:pt>
                <c:pt idx="546">
                  <c:v>0.6054166138403424</c:v>
                </c:pt>
                <c:pt idx="547">
                  <c:v>0.59850871353416069</c:v>
                </c:pt>
                <c:pt idx="548">
                  <c:v>0.59168328607820797</c:v>
                </c:pt>
                <c:pt idx="549">
                  <c:v>0.58493929862310412</c:v>
                </c:pt>
                <c:pt idx="550">
                  <c:v>0.57827573186261239</c:v>
                </c:pt>
                <c:pt idx="551">
                  <c:v>0.57169157984870722</c:v>
                </c:pt>
                <c:pt idx="552">
                  <c:v>0.56518584980927833</c:v>
                </c:pt>
                <c:pt idx="553">
                  <c:v>0.5587575619684132</c:v>
                </c:pt>
                <c:pt idx="554">
                  <c:v>0.55240574936921227</c:v>
                </c:pt>
                <c:pt idx="555">
                  <c:v>0.54612945769910159</c:v>
                </c:pt>
                <c:pt idx="556">
                  <c:v>0.53992774511760677</c:v>
                </c:pt>
                <c:pt idx="557">
                  <c:v>0.53379968208655049</c:v>
                </c:pt>
                <c:pt idx="558">
                  <c:v>0.52774435120264218</c:v>
                </c:pt>
                <c:pt idx="559">
                  <c:v>0.55692192037094435</c:v>
                </c:pt>
                <c:pt idx="560">
                  <c:v>0.52168277538037766</c:v>
                </c:pt>
                <c:pt idx="561">
                  <c:v>0.51097391139091186</c:v>
                </c:pt>
                <c:pt idx="562">
                  <c:v>0.50439306877098888</c:v>
                </c:pt>
                <c:pt idx="563">
                  <c:v>0.49855405674293762</c:v>
                </c:pt>
                <c:pt idx="564">
                  <c:v>0.49289427782567596</c:v>
                </c:pt>
                <c:pt idx="565">
                  <c:v>0.48731968041627505</c:v>
                </c:pt>
                <c:pt idx="566">
                  <c:v>0.48181397074256777</c:v>
                </c:pt>
                <c:pt idx="567">
                  <c:v>0.47637376680659005</c:v>
                </c:pt>
                <c:pt idx="568">
                  <c:v>0.47236038479014719</c:v>
                </c:pt>
                <c:pt idx="569">
                  <c:v>0.47823024091191901</c:v>
                </c:pt>
                <c:pt idx="570">
                  <c:v>0.64535181915131179</c:v>
                </c:pt>
                <c:pt idx="571">
                  <c:v>0.81027909226538741</c:v>
                </c:pt>
                <c:pt idx="572">
                  <c:v>0.71458746562592157</c:v>
                </c:pt>
                <c:pt idx="573">
                  <c:v>0.65661176177431324</c:v>
                </c:pt>
                <c:pt idx="574">
                  <c:v>0.59939286502954536</c:v>
                </c:pt>
                <c:pt idx="575">
                  <c:v>0.54378864174426755</c:v>
                </c:pt>
                <c:pt idx="576">
                  <c:v>0.49100913317253891</c:v>
                </c:pt>
                <c:pt idx="577">
                  <c:v>0.43979765783059283</c:v>
                </c:pt>
                <c:pt idx="578">
                  <c:v>0.42374949560197905</c:v>
                </c:pt>
                <c:pt idx="579">
                  <c:v>0.41714742716992165</c:v>
                </c:pt>
                <c:pt idx="580">
                  <c:v>0.41215900240862818</c:v>
                </c:pt>
                <c:pt idx="581">
                  <c:v>0.40748396532594028</c:v>
                </c:pt>
                <c:pt idx="582">
                  <c:v>0.40290599556483792</c:v>
                </c:pt>
                <c:pt idx="583">
                  <c:v>0.40111373797668731</c:v>
                </c:pt>
                <c:pt idx="584">
                  <c:v>0.39437750905630753</c:v>
                </c:pt>
                <c:pt idx="585">
                  <c:v>0.38958941528297791</c:v>
                </c:pt>
                <c:pt idx="586">
                  <c:v>0.38516748147923457</c:v>
                </c:pt>
                <c:pt idx="587">
                  <c:v>0.42500310880191838</c:v>
                </c:pt>
                <c:pt idx="588">
                  <c:v>0.38391565506039138</c:v>
                </c:pt>
                <c:pt idx="589">
                  <c:v>0.37768353390100906</c:v>
                </c:pt>
                <c:pt idx="590">
                  <c:v>0.36910072934080601</c:v>
                </c:pt>
                <c:pt idx="591">
                  <c:v>0.36425583422531727</c:v>
                </c:pt>
                <c:pt idx="592">
                  <c:v>0.36007103413060415</c:v>
                </c:pt>
                <c:pt idx="593">
                  <c:v>0.35603512149977035</c:v>
                </c:pt>
                <c:pt idx="594">
                  <c:v>0.35342533516556512</c:v>
                </c:pt>
                <c:pt idx="595">
                  <c:v>0.34836550095916996</c:v>
                </c:pt>
                <c:pt idx="596">
                  <c:v>0.3442995933948747</c:v>
                </c:pt>
                <c:pt idx="597">
                  <c:v>0.34043608419363275</c:v>
                </c:pt>
                <c:pt idx="598">
                  <c:v>0.39599744396811409</c:v>
                </c:pt>
                <c:pt idx="599">
                  <c:v>0.34274757207488749</c:v>
                </c:pt>
                <c:pt idx="600">
                  <c:v>0.33083235292176916</c:v>
                </c:pt>
                <c:pt idx="601">
                  <c:v>0.32581173464129509</c:v>
                </c:pt>
                <c:pt idx="602">
                  <c:v>0.3219704282542864</c:v>
                </c:pt>
                <c:pt idx="603">
                  <c:v>0.31835963200079653</c:v>
                </c:pt>
                <c:pt idx="604">
                  <c:v>0.31482148295479162</c:v>
                </c:pt>
                <c:pt idx="605">
                  <c:v>0.31132936904721575</c:v>
                </c:pt>
                <c:pt idx="606">
                  <c:v>0.30787846279345032</c:v>
                </c:pt>
                <c:pt idx="607">
                  <c:v>0.3044675567914828</c:v>
                </c:pt>
                <c:pt idx="608">
                  <c:v>0.30109604950170304</c:v>
                </c:pt>
                <c:pt idx="609">
                  <c:v>0.29776344500977348</c:v>
                </c:pt>
                <c:pt idx="610">
                  <c:v>0.29446926995156664</c:v>
                </c:pt>
                <c:pt idx="611">
                  <c:v>0.29121305966137612</c:v>
                </c:pt>
                <c:pt idx="612">
                  <c:v>0.287994355807701</c:v>
                </c:pt>
                <c:pt idx="613">
                  <c:v>0.284812705936142</c:v>
                </c:pt>
                <c:pt idx="614">
                  <c:v>0.28166766332964843</c:v>
                </c:pt>
                <c:pt idx="615">
                  <c:v>0.27855878692230485</c:v>
                </c:pt>
                <c:pt idx="616">
                  <c:v>0.27548564122286878</c:v>
                </c:pt>
                <c:pt idx="617">
                  <c:v>0.27244779624078225</c:v>
                </c:pt>
                <c:pt idx="618">
                  <c:v>0.26944482741343478</c:v>
                </c:pt>
                <c:pt idx="619">
                  <c:v>0.26647631553446643</c:v>
                </c:pt>
                <c:pt idx="620">
                  <c:v>0.26354184668306141</c:v>
                </c:pt>
                <c:pt idx="621">
                  <c:v>0.2606410121542132</c:v>
                </c:pt>
                <c:pt idx="622">
                  <c:v>0.25777340838994822</c:v>
                </c:pt>
                <c:pt idx="623">
                  <c:v>0.25493863691149066</c:v>
                </c:pt>
                <c:pt idx="624">
                  <c:v>0.25213630425235978</c:v>
                </c:pt>
                <c:pt idx="625">
                  <c:v>0.24936602189238233</c:v>
                </c:pt>
                <c:pt idx="626">
                  <c:v>0.24662740619260975</c:v>
                </c:pt>
                <c:pt idx="627">
                  <c:v>0.24732644543864157</c:v>
                </c:pt>
                <c:pt idx="628">
                  <c:v>0.24180890429252677</c:v>
                </c:pt>
                <c:pt idx="629">
                  <c:v>0.23869158840083443</c:v>
                </c:pt>
                <c:pt idx="630">
                  <c:v>0.23599766829790536</c:v>
                </c:pt>
                <c:pt idx="631">
                  <c:v>0.23339881650579791</c:v>
                </c:pt>
                <c:pt idx="632">
                  <c:v>0.23084025566549299</c:v>
                </c:pt>
                <c:pt idx="633">
                  <c:v>0.2283126040221761</c:v>
                </c:pt>
                <c:pt idx="634">
                  <c:v>0.22581401625414954</c:v>
                </c:pt>
                <c:pt idx="635">
                  <c:v>0.22334390121313674</c:v>
                </c:pt>
                <c:pt idx="636">
                  <c:v>0.23452734785205781</c:v>
                </c:pt>
                <c:pt idx="637">
                  <c:v>0.33693678225539869</c:v>
                </c:pt>
                <c:pt idx="638">
                  <c:v>0.24730547159680216</c:v>
                </c:pt>
                <c:pt idx="639">
                  <c:v>0.21891900463814945</c:v>
                </c:pt>
                <c:pt idx="640">
                  <c:v>0.2122672486179373</c:v>
                </c:pt>
                <c:pt idx="641">
                  <c:v>0.20924408417670479</c:v>
                </c:pt>
                <c:pt idx="642">
                  <c:v>0.20684478734659503</c:v>
                </c:pt>
                <c:pt idx="643">
                  <c:v>0.20457050751815087</c:v>
                </c:pt>
                <c:pt idx="644">
                  <c:v>0.20233821271095445</c:v>
                </c:pt>
                <c:pt idx="645">
                  <c:v>0.20013387352288081</c:v>
                </c:pt>
                <c:pt idx="646">
                  <c:v>0.19795491370668511</c:v>
                </c:pt>
                <c:pt idx="647">
                  <c:v>0.1958006605893694</c:v>
                </c:pt>
                <c:pt idx="648">
                  <c:v>0.19367076040979925</c:v>
                </c:pt>
                <c:pt idx="649">
                  <c:v>0.19156491532615705</c:v>
                </c:pt>
                <c:pt idx="650">
                  <c:v>0.18948283973697028</c:v>
                </c:pt>
                <c:pt idx="651">
                  <c:v>0.18742425299475879</c:v>
                </c:pt>
                <c:pt idx="652">
                  <c:v>0.21911678276306842</c:v>
                </c:pt>
                <c:pt idx="653">
                  <c:v>0.19101694668892791</c:v>
                </c:pt>
                <c:pt idx="654">
                  <c:v>0.44999818528641633</c:v>
                </c:pt>
                <c:pt idx="655">
                  <c:v>0.36677753778558164</c:v>
                </c:pt>
                <c:pt idx="656">
                  <c:v>1.9397050269185223</c:v>
                </c:pt>
                <c:pt idx="657">
                  <c:v>0.74285838297751672</c:v>
                </c:pt>
                <c:pt idx="658">
                  <c:v>0.75537260103781378</c:v>
                </c:pt>
                <c:pt idx="659">
                  <c:v>0.7574578776616846</c:v>
                </c:pt>
                <c:pt idx="660">
                  <c:v>0.75864102326628435</c:v>
                </c:pt>
                <c:pt idx="661">
                  <c:v>0.76419143427946223</c:v>
                </c:pt>
                <c:pt idx="662">
                  <c:v>0.76682219302289245</c:v>
                </c:pt>
                <c:pt idx="663">
                  <c:v>0.76851303474289678</c:v>
                </c:pt>
                <c:pt idx="664">
                  <c:v>0.7700187569389555</c:v>
                </c:pt>
                <c:pt idx="665">
                  <c:v>0.77153998712831995</c:v>
                </c:pt>
                <c:pt idx="666">
                  <c:v>0.77271498079366774</c:v>
                </c:pt>
                <c:pt idx="667">
                  <c:v>0.77538481952852101</c:v>
                </c:pt>
                <c:pt idx="668">
                  <c:v>0.77691719472067522</c:v>
                </c:pt>
                <c:pt idx="669">
                  <c:v>0.77762875832485023</c:v>
                </c:pt>
                <c:pt idx="670">
                  <c:v>0.77785544160575648</c:v>
                </c:pt>
                <c:pt idx="671">
                  <c:v>0.77722087968814724</c:v>
                </c:pt>
                <c:pt idx="672">
                  <c:v>0.77650100250469534</c:v>
                </c:pt>
                <c:pt idx="673">
                  <c:v>0.74865460883835888</c:v>
                </c:pt>
                <c:pt idx="674">
                  <c:v>0.66750801248270686</c:v>
                </c:pt>
                <c:pt idx="675">
                  <c:v>0.65017176661116127</c:v>
                </c:pt>
                <c:pt idx="676">
                  <c:v>0.55776461986571835</c:v>
                </c:pt>
                <c:pt idx="677">
                  <c:v>0.55810435637808864</c:v>
                </c:pt>
                <c:pt idx="678">
                  <c:v>0.50517441395611606</c:v>
                </c:pt>
                <c:pt idx="679">
                  <c:v>0.42079796275794423</c:v>
                </c:pt>
                <c:pt idx="680">
                  <c:v>0.40430075593978182</c:v>
                </c:pt>
                <c:pt idx="681">
                  <c:v>0.32014445134262381</c:v>
                </c:pt>
                <c:pt idx="682">
                  <c:v>0.25162603447757631</c:v>
                </c:pt>
                <c:pt idx="683">
                  <c:v>0.19421416844071632</c:v>
                </c:pt>
                <c:pt idx="684">
                  <c:v>0.18286000068178032</c:v>
                </c:pt>
                <c:pt idx="685">
                  <c:v>0.17917145579000948</c:v>
                </c:pt>
                <c:pt idx="686">
                  <c:v>0.19312815343983047</c:v>
                </c:pt>
                <c:pt idx="687">
                  <c:v>0.18142173101765863</c:v>
                </c:pt>
                <c:pt idx="688">
                  <c:v>0.76695282265436371</c:v>
                </c:pt>
                <c:pt idx="689">
                  <c:v>0.76989712989498815</c:v>
                </c:pt>
                <c:pt idx="690">
                  <c:v>0.66782310289204905</c:v>
                </c:pt>
                <c:pt idx="691">
                  <c:v>0.59222668578517657</c:v>
                </c:pt>
                <c:pt idx="692">
                  <c:v>0.63014121230304543</c:v>
                </c:pt>
                <c:pt idx="693">
                  <c:v>0.77809072886853958</c:v>
                </c:pt>
                <c:pt idx="694">
                  <c:v>0.78088174333230731</c:v>
                </c:pt>
                <c:pt idx="695">
                  <c:v>0.7812522763852241</c:v>
                </c:pt>
                <c:pt idx="696">
                  <c:v>0.78073439187382176</c:v>
                </c:pt>
                <c:pt idx="697">
                  <c:v>0.77938822021769516</c:v>
                </c:pt>
                <c:pt idx="698">
                  <c:v>0.78144288434563003</c:v>
                </c:pt>
                <c:pt idx="699">
                  <c:v>0.79354449684455419</c:v>
                </c:pt>
                <c:pt idx="700">
                  <c:v>0.79489329753532822</c:v>
                </c:pt>
                <c:pt idx="701">
                  <c:v>0.79530006036135426</c:v>
                </c:pt>
                <c:pt idx="702">
                  <c:v>0.79482711141260565</c:v>
                </c:pt>
                <c:pt idx="703">
                  <c:v>0.7935316066496384</c:v>
                </c:pt>
                <c:pt idx="704">
                  <c:v>0.73236992001678813</c:v>
                </c:pt>
                <c:pt idx="705">
                  <c:v>0.63986387764554975</c:v>
                </c:pt>
                <c:pt idx="706">
                  <c:v>0.5485396102150476</c:v>
                </c:pt>
                <c:pt idx="707">
                  <c:v>0.46035117464305336</c:v>
                </c:pt>
                <c:pt idx="708">
                  <c:v>0.37511620870975271</c:v>
                </c:pt>
                <c:pt idx="709">
                  <c:v>0.29219842692406994</c:v>
                </c:pt>
                <c:pt idx="710">
                  <c:v>0.21599971272471249</c:v>
                </c:pt>
                <c:pt idx="711">
                  <c:v>0.18123362461651843</c:v>
                </c:pt>
                <c:pt idx="712">
                  <c:v>0.17362348051319917</c:v>
                </c:pt>
                <c:pt idx="713">
                  <c:v>0.17054388143723909</c:v>
                </c:pt>
                <c:pt idx="714">
                  <c:v>0.16824011597996574</c:v>
                </c:pt>
                <c:pt idx="715">
                  <c:v>0.16608881011975146</c:v>
                </c:pt>
                <c:pt idx="716">
                  <c:v>0.24027056372470662</c:v>
                </c:pt>
                <c:pt idx="717">
                  <c:v>0.17602344000916559</c:v>
                </c:pt>
                <c:pt idx="718">
                  <c:v>0.16221234771349963</c:v>
                </c:pt>
                <c:pt idx="719">
                  <c:v>0.64366414137024464</c:v>
                </c:pt>
                <c:pt idx="720">
                  <c:v>0.32743932773091122</c:v>
                </c:pt>
                <c:pt idx="721">
                  <c:v>0.26789078907782804</c:v>
                </c:pt>
                <c:pt idx="722">
                  <c:v>0.84251749354534256</c:v>
                </c:pt>
                <c:pt idx="723">
                  <c:v>0.62015373311605204</c:v>
                </c:pt>
                <c:pt idx="724">
                  <c:v>0.52904074118082911</c:v>
                </c:pt>
                <c:pt idx="725">
                  <c:v>0.79576914643851782</c:v>
                </c:pt>
                <c:pt idx="726">
                  <c:v>0.79476142854568022</c:v>
                </c:pt>
                <c:pt idx="727">
                  <c:v>0.76562231624948685</c:v>
                </c:pt>
                <c:pt idx="728">
                  <c:v>3.5190219695095739</c:v>
                </c:pt>
                <c:pt idx="729">
                  <c:v>0.81293431633862812</c:v>
                </c:pt>
                <c:pt idx="730">
                  <c:v>0.81534545370273026</c:v>
                </c:pt>
                <c:pt idx="731">
                  <c:v>0.81916599446896288</c:v>
                </c:pt>
                <c:pt idx="732">
                  <c:v>0.82199530234862006</c:v>
                </c:pt>
                <c:pt idx="733">
                  <c:v>0.82486829513646487</c:v>
                </c:pt>
                <c:pt idx="734">
                  <c:v>0.82741763483772712</c:v>
                </c:pt>
              </c:numCache>
            </c:numRef>
          </c:yVal>
          <c:smooth val="0"/>
          <c:extLst>
            <c:ext xmlns:c16="http://schemas.microsoft.com/office/drawing/2014/chart" uri="{C3380CC4-5D6E-409C-BE32-E72D297353CC}">
              <c16:uniqueId val="{00000000-7B19-6248-A130-848C53A3370C}"/>
            </c:ext>
          </c:extLst>
        </c:ser>
        <c:ser>
          <c:idx val="0"/>
          <c:order val="1"/>
          <c:tx>
            <c:strRef>
              <c:f>Escenarios!$E$28</c:f>
              <c:strCache>
                <c:ptCount val="1"/>
                <c:pt idx="0">
                  <c:v>Escenario 1</c:v>
                </c:pt>
              </c:strCache>
            </c:strRef>
          </c:tx>
          <c:spPr>
            <a:ln w="12700" cap="rnd">
              <a:solidFill>
                <a:schemeClr val="accent2"/>
              </a:solidFill>
              <a:round/>
            </a:ln>
            <a:effectLst/>
          </c:spPr>
          <c:marker>
            <c:symbol val="none"/>
          </c:marker>
          <c:xVal>
            <c:strRef>
              <c:f>Escenario1!$C:$C</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Escenario1!$BN:$BN</c:f>
              <c:numCache>
                <c:formatCode>General</c:formatCode>
                <c:ptCount val="1048576"/>
                <c:pt idx="4">
                  <c:v>0</c:v>
                </c:pt>
                <c:pt idx="6" formatCode="0.0000">
                  <c:v>1.188014580406195</c:v>
                </c:pt>
                <c:pt idx="7" formatCode="0.0000">
                  <c:v>1.1126667170467981</c:v>
                </c:pt>
                <c:pt idx="8" formatCode="0.0000">
                  <c:v>1.2745523945215478</c:v>
                </c:pt>
                <c:pt idx="9" formatCode="0.0000">
                  <c:v>1.2429257022053259</c:v>
                </c:pt>
                <c:pt idx="10" formatCode="0.0000">
                  <c:v>1.3192446349670273</c:v>
                </c:pt>
                <c:pt idx="11" formatCode="0.0000">
                  <c:v>1.4338005299955028</c:v>
                </c:pt>
                <c:pt idx="12" formatCode="0.0000">
                  <c:v>1.3536057718643828</c:v>
                </c:pt>
                <c:pt idx="13" formatCode="0.0000">
                  <c:v>1.2544383719409578</c:v>
                </c:pt>
                <c:pt idx="14" formatCode="0.0000">
                  <c:v>1.1585695041788577</c:v>
                </c:pt>
                <c:pt idx="15" formatCode="0.0000">
                  <c:v>1.0686503927407915</c:v>
                </c:pt>
                <c:pt idx="16" formatCode="0.0000">
                  <c:v>1.0667748871341871</c:v>
                </c:pt>
                <c:pt idx="17" formatCode="0.0000">
                  <c:v>1.4529694577386545</c:v>
                </c:pt>
                <c:pt idx="18" formatCode="0.0000">
                  <c:v>1.3630076577950656</c:v>
                </c:pt>
                <c:pt idx="19" formatCode="0.0000">
                  <c:v>1.2760280186441468</c:v>
                </c:pt>
                <c:pt idx="20" formatCode="0.0000">
                  <c:v>1.1948316534244849</c:v>
                </c:pt>
                <c:pt idx="21" formatCode="0.0000">
                  <c:v>1.1007071547473577</c:v>
                </c:pt>
                <c:pt idx="22" formatCode="0.0000">
                  <c:v>1.2742334382568163</c:v>
                </c:pt>
                <c:pt idx="23" formatCode="0.0000">
                  <c:v>1.2551698345910227</c:v>
                </c:pt>
                <c:pt idx="24" formatCode="0.0000">
                  <c:v>1.3973680126865413</c:v>
                </c:pt>
                <c:pt idx="25" formatCode="0.0000">
                  <c:v>1.4317970981096502</c:v>
                </c:pt>
                <c:pt idx="26" formatCode="0.0000">
                  <c:v>1.4514796763311699</c:v>
                </c:pt>
                <c:pt idx="27" formatCode="0.0000">
                  <c:v>1.3529574984390769</c:v>
                </c:pt>
                <c:pt idx="28" formatCode="0.0000">
                  <c:v>1.5585738511906797</c:v>
                </c:pt>
                <c:pt idx="29" formatCode="0.0000">
                  <c:v>1.5309849023387958</c:v>
                </c:pt>
                <c:pt idx="30" formatCode="0.0000">
                  <c:v>1.4294766267691843</c:v>
                </c:pt>
                <c:pt idx="31" formatCode="0.0000">
                  <c:v>1.451145578959371</c:v>
                </c:pt>
                <c:pt idx="32" formatCode="0.0000">
                  <c:v>1.3541550943482246</c:v>
                </c:pt>
                <c:pt idx="33" formatCode="0.0000">
                  <c:v>1.2576735552993668</c:v>
                </c:pt>
                <c:pt idx="34" formatCode="0.0000">
                  <c:v>1.2181126166498535</c:v>
                </c:pt>
                <c:pt idx="35" formatCode="0.0000">
                  <c:v>1.2820934111082942</c:v>
                </c:pt>
                <c:pt idx="36" formatCode="0.0000">
                  <c:v>1.2813623137105223</c:v>
                </c:pt>
                <c:pt idx="37" formatCode="0.0000">
                  <c:v>1.2282437713550773</c:v>
                </c:pt>
                <c:pt idx="38" formatCode="0.0000">
                  <c:v>1.1991157908554828</c:v>
                </c:pt>
                <c:pt idx="39" formatCode="0.0000">
                  <c:v>1.103569800009798</c:v>
                </c:pt>
                <c:pt idx="40" formatCode="0.0000">
                  <c:v>1.1120780296593968</c:v>
                </c:pt>
                <c:pt idx="41" formatCode="0.0000">
                  <c:v>1.0186186231291026</c:v>
                </c:pt>
                <c:pt idx="42" formatCode="0.0000">
                  <c:v>0.92726993095489285</c:v>
                </c:pt>
                <c:pt idx="43" formatCode="0.0000">
                  <c:v>1.2453068819576705</c:v>
                </c:pt>
                <c:pt idx="44" formatCode="0.0000">
                  <c:v>1.1469225608206703</c:v>
                </c:pt>
                <c:pt idx="45" formatCode="0.0000">
                  <c:v>1.1156422550959293</c:v>
                </c:pt>
                <c:pt idx="46" formatCode="0.0000">
                  <c:v>1.5377667830731405</c:v>
                </c:pt>
                <c:pt idx="47" formatCode="0.0000">
                  <c:v>1.4364290169551752</c:v>
                </c:pt>
                <c:pt idx="48" formatCode="0.0000">
                  <c:v>1.3924975812282754</c:v>
                </c:pt>
                <c:pt idx="49" formatCode="0.0000">
                  <c:v>1.3156456479236587</c:v>
                </c:pt>
                <c:pt idx="50" formatCode="0.0000">
                  <c:v>1.2181884334693334</c:v>
                </c:pt>
                <c:pt idx="51" formatCode="0.0000">
                  <c:v>1.1742353144947584</c:v>
                </c:pt>
                <c:pt idx="52" formatCode="0.0000">
                  <c:v>1.5407229923009138</c:v>
                </c:pt>
                <c:pt idx="53" formatCode="0.0000">
                  <c:v>1.478946407637026</c:v>
                </c:pt>
                <c:pt idx="54" formatCode="0.0000">
                  <c:v>1.5893772597089169</c:v>
                </c:pt>
                <c:pt idx="55" formatCode="0.0000">
                  <c:v>1.4861365442959045</c:v>
                </c:pt>
                <c:pt idx="56" formatCode="0.0000">
                  <c:v>1.7222282332156915</c:v>
                </c:pt>
                <c:pt idx="57" formatCode="0.0000">
                  <c:v>1.7949352324596832</c:v>
                </c:pt>
                <c:pt idx="58" formatCode="0.0000">
                  <c:v>1.822561995763375</c:v>
                </c:pt>
                <c:pt idx="59" formatCode="0.0000">
                  <c:v>2.0009057277548794</c:v>
                </c:pt>
                <c:pt idx="60" formatCode="0.0000">
                  <c:v>2.0440374506019983</c:v>
                </c:pt>
                <c:pt idx="61" formatCode="0.0000">
                  <c:v>1.9540337568010053</c:v>
                </c:pt>
                <c:pt idx="62" formatCode="0.0000">
                  <c:v>1.8504388519941628</c:v>
                </c:pt>
                <c:pt idx="63" formatCode="0.0000">
                  <c:v>1.786451455010222</c:v>
                </c:pt>
                <c:pt idx="64" formatCode="0.0000">
                  <c:v>1.7015414527067829</c:v>
                </c:pt>
                <c:pt idx="65" formatCode="0.0000">
                  <c:v>1.6073635346733324</c:v>
                </c:pt>
                <c:pt idx="66" formatCode="0.0000">
                  <c:v>1.6187608944412235</c:v>
                </c:pt>
                <c:pt idx="67" formatCode="0.0000">
                  <c:v>1.5277440850531312</c:v>
                </c:pt>
                <c:pt idx="68" formatCode="0.0000">
                  <c:v>1.516650786238172</c:v>
                </c:pt>
                <c:pt idx="69" formatCode="0.0000">
                  <c:v>1.4290528625574308</c:v>
                </c:pt>
                <c:pt idx="70" formatCode="0.0000">
                  <c:v>1.5194316568953392</c:v>
                </c:pt>
                <c:pt idx="71" formatCode="0.0000">
                  <c:v>1.4333904418394721</c:v>
                </c:pt>
                <c:pt idx="72" formatCode="0.0000">
                  <c:v>2.0520768116272512</c:v>
                </c:pt>
                <c:pt idx="73" formatCode="0.0000">
                  <c:v>2.009454667137911</c:v>
                </c:pt>
                <c:pt idx="74" formatCode="0.0000">
                  <c:v>2.1015433760765703</c:v>
                </c:pt>
                <c:pt idx="75" formatCode="0.0000">
                  <c:v>2.1142912183471343</c:v>
                </c:pt>
                <c:pt idx="76" formatCode="0.0000">
                  <c:v>2.2440734423536806</c:v>
                </c:pt>
                <c:pt idx="77" formatCode="0.0000">
                  <c:v>2.2816246260823529</c:v>
                </c:pt>
                <c:pt idx="78" formatCode="0.0000">
                  <c:v>2.2768726060687237</c:v>
                </c:pt>
                <c:pt idx="79" formatCode="0.0000">
                  <c:v>2.2891565788256911</c:v>
                </c:pt>
                <c:pt idx="80" formatCode="0.0000">
                  <c:v>2.4051140705546086</c:v>
                </c:pt>
                <c:pt idx="81" formatCode="0.0000">
                  <c:v>2.306529533804099</c:v>
                </c:pt>
                <c:pt idx="82" formatCode="0.0000">
                  <c:v>2.2693072411346455</c:v>
                </c:pt>
                <c:pt idx="83" formatCode="0.0000">
                  <c:v>2.1725856784229247</c:v>
                </c:pt>
                <c:pt idx="84" formatCode="0.0000">
                  <c:v>2.1821034379392406</c:v>
                </c:pt>
                <c:pt idx="85" formatCode="0.0000">
                  <c:v>2.0853242813596422</c:v>
                </c:pt>
                <c:pt idx="86" formatCode="0.0000">
                  <c:v>2.0425006878062573</c:v>
                </c:pt>
                <c:pt idx="87" formatCode="0.0000">
                  <c:v>2.0209856614545623</c:v>
                </c:pt>
                <c:pt idx="88" formatCode="0.0000">
                  <c:v>1.9295455220082485</c:v>
                </c:pt>
                <c:pt idx="89" formatCode="0.0000">
                  <c:v>1.8386545465966564</c:v>
                </c:pt>
                <c:pt idx="90" formatCode="0.0000">
                  <c:v>1.7521629223008577</c:v>
                </c:pt>
                <c:pt idx="91" formatCode="0.0000">
                  <c:v>1.6678397320730884</c:v>
                </c:pt>
                <c:pt idx="92" formatCode="0.0000">
                  <c:v>1.9387873316292428</c:v>
                </c:pt>
                <c:pt idx="93" formatCode="0.0000">
                  <c:v>1.8487882766655632</c:v>
                </c:pt>
                <c:pt idx="94" formatCode="0.0000">
                  <c:v>1.8142369968270933</c:v>
                </c:pt>
                <c:pt idx="95" formatCode="0.0000">
                  <c:v>1.7279440219925823</c:v>
                </c:pt>
                <c:pt idx="96" formatCode="0.0000">
                  <c:v>1.6445539542677303</c:v>
                </c:pt>
                <c:pt idx="97" formatCode="0.0000">
                  <c:v>1.5632466189483762</c:v>
                </c:pt>
                <c:pt idx="98" formatCode="0.0000">
                  <c:v>1.5004932890654186</c:v>
                </c:pt>
                <c:pt idx="99" formatCode="0.0000">
                  <c:v>1.425606635161734</c:v>
                </c:pt>
                <c:pt idx="100" formatCode="0.0000">
                  <c:v>1.3531478022901873</c:v>
                </c:pt>
                <c:pt idx="101" formatCode="0.0000">
                  <c:v>1.2855975603990222</c:v>
                </c:pt>
                <c:pt idx="102" formatCode="0.0000">
                  <c:v>1.225670487147914</c:v>
                </c:pt>
                <c:pt idx="103" formatCode="0.0000">
                  <c:v>1.1698250751568473</c:v>
                </c:pt>
                <c:pt idx="104" formatCode="0.0000">
                  <c:v>1.152899687228671</c:v>
                </c:pt>
                <c:pt idx="105" formatCode="0.0000">
                  <c:v>1.1425890078169509</c:v>
                </c:pt>
                <c:pt idx="106" formatCode="0.0000">
                  <c:v>1.1331862161732069</c:v>
                </c:pt>
                <c:pt idx="107" formatCode="0.0000">
                  <c:v>1.1747323618633234</c:v>
                </c:pt>
                <c:pt idx="108" formatCode="0.0000">
                  <c:v>1.1675138430242897</c:v>
                </c:pt>
                <c:pt idx="109" formatCode="0.0000">
                  <c:v>1.1131650025026305</c:v>
                </c:pt>
                <c:pt idx="110" formatCode="0.0000">
                  <c:v>1.0959357050083673</c:v>
                </c:pt>
                <c:pt idx="111" formatCode="0.0000">
                  <c:v>1.0848831210522121</c:v>
                </c:pt>
                <c:pt idx="112" formatCode="0.0000">
                  <c:v>1.0745338072798845</c:v>
                </c:pt>
                <c:pt idx="113" formatCode="0.0000">
                  <c:v>1.0678501101041011</c:v>
                </c:pt>
                <c:pt idx="114" formatCode="0.0000">
                  <c:v>1.0570798241997197</c:v>
                </c:pt>
                <c:pt idx="115" formatCode="0.0000">
                  <c:v>1.0438200026843683</c:v>
                </c:pt>
                <c:pt idx="116" formatCode="0.0000">
                  <c:v>1.0336395794240243</c:v>
                </c:pt>
                <c:pt idx="117" formatCode="0.0000">
                  <c:v>1.0267817262623846</c:v>
                </c:pt>
                <c:pt idx="118" formatCode="0.0000">
                  <c:v>1.0139061485236691</c:v>
                </c:pt>
                <c:pt idx="119" formatCode="0.0000">
                  <c:v>1.0039843274925353</c:v>
                </c:pt>
                <c:pt idx="120" formatCode="0.0000">
                  <c:v>0.99428915973093313</c:v>
                </c:pt>
                <c:pt idx="121" formatCode="0.0000">
                  <c:v>1.3109620821982273</c:v>
                </c:pt>
                <c:pt idx="122" formatCode="0.0000">
                  <c:v>1.2403080039627916</c:v>
                </c:pt>
                <c:pt idx="123" formatCode="0.0000">
                  <c:v>1.1741215241497776</c:v>
                </c:pt>
                <c:pt idx="124" formatCode="0.0000">
                  <c:v>1.1084846951918099</c:v>
                </c:pt>
                <c:pt idx="125" formatCode="0.0000">
                  <c:v>1.0464438155967799</c:v>
                </c:pt>
                <c:pt idx="126" formatCode="0.0000">
                  <c:v>0.98660872880871753</c:v>
                </c:pt>
                <c:pt idx="127" formatCode="0.0000">
                  <c:v>0.93668932062912635</c:v>
                </c:pt>
                <c:pt idx="128" formatCode="0.0000">
                  <c:v>0.92094004825952025</c:v>
                </c:pt>
                <c:pt idx="129" formatCode="0.0000">
                  <c:v>0.91116913401404431</c:v>
                </c:pt>
                <c:pt idx="130" formatCode="0.0000">
                  <c:v>0.90236948067771661</c:v>
                </c:pt>
                <c:pt idx="131" formatCode="0.0000">
                  <c:v>0.89365374304716627</c:v>
                </c:pt>
                <c:pt idx="132" formatCode="0.0000">
                  <c:v>0.88502114378368124</c:v>
                </c:pt>
                <c:pt idx="133" formatCode="0.0000">
                  <c:v>0.87647086614974401</c:v>
                </c:pt>
                <c:pt idx="134" formatCode="0.0000">
                  <c:v>0.86875059472844496</c:v>
                </c:pt>
                <c:pt idx="135" formatCode="0.0000">
                  <c:v>0.85961436846831851</c:v>
                </c:pt>
                <c:pt idx="136" formatCode="0.0000">
                  <c:v>0.85130657627243855</c:v>
                </c:pt>
                <c:pt idx="137" formatCode="0.0000">
                  <c:v>0.84307800861082682</c:v>
                </c:pt>
                <c:pt idx="138" formatCode="0.0000">
                  <c:v>0.83492792653964987</c:v>
                </c:pt>
                <c:pt idx="139" formatCode="0.0000">
                  <c:v>0.82685559178701029</c:v>
                </c:pt>
                <c:pt idx="140" formatCode="0.0000">
                  <c:v>0.81886026211459595</c:v>
                </c:pt>
                <c:pt idx="141" formatCode="0.0000">
                  <c:v>0.81094119022710509</c:v>
                </c:pt>
                <c:pt idx="142" formatCode="0.0000">
                  <c:v>0.80309766460982202</c:v>
                </c:pt>
                <c:pt idx="143" formatCode="0.0000">
                  <c:v>0.795328953873362</c:v>
                </c:pt>
                <c:pt idx="144" formatCode="0.0000">
                  <c:v>0.78763433872760225</c:v>
                </c:pt>
                <c:pt idx="145" formatCode="0.0000">
                  <c:v>0.78001312790418231</c:v>
                </c:pt>
                <c:pt idx="146" formatCode="0.0000">
                  <c:v>0.7724645995906303</c:v>
                </c:pt>
                <c:pt idx="147" formatCode="0.0000">
                  <c:v>0.76498805549464988</c:v>
                </c:pt>
                <c:pt idx="148" formatCode="0.0000">
                  <c:v>0.75758282290960388</c:v>
                </c:pt>
                <c:pt idx="149" formatCode="0.0000">
                  <c:v>0.75024823436829013</c:v>
                </c:pt>
                <c:pt idx="150" formatCode="0.0000">
                  <c:v>0.74298361969675619</c:v>
                </c:pt>
                <c:pt idx="151" formatCode="0.0000">
                  <c:v>0.7357883186205717</c:v>
                </c:pt>
                <c:pt idx="152" formatCode="0.0000">
                  <c:v>0.72866165583468612</c:v>
                </c:pt>
                <c:pt idx="153" formatCode="0.0000">
                  <c:v>0.72160297206590507</c:v>
                </c:pt>
                <c:pt idx="154" formatCode="0.0000">
                  <c:v>0.71461162971679704</c:v>
                </c:pt>
                <c:pt idx="155" formatCode="0.0000">
                  <c:v>0.70768698745624359</c:v>
                </c:pt>
                <c:pt idx="156" formatCode="0.0000">
                  <c:v>0.70082841881058056</c:v>
                </c:pt>
                <c:pt idx="157" formatCode="0.0000">
                  <c:v>0.6940352884851545</c:v>
                </c:pt>
                <c:pt idx="158" formatCode="0.0000">
                  <c:v>0.99695847303924168</c:v>
                </c:pt>
                <c:pt idx="159" formatCode="0.0000">
                  <c:v>0.98288073432750589</c:v>
                </c:pt>
                <c:pt idx="160" formatCode="0.0000">
                  <c:v>0.92576405177375154</c:v>
                </c:pt>
                <c:pt idx="161" formatCode="0.0000">
                  <c:v>0.87313898817492586</c:v>
                </c:pt>
                <c:pt idx="162" formatCode="0.0000">
                  <c:v>0.82111046776193497</c:v>
                </c:pt>
                <c:pt idx="163" formatCode="0.0000">
                  <c:v>0.77172762074206591</c:v>
                </c:pt>
                <c:pt idx="164" formatCode="0.0000">
                  <c:v>0.72353033360153496</c:v>
                </c:pt>
                <c:pt idx="165" formatCode="0.0000">
                  <c:v>0.7297816704361082</c:v>
                </c:pt>
                <c:pt idx="166" formatCode="0.0000">
                  <c:v>0.72444485375861489</c:v>
                </c:pt>
                <c:pt idx="167" formatCode="0.0000">
                  <c:v>0.68786657928691441</c:v>
                </c:pt>
                <c:pt idx="168" formatCode="0.0000">
                  <c:v>0.64194439496052325</c:v>
                </c:pt>
                <c:pt idx="169" formatCode="0.0000">
                  <c:v>0.620383281642086</c:v>
                </c:pt>
                <c:pt idx="170" formatCode="0.0000">
                  <c:v>0.61182413446205974</c:v>
                </c:pt>
                <c:pt idx="171" formatCode="0.0000">
                  <c:v>0.60575007532613878</c:v>
                </c:pt>
                <c:pt idx="172" formatCode="0.0000">
                  <c:v>0.5998887388687224</c:v>
                </c:pt>
                <c:pt idx="173" formatCode="0.0000">
                  <c:v>0.59408309876923338</c:v>
                </c:pt>
                <c:pt idx="174" formatCode="0.0000">
                  <c:v>0.5883326382557319</c:v>
                </c:pt>
                <c:pt idx="175" formatCode="0.0000">
                  <c:v>0.58263683549189305</c:v>
                </c:pt>
                <c:pt idx="176" formatCode="0.0000">
                  <c:v>0.57699516942417028</c:v>
                </c:pt>
                <c:pt idx="177" formatCode="0.0000">
                  <c:v>0.5714071193491701</c:v>
                </c:pt>
                <c:pt idx="178" formatCode="0.0000">
                  <c:v>0.56587217912409427</c:v>
                </c:pt>
                <c:pt idx="179" formatCode="0.0000">
                  <c:v>0.56038984334869157</c:v>
                </c:pt>
                <c:pt idx="180" formatCode="0.0000">
                  <c:v>0.55495959947802942</c:v>
                </c:pt>
                <c:pt idx="181" formatCode="0.0000">
                  <c:v>0.54958096417575453</c:v>
                </c:pt>
                <c:pt idx="182" formatCode="0.0000">
                  <c:v>0.54425344719462898</c:v>
                </c:pt>
                <c:pt idx="183" formatCode="0.0000">
                  <c:v>0.5389765440653087</c:v>
                </c:pt>
                <c:pt idx="184" formatCode="0.0000">
                  <c:v>0.533749792806404</c:v>
                </c:pt>
                <c:pt idx="185" formatCode="0.0000">
                  <c:v>0.52857269650796057</c:v>
                </c:pt>
                <c:pt idx="186" formatCode="0.0000">
                  <c:v>0.52344477995144945</c:v>
                </c:pt>
                <c:pt idx="187" formatCode="0.0000">
                  <c:v>0.51836559421605921</c:v>
                </c:pt>
                <c:pt idx="188" formatCode="0.0000">
                  <c:v>0.51333466652333115</c:v>
                </c:pt>
                <c:pt idx="189" formatCode="0.0000">
                  <c:v>0.50835153797299615</c:v>
                </c:pt>
                <c:pt idx="190" formatCode="0.0000">
                  <c:v>0.50341576515366093</c:v>
                </c:pt>
                <c:pt idx="191" formatCode="0.0000">
                  <c:v>0.49852688227805697</c:v>
                </c:pt>
                <c:pt idx="192" formatCode="0.0000">
                  <c:v>0.49368444762506208</c:v>
                </c:pt>
                <c:pt idx="193" formatCode="0.0000">
                  <c:v>0.48888801913094754</c:v>
                </c:pt>
                <c:pt idx="194" formatCode="0.0000">
                  <c:v>0.48413718126062144</c:v>
                </c:pt>
                <c:pt idx="195" formatCode="0.0000">
                  <c:v>0.50974539878723046</c:v>
                </c:pt>
                <c:pt idx="196" formatCode="0.0000">
                  <c:v>0.47950015654048284</c:v>
                </c:pt>
                <c:pt idx="197" formatCode="0.0000">
                  <c:v>0.47062960817842842</c:v>
                </c:pt>
                <c:pt idx="198" formatCode="0.0000">
                  <c:v>0.46559018520670142</c:v>
                </c:pt>
                <c:pt idx="199" formatCode="0.0000">
                  <c:v>0.46106376578832875</c:v>
                </c:pt>
                <c:pt idx="200" formatCode="0.0000">
                  <c:v>0.45658035462054664</c:v>
                </c:pt>
                <c:pt idx="201" formatCode="0.0000">
                  <c:v>0.45213955345509732</c:v>
                </c:pt>
                <c:pt idx="202" formatCode="0.0000">
                  <c:v>0.4477409450673655</c:v>
                </c:pt>
                <c:pt idx="203" formatCode="0.0000">
                  <c:v>0.4433841378472399</c:v>
                </c:pt>
                <c:pt idx="204" formatCode="0.0000">
                  <c:v>0.43988115587128029</c:v>
                </c:pt>
                <c:pt idx="205" formatCode="0.0000">
                  <c:v>0.44520821385889353</c:v>
                </c:pt>
                <c:pt idx="206" formatCode="0.0000">
                  <c:v>0.55595068502979306</c:v>
                </c:pt>
                <c:pt idx="207" formatCode="0.0000">
                  <c:v>0.71165667120463727</c:v>
                </c:pt>
                <c:pt idx="208" formatCode="0.0000">
                  <c:v>0.65854609575734857</c:v>
                </c:pt>
                <c:pt idx="209" formatCode="0.0000">
                  <c:v>0.60751203875420967</c:v>
                </c:pt>
                <c:pt idx="210" formatCode="0.0000">
                  <c:v>0.55714312341438188</c:v>
                </c:pt>
                <c:pt idx="211" formatCode="0.0000">
                  <c:v>0.50819659955924579</c:v>
                </c:pt>
                <c:pt idx="212" formatCode="0.0000">
                  <c:v>0.46174065084197863</c:v>
                </c:pt>
                <c:pt idx="213" formatCode="0.0000">
                  <c:v>0.41666588345626332</c:v>
                </c:pt>
                <c:pt idx="214" formatCode="0.0000">
                  <c:v>0.40035057358895443</c:v>
                </c:pt>
                <c:pt idx="215" formatCode="0.0000">
                  <c:v>0.39442159882853672</c:v>
                </c:pt>
                <c:pt idx="216" formatCode="0.0000">
                  <c:v>0.39057503658383258</c:v>
                </c:pt>
                <c:pt idx="217" formatCode="0.0000">
                  <c:v>0.38678202376542187</c:v>
                </c:pt>
                <c:pt idx="218" formatCode="0.0000">
                  <c:v>0.38302482108929187</c:v>
                </c:pt>
                <c:pt idx="219" formatCode="0.0000">
                  <c:v>0.38126320186982393</c:v>
                </c:pt>
                <c:pt idx="220" formatCode="0.0000">
                  <c:v>0.3756170739596208</c:v>
                </c:pt>
                <c:pt idx="221" formatCode="0.0000">
                  <c:v>0.37196586146164123</c:v>
                </c:pt>
                <c:pt idx="222" formatCode="0.0000">
                  <c:v>0.36834911123747421</c:v>
                </c:pt>
                <c:pt idx="223" formatCode="0.0000">
                  <c:v>0.40297305391294264</c:v>
                </c:pt>
                <c:pt idx="224" formatCode="0.0000">
                  <c:v>0.3672013486287542</c:v>
                </c:pt>
                <c:pt idx="225" formatCode="0.0000">
                  <c:v>0.3619474138866986</c:v>
                </c:pt>
                <c:pt idx="226" formatCode="0.0000">
                  <c:v>0.35456520012655723</c:v>
                </c:pt>
                <c:pt idx="227" formatCode="0.0000">
                  <c:v>0.35078932372741417</c:v>
                </c:pt>
                <c:pt idx="228" formatCode="0.0000">
                  <c:v>0.34737744499319323</c:v>
                </c:pt>
                <c:pt idx="229" formatCode="0.0000">
                  <c:v>0.34399773312730014</c:v>
                </c:pt>
                <c:pt idx="230" formatCode="0.0000">
                  <c:v>0.34139641414130295</c:v>
                </c:pt>
                <c:pt idx="231" formatCode="0.0000">
                  <c:v>0.33733398155429772</c:v>
                </c:pt>
                <c:pt idx="232" formatCode="0.0000">
                  <c:v>0.33404934939146197</c:v>
                </c:pt>
                <c:pt idx="233" formatCode="0.0000">
                  <c:v>0.33079570388769358</c:v>
                </c:pt>
                <c:pt idx="234" formatCode="0.0000">
                  <c:v>0.37916356394246142</c:v>
                </c:pt>
                <c:pt idx="235" formatCode="0.0000">
                  <c:v>0.33256482624750949</c:v>
                </c:pt>
                <c:pt idx="236" formatCode="0.0000">
                  <c:v>0.32220153793227474</c:v>
                </c:pt>
                <c:pt idx="237" formatCode="0.0000">
                  <c:v>0.31810256739171211</c:v>
                </c:pt>
                <c:pt idx="238" formatCode="0.0000">
                  <c:v>0.31500504672867913</c:v>
                </c:pt>
                <c:pt idx="239" formatCode="0.0000">
                  <c:v>0.31193668117676537</c:v>
                </c:pt>
                <c:pt idx="240" formatCode="0.0000">
                  <c:v>0.30889718131753335</c:v>
                </c:pt>
                <c:pt idx="241" formatCode="0.0000">
                  <c:v>0.30588630117133703</c:v>
                </c:pt>
                <c:pt idx="242" formatCode="0.0000">
                  <c:v>0.30290377614395203</c:v>
                </c:pt>
                <c:pt idx="243" formatCode="0.0000">
                  <c:v>0.29994937169889324</c:v>
                </c:pt>
                <c:pt idx="244" formatCode="0.0000">
                  <c:v>0.29702281349944143</c:v>
                </c:pt>
                <c:pt idx="245" formatCode="0.0000">
                  <c:v>0.29412384114188889</c:v>
                </c:pt>
                <c:pt idx="246" formatCode="0.0000">
                  <c:v>0.29125222152688846</c:v>
                </c:pt>
                <c:pt idx="247" formatCode="0.0000">
                  <c:v>0.28840770906485969</c:v>
                </c:pt>
                <c:pt idx="248" formatCode="0.0000">
                  <c:v>0.28559004089321904</c:v>
                </c:pt>
                <c:pt idx="249" formatCode="0.0000">
                  <c:v>0.28279897691771633</c:v>
                </c:pt>
                <c:pt idx="250" formatCode="0.0000">
                  <c:v>0.28003426873726373</c:v>
                </c:pt>
                <c:pt idx="251" formatCode="0.0000">
                  <c:v>0.27729567975480229</c:v>
                </c:pt>
                <c:pt idx="252" formatCode="0.0000">
                  <c:v>0.27458297204266019</c:v>
                </c:pt>
                <c:pt idx="253" formatCode="0.0000">
                  <c:v>0.27189592150743186</c:v>
                </c:pt>
                <c:pt idx="254" formatCode="0.0000">
                  <c:v>0.26923429012702049</c:v>
                </c:pt>
                <c:pt idx="255" formatCode="0.0000">
                  <c:v>0.26659785889665683</c:v>
                </c:pt>
                <c:pt idx="256" formatCode="0.0000">
                  <c:v>0.26398638031401023</c:v>
                </c:pt>
                <c:pt idx="257" formatCode="0.0000">
                  <c:v>0.26139962909228293</c:v>
                </c:pt>
                <c:pt idx="258" formatCode="0.0000">
                  <c:v>0.2588373813270991</c:v>
                </c:pt>
                <c:pt idx="259" formatCode="0.0000">
                  <c:v>0.25629941879132417</c:v>
                </c:pt>
                <c:pt idx="260" formatCode="0.0000">
                  <c:v>0.25378552699997275</c:v>
                </c:pt>
                <c:pt idx="261" formatCode="0.0000">
                  <c:v>0.25129548557077735</c:v>
                </c:pt>
                <c:pt idx="262" formatCode="0.0000">
                  <c:v>0.24882908587976599</c:v>
                </c:pt>
                <c:pt idx="263" formatCode="0.0000">
                  <c:v>0.24882774302840918</c:v>
                </c:pt>
                <c:pt idx="264" formatCode="0.0000">
                  <c:v>0.24396822865036646</c:v>
                </c:pt>
                <c:pt idx="265" formatCode="0.0000">
                  <c:v>0.24157327737503295</c:v>
                </c:pt>
                <c:pt idx="266" formatCode="0.0000">
                  <c:v>0.23920105910081599</c:v>
                </c:pt>
                <c:pt idx="267" formatCode="0.0000">
                  <c:v>0.23685137402997103</c:v>
                </c:pt>
                <c:pt idx="268" formatCode="0.0000">
                  <c:v>0.23452401466593445</c:v>
                </c:pt>
                <c:pt idx="269" formatCode="0.0000">
                  <c:v>0.23221877642899602</c:v>
                </c:pt>
                <c:pt idx="270" formatCode="0.0000">
                  <c:v>0.22993546449873245</c:v>
                </c:pt>
                <c:pt idx="271" formatCode="0.0000">
                  <c:v>0.22767388245495471</c:v>
                </c:pt>
                <c:pt idx="272" formatCode="0.0000">
                  <c:v>0.23683906709564279</c:v>
                </c:pt>
                <c:pt idx="273" formatCode="0.0000">
                  <c:v>0.31117663758901926</c:v>
                </c:pt>
                <c:pt idx="274" formatCode="0.0000">
                  <c:v>0.24835476615575364</c:v>
                </c:pt>
                <c:pt idx="275" formatCode="0.0000">
                  <c:v>0.22295937316006181</c:v>
                </c:pt>
                <c:pt idx="276" formatCode="0.0000">
                  <c:v>0.21695657695785567</c:v>
                </c:pt>
                <c:pt idx="277" formatCode="0.0000">
                  <c:v>0.21463711859369858</c:v>
                </c:pt>
                <c:pt idx="278" formatCode="0.0000">
                  <c:v>0.21254026194508968</c:v>
                </c:pt>
                <c:pt idx="279" formatCode="0.0000">
                  <c:v>0.21046296366140882</c:v>
                </c:pt>
                <c:pt idx="280" formatCode="0.0000">
                  <c:v>0.20840506388768057</c:v>
                </c:pt>
                <c:pt idx="281" formatCode="0.0000">
                  <c:v>0.20636638721027278</c:v>
                </c:pt>
                <c:pt idx="282" formatCode="0.0000">
                  <c:v>0.20434677149057079</c:v>
                </c:pt>
                <c:pt idx="283" formatCode="0.0000">
                  <c:v>0.20234608538530668</c:v>
                </c:pt>
                <c:pt idx="284" formatCode="0.0000">
                  <c:v>0.20036413021699614</c:v>
                </c:pt>
                <c:pt idx="285" formatCode="0.0000">
                  <c:v>0.19840075161854684</c:v>
                </c:pt>
                <c:pt idx="286" formatCode="0.0000">
                  <c:v>0.19645579480587422</c:v>
                </c:pt>
                <c:pt idx="287" formatCode="0.0000">
                  <c:v>0.19452911730325423</c:v>
                </c:pt>
                <c:pt idx="288" formatCode="0.0000">
                  <c:v>0.22164440319697856</c:v>
                </c:pt>
                <c:pt idx="289" formatCode="0.0000">
                  <c:v>0.19685440848800534</c:v>
                </c:pt>
                <c:pt idx="290" formatCode="0.0000">
                  <c:v>0.32146126453889246</c:v>
                </c:pt>
                <c:pt idx="291" formatCode="0.0000">
                  <c:v>0.35479108691889538</c:v>
                </c:pt>
                <c:pt idx="292" formatCode="0.0000">
                  <c:v>0.85540582536066523</c:v>
                </c:pt>
                <c:pt idx="293" formatCode="0.0000">
                  <c:v>0.89505290644560642</c:v>
                </c:pt>
                <c:pt idx="294" formatCode="0.0000">
                  <c:v>1.1843722754668204</c:v>
                </c:pt>
                <c:pt idx="295" formatCode="0.0000">
                  <c:v>1.0857387156510712</c:v>
                </c:pt>
                <c:pt idx="296" formatCode="0.0000">
                  <c:v>0.99176098251356393</c:v>
                </c:pt>
                <c:pt idx="297" formatCode="0.0000">
                  <c:v>1.1525339717273584</c:v>
                </c:pt>
                <c:pt idx="298" formatCode="0.0000">
                  <c:v>1.1591239322951983</c:v>
                </c:pt>
                <c:pt idx="299" formatCode="0.0000">
                  <c:v>1.0618470971975813</c:v>
                </c:pt>
                <c:pt idx="300" formatCode="0.0000">
                  <c:v>1.0419989187540615</c:v>
                </c:pt>
                <c:pt idx="301" formatCode="0.0000">
                  <c:v>1.0428538442759392</c:v>
                </c:pt>
                <c:pt idx="302" formatCode="0.0000">
                  <c:v>1.0056844327061856</c:v>
                </c:pt>
                <c:pt idx="303" formatCode="0.0000">
                  <c:v>1.0895847922345785</c:v>
                </c:pt>
                <c:pt idx="304" formatCode="0.0000">
                  <c:v>1.0454494161747705</c:v>
                </c:pt>
                <c:pt idx="305" formatCode="0.0000">
                  <c:v>0.95871615104683683</c:v>
                </c:pt>
                <c:pt idx="306" formatCode="0.0000">
                  <c:v>0.90594363675255463</c:v>
                </c:pt>
                <c:pt idx="307" formatCode="0.0000">
                  <c:v>0.81309267851362044</c:v>
                </c:pt>
                <c:pt idx="308" formatCode="0.0000">
                  <c:v>0.80016297462625541</c:v>
                </c:pt>
                <c:pt idx="309" formatCode="0.0000">
                  <c:v>0.71163910657848428</c:v>
                </c:pt>
                <c:pt idx="310" formatCode="0.0000">
                  <c:v>0.63855430104822219</c:v>
                </c:pt>
                <c:pt idx="311" formatCode="0.0000">
                  <c:v>0.62168860577863738</c:v>
                </c:pt>
                <c:pt idx="312" formatCode="0.0000">
                  <c:v>0.53882879356746316</c:v>
                </c:pt>
                <c:pt idx="313" formatCode="0.0000">
                  <c:v>0.53763959659748084</c:v>
                </c:pt>
                <c:pt idx="314" formatCode="0.0000">
                  <c:v>0.48964566999376824</c:v>
                </c:pt>
                <c:pt idx="315" formatCode="0.0000">
                  <c:v>0.41402942201739062</c:v>
                </c:pt>
                <c:pt idx="316" formatCode="0.0000">
                  <c:v>0.39819776158967929</c:v>
                </c:pt>
                <c:pt idx="317" formatCode="0.0000">
                  <c:v>0.32287950236487845</c:v>
                </c:pt>
                <c:pt idx="318" formatCode="0.0000">
                  <c:v>0.26137596200970631</c:v>
                </c:pt>
                <c:pt idx="319" formatCode="0.0000">
                  <c:v>0.19084184930817025</c:v>
                </c:pt>
                <c:pt idx="320" formatCode="0.0000">
                  <c:v>0.15671088772919009</c:v>
                </c:pt>
                <c:pt idx="321" formatCode="0.0000">
                  <c:v>0.14985656137784345</c:v>
                </c:pt>
                <c:pt idx="322" formatCode="0.0000">
                  <c:v>0.16192570940849815</c:v>
                </c:pt>
                <c:pt idx="323" formatCode="0.0000">
                  <c:v>0.15198538855097204</c:v>
                </c:pt>
                <c:pt idx="324" formatCode="0.0000">
                  <c:v>0.48853795765038005</c:v>
                </c:pt>
                <c:pt idx="325" formatCode="0.0000">
                  <c:v>0.6942980053432628</c:v>
                </c:pt>
                <c:pt idx="326" formatCode="0.0000">
                  <c:v>0.62207542020806128</c:v>
                </c:pt>
                <c:pt idx="327" formatCode="0.0000">
                  <c:v>0.5544545878474032</c:v>
                </c:pt>
                <c:pt idx="328" formatCode="0.0000">
                  <c:v>0.58543015047548974</c:v>
                </c:pt>
                <c:pt idx="329" formatCode="0.0000">
                  <c:v>0.91200125135924504</c:v>
                </c:pt>
                <c:pt idx="330" formatCode="0.0000">
                  <c:v>1.02522071816656</c:v>
                </c:pt>
                <c:pt idx="331" formatCode="0.0000">
                  <c:v>0.92692185311962561</c:v>
                </c:pt>
                <c:pt idx="332" formatCode="0.0000">
                  <c:v>0.83122217107391216</c:v>
                </c:pt>
                <c:pt idx="333" formatCode="0.0000">
                  <c:v>0.7404834579387467</c:v>
                </c:pt>
                <c:pt idx="334" formatCode="0.0000">
                  <c:v>0.87980815946093793</c:v>
                </c:pt>
                <c:pt idx="335" formatCode="0.0000">
                  <c:v>1.1658565770688132</c:v>
                </c:pt>
                <c:pt idx="336" formatCode="0.0000">
                  <c:v>1.0713600592568382</c:v>
                </c:pt>
                <c:pt idx="337" formatCode="0.0000">
                  <c:v>0.97088655430969051</c:v>
                </c:pt>
                <c:pt idx="338" formatCode="0.0000">
                  <c:v>0.87554315264526006</c:v>
                </c:pt>
                <c:pt idx="339" formatCode="0.0000">
                  <c:v>0.7848882402083035</c:v>
                </c:pt>
                <c:pt idx="340" formatCode="0.0000">
                  <c:v>0.69856295175839533</c:v>
                </c:pt>
                <c:pt idx="341" formatCode="0.0000">
                  <c:v>0.6149432979636652</c:v>
                </c:pt>
                <c:pt idx="342" formatCode="0.0000">
                  <c:v>0.53246104816499673</c:v>
                </c:pt>
                <c:pt idx="343" formatCode="0.0000">
                  <c:v>0.45282357865161788</c:v>
                </c:pt>
                <c:pt idx="344" formatCode="0.0000">
                  <c:v>0.37586754349948176</c:v>
                </c:pt>
                <c:pt idx="345" formatCode="0.0000">
                  <c:v>0.30103251258426744</c:v>
                </c:pt>
                <c:pt idx="346" formatCode="0.0000">
                  <c:v>0.23218377072278909</c:v>
                </c:pt>
                <c:pt idx="347" formatCode="0.0000">
                  <c:v>0.16272023165717134</c:v>
                </c:pt>
                <c:pt idx="348" formatCode="0.0000">
                  <c:v>0.12630244650949868</c:v>
                </c:pt>
                <c:pt idx="349" formatCode="0.0000">
                  <c:v>0.1193864017370575</c:v>
                </c:pt>
                <c:pt idx="350" formatCode="0.0000">
                  <c:v>0.11774722279901551</c:v>
                </c:pt>
                <c:pt idx="351" formatCode="0.0000">
                  <c:v>0.11667206147246603</c:v>
                </c:pt>
                <c:pt idx="352" formatCode="0.0000">
                  <c:v>0.17557684688926747</c:v>
                </c:pt>
                <c:pt idx="353" formatCode="0.0000">
                  <c:v>0.12636030774394585</c:v>
                </c:pt>
                <c:pt idx="354" formatCode="0.0000">
                  <c:v>0.11493634241020588</c:v>
                </c:pt>
                <c:pt idx="355" formatCode="0.0000">
                  <c:v>0.28744749691859511</c:v>
                </c:pt>
                <c:pt idx="356" formatCode="0.0000">
                  <c:v>0.27042782265805965</c:v>
                </c:pt>
                <c:pt idx="357" formatCode="0.0000">
                  <c:v>0.21846221939994065</c:v>
                </c:pt>
                <c:pt idx="358" formatCode="0.0000">
                  <c:v>0.65104427193176351</c:v>
                </c:pt>
                <c:pt idx="359" formatCode="0.0000">
                  <c:v>0.5668981847192518</c:v>
                </c:pt>
                <c:pt idx="360" formatCode="0.0000">
                  <c:v>0.48559245658086514</c:v>
                </c:pt>
                <c:pt idx="361" formatCode="0.0000">
                  <c:v>0.83655286808326479</c:v>
                </c:pt>
                <c:pt idx="362" formatCode="0.0000">
                  <c:v>0.81019266909489573</c:v>
                </c:pt>
                <c:pt idx="363" formatCode="0.0000">
                  <c:v>0.72050162953907393</c:v>
                </c:pt>
                <c:pt idx="364" formatCode="0.0000">
                  <c:v>1.1829327635680309</c:v>
                </c:pt>
                <c:pt idx="365" formatCode="0.0000">
                  <c:v>1.1779727815090733</c:v>
                </c:pt>
                <c:pt idx="366" formatCode="0.0000">
                  <c:v>1.1611493744641579</c:v>
                </c:pt>
                <c:pt idx="367" formatCode="0.0000">
                  <c:v>1.1980296498910101</c:v>
                </c:pt>
                <c:pt idx="368" formatCode="0.0000">
                  <c:v>1.204985025529258</c:v>
                </c:pt>
                <c:pt idx="369" formatCode="0.0000">
                  <c:v>1.2118476912045903</c:v>
                </c:pt>
                <c:pt idx="370" formatCode="0.0000">
                  <c:v>1.1900811454219828</c:v>
                </c:pt>
                <c:pt idx="371" formatCode="0.0000">
                  <c:v>1.342828938115693</c:v>
                </c:pt>
                <c:pt idx="372" formatCode="0.0000">
                  <c:v>1.2664955948848666</c:v>
                </c:pt>
                <c:pt idx="373" formatCode="0.0000">
                  <c:v>1.4244029548304611</c:v>
                </c:pt>
                <c:pt idx="374" formatCode="0.0000">
                  <c:v>1.3917897986605976</c:v>
                </c:pt>
                <c:pt idx="375" formatCode="0.0000">
                  <c:v>1.4671729718940023</c:v>
                </c:pt>
                <c:pt idx="376" formatCode="0.0000">
                  <c:v>1.5805772621274994</c:v>
                </c:pt>
                <c:pt idx="377" formatCode="0.0000">
                  <c:v>1.499270660382874</c:v>
                </c:pt>
                <c:pt idx="378" formatCode="0.0000">
                  <c:v>1.3990447613042354</c:v>
                </c:pt>
                <c:pt idx="379" formatCode="0.0000">
                  <c:v>1.3021792751123495</c:v>
                </c:pt>
                <c:pt idx="380" formatCode="0.0000">
                  <c:v>1.2113346560957572</c:v>
                </c:pt>
                <c:pt idx="381" formatCode="0.0000">
                  <c:v>1.2085714782765213</c:v>
                </c:pt>
                <c:pt idx="382" formatCode="0.0000">
                  <c:v>1.5936946338340183</c:v>
                </c:pt>
                <c:pt idx="383" formatCode="0.0000">
                  <c:v>1.502708015007042</c:v>
                </c:pt>
                <c:pt idx="384" formatCode="0.0000">
                  <c:v>1.4147616691071587</c:v>
                </c:pt>
                <c:pt idx="385" formatCode="0.0000">
                  <c:v>1.3326634918344433</c:v>
                </c:pt>
                <c:pt idx="386" formatCode="0.0000">
                  <c:v>1.2377188593344464</c:v>
                </c:pt>
                <c:pt idx="387" formatCode="0.0000">
                  <c:v>1.410364202404959</c:v>
                </c:pt>
                <c:pt idx="388" formatCode="0.0000">
                  <c:v>1.3904589736931272</c:v>
                </c:pt>
                <c:pt idx="389" formatCode="0.0000">
                  <c:v>1.5317701081611401</c:v>
                </c:pt>
                <c:pt idx="390" formatCode="0.0000">
                  <c:v>1.5653133028395552</c:v>
                </c:pt>
                <c:pt idx="391" formatCode="0.0000">
                  <c:v>1.5840947262400691</c:v>
                </c:pt>
                <c:pt idx="392" formatCode="0.0000">
                  <c:v>1.4847428073564639</c:v>
                </c:pt>
                <c:pt idx="393" formatCode="0.0000">
                  <c:v>1.6893127678818574</c:v>
                </c:pt>
                <c:pt idx="394" formatCode="0.0000">
                  <c:v>1.6607030922444244</c:v>
                </c:pt>
                <c:pt idx="395" formatCode="0.0000">
                  <c:v>1.5582211204280991</c:v>
                </c:pt>
                <c:pt idx="396" formatCode="0.0000">
                  <c:v>1.5789338648334614</c:v>
                </c:pt>
                <c:pt idx="397" formatCode="0.0000">
                  <c:v>1.4810429896605419</c:v>
                </c:pt>
                <c:pt idx="398" formatCode="0.0000">
                  <c:v>1.3837274118093605</c:v>
                </c:pt>
                <c:pt idx="399" formatCode="0.0000">
                  <c:v>1.3433790077159906</c:v>
                </c:pt>
                <c:pt idx="400" formatCode="0.0000">
                  <c:v>1.4065575756494011</c:v>
                </c:pt>
                <c:pt idx="401" formatCode="0.0000">
                  <c:v>1.4050453703018129</c:v>
                </c:pt>
                <c:pt idx="402" formatCode="0.0000">
                  <c:v>1.3511947482882727</c:v>
                </c:pt>
                <c:pt idx="403" formatCode="0.0000">
                  <c:v>1.3213660726497649</c:v>
                </c:pt>
                <c:pt idx="404" formatCode="0.0000">
                  <c:v>1.2252039487312059</c:v>
                </c:pt>
                <c:pt idx="405" formatCode="0.0000">
                  <c:v>1.2330875323783839</c:v>
                </c:pt>
                <c:pt idx="406" formatCode="0.0000">
                  <c:v>1.1386307493472114</c:v>
                </c:pt>
                <c:pt idx="407" formatCode="0.0000">
                  <c:v>1.046139821367265</c:v>
                </c:pt>
                <c:pt idx="408" formatCode="0.0000">
                  <c:v>1.3635017935672951</c:v>
                </c:pt>
                <c:pt idx="409" formatCode="0.0000">
                  <c:v>1.2641748464453413</c:v>
                </c:pt>
                <c:pt idx="410" formatCode="0.0000">
                  <c:v>1.2317773553412259</c:v>
                </c:pt>
                <c:pt idx="411" formatCode="0.0000">
                  <c:v>1.6529606185334711</c:v>
                </c:pt>
                <c:pt idx="412" formatCode="0.0000">
                  <c:v>1.5507185783576316</c:v>
                </c:pt>
                <c:pt idx="413" formatCode="0.0000">
                  <c:v>1.5059090563285999</c:v>
                </c:pt>
                <c:pt idx="414" formatCode="0.0000">
                  <c:v>1.4282175773129775</c:v>
                </c:pt>
                <c:pt idx="415" formatCode="0.0000">
                  <c:v>1.3299718884559495</c:v>
                </c:pt>
                <c:pt idx="416" formatCode="0.0000">
                  <c:v>1.2852561550454062</c:v>
                </c:pt>
                <c:pt idx="417" formatCode="0.0000">
                  <c:v>1.6508110752581076</c:v>
                </c:pt>
                <c:pt idx="418" formatCode="0.0000">
                  <c:v>1.5881253299108717</c:v>
                </c:pt>
                <c:pt idx="419" formatCode="0.0000">
                  <c:v>1.6976167909989033</c:v>
                </c:pt>
                <c:pt idx="420" formatCode="0.0000">
                  <c:v>1.5934650300502819</c:v>
                </c:pt>
                <c:pt idx="421" formatCode="0.0000">
                  <c:v>1.8285710577680954</c:v>
                </c:pt>
                <c:pt idx="422" formatCode="0.0000">
                  <c:v>1.9002940075170862</c:v>
                </c:pt>
                <c:pt idx="423" formatCode="0.0000">
                  <c:v>1.9269445002368404</c:v>
                </c:pt>
                <c:pt idx="424" formatCode="0.0000">
                  <c:v>2.1043001185887369</c:v>
                </c:pt>
                <c:pt idx="425" formatCode="0.0000">
                  <c:v>2.1464511198616498</c:v>
                </c:pt>
                <c:pt idx="426" formatCode="0.0000">
                  <c:v>2.0554773429280568</c:v>
                </c:pt>
                <c:pt idx="427" formatCode="0.0000">
                  <c:v>1.9509235292815919</c:v>
                </c:pt>
                <c:pt idx="428" formatCode="0.0000">
                  <c:v>1.8859882383740372</c:v>
                </c:pt>
                <c:pt idx="429" formatCode="0.0000">
                  <c:v>1.8001416678286595</c:v>
                </c:pt>
                <c:pt idx="430" formatCode="0.0000">
                  <c:v>1.7050390297680327</c:v>
                </c:pt>
                <c:pt idx="431" formatCode="0.0000">
                  <c:v>1.7155219606693655</c:v>
                </c:pt>
                <c:pt idx="432" formatCode="0.0000">
                  <c:v>1.6236029938875722</c:v>
                </c:pt>
                <c:pt idx="433" formatCode="0.0000">
                  <c:v>1.611618470100499</c:v>
                </c:pt>
                <c:pt idx="434" formatCode="0.0000">
                  <c:v>1.523142069058689</c:v>
                </c:pt>
                <c:pt idx="435" formatCode="0.0000">
                  <c:v>1.6126506497754944</c:v>
                </c:pt>
                <c:pt idx="436" formatCode="0.0000">
                  <c:v>1.5257528605645745</c:v>
                </c:pt>
                <c:pt idx="437" formatCode="0.0000">
                  <c:v>2.1435610427271206</c:v>
                </c:pt>
                <c:pt idx="438" formatCode="0.0000">
                  <c:v>2.1000689670455999</c:v>
                </c:pt>
                <c:pt idx="439" formatCode="0.0000">
                  <c:v>2.1912949211124459</c:v>
                </c:pt>
                <c:pt idx="440" formatCode="0.0000">
                  <c:v>2.20318816337213</c:v>
                </c:pt>
                <c:pt idx="441" formatCode="0.0000">
                  <c:v>2.3321208839751586</c:v>
                </c:pt>
                <c:pt idx="442" formatCode="0.0000">
                  <c:v>2.3688301184321294</c:v>
                </c:pt>
                <c:pt idx="443" formatCode="0.0000">
                  <c:v>2.3632444258284799</c:v>
                </c:pt>
                <c:pt idx="444" formatCode="0.0000">
                  <c:v>2.3747028033285407</c:v>
                </c:pt>
                <c:pt idx="445" formatCode="0.0000">
                  <c:v>2.4898410682283383</c:v>
                </c:pt>
                <c:pt idx="446" formatCode="0.0000">
                  <c:v>2.39044536004858</c:v>
                </c:pt>
                <c:pt idx="447" formatCode="0.0000">
                  <c:v>2.3524201224146712</c:v>
                </c:pt>
                <c:pt idx="448" formatCode="0.0000">
                  <c:v>2.2549039490328937</c:v>
                </c:pt>
                <c:pt idx="449" formatCode="0.0000">
                  <c:v>2.299081203255259</c:v>
                </c:pt>
                <c:pt idx="450" formatCode="0.0000">
                  <c:v>2.1660737706615012</c:v>
                </c:pt>
                <c:pt idx="451" formatCode="0.0000">
                  <c:v>2.1224765837838611</c:v>
                </c:pt>
                <c:pt idx="452" formatCode="0.0000">
                  <c:v>2.1001960148798133</c:v>
                </c:pt>
                <c:pt idx="453" formatCode="0.0000">
                  <c:v>2.0079987010923692</c:v>
                </c:pt>
                <c:pt idx="454" formatCode="0.0000">
                  <c:v>1.9163590282059964</c:v>
                </c:pt>
                <c:pt idx="455" formatCode="0.0000">
                  <c:v>1.8291272964810645</c:v>
                </c:pt>
                <c:pt idx="456" formatCode="0.0000">
                  <c:v>1.744072683934162</c:v>
                </c:pt>
                <c:pt idx="457" formatCode="0.0000">
                  <c:v>2.0142945205656262</c:v>
                </c:pt>
                <c:pt idx="458" formatCode="0.0000">
                  <c:v>1.9235780525598976</c:v>
                </c:pt>
                <c:pt idx="459" formatCode="0.0000">
                  <c:v>1.8883175243567287</c:v>
                </c:pt>
                <c:pt idx="460" formatCode="0.0000">
                  <c:v>1.8013240439685809</c:v>
                </c:pt>
                <c:pt idx="461" formatCode="0.0000">
                  <c:v>1.7172425001843041</c:v>
                </c:pt>
                <c:pt idx="462" formatCode="0.0000">
                  <c:v>1.6352529987548987</c:v>
                </c:pt>
                <c:pt idx="463" formatCode="0.0000">
                  <c:v>1.571826889078378</c:v>
                </c:pt>
                <c:pt idx="464" formatCode="0.0000">
                  <c:v>1.4962774835107746</c:v>
                </c:pt>
                <c:pt idx="465" formatCode="0.0000">
                  <c:v>1.4231664064401881</c:v>
                </c:pt>
                <c:pt idx="466" formatCode="0.0000">
                  <c:v>1.3549750352629104</c:v>
                </c:pt>
                <c:pt idx="467" formatCode="0.0000">
                  <c:v>1.2944182226637406</c:v>
                </c:pt>
                <c:pt idx="468" formatCode="0.0000">
                  <c:v>1.2379554972490698</c:v>
                </c:pt>
                <c:pt idx="469" formatCode="0.0000">
                  <c:v>1.2204261471318354</c:v>
                </c:pt>
                <c:pt idx="470" formatCode="0.0000">
                  <c:v>1.2095257198510703</c:v>
                </c:pt>
                <c:pt idx="471" formatCode="0.0000">
                  <c:v>1.1995487047112399</c:v>
                </c:pt>
                <c:pt idx="472" formatCode="0.0000">
                  <c:v>1.2405265807671426</c:v>
                </c:pt>
                <c:pt idx="473" formatCode="0.0000">
                  <c:v>1.2327504010466761</c:v>
                </c:pt>
                <c:pt idx="474" formatCode="0.0000">
                  <c:v>1.1778599653436734</c:v>
                </c:pt>
                <c:pt idx="475" formatCode="0.0000">
                  <c:v>1.1601064097403557</c:v>
                </c:pt>
                <c:pt idx="476" formatCode="0.0000">
                  <c:v>1.1485460821209992</c:v>
                </c:pt>
                <c:pt idx="477" formatCode="0.0000">
                  <c:v>1.1377049459813102</c:v>
                </c:pt>
                <c:pt idx="478" formatCode="0.0000">
                  <c:v>1.1304100245142705</c:v>
                </c:pt>
                <c:pt idx="479" formatCode="0.0000">
                  <c:v>1.1190344446652618</c:v>
                </c:pt>
                <c:pt idx="480" formatCode="0.0000">
                  <c:v>1.1051752048098682</c:v>
                </c:pt>
                <c:pt idx="481" formatCode="0.0000">
                  <c:v>1.0944011903218174</c:v>
                </c:pt>
                <c:pt idx="482" formatCode="0.0000">
                  <c:v>1.0869555169013274</c:v>
                </c:pt>
                <c:pt idx="483" formatCode="0.0000">
                  <c:v>1.0734978214528239</c:v>
                </c:pt>
                <c:pt idx="484" formatCode="0.0000">
                  <c:v>1.0629995419371794</c:v>
                </c:pt>
                <c:pt idx="485" formatCode="0.0000">
                  <c:v>1.05273347794796</c:v>
                </c:pt>
                <c:pt idx="486" formatCode="0.0000">
                  <c:v>1.3688410532693061</c:v>
                </c:pt>
                <c:pt idx="487" formatCode="0.0000">
                  <c:v>1.2976268727011435</c:v>
                </c:pt>
                <c:pt idx="488" formatCode="0.0000">
                  <c:v>1.2308857357966716</c:v>
                </c:pt>
                <c:pt idx="489" formatCode="0.0000">
                  <c:v>1.1646996337655842</c:v>
                </c:pt>
                <c:pt idx="490" formatCode="0.0000">
                  <c:v>1.1021148201384503</c:v>
                </c:pt>
                <c:pt idx="491" formatCode="0.0000">
                  <c:v>1.0417410865045222</c:v>
                </c:pt>
                <c:pt idx="492" formatCode="0.0000">
                  <c:v>0.9912882667155799</c:v>
                </c:pt>
                <c:pt idx="493" formatCode="0.0000">
                  <c:v>0.9750107662113715</c:v>
                </c:pt>
                <c:pt idx="494" formatCode="0.0000">
                  <c:v>0.96471675630362808</c:v>
                </c:pt>
                <c:pt idx="495" formatCode="0.0000">
                  <c:v>0.9553990899910314</c:v>
                </c:pt>
                <c:pt idx="496" formatCode="0.0000">
                  <c:v>0.94617037183666997</c:v>
                </c:pt>
                <c:pt idx="497" formatCode="0.0000">
                  <c:v>0.93702977566583023</c:v>
                </c:pt>
                <c:pt idx="498" formatCode="0.0000">
                  <c:v>0.92797643514332362</c:v>
                </c:pt>
                <c:pt idx="499" formatCode="0.0000">
                  <c:v>0.9197579869540472</c:v>
                </c:pt>
                <c:pt idx="500" formatCode="0.0000">
                  <c:v>0.91012841708231673</c:v>
                </c:pt>
                <c:pt idx="501" formatCode="0.0000">
                  <c:v>0.90133207139344051</c:v>
                </c:pt>
                <c:pt idx="502" formatCode="0.0000">
                  <c:v>0.89261969331736624</c:v>
                </c:pt>
                <c:pt idx="503" formatCode="0.0000">
                  <c:v>0.88399049775789529</c:v>
                </c:pt>
                <c:pt idx="504" formatCode="0.0000">
                  <c:v>0.87544370057414578</c:v>
                </c:pt>
                <c:pt idx="505" formatCode="0.0000">
                  <c:v>0.86697851380218349</c:v>
                </c:pt>
                <c:pt idx="506" formatCode="0.0000">
                  <c:v>0.85859414452031402</c:v>
                </c:pt>
                <c:pt idx="507" formatCode="0.0000">
                  <c:v>0.85028983685078063</c:v>
                </c:pt>
                <c:pt idx="508" formatCode="0.0000">
                  <c:v>0.84206481471004835</c:v>
                </c:pt>
                <c:pt idx="509" formatCode="0.0000">
                  <c:v>0.83391831469272548</c:v>
                </c:pt>
                <c:pt idx="510" formatCode="0.0000">
                  <c:v>0.82584960246843697</c:v>
                </c:pt>
                <c:pt idx="511" formatCode="0.0000">
                  <c:v>0.8178579124848171</c:v>
                </c:pt>
                <c:pt idx="512" formatCode="0.0000">
                  <c:v>0.80994250362117814</c:v>
                </c:pt>
                <c:pt idx="513" formatCode="0.0000">
                  <c:v>0.80210266133206576</c:v>
                </c:pt>
                <c:pt idx="514" formatCode="0.0000">
                  <c:v>0.79433767669446709</c:v>
                </c:pt>
                <c:pt idx="515" formatCode="0.0000">
                  <c:v>0.78664683821192816</c:v>
                </c:pt>
                <c:pt idx="516" formatCode="0.0000">
                  <c:v>0.77902944480313119</c:v>
                </c:pt>
                <c:pt idx="517" formatCode="0.0000">
                  <c:v>0.77148478008623989</c:v>
                </c:pt>
                <c:pt idx="518" formatCode="0.0000">
                  <c:v>0.76401214440498721</c:v>
                </c:pt>
                <c:pt idx="519" formatCode="0.0000">
                  <c:v>0.75661086066327154</c:v>
                </c:pt>
                <c:pt idx="520" formatCode="0.0000">
                  <c:v>0.74928024810637261</c:v>
                </c:pt>
                <c:pt idx="521" formatCode="0.0000">
                  <c:v>0.74201964150836941</c:v>
                </c:pt>
                <c:pt idx="522" formatCode="0.0000">
                  <c:v>0.73482836671795604</c:v>
                </c:pt>
                <c:pt idx="523" formatCode="0.0000">
                  <c:v>1.0373572619281461</c:v>
                </c:pt>
                <c:pt idx="524" formatCode="0.0000">
                  <c:v>1.0228886792222471</c:v>
                </c:pt>
                <c:pt idx="525" formatCode="0.0000">
                  <c:v>0.9653846196462248</c:v>
                </c:pt>
                <c:pt idx="526" formatCode="0.0000">
                  <c:v>0.91237593886131774</c:v>
                </c:pt>
                <c:pt idx="527" formatCode="0.0000">
                  <c:v>0.85996752513936947</c:v>
                </c:pt>
                <c:pt idx="528" formatCode="0.0000">
                  <c:v>0.81020847157166931</c:v>
                </c:pt>
                <c:pt idx="529" formatCode="0.0000">
                  <c:v>0.76163862873138755</c:v>
                </c:pt>
                <c:pt idx="530" formatCode="0.0000">
                  <c:v>0.76752102459972249</c:v>
                </c:pt>
                <c:pt idx="531" formatCode="0.0000">
                  <c:v>0.76181880094424925</c:v>
                </c:pt>
                <c:pt idx="532" formatCode="0.0000">
                  <c:v>0.72487863077356884</c:v>
                </c:pt>
                <c:pt idx="533" formatCode="0.0000">
                  <c:v>0.6785980542847625</c:v>
                </c:pt>
                <c:pt idx="534" formatCode="0.0000">
                  <c:v>0.65668202547283805</c:v>
                </c:pt>
                <c:pt idx="535" formatCode="0.0000">
                  <c:v>0.64777140602248606</c:v>
                </c:pt>
                <c:pt idx="536" formatCode="0.0000">
                  <c:v>0.64134928352254039</c:v>
                </c:pt>
                <c:pt idx="537" formatCode="0.0000">
                  <c:v>0.63514325958122886</c:v>
                </c:pt>
                <c:pt idx="538" formatCode="0.0000">
                  <c:v>0.62899627405015857</c:v>
                </c:pt>
                <c:pt idx="539" formatCode="0.0000">
                  <c:v>0.62290777759777327</c:v>
                </c:pt>
                <c:pt idx="540" formatCode="0.0000">
                  <c:v>0.61687721587319011</c:v>
                </c:pt>
                <c:pt idx="541" formatCode="0.0000">
                  <c:v>0.61090403550720795</c:v>
                </c:pt>
                <c:pt idx="542" formatCode="0.0000">
                  <c:v>0.6049876836605721</c:v>
                </c:pt>
                <c:pt idx="543" formatCode="0.0000">
                  <c:v>0.59912762264100494</c:v>
                </c:pt>
                <c:pt idx="544" formatCode="0.0000">
                  <c:v>0.59332331568794983</c:v>
                </c:pt>
                <c:pt idx="545" formatCode="0.0000">
                  <c:v>0.58757421884389072</c:v>
                </c:pt>
                <c:pt idx="546" formatCode="0.0000">
                  <c:v>0.58187981838447311</c:v>
                </c:pt>
                <c:pt idx="547" formatCode="0.0000">
                  <c:v>0.57623959362951405</c:v>
                </c:pt>
                <c:pt idx="548" formatCode="0.0000">
                  <c:v>0.57065300939027142</c:v>
                </c:pt>
                <c:pt idx="549" formatCode="0.0000">
                  <c:v>0.56511957441687111</c:v>
                </c:pt>
                <c:pt idx="550" formatCode="0.0000">
                  <c:v>0.55963876159480053</c:v>
                </c:pt>
                <c:pt idx="551" formatCode="0.0000">
                  <c:v>0.55421006631123249</c:v>
                </c:pt>
                <c:pt idx="552" formatCode="0.0000">
                  <c:v>0.54883301123217509</c:v>
                </c:pt>
                <c:pt idx="553" formatCode="0.0000">
                  <c:v>0.5435070945417696</c:v>
                </c:pt>
                <c:pt idx="554" formatCode="0.0000">
                  <c:v>0.53823182888021948</c:v>
                </c:pt>
                <c:pt idx="555" formatCode="0.0000">
                  <c:v>0.53300674302113271</c:v>
                </c:pt>
                <c:pt idx="556" formatCode="0.0000">
                  <c:v>0.52783134274105359</c:v>
                </c:pt>
                <c:pt idx="557" formatCode="0.0000">
                  <c:v>0.52270515880890911</c:v>
                </c:pt>
                <c:pt idx="558" formatCode="0.0000">
                  <c:v>0.51762772176048</c:v>
                </c:pt>
                <c:pt idx="559" formatCode="0.0000">
                  <c:v>0.51259858970644756</c:v>
                </c:pt>
                <c:pt idx="560" formatCode="0.0000">
                  <c:v>0.53793120114558945</c:v>
                </c:pt>
                <c:pt idx="561" formatCode="0.0000">
                  <c:v>0.50741290963231833</c:v>
                </c:pt>
                <c:pt idx="562" formatCode="0.0000">
                  <c:v>0.49827195015868608</c:v>
                </c:pt>
                <c:pt idx="563" formatCode="0.0000">
                  <c:v>0.49296472771120758</c:v>
                </c:pt>
                <c:pt idx="564" formatCode="0.0000">
                  <c:v>0.48817309472317533</c:v>
                </c:pt>
                <c:pt idx="565" formatCode="0.0000">
                  <c:v>0.48342703098320239</c:v>
                </c:pt>
                <c:pt idx="566" formatCode="0.0000">
                  <c:v>0.47872611325201803</c:v>
                </c:pt>
                <c:pt idx="567" formatCode="0.0000">
                  <c:v>0.47406989872848126</c:v>
                </c:pt>
                <c:pt idx="568" formatCode="0.0000">
                  <c:v>0.46945797125639954</c:v>
                </c:pt>
                <c:pt idx="569" formatCode="0.0000">
                  <c:v>0.46570233052053683</c:v>
                </c:pt>
                <c:pt idx="570" formatCode="0.0000">
                  <c:v>0.47077915501498468</c:v>
                </c:pt>
                <c:pt idx="571" formatCode="0.0000">
                  <c:v>0.58127370942639633</c:v>
                </c:pt>
                <c:pt idx="572" formatCode="0.0000">
                  <c:v>0.73673392130219106</c:v>
                </c:pt>
                <c:pt idx="573" formatCode="0.0000">
                  <c:v>0.6833796190828122</c:v>
                </c:pt>
                <c:pt idx="574" formatCode="0.0000">
                  <c:v>0.63210419952909846</c:v>
                </c:pt>
                <c:pt idx="575" formatCode="0.0000">
                  <c:v>0.58149626266647159</c:v>
                </c:pt>
                <c:pt idx="576" formatCode="0.0000">
                  <c:v>0.53231303498622906</c:v>
                </c:pt>
                <c:pt idx="577" formatCode="0.0000">
                  <c:v>0.48562267725340424</c:v>
                </c:pt>
                <c:pt idx="578" formatCode="0.0000">
                  <c:v>0.44031577330356758</c:v>
                </c:pt>
                <c:pt idx="579" formatCode="0.0000">
                  <c:v>0.42377057690627978</c:v>
                </c:pt>
                <c:pt idx="580" formatCode="0.0000">
                  <c:v>0.4176139432857196</c:v>
                </c:pt>
                <c:pt idx="581" formatCode="0.0000">
                  <c:v>0.41354192778194743</c:v>
                </c:pt>
                <c:pt idx="582" formatCode="0.0000">
                  <c:v>0.40952564489008658</c:v>
                </c:pt>
                <c:pt idx="583" formatCode="0.0000">
                  <c:v>0.405547334242568</c:v>
                </c:pt>
                <c:pt idx="584" formatCode="0.0000">
                  <c:v>0.40356674724918196</c:v>
                </c:pt>
                <c:pt idx="585" formatCode="0.0000">
                  <c:v>0.39770375385581502</c:v>
                </c:pt>
                <c:pt idx="586" formatCode="0.0000">
                  <c:v>0.39383777471383252</c:v>
                </c:pt>
                <c:pt idx="587" formatCode="0.0000">
                  <c:v>0.39000833594366374</c:v>
                </c:pt>
                <c:pt idx="588" formatCode="0.0000">
                  <c:v>0.42442164725654341</c:v>
                </c:pt>
                <c:pt idx="589" formatCode="0.0000">
                  <c:v>0.38844123567350924</c:v>
                </c:pt>
                <c:pt idx="590" formatCode="0.0000">
                  <c:v>0.38298061575373693</c:v>
                </c:pt>
                <c:pt idx="591" formatCode="0.0000">
                  <c:v>0.37539369305805309</c:v>
                </c:pt>
                <c:pt idx="592" formatCode="0.0000">
                  <c:v>0.37141508977905358</c:v>
                </c:pt>
                <c:pt idx="593" formatCode="0.0000">
                  <c:v>0.36780244655667471</c:v>
                </c:pt>
                <c:pt idx="594" formatCode="0.0000">
                  <c:v>0.36422391361558093</c:v>
                </c:pt>
                <c:pt idx="595" formatCode="0.0000">
                  <c:v>0.36142569786285883</c:v>
                </c:pt>
                <c:pt idx="596" formatCode="0.0000">
                  <c:v>0.35716826415145597</c:v>
                </c:pt>
                <c:pt idx="597" formatCode="0.0000">
                  <c:v>0.35369051780143118</c:v>
                </c:pt>
                <c:pt idx="598" formatCode="0.0000">
                  <c:v>0.350245626297782</c:v>
                </c:pt>
                <c:pt idx="599" formatCode="0.0000">
                  <c:v>0.39842409007770807</c:v>
                </c:pt>
                <c:pt idx="600" formatCode="0.0000">
                  <c:v>0.35163762792550296</c:v>
                </c:pt>
                <c:pt idx="601" formatCode="0.0000">
                  <c:v>0.34108843436381653</c:v>
                </c:pt>
                <c:pt idx="602" formatCode="0.0000">
                  <c:v>0.33680535978964155</c:v>
                </c:pt>
                <c:pt idx="603" formatCode="0.0000">
                  <c:v>0.33352551816325321</c:v>
                </c:pt>
                <c:pt idx="604" formatCode="0.0000">
                  <c:v>0.33027659735383369</c:v>
                </c:pt>
                <c:pt idx="605" formatCode="0.0000">
                  <c:v>0.32705828992390323</c:v>
                </c:pt>
                <c:pt idx="606" formatCode="0.0000">
                  <c:v>0.32387033310648661</c:v>
                </c:pt>
                <c:pt idx="607" formatCode="0.0000">
                  <c:v>0.32071244513512959</c:v>
                </c:pt>
                <c:pt idx="608" formatCode="0.0000">
                  <c:v>0.3175843752359</c:v>
                </c:pt>
                <c:pt idx="609" formatCode="0.0000">
                  <c:v>0.31448583182520751</c:v>
                </c:pt>
                <c:pt idx="610" formatCode="0.0000">
                  <c:v>0.31141653772188027</c:v>
                </c:pt>
                <c:pt idx="611" formatCode="0.0000">
                  <c:v>0.30837624394944235</c:v>
                </c:pt>
                <c:pt idx="612" formatCode="0.0000">
                  <c:v>0.30536468877619688</c:v>
                </c:pt>
                <c:pt idx="613" formatCode="0.0000">
                  <c:v>0.3023815927385094</c:v>
                </c:pt>
                <c:pt idx="614" formatCode="0.0000">
                  <c:v>0.29942669993084242</c:v>
                </c:pt>
                <c:pt idx="615" formatCode="0.0000">
                  <c:v>0.29649974594835937</c:v>
                </c:pt>
                <c:pt idx="616" formatCode="0.0000">
                  <c:v>0.29360047865822325</c:v>
                </c:pt>
                <c:pt idx="617" formatCode="0.0000">
                  <c:v>0.29072864462928849</c:v>
                </c:pt>
                <c:pt idx="618" formatCode="0.0000">
                  <c:v>0.28788400484394677</c:v>
                </c:pt>
                <c:pt idx="619" formatCode="0.0000">
                  <c:v>0.28506630592454252</c:v>
                </c:pt>
                <c:pt idx="620" formatCode="0.0000">
                  <c:v>0.28227531431345088</c:v>
                </c:pt>
                <c:pt idx="621" formatCode="0.0000">
                  <c:v>0.27951076689065141</c:v>
                </c:pt>
                <c:pt idx="622" formatCode="0.0000">
                  <c:v>0.2767724236921863</c:v>
                </c:pt>
                <c:pt idx="623" formatCode="0.0000">
                  <c:v>0.27406004626395941</c:v>
                </c:pt>
                <c:pt idx="624" formatCode="0.0000">
                  <c:v>0.27137340215701822</c:v>
                </c:pt>
                <c:pt idx="625" formatCode="0.0000">
                  <c:v>0.26871226293196943</c:v>
                </c:pt>
                <c:pt idx="626" formatCode="0.0000">
                  <c:v>0.26607639405466965</c:v>
                </c:pt>
                <c:pt idx="627" formatCode="0.0000">
                  <c:v>0.26346557345366284</c:v>
                </c:pt>
                <c:pt idx="628" formatCode="0.0000">
                  <c:v>0.26332120284918753</c:v>
                </c:pt>
                <c:pt idx="629" formatCode="0.0000">
                  <c:v>0.25831993458232194</c:v>
                </c:pt>
                <c:pt idx="630" formatCode="0.0000">
                  <c:v>0.25578459975379586</c:v>
                </c:pt>
                <c:pt idx="631" formatCode="0.0000">
                  <c:v>0.25327335517268129</c:v>
                </c:pt>
                <c:pt idx="632" formatCode="0.0000">
                  <c:v>0.25078598842473188</c:v>
                </c:pt>
                <c:pt idx="633" formatCode="0.0000">
                  <c:v>0.24832227923647138</c:v>
                </c:pt>
                <c:pt idx="634" formatCode="0.0000">
                  <c:v>0.24588201078243038</c:v>
                </c:pt>
                <c:pt idx="635" formatCode="0.0000">
                  <c:v>0.24346497725664024</c:v>
                </c:pt>
                <c:pt idx="636" formatCode="0.0000">
                  <c:v>0.24107097223719426</c:v>
                </c:pt>
                <c:pt idx="637" formatCode="0.0000">
                  <c:v>0.25010502440791482</c:v>
                </c:pt>
                <c:pt idx="638" formatCode="0.0000">
                  <c:v>0.3243123234215276</c:v>
                </c:pt>
                <c:pt idx="639" formatCode="0.0000">
                  <c:v>0.26136131445280719</c:v>
                </c:pt>
                <c:pt idx="640" formatCode="0.0000">
                  <c:v>0.23583805040466738</c:v>
                </c:pt>
                <c:pt idx="641" formatCode="0.0000">
                  <c:v>0.2297086371913015</c:v>
                </c:pt>
                <c:pt idx="642" formatCode="0.0000">
                  <c:v>0.22726380345985725</c:v>
                </c:pt>
                <c:pt idx="643" formatCode="0.0000">
                  <c:v>0.22504280080640532</c:v>
                </c:pt>
                <c:pt idx="644" formatCode="0.0000">
                  <c:v>0.2228425737114316</c:v>
                </c:pt>
                <c:pt idx="645" formatCode="0.0000">
                  <c:v>0.22066295040096603</c:v>
                </c:pt>
                <c:pt idx="646" formatCode="0.0000">
                  <c:v>0.21850374353834603</c:v>
                </c:pt>
                <c:pt idx="647" formatCode="0.0000">
                  <c:v>0.21636477927048367</c:v>
                </c:pt>
                <c:pt idx="648" formatCode="0.0000">
                  <c:v>0.21424591490841421</c:v>
                </c:pt>
                <c:pt idx="649" formatCode="0.0000">
                  <c:v>0.21214693997762415</c:v>
                </c:pt>
                <c:pt idx="650" formatCode="0.0000">
                  <c:v>0.21006768879692594</c:v>
                </c:pt>
                <c:pt idx="651" formatCode="0.0000">
                  <c:v>0.20800799538320761</c:v>
                </c:pt>
                <c:pt idx="652" formatCode="0.0000">
                  <c:v>0.20596770630977262</c:v>
                </c:pt>
                <c:pt idx="653" formatCode="0.0000">
                  <c:v>0.23297049447664522</c:v>
                </c:pt>
                <c:pt idx="654" formatCode="0.0000">
                  <c:v>0.20806903588241282</c:v>
                </c:pt>
                <c:pt idx="655" formatCode="0.0000">
                  <c:v>0.3325655199381044</c:v>
                </c:pt>
                <c:pt idx="656" formatCode="0.0000">
                  <c:v>0.36578601962130874</c:v>
                </c:pt>
                <c:pt idx="657" formatCode="0.0000">
                  <c:v>0.86629250241696676</c:v>
                </c:pt>
                <c:pt idx="658" formatCode="0.0000">
                  <c:v>0.90583237109021719</c:v>
                </c:pt>
                <c:pt idx="659" formatCode="0.0000">
                  <c:v>1.195045580975642</c:v>
                </c:pt>
                <c:pt idx="660" formatCode="0.0000">
                  <c:v>1.0963069019625906</c:v>
                </c:pt>
                <c:pt idx="661" formatCode="0.0000">
                  <c:v>1.0022250848159331</c:v>
                </c:pt>
                <c:pt idx="662" formatCode="0.0000">
                  <c:v>1.1628950150144963</c:v>
                </c:pt>
                <c:pt idx="663" formatCode="0.0000">
                  <c:v>1.1693829286870876</c:v>
                </c:pt>
                <c:pt idx="664" formatCode="0.0000">
                  <c:v>1.0720050507118757</c:v>
                </c:pt>
                <c:pt idx="665" formatCode="0.0000">
                  <c:v>1.0520568245052559</c:v>
                </c:pt>
                <c:pt idx="666" formatCode="0.0000">
                  <c:v>1.0528126868771415</c:v>
                </c:pt>
                <c:pt idx="667" formatCode="0.0000">
                  <c:v>1.0155451869328391</c:v>
                </c:pt>
                <c:pt idx="668" formatCode="0.0000">
                  <c:v>1.0993484236773552</c:v>
                </c:pt>
                <c:pt idx="669" formatCode="0.0000">
                  <c:v>1.0551168800117514</c:v>
                </c:pt>
                <c:pt idx="670" formatCode="0.0000">
                  <c:v>0.96828839406062661</c:v>
                </c:pt>
                <c:pt idx="671" formatCode="0.0000">
                  <c:v>0.91542159670700007</c:v>
                </c:pt>
                <c:pt idx="672" formatCode="0.0000">
                  <c:v>0.82247728368695727</c:v>
                </c:pt>
                <c:pt idx="673" formatCode="0.0000">
                  <c:v>0.80945514446574951</c:v>
                </c:pt>
                <c:pt idx="674" formatCode="0.0000">
                  <c:v>0.72083975092550412</c:v>
                </c:pt>
                <c:pt idx="675" formatCode="0.0000">
                  <c:v>0.64766432134022411</c:v>
                </c:pt>
                <c:pt idx="676" formatCode="0.0000">
                  <c:v>0.63070889448270728</c:v>
                </c:pt>
                <c:pt idx="677" formatCode="0.0000">
                  <c:v>0.54776023396151607</c:v>
                </c:pt>
                <c:pt idx="678" formatCode="0.0000">
                  <c:v>0.54648306375288225</c:v>
                </c:pt>
                <c:pt idx="679" formatCode="0.0000">
                  <c:v>0.49840202979545939</c:v>
                </c:pt>
                <c:pt idx="680" formatCode="0.0000">
                  <c:v>0.42269953216096773</c:v>
                </c:pt>
                <c:pt idx="681" formatCode="0.0000">
                  <c:v>0.40678247153862057</c:v>
                </c:pt>
                <c:pt idx="682" formatCode="0.0000">
                  <c:v>0.33137965280882997</c:v>
                </c:pt>
                <c:pt idx="683" formatCode="0.0000">
                  <c:v>0.26979238579134163</c:v>
                </c:pt>
                <c:pt idx="684" formatCode="0.0000">
                  <c:v>0.19917537097558591</c:v>
                </c:pt>
                <c:pt idx="685" formatCode="0.0000">
                  <c:v>0.16496232379686462</c:v>
                </c:pt>
                <c:pt idx="686" formatCode="0.0000">
                  <c:v>0.15802672031907647</c:v>
                </c:pt>
                <c:pt idx="687" formatCode="0.0000">
                  <c:v>0.17001539172673982</c:v>
                </c:pt>
                <c:pt idx="688" formatCode="0.0000">
                  <c:v>0.15999538630113247</c:v>
                </c:pt>
                <c:pt idx="689" formatCode="0.0000">
                  <c:v>0.49646905551883119</c:v>
                </c:pt>
                <c:pt idx="690" formatCode="0.0000">
                  <c:v>0.70215097792948633</c:v>
                </c:pt>
                <c:pt idx="691" formatCode="0.0000">
                  <c:v>0.62985103575076973</c:v>
                </c:pt>
                <c:pt idx="692" formatCode="0.0000">
                  <c:v>0.56215360826883531</c:v>
                </c:pt>
                <c:pt idx="693" formatCode="0.0000">
                  <c:v>0.59305333017761186</c:v>
                </c:pt>
                <c:pt idx="694" formatCode="0.0000">
                  <c:v>0.91954933694659868</c:v>
                </c:pt>
                <c:pt idx="695" formatCode="0.0000">
                  <c:v>1.0326944479697548</c:v>
                </c:pt>
                <c:pt idx="696" formatCode="0.0000">
                  <c:v>0.93432195902159232</c:v>
                </c:pt>
                <c:pt idx="697" formatCode="0.0000">
                  <c:v>0.8385493783305048</c:v>
                </c:pt>
                <c:pt idx="698" formatCode="0.0000">
                  <c:v>0.74773848465911552</c:v>
                </c:pt>
                <c:pt idx="699" formatCode="0.0000">
                  <c:v>0.88699171668032617</c:v>
                </c:pt>
                <c:pt idx="700" formatCode="0.0000">
                  <c:v>1.1729693682156885</c:v>
                </c:pt>
                <c:pt idx="701" formatCode="0.0000">
                  <c:v>1.0784027805885288</c:v>
                </c:pt>
                <c:pt idx="702" formatCode="0.0000">
                  <c:v>0.9778598960750633</c:v>
                </c:pt>
                <c:pt idx="703" formatCode="0.0000">
                  <c:v>0.88244779831044273</c:v>
                </c:pt>
                <c:pt idx="704" formatCode="0.0000">
                  <c:v>0.79172486650655371</c:v>
                </c:pt>
                <c:pt idx="705" formatCode="0.0000">
                  <c:v>0.70533222875621671</c:v>
                </c:pt>
                <c:pt idx="706" formatCode="0.0000">
                  <c:v>0.62164588912632823</c:v>
                </c:pt>
                <c:pt idx="707" formatCode="0.0000">
                  <c:v>0.53909761042030169</c:v>
                </c:pt>
                <c:pt idx="708" formatCode="0.0000">
                  <c:v>0.45939476245302979</c:v>
                </c:pt>
                <c:pt idx="709" formatCode="0.0000">
                  <c:v>0.38237399289143709</c:v>
                </c:pt>
                <c:pt idx="710" formatCode="0.0000">
                  <c:v>0.30747486526526607</c:v>
                </c:pt>
                <c:pt idx="711" formatCode="0.0000">
                  <c:v>0.23856265810751526</c:v>
                </c:pt>
                <c:pt idx="712" formatCode="0.0000">
                  <c:v>0.16903627893158174</c:v>
                </c:pt>
                <c:pt idx="713" formatCode="0.0000">
                  <c:v>0.13255627270730322</c:v>
                </c:pt>
                <c:pt idx="714" formatCode="0.0000">
                  <c:v>0.12557861979083834</c:v>
                </c:pt>
                <c:pt idx="715" formatCode="0.0000">
                  <c:v>0.12387843960588392</c:v>
                </c:pt>
                <c:pt idx="716" formatCode="0.0000">
                  <c:v>0.12274287794657665</c:v>
                </c:pt>
                <c:pt idx="717" formatCode="0.0000">
                  <c:v>0.18158785802486316</c:v>
                </c:pt>
                <c:pt idx="718" formatCode="0.0000">
                  <c:v>0.13231210232916818</c:v>
                </c:pt>
                <c:pt idx="719" formatCode="0.0000">
                  <c:v>0.12082950374892557</c:v>
                </c:pt>
                <c:pt idx="720" formatCode="0.0000">
                  <c:v>0.29328260251051635</c:v>
                </c:pt>
                <c:pt idx="721" formatCode="0.0000">
                  <c:v>0.27620544381651213</c:v>
                </c:pt>
                <c:pt idx="722" formatCode="0.0000">
                  <c:v>0.22418292229418088</c:v>
                </c:pt>
                <c:pt idx="723" formatCode="0.0000">
                  <c:v>0.65670861723492935</c:v>
                </c:pt>
                <c:pt idx="724" formatCode="0.0000">
                  <c:v>0.57250672668402458</c:v>
                </c:pt>
                <c:pt idx="725" formatCode="0.0000">
                  <c:v>0.49114574495500291</c:v>
                </c:pt>
                <c:pt idx="726" formatCode="0.0000">
                  <c:v>0.84205144719772185</c:v>
                </c:pt>
                <c:pt idx="727" formatCode="0.0000">
                  <c:v>0.81563707732054014</c:v>
                </c:pt>
                <c:pt idx="728" formatCode="0.0000">
                  <c:v>0.72589240047108383</c:v>
                </c:pt>
                <c:pt idx="729" formatCode="0.0000">
                  <c:v>1.1882704256258443</c:v>
                </c:pt>
                <c:pt idx="730" formatCode="0.0000">
                  <c:v>1.1832578572071977</c:v>
                </c:pt>
                <c:pt idx="731" formatCode="0.0000">
                  <c:v>1.1663823817864394</c:v>
                </c:pt>
                <c:pt idx="732" formatCode="0.0000">
                  <c:v>1.2032111017452625</c:v>
                </c:pt>
                <c:pt idx="733" formatCode="0.0000">
                  <c:v>1.2101154296922787</c:v>
                </c:pt>
                <c:pt idx="734" formatCode="0.0000">
                  <c:v>1.2169275505140407</c:v>
                </c:pt>
                <c:pt idx="735" formatCode="0.0000">
                  <c:v>1.1951109577612571</c:v>
                </c:pt>
              </c:numCache>
            </c:numRef>
          </c:yVal>
          <c:smooth val="0"/>
          <c:extLst>
            <c:ext xmlns:c16="http://schemas.microsoft.com/office/drawing/2014/chart" uri="{C3380CC4-5D6E-409C-BE32-E72D297353CC}">
              <c16:uniqueId val="{00000001-7B19-6248-A130-848C53A3370C}"/>
            </c:ext>
          </c:extLst>
        </c:ser>
        <c:ser>
          <c:idx val="1"/>
          <c:order val="2"/>
          <c:tx>
            <c:v>Periodo de calentamiento</c:v>
          </c:tx>
          <c:spPr>
            <a:ln w="19050" cap="rnd">
              <a:solidFill>
                <a:srgbClr val="FF0000"/>
              </a:solidFill>
              <a:prstDash val="dash"/>
              <a:round/>
            </a:ln>
            <a:effectLst/>
          </c:spPr>
          <c:marker>
            <c:symbol val="none"/>
          </c:marker>
          <c:xVal>
            <c:numRef>
              <c:f>Entradas!$M$175:$M$176</c:f>
              <c:numCache>
                <c:formatCode>General</c:formatCode>
                <c:ptCount val="2"/>
                <c:pt idx="0">
                  <c:v>60</c:v>
                </c:pt>
                <c:pt idx="1">
                  <c:v>60</c:v>
                </c:pt>
              </c:numCache>
            </c:numRef>
          </c:xVal>
          <c:yVal>
            <c:numRef>
              <c:f>Entradas!$N$175:$N$176</c:f>
              <c:numCache>
                <c:formatCode>General</c:formatCode>
                <c:ptCount val="2"/>
                <c:pt idx="0">
                  <c:v>0</c:v>
                </c:pt>
                <c:pt idx="1">
                  <c:v>9.7231703399355904</c:v>
                </c:pt>
              </c:numCache>
            </c:numRef>
          </c:yVal>
          <c:smooth val="0"/>
          <c:extLst>
            <c:ext xmlns:c16="http://schemas.microsoft.com/office/drawing/2014/chart" uri="{C3380CC4-5D6E-409C-BE32-E72D297353CC}">
              <c16:uniqueId val="{00000001-62C0-1249-832D-64627E70C8F0}"/>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Comparación de caudal entre escenarios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Escenarios!$D$21</c:f>
              <c:strCache>
                <c:ptCount val="1"/>
                <c:pt idx="0">
                  <c:v>Línea base</c:v>
                </c:pt>
              </c:strCache>
            </c:strRef>
          </c:tx>
          <c:spPr>
            <a:ln w="12700" cap="rnd">
              <a:solidFill>
                <a:schemeClr val="accent1"/>
              </a:solidFill>
              <a:round/>
            </a:ln>
            <a:effectLst/>
          </c:spPr>
          <c:marker>
            <c:symbol val="none"/>
          </c:marker>
          <c:xVal>
            <c:strRef>
              <c:f>LíneaBase!$C:$C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LíneaBase!$L:$L</c:f>
              <c:numCache>
                <c:formatCode>General</c:formatCode>
                <c:ptCount val="1048576"/>
                <c:pt idx="4">
                  <c:v>0</c:v>
                </c:pt>
                <c:pt idx="6" formatCode="0.0000">
                  <c:v>4.3585938675872358</c:v>
                </c:pt>
                <c:pt idx="7" formatCode="0.0000">
                  <c:v>1.2407799324562991</c:v>
                </c:pt>
                <c:pt idx="8" formatCode="0.0000">
                  <c:v>3.0667773552040081</c:v>
                </c:pt>
                <c:pt idx="9" formatCode="0.0000">
                  <c:v>1.370500668185999</c:v>
                </c:pt>
                <c:pt idx="10" formatCode="0.0000">
                  <c:v>1.9004462758969225</c:v>
                </c:pt>
                <c:pt idx="11" formatCode="0.0000">
                  <c:v>3.6590784970323407</c:v>
                </c:pt>
                <c:pt idx="12" formatCode="0.0000">
                  <c:v>1.4691961986309505</c:v>
                </c:pt>
                <c:pt idx="13" formatCode="0.0000">
                  <c:v>1.3544359545162783</c:v>
                </c:pt>
                <c:pt idx="14" formatCode="0.0000">
                  <c:v>1.2436457991895276</c:v>
                </c:pt>
                <c:pt idx="15" formatCode="0.0000">
                  <c:v>1.1398683158671576</c:v>
                </c:pt>
                <c:pt idx="16" formatCode="0.0000">
                  <c:v>1.1362944017493872</c:v>
                </c:pt>
                <c:pt idx="17" formatCode="0.0000">
                  <c:v>3.8287111396977553</c:v>
                </c:pt>
                <c:pt idx="18" formatCode="0.0000">
                  <c:v>1.4528664410546774</c:v>
                </c:pt>
                <c:pt idx="19" formatCode="0.0000">
                  <c:v>1.3524854541634634</c:v>
                </c:pt>
                <c:pt idx="20" formatCode="0.0000">
                  <c:v>1.25892353933118</c:v>
                </c:pt>
                <c:pt idx="21" formatCode="0.0000">
                  <c:v>1.1509756226758947</c:v>
                </c:pt>
                <c:pt idx="22" formatCode="0.0000">
                  <c:v>1.6758714316701147</c:v>
                </c:pt>
                <c:pt idx="23" formatCode="0.0000">
                  <c:v>1.3131448900168086</c:v>
                </c:pt>
                <c:pt idx="24" formatCode="0.0000">
                  <c:v>1.7006604303592725</c:v>
                </c:pt>
                <c:pt idx="25" formatCode="0.0000">
                  <c:v>1.5428633584480724</c:v>
                </c:pt>
                <c:pt idx="26" formatCode="0.0000">
                  <c:v>1.6246068562580451</c:v>
                </c:pt>
                <c:pt idx="27" formatCode="0.0000">
                  <c:v>1.42532237279437</c:v>
                </c:pt>
                <c:pt idx="28" formatCode="0.0000">
                  <c:v>4.5361554597857587</c:v>
                </c:pt>
                <c:pt idx="29" formatCode="0.0000">
                  <c:v>1.6056165572795995</c:v>
                </c:pt>
                <c:pt idx="30" formatCode="0.0000">
                  <c:v>1.4890469709983785</c:v>
                </c:pt>
                <c:pt idx="31" formatCode="0.0000">
                  <c:v>1.5141990459537686</c:v>
                </c:pt>
                <c:pt idx="32" formatCode="0.0000">
                  <c:v>1.4013926977953328</c:v>
                </c:pt>
                <c:pt idx="33" formatCode="0.0000">
                  <c:v>1.2912133804007551</c:v>
                </c:pt>
                <c:pt idx="34" formatCode="0.0000">
                  <c:v>1.2459788409374613</c:v>
                </c:pt>
                <c:pt idx="35" formatCode="0.0000">
                  <c:v>1.3497466796449995</c:v>
                </c:pt>
                <c:pt idx="36" formatCode="0.0000">
                  <c:v>1.3163113555809418</c:v>
                </c:pt>
                <c:pt idx="37" formatCode="0.0000">
                  <c:v>1.2561122030552123</c:v>
                </c:pt>
                <c:pt idx="38" formatCode="0.0000">
                  <c:v>1.2233919433615881</c:v>
                </c:pt>
                <c:pt idx="39" formatCode="0.0000">
                  <c:v>1.11571456954441</c:v>
                </c:pt>
                <c:pt idx="40" formatCode="0.0000">
                  <c:v>1.1264230972379972</c:v>
                </c:pt>
                <c:pt idx="41" formatCode="0.0000">
                  <c:v>1.0213259871617324</c:v>
                </c:pt>
                <c:pt idx="42" formatCode="0.0000">
                  <c:v>0.91861282635198993</c:v>
                </c:pt>
                <c:pt idx="43" formatCode="0.0000">
                  <c:v>2.4145541438235458</c:v>
                </c:pt>
                <c:pt idx="44" formatCode="0.0000">
                  <c:v>1.1315523051233156</c:v>
                </c:pt>
                <c:pt idx="45" formatCode="0.0000">
                  <c:v>1.0984193153049628</c:v>
                </c:pt>
                <c:pt idx="46" formatCode="0.0000">
                  <c:v>5.204571287426166</c:v>
                </c:pt>
                <c:pt idx="47" formatCode="0.0000">
                  <c:v>1.4691000586225718</c:v>
                </c:pt>
                <c:pt idx="48" formatCode="0.0000">
                  <c:v>1.4190001401552881</c:v>
                </c:pt>
                <c:pt idx="49" formatCode="0.0000">
                  <c:v>1.3318231164520247</c:v>
                </c:pt>
                <c:pt idx="50" formatCode="0.0000">
                  <c:v>1.2217120547254565</c:v>
                </c:pt>
                <c:pt idx="51" formatCode="0.0000">
                  <c:v>1.1727158854778452</c:v>
                </c:pt>
                <c:pt idx="52" formatCode="0.0000">
                  <c:v>3.9630902510214479</c:v>
                </c:pt>
                <c:pt idx="53" formatCode="0.0000">
                  <c:v>1.5007291465354489</c:v>
                </c:pt>
                <c:pt idx="54" formatCode="0.0000">
                  <c:v>2.5754582127776322</c:v>
                </c:pt>
                <c:pt idx="55" formatCode="0.0000">
                  <c:v>1.498842694548111</c:v>
                </c:pt>
                <c:pt idx="56" formatCode="0.0000">
                  <c:v>6.1843269841292114</c:v>
                </c:pt>
                <c:pt idx="57" formatCode="0.0000">
                  <c:v>2.6928378941272801</c:v>
                </c:pt>
                <c:pt idx="58" formatCode="0.0000">
                  <c:v>1.9740213428903668</c:v>
                </c:pt>
                <c:pt idx="59" formatCode="0.0000">
                  <c:v>7.9827223123626272</c:v>
                </c:pt>
                <c:pt idx="60" formatCode="0.0000">
                  <c:v>2.4250244408712098</c:v>
                </c:pt>
                <c:pt idx="61" formatCode="0.0000">
                  <c:v>1.9550698629179706</c:v>
                </c:pt>
                <c:pt idx="62" formatCode="0.0000">
                  <c:v>1.8361900039984562</c:v>
                </c:pt>
                <c:pt idx="63" formatCode="0.0000">
                  <c:v>1.7624033699732009</c:v>
                </c:pt>
                <c:pt idx="64" formatCode="0.0000">
                  <c:v>1.664902256799496</c:v>
                </c:pt>
                <c:pt idx="65" formatCode="0.0000">
                  <c:v>1.5569553810692396</c:v>
                </c:pt>
                <c:pt idx="66" formatCode="0.0000">
                  <c:v>1.5690351038139871</c:v>
                </c:pt>
                <c:pt idx="67" formatCode="0.0000">
                  <c:v>1.4648322645420859</c:v>
                </c:pt>
                <c:pt idx="68" formatCode="0.0000">
                  <c:v>1.4515137819343895</c:v>
                </c:pt>
                <c:pt idx="69" formatCode="0.0000">
                  <c:v>1.3513726982081324</c:v>
                </c:pt>
                <c:pt idx="70" formatCode="0.0000">
                  <c:v>1.5132744517588801</c:v>
                </c:pt>
                <c:pt idx="71" formatCode="0.0000">
                  <c:v>1.3532484108829466</c:v>
                </c:pt>
                <c:pt idx="72" formatCode="0.0000">
                  <c:v>10.891936377278416</c:v>
                </c:pt>
                <c:pt idx="73" formatCode="0.0000">
                  <c:v>1.9688594263651642</c:v>
                </c:pt>
                <c:pt idx="74" formatCode="0.0000">
                  <c:v>3.1475444802114856</c:v>
                </c:pt>
                <c:pt idx="75" formatCode="0.0000">
                  <c:v>2.1166859423120066</c:v>
                </c:pt>
                <c:pt idx="76" formatCode="0.0000">
                  <c:v>5.2329913660461358</c:v>
                </c:pt>
                <c:pt idx="77" formatCode="0.0000">
                  <c:v>2.5449407533871247</c:v>
                </c:pt>
                <c:pt idx="78" formatCode="0.0000">
                  <c:v>2.2358630689511321</c:v>
                </c:pt>
                <c:pt idx="79" formatCode="0.0000">
                  <c:v>2.299866823933006</c:v>
                </c:pt>
                <c:pt idx="80" formatCode="0.0000">
                  <c:v>4.8158055672220756</c:v>
                </c:pt>
                <c:pt idx="81" formatCode="0.0000">
                  <c:v>2.2503506150379891</c:v>
                </c:pt>
                <c:pt idx="82" formatCode="0.0000">
                  <c:v>2.2076729076555766</c:v>
                </c:pt>
                <c:pt idx="83" formatCode="0.0000">
                  <c:v>2.0974092234657986</c:v>
                </c:pt>
                <c:pt idx="84" formatCode="0.0000">
                  <c:v>2.1078866142877475</c:v>
                </c:pt>
                <c:pt idx="85" formatCode="0.0000">
                  <c:v>1.9976059163052433</c:v>
                </c:pt>
                <c:pt idx="86" formatCode="0.0000">
                  <c:v>1.9486682136551399</c:v>
                </c:pt>
                <c:pt idx="87" formatCode="0.0000">
                  <c:v>1.9239811840971788</c:v>
                </c:pt>
                <c:pt idx="88" formatCode="0.0000">
                  <c:v>1.8198669878949481</c:v>
                </c:pt>
                <c:pt idx="89" formatCode="0.0000">
                  <c:v>1.7164084387398189</c:v>
                </c:pt>
                <c:pt idx="90" formatCode="0.0000">
                  <c:v>1.618009482409732</c:v>
                </c:pt>
                <c:pt idx="91" formatCode="0.0000">
                  <c:v>1.5221256255636699</c:v>
                </c:pt>
                <c:pt idx="92" formatCode="0.0000">
                  <c:v>2.6041331115925752</c:v>
                </c:pt>
                <c:pt idx="93" formatCode="0.0000">
                  <c:v>1.7012414681313577</c:v>
                </c:pt>
                <c:pt idx="94" formatCode="0.0000">
                  <c:v>1.6628822087910664</c:v>
                </c:pt>
                <c:pt idx="95" formatCode="0.0000">
                  <c:v>1.5657471769351505</c:v>
                </c:pt>
                <c:pt idx="96" formatCode="0.0000">
                  <c:v>1.4719535030100386</c:v>
                </c:pt>
                <c:pt idx="97" formatCode="0.0000">
                  <c:v>1.3805735843568869</c:v>
                </c:pt>
                <c:pt idx="98" formatCode="0.0000">
                  <c:v>1.3103381613151517</c:v>
                </c:pt>
                <c:pt idx="99" formatCode="0.0000">
                  <c:v>1.2263915532532434</c:v>
                </c:pt>
                <c:pt idx="100" formatCode="0.0000">
                  <c:v>1.145288742987012</c:v>
                </c:pt>
                <c:pt idx="101" formatCode="0.0000">
                  <c:v>1.0698753592782264</c:v>
                </c:pt>
                <c:pt idx="102" formatCode="0.0000">
                  <c:v>1.0032311458587693</c:v>
                </c:pt>
                <c:pt idx="103" formatCode="0.0000">
                  <c:v>0.95719969037570041</c:v>
                </c:pt>
                <c:pt idx="104" formatCode="0.0000">
                  <c:v>0.94177017622949344</c:v>
                </c:pt>
                <c:pt idx="105" formatCode="0.0000">
                  <c:v>0.93149540466666558</c:v>
                </c:pt>
                <c:pt idx="106" formatCode="0.0000">
                  <c:v>0.92215200452356894</c:v>
                </c:pt>
                <c:pt idx="107" formatCode="0.0000">
                  <c:v>0.9715288158531209</c:v>
                </c:pt>
                <c:pt idx="108" formatCode="0.0000">
                  <c:v>0.96508547615643092</c:v>
                </c:pt>
                <c:pt idx="109" formatCode="0.0000">
                  <c:v>0.9052591121673117</c:v>
                </c:pt>
                <c:pt idx="110" formatCode="0.0000">
                  <c:v>0.88798993587615049</c:v>
                </c:pt>
                <c:pt idx="111" formatCode="0.0000">
                  <c:v>0.87785488367448106</c:v>
                </c:pt>
                <c:pt idx="112" formatCode="0.0000">
                  <c:v>0.86897526963874494</c:v>
                </c:pt>
                <c:pt idx="113" formatCode="0.0000">
                  <c:v>0.86514381439258936</c:v>
                </c:pt>
                <c:pt idx="114" formatCode="0.0000">
                  <c:v>0.85608879451715103</c:v>
                </c:pt>
                <c:pt idx="115" formatCode="0.0000">
                  <c:v>0.84419270653941114</c:v>
                </c:pt>
                <c:pt idx="116" formatCode="0.0000">
                  <c:v>0.83530039545029089</c:v>
                </c:pt>
                <c:pt idx="117" formatCode="0.0000">
                  <c:v>0.83106232843429184</c:v>
                </c:pt>
                <c:pt idx="118" formatCode="0.0000">
                  <c:v>0.81948878469605779</c:v>
                </c:pt>
                <c:pt idx="119" formatCode="0.0000">
                  <c:v>0.81085249051328423</c:v>
                </c:pt>
                <c:pt idx="120" formatCode="0.0000">
                  <c:v>0.80276976534073163</c:v>
                </c:pt>
                <c:pt idx="121" formatCode="0.0000">
                  <c:v>2.0927104196115405</c:v>
                </c:pt>
                <c:pt idx="122" formatCode="0.0000">
                  <c:v>1.0574316775508241</c:v>
                </c:pt>
                <c:pt idx="123" formatCode="0.0000">
                  <c:v>0.98630924202356429</c:v>
                </c:pt>
                <c:pt idx="124" formatCode="0.0000">
                  <c:v>0.91574259852252682</c:v>
                </c:pt>
                <c:pt idx="125" formatCode="0.0000">
                  <c:v>0.84920747135622654</c:v>
                </c:pt>
                <c:pt idx="126" formatCode="0.0000">
                  <c:v>0.78512018856102328</c:v>
                </c:pt>
                <c:pt idx="127" formatCode="0.0000">
                  <c:v>0.75375115527646586</c:v>
                </c:pt>
                <c:pt idx="128" formatCode="0.0000">
                  <c:v>0.74240268288325062</c:v>
                </c:pt>
                <c:pt idx="129" formatCode="0.0000">
                  <c:v>0.73443687938034574</c:v>
                </c:pt>
                <c:pt idx="130" formatCode="0.0000">
                  <c:v>0.72709231762648996</c:v>
                </c:pt>
                <c:pt idx="131" formatCode="0.0000">
                  <c:v>0.71991018599439105</c:v>
                </c:pt>
                <c:pt idx="132" formatCode="0.0000">
                  <c:v>0.71281376624084958</c:v>
                </c:pt>
                <c:pt idx="133" formatCode="0.0000">
                  <c:v>0.70578974905757419</c:v>
                </c:pt>
                <c:pt idx="134" formatCode="0.0000">
                  <c:v>0.70019789952983624</c:v>
                </c:pt>
                <c:pt idx="135" formatCode="0.0000">
                  <c:v>0.69217564394355802</c:v>
                </c:pt>
                <c:pt idx="136" formatCode="0.0000">
                  <c:v>0.68516911950674431</c:v>
                </c:pt>
                <c:pt idx="137" formatCode="0.0000">
                  <c:v>0.67838706225266254</c:v>
                </c:pt>
                <c:pt idx="138" formatCode="0.0000">
                  <c:v>0.67169762174560865</c:v>
                </c:pt>
                <c:pt idx="139" formatCode="0.0000">
                  <c:v>0.66507837363957345</c:v>
                </c:pt>
                <c:pt idx="140" formatCode="0.0000">
                  <c:v>0.65852505672777972</c:v>
                </c:pt>
                <c:pt idx="141" formatCode="0.0000">
                  <c:v>0.65203642905074688</c:v>
                </c:pt>
                <c:pt idx="142" formatCode="0.0000">
                  <c:v>0.64561175492201361</c:v>
                </c:pt>
                <c:pt idx="143" formatCode="0.0000">
                  <c:v>0.63925038788248234</c:v>
                </c:pt>
                <c:pt idx="144" formatCode="0.0000">
                  <c:v>0.6329517014459769</c:v>
                </c:pt>
                <c:pt idx="145" formatCode="0.0000">
                  <c:v>0.6267150775565048</c:v>
                </c:pt>
                <c:pt idx="146" formatCode="0.0000">
                  <c:v>0.6205399046224892</c:v>
                </c:pt>
                <c:pt idx="147" formatCode="0.0000">
                  <c:v>0.61442557714066437</c:v>
                </c:pt>
                <c:pt idx="148" formatCode="0.0000">
                  <c:v>0.60837149558424541</c:v>
                </c:pt>
                <c:pt idx="149" formatCode="0.0000">
                  <c:v>0.60237706633543953</c:v>
                </c:pt>
                <c:pt idx="150" formatCode="0.0000">
                  <c:v>0.59644170162579502</c:v>
                </c:pt>
                <c:pt idx="151" formatCode="0.0000">
                  <c:v>0.59056481947833039</c:v>
                </c:pt>
                <c:pt idx="152" formatCode="0.0000">
                  <c:v>0.58474584365042914</c:v>
                </c:pt>
                <c:pt idx="153" formatCode="0.0000">
                  <c:v>0.57898420357733249</c:v>
                </c:pt>
                <c:pt idx="154" formatCode="0.0000">
                  <c:v>0.57327933431619171</c:v>
                </c:pt>
                <c:pt idx="155" formatCode="0.0000">
                  <c:v>0.567630676490675</c:v>
                </c:pt>
                <c:pt idx="156" formatCode="0.0000">
                  <c:v>0.56203767623611856</c:v>
                </c:pt>
                <c:pt idx="157" formatCode="0.0000">
                  <c:v>0.55649978514521914</c:v>
                </c:pt>
                <c:pt idx="158" formatCode="0.0000">
                  <c:v>1.6595477187016181</c:v>
                </c:pt>
                <c:pt idx="159" formatCode="0.0000">
                  <c:v>0.86405420061373739</c:v>
                </c:pt>
                <c:pt idx="160" formatCode="0.0000">
                  <c:v>0.80228337764042057</c:v>
                </c:pt>
                <c:pt idx="161" formatCode="0.0000">
                  <c:v>0.74556511604381881</c:v>
                </c:pt>
                <c:pt idx="162" formatCode="0.0000">
                  <c:v>0.68947489970077247</c:v>
                </c:pt>
                <c:pt idx="163" formatCode="0.0000">
                  <c:v>0.63634073580302652</c:v>
                </c:pt>
                <c:pt idx="164" formatCode="0.0000">
                  <c:v>0.5845057947544402</c:v>
                </c:pt>
                <c:pt idx="165" formatCode="0.0000">
                  <c:v>0.59449257149465551</c:v>
                </c:pt>
                <c:pt idx="166" formatCode="0.0000">
                  <c:v>0.59125996558765193</c:v>
                </c:pt>
                <c:pt idx="167" formatCode="0.0000">
                  <c:v>0.55248419792142245</c:v>
                </c:pt>
                <c:pt idx="168" formatCode="0.0000">
                  <c:v>0.50710812538139449</c:v>
                </c:pt>
                <c:pt idx="169" formatCode="0.0000">
                  <c:v>0.4954852466233351</c:v>
                </c:pt>
                <c:pt idx="170" formatCode="0.0000">
                  <c:v>0.4895035815835399</c:v>
                </c:pt>
                <c:pt idx="171" formatCode="0.0000">
                  <c:v>0.48449793408419722</c:v>
                </c:pt>
                <c:pt idx="172" formatCode="0.0000">
                  <c:v>0.47969378510636212</c:v>
                </c:pt>
                <c:pt idx="173" formatCode="0.0000">
                  <c:v>0.47496222419302953</c:v>
                </c:pt>
                <c:pt idx="174" formatCode="0.0000">
                  <c:v>0.47028147464084724</c:v>
                </c:pt>
                <c:pt idx="175" formatCode="0.0000">
                  <c:v>0.46564754092938537</c:v>
                </c:pt>
                <c:pt idx="176" formatCode="0.0000">
                  <c:v>0.46105938184611456</c:v>
                </c:pt>
                <c:pt idx="177" formatCode="0.0000">
                  <c:v>0.45651645013211151</c:v>
                </c:pt>
                <c:pt idx="178" formatCode="0.0000">
                  <c:v>0.45201828418318052</c:v>
                </c:pt>
                <c:pt idx="179" formatCode="0.0000">
                  <c:v>0.44756444026187908</c:v>
                </c:pt>
                <c:pt idx="180" formatCode="0.0000">
                  <c:v>0.44315448121303158</c:v>
                </c:pt>
                <c:pt idx="181" formatCode="0.0000">
                  <c:v>0.43878797455557778</c:v>
                </c:pt>
                <c:pt idx="182" formatCode="0.0000">
                  <c:v>0.43446449213064936</c:v>
                </c:pt>
                <c:pt idx="183" formatCode="0.0000">
                  <c:v>0.43018361000822664</c:v>
                </c:pt>
                <c:pt idx="184" formatCode="0.0000">
                  <c:v>0.42594490843704919</c:v>
                </c:pt>
                <c:pt idx="185" formatCode="0.0000">
                  <c:v>0.42174797180204376</c:v>
                </c:pt>
                <c:pt idx="186" formatCode="0.0000">
                  <c:v>0.41759238858333714</c:v>
                </c:pt>
                <c:pt idx="187" formatCode="0.0000">
                  <c:v>0.4134777513158675</c:v>
                </c:pt>
                <c:pt idx="188" formatCode="0.0000">
                  <c:v>0.40940365654942462</c:v>
                </c:pt>
                <c:pt idx="189" formatCode="0.0000">
                  <c:v>0.40536970480908929</c:v>
                </c:pt>
                <c:pt idx="190" formatCode="0.0000">
                  <c:v>0.40137550055606397</c:v>
                </c:pt>
                <c:pt idx="191" formatCode="0.0000">
                  <c:v>0.39742065214888905</c:v>
                </c:pt>
                <c:pt idx="192" formatCode="0.0000">
                  <c:v>0.39350477180504145</c:v>
                </c:pt>
                <c:pt idx="193" formatCode="0.0000">
                  <c:v>0.38962747556291188</c:v>
                </c:pt>
                <c:pt idx="194" formatCode="0.0000">
                  <c:v>0.38578838324415599</c:v>
                </c:pt>
                <c:pt idx="195" formatCode="0.0000">
                  <c:v>0.41703561743642437</c:v>
                </c:pt>
                <c:pt idx="196" formatCode="0.0000">
                  <c:v>0.38403912761812309</c:v>
                </c:pt>
                <c:pt idx="197" formatCode="0.0000">
                  <c:v>0.37546163971138585</c:v>
                </c:pt>
                <c:pt idx="198" formatCode="0.0000">
                  <c:v>0.37096671777271728</c:v>
                </c:pt>
                <c:pt idx="199" formatCode="0.0000">
                  <c:v>0.3671795070998759</c:v>
                </c:pt>
                <c:pt idx="200" formatCode="0.0000">
                  <c:v>0.36353969848213602</c:v>
                </c:pt>
                <c:pt idx="201" formatCode="0.0000">
                  <c:v>0.35995402099356821</c:v>
                </c:pt>
                <c:pt idx="202" formatCode="0.0000">
                  <c:v>0.35640670523607881</c:v>
                </c:pt>
                <c:pt idx="203" formatCode="0.0000">
                  <c:v>0.35289484501131235</c:v>
                </c:pt>
                <c:pt idx="204" formatCode="0.0000">
                  <c:v>0.35078021828840039</c:v>
                </c:pt>
                <c:pt idx="205" formatCode="0.0000">
                  <c:v>0.35840491493489901</c:v>
                </c:pt>
                <c:pt idx="206" formatCode="0.0000">
                  <c:v>0.51330077160438381</c:v>
                </c:pt>
                <c:pt idx="207" formatCode="0.0000">
                  <c:v>0.78201074700496942</c:v>
                </c:pt>
                <c:pt idx="208" formatCode="0.0000">
                  <c:v>0.60043660822967337</c:v>
                </c:pt>
                <c:pt idx="209" formatCode="0.0000">
                  <c:v>0.54408225368341878</c:v>
                </c:pt>
                <c:pt idx="210" formatCode="0.0000">
                  <c:v>0.48846136768044413</c:v>
                </c:pt>
                <c:pt idx="211" formatCode="0.0000">
                  <c:v>0.43443373403949542</c:v>
                </c:pt>
                <c:pt idx="212" formatCode="0.0000">
                  <c:v>0.38321196099461508</c:v>
                </c:pt>
                <c:pt idx="213" formatCode="0.0000">
                  <c:v>0.33353739493892604</c:v>
                </c:pt>
                <c:pt idx="214" formatCode="0.0000">
                  <c:v>0.31878439028380906</c:v>
                </c:pt>
                <c:pt idx="215" formatCode="0.0000">
                  <c:v>0.31374060935815301</c:v>
                </c:pt>
                <c:pt idx="216" formatCode="0.0000">
                  <c:v>0.31033351763699285</c:v>
                </c:pt>
                <c:pt idx="217" formatCode="0.0000">
                  <c:v>0.30722333636713406</c:v>
                </c:pt>
                <c:pt idx="218" formatCode="0.0000">
                  <c:v>0.3041874980548025</c:v>
                </c:pt>
                <c:pt idx="219" formatCode="0.0000">
                  <c:v>0.30391391728589612</c:v>
                </c:pt>
                <c:pt idx="220" formatCode="0.0000">
                  <c:v>0.29867309104837808</c:v>
                </c:pt>
                <c:pt idx="221" formatCode="0.0000">
                  <c:v>0.29535745282363318</c:v>
                </c:pt>
                <c:pt idx="222" formatCode="0.0000">
                  <c:v>0.29238537419916277</c:v>
                </c:pt>
                <c:pt idx="223" formatCode="0.0000">
                  <c:v>0.33354651850305106</c:v>
                </c:pt>
                <c:pt idx="224" formatCode="0.0000">
                  <c:v>0.29394989534060656</c:v>
                </c:pt>
                <c:pt idx="225" formatCode="0.0000">
                  <c:v>0.28911601120256508</c:v>
                </c:pt>
                <c:pt idx="226" formatCode="0.0000">
                  <c:v>0.2818984123294131</c:v>
                </c:pt>
                <c:pt idx="227" formatCode="0.0000">
                  <c:v>0.27839584588825894</c:v>
                </c:pt>
                <c:pt idx="228" formatCode="0.0000">
                  <c:v>0.27553244906452429</c:v>
                </c:pt>
                <c:pt idx="229" formatCode="0.0000">
                  <c:v>0.27279760069981784</c:v>
                </c:pt>
                <c:pt idx="230" formatCode="0.0000">
                  <c:v>0.2714688954668924</c:v>
                </c:pt>
                <c:pt idx="231" formatCode="0.0000">
                  <c:v>0.267670472820001</c:v>
                </c:pt>
                <c:pt idx="232" formatCode="0.0000">
                  <c:v>0.26484660999286519</c:v>
                </c:pt>
                <c:pt idx="233" formatCode="0.0000">
                  <c:v>0.26220607577790028</c:v>
                </c:pt>
                <c:pt idx="234" formatCode="0.0000">
                  <c:v>0.31886495502571732</c:v>
                </c:pt>
                <c:pt idx="235" formatCode="0.0000">
                  <c:v>0.26688976751659654</c:v>
                </c:pt>
                <c:pt idx="236" formatCode="0.0000">
                  <c:v>0.25615681470353535</c:v>
                </c:pt>
                <c:pt idx="237" formatCode="0.0000">
                  <c:v>0.25228822129279116</c:v>
                </c:pt>
                <c:pt idx="238" formatCode="0.0000">
                  <c:v>0.24957924416696797</c:v>
                </c:pt>
                <c:pt idx="239" formatCode="0.0000">
                  <c:v>0.24708305651769771</c:v>
                </c:pt>
                <c:pt idx="240" formatCode="0.0000">
                  <c:v>0.24464234469929813</c:v>
                </c:pt>
                <c:pt idx="241" formatCode="0.0000">
                  <c:v>0.24223080595929891</c:v>
                </c:pt>
                <c:pt idx="242" formatCode="0.0000">
                  <c:v>0.23984387896977222</c:v>
                </c:pt>
                <c:pt idx="243" formatCode="0.0000">
                  <c:v>0.23748061203354714</c:v>
                </c:pt>
                <c:pt idx="244" formatCode="0.0000">
                  <c:v>0.23514065434181072</c:v>
                </c:pt>
                <c:pt idx="245" formatCode="0.0000">
                  <c:v>0.23282375669552649</c:v>
                </c:pt>
                <c:pt idx="246" formatCode="0.0000">
                  <c:v>0.23052968863825254</c:v>
                </c:pt>
                <c:pt idx="247" formatCode="0.0000">
                  <c:v>0.22825822468692375</c:v>
                </c:pt>
                <c:pt idx="248" formatCode="0.0000">
                  <c:v>0.22600914202867867</c:v>
                </c:pt>
                <c:pt idx="249" formatCode="0.0000">
                  <c:v>0.2237822201205005</c:v>
                </c:pt>
                <c:pt idx="250" formatCode="0.0000">
                  <c:v>0.22157724060478379</c:v>
                </c:pt>
                <c:pt idx="251" formatCode="0.0000">
                  <c:v>0.21939398727750178</c:v>
                </c:pt>
                <c:pt idx="252" formatCode="0.0000">
                  <c:v>0.21723224606527733</c:v>
                </c:pt>
                <c:pt idx="253" formatCode="0.0000">
                  <c:v>0.21509180500410577</c:v>
                </c:pt>
                <c:pt idx="254" formatCode="0.0000">
                  <c:v>0.21297245421852362</c:v>
                </c:pt>
                <c:pt idx="255" formatCode="0.0000">
                  <c:v>0.21087398590102191</c:v>
                </c:pt>
                <c:pt idx="256" formatCode="0.0000">
                  <c:v>0.20879619429166885</c:v>
                </c:pt>
                <c:pt idx="257" formatCode="0.0000">
                  <c:v>0.20673887565793417</c:v>
                </c:pt>
                <c:pt idx="258" formatCode="0.0000">
                  <c:v>0.20470182827471275</c:v>
                </c:pt>
                <c:pt idx="259" formatCode="0.0000">
                  <c:v>0.20268485240454515</c:v>
                </c:pt>
                <c:pt idx="260" formatCode="0.0000">
                  <c:v>0.20068775027803246</c:v>
                </c:pt>
                <c:pt idx="261" formatCode="0.0000">
                  <c:v>0.19871032607444497</c:v>
                </c:pt>
                <c:pt idx="262" formatCode="0.0000">
                  <c:v>0.19675238590252114</c:v>
                </c:pt>
                <c:pt idx="263" formatCode="0.0000">
                  <c:v>0.19822010488897174</c:v>
                </c:pt>
                <c:pt idx="264" formatCode="0.0000">
                  <c:v>0.19345943167486976</c:v>
                </c:pt>
                <c:pt idx="265" formatCode="0.0000">
                  <c:v>0.19108735306753055</c:v>
                </c:pt>
                <c:pt idx="266" formatCode="0.0000">
                  <c:v>0.18912721798690046</c:v>
                </c:pt>
                <c:pt idx="267" formatCode="0.0000">
                  <c:v>0.1872508746079827</c:v>
                </c:pt>
                <c:pt idx="268" formatCode="0.0000">
                  <c:v>0.18540371853386914</c:v>
                </c:pt>
                <c:pt idx="269" formatCode="0.0000">
                  <c:v>0.18357653832221194</c:v>
                </c:pt>
                <c:pt idx="270" formatCode="0.0000">
                  <c:v>0.18176765635469372</c:v>
                </c:pt>
                <c:pt idx="271" formatCode="0.0000">
                  <c:v>0.17997664661726989</c:v>
                </c:pt>
                <c:pt idx="272" formatCode="0.0000">
                  <c:v>0.19182876066727086</c:v>
                </c:pt>
                <c:pt idx="273" formatCode="0.0000">
                  <c:v>0.28660200711152017</c:v>
                </c:pt>
                <c:pt idx="274" formatCode="0.0000">
                  <c:v>0.20601478682687535</c:v>
                </c:pt>
                <c:pt idx="275" formatCode="0.0000">
                  <c:v>0.1781821811739594</c:v>
                </c:pt>
                <c:pt idx="276" formatCode="0.0000">
                  <c:v>0.17214490556871903</c:v>
                </c:pt>
                <c:pt idx="277" formatCode="0.0000">
                  <c:v>0.16973824714044936</c:v>
                </c:pt>
                <c:pt idx="278" formatCode="0.0000">
                  <c:v>0.16794788236994776</c:v>
                </c:pt>
                <c:pt idx="279" formatCode="0.0000">
                  <c:v>0.16627348908606099</c:v>
                </c:pt>
                <c:pt idx="280" formatCode="0.0000">
                  <c:v>0.16463191061614743</c:v>
                </c:pt>
                <c:pt idx="281" formatCode="0.0000">
                  <c:v>0.16300921452960582</c:v>
                </c:pt>
                <c:pt idx="282" formatCode="0.0000">
                  <c:v>0.16140295652998288</c:v>
                </c:pt>
                <c:pt idx="283" formatCode="0.0000">
                  <c:v>0.1598125999242016</c:v>
                </c:pt>
                <c:pt idx="284" formatCode="0.0000">
                  <c:v>0.15823792585160135</c:v>
                </c:pt>
                <c:pt idx="285" formatCode="0.0000">
                  <c:v>0.1566787694704535</c:v>
                </c:pt>
                <c:pt idx="286" formatCode="0.0000">
                  <c:v>0.1551349761691182</c:v>
                </c:pt>
                <c:pt idx="287" formatCode="0.0000">
                  <c:v>0.15360639428740619</c:v>
                </c:pt>
                <c:pt idx="288" formatCode="0.0000">
                  <c:v>0.18573423851794335</c:v>
                </c:pt>
                <c:pt idx="289" formatCode="0.0000">
                  <c:v>0.15822041139374701</c:v>
                </c:pt>
                <c:pt idx="290" formatCode="0.0000">
                  <c:v>0.39050690964565848</c:v>
                </c:pt>
                <c:pt idx="291" formatCode="0.0000">
                  <c:v>0.33574109083754278</c:v>
                </c:pt>
                <c:pt idx="292" formatCode="0.0000">
                  <c:v>3.8340067967060687</c:v>
                </c:pt>
                <c:pt idx="293" formatCode="0.0000">
                  <c:v>0.88777808205994668</c:v>
                </c:pt>
                <c:pt idx="294" formatCode="0.0000">
                  <c:v>2.1597244928581425</c:v>
                </c:pt>
                <c:pt idx="295" formatCode="0.0000">
                  <c:v>1.0703333332146081</c:v>
                </c:pt>
                <c:pt idx="296" formatCode="0.0000">
                  <c:v>0.96626062874889107</c:v>
                </c:pt>
                <c:pt idx="297" formatCode="0.0000">
                  <c:v>1.4325255216894952</c:v>
                </c:pt>
                <c:pt idx="298" formatCode="0.0000">
                  <c:v>1.1515019126225119</c:v>
                </c:pt>
                <c:pt idx="299" formatCode="0.0000">
                  <c:v>1.0439260795458627</c:v>
                </c:pt>
                <c:pt idx="300" formatCode="0.0000">
                  <c:v>1.024435280827217</c:v>
                </c:pt>
                <c:pt idx="301" formatCode="0.0000">
                  <c:v>1.0284913336719399</c:v>
                </c:pt>
                <c:pt idx="302" formatCode="0.0000">
                  <c:v>0.98956408029643306</c:v>
                </c:pt>
                <c:pt idx="303" formatCode="0.0000">
                  <c:v>1.1476447240356507</c:v>
                </c:pt>
                <c:pt idx="304" formatCode="0.0000">
                  <c:v>1.0388274692142905</c:v>
                </c:pt>
                <c:pt idx="305" formatCode="0.0000">
                  <c:v>0.94349469920268014</c:v>
                </c:pt>
                <c:pt idx="306" formatCode="0.0000">
                  <c:v>0.88664600789181891</c:v>
                </c:pt>
                <c:pt idx="307" formatCode="0.0000">
                  <c:v>0.78416273897606581</c:v>
                </c:pt>
                <c:pt idx="308" formatCode="0.0000">
                  <c:v>0.77242484412846735</c:v>
                </c:pt>
                <c:pt idx="309" formatCode="0.0000">
                  <c:v>0.67468945252139179</c:v>
                </c:pt>
                <c:pt idx="310" formatCode="0.0000">
                  <c:v>0.5944200785519318</c:v>
                </c:pt>
                <c:pt idx="311" formatCode="0.0000">
                  <c:v>0.57795525903080303</c:v>
                </c:pt>
                <c:pt idx="312" formatCode="0.0000">
                  <c:v>0.48641376698729039</c:v>
                </c:pt>
                <c:pt idx="313" formatCode="0.0000">
                  <c:v>0.48761253850340447</c:v>
                </c:pt>
                <c:pt idx="314" formatCode="0.0000">
                  <c:v>0.43553622142772758</c:v>
                </c:pt>
                <c:pt idx="315" formatCode="0.0000">
                  <c:v>0.35200640413455375</c:v>
                </c:pt>
                <c:pt idx="316" formatCode="0.0000">
                  <c:v>0.33634905458649972</c:v>
                </c:pt>
                <c:pt idx="317" formatCode="0.0000">
                  <c:v>0.25302588324470221</c:v>
                </c:pt>
                <c:pt idx="318" formatCode="0.0000">
                  <c:v>0.18533412260816434</c:v>
                </c:pt>
                <c:pt idx="319" formatCode="0.0000">
                  <c:v>0.12389321032451006</c:v>
                </c:pt>
                <c:pt idx="320" formatCode="0.0000">
                  <c:v>0.11278020475963134</c:v>
                </c:pt>
                <c:pt idx="321" formatCode="0.0000">
                  <c:v>0.11002746985232927</c:v>
                </c:pt>
                <c:pt idx="322" formatCode="0.0000">
                  <c:v>0.12502152315839118</c:v>
                </c:pt>
                <c:pt idx="323" formatCode="0.0000">
                  <c:v>0.11435579490248231</c:v>
                </c:pt>
                <c:pt idx="324" formatCode="0.0000">
                  <c:v>1.6308515546246409</c:v>
                </c:pt>
                <c:pt idx="325" formatCode="0.0000">
                  <c:v>1.1130023217989466</c:v>
                </c:pt>
                <c:pt idx="326" formatCode="0.0000">
                  <c:v>0.59780083419189167</c:v>
                </c:pt>
                <c:pt idx="327" formatCode="0.0000">
                  <c:v>0.52306929776072952</c:v>
                </c:pt>
                <c:pt idx="328" formatCode="0.0000">
                  <c:v>0.56038457940056863</c:v>
                </c:pt>
                <c:pt idx="329" formatCode="0.0000">
                  <c:v>2.088389906478973</c:v>
                </c:pt>
                <c:pt idx="330" formatCode="0.0000">
                  <c:v>1.1578999225028352</c:v>
                </c:pt>
                <c:pt idx="331" formatCode="0.0000">
                  <c:v>0.91024324452725525</c:v>
                </c:pt>
                <c:pt idx="332" formatCode="0.0000">
                  <c:v>0.80476773605185459</c:v>
                </c:pt>
                <c:pt idx="333" formatCode="0.0000">
                  <c:v>0.70484430662660791</c:v>
                </c:pt>
                <c:pt idx="334" formatCode="0.0000">
                  <c:v>1.0628615239856649</c:v>
                </c:pt>
                <c:pt idx="335" formatCode="0.0000">
                  <c:v>2.1781002236388671</c:v>
                </c:pt>
                <c:pt idx="336" formatCode="0.0000">
                  <c:v>1.0532292452520771</c:v>
                </c:pt>
                <c:pt idx="337" formatCode="0.0000">
                  <c:v>0.94303088090978027</c:v>
                </c:pt>
                <c:pt idx="338" formatCode="0.0000">
                  <c:v>0.83855257634354752</c:v>
                </c:pt>
                <c:pt idx="339" formatCode="0.0000">
                  <c:v>0.73929264666166794</c:v>
                </c:pt>
                <c:pt idx="340" formatCode="0.0000">
                  <c:v>0.64484459318533982</c:v>
                </c:pt>
                <c:pt idx="341" formatCode="0.0000">
                  <c:v>0.55335894684209086</c:v>
                </c:pt>
                <c:pt idx="342" formatCode="0.0000">
                  <c:v>0.46304919735749034</c:v>
                </c:pt>
                <c:pt idx="343" formatCode="0.0000">
                  <c:v>0.37586906487517968</c:v>
                </c:pt>
                <c:pt idx="344" formatCode="0.0000">
                  <c:v>0.29163597790268136</c:v>
                </c:pt>
                <c:pt idx="345" formatCode="0.0000">
                  <c:v>0.20971355752659146</c:v>
                </c:pt>
                <c:pt idx="346" formatCode="0.0000">
                  <c:v>0.1345032560711176</c:v>
                </c:pt>
                <c:pt idx="347" formatCode="0.0000">
                  <c:v>9.2905553274510916E-2</c:v>
                </c:pt>
                <c:pt idx="348" formatCode="0.0000">
                  <c:v>8.5307476827766016E-2</c:v>
                </c:pt>
                <c:pt idx="349" formatCode="0.0000">
                  <c:v>8.3358026552086142E-2</c:v>
                </c:pt>
                <c:pt idx="350" formatCode="0.0000">
                  <c:v>8.2352674032313791E-2</c:v>
                </c:pt>
                <c:pt idx="351" formatCode="0.0000">
                  <c:v>8.1510700235106384E-2</c:v>
                </c:pt>
                <c:pt idx="352" formatCode="0.0000">
                  <c:v>0.15221293023193921</c:v>
                </c:pt>
                <c:pt idx="353" formatCode="0.0000">
                  <c:v>9.4029247885892037E-2</c:v>
                </c:pt>
                <c:pt idx="354" formatCode="0.0000">
                  <c:v>8.1462473057871673E-2</c:v>
                </c:pt>
                <c:pt idx="355" formatCode="0.0000">
                  <c:v>0.51493482607767005</c:v>
                </c:pt>
                <c:pt idx="356" formatCode="0.0000">
                  <c:v>0.25065755856110916</c:v>
                </c:pt>
                <c:pt idx="357" formatCode="0.0000">
                  <c:v>0.19217484318141448</c:v>
                </c:pt>
                <c:pt idx="358" formatCode="0.0000">
                  <c:v>2.7540371030225859</c:v>
                </c:pt>
                <c:pt idx="359" formatCode="0.0000">
                  <c:v>0.53551175435553189</c:v>
                </c:pt>
                <c:pt idx="360" formatCode="0.0000">
                  <c:v>0.44545359753754354</c:v>
                </c:pt>
                <c:pt idx="361" formatCode="0.0000">
                  <c:v>2.1843047364001626</c:v>
                </c:pt>
                <c:pt idx="362" formatCode="0.0000">
                  <c:v>0.77473021515612561</c:v>
                </c:pt>
                <c:pt idx="363" formatCode="0.0000">
                  <c:v>0.67639315005762513</c:v>
                </c:pt>
                <c:pt idx="364" formatCode="0.0000">
                  <c:v>5.2872146561170554</c:v>
                </c:pt>
                <c:pt idx="365" formatCode="0.0000">
                  <c:v>1.2382839391505354</c:v>
                </c:pt>
                <c:pt idx="366" formatCode="0.0000">
                  <c:v>1.2174482405924141</c:v>
                </c:pt>
                <c:pt idx="367" formatCode="0.0000">
                  <c:v>1.3498628437075286</c:v>
                </c:pt>
                <c:pt idx="368" formatCode="0.0000">
                  <c:v>1.2641644113190702</c:v>
                </c:pt>
                <c:pt idx="369" formatCode="0.0000">
                  <c:v>1.272735597865525</c:v>
                </c:pt>
                <c:pt idx="370" formatCode="0.0000">
                  <c:v>1.2441724444320688</c:v>
                </c:pt>
                <c:pt idx="371" formatCode="0.0000">
                  <c:v>4.4268042260306348</c:v>
                </c:pt>
                <c:pt idx="372" formatCode="0.0000">
                  <c:v>1.3082047545270306</c:v>
                </c:pt>
                <c:pt idx="373" formatCode="0.0000">
                  <c:v>3.1302113529085061</c:v>
                </c:pt>
                <c:pt idx="374" formatCode="0.0000">
                  <c:v>1.4333133682709001</c:v>
                </c:pt>
                <c:pt idx="375" formatCode="0.0000">
                  <c:v>1.9627495195022959</c:v>
                </c:pt>
                <c:pt idx="376" formatCode="0.0000">
                  <c:v>3.7207641236015485</c:v>
                </c:pt>
                <c:pt idx="377" formatCode="0.0000">
                  <c:v>1.5302740262128074</c:v>
                </c:pt>
                <c:pt idx="378" formatCode="0.0000">
                  <c:v>1.4149119717564635</c:v>
                </c:pt>
                <c:pt idx="379" formatCode="0.0000">
                  <c:v>1.3035259357310227</c:v>
                </c:pt>
                <c:pt idx="380" formatCode="0.0000">
                  <c:v>1.1991584429314495</c:v>
                </c:pt>
                <c:pt idx="381" formatCode="0.0000">
                  <c:v>1.1950003327119476</c:v>
                </c:pt>
                <c:pt idx="382" formatCode="0.0000">
                  <c:v>3.8868387339344466</c:v>
                </c:pt>
                <c:pt idx="383" formatCode="0.0000">
                  <c:v>1.5104212901406047</c:v>
                </c:pt>
                <c:pt idx="384" formatCode="0.0000">
                  <c:v>1.409473201497097</c:v>
                </c:pt>
                <c:pt idx="385" formatCode="0.0000">
                  <c:v>1.3153497727051009</c:v>
                </c:pt>
                <c:pt idx="386" formatCode="0.0000">
                  <c:v>1.2068458748246991</c:v>
                </c:pt>
                <c:pt idx="387" formatCode="0.0000">
                  <c:v>1.7311911808129177</c:v>
                </c:pt>
                <c:pt idx="388" formatCode="0.0000">
                  <c:v>1.3679195603944003</c:v>
                </c:pt>
                <c:pt idx="389" formatCode="0.0000">
                  <c:v>1.7548953927659872</c:v>
                </c:pt>
                <c:pt idx="390" formatCode="0.0000">
                  <c:v>1.5965639279982606</c:v>
                </c:pt>
                <c:pt idx="391" formatCode="0.0000">
                  <c:v>1.6777783014031995</c:v>
                </c:pt>
                <c:pt idx="392" formatCode="0.0000">
                  <c:v>1.4779699070259484</c:v>
                </c:pt>
                <c:pt idx="393" formatCode="0.0000">
                  <c:v>4.5882842453196888</c:v>
                </c:pt>
                <c:pt idx="394" formatCode="0.0000">
                  <c:v>1.6572317054735581</c:v>
                </c:pt>
                <c:pt idx="395" formatCode="0.0000">
                  <c:v>1.540153542843415</c:v>
                </c:pt>
                <c:pt idx="396" formatCode="0.0000">
                  <c:v>1.5648020525737827</c:v>
                </c:pt>
                <c:pt idx="397" formatCode="0.0000">
                  <c:v>1.4514971009384259</c:v>
                </c:pt>
                <c:pt idx="398" formatCode="0.0000">
                  <c:v>1.3408240929257431</c:v>
                </c:pt>
                <c:pt idx="399" formatCode="0.0000">
                  <c:v>1.2951007272955923</c:v>
                </c:pt>
                <c:pt idx="400" formatCode="0.0000">
                  <c:v>1.398384556356925</c:v>
                </c:pt>
                <c:pt idx="401" formatCode="0.0000">
                  <c:v>1.364469991708988</c:v>
                </c:pt>
                <c:pt idx="402" formatCode="0.0000">
                  <c:v>1.3037963206709979</c:v>
                </c:pt>
                <c:pt idx="403" formatCode="0.0000">
                  <c:v>1.2706062180090361</c:v>
                </c:pt>
                <c:pt idx="404" formatCode="0.0000">
                  <c:v>1.1624636306981952</c:v>
                </c:pt>
                <c:pt idx="405" formatCode="0.0000">
                  <c:v>1.1727115287574779</c:v>
                </c:pt>
                <c:pt idx="406" formatCode="0.0000">
                  <c:v>1.0671583277404086</c:v>
                </c:pt>
                <c:pt idx="407" formatCode="0.0000">
                  <c:v>0.96399356996253371</c:v>
                </c:pt>
                <c:pt idx="408" formatCode="0.0000">
                  <c:v>2.4594877401584454</c:v>
                </c:pt>
                <c:pt idx="409" formatCode="0.0000">
                  <c:v>1.1760431600311811</c:v>
                </c:pt>
                <c:pt idx="410" formatCode="0.0000">
                  <c:v>1.1424717912225273</c:v>
                </c:pt>
                <c:pt idx="411" formatCode="0.0000">
                  <c:v>5.2481897038060925</c:v>
                </c:pt>
                <c:pt idx="412" formatCode="0.0000">
                  <c:v>1.5122886923568097</c:v>
                </c:pt>
                <c:pt idx="413" formatCode="0.0000">
                  <c:v>1.4617632259946118</c:v>
                </c:pt>
                <c:pt idx="414" formatCode="0.0000">
                  <c:v>1.3741648474211998</c:v>
                </c:pt>
                <c:pt idx="415" formatCode="0.0000">
                  <c:v>1.2636365825343776</c:v>
                </c:pt>
                <c:pt idx="416" formatCode="0.0000">
                  <c:v>1.2142273209286203</c:v>
                </c:pt>
                <c:pt idx="417" formatCode="0.0000">
                  <c:v>4.0041926644114705</c:v>
                </c:pt>
                <c:pt idx="418" formatCode="0.0000">
                  <c:v>1.541426568056508</c:v>
                </c:pt>
                <c:pt idx="419" formatCode="0.0000">
                  <c:v>2.6157546329110741</c:v>
                </c:pt>
                <c:pt idx="420" formatCode="0.0000">
                  <c:v>1.5387420644561185</c:v>
                </c:pt>
                <c:pt idx="421" formatCode="0.0000">
                  <c:v>6.2238332160422258</c:v>
                </c:pt>
                <c:pt idx="422" formatCode="0.0000">
                  <c:v>2.7319548617276044</c:v>
                </c:pt>
                <c:pt idx="423" formatCode="0.0000">
                  <c:v>2.0127528816919891</c:v>
                </c:pt>
                <c:pt idx="424" formatCode="0.0000">
                  <c:v>8.0210722200873033</c:v>
                </c:pt>
                <c:pt idx="425" formatCode="0.0000">
                  <c:v>2.4629964778208384</c:v>
                </c:pt>
                <c:pt idx="426" formatCode="0.0000">
                  <c:v>1.9926677523432998</c:v>
                </c:pt>
                <c:pt idx="427" formatCode="0.0000">
                  <c:v>1.8734174324641581</c:v>
                </c:pt>
                <c:pt idx="428" formatCode="0.0000">
                  <c:v>1.7992639877193477</c:v>
                </c:pt>
                <c:pt idx="429" formatCode="0.0000">
                  <c:v>1.7013996780994751</c:v>
                </c:pt>
                <c:pt idx="430" formatCode="0.0000">
                  <c:v>1.593093184584141</c:v>
                </c:pt>
                <c:pt idx="431" formatCode="0.0000">
                  <c:v>1.6048168329435024</c:v>
                </c:pt>
                <c:pt idx="432" formatCode="0.0000">
                  <c:v>1.5002614277719444</c:v>
                </c:pt>
                <c:pt idx="433" formatCode="0.0000">
                  <c:v>1.4865938531803748</c:v>
                </c:pt>
                <c:pt idx="434" formatCode="0.0000">
                  <c:v>1.3861071171567092</c:v>
                </c:pt>
                <c:pt idx="435" formatCode="0.0000">
                  <c:v>1.5476666242044625</c:v>
                </c:pt>
                <c:pt idx="436" formatCode="0.0000">
                  <c:v>1.3873017090618456</c:v>
                </c:pt>
                <c:pt idx="437" formatCode="0.0000">
                  <c:v>10.925654140199494</c:v>
                </c:pt>
                <c:pt idx="438" formatCode="0.0000">
                  <c:v>2.0022449601372356</c:v>
                </c:pt>
                <c:pt idx="439" formatCode="0.0000">
                  <c:v>3.1806010583674862</c:v>
                </c:pt>
                <c:pt idx="440" formatCode="0.0000">
                  <c:v>2.1494168061299725</c:v>
                </c:pt>
                <c:pt idx="441" formatCode="0.0000">
                  <c:v>5.2653997248670183</c:v>
                </c:pt>
                <c:pt idx="442" formatCode="0.0000">
                  <c:v>2.5770297849294757</c:v>
                </c:pt>
                <c:pt idx="443" formatCode="0.0000">
                  <c:v>2.267635919622685</c:v>
                </c:pt>
                <c:pt idx="444" formatCode="0.0000">
                  <c:v>2.3313266091391887</c:v>
                </c:pt>
                <c:pt idx="445" formatCode="0.0000">
                  <c:v>4.8469553716714842</c:v>
                </c:pt>
                <c:pt idx="446" formatCode="0.0000">
                  <c:v>2.281193493044853</c:v>
                </c:pt>
                <c:pt idx="447" formatCode="0.0000">
                  <c:v>2.238211883439237</c:v>
                </c:pt>
                <c:pt idx="448" formatCode="0.0000">
                  <c:v>2.127647291447246</c:v>
                </c:pt>
                <c:pt idx="449" formatCode="0.0000">
                  <c:v>2.1378267393832271</c:v>
                </c:pt>
                <c:pt idx="450" formatCode="0.0000">
                  <c:v>2.0272510342169747</c:v>
                </c:pt>
                <c:pt idx="451" formatCode="0.0000">
                  <c:v>1.9780212311591701</c:v>
                </c:pt>
                <c:pt idx="452" formatCode="0.0000">
                  <c:v>1.9530449793283979</c:v>
                </c:pt>
                <c:pt idx="453" formatCode="0.0000">
                  <c:v>1.8486444106292974</c:v>
                </c:pt>
                <c:pt idx="454" formatCode="0.0000">
                  <c:v>1.7449023106737185</c:v>
                </c:pt>
                <c:pt idx="455" formatCode="0.0000">
                  <c:v>1.6462225974367553</c:v>
                </c:pt>
                <c:pt idx="456" formatCode="0.0000">
                  <c:v>1.5500607500484915</c:v>
                </c:pt>
                <c:pt idx="457" formatCode="0.0000">
                  <c:v>2.6317929846422192</c:v>
                </c:pt>
                <c:pt idx="458" formatCode="0.0000">
                  <c:v>1.7286288018637752</c:v>
                </c:pt>
                <c:pt idx="459" formatCode="0.0000">
                  <c:v>1.689999688601064</c:v>
                </c:pt>
                <c:pt idx="460" formatCode="0.0000">
                  <c:v>1.5925974617576997</c:v>
                </c:pt>
                <c:pt idx="461" formatCode="0.0000">
                  <c:v>1.4985392255809915</c:v>
                </c:pt>
                <c:pt idx="462" formatCode="0.0000">
                  <c:v>1.4068973514711225</c:v>
                </c:pt>
                <c:pt idx="463" formatCode="0.0000">
                  <c:v>1.3364025540821776</c:v>
                </c:pt>
                <c:pt idx="464" formatCode="0.0000">
                  <c:v>1.2521991273502813</c:v>
                </c:pt>
                <c:pt idx="465" formatCode="0.0000">
                  <c:v>1.1708420289095867</c:v>
                </c:pt>
                <c:pt idx="466" formatCode="0.0000">
                  <c:v>1.0951768625882874</c:v>
                </c:pt>
                <c:pt idx="467" formatCode="0.0000">
                  <c:v>1.0282833474303676</c:v>
                </c:pt>
                <c:pt idx="468" formatCode="0.0000">
                  <c:v>0.98200504663824417</c:v>
                </c:pt>
                <c:pt idx="469" formatCode="0.0000">
                  <c:v>0.96633111940860694</c:v>
                </c:pt>
                <c:pt idx="470" formatCode="0.0000">
                  <c:v>0.95581434302267443</c:v>
                </c:pt>
                <c:pt idx="471" formatCode="0.0000">
                  <c:v>0.9462313225876362</c:v>
                </c:pt>
                <c:pt idx="472" formatCode="0.0000">
                  <c:v>0.995370874661056</c:v>
                </c:pt>
                <c:pt idx="473" formatCode="0.0000">
                  <c:v>0.98869261348019555</c:v>
                </c:pt>
                <c:pt idx="474" formatCode="0.0000">
                  <c:v>0.92863364274424332</c:v>
                </c:pt>
                <c:pt idx="475" formatCode="0.0000">
                  <c:v>0.91113415163592837</c:v>
                </c:pt>
                <c:pt idx="476" formatCode="0.0000">
                  <c:v>0.90077105396385515</c:v>
                </c:pt>
                <c:pt idx="477" formatCode="0.0000">
                  <c:v>0.89166564144405147</c:v>
                </c:pt>
                <c:pt idx="478" formatCode="0.0000">
                  <c:v>0.88761061256007268</c:v>
                </c:pt>
                <c:pt idx="479" formatCode="0.0000">
                  <c:v>0.87833422197111577</c:v>
                </c:pt>
                <c:pt idx="480" formatCode="0.0000">
                  <c:v>0.86621894449822401</c:v>
                </c:pt>
                <c:pt idx="481" formatCode="0.0000">
                  <c:v>0.85710960364025446</c:v>
                </c:pt>
                <c:pt idx="482" formatCode="0.0000">
                  <c:v>0.85265664530141094</c:v>
                </c:pt>
                <c:pt idx="483" formatCode="0.0000">
                  <c:v>0.84087032761571956</c:v>
                </c:pt>
                <c:pt idx="484" formatCode="0.0000">
                  <c:v>0.83202335599787203</c:v>
                </c:pt>
                <c:pt idx="485" formatCode="0.0000">
                  <c:v>0.82373202924519262</c:v>
                </c:pt>
                <c:pt idx="486" formatCode="0.0000">
                  <c:v>2.1134661373369283</c:v>
                </c:pt>
                <c:pt idx="487" formatCode="0.0000">
                  <c:v>1.077982884245837</c:v>
                </c:pt>
                <c:pt idx="488" formatCode="0.0000">
                  <c:v>1.0066579527840951</c:v>
                </c:pt>
                <c:pt idx="489" formatCode="0.0000">
                  <c:v>0.93589080858924878</c:v>
                </c:pt>
                <c:pt idx="490" formatCode="0.0000">
                  <c:v>0.86915715631023138</c:v>
                </c:pt>
                <c:pt idx="491" formatCode="0.0000">
                  <c:v>0.80487330451753147</c:v>
                </c:pt>
                <c:pt idx="492" formatCode="0.0000">
                  <c:v>0.77330963907662897</c:v>
                </c:pt>
                <c:pt idx="493" formatCode="0.0000">
                  <c:v>0.76176845228406276</c:v>
                </c:pt>
                <c:pt idx="494" formatCode="0.0000">
                  <c:v>0.75361183324268477</c:v>
                </c:pt>
                <c:pt idx="495" formatCode="0.0000">
                  <c:v>0.74607833610130514</c:v>
                </c:pt>
                <c:pt idx="496" formatCode="0.0000">
                  <c:v>0.73870913070705657</c:v>
                </c:pt>
                <c:pt idx="497" formatCode="0.0000">
                  <c:v>0.73142748047370143</c:v>
                </c:pt>
                <c:pt idx="498" formatCode="0.0000">
                  <c:v>0.72422005793064848</c:v>
                </c:pt>
                <c:pt idx="499" formatCode="0.0000">
                  <c:v>0.71844661017982647</c:v>
                </c:pt>
                <c:pt idx="500" formatCode="0.0000">
                  <c:v>0.7102445457010097</c:v>
                </c:pt>
                <c:pt idx="501" formatCode="0.0000">
                  <c:v>0.70305998407150272</c:v>
                </c:pt>
                <c:pt idx="502" formatCode="0.0000">
                  <c:v>0.69610164386759243</c:v>
                </c:pt>
                <c:pt idx="503" formatCode="0.0000">
                  <c:v>0.68923765736860187</c:v>
                </c:pt>
                <c:pt idx="504" formatCode="0.0000">
                  <c:v>0.68244558311386239</c:v>
                </c:pt>
                <c:pt idx="505" formatCode="0.0000">
                  <c:v>0.6757211429505714</c:v>
                </c:pt>
                <c:pt idx="506" formatCode="0.0000">
                  <c:v>0.66906307814019683</c:v>
                </c:pt>
                <c:pt idx="507" formatCode="0.0000">
                  <c:v>0.66247063638255332</c:v>
                </c:pt>
                <c:pt idx="508" formatCode="0.0000">
                  <c:v>0.65594315476851861</c:v>
                </c:pt>
                <c:pt idx="509" formatCode="0.0000">
                  <c:v>0.64947999052397776</c:v>
                </c:pt>
                <c:pt idx="510" formatCode="0.0000">
                  <c:v>0.64308050946548834</c:v>
                </c:pt>
                <c:pt idx="511" formatCode="0.0000">
                  <c:v>0.63674408403293137</c:v>
                </c:pt>
                <c:pt idx="512" formatCode="0.0000">
                  <c:v>0.63047009291184053</c:v>
                </c:pt>
                <c:pt idx="513" formatCode="0.0000">
                  <c:v>0.62425792092002241</c:v>
                </c:pt>
                <c:pt idx="514" formatCode="0.0000">
                  <c:v>0.61810695893853129</c:v>
                </c:pt>
                <c:pt idx="515" formatCode="0.0000">
                  <c:v>0.61201660385050005</c:v>
                </c:pt>
                <c:pt idx="516" formatCode="0.0000">
                  <c:v>0.60598625848176269</c:v>
                </c:pt>
                <c:pt idx="517" formatCode="0.0000">
                  <c:v>0.60001533154226006</c:v>
                </c:pt>
                <c:pt idx="518" formatCode="0.0000">
                  <c:v>0.59410323756805639</c:v>
                </c:pt>
                <c:pt idx="519" formatCode="0.0000">
                  <c:v>0.58824939686393163</c:v>
                </c:pt>
                <c:pt idx="520" formatCode="0.0000">
                  <c:v>0.58245323544654093</c:v>
                </c:pt>
                <c:pt idx="521" formatCode="0.0000">
                  <c:v>0.57671418498813387</c:v>
                </c:pt>
                <c:pt idx="522" formatCode="0.0000">
                  <c:v>0.57103168276082883</c:v>
                </c:pt>
                <c:pt idx="523" formatCode="0.0000">
                  <c:v>1.6739364300687929</c:v>
                </c:pt>
                <c:pt idx="524" formatCode="0.0000">
                  <c:v>0.87830113658068731</c:v>
                </c:pt>
                <c:pt idx="525" formatCode="0.0000">
                  <c:v>0.81638993515393232</c:v>
                </c:pt>
                <c:pt idx="526" formatCode="0.0000">
                  <c:v>0.75953267828622983</c:v>
                </c:pt>
                <c:pt idx="527" formatCode="0.0000">
                  <c:v>0.70330483622559492</c:v>
                </c:pt>
                <c:pt idx="528" formatCode="0.0000">
                  <c:v>0.65003440266923551</c:v>
                </c:pt>
                <c:pt idx="529" formatCode="0.0000">
                  <c:v>0.5980645346594391</c:v>
                </c:pt>
                <c:pt idx="530" formatCode="0.0000">
                  <c:v>0.60791771390593041</c:v>
                </c:pt>
                <c:pt idx="531" formatCode="0.0000">
                  <c:v>0.60455282687312872</c:v>
                </c:pt>
                <c:pt idx="532" formatCode="0.0000">
                  <c:v>0.56564608147854056</c:v>
                </c:pt>
                <c:pt idx="533" formatCode="0.0000">
                  <c:v>0.52014032176490776</c:v>
                </c:pt>
                <c:pt idx="534" formatCode="0.0000">
                  <c:v>0.50838903367185417</c:v>
                </c:pt>
                <c:pt idx="535" formatCode="0.0000">
                  <c:v>0.50228022454482746</c:v>
                </c:pt>
                <c:pt idx="536" formatCode="0.0000">
                  <c:v>0.49714868573922794</c:v>
                </c:pt>
                <c:pt idx="537" formatCode="0.0000">
                  <c:v>0.49221988589216153</c:v>
                </c:pt>
                <c:pt idx="538" formatCode="0.0000">
                  <c:v>0.48736490232430157</c:v>
                </c:pt>
                <c:pt idx="539" formatCode="0.0000">
                  <c:v>0.48256194623040416</c:v>
                </c:pt>
                <c:pt idx="540" formatCode="0.0000">
                  <c:v>0.47780701010738991</c:v>
                </c:pt>
                <c:pt idx="541" formatCode="0.0000">
                  <c:v>0.47309904087814819</c:v>
                </c:pt>
                <c:pt idx="542" formatCode="0.0000">
                  <c:v>0.46843747953607906</c:v>
                </c:pt>
                <c:pt idx="543" formatCode="0.0000">
                  <c:v>0.46382185284506278</c:v>
                </c:pt>
                <c:pt idx="544" formatCode="0.0000">
                  <c:v>0.45925170555034489</c:v>
                </c:pt>
                <c:pt idx="545" formatCode="0.0000">
                  <c:v>0.45472658909292052</c:v>
                </c:pt>
                <c:pt idx="546" formatCode="0.0000">
                  <c:v>0.45024605970026482</c:v>
                </c:pt>
                <c:pt idx="547" formatCode="0.0000">
                  <c:v>0.44580967803330263</c:v>
                </c:pt>
                <c:pt idx="548" formatCode="0.0000">
                  <c:v>0.44141700909196846</c:v>
                </c:pt>
                <c:pt idx="549" formatCode="0.0000">
                  <c:v>0.43706762216403172</c:v>
                </c:pt>
                <c:pt idx="550" formatCode="0.0000">
                  <c:v>0.43276109078145036</c:v>
                </c:pt>
                <c:pt idx="551" formatCode="0.0000">
                  <c:v>0.42849699267831909</c:v>
                </c:pt>
                <c:pt idx="552" formatCode="0.0000">
                  <c:v>0.42427490974942733</c:v>
                </c:pt>
                <c:pt idx="553" formatCode="0.0000">
                  <c:v>0.42009442800925578</c:v>
                </c:pt>
                <c:pt idx="554" formatCode="0.0000">
                  <c:v>0.41595513755138347</c:v>
                </c:pt>
                <c:pt idx="555" formatCode="0.0000">
                  <c:v>0.41185663250829468</c:v>
                </c:pt>
                <c:pt idx="556" formatCode="0.0000">
                  <c:v>0.40779851101158332</c:v>
                </c:pt>
                <c:pt idx="557" formatCode="0.0000">
                  <c:v>0.40378037515254833</c:v>
                </c:pt>
                <c:pt idx="558" formatCode="0.0000">
                  <c:v>0.39980183094317767</c:v>
                </c:pt>
                <c:pt idx="559" formatCode="0.0000">
                  <c:v>0.39586248827751741</c:v>
                </c:pt>
                <c:pt idx="560" formatCode="0.0000">
                  <c:v>0.42701045991342729</c:v>
                </c:pt>
                <c:pt idx="561" formatCode="0.0000">
                  <c:v>0.39391568559637774</c:v>
                </c:pt>
                <c:pt idx="562" formatCode="0.0000">
                  <c:v>0.38524088161146786</c:v>
                </c:pt>
                <c:pt idx="563" formatCode="0.0000">
                  <c:v>0.3806496024731239</c:v>
                </c:pt>
                <c:pt idx="564" formatCode="0.0000">
                  <c:v>0.37676698403104603</c:v>
                </c:pt>
                <c:pt idx="565" formatCode="0.0000">
                  <c:v>0.37303270771954422</c:v>
                </c:pt>
                <c:pt idx="566" formatCode="0.0000">
                  <c:v>0.36935349334990153</c:v>
                </c:pt>
                <c:pt idx="567" formatCode="0.0000">
                  <c:v>0.36571356235250524</c:v>
                </c:pt>
                <c:pt idx="568" formatCode="0.0000">
                  <c:v>0.36210999944784994</c:v>
                </c:pt>
                <c:pt idx="569" formatCode="0.0000">
                  <c:v>0.3599045736133959</c:v>
                </c:pt>
                <c:pt idx="570" formatCode="0.0000">
                  <c:v>0.36743936581362519</c:v>
                </c:pt>
                <c:pt idx="571" formatCode="0.0000">
                  <c:v>0.52224620388676346</c:v>
                </c:pt>
                <c:pt idx="572" formatCode="0.0000">
                  <c:v>0.79086803781243464</c:v>
                </c:pt>
                <c:pt idx="573" formatCode="0.0000">
                  <c:v>0.60920662604117026</c:v>
                </c:pt>
                <c:pt idx="574" formatCode="0.0000">
                  <c:v>0.55276585842056369</c:v>
                </c:pt>
                <c:pt idx="575" formatCode="0.0000">
                  <c:v>0.49705941079184035</c:v>
                </c:pt>
                <c:pt idx="576" formatCode="0.0000">
                  <c:v>0.44294705858422079</c:v>
                </c:pt>
                <c:pt idx="577" formatCode="0.0000">
                  <c:v>0.39164140172488537</c:v>
                </c:pt>
                <c:pt idx="578" formatCode="0.0000">
                  <c:v>0.34188377838194467</c:v>
                </c:pt>
                <c:pt idx="579" formatCode="0.0000">
                  <c:v>0.3270485348228101</c:v>
                </c:pt>
                <c:pt idx="580" formatCode="0.0000">
                  <c:v>0.32192332531264545</c:v>
                </c:pt>
                <c:pt idx="581" formatCode="0.0000">
                  <c:v>0.31843560734221449</c:v>
                </c:pt>
                <c:pt idx="582" formatCode="0.0000">
                  <c:v>0.31524559425272275</c:v>
                </c:pt>
                <c:pt idx="583" formatCode="0.0000">
                  <c:v>0.31213071072269155</c:v>
                </c:pt>
                <c:pt idx="584" formatCode="0.0000">
                  <c:v>0.31177886358744267</c:v>
                </c:pt>
                <c:pt idx="585" formatCode="0.0000">
                  <c:v>0.30646054216073121</c:v>
                </c:pt>
                <c:pt idx="586" formatCode="0.0000">
                  <c:v>0.30306817232534994</c:v>
                </c:pt>
                <c:pt idx="587" formatCode="0.0000">
                  <c:v>0.30002011814507867</c:v>
                </c:pt>
                <c:pt idx="588" formatCode="0.0000">
                  <c:v>0.34110603549841345</c:v>
                </c:pt>
                <c:pt idx="589" formatCode="0.0000">
                  <c:v>0.30143492661447713</c:v>
                </c:pt>
                <c:pt idx="590" formatCode="0.0000">
                  <c:v>0.2965272906804986</c:v>
                </c:pt>
                <c:pt idx="591" formatCode="0.0000">
                  <c:v>0.28923666670542131</c:v>
                </c:pt>
                <c:pt idx="592" formatCode="0.0000">
                  <c:v>0.28566179469606434</c:v>
                </c:pt>
                <c:pt idx="593" formatCode="0.0000">
                  <c:v>0.28272680474811207</c:v>
                </c:pt>
                <c:pt idx="594" formatCode="0.0000">
                  <c:v>0.27992106868329331</c:v>
                </c:pt>
                <c:pt idx="595" formatCode="0.0000">
                  <c:v>0.27852217422364883</c:v>
                </c:pt>
                <c:pt idx="596" formatCode="0.0000">
                  <c:v>0.27465425394120696</c:v>
                </c:pt>
                <c:pt idx="597" formatCode="0.0000">
                  <c:v>0.2717615782552768</c:v>
                </c:pt>
                <c:pt idx="598" formatCode="0.0000">
                  <c:v>0.26905290921100528</c:v>
                </c:pt>
                <c:pt idx="599" formatCode="0.0000">
                  <c:v>0.32564432497821733</c:v>
                </c:pt>
                <c:pt idx="600" formatCode="0.0000">
                  <c:v>0.27360233872223449</c:v>
                </c:pt>
                <c:pt idx="601" formatCode="0.0000">
                  <c:v>0.26280324534627419</c:v>
                </c:pt>
                <c:pt idx="602" formatCode="0.0000">
                  <c:v>0.25886916307135055</c:v>
                </c:pt>
                <c:pt idx="603" formatCode="0.0000">
                  <c:v>0.25609534235872511</c:v>
                </c:pt>
                <c:pt idx="604" formatCode="0.0000">
                  <c:v>0.25353495004195781</c:v>
                </c:pt>
                <c:pt idx="605" formatCode="0.0000">
                  <c:v>0.25103066617994246</c:v>
                </c:pt>
                <c:pt idx="606" formatCode="0.0000">
                  <c:v>0.24855618178681482</c:v>
                </c:pt>
                <c:pt idx="607" formatCode="0.0000">
                  <c:v>0.24610692936267248</c:v>
                </c:pt>
                <c:pt idx="608" formatCode="0.0000">
                  <c:v>0.24368195109918375</c:v>
                </c:pt>
                <c:pt idx="609" formatCode="0.0000">
                  <c:v>0.24128089013658968</c:v>
                </c:pt>
                <c:pt idx="610" formatCode="0.0000">
                  <c:v>0.23890349128452917</c:v>
                </c:pt>
                <c:pt idx="611" formatCode="0.0000">
                  <c:v>0.23654951815426978</c:v>
                </c:pt>
                <c:pt idx="612" formatCode="0.0000">
                  <c:v>0.23421873938890808</c:v>
                </c:pt>
                <c:pt idx="613" formatCode="0.0000">
                  <c:v>0.23191092635962024</c:v>
                </c:pt>
                <c:pt idx="614" formatCode="0.0000">
                  <c:v>0.22962585276473377</c:v>
                </c:pt>
                <c:pt idx="615" formatCode="0.0000">
                  <c:v>0.22736329454472859</c:v>
                </c:pt>
                <c:pt idx="616" formatCode="0.0000">
                  <c:v>0.22512302984984567</c:v>
                </c:pt>
                <c:pt idx="617" formatCode="0.0000">
                  <c:v>0.22290483901660429</c:v>
                </c:pt>
                <c:pt idx="618" formatCode="0.0000">
                  <c:v>0.22070850454597693</c:v>
                </c:pt>
                <c:pt idx="619" formatCode="0.0000">
                  <c:v>0.21853381108201508</c:v>
                </c:pt>
                <c:pt idx="620" formatCode="0.0000">
                  <c:v>0.21638054539072549</c:v>
                </c:pt>
                <c:pt idx="621" formatCode="0.0000">
                  <c:v>0.21424849633916013</c:v>
                </c:pt>
                <c:pt idx="622" formatCode="0.0000">
                  <c:v>0.21213745487471422</c:v>
                </c:pt>
                <c:pt idx="623" formatCode="0.0000">
                  <c:v>0.21004721400462839</c:v>
                </c:pt>
                <c:pt idx="624" formatCode="0.0000">
                  <c:v>0.20797756877569215</c:v>
                </c:pt>
                <c:pt idx="625" formatCode="0.0000">
                  <c:v>0.20592831625414776</c:v>
                </c:pt>
                <c:pt idx="626" formatCode="0.0000">
                  <c:v>0.2038992555057921</c:v>
                </c:pt>
                <c:pt idx="627" formatCode="0.0000">
                  <c:v>0.20189018757627458</c:v>
                </c:pt>
                <c:pt idx="628" formatCode="0.0000">
                  <c:v>0.20330728257910477</c:v>
                </c:pt>
                <c:pt idx="629" formatCode="0.0000">
                  <c:v>0.19849648419155064</c:v>
                </c:pt>
                <c:pt idx="630" formatCode="0.0000">
                  <c:v>0.1960747743060321</c:v>
                </c:pt>
                <c:pt idx="631" formatCode="0.0000">
                  <c:v>0.19406549697602793</c:v>
                </c:pt>
                <c:pt idx="632" formatCode="0.0000">
                  <c:v>0.19214049555802384</c:v>
                </c:pt>
                <c:pt idx="633" formatCode="0.0000">
                  <c:v>0.19024516088407256</c:v>
                </c:pt>
                <c:pt idx="634" formatCode="0.0000">
                  <c:v>0.18837027678779714</c:v>
                </c:pt>
                <c:pt idx="635" formatCode="0.0000">
                  <c:v>0.18651416097339787</c:v>
                </c:pt>
                <c:pt idx="636" formatCode="0.0000">
                  <c:v>0.18467638279543661</c:v>
                </c:pt>
                <c:pt idx="637" formatCode="0.0000">
                  <c:v>0.19648218922548413</c:v>
                </c:pt>
                <c:pt idx="638" formatCode="0.0000">
                  <c:v>0.29120958432978905</c:v>
                </c:pt>
                <c:pt idx="639" formatCode="0.0000">
                  <c:v>0.21057696448937324</c:v>
                </c:pt>
                <c:pt idx="640" formatCode="0.0000">
                  <c:v>0.18269940661332268</c:v>
                </c:pt>
                <c:pt idx="641" formatCode="0.0000">
                  <c:v>0.17661762170990908</c:v>
                </c:pt>
                <c:pt idx="642" formatCode="0.0000">
                  <c:v>0.17416689254418222</c:v>
                </c:pt>
                <c:pt idx="643" formatCode="0.0000">
                  <c:v>0.17233289127569645</c:v>
                </c:pt>
                <c:pt idx="644" formatCode="0.0000">
                  <c:v>0.17061529145463367</c:v>
                </c:pt>
                <c:pt idx="645" formatCode="0.0000">
                  <c:v>0.16893093217184582</c:v>
                </c:pt>
                <c:pt idx="646" formatCode="0.0000">
                  <c:v>0.16726587680196861</c:v>
                </c:pt>
                <c:pt idx="647" formatCode="0.0000">
                  <c:v>0.16561767689511808</c:v>
                </c:pt>
                <c:pt idx="648" formatCode="0.0000">
                  <c:v>0.16398579164571089</c:v>
                </c:pt>
                <c:pt idx="649" formatCode="0.0000">
                  <c:v>0.16236999812110167</c:v>
                </c:pt>
                <c:pt idx="650" formatCode="0.0000">
                  <c:v>0.16077012744769953</c:v>
                </c:pt>
                <c:pt idx="651" formatCode="0.0000">
                  <c:v>0.15918602102172885</c:v>
                </c:pt>
                <c:pt idx="652" formatCode="0.0000">
                  <c:v>0.15761752323020045</c:v>
                </c:pt>
                <c:pt idx="653" formatCode="0.0000">
                  <c:v>0.18970584485188779</c:v>
                </c:pt>
                <c:pt idx="654" formatCode="0.0000">
                  <c:v>0.16215288454452015</c:v>
                </c:pt>
                <c:pt idx="655" formatCode="0.0000">
                  <c:v>0.39440063520183488</c:v>
                </c:pt>
                <c:pt idx="656" formatCode="0.0000">
                  <c:v>0.33959645058840093</c:v>
                </c:pt>
                <c:pt idx="657" formatCode="0.0000">
                  <c:v>3.8378241686790266</c:v>
                </c:pt>
                <c:pt idx="658" formatCode="0.0000">
                  <c:v>0.89155784055762777</c:v>
                </c:pt>
                <c:pt idx="659" formatCode="0.0000">
                  <c:v>2.1634670084950778</c:v>
                </c:pt>
                <c:pt idx="660" formatCode="0.0000">
                  <c:v>1.0740389729535746</c:v>
                </c:pt>
                <c:pt idx="661" formatCode="0.0000">
                  <c:v>0.96992975593689501</c:v>
                </c:pt>
                <c:pt idx="662" formatCode="0.0000">
                  <c:v>1.4361584960933977</c:v>
                </c:pt>
                <c:pt idx="663" formatCode="0.0000">
                  <c:v>1.1550990904643057</c:v>
                </c:pt>
                <c:pt idx="664" formatCode="0.0000">
                  <c:v>1.0474878135376002</c:v>
                </c:pt>
                <c:pt idx="665" formatCode="0.0000">
                  <c:v>1.0279619202055952</c:v>
                </c:pt>
                <c:pt idx="666" formatCode="0.0000">
                  <c:v>1.0319832242325429</c:v>
                </c:pt>
                <c:pt idx="667" formatCode="0.0000">
                  <c:v>0.99302156442763878</c:v>
                </c:pt>
                <c:pt idx="668" formatCode="0.0000">
                  <c:v>1.151068140752203</c:v>
                </c:pt>
                <c:pt idx="669" formatCode="0.0000">
                  <c:v>1.0422171541905403</c:v>
                </c:pt>
                <c:pt idx="670" formatCode="0.0000">
                  <c:v>0.94685098480549901</c:v>
                </c:pt>
                <c:pt idx="671" formatCode="0.0000">
                  <c:v>0.88996922321318828</c:v>
                </c:pt>
                <c:pt idx="672" formatCode="0.0000">
                  <c:v>0.7874532098653455</c:v>
                </c:pt>
                <c:pt idx="673" formatCode="0.0000">
                  <c:v>0.7756828932243458</c:v>
                </c:pt>
                <c:pt idx="674" formatCode="0.0000">
                  <c:v>0.67791539928352174</c:v>
                </c:pt>
                <c:pt idx="675" formatCode="0.0000">
                  <c:v>0.59761423929225388</c:v>
                </c:pt>
                <c:pt idx="676" formatCode="0.0000">
                  <c:v>0.58111794694456098</c:v>
                </c:pt>
                <c:pt idx="677" formatCode="0.0000">
                  <c:v>0.48954529218374043</c:v>
                </c:pt>
                <c:pt idx="678" formatCode="0.0000">
                  <c:v>0.49071320803622265</c:v>
                </c:pt>
                <c:pt idx="679" formatCode="0.0000">
                  <c:v>0.43860633932511695</c:v>
                </c:pt>
                <c:pt idx="680" formatCode="0.0000">
                  <c:v>0.35504627142905498</c:v>
                </c:pt>
                <c:pt idx="681" formatCode="0.0000">
                  <c:v>0.33935896934450827</c:v>
                </c:pt>
                <c:pt idx="682" formatCode="0.0000">
                  <c:v>0.25600614059569426</c:v>
                </c:pt>
                <c:pt idx="683" formatCode="0.0000">
                  <c:v>0.18828501477363499</c:v>
                </c:pt>
                <c:pt idx="684" formatCode="0.0000">
                  <c:v>0.12681502664662656</c:v>
                </c:pt>
                <c:pt idx="685" formatCode="0.0000">
                  <c:v>0.1156732317296036</c:v>
                </c:pt>
                <c:pt idx="686" formatCode="0.0000">
                  <c:v>0.112891991138501</c:v>
                </c:pt>
                <c:pt idx="687" formatCode="0.0000">
                  <c:v>0.12785781963405446</c:v>
                </c:pt>
                <c:pt idx="688" formatCode="0.0000">
                  <c:v>0.11716414467341768</c:v>
                </c:pt>
                <c:pt idx="689" formatCode="0.0000">
                  <c:v>1.6336322330563864</c:v>
                </c:pt>
                <c:pt idx="690" formatCode="0.0000">
                  <c:v>1.1157556015437984</c:v>
                </c:pt>
                <c:pt idx="691" formatCode="0.0000">
                  <c:v>0.60052698521563708</c:v>
                </c:pt>
                <c:pt idx="692" formatCode="0.0000">
                  <c:v>0.52576858736911936</c:v>
                </c:pt>
                <c:pt idx="693" formatCode="0.0000">
                  <c:v>0.56305727226552627</c:v>
                </c:pt>
                <c:pt idx="694" formatCode="0.0000">
                  <c:v>2.0910362646645466</c:v>
                </c:pt>
                <c:pt idx="695" formatCode="0.0000">
                  <c:v>1.1605202054908925</c:v>
                </c:pt>
                <c:pt idx="696" formatCode="0.0000">
                  <c:v>0.91283770924292862</c:v>
                </c:pt>
                <c:pt idx="697" formatCode="0.0000">
                  <c:v>0.80733663688873103</c:v>
                </c:pt>
                <c:pt idx="698" formatCode="0.0000">
                  <c:v>0.70738789547167424</c:v>
                </c:pt>
                <c:pt idx="699" formatCode="0.0000">
                  <c:v>1.0653800502440052</c:v>
                </c:pt>
                <c:pt idx="700" formatCode="0.0000">
                  <c:v>2.1805939342581175</c:v>
                </c:pt>
                <c:pt idx="701" formatCode="0.0000">
                  <c:v>1.0556983847466406</c:v>
                </c:pt>
                <c:pt idx="702" formatCode="0.0000">
                  <c:v>0.94547569138480059</c:v>
                </c:pt>
                <c:pt idx="703" formatCode="0.0000">
                  <c:v>0.84097329751864902</c:v>
                </c:pt>
                <c:pt idx="704" formatCode="0.0000">
                  <c:v>0.74168951589446031</c:v>
                </c:pt>
                <c:pt idx="705" formatCode="0.0000">
                  <c:v>0.64721784549469152</c:v>
                </c:pt>
                <c:pt idx="706" formatCode="0.0000">
                  <c:v>0.55570881493117397</c:v>
                </c:pt>
                <c:pt idx="707" formatCode="0.0000">
                  <c:v>0.4653759116365967</c:v>
                </c:pt>
                <c:pt idx="708" formatCode="0.0000">
                  <c:v>0.37817285348431384</c:v>
                </c:pt>
                <c:pt idx="709" formatCode="0.0000">
                  <c:v>0.29391706673393003</c:v>
                </c:pt>
                <c:pt idx="710" formatCode="0.0000">
                  <c:v>0.21197217024627282</c:v>
                </c:pt>
                <c:pt idx="711" formatCode="0.0000">
                  <c:v>0.13673961414171235</c:v>
                </c:pt>
                <c:pt idx="712" formatCode="0.0000">
                  <c:v>9.5119875976377069E-2</c:v>
                </c:pt>
                <c:pt idx="713" formatCode="0.0000">
                  <c:v>8.7499981280640085E-2</c:v>
                </c:pt>
                <c:pt idx="714" formatCode="0.0000">
                  <c:v>8.5528927736372204E-2</c:v>
                </c:pt>
                <c:pt idx="715" formatCode="0.0000">
                  <c:v>8.4502184810162709E-2</c:v>
                </c:pt>
                <c:pt idx="716" formatCode="0.0000">
                  <c:v>8.3639031371287517E-2</c:v>
                </c:pt>
                <c:pt idx="717" formatCode="0.0000">
                  <c:v>0.15432029041450651</c:v>
                </c:pt>
                <c:pt idx="718" formatCode="0.0000">
                  <c:v>9.611584374664639E-2</c:v>
                </c:pt>
                <c:pt idx="719" formatCode="0.0000">
                  <c:v>8.3528509192621558E-2</c:v>
                </c:pt>
                <c:pt idx="720" formatCode="0.0000">
                  <c:v>0.51698050506629278</c:v>
                </c:pt>
                <c:pt idx="721" formatCode="0.0000">
                  <c:v>0.25268308098741421</c:v>
                </c:pt>
                <c:pt idx="722" formatCode="0.0000">
                  <c:v>0.1941804076528113</c:v>
                </c:pt>
                <c:pt idx="723" formatCode="0.0000">
                  <c:v>2.7560229061895578</c:v>
                </c:pt>
                <c:pt idx="724" formatCode="0.0000">
                  <c:v>0.53747799093091819</c:v>
                </c:pt>
                <c:pt idx="725" formatCode="0.0000">
                  <c:v>0.44740046031563152</c:v>
                </c:pt>
                <c:pt idx="726" formatCode="0.0000">
                  <c:v>2.1862324162755917</c:v>
                </c:pt>
                <c:pt idx="727" formatCode="0.0000">
                  <c:v>0.77663890114260425</c:v>
                </c:pt>
                <c:pt idx="728" formatCode="0.0000">
                  <c:v>0.67828302930646545</c:v>
                </c:pt>
                <c:pt idx="729" formatCode="0.0000">
                  <c:v>5.2890859139355229</c:v>
                </c:pt>
                <c:pt idx="730" formatCode="0.0000">
                  <c:v>1.2401367590200183</c:v>
                </c:pt>
                <c:pt idx="731" formatCode="0.0000">
                  <c:v>1.2192828041864159</c:v>
                </c:pt>
                <c:pt idx="732" formatCode="0.0000">
                  <c:v>1.3516793309094797</c:v>
                </c:pt>
                <c:pt idx="733" formatCode="0.0000">
                  <c:v>1.2659630002399667</c:v>
                </c:pt>
                <c:pt idx="734" formatCode="0.0000">
                  <c:v>1.2745164648613936</c:v>
                </c:pt>
                <c:pt idx="735" formatCode="0.0000">
                  <c:v>1.2459357641212574</c:v>
                </c:pt>
              </c:numCache>
            </c:numRef>
          </c:yVal>
          <c:smooth val="0"/>
          <c:extLst>
            <c:ext xmlns:c16="http://schemas.microsoft.com/office/drawing/2014/chart" uri="{C3380CC4-5D6E-409C-BE32-E72D297353CC}">
              <c16:uniqueId val="{00000001-B4F3-BF42-A654-55915CD5B9C5}"/>
            </c:ext>
          </c:extLst>
        </c:ser>
        <c:ser>
          <c:idx val="1"/>
          <c:order val="1"/>
          <c:tx>
            <c:strRef>
              <c:f>Escenarios!$E$28</c:f>
              <c:strCache>
                <c:ptCount val="1"/>
                <c:pt idx="0">
                  <c:v>Escenario 1</c:v>
                </c:pt>
              </c:strCache>
            </c:strRef>
          </c:tx>
          <c:spPr>
            <a:ln w="12700" cap="rnd">
              <a:solidFill>
                <a:schemeClr val="accent2"/>
              </a:solidFill>
              <a:round/>
            </a:ln>
            <a:effectLst/>
          </c:spPr>
          <c:marker>
            <c:symbol val="none"/>
          </c:marker>
          <c:xVal>
            <c:strRef>
              <c:f>Escenario1!$C:$C</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Escenario1!$BN:$BN</c:f>
              <c:numCache>
                <c:formatCode>General</c:formatCode>
                <c:ptCount val="1048576"/>
                <c:pt idx="4">
                  <c:v>0</c:v>
                </c:pt>
                <c:pt idx="6" formatCode="0.0000">
                  <c:v>1.188014580406195</c:v>
                </c:pt>
                <c:pt idx="7" formatCode="0.0000">
                  <c:v>1.1126667170467981</c:v>
                </c:pt>
                <c:pt idx="8" formatCode="0.0000">
                  <c:v>1.2745523945215478</c:v>
                </c:pt>
                <c:pt idx="9" formatCode="0.0000">
                  <c:v>1.2429257022053259</c:v>
                </c:pt>
                <c:pt idx="10" formatCode="0.0000">
                  <c:v>1.3192446349670273</c:v>
                </c:pt>
                <c:pt idx="11" formatCode="0.0000">
                  <c:v>1.4338005299955028</c:v>
                </c:pt>
                <c:pt idx="12" formatCode="0.0000">
                  <c:v>1.3536057718643828</c:v>
                </c:pt>
                <c:pt idx="13" formatCode="0.0000">
                  <c:v>1.2544383719409578</c:v>
                </c:pt>
                <c:pt idx="14" formatCode="0.0000">
                  <c:v>1.1585695041788577</c:v>
                </c:pt>
                <c:pt idx="15" formatCode="0.0000">
                  <c:v>1.0686503927407915</c:v>
                </c:pt>
                <c:pt idx="16" formatCode="0.0000">
                  <c:v>1.0667748871341871</c:v>
                </c:pt>
                <c:pt idx="17" formatCode="0.0000">
                  <c:v>1.4529694577386545</c:v>
                </c:pt>
                <c:pt idx="18" formatCode="0.0000">
                  <c:v>1.3630076577950656</c:v>
                </c:pt>
                <c:pt idx="19" formatCode="0.0000">
                  <c:v>1.2760280186441468</c:v>
                </c:pt>
                <c:pt idx="20" formatCode="0.0000">
                  <c:v>1.1948316534244849</c:v>
                </c:pt>
                <c:pt idx="21" formatCode="0.0000">
                  <c:v>1.1007071547473577</c:v>
                </c:pt>
                <c:pt idx="22" formatCode="0.0000">
                  <c:v>1.2742334382568163</c:v>
                </c:pt>
                <c:pt idx="23" formatCode="0.0000">
                  <c:v>1.2551698345910227</c:v>
                </c:pt>
                <c:pt idx="24" formatCode="0.0000">
                  <c:v>1.3973680126865413</c:v>
                </c:pt>
                <c:pt idx="25" formatCode="0.0000">
                  <c:v>1.4317970981096502</c:v>
                </c:pt>
                <c:pt idx="26" formatCode="0.0000">
                  <c:v>1.4514796763311699</c:v>
                </c:pt>
                <c:pt idx="27" formatCode="0.0000">
                  <c:v>1.3529574984390769</c:v>
                </c:pt>
                <c:pt idx="28" formatCode="0.0000">
                  <c:v>1.5585738511906797</c:v>
                </c:pt>
                <c:pt idx="29" formatCode="0.0000">
                  <c:v>1.5309849023387958</c:v>
                </c:pt>
                <c:pt idx="30" formatCode="0.0000">
                  <c:v>1.4294766267691843</c:v>
                </c:pt>
                <c:pt idx="31" formatCode="0.0000">
                  <c:v>1.451145578959371</c:v>
                </c:pt>
                <c:pt idx="32" formatCode="0.0000">
                  <c:v>1.3541550943482246</c:v>
                </c:pt>
                <c:pt idx="33" formatCode="0.0000">
                  <c:v>1.2576735552993668</c:v>
                </c:pt>
                <c:pt idx="34" formatCode="0.0000">
                  <c:v>1.2181126166498535</c:v>
                </c:pt>
                <c:pt idx="35" formatCode="0.0000">
                  <c:v>1.2820934111082942</c:v>
                </c:pt>
                <c:pt idx="36" formatCode="0.0000">
                  <c:v>1.2813623137105223</c:v>
                </c:pt>
                <c:pt idx="37" formatCode="0.0000">
                  <c:v>1.2282437713550773</c:v>
                </c:pt>
                <c:pt idx="38" formatCode="0.0000">
                  <c:v>1.1991157908554828</c:v>
                </c:pt>
                <c:pt idx="39" formatCode="0.0000">
                  <c:v>1.103569800009798</c:v>
                </c:pt>
                <c:pt idx="40" formatCode="0.0000">
                  <c:v>1.1120780296593968</c:v>
                </c:pt>
                <c:pt idx="41" formatCode="0.0000">
                  <c:v>1.0186186231291026</c:v>
                </c:pt>
                <c:pt idx="42" formatCode="0.0000">
                  <c:v>0.92726993095489285</c:v>
                </c:pt>
                <c:pt idx="43" formatCode="0.0000">
                  <c:v>1.2453068819576705</c:v>
                </c:pt>
                <c:pt idx="44" formatCode="0.0000">
                  <c:v>1.1469225608206703</c:v>
                </c:pt>
                <c:pt idx="45" formatCode="0.0000">
                  <c:v>1.1156422550959293</c:v>
                </c:pt>
                <c:pt idx="46" formatCode="0.0000">
                  <c:v>1.5377667830731405</c:v>
                </c:pt>
                <c:pt idx="47" formatCode="0.0000">
                  <c:v>1.4364290169551752</c:v>
                </c:pt>
                <c:pt idx="48" formatCode="0.0000">
                  <c:v>1.3924975812282754</c:v>
                </c:pt>
                <c:pt idx="49" formatCode="0.0000">
                  <c:v>1.3156456479236587</c:v>
                </c:pt>
                <c:pt idx="50" formatCode="0.0000">
                  <c:v>1.2181884334693334</c:v>
                </c:pt>
                <c:pt idx="51" formatCode="0.0000">
                  <c:v>1.1742353144947584</c:v>
                </c:pt>
                <c:pt idx="52" formatCode="0.0000">
                  <c:v>1.5407229923009138</c:v>
                </c:pt>
                <c:pt idx="53" formatCode="0.0000">
                  <c:v>1.478946407637026</c:v>
                </c:pt>
                <c:pt idx="54" formatCode="0.0000">
                  <c:v>1.5893772597089169</c:v>
                </c:pt>
                <c:pt idx="55" formatCode="0.0000">
                  <c:v>1.4861365442959045</c:v>
                </c:pt>
                <c:pt idx="56" formatCode="0.0000">
                  <c:v>1.7222282332156915</c:v>
                </c:pt>
                <c:pt idx="57" formatCode="0.0000">
                  <c:v>1.7949352324596832</c:v>
                </c:pt>
                <c:pt idx="58" formatCode="0.0000">
                  <c:v>1.822561995763375</c:v>
                </c:pt>
                <c:pt idx="59" formatCode="0.0000">
                  <c:v>2.0009057277548794</c:v>
                </c:pt>
                <c:pt idx="60" formatCode="0.0000">
                  <c:v>2.0440374506019983</c:v>
                </c:pt>
                <c:pt idx="61" formatCode="0.0000">
                  <c:v>1.9540337568010053</c:v>
                </c:pt>
                <c:pt idx="62" formatCode="0.0000">
                  <c:v>1.8504388519941628</c:v>
                </c:pt>
                <c:pt idx="63" formatCode="0.0000">
                  <c:v>1.786451455010222</c:v>
                </c:pt>
                <c:pt idx="64" formatCode="0.0000">
                  <c:v>1.7015414527067829</c:v>
                </c:pt>
                <c:pt idx="65" formatCode="0.0000">
                  <c:v>1.6073635346733324</c:v>
                </c:pt>
                <c:pt idx="66" formatCode="0.0000">
                  <c:v>1.6187608944412235</c:v>
                </c:pt>
                <c:pt idx="67" formatCode="0.0000">
                  <c:v>1.5277440850531312</c:v>
                </c:pt>
                <c:pt idx="68" formatCode="0.0000">
                  <c:v>1.516650786238172</c:v>
                </c:pt>
                <c:pt idx="69" formatCode="0.0000">
                  <c:v>1.4290528625574308</c:v>
                </c:pt>
                <c:pt idx="70" formatCode="0.0000">
                  <c:v>1.5194316568953392</c:v>
                </c:pt>
                <c:pt idx="71" formatCode="0.0000">
                  <c:v>1.4333904418394721</c:v>
                </c:pt>
                <c:pt idx="72" formatCode="0.0000">
                  <c:v>2.0520768116272512</c:v>
                </c:pt>
                <c:pt idx="73" formatCode="0.0000">
                  <c:v>2.009454667137911</c:v>
                </c:pt>
                <c:pt idx="74" formatCode="0.0000">
                  <c:v>2.1015433760765703</c:v>
                </c:pt>
                <c:pt idx="75" formatCode="0.0000">
                  <c:v>2.1142912183471343</c:v>
                </c:pt>
                <c:pt idx="76" formatCode="0.0000">
                  <c:v>2.2440734423536806</c:v>
                </c:pt>
                <c:pt idx="77" formatCode="0.0000">
                  <c:v>2.2816246260823529</c:v>
                </c:pt>
                <c:pt idx="78" formatCode="0.0000">
                  <c:v>2.2768726060687237</c:v>
                </c:pt>
                <c:pt idx="79" formatCode="0.0000">
                  <c:v>2.2891565788256911</c:v>
                </c:pt>
                <c:pt idx="80" formatCode="0.0000">
                  <c:v>2.4051140705546086</c:v>
                </c:pt>
                <c:pt idx="81" formatCode="0.0000">
                  <c:v>2.306529533804099</c:v>
                </c:pt>
                <c:pt idx="82" formatCode="0.0000">
                  <c:v>2.2693072411346455</c:v>
                </c:pt>
                <c:pt idx="83" formatCode="0.0000">
                  <c:v>2.1725856784229247</c:v>
                </c:pt>
                <c:pt idx="84" formatCode="0.0000">
                  <c:v>2.1821034379392406</c:v>
                </c:pt>
                <c:pt idx="85" formatCode="0.0000">
                  <c:v>2.0853242813596422</c:v>
                </c:pt>
                <c:pt idx="86" formatCode="0.0000">
                  <c:v>2.0425006878062573</c:v>
                </c:pt>
                <c:pt idx="87" formatCode="0.0000">
                  <c:v>2.0209856614545623</c:v>
                </c:pt>
                <c:pt idx="88" formatCode="0.0000">
                  <c:v>1.9295455220082485</c:v>
                </c:pt>
                <c:pt idx="89" formatCode="0.0000">
                  <c:v>1.8386545465966564</c:v>
                </c:pt>
                <c:pt idx="90" formatCode="0.0000">
                  <c:v>1.7521629223008577</c:v>
                </c:pt>
                <c:pt idx="91" formatCode="0.0000">
                  <c:v>1.6678397320730884</c:v>
                </c:pt>
                <c:pt idx="92" formatCode="0.0000">
                  <c:v>1.9387873316292428</c:v>
                </c:pt>
                <c:pt idx="93" formatCode="0.0000">
                  <c:v>1.8487882766655632</c:v>
                </c:pt>
                <c:pt idx="94" formatCode="0.0000">
                  <c:v>1.8142369968270933</c:v>
                </c:pt>
                <c:pt idx="95" formatCode="0.0000">
                  <c:v>1.7279440219925823</c:v>
                </c:pt>
                <c:pt idx="96" formatCode="0.0000">
                  <c:v>1.6445539542677303</c:v>
                </c:pt>
                <c:pt idx="97" formatCode="0.0000">
                  <c:v>1.5632466189483762</c:v>
                </c:pt>
                <c:pt idx="98" formatCode="0.0000">
                  <c:v>1.5004932890654186</c:v>
                </c:pt>
                <c:pt idx="99" formatCode="0.0000">
                  <c:v>1.425606635161734</c:v>
                </c:pt>
                <c:pt idx="100" formatCode="0.0000">
                  <c:v>1.3531478022901873</c:v>
                </c:pt>
                <c:pt idx="101" formatCode="0.0000">
                  <c:v>1.2855975603990222</c:v>
                </c:pt>
                <c:pt idx="102" formatCode="0.0000">
                  <c:v>1.225670487147914</c:v>
                </c:pt>
                <c:pt idx="103" formatCode="0.0000">
                  <c:v>1.1698250751568473</c:v>
                </c:pt>
                <c:pt idx="104" formatCode="0.0000">
                  <c:v>1.152899687228671</c:v>
                </c:pt>
                <c:pt idx="105" formatCode="0.0000">
                  <c:v>1.1425890078169509</c:v>
                </c:pt>
                <c:pt idx="106" formatCode="0.0000">
                  <c:v>1.1331862161732069</c:v>
                </c:pt>
                <c:pt idx="107" formatCode="0.0000">
                  <c:v>1.1747323618633234</c:v>
                </c:pt>
                <c:pt idx="108" formatCode="0.0000">
                  <c:v>1.1675138430242897</c:v>
                </c:pt>
                <c:pt idx="109" formatCode="0.0000">
                  <c:v>1.1131650025026305</c:v>
                </c:pt>
                <c:pt idx="110" formatCode="0.0000">
                  <c:v>1.0959357050083673</c:v>
                </c:pt>
                <c:pt idx="111" formatCode="0.0000">
                  <c:v>1.0848831210522121</c:v>
                </c:pt>
                <c:pt idx="112" formatCode="0.0000">
                  <c:v>1.0745338072798845</c:v>
                </c:pt>
                <c:pt idx="113" formatCode="0.0000">
                  <c:v>1.0678501101041011</c:v>
                </c:pt>
                <c:pt idx="114" formatCode="0.0000">
                  <c:v>1.0570798241997197</c:v>
                </c:pt>
                <c:pt idx="115" formatCode="0.0000">
                  <c:v>1.0438200026843683</c:v>
                </c:pt>
                <c:pt idx="116" formatCode="0.0000">
                  <c:v>1.0336395794240243</c:v>
                </c:pt>
                <c:pt idx="117" formatCode="0.0000">
                  <c:v>1.0267817262623846</c:v>
                </c:pt>
                <c:pt idx="118" formatCode="0.0000">
                  <c:v>1.0139061485236691</c:v>
                </c:pt>
                <c:pt idx="119" formatCode="0.0000">
                  <c:v>1.0039843274925353</c:v>
                </c:pt>
                <c:pt idx="120" formatCode="0.0000">
                  <c:v>0.99428915973093313</c:v>
                </c:pt>
                <c:pt idx="121" formatCode="0.0000">
                  <c:v>1.3109620821982273</c:v>
                </c:pt>
                <c:pt idx="122" formatCode="0.0000">
                  <c:v>1.2403080039627916</c:v>
                </c:pt>
                <c:pt idx="123" formatCode="0.0000">
                  <c:v>1.1741215241497776</c:v>
                </c:pt>
                <c:pt idx="124" formatCode="0.0000">
                  <c:v>1.1084846951918099</c:v>
                </c:pt>
                <c:pt idx="125" formatCode="0.0000">
                  <c:v>1.0464438155967799</c:v>
                </c:pt>
                <c:pt idx="126" formatCode="0.0000">
                  <c:v>0.98660872880871753</c:v>
                </c:pt>
                <c:pt idx="127" formatCode="0.0000">
                  <c:v>0.93668932062912635</c:v>
                </c:pt>
                <c:pt idx="128" formatCode="0.0000">
                  <c:v>0.92094004825952025</c:v>
                </c:pt>
                <c:pt idx="129" formatCode="0.0000">
                  <c:v>0.91116913401404431</c:v>
                </c:pt>
                <c:pt idx="130" formatCode="0.0000">
                  <c:v>0.90236948067771661</c:v>
                </c:pt>
                <c:pt idx="131" formatCode="0.0000">
                  <c:v>0.89365374304716627</c:v>
                </c:pt>
                <c:pt idx="132" formatCode="0.0000">
                  <c:v>0.88502114378368124</c:v>
                </c:pt>
                <c:pt idx="133" formatCode="0.0000">
                  <c:v>0.87647086614974401</c:v>
                </c:pt>
                <c:pt idx="134" formatCode="0.0000">
                  <c:v>0.86875059472844496</c:v>
                </c:pt>
                <c:pt idx="135" formatCode="0.0000">
                  <c:v>0.85961436846831851</c:v>
                </c:pt>
                <c:pt idx="136" formatCode="0.0000">
                  <c:v>0.85130657627243855</c:v>
                </c:pt>
                <c:pt idx="137" formatCode="0.0000">
                  <c:v>0.84307800861082682</c:v>
                </c:pt>
                <c:pt idx="138" formatCode="0.0000">
                  <c:v>0.83492792653964987</c:v>
                </c:pt>
                <c:pt idx="139" formatCode="0.0000">
                  <c:v>0.82685559178701029</c:v>
                </c:pt>
                <c:pt idx="140" formatCode="0.0000">
                  <c:v>0.81886026211459595</c:v>
                </c:pt>
                <c:pt idx="141" formatCode="0.0000">
                  <c:v>0.81094119022710509</c:v>
                </c:pt>
                <c:pt idx="142" formatCode="0.0000">
                  <c:v>0.80309766460982202</c:v>
                </c:pt>
                <c:pt idx="143" formatCode="0.0000">
                  <c:v>0.795328953873362</c:v>
                </c:pt>
                <c:pt idx="144" formatCode="0.0000">
                  <c:v>0.78763433872760225</c:v>
                </c:pt>
                <c:pt idx="145" formatCode="0.0000">
                  <c:v>0.78001312790418231</c:v>
                </c:pt>
                <c:pt idx="146" formatCode="0.0000">
                  <c:v>0.7724645995906303</c:v>
                </c:pt>
                <c:pt idx="147" formatCode="0.0000">
                  <c:v>0.76498805549464988</c:v>
                </c:pt>
                <c:pt idx="148" formatCode="0.0000">
                  <c:v>0.75758282290960388</c:v>
                </c:pt>
                <c:pt idx="149" formatCode="0.0000">
                  <c:v>0.75024823436829013</c:v>
                </c:pt>
                <c:pt idx="150" formatCode="0.0000">
                  <c:v>0.74298361969675619</c:v>
                </c:pt>
                <c:pt idx="151" formatCode="0.0000">
                  <c:v>0.7357883186205717</c:v>
                </c:pt>
                <c:pt idx="152" formatCode="0.0000">
                  <c:v>0.72866165583468612</c:v>
                </c:pt>
                <c:pt idx="153" formatCode="0.0000">
                  <c:v>0.72160297206590507</c:v>
                </c:pt>
                <c:pt idx="154" formatCode="0.0000">
                  <c:v>0.71461162971679704</c:v>
                </c:pt>
                <c:pt idx="155" formatCode="0.0000">
                  <c:v>0.70768698745624359</c:v>
                </c:pt>
                <c:pt idx="156" formatCode="0.0000">
                  <c:v>0.70082841881058056</c:v>
                </c:pt>
                <c:pt idx="157" formatCode="0.0000">
                  <c:v>0.6940352884851545</c:v>
                </c:pt>
                <c:pt idx="158" formatCode="0.0000">
                  <c:v>0.99695847303924168</c:v>
                </c:pt>
                <c:pt idx="159" formatCode="0.0000">
                  <c:v>0.98288073432750589</c:v>
                </c:pt>
                <c:pt idx="160" formatCode="0.0000">
                  <c:v>0.92576405177375154</c:v>
                </c:pt>
                <c:pt idx="161" formatCode="0.0000">
                  <c:v>0.87313898817492586</c:v>
                </c:pt>
                <c:pt idx="162" formatCode="0.0000">
                  <c:v>0.82111046776193497</c:v>
                </c:pt>
                <c:pt idx="163" formatCode="0.0000">
                  <c:v>0.77172762074206591</c:v>
                </c:pt>
                <c:pt idx="164" formatCode="0.0000">
                  <c:v>0.72353033360153496</c:v>
                </c:pt>
                <c:pt idx="165" formatCode="0.0000">
                  <c:v>0.7297816704361082</c:v>
                </c:pt>
                <c:pt idx="166" formatCode="0.0000">
                  <c:v>0.72444485375861489</c:v>
                </c:pt>
                <c:pt idx="167" formatCode="0.0000">
                  <c:v>0.68786657928691441</c:v>
                </c:pt>
                <c:pt idx="168" formatCode="0.0000">
                  <c:v>0.64194439496052325</c:v>
                </c:pt>
                <c:pt idx="169" formatCode="0.0000">
                  <c:v>0.620383281642086</c:v>
                </c:pt>
                <c:pt idx="170" formatCode="0.0000">
                  <c:v>0.61182413446205974</c:v>
                </c:pt>
                <c:pt idx="171" formatCode="0.0000">
                  <c:v>0.60575007532613878</c:v>
                </c:pt>
                <c:pt idx="172" formatCode="0.0000">
                  <c:v>0.5998887388687224</c:v>
                </c:pt>
                <c:pt idx="173" formatCode="0.0000">
                  <c:v>0.59408309876923338</c:v>
                </c:pt>
                <c:pt idx="174" formatCode="0.0000">
                  <c:v>0.5883326382557319</c:v>
                </c:pt>
                <c:pt idx="175" formatCode="0.0000">
                  <c:v>0.58263683549189305</c:v>
                </c:pt>
                <c:pt idx="176" formatCode="0.0000">
                  <c:v>0.57699516942417028</c:v>
                </c:pt>
                <c:pt idx="177" formatCode="0.0000">
                  <c:v>0.5714071193491701</c:v>
                </c:pt>
                <c:pt idx="178" formatCode="0.0000">
                  <c:v>0.56587217912409427</c:v>
                </c:pt>
                <c:pt idx="179" formatCode="0.0000">
                  <c:v>0.56038984334869157</c:v>
                </c:pt>
                <c:pt idx="180" formatCode="0.0000">
                  <c:v>0.55495959947802942</c:v>
                </c:pt>
                <c:pt idx="181" formatCode="0.0000">
                  <c:v>0.54958096417575453</c:v>
                </c:pt>
                <c:pt idx="182" formatCode="0.0000">
                  <c:v>0.54425344719462898</c:v>
                </c:pt>
                <c:pt idx="183" formatCode="0.0000">
                  <c:v>0.5389765440653087</c:v>
                </c:pt>
                <c:pt idx="184" formatCode="0.0000">
                  <c:v>0.533749792806404</c:v>
                </c:pt>
                <c:pt idx="185" formatCode="0.0000">
                  <c:v>0.52857269650796057</c:v>
                </c:pt>
                <c:pt idx="186" formatCode="0.0000">
                  <c:v>0.52344477995144945</c:v>
                </c:pt>
                <c:pt idx="187" formatCode="0.0000">
                  <c:v>0.51836559421605921</c:v>
                </c:pt>
                <c:pt idx="188" formatCode="0.0000">
                  <c:v>0.51333466652333115</c:v>
                </c:pt>
                <c:pt idx="189" formatCode="0.0000">
                  <c:v>0.50835153797299615</c:v>
                </c:pt>
                <c:pt idx="190" formatCode="0.0000">
                  <c:v>0.50341576515366093</c:v>
                </c:pt>
                <c:pt idx="191" formatCode="0.0000">
                  <c:v>0.49852688227805697</c:v>
                </c:pt>
                <c:pt idx="192" formatCode="0.0000">
                  <c:v>0.49368444762506208</c:v>
                </c:pt>
                <c:pt idx="193" formatCode="0.0000">
                  <c:v>0.48888801913094754</c:v>
                </c:pt>
                <c:pt idx="194" formatCode="0.0000">
                  <c:v>0.48413718126062144</c:v>
                </c:pt>
                <c:pt idx="195" formatCode="0.0000">
                  <c:v>0.50974539878723046</c:v>
                </c:pt>
                <c:pt idx="196" formatCode="0.0000">
                  <c:v>0.47950015654048284</c:v>
                </c:pt>
                <c:pt idx="197" formatCode="0.0000">
                  <c:v>0.47062960817842842</c:v>
                </c:pt>
                <c:pt idx="198" formatCode="0.0000">
                  <c:v>0.46559018520670142</c:v>
                </c:pt>
                <c:pt idx="199" formatCode="0.0000">
                  <c:v>0.46106376578832875</c:v>
                </c:pt>
                <c:pt idx="200" formatCode="0.0000">
                  <c:v>0.45658035462054664</c:v>
                </c:pt>
                <c:pt idx="201" formatCode="0.0000">
                  <c:v>0.45213955345509732</c:v>
                </c:pt>
                <c:pt idx="202" formatCode="0.0000">
                  <c:v>0.4477409450673655</c:v>
                </c:pt>
                <c:pt idx="203" formatCode="0.0000">
                  <c:v>0.4433841378472399</c:v>
                </c:pt>
                <c:pt idx="204" formatCode="0.0000">
                  <c:v>0.43988115587128029</c:v>
                </c:pt>
                <c:pt idx="205" formatCode="0.0000">
                  <c:v>0.44520821385889353</c:v>
                </c:pt>
                <c:pt idx="206" formatCode="0.0000">
                  <c:v>0.55595068502979306</c:v>
                </c:pt>
                <c:pt idx="207" formatCode="0.0000">
                  <c:v>0.71165667120463727</c:v>
                </c:pt>
                <c:pt idx="208" formatCode="0.0000">
                  <c:v>0.65854609575734857</c:v>
                </c:pt>
                <c:pt idx="209" formatCode="0.0000">
                  <c:v>0.60751203875420967</c:v>
                </c:pt>
                <c:pt idx="210" formatCode="0.0000">
                  <c:v>0.55714312341438188</c:v>
                </c:pt>
                <c:pt idx="211" formatCode="0.0000">
                  <c:v>0.50819659955924579</c:v>
                </c:pt>
                <c:pt idx="212" formatCode="0.0000">
                  <c:v>0.46174065084197863</c:v>
                </c:pt>
                <c:pt idx="213" formatCode="0.0000">
                  <c:v>0.41666588345626332</c:v>
                </c:pt>
                <c:pt idx="214" formatCode="0.0000">
                  <c:v>0.40035057358895443</c:v>
                </c:pt>
                <c:pt idx="215" formatCode="0.0000">
                  <c:v>0.39442159882853672</c:v>
                </c:pt>
                <c:pt idx="216" formatCode="0.0000">
                  <c:v>0.39057503658383258</c:v>
                </c:pt>
                <c:pt idx="217" formatCode="0.0000">
                  <c:v>0.38678202376542187</c:v>
                </c:pt>
                <c:pt idx="218" formatCode="0.0000">
                  <c:v>0.38302482108929187</c:v>
                </c:pt>
                <c:pt idx="219" formatCode="0.0000">
                  <c:v>0.38126320186982393</c:v>
                </c:pt>
                <c:pt idx="220" formatCode="0.0000">
                  <c:v>0.3756170739596208</c:v>
                </c:pt>
                <c:pt idx="221" formatCode="0.0000">
                  <c:v>0.37196586146164123</c:v>
                </c:pt>
                <c:pt idx="222" formatCode="0.0000">
                  <c:v>0.36834911123747421</c:v>
                </c:pt>
                <c:pt idx="223" formatCode="0.0000">
                  <c:v>0.40297305391294264</c:v>
                </c:pt>
                <c:pt idx="224" formatCode="0.0000">
                  <c:v>0.3672013486287542</c:v>
                </c:pt>
                <c:pt idx="225" formatCode="0.0000">
                  <c:v>0.3619474138866986</c:v>
                </c:pt>
                <c:pt idx="226" formatCode="0.0000">
                  <c:v>0.35456520012655723</c:v>
                </c:pt>
                <c:pt idx="227" formatCode="0.0000">
                  <c:v>0.35078932372741417</c:v>
                </c:pt>
                <c:pt idx="228" formatCode="0.0000">
                  <c:v>0.34737744499319323</c:v>
                </c:pt>
                <c:pt idx="229" formatCode="0.0000">
                  <c:v>0.34399773312730014</c:v>
                </c:pt>
                <c:pt idx="230" formatCode="0.0000">
                  <c:v>0.34139641414130295</c:v>
                </c:pt>
                <c:pt idx="231" formatCode="0.0000">
                  <c:v>0.33733398155429772</c:v>
                </c:pt>
                <c:pt idx="232" formatCode="0.0000">
                  <c:v>0.33404934939146197</c:v>
                </c:pt>
                <c:pt idx="233" formatCode="0.0000">
                  <c:v>0.33079570388769358</c:v>
                </c:pt>
                <c:pt idx="234" formatCode="0.0000">
                  <c:v>0.37916356394246142</c:v>
                </c:pt>
                <c:pt idx="235" formatCode="0.0000">
                  <c:v>0.33256482624750949</c:v>
                </c:pt>
                <c:pt idx="236" formatCode="0.0000">
                  <c:v>0.32220153793227474</c:v>
                </c:pt>
                <c:pt idx="237" formatCode="0.0000">
                  <c:v>0.31810256739171211</c:v>
                </c:pt>
                <c:pt idx="238" formatCode="0.0000">
                  <c:v>0.31500504672867913</c:v>
                </c:pt>
                <c:pt idx="239" formatCode="0.0000">
                  <c:v>0.31193668117676537</c:v>
                </c:pt>
                <c:pt idx="240" formatCode="0.0000">
                  <c:v>0.30889718131753335</c:v>
                </c:pt>
                <c:pt idx="241" formatCode="0.0000">
                  <c:v>0.30588630117133703</c:v>
                </c:pt>
                <c:pt idx="242" formatCode="0.0000">
                  <c:v>0.30290377614395203</c:v>
                </c:pt>
                <c:pt idx="243" formatCode="0.0000">
                  <c:v>0.29994937169889324</c:v>
                </c:pt>
                <c:pt idx="244" formatCode="0.0000">
                  <c:v>0.29702281349944143</c:v>
                </c:pt>
                <c:pt idx="245" formatCode="0.0000">
                  <c:v>0.29412384114188889</c:v>
                </c:pt>
                <c:pt idx="246" formatCode="0.0000">
                  <c:v>0.29125222152688846</c:v>
                </c:pt>
                <c:pt idx="247" formatCode="0.0000">
                  <c:v>0.28840770906485969</c:v>
                </c:pt>
                <c:pt idx="248" formatCode="0.0000">
                  <c:v>0.28559004089321904</c:v>
                </c:pt>
                <c:pt idx="249" formatCode="0.0000">
                  <c:v>0.28279897691771633</c:v>
                </c:pt>
                <c:pt idx="250" formatCode="0.0000">
                  <c:v>0.28003426873726373</c:v>
                </c:pt>
                <c:pt idx="251" formatCode="0.0000">
                  <c:v>0.27729567975480229</c:v>
                </c:pt>
                <c:pt idx="252" formatCode="0.0000">
                  <c:v>0.27458297204266019</c:v>
                </c:pt>
                <c:pt idx="253" formatCode="0.0000">
                  <c:v>0.27189592150743186</c:v>
                </c:pt>
                <c:pt idx="254" formatCode="0.0000">
                  <c:v>0.26923429012702049</c:v>
                </c:pt>
                <c:pt idx="255" formatCode="0.0000">
                  <c:v>0.26659785889665683</c:v>
                </c:pt>
                <c:pt idx="256" formatCode="0.0000">
                  <c:v>0.26398638031401023</c:v>
                </c:pt>
                <c:pt idx="257" formatCode="0.0000">
                  <c:v>0.26139962909228293</c:v>
                </c:pt>
                <c:pt idx="258" formatCode="0.0000">
                  <c:v>0.2588373813270991</c:v>
                </c:pt>
                <c:pt idx="259" formatCode="0.0000">
                  <c:v>0.25629941879132417</c:v>
                </c:pt>
                <c:pt idx="260" formatCode="0.0000">
                  <c:v>0.25378552699997275</c:v>
                </c:pt>
                <c:pt idx="261" formatCode="0.0000">
                  <c:v>0.25129548557077735</c:v>
                </c:pt>
                <c:pt idx="262" formatCode="0.0000">
                  <c:v>0.24882908587976599</c:v>
                </c:pt>
                <c:pt idx="263" formatCode="0.0000">
                  <c:v>0.24882774302840918</c:v>
                </c:pt>
                <c:pt idx="264" formatCode="0.0000">
                  <c:v>0.24396822865036646</c:v>
                </c:pt>
                <c:pt idx="265" formatCode="0.0000">
                  <c:v>0.24157327737503295</c:v>
                </c:pt>
                <c:pt idx="266" formatCode="0.0000">
                  <c:v>0.23920105910081599</c:v>
                </c:pt>
                <c:pt idx="267" formatCode="0.0000">
                  <c:v>0.23685137402997103</c:v>
                </c:pt>
                <c:pt idx="268" formatCode="0.0000">
                  <c:v>0.23452401466593445</c:v>
                </c:pt>
                <c:pt idx="269" formatCode="0.0000">
                  <c:v>0.23221877642899602</c:v>
                </c:pt>
                <c:pt idx="270" formatCode="0.0000">
                  <c:v>0.22993546449873245</c:v>
                </c:pt>
                <c:pt idx="271" formatCode="0.0000">
                  <c:v>0.22767388245495471</c:v>
                </c:pt>
                <c:pt idx="272" formatCode="0.0000">
                  <c:v>0.23683906709564279</c:v>
                </c:pt>
                <c:pt idx="273" formatCode="0.0000">
                  <c:v>0.31117663758901926</c:v>
                </c:pt>
                <c:pt idx="274" formatCode="0.0000">
                  <c:v>0.24835476615575364</c:v>
                </c:pt>
                <c:pt idx="275" formatCode="0.0000">
                  <c:v>0.22295937316006181</c:v>
                </c:pt>
                <c:pt idx="276" formatCode="0.0000">
                  <c:v>0.21695657695785567</c:v>
                </c:pt>
                <c:pt idx="277" formatCode="0.0000">
                  <c:v>0.21463711859369858</c:v>
                </c:pt>
                <c:pt idx="278" formatCode="0.0000">
                  <c:v>0.21254026194508968</c:v>
                </c:pt>
                <c:pt idx="279" formatCode="0.0000">
                  <c:v>0.21046296366140882</c:v>
                </c:pt>
                <c:pt idx="280" formatCode="0.0000">
                  <c:v>0.20840506388768057</c:v>
                </c:pt>
                <c:pt idx="281" formatCode="0.0000">
                  <c:v>0.20636638721027278</c:v>
                </c:pt>
                <c:pt idx="282" formatCode="0.0000">
                  <c:v>0.20434677149057079</c:v>
                </c:pt>
                <c:pt idx="283" formatCode="0.0000">
                  <c:v>0.20234608538530668</c:v>
                </c:pt>
                <c:pt idx="284" formatCode="0.0000">
                  <c:v>0.20036413021699614</c:v>
                </c:pt>
                <c:pt idx="285" formatCode="0.0000">
                  <c:v>0.19840075161854684</c:v>
                </c:pt>
                <c:pt idx="286" formatCode="0.0000">
                  <c:v>0.19645579480587422</c:v>
                </c:pt>
                <c:pt idx="287" formatCode="0.0000">
                  <c:v>0.19452911730325423</c:v>
                </c:pt>
                <c:pt idx="288" formatCode="0.0000">
                  <c:v>0.22164440319697856</c:v>
                </c:pt>
                <c:pt idx="289" formatCode="0.0000">
                  <c:v>0.19685440848800534</c:v>
                </c:pt>
                <c:pt idx="290" formatCode="0.0000">
                  <c:v>0.32146126453889246</c:v>
                </c:pt>
                <c:pt idx="291" formatCode="0.0000">
                  <c:v>0.35479108691889538</c:v>
                </c:pt>
                <c:pt idx="292" formatCode="0.0000">
                  <c:v>0.85540582536066523</c:v>
                </c:pt>
                <c:pt idx="293" formatCode="0.0000">
                  <c:v>0.89505290644560642</c:v>
                </c:pt>
                <c:pt idx="294" formatCode="0.0000">
                  <c:v>1.1843722754668204</c:v>
                </c:pt>
                <c:pt idx="295" formatCode="0.0000">
                  <c:v>1.0857387156510712</c:v>
                </c:pt>
                <c:pt idx="296" formatCode="0.0000">
                  <c:v>0.99176098251356393</c:v>
                </c:pt>
                <c:pt idx="297" formatCode="0.0000">
                  <c:v>1.1525339717273584</c:v>
                </c:pt>
                <c:pt idx="298" formatCode="0.0000">
                  <c:v>1.1591239322951983</c:v>
                </c:pt>
                <c:pt idx="299" formatCode="0.0000">
                  <c:v>1.0618470971975813</c:v>
                </c:pt>
                <c:pt idx="300" formatCode="0.0000">
                  <c:v>1.0419989187540615</c:v>
                </c:pt>
                <c:pt idx="301" formatCode="0.0000">
                  <c:v>1.0428538442759392</c:v>
                </c:pt>
                <c:pt idx="302" formatCode="0.0000">
                  <c:v>1.0056844327061856</c:v>
                </c:pt>
                <c:pt idx="303" formatCode="0.0000">
                  <c:v>1.0895847922345785</c:v>
                </c:pt>
                <c:pt idx="304" formatCode="0.0000">
                  <c:v>1.0454494161747705</c:v>
                </c:pt>
                <c:pt idx="305" formatCode="0.0000">
                  <c:v>0.95871615104683683</c:v>
                </c:pt>
                <c:pt idx="306" formatCode="0.0000">
                  <c:v>0.90594363675255463</c:v>
                </c:pt>
                <c:pt idx="307" formatCode="0.0000">
                  <c:v>0.81309267851362044</c:v>
                </c:pt>
                <c:pt idx="308" formatCode="0.0000">
                  <c:v>0.80016297462625541</c:v>
                </c:pt>
                <c:pt idx="309" formatCode="0.0000">
                  <c:v>0.71163910657848428</c:v>
                </c:pt>
                <c:pt idx="310" formatCode="0.0000">
                  <c:v>0.63855430104822219</c:v>
                </c:pt>
                <c:pt idx="311" formatCode="0.0000">
                  <c:v>0.62168860577863738</c:v>
                </c:pt>
                <c:pt idx="312" formatCode="0.0000">
                  <c:v>0.53882879356746316</c:v>
                </c:pt>
                <c:pt idx="313" formatCode="0.0000">
                  <c:v>0.53763959659748084</c:v>
                </c:pt>
                <c:pt idx="314" formatCode="0.0000">
                  <c:v>0.48964566999376824</c:v>
                </c:pt>
                <c:pt idx="315" formatCode="0.0000">
                  <c:v>0.41402942201739062</c:v>
                </c:pt>
                <c:pt idx="316" formatCode="0.0000">
                  <c:v>0.39819776158967929</c:v>
                </c:pt>
                <c:pt idx="317" formatCode="0.0000">
                  <c:v>0.32287950236487845</c:v>
                </c:pt>
                <c:pt idx="318" formatCode="0.0000">
                  <c:v>0.26137596200970631</c:v>
                </c:pt>
                <c:pt idx="319" formatCode="0.0000">
                  <c:v>0.19084184930817025</c:v>
                </c:pt>
                <c:pt idx="320" formatCode="0.0000">
                  <c:v>0.15671088772919009</c:v>
                </c:pt>
                <c:pt idx="321" formatCode="0.0000">
                  <c:v>0.14985656137784345</c:v>
                </c:pt>
                <c:pt idx="322" formatCode="0.0000">
                  <c:v>0.16192570940849815</c:v>
                </c:pt>
                <c:pt idx="323" formatCode="0.0000">
                  <c:v>0.15198538855097204</c:v>
                </c:pt>
                <c:pt idx="324" formatCode="0.0000">
                  <c:v>0.48853795765038005</c:v>
                </c:pt>
                <c:pt idx="325" formatCode="0.0000">
                  <c:v>0.6942980053432628</c:v>
                </c:pt>
                <c:pt idx="326" formatCode="0.0000">
                  <c:v>0.62207542020806128</c:v>
                </c:pt>
                <c:pt idx="327" formatCode="0.0000">
                  <c:v>0.5544545878474032</c:v>
                </c:pt>
                <c:pt idx="328" formatCode="0.0000">
                  <c:v>0.58543015047548974</c:v>
                </c:pt>
                <c:pt idx="329" formatCode="0.0000">
                  <c:v>0.91200125135924504</c:v>
                </c:pt>
                <c:pt idx="330" formatCode="0.0000">
                  <c:v>1.02522071816656</c:v>
                </c:pt>
                <c:pt idx="331" formatCode="0.0000">
                  <c:v>0.92692185311962561</c:v>
                </c:pt>
                <c:pt idx="332" formatCode="0.0000">
                  <c:v>0.83122217107391216</c:v>
                </c:pt>
                <c:pt idx="333" formatCode="0.0000">
                  <c:v>0.7404834579387467</c:v>
                </c:pt>
                <c:pt idx="334" formatCode="0.0000">
                  <c:v>0.87980815946093793</c:v>
                </c:pt>
                <c:pt idx="335" formatCode="0.0000">
                  <c:v>1.1658565770688132</c:v>
                </c:pt>
                <c:pt idx="336" formatCode="0.0000">
                  <c:v>1.0713600592568382</c:v>
                </c:pt>
                <c:pt idx="337" formatCode="0.0000">
                  <c:v>0.97088655430969051</c:v>
                </c:pt>
                <c:pt idx="338" formatCode="0.0000">
                  <c:v>0.87554315264526006</c:v>
                </c:pt>
                <c:pt idx="339" formatCode="0.0000">
                  <c:v>0.7848882402083035</c:v>
                </c:pt>
                <c:pt idx="340" formatCode="0.0000">
                  <c:v>0.69856295175839533</c:v>
                </c:pt>
                <c:pt idx="341" formatCode="0.0000">
                  <c:v>0.6149432979636652</c:v>
                </c:pt>
                <c:pt idx="342" formatCode="0.0000">
                  <c:v>0.53246104816499673</c:v>
                </c:pt>
                <c:pt idx="343" formatCode="0.0000">
                  <c:v>0.45282357865161788</c:v>
                </c:pt>
                <c:pt idx="344" formatCode="0.0000">
                  <c:v>0.37586754349948176</c:v>
                </c:pt>
                <c:pt idx="345" formatCode="0.0000">
                  <c:v>0.30103251258426744</c:v>
                </c:pt>
                <c:pt idx="346" formatCode="0.0000">
                  <c:v>0.23218377072278909</c:v>
                </c:pt>
                <c:pt idx="347" formatCode="0.0000">
                  <c:v>0.16272023165717134</c:v>
                </c:pt>
                <c:pt idx="348" formatCode="0.0000">
                  <c:v>0.12630244650949868</c:v>
                </c:pt>
                <c:pt idx="349" formatCode="0.0000">
                  <c:v>0.1193864017370575</c:v>
                </c:pt>
                <c:pt idx="350" formatCode="0.0000">
                  <c:v>0.11774722279901551</c:v>
                </c:pt>
                <c:pt idx="351" formatCode="0.0000">
                  <c:v>0.11667206147246603</c:v>
                </c:pt>
                <c:pt idx="352" formatCode="0.0000">
                  <c:v>0.17557684688926747</c:v>
                </c:pt>
                <c:pt idx="353" formatCode="0.0000">
                  <c:v>0.12636030774394585</c:v>
                </c:pt>
                <c:pt idx="354" formatCode="0.0000">
                  <c:v>0.11493634241020588</c:v>
                </c:pt>
                <c:pt idx="355" formatCode="0.0000">
                  <c:v>0.28744749691859511</c:v>
                </c:pt>
                <c:pt idx="356" formatCode="0.0000">
                  <c:v>0.27042782265805965</c:v>
                </c:pt>
                <c:pt idx="357" formatCode="0.0000">
                  <c:v>0.21846221939994065</c:v>
                </c:pt>
                <c:pt idx="358" formatCode="0.0000">
                  <c:v>0.65104427193176351</c:v>
                </c:pt>
                <c:pt idx="359" formatCode="0.0000">
                  <c:v>0.5668981847192518</c:v>
                </c:pt>
                <c:pt idx="360" formatCode="0.0000">
                  <c:v>0.48559245658086514</c:v>
                </c:pt>
                <c:pt idx="361" formatCode="0.0000">
                  <c:v>0.83655286808326479</c:v>
                </c:pt>
                <c:pt idx="362" formatCode="0.0000">
                  <c:v>0.81019266909489573</c:v>
                </c:pt>
                <c:pt idx="363" formatCode="0.0000">
                  <c:v>0.72050162953907393</c:v>
                </c:pt>
                <c:pt idx="364" formatCode="0.0000">
                  <c:v>1.1829327635680309</c:v>
                </c:pt>
                <c:pt idx="365" formatCode="0.0000">
                  <c:v>1.1779727815090733</c:v>
                </c:pt>
                <c:pt idx="366" formatCode="0.0000">
                  <c:v>1.1611493744641579</c:v>
                </c:pt>
                <c:pt idx="367" formatCode="0.0000">
                  <c:v>1.1980296498910101</c:v>
                </c:pt>
                <c:pt idx="368" formatCode="0.0000">
                  <c:v>1.204985025529258</c:v>
                </c:pt>
                <c:pt idx="369" formatCode="0.0000">
                  <c:v>1.2118476912045903</c:v>
                </c:pt>
                <c:pt idx="370" formatCode="0.0000">
                  <c:v>1.1900811454219828</c:v>
                </c:pt>
                <c:pt idx="371" formatCode="0.0000">
                  <c:v>1.342828938115693</c:v>
                </c:pt>
                <c:pt idx="372" formatCode="0.0000">
                  <c:v>1.2664955948848666</c:v>
                </c:pt>
                <c:pt idx="373" formatCode="0.0000">
                  <c:v>1.4244029548304611</c:v>
                </c:pt>
                <c:pt idx="374" formatCode="0.0000">
                  <c:v>1.3917897986605976</c:v>
                </c:pt>
                <c:pt idx="375" formatCode="0.0000">
                  <c:v>1.4671729718940023</c:v>
                </c:pt>
                <c:pt idx="376" formatCode="0.0000">
                  <c:v>1.5805772621274994</c:v>
                </c:pt>
                <c:pt idx="377" formatCode="0.0000">
                  <c:v>1.499270660382874</c:v>
                </c:pt>
                <c:pt idx="378" formatCode="0.0000">
                  <c:v>1.3990447613042354</c:v>
                </c:pt>
                <c:pt idx="379" formatCode="0.0000">
                  <c:v>1.3021792751123495</c:v>
                </c:pt>
                <c:pt idx="380" formatCode="0.0000">
                  <c:v>1.2113346560957572</c:v>
                </c:pt>
                <c:pt idx="381" formatCode="0.0000">
                  <c:v>1.2085714782765213</c:v>
                </c:pt>
                <c:pt idx="382" formatCode="0.0000">
                  <c:v>1.5936946338340183</c:v>
                </c:pt>
                <c:pt idx="383" formatCode="0.0000">
                  <c:v>1.502708015007042</c:v>
                </c:pt>
                <c:pt idx="384" formatCode="0.0000">
                  <c:v>1.4147616691071587</c:v>
                </c:pt>
                <c:pt idx="385" formatCode="0.0000">
                  <c:v>1.3326634918344433</c:v>
                </c:pt>
                <c:pt idx="386" formatCode="0.0000">
                  <c:v>1.2377188593344464</c:v>
                </c:pt>
                <c:pt idx="387" formatCode="0.0000">
                  <c:v>1.410364202404959</c:v>
                </c:pt>
                <c:pt idx="388" formatCode="0.0000">
                  <c:v>1.3904589736931272</c:v>
                </c:pt>
                <c:pt idx="389" formatCode="0.0000">
                  <c:v>1.5317701081611401</c:v>
                </c:pt>
                <c:pt idx="390" formatCode="0.0000">
                  <c:v>1.5653133028395552</c:v>
                </c:pt>
                <c:pt idx="391" formatCode="0.0000">
                  <c:v>1.5840947262400691</c:v>
                </c:pt>
                <c:pt idx="392" formatCode="0.0000">
                  <c:v>1.4847428073564639</c:v>
                </c:pt>
                <c:pt idx="393" formatCode="0.0000">
                  <c:v>1.6893127678818574</c:v>
                </c:pt>
                <c:pt idx="394" formatCode="0.0000">
                  <c:v>1.6607030922444244</c:v>
                </c:pt>
                <c:pt idx="395" formatCode="0.0000">
                  <c:v>1.5582211204280991</c:v>
                </c:pt>
                <c:pt idx="396" formatCode="0.0000">
                  <c:v>1.5789338648334614</c:v>
                </c:pt>
                <c:pt idx="397" formatCode="0.0000">
                  <c:v>1.4810429896605419</c:v>
                </c:pt>
                <c:pt idx="398" formatCode="0.0000">
                  <c:v>1.3837274118093605</c:v>
                </c:pt>
                <c:pt idx="399" formatCode="0.0000">
                  <c:v>1.3433790077159906</c:v>
                </c:pt>
                <c:pt idx="400" formatCode="0.0000">
                  <c:v>1.4065575756494011</c:v>
                </c:pt>
                <c:pt idx="401" formatCode="0.0000">
                  <c:v>1.4050453703018129</c:v>
                </c:pt>
                <c:pt idx="402" formatCode="0.0000">
                  <c:v>1.3511947482882727</c:v>
                </c:pt>
                <c:pt idx="403" formatCode="0.0000">
                  <c:v>1.3213660726497649</c:v>
                </c:pt>
                <c:pt idx="404" formatCode="0.0000">
                  <c:v>1.2252039487312059</c:v>
                </c:pt>
                <c:pt idx="405" formatCode="0.0000">
                  <c:v>1.2330875323783839</c:v>
                </c:pt>
                <c:pt idx="406" formatCode="0.0000">
                  <c:v>1.1386307493472114</c:v>
                </c:pt>
                <c:pt idx="407" formatCode="0.0000">
                  <c:v>1.046139821367265</c:v>
                </c:pt>
                <c:pt idx="408" formatCode="0.0000">
                  <c:v>1.3635017935672951</c:v>
                </c:pt>
                <c:pt idx="409" formatCode="0.0000">
                  <c:v>1.2641748464453413</c:v>
                </c:pt>
                <c:pt idx="410" formatCode="0.0000">
                  <c:v>1.2317773553412259</c:v>
                </c:pt>
                <c:pt idx="411" formatCode="0.0000">
                  <c:v>1.6529606185334711</c:v>
                </c:pt>
                <c:pt idx="412" formatCode="0.0000">
                  <c:v>1.5507185783576316</c:v>
                </c:pt>
                <c:pt idx="413" formatCode="0.0000">
                  <c:v>1.5059090563285999</c:v>
                </c:pt>
                <c:pt idx="414" formatCode="0.0000">
                  <c:v>1.4282175773129775</c:v>
                </c:pt>
                <c:pt idx="415" formatCode="0.0000">
                  <c:v>1.3299718884559495</c:v>
                </c:pt>
                <c:pt idx="416" formatCode="0.0000">
                  <c:v>1.2852561550454062</c:v>
                </c:pt>
                <c:pt idx="417" formatCode="0.0000">
                  <c:v>1.6508110752581076</c:v>
                </c:pt>
                <c:pt idx="418" formatCode="0.0000">
                  <c:v>1.5881253299108717</c:v>
                </c:pt>
                <c:pt idx="419" formatCode="0.0000">
                  <c:v>1.6976167909989033</c:v>
                </c:pt>
                <c:pt idx="420" formatCode="0.0000">
                  <c:v>1.5934650300502819</c:v>
                </c:pt>
                <c:pt idx="421" formatCode="0.0000">
                  <c:v>1.8285710577680954</c:v>
                </c:pt>
                <c:pt idx="422" formatCode="0.0000">
                  <c:v>1.9002940075170862</c:v>
                </c:pt>
                <c:pt idx="423" formatCode="0.0000">
                  <c:v>1.9269445002368404</c:v>
                </c:pt>
                <c:pt idx="424" formatCode="0.0000">
                  <c:v>2.1043001185887369</c:v>
                </c:pt>
                <c:pt idx="425" formatCode="0.0000">
                  <c:v>2.1464511198616498</c:v>
                </c:pt>
                <c:pt idx="426" formatCode="0.0000">
                  <c:v>2.0554773429280568</c:v>
                </c:pt>
                <c:pt idx="427" formatCode="0.0000">
                  <c:v>1.9509235292815919</c:v>
                </c:pt>
                <c:pt idx="428" formatCode="0.0000">
                  <c:v>1.8859882383740372</c:v>
                </c:pt>
                <c:pt idx="429" formatCode="0.0000">
                  <c:v>1.8001416678286595</c:v>
                </c:pt>
                <c:pt idx="430" formatCode="0.0000">
                  <c:v>1.7050390297680327</c:v>
                </c:pt>
                <c:pt idx="431" formatCode="0.0000">
                  <c:v>1.7155219606693655</c:v>
                </c:pt>
                <c:pt idx="432" formatCode="0.0000">
                  <c:v>1.6236029938875722</c:v>
                </c:pt>
                <c:pt idx="433" formatCode="0.0000">
                  <c:v>1.611618470100499</c:v>
                </c:pt>
                <c:pt idx="434" formatCode="0.0000">
                  <c:v>1.523142069058689</c:v>
                </c:pt>
                <c:pt idx="435" formatCode="0.0000">
                  <c:v>1.6126506497754944</c:v>
                </c:pt>
                <c:pt idx="436" formatCode="0.0000">
                  <c:v>1.5257528605645745</c:v>
                </c:pt>
                <c:pt idx="437" formatCode="0.0000">
                  <c:v>2.1435610427271206</c:v>
                </c:pt>
                <c:pt idx="438" formatCode="0.0000">
                  <c:v>2.1000689670455999</c:v>
                </c:pt>
                <c:pt idx="439" formatCode="0.0000">
                  <c:v>2.1912949211124459</c:v>
                </c:pt>
                <c:pt idx="440" formatCode="0.0000">
                  <c:v>2.20318816337213</c:v>
                </c:pt>
                <c:pt idx="441" formatCode="0.0000">
                  <c:v>2.3321208839751586</c:v>
                </c:pt>
                <c:pt idx="442" formatCode="0.0000">
                  <c:v>2.3688301184321294</c:v>
                </c:pt>
                <c:pt idx="443" formatCode="0.0000">
                  <c:v>2.3632444258284799</c:v>
                </c:pt>
                <c:pt idx="444" formatCode="0.0000">
                  <c:v>2.3747028033285407</c:v>
                </c:pt>
                <c:pt idx="445" formatCode="0.0000">
                  <c:v>2.4898410682283383</c:v>
                </c:pt>
                <c:pt idx="446" formatCode="0.0000">
                  <c:v>2.39044536004858</c:v>
                </c:pt>
                <c:pt idx="447" formatCode="0.0000">
                  <c:v>2.3524201224146712</c:v>
                </c:pt>
                <c:pt idx="448" formatCode="0.0000">
                  <c:v>2.2549039490328937</c:v>
                </c:pt>
                <c:pt idx="449" formatCode="0.0000">
                  <c:v>2.299081203255259</c:v>
                </c:pt>
                <c:pt idx="450" formatCode="0.0000">
                  <c:v>2.1660737706615012</c:v>
                </c:pt>
                <c:pt idx="451" formatCode="0.0000">
                  <c:v>2.1224765837838611</c:v>
                </c:pt>
                <c:pt idx="452" formatCode="0.0000">
                  <c:v>2.1001960148798133</c:v>
                </c:pt>
                <c:pt idx="453" formatCode="0.0000">
                  <c:v>2.0079987010923692</c:v>
                </c:pt>
                <c:pt idx="454" formatCode="0.0000">
                  <c:v>1.9163590282059964</c:v>
                </c:pt>
                <c:pt idx="455" formatCode="0.0000">
                  <c:v>1.8291272964810645</c:v>
                </c:pt>
                <c:pt idx="456" formatCode="0.0000">
                  <c:v>1.744072683934162</c:v>
                </c:pt>
                <c:pt idx="457" formatCode="0.0000">
                  <c:v>2.0142945205656262</c:v>
                </c:pt>
                <c:pt idx="458" formatCode="0.0000">
                  <c:v>1.9235780525598976</c:v>
                </c:pt>
                <c:pt idx="459" formatCode="0.0000">
                  <c:v>1.8883175243567287</c:v>
                </c:pt>
                <c:pt idx="460" formatCode="0.0000">
                  <c:v>1.8013240439685809</c:v>
                </c:pt>
                <c:pt idx="461" formatCode="0.0000">
                  <c:v>1.7172425001843041</c:v>
                </c:pt>
                <c:pt idx="462" formatCode="0.0000">
                  <c:v>1.6352529987548987</c:v>
                </c:pt>
                <c:pt idx="463" formatCode="0.0000">
                  <c:v>1.571826889078378</c:v>
                </c:pt>
                <c:pt idx="464" formatCode="0.0000">
                  <c:v>1.4962774835107746</c:v>
                </c:pt>
                <c:pt idx="465" formatCode="0.0000">
                  <c:v>1.4231664064401881</c:v>
                </c:pt>
                <c:pt idx="466" formatCode="0.0000">
                  <c:v>1.3549750352629104</c:v>
                </c:pt>
                <c:pt idx="467" formatCode="0.0000">
                  <c:v>1.2944182226637406</c:v>
                </c:pt>
                <c:pt idx="468" formatCode="0.0000">
                  <c:v>1.2379554972490698</c:v>
                </c:pt>
                <c:pt idx="469" formatCode="0.0000">
                  <c:v>1.2204261471318354</c:v>
                </c:pt>
                <c:pt idx="470" formatCode="0.0000">
                  <c:v>1.2095257198510703</c:v>
                </c:pt>
                <c:pt idx="471" formatCode="0.0000">
                  <c:v>1.1995487047112399</c:v>
                </c:pt>
                <c:pt idx="472" formatCode="0.0000">
                  <c:v>1.2405265807671426</c:v>
                </c:pt>
                <c:pt idx="473" formatCode="0.0000">
                  <c:v>1.2327504010466761</c:v>
                </c:pt>
                <c:pt idx="474" formatCode="0.0000">
                  <c:v>1.1778599653436734</c:v>
                </c:pt>
                <c:pt idx="475" formatCode="0.0000">
                  <c:v>1.1601064097403557</c:v>
                </c:pt>
                <c:pt idx="476" formatCode="0.0000">
                  <c:v>1.1485460821209992</c:v>
                </c:pt>
                <c:pt idx="477" formatCode="0.0000">
                  <c:v>1.1377049459813102</c:v>
                </c:pt>
                <c:pt idx="478" formatCode="0.0000">
                  <c:v>1.1304100245142705</c:v>
                </c:pt>
                <c:pt idx="479" formatCode="0.0000">
                  <c:v>1.1190344446652618</c:v>
                </c:pt>
                <c:pt idx="480" formatCode="0.0000">
                  <c:v>1.1051752048098682</c:v>
                </c:pt>
                <c:pt idx="481" formatCode="0.0000">
                  <c:v>1.0944011903218174</c:v>
                </c:pt>
                <c:pt idx="482" formatCode="0.0000">
                  <c:v>1.0869555169013274</c:v>
                </c:pt>
                <c:pt idx="483" formatCode="0.0000">
                  <c:v>1.0734978214528239</c:v>
                </c:pt>
                <c:pt idx="484" formatCode="0.0000">
                  <c:v>1.0629995419371794</c:v>
                </c:pt>
                <c:pt idx="485" formatCode="0.0000">
                  <c:v>1.05273347794796</c:v>
                </c:pt>
                <c:pt idx="486" formatCode="0.0000">
                  <c:v>1.3688410532693061</c:v>
                </c:pt>
                <c:pt idx="487" formatCode="0.0000">
                  <c:v>1.2976268727011435</c:v>
                </c:pt>
                <c:pt idx="488" formatCode="0.0000">
                  <c:v>1.2308857357966716</c:v>
                </c:pt>
                <c:pt idx="489" formatCode="0.0000">
                  <c:v>1.1646996337655842</c:v>
                </c:pt>
                <c:pt idx="490" formatCode="0.0000">
                  <c:v>1.1021148201384503</c:v>
                </c:pt>
                <c:pt idx="491" formatCode="0.0000">
                  <c:v>1.0417410865045222</c:v>
                </c:pt>
                <c:pt idx="492" formatCode="0.0000">
                  <c:v>0.9912882667155799</c:v>
                </c:pt>
                <c:pt idx="493" formatCode="0.0000">
                  <c:v>0.9750107662113715</c:v>
                </c:pt>
                <c:pt idx="494" formatCode="0.0000">
                  <c:v>0.96471675630362808</c:v>
                </c:pt>
                <c:pt idx="495" formatCode="0.0000">
                  <c:v>0.9553990899910314</c:v>
                </c:pt>
                <c:pt idx="496" formatCode="0.0000">
                  <c:v>0.94617037183666997</c:v>
                </c:pt>
                <c:pt idx="497" formatCode="0.0000">
                  <c:v>0.93702977566583023</c:v>
                </c:pt>
                <c:pt idx="498" formatCode="0.0000">
                  <c:v>0.92797643514332362</c:v>
                </c:pt>
                <c:pt idx="499" formatCode="0.0000">
                  <c:v>0.9197579869540472</c:v>
                </c:pt>
                <c:pt idx="500" formatCode="0.0000">
                  <c:v>0.91012841708231673</c:v>
                </c:pt>
                <c:pt idx="501" formatCode="0.0000">
                  <c:v>0.90133207139344051</c:v>
                </c:pt>
                <c:pt idx="502" formatCode="0.0000">
                  <c:v>0.89261969331736624</c:v>
                </c:pt>
                <c:pt idx="503" formatCode="0.0000">
                  <c:v>0.88399049775789529</c:v>
                </c:pt>
                <c:pt idx="504" formatCode="0.0000">
                  <c:v>0.87544370057414578</c:v>
                </c:pt>
                <c:pt idx="505" formatCode="0.0000">
                  <c:v>0.86697851380218349</c:v>
                </c:pt>
                <c:pt idx="506" formatCode="0.0000">
                  <c:v>0.85859414452031402</c:v>
                </c:pt>
                <c:pt idx="507" formatCode="0.0000">
                  <c:v>0.85028983685078063</c:v>
                </c:pt>
                <c:pt idx="508" formatCode="0.0000">
                  <c:v>0.84206481471004835</c:v>
                </c:pt>
                <c:pt idx="509" formatCode="0.0000">
                  <c:v>0.83391831469272548</c:v>
                </c:pt>
                <c:pt idx="510" formatCode="0.0000">
                  <c:v>0.82584960246843697</c:v>
                </c:pt>
                <c:pt idx="511" formatCode="0.0000">
                  <c:v>0.8178579124848171</c:v>
                </c:pt>
                <c:pt idx="512" formatCode="0.0000">
                  <c:v>0.80994250362117814</c:v>
                </c:pt>
                <c:pt idx="513" formatCode="0.0000">
                  <c:v>0.80210266133206576</c:v>
                </c:pt>
                <c:pt idx="514" formatCode="0.0000">
                  <c:v>0.79433767669446709</c:v>
                </c:pt>
                <c:pt idx="515" formatCode="0.0000">
                  <c:v>0.78664683821192816</c:v>
                </c:pt>
                <c:pt idx="516" formatCode="0.0000">
                  <c:v>0.77902944480313119</c:v>
                </c:pt>
                <c:pt idx="517" formatCode="0.0000">
                  <c:v>0.77148478008623989</c:v>
                </c:pt>
                <c:pt idx="518" formatCode="0.0000">
                  <c:v>0.76401214440498721</c:v>
                </c:pt>
                <c:pt idx="519" formatCode="0.0000">
                  <c:v>0.75661086066327154</c:v>
                </c:pt>
                <c:pt idx="520" formatCode="0.0000">
                  <c:v>0.74928024810637261</c:v>
                </c:pt>
                <c:pt idx="521" formatCode="0.0000">
                  <c:v>0.74201964150836941</c:v>
                </c:pt>
                <c:pt idx="522" formatCode="0.0000">
                  <c:v>0.73482836671795604</c:v>
                </c:pt>
                <c:pt idx="523" formatCode="0.0000">
                  <c:v>1.0373572619281461</c:v>
                </c:pt>
                <c:pt idx="524" formatCode="0.0000">
                  <c:v>1.0228886792222471</c:v>
                </c:pt>
                <c:pt idx="525" formatCode="0.0000">
                  <c:v>0.9653846196462248</c:v>
                </c:pt>
                <c:pt idx="526" formatCode="0.0000">
                  <c:v>0.91237593886131774</c:v>
                </c:pt>
                <c:pt idx="527" formatCode="0.0000">
                  <c:v>0.85996752513936947</c:v>
                </c:pt>
                <c:pt idx="528" formatCode="0.0000">
                  <c:v>0.81020847157166931</c:v>
                </c:pt>
                <c:pt idx="529" formatCode="0.0000">
                  <c:v>0.76163862873138755</c:v>
                </c:pt>
                <c:pt idx="530" formatCode="0.0000">
                  <c:v>0.76752102459972249</c:v>
                </c:pt>
                <c:pt idx="531" formatCode="0.0000">
                  <c:v>0.76181880094424925</c:v>
                </c:pt>
                <c:pt idx="532" formatCode="0.0000">
                  <c:v>0.72487863077356884</c:v>
                </c:pt>
                <c:pt idx="533" formatCode="0.0000">
                  <c:v>0.6785980542847625</c:v>
                </c:pt>
                <c:pt idx="534" formatCode="0.0000">
                  <c:v>0.65668202547283805</c:v>
                </c:pt>
                <c:pt idx="535" formatCode="0.0000">
                  <c:v>0.64777140602248606</c:v>
                </c:pt>
                <c:pt idx="536" formatCode="0.0000">
                  <c:v>0.64134928352254039</c:v>
                </c:pt>
                <c:pt idx="537" formatCode="0.0000">
                  <c:v>0.63514325958122886</c:v>
                </c:pt>
                <c:pt idx="538" formatCode="0.0000">
                  <c:v>0.62899627405015857</c:v>
                </c:pt>
                <c:pt idx="539" formatCode="0.0000">
                  <c:v>0.62290777759777327</c:v>
                </c:pt>
                <c:pt idx="540" formatCode="0.0000">
                  <c:v>0.61687721587319011</c:v>
                </c:pt>
                <c:pt idx="541" formatCode="0.0000">
                  <c:v>0.61090403550720795</c:v>
                </c:pt>
                <c:pt idx="542" formatCode="0.0000">
                  <c:v>0.6049876836605721</c:v>
                </c:pt>
                <c:pt idx="543" formatCode="0.0000">
                  <c:v>0.59912762264100494</c:v>
                </c:pt>
                <c:pt idx="544" formatCode="0.0000">
                  <c:v>0.59332331568794983</c:v>
                </c:pt>
                <c:pt idx="545" formatCode="0.0000">
                  <c:v>0.58757421884389072</c:v>
                </c:pt>
                <c:pt idx="546" formatCode="0.0000">
                  <c:v>0.58187981838447311</c:v>
                </c:pt>
                <c:pt idx="547" formatCode="0.0000">
                  <c:v>0.57623959362951405</c:v>
                </c:pt>
                <c:pt idx="548" formatCode="0.0000">
                  <c:v>0.57065300939027142</c:v>
                </c:pt>
                <c:pt idx="549" formatCode="0.0000">
                  <c:v>0.56511957441687111</c:v>
                </c:pt>
                <c:pt idx="550" formatCode="0.0000">
                  <c:v>0.55963876159480053</c:v>
                </c:pt>
                <c:pt idx="551" formatCode="0.0000">
                  <c:v>0.55421006631123249</c:v>
                </c:pt>
                <c:pt idx="552" formatCode="0.0000">
                  <c:v>0.54883301123217509</c:v>
                </c:pt>
                <c:pt idx="553" formatCode="0.0000">
                  <c:v>0.5435070945417696</c:v>
                </c:pt>
                <c:pt idx="554" formatCode="0.0000">
                  <c:v>0.53823182888021948</c:v>
                </c:pt>
                <c:pt idx="555" formatCode="0.0000">
                  <c:v>0.53300674302113271</c:v>
                </c:pt>
                <c:pt idx="556" formatCode="0.0000">
                  <c:v>0.52783134274105359</c:v>
                </c:pt>
                <c:pt idx="557" formatCode="0.0000">
                  <c:v>0.52270515880890911</c:v>
                </c:pt>
                <c:pt idx="558" formatCode="0.0000">
                  <c:v>0.51762772176048</c:v>
                </c:pt>
                <c:pt idx="559" formatCode="0.0000">
                  <c:v>0.51259858970644756</c:v>
                </c:pt>
                <c:pt idx="560" formatCode="0.0000">
                  <c:v>0.53793120114558945</c:v>
                </c:pt>
                <c:pt idx="561" formatCode="0.0000">
                  <c:v>0.50741290963231833</c:v>
                </c:pt>
                <c:pt idx="562" formatCode="0.0000">
                  <c:v>0.49827195015868608</c:v>
                </c:pt>
                <c:pt idx="563" formatCode="0.0000">
                  <c:v>0.49296472771120758</c:v>
                </c:pt>
                <c:pt idx="564" formatCode="0.0000">
                  <c:v>0.48817309472317533</c:v>
                </c:pt>
                <c:pt idx="565" formatCode="0.0000">
                  <c:v>0.48342703098320239</c:v>
                </c:pt>
                <c:pt idx="566" formatCode="0.0000">
                  <c:v>0.47872611325201803</c:v>
                </c:pt>
                <c:pt idx="567" formatCode="0.0000">
                  <c:v>0.47406989872848126</c:v>
                </c:pt>
                <c:pt idx="568" formatCode="0.0000">
                  <c:v>0.46945797125639954</c:v>
                </c:pt>
                <c:pt idx="569" formatCode="0.0000">
                  <c:v>0.46570233052053683</c:v>
                </c:pt>
                <c:pt idx="570" formatCode="0.0000">
                  <c:v>0.47077915501498468</c:v>
                </c:pt>
                <c:pt idx="571" formatCode="0.0000">
                  <c:v>0.58127370942639633</c:v>
                </c:pt>
                <c:pt idx="572" formatCode="0.0000">
                  <c:v>0.73673392130219106</c:v>
                </c:pt>
                <c:pt idx="573" formatCode="0.0000">
                  <c:v>0.6833796190828122</c:v>
                </c:pt>
                <c:pt idx="574" formatCode="0.0000">
                  <c:v>0.63210419952909846</c:v>
                </c:pt>
                <c:pt idx="575" formatCode="0.0000">
                  <c:v>0.58149626266647159</c:v>
                </c:pt>
                <c:pt idx="576" formatCode="0.0000">
                  <c:v>0.53231303498622906</c:v>
                </c:pt>
                <c:pt idx="577" formatCode="0.0000">
                  <c:v>0.48562267725340424</c:v>
                </c:pt>
                <c:pt idx="578" formatCode="0.0000">
                  <c:v>0.44031577330356758</c:v>
                </c:pt>
                <c:pt idx="579" formatCode="0.0000">
                  <c:v>0.42377057690627978</c:v>
                </c:pt>
                <c:pt idx="580" formatCode="0.0000">
                  <c:v>0.4176139432857196</c:v>
                </c:pt>
                <c:pt idx="581" formatCode="0.0000">
                  <c:v>0.41354192778194743</c:v>
                </c:pt>
                <c:pt idx="582" formatCode="0.0000">
                  <c:v>0.40952564489008658</c:v>
                </c:pt>
                <c:pt idx="583" formatCode="0.0000">
                  <c:v>0.405547334242568</c:v>
                </c:pt>
                <c:pt idx="584" formatCode="0.0000">
                  <c:v>0.40356674724918196</c:v>
                </c:pt>
                <c:pt idx="585" formatCode="0.0000">
                  <c:v>0.39770375385581502</c:v>
                </c:pt>
                <c:pt idx="586" formatCode="0.0000">
                  <c:v>0.39383777471383252</c:v>
                </c:pt>
                <c:pt idx="587" formatCode="0.0000">
                  <c:v>0.39000833594366374</c:v>
                </c:pt>
                <c:pt idx="588" formatCode="0.0000">
                  <c:v>0.42442164725654341</c:v>
                </c:pt>
                <c:pt idx="589" formatCode="0.0000">
                  <c:v>0.38844123567350924</c:v>
                </c:pt>
                <c:pt idx="590" formatCode="0.0000">
                  <c:v>0.38298061575373693</c:v>
                </c:pt>
                <c:pt idx="591" formatCode="0.0000">
                  <c:v>0.37539369305805309</c:v>
                </c:pt>
                <c:pt idx="592" formatCode="0.0000">
                  <c:v>0.37141508977905358</c:v>
                </c:pt>
                <c:pt idx="593" formatCode="0.0000">
                  <c:v>0.36780244655667471</c:v>
                </c:pt>
                <c:pt idx="594" formatCode="0.0000">
                  <c:v>0.36422391361558093</c:v>
                </c:pt>
                <c:pt idx="595" formatCode="0.0000">
                  <c:v>0.36142569786285883</c:v>
                </c:pt>
                <c:pt idx="596" formatCode="0.0000">
                  <c:v>0.35716826415145597</c:v>
                </c:pt>
                <c:pt idx="597" formatCode="0.0000">
                  <c:v>0.35369051780143118</c:v>
                </c:pt>
                <c:pt idx="598" formatCode="0.0000">
                  <c:v>0.350245626297782</c:v>
                </c:pt>
                <c:pt idx="599" formatCode="0.0000">
                  <c:v>0.39842409007770807</c:v>
                </c:pt>
                <c:pt idx="600" formatCode="0.0000">
                  <c:v>0.35163762792550296</c:v>
                </c:pt>
                <c:pt idx="601" formatCode="0.0000">
                  <c:v>0.34108843436381653</c:v>
                </c:pt>
                <c:pt idx="602" formatCode="0.0000">
                  <c:v>0.33680535978964155</c:v>
                </c:pt>
                <c:pt idx="603" formatCode="0.0000">
                  <c:v>0.33352551816325321</c:v>
                </c:pt>
                <c:pt idx="604" formatCode="0.0000">
                  <c:v>0.33027659735383369</c:v>
                </c:pt>
                <c:pt idx="605" formatCode="0.0000">
                  <c:v>0.32705828992390323</c:v>
                </c:pt>
                <c:pt idx="606" formatCode="0.0000">
                  <c:v>0.32387033310648661</c:v>
                </c:pt>
                <c:pt idx="607" formatCode="0.0000">
                  <c:v>0.32071244513512959</c:v>
                </c:pt>
                <c:pt idx="608" formatCode="0.0000">
                  <c:v>0.3175843752359</c:v>
                </c:pt>
                <c:pt idx="609" formatCode="0.0000">
                  <c:v>0.31448583182520751</c:v>
                </c:pt>
                <c:pt idx="610" formatCode="0.0000">
                  <c:v>0.31141653772188027</c:v>
                </c:pt>
                <c:pt idx="611" formatCode="0.0000">
                  <c:v>0.30837624394944235</c:v>
                </c:pt>
                <c:pt idx="612" formatCode="0.0000">
                  <c:v>0.30536468877619688</c:v>
                </c:pt>
                <c:pt idx="613" formatCode="0.0000">
                  <c:v>0.3023815927385094</c:v>
                </c:pt>
                <c:pt idx="614" formatCode="0.0000">
                  <c:v>0.29942669993084242</c:v>
                </c:pt>
                <c:pt idx="615" formatCode="0.0000">
                  <c:v>0.29649974594835937</c:v>
                </c:pt>
                <c:pt idx="616" formatCode="0.0000">
                  <c:v>0.29360047865822325</c:v>
                </c:pt>
                <c:pt idx="617" formatCode="0.0000">
                  <c:v>0.29072864462928849</c:v>
                </c:pt>
                <c:pt idx="618" formatCode="0.0000">
                  <c:v>0.28788400484394677</c:v>
                </c:pt>
                <c:pt idx="619" formatCode="0.0000">
                  <c:v>0.28506630592454252</c:v>
                </c:pt>
                <c:pt idx="620" formatCode="0.0000">
                  <c:v>0.28227531431345088</c:v>
                </c:pt>
                <c:pt idx="621" formatCode="0.0000">
                  <c:v>0.27951076689065141</c:v>
                </c:pt>
                <c:pt idx="622" formatCode="0.0000">
                  <c:v>0.2767724236921863</c:v>
                </c:pt>
                <c:pt idx="623" formatCode="0.0000">
                  <c:v>0.27406004626395941</c:v>
                </c:pt>
                <c:pt idx="624" formatCode="0.0000">
                  <c:v>0.27137340215701822</c:v>
                </c:pt>
                <c:pt idx="625" formatCode="0.0000">
                  <c:v>0.26871226293196943</c:v>
                </c:pt>
                <c:pt idx="626" formatCode="0.0000">
                  <c:v>0.26607639405466965</c:v>
                </c:pt>
                <c:pt idx="627" formatCode="0.0000">
                  <c:v>0.26346557345366284</c:v>
                </c:pt>
                <c:pt idx="628" formatCode="0.0000">
                  <c:v>0.26332120284918753</c:v>
                </c:pt>
                <c:pt idx="629" formatCode="0.0000">
                  <c:v>0.25831993458232194</c:v>
                </c:pt>
                <c:pt idx="630" formatCode="0.0000">
                  <c:v>0.25578459975379586</c:v>
                </c:pt>
                <c:pt idx="631" formatCode="0.0000">
                  <c:v>0.25327335517268129</c:v>
                </c:pt>
                <c:pt idx="632" formatCode="0.0000">
                  <c:v>0.25078598842473188</c:v>
                </c:pt>
                <c:pt idx="633" formatCode="0.0000">
                  <c:v>0.24832227923647138</c:v>
                </c:pt>
                <c:pt idx="634" formatCode="0.0000">
                  <c:v>0.24588201078243038</c:v>
                </c:pt>
                <c:pt idx="635" formatCode="0.0000">
                  <c:v>0.24346497725664024</c:v>
                </c:pt>
                <c:pt idx="636" formatCode="0.0000">
                  <c:v>0.24107097223719426</c:v>
                </c:pt>
                <c:pt idx="637" formatCode="0.0000">
                  <c:v>0.25010502440791482</c:v>
                </c:pt>
                <c:pt idx="638" formatCode="0.0000">
                  <c:v>0.3243123234215276</c:v>
                </c:pt>
                <c:pt idx="639" formatCode="0.0000">
                  <c:v>0.26136131445280719</c:v>
                </c:pt>
                <c:pt idx="640" formatCode="0.0000">
                  <c:v>0.23583805040466738</c:v>
                </c:pt>
                <c:pt idx="641" formatCode="0.0000">
                  <c:v>0.2297086371913015</c:v>
                </c:pt>
                <c:pt idx="642" formatCode="0.0000">
                  <c:v>0.22726380345985725</c:v>
                </c:pt>
                <c:pt idx="643" formatCode="0.0000">
                  <c:v>0.22504280080640532</c:v>
                </c:pt>
                <c:pt idx="644" formatCode="0.0000">
                  <c:v>0.2228425737114316</c:v>
                </c:pt>
                <c:pt idx="645" formatCode="0.0000">
                  <c:v>0.22066295040096603</c:v>
                </c:pt>
                <c:pt idx="646" formatCode="0.0000">
                  <c:v>0.21850374353834603</c:v>
                </c:pt>
                <c:pt idx="647" formatCode="0.0000">
                  <c:v>0.21636477927048367</c:v>
                </c:pt>
                <c:pt idx="648" formatCode="0.0000">
                  <c:v>0.21424591490841421</c:v>
                </c:pt>
                <c:pt idx="649" formatCode="0.0000">
                  <c:v>0.21214693997762415</c:v>
                </c:pt>
                <c:pt idx="650" formatCode="0.0000">
                  <c:v>0.21006768879692594</c:v>
                </c:pt>
                <c:pt idx="651" formatCode="0.0000">
                  <c:v>0.20800799538320761</c:v>
                </c:pt>
                <c:pt idx="652" formatCode="0.0000">
                  <c:v>0.20596770630977262</c:v>
                </c:pt>
                <c:pt idx="653" formatCode="0.0000">
                  <c:v>0.23297049447664522</c:v>
                </c:pt>
                <c:pt idx="654" formatCode="0.0000">
                  <c:v>0.20806903588241282</c:v>
                </c:pt>
                <c:pt idx="655" formatCode="0.0000">
                  <c:v>0.3325655199381044</c:v>
                </c:pt>
                <c:pt idx="656" formatCode="0.0000">
                  <c:v>0.36578601962130874</c:v>
                </c:pt>
                <c:pt idx="657" formatCode="0.0000">
                  <c:v>0.86629250241696676</c:v>
                </c:pt>
                <c:pt idx="658" formatCode="0.0000">
                  <c:v>0.90583237109021719</c:v>
                </c:pt>
                <c:pt idx="659" formatCode="0.0000">
                  <c:v>1.195045580975642</c:v>
                </c:pt>
                <c:pt idx="660" formatCode="0.0000">
                  <c:v>1.0963069019625906</c:v>
                </c:pt>
                <c:pt idx="661" formatCode="0.0000">
                  <c:v>1.0022250848159331</c:v>
                </c:pt>
                <c:pt idx="662" formatCode="0.0000">
                  <c:v>1.1628950150144963</c:v>
                </c:pt>
                <c:pt idx="663" formatCode="0.0000">
                  <c:v>1.1693829286870876</c:v>
                </c:pt>
                <c:pt idx="664" formatCode="0.0000">
                  <c:v>1.0720050507118757</c:v>
                </c:pt>
                <c:pt idx="665" formatCode="0.0000">
                  <c:v>1.0520568245052559</c:v>
                </c:pt>
                <c:pt idx="666" formatCode="0.0000">
                  <c:v>1.0528126868771415</c:v>
                </c:pt>
                <c:pt idx="667" formatCode="0.0000">
                  <c:v>1.0155451869328391</c:v>
                </c:pt>
                <c:pt idx="668" formatCode="0.0000">
                  <c:v>1.0993484236773552</c:v>
                </c:pt>
                <c:pt idx="669" formatCode="0.0000">
                  <c:v>1.0551168800117514</c:v>
                </c:pt>
                <c:pt idx="670" formatCode="0.0000">
                  <c:v>0.96828839406062661</c:v>
                </c:pt>
                <c:pt idx="671" formatCode="0.0000">
                  <c:v>0.91542159670700007</c:v>
                </c:pt>
                <c:pt idx="672" formatCode="0.0000">
                  <c:v>0.82247728368695727</c:v>
                </c:pt>
                <c:pt idx="673" formatCode="0.0000">
                  <c:v>0.80945514446574951</c:v>
                </c:pt>
                <c:pt idx="674" formatCode="0.0000">
                  <c:v>0.72083975092550412</c:v>
                </c:pt>
                <c:pt idx="675" formatCode="0.0000">
                  <c:v>0.64766432134022411</c:v>
                </c:pt>
                <c:pt idx="676" formatCode="0.0000">
                  <c:v>0.63070889448270728</c:v>
                </c:pt>
                <c:pt idx="677" formatCode="0.0000">
                  <c:v>0.54776023396151607</c:v>
                </c:pt>
                <c:pt idx="678" formatCode="0.0000">
                  <c:v>0.54648306375288225</c:v>
                </c:pt>
                <c:pt idx="679" formatCode="0.0000">
                  <c:v>0.49840202979545939</c:v>
                </c:pt>
                <c:pt idx="680" formatCode="0.0000">
                  <c:v>0.42269953216096773</c:v>
                </c:pt>
                <c:pt idx="681" formatCode="0.0000">
                  <c:v>0.40678247153862057</c:v>
                </c:pt>
                <c:pt idx="682" formatCode="0.0000">
                  <c:v>0.33137965280882997</c:v>
                </c:pt>
                <c:pt idx="683" formatCode="0.0000">
                  <c:v>0.26979238579134163</c:v>
                </c:pt>
                <c:pt idx="684" formatCode="0.0000">
                  <c:v>0.19917537097558591</c:v>
                </c:pt>
                <c:pt idx="685" formatCode="0.0000">
                  <c:v>0.16496232379686462</c:v>
                </c:pt>
                <c:pt idx="686" formatCode="0.0000">
                  <c:v>0.15802672031907647</c:v>
                </c:pt>
                <c:pt idx="687" formatCode="0.0000">
                  <c:v>0.17001539172673982</c:v>
                </c:pt>
                <c:pt idx="688" formatCode="0.0000">
                  <c:v>0.15999538630113247</c:v>
                </c:pt>
                <c:pt idx="689" formatCode="0.0000">
                  <c:v>0.49646905551883119</c:v>
                </c:pt>
                <c:pt idx="690" formatCode="0.0000">
                  <c:v>0.70215097792948633</c:v>
                </c:pt>
                <c:pt idx="691" formatCode="0.0000">
                  <c:v>0.62985103575076973</c:v>
                </c:pt>
                <c:pt idx="692" formatCode="0.0000">
                  <c:v>0.56215360826883531</c:v>
                </c:pt>
                <c:pt idx="693" formatCode="0.0000">
                  <c:v>0.59305333017761186</c:v>
                </c:pt>
                <c:pt idx="694" formatCode="0.0000">
                  <c:v>0.91954933694659868</c:v>
                </c:pt>
                <c:pt idx="695" formatCode="0.0000">
                  <c:v>1.0326944479697548</c:v>
                </c:pt>
                <c:pt idx="696" formatCode="0.0000">
                  <c:v>0.93432195902159232</c:v>
                </c:pt>
                <c:pt idx="697" formatCode="0.0000">
                  <c:v>0.8385493783305048</c:v>
                </c:pt>
                <c:pt idx="698" formatCode="0.0000">
                  <c:v>0.74773848465911552</c:v>
                </c:pt>
                <c:pt idx="699" formatCode="0.0000">
                  <c:v>0.88699171668032617</c:v>
                </c:pt>
                <c:pt idx="700" formatCode="0.0000">
                  <c:v>1.1729693682156885</c:v>
                </c:pt>
                <c:pt idx="701" formatCode="0.0000">
                  <c:v>1.0784027805885288</c:v>
                </c:pt>
                <c:pt idx="702" formatCode="0.0000">
                  <c:v>0.9778598960750633</c:v>
                </c:pt>
                <c:pt idx="703" formatCode="0.0000">
                  <c:v>0.88244779831044273</c:v>
                </c:pt>
                <c:pt idx="704" formatCode="0.0000">
                  <c:v>0.79172486650655371</c:v>
                </c:pt>
                <c:pt idx="705" formatCode="0.0000">
                  <c:v>0.70533222875621671</c:v>
                </c:pt>
                <c:pt idx="706" formatCode="0.0000">
                  <c:v>0.62164588912632823</c:v>
                </c:pt>
                <c:pt idx="707" formatCode="0.0000">
                  <c:v>0.53909761042030169</c:v>
                </c:pt>
                <c:pt idx="708" formatCode="0.0000">
                  <c:v>0.45939476245302979</c:v>
                </c:pt>
                <c:pt idx="709" formatCode="0.0000">
                  <c:v>0.38237399289143709</c:v>
                </c:pt>
                <c:pt idx="710" formatCode="0.0000">
                  <c:v>0.30747486526526607</c:v>
                </c:pt>
                <c:pt idx="711" formatCode="0.0000">
                  <c:v>0.23856265810751526</c:v>
                </c:pt>
                <c:pt idx="712" formatCode="0.0000">
                  <c:v>0.16903627893158174</c:v>
                </c:pt>
                <c:pt idx="713" formatCode="0.0000">
                  <c:v>0.13255627270730322</c:v>
                </c:pt>
                <c:pt idx="714" formatCode="0.0000">
                  <c:v>0.12557861979083834</c:v>
                </c:pt>
                <c:pt idx="715" formatCode="0.0000">
                  <c:v>0.12387843960588392</c:v>
                </c:pt>
                <c:pt idx="716" formatCode="0.0000">
                  <c:v>0.12274287794657665</c:v>
                </c:pt>
                <c:pt idx="717" formatCode="0.0000">
                  <c:v>0.18158785802486316</c:v>
                </c:pt>
                <c:pt idx="718" formatCode="0.0000">
                  <c:v>0.13231210232916818</c:v>
                </c:pt>
                <c:pt idx="719" formatCode="0.0000">
                  <c:v>0.12082950374892557</c:v>
                </c:pt>
                <c:pt idx="720" formatCode="0.0000">
                  <c:v>0.29328260251051635</c:v>
                </c:pt>
                <c:pt idx="721" formatCode="0.0000">
                  <c:v>0.27620544381651213</c:v>
                </c:pt>
                <c:pt idx="722" formatCode="0.0000">
                  <c:v>0.22418292229418088</c:v>
                </c:pt>
                <c:pt idx="723" formatCode="0.0000">
                  <c:v>0.65670861723492935</c:v>
                </c:pt>
                <c:pt idx="724" formatCode="0.0000">
                  <c:v>0.57250672668402458</c:v>
                </c:pt>
                <c:pt idx="725" formatCode="0.0000">
                  <c:v>0.49114574495500291</c:v>
                </c:pt>
                <c:pt idx="726" formatCode="0.0000">
                  <c:v>0.84205144719772185</c:v>
                </c:pt>
                <c:pt idx="727" formatCode="0.0000">
                  <c:v>0.81563707732054014</c:v>
                </c:pt>
                <c:pt idx="728" formatCode="0.0000">
                  <c:v>0.72589240047108383</c:v>
                </c:pt>
                <c:pt idx="729" formatCode="0.0000">
                  <c:v>1.1882704256258443</c:v>
                </c:pt>
                <c:pt idx="730" formatCode="0.0000">
                  <c:v>1.1832578572071977</c:v>
                </c:pt>
                <c:pt idx="731" formatCode="0.0000">
                  <c:v>1.1663823817864394</c:v>
                </c:pt>
                <c:pt idx="732" formatCode="0.0000">
                  <c:v>1.2032111017452625</c:v>
                </c:pt>
                <c:pt idx="733" formatCode="0.0000">
                  <c:v>1.2101154296922787</c:v>
                </c:pt>
                <c:pt idx="734" formatCode="0.0000">
                  <c:v>1.2169275505140407</c:v>
                </c:pt>
                <c:pt idx="735" formatCode="0.0000">
                  <c:v>1.1951109577612571</c:v>
                </c:pt>
              </c:numCache>
            </c:numRef>
          </c:yVal>
          <c:smooth val="0"/>
          <c:extLst>
            <c:ext xmlns:c16="http://schemas.microsoft.com/office/drawing/2014/chart" uri="{C3380CC4-5D6E-409C-BE32-E72D297353CC}">
              <c16:uniqueId val="{00000002-B4F3-BF42-A654-55915CD5B9C5}"/>
            </c:ext>
          </c:extLst>
        </c:ser>
        <c:ser>
          <c:idx val="2"/>
          <c:order val="2"/>
          <c:tx>
            <c:strRef>
              <c:f>Escenarios!$F$28</c:f>
              <c:strCache>
                <c:ptCount val="1"/>
                <c:pt idx="0">
                  <c:v>Escenario 2</c:v>
                </c:pt>
              </c:strCache>
            </c:strRef>
          </c:tx>
          <c:spPr>
            <a:ln w="12700" cap="rnd">
              <a:solidFill>
                <a:schemeClr val="accent6"/>
              </a:solidFill>
              <a:round/>
            </a:ln>
            <a:effectLst/>
          </c:spPr>
          <c:marker>
            <c:symbol val="none"/>
          </c:marker>
          <c:xVal>
            <c:strRef>
              <c:f>Escenario2!$C:$C</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Escenario2!$BN:$BN</c:f>
              <c:numCache>
                <c:formatCode>General</c:formatCode>
                <c:ptCount val="1048576"/>
                <c:pt idx="4">
                  <c:v>0</c:v>
                </c:pt>
                <c:pt idx="6" formatCode="0.0000">
                  <c:v>1.0367999999999999</c:v>
                </c:pt>
                <c:pt idx="7" formatCode="0.0000">
                  <c:v>1.0367999999999999</c:v>
                </c:pt>
                <c:pt idx="8" formatCode="0.0000">
                  <c:v>1.0367999999999999</c:v>
                </c:pt>
                <c:pt idx="9" formatCode="0.0000">
                  <c:v>1.0367999999999999</c:v>
                </c:pt>
                <c:pt idx="10" formatCode="0.0000">
                  <c:v>1.0367999999999999</c:v>
                </c:pt>
                <c:pt idx="11" formatCode="0.0000">
                  <c:v>1.0374413142603918</c:v>
                </c:pt>
                <c:pt idx="12" formatCode="0.0000">
                  <c:v>1.0374315116134751</c:v>
                </c:pt>
                <c:pt idx="13" formatCode="0.0000">
                  <c:v>1.0374218588024382</c:v>
                </c:pt>
                <c:pt idx="14" formatCode="0.0000">
                  <c:v>1.037412353537003</c:v>
                </c:pt>
                <c:pt idx="15" formatCode="0.0000">
                  <c:v>1.0024977939859598</c:v>
                </c:pt>
                <c:pt idx="16" formatCode="0.0000">
                  <c:v>0.99009904796754478</c:v>
                </c:pt>
                <c:pt idx="17" formatCode="0.0000">
                  <c:v>1.0381578018745465</c:v>
                </c:pt>
                <c:pt idx="18" formatCode="0.0000">
                  <c:v>1.0381370475374279</c:v>
                </c:pt>
                <c:pt idx="19" formatCode="0.0000">
                  <c:v>1.03811661043548</c:v>
                </c:pt>
                <c:pt idx="20" formatCode="0.0000">
                  <c:v>1.0380964857196846</c:v>
                </c:pt>
                <c:pt idx="21" formatCode="0.0000">
                  <c:v>1.0196170915693687</c:v>
                </c:pt>
                <c:pt idx="22" formatCode="0.0000">
                  <c:v>1.0380571544199388</c:v>
                </c:pt>
                <c:pt idx="23" formatCode="0.0000">
                  <c:v>1.0380379385040306</c:v>
                </c:pt>
                <c:pt idx="24" formatCode="0.0000">
                  <c:v>1.0380190163081444</c:v>
                </c:pt>
                <c:pt idx="25" formatCode="0.0000">
                  <c:v>1.0380003833426974</c:v>
                </c:pt>
                <c:pt idx="26" formatCode="0.0000">
                  <c:v>1.0381350360045973</c:v>
                </c:pt>
                <c:pt idx="27" formatCode="0.0000">
                  <c:v>1.0381146296494255</c:v>
                </c:pt>
                <c:pt idx="28" formatCode="0.0000">
                  <c:v>1.0399830758215658</c:v>
                </c:pt>
                <c:pt idx="29" formatCode="0.0000">
                  <c:v>1.0413047771606279</c:v>
                </c:pt>
                <c:pt idx="30" formatCode="0.0000">
                  <c:v>1.0412359205287522</c:v>
                </c:pt>
                <c:pt idx="31" formatCode="0.0000">
                  <c:v>1.0411681163875071</c:v>
                </c:pt>
                <c:pt idx="32" formatCode="0.0000">
                  <c:v>1.0411013486493128</c:v>
                </c:pt>
                <c:pt idx="33" formatCode="0.0000">
                  <c:v>1.0410356014724931</c:v>
                </c:pt>
                <c:pt idx="34" formatCode="0.0000">
                  <c:v>1.0409708592575146</c:v>
                </c:pt>
                <c:pt idx="35" formatCode="0.0000">
                  <c:v>1.0409071066432878</c:v>
                </c:pt>
                <c:pt idx="36" formatCode="0.0000">
                  <c:v>1.0408443285035205</c:v>
                </c:pt>
                <c:pt idx="37" formatCode="0.0000">
                  <c:v>1.0407825099431298</c:v>
                </c:pt>
                <c:pt idx="38" formatCode="0.0000">
                  <c:v>1.0330112316934525</c:v>
                </c:pt>
                <c:pt idx="39" formatCode="0.0000">
                  <c:v>0.92872369728563442</c:v>
                </c:pt>
                <c:pt idx="40" formatCode="0.0000">
                  <c:v>0.9292996066814373</c:v>
                </c:pt>
                <c:pt idx="41" formatCode="0.0000">
                  <c:v>0.82779545953932065</c:v>
                </c:pt>
                <c:pt idx="42" formatCode="0.0000">
                  <c:v>0.72851184191209573</c:v>
                </c:pt>
                <c:pt idx="43" formatCode="0.0000">
                  <c:v>1.0381163941196383</c:v>
                </c:pt>
                <c:pt idx="44" formatCode="0.0000">
                  <c:v>0.93252535419353844</c:v>
                </c:pt>
                <c:pt idx="45" formatCode="0.0000">
                  <c:v>0.89501730127924783</c:v>
                </c:pt>
                <c:pt idx="46" formatCode="0.0000">
                  <c:v>1.0411802479109447</c:v>
                </c:pt>
                <c:pt idx="47" formatCode="0.0000">
                  <c:v>1.0411132947394175</c:v>
                </c:pt>
                <c:pt idx="48" formatCode="0.0000">
                  <c:v>1.0410473649636589</c:v>
                </c:pt>
                <c:pt idx="49" formatCode="0.0000">
                  <c:v>1.0409824429408117</c:v>
                </c:pt>
                <c:pt idx="50" formatCode="0.0000">
                  <c:v>1.0409185132671237</c:v>
                </c:pt>
                <c:pt idx="51" formatCode="0.0000">
                  <c:v>1.0179529249163646</c:v>
                </c:pt>
                <c:pt idx="52" formatCode="0.0000">
                  <c:v>1.0414960048791162</c:v>
                </c:pt>
                <c:pt idx="53" formatCode="0.0000">
                  <c:v>1.0414242252843178</c:v>
                </c:pt>
                <c:pt idx="54" formatCode="0.0000">
                  <c:v>1.0426239179328756</c:v>
                </c:pt>
                <c:pt idx="55" formatCode="0.0000">
                  <c:v>1.0425348979083822</c:v>
                </c:pt>
                <c:pt idx="56" formatCode="0.0000">
                  <c:v>1.0460329805986797</c:v>
                </c:pt>
                <c:pt idx="57" formatCode="0.0000">
                  <c:v>1.0506733626046061</c:v>
                </c:pt>
                <c:pt idx="58" formatCode="0.0000">
                  <c:v>1.0556654838776429</c:v>
                </c:pt>
                <c:pt idx="59" formatCode="0.0000">
                  <c:v>1.0632568049007305</c:v>
                </c:pt>
                <c:pt idx="60" formatCode="0.0000">
                  <c:v>1.0713362725718469</c:v>
                </c:pt>
                <c:pt idx="61" formatCode="0.0000">
                  <c:v>1.0777758778939244</c:v>
                </c:pt>
                <c:pt idx="62" formatCode="0.0000">
                  <c:v>1.0822914045896848</c:v>
                </c:pt>
                <c:pt idx="63" formatCode="0.0000">
                  <c:v>1.0857751930603377</c:v>
                </c:pt>
                <c:pt idx="64" formatCode="0.0000">
                  <c:v>1.0876571633334298</c:v>
                </c:pt>
                <c:pt idx="65" formatCode="0.0000">
                  <c:v>1.0879246641660949</c:v>
                </c:pt>
                <c:pt idx="66" formatCode="0.0000">
                  <c:v>1.0882527562046611</c:v>
                </c:pt>
                <c:pt idx="67" formatCode="0.0000">
                  <c:v>1.0874662881138684</c:v>
                </c:pt>
                <c:pt idx="68" formatCode="0.0000">
                  <c:v>1.0866918413821527</c:v>
                </c:pt>
                <c:pt idx="69" formatCode="0.0000">
                  <c:v>1.0859292322600702</c:v>
                </c:pt>
                <c:pt idx="70" formatCode="0.0000">
                  <c:v>1.0851782798068332</c:v>
                </c:pt>
                <c:pt idx="71" formatCode="0.0000">
                  <c:v>1.0844388058473786</c:v>
                </c:pt>
                <c:pt idx="72" formatCode="0.0000">
                  <c:v>1.0923670442608524</c:v>
                </c:pt>
                <c:pt idx="73" formatCode="0.0000">
                  <c:v>1.0994477894655794</c:v>
                </c:pt>
                <c:pt idx="74" formatCode="0.0000">
                  <c:v>1.1077727172372669</c:v>
                </c:pt>
                <c:pt idx="75" formatCode="0.0000">
                  <c:v>1.1162115148715193</c:v>
                </c:pt>
                <c:pt idx="76" formatCode="0.0000">
                  <c:v>1.1265320708263886</c:v>
                </c:pt>
                <c:pt idx="77" formatCode="0.0000">
                  <c:v>1.1372347121441</c:v>
                </c:pt>
                <c:pt idx="78" formatCode="0.0000">
                  <c:v>1.1477323797555929</c:v>
                </c:pt>
                <c:pt idx="79" formatCode="0.0000">
                  <c:v>1.1582619190552146</c:v>
                </c:pt>
                <c:pt idx="80" formatCode="0.0000">
                  <c:v>1.1703953378673464</c:v>
                </c:pt>
                <c:pt idx="81" formatCode="0.0000">
                  <c:v>1.1806795002449111</c:v>
                </c:pt>
                <c:pt idx="82" formatCode="0.0000">
                  <c:v>1.1899954375225754</c:v>
                </c:pt>
                <c:pt idx="83" formatCode="0.0000">
                  <c:v>1.1975099606676571</c:v>
                </c:pt>
                <c:pt idx="84" formatCode="0.0000">
                  <c:v>1.2049755581587316</c:v>
                </c:pt>
                <c:pt idx="85" formatCode="0.0000">
                  <c:v>1.2108260370720367</c:v>
                </c:pt>
                <c:pt idx="86" formatCode="0.0000">
                  <c:v>1.2158012987279199</c:v>
                </c:pt>
                <c:pt idx="87" formatCode="0.0000">
                  <c:v>1.2203607267451331</c:v>
                </c:pt>
                <c:pt idx="88" formatCode="0.0000">
                  <c:v>1.2232594762841917</c:v>
                </c:pt>
                <c:pt idx="89" formatCode="0.0000">
                  <c:v>1.2244851310221627</c:v>
                </c:pt>
                <c:pt idx="90" formatCode="0.0000">
                  <c:v>1.2243352892403798</c:v>
                </c:pt>
                <c:pt idx="91" formatCode="0.0000">
                  <c:v>1.2227598236426043</c:v>
                </c:pt>
                <c:pt idx="92" formatCode="0.0000">
                  <c:v>1.2253414293801312</c:v>
                </c:pt>
                <c:pt idx="93" formatCode="0.0000">
                  <c:v>1.2263680753637665</c:v>
                </c:pt>
                <c:pt idx="94" formatCode="0.0000">
                  <c:v>1.2268416801449535</c:v>
                </c:pt>
                <c:pt idx="95" formatCode="0.0000">
                  <c:v>1.2258054004506345</c:v>
                </c:pt>
                <c:pt idx="96" formatCode="0.0000">
                  <c:v>1.2234272429824757</c:v>
                </c:pt>
                <c:pt idx="97" formatCode="0.0000">
                  <c:v>1.2205745994643227</c:v>
                </c:pt>
                <c:pt idx="98" formatCode="0.0000">
                  <c:v>1.2177655593071346</c:v>
                </c:pt>
                <c:pt idx="99" formatCode="0.0000">
                  <c:v>1.2149994560227662</c:v>
                </c:pt>
                <c:pt idx="100" formatCode="0.0000">
                  <c:v>1.2122756333105082</c:v>
                </c:pt>
                <c:pt idx="101" formatCode="0.0000">
                  <c:v>1.2095934449013699</c:v>
                </c:pt>
                <c:pt idx="102" formatCode="0.0000">
                  <c:v>1.2069522544047417</c:v>
                </c:pt>
                <c:pt idx="103" formatCode="0.0000">
                  <c:v>1.2043514351574018</c:v>
                </c:pt>
                <c:pt idx="104" formatCode="0.0000">
                  <c:v>1.194274411527884</c:v>
                </c:pt>
                <c:pt idx="105" formatCode="0.0000">
                  <c:v>1.1815766654259277</c:v>
                </c:pt>
                <c:pt idx="106" formatCode="0.0000">
                  <c:v>1.1690461294529664</c:v>
                </c:pt>
                <c:pt idx="107" formatCode="0.0000">
                  <c:v>1.1943396695920241</c:v>
                </c:pt>
                <c:pt idx="108" formatCode="0.0000">
                  <c:v>1.1785346133275452</c:v>
                </c:pt>
                <c:pt idx="109" formatCode="0.0000">
                  <c:v>1.1379491578352405</c:v>
                </c:pt>
                <c:pt idx="110" formatCode="0.0000">
                  <c:v>1.1212390230544249</c:v>
                </c:pt>
                <c:pt idx="111" formatCode="0.0000">
                  <c:v>1.1085995089396108</c:v>
                </c:pt>
                <c:pt idx="112" formatCode="0.0000">
                  <c:v>1.096743062664399</c:v>
                </c:pt>
                <c:pt idx="113" formatCode="0.0000">
                  <c:v>1.0893195850717261</c:v>
                </c:pt>
                <c:pt idx="114" formatCode="0.0000">
                  <c:v>1.0773411929846035</c:v>
                </c:pt>
                <c:pt idx="115" formatCode="0.0000">
                  <c:v>1.0629124034383113</c:v>
                </c:pt>
                <c:pt idx="116" formatCode="0.0000">
                  <c:v>1.0511774209411366</c:v>
                </c:pt>
                <c:pt idx="117" formatCode="0.0000">
                  <c:v>1.0435882142115243</c:v>
                </c:pt>
                <c:pt idx="118" formatCode="0.0000">
                  <c:v>1.0295931980417272</c:v>
                </c:pt>
                <c:pt idx="119" formatCode="0.0000">
                  <c:v>1.0182317171082915</c:v>
                </c:pt>
                <c:pt idx="120" formatCode="0.0000">
                  <c:v>1.0074054818064957</c:v>
                </c:pt>
                <c:pt idx="121" formatCode="0.0000">
                  <c:v>1.1637802430053334</c:v>
                </c:pt>
                <c:pt idx="122" formatCode="0.0000">
                  <c:v>1.1618393186185509</c:v>
                </c:pt>
                <c:pt idx="123" formatCode="0.0000">
                  <c:v>1.1572739048141847</c:v>
                </c:pt>
                <c:pt idx="124" formatCode="0.0000">
                  <c:v>1.0821256801651473</c:v>
                </c:pt>
                <c:pt idx="125" formatCode="0.0000">
                  <c:v>1.0111830275297147</c:v>
                </c:pt>
                <c:pt idx="126" formatCode="0.0000">
                  <c:v>0.95459214297654071</c:v>
                </c:pt>
                <c:pt idx="127" formatCode="0.0000">
                  <c:v>0.93691811756802013</c:v>
                </c:pt>
                <c:pt idx="128" formatCode="0.0000">
                  <c:v>0.92579154926751783</c:v>
                </c:pt>
                <c:pt idx="129" formatCode="0.0000">
                  <c:v>0.91584017007264695</c:v>
                </c:pt>
                <c:pt idx="130" formatCode="0.0000">
                  <c:v>0.90617152912513665</c:v>
                </c:pt>
                <c:pt idx="131" formatCode="0.0000">
                  <c:v>0.89663655166328704</c:v>
                </c:pt>
                <c:pt idx="132" formatCode="0.0000">
                  <c:v>0.8872095275676134</c:v>
                </c:pt>
                <c:pt idx="133" formatCode="0.0000">
                  <c:v>0.87788522879438669</c:v>
                </c:pt>
                <c:pt idx="134" formatCode="0.0000">
                  <c:v>0.86986087850208893</c:v>
                </c:pt>
                <c:pt idx="135" formatCode="0.0000">
                  <c:v>0.85973707642173025</c:v>
                </c:pt>
                <c:pt idx="136" formatCode="0.0000">
                  <c:v>0.85054593378367027</c:v>
                </c:pt>
                <c:pt idx="137" formatCode="0.0000">
                  <c:v>0.84159062918913985</c:v>
                </c:pt>
                <c:pt idx="138" formatCode="0.0000">
                  <c:v>0.83275462778760634</c:v>
                </c:pt>
                <c:pt idx="139" formatCode="0.0000">
                  <c:v>0.82401769593452168</c:v>
                </c:pt>
                <c:pt idx="140" formatCode="0.0000">
                  <c:v>0.81537559031083173</c:v>
                </c:pt>
                <c:pt idx="141" formatCode="0.0000">
                  <c:v>0.80682673130241145</c:v>
                </c:pt>
                <c:pt idx="142" formatCode="0.0000">
                  <c:v>0.7983699915033291</c:v>
                </c:pt>
                <c:pt idx="143" formatCode="0.0000">
                  <c:v>0.79000432862357106</c:v>
                </c:pt>
                <c:pt idx="144" formatCode="0.0000">
                  <c:v>0.78172872445206898</c:v>
                </c:pt>
                <c:pt idx="145" formatCode="0.0000">
                  <c:v>0.77354217460699393</c:v>
                </c:pt>
                <c:pt idx="146" formatCode="0.0000">
                  <c:v>0.76544368671505891</c:v>
                </c:pt>
                <c:pt idx="147" formatCode="0.0000">
                  <c:v>0.75743227999103124</c:v>
                </c:pt>
                <c:pt idx="148" formatCode="0.0000">
                  <c:v>0.74950698505110425</c:v>
                </c:pt>
                <c:pt idx="149" formatCode="0.0000">
                  <c:v>0.74166684376656677</c:v>
                </c:pt>
                <c:pt idx="150" formatCode="0.0000">
                  <c:v>0.73391090912563239</c:v>
                </c:pt>
                <c:pt idx="151" formatCode="0.0000">
                  <c:v>0.72623824509807566</c:v>
                </c:pt>
                <c:pt idx="152" formatCode="0.0000">
                  <c:v>0.71864792650176512</c:v>
                </c:pt>
                <c:pt idx="153" formatCode="0.0000">
                  <c:v>0.71113903887092988</c:v>
                </c:pt>
                <c:pt idx="154" formatCode="0.0000">
                  <c:v>0.70371067832610523</c:v>
                </c:pt>
                <c:pt idx="155" formatCode="0.0000">
                  <c:v>0.69636195144573632</c:v>
                </c:pt>
                <c:pt idx="156" formatCode="0.0000">
                  <c:v>0.68909197513941445</c:v>
                </c:pt>
                <c:pt idx="157" formatCode="0.0000">
                  <c:v>0.68189987652272532</c:v>
                </c:pt>
                <c:pt idx="158" formatCode="0.0000">
                  <c:v>0.97742950881030888</c:v>
                </c:pt>
                <c:pt idx="159" formatCode="0.0000">
                  <c:v>0.95621605772671359</c:v>
                </c:pt>
                <c:pt idx="160" formatCode="0.0000">
                  <c:v>0.89134945577421287</c:v>
                </c:pt>
                <c:pt idx="161" formatCode="0.0000">
                  <c:v>0.83175185454215006</c:v>
                </c:pt>
                <c:pt idx="162" formatCode="0.0000">
                  <c:v>0.7727877984016206</c:v>
                </c:pt>
                <c:pt idx="163" formatCode="0.0000">
                  <c:v>0.71690111387063449</c:v>
                </c:pt>
                <c:pt idx="164" formatCode="0.0000">
                  <c:v>0.66235470795173712</c:v>
                </c:pt>
                <c:pt idx="165" formatCode="0.0000">
                  <c:v>0.66285734973133925</c:v>
                </c:pt>
                <c:pt idx="166" formatCode="0.0000">
                  <c:v>0.65211347372830997</c:v>
                </c:pt>
                <c:pt idx="167" formatCode="0.0000">
                  <c:v>0.6211155363170221</c:v>
                </c:pt>
                <c:pt idx="168" formatCode="0.0000">
                  <c:v>0.60885484564378756</c:v>
                </c:pt>
                <c:pt idx="169" formatCode="0.0000">
                  <c:v>0.60155862688454886</c:v>
                </c:pt>
                <c:pt idx="170" formatCode="0.0000">
                  <c:v>0.59514228966126381</c:v>
                </c:pt>
                <c:pt idx="171" formatCode="0.0000">
                  <c:v>0.58892743435483219</c:v>
                </c:pt>
                <c:pt idx="172" formatCode="0.0000">
                  <c:v>0.58280087921554968</c:v>
                </c:pt>
                <c:pt idx="173" formatCode="0.0000">
                  <c:v>0.57674323966631025</c:v>
                </c:pt>
                <c:pt idx="174" formatCode="0.0000">
                  <c:v>0.57075070239893666</c:v>
                </c:pt>
                <c:pt idx="175" formatCode="0.0000">
                  <c:v>0.56482204477209086</c:v>
                </c:pt>
                <c:pt idx="176" formatCode="0.0000">
                  <c:v>0.55895648077604732</c:v>
                </c:pt>
                <c:pt idx="177" formatCode="0.0000">
                  <c:v>0.55315330351925607</c:v>
                </c:pt>
                <c:pt idx="178" formatCode="0.0000">
                  <c:v>0.5474118258241486</c:v>
                </c:pt>
                <c:pt idx="179" formatCode="0.0000">
                  <c:v>0.54173137029109653</c:v>
                </c:pt>
                <c:pt idx="180" formatCode="0.0000">
                  <c:v>0.53611126757192384</c:v>
                </c:pt>
                <c:pt idx="181" formatCode="0.0000">
                  <c:v>0.5305508560066543</c:v>
                </c:pt>
                <c:pt idx="182" formatCode="0.0000">
                  <c:v>0.5250494814874318</c:v>
                </c:pt>
                <c:pt idx="183" formatCode="0.0000">
                  <c:v>0.51960649736108511</c:v>
                </c:pt>
                <c:pt idx="184" formatCode="0.0000">
                  <c:v>0.51422126433904181</c:v>
                </c:pt>
                <c:pt idx="185" formatCode="0.0000">
                  <c:v>0.50889315040938654</c:v>
                </c:pt>
                <c:pt idx="186" formatCode="0.0000">
                  <c:v>0.50362153075018634</c:v>
                </c:pt>
                <c:pt idx="187" formatCode="0.0000">
                  <c:v>0.49840578764392651</c:v>
                </c:pt>
                <c:pt idx="188" formatCode="0.0000">
                  <c:v>0.49324531039301939</c:v>
                </c:pt>
                <c:pt idx="189" formatCode="0.0000">
                  <c:v>0.48813949523636768</c:v>
                </c:pt>
                <c:pt idx="190" formatCode="0.0000">
                  <c:v>0.48308774526696874</c:v>
                </c:pt>
                <c:pt idx="191" formatCode="0.0000">
                  <c:v>0.47808947035054428</c:v>
                </c:pt>
                <c:pt idx="192" formatCode="0.0000">
                  <c:v>0.47314408704518457</c:v>
                </c:pt>
                <c:pt idx="193" formatCode="0.0000">
                  <c:v>0.46825101852199169</c:v>
                </c:pt>
                <c:pt idx="194" formatCode="0.0000">
                  <c:v>0.46340969448671027</c:v>
                </c:pt>
                <c:pt idx="195" formatCode="0.0000">
                  <c:v>0.48242472455407903</c:v>
                </c:pt>
                <c:pt idx="196" formatCode="0.0000">
                  <c:v>0.45783017400466547</c:v>
                </c:pt>
                <c:pt idx="197" formatCode="0.0000">
                  <c:v>0.44984605501025177</c:v>
                </c:pt>
                <c:pt idx="198" formatCode="0.0000">
                  <c:v>0.44465942840255207</c:v>
                </c:pt>
                <c:pt idx="199" formatCode="0.0000">
                  <c:v>0.43997777742342714</c:v>
                </c:pt>
                <c:pt idx="200" formatCode="0.0000">
                  <c:v>0.43542024697988996</c:v>
                </c:pt>
                <c:pt idx="201" formatCode="0.0000">
                  <c:v>0.43092320110081817</c:v>
                </c:pt>
                <c:pt idx="202" formatCode="0.0000">
                  <c:v>0.42647564693563322</c:v>
                </c:pt>
                <c:pt idx="203" formatCode="0.0000">
                  <c:v>0.42207533192564356</c:v>
                </c:pt>
                <c:pt idx="204" formatCode="0.0000">
                  <c:v>0.41892049989411662</c:v>
                </c:pt>
                <c:pt idx="205" formatCode="0.0000">
                  <c:v>0.42320477028553133</c:v>
                </c:pt>
                <c:pt idx="206" formatCode="0.0000">
                  <c:v>0.52663446852935603</c:v>
                </c:pt>
                <c:pt idx="207" formatCode="0.0000">
                  <c:v>0.67544369260899784</c:v>
                </c:pt>
                <c:pt idx="208" formatCode="0.0000">
                  <c:v>0.61516578340831163</c:v>
                </c:pt>
                <c:pt idx="209" formatCode="0.0000">
                  <c:v>0.55728490967975852</c:v>
                </c:pt>
                <c:pt idx="210" formatCode="0.0000">
                  <c:v>0.50012136988755873</c:v>
                </c:pt>
                <c:pt idx="211" formatCode="0.0000">
                  <c:v>0.4445802312372989</c:v>
                </c:pt>
                <c:pt idx="212" formatCode="0.0000">
                  <c:v>0.39380665514081792</c:v>
                </c:pt>
                <c:pt idx="213" formatCode="0.0000">
                  <c:v>0.38208690704394954</c:v>
                </c:pt>
                <c:pt idx="214" formatCode="0.0000">
                  <c:v>0.37688222807133515</c:v>
                </c:pt>
                <c:pt idx="215" formatCode="0.0000">
                  <c:v>0.37279288191821641</c:v>
                </c:pt>
                <c:pt idx="216" formatCode="0.0000">
                  <c:v>0.36892248624621715</c:v>
                </c:pt>
                <c:pt idx="217" formatCode="0.0000">
                  <c:v>0.36512193288340239</c:v>
                </c:pt>
                <c:pt idx="218" formatCode="0.0000">
                  <c:v>0.36136611768273275</c:v>
                </c:pt>
                <c:pt idx="219" formatCode="0.0000">
                  <c:v>0.36004859975873599</c:v>
                </c:pt>
                <c:pt idx="220" formatCode="0.0000">
                  <c:v>0.35437195655170112</c:v>
                </c:pt>
                <c:pt idx="221" formatCode="0.0000">
                  <c:v>0.35040214635717959</c:v>
                </c:pt>
                <c:pt idx="222" formatCode="0.0000">
                  <c:v>0.34674730379792967</c:v>
                </c:pt>
                <c:pt idx="223" formatCode="0.0000">
                  <c:v>0.3742339678048352</c:v>
                </c:pt>
                <c:pt idx="224" formatCode="0.0000">
                  <c:v>0.34480351731156711</c:v>
                </c:pt>
                <c:pt idx="225" formatCode="0.0000">
                  <c:v>0.34061414299430226</c:v>
                </c:pt>
                <c:pt idx="226" formatCode="0.0000">
                  <c:v>0.33344932990873283</c:v>
                </c:pt>
                <c:pt idx="227" formatCode="0.0000">
                  <c:v>0.32941797721687316</c:v>
                </c:pt>
                <c:pt idx="228" formatCode="0.0000">
                  <c:v>0.32593632626466396</c:v>
                </c:pt>
                <c:pt idx="229" formatCode="0.0000">
                  <c:v>0.32257531793514949</c:v>
                </c:pt>
                <c:pt idx="230" formatCode="0.0000">
                  <c:v>0.32046248082074708</c:v>
                </c:pt>
                <c:pt idx="231" formatCode="0.0000">
                  <c:v>0.31618747659178503</c:v>
                </c:pt>
                <c:pt idx="232" formatCode="0.0000">
                  <c:v>0.3127812207458609</c:v>
                </c:pt>
                <c:pt idx="233" formatCode="0.0000">
                  <c:v>0.30954730534110053</c:v>
                </c:pt>
                <c:pt idx="234" formatCode="0.0000">
                  <c:v>0.34939752078177211</c:v>
                </c:pt>
                <c:pt idx="235" formatCode="0.0000">
                  <c:v>0.31036923677906247</c:v>
                </c:pt>
                <c:pt idx="236" formatCode="0.0000">
                  <c:v>0.30130708284613839</c:v>
                </c:pt>
                <c:pt idx="237" formatCode="0.0000">
                  <c:v>0.29724439276209402</c:v>
                </c:pt>
                <c:pt idx="238" formatCode="0.0000">
                  <c:v>0.29403800046148132</c:v>
                </c:pt>
                <c:pt idx="239" formatCode="0.0000">
                  <c:v>0.29100011825265693</c:v>
                </c:pt>
                <c:pt idx="240" formatCode="0.0000">
                  <c:v>0.28801633441205066</c:v>
                </c:pt>
                <c:pt idx="241" formatCode="0.0000">
                  <c:v>0.28506738424848788</c:v>
                </c:pt>
                <c:pt idx="242" formatCode="0.0000">
                  <c:v>0.28214979451314254</c:v>
                </c:pt>
                <c:pt idx="243" formatCode="0.0000">
                  <c:v>0.27926271538860292</c:v>
                </c:pt>
                <c:pt idx="244" formatCode="0.0000">
                  <c:v>0.27640573540226854</c:v>
                </c:pt>
                <c:pt idx="245" formatCode="0.0000">
                  <c:v>0.2735785188063149</c:v>
                </c:pt>
                <c:pt idx="246" formatCode="0.0000">
                  <c:v>0.27078074537148838</c:v>
                </c:pt>
                <c:pt idx="247" formatCode="0.0000">
                  <c:v>0.26801210036275869</c:v>
                </c:pt>
                <c:pt idx="248" formatCode="0.0000">
                  <c:v>0.26527227284237004</c:v>
                </c:pt>
                <c:pt idx="249" formatCode="0.0000">
                  <c:v>0.26256095535511648</c:v>
                </c:pt>
                <c:pt idx="250" formatCode="0.0000">
                  <c:v>0.25987784384337526</c:v>
                </c:pt>
                <c:pt idx="251" formatCode="0.0000">
                  <c:v>0.25722263760066011</c:v>
                </c:pt>
                <c:pt idx="252" formatCode="0.0000">
                  <c:v>0.25459503923195353</c:v>
                </c:pt>
                <c:pt idx="253" formatCode="0.0000">
                  <c:v>0.25199475461554904</c:v>
                </c:pt>
                <c:pt idx="254" formatCode="0.0000">
                  <c:v>0.24942149286552179</c:v>
                </c:pt>
                <c:pt idx="255" formatCode="0.0000">
                  <c:v>0.24687496629467753</c:v>
                </c:pt>
                <c:pt idx="256" formatCode="0.0000">
                  <c:v>0.24435489037795102</c:v>
                </c:pt>
                <c:pt idx="257" formatCode="0.0000">
                  <c:v>0.24186098371624237</c:v>
                </c:pt>
                <c:pt idx="258" formatCode="0.0000">
                  <c:v>0.23939296800068791</c:v>
                </c:pt>
                <c:pt idx="259" formatCode="0.0000">
                  <c:v>0.23695056797735703</c:v>
                </c:pt>
                <c:pt idx="260" formatCode="0.0000">
                  <c:v>0.23453351141237172</c:v>
                </c:pt>
                <c:pt idx="261" formatCode="0.0000">
                  <c:v>0.23214152905744309</c:v>
                </c:pt>
                <c:pt idx="262" formatCode="0.0000">
                  <c:v>0.2297743546158188</c:v>
                </c:pt>
                <c:pt idx="263" formatCode="0.0000">
                  <c:v>0.23042932776325081</c:v>
                </c:pt>
                <c:pt idx="264" formatCode="0.0000">
                  <c:v>0.22561079008813956</c:v>
                </c:pt>
                <c:pt idx="265" formatCode="0.0000">
                  <c:v>0.22290159796874146</c:v>
                </c:pt>
                <c:pt idx="266" formatCode="0.0000">
                  <c:v>0.22056220762977546</c:v>
                </c:pt>
                <c:pt idx="267" formatCode="0.0000">
                  <c:v>0.21830375581176611</c:v>
                </c:pt>
                <c:pt idx="268" formatCode="0.0000">
                  <c:v>0.21607810214754597</c:v>
                </c:pt>
                <c:pt idx="269" formatCode="0.0000">
                  <c:v>0.21387705321000236</c:v>
                </c:pt>
                <c:pt idx="270" formatCode="0.0000">
                  <c:v>0.21169904646188126</c:v>
                </c:pt>
                <c:pt idx="271" formatCode="0.0000">
                  <c:v>0.2095436218872839</c:v>
                </c:pt>
                <c:pt idx="272" formatCode="0.0000">
                  <c:v>0.21940091682781074</c:v>
                </c:pt>
                <c:pt idx="273" formatCode="0.0000">
                  <c:v>0.28277833211491388</c:v>
                </c:pt>
                <c:pt idx="274" formatCode="0.0000">
                  <c:v>0.21606679241274188</c:v>
                </c:pt>
                <c:pt idx="275" formatCode="0.0000">
                  <c:v>0.20327598093712751</c:v>
                </c:pt>
                <c:pt idx="276" formatCode="0.0000">
                  <c:v>0.19945036449067152</c:v>
                </c:pt>
                <c:pt idx="277" formatCode="0.0000">
                  <c:v>0.19712999897298389</c:v>
                </c:pt>
                <c:pt idx="278" formatCode="0.0000">
                  <c:v>0.19507682273531973</c:v>
                </c:pt>
                <c:pt idx="279" formatCode="0.0000">
                  <c:v>0.19308521248484839</c:v>
                </c:pt>
                <c:pt idx="280" formatCode="0.0000">
                  <c:v>0.19112086595939473</c:v>
                </c:pt>
                <c:pt idx="281" formatCode="0.0000">
                  <c:v>0.18917791125713021</c:v>
                </c:pt>
                <c:pt idx="282" formatCode="0.0000">
                  <c:v>0.18725519606098753</c:v>
                </c:pt>
                <c:pt idx="283" formatCode="0.0000">
                  <c:v>0.18535235313755091</c:v>
                </c:pt>
                <c:pt idx="284" formatCode="0.0000">
                  <c:v>0.18346914743859305</c:v>
                </c:pt>
                <c:pt idx="285" formatCode="0.0000">
                  <c:v>0.18160536773996433</c:v>
                </c:pt>
                <c:pt idx="286" formatCode="0.0000">
                  <c:v>0.17976080863926572</c:v>
                </c:pt>
                <c:pt idx="287" formatCode="0.0000">
                  <c:v>0.17793526754757541</c:v>
                </c:pt>
                <c:pt idx="288" formatCode="0.0000">
                  <c:v>0.19430381857214199</c:v>
                </c:pt>
                <c:pt idx="289" formatCode="0.0000">
                  <c:v>0.1791549405406114</c:v>
                </c:pt>
                <c:pt idx="290" formatCode="0.0000">
                  <c:v>0.29208897673497419</c:v>
                </c:pt>
                <c:pt idx="291" formatCode="0.0000">
                  <c:v>0.31467980980214599</c:v>
                </c:pt>
                <c:pt idx="292" formatCode="0.0000">
                  <c:v>0.82438743556574323</c:v>
                </c:pt>
                <c:pt idx="293" formatCode="0.0000">
                  <c:v>0.85229488620354721</c:v>
                </c:pt>
                <c:pt idx="294" formatCode="0.0000">
                  <c:v>1.0456398126234592</c:v>
                </c:pt>
                <c:pt idx="295" formatCode="0.0000">
                  <c:v>1.0200371921261697</c:v>
                </c:pt>
                <c:pt idx="296" formatCode="0.0000">
                  <c:v>0.91556522394577533</c:v>
                </c:pt>
                <c:pt idx="297" formatCode="0.0000">
                  <c:v>1.0452406208636513</c:v>
                </c:pt>
                <c:pt idx="298" formatCode="0.0000">
                  <c:v>1.0451116038883637</c:v>
                </c:pt>
                <c:pt idx="299" formatCode="0.0000">
                  <c:v>0.95634370109082234</c:v>
                </c:pt>
                <c:pt idx="300" formatCode="0.0000">
                  <c:v>0.92714487393138278</c:v>
                </c:pt>
                <c:pt idx="301" formatCode="0.0000">
                  <c:v>0.91882245642084504</c:v>
                </c:pt>
                <c:pt idx="302" formatCode="0.0000">
                  <c:v>0.87370902658973792</c:v>
                </c:pt>
                <c:pt idx="303" formatCode="0.0000">
                  <c:v>0.94978606508780861</c:v>
                </c:pt>
                <c:pt idx="304" formatCode="0.0000">
                  <c:v>0.89785535062248822</c:v>
                </c:pt>
                <c:pt idx="305" formatCode="0.0000">
                  <c:v>0.80332818558620789</c:v>
                </c:pt>
                <c:pt idx="306" formatCode="0.0000">
                  <c:v>0.74267592736644472</c:v>
                </c:pt>
                <c:pt idx="307" formatCode="0.0000">
                  <c:v>0.64224041337111726</c:v>
                </c:pt>
                <c:pt idx="308" formatCode="0.0000">
                  <c:v>0.62233239054245348</c:v>
                </c:pt>
                <c:pt idx="309" formatCode="0.0000">
                  <c:v>0.52687397155846305</c:v>
                </c:pt>
                <c:pt idx="310" formatCode="0.0000">
                  <c:v>0.44718279688260382</c:v>
                </c:pt>
                <c:pt idx="311" formatCode="0.0000">
                  <c:v>0.42390501743909081</c:v>
                </c:pt>
                <c:pt idx="312" formatCode="0.0000">
                  <c:v>0.33474538370284102</c:v>
                </c:pt>
                <c:pt idx="313" formatCode="0.0000">
                  <c:v>0.32765096516556064</c:v>
                </c:pt>
                <c:pt idx="314" formatCode="0.0000">
                  <c:v>0.27361350519707894</c:v>
                </c:pt>
                <c:pt idx="315" formatCode="0.0000">
                  <c:v>0.19230202736508811</c:v>
                </c:pt>
                <c:pt idx="316" formatCode="0.0000">
                  <c:v>0.17102741624306839</c:v>
                </c:pt>
                <c:pt idx="317" formatCode="0.0000">
                  <c:v>0.14231599320346755</c:v>
                </c:pt>
                <c:pt idx="318" formatCode="0.0000">
                  <c:v>0.13879915011158145</c:v>
                </c:pt>
                <c:pt idx="319" formatCode="0.0000">
                  <c:v>0.13467860416419394</c:v>
                </c:pt>
                <c:pt idx="320" formatCode="0.0000">
                  <c:v>0.13286760787344304</c:v>
                </c:pt>
                <c:pt idx="321" formatCode="0.0000">
                  <c:v>0.13145137205158436</c:v>
                </c:pt>
                <c:pt idx="322" formatCode="0.0000">
                  <c:v>0.14450053839358382</c:v>
                </c:pt>
                <c:pt idx="323" formatCode="0.0000">
                  <c:v>0.13478145860652957</c:v>
                </c:pt>
                <c:pt idx="324" formatCode="0.0000">
                  <c:v>0.45791188809180305</c:v>
                </c:pt>
                <c:pt idx="325" formatCode="0.0000">
                  <c:v>0.65164747111350296</c:v>
                </c:pt>
                <c:pt idx="326" formatCode="0.0000">
                  <c:v>0.56760415657659125</c:v>
                </c:pt>
                <c:pt idx="327" formatCode="0.0000">
                  <c:v>0.48841762213129186</c:v>
                </c:pt>
                <c:pt idx="328" formatCode="0.0000">
                  <c:v>0.50885236405247725</c:v>
                </c:pt>
                <c:pt idx="329" formatCode="0.0000">
                  <c:v>0.82426493966493597</c:v>
                </c:pt>
                <c:pt idx="330" formatCode="0.0000">
                  <c:v>0.92731722976181585</c:v>
                </c:pt>
                <c:pt idx="331" formatCode="0.0000">
                  <c:v>0.819136250320464</c:v>
                </c:pt>
                <c:pt idx="332" formatCode="0.0000">
                  <c:v>0.71375566681195945</c:v>
                </c:pt>
                <c:pt idx="333" formatCode="0.0000">
                  <c:v>0.61398915733317805</c:v>
                </c:pt>
                <c:pt idx="334" formatCode="0.0000">
                  <c:v>0.74444730126775871</c:v>
                </c:pt>
                <c:pt idx="335" formatCode="0.0000">
                  <c:v>1.0252548477275409</c:v>
                </c:pt>
                <c:pt idx="336" formatCode="0.0000">
                  <c:v>0.92225261742671027</c:v>
                </c:pt>
                <c:pt idx="337" formatCode="0.0000">
                  <c:v>0.8135089130542944</c:v>
                </c:pt>
                <c:pt idx="338" formatCode="0.0000">
                  <c:v>0.71050183384077181</c:v>
                </c:pt>
                <c:pt idx="339" formatCode="0.0000">
                  <c:v>0.61272118520088981</c:v>
                </c:pt>
                <c:pt idx="340" formatCode="0.0000">
                  <c:v>0.51975377628137776</c:v>
                </c:pt>
                <c:pt idx="341" formatCode="0.0000">
                  <c:v>0.42968418796154595</c:v>
                </c:pt>
                <c:pt idx="342" formatCode="0.0000">
                  <c:v>0.34066327917074707</c:v>
                </c:pt>
                <c:pt idx="343" formatCode="0.0000">
                  <c:v>0.25472608156632093</c:v>
                </c:pt>
                <c:pt idx="344" formatCode="0.0000">
                  <c:v>0.17168876112690107</c:v>
                </c:pt>
                <c:pt idx="345" formatCode="0.0000">
                  <c:v>0.11595720955681452</c:v>
                </c:pt>
                <c:pt idx="346" formatCode="0.0000">
                  <c:v>0.10642879909112073</c:v>
                </c:pt>
                <c:pt idx="347" formatCode="0.0000">
                  <c:v>0.10337707649150883</c:v>
                </c:pt>
                <c:pt idx="348" formatCode="0.0000">
                  <c:v>0.10200844934550593</c:v>
                </c:pt>
                <c:pt idx="349" formatCode="0.0000">
                  <c:v>0.1009278744570003</c:v>
                </c:pt>
                <c:pt idx="350" formatCode="0.0000">
                  <c:v>9.9903772986599013E-2</c:v>
                </c:pt>
                <c:pt idx="351" formatCode="0.0000">
                  <c:v>9.8897628053771822E-2</c:v>
                </c:pt>
                <c:pt idx="352" formatCode="0.0000">
                  <c:v>0.14665861946730746</c:v>
                </c:pt>
                <c:pt idx="353" formatCode="0.0000">
                  <c:v>0.10740702268983637</c:v>
                </c:pt>
                <c:pt idx="354" formatCode="0.0000">
                  <c:v>9.768469387925019E-2</c:v>
                </c:pt>
                <c:pt idx="355" formatCode="0.0000">
                  <c:v>0.25770772950020521</c:v>
                </c:pt>
                <c:pt idx="356" formatCode="0.0000">
                  <c:v>0.22903023301013278</c:v>
                </c:pt>
                <c:pt idx="357" formatCode="0.0000">
                  <c:v>0.1658933512524885</c:v>
                </c:pt>
                <c:pt idx="358" formatCode="0.0000">
                  <c:v>0.59753985423092371</c:v>
                </c:pt>
                <c:pt idx="359" formatCode="0.0000">
                  <c:v>0.50239219337143648</c:v>
                </c:pt>
                <c:pt idx="360" formatCode="0.0000">
                  <c:v>0.41046355972942539</c:v>
                </c:pt>
                <c:pt idx="361" formatCode="0.0000">
                  <c:v>0.75188114670049944</c:v>
                </c:pt>
                <c:pt idx="362" formatCode="0.0000">
                  <c:v>0.71491317104487884</c:v>
                </c:pt>
                <c:pt idx="363" formatCode="0.0000">
                  <c:v>0.61561765614380859</c:v>
                </c:pt>
                <c:pt idx="364" formatCode="0.0000">
                  <c:v>1.0398072821553548</c:v>
                </c:pt>
                <c:pt idx="365" formatCode="0.0000">
                  <c:v>1.0397613151046143</c:v>
                </c:pt>
                <c:pt idx="366" formatCode="0.0000">
                  <c:v>1.0397160506716014</c:v>
                </c:pt>
                <c:pt idx="367" formatCode="0.0000">
                  <c:v>1.0396714781166303</c:v>
                </c:pt>
                <c:pt idx="368" formatCode="0.0000">
                  <c:v>1.0396275868641742</c:v>
                </c:pt>
                <c:pt idx="369" formatCode="0.0000">
                  <c:v>1.0395843665003559</c:v>
                </c:pt>
                <c:pt idx="370" formatCode="0.0000">
                  <c:v>1.0395418067704769</c:v>
                </c:pt>
                <c:pt idx="371" formatCode="0.0000">
                  <c:v>1.0394998975765841</c:v>
                </c:pt>
                <c:pt idx="372" formatCode="0.0000">
                  <c:v>1.0394586289750742</c:v>
                </c:pt>
                <c:pt idx="373" formatCode="0.0000">
                  <c:v>1.0394179911743344</c:v>
                </c:pt>
                <c:pt idx="374" formatCode="0.0000">
                  <c:v>1.0393779745324194</c:v>
                </c:pt>
                <c:pt idx="375" formatCode="0.0000">
                  <c:v>1.0395830815184743</c:v>
                </c:pt>
                <c:pt idx="376" formatCode="0.0000">
                  <c:v>1.0415302175618193</c:v>
                </c:pt>
                <c:pt idx="377" formatCode="0.0000">
                  <c:v>1.0420027327948738</c:v>
                </c:pt>
                <c:pt idx="378" formatCode="0.0000">
                  <c:v>1.041923207738688</c:v>
                </c:pt>
                <c:pt idx="379" formatCode="0.0000">
                  <c:v>1.0418448982426338</c:v>
                </c:pt>
                <c:pt idx="380" formatCode="0.0000">
                  <c:v>1.0417677857265746</c:v>
                </c:pt>
                <c:pt idx="381" formatCode="0.0000">
                  <c:v>1.041691851894375</c:v>
                </c:pt>
                <c:pt idx="382" formatCode="0.0000">
                  <c:v>1.0436815271987745</c:v>
                </c:pt>
                <c:pt idx="383" formatCode="0.0000">
                  <c:v>1.0439681683560886</c:v>
                </c:pt>
                <c:pt idx="384" formatCode="0.0000">
                  <c:v>1.0438586011317583</c:v>
                </c:pt>
                <c:pt idx="385" formatCode="0.0000">
                  <c:v>1.0437507086695221</c:v>
                </c:pt>
                <c:pt idx="386" formatCode="0.0000">
                  <c:v>1.0436444653702277</c:v>
                </c:pt>
                <c:pt idx="387" formatCode="0.0000">
                  <c:v>1.0435398460260119</c:v>
                </c:pt>
                <c:pt idx="388" formatCode="0.0000">
                  <c:v>1.0434368258143205</c:v>
                </c:pt>
                <c:pt idx="389" formatCode="0.0000">
                  <c:v>1.0433353802920173</c:v>
                </c:pt>
                <c:pt idx="390" formatCode="0.0000">
                  <c:v>1.0438614057816804</c:v>
                </c:pt>
                <c:pt idx="391" formatCode="0.0000">
                  <c:v>1.045121560680595</c:v>
                </c:pt>
                <c:pt idx="392" formatCode="0.0000">
                  <c:v>1.0449943635696211</c:v>
                </c:pt>
                <c:pt idx="393" formatCode="0.0000">
                  <c:v>1.0479545556226875</c:v>
                </c:pt>
                <c:pt idx="394" formatCode="0.0000">
                  <c:v>1.0503415633926061</c:v>
                </c:pt>
                <c:pt idx="395" formatCode="0.0000">
                  <c:v>1.0508203461267067</c:v>
                </c:pt>
                <c:pt idx="396" formatCode="0.0000">
                  <c:v>1.051442026741809</c:v>
                </c:pt>
                <c:pt idx="397" formatCode="0.0000">
                  <c:v>1.0512182197455198</c:v>
                </c:pt>
                <c:pt idx="398" formatCode="0.0000">
                  <c:v>1.0509978336944639</c:v>
                </c:pt>
                <c:pt idx="399" formatCode="0.0000">
                  <c:v>1.0507808162986481</c:v>
                </c:pt>
                <c:pt idx="400" formatCode="0.0000">
                  <c:v>1.0505671160673449</c:v>
                </c:pt>
                <c:pt idx="401" formatCode="0.0000">
                  <c:v>1.0503566822968753</c:v>
                </c:pt>
                <c:pt idx="402" formatCode="0.0000">
                  <c:v>1.0501494650585781</c:v>
                </c:pt>
                <c:pt idx="403" formatCode="0.0000">
                  <c:v>1.0499454151869645</c:v>
                </c:pt>
                <c:pt idx="404" formatCode="0.0000">
                  <c:v>1.0099076472499202</c:v>
                </c:pt>
                <c:pt idx="405" formatCode="0.0000">
                  <c:v>1.0096342940479062</c:v>
                </c:pt>
                <c:pt idx="406" formatCode="0.0000">
                  <c:v>0.90729000643512647</c:v>
                </c:pt>
                <c:pt idx="407" formatCode="0.0000">
                  <c:v>0.8071752690546774</c:v>
                </c:pt>
                <c:pt idx="408" formatCode="0.0000">
                  <c:v>1.0489710075041279</c:v>
                </c:pt>
                <c:pt idx="409" formatCode="0.0000">
                  <c:v>1.0095532042059043</c:v>
                </c:pt>
                <c:pt idx="410" formatCode="0.0000">
                  <c:v>0.97124049691532621</c:v>
                </c:pt>
                <c:pt idx="411" formatCode="0.0000">
                  <c:v>1.0503639005474368</c:v>
                </c:pt>
                <c:pt idx="412" formatCode="0.0000">
                  <c:v>1.0504719101075506</c:v>
                </c:pt>
                <c:pt idx="413" formatCode="0.0000">
                  <c:v>1.0502629315836984</c:v>
                </c:pt>
                <c:pt idx="414" formatCode="0.0000">
                  <c:v>1.0500571473482148</c:v>
                </c:pt>
                <c:pt idx="415" formatCode="0.0000">
                  <c:v>1.0498545085756128</c:v>
                </c:pt>
                <c:pt idx="416" formatCode="0.0000">
                  <c:v>1.0496549671867148</c:v>
                </c:pt>
                <c:pt idx="417" formatCode="0.0000">
                  <c:v>1.0511350592045854</c:v>
                </c:pt>
                <c:pt idx="418" formatCode="0.0000">
                  <c:v>1.0514589263309784</c:v>
                </c:pt>
                <c:pt idx="419" formatCode="0.0000">
                  <c:v>1.0534616921213786</c:v>
                </c:pt>
                <c:pt idx="420" formatCode="0.0000">
                  <c:v>1.0537629587625255</c:v>
                </c:pt>
                <c:pt idx="421" formatCode="0.0000">
                  <c:v>1.0580280261663702</c:v>
                </c:pt>
                <c:pt idx="422" formatCode="0.0000">
                  <c:v>1.0634146188590123</c:v>
                </c:pt>
                <c:pt idx="423" formatCode="0.0000">
                  <c:v>1.0691325728682337</c:v>
                </c:pt>
                <c:pt idx="424" formatCode="0.0000">
                  <c:v>1.0774296437758295</c:v>
                </c:pt>
                <c:pt idx="425" formatCode="0.0000">
                  <c:v>1.0861951685028539</c:v>
                </c:pt>
                <c:pt idx="426" formatCode="0.0000">
                  <c:v>1.0933015371378294</c:v>
                </c:pt>
                <c:pt idx="427" formatCode="0.0000">
                  <c:v>1.0984649283239207</c:v>
                </c:pt>
                <c:pt idx="428" formatCode="0.0000">
                  <c:v>1.1025780699199572</c:v>
                </c:pt>
                <c:pt idx="429" formatCode="0.0000">
                  <c:v>1.1050712662016298</c:v>
                </c:pt>
                <c:pt idx="430" formatCode="0.0000">
                  <c:v>1.1059322484329177</c:v>
                </c:pt>
                <c:pt idx="431" formatCode="0.0000">
                  <c:v>1.1068364401231865</c:v>
                </c:pt>
                <c:pt idx="432" formatCode="0.0000">
                  <c:v>1.1061958609874596</c:v>
                </c:pt>
                <c:pt idx="433" formatCode="0.0000">
                  <c:v>1.1052050916389324</c:v>
                </c:pt>
                <c:pt idx="434" formatCode="0.0000">
                  <c:v>1.1041595029126885</c:v>
                </c:pt>
                <c:pt idx="435" formatCode="0.0000">
                  <c:v>1.1031298962684541</c:v>
                </c:pt>
                <c:pt idx="436" formatCode="0.0000">
                  <c:v>1.1021160274161572</c:v>
                </c:pt>
                <c:pt idx="437" formatCode="0.0000">
                  <c:v>1.11057747562749</c:v>
                </c:pt>
                <c:pt idx="438" formatCode="0.0000">
                  <c:v>1.1181754418157284</c:v>
                </c:pt>
                <c:pt idx="439" formatCode="0.0000">
                  <c:v>1.1270019104631375</c:v>
                </c:pt>
                <c:pt idx="440" formatCode="0.0000">
                  <c:v>1.1359268857976021</c:v>
                </c:pt>
                <c:pt idx="441" formatCode="0.0000">
                  <c:v>1.1467185465892515</c:v>
                </c:pt>
                <c:pt idx="442" formatCode="0.0000">
                  <c:v>1.1578775232947667</c:v>
                </c:pt>
                <c:pt idx="443" formatCode="0.0000">
                  <c:v>1.1688170594972416</c:v>
                </c:pt>
                <c:pt idx="444" formatCode="0.0000">
                  <c:v>1.1797742957258439</c:v>
                </c:pt>
                <c:pt idx="445" formatCode="0.0000">
                  <c:v>1.1923215183924822</c:v>
                </c:pt>
                <c:pt idx="446" formatCode="0.0000">
                  <c:v>1.2030058804252859</c:v>
                </c:pt>
                <c:pt idx="447" formatCode="0.0000">
                  <c:v>1.2127086957806887</c:v>
                </c:pt>
                <c:pt idx="448" formatCode="0.0000">
                  <c:v>1.2205970552739618</c:v>
                </c:pt>
                <c:pt idx="449" formatCode="0.0000">
                  <c:v>1.2284237193638634</c:v>
                </c:pt>
                <c:pt idx="450" formatCode="0.0000">
                  <c:v>1.2346227665422591</c:v>
                </c:pt>
                <c:pt idx="451" formatCode="0.0000">
                  <c:v>1.2399343631657387</c:v>
                </c:pt>
                <c:pt idx="452" formatCode="0.0000">
                  <c:v>1.2448181527554585</c:v>
                </c:pt>
                <c:pt idx="453" formatCode="0.0000">
                  <c:v>1.2480295500587442</c:v>
                </c:pt>
                <c:pt idx="454" formatCode="0.0000">
                  <c:v>1.2495563954485758</c:v>
                </c:pt>
                <c:pt idx="455" formatCode="0.0000">
                  <c:v>1.2496965416305281</c:v>
                </c:pt>
                <c:pt idx="456" formatCode="0.0000">
                  <c:v>1.2484001133011404</c:v>
                </c:pt>
                <c:pt idx="457" formatCode="0.0000">
                  <c:v>1.2512500170329599</c:v>
                </c:pt>
                <c:pt idx="458" formatCode="0.0000">
                  <c:v>1.2525344644123599</c:v>
                </c:pt>
                <c:pt idx="459" formatCode="0.0000">
                  <c:v>1.253255608579374</c:v>
                </c:pt>
                <c:pt idx="460" formatCode="0.0000">
                  <c:v>1.2524568445782771</c:v>
                </c:pt>
                <c:pt idx="461" formatCode="0.0000">
                  <c:v>1.2503064168950828</c:v>
                </c:pt>
                <c:pt idx="462" formatCode="0.0000">
                  <c:v>1.2470429185627572</c:v>
                </c:pt>
                <c:pt idx="463" formatCode="0.0000">
                  <c:v>1.2438293036087391</c:v>
                </c:pt>
                <c:pt idx="464" formatCode="0.0000">
                  <c:v>1.2406648095532669</c:v>
                </c:pt>
                <c:pt idx="465" formatCode="0.0000">
                  <c:v>1.2375486855712701</c:v>
                </c:pt>
                <c:pt idx="466" formatCode="0.0000">
                  <c:v>1.234480192314225</c:v>
                </c:pt>
                <c:pt idx="467" formatCode="0.0000">
                  <c:v>1.2314586017347331</c:v>
                </c:pt>
                <c:pt idx="468" formatCode="0.0000">
                  <c:v>1.2284831969137795</c:v>
                </c:pt>
                <c:pt idx="469" formatCode="0.0000">
                  <c:v>1.2255532718906343</c:v>
                </c:pt>
                <c:pt idx="470" formatCode="0.0000">
                  <c:v>1.2226681314953516</c:v>
                </c:pt>
                <c:pt idx="471" formatCode="0.0000">
                  <c:v>1.2198270911838294</c:v>
                </c:pt>
                <c:pt idx="472" formatCode="0.0000">
                  <c:v>1.2170294768753922</c:v>
                </c:pt>
                <c:pt idx="473" formatCode="0.0000">
                  <c:v>1.2142746247928535</c:v>
                </c:pt>
                <c:pt idx="474" formatCode="0.0000">
                  <c:v>1.1965797480716795</c:v>
                </c:pt>
                <c:pt idx="475" formatCode="0.0000">
                  <c:v>1.1791723999406842</c:v>
                </c:pt>
                <c:pt idx="476" formatCode="0.0000">
                  <c:v>1.1658443690580893</c:v>
                </c:pt>
                <c:pt idx="477" formatCode="0.0000">
                  <c:v>1.1533079889853184</c:v>
                </c:pt>
                <c:pt idx="478" formatCode="0.0000">
                  <c:v>1.1452130484993832</c:v>
                </c:pt>
                <c:pt idx="479" formatCode="0.0000">
                  <c:v>1.1325715538818648</c:v>
                </c:pt>
                <c:pt idx="480" formatCode="0.0000">
                  <c:v>1.1174879131296604</c:v>
                </c:pt>
                <c:pt idx="481" formatCode="0.0000">
                  <c:v>1.105106223194587</c:v>
                </c:pt>
                <c:pt idx="482" formatCode="0.0000">
                  <c:v>1.0968783466996992</c:v>
                </c:pt>
                <c:pt idx="483" formatCode="0.0000">
                  <c:v>1.0822525937824135</c:v>
                </c:pt>
                <c:pt idx="484" formatCode="0.0000">
                  <c:v>1.0702682058847544</c:v>
                </c:pt>
                <c:pt idx="485" formatCode="0.0000">
                  <c:v>1.058826791567854</c:v>
                </c:pt>
                <c:pt idx="486" formatCode="0.0000">
                  <c:v>1.1820686985419453</c:v>
                </c:pt>
                <c:pt idx="487" formatCode="0.0000">
                  <c:v>1.1798482305938378</c:v>
                </c:pt>
                <c:pt idx="488" formatCode="0.0000">
                  <c:v>1.1776617030469185</c:v>
                </c:pt>
                <c:pt idx="489" formatCode="0.0000">
                  <c:v>1.1311615645946378</c:v>
                </c:pt>
                <c:pt idx="490" formatCode="0.0000">
                  <c:v>1.0596408928304655</c:v>
                </c:pt>
                <c:pt idx="491" formatCode="0.0000">
                  <c:v>1.0024791344195483</c:v>
                </c:pt>
                <c:pt idx="492" formatCode="0.0000">
                  <c:v>0.9842412878579776</c:v>
                </c:pt>
                <c:pt idx="493" formatCode="0.0000">
                  <c:v>0.97255785979364906</c:v>
                </c:pt>
                <c:pt idx="494" formatCode="0.0000">
                  <c:v>0.96205649214203737</c:v>
                </c:pt>
                <c:pt idx="495" formatCode="0.0000">
                  <c:v>0.95184464517881207</c:v>
                </c:pt>
                <c:pt idx="496" formatCode="0.0000">
                  <c:v>0.94177315647529014</c:v>
                </c:pt>
                <c:pt idx="497" formatCode="0.0000">
                  <c:v>0.93181622942732067</c:v>
                </c:pt>
                <c:pt idx="498" formatCode="0.0000">
                  <c:v>0.92196855067230854</c:v>
                </c:pt>
                <c:pt idx="499" formatCode="0.0000">
                  <c:v>0.91342725919938628</c:v>
                </c:pt>
                <c:pt idx="500" formatCode="0.0000">
                  <c:v>0.90279287170368605</c:v>
                </c:pt>
                <c:pt idx="501" formatCode="0.0000">
                  <c:v>0.89309741749734295</c:v>
                </c:pt>
                <c:pt idx="502" formatCode="0.0000">
                  <c:v>0.8836439943654274</c:v>
                </c:pt>
                <c:pt idx="503" formatCode="0.0000">
                  <c:v>0.87431598772794195</c:v>
                </c:pt>
                <c:pt idx="504" formatCode="0.0000">
                  <c:v>0.86509308528242546</c:v>
                </c:pt>
                <c:pt idx="505" formatCode="0.0000">
                  <c:v>0.85597096610853174</c:v>
                </c:pt>
                <c:pt idx="506" formatCode="0.0000">
                  <c:v>0.84694797403275002</c:v>
                </c:pt>
                <c:pt idx="507" formatCode="0.0000">
                  <c:v>0.83802290611716435</c:v>
                </c:pt>
                <c:pt idx="508" formatCode="0.0000">
                  <c:v>0.82919464555288258</c:v>
                </c:pt>
                <c:pt idx="509" formatCode="0.0000">
                  <c:v>0.82046210060896962</c:v>
                </c:pt>
                <c:pt idx="510" formatCode="0.0000">
                  <c:v>0.81182419436885334</c:v>
                </c:pt>
                <c:pt idx="511" formatCode="0.0000">
                  <c:v>0.80327986289593312</c:v>
                </c:pt>
                <c:pt idx="512" formatCode="0.0000">
                  <c:v>0.7948280547995985</c:v>
                </c:pt>
                <c:pt idx="513" formatCode="0.0000">
                  <c:v>0.78646773103529599</c:v>
                </c:pt>
                <c:pt idx="514" formatCode="0.0000">
                  <c:v>0.77819786474508745</c:v>
                </c:pt>
                <c:pt idx="515" formatCode="0.0000">
                  <c:v>0.77001744110655246</c:v>
                </c:pt>
                <c:pt idx="516" formatCode="0.0000">
                  <c:v>0.76192545718468452</c:v>
                </c:pt>
                <c:pt idx="517" formatCode="0.0000">
                  <c:v>0.75392092178586556</c:v>
                </c:pt>
                <c:pt idx="518" formatCode="0.0000">
                  <c:v>0.74600285531375188</c:v>
                </c:pt>
                <c:pt idx="519" formatCode="0.0000">
                  <c:v>0.73817028962701792</c:v>
                </c:pt>
                <c:pt idx="520" formatCode="0.0000">
                  <c:v>0.73042226789893028</c:v>
                </c:pt>
                <c:pt idx="521" formatCode="0.0000">
                  <c:v>0.72275784447872704</c:v>
                </c:pt>
                <c:pt idx="522" formatCode="0.0000">
                  <c:v>0.71517608475477812</c:v>
                </c:pt>
                <c:pt idx="523" formatCode="0.0000">
                  <c:v>1.0103207810361228</c:v>
                </c:pt>
                <c:pt idx="524" formatCode="0.0000">
                  <c:v>0.988727058951967</c:v>
                </c:pt>
                <c:pt idx="525" formatCode="0.0000">
                  <c:v>0.92348479170830444</c:v>
                </c:pt>
                <c:pt idx="526" formatCode="0.0000">
                  <c:v>0.86351607238622408</c:v>
                </c:pt>
                <c:pt idx="527" formatCode="0.0000">
                  <c:v>0.80418538762571379</c:v>
                </c:pt>
                <c:pt idx="528" formatCode="0.0000">
                  <c:v>0.74793650698009861</c:v>
                </c:pt>
                <c:pt idx="529" formatCode="0.0000">
                  <c:v>0.69303228124308924</c:v>
                </c:pt>
                <c:pt idx="530" formatCode="0.0000">
                  <c:v>0.6931814240376909</c:v>
                </c:pt>
                <c:pt idx="531" formatCode="0.0000">
                  <c:v>0.68208831515452262</c:v>
                </c:pt>
                <c:pt idx="532" formatCode="0.0000">
                  <c:v>0.65074535696473546</c:v>
                </c:pt>
                <c:pt idx="533" formatCode="0.0000">
                  <c:v>0.63814380432646411</c:v>
                </c:pt>
                <c:pt idx="534" formatCode="0.0000">
                  <c:v>0.63051082983267659</c:v>
                </c:pt>
                <c:pt idx="535" formatCode="0.0000">
                  <c:v>0.62376179121785713</c:v>
                </c:pt>
                <c:pt idx="536" formatCode="0.0000">
                  <c:v>0.61721823766136852</c:v>
                </c:pt>
                <c:pt idx="537" formatCode="0.0000">
                  <c:v>0.6107669368884775</c:v>
                </c:pt>
                <c:pt idx="538" formatCode="0.0000">
                  <c:v>0.60438845446426148</c:v>
                </c:pt>
                <c:pt idx="539" formatCode="0.0000">
                  <c:v>0.59807892788077688</c:v>
                </c:pt>
                <c:pt idx="540" formatCode="0.0000">
                  <c:v>0.59183708594593476</c:v>
                </c:pt>
                <c:pt idx="541" formatCode="0.0000">
                  <c:v>0.58566209473937048</c:v>
                </c:pt>
                <c:pt idx="542" formatCode="0.0000">
                  <c:v>0.57955320009022626</c:v>
                </c:pt>
                <c:pt idx="543" formatCode="0.0000">
                  <c:v>0.57350966816430282</c:v>
                </c:pt>
                <c:pt idx="544" formatCode="0.0000">
                  <c:v>0.56753077551948561</c:v>
                </c:pt>
                <c:pt idx="545" formatCode="0.0000">
                  <c:v>0.56161580737084438</c:v>
                </c:pt>
                <c:pt idx="546" formatCode="0.0000">
                  <c:v>0.55576405721908895</c:v>
                </c:pt>
                <c:pt idx="547" formatCode="0.0000">
                  <c:v>0.54997482670631326</c:v>
                </c:pt>
                <c:pt idx="548" formatCode="0.0000">
                  <c:v>0.54424742551050087</c:v>
                </c:pt>
                <c:pt idx="549" formatCode="0.0000">
                  <c:v>0.53858117124749205</c:v>
                </c:pt>
                <c:pt idx="550" formatCode="0.0000">
                  <c:v>0.53297538937520839</c:v>
                </c:pt>
                <c:pt idx="551" formatCode="0.0000">
                  <c:v>0.52742941309925473</c:v>
                </c:pt>
                <c:pt idx="552" formatCode="0.0000">
                  <c:v>0.52194258327974097</c:v>
                </c:pt>
                <c:pt idx="553" formatCode="0.0000">
                  <c:v>0.5165142483392835</c:v>
                </c:pt>
                <c:pt idx="554" formatCode="0.0000">
                  <c:v>0.51114376417216811</c:v>
                </c:pt>
                <c:pt idx="555" formatCode="0.0000">
                  <c:v>0.50583049405465674</c:v>
                </c:pt>
                <c:pt idx="556" formatCode="0.0000">
                  <c:v>0.50057380855642408</c:v>
                </c:pt>
                <c:pt idx="557" formatCode="0.0000">
                  <c:v>0.49537308545310865</c:v>
                </c:pt>
                <c:pt idx="558" formatCode="0.0000">
                  <c:v>0.49022770963996398</c:v>
                </c:pt>
                <c:pt idx="559" formatCode="0.0000">
                  <c:v>0.4851370730465947</c:v>
                </c:pt>
                <c:pt idx="560" formatCode="0.0000">
                  <c:v>0.50390574800451049</c:v>
                </c:pt>
                <c:pt idx="561" formatCode="0.0000">
                  <c:v>0.47906776299726017</c:v>
                </c:pt>
                <c:pt idx="562" formatCode="0.0000">
                  <c:v>0.47084309387920914</c:v>
                </c:pt>
                <c:pt idx="563" formatCode="0.0000">
                  <c:v>0.46541876563774298</c:v>
                </c:pt>
                <c:pt idx="564" formatCode="0.0000">
                  <c:v>0.46050222613705871</c:v>
                </c:pt>
                <c:pt idx="565" formatCode="0.0000">
                  <c:v>0.45571258536683773</c:v>
                </c:pt>
                <c:pt idx="566" formatCode="0.0000">
                  <c:v>0.45098617289271459</c:v>
                </c:pt>
                <c:pt idx="567" formatCode="0.0000">
                  <c:v>0.4463119618487994</c:v>
                </c:pt>
                <c:pt idx="568" formatCode="0.0000">
                  <c:v>0.44168766610295151</c:v>
                </c:pt>
                <c:pt idx="569" formatCode="0.0000">
                  <c:v>0.43831149634086725</c:v>
                </c:pt>
                <c:pt idx="570" formatCode="0.0000">
                  <c:v>0.44237703929943051</c:v>
                </c:pt>
                <c:pt idx="571" formatCode="0.0000">
                  <c:v>0.54559058812467331</c:v>
                </c:pt>
                <c:pt idx="572" formatCode="0.0000">
                  <c:v>0.69418620893498861</c:v>
                </c:pt>
                <c:pt idx="573" formatCode="0.0000">
                  <c:v>0.63369721116198208</c:v>
                </c:pt>
                <c:pt idx="574" formatCode="0.0000">
                  <c:v>0.57560773251305519</c:v>
                </c:pt>
                <c:pt idx="575" formatCode="0.0000">
                  <c:v>0.51823804080905633</c:v>
                </c:pt>
                <c:pt idx="576" formatCode="0.0000">
                  <c:v>0.46249317300846887</c:v>
                </c:pt>
                <c:pt idx="577" formatCode="0.0000">
                  <c:v>0.41151826066694841</c:v>
                </c:pt>
                <c:pt idx="578" formatCode="0.0000">
                  <c:v>0.39959953975979451</c:v>
                </c:pt>
                <c:pt idx="579" formatCode="0.0000">
                  <c:v>0.39419822232156576</c:v>
                </c:pt>
                <c:pt idx="580" formatCode="0.0000">
                  <c:v>0.38991454333274655</c:v>
                </c:pt>
                <c:pt idx="581" formatCode="0.0000">
                  <c:v>0.38585209211047522</c:v>
                </c:pt>
                <c:pt idx="582" formatCode="0.0000">
                  <c:v>0.3818617325036196</c:v>
                </c:pt>
                <c:pt idx="583" formatCode="0.0000">
                  <c:v>0.37791833274631792</c:v>
                </c:pt>
                <c:pt idx="584" formatCode="0.0000">
                  <c:v>0.37641542468980427</c:v>
                </c:pt>
                <c:pt idx="585" formatCode="0.0000">
                  <c:v>0.3705555588618259</c:v>
                </c:pt>
                <c:pt idx="586" formatCode="0.0000">
                  <c:v>0.36640466699143226</c:v>
                </c:pt>
                <c:pt idx="587" formatCode="0.0000">
                  <c:v>0.36257085747627438</c:v>
                </c:pt>
                <c:pt idx="588" formatCode="0.0000">
                  <c:v>0.38988064335894201</c:v>
                </c:pt>
                <c:pt idx="589" formatCode="0.0000">
                  <c:v>0.36027537801710868</c:v>
                </c:pt>
                <c:pt idx="590" formatCode="0.0000">
                  <c:v>0.35591322689879518</c:v>
                </c:pt>
                <c:pt idx="591" formatCode="0.0000">
                  <c:v>0.34857765015498732</c:v>
                </c:pt>
                <c:pt idx="592" formatCode="0.0000">
                  <c:v>0.34437752236211089</c:v>
                </c:pt>
                <c:pt idx="593" formatCode="0.0000">
                  <c:v>0.34072906059536495</c:v>
                </c:pt>
                <c:pt idx="594" formatCode="0.0000">
                  <c:v>0.3372031817776866</c:v>
                </c:pt>
                <c:pt idx="595" formatCode="0.0000">
                  <c:v>0.3349273908478671</c:v>
                </c:pt>
                <c:pt idx="596" formatCode="0.0000">
                  <c:v>0.33049132612499427</c:v>
                </c:pt>
                <c:pt idx="597" formatCode="0.0000">
                  <c:v>0.32692588005377154</c:v>
                </c:pt>
                <c:pt idx="598" formatCode="0.0000">
                  <c:v>0.32353462193379368</c:v>
                </c:pt>
                <c:pt idx="599" formatCode="0.0000">
                  <c:v>0.36322931970123307</c:v>
                </c:pt>
                <c:pt idx="600" formatCode="0.0000">
                  <c:v>0.32404732088574312</c:v>
                </c:pt>
                <c:pt idx="601" formatCode="0.0000">
                  <c:v>0.31483323310169881</c:v>
                </c:pt>
                <c:pt idx="602" formatCode="0.0000">
                  <c:v>0.31062036850837799</c:v>
                </c:pt>
                <c:pt idx="603" formatCode="0.0000">
                  <c:v>0.30726553969577619</c:v>
                </c:pt>
                <c:pt idx="604" formatCode="0.0000">
                  <c:v>0.30408093789929053</c:v>
                </c:pt>
                <c:pt idx="605" formatCode="0.0000">
                  <c:v>0.3009521305903754</c:v>
                </c:pt>
                <c:pt idx="606" formatCode="0.0000">
                  <c:v>0.29785983253730175</c:v>
                </c:pt>
                <c:pt idx="607" formatCode="0.0000">
                  <c:v>0.29480055021159607</c:v>
                </c:pt>
                <c:pt idx="608" formatCode="0.0000">
                  <c:v>0.29177341377364147</c:v>
                </c:pt>
                <c:pt idx="609" formatCode="0.0000">
                  <c:v>0.28877799198265725</c:v>
                </c:pt>
                <c:pt idx="610" formatCode="0.0000">
                  <c:v>0.28581392957329238</c:v>
                </c:pt>
                <c:pt idx="611" formatCode="0.0000">
                  <c:v>0.28288088704609804</c:v>
                </c:pt>
                <c:pt idx="612" formatCode="0.0000">
                  <c:v>0.2799785306399008</c:v>
                </c:pt>
                <c:pt idx="613" formatCode="0.0000">
                  <c:v>0.27710653063162155</c:v>
                </c:pt>
                <c:pt idx="614" formatCode="0.0000">
                  <c:v>0.27426456101836272</c:v>
                </c:pt>
                <c:pt idx="615" formatCode="0.0000">
                  <c:v>0.27145229942929677</c:v>
                </c:pt>
                <c:pt idx="616" formatCode="0.0000">
                  <c:v>0.26866942707611841</c:v>
                </c:pt>
                <c:pt idx="617" formatCode="0.0000">
                  <c:v>0.26591562871031832</c:v>
                </c:pt>
                <c:pt idx="618" formatCode="0.0000">
                  <c:v>0.26319059258200905</c:v>
                </c:pt>
                <c:pt idx="619" formatCode="0.0000">
                  <c:v>0.26049401039941988</c:v>
                </c:pt>
                <c:pt idx="620" formatCode="0.0000">
                  <c:v>0.25782557728891292</c:v>
                </c:pt>
                <c:pt idx="621" formatCode="0.0000">
                  <c:v>0.25518499175548609</c:v>
                </c:pt>
                <c:pt idx="622" formatCode="0.0000">
                  <c:v>0.25257195564375651</c:v>
                </c:pt>
                <c:pt idx="623" formatCode="0.0000">
                  <c:v>0.24998617409941518</c:v>
                </c:pt>
                <c:pt idx="624" formatCode="0.0000">
                  <c:v>0.24742735553114792</c:v>
                </c:pt>
                <c:pt idx="625" formatCode="0.0000">
                  <c:v>0.24489521157301647</c:v>
                </c:pt>
                <c:pt idx="626" formatCode="0.0000">
                  <c:v>0.24238945704729398</c:v>
                </c:pt>
                <c:pt idx="627" formatCode="0.0000">
                  <c:v>0.23990980992774827</c:v>
                </c:pt>
                <c:pt idx="628" formatCode="0.0000">
                  <c:v>0.24045359435798225</c:v>
                </c:pt>
                <c:pt idx="629" formatCode="0.0000">
                  <c:v>0.2355251365889863</c:v>
                </c:pt>
                <c:pt idx="630" formatCode="0.0000">
                  <c:v>0.23270727785379028</c:v>
                </c:pt>
                <c:pt idx="631" formatCode="0.0000">
                  <c:v>0.23026045942154755</c:v>
                </c:pt>
                <c:pt idx="632" formatCode="0.0000">
                  <c:v>0.22789580326439263</c:v>
                </c:pt>
                <c:pt idx="633" formatCode="0.0000">
                  <c:v>0.22556515443148992</c:v>
                </c:pt>
                <c:pt idx="634" formatCode="0.0000">
                  <c:v>0.22326030509436123</c:v>
                </c:pt>
                <c:pt idx="635" formatCode="0.0000">
                  <c:v>0.22097967849430367</c:v>
                </c:pt>
                <c:pt idx="636" formatCode="0.0000">
                  <c:v>0.21872280057153165</c:v>
                </c:pt>
                <c:pt idx="637" formatCode="0.0000">
                  <c:v>0.22847979479900002</c:v>
                </c:pt>
                <c:pt idx="638" formatCode="0.0000">
                  <c:v>0.29175804831246549</c:v>
                </c:pt>
                <c:pt idx="639" formatCode="0.0000">
                  <c:v>0.22494847225107287</c:v>
                </c:pt>
                <c:pt idx="640" formatCode="0.0000">
                  <c:v>0.21206073647411475</c:v>
                </c:pt>
                <c:pt idx="641" formatCode="0.0000">
                  <c:v>0.20813929459391678</c:v>
                </c:pt>
                <c:pt idx="642" formatCode="0.0000">
                  <c:v>0.20572418948391186</c:v>
                </c:pt>
                <c:pt idx="643" formatCode="0.0000">
                  <c:v>0.20357734663113608</c:v>
                </c:pt>
                <c:pt idx="644" formatCode="0.0000">
                  <c:v>0.20149313003838967</c:v>
                </c:pt>
                <c:pt idx="645" formatCode="0.0000">
                  <c:v>0.19943722489689658</c:v>
                </c:pt>
                <c:pt idx="646" formatCode="0.0000">
                  <c:v>0.19740374691394288</c:v>
                </c:pt>
                <c:pt idx="647" formatCode="0.0000">
                  <c:v>0.19539153153526695</c:v>
                </c:pt>
                <c:pt idx="648" formatCode="0.0000">
                  <c:v>0.19340019944195214</c:v>
                </c:pt>
                <c:pt idx="649" formatCode="0.0000">
                  <c:v>0.19142950364999359</c:v>
                </c:pt>
                <c:pt idx="650" formatCode="0.0000">
                  <c:v>0.18947922114724386</c:v>
                </c:pt>
                <c:pt idx="651" formatCode="0.0000">
                  <c:v>0.18754913488916791</c:v>
                </c:pt>
                <c:pt idx="652" formatCode="0.0000">
                  <c:v>0.18563903078867916</c:v>
                </c:pt>
                <c:pt idx="653" formatCode="0.0000">
                  <c:v>0.20192397159696615</c:v>
                </c:pt>
                <c:pt idx="654" formatCode="0.0000">
                  <c:v>0.18669242492587984</c:v>
                </c:pt>
                <c:pt idx="655" formatCode="0.0000">
                  <c:v>0.29954472298006429</c:v>
                </c:pt>
                <c:pt idx="656" formatCode="0.0000">
                  <c:v>0.32205473746574614</c:v>
                </c:pt>
                <c:pt idx="657" formatCode="0.0000">
                  <c:v>0.83168245340074376</c:v>
                </c:pt>
                <c:pt idx="658" formatCode="0.0000">
                  <c:v>0.85951089229018751</c:v>
                </c:pt>
                <c:pt idx="659" formatCode="0.0000">
                  <c:v>1.0469129754107549</c:v>
                </c:pt>
                <c:pt idx="660" formatCode="0.0000">
                  <c:v>1.0270978269216466</c:v>
                </c:pt>
                <c:pt idx="661" formatCode="0.0000">
                  <c:v>0.92254947850352276</c:v>
                </c:pt>
                <c:pt idx="662" formatCode="0.0000">
                  <c:v>1.0464562896615117</c:v>
                </c:pt>
                <c:pt idx="663" formatCode="0.0000">
                  <c:v>1.0463086908882988</c:v>
                </c:pt>
                <c:pt idx="664" formatCode="0.0000">
                  <c:v>0.96310391505192705</c:v>
                </c:pt>
                <c:pt idx="665" formatCode="0.0000">
                  <c:v>0.9338320747006047</c:v>
                </c:pt>
                <c:pt idx="666" formatCode="0.0000">
                  <c:v>0.92543746128894988</c:v>
                </c:pt>
                <c:pt idx="667" formatCode="0.0000">
                  <c:v>0.8802526432984964</c:v>
                </c:pt>
                <c:pt idx="668" formatCode="0.0000">
                  <c:v>0.95625909194695224</c:v>
                </c:pt>
                <c:pt idx="669" formatCode="0.0000">
                  <c:v>0.90425857662516362</c:v>
                </c:pt>
                <c:pt idx="670" formatCode="0.0000">
                  <c:v>0.80966239052294864</c:v>
                </c:pt>
                <c:pt idx="671" formatCode="0.0000">
                  <c:v>0.7489418819376803</c:v>
                </c:pt>
                <c:pt idx="672" formatCode="0.0000">
                  <c:v>0.64843887929824273</c:v>
                </c:pt>
                <c:pt idx="673" formatCode="0.0000">
                  <c:v>0.62846412067747348</c:v>
                </c:pt>
                <c:pt idx="674" formatCode="0.0000">
                  <c:v>0.53293970999223217</c:v>
                </c:pt>
                <c:pt idx="675" formatCode="0.0000">
                  <c:v>0.45318327905168271</c:v>
                </c:pt>
                <c:pt idx="676" formatCode="0.0000">
                  <c:v>0.42984097023123524</c:v>
                </c:pt>
                <c:pt idx="677" formatCode="0.0000">
                  <c:v>0.34061752556114167</c:v>
                </c:pt>
                <c:pt idx="678" formatCode="0.0000">
                  <c:v>0.33346000619125399</c:v>
                </c:pt>
                <c:pt idx="679" formatCode="0.0000">
                  <c:v>0.27936014725104463</c:v>
                </c:pt>
                <c:pt idx="680" formatCode="0.0000">
                  <c:v>0.19798696416805084</c:v>
                </c:pt>
                <c:pt idx="681" formatCode="0.0000">
                  <c:v>0.17665133347452258</c:v>
                </c:pt>
                <c:pt idx="682" formatCode="0.0000">
                  <c:v>0.14787956859934098</c:v>
                </c:pt>
                <c:pt idx="683" formatCode="0.0000">
                  <c:v>0.14430305356065523</c:v>
                </c:pt>
                <c:pt idx="684" formatCode="0.0000">
                  <c:v>0.14012349780329406</c:v>
                </c:pt>
                <c:pt idx="685" formatCode="0.0000">
                  <c:v>0.13825414618142176</c:v>
                </c:pt>
                <c:pt idx="686" formatCode="0.0000">
                  <c:v>0.13678020194210599</c:v>
                </c:pt>
                <c:pt idx="687" formatCode="0.0000">
                  <c:v>0.14977229930673158</c:v>
                </c:pt>
                <c:pt idx="688" formatCode="0.0000">
                  <c:v>0.13999678259924916</c:v>
                </c:pt>
                <c:pt idx="689" formatCode="0.0000">
                  <c:v>0.4630713999271977</c:v>
                </c:pt>
                <c:pt idx="690" formatCode="0.0000">
                  <c:v>0.65675178834899617</c:v>
                </c:pt>
                <c:pt idx="691" formatCode="0.0000">
                  <c:v>0.57265388965097186</c:v>
                </c:pt>
                <c:pt idx="692" formatCode="0.0000">
                  <c:v>0.49341337445065525</c:v>
                </c:pt>
                <c:pt idx="693" formatCode="0.0000">
                  <c:v>0.51379473207507953</c:v>
                </c:pt>
                <c:pt idx="694" formatCode="0.0000">
                  <c:v>0.82915451298497334</c:v>
                </c:pt>
                <c:pt idx="695" formatCode="0.0000">
                  <c:v>0.93215459119214472</c:v>
                </c:pt>
                <c:pt idx="696" formatCode="0.0000">
                  <c:v>0.82392197597427519</c:v>
                </c:pt>
                <c:pt idx="697" formatCode="0.0000">
                  <c:v>0.7184903261834209</c:v>
                </c:pt>
                <c:pt idx="698" formatCode="0.0000">
                  <c:v>0.61867331337705866</c:v>
                </c:pt>
                <c:pt idx="699" formatCode="0.0000">
                  <c:v>0.7490815104780485</c:v>
                </c:pt>
                <c:pt idx="700" formatCode="0.0000">
                  <c:v>1.0298396602150786</c:v>
                </c:pt>
                <c:pt idx="701" formatCode="0.0000">
                  <c:v>0.9267885769958325</c:v>
                </c:pt>
                <c:pt idx="702" formatCode="0.0000">
                  <c:v>0.81799655727852105</c:v>
                </c:pt>
                <c:pt idx="703" formatCode="0.0000">
                  <c:v>0.7149416941375365</c:v>
                </c:pt>
                <c:pt idx="704" formatCode="0.0000">
                  <c:v>0.61711378690533125</c:v>
                </c:pt>
                <c:pt idx="705" formatCode="0.0000">
                  <c:v>0.52409963871920351</c:v>
                </c:pt>
                <c:pt idx="706" formatCode="0.0000">
                  <c:v>0.43398382452097944</c:v>
                </c:pt>
                <c:pt idx="707" formatCode="0.0000">
                  <c:v>0.34491719737357196</c:v>
                </c:pt>
                <c:pt idx="708" formatCode="0.0000">
                  <c:v>0.25893478313803403</c:v>
                </c:pt>
                <c:pt idx="709" formatCode="0.0000">
                  <c:v>0.17585274206598411</c:v>
                </c:pt>
                <c:pt idx="710" formatCode="0.0000">
                  <c:v>0.12007696020313843</c:v>
                </c:pt>
                <c:pt idx="711" formatCode="0.0000">
                  <c:v>0.11050480419349283</c:v>
                </c:pt>
                <c:pt idx="712" formatCode="0.0000">
                  <c:v>0.10740981527437378</c:v>
                </c:pt>
                <c:pt idx="713" formatCode="0.0000">
                  <c:v>0.10599839557481214</c:v>
                </c:pt>
                <c:pt idx="714" formatCode="0.0000">
                  <c:v>0.10487549650524279</c:v>
                </c:pt>
                <c:pt idx="715" formatCode="0.0000">
                  <c:v>0.10380953389704931</c:v>
                </c:pt>
                <c:pt idx="716" formatCode="0.0000">
                  <c:v>0.10276198560390506</c:v>
                </c:pt>
                <c:pt idx="717" formatCode="0.0000">
                  <c:v>0.15048202623143833</c:v>
                </c:pt>
                <c:pt idx="718" formatCode="0.0000">
                  <c:v>0.11118992610097271</c:v>
                </c:pt>
                <c:pt idx="719" formatCode="0.0000">
                  <c:v>0.1014275362901761</c:v>
                </c:pt>
                <c:pt idx="720" formatCode="0.0000">
                  <c:v>0.26141094824380268</c:v>
                </c:pt>
                <c:pt idx="721" formatCode="0.0000">
                  <c:v>0.23269426045895203</c:v>
                </c:pt>
                <c:pt idx="722" formatCode="0.0000">
                  <c:v>0.1695186148775768</c:v>
                </c:pt>
                <c:pt idx="723" formatCode="0.0000">
                  <c:v>0.60112677665992265</c:v>
                </c:pt>
                <c:pt idx="724" formatCode="0.0000">
                  <c:v>0.50594119244595614</c:v>
                </c:pt>
                <c:pt idx="725" formatCode="0.0000">
                  <c:v>0.41397504856170719</c:v>
                </c:pt>
                <c:pt idx="726" formatCode="0.0000">
                  <c:v>0.75535553372937403</c:v>
                </c:pt>
                <c:pt idx="727" formatCode="0.0000">
                  <c:v>0.71835086009103022</c:v>
                </c:pt>
                <c:pt idx="728" formatCode="0.0000">
                  <c:v>0.61901904646435268</c:v>
                </c:pt>
                <c:pt idx="729" formatCode="0.0000">
                  <c:v>1.0402404089527408</c:v>
                </c:pt>
                <c:pt idx="730" formatCode="0.0000">
                  <c:v>1.0401878214518916</c:v>
                </c:pt>
                <c:pt idx="731" formatCode="0.0000">
                  <c:v>1.0401360377639854</c:v>
                </c:pt>
                <c:pt idx="732" formatCode="0.0000">
                  <c:v>1.0400850456025428</c:v>
                </c:pt>
                <c:pt idx="733" formatCode="0.0000">
                  <c:v>1.0400348328688862</c:v>
                </c:pt>
                <c:pt idx="734" formatCode="0.0000">
                  <c:v>1.0399853876492695</c:v>
                </c:pt>
                <c:pt idx="735" formatCode="0.0000">
                  <c:v>1.0399366982120508</c:v>
                </c:pt>
              </c:numCache>
            </c:numRef>
          </c:yVal>
          <c:smooth val="0"/>
          <c:extLst>
            <c:ext xmlns:c16="http://schemas.microsoft.com/office/drawing/2014/chart" uri="{C3380CC4-5D6E-409C-BE32-E72D297353CC}">
              <c16:uniqueId val="{00000003-B4F3-BF42-A654-55915CD5B9C5}"/>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Comparación de carga de sedimentos entre escenarios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Escenarios!$D$21</c:f>
              <c:strCache>
                <c:ptCount val="1"/>
                <c:pt idx="0">
                  <c:v>Línea base</c:v>
                </c:pt>
              </c:strCache>
            </c:strRef>
          </c:tx>
          <c:spPr>
            <a:ln w="12700" cap="rnd">
              <a:solidFill>
                <a:schemeClr val="accent1"/>
              </a:solidFill>
              <a:round/>
            </a:ln>
            <a:effectLst/>
          </c:spPr>
          <c:marker>
            <c:symbol val="none"/>
          </c:marker>
          <c:xVal>
            <c:strRef>
              <c:f>LíneaBase!$C:$C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LíneaBase!$N:$N</c:f>
              <c:numCache>
                <c:formatCode>General</c:formatCode>
                <c:ptCount val="1048576"/>
                <c:pt idx="4">
                  <c:v>0</c:v>
                </c:pt>
                <c:pt idx="6" formatCode="0.0000">
                  <c:v>8.6646239802202221E-2</c:v>
                </c:pt>
                <c:pt idx="7" formatCode="0.0000">
                  <c:v>0</c:v>
                </c:pt>
                <c:pt idx="8" formatCode="0.0000">
                  <c:v>3.4549672719931479E-2</c:v>
                </c:pt>
                <c:pt idx="9" formatCode="0.0000">
                  <c:v>0</c:v>
                </c:pt>
                <c:pt idx="10" formatCode="0.0000">
                  <c:v>5.2279265862954149E-3</c:v>
                </c:pt>
                <c:pt idx="11" formatCode="0.0000">
                  <c:v>4.9232335602664927E-2</c:v>
                </c:pt>
                <c:pt idx="12" formatCode="0.0000">
                  <c:v>0</c:v>
                </c:pt>
                <c:pt idx="13" formatCode="0.0000">
                  <c:v>0</c:v>
                </c:pt>
                <c:pt idx="14" formatCode="0.0000">
                  <c:v>0</c:v>
                </c:pt>
                <c:pt idx="15" formatCode="0.0000">
                  <c:v>0</c:v>
                </c:pt>
                <c:pt idx="16" formatCode="0.0000">
                  <c:v>0</c:v>
                </c:pt>
                <c:pt idx="17" formatCode="0.0000">
                  <c:v>5.5639030568974297E-2</c:v>
                </c:pt>
                <c:pt idx="18" formatCode="0.0000">
                  <c:v>0</c:v>
                </c:pt>
                <c:pt idx="19" formatCode="0.0000">
                  <c:v>0</c:v>
                </c:pt>
                <c:pt idx="20" formatCode="0.0000">
                  <c:v>0</c:v>
                </c:pt>
                <c:pt idx="21" formatCode="0.0000">
                  <c:v>0</c:v>
                </c:pt>
                <c:pt idx="22" formatCode="0.0000">
                  <c:v>3.559814043822157E-3</c:v>
                </c:pt>
                <c:pt idx="23" formatCode="0.0000">
                  <c:v>0</c:v>
                </c:pt>
                <c:pt idx="24" formatCode="0.0000">
                  <c:v>2.1514870737036175E-3</c:v>
                </c:pt>
                <c:pt idx="25" formatCode="0.0000">
                  <c:v>1.2987607046084803E-4</c:v>
                </c:pt>
                <c:pt idx="26" formatCode="0.0000">
                  <c:v>5.9051688147181234E-4</c:v>
                </c:pt>
                <c:pt idx="27" formatCode="0.0000">
                  <c:v>0</c:v>
                </c:pt>
                <c:pt idx="28" formatCode="0.0000">
                  <c:v>8.0851907840332568E-2</c:v>
                </c:pt>
                <c:pt idx="29" formatCode="0.0000">
                  <c:v>0</c:v>
                </c:pt>
                <c:pt idx="30" formatCode="0.0000">
                  <c:v>0</c:v>
                </c:pt>
                <c:pt idx="31" formatCode="0.0000">
                  <c:v>6.8882745780803645E-6</c:v>
                </c:pt>
                <c:pt idx="32" formatCode="0.0000">
                  <c:v>0</c:v>
                </c:pt>
                <c:pt idx="33" formatCode="0.0000">
                  <c:v>0</c:v>
                </c:pt>
                <c:pt idx="34" formatCode="0.0000">
                  <c:v>0</c:v>
                </c:pt>
                <c:pt idx="35" formatCode="0.0000">
                  <c:v>1.7892987414496321E-4</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2.0665652672816309E-2</c:v>
                </c:pt>
                <c:pt idx="44" formatCode="0.0000">
                  <c:v>0</c:v>
                </c:pt>
                <c:pt idx="45" formatCode="0.0000">
                  <c:v>0</c:v>
                </c:pt>
                <c:pt idx="46" formatCode="0.0000">
                  <c:v>0.11426366964372266</c:v>
                </c:pt>
                <c:pt idx="47" formatCode="0.0000">
                  <c:v>0</c:v>
                </c:pt>
                <c:pt idx="48" formatCode="0.0000">
                  <c:v>0</c:v>
                </c:pt>
                <c:pt idx="49" formatCode="0.0000">
                  <c:v>0</c:v>
                </c:pt>
                <c:pt idx="50" formatCode="0.0000">
                  <c:v>0</c:v>
                </c:pt>
                <c:pt idx="51" formatCode="0.0000">
                  <c:v>0</c:v>
                </c:pt>
                <c:pt idx="52" formatCode="0.0000">
                  <c:v>6.0197953100362217E-2</c:v>
                </c:pt>
                <c:pt idx="53" formatCode="0.0000">
                  <c:v>0</c:v>
                </c:pt>
                <c:pt idx="54" formatCode="0.0000">
                  <c:v>1.5377428642051225E-2</c:v>
                </c:pt>
                <c:pt idx="55" formatCode="0.0000">
                  <c:v>0</c:v>
                </c:pt>
                <c:pt idx="56" formatCode="0.0000">
                  <c:v>0.15766896565323904</c:v>
                </c:pt>
                <c:pt idx="57" formatCode="0.0000">
                  <c:v>1.3541304422291688E-2</c:v>
                </c:pt>
                <c:pt idx="58" formatCode="0.0000">
                  <c:v>9.9969331054046494E-4</c:v>
                </c:pt>
                <c:pt idx="59" formatCode="0.0000">
                  <c:v>0.25220801154132461</c:v>
                </c:pt>
                <c:pt idx="60" formatCode="0.0000">
                  <c:v>3.9378982306366083E-3</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3.8938659586564293E-4</c:v>
                </c:pt>
                <c:pt idx="71" formatCode="0.0000">
                  <c:v>0</c:v>
                </c:pt>
                <c:pt idx="72" formatCode="0.0000">
                  <c:v>0.47958349045588006</c:v>
                </c:pt>
                <c:pt idx="73" formatCode="0.0000">
                  <c:v>0</c:v>
                </c:pt>
                <c:pt idx="74" formatCode="0.0000">
                  <c:v>1.8426950409436069E-2</c:v>
                </c:pt>
                <c:pt idx="75" formatCode="0.0000">
                  <c:v>2.3799588974509939E-4</c:v>
                </c:pt>
                <c:pt idx="76" formatCode="0.0000">
                  <c:v>8.6646239802202221E-2</c:v>
                </c:pt>
                <c:pt idx="77" formatCode="0.0000">
                  <c:v>3.0386040027325953E-3</c:v>
                </c:pt>
                <c:pt idx="78" formatCode="0.0000">
                  <c:v>0</c:v>
                </c:pt>
                <c:pt idx="79" formatCode="0.0000">
                  <c:v>3.0787893885284799E-4</c:v>
                </c:pt>
                <c:pt idx="80" formatCode="0.0000">
                  <c:v>6.256577520466905E-2</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1.1855590955586196E-2</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1.5377428642051225E-2</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1.1456945735200001E-2</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1.5320162510455492E-4</c:v>
                </c:pt>
                <c:pt idx="207" formatCode="0.0000">
                  <c:v>9.2177709115104616E-4</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4.5794762485582542E-5</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6.493322917720003E-4</c:v>
                </c:pt>
                <c:pt idx="291" formatCode="0.0000">
                  <c:v>0</c:v>
                </c:pt>
                <c:pt idx="292" formatCode="0.0000">
                  <c:v>8.5173230797976562E-2</c:v>
                </c:pt>
                <c:pt idx="293" formatCode="0.0000">
                  <c:v>1.7815188259180114E-5</c:v>
                </c:pt>
                <c:pt idx="294" formatCode="0.0000">
                  <c:v>1.5860676452877469E-2</c:v>
                </c:pt>
                <c:pt idx="295" formatCode="0.0000">
                  <c:v>0</c:v>
                </c:pt>
                <c:pt idx="296" formatCode="0.0000">
                  <c:v>0</c:v>
                </c:pt>
                <c:pt idx="297" formatCode="0.0000">
                  <c:v>2.8767083000789347E-3</c:v>
                </c:pt>
                <c:pt idx="298" formatCode="0.0000">
                  <c:v>0</c:v>
                </c:pt>
                <c:pt idx="299" formatCode="0.0000">
                  <c:v>0</c:v>
                </c:pt>
                <c:pt idx="300" formatCode="0.0000">
                  <c:v>0</c:v>
                </c:pt>
                <c:pt idx="301" formatCode="0.0000">
                  <c:v>0</c:v>
                </c:pt>
                <c:pt idx="302" formatCode="0.0000">
                  <c:v>0</c:v>
                </c:pt>
                <c:pt idx="303" formatCode="0.0000">
                  <c:v>3.8938659586564293E-4</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2.0665652672816309E-2</c:v>
                </c:pt>
                <c:pt idx="325" formatCode="0.0000">
                  <c:v>4.9961107469197472E-3</c:v>
                </c:pt>
                <c:pt idx="326" formatCode="0.0000">
                  <c:v>0</c:v>
                </c:pt>
                <c:pt idx="327" formatCode="0.0000">
                  <c:v>0</c:v>
                </c:pt>
                <c:pt idx="328" formatCode="0.0000">
                  <c:v>1.5136918328103932E-7</c:v>
                </c:pt>
                <c:pt idx="329" formatCode="0.0000">
                  <c:v>2.1251896640488425E-2</c:v>
                </c:pt>
                <c:pt idx="330" formatCode="0.0000">
                  <c:v>1.0817353202258308E-3</c:v>
                </c:pt>
                <c:pt idx="331" formatCode="0.0000">
                  <c:v>0</c:v>
                </c:pt>
                <c:pt idx="332" formatCode="0.0000">
                  <c:v>0</c:v>
                </c:pt>
                <c:pt idx="333" formatCode="0.0000">
                  <c:v>0</c:v>
                </c:pt>
                <c:pt idx="334" formatCode="0.0000">
                  <c:v>1.7801107591504911E-3</c:v>
                </c:pt>
                <c:pt idx="335" formatCode="0.0000">
                  <c:v>1.6856895987741743E-2</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1.1643961711068925E-5</c:v>
                </c:pt>
                <c:pt idx="353" formatCode="0.0000">
                  <c:v>0</c:v>
                </c:pt>
                <c:pt idx="354" formatCode="0.0000">
                  <c:v>0</c:v>
                </c:pt>
                <c:pt idx="355" formatCode="0.0000">
                  <c:v>2.2856346590405343E-3</c:v>
                </c:pt>
                <c:pt idx="356" formatCode="0.0000">
                  <c:v>0</c:v>
                </c:pt>
                <c:pt idx="357" formatCode="0.0000">
                  <c:v>0</c:v>
                </c:pt>
                <c:pt idx="358" formatCode="0.0000">
                  <c:v>5.0264780360206471E-2</c:v>
                </c:pt>
                <c:pt idx="359" formatCode="0.0000">
                  <c:v>0</c:v>
                </c:pt>
                <c:pt idx="360" formatCode="0.0000">
                  <c:v>0</c:v>
                </c:pt>
                <c:pt idx="361" formatCode="0.0000">
                  <c:v>2.6338880763069634E-2</c:v>
                </c:pt>
                <c:pt idx="362" formatCode="0.0000">
                  <c:v>0</c:v>
                </c:pt>
                <c:pt idx="363" formatCode="0.0000">
                  <c:v>0</c:v>
                </c:pt>
                <c:pt idx="364" formatCode="0.0000">
                  <c:v>0.13682329539113258</c:v>
                </c:pt>
                <c:pt idx="365" formatCode="0.0000">
                  <c:v>1.2377583021187898E-6</c:v>
                </c:pt>
                <c:pt idx="366" formatCode="0.0000">
                  <c:v>0</c:v>
                </c:pt>
                <c:pt idx="367" formatCode="0.0000">
                  <c:v>6.493322917720003E-4</c:v>
                </c:pt>
                <c:pt idx="368" formatCode="0.0000">
                  <c:v>3.4515585325015168E-6</c:v>
                </c:pt>
                <c:pt idx="369" formatCode="0.0000">
                  <c:v>1.1643961711068925E-5</c:v>
                </c:pt>
                <c:pt idx="370" formatCode="0.0000">
                  <c:v>0</c:v>
                </c:pt>
                <c:pt idx="371" formatCode="0.0000">
                  <c:v>8.6646239802202221E-2</c:v>
                </c:pt>
                <c:pt idx="372" formatCode="0.0000">
                  <c:v>0</c:v>
                </c:pt>
                <c:pt idx="373" formatCode="0.0000">
                  <c:v>3.4549672719931479E-2</c:v>
                </c:pt>
                <c:pt idx="374" formatCode="0.0000">
                  <c:v>0</c:v>
                </c:pt>
                <c:pt idx="375" formatCode="0.0000">
                  <c:v>5.2279265862954149E-3</c:v>
                </c:pt>
                <c:pt idx="376" formatCode="0.0000">
                  <c:v>4.9232335602664927E-2</c:v>
                </c:pt>
                <c:pt idx="377" formatCode="0.0000">
                  <c:v>0</c:v>
                </c:pt>
                <c:pt idx="378" formatCode="0.0000">
                  <c:v>0</c:v>
                </c:pt>
                <c:pt idx="379" formatCode="0.0000">
                  <c:v>0</c:v>
                </c:pt>
                <c:pt idx="380" formatCode="0.0000">
                  <c:v>0</c:v>
                </c:pt>
                <c:pt idx="381" formatCode="0.0000">
                  <c:v>0</c:v>
                </c:pt>
                <c:pt idx="382" formatCode="0.0000">
                  <c:v>5.5639030568974297E-2</c:v>
                </c:pt>
                <c:pt idx="383" formatCode="0.0000">
                  <c:v>0</c:v>
                </c:pt>
                <c:pt idx="384" formatCode="0.0000">
                  <c:v>0</c:v>
                </c:pt>
                <c:pt idx="385" formatCode="0.0000">
                  <c:v>0</c:v>
                </c:pt>
                <c:pt idx="386" formatCode="0.0000">
                  <c:v>0</c:v>
                </c:pt>
                <c:pt idx="387" formatCode="0.0000">
                  <c:v>3.559814043822157E-3</c:v>
                </c:pt>
                <c:pt idx="388" formatCode="0.0000">
                  <c:v>0</c:v>
                </c:pt>
                <c:pt idx="389" formatCode="0.0000">
                  <c:v>2.1514870737036175E-3</c:v>
                </c:pt>
                <c:pt idx="390" formatCode="0.0000">
                  <c:v>1.2987607046084803E-4</c:v>
                </c:pt>
                <c:pt idx="391" formatCode="0.0000">
                  <c:v>5.9051688147181234E-4</c:v>
                </c:pt>
                <c:pt idx="392" formatCode="0.0000">
                  <c:v>0</c:v>
                </c:pt>
                <c:pt idx="393" formatCode="0.0000">
                  <c:v>8.0851907840332568E-2</c:v>
                </c:pt>
                <c:pt idx="394" formatCode="0.0000">
                  <c:v>0</c:v>
                </c:pt>
                <c:pt idx="395" formatCode="0.0000">
                  <c:v>0</c:v>
                </c:pt>
                <c:pt idx="396" formatCode="0.0000">
                  <c:v>6.8882745780803645E-6</c:v>
                </c:pt>
                <c:pt idx="397" formatCode="0.0000">
                  <c:v>0</c:v>
                </c:pt>
                <c:pt idx="398" formatCode="0.0000">
                  <c:v>0</c:v>
                </c:pt>
                <c:pt idx="399" formatCode="0.0000">
                  <c:v>0</c:v>
                </c:pt>
                <c:pt idx="400" formatCode="0.0000">
                  <c:v>1.7892987414496321E-4</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2.0665652672816309E-2</c:v>
                </c:pt>
                <c:pt idx="409" formatCode="0.0000">
                  <c:v>0</c:v>
                </c:pt>
                <c:pt idx="410" formatCode="0.0000">
                  <c:v>0</c:v>
                </c:pt>
                <c:pt idx="411" formatCode="0.0000">
                  <c:v>0.11426366964372266</c:v>
                </c:pt>
                <c:pt idx="412" formatCode="0.0000">
                  <c:v>0</c:v>
                </c:pt>
                <c:pt idx="413" formatCode="0.0000">
                  <c:v>0</c:v>
                </c:pt>
                <c:pt idx="414" formatCode="0.0000">
                  <c:v>0</c:v>
                </c:pt>
                <c:pt idx="415" formatCode="0.0000">
                  <c:v>0</c:v>
                </c:pt>
                <c:pt idx="416" formatCode="0.0000">
                  <c:v>0</c:v>
                </c:pt>
                <c:pt idx="417" formatCode="0.0000">
                  <c:v>6.0197953100362217E-2</c:v>
                </c:pt>
                <c:pt idx="418" formatCode="0.0000">
                  <c:v>0</c:v>
                </c:pt>
                <c:pt idx="419" formatCode="0.0000">
                  <c:v>1.5377428642051225E-2</c:v>
                </c:pt>
                <c:pt idx="420" formatCode="0.0000">
                  <c:v>0</c:v>
                </c:pt>
                <c:pt idx="421" formatCode="0.0000">
                  <c:v>0.15766896565323904</c:v>
                </c:pt>
                <c:pt idx="422" formatCode="0.0000">
                  <c:v>1.3541304422291688E-2</c:v>
                </c:pt>
                <c:pt idx="423" formatCode="0.0000">
                  <c:v>9.9969331054046494E-4</c:v>
                </c:pt>
                <c:pt idx="424" formatCode="0.0000">
                  <c:v>0.25220801154132461</c:v>
                </c:pt>
                <c:pt idx="425" formatCode="0.0000">
                  <c:v>3.9378982306366083E-3</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3.8938659586564293E-4</c:v>
                </c:pt>
                <c:pt idx="436" formatCode="0.0000">
                  <c:v>0</c:v>
                </c:pt>
                <c:pt idx="437" formatCode="0.0000">
                  <c:v>0.47958349045588006</c:v>
                </c:pt>
                <c:pt idx="438" formatCode="0.0000">
                  <c:v>0</c:v>
                </c:pt>
                <c:pt idx="439" formatCode="0.0000">
                  <c:v>1.8426950409436069E-2</c:v>
                </c:pt>
                <c:pt idx="440" formatCode="0.0000">
                  <c:v>2.3799588974509939E-4</c:v>
                </c:pt>
                <c:pt idx="441" formatCode="0.0000">
                  <c:v>8.6646239802202221E-2</c:v>
                </c:pt>
                <c:pt idx="442" formatCode="0.0000">
                  <c:v>3.0386040027325953E-3</c:v>
                </c:pt>
                <c:pt idx="443" formatCode="0.0000">
                  <c:v>0</c:v>
                </c:pt>
                <c:pt idx="444" formatCode="0.0000">
                  <c:v>3.0787893885284799E-4</c:v>
                </c:pt>
                <c:pt idx="445" formatCode="0.0000">
                  <c:v>6.256577520466905E-2</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1.1855590955586196E-2</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1.5377428642051225E-2</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1.1456945735200001E-2</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1.5320162510455492E-4</c:v>
                </c:pt>
                <c:pt idx="572" formatCode="0.0000">
                  <c:v>9.2177709115104616E-4</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4.5794762485582542E-5</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6.493322917720003E-4</c:v>
                </c:pt>
                <c:pt idx="656" formatCode="0.0000">
                  <c:v>0</c:v>
                </c:pt>
                <c:pt idx="657" formatCode="0.0000">
                  <c:v>8.5173230797976562E-2</c:v>
                </c:pt>
                <c:pt idx="658" formatCode="0.0000">
                  <c:v>1.7815188259180114E-5</c:v>
                </c:pt>
                <c:pt idx="659" formatCode="0.0000">
                  <c:v>1.5860676452877469E-2</c:v>
                </c:pt>
                <c:pt idx="660" formatCode="0.0000">
                  <c:v>0</c:v>
                </c:pt>
                <c:pt idx="661" formatCode="0.0000">
                  <c:v>0</c:v>
                </c:pt>
                <c:pt idx="662" formatCode="0.0000">
                  <c:v>2.8767083000789347E-3</c:v>
                </c:pt>
                <c:pt idx="663" formatCode="0.0000">
                  <c:v>0</c:v>
                </c:pt>
                <c:pt idx="664" formatCode="0.0000">
                  <c:v>0</c:v>
                </c:pt>
                <c:pt idx="665" formatCode="0.0000">
                  <c:v>0</c:v>
                </c:pt>
                <c:pt idx="666" formatCode="0.0000">
                  <c:v>0</c:v>
                </c:pt>
                <c:pt idx="667" formatCode="0.0000">
                  <c:v>0</c:v>
                </c:pt>
                <c:pt idx="668" formatCode="0.0000">
                  <c:v>3.8938659586564293E-4</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2.0665652672816309E-2</c:v>
                </c:pt>
                <c:pt idx="690" formatCode="0.0000">
                  <c:v>4.9961107469197472E-3</c:v>
                </c:pt>
                <c:pt idx="691" formatCode="0.0000">
                  <c:v>0</c:v>
                </c:pt>
                <c:pt idx="692" formatCode="0.0000">
                  <c:v>0</c:v>
                </c:pt>
                <c:pt idx="693" formatCode="0.0000">
                  <c:v>1.5136918328103932E-7</c:v>
                </c:pt>
                <c:pt idx="694" formatCode="0.0000">
                  <c:v>2.1251896640488425E-2</c:v>
                </c:pt>
                <c:pt idx="695" formatCode="0.0000">
                  <c:v>1.0817353202258308E-3</c:v>
                </c:pt>
                <c:pt idx="696" formatCode="0.0000">
                  <c:v>0</c:v>
                </c:pt>
                <c:pt idx="697" formatCode="0.0000">
                  <c:v>0</c:v>
                </c:pt>
                <c:pt idx="698" formatCode="0.0000">
                  <c:v>0</c:v>
                </c:pt>
                <c:pt idx="699" formatCode="0.0000">
                  <c:v>1.7801107591504911E-3</c:v>
                </c:pt>
                <c:pt idx="700" formatCode="0.0000">
                  <c:v>1.6856895987741743E-2</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1.1643961711068925E-5</c:v>
                </c:pt>
                <c:pt idx="718" formatCode="0.0000">
                  <c:v>0</c:v>
                </c:pt>
                <c:pt idx="719" formatCode="0.0000">
                  <c:v>0</c:v>
                </c:pt>
                <c:pt idx="720" formatCode="0.0000">
                  <c:v>2.2856346590405343E-3</c:v>
                </c:pt>
                <c:pt idx="721" formatCode="0.0000">
                  <c:v>0</c:v>
                </c:pt>
                <c:pt idx="722" formatCode="0.0000">
                  <c:v>0</c:v>
                </c:pt>
                <c:pt idx="723" formatCode="0.0000">
                  <c:v>5.0264780360206471E-2</c:v>
                </c:pt>
                <c:pt idx="724" formatCode="0.0000">
                  <c:v>0</c:v>
                </c:pt>
                <c:pt idx="725" formatCode="0.0000">
                  <c:v>0</c:v>
                </c:pt>
                <c:pt idx="726" formatCode="0.0000">
                  <c:v>2.6338880763069634E-2</c:v>
                </c:pt>
                <c:pt idx="727" formatCode="0.0000">
                  <c:v>0</c:v>
                </c:pt>
                <c:pt idx="728" formatCode="0.0000">
                  <c:v>0</c:v>
                </c:pt>
                <c:pt idx="729" formatCode="0.0000">
                  <c:v>0.13682329539113258</c:v>
                </c:pt>
                <c:pt idx="730" formatCode="0.0000">
                  <c:v>1.2377583021187898E-6</c:v>
                </c:pt>
                <c:pt idx="731" formatCode="0.0000">
                  <c:v>0</c:v>
                </c:pt>
                <c:pt idx="732" formatCode="0.0000">
                  <c:v>6.493322917720003E-4</c:v>
                </c:pt>
                <c:pt idx="733" formatCode="0.0000">
                  <c:v>3.4515585325015168E-6</c:v>
                </c:pt>
                <c:pt idx="734" formatCode="0.0000">
                  <c:v>1.1643961711068925E-5</c:v>
                </c:pt>
                <c:pt idx="735" formatCode="0.0000">
                  <c:v>0</c:v>
                </c:pt>
              </c:numCache>
            </c:numRef>
          </c:yVal>
          <c:smooth val="0"/>
          <c:extLst>
            <c:ext xmlns:c16="http://schemas.microsoft.com/office/drawing/2014/chart" uri="{C3380CC4-5D6E-409C-BE32-E72D297353CC}">
              <c16:uniqueId val="{00000000-5823-234D-B4C3-1838E401960E}"/>
            </c:ext>
          </c:extLst>
        </c:ser>
        <c:ser>
          <c:idx val="1"/>
          <c:order val="1"/>
          <c:tx>
            <c:strRef>
              <c:f>Escenarios!$E$28</c:f>
              <c:strCache>
                <c:ptCount val="1"/>
                <c:pt idx="0">
                  <c:v>Escenario 1</c:v>
                </c:pt>
              </c:strCache>
            </c:strRef>
          </c:tx>
          <c:spPr>
            <a:ln w="12700" cap="rnd">
              <a:solidFill>
                <a:schemeClr val="accent2"/>
              </a:solidFill>
              <a:round/>
            </a:ln>
            <a:effectLst/>
          </c:spPr>
          <c:marker>
            <c:symbol val="none"/>
          </c:marker>
          <c:xVal>
            <c:strRef>
              <c:f>Escenario1!$C:$C</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Escenario1!$BP:$BP</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0</c:v>
                </c:pt>
                <c:pt idx="13" formatCode="0.0000">
                  <c:v>0</c:v>
                </c:pt>
                <c:pt idx="14" formatCode="0.0000">
                  <c:v>0</c:v>
                </c:pt>
                <c:pt idx="15" formatCode="0.0000">
                  <c:v>0</c:v>
                </c:pt>
                <c:pt idx="16" formatCode="0.0000">
                  <c:v>0</c:v>
                </c:pt>
                <c:pt idx="17" formatCode="0.0000">
                  <c:v>0</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0</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0</c:v>
                </c:pt>
                <c:pt idx="47" formatCode="0.0000">
                  <c:v>0</c:v>
                </c:pt>
                <c:pt idx="48" formatCode="0.0000">
                  <c:v>0</c:v>
                </c:pt>
                <c:pt idx="49" formatCode="0.0000">
                  <c:v>0</c:v>
                </c:pt>
                <c:pt idx="50" formatCode="0.0000">
                  <c:v>0</c:v>
                </c:pt>
                <c:pt idx="51" formatCode="0.0000">
                  <c:v>0</c:v>
                </c:pt>
                <c:pt idx="52" formatCode="0.0000">
                  <c:v>0</c:v>
                </c:pt>
                <c:pt idx="53" formatCode="0.0000">
                  <c:v>0</c:v>
                </c:pt>
                <c:pt idx="54" formatCode="0.0000">
                  <c:v>0</c:v>
                </c:pt>
                <c:pt idx="55" formatCode="0.0000">
                  <c:v>0</c:v>
                </c:pt>
                <c:pt idx="56" formatCode="0.0000">
                  <c:v>0</c:v>
                </c:pt>
                <c:pt idx="57" formatCode="0.0000">
                  <c:v>0</c:v>
                </c:pt>
                <c:pt idx="58" formatCode="0.0000">
                  <c:v>0</c:v>
                </c:pt>
                <c:pt idx="59" formatCode="0.0000">
                  <c:v>0</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c:v>
                </c:pt>
                <c:pt idx="73" formatCode="0.0000">
                  <c:v>0</c:v>
                </c:pt>
                <c:pt idx="74" formatCode="0.0000">
                  <c:v>0</c:v>
                </c:pt>
                <c:pt idx="75" formatCode="0.0000">
                  <c:v>0</c:v>
                </c:pt>
                <c:pt idx="76" formatCode="0.0000">
                  <c:v>0</c:v>
                </c:pt>
                <c:pt idx="77" formatCode="0.0000">
                  <c:v>0</c:v>
                </c:pt>
                <c:pt idx="78" formatCode="0.0000">
                  <c:v>0</c:v>
                </c:pt>
                <c:pt idx="79" formatCode="0.0000">
                  <c:v>0</c:v>
                </c:pt>
                <c:pt idx="80" formatCode="0.0000">
                  <c:v>0</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0</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0</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0</c:v>
                </c:pt>
                <c:pt idx="378" formatCode="0.0000">
                  <c:v>0</c:v>
                </c:pt>
                <c:pt idx="379" formatCode="0.0000">
                  <c:v>0</c:v>
                </c:pt>
                <c:pt idx="380" formatCode="0.0000">
                  <c:v>0</c:v>
                </c:pt>
                <c:pt idx="381" formatCode="0.0000">
                  <c:v>0</c:v>
                </c:pt>
                <c:pt idx="382" formatCode="0.0000">
                  <c:v>0</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0</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0</c:v>
                </c:pt>
                <c:pt idx="412" formatCode="0.0000">
                  <c:v>0</c:v>
                </c:pt>
                <c:pt idx="413" formatCode="0.0000">
                  <c:v>0</c:v>
                </c:pt>
                <c:pt idx="414" formatCode="0.0000">
                  <c:v>0</c:v>
                </c:pt>
                <c:pt idx="415" formatCode="0.0000">
                  <c:v>0</c:v>
                </c:pt>
                <c:pt idx="416" formatCode="0.0000">
                  <c:v>0</c:v>
                </c:pt>
                <c:pt idx="417" formatCode="0.0000">
                  <c:v>0</c:v>
                </c:pt>
                <c:pt idx="418" formatCode="0.0000">
                  <c:v>0</c:v>
                </c:pt>
                <c:pt idx="419" formatCode="0.0000">
                  <c:v>0</c:v>
                </c:pt>
                <c:pt idx="420" formatCode="0.0000">
                  <c:v>0</c:v>
                </c:pt>
                <c:pt idx="421" formatCode="0.0000">
                  <c:v>0</c:v>
                </c:pt>
                <c:pt idx="422" formatCode="0.0000">
                  <c:v>0</c:v>
                </c:pt>
                <c:pt idx="423" formatCode="0.0000">
                  <c:v>0</c:v>
                </c:pt>
                <c:pt idx="424" formatCode="0.0000">
                  <c:v>0</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c:v>
                </c:pt>
                <c:pt idx="438" formatCode="0.0000">
                  <c:v>0</c:v>
                </c:pt>
                <c:pt idx="439" formatCode="0.0000">
                  <c:v>0</c:v>
                </c:pt>
                <c:pt idx="440" formatCode="0.0000">
                  <c:v>0</c:v>
                </c:pt>
                <c:pt idx="441" formatCode="0.0000">
                  <c:v>0</c:v>
                </c:pt>
                <c:pt idx="442" formatCode="0.0000">
                  <c:v>0</c:v>
                </c:pt>
                <c:pt idx="443" formatCode="0.0000">
                  <c:v>0</c:v>
                </c:pt>
                <c:pt idx="444" formatCode="0.0000">
                  <c:v>0</c:v>
                </c:pt>
                <c:pt idx="445" formatCode="0.0000">
                  <c:v>0</c:v>
                </c:pt>
                <c:pt idx="446" formatCode="0.0000">
                  <c:v>0</c:v>
                </c:pt>
                <c:pt idx="447" formatCode="0.0000">
                  <c:v>0</c:v>
                </c:pt>
                <c:pt idx="448" formatCode="0.0000">
                  <c:v>0</c:v>
                </c:pt>
                <c:pt idx="449" formatCode="0.0000">
                  <c:v>1.0813584234106548E-4</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0</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1-5823-234D-B4C3-1838E401960E}"/>
            </c:ext>
          </c:extLst>
        </c:ser>
        <c:ser>
          <c:idx val="2"/>
          <c:order val="2"/>
          <c:tx>
            <c:strRef>
              <c:f>Escenarios!$F$28</c:f>
              <c:strCache>
                <c:ptCount val="1"/>
                <c:pt idx="0">
                  <c:v>Escenario 2</c:v>
                </c:pt>
              </c:strCache>
            </c:strRef>
          </c:tx>
          <c:spPr>
            <a:ln w="12700" cap="rnd">
              <a:solidFill>
                <a:schemeClr val="accent6"/>
              </a:solidFill>
              <a:round/>
            </a:ln>
            <a:effectLst/>
          </c:spPr>
          <c:marker>
            <c:symbol val="none"/>
          </c:marker>
          <c:xVal>
            <c:strRef>
              <c:f>Escenario2!$C:$C</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Escenario2!$BP:$BP</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0</c:v>
                </c:pt>
                <c:pt idx="13" formatCode="0.0000">
                  <c:v>0</c:v>
                </c:pt>
                <c:pt idx="14" formatCode="0.0000">
                  <c:v>0</c:v>
                </c:pt>
                <c:pt idx="15" formatCode="0.0000">
                  <c:v>0</c:v>
                </c:pt>
                <c:pt idx="16" formatCode="0.0000">
                  <c:v>0</c:v>
                </c:pt>
                <c:pt idx="17" formatCode="0.0000">
                  <c:v>0</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0</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0</c:v>
                </c:pt>
                <c:pt idx="47" formatCode="0.0000">
                  <c:v>0</c:v>
                </c:pt>
                <c:pt idx="48" formatCode="0.0000">
                  <c:v>0</c:v>
                </c:pt>
                <c:pt idx="49" formatCode="0.0000">
                  <c:v>0</c:v>
                </c:pt>
                <c:pt idx="50" formatCode="0.0000">
                  <c:v>0</c:v>
                </c:pt>
                <c:pt idx="51" formatCode="0.0000">
                  <c:v>0</c:v>
                </c:pt>
                <c:pt idx="52" formatCode="0.0000">
                  <c:v>0</c:v>
                </c:pt>
                <c:pt idx="53" formatCode="0.0000">
                  <c:v>0</c:v>
                </c:pt>
                <c:pt idx="54" formatCode="0.0000">
                  <c:v>0</c:v>
                </c:pt>
                <c:pt idx="55" formatCode="0.0000">
                  <c:v>0</c:v>
                </c:pt>
                <c:pt idx="56" formatCode="0.0000">
                  <c:v>0</c:v>
                </c:pt>
                <c:pt idx="57" formatCode="0.0000">
                  <c:v>0</c:v>
                </c:pt>
                <c:pt idx="58" formatCode="0.0000">
                  <c:v>0</c:v>
                </c:pt>
                <c:pt idx="59" formatCode="0.0000">
                  <c:v>0</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c:v>
                </c:pt>
                <c:pt idx="73" formatCode="0.0000">
                  <c:v>0</c:v>
                </c:pt>
                <c:pt idx="74" formatCode="0.0000">
                  <c:v>0</c:v>
                </c:pt>
                <c:pt idx="75" formatCode="0.0000">
                  <c:v>0</c:v>
                </c:pt>
                <c:pt idx="76" formatCode="0.0000">
                  <c:v>0</c:v>
                </c:pt>
                <c:pt idx="77" formatCode="0.0000">
                  <c:v>0</c:v>
                </c:pt>
                <c:pt idx="78" formatCode="0.0000">
                  <c:v>0</c:v>
                </c:pt>
                <c:pt idx="79" formatCode="0.0000">
                  <c:v>0</c:v>
                </c:pt>
                <c:pt idx="80" formatCode="0.0000">
                  <c:v>0</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0</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0</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0</c:v>
                </c:pt>
                <c:pt idx="378" formatCode="0.0000">
                  <c:v>0</c:v>
                </c:pt>
                <c:pt idx="379" formatCode="0.0000">
                  <c:v>0</c:v>
                </c:pt>
                <c:pt idx="380" formatCode="0.0000">
                  <c:v>0</c:v>
                </c:pt>
                <c:pt idx="381" formatCode="0.0000">
                  <c:v>0</c:v>
                </c:pt>
                <c:pt idx="382" formatCode="0.0000">
                  <c:v>0</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0</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0</c:v>
                </c:pt>
                <c:pt idx="412" formatCode="0.0000">
                  <c:v>0</c:v>
                </c:pt>
                <c:pt idx="413" formatCode="0.0000">
                  <c:v>0</c:v>
                </c:pt>
                <c:pt idx="414" formatCode="0.0000">
                  <c:v>0</c:v>
                </c:pt>
                <c:pt idx="415" formatCode="0.0000">
                  <c:v>0</c:v>
                </c:pt>
                <c:pt idx="416" formatCode="0.0000">
                  <c:v>0</c:v>
                </c:pt>
                <c:pt idx="417" formatCode="0.0000">
                  <c:v>0</c:v>
                </c:pt>
                <c:pt idx="418" formatCode="0.0000">
                  <c:v>0</c:v>
                </c:pt>
                <c:pt idx="419" formatCode="0.0000">
                  <c:v>0</c:v>
                </c:pt>
                <c:pt idx="420" formatCode="0.0000">
                  <c:v>0</c:v>
                </c:pt>
                <c:pt idx="421" formatCode="0.0000">
                  <c:v>0</c:v>
                </c:pt>
                <c:pt idx="422" formatCode="0.0000">
                  <c:v>0</c:v>
                </c:pt>
                <c:pt idx="423" formatCode="0.0000">
                  <c:v>0</c:v>
                </c:pt>
                <c:pt idx="424" formatCode="0.0000">
                  <c:v>0</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c:v>
                </c:pt>
                <c:pt idx="438" formatCode="0.0000">
                  <c:v>0</c:v>
                </c:pt>
                <c:pt idx="439" formatCode="0.0000">
                  <c:v>0</c:v>
                </c:pt>
                <c:pt idx="440" formatCode="0.0000">
                  <c:v>0</c:v>
                </c:pt>
                <c:pt idx="441" formatCode="0.0000">
                  <c:v>0</c:v>
                </c:pt>
                <c:pt idx="442" formatCode="0.0000">
                  <c:v>0</c:v>
                </c:pt>
                <c:pt idx="443" formatCode="0.0000">
                  <c:v>0</c:v>
                </c:pt>
                <c:pt idx="444" formatCode="0.0000">
                  <c:v>0</c:v>
                </c:pt>
                <c:pt idx="445" formatCode="0.0000">
                  <c:v>0</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0</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2-5823-234D-B4C3-1838E401960E}"/>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Volumen de agua disponible en las qochas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1"/>
          <c:order val="0"/>
          <c:tx>
            <c:strRef>
              <c:f>Entradas!$E$108</c:f>
              <c:strCache>
                <c:ptCount val="1"/>
                <c:pt idx="0">
                  <c:v>Qochas 1</c:v>
                </c:pt>
              </c:strCache>
            </c:strRef>
          </c:tx>
          <c:spPr>
            <a:ln w="12700" cap="rnd">
              <a:solidFill>
                <a:schemeClr val="accent2"/>
              </a:solidFill>
              <a:round/>
            </a:ln>
            <a:effectLst/>
          </c:spPr>
          <c:marker>
            <c:symbol val="none"/>
          </c:marker>
          <c:xVal>
            <c:strRef>
              <c:f>Escenario1!$C:$C</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Escenario1!$BG:$BG</c:f>
              <c:numCache>
                <c:formatCode>General</c:formatCode>
                <c:ptCount val="1048576"/>
                <c:pt idx="4" formatCode="0.0000">
                  <c:v>0</c:v>
                </c:pt>
                <c:pt idx="5" formatCode="0.0000">
                  <c:v>0</c:v>
                </c:pt>
                <c:pt idx="6" formatCode="0.0000">
                  <c:v>401.00000000000006</c:v>
                </c:pt>
                <c:pt idx="7" formatCode="0.0000">
                  <c:v>396.08884691483075</c:v>
                </c:pt>
                <c:pt idx="8" formatCode="0.0000">
                  <c:v>685.21699620770846</c:v>
                </c:pt>
                <c:pt idx="9" formatCode="0.0000">
                  <c:v>701.6577721239554</c:v>
                </c:pt>
                <c:pt idx="10" formatCode="0.0000">
                  <c:v>863.74538474694066</c:v>
                </c:pt>
                <c:pt idx="11" formatCode="0.0000">
                  <c:v>1171.6143974508752</c:v>
                </c:pt>
                <c:pt idx="12" formatCode="0.0000">
                  <c:v>1143.960578089027</c:v>
                </c:pt>
                <c:pt idx="13" formatCode="0.0000">
                  <c:v>1131.5114843955494</c:v>
                </c:pt>
                <c:pt idx="14" formatCode="0.0000">
                  <c:v>1090.6439621509967</c:v>
                </c:pt>
                <c:pt idx="15" formatCode="0.0000">
                  <c:v>1052.7274995230871</c:v>
                </c:pt>
                <c:pt idx="16" formatCode="0.0000">
                  <c:v>1578.4281816485106</c:v>
                </c:pt>
                <c:pt idx="17" formatCode="0.0000">
                  <c:v>1882.3384949213544</c:v>
                </c:pt>
                <c:pt idx="18" formatCode="0.0000">
                  <c:v>1833.4781401980576</c:v>
                </c:pt>
                <c:pt idx="19" formatCode="0.0000">
                  <c:v>1785.6329441573528</c:v>
                </c:pt>
                <c:pt idx="20" formatCode="0.0000">
                  <c:v>1786.7371412925263</c:v>
                </c:pt>
                <c:pt idx="21" formatCode="0.0000">
                  <c:v>1791.3315806410526</c:v>
                </c:pt>
                <c:pt idx="22" formatCode="0.0000">
                  <c:v>1912.398976535095</c:v>
                </c:pt>
                <c:pt idx="23" formatCode="0.0000">
                  <c:v>1905.8464124698287</c:v>
                </c:pt>
                <c:pt idx="24" formatCode="0.0000">
                  <c:v>2006.9754096281413</c:v>
                </c:pt>
                <c:pt idx="25" formatCode="0.0000">
                  <c:v>2110.4669794297188</c:v>
                </c:pt>
                <c:pt idx="26" formatCode="0.0000">
                  <c:v>2473.7252359524955</c:v>
                </c:pt>
                <c:pt idx="27" formatCode="0.0000">
                  <c:v>2407.9944793694262</c:v>
                </c:pt>
                <c:pt idx="28" formatCode="0.0000">
                  <c:v>2741.2605946833432</c:v>
                </c:pt>
                <c:pt idx="29" formatCode="0.0000">
                  <c:v>2717.8275268854086</c:v>
                </c:pt>
                <c:pt idx="30" formatCode="0.0000">
                  <c:v>2645.6828592236293</c:v>
                </c:pt>
                <c:pt idx="31" formatCode="0.0000">
                  <c:v>2654.7827524865352</c:v>
                </c:pt>
                <c:pt idx="32" formatCode="0.0000">
                  <c:v>2585.4288304312954</c:v>
                </c:pt>
                <c:pt idx="33" formatCode="0.0000">
                  <c:v>2515.5296469945288</c:v>
                </c:pt>
                <c:pt idx="34" formatCode="0.0000">
                  <c:v>2482.0555040484255</c:v>
                </c:pt>
                <c:pt idx="35" formatCode="0.0000">
                  <c:v>2518.1290469975356</c:v>
                </c:pt>
                <c:pt idx="36" formatCode="0.0000">
                  <c:v>2511.8047238601343</c:v>
                </c:pt>
                <c:pt idx="37" formatCode="0.0000">
                  <c:v>2809.2265766737705</c:v>
                </c:pt>
                <c:pt idx="38" formatCode="0.0000">
                  <c:v>2778.6985229236152</c:v>
                </c:pt>
                <c:pt idx="39" formatCode="0.0000">
                  <c:v>2704.3256698279833</c:v>
                </c:pt>
                <c:pt idx="40" formatCode="0.0000">
                  <c:v>2698.1384972863266</c:v>
                </c:pt>
                <c:pt idx="41" formatCode="0.0000">
                  <c:v>2625.0028737315747</c:v>
                </c:pt>
                <c:pt idx="42" formatCode="0.0000">
                  <c:v>2552.7902010620101</c:v>
                </c:pt>
                <c:pt idx="43" formatCode="0.0000">
                  <c:v>2752.4891875673029</c:v>
                </c:pt>
                <c:pt idx="44" formatCode="0.0000">
                  <c:v>2678.3618111511269</c:v>
                </c:pt>
                <c:pt idx="45" formatCode="0.0000">
                  <c:v>2653.3780574031807</c:v>
                </c:pt>
                <c:pt idx="46" formatCode="0.0000">
                  <c:v>3318.9484208171675</c:v>
                </c:pt>
                <c:pt idx="47" formatCode="0.0000">
                  <c:v>3237.3879766881532</c:v>
                </c:pt>
                <c:pt idx="48" formatCode="0.0000">
                  <c:v>3193.8755566813761</c:v>
                </c:pt>
                <c:pt idx="49" formatCode="0.0000">
                  <c:v>3132.0199732259225</c:v>
                </c:pt>
                <c:pt idx="50" formatCode="0.0000">
                  <c:v>3092.1451820929938</c:v>
                </c:pt>
                <c:pt idx="51" formatCode="0.0000">
                  <c:v>3181.3752347612099</c:v>
                </c:pt>
                <c:pt idx="52" formatCode="0.0000">
                  <c:v>3462.9482369788079</c:v>
                </c:pt>
                <c:pt idx="53" formatCode="0.0000">
                  <c:v>3415.7295995968375</c:v>
                </c:pt>
                <c:pt idx="54" formatCode="0.0000">
                  <c:v>3580.8855522092381</c:v>
                </c:pt>
                <c:pt idx="55" formatCode="0.0000">
                  <c:v>3494.256378208604</c:v>
                </c:pt>
                <c:pt idx="56" formatCode="0.0000">
                  <c:v>3890.0931121623971</c:v>
                </c:pt>
                <c:pt idx="57" formatCode="0.0000">
                  <c:v>4043.0669163589173</c:v>
                </c:pt>
                <c:pt idx="58" formatCode="0.0000">
                  <c:v>4104.8965096587226</c:v>
                </c:pt>
                <c:pt idx="59" formatCode="0.0000">
                  <c:v>4830.1475958847059</c:v>
                </c:pt>
                <c:pt idx="60" formatCode="0.0000">
                  <c:v>4904.9741156705732</c:v>
                </c:pt>
                <c:pt idx="61" formatCode="0.0000">
                  <c:v>4809.3865636105866</c:v>
                </c:pt>
                <c:pt idx="62" formatCode="0.0000">
                  <c:v>4703.9663411016754</c:v>
                </c:pt>
                <c:pt idx="63" formatCode="0.0000">
                  <c:v>4624.0622614817803</c:v>
                </c:pt>
                <c:pt idx="64" formatCode="0.0000">
                  <c:v>4530.1727092149486</c:v>
                </c:pt>
                <c:pt idx="65" formatCode="0.0000">
                  <c:v>4429.6855824983622</c:v>
                </c:pt>
                <c:pt idx="66" formatCode="0.0000">
                  <c:v>4399.0455568765428</c:v>
                </c:pt>
                <c:pt idx="67" formatCode="0.0000">
                  <c:v>4300.9292217882657</c:v>
                </c:pt>
                <c:pt idx="68" formatCode="0.0000">
                  <c:v>4541.2342121983393</c:v>
                </c:pt>
                <c:pt idx="69" formatCode="0.0000">
                  <c:v>4441.2680686565682</c:v>
                </c:pt>
                <c:pt idx="70" formatCode="0.0000">
                  <c:v>4459.5101634837292</c:v>
                </c:pt>
                <c:pt idx="71" formatCode="0.0000">
                  <c:v>4361.9423483552937</c:v>
                </c:pt>
                <c:pt idx="72" formatCode="0.0000">
                  <c:v>4942.5876247481838</c:v>
                </c:pt>
                <c:pt idx="73" formatCode="0.0000">
                  <c:v>4877.9487659899687</c:v>
                </c:pt>
                <c:pt idx="74" formatCode="0.0000">
                  <c:v>5035.0529500045295</c:v>
                </c:pt>
                <c:pt idx="75" formatCode="0.0000">
                  <c:v>5251.3348842128316</c:v>
                </c:pt>
                <c:pt idx="76" formatCode="0.0000">
                  <c:v>5548.0355131153174</c:v>
                </c:pt>
                <c:pt idx="77" formatCode="0.0000">
                  <c:v>5604.7157420201474</c:v>
                </c:pt>
                <c:pt idx="78" formatCode="0.0000">
                  <c:v>5560.2444524832872</c:v>
                </c:pt>
                <c:pt idx="79" formatCode="0.0000">
                  <c:v>5560.138311980656</c:v>
                </c:pt>
                <c:pt idx="80" formatCode="0.0000">
                  <c:v>5813.6438957146211</c:v>
                </c:pt>
                <c:pt idx="81" formatCode="0.0000">
                  <c:v>5701.7811996793862</c:v>
                </c:pt>
                <c:pt idx="82" formatCode="0.0000">
                  <c:v>5640.0666163848255</c:v>
                </c:pt>
                <c:pt idx="83" formatCode="0.0000">
                  <c:v>5929.5431051447176</c:v>
                </c:pt>
                <c:pt idx="84" formatCode="0.0000">
                  <c:v>6227.0213204162728</c:v>
                </c:pt>
                <c:pt idx="85" formatCode="0.0000">
                  <c:v>6106.6473090037152</c:v>
                </c:pt>
                <c:pt idx="86" formatCode="0.0000">
                  <c:v>6021.7828167958969</c:v>
                </c:pt>
                <c:pt idx="87" formatCode="0.0000">
                  <c:v>5956.957865303777</c:v>
                </c:pt>
                <c:pt idx="88" formatCode="0.0000">
                  <c:v>5840.4908992883593</c:v>
                </c:pt>
                <c:pt idx="89" formatCode="0.0000">
                  <c:v>5723.9373012802253</c:v>
                </c:pt>
                <c:pt idx="90" formatCode="0.0000">
                  <c:v>5609.9981379760584</c:v>
                </c:pt>
                <c:pt idx="91" formatCode="0.0000">
                  <c:v>5497.2192930044703</c:v>
                </c:pt>
                <c:pt idx="92" formatCode="0.0000">
                  <c:v>5621.1871911056678</c:v>
                </c:pt>
                <c:pt idx="93" formatCode="0.0000">
                  <c:v>5509.0199393342991</c:v>
                </c:pt>
                <c:pt idx="94" formatCode="0.0000">
                  <c:v>5433.4570539247879</c:v>
                </c:pt>
                <c:pt idx="95" formatCode="0.0000">
                  <c:v>5323.7702809600687</c:v>
                </c:pt>
                <c:pt idx="96" formatCode="0.0000">
                  <c:v>5215.7077722792446</c:v>
                </c:pt>
                <c:pt idx="97" formatCode="0.0000">
                  <c:v>5108.7949853616237</c:v>
                </c:pt>
                <c:pt idx="98" formatCode="0.0000">
                  <c:v>5014.020049376255</c:v>
                </c:pt>
                <c:pt idx="99" formatCode="0.0000">
                  <c:v>4911.170386180168</c:v>
                </c:pt>
                <c:pt idx="100" formatCode="0.0000">
                  <c:v>4809.8351727034587</c:v>
                </c:pt>
                <c:pt idx="101" formatCode="0.0000">
                  <c:v>4711.5783130043064</c:v>
                </c:pt>
                <c:pt idx="102" formatCode="0.0000">
                  <c:v>4618.4445205034044</c:v>
                </c:pt>
                <c:pt idx="103" formatCode="0.0000">
                  <c:v>4522.5903495590692</c:v>
                </c:pt>
                <c:pt idx="104" formatCode="0.0000">
                  <c:v>4428.7775622207228</c:v>
                </c:pt>
                <c:pt idx="105" formatCode="0.0000">
                  <c:v>4335.3619278866399</c:v>
                </c:pt>
                <c:pt idx="106" formatCode="0.0000">
                  <c:v>4243.0697292032301</c:v>
                </c:pt>
                <c:pt idx="107" formatCode="0.0000">
                  <c:v>4222.2569218182371</c:v>
                </c:pt>
                <c:pt idx="108" formatCode="0.0000">
                  <c:v>4169.703929101498</c:v>
                </c:pt>
                <c:pt idx="109" formatCode="0.0000">
                  <c:v>4080.2853206689597</c:v>
                </c:pt>
                <c:pt idx="110" formatCode="0.0000">
                  <c:v>3993.5786987161773</c:v>
                </c:pt>
                <c:pt idx="111" formatCode="0.0000">
                  <c:v>3907.531114907652</c:v>
                </c:pt>
                <c:pt idx="112" formatCode="0.0000">
                  <c:v>3823.0874188294133</c:v>
                </c:pt>
                <c:pt idx="113" formatCode="0.0000">
                  <c:v>3753.4326545135214</c:v>
                </c:pt>
                <c:pt idx="114" formatCode="0.0000">
                  <c:v>3680.5784914083843</c:v>
                </c:pt>
                <c:pt idx="115" formatCode="0.0000">
                  <c:v>3598.4166374681258</c:v>
                </c:pt>
                <c:pt idx="116" formatCode="0.0000">
                  <c:v>3518.7412488928239</c:v>
                </c:pt>
                <c:pt idx="117" formatCode="0.0000">
                  <c:v>3452.715729096697</c:v>
                </c:pt>
                <c:pt idx="118" formatCode="0.0000">
                  <c:v>3376.2912778685063</c:v>
                </c:pt>
                <c:pt idx="119" formatCode="0.0000">
                  <c:v>3340.3525019825561</c:v>
                </c:pt>
                <c:pt idx="120" formatCode="0.0000">
                  <c:v>3265.4329853982772</c:v>
                </c:pt>
                <c:pt idx="121" formatCode="0.0000">
                  <c:v>3441.5941736968666</c:v>
                </c:pt>
                <c:pt idx="122" formatCode="0.0000">
                  <c:v>3364.1370754677714</c:v>
                </c:pt>
                <c:pt idx="123" formatCode="0.0000">
                  <c:v>3297.7825271603174</c:v>
                </c:pt>
                <c:pt idx="124" formatCode="0.0000">
                  <c:v>3222.8545823408058</c:v>
                </c:pt>
                <c:pt idx="125" formatCode="0.0000">
                  <c:v>3149.7932451553634</c:v>
                </c:pt>
                <c:pt idx="126" formatCode="0.0000">
                  <c:v>3077.9697725030192</c:v>
                </c:pt>
                <c:pt idx="127" formatCode="0.0000">
                  <c:v>3007.0608590407674</c:v>
                </c:pt>
                <c:pt idx="128" formatCode="0.0000">
                  <c:v>2937.3000779922595</c:v>
                </c:pt>
                <c:pt idx="129" formatCode="0.0000">
                  <c:v>2869.3347093688685</c:v>
                </c:pt>
                <c:pt idx="130" formatCode="0.0000">
                  <c:v>2802.2706787929842</c:v>
                </c:pt>
                <c:pt idx="131" formatCode="0.0000">
                  <c:v>2736.9135421837645</c:v>
                </c:pt>
                <c:pt idx="132" formatCode="0.0000">
                  <c:v>2672.1301862063588</c:v>
                </c:pt>
                <c:pt idx="133" formatCode="0.0000">
                  <c:v>2608.9816587846744</c:v>
                </c:pt>
                <c:pt idx="134" formatCode="0.0000">
                  <c:v>2550.6680072962326</c:v>
                </c:pt>
                <c:pt idx="135" formatCode="0.0000">
                  <c:v>2489.166469889462</c:v>
                </c:pt>
                <c:pt idx="136" formatCode="0.0000">
                  <c:v>2428.7747625125785</c:v>
                </c:pt>
                <c:pt idx="137" formatCode="0.0000">
                  <c:v>2369.8232319671952</c:v>
                </c:pt>
                <c:pt idx="138" formatCode="0.0000">
                  <c:v>2312.1440989068515</c:v>
                </c:pt>
                <c:pt idx="139" formatCode="0.0000">
                  <c:v>2255.4713611482762</c:v>
                </c:pt>
                <c:pt idx="140" formatCode="0.0000">
                  <c:v>2199.5223970975999</c:v>
                </c:pt>
                <c:pt idx="141" formatCode="0.0000">
                  <c:v>2144.9172296085717</c:v>
                </c:pt>
                <c:pt idx="142" formatCode="0.0000">
                  <c:v>2091.053633719031</c:v>
                </c:pt>
                <c:pt idx="143" formatCode="0.0000">
                  <c:v>2038.0336448298281</c:v>
                </c:pt>
                <c:pt idx="144" formatCode="0.0000">
                  <c:v>1986.2981975862185</c:v>
                </c:pt>
                <c:pt idx="145" formatCode="0.0000">
                  <c:v>1935.0389387717855</c:v>
                </c:pt>
                <c:pt idx="146" formatCode="0.0000">
                  <c:v>1884.6032043554756</c:v>
                </c:pt>
                <c:pt idx="147" formatCode="0.0000">
                  <c:v>1835.3739607046375</c:v>
                </c:pt>
                <c:pt idx="148" formatCode="0.0000">
                  <c:v>1787.3061886942589</c:v>
                </c:pt>
                <c:pt idx="149" formatCode="0.0000">
                  <c:v>1740.1946416117889</c:v>
                </c:pt>
                <c:pt idx="150" formatCode="0.0000">
                  <c:v>1694.0956005465621</c:v>
                </c:pt>
                <c:pt idx="151" formatCode="0.0000">
                  <c:v>1648.5646419473121</c:v>
                </c:pt>
                <c:pt idx="152" formatCode="0.0000">
                  <c:v>1603.7877707930236</c:v>
                </c:pt>
                <c:pt idx="153" formatCode="0.0000">
                  <c:v>1560.0584278774143</c:v>
                </c:pt>
                <c:pt idx="154" formatCode="0.0000">
                  <c:v>1517.1671999398434</c:v>
                </c:pt>
                <c:pt idx="155" formatCode="0.0000">
                  <c:v>1475.2707548949481</c:v>
                </c:pt>
                <c:pt idx="156" formatCode="0.0000">
                  <c:v>1434.0688031399379</c:v>
                </c:pt>
                <c:pt idx="157" formatCode="0.0000">
                  <c:v>1393.6191384623676</c:v>
                </c:pt>
                <c:pt idx="158" formatCode="0.0000">
                  <c:v>1586.0470257382049</c:v>
                </c:pt>
                <c:pt idx="159" formatCode="0.0000">
                  <c:v>1783.8840070314559</c:v>
                </c:pt>
                <c:pt idx="160" formatCode="0.0000">
                  <c:v>1736.5877054126124</c:v>
                </c:pt>
                <c:pt idx="161" formatCode="0.0000">
                  <c:v>1690.9633795233967</c:v>
                </c:pt>
                <c:pt idx="162" formatCode="0.0000">
                  <c:v>1645.8016875750798</c:v>
                </c:pt>
                <c:pt idx="163" formatCode="0.0000">
                  <c:v>1601.7426100376183</c:v>
                </c:pt>
                <c:pt idx="164" formatCode="0.0000">
                  <c:v>1558.3527307713098</c:v>
                </c:pt>
                <c:pt idx="165" formatCode="0.0000">
                  <c:v>1550.3211857751494</c:v>
                </c:pt>
                <c:pt idx="166" formatCode="0.0000">
                  <c:v>1534.6563391320515</c:v>
                </c:pt>
                <c:pt idx="167" formatCode="0.0000">
                  <c:v>1498.8850404909617</c:v>
                </c:pt>
                <c:pt idx="168" formatCode="0.0000">
                  <c:v>1457.3343812987023</c:v>
                </c:pt>
                <c:pt idx="169" formatCode="0.0000">
                  <c:v>1417.1143692915671</c:v>
                </c:pt>
                <c:pt idx="170" formatCode="0.0000">
                  <c:v>1377.3492340798882</c:v>
                </c:pt>
                <c:pt idx="171" formatCode="0.0000">
                  <c:v>1338.6989146964499</c:v>
                </c:pt>
                <c:pt idx="172" formatCode="0.0000">
                  <c:v>1300.3795349161471</c:v>
                </c:pt>
                <c:pt idx="173" formatCode="0.0000">
                  <c:v>1263.020751607301</c:v>
                </c:pt>
                <c:pt idx="174" formatCode="0.0000">
                  <c:v>1226.4242059194814</c:v>
                </c:pt>
                <c:pt idx="175" formatCode="0.0000">
                  <c:v>1190.5031936598955</c:v>
                </c:pt>
                <c:pt idx="176" formatCode="0.0000">
                  <c:v>1155.166564662466</c:v>
                </c:pt>
                <c:pt idx="177" formatCode="0.0000">
                  <c:v>1120.5773894320312</c:v>
                </c:pt>
                <c:pt idx="178" formatCode="0.0000">
                  <c:v>1086.6531544755944</c:v>
                </c:pt>
                <c:pt idx="179" formatCode="0.0000">
                  <c:v>1053.1782172176502</c:v>
                </c:pt>
                <c:pt idx="180" formatCode="0.0000">
                  <c:v>1020.5662018686376</c:v>
                </c:pt>
                <c:pt idx="181" formatCode="0.0000">
                  <c:v>988.60696895916624</c:v>
                </c:pt>
                <c:pt idx="182" formatCode="0.0000">
                  <c:v>956.97528841755775</c:v>
                </c:pt>
                <c:pt idx="183" formatCode="0.0000">
                  <c:v>926.29645691043243</c:v>
                </c:pt>
                <c:pt idx="184" formatCode="0.0000">
                  <c:v>895.9075949823432</c:v>
                </c:pt>
                <c:pt idx="185" formatCode="0.0000">
                  <c:v>866.08589499189804</c:v>
                </c:pt>
                <c:pt idx="186" formatCode="0.0000">
                  <c:v>837.17343046182805</c:v>
                </c:pt>
                <c:pt idx="187" formatCode="0.0000">
                  <c:v>808.70680896398301</c:v>
                </c:pt>
                <c:pt idx="188" formatCode="0.0000">
                  <c:v>780.82996116161769</c:v>
                </c:pt>
                <c:pt idx="189" formatCode="0.0000">
                  <c:v>753.70706667660579</c:v>
                </c:pt>
                <c:pt idx="190" formatCode="0.0000">
                  <c:v>726.91822574781759</c:v>
                </c:pt>
                <c:pt idx="191" formatCode="0.0000">
                  <c:v>700.76071544756019</c:v>
                </c:pt>
                <c:pt idx="192" formatCode="0.0000">
                  <c:v>675.15718409618978</c:v>
                </c:pt>
                <c:pt idx="193" formatCode="0.0000">
                  <c:v>650.4291634914207</c:v>
                </c:pt>
                <c:pt idx="194" formatCode="0.0000">
                  <c:v>626.47624609471461</c:v>
                </c:pt>
                <c:pt idx="195" formatCode="0.0000">
                  <c:v>647.22802338266058</c:v>
                </c:pt>
                <c:pt idx="196" formatCode="0.0000">
                  <c:v>623.13717004796513</c:v>
                </c:pt>
                <c:pt idx="197" formatCode="0.0000">
                  <c:v>599.40678050075769</c:v>
                </c:pt>
                <c:pt idx="198" formatCode="0.0000">
                  <c:v>576.25874938289815</c:v>
                </c:pt>
                <c:pt idx="199" formatCode="0.0000">
                  <c:v>553.90770302600185</c:v>
                </c:pt>
                <c:pt idx="200" formatCode="0.0000">
                  <c:v>532.20462871950451</c:v>
                </c:pt>
                <c:pt idx="201" formatCode="0.0000">
                  <c:v>510.82825666369155</c:v>
                </c:pt>
                <c:pt idx="202" formatCode="0.0000">
                  <c:v>490.06905770685495</c:v>
                </c:pt>
                <c:pt idx="203" formatCode="0.0000">
                  <c:v>469.88406182259354</c:v>
                </c:pt>
                <c:pt idx="204" formatCode="0.0000">
                  <c:v>454.1263935167961</c:v>
                </c:pt>
                <c:pt idx="205" formatCode="0.0000">
                  <c:v>468.65181648689997</c:v>
                </c:pt>
                <c:pt idx="206" formatCode="0.0000">
                  <c:v>551.02295230027119</c:v>
                </c:pt>
                <c:pt idx="207" formatCode="0.0000">
                  <c:v>709.36911576701766</c:v>
                </c:pt>
                <c:pt idx="208" formatCode="0.0000">
                  <c:v>683.51450375913885</c:v>
                </c:pt>
                <c:pt idx="209" formatCode="0.0000">
                  <c:v>658.33145814677766</c:v>
                </c:pt>
                <c:pt idx="210" formatCode="0.0000">
                  <c:v>633.5863378996703</c:v>
                </c:pt>
                <c:pt idx="211" formatCode="0.0000">
                  <c:v>609.41001241320282</c:v>
                </c:pt>
                <c:pt idx="212" formatCode="0.0000">
                  <c:v>585.9733086738795</c:v>
                </c:pt>
                <c:pt idx="213" formatCode="0.0000">
                  <c:v>563.10098141279661</c:v>
                </c:pt>
                <c:pt idx="214" formatCode="0.0000">
                  <c:v>540.69566420853482</c:v>
                </c:pt>
                <c:pt idx="215" formatCode="0.0000">
                  <c:v>518.79880357204979</c:v>
                </c:pt>
                <c:pt idx="216" formatCode="0.0000">
                  <c:v>497.11788513216663</c:v>
                </c:pt>
                <c:pt idx="217" formatCode="0.0000">
                  <c:v>476.2310044122728</c:v>
                </c:pt>
                <c:pt idx="218" formatCode="0.0000">
                  <c:v>455.61316951508763</c:v>
                </c:pt>
                <c:pt idx="219" formatCode="0.0000">
                  <c:v>443.60571993185187</c:v>
                </c:pt>
                <c:pt idx="220" formatCode="0.0000">
                  <c:v>423.90499544111037</c:v>
                </c:pt>
                <c:pt idx="221" formatCode="0.0000">
                  <c:v>404.73389880131731</c:v>
                </c:pt>
                <c:pt idx="222" formatCode="0.0000">
                  <c:v>385.92202638722091</c:v>
                </c:pt>
                <c:pt idx="223" formatCode="0.0000">
                  <c:v>420.36999443863425</c:v>
                </c:pt>
                <c:pt idx="224" formatCode="0.0000">
                  <c:v>401.21994778579858</c:v>
                </c:pt>
                <c:pt idx="225" formatCode="0.0000">
                  <c:v>394.7392882799785</c:v>
                </c:pt>
                <c:pt idx="226" formatCode="0.0000">
                  <c:v>376.17783185902863</c:v>
                </c:pt>
                <c:pt idx="227" formatCode="0.0000">
                  <c:v>358.10860045252633</c:v>
                </c:pt>
                <c:pt idx="228" formatCode="0.0000">
                  <c:v>340.74721986488959</c:v>
                </c:pt>
                <c:pt idx="229" formatCode="0.0000">
                  <c:v>323.93635739666513</c:v>
                </c:pt>
                <c:pt idx="230" formatCode="0.0000">
                  <c:v>311.65636809240942</c:v>
                </c:pt>
                <c:pt idx="231" formatCode="0.0000">
                  <c:v>295.75602937771862</c:v>
                </c:pt>
                <c:pt idx="232" formatCode="0.0000">
                  <c:v>280.30316724897193</c:v>
                </c:pt>
                <c:pt idx="233" formatCode="0.0000">
                  <c:v>265.33509063550906</c:v>
                </c:pt>
                <c:pt idx="234" formatCode="0.0000">
                  <c:v>316.76640526943152</c:v>
                </c:pt>
                <c:pt idx="235" formatCode="0.0000">
                  <c:v>300.4761956783716</c:v>
                </c:pt>
                <c:pt idx="236" formatCode="0.0000">
                  <c:v>284.67961472453413</c:v>
                </c:pt>
                <c:pt idx="237" formatCode="0.0000">
                  <c:v>269.23186616320976</c:v>
                </c:pt>
                <c:pt idx="238" formatCode="0.0000">
                  <c:v>254.39447184944726</c:v>
                </c:pt>
                <c:pt idx="239" formatCode="0.0000">
                  <c:v>239.81747300728827</c:v>
                </c:pt>
                <c:pt idx="240" formatCode="0.0000">
                  <c:v>225.92762607117353</c:v>
                </c:pt>
                <c:pt idx="241" formatCode="0.0000">
                  <c:v>212.49317514453722</c:v>
                </c:pt>
                <c:pt idx="242" formatCode="0.0000">
                  <c:v>199.78132619369089</c:v>
                </c:pt>
                <c:pt idx="243" formatCode="0.0000">
                  <c:v>187.36023751697482</c:v>
                </c:pt>
                <c:pt idx="244" formatCode="0.0000">
                  <c:v>175.3406240070448</c:v>
                </c:pt>
                <c:pt idx="245" formatCode="0.0000">
                  <c:v>163.94938623475809</c:v>
                </c:pt>
                <c:pt idx="246" formatCode="0.0000">
                  <c:v>153.03341856224907</c:v>
                </c:pt>
                <c:pt idx="247" formatCode="0.0000">
                  <c:v>142.40861032618614</c:v>
                </c:pt>
                <c:pt idx="248" formatCode="0.0000">
                  <c:v>132.25293379242709</c:v>
                </c:pt>
                <c:pt idx="249" formatCode="0.0000">
                  <c:v>122.46670452593499</c:v>
                </c:pt>
                <c:pt idx="250" formatCode="0.0000">
                  <c:v>113.12418255810206</c:v>
                </c:pt>
                <c:pt idx="251" formatCode="0.0000">
                  <c:v>104.18737867220077</c:v>
                </c:pt>
                <c:pt idx="252" formatCode="0.0000">
                  <c:v>95.73932992007515</c:v>
                </c:pt>
                <c:pt idx="253" formatCode="0.0000">
                  <c:v>87.644356983454657</c:v>
                </c:pt>
                <c:pt idx="254" formatCode="0.0000">
                  <c:v>80.021483849795587</c:v>
                </c:pt>
                <c:pt idx="255" formatCode="0.0000">
                  <c:v>72.639074394357991</c:v>
                </c:pt>
                <c:pt idx="256" formatCode="0.0000">
                  <c:v>65.639728962845211</c:v>
                </c:pt>
                <c:pt idx="257" formatCode="0.0000">
                  <c:v>59.011363463505219</c:v>
                </c:pt>
                <c:pt idx="258" formatCode="0.0000">
                  <c:v>52.7702913428095</c:v>
                </c:pt>
                <c:pt idx="259" formatCode="0.0000">
                  <c:v>46.918086352040589</c:v>
                </c:pt>
                <c:pt idx="260" formatCode="0.0000">
                  <c:v>41.398435011064471</c:v>
                </c:pt>
                <c:pt idx="261" formatCode="0.0000">
                  <c:v>36.262223561154549</c:v>
                </c:pt>
                <c:pt idx="262" formatCode="0.0000">
                  <c:v>31.480150237720466</c:v>
                </c:pt>
                <c:pt idx="263" formatCode="0.0000">
                  <c:v>37.037446890674069</c:v>
                </c:pt>
                <c:pt idx="264" formatCode="0.0000">
                  <c:v>32.134838120169917</c:v>
                </c:pt>
                <c:pt idx="265" formatCode="0.0000">
                  <c:v>27.578495705948427</c:v>
                </c:pt>
                <c:pt idx="266" formatCode="0.0000">
                  <c:v>23.377942051574554</c:v>
                </c:pt>
                <c:pt idx="267" formatCode="0.0000">
                  <c:v>19.481758398688129</c:v>
                </c:pt>
                <c:pt idx="268" formatCode="0.0000">
                  <c:v>15.895605189459644</c:v>
                </c:pt>
                <c:pt idx="269" formatCode="0.0000">
                  <c:v>12.652806208002486</c:v>
                </c:pt>
                <c:pt idx="270" formatCode="0.0000">
                  <c:v>9.7376682042685339</c:v>
                </c:pt>
                <c:pt idx="271" formatCode="0.0000">
                  <c:v>7.1436953733302406</c:v>
                </c:pt>
                <c:pt idx="272" formatCode="0.0000">
                  <c:v>44.839164804843556</c:v>
                </c:pt>
                <c:pt idx="273" formatCode="0.0000">
                  <c:v>129.39672011855833</c:v>
                </c:pt>
                <c:pt idx="274" formatCode="0.0000">
                  <c:v>119.40918398415201</c:v>
                </c:pt>
                <c:pt idx="275" formatCode="0.0000">
                  <c:v>109.9264567628091</c:v>
                </c:pt>
                <c:pt idx="276" formatCode="0.0000">
                  <c:v>100.83761685889826</c:v>
                </c:pt>
                <c:pt idx="277" formatCode="0.0000">
                  <c:v>92.134326018222382</c:v>
                </c:pt>
                <c:pt idx="278" formatCode="0.0000">
                  <c:v>83.807107459801216</c:v>
                </c:pt>
                <c:pt idx="279" formatCode="0.0000">
                  <c:v>75.983354925969692</c:v>
                </c:pt>
                <c:pt idx="280" formatCode="0.0000">
                  <c:v>68.528732429549763</c:v>
                </c:pt>
                <c:pt idx="281" formatCode="0.0000">
                  <c:v>61.518000510799347</c:v>
                </c:pt>
                <c:pt idx="282" formatCode="0.0000">
                  <c:v>55.128785457592159</c:v>
                </c:pt>
                <c:pt idx="283" formatCode="0.0000">
                  <c:v>48.901943434473324</c:v>
                </c:pt>
                <c:pt idx="284" formatCode="0.0000">
                  <c:v>43.108690668644883</c:v>
                </c:pt>
                <c:pt idx="285" formatCode="0.0000">
                  <c:v>37.725058995611597</c:v>
                </c:pt>
                <c:pt idx="286" formatCode="0.0000">
                  <c:v>32.798347251809247</c:v>
                </c:pt>
                <c:pt idx="287" formatCode="0.0000">
                  <c:v>28.121880382451991</c:v>
                </c:pt>
                <c:pt idx="288" formatCode="0.0000">
                  <c:v>83.821568745650353</c:v>
                </c:pt>
                <c:pt idx="289" formatCode="0.0000">
                  <c:v>81.933083603416463</c:v>
                </c:pt>
                <c:pt idx="290" formatCode="0.0000">
                  <c:v>200.12500067339113</c:v>
                </c:pt>
                <c:pt idx="291" formatCode="0.0000">
                  <c:v>252.99230922095447</c:v>
                </c:pt>
                <c:pt idx="292" formatCode="0.0000">
                  <c:v>637.60747335117185</c:v>
                </c:pt>
                <c:pt idx="293" formatCode="0.0000">
                  <c:v>693.7736214549326</c:v>
                </c:pt>
                <c:pt idx="294" formatCode="0.0000">
                  <c:v>916.18170575108536</c:v>
                </c:pt>
                <c:pt idx="295" formatCode="0.0000">
                  <c:v>880.74406865777007</c:v>
                </c:pt>
                <c:pt idx="296" formatCode="0.0000">
                  <c:v>846.52624026473563</c:v>
                </c:pt>
                <c:pt idx="297" formatCode="0.0000">
                  <c:v>981.08000983715726</c:v>
                </c:pt>
                <c:pt idx="298" formatCode="0.0000">
                  <c:v>1012.551793440414</c:v>
                </c:pt>
                <c:pt idx="299" formatCode="0.0000">
                  <c:v>974.97839339739699</c:v>
                </c:pt>
                <c:pt idx="300" formatCode="0.0000">
                  <c:v>988.18604355949276</c:v>
                </c:pt>
                <c:pt idx="301" formatCode="0.0000">
                  <c:v>1014.8993986007007</c:v>
                </c:pt>
                <c:pt idx="302" formatCode="0.0000">
                  <c:v>1013.8862430967552</c:v>
                </c:pt>
                <c:pt idx="303" formatCode="0.0000">
                  <c:v>1092.8377421920018</c:v>
                </c:pt>
                <c:pt idx="304" formatCode="0.0000">
                  <c:v>1087.4878003511462</c:v>
                </c:pt>
                <c:pt idx="305" formatCode="0.0000">
                  <c:v>1053.8131092336646</c:v>
                </c:pt>
                <c:pt idx="306" formatCode="0.0000">
                  <c:v>1042.5165345391486</c:v>
                </c:pt>
                <c:pt idx="307" formatCode="0.0000">
                  <c:v>1003.522757455343</c:v>
                </c:pt>
                <c:pt idx="308" formatCode="0.0000">
                  <c:v>1015.8796216166586</c:v>
                </c:pt>
                <c:pt idx="309" formatCode="0.0000">
                  <c:v>977.70875492083496</c:v>
                </c:pt>
                <c:pt idx="310" formatCode="0.0000">
                  <c:v>948.57452402001036</c:v>
                </c:pt>
                <c:pt idx="311" formatCode="0.0000">
                  <c:v>956.12324441982037</c:v>
                </c:pt>
                <c:pt idx="312" formatCode="0.0000">
                  <c:v>919.36343724028882</c:v>
                </c:pt>
                <c:pt idx="313" formatCode="0.0000">
                  <c:v>935.71773073524253</c:v>
                </c:pt>
                <c:pt idx="314" formatCode="0.0000">
                  <c:v>921.2864625440443</c:v>
                </c:pt>
                <c:pt idx="315" formatCode="0.0000">
                  <c:v>887.37284926069322</c:v>
                </c:pt>
                <c:pt idx="316" formatCode="0.0000">
                  <c:v>892.37902416425254</c:v>
                </c:pt>
                <c:pt idx="317" formatCode="0.0000">
                  <c:v>857.24998552137924</c:v>
                </c:pt>
                <c:pt idx="318" formatCode="0.0000">
                  <c:v>830.88745477686655</c:v>
                </c:pt>
                <c:pt idx="319" formatCode="0.0000">
                  <c:v>797.3822612050576</c:v>
                </c:pt>
                <c:pt idx="320" formatCode="0.0000">
                  <c:v>765.13205774823439</c:v>
                </c:pt>
                <c:pt idx="321" formatCode="0.0000">
                  <c:v>733.40240909130648</c:v>
                </c:pt>
                <c:pt idx="322" formatCode="0.0000">
                  <c:v>750.18787355789186</c:v>
                </c:pt>
                <c:pt idx="323" formatCode="0.0000">
                  <c:v>730.54488437294538</c:v>
                </c:pt>
                <c:pt idx="324" formatCode="0.0000">
                  <c:v>969.51600380608511</c:v>
                </c:pt>
                <c:pt idx="325" formatCode="0.0000">
                  <c:v>1122.3311798521652</c:v>
                </c:pt>
                <c:pt idx="326" formatCode="0.0000">
                  <c:v>1091.2177135450738</c:v>
                </c:pt>
                <c:pt idx="327" formatCode="0.0000">
                  <c:v>1062.6641002068586</c:v>
                </c:pt>
                <c:pt idx="328" formatCode="0.0000">
                  <c:v>1097.5575586871694</c:v>
                </c:pt>
                <c:pt idx="329" formatCode="0.0000">
                  <c:v>1329.5115228870268</c:v>
                </c:pt>
                <c:pt idx="330" formatCode="0.0000">
                  <c:v>1421.7240275951617</c:v>
                </c:pt>
                <c:pt idx="331" formatCode="0.0000">
                  <c:v>1373.7955380872961</c:v>
                </c:pt>
                <c:pt idx="332" formatCode="0.0000">
                  <c:v>1326.7841118820331</c:v>
                </c:pt>
                <c:pt idx="333" formatCode="0.0000">
                  <c:v>1281.2738288482976</c:v>
                </c:pt>
                <c:pt idx="334" formatCode="0.0000">
                  <c:v>1388.5830982429047</c:v>
                </c:pt>
                <c:pt idx="335" formatCode="0.0000">
                  <c:v>1597.2176763987804</c:v>
                </c:pt>
                <c:pt idx="336" formatCode="0.0000">
                  <c:v>1551.4320999765264</c:v>
                </c:pt>
                <c:pt idx="337" formatCode="0.0000">
                  <c:v>1500.6010929718898</c:v>
                </c:pt>
                <c:pt idx="338" formatCode="0.0000">
                  <c:v>1451.3498296917969</c:v>
                </c:pt>
                <c:pt idx="339" formatCode="0.0000">
                  <c:v>1403.5632800146261</c:v>
                </c:pt>
                <c:pt idx="340" formatCode="0.0000">
                  <c:v>1357.151179422938</c:v>
                </c:pt>
                <c:pt idx="341" formatCode="0.0000">
                  <c:v>1311.6921502986247</c:v>
                </c:pt>
                <c:pt idx="342" formatCode="0.0000">
                  <c:v>1266.8006031583541</c:v>
                </c:pt>
                <c:pt idx="343" formatCode="0.0000">
                  <c:v>1222.9326797242222</c:v>
                </c:pt>
                <c:pt idx="344" formatCode="0.0000">
                  <c:v>1180.0599160628658</c:v>
                </c:pt>
                <c:pt idx="345" formatCode="0.0000">
                  <c:v>1138.0593728720517</c:v>
                </c:pt>
                <c:pt idx="346" formatCode="0.0000">
                  <c:v>1099.1467804904623</c:v>
                </c:pt>
                <c:pt idx="347" formatCode="0.0000">
                  <c:v>1059.1644634285853</c:v>
                </c:pt>
                <c:pt idx="348" formatCode="0.0000">
                  <c:v>1019.7169712550641</c:v>
                </c:pt>
                <c:pt idx="349" formatCode="0.0000">
                  <c:v>982.2048120266702</c:v>
                </c:pt>
                <c:pt idx="350" formatCode="0.0000">
                  <c:v>944.85501440936821</c:v>
                </c:pt>
                <c:pt idx="351" formatCode="0.0000">
                  <c:v>908.6811446123055</c:v>
                </c:pt>
                <c:pt idx="352" formatCode="0.0000">
                  <c:v>955.80253872917535</c:v>
                </c:pt>
                <c:pt idx="353" formatCode="0.0000">
                  <c:v>926.85772855254174</c:v>
                </c:pt>
                <c:pt idx="354" formatCode="0.0000">
                  <c:v>913.26232561892994</c:v>
                </c:pt>
                <c:pt idx="355" formatCode="0.0000">
                  <c:v>1037.4864105257398</c:v>
                </c:pt>
                <c:pt idx="356" formatCode="0.0000">
                  <c:v>1035.108979852997</c:v>
                </c:pt>
                <c:pt idx="357" formatCode="0.0000">
                  <c:v>1008.8917031341072</c:v>
                </c:pt>
                <c:pt idx="358" formatCode="0.0000">
                  <c:v>1315.3055956489666</c:v>
                </c:pt>
                <c:pt idx="359" formatCode="0.0000">
                  <c:v>1270.3333011477384</c:v>
                </c:pt>
                <c:pt idx="360" formatCode="0.0000">
                  <c:v>1226.3691551868442</c:v>
                </c:pt>
                <c:pt idx="361" formatCode="0.0000">
                  <c:v>1471.336421045502</c:v>
                </c:pt>
                <c:pt idx="362" formatCode="0.0000">
                  <c:v>1466.323063229602</c:v>
                </c:pt>
                <c:pt idx="363" formatCode="0.0000">
                  <c:v>1418.0277667164312</c:v>
                </c:pt>
                <c:pt idx="364" formatCode="0.0000">
                  <c:v>1830.758589048572</c:v>
                </c:pt>
                <c:pt idx="365" formatCode="0.0000">
                  <c:v>1851.1131241914597</c:v>
                </c:pt>
                <c:pt idx="366" formatCode="0.0000">
                  <c:v>1850.3724707178276</c:v>
                </c:pt>
                <c:pt idx="367" formatCode="0.0000">
                  <c:v>1919.4314012300206</c:v>
                </c:pt>
                <c:pt idx="368" formatCode="0.0000">
                  <c:v>1940.0127976041936</c:v>
                </c:pt>
                <c:pt idx="369" formatCode="0.0000">
                  <c:v>1964.1691296659312</c:v>
                </c:pt>
                <c:pt idx="370" formatCode="0.0000">
                  <c:v>1956.7355467267237</c:v>
                </c:pt>
                <c:pt idx="371" formatCode="0.0000">
                  <c:v>2300.3859179693827</c:v>
                </c:pt>
                <c:pt idx="372" formatCode="0.0000">
                  <c:v>2251.5790692101746</c:v>
                </c:pt>
                <c:pt idx="373" formatCode="0.0000">
                  <c:v>2497.2842677678987</c:v>
                </c:pt>
                <c:pt idx="374" formatCode="0.0000">
                  <c:v>2474.6490373767424</c:v>
                </c:pt>
                <c:pt idx="375" formatCode="0.0000">
                  <c:v>2598.6591156479994</c:v>
                </c:pt>
                <c:pt idx="376" formatCode="0.0000">
                  <c:v>2870.6123360901538</c:v>
                </c:pt>
                <c:pt idx="377" formatCode="0.0000">
                  <c:v>2809.6813472100093</c:v>
                </c:pt>
                <c:pt idx="378" formatCode="0.0000">
                  <c:v>2764.259983769427</c:v>
                </c:pt>
                <c:pt idx="379" formatCode="0.0000">
                  <c:v>2690.9442952287318</c:v>
                </c:pt>
                <c:pt idx="380" formatCode="0.0000">
                  <c:v>2620.8860470806803</c:v>
                </c:pt>
                <c:pt idx="381" formatCode="0.0000">
                  <c:v>3115.0004091596438</c:v>
                </c:pt>
                <c:pt idx="382" formatCode="0.0000">
                  <c:v>3390.7657119264809</c:v>
                </c:pt>
                <c:pt idx="383" formatCode="0.0000">
                  <c:v>3315.0660510784101</c:v>
                </c:pt>
                <c:pt idx="384" formatCode="0.0000">
                  <c:v>3240.6675840005173</c:v>
                </c:pt>
                <c:pt idx="385" formatCode="0.0000">
                  <c:v>3215.4936799376578</c:v>
                </c:pt>
                <c:pt idx="386" formatCode="0.0000">
                  <c:v>3194.1879504042718</c:v>
                </c:pt>
                <c:pt idx="387" formatCode="0.0000">
                  <c:v>3289.8816458416013</c:v>
                </c:pt>
                <c:pt idx="388" formatCode="0.0000">
                  <c:v>3259.1217644818998</c:v>
                </c:pt>
                <c:pt idx="389" formatCode="0.0000">
                  <c:v>3336.2251718290481</c:v>
                </c:pt>
                <c:pt idx="390" formatCode="0.0000">
                  <c:v>3416.5074200548897</c:v>
                </c:pt>
                <c:pt idx="391" formatCode="0.0000">
                  <c:v>3756.826910067753</c:v>
                </c:pt>
                <c:pt idx="392" formatCode="0.0000">
                  <c:v>3669.6599500785551</c:v>
                </c:pt>
                <c:pt idx="393" formatCode="0.0000">
                  <c:v>3981.79035546355</c:v>
                </c:pt>
                <c:pt idx="394" formatCode="0.0000">
                  <c:v>3938.4541211117676</c:v>
                </c:pt>
                <c:pt idx="395" formatCode="0.0000">
                  <c:v>3846.3485461004757</c:v>
                </c:pt>
                <c:pt idx="396" formatCode="0.0000">
                  <c:v>3835.6431832197545</c:v>
                </c:pt>
                <c:pt idx="397" formatCode="0.0000">
                  <c:v>3746.7290860385997</c:v>
                </c:pt>
                <c:pt idx="398" formatCode="0.0000">
                  <c:v>3657.4968651135368</c:v>
                </c:pt>
                <c:pt idx="399" formatCode="0.0000">
                  <c:v>3605.182447927843</c:v>
                </c:pt>
                <c:pt idx="400" formatCode="0.0000">
                  <c:v>3622.3453536569964</c:v>
                </c:pt>
                <c:pt idx="401" formatCode="0.0000">
                  <c:v>3597.5533963189509</c:v>
                </c:pt>
                <c:pt idx="402" formatCode="0.0000">
                  <c:v>3876.6683076442228</c:v>
                </c:pt>
                <c:pt idx="403" formatCode="0.0000">
                  <c:v>3828.5299941943731</c:v>
                </c:pt>
                <c:pt idx="404" formatCode="0.0000">
                  <c:v>3736.6791104963058</c:v>
                </c:pt>
                <c:pt idx="405" formatCode="0.0000">
                  <c:v>3713.3671310164282</c:v>
                </c:pt>
                <c:pt idx="406" formatCode="0.0000">
                  <c:v>3623.1149391178892</c:v>
                </c:pt>
                <c:pt idx="407" formatCode="0.0000">
                  <c:v>3533.8356478478595</c:v>
                </c:pt>
                <c:pt idx="408" formatCode="0.0000">
                  <c:v>3716.7573372379238</c:v>
                </c:pt>
                <c:pt idx="409" formatCode="0.0000">
                  <c:v>3626.4187563107216</c:v>
                </c:pt>
                <c:pt idx="410" formatCode="0.0000">
                  <c:v>3585.7182010535535</c:v>
                </c:pt>
                <c:pt idx="411" formatCode="0.0000">
                  <c:v>4235.6682791711737</c:v>
                </c:pt>
                <c:pt idx="412" formatCode="0.0000">
                  <c:v>4139.8840367215953</c:v>
                </c:pt>
                <c:pt idx="413" formatCode="0.0000">
                  <c:v>4082.0294145513353</c:v>
                </c:pt>
                <c:pt idx="414" formatCode="0.0000">
                  <c:v>4005.9069901929738</c:v>
                </c:pt>
                <c:pt idx="415" formatCode="0.0000">
                  <c:v>3952.0068534121478</c:v>
                </c:pt>
                <c:pt idx="416" formatCode="0.0000">
                  <c:v>4027.3440614751262</c:v>
                </c:pt>
                <c:pt idx="417" formatCode="0.0000">
                  <c:v>4295.3966344244827</c:v>
                </c:pt>
                <c:pt idx="418" formatCode="0.0000">
                  <c:v>4235.1984443782485</c:v>
                </c:pt>
                <c:pt idx="419" formatCode="0.0000">
                  <c:v>4387.4302979643071</c:v>
                </c:pt>
                <c:pt idx="420" formatCode="0.0000">
                  <c:v>4288.383154008573</c:v>
                </c:pt>
                <c:pt idx="421" formatCode="0.0000">
                  <c:v>4672.0543641240847</c:v>
                </c:pt>
                <c:pt idx="422" formatCode="0.0000">
                  <c:v>4813.5954162262424</c:v>
                </c:pt>
                <c:pt idx="423" formatCode="0.0000">
                  <c:v>4864.3365410062106</c:v>
                </c:pt>
                <c:pt idx="424" formatCode="0.0000">
                  <c:v>5578.403661189046</c:v>
                </c:pt>
                <c:pt idx="425" formatCode="0.0000">
                  <c:v>5642.7317994338646</c:v>
                </c:pt>
                <c:pt idx="426" formatCode="0.0000">
                  <c:v>5536.8730085255156</c:v>
                </c:pt>
                <c:pt idx="427" formatCode="0.0000">
                  <c:v>5421.171833823304</c:v>
                </c:pt>
                <c:pt idx="428" formatCode="0.0000">
                  <c:v>5331.2557048972876</c:v>
                </c:pt>
                <c:pt idx="429" formatCode="0.0000">
                  <c:v>5227.3254302750784</c:v>
                </c:pt>
                <c:pt idx="430" formatCode="0.0000">
                  <c:v>5116.8768647185607</c:v>
                </c:pt>
                <c:pt idx="431" formatCode="0.0000">
                  <c:v>5076.3832680023452</c:v>
                </c:pt>
                <c:pt idx="432" formatCode="0.0000">
                  <c:v>4968.5377650251885</c:v>
                </c:pt>
                <c:pt idx="433" formatCode="0.0000">
                  <c:v>5199.1312924889507</c:v>
                </c:pt>
                <c:pt idx="434" formatCode="0.0000">
                  <c:v>5089.8239491898157</c:v>
                </c:pt>
                <c:pt idx="435" formatCode="0.0000">
                  <c:v>5098.8619103067031</c:v>
                </c:pt>
                <c:pt idx="436" formatCode="0.0000">
                  <c:v>4992.2718267117143</c:v>
                </c:pt>
                <c:pt idx="437" formatCode="0.0000">
                  <c:v>5563.8448193695167</c:v>
                </c:pt>
                <c:pt idx="438" formatCode="0.0000">
                  <c:v>5490.693847142782</c:v>
                </c:pt>
                <c:pt idx="439" formatCode="0.0000">
                  <c:v>5639.2701005096396</c:v>
                </c:pt>
                <c:pt idx="440" formatCode="0.0000">
                  <c:v>5847.3073368142941</c:v>
                </c:pt>
                <c:pt idx="441" formatCode="0.0000">
                  <c:v>6135.9582223138923</c:v>
                </c:pt>
                <c:pt idx="442" formatCode="0.0000">
                  <c:v>6184.8373942270291</c:v>
                </c:pt>
                <c:pt idx="443" formatCode="0.0000">
                  <c:v>6132.8010752390419</c:v>
                </c:pt>
                <c:pt idx="444" formatCode="0.0000">
                  <c:v>6125.1928729503961</c:v>
                </c:pt>
                <c:pt idx="445" formatCode="0.0000">
                  <c:v>6371.2671225564727</c:v>
                </c:pt>
                <c:pt idx="446" formatCode="0.0000">
                  <c:v>6252.172295503794</c:v>
                </c:pt>
                <c:pt idx="447" formatCode="0.0000">
                  <c:v>6183.2005747562398</c:v>
                </c:pt>
                <c:pt idx="448" formatCode="0.0000">
                  <c:v>6465.4656667914851</c:v>
                </c:pt>
                <c:pt idx="449" formatCode="0.0000">
                  <c:v>6666.666666666667</c:v>
                </c:pt>
                <c:pt idx="450" formatCode="0.0000">
                  <c:v>6540.7380166880885</c:v>
                </c:pt>
                <c:pt idx="451" formatCode="0.0000">
                  <c:v>6450.3520976322825</c:v>
                </c:pt>
                <c:pt idx="452" formatCode="0.0000">
                  <c:v>6380.1209702647348</c:v>
                </c:pt>
                <c:pt idx="453" formatCode="0.0000">
                  <c:v>6258.2485148432024</c:v>
                </c:pt>
                <c:pt idx="454" formatCode="0.0000">
                  <c:v>6136.2484020941647</c:v>
                </c:pt>
                <c:pt idx="455" formatCode="0.0000">
                  <c:v>6016.9488023123713</c:v>
                </c:pt>
                <c:pt idx="456" formatCode="0.0000">
                  <c:v>5898.8276462911872</c:v>
                </c:pt>
                <c:pt idx="457" formatCode="0.0000">
                  <c:v>6017.5478438156379</c:v>
                </c:pt>
                <c:pt idx="458" formatCode="0.0000">
                  <c:v>5900.2144123331973</c:v>
                </c:pt>
                <c:pt idx="459" formatCode="0.0000">
                  <c:v>5819.5711539157001</c:v>
                </c:pt>
                <c:pt idx="460" formatCode="0.0000">
                  <c:v>5704.7944914207792</c:v>
                </c:pt>
                <c:pt idx="461" formatCode="0.0000">
                  <c:v>5591.6827203785915</c:v>
                </c:pt>
                <c:pt idx="462" formatCode="0.0000">
                  <c:v>5479.739378723717</c:v>
                </c:pt>
                <c:pt idx="463" formatCode="0.0000">
                  <c:v>5380.0000218946525</c:v>
                </c:pt>
                <c:pt idx="464" formatCode="0.0000">
                  <c:v>5272.252679553626</c:v>
                </c:pt>
                <c:pt idx="465" formatCode="0.0000">
                  <c:v>5166.0578997815037</c:v>
                </c:pt>
                <c:pt idx="466" formatCode="0.0000">
                  <c:v>5063.0564621301028</c:v>
                </c:pt>
                <c:pt idx="467" formatCode="0.0000">
                  <c:v>4965.1992452019531</c:v>
                </c:pt>
                <c:pt idx="468" formatCode="0.0000">
                  <c:v>4864.6547919313571</c:v>
                </c:pt>
                <c:pt idx="469" formatCode="0.0000">
                  <c:v>4766.2191914965342</c:v>
                </c:pt>
                <c:pt idx="470" formatCode="0.0000">
                  <c:v>4668.1669558379372</c:v>
                </c:pt>
                <c:pt idx="471" formatCode="0.0000">
                  <c:v>4571.2605357022858</c:v>
                </c:pt>
                <c:pt idx="472" formatCode="0.0000">
                  <c:v>4545.8742689572837</c:v>
                </c:pt>
                <c:pt idx="473" formatCode="0.0000">
                  <c:v>4488.9028603878705</c:v>
                </c:pt>
                <c:pt idx="474" formatCode="0.0000">
                  <c:v>4395.0275379476307</c:v>
                </c:pt>
                <c:pt idx="475" formatCode="0.0000">
                  <c:v>4303.9682677630899</c:v>
                </c:pt>
                <c:pt idx="476" formatCode="0.0000">
                  <c:v>4213.5691590766983</c:v>
                </c:pt>
                <c:pt idx="477" formatCode="0.0000">
                  <c:v>4124.8235646571538</c:v>
                </c:pt>
                <c:pt idx="478" formatCode="0.0000">
                  <c:v>4050.8750853945107</c:v>
                </c:pt>
                <c:pt idx="479" formatCode="0.0000">
                  <c:v>3973.7517340330892</c:v>
                </c:pt>
                <c:pt idx="480" formatCode="0.0000">
                  <c:v>3887.3352436122391</c:v>
                </c:pt>
                <c:pt idx="481" formatCode="0.0000">
                  <c:v>3803.5030308764776</c:v>
                </c:pt>
                <c:pt idx="482" formatCode="0.0000">
                  <c:v>3733.3759976867318</c:v>
                </c:pt>
                <c:pt idx="483" formatCode="0.0000">
                  <c:v>3652.9176680967885</c:v>
                </c:pt>
                <c:pt idx="484" formatCode="0.0000">
                  <c:v>3612.9507616471615</c:v>
                </c:pt>
                <c:pt idx="485" formatCode="0.0000">
                  <c:v>3534.0624517365391</c:v>
                </c:pt>
                <c:pt idx="486" formatCode="0.0000">
                  <c:v>3706.2817963252328</c:v>
                </c:pt>
                <c:pt idx="487" formatCode="0.0000">
                  <c:v>3624.9531718296871</c:v>
                </c:pt>
                <c:pt idx="488" formatCode="0.0000">
                  <c:v>3554.8114202834399</c:v>
                </c:pt>
                <c:pt idx="489" formatCode="0.0000">
                  <c:v>3476.0904281617527</c:v>
                </c:pt>
                <c:pt idx="490" formatCode="0.0000">
                  <c:v>3399.3020604180783</c:v>
                </c:pt>
                <c:pt idx="491" formatCode="0.0000">
                  <c:v>3323.7861478787368</c:v>
                </c:pt>
                <c:pt idx="492" formatCode="0.0000">
                  <c:v>3249.2029992033749</c:v>
                </c:pt>
                <c:pt idx="493" formatCode="0.0000">
                  <c:v>3175.7987780398003</c:v>
                </c:pt>
                <c:pt idx="494" formatCode="0.0000">
                  <c:v>3104.2558680712737</c:v>
                </c:pt>
                <c:pt idx="495" formatCode="0.0000">
                  <c:v>3033.633423869564</c:v>
                </c:pt>
                <c:pt idx="496" formatCode="0.0000">
                  <c:v>2964.7809960351879</c:v>
                </c:pt>
                <c:pt idx="497" formatCode="0.0000">
                  <c:v>2896.5047537662913</c:v>
                </c:pt>
                <c:pt idx="498" formatCode="0.0000">
                  <c:v>2829.9241720964715</c:v>
                </c:pt>
                <c:pt idx="499" formatCode="0.0000">
                  <c:v>2768.1960467065746</c:v>
                </c:pt>
                <c:pt idx="500" formatCode="0.0000">
                  <c:v>2703.3018104234666</c:v>
                </c:pt>
                <c:pt idx="501" formatCode="0.0000">
                  <c:v>2639.550971095171</c:v>
                </c:pt>
                <c:pt idx="502" formatCode="0.0000">
                  <c:v>2577.2933512849745</c:v>
                </c:pt>
                <c:pt idx="503" formatCode="0.0000">
                  <c:v>2516.3526528149005</c:v>
                </c:pt>
                <c:pt idx="504" formatCode="0.0000">
                  <c:v>2456.4483548931316</c:v>
                </c:pt>
                <c:pt idx="505" formatCode="0.0000">
                  <c:v>2397.2818382661235</c:v>
                </c:pt>
                <c:pt idx="506" formatCode="0.0000">
                  <c:v>2339.5098904352935</c:v>
                </c:pt>
                <c:pt idx="507" formatCode="0.0000">
                  <c:v>2282.495501849281</c:v>
                </c:pt>
                <c:pt idx="508" formatCode="0.0000">
                  <c:v>2226.3470370582331</c:v>
                </c:pt>
                <c:pt idx="509" formatCode="0.0000">
                  <c:v>2171.5325545649116</c:v>
                </c:pt>
                <c:pt idx="510" formatCode="0.0000">
                  <c:v>2117.1952976010821</c:v>
                </c:pt>
                <c:pt idx="511" formatCode="0.0000">
                  <c:v>2063.703860246289</c:v>
                </c:pt>
                <c:pt idx="512" formatCode="0.0000">
                  <c:v>2011.4654768807954</c:v>
                </c:pt>
                <c:pt idx="513" formatCode="0.0000">
                  <c:v>1960.4333476178315</c:v>
                </c:pt>
                <c:pt idx="514" formatCode="0.0000">
                  <c:v>1910.3901880401943</c:v>
                </c:pt>
                <c:pt idx="515" formatCode="0.0000">
                  <c:v>1861.3965716922867</c:v>
                </c:pt>
                <c:pt idx="516" formatCode="0.0000">
                  <c:v>1812.9800847580325</c:v>
                </c:pt>
                <c:pt idx="517" formatCode="0.0000">
                  <c:v>1765.3389165132746</c:v>
                </c:pt>
                <c:pt idx="518" formatCode="0.0000">
                  <c:v>1718.7862630942695</c:v>
                </c:pt>
                <c:pt idx="519" formatCode="0.0000">
                  <c:v>1673.099685208467</c:v>
                </c:pt>
                <c:pt idx="520" formatCode="0.0000">
                  <c:v>1628.4469822790506</c:v>
                </c:pt>
                <c:pt idx="521" formatCode="0.0000">
                  <c:v>1584.5083310570385</c:v>
                </c:pt>
                <c:pt idx="522" formatCode="0.0000">
                  <c:v>1541.3458322522076</c:v>
                </c:pt>
                <c:pt idx="523" formatCode="0.0000">
                  <c:v>1731.0939197714004</c:v>
                </c:pt>
                <c:pt idx="524" formatCode="0.0000">
                  <c:v>1926.4379216107386</c:v>
                </c:pt>
                <c:pt idx="525" formatCode="0.0000">
                  <c:v>1876.7069313680395</c:v>
                </c:pt>
                <c:pt idx="526" formatCode="0.0000">
                  <c:v>1828.7133916071175</c:v>
                </c:pt>
                <c:pt idx="527" formatCode="0.0000">
                  <c:v>1781.1847901086937</c:v>
                </c:pt>
                <c:pt idx="528" formatCode="0.0000">
                  <c:v>1734.795606500986</c:v>
                </c:pt>
                <c:pt idx="529" formatCode="0.0000">
                  <c:v>1689.0895973464974</c:v>
                </c:pt>
                <c:pt idx="530" formatCode="0.0000">
                  <c:v>1678.7941248041284</c:v>
                </c:pt>
                <c:pt idx="531" formatCode="0.0000">
                  <c:v>1660.9126567915798</c:v>
                </c:pt>
                <c:pt idx="532" formatCode="0.0000">
                  <c:v>1622.9347774063515</c:v>
                </c:pt>
                <c:pt idx="533" formatCode="0.0000">
                  <c:v>1579.1765447336472</c:v>
                </c:pt>
                <c:pt idx="534" formatCode="0.0000">
                  <c:v>1536.7998903613009</c:v>
                </c:pt>
                <c:pt idx="535" formatCode="0.0000">
                  <c:v>1494.8817159458536</c:v>
                </c:pt>
                <c:pt idx="536" formatCode="0.0000">
                  <c:v>1454.118896599356</c:v>
                </c:pt>
                <c:pt idx="537" formatCode="0.0000">
                  <c:v>1413.6841468848268</c:v>
                </c:pt>
                <c:pt idx="538" formatCode="0.0000">
                  <c:v>1374.242895551278</c:v>
                </c:pt>
                <c:pt idx="539" formatCode="0.0000">
                  <c:v>1335.5861140273785</c:v>
                </c:pt>
                <c:pt idx="540" formatCode="0.0000">
                  <c:v>1297.6225126154434</c:v>
                </c:pt>
                <c:pt idx="541" formatCode="0.0000">
                  <c:v>1260.2558991509109</c:v>
                </c:pt>
                <c:pt idx="542" formatCode="0.0000">
                  <c:v>1223.6592794081878</c:v>
                </c:pt>
                <c:pt idx="543" formatCode="0.0000">
                  <c:v>1187.7456663728217</c:v>
                </c:pt>
                <c:pt idx="544" formatCode="0.0000">
                  <c:v>1152.2866142500709</c:v>
                </c:pt>
                <c:pt idx="545" formatCode="0.0000">
                  <c:v>1117.7212562726681</c:v>
                </c:pt>
                <c:pt idx="546" formatCode="0.0000">
                  <c:v>1083.8271258181819</c:v>
                </c:pt>
                <c:pt idx="547" formatCode="0.0000">
                  <c:v>1050.2588283168589</c:v>
                </c:pt>
                <c:pt idx="548" formatCode="0.0000">
                  <c:v>1017.6813671367929</c:v>
                </c:pt>
                <c:pt idx="549" formatCode="0.0000">
                  <c:v>985.39004007217784</c:v>
                </c:pt>
                <c:pt idx="550" formatCode="0.0000">
                  <c:v>953.67982250542445</c:v>
                </c:pt>
                <c:pt idx="551" formatCode="0.0000">
                  <c:v>922.9157329144241</c:v>
                </c:pt>
                <c:pt idx="552" formatCode="0.0000">
                  <c:v>892.60434939023855</c:v>
                </c:pt>
                <c:pt idx="553" formatCode="0.0000">
                  <c:v>862.89939036088845</c:v>
                </c:pt>
                <c:pt idx="554" formatCode="0.0000">
                  <c:v>833.97671085855904</c:v>
                </c:pt>
                <c:pt idx="555" formatCode="0.0000">
                  <c:v>805.38791702021399</c:v>
                </c:pt>
                <c:pt idx="556" formatCode="0.0000">
                  <c:v>777.45103275045483</c:v>
                </c:pt>
                <c:pt idx="557" formatCode="0.0000">
                  <c:v>750.08369326015134</c:v>
                </c:pt>
                <c:pt idx="558" formatCode="0.0000">
                  <c:v>723.63113747022635</c:v>
                </c:pt>
                <c:pt idx="559" formatCode="0.0000">
                  <c:v>697.98686203393061</c:v>
                </c:pt>
                <c:pt idx="560" formatCode="0.0000">
                  <c:v>717.07626522202247</c:v>
                </c:pt>
                <c:pt idx="561" formatCode="0.0000">
                  <c:v>691.35264828436175</c:v>
                </c:pt>
                <c:pt idx="562" formatCode="0.0000">
                  <c:v>665.99226068807627</c:v>
                </c:pt>
                <c:pt idx="563" formatCode="0.0000">
                  <c:v>641.23296956325441</c:v>
                </c:pt>
                <c:pt idx="564" formatCode="0.0000">
                  <c:v>617.30575099643659</c:v>
                </c:pt>
                <c:pt idx="565" formatCode="0.0000">
                  <c:v>594.05164666955534</c:v>
                </c:pt>
                <c:pt idx="566" formatCode="0.0000">
                  <c:v>571.12575656741558</c:v>
                </c:pt>
                <c:pt idx="567" formatCode="0.0000">
                  <c:v>548.84074501822238</c:v>
                </c:pt>
                <c:pt idx="568" formatCode="0.0000">
                  <c:v>527.15103428526584</c:v>
                </c:pt>
                <c:pt idx="569" formatCode="0.0000">
                  <c:v>509.89870013440577</c:v>
                </c:pt>
                <c:pt idx="570" formatCode="0.0000">
                  <c:v>522.95135344236758</c:v>
                </c:pt>
                <c:pt idx="571" formatCode="0.0000">
                  <c:v>603.91000059570683</c:v>
                </c:pt>
                <c:pt idx="572" formatCode="0.0000">
                  <c:v>760.95687312235134</c:v>
                </c:pt>
                <c:pt idx="573" formatCode="0.0000">
                  <c:v>733.91140506769511</c:v>
                </c:pt>
                <c:pt idx="574" formatCode="0.0000">
                  <c:v>707.55379827419381</c:v>
                </c:pt>
                <c:pt idx="575" formatCode="0.0000">
                  <c:v>681.63936885691669</c:v>
                </c:pt>
                <c:pt idx="576" formatCode="0.0000">
                  <c:v>656.30553776037812</c:v>
                </c:pt>
                <c:pt idx="577" formatCode="0.0000">
                  <c:v>631.73207532421088</c:v>
                </c:pt>
                <c:pt idx="578" formatCode="0.0000">
                  <c:v>607.73539977439748</c:v>
                </c:pt>
                <c:pt idx="579" formatCode="0.0000">
                  <c:v>584.21338868703663</c:v>
                </c:pt>
                <c:pt idx="580" formatCode="0.0000">
                  <c:v>561.20980300362669</c:v>
                </c:pt>
                <c:pt idx="581" formatCode="0.0000">
                  <c:v>538.41661943745396</c:v>
                </c:pt>
                <c:pt idx="582" formatCode="0.0000">
                  <c:v>516.44303230572041</c:v>
                </c:pt>
                <c:pt idx="583" formatCode="0.0000">
                  <c:v>494.73585449748066</c:v>
                </c:pt>
                <c:pt idx="584" formatCode="0.0000">
                  <c:v>481.65532046848051</c:v>
                </c:pt>
                <c:pt idx="585" formatCode="0.0000">
                  <c:v>460.89997713885032</c:v>
                </c:pt>
                <c:pt idx="586" formatCode="0.0000">
                  <c:v>440.68647323941769</c:v>
                </c:pt>
                <c:pt idx="587" formatCode="0.0000">
                  <c:v>420.83481018968189</c:v>
                </c:pt>
                <c:pt idx="588" formatCode="0.0000">
                  <c:v>454.29899166574518</c:v>
                </c:pt>
                <c:pt idx="589" formatCode="0.0000">
                  <c:v>434.18501191366965</c:v>
                </c:pt>
                <c:pt idx="590" formatCode="0.0000">
                  <c:v>426.75950885825847</c:v>
                </c:pt>
                <c:pt idx="591" formatCode="0.0000">
                  <c:v>407.26075676813088</c:v>
                </c:pt>
                <c:pt idx="592" formatCode="0.0000">
                  <c:v>388.26375292432391</c:v>
                </c:pt>
                <c:pt idx="593" formatCode="0.0000">
                  <c:v>369.99631070028477</c:v>
                </c:pt>
                <c:pt idx="594" formatCode="0.0000">
                  <c:v>352.29313910916557</c:v>
                </c:pt>
                <c:pt idx="595" formatCode="0.0000">
                  <c:v>339.13395691513983</c:v>
                </c:pt>
                <c:pt idx="596" formatCode="0.0000">
                  <c:v>322.37020267625473</c:v>
                </c:pt>
                <c:pt idx="597" formatCode="0.0000">
                  <c:v>306.06280435685693</c:v>
                </c:pt>
                <c:pt idx="598" formatCode="0.0000">
                  <c:v>290.25155680983409</c:v>
                </c:pt>
                <c:pt idx="599" formatCode="0.0000">
                  <c:v>340.84618901588738</c:v>
                </c:pt>
                <c:pt idx="600" formatCode="0.0000">
                  <c:v>323.79059703981159</c:v>
                </c:pt>
                <c:pt idx="601" formatCode="0.0000">
                  <c:v>307.2381947470256</c:v>
                </c:pt>
                <c:pt idx="602" formatCode="0.0000">
                  <c:v>291.03694135574364</c:v>
                </c:pt>
                <c:pt idx="603" formatCode="0.0000">
                  <c:v>275.4621586850883</c:v>
                </c:pt>
                <c:pt idx="604" formatCode="0.0000">
                  <c:v>260.14555622948092</c:v>
                </c:pt>
                <c:pt idx="605" formatCode="0.0000">
                  <c:v>245.53722662240114</c:v>
                </c:pt>
                <c:pt idx="606" formatCode="0.0000">
                  <c:v>231.39329521273541</c:v>
                </c:pt>
                <c:pt idx="607" formatCode="0.0000">
                  <c:v>217.9968836673099</c:v>
                </c:pt>
                <c:pt idx="608" formatCode="0.0000">
                  <c:v>204.89170791565681</c:v>
                </c:pt>
                <c:pt idx="609" formatCode="0.0000">
                  <c:v>192.19498148921414</c:v>
                </c:pt>
                <c:pt idx="610" formatCode="0.0000">
                  <c:v>180.14808513032887</c:v>
                </c:pt>
                <c:pt idx="611" formatCode="0.0000">
                  <c:v>168.58927438834056</c:v>
                </c:pt>
                <c:pt idx="612" formatCode="0.0000">
                  <c:v>157.32280319025824</c:v>
                </c:pt>
                <c:pt idx="613" formatCode="0.0000">
                  <c:v>146.53855653252802</c:v>
                </c:pt>
                <c:pt idx="614" formatCode="0.0000">
                  <c:v>136.13049257643473</c:v>
                </c:pt>
                <c:pt idx="615" formatCode="0.0000">
                  <c:v>126.17844705538181</c:v>
                </c:pt>
                <c:pt idx="616" formatCode="0.0000">
                  <c:v>116.64222969223675</c:v>
                </c:pt>
                <c:pt idx="617" formatCode="0.0000">
                  <c:v>107.61184571741575</c:v>
                </c:pt>
                <c:pt idx="618" formatCode="0.0000">
                  <c:v>98.941813154682592</c:v>
                </c:pt>
                <c:pt idx="619" formatCode="0.0000">
                  <c:v>90.761384473641144</c:v>
                </c:pt>
                <c:pt idx="620" formatCode="0.0000">
                  <c:v>82.819974904504704</c:v>
                </c:pt>
                <c:pt idx="621" formatCode="0.0000">
                  <c:v>75.272401179435064</c:v>
                </c:pt>
                <c:pt idx="622" formatCode="0.0000">
                  <c:v>68.106049549524627</c:v>
                </c:pt>
                <c:pt idx="623" formatCode="0.0000">
                  <c:v>61.339445094351795</c:v>
                </c:pt>
                <c:pt idx="624" formatCode="0.0000">
                  <c:v>54.975231767095408</c:v>
                </c:pt>
                <c:pt idx="625" formatCode="0.0000">
                  <c:v>48.951927871757235</c:v>
                </c:pt>
                <c:pt idx="626" formatCode="0.0000">
                  <c:v>43.326769052570995</c:v>
                </c:pt>
                <c:pt idx="627" formatCode="0.0000">
                  <c:v>38.068191834902322</c:v>
                </c:pt>
                <c:pt idx="628" formatCode="0.0000">
                  <c:v>43.160533625702527</c:v>
                </c:pt>
                <c:pt idx="629" formatCode="0.0000">
                  <c:v>37.83885774725627</c:v>
                </c:pt>
                <c:pt idx="630" formatCode="0.0000">
                  <c:v>32.873234027849364</c:v>
                </c:pt>
                <c:pt idx="631" formatCode="0.0000">
                  <c:v>28.275135782446174</c:v>
                </c:pt>
                <c:pt idx="632" formatCode="0.0000">
                  <c:v>23.987439336689832</c:v>
                </c:pt>
                <c:pt idx="633" formatCode="0.0000">
                  <c:v>20.016516258854846</c:v>
                </c:pt>
                <c:pt idx="634" formatCode="0.0000">
                  <c:v>16.401157319760188</c:v>
                </c:pt>
                <c:pt idx="635" formatCode="0.0000">
                  <c:v>13.124355832454814</c:v>
                </c:pt>
                <c:pt idx="636" formatCode="0.0000">
                  <c:v>10.179460365894251</c:v>
                </c:pt>
                <c:pt idx="637" formatCode="0.0000">
                  <c:v>47.527541120607609</c:v>
                </c:pt>
                <c:pt idx="638" formatCode="0.0000">
                  <c:v>131.90925768162708</c:v>
                </c:pt>
                <c:pt idx="639" formatCode="0.0000">
                  <c:v>121.8057522658071</c:v>
                </c:pt>
                <c:pt idx="640" formatCode="0.0000">
                  <c:v>112.20990123935175</c:v>
                </c:pt>
                <c:pt idx="641" formatCode="0.0000">
                  <c:v>103.00942879730478</c:v>
                </c:pt>
                <c:pt idx="642" formatCode="0.0000">
                  <c:v>94.195923715899085</c:v>
                </c:pt>
                <c:pt idx="643" formatCode="0.0000">
                  <c:v>85.759806218882389</c:v>
                </c:pt>
                <c:pt idx="644" formatCode="0.0000">
                  <c:v>77.830465841927449</c:v>
                </c:pt>
                <c:pt idx="645" formatCode="0.0000">
                  <c:v>70.27165724802073</c:v>
                </c:pt>
                <c:pt idx="646" formatCode="0.0000">
                  <c:v>63.159436604047698</c:v>
                </c:pt>
                <c:pt idx="647" formatCode="0.0000">
                  <c:v>56.674778778504994</c:v>
                </c:pt>
                <c:pt idx="648" formatCode="0.0000">
                  <c:v>50.350669264616741</c:v>
                </c:pt>
                <c:pt idx="649" formatCode="0.0000">
                  <c:v>44.463210751198815</c:v>
                </c:pt>
                <c:pt idx="650" formatCode="0.0000">
                  <c:v>38.988227835432397</c:v>
                </c:pt>
                <c:pt idx="651" formatCode="0.0000">
                  <c:v>33.974344614384457</c:v>
                </c:pt>
                <c:pt idx="652" formatCode="0.0000">
                  <c:v>29.210513957188425</c:v>
                </c:pt>
                <c:pt idx="653" formatCode="0.0000">
                  <c:v>84.825569772171519</c:v>
                </c:pt>
                <c:pt idx="654" formatCode="0.0000">
                  <c:v>82.882187760297768</c:v>
                </c:pt>
                <c:pt idx="655" formatCode="0.0000">
                  <c:v>201.02162974305222</c:v>
                </c:pt>
                <c:pt idx="656" formatCode="0.0000">
                  <c:v>253.85272620087358</c:v>
                </c:pt>
                <c:pt idx="657" formatCode="0.0000">
                  <c:v>638.43529394620293</c:v>
                </c:pt>
                <c:pt idx="658" formatCode="0.0000">
                  <c:v>694.5782210640109</c:v>
                </c:pt>
                <c:pt idx="659" formatCode="0.0000">
                  <c:v>916.96420343419618</c:v>
                </c:pt>
                <c:pt idx="660" formatCode="0.0000">
                  <c:v>881.50696066904413</c:v>
                </c:pt>
                <c:pt idx="661" formatCode="0.0000">
                  <c:v>847.2699530692621</c:v>
                </c:pt>
                <c:pt idx="662" formatCode="0.0000">
                  <c:v>981.80472173819692</c:v>
                </c:pt>
                <c:pt idx="663" formatCode="0.0000">
                  <c:v>1013.259011319827</c:v>
                </c:pt>
                <c:pt idx="664" formatCode="0.0000">
                  <c:v>975.6685834384482</c:v>
                </c:pt>
                <c:pt idx="665" formatCode="0.0000">
                  <c:v>988.85934392047727</c:v>
                </c:pt>
                <c:pt idx="666" formatCode="0.0000">
                  <c:v>1015.5562182340506</c:v>
                </c:pt>
                <c:pt idx="667" formatCode="0.0000">
                  <c:v>1014.5275264796111</c:v>
                </c:pt>
                <c:pt idx="668" formatCode="0.0000">
                  <c:v>1093.4638267176558</c:v>
                </c:pt>
                <c:pt idx="669" formatCode="0.0000">
                  <c:v>1088.0992392057324</c:v>
                </c:pt>
                <c:pt idx="670" formatCode="0.0000">
                  <c:v>1054.4100529104976</c:v>
                </c:pt>
                <c:pt idx="671" formatCode="0.0000">
                  <c:v>1043.0990172455297</c:v>
                </c:pt>
                <c:pt idx="672" formatCode="0.0000">
                  <c:v>1004.0910893660039</c:v>
                </c:pt>
                <c:pt idx="673" formatCode="0.0000">
                  <c:v>1016.4341199276067</c:v>
                </c:pt>
                <c:pt idx="674" formatCode="0.0000">
                  <c:v>978.24972846121034</c:v>
                </c:pt>
                <c:pt idx="675" formatCode="0.0000">
                  <c:v>949.10216989641674</c:v>
                </c:pt>
                <c:pt idx="676" formatCode="0.0000">
                  <c:v>956.63774496621227</c:v>
                </c:pt>
                <c:pt idx="677" formatCode="0.0000">
                  <c:v>919.86511043709163</c:v>
                </c:pt>
                <c:pt idx="678" formatCode="0.0000">
                  <c:v>936.20680155863124</c:v>
                </c:pt>
                <c:pt idx="679" formatCode="0.0000">
                  <c:v>921.76318855461466</c:v>
                </c:pt>
                <c:pt idx="680" formatCode="0.0000">
                  <c:v>887.8375321170173</c:v>
                </c:pt>
                <c:pt idx="681" formatCode="0.0000">
                  <c:v>892.83184055473419</c:v>
                </c:pt>
                <c:pt idx="682" formatCode="0.0000">
                  <c:v>857.69125757850122</c:v>
                </c:pt>
                <c:pt idx="683" formatCode="0.0000">
                  <c:v>831.3172788393689</c:v>
                </c:pt>
                <c:pt idx="684" formatCode="0.0000">
                  <c:v>797.8008761200748</c:v>
                </c:pt>
                <c:pt idx="685" formatCode="0.0000">
                  <c:v>765.53973633025328</c:v>
                </c:pt>
                <c:pt idx="686" formatCode="0.0000">
                  <c:v>733.79917303690218</c:v>
                </c:pt>
                <c:pt idx="687" formatCode="0.0000">
                  <c:v>750.57374129558423</c:v>
                </c:pt>
                <c:pt idx="688" formatCode="0.0000">
                  <c:v>730.92024529591026</c:v>
                </c:pt>
                <c:pt idx="689" formatCode="0.0000">
                  <c:v>969.8810795263762</c:v>
                </c:pt>
                <c:pt idx="690" formatCode="0.0000">
                  <c:v>1122.687172434275</c:v>
                </c:pt>
                <c:pt idx="691" formatCode="0.0000">
                  <c:v>1091.5652241734952</c:v>
                </c:pt>
                <c:pt idx="692" formatCode="0.0000">
                  <c:v>1063.0032137504438</c:v>
                </c:pt>
                <c:pt idx="693" formatCode="0.0000">
                  <c:v>1097.8885657136032</c:v>
                </c:pt>
                <c:pt idx="694" formatCode="0.0000">
                  <c:v>1329.8346798391151</c:v>
                </c:pt>
                <c:pt idx="695" formatCode="0.0000">
                  <c:v>1422.0399273434039</c:v>
                </c:pt>
                <c:pt idx="696" formatCode="0.0000">
                  <c:v>1374.1044865806805</c:v>
                </c:pt>
                <c:pt idx="697" formatCode="0.0000">
                  <c:v>1327.0861623920989</c:v>
                </c:pt>
                <c:pt idx="698" formatCode="0.0000">
                  <c:v>1281.5691242560524</c:v>
                </c:pt>
                <c:pt idx="699" formatCode="0.0000">
                  <c:v>1388.8716809681741</c:v>
                </c:pt>
                <c:pt idx="700" formatCode="0.0000">
                  <c:v>1597.4998354074839</c:v>
                </c:pt>
                <c:pt idx="701" formatCode="0.0000">
                  <c:v>1551.708278090561</c:v>
                </c:pt>
                <c:pt idx="702" formatCode="0.0000">
                  <c:v>1500.8713574850849</c:v>
                </c:pt>
                <c:pt idx="703" formatCode="0.0000">
                  <c:v>1451.6143008764257</c:v>
                </c:pt>
                <c:pt idx="704" formatCode="0.0000">
                  <c:v>1403.8220676081603</c:v>
                </c:pt>
                <c:pt idx="705" formatCode="0.0000">
                  <c:v>1357.4043851628728</c:v>
                </c:pt>
                <c:pt idx="706" formatCode="0.0000">
                  <c:v>1311.9398263518071</c:v>
                </c:pt>
                <c:pt idx="707" formatCode="0.0000">
                  <c:v>1267.0427542652142</c:v>
                </c:pt>
                <c:pt idx="708" formatCode="0.0000">
                  <c:v>1223.1693681537404</c:v>
                </c:pt>
                <c:pt idx="709" formatCode="0.0000">
                  <c:v>1180.2912019169901</c:v>
                </c:pt>
                <c:pt idx="710" formatCode="0.0000">
                  <c:v>1138.2853016332667</c:v>
                </c:pt>
                <c:pt idx="711" formatCode="0.0000">
                  <c:v>1099.367427099482</c:v>
                </c:pt>
                <c:pt idx="712" formatCode="0.0000">
                  <c:v>1059.3798932467432</c:v>
                </c:pt>
                <c:pt idx="713" formatCode="0.0000">
                  <c:v>1019.9271878724525</c:v>
                </c:pt>
                <c:pt idx="714" formatCode="0.0000">
                  <c:v>982.41001078182921</c:v>
                </c:pt>
                <c:pt idx="715" formatCode="0.0000">
                  <c:v>945.05515062669508</c:v>
                </c:pt>
                <c:pt idx="716" formatCode="0.0000">
                  <c:v>908.87631405931688</c:v>
                </c:pt>
                <c:pt idx="717" formatCode="0.0000">
                  <c:v>955.99285731282725</c:v>
                </c:pt>
                <c:pt idx="718" formatCode="0.0000">
                  <c:v>927.04327576130015</c:v>
                </c:pt>
                <c:pt idx="719" formatCode="0.0000">
                  <c:v>913.44320942861077</c:v>
                </c:pt>
                <c:pt idx="720" formatCode="0.0000">
                  <c:v>1037.6627025971366</c:v>
                </c:pt>
                <c:pt idx="721" formatCode="0.0000">
                  <c:v>1035.2810378717761</c:v>
                </c:pt>
                <c:pt idx="722" formatCode="0.0000">
                  <c:v>1009.0596370438097</c:v>
                </c:pt>
                <c:pt idx="723" formatCode="0.0000">
                  <c:v>1315.4694697389587</c:v>
                </c:pt>
                <c:pt idx="724" formatCode="0.0000">
                  <c:v>1270.49352297109</c:v>
                </c:pt>
                <c:pt idx="725" formatCode="0.0000">
                  <c:v>1226.5257644941721</c:v>
                </c:pt>
                <c:pt idx="726" formatCode="0.0000">
                  <c:v>1471.4894519972941</c:v>
                </c:pt>
                <c:pt idx="727" formatCode="0.0000">
                  <c:v>1466.4727650526831</c:v>
                </c:pt>
                <c:pt idx="728" formatCode="0.0000">
                  <c:v>1418.174249571005</c:v>
                </c:pt>
                <c:pt idx="729" formatCode="0.0000">
                  <c:v>1830.9018855412146</c:v>
                </c:pt>
                <c:pt idx="730" formatCode="0.0000">
                  <c:v>1851.2535692608901</c:v>
                </c:pt>
                <c:pt idx="731" formatCode="0.0000">
                  <c:v>1850.5100964382382</c:v>
                </c:pt>
                <c:pt idx="732" formatCode="0.0000">
                  <c:v>1919.5662531541007</c:v>
                </c:pt>
                <c:pt idx="733" formatCode="0.0000">
                  <c:v>1940.1450070553817</c:v>
                </c:pt>
                <c:pt idx="734" formatCode="0.0000">
                  <c:v>1964.2987565964286</c:v>
                </c:pt>
                <c:pt idx="735" formatCode="0.0000">
                  <c:v>1956.8626907645612</c:v>
                </c:pt>
              </c:numCache>
            </c:numRef>
          </c:yVal>
          <c:smooth val="0"/>
          <c:extLst>
            <c:ext xmlns:c16="http://schemas.microsoft.com/office/drawing/2014/chart" uri="{C3380CC4-5D6E-409C-BE32-E72D297353CC}">
              <c16:uniqueId val="{00000000-EBF7-524A-8319-7D91A1319DAF}"/>
            </c:ext>
          </c:extLst>
        </c:ser>
        <c:ser>
          <c:idx val="2"/>
          <c:order val="1"/>
          <c:tx>
            <c:strRef>
              <c:f>Entradas!$F$108</c:f>
              <c:strCache>
                <c:ptCount val="1"/>
                <c:pt idx="0">
                  <c:v>Qochas 2</c:v>
                </c:pt>
              </c:strCache>
            </c:strRef>
          </c:tx>
          <c:spPr>
            <a:ln w="12700" cap="rnd">
              <a:solidFill>
                <a:schemeClr val="accent6"/>
              </a:solidFill>
              <a:round/>
            </a:ln>
            <a:effectLst/>
          </c:spPr>
          <c:marker>
            <c:symbol val="none"/>
          </c:marker>
          <c:xVal>
            <c:strRef>
              <c:f>Escenario2!$C:$C</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Escenario2!$BG:$BG</c:f>
              <c:numCache>
                <c:formatCode>General</c:formatCode>
                <c:ptCount val="1048576"/>
                <c:pt idx="4" formatCode="0.0000">
                  <c:v>0</c:v>
                </c:pt>
                <c:pt idx="5" formatCode="0.0000">
                  <c:v>0</c:v>
                </c:pt>
                <c:pt idx="6" formatCode="0.0000">
                  <c:v>0</c:v>
                </c:pt>
                <c:pt idx="7" formatCode="0.0000">
                  <c:v>0</c:v>
                </c:pt>
                <c:pt idx="8" formatCode="0.0000">
                  <c:v>0</c:v>
                </c:pt>
                <c:pt idx="9" formatCode="0.0000">
                  <c:v>0</c:v>
                </c:pt>
                <c:pt idx="10" formatCode="0.0000">
                  <c:v>0</c:v>
                </c:pt>
                <c:pt idx="11" formatCode="0.0000">
                  <c:v>0</c:v>
                </c:pt>
                <c:pt idx="12" formatCode="0.0000">
                  <c:v>0</c:v>
                </c:pt>
                <c:pt idx="13" formatCode="0.0000">
                  <c:v>0</c:v>
                </c:pt>
                <c:pt idx="14" formatCode="0.0000">
                  <c:v>0</c:v>
                </c:pt>
                <c:pt idx="15" formatCode="0.0000">
                  <c:v>0</c:v>
                </c:pt>
                <c:pt idx="16" formatCode="0.0000">
                  <c:v>0</c:v>
                </c:pt>
                <c:pt idx="17" formatCode="0.0000">
                  <c:v>0</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0</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0</c:v>
                </c:pt>
                <c:pt idx="47" formatCode="0.0000">
                  <c:v>0</c:v>
                </c:pt>
                <c:pt idx="48" formatCode="0.0000">
                  <c:v>0</c:v>
                </c:pt>
                <c:pt idx="49" formatCode="0.0000">
                  <c:v>0</c:v>
                </c:pt>
                <c:pt idx="50" formatCode="0.0000">
                  <c:v>0</c:v>
                </c:pt>
                <c:pt idx="51" formatCode="0.0000">
                  <c:v>0</c:v>
                </c:pt>
                <c:pt idx="52" formatCode="0.0000">
                  <c:v>0</c:v>
                </c:pt>
                <c:pt idx="53" formatCode="0.0000">
                  <c:v>0</c:v>
                </c:pt>
                <c:pt idx="54" formatCode="0.0000">
                  <c:v>0</c:v>
                </c:pt>
                <c:pt idx="55" formatCode="0.0000">
                  <c:v>0</c:v>
                </c:pt>
                <c:pt idx="56" formatCode="0.0000">
                  <c:v>0</c:v>
                </c:pt>
                <c:pt idx="57" formatCode="0.0000">
                  <c:v>0</c:v>
                </c:pt>
                <c:pt idx="58" formatCode="0.0000">
                  <c:v>0</c:v>
                </c:pt>
                <c:pt idx="59" formatCode="0.0000">
                  <c:v>0</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c:v>
                </c:pt>
                <c:pt idx="73" formatCode="0.0000">
                  <c:v>0</c:v>
                </c:pt>
                <c:pt idx="74" formatCode="0.0000">
                  <c:v>0</c:v>
                </c:pt>
                <c:pt idx="75" formatCode="0.0000">
                  <c:v>0</c:v>
                </c:pt>
                <c:pt idx="76" formatCode="0.0000">
                  <c:v>0</c:v>
                </c:pt>
                <c:pt idx="77" formatCode="0.0000">
                  <c:v>0</c:v>
                </c:pt>
                <c:pt idx="78" formatCode="0.0000">
                  <c:v>0</c:v>
                </c:pt>
                <c:pt idx="79" formatCode="0.0000">
                  <c:v>0</c:v>
                </c:pt>
                <c:pt idx="80" formatCode="0.0000">
                  <c:v>0</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0</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0</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0</c:v>
                </c:pt>
                <c:pt idx="378" formatCode="0.0000">
                  <c:v>0</c:v>
                </c:pt>
                <c:pt idx="379" formatCode="0.0000">
                  <c:v>0</c:v>
                </c:pt>
                <c:pt idx="380" formatCode="0.0000">
                  <c:v>0</c:v>
                </c:pt>
                <c:pt idx="381" formatCode="0.0000">
                  <c:v>0</c:v>
                </c:pt>
                <c:pt idx="382" formatCode="0.0000">
                  <c:v>0</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0</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0</c:v>
                </c:pt>
                <c:pt idx="412" formatCode="0.0000">
                  <c:v>0</c:v>
                </c:pt>
                <c:pt idx="413" formatCode="0.0000">
                  <c:v>0</c:v>
                </c:pt>
                <c:pt idx="414" formatCode="0.0000">
                  <c:v>0</c:v>
                </c:pt>
                <c:pt idx="415" formatCode="0.0000">
                  <c:v>0</c:v>
                </c:pt>
                <c:pt idx="416" formatCode="0.0000">
                  <c:v>0</c:v>
                </c:pt>
                <c:pt idx="417" formatCode="0.0000">
                  <c:v>0</c:v>
                </c:pt>
                <c:pt idx="418" formatCode="0.0000">
                  <c:v>0</c:v>
                </c:pt>
                <c:pt idx="419" formatCode="0.0000">
                  <c:v>0</c:v>
                </c:pt>
                <c:pt idx="420" formatCode="0.0000">
                  <c:v>0</c:v>
                </c:pt>
                <c:pt idx="421" formatCode="0.0000">
                  <c:v>0</c:v>
                </c:pt>
                <c:pt idx="422" formatCode="0.0000">
                  <c:v>0</c:v>
                </c:pt>
                <c:pt idx="423" formatCode="0.0000">
                  <c:v>0</c:v>
                </c:pt>
                <c:pt idx="424" formatCode="0.0000">
                  <c:v>0</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c:v>
                </c:pt>
                <c:pt idx="438" formatCode="0.0000">
                  <c:v>0</c:v>
                </c:pt>
                <c:pt idx="439" formatCode="0.0000">
                  <c:v>0</c:v>
                </c:pt>
                <c:pt idx="440" formatCode="0.0000">
                  <c:v>0</c:v>
                </c:pt>
                <c:pt idx="441" formatCode="0.0000">
                  <c:v>0</c:v>
                </c:pt>
                <c:pt idx="442" formatCode="0.0000">
                  <c:v>0</c:v>
                </c:pt>
                <c:pt idx="443" formatCode="0.0000">
                  <c:v>0</c:v>
                </c:pt>
                <c:pt idx="444" formatCode="0.0000">
                  <c:v>0</c:v>
                </c:pt>
                <c:pt idx="445" formatCode="0.0000">
                  <c:v>0</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0</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1-EBF7-524A-8319-7D91A1319DAF}"/>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Volumen de agua en la qocha (m3)</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Análisis de umbrales para caudal</a:t>
            </a:r>
          </a:p>
        </c:rich>
      </c:tx>
      <c:overlay val="0"/>
      <c:spPr>
        <a:noFill/>
        <a:ln>
          <a:noFill/>
        </a:ln>
        <a:effectLst/>
      </c:spPr>
    </c:title>
    <c:autoTitleDeleted val="0"/>
    <c:plotArea>
      <c:layout/>
      <c:scatterChart>
        <c:scatterStyle val="lineMarker"/>
        <c:varyColors val="0"/>
        <c:ser>
          <c:idx val="0"/>
          <c:order val="0"/>
          <c:tx>
            <c:strRef>
              <c:f>Escenarios!$D$21</c:f>
              <c:strCache>
                <c:ptCount val="1"/>
                <c:pt idx="0">
                  <c:v>Línea base</c:v>
                </c:pt>
              </c:strCache>
            </c:strRef>
          </c:tx>
          <c:spPr>
            <a:ln w="12700"/>
          </c:spPr>
          <c:marker>
            <c:symbol val="none"/>
          </c:marker>
          <c:xVal>
            <c:strRef>
              <c:f>LíneaBase!$C:$C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LíneaBase!$L:$L</c:f>
              <c:numCache>
                <c:formatCode>General</c:formatCode>
                <c:ptCount val="1048576"/>
                <c:pt idx="4">
                  <c:v>0</c:v>
                </c:pt>
                <c:pt idx="6" formatCode="0.0000">
                  <c:v>4.3585938675872358</c:v>
                </c:pt>
                <c:pt idx="7" formatCode="0.0000">
                  <c:v>1.2407799324562991</c:v>
                </c:pt>
                <c:pt idx="8" formatCode="0.0000">
                  <c:v>3.0667773552040081</c:v>
                </c:pt>
                <c:pt idx="9" formatCode="0.0000">
                  <c:v>1.370500668185999</c:v>
                </c:pt>
                <c:pt idx="10" formatCode="0.0000">
                  <c:v>1.9004462758969225</c:v>
                </c:pt>
                <c:pt idx="11" formatCode="0.0000">
                  <c:v>3.6590784970323407</c:v>
                </c:pt>
                <c:pt idx="12" formatCode="0.0000">
                  <c:v>1.4691961986309505</c:v>
                </c:pt>
                <c:pt idx="13" formatCode="0.0000">
                  <c:v>1.3544359545162783</c:v>
                </c:pt>
                <c:pt idx="14" formatCode="0.0000">
                  <c:v>1.2436457991895276</c:v>
                </c:pt>
                <c:pt idx="15" formatCode="0.0000">
                  <c:v>1.1398683158671576</c:v>
                </c:pt>
                <c:pt idx="16" formatCode="0.0000">
                  <c:v>1.1362944017493872</c:v>
                </c:pt>
                <c:pt idx="17" formatCode="0.0000">
                  <c:v>3.8287111396977553</c:v>
                </c:pt>
                <c:pt idx="18" formatCode="0.0000">
                  <c:v>1.4528664410546774</c:v>
                </c:pt>
                <c:pt idx="19" formatCode="0.0000">
                  <c:v>1.3524854541634634</c:v>
                </c:pt>
                <c:pt idx="20" formatCode="0.0000">
                  <c:v>1.25892353933118</c:v>
                </c:pt>
                <c:pt idx="21" formatCode="0.0000">
                  <c:v>1.1509756226758947</c:v>
                </c:pt>
                <c:pt idx="22" formatCode="0.0000">
                  <c:v>1.6758714316701147</c:v>
                </c:pt>
                <c:pt idx="23" formatCode="0.0000">
                  <c:v>1.3131448900168086</c:v>
                </c:pt>
                <c:pt idx="24" formatCode="0.0000">
                  <c:v>1.7006604303592725</c:v>
                </c:pt>
                <c:pt idx="25" formatCode="0.0000">
                  <c:v>1.5428633584480724</c:v>
                </c:pt>
                <c:pt idx="26" formatCode="0.0000">
                  <c:v>1.6246068562580451</c:v>
                </c:pt>
                <c:pt idx="27" formatCode="0.0000">
                  <c:v>1.42532237279437</c:v>
                </c:pt>
                <c:pt idx="28" formatCode="0.0000">
                  <c:v>4.5361554597857587</c:v>
                </c:pt>
                <c:pt idx="29" formatCode="0.0000">
                  <c:v>1.6056165572795995</c:v>
                </c:pt>
                <c:pt idx="30" formatCode="0.0000">
                  <c:v>1.4890469709983785</c:v>
                </c:pt>
                <c:pt idx="31" formatCode="0.0000">
                  <c:v>1.5141990459537686</c:v>
                </c:pt>
                <c:pt idx="32" formatCode="0.0000">
                  <c:v>1.4013926977953328</c:v>
                </c:pt>
                <c:pt idx="33" formatCode="0.0000">
                  <c:v>1.2912133804007551</c:v>
                </c:pt>
                <c:pt idx="34" formatCode="0.0000">
                  <c:v>1.2459788409374613</c:v>
                </c:pt>
                <c:pt idx="35" formatCode="0.0000">
                  <c:v>1.3497466796449995</c:v>
                </c:pt>
                <c:pt idx="36" formatCode="0.0000">
                  <c:v>1.3163113555809418</c:v>
                </c:pt>
                <c:pt idx="37" formatCode="0.0000">
                  <c:v>1.2561122030552123</c:v>
                </c:pt>
                <c:pt idx="38" formatCode="0.0000">
                  <c:v>1.2233919433615881</c:v>
                </c:pt>
                <c:pt idx="39" formatCode="0.0000">
                  <c:v>1.11571456954441</c:v>
                </c:pt>
                <c:pt idx="40" formatCode="0.0000">
                  <c:v>1.1264230972379972</c:v>
                </c:pt>
                <c:pt idx="41" formatCode="0.0000">
                  <c:v>1.0213259871617324</c:v>
                </c:pt>
                <c:pt idx="42" formatCode="0.0000">
                  <c:v>0.91861282635198993</c:v>
                </c:pt>
                <c:pt idx="43" formatCode="0.0000">
                  <c:v>2.4145541438235458</c:v>
                </c:pt>
                <c:pt idx="44" formatCode="0.0000">
                  <c:v>1.1315523051233156</c:v>
                </c:pt>
                <c:pt idx="45" formatCode="0.0000">
                  <c:v>1.0984193153049628</c:v>
                </c:pt>
                <c:pt idx="46" formatCode="0.0000">
                  <c:v>5.204571287426166</c:v>
                </c:pt>
                <c:pt idx="47" formatCode="0.0000">
                  <c:v>1.4691000586225718</c:v>
                </c:pt>
                <c:pt idx="48" formatCode="0.0000">
                  <c:v>1.4190001401552881</c:v>
                </c:pt>
                <c:pt idx="49" formatCode="0.0000">
                  <c:v>1.3318231164520247</c:v>
                </c:pt>
                <c:pt idx="50" formatCode="0.0000">
                  <c:v>1.2217120547254565</c:v>
                </c:pt>
                <c:pt idx="51" formatCode="0.0000">
                  <c:v>1.1727158854778452</c:v>
                </c:pt>
                <c:pt idx="52" formatCode="0.0000">
                  <c:v>3.9630902510214479</c:v>
                </c:pt>
                <c:pt idx="53" formatCode="0.0000">
                  <c:v>1.5007291465354489</c:v>
                </c:pt>
                <c:pt idx="54" formatCode="0.0000">
                  <c:v>2.5754582127776322</c:v>
                </c:pt>
                <c:pt idx="55" formatCode="0.0000">
                  <c:v>1.498842694548111</c:v>
                </c:pt>
                <c:pt idx="56" formatCode="0.0000">
                  <c:v>6.1843269841292114</c:v>
                </c:pt>
                <c:pt idx="57" formatCode="0.0000">
                  <c:v>2.6928378941272801</c:v>
                </c:pt>
                <c:pt idx="58" formatCode="0.0000">
                  <c:v>1.9740213428903668</c:v>
                </c:pt>
                <c:pt idx="59" formatCode="0.0000">
                  <c:v>7.9827223123626272</c:v>
                </c:pt>
                <c:pt idx="60" formatCode="0.0000">
                  <c:v>2.4250244408712098</c:v>
                </c:pt>
                <c:pt idx="61" formatCode="0.0000">
                  <c:v>1.9550698629179706</c:v>
                </c:pt>
                <c:pt idx="62" formatCode="0.0000">
                  <c:v>1.8361900039984562</c:v>
                </c:pt>
                <c:pt idx="63" formatCode="0.0000">
                  <c:v>1.7624033699732009</c:v>
                </c:pt>
                <c:pt idx="64" formatCode="0.0000">
                  <c:v>1.664902256799496</c:v>
                </c:pt>
                <c:pt idx="65" formatCode="0.0000">
                  <c:v>1.5569553810692396</c:v>
                </c:pt>
                <c:pt idx="66" formatCode="0.0000">
                  <c:v>1.5690351038139871</c:v>
                </c:pt>
                <c:pt idx="67" formatCode="0.0000">
                  <c:v>1.4648322645420859</c:v>
                </c:pt>
                <c:pt idx="68" formatCode="0.0000">
                  <c:v>1.4515137819343895</c:v>
                </c:pt>
                <c:pt idx="69" formatCode="0.0000">
                  <c:v>1.3513726982081324</c:v>
                </c:pt>
                <c:pt idx="70" formatCode="0.0000">
                  <c:v>1.5132744517588801</c:v>
                </c:pt>
                <c:pt idx="71" formatCode="0.0000">
                  <c:v>1.3532484108829466</c:v>
                </c:pt>
                <c:pt idx="72" formatCode="0.0000">
                  <c:v>10.891936377278416</c:v>
                </c:pt>
                <c:pt idx="73" formatCode="0.0000">
                  <c:v>1.9688594263651642</c:v>
                </c:pt>
                <c:pt idx="74" formatCode="0.0000">
                  <c:v>3.1475444802114856</c:v>
                </c:pt>
                <c:pt idx="75" formatCode="0.0000">
                  <c:v>2.1166859423120066</c:v>
                </c:pt>
                <c:pt idx="76" formatCode="0.0000">
                  <c:v>5.2329913660461358</c:v>
                </c:pt>
                <c:pt idx="77" formatCode="0.0000">
                  <c:v>2.5449407533871247</c:v>
                </c:pt>
                <c:pt idx="78" formatCode="0.0000">
                  <c:v>2.2358630689511321</c:v>
                </c:pt>
                <c:pt idx="79" formatCode="0.0000">
                  <c:v>2.299866823933006</c:v>
                </c:pt>
                <c:pt idx="80" formatCode="0.0000">
                  <c:v>4.8158055672220756</c:v>
                </c:pt>
                <c:pt idx="81" formatCode="0.0000">
                  <c:v>2.2503506150379891</c:v>
                </c:pt>
                <c:pt idx="82" formatCode="0.0000">
                  <c:v>2.2076729076555766</c:v>
                </c:pt>
                <c:pt idx="83" formatCode="0.0000">
                  <c:v>2.0974092234657986</c:v>
                </c:pt>
                <c:pt idx="84" formatCode="0.0000">
                  <c:v>2.1078866142877475</c:v>
                </c:pt>
                <c:pt idx="85" formatCode="0.0000">
                  <c:v>1.9976059163052433</c:v>
                </c:pt>
                <c:pt idx="86" formatCode="0.0000">
                  <c:v>1.9486682136551399</c:v>
                </c:pt>
                <c:pt idx="87" formatCode="0.0000">
                  <c:v>1.9239811840971788</c:v>
                </c:pt>
                <c:pt idx="88" formatCode="0.0000">
                  <c:v>1.8198669878949481</c:v>
                </c:pt>
                <c:pt idx="89" formatCode="0.0000">
                  <c:v>1.7164084387398189</c:v>
                </c:pt>
                <c:pt idx="90" formatCode="0.0000">
                  <c:v>1.618009482409732</c:v>
                </c:pt>
                <c:pt idx="91" formatCode="0.0000">
                  <c:v>1.5221256255636699</c:v>
                </c:pt>
                <c:pt idx="92" formatCode="0.0000">
                  <c:v>2.6041331115925752</c:v>
                </c:pt>
                <c:pt idx="93" formatCode="0.0000">
                  <c:v>1.7012414681313577</c:v>
                </c:pt>
                <c:pt idx="94" formatCode="0.0000">
                  <c:v>1.6628822087910664</c:v>
                </c:pt>
                <c:pt idx="95" formatCode="0.0000">
                  <c:v>1.5657471769351505</c:v>
                </c:pt>
                <c:pt idx="96" formatCode="0.0000">
                  <c:v>1.4719535030100386</c:v>
                </c:pt>
                <c:pt idx="97" formatCode="0.0000">
                  <c:v>1.3805735843568869</c:v>
                </c:pt>
                <c:pt idx="98" formatCode="0.0000">
                  <c:v>1.3103381613151517</c:v>
                </c:pt>
                <c:pt idx="99" formatCode="0.0000">
                  <c:v>1.2263915532532434</c:v>
                </c:pt>
                <c:pt idx="100" formatCode="0.0000">
                  <c:v>1.145288742987012</c:v>
                </c:pt>
                <c:pt idx="101" formatCode="0.0000">
                  <c:v>1.0698753592782264</c:v>
                </c:pt>
                <c:pt idx="102" formatCode="0.0000">
                  <c:v>1.0032311458587693</c:v>
                </c:pt>
                <c:pt idx="103" formatCode="0.0000">
                  <c:v>0.95719969037570041</c:v>
                </c:pt>
                <c:pt idx="104" formatCode="0.0000">
                  <c:v>0.94177017622949344</c:v>
                </c:pt>
                <c:pt idx="105" formatCode="0.0000">
                  <c:v>0.93149540466666558</c:v>
                </c:pt>
                <c:pt idx="106" formatCode="0.0000">
                  <c:v>0.92215200452356894</c:v>
                </c:pt>
                <c:pt idx="107" formatCode="0.0000">
                  <c:v>0.9715288158531209</c:v>
                </c:pt>
                <c:pt idx="108" formatCode="0.0000">
                  <c:v>0.96508547615643092</c:v>
                </c:pt>
                <c:pt idx="109" formatCode="0.0000">
                  <c:v>0.9052591121673117</c:v>
                </c:pt>
                <c:pt idx="110" formatCode="0.0000">
                  <c:v>0.88798993587615049</c:v>
                </c:pt>
                <c:pt idx="111" formatCode="0.0000">
                  <c:v>0.87785488367448106</c:v>
                </c:pt>
                <c:pt idx="112" formatCode="0.0000">
                  <c:v>0.86897526963874494</c:v>
                </c:pt>
                <c:pt idx="113" formatCode="0.0000">
                  <c:v>0.86514381439258936</c:v>
                </c:pt>
                <c:pt idx="114" formatCode="0.0000">
                  <c:v>0.85608879451715103</c:v>
                </c:pt>
                <c:pt idx="115" formatCode="0.0000">
                  <c:v>0.84419270653941114</c:v>
                </c:pt>
                <c:pt idx="116" formatCode="0.0000">
                  <c:v>0.83530039545029089</c:v>
                </c:pt>
                <c:pt idx="117" formatCode="0.0000">
                  <c:v>0.83106232843429184</c:v>
                </c:pt>
                <c:pt idx="118" formatCode="0.0000">
                  <c:v>0.81948878469605779</c:v>
                </c:pt>
                <c:pt idx="119" formatCode="0.0000">
                  <c:v>0.81085249051328423</c:v>
                </c:pt>
                <c:pt idx="120" formatCode="0.0000">
                  <c:v>0.80276976534073163</c:v>
                </c:pt>
                <c:pt idx="121" formatCode="0.0000">
                  <c:v>2.0927104196115405</c:v>
                </c:pt>
                <c:pt idx="122" formatCode="0.0000">
                  <c:v>1.0574316775508241</c:v>
                </c:pt>
                <c:pt idx="123" formatCode="0.0000">
                  <c:v>0.98630924202356429</c:v>
                </c:pt>
                <c:pt idx="124" formatCode="0.0000">
                  <c:v>0.91574259852252682</c:v>
                </c:pt>
                <c:pt idx="125" formatCode="0.0000">
                  <c:v>0.84920747135622654</c:v>
                </c:pt>
                <c:pt idx="126" formatCode="0.0000">
                  <c:v>0.78512018856102328</c:v>
                </c:pt>
                <c:pt idx="127" formatCode="0.0000">
                  <c:v>0.75375115527646586</c:v>
                </c:pt>
                <c:pt idx="128" formatCode="0.0000">
                  <c:v>0.74240268288325062</c:v>
                </c:pt>
                <c:pt idx="129" formatCode="0.0000">
                  <c:v>0.73443687938034574</c:v>
                </c:pt>
                <c:pt idx="130" formatCode="0.0000">
                  <c:v>0.72709231762648996</c:v>
                </c:pt>
                <c:pt idx="131" formatCode="0.0000">
                  <c:v>0.71991018599439105</c:v>
                </c:pt>
                <c:pt idx="132" formatCode="0.0000">
                  <c:v>0.71281376624084958</c:v>
                </c:pt>
                <c:pt idx="133" formatCode="0.0000">
                  <c:v>0.70578974905757419</c:v>
                </c:pt>
                <c:pt idx="134" formatCode="0.0000">
                  <c:v>0.70019789952983624</c:v>
                </c:pt>
                <c:pt idx="135" formatCode="0.0000">
                  <c:v>0.69217564394355802</c:v>
                </c:pt>
                <c:pt idx="136" formatCode="0.0000">
                  <c:v>0.68516911950674431</c:v>
                </c:pt>
                <c:pt idx="137" formatCode="0.0000">
                  <c:v>0.67838706225266254</c:v>
                </c:pt>
                <c:pt idx="138" formatCode="0.0000">
                  <c:v>0.67169762174560865</c:v>
                </c:pt>
                <c:pt idx="139" formatCode="0.0000">
                  <c:v>0.66507837363957345</c:v>
                </c:pt>
                <c:pt idx="140" formatCode="0.0000">
                  <c:v>0.65852505672777972</c:v>
                </c:pt>
                <c:pt idx="141" formatCode="0.0000">
                  <c:v>0.65203642905074688</c:v>
                </c:pt>
                <c:pt idx="142" formatCode="0.0000">
                  <c:v>0.64561175492201361</c:v>
                </c:pt>
                <c:pt idx="143" formatCode="0.0000">
                  <c:v>0.63925038788248234</c:v>
                </c:pt>
                <c:pt idx="144" formatCode="0.0000">
                  <c:v>0.6329517014459769</c:v>
                </c:pt>
                <c:pt idx="145" formatCode="0.0000">
                  <c:v>0.6267150775565048</c:v>
                </c:pt>
                <c:pt idx="146" formatCode="0.0000">
                  <c:v>0.6205399046224892</c:v>
                </c:pt>
                <c:pt idx="147" formatCode="0.0000">
                  <c:v>0.61442557714066437</c:v>
                </c:pt>
                <c:pt idx="148" formatCode="0.0000">
                  <c:v>0.60837149558424541</c:v>
                </c:pt>
                <c:pt idx="149" formatCode="0.0000">
                  <c:v>0.60237706633543953</c:v>
                </c:pt>
                <c:pt idx="150" formatCode="0.0000">
                  <c:v>0.59644170162579502</c:v>
                </c:pt>
                <c:pt idx="151" formatCode="0.0000">
                  <c:v>0.59056481947833039</c:v>
                </c:pt>
                <c:pt idx="152" formatCode="0.0000">
                  <c:v>0.58474584365042914</c:v>
                </c:pt>
                <c:pt idx="153" formatCode="0.0000">
                  <c:v>0.57898420357733249</c:v>
                </c:pt>
                <c:pt idx="154" formatCode="0.0000">
                  <c:v>0.57327933431619171</c:v>
                </c:pt>
                <c:pt idx="155" formatCode="0.0000">
                  <c:v>0.567630676490675</c:v>
                </c:pt>
                <c:pt idx="156" formatCode="0.0000">
                  <c:v>0.56203767623611856</c:v>
                </c:pt>
                <c:pt idx="157" formatCode="0.0000">
                  <c:v>0.55649978514521914</c:v>
                </c:pt>
                <c:pt idx="158" formatCode="0.0000">
                  <c:v>1.6595477187016181</c:v>
                </c:pt>
                <c:pt idx="159" formatCode="0.0000">
                  <c:v>0.86405420061373739</c:v>
                </c:pt>
                <c:pt idx="160" formatCode="0.0000">
                  <c:v>0.80228337764042057</c:v>
                </c:pt>
                <c:pt idx="161" formatCode="0.0000">
                  <c:v>0.74556511604381881</c:v>
                </c:pt>
                <c:pt idx="162" formatCode="0.0000">
                  <c:v>0.68947489970077247</c:v>
                </c:pt>
                <c:pt idx="163" formatCode="0.0000">
                  <c:v>0.63634073580302652</c:v>
                </c:pt>
                <c:pt idx="164" formatCode="0.0000">
                  <c:v>0.5845057947544402</c:v>
                </c:pt>
                <c:pt idx="165" formatCode="0.0000">
                  <c:v>0.59449257149465551</c:v>
                </c:pt>
                <c:pt idx="166" formatCode="0.0000">
                  <c:v>0.59125996558765193</c:v>
                </c:pt>
                <c:pt idx="167" formatCode="0.0000">
                  <c:v>0.55248419792142245</c:v>
                </c:pt>
                <c:pt idx="168" formatCode="0.0000">
                  <c:v>0.50710812538139449</c:v>
                </c:pt>
                <c:pt idx="169" formatCode="0.0000">
                  <c:v>0.4954852466233351</c:v>
                </c:pt>
                <c:pt idx="170" formatCode="0.0000">
                  <c:v>0.4895035815835399</c:v>
                </c:pt>
                <c:pt idx="171" formatCode="0.0000">
                  <c:v>0.48449793408419722</c:v>
                </c:pt>
                <c:pt idx="172" formatCode="0.0000">
                  <c:v>0.47969378510636212</c:v>
                </c:pt>
                <c:pt idx="173" formatCode="0.0000">
                  <c:v>0.47496222419302953</c:v>
                </c:pt>
                <c:pt idx="174" formatCode="0.0000">
                  <c:v>0.47028147464084724</c:v>
                </c:pt>
                <c:pt idx="175" formatCode="0.0000">
                  <c:v>0.46564754092938537</c:v>
                </c:pt>
                <c:pt idx="176" formatCode="0.0000">
                  <c:v>0.46105938184611456</c:v>
                </c:pt>
                <c:pt idx="177" formatCode="0.0000">
                  <c:v>0.45651645013211151</c:v>
                </c:pt>
                <c:pt idx="178" formatCode="0.0000">
                  <c:v>0.45201828418318052</c:v>
                </c:pt>
                <c:pt idx="179" formatCode="0.0000">
                  <c:v>0.44756444026187908</c:v>
                </c:pt>
                <c:pt idx="180" formatCode="0.0000">
                  <c:v>0.44315448121303158</c:v>
                </c:pt>
                <c:pt idx="181" formatCode="0.0000">
                  <c:v>0.43878797455557778</c:v>
                </c:pt>
                <c:pt idx="182" formatCode="0.0000">
                  <c:v>0.43446449213064936</c:v>
                </c:pt>
                <c:pt idx="183" formatCode="0.0000">
                  <c:v>0.43018361000822664</c:v>
                </c:pt>
                <c:pt idx="184" formatCode="0.0000">
                  <c:v>0.42594490843704919</c:v>
                </c:pt>
                <c:pt idx="185" formatCode="0.0000">
                  <c:v>0.42174797180204376</c:v>
                </c:pt>
                <c:pt idx="186" formatCode="0.0000">
                  <c:v>0.41759238858333714</c:v>
                </c:pt>
                <c:pt idx="187" formatCode="0.0000">
                  <c:v>0.4134777513158675</c:v>
                </c:pt>
                <c:pt idx="188" formatCode="0.0000">
                  <c:v>0.40940365654942462</c:v>
                </c:pt>
                <c:pt idx="189" formatCode="0.0000">
                  <c:v>0.40536970480908929</c:v>
                </c:pt>
                <c:pt idx="190" formatCode="0.0000">
                  <c:v>0.40137550055606397</c:v>
                </c:pt>
                <c:pt idx="191" formatCode="0.0000">
                  <c:v>0.39742065214888905</c:v>
                </c:pt>
                <c:pt idx="192" formatCode="0.0000">
                  <c:v>0.39350477180504145</c:v>
                </c:pt>
                <c:pt idx="193" formatCode="0.0000">
                  <c:v>0.38962747556291188</c:v>
                </c:pt>
                <c:pt idx="194" formatCode="0.0000">
                  <c:v>0.38578838324415599</c:v>
                </c:pt>
                <c:pt idx="195" formatCode="0.0000">
                  <c:v>0.41703561743642437</c:v>
                </c:pt>
                <c:pt idx="196" formatCode="0.0000">
                  <c:v>0.38403912761812309</c:v>
                </c:pt>
                <c:pt idx="197" formatCode="0.0000">
                  <c:v>0.37546163971138585</c:v>
                </c:pt>
                <c:pt idx="198" formatCode="0.0000">
                  <c:v>0.37096671777271728</c:v>
                </c:pt>
                <c:pt idx="199" formatCode="0.0000">
                  <c:v>0.3671795070998759</c:v>
                </c:pt>
                <c:pt idx="200" formatCode="0.0000">
                  <c:v>0.36353969848213602</c:v>
                </c:pt>
                <c:pt idx="201" formatCode="0.0000">
                  <c:v>0.35995402099356821</c:v>
                </c:pt>
                <c:pt idx="202" formatCode="0.0000">
                  <c:v>0.35640670523607881</c:v>
                </c:pt>
                <c:pt idx="203" formatCode="0.0000">
                  <c:v>0.35289484501131235</c:v>
                </c:pt>
                <c:pt idx="204" formatCode="0.0000">
                  <c:v>0.35078021828840039</c:v>
                </c:pt>
                <c:pt idx="205" formatCode="0.0000">
                  <c:v>0.35840491493489901</c:v>
                </c:pt>
                <c:pt idx="206" formatCode="0.0000">
                  <c:v>0.51330077160438381</c:v>
                </c:pt>
                <c:pt idx="207" formatCode="0.0000">
                  <c:v>0.78201074700496942</c:v>
                </c:pt>
                <c:pt idx="208" formatCode="0.0000">
                  <c:v>0.60043660822967337</c:v>
                </c:pt>
                <c:pt idx="209" formatCode="0.0000">
                  <c:v>0.54408225368341878</c:v>
                </c:pt>
                <c:pt idx="210" formatCode="0.0000">
                  <c:v>0.48846136768044413</c:v>
                </c:pt>
                <c:pt idx="211" formatCode="0.0000">
                  <c:v>0.43443373403949542</c:v>
                </c:pt>
                <c:pt idx="212" formatCode="0.0000">
                  <c:v>0.38321196099461508</c:v>
                </c:pt>
                <c:pt idx="213" formatCode="0.0000">
                  <c:v>0.33353739493892604</c:v>
                </c:pt>
                <c:pt idx="214" formatCode="0.0000">
                  <c:v>0.31878439028380906</c:v>
                </c:pt>
                <c:pt idx="215" formatCode="0.0000">
                  <c:v>0.31374060935815301</c:v>
                </c:pt>
                <c:pt idx="216" formatCode="0.0000">
                  <c:v>0.31033351763699285</c:v>
                </c:pt>
                <c:pt idx="217" formatCode="0.0000">
                  <c:v>0.30722333636713406</c:v>
                </c:pt>
                <c:pt idx="218" formatCode="0.0000">
                  <c:v>0.3041874980548025</c:v>
                </c:pt>
                <c:pt idx="219" formatCode="0.0000">
                  <c:v>0.30391391728589612</c:v>
                </c:pt>
                <c:pt idx="220" formatCode="0.0000">
                  <c:v>0.29867309104837808</c:v>
                </c:pt>
                <c:pt idx="221" formatCode="0.0000">
                  <c:v>0.29535745282363318</c:v>
                </c:pt>
                <c:pt idx="222" formatCode="0.0000">
                  <c:v>0.29238537419916277</c:v>
                </c:pt>
                <c:pt idx="223" formatCode="0.0000">
                  <c:v>0.33354651850305106</c:v>
                </c:pt>
                <c:pt idx="224" formatCode="0.0000">
                  <c:v>0.29394989534060656</c:v>
                </c:pt>
                <c:pt idx="225" formatCode="0.0000">
                  <c:v>0.28911601120256508</c:v>
                </c:pt>
                <c:pt idx="226" formatCode="0.0000">
                  <c:v>0.2818984123294131</c:v>
                </c:pt>
                <c:pt idx="227" formatCode="0.0000">
                  <c:v>0.27839584588825894</c:v>
                </c:pt>
                <c:pt idx="228" formatCode="0.0000">
                  <c:v>0.27553244906452429</c:v>
                </c:pt>
                <c:pt idx="229" formatCode="0.0000">
                  <c:v>0.27279760069981784</c:v>
                </c:pt>
                <c:pt idx="230" formatCode="0.0000">
                  <c:v>0.2714688954668924</c:v>
                </c:pt>
                <c:pt idx="231" formatCode="0.0000">
                  <c:v>0.267670472820001</c:v>
                </c:pt>
                <c:pt idx="232" formatCode="0.0000">
                  <c:v>0.26484660999286519</c:v>
                </c:pt>
                <c:pt idx="233" formatCode="0.0000">
                  <c:v>0.26220607577790028</c:v>
                </c:pt>
                <c:pt idx="234" formatCode="0.0000">
                  <c:v>0.31886495502571732</c:v>
                </c:pt>
                <c:pt idx="235" formatCode="0.0000">
                  <c:v>0.26688976751659654</c:v>
                </c:pt>
                <c:pt idx="236" formatCode="0.0000">
                  <c:v>0.25615681470353535</c:v>
                </c:pt>
                <c:pt idx="237" formatCode="0.0000">
                  <c:v>0.25228822129279116</c:v>
                </c:pt>
                <c:pt idx="238" formatCode="0.0000">
                  <c:v>0.24957924416696797</c:v>
                </c:pt>
                <c:pt idx="239" formatCode="0.0000">
                  <c:v>0.24708305651769771</c:v>
                </c:pt>
                <c:pt idx="240" formatCode="0.0000">
                  <c:v>0.24464234469929813</c:v>
                </c:pt>
                <c:pt idx="241" formatCode="0.0000">
                  <c:v>0.24223080595929891</c:v>
                </c:pt>
                <c:pt idx="242" formatCode="0.0000">
                  <c:v>0.23984387896977222</c:v>
                </c:pt>
                <c:pt idx="243" formatCode="0.0000">
                  <c:v>0.23748061203354714</c:v>
                </c:pt>
                <c:pt idx="244" formatCode="0.0000">
                  <c:v>0.23514065434181072</c:v>
                </c:pt>
                <c:pt idx="245" formatCode="0.0000">
                  <c:v>0.23282375669552649</c:v>
                </c:pt>
                <c:pt idx="246" formatCode="0.0000">
                  <c:v>0.23052968863825254</c:v>
                </c:pt>
                <c:pt idx="247" formatCode="0.0000">
                  <c:v>0.22825822468692375</c:v>
                </c:pt>
                <c:pt idx="248" formatCode="0.0000">
                  <c:v>0.22600914202867867</c:v>
                </c:pt>
                <c:pt idx="249" formatCode="0.0000">
                  <c:v>0.2237822201205005</c:v>
                </c:pt>
                <c:pt idx="250" formatCode="0.0000">
                  <c:v>0.22157724060478379</c:v>
                </c:pt>
                <c:pt idx="251" formatCode="0.0000">
                  <c:v>0.21939398727750178</c:v>
                </c:pt>
                <c:pt idx="252" formatCode="0.0000">
                  <c:v>0.21723224606527733</c:v>
                </c:pt>
                <c:pt idx="253" formatCode="0.0000">
                  <c:v>0.21509180500410577</c:v>
                </c:pt>
                <c:pt idx="254" formatCode="0.0000">
                  <c:v>0.21297245421852362</c:v>
                </c:pt>
                <c:pt idx="255" formatCode="0.0000">
                  <c:v>0.21087398590102191</c:v>
                </c:pt>
                <c:pt idx="256" formatCode="0.0000">
                  <c:v>0.20879619429166885</c:v>
                </c:pt>
                <c:pt idx="257" formatCode="0.0000">
                  <c:v>0.20673887565793417</c:v>
                </c:pt>
                <c:pt idx="258" formatCode="0.0000">
                  <c:v>0.20470182827471275</c:v>
                </c:pt>
                <c:pt idx="259" formatCode="0.0000">
                  <c:v>0.20268485240454515</c:v>
                </c:pt>
                <c:pt idx="260" formatCode="0.0000">
                  <c:v>0.20068775027803246</c:v>
                </c:pt>
                <c:pt idx="261" formatCode="0.0000">
                  <c:v>0.19871032607444497</c:v>
                </c:pt>
                <c:pt idx="262" formatCode="0.0000">
                  <c:v>0.19675238590252114</c:v>
                </c:pt>
                <c:pt idx="263" formatCode="0.0000">
                  <c:v>0.19822010488897174</c:v>
                </c:pt>
                <c:pt idx="264" formatCode="0.0000">
                  <c:v>0.19345943167486976</c:v>
                </c:pt>
                <c:pt idx="265" formatCode="0.0000">
                  <c:v>0.19108735306753055</c:v>
                </c:pt>
                <c:pt idx="266" formatCode="0.0000">
                  <c:v>0.18912721798690046</c:v>
                </c:pt>
                <c:pt idx="267" formatCode="0.0000">
                  <c:v>0.1872508746079827</c:v>
                </c:pt>
                <c:pt idx="268" formatCode="0.0000">
                  <c:v>0.18540371853386914</c:v>
                </c:pt>
                <c:pt idx="269" formatCode="0.0000">
                  <c:v>0.18357653832221194</c:v>
                </c:pt>
                <c:pt idx="270" formatCode="0.0000">
                  <c:v>0.18176765635469372</c:v>
                </c:pt>
                <c:pt idx="271" formatCode="0.0000">
                  <c:v>0.17997664661726989</c:v>
                </c:pt>
                <c:pt idx="272" formatCode="0.0000">
                  <c:v>0.19182876066727086</c:v>
                </c:pt>
                <c:pt idx="273" formatCode="0.0000">
                  <c:v>0.28660200711152017</c:v>
                </c:pt>
                <c:pt idx="274" formatCode="0.0000">
                  <c:v>0.20601478682687535</c:v>
                </c:pt>
                <c:pt idx="275" formatCode="0.0000">
                  <c:v>0.1781821811739594</c:v>
                </c:pt>
                <c:pt idx="276" formatCode="0.0000">
                  <c:v>0.17214490556871903</c:v>
                </c:pt>
                <c:pt idx="277" formatCode="0.0000">
                  <c:v>0.16973824714044936</c:v>
                </c:pt>
                <c:pt idx="278" formatCode="0.0000">
                  <c:v>0.16794788236994776</c:v>
                </c:pt>
                <c:pt idx="279" formatCode="0.0000">
                  <c:v>0.16627348908606099</c:v>
                </c:pt>
                <c:pt idx="280" formatCode="0.0000">
                  <c:v>0.16463191061614743</c:v>
                </c:pt>
                <c:pt idx="281" formatCode="0.0000">
                  <c:v>0.16300921452960582</c:v>
                </c:pt>
                <c:pt idx="282" formatCode="0.0000">
                  <c:v>0.16140295652998288</c:v>
                </c:pt>
                <c:pt idx="283" formatCode="0.0000">
                  <c:v>0.1598125999242016</c:v>
                </c:pt>
                <c:pt idx="284" formatCode="0.0000">
                  <c:v>0.15823792585160135</c:v>
                </c:pt>
                <c:pt idx="285" formatCode="0.0000">
                  <c:v>0.1566787694704535</c:v>
                </c:pt>
                <c:pt idx="286" formatCode="0.0000">
                  <c:v>0.1551349761691182</c:v>
                </c:pt>
                <c:pt idx="287" formatCode="0.0000">
                  <c:v>0.15360639428740619</c:v>
                </c:pt>
                <c:pt idx="288" formatCode="0.0000">
                  <c:v>0.18573423851794335</c:v>
                </c:pt>
                <c:pt idx="289" formatCode="0.0000">
                  <c:v>0.15822041139374701</c:v>
                </c:pt>
                <c:pt idx="290" formatCode="0.0000">
                  <c:v>0.39050690964565848</c:v>
                </c:pt>
                <c:pt idx="291" formatCode="0.0000">
                  <c:v>0.33574109083754278</c:v>
                </c:pt>
                <c:pt idx="292" formatCode="0.0000">
                  <c:v>3.8340067967060687</c:v>
                </c:pt>
                <c:pt idx="293" formatCode="0.0000">
                  <c:v>0.88777808205994668</c:v>
                </c:pt>
                <c:pt idx="294" formatCode="0.0000">
                  <c:v>2.1597244928581425</c:v>
                </c:pt>
                <c:pt idx="295" formatCode="0.0000">
                  <c:v>1.0703333332146081</c:v>
                </c:pt>
                <c:pt idx="296" formatCode="0.0000">
                  <c:v>0.96626062874889107</c:v>
                </c:pt>
                <c:pt idx="297" formatCode="0.0000">
                  <c:v>1.4325255216894952</c:v>
                </c:pt>
                <c:pt idx="298" formatCode="0.0000">
                  <c:v>1.1515019126225119</c:v>
                </c:pt>
                <c:pt idx="299" formatCode="0.0000">
                  <c:v>1.0439260795458627</c:v>
                </c:pt>
                <c:pt idx="300" formatCode="0.0000">
                  <c:v>1.024435280827217</c:v>
                </c:pt>
                <c:pt idx="301" formatCode="0.0000">
                  <c:v>1.0284913336719399</c:v>
                </c:pt>
                <c:pt idx="302" formatCode="0.0000">
                  <c:v>0.98956408029643306</c:v>
                </c:pt>
                <c:pt idx="303" formatCode="0.0000">
                  <c:v>1.1476447240356507</c:v>
                </c:pt>
                <c:pt idx="304" formatCode="0.0000">
                  <c:v>1.0388274692142905</c:v>
                </c:pt>
                <c:pt idx="305" formatCode="0.0000">
                  <c:v>0.94349469920268014</c:v>
                </c:pt>
                <c:pt idx="306" formatCode="0.0000">
                  <c:v>0.88664600789181891</c:v>
                </c:pt>
                <c:pt idx="307" formatCode="0.0000">
                  <c:v>0.78416273897606581</c:v>
                </c:pt>
                <c:pt idx="308" formatCode="0.0000">
                  <c:v>0.77242484412846735</c:v>
                </c:pt>
                <c:pt idx="309" formatCode="0.0000">
                  <c:v>0.67468945252139179</c:v>
                </c:pt>
                <c:pt idx="310" formatCode="0.0000">
                  <c:v>0.5944200785519318</c:v>
                </c:pt>
                <c:pt idx="311" formatCode="0.0000">
                  <c:v>0.57795525903080303</c:v>
                </c:pt>
                <c:pt idx="312" formatCode="0.0000">
                  <c:v>0.48641376698729039</c:v>
                </c:pt>
                <c:pt idx="313" formatCode="0.0000">
                  <c:v>0.48761253850340447</c:v>
                </c:pt>
                <c:pt idx="314" formatCode="0.0000">
                  <c:v>0.43553622142772758</c:v>
                </c:pt>
                <c:pt idx="315" formatCode="0.0000">
                  <c:v>0.35200640413455375</c:v>
                </c:pt>
                <c:pt idx="316" formatCode="0.0000">
                  <c:v>0.33634905458649972</c:v>
                </c:pt>
                <c:pt idx="317" formatCode="0.0000">
                  <c:v>0.25302588324470221</c:v>
                </c:pt>
                <c:pt idx="318" formatCode="0.0000">
                  <c:v>0.18533412260816434</c:v>
                </c:pt>
                <c:pt idx="319" formatCode="0.0000">
                  <c:v>0.12389321032451006</c:v>
                </c:pt>
                <c:pt idx="320" formatCode="0.0000">
                  <c:v>0.11278020475963134</c:v>
                </c:pt>
                <c:pt idx="321" formatCode="0.0000">
                  <c:v>0.11002746985232927</c:v>
                </c:pt>
                <c:pt idx="322" formatCode="0.0000">
                  <c:v>0.12502152315839118</c:v>
                </c:pt>
                <c:pt idx="323" formatCode="0.0000">
                  <c:v>0.11435579490248231</c:v>
                </c:pt>
                <c:pt idx="324" formatCode="0.0000">
                  <c:v>1.6308515546246409</c:v>
                </c:pt>
                <c:pt idx="325" formatCode="0.0000">
                  <c:v>1.1130023217989466</c:v>
                </c:pt>
                <c:pt idx="326" formatCode="0.0000">
                  <c:v>0.59780083419189167</c:v>
                </c:pt>
                <c:pt idx="327" formatCode="0.0000">
                  <c:v>0.52306929776072952</c:v>
                </c:pt>
                <c:pt idx="328" formatCode="0.0000">
                  <c:v>0.56038457940056863</c:v>
                </c:pt>
                <c:pt idx="329" formatCode="0.0000">
                  <c:v>2.088389906478973</c:v>
                </c:pt>
                <c:pt idx="330" formatCode="0.0000">
                  <c:v>1.1578999225028352</c:v>
                </c:pt>
                <c:pt idx="331" formatCode="0.0000">
                  <c:v>0.91024324452725525</c:v>
                </c:pt>
                <c:pt idx="332" formatCode="0.0000">
                  <c:v>0.80476773605185459</c:v>
                </c:pt>
                <c:pt idx="333" formatCode="0.0000">
                  <c:v>0.70484430662660791</c:v>
                </c:pt>
                <c:pt idx="334" formatCode="0.0000">
                  <c:v>1.0628615239856649</c:v>
                </c:pt>
                <c:pt idx="335" formatCode="0.0000">
                  <c:v>2.1781002236388671</c:v>
                </c:pt>
                <c:pt idx="336" formatCode="0.0000">
                  <c:v>1.0532292452520771</c:v>
                </c:pt>
                <c:pt idx="337" formatCode="0.0000">
                  <c:v>0.94303088090978027</c:v>
                </c:pt>
                <c:pt idx="338" formatCode="0.0000">
                  <c:v>0.83855257634354752</c:v>
                </c:pt>
                <c:pt idx="339" formatCode="0.0000">
                  <c:v>0.73929264666166794</c:v>
                </c:pt>
                <c:pt idx="340" formatCode="0.0000">
                  <c:v>0.64484459318533982</c:v>
                </c:pt>
                <c:pt idx="341" formatCode="0.0000">
                  <c:v>0.55335894684209086</c:v>
                </c:pt>
                <c:pt idx="342" formatCode="0.0000">
                  <c:v>0.46304919735749034</c:v>
                </c:pt>
                <c:pt idx="343" formatCode="0.0000">
                  <c:v>0.37586906487517968</c:v>
                </c:pt>
                <c:pt idx="344" formatCode="0.0000">
                  <c:v>0.29163597790268136</c:v>
                </c:pt>
                <c:pt idx="345" formatCode="0.0000">
                  <c:v>0.20971355752659146</c:v>
                </c:pt>
                <c:pt idx="346" formatCode="0.0000">
                  <c:v>0.1345032560711176</c:v>
                </c:pt>
                <c:pt idx="347" formatCode="0.0000">
                  <c:v>9.2905553274510916E-2</c:v>
                </c:pt>
                <c:pt idx="348" formatCode="0.0000">
                  <c:v>8.5307476827766016E-2</c:v>
                </c:pt>
                <c:pt idx="349" formatCode="0.0000">
                  <c:v>8.3358026552086142E-2</c:v>
                </c:pt>
                <c:pt idx="350" formatCode="0.0000">
                  <c:v>8.2352674032313791E-2</c:v>
                </c:pt>
                <c:pt idx="351" formatCode="0.0000">
                  <c:v>8.1510700235106384E-2</c:v>
                </c:pt>
                <c:pt idx="352" formatCode="0.0000">
                  <c:v>0.15221293023193921</c:v>
                </c:pt>
                <c:pt idx="353" formatCode="0.0000">
                  <c:v>9.4029247885892037E-2</c:v>
                </c:pt>
                <c:pt idx="354" formatCode="0.0000">
                  <c:v>8.1462473057871673E-2</c:v>
                </c:pt>
                <c:pt idx="355" formatCode="0.0000">
                  <c:v>0.51493482607767005</c:v>
                </c:pt>
                <c:pt idx="356" formatCode="0.0000">
                  <c:v>0.25065755856110916</c:v>
                </c:pt>
                <c:pt idx="357" formatCode="0.0000">
                  <c:v>0.19217484318141448</c:v>
                </c:pt>
                <c:pt idx="358" formatCode="0.0000">
                  <c:v>2.7540371030225859</c:v>
                </c:pt>
                <c:pt idx="359" formatCode="0.0000">
                  <c:v>0.53551175435553189</c:v>
                </c:pt>
                <c:pt idx="360" formatCode="0.0000">
                  <c:v>0.44545359753754354</c:v>
                </c:pt>
                <c:pt idx="361" formatCode="0.0000">
                  <c:v>2.1843047364001626</c:v>
                </c:pt>
                <c:pt idx="362" formatCode="0.0000">
                  <c:v>0.77473021515612561</c:v>
                </c:pt>
                <c:pt idx="363" formatCode="0.0000">
                  <c:v>0.67639315005762513</c:v>
                </c:pt>
                <c:pt idx="364" formatCode="0.0000">
                  <c:v>5.2872146561170554</c:v>
                </c:pt>
                <c:pt idx="365" formatCode="0.0000">
                  <c:v>1.2382839391505354</c:v>
                </c:pt>
                <c:pt idx="366" formatCode="0.0000">
                  <c:v>1.2174482405924141</c:v>
                </c:pt>
                <c:pt idx="367" formatCode="0.0000">
                  <c:v>1.3498628437075286</c:v>
                </c:pt>
                <c:pt idx="368" formatCode="0.0000">
                  <c:v>1.2641644113190702</c:v>
                </c:pt>
                <c:pt idx="369" formatCode="0.0000">
                  <c:v>1.272735597865525</c:v>
                </c:pt>
                <c:pt idx="370" formatCode="0.0000">
                  <c:v>1.2441724444320688</c:v>
                </c:pt>
                <c:pt idx="371" formatCode="0.0000">
                  <c:v>4.4268042260306348</c:v>
                </c:pt>
                <c:pt idx="372" formatCode="0.0000">
                  <c:v>1.3082047545270306</c:v>
                </c:pt>
                <c:pt idx="373" formatCode="0.0000">
                  <c:v>3.1302113529085061</c:v>
                </c:pt>
                <c:pt idx="374" formatCode="0.0000">
                  <c:v>1.4333133682709001</c:v>
                </c:pt>
                <c:pt idx="375" formatCode="0.0000">
                  <c:v>1.9627495195022959</c:v>
                </c:pt>
                <c:pt idx="376" formatCode="0.0000">
                  <c:v>3.7207641236015485</c:v>
                </c:pt>
                <c:pt idx="377" formatCode="0.0000">
                  <c:v>1.5302740262128074</c:v>
                </c:pt>
                <c:pt idx="378" formatCode="0.0000">
                  <c:v>1.4149119717564635</c:v>
                </c:pt>
                <c:pt idx="379" formatCode="0.0000">
                  <c:v>1.3035259357310227</c:v>
                </c:pt>
                <c:pt idx="380" formatCode="0.0000">
                  <c:v>1.1991584429314495</c:v>
                </c:pt>
                <c:pt idx="381" formatCode="0.0000">
                  <c:v>1.1950003327119476</c:v>
                </c:pt>
                <c:pt idx="382" formatCode="0.0000">
                  <c:v>3.8868387339344466</c:v>
                </c:pt>
                <c:pt idx="383" formatCode="0.0000">
                  <c:v>1.5104212901406047</c:v>
                </c:pt>
                <c:pt idx="384" formatCode="0.0000">
                  <c:v>1.409473201497097</c:v>
                </c:pt>
                <c:pt idx="385" formatCode="0.0000">
                  <c:v>1.3153497727051009</c:v>
                </c:pt>
                <c:pt idx="386" formatCode="0.0000">
                  <c:v>1.2068458748246991</c:v>
                </c:pt>
                <c:pt idx="387" formatCode="0.0000">
                  <c:v>1.7311911808129177</c:v>
                </c:pt>
                <c:pt idx="388" formatCode="0.0000">
                  <c:v>1.3679195603944003</c:v>
                </c:pt>
                <c:pt idx="389" formatCode="0.0000">
                  <c:v>1.7548953927659872</c:v>
                </c:pt>
                <c:pt idx="390" formatCode="0.0000">
                  <c:v>1.5965639279982606</c:v>
                </c:pt>
                <c:pt idx="391" formatCode="0.0000">
                  <c:v>1.6777783014031995</c:v>
                </c:pt>
                <c:pt idx="392" formatCode="0.0000">
                  <c:v>1.4779699070259484</c:v>
                </c:pt>
                <c:pt idx="393" formatCode="0.0000">
                  <c:v>4.5882842453196888</c:v>
                </c:pt>
                <c:pt idx="394" formatCode="0.0000">
                  <c:v>1.6572317054735581</c:v>
                </c:pt>
                <c:pt idx="395" formatCode="0.0000">
                  <c:v>1.540153542843415</c:v>
                </c:pt>
                <c:pt idx="396" formatCode="0.0000">
                  <c:v>1.5648020525737827</c:v>
                </c:pt>
                <c:pt idx="397" formatCode="0.0000">
                  <c:v>1.4514971009384259</c:v>
                </c:pt>
                <c:pt idx="398" formatCode="0.0000">
                  <c:v>1.3408240929257431</c:v>
                </c:pt>
                <c:pt idx="399" formatCode="0.0000">
                  <c:v>1.2951007272955923</c:v>
                </c:pt>
                <c:pt idx="400" formatCode="0.0000">
                  <c:v>1.398384556356925</c:v>
                </c:pt>
                <c:pt idx="401" formatCode="0.0000">
                  <c:v>1.364469991708988</c:v>
                </c:pt>
                <c:pt idx="402" formatCode="0.0000">
                  <c:v>1.3037963206709979</c:v>
                </c:pt>
                <c:pt idx="403" formatCode="0.0000">
                  <c:v>1.2706062180090361</c:v>
                </c:pt>
                <c:pt idx="404" formatCode="0.0000">
                  <c:v>1.1624636306981952</c:v>
                </c:pt>
                <c:pt idx="405" formatCode="0.0000">
                  <c:v>1.1727115287574779</c:v>
                </c:pt>
                <c:pt idx="406" formatCode="0.0000">
                  <c:v>1.0671583277404086</c:v>
                </c:pt>
                <c:pt idx="407" formatCode="0.0000">
                  <c:v>0.96399356996253371</c:v>
                </c:pt>
                <c:pt idx="408" formatCode="0.0000">
                  <c:v>2.4594877401584454</c:v>
                </c:pt>
                <c:pt idx="409" formatCode="0.0000">
                  <c:v>1.1760431600311811</c:v>
                </c:pt>
                <c:pt idx="410" formatCode="0.0000">
                  <c:v>1.1424717912225273</c:v>
                </c:pt>
                <c:pt idx="411" formatCode="0.0000">
                  <c:v>5.2481897038060925</c:v>
                </c:pt>
                <c:pt idx="412" formatCode="0.0000">
                  <c:v>1.5122886923568097</c:v>
                </c:pt>
                <c:pt idx="413" formatCode="0.0000">
                  <c:v>1.4617632259946118</c:v>
                </c:pt>
                <c:pt idx="414" formatCode="0.0000">
                  <c:v>1.3741648474211998</c:v>
                </c:pt>
                <c:pt idx="415" formatCode="0.0000">
                  <c:v>1.2636365825343776</c:v>
                </c:pt>
                <c:pt idx="416" formatCode="0.0000">
                  <c:v>1.2142273209286203</c:v>
                </c:pt>
                <c:pt idx="417" formatCode="0.0000">
                  <c:v>4.0041926644114705</c:v>
                </c:pt>
                <c:pt idx="418" formatCode="0.0000">
                  <c:v>1.541426568056508</c:v>
                </c:pt>
                <c:pt idx="419" formatCode="0.0000">
                  <c:v>2.6157546329110741</c:v>
                </c:pt>
                <c:pt idx="420" formatCode="0.0000">
                  <c:v>1.5387420644561185</c:v>
                </c:pt>
                <c:pt idx="421" formatCode="0.0000">
                  <c:v>6.2238332160422258</c:v>
                </c:pt>
                <c:pt idx="422" formatCode="0.0000">
                  <c:v>2.7319548617276044</c:v>
                </c:pt>
                <c:pt idx="423" formatCode="0.0000">
                  <c:v>2.0127528816919891</c:v>
                </c:pt>
                <c:pt idx="424" formatCode="0.0000">
                  <c:v>8.0210722200873033</c:v>
                </c:pt>
                <c:pt idx="425" formatCode="0.0000">
                  <c:v>2.4629964778208384</c:v>
                </c:pt>
                <c:pt idx="426" formatCode="0.0000">
                  <c:v>1.9926677523432998</c:v>
                </c:pt>
                <c:pt idx="427" formatCode="0.0000">
                  <c:v>1.8734174324641581</c:v>
                </c:pt>
                <c:pt idx="428" formatCode="0.0000">
                  <c:v>1.7992639877193477</c:v>
                </c:pt>
                <c:pt idx="429" formatCode="0.0000">
                  <c:v>1.7013996780994751</c:v>
                </c:pt>
                <c:pt idx="430" formatCode="0.0000">
                  <c:v>1.593093184584141</c:v>
                </c:pt>
                <c:pt idx="431" formatCode="0.0000">
                  <c:v>1.6048168329435024</c:v>
                </c:pt>
                <c:pt idx="432" formatCode="0.0000">
                  <c:v>1.5002614277719444</c:v>
                </c:pt>
                <c:pt idx="433" formatCode="0.0000">
                  <c:v>1.4865938531803748</c:v>
                </c:pt>
                <c:pt idx="434" formatCode="0.0000">
                  <c:v>1.3861071171567092</c:v>
                </c:pt>
                <c:pt idx="435" formatCode="0.0000">
                  <c:v>1.5476666242044625</c:v>
                </c:pt>
                <c:pt idx="436" formatCode="0.0000">
                  <c:v>1.3873017090618456</c:v>
                </c:pt>
                <c:pt idx="437" formatCode="0.0000">
                  <c:v>10.925654140199494</c:v>
                </c:pt>
                <c:pt idx="438" formatCode="0.0000">
                  <c:v>2.0022449601372356</c:v>
                </c:pt>
                <c:pt idx="439" formatCode="0.0000">
                  <c:v>3.1806010583674862</c:v>
                </c:pt>
                <c:pt idx="440" formatCode="0.0000">
                  <c:v>2.1494168061299725</c:v>
                </c:pt>
                <c:pt idx="441" formatCode="0.0000">
                  <c:v>5.2653997248670183</c:v>
                </c:pt>
                <c:pt idx="442" formatCode="0.0000">
                  <c:v>2.5770297849294757</c:v>
                </c:pt>
                <c:pt idx="443" formatCode="0.0000">
                  <c:v>2.267635919622685</c:v>
                </c:pt>
                <c:pt idx="444" formatCode="0.0000">
                  <c:v>2.3313266091391887</c:v>
                </c:pt>
                <c:pt idx="445" formatCode="0.0000">
                  <c:v>4.8469553716714842</c:v>
                </c:pt>
                <c:pt idx="446" formatCode="0.0000">
                  <c:v>2.281193493044853</c:v>
                </c:pt>
                <c:pt idx="447" formatCode="0.0000">
                  <c:v>2.238211883439237</c:v>
                </c:pt>
                <c:pt idx="448" formatCode="0.0000">
                  <c:v>2.127647291447246</c:v>
                </c:pt>
                <c:pt idx="449" formatCode="0.0000">
                  <c:v>2.1378267393832271</c:v>
                </c:pt>
                <c:pt idx="450" formatCode="0.0000">
                  <c:v>2.0272510342169747</c:v>
                </c:pt>
                <c:pt idx="451" formatCode="0.0000">
                  <c:v>1.9780212311591701</c:v>
                </c:pt>
                <c:pt idx="452" formatCode="0.0000">
                  <c:v>1.9530449793283979</c:v>
                </c:pt>
                <c:pt idx="453" formatCode="0.0000">
                  <c:v>1.8486444106292974</c:v>
                </c:pt>
                <c:pt idx="454" formatCode="0.0000">
                  <c:v>1.7449023106737185</c:v>
                </c:pt>
                <c:pt idx="455" formatCode="0.0000">
                  <c:v>1.6462225974367553</c:v>
                </c:pt>
                <c:pt idx="456" formatCode="0.0000">
                  <c:v>1.5500607500484915</c:v>
                </c:pt>
                <c:pt idx="457" formatCode="0.0000">
                  <c:v>2.6317929846422192</c:v>
                </c:pt>
                <c:pt idx="458" formatCode="0.0000">
                  <c:v>1.7286288018637752</c:v>
                </c:pt>
                <c:pt idx="459" formatCode="0.0000">
                  <c:v>1.689999688601064</c:v>
                </c:pt>
                <c:pt idx="460" formatCode="0.0000">
                  <c:v>1.5925974617576997</c:v>
                </c:pt>
                <c:pt idx="461" formatCode="0.0000">
                  <c:v>1.4985392255809915</c:v>
                </c:pt>
                <c:pt idx="462" formatCode="0.0000">
                  <c:v>1.4068973514711225</c:v>
                </c:pt>
                <c:pt idx="463" formatCode="0.0000">
                  <c:v>1.3364025540821776</c:v>
                </c:pt>
                <c:pt idx="464" formatCode="0.0000">
                  <c:v>1.2521991273502813</c:v>
                </c:pt>
                <c:pt idx="465" formatCode="0.0000">
                  <c:v>1.1708420289095867</c:v>
                </c:pt>
                <c:pt idx="466" formatCode="0.0000">
                  <c:v>1.0951768625882874</c:v>
                </c:pt>
                <c:pt idx="467" formatCode="0.0000">
                  <c:v>1.0282833474303676</c:v>
                </c:pt>
                <c:pt idx="468" formatCode="0.0000">
                  <c:v>0.98200504663824417</c:v>
                </c:pt>
                <c:pt idx="469" formatCode="0.0000">
                  <c:v>0.96633111940860694</c:v>
                </c:pt>
                <c:pt idx="470" formatCode="0.0000">
                  <c:v>0.95581434302267443</c:v>
                </c:pt>
                <c:pt idx="471" formatCode="0.0000">
                  <c:v>0.9462313225876362</c:v>
                </c:pt>
                <c:pt idx="472" formatCode="0.0000">
                  <c:v>0.995370874661056</c:v>
                </c:pt>
                <c:pt idx="473" formatCode="0.0000">
                  <c:v>0.98869261348019555</c:v>
                </c:pt>
                <c:pt idx="474" formatCode="0.0000">
                  <c:v>0.92863364274424332</c:v>
                </c:pt>
                <c:pt idx="475" formatCode="0.0000">
                  <c:v>0.91113415163592837</c:v>
                </c:pt>
                <c:pt idx="476" formatCode="0.0000">
                  <c:v>0.90077105396385515</c:v>
                </c:pt>
                <c:pt idx="477" formatCode="0.0000">
                  <c:v>0.89166564144405147</c:v>
                </c:pt>
                <c:pt idx="478" formatCode="0.0000">
                  <c:v>0.88761061256007268</c:v>
                </c:pt>
                <c:pt idx="479" formatCode="0.0000">
                  <c:v>0.87833422197111577</c:v>
                </c:pt>
                <c:pt idx="480" formatCode="0.0000">
                  <c:v>0.86621894449822401</c:v>
                </c:pt>
                <c:pt idx="481" formatCode="0.0000">
                  <c:v>0.85710960364025446</c:v>
                </c:pt>
                <c:pt idx="482" formatCode="0.0000">
                  <c:v>0.85265664530141094</c:v>
                </c:pt>
                <c:pt idx="483" formatCode="0.0000">
                  <c:v>0.84087032761571956</c:v>
                </c:pt>
                <c:pt idx="484" formatCode="0.0000">
                  <c:v>0.83202335599787203</c:v>
                </c:pt>
                <c:pt idx="485" formatCode="0.0000">
                  <c:v>0.82373202924519262</c:v>
                </c:pt>
                <c:pt idx="486" formatCode="0.0000">
                  <c:v>2.1134661373369283</c:v>
                </c:pt>
                <c:pt idx="487" formatCode="0.0000">
                  <c:v>1.077982884245837</c:v>
                </c:pt>
                <c:pt idx="488" formatCode="0.0000">
                  <c:v>1.0066579527840951</c:v>
                </c:pt>
                <c:pt idx="489" formatCode="0.0000">
                  <c:v>0.93589080858924878</c:v>
                </c:pt>
                <c:pt idx="490" formatCode="0.0000">
                  <c:v>0.86915715631023138</c:v>
                </c:pt>
                <c:pt idx="491" formatCode="0.0000">
                  <c:v>0.80487330451753147</c:v>
                </c:pt>
                <c:pt idx="492" formatCode="0.0000">
                  <c:v>0.77330963907662897</c:v>
                </c:pt>
                <c:pt idx="493" formatCode="0.0000">
                  <c:v>0.76176845228406276</c:v>
                </c:pt>
                <c:pt idx="494" formatCode="0.0000">
                  <c:v>0.75361183324268477</c:v>
                </c:pt>
                <c:pt idx="495" formatCode="0.0000">
                  <c:v>0.74607833610130514</c:v>
                </c:pt>
                <c:pt idx="496" formatCode="0.0000">
                  <c:v>0.73870913070705657</c:v>
                </c:pt>
                <c:pt idx="497" formatCode="0.0000">
                  <c:v>0.73142748047370143</c:v>
                </c:pt>
                <c:pt idx="498" formatCode="0.0000">
                  <c:v>0.72422005793064848</c:v>
                </c:pt>
                <c:pt idx="499" formatCode="0.0000">
                  <c:v>0.71844661017982647</c:v>
                </c:pt>
                <c:pt idx="500" formatCode="0.0000">
                  <c:v>0.7102445457010097</c:v>
                </c:pt>
                <c:pt idx="501" formatCode="0.0000">
                  <c:v>0.70305998407150272</c:v>
                </c:pt>
                <c:pt idx="502" formatCode="0.0000">
                  <c:v>0.69610164386759243</c:v>
                </c:pt>
                <c:pt idx="503" formatCode="0.0000">
                  <c:v>0.68923765736860187</c:v>
                </c:pt>
                <c:pt idx="504" formatCode="0.0000">
                  <c:v>0.68244558311386239</c:v>
                </c:pt>
                <c:pt idx="505" formatCode="0.0000">
                  <c:v>0.6757211429505714</c:v>
                </c:pt>
                <c:pt idx="506" formatCode="0.0000">
                  <c:v>0.66906307814019683</c:v>
                </c:pt>
                <c:pt idx="507" formatCode="0.0000">
                  <c:v>0.66247063638255332</c:v>
                </c:pt>
                <c:pt idx="508" formatCode="0.0000">
                  <c:v>0.65594315476851861</c:v>
                </c:pt>
                <c:pt idx="509" formatCode="0.0000">
                  <c:v>0.64947999052397776</c:v>
                </c:pt>
                <c:pt idx="510" formatCode="0.0000">
                  <c:v>0.64308050946548834</c:v>
                </c:pt>
                <c:pt idx="511" formatCode="0.0000">
                  <c:v>0.63674408403293137</c:v>
                </c:pt>
                <c:pt idx="512" formatCode="0.0000">
                  <c:v>0.63047009291184053</c:v>
                </c:pt>
                <c:pt idx="513" formatCode="0.0000">
                  <c:v>0.62425792092002241</c:v>
                </c:pt>
                <c:pt idx="514" formatCode="0.0000">
                  <c:v>0.61810695893853129</c:v>
                </c:pt>
                <c:pt idx="515" formatCode="0.0000">
                  <c:v>0.61201660385050005</c:v>
                </c:pt>
                <c:pt idx="516" formatCode="0.0000">
                  <c:v>0.60598625848176269</c:v>
                </c:pt>
                <c:pt idx="517" formatCode="0.0000">
                  <c:v>0.60001533154226006</c:v>
                </c:pt>
                <c:pt idx="518" formatCode="0.0000">
                  <c:v>0.59410323756805639</c:v>
                </c:pt>
                <c:pt idx="519" formatCode="0.0000">
                  <c:v>0.58824939686393163</c:v>
                </c:pt>
                <c:pt idx="520" formatCode="0.0000">
                  <c:v>0.58245323544654093</c:v>
                </c:pt>
                <c:pt idx="521" formatCode="0.0000">
                  <c:v>0.57671418498813387</c:v>
                </c:pt>
                <c:pt idx="522" formatCode="0.0000">
                  <c:v>0.57103168276082883</c:v>
                </c:pt>
                <c:pt idx="523" formatCode="0.0000">
                  <c:v>1.6739364300687929</c:v>
                </c:pt>
                <c:pt idx="524" formatCode="0.0000">
                  <c:v>0.87830113658068731</c:v>
                </c:pt>
                <c:pt idx="525" formatCode="0.0000">
                  <c:v>0.81638993515393232</c:v>
                </c:pt>
                <c:pt idx="526" formatCode="0.0000">
                  <c:v>0.75953267828622983</c:v>
                </c:pt>
                <c:pt idx="527" formatCode="0.0000">
                  <c:v>0.70330483622559492</c:v>
                </c:pt>
                <c:pt idx="528" formatCode="0.0000">
                  <c:v>0.65003440266923551</c:v>
                </c:pt>
                <c:pt idx="529" formatCode="0.0000">
                  <c:v>0.5980645346594391</c:v>
                </c:pt>
                <c:pt idx="530" formatCode="0.0000">
                  <c:v>0.60791771390593041</c:v>
                </c:pt>
                <c:pt idx="531" formatCode="0.0000">
                  <c:v>0.60455282687312872</c:v>
                </c:pt>
                <c:pt idx="532" formatCode="0.0000">
                  <c:v>0.56564608147854056</c:v>
                </c:pt>
                <c:pt idx="533" formatCode="0.0000">
                  <c:v>0.52014032176490776</c:v>
                </c:pt>
                <c:pt idx="534" formatCode="0.0000">
                  <c:v>0.50838903367185417</c:v>
                </c:pt>
                <c:pt idx="535" formatCode="0.0000">
                  <c:v>0.50228022454482746</c:v>
                </c:pt>
                <c:pt idx="536" formatCode="0.0000">
                  <c:v>0.49714868573922794</c:v>
                </c:pt>
                <c:pt idx="537" formatCode="0.0000">
                  <c:v>0.49221988589216153</c:v>
                </c:pt>
                <c:pt idx="538" formatCode="0.0000">
                  <c:v>0.48736490232430157</c:v>
                </c:pt>
                <c:pt idx="539" formatCode="0.0000">
                  <c:v>0.48256194623040416</c:v>
                </c:pt>
                <c:pt idx="540" formatCode="0.0000">
                  <c:v>0.47780701010738991</c:v>
                </c:pt>
                <c:pt idx="541" formatCode="0.0000">
                  <c:v>0.47309904087814819</c:v>
                </c:pt>
                <c:pt idx="542" formatCode="0.0000">
                  <c:v>0.46843747953607906</c:v>
                </c:pt>
                <c:pt idx="543" formatCode="0.0000">
                  <c:v>0.46382185284506278</c:v>
                </c:pt>
                <c:pt idx="544" formatCode="0.0000">
                  <c:v>0.45925170555034489</c:v>
                </c:pt>
                <c:pt idx="545" formatCode="0.0000">
                  <c:v>0.45472658909292052</c:v>
                </c:pt>
                <c:pt idx="546" formatCode="0.0000">
                  <c:v>0.45024605970026482</c:v>
                </c:pt>
                <c:pt idx="547" formatCode="0.0000">
                  <c:v>0.44580967803330263</c:v>
                </c:pt>
                <c:pt idx="548" formatCode="0.0000">
                  <c:v>0.44141700909196846</c:v>
                </c:pt>
                <c:pt idx="549" formatCode="0.0000">
                  <c:v>0.43706762216403172</c:v>
                </c:pt>
                <c:pt idx="550" formatCode="0.0000">
                  <c:v>0.43276109078145036</c:v>
                </c:pt>
                <c:pt idx="551" formatCode="0.0000">
                  <c:v>0.42849699267831909</c:v>
                </c:pt>
                <c:pt idx="552" formatCode="0.0000">
                  <c:v>0.42427490974942733</c:v>
                </c:pt>
                <c:pt idx="553" formatCode="0.0000">
                  <c:v>0.42009442800925578</c:v>
                </c:pt>
                <c:pt idx="554" formatCode="0.0000">
                  <c:v>0.41595513755138347</c:v>
                </c:pt>
                <c:pt idx="555" formatCode="0.0000">
                  <c:v>0.41185663250829468</c:v>
                </c:pt>
                <c:pt idx="556" formatCode="0.0000">
                  <c:v>0.40779851101158332</c:v>
                </c:pt>
                <c:pt idx="557" formatCode="0.0000">
                  <c:v>0.40378037515254833</c:v>
                </c:pt>
                <c:pt idx="558" formatCode="0.0000">
                  <c:v>0.39980183094317767</c:v>
                </c:pt>
                <c:pt idx="559" formatCode="0.0000">
                  <c:v>0.39586248827751741</c:v>
                </c:pt>
                <c:pt idx="560" formatCode="0.0000">
                  <c:v>0.42701045991342729</c:v>
                </c:pt>
                <c:pt idx="561" formatCode="0.0000">
                  <c:v>0.39391568559637774</c:v>
                </c:pt>
                <c:pt idx="562" formatCode="0.0000">
                  <c:v>0.38524088161146786</c:v>
                </c:pt>
                <c:pt idx="563" formatCode="0.0000">
                  <c:v>0.3806496024731239</c:v>
                </c:pt>
                <c:pt idx="564" formatCode="0.0000">
                  <c:v>0.37676698403104603</c:v>
                </c:pt>
                <c:pt idx="565" formatCode="0.0000">
                  <c:v>0.37303270771954422</c:v>
                </c:pt>
                <c:pt idx="566" formatCode="0.0000">
                  <c:v>0.36935349334990153</c:v>
                </c:pt>
                <c:pt idx="567" formatCode="0.0000">
                  <c:v>0.36571356235250524</c:v>
                </c:pt>
                <c:pt idx="568" formatCode="0.0000">
                  <c:v>0.36210999944784994</c:v>
                </c:pt>
                <c:pt idx="569" formatCode="0.0000">
                  <c:v>0.3599045736133959</c:v>
                </c:pt>
                <c:pt idx="570" formatCode="0.0000">
                  <c:v>0.36743936581362519</c:v>
                </c:pt>
                <c:pt idx="571" formatCode="0.0000">
                  <c:v>0.52224620388676346</c:v>
                </c:pt>
                <c:pt idx="572" formatCode="0.0000">
                  <c:v>0.79086803781243464</c:v>
                </c:pt>
                <c:pt idx="573" formatCode="0.0000">
                  <c:v>0.60920662604117026</c:v>
                </c:pt>
                <c:pt idx="574" formatCode="0.0000">
                  <c:v>0.55276585842056369</c:v>
                </c:pt>
                <c:pt idx="575" formatCode="0.0000">
                  <c:v>0.49705941079184035</c:v>
                </c:pt>
                <c:pt idx="576" formatCode="0.0000">
                  <c:v>0.44294705858422079</c:v>
                </c:pt>
                <c:pt idx="577" formatCode="0.0000">
                  <c:v>0.39164140172488537</c:v>
                </c:pt>
                <c:pt idx="578" formatCode="0.0000">
                  <c:v>0.34188377838194467</c:v>
                </c:pt>
                <c:pt idx="579" formatCode="0.0000">
                  <c:v>0.3270485348228101</c:v>
                </c:pt>
                <c:pt idx="580" formatCode="0.0000">
                  <c:v>0.32192332531264545</c:v>
                </c:pt>
                <c:pt idx="581" formatCode="0.0000">
                  <c:v>0.31843560734221449</c:v>
                </c:pt>
                <c:pt idx="582" formatCode="0.0000">
                  <c:v>0.31524559425272275</c:v>
                </c:pt>
                <c:pt idx="583" formatCode="0.0000">
                  <c:v>0.31213071072269155</c:v>
                </c:pt>
                <c:pt idx="584" formatCode="0.0000">
                  <c:v>0.31177886358744267</c:v>
                </c:pt>
                <c:pt idx="585" formatCode="0.0000">
                  <c:v>0.30646054216073121</c:v>
                </c:pt>
                <c:pt idx="586" formatCode="0.0000">
                  <c:v>0.30306817232534994</c:v>
                </c:pt>
                <c:pt idx="587" formatCode="0.0000">
                  <c:v>0.30002011814507867</c:v>
                </c:pt>
                <c:pt idx="588" formatCode="0.0000">
                  <c:v>0.34110603549841345</c:v>
                </c:pt>
                <c:pt idx="589" formatCode="0.0000">
                  <c:v>0.30143492661447713</c:v>
                </c:pt>
                <c:pt idx="590" formatCode="0.0000">
                  <c:v>0.2965272906804986</c:v>
                </c:pt>
                <c:pt idx="591" formatCode="0.0000">
                  <c:v>0.28923666670542131</c:v>
                </c:pt>
                <c:pt idx="592" formatCode="0.0000">
                  <c:v>0.28566179469606434</c:v>
                </c:pt>
                <c:pt idx="593" formatCode="0.0000">
                  <c:v>0.28272680474811207</c:v>
                </c:pt>
                <c:pt idx="594" formatCode="0.0000">
                  <c:v>0.27992106868329331</c:v>
                </c:pt>
                <c:pt idx="595" formatCode="0.0000">
                  <c:v>0.27852217422364883</c:v>
                </c:pt>
                <c:pt idx="596" formatCode="0.0000">
                  <c:v>0.27465425394120696</c:v>
                </c:pt>
                <c:pt idx="597" formatCode="0.0000">
                  <c:v>0.2717615782552768</c:v>
                </c:pt>
                <c:pt idx="598" formatCode="0.0000">
                  <c:v>0.26905290921100528</c:v>
                </c:pt>
                <c:pt idx="599" formatCode="0.0000">
                  <c:v>0.32564432497821733</c:v>
                </c:pt>
                <c:pt idx="600" formatCode="0.0000">
                  <c:v>0.27360233872223449</c:v>
                </c:pt>
                <c:pt idx="601" formatCode="0.0000">
                  <c:v>0.26280324534627419</c:v>
                </c:pt>
                <c:pt idx="602" formatCode="0.0000">
                  <c:v>0.25886916307135055</c:v>
                </c:pt>
                <c:pt idx="603" formatCode="0.0000">
                  <c:v>0.25609534235872511</c:v>
                </c:pt>
                <c:pt idx="604" formatCode="0.0000">
                  <c:v>0.25353495004195781</c:v>
                </c:pt>
                <c:pt idx="605" formatCode="0.0000">
                  <c:v>0.25103066617994246</c:v>
                </c:pt>
                <c:pt idx="606" formatCode="0.0000">
                  <c:v>0.24855618178681482</c:v>
                </c:pt>
                <c:pt idx="607" formatCode="0.0000">
                  <c:v>0.24610692936267248</c:v>
                </c:pt>
                <c:pt idx="608" formatCode="0.0000">
                  <c:v>0.24368195109918375</c:v>
                </c:pt>
                <c:pt idx="609" formatCode="0.0000">
                  <c:v>0.24128089013658968</c:v>
                </c:pt>
                <c:pt idx="610" formatCode="0.0000">
                  <c:v>0.23890349128452917</c:v>
                </c:pt>
                <c:pt idx="611" formatCode="0.0000">
                  <c:v>0.23654951815426978</c:v>
                </c:pt>
                <c:pt idx="612" formatCode="0.0000">
                  <c:v>0.23421873938890808</c:v>
                </c:pt>
                <c:pt idx="613" formatCode="0.0000">
                  <c:v>0.23191092635962024</c:v>
                </c:pt>
                <c:pt idx="614" formatCode="0.0000">
                  <c:v>0.22962585276473377</c:v>
                </c:pt>
                <c:pt idx="615" formatCode="0.0000">
                  <c:v>0.22736329454472859</c:v>
                </c:pt>
                <c:pt idx="616" formatCode="0.0000">
                  <c:v>0.22512302984984567</c:v>
                </c:pt>
                <c:pt idx="617" formatCode="0.0000">
                  <c:v>0.22290483901660429</c:v>
                </c:pt>
                <c:pt idx="618" formatCode="0.0000">
                  <c:v>0.22070850454597693</c:v>
                </c:pt>
                <c:pt idx="619" formatCode="0.0000">
                  <c:v>0.21853381108201508</c:v>
                </c:pt>
                <c:pt idx="620" formatCode="0.0000">
                  <c:v>0.21638054539072549</c:v>
                </c:pt>
                <c:pt idx="621" formatCode="0.0000">
                  <c:v>0.21424849633916013</c:v>
                </c:pt>
                <c:pt idx="622" formatCode="0.0000">
                  <c:v>0.21213745487471422</c:v>
                </c:pt>
                <c:pt idx="623" formatCode="0.0000">
                  <c:v>0.21004721400462839</c:v>
                </c:pt>
                <c:pt idx="624" formatCode="0.0000">
                  <c:v>0.20797756877569215</c:v>
                </c:pt>
                <c:pt idx="625" formatCode="0.0000">
                  <c:v>0.20592831625414776</c:v>
                </c:pt>
                <c:pt idx="626" formatCode="0.0000">
                  <c:v>0.2038992555057921</c:v>
                </c:pt>
                <c:pt idx="627" formatCode="0.0000">
                  <c:v>0.20189018757627458</c:v>
                </c:pt>
                <c:pt idx="628" formatCode="0.0000">
                  <c:v>0.20330728257910477</c:v>
                </c:pt>
                <c:pt idx="629" formatCode="0.0000">
                  <c:v>0.19849648419155064</c:v>
                </c:pt>
                <c:pt idx="630" formatCode="0.0000">
                  <c:v>0.1960747743060321</c:v>
                </c:pt>
                <c:pt idx="631" formatCode="0.0000">
                  <c:v>0.19406549697602793</c:v>
                </c:pt>
                <c:pt idx="632" formatCode="0.0000">
                  <c:v>0.19214049555802384</c:v>
                </c:pt>
                <c:pt idx="633" formatCode="0.0000">
                  <c:v>0.19024516088407256</c:v>
                </c:pt>
                <c:pt idx="634" formatCode="0.0000">
                  <c:v>0.18837027678779714</c:v>
                </c:pt>
                <c:pt idx="635" formatCode="0.0000">
                  <c:v>0.18651416097339787</c:v>
                </c:pt>
                <c:pt idx="636" formatCode="0.0000">
                  <c:v>0.18467638279543661</c:v>
                </c:pt>
                <c:pt idx="637" formatCode="0.0000">
                  <c:v>0.19648218922548413</c:v>
                </c:pt>
                <c:pt idx="638" formatCode="0.0000">
                  <c:v>0.29120958432978905</c:v>
                </c:pt>
                <c:pt idx="639" formatCode="0.0000">
                  <c:v>0.21057696448937324</c:v>
                </c:pt>
                <c:pt idx="640" formatCode="0.0000">
                  <c:v>0.18269940661332268</c:v>
                </c:pt>
                <c:pt idx="641" formatCode="0.0000">
                  <c:v>0.17661762170990908</c:v>
                </c:pt>
                <c:pt idx="642" formatCode="0.0000">
                  <c:v>0.17416689254418222</c:v>
                </c:pt>
                <c:pt idx="643" formatCode="0.0000">
                  <c:v>0.17233289127569645</c:v>
                </c:pt>
                <c:pt idx="644" formatCode="0.0000">
                  <c:v>0.17061529145463367</c:v>
                </c:pt>
                <c:pt idx="645" formatCode="0.0000">
                  <c:v>0.16893093217184582</c:v>
                </c:pt>
                <c:pt idx="646" formatCode="0.0000">
                  <c:v>0.16726587680196861</c:v>
                </c:pt>
                <c:pt idx="647" formatCode="0.0000">
                  <c:v>0.16561767689511808</c:v>
                </c:pt>
                <c:pt idx="648" formatCode="0.0000">
                  <c:v>0.16398579164571089</c:v>
                </c:pt>
                <c:pt idx="649" formatCode="0.0000">
                  <c:v>0.16236999812110167</c:v>
                </c:pt>
                <c:pt idx="650" formatCode="0.0000">
                  <c:v>0.16077012744769953</c:v>
                </c:pt>
                <c:pt idx="651" formatCode="0.0000">
                  <c:v>0.15918602102172885</c:v>
                </c:pt>
                <c:pt idx="652" formatCode="0.0000">
                  <c:v>0.15761752323020045</c:v>
                </c:pt>
                <c:pt idx="653" formatCode="0.0000">
                  <c:v>0.18970584485188779</c:v>
                </c:pt>
                <c:pt idx="654" formatCode="0.0000">
                  <c:v>0.16215288454452015</c:v>
                </c:pt>
                <c:pt idx="655" formatCode="0.0000">
                  <c:v>0.39440063520183488</c:v>
                </c:pt>
                <c:pt idx="656" formatCode="0.0000">
                  <c:v>0.33959645058840093</c:v>
                </c:pt>
                <c:pt idx="657" formatCode="0.0000">
                  <c:v>3.8378241686790266</c:v>
                </c:pt>
                <c:pt idx="658" formatCode="0.0000">
                  <c:v>0.89155784055762777</c:v>
                </c:pt>
                <c:pt idx="659" formatCode="0.0000">
                  <c:v>2.1634670084950778</c:v>
                </c:pt>
                <c:pt idx="660" formatCode="0.0000">
                  <c:v>1.0740389729535746</c:v>
                </c:pt>
                <c:pt idx="661" formatCode="0.0000">
                  <c:v>0.96992975593689501</c:v>
                </c:pt>
                <c:pt idx="662" formatCode="0.0000">
                  <c:v>1.4361584960933977</c:v>
                </c:pt>
                <c:pt idx="663" formatCode="0.0000">
                  <c:v>1.1550990904643057</c:v>
                </c:pt>
                <c:pt idx="664" formatCode="0.0000">
                  <c:v>1.0474878135376002</c:v>
                </c:pt>
                <c:pt idx="665" formatCode="0.0000">
                  <c:v>1.0279619202055952</c:v>
                </c:pt>
                <c:pt idx="666" formatCode="0.0000">
                  <c:v>1.0319832242325429</c:v>
                </c:pt>
                <c:pt idx="667" formatCode="0.0000">
                  <c:v>0.99302156442763878</c:v>
                </c:pt>
                <c:pt idx="668" formatCode="0.0000">
                  <c:v>1.151068140752203</c:v>
                </c:pt>
                <c:pt idx="669" formatCode="0.0000">
                  <c:v>1.0422171541905403</c:v>
                </c:pt>
                <c:pt idx="670" formatCode="0.0000">
                  <c:v>0.94685098480549901</c:v>
                </c:pt>
                <c:pt idx="671" formatCode="0.0000">
                  <c:v>0.88996922321318828</c:v>
                </c:pt>
                <c:pt idx="672" formatCode="0.0000">
                  <c:v>0.7874532098653455</c:v>
                </c:pt>
                <c:pt idx="673" formatCode="0.0000">
                  <c:v>0.7756828932243458</c:v>
                </c:pt>
                <c:pt idx="674" formatCode="0.0000">
                  <c:v>0.67791539928352174</c:v>
                </c:pt>
                <c:pt idx="675" formatCode="0.0000">
                  <c:v>0.59761423929225388</c:v>
                </c:pt>
                <c:pt idx="676" formatCode="0.0000">
                  <c:v>0.58111794694456098</c:v>
                </c:pt>
                <c:pt idx="677" formatCode="0.0000">
                  <c:v>0.48954529218374043</c:v>
                </c:pt>
                <c:pt idx="678" formatCode="0.0000">
                  <c:v>0.49071320803622265</c:v>
                </c:pt>
                <c:pt idx="679" formatCode="0.0000">
                  <c:v>0.43860633932511695</c:v>
                </c:pt>
                <c:pt idx="680" formatCode="0.0000">
                  <c:v>0.35504627142905498</c:v>
                </c:pt>
                <c:pt idx="681" formatCode="0.0000">
                  <c:v>0.33935896934450827</c:v>
                </c:pt>
                <c:pt idx="682" formatCode="0.0000">
                  <c:v>0.25600614059569426</c:v>
                </c:pt>
                <c:pt idx="683" formatCode="0.0000">
                  <c:v>0.18828501477363499</c:v>
                </c:pt>
                <c:pt idx="684" formatCode="0.0000">
                  <c:v>0.12681502664662656</c:v>
                </c:pt>
                <c:pt idx="685" formatCode="0.0000">
                  <c:v>0.1156732317296036</c:v>
                </c:pt>
                <c:pt idx="686" formatCode="0.0000">
                  <c:v>0.112891991138501</c:v>
                </c:pt>
                <c:pt idx="687" formatCode="0.0000">
                  <c:v>0.12785781963405446</c:v>
                </c:pt>
                <c:pt idx="688" formatCode="0.0000">
                  <c:v>0.11716414467341768</c:v>
                </c:pt>
                <c:pt idx="689" formatCode="0.0000">
                  <c:v>1.6336322330563864</c:v>
                </c:pt>
                <c:pt idx="690" formatCode="0.0000">
                  <c:v>1.1157556015437984</c:v>
                </c:pt>
                <c:pt idx="691" formatCode="0.0000">
                  <c:v>0.60052698521563708</c:v>
                </c:pt>
                <c:pt idx="692" formatCode="0.0000">
                  <c:v>0.52576858736911936</c:v>
                </c:pt>
                <c:pt idx="693" formatCode="0.0000">
                  <c:v>0.56305727226552627</c:v>
                </c:pt>
                <c:pt idx="694" formatCode="0.0000">
                  <c:v>2.0910362646645466</c:v>
                </c:pt>
                <c:pt idx="695" formatCode="0.0000">
                  <c:v>1.1605202054908925</c:v>
                </c:pt>
                <c:pt idx="696" formatCode="0.0000">
                  <c:v>0.91283770924292862</c:v>
                </c:pt>
                <c:pt idx="697" formatCode="0.0000">
                  <c:v>0.80733663688873103</c:v>
                </c:pt>
                <c:pt idx="698" formatCode="0.0000">
                  <c:v>0.70738789547167424</c:v>
                </c:pt>
                <c:pt idx="699" formatCode="0.0000">
                  <c:v>1.0653800502440052</c:v>
                </c:pt>
                <c:pt idx="700" formatCode="0.0000">
                  <c:v>2.1805939342581175</c:v>
                </c:pt>
                <c:pt idx="701" formatCode="0.0000">
                  <c:v>1.0556983847466406</c:v>
                </c:pt>
                <c:pt idx="702" formatCode="0.0000">
                  <c:v>0.94547569138480059</c:v>
                </c:pt>
                <c:pt idx="703" formatCode="0.0000">
                  <c:v>0.84097329751864902</c:v>
                </c:pt>
                <c:pt idx="704" formatCode="0.0000">
                  <c:v>0.74168951589446031</c:v>
                </c:pt>
                <c:pt idx="705" formatCode="0.0000">
                  <c:v>0.64721784549469152</c:v>
                </c:pt>
                <c:pt idx="706" formatCode="0.0000">
                  <c:v>0.55570881493117397</c:v>
                </c:pt>
                <c:pt idx="707" formatCode="0.0000">
                  <c:v>0.4653759116365967</c:v>
                </c:pt>
                <c:pt idx="708" formatCode="0.0000">
                  <c:v>0.37817285348431384</c:v>
                </c:pt>
                <c:pt idx="709" formatCode="0.0000">
                  <c:v>0.29391706673393003</c:v>
                </c:pt>
                <c:pt idx="710" formatCode="0.0000">
                  <c:v>0.21197217024627282</c:v>
                </c:pt>
                <c:pt idx="711" formatCode="0.0000">
                  <c:v>0.13673961414171235</c:v>
                </c:pt>
                <c:pt idx="712" formatCode="0.0000">
                  <c:v>9.5119875976377069E-2</c:v>
                </c:pt>
                <c:pt idx="713" formatCode="0.0000">
                  <c:v>8.7499981280640085E-2</c:v>
                </c:pt>
                <c:pt idx="714" formatCode="0.0000">
                  <c:v>8.5528927736372204E-2</c:v>
                </c:pt>
                <c:pt idx="715" formatCode="0.0000">
                  <c:v>8.4502184810162709E-2</c:v>
                </c:pt>
                <c:pt idx="716" formatCode="0.0000">
                  <c:v>8.3639031371287517E-2</c:v>
                </c:pt>
                <c:pt idx="717" formatCode="0.0000">
                  <c:v>0.15432029041450651</c:v>
                </c:pt>
                <c:pt idx="718" formatCode="0.0000">
                  <c:v>9.611584374664639E-2</c:v>
                </c:pt>
                <c:pt idx="719" formatCode="0.0000">
                  <c:v>8.3528509192621558E-2</c:v>
                </c:pt>
                <c:pt idx="720" formatCode="0.0000">
                  <c:v>0.51698050506629278</c:v>
                </c:pt>
                <c:pt idx="721" formatCode="0.0000">
                  <c:v>0.25268308098741421</c:v>
                </c:pt>
                <c:pt idx="722" formatCode="0.0000">
                  <c:v>0.1941804076528113</c:v>
                </c:pt>
                <c:pt idx="723" formatCode="0.0000">
                  <c:v>2.7560229061895578</c:v>
                </c:pt>
                <c:pt idx="724" formatCode="0.0000">
                  <c:v>0.53747799093091819</c:v>
                </c:pt>
                <c:pt idx="725" formatCode="0.0000">
                  <c:v>0.44740046031563152</c:v>
                </c:pt>
                <c:pt idx="726" formatCode="0.0000">
                  <c:v>2.1862324162755917</c:v>
                </c:pt>
                <c:pt idx="727" formatCode="0.0000">
                  <c:v>0.77663890114260425</c:v>
                </c:pt>
                <c:pt idx="728" formatCode="0.0000">
                  <c:v>0.67828302930646545</c:v>
                </c:pt>
                <c:pt idx="729" formatCode="0.0000">
                  <c:v>5.2890859139355229</c:v>
                </c:pt>
                <c:pt idx="730" formatCode="0.0000">
                  <c:v>1.2401367590200183</c:v>
                </c:pt>
                <c:pt idx="731" formatCode="0.0000">
                  <c:v>1.2192828041864159</c:v>
                </c:pt>
                <c:pt idx="732" formatCode="0.0000">
                  <c:v>1.3516793309094797</c:v>
                </c:pt>
                <c:pt idx="733" formatCode="0.0000">
                  <c:v>1.2659630002399667</c:v>
                </c:pt>
                <c:pt idx="734" formatCode="0.0000">
                  <c:v>1.2745164648613936</c:v>
                </c:pt>
                <c:pt idx="735" formatCode="0.0000">
                  <c:v>1.2459357641212574</c:v>
                </c:pt>
              </c:numCache>
            </c:numRef>
          </c:yVal>
          <c:smooth val="0"/>
          <c:extLst>
            <c:ext xmlns:c16="http://schemas.microsoft.com/office/drawing/2014/chart" uri="{C3380CC4-5D6E-409C-BE32-E72D297353CC}">
              <c16:uniqueId val="{00000000-232F-9B44-9BE3-F3FB74B15743}"/>
            </c:ext>
          </c:extLst>
        </c:ser>
        <c:ser>
          <c:idx val="1"/>
          <c:order val="1"/>
          <c:tx>
            <c:strRef>
              <c:f>Escenarios!$E$28</c:f>
              <c:strCache>
                <c:ptCount val="1"/>
                <c:pt idx="0">
                  <c:v>Escenario 1</c:v>
                </c:pt>
              </c:strCache>
            </c:strRef>
          </c:tx>
          <c:spPr>
            <a:ln w="12700"/>
          </c:spPr>
          <c:marker>
            <c:symbol val="none"/>
          </c:marker>
          <c:xVal>
            <c:strRef>
              <c:f>Escenario1!$C:$C</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Escenario1!$BN:$BN</c:f>
              <c:numCache>
                <c:formatCode>General</c:formatCode>
                <c:ptCount val="1048576"/>
                <c:pt idx="4">
                  <c:v>0</c:v>
                </c:pt>
                <c:pt idx="6" formatCode="0.0000">
                  <c:v>1.188014580406195</c:v>
                </c:pt>
                <c:pt idx="7" formatCode="0.0000">
                  <c:v>1.1126667170467981</c:v>
                </c:pt>
                <c:pt idx="8" formatCode="0.0000">
                  <c:v>1.2745523945215478</c:v>
                </c:pt>
                <c:pt idx="9" formatCode="0.0000">
                  <c:v>1.2429257022053259</c:v>
                </c:pt>
                <c:pt idx="10" formatCode="0.0000">
                  <c:v>1.3192446349670273</c:v>
                </c:pt>
                <c:pt idx="11" formatCode="0.0000">
                  <c:v>1.4338005299955028</c:v>
                </c:pt>
                <c:pt idx="12" formatCode="0.0000">
                  <c:v>1.3536057718643828</c:v>
                </c:pt>
                <c:pt idx="13" formatCode="0.0000">
                  <c:v>1.2544383719409578</c:v>
                </c:pt>
                <c:pt idx="14" formatCode="0.0000">
                  <c:v>1.1585695041788577</c:v>
                </c:pt>
                <c:pt idx="15" formatCode="0.0000">
                  <c:v>1.0686503927407915</c:v>
                </c:pt>
                <c:pt idx="16" formatCode="0.0000">
                  <c:v>1.0667748871341871</c:v>
                </c:pt>
                <c:pt idx="17" formatCode="0.0000">
                  <c:v>1.4529694577386545</c:v>
                </c:pt>
                <c:pt idx="18" formatCode="0.0000">
                  <c:v>1.3630076577950656</c:v>
                </c:pt>
                <c:pt idx="19" formatCode="0.0000">
                  <c:v>1.2760280186441468</c:v>
                </c:pt>
                <c:pt idx="20" formatCode="0.0000">
                  <c:v>1.1948316534244849</c:v>
                </c:pt>
                <c:pt idx="21" formatCode="0.0000">
                  <c:v>1.1007071547473577</c:v>
                </c:pt>
                <c:pt idx="22" formatCode="0.0000">
                  <c:v>1.2742334382568163</c:v>
                </c:pt>
                <c:pt idx="23" formatCode="0.0000">
                  <c:v>1.2551698345910227</c:v>
                </c:pt>
                <c:pt idx="24" formatCode="0.0000">
                  <c:v>1.3973680126865413</c:v>
                </c:pt>
                <c:pt idx="25" formatCode="0.0000">
                  <c:v>1.4317970981096502</c:v>
                </c:pt>
                <c:pt idx="26" formatCode="0.0000">
                  <c:v>1.4514796763311699</c:v>
                </c:pt>
                <c:pt idx="27" formatCode="0.0000">
                  <c:v>1.3529574984390769</c:v>
                </c:pt>
                <c:pt idx="28" formatCode="0.0000">
                  <c:v>1.5585738511906797</c:v>
                </c:pt>
                <c:pt idx="29" formatCode="0.0000">
                  <c:v>1.5309849023387958</c:v>
                </c:pt>
                <c:pt idx="30" formatCode="0.0000">
                  <c:v>1.4294766267691843</c:v>
                </c:pt>
                <c:pt idx="31" formatCode="0.0000">
                  <c:v>1.451145578959371</c:v>
                </c:pt>
                <c:pt idx="32" formatCode="0.0000">
                  <c:v>1.3541550943482246</c:v>
                </c:pt>
                <c:pt idx="33" formatCode="0.0000">
                  <c:v>1.2576735552993668</c:v>
                </c:pt>
                <c:pt idx="34" formatCode="0.0000">
                  <c:v>1.2181126166498535</c:v>
                </c:pt>
                <c:pt idx="35" formatCode="0.0000">
                  <c:v>1.2820934111082942</c:v>
                </c:pt>
                <c:pt idx="36" formatCode="0.0000">
                  <c:v>1.2813623137105223</c:v>
                </c:pt>
                <c:pt idx="37" formatCode="0.0000">
                  <c:v>1.2282437713550773</c:v>
                </c:pt>
                <c:pt idx="38" formatCode="0.0000">
                  <c:v>1.1991157908554828</c:v>
                </c:pt>
                <c:pt idx="39" formatCode="0.0000">
                  <c:v>1.103569800009798</c:v>
                </c:pt>
                <c:pt idx="40" formatCode="0.0000">
                  <c:v>1.1120780296593968</c:v>
                </c:pt>
                <c:pt idx="41" formatCode="0.0000">
                  <c:v>1.0186186231291026</c:v>
                </c:pt>
                <c:pt idx="42" formatCode="0.0000">
                  <c:v>0.92726993095489285</c:v>
                </c:pt>
                <c:pt idx="43" formatCode="0.0000">
                  <c:v>1.2453068819576705</c:v>
                </c:pt>
                <c:pt idx="44" formatCode="0.0000">
                  <c:v>1.1469225608206703</c:v>
                </c:pt>
                <c:pt idx="45" formatCode="0.0000">
                  <c:v>1.1156422550959293</c:v>
                </c:pt>
                <c:pt idx="46" formatCode="0.0000">
                  <c:v>1.5377667830731405</c:v>
                </c:pt>
                <c:pt idx="47" formatCode="0.0000">
                  <c:v>1.4364290169551752</c:v>
                </c:pt>
                <c:pt idx="48" formatCode="0.0000">
                  <c:v>1.3924975812282754</c:v>
                </c:pt>
                <c:pt idx="49" formatCode="0.0000">
                  <c:v>1.3156456479236587</c:v>
                </c:pt>
                <c:pt idx="50" formatCode="0.0000">
                  <c:v>1.2181884334693334</c:v>
                </c:pt>
                <c:pt idx="51" formatCode="0.0000">
                  <c:v>1.1742353144947584</c:v>
                </c:pt>
                <c:pt idx="52" formatCode="0.0000">
                  <c:v>1.5407229923009138</c:v>
                </c:pt>
                <c:pt idx="53" formatCode="0.0000">
                  <c:v>1.478946407637026</c:v>
                </c:pt>
                <c:pt idx="54" formatCode="0.0000">
                  <c:v>1.5893772597089169</c:v>
                </c:pt>
                <c:pt idx="55" formatCode="0.0000">
                  <c:v>1.4861365442959045</c:v>
                </c:pt>
                <c:pt idx="56" formatCode="0.0000">
                  <c:v>1.7222282332156915</c:v>
                </c:pt>
                <c:pt idx="57" formatCode="0.0000">
                  <c:v>1.7949352324596832</c:v>
                </c:pt>
                <c:pt idx="58" formatCode="0.0000">
                  <c:v>1.822561995763375</c:v>
                </c:pt>
                <c:pt idx="59" formatCode="0.0000">
                  <c:v>2.0009057277548794</c:v>
                </c:pt>
                <c:pt idx="60" formatCode="0.0000">
                  <c:v>2.0440374506019983</c:v>
                </c:pt>
                <c:pt idx="61" formatCode="0.0000">
                  <c:v>1.9540337568010053</c:v>
                </c:pt>
                <c:pt idx="62" formatCode="0.0000">
                  <c:v>1.8504388519941628</c:v>
                </c:pt>
                <c:pt idx="63" formatCode="0.0000">
                  <c:v>1.786451455010222</c:v>
                </c:pt>
                <c:pt idx="64" formatCode="0.0000">
                  <c:v>1.7015414527067829</c:v>
                </c:pt>
                <c:pt idx="65" formatCode="0.0000">
                  <c:v>1.6073635346733324</c:v>
                </c:pt>
                <c:pt idx="66" formatCode="0.0000">
                  <c:v>1.6187608944412235</c:v>
                </c:pt>
                <c:pt idx="67" formatCode="0.0000">
                  <c:v>1.5277440850531312</c:v>
                </c:pt>
                <c:pt idx="68" formatCode="0.0000">
                  <c:v>1.516650786238172</c:v>
                </c:pt>
                <c:pt idx="69" formatCode="0.0000">
                  <c:v>1.4290528625574308</c:v>
                </c:pt>
                <c:pt idx="70" formatCode="0.0000">
                  <c:v>1.5194316568953392</c:v>
                </c:pt>
                <c:pt idx="71" formatCode="0.0000">
                  <c:v>1.4333904418394721</c:v>
                </c:pt>
                <c:pt idx="72" formatCode="0.0000">
                  <c:v>2.0520768116272512</c:v>
                </c:pt>
                <c:pt idx="73" formatCode="0.0000">
                  <c:v>2.009454667137911</c:v>
                </c:pt>
                <c:pt idx="74" formatCode="0.0000">
                  <c:v>2.1015433760765703</c:v>
                </c:pt>
                <c:pt idx="75" formatCode="0.0000">
                  <c:v>2.1142912183471343</c:v>
                </c:pt>
                <c:pt idx="76" formatCode="0.0000">
                  <c:v>2.2440734423536806</c:v>
                </c:pt>
                <c:pt idx="77" formatCode="0.0000">
                  <c:v>2.2816246260823529</c:v>
                </c:pt>
                <c:pt idx="78" formatCode="0.0000">
                  <c:v>2.2768726060687237</c:v>
                </c:pt>
                <c:pt idx="79" formatCode="0.0000">
                  <c:v>2.2891565788256911</c:v>
                </c:pt>
                <c:pt idx="80" formatCode="0.0000">
                  <c:v>2.4051140705546086</c:v>
                </c:pt>
                <c:pt idx="81" formatCode="0.0000">
                  <c:v>2.306529533804099</c:v>
                </c:pt>
                <c:pt idx="82" formatCode="0.0000">
                  <c:v>2.2693072411346455</c:v>
                </c:pt>
                <c:pt idx="83" formatCode="0.0000">
                  <c:v>2.1725856784229247</c:v>
                </c:pt>
                <c:pt idx="84" formatCode="0.0000">
                  <c:v>2.1821034379392406</c:v>
                </c:pt>
                <c:pt idx="85" formatCode="0.0000">
                  <c:v>2.0853242813596422</c:v>
                </c:pt>
                <c:pt idx="86" formatCode="0.0000">
                  <c:v>2.0425006878062573</c:v>
                </c:pt>
                <c:pt idx="87" formatCode="0.0000">
                  <c:v>2.0209856614545623</c:v>
                </c:pt>
                <c:pt idx="88" formatCode="0.0000">
                  <c:v>1.9295455220082485</c:v>
                </c:pt>
                <c:pt idx="89" formatCode="0.0000">
                  <c:v>1.8386545465966564</c:v>
                </c:pt>
                <c:pt idx="90" formatCode="0.0000">
                  <c:v>1.7521629223008577</c:v>
                </c:pt>
                <c:pt idx="91" formatCode="0.0000">
                  <c:v>1.6678397320730884</c:v>
                </c:pt>
                <c:pt idx="92" formatCode="0.0000">
                  <c:v>1.9387873316292428</c:v>
                </c:pt>
                <c:pt idx="93" formatCode="0.0000">
                  <c:v>1.8487882766655632</c:v>
                </c:pt>
                <c:pt idx="94" formatCode="0.0000">
                  <c:v>1.8142369968270933</c:v>
                </c:pt>
                <c:pt idx="95" formatCode="0.0000">
                  <c:v>1.7279440219925823</c:v>
                </c:pt>
                <c:pt idx="96" formatCode="0.0000">
                  <c:v>1.6445539542677303</c:v>
                </c:pt>
                <c:pt idx="97" formatCode="0.0000">
                  <c:v>1.5632466189483762</c:v>
                </c:pt>
                <c:pt idx="98" formatCode="0.0000">
                  <c:v>1.5004932890654186</c:v>
                </c:pt>
                <c:pt idx="99" formatCode="0.0000">
                  <c:v>1.425606635161734</c:v>
                </c:pt>
                <c:pt idx="100" formatCode="0.0000">
                  <c:v>1.3531478022901873</c:v>
                </c:pt>
                <c:pt idx="101" formatCode="0.0000">
                  <c:v>1.2855975603990222</c:v>
                </c:pt>
                <c:pt idx="102" formatCode="0.0000">
                  <c:v>1.225670487147914</c:v>
                </c:pt>
                <c:pt idx="103" formatCode="0.0000">
                  <c:v>1.1698250751568473</c:v>
                </c:pt>
                <c:pt idx="104" formatCode="0.0000">
                  <c:v>1.152899687228671</c:v>
                </c:pt>
                <c:pt idx="105" formatCode="0.0000">
                  <c:v>1.1425890078169509</c:v>
                </c:pt>
                <c:pt idx="106" formatCode="0.0000">
                  <c:v>1.1331862161732069</c:v>
                </c:pt>
                <c:pt idx="107" formatCode="0.0000">
                  <c:v>1.1747323618633234</c:v>
                </c:pt>
                <c:pt idx="108" formatCode="0.0000">
                  <c:v>1.1675138430242897</c:v>
                </c:pt>
                <c:pt idx="109" formatCode="0.0000">
                  <c:v>1.1131650025026305</c:v>
                </c:pt>
                <c:pt idx="110" formatCode="0.0000">
                  <c:v>1.0959357050083673</c:v>
                </c:pt>
                <c:pt idx="111" formatCode="0.0000">
                  <c:v>1.0848831210522121</c:v>
                </c:pt>
                <c:pt idx="112" formatCode="0.0000">
                  <c:v>1.0745338072798845</c:v>
                </c:pt>
                <c:pt idx="113" formatCode="0.0000">
                  <c:v>1.0678501101041011</c:v>
                </c:pt>
                <c:pt idx="114" formatCode="0.0000">
                  <c:v>1.0570798241997197</c:v>
                </c:pt>
                <c:pt idx="115" formatCode="0.0000">
                  <c:v>1.0438200026843683</c:v>
                </c:pt>
                <c:pt idx="116" formatCode="0.0000">
                  <c:v>1.0336395794240243</c:v>
                </c:pt>
                <c:pt idx="117" formatCode="0.0000">
                  <c:v>1.0267817262623846</c:v>
                </c:pt>
                <c:pt idx="118" formatCode="0.0000">
                  <c:v>1.0139061485236691</c:v>
                </c:pt>
                <c:pt idx="119" formatCode="0.0000">
                  <c:v>1.0039843274925353</c:v>
                </c:pt>
                <c:pt idx="120" formatCode="0.0000">
                  <c:v>0.99428915973093313</c:v>
                </c:pt>
                <c:pt idx="121" formatCode="0.0000">
                  <c:v>1.3109620821982273</c:v>
                </c:pt>
                <c:pt idx="122" formatCode="0.0000">
                  <c:v>1.2403080039627916</c:v>
                </c:pt>
                <c:pt idx="123" formatCode="0.0000">
                  <c:v>1.1741215241497776</c:v>
                </c:pt>
                <c:pt idx="124" formatCode="0.0000">
                  <c:v>1.1084846951918099</c:v>
                </c:pt>
                <c:pt idx="125" formatCode="0.0000">
                  <c:v>1.0464438155967799</c:v>
                </c:pt>
                <c:pt idx="126" formatCode="0.0000">
                  <c:v>0.98660872880871753</c:v>
                </c:pt>
                <c:pt idx="127" formatCode="0.0000">
                  <c:v>0.93668932062912635</c:v>
                </c:pt>
                <c:pt idx="128" formatCode="0.0000">
                  <c:v>0.92094004825952025</c:v>
                </c:pt>
                <c:pt idx="129" formatCode="0.0000">
                  <c:v>0.91116913401404431</c:v>
                </c:pt>
                <c:pt idx="130" formatCode="0.0000">
                  <c:v>0.90236948067771661</c:v>
                </c:pt>
                <c:pt idx="131" formatCode="0.0000">
                  <c:v>0.89365374304716627</c:v>
                </c:pt>
                <c:pt idx="132" formatCode="0.0000">
                  <c:v>0.88502114378368124</c:v>
                </c:pt>
                <c:pt idx="133" formatCode="0.0000">
                  <c:v>0.87647086614974401</c:v>
                </c:pt>
                <c:pt idx="134" formatCode="0.0000">
                  <c:v>0.86875059472844496</c:v>
                </c:pt>
                <c:pt idx="135" formatCode="0.0000">
                  <c:v>0.85961436846831851</c:v>
                </c:pt>
                <c:pt idx="136" formatCode="0.0000">
                  <c:v>0.85130657627243855</c:v>
                </c:pt>
                <c:pt idx="137" formatCode="0.0000">
                  <c:v>0.84307800861082682</c:v>
                </c:pt>
                <c:pt idx="138" formatCode="0.0000">
                  <c:v>0.83492792653964987</c:v>
                </c:pt>
                <c:pt idx="139" formatCode="0.0000">
                  <c:v>0.82685559178701029</c:v>
                </c:pt>
                <c:pt idx="140" formatCode="0.0000">
                  <c:v>0.81886026211459595</c:v>
                </c:pt>
                <c:pt idx="141" formatCode="0.0000">
                  <c:v>0.81094119022710509</c:v>
                </c:pt>
                <c:pt idx="142" formatCode="0.0000">
                  <c:v>0.80309766460982202</c:v>
                </c:pt>
                <c:pt idx="143" formatCode="0.0000">
                  <c:v>0.795328953873362</c:v>
                </c:pt>
                <c:pt idx="144" formatCode="0.0000">
                  <c:v>0.78763433872760225</c:v>
                </c:pt>
                <c:pt idx="145" formatCode="0.0000">
                  <c:v>0.78001312790418231</c:v>
                </c:pt>
                <c:pt idx="146" formatCode="0.0000">
                  <c:v>0.7724645995906303</c:v>
                </c:pt>
                <c:pt idx="147" formatCode="0.0000">
                  <c:v>0.76498805549464988</c:v>
                </c:pt>
                <c:pt idx="148" formatCode="0.0000">
                  <c:v>0.75758282290960388</c:v>
                </c:pt>
                <c:pt idx="149" formatCode="0.0000">
                  <c:v>0.75024823436829013</c:v>
                </c:pt>
                <c:pt idx="150" formatCode="0.0000">
                  <c:v>0.74298361969675619</c:v>
                </c:pt>
                <c:pt idx="151" formatCode="0.0000">
                  <c:v>0.7357883186205717</c:v>
                </c:pt>
                <c:pt idx="152" formatCode="0.0000">
                  <c:v>0.72866165583468612</c:v>
                </c:pt>
                <c:pt idx="153" formatCode="0.0000">
                  <c:v>0.72160297206590507</c:v>
                </c:pt>
                <c:pt idx="154" formatCode="0.0000">
                  <c:v>0.71461162971679704</c:v>
                </c:pt>
                <c:pt idx="155" formatCode="0.0000">
                  <c:v>0.70768698745624359</c:v>
                </c:pt>
                <c:pt idx="156" formatCode="0.0000">
                  <c:v>0.70082841881058056</c:v>
                </c:pt>
                <c:pt idx="157" formatCode="0.0000">
                  <c:v>0.6940352884851545</c:v>
                </c:pt>
                <c:pt idx="158" formatCode="0.0000">
                  <c:v>0.99695847303924168</c:v>
                </c:pt>
                <c:pt idx="159" formatCode="0.0000">
                  <c:v>0.98288073432750589</c:v>
                </c:pt>
                <c:pt idx="160" formatCode="0.0000">
                  <c:v>0.92576405177375154</c:v>
                </c:pt>
                <c:pt idx="161" formatCode="0.0000">
                  <c:v>0.87313898817492586</c:v>
                </c:pt>
                <c:pt idx="162" formatCode="0.0000">
                  <c:v>0.82111046776193497</c:v>
                </c:pt>
                <c:pt idx="163" formatCode="0.0000">
                  <c:v>0.77172762074206591</c:v>
                </c:pt>
                <c:pt idx="164" formatCode="0.0000">
                  <c:v>0.72353033360153496</c:v>
                </c:pt>
                <c:pt idx="165" formatCode="0.0000">
                  <c:v>0.7297816704361082</c:v>
                </c:pt>
                <c:pt idx="166" formatCode="0.0000">
                  <c:v>0.72444485375861489</c:v>
                </c:pt>
                <c:pt idx="167" formatCode="0.0000">
                  <c:v>0.68786657928691441</c:v>
                </c:pt>
                <c:pt idx="168" formatCode="0.0000">
                  <c:v>0.64194439496052325</c:v>
                </c:pt>
                <c:pt idx="169" formatCode="0.0000">
                  <c:v>0.620383281642086</c:v>
                </c:pt>
                <c:pt idx="170" formatCode="0.0000">
                  <c:v>0.61182413446205974</c:v>
                </c:pt>
                <c:pt idx="171" formatCode="0.0000">
                  <c:v>0.60575007532613878</c:v>
                </c:pt>
                <c:pt idx="172" formatCode="0.0000">
                  <c:v>0.5998887388687224</c:v>
                </c:pt>
                <c:pt idx="173" formatCode="0.0000">
                  <c:v>0.59408309876923338</c:v>
                </c:pt>
                <c:pt idx="174" formatCode="0.0000">
                  <c:v>0.5883326382557319</c:v>
                </c:pt>
                <c:pt idx="175" formatCode="0.0000">
                  <c:v>0.58263683549189305</c:v>
                </c:pt>
                <c:pt idx="176" formatCode="0.0000">
                  <c:v>0.57699516942417028</c:v>
                </c:pt>
                <c:pt idx="177" formatCode="0.0000">
                  <c:v>0.5714071193491701</c:v>
                </c:pt>
                <c:pt idx="178" formatCode="0.0000">
                  <c:v>0.56587217912409427</c:v>
                </c:pt>
                <c:pt idx="179" formatCode="0.0000">
                  <c:v>0.56038984334869157</c:v>
                </c:pt>
                <c:pt idx="180" formatCode="0.0000">
                  <c:v>0.55495959947802942</c:v>
                </c:pt>
                <c:pt idx="181" formatCode="0.0000">
                  <c:v>0.54958096417575453</c:v>
                </c:pt>
                <c:pt idx="182" formatCode="0.0000">
                  <c:v>0.54425344719462898</c:v>
                </c:pt>
                <c:pt idx="183" formatCode="0.0000">
                  <c:v>0.5389765440653087</c:v>
                </c:pt>
                <c:pt idx="184" formatCode="0.0000">
                  <c:v>0.533749792806404</c:v>
                </c:pt>
                <c:pt idx="185" formatCode="0.0000">
                  <c:v>0.52857269650796057</c:v>
                </c:pt>
                <c:pt idx="186" formatCode="0.0000">
                  <c:v>0.52344477995144945</c:v>
                </c:pt>
                <c:pt idx="187" formatCode="0.0000">
                  <c:v>0.51836559421605921</c:v>
                </c:pt>
                <c:pt idx="188" formatCode="0.0000">
                  <c:v>0.51333466652333115</c:v>
                </c:pt>
                <c:pt idx="189" formatCode="0.0000">
                  <c:v>0.50835153797299615</c:v>
                </c:pt>
                <c:pt idx="190" formatCode="0.0000">
                  <c:v>0.50341576515366093</c:v>
                </c:pt>
                <c:pt idx="191" formatCode="0.0000">
                  <c:v>0.49852688227805697</c:v>
                </c:pt>
                <c:pt idx="192" formatCode="0.0000">
                  <c:v>0.49368444762506208</c:v>
                </c:pt>
                <c:pt idx="193" formatCode="0.0000">
                  <c:v>0.48888801913094754</c:v>
                </c:pt>
                <c:pt idx="194" formatCode="0.0000">
                  <c:v>0.48413718126062144</c:v>
                </c:pt>
                <c:pt idx="195" formatCode="0.0000">
                  <c:v>0.50974539878723046</c:v>
                </c:pt>
                <c:pt idx="196" formatCode="0.0000">
                  <c:v>0.47950015654048284</c:v>
                </c:pt>
                <c:pt idx="197" formatCode="0.0000">
                  <c:v>0.47062960817842842</c:v>
                </c:pt>
                <c:pt idx="198" formatCode="0.0000">
                  <c:v>0.46559018520670142</c:v>
                </c:pt>
                <c:pt idx="199" formatCode="0.0000">
                  <c:v>0.46106376578832875</c:v>
                </c:pt>
                <c:pt idx="200" formatCode="0.0000">
                  <c:v>0.45658035462054664</c:v>
                </c:pt>
                <c:pt idx="201" formatCode="0.0000">
                  <c:v>0.45213955345509732</c:v>
                </c:pt>
                <c:pt idx="202" formatCode="0.0000">
                  <c:v>0.4477409450673655</c:v>
                </c:pt>
                <c:pt idx="203" formatCode="0.0000">
                  <c:v>0.4433841378472399</c:v>
                </c:pt>
                <c:pt idx="204" formatCode="0.0000">
                  <c:v>0.43988115587128029</c:v>
                </c:pt>
                <c:pt idx="205" formatCode="0.0000">
                  <c:v>0.44520821385889353</c:v>
                </c:pt>
                <c:pt idx="206" formatCode="0.0000">
                  <c:v>0.55595068502979306</c:v>
                </c:pt>
                <c:pt idx="207" formatCode="0.0000">
                  <c:v>0.71165667120463727</c:v>
                </c:pt>
                <c:pt idx="208" formatCode="0.0000">
                  <c:v>0.65854609575734857</c:v>
                </c:pt>
                <c:pt idx="209" formatCode="0.0000">
                  <c:v>0.60751203875420967</c:v>
                </c:pt>
                <c:pt idx="210" formatCode="0.0000">
                  <c:v>0.55714312341438188</c:v>
                </c:pt>
                <c:pt idx="211" formatCode="0.0000">
                  <c:v>0.50819659955924579</c:v>
                </c:pt>
                <c:pt idx="212" formatCode="0.0000">
                  <c:v>0.46174065084197863</c:v>
                </c:pt>
                <c:pt idx="213" formatCode="0.0000">
                  <c:v>0.41666588345626332</c:v>
                </c:pt>
                <c:pt idx="214" formatCode="0.0000">
                  <c:v>0.40035057358895443</c:v>
                </c:pt>
                <c:pt idx="215" formatCode="0.0000">
                  <c:v>0.39442159882853672</c:v>
                </c:pt>
                <c:pt idx="216" formatCode="0.0000">
                  <c:v>0.39057503658383258</c:v>
                </c:pt>
                <c:pt idx="217" formatCode="0.0000">
                  <c:v>0.38678202376542187</c:v>
                </c:pt>
                <c:pt idx="218" formatCode="0.0000">
                  <c:v>0.38302482108929187</c:v>
                </c:pt>
                <c:pt idx="219" formatCode="0.0000">
                  <c:v>0.38126320186982393</c:v>
                </c:pt>
                <c:pt idx="220" formatCode="0.0000">
                  <c:v>0.3756170739596208</c:v>
                </c:pt>
                <c:pt idx="221" formatCode="0.0000">
                  <c:v>0.37196586146164123</c:v>
                </c:pt>
                <c:pt idx="222" formatCode="0.0000">
                  <c:v>0.36834911123747421</c:v>
                </c:pt>
                <c:pt idx="223" formatCode="0.0000">
                  <c:v>0.40297305391294264</c:v>
                </c:pt>
                <c:pt idx="224" formatCode="0.0000">
                  <c:v>0.3672013486287542</c:v>
                </c:pt>
                <c:pt idx="225" formatCode="0.0000">
                  <c:v>0.3619474138866986</c:v>
                </c:pt>
                <c:pt idx="226" formatCode="0.0000">
                  <c:v>0.35456520012655723</c:v>
                </c:pt>
                <c:pt idx="227" formatCode="0.0000">
                  <c:v>0.35078932372741417</c:v>
                </c:pt>
                <c:pt idx="228" formatCode="0.0000">
                  <c:v>0.34737744499319323</c:v>
                </c:pt>
                <c:pt idx="229" formatCode="0.0000">
                  <c:v>0.34399773312730014</c:v>
                </c:pt>
                <c:pt idx="230" formatCode="0.0000">
                  <c:v>0.34139641414130295</c:v>
                </c:pt>
                <c:pt idx="231" formatCode="0.0000">
                  <c:v>0.33733398155429772</c:v>
                </c:pt>
                <c:pt idx="232" formatCode="0.0000">
                  <c:v>0.33404934939146197</c:v>
                </c:pt>
                <c:pt idx="233" formatCode="0.0000">
                  <c:v>0.33079570388769358</c:v>
                </c:pt>
                <c:pt idx="234" formatCode="0.0000">
                  <c:v>0.37916356394246142</c:v>
                </c:pt>
                <c:pt idx="235" formatCode="0.0000">
                  <c:v>0.33256482624750949</c:v>
                </c:pt>
                <c:pt idx="236" formatCode="0.0000">
                  <c:v>0.32220153793227474</c:v>
                </c:pt>
                <c:pt idx="237" formatCode="0.0000">
                  <c:v>0.31810256739171211</c:v>
                </c:pt>
                <c:pt idx="238" formatCode="0.0000">
                  <c:v>0.31500504672867913</c:v>
                </c:pt>
                <c:pt idx="239" formatCode="0.0000">
                  <c:v>0.31193668117676537</c:v>
                </c:pt>
                <c:pt idx="240" formatCode="0.0000">
                  <c:v>0.30889718131753335</c:v>
                </c:pt>
                <c:pt idx="241" formatCode="0.0000">
                  <c:v>0.30588630117133703</c:v>
                </c:pt>
                <c:pt idx="242" formatCode="0.0000">
                  <c:v>0.30290377614395203</c:v>
                </c:pt>
                <c:pt idx="243" formatCode="0.0000">
                  <c:v>0.29994937169889324</c:v>
                </c:pt>
                <c:pt idx="244" formatCode="0.0000">
                  <c:v>0.29702281349944143</c:v>
                </c:pt>
                <c:pt idx="245" formatCode="0.0000">
                  <c:v>0.29412384114188889</c:v>
                </c:pt>
                <c:pt idx="246" formatCode="0.0000">
                  <c:v>0.29125222152688846</c:v>
                </c:pt>
                <c:pt idx="247" formatCode="0.0000">
                  <c:v>0.28840770906485969</c:v>
                </c:pt>
                <c:pt idx="248" formatCode="0.0000">
                  <c:v>0.28559004089321904</c:v>
                </c:pt>
                <c:pt idx="249" formatCode="0.0000">
                  <c:v>0.28279897691771633</c:v>
                </c:pt>
                <c:pt idx="250" formatCode="0.0000">
                  <c:v>0.28003426873726373</c:v>
                </c:pt>
                <c:pt idx="251" formatCode="0.0000">
                  <c:v>0.27729567975480229</c:v>
                </c:pt>
                <c:pt idx="252" formatCode="0.0000">
                  <c:v>0.27458297204266019</c:v>
                </c:pt>
                <c:pt idx="253" formatCode="0.0000">
                  <c:v>0.27189592150743186</c:v>
                </c:pt>
                <c:pt idx="254" formatCode="0.0000">
                  <c:v>0.26923429012702049</c:v>
                </c:pt>
                <c:pt idx="255" formatCode="0.0000">
                  <c:v>0.26659785889665683</c:v>
                </c:pt>
                <c:pt idx="256" formatCode="0.0000">
                  <c:v>0.26398638031401023</c:v>
                </c:pt>
                <c:pt idx="257" formatCode="0.0000">
                  <c:v>0.26139962909228293</c:v>
                </c:pt>
                <c:pt idx="258" formatCode="0.0000">
                  <c:v>0.2588373813270991</c:v>
                </c:pt>
                <c:pt idx="259" formatCode="0.0000">
                  <c:v>0.25629941879132417</c:v>
                </c:pt>
                <c:pt idx="260" formatCode="0.0000">
                  <c:v>0.25378552699997275</c:v>
                </c:pt>
                <c:pt idx="261" formatCode="0.0000">
                  <c:v>0.25129548557077735</c:v>
                </c:pt>
                <c:pt idx="262" formatCode="0.0000">
                  <c:v>0.24882908587976599</c:v>
                </c:pt>
                <c:pt idx="263" formatCode="0.0000">
                  <c:v>0.24882774302840918</c:v>
                </c:pt>
                <c:pt idx="264" formatCode="0.0000">
                  <c:v>0.24396822865036646</c:v>
                </c:pt>
                <c:pt idx="265" formatCode="0.0000">
                  <c:v>0.24157327737503295</c:v>
                </c:pt>
                <c:pt idx="266" formatCode="0.0000">
                  <c:v>0.23920105910081599</c:v>
                </c:pt>
                <c:pt idx="267" formatCode="0.0000">
                  <c:v>0.23685137402997103</c:v>
                </c:pt>
                <c:pt idx="268" formatCode="0.0000">
                  <c:v>0.23452401466593445</c:v>
                </c:pt>
                <c:pt idx="269" formatCode="0.0000">
                  <c:v>0.23221877642899602</c:v>
                </c:pt>
                <c:pt idx="270" formatCode="0.0000">
                  <c:v>0.22993546449873245</c:v>
                </c:pt>
                <c:pt idx="271" formatCode="0.0000">
                  <c:v>0.22767388245495471</c:v>
                </c:pt>
                <c:pt idx="272" formatCode="0.0000">
                  <c:v>0.23683906709564279</c:v>
                </c:pt>
                <c:pt idx="273" formatCode="0.0000">
                  <c:v>0.31117663758901926</c:v>
                </c:pt>
                <c:pt idx="274" formatCode="0.0000">
                  <c:v>0.24835476615575364</c:v>
                </c:pt>
                <c:pt idx="275" formatCode="0.0000">
                  <c:v>0.22295937316006181</c:v>
                </c:pt>
                <c:pt idx="276" formatCode="0.0000">
                  <c:v>0.21695657695785567</c:v>
                </c:pt>
                <c:pt idx="277" formatCode="0.0000">
                  <c:v>0.21463711859369858</c:v>
                </c:pt>
                <c:pt idx="278" formatCode="0.0000">
                  <c:v>0.21254026194508968</c:v>
                </c:pt>
                <c:pt idx="279" formatCode="0.0000">
                  <c:v>0.21046296366140882</c:v>
                </c:pt>
                <c:pt idx="280" formatCode="0.0000">
                  <c:v>0.20840506388768057</c:v>
                </c:pt>
                <c:pt idx="281" formatCode="0.0000">
                  <c:v>0.20636638721027278</c:v>
                </c:pt>
                <c:pt idx="282" formatCode="0.0000">
                  <c:v>0.20434677149057079</c:v>
                </c:pt>
                <c:pt idx="283" formatCode="0.0000">
                  <c:v>0.20234608538530668</c:v>
                </c:pt>
                <c:pt idx="284" formatCode="0.0000">
                  <c:v>0.20036413021699614</c:v>
                </c:pt>
                <c:pt idx="285" formatCode="0.0000">
                  <c:v>0.19840075161854684</c:v>
                </c:pt>
                <c:pt idx="286" formatCode="0.0000">
                  <c:v>0.19645579480587422</c:v>
                </c:pt>
                <c:pt idx="287" formatCode="0.0000">
                  <c:v>0.19452911730325423</c:v>
                </c:pt>
                <c:pt idx="288" formatCode="0.0000">
                  <c:v>0.22164440319697856</c:v>
                </c:pt>
                <c:pt idx="289" formatCode="0.0000">
                  <c:v>0.19685440848800534</c:v>
                </c:pt>
                <c:pt idx="290" formatCode="0.0000">
                  <c:v>0.32146126453889246</c:v>
                </c:pt>
                <c:pt idx="291" formatCode="0.0000">
                  <c:v>0.35479108691889538</c:v>
                </c:pt>
                <c:pt idx="292" formatCode="0.0000">
                  <c:v>0.85540582536066523</c:v>
                </c:pt>
                <c:pt idx="293" formatCode="0.0000">
                  <c:v>0.89505290644560642</c:v>
                </c:pt>
                <c:pt idx="294" formatCode="0.0000">
                  <c:v>1.1843722754668204</c:v>
                </c:pt>
                <c:pt idx="295" formatCode="0.0000">
                  <c:v>1.0857387156510712</c:v>
                </c:pt>
                <c:pt idx="296" formatCode="0.0000">
                  <c:v>0.99176098251356393</c:v>
                </c:pt>
                <c:pt idx="297" formatCode="0.0000">
                  <c:v>1.1525339717273584</c:v>
                </c:pt>
                <c:pt idx="298" formatCode="0.0000">
                  <c:v>1.1591239322951983</c:v>
                </c:pt>
                <c:pt idx="299" formatCode="0.0000">
                  <c:v>1.0618470971975813</c:v>
                </c:pt>
                <c:pt idx="300" formatCode="0.0000">
                  <c:v>1.0419989187540615</c:v>
                </c:pt>
                <c:pt idx="301" formatCode="0.0000">
                  <c:v>1.0428538442759392</c:v>
                </c:pt>
                <c:pt idx="302" formatCode="0.0000">
                  <c:v>1.0056844327061856</c:v>
                </c:pt>
                <c:pt idx="303" formatCode="0.0000">
                  <c:v>1.0895847922345785</c:v>
                </c:pt>
                <c:pt idx="304" formatCode="0.0000">
                  <c:v>1.0454494161747705</c:v>
                </c:pt>
                <c:pt idx="305" formatCode="0.0000">
                  <c:v>0.95871615104683683</c:v>
                </c:pt>
                <c:pt idx="306" formatCode="0.0000">
                  <c:v>0.90594363675255463</c:v>
                </c:pt>
                <c:pt idx="307" formatCode="0.0000">
                  <c:v>0.81309267851362044</c:v>
                </c:pt>
                <c:pt idx="308" formatCode="0.0000">
                  <c:v>0.80016297462625541</c:v>
                </c:pt>
                <c:pt idx="309" formatCode="0.0000">
                  <c:v>0.71163910657848428</c:v>
                </c:pt>
                <c:pt idx="310" formatCode="0.0000">
                  <c:v>0.63855430104822219</c:v>
                </c:pt>
                <c:pt idx="311" formatCode="0.0000">
                  <c:v>0.62168860577863738</c:v>
                </c:pt>
                <c:pt idx="312" formatCode="0.0000">
                  <c:v>0.53882879356746316</c:v>
                </c:pt>
                <c:pt idx="313" formatCode="0.0000">
                  <c:v>0.53763959659748084</c:v>
                </c:pt>
                <c:pt idx="314" formatCode="0.0000">
                  <c:v>0.48964566999376824</c:v>
                </c:pt>
                <c:pt idx="315" formatCode="0.0000">
                  <c:v>0.41402942201739062</c:v>
                </c:pt>
                <c:pt idx="316" formatCode="0.0000">
                  <c:v>0.39819776158967929</c:v>
                </c:pt>
                <c:pt idx="317" formatCode="0.0000">
                  <c:v>0.32287950236487845</c:v>
                </c:pt>
                <c:pt idx="318" formatCode="0.0000">
                  <c:v>0.26137596200970631</c:v>
                </c:pt>
                <c:pt idx="319" formatCode="0.0000">
                  <c:v>0.19084184930817025</c:v>
                </c:pt>
                <c:pt idx="320" formatCode="0.0000">
                  <c:v>0.15671088772919009</c:v>
                </c:pt>
                <c:pt idx="321" formatCode="0.0000">
                  <c:v>0.14985656137784345</c:v>
                </c:pt>
                <c:pt idx="322" formatCode="0.0000">
                  <c:v>0.16192570940849815</c:v>
                </c:pt>
                <c:pt idx="323" formatCode="0.0000">
                  <c:v>0.15198538855097204</c:v>
                </c:pt>
                <c:pt idx="324" formatCode="0.0000">
                  <c:v>0.48853795765038005</c:v>
                </c:pt>
                <c:pt idx="325" formatCode="0.0000">
                  <c:v>0.6942980053432628</c:v>
                </c:pt>
                <c:pt idx="326" formatCode="0.0000">
                  <c:v>0.62207542020806128</c:v>
                </c:pt>
                <c:pt idx="327" formatCode="0.0000">
                  <c:v>0.5544545878474032</c:v>
                </c:pt>
                <c:pt idx="328" formatCode="0.0000">
                  <c:v>0.58543015047548974</c:v>
                </c:pt>
                <c:pt idx="329" formatCode="0.0000">
                  <c:v>0.91200125135924504</c:v>
                </c:pt>
                <c:pt idx="330" formatCode="0.0000">
                  <c:v>1.02522071816656</c:v>
                </c:pt>
                <c:pt idx="331" formatCode="0.0000">
                  <c:v>0.92692185311962561</c:v>
                </c:pt>
                <c:pt idx="332" formatCode="0.0000">
                  <c:v>0.83122217107391216</c:v>
                </c:pt>
                <c:pt idx="333" formatCode="0.0000">
                  <c:v>0.7404834579387467</c:v>
                </c:pt>
                <c:pt idx="334" formatCode="0.0000">
                  <c:v>0.87980815946093793</c:v>
                </c:pt>
                <c:pt idx="335" formatCode="0.0000">
                  <c:v>1.1658565770688132</c:v>
                </c:pt>
                <c:pt idx="336" formatCode="0.0000">
                  <c:v>1.0713600592568382</c:v>
                </c:pt>
                <c:pt idx="337" formatCode="0.0000">
                  <c:v>0.97088655430969051</c:v>
                </c:pt>
                <c:pt idx="338" formatCode="0.0000">
                  <c:v>0.87554315264526006</c:v>
                </c:pt>
                <c:pt idx="339" formatCode="0.0000">
                  <c:v>0.7848882402083035</c:v>
                </c:pt>
                <c:pt idx="340" formatCode="0.0000">
                  <c:v>0.69856295175839533</c:v>
                </c:pt>
                <c:pt idx="341" formatCode="0.0000">
                  <c:v>0.6149432979636652</c:v>
                </c:pt>
                <c:pt idx="342" formatCode="0.0000">
                  <c:v>0.53246104816499673</c:v>
                </c:pt>
                <c:pt idx="343" formatCode="0.0000">
                  <c:v>0.45282357865161788</c:v>
                </c:pt>
                <c:pt idx="344" formatCode="0.0000">
                  <c:v>0.37586754349948176</c:v>
                </c:pt>
                <c:pt idx="345" formatCode="0.0000">
                  <c:v>0.30103251258426744</c:v>
                </c:pt>
                <c:pt idx="346" formatCode="0.0000">
                  <c:v>0.23218377072278909</c:v>
                </c:pt>
                <c:pt idx="347" formatCode="0.0000">
                  <c:v>0.16272023165717134</c:v>
                </c:pt>
                <c:pt idx="348" formatCode="0.0000">
                  <c:v>0.12630244650949868</c:v>
                </c:pt>
                <c:pt idx="349" formatCode="0.0000">
                  <c:v>0.1193864017370575</c:v>
                </c:pt>
                <c:pt idx="350" formatCode="0.0000">
                  <c:v>0.11774722279901551</c:v>
                </c:pt>
                <c:pt idx="351" formatCode="0.0000">
                  <c:v>0.11667206147246603</c:v>
                </c:pt>
                <c:pt idx="352" formatCode="0.0000">
                  <c:v>0.17557684688926747</c:v>
                </c:pt>
                <c:pt idx="353" formatCode="0.0000">
                  <c:v>0.12636030774394585</c:v>
                </c:pt>
                <c:pt idx="354" formatCode="0.0000">
                  <c:v>0.11493634241020588</c:v>
                </c:pt>
                <c:pt idx="355" formatCode="0.0000">
                  <c:v>0.28744749691859511</c:v>
                </c:pt>
                <c:pt idx="356" formatCode="0.0000">
                  <c:v>0.27042782265805965</c:v>
                </c:pt>
                <c:pt idx="357" formatCode="0.0000">
                  <c:v>0.21846221939994065</c:v>
                </c:pt>
                <c:pt idx="358" formatCode="0.0000">
                  <c:v>0.65104427193176351</c:v>
                </c:pt>
                <c:pt idx="359" formatCode="0.0000">
                  <c:v>0.5668981847192518</c:v>
                </c:pt>
                <c:pt idx="360" formatCode="0.0000">
                  <c:v>0.48559245658086514</c:v>
                </c:pt>
                <c:pt idx="361" formatCode="0.0000">
                  <c:v>0.83655286808326479</c:v>
                </c:pt>
                <c:pt idx="362" formatCode="0.0000">
                  <c:v>0.81019266909489573</c:v>
                </c:pt>
                <c:pt idx="363" formatCode="0.0000">
                  <c:v>0.72050162953907393</c:v>
                </c:pt>
                <c:pt idx="364" formatCode="0.0000">
                  <c:v>1.1829327635680309</c:v>
                </c:pt>
                <c:pt idx="365" formatCode="0.0000">
                  <c:v>1.1779727815090733</c:v>
                </c:pt>
                <c:pt idx="366" formatCode="0.0000">
                  <c:v>1.1611493744641579</c:v>
                </c:pt>
                <c:pt idx="367" formatCode="0.0000">
                  <c:v>1.1980296498910101</c:v>
                </c:pt>
                <c:pt idx="368" formatCode="0.0000">
                  <c:v>1.204985025529258</c:v>
                </c:pt>
                <c:pt idx="369" formatCode="0.0000">
                  <c:v>1.2118476912045903</c:v>
                </c:pt>
                <c:pt idx="370" formatCode="0.0000">
                  <c:v>1.1900811454219828</c:v>
                </c:pt>
                <c:pt idx="371" formatCode="0.0000">
                  <c:v>1.342828938115693</c:v>
                </c:pt>
                <c:pt idx="372" formatCode="0.0000">
                  <c:v>1.2664955948848666</c:v>
                </c:pt>
                <c:pt idx="373" formatCode="0.0000">
                  <c:v>1.4244029548304611</c:v>
                </c:pt>
                <c:pt idx="374" formatCode="0.0000">
                  <c:v>1.3917897986605976</c:v>
                </c:pt>
                <c:pt idx="375" formatCode="0.0000">
                  <c:v>1.4671729718940023</c:v>
                </c:pt>
                <c:pt idx="376" formatCode="0.0000">
                  <c:v>1.5805772621274994</c:v>
                </c:pt>
                <c:pt idx="377" formatCode="0.0000">
                  <c:v>1.499270660382874</c:v>
                </c:pt>
                <c:pt idx="378" formatCode="0.0000">
                  <c:v>1.3990447613042354</c:v>
                </c:pt>
                <c:pt idx="379" formatCode="0.0000">
                  <c:v>1.3021792751123495</c:v>
                </c:pt>
                <c:pt idx="380" formatCode="0.0000">
                  <c:v>1.2113346560957572</c:v>
                </c:pt>
                <c:pt idx="381" formatCode="0.0000">
                  <c:v>1.2085714782765213</c:v>
                </c:pt>
                <c:pt idx="382" formatCode="0.0000">
                  <c:v>1.5936946338340183</c:v>
                </c:pt>
                <c:pt idx="383" formatCode="0.0000">
                  <c:v>1.502708015007042</c:v>
                </c:pt>
                <c:pt idx="384" formatCode="0.0000">
                  <c:v>1.4147616691071587</c:v>
                </c:pt>
                <c:pt idx="385" formatCode="0.0000">
                  <c:v>1.3326634918344433</c:v>
                </c:pt>
                <c:pt idx="386" formatCode="0.0000">
                  <c:v>1.2377188593344464</c:v>
                </c:pt>
                <c:pt idx="387" formatCode="0.0000">
                  <c:v>1.410364202404959</c:v>
                </c:pt>
                <c:pt idx="388" formatCode="0.0000">
                  <c:v>1.3904589736931272</c:v>
                </c:pt>
                <c:pt idx="389" formatCode="0.0000">
                  <c:v>1.5317701081611401</c:v>
                </c:pt>
                <c:pt idx="390" formatCode="0.0000">
                  <c:v>1.5653133028395552</c:v>
                </c:pt>
                <c:pt idx="391" formatCode="0.0000">
                  <c:v>1.5840947262400691</c:v>
                </c:pt>
                <c:pt idx="392" formatCode="0.0000">
                  <c:v>1.4847428073564639</c:v>
                </c:pt>
                <c:pt idx="393" formatCode="0.0000">
                  <c:v>1.6893127678818574</c:v>
                </c:pt>
                <c:pt idx="394" formatCode="0.0000">
                  <c:v>1.6607030922444244</c:v>
                </c:pt>
                <c:pt idx="395" formatCode="0.0000">
                  <c:v>1.5582211204280991</c:v>
                </c:pt>
                <c:pt idx="396" formatCode="0.0000">
                  <c:v>1.5789338648334614</c:v>
                </c:pt>
                <c:pt idx="397" formatCode="0.0000">
                  <c:v>1.4810429896605419</c:v>
                </c:pt>
                <c:pt idx="398" formatCode="0.0000">
                  <c:v>1.3837274118093605</c:v>
                </c:pt>
                <c:pt idx="399" formatCode="0.0000">
                  <c:v>1.3433790077159906</c:v>
                </c:pt>
                <c:pt idx="400" formatCode="0.0000">
                  <c:v>1.4065575756494011</c:v>
                </c:pt>
                <c:pt idx="401" formatCode="0.0000">
                  <c:v>1.4050453703018129</c:v>
                </c:pt>
                <c:pt idx="402" formatCode="0.0000">
                  <c:v>1.3511947482882727</c:v>
                </c:pt>
                <c:pt idx="403" formatCode="0.0000">
                  <c:v>1.3213660726497649</c:v>
                </c:pt>
                <c:pt idx="404" formatCode="0.0000">
                  <c:v>1.2252039487312059</c:v>
                </c:pt>
                <c:pt idx="405" formatCode="0.0000">
                  <c:v>1.2330875323783839</c:v>
                </c:pt>
                <c:pt idx="406" formatCode="0.0000">
                  <c:v>1.1386307493472114</c:v>
                </c:pt>
                <c:pt idx="407" formatCode="0.0000">
                  <c:v>1.046139821367265</c:v>
                </c:pt>
                <c:pt idx="408" formatCode="0.0000">
                  <c:v>1.3635017935672951</c:v>
                </c:pt>
                <c:pt idx="409" formatCode="0.0000">
                  <c:v>1.2641748464453413</c:v>
                </c:pt>
                <c:pt idx="410" formatCode="0.0000">
                  <c:v>1.2317773553412259</c:v>
                </c:pt>
                <c:pt idx="411" formatCode="0.0000">
                  <c:v>1.6529606185334711</c:v>
                </c:pt>
                <c:pt idx="412" formatCode="0.0000">
                  <c:v>1.5507185783576316</c:v>
                </c:pt>
                <c:pt idx="413" formatCode="0.0000">
                  <c:v>1.5059090563285999</c:v>
                </c:pt>
                <c:pt idx="414" formatCode="0.0000">
                  <c:v>1.4282175773129775</c:v>
                </c:pt>
                <c:pt idx="415" formatCode="0.0000">
                  <c:v>1.3299718884559495</c:v>
                </c:pt>
                <c:pt idx="416" formatCode="0.0000">
                  <c:v>1.2852561550454062</c:v>
                </c:pt>
                <c:pt idx="417" formatCode="0.0000">
                  <c:v>1.6508110752581076</c:v>
                </c:pt>
                <c:pt idx="418" formatCode="0.0000">
                  <c:v>1.5881253299108717</c:v>
                </c:pt>
                <c:pt idx="419" formatCode="0.0000">
                  <c:v>1.6976167909989033</c:v>
                </c:pt>
                <c:pt idx="420" formatCode="0.0000">
                  <c:v>1.5934650300502819</c:v>
                </c:pt>
                <c:pt idx="421" formatCode="0.0000">
                  <c:v>1.8285710577680954</c:v>
                </c:pt>
                <c:pt idx="422" formatCode="0.0000">
                  <c:v>1.9002940075170862</c:v>
                </c:pt>
                <c:pt idx="423" formatCode="0.0000">
                  <c:v>1.9269445002368404</c:v>
                </c:pt>
                <c:pt idx="424" formatCode="0.0000">
                  <c:v>2.1043001185887369</c:v>
                </c:pt>
                <c:pt idx="425" formatCode="0.0000">
                  <c:v>2.1464511198616498</c:v>
                </c:pt>
                <c:pt idx="426" formatCode="0.0000">
                  <c:v>2.0554773429280568</c:v>
                </c:pt>
                <c:pt idx="427" formatCode="0.0000">
                  <c:v>1.9509235292815919</c:v>
                </c:pt>
                <c:pt idx="428" formatCode="0.0000">
                  <c:v>1.8859882383740372</c:v>
                </c:pt>
                <c:pt idx="429" formatCode="0.0000">
                  <c:v>1.8001416678286595</c:v>
                </c:pt>
                <c:pt idx="430" formatCode="0.0000">
                  <c:v>1.7050390297680327</c:v>
                </c:pt>
                <c:pt idx="431" formatCode="0.0000">
                  <c:v>1.7155219606693655</c:v>
                </c:pt>
                <c:pt idx="432" formatCode="0.0000">
                  <c:v>1.6236029938875722</c:v>
                </c:pt>
                <c:pt idx="433" formatCode="0.0000">
                  <c:v>1.611618470100499</c:v>
                </c:pt>
                <c:pt idx="434" formatCode="0.0000">
                  <c:v>1.523142069058689</c:v>
                </c:pt>
                <c:pt idx="435" formatCode="0.0000">
                  <c:v>1.6126506497754944</c:v>
                </c:pt>
                <c:pt idx="436" formatCode="0.0000">
                  <c:v>1.5257528605645745</c:v>
                </c:pt>
                <c:pt idx="437" formatCode="0.0000">
                  <c:v>2.1435610427271206</c:v>
                </c:pt>
                <c:pt idx="438" formatCode="0.0000">
                  <c:v>2.1000689670455999</c:v>
                </c:pt>
                <c:pt idx="439" formatCode="0.0000">
                  <c:v>2.1912949211124459</c:v>
                </c:pt>
                <c:pt idx="440" formatCode="0.0000">
                  <c:v>2.20318816337213</c:v>
                </c:pt>
                <c:pt idx="441" formatCode="0.0000">
                  <c:v>2.3321208839751586</c:v>
                </c:pt>
                <c:pt idx="442" formatCode="0.0000">
                  <c:v>2.3688301184321294</c:v>
                </c:pt>
                <c:pt idx="443" formatCode="0.0000">
                  <c:v>2.3632444258284799</c:v>
                </c:pt>
                <c:pt idx="444" formatCode="0.0000">
                  <c:v>2.3747028033285407</c:v>
                </c:pt>
                <c:pt idx="445" formatCode="0.0000">
                  <c:v>2.4898410682283383</c:v>
                </c:pt>
                <c:pt idx="446" formatCode="0.0000">
                  <c:v>2.39044536004858</c:v>
                </c:pt>
                <c:pt idx="447" formatCode="0.0000">
                  <c:v>2.3524201224146712</c:v>
                </c:pt>
                <c:pt idx="448" formatCode="0.0000">
                  <c:v>2.2549039490328937</c:v>
                </c:pt>
                <c:pt idx="449" formatCode="0.0000">
                  <c:v>2.299081203255259</c:v>
                </c:pt>
                <c:pt idx="450" formatCode="0.0000">
                  <c:v>2.1660737706615012</c:v>
                </c:pt>
                <c:pt idx="451" formatCode="0.0000">
                  <c:v>2.1224765837838611</c:v>
                </c:pt>
                <c:pt idx="452" formatCode="0.0000">
                  <c:v>2.1001960148798133</c:v>
                </c:pt>
                <c:pt idx="453" formatCode="0.0000">
                  <c:v>2.0079987010923692</c:v>
                </c:pt>
                <c:pt idx="454" formatCode="0.0000">
                  <c:v>1.9163590282059964</c:v>
                </c:pt>
                <c:pt idx="455" formatCode="0.0000">
                  <c:v>1.8291272964810645</c:v>
                </c:pt>
                <c:pt idx="456" formatCode="0.0000">
                  <c:v>1.744072683934162</c:v>
                </c:pt>
                <c:pt idx="457" formatCode="0.0000">
                  <c:v>2.0142945205656262</c:v>
                </c:pt>
                <c:pt idx="458" formatCode="0.0000">
                  <c:v>1.9235780525598976</c:v>
                </c:pt>
                <c:pt idx="459" formatCode="0.0000">
                  <c:v>1.8883175243567287</c:v>
                </c:pt>
                <c:pt idx="460" formatCode="0.0000">
                  <c:v>1.8013240439685809</c:v>
                </c:pt>
                <c:pt idx="461" formatCode="0.0000">
                  <c:v>1.7172425001843041</c:v>
                </c:pt>
                <c:pt idx="462" formatCode="0.0000">
                  <c:v>1.6352529987548987</c:v>
                </c:pt>
                <c:pt idx="463" formatCode="0.0000">
                  <c:v>1.571826889078378</c:v>
                </c:pt>
                <c:pt idx="464" formatCode="0.0000">
                  <c:v>1.4962774835107746</c:v>
                </c:pt>
                <c:pt idx="465" formatCode="0.0000">
                  <c:v>1.4231664064401881</c:v>
                </c:pt>
                <c:pt idx="466" formatCode="0.0000">
                  <c:v>1.3549750352629104</c:v>
                </c:pt>
                <c:pt idx="467" formatCode="0.0000">
                  <c:v>1.2944182226637406</c:v>
                </c:pt>
                <c:pt idx="468" formatCode="0.0000">
                  <c:v>1.2379554972490698</c:v>
                </c:pt>
                <c:pt idx="469" formatCode="0.0000">
                  <c:v>1.2204261471318354</c:v>
                </c:pt>
                <c:pt idx="470" formatCode="0.0000">
                  <c:v>1.2095257198510703</c:v>
                </c:pt>
                <c:pt idx="471" formatCode="0.0000">
                  <c:v>1.1995487047112399</c:v>
                </c:pt>
                <c:pt idx="472" formatCode="0.0000">
                  <c:v>1.2405265807671426</c:v>
                </c:pt>
                <c:pt idx="473" formatCode="0.0000">
                  <c:v>1.2327504010466761</c:v>
                </c:pt>
                <c:pt idx="474" formatCode="0.0000">
                  <c:v>1.1778599653436734</c:v>
                </c:pt>
                <c:pt idx="475" formatCode="0.0000">
                  <c:v>1.1601064097403557</c:v>
                </c:pt>
                <c:pt idx="476" formatCode="0.0000">
                  <c:v>1.1485460821209992</c:v>
                </c:pt>
                <c:pt idx="477" formatCode="0.0000">
                  <c:v>1.1377049459813102</c:v>
                </c:pt>
                <c:pt idx="478" formatCode="0.0000">
                  <c:v>1.1304100245142705</c:v>
                </c:pt>
                <c:pt idx="479" formatCode="0.0000">
                  <c:v>1.1190344446652618</c:v>
                </c:pt>
                <c:pt idx="480" formatCode="0.0000">
                  <c:v>1.1051752048098682</c:v>
                </c:pt>
                <c:pt idx="481" formatCode="0.0000">
                  <c:v>1.0944011903218174</c:v>
                </c:pt>
                <c:pt idx="482" formatCode="0.0000">
                  <c:v>1.0869555169013274</c:v>
                </c:pt>
                <c:pt idx="483" formatCode="0.0000">
                  <c:v>1.0734978214528239</c:v>
                </c:pt>
                <c:pt idx="484" formatCode="0.0000">
                  <c:v>1.0629995419371794</c:v>
                </c:pt>
                <c:pt idx="485" formatCode="0.0000">
                  <c:v>1.05273347794796</c:v>
                </c:pt>
                <c:pt idx="486" formatCode="0.0000">
                  <c:v>1.3688410532693061</c:v>
                </c:pt>
                <c:pt idx="487" formatCode="0.0000">
                  <c:v>1.2976268727011435</c:v>
                </c:pt>
                <c:pt idx="488" formatCode="0.0000">
                  <c:v>1.2308857357966716</c:v>
                </c:pt>
                <c:pt idx="489" formatCode="0.0000">
                  <c:v>1.1646996337655842</c:v>
                </c:pt>
                <c:pt idx="490" formatCode="0.0000">
                  <c:v>1.1021148201384503</c:v>
                </c:pt>
                <c:pt idx="491" formatCode="0.0000">
                  <c:v>1.0417410865045222</c:v>
                </c:pt>
                <c:pt idx="492" formatCode="0.0000">
                  <c:v>0.9912882667155799</c:v>
                </c:pt>
                <c:pt idx="493" formatCode="0.0000">
                  <c:v>0.9750107662113715</c:v>
                </c:pt>
                <c:pt idx="494" formatCode="0.0000">
                  <c:v>0.96471675630362808</c:v>
                </c:pt>
                <c:pt idx="495" formatCode="0.0000">
                  <c:v>0.9553990899910314</c:v>
                </c:pt>
                <c:pt idx="496" formatCode="0.0000">
                  <c:v>0.94617037183666997</c:v>
                </c:pt>
                <c:pt idx="497" formatCode="0.0000">
                  <c:v>0.93702977566583023</c:v>
                </c:pt>
                <c:pt idx="498" formatCode="0.0000">
                  <c:v>0.92797643514332362</c:v>
                </c:pt>
                <c:pt idx="499" formatCode="0.0000">
                  <c:v>0.9197579869540472</c:v>
                </c:pt>
                <c:pt idx="500" formatCode="0.0000">
                  <c:v>0.91012841708231673</c:v>
                </c:pt>
                <c:pt idx="501" formatCode="0.0000">
                  <c:v>0.90133207139344051</c:v>
                </c:pt>
                <c:pt idx="502" formatCode="0.0000">
                  <c:v>0.89261969331736624</c:v>
                </c:pt>
                <c:pt idx="503" formatCode="0.0000">
                  <c:v>0.88399049775789529</c:v>
                </c:pt>
                <c:pt idx="504" formatCode="0.0000">
                  <c:v>0.87544370057414578</c:v>
                </c:pt>
                <c:pt idx="505" formatCode="0.0000">
                  <c:v>0.86697851380218349</c:v>
                </c:pt>
                <c:pt idx="506" formatCode="0.0000">
                  <c:v>0.85859414452031402</c:v>
                </c:pt>
                <c:pt idx="507" formatCode="0.0000">
                  <c:v>0.85028983685078063</c:v>
                </c:pt>
                <c:pt idx="508" formatCode="0.0000">
                  <c:v>0.84206481471004835</c:v>
                </c:pt>
                <c:pt idx="509" formatCode="0.0000">
                  <c:v>0.83391831469272548</c:v>
                </c:pt>
                <c:pt idx="510" formatCode="0.0000">
                  <c:v>0.82584960246843697</c:v>
                </c:pt>
                <c:pt idx="511" formatCode="0.0000">
                  <c:v>0.8178579124848171</c:v>
                </c:pt>
                <c:pt idx="512" formatCode="0.0000">
                  <c:v>0.80994250362117814</c:v>
                </c:pt>
                <c:pt idx="513" formatCode="0.0000">
                  <c:v>0.80210266133206576</c:v>
                </c:pt>
                <c:pt idx="514" formatCode="0.0000">
                  <c:v>0.79433767669446709</c:v>
                </c:pt>
                <c:pt idx="515" formatCode="0.0000">
                  <c:v>0.78664683821192816</c:v>
                </c:pt>
                <c:pt idx="516" formatCode="0.0000">
                  <c:v>0.77902944480313119</c:v>
                </c:pt>
                <c:pt idx="517" formatCode="0.0000">
                  <c:v>0.77148478008623989</c:v>
                </c:pt>
                <c:pt idx="518" formatCode="0.0000">
                  <c:v>0.76401214440498721</c:v>
                </c:pt>
                <c:pt idx="519" formatCode="0.0000">
                  <c:v>0.75661086066327154</c:v>
                </c:pt>
                <c:pt idx="520" formatCode="0.0000">
                  <c:v>0.74928024810637261</c:v>
                </c:pt>
                <c:pt idx="521" formatCode="0.0000">
                  <c:v>0.74201964150836941</c:v>
                </c:pt>
                <c:pt idx="522" formatCode="0.0000">
                  <c:v>0.73482836671795604</c:v>
                </c:pt>
                <c:pt idx="523" formatCode="0.0000">
                  <c:v>1.0373572619281461</c:v>
                </c:pt>
                <c:pt idx="524" formatCode="0.0000">
                  <c:v>1.0228886792222471</c:v>
                </c:pt>
                <c:pt idx="525" formatCode="0.0000">
                  <c:v>0.9653846196462248</c:v>
                </c:pt>
                <c:pt idx="526" formatCode="0.0000">
                  <c:v>0.91237593886131774</c:v>
                </c:pt>
                <c:pt idx="527" formatCode="0.0000">
                  <c:v>0.85996752513936947</c:v>
                </c:pt>
                <c:pt idx="528" formatCode="0.0000">
                  <c:v>0.81020847157166931</c:v>
                </c:pt>
                <c:pt idx="529" formatCode="0.0000">
                  <c:v>0.76163862873138755</c:v>
                </c:pt>
                <c:pt idx="530" formatCode="0.0000">
                  <c:v>0.76752102459972249</c:v>
                </c:pt>
                <c:pt idx="531" formatCode="0.0000">
                  <c:v>0.76181880094424925</c:v>
                </c:pt>
                <c:pt idx="532" formatCode="0.0000">
                  <c:v>0.72487863077356884</c:v>
                </c:pt>
                <c:pt idx="533" formatCode="0.0000">
                  <c:v>0.6785980542847625</c:v>
                </c:pt>
                <c:pt idx="534" formatCode="0.0000">
                  <c:v>0.65668202547283805</c:v>
                </c:pt>
                <c:pt idx="535" formatCode="0.0000">
                  <c:v>0.64777140602248606</c:v>
                </c:pt>
                <c:pt idx="536" formatCode="0.0000">
                  <c:v>0.64134928352254039</c:v>
                </c:pt>
                <c:pt idx="537" formatCode="0.0000">
                  <c:v>0.63514325958122886</c:v>
                </c:pt>
                <c:pt idx="538" formatCode="0.0000">
                  <c:v>0.62899627405015857</c:v>
                </c:pt>
                <c:pt idx="539" formatCode="0.0000">
                  <c:v>0.62290777759777327</c:v>
                </c:pt>
                <c:pt idx="540" formatCode="0.0000">
                  <c:v>0.61687721587319011</c:v>
                </c:pt>
                <c:pt idx="541" formatCode="0.0000">
                  <c:v>0.61090403550720795</c:v>
                </c:pt>
                <c:pt idx="542" formatCode="0.0000">
                  <c:v>0.6049876836605721</c:v>
                </c:pt>
                <c:pt idx="543" formatCode="0.0000">
                  <c:v>0.59912762264100494</c:v>
                </c:pt>
                <c:pt idx="544" formatCode="0.0000">
                  <c:v>0.59332331568794983</c:v>
                </c:pt>
                <c:pt idx="545" formatCode="0.0000">
                  <c:v>0.58757421884389072</c:v>
                </c:pt>
                <c:pt idx="546" formatCode="0.0000">
                  <c:v>0.58187981838447311</c:v>
                </c:pt>
                <c:pt idx="547" formatCode="0.0000">
                  <c:v>0.57623959362951405</c:v>
                </c:pt>
                <c:pt idx="548" formatCode="0.0000">
                  <c:v>0.57065300939027142</c:v>
                </c:pt>
                <c:pt idx="549" formatCode="0.0000">
                  <c:v>0.56511957441687111</c:v>
                </c:pt>
                <c:pt idx="550" formatCode="0.0000">
                  <c:v>0.55963876159480053</c:v>
                </c:pt>
                <c:pt idx="551" formatCode="0.0000">
                  <c:v>0.55421006631123249</c:v>
                </c:pt>
                <c:pt idx="552" formatCode="0.0000">
                  <c:v>0.54883301123217509</c:v>
                </c:pt>
                <c:pt idx="553" formatCode="0.0000">
                  <c:v>0.5435070945417696</c:v>
                </c:pt>
                <c:pt idx="554" formatCode="0.0000">
                  <c:v>0.53823182888021948</c:v>
                </c:pt>
                <c:pt idx="555" formatCode="0.0000">
                  <c:v>0.53300674302113271</c:v>
                </c:pt>
                <c:pt idx="556" formatCode="0.0000">
                  <c:v>0.52783134274105359</c:v>
                </c:pt>
                <c:pt idx="557" formatCode="0.0000">
                  <c:v>0.52270515880890911</c:v>
                </c:pt>
                <c:pt idx="558" formatCode="0.0000">
                  <c:v>0.51762772176048</c:v>
                </c:pt>
                <c:pt idx="559" formatCode="0.0000">
                  <c:v>0.51259858970644756</c:v>
                </c:pt>
                <c:pt idx="560" formatCode="0.0000">
                  <c:v>0.53793120114558945</c:v>
                </c:pt>
                <c:pt idx="561" formatCode="0.0000">
                  <c:v>0.50741290963231833</c:v>
                </c:pt>
                <c:pt idx="562" formatCode="0.0000">
                  <c:v>0.49827195015868608</c:v>
                </c:pt>
                <c:pt idx="563" formatCode="0.0000">
                  <c:v>0.49296472771120758</c:v>
                </c:pt>
                <c:pt idx="564" formatCode="0.0000">
                  <c:v>0.48817309472317533</c:v>
                </c:pt>
                <c:pt idx="565" formatCode="0.0000">
                  <c:v>0.48342703098320239</c:v>
                </c:pt>
                <c:pt idx="566" formatCode="0.0000">
                  <c:v>0.47872611325201803</c:v>
                </c:pt>
                <c:pt idx="567" formatCode="0.0000">
                  <c:v>0.47406989872848126</c:v>
                </c:pt>
                <c:pt idx="568" formatCode="0.0000">
                  <c:v>0.46945797125639954</c:v>
                </c:pt>
                <c:pt idx="569" formatCode="0.0000">
                  <c:v>0.46570233052053683</c:v>
                </c:pt>
                <c:pt idx="570" formatCode="0.0000">
                  <c:v>0.47077915501498468</c:v>
                </c:pt>
                <c:pt idx="571" formatCode="0.0000">
                  <c:v>0.58127370942639633</c:v>
                </c:pt>
                <c:pt idx="572" formatCode="0.0000">
                  <c:v>0.73673392130219106</c:v>
                </c:pt>
                <c:pt idx="573" formatCode="0.0000">
                  <c:v>0.6833796190828122</c:v>
                </c:pt>
                <c:pt idx="574" formatCode="0.0000">
                  <c:v>0.63210419952909846</c:v>
                </c:pt>
                <c:pt idx="575" formatCode="0.0000">
                  <c:v>0.58149626266647159</c:v>
                </c:pt>
                <c:pt idx="576" formatCode="0.0000">
                  <c:v>0.53231303498622906</c:v>
                </c:pt>
                <c:pt idx="577" formatCode="0.0000">
                  <c:v>0.48562267725340424</c:v>
                </c:pt>
                <c:pt idx="578" formatCode="0.0000">
                  <c:v>0.44031577330356758</c:v>
                </c:pt>
                <c:pt idx="579" formatCode="0.0000">
                  <c:v>0.42377057690627978</c:v>
                </c:pt>
                <c:pt idx="580" formatCode="0.0000">
                  <c:v>0.4176139432857196</c:v>
                </c:pt>
                <c:pt idx="581" formatCode="0.0000">
                  <c:v>0.41354192778194743</c:v>
                </c:pt>
                <c:pt idx="582" formatCode="0.0000">
                  <c:v>0.40952564489008658</c:v>
                </c:pt>
                <c:pt idx="583" formatCode="0.0000">
                  <c:v>0.405547334242568</c:v>
                </c:pt>
                <c:pt idx="584" formatCode="0.0000">
                  <c:v>0.40356674724918196</c:v>
                </c:pt>
                <c:pt idx="585" formatCode="0.0000">
                  <c:v>0.39770375385581502</c:v>
                </c:pt>
                <c:pt idx="586" formatCode="0.0000">
                  <c:v>0.39383777471383252</c:v>
                </c:pt>
                <c:pt idx="587" formatCode="0.0000">
                  <c:v>0.39000833594366374</c:v>
                </c:pt>
                <c:pt idx="588" formatCode="0.0000">
                  <c:v>0.42442164725654341</c:v>
                </c:pt>
                <c:pt idx="589" formatCode="0.0000">
                  <c:v>0.38844123567350924</c:v>
                </c:pt>
                <c:pt idx="590" formatCode="0.0000">
                  <c:v>0.38298061575373693</c:v>
                </c:pt>
                <c:pt idx="591" formatCode="0.0000">
                  <c:v>0.37539369305805309</c:v>
                </c:pt>
                <c:pt idx="592" formatCode="0.0000">
                  <c:v>0.37141508977905358</c:v>
                </c:pt>
                <c:pt idx="593" formatCode="0.0000">
                  <c:v>0.36780244655667471</c:v>
                </c:pt>
                <c:pt idx="594" formatCode="0.0000">
                  <c:v>0.36422391361558093</c:v>
                </c:pt>
                <c:pt idx="595" formatCode="0.0000">
                  <c:v>0.36142569786285883</c:v>
                </c:pt>
                <c:pt idx="596" formatCode="0.0000">
                  <c:v>0.35716826415145597</c:v>
                </c:pt>
                <c:pt idx="597" formatCode="0.0000">
                  <c:v>0.35369051780143118</c:v>
                </c:pt>
                <c:pt idx="598" formatCode="0.0000">
                  <c:v>0.350245626297782</c:v>
                </c:pt>
                <c:pt idx="599" formatCode="0.0000">
                  <c:v>0.39842409007770807</c:v>
                </c:pt>
                <c:pt idx="600" formatCode="0.0000">
                  <c:v>0.35163762792550296</c:v>
                </c:pt>
                <c:pt idx="601" formatCode="0.0000">
                  <c:v>0.34108843436381653</c:v>
                </c:pt>
                <c:pt idx="602" formatCode="0.0000">
                  <c:v>0.33680535978964155</c:v>
                </c:pt>
                <c:pt idx="603" formatCode="0.0000">
                  <c:v>0.33352551816325321</c:v>
                </c:pt>
                <c:pt idx="604" formatCode="0.0000">
                  <c:v>0.33027659735383369</c:v>
                </c:pt>
                <c:pt idx="605" formatCode="0.0000">
                  <c:v>0.32705828992390323</c:v>
                </c:pt>
                <c:pt idx="606" formatCode="0.0000">
                  <c:v>0.32387033310648661</c:v>
                </c:pt>
                <c:pt idx="607" formatCode="0.0000">
                  <c:v>0.32071244513512959</c:v>
                </c:pt>
                <c:pt idx="608" formatCode="0.0000">
                  <c:v>0.3175843752359</c:v>
                </c:pt>
                <c:pt idx="609" formatCode="0.0000">
                  <c:v>0.31448583182520751</c:v>
                </c:pt>
                <c:pt idx="610" formatCode="0.0000">
                  <c:v>0.31141653772188027</c:v>
                </c:pt>
                <c:pt idx="611" formatCode="0.0000">
                  <c:v>0.30837624394944235</c:v>
                </c:pt>
                <c:pt idx="612" formatCode="0.0000">
                  <c:v>0.30536468877619688</c:v>
                </c:pt>
                <c:pt idx="613" formatCode="0.0000">
                  <c:v>0.3023815927385094</c:v>
                </c:pt>
                <c:pt idx="614" formatCode="0.0000">
                  <c:v>0.29942669993084242</c:v>
                </c:pt>
                <c:pt idx="615" formatCode="0.0000">
                  <c:v>0.29649974594835937</c:v>
                </c:pt>
                <c:pt idx="616" formatCode="0.0000">
                  <c:v>0.29360047865822325</c:v>
                </c:pt>
                <c:pt idx="617" formatCode="0.0000">
                  <c:v>0.29072864462928849</c:v>
                </c:pt>
                <c:pt idx="618" formatCode="0.0000">
                  <c:v>0.28788400484394677</c:v>
                </c:pt>
                <c:pt idx="619" formatCode="0.0000">
                  <c:v>0.28506630592454252</c:v>
                </c:pt>
                <c:pt idx="620" formatCode="0.0000">
                  <c:v>0.28227531431345088</c:v>
                </c:pt>
                <c:pt idx="621" formatCode="0.0000">
                  <c:v>0.27951076689065141</c:v>
                </c:pt>
                <c:pt idx="622" formatCode="0.0000">
                  <c:v>0.2767724236921863</c:v>
                </c:pt>
                <c:pt idx="623" formatCode="0.0000">
                  <c:v>0.27406004626395941</c:v>
                </c:pt>
                <c:pt idx="624" formatCode="0.0000">
                  <c:v>0.27137340215701822</c:v>
                </c:pt>
                <c:pt idx="625" formatCode="0.0000">
                  <c:v>0.26871226293196943</c:v>
                </c:pt>
                <c:pt idx="626" formatCode="0.0000">
                  <c:v>0.26607639405466965</c:v>
                </c:pt>
                <c:pt idx="627" formatCode="0.0000">
                  <c:v>0.26346557345366284</c:v>
                </c:pt>
                <c:pt idx="628" formatCode="0.0000">
                  <c:v>0.26332120284918753</c:v>
                </c:pt>
                <c:pt idx="629" formatCode="0.0000">
                  <c:v>0.25831993458232194</c:v>
                </c:pt>
                <c:pt idx="630" formatCode="0.0000">
                  <c:v>0.25578459975379586</c:v>
                </c:pt>
                <c:pt idx="631" formatCode="0.0000">
                  <c:v>0.25327335517268129</c:v>
                </c:pt>
                <c:pt idx="632" formatCode="0.0000">
                  <c:v>0.25078598842473188</c:v>
                </c:pt>
                <c:pt idx="633" formatCode="0.0000">
                  <c:v>0.24832227923647138</c:v>
                </c:pt>
                <c:pt idx="634" formatCode="0.0000">
                  <c:v>0.24588201078243038</c:v>
                </c:pt>
                <c:pt idx="635" formatCode="0.0000">
                  <c:v>0.24346497725664024</c:v>
                </c:pt>
                <c:pt idx="636" formatCode="0.0000">
                  <c:v>0.24107097223719426</c:v>
                </c:pt>
                <c:pt idx="637" formatCode="0.0000">
                  <c:v>0.25010502440791482</c:v>
                </c:pt>
                <c:pt idx="638" formatCode="0.0000">
                  <c:v>0.3243123234215276</c:v>
                </c:pt>
                <c:pt idx="639" formatCode="0.0000">
                  <c:v>0.26136131445280719</c:v>
                </c:pt>
                <c:pt idx="640" formatCode="0.0000">
                  <c:v>0.23583805040466738</c:v>
                </c:pt>
                <c:pt idx="641" formatCode="0.0000">
                  <c:v>0.2297086371913015</c:v>
                </c:pt>
                <c:pt idx="642" formatCode="0.0000">
                  <c:v>0.22726380345985725</c:v>
                </c:pt>
                <c:pt idx="643" formatCode="0.0000">
                  <c:v>0.22504280080640532</c:v>
                </c:pt>
                <c:pt idx="644" formatCode="0.0000">
                  <c:v>0.2228425737114316</c:v>
                </c:pt>
                <c:pt idx="645" formatCode="0.0000">
                  <c:v>0.22066295040096603</c:v>
                </c:pt>
                <c:pt idx="646" formatCode="0.0000">
                  <c:v>0.21850374353834603</c:v>
                </c:pt>
                <c:pt idx="647" formatCode="0.0000">
                  <c:v>0.21636477927048367</c:v>
                </c:pt>
                <c:pt idx="648" formatCode="0.0000">
                  <c:v>0.21424591490841421</c:v>
                </c:pt>
                <c:pt idx="649" formatCode="0.0000">
                  <c:v>0.21214693997762415</c:v>
                </c:pt>
                <c:pt idx="650" formatCode="0.0000">
                  <c:v>0.21006768879692594</c:v>
                </c:pt>
                <c:pt idx="651" formatCode="0.0000">
                  <c:v>0.20800799538320761</c:v>
                </c:pt>
                <c:pt idx="652" formatCode="0.0000">
                  <c:v>0.20596770630977262</c:v>
                </c:pt>
                <c:pt idx="653" formatCode="0.0000">
                  <c:v>0.23297049447664522</c:v>
                </c:pt>
                <c:pt idx="654" formatCode="0.0000">
                  <c:v>0.20806903588241282</c:v>
                </c:pt>
                <c:pt idx="655" formatCode="0.0000">
                  <c:v>0.3325655199381044</c:v>
                </c:pt>
                <c:pt idx="656" formatCode="0.0000">
                  <c:v>0.36578601962130874</c:v>
                </c:pt>
                <c:pt idx="657" formatCode="0.0000">
                  <c:v>0.86629250241696676</c:v>
                </c:pt>
                <c:pt idx="658" formatCode="0.0000">
                  <c:v>0.90583237109021719</c:v>
                </c:pt>
                <c:pt idx="659" formatCode="0.0000">
                  <c:v>1.195045580975642</c:v>
                </c:pt>
                <c:pt idx="660" formatCode="0.0000">
                  <c:v>1.0963069019625906</c:v>
                </c:pt>
                <c:pt idx="661" formatCode="0.0000">
                  <c:v>1.0022250848159331</c:v>
                </c:pt>
                <c:pt idx="662" formatCode="0.0000">
                  <c:v>1.1628950150144963</c:v>
                </c:pt>
                <c:pt idx="663" formatCode="0.0000">
                  <c:v>1.1693829286870876</c:v>
                </c:pt>
                <c:pt idx="664" formatCode="0.0000">
                  <c:v>1.0720050507118757</c:v>
                </c:pt>
                <c:pt idx="665" formatCode="0.0000">
                  <c:v>1.0520568245052559</c:v>
                </c:pt>
                <c:pt idx="666" formatCode="0.0000">
                  <c:v>1.0528126868771415</c:v>
                </c:pt>
                <c:pt idx="667" formatCode="0.0000">
                  <c:v>1.0155451869328391</c:v>
                </c:pt>
                <c:pt idx="668" formatCode="0.0000">
                  <c:v>1.0993484236773552</c:v>
                </c:pt>
                <c:pt idx="669" formatCode="0.0000">
                  <c:v>1.0551168800117514</c:v>
                </c:pt>
                <c:pt idx="670" formatCode="0.0000">
                  <c:v>0.96828839406062661</c:v>
                </c:pt>
                <c:pt idx="671" formatCode="0.0000">
                  <c:v>0.91542159670700007</c:v>
                </c:pt>
                <c:pt idx="672" formatCode="0.0000">
                  <c:v>0.82247728368695727</c:v>
                </c:pt>
                <c:pt idx="673" formatCode="0.0000">
                  <c:v>0.80945514446574951</c:v>
                </c:pt>
                <c:pt idx="674" formatCode="0.0000">
                  <c:v>0.72083975092550412</c:v>
                </c:pt>
                <c:pt idx="675" formatCode="0.0000">
                  <c:v>0.64766432134022411</c:v>
                </c:pt>
                <c:pt idx="676" formatCode="0.0000">
                  <c:v>0.63070889448270728</c:v>
                </c:pt>
                <c:pt idx="677" formatCode="0.0000">
                  <c:v>0.54776023396151607</c:v>
                </c:pt>
                <c:pt idx="678" formatCode="0.0000">
                  <c:v>0.54648306375288225</c:v>
                </c:pt>
                <c:pt idx="679" formatCode="0.0000">
                  <c:v>0.49840202979545939</c:v>
                </c:pt>
                <c:pt idx="680" formatCode="0.0000">
                  <c:v>0.42269953216096773</c:v>
                </c:pt>
                <c:pt idx="681" formatCode="0.0000">
                  <c:v>0.40678247153862057</c:v>
                </c:pt>
                <c:pt idx="682" formatCode="0.0000">
                  <c:v>0.33137965280882997</c:v>
                </c:pt>
                <c:pt idx="683" formatCode="0.0000">
                  <c:v>0.26979238579134163</c:v>
                </c:pt>
                <c:pt idx="684" formatCode="0.0000">
                  <c:v>0.19917537097558591</c:v>
                </c:pt>
                <c:pt idx="685" formatCode="0.0000">
                  <c:v>0.16496232379686462</c:v>
                </c:pt>
                <c:pt idx="686" formatCode="0.0000">
                  <c:v>0.15802672031907647</c:v>
                </c:pt>
                <c:pt idx="687" formatCode="0.0000">
                  <c:v>0.17001539172673982</c:v>
                </c:pt>
                <c:pt idx="688" formatCode="0.0000">
                  <c:v>0.15999538630113247</c:v>
                </c:pt>
                <c:pt idx="689" formatCode="0.0000">
                  <c:v>0.49646905551883119</c:v>
                </c:pt>
                <c:pt idx="690" formatCode="0.0000">
                  <c:v>0.70215097792948633</c:v>
                </c:pt>
                <c:pt idx="691" formatCode="0.0000">
                  <c:v>0.62985103575076973</c:v>
                </c:pt>
                <c:pt idx="692" formatCode="0.0000">
                  <c:v>0.56215360826883531</c:v>
                </c:pt>
                <c:pt idx="693" formatCode="0.0000">
                  <c:v>0.59305333017761186</c:v>
                </c:pt>
                <c:pt idx="694" formatCode="0.0000">
                  <c:v>0.91954933694659868</c:v>
                </c:pt>
                <c:pt idx="695" formatCode="0.0000">
                  <c:v>1.0326944479697548</c:v>
                </c:pt>
                <c:pt idx="696" formatCode="0.0000">
                  <c:v>0.93432195902159232</c:v>
                </c:pt>
                <c:pt idx="697" formatCode="0.0000">
                  <c:v>0.8385493783305048</c:v>
                </c:pt>
                <c:pt idx="698" formatCode="0.0000">
                  <c:v>0.74773848465911552</c:v>
                </c:pt>
                <c:pt idx="699" formatCode="0.0000">
                  <c:v>0.88699171668032617</c:v>
                </c:pt>
                <c:pt idx="700" formatCode="0.0000">
                  <c:v>1.1729693682156885</c:v>
                </c:pt>
                <c:pt idx="701" formatCode="0.0000">
                  <c:v>1.0784027805885288</c:v>
                </c:pt>
                <c:pt idx="702" formatCode="0.0000">
                  <c:v>0.9778598960750633</c:v>
                </c:pt>
                <c:pt idx="703" formatCode="0.0000">
                  <c:v>0.88244779831044273</c:v>
                </c:pt>
                <c:pt idx="704" formatCode="0.0000">
                  <c:v>0.79172486650655371</c:v>
                </c:pt>
                <c:pt idx="705" formatCode="0.0000">
                  <c:v>0.70533222875621671</c:v>
                </c:pt>
                <c:pt idx="706" formatCode="0.0000">
                  <c:v>0.62164588912632823</c:v>
                </c:pt>
                <c:pt idx="707" formatCode="0.0000">
                  <c:v>0.53909761042030169</c:v>
                </c:pt>
                <c:pt idx="708" formatCode="0.0000">
                  <c:v>0.45939476245302979</c:v>
                </c:pt>
                <c:pt idx="709" formatCode="0.0000">
                  <c:v>0.38237399289143709</c:v>
                </c:pt>
                <c:pt idx="710" formatCode="0.0000">
                  <c:v>0.30747486526526607</c:v>
                </c:pt>
                <c:pt idx="711" formatCode="0.0000">
                  <c:v>0.23856265810751526</c:v>
                </c:pt>
                <c:pt idx="712" formatCode="0.0000">
                  <c:v>0.16903627893158174</c:v>
                </c:pt>
                <c:pt idx="713" formatCode="0.0000">
                  <c:v>0.13255627270730322</c:v>
                </c:pt>
                <c:pt idx="714" formatCode="0.0000">
                  <c:v>0.12557861979083834</c:v>
                </c:pt>
                <c:pt idx="715" formatCode="0.0000">
                  <c:v>0.12387843960588392</c:v>
                </c:pt>
                <c:pt idx="716" formatCode="0.0000">
                  <c:v>0.12274287794657665</c:v>
                </c:pt>
                <c:pt idx="717" formatCode="0.0000">
                  <c:v>0.18158785802486316</c:v>
                </c:pt>
                <c:pt idx="718" formatCode="0.0000">
                  <c:v>0.13231210232916818</c:v>
                </c:pt>
                <c:pt idx="719" formatCode="0.0000">
                  <c:v>0.12082950374892557</c:v>
                </c:pt>
                <c:pt idx="720" formatCode="0.0000">
                  <c:v>0.29328260251051635</c:v>
                </c:pt>
                <c:pt idx="721" formatCode="0.0000">
                  <c:v>0.27620544381651213</c:v>
                </c:pt>
                <c:pt idx="722" formatCode="0.0000">
                  <c:v>0.22418292229418088</c:v>
                </c:pt>
                <c:pt idx="723" formatCode="0.0000">
                  <c:v>0.65670861723492935</c:v>
                </c:pt>
                <c:pt idx="724" formatCode="0.0000">
                  <c:v>0.57250672668402458</c:v>
                </c:pt>
                <c:pt idx="725" formatCode="0.0000">
                  <c:v>0.49114574495500291</c:v>
                </c:pt>
                <c:pt idx="726" formatCode="0.0000">
                  <c:v>0.84205144719772185</c:v>
                </c:pt>
                <c:pt idx="727" formatCode="0.0000">
                  <c:v>0.81563707732054014</c:v>
                </c:pt>
                <c:pt idx="728" formatCode="0.0000">
                  <c:v>0.72589240047108383</c:v>
                </c:pt>
                <c:pt idx="729" formatCode="0.0000">
                  <c:v>1.1882704256258443</c:v>
                </c:pt>
                <c:pt idx="730" formatCode="0.0000">
                  <c:v>1.1832578572071977</c:v>
                </c:pt>
                <c:pt idx="731" formatCode="0.0000">
                  <c:v>1.1663823817864394</c:v>
                </c:pt>
                <c:pt idx="732" formatCode="0.0000">
                  <c:v>1.2032111017452625</c:v>
                </c:pt>
                <c:pt idx="733" formatCode="0.0000">
                  <c:v>1.2101154296922787</c:v>
                </c:pt>
                <c:pt idx="734" formatCode="0.0000">
                  <c:v>1.2169275505140407</c:v>
                </c:pt>
                <c:pt idx="735" formatCode="0.0000">
                  <c:v>1.1951109577612571</c:v>
                </c:pt>
              </c:numCache>
            </c:numRef>
          </c:yVal>
          <c:smooth val="0"/>
          <c:extLst>
            <c:ext xmlns:c16="http://schemas.microsoft.com/office/drawing/2014/chart" uri="{C3380CC4-5D6E-409C-BE32-E72D297353CC}">
              <c16:uniqueId val="{00000001-232F-9B44-9BE3-F3FB74B15743}"/>
            </c:ext>
          </c:extLst>
        </c:ser>
        <c:ser>
          <c:idx val="2"/>
          <c:order val="2"/>
          <c:tx>
            <c:strRef>
              <c:f>Escenarios!$F$28</c:f>
              <c:strCache>
                <c:ptCount val="1"/>
                <c:pt idx="0">
                  <c:v>Escenario 2</c:v>
                </c:pt>
              </c:strCache>
            </c:strRef>
          </c:tx>
          <c:spPr>
            <a:ln w="12700">
              <a:solidFill>
                <a:schemeClr val="accent6"/>
              </a:solidFill>
            </a:ln>
          </c:spPr>
          <c:marker>
            <c:symbol val="none"/>
          </c:marker>
          <c:xVal>
            <c:strRef>
              <c:f>Escenario2!$C:$C</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Escenario2!$BN:$BN</c:f>
              <c:numCache>
                <c:formatCode>General</c:formatCode>
                <c:ptCount val="1048576"/>
                <c:pt idx="4">
                  <c:v>0</c:v>
                </c:pt>
                <c:pt idx="6" formatCode="0.0000">
                  <c:v>1.0367999999999999</c:v>
                </c:pt>
                <c:pt idx="7" formatCode="0.0000">
                  <c:v>1.0367999999999999</c:v>
                </c:pt>
                <c:pt idx="8" formatCode="0.0000">
                  <c:v>1.0367999999999999</c:v>
                </c:pt>
                <c:pt idx="9" formatCode="0.0000">
                  <c:v>1.0367999999999999</c:v>
                </c:pt>
                <c:pt idx="10" formatCode="0.0000">
                  <c:v>1.0367999999999999</c:v>
                </c:pt>
                <c:pt idx="11" formatCode="0.0000">
                  <c:v>1.0374413142603918</c:v>
                </c:pt>
                <c:pt idx="12" formatCode="0.0000">
                  <c:v>1.0374315116134751</c:v>
                </c:pt>
                <c:pt idx="13" formatCode="0.0000">
                  <c:v>1.0374218588024382</c:v>
                </c:pt>
                <c:pt idx="14" formatCode="0.0000">
                  <c:v>1.037412353537003</c:v>
                </c:pt>
                <c:pt idx="15" formatCode="0.0000">
                  <c:v>1.0024977939859598</c:v>
                </c:pt>
                <c:pt idx="16" formatCode="0.0000">
                  <c:v>0.99009904796754478</c:v>
                </c:pt>
                <c:pt idx="17" formatCode="0.0000">
                  <c:v>1.0381578018745465</c:v>
                </c:pt>
                <c:pt idx="18" formatCode="0.0000">
                  <c:v>1.0381370475374279</c:v>
                </c:pt>
                <c:pt idx="19" formatCode="0.0000">
                  <c:v>1.03811661043548</c:v>
                </c:pt>
                <c:pt idx="20" formatCode="0.0000">
                  <c:v>1.0380964857196846</c:v>
                </c:pt>
                <c:pt idx="21" formatCode="0.0000">
                  <c:v>1.0196170915693687</c:v>
                </c:pt>
                <c:pt idx="22" formatCode="0.0000">
                  <c:v>1.0380571544199388</c:v>
                </c:pt>
                <c:pt idx="23" formatCode="0.0000">
                  <c:v>1.0380379385040306</c:v>
                </c:pt>
                <c:pt idx="24" formatCode="0.0000">
                  <c:v>1.0380190163081444</c:v>
                </c:pt>
                <c:pt idx="25" formatCode="0.0000">
                  <c:v>1.0380003833426974</c:v>
                </c:pt>
                <c:pt idx="26" formatCode="0.0000">
                  <c:v>1.0381350360045973</c:v>
                </c:pt>
                <c:pt idx="27" formatCode="0.0000">
                  <c:v>1.0381146296494255</c:v>
                </c:pt>
                <c:pt idx="28" formatCode="0.0000">
                  <c:v>1.0399830758215658</c:v>
                </c:pt>
                <c:pt idx="29" formatCode="0.0000">
                  <c:v>1.0413047771606279</c:v>
                </c:pt>
                <c:pt idx="30" formatCode="0.0000">
                  <c:v>1.0412359205287522</c:v>
                </c:pt>
                <c:pt idx="31" formatCode="0.0000">
                  <c:v>1.0411681163875071</c:v>
                </c:pt>
                <c:pt idx="32" formatCode="0.0000">
                  <c:v>1.0411013486493128</c:v>
                </c:pt>
                <c:pt idx="33" formatCode="0.0000">
                  <c:v>1.0410356014724931</c:v>
                </c:pt>
                <c:pt idx="34" formatCode="0.0000">
                  <c:v>1.0409708592575146</c:v>
                </c:pt>
                <c:pt idx="35" formatCode="0.0000">
                  <c:v>1.0409071066432878</c:v>
                </c:pt>
                <c:pt idx="36" formatCode="0.0000">
                  <c:v>1.0408443285035205</c:v>
                </c:pt>
                <c:pt idx="37" formatCode="0.0000">
                  <c:v>1.0407825099431298</c:v>
                </c:pt>
                <c:pt idx="38" formatCode="0.0000">
                  <c:v>1.0330112316934525</c:v>
                </c:pt>
                <c:pt idx="39" formatCode="0.0000">
                  <c:v>0.92872369728563442</c:v>
                </c:pt>
                <c:pt idx="40" formatCode="0.0000">
                  <c:v>0.9292996066814373</c:v>
                </c:pt>
                <c:pt idx="41" formatCode="0.0000">
                  <c:v>0.82779545953932065</c:v>
                </c:pt>
                <c:pt idx="42" formatCode="0.0000">
                  <c:v>0.72851184191209573</c:v>
                </c:pt>
                <c:pt idx="43" formatCode="0.0000">
                  <c:v>1.0381163941196383</c:v>
                </c:pt>
                <c:pt idx="44" formatCode="0.0000">
                  <c:v>0.93252535419353844</c:v>
                </c:pt>
                <c:pt idx="45" formatCode="0.0000">
                  <c:v>0.89501730127924783</c:v>
                </c:pt>
                <c:pt idx="46" formatCode="0.0000">
                  <c:v>1.0411802479109447</c:v>
                </c:pt>
                <c:pt idx="47" formatCode="0.0000">
                  <c:v>1.0411132947394175</c:v>
                </c:pt>
                <c:pt idx="48" formatCode="0.0000">
                  <c:v>1.0410473649636589</c:v>
                </c:pt>
                <c:pt idx="49" formatCode="0.0000">
                  <c:v>1.0409824429408117</c:v>
                </c:pt>
                <c:pt idx="50" formatCode="0.0000">
                  <c:v>1.0409185132671237</c:v>
                </c:pt>
                <c:pt idx="51" formatCode="0.0000">
                  <c:v>1.0179529249163646</c:v>
                </c:pt>
                <c:pt idx="52" formatCode="0.0000">
                  <c:v>1.0414960048791162</c:v>
                </c:pt>
                <c:pt idx="53" formatCode="0.0000">
                  <c:v>1.0414242252843178</c:v>
                </c:pt>
                <c:pt idx="54" formatCode="0.0000">
                  <c:v>1.0426239179328756</c:v>
                </c:pt>
                <c:pt idx="55" formatCode="0.0000">
                  <c:v>1.0425348979083822</c:v>
                </c:pt>
                <c:pt idx="56" formatCode="0.0000">
                  <c:v>1.0460329805986797</c:v>
                </c:pt>
                <c:pt idx="57" formatCode="0.0000">
                  <c:v>1.0506733626046061</c:v>
                </c:pt>
                <c:pt idx="58" formatCode="0.0000">
                  <c:v>1.0556654838776429</c:v>
                </c:pt>
                <c:pt idx="59" formatCode="0.0000">
                  <c:v>1.0632568049007305</c:v>
                </c:pt>
                <c:pt idx="60" formatCode="0.0000">
                  <c:v>1.0713362725718469</c:v>
                </c:pt>
                <c:pt idx="61" formatCode="0.0000">
                  <c:v>1.0777758778939244</c:v>
                </c:pt>
                <c:pt idx="62" formatCode="0.0000">
                  <c:v>1.0822914045896848</c:v>
                </c:pt>
                <c:pt idx="63" formatCode="0.0000">
                  <c:v>1.0857751930603377</c:v>
                </c:pt>
                <c:pt idx="64" formatCode="0.0000">
                  <c:v>1.0876571633334298</c:v>
                </c:pt>
                <c:pt idx="65" formatCode="0.0000">
                  <c:v>1.0879246641660949</c:v>
                </c:pt>
                <c:pt idx="66" formatCode="0.0000">
                  <c:v>1.0882527562046611</c:v>
                </c:pt>
                <c:pt idx="67" formatCode="0.0000">
                  <c:v>1.0874662881138684</c:v>
                </c:pt>
                <c:pt idx="68" formatCode="0.0000">
                  <c:v>1.0866918413821527</c:v>
                </c:pt>
                <c:pt idx="69" formatCode="0.0000">
                  <c:v>1.0859292322600702</c:v>
                </c:pt>
                <c:pt idx="70" formatCode="0.0000">
                  <c:v>1.0851782798068332</c:v>
                </c:pt>
                <c:pt idx="71" formatCode="0.0000">
                  <c:v>1.0844388058473786</c:v>
                </c:pt>
                <c:pt idx="72" formatCode="0.0000">
                  <c:v>1.0923670442608524</c:v>
                </c:pt>
                <c:pt idx="73" formatCode="0.0000">
                  <c:v>1.0994477894655794</c:v>
                </c:pt>
                <c:pt idx="74" formatCode="0.0000">
                  <c:v>1.1077727172372669</c:v>
                </c:pt>
                <c:pt idx="75" formatCode="0.0000">
                  <c:v>1.1162115148715193</c:v>
                </c:pt>
                <c:pt idx="76" formatCode="0.0000">
                  <c:v>1.1265320708263886</c:v>
                </c:pt>
                <c:pt idx="77" formatCode="0.0000">
                  <c:v>1.1372347121441</c:v>
                </c:pt>
                <c:pt idx="78" formatCode="0.0000">
                  <c:v>1.1477323797555929</c:v>
                </c:pt>
                <c:pt idx="79" formatCode="0.0000">
                  <c:v>1.1582619190552146</c:v>
                </c:pt>
                <c:pt idx="80" formatCode="0.0000">
                  <c:v>1.1703953378673464</c:v>
                </c:pt>
                <c:pt idx="81" formatCode="0.0000">
                  <c:v>1.1806795002449111</c:v>
                </c:pt>
                <c:pt idx="82" formatCode="0.0000">
                  <c:v>1.1899954375225754</c:v>
                </c:pt>
                <c:pt idx="83" formatCode="0.0000">
                  <c:v>1.1975099606676571</c:v>
                </c:pt>
                <c:pt idx="84" formatCode="0.0000">
                  <c:v>1.2049755581587316</c:v>
                </c:pt>
                <c:pt idx="85" formatCode="0.0000">
                  <c:v>1.2108260370720367</c:v>
                </c:pt>
                <c:pt idx="86" formatCode="0.0000">
                  <c:v>1.2158012987279199</c:v>
                </c:pt>
                <c:pt idx="87" formatCode="0.0000">
                  <c:v>1.2203607267451331</c:v>
                </c:pt>
                <c:pt idx="88" formatCode="0.0000">
                  <c:v>1.2232594762841917</c:v>
                </c:pt>
                <c:pt idx="89" formatCode="0.0000">
                  <c:v>1.2244851310221627</c:v>
                </c:pt>
                <c:pt idx="90" formatCode="0.0000">
                  <c:v>1.2243352892403798</c:v>
                </c:pt>
                <c:pt idx="91" formatCode="0.0000">
                  <c:v>1.2227598236426043</c:v>
                </c:pt>
                <c:pt idx="92" formatCode="0.0000">
                  <c:v>1.2253414293801312</c:v>
                </c:pt>
                <c:pt idx="93" formatCode="0.0000">
                  <c:v>1.2263680753637665</c:v>
                </c:pt>
                <c:pt idx="94" formatCode="0.0000">
                  <c:v>1.2268416801449535</c:v>
                </c:pt>
                <c:pt idx="95" formatCode="0.0000">
                  <c:v>1.2258054004506345</c:v>
                </c:pt>
                <c:pt idx="96" formatCode="0.0000">
                  <c:v>1.2234272429824757</c:v>
                </c:pt>
                <c:pt idx="97" formatCode="0.0000">
                  <c:v>1.2205745994643227</c:v>
                </c:pt>
                <c:pt idx="98" formatCode="0.0000">
                  <c:v>1.2177655593071346</c:v>
                </c:pt>
                <c:pt idx="99" formatCode="0.0000">
                  <c:v>1.2149994560227662</c:v>
                </c:pt>
                <c:pt idx="100" formatCode="0.0000">
                  <c:v>1.2122756333105082</c:v>
                </c:pt>
                <c:pt idx="101" formatCode="0.0000">
                  <c:v>1.2095934449013699</c:v>
                </c:pt>
                <c:pt idx="102" formatCode="0.0000">
                  <c:v>1.2069522544047417</c:v>
                </c:pt>
                <c:pt idx="103" formatCode="0.0000">
                  <c:v>1.2043514351574018</c:v>
                </c:pt>
                <c:pt idx="104" formatCode="0.0000">
                  <c:v>1.194274411527884</c:v>
                </c:pt>
                <c:pt idx="105" formatCode="0.0000">
                  <c:v>1.1815766654259277</c:v>
                </c:pt>
                <c:pt idx="106" formatCode="0.0000">
                  <c:v>1.1690461294529664</c:v>
                </c:pt>
                <c:pt idx="107" formatCode="0.0000">
                  <c:v>1.1943396695920241</c:v>
                </c:pt>
                <c:pt idx="108" formatCode="0.0000">
                  <c:v>1.1785346133275452</c:v>
                </c:pt>
                <c:pt idx="109" formatCode="0.0000">
                  <c:v>1.1379491578352405</c:v>
                </c:pt>
                <c:pt idx="110" formatCode="0.0000">
                  <c:v>1.1212390230544249</c:v>
                </c:pt>
                <c:pt idx="111" formatCode="0.0000">
                  <c:v>1.1085995089396108</c:v>
                </c:pt>
                <c:pt idx="112" formatCode="0.0000">
                  <c:v>1.096743062664399</c:v>
                </c:pt>
                <c:pt idx="113" formatCode="0.0000">
                  <c:v>1.0893195850717261</c:v>
                </c:pt>
                <c:pt idx="114" formatCode="0.0000">
                  <c:v>1.0773411929846035</c:v>
                </c:pt>
                <c:pt idx="115" formatCode="0.0000">
                  <c:v>1.0629124034383113</c:v>
                </c:pt>
                <c:pt idx="116" formatCode="0.0000">
                  <c:v>1.0511774209411366</c:v>
                </c:pt>
                <c:pt idx="117" formatCode="0.0000">
                  <c:v>1.0435882142115243</c:v>
                </c:pt>
                <c:pt idx="118" formatCode="0.0000">
                  <c:v>1.0295931980417272</c:v>
                </c:pt>
                <c:pt idx="119" formatCode="0.0000">
                  <c:v>1.0182317171082915</c:v>
                </c:pt>
                <c:pt idx="120" formatCode="0.0000">
                  <c:v>1.0074054818064957</c:v>
                </c:pt>
                <c:pt idx="121" formatCode="0.0000">
                  <c:v>1.1637802430053334</c:v>
                </c:pt>
                <c:pt idx="122" formatCode="0.0000">
                  <c:v>1.1618393186185509</c:v>
                </c:pt>
                <c:pt idx="123" formatCode="0.0000">
                  <c:v>1.1572739048141847</c:v>
                </c:pt>
                <c:pt idx="124" formatCode="0.0000">
                  <c:v>1.0821256801651473</c:v>
                </c:pt>
                <c:pt idx="125" formatCode="0.0000">
                  <c:v>1.0111830275297147</c:v>
                </c:pt>
                <c:pt idx="126" formatCode="0.0000">
                  <c:v>0.95459214297654071</c:v>
                </c:pt>
                <c:pt idx="127" formatCode="0.0000">
                  <c:v>0.93691811756802013</c:v>
                </c:pt>
                <c:pt idx="128" formatCode="0.0000">
                  <c:v>0.92579154926751783</c:v>
                </c:pt>
                <c:pt idx="129" formatCode="0.0000">
                  <c:v>0.91584017007264695</c:v>
                </c:pt>
                <c:pt idx="130" formatCode="0.0000">
                  <c:v>0.90617152912513665</c:v>
                </c:pt>
                <c:pt idx="131" formatCode="0.0000">
                  <c:v>0.89663655166328704</c:v>
                </c:pt>
                <c:pt idx="132" formatCode="0.0000">
                  <c:v>0.8872095275676134</c:v>
                </c:pt>
                <c:pt idx="133" formatCode="0.0000">
                  <c:v>0.87788522879438669</c:v>
                </c:pt>
                <c:pt idx="134" formatCode="0.0000">
                  <c:v>0.86986087850208893</c:v>
                </c:pt>
                <c:pt idx="135" formatCode="0.0000">
                  <c:v>0.85973707642173025</c:v>
                </c:pt>
                <c:pt idx="136" formatCode="0.0000">
                  <c:v>0.85054593378367027</c:v>
                </c:pt>
                <c:pt idx="137" formatCode="0.0000">
                  <c:v>0.84159062918913985</c:v>
                </c:pt>
                <c:pt idx="138" formatCode="0.0000">
                  <c:v>0.83275462778760634</c:v>
                </c:pt>
                <c:pt idx="139" formatCode="0.0000">
                  <c:v>0.82401769593452168</c:v>
                </c:pt>
                <c:pt idx="140" formatCode="0.0000">
                  <c:v>0.81537559031083173</c:v>
                </c:pt>
                <c:pt idx="141" formatCode="0.0000">
                  <c:v>0.80682673130241145</c:v>
                </c:pt>
                <c:pt idx="142" formatCode="0.0000">
                  <c:v>0.7983699915033291</c:v>
                </c:pt>
                <c:pt idx="143" formatCode="0.0000">
                  <c:v>0.79000432862357106</c:v>
                </c:pt>
                <c:pt idx="144" formatCode="0.0000">
                  <c:v>0.78172872445206898</c:v>
                </c:pt>
                <c:pt idx="145" formatCode="0.0000">
                  <c:v>0.77354217460699393</c:v>
                </c:pt>
                <c:pt idx="146" formatCode="0.0000">
                  <c:v>0.76544368671505891</c:v>
                </c:pt>
                <c:pt idx="147" formatCode="0.0000">
                  <c:v>0.75743227999103124</c:v>
                </c:pt>
                <c:pt idx="148" formatCode="0.0000">
                  <c:v>0.74950698505110425</c:v>
                </c:pt>
                <c:pt idx="149" formatCode="0.0000">
                  <c:v>0.74166684376656677</c:v>
                </c:pt>
                <c:pt idx="150" formatCode="0.0000">
                  <c:v>0.73391090912563239</c:v>
                </c:pt>
                <c:pt idx="151" formatCode="0.0000">
                  <c:v>0.72623824509807566</c:v>
                </c:pt>
                <c:pt idx="152" formatCode="0.0000">
                  <c:v>0.71864792650176512</c:v>
                </c:pt>
                <c:pt idx="153" formatCode="0.0000">
                  <c:v>0.71113903887092988</c:v>
                </c:pt>
                <c:pt idx="154" formatCode="0.0000">
                  <c:v>0.70371067832610523</c:v>
                </c:pt>
                <c:pt idx="155" formatCode="0.0000">
                  <c:v>0.69636195144573632</c:v>
                </c:pt>
                <c:pt idx="156" formatCode="0.0000">
                  <c:v>0.68909197513941445</c:v>
                </c:pt>
                <c:pt idx="157" formatCode="0.0000">
                  <c:v>0.68189987652272532</c:v>
                </c:pt>
                <c:pt idx="158" formatCode="0.0000">
                  <c:v>0.97742950881030888</c:v>
                </c:pt>
                <c:pt idx="159" formatCode="0.0000">
                  <c:v>0.95621605772671359</c:v>
                </c:pt>
                <c:pt idx="160" formatCode="0.0000">
                  <c:v>0.89134945577421287</c:v>
                </c:pt>
                <c:pt idx="161" formatCode="0.0000">
                  <c:v>0.83175185454215006</c:v>
                </c:pt>
                <c:pt idx="162" formatCode="0.0000">
                  <c:v>0.7727877984016206</c:v>
                </c:pt>
                <c:pt idx="163" formatCode="0.0000">
                  <c:v>0.71690111387063449</c:v>
                </c:pt>
                <c:pt idx="164" formatCode="0.0000">
                  <c:v>0.66235470795173712</c:v>
                </c:pt>
                <c:pt idx="165" formatCode="0.0000">
                  <c:v>0.66285734973133925</c:v>
                </c:pt>
                <c:pt idx="166" formatCode="0.0000">
                  <c:v>0.65211347372830997</c:v>
                </c:pt>
                <c:pt idx="167" formatCode="0.0000">
                  <c:v>0.6211155363170221</c:v>
                </c:pt>
                <c:pt idx="168" formatCode="0.0000">
                  <c:v>0.60885484564378756</c:v>
                </c:pt>
                <c:pt idx="169" formatCode="0.0000">
                  <c:v>0.60155862688454886</c:v>
                </c:pt>
                <c:pt idx="170" formatCode="0.0000">
                  <c:v>0.59514228966126381</c:v>
                </c:pt>
                <c:pt idx="171" formatCode="0.0000">
                  <c:v>0.58892743435483219</c:v>
                </c:pt>
                <c:pt idx="172" formatCode="0.0000">
                  <c:v>0.58280087921554968</c:v>
                </c:pt>
                <c:pt idx="173" formatCode="0.0000">
                  <c:v>0.57674323966631025</c:v>
                </c:pt>
                <c:pt idx="174" formatCode="0.0000">
                  <c:v>0.57075070239893666</c:v>
                </c:pt>
                <c:pt idx="175" formatCode="0.0000">
                  <c:v>0.56482204477209086</c:v>
                </c:pt>
                <c:pt idx="176" formatCode="0.0000">
                  <c:v>0.55895648077604732</c:v>
                </c:pt>
                <c:pt idx="177" formatCode="0.0000">
                  <c:v>0.55315330351925607</c:v>
                </c:pt>
                <c:pt idx="178" formatCode="0.0000">
                  <c:v>0.5474118258241486</c:v>
                </c:pt>
                <c:pt idx="179" formatCode="0.0000">
                  <c:v>0.54173137029109653</c:v>
                </c:pt>
                <c:pt idx="180" formatCode="0.0000">
                  <c:v>0.53611126757192384</c:v>
                </c:pt>
                <c:pt idx="181" formatCode="0.0000">
                  <c:v>0.5305508560066543</c:v>
                </c:pt>
                <c:pt idx="182" formatCode="0.0000">
                  <c:v>0.5250494814874318</c:v>
                </c:pt>
                <c:pt idx="183" formatCode="0.0000">
                  <c:v>0.51960649736108511</c:v>
                </c:pt>
                <c:pt idx="184" formatCode="0.0000">
                  <c:v>0.51422126433904181</c:v>
                </c:pt>
                <c:pt idx="185" formatCode="0.0000">
                  <c:v>0.50889315040938654</c:v>
                </c:pt>
                <c:pt idx="186" formatCode="0.0000">
                  <c:v>0.50362153075018634</c:v>
                </c:pt>
                <c:pt idx="187" formatCode="0.0000">
                  <c:v>0.49840578764392651</c:v>
                </c:pt>
                <c:pt idx="188" formatCode="0.0000">
                  <c:v>0.49324531039301939</c:v>
                </c:pt>
                <c:pt idx="189" formatCode="0.0000">
                  <c:v>0.48813949523636768</c:v>
                </c:pt>
                <c:pt idx="190" formatCode="0.0000">
                  <c:v>0.48308774526696874</c:v>
                </c:pt>
                <c:pt idx="191" formatCode="0.0000">
                  <c:v>0.47808947035054428</c:v>
                </c:pt>
                <c:pt idx="192" formatCode="0.0000">
                  <c:v>0.47314408704518457</c:v>
                </c:pt>
                <c:pt idx="193" formatCode="0.0000">
                  <c:v>0.46825101852199169</c:v>
                </c:pt>
                <c:pt idx="194" formatCode="0.0000">
                  <c:v>0.46340969448671027</c:v>
                </c:pt>
                <c:pt idx="195" formatCode="0.0000">
                  <c:v>0.48242472455407903</c:v>
                </c:pt>
                <c:pt idx="196" formatCode="0.0000">
                  <c:v>0.45783017400466547</c:v>
                </c:pt>
                <c:pt idx="197" formatCode="0.0000">
                  <c:v>0.44984605501025177</c:v>
                </c:pt>
                <c:pt idx="198" formatCode="0.0000">
                  <c:v>0.44465942840255207</c:v>
                </c:pt>
                <c:pt idx="199" formatCode="0.0000">
                  <c:v>0.43997777742342714</c:v>
                </c:pt>
                <c:pt idx="200" formatCode="0.0000">
                  <c:v>0.43542024697988996</c:v>
                </c:pt>
                <c:pt idx="201" formatCode="0.0000">
                  <c:v>0.43092320110081817</c:v>
                </c:pt>
                <c:pt idx="202" formatCode="0.0000">
                  <c:v>0.42647564693563322</c:v>
                </c:pt>
                <c:pt idx="203" formatCode="0.0000">
                  <c:v>0.42207533192564356</c:v>
                </c:pt>
                <c:pt idx="204" formatCode="0.0000">
                  <c:v>0.41892049989411662</c:v>
                </c:pt>
                <c:pt idx="205" formatCode="0.0000">
                  <c:v>0.42320477028553133</c:v>
                </c:pt>
                <c:pt idx="206" formatCode="0.0000">
                  <c:v>0.52663446852935603</c:v>
                </c:pt>
                <c:pt idx="207" formatCode="0.0000">
                  <c:v>0.67544369260899784</c:v>
                </c:pt>
                <c:pt idx="208" formatCode="0.0000">
                  <c:v>0.61516578340831163</c:v>
                </c:pt>
                <c:pt idx="209" formatCode="0.0000">
                  <c:v>0.55728490967975852</c:v>
                </c:pt>
                <c:pt idx="210" formatCode="0.0000">
                  <c:v>0.50012136988755873</c:v>
                </c:pt>
                <c:pt idx="211" formatCode="0.0000">
                  <c:v>0.4445802312372989</c:v>
                </c:pt>
                <c:pt idx="212" formatCode="0.0000">
                  <c:v>0.39380665514081792</c:v>
                </c:pt>
                <c:pt idx="213" formatCode="0.0000">
                  <c:v>0.38208690704394954</c:v>
                </c:pt>
                <c:pt idx="214" formatCode="0.0000">
                  <c:v>0.37688222807133515</c:v>
                </c:pt>
                <c:pt idx="215" formatCode="0.0000">
                  <c:v>0.37279288191821641</c:v>
                </c:pt>
                <c:pt idx="216" formatCode="0.0000">
                  <c:v>0.36892248624621715</c:v>
                </c:pt>
                <c:pt idx="217" formatCode="0.0000">
                  <c:v>0.36512193288340239</c:v>
                </c:pt>
                <c:pt idx="218" formatCode="0.0000">
                  <c:v>0.36136611768273275</c:v>
                </c:pt>
                <c:pt idx="219" formatCode="0.0000">
                  <c:v>0.36004859975873599</c:v>
                </c:pt>
                <c:pt idx="220" formatCode="0.0000">
                  <c:v>0.35437195655170112</c:v>
                </c:pt>
                <c:pt idx="221" formatCode="0.0000">
                  <c:v>0.35040214635717959</c:v>
                </c:pt>
                <c:pt idx="222" formatCode="0.0000">
                  <c:v>0.34674730379792967</c:v>
                </c:pt>
                <c:pt idx="223" formatCode="0.0000">
                  <c:v>0.3742339678048352</c:v>
                </c:pt>
                <c:pt idx="224" formatCode="0.0000">
                  <c:v>0.34480351731156711</c:v>
                </c:pt>
                <c:pt idx="225" formatCode="0.0000">
                  <c:v>0.34061414299430226</c:v>
                </c:pt>
                <c:pt idx="226" formatCode="0.0000">
                  <c:v>0.33344932990873283</c:v>
                </c:pt>
                <c:pt idx="227" formatCode="0.0000">
                  <c:v>0.32941797721687316</c:v>
                </c:pt>
                <c:pt idx="228" formatCode="0.0000">
                  <c:v>0.32593632626466396</c:v>
                </c:pt>
                <c:pt idx="229" formatCode="0.0000">
                  <c:v>0.32257531793514949</c:v>
                </c:pt>
                <c:pt idx="230" formatCode="0.0000">
                  <c:v>0.32046248082074708</c:v>
                </c:pt>
                <c:pt idx="231" formatCode="0.0000">
                  <c:v>0.31618747659178503</c:v>
                </c:pt>
                <c:pt idx="232" formatCode="0.0000">
                  <c:v>0.3127812207458609</c:v>
                </c:pt>
                <c:pt idx="233" formatCode="0.0000">
                  <c:v>0.30954730534110053</c:v>
                </c:pt>
                <c:pt idx="234" formatCode="0.0000">
                  <c:v>0.34939752078177211</c:v>
                </c:pt>
                <c:pt idx="235" formatCode="0.0000">
                  <c:v>0.31036923677906247</c:v>
                </c:pt>
                <c:pt idx="236" formatCode="0.0000">
                  <c:v>0.30130708284613839</c:v>
                </c:pt>
                <c:pt idx="237" formatCode="0.0000">
                  <c:v>0.29724439276209402</c:v>
                </c:pt>
                <c:pt idx="238" formatCode="0.0000">
                  <c:v>0.29403800046148132</c:v>
                </c:pt>
                <c:pt idx="239" formatCode="0.0000">
                  <c:v>0.29100011825265693</c:v>
                </c:pt>
                <c:pt idx="240" formatCode="0.0000">
                  <c:v>0.28801633441205066</c:v>
                </c:pt>
                <c:pt idx="241" formatCode="0.0000">
                  <c:v>0.28506738424848788</c:v>
                </c:pt>
                <c:pt idx="242" formatCode="0.0000">
                  <c:v>0.28214979451314254</c:v>
                </c:pt>
                <c:pt idx="243" formatCode="0.0000">
                  <c:v>0.27926271538860292</c:v>
                </c:pt>
                <c:pt idx="244" formatCode="0.0000">
                  <c:v>0.27640573540226854</c:v>
                </c:pt>
                <c:pt idx="245" formatCode="0.0000">
                  <c:v>0.2735785188063149</c:v>
                </c:pt>
                <c:pt idx="246" formatCode="0.0000">
                  <c:v>0.27078074537148838</c:v>
                </c:pt>
                <c:pt idx="247" formatCode="0.0000">
                  <c:v>0.26801210036275869</c:v>
                </c:pt>
                <c:pt idx="248" formatCode="0.0000">
                  <c:v>0.26527227284237004</c:v>
                </c:pt>
                <c:pt idx="249" formatCode="0.0000">
                  <c:v>0.26256095535511648</c:v>
                </c:pt>
                <c:pt idx="250" formatCode="0.0000">
                  <c:v>0.25987784384337526</c:v>
                </c:pt>
                <c:pt idx="251" formatCode="0.0000">
                  <c:v>0.25722263760066011</c:v>
                </c:pt>
                <c:pt idx="252" formatCode="0.0000">
                  <c:v>0.25459503923195353</c:v>
                </c:pt>
                <c:pt idx="253" formatCode="0.0000">
                  <c:v>0.25199475461554904</c:v>
                </c:pt>
                <c:pt idx="254" formatCode="0.0000">
                  <c:v>0.24942149286552179</c:v>
                </c:pt>
                <c:pt idx="255" formatCode="0.0000">
                  <c:v>0.24687496629467753</c:v>
                </c:pt>
                <c:pt idx="256" formatCode="0.0000">
                  <c:v>0.24435489037795102</c:v>
                </c:pt>
                <c:pt idx="257" formatCode="0.0000">
                  <c:v>0.24186098371624237</c:v>
                </c:pt>
                <c:pt idx="258" formatCode="0.0000">
                  <c:v>0.23939296800068791</c:v>
                </c:pt>
                <c:pt idx="259" formatCode="0.0000">
                  <c:v>0.23695056797735703</c:v>
                </c:pt>
                <c:pt idx="260" formatCode="0.0000">
                  <c:v>0.23453351141237172</c:v>
                </c:pt>
                <c:pt idx="261" formatCode="0.0000">
                  <c:v>0.23214152905744309</c:v>
                </c:pt>
                <c:pt idx="262" formatCode="0.0000">
                  <c:v>0.2297743546158188</c:v>
                </c:pt>
                <c:pt idx="263" formatCode="0.0000">
                  <c:v>0.23042932776325081</c:v>
                </c:pt>
                <c:pt idx="264" formatCode="0.0000">
                  <c:v>0.22561079008813956</c:v>
                </c:pt>
                <c:pt idx="265" formatCode="0.0000">
                  <c:v>0.22290159796874146</c:v>
                </c:pt>
                <c:pt idx="266" formatCode="0.0000">
                  <c:v>0.22056220762977546</c:v>
                </c:pt>
                <c:pt idx="267" formatCode="0.0000">
                  <c:v>0.21830375581176611</c:v>
                </c:pt>
                <c:pt idx="268" formatCode="0.0000">
                  <c:v>0.21607810214754597</c:v>
                </c:pt>
                <c:pt idx="269" formatCode="0.0000">
                  <c:v>0.21387705321000236</c:v>
                </c:pt>
                <c:pt idx="270" formatCode="0.0000">
                  <c:v>0.21169904646188126</c:v>
                </c:pt>
                <c:pt idx="271" formatCode="0.0000">
                  <c:v>0.2095436218872839</c:v>
                </c:pt>
                <c:pt idx="272" formatCode="0.0000">
                  <c:v>0.21940091682781074</c:v>
                </c:pt>
                <c:pt idx="273" formatCode="0.0000">
                  <c:v>0.28277833211491388</c:v>
                </c:pt>
                <c:pt idx="274" formatCode="0.0000">
                  <c:v>0.21606679241274188</c:v>
                </c:pt>
                <c:pt idx="275" formatCode="0.0000">
                  <c:v>0.20327598093712751</c:v>
                </c:pt>
                <c:pt idx="276" formatCode="0.0000">
                  <c:v>0.19945036449067152</c:v>
                </c:pt>
                <c:pt idx="277" formatCode="0.0000">
                  <c:v>0.19712999897298389</c:v>
                </c:pt>
                <c:pt idx="278" formatCode="0.0000">
                  <c:v>0.19507682273531973</c:v>
                </c:pt>
                <c:pt idx="279" formatCode="0.0000">
                  <c:v>0.19308521248484839</c:v>
                </c:pt>
                <c:pt idx="280" formatCode="0.0000">
                  <c:v>0.19112086595939473</c:v>
                </c:pt>
                <c:pt idx="281" formatCode="0.0000">
                  <c:v>0.18917791125713021</c:v>
                </c:pt>
                <c:pt idx="282" formatCode="0.0000">
                  <c:v>0.18725519606098753</c:v>
                </c:pt>
                <c:pt idx="283" formatCode="0.0000">
                  <c:v>0.18535235313755091</c:v>
                </c:pt>
                <c:pt idx="284" formatCode="0.0000">
                  <c:v>0.18346914743859305</c:v>
                </c:pt>
                <c:pt idx="285" formatCode="0.0000">
                  <c:v>0.18160536773996433</c:v>
                </c:pt>
                <c:pt idx="286" formatCode="0.0000">
                  <c:v>0.17976080863926572</c:v>
                </c:pt>
                <c:pt idx="287" formatCode="0.0000">
                  <c:v>0.17793526754757541</c:v>
                </c:pt>
                <c:pt idx="288" formatCode="0.0000">
                  <c:v>0.19430381857214199</c:v>
                </c:pt>
                <c:pt idx="289" formatCode="0.0000">
                  <c:v>0.1791549405406114</c:v>
                </c:pt>
                <c:pt idx="290" formatCode="0.0000">
                  <c:v>0.29208897673497419</c:v>
                </c:pt>
                <c:pt idx="291" formatCode="0.0000">
                  <c:v>0.31467980980214599</c:v>
                </c:pt>
                <c:pt idx="292" formatCode="0.0000">
                  <c:v>0.82438743556574323</c:v>
                </c:pt>
                <c:pt idx="293" formatCode="0.0000">
                  <c:v>0.85229488620354721</c:v>
                </c:pt>
                <c:pt idx="294" formatCode="0.0000">
                  <c:v>1.0456398126234592</c:v>
                </c:pt>
                <c:pt idx="295" formatCode="0.0000">
                  <c:v>1.0200371921261697</c:v>
                </c:pt>
                <c:pt idx="296" formatCode="0.0000">
                  <c:v>0.91556522394577533</c:v>
                </c:pt>
                <c:pt idx="297" formatCode="0.0000">
                  <c:v>1.0452406208636513</c:v>
                </c:pt>
                <c:pt idx="298" formatCode="0.0000">
                  <c:v>1.0451116038883637</c:v>
                </c:pt>
                <c:pt idx="299" formatCode="0.0000">
                  <c:v>0.95634370109082234</c:v>
                </c:pt>
                <c:pt idx="300" formatCode="0.0000">
                  <c:v>0.92714487393138278</c:v>
                </c:pt>
                <c:pt idx="301" formatCode="0.0000">
                  <c:v>0.91882245642084504</c:v>
                </c:pt>
                <c:pt idx="302" formatCode="0.0000">
                  <c:v>0.87370902658973792</c:v>
                </c:pt>
                <c:pt idx="303" formatCode="0.0000">
                  <c:v>0.94978606508780861</c:v>
                </c:pt>
                <c:pt idx="304" formatCode="0.0000">
                  <c:v>0.89785535062248822</c:v>
                </c:pt>
                <c:pt idx="305" formatCode="0.0000">
                  <c:v>0.80332818558620789</c:v>
                </c:pt>
                <c:pt idx="306" formatCode="0.0000">
                  <c:v>0.74267592736644472</c:v>
                </c:pt>
                <c:pt idx="307" formatCode="0.0000">
                  <c:v>0.64224041337111726</c:v>
                </c:pt>
                <c:pt idx="308" formatCode="0.0000">
                  <c:v>0.62233239054245348</c:v>
                </c:pt>
                <c:pt idx="309" formatCode="0.0000">
                  <c:v>0.52687397155846305</c:v>
                </c:pt>
                <c:pt idx="310" formatCode="0.0000">
                  <c:v>0.44718279688260382</c:v>
                </c:pt>
                <c:pt idx="311" formatCode="0.0000">
                  <c:v>0.42390501743909081</c:v>
                </c:pt>
                <c:pt idx="312" formatCode="0.0000">
                  <c:v>0.33474538370284102</c:v>
                </c:pt>
                <c:pt idx="313" formatCode="0.0000">
                  <c:v>0.32765096516556064</c:v>
                </c:pt>
                <c:pt idx="314" formatCode="0.0000">
                  <c:v>0.27361350519707894</c:v>
                </c:pt>
                <c:pt idx="315" formatCode="0.0000">
                  <c:v>0.19230202736508811</c:v>
                </c:pt>
                <c:pt idx="316" formatCode="0.0000">
                  <c:v>0.17102741624306839</c:v>
                </c:pt>
                <c:pt idx="317" formatCode="0.0000">
                  <c:v>0.14231599320346755</c:v>
                </c:pt>
                <c:pt idx="318" formatCode="0.0000">
                  <c:v>0.13879915011158145</c:v>
                </c:pt>
                <c:pt idx="319" formatCode="0.0000">
                  <c:v>0.13467860416419394</c:v>
                </c:pt>
                <c:pt idx="320" formatCode="0.0000">
                  <c:v>0.13286760787344304</c:v>
                </c:pt>
                <c:pt idx="321" formatCode="0.0000">
                  <c:v>0.13145137205158436</c:v>
                </c:pt>
                <c:pt idx="322" formatCode="0.0000">
                  <c:v>0.14450053839358382</c:v>
                </c:pt>
                <c:pt idx="323" formatCode="0.0000">
                  <c:v>0.13478145860652957</c:v>
                </c:pt>
                <c:pt idx="324" formatCode="0.0000">
                  <c:v>0.45791188809180305</c:v>
                </c:pt>
                <c:pt idx="325" formatCode="0.0000">
                  <c:v>0.65164747111350296</c:v>
                </c:pt>
                <c:pt idx="326" formatCode="0.0000">
                  <c:v>0.56760415657659125</c:v>
                </c:pt>
                <c:pt idx="327" formatCode="0.0000">
                  <c:v>0.48841762213129186</c:v>
                </c:pt>
                <c:pt idx="328" formatCode="0.0000">
                  <c:v>0.50885236405247725</c:v>
                </c:pt>
                <c:pt idx="329" formatCode="0.0000">
                  <c:v>0.82426493966493597</c:v>
                </c:pt>
                <c:pt idx="330" formatCode="0.0000">
                  <c:v>0.92731722976181585</c:v>
                </c:pt>
                <c:pt idx="331" formatCode="0.0000">
                  <c:v>0.819136250320464</c:v>
                </c:pt>
                <c:pt idx="332" formatCode="0.0000">
                  <c:v>0.71375566681195945</c:v>
                </c:pt>
                <c:pt idx="333" formatCode="0.0000">
                  <c:v>0.61398915733317805</c:v>
                </c:pt>
                <c:pt idx="334" formatCode="0.0000">
                  <c:v>0.74444730126775871</c:v>
                </c:pt>
                <c:pt idx="335" formatCode="0.0000">
                  <c:v>1.0252548477275409</c:v>
                </c:pt>
                <c:pt idx="336" formatCode="0.0000">
                  <c:v>0.92225261742671027</c:v>
                </c:pt>
                <c:pt idx="337" formatCode="0.0000">
                  <c:v>0.8135089130542944</c:v>
                </c:pt>
                <c:pt idx="338" formatCode="0.0000">
                  <c:v>0.71050183384077181</c:v>
                </c:pt>
                <c:pt idx="339" formatCode="0.0000">
                  <c:v>0.61272118520088981</c:v>
                </c:pt>
                <c:pt idx="340" formatCode="0.0000">
                  <c:v>0.51975377628137776</c:v>
                </c:pt>
                <c:pt idx="341" formatCode="0.0000">
                  <c:v>0.42968418796154595</c:v>
                </c:pt>
                <c:pt idx="342" formatCode="0.0000">
                  <c:v>0.34066327917074707</c:v>
                </c:pt>
                <c:pt idx="343" formatCode="0.0000">
                  <c:v>0.25472608156632093</c:v>
                </c:pt>
                <c:pt idx="344" formatCode="0.0000">
                  <c:v>0.17168876112690107</c:v>
                </c:pt>
                <c:pt idx="345" formatCode="0.0000">
                  <c:v>0.11595720955681452</c:v>
                </c:pt>
                <c:pt idx="346" formatCode="0.0000">
                  <c:v>0.10642879909112073</c:v>
                </c:pt>
                <c:pt idx="347" formatCode="0.0000">
                  <c:v>0.10337707649150883</c:v>
                </c:pt>
                <c:pt idx="348" formatCode="0.0000">
                  <c:v>0.10200844934550593</c:v>
                </c:pt>
                <c:pt idx="349" formatCode="0.0000">
                  <c:v>0.1009278744570003</c:v>
                </c:pt>
                <c:pt idx="350" formatCode="0.0000">
                  <c:v>9.9903772986599013E-2</c:v>
                </c:pt>
                <c:pt idx="351" formatCode="0.0000">
                  <c:v>9.8897628053771822E-2</c:v>
                </c:pt>
                <c:pt idx="352" formatCode="0.0000">
                  <c:v>0.14665861946730746</c:v>
                </c:pt>
                <c:pt idx="353" formatCode="0.0000">
                  <c:v>0.10740702268983637</c:v>
                </c:pt>
                <c:pt idx="354" formatCode="0.0000">
                  <c:v>9.768469387925019E-2</c:v>
                </c:pt>
                <c:pt idx="355" formatCode="0.0000">
                  <c:v>0.25770772950020521</c:v>
                </c:pt>
                <c:pt idx="356" formatCode="0.0000">
                  <c:v>0.22903023301013278</c:v>
                </c:pt>
                <c:pt idx="357" formatCode="0.0000">
                  <c:v>0.1658933512524885</c:v>
                </c:pt>
                <c:pt idx="358" formatCode="0.0000">
                  <c:v>0.59753985423092371</c:v>
                </c:pt>
                <c:pt idx="359" formatCode="0.0000">
                  <c:v>0.50239219337143648</c:v>
                </c:pt>
                <c:pt idx="360" formatCode="0.0000">
                  <c:v>0.41046355972942539</c:v>
                </c:pt>
                <c:pt idx="361" formatCode="0.0000">
                  <c:v>0.75188114670049944</c:v>
                </c:pt>
                <c:pt idx="362" formatCode="0.0000">
                  <c:v>0.71491317104487884</c:v>
                </c:pt>
                <c:pt idx="363" formatCode="0.0000">
                  <c:v>0.61561765614380859</c:v>
                </c:pt>
                <c:pt idx="364" formatCode="0.0000">
                  <c:v>1.0398072821553548</c:v>
                </c:pt>
                <c:pt idx="365" formatCode="0.0000">
                  <c:v>1.0397613151046143</c:v>
                </c:pt>
                <c:pt idx="366" formatCode="0.0000">
                  <c:v>1.0397160506716014</c:v>
                </c:pt>
                <c:pt idx="367" formatCode="0.0000">
                  <c:v>1.0396714781166303</c:v>
                </c:pt>
                <c:pt idx="368" formatCode="0.0000">
                  <c:v>1.0396275868641742</c:v>
                </c:pt>
                <c:pt idx="369" formatCode="0.0000">
                  <c:v>1.0395843665003559</c:v>
                </c:pt>
                <c:pt idx="370" formatCode="0.0000">
                  <c:v>1.0395418067704769</c:v>
                </c:pt>
                <c:pt idx="371" formatCode="0.0000">
                  <c:v>1.0394998975765841</c:v>
                </c:pt>
                <c:pt idx="372" formatCode="0.0000">
                  <c:v>1.0394586289750742</c:v>
                </c:pt>
                <c:pt idx="373" formatCode="0.0000">
                  <c:v>1.0394179911743344</c:v>
                </c:pt>
                <c:pt idx="374" formatCode="0.0000">
                  <c:v>1.0393779745324194</c:v>
                </c:pt>
                <c:pt idx="375" formatCode="0.0000">
                  <c:v>1.0395830815184743</c:v>
                </c:pt>
                <c:pt idx="376" formatCode="0.0000">
                  <c:v>1.0415302175618193</c:v>
                </c:pt>
                <c:pt idx="377" formatCode="0.0000">
                  <c:v>1.0420027327948738</c:v>
                </c:pt>
                <c:pt idx="378" formatCode="0.0000">
                  <c:v>1.041923207738688</c:v>
                </c:pt>
                <c:pt idx="379" formatCode="0.0000">
                  <c:v>1.0418448982426338</c:v>
                </c:pt>
                <c:pt idx="380" formatCode="0.0000">
                  <c:v>1.0417677857265746</c:v>
                </c:pt>
                <c:pt idx="381" formatCode="0.0000">
                  <c:v>1.041691851894375</c:v>
                </c:pt>
                <c:pt idx="382" formatCode="0.0000">
                  <c:v>1.0436815271987745</c:v>
                </c:pt>
                <c:pt idx="383" formatCode="0.0000">
                  <c:v>1.0439681683560886</c:v>
                </c:pt>
                <c:pt idx="384" formatCode="0.0000">
                  <c:v>1.0438586011317583</c:v>
                </c:pt>
                <c:pt idx="385" formatCode="0.0000">
                  <c:v>1.0437507086695221</c:v>
                </c:pt>
                <c:pt idx="386" formatCode="0.0000">
                  <c:v>1.0436444653702277</c:v>
                </c:pt>
                <c:pt idx="387" formatCode="0.0000">
                  <c:v>1.0435398460260119</c:v>
                </c:pt>
                <c:pt idx="388" formatCode="0.0000">
                  <c:v>1.0434368258143205</c:v>
                </c:pt>
                <c:pt idx="389" formatCode="0.0000">
                  <c:v>1.0433353802920173</c:v>
                </c:pt>
                <c:pt idx="390" formatCode="0.0000">
                  <c:v>1.0438614057816804</c:v>
                </c:pt>
                <c:pt idx="391" formatCode="0.0000">
                  <c:v>1.045121560680595</c:v>
                </c:pt>
                <c:pt idx="392" formatCode="0.0000">
                  <c:v>1.0449943635696211</c:v>
                </c:pt>
                <c:pt idx="393" formatCode="0.0000">
                  <c:v>1.0479545556226875</c:v>
                </c:pt>
                <c:pt idx="394" formatCode="0.0000">
                  <c:v>1.0503415633926061</c:v>
                </c:pt>
                <c:pt idx="395" formatCode="0.0000">
                  <c:v>1.0508203461267067</c:v>
                </c:pt>
                <c:pt idx="396" formatCode="0.0000">
                  <c:v>1.051442026741809</c:v>
                </c:pt>
                <c:pt idx="397" formatCode="0.0000">
                  <c:v>1.0512182197455198</c:v>
                </c:pt>
                <c:pt idx="398" formatCode="0.0000">
                  <c:v>1.0509978336944639</c:v>
                </c:pt>
                <c:pt idx="399" formatCode="0.0000">
                  <c:v>1.0507808162986481</c:v>
                </c:pt>
                <c:pt idx="400" formatCode="0.0000">
                  <c:v>1.0505671160673449</c:v>
                </c:pt>
                <c:pt idx="401" formatCode="0.0000">
                  <c:v>1.0503566822968753</c:v>
                </c:pt>
                <c:pt idx="402" formatCode="0.0000">
                  <c:v>1.0501494650585781</c:v>
                </c:pt>
                <c:pt idx="403" formatCode="0.0000">
                  <c:v>1.0499454151869645</c:v>
                </c:pt>
                <c:pt idx="404" formatCode="0.0000">
                  <c:v>1.0099076472499202</c:v>
                </c:pt>
                <c:pt idx="405" formatCode="0.0000">
                  <c:v>1.0096342940479062</c:v>
                </c:pt>
                <c:pt idx="406" formatCode="0.0000">
                  <c:v>0.90729000643512647</c:v>
                </c:pt>
                <c:pt idx="407" formatCode="0.0000">
                  <c:v>0.8071752690546774</c:v>
                </c:pt>
                <c:pt idx="408" formatCode="0.0000">
                  <c:v>1.0489710075041279</c:v>
                </c:pt>
                <c:pt idx="409" formatCode="0.0000">
                  <c:v>1.0095532042059043</c:v>
                </c:pt>
                <c:pt idx="410" formatCode="0.0000">
                  <c:v>0.97124049691532621</c:v>
                </c:pt>
                <c:pt idx="411" formatCode="0.0000">
                  <c:v>1.0503639005474368</c:v>
                </c:pt>
                <c:pt idx="412" formatCode="0.0000">
                  <c:v>1.0504719101075506</c:v>
                </c:pt>
                <c:pt idx="413" formatCode="0.0000">
                  <c:v>1.0502629315836984</c:v>
                </c:pt>
                <c:pt idx="414" formatCode="0.0000">
                  <c:v>1.0500571473482148</c:v>
                </c:pt>
                <c:pt idx="415" formatCode="0.0000">
                  <c:v>1.0498545085756128</c:v>
                </c:pt>
                <c:pt idx="416" formatCode="0.0000">
                  <c:v>1.0496549671867148</c:v>
                </c:pt>
                <c:pt idx="417" formatCode="0.0000">
                  <c:v>1.0511350592045854</c:v>
                </c:pt>
                <c:pt idx="418" formatCode="0.0000">
                  <c:v>1.0514589263309784</c:v>
                </c:pt>
                <c:pt idx="419" formatCode="0.0000">
                  <c:v>1.0534616921213786</c:v>
                </c:pt>
                <c:pt idx="420" formatCode="0.0000">
                  <c:v>1.0537629587625255</c:v>
                </c:pt>
                <c:pt idx="421" formatCode="0.0000">
                  <c:v>1.0580280261663702</c:v>
                </c:pt>
                <c:pt idx="422" formatCode="0.0000">
                  <c:v>1.0634146188590123</c:v>
                </c:pt>
                <c:pt idx="423" formatCode="0.0000">
                  <c:v>1.0691325728682337</c:v>
                </c:pt>
                <c:pt idx="424" formatCode="0.0000">
                  <c:v>1.0774296437758295</c:v>
                </c:pt>
                <c:pt idx="425" formatCode="0.0000">
                  <c:v>1.0861951685028539</c:v>
                </c:pt>
                <c:pt idx="426" formatCode="0.0000">
                  <c:v>1.0933015371378294</c:v>
                </c:pt>
                <c:pt idx="427" formatCode="0.0000">
                  <c:v>1.0984649283239207</c:v>
                </c:pt>
                <c:pt idx="428" formatCode="0.0000">
                  <c:v>1.1025780699199572</c:v>
                </c:pt>
                <c:pt idx="429" formatCode="0.0000">
                  <c:v>1.1050712662016298</c:v>
                </c:pt>
                <c:pt idx="430" formatCode="0.0000">
                  <c:v>1.1059322484329177</c:v>
                </c:pt>
                <c:pt idx="431" formatCode="0.0000">
                  <c:v>1.1068364401231865</c:v>
                </c:pt>
                <c:pt idx="432" formatCode="0.0000">
                  <c:v>1.1061958609874596</c:v>
                </c:pt>
                <c:pt idx="433" formatCode="0.0000">
                  <c:v>1.1052050916389324</c:v>
                </c:pt>
                <c:pt idx="434" formatCode="0.0000">
                  <c:v>1.1041595029126885</c:v>
                </c:pt>
                <c:pt idx="435" formatCode="0.0000">
                  <c:v>1.1031298962684541</c:v>
                </c:pt>
                <c:pt idx="436" formatCode="0.0000">
                  <c:v>1.1021160274161572</c:v>
                </c:pt>
                <c:pt idx="437" formatCode="0.0000">
                  <c:v>1.11057747562749</c:v>
                </c:pt>
                <c:pt idx="438" formatCode="0.0000">
                  <c:v>1.1181754418157284</c:v>
                </c:pt>
                <c:pt idx="439" formatCode="0.0000">
                  <c:v>1.1270019104631375</c:v>
                </c:pt>
                <c:pt idx="440" formatCode="0.0000">
                  <c:v>1.1359268857976021</c:v>
                </c:pt>
                <c:pt idx="441" formatCode="0.0000">
                  <c:v>1.1467185465892515</c:v>
                </c:pt>
                <c:pt idx="442" formatCode="0.0000">
                  <c:v>1.1578775232947667</c:v>
                </c:pt>
                <c:pt idx="443" formatCode="0.0000">
                  <c:v>1.1688170594972416</c:v>
                </c:pt>
                <c:pt idx="444" formatCode="0.0000">
                  <c:v>1.1797742957258439</c:v>
                </c:pt>
                <c:pt idx="445" formatCode="0.0000">
                  <c:v>1.1923215183924822</c:v>
                </c:pt>
                <c:pt idx="446" formatCode="0.0000">
                  <c:v>1.2030058804252859</c:v>
                </c:pt>
                <c:pt idx="447" formatCode="0.0000">
                  <c:v>1.2127086957806887</c:v>
                </c:pt>
                <c:pt idx="448" formatCode="0.0000">
                  <c:v>1.2205970552739618</c:v>
                </c:pt>
                <c:pt idx="449" formatCode="0.0000">
                  <c:v>1.2284237193638634</c:v>
                </c:pt>
                <c:pt idx="450" formatCode="0.0000">
                  <c:v>1.2346227665422591</c:v>
                </c:pt>
                <c:pt idx="451" formatCode="0.0000">
                  <c:v>1.2399343631657387</c:v>
                </c:pt>
                <c:pt idx="452" formatCode="0.0000">
                  <c:v>1.2448181527554585</c:v>
                </c:pt>
                <c:pt idx="453" formatCode="0.0000">
                  <c:v>1.2480295500587442</c:v>
                </c:pt>
                <c:pt idx="454" formatCode="0.0000">
                  <c:v>1.2495563954485758</c:v>
                </c:pt>
                <c:pt idx="455" formatCode="0.0000">
                  <c:v>1.2496965416305281</c:v>
                </c:pt>
                <c:pt idx="456" formatCode="0.0000">
                  <c:v>1.2484001133011404</c:v>
                </c:pt>
                <c:pt idx="457" formatCode="0.0000">
                  <c:v>1.2512500170329599</c:v>
                </c:pt>
                <c:pt idx="458" formatCode="0.0000">
                  <c:v>1.2525344644123599</c:v>
                </c:pt>
                <c:pt idx="459" formatCode="0.0000">
                  <c:v>1.253255608579374</c:v>
                </c:pt>
                <c:pt idx="460" formatCode="0.0000">
                  <c:v>1.2524568445782771</c:v>
                </c:pt>
                <c:pt idx="461" formatCode="0.0000">
                  <c:v>1.2503064168950828</c:v>
                </c:pt>
                <c:pt idx="462" formatCode="0.0000">
                  <c:v>1.2470429185627572</c:v>
                </c:pt>
                <c:pt idx="463" formatCode="0.0000">
                  <c:v>1.2438293036087391</c:v>
                </c:pt>
                <c:pt idx="464" formatCode="0.0000">
                  <c:v>1.2406648095532669</c:v>
                </c:pt>
                <c:pt idx="465" formatCode="0.0000">
                  <c:v>1.2375486855712701</c:v>
                </c:pt>
                <c:pt idx="466" formatCode="0.0000">
                  <c:v>1.234480192314225</c:v>
                </c:pt>
                <c:pt idx="467" formatCode="0.0000">
                  <c:v>1.2314586017347331</c:v>
                </c:pt>
                <c:pt idx="468" formatCode="0.0000">
                  <c:v>1.2284831969137795</c:v>
                </c:pt>
                <c:pt idx="469" formatCode="0.0000">
                  <c:v>1.2255532718906343</c:v>
                </c:pt>
                <c:pt idx="470" formatCode="0.0000">
                  <c:v>1.2226681314953516</c:v>
                </c:pt>
                <c:pt idx="471" formatCode="0.0000">
                  <c:v>1.2198270911838294</c:v>
                </c:pt>
                <c:pt idx="472" formatCode="0.0000">
                  <c:v>1.2170294768753922</c:v>
                </c:pt>
                <c:pt idx="473" formatCode="0.0000">
                  <c:v>1.2142746247928535</c:v>
                </c:pt>
                <c:pt idx="474" formatCode="0.0000">
                  <c:v>1.1965797480716795</c:v>
                </c:pt>
                <c:pt idx="475" formatCode="0.0000">
                  <c:v>1.1791723999406842</c:v>
                </c:pt>
                <c:pt idx="476" formatCode="0.0000">
                  <c:v>1.1658443690580893</c:v>
                </c:pt>
                <c:pt idx="477" formatCode="0.0000">
                  <c:v>1.1533079889853184</c:v>
                </c:pt>
                <c:pt idx="478" formatCode="0.0000">
                  <c:v>1.1452130484993832</c:v>
                </c:pt>
                <c:pt idx="479" formatCode="0.0000">
                  <c:v>1.1325715538818648</c:v>
                </c:pt>
                <c:pt idx="480" formatCode="0.0000">
                  <c:v>1.1174879131296604</c:v>
                </c:pt>
                <c:pt idx="481" formatCode="0.0000">
                  <c:v>1.105106223194587</c:v>
                </c:pt>
                <c:pt idx="482" formatCode="0.0000">
                  <c:v>1.0968783466996992</c:v>
                </c:pt>
                <c:pt idx="483" formatCode="0.0000">
                  <c:v>1.0822525937824135</c:v>
                </c:pt>
                <c:pt idx="484" formatCode="0.0000">
                  <c:v>1.0702682058847544</c:v>
                </c:pt>
                <c:pt idx="485" formatCode="0.0000">
                  <c:v>1.058826791567854</c:v>
                </c:pt>
                <c:pt idx="486" formatCode="0.0000">
                  <c:v>1.1820686985419453</c:v>
                </c:pt>
                <c:pt idx="487" formatCode="0.0000">
                  <c:v>1.1798482305938378</c:v>
                </c:pt>
                <c:pt idx="488" formatCode="0.0000">
                  <c:v>1.1776617030469185</c:v>
                </c:pt>
                <c:pt idx="489" formatCode="0.0000">
                  <c:v>1.1311615645946378</c:v>
                </c:pt>
                <c:pt idx="490" formatCode="0.0000">
                  <c:v>1.0596408928304655</c:v>
                </c:pt>
                <c:pt idx="491" formatCode="0.0000">
                  <c:v>1.0024791344195483</c:v>
                </c:pt>
                <c:pt idx="492" formatCode="0.0000">
                  <c:v>0.9842412878579776</c:v>
                </c:pt>
                <c:pt idx="493" formatCode="0.0000">
                  <c:v>0.97255785979364906</c:v>
                </c:pt>
                <c:pt idx="494" formatCode="0.0000">
                  <c:v>0.96205649214203737</c:v>
                </c:pt>
                <c:pt idx="495" formatCode="0.0000">
                  <c:v>0.95184464517881207</c:v>
                </c:pt>
                <c:pt idx="496" formatCode="0.0000">
                  <c:v>0.94177315647529014</c:v>
                </c:pt>
                <c:pt idx="497" formatCode="0.0000">
                  <c:v>0.93181622942732067</c:v>
                </c:pt>
                <c:pt idx="498" formatCode="0.0000">
                  <c:v>0.92196855067230854</c:v>
                </c:pt>
                <c:pt idx="499" formatCode="0.0000">
                  <c:v>0.91342725919938628</c:v>
                </c:pt>
                <c:pt idx="500" formatCode="0.0000">
                  <c:v>0.90279287170368605</c:v>
                </c:pt>
                <c:pt idx="501" formatCode="0.0000">
                  <c:v>0.89309741749734295</c:v>
                </c:pt>
                <c:pt idx="502" formatCode="0.0000">
                  <c:v>0.8836439943654274</c:v>
                </c:pt>
                <c:pt idx="503" formatCode="0.0000">
                  <c:v>0.87431598772794195</c:v>
                </c:pt>
                <c:pt idx="504" formatCode="0.0000">
                  <c:v>0.86509308528242546</c:v>
                </c:pt>
                <c:pt idx="505" formatCode="0.0000">
                  <c:v>0.85597096610853174</c:v>
                </c:pt>
                <c:pt idx="506" formatCode="0.0000">
                  <c:v>0.84694797403275002</c:v>
                </c:pt>
                <c:pt idx="507" formatCode="0.0000">
                  <c:v>0.83802290611716435</c:v>
                </c:pt>
                <c:pt idx="508" formatCode="0.0000">
                  <c:v>0.82919464555288258</c:v>
                </c:pt>
                <c:pt idx="509" formatCode="0.0000">
                  <c:v>0.82046210060896962</c:v>
                </c:pt>
                <c:pt idx="510" formatCode="0.0000">
                  <c:v>0.81182419436885334</c:v>
                </c:pt>
                <c:pt idx="511" formatCode="0.0000">
                  <c:v>0.80327986289593312</c:v>
                </c:pt>
                <c:pt idx="512" formatCode="0.0000">
                  <c:v>0.7948280547995985</c:v>
                </c:pt>
                <c:pt idx="513" formatCode="0.0000">
                  <c:v>0.78646773103529599</c:v>
                </c:pt>
                <c:pt idx="514" formatCode="0.0000">
                  <c:v>0.77819786474508745</c:v>
                </c:pt>
                <c:pt idx="515" formatCode="0.0000">
                  <c:v>0.77001744110655246</c:v>
                </c:pt>
                <c:pt idx="516" formatCode="0.0000">
                  <c:v>0.76192545718468452</c:v>
                </c:pt>
                <c:pt idx="517" formatCode="0.0000">
                  <c:v>0.75392092178586556</c:v>
                </c:pt>
                <c:pt idx="518" formatCode="0.0000">
                  <c:v>0.74600285531375188</c:v>
                </c:pt>
                <c:pt idx="519" formatCode="0.0000">
                  <c:v>0.73817028962701792</c:v>
                </c:pt>
                <c:pt idx="520" formatCode="0.0000">
                  <c:v>0.73042226789893028</c:v>
                </c:pt>
                <c:pt idx="521" formatCode="0.0000">
                  <c:v>0.72275784447872704</c:v>
                </c:pt>
                <c:pt idx="522" formatCode="0.0000">
                  <c:v>0.71517608475477812</c:v>
                </c:pt>
                <c:pt idx="523" formatCode="0.0000">
                  <c:v>1.0103207810361228</c:v>
                </c:pt>
                <c:pt idx="524" formatCode="0.0000">
                  <c:v>0.988727058951967</c:v>
                </c:pt>
                <c:pt idx="525" formatCode="0.0000">
                  <c:v>0.92348479170830444</c:v>
                </c:pt>
                <c:pt idx="526" formatCode="0.0000">
                  <c:v>0.86351607238622408</c:v>
                </c:pt>
                <c:pt idx="527" formatCode="0.0000">
                  <c:v>0.80418538762571379</c:v>
                </c:pt>
                <c:pt idx="528" formatCode="0.0000">
                  <c:v>0.74793650698009861</c:v>
                </c:pt>
                <c:pt idx="529" formatCode="0.0000">
                  <c:v>0.69303228124308924</c:v>
                </c:pt>
                <c:pt idx="530" formatCode="0.0000">
                  <c:v>0.6931814240376909</c:v>
                </c:pt>
                <c:pt idx="531" formatCode="0.0000">
                  <c:v>0.68208831515452262</c:v>
                </c:pt>
                <c:pt idx="532" formatCode="0.0000">
                  <c:v>0.65074535696473546</c:v>
                </c:pt>
                <c:pt idx="533" formatCode="0.0000">
                  <c:v>0.63814380432646411</c:v>
                </c:pt>
                <c:pt idx="534" formatCode="0.0000">
                  <c:v>0.63051082983267659</c:v>
                </c:pt>
                <c:pt idx="535" formatCode="0.0000">
                  <c:v>0.62376179121785713</c:v>
                </c:pt>
                <c:pt idx="536" formatCode="0.0000">
                  <c:v>0.61721823766136852</c:v>
                </c:pt>
                <c:pt idx="537" formatCode="0.0000">
                  <c:v>0.6107669368884775</c:v>
                </c:pt>
                <c:pt idx="538" formatCode="0.0000">
                  <c:v>0.60438845446426148</c:v>
                </c:pt>
                <c:pt idx="539" formatCode="0.0000">
                  <c:v>0.59807892788077688</c:v>
                </c:pt>
                <c:pt idx="540" formatCode="0.0000">
                  <c:v>0.59183708594593476</c:v>
                </c:pt>
                <c:pt idx="541" formatCode="0.0000">
                  <c:v>0.58566209473937048</c:v>
                </c:pt>
                <c:pt idx="542" formatCode="0.0000">
                  <c:v>0.57955320009022626</c:v>
                </c:pt>
                <c:pt idx="543" formatCode="0.0000">
                  <c:v>0.57350966816430282</c:v>
                </c:pt>
                <c:pt idx="544" formatCode="0.0000">
                  <c:v>0.56753077551948561</c:v>
                </c:pt>
                <c:pt idx="545" formatCode="0.0000">
                  <c:v>0.56161580737084438</c:v>
                </c:pt>
                <c:pt idx="546" formatCode="0.0000">
                  <c:v>0.55576405721908895</c:v>
                </c:pt>
                <c:pt idx="547" formatCode="0.0000">
                  <c:v>0.54997482670631326</c:v>
                </c:pt>
                <c:pt idx="548" formatCode="0.0000">
                  <c:v>0.54424742551050087</c:v>
                </c:pt>
                <c:pt idx="549" formatCode="0.0000">
                  <c:v>0.53858117124749205</c:v>
                </c:pt>
                <c:pt idx="550" formatCode="0.0000">
                  <c:v>0.53297538937520839</c:v>
                </c:pt>
                <c:pt idx="551" formatCode="0.0000">
                  <c:v>0.52742941309925473</c:v>
                </c:pt>
                <c:pt idx="552" formatCode="0.0000">
                  <c:v>0.52194258327974097</c:v>
                </c:pt>
                <c:pt idx="553" formatCode="0.0000">
                  <c:v>0.5165142483392835</c:v>
                </c:pt>
                <c:pt idx="554" formatCode="0.0000">
                  <c:v>0.51114376417216811</c:v>
                </c:pt>
                <c:pt idx="555" formatCode="0.0000">
                  <c:v>0.50583049405465674</c:v>
                </c:pt>
                <c:pt idx="556" formatCode="0.0000">
                  <c:v>0.50057380855642408</c:v>
                </c:pt>
                <c:pt idx="557" formatCode="0.0000">
                  <c:v>0.49537308545310865</c:v>
                </c:pt>
                <c:pt idx="558" formatCode="0.0000">
                  <c:v>0.49022770963996398</c:v>
                </c:pt>
                <c:pt idx="559" formatCode="0.0000">
                  <c:v>0.4851370730465947</c:v>
                </c:pt>
                <c:pt idx="560" formatCode="0.0000">
                  <c:v>0.50390574800451049</c:v>
                </c:pt>
                <c:pt idx="561" formatCode="0.0000">
                  <c:v>0.47906776299726017</c:v>
                </c:pt>
                <c:pt idx="562" formatCode="0.0000">
                  <c:v>0.47084309387920914</c:v>
                </c:pt>
                <c:pt idx="563" formatCode="0.0000">
                  <c:v>0.46541876563774298</c:v>
                </c:pt>
                <c:pt idx="564" formatCode="0.0000">
                  <c:v>0.46050222613705871</c:v>
                </c:pt>
                <c:pt idx="565" formatCode="0.0000">
                  <c:v>0.45571258536683773</c:v>
                </c:pt>
                <c:pt idx="566" formatCode="0.0000">
                  <c:v>0.45098617289271459</c:v>
                </c:pt>
                <c:pt idx="567" formatCode="0.0000">
                  <c:v>0.4463119618487994</c:v>
                </c:pt>
                <c:pt idx="568" formatCode="0.0000">
                  <c:v>0.44168766610295151</c:v>
                </c:pt>
                <c:pt idx="569" formatCode="0.0000">
                  <c:v>0.43831149634086725</c:v>
                </c:pt>
                <c:pt idx="570" formatCode="0.0000">
                  <c:v>0.44237703929943051</c:v>
                </c:pt>
                <c:pt idx="571" formatCode="0.0000">
                  <c:v>0.54559058812467331</c:v>
                </c:pt>
                <c:pt idx="572" formatCode="0.0000">
                  <c:v>0.69418620893498861</c:v>
                </c:pt>
                <c:pt idx="573" formatCode="0.0000">
                  <c:v>0.63369721116198208</c:v>
                </c:pt>
                <c:pt idx="574" formatCode="0.0000">
                  <c:v>0.57560773251305519</c:v>
                </c:pt>
                <c:pt idx="575" formatCode="0.0000">
                  <c:v>0.51823804080905633</c:v>
                </c:pt>
                <c:pt idx="576" formatCode="0.0000">
                  <c:v>0.46249317300846887</c:v>
                </c:pt>
                <c:pt idx="577" formatCode="0.0000">
                  <c:v>0.41151826066694841</c:v>
                </c:pt>
                <c:pt idx="578" formatCode="0.0000">
                  <c:v>0.39959953975979451</c:v>
                </c:pt>
                <c:pt idx="579" formatCode="0.0000">
                  <c:v>0.39419822232156576</c:v>
                </c:pt>
                <c:pt idx="580" formatCode="0.0000">
                  <c:v>0.38991454333274655</c:v>
                </c:pt>
                <c:pt idx="581" formatCode="0.0000">
                  <c:v>0.38585209211047522</c:v>
                </c:pt>
                <c:pt idx="582" formatCode="0.0000">
                  <c:v>0.3818617325036196</c:v>
                </c:pt>
                <c:pt idx="583" formatCode="0.0000">
                  <c:v>0.37791833274631792</c:v>
                </c:pt>
                <c:pt idx="584" formatCode="0.0000">
                  <c:v>0.37641542468980427</c:v>
                </c:pt>
                <c:pt idx="585" formatCode="0.0000">
                  <c:v>0.3705555588618259</c:v>
                </c:pt>
                <c:pt idx="586" formatCode="0.0000">
                  <c:v>0.36640466699143226</c:v>
                </c:pt>
                <c:pt idx="587" formatCode="0.0000">
                  <c:v>0.36257085747627438</c:v>
                </c:pt>
                <c:pt idx="588" formatCode="0.0000">
                  <c:v>0.38988064335894201</c:v>
                </c:pt>
                <c:pt idx="589" formatCode="0.0000">
                  <c:v>0.36027537801710868</c:v>
                </c:pt>
                <c:pt idx="590" formatCode="0.0000">
                  <c:v>0.35591322689879518</c:v>
                </c:pt>
                <c:pt idx="591" formatCode="0.0000">
                  <c:v>0.34857765015498732</c:v>
                </c:pt>
                <c:pt idx="592" formatCode="0.0000">
                  <c:v>0.34437752236211089</c:v>
                </c:pt>
                <c:pt idx="593" formatCode="0.0000">
                  <c:v>0.34072906059536495</c:v>
                </c:pt>
                <c:pt idx="594" formatCode="0.0000">
                  <c:v>0.3372031817776866</c:v>
                </c:pt>
                <c:pt idx="595" formatCode="0.0000">
                  <c:v>0.3349273908478671</c:v>
                </c:pt>
                <c:pt idx="596" formatCode="0.0000">
                  <c:v>0.33049132612499427</c:v>
                </c:pt>
                <c:pt idx="597" formatCode="0.0000">
                  <c:v>0.32692588005377154</c:v>
                </c:pt>
                <c:pt idx="598" formatCode="0.0000">
                  <c:v>0.32353462193379368</c:v>
                </c:pt>
                <c:pt idx="599" formatCode="0.0000">
                  <c:v>0.36322931970123307</c:v>
                </c:pt>
                <c:pt idx="600" formatCode="0.0000">
                  <c:v>0.32404732088574312</c:v>
                </c:pt>
                <c:pt idx="601" formatCode="0.0000">
                  <c:v>0.31483323310169881</c:v>
                </c:pt>
                <c:pt idx="602" formatCode="0.0000">
                  <c:v>0.31062036850837799</c:v>
                </c:pt>
                <c:pt idx="603" formatCode="0.0000">
                  <c:v>0.30726553969577619</c:v>
                </c:pt>
                <c:pt idx="604" formatCode="0.0000">
                  <c:v>0.30408093789929053</c:v>
                </c:pt>
                <c:pt idx="605" formatCode="0.0000">
                  <c:v>0.3009521305903754</c:v>
                </c:pt>
                <c:pt idx="606" formatCode="0.0000">
                  <c:v>0.29785983253730175</c:v>
                </c:pt>
                <c:pt idx="607" formatCode="0.0000">
                  <c:v>0.29480055021159607</c:v>
                </c:pt>
                <c:pt idx="608" formatCode="0.0000">
                  <c:v>0.29177341377364147</c:v>
                </c:pt>
                <c:pt idx="609" formatCode="0.0000">
                  <c:v>0.28877799198265725</c:v>
                </c:pt>
                <c:pt idx="610" formatCode="0.0000">
                  <c:v>0.28581392957329238</c:v>
                </c:pt>
                <c:pt idx="611" formatCode="0.0000">
                  <c:v>0.28288088704609804</c:v>
                </c:pt>
                <c:pt idx="612" formatCode="0.0000">
                  <c:v>0.2799785306399008</c:v>
                </c:pt>
                <c:pt idx="613" formatCode="0.0000">
                  <c:v>0.27710653063162155</c:v>
                </c:pt>
                <c:pt idx="614" formatCode="0.0000">
                  <c:v>0.27426456101836272</c:v>
                </c:pt>
                <c:pt idx="615" formatCode="0.0000">
                  <c:v>0.27145229942929677</c:v>
                </c:pt>
                <c:pt idx="616" formatCode="0.0000">
                  <c:v>0.26866942707611841</c:v>
                </c:pt>
                <c:pt idx="617" formatCode="0.0000">
                  <c:v>0.26591562871031832</c:v>
                </c:pt>
                <c:pt idx="618" formatCode="0.0000">
                  <c:v>0.26319059258200905</c:v>
                </c:pt>
                <c:pt idx="619" formatCode="0.0000">
                  <c:v>0.26049401039941988</c:v>
                </c:pt>
                <c:pt idx="620" formatCode="0.0000">
                  <c:v>0.25782557728891292</c:v>
                </c:pt>
                <c:pt idx="621" formatCode="0.0000">
                  <c:v>0.25518499175548609</c:v>
                </c:pt>
                <c:pt idx="622" formatCode="0.0000">
                  <c:v>0.25257195564375651</c:v>
                </c:pt>
                <c:pt idx="623" formatCode="0.0000">
                  <c:v>0.24998617409941518</c:v>
                </c:pt>
                <c:pt idx="624" formatCode="0.0000">
                  <c:v>0.24742735553114792</c:v>
                </c:pt>
                <c:pt idx="625" formatCode="0.0000">
                  <c:v>0.24489521157301647</c:v>
                </c:pt>
                <c:pt idx="626" formatCode="0.0000">
                  <c:v>0.24238945704729398</c:v>
                </c:pt>
                <c:pt idx="627" formatCode="0.0000">
                  <c:v>0.23990980992774827</c:v>
                </c:pt>
                <c:pt idx="628" formatCode="0.0000">
                  <c:v>0.24045359435798225</c:v>
                </c:pt>
                <c:pt idx="629" formatCode="0.0000">
                  <c:v>0.2355251365889863</c:v>
                </c:pt>
                <c:pt idx="630" formatCode="0.0000">
                  <c:v>0.23270727785379028</c:v>
                </c:pt>
                <c:pt idx="631" formatCode="0.0000">
                  <c:v>0.23026045942154755</c:v>
                </c:pt>
                <c:pt idx="632" formatCode="0.0000">
                  <c:v>0.22789580326439263</c:v>
                </c:pt>
                <c:pt idx="633" formatCode="0.0000">
                  <c:v>0.22556515443148992</c:v>
                </c:pt>
                <c:pt idx="634" formatCode="0.0000">
                  <c:v>0.22326030509436123</c:v>
                </c:pt>
                <c:pt idx="635" formatCode="0.0000">
                  <c:v>0.22097967849430367</c:v>
                </c:pt>
                <c:pt idx="636" formatCode="0.0000">
                  <c:v>0.21872280057153165</c:v>
                </c:pt>
                <c:pt idx="637" formatCode="0.0000">
                  <c:v>0.22847979479900002</c:v>
                </c:pt>
                <c:pt idx="638" formatCode="0.0000">
                  <c:v>0.29175804831246549</c:v>
                </c:pt>
                <c:pt idx="639" formatCode="0.0000">
                  <c:v>0.22494847225107287</c:v>
                </c:pt>
                <c:pt idx="640" formatCode="0.0000">
                  <c:v>0.21206073647411475</c:v>
                </c:pt>
                <c:pt idx="641" formatCode="0.0000">
                  <c:v>0.20813929459391678</c:v>
                </c:pt>
                <c:pt idx="642" formatCode="0.0000">
                  <c:v>0.20572418948391186</c:v>
                </c:pt>
                <c:pt idx="643" formatCode="0.0000">
                  <c:v>0.20357734663113608</c:v>
                </c:pt>
                <c:pt idx="644" formatCode="0.0000">
                  <c:v>0.20149313003838967</c:v>
                </c:pt>
                <c:pt idx="645" formatCode="0.0000">
                  <c:v>0.19943722489689658</c:v>
                </c:pt>
                <c:pt idx="646" formatCode="0.0000">
                  <c:v>0.19740374691394288</c:v>
                </c:pt>
                <c:pt idx="647" formatCode="0.0000">
                  <c:v>0.19539153153526695</c:v>
                </c:pt>
                <c:pt idx="648" formatCode="0.0000">
                  <c:v>0.19340019944195214</c:v>
                </c:pt>
                <c:pt idx="649" formatCode="0.0000">
                  <c:v>0.19142950364999359</c:v>
                </c:pt>
                <c:pt idx="650" formatCode="0.0000">
                  <c:v>0.18947922114724386</c:v>
                </c:pt>
                <c:pt idx="651" formatCode="0.0000">
                  <c:v>0.18754913488916791</c:v>
                </c:pt>
                <c:pt idx="652" formatCode="0.0000">
                  <c:v>0.18563903078867916</c:v>
                </c:pt>
                <c:pt idx="653" formatCode="0.0000">
                  <c:v>0.20192397159696615</c:v>
                </c:pt>
                <c:pt idx="654" formatCode="0.0000">
                  <c:v>0.18669242492587984</c:v>
                </c:pt>
                <c:pt idx="655" formatCode="0.0000">
                  <c:v>0.29954472298006429</c:v>
                </c:pt>
                <c:pt idx="656" formatCode="0.0000">
                  <c:v>0.32205473746574614</c:v>
                </c:pt>
                <c:pt idx="657" formatCode="0.0000">
                  <c:v>0.83168245340074376</c:v>
                </c:pt>
                <c:pt idx="658" formatCode="0.0000">
                  <c:v>0.85951089229018751</c:v>
                </c:pt>
                <c:pt idx="659" formatCode="0.0000">
                  <c:v>1.0469129754107549</c:v>
                </c:pt>
                <c:pt idx="660" formatCode="0.0000">
                  <c:v>1.0270978269216466</c:v>
                </c:pt>
                <c:pt idx="661" formatCode="0.0000">
                  <c:v>0.92254947850352276</c:v>
                </c:pt>
                <c:pt idx="662" formatCode="0.0000">
                  <c:v>1.0464562896615117</c:v>
                </c:pt>
                <c:pt idx="663" formatCode="0.0000">
                  <c:v>1.0463086908882988</c:v>
                </c:pt>
                <c:pt idx="664" formatCode="0.0000">
                  <c:v>0.96310391505192705</c:v>
                </c:pt>
                <c:pt idx="665" formatCode="0.0000">
                  <c:v>0.9338320747006047</c:v>
                </c:pt>
                <c:pt idx="666" formatCode="0.0000">
                  <c:v>0.92543746128894988</c:v>
                </c:pt>
                <c:pt idx="667" formatCode="0.0000">
                  <c:v>0.8802526432984964</c:v>
                </c:pt>
                <c:pt idx="668" formatCode="0.0000">
                  <c:v>0.95625909194695224</c:v>
                </c:pt>
                <c:pt idx="669" formatCode="0.0000">
                  <c:v>0.90425857662516362</c:v>
                </c:pt>
                <c:pt idx="670" formatCode="0.0000">
                  <c:v>0.80966239052294864</c:v>
                </c:pt>
                <c:pt idx="671" formatCode="0.0000">
                  <c:v>0.7489418819376803</c:v>
                </c:pt>
                <c:pt idx="672" formatCode="0.0000">
                  <c:v>0.64843887929824273</c:v>
                </c:pt>
                <c:pt idx="673" formatCode="0.0000">
                  <c:v>0.62846412067747348</c:v>
                </c:pt>
                <c:pt idx="674" formatCode="0.0000">
                  <c:v>0.53293970999223217</c:v>
                </c:pt>
                <c:pt idx="675" formatCode="0.0000">
                  <c:v>0.45318327905168271</c:v>
                </c:pt>
                <c:pt idx="676" formatCode="0.0000">
                  <c:v>0.42984097023123524</c:v>
                </c:pt>
                <c:pt idx="677" formatCode="0.0000">
                  <c:v>0.34061752556114167</c:v>
                </c:pt>
                <c:pt idx="678" formatCode="0.0000">
                  <c:v>0.33346000619125399</c:v>
                </c:pt>
                <c:pt idx="679" formatCode="0.0000">
                  <c:v>0.27936014725104463</c:v>
                </c:pt>
                <c:pt idx="680" formatCode="0.0000">
                  <c:v>0.19798696416805084</c:v>
                </c:pt>
                <c:pt idx="681" formatCode="0.0000">
                  <c:v>0.17665133347452258</c:v>
                </c:pt>
                <c:pt idx="682" formatCode="0.0000">
                  <c:v>0.14787956859934098</c:v>
                </c:pt>
                <c:pt idx="683" formatCode="0.0000">
                  <c:v>0.14430305356065523</c:v>
                </c:pt>
                <c:pt idx="684" formatCode="0.0000">
                  <c:v>0.14012349780329406</c:v>
                </c:pt>
                <c:pt idx="685" formatCode="0.0000">
                  <c:v>0.13825414618142176</c:v>
                </c:pt>
                <c:pt idx="686" formatCode="0.0000">
                  <c:v>0.13678020194210599</c:v>
                </c:pt>
                <c:pt idx="687" formatCode="0.0000">
                  <c:v>0.14977229930673158</c:v>
                </c:pt>
                <c:pt idx="688" formatCode="0.0000">
                  <c:v>0.13999678259924916</c:v>
                </c:pt>
                <c:pt idx="689" formatCode="0.0000">
                  <c:v>0.4630713999271977</c:v>
                </c:pt>
                <c:pt idx="690" formatCode="0.0000">
                  <c:v>0.65675178834899617</c:v>
                </c:pt>
                <c:pt idx="691" formatCode="0.0000">
                  <c:v>0.57265388965097186</c:v>
                </c:pt>
                <c:pt idx="692" formatCode="0.0000">
                  <c:v>0.49341337445065525</c:v>
                </c:pt>
                <c:pt idx="693" formatCode="0.0000">
                  <c:v>0.51379473207507953</c:v>
                </c:pt>
                <c:pt idx="694" formatCode="0.0000">
                  <c:v>0.82915451298497334</c:v>
                </c:pt>
                <c:pt idx="695" formatCode="0.0000">
                  <c:v>0.93215459119214472</c:v>
                </c:pt>
                <c:pt idx="696" formatCode="0.0000">
                  <c:v>0.82392197597427519</c:v>
                </c:pt>
                <c:pt idx="697" formatCode="0.0000">
                  <c:v>0.7184903261834209</c:v>
                </c:pt>
                <c:pt idx="698" formatCode="0.0000">
                  <c:v>0.61867331337705866</c:v>
                </c:pt>
                <c:pt idx="699" formatCode="0.0000">
                  <c:v>0.7490815104780485</c:v>
                </c:pt>
                <c:pt idx="700" formatCode="0.0000">
                  <c:v>1.0298396602150786</c:v>
                </c:pt>
                <c:pt idx="701" formatCode="0.0000">
                  <c:v>0.9267885769958325</c:v>
                </c:pt>
                <c:pt idx="702" formatCode="0.0000">
                  <c:v>0.81799655727852105</c:v>
                </c:pt>
                <c:pt idx="703" formatCode="0.0000">
                  <c:v>0.7149416941375365</c:v>
                </c:pt>
                <c:pt idx="704" formatCode="0.0000">
                  <c:v>0.61711378690533125</c:v>
                </c:pt>
                <c:pt idx="705" formatCode="0.0000">
                  <c:v>0.52409963871920351</c:v>
                </c:pt>
                <c:pt idx="706" formatCode="0.0000">
                  <c:v>0.43398382452097944</c:v>
                </c:pt>
                <c:pt idx="707" formatCode="0.0000">
                  <c:v>0.34491719737357196</c:v>
                </c:pt>
                <c:pt idx="708" formatCode="0.0000">
                  <c:v>0.25893478313803403</c:v>
                </c:pt>
                <c:pt idx="709" formatCode="0.0000">
                  <c:v>0.17585274206598411</c:v>
                </c:pt>
                <c:pt idx="710" formatCode="0.0000">
                  <c:v>0.12007696020313843</c:v>
                </c:pt>
                <c:pt idx="711" formatCode="0.0000">
                  <c:v>0.11050480419349283</c:v>
                </c:pt>
                <c:pt idx="712" formatCode="0.0000">
                  <c:v>0.10740981527437378</c:v>
                </c:pt>
                <c:pt idx="713" formatCode="0.0000">
                  <c:v>0.10599839557481214</c:v>
                </c:pt>
                <c:pt idx="714" formatCode="0.0000">
                  <c:v>0.10487549650524279</c:v>
                </c:pt>
                <c:pt idx="715" formatCode="0.0000">
                  <c:v>0.10380953389704931</c:v>
                </c:pt>
                <c:pt idx="716" formatCode="0.0000">
                  <c:v>0.10276198560390506</c:v>
                </c:pt>
                <c:pt idx="717" formatCode="0.0000">
                  <c:v>0.15048202623143833</c:v>
                </c:pt>
                <c:pt idx="718" formatCode="0.0000">
                  <c:v>0.11118992610097271</c:v>
                </c:pt>
                <c:pt idx="719" formatCode="0.0000">
                  <c:v>0.1014275362901761</c:v>
                </c:pt>
                <c:pt idx="720" formatCode="0.0000">
                  <c:v>0.26141094824380268</c:v>
                </c:pt>
                <c:pt idx="721" formatCode="0.0000">
                  <c:v>0.23269426045895203</c:v>
                </c:pt>
                <c:pt idx="722" formatCode="0.0000">
                  <c:v>0.1695186148775768</c:v>
                </c:pt>
                <c:pt idx="723" formatCode="0.0000">
                  <c:v>0.60112677665992265</c:v>
                </c:pt>
                <c:pt idx="724" formatCode="0.0000">
                  <c:v>0.50594119244595614</c:v>
                </c:pt>
                <c:pt idx="725" formatCode="0.0000">
                  <c:v>0.41397504856170719</c:v>
                </c:pt>
                <c:pt idx="726" formatCode="0.0000">
                  <c:v>0.75535553372937403</c:v>
                </c:pt>
                <c:pt idx="727" formatCode="0.0000">
                  <c:v>0.71835086009103022</c:v>
                </c:pt>
                <c:pt idx="728" formatCode="0.0000">
                  <c:v>0.61901904646435268</c:v>
                </c:pt>
                <c:pt idx="729" formatCode="0.0000">
                  <c:v>1.0402404089527408</c:v>
                </c:pt>
                <c:pt idx="730" formatCode="0.0000">
                  <c:v>1.0401878214518916</c:v>
                </c:pt>
                <c:pt idx="731" formatCode="0.0000">
                  <c:v>1.0401360377639854</c:v>
                </c:pt>
                <c:pt idx="732" formatCode="0.0000">
                  <c:v>1.0400850456025428</c:v>
                </c:pt>
                <c:pt idx="733" formatCode="0.0000">
                  <c:v>1.0400348328688862</c:v>
                </c:pt>
                <c:pt idx="734" formatCode="0.0000">
                  <c:v>1.0399853876492695</c:v>
                </c:pt>
                <c:pt idx="735" formatCode="0.0000">
                  <c:v>1.0399366982120508</c:v>
                </c:pt>
              </c:numCache>
            </c:numRef>
          </c:yVal>
          <c:smooth val="0"/>
          <c:extLst>
            <c:ext xmlns:c16="http://schemas.microsoft.com/office/drawing/2014/chart" uri="{C3380CC4-5D6E-409C-BE32-E72D297353CC}">
              <c16:uniqueId val="{00000002-232F-9B44-9BE3-F3FB74B15743}"/>
            </c:ext>
          </c:extLst>
        </c:ser>
        <c:ser>
          <c:idx val="3"/>
          <c:order val="3"/>
          <c:tx>
            <c:strRef>
              <c:f>Gráficos!$V$5</c:f>
              <c:strCache>
                <c:ptCount val="1"/>
                <c:pt idx="0">
                  <c:v>Umbral alto de caudal</c:v>
                </c:pt>
              </c:strCache>
            </c:strRef>
          </c:tx>
          <c:spPr>
            <a:ln w="19050" cap="rnd">
              <a:solidFill>
                <a:srgbClr val="7030A0"/>
              </a:solidFill>
              <a:prstDash val="dash"/>
              <a:round/>
            </a:ln>
            <a:effectLst/>
          </c:spPr>
          <c:marker>
            <c:symbol val="none"/>
          </c:marker>
          <c:xVal>
            <c:numRef>
              <c:f>Gráficos!$T$6:$T$7</c:f>
              <c:numCache>
                <c:formatCode>General</c:formatCode>
                <c:ptCount val="2"/>
                <c:pt idx="0">
                  <c:v>1</c:v>
                </c:pt>
                <c:pt idx="1">
                  <c:v>730</c:v>
                </c:pt>
              </c:numCache>
            </c:numRef>
          </c:xVal>
          <c:yVal>
            <c:numRef>
              <c:f>Gráficos!$V$6:$V$7</c:f>
              <c:numCache>
                <c:formatCode>General</c:formatCode>
                <c:ptCount val="2"/>
                <c:pt idx="0">
                  <c:v>3</c:v>
                </c:pt>
                <c:pt idx="1">
                  <c:v>3</c:v>
                </c:pt>
              </c:numCache>
            </c:numRef>
          </c:yVal>
          <c:smooth val="0"/>
          <c:extLst>
            <c:ext xmlns:c16="http://schemas.microsoft.com/office/drawing/2014/chart" uri="{C3380CC4-5D6E-409C-BE32-E72D297353CC}">
              <c16:uniqueId val="{00000003-232F-9B44-9BE3-F3FB74B15743}"/>
            </c:ext>
          </c:extLst>
        </c:ser>
        <c:ser>
          <c:idx val="4"/>
          <c:order val="4"/>
          <c:tx>
            <c:strRef>
              <c:f>Gráficos!$V$9</c:f>
              <c:strCache>
                <c:ptCount val="1"/>
                <c:pt idx="0">
                  <c:v>Umbral bajo de caudal</c:v>
                </c:pt>
              </c:strCache>
            </c:strRef>
          </c:tx>
          <c:spPr>
            <a:ln w="19050" cap="rnd">
              <a:solidFill>
                <a:srgbClr val="C00000"/>
              </a:solidFill>
              <a:prstDash val="dash"/>
              <a:round/>
            </a:ln>
            <a:effectLst/>
          </c:spPr>
          <c:marker>
            <c:symbol val="none"/>
          </c:marker>
          <c:xVal>
            <c:numRef>
              <c:f>Gráficos!$T$10:$T$11</c:f>
              <c:numCache>
                <c:formatCode>General</c:formatCode>
                <c:ptCount val="2"/>
                <c:pt idx="0">
                  <c:v>1</c:v>
                </c:pt>
                <c:pt idx="1">
                  <c:v>730</c:v>
                </c:pt>
              </c:numCache>
            </c:numRef>
          </c:xVal>
          <c:yVal>
            <c:numRef>
              <c:f>Gráficos!$V$10:$V$11</c:f>
              <c:numCache>
                <c:formatCode>General</c:formatCode>
                <c:ptCount val="2"/>
                <c:pt idx="0">
                  <c:v>0.215</c:v>
                </c:pt>
                <c:pt idx="1">
                  <c:v>0.215</c:v>
                </c:pt>
              </c:numCache>
            </c:numRef>
          </c:yVal>
          <c:smooth val="0"/>
          <c:extLst>
            <c:ext xmlns:c16="http://schemas.microsoft.com/office/drawing/2014/chart" uri="{C3380CC4-5D6E-409C-BE32-E72D297353CC}">
              <c16:uniqueId val="{00000004-232F-9B44-9BE3-F3FB74B15743}"/>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Análisis de umbrales para sedimentos</a:t>
            </a:r>
          </a:p>
        </c:rich>
      </c:tx>
      <c:overlay val="0"/>
      <c:spPr>
        <a:noFill/>
        <a:ln>
          <a:noFill/>
        </a:ln>
        <a:effectLst/>
      </c:spPr>
    </c:title>
    <c:autoTitleDeleted val="0"/>
    <c:plotArea>
      <c:layout/>
      <c:scatterChart>
        <c:scatterStyle val="lineMarker"/>
        <c:varyColors val="0"/>
        <c:ser>
          <c:idx val="0"/>
          <c:order val="0"/>
          <c:tx>
            <c:strRef>
              <c:f>Escenarios!$D$21</c:f>
              <c:strCache>
                <c:ptCount val="1"/>
                <c:pt idx="0">
                  <c:v>Línea base</c:v>
                </c:pt>
              </c:strCache>
            </c:strRef>
          </c:tx>
          <c:spPr>
            <a:ln w="12700"/>
          </c:spPr>
          <c:marker>
            <c:symbol val="none"/>
          </c:marker>
          <c:xVal>
            <c:strRef>
              <c:f>LíneaBase!$C:$C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LíneaBase!$N:$N</c:f>
              <c:numCache>
                <c:formatCode>General</c:formatCode>
                <c:ptCount val="1048576"/>
                <c:pt idx="4">
                  <c:v>0</c:v>
                </c:pt>
                <c:pt idx="6" formatCode="0.0000">
                  <c:v>8.6646239802202221E-2</c:v>
                </c:pt>
                <c:pt idx="7" formatCode="0.0000">
                  <c:v>0</c:v>
                </c:pt>
                <c:pt idx="8" formatCode="0.0000">
                  <c:v>3.4549672719931479E-2</c:v>
                </c:pt>
                <c:pt idx="9" formatCode="0.0000">
                  <c:v>0</c:v>
                </c:pt>
                <c:pt idx="10" formatCode="0.0000">
                  <c:v>5.2279265862954149E-3</c:v>
                </c:pt>
                <c:pt idx="11" formatCode="0.0000">
                  <c:v>4.9232335602664927E-2</c:v>
                </c:pt>
                <c:pt idx="12" formatCode="0.0000">
                  <c:v>0</c:v>
                </c:pt>
                <c:pt idx="13" formatCode="0.0000">
                  <c:v>0</c:v>
                </c:pt>
                <c:pt idx="14" formatCode="0.0000">
                  <c:v>0</c:v>
                </c:pt>
                <c:pt idx="15" formatCode="0.0000">
                  <c:v>0</c:v>
                </c:pt>
                <c:pt idx="16" formatCode="0.0000">
                  <c:v>0</c:v>
                </c:pt>
                <c:pt idx="17" formatCode="0.0000">
                  <c:v>5.5639030568974297E-2</c:v>
                </c:pt>
                <c:pt idx="18" formatCode="0.0000">
                  <c:v>0</c:v>
                </c:pt>
                <c:pt idx="19" formatCode="0.0000">
                  <c:v>0</c:v>
                </c:pt>
                <c:pt idx="20" formatCode="0.0000">
                  <c:v>0</c:v>
                </c:pt>
                <c:pt idx="21" formatCode="0.0000">
                  <c:v>0</c:v>
                </c:pt>
                <c:pt idx="22" formatCode="0.0000">
                  <c:v>3.559814043822157E-3</c:v>
                </c:pt>
                <c:pt idx="23" formatCode="0.0000">
                  <c:v>0</c:v>
                </c:pt>
                <c:pt idx="24" formatCode="0.0000">
                  <c:v>2.1514870737036175E-3</c:v>
                </c:pt>
                <c:pt idx="25" formatCode="0.0000">
                  <c:v>1.2987607046084803E-4</c:v>
                </c:pt>
                <c:pt idx="26" formatCode="0.0000">
                  <c:v>5.9051688147181234E-4</c:v>
                </c:pt>
                <c:pt idx="27" formatCode="0.0000">
                  <c:v>0</c:v>
                </c:pt>
                <c:pt idx="28" formatCode="0.0000">
                  <c:v>8.0851907840332568E-2</c:v>
                </c:pt>
                <c:pt idx="29" formatCode="0.0000">
                  <c:v>0</c:v>
                </c:pt>
                <c:pt idx="30" formatCode="0.0000">
                  <c:v>0</c:v>
                </c:pt>
                <c:pt idx="31" formatCode="0.0000">
                  <c:v>6.8882745780803645E-6</c:v>
                </c:pt>
                <c:pt idx="32" formatCode="0.0000">
                  <c:v>0</c:v>
                </c:pt>
                <c:pt idx="33" formatCode="0.0000">
                  <c:v>0</c:v>
                </c:pt>
                <c:pt idx="34" formatCode="0.0000">
                  <c:v>0</c:v>
                </c:pt>
                <c:pt idx="35" formatCode="0.0000">
                  <c:v>1.7892987414496321E-4</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2.0665652672816309E-2</c:v>
                </c:pt>
                <c:pt idx="44" formatCode="0.0000">
                  <c:v>0</c:v>
                </c:pt>
                <c:pt idx="45" formatCode="0.0000">
                  <c:v>0</c:v>
                </c:pt>
                <c:pt idx="46" formatCode="0.0000">
                  <c:v>0.11426366964372266</c:v>
                </c:pt>
                <c:pt idx="47" formatCode="0.0000">
                  <c:v>0</c:v>
                </c:pt>
                <c:pt idx="48" formatCode="0.0000">
                  <c:v>0</c:v>
                </c:pt>
                <c:pt idx="49" formatCode="0.0000">
                  <c:v>0</c:v>
                </c:pt>
                <c:pt idx="50" formatCode="0.0000">
                  <c:v>0</c:v>
                </c:pt>
                <c:pt idx="51" formatCode="0.0000">
                  <c:v>0</c:v>
                </c:pt>
                <c:pt idx="52" formatCode="0.0000">
                  <c:v>6.0197953100362217E-2</c:v>
                </c:pt>
                <c:pt idx="53" formatCode="0.0000">
                  <c:v>0</c:v>
                </c:pt>
                <c:pt idx="54" formatCode="0.0000">
                  <c:v>1.5377428642051225E-2</c:v>
                </c:pt>
                <c:pt idx="55" formatCode="0.0000">
                  <c:v>0</c:v>
                </c:pt>
                <c:pt idx="56" formatCode="0.0000">
                  <c:v>0.15766896565323904</c:v>
                </c:pt>
                <c:pt idx="57" formatCode="0.0000">
                  <c:v>1.3541304422291688E-2</c:v>
                </c:pt>
                <c:pt idx="58" formatCode="0.0000">
                  <c:v>9.9969331054046494E-4</c:v>
                </c:pt>
                <c:pt idx="59" formatCode="0.0000">
                  <c:v>0.25220801154132461</c:v>
                </c:pt>
                <c:pt idx="60" formatCode="0.0000">
                  <c:v>3.9378982306366083E-3</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3.8938659586564293E-4</c:v>
                </c:pt>
                <c:pt idx="71" formatCode="0.0000">
                  <c:v>0</c:v>
                </c:pt>
                <c:pt idx="72" formatCode="0.0000">
                  <c:v>0.47958349045588006</c:v>
                </c:pt>
                <c:pt idx="73" formatCode="0.0000">
                  <c:v>0</c:v>
                </c:pt>
                <c:pt idx="74" formatCode="0.0000">
                  <c:v>1.8426950409436069E-2</c:v>
                </c:pt>
                <c:pt idx="75" formatCode="0.0000">
                  <c:v>2.3799588974509939E-4</c:v>
                </c:pt>
                <c:pt idx="76" formatCode="0.0000">
                  <c:v>8.6646239802202221E-2</c:v>
                </c:pt>
                <c:pt idx="77" formatCode="0.0000">
                  <c:v>3.0386040027325953E-3</c:v>
                </c:pt>
                <c:pt idx="78" formatCode="0.0000">
                  <c:v>0</c:v>
                </c:pt>
                <c:pt idx="79" formatCode="0.0000">
                  <c:v>3.0787893885284799E-4</c:v>
                </c:pt>
                <c:pt idx="80" formatCode="0.0000">
                  <c:v>6.256577520466905E-2</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1.1855590955586196E-2</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1.5377428642051225E-2</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1.1456945735200001E-2</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1.5320162510455492E-4</c:v>
                </c:pt>
                <c:pt idx="207" formatCode="0.0000">
                  <c:v>9.2177709115104616E-4</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4.5794762485582542E-5</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6.493322917720003E-4</c:v>
                </c:pt>
                <c:pt idx="291" formatCode="0.0000">
                  <c:v>0</c:v>
                </c:pt>
                <c:pt idx="292" formatCode="0.0000">
                  <c:v>8.5173230797976562E-2</c:v>
                </c:pt>
                <c:pt idx="293" formatCode="0.0000">
                  <c:v>1.7815188259180114E-5</c:v>
                </c:pt>
                <c:pt idx="294" formatCode="0.0000">
                  <c:v>1.5860676452877469E-2</c:v>
                </c:pt>
                <c:pt idx="295" formatCode="0.0000">
                  <c:v>0</c:v>
                </c:pt>
                <c:pt idx="296" formatCode="0.0000">
                  <c:v>0</c:v>
                </c:pt>
                <c:pt idx="297" formatCode="0.0000">
                  <c:v>2.8767083000789347E-3</c:v>
                </c:pt>
                <c:pt idx="298" formatCode="0.0000">
                  <c:v>0</c:v>
                </c:pt>
                <c:pt idx="299" formatCode="0.0000">
                  <c:v>0</c:v>
                </c:pt>
                <c:pt idx="300" formatCode="0.0000">
                  <c:v>0</c:v>
                </c:pt>
                <c:pt idx="301" formatCode="0.0000">
                  <c:v>0</c:v>
                </c:pt>
                <c:pt idx="302" formatCode="0.0000">
                  <c:v>0</c:v>
                </c:pt>
                <c:pt idx="303" formatCode="0.0000">
                  <c:v>3.8938659586564293E-4</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2.0665652672816309E-2</c:v>
                </c:pt>
                <c:pt idx="325" formatCode="0.0000">
                  <c:v>4.9961107469197472E-3</c:v>
                </c:pt>
                <c:pt idx="326" formatCode="0.0000">
                  <c:v>0</c:v>
                </c:pt>
                <c:pt idx="327" formatCode="0.0000">
                  <c:v>0</c:v>
                </c:pt>
                <c:pt idx="328" formatCode="0.0000">
                  <c:v>1.5136918328103932E-7</c:v>
                </c:pt>
                <c:pt idx="329" formatCode="0.0000">
                  <c:v>2.1251896640488425E-2</c:v>
                </c:pt>
                <c:pt idx="330" formatCode="0.0000">
                  <c:v>1.0817353202258308E-3</c:v>
                </c:pt>
                <c:pt idx="331" formatCode="0.0000">
                  <c:v>0</c:v>
                </c:pt>
                <c:pt idx="332" formatCode="0.0000">
                  <c:v>0</c:v>
                </c:pt>
                <c:pt idx="333" formatCode="0.0000">
                  <c:v>0</c:v>
                </c:pt>
                <c:pt idx="334" formatCode="0.0000">
                  <c:v>1.7801107591504911E-3</c:v>
                </c:pt>
                <c:pt idx="335" formatCode="0.0000">
                  <c:v>1.6856895987741743E-2</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1.1643961711068925E-5</c:v>
                </c:pt>
                <c:pt idx="353" formatCode="0.0000">
                  <c:v>0</c:v>
                </c:pt>
                <c:pt idx="354" formatCode="0.0000">
                  <c:v>0</c:v>
                </c:pt>
                <c:pt idx="355" formatCode="0.0000">
                  <c:v>2.2856346590405343E-3</c:v>
                </c:pt>
                <c:pt idx="356" formatCode="0.0000">
                  <c:v>0</c:v>
                </c:pt>
                <c:pt idx="357" formatCode="0.0000">
                  <c:v>0</c:v>
                </c:pt>
                <c:pt idx="358" formatCode="0.0000">
                  <c:v>5.0264780360206471E-2</c:v>
                </c:pt>
                <c:pt idx="359" formatCode="0.0000">
                  <c:v>0</c:v>
                </c:pt>
                <c:pt idx="360" formatCode="0.0000">
                  <c:v>0</c:v>
                </c:pt>
                <c:pt idx="361" formatCode="0.0000">
                  <c:v>2.6338880763069634E-2</c:v>
                </c:pt>
                <c:pt idx="362" formatCode="0.0000">
                  <c:v>0</c:v>
                </c:pt>
                <c:pt idx="363" formatCode="0.0000">
                  <c:v>0</c:v>
                </c:pt>
                <c:pt idx="364" formatCode="0.0000">
                  <c:v>0.13682329539113258</c:v>
                </c:pt>
                <c:pt idx="365" formatCode="0.0000">
                  <c:v>1.2377583021187898E-6</c:v>
                </c:pt>
                <c:pt idx="366" formatCode="0.0000">
                  <c:v>0</c:v>
                </c:pt>
                <c:pt idx="367" formatCode="0.0000">
                  <c:v>6.493322917720003E-4</c:v>
                </c:pt>
                <c:pt idx="368" formatCode="0.0000">
                  <c:v>3.4515585325015168E-6</c:v>
                </c:pt>
                <c:pt idx="369" formatCode="0.0000">
                  <c:v>1.1643961711068925E-5</c:v>
                </c:pt>
                <c:pt idx="370" formatCode="0.0000">
                  <c:v>0</c:v>
                </c:pt>
                <c:pt idx="371" formatCode="0.0000">
                  <c:v>8.6646239802202221E-2</c:v>
                </c:pt>
                <c:pt idx="372" formatCode="0.0000">
                  <c:v>0</c:v>
                </c:pt>
                <c:pt idx="373" formatCode="0.0000">
                  <c:v>3.4549672719931479E-2</c:v>
                </c:pt>
                <c:pt idx="374" formatCode="0.0000">
                  <c:v>0</c:v>
                </c:pt>
                <c:pt idx="375" formatCode="0.0000">
                  <c:v>5.2279265862954149E-3</c:v>
                </c:pt>
                <c:pt idx="376" formatCode="0.0000">
                  <c:v>4.9232335602664927E-2</c:v>
                </c:pt>
                <c:pt idx="377" formatCode="0.0000">
                  <c:v>0</c:v>
                </c:pt>
                <c:pt idx="378" formatCode="0.0000">
                  <c:v>0</c:v>
                </c:pt>
                <c:pt idx="379" formatCode="0.0000">
                  <c:v>0</c:v>
                </c:pt>
                <c:pt idx="380" formatCode="0.0000">
                  <c:v>0</c:v>
                </c:pt>
                <c:pt idx="381" formatCode="0.0000">
                  <c:v>0</c:v>
                </c:pt>
                <c:pt idx="382" formatCode="0.0000">
                  <c:v>5.5639030568974297E-2</c:v>
                </c:pt>
                <c:pt idx="383" formatCode="0.0000">
                  <c:v>0</c:v>
                </c:pt>
                <c:pt idx="384" formatCode="0.0000">
                  <c:v>0</c:v>
                </c:pt>
                <c:pt idx="385" formatCode="0.0000">
                  <c:v>0</c:v>
                </c:pt>
                <c:pt idx="386" formatCode="0.0000">
                  <c:v>0</c:v>
                </c:pt>
                <c:pt idx="387" formatCode="0.0000">
                  <c:v>3.559814043822157E-3</c:v>
                </c:pt>
                <c:pt idx="388" formatCode="0.0000">
                  <c:v>0</c:v>
                </c:pt>
                <c:pt idx="389" formatCode="0.0000">
                  <c:v>2.1514870737036175E-3</c:v>
                </c:pt>
                <c:pt idx="390" formatCode="0.0000">
                  <c:v>1.2987607046084803E-4</c:v>
                </c:pt>
                <c:pt idx="391" formatCode="0.0000">
                  <c:v>5.9051688147181234E-4</c:v>
                </c:pt>
                <c:pt idx="392" formatCode="0.0000">
                  <c:v>0</c:v>
                </c:pt>
                <c:pt idx="393" formatCode="0.0000">
                  <c:v>8.0851907840332568E-2</c:v>
                </c:pt>
                <c:pt idx="394" formatCode="0.0000">
                  <c:v>0</c:v>
                </c:pt>
                <c:pt idx="395" formatCode="0.0000">
                  <c:v>0</c:v>
                </c:pt>
                <c:pt idx="396" formatCode="0.0000">
                  <c:v>6.8882745780803645E-6</c:v>
                </c:pt>
                <c:pt idx="397" formatCode="0.0000">
                  <c:v>0</c:v>
                </c:pt>
                <c:pt idx="398" formatCode="0.0000">
                  <c:v>0</c:v>
                </c:pt>
                <c:pt idx="399" formatCode="0.0000">
                  <c:v>0</c:v>
                </c:pt>
                <c:pt idx="400" formatCode="0.0000">
                  <c:v>1.7892987414496321E-4</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2.0665652672816309E-2</c:v>
                </c:pt>
                <c:pt idx="409" formatCode="0.0000">
                  <c:v>0</c:v>
                </c:pt>
                <c:pt idx="410" formatCode="0.0000">
                  <c:v>0</c:v>
                </c:pt>
                <c:pt idx="411" formatCode="0.0000">
                  <c:v>0.11426366964372266</c:v>
                </c:pt>
                <c:pt idx="412" formatCode="0.0000">
                  <c:v>0</c:v>
                </c:pt>
                <c:pt idx="413" formatCode="0.0000">
                  <c:v>0</c:v>
                </c:pt>
                <c:pt idx="414" formatCode="0.0000">
                  <c:v>0</c:v>
                </c:pt>
                <c:pt idx="415" formatCode="0.0000">
                  <c:v>0</c:v>
                </c:pt>
                <c:pt idx="416" formatCode="0.0000">
                  <c:v>0</c:v>
                </c:pt>
                <c:pt idx="417" formatCode="0.0000">
                  <c:v>6.0197953100362217E-2</c:v>
                </c:pt>
                <c:pt idx="418" formatCode="0.0000">
                  <c:v>0</c:v>
                </c:pt>
                <c:pt idx="419" formatCode="0.0000">
                  <c:v>1.5377428642051225E-2</c:v>
                </c:pt>
                <c:pt idx="420" formatCode="0.0000">
                  <c:v>0</c:v>
                </c:pt>
                <c:pt idx="421" formatCode="0.0000">
                  <c:v>0.15766896565323904</c:v>
                </c:pt>
                <c:pt idx="422" formatCode="0.0000">
                  <c:v>1.3541304422291688E-2</c:v>
                </c:pt>
                <c:pt idx="423" formatCode="0.0000">
                  <c:v>9.9969331054046494E-4</c:v>
                </c:pt>
                <c:pt idx="424" formatCode="0.0000">
                  <c:v>0.25220801154132461</c:v>
                </c:pt>
                <c:pt idx="425" formatCode="0.0000">
                  <c:v>3.9378982306366083E-3</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3.8938659586564293E-4</c:v>
                </c:pt>
                <c:pt idx="436" formatCode="0.0000">
                  <c:v>0</c:v>
                </c:pt>
                <c:pt idx="437" formatCode="0.0000">
                  <c:v>0.47958349045588006</c:v>
                </c:pt>
                <c:pt idx="438" formatCode="0.0000">
                  <c:v>0</c:v>
                </c:pt>
                <c:pt idx="439" formatCode="0.0000">
                  <c:v>1.8426950409436069E-2</c:v>
                </c:pt>
                <c:pt idx="440" formatCode="0.0000">
                  <c:v>2.3799588974509939E-4</c:v>
                </c:pt>
                <c:pt idx="441" formatCode="0.0000">
                  <c:v>8.6646239802202221E-2</c:v>
                </c:pt>
                <c:pt idx="442" formatCode="0.0000">
                  <c:v>3.0386040027325953E-3</c:v>
                </c:pt>
                <c:pt idx="443" formatCode="0.0000">
                  <c:v>0</c:v>
                </c:pt>
                <c:pt idx="444" formatCode="0.0000">
                  <c:v>3.0787893885284799E-4</c:v>
                </c:pt>
                <c:pt idx="445" formatCode="0.0000">
                  <c:v>6.256577520466905E-2</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1.1855590955586196E-2</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1.5377428642051225E-2</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1.1456945735200001E-2</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1.5320162510455492E-4</c:v>
                </c:pt>
                <c:pt idx="572" formatCode="0.0000">
                  <c:v>9.2177709115104616E-4</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4.5794762485582542E-5</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6.493322917720003E-4</c:v>
                </c:pt>
                <c:pt idx="656" formatCode="0.0000">
                  <c:v>0</c:v>
                </c:pt>
                <c:pt idx="657" formatCode="0.0000">
                  <c:v>8.5173230797976562E-2</c:v>
                </c:pt>
                <c:pt idx="658" formatCode="0.0000">
                  <c:v>1.7815188259180114E-5</c:v>
                </c:pt>
                <c:pt idx="659" formatCode="0.0000">
                  <c:v>1.5860676452877469E-2</c:v>
                </c:pt>
                <c:pt idx="660" formatCode="0.0000">
                  <c:v>0</c:v>
                </c:pt>
                <c:pt idx="661" formatCode="0.0000">
                  <c:v>0</c:v>
                </c:pt>
                <c:pt idx="662" formatCode="0.0000">
                  <c:v>2.8767083000789347E-3</c:v>
                </c:pt>
                <c:pt idx="663" formatCode="0.0000">
                  <c:v>0</c:v>
                </c:pt>
                <c:pt idx="664" formatCode="0.0000">
                  <c:v>0</c:v>
                </c:pt>
                <c:pt idx="665" formatCode="0.0000">
                  <c:v>0</c:v>
                </c:pt>
                <c:pt idx="666" formatCode="0.0000">
                  <c:v>0</c:v>
                </c:pt>
                <c:pt idx="667" formatCode="0.0000">
                  <c:v>0</c:v>
                </c:pt>
                <c:pt idx="668" formatCode="0.0000">
                  <c:v>3.8938659586564293E-4</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2.0665652672816309E-2</c:v>
                </c:pt>
                <c:pt idx="690" formatCode="0.0000">
                  <c:v>4.9961107469197472E-3</c:v>
                </c:pt>
                <c:pt idx="691" formatCode="0.0000">
                  <c:v>0</c:v>
                </c:pt>
                <c:pt idx="692" formatCode="0.0000">
                  <c:v>0</c:v>
                </c:pt>
                <c:pt idx="693" formatCode="0.0000">
                  <c:v>1.5136918328103932E-7</c:v>
                </c:pt>
                <c:pt idx="694" formatCode="0.0000">
                  <c:v>2.1251896640488425E-2</c:v>
                </c:pt>
                <c:pt idx="695" formatCode="0.0000">
                  <c:v>1.0817353202258308E-3</c:v>
                </c:pt>
                <c:pt idx="696" formatCode="0.0000">
                  <c:v>0</c:v>
                </c:pt>
                <c:pt idx="697" formatCode="0.0000">
                  <c:v>0</c:v>
                </c:pt>
                <c:pt idx="698" formatCode="0.0000">
                  <c:v>0</c:v>
                </c:pt>
                <c:pt idx="699" formatCode="0.0000">
                  <c:v>1.7801107591504911E-3</c:v>
                </c:pt>
                <c:pt idx="700" formatCode="0.0000">
                  <c:v>1.6856895987741743E-2</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1.1643961711068925E-5</c:v>
                </c:pt>
                <c:pt idx="718" formatCode="0.0000">
                  <c:v>0</c:v>
                </c:pt>
                <c:pt idx="719" formatCode="0.0000">
                  <c:v>0</c:v>
                </c:pt>
                <c:pt idx="720" formatCode="0.0000">
                  <c:v>2.2856346590405343E-3</c:v>
                </c:pt>
                <c:pt idx="721" formatCode="0.0000">
                  <c:v>0</c:v>
                </c:pt>
                <c:pt idx="722" formatCode="0.0000">
                  <c:v>0</c:v>
                </c:pt>
                <c:pt idx="723" formatCode="0.0000">
                  <c:v>5.0264780360206471E-2</c:v>
                </c:pt>
                <c:pt idx="724" formatCode="0.0000">
                  <c:v>0</c:v>
                </c:pt>
                <c:pt idx="725" formatCode="0.0000">
                  <c:v>0</c:v>
                </c:pt>
                <c:pt idx="726" formatCode="0.0000">
                  <c:v>2.6338880763069634E-2</c:v>
                </c:pt>
                <c:pt idx="727" formatCode="0.0000">
                  <c:v>0</c:v>
                </c:pt>
                <c:pt idx="728" formatCode="0.0000">
                  <c:v>0</c:v>
                </c:pt>
                <c:pt idx="729" formatCode="0.0000">
                  <c:v>0.13682329539113258</c:v>
                </c:pt>
                <c:pt idx="730" formatCode="0.0000">
                  <c:v>1.2377583021187898E-6</c:v>
                </c:pt>
                <c:pt idx="731" formatCode="0.0000">
                  <c:v>0</c:v>
                </c:pt>
                <c:pt idx="732" formatCode="0.0000">
                  <c:v>6.493322917720003E-4</c:v>
                </c:pt>
                <c:pt idx="733" formatCode="0.0000">
                  <c:v>3.4515585325015168E-6</c:v>
                </c:pt>
                <c:pt idx="734" formatCode="0.0000">
                  <c:v>1.1643961711068925E-5</c:v>
                </c:pt>
                <c:pt idx="735" formatCode="0.0000">
                  <c:v>0</c:v>
                </c:pt>
              </c:numCache>
            </c:numRef>
          </c:yVal>
          <c:smooth val="0"/>
          <c:extLst>
            <c:ext xmlns:c16="http://schemas.microsoft.com/office/drawing/2014/chart" uri="{C3380CC4-5D6E-409C-BE32-E72D297353CC}">
              <c16:uniqueId val="{00000000-B08C-E447-AC86-78754C3F6607}"/>
            </c:ext>
          </c:extLst>
        </c:ser>
        <c:ser>
          <c:idx val="1"/>
          <c:order val="1"/>
          <c:tx>
            <c:strRef>
              <c:f>Escenarios!$E$28</c:f>
              <c:strCache>
                <c:ptCount val="1"/>
                <c:pt idx="0">
                  <c:v>Escenario 1</c:v>
                </c:pt>
              </c:strCache>
            </c:strRef>
          </c:tx>
          <c:spPr>
            <a:ln w="12700"/>
          </c:spPr>
          <c:marker>
            <c:symbol val="none"/>
          </c:marker>
          <c:xVal>
            <c:strRef>
              <c:f>Escenario1!$C:$C</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Escenario1!$BP:$BP</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0</c:v>
                </c:pt>
                <c:pt idx="13" formatCode="0.0000">
                  <c:v>0</c:v>
                </c:pt>
                <c:pt idx="14" formatCode="0.0000">
                  <c:v>0</c:v>
                </c:pt>
                <c:pt idx="15" formatCode="0.0000">
                  <c:v>0</c:v>
                </c:pt>
                <c:pt idx="16" formatCode="0.0000">
                  <c:v>0</c:v>
                </c:pt>
                <c:pt idx="17" formatCode="0.0000">
                  <c:v>0</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0</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0</c:v>
                </c:pt>
                <c:pt idx="47" formatCode="0.0000">
                  <c:v>0</c:v>
                </c:pt>
                <c:pt idx="48" formatCode="0.0000">
                  <c:v>0</c:v>
                </c:pt>
                <c:pt idx="49" formatCode="0.0000">
                  <c:v>0</c:v>
                </c:pt>
                <c:pt idx="50" formatCode="0.0000">
                  <c:v>0</c:v>
                </c:pt>
                <c:pt idx="51" formatCode="0.0000">
                  <c:v>0</c:v>
                </c:pt>
                <c:pt idx="52" formatCode="0.0000">
                  <c:v>0</c:v>
                </c:pt>
                <c:pt idx="53" formatCode="0.0000">
                  <c:v>0</c:v>
                </c:pt>
                <c:pt idx="54" formatCode="0.0000">
                  <c:v>0</c:v>
                </c:pt>
                <c:pt idx="55" formatCode="0.0000">
                  <c:v>0</c:v>
                </c:pt>
                <c:pt idx="56" formatCode="0.0000">
                  <c:v>0</c:v>
                </c:pt>
                <c:pt idx="57" formatCode="0.0000">
                  <c:v>0</c:v>
                </c:pt>
                <c:pt idx="58" formatCode="0.0000">
                  <c:v>0</c:v>
                </c:pt>
                <c:pt idx="59" formatCode="0.0000">
                  <c:v>0</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c:v>
                </c:pt>
                <c:pt idx="73" formatCode="0.0000">
                  <c:v>0</c:v>
                </c:pt>
                <c:pt idx="74" formatCode="0.0000">
                  <c:v>0</c:v>
                </c:pt>
                <c:pt idx="75" formatCode="0.0000">
                  <c:v>0</c:v>
                </c:pt>
                <c:pt idx="76" formatCode="0.0000">
                  <c:v>0</c:v>
                </c:pt>
                <c:pt idx="77" formatCode="0.0000">
                  <c:v>0</c:v>
                </c:pt>
                <c:pt idx="78" formatCode="0.0000">
                  <c:v>0</c:v>
                </c:pt>
                <c:pt idx="79" formatCode="0.0000">
                  <c:v>0</c:v>
                </c:pt>
                <c:pt idx="80" formatCode="0.0000">
                  <c:v>0</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0</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0</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0</c:v>
                </c:pt>
                <c:pt idx="378" formatCode="0.0000">
                  <c:v>0</c:v>
                </c:pt>
                <c:pt idx="379" formatCode="0.0000">
                  <c:v>0</c:v>
                </c:pt>
                <c:pt idx="380" formatCode="0.0000">
                  <c:v>0</c:v>
                </c:pt>
                <c:pt idx="381" formatCode="0.0000">
                  <c:v>0</c:v>
                </c:pt>
                <c:pt idx="382" formatCode="0.0000">
                  <c:v>0</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0</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0</c:v>
                </c:pt>
                <c:pt idx="412" formatCode="0.0000">
                  <c:v>0</c:v>
                </c:pt>
                <c:pt idx="413" formatCode="0.0000">
                  <c:v>0</c:v>
                </c:pt>
                <c:pt idx="414" formatCode="0.0000">
                  <c:v>0</c:v>
                </c:pt>
                <c:pt idx="415" formatCode="0.0000">
                  <c:v>0</c:v>
                </c:pt>
                <c:pt idx="416" formatCode="0.0000">
                  <c:v>0</c:v>
                </c:pt>
                <c:pt idx="417" formatCode="0.0000">
                  <c:v>0</c:v>
                </c:pt>
                <c:pt idx="418" formatCode="0.0000">
                  <c:v>0</c:v>
                </c:pt>
                <c:pt idx="419" formatCode="0.0000">
                  <c:v>0</c:v>
                </c:pt>
                <c:pt idx="420" formatCode="0.0000">
                  <c:v>0</c:v>
                </c:pt>
                <c:pt idx="421" formatCode="0.0000">
                  <c:v>0</c:v>
                </c:pt>
                <c:pt idx="422" formatCode="0.0000">
                  <c:v>0</c:v>
                </c:pt>
                <c:pt idx="423" formatCode="0.0000">
                  <c:v>0</c:v>
                </c:pt>
                <c:pt idx="424" formatCode="0.0000">
                  <c:v>0</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c:v>
                </c:pt>
                <c:pt idx="438" formatCode="0.0000">
                  <c:v>0</c:v>
                </c:pt>
                <c:pt idx="439" formatCode="0.0000">
                  <c:v>0</c:v>
                </c:pt>
                <c:pt idx="440" formatCode="0.0000">
                  <c:v>0</c:v>
                </c:pt>
                <c:pt idx="441" formatCode="0.0000">
                  <c:v>0</c:v>
                </c:pt>
                <c:pt idx="442" formatCode="0.0000">
                  <c:v>0</c:v>
                </c:pt>
                <c:pt idx="443" formatCode="0.0000">
                  <c:v>0</c:v>
                </c:pt>
                <c:pt idx="444" formatCode="0.0000">
                  <c:v>0</c:v>
                </c:pt>
                <c:pt idx="445" formatCode="0.0000">
                  <c:v>0</c:v>
                </c:pt>
                <c:pt idx="446" formatCode="0.0000">
                  <c:v>0</c:v>
                </c:pt>
                <c:pt idx="447" formatCode="0.0000">
                  <c:v>0</c:v>
                </c:pt>
                <c:pt idx="448" formatCode="0.0000">
                  <c:v>0</c:v>
                </c:pt>
                <c:pt idx="449" formatCode="0.0000">
                  <c:v>1.0813584234106548E-4</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0</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1-B08C-E447-AC86-78754C3F6607}"/>
            </c:ext>
          </c:extLst>
        </c:ser>
        <c:ser>
          <c:idx val="2"/>
          <c:order val="2"/>
          <c:tx>
            <c:strRef>
              <c:f>Escenarios!$F$28</c:f>
              <c:strCache>
                <c:ptCount val="1"/>
                <c:pt idx="0">
                  <c:v>Escenario 2</c:v>
                </c:pt>
              </c:strCache>
            </c:strRef>
          </c:tx>
          <c:spPr>
            <a:ln w="12700">
              <a:solidFill>
                <a:schemeClr val="accent6"/>
              </a:solidFill>
            </a:ln>
          </c:spPr>
          <c:marker>
            <c:symbol val="none"/>
          </c:marker>
          <c:xVal>
            <c:strRef>
              <c:f>Escenario2!$C:$C</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Escenario2!$BP:$BP</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0</c:v>
                </c:pt>
                <c:pt idx="13" formatCode="0.0000">
                  <c:v>0</c:v>
                </c:pt>
                <c:pt idx="14" formatCode="0.0000">
                  <c:v>0</c:v>
                </c:pt>
                <c:pt idx="15" formatCode="0.0000">
                  <c:v>0</c:v>
                </c:pt>
                <c:pt idx="16" formatCode="0.0000">
                  <c:v>0</c:v>
                </c:pt>
                <c:pt idx="17" formatCode="0.0000">
                  <c:v>0</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0</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0</c:v>
                </c:pt>
                <c:pt idx="47" formatCode="0.0000">
                  <c:v>0</c:v>
                </c:pt>
                <c:pt idx="48" formatCode="0.0000">
                  <c:v>0</c:v>
                </c:pt>
                <c:pt idx="49" formatCode="0.0000">
                  <c:v>0</c:v>
                </c:pt>
                <c:pt idx="50" formatCode="0.0000">
                  <c:v>0</c:v>
                </c:pt>
                <c:pt idx="51" formatCode="0.0000">
                  <c:v>0</c:v>
                </c:pt>
                <c:pt idx="52" formatCode="0.0000">
                  <c:v>0</c:v>
                </c:pt>
                <c:pt idx="53" formatCode="0.0000">
                  <c:v>0</c:v>
                </c:pt>
                <c:pt idx="54" formatCode="0.0000">
                  <c:v>0</c:v>
                </c:pt>
                <c:pt idx="55" formatCode="0.0000">
                  <c:v>0</c:v>
                </c:pt>
                <c:pt idx="56" formatCode="0.0000">
                  <c:v>0</c:v>
                </c:pt>
                <c:pt idx="57" formatCode="0.0000">
                  <c:v>0</c:v>
                </c:pt>
                <c:pt idx="58" formatCode="0.0000">
                  <c:v>0</c:v>
                </c:pt>
                <c:pt idx="59" formatCode="0.0000">
                  <c:v>0</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c:v>
                </c:pt>
                <c:pt idx="73" formatCode="0.0000">
                  <c:v>0</c:v>
                </c:pt>
                <c:pt idx="74" formatCode="0.0000">
                  <c:v>0</c:v>
                </c:pt>
                <c:pt idx="75" formatCode="0.0000">
                  <c:v>0</c:v>
                </c:pt>
                <c:pt idx="76" formatCode="0.0000">
                  <c:v>0</c:v>
                </c:pt>
                <c:pt idx="77" formatCode="0.0000">
                  <c:v>0</c:v>
                </c:pt>
                <c:pt idx="78" formatCode="0.0000">
                  <c:v>0</c:v>
                </c:pt>
                <c:pt idx="79" formatCode="0.0000">
                  <c:v>0</c:v>
                </c:pt>
                <c:pt idx="80" formatCode="0.0000">
                  <c:v>0</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0</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0</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0</c:v>
                </c:pt>
                <c:pt idx="378" formatCode="0.0000">
                  <c:v>0</c:v>
                </c:pt>
                <c:pt idx="379" formatCode="0.0000">
                  <c:v>0</c:v>
                </c:pt>
                <c:pt idx="380" formatCode="0.0000">
                  <c:v>0</c:v>
                </c:pt>
                <c:pt idx="381" formatCode="0.0000">
                  <c:v>0</c:v>
                </c:pt>
                <c:pt idx="382" formatCode="0.0000">
                  <c:v>0</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0</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0</c:v>
                </c:pt>
                <c:pt idx="412" formatCode="0.0000">
                  <c:v>0</c:v>
                </c:pt>
                <c:pt idx="413" formatCode="0.0000">
                  <c:v>0</c:v>
                </c:pt>
                <c:pt idx="414" formatCode="0.0000">
                  <c:v>0</c:v>
                </c:pt>
                <c:pt idx="415" formatCode="0.0000">
                  <c:v>0</c:v>
                </c:pt>
                <c:pt idx="416" formatCode="0.0000">
                  <c:v>0</c:v>
                </c:pt>
                <c:pt idx="417" formatCode="0.0000">
                  <c:v>0</c:v>
                </c:pt>
                <c:pt idx="418" formatCode="0.0000">
                  <c:v>0</c:v>
                </c:pt>
                <c:pt idx="419" formatCode="0.0000">
                  <c:v>0</c:v>
                </c:pt>
                <c:pt idx="420" formatCode="0.0000">
                  <c:v>0</c:v>
                </c:pt>
                <c:pt idx="421" formatCode="0.0000">
                  <c:v>0</c:v>
                </c:pt>
                <c:pt idx="422" formatCode="0.0000">
                  <c:v>0</c:v>
                </c:pt>
                <c:pt idx="423" formatCode="0.0000">
                  <c:v>0</c:v>
                </c:pt>
                <c:pt idx="424" formatCode="0.0000">
                  <c:v>0</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c:v>
                </c:pt>
                <c:pt idx="438" formatCode="0.0000">
                  <c:v>0</c:v>
                </c:pt>
                <c:pt idx="439" formatCode="0.0000">
                  <c:v>0</c:v>
                </c:pt>
                <c:pt idx="440" formatCode="0.0000">
                  <c:v>0</c:v>
                </c:pt>
                <c:pt idx="441" formatCode="0.0000">
                  <c:v>0</c:v>
                </c:pt>
                <c:pt idx="442" formatCode="0.0000">
                  <c:v>0</c:v>
                </c:pt>
                <c:pt idx="443" formatCode="0.0000">
                  <c:v>0</c:v>
                </c:pt>
                <c:pt idx="444" formatCode="0.0000">
                  <c:v>0</c:v>
                </c:pt>
                <c:pt idx="445" formatCode="0.0000">
                  <c:v>0</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0</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2-B08C-E447-AC86-78754C3F6607}"/>
            </c:ext>
          </c:extLst>
        </c:ser>
        <c:ser>
          <c:idx val="3"/>
          <c:order val="3"/>
          <c:tx>
            <c:strRef>
              <c:f>Gráficos!$V$13</c:f>
              <c:strCache>
                <c:ptCount val="1"/>
                <c:pt idx="0">
                  <c:v>Umbral alto de sedimentos</c:v>
                </c:pt>
              </c:strCache>
            </c:strRef>
          </c:tx>
          <c:spPr>
            <a:ln w="19050" cap="rnd">
              <a:solidFill>
                <a:srgbClr val="7030A0"/>
              </a:solidFill>
              <a:prstDash val="dash"/>
              <a:round/>
            </a:ln>
            <a:effectLst/>
          </c:spPr>
          <c:marker>
            <c:symbol val="none"/>
          </c:marker>
          <c:xVal>
            <c:numRef>
              <c:f>Gráficos!$T$14:$T$15</c:f>
              <c:numCache>
                <c:formatCode>General</c:formatCode>
                <c:ptCount val="2"/>
                <c:pt idx="0">
                  <c:v>1</c:v>
                </c:pt>
                <c:pt idx="1">
                  <c:v>730</c:v>
                </c:pt>
              </c:numCache>
            </c:numRef>
          </c:xVal>
          <c:yVal>
            <c:numRef>
              <c:f>Gráficos!$V$14:$V$15</c:f>
              <c:numCache>
                <c:formatCode>General</c:formatCode>
                <c:ptCount val="2"/>
                <c:pt idx="0">
                  <c:v>0.01</c:v>
                </c:pt>
                <c:pt idx="1">
                  <c:v>0.01</c:v>
                </c:pt>
              </c:numCache>
            </c:numRef>
          </c:yVal>
          <c:smooth val="0"/>
          <c:extLst>
            <c:ext xmlns:c16="http://schemas.microsoft.com/office/drawing/2014/chart" uri="{C3380CC4-5D6E-409C-BE32-E72D297353CC}">
              <c16:uniqueId val="{00000003-B08C-E447-AC86-78754C3F6607}"/>
            </c:ext>
          </c:extLst>
        </c:ser>
        <c:ser>
          <c:idx val="4"/>
          <c:order val="4"/>
          <c:tx>
            <c:strRef>
              <c:f>Gráficos!$V$17</c:f>
              <c:strCache>
                <c:ptCount val="1"/>
                <c:pt idx="0">
                  <c:v>Umbral bajo de sedimentos</c:v>
                </c:pt>
              </c:strCache>
            </c:strRef>
          </c:tx>
          <c:spPr>
            <a:ln w="19050" cap="rnd">
              <a:solidFill>
                <a:srgbClr val="C00000"/>
              </a:solidFill>
              <a:prstDash val="dash"/>
              <a:round/>
            </a:ln>
            <a:effectLst/>
          </c:spPr>
          <c:marker>
            <c:symbol val="none"/>
          </c:marker>
          <c:xVal>
            <c:numRef>
              <c:f>Gráficos!$T$18:$T$19</c:f>
              <c:numCache>
                <c:formatCode>General</c:formatCode>
                <c:ptCount val="2"/>
                <c:pt idx="0">
                  <c:v>1</c:v>
                </c:pt>
                <c:pt idx="1">
                  <c:v>730</c:v>
                </c:pt>
              </c:numCache>
            </c:numRef>
          </c:xVal>
          <c:yVal>
            <c:numRef>
              <c:f>Gráficos!$V$18:$V$19</c:f>
              <c:numCache>
                <c:formatCode>General</c:formatCode>
                <c:ptCount val="2"/>
                <c:pt idx="0">
                  <c:v>1.5E-3</c:v>
                </c:pt>
                <c:pt idx="1">
                  <c:v>1.5E-3</c:v>
                </c:pt>
              </c:numCache>
            </c:numRef>
          </c:yVal>
          <c:smooth val="0"/>
          <c:extLst>
            <c:ext xmlns:c16="http://schemas.microsoft.com/office/drawing/2014/chart" uri="{C3380CC4-5D6E-409C-BE32-E72D297353CC}">
              <c16:uniqueId val="{00000004-B08C-E447-AC86-78754C3F6607}"/>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Curva de duración de caudal</a:t>
            </a:r>
          </a:p>
        </c:rich>
      </c:tx>
      <c:overlay val="0"/>
      <c:spPr>
        <a:noFill/>
        <a:ln>
          <a:noFill/>
        </a:ln>
        <a:effectLst/>
      </c:spPr>
    </c:title>
    <c:autoTitleDeleted val="0"/>
    <c:plotArea>
      <c:layout/>
      <c:scatterChart>
        <c:scatterStyle val="smoothMarker"/>
        <c:varyColors val="0"/>
        <c:ser>
          <c:idx val="0"/>
          <c:order val="0"/>
          <c:tx>
            <c:strRef>
              <c:f>Escenarios!$D$21</c:f>
              <c:strCache>
                <c:ptCount val="1"/>
                <c:pt idx="0">
                  <c:v>Línea base</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Gráficos!$AB$6:$AB$735</c:f>
              <c:numCache>
                <c:formatCode>0.0000</c:formatCode>
                <c:ptCount val="730"/>
                <c:pt idx="0">
                  <c:v>10.925654140199494</c:v>
                </c:pt>
                <c:pt idx="1">
                  <c:v>10.891936377278416</c:v>
                </c:pt>
                <c:pt idx="2">
                  <c:v>8.0210722200873033</c:v>
                </c:pt>
                <c:pt idx="3">
                  <c:v>7.9827223123626272</c:v>
                </c:pt>
                <c:pt idx="4">
                  <c:v>6.2238332160422258</c:v>
                </c:pt>
                <c:pt idx="5">
                  <c:v>6.1843269841292114</c:v>
                </c:pt>
                <c:pt idx="6">
                  <c:v>5.2890859139355229</c:v>
                </c:pt>
                <c:pt idx="7">
                  <c:v>5.2872146561170554</c:v>
                </c:pt>
                <c:pt idx="8">
                  <c:v>5.2653997248670183</c:v>
                </c:pt>
                <c:pt idx="9">
                  <c:v>5.2481897038060925</c:v>
                </c:pt>
                <c:pt idx="10">
                  <c:v>5.2329913660461358</c:v>
                </c:pt>
                <c:pt idx="11">
                  <c:v>5.204571287426166</c:v>
                </c:pt>
                <c:pt idx="12">
                  <c:v>4.8469553716714842</c:v>
                </c:pt>
                <c:pt idx="13">
                  <c:v>4.8158055672220756</c:v>
                </c:pt>
                <c:pt idx="14">
                  <c:v>4.5882842453196888</c:v>
                </c:pt>
                <c:pt idx="15">
                  <c:v>4.5361554597857587</c:v>
                </c:pt>
                <c:pt idx="16">
                  <c:v>4.4268042260306348</c:v>
                </c:pt>
                <c:pt idx="17">
                  <c:v>4.3585938675872358</c:v>
                </c:pt>
                <c:pt idx="18">
                  <c:v>4.0041926644114705</c:v>
                </c:pt>
                <c:pt idx="19">
                  <c:v>3.9630902510214479</c:v>
                </c:pt>
                <c:pt idx="20">
                  <c:v>3.8868387339344466</c:v>
                </c:pt>
                <c:pt idx="21">
                  <c:v>3.8378241686790266</c:v>
                </c:pt>
                <c:pt idx="22">
                  <c:v>3.8340067967060687</c:v>
                </c:pt>
                <c:pt idx="23">
                  <c:v>3.8287111396977553</c:v>
                </c:pt>
                <c:pt idx="24">
                  <c:v>3.7207641236015485</c:v>
                </c:pt>
                <c:pt idx="25">
                  <c:v>3.6590784970323407</c:v>
                </c:pt>
                <c:pt idx="26">
                  <c:v>3.1806010583674862</c:v>
                </c:pt>
                <c:pt idx="27">
                  <c:v>3.1475444802114856</c:v>
                </c:pt>
                <c:pt idx="28">
                  <c:v>3.1302113529085061</c:v>
                </c:pt>
                <c:pt idx="29">
                  <c:v>3.0667773552040081</c:v>
                </c:pt>
                <c:pt idx="30">
                  <c:v>2.7560229061895578</c:v>
                </c:pt>
                <c:pt idx="31">
                  <c:v>2.7540371030225859</c:v>
                </c:pt>
                <c:pt idx="32">
                  <c:v>2.7319548617276044</c:v>
                </c:pt>
                <c:pt idx="33">
                  <c:v>2.6928378941272801</c:v>
                </c:pt>
                <c:pt idx="34">
                  <c:v>2.6317929846422192</c:v>
                </c:pt>
                <c:pt idx="35">
                  <c:v>2.6157546329110741</c:v>
                </c:pt>
                <c:pt idx="36">
                  <c:v>2.6041331115925752</c:v>
                </c:pt>
                <c:pt idx="37">
                  <c:v>2.5770297849294757</c:v>
                </c:pt>
                <c:pt idx="38">
                  <c:v>2.5754582127776322</c:v>
                </c:pt>
                <c:pt idx="39">
                  <c:v>2.5449407533871247</c:v>
                </c:pt>
                <c:pt idx="40">
                  <c:v>2.4629964778208384</c:v>
                </c:pt>
                <c:pt idx="41">
                  <c:v>2.4594877401584454</c:v>
                </c:pt>
                <c:pt idx="42">
                  <c:v>2.4250244408712098</c:v>
                </c:pt>
                <c:pt idx="43">
                  <c:v>2.4145541438235458</c:v>
                </c:pt>
                <c:pt idx="44">
                  <c:v>2.3313266091391887</c:v>
                </c:pt>
                <c:pt idx="45">
                  <c:v>2.299866823933006</c:v>
                </c:pt>
                <c:pt idx="46">
                  <c:v>2.281193493044853</c:v>
                </c:pt>
                <c:pt idx="47">
                  <c:v>2.267635919622685</c:v>
                </c:pt>
                <c:pt idx="48">
                  <c:v>2.2503506150379891</c:v>
                </c:pt>
                <c:pt idx="49">
                  <c:v>2.238211883439237</c:v>
                </c:pt>
                <c:pt idx="50">
                  <c:v>2.2358630689511321</c:v>
                </c:pt>
                <c:pt idx="51">
                  <c:v>2.2076729076555766</c:v>
                </c:pt>
                <c:pt idx="52">
                  <c:v>2.1862324162755917</c:v>
                </c:pt>
                <c:pt idx="53">
                  <c:v>2.1843047364001626</c:v>
                </c:pt>
                <c:pt idx="54">
                  <c:v>2.1805939342581175</c:v>
                </c:pt>
                <c:pt idx="55">
                  <c:v>2.1781002236388671</c:v>
                </c:pt>
                <c:pt idx="56">
                  <c:v>2.1634670084950778</c:v>
                </c:pt>
                <c:pt idx="57">
                  <c:v>2.1597244928581425</c:v>
                </c:pt>
                <c:pt idx="58">
                  <c:v>2.1494168061299725</c:v>
                </c:pt>
                <c:pt idx="59">
                  <c:v>2.1378267393832271</c:v>
                </c:pt>
                <c:pt idx="60">
                  <c:v>2.127647291447246</c:v>
                </c:pt>
                <c:pt idx="61">
                  <c:v>2.1166859423120066</c:v>
                </c:pt>
                <c:pt idx="62">
                  <c:v>2.1134661373369283</c:v>
                </c:pt>
                <c:pt idx="63">
                  <c:v>2.1078866142877475</c:v>
                </c:pt>
                <c:pt idx="64">
                  <c:v>2.0974092234657986</c:v>
                </c:pt>
                <c:pt idx="65">
                  <c:v>2.0927104196115405</c:v>
                </c:pt>
                <c:pt idx="66">
                  <c:v>2.0910362646645466</c:v>
                </c:pt>
                <c:pt idx="67">
                  <c:v>2.088389906478973</c:v>
                </c:pt>
                <c:pt idx="68">
                  <c:v>2.0272510342169747</c:v>
                </c:pt>
                <c:pt idx="69">
                  <c:v>2.0127528816919891</c:v>
                </c:pt>
                <c:pt idx="70">
                  <c:v>2.0022449601372356</c:v>
                </c:pt>
                <c:pt idx="71">
                  <c:v>1.9976059163052433</c:v>
                </c:pt>
                <c:pt idx="72">
                  <c:v>1.9926677523432998</c:v>
                </c:pt>
                <c:pt idx="73">
                  <c:v>1.9780212311591701</c:v>
                </c:pt>
                <c:pt idx="74">
                  <c:v>1.9740213428903668</c:v>
                </c:pt>
                <c:pt idx="75">
                  <c:v>1.9688594263651642</c:v>
                </c:pt>
                <c:pt idx="76">
                  <c:v>1.9627495195022959</c:v>
                </c:pt>
                <c:pt idx="77">
                  <c:v>1.9550698629179706</c:v>
                </c:pt>
                <c:pt idx="78">
                  <c:v>1.9530449793283979</c:v>
                </c:pt>
                <c:pt idx="79">
                  <c:v>1.9486682136551399</c:v>
                </c:pt>
                <c:pt idx="80">
                  <c:v>1.9239811840971788</c:v>
                </c:pt>
                <c:pt idx="81">
                  <c:v>1.9004462758969225</c:v>
                </c:pt>
                <c:pt idx="82">
                  <c:v>1.8734174324641581</c:v>
                </c:pt>
                <c:pt idx="83">
                  <c:v>1.8486444106292974</c:v>
                </c:pt>
                <c:pt idx="84">
                  <c:v>1.8361900039984562</c:v>
                </c:pt>
                <c:pt idx="85">
                  <c:v>1.8198669878949481</c:v>
                </c:pt>
                <c:pt idx="86">
                  <c:v>1.7992639877193477</c:v>
                </c:pt>
                <c:pt idx="87">
                  <c:v>1.7624033699732009</c:v>
                </c:pt>
                <c:pt idx="88">
                  <c:v>1.7548953927659872</c:v>
                </c:pt>
                <c:pt idx="89">
                  <c:v>1.7449023106737185</c:v>
                </c:pt>
                <c:pt idx="90">
                  <c:v>1.7311911808129177</c:v>
                </c:pt>
                <c:pt idx="91">
                  <c:v>1.7286288018637752</c:v>
                </c:pt>
                <c:pt idx="92">
                  <c:v>1.7164084387398189</c:v>
                </c:pt>
                <c:pt idx="93">
                  <c:v>1.7013996780994751</c:v>
                </c:pt>
                <c:pt idx="94">
                  <c:v>1.7012414681313577</c:v>
                </c:pt>
                <c:pt idx="95">
                  <c:v>1.7006604303592725</c:v>
                </c:pt>
                <c:pt idx="96">
                  <c:v>1.689999688601064</c:v>
                </c:pt>
                <c:pt idx="97">
                  <c:v>1.6777783014031995</c:v>
                </c:pt>
                <c:pt idx="98">
                  <c:v>1.6758714316701147</c:v>
                </c:pt>
                <c:pt idx="99">
                  <c:v>1.6739364300687929</c:v>
                </c:pt>
                <c:pt idx="100">
                  <c:v>1.664902256799496</c:v>
                </c:pt>
                <c:pt idx="101">
                  <c:v>1.6628822087910664</c:v>
                </c:pt>
                <c:pt idx="102">
                  <c:v>1.6595477187016181</c:v>
                </c:pt>
                <c:pt idx="103">
                  <c:v>1.6572317054735581</c:v>
                </c:pt>
                <c:pt idx="104">
                  <c:v>1.6462225974367553</c:v>
                </c:pt>
                <c:pt idx="105">
                  <c:v>1.6336322330563864</c:v>
                </c:pt>
                <c:pt idx="106">
                  <c:v>1.6308515546246409</c:v>
                </c:pt>
                <c:pt idx="107">
                  <c:v>1.6246068562580451</c:v>
                </c:pt>
                <c:pt idx="108">
                  <c:v>1.618009482409732</c:v>
                </c:pt>
                <c:pt idx="109">
                  <c:v>1.6056165572795995</c:v>
                </c:pt>
                <c:pt idx="110">
                  <c:v>1.6048168329435024</c:v>
                </c:pt>
                <c:pt idx="111">
                  <c:v>1.5965639279982606</c:v>
                </c:pt>
                <c:pt idx="112">
                  <c:v>1.593093184584141</c:v>
                </c:pt>
                <c:pt idx="113">
                  <c:v>1.5925974617576997</c:v>
                </c:pt>
                <c:pt idx="114">
                  <c:v>1.5690351038139871</c:v>
                </c:pt>
                <c:pt idx="115">
                  <c:v>1.5657471769351505</c:v>
                </c:pt>
                <c:pt idx="116">
                  <c:v>1.5648020525737827</c:v>
                </c:pt>
                <c:pt idx="117">
                  <c:v>1.5569553810692396</c:v>
                </c:pt>
                <c:pt idx="118">
                  <c:v>1.5500607500484915</c:v>
                </c:pt>
                <c:pt idx="119">
                  <c:v>1.5476666242044625</c:v>
                </c:pt>
                <c:pt idx="120">
                  <c:v>1.5428633584480724</c:v>
                </c:pt>
                <c:pt idx="121">
                  <c:v>1.541426568056508</c:v>
                </c:pt>
                <c:pt idx="122">
                  <c:v>1.540153542843415</c:v>
                </c:pt>
                <c:pt idx="123">
                  <c:v>1.5387420644561185</c:v>
                </c:pt>
                <c:pt idx="124">
                  <c:v>1.5302740262128074</c:v>
                </c:pt>
                <c:pt idx="125">
                  <c:v>1.5221256255636699</c:v>
                </c:pt>
                <c:pt idx="126">
                  <c:v>1.5141990459537686</c:v>
                </c:pt>
                <c:pt idx="127">
                  <c:v>1.5132744517588801</c:v>
                </c:pt>
                <c:pt idx="128">
                  <c:v>1.5122886923568097</c:v>
                </c:pt>
                <c:pt idx="129">
                  <c:v>1.5104212901406047</c:v>
                </c:pt>
                <c:pt idx="130">
                  <c:v>1.5007291465354489</c:v>
                </c:pt>
                <c:pt idx="131">
                  <c:v>1.5002614277719444</c:v>
                </c:pt>
                <c:pt idx="132">
                  <c:v>1.498842694548111</c:v>
                </c:pt>
                <c:pt idx="133">
                  <c:v>1.4985392255809915</c:v>
                </c:pt>
                <c:pt idx="134">
                  <c:v>1.4890469709983785</c:v>
                </c:pt>
                <c:pt idx="135">
                  <c:v>1.4865938531803748</c:v>
                </c:pt>
                <c:pt idx="136">
                  <c:v>1.4779699070259484</c:v>
                </c:pt>
                <c:pt idx="137">
                  <c:v>1.4719535030100386</c:v>
                </c:pt>
                <c:pt idx="138">
                  <c:v>1.4691961986309505</c:v>
                </c:pt>
                <c:pt idx="139">
                  <c:v>1.4691000586225718</c:v>
                </c:pt>
                <c:pt idx="140">
                  <c:v>1.4648322645420859</c:v>
                </c:pt>
                <c:pt idx="141">
                  <c:v>1.4617632259946118</c:v>
                </c:pt>
                <c:pt idx="142">
                  <c:v>1.4528664410546774</c:v>
                </c:pt>
                <c:pt idx="143">
                  <c:v>1.4515137819343895</c:v>
                </c:pt>
                <c:pt idx="144">
                  <c:v>1.4514971009384259</c:v>
                </c:pt>
                <c:pt idx="145">
                  <c:v>1.4361584960933977</c:v>
                </c:pt>
                <c:pt idx="146">
                  <c:v>1.4333133682709001</c:v>
                </c:pt>
                <c:pt idx="147">
                  <c:v>1.4325255216894952</c:v>
                </c:pt>
                <c:pt idx="148">
                  <c:v>1.42532237279437</c:v>
                </c:pt>
                <c:pt idx="149">
                  <c:v>1.4190001401552881</c:v>
                </c:pt>
                <c:pt idx="150">
                  <c:v>1.4149119717564635</c:v>
                </c:pt>
                <c:pt idx="151">
                  <c:v>1.409473201497097</c:v>
                </c:pt>
                <c:pt idx="152">
                  <c:v>1.4068973514711225</c:v>
                </c:pt>
                <c:pt idx="153">
                  <c:v>1.4013926977953328</c:v>
                </c:pt>
                <c:pt idx="154">
                  <c:v>1.398384556356925</c:v>
                </c:pt>
                <c:pt idx="155">
                  <c:v>1.3873017090618456</c:v>
                </c:pt>
                <c:pt idx="156">
                  <c:v>1.3861071171567092</c:v>
                </c:pt>
                <c:pt idx="157">
                  <c:v>1.3805735843568869</c:v>
                </c:pt>
                <c:pt idx="158">
                  <c:v>1.3741648474211998</c:v>
                </c:pt>
                <c:pt idx="159">
                  <c:v>1.370500668185999</c:v>
                </c:pt>
                <c:pt idx="160">
                  <c:v>1.3679195603944003</c:v>
                </c:pt>
                <c:pt idx="161">
                  <c:v>1.364469991708988</c:v>
                </c:pt>
                <c:pt idx="162">
                  <c:v>1.3544359545162783</c:v>
                </c:pt>
                <c:pt idx="163">
                  <c:v>1.3532484108829466</c:v>
                </c:pt>
                <c:pt idx="164">
                  <c:v>1.3524854541634634</c:v>
                </c:pt>
                <c:pt idx="165">
                  <c:v>1.3516793309094797</c:v>
                </c:pt>
                <c:pt idx="166">
                  <c:v>1.3513726982081324</c:v>
                </c:pt>
                <c:pt idx="167">
                  <c:v>1.3498628437075286</c:v>
                </c:pt>
                <c:pt idx="168">
                  <c:v>1.3497466796449995</c:v>
                </c:pt>
                <c:pt idx="169">
                  <c:v>1.3408240929257431</c:v>
                </c:pt>
                <c:pt idx="170">
                  <c:v>1.3364025540821776</c:v>
                </c:pt>
                <c:pt idx="171">
                  <c:v>1.3318231164520247</c:v>
                </c:pt>
                <c:pt idx="172">
                  <c:v>1.3163113555809418</c:v>
                </c:pt>
                <c:pt idx="173">
                  <c:v>1.3153497727051009</c:v>
                </c:pt>
                <c:pt idx="174">
                  <c:v>1.3131448900168086</c:v>
                </c:pt>
                <c:pt idx="175">
                  <c:v>1.3103381613151517</c:v>
                </c:pt>
                <c:pt idx="176">
                  <c:v>1.3082047545270306</c:v>
                </c:pt>
                <c:pt idx="177">
                  <c:v>1.3037963206709979</c:v>
                </c:pt>
                <c:pt idx="178">
                  <c:v>1.3035259357310227</c:v>
                </c:pt>
                <c:pt idx="179">
                  <c:v>1.2951007272955923</c:v>
                </c:pt>
                <c:pt idx="180">
                  <c:v>1.2912133804007551</c:v>
                </c:pt>
                <c:pt idx="181">
                  <c:v>1.2745164648613936</c:v>
                </c:pt>
                <c:pt idx="182">
                  <c:v>1.272735597865525</c:v>
                </c:pt>
                <c:pt idx="183">
                  <c:v>1.2706062180090361</c:v>
                </c:pt>
                <c:pt idx="184">
                  <c:v>1.2659630002399667</c:v>
                </c:pt>
                <c:pt idx="185">
                  <c:v>1.2641644113190702</c:v>
                </c:pt>
                <c:pt idx="186">
                  <c:v>1.2636365825343776</c:v>
                </c:pt>
                <c:pt idx="187">
                  <c:v>1.25892353933118</c:v>
                </c:pt>
                <c:pt idx="188">
                  <c:v>1.2561122030552123</c:v>
                </c:pt>
                <c:pt idx="189">
                  <c:v>1.2521991273502813</c:v>
                </c:pt>
                <c:pt idx="190">
                  <c:v>1.2459788409374613</c:v>
                </c:pt>
                <c:pt idx="191">
                  <c:v>1.2459357641212574</c:v>
                </c:pt>
                <c:pt idx="192">
                  <c:v>1.2441724444320688</c:v>
                </c:pt>
                <c:pt idx="193">
                  <c:v>1.2436457991895276</c:v>
                </c:pt>
                <c:pt idx="194">
                  <c:v>1.2407799324562991</c:v>
                </c:pt>
                <c:pt idx="195">
                  <c:v>1.2401367590200183</c:v>
                </c:pt>
                <c:pt idx="196">
                  <c:v>1.2382839391505354</c:v>
                </c:pt>
                <c:pt idx="197">
                  <c:v>1.2263915532532434</c:v>
                </c:pt>
                <c:pt idx="198">
                  <c:v>1.2233919433615881</c:v>
                </c:pt>
                <c:pt idx="199">
                  <c:v>1.2217120547254565</c:v>
                </c:pt>
                <c:pt idx="200">
                  <c:v>1.2192828041864159</c:v>
                </c:pt>
                <c:pt idx="201">
                  <c:v>1.2174482405924141</c:v>
                </c:pt>
                <c:pt idx="202">
                  <c:v>1.2142273209286203</c:v>
                </c:pt>
                <c:pt idx="203">
                  <c:v>1.2068458748246991</c:v>
                </c:pt>
                <c:pt idx="204">
                  <c:v>1.1991584429314495</c:v>
                </c:pt>
                <c:pt idx="205">
                  <c:v>1.1950003327119476</c:v>
                </c:pt>
                <c:pt idx="206">
                  <c:v>1.1760431600311811</c:v>
                </c:pt>
                <c:pt idx="207">
                  <c:v>1.1727158854778452</c:v>
                </c:pt>
                <c:pt idx="208">
                  <c:v>1.1727115287574779</c:v>
                </c:pt>
                <c:pt idx="209">
                  <c:v>1.1708420289095867</c:v>
                </c:pt>
                <c:pt idx="210">
                  <c:v>1.1624636306981952</c:v>
                </c:pt>
                <c:pt idx="211">
                  <c:v>1.1605202054908925</c:v>
                </c:pt>
                <c:pt idx="212">
                  <c:v>1.1578999225028352</c:v>
                </c:pt>
                <c:pt idx="213">
                  <c:v>1.1550990904643057</c:v>
                </c:pt>
                <c:pt idx="214">
                  <c:v>1.1515019126225119</c:v>
                </c:pt>
                <c:pt idx="215">
                  <c:v>1.151068140752203</c:v>
                </c:pt>
                <c:pt idx="216">
                  <c:v>1.1509756226758947</c:v>
                </c:pt>
                <c:pt idx="217">
                  <c:v>1.1476447240356507</c:v>
                </c:pt>
                <c:pt idx="218">
                  <c:v>1.145288742987012</c:v>
                </c:pt>
                <c:pt idx="219">
                  <c:v>1.1424717912225273</c:v>
                </c:pt>
                <c:pt idx="220">
                  <c:v>1.1398683158671576</c:v>
                </c:pt>
                <c:pt idx="221">
                  <c:v>1.1362944017493872</c:v>
                </c:pt>
                <c:pt idx="222">
                  <c:v>1.1315523051233156</c:v>
                </c:pt>
                <c:pt idx="223">
                  <c:v>1.1264230972379972</c:v>
                </c:pt>
                <c:pt idx="224">
                  <c:v>1.1157556015437984</c:v>
                </c:pt>
                <c:pt idx="225">
                  <c:v>1.11571456954441</c:v>
                </c:pt>
                <c:pt idx="226">
                  <c:v>1.1130023217989466</c:v>
                </c:pt>
                <c:pt idx="227">
                  <c:v>1.0984193153049628</c:v>
                </c:pt>
                <c:pt idx="228">
                  <c:v>1.0951768625882874</c:v>
                </c:pt>
                <c:pt idx="229">
                  <c:v>1.077982884245837</c:v>
                </c:pt>
                <c:pt idx="230">
                  <c:v>1.0740389729535746</c:v>
                </c:pt>
                <c:pt idx="231">
                  <c:v>1.0703333332146081</c:v>
                </c:pt>
                <c:pt idx="232">
                  <c:v>1.0698753592782264</c:v>
                </c:pt>
                <c:pt idx="233">
                  <c:v>1.0671583277404086</c:v>
                </c:pt>
                <c:pt idx="234">
                  <c:v>1.0653800502440052</c:v>
                </c:pt>
                <c:pt idx="235">
                  <c:v>1.0628615239856649</c:v>
                </c:pt>
                <c:pt idx="236">
                  <c:v>1.0574316775508241</c:v>
                </c:pt>
                <c:pt idx="237">
                  <c:v>1.0556983847466406</c:v>
                </c:pt>
                <c:pt idx="238">
                  <c:v>1.0532292452520771</c:v>
                </c:pt>
                <c:pt idx="239">
                  <c:v>1.0474878135376002</c:v>
                </c:pt>
                <c:pt idx="240">
                  <c:v>1.0439260795458627</c:v>
                </c:pt>
                <c:pt idx="241">
                  <c:v>1.0422171541905403</c:v>
                </c:pt>
                <c:pt idx="242">
                  <c:v>1.0388274692142905</c:v>
                </c:pt>
                <c:pt idx="243">
                  <c:v>1.0319832242325429</c:v>
                </c:pt>
                <c:pt idx="244">
                  <c:v>1.0284913336719399</c:v>
                </c:pt>
                <c:pt idx="245">
                  <c:v>1.0282833474303676</c:v>
                </c:pt>
                <c:pt idx="246">
                  <c:v>1.0279619202055952</c:v>
                </c:pt>
                <c:pt idx="247">
                  <c:v>1.024435280827217</c:v>
                </c:pt>
                <c:pt idx="248">
                  <c:v>1.0213259871617324</c:v>
                </c:pt>
                <c:pt idx="249">
                  <c:v>1.0066579527840951</c:v>
                </c:pt>
                <c:pt idx="250">
                  <c:v>1.0032311458587693</c:v>
                </c:pt>
                <c:pt idx="251">
                  <c:v>0.995370874661056</c:v>
                </c:pt>
                <c:pt idx="252">
                  <c:v>0.99302156442763878</c:v>
                </c:pt>
                <c:pt idx="253">
                  <c:v>0.98956408029643306</c:v>
                </c:pt>
                <c:pt idx="254">
                  <c:v>0.98869261348019555</c:v>
                </c:pt>
                <c:pt idx="255">
                  <c:v>0.98630924202356429</c:v>
                </c:pt>
                <c:pt idx="256">
                  <c:v>0.98200504663824417</c:v>
                </c:pt>
                <c:pt idx="257">
                  <c:v>0.9715288158531209</c:v>
                </c:pt>
                <c:pt idx="258">
                  <c:v>0.96992975593689501</c:v>
                </c:pt>
                <c:pt idx="259">
                  <c:v>0.96633111940860694</c:v>
                </c:pt>
                <c:pt idx="260">
                  <c:v>0.96626062874889107</c:v>
                </c:pt>
                <c:pt idx="261">
                  <c:v>0.96508547615643092</c:v>
                </c:pt>
                <c:pt idx="262">
                  <c:v>0.96399356996253371</c:v>
                </c:pt>
                <c:pt idx="263">
                  <c:v>0.95719969037570041</c:v>
                </c:pt>
                <c:pt idx="264">
                  <c:v>0.95581434302267443</c:v>
                </c:pt>
                <c:pt idx="265">
                  <c:v>0.94685098480549901</c:v>
                </c:pt>
                <c:pt idx="266">
                  <c:v>0.9462313225876362</c:v>
                </c:pt>
                <c:pt idx="267">
                  <c:v>0.94547569138480059</c:v>
                </c:pt>
                <c:pt idx="268">
                  <c:v>0.94349469920268014</c:v>
                </c:pt>
                <c:pt idx="269">
                  <c:v>0.94303088090978027</c:v>
                </c:pt>
                <c:pt idx="270">
                  <c:v>0.94177017622949344</c:v>
                </c:pt>
                <c:pt idx="271">
                  <c:v>0.93589080858924878</c:v>
                </c:pt>
                <c:pt idx="272">
                  <c:v>0.93149540466666558</c:v>
                </c:pt>
                <c:pt idx="273">
                  <c:v>0.92863364274424332</c:v>
                </c:pt>
                <c:pt idx="274">
                  <c:v>0.92215200452356894</c:v>
                </c:pt>
                <c:pt idx="275">
                  <c:v>0.91861282635198993</c:v>
                </c:pt>
                <c:pt idx="276">
                  <c:v>0.91574259852252682</c:v>
                </c:pt>
                <c:pt idx="277">
                  <c:v>0.91283770924292862</c:v>
                </c:pt>
                <c:pt idx="278">
                  <c:v>0.91113415163592837</c:v>
                </c:pt>
                <c:pt idx="279">
                  <c:v>0.91024324452725525</c:v>
                </c:pt>
                <c:pt idx="280">
                  <c:v>0.9052591121673117</c:v>
                </c:pt>
                <c:pt idx="281">
                  <c:v>0.90077105396385515</c:v>
                </c:pt>
                <c:pt idx="282">
                  <c:v>0.89166564144405147</c:v>
                </c:pt>
                <c:pt idx="283">
                  <c:v>0.89155784055762777</c:v>
                </c:pt>
                <c:pt idx="284">
                  <c:v>0.88996922321318828</c:v>
                </c:pt>
                <c:pt idx="285">
                  <c:v>0.88798993587615049</c:v>
                </c:pt>
                <c:pt idx="286">
                  <c:v>0.88777808205994668</c:v>
                </c:pt>
                <c:pt idx="287">
                  <c:v>0.88761061256007268</c:v>
                </c:pt>
                <c:pt idx="288">
                  <c:v>0.88664600789181891</c:v>
                </c:pt>
                <c:pt idx="289">
                  <c:v>0.87833422197111577</c:v>
                </c:pt>
                <c:pt idx="290">
                  <c:v>0.87830113658068731</c:v>
                </c:pt>
                <c:pt idx="291">
                  <c:v>0.87785488367448106</c:v>
                </c:pt>
                <c:pt idx="292">
                  <c:v>0.86915715631023138</c:v>
                </c:pt>
                <c:pt idx="293">
                  <c:v>0.86897526963874494</c:v>
                </c:pt>
                <c:pt idx="294">
                  <c:v>0.86621894449822401</c:v>
                </c:pt>
                <c:pt idx="295">
                  <c:v>0.86514381439258936</c:v>
                </c:pt>
                <c:pt idx="296">
                  <c:v>0.86405420061373739</c:v>
                </c:pt>
                <c:pt idx="297">
                  <c:v>0.85710960364025446</c:v>
                </c:pt>
                <c:pt idx="298">
                  <c:v>0.85608879451715103</c:v>
                </c:pt>
                <c:pt idx="299">
                  <c:v>0.85265664530141094</c:v>
                </c:pt>
                <c:pt idx="300">
                  <c:v>0.84920747135622654</c:v>
                </c:pt>
                <c:pt idx="301">
                  <c:v>0.84419270653941114</c:v>
                </c:pt>
                <c:pt idx="302">
                  <c:v>0.84097329751864902</c:v>
                </c:pt>
                <c:pt idx="303">
                  <c:v>0.84087032761571956</c:v>
                </c:pt>
                <c:pt idx="304">
                  <c:v>0.83855257634354752</c:v>
                </c:pt>
                <c:pt idx="305">
                  <c:v>0.83530039545029089</c:v>
                </c:pt>
                <c:pt idx="306">
                  <c:v>0.83202335599787203</c:v>
                </c:pt>
                <c:pt idx="307">
                  <c:v>0.83106232843429184</c:v>
                </c:pt>
                <c:pt idx="308">
                  <c:v>0.82373202924519262</c:v>
                </c:pt>
                <c:pt idx="309">
                  <c:v>0.81948878469605779</c:v>
                </c:pt>
                <c:pt idx="310">
                  <c:v>0.81638993515393232</c:v>
                </c:pt>
                <c:pt idx="311">
                  <c:v>0.81085249051328423</c:v>
                </c:pt>
                <c:pt idx="312">
                  <c:v>0.80733663688873103</c:v>
                </c:pt>
                <c:pt idx="313">
                  <c:v>0.80487330451753147</c:v>
                </c:pt>
                <c:pt idx="314">
                  <c:v>0.80476773605185459</c:v>
                </c:pt>
                <c:pt idx="315">
                  <c:v>0.80276976534073163</c:v>
                </c:pt>
                <c:pt idx="316">
                  <c:v>0.80228337764042057</c:v>
                </c:pt>
                <c:pt idx="317">
                  <c:v>0.79086803781243464</c:v>
                </c:pt>
                <c:pt idx="318">
                  <c:v>0.7874532098653455</c:v>
                </c:pt>
                <c:pt idx="319">
                  <c:v>0.78512018856102328</c:v>
                </c:pt>
                <c:pt idx="320">
                  <c:v>0.78416273897606581</c:v>
                </c:pt>
                <c:pt idx="321">
                  <c:v>0.78201074700496942</c:v>
                </c:pt>
                <c:pt idx="322">
                  <c:v>0.77663890114260425</c:v>
                </c:pt>
                <c:pt idx="323">
                  <c:v>0.7756828932243458</c:v>
                </c:pt>
                <c:pt idx="324">
                  <c:v>0.77473021515612561</c:v>
                </c:pt>
                <c:pt idx="325">
                  <c:v>0.77330963907662897</c:v>
                </c:pt>
                <c:pt idx="326">
                  <c:v>0.77242484412846735</c:v>
                </c:pt>
                <c:pt idx="327">
                  <c:v>0.76176845228406276</c:v>
                </c:pt>
                <c:pt idx="328">
                  <c:v>0.75953267828622983</c:v>
                </c:pt>
                <c:pt idx="329">
                  <c:v>0.75375115527646586</c:v>
                </c:pt>
                <c:pt idx="330">
                  <c:v>0.75361183324268477</c:v>
                </c:pt>
                <c:pt idx="331">
                  <c:v>0.74607833610130514</c:v>
                </c:pt>
                <c:pt idx="332">
                  <c:v>0.74556511604381881</c:v>
                </c:pt>
                <c:pt idx="333">
                  <c:v>0.74240268288325062</c:v>
                </c:pt>
                <c:pt idx="334">
                  <c:v>0.74168951589446031</c:v>
                </c:pt>
                <c:pt idx="335">
                  <c:v>0.73929264666166794</c:v>
                </c:pt>
                <c:pt idx="336">
                  <c:v>0.73870913070705657</c:v>
                </c:pt>
                <c:pt idx="337">
                  <c:v>0.73443687938034574</c:v>
                </c:pt>
                <c:pt idx="338">
                  <c:v>0.73142748047370143</c:v>
                </c:pt>
                <c:pt idx="339">
                  <c:v>0.72709231762648996</c:v>
                </c:pt>
                <c:pt idx="340">
                  <c:v>0.72422005793064848</c:v>
                </c:pt>
                <c:pt idx="341">
                  <c:v>0.71991018599439105</c:v>
                </c:pt>
                <c:pt idx="342">
                  <c:v>0.71844661017982647</c:v>
                </c:pt>
                <c:pt idx="343">
                  <c:v>0.71281376624084958</c:v>
                </c:pt>
                <c:pt idx="344">
                  <c:v>0.7102445457010097</c:v>
                </c:pt>
                <c:pt idx="345">
                  <c:v>0.70738789547167424</c:v>
                </c:pt>
                <c:pt idx="346">
                  <c:v>0.70578974905757419</c:v>
                </c:pt>
                <c:pt idx="347">
                  <c:v>0.70484430662660791</c:v>
                </c:pt>
                <c:pt idx="348">
                  <c:v>0.70330483622559492</c:v>
                </c:pt>
                <c:pt idx="349">
                  <c:v>0.70305998407150272</c:v>
                </c:pt>
                <c:pt idx="350">
                  <c:v>0.70019789952983624</c:v>
                </c:pt>
                <c:pt idx="351">
                  <c:v>0.69610164386759243</c:v>
                </c:pt>
                <c:pt idx="352">
                  <c:v>0.69217564394355802</c:v>
                </c:pt>
                <c:pt idx="353">
                  <c:v>0.68947489970077247</c:v>
                </c:pt>
                <c:pt idx="354">
                  <c:v>0.68923765736860187</c:v>
                </c:pt>
                <c:pt idx="355">
                  <c:v>0.68516911950674431</c:v>
                </c:pt>
                <c:pt idx="356">
                  <c:v>0.68244558311386239</c:v>
                </c:pt>
                <c:pt idx="357">
                  <c:v>0.67838706225266254</c:v>
                </c:pt>
                <c:pt idx="358">
                  <c:v>0.67828302930646545</c:v>
                </c:pt>
                <c:pt idx="359">
                  <c:v>0.67791539928352174</c:v>
                </c:pt>
                <c:pt idx="360">
                  <c:v>0.67639315005762513</c:v>
                </c:pt>
                <c:pt idx="361">
                  <c:v>0.6757211429505714</c:v>
                </c:pt>
                <c:pt idx="362">
                  <c:v>0.67468945252139179</c:v>
                </c:pt>
                <c:pt idx="363">
                  <c:v>0.67169762174560865</c:v>
                </c:pt>
                <c:pt idx="364">
                  <c:v>0.66906307814019683</c:v>
                </c:pt>
                <c:pt idx="365">
                  <c:v>0.66507837363957345</c:v>
                </c:pt>
                <c:pt idx="366">
                  <c:v>0.66247063638255332</c:v>
                </c:pt>
                <c:pt idx="367">
                  <c:v>0.65852505672777972</c:v>
                </c:pt>
                <c:pt idx="368">
                  <c:v>0.65594315476851861</c:v>
                </c:pt>
                <c:pt idx="369">
                  <c:v>0.65203642905074688</c:v>
                </c:pt>
                <c:pt idx="370">
                  <c:v>0.65003440266923551</c:v>
                </c:pt>
                <c:pt idx="371">
                  <c:v>0.64947999052397776</c:v>
                </c:pt>
                <c:pt idx="372">
                  <c:v>0.64721784549469152</c:v>
                </c:pt>
                <c:pt idx="373">
                  <c:v>0.64561175492201361</c:v>
                </c:pt>
                <c:pt idx="374">
                  <c:v>0.64484459318533982</c:v>
                </c:pt>
                <c:pt idx="375">
                  <c:v>0.64308050946548834</c:v>
                </c:pt>
                <c:pt idx="376">
                  <c:v>0.63925038788248234</c:v>
                </c:pt>
                <c:pt idx="377">
                  <c:v>0.63674408403293137</c:v>
                </c:pt>
                <c:pt idx="378">
                  <c:v>0.63634073580302652</c:v>
                </c:pt>
                <c:pt idx="379">
                  <c:v>0.6329517014459769</c:v>
                </c:pt>
                <c:pt idx="380">
                  <c:v>0.63047009291184053</c:v>
                </c:pt>
                <c:pt idx="381">
                  <c:v>0.6267150775565048</c:v>
                </c:pt>
                <c:pt idx="382">
                  <c:v>0.62425792092002241</c:v>
                </c:pt>
                <c:pt idx="383">
                  <c:v>0.6205399046224892</c:v>
                </c:pt>
                <c:pt idx="384">
                  <c:v>0.61810695893853129</c:v>
                </c:pt>
                <c:pt idx="385">
                  <c:v>0.61442557714066437</c:v>
                </c:pt>
                <c:pt idx="386">
                  <c:v>0.61201660385050005</c:v>
                </c:pt>
                <c:pt idx="387">
                  <c:v>0.60920662604117026</c:v>
                </c:pt>
                <c:pt idx="388">
                  <c:v>0.60837149558424541</c:v>
                </c:pt>
                <c:pt idx="389">
                  <c:v>0.60791771390593041</c:v>
                </c:pt>
                <c:pt idx="390">
                  <c:v>0.60598625848176269</c:v>
                </c:pt>
                <c:pt idx="391">
                  <c:v>0.60455282687312872</c:v>
                </c:pt>
                <c:pt idx="392">
                  <c:v>0.60237706633543953</c:v>
                </c:pt>
                <c:pt idx="393">
                  <c:v>0.60052698521563708</c:v>
                </c:pt>
                <c:pt idx="394">
                  <c:v>0.60043660822967337</c:v>
                </c:pt>
                <c:pt idx="395">
                  <c:v>0.60001533154226006</c:v>
                </c:pt>
                <c:pt idx="396">
                  <c:v>0.5980645346594391</c:v>
                </c:pt>
                <c:pt idx="397">
                  <c:v>0.59780083419189167</c:v>
                </c:pt>
                <c:pt idx="398">
                  <c:v>0.59761423929225388</c:v>
                </c:pt>
                <c:pt idx="399">
                  <c:v>0.59644170162579502</c:v>
                </c:pt>
                <c:pt idx="400">
                  <c:v>0.59449257149465551</c:v>
                </c:pt>
                <c:pt idx="401">
                  <c:v>0.5944200785519318</c:v>
                </c:pt>
                <c:pt idx="402">
                  <c:v>0.59410323756805639</c:v>
                </c:pt>
                <c:pt idx="403">
                  <c:v>0.59125996558765193</c:v>
                </c:pt>
                <c:pt idx="404">
                  <c:v>0.59056481947833039</c:v>
                </c:pt>
                <c:pt idx="405">
                  <c:v>0.58824939686393163</c:v>
                </c:pt>
                <c:pt idx="406">
                  <c:v>0.58474584365042914</c:v>
                </c:pt>
                <c:pt idx="407">
                  <c:v>0.5845057947544402</c:v>
                </c:pt>
                <c:pt idx="408">
                  <c:v>0.58245323544654093</c:v>
                </c:pt>
                <c:pt idx="409">
                  <c:v>0.58111794694456098</c:v>
                </c:pt>
                <c:pt idx="410">
                  <c:v>0.57898420357733249</c:v>
                </c:pt>
                <c:pt idx="411">
                  <c:v>0.57795525903080303</c:v>
                </c:pt>
                <c:pt idx="412">
                  <c:v>0.57671418498813387</c:v>
                </c:pt>
                <c:pt idx="413">
                  <c:v>0.57327933431619171</c:v>
                </c:pt>
                <c:pt idx="414">
                  <c:v>0.57103168276082883</c:v>
                </c:pt>
                <c:pt idx="415">
                  <c:v>0.567630676490675</c:v>
                </c:pt>
                <c:pt idx="416">
                  <c:v>0.56564608147854056</c:v>
                </c:pt>
                <c:pt idx="417">
                  <c:v>0.56305727226552627</c:v>
                </c:pt>
                <c:pt idx="418">
                  <c:v>0.56203767623611856</c:v>
                </c:pt>
                <c:pt idx="419">
                  <c:v>0.56038457940056863</c:v>
                </c:pt>
                <c:pt idx="420">
                  <c:v>0.55649978514521914</c:v>
                </c:pt>
                <c:pt idx="421">
                  <c:v>0.55570881493117397</c:v>
                </c:pt>
                <c:pt idx="422">
                  <c:v>0.55335894684209086</c:v>
                </c:pt>
                <c:pt idx="423">
                  <c:v>0.55276585842056369</c:v>
                </c:pt>
                <c:pt idx="424">
                  <c:v>0.55248419792142245</c:v>
                </c:pt>
                <c:pt idx="425">
                  <c:v>0.54408225368341878</c:v>
                </c:pt>
                <c:pt idx="426">
                  <c:v>0.53747799093091819</c:v>
                </c:pt>
                <c:pt idx="427">
                  <c:v>0.53551175435553189</c:v>
                </c:pt>
                <c:pt idx="428">
                  <c:v>0.52576858736911936</c:v>
                </c:pt>
                <c:pt idx="429">
                  <c:v>0.52306929776072952</c:v>
                </c:pt>
                <c:pt idx="430">
                  <c:v>0.52224620388676346</c:v>
                </c:pt>
                <c:pt idx="431">
                  <c:v>0.52014032176490776</c:v>
                </c:pt>
                <c:pt idx="432">
                  <c:v>0.51698050506629278</c:v>
                </c:pt>
                <c:pt idx="433">
                  <c:v>0.51493482607767005</c:v>
                </c:pt>
                <c:pt idx="434">
                  <c:v>0.51330077160438381</c:v>
                </c:pt>
                <c:pt idx="435">
                  <c:v>0.50838903367185417</c:v>
                </c:pt>
                <c:pt idx="436">
                  <c:v>0.50710812538139449</c:v>
                </c:pt>
                <c:pt idx="437">
                  <c:v>0.50228022454482746</c:v>
                </c:pt>
                <c:pt idx="438">
                  <c:v>0.49714868573922794</c:v>
                </c:pt>
                <c:pt idx="439">
                  <c:v>0.49705941079184035</c:v>
                </c:pt>
                <c:pt idx="440">
                  <c:v>0.4954852466233351</c:v>
                </c:pt>
                <c:pt idx="441">
                  <c:v>0.49221988589216153</c:v>
                </c:pt>
                <c:pt idx="442">
                  <c:v>0.49071320803622265</c:v>
                </c:pt>
                <c:pt idx="443">
                  <c:v>0.48954529218374043</c:v>
                </c:pt>
                <c:pt idx="444">
                  <c:v>0.4895035815835399</c:v>
                </c:pt>
                <c:pt idx="445">
                  <c:v>0.48846136768044413</c:v>
                </c:pt>
                <c:pt idx="446">
                  <c:v>0.48761253850340447</c:v>
                </c:pt>
                <c:pt idx="447">
                  <c:v>0.48736490232430157</c:v>
                </c:pt>
                <c:pt idx="448">
                  <c:v>0.48641376698729039</c:v>
                </c:pt>
                <c:pt idx="449">
                  <c:v>0.48449793408419722</c:v>
                </c:pt>
                <c:pt idx="450">
                  <c:v>0.48256194623040416</c:v>
                </c:pt>
                <c:pt idx="451">
                  <c:v>0.47969378510636212</c:v>
                </c:pt>
                <c:pt idx="452">
                  <c:v>0.47780701010738991</c:v>
                </c:pt>
                <c:pt idx="453">
                  <c:v>0.47496222419302953</c:v>
                </c:pt>
                <c:pt idx="454">
                  <c:v>0.47309904087814819</c:v>
                </c:pt>
                <c:pt idx="455">
                  <c:v>0.47028147464084724</c:v>
                </c:pt>
                <c:pt idx="456">
                  <c:v>0.46843747953607906</c:v>
                </c:pt>
                <c:pt idx="457">
                  <c:v>0.46564754092938537</c:v>
                </c:pt>
                <c:pt idx="458">
                  <c:v>0.4653759116365967</c:v>
                </c:pt>
                <c:pt idx="459">
                  <c:v>0.46382185284506278</c:v>
                </c:pt>
                <c:pt idx="460">
                  <c:v>0.46304919735749034</c:v>
                </c:pt>
                <c:pt idx="461">
                  <c:v>0.46105938184611456</c:v>
                </c:pt>
                <c:pt idx="462">
                  <c:v>0.45925170555034489</c:v>
                </c:pt>
                <c:pt idx="463">
                  <c:v>0.45651645013211151</c:v>
                </c:pt>
                <c:pt idx="464">
                  <c:v>0.45472658909292052</c:v>
                </c:pt>
                <c:pt idx="465">
                  <c:v>0.45201828418318052</c:v>
                </c:pt>
                <c:pt idx="466">
                  <c:v>0.45024605970026482</c:v>
                </c:pt>
                <c:pt idx="467">
                  <c:v>0.44756444026187908</c:v>
                </c:pt>
                <c:pt idx="468">
                  <c:v>0.44740046031563152</c:v>
                </c:pt>
                <c:pt idx="469">
                  <c:v>0.44580967803330263</c:v>
                </c:pt>
                <c:pt idx="470">
                  <c:v>0.44545359753754354</c:v>
                </c:pt>
                <c:pt idx="471">
                  <c:v>0.44315448121303158</c:v>
                </c:pt>
                <c:pt idx="472">
                  <c:v>0.44294705858422079</c:v>
                </c:pt>
                <c:pt idx="473">
                  <c:v>0.44141700909196846</c:v>
                </c:pt>
                <c:pt idx="474">
                  <c:v>0.43878797455557778</c:v>
                </c:pt>
                <c:pt idx="475">
                  <c:v>0.43860633932511695</c:v>
                </c:pt>
                <c:pt idx="476">
                  <c:v>0.43706762216403172</c:v>
                </c:pt>
                <c:pt idx="477">
                  <c:v>0.43553622142772758</c:v>
                </c:pt>
                <c:pt idx="478">
                  <c:v>0.43446449213064936</c:v>
                </c:pt>
                <c:pt idx="479">
                  <c:v>0.43443373403949542</c:v>
                </c:pt>
                <c:pt idx="480">
                  <c:v>0.43276109078145036</c:v>
                </c:pt>
                <c:pt idx="481">
                  <c:v>0.43018361000822664</c:v>
                </c:pt>
                <c:pt idx="482">
                  <c:v>0.42849699267831909</c:v>
                </c:pt>
                <c:pt idx="483">
                  <c:v>0.42701045991342729</c:v>
                </c:pt>
                <c:pt idx="484">
                  <c:v>0.42594490843704919</c:v>
                </c:pt>
                <c:pt idx="485">
                  <c:v>0.42427490974942733</c:v>
                </c:pt>
                <c:pt idx="486">
                  <c:v>0.42174797180204376</c:v>
                </c:pt>
                <c:pt idx="487">
                  <c:v>0.42009442800925578</c:v>
                </c:pt>
                <c:pt idx="488">
                  <c:v>0.41759238858333714</c:v>
                </c:pt>
                <c:pt idx="489">
                  <c:v>0.41703561743642437</c:v>
                </c:pt>
                <c:pt idx="490">
                  <c:v>0.41595513755138347</c:v>
                </c:pt>
                <c:pt idx="491">
                  <c:v>0.4134777513158675</c:v>
                </c:pt>
                <c:pt idx="492">
                  <c:v>0.41185663250829468</c:v>
                </c:pt>
                <c:pt idx="493">
                  <c:v>0.40940365654942462</c:v>
                </c:pt>
                <c:pt idx="494">
                  <c:v>0.40779851101158332</c:v>
                </c:pt>
                <c:pt idx="495">
                  <c:v>0.40536970480908929</c:v>
                </c:pt>
                <c:pt idx="496">
                  <c:v>0.40378037515254833</c:v>
                </c:pt>
                <c:pt idx="497">
                  <c:v>0.40137550055606397</c:v>
                </c:pt>
                <c:pt idx="498">
                  <c:v>0.39980183094317767</c:v>
                </c:pt>
                <c:pt idx="499">
                  <c:v>0.39742065214888905</c:v>
                </c:pt>
                <c:pt idx="500">
                  <c:v>0.39586248827751741</c:v>
                </c:pt>
                <c:pt idx="501">
                  <c:v>0.39440063520183488</c:v>
                </c:pt>
                <c:pt idx="502">
                  <c:v>0.39391568559637774</c:v>
                </c:pt>
                <c:pt idx="503">
                  <c:v>0.39350477180504145</c:v>
                </c:pt>
                <c:pt idx="504">
                  <c:v>0.39164140172488537</c:v>
                </c:pt>
                <c:pt idx="505">
                  <c:v>0.39050690964565848</c:v>
                </c:pt>
                <c:pt idx="506">
                  <c:v>0.38962747556291188</c:v>
                </c:pt>
                <c:pt idx="507">
                  <c:v>0.38578838324415599</c:v>
                </c:pt>
                <c:pt idx="508">
                  <c:v>0.38524088161146786</c:v>
                </c:pt>
                <c:pt idx="509">
                  <c:v>0.38403912761812309</c:v>
                </c:pt>
                <c:pt idx="510">
                  <c:v>0.38321196099461508</c:v>
                </c:pt>
                <c:pt idx="511">
                  <c:v>0.3806496024731239</c:v>
                </c:pt>
                <c:pt idx="512">
                  <c:v>0.37817285348431384</c:v>
                </c:pt>
                <c:pt idx="513">
                  <c:v>0.37676698403104603</c:v>
                </c:pt>
                <c:pt idx="514">
                  <c:v>0.37586906487517968</c:v>
                </c:pt>
                <c:pt idx="515">
                  <c:v>0.37546163971138585</c:v>
                </c:pt>
                <c:pt idx="516">
                  <c:v>0.37303270771954422</c:v>
                </c:pt>
                <c:pt idx="517">
                  <c:v>0.37096671777271728</c:v>
                </c:pt>
                <c:pt idx="518">
                  <c:v>0.36935349334990153</c:v>
                </c:pt>
                <c:pt idx="519">
                  <c:v>0.36743936581362519</c:v>
                </c:pt>
                <c:pt idx="520">
                  <c:v>0.3671795070998759</c:v>
                </c:pt>
                <c:pt idx="521">
                  <c:v>0.36571356235250524</c:v>
                </c:pt>
                <c:pt idx="522">
                  <c:v>0.36353969848213602</c:v>
                </c:pt>
                <c:pt idx="523">
                  <c:v>0.36210999944784994</c:v>
                </c:pt>
                <c:pt idx="524">
                  <c:v>0.35995402099356821</c:v>
                </c:pt>
                <c:pt idx="525">
                  <c:v>0.3599045736133959</c:v>
                </c:pt>
                <c:pt idx="526">
                  <c:v>0.35840491493489901</c:v>
                </c:pt>
                <c:pt idx="527">
                  <c:v>0.35640670523607881</c:v>
                </c:pt>
                <c:pt idx="528">
                  <c:v>0.35504627142905498</c:v>
                </c:pt>
                <c:pt idx="529">
                  <c:v>0.35289484501131235</c:v>
                </c:pt>
                <c:pt idx="530">
                  <c:v>0.35200640413455375</c:v>
                </c:pt>
                <c:pt idx="531">
                  <c:v>0.35078021828840039</c:v>
                </c:pt>
                <c:pt idx="532">
                  <c:v>0.34188377838194467</c:v>
                </c:pt>
                <c:pt idx="533">
                  <c:v>0.34110603549841345</c:v>
                </c:pt>
                <c:pt idx="534">
                  <c:v>0.33959645058840093</c:v>
                </c:pt>
                <c:pt idx="535">
                  <c:v>0.33935896934450827</c:v>
                </c:pt>
                <c:pt idx="536">
                  <c:v>0.33634905458649972</c:v>
                </c:pt>
                <c:pt idx="537">
                  <c:v>0.33574109083754278</c:v>
                </c:pt>
                <c:pt idx="538">
                  <c:v>0.33354651850305106</c:v>
                </c:pt>
                <c:pt idx="539">
                  <c:v>0.33353739493892604</c:v>
                </c:pt>
                <c:pt idx="540">
                  <c:v>0.3270485348228101</c:v>
                </c:pt>
                <c:pt idx="541">
                  <c:v>0.32564432497821733</c:v>
                </c:pt>
                <c:pt idx="542">
                  <c:v>0.32192332531264545</c:v>
                </c:pt>
                <c:pt idx="543">
                  <c:v>0.31886495502571732</c:v>
                </c:pt>
                <c:pt idx="544">
                  <c:v>0.31878439028380906</c:v>
                </c:pt>
                <c:pt idx="545">
                  <c:v>0.31843560734221449</c:v>
                </c:pt>
                <c:pt idx="546">
                  <c:v>0.31524559425272275</c:v>
                </c:pt>
                <c:pt idx="547">
                  <c:v>0.31374060935815301</c:v>
                </c:pt>
                <c:pt idx="548">
                  <c:v>0.31213071072269155</c:v>
                </c:pt>
                <c:pt idx="549">
                  <c:v>0.31177886358744267</c:v>
                </c:pt>
                <c:pt idx="550">
                  <c:v>0.31033351763699285</c:v>
                </c:pt>
                <c:pt idx="551">
                  <c:v>0.30722333636713406</c:v>
                </c:pt>
                <c:pt idx="552">
                  <c:v>0.30646054216073121</c:v>
                </c:pt>
                <c:pt idx="553">
                  <c:v>0.3041874980548025</c:v>
                </c:pt>
                <c:pt idx="554">
                  <c:v>0.30391391728589612</c:v>
                </c:pt>
                <c:pt idx="555">
                  <c:v>0.30306817232534994</c:v>
                </c:pt>
                <c:pt idx="556">
                  <c:v>0.30143492661447713</c:v>
                </c:pt>
                <c:pt idx="557">
                  <c:v>0.30002011814507867</c:v>
                </c:pt>
                <c:pt idx="558">
                  <c:v>0.29867309104837808</c:v>
                </c:pt>
                <c:pt idx="559">
                  <c:v>0.2965272906804986</c:v>
                </c:pt>
                <c:pt idx="560">
                  <c:v>0.29535745282363318</c:v>
                </c:pt>
                <c:pt idx="561">
                  <c:v>0.29394989534060656</c:v>
                </c:pt>
                <c:pt idx="562">
                  <c:v>0.29391706673393003</c:v>
                </c:pt>
                <c:pt idx="563">
                  <c:v>0.29238537419916277</c:v>
                </c:pt>
                <c:pt idx="564">
                  <c:v>0.29163597790268136</c:v>
                </c:pt>
                <c:pt idx="565">
                  <c:v>0.29120958432978905</c:v>
                </c:pt>
                <c:pt idx="566">
                  <c:v>0.28923666670542131</c:v>
                </c:pt>
                <c:pt idx="567">
                  <c:v>0.28911601120256508</c:v>
                </c:pt>
                <c:pt idx="568">
                  <c:v>0.28660200711152017</c:v>
                </c:pt>
                <c:pt idx="569">
                  <c:v>0.28566179469606434</c:v>
                </c:pt>
                <c:pt idx="570">
                  <c:v>0.28272680474811207</c:v>
                </c:pt>
                <c:pt idx="571">
                  <c:v>0.2818984123294131</c:v>
                </c:pt>
                <c:pt idx="572">
                  <c:v>0.27992106868329331</c:v>
                </c:pt>
                <c:pt idx="573">
                  <c:v>0.27852217422364883</c:v>
                </c:pt>
                <c:pt idx="574">
                  <c:v>0.27839584588825894</c:v>
                </c:pt>
                <c:pt idx="575">
                  <c:v>0.27553244906452429</c:v>
                </c:pt>
                <c:pt idx="576">
                  <c:v>0.27465425394120696</c:v>
                </c:pt>
                <c:pt idx="577">
                  <c:v>0.27360233872223449</c:v>
                </c:pt>
                <c:pt idx="578">
                  <c:v>0.27279760069981784</c:v>
                </c:pt>
                <c:pt idx="579">
                  <c:v>0.2717615782552768</c:v>
                </c:pt>
                <c:pt idx="580">
                  <c:v>0.2714688954668924</c:v>
                </c:pt>
                <c:pt idx="581">
                  <c:v>0.26905290921100528</c:v>
                </c:pt>
                <c:pt idx="582">
                  <c:v>0.267670472820001</c:v>
                </c:pt>
                <c:pt idx="583">
                  <c:v>0.26688976751659654</c:v>
                </c:pt>
                <c:pt idx="584">
                  <c:v>0.26484660999286519</c:v>
                </c:pt>
                <c:pt idx="585">
                  <c:v>0.26280324534627419</c:v>
                </c:pt>
                <c:pt idx="586">
                  <c:v>0.26220607577790028</c:v>
                </c:pt>
                <c:pt idx="587">
                  <c:v>0.25886916307135055</c:v>
                </c:pt>
                <c:pt idx="588">
                  <c:v>0.25615681470353535</c:v>
                </c:pt>
                <c:pt idx="589">
                  <c:v>0.25609534235872511</c:v>
                </c:pt>
                <c:pt idx="590">
                  <c:v>0.25600614059569426</c:v>
                </c:pt>
                <c:pt idx="591">
                  <c:v>0.25353495004195781</c:v>
                </c:pt>
                <c:pt idx="592">
                  <c:v>0.25302588324470221</c:v>
                </c:pt>
                <c:pt idx="593">
                  <c:v>0.25268308098741421</c:v>
                </c:pt>
                <c:pt idx="594">
                  <c:v>0.25228822129279116</c:v>
                </c:pt>
                <c:pt idx="595">
                  <c:v>0.25103066617994246</c:v>
                </c:pt>
                <c:pt idx="596">
                  <c:v>0.25065755856110916</c:v>
                </c:pt>
                <c:pt idx="597">
                  <c:v>0.24957924416696797</c:v>
                </c:pt>
                <c:pt idx="598">
                  <c:v>0.24855618178681482</c:v>
                </c:pt>
                <c:pt idx="599">
                  <c:v>0.24708305651769771</c:v>
                </c:pt>
                <c:pt idx="600">
                  <c:v>0.24610692936267248</c:v>
                </c:pt>
                <c:pt idx="601">
                  <c:v>0.24464234469929813</c:v>
                </c:pt>
                <c:pt idx="602">
                  <c:v>0.24368195109918375</c:v>
                </c:pt>
                <c:pt idx="603">
                  <c:v>0.24223080595929891</c:v>
                </c:pt>
                <c:pt idx="604">
                  <c:v>0.24128089013658968</c:v>
                </c:pt>
                <c:pt idx="605">
                  <c:v>0.23984387896977222</c:v>
                </c:pt>
                <c:pt idx="606">
                  <c:v>0.23890349128452917</c:v>
                </c:pt>
                <c:pt idx="607">
                  <c:v>0.23748061203354714</c:v>
                </c:pt>
                <c:pt idx="608">
                  <c:v>0.23654951815426978</c:v>
                </c:pt>
                <c:pt idx="609">
                  <c:v>0.23514065434181072</c:v>
                </c:pt>
                <c:pt idx="610">
                  <c:v>0.23421873938890808</c:v>
                </c:pt>
                <c:pt idx="611">
                  <c:v>0.23282375669552649</c:v>
                </c:pt>
                <c:pt idx="612">
                  <c:v>0.23191092635962024</c:v>
                </c:pt>
                <c:pt idx="613">
                  <c:v>0.23052968863825254</c:v>
                </c:pt>
                <c:pt idx="614">
                  <c:v>0.22962585276473377</c:v>
                </c:pt>
                <c:pt idx="615">
                  <c:v>0.22825822468692375</c:v>
                </c:pt>
                <c:pt idx="616">
                  <c:v>0.22736329454472859</c:v>
                </c:pt>
                <c:pt idx="617">
                  <c:v>0.22600914202867867</c:v>
                </c:pt>
                <c:pt idx="618">
                  <c:v>0.22512302984984567</c:v>
                </c:pt>
                <c:pt idx="619">
                  <c:v>0.2237822201205005</c:v>
                </c:pt>
                <c:pt idx="620">
                  <c:v>0.22290483901660429</c:v>
                </c:pt>
                <c:pt idx="621">
                  <c:v>0.22157724060478379</c:v>
                </c:pt>
                <c:pt idx="622">
                  <c:v>0.22070850454597693</c:v>
                </c:pt>
                <c:pt idx="623">
                  <c:v>0.21939398727750178</c:v>
                </c:pt>
                <c:pt idx="624">
                  <c:v>0.21853381108201508</c:v>
                </c:pt>
                <c:pt idx="625">
                  <c:v>0.21723224606527733</c:v>
                </c:pt>
                <c:pt idx="626">
                  <c:v>0.21638054539072549</c:v>
                </c:pt>
                <c:pt idx="627">
                  <c:v>0.21509180500410577</c:v>
                </c:pt>
                <c:pt idx="628">
                  <c:v>0.21424849633916013</c:v>
                </c:pt>
                <c:pt idx="629">
                  <c:v>0.21297245421852362</c:v>
                </c:pt>
                <c:pt idx="630">
                  <c:v>0.21213745487471422</c:v>
                </c:pt>
                <c:pt idx="631">
                  <c:v>0.21197217024627282</c:v>
                </c:pt>
                <c:pt idx="632">
                  <c:v>0.21087398590102191</c:v>
                </c:pt>
                <c:pt idx="633">
                  <c:v>0.21057696448937324</c:v>
                </c:pt>
                <c:pt idx="634">
                  <c:v>0.21004721400462839</c:v>
                </c:pt>
                <c:pt idx="635">
                  <c:v>0.20971355752659146</c:v>
                </c:pt>
                <c:pt idx="636">
                  <c:v>0.20879619429166885</c:v>
                </c:pt>
                <c:pt idx="637">
                  <c:v>0.20797756877569215</c:v>
                </c:pt>
                <c:pt idx="638">
                  <c:v>0.20673887565793417</c:v>
                </c:pt>
                <c:pt idx="639">
                  <c:v>0.20601478682687535</c:v>
                </c:pt>
                <c:pt idx="640">
                  <c:v>0.20592831625414776</c:v>
                </c:pt>
                <c:pt idx="641">
                  <c:v>0.20470182827471275</c:v>
                </c:pt>
                <c:pt idx="642">
                  <c:v>0.2038992555057921</c:v>
                </c:pt>
                <c:pt idx="643">
                  <c:v>0.20330728257910477</c:v>
                </c:pt>
                <c:pt idx="644">
                  <c:v>0.20268485240454515</c:v>
                </c:pt>
                <c:pt idx="645">
                  <c:v>0.20189018757627458</c:v>
                </c:pt>
                <c:pt idx="646">
                  <c:v>0.20068775027803246</c:v>
                </c:pt>
                <c:pt idx="647">
                  <c:v>0.19871032607444497</c:v>
                </c:pt>
                <c:pt idx="648">
                  <c:v>0.19849648419155064</c:v>
                </c:pt>
                <c:pt idx="649">
                  <c:v>0.19822010488897174</c:v>
                </c:pt>
                <c:pt idx="650">
                  <c:v>0.19675238590252114</c:v>
                </c:pt>
                <c:pt idx="651">
                  <c:v>0.19648218922548413</c:v>
                </c:pt>
                <c:pt idx="652">
                  <c:v>0.1960747743060321</c:v>
                </c:pt>
                <c:pt idx="653">
                  <c:v>0.1941804076528113</c:v>
                </c:pt>
                <c:pt idx="654">
                  <c:v>0.19406549697602793</c:v>
                </c:pt>
                <c:pt idx="655">
                  <c:v>0.19345943167486976</c:v>
                </c:pt>
                <c:pt idx="656">
                  <c:v>0.19217484318141448</c:v>
                </c:pt>
                <c:pt idx="657">
                  <c:v>0.19214049555802384</c:v>
                </c:pt>
                <c:pt idx="658">
                  <c:v>0.19182876066727086</c:v>
                </c:pt>
                <c:pt idx="659">
                  <c:v>0.19108735306753055</c:v>
                </c:pt>
                <c:pt idx="660">
                  <c:v>0.19024516088407256</c:v>
                </c:pt>
                <c:pt idx="661">
                  <c:v>0.18970584485188779</c:v>
                </c:pt>
                <c:pt idx="662">
                  <c:v>0.18912721798690046</c:v>
                </c:pt>
                <c:pt idx="663">
                  <c:v>0.18837027678779714</c:v>
                </c:pt>
                <c:pt idx="664">
                  <c:v>0.18828501477363499</c:v>
                </c:pt>
                <c:pt idx="665">
                  <c:v>0.1872508746079827</c:v>
                </c:pt>
                <c:pt idx="666">
                  <c:v>0.18651416097339787</c:v>
                </c:pt>
                <c:pt idx="667">
                  <c:v>0.18573423851794335</c:v>
                </c:pt>
                <c:pt idx="668">
                  <c:v>0.18540371853386914</c:v>
                </c:pt>
                <c:pt idx="669">
                  <c:v>0.18533412260816434</c:v>
                </c:pt>
                <c:pt idx="670">
                  <c:v>0.18467638279543661</c:v>
                </c:pt>
                <c:pt idx="671">
                  <c:v>0.18357653832221194</c:v>
                </c:pt>
                <c:pt idx="672">
                  <c:v>0.18269940661332268</c:v>
                </c:pt>
                <c:pt idx="673">
                  <c:v>0.18176765635469372</c:v>
                </c:pt>
                <c:pt idx="674">
                  <c:v>0.17997664661726989</c:v>
                </c:pt>
                <c:pt idx="675">
                  <c:v>0.1781821811739594</c:v>
                </c:pt>
                <c:pt idx="676">
                  <c:v>0.17661762170990908</c:v>
                </c:pt>
                <c:pt idx="677">
                  <c:v>0.17416689254418222</c:v>
                </c:pt>
                <c:pt idx="678">
                  <c:v>0.17233289127569645</c:v>
                </c:pt>
                <c:pt idx="679">
                  <c:v>0.17214490556871903</c:v>
                </c:pt>
                <c:pt idx="680">
                  <c:v>0.17061529145463367</c:v>
                </c:pt>
                <c:pt idx="681">
                  <c:v>0.16973824714044936</c:v>
                </c:pt>
                <c:pt idx="682">
                  <c:v>0.16893093217184582</c:v>
                </c:pt>
                <c:pt idx="683">
                  <c:v>0.16794788236994776</c:v>
                </c:pt>
                <c:pt idx="684">
                  <c:v>0.16726587680196861</c:v>
                </c:pt>
                <c:pt idx="685">
                  <c:v>0.16627348908606099</c:v>
                </c:pt>
                <c:pt idx="686">
                  <c:v>0.16561767689511808</c:v>
                </c:pt>
                <c:pt idx="687">
                  <c:v>0.16463191061614743</c:v>
                </c:pt>
                <c:pt idx="688">
                  <c:v>0.16398579164571089</c:v>
                </c:pt>
                <c:pt idx="689">
                  <c:v>0.16300921452960582</c:v>
                </c:pt>
                <c:pt idx="690">
                  <c:v>0.16236999812110167</c:v>
                </c:pt>
                <c:pt idx="691">
                  <c:v>0.16215288454452015</c:v>
                </c:pt>
                <c:pt idx="692">
                  <c:v>0.16140295652998288</c:v>
                </c:pt>
                <c:pt idx="693">
                  <c:v>0.16077012744769953</c:v>
                </c:pt>
                <c:pt idx="694">
                  <c:v>0.1598125999242016</c:v>
                </c:pt>
                <c:pt idx="695">
                  <c:v>0.15918602102172885</c:v>
                </c:pt>
                <c:pt idx="696">
                  <c:v>0.15823792585160135</c:v>
                </c:pt>
                <c:pt idx="697">
                  <c:v>0.15822041139374701</c:v>
                </c:pt>
                <c:pt idx="698">
                  <c:v>0.15761752323020045</c:v>
                </c:pt>
                <c:pt idx="699">
                  <c:v>0.1566787694704535</c:v>
                </c:pt>
                <c:pt idx="700">
                  <c:v>0.1551349761691182</c:v>
                </c:pt>
                <c:pt idx="701">
                  <c:v>0.15432029041450651</c:v>
                </c:pt>
                <c:pt idx="702">
                  <c:v>0.15360639428740619</c:v>
                </c:pt>
                <c:pt idx="703">
                  <c:v>0.15221293023193921</c:v>
                </c:pt>
                <c:pt idx="704">
                  <c:v>0.13673961414171235</c:v>
                </c:pt>
                <c:pt idx="705">
                  <c:v>0.1345032560711176</c:v>
                </c:pt>
                <c:pt idx="706">
                  <c:v>0.12785781963405446</c:v>
                </c:pt>
                <c:pt idx="707">
                  <c:v>0.12681502664662656</c:v>
                </c:pt>
                <c:pt idx="708">
                  <c:v>0.12502152315839118</c:v>
                </c:pt>
                <c:pt idx="709">
                  <c:v>0.12389321032451006</c:v>
                </c:pt>
                <c:pt idx="710">
                  <c:v>0.11716414467341768</c:v>
                </c:pt>
                <c:pt idx="711">
                  <c:v>0.1156732317296036</c:v>
                </c:pt>
                <c:pt idx="712">
                  <c:v>0.11435579490248231</c:v>
                </c:pt>
                <c:pt idx="713">
                  <c:v>0.112891991138501</c:v>
                </c:pt>
                <c:pt idx="714">
                  <c:v>0.11278020475963134</c:v>
                </c:pt>
                <c:pt idx="715">
                  <c:v>0.11002746985232927</c:v>
                </c:pt>
                <c:pt idx="716">
                  <c:v>9.611584374664639E-2</c:v>
                </c:pt>
                <c:pt idx="717">
                  <c:v>9.5119875976377069E-2</c:v>
                </c:pt>
                <c:pt idx="718">
                  <c:v>9.4029247885892037E-2</c:v>
                </c:pt>
                <c:pt idx="719">
                  <c:v>9.2905553274510916E-2</c:v>
                </c:pt>
                <c:pt idx="720">
                  <c:v>8.7499981280640085E-2</c:v>
                </c:pt>
                <c:pt idx="721">
                  <c:v>8.5528927736372204E-2</c:v>
                </c:pt>
                <c:pt idx="722">
                  <c:v>8.5307476827766016E-2</c:v>
                </c:pt>
                <c:pt idx="723">
                  <c:v>8.4502184810162709E-2</c:v>
                </c:pt>
                <c:pt idx="724">
                  <c:v>8.3639031371287517E-2</c:v>
                </c:pt>
                <c:pt idx="725">
                  <c:v>8.3528509192621558E-2</c:v>
                </c:pt>
                <c:pt idx="726">
                  <c:v>8.3358026552086142E-2</c:v>
                </c:pt>
                <c:pt idx="727">
                  <c:v>8.2352674032313791E-2</c:v>
                </c:pt>
                <c:pt idx="728">
                  <c:v>8.1510700235106384E-2</c:v>
                </c:pt>
                <c:pt idx="729">
                  <c:v>8.1462473057871673E-2</c:v>
                </c:pt>
              </c:numCache>
            </c:numRef>
          </c:yVal>
          <c:smooth val="1"/>
          <c:extLst>
            <c:ext xmlns:c16="http://schemas.microsoft.com/office/drawing/2014/chart" uri="{C3380CC4-5D6E-409C-BE32-E72D297353CC}">
              <c16:uniqueId val="{00000000-82E2-F949-A62F-0E3FB63C19FC}"/>
            </c:ext>
          </c:extLst>
        </c:ser>
        <c:ser>
          <c:idx val="1"/>
          <c:order val="1"/>
          <c:tx>
            <c:strRef>
              <c:f>Escenarios!$E$28</c:f>
              <c:strCache>
                <c:ptCount val="1"/>
                <c:pt idx="0">
                  <c:v>Escenario 1</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Gráficos!$AD$6:$AD$735</c:f>
              <c:numCache>
                <c:formatCode>0.0000</c:formatCode>
                <c:ptCount val="730"/>
                <c:pt idx="0">
                  <c:v>2.4898410682283383</c:v>
                </c:pt>
                <c:pt idx="1">
                  <c:v>2.4051140705546086</c:v>
                </c:pt>
                <c:pt idx="2">
                  <c:v>2.39044536004858</c:v>
                </c:pt>
                <c:pt idx="3">
                  <c:v>2.3747028033285407</c:v>
                </c:pt>
                <c:pt idx="4">
                  <c:v>2.3688301184321294</c:v>
                </c:pt>
                <c:pt idx="5">
                  <c:v>2.3632444258284799</c:v>
                </c:pt>
                <c:pt idx="6">
                  <c:v>2.3524201224146712</c:v>
                </c:pt>
                <c:pt idx="7">
                  <c:v>2.3321208839751586</c:v>
                </c:pt>
                <c:pt idx="8">
                  <c:v>2.306529533804099</c:v>
                </c:pt>
                <c:pt idx="9">
                  <c:v>2.299081203255259</c:v>
                </c:pt>
                <c:pt idx="10">
                  <c:v>2.2891565788256911</c:v>
                </c:pt>
                <c:pt idx="11">
                  <c:v>2.2816246260823529</c:v>
                </c:pt>
                <c:pt idx="12">
                  <c:v>2.2768726060687237</c:v>
                </c:pt>
                <c:pt idx="13">
                  <c:v>2.2693072411346455</c:v>
                </c:pt>
                <c:pt idx="14">
                  <c:v>2.2549039490328937</c:v>
                </c:pt>
                <c:pt idx="15">
                  <c:v>2.2440734423536806</c:v>
                </c:pt>
                <c:pt idx="16">
                  <c:v>2.20318816337213</c:v>
                </c:pt>
                <c:pt idx="17">
                  <c:v>2.1912949211124459</c:v>
                </c:pt>
                <c:pt idx="18">
                  <c:v>2.1821034379392406</c:v>
                </c:pt>
                <c:pt idx="19">
                  <c:v>2.1725856784229247</c:v>
                </c:pt>
                <c:pt idx="20">
                  <c:v>2.1660737706615012</c:v>
                </c:pt>
                <c:pt idx="21">
                  <c:v>2.1464511198616498</c:v>
                </c:pt>
                <c:pt idx="22">
                  <c:v>2.1435610427271206</c:v>
                </c:pt>
                <c:pt idx="23">
                  <c:v>2.1224765837838611</c:v>
                </c:pt>
                <c:pt idx="24">
                  <c:v>2.1142912183471343</c:v>
                </c:pt>
                <c:pt idx="25">
                  <c:v>2.1043001185887369</c:v>
                </c:pt>
                <c:pt idx="26">
                  <c:v>2.1015433760765703</c:v>
                </c:pt>
                <c:pt idx="27">
                  <c:v>2.1001960148798133</c:v>
                </c:pt>
                <c:pt idx="28">
                  <c:v>2.1000689670455999</c:v>
                </c:pt>
                <c:pt idx="29">
                  <c:v>2.0853242813596422</c:v>
                </c:pt>
                <c:pt idx="30">
                  <c:v>2.0554773429280568</c:v>
                </c:pt>
                <c:pt idx="31">
                  <c:v>2.0520768116272512</c:v>
                </c:pt>
                <c:pt idx="32">
                  <c:v>2.0440374506019983</c:v>
                </c:pt>
                <c:pt idx="33">
                  <c:v>2.0425006878062573</c:v>
                </c:pt>
                <c:pt idx="34">
                  <c:v>2.0209856614545623</c:v>
                </c:pt>
                <c:pt idx="35">
                  <c:v>2.0142945205656262</c:v>
                </c:pt>
                <c:pt idx="36">
                  <c:v>2.009454667137911</c:v>
                </c:pt>
                <c:pt idx="37">
                  <c:v>2.0079987010923692</c:v>
                </c:pt>
                <c:pt idx="38">
                  <c:v>2.0009057277548794</c:v>
                </c:pt>
                <c:pt idx="39">
                  <c:v>1.9540337568010053</c:v>
                </c:pt>
                <c:pt idx="40">
                  <c:v>1.9509235292815919</c:v>
                </c:pt>
                <c:pt idx="41">
                  <c:v>1.9387873316292428</c:v>
                </c:pt>
                <c:pt idx="42">
                  <c:v>1.9295455220082485</c:v>
                </c:pt>
                <c:pt idx="43">
                  <c:v>1.9269445002368404</c:v>
                </c:pt>
                <c:pt idx="44">
                  <c:v>1.9235780525598976</c:v>
                </c:pt>
                <c:pt idx="45">
                  <c:v>1.9163590282059964</c:v>
                </c:pt>
                <c:pt idx="46">
                  <c:v>1.9002940075170862</c:v>
                </c:pt>
                <c:pt idx="47">
                  <c:v>1.8883175243567287</c:v>
                </c:pt>
                <c:pt idx="48">
                  <c:v>1.8859882383740372</c:v>
                </c:pt>
                <c:pt idx="49">
                  <c:v>1.8504388519941628</c:v>
                </c:pt>
                <c:pt idx="50">
                  <c:v>1.8487882766655632</c:v>
                </c:pt>
                <c:pt idx="51">
                  <c:v>1.8386545465966564</c:v>
                </c:pt>
                <c:pt idx="52">
                  <c:v>1.8291272964810645</c:v>
                </c:pt>
                <c:pt idx="53">
                  <c:v>1.8285710577680954</c:v>
                </c:pt>
                <c:pt idx="54">
                  <c:v>1.822561995763375</c:v>
                </c:pt>
                <c:pt idx="55">
                  <c:v>1.8142369968270933</c:v>
                </c:pt>
                <c:pt idx="56">
                  <c:v>1.8013240439685809</c:v>
                </c:pt>
                <c:pt idx="57">
                  <c:v>1.8001416678286595</c:v>
                </c:pt>
                <c:pt idx="58">
                  <c:v>1.7949352324596832</c:v>
                </c:pt>
                <c:pt idx="59">
                  <c:v>1.786451455010222</c:v>
                </c:pt>
                <c:pt idx="60">
                  <c:v>1.7521629223008577</c:v>
                </c:pt>
                <c:pt idx="61">
                  <c:v>1.744072683934162</c:v>
                </c:pt>
                <c:pt idx="62">
                  <c:v>1.7279440219925823</c:v>
                </c:pt>
                <c:pt idx="63">
                  <c:v>1.7222282332156915</c:v>
                </c:pt>
                <c:pt idx="64">
                  <c:v>1.7172425001843041</c:v>
                </c:pt>
                <c:pt idx="65">
                  <c:v>1.7155219606693655</c:v>
                </c:pt>
                <c:pt idx="66">
                  <c:v>1.7050390297680327</c:v>
                </c:pt>
                <c:pt idx="67">
                  <c:v>1.7015414527067829</c:v>
                </c:pt>
                <c:pt idx="68">
                  <c:v>1.6976167909989033</c:v>
                </c:pt>
                <c:pt idx="69">
                  <c:v>1.6893127678818574</c:v>
                </c:pt>
                <c:pt idx="70">
                  <c:v>1.6678397320730884</c:v>
                </c:pt>
                <c:pt idx="71">
                  <c:v>1.6607030922444244</c:v>
                </c:pt>
                <c:pt idx="72">
                  <c:v>1.6529606185334711</c:v>
                </c:pt>
                <c:pt idx="73">
                  <c:v>1.6508110752581076</c:v>
                </c:pt>
                <c:pt idx="74">
                  <c:v>1.6445539542677303</c:v>
                </c:pt>
                <c:pt idx="75">
                  <c:v>1.6352529987548987</c:v>
                </c:pt>
                <c:pt idx="76">
                  <c:v>1.6236029938875722</c:v>
                </c:pt>
                <c:pt idx="77">
                  <c:v>1.6187608944412235</c:v>
                </c:pt>
                <c:pt idx="78">
                  <c:v>1.6126506497754944</c:v>
                </c:pt>
                <c:pt idx="79">
                  <c:v>1.611618470100499</c:v>
                </c:pt>
                <c:pt idx="80">
                  <c:v>1.6073635346733324</c:v>
                </c:pt>
                <c:pt idx="81">
                  <c:v>1.5936946338340183</c:v>
                </c:pt>
                <c:pt idx="82">
                  <c:v>1.5934650300502819</c:v>
                </c:pt>
                <c:pt idx="83">
                  <c:v>1.5893772597089169</c:v>
                </c:pt>
                <c:pt idx="84">
                  <c:v>1.5881253299108717</c:v>
                </c:pt>
                <c:pt idx="85">
                  <c:v>1.5840947262400691</c:v>
                </c:pt>
                <c:pt idx="86">
                  <c:v>1.5805772621274994</c:v>
                </c:pt>
                <c:pt idx="87">
                  <c:v>1.5789338648334614</c:v>
                </c:pt>
                <c:pt idx="88">
                  <c:v>1.571826889078378</c:v>
                </c:pt>
                <c:pt idx="89">
                  <c:v>1.5653133028395552</c:v>
                </c:pt>
                <c:pt idx="90">
                  <c:v>1.5632466189483762</c:v>
                </c:pt>
                <c:pt idx="91">
                  <c:v>1.5585738511906797</c:v>
                </c:pt>
                <c:pt idx="92">
                  <c:v>1.5582211204280991</c:v>
                </c:pt>
                <c:pt idx="93">
                  <c:v>1.5507185783576316</c:v>
                </c:pt>
                <c:pt idx="94">
                  <c:v>1.5407229923009138</c:v>
                </c:pt>
                <c:pt idx="95">
                  <c:v>1.5377667830731405</c:v>
                </c:pt>
                <c:pt idx="96">
                  <c:v>1.5317701081611401</c:v>
                </c:pt>
                <c:pt idx="97">
                  <c:v>1.5309849023387958</c:v>
                </c:pt>
                <c:pt idx="98">
                  <c:v>1.5277440850531312</c:v>
                </c:pt>
                <c:pt idx="99">
                  <c:v>1.5257528605645745</c:v>
                </c:pt>
                <c:pt idx="100">
                  <c:v>1.523142069058689</c:v>
                </c:pt>
                <c:pt idx="101">
                  <c:v>1.5194316568953392</c:v>
                </c:pt>
                <c:pt idx="102">
                  <c:v>1.516650786238172</c:v>
                </c:pt>
                <c:pt idx="103">
                  <c:v>1.5059090563285999</c:v>
                </c:pt>
                <c:pt idx="104">
                  <c:v>1.502708015007042</c:v>
                </c:pt>
                <c:pt idx="105">
                  <c:v>1.5004932890654186</c:v>
                </c:pt>
                <c:pt idx="106">
                  <c:v>1.499270660382874</c:v>
                </c:pt>
                <c:pt idx="107">
                  <c:v>1.4962774835107746</c:v>
                </c:pt>
                <c:pt idx="108">
                  <c:v>1.4861365442959045</c:v>
                </c:pt>
                <c:pt idx="109">
                  <c:v>1.4847428073564639</c:v>
                </c:pt>
                <c:pt idx="110">
                  <c:v>1.4810429896605419</c:v>
                </c:pt>
                <c:pt idx="111">
                  <c:v>1.478946407637026</c:v>
                </c:pt>
                <c:pt idx="112">
                  <c:v>1.4671729718940023</c:v>
                </c:pt>
                <c:pt idx="113">
                  <c:v>1.4529694577386545</c:v>
                </c:pt>
                <c:pt idx="114">
                  <c:v>1.4514796763311699</c:v>
                </c:pt>
                <c:pt idx="115">
                  <c:v>1.451145578959371</c:v>
                </c:pt>
                <c:pt idx="116">
                  <c:v>1.4364290169551752</c:v>
                </c:pt>
                <c:pt idx="117">
                  <c:v>1.4338005299955028</c:v>
                </c:pt>
                <c:pt idx="118">
                  <c:v>1.4333904418394721</c:v>
                </c:pt>
                <c:pt idx="119">
                  <c:v>1.4317970981096502</c:v>
                </c:pt>
                <c:pt idx="120">
                  <c:v>1.4294766267691843</c:v>
                </c:pt>
                <c:pt idx="121">
                  <c:v>1.4290528625574308</c:v>
                </c:pt>
                <c:pt idx="122">
                  <c:v>1.4282175773129775</c:v>
                </c:pt>
                <c:pt idx="123">
                  <c:v>1.425606635161734</c:v>
                </c:pt>
                <c:pt idx="124">
                  <c:v>1.4244029548304611</c:v>
                </c:pt>
                <c:pt idx="125">
                  <c:v>1.4231664064401881</c:v>
                </c:pt>
                <c:pt idx="126">
                  <c:v>1.4147616691071587</c:v>
                </c:pt>
                <c:pt idx="127">
                  <c:v>1.410364202404959</c:v>
                </c:pt>
                <c:pt idx="128">
                  <c:v>1.4065575756494011</c:v>
                </c:pt>
                <c:pt idx="129">
                  <c:v>1.4050453703018129</c:v>
                </c:pt>
                <c:pt idx="130">
                  <c:v>1.3990447613042354</c:v>
                </c:pt>
                <c:pt idx="131">
                  <c:v>1.3973680126865413</c:v>
                </c:pt>
                <c:pt idx="132">
                  <c:v>1.3924975812282754</c:v>
                </c:pt>
                <c:pt idx="133">
                  <c:v>1.3917897986605976</c:v>
                </c:pt>
                <c:pt idx="134">
                  <c:v>1.3904589736931272</c:v>
                </c:pt>
                <c:pt idx="135">
                  <c:v>1.3837274118093605</c:v>
                </c:pt>
                <c:pt idx="136">
                  <c:v>1.3688410532693061</c:v>
                </c:pt>
                <c:pt idx="137">
                  <c:v>1.3635017935672951</c:v>
                </c:pt>
                <c:pt idx="138">
                  <c:v>1.3630076577950656</c:v>
                </c:pt>
                <c:pt idx="139">
                  <c:v>1.3549750352629104</c:v>
                </c:pt>
                <c:pt idx="140">
                  <c:v>1.3541550943482246</c:v>
                </c:pt>
                <c:pt idx="141">
                  <c:v>1.3536057718643828</c:v>
                </c:pt>
                <c:pt idx="142">
                  <c:v>1.3531478022901873</c:v>
                </c:pt>
                <c:pt idx="143">
                  <c:v>1.3529574984390769</c:v>
                </c:pt>
                <c:pt idx="144">
                  <c:v>1.3511947482882727</c:v>
                </c:pt>
                <c:pt idx="145">
                  <c:v>1.3433790077159906</c:v>
                </c:pt>
                <c:pt idx="146">
                  <c:v>1.342828938115693</c:v>
                </c:pt>
                <c:pt idx="147">
                  <c:v>1.3326634918344433</c:v>
                </c:pt>
                <c:pt idx="148">
                  <c:v>1.3299718884559495</c:v>
                </c:pt>
                <c:pt idx="149">
                  <c:v>1.3213660726497649</c:v>
                </c:pt>
                <c:pt idx="150">
                  <c:v>1.3192446349670273</c:v>
                </c:pt>
                <c:pt idx="151">
                  <c:v>1.3156456479236587</c:v>
                </c:pt>
                <c:pt idx="152">
                  <c:v>1.3109620821982273</c:v>
                </c:pt>
                <c:pt idx="153">
                  <c:v>1.3021792751123495</c:v>
                </c:pt>
                <c:pt idx="154">
                  <c:v>1.2976268727011435</c:v>
                </c:pt>
                <c:pt idx="155">
                  <c:v>1.2944182226637406</c:v>
                </c:pt>
                <c:pt idx="156">
                  <c:v>1.2855975603990222</c:v>
                </c:pt>
                <c:pt idx="157">
                  <c:v>1.2852561550454062</c:v>
                </c:pt>
                <c:pt idx="158">
                  <c:v>1.2820934111082942</c:v>
                </c:pt>
                <c:pt idx="159">
                  <c:v>1.2813623137105223</c:v>
                </c:pt>
                <c:pt idx="160">
                  <c:v>1.2760280186441468</c:v>
                </c:pt>
                <c:pt idx="161">
                  <c:v>1.2745523945215478</c:v>
                </c:pt>
                <c:pt idx="162">
                  <c:v>1.2742334382568163</c:v>
                </c:pt>
                <c:pt idx="163">
                  <c:v>1.2664955948848666</c:v>
                </c:pt>
                <c:pt idx="164">
                  <c:v>1.2641748464453413</c:v>
                </c:pt>
                <c:pt idx="165">
                  <c:v>1.2576735552993668</c:v>
                </c:pt>
                <c:pt idx="166">
                  <c:v>1.2551698345910227</c:v>
                </c:pt>
                <c:pt idx="167">
                  <c:v>1.2544383719409578</c:v>
                </c:pt>
                <c:pt idx="168">
                  <c:v>1.2453068819576705</c:v>
                </c:pt>
                <c:pt idx="169">
                  <c:v>1.2429257022053259</c:v>
                </c:pt>
                <c:pt idx="170">
                  <c:v>1.2405265807671426</c:v>
                </c:pt>
                <c:pt idx="171">
                  <c:v>1.2403080039627916</c:v>
                </c:pt>
                <c:pt idx="172">
                  <c:v>1.2379554972490698</c:v>
                </c:pt>
                <c:pt idx="173">
                  <c:v>1.2377188593344464</c:v>
                </c:pt>
                <c:pt idx="174">
                  <c:v>1.2330875323783839</c:v>
                </c:pt>
                <c:pt idx="175">
                  <c:v>1.2327504010466761</c:v>
                </c:pt>
                <c:pt idx="176">
                  <c:v>1.2317773553412259</c:v>
                </c:pt>
                <c:pt idx="177">
                  <c:v>1.2308857357966716</c:v>
                </c:pt>
                <c:pt idx="178">
                  <c:v>1.2282437713550773</c:v>
                </c:pt>
                <c:pt idx="179">
                  <c:v>1.225670487147914</c:v>
                </c:pt>
                <c:pt idx="180">
                  <c:v>1.2252039487312059</c:v>
                </c:pt>
                <c:pt idx="181">
                  <c:v>1.2204261471318354</c:v>
                </c:pt>
                <c:pt idx="182">
                  <c:v>1.2181884334693334</c:v>
                </c:pt>
                <c:pt idx="183">
                  <c:v>1.2181126166498535</c:v>
                </c:pt>
                <c:pt idx="184">
                  <c:v>1.2169275505140407</c:v>
                </c:pt>
                <c:pt idx="185">
                  <c:v>1.2118476912045903</c:v>
                </c:pt>
                <c:pt idx="186">
                  <c:v>1.2113346560957572</c:v>
                </c:pt>
                <c:pt idx="187">
                  <c:v>1.2101154296922787</c:v>
                </c:pt>
                <c:pt idx="188">
                  <c:v>1.2095257198510703</c:v>
                </c:pt>
                <c:pt idx="189">
                  <c:v>1.2085714782765213</c:v>
                </c:pt>
                <c:pt idx="190">
                  <c:v>1.204985025529258</c:v>
                </c:pt>
                <c:pt idx="191">
                  <c:v>1.2032111017452625</c:v>
                </c:pt>
                <c:pt idx="192">
                  <c:v>1.1995487047112399</c:v>
                </c:pt>
                <c:pt idx="193">
                  <c:v>1.1991157908554828</c:v>
                </c:pt>
                <c:pt idx="194">
                  <c:v>1.1980296498910101</c:v>
                </c:pt>
                <c:pt idx="195">
                  <c:v>1.1951109577612571</c:v>
                </c:pt>
                <c:pt idx="196">
                  <c:v>1.195045580975642</c:v>
                </c:pt>
                <c:pt idx="197">
                  <c:v>1.1948316534244849</c:v>
                </c:pt>
                <c:pt idx="198">
                  <c:v>1.1900811454219828</c:v>
                </c:pt>
                <c:pt idx="199">
                  <c:v>1.1882704256258443</c:v>
                </c:pt>
                <c:pt idx="200">
                  <c:v>1.188014580406195</c:v>
                </c:pt>
                <c:pt idx="201">
                  <c:v>1.1843722754668204</c:v>
                </c:pt>
                <c:pt idx="202">
                  <c:v>1.1832578572071977</c:v>
                </c:pt>
                <c:pt idx="203">
                  <c:v>1.1829327635680309</c:v>
                </c:pt>
                <c:pt idx="204">
                  <c:v>1.1779727815090733</c:v>
                </c:pt>
                <c:pt idx="205">
                  <c:v>1.1778599653436734</c:v>
                </c:pt>
                <c:pt idx="206">
                  <c:v>1.1747323618633234</c:v>
                </c:pt>
                <c:pt idx="207">
                  <c:v>1.1742353144947584</c:v>
                </c:pt>
                <c:pt idx="208">
                  <c:v>1.1741215241497776</c:v>
                </c:pt>
                <c:pt idx="209">
                  <c:v>1.1729693682156885</c:v>
                </c:pt>
                <c:pt idx="210">
                  <c:v>1.1698250751568473</c:v>
                </c:pt>
                <c:pt idx="211">
                  <c:v>1.1693829286870876</c:v>
                </c:pt>
                <c:pt idx="212">
                  <c:v>1.1675138430242897</c:v>
                </c:pt>
                <c:pt idx="213">
                  <c:v>1.1663823817864394</c:v>
                </c:pt>
                <c:pt idx="214">
                  <c:v>1.1658565770688132</c:v>
                </c:pt>
                <c:pt idx="215">
                  <c:v>1.1646996337655842</c:v>
                </c:pt>
                <c:pt idx="216">
                  <c:v>1.1628950150144963</c:v>
                </c:pt>
                <c:pt idx="217">
                  <c:v>1.1611493744641579</c:v>
                </c:pt>
                <c:pt idx="218">
                  <c:v>1.1601064097403557</c:v>
                </c:pt>
                <c:pt idx="219">
                  <c:v>1.1591239322951983</c:v>
                </c:pt>
                <c:pt idx="220">
                  <c:v>1.1585695041788577</c:v>
                </c:pt>
                <c:pt idx="221">
                  <c:v>1.152899687228671</c:v>
                </c:pt>
                <c:pt idx="222">
                  <c:v>1.1525339717273584</c:v>
                </c:pt>
                <c:pt idx="223">
                  <c:v>1.1485460821209992</c:v>
                </c:pt>
                <c:pt idx="224">
                  <c:v>1.1469225608206703</c:v>
                </c:pt>
                <c:pt idx="225">
                  <c:v>1.1425890078169509</c:v>
                </c:pt>
                <c:pt idx="226">
                  <c:v>1.1386307493472114</c:v>
                </c:pt>
                <c:pt idx="227">
                  <c:v>1.1377049459813102</c:v>
                </c:pt>
                <c:pt idx="228">
                  <c:v>1.1331862161732069</c:v>
                </c:pt>
                <c:pt idx="229">
                  <c:v>1.1304100245142705</c:v>
                </c:pt>
                <c:pt idx="230">
                  <c:v>1.1190344446652618</c:v>
                </c:pt>
                <c:pt idx="231">
                  <c:v>1.1156422550959293</c:v>
                </c:pt>
                <c:pt idx="232">
                  <c:v>1.1131650025026305</c:v>
                </c:pt>
                <c:pt idx="233">
                  <c:v>1.1126667170467981</c:v>
                </c:pt>
                <c:pt idx="234">
                  <c:v>1.1120780296593968</c:v>
                </c:pt>
                <c:pt idx="235">
                  <c:v>1.1084846951918099</c:v>
                </c:pt>
                <c:pt idx="236">
                  <c:v>1.1051752048098682</c:v>
                </c:pt>
                <c:pt idx="237">
                  <c:v>1.103569800009798</c:v>
                </c:pt>
                <c:pt idx="238">
                  <c:v>1.1021148201384503</c:v>
                </c:pt>
                <c:pt idx="239">
                  <c:v>1.1007071547473577</c:v>
                </c:pt>
                <c:pt idx="240">
                  <c:v>1.0993484236773552</c:v>
                </c:pt>
                <c:pt idx="241">
                  <c:v>1.0963069019625906</c:v>
                </c:pt>
                <c:pt idx="242">
                  <c:v>1.0959357050083673</c:v>
                </c:pt>
                <c:pt idx="243">
                  <c:v>1.0944011903218174</c:v>
                </c:pt>
                <c:pt idx="244">
                  <c:v>1.0895847922345785</c:v>
                </c:pt>
                <c:pt idx="245">
                  <c:v>1.0869555169013274</c:v>
                </c:pt>
                <c:pt idx="246">
                  <c:v>1.0857387156510712</c:v>
                </c:pt>
                <c:pt idx="247">
                  <c:v>1.0848831210522121</c:v>
                </c:pt>
                <c:pt idx="248">
                  <c:v>1.0784027805885288</c:v>
                </c:pt>
                <c:pt idx="249">
                  <c:v>1.0745338072798845</c:v>
                </c:pt>
                <c:pt idx="250">
                  <c:v>1.0734978214528239</c:v>
                </c:pt>
                <c:pt idx="251">
                  <c:v>1.0720050507118757</c:v>
                </c:pt>
                <c:pt idx="252">
                  <c:v>1.0713600592568382</c:v>
                </c:pt>
                <c:pt idx="253">
                  <c:v>1.0686503927407915</c:v>
                </c:pt>
                <c:pt idx="254">
                  <c:v>1.0678501101041011</c:v>
                </c:pt>
                <c:pt idx="255">
                  <c:v>1.0667748871341871</c:v>
                </c:pt>
                <c:pt idx="256">
                  <c:v>1.0629995419371794</c:v>
                </c:pt>
                <c:pt idx="257">
                  <c:v>1.0618470971975813</c:v>
                </c:pt>
                <c:pt idx="258">
                  <c:v>1.0570798241997197</c:v>
                </c:pt>
                <c:pt idx="259">
                  <c:v>1.0551168800117514</c:v>
                </c:pt>
                <c:pt idx="260">
                  <c:v>1.0528126868771415</c:v>
                </c:pt>
                <c:pt idx="261">
                  <c:v>1.05273347794796</c:v>
                </c:pt>
                <c:pt idx="262">
                  <c:v>1.0520568245052559</c:v>
                </c:pt>
                <c:pt idx="263">
                  <c:v>1.0464438155967799</c:v>
                </c:pt>
                <c:pt idx="264">
                  <c:v>1.046139821367265</c:v>
                </c:pt>
                <c:pt idx="265">
                  <c:v>1.0454494161747705</c:v>
                </c:pt>
                <c:pt idx="266">
                  <c:v>1.0438200026843683</c:v>
                </c:pt>
                <c:pt idx="267">
                  <c:v>1.0428538442759392</c:v>
                </c:pt>
                <c:pt idx="268">
                  <c:v>1.0419989187540615</c:v>
                </c:pt>
                <c:pt idx="269">
                  <c:v>1.0417410865045222</c:v>
                </c:pt>
                <c:pt idx="270">
                  <c:v>1.0373572619281461</c:v>
                </c:pt>
                <c:pt idx="271">
                  <c:v>1.0336395794240243</c:v>
                </c:pt>
                <c:pt idx="272">
                  <c:v>1.0326944479697548</c:v>
                </c:pt>
                <c:pt idx="273">
                  <c:v>1.0267817262623846</c:v>
                </c:pt>
                <c:pt idx="274">
                  <c:v>1.02522071816656</c:v>
                </c:pt>
                <c:pt idx="275">
                  <c:v>1.0228886792222471</c:v>
                </c:pt>
                <c:pt idx="276">
                  <c:v>1.0186186231291026</c:v>
                </c:pt>
                <c:pt idx="277">
                  <c:v>1.0155451869328391</c:v>
                </c:pt>
                <c:pt idx="278">
                  <c:v>1.0139061485236691</c:v>
                </c:pt>
                <c:pt idx="279">
                  <c:v>1.0056844327061856</c:v>
                </c:pt>
                <c:pt idx="280">
                  <c:v>1.0039843274925353</c:v>
                </c:pt>
                <c:pt idx="281">
                  <c:v>1.0022250848159331</c:v>
                </c:pt>
                <c:pt idx="282">
                  <c:v>0.99695847303924168</c:v>
                </c:pt>
                <c:pt idx="283">
                  <c:v>0.99428915973093313</c:v>
                </c:pt>
                <c:pt idx="284">
                  <c:v>0.99176098251356393</c:v>
                </c:pt>
                <c:pt idx="285">
                  <c:v>0.9912882667155799</c:v>
                </c:pt>
                <c:pt idx="286">
                  <c:v>0.98660872880871753</c:v>
                </c:pt>
                <c:pt idx="287">
                  <c:v>0.98288073432750589</c:v>
                </c:pt>
                <c:pt idx="288">
                  <c:v>0.9778598960750633</c:v>
                </c:pt>
                <c:pt idx="289">
                  <c:v>0.9750107662113715</c:v>
                </c:pt>
                <c:pt idx="290">
                  <c:v>0.97088655430969051</c:v>
                </c:pt>
                <c:pt idx="291">
                  <c:v>0.96828839406062661</c:v>
                </c:pt>
                <c:pt idx="292">
                  <c:v>0.9653846196462248</c:v>
                </c:pt>
                <c:pt idx="293">
                  <c:v>0.96471675630362808</c:v>
                </c:pt>
                <c:pt idx="294">
                  <c:v>0.95871615104683683</c:v>
                </c:pt>
                <c:pt idx="295">
                  <c:v>0.9553990899910314</c:v>
                </c:pt>
                <c:pt idx="296">
                  <c:v>0.94617037183666997</c:v>
                </c:pt>
                <c:pt idx="297">
                  <c:v>0.93702977566583023</c:v>
                </c:pt>
                <c:pt idx="298">
                  <c:v>0.93668932062912635</c:v>
                </c:pt>
                <c:pt idx="299">
                  <c:v>0.93432195902159232</c:v>
                </c:pt>
                <c:pt idx="300">
                  <c:v>0.92797643514332362</c:v>
                </c:pt>
                <c:pt idx="301">
                  <c:v>0.92726993095489285</c:v>
                </c:pt>
                <c:pt idx="302">
                  <c:v>0.92692185311962561</c:v>
                </c:pt>
                <c:pt idx="303">
                  <c:v>0.92576405177375154</c:v>
                </c:pt>
                <c:pt idx="304">
                  <c:v>0.92094004825952025</c:v>
                </c:pt>
                <c:pt idx="305">
                  <c:v>0.9197579869540472</c:v>
                </c:pt>
                <c:pt idx="306">
                  <c:v>0.91954933694659868</c:v>
                </c:pt>
                <c:pt idx="307">
                  <c:v>0.91542159670700007</c:v>
                </c:pt>
                <c:pt idx="308">
                  <c:v>0.91237593886131774</c:v>
                </c:pt>
                <c:pt idx="309">
                  <c:v>0.91200125135924504</c:v>
                </c:pt>
                <c:pt idx="310">
                  <c:v>0.91116913401404431</c:v>
                </c:pt>
                <c:pt idx="311">
                  <c:v>0.91012841708231673</c:v>
                </c:pt>
                <c:pt idx="312">
                  <c:v>0.90594363675255463</c:v>
                </c:pt>
                <c:pt idx="313">
                  <c:v>0.90583237109021719</c:v>
                </c:pt>
                <c:pt idx="314">
                  <c:v>0.90236948067771661</c:v>
                </c:pt>
                <c:pt idx="315">
                  <c:v>0.90133207139344051</c:v>
                </c:pt>
                <c:pt idx="316">
                  <c:v>0.89505290644560642</c:v>
                </c:pt>
                <c:pt idx="317">
                  <c:v>0.89365374304716627</c:v>
                </c:pt>
                <c:pt idx="318">
                  <c:v>0.89261969331736624</c:v>
                </c:pt>
                <c:pt idx="319">
                  <c:v>0.88699171668032617</c:v>
                </c:pt>
                <c:pt idx="320">
                  <c:v>0.88502114378368124</c:v>
                </c:pt>
                <c:pt idx="321">
                  <c:v>0.88399049775789529</c:v>
                </c:pt>
                <c:pt idx="322">
                  <c:v>0.88244779831044273</c:v>
                </c:pt>
                <c:pt idx="323">
                  <c:v>0.87980815946093793</c:v>
                </c:pt>
                <c:pt idx="324">
                  <c:v>0.87647086614974401</c:v>
                </c:pt>
                <c:pt idx="325">
                  <c:v>0.87554315264526006</c:v>
                </c:pt>
                <c:pt idx="326">
                  <c:v>0.87544370057414578</c:v>
                </c:pt>
                <c:pt idx="327">
                  <c:v>0.87313898817492586</c:v>
                </c:pt>
                <c:pt idx="328">
                  <c:v>0.86875059472844496</c:v>
                </c:pt>
                <c:pt idx="329">
                  <c:v>0.86697851380218349</c:v>
                </c:pt>
                <c:pt idx="330">
                  <c:v>0.86629250241696676</c:v>
                </c:pt>
                <c:pt idx="331">
                  <c:v>0.85996752513936947</c:v>
                </c:pt>
                <c:pt idx="332">
                  <c:v>0.85961436846831851</c:v>
                </c:pt>
                <c:pt idx="333">
                  <c:v>0.85859414452031402</c:v>
                </c:pt>
                <c:pt idx="334">
                  <c:v>0.85540582536066523</c:v>
                </c:pt>
                <c:pt idx="335">
                  <c:v>0.85130657627243855</c:v>
                </c:pt>
                <c:pt idx="336">
                  <c:v>0.85028983685078063</c:v>
                </c:pt>
                <c:pt idx="337">
                  <c:v>0.84307800861082682</c:v>
                </c:pt>
                <c:pt idx="338">
                  <c:v>0.84206481471004835</c:v>
                </c:pt>
                <c:pt idx="339">
                  <c:v>0.84205144719772185</c:v>
                </c:pt>
                <c:pt idx="340">
                  <c:v>0.8385493783305048</c:v>
                </c:pt>
                <c:pt idx="341">
                  <c:v>0.83655286808326479</c:v>
                </c:pt>
                <c:pt idx="342">
                  <c:v>0.83492792653964987</c:v>
                </c:pt>
                <c:pt idx="343">
                  <c:v>0.83391831469272548</c:v>
                </c:pt>
                <c:pt idx="344">
                  <c:v>0.83122217107391216</c:v>
                </c:pt>
                <c:pt idx="345">
                  <c:v>0.82685559178701029</c:v>
                </c:pt>
                <c:pt idx="346">
                  <c:v>0.82584960246843697</c:v>
                </c:pt>
                <c:pt idx="347">
                  <c:v>0.82247728368695727</c:v>
                </c:pt>
                <c:pt idx="348">
                  <c:v>0.82111046776193497</c:v>
                </c:pt>
                <c:pt idx="349">
                  <c:v>0.81886026211459595</c:v>
                </c:pt>
                <c:pt idx="350">
                  <c:v>0.8178579124848171</c:v>
                </c:pt>
                <c:pt idx="351">
                  <c:v>0.81563707732054014</c:v>
                </c:pt>
                <c:pt idx="352">
                  <c:v>0.81309267851362044</c:v>
                </c:pt>
                <c:pt idx="353">
                  <c:v>0.81094119022710509</c:v>
                </c:pt>
                <c:pt idx="354">
                  <c:v>0.81020847157166931</c:v>
                </c:pt>
                <c:pt idx="355">
                  <c:v>0.81019266909489573</c:v>
                </c:pt>
                <c:pt idx="356">
                  <c:v>0.80994250362117814</c:v>
                </c:pt>
                <c:pt idx="357">
                  <c:v>0.80945514446574951</c:v>
                </c:pt>
                <c:pt idx="358">
                  <c:v>0.80309766460982202</c:v>
                </c:pt>
                <c:pt idx="359">
                  <c:v>0.80210266133206576</c:v>
                </c:pt>
                <c:pt idx="360">
                  <c:v>0.80016297462625541</c:v>
                </c:pt>
                <c:pt idx="361">
                  <c:v>0.795328953873362</c:v>
                </c:pt>
                <c:pt idx="362">
                  <c:v>0.79433767669446709</c:v>
                </c:pt>
                <c:pt idx="363">
                  <c:v>0.79172486650655371</c:v>
                </c:pt>
                <c:pt idx="364">
                  <c:v>0.78763433872760225</c:v>
                </c:pt>
                <c:pt idx="365">
                  <c:v>0.78664683821192816</c:v>
                </c:pt>
                <c:pt idx="366">
                  <c:v>0.7848882402083035</c:v>
                </c:pt>
                <c:pt idx="367">
                  <c:v>0.78001312790418231</c:v>
                </c:pt>
                <c:pt idx="368">
                  <c:v>0.77902944480313119</c:v>
                </c:pt>
                <c:pt idx="369">
                  <c:v>0.7724645995906303</c:v>
                </c:pt>
                <c:pt idx="370">
                  <c:v>0.77172762074206591</c:v>
                </c:pt>
                <c:pt idx="371">
                  <c:v>0.77148478008623989</c:v>
                </c:pt>
                <c:pt idx="372">
                  <c:v>0.76752102459972249</c:v>
                </c:pt>
                <c:pt idx="373">
                  <c:v>0.76498805549464988</c:v>
                </c:pt>
                <c:pt idx="374">
                  <c:v>0.76401214440498721</c:v>
                </c:pt>
                <c:pt idx="375">
                  <c:v>0.76181880094424925</c:v>
                </c:pt>
                <c:pt idx="376">
                  <c:v>0.76163862873138755</c:v>
                </c:pt>
                <c:pt idx="377">
                  <c:v>0.75758282290960388</c:v>
                </c:pt>
                <c:pt idx="378">
                  <c:v>0.75661086066327154</c:v>
                </c:pt>
                <c:pt idx="379">
                  <c:v>0.75024823436829013</c:v>
                </c:pt>
                <c:pt idx="380">
                  <c:v>0.74928024810637261</c:v>
                </c:pt>
                <c:pt idx="381">
                  <c:v>0.74773848465911552</c:v>
                </c:pt>
                <c:pt idx="382">
                  <c:v>0.74298361969675619</c:v>
                </c:pt>
                <c:pt idx="383">
                  <c:v>0.74201964150836941</c:v>
                </c:pt>
                <c:pt idx="384">
                  <c:v>0.7404834579387467</c:v>
                </c:pt>
                <c:pt idx="385">
                  <c:v>0.73673392130219106</c:v>
                </c:pt>
                <c:pt idx="386">
                  <c:v>0.7357883186205717</c:v>
                </c:pt>
                <c:pt idx="387">
                  <c:v>0.73482836671795604</c:v>
                </c:pt>
                <c:pt idx="388">
                  <c:v>0.7297816704361082</c:v>
                </c:pt>
                <c:pt idx="389">
                  <c:v>0.72866165583468612</c:v>
                </c:pt>
                <c:pt idx="390">
                  <c:v>0.72589240047108383</c:v>
                </c:pt>
                <c:pt idx="391">
                  <c:v>0.72487863077356884</c:v>
                </c:pt>
                <c:pt idx="392">
                  <c:v>0.72444485375861489</c:v>
                </c:pt>
                <c:pt idx="393">
                  <c:v>0.72353033360153496</c:v>
                </c:pt>
                <c:pt idx="394">
                  <c:v>0.72160297206590507</c:v>
                </c:pt>
                <c:pt idx="395">
                  <c:v>0.72083975092550412</c:v>
                </c:pt>
                <c:pt idx="396">
                  <c:v>0.72050162953907393</c:v>
                </c:pt>
                <c:pt idx="397">
                  <c:v>0.71461162971679704</c:v>
                </c:pt>
                <c:pt idx="398">
                  <c:v>0.71165667120463727</c:v>
                </c:pt>
                <c:pt idx="399">
                  <c:v>0.71163910657848428</c:v>
                </c:pt>
                <c:pt idx="400">
                  <c:v>0.70768698745624359</c:v>
                </c:pt>
                <c:pt idx="401">
                  <c:v>0.70533222875621671</c:v>
                </c:pt>
                <c:pt idx="402">
                  <c:v>0.70215097792948633</c:v>
                </c:pt>
                <c:pt idx="403">
                  <c:v>0.70082841881058056</c:v>
                </c:pt>
                <c:pt idx="404">
                  <c:v>0.69856295175839533</c:v>
                </c:pt>
                <c:pt idx="405">
                  <c:v>0.6942980053432628</c:v>
                </c:pt>
                <c:pt idx="406">
                  <c:v>0.6940352884851545</c:v>
                </c:pt>
                <c:pt idx="407">
                  <c:v>0.68786657928691441</c:v>
                </c:pt>
                <c:pt idx="408">
                  <c:v>0.6833796190828122</c:v>
                </c:pt>
                <c:pt idx="409">
                  <c:v>0.6785980542847625</c:v>
                </c:pt>
                <c:pt idx="410">
                  <c:v>0.65854609575734857</c:v>
                </c:pt>
                <c:pt idx="411">
                  <c:v>0.65670861723492935</c:v>
                </c:pt>
                <c:pt idx="412">
                  <c:v>0.65668202547283805</c:v>
                </c:pt>
                <c:pt idx="413">
                  <c:v>0.65104427193176351</c:v>
                </c:pt>
                <c:pt idx="414">
                  <c:v>0.64777140602248606</c:v>
                </c:pt>
                <c:pt idx="415">
                  <c:v>0.64766432134022411</c:v>
                </c:pt>
                <c:pt idx="416">
                  <c:v>0.64194439496052325</c:v>
                </c:pt>
                <c:pt idx="417">
                  <c:v>0.64134928352254039</c:v>
                </c:pt>
                <c:pt idx="418">
                  <c:v>0.63855430104822219</c:v>
                </c:pt>
                <c:pt idx="419">
                  <c:v>0.63514325958122886</c:v>
                </c:pt>
                <c:pt idx="420">
                  <c:v>0.63210419952909846</c:v>
                </c:pt>
                <c:pt idx="421">
                  <c:v>0.63070889448270728</c:v>
                </c:pt>
                <c:pt idx="422">
                  <c:v>0.62985103575076973</c:v>
                </c:pt>
                <c:pt idx="423">
                  <c:v>0.62899627405015857</c:v>
                </c:pt>
                <c:pt idx="424">
                  <c:v>0.62290777759777327</c:v>
                </c:pt>
                <c:pt idx="425">
                  <c:v>0.62207542020806128</c:v>
                </c:pt>
                <c:pt idx="426">
                  <c:v>0.62168860577863738</c:v>
                </c:pt>
                <c:pt idx="427">
                  <c:v>0.62164588912632823</c:v>
                </c:pt>
                <c:pt idx="428">
                  <c:v>0.620383281642086</c:v>
                </c:pt>
                <c:pt idx="429">
                  <c:v>0.61687721587319011</c:v>
                </c:pt>
                <c:pt idx="430">
                  <c:v>0.6149432979636652</c:v>
                </c:pt>
                <c:pt idx="431">
                  <c:v>0.61182413446205974</c:v>
                </c:pt>
                <c:pt idx="432">
                  <c:v>0.61090403550720795</c:v>
                </c:pt>
                <c:pt idx="433">
                  <c:v>0.60751203875420967</c:v>
                </c:pt>
                <c:pt idx="434">
                  <c:v>0.60575007532613878</c:v>
                </c:pt>
                <c:pt idx="435">
                  <c:v>0.6049876836605721</c:v>
                </c:pt>
                <c:pt idx="436">
                  <c:v>0.5998887388687224</c:v>
                </c:pt>
                <c:pt idx="437">
                  <c:v>0.59912762264100494</c:v>
                </c:pt>
                <c:pt idx="438">
                  <c:v>0.59408309876923338</c:v>
                </c:pt>
                <c:pt idx="439">
                  <c:v>0.59332331568794983</c:v>
                </c:pt>
                <c:pt idx="440">
                  <c:v>0.59305333017761186</c:v>
                </c:pt>
                <c:pt idx="441">
                  <c:v>0.5883326382557319</c:v>
                </c:pt>
                <c:pt idx="442">
                  <c:v>0.58757421884389072</c:v>
                </c:pt>
                <c:pt idx="443">
                  <c:v>0.58543015047548974</c:v>
                </c:pt>
                <c:pt idx="444">
                  <c:v>0.58263683549189305</c:v>
                </c:pt>
                <c:pt idx="445">
                  <c:v>0.58187981838447311</c:v>
                </c:pt>
                <c:pt idx="446">
                  <c:v>0.58149626266647159</c:v>
                </c:pt>
                <c:pt idx="447">
                  <c:v>0.58127370942639633</c:v>
                </c:pt>
                <c:pt idx="448">
                  <c:v>0.57699516942417028</c:v>
                </c:pt>
                <c:pt idx="449">
                  <c:v>0.57623959362951405</c:v>
                </c:pt>
                <c:pt idx="450">
                  <c:v>0.57250672668402458</c:v>
                </c:pt>
                <c:pt idx="451">
                  <c:v>0.5714071193491701</c:v>
                </c:pt>
                <c:pt idx="452">
                  <c:v>0.57065300939027142</c:v>
                </c:pt>
                <c:pt idx="453">
                  <c:v>0.5668981847192518</c:v>
                </c:pt>
                <c:pt idx="454">
                  <c:v>0.56587217912409427</c:v>
                </c:pt>
                <c:pt idx="455">
                  <c:v>0.56511957441687111</c:v>
                </c:pt>
                <c:pt idx="456">
                  <c:v>0.56215360826883531</c:v>
                </c:pt>
                <c:pt idx="457">
                  <c:v>0.56038984334869157</c:v>
                </c:pt>
                <c:pt idx="458">
                  <c:v>0.55963876159480053</c:v>
                </c:pt>
                <c:pt idx="459">
                  <c:v>0.55714312341438188</c:v>
                </c:pt>
                <c:pt idx="460">
                  <c:v>0.55595068502979306</c:v>
                </c:pt>
                <c:pt idx="461">
                  <c:v>0.55495959947802942</c:v>
                </c:pt>
                <c:pt idx="462">
                  <c:v>0.5544545878474032</c:v>
                </c:pt>
                <c:pt idx="463">
                  <c:v>0.55421006631123249</c:v>
                </c:pt>
                <c:pt idx="464">
                  <c:v>0.54958096417575453</c:v>
                </c:pt>
                <c:pt idx="465">
                  <c:v>0.54883301123217509</c:v>
                </c:pt>
                <c:pt idx="466">
                  <c:v>0.54776023396151607</c:v>
                </c:pt>
                <c:pt idx="467">
                  <c:v>0.54648306375288225</c:v>
                </c:pt>
                <c:pt idx="468">
                  <c:v>0.54425344719462898</c:v>
                </c:pt>
                <c:pt idx="469">
                  <c:v>0.5435070945417696</c:v>
                </c:pt>
                <c:pt idx="470">
                  <c:v>0.53909761042030169</c:v>
                </c:pt>
                <c:pt idx="471">
                  <c:v>0.5389765440653087</c:v>
                </c:pt>
                <c:pt idx="472">
                  <c:v>0.53882879356746316</c:v>
                </c:pt>
                <c:pt idx="473">
                  <c:v>0.53823182888021948</c:v>
                </c:pt>
                <c:pt idx="474">
                  <c:v>0.53793120114558945</c:v>
                </c:pt>
                <c:pt idx="475">
                  <c:v>0.53763959659748084</c:v>
                </c:pt>
                <c:pt idx="476">
                  <c:v>0.533749792806404</c:v>
                </c:pt>
                <c:pt idx="477">
                  <c:v>0.53300674302113271</c:v>
                </c:pt>
                <c:pt idx="478">
                  <c:v>0.53246104816499673</c:v>
                </c:pt>
                <c:pt idx="479">
                  <c:v>0.53231303498622906</c:v>
                </c:pt>
                <c:pt idx="480">
                  <c:v>0.52857269650796057</c:v>
                </c:pt>
                <c:pt idx="481">
                  <c:v>0.52783134274105359</c:v>
                </c:pt>
                <c:pt idx="482">
                  <c:v>0.52344477995144945</c:v>
                </c:pt>
                <c:pt idx="483">
                  <c:v>0.52270515880890911</c:v>
                </c:pt>
                <c:pt idx="484">
                  <c:v>0.51836559421605921</c:v>
                </c:pt>
                <c:pt idx="485">
                  <c:v>0.51762772176048</c:v>
                </c:pt>
                <c:pt idx="486">
                  <c:v>0.51333466652333115</c:v>
                </c:pt>
                <c:pt idx="487">
                  <c:v>0.51259858970644756</c:v>
                </c:pt>
                <c:pt idx="488">
                  <c:v>0.50974539878723046</c:v>
                </c:pt>
                <c:pt idx="489">
                  <c:v>0.50835153797299615</c:v>
                </c:pt>
                <c:pt idx="490">
                  <c:v>0.50819659955924579</c:v>
                </c:pt>
                <c:pt idx="491">
                  <c:v>0.50741290963231833</c:v>
                </c:pt>
                <c:pt idx="492">
                  <c:v>0.50341576515366093</c:v>
                </c:pt>
                <c:pt idx="493">
                  <c:v>0.49852688227805697</c:v>
                </c:pt>
                <c:pt idx="494">
                  <c:v>0.49840202979545939</c:v>
                </c:pt>
                <c:pt idx="495">
                  <c:v>0.49827195015868608</c:v>
                </c:pt>
                <c:pt idx="496">
                  <c:v>0.49646905551883119</c:v>
                </c:pt>
                <c:pt idx="497">
                  <c:v>0.49368444762506208</c:v>
                </c:pt>
                <c:pt idx="498">
                  <c:v>0.49296472771120758</c:v>
                </c:pt>
                <c:pt idx="499">
                  <c:v>0.49114574495500291</c:v>
                </c:pt>
                <c:pt idx="500">
                  <c:v>0.48964566999376824</c:v>
                </c:pt>
                <c:pt idx="501">
                  <c:v>0.48888801913094754</c:v>
                </c:pt>
                <c:pt idx="502">
                  <c:v>0.48853795765038005</c:v>
                </c:pt>
                <c:pt idx="503">
                  <c:v>0.48817309472317533</c:v>
                </c:pt>
                <c:pt idx="504">
                  <c:v>0.48562267725340424</c:v>
                </c:pt>
                <c:pt idx="505">
                  <c:v>0.48559245658086514</c:v>
                </c:pt>
                <c:pt idx="506">
                  <c:v>0.48413718126062144</c:v>
                </c:pt>
                <c:pt idx="507">
                  <c:v>0.48342703098320239</c:v>
                </c:pt>
                <c:pt idx="508">
                  <c:v>0.47950015654048284</c:v>
                </c:pt>
                <c:pt idx="509">
                  <c:v>0.47872611325201803</c:v>
                </c:pt>
                <c:pt idx="510">
                  <c:v>0.47406989872848126</c:v>
                </c:pt>
                <c:pt idx="511">
                  <c:v>0.47077915501498468</c:v>
                </c:pt>
                <c:pt idx="512">
                  <c:v>0.47062960817842842</c:v>
                </c:pt>
                <c:pt idx="513">
                  <c:v>0.46945797125639954</c:v>
                </c:pt>
                <c:pt idx="514">
                  <c:v>0.46570233052053683</c:v>
                </c:pt>
                <c:pt idx="515">
                  <c:v>0.46559018520670142</c:v>
                </c:pt>
                <c:pt idx="516">
                  <c:v>0.46174065084197863</c:v>
                </c:pt>
                <c:pt idx="517">
                  <c:v>0.46106376578832875</c:v>
                </c:pt>
                <c:pt idx="518">
                  <c:v>0.45939476245302979</c:v>
                </c:pt>
                <c:pt idx="519">
                  <c:v>0.45658035462054664</c:v>
                </c:pt>
                <c:pt idx="520">
                  <c:v>0.45282357865161788</c:v>
                </c:pt>
                <c:pt idx="521">
                  <c:v>0.45213955345509732</c:v>
                </c:pt>
                <c:pt idx="522">
                  <c:v>0.4477409450673655</c:v>
                </c:pt>
                <c:pt idx="523">
                  <c:v>0.44520821385889353</c:v>
                </c:pt>
                <c:pt idx="524">
                  <c:v>0.4433841378472399</c:v>
                </c:pt>
                <c:pt idx="525">
                  <c:v>0.44031577330356758</c:v>
                </c:pt>
                <c:pt idx="526">
                  <c:v>0.43988115587128029</c:v>
                </c:pt>
                <c:pt idx="527">
                  <c:v>0.42442164725654341</c:v>
                </c:pt>
                <c:pt idx="528">
                  <c:v>0.42377057690627978</c:v>
                </c:pt>
                <c:pt idx="529">
                  <c:v>0.42269953216096773</c:v>
                </c:pt>
                <c:pt idx="530">
                  <c:v>0.4176139432857196</c:v>
                </c:pt>
                <c:pt idx="531">
                  <c:v>0.41666588345626332</c:v>
                </c:pt>
                <c:pt idx="532">
                  <c:v>0.41402942201739062</c:v>
                </c:pt>
                <c:pt idx="533">
                  <c:v>0.41354192778194743</c:v>
                </c:pt>
                <c:pt idx="534">
                  <c:v>0.40952564489008658</c:v>
                </c:pt>
                <c:pt idx="535">
                  <c:v>0.40678247153862057</c:v>
                </c:pt>
                <c:pt idx="536">
                  <c:v>0.405547334242568</c:v>
                </c:pt>
                <c:pt idx="537">
                  <c:v>0.40356674724918196</c:v>
                </c:pt>
                <c:pt idx="538">
                  <c:v>0.40297305391294264</c:v>
                </c:pt>
                <c:pt idx="539">
                  <c:v>0.40035057358895443</c:v>
                </c:pt>
                <c:pt idx="540">
                  <c:v>0.39842409007770807</c:v>
                </c:pt>
                <c:pt idx="541">
                  <c:v>0.39819776158967929</c:v>
                </c:pt>
                <c:pt idx="542">
                  <c:v>0.39770375385581502</c:v>
                </c:pt>
                <c:pt idx="543">
                  <c:v>0.39442159882853672</c:v>
                </c:pt>
                <c:pt idx="544">
                  <c:v>0.39383777471383252</c:v>
                </c:pt>
                <c:pt idx="545">
                  <c:v>0.39057503658383258</c:v>
                </c:pt>
                <c:pt idx="546">
                  <c:v>0.39000833594366374</c:v>
                </c:pt>
                <c:pt idx="547">
                  <c:v>0.38844123567350924</c:v>
                </c:pt>
                <c:pt idx="548">
                  <c:v>0.38678202376542187</c:v>
                </c:pt>
                <c:pt idx="549">
                  <c:v>0.38302482108929187</c:v>
                </c:pt>
                <c:pt idx="550">
                  <c:v>0.38298061575373693</c:v>
                </c:pt>
                <c:pt idx="551">
                  <c:v>0.38237399289143709</c:v>
                </c:pt>
                <c:pt idx="552">
                  <c:v>0.38126320186982393</c:v>
                </c:pt>
                <c:pt idx="553">
                  <c:v>0.37916356394246142</c:v>
                </c:pt>
                <c:pt idx="554">
                  <c:v>0.37586754349948176</c:v>
                </c:pt>
                <c:pt idx="555">
                  <c:v>0.3756170739596208</c:v>
                </c:pt>
                <c:pt idx="556">
                  <c:v>0.37539369305805309</c:v>
                </c:pt>
                <c:pt idx="557">
                  <c:v>0.37196586146164123</c:v>
                </c:pt>
                <c:pt idx="558">
                  <c:v>0.37141508977905358</c:v>
                </c:pt>
                <c:pt idx="559">
                  <c:v>0.36834911123747421</c:v>
                </c:pt>
                <c:pt idx="560">
                  <c:v>0.36780244655667471</c:v>
                </c:pt>
                <c:pt idx="561">
                  <c:v>0.3672013486287542</c:v>
                </c:pt>
                <c:pt idx="562">
                  <c:v>0.36578601962130874</c:v>
                </c:pt>
                <c:pt idx="563">
                  <c:v>0.36422391361558093</c:v>
                </c:pt>
                <c:pt idx="564">
                  <c:v>0.3619474138866986</c:v>
                </c:pt>
                <c:pt idx="565">
                  <c:v>0.36142569786285883</c:v>
                </c:pt>
                <c:pt idx="566">
                  <c:v>0.35716826415145597</c:v>
                </c:pt>
                <c:pt idx="567">
                  <c:v>0.35479108691889538</c:v>
                </c:pt>
                <c:pt idx="568">
                  <c:v>0.35456520012655723</c:v>
                </c:pt>
                <c:pt idx="569">
                  <c:v>0.35369051780143118</c:v>
                </c:pt>
                <c:pt idx="570">
                  <c:v>0.35163762792550296</c:v>
                </c:pt>
                <c:pt idx="571">
                  <c:v>0.35078932372741417</c:v>
                </c:pt>
                <c:pt idx="572">
                  <c:v>0.350245626297782</c:v>
                </c:pt>
                <c:pt idx="573">
                  <c:v>0.34737744499319323</c:v>
                </c:pt>
                <c:pt idx="574">
                  <c:v>0.34399773312730014</c:v>
                </c:pt>
                <c:pt idx="575">
                  <c:v>0.34139641414130295</c:v>
                </c:pt>
                <c:pt idx="576">
                  <c:v>0.34108843436381653</c:v>
                </c:pt>
                <c:pt idx="577">
                  <c:v>0.33733398155429772</c:v>
                </c:pt>
                <c:pt idx="578">
                  <c:v>0.33680535978964155</c:v>
                </c:pt>
                <c:pt idx="579">
                  <c:v>0.33404934939146197</c:v>
                </c:pt>
                <c:pt idx="580">
                  <c:v>0.33352551816325321</c:v>
                </c:pt>
                <c:pt idx="581">
                  <c:v>0.3325655199381044</c:v>
                </c:pt>
                <c:pt idx="582">
                  <c:v>0.33256482624750949</c:v>
                </c:pt>
                <c:pt idx="583">
                  <c:v>0.33137965280882997</c:v>
                </c:pt>
                <c:pt idx="584">
                  <c:v>0.33079570388769358</c:v>
                </c:pt>
                <c:pt idx="585">
                  <c:v>0.33027659735383369</c:v>
                </c:pt>
                <c:pt idx="586">
                  <c:v>0.32705828992390323</c:v>
                </c:pt>
                <c:pt idx="587">
                  <c:v>0.3243123234215276</c:v>
                </c:pt>
                <c:pt idx="588">
                  <c:v>0.32387033310648661</c:v>
                </c:pt>
                <c:pt idx="589">
                  <c:v>0.32287950236487845</c:v>
                </c:pt>
                <c:pt idx="590">
                  <c:v>0.32220153793227474</c:v>
                </c:pt>
                <c:pt idx="591">
                  <c:v>0.32146126453889246</c:v>
                </c:pt>
                <c:pt idx="592">
                  <c:v>0.32071244513512959</c:v>
                </c:pt>
                <c:pt idx="593">
                  <c:v>0.31810256739171211</c:v>
                </c:pt>
                <c:pt idx="594">
                  <c:v>0.3175843752359</c:v>
                </c:pt>
                <c:pt idx="595">
                  <c:v>0.31500504672867913</c:v>
                </c:pt>
                <c:pt idx="596">
                  <c:v>0.31448583182520751</c:v>
                </c:pt>
                <c:pt idx="597">
                  <c:v>0.31193668117676537</c:v>
                </c:pt>
                <c:pt idx="598">
                  <c:v>0.31141653772188027</c:v>
                </c:pt>
                <c:pt idx="599">
                  <c:v>0.31117663758901926</c:v>
                </c:pt>
                <c:pt idx="600">
                  <c:v>0.30889718131753335</c:v>
                </c:pt>
                <c:pt idx="601">
                  <c:v>0.30837624394944235</c:v>
                </c:pt>
                <c:pt idx="602">
                  <c:v>0.30747486526526607</c:v>
                </c:pt>
                <c:pt idx="603">
                  <c:v>0.30588630117133703</c:v>
                </c:pt>
                <c:pt idx="604">
                  <c:v>0.30536468877619688</c:v>
                </c:pt>
                <c:pt idx="605">
                  <c:v>0.30290377614395203</c:v>
                </c:pt>
                <c:pt idx="606">
                  <c:v>0.3023815927385094</c:v>
                </c:pt>
                <c:pt idx="607">
                  <c:v>0.30103251258426744</c:v>
                </c:pt>
                <c:pt idx="608">
                  <c:v>0.29994937169889324</c:v>
                </c:pt>
                <c:pt idx="609">
                  <c:v>0.29942669993084242</c:v>
                </c:pt>
                <c:pt idx="610">
                  <c:v>0.29702281349944143</c:v>
                </c:pt>
                <c:pt idx="611">
                  <c:v>0.29649974594835937</c:v>
                </c:pt>
                <c:pt idx="612">
                  <c:v>0.29412384114188889</c:v>
                </c:pt>
                <c:pt idx="613">
                  <c:v>0.29360047865822325</c:v>
                </c:pt>
                <c:pt idx="614">
                  <c:v>0.29328260251051635</c:v>
                </c:pt>
                <c:pt idx="615">
                  <c:v>0.29125222152688846</c:v>
                </c:pt>
                <c:pt idx="616">
                  <c:v>0.29072864462928849</c:v>
                </c:pt>
                <c:pt idx="617">
                  <c:v>0.28840770906485969</c:v>
                </c:pt>
                <c:pt idx="618">
                  <c:v>0.28788400484394677</c:v>
                </c:pt>
                <c:pt idx="619">
                  <c:v>0.28744749691859511</c:v>
                </c:pt>
                <c:pt idx="620">
                  <c:v>0.28559004089321904</c:v>
                </c:pt>
                <c:pt idx="621">
                  <c:v>0.28506630592454252</c:v>
                </c:pt>
                <c:pt idx="622">
                  <c:v>0.28279897691771633</c:v>
                </c:pt>
                <c:pt idx="623">
                  <c:v>0.28227531431345088</c:v>
                </c:pt>
                <c:pt idx="624">
                  <c:v>0.28003426873726373</c:v>
                </c:pt>
                <c:pt idx="625">
                  <c:v>0.27951076689065141</c:v>
                </c:pt>
                <c:pt idx="626">
                  <c:v>0.27729567975480229</c:v>
                </c:pt>
                <c:pt idx="627">
                  <c:v>0.2767724236921863</c:v>
                </c:pt>
                <c:pt idx="628">
                  <c:v>0.27620544381651213</c:v>
                </c:pt>
                <c:pt idx="629">
                  <c:v>0.27458297204266019</c:v>
                </c:pt>
                <c:pt idx="630">
                  <c:v>0.27406004626395941</c:v>
                </c:pt>
                <c:pt idx="631">
                  <c:v>0.27189592150743186</c:v>
                </c:pt>
                <c:pt idx="632">
                  <c:v>0.27137340215701822</c:v>
                </c:pt>
                <c:pt idx="633">
                  <c:v>0.27042782265805965</c:v>
                </c:pt>
                <c:pt idx="634">
                  <c:v>0.26979238579134163</c:v>
                </c:pt>
                <c:pt idx="635">
                  <c:v>0.26923429012702049</c:v>
                </c:pt>
                <c:pt idx="636">
                  <c:v>0.26871226293196943</c:v>
                </c:pt>
                <c:pt idx="637">
                  <c:v>0.26659785889665683</c:v>
                </c:pt>
                <c:pt idx="638">
                  <c:v>0.26607639405466965</c:v>
                </c:pt>
                <c:pt idx="639">
                  <c:v>0.26398638031401023</c:v>
                </c:pt>
                <c:pt idx="640">
                  <c:v>0.26346557345366284</c:v>
                </c:pt>
                <c:pt idx="641">
                  <c:v>0.26332120284918753</c:v>
                </c:pt>
                <c:pt idx="642">
                  <c:v>0.26139962909228293</c:v>
                </c:pt>
                <c:pt idx="643">
                  <c:v>0.26137596200970631</c:v>
                </c:pt>
                <c:pt idx="644">
                  <c:v>0.26136131445280719</c:v>
                </c:pt>
                <c:pt idx="645">
                  <c:v>0.2588373813270991</c:v>
                </c:pt>
                <c:pt idx="646">
                  <c:v>0.25831993458232194</c:v>
                </c:pt>
                <c:pt idx="647">
                  <c:v>0.25629941879132417</c:v>
                </c:pt>
                <c:pt idx="648">
                  <c:v>0.25578459975379586</c:v>
                </c:pt>
                <c:pt idx="649">
                  <c:v>0.25378552699997275</c:v>
                </c:pt>
                <c:pt idx="650">
                  <c:v>0.25327335517268129</c:v>
                </c:pt>
                <c:pt idx="651">
                  <c:v>0.25129548557077735</c:v>
                </c:pt>
                <c:pt idx="652">
                  <c:v>0.25078598842473188</c:v>
                </c:pt>
                <c:pt idx="653">
                  <c:v>0.25010502440791482</c:v>
                </c:pt>
                <c:pt idx="654">
                  <c:v>0.24882908587976599</c:v>
                </c:pt>
                <c:pt idx="655">
                  <c:v>0.24882774302840918</c:v>
                </c:pt>
                <c:pt idx="656">
                  <c:v>0.24835476615575364</c:v>
                </c:pt>
                <c:pt idx="657">
                  <c:v>0.24832227923647138</c:v>
                </c:pt>
                <c:pt idx="658">
                  <c:v>0.24588201078243038</c:v>
                </c:pt>
                <c:pt idx="659">
                  <c:v>0.24396822865036646</c:v>
                </c:pt>
                <c:pt idx="660">
                  <c:v>0.24346497725664024</c:v>
                </c:pt>
                <c:pt idx="661">
                  <c:v>0.24157327737503295</c:v>
                </c:pt>
                <c:pt idx="662">
                  <c:v>0.24107097223719426</c:v>
                </c:pt>
                <c:pt idx="663">
                  <c:v>0.23920105910081599</c:v>
                </c:pt>
                <c:pt idx="664">
                  <c:v>0.23856265810751526</c:v>
                </c:pt>
                <c:pt idx="665">
                  <c:v>0.23685137402997103</c:v>
                </c:pt>
                <c:pt idx="666">
                  <c:v>0.23683906709564279</c:v>
                </c:pt>
                <c:pt idx="667">
                  <c:v>0.23583805040466738</c:v>
                </c:pt>
                <c:pt idx="668">
                  <c:v>0.23452401466593445</c:v>
                </c:pt>
                <c:pt idx="669">
                  <c:v>0.23297049447664522</c:v>
                </c:pt>
                <c:pt idx="670">
                  <c:v>0.23221877642899602</c:v>
                </c:pt>
                <c:pt idx="671">
                  <c:v>0.23218377072278909</c:v>
                </c:pt>
                <c:pt idx="672">
                  <c:v>0.22993546449873245</c:v>
                </c:pt>
                <c:pt idx="673">
                  <c:v>0.2297086371913015</c:v>
                </c:pt>
                <c:pt idx="674">
                  <c:v>0.22767388245495471</c:v>
                </c:pt>
                <c:pt idx="675">
                  <c:v>0.22726380345985725</c:v>
                </c:pt>
                <c:pt idx="676">
                  <c:v>0.22504280080640532</c:v>
                </c:pt>
                <c:pt idx="677">
                  <c:v>0.22418292229418088</c:v>
                </c:pt>
                <c:pt idx="678">
                  <c:v>0.22295937316006181</c:v>
                </c:pt>
                <c:pt idx="679">
                  <c:v>0.2228425737114316</c:v>
                </c:pt>
                <c:pt idx="680">
                  <c:v>0.22164440319697856</c:v>
                </c:pt>
                <c:pt idx="681">
                  <c:v>0.22066295040096603</c:v>
                </c:pt>
                <c:pt idx="682">
                  <c:v>0.21850374353834603</c:v>
                </c:pt>
                <c:pt idx="683">
                  <c:v>0.21846221939994065</c:v>
                </c:pt>
                <c:pt idx="684">
                  <c:v>0.21695657695785567</c:v>
                </c:pt>
                <c:pt idx="685">
                  <c:v>0.21636477927048367</c:v>
                </c:pt>
                <c:pt idx="686">
                  <c:v>0.21463711859369858</c:v>
                </c:pt>
                <c:pt idx="687">
                  <c:v>0.21424591490841421</c:v>
                </c:pt>
                <c:pt idx="688">
                  <c:v>0.21254026194508968</c:v>
                </c:pt>
                <c:pt idx="689">
                  <c:v>0.21214693997762415</c:v>
                </c:pt>
                <c:pt idx="690">
                  <c:v>0.21046296366140882</c:v>
                </c:pt>
                <c:pt idx="691">
                  <c:v>0.21006768879692594</c:v>
                </c:pt>
                <c:pt idx="692">
                  <c:v>0.20840506388768057</c:v>
                </c:pt>
                <c:pt idx="693">
                  <c:v>0.20806903588241282</c:v>
                </c:pt>
                <c:pt idx="694">
                  <c:v>0.20800799538320761</c:v>
                </c:pt>
                <c:pt idx="695">
                  <c:v>0.20636638721027278</c:v>
                </c:pt>
                <c:pt idx="696">
                  <c:v>0.20596770630977262</c:v>
                </c:pt>
                <c:pt idx="697">
                  <c:v>0.20434677149057079</c:v>
                </c:pt>
                <c:pt idx="698">
                  <c:v>0.20234608538530668</c:v>
                </c:pt>
                <c:pt idx="699">
                  <c:v>0.20036413021699614</c:v>
                </c:pt>
                <c:pt idx="700">
                  <c:v>0.19917537097558591</c:v>
                </c:pt>
                <c:pt idx="701">
                  <c:v>0.19840075161854684</c:v>
                </c:pt>
                <c:pt idx="702">
                  <c:v>0.19685440848800534</c:v>
                </c:pt>
                <c:pt idx="703">
                  <c:v>0.19645579480587422</c:v>
                </c:pt>
                <c:pt idx="704">
                  <c:v>0.19452911730325423</c:v>
                </c:pt>
                <c:pt idx="705">
                  <c:v>0.19084184930817025</c:v>
                </c:pt>
                <c:pt idx="706">
                  <c:v>0.18158785802486316</c:v>
                </c:pt>
                <c:pt idx="707">
                  <c:v>0.17557684688926747</c:v>
                </c:pt>
                <c:pt idx="708">
                  <c:v>0.17001539172673982</c:v>
                </c:pt>
                <c:pt idx="709">
                  <c:v>0.16903627893158174</c:v>
                </c:pt>
                <c:pt idx="710">
                  <c:v>0.16496232379686462</c:v>
                </c:pt>
                <c:pt idx="711">
                  <c:v>0.16272023165717134</c:v>
                </c:pt>
                <c:pt idx="712">
                  <c:v>0.16192570940849815</c:v>
                </c:pt>
                <c:pt idx="713">
                  <c:v>0.15999538630113247</c:v>
                </c:pt>
                <c:pt idx="714">
                  <c:v>0.15802672031907647</c:v>
                </c:pt>
                <c:pt idx="715">
                  <c:v>0.15671088772919009</c:v>
                </c:pt>
                <c:pt idx="716">
                  <c:v>0.15198538855097204</c:v>
                </c:pt>
                <c:pt idx="717">
                  <c:v>0.14985656137784345</c:v>
                </c:pt>
                <c:pt idx="718">
                  <c:v>0.13255627270730322</c:v>
                </c:pt>
                <c:pt idx="719">
                  <c:v>0.13231210232916818</c:v>
                </c:pt>
                <c:pt idx="720">
                  <c:v>0.12636030774394585</c:v>
                </c:pt>
                <c:pt idx="721">
                  <c:v>0.12630244650949868</c:v>
                </c:pt>
                <c:pt idx="722">
                  <c:v>0.12557861979083834</c:v>
                </c:pt>
                <c:pt idx="723">
                  <c:v>0.12387843960588392</c:v>
                </c:pt>
                <c:pt idx="724">
                  <c:v>0.12274287794657665</c:v>
                </c:pt>
                <c:pt idx="725">
                  <c:v>0.12082950374892557</c:v>
                </c:pt>
                <c:pt idx="726">
                  <c:v>0.1193864017370575</c:v>
                </c:pt>
                <c:pt idx="727">
                  <c:v>0.11774722279901551</c:v>
                </c:pt>
                <c:pt idx="728">
                  <c:v>0.11667206147246603</c:v>
                </c:pt>
                <c:pt idx="729">
                  <c:v>0.11493634241020588</c:v>
                </c:pt>
              </c:numCache>
            </c:numRef>
          </c:yVal>
          <c:smooth val="1"/>
          <c:extLst>
            <c:ext xmlns:c16="http://schemas.microsoft.com/office/drawing/2014/chart" uri="{C3380CC4-5D6E-409C-BE32-E72D297353CC}">
              <c16:uniqueId val="{00000001-82E2-F949-A62F-0E3FB63C19FC}"/>
            </c:ext>
          </c:extLst>
        </c:ser>
        <c:ser>
          <c:idx val="2"/>
          <c:order val="2"/>
          <c:tx>
            <c:strRef>
              <c:f>Escenarios!$F$28</c:f>
              <c:strCache>
                <c:ptCount val="1"/>
                <c:pt idx="0">
                  <c:v>Escenario 2</c:v>
                </c:pt>
              </c:strCache>
            </c:strRef>
          </c:tx>
          <c:spPr>
            <a:ln w="12700">
              <a:solidFill>
                <a:schemeClr val="accent6"/>
              </a:solidFill>
            </a:ln>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Gráficos!$AF$6:$AF$735</c:f>
              <c:numCache>
                <c:formatCode>0.0000</c:formatCode>
                <c:ptCount val="730"/>
                <c:pt idx="0">
                  <c:v>1.253255608579374</c:v>
                </c:pt>
                <c:pt idx="1">
                  <c:v>1.2525344644123599</c:v>
                </c:pt>
                <c:pt idx="2">
                  <c:v>1.2524568445782771</c:v>
                </c:pt>
                <c:pt idx="3">
                  <c:v>1.2512500170329599</c:v>
                </c:pt>
                <c:pt idx="4">
                  <c:v>1.2503064168950828</c:v>
                </c:pt>
                <c:pt idx="5">
                  <c:v>1.2496965416305281</c:v>
                </c:pt>
                <c:pt idx="6">
                  <c:v>1.2495563954485758</c:v>
                </c:pt>
                <c:pt idx="7">
                  <c:v>1.2484001133011404</c:v>
                </c:pt>
                <c:pt idx="8">
                  <c:v>1.2480295500587442</c:v>
                </c:pt>
                <c:pt idx="9">
                  <c:v>1.2470429185627572</c:v>
                </c:pt>
                <c:pt idx="10">
                  <c:v>1.2448181527554585</c:v>
                </c:pt>
                <c:pt idx="11">
                  <c:v>1.2438293036087391</c:v>
                </c:pt>
                <c:pt idx="12">
                  <c:v>1.2406648095532669</c:v>
                </c:pt>
                <c:pt idx="13">
                  <c:v>1.2399343631657387</c:v>
                </c:pt>
                <c:pt idx="14">
                  <c:v>1.2375486855712701</c:v>
                </c:pt>
                <c:pt idx="15">
                  <c:v>1.2346227665422591</c:v>
                </c:pt>
                <c:pt idx="16">
                  <c:v>1.234480192314225</c:v>
                </c:pt>
                <c:pt idx="17">
                  <c:v>1.2314586017347331</c:v>
                </c:pt>
                <c:pt idx="18">
                  <c:v>1.2284831969137795</c:v>
                </c:pt>
                <c:pt idx="19">
                  <c:v>1.2284237193638634</c:v>
                </c:pt>
                <c:pt idx="20">
                  <c:v>1.2268416801449535</c:v>
                </c:pt>
                <c:pt idx="21">
                  <c:v>1.2263680753637665</c:v>
                </c:pt>
                <c:pt idx="22">
                  <c:v>1.2258054004506345</c:v>
                </c:pt>
                <c:pt idx="23">
                  <c:v>1.2255532718906343</c:v>
                </c:pt>
                <c:pt idx="24">
                  <c:v>1.2253414293801312</c:v>
                </c:pt>
                <c:pt idx="25">
                  <c:v>1.2244851310221627</c:v>
                </c:pt>
                <c:pt idx="26">
                  <c:v>1.2243352892403798</c:v>
                </c:pt>
                <c:pt idx="27">
                  <c:v>1.2234272429824757</c:v>
                </c:pt>
                <c:pt idx="28">
                  <c:v>1.2232594762841917</c:v>
                </c:pt>
                <c:pt idx="29">
                  <c:v>1.2227598236426043</c:v>
                </c:pt>
                <c:pt idx="30">
                  <c:v>1.2226681314953516</c:v>
                </c:pt>
                <c:pt idx="31">
                  <c:v>1.2205970552739618</c:v>
                </c:pt>
                <c:pt idx="32">
                  <c:v>1.2205745994643227</c:v>
                </c:pt>
                <c:pt idx="33">
                  <c:v>1.2203607267451331</c:v>
                </c:pt>
                <c:pt idx="34">
                  <c:v>1.2198270911838294</c:v>
                </c:pt>
                <c:pt idx="35">
                  <c:v>1.2177655593071346</c:v>
                </c:pt>
                <c:pt idx="36">
                  <c:v>1.2170294768753922</c:v>
                </c:pt>
                <c:pt idx="37">
                  <c:v>1.2158012987279199</c:v>
                </c:pt>
                <c:pt idx="38">
                  <c:v>1.2149994560227662</c:v>
                </c:pt>
                <c:pt idx="39">
                  <c:v>1.2142746247928535</c:v>
                </c:pt>
                <c:pt idx="40">
                  <c:v>1.2127086957806887</c:v>
                </c:pt>
                <c:pt idx="41">
                  <c:v>1.2122756333105082</c:v>
                </c:pt>
                <c:pt idx="42">
                  <c:v>1.2108260370720367</c:v>
                </c:pt>
                <c:pt idx="43">
                  <c:v>1.2095934449013699</c:v>
                </c:pt>
                <c:pt idx="44">
                  <c:v>1.2069522544047417</c:v>
                </c:pt>
                <c:pt idx="45">
                  <c:v>1.2049755581587316</c:v>
                </c:pt>
                <c:pt idx="46">
                  <c:v>1.2043514351574018</c:v>
                </c:pt>
                <c:pt idx="47">
                  <c:v>1.2030058804252859</c:v>
                </c:pt>
                <c:pt idx="48">
                  <c:v>1.1975099606676571</c:v>
                </c:pt>
                <c:pt idx="49">
                  <c:v>1.1965797480716795</c:v>
                </c:pt>
                <c:pt idx="50">
                  <c:v>1.1943396695920241</c:v>
                </c:pt>
                <c:pt idx="51">
                  <c:v>1.194274411527884</c:v>
                </c:pt>
                <c:pt idx="52">
                  <c:v>1.1923215183924822</c:v>
                </c:pt>
                <c:pt idx="53">
                  <c:v>1.1899954375225754</c:v>
                </c:pt>
                <c:pt idx="54">
                  <c:v>1.1820686985419453</c:v>
                </c:pt>
                <c:pt idx="55">
                  <c:v>1.1815766654259277</c:v>
                </c:pt>
                <c:pt idx="56">
                  <c:v>1.1806795002449111</c:v>
                </c:pt>
                <c:pt idx="57">
                  <c:v>1.1798482305938378</c:v>
                </c:pt>
                <c:pt idx="58">
                  <c:v>1.1797742957258439</c:v>
                </c:pt>
                <c:pt idx="59">
                  <c:v>1.1791723999406842</c:v>
                </c:pt>
                <c:pt idx="60">
                  <c:v>1.1785346133275452</c:v>
                </c:pt>
                <c:pt idx="61">
                  <c:v>1.1776617030469185</c:v>
                </c:pt>
                <c:pt idx="62">
                  <c:v>1.1703953378673464</c:v>
                </c:pt>
                <c:pt idx="63">
                  <c:v>1.1690461294529664</c:v>
                </c:pt>
                <c:pt idx="64">
                  <c:v>1.1688170594972416</c:v>
                </c:pt>
                <c:pt idx="65">
                  <c:v>1.1658443690580893</c:v>
                </c:pt>
                <c:pt idx="66">
                  <c:v>1.1637802430053334</c:v>
                </c:pt>
                <c:pt idx="67">
                  <c:v>1.1618393186185509</c:v>
                </c:pt>
                <c:pt idx="68">
                  <c:v>1.1582619190552146</c:v>
                </c:pt>
                <c:pt idx="69">
                  <c:v>1.1578775232947667</c:v>
                </c:pt>
                <c:pt idx="70">
                  <c:v>1.1572739048141847</c:v>
                </c:pt>
                <c:pt idx="71">
                  <c:v>1.1533079889853184</c:v>
                </c:pt>
                <c:pt idx="72">
                  <c:v>1.1477323797555929</c:v>
                </c:pt>
                <c:pt idx="73">
                  <c:v>1.1467185465892515</c:v>
                </c:pt>
                <c:pt idx="74">
                  <c:v>1.1452130484993832</c:v>
                </c:pt>
                <c:pt idx="75">
                  <c:v>1.1379491578352405</c:v>
                </c:pt>
                <c:pt idx="76">
                  <c:v>1.1372347121441</c:v>
                </c:pt>
                <c:pt idx="77">
                  <c:v>1.1359268857976021</c:v>
                </c:pt>
                <c:pt idx="78">
                  <c:v>1.1325715538818648</c:v>
                </c:pt>
                <c:pt idx="79">
                  <c:v>1.1311615645946378</c:v>
                </c:pt>
                <c:pt idx="80">
                  <c:v>1.1270019104631375</c:v>
                </c:pt>
                <c:pt idx="81">
                  <c:v>1.1265320708263886</c:v>
                </c:pt>
                <c:pt idx="82">
                  <c:v>1.1212390230544249</c:v>
                </c:pt>
                <c:pt idx="83">
                  <c:v>1.1181754418157284</c:v>
                </c:pt>
                <c:pt idx="84">
                  <c:v>1.1174879131296604</c:v>
                </c:pt>
                <c:pt idx="85">
                  <c:v>1.1162115148715193</c:v>
                </c:pt>
                <c:pt idx="86">
                  <c:v>1.11057747562749</c:v>
                </c:pt>
                <c:pt idx="87">
                  <c:v>1.1085995089396108</c:v>
                </c:pt>
                <c:pt idx="88">
                  <c:v>1.1077727172372669</c:v>
                </c:pt>
                <c:pt idx="89">
                  <c:v>1.1068364401231865</c:v>
                </c:pt>
                <c:pt idx="90">
                  <c:v>1.1061958609874596</c:v>
                </c:pt>
                <c:pt idx="91">
                  <c:v>1.1059322484329177</c:v>
                </c:pt>
                <c:pt idx="92">
                  <c:v>1.1052050916389324</c:v>
                </c:pt>
                <c:pt idx="93">
                  <c:v>1.105106223194587</c:v>
                </c:pt>
                <c:pt idx="94">
                  <c:v>1.1050712662016298</c:v>
                </c:pt>
                <c:pt idx="95">
                  <c:v>1.1041595029126885</c:v>
                </c:pt>
                <c:pt idx="96">
                  <c:v>1.1031298962684541</c:v>
                </c:pt>
                <c:pt idx="97">
                  <c:v>1.1025780699199572</c:v>
                </c:pt>
                <c:pt idx="98">
                  <c:v>1.1021160274161572</c:v>
                </c:pt>
                <c:pt idx="99">
                  <c:v>1.0994477894655794</c:v>
                </c:pt>
                <c:pt idx="100">
                  <c:v>1.0984649283239207</c:v>
                </c:pt>
                <c:pt idx="101">
                  <c:v>1.0968783466996992</c:v>
                </c:pt>
                <c:pt idx="102">
                  <c:v>1.096743062664399</c:v>
                </c:pt>
                <c:pt idx="103">
                  <c:v>1.0933015371378294</c:v>
                </c:pt>
                <c:pt idx="104">
                  <c:v>1.0923670442608524</c:v>
                </c:pt>
                <c:pt idx="105">
                  <c:v>1.0893195850717261</c:v>
                </c:pt>
                <c:pt idx="106">
                  <c:v>1.0882527562046611</c:v>
                </c:pt>
                <c:pt idx="107">
                  <c:v>1.0879246641660949</c:v>
                </c:pt>
                <c:pt idx="108">
                  <c:v>1.0876571633334298</c:v>
                </c:pt>
                <c:pt idx="109">
                  <c:v>1.0874662881138684</c:v>
                </c:pt>
                <c:pt idx="110">
                  <c:v>1.0866918413821527</c:v>
                </c:pt>
                <c:pt idx="111">
                  <c:v>1.0861951685028539</c:v>
                </c:pt>
                <c:pt idx="112">
                  <c:v>1.0859292322600702</c:v>
                </c:pt>
                <c:pt idx="113">
                  <c:v>1.0857751930603377</c:v>
                </c:pt>
                <c:pt idx="114">
                  <c:v>1.0851782798068332</c:v>
                </c:pt>
                <c:pt idx="115">
                  <c:v>1.0844388058473786</c:v>
                </c:pt>
                <c:pt idx="116">
                  <c:v>1.0822914045896848</c:v>
                </c:pt>
                <c:pt idx="117">
                  <c:v>1.0822525937824135</c:v>
                </c:pt>
                <c:pt idx="118">
                  <c:v>1.0821256801651473</c:v>
                </c:pt>
                <c:pt idx="119">
                  <c:v>1.0777758778939244</c:v>
                </c:pt>
                <c:pt idx="120">
                  <c:v>1.0774296437758295</c:v>
                </c:pt>
                <c:pt idx="121">
                  <c:v>1.0773411929846035</c:v>
                </c:pt>
                <c:pt idx="122">
                  <c:v>1.0713362725718469</c:v>
                </c:pt>
                <c:pt idx="123">
                  <c:v>1.0702682058847544</c:v>
                </c:pt>
                <c:pt idx="124">
                  <c:v>1.0691325728682337</c:v>
                </c:pt>
                <c:pt idx="125">
                  <c:v>1.0634146188590123</c:v>
                </c:pt>
                <c:pt idx="126">
                  <c:v>1.0632568049007305</c:v>
                </c:pt>
                <c:pt idx="127">
                  <c:v>1.0629124034383113</c:v>
                </c:pt>
                <c:pt idx="128">
                  <c:v>1.0596408928304655</c:v>
                </c:pt>
                <c:pt idx="129">
                  <c:v>1.058826791567854</c:v>
                </c:pt>
                <c:pt idx="130">
                  <c:v>1.0580280261663702</c:v>
                </c:pt>
                <c:pt idx="131">
                  <c:v>1.0556654838776429</c:v>
                </c:pt>
                <c:pt idx="132">
                  <c:v>1.0537629587625255</c:v>
                </c:pt>
                <c:pt idx="133">
                  <c:v>1.0534616921213786</c:v>
                </c:pt>
                <c:pt idx="134">
                  <c:v>1.0514589263309784</c:v>
                </c:pt>
                <c:pt idx="135">
                  <c:v>1.051442026741809</c:v>
                </c:pt>
                <c:pt idx="136">
                  <c:v>1.0512182197455198</c:v>
                </c:pt>
                <c:pt idx="137">
                  <c:v>1.0511774209411366</c:v>
                </c:pt>
                <c:pt idx="138">
                  <c:v>1.0511350592045854</c:v>
                </c:pt>
                <c:pt idx="139">
                  <c:v>1.0509978336944639</c:v>
                </c:pt>
                <c:pt idx="140">
                  <c:v>1.0508203461267067</c:v>
                </c:pt>
                <c:pt idx="141">
                  <c:v>1.0507808162986481</c:v>
                </c:pt>
                <c:pt idx="142">
                  <c:v>1.0506733626046061</c:v>
                </c:pt>
                <c:pt idx="143">
                  <c:v>1.0505671160673449</c:v>
                </c:pt>
                <c:pt idx="144">
                  <c:v>1.0504719101075506</c:v>
                </c:pt>
                <c:pt idx="145">
                  <c:v>1.0503639005474368</c:v>
                </c:pt>
                <c:pt idx="146">
                  <c:v>1.0503566822968753</c:v>
                </c:pt>
                <c:pt idx="147">
                  <c:v>1.0503415633926061</c:v>
                </c:pt>
                <c:pt idx="148">
                  <c:v>1.0502629315836984</c:v>
                </c:pt>
                <c:pt idx="149">
                  <c:v>1.0501494650585781</c:v>
                </c:pt>
                <c:pt idx="150">
                  <c:v>1.0500571473482148</c:v>
                </c:pt>
                <c:pt idx="151">
                  <c:v>1.0499454151869645</c:v>
                </c:pt>
                <c:pt idx="152">
                  <c:v>1.0498545085756128</c:v>
                </c:pt>
                <c:pt idx="153">
                  <c:v>1.0496549671867148</c:v>
                </c:pt>
                <c:pt idx="154">
                  <c:v>1.0489710075041279</c:v>
                </c:pt>
                <c:pt idx="155">
                  <c:v>1.0479545556226875</c:v>
                </c:pt>
                <c:pt idx="156">
                  <c:v>1.0469129754107549</c:v>
                </c:pt>
                <c:pt idx="157">
                  <c:v>1.0464562896615117</c:v>
                </c:pt>
                <c:pt idx="158">
                  <c:v>1.0463086908882988</c:v>
                </c:pt>
                <c:pt idx="159">
                  <c:v>1.0460329805986797</c:v>
                </c:pt>
                <c:pt idx="160">
                  <c:v>1.0456398126234592</c:v>
                </c:pt>
                <c:pt idx="161">
                  <c:v>1.0452406208636513</c:v>
                </c:pt>
                <c:pt idx="162">
                  <c:v>1.045121560680595</c:v>
                </c:pt>
                <c:pt idx="163">
                  <c:v>1.0451116038883637</c:v>
                </c:pt>
                <c:pt idx="164">
                  <c:v>1.0449943635696211</c:v>
                </c:pt>
                <c:pt idx="165">
                  <c:v>1.0439681683560886</c:v>
                </c:pt>
                <c:pt idx="166">
                  <c:v>1.0438614057816804</c:v>
                </c:pt>
                <c:pt idx="167">
                  <c:v>1.0438586011317583</c:v>
                </c:pt>
                <c:pt idx="168">
                  <c:v>1.0437507086695221</c:v>
                </c:pt>
                <c:pt idx="169">
                  <c:v>1.0436815271987745</c:v>
                </c:pt>
                <c:pt idx="170">
                  <c:v>1.0436444653702277</c:v>
                </c:pt>
                <c:pt idx="171">
                  <c:v>1.0435882142115243</c:v>
                </c:pt>
                <c:pt idx="172">
                  <c:v>1.0435398460260119</c:v>
                </c:pt>
                <c:pt idx="173">
                  <c:v>1.0434368258143205</c:v>
                </c:pt>
                <c:pt idx="174">
                  <c:v>1.0433353802920173</c:v>
                </c:pt>
                <c:pt idx="175">
                  <c:v>1.0426239179328756</c:v>
                </c:pt>
                <c:pt idx="176">
                  <c:v>1.0425348979083822</c:v>
                </c:pt>
                <c:pt idx="177">
                  <c:v>1.0420027327948738</c:v>
                </c:pt>
                <c:pt idx="178">
                  <c:v>1.041923207738688</c:v>
                </c:pt>
                <c:pt idx="179">
                  <c:v>1.0418448982426338</c:v>
                </c:pt>
                <c:pt idx="180">
                  <c:v>1.0417677857265746</c:v>
                </c:pt>
                <c:pt idx="181">
                  <c:v>1.041691851894375</c:v>
                </c:pt>
                <c:pt idx="182">
                  <c:v>1.0415302175618193</c:v>
                </c:pt>
                <c:pt idx="183">
                  <c:v>1.0414960048791162</c:v>
                </c:pt>
                <c:pt idx="184">
                  <c:v>1.0414242252843178</c:v>
                </c:pt>
                <c:pt idx="185">
                  <c:v>1.0413047771606279</c:v>
                </c:pt>
                <c:pt idx="186">
                  <c:v>1.0412359205287522</c:v>
                </c:pt>
                <c:pt idx="187">
                  <c:v>1.0411802479109447</c:v>
                </c:pt>
                <c:pt idx="188">
                  <c:v>1.0411681163875071</c:v>
                </c:pt>
                <c:pt idx="189">
                  <c:v>1.0411132947394175</c:v>
                </c:pt>
                <c:pt idx="190">
                  <c:v>1.0411013486493128</c:v>
                </c:pt>
                <c:pt idx="191">
                  <c:v>1.0410473649636589</c:v>
                </c:pt>
                <c:pt idx="192">
                  <c:v>1.0410356014724931</c:v>
                </c:pt>
                <c:pt idx="193">
                  <c:v>1.0409824429408117</c:v>
                </c:pt>
                <c:pt idx="194">
                  <c:v>1.0409708592575146</c:v>
                </c:pt>
                <c:pt idx="195">
                  <c:v>1.0409185132671237</c:v>
                </c:pt>
                <c:pt idx="196">
                  <c:v>1.0409071066432878</c:v>
                </c:pt>
                <c:pt idx="197">
                  <c:v>1.0408443285035205</c:v>
                </c:pt>
                <c:pt idx="198">
                  <c:v>1.0407825099431298</c:v>
                </c:pt>
                <c:pt idx="199">
                  <c:v>1.0402404089527408</c:v>
                </c:pt>
                <c:pt idx="200">
                  <c:v>1.0401878214518916</c:v>
                </c:pt>
                <c:pt idx="201">
                  <c:v>1.0401360377639854</c:v>
                </c:pt>
                <c:pt idx="202">
                  <c:v>1.0400850456025428</c:v>
                </c:pt>
                <c:pt idx="203">
                  <c:v>1.0400348328688862</c:v>
                </c:pt>
                <c:pt idx="204">
                  <c:v>1.0399853876492695</c:v>
                </c:pt>
                <c:pt idx="205">
                  <c:v>1.0399830758215658</c:v>
                </c:pt>
                <c:pt idx="206">
                  <c:v>1.0399366982120508</c:v>
                </c:pt>
                <c:pt idx="207">
                  <c:v>1.0398072821553548</c:v>
                </c:pt>
                <c:pt idx="208">
                  <c:v>1.0397613151046143</c:v>
                </c:pt>
                <c:pt idx="209">
                  <c:v>1.0397160506716014</c:v>
                </c:pt>
                <c:pt idx="210">
                  <c:v>1.0396714781166303</c:v>
                </c:pt>
                <c:pt idx="211">
                  <c:v>1.0396275868641742</c:v>
                </c:pt>
                <c:pt idx="212">
                  <c:v>1.0395843665003559</c:v>
                </c:pt>
                <c:pt idx="213">
                  <c:v>1.0395830815184743</c:v>
                </c:pt>
                <c:pt idx="214">
                  <c:v>1.0395418067704769</c:v>
                </c:pt>
                <c:pt idx="215">
                  <c:v>1.0394998975765841</c:v>
                </c:pt>
                <c:pt idx="216">
                  <c:v>1.0394586289750742</c:v>
                </c:pt>
                <c:pt idx="217">
                  <c:v>1.0394179911743344</c:v>
                </c:pt>
                <c:pt idx="218">
                  <c:v>1.0393779745324194</c:v>
                </c:pt>
                <c:pt idx="219">
                  <c:v>1.0381578018745465</c:v>
                </c:pt>
                <c:pt idx="220">
                  <c:v>1.0381370475374279</c:v>
                </c:pt>
                <c:pt idx="221">
                  <c:v>1.0381350360045973</c:v>
                </c:pt>
                <c:pt idx="222">
                  <c:v>1.03811661043548</c:v>
                </c:pt>
                <c:pt idx="223">
                  <c:v>1.0381163941196383</c:v>
                </c:pt>
                <c:pt idx="224">
                  <c:v>1.0381146296494255</c:v>
                </c:pt>
                <c:pt idx="225">
                  <c:v>1.0380964857196846</c:v>
                </c:pt>
                <c:pt idx="226">
                  <c:v>1.0380571544199388</c:v>
                </c:pt>
                <c:pt idx="227">
                  <c:v>1.0380379385040306</c:v>
                </c:pt>
                <c:pt idx="228">
                  <c:v>1.0380190163081444</c:v>
                </c:pt>
                <c:pt idx="229">
                  <c:v>1.0380003833426974</c:v>
                </c:pt>
                <c:pt idx="230">
                  <c:v>1.0374413142603918</c:v>
                </c:pt>
                <c:pt idx="231">
                  <c:v>1.0374315116134751</c:v>
                </c:pt>
                <c:pt idx="232">
                  <c:v>1.0374218588024382</c:v>
                </c:pt>
                <c:pt idx="233">
                  <c:v>1.037412353537003</c:v>
                </c:pt>
                <c:pt idx="234">
                  <c:v>1.0367999999999999</c:v>
                </c:pt>
                <c:pt idx="235">
                  <c:v>1.0367999999999999</c:v>
                </c:pt>
                <c:pt idx="236">
                  <c:v>1.0367999999999999</c:v>
                </c:pt>
                <c:pt idx="237">
                  <c:v>1.0367999999999999</c:v>
                </c:pt>
                <c:pt idx="238">
                  <c:v>1.0367999999999999</c:v>
                </c:pt>
                <c:pt idx="239">
                  <c:v>1.0330112316934525</c:v>
                </c:pt>
                <c:pt idx="240">
                  <c:v>1.0298396602150786</c:v>
                </c:pt>
                <c:pt idx="241">
                  <c:v>1.0295931980417272</c:v>
                </c:pt>
                <c:pt idx="242">
                  <c:v>1.0270978269216466</c:v>
                </c:pt>
                <c:pt idx="243">
                  <c:v>1.0252548477275409</c:v>
                </c:pt>
                <c:pt idx="244">
                  <c:v>1.0200371921261697</c:v>
                </c:pt>
                <c:pt idx="245">
                  <c:v>1.0196170915693687</c:v>
                </c:pt>
                <c:pt idx="246">
                  <c:v>1.0182317171082915</c:v>
                </c:pt>
                <c:pt idx="247">
                  <c:v>1.0179529249163646</c:v>
                </c:pt>
                <c:pt idx="248">
                  <c:v>1.0111830275297147</c:v>
                </c:pt>
                <c:pt idx="249">
                  <c:v>1.0103207810361228</c:v>
                </c:pt>
                <c:pt idx="250">
                  <c:v>1.0099076472499202</c:v>
                </c:pt>
                <c:pt idx="251">
                  <c:v>1.0096342940479062</c:v>
                </c:pt>
                <c:pt idx="252">
                  <c:v>1.0095532042059043</c:v>
                </c:pt>
                <c:pt idx="253">
                  <c:v>1.0074054818064957</c:v>
                </c:pt>
                <c:pt idx="254">
                  <c:v>1.0024977939859598</c:v>
                </c:pt>
                <c:pt idx="255">
                  <c:v>1.0024791344195483</c:v>
                </c:pt>
                <c:pt idx="256">
                  <c:v>0.99009904796754478</c:v>
                </c:pt>
                <c:pt idx="257">
                  <c:v>0.988727058951967</c:v>
                </c:pt>
                <c:pt idx="258">
                  <c:v>0.9842412878579776</c:v>
                </c:pt>
                <c:pt idx="259">
                  <c:v>0.97742950881030888</c:v>
                </c:pt>
                <c:pt idx="260">
                  <c:v>0.97255785979364906</c:v>
                </c:pt>
                <c:pt idx="261">
                  <c:v>0.97124049691532621</c:v>
                </c:pt>
                <c:pt idx="262">
                  <c:v>0.96310391505192705</c:v>
                </c:pt>
                <c:pt idx="263">
                  <c:v>0.96205649214203737</c:v>
                </c:pt>
                <c:pt idx="264">
                  <c:v>0.95634370109082234</c:v>
                </c:pt>
                <c:pt idx="265">
                  <c:v>0.95625909194695224</c:v>
                </c:pt>
                <c:pt idx="266">
                  <c:v>0.95621605772671359</c:v>
                </c:pt>
                <c:pt idx="267">
                  <c:v>0.95459214297654071</c:v>
                </c:pt>
                <c:pt idx="268">
                  <c:v>0.95184464517881207</c:v>
                </c:pt>
                <c:pt idx="269">
                  <c:v>0.94978606508780861</c:v>
                </c:pt>
                <c:pt idx="270">
                  <c:v>0.94177315647529014</c:v>
                </c:pt>
                <c:pt idx="271">
                  <c:v>0.93691811756802013</c:v>
                </c:pt>
                <c:pt idx="272">
                  <c:v>0.9338320747006047</c:v>
                </c:pt>
                <c:pt idx="273">
                  <c:v>0.93252535419353844</c:v>
                </c:pt>
                <c:pt idx="274">
                  <c:v>0.93215459119214472</c:v>
                </c:pt>
                <c:pt idx="275">
                  <c:v>0.93181622942732067</c:v>
                </c:pt>
                <c:pt idx="276">
                  <c:v>0.9292996066814373</c:v>
                </c:pt>
                <c:pt idx="277">
                  <c:v>0.92872369728563442</c:v>
                </c:pt>
                <c:pt idx="278">
                  <c:v>0.92731722976181585</c:v>
                </c:pt>
                <c:pt idx="279">
                  <c:v>0.92714487393138278</c:v>
                </c:pt>
                <c:pt idx="280">
                  <c:v>0.9267885769958325</c:v>
                </c:pt>
                <c:pt idx="281">
                  <c:v>0.92579154926751783</c:v>
                </c:pt>
                <c:pt idx="282">
                  <c:v>0.92543746128894988</c:v>
                </c:pt>
                <c:pt idx="283">
                  <c:v>0.92348479170830444</c:v>
                </c:pt>
                <c:pt idx="284">
                  <c:v>0.92254947850352276</c:v>
                </c:pt>
                <c:pt idx="285">
                  <c:v>0.92225261742671027</c:v>
                </c:pt>
                <c:pt idx="286">
                  <c:v>0.92196855067230854</c:v>
                </c:pt>
                <c:pt idx="287">
                  <c:v>0.91882245642084504</c:v>
                </c:pt>
                <c:pt idx="288">
                  <c:v>0.91584017007264695</c:v>
                </c:pt>
                <c:pt idx="289">
                  <c:v>0.91556522394577533</c:v>
                </c:pt>
                <c:pt idx="290">
                  <c:v>0.91342725919938628</c:v>
                </c:pt>
                <c:pt idx="291">
                  <c:v>0.90729000643512647</c:v>
                </c:pt>
                <c:pt idx="292">
                  <c:v>0.90617152912513665</c:v>
                </c:pt>
                <c:pt idx="293">
                  <c:v>0.90425857662516362</c:v>
                </c:pt>
                <c:pt idx="294">
                  <c:v>0.90279287170368605</c:v>
                </c:pt>
                <c:pt idx="295">
                  <c:v>0.89785535062248822</c:v>
                </c:pt>
                <c:pt idx="296">
                  <c:v>0.89663655166328704</c:v>
                </c:pt>
                <c:pt idx="297">
                  <c:v>0.89501730127924783</c:v>
                </c:pt>
                <c:pt idx="298">
                  <c:v>0.89309741749734295</c:v>
                </c:pt>
                <c:pt idx="299">
                  <c:v>0.89134945577421287</c:v>
                </c:pt>
                <c:pt idx="300">
                  <c:v>0.8872095275676134</c:v>
                </c:pt>
                <c:pt idx="301">
                  <c:v>0.8836439943654274</c:v>
                </c:pt>
                <c:pt idx="302">
                  <c:v>0.8802526432984964</c:v>
                </c:pt>
                <c:pt idx="303">
                  <c:v>0.87788522879438669</c:v>
                </c:pt>
                <c:pt idx="304">
                  <c:v>0.87431598772794195</c:v>
                </c:pt>
                <c:pt idx="305">
                  <c:v>0.87370902658973792</c:v>
                </c:pt>
                <c:pt idx="306">
                  <c:v>0.86986087850208893</c:v>
                </c:pt>
                <c:pt idx="307">
                  <c:v>0.86509308528242546</c:v>
                </c:pt>
                <c:pt idx="308">
                  <c:v>0.86351607238622408</c:v>
                </c:pt>
                <c:pt idx="309">
                  <c:v>0.85973707642173025</c:v>
                </c:pt>
                <c:pt idx="310">
                  <c:v>0.85951089229018751</c:v>
                </c:pt>
                <c:pt idx="311">
                  <c:v>0.85597096610853174</c:v>
                </c:pt>
                <c:pt idx="312">
                  <c:v>0.85229488620354721</c:v>
                </c:pt>
                <c:pt idx="313">
                  <c:v>0.85054593378367027</c:v>
                </c:pt>
                <c:pt idx="314">
                  <c:v>0.84694797403275002</c:v>
                </c:pt>
                <c:pt idx="315">
                  <c:v>0.84159062918913985</c:v>
                </c:pt>
                <c:pt idx="316">
                  <c:v>0.83802290611716435</c:v>
                </c:pt>
                <c:pt idx="317">
                  <c:v>0.83275462778760634</c:v>
                </c:pt>
                <c:pt idx="318">
                  <c:v>0.83175185454215006</c:v>
                </c:pt>
                <c:pt idx="319">
                  <c:v>0.83168245340074376</c:v>
                </c:pt>
                <c:pt idx="320">
                  <c:v>0.82919464555288258</c:v>
                </c:pt>
                <c:pt idx="321">
                  <c:v>0.82915451298497334</c:v>
                </c:pt>
                <c:pt idx="322">
                  <c:v>0.82779545953932065</c:v>
                </c:pt>
                <c:pt idx="323">
                  <c:v>0.82438743556574323</c:v>
                </c:pt>
                <c:pt idx="324">
                  <c:v>0.82426493966493597</c:v>
                </c:pt>
                <c:pt idx="325">
                  <c:v>0.82401769593452168</c:v>
                </c:pt>
                <c:pt idx="326">
                  <c:v>0.82392197597427519</c:v>
                </c:pt>
                <c:pt idx="327">
                  <c:v>0.82046210060896962</c:v>
                </c:pt>
                <c:pt idx="328">
                  <c:v>0.819136250320464</c:v>
                </c:pt>
                <c:pt idx="329">
                  <c:v>0.81799655727852105</c:v>
                </c:pt>
                <c:pt idx="330">
                  <c:v>0.81537559031083173</c:v>
                </c:pt>
                <c:pt idx="331">
                  <c:v>0.8135089130542944</c:v>
                </c:pt>
                <c:pt idx="332">
                  <c:v>0.81182419436885334</c:v>
                </c:pt>
                <c:pt idx="333">
                  <c:v>0.80966239052294864</c:v>
                </c:pt>
                <c:pt idx="334">
                  <c:v>0.8071752690546774</c:v>
                </c:pt>
                <c:pt idx="335">
                  <c:v>0.80682673130241145</c:v>
                </c:pt>
                <c:pt idx="336">
                  <c:v>0.80418538762571379</c:v>
                </c:pt>
                <c:pt idx="337">
                  <c:v>0.80332818558620789</c:v>
                </c:pt>
                <c:pt idx="338">
                  <c:v>0.80327986289593312</c:v>
                </c:pt>
                <c:pt idx="339">
                  <c:v>0.7983699915033291</c:v>
                </c:pt>
                <c:pt idx="340">
                  <c:v>0.7948280547995985</c:v>
                </c:pt>
                <c:pt idx="341">
                  <c:v>0.79000432862357106</c:v>
                </c:pt>
                <c:pt idx="342">
                  <c:v>0.78646773103529599</c:v>
                </c:pt>
                <c:pt idx="343">
                  <c:v>0.78172872445206898</c:v>
                </c:pt>
                <c:pt idx="344">
                  <c:v>0.77819786474508745</c:v>
                </c:pt>
                <c:pt idx="345">
                  <c:v>0.77354217460699393</c:v>
                </c:pt>
                <c:pt idx="346">
                  <c:v>0.7727877984016206</c:v>
                </c:pt>
                <c:pt idx="347">
                  <c:v>0.77001744110655246</c:v>
                </c:pt>
                <c:pt idx="348">
                  <c:v>0.76544368671505891</c:v>
                </c:pt>
                <c:pt idx="349">
                  <c:v>0.76192545718468452</c:v>
                </c:pt>
                <c:pt idx="350">
                  <c:v>0.75743227999103124</c:v>
                </c:pt>
                <c:pt idx="351">
                  <c:v>0.75535553372937403</c:v>
                </c:pt>
                <c:pt idx="352">
                  <c:v>0.75392092178586556</c:v>
                </c:pt>
                <c:pt idx="353">
                  <c:v>0.75188114670049944</c:v>
                </c:pt>
                <c:pt idx="354">
                  <c:v>0.74950698505110425</c:v>
                </c:pt>
                <c:pt idx="355">
                  <c:v>0.7490815104780485</c:v>
                </c:pt>
                <c:pt idx="356">
                  <c:v>0.7489418819376803</c:v>
                </c:pt>
                <c:pt idx="357">
                  <c:v>0.74793650698009861</c:v>
                </c:pt>
                <c:pt idx="358">
                  <c:v>0.74600285531375188</c:v>
                </c:pt>
                <c:pt idx="359">
                  <c:v>0.74444730126775871</c:v>
                </c:pt>
                <c:pt idx="360">
                  <c:v>0.74267592736644472</c:v>
                </c:pt>
                <c:pt idx="361">
                  <c:v>0.74166684376656677</c:v>
                </c:pt>
                <c:pt idx="362">
                  <c:v>0.73817028962701792</c:v>
                </c:pt>
                <c:pt idx="363">
                  <c:v>0.73391090912563239</c:v>
                </c:pt>
                <c:pt idx="364">
                  <c:v>0.73042226789893028</c:v>
                </c:pt>
                <c:pt idx="365">
                  <c:v>0.72851184191209573</c:v>
                </c:pt>
                <c:pt idx="366">
                  <c:v>0.72623824509807566</c:v>
                </c:pt>
                <c:pt idx="367">
                  <c:v>0.72275784447872704</c:v>
                </c:pt>
                <c:pt idx="368">
                  <c:v>0.71864792650176512</c:v>
                </c:pt>
                <c:pt idx="369">
                  <c:v>0.7184903261834209</c:v>
                </c:pt>
                <c:pt idx="370">
                  <c:v>0.71835086009103022</c:v>
                </c:pt>
                <c:pt idx="371">
                  <c:v>0.71690111387063449</c:v>
                </c:pt>
                <c:pt idx="372">
                  <c:v>0.71517608475477812</c:v>
                </c:pt>
                <c:pt idx="373">
                  <c:v>0.7149416941375365</c:v>
                </c:pt>
                <c:pt idx="374">
                  <c:v>0.71491317104487884</c:v>
                </c:pt>
                <c:pt idx="375">
                  <c:v>0.71375566681195945</c:v>
                </c:pt>
                <c:pt idx="376">
                  <c:v>0.71113903887092988</c:v>
                </c:pt>
                <c:pt idx="377">
                  <c:v>0.71050183384077181</c:v>
                </c:pt>
                <c:pt idx="378">
                  <c:v>0.70371067832610523</c:v>
                </c:pt>
                <c:pt idx="379">
                  <c:v>0.69636195144573632</c:v>
                </c:pt>
                <c:pt idx="380">
                  <c:v>0.69418620893498861</c:v>
                </c:pt>
                <c:pt idx="381">
                  <c:v>0.6931814240376909</c:v>
                </c:pt>
                <c:pt idx="382">
                  <c:v>0.69303228124308924</c:v>
                </c:pt>
                <c:pt idx="383">
                  <c:v>0.68909197513941445</c:v>
                </c:pt>
                <c:pt idx="384">
                  <c:v>0.68208831515452262</c:v>
                </c:pt>
                <c:pt idx="385">
                  <c:v>0.68189987652272532</c:v>
                </c:pt>
                <c:pt idx="386">
                  <c:v>0.67544369260899784</c:v>
                </c:pt>
                <c:pt idx="387">
                  <c:v>0.66285734973133925</c:v>
                </c:pt>
                <c:pt idx="388">
                  <c:v>0.66235470795173712</c:v>
                </c:pt>
                <c:pt idx="389">
                  <c:v>0.65675178834899617</c:v>
                </c:pt>
                <c:pt idx="390">
                  <c:v>0.65211347372830997</c:v>
                </c:pt>
                <c:pt idx="391">
                  <c:v>0.65164747111350296</c:v>
                </c:pt>
                <c:pt idx="392">
                  <c:v>0.65074535696473546</c:v>
                </c:pt>
                <c:pt idx="393">
                  <c:v>0.64843887929824273</c:v>
                </c:pt>
                <c:pt idx="394">
                  <c:v>0.64224041337111726</c:v>
                </c:pt>
                <c:pt idx="395">
                  <c:v>0.63814380432646411</c:v>
                </c:pt>
                <c:pt idx="396">
                  <c:v>0.63369721116198208</c:v>
                </c:pt>
                <c:pt idx="397">
                  <c:v>0.63051082983267659</c:v>
                </c:pt>
                <c:pt idx="398">
                  <c:v>0.62846412067747348</c:v>
                </c:pt>
                <c:pt idx="399">
                  <c:v>0.62376179121785713</c:v>
                </c:pt>
                <c:pt idx="400">
                  <c:v>0.62233239054245348</c:v>
                </c:pt>
                <c:pt idx="401">
                  <c:v>0.6211155363170221</c:v>
                </c:pt>
                <c:pt idx="402">
                  <c:v>0.61901904646435268</c:v>
                </c:pt>
                <c:pt idx="403">
                  <c:v>0.61867331337705866</c:v>
                </c:pt>
                <c:pt idx="404">
                  <c:v>0.61721823766136852</c:v>
                </c:pt>
                <c:pt idx="405">
                  <c:v>0.61711378690533125</c:v>
                </c:pt>
                <c:pt idx="406">
                  <c:v>0.61561765614380859</c:v>
                </c:pt>
                <c:pt idx="407">
                  <c:v>0.61516578340831163</c:v>
                </c:pt>
                <c:pt idx="408">
                  <c:v>0.61398915733317805</c:v>
                </c:pt>
                <c:pt idx="409">
                  <c:v>0.61272118520088981</c:v>
                </c:pt>
                <c:pt idx="410">
                  <c:v>0.6107669368884775</c:v>
                </c:pt>
                <c:pt idx="411">
                  <c:v>0.60885484564378756</c:v>
                </c:pt>
                <c:pt idx="412">
                  <c:v>0.60438845446426148</c:v>
                </c:pt>
                <c:pt idx="413">
                  <c:v>0.60155862688454886</c:v>
                </c:pt>
                <c:pt idx="414">
                  <c:v>0.60112677665992265</c:v>
                </c:pt>
                <c:pt idx="415">
                  <c:v>0.59807892788077688</c:v>
                </c:pt>
                <c:pt idx="416">
                  <c:v>0.59753985423092371</c:v>
                </c:pt>
                <c:pt idx="417">
                  <c:v>0.59514228966126381</c:v>
                </c:pt>
                <c:pt idx="418">
                  <c:v>0.59183708594593476</c:v>
                </c:pt>
                <c:pt idx="419">
                  <c:v>0.58892743435483219</c:v>
                </c:pt>
                <c:pt idx="420">
                  <c:v>0.58566209473937048</c:v>
                </c:pt>
                <c:pt idx="421">
                  <c:v>0.58280087921554968</c:v>
                </c:pt>
                <c:pt idx="422">
                  <c:v>0.57955320009022626</c:v>
                </c:pt>
                <c:pt idx="423">
                  <c:v>0.57674323966631025</c:v>
                </c:pt>
                <c:pt idx="424">
                  <c:v>0.57560773251305519</c:v>
                </c:pt>
                <c:pt idx="425">
                  <c:v>0.57350966816430282</c:v>
                </c:pt>
                <c:pt idx="426">
                  <c:v>0.57265388965097186</c:v>
                </c:pt>
                <c:pt idx="427">
                  <c:v>0.57075070239893666</c:v>
                </c:pt>
                <c:pt idx="428">
                  <c:v>0.56760415657659125</c:v>
                </c:pt>
                <c:pt idx="429">
                  <c:v>0.56753077551948561</c:v>
                </c:pt>
                <c:pt idx="430">
                  <c:v>0.56482204477209086</c:v>
                </c:pt>
                <c:pt idx="431">
                  <c:v>0.56161580737084438</c:v>
                </c:pt>
                <c:pt idx="432">
                  <c:v>0.55895648077604732</c:v>
                </c:pt>
                <c:pt idx="433">
                  <c:v>0.55728490967975852</c:v>
                </c:pt>
                <c:pt idx="434">
                  <c:v>0.55576405721908895</c:v>
                </c:pt>
                <c:pt idx="435">
                  <c:v>0.55315330351925607</c:v>
                </c:pt>
                <c:pt idx="436">
                  <c:v>0.54997482670631326</c:v>
                </c:pt>
                <c:pt idx="437">
                  <c:v>0.5474118258241486</c:v>
                </c:pt>
                <c:pt idx="438">
                  <c:v>0.54559058812467331</c:v>
                </c:pt>
                <c:pt idx="439">
                  <c:v>0.54424742551050087</c:v>
                </c:pt>
                <c:pt idx="440">
                  <c:v>0.54173137029109653</c:v>
                </c:pt>
                <c:pt idx="441">
                  <c:v>0.53858117124749205</c:v>
                </c:pt>
                <c:pt idx="442">
                  <c:v>0.53611126757192384</c:v>
                </c:pt>
                <c:pt idx="443">
                  <c:v>0.53297538937520839</c:v>
                </c:pt>
                <c:pt idx="444">
                  <c:v>0.53293970999223217</c:v>
                </c:pt>
                <c:pt idx="445">
                  <c:v>0.5305508560066543</c:v>
                </c:pt>
                <c:pt idx="446">
                  <c:v>0.52742941309925473</c:v>
                </c:pt>
                <c:pt idx="447">
                  <c:v>0.52687397155846305</c:v>
                </c:pt>
                <c:pt idx="448">
                  <c:v>0.52663446852935603</c:v>
                </c:pt>
                <c:pt idx="449">
                  <c:v>0.5250494814874318</c:v>
                </c:pt>
                <c:pt idx="450">
                  <c:v>0.52409963871920351</c:v>
                </c:pt>
                <c:pt idx="451">
                  <c:v>0.52194258327974097</c:v>
                </c:pt>
                <c:pt idx="452">
                  <c:v>0.51975377628137776</c:v>
                </c:pt>
                <c:pt idx="453">
                  <c:v>0.51960649736108511</c:v>
                </c:pt>
                <c:pt idx="454">
                  <c:v>0.51823804080905633</c:v>
                </c:pt>
                <c:pt idx="455">
                  <c:v>0.5165142483392835</c:v>
                </c:pt>
                <c:pt idx="456">
                  <c:v>0.51422126433904181</c:v>
                </c:pt>
                <c:pt idx="457">
                  <c:v>0.51379473207507953</c:v>
                </c:pt>
                <c:pt idx="458">
                  <c:v>0.51114376417216811</c:v>
                </c:pt>
                <c:pt idx="459">
                  <c:v>0.50889315040938654</c:v>
                </c:pt>
                <c:pt idx="460">
                  <c:v>0.50885236405247725</c:v>
                </c:pt>
                <c:pt idx="461">
                  <c:v>0.50594119244595614</c:v>
                </c:pt>
                <c:pt idx="462">
                  <c:v>0.50583049405465674</c:v>
                </c:pt>
                <c:pt idx="463">
                  <c:v>0.50390574800451049</c:v>
                </c:pt>
                <c:pt idx="464">
                  <c:v>0.50362153075018634</c:v>
                </c:pt>
                <c:pt idx="465">
                  <c:v>0.50239219337143648</c:v>
                </c:pt>
                <c:pt idx="466">
                  <c:v>0.50057380855642408</c:v>
                </c:pt>
                <c:pt idx="467">
                  <c:v>0.50012136988755873</c:v>
                </c:pt>
                <c:pt idx="468">
                  <c:v>0.49840578764392651</c:v>
                </c:pt>
                <c:pt idx="469">
                  <c:v>0.49537308545310865</c:v>
                </c:pt>
                <c:pt idx="470">
                  <c:v>0.49341337445065525</c:v>
                </c:pt>
                <c:pt idx="471">
                  <c:v>0.49324531039301939</c:v>
                </c:pt>
                <c:pt idx="472">
                  <c:v>0.49022770963996398</c:v>
                </c:pt>
                <c:pt idx="473">
                  <c:v>0.48841762213129186</c:v>
                </c:pt>
                <c:pt idx="474">
                  <c:v>0.48813949523636768</c:v>
                </c:pt>
                <c:pt idx="475">
                  <c:v>0.4851370730465947</c:v>
                </c:pt>
                <c:pt idx="476">
                  <c:v>0.48308774526696874</c:v>
                </c:pt>
                <c:pt idx="477">
                  <c:v>0.48242472455407903</c:v>
                </c:pt>
                <c:pt idx="478">
                  <c:v>0.47906776299726017</c:v>
                </c:pt>
                <c:pt idx="479">
                  <c:v>0.47808947035054428</c:v>
                </c:pt>
                <c:pt idx="480">
                  <c:v>0.47314408704518457</c:v>
                </c:pt>
                <c:pt idx="481">
                  <c:v>0.47084309387920914</c:v>
                </c:pt>
                <c:pt idx="482">
                  <c:v>0.46825101852199169</c:v>
                </c:pt>
                <c:pt idx="483">
                  <c:v>0.46541876563774298</c:v>
                </c:pt>
                <c:pt idx="484">
                  <c:v>0.46340969448671027</c:v>
                </c:pt>
                <c:pt idx="485">
                  <c:v>0.4630713999271977</c:v>
                </c:pt>
                <c:pt idx="486">
                  <c:v>0.46249317300846887</c:v>
                </c:pt>
                <c:pt idx="487">
                  <c:v>0.46050222613705871</c:v>
                </c:pt>
                <c:pt idx="488">
                  <c:v>0.45791188809180305</c:v>
                </c:pt>
                <c:pt idx="489">
                  <c:v>0.45783017400466547</c:v>
                </c:pt>
                <c:pt idx="490">
                  <c:v>0.45571258536683773</c:v>
                </c:pt>
                <c:pt idx="491">
                  <c:v>0.45318327905168271</c:v>
                </c:pt>
                <c:pt idx="492">
                  <c:v>0.45098617289271459</c:v>
                </c:pt>
                <c:pt idx="493">
                  <c:v>0.44984605501025177</c:v>
                </c:pt>
                <c:pt idx="494">
                  <c:v>0.44718279688260382</c:v>
                </c:pt>
                <c:pt idx="495">
                  <c:v>0.4463119618487994</c:v>
                </c:pt>
                <c:pt idx="496">
                  <c:v>0.44465942840255207</c:v>
                </c:pt>
                <c:pt idx="497">
                  <c:v>0.4445802312372989</c:v>
                </c:pt>
                <c:pt idx="498">
                  <c:v>0.44237703929943051</c:v>
                </c:pt>
                <c:pt idx="499">
                  <c:v>0.44168766610295151</c:v>
                </c:pt>
                <c:pt idx="500">
                  <c:v>0.43997777742342714</c:v>
                </c:pt>
                <c:pt idx="501">
                  <c:v>0.43831149634086725</c:v>
                </c:pt>
                <c:pt idx="502">
                  <c:v>0.43542024697988996</c:v>
                </c:pt>
                <c:pt idx="503">
                  <c:v>0.43398382452097944</c:v>
                </c:pt>
                <c:pt idx="504">
                  <c:v>0.43092320110081817</c:v>
                </c:pt>
                <c:pt idx="505">
                  <c:v>0.42984097023123524</c:v>
                </c:pt>
                <c:pt idx="506">
                  <c:v>0.42968418796154595</c:v>
                </c:pt>
                <c:pt idx="507">
                  <c:v>0.42647564693563322</c:v>
                </c:pt>
                <c:pt idx="508">
                  <c:v>0.42390501743909081</c:v>
                </c:pt>
                <c:pt idx="509">
                  <c:v>0.42320477028553133</c:v>
                </c:pt>
                <c:pt idx="510">
                  <c:v>0.42207533192564356</c:v>
                </c:pt>
                <c:pt idx="511">
                  <c:v>0.41892049989411662</c:v>
                </c:pt>
                <c:pt idx="512">
                  <c:v>0.41397504856170719</c:v>
                </c:pt>
                <c:pt idx="513">
                  <c:v>0.41151826066694841</c:v>
                </c:pt>
                <c:pt idx="514">
                  <c:v>0.41046355972942539</c:v>
                </c:pt>
                <c:pt idx="515">
                  <c:v>0.39959953975979451</c:v>
                </c:pt>
                <c:pt idx="516">
                  <c:v>0.39419822232156576</c:v>
                </c:pt>
                <c:pt idx="517">
                  <c:v>0.39380665514081792</c:v>
                </c:pt>
                <c:pt idx="518">
                  <c:v>0.38991454333274655</c:v>
                </c:pt>
                <c:pt idx="519">
                  <c:v>0.38988064335894201</c:v>
                </c:pt>
                <c:pt idx="520">
                  <c:v>0.38585209211047522</c:v>
                </c:pt>
                <c:pt idx="521">
                  <c:v>0.38208690704394954</c:v>
                </c:pt>
                <c:pt idx="522">
                  <c:v>0.3818617325036196</c:v>
                </c:pt>
                <c:pt idx="523">
                  <c:v>0.37791833274631792</c:v>
                </c:pt>
                <c:pt idx="524">
                  <c:v>0.37688222807133515</c:v>
                </c:pt>
                <c:pt idx="525">
                  <c:v>0.37641542468980427</c:v>
                </c:pt>
                <c:pt idx="526">
                  <c:v>0.3742339678048352</c:v>
                </c:pt>
                <c:pt idx="527">
                  <c:v>0.37279288191821641</c:v>
                </c:pt>
                <c:pt idx="528">
                  <c:v>0.3705555588618259</c:v>
                </c:pt>
                <c:pt idx="529">
                  <c:v>0.36892248624621715</c:v>
                </c:pt>
                <c:pt idx="530">
                  <c:v>0.36640466699143226</c:v>
                </c:pt>
                <c:pt idx="531">
                  <c:v>0.36512193288340239</c:v>
                </c:pt>
                <c:pt idx="532">
                  <c:v>0.36322931970123307</c:v>
                </c:pt>
                <c:pt idx="533">
                  <c:v>0.36257085747627438</c:v>
                </c:pt>
                <c:pt idx="534">
                  <c:v>0.36136611768273275</c:v>
                </c:pt>
                <c:pt idx="535">
                  <c:v>0.36027537801710868</c:v>
                </c:pt>
                <c:pt idx="536">
                  <c:v>0.36004859975873599</c:v>
                </c:pt>
                <c:pt idx="537">
                  <c:v>0.35591322689879518</c:v>
                </c:pt>
                <c:pt idx="538">
                  <c:v>0.35437195655170112</c:v>
                </c:pt>
                <c:pt idx="539">
                  <c:v>0.35040214635717959</c:v>
                </c:pt>
                <c:pt idx="540">
                  <c:v>0.34939752078177211</c:v>
                </c:pt>
                <c:pt idx="541">
                  <c:v>0.34857765015498732</c:v>
                </c:pt>
                <c:pt idx="542">
                  <c:v>0.34674730379792967</c:v>
                </c:pt>
                <c:pt idx="543">
                  <c:v>0.34491719737357196</c:v>
                </c:pt>
                <c:pt idx="544">
                  <c:v>0.34480351731156711</c:v>
                </c:pt>
                <c:pt idx="545">
                  <c:v>0.34437752236211089</c:v>
                </c:pt>
                <c:pt idx="546">
                  <c:v>0.34072906059536495</c:v>
                </c:pt>
                <c:pt idx="547">
                  <c:v>0.34066327917074707</c:v>
                </c:pt>
                <c:pt idx="548">
                  <c:v>0.34061752556114167</c:v>
                </c:pt>
                <c:pt idx="549">
                  <c:v>0.34061414299430226</c:v>
                </c:pt>
                <c:pt idx="550">
                  <c:v>0.3372031817776866</c:v>
                </c:pt>
                <c:pt idx="551">
                  <c:v>0.3349273908478671</c:v>
                </c:pt>
                <c:pt idx="552">
                  <c:v>0.33474538370284102</c:v>
                </c:pt>
                <c:pt idx="553">
                  <c:v>0.33346000619125399</c:v>
                </c:pt>
                <c:pt idx="554">
                  <c:v>0.33344932990873283</c:v>
                </c:pt>
                <c:pt idx="555">
                  <c:v>0.33049132612499427</c:v>
                </c:pt>
                <c:pt idx="556">
                  <c:v>0.32941797721687316</c:v>
                </c:pt>
                <c:pt idx="557">
                  <c:v>0.32765096516556064</c:v>
                </c:pt>
                <c:pt idx="558">
                  <c:v>0.32692588005377154</c:v>
                </c:pt>
                <c:pt idx="559">
                  <c:v>0.32593632626466396</c:v>
                </c:pt>
                <c:pt idx="560">
                  <c:v>0.32404732088574312</c:v>
                </c:pt>
                <c:pt idx="561">
                  <c:v>0.32353462193379368</c:v>
                </c:pt>
                <c:pt idx="562">
                  <c:v>0.32257531793514949</c:v>
                </c:pt>
                <c:pt idx="563">
                  <c:v>0.32205473746574614</c:v>
                </c:pt>
                <c:pt idx="564">
                  <c:v>0.32046248082074708</c:v>
                </c:pt>
                <c:pt idx="565">
                  <c:v>0.31618747659178503</c:v>
                </c:pt>
                <c:pt idx="566">
                  <c:v>0.31483323310169881</c:v>
                </c:pt>
                <c:pt idx="567">
                  <c:v>0.31467980980214599</c:v>
                </c:pt>
                <c:pt idx="568">
                  <c:v>0.3127812207458609</c:v>
                </c:pt>
                <c:pt idx="569">
                  <c:v>0.31062036850837799</c:v>
                </c:pt>
                <c:pt idx="570">
                  <c:v>0.31036923677906247</c:v>
                </c:pt>
                <c:pt idx="571">
                  <c:v>0.30954730534110053</c:v>
                </c:pt>
                <c:pt idx="572">
                  <c:v>0.30726553969577619</c:v>
                </c:pt>
                <c:pt idx="573">
                  <c:v>0.30408093789929053</c:v>
                </c:pt>
                <c:pt idx="574">
                  <c:v>0.30130708284613839</c:v>
                </c:pt>
                <c:pt idx="575">
                  <c:v>0.3009521305903754</c:v>
                </c:pt>
                <c:pt idx="576">
                  <c:v>0.29954472298006429</c:v>
                </c:pt>
                <c:pt idx="577">
                  <c:v>0.29785983253730175</c:v>
                </c:pt>
                <c:pt idx="578">
                  <c:v>0.29724439276209402</c:v>
                </c:pt>
                <c:pt idx="579">
                  <c:v>0.29480055021159607</c:v>
                </c:pt>
                <c:pt idx="580">
                  <c:v>0.29403800046148132</c:v>
                </c:pt>
                <c:pt idx="581">
                  <c:v>0.29208897673497419</c:v>
                </c:pt>
                <c:pt idx="582">
                  <c:v>0.29177341377364147</c:v>
                </c:pt>
                <c:pt idx="583">
                  <c:v>0.29175804831246549</c:v>
                </c:pt>
                <c:pt idx="584">
                  <c:v>0.29100011825265693</c:v>
                </c:pt>
                <c:pt idx="585">
                  <c:v>0.28877799198265725</c:v>
                </c:pt>
                <c:pt idx="586">
                  <c:v>0.28801633441205066</c:v>
                </c:pt>
                <c:pt idx="587">
                  <c:v>0.28581392957329238</c:v>
                </c:pt>
                <c:pt idx="588">
                  <c:v>0.28506738424848788</c:v>
                </c:pt>
                <c:pt idx="589">
                  <c:v>0.28288088704609804</c:v>
                </c:pt>
                <c:pt idx="590">
                  <c:v>0.28277833211491388</c:v>
                </c:pt>
                <c:pt idx="591">
                  <c:v>0.28214979451314254</c:v>
                </c:pt>
                <c:pt idx="592">
                  <c:v>0.2799785306399008</c:v>
                </c:pt>
                <c:pt idx="593">
                  <c:v>0.27936014725104463</c:v>
                </c:pt>
                <c:pt idx="594">
                  <c:v>0.27926271538860292</c:v>
                </c:pt>
                <c:pt idx="595">
                  <c:v>0.27710653063162155</c:v>
                </c:pt>
                <c:pt idx="596">
                  <c:v>0.27640573540226854</c:v>
                </c:pt>
                <c:pt idx="597">
                  <c:v>0.27426456101836272</c:v>
                </c:pt>
                <c:pt idx="598">
                  <c:v>0.27361350519707894</c:v>
                </c:pt>
                <c:pt idx="599">
                  <c:v>0.2735785188063149</c:v>
                </c:pt>
                <c:pt idx="600">
                  <c:v>0.27145229942929677</c:v>
                </c:pt>
                <c:pt idx="601">
                  <c:v>0.27078074537148838</c:v>
                </c:pt>
                <c:pt idx="602">
                  <c:v>0.26866942707611841</c:v>
                </c:pt>
                <c:pt idx="603">
                  <c:v>0.26801210036275869</c:v>
                </c:pt>
                <c:pt idx="604">
                  <c:v>0.26591562871031832</c:v>
                </c:pt>
                <c:pt idx="605">
                  <c:v>0.26527227284237004</c:v>
                </c:pt>
                <c:pt idx="606">
                  <c:v>0.26319059258200905</c:v>
                </c:pt>
                <c:pt idx="607">
                  <c:v>0.26256095535511648</c:v>
                </c:pt>
                <c:pt idx="608">
                  <c:v>0.26141094824380268</c:v>
                </c:pt>
                <c:pt idx="609">
                  <c:v>0.26049401039941988</c:v>
                </c:pt>
                <c:pt idx="610">
                  <c:v>0.25987784384337526</c:v>
                </c:pt>
                <c:pt idx="611">
                  <c:v>0.25893478313803403</c:v>
                </c:pt>
                <c:pt idx="612">
                  <c:v>0.25782557728891292</c:v>
                </c:pt>
                <c:pt idx="613">
                  <c:v>0.25770772950020521</c:v>
                </c:pt>
                <c:pt idx="614">
                  <c:v>0.25722263760066011</c:v>
                </c:pt>
                <c:pt idx="615">
                  <c:v>0.25518499175548609</c:v>
                </c:pt>
                <c:pt idx="616">
                  <c:v>0.25472608156632093</c:v>
                </c:pt>
                <c:pt idx="617">
                  <c:v>0.25459503923195353</c:v>
                </c:pt>
                <c:pt idx="618">
                  <c:v>0.25257195564375651</c:v>
                </c:pt>
                <c:pt idx="619">
                  <c:v>0.25199475461554904</c:v>
                </c:pt>
                <c:pt idx="620">
                  <c:v>0.24998617409941518</c:v>
                </c:pt>
                <c:pt idx="621">
                  <c:v>0.24942149286552179</c:v>
                </c:pt>
                <c:pt idx="622">
                  <c:v>0.24742735553114792</c:v>
                </c:pt>
                <c:pt idx="623">
                  <c:v>0.24687496629467753</c:v>
                </c:pt>
                <c:pt idx="624">
                  <c:v>0.24489521157301647</c:v>
                </c:pt>
                <c:pt idx="625">
                  <c:v>0.24435489037795102</c:v>
                </c:pt>
                <c:pt idx="626">
                  <c:v>0.24238945704729398</c:v>
                </c:pt>
                <c:pt idx="627">
                  <c:v>0.24186098371624237</c:v>
                </c:pt>
                <c:pt idx="628">
                  <c:v>0.24045359435798225</c:v>
                </c:pt>
                <c:pt idx="629">
                  <c:v>0.23990980992774827</c:v>
                </c:pt>
                <c:pt idx="630">
                  <c:v>0.23939296800068791</c:v>
                </c:pt>
                <c:pt idx="631">
                  <c:v>0.23695056797735703</c:v>
                </c:pt>
                <c:pt idx="632">
                  <c:v>0.2355251365889863</c:v>
                </c:pt>
                <c:pt idx="633">
                  <c:v>0.23453351141237172</c:v>
                </c:pt>
                <c:pt idx="634">
                  <c:v>0.23270727785379028</c:v>
                </c:pt>
                <c:pt idx="635">
                  <c:v>0.23269426045895203</c:v>
                </c:pt>
                <c:pt idx="636">
                  <c:v>0.23214152905744309</c:v>
                </c:pt>
                <c:pt idx="637">
                  <c:v>0.23042932776325081</c:v>
                </c:pt>
                <c:pt idx="638">
                  <c:v>0.23026045942154755</c:v>
                </c:pt>
                <c:pt idx="639">
                  <c:v>0.2297743546158188</c:v>
                </c:pt>
                <c:pt idx="640">
                  <c:v>0.22903023301013278</c:v>
                </c:pt>
                <c:pt idx="641">
                  <c:v>0.22847979479900002</c:v>
                </c:pt>
                <c:pt idx="642">
                  <c:v>0.22789580326439263</c:v>
                </c:pt>
                <c:pt idx="643">
                  <c:v>0.22561079008813956</c:v>
                </c:pt>
                <c:pt idx="644">
                  <c:v>0.22556515443148992</c:v>
                </c:pt>
                <c:pt idx="645">
                  <c:v>0.22494847225107287</c:v>
                </c:pt>
                <c:pt idx="646">
                  <c:v>0.22326030509436123</c:v>
                </c:pt>
                <c:pt idx="647">
                  <c:v>0.22290159796874146</c:v>
                </c:pt>
                <c:pt idx="648">
                  <c:v>0.22097967849430367</c:v>
                </c:pt>
                <c:pt idx="649">
                  <c:v>0.22056220762977546</c:v>
                </c:pt>
                <c:pt idx="650">
                  <c:v>0.21940091682781074</c:v>
                </c:pt>
                <c:pt idx="651">
                  <c:v>0.21872280057153165</c:v>
                </c:pt>
                <c:pt idx="652">
                  <c:v>0.21830375581176611</c:v>
                </c:pt>
                <c:pt idx="653">
                  <c:v>0.21607810214754597</c:v>
                </c:pt>
                <c:pt idx="654">
                  <c:v>0.21606679241274188</c:v>
                </c:pt>
                <c:pt idx="655">
                  <c:v>0.21387705321000236</c:v>
                </c:pt>
                <c:pt idx="656">
                  <c:v>0.21206073647411475</c:v>
                </c:pt>
                <c:pt idx="657">
                  <c:v>0.21169904646188126</c:v>
                </c:pt>
                <c:pt idx="658">
                  <c:v>0.2095436218872839</c:v>
                </c:pt>
                <c:pt idx="659">
                  <c:v>0.20813929459391678</c:v>
                </c:pt>
                <c:pt idx="660">
                  <c:v>0.20572418948391186</c:v>
                </c:pt>
                <c:pt idx="661">
                  <c:v>0.20357734663113608</c:v>
                </c:pt>
                <c:pt idx="662">
                  <c:v>0.20327598093712751</c:v>
                </c:pt>
                <c:pt idx="663">
                  <c:v>0.20192397159696615</c:v>
                </c:pt>
                <c:pt idx="664">
                  <c:v>0.20149313003838967</c:v>
                </c:pt>
                <c:pt idx="665">
                  <c:v>0.19945036449067152</c:v>
                </c:pt>
                <c:pt idx="666">
                  <c:v>0.19943722489689658</c:v>
                </c:pt>
                <c:pt idx="667">
                  <c:v>0.19798696416805084</c:v>
                </c:pt>
                <c:pt idx="668">
                  <c:v>0.19740374691394288</c:v>
                </c:pt>
                <c:pt idx="669">
                  <c:v>0.19712999897298389</c:v>
                </c:pt>
                <c:pt idx="670">
                  <c:v>0.19539153153526695</c:v>
                </c:pt>
                <c:pt idx="671">
                  <c:v>0.19507682273531973</c:v>
                </c:pt>
                <c:pt idx="672">
                  <c:v>0.19430381857214199</c:v>
                </c:pt>
                <c:pt idx="673">
                  <c:v>0.19340019944195214</c:v>
                </c:pt>
                <c:pt idx="674">
                  <c:v>0.19308521248484839</c:v>
                </c:pt>
                <c:pt idx="675">
                  <c:v>0.19230202736508811</c:v>
                </c:pt>
                <c:pt idx="676">
                  <c:v>0.19142950364999359</c:v>
                </c:pt>
                <c:pt idx="677">
                  <c:v>0.19112086595939473</c:v>
                </c:pt>
                <c:pt idx="678">
                  <c:v>0.18947922114724386</c:v>
                </c:pt>
                <c:pt idx="679">
                  <c:v>0.18917791125713021</c:v>
                </c:pt>
                <c:pt idx="680">
                  <c:v>0.18754913488916791</c:v>
                </c:pt>
                <c:pt idx="681">
                  <c:v>0.18725519606098753</c:v>
                </c:pt>
                <c:pt idx="682">
                  <c:v>0.18669242492587984</c:v>
                </c:pt>
                <c:pt idx="683">
                  <c:v>0.18563903078867916</c:v>
                </c:pt>
                <c:pt idx="684">
                  <c:v>0.18535235313755091</c:v>
                </c:pt>
                <c:pt idx="685">
                  <c:v>0.18346914743859305</c:v>
                </c:pt>
                <c:pt idx="686">
                  <c:v>0.18160536773996433</c:v>
                </c:pt>
                <c:pt idx="687">
                  <c:v>0.17976080863926572</c:v>
                </c:pt>
                <c:pt idx="688">
                  <c:v>0.1791549405406114</c:v>
                </c:pt>
                <c:pt idx="689">
                  <c:v>0.17793526754757541</c:v>
                </c:pt>
                <c:pt idx="690">
                  <c:v>0.17665133347452258</c:v>
                </c:pt>
                <c:pt idx="691">
                  <c:v>0.17585274206598411</c:v>
                </c:pt>
                <c:pt idx="692">
                  <c:v>0.17168876112690107</c:v>
                </c:pt>
                <c:pt idx="693">
                  <c:v>0.17102741624306839</c:v>
                </c:pt>
                <c:pt idx="694">
                  <c:v>0.1695186148775768</c:v>
                </c:pt>
                <c:pt idx="695">
                  <c:v>0.1658933512524885</c:v>
                </c:pt>
                <c:pt idx="696">
                  <c:v>0.15048202623143833</c:v>
                </c:pt>
                <c:pt idx="697">
                  <c:v>0.14977229930673158</c:v>
                </c:pt>
                <c:pt idx="698">
                  <c:v>0.14787956859934098</c:v>
                </c:pt>
                <c:pt idx="699">
                  <c:v>0.14665861946730746</c:v>
                </c:pt>
                <c:pt idx="700">
                  <c:v>0.14450053839358382</c:v>
                </c:pt>
                <c:pt idx="701">
                  <c:v>0.14430305356065523</c:v>
                </c:pt>
                <c:pt idx="702">
                  <c:v>0.14231599320346755</c:v>
                </c:pt>
                <c:pt idx="703">
                  <c:v>0.14012349780329406</c:v>
                </c:pt>
                <c:pt idx="704">
                  <c:v>0.13999678259924916</c:v>
                </c:pt>
                <c:pt idx="705">
                  <c:v>0.13879915011158145</c:v>
                </c:pt>
                <c:pt idx="706">
                  <c:v>0.13825414618142176</c:v>
                </c:pt>
                <c:pt idx="707">
                  <c:v>0.13678020194210599</c:v>
                </c:pt>
                <c:pt idx="708">
                  <c:v>0.13478145860652957</c:v>
                </c:pt>
                <c:pt idx="709">
                  <c:v>0.13467860416419394</c:v>
                </c:pt>
                <c:pt idx="710">
                  <c:v>0.13286760787344304</c:v>
                </c:pt>
                <c:pt idx="711">
                  <c:v>0.13145137205158436</c:v>
                </c:pt>
                <c:pt idx="712">
                  <c:v>0.12007696020313843</c:v>
                </c:pt>
                <c:pt idx="713">
                  <c:v>0.11595720955681452</c:v>
                </c:pt>
                <c:pt idx="714">
                  <c:v>0.11118992610097271</c:v>
                </c:pt>
                <c:pt idx="715">
                  <c:v>0.11050480419349283</c:v>
                </c:pt>
                <c:pt idx="716">
                  <c:v>0.10740981527437378</c:v>
                </c:pt>
                <c:pt idx="717">
                  <c:v>0.10740702268983637</c:v>
                </c:pt>
                <c:pt idx="718">
                  <c:v>0.10642879909112073</c:v>
                </c:pt>
                <c:pt idx="719">
                  <c:v>0.10599839557481214</c:v>
                </c:pt>
                <c:pt idx="720">
                  <c:v>0.10487549650524279</c:v>
                </c:pt>
                <c:pt idx="721">
                  <c:v>0.10380953389704931</c:v>
                </c:pt>
                <c:pt idx="722">
                  <c:v>0.10337707649150883</c:v>
                </c:pt>
                <c:pt idx="723">
                  <c:v>0.10276198560390506</c:v>
                </c:pt>
                <c:pt idx="724">
                  <c:v>0.10200844934550593</c:v>
                </c:pt>
                <c:pt idx="725">
                  <c:v>0.1014275362901761</c:v>
                </c:pt>
                <c:pt idx="726">
                  <c:v>0.1009278744570003</c:v>
                </c:pt>
                <c:pt idx="727">
                  <c:v>9.9903772986599013E-2</c:v>
                </c:pt>
                <c:pt idx="728">
                  <c:v>9.8897628053771822E-2</c:v>
                </c:pt>
                <c:pt idx="729">
                  <c:v>9.768469387925019E-2</c:v>
                </c:pt>
              </c:numCache>
            </c:numRef>
          </c:yVal>
          <c:smooth val="1"/>
          <c:extLst>
            <c:ext xmlns:c16="http://schemas.microsoft.com/office/drawing/2014/chart" uri="{C3380CC4-5D6E-409C-BE32-E72D297353CC}">
              <c16:uniqueId val="{00000002-82E2-F949-A62F-0E3FB63C19FC}"/>
            </c:ext>
          </c:extLst>
        </c:ser>
        <c:ser>
          <c:idx val="3"/>
          <c:order val="3"/>
          <c:tx>
            <c:strRef>
              <c:f>Gráficos!$V$5</c:f>
              <c:strCache>
                <c:ptCount val="1"/>
                <c:pt idx="0">
                  <c:v>Umbral alto de caudal</c:v>
                </c:pt>
              </c:strCache>
            </c:strRef>
          </c:tx>
          <c:spPr>
            <a:ln w="19050" cap="rnd">
              <a:solidFill>
                <a:srgbClr val="7030A0"/>
              </a:solidFill>
              <a:prstDash val="dash"/>
              <a:round/>
            </a:ln>
            <a:effectLst/>
          </c:spPr>
          <c:marker>
            <c:symbol val="none"/>
          </c:marker>
          <c:xVal>
            <c:numRef>
              <c:f>Gráficos!$U$6:$U$7</c:f>
              <c:numCache>
                <c:formatCode>0.0000</c:formatCode>
                <c:ptCount val="2"/>
                <c:pt idx="0">
                  <c:v>7.669972059387499E-2</c:v>
                </c:pt>
                <c:pt idx="1">
                  <c:v>99.923300279406106</c:v>
                </c:pt>
              </c:numCache>
            </c:numRef>
          </c:xVal>
          <c:yVal>
            <c:numRef>
              <c:f>Gráficos!$V$6:$V$7</c:f>
              <c:numCache>
                <c:formatCode>General</c:formatCode>
                <c:ptCount val="2"/>
                <c:pt idx="0">
                  <c:v>3</c:v>
                </c:pt>
                <c:pt idx="1">
                  <c:v>3</c:v>
                </c:pt>
              </c:numCache>
            </c:numRef>
          </c:yVal>
          <c:smooth val="1"/>
          <c:extLst>
            <c:ext xmlns:c16="http://schemas.microsoft.com/office/drawing/2014/chart" uri="{C3380CC4-5D6E-409C-BE32-E72D297353CC}">
              <c16:uniqueId val="{00000003-82E2-F949-A62F-0E3FB63C19FC}"/>
            </c:ext>
          </c:extLst>
        </c:ser>
        <c:ser>
          <c:idx val="4"/>
          <c:order val="4"/>
          <c:tx>
            <c:strRef>
              <c:f>Gráficos!$V$9</c:f>
              <c:strCache>
                <c:ptCount val="1"/>
                <c:pt idx="0">
                  <c:v>Umbral bajo de caudal</c:v>
                </c:pt>
              </c:strCache>
            </c:strRef>
          </c:tx>
          <c:spPr>
            <a:ln w="19050" cap="rnd">
              <a:solidFill>
                <a:srgbClr val="C00000"/>
              </a:solidFill>
              <a:prstDash val="dash"/>
              <a:round/>
            </a:ln>
            <a:effectLst/>
          </c:spPr>
          <c:marker>
            <c:symbol val="none"/>
          </c:marker>
          <c:xVal>
            <c:numRef>
              <c:f>Gráficos!$U$10:$U$11</c:f>
              <c:numCache>
                <c:formatCode>0.0000</c:formatCode>
                <c:ptCount val="2"/>
                <c:pt idx="0">
                  <c:v>7.669972059387499E-2</c:v>
                </c:pt>
                <c:pt idx="1">
                  <c:v>99.923300279406106</c:v>
                </c:pt>
              </c:numCache>
            </c:numRef>
          </c:xVal>
          <c:yVal>
            <c:numRef>
              <c:f>Gráficos!$V$10:$V$11</c:f>
              <c:numCache>
                <c:formatCode>General</c:formatCode>
                <c:ptCount val="2"/>
                <c:pt idx="0">
                  <c:v>0.215</c:v>
                </c:pt>
                <c:pt idx="1">
                  <c:v>0.215</c:v>
                </c:pt>
              </c:numCache>
            </c:numRef>
          </c:yVal>
          <c:smooth val="1"/>
          <c:extLst>
            <c:ext xmlns:c16="http://schemas.microsoft.com/office/drawing/2014/chart" uri="{C3380CC4-5D6E-409C-BE32-E72D297353CC}">
              <c16:uniqueId val="{00000004-82E2-F949-A62F-0E3FB63C19FC}"/>
            </c:ext>
          </c:extLst>
        </c:ser>
        <c:dLbls>
          <c:showLegendKey val="0"/>
          <c:showVal val="0"/>
          <c:showCatName val="0"/>
          <c:showSerName val="0"/>
          <c:showPercent val="0"/>
          <c:showBubbleSize val="0"/>
        </c:dLbls>
        <c:axId val="809718511"/>
        <c:axId val="809720159"/>
      </c:scatterChart>
      <c:valAx>
        <c:axId val="809718511"/>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1100" b="0" i="0" u="none" strike="noStrike" baseline="0">
                    <a:effectLst/>
                  </a:rPr>
                  <a:t>Probabilidad de Excedencia (%)</a:t>
                </a:r>
                <a:r>
                  <a:rPr lang="en-GB" sz="1100" b="0" i="0" u="none" strike="noStrike" baseline="0"/>
                  <a:t> </a:t>
                </a:r>
                <a:endParaRPr lang="en-GB"/>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Curva de duración de sedimentos</a:t>
            </a:r>
          </a:p>
        </c:rich>
      </c:tx>
      <c:overlay val="0"/>
      <c:spPr>
        <a:noFill/>
        <a:ln>
          <a:noFill/>
        </a:ln>
        <a:effectLst/>
      </c:spPr>
    </c:title>
    <c:autoTitleDeleted val="0"/>
    <c:plotArea>
      <c:layout/>
      <c:scatterChart>
        <c:scatterStyle val="lineMarker"/>
        <c:varyColors val="0"/>
        <c:ser>
          <c:idx val="0"/>
          <c:order val="0"/>
          <c:tx>
            <c:strRef>
              <c:f>Escenarios!$D$21</c:f>
              <c:strCache>
                <c:ptCount val="1"/>
                <c:pt idx="0">
                  <c:v>Línea base</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Gráficos!$AH$6:$AH$735</c:f>
              <c:numCache>
                <c:formatCode>0.0000</c:formatCode>
                <c:ptCount val="730"/>
                <c:pt idx="0">
                  <c:v>0.47958349045588006</c:v>
                </c:pt>
                <c:pt idx="1">
                  <c:v>0.47958349045588006</c:v>
                </c:pt>
                <c:pt idx="2">
                  <c:v>0.25220801154132461</c:v>
                </c:pt>
                <c:pt idx="3">
                  <c:v>0.25220801154132461</c:v>
                </c:pt>
                <c:pt idx="4">
                  <c:v>0.15766896565323904</c:v>
                </c:pt>
                <c:pt idx="5">
                  <c:v>0.15766896565323904</c:v>
                </c:pt>
                <c:pt idx="6">
                  <c:v>0.13682329539113258</c:v>
                </c:pt>
                <c:pt idx="7">
                  <c:v>0.13682329539113258</c:v>
                </c:pt>
                <c:pt idx="8">
                  <c:v>0.11426366964372266</c:v>
                </c:pt>
                <c:pt idx="9">
                  <c:v>0.11426366964372266</c:v>
                </c:pt>
                <c:pt idx="10">
                  <c:v>8.6646239802202221E-2</c:v>
                </c:pt>
                <c:pt idx="11">
                  <c:v>8.6646239802202221E-2</c:v>
                </c:pt>
                <c:pt idx="12">
                  <c:v>8.6646239802202221E-2</c:v>
                </c:pt>
                <c:pt idx="13">
                  <c:v>8.6646239802202221E-2</c:v>
                </c:pt>
                <c:pt idx="14">
                  <c:v>8.5173230797976562E-2</c:v>
                </c:pt>
                <c:pt idx="15">
                  <c:v>8.5173230797976562E-2</c:v>
                </c:pt>
                <c:pt idx="16">
                  <c:v>8.0851907840332568E-2</c:v>
                </c:pt>
                <c:pt idx="17">
                  <c:v>8.0851907840332568E-2</c:v>
                </c:pt>
                <c:pt idx="18">
                  <c:v>6.256577520466905E-2</c:v>
                </c:pt>
                <c:pt idx="19">
                  <c:v>6.256577520466905E-2</c:v>
                </c:pt>
                <c:pt idx="20">
                  <c:v>6.0197953100362217E-2</c:v>
                </c:pt>
                <c:pt idx="21">
                  <c:v>6.0197953100362217E-2</c:v>
                </c:pt>
                <c:pt idx="22">
                  <c:v>5.5639030568974297E-2</c:v>
                </c:pt>
                <c:pt idx="23">
                  <c:v>5.5639030568974297E-2</c:v>
                </c:pt>
                <c:pt idx="24">
                  <c:v>5.0264780360206471E-2</c:v>
                </c:pt>
                <c:pt idx="25">
                  <c:v>5.0264780360206471E-2</c:v>
                </c:pt>
                <c:pt idx="26">
                  <c:v>4.9232335602664927E-2</c:v>
                </c:pt>
                <c:pt idx="27">
                  <c:v>4.9232335602664927E-2</c:v>
                </c:pt>
                <c:pt idx="28">
                  <c:v>3.4549672719931479E-2</c:v>
                </c:pt>
                <c:pt idx="29">
                  <c:v>3.4549672719931479E-2</c:v>
                </c:pt>
                <c:pt idx="30">
                  <c:v>2.6338880763069634E-2</c:v>
                </c:pt>
                <c:pt idx="31">
                  <c:v>2.6338880763069634E-2</c:v>
                </c:pt>
                <c:pt idx="32">
                  <c:v>2.1251896640488425E-2</c:v>
                </c:pt>
                <c:pt idx="33">
                  <c:v>2.1251896640488425E-2</c:v>
                </c:pt>
                <c:pt idx="34">
                  <c:v>2.0665652672816309E-2</c:v>
                </c:pt>
                <c:pt idx="35">
                  <c:v>2.0665652672816309E-2</c:v>
                </c:pt>
                <c:pt idx="36">
                  <c:v>2.0665652672816309E-2</c:v>
                </c:pt>
                <c:pt idx="37">
                  <c:v>2.0665652672816309E-2</c:v>
                </c:pt>
                <c:pt idx="38">
                  <c:v>1.8426950409436069E-2</c:v>
                </c:pt>
                <c:pt idx="39">
                  <c:v>1.8426950409436069E-2</c:v>
                </c:pt>
                <c:pt idx="40">
                  <c:v>1.6856895987741743E-2</c:v>
                </c:pt>
                <c:pt idx="41">
                  <c:v>1.6856895987741743E-2</c:v>
                </c:pt>
                <c:pt idx="42">
                  <c:v>1.5860676452877469E-2</c:v>
                </c:pt>
                <c:pt idx="43">
                  <c:v>1.5860676452877469E-2</c:v>
                </c:pt>
                <c:pt idx="44">
                  <c:v>1.5377428642051225E-2</c:v>
                </c:pt>
                <c:pt idx="45">
                  <c:v>1.5377428642051225E-2</c:v>
                </c:pt>
                <c:pt idx="46">
                  <c:v>1.5377428642051225E-2</c:v>
                </c:pt>
                <c:pt idx="47">
                  <c:v>1.5377428642051225E-2</c:v>
                </c:pt>
                <c:pt idx="48">
                  <c:v>1.3541304422291688E-2</c:v>
                </c:pt>
                <c:pt idx="49">
                  <c:v>1.3541304422291688E-2</c:v>
                </c:pt>
                <c:pt idx="50">
                  <c:v>1.1855590955586196E-2</c:v>
                </c:pt>
                <c:pt idx="51">
                  <c:v>1.1855590955586196E-2</c:v>
                </c:pt>
                <c:pt idx="52">
                  <c:v>1.1456945735200001E-2</c:v>
                </c:pt>
                <c:pt idx="53">
                  <c:v>1.1456945735200001E-2</c:v>
                </c:pt>
                <c:pt idx="54">
                  <c:v>5.2279265862954149E-3</c:v>
                </c:pt>
                <c:pt idx="55">
                  <c:v>5.2279265862954149E-3</c:v>
                </c:pt>
                <c:pt idx="56">
                  <c:v>4.9961107469197472E-3</c:v>
                </c:pt>
                <c:pt idx="57">
                  <c:v>4.9961107469197472E-3</c:v>
                </c:pt>
                <c:pt idx="58">
                  <c:v>3.9378982306366083E-3</c:v>
                </c:pt>
                <c:pt idx="59">
                  <c:v>3.9378982306366083E-3</c:v>
                </c:pt>
                <c:pt idx="60">
                  <c:v>3.559814043822157E-3</c:v>
                </c:pt>
                <c:pt idx="61">
                  <c:v>3.559814043822157E-3</c:v>
                </c:pt>
                <c:pt idx="62">
                  <c:v>3.0386040027325953E-3</c:v>
                </c:pt>
                <c:pt idx="63">
                  <c:v>3.0386040027325953E-3</c:v>
                </c:pt>
                <c:pt idx="64">
                  <c:v>2.8767083000789347E-3</c:v>
                </c:pt>
                <c:pt idx="65">
                  <c:v>2.8767083000789347E-3</c:v>
                </c:pt>
                <c:pt idx="66">
                  <c:v>2.2856346590405343E-3</c:v>
                </c:pt>
                <c:pt idx="67">
                  <c:v>2.2856346590405343E-3</c:v>
                </c:pt>
                <c:pt idx="68">
                  <c:v>2.1514870737036175E-3</c:v>
                </c:pt>
                <c:pt idx="69">
                  <c:v>2.1514870737036175E-3</c:v>
                </c:pt>
                <c:pt idx="70">
                  <c:v>1.7801107591504911E-3</c:v>
                </c:pt>
                <c:pt idx="71">
                  <c:v>1.7801107591504911E-3</c:v>
                </c:pt>
                <c:pt idx="72">
                  <c:v>1.0817353202258308E-3</c:v>
                </c:pt>
                <c:pt idx="73">
                  <c:v>1.0817353202258308E-3</c:v>
                </c:pt>
                <c:pt idx="74">
                  <c:v>9.9969331054046494E-4</c:v>
                </c:pt>
                <c:pt idx="75">
                  <c:v>9.9969331054046494E-4</c:v>
                </c:pt>
                <c:pt idx="76">
                  <c:v>9.2177709115104616E-4</c:v>
                </c:pt>
                <c:pt idx="77">
                  <c:v>9.2177709115104616E-4</c:v>
                </c:pt>
                <c:pt idx="78">
                  <c:v>6.493322917720003E-4</c:v>
                </c:pt>
                <c:pt idx="79">
                  <c:v>6.493322917720003E-4</c:v>
                </c:pt>
                <c:pt idx="80">
                  <c:v>6.493322917720003E-4</c:v>
                </c:pt>
                <c:pt idx="81">
                  <c:v>6.493322917720003E-4</c:v>
                </c:pt>
                <c:pt idx="82">
                  <c:v>5.9051688147181234E-4</c:v>
                </c:pt>
                <c:pt idx="83">
                  <c:v>5.9051688147181234E-4</c:v>
                </c:pt>
                <c:pt idx="84">
                  <c:v>3.8938659586564293E-4</c:v>
                </c:pt>
                <c:pt idx="85">
                  <c:v>3.8938659586564293E-4</c:v>
                </c:pt>
                <c:pt idx="86">
                  <c:v>3.8938659586564293E-4</c:v>
                </c:pt>
                <c:pt idx="87">
                  <c:v>3.8938659586564293E-4</c:v>
                </c:pt>
                <c:pt idx="88">
                  <c:v>3.0787893885284799E-4</c:v>
                </c:pt>
                <c:pt idx="89">
                  <c:v>3.0787893885284799E-4</c:v>
                </c:pt>
                <c:pt idx="90">
                  <c:v>2.3799588974509939E-4</c:v>
                </c:pt>
                <c:pt idx="91">
                  <c:v>2.3799588974509939E-4</c:v>
                </c:pt>
                <c:pt idx="92">
                  <c:v>1.7892987414496321E-4</c:v>
                </c:pt>
                <c:pt idx="93">
                  <c:v>1.7892987414496321E-4</c:v>
                </c:pt>
                <c:pt idx="94">
                  <c:v>1.5320162510455492E-4</c:v>
                </c:pt>
                <c:pt idx="95">
                  <c:v>1.5320162510455492E-4</c:v>
                </c:pt>
                <c:pt idx="96">
                  <c:v>1.2987607046084803E-4</c:v>
                </c:pt>
                <c:pt idx="97">
                  <c:v>1.2987607046084803E-4</c:v>
                </c:pt>
                <c:pt idx="98">
                  <c:v>4.5794762485582542E-5</c:v>
                </c:pt>
                <c:pt idx="99">
                  <c:v>4.5794762485582542E-5</c:v>
                </c:pt>
                <c:pt idx="100">
                  <c:v>1.7815188259180114E-5</c:v>
                </c:pt>
                <c:pt idx="101">
                  <c:v>1.7815188259180114E-5</c:v>
                </c:pt>
                <c:pt idx="102">
                  <c:v>1.1643961711068925E-5</c:v>
                </c:pt>
                <c:pt idx="103">
                  <c:v>1.1643961711068925E-5</c:v>
                </c:pt>
                <c:pt idx="104">
                  <c:v>1.1643961711068925E-5</c:v>
                </c:pt>
                <c:pt idx="105">
                  <c:v>1.1643961711068925E-5</c:v>
                </c:pt>
                <c:pt idx="106">
                  <c:v>6.8882745780803645E-6</c:v>
                </c:pt>
                <c:pt idx="107">
                  <c:v>6.8882745780803645E-6</c:v>
                </c:pt>
                <c:pt idx="108">
                  <c:v>3.4515585325015168E-6</c:v>
                </c:pt>
                <c:pt idx="109">
                  <c:v>3.4515585325015168E-6</c:v>
                </c:pt>
                <c:pt idx="110">
                  <c:v>1.2377583021187898E-6</c:v>
                </c:pt>
                <c:pt idx="111">
                  <c:v>1.2377583021187898E-6</c:v>
                </c:pt>
                <c:pt idx="112">
                  <c:v>1.5136918328103932E-7</c:v>
                </c:pt>
                <c:pt idx="113">
                  <c:v>1.5136918328103932E-7</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0-5BDB-0B43-AF2F-08DD373D804F}"/>
            </c:ext>
          </c:extLst>
        </c:ser>
        <c:ser>
          <c:idx val="1"/>
          <c:order val="1"/>
          <c:tx>
            <c:strRef>
              <c:f>Escenarios!$E$28</c:f>
              <c:strCache>
                <c:ptCount val="1"/>
                <c:pt idx="0">
                  <c:v>Escenario 1</c:v>
                </c:pt>
              </c:strCache>
            </c:strRef>
          </c:tx>
          <c:spPr>
            <a:ln w="12700"/>
          </c:spPr>
          <c:marker>
            <c:symbol val="none"/>
          </c:marker>
          <c:dPt>
            <c:idx val="9"/>
            <c:bubble3D val="0"/>
            <c:extLst>
              <c:ext xmlns:c16="http://schemas.microsoft.com/office/drawing/2014/chart" uri="{C3380CC4-5D6E-409C-BE32-E72D297353CC}">
                <c16:uniqueId val="{00000000-F948-B441-B4A7-628F17AEB112}"/>
              </c:ext>
            </c:extLst>
          </c:dPt>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Gráficos!$AJ$6:$AJ$735</c:f>
              <c:numCache>
                <c:formatCode>0.0000</c:formatCode>
                <c:ptCount val="730"/>
                <c:pt idx="0">
                  <c:v>1.0813584234106548E-4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1-5BDB-0B43-AF2F-08DD373D804F}"/>
            </c:ext>
          </c:extLst>
        </c:ser>
        <c:ser>
          <c:idx val="2"/>
          <c:order val="2"/>
          <c:tx>
            <c:strRef>
              <c:f>Escenarios!$F$28</c:f>
              <c:strCache>
                <c:ptCount val="1"/>
                <c:pt idx="0">
                  <c:v>Escenario 2</c:v>
                </c:pt>
              </c:strCache>
            </c:strRef>
          </c:tx>
          <c:spPr>
            <a:ln w="12700">
              <a:solidFill>
                <a:schemeClr val="accent6"/>
              </a:solidFill>
            </a:ln>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Gráficos!$AL$6:$AL$735</c:f>
              <c:numCache>
                <c:formatCode>0.0000</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2-5BDB-0B43-AF2F-08DD373D804F}"/>
            </c:ext>
          </c:extLst>
        </c:ser>
        <c:ser>
          <c:idx val="3"/>
          <c:order val="3"/>
          <c:tx>
            <c:strRef>
              <c:f>Gráficos!$V$13</c:f>
              <c:strCache>
                <c:ptCount val="1"/>
                <c:pt idx="0">
                  <c:v>Umbral alto de sedimentos</c:v>
                </c:pt>
              </c:strCache>
            </c:strRef>
          </c:tx>
          <c:spPr>
            <a:ln w="19050" cap="rnd">
              <a:solidFill>
                <a:srgbClr val="7030A0"/>
              </a:solidFill>
              <a:prstDash val="dash"/>
              <a:round/>
            </a:ln>
            <a:effectLst/>
          </c:spPr>
          <c:marker>
            <c:symbol val="none"/>
          </c:marker>
          <c:xVal>
            <c:numRef>
              <c:f>Gráficos!$U$14:$U$15</c:f>
              <c:numCache>
                <c:formatCode>0.0000</c:formatCode>
                <c:ptCount val="2"/>
                <c:pt idx="0">
                  <c:v>7.669972059387499E-2</c:v>
                </c:pt>
                <c:pt idx="1">
                  <c:v>99.923300279406106</c:v>
                </c:pt>
              </c:numCache>
            </c:numRef>
          </c:xVal>
          <c:yVal>
            <c:numRef>
              <c:f>Gráficos!$V$14:$V$15</c:f>
              <c:numCache>
                <c:formatCode>General</c:formatCode>
                <c:ptCount val="2"/>
                <c:pt idx="0">
                  <c:v>0.01</c:v>
                </c:pt>
                <c:pt idx="1">
                  <c:v>0.01</c:v>
                </c:pt>
              </c:numCache>
            </c:numRef>
          </c:yVal>
          <c:smooth val="0"/>
          <c:extLst>
            <c:ext xmlns:c16="http://schemas.microsoft.com/office/drawing/2014/chart" uri="{C3380CC4-5D6E-409C-BE32-E72D297353CC}">
              <c16:uniqueId val="{00000003-5BDB-0B43-AF2F-08DD373D804F}"/>
            </c:ext>
          </c:extLst>
        </c:ser>
        <c:ser>
          <c:idx val="4"/>
          <c:order val="4"/>
          <c:tx>
            <c:strRef>
              <c:f>Gráficos!$V$17</c:f>
              <c:strCache>
                <c:ptCount val="1"/>
                <c:pt idx="0">
                  <c:v>Umbral bajo de sedimentos</c:v>
                </c:pt>
              </c:strCache>
            </c:strRef>
          </c:tx>
          <c:spPr>
            <a:ln w="19050" cap="rnd">
              <a:solidFill>
                <a:srgbClr val="C00000"/>
              </a:solidFill>
              <a:prstDash val="dash"/>
              <a:round/>
            </a:ln>
            <a:effectLst/>
          </c:spPr>
          <c:marker>
            <c:symbol val="none"/>
          </c:marker>
          <c:xVal>
            <c:numRef>
              <c:f>Gráficos!$U$18:$U$19</c:f>
              <c:numCache>
                <c:formatCode>0.0000</c:formatCode>
                <c:ptCount val="2"/>
                <c:pt idx="0">
                  <c:v>7.669972059387499E-2</c:v>
                </c:pt>
                <c:pt idx="1">
                  <c:v>99.923300279406106</c:v>
                </c:pt>
              </c:numCache>
            </c:numRef>
          </c:xVal>
          <c:yVal>
            <c:numRef>
              <c:f>Gráficos!$V$18:$V$19</c:f>
              <c:numCache>
                <c:formatCode>General</c:formatCode>
                <c:ptCount val="2"/>
                <c:pt idx="0">
                  <c:v>1.5E-3</c:v>
                </c:pt>
                <c:pt idx="1">
                  <c:v>1.5E-3</c:v>
                </c:pt>
              </c:numCache>
            </c:numRef>
          </c:yVal>
          <c:smooth val="0"/>
          <c:extLst>
            <c:ext xmlns:c16="http://schemas.microsoft.com/office/drawing/2014/chart" uri="{C3380CC4-5D6E-409C-BE32-E72D297353CC}">
              <c16:uniqueId val="{00000004-5BDB-0B43-AF2F-08DD373D804F}"/>
            </c:ext>
          </c:extLst>
        </c:ser>
        <c:dLbls>
          <c:showLegendKey val="0"/>
          <c:showVal val="0"/>
          <c:showCatName val="0"/>
          <c:showSerName val="0"/>
          <c:showPercent val="0"/>
          <c:showBubbleSize val="0"/>
        </c:dLbls>
        <c:axId val="809718511"/>
        <c:axId val="809720159"/>
      </c:scatterChart>
      <c:valAx>
        <c:axId val="809718511"/>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Probabilidad de Excedencia (%)</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3</xdr:col>
      <xdr:colOff>635000</xdr:colOff>
      <xdr:row>6</xdr:row>
      <xdr:rowOff>254000</xdr:rowOff>
    </xdr:from>
    <xdr:to>
      <xdr:col>12</xdr:col>
      <xdr:colOff>292100</xdr:colOff>
      <xdr:row>6</xdr:row>
      <xdr:rowOff>679564</xdr:rowOff>
    </xdr:to>
    <xdr:pic>
      <xdr:nvPicPr>
        <xdr:cNvPr id="2" name="Picture 1">
          <a:extLst>
            <a:ext uri="{FF2B5EF4-FFF2-40B4-BE49-F238E27FC236}">
              <a16:creationId xmlns:a16="http://schemas.microsoft.com/office/drawing/2014/main" id="{B66A3A8C-B3BF-804C-8679-8F49BA3191BE}"/>
            </a:ext>
          </a:extLst>
        </xdr:cNvPr>
        <xdr:cNvPicPr>
          <a:picLocks noChangeAspect="1"/>
        </xdr:cNvPicPr>
      </xdr:nvPicPr>
      <xdr:blipFill>
        <a:blip xmlns:r="http://schemas.openxmlformats.org/officeDocument/2006/relationships" r:embed="rId1"/>
        <a:stretch>
          <a:fillRect/>
        </a:stretch>
      </xdr:blipFill>
      <xdr:spPr>
        <a:xfrm>
          <a:off x="2070100" y="495300"/>
          <a:ext cx="7772400" cy="425564"/>
        </a:xfrm>
        <a:prstGeom prst="rect">
          <a:avLst/>
        </a:prstGeom>
      </xdr:spPr>
    </xdr:pic>
    <xdr:clientData/>
  </xdr:twoCellAnchor>
  <xdr:twoCellAnchor editAs="oneCell">
    <xdr:from>
      <xdr:col>3</xdr:col>
      <xdr:colOff>533400</xdr:colOff>
      <xdr:row>10</xdr:row>
      <xdr:rowOff>38100</xdr:rowOff>
    </xdr:from>
    <xdr:to>
      <xdr:col>12</xdr:col>
      <xdr:colOff>190500</xdr:colOff>
      <xdr:row>22</xdr:row>
      <xdr:rowOff>49251</xdr:rowOff>
    </xdr:to>
    <xdr:pic>
      <xdr:nvPicPr>
        <xdr:cNvPr id="6" name="Picture 5">
          <a:extLst>
            <a:ext uri="{FF2B5EF4-FFF2-40B4-BE49-F238E27FC236}">
              <a16:creationId xmlns:a16="http://schemas.microsoft.com/office/drawing/2014/main" id="{7FE14997-48C8-37D6-6BD8-163CD1E4FD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0" y="2286000"/>
          <a:ext cx="7772400" cy="2297151"/>
        </a:xfrm>
        <a:prstGeom prst="rect">
          <a:avLst/>
        </a:prstGeom>
      </xdr:spPr>
    </xdr:pic>
    <xdr:clientData/>
  </xdr:twoCellAnchor>
  <xdr:twoCellAnchor editAs="oneCell">
    <xdr:from>
      <xdr:col>3</xdr:col>
      <xdr:colOff>585107</xdr:colOff>
      <xdr:row>6</xdr:row>
      <xdr:rowOff>1021442</xdr:rowOff>
    </xdr:from>
    <xdr:to>
      <xdr:col>11</xdr:col>
      <xdr:colOff>711200</xdr:colOff>
      <xdr:row>7</xdr:row>
      <xdr:rowOff>254000</xdr:rowOff>
    </xdr:to>
    <xdr:pic>
      <xdr:nvPicPr>
        <xdr:cNvPr id="3" name="Picture 2">
          <a:extLst>
            <a:ext uri="{FF2B5EF4-FFF2-40B4-BE49-F238E27FC236}">
              <a16:creationId xmlns:a16="http://schemas.microsoft.com/office/drawing/2014/main" id="{67C0AD84-2FAA-9021-55F7-7CB5C6D95BCC}"/>
            </a:ext>
          </a:extLst>
        </xdr:cNvPr>
        <xdr:cNvPicPr>
          <a:picLocks noChangeAspect="1"/>
        </xdr:cNvPicPr>
      </xdr:nvPicPr>
      <xdr:blipFill rotWithShape="1">
        <a:blip xmlns:r="http://schemas.openxmlformats.org/officeDocument/2006/relationships" r:embed="rId3"/>
        <a:srcRect t="-1" r="30651" b="-3750"/>
        <a:stretch/>
      </xdr:blipFill>
      <xdr:spPr>
        <a:xfrm>
          <a:off x="1893207" y="1256392"/>
          <a:ext cx="6730093" cy="4517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120</xdr:row>
      <xdr:rowOff>0</xdr:rowOff>
    </xdr:from>
    <xdr:to>
      <xdr:col>23</xdr:col>
      <xdr:colOff>0</xdr:colOff>
      <xdr:row>148</xdr:row>
      <xdr:rowOff>0</xdr:rowOff>
    </xdr:to>
    <xdr:graphicFrame macro="">
      <xdr:nvGraphicFramePr>
        <xdr:cNvPr id="7" name="Chart 6">
          <a:extLst>
            <a:ext uri="{FF2B5EF4-FFF2-40B4-BE49-F238E27FC236}">
              <a16:creationId xmlns:a16="http://schemas.microsoft.com/office/drawing/2014/main" id="{EF0443A1-1369-6040-8B47-DD6EDC997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149</xdr:row>
      <xdr:rowOff>0</xdr:rowOff>
    </xdr:from>
    <xdr:to>
      <xdr:col>23</xdr:col>
      <xdr:colOff>0</xdr:colOff>
      <xdr:row>177</xdr:row>
      <xdr:rowOff>0</xdr:rowOff>
    </xdr:to>
    <xdr:graphicFrame macro="">
      <xdr:nvGraphicFramePr>
        <xdr:cNvPr id="8" name="Chart 7">
          <a:extLst>
            <a:ext uri="{FF2B5EF4-FFF2-40B4-BE49-F238E27FC236}">
              <a16:creationId xmlns:a16="http://schemas.microsoft.com/office/drawing/2014/main" id="{B1B71004-8385-8542-B98C-4610FCED8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279400</xdr:colOff>
      <xdr:row>94</xdr:row>
      <xdr:rowOff>127000</xdr:rowOff>
    </xdr:from>
    <xdr:to>
      <xdr:col>16</xdr:col>
      <xdr:colOff>552449</xdr:colOff>
      <xdr:row>101</xdr:row>
      <xdr:rowOff>31750</xdr:rowOff>
    </xdr:to>
    <xdr:pic>
      <xdr:nvPicPr>
        <xdr:cNvPr id="11" name="Picture 10">
          <a:extLst>
            <a:ext uri="{FF2B5EF4-FFF2-40B4-BE49-F238E27FC236}">
              <a16:creationId xmlns:a16="http://schemas.microsoft.com/office/drawing/2014/main" id="{B6465B8D-28ED-C345-BF50-23767F0C3175}"/>
            </a:ext>
          </a:extLst>
        </xdr:cNvPr>
        <xdr:cNvPicPr>
          <a:picLocks noChangeAspect="1"/>
        </xdr:cNvPicPr>
      </xdr:nvPicPr>
      <xdr:blipFill>
        <a:blip xmlns:r="http://schemas.openxmlformats.org/officeDocument/2006/relationships" r:embed="rId3">
          <a:duotone>
            <a:prstClr val="black"/>
            <a:schemeClr val="bg1">
              <a:lumMod val="85000"/>
              <a:tint val="45000"/>
              <a:satMod val="400000"/>
            </a:schemeClr>
          </a:duotone>
        </a:blip>
        <a:stretch>
          <a:fillRect/>
        </a:stretch>
      </xdr:blipFill>
      <xdr:spPr>
        <a:xfrm>
          <a:off x="13652500" y="9296400"/>
          <a:ext cx="1746250" cy="1365250"/>
        </a:xfrm>
        <a:prstGeom prst="rect">
          <a:avLst/>
        </a:prstGeom>
      </xdr:spPr>
    </xdr:pic>
    <xdr:clientData/>
  </xdr:twoCellAnchor>
  <xdr:twoCellAnchor editAs="oneCell">
    <xdr:from>
      <xdr:col>12</xdr:col>
      <xdr:colOff>177800</xdr:colOff>
      <xdr:row>89</xdr:row>
      <xdr:rowOff>88900</xdr:rowOff>
    </xdr:from>
    <xdr:to>
      <xdr:col>14</xdr:col>
      <xdr:colOff>247650</xdr:colOff>
      <xdr:row>96</xdr:row>
      <xdr:rowOff>44450</xdr:rowOff>
    </xdr:to>
    <xdr:pic>
      <xdr:nvPicPr>
        <xdr:cNvPr id="12" name="Picture 11">
          <a:extLst>
            <a:ext uri="{FF2B5EF4-FFF2-40B4-BE49-F238E27FC236}">
              <a16:creationId xmlns:a16="http://schemas.microsoft.com/office/drawing/2014/main" id="{427B8757-9CF1-4942-821D-9C3080C0822A}"/>
            </a:ext>
          </a:extLst>
        </xdr:cNvPr>
        <xdr:cNvPicPr>
          <a:picLocks noChangeAspect="1"/>
        </xdr:cNvPicPr>
      </xdr:nvPicPr>
      <xdr:blipFill>
        <a:blip xmlns:r="http://schemas.openxmlformats.org/officeDocument/2006/relationships" r:embed="rId4">
          <a:grayscl/>
        </a:blip>
        <a:stretch>
          <a:fillRect/>
        </a:stretch>
      </xdr:blipFill>
      <xdr:spPr>
        <a:xfrm>
          <a:off x="11874500" y="8280400"/>
          <a:ext cx="1746250" cy="1365250"/>
        </a:xfrm>
        <a:prstGeom prst="rect">
          <a:avLst/>
        </a:prstGeom>
      </xdr:spPr>
    </xdr:pic>
    <xdr:clientData/>
  </xdr:twoCellAnchor>
  <xdr:twoCellAnchor editAs="oneCell">
    <xdr:from>
      <xdr:col>12</xdr:col>
      <xdr:colOff>177800</xdr:colOff>
      <xdr:row>97</xdr:row>
      <xdr:rowOff>190500</xdr:rowOff>
    </xdr:from>
    <xdr:to>
      <xdr:col>14</xdr:col>
      <xdr:colOff>247650</xdr:colOff>
      <xdr:row>103</xdr:row>
      <xdr:rowOff>146050</xdr:rowOff>
    </xdr:to>
    <xdr:pic>
      <xdr:nvPicPr>
        <xdr:cNvPr id="16" name="Picture 15">
          <a:extLst>
            <a:ext uri="{FF2B5EF4-FFF2-40B4-BE49-F238E27FC236}">
              <a16:creationId xmlns:a16="http://schemas.microsoft.com/office/drawing/2014/main" id="{0BDF5895-EC94-9949-9E14-BF3D8D660B90}"/>
            </a:ext>
          </a:extLst>
        </xdr:cNvPr>
        <xdr:cNvPicPr>
          <a:picLocks noChangeAspect="1"/>
        </xdr:cNvPicPr>
      </xdr:nvPicPr>
      <xdr:blipFill>
        <a:blip xmlns:r="http://schemas.openxmlformats.org/officeDocument/2006/relationships" r:embed="rId5">
          <a:grayscl/>
        </a:blip>
        <a:stretch>
          <a:fillRect/>
        </a:stretch>
      </xdr:blipFill>
      <xdr:spPr>
        <a:xfrm>
          <a:off x="11874500" y="10007600"/>
          <a:ext cx="1746250" cy="1174750"/>
        </a:xfrm>
        <a:prstGeom prst="rect">
          <a:avLst/>
        </a:prstGeom>
      </xdr:spPr>
    </xdr:pic>
    <xdr:clientData/>
  </xdr:twoCellAnchor>
  <xdr:twoCellAnchor editAs="oneCell">
    <xdr:from>
      <xdr:col>11</xdr:col>
      <xdr:colOff>0</xdr:colOff>
      <xdr:row>62</xdr:row>
      <xdr:rowOff>0</xdr:rowOff>
    </xdr:from>
    <xdr:to>
      <xdr:col>13</xdr:col>
      <xdr:colOff>406400</xdr:colOff>
      <xdr:row>71</xdr:row>
      <xdr:rowOff>17530</xdr:rowOff>
    </xdr:to>
    <xdr:pic>
      <xdr:nvPicPr>
        <xdr:cNvPr id="9" name="Imagen 2">
          <a:extLst>
            <a:ext uri="{FF2B5EF4-FFF2-40B4-BE49-F238E27FC236}">
              <a16:creationId xmlns:a16="http://schemas.microsoft.com/office/drawing/2014/main" id="{0E4FC016-FFA7-1E42-AC39-D5A71856D4F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023600" y="4216400"/>
          <a:ext cx="2794000" cy="1757430"/>
        </a:xfrm>
        <a:prstGeom prst="rect">
          <a:avLst/>
        </a:prstGeom>
        <a:solidFill>
          <a:srgbClr val="193F57"/>
        </a:solidFill>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821944</xdr:colOff>
      <xdr:row>30</xdr:row>
      <xdr:rowOff>186436</xdr:rowOff>
    </xdr:to>
    <xdr:graphicFrame macro="">
      <xdr:nvGraphicFramePr>
        <xdr:cNvPr id="6" name="Chart 5">
          <a:extLst>
            <a:ext uri="{FF2B5EF4-FFF2-40B4-BE49-F238E27FC236}">
              <a16:creationId xmlns:a16="http://schemas.microsoft.com/office/drawing/2014/main" id="{42F791F2-93D6-5C41-A390-6FC409633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32</xdr:row>
      <xdr:rowOff>0</xdr:rowOff>
    </xdr:from>
    <xdr:to>
      <xdr:col>5</xdr:col>
      <xdr:colOff>821944</xdr:colOff>
      <xdr:row>59</xdr:row>
      <xdr:rowOff>4572</xdr:rowOff>
    </xdr:to>
    <xdr:graphicFrame macro="">
      <xdr:nvGraphicFramePr>
        <xdr:cNvPr id="8" name="Chart 7">
          <a:extLst>
            <a:ext uri="{FF2B5EF4-FFF2-40B4-BE49-F238E27FC236}">
              <a16:creationId xmlns:a16="http://schemas.microsoft.com/office/drawing/2014/main" id="{4C49F725-DED1-0F4C-8AAD-E714EB6ED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60</xdr:row>
      <xdr:rowOff>0</xdr:rowOff>
    </xdr:from>
    <xdr:to>
      <xdr:col>6</xdr:col>
      <xdr:colOff>0</xdr:colOff>
      <xdr:row>87</xdr:row>
      <xdr:rowOff>4572</xdr:rowOff>
    </xdr:to>
    <xdr:graphicFrame macro="">
      <xdr:nvGraphicFramePr>
        <xdr:cNvPr id="10" name="Chart 9">
          <a:extLst>
            <a:ext uri="{FF2B5EF4-FFF2-40B4-BE49-F238E27FC236}">
              <a16:creationId xmlns:a16="http://schemas.microsoft.com/office/drawing/2014/main" id="{25A99C4A-C8D2-B74D-9458-EDD596DB2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4</xdr:row>
      <xdr:rowOff>0</xdr:rowOff>
    </xdr:from>
    <xdr:to>
      <xdr:col>11</xdr:col>
      <xdr:colOff>9144</xdr:colOff>
      <xdr:row>30</xdr:row>
      <xdr:rowOff>186436</xdr:rowOff>
    </xdr:to>
    <xdr:graphicFrame macro="">
      <xdr:nvGraphicFramePr>
        <xdr:cNvPr id="11" name="Chart 10">
          <a:extLst>
            <a:ext uri="{FF2B5EF4-FFF2-40B4-BE49-F238E27FC236}">
              <a16:creationId xmlns:a16="http://schemas.microsoft.com/office/drawing/2014/main" id="{CFF6A49A-7AD1-254E-A6A9-C161C078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32</xdr:row>
      <xdr:rowOff>0</xdr:rowOff>
    </xdr:from>
    <xdr:to>
      <xdr:col>11</xdr:col>
      <xdr:colOff>9144</xdr:colOff>
      <xdr:row>59</xdr:row>
      <xdr:rowOff>4572</xdr:rowOff>
    </xdr:to>
    <xdr:graphicFrame macro="">
      <xdr:nvGraphicFramePr>
        <xdr:cNvPr id="12" name="Chart 11">
          <a:extLst>
            <a:ext uri="{FF2B5EF4-FFF2-40B4-BE49-F238E27FC236}">
              <a16:creationId xmlns:a16="http://schemas.microsoft.com/office/drawing/2014/main" id="{2669A007-DA8D-6E4B-B386-6E84D4351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4</xdr:row>
      <xdr:rowOff>0</xdr:rowOff>
    </xdr:from>
    <xdr:to>
      <xdr:col>16</xdr:col>
      <xdr:colOff>9144</xdr:colOff>
      <xdr:row>30</xdr:row>
      <xdr:rowOff>186436</xdr:rowOff>
    </xdr:to>
    <xdr:graphicFrame macro="">
      <xdr:nvGraphicFramePr>
        <xdr:cNvPr id="13" name="Chart 12">
          <a:extLst>
            <a:ext uri="{FF2B5EF4-FFF2-40B4-BE49-F238E27FC236}">
              <a16:creationId xmlns:a16="http://schemas.microsoft.com/office/drawing/2014/main" id="{CA1563F8-00F7-B347-9D81-66099FADF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32</xdr:row>
      <xdr:rowOff>0</xdr:rowOff>
    </xdr:from>
    <xdr:to>
      <xdr:col>16</xdr:col>
      <xdr:colOff>9144</xdr:colOff>
      <xdr:row>59</xdr:row>
      <xdr:rowOff>4572</xdr:rowOff>
    </xdr:to>
    <xdr:graphicFrame macro="">
      <xdr:nvGraphicFramePr>
        <xdr:cNvPr id="14" name="Chart 13">
          <a:extLst>
            <a:ext uri="{FF2B5EF4-FFF2-40B4-BE49-F238E27FC236}">
              <a16:creationId xmlns:a16="http://schemas.microsoft.com/office/drawing/2014/main" id="{0D2DBC56-BAD1-D74B-80EF-F83B8417B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E7787-407E-214C-BAE5-59C39B96D70E}">
  <dimension ref="A1:AZ114"/>
  <sheetViews>
    <sheetView tabSelected="1" zoomScaleNormal="100" workbookViewId="0">
      <selection activeCell="P8" sqref="P8"/>
    </sheetView>
  </sheetViews>
  <sheetFormatPr baseColWidth="10" defaultColWidth="8.81640625" defaultRowHeight="14"/>
  <cols>
    <col min="1" max="1" width="4.453125" style="2" customWidth="1"/>
    <col min="2" max="2" width="2.453125" style="2" customWidth="1"/>
    <col min="3" max="3" width="11.81640625" style="2" customWidth="1"/>
    <col min="4" max="14" width="11.81640625" style="3" customWidth="1"/>
    <col min="15" max="15" width="2.453125" style="3" customWidth="1"/>
    <col min="16" max="52" width="8.81640625" style="2"/>
    <col min="53" max="16384" width="8.81640625" style="3"/>
  </cols>
  <sheetData>
    <row r="1" spans="2:15" s="2" customFormat="1"/>
    <row r="2" spans="2:15" s="2" customFormat="1" ht="4.5" customHeight="1" thickBot="1"/>
    <row r="3" spans="2:15" s="2" customFormat="1" ht="14.5" hidden="1" thickBot="1"/>
    <row r="4" spans="2:15" s="2" customFormat="1" ht="14.5" hidden="1" thickBot="1"/>
    <row r="5" spans="2:15" s="2" customFormat="1" ht="14.5" hidden="1" thickBot="1"/>
    <row r="6" spans="2:15" s="2" customFormat="1" ht="14.5" hidden="1" thickBot="1"/>
    <row r="7" spans="2:15" s="2" customFormat="1" ht="96" customHeight="1">
      <c r="B7" s="8"/>
      <c r="C7" s="9"/>
      <c r="D7" s="9"/>
      <c r="E7" s="9"/>
      <c r="F7" s="9"/>
      <c r="G7" s="9"/>
      <c r="H7" s="9"/>
      <c r="I7" s="9"/>
      <c r="J7" s="9"/>
      <c r="K7" s="9"/>
      <c r="L7" s="9"/>
      <c r="M7" s="9"/>
      <c r="N7" s="9"/>
      <c r="O7" s="10"/>
    </row>
    <row r="8" spans="2:15" s="2" customFormat="1" ht="32.25" customHeight="1">
      <c r="B8" s="13"/>
      <c r="O8" s="14"/>
    </row>
    <row r="9" spans="2:15">
      <c r="B9" s="202"/>
      <c r="C9" s="203"/>
      <c r="D9" s="118"/>
      <c r="E9" s="118"/>
      <c r="F9" s="118"/>
      <c r="G9" s="118"/>
      <c r="H9" s="118"/>
      <c r="I9" s="118"/>
      <c r="J9" s="118"/>
      <c r="K9" s="118"/>
      <c r="L9" s="118"/>
      <c r="M9" s="118"/>
      <c r="N9" s="118"/>
      <c r="O9" s="86"/>
    </row>
    <row r="10" spans="2:15" s="2" customFormat="1">
      <c r="B10" s="88"/>
      <c r="C10" s="123"/>
      <c r="D10" s="124"/>
      <c r="E10" s="124"/>
      <c r="F10" s="124"/>
      <c r="G10" s="124"/>
      <c r="H10" s="124"/>
      <c r="I10" s="124"/>
      <c r="J10" s="124"/>
      <c r="K10" s="124"/>
      <c r="L10" s="124"/>
      <c r="M10" s="124"/>
      <c r="N10" s="124"/>
      <c r="O10" s="89"/>
    </row>
    <row r="11" spans="2:15" s="2" customFormat="1">
      <c r="B11" s="88"/>
      <c r="C11" s="123"/>
      <c r="D11" s="124"/>
      <c r="E11" s="124"/>
      <c r="F11" s="124"/>
      <c r="G11" s="124"/>
      <c r="H11" s="124"/>
      <c r="I11" s="124"/>
      <c r="J11" s="124"/>
      <c r="K11" s="124"/>
      <c r="L11" s="124"/>
      <c r="M11" s="124"/>
      <c r="N11" s="124"/>
      <c r="O11" s="89"/>
    </row>
    <row r="12" spans="2:15" s="2" customFormat="1">
      <c r="B12" s="88"/>
      <c r="C12" s="123"/>
      <c r="D12" s="124"/>
      <c r="E12" s="124"/>
      <c r="F12" s="124"/>
      <c r="G12" s="124"/>
      <c r="H12" s="124"/>
      <c r="I12" s="124"/>
      <c r="J12" s="124"/>
      <c r="K12" s="124"/>
      <c r="L12" s="124"/>
      <c r="M12" s="124"/>
      <c r="N12" s="124"/>
      <c r="O12" s="89"/>
    </row>
    <row r="13" spans="2:15" s="2" customFormat="1">
      <c r="B13" s="88"/>
      <c r="C13" s="123"/>
      <c r="D13" s="124"/>
      <c r="E13" s="124"/>
      <c r="F13" s="124"/>
      <c r="G13" s="124"/>
      <c r="H13" s="124"/>
      <c r="I13" s="124"/>
      <c r="J13" s="124"/>
      <c r="K13" s="124"/>
      <c r="L13" s="124"/>
      <c r="M13" s="124"/>
      <c r="N13" s="124"/>
      <c r="O13" s="89"/>
    </row>
    <row r="14" spans="2:15" s="2" customFormat="1">
      <c r="B14" s="88"/>
      <c r="C14" s="123"/>
      <c r="D14" s="124"/>
      <c r="E14" s="124"/>
      <c r="F14" s="124"/>
      <c r="G14" s="124"/>
      <c r="H14" s="124"/>
      <c r="I14" s="124"/>
      <c r="J14" s="124"/>
      <c r="K14" s="124"/>
      <c r="L14" s="124"/>
      <c r="M14" s="124"/>
      <c r="N14" s="124"/>
      <c r="O14" s="89"/>
    </row>
    <row r="15" spans="2:15" s="2" customFormat="1">
      <c r="B15" s="88"/>
      <c r="C15" s="123"/>
      <c r="D15" s="124"/>
      <c r="E15" s="124"/>
      <c r="F15" s="124"/>
      <c r="G15" s="124"/>
      <c r="H15" s="124"/>
      <c r="I15" s="124"/>
      <c r="J15" s="124"/>
      <c r="K15" s="124"/>
      <c r="L15" s="124"/>
      <c r="M15" s="124"/>
      <c r="N15" s="124"/>
      <c r="O15" s="89"/>
    </row>
    <row r="16" spans="2:15" s="2" customFormat="1">
      <c r="B16" s="88"/>
      <c r="C16" s="123"/>
      <c r="D16" s="124"/>
      <c r="E16" s="124"/>
      <c r="F16" s="124"/>
      <c r="G16" s="124"/>
      <c r="H16" s="124"/>
      <c r="I16" s="124"/>
      <c r="J16" s="124"/>
      <c r="K16" s="124"/>
      <c r="L16" s="124"/>
      <c r="M16" s="124"/>
      <c r="N16" s="124"/>
      <c r="O16" s="89"/>
    </row>
    <row r="17" spans="2:15" s="2" customFormat="1">
      <c r="B17" s="88"/>
      <c r="C17" s="123"/>
      <c r="D17" s="124"/>
      <c r="E17" s="124"/>
      <c r="F17" s="124"/>
      <c r="G17" s="124"/>
      <c r="H17" s="124"/>
      <c r="I17" s="124"/>
      <c r="J17" s="124"/>
      <c r="K17" s="124"/>
      <c r="L17" s="124"/>
      <c r="M17" s="124"/>
      <c r="N17" s="124"/>
      <c r="O17" s="89"/>
    </row>
    <row r="18" spans="2:15" s="2" customFormat="1">
      <c r="B18" s="88"/>
      <c r="C18" s="123"/>
      <c r="D18" s="124"/>
      <c r="E18" s="124"/>
      <c r="F18" s="124"/>
      <c r="G18" s="124"/>
      <c r="H18" s="124"/>
      <c r="I18" s="124"/>
      <c r="J18" s="124"/>
      <c r="K18" s="124"/>
      <c r="L18" s="124"/>
      <c r="M18" s="124"/>
      <c r="N18" s="124"/>
      <c r="O18" s="89"/>
    </row>
    <row r="19" spans="2:15" s="2" customFormat="1">
      <c r="B19" s="88"/>
      <c r="C19" s="123"/>
      <c r="D19" s="124"/>
      <c r="E19" s="124"/>
      <c r="F19" s="124"/>
      <c r="G19" s="124"/>
      <c r="H19" s="124"/>
      <c r="I19" s="124"/>
      <c r="J19" s="124"/>
      <c r="K19" s="124"/>
      <c r="L19" s="124"/>
      <c r="M19" s="124"/>
      <c r="N19" s="124"/>
      <c r="O19" s="89"/>
    </row>
    <row r="20" spans="2:15" s="2" customFormat="1">
      <c r="B20" s="88"/>
      <c r="C20" s="123"/>
      <c r="D20" s="124"/>
      <c r="E20" s="124"/>
      <c r="F20" s="124"/>
      <c r="G20" s="124"/>
      <c r="H20" s="124"/>
      <c r="I20" s="124"/>
      <c r="J20" s="124"/>
      <c r="K20" s="124"/>
      <c r="L20" s="124"/>
      <c r="M20" s="124"/>
      <c r="N20" s="124"/>
      <c r="O20" s="89"/>
    </row>
    <row r="21" spans="2:15" s="2" customFormat="1">
      <c r="B21" s="88"/>
      <c r="C21" s="123"/>
      <c r="D21" s="124"/>
      <c r="E21" s="124"/>
      <c r="F21" s="124"/>
      <c r="G21" s="124"/>
      <c r="H21" s="124"/>
      <c r="I21" s="124"/>
      <c r="J21" s="124"/>
      <c r="K21" s="124"/>
      <c r="L21" s="124"/>
      <c r="M21" s="124"/>
      <c r="N21" s="124"/>
      <c r="O21" s="89"/>
    </row>
    <row r="22" spans="2:15" s="2" customFormat="1">
      <c r="B22" s="88"/>
      <c r="C22" s="123"/>
      <c r="D22" s="124"/>
      <c r="E22" s="124"/>
      <c r="F22" s="124"/>
      <c r="G22" s="124"/>
      <c r="H22" s="124"/>
      <c r="I22" s="124"/>
      <c r="J22" s="124"/>
      <c r="K22" s="124"/>
      <c r="L22" s="124"/>
      <c r="M22" s="124"/>
      <c r="N22" s="124"/>
      <c r="O22" s="89"/>
    </row>
    <row r="23" spans="2:15" s="2" customFormat="1" ht="15" customHeight="1">
      <c r="B23" s="88"/>
      <c r="C23" s="204" t="s">
        <v>455</v>
      </c>
      <c r="D23" s="204"/>
      <c r="E23" s="204"/>
      <c r="F23" s="204"/>
      <c r="G23" s="204"/>
      <c r="H23" s="204"/>
      <c r="I23" s="204"/>
      <c r="J23" s="204"/>
      <c r="K23" s="204"/>
      <c r="L23" s="204"/>
      <c r="M23" s="204"/>
      <c r="N23" s="204"/>
      <c r="O23" s="89"/>
    </row>
    <row r="24" spans="2:15" s="2" customFormat="1" ht="15" customHeight="1">
      <c r="B24" s="88"/>
      <c r="C24" s="204"/>
      <c r="D24" s="204"/>
      <c r="E24" s="204"/>
      <c r="F24" s="204"/>
      <c r="G24" s="204"/>
      <c r="H24" s="204"/>
      <c r="I24" s="204"/>
      <c r="J24" s="204"/>
      <c r="K24" s="204"/>
      <c r="L24" s="204"/>
      <c r="M24" s="204"/>
      <c r="N24" s="204"/>
      <c r="O24" s="89"/>
    </row>
    <row r="25" spans="2:15" s="2" customFormat="1" ht="15" customHeight="1">
      <c r="B25" s="88"/>
      <c r="C25" s="204"/>
      <c r="D25" s="204"/>
      <c r="E25" s="204"/>
      <c r="F25" s="204"/>
      <c r="G25" s="204"/>
      <c r="H25" s="204"/>
      <c r="I25" s="204"/>
      <c r="J25" s="204"/>
      <c r="K25" s="204"/>
      <c r="L25" s="204"/>
      <c r="M25" s="204"/>
      <c r="N25" s="204"/>
      <c r="O25" s="89"/>
    </row>
    <row r="26" spans="2:15" s="2" customFormat="1" ht="15" customHeight="1">
      <c r="B26" s="88"/>
      <c r="C26" s="204"/>
      <c r="D26" s="204"/>
      <c r="E26" s="204"/>
      <c r="F26" s="204"/>
      <c r="G26" s="204"/>
      <c r="H26" s="204"/>
      <c r="I26" s="204"/>
      <c r="J26" s="204"/>
      <c r="K26" s="204"/>
      <c r="L26" s="204"/>
      <c r="M26" s="204"/>
      <c r="N26" s="204"/>
      <c r="O26" s="89"/>
    </row>
    <row r="27" spans="2:15" ht="15.5">
      <c r="B27" s="13"/>
      <c r="C27" s="205" t="s">
        <v>40</v>
      </c>
      <c r="D27" s="205"/>
      <c r="E27" s="205"/>
      <c r="F27" s="205"/>
      <c r="G27" s="205"/>
      <c r="H27" s="205"/>
      <c r="I27" s="205"/>
      <c r="J27" s="205"/>
      <c r="K27" s="205"/>
      <c r="L27" s="205"/>
      <c r="M27" s="205"/>
      <c r="N27" s="205"/>
      <c r="O27" s="14"/>
    </row>
    <row r="28" spans="2:15" ht="15.5">
      <c r="B28" s="13"/>
      <c r="C28" s="206"/>
      <c r="D28" s="206"/>
      <c r="E28" s="206"/>
      <c r="F28" s="206"/>
      <c r="G28" s="206"/>
      <c r="H28" s="206"/>
      <c r="I28" s="206"/>
      <c r="J28" s="206"/>
      <c r="K28" s="206"/>
      <c r="L28" s="206"/>
      <c r="M28" s="206"/>
      <c r="N28" s="206"/>
      <c r="O28" s="14"/>
    </row>
    <row r="29" spans="2:15" ht="15.5">
      <c r="B29" s="13"/>
      <c r="C29" s="125"/>
      <c r="D29" s="126">
        <v>7.89</v>
      </c>
      <c r="E29" s="207" t="s">
        <v>110</v>
      </c>
      <c r="F29" s="206"/>
      <c r="G29" s="206"/>
      <c r="H29" s="206"/>
      <c r="I29" s="206"/>
      <c r="J29" s="206"/>
      <c r="K29" s="206"/>
      <c r="L29" s="206"/>
      <c r="M29" s="206"/>
      <c r="N29" s="206"/>
      <c r="O29" s="14"/>
    </row>
    <row r="30" spans="2:15" ht="15.5">
      <c r="B30" s="13"/>
      <c r="C30" s="206"/>
      <c r="D30" s="206"/>
      <c r="E30" s="206"/>
      <c r="F30" s="206"/>
      <c r="G30" s="206"/>
      <c r="H30" s="206"/>
      <c r="I30" s="206"/>
      <c r="J30" s="206"/>
      <c r="K30" s="206"/>
      <c r="L30" s="206"/>
      <c r="M30" s="206"/>
      <c r="N30" s="206"/>
      <c r="O30" s="14"/>
    </row>
    <row r="31" spans="2:15" ht="15" customHeight="1">
      <c r="B31" s="13"/>
      <c r="C31" s="200" t="s">
        <v>462</v>
      </c>
      <c r="D31" s="201"/>
      <c r="E31" s="201"/>
      <c r="F31" s="201"/>
      <c r="G31" s="201"/>
      <c r="H31" s="201"/>
      <c r="I31" s="201"/>
      <c r="J31" s="201"/>
      <c r="K31" s="201"/>
      <c r="L31" s="201"/>
      <c r="M31" s="201"/>
      <c r="N31" s="201"/>
      <c r="O31" s="14"/>
    </row>
    <row r="32" spans="2:15" ht="15" customHeight="1">
      <c r="B32" s="13"/>
      <c r="C32" s="201"/>
      <c r="D32" s="201"/>
      <c r="E32" s="201"/>
      <c r="F32" s="201"/>
      <c r="G32" s="201"/>
      <c r="H32" s="201"/>
      <c r="I32" s="201"/>
      <c r="J32" s="201"/>
      <c r="K32" s="201"/>
      <c r="L32" s="201"/>
      <c r="M32" s="201"/>
      <c r="N32" s="201"/>
      <c r="O32" s="14"/>
    </row>
    <row r="33" spans="2:15" ht="15" customHeight="1">
      <c r="B33" s="13"/>
      <c r="C33" s="201"/>
      <c r="D33" s="201"/>
      <c r="E33" s="201"/>
      <c r="F33" s="201"/>
      <c r="G33" s="201"/>
      <c r="H33" s="201"/>
      <c r="I33" s="201"/>
      <c r="J33" s="201"/>
      <c r="K33" s="201"/>
      <c r="L33" s="201"/>
      <c r="M33" s="201"/>
      <c r="N33" s="201"/>
      <c r="O33" s="14"/>
    </row>
    <row r="34" spans="2:15" ht="15" customHeight="1">
      <c r="B34" s="13"/>
      <c r="C34" s="201"/>
      <c r="D34" s="201"/>
      <c r="E34" s="201"/>
      <c r="F34" s="201"/>
      <c r="G34" s="201"/>
      <c r="H34" s="201"/>
      <c r="I34" s="201"/>
      <c r="J34" s="201"/>
      <c r="K34" s="201"/>
      <c r="L34" s="201"/>
      <c r="M34" s="201"/>
      <c r="N34" s="201"/>
      <c r="O34" s="14"/>
    </row>
    <row r="35" spans="2:15" ht="15" customHeight="1">
      <c r="B35" s="13"/>
      <c r="C35" s="201"/>
      <c r="D35" s="201"/>
      <c r="E35" s="201"/>
      <c r="F35" s="201"/>
      <c r="G35" s="201"/>
      <c r="H35" s="201"/>
      <c r="I35" s="201"/>
      <c r="J35" s="201"/>
      <c r="K35" s="201"/>
      <c r="L35" s="201"/>
      <c r="M35" s="201"/>
      <c r="N35" s="201"/>
      <c r="O35" s="14"/>
    </row>
    <row r="36" spans="2:15" ht="15" customHeight="1">
      <c r="B36" s="13"/>
      <c r="C36" s="201"/>
      <c r="D36" s="201"/>
      <c r="E36" s="201"/>
      <c r="F36" s="201"/>
      <c r="G36" s="201"/>
      <c r="H36" s="201"/>
      <c r="I36" s="201"/>
      <c r="J36" s="201"/>
      <c r="K36" s="201"/>
      <c r="L36" s="201"/>
      <c r="M36" s="201"/>
      <c r="N36" s="201"/>
      <c r="O36" s="14"/>
    </row>
    <row r="37" spans="2:15" ht="15" customHeight="1">
      <c r="B37" s="13"/>
      <c r="C37" s="201"/>
      <c r="D37" s="201"/>
      <c r="E37" s="201"/>
      <c r="F37" s="201"/>
      <c r="G37" s="201"/>
      <c r="H37" s="201"/>
      <c r="I37" s="201"/>
      <c r="J37" s="201"/>
      <c r="K37" s="201"/>
      <c r="L37" s="201"/>
      <c r="M37" s="201"/>
      <c r="N37" s="201"/>
      <c r="O37" s="14"/>
    </row>
    <row r="38" spans="2:15" ht="15" customHeight="1">
      <c r="B38" s="13"/>
      <c r="C38" s="201"/>
      <c r="D38" s="201"/>
      <c r="E38" s="201"/>
      <c r="F38" s="201"/>
      <c r="G38" s="201"/>
      <c r="H38" s="201"/>
      <c r="I38" s="201"/>
      <c r="J38" s="201"/>
      <c r="K38" s="201"/>
      <c r="L38" s="201"/>
      <c r="M38" s="201"/>
      <c r="N38" s="201"/>
      <c r="O38" s="14"/>
    </row>
    <row r="39" spans="2:15" ht="15" customHeight="1">
      <c r="B39" s="13"/>
      <c r="C39" s="201"/>
      <c r="D39" s="201"/>
      <c r="E39" s="201"/>
      <c r="F39" s="201"/>
      <c r="G39" s="201"/>
      <c r="H39" s="201"/>
      <c r="I39" s="201"/>
      <c r="J39" s="201"/>
      <c r="K39" s="201"/>
      <c r="L39" s="201"/>
      <c r="M39" s="201"/>
      <c r="N39" s="201"/>
      <c r="O39" s="14"/>
    </row>
    <row r="40" spans="2:15" ht="15" customHeight="1">
      <c r="B40" s="13"/>
      <c r="C40" s="201"/>
      <c r="D40" s="201"/>
      <c r="E40" s="201"/>
      <c r="F40" s="201"/>
      <c r="G40" s="201"/>
      <c r="H40" s="201"/>
      <c r="I40" s="201"/>
      <c r="J40" s="201"/>
      <c r="K40" s="201"/>
      <c r="L40" s="201"/>
      <c r="M40" s="201"/>
      <c r="N40" s="201"/>
      <c r="O40" s="14"/>
    </row>
    <row r="41" spans="2:15" ht="15" customHeight="1">
      <c r="B41" s="13"/>
      <c r="C41" s="201"/>
      <c r="D41" s="201"/>
      <c r="E41" s="201"/>
      <c r="F41" s="201"/>
      <c r="G41" s="201"/>
      <c r="H41" s="201"/>
      <c r="I41" s="201"/>
      <c r="J41" s="201"/>
      <c r="K41" s="201"/>
      <c r="L41" s="201"/>
      <c r="M41" s="201"/>
      <c r="N41" s="201"/>
      <c r="O41" s="80"/>
    </row>
    <row r="42" spans="2:15" ht="15" customHeight="1">
      <c r="B42" s="13"/>
      <c r="C42" s="201"/>
      <c r="D42" s="201"/>
      <c r="E42" s="201"/>
      <c r="F42" s="201"/>
      <c r="G42" s="201"/>
      <c r="H42" s="201"/>
      <c r="I42" s="201"/>
      <c r="J42" s="201"/>
      <c r="K42" s="201"/>
      <c r="L42" s="201"/>
      <c r="M42" s="201"/>
      <c r="N42" s="201"/>
      <c r="O42" s="80"/>
    </row>
    <row r="43" spans="2:15" ht="15" customHeight="1">
      <c r="B43" s="13"/>
      <c r="C43" s="201"/>
      <c r="D43" s="201"/>
      <c r="E43" s="201"/>
      <c r="F43" s="201"/>
      <c r="G43" s="201"/>
      <c r="H43" s="201"/>
      <c r="I43" s="201"/>
      <c r="J43" s="201"/>
      <c r="K43" s="201"/>
      <c r="L43" s="201"/>
      <c r="M43" s="201"/>
      <c r="N43" s="201"/>
      <c r="O43" s="80"/>
    </row>
    <row r="44" spans="2:15" ht="15" customHeight="1">
      <c r="B44" s="13"/>
      <c r="C44" s="201"/>
      <c r="D44" s="201"/>
      <c r="E44" s="201"/>
      <c r="F44" s="201"/>
      <c r="G44" s="201"/>
      <c r="H44" s="201"/>
      <c r="I44" s="201"/>
      <c r="J44" s="201"/>
      <c r="K44" s="201"/>
      <c r="L44" s="201"/>
      <c r="M44" s="201"/>
      <c r="N44" s="201"/>
      <c r="O44" s="80"/>
    </row>
    <row r="45" spans="2:15" ht="15" customHeight="1">
      <c r="B45" s="13"/>
      <c r="C45" s="201"/>
      <c r="D45" s="201"/>
      <c r="E45" s="201"/>
      <c r="F45" s="201"/>
      <c r="G45" s="201"/>
      <c r="H45" s="201"/>
      <c r="I45" s="201"/>
      <c r="J45" s="201"/>
      <c r="K45" s="201"/>
      <c r="L45" s="201"/>
      <c r="M45" s="201"/>
      <c r="N45" s="201"/>
      <c r="O45" s="80"/>
    </row>
    <row r="46" spans="2:15" ht="15" customHeight="1">
      <c r="B46" s="13"/>
      <c r="C46" s="201"/>
      <c r="D46" s="201"/>
      <c r="E46" s="201"/>
      <c r="F46" s="201"/>
      <c r="G46" s="201"/>
      <c r="H46" s="201"/>
      <c r="I46" s="201"/>
      <c r="J46" s="201"/>
      <c r="K46" s="201"/>
      <c r="L46" s="201"/>
      <c r="M46" s="201"/>
      <c r="N46" s="201"/>
      <c r="O46" s="80"/>
    </row>
    <row r="47" spans="2:15" ht="15" customHeight="1">
      <c r="B47" s="13"/>
      <c r="C47" s="201"/>
      <c r="D47" s="201"/>
      <c r="E47" s="201"/>
      <c r="F47" s="201"/>
      <c r="G47" s="201"/>
      <c r="H47" s="201"/>
      <c r="I47" s="201"/>
      <c r="J47" s="201"/>
      <c r="K47" s="201"/>
      <c r="L47" s="201"/>
      <c r="M47" s="201"/>
      <c r="N47" s="201"/>
      <c r="O47" s="14"/>
    </row>
    <row r="48" spans="2:15" ht="15" customHeight="1">
      <c r="B48" s="13"/>
      <c r="C48" s="201"/>
      <c r="D48" s="201"/>
      <c r="E48" s="201"/>
      <c r="F48" s="201"/>
      <c r="G48" s="201"/>
      <c r="H48" s="201"/>
      <c r="I48" s="201"/>
      <c r="J48" s="201"/>
      <c r="K48" s="201"/>
      <c r="L48" s="201"/>
      <c r="M48" s="201"/>
      <c r="N48" s="201"/>
      <c r="O48" s="14"/>
    </row>
    <row r="49" spans="2:15" ht="15" customHeight="1">
      <c r="B49" s="13"/>
      <c r="C49" s="201"/>
      <c r="D49" s="201"/>
      <c r="E49" s="201"/>
      <c r="F49" s="201"/>
      <c r="G49" s="201"/>
      <c r="H49" s="201"/>
      <c r="I49" s="201"/>
      <c r="J49" s="201"/>
      <c r="K49" s="201"/>
      <c r="L49" s="201"/>
      <c r="M49" s="201"/>
      <c r="N49" s="201"/>
      <c r="O49" s="14"/>
    </row>
    <row r="50" spans="2:15" ht="15" customHeight="1">
      <c r="B50" s="13"/>
      <c r="C50" s="201"/>
      <c r="D50" s="201"/>
      <c r="E50" s="201"/>
      <c r="F50" s="201"/>
      <c r="G50" s="201"/>
      <c r="H50" s="201"/>
      <c r="I50" s="201"/>
      <c r="J50" s="201"/>
      <c r="K50" s="201"/>
      <c r="L50" s="201"/>
      <c r="M50" s="201"/>
      <c r="N50" s="201"/>
      <c r="O50" s="14"/>
    </row>
    <row r="51" spans="2:15" ht="15" customHeight="1">
      <c r="B51" s="13"/>
      <c r="C51" s="201"/>
      <c r="D51" s="201"/>
      <c r="E51" s="201"/>
      <c r="F51" s="201"/>
      <c r="G51" s="201"/>
      <c r="H51" s="201"/>
      <c r="I51" s="201"/>
      <c r="J51" s="201"/>
      <c r="K51" s="201"/>
      <c r="L51" s="201"/>
      <c r="M51" s="201"/>
      <c r="N51" s="201"/>
      <c r="O51" s="14"/>
    </row>
    <row r="52" spans="2:15" ht="15" customHeight="1">
      <c r="B52" s="13"/>
      <c r="C52" s="201"/>
      <c r="D52" s="201"/>
      <c r="E52" s="201"/>
      <c r="F52" s="201"/>
      <c r="G52" s="201"/>
      <c r="H52" s="201"/>
      <c r="I52" s="201"/>
      <c r="J52" s="201"/>
      <c r="K52" s="201"/>
      <c r="L52" s="201"/>
      <c r="M52" s="201"/>
      <c r="N52" s="201"/>
      <c r="O52" s="14"/>
    </row>
    <row r="53" spans="2:15" ht="15" customHeight="1">
      <c r="B53" s="13"/>
      <c r="C53" s="201"/>
      <c r="D53" s="201"/>
      <c r="E53" s="201"/>
      <c r="F53" s="201"/>
      <c r="G53" s="201"/>
      <c r="H53" s="201"/>
      <c r="I53" s="201"/>
      <c r="J53" s="201"/>
      <c r="K53" s="201"/>
      <c r="L53" s="201"/>
      <c r="M53" s="201"/>
      <c r="N53" s="201"/>
      <c r="O53" s="14"/>
    </row>
    <row r="54" spans="2:15" ht="15" customHeight="1">
      <c r="B54" s="13"/>
      <c r="C54" s="201"/>
      <c r="D54" s="201"/>
      <c r="E54" s="201"/>
      <c r="F54" s="201"/>
      <c r="G54" s="201"/>
      <c r="H54" s="201"/>
      <c r="I54" s="201"/>
      <c r="J54" s="201"/>
      <c r="K54" s="201"/>
      <c r="L54" s="201"/>
      <c r="M54" s="201"/>
      <c r="N54" s="201"/>
      <c r="O54" s="14"/>
    </row>
    <row r="55" spans="2:15" ht="15" customHeight="1">
      <c r="B55" s="13"/>
      <c r="C55" s="201"/>
      <c r="D55" s="201"/>
      <c r="E55" s="201"/>
      <c r="F55" s="201"/>
      <c r="G55" s="201"/>
      <c r="H55" s="201"/>
      <c r="I55" s="201"/>
      <c r="J55" s="201"/>
      <c r="K55" s="201"/>
      <c r="L55" s="201"/>
      <c r="M55" s="201"/>
      <c r="N55" s="201"/>
      <c r="O55" s="14"/>
    </row>
    <row r="56" spans="2:15" ht="15" customHeight="1">
      <c r="B56" s="13"/>
      <c r="C56" s="201"/>
      <c r="D56" s="201"/>
      <c r="E56" s="201"/>
      <c r="F56" s="201"/>
      <c r="G56" s="201"/>
      <c r="H56" s="201"/>
      <c r="I56" s="201"/>
      <c r="J56" s="201"/>
      <c r="K56" s="201"/>
      <c r="L56" s="201"/>
      <c r="M56" s="201"/>
      <c r="N56" s="201"/>
      <c r="O56" s="14"/>
    </row>
    <row r="57" spans="2:15" ht="15" customHeight="1">
      <c r="B57" s="13"/>
      <c r="C57" s="201"/>
      <c r="D57" s="201"/>
      <c r="E57" s="201"/>
      <c r="F57" s="201"/>
      <c r="G57" s="201"/>
      <c r="H57" s="201"/>
      <c r="I57" s="201"/>
      <c r="J57" s="201"/>
      <c r="K57" s="201"/>
      <c r="L57" s="201"/>
      <c r="M57" s="201"/>
      <c r="N57" s="201"/>
      <c r="O57" s="14"/>
    </row>
    <row r="58" spans="2:15" ht="15" customHeight="1">
      <c r="B58" s="13"/>
      <c r="C58" s="201"/>
      <c r="D58" s="201"/>
      <c r="E58" s="201"/>
      <c r="F58" s="201"/>
      <c r="G58" s="201"/>
      <c r="H58" s="201"/>
      <c r="I58" s="201"/>
      <c r="J58" s="201"/>
      <c r="K58" s="201"/>
      <c r="L58" s="201"/>
      <c r="M58" s="201"/>
      <c r="N58" s="201"/>
      <c r="O58" s="14"/>
    </row>
    <row r="59" spans="2:15" ht="15" customHeight="1">
      <c r="B59" s="13"/>
      <c r="C59" s="201"/>
      <c r="D59" s="201"/>
      <c r="E59" s="201"/>
      <c r="F59" s="201"/>
      <c r="G59" s="201"/>
      <c r="H59" s="201"/>
      <c r="I59" s="201"/>
      <c r="J59" s="201"/>
      <c r="K59" s="201"/>
      <c r="L59" s="201"/>
      <c r="M59" s="201"/>
      <c r="N59" s="201"/>
      <c r="O59" s="14"/>
    </row>
    <row r="60" spans="2:15" s="2" customFormat="1" ht="15" customHeight="1">
      <c r="B60" s="13"/>
      <c r="C60" s="201"/>
      <c r="D60" s="201"/>
      <c r="E60" s="201"/>
      <c r="F60" s="201"/>
      <c r="G60" s="201"/>
      <c r="H60" s="201"/>
      <c r="I60" s="201"/>
      <c r="J60" s="201"/>
      <c r="K60" s="201"/>
      <c r="L60" s="201"/>
      <c r="M60" s="201"/>
      <c r="N60" s="201"/>
      <c r="O60" s="14"/>
    </row>
    <row r="61" spans="2:15" s="2" customFormat="1" ht="14.5" thickBot="1">
      <c r="B61" s="25"/>
      <c r="C61" s="1"/>
      <c r="D61" s="1"/>
      <c r="E61" s="1"/>
      <c r="F61" s="1"/>
      <c r="G61" s="1"/>
      <c r="H61" s="1"/>
      <c r="I61" s="1"/>
      <c r="J61" s="1"/>
      <c r="K61" s="1"/>
      <c r="L61" s="1"/>
      <c r="M61" s="1"/>
      <c r="N61" s="1"/>
      <c r="O61" s="26"/>
    </row>
    <row r="62" spans="2:15" s="2" customFormat="1"/>
    <row r="63" spans="2:15" s="2" customFormat="1"/>
    <row r="64" spans="2:15"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sheetData>
  <sheetProtection sheet="1" objects="1" scenarios="1"/>
  <mergeCells count="7">
    <mergeCell ref="C31:N60"/>
    <mergeCell ref="B9:C9"/>
    <mergeCell ref="C23:N26"/>
    <mergeCell ref="C27:N27"/>
    <mergeCell ref="C28:N28"/>
    <mergeCell ref="E29:N29"/>
    <mergeCell ref="C30:N3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77A3D-2CE2-7E42-BB98-B9283D338595}">
  <dimension ref="A1:BZ737"/>
  <sheetViews>
    <sheetView zoomScaleNormal="100" workbookViewId="0">
      <selection activeCell="C3" sqref="C3:P3"/>
    </sheetView>
  </sheetViews>
  <sheetFormatPr baseColWidth="10" defaultRowHeight="14.5"/>
  <cols>
    <col min="1" max="1" width="10.81640625" style="147"/>
    <col min="2" max="2" width="2.453125" style="147" customWidth="1"/>
    <col min="3" max="3" width="10.81640625" style="147"/>
    <col min="4" max="5" width="33.36328125" style="147" customWidth="1"/>
    <col min="6" max="6" width="10.81640625" style="147"/>
    <col min="7" max="7" width="2.453125" style="147" customWidth="1"/>
    <col min="8" max="8" width="10.81640625" style="147" customWidth="1"/>
    <col min="9" max="10" width="33.36328125" style="147" customWidth="1"/>
    <col min="11" max="11" width="10.81640625" style="147" customWidth="1"/>
    <col min="12" max="12" width="2.453125" style="147" customWidth="1"/>
    <col min="13" max="13" width="10.81640625" style="147"/>
    <col min="14" max="15" width="33.36328125" style="147" customWidth="1"/>
    <col min="16" max="16" width="10.81640625" style="147"/>
    <col min="17" max="19" width="2.453125" style="147" customWidth="1"/>
    <col min="20" max="21" width="10.6328125" style="147" customWidth="1"/>
    <col min="22" max="22" width="21.81640625" style="147" bestFit="1" customWidth="1"/>
    <col min="23" max="25" width="2.453125" style="147" customWidth="1"/>
    <col min="26" max="26" width="10.81640625" style="174"/>
    <col min="27" max="27" width="2.453125" style="147" customWidth="1"/>
    <col min="28" max="28" width="11.1796875" style="147" bestFit="1" customWidth="1"/>
    <col min="29" max="29" width="2.453125" style="147" customWidth="1"/>
    <col min="30" max="30" width="11" style="147" bestFit="1" customWidth="1"/>
    <col min="31" max="31" width="2.453125" style="147" customWidth="1"/>
    <col min="32" max="32" width="11" style="147" bestFit="1" customWidth="1"/>
    <col min="33" max="33" width="2.453125" style="147" customWidth="1"/>
    <col min="34" max="34" width="13.81640625" style="147" bestFit="1" customWidth="1"/>
    <col min="35" max="35" width="2.453125" style="147" customWidth="1"/>
    <col min="36" max="36" width="13.6328125" style="147" bestFit="1" customWidth="1"/>
    <col min="37" max="37" width="2.453125" style="147" customWidth="1"/>
    <col min="38" max="38" width="13.6328125" style="147" bestFit="1" customWidth="1"/>
    <col min="39" max="41" width="2.453125" style="147" customWidth="1"/>
    <col min="42" max="50" width="12.81640625" style="147" customWidth="1"/>
    <col min="51" max="53" width="2.453125" style="147" customWidth="1"/>
    <col min="54" max="54" width="11.81640625" style="147" customWidth="1"/>
    <col min="55" max="57" width="25.81640625" style="147" customWidth="1"/>
    <col min="58" max="58" width="2.453125" style="147" customWidth="1"/>
    <col min="59" max="78" width="10.81640625" style="147"/>
  </cols>
  <sheetData>
    <row r="1" spans="2:58" ht="15" thickBot="1"/>
    <row r="2" spans="2:58" ht="15" thickBot="1">
      <c r="B2" s="4"/>
      <c r="C2" s="148"/>
      <c r="D2" s="148"/>
      <c r="E2" s="148"/>
      <c r="F2" s="148"/>
      <c r="G2" s="148"/>
      <c r="H2" s="148"/>
      <c r="I2" s="148"/>
      <c r="J2" s="148"/>
      <c r="K2" s="148"/>
      <c r="L2" s="148"/>
      <c r="M2" s="148"/>
      <c r="N2" s="148"/>
      <c r="O2" s="148"/>
      <c r="P2" s="148"/>
      <c r="Q2" s="149"/>
      <c r="S2" s="150"/>
      <c r="T2" s="148"/>
      <c r="U2" s="148"/>
      <c r="V2" s="148"/>
      <c r="W2" s="149"/>
      <c r="Y2" s="150"/>
      <c r="Z2" s="175"/>
      <c r="AA2" s="148"/>
      <c r="AB2" s="148"/>
      <c r="AC2" s="148"/>
      <c r="AD2" s="148"/>
      <c r="AE2" s="148"/>
      <c r="AF2" s="148"/>
      <c r="AG2" s="148"/>
      <c r="AH2" s="148"/>
      <c r="AI2" s="148"/>
      <c r="AJ2" s="148"/>
      <c r="AK2" s="148"/>
      <c r="AL2" s="148"/>
      <c r="AM2" s="149"/>
      <c r="AO2" s="150"/>
      <c r="AP2" s="148"/>
      <c r="AQ2" s="148"/>
      <c r="AR2" s="148"/>
      <c r="AS2" s="148"/>
      <c r="AT2" s="148"/>
      <c r="AU2" s="148"/>
      <c r="AV2" s="148"/>
      <c r="AW2" s="148"/>
      <c r="AX2" s="148"/>
      <c r="AY2" s="149"/>
      <c r="BA2" s="150"/>
      <c r="BB2" s="148"/>
      <c r="BC2" s="148"/>
      <c r="BD2" s="148"/>
      <c r="BE2" s="148"/>
      <c r="BF2" s="149"/>
    </row>
    <row r="3" spans="2:58" ht="25.5" thickBot="1">
      <c r="B3" s="11"/>
      <c r="C3" s="208" t="s">
        <v>237</v>
      </c>
      <c r="D3" s="209"/>
      <c r="E3" s="209"/>
      <c r="F3" s="209"/>
      <c r="G3" s="209"/>
      <c r="H3" s="209"/>
      <c r="I3" s="209"/>
      <c r="J3" s="209"/>
      <c r="K3" s="209"/>
      <c r="L3" s="209"/>
      <c r="M3" s="209"/>
      <c r="N3" s="209"/>
      <c r="O3" s="209"/>
      <c r="P3" s="210"/>
      <c r="Q3" s="151"/>
      <c r="S3" s="152"/>
      <c r="T3" s="208" t="s">
        <v>238</v>
      </c>
      <c r="U3" s="209"/>
      <c r="V3" s="210"/>
      <c r="W3" s="151"/>
      <c r="Y3" s="152"/>
      <c r="Z3" s="208" t="s">
        <v>431</v>
      </c>
      <c r="AA3" s="209"/>
      <c r="AB3" s="209"/>
      <c r="AC3" s="209"/>
      <c r="AD3" s="209"/>
      <c r="AE3" s="209"/>
      <c r="AF3" s="209"/>
      <c r="AG3" s="209"/>
      <c r="AH3" s="209"/>
      <c r="AI3" s="209"/>
      <c r="AJ3" s="209"/>
      <c r="AK3" s="209"/>
      <c r="AL3" s="210"/>
      <c r="AM3" s="151"/>
      <c r="AO3" s="152"/>
      <c r="AP3" s="208" t="s">
        <v>464</v>
      </c>
      <c r="AQ3" s="209"/>
      <c r="AR3" s="209"/>
      <c r="AS3" s="209"/>
      <c r="AT3" s="209"/>
      <c r="AU3" s="209"/>
      <c r="AV3" s="209"/>
      <c r="AW3" s="209"/>
      <c r="AX3" s="210"/>
      <c r="AY3" s="151"/>
      <c r="BA3" s="152"/>
      <c r="BB3" s="208" t="s">
        <v>465</v>
      </c>
      <c r="BC3" s="209"/>
      <c r="BD3" s="209"/>
      <c r="BE3" s="210"/>
      <c r="BF3" s="151"/>
    </row>
    <row r="4" spans="2:58">
      <c r="B4" s="11"/>
      <c r="C4" s="173"/>
      <c r="D4" s="173"/>
      <c r="E4" s="173"/>
      <c r="F4" s="173"/>
      <c r="G4" s="173"/>
      <c r="H4" s="173"/>
      <c r="I4" s="173"/>
      <c r="J4" s="173"/>
      <c r="K4" s="173"/>
      <c r="L4" s="173"/>
      <c r="M4" s="173"/>
      <c r="N4" s="173"/>
      <c r="O4" s="173"/>
      <c r="P4" s="173"/>
      <c r="Q4" s="151"/>
      <c r="S4" s="152"/>
      <c r="T4" s="153"/>
      <c r="U4" s="153"/>
      <c r="V4" s="153"/>
      <c r="W4" s="151"/>
      <c r="Y4" s="152"/>
      <c r="Z4" s="176"/>
      <c r="AA4" s="173"/>
      <c r="AB4" s="173"/>
      <c r="AC4" s="173"/>
      <c r="AD4" s="173"/>
      <c r="AE4" s="173"/>
      <c r="AF4" s="173"/>
      <c r="AG4" s="173"/>
      <c r="AH4" s="173"/>
      <c r="AI4" s="173"/>
      <c r="AJ4" s="173"/>
      <c r="AK4" s="173"/>
      <c r="AL4" s="173"/>
      <c r="AM4" s="151"/>
      <c r="AO4" s="152"/>
      <c r="AP4" s="153"/>
      <c r="AQ4" s="153"/>
      <c r="AR4" s="153"/>
      <c r="AS4" s="153"/>
      <c r="AT4" s="153"/>
      <c r="AU4" s="153"/>
      <c r="AV4" s="153"/>
      <c r="AW4" s="153"/>
      <c r="AX4" s="153"/>
      <c r="AY4" s="151"/>
      <c r="BA4" s="152"/>
      <c r="BB4" s="153"/>
      <c r="BC4" s="153"/>
      <c r="BD4" s="153"/>
      <c r="BE4" s="153"/>
      <c r="BF4" s="151"/>
    </row>
    <row r="5" spans="2:58" ht="15" customHeight="1">
      <c r="B5" s="11"/>
      <c r="C5" s="173"/>
      <c r="D5" s="173"/>
      <c r="E5" s="173"/>
      <c r="F5" s="173"/>
      <c r="G5" s="173"/>
      <c r="H5" s="173"/>
      <c r="I5" s="173"/>
      <c r="J5" s="173"/>
      <c r="K5" s="173"/>
      <c r="L5" s="173"/>
      <c r="M5" s="173"/>
      <c r="N5" s="173"/>
      <c r="O5" s="173"/>
      <c r="P5" s="173"/>
      <c r="Q5" s="151"/>
      <c r="S5" s="152"/>
      <c r="T5" s="130" t="s">
        <v>33</v>
      </c>
      <c r="U5" s="71" t="s">
        <v>437</v>
      </c>
      <c r="V5" s="32" t="s">
        <v>239</v>
      </c>
      <c r="W5" s="151"/>
      <c r="Y5" s="152"/>
      <c r="Z5" s="178" t="s">
        <v>437</v>
      </c>
      <c r="AA5" s="179"/>
      <c r="AB5" s="180" t="s">
        <v>428</v>
      </c>
      <c r="AC5" s="179"/>
      <c r="AD5" s="180" t="s">
        <v>429</v>
      </c>
      <c r="AE5" s="179"/>
      <c r="AF5" s="180" t="s">
        <v>430</v>
      </c>
      <c r="AG5" s="181"/>
      <c r="AH5" s="180" t="s">
        <v>434</v>
      </c>
      <c r="AI5" s="179"/>
      <c r="AJ5" s="180" t="s">
        <v>435</v>
      </c>
      <c r="AK5" s="179"/>
      <c r="AL5" s="180" t="s">
        <v>436</v>
      </c>
      <c r="AM5" s="151"/>
      <c r="AO5" s="152"/>
      <c r="AP5" s="189" t="s">
        <v>466</v>
      </c>
      <c r="AQ5" s="189" t="s">
        <v>467</v>
      </c>
      <c r="AR5" s="189" t="s">
        <v>468</v>
      </c>
      <c r="AS5" s="189" t="s">
        <v>428</v>
      </c>
      <c r="AT5" s="189" t="s">
        <v>469</v>
      </c>
      <c r="AU5" s="189" t="s">
        <v>429</v>
      </c>
      <c r="AV5" s="189" t="s">
        <v>470</v>
      </c>
      <c r="AW5" s="189" t="s">
        <v>430</v>
      </c>
      <c r="AX5" s="189" t="s">
        <v>471</v>
      </c>
      <c r="AY5" s="151"/>
      <c r="BA5" s="152"/>
      <c r="BB5" s="132" t="s">
        <v>33</v>
      </c>
      <c r="BC5" s="189" t="s">
        <v>472</v>
      </c>
      <c r="BD5" s="189" t="s">
        <v>473</v>
      </c>
      <c r="BE5" s="189" t="s">
        <v>474</v>
      </c>
      <c r="BF5" s="151"/>
    </row>
    <row r="6" spans="2:58">
      <c r="B6" s="11"/>
      <c r="C6" s="173"/>
      <c r="D6" s="173"/>
      <c r="E6" s="173"/>
      <c r="F6" s="173"/>
      <c r="G6" s="173"/>
      <c r="H6" s="173"/>
      <c r="I6" s="173"/>
      <c r="J6" s="173"/>
      <c r="K6" s="173"/>
      <c r="L6" s="173"/>
      <c r="M6" s="173"/>
      <c r="N6" s="173"/>
      <c r="O6" s="173"/>
      <c r="P6" s="173"/>
      <c r="Q6" s="151"/>
      <c r="S6" s="152"/>
      <c r="T6" s="60">
        <f>MIN(Observaciones!C:C)</f>
        <v>1</v>
      </c>
      <c r="U6" s="76">
        <f>(T6-0.44)/(MAX(LíneaBase!C:C)+0.12)*100</f>
        <v>7.669972059387499E-2</v>
      </c>
      <c r="V6" s="153">
        <f>Entradas!$D38</f>
        <v>3</v>
      </c>
      <c r="W6" s="151"/>
      <c r="Y6" s="152"/>
      <c r="Z6" s="183">
        <f>(LíneaBase!C7-0.44)/(MAX(LíneaBase!C:C)+0.12)*100</f>
        <v>7.669972059387499E-2</v>
      </c>
      <c r="AA6" s="184"/>
      <c r="AB6" s="182">
        <f>LíneaBase!L438</f>
        <v>10.925654140199494</v>
      </c>
      <c r="AC6" s="184"/>
      <c r="AD6" s="182">
        <f>Escenario1!BN446</f>
        <v>2.4898410682283383</v>
      </c>
      <c r="AE6" s="184"/>
      <c r="AF6" s="182">
        <f>Escenario2!BN460</f>
        <v>1.253255608579374</v>
      </c>
      <c r="AG6" s="184"/>
      <c r="AH6" s="182">
        <f>LíneaBase!N73</f>
        <v>0.47958349045588006</v>
      </c>
      <c r="AI6" s="184"/>
      <c r="AJ6" s="182">
        <f>Escenario1!BP450</f>
        <v>1.0813584234106548E-4</v>
      </c>
      <c r="AK6" s="184"/>
      <c r="AL6" s="182">
        <f>Escenario2!BP73</f>
        <v>0</v>
      </c>
      <c r="AM6" s="151"/>
      <c r="AO6" s="152"/>
      <c r="AP6" s="75">
        <v>1</v>
      </c>
      <c r="AQ6" s="190">
        <f>SUM(Observaciones!$F371:$F401)</f>
        <v>154.79999999999998</v>
      </c>
      <c r="AR6" s="190">
        <f>ABS(AQ6-AQ$19)</f>
        <v>89.299999999999983</v>
      </c>
      <c r="AS6" s="190">
        <f>SUM(LíneaBase!$L372:$L402)</f>
        <v>57.760913213123388</v>
      </c>
      <c r="AT6" s="190">
        <f>ABS(AS6-AS$19)</f>
        <v>27.54591587240229</v>
      </c>
      <c r="AU6" s="190">
        <f>SUM(Escenario1!$BN372:$BN402)</f>
        <v>44.648882342022233</v>
      </c>
      <c r="AV6" s="190">
        <f>ABS(AU6-AU$19)</f>
        <v>17.282576516888913</v>
      </c>
      <c r="AW6" s="190">
        <f>SUM(Escenario2!$BN372:$BN402)</f>
        <v>32.38577028061313</v>
      </c>
      <c r="AX6" s="190">
        <f>ABS(AW6-AW$19)</f>
        <v>10.765118721653575</v>
      </c>
      <c r="AY6" s="151"/>
      <c r="BA6" s="152"/>
      <c r="BB6" s="75">
        <v>1</v>
      </c>
      <c r="BC6" s="190"/>
      <c r="BD6" s="190"/>
      <c r="BE6" s="190"/>
      <c r="BF6" s="151"/>
    </row>
    <row r="7" spans="2:58">
      <c r="B7" s="11"/>
      <c r="C7" s="173"/>
      <c r="D7" s="173"/>
      <c r="E7" s="173"/>
      <c r="F7" s="173"/>
      <c r="G7" s="173"/>
      <c r="H7" s="173"/>
      <c r="I7" s="173"/>
      <c r="J7" s="173"/>
      <c r="K7" s="173"/>
      <c r="L7" s="173"/>
      <c r="M7" s="173"/>
      <c r="N7" s="173"/>
      <c r="O7" s="173"/>
      <c r="P7" s="173"/>
      <c r="Q7" s="151"/>
      <c r="S7" s="152"/>
      <c r="T7" s="60">
        <f>MAX(Observaciones!C:C)</f>
        <v>730</v>
      </c>
      <c r="U7" s="76">
        <f>(T7-0.44)/(MAX(LíneaBase!C:C)+0.12)*100</f>
        <v>99.923300279406106</v>
      </c>
      <c r="V7" s="153">
        <f>Entradas!$D38</f>
        <v>3</v>
      </c>
      <c r="W7" s="151"/>
      <c r="Y7" s="152"/>
      <c r="Z7" s="183">
        <f>(LíneaBase!C8-0.44)/(MAX(LíneaBase!C:C)+0.12)*100</f>
        <v>0.21366350736865175</v>
      </c>
      <c r="AA7" s="184"/>
      <c r="AB7" s="182">
        <f>LíneaBase!L73</f>
        <v>10.891936377278416</v>
      </c>
      <c r="AC7" s="184"/>
      <c r="AD7" s="182">
        <f>Escenario1!BN81</f>
        <v>2.4051140705546086</v>
      </c>
      <c r="AE7" s="184"/>
      <c r="AF7" s="182">
        <f>Escenario2!BN459</f>
        <v>1.2525344644123599</v>
      </c>
      <c r="AG7" s="184"/>
      <c r="AH7" s="182">
        <f>LíneaBase!N438</f>
        <v>0.47958349045588006</v>
      </c>
      <c r="AI7" s="184"/>
      <c r="AJ7" s="182">
        <f>Escenario1!BP425</f>
        <v>0</v>
      </c>
      <c r="AK7" s="184"/>
      <c r="AL7" s="182">
        <f>Escenario2!BP438</f>
        <v>0</v>
      </c>
      <c r="AM7" s="151"/>
      <c r="AO7" s="152"/>
      <c r="AP7" s="75">
        <v>2</v>
      </c>
      <c r="AQ7" s="190">
        <f>SUM(Observaciones!$F402:$F429)</f>
        <v>162.19999999999999</v>
      </c>
      <c r="AR7" s="190">
        <f t="shared" ref="AR7:AT16" si="0">ABS(AQ7-AQ$19)</f>
        <v>96.699999999999989</v>
      </c>
      <c r="AS7" s="190">
        <f>SUM(LíneaBase!$L403:$L430)</f>
        <v>62.312477098123928</v>
      </c>
      <c r="AT7" s="190">
        <f t="shared" si="0"/>
        <v>32.09747975740283</v>
      </c>
      <c r="AU7" s="190">
        <f>SUM(Escenario1!$BN403:$BN430)</f>
        <v>44.05722055075293</v>
      </c>
      <c r="AV7" s="190">
        <f t="shared" ref="AV7:AV16" si="1">ABS(AU7-AU$19)</f>
        <v>16.69091472561961</v>
      </c>
      <c r="AW7" s="190">
        <f>SUM(Escenario2!$BN403:$BN430)</f>
        <v>29.127966639182869</v>
      </c>
      <c r="AX7" s="190">
        <f t="shared" ref="AX7:AX11" si="2">ABS(AW7-AW$19)</f>
        <v>7.5073150802233144</v>
      </c>
      <c r="AY7" s="151"/>
      <c r="BA7" s="152"/>
      <c r="BB7" s="75">
        <v>2</v>
      </c>
      <c r="BC7" s="190">
        <f>ABS(LíneaBase!L8-LíneaBase!L7)</f>
        <v>3.1178139351309366</v>
      </c>
      <c r="BD7" s="190">
        <f>ABS(Escenario1!BN8-Escenario1!BN7)</f>
        <v>7.5347863359396916E-2</v>
      </c>
      <c r="BE7" s="190">
        <f>ABS(Escenario2!BN8-Escenario2!BN7)</f>
        <v>0</v>
      </c>
      <c r="BF7" s="151"/>
    </row>
    <row r="8" spans="2:58">
      <c r="B8" s="11"/>
      <c r="C8" s="173"/>
      <c r="D8" s="173"/>
      <c r="E8" s="173"/>
      <c r="F8" s="173"/>
      <c r="G8" s="173"/>
      <c r="H8" s="173"/>
      <c r="I8" s="173"/>
      <c r="J8" s="173"/>
      <c r="K8" s="173"/>
      <c r="L8" s="173"/>
      <c r="M8" s="173"/>
      <c r="N8" s="173"/>
      <c r="O8" s="173"/>
      <c r="P8" s="173"/>
      <c r="Q8" s="151"/>
      <c r="S8" s="152"/>
      <c r="T8" s="153"/>
      <c r="U8" s="153"/>
      <c r="V8" s="153"/>
      <c r="W8" s="151"/>
      <c r="Y8" s="152"/>
      <c r="Z8" s="183">
        <f>(LíneaBase!C9-0.44)/(MAX(LíneaBase!C:C)+0.12)*100</f>
        <v>0.35062729414342847</v>
      </c>
      <c r="AA8" s="184"/>
      <c r="AB8" s="182">
        <f>LíneaBase!L425</f>
        <v>8.0210722200873033</v>
      </c>
      <c r="AC8" s="184"/>
      <c r="AD8" s="182">
        <f>Escenario1!BN447</f>
        <v>2.39044536004858</v>
      </c>
      <c r="AE8" s="184"/>
      <c r="AF8" s="182">
        <f>Escenario2!BN461</f>
        <v>1.2524568445782771</v>
      </c>
      <c r="AG8" s="184"/>
      <c r="AH8" s="182">
        <f>LíneaBase!N60</f>
        <v>0.25220801154132461</v>
      </c>
      <c r="AI8" s="184"/>
      <c r="AJ8" s="182">
        <f>Escenario1!BP438</f>
        <v>0</v>
      </c>
      <c r="AK8" s="184"/>
      <c r="AL8" s="182">
        <f>Escenario2!BP60</f>
        <v>0</v>
      </c>
      <c r="AM8" s="151"/>
      <c r="AO8" s="152"/>
      <c r="AP8" s="75">
        <v>3</v>
      </c>
      <c r="AQ8" s="190">
        <f>SUM(Observaciones!$F430:$F460)</f>
        <v>145.69999999999999</v>
      </c>
      <c r="AR8" s="190">
        <f t="shared" si="0"/>
        <v>80.199999999999989</v>
      </c>
      <c r="AS8" s="190">
        <f>SUM(LíneaBase!$L431:$L461)</f>
        <v>75.228150781639158</v>
      </c>
      <c r="AT8" s="190">
        <f t="shared" si="0"/>
        <v>45.01315344091806</v>
      </c>
      <c r="AU8" s="190">
        <f>SUM(Escenario1!$BN431:$BN461)</f>
        <v>62.694849283115161</v>
      </c>
      <c r="AV8" s="190">
        <f t="shared" si="1"/>
        <v>35.328543457981837</v>
      </c>
      <c r="AW8" s="190">
        <f>SUM(Escenario2!$BN431:$BN461)</f>
        <v>36.660055893332547</v>
      </c>
      <c r="AX8" s="190">
        <f t="shared" si="2"/>
        <v>15.039404334372993</v>
      </c>
      <c r="AY8" s="151"/>
      <c r="BA8" s="152"/>
      <c r="BB8" s="75">
        <v>3</v>
      </c>
      <c r="BC8" s="190">
        <f>ABS(LíneaBase!L9-LíneaBase!L8)</f>
        <v>1.8259974227477089</v>
      </c>
      <c r="BD8" s="190">
        <f>ABS(Escenario1!BN9-Escenario1!BN8)</f>
        <v>0.16188567747474969</v>
      </c>
      <c r="BE8" s="190">
        <f>ABS(Escenario2!BN9-Escenario2!BN8)</f>
        <v>0</v>
      </c>
      <c r="BF8" s="151"/>
    </row>
    <row r="9" spans="2:58">
      <c r="B9" s="11"/>
      <c r="C9" s="173"/>
      <c r="D9" s="173"/>
      <c r="E9" s="173"/>
      <c r="F9" s="173"/>
      <c r="G9" s="173"/>
      <c r="H9" s="173"/>
      <c r="I9" s="173"/>
      <c r="J9" s="173"/>
      <c r="K9" s="173"/>
      <c r="L9" s="173"/>
      <c r="M9" s="173"/>
      <c r="N9" s="173"/>
      <c r="O9" s="173"/>
      <c r="P9" s="173"/>
      <c r="Q9" s="151"/>
      <c r="S9" s="152"/>
      <c r="T9" s="130" t="s">
        <v>33</v>
      </c>
      <c r="U9" s="71" t="s">
        <v>437</v>
      </c>
      <c r="V9" s="32" t="s">
        <v>240</v>
      </c>
      <c r="W9" s="151"/>
      <c r="Y9" s="152"/>
      <c r="Z9" s="183">
        <f>(LíneaBase!C10-0.44)/(MAX(LíneaBase!C:C)+0.12)*100</f>
        <v>0.48759108091820519</v>
      </c>
      <c r="AA9" s="184"/>
      <c r="AB9" s="182">
        <f>LíneaBase!L60</f>
        <v>7.9827223123626272</v>
      </c>
      <c r="AC9" s="184"/>
      <c r="AD9" s="182">
        <f>Escenario1!BN445</f>
        <v>2.3747028033285407</v>
      </c>
      <c r="AE9" s="184"/>
      <c r="AF9" s="182">
        <f>Escenario2!BN458</f>
        <v>1.2512500170329599</v>
      </c>
      <c r="AG9" s="184"/>
      <c r="AH9" s="182">
        <f>LíneaBase!N425</f>
        <v>0.25220801154132461</v>
      </c>
      <c r="AI9" s="184"/>
      <c r="AJ9" s="182">
        <f>Escenario1!BP422</f>
        <v>0</v>
      </c>
      <c r="AK9" s="184"/>
      <c r="AL9" s="182">
        <f>Escenario2!BP425</f>
        <v>0</v>
      </c>
      <c r="AM9" s="151"/>
      <c r="AO9" s="152"/>
      <c r="AP9" s="75">
        <v>4</v>
      </c>
      <c r="AQ9" s="190">
        <f>SUM(Observaciones!$F461:$F490)</f>
        <v>20.3</v>
      </c>
      <c r="AR9" s="190">
        <f t="shared" si="0"/>
        <v>45.2</v>
      </c>
      <c r="AS9" s="190">
        <f>SUM(LíneaBase!$L462:$L491)</f>
        <v>31.096700987095513</v>
      </c>
      <c r="AT9" s="190">
        <f t="shared" si="0"/>
        <v>0.88170364637441523</v>
      </c>
      <c r="AU9" s="190">
        <f>SUM(Escenario1!$BN462:$BN491)</f>
        <v>37.34748532806023</v>
      </c>
      <c r="AV9" s="190">
        <f t="shared" si="1"/>
        <v>9.9811795029269099</v>
      </c>
      <c r="AW9" s="190">
        <f>SUM(Escenario2!$BN462:$BN491)</f>
        <v>35.247056993695701</v>
      </c>
      <c r="AX9" s="190">
        <f t="shared" si="2"/>
        <v>13.626405434736146</v>
      </c>
      <c r="AY9" s="151"/>
      <c r="BA9" s="152"/>
      <c r="BB9" s="75">
        <v>4</v>
      </c>
      <c r="BC9" s="190">
        <f>ABS(LíneaBase!L10-LíneaBase!L9)</f>
        <v>1.696276687018009</v>
      </c>
      <c r="BD9" s="190">
        <f>ABS(Escenario1!BN10-Escenario1!BN9)</f>
        <v>3.1626692316221838E-2</v>
      </c>
      <c r="BE9" s="190">
        <f>ABS(Escenario2!BN10-Escenario2!BN9)</f>
        <v>0</v>
      </c>
      <c r="BF9" s="151"/>
    </row>
    <row r="10" spans="2:58">
      <c r="B10" s="11"/>
      <c r="C10" s="173"/>
      <c r="D10" s="173"/>
      <c r="E10" s="173"/>
      <c r="F10" s="173"/>
      <c r="G10" s="173"/>
      <c r="H10" s="173"/>
      <c r="I10" s="173"/>
      <c r="J10" s="173"/>
      <c r="K10" s="173"/>
      <c r="L10" s="173"/>
      <c r="M10" s="173"/>
      <c r="N10" s="173"/>
      <c r="O10" s="173"/>
      <c r="P10" s="173"/>
      <c r="Q10" s="151"/>
      <c r="S10" s="152"/>
      <c r="T10" s="60">
        <f>MIN(Observaciones!C:C)</f>
        <v>1</v>
      </c>
      <c r="U10" s="76">
        <f>(T10-0.44)/(MAX(LíneaBase!C:C)+0.12)*100</f>
        <v>7.669972059387499E-2</v>
      </c>
      <c r="V10" s="153">
        <f>Entradas!$D39</f>
        <v>0.215</v>
      </c>
      <c r="W10" s="151"/>
      <c r="Y10" s="152"/>
      <c r="Z10" s="183">
        <f>(LíneaBase!C11-0.44)/(MAX(LíneaBase!C:C)+0.12)*100</f>
        <v>0.62455486769298196</v>
      </c>
      <c r="AA10" s="184"/>
      <c r="AB10" s="182">
        <f>LíneaBase!L422</f>
        <v>6.2238332160422258</v>
      </c>
      <c r="AC10" s="184"/>
      <c r="AD10" s="182">
        <f>Escenario1!BN443</f>
        <v>2.3688301184321294</v>
      </c>
      <c r="AE10" s="184"/>
      <c r="AF10" s="182">
        <f>Escenario2!BN462</f>
        <v>1.2503064168950828</v>
      </c>
      <c r="AG10" s="184"/>
      <c r="AH10" s="182">
        <f>LíneaBase!N57</f>
        <v>0.15766896565323904</v>
      </c>
      <c r="AI10" s="184"/>
      <c r="AJ10" s="182">
        <f>Escenario1!BP77</f>
        <v>0</v>
      </c>
      <c r="AK10" s="184"/>
      <c r="AL10" s="182">
        <f>Escenario2!BP57</f>
        <v>0</v>
      </c>
      <c r="AM10" s="151"/>
      <c r="AO10" s="152"/>
      <c r="AP10" s="75">
        <v>5</v>
      </c>
      <c r="AQ10" s="190">
        <f>SUM(Observaciones!$F491:$F521)</f>
        <v>0.2</v>
      </c>
      <c r="AR10" s="190">
        <f t="shared" si="0"/>
        <v>65.3</v>
      </c>
      <c r="AS10" s="190">
        <f>SUM(LíneaBase!$L492:$L522)</f>
        <v>20.858410076411836</v>
      </c>
      <c r="AT10" s="190">
        <f t="shared" si="0"/>
        <v>9.3565872643092618</v>
      </c>
      <c r="AU10" s="190">
        <f>SUM(Escenario1!$BN492:$BN522)</f>
        <v>26.773624854412496</v>
      </c>
      <c r="AV10" s="190">
        <f t="shared" si="1"/>
        <v>0.59268097072082426</v>
      </c>
      <c r="AW10" s="190">
        <f>SUM(Escenario2!$BN492:$BN522)</f>
        <v>26.389521349403751</v>
      </c>
      <c r="AX10" s="190">
        <f t="shared" si="2"/>
        <v>4.7688697904441959</v>
      </c>
      <c r="AY10" s="151"/>
      <c r="BA10" s="152"/>
      <c r="BB10" s="75">
        <v>5</v>
      </c>
      <c r="BC10" s="190">
        <f>ABS(LíneaBase!L11-LíneaBase!L10)</f>
        <v>0.52994560771092347</v>
      </c>
      <c r="BD10" s="190">
        <f>ABS(Escenario1!BN11-Escenario1!BN10)</f>
        <v>7.6318932761701319E-2</v>
      </c>
      <c r="BE10" s="190">
        <f>ABS(Escenario2!BN11-Escenario2!BN10)</f>
        <v>0</v>
      </c>
      <c r="BF10" s="151"/>
    </row>
    <row r="11" spans="2:58">
      <c r="B11" s="11"/>
      <c r="C11" s="173"/>
      <c r="D11" s="173"/>
      <c r="E11" s="173"/>
      <c r="F11" s="173"/>
      <c r="G11" s="173"/>
      <c r="H11" s="173"/>
      <c r="I11" s="173"/>
      <c r="J11" s="173"/>
      <c r="K11" s="173"/>
      <c r="L11" s="173"/>
      <c r="M11" s="173"/>
      <c r="N11" s="173"/>
      <c r="O11" s="173"/>
      <c r="P11" s="173"/>
      <c r="Q11" s="151"/>
      <c r="S11" s="152"/>
      <c r="T11" s="60">
        <f>MAX(Observaciones!C:C)</f>
        <v>730</v>
      </c>
      <c r="U11" s="76">
        <f>(T11-0.44)/(MAX(LíneaBase!C:C)+0.12)*100</f>
        <v>99.923300279406106</v>
      </c>
      <c r="V11" s="153">
        <f>Entradas!$D39</f>
        <v>0.215</v>
      </c>
      <c r="W11" s="151"/>
      <c r="Y11" s="152"/>
      <c r="Z11" s="183">
        <f>(LíneaBase!C12-0.44)/(MAX(LíneaBase!C:C)+0.12)*100</f>
        <v>0.76151865446775868</v>
      </c>
      <c r="AA11" s="184"/>
      <c r="AB11" s="182">
        <f>LíneaBase!L57</f>
        <v>6.1843269841292114</v>
      </c>
      <c r="AC11" s="184"/>
      <c r="AD11" s="182">
        <f>Escenario1!BN444</f>
        <v>2.3632444258284799</v>
      </c>
      <c r="AE11" s="184"/>
      <c r="AF11" s="182">
        <f>Escenario2!BN456</f>
        <v>1.2496965416305281</v>
      </c>
      <c r="AG11" s="184"/>
      <c r="AH11" s="182">
        <f>LíneaBase!N422</f>
        <v>0.15766896565323904</v>
      </c>
      <c r="AI11" s="184"/>
      <c r="AJ11" s="182">
        <f>Escenario1!BP442</f>
        <v>0</v>
      </c>
      <c r="AK11" s="184"/>
      <c r="AL11" s="182">
        <f>Escenario2!BP422</f>
        <v>0</v>
      </c>
      <c r="AM11" s="151"/>
      <c r="AO11" s="152"/>
      <c r="AP11" s="75">
        <v>6</v>
      </c>
      <c r="AQ11" s="190">
        <f>SUM(Observaciones!$F522:$F551)</f>
        <v>16.2</v>
      </c>
      <c r="AR11" s="190">
        <f t="shared" si="0"/>
        <v>49.3</v>
      </c>
      <c r="AS11" s="190">
        <f>SUM(LíneaBase!$L523:$L552)</f>
        <v>17.351759389289313</v>
      </c>
      <c r="AT11" s="190">
        <f t="shared" si="0"/>
        <v>12.863237951431785</v>
      </c>
      <c r="AU11" s="190">
        <f>SUM(Escenario1!$BN523:$BN552)</f>
        <v>20.890850944608623</v>
      </c>
      <c r="AV11" s="190">
        <f t="shared" si="1"/>
        <v>6.4754548805246976</v>
      </c>
      <c r="AW11" s="190">
        <f>SUM(Escenario2!$BN523:$BN552)</f>
        <v>19.803943958103162</v>
      </c>
      <c r="AX11" s="190">
        <f t="shared" si="2"/>
        <v>1.8167076008563932</v>
      </c>
      <c r="AY11" s="151"/>
      <c r="BA11" s="152"/>
      <c r="BB11" s="75">
        <v>6</v>
      </c>
      <c r="BC11" s="190">
        <f>ABS(LíneaBase!L12-LíneaBase!L11)</f>
        <v>1.7586322211354182</v>
      </c>
      <c r="BD11" s="190">
        <f>ABS(Escenario1!BN12-Escenario1!BN11)</f>
        <v>0.11455589502847552</v>
      </c>
      <c r="BE11" s="190">
        <f>ABS(Escenario2!BN12-Escenario2!BN11)</f>
        <v>6.4131426039182315E-4</v>
      </c>
      <c r="BF11" s="151"/>
    </row>
    <row r="12" spans="2:58">
      <c r="B12" s="11"/>
      <c r="C12" s="173"/>
      <c r="D12" s="173"/>
      <c r="E12" s="173"/>
      <c r="F12" s="173"/>
      <c r="G12" s="173"/>
      <c r="H12" s="173"/>
      <c r="I12" s="173"/>
      <c r="J12" s="173"/>
      <c r="K12" s="173"/>
      <c r="L12" s="173"/>
      <c r="M12" s="173"/>
      <c r="N12" s="173"/>
      <c r="O12" s="173"/>
      <c r="P12" s="173"/>
      <c r="Q12" s="151"/>
      <c r="S12" s="152"/>
      <c r="T12" s="153"/>
      <c r="U12" s="153"/>
      <c r="V12" s="153"/>
      <c r="W12" s="151"/>
      <c r="Y12" s="152"/>
      <c r="Z12" s="183">
        <f>(LíneaBase!C13-0.44)/(MAX(LíneaBase!C:C)+0.12)*100</f>
        <v>0.89848244124253551</v>
      </c>
      <c r="AA12" s="184"/>
      <c r="AB12" s="182">
        <f>LíneaBase!L730</f>
        <v>5.2890859139355229</v>
      </c>
      <c r="AC12" s="184"/>
      <c r="AD12" s="182">
        <f>Escenario1!BN448</f>
        <v>2.3524201224146712</v>
      </c>
      <c r="AE12" s="184"/>
      <c r="AF12" s="182">
        <f>Escenario2!BN455</f>
        <v>1.2495563954485758</v>
      </c>
      <c r="AG12" s="184"/>
      <c r="AH12" s="182">
        <f>LíneaBase!N365</f>
        <v>0.13682329539113258</v>
      </c>
      <c r="AI12" s="184"/>
      <c r="AJ12" s="182">
        <f>Escenario1!BP81</f>
        <v>0</v>
      </c>
      <c r="AK12" s="184"/>
      <c r="AL12" s="182">
        <f>Escenario2!BP365</f>
        <v>0</v>
      </c>
      <c r="AM12" s="151"/>
      <c r="AO12" s="152"/>
      <c r="AP12" s="75">
        <v>7</v>
      </c>
      <c r="AQ12" s="190">
        <f>SUM(Observaciones!$F552:$F582)</f>
        <v>15.8</v>
      </c>
      <c r="AR12" s="190">
        <f t="shared" si="0"/>
        <v>49.7</v>
      </c>
      <c r="AS12" s="190">
        <f>SUM(LíneaBase!$L553:$L583)</f>
        <v>12.871833066499669</v>
      </c>
      <c r="AT12" s="190">
        <f t="shared" si="0"/>
        <v>17.343164274221429</v>
      </c>
      <c r="AU12" s="190">
        <f>SUM(Escenario1!$BN553:$BN583)</f>
        <v>15.948949164232992</v>
      </c>
      <c r="AV12" s="190">
        <f t="shared" si="1"/>
        <v>11.417356660900328</v>
      </c>
      <c r="AW12" s="190">
        <f>SUM(Escenario2!$BN553:$BN583)</f>
        <v>14.874624630296696</v>
      </c>
      <c r="AX12" s="190">
        <f>ABS(AW12-AW$19)</f>
        <v>6.7460269286628591</v>
      </c>
      <c r="AY12" s="151"/>
      <c r="BA12" s="152"/>
      <c r="BB12" s="75">
        <v>7</v>
      </c>
      <c r="BC12" s="190">
        <f>ABS(LíneaBase!L13-LíneaBase!L12)</f>
        <v>2.1898822984013901</v>
      </c>
      <c r="BD12" s="190">
        <f>ABS(Escenario1!BN13-Escenario1!BN12)</f>
        <v>8.0194758131119981E-2</v>
      </c>
      <c r="BE12" s="190">
        <f>ABS(Escenario2!BN13-Escenario2!BN12)</f>
        <v>9.802646916634572E-6</v>
      </c>
      <c r="BF12" s="151"/>
    </row>
    <row r="13" spans="2:58">
      <c r="B13" s="11"/>
      <c r="C13" s="173"/>
      <c r="D13" s="173"/>
      <c r="E13" s="173"/>
      <c r="F13" s="173"/>
      <c r="G13" s="173"/>
      <c r="H13" s="173"/>
      <c r="I13" s="173"/>
      <c r="J13" s="173"/>
      <c r="K13" s="173"/>
      <c r="L13" s="173"/>
      <c r="M13" s="173"/>
      <c r="N13" s="173"/>
      <c r="O13" s="173"/>
      <c r="P13" s="173"/>
      <c r="Q13" s="151"/>
      <c r="S13" s="152"/>
      <c r="T13" s="130" t="s">
        <v>33</v>
      </c>
      <c r="U13" s="71" t="s">
        <v>437</v>
      </c>
      <c r="V13" s="32" t="s">
        <v>241</v>
      </c>
      <c r="W13" s="151"/>
      <c r="Y13" s="152"/>
      <c r="Z13" s="183">
        <f>(LíneaBase!C14-0.44)/(MAX(LíneaBase!C:C)+0.12)*100</f>
        <v>1.035446228017312</v>
      </c>
      <c r="AA13" s="184"/>
      <c r="AB13" s="182">
        <f>LíneaBase!L365</f>
        <v>5.2872146561170554</v>
      </c>
      <c r="AC13" s="184"/>
      <c r="AD13" s="182">
        <f>Escenario1!BN442</f>
        <v>2.3321208839751586</v>
      </c>
      <c r="AE13" s="184"/>
      <c r="AF13" s="182">
        <f>Escenario2!BN457</f>
        <v>1.2484001133011404</v>
      </c>
      <c r="AG13" s="184"/>
      <c r="AH13" s="182">
        <f>LíneaBase!N730</f>
        <v>0.13682329539113258</v>
      </c>
      <c r="AI13" s="184"/>
      <c r="AJ13" s="182">
        <f>Escenario1!BP446</f>
        <v>0</v>
      </c>
      <c r="AK13" s="184"/>
      <c r="AL13" s="182">
        <f>Escenario2!BP730</f>
        <v>0</v>
      </c>
      <c r="AM13" s="151"/>
      <c r="AO13" s="152"/>
      <c r="AP13" s="75">
        <v>8</v>
      </c>
      <c r="AQ13" s="190">
        <f>SUM(Observaciones!$F583:$F613)</f>
        <v>7.1</v>
      </c>
      <c r="AR13" s="190">
        <f t="shared" si="0"/>
        <v>58.4</v>
      </c>
      <c r="AS13" s="190">
        <f>SUM(LíneaBase!$L584:$L614)</f>
        <v>8.5068525684700038</v>
      </c>
      <c r="AT13" s="190">
        <f t="shared" si="0"/>
        <v>21.708144772251096</v>
      </c>
      <c r="AU13" s="190">
        <f>SUM(Escenario1!$BN584:$BN614)</f>
        <v>11.010880659898151</v>
      </c>
      <c r="AV13" s="190">
        <f t="shared" si="1"/>
        <v>16.355425165235168</v>
      </c>
      <c r="AW13" s="190">
        <f>SUM(Escenario2!$BN584:$BN614)</f>
        <v>10.170721239669682</v>
      </c>
      <c r="AX13" s="190">
        <f t="shared" ref="AX13:AX16" si="3">ABS(AW13-AW$19)</f>
        <v>11.449930319289873</v>
      </c>
      <c r="AY13" s="151"/>
      <c r="BA13" s="152"/>
      <c r="BB13" s="75">
        <v>8</v>
      </c>
      <c r="BC13" s="190">
        <f>ABS(LíneaBase!L14-LíneaBase!L13)</f>
        <v>0.11476024411467223</v>
      </c>
      <c r="BD13" s="190">
        <f>ABS(Escenario1!BN14-Escenario1!BN13)</f>
        <v>9.9167399923425048E-2</v>
      </c>
      <c r="BE13" s="190">
        <f>ABS(Escenario2!BN14-Escenario2!BN13)</f>
        <v>9.6528110369309417E-6</v>
      </c>
      <c r="BF13" s="151"/>
    </row>
    <row r="14" spans="2:58">
      <c r="B14" s="11"/>
      <c r="C14" s="173"/>
      <c r="D14" s="173"/>
      <c r="E14" s="173"/>
      <c r="F14" s="173"/>
      <c r="G14" s="173"/>
      <c r="H14" s="173"/>
      <c r="I14" s="173"/>
      <c r="J14" s="173"/>
      <c r="K14" s="173"/>
      <c r="L14" s="173"/>
      <c r="M14" s="173"/>
      <c r="N14" s="173"/>
      <c r="O14" s="173"/>
      <c r="P14" s="173"/>
      <c r="Q14" s="151"/>
      <c r="S14" s="152"/>
      <c r="T14" s="60">
        <f>MIN(Observaciones!C:C)</f>
        <v>1</v>
      </c>
      <c r="U14" s="76">
        <f>(T14-0.44)/(MAX(LíneaBase!C:C)+0.12)*100</f>
        <v>7.669972059387499E-2</v>
      </c>
      <c r="V14" s="153">
        <f>Entradas!$D40</f>
        <v>0.01</v>
      </c>
      <c r="W14" s="151"/>
      <c r="Y14" s="152"/>
      <c r="Z14" s="183">
        <f>(LíneaBase!C15-0.44)/(MAX(LíneaBase!C:C)+0.12)*100</f>
        <v>1.1724100147920891</v>
      </c>
      <c r="AA14" s="184"/>
      <c r="AB14" s="182">
        <f>LíneaBase!L442</f>
        <v>5.2653997248670183</v>
      </c>
      <c r="AC14" s="184"/>
      <c r="AD14" s="182">
        <f>Escenario1!BN82</f>
        <v>2.306529533804099</v>
      </c>
      <c r="AE14" s="184"/>
      <c r="AF14" s="182">
        <f>Escenario2!BN454</f>
        <v>1.2480295500587442</v>
      </c>
      <c r="AG14" s="184"/>
      <c r="AH14" s="182">
        <f>LíneaBase!N47</f>
        <v>0.11426366964372266</v>
      </c>
      <c r="AI14" s="184"/>
      <c r="AJ14" s="182">
        <f>Escenario1!BP418</f>
        <v>0</v>
      </c>
      <c r="AK14" s="184"/>
      <c r="AL14" s="182">
        <f>Escenario2!BP47</f>
        <v>0</v>
      </c>
      <c r="AM14" s="151"/>
      <c r="AO14" s="152"/>
      <c r="AP14" s="75">
        <v>9</v>
      </c>
      <c r="AQ14" s="190">
        <f>SUM(Observaciones!$F614:$F643)</f>
        <v>7</v>
      </c>
      <c r="AR14" s="190">
        <f t="shared" si="0"/>
        <v>58.5</v>
      </c>
      <c r="AS14" s="190">
        <f>SUM(LíneaBase!$L615:$L644)</f>
        <v>6.1547444357642389</v>
      </c>
      <c r="AT14" s="190">
        <f t="shared" si="0"/>
        <v>24.060252904956858</v>
      </c>
      <c r="AU14" s="190">
        <f>SUM(Escenario1!$BN615:$BN644)</f>
        <v>7.9493093381327071</v>
      </c>
      <c r="AV14" s="190">
        <f t="shared" si="1"/>
        <v>19.416996487000613</v>
      </c>
      <c r="AW14" s="190">
        <f>SUM(Escenario2!$BN615:$BN644)</f>
        <v>7.2242351447063076</v>
      </c>
      <c r="AX14" s="190">
        <f t="shared" si="3"/>
        <v>14.396416414253247</v>
      </c>
      <c r="AY14" s="151"/>
      <c r="BA14" s="152"/>
      <c r="BB14" s="75">
        <v>9</v>
      </c>
      <c r="BC14" s="190">
        <f>ABS(LíneaBase!L15-LíneaBase!L14)</f>
        <v>0.11079015532675074</v>
      </c>
      <c r="BD14" s="190">
        <f>ABS(Escenario1!BN15-Escenario1!BN14)</f>
        <v>9.5868867762100018E-2</v>
      </c>
      <c r="BE14" s="190">
        <f>ABS(Escenario2!BN15-Escenario2!BN14)</f>
        <v>9.5052654351945876E-6</v>
      </c>
      <c r="BF14" s="151"/>
    </row>
    <row r="15" spans="2:58">
      <c r="B15" s="11"/>
      <c r="C15" s="173"/>
      <c r="D15" s="173"/>
      <c r="E15" s="173"/>
      <c r="F15" s="173"/>
      <c r="G15" s="173"/>
      <c r="H15" s="173"/>
      <c r="I15" s="173"/>
      <c r="J15" s="173"/>
      <c r="K15" s="173"/>
      <c r="L15" s="173"/>
      <c r="M15" s="173"/>
      <c r="N15" s="173"/>
      <c r="O15" s="173"/>
      <c r="P15" s="173"/>
      <c r="Q15" s="151"/>
      <c r="S15" s="152"/>
      <c r="T15" s="60">
        <f>MAX(Observaciones!C:C)</f>
        <v>730</v>
      </c>
      <c r="U15" s="76">
        <f>(T15-0.44)/(MAX(LíneaBase!C:C)+0.12)*100</f>
        <v>99.923300279406106</v>
      </c>
      <c r="V15" s="153">
        <f>Entradas!$D40</f>
        <v>0.01</v>
      </c>
      <c r="W15" s="151"/>
      <c r="Y15" s="152"/>
      <c r="Z15" s="183">
        <f>(LíneaBase!C16-0.44)/(MAX(LíneaBase!C:C)+0.12)*100</f>
        <v>1.3093738015668659</v>
      </c>
      <c r="AA15" s="184"/>
      <c r="AB15" s="182">
        <f>LíneaBase!L412</f>
        <v>5.2481897038060925</v>
      </c>
      <c r="AC15" s="184"/>
      <c r="AD15" s="182">
        <f>Escenario1!BN450</f>
        <v>2.299081203255259</v>
      </c>
      <c r="AE15" s="184"/>
      <c r="AF15" s="182">
        <f>Escenario2!BN463</f>
        <v>1.2470429185627572</v>
      </c>
      <c r="AG15" s="184"/>
      <c r="AH15" s="182">
        <f>LíneaBase!N412</f>
        <v>0.11426366964372266</v>
      </c>
      <c r="AI15" s="184"/>
      <c r="AJ15" s="182">
        <f>Escenario1!BP75</f>
        <v>0</v>
      </c>
      <c r="AK15" s="184"/>
      <c r="AL15" s="182">
        <f>Escenario2!BP412</f>
        <v>0</v>
      </c>
      <c r="AM15" s="151"/>
      <c r="AO15" s="152"/>
      <c r="AP15" s="75">
        <v>10</v>
      </c>
      <c r="AQ15" s="190">
        <f>SUM(Observaciones!$F644:$F674)</f>
        <v>80.7</v>
      </c>
      <c r="AR15" s="190">
        <f t="shared" si="0"/>
        <v>15.200000000000003</v>
      </c>
      <c r="AS15" s="190">
        <f>SUM(LíneaBase!$L645:$L675)</f>
        <v>24.461901914894579</v>
      </c>
      <c r="AT15" s="190">
        <f t="shared" si="0"/>
        <v>5.753095425826519</v>
      </c>
      <c r="AU15" s="190">
        <f>SUM(Escenario1!$BN645:$BN675)</f>
        <v>21.049548969740631</v>
      </c>
      <c r="AV15" s="190">
        <f t="shared" si="1"/>
        <v>6.3167568553926898</v>
      </c>
      <c r="AW15" s="190">
        <f>SUM(Escenario2!$BN645:$BN675)</f>
        <v>18.463547932687529</v>
      </c>
      <c r="AX15" s="190">
        <f t="shared" si="3"/>
        <v>3.1571036262720256</v>
      </c>
      <c r="AY15" s="151"/>
      <c r="BA15" s="152"/>
      <c r="BB15" s="75">
        <v>10</v>
      </c>
      <c r="BC15" s="190">
        <f>ABS(LíneaBase!L16-LíneaBase!L15)</f>
        <v>0.10377748332236991</v>
      </c>
      <c r="BD15" s="190">
        <f>ABS(Escenario1!BN16-Escenario1!BN15)</f>
        <v>8.991911143806619E-2</v>
      </c>
      <c r="BE15" s="190">
        <f>ABS(Escenario2!BN16-Escenario2!BN15)</f>
        <v>3.4914559551043167E-2</v>
      </c>
      <c r="BF15" s="151"/>
    </row>
    <row r="16" spans="2:58">
      <c r="B16" s="11"/>
      <c r="C16" s="173"/>
      <c r="D16" s="173"/>
      <c r="E16" s="173"/>
      <c r="F16" s="173"/>
      <c r="G16" s="173"/>
      <c r="H16" s="173"/>
      <c r="I16" s="173"/>
      <c r="J16" s="173"/>
      <c r="K16" s="173"/>
      <c r="L16" s="173"/>
      <c r="M16" s="173"/>
      <c r="N16" s="173"/>
      <c r="O16" s="173"/>
      <c r="P16" s="173"/>
      <c r="Q16" s="151"/>
      <c r="S16" s="152"/>
      <c r="T16" s="153"/>
      <c r="U16" s="153"/>
      <c r="V16" s="153"/>
      <c r="W16" s="151"/>
      <c r="Y16" s="152"/>
      <c r="Z16" s="183">
        <f>(LíneaBase!C17-0.44)/(MAX(LíneaBase!C:C)+0.12)*100</f>
        <v>1.4463375883416425</v>
      </c>
      <c r="AA16" s="184"/>
      <c r="AB16" s="182">
        <f>LíneaBase!L77</f>
        <v>5.2329913660461358</v>
      </c>
      <c r="AC16" s="184"/>
      <c r="AD16" s="182">
        <f>Escenario1!BN80</f>
        <v>2.2891565788256911</v>
      </c>
      <c r="AE16" s="184"/>
      <c r="AF16" s="182">
        <f>Escenario2!BN453</f>
        <v>1.2448181527554585</v>
      </c>
      <c r="AG16" s="184"/>
      <c r="AH16" s="182">
        <f>LíneaBase!N7</f>
        <v>8.6646239802202221E-2</v>
      </c>
      <c r="AI16" s="184"/>
      <c r="AJ16" s="182">
        <f>Escenario1!BP440</f>
        <v>0</v>
      </c>
      <c r="AK16" s="184"/>
      <c r="AL16" s="182">
        <f>Escenario2!BP7</f>
        <v>0</v>
      </c>
      <c r="AM16" s="151"/>
      <c r="AO16" s="152"/>
      <c r="AP16" s="75">
        <v>11</v>
      </c>
      <c r="AQ16" s="190">
        <f>SUM(Observaciones!$F675:$F704)</f>
        <v>80.8</v>
      </c>
      <c r="AR16" s="190">
        <f t="shared" si="0"/>
        <v>15.299999999999997</v>
      </c>
      <c r="AS16" s="190">
        <f>SUM(LíneaBase!$L676:$L705)</f>
        <v>21.284365901002904</v>
      </c>
      <c r="AT16" s="190">
        <f t="shared" si="0"/>
        <v>8.9306314397181943</v>
      </c>
      <c r="AU16" s="190">
        <f>SUM(Escenario1!$BN676:$BN705)</f>
        <v>18.400775819701654</v>
      </c>
      <c r="AV16" s="190">
        <f t="shared" si="1"/>
        <v>8.9655300054316669</v>
      </c>
      <c r="AW16" s="190">
        <f>SUM(Escenario2!$BN676:$BN705)</f>
        <v>14.686051466096854</v>
      </c>
      <c r="AX16" s="190">
        <f t="shared" si="3"/>
        <v>6.9346000928627003</v>
      </c>
      <c r="AY16" s="151"/>
      <c r="BA16" s="152"/>
      <c r="BB16" s="75">
        <v>11</v>
      </c>
      <c r="BC16" s="190">
        <f>ABS(LíneaBase!L17-LíneaBase!L16)</f>
        <v>3.5739141177704159E-3</v>
      </c>
      <c r="BD16" s="190">
        <f>ABS(Escenario1!BN17-Escenario1!BN16)</f>
        <v>1.8755056066044329E-3</v>
      </c>
      <c r="BE16" s="190">
        <f>ABS(Escenario2!BN17-Escenario2!BN16)</f>
        <v>1.2398746018415063E-2</v>
      </c>
      <c r="BF16" s="151"/>
    </row>
    <row r="17" spans="2:58">
      <c r="B17" s="11"/>
      <c r="C17" s="173"/>
      <c r="D17" s="173"/>
      <c r="E17" s="173"/>
      <c r="F17" s="173"/>
      <c r="G17" s="173"/>
      <c r="H17" s="173"/>
      <c r="I17" s="173"/>
      <c r="J17" s="173"/>
      <c r="K17" s="173"/>
      <c r="L17" s="173"/>
      <c r="M17" s="173"/>
      <c r="N17" s="173"/>
      <c r="O17" s="173"/>
      <c r="P17" s="173"/>
      <c r="Q17" s="151"/>
      <c r="S17" s="152"/>
      <c r="T17" s="130" t="s">
        <v>33</v>
      </c>
      <c r="U17" s="71" t="s">
        <v>437</v>
      </c>
      <c r="V17" s="32" t="s">
        <v>242</v>
      </c>
      <c r="W17" s="151"/>
      <c r="Y17" s="152"/>
      <c r="Z17" s="183">
        <f>(LíneaBase!C18-0.44)/(MAX(LíneaBase!C:C)+0.12)*100</f>
        <v>1.5833013751164193</v>
      </c>
      <c r="AA17" s="184"/>
      <c r="AB17" s="182">
        <f>LíneaBase!L47</f>
        <v>5.204571287426166</v>
      </c>
      <c r="AC17" s="184"/>
      <c r="AD17" s="182">
        <f>Escenario1!BN78</f>
        <v>2.2816246260823529</v>
      </c>
      <c r="AE17" s="184"/>
      <c r="AF17" s="182">
        <f>Escenario2!BN464</f>
        <v>1.2438293036087391</v>
      </c>
      <c r="AG17" s="184"/>
      <c r="AH17" s="182">
        <f>LíneaBase!N77</f>
        <v>8.6646239802202221E-2</v>
      </c>
      <c r="AI17" s="184"/>
      <c r="AJ17" s="182">
        <f>Escenario1!BP423</f>
        <v>0</v>
      </c>
      <c r="AK17" s="184"/>
      <c r="AL17" s="182">
        <f>Escenario2!BP77</f>
        <v>0</v>
      </c>
      <c r="AM17" s="151"/>
      <c r="AO17" s="152"/>
      <c r="AP17" s="75">
        <v>12</v>
      </c>
      <c r="AQ17" s="190">
        <f>SUM(Observaciones!$F705:$F735)</f>
        <v>95.2</v>
      </c>
      <c r="AR17" s="190">
        <f>ABS(AQ17-AQ$19)</f>
        <v>29.700000000000003</v>
      </c>
      <c r="AS17" s="190">
        <f>SUM(LíneaBase!$L706:$L736)</f>
        <v>24.691858656338649</v>
      </c>
      <c r="AT17" s="190">
        <f>ABS(AS17-AS$19)</f>
        <v>5.5231386843824488</v>
      </c>
      <c r="AU17" s="190">
        <f>SUM(Escenario1!$BN706:$BN736)</f>
        <v>17.623292646922067</v>
      </c>
      <c r="AV17" s="190">
        <f>ABS(AU17-AU$19)</f>
        <v>9.7430131782112532</v>
      </c>
      <c r="AW17" s="190">
        <f>SUM(Escenario2!$BN706:$BN736)</f>
        <v>14.414323179726416</v>
      </c>
      <c r="AX17" s="190">
        <f>ABS(AW17-AW$19)</f>
        <v>7.2063283792331383</v>
      </c>
      <c r="AY17" s="151"/>
      <c r="BA17" s="152"/>
      <c r="BB17" s="75">
        <v>12</v>
      </c>
      <c r="BC17" s="190">
        <f>ABS(LíneaBase!L18-LíneaBase!L17)</f>
        <v>2.6924167379483679</v>
      </c>
      <c r="BD17" s="190">
        <f>ABS(Escenario1!BN18-Escenario1!BN17)</f>
        <v>0.38619457060446738</v>
      </c>
      <c r="BE17" s="190">
        <f>ABS(Escenario2!BN18-Escenario2!BN17)</f>
        <v>4.8058753907001761E-2</v>
      </c>
      <c r="BF17" s="151"/>
    </row>
    <row r="18" spans="2:58">
      <c r="B18" s="11"/>
      <c r="C18" s="173"/>
      <c r="D18" s="173"/>
      <c r="E18" s="173"/>
      <c r="F18" s="173"/>
      <c r="G18" s="173"/>
      <c r="H18" s="173"/>
      <c r="I18" s="173"/>
      <c r="J18" s="173"/>
      <c r="K18" s="173"/>
      <c r="L18" s="173"/>
      <c r="M18" s="173"/>
      <c r="N18" s="173"/>
      <c r="O18" s="173"/>
      <c r="P18" s="173"/>
      <c r="Q18" s="151"/>
      <c r="S18" s="152"/>
      <c r="T18" s="60">
        <f>MIN(Observaciones!C:C)</f>
        <v>1</v>
      </c>
      <c r="U18" s="76">
        <f>(T18-0.44)/(MAX(LíneaBase!C:C)+0.12)*100</f>
        <v>7.669972059387499E-2</v>
      </c>
      <c r="V18" s="153">
        <f>Entradas!$D41</f>
        <v>1.5E-3</v>
      </c>
      <c r="W18" s="151"/>
      <c r="Y18" s="152"/>
      <c r="Z18" s="183">
        <f>(LíneaBase!C19-0.44)/(MAX(LíneaBase!C:C)+0.12)*100</f>
        <v>1.7202651618911959</v>
      </c>
      <c r="AA18" s="184"/>
      <c r="AB18" s="182">
        <f>LíneaBase!L446</f>
        <v>4.8469553716714842</v>
      </c>
      <c r="AC18" s="184"/>
      <c r="AD18" s="182">
        <f>Escenario1!BN79</f>
        <v>2.2768726060687237</v>
      </c>
      <c r="AE18" s="184"/>
      <c r="AF18" s="182">
        <f>Escenario2!BN465</f>
        <v>1.2406648095532669</v>
      </c>
      <c r="AG18" s="184"/>
      <c r="AH18" s="182">
        <f>LíneaBase!N372</f>
        <v>8.6646239802202221E-2</v>
      </c>
      <c r="AI18" s="184"/>
      <c r="AJ18" s="182">
        <f>Escenario1!BP420</f>
        <v>0</v>
      </c>
      <c r="AK18" s="184"/>
      <c r="AL18" s="182">
        <f>Escenario2!BP372</f>
        <v>0</v>
      </c>
      <c r="AM18" s="151"/>
      <c r="AO18" s="152"/>
      <c r="AP18" s="191" t="s">
        <v>475</v>
      </c>
      <c r="AQ18" s="192">
        <f>SUM(AQ6:AQ17)</f>
        <v>786</v>
      </c>
      <c r="AR18" s="192">
        <f t="shared" ref="AR18:AX18" si="4">SUM(AR6:AR17)</f>
        <v>652.79999999999995</v>
      </c>
      <c r="AS18" s="192">
        <f t="shared" si="4"/>
        <v>362.57996808865317</v>
      </c>
      <c r="AT18" s="192">
        <f t="shared" si="4"/>
        <v>211.07650543419518</v>
      </c>
      <c r="AU18" s="192">
        <f t="shared" si="4"/>
        <v>328.39566990159983</v>
      </c>
      <c r="AV18" s="192">
        <f t="shared" si="4"/>
        <v>158.56642840683449</v>
      </c>
      <c r="AW18" s="192">
        <f t="shared" si="4"/>
        <v>259.44781870751467</v>
      </c>
      <c r="AX18" s="192">
        <f t="shared" si="4"/>
        <v>103.41422672286048</v>
      </c>
      <c r="AY18" s="151"/>
      <c r="BA18" s="152"/>
      <c r="BB18" s="75">
        <v>13</v>
      </c>
      <c r="BC18" s="190">
        <f>ABS(LíneaBase!L19-LíneaBase!L18)</f>
        <v>2.3758446986430779</v>
      </c>
      <c r="BD18" s="190">
        <f>ABS(Escenario1!BN19-Escenario1!BN18)</f>
        <v>8.9961799943588883E-2</v>
      </c>
      <c r="BE18" s="190">
        <f>ABS(Escenario2!BN19-Escenario2!BN18)</f>
        <v>2.0754337118678023E-5</v>
      </c>
      <c r="BF18" s="151"/>
    </row>
    <row r="19" spans="2:58">
      <c r="B19" s="11"/>
      <c r="C19" s="173"/>
      <c r="D19" s="173"/>
      <c r="E19" s="173"/>
      <c r="F19" s="173"/>
      <c r="G19" s="173"/>
      <c r="H19" s="173"/>
      <c r="I19" s="173"/>
      <c r="J19" s="173"/>
      <c r="K19" s="173"/>
      <c r="L19" s="173"/>
      <c r="M19" s="173"/>
      <c r="N19" s="173"/>
      <c r="O19" s="173"/>
      <c r="P19" s="173"/>
      <c r="Q19" s="151"/>
      <c r="S19" s="152"/>
      <c r="T19" s="60">
        <f>MAX(Observaciones!C:C)</f>
        <v>730</v>
      </c>
      <c r="U19" s="76">
        <f>(T19-0.44)/(MAX(LíneaBase!C:C)+0.12)*100</f>
        <v>99.923300279406106</v>
      </c>
      <c r="V19" s="153">
        <f>Entradas!$D41</f>
        <v>1.5E-3</v>
      </c>
      <c r="W19" s="151"/>
      <c r="Y19" s="152"/>
      <c r="Z19" s="183">
        <f>(LíneaBase!C20-0.44)/(MAX(LíneaBase!C:C)+0.12)*100</f>
        <v>1.8572289486659728</v>
      </c>
      <c r="AA19" s="184"/>
      <c r="AB19" s="182">
        <f>LíneaBase!L81</f>
        <v>4.8158055672220756</v>
      </c>
      <c r="AC19" s="184"/>
      <c r="AD19" s="182">
        <f>Escenario1!BN83</f>
        <v>2.2693072411346455</v>
      </c>
      <c r="AE19" s="184"/>
      <c r="AF19" s="182">
        <f>Escenario2!BN452</f>
        <v>1.2399343631657387</v>
      </c>
      <c r="AG19" s="184"/>
      <c r="AH19" s="182">
        <f>LíneaBase!N442</f>
        <v>8.6646239802202221E-2</v>
      </c>
      <c r="AI19" s="184"/>
      <c r="AJ19" s="182">
        <f>Escenario1!BP73</f>
        <v>0</v>
      </c>
      <c r="AK19" s="184"/>
      <c r="AL19" s="182">
        <f>Escenario2!BP442</f>
        <v>0</v>
      </c>
      <c r="AM19" s="151"/>
      <c r="AO19" s="152"/>
      <c r="AP19" s="191" t="s">
        <v>476</v>
      </c>
      <c r="AQ19" s="192">
        <f>AVERAGE(AQ6:AQ17)</f>
        <v>65.5</v>
      </c>
      <c r="AR19" s="192">
        <f>AVERAGE(AR6:AR17)</f>
        <v>54.4</v>
      </c>
      <c r="AS19" s="192">
        <f t="shared" ref="AS19:AX19" si="5">AVERAGE(AS6:AS17)</f>
        <v>30.214997340721098</v>
      </c>
      <c r="AT19" s="192">
        <f t="shared" si="5"/>
        <v>17.589708786182932</v>
      </c>
      <c r="AU19" s="192">
        <f t="shared" si="5"/>
        <v>27.36630582513332</v>
      </c>
      <c r="AV19" s="192">
        <f t="shared" si="5"/>
        <v>13.213869033902874</v>
      </c>
      <c r="AW19" s="192">
        <f t="shared" si="5"/>
        <v>21.620651558959555</v>
      </c>
      <c r="AX19" s="192">
        <f t="shared" si="5"/>
        <v>8.6178522269050397</v>
      </c>
      <c r="AY19" s="151"/>
      <c r="BA19" s="152"/>
      <c r="BB19" s="75">
        <v>14</v>
      </c>
      <c r="BC19" s="190">
        <f>ABS(LíneaBase!L20-LíneaBase!L19)</f>
        <v>0.100380986891214</v>
      </c>
      <c r="BD19" s="190">
        <f>ABS(Escenario1!BN20-Escenario1!BN19)</f>
        <v>8.6979639150918775E-2</v>
      </c>
      <c r="BE19" s="190">
        <f>ABS(Escenario2!BN20-Escenario2!BN19)</f>
        <v>2.0437101947878844E-5</v>
      </c>
      <c r="BF19" s="151"/>
    </row>
    <row r="20" spans="2:58" ht="15" thickBot="1">
      <c r="B20" s="11"/>
      <c r="C20" s="173"/>
      <c r="D20" s="173"/>
      <c r="E20" s="173"/>
      <c r="F20" s="173"/>
      <c r="G20" s="173"/>
      <c r="H20" s="173"/>
      <c r="I20" s="173"/>
      <c r="J20" s="173"/>
      <c r="K20" s="173"/>
      <c r="L20" s="173"/>
      <c r="M20" s="173"/>
      <c r="N20" s="173"/>
      <c r="O20" s="173"/>
      <c r="P20" s="173"/>
      <c r="Q20" s="151"/>
      <c r="S20" s="154"/>
      <c r="T20" s="155"/>
      <c r="U20" s="155"/>
      <c r="V20" s="155"/>
      <c r="W20" s="156"/>
      <c r="Y20" s="152"/>
      <c r="Z20" s="183">
        <f>(LíneaBase!C21-0.44)/(MAX(LíneaBase!C:C)+0.12)*100</f>
        <v>1.9941927354407494</v>
      </c>
      <c r="AA20" s="184"/>
      <c r="AB20" s="182">
        <f>LíneaBase!L394</f>
        <v>4.5882842453196888</v>
      </c>
      <c r="AC20" s="184"/>
      <c r="AD20" s="182">
        <f>Escenario1!BN449</f>
        <v>2.2549039490328937</v>
      </c>
      <c r="AE20" s="184"/>
      <c r="AF20" s="182">
        <f>Escenario2!BN466</f>
        <v>1.2375486855712701</v>
      </c>
      <c r="AG20" s="184"/>
      <c r="AH20" s="182">
        <f>LíneaBase!N293</f>
        <v>8.5173230797976562E-2</v>
      </c>
      <c r="AI20" s="184"/>
      <c r="AJ20" s="182">
        <f>Escenario1!BP76</f>
        <v>0</v>
      </c>
      <c r="AK20" s="184"/>
      <c r="AL20" s="182">
        <f>Escenario2!BP293</f>
        <v>0</v>
      </c>
      <c r="AM20" s="151"/>
      <c r="AO20" s="152"/>
      <c r="AP20" s="191" t="s">
        <v>477</v>
      </c>
      <c r="AQ20" s="192">
        <f>(6/11)*AR$18/AQ$18</f>
        <v>0.45301873698820255</v>
      </c>
      <c r="AR20" s="192"/>
      <c r="AS20" s="192">
        <f>(6/11)*AT$18/AS$18</f>
        <v>0.31753723167517112</v>
      </c>
      <c r="AT20" s="192"/>
      <c r="AU20" s="192">
        <f>(6/11)*AV$18/AU$18</f>
        <v>0.26337368929656302</v>
      </c>
      <c r="AV20" s="192"/>
      <c r="AW20" s="192">
        <f>(6/11)*AX$18/AW$18</f>
        <v>0.21741466284687391</v>
      </c>
      <c r="AX20" s="192"/>
      <c r="AY20" s="151"/>
      <c r="BA20" s="152"/>
      <c r="BB20" s="75">
        <v>15</v>
      </c>
      <c r="BC20" s="190">
        <f>ABS(LíneaBase!L21-LíneaBase!L20)</f>
        <v>9.3561914832283488E-2</v>
      </c>
      <c r="BD20" s="190">
        <f>ABS(Escenario1!BN21-Escenario1!BN20)</f>
        <v>8.1196365219661892E-2</v>
      </c>
      <c r="BE20" s="190">
        <f>ABS(Escenario2!BN21-Escenario2!BN20)</f>
        <v>2.0124715795377668E-5</v>
      </c>
      <c r="BF20" s="151"/>
    </row>
    <row r="21" spans="2:58" ht="15" thickBot="1">
      <c r="B21" s="11"/>
      <c r="C21" s="173"/>
      <c r="D21" s="173"/>
      <c r="E21" s="173"/>
      <c r="F21" s="173"/>
      <c r="G21" s="173"/>
      <c r="H21" s="173"/>
      <c r="I21" s="173"/>
      <c r="J21" s="173"/>
      <c r="K21" s="173"/>
      <c r="L21" s="173"/>
      <c r="M21" s="173"/>
      <c r="N21" s="173"/>
      <c r="O21" s="173"/>
      <c r="P21" s="173"/>
      <c r="Q21" s="151"/>
      <c r="Y21" s="152"/>
      <c r="Z21" s="183">
        <f>(LíneaBase!C22-0.44)/(MAX(LíneaBase!C:C)+0.12)*100</f>
        <v>2.1311565222155262</v>
      </c>
      <c r="AA21" s="184"/>
      <c r="AB21" s="182">
        <f>LíneaBase!L29</f>
        <v>4.5361554597857587</v>
      </c>
      <c r="AC21" s="184"/>
      <c r="AD21" s="182">
        <f>Escenario1!BN77</f>
        <v>2.2440734423536806</v>
      </c>
      <c r="AE21" s="184"/>
      <c r="AF21" s="182">
        <f>Escenario2!BN451</f>
        <v>1.2346227665422591</v>
      </c>
      <c r="AG21" s="184"/>
      <c r="AH21" s="182">
        <f>LíneaBase!N658</f>
        <v>8.5173230797976562E-2</v>
      </c>
      <c r="AI21" s="184"/>
      <c r="AJ21" s="182">
        <f>Escenario1!BP441</f>
        <v>0</v>
      </c>
      <c r="AK21" s="184"/>
      <c r="AL21" s="182">
        <f>Escenario2!BP658</f>
        <v>0</v>
      </c>
      <c r="AM21" s="151"/>
      <c r="AO21" s="154"/>
      <c r="AP21" s="155"/>
      <c r="AQ21" s="155"/>
      <c r="AR21" s="155"/>
      <c r="AS21" s="155"/>
      <c r="AT21" s="155"/>
      <c r="AU21" s="155"/>
      <c r="AV21" s="155"/>
      <c r="AW21" s="155"/>
      <c r="AX21" s="155"/>
      <c r="AY21" s="156"/>
      <c r="BA21" s="152"/>
      <c r="BB21" s="75">
        <v>16</v>
      </c>
      <c r="BC21" s="190">
        <f>ABS(LíneaBase!L22-LíneaBase!L21)</f>
        <v>0.10794791665528525</v>
      </c>
      <c r="BD21" s="190">
        <f>ABS(Escenario1!BN22-Escenario1!BN21)</f>
        <v>9.4124498677127244E-2</v>
      </c>
      <c r="BE21" s="190">
        <f>ABS(Escenario2!BN22-Escenario2!BN21)</f>
        <v>1.8479394150315853E-2</v>
      </c>
      <c r="BF21" s="151"/>
    </row>
    <row r="22" spans="2:58">
      <c r="B22" s="11"/>
      <c r="C22" s="173"/>
      <c r="D22" s="173"/>
      <c r="E22" s="173"/>
      <c r="F22" s="173"/>
      <c r="G22" s="173"/>
      <c r="H22" s="173"/>
      <c r="I22" s="173"/>
      <c r="J22" s="173"/>
      <c r="K22" s="173"/>
      <c r="L22" s="173"/>
      <c r="M22" s="173"/>
      <c r="N22" s="173"/>
      <c r="O22" s="173"/>
      <c r="P22" s="173"/>
      <c r="Q22" s="151"/>
      <c r="S22" s="243" t="s">
        <v>453</v>
      </c>
      <c r="T22" s="243"/>
      <c r="U22" s="243"/>
      <c r="V22" s="243"/>
      <c r="W22" s="243"/>
      <c r="Y22" s="152"/>
      <c r="Z22" s="183">
        <f>(LíneaBase!C23-0.44)/(MAX(LíneaBase!C:C)+0.12)*100</f>
        <v>2.2681203089903028</v>
      </c>
      <c r="AA22" s="184"/>
      <c r="AB22" s="182">
        <f>LíneaBase!L372</f>
        <v>4.4268042260306348</v>
      </c>
      <c r="AC22" s="184"/>
      <c r="AD22" s="182">
        <f>Escenario1!BN441</f>
        <v>2.20318816337213</v>
      </c>
      <c r="AE22" s="184"/>
      <c r="AF22" s="182">
        <f>Escenario2!BN467</f>
        <v>1.234480192314225</v>
      </c>
      <c r="AG22" s="184"/>
      <c r="AH22" s="182">
        <f>LíneaBase!N29</f>
        <v>8.0851907840332568E-2</v>
      </c>
      <c r="AI22" s="184"/>
      <c r="AJ22" s="182">
        <f>Escenario1!BP85</f>
        <v>0</v>
      </c>
      <c r="AK22" s="184"/>
      <c r="AL22" s="182">
        <f>Escenario2!BP29</f>
        <v>0</v>
      </c>
      <c r="AM22" s="151"/>
      <c r="BA22" s="152"/>
      <c r="BB22" s="75">
        <v>17</v>
      </c>
      <c r="BC22" s="190">
        <f>ABS(LíneaBase!L23-LíneaBase!L22)</f>
        <v>0.52489580899421995</v>
      </c>
      <c r="BD22" s="190">
        <f>ABS(Escenario1!BN23-Escenario1!BN22)</f>
        <v>0.17352628350945865</v>
      </c>
      <c r="BE22" s="190">
        <f>ABS(Escenario2!BN23-Escenario2!BN22)</f>
        <v>1.8440062850570094E-2</v>
      </c>
      <c r="BF22" s="151"/>
    </row>
    <row r="23" spans="2:58">
      <c r="B23" s="11"/>
      <c r="C23" s="173"/>
      <c r="D23" s="173"/>
      <c r="E23" s="173"/>
      <c r="F23" s="173"/>
      <c r="G23" s="173"/>
      <c r="H23" s="173"/>
      <c r="I23" s="173"/>
      <c r="J23" s="173"/>
      <c r="K23" s="173"/>
      <c r="L23" s="173"/>
      <c r="M23" s="173"/>
      <c r="N23" s="173"/>
      <c r="O23" s="173"/>
      <c r="P23" s="173"/>
      <c r="Q23" s="151"/>
      <c r="S23" s="243"/>
      <c r="T23" s="243"/>
      <c r="U23" s="243"/>
      <c r="V23" s="243"/>
      <c r="W23" s="243"/>
      <c r="Y23" s="152"/>
      <c r="Z23" s="183">
        <f>(LíneaBase!C24-0.44)/(MAX(LíneaBase!C:C)+0.12)*100</f>
        <v>2.4050840957650794</v>
      </c>
      <c r="AA23" s="184"/>
      <c r="AB23" s="182">
        <f>LíneaBase!L7</f>
        <v>4.3585938675872358</v>
      </c>
      <c r="AC23" s="184"/>
      <c r="AD23" s="182">
        <f>Escenario1!BN440</f>
        <v>2.1912949211124459</v>
      </c>
      <c r="AE23" s="184"/>
      <c r="AF23" s="182">
        <f>Escenario2!BN468</f>
        <v>1.2314586017347331</v>
      </c>
      <c r="AG23" s="184"/>
      <c r="AH23" s="182">
        <f>LíneaBase!N394</f>
        <v>8.0851907840332568E-2</v>
      </c>
      <c r="AI23" s="184"/>
      <c r="AJ23" s="182">
        <f>Escenario1!BP426</f>
        <v>0</v>
      </c>
      <c r="AK23" s="184"/>
      <c r="AL23" s="182">
        <f>Escenario2!BP394</f>
        <v>0</v>
      </c>
      <c r="AM23" s="151"/>
      <c r="BA23" s="152"/>
      <c r="BB23" s="75">
        <v>18</v>
      </c>
      <c r="BC23" s="190">
        <f>ABS(LíneaBase!L24-LíneaBase!L23)</f>
        <v>0.36272654165330609</v>
      </c>
      <c r="BD23" s="190">
        <f>ABS(Escenario1!BN24-Escenario1!BN23)</f>
        <v>1.9063603665793627E-2</v>
      </c>
      <c r="BE23" s="190">
        <f>ABS(Escenario2!BN24-Escenario2!BN23)</f>
        <v>1.9215915908254999E-5</v>
      </c>
      <c r="BF23" s="151"/>
    </row>
    <row r="24" spans="2:58">
      <c r="B24" s="11"/>
      <c r="C24" s="173"/>
      <c r="D24" s="173"/>
      <c r="E24" s="173"/>
      <c r="F24" s="173"/>
      <c r="G24" s="173"/>
      <c r="H24" s="173"/>
      <c r="I24" s="173"/>
      <c r="J24" s="173"/>
      <c r="K24" s="173"/>
      <c r="L24" s="173"/>
      <c r="M24" s="173"/>
      <c r="N24" s="173"/>
      <c r="O24" s="173"/>
      <c r="P24" s="173"/>
      <c r="Q24" s="151"/>
      <c r="S24" s="243"/>
      <c r="T24" s="243"/>
      <c r="U24" s="243"/>
      <c r="V24" s="243"/>
      <c r="W24" s="243"/>
      <c r="Y24" s="152"/>
      <c r="Z24" s="183">
        <f>(LíneaBase!C25-0.44)/(MAX(LíneaBase!C:C)+0.12)*100</f>
        <v>2.542047882539856</v>
      </c>
      <c r="AA24" s="184"/>
      <c r="AB24" s="182">
        <f>LíneaBase!L418</f>
        <v>4.0041926644114705</v>
      </c>
      <c r="AC24" s="184"/>
      <c r="AD24" s="182">
        <f>Escenario1!BN85</f>
        <v>2.1821034379392406</v>
      </c>
      <c r="AE24" s="184"/>
      <c r="AF24" s="182">
        <f>Escenario2!BN469</f>
        <v>1.2284831969137795</v>
      </c>
      <c r="AG24" s="184"/>
      <c r="AH24" s="182">
        <f>LíneaBase!N81</f>
        <v>6.256577520466905E-2</v>
      </c>
      <c r="AI24" s="184"/>
      <c r="AJ24" s="182">
        <f>Escenario1!BP78</f>
        <v>0</v>
      </c>
      <c r="AK24" s="184"/>
      <c r="AL24" s="182">
        <f>Escenario2!BP81</f>
        <v>0</v>
      </c>
      <c r="AM24" s="151"/>
      <c r="BA24" s="152"/>
      <c r="BB24" s="75">
        <v>19</v>
      </c>
      <c r="BC24" s="190">
        <f>ABS(LíneaBase!L25-LíneaBase!L24)</f>
        <v>0.38751554034246394</v>
      </c>
      <c r="BD24" s="190">
        <f>ABS(Escenario1!BN25-Escenario1!BN24)</f>
        <v>0.1421981780955186</v>
      </c>
      <c r="BE24" s="190">
        <f>ABS(Escenario2!BN25-Escenario2!BN24)</f>
        <v>1.8922195886172943E-5</v>
      </c>
      <c r="BF24" s="151"/>
    </row>
    <row r="25" spans="2:58">
      <c r="B25" s="11"/>
      <c r="C25" s="173"/>
      <c r="D25" s="173"/>
      <c r="E25" s="173"/>
      <c r="F25" s="173"/>
      <c r="G25" s="173"/>
      <c r="H25" s="173"/>
      <c r="I25" s="173"/>
      <c r="J25" s="173"/>
      <c r="K25" s="173"/>
      <c r="L25" s="173"/>
      <c r="M25" s="173"/>
      <c r="N25" s="173"/>
      <c r="O25" s="173"/>
      <c r="P25" s="173"/>
      <c r="Q25" s="151"/>
      <c r="Y25" s="152"/>
      <c r="Z25" s="183">
        <f>(LíneaBase!C26-0.44)/(MAX(LíneaBase!C:C)+0.12)*100</f>
        <v>2.6790116693146331</v>
      </c>
      <c r="AA25" s="184"/>
      <c r="AB25" s="182">
        <f>LíneaBase!L53</f>
        <v>3.9630902510214479</v>
      </c>
      <c r="AC25" s="184"/>
      <c r="AD25" s="182">
        <f>Escenario1!BN84</f>
        <v>2.1725856784229247</v>
      </c>
      <c r="AE25" s="184"/>
      <c r="AF25" s="182">
        <f>Escenario2!BN450</f>
        <v>1.2284237193638634</v>
      </c>
      <c r="AG25" s="184"/>
      <c r="AH25" s="182">
        <f>LíneaBase!N446</f>
        <v>6.256577520466905E-2</v>
      </c>
      <c r="AI25" s="184"/>
      <c r="AJ25" s="182">
        <f>Escenario1!BP443</f>
        <v>0</v>
      </c>
      <c r="AK25" s="184"/>
      <c r="AL25" s="182">
        <f>Escenario2!BP446</f>
        <v>0</v>
      </c>
      <c r="AM25" s="151"/>
      <c r="BA25" s="152"/>
      <c r="BB25" s="75">
        <v>20</v>
      </c>
      <c r="BC25" s="190">
        <f>ABS(LíneaBase!L26-LíneaBase!L25)</f>
        <v>0.15779707191120007</v>
      </c>
      <c r="BD25" s="190">
        <f>ABS(Escenario1!BN26-Escenario1!BN25)</f>
        <v>3.4429085423108852E-2</v>
      </c>
      <c r="BE25" s="190">
        <f>ABS(Escenario2!BN26-Escenario2!BN25)</f>
        <v>1.8632965447018535E-5</v>
      </c>
      <c r="BF25" s="151"/>
    </row>
    <row r="26" spans="2:58">
      <c r="B26" s="11"/>
      <c r="C26" s="173"/>
      <c r="D26" s="173"/>
      <c r="E26" s="173"/>
      <c r="F26" s="173"/>
      <c r="G26" s="173"/>
      <c r="H26" s="173"/>
      <c r="I26" s="173"/>
      <c r="J26" s="173"/>
      <c r="K26" s="173"/>
      <c r="L26" s="173"/>
      <c r="M26" s="173"/>
      <c r="N26" s="173"/>
      <c r="O26" s="173"/>
      <c r="P26" s="173"/>
      <c r="Q26" s="151"/>
      <c r="Y26" s="152"/>
      <c r="Z26" s="183">
        <f>(LíneaBase!C27-0.44)/(MAX(LíneaBase!C:C)+0.12)*100</f>
        <v>2.8159754560894097</v>
      </c>
      <c r="AA26" s="184"/>
      <c r="AB26" s="182">
        <f>LíneaBase!L383</f>
        <v>3.8868387339344466</v>
      </c>
      <c r="AC26" s="184"/>
      <c r="AD26" s="182">
        <f>Escenario1!BN451</f>
        <v>2.1660737706615012</v>
      </c>
      <c r="AE26" s="184"/>
      <c r="AF26" s="182">
        <f>Escenario2!BN95</f>
        <v>1.2268416801449535</v>
      </c>
      <c r="AG26" s="184"/>
      <c r="AH26" s="182">
        <f>LíneaBase!N53</f>
        <v>6.0197953100362217E-2</v>
      </c>
      <c r="AI26" s="184"/>
      <c r="AJ26" s="182">
        <f>Escenario1!BP424</f>
        <v>0</v>
      </c>
      <c r="AK26" s="184"/>
      <c r="AL26" s="182">
        <f>Escenario2!BP53</f>
        <v>0</v>
      </c>
      <c r="AM26" s="151"/>
      <c r="BA26" s="152"/>
      <c r="BB26" s="75">
        <v>21</v>
      </c>
      <c r="BC26" s="190">
        <f>ABS(LíneaBase!L27-LíneaBase!L26)</f>
        <v>8.1743497809972698E-2</v>
      </c>
      <c r="BD26" s="190">
        <f>ABS(Escenario1!BN27-Escenario1!BN26)</f>
        <v>1.9682578221519753E-2</v>
      </c>
      <c r="BE26" s="190">
        <f>ABS(Escenario2!BN27-Escenario2!BN26)</f>
        <v>1.3465266189993663E-4</v>
      </c>
      <c r="BF26" s="151"/>
    </row>
    <row r="27" spans="2:58">
      <c r="B27" s="11"/>
      <c r="C27" s="173"/>
      <c r="D27" s="173"/>
      <c r="E27" s="173"/>
      <c r="F27" s="173"/>
      <c r="G27" s="173"/>
      <c r="H27" s="173"/>
      <c r="I27" s="173"/>
      <c r="J27" s="173"/>
      <c r="K27" s="173"/>
      <c r="L27" s="173"/>
      <c r="M27" s="173"/>
      <c r="N27" s="173"/>
      <c r="O27" s="173"/>
      <c r="P27" s="173"/>
      <c r="Q27" s="151"/>
      <c r="Y27" s="152"/>
      <c r="Z27" s="183">
        <f>(LíneaBase!C28-0.44)/(MAX(LíneaBase!C:C)+0.12)*100</f>
        <v>2.9529392428641867</v>
      </c>
      <c r="AA27" s="184"/>
      <c r="AB27" s="182">
        <f>LíneaBase!L658</f>
        <v>3.8378241686790266</v>
      </c>
      <c r="AC27" s="184"/>
      <c r="AD27" s="182">
        <f>Escenario1!BN426</f>
        <v>2.1464511198616498</v>
      </c>
      <c r="AE27" s="184"/>
      <c r="AF27" s="182">
        <f>Escenario2!BN94</f>
        <v>1.2263680753637665</v>
      </c>
      <c r="AG27" s="184"/>
      <c r="AH27" s="182">
        <f>LíneaBase!N418</f>
        <v>6.0197953100362217E-2</v>
      </c>
      <c r="AI27" s="184"/>
      <c r="AJ27" s="182">
        <f>Escenario1!BP80</f>
        <v>0</v>
      </c>
      <c r="AK27" s="184"/>
      <c r="AL27" s="182">
        <f>Escenario2!BP418</f>
        <v>0</v>
      </c>
      <c r="AM27" s="151"/>
      <c r="BA27" s="152"/>
      <c r="BB27" s="75">
        <v>22</v>
      </c>
      <c r="BC27" s="190">
        <f>ABS(LíneaBase!L28-LíneaBase!L27)</f>
        <v>0.19928448346367511</v>
      </c>
      <c r="BD27" s="190">
        <f>ABS(Escenario1!BN28-Escenario1!BN27)</f>
        <v>9.8522177892093055E-2</v>
      </c>
      <c r="BE27" s="190">
        <f>ABS(Escenario2!BN28-Escenario2!BN27)</f>
        <v>2.0406355171864732E-5</v>
      </c>
      <c r="BF27" s="151"/>
    </row>
    <row r="28" spans="2:58">
      <c r="B28" s="11"/>
      <c r="C28" s="173"/>
      <c r="D28" s="173"/>
      <c r="E28" s="173"/>
      <c r="F28" s="173"/>
      <c r="G28" s="173"/>
      <c r="H28" s="173"/>
      <c r="I28" s="173"/>
      <c r="J28" s="173"/>
      <c r="K28" s="173"/>
      <c r="L28" s="173"/>
      <c r="M28" s="173"/>
      <c r="N28" s="173"/>
      <c r="O28" s="173"/>
      <c r="P28" s="173"/>
      <c r="Q28" s="151"/>
      <c r="Y28" s="152"/>
      <c r="Z28" s="183">
        <f>(LíneaBase!C29-0.44)/(MAX(LíneaBase!C:C)+0.12)*100</f>
        <v>3.0899030296389633</v>
      </c>
      <c r="AA28" s="184"/>
      <c r="AB28" s="182">
        <f>LíneaBase!L293</f>
        <v>3.8340067967060687</v>
      </c>
      <c r="AC28" s="184"/>
      <c r="AD28" s="182">
        <f>Escenario1!BN438</f>
        <v>2.1435610427271206</v>
      </c>
      <c r="AE28" s="184"/>
      <c r="AF28" s="182">
        <f>Escenario2!BN96</f>
        <v>1.2258054004506345</v>
      </c>
      <c r="AG28" s="184"/>
      <c r="AH28" s="182">
        <f>LíneaBase!N18</f>
        <v>5.5639030568974297E-2</v>
      </c>
      <c r="AI28" s="184"/>
      <c r="AJ28" s="182">
        <f>Escenario1!BP445</f>
        <v>0</v>
      </c>
      <c r="AK28" s="184"/>
      <c r="AL28" s="182">
        <f>Escenario2!BP18</f>
        <v>0</v>
      </c>
      <c r="AM28" s="151"/>
      <c r="BA28" s="152"/>
      <c r="BB28" s="75">
        <v>23</v>
      </c>
      <c r="BC28" s="190">
        <f>ABS(LíneaBase!L29-LíneaBase!L28)</f>
        <v>3.1108330869913887</v>
      </c>
      <c r="BD28" s="190">
        <f>ABS(Escenario1!BN29-Escenario1!BN28)</f>
        <v>0.20561635275160284</v>
      </c>
      <c r="BE28" s="190">
        <f>ABS(Escenario2!BN29-Escenario2!BN28)</f>
        <v>1.8684461721403256E-3</v>
      </c>
      <c r="BF28" s="151"/>
    </row>
    <row r="29" spans="2:58">
      <c r="B29" s="11"/>
      <c r="C29" s="173"/>
      <c r="D29" s="173"/>
      <c r="E29" s="173"/>
      <c r="F29" s="173"/>
      <c r="G29" s="173"/>
      <c r="H29" s="173"/>
      <c r="I29" s="173"/>
      <c r="J29" s="173"/>
      <c r="K29" s="173"/>
      <c r="L29" s="173"/>
      <c r="M29" s="173"/>
      <c r="N29" s="173"/>
      <c r="O29" s="173"/>
      <c r="P29" s="173"/>
      <c r="Q29" s="151"/>
      <c r="Y29" s="152"/>
      <c r="Z29" s="183">
        <f>(LíneaBase!C30-0.44)/(MAX(LíneaBase!C:C)+0.12)*100</f>
        <v>3.22686681641374</v>
      </c>
      <c r="AA29" s="184"/>
      <c r="AB29" s="182">
        <f>LíneaBase!L18</f>
        <v>3.8287111396977553</v>
      </c>
      <c r="AC29" s="184"/>
      <c r="AD29" s="182">
        <f>Escenario1!BN452</f>
        <v>2.1224765837838611</v>
      </c>
      <c r="AE29" s="184"/>
      <c r="AF29" s="182">
        <f>Escenario2!BN470</f>
        <v>1.2255532718906343</v>
      </c>
      <c r="AG29" s="184"/>
      <c r="AH29" s="182">
        <f>LíneaBase!N383</f>
        <v>5.5639030568974297E-2</v>
      </c>
      <c r="AI29" s="184"/>
      <c r="AJ29" s="182">
        <f>Escenario1!BP84</f>
        <v>0</v>
      </c>
      <c r="AK29" s="184"/>
      <c r="AL29" s="182">
        <f>Escenario2!BP383</f>
        <v>0</v>
      </c>
      <c r="AM29" s="151"/>
      <c r="BA29" s="152"/>
      <c r="BB29" s="75">
        <v>24</v>
      </c>
      <c r="BC29" s="190">
        <f>ABS(LíneaBase!L30-LíneaBase!L29)</f>
        <v>2.930538902506159</v>
      </c>
      <c r="BD29" s="190">
        <f>ABS(Escenario1!BN30-Escenario1!BN29)</f>
        <v>2.7588948851883899E-2</v>
      </c>
      <c r="BE29" s="190">
        <f>ABS(Escenario2!BN30-Escenario2!BN29)</f>
        <v>1.3217013390620647E-3</v>
      </c>
      <c r="BF29" s="151"/>
    </row>
    <row r="30" spans="2:58">
      <c r="B30" s="11"/>
      <c r="C30" s="173"/>
      <c r="D30" s="173"/>
      <c r="E30" s="173"/>
      <c r="F30" s="173"/>
      <c r="G30" s="173"/>
      <c r="H30" s="173"/>
      <c r="I30" s="173"/>
      <c r="J30" s="173"/>
      <c r="K30" s="173"/>
      <c r="L30" s="173"/>
      <c r="M30" s="173"/>
      <c r="N30" s="173"/>
      <c r="O30" s="173"/>
      <c r="P30" s="173"/>
      <c r="Q30" s="151"/>
      <c r="Y30" s="152"/>
      <c r="Z30" s="183">
        <f>(LíneaBase!C31-0.44)/(MAX(LíneaBase!C:C)+0.12)*100</f>
        <v>3.363830603188517</v>
      </c>
      <c r="AA30" s="184"/>
      <c r="AB30" s="182">
        <f>LíneaBase!L377</f>
        <v>3.7207641236015485</v>
      </c>
      <c r="AC30" s="184"/>
      <c r="AD30" s="182">
        <f>Escenario1!BN76</f>
        <v>2.1142912183471343</v>
      </c>
      <c r="AE30" s="184"/>
      <c r="AF30" s="182">
        <f>Escenario2!BN93</f>
        <v>1.2253414293801312</v>
      </c>
      <c r="AG30" s="184"/>
      <c r="AH30" s="182">
        <f>LíneaBase!N359</f>
        <v>5.0264780360206471E-2</v>
      </c>
      <c r="AI30" s="184"/>
      <c r="AJ30" s="182">
        <f>Escenario1!BP449</f>
        <v>0</v>
      </c>
      <c r="AK30" s="184"/>
      <c r="AL30" s="182">
        <f>Escenario2!BP359</f>
        <v>0</v>
      </c>
      <c r="AM30" s="151"/>
      <c r="BA30" s="152"/>
      <c r="BB30" s="75">
        <v>25</v>
      </c>
      <c r="BC30" s="190">
        <f>ABS(LíneaBase!L31-LíneaBase!L30)</f>
        <v>0.11656958628122105</v>
      </c>
      <c r="BD30" s="190">
        <f>ABS(Escenario1!BN31-Escenario1!BN30)</f>
        <v>0.10150827556961151</v>
      </c>
      <c r="BE30" s="190">
        <f>ABS(Escenario2!BN31-Escenario2!BN30)</f>
        <v>6.8856631875613417E-5</v>
      </c>
      <c r="BF30" s="151"/>
    </row>
    <row r="31" spans="2:58">
      <c r="B31" s="11"/>
      <c r="C31" s="173"/>
      <c r="D31" s="173"/>
      <c r="E31" s="173"/>
      <c r="F31" s="173"/>
      <c r="G31" s="173"/>
      <c r="H31" s="173"/>
      <c r="I31" s="173"/>
      <c r="J31" s="173"/>
      <c r="K31" s="173"/>
      <c r="L31" s="173"/>
      <c r="M31" s="173"/>
      <c r="N31" s="173"/>
      <c r="O31" s="173"/>
      <c r="P31" s="173"/>
      <c r="Q31" s="151"/>
      <c r="Y31" s="152"/>
      <c r="Z31" s="183">
        <f>(LíneaBase!C32-0.44)/(MAX(LíneaBase!C:C)+0.12)*100</f>
        <v>3.5007943899632936</v>
      </c>
      <c r="AA31" s="184"/>
      <c r="AB31" s="182">
        <f>LíneaBase!L12</f>
        <v>3.6590784970323407</v>
      </c>
      <c r="AC31" s="184"/>
      <c r="AD31" s="182">
        <f>Escenario1!BN425</f>
        <v>2.1043001185887369</v>
      </c>
      <c r="AE31" s="184"/>
      <c r="AF31" s="182">
        <f>Escenario2!BN90</f>
        <v>1.2244851310221627</v>
      </c>
      <c r="AG31" s="184"/>
      <c r="AH31" s="182">
        <f>LíneaBase!N724</f>
        <v>5.0264780360206471E-2</v>
      </c>
      <c r="AI31" s="184"/>
      <c r="AJ31" s="182">
        <f>Escenario1!BP79</f>
        <v>0</v>
      </c>
      <c r="AK31" s="184"/>
      <c r="AL31" s="182">
        <f>Escenario2!BP724</f>
        <v>0</v>
      </c>
      <c r="AM31" s="151"/>
      <c r="BA31" s="152"/>
      <c r="BB31" s="75">
        <v>26</v>
      </c>
      <c r="BC31" s="190">
        <f>ABS(LíneaBase!L32-LíneaBase!L31)</f>
        <v>2.515207495539018E-2</v>
      </c>
      <c r="BD31" s="190">
        <f>ABS(Escenario1!BN32-Escenario1!BN31)</f>
        <v>2.1668952190186719E-2</v>
      </c>
      <c r="BE31" s="190">
        <f>ABS(Escenario2!BN32-Escenario2!BN31)</f>
        <v>6.7804141245186855E-5</v>
      </c>
      <c r="BF31" s="151"/>
    </row>
    <row r="32" spans="2:58">
      <c r="B32" s="11"/>
      <c r="C32" s="173"/>
      <c r="D32" s="173"/>
      <c r="E32" s="173"/>
      <c r="F32" s="173"/>
      <c r="G32" s="173"/>
      <c r="H32" s="173"/>
      <c r="I32" s="173"/>
      <c r="J32" s="173"/>
      <c r="K32" s="173"/>
      <c r="L32" s="173"/>
      <c r="M32" s="173"/>
      <c r="N32" s="173"/>
      <c r="O32" s="173"/>
      <c r="P32" s="173"/>
      <c r="Q32" s="151"/>
      <c r="Y32" s="152"/>
      <c r="Z32" s="183">
        <f>(LíneaBase!C33-0.44)/(MAX(LíneaBase!C:C)+0.12)*100</f>
        <v>3.6377581767380698</v>
      </c>
      <c r="AA32" s="184"/>
      <c r="AB32" s="182">
        <f>LíneaBase!L440</f>
        <v>3.1806010583674862</v>
      </c>
      <c r="AC32" s="184"/>
      <c r="AD32" s="182">
        <f>Escenario1!BN75</f>
        <v>2.1015433760765703</v>
      </c>
      <c r="AE32" s="184"/>
      <c r="AF32" s="182">
        <f>Escenario2!BN91</f>
        <v>1.2243352892403798</v>
      </c>
      <c r="AG32" s="184"/>
      <c r="AH32" s="182">
        <f>LíneaBase!N12</f>
        <v>4.9232335602664927E-2</v>
      </c>
      <c r="AI32" s="184"/>
      <c r="AJ32" s="182">
        <f>Escenario1!BP444</f>
        <v>0</v>
      </c>
      <c r="AK32" s="184"/>
      <c r="AL32" s="182">
        <f>Escenario2!BP12</f>
        <v>0</v>
      </c>
      <c r="AM32" s="151"/>
      <c r="BA32" s="152"/>
      <c r="BB32" s="75">
        <v>27</v>
      </c>
      <c r="BC32" s="190">
        <f>ABS(LíneaBase!L33-LíneaBase!L32)</f>
        <v>0.11280634815843582</v>
      </c>
      <c r="BD32" s="190">
        <f>ABS(Escenario1!BN33-Escenario1!BN32)</f>
        <v>9.6990484611146455E-2</v>
      </c>
      <c r="BE32" s="190">
        <f>ABS(Escenario2!BN33-Escenario2!BN32)</f>
        <v>6.6767738194251081E-5</v>
      </c>
      <c r="BF32" s="151"/>
    </row>
    <row r="33" spans="2:58">
      <c r="B33" s="11"/>
      <c r="C33" s="173"/>
      <c r="D33" s="173"/>
      <c r="E33" s="173"/>
      <c r="F33" s="173"/>
      <c r="G33" s="173"/>
      <c r="H33" s="173"/>
      <c r="I33" s="173"/>
      <c r="J33" s="173"/>
      <c r="K33" s="173"/>
      <c r="L33" s="173"/>
      <c r="M33" s="173"/>
      <c r="N33" s="173"/>
      <c r="O33" s="173"/>
      <c r="P33" s="173"/>
      <c r="Q33" s="151"/>
      <c r="Y33" s="152"/>
      <c r="Z33" s="183">
        <f>(LíneaBase!C34-0.44)/(MAX(LíneaBase!C:C)+0.12)*100</f>
        <v>3.7747219635128468</v>
      </c>
      <c r="AA33" s="184"/>
      <c r="AB33" s="182">
        <f>LíneaBase!L75</f>
        <v>3.1475444802114856</v>
      </c>
      <c r="AC33" s="184"/>
      <c r="AD33" s="182">
        <f>Escenario1!BN453</f>
        <v>2.1001960148798133</v>
      </c>
      <c r="AE33" s="184"/>
      <c r="AF33" s="182">
        <f>Escenario2!BN97</f>
        <v>1.2234272429824757</v>
      </c>
      <c r="AG33" s="184"/>
      <c r="AH33" s="182">
        <f>LíneaBase!N377</f>
        <v>4.9232335602664927E-2</v>
      </c>
      <c r="AI33" s="184"/>
      <c r="AJ33" s="182">
        <f>Escenario1!BP60</f>
        <v>0</v>
      </c>
      <c r="AK33" s="184"/>
      <c r="AL33" s="182">
        <f>Escenario2!BP377</f>
        <v>0</v>
      </c>
      <c r="AM33" s="151"/>
      <c r="BA33" s="152"/>
      <c r="BB33" s="75">
        <v>28</v>
      </c>
      <c r="BC33" s="190">
        <f>ABS(LíneaBase!L34-LíneaBase!L33)</f>
        <v>0.11017931739457776</v>
      </c>
      <c r="BD33" s="190">
        <f>ABS(Escenario1!BN34-Escenario1!BN33)</f>
        <v>9.6481539048857812E-2</v>
      </c>
      <c r="BE33" s="190">
        <f>ABS(Escenario2!BN34-Escenario2!BN33)</f>
        <v>6.5747176819730413E-5</v>
      </c>
      <c r="BF33" s="151"/>
    </row>
    <row r="34" spans="2:58">
      <c r="B34" s="11"/>
      <c r="C34" s="173"/>
      <c r="D34" s="173"/>
      <c r="E34" s="173"/>
      <c r="F34" s="173"/>
      <c r="G34" s="173"/>
      <c r="H34" s="173"/>
      <c r="I34" s="173"/>
      <c r="J34" s="173"/>
      <c r="K34" s="173"/>
      <c r="L34" s="173"/>
      <c r="M34" s="173"/>
      <c r="N34" s="173"/>
      <c r="O34" s="173"/>
      <c r="P34" s="173"/>
      <c r="Q34" s="151"/>
      <c r="Y34" s="152"/>
      <c r="Z34" s="183">
        <f>(LíneaBase!C35-0.44)/(MAX(LíneaBase!C:C)+0.12)*100</f>
        <v>3.9116857502876239</v>
      </c>
      <c r="AA34" s="184"/>
      <c r="AB34" s="182">
        <f>LíneaBase!L374</f>
        <v>3.1302113529085061</v>
      </c>
      <c r="AC34" s="184"/>
      <c r="AD34" s="182">
        <f>Escenario1!BN439</f>
        <v>2.1000689670455999</v>
      </c>
      <c r="AE34" s="184"/>
      <c r="AF34" s="182">
        <f>Escenario2!BN89</f>
        <v>1.2232594762841917</v>
      </c>
      <c r="AG34" s="184"/>
      <c r="AH34" s="182">
        <f>LíneaBase!N9</f>
        <v>3.4549672719931479E-2</v>
      </c>
      <c r="AI34" s="184"/>
      <c r="AJ34" s="182">
        <f>Escenario1!BP57</f>
        <v>0</v>
      </c>
      <c r="AK34" s="184"/>
      <c r="AL34" s="182">
        <f>Escenario2!BP9</f>
        <v>0</v>
      </c>
      <c r="AM34" s="151"/>
      <c r="BA34" s="152"/>
      <c r="BB34" s="75">
        <v>29</v>
      </c>
      <c r="BC34" s="190">
        <f>ABS(LíneaBase!L35-LíneaBase!L34)</f>
        <v>4.523453946329381E-2</v>
      </c>
      <c r="BD34" s="190">
        <f>ABS(Escenario1!BN35-Escenario1!BN34)</f>
        <v>3.9560938649513266E-2</v>
      </c>
      <c r="BE34" s="190">
        <f>ABS(Escenario2!BN35-Escenario2!BN34)</f>
        <v>6.4742214978430468E-5</v>
      </c>
      <c r="BF34" s="151"/>
    </row>
    <row r="35" spans="2:58">
      <c r="B35" s="11"/>
      <c r="C35" s="173"/>
      <c r="D35" s="173"/>
      <c r="E35" s="173"/>
      <c r="F35" s="173"/>
      <c r="G35" s="173"/>
      <c r="H35" s="173"/>
      <c r="I35" s="173"/>
      <c r="J35" s="173"/>
      <c r="K35" s="173"/>
      <c r="L35" s="173"/>
      <c r="M35" s="173"/>
      <c r="N35" s="173"/>
      <c r="O35" s="173"/>
      <c r="P35" s="173"/>
      <c r="Q35" s="151"/>
      <c r="Y35" s="152"/>
      <c r="Z35" s="183">
        <f>(LíneaBase!C36-0.44)/(MAX(LíneaBase!C:C)+0.12)*100</f>
        <v>4.0486495370624009</v>
      </c>
      <c r="AA35" s="184"/>
      <c r="AB35" s="182">
        <f>LíneaBase!L9</f>
        <v>3.0667773552040081</v>
      </c>
      <c r="AC35" s="184"/>
      <c r="AD35" s="182">
        <f>Escenario1!BN86</f>
        <v>2.0853242813596422</v>
      </c>
      <c r="AE35" s="184"/>
      <c r="AF35" s="182">
        <f>Escenario2!BN92</f>
        <v>1.2227598236426043</v>
      </c>
      <c r="AG35" s="184"/>
      <c r="AH35" s="182">
        <f>LíneaBase!N374</f>
        <v>3.4549672719931479E-2</v>
      </c>
      <c r="AI35" s="184"/>
      <c r="AJ35" s="182">
        <f>Escenario1!BP365</f>
        <v>0</v>
      </c>
      <c r="AK35" s="184"/>
      <c r="AL35" s="182">
        <f>Escenario2!BP374</f>
        <v>0</v>
      </c>
      <c r="AM35" s="151"/>
      <c r="BA35" s="152"/>
      <c r="BB35" s="75">
        <v>30</v>
      </c>
      <c r="BC35" s="190">
        <f>ABS(LíneaBase!L36-LíneaBase!L35)</f>
        <v>0.10376783870753825</v>
      </c>
      <c r="BD35" s="190">
        <f>ABS(Escenario1!BN36-Escenario1!BN35)</f>
        <v>6.3980794458440737E-2</v>
      </c>
      <c r="BE35" s="190">
        <f>ABS(Escenario2!BN36-Escenario2!BN35)</f>
        <v>6.3752614226864068E-5</v>
      </c>
      <c r="BF35" s="151"/>
    </row>
    <row r="36" spans="2:58">
      <c r="B36" s="11"/>
      <c r="C36" s="173"/>
      <c r="D36" s="173"/>
      <c r="E36" s="173"/>
      <c r="F36" s="173"/>
      <c r="G36" s="173"/>
      <c r="H36" s="173"/>
      <c r="I36" s="173"/>
      <c r="J36" s="173"/>
      <c r="K36" s="173"/>
      <c r="L36" s="173"/>
      <c r="M36" s="173"/>
      <c r="N36" s="173"/>
      <c r="O36" s="173"/>
      <c r="P36" s="173"/>
      <c r="Q36" s="151"/>
      <c r="Y36" s="152"/>
      <c r="Z36" s="183">
        <f>(LíneaBase!C37-0.44)/(MAX(LíneaBase!C:C)+0.12)*100</f>
        <v>4.1856133238371767</v>
      </c>
      <c r="AA36" s="184"/>
      <c r="AB36" s="182">
        <f>LíneaBase!L724</f>
        <v>2.7560229061895578</v>
      </c>
      <c r="AC36" s="184"/>
      <c r="AD36" s="182">
        <f>Escenario1!BN427</f>
        <v>2.0554773429280568</v>
      </c>
      <c r="AE36" s="184"/>
      <c r="AF36" s="182">
        <f>Escenario2!BN471</f>
        <v>1.2226681314953516</v>
      </c>
      <c r="AG36" s="184"/>
      <c r="AH36" s="182">
        <f>LíneaBase!N362</f>
        <v>2.6338880763069634E-2</v>
      </c>
      <c r="AI36" s="184"/>
      <c r="AJ36" s="182">
        <f>Escenario1!BP730</f>
        <v>0</v>
      </c>
      <c r="AK36" s="184"/>
      <c r="AL36" s="182">
        <f>Escenario2!BP362</f>
        <v>0</v>
      </c>
      <c r="AM36" s="151"/>
      <c r="BA36" s="152"/>
      <c r="BB36" s="75">
        <v>31</v>
      </c>
      <c r="BC36" s="190">
        <f>ABS(LíneaBase!L37-LíneaBase!L36)</f>
        <v>3.3435324064057692E-2</v>
      </c>
      <c r="BD36" s="190">
        <f>ABS(Escenario1!BN37-Escenario1!BN36)</f>
        <v>7.3109739777188487E-4</v>
      </c>
      <c r="BE36" s="190">
        <f>ABS(Escenario2!BN37-Escenario2!BN36)</f>
        <v>6.2778139767294405E-5</v>
      </c>
      <c r="BF36" s="151"/>
    </row>
    <row r="37" spans="2:58">
      <c r="B37" s="11"/>
      <c r="C37" s="173"/>
      <c r="D37" s="173"/>
      <c r="E37" s="173"/>
      <c r="F37" s="173"/>
      <c r="G37" s="173"/>
      <c r="H37" s="173"/>
      <c r="I37" s="173"/>
      <c r="J37" s="173"/>
      <c r="K37" s="173"/>
      <c r="L37" s="173"/>
      <c r="M37" s="173"/>
      <c r="N37" s="173"/>
      <c r="O37" s="173"/>
      <c r="P37" s="173"/>
      <c r="Q37" s="151"/>
      <c r="Y37" s="152"/>
      <c r="Z37" s="183">
        <f>(LíneaBase!C38-0.44)/(MAX(LíneaBase!C:C)+0.12)*100</f>
        <v>4.3225771106119542</v>
      </c>
      <c r="AA37" s="184"/>
      <c r="AB37" s="182">
        <f>LíneaBase!L359</f>
        <v>2.7540371030225859</v>
      </c>
      <c r="AC37" s="184"/>
      <c r="AD37" s="182">
        <f>Escenario1!BN73</f>
        <v>2.0520768116272512</v>
      </c>
      <c r="AE37" s="184"/>
      <c r="AF37" s="182">
        <f>Escenario2!BN449</f>
        <v>1.2205970552739618</v>
      </c>
      <c r="AG37" s="184"/>
      <c r="AH37" s="182">
        <f>LíneaBase!N727</f>
        <v>2.6338880763069634E-2</v>
      </c>
      <c r="AI37" s="184"/>
      <c r="AJ37" s="182">
        <f>Escenario1!BP47</f>
        <v>0</v>
      </c>
      <c r="AK37" s="184"/>
      <c r="AL37" s="182">
        <f>Escenario2!BP727</f>
        <v>0</v>
      </c>
      <c r="AM37" s="151"/>
      <c r="BA37" s="152"/>
      <c r="BB37" s="75">
        <v>32</v>
      </c>
      <c r="BC37" s="190">
        <f>ABS(LíneaBase!L38-LíneaBase!L37)</f>
        <v>6.0199152525729493E-2</v>
      </c>
      <c r="BD37" s="190">
        <f>ABS(Escenario1!BN38-Escenario1!BN37)</f>
        <v>5.3118542355444998E-2</v>
      </c>
      <c r="BE37" s="190">
        <f>ABS(Escenario2!BN38-Escenario2!BN37)</f>
        <v>6.1818560390669575E-5</v>
      </c>
      <c r="BF37" s="151"/>
    </row>
    <row r="38" spans="2:58">
      <c r="B38" s="11"/>
      <c r="C38" s="173"/>
      <c r="D38" s="173"/>
      <c r="E38" s="173"/>
      <c r="F38" s="173"/>
      <c r="G38" s="173"/>
      <c r="H38" s="173"/>
      <c r="I38" s="173"/>
      <c r="J38" s="173"/>
      <c r="K38" s="173"/>
      <c r="L38" s="173"/>
      <c r="M38" s="173"/>
      <c r="N38" s="173"/>
      <c r="O38" s="173"/>
      <c r="P38" s="173"/>
      <c r="Q38" s="151"/>
      <c r="Y38" s="152"/>
      <c r="Z38" s="183">
        <f>(LíneaBase!C39-0.44)/(MAX(LíneaBase!C:C)+0.12)*100</f>
        <v>4.4595408973867308</v>
      </c>
      <c r="AA38" s="184"/>
      <c r="AB38" s="182">
        <f>LíneaBase!L423</f>
        <v>2.7319548617276044</v>
      </c>
      <c r="AC38" s="184"/>
      <c r="AD38" s="182">
        <f>Escenario1!BN61</f>
        <v>2.0440374506019983</v>
      </c>
      <c r="AE38" s="184"/>
      <c r="AF38" s="182">
        <f>Escenario2!BN98</f>
        <v>1.2205745994643227</v>
      </c>
      <c r="AG38" s="184"/>
      <c r="AH38" s="182">
        <f>LíneaBase!N330</f>
        <v>2.1251896640488425E-2</v>
      </c>
      <c r="AI38" s="184"/>
      <c r="AJ38" s="182">
        <f>Escenario1!BP412</f>
        <v>0</v>
      </c>
      <c r="AK38" s="184"/>
      <c r="AL38" s="182">
        <f>Escenario2!BP330</f>
        <v>0</v>
      </c>
      <c r="AM38" s="151"/>
      <c r="BA38" s="152"/>
      <c r="BB38" s="75">
        <v>33</v>
      </c>
      <c r="BC38" s="190">
        <f>ABS(LíneaBase!L39-LíneaBase!L38)</f>
        <v>3.2720259693624243E-2</v>
      </c>
      <c r="BD38" s="190">
        <f>ABS(Escenario1!BN39-Escenario1!BN38)</f>
        <v>2.912798049959453E-2</v>
      </c>
      <c r="BE38" s="190">
        <f>ABS(Escenario2!BN39-Escenario2!BN38)</f>
        <v>7.7712782496772714E-3</v>
      </c>
      <c r="BF38" s="151"/>
    </row>
    <row r="39" spans="2:58">
      <c r="B39" s="11"/>
      <c r="C39" s="173"/>
      <c r="D39" s="173"/>
      <c r="E39" s="173"/>
      <c r="F39" s="173"/>
      <c r="G39" s="173"/>
      <c r="H39" s="173"/>
      <c r="I39" s="173"/>
      <c r="J39" s="173"/>
      <c r="K39" s="173"/>
      <c r="L39" s="173"/>
      <c r="M39" s="173"/>
      <c r="N39" s="173"/>
      <c r="O39" s="173"/>
      <c r="P39" s="173"/>
      <c r="Q39" s="151"/>
      <c r="Y39" s="152"/>
      <c r="Z39" s="183">
        <f>(LíneaBase!C40-0.44)/(MAX(LíneaBase!C:C)+0.12)*100</f>
        <v>4.5965046841615083</v>
      </c>
      <c r="AA39" s="184"/>
      <c r="AB39" s="182">
        <f>LíneaBase!L58</f>
        <v>2.6928378941272801</v>
      </c>
      <c r="AC39" s="184"/>
      <c r="AD39" s="182">
        <f>Escenario1!BN87</f>
        <v>2.0425006878062573</v>
      </c>
      <c r="AE39" s="184"/>
      <c r="AF39" s="182">
        <f>Escenario2!BN88</f>
        <v>1.2203607267451331</v>
      </c>
      <c r="AG39" s="184"/>
      <c r="AH39" s="182">
        <f>LíneaBase!N695</f>
        <v>2.1251896640488425E-2</v>
      </c>
      <c r="AI39" s="184"/>
      <c r="AJ39" s="182">
        <f>Escenario1!BP7</f>
        <v>0</v>
      </c>
      <c r="AK39" s="184"/>
      <c r="AL39" s="182">
        <f>Escenario2!BP695</f>
        <v>0</v>
      </c>
      <c r="AM39" s="151"/>
      <c r="BA39" s="152"/>
      <c r="BB39" s="75">
        <v>34</v>
      </c>
      <c r="BC39" s="190">
        <f>ABS(LíneaBase!L40-LíneaBase!L39)</f>
        <v>0.10767737381717812</v>
      </c>
      <c r="BD39" s="190">
        <f>ABS(Escenario1!BN40-Escenario1!BN39)</f>
        <v>9.5545990845684825E-2</v>
      </c>
      <c r="BE39" s="190">
        <f>ABS(Escenario2!BN40-Escenario2!BN39)</f>
        <v>0.10428753440781813</v>
      </c>
      <c r="BF39" s="151"/>
    </row>
    <row r="40" spans="2:58">
      <c r="B40" s="11"/>
      <c r="C40" s="173"/>
      <c r="D40" s="173"/>
      <c r="E40" s="173"/>
      <c r="F40" s="173"/>
      <c r="G40" s="173"/>
      <c r="H40" s="173"/>
      <c r="I40" s="173"/>
      <c r="J40" s="173"/>
      <c r="K40" s="173"/>
      <c r="L40" s="173"/>
      <c r="M40" s="173"/>
      <c r="N40" s="173"/>
      <c r="O40" s="173"/>
      <c r="P40" s="173"/>
      <c r="Q40" s="151"/>
      <c r="Y40" s="152"/>
      <c r="Z40" s="183">
        <f>(LíneaBase!C41-0.44)/(MAX(LíneaBase!C:C)+0.12)*100</f>
        <v>4.7334684709362849</v>
      </c>
      <c r="AA40" s="184"/>
      <c r="AB40" s="182">
        <f>LíneaBase!L458</f>
        <v>2.6317929846422192</v>
      </c>
      <c r="AC40" s="184"/>
      <c r="AD40" s="182">
        <f>Escenario1!BN88</f>
        <v>2.0209856614545623</v>
      </c>
      <c r="AE40" s="184"/>
      <c r="AF40" s="182">
        <f>Escenario2!BN472</f>
        <v>1.2198270911838294</v>
      </c>
      <c r="AG40" s="184"/>
      <c r="AH40" s="182">
        <f>LíneaBase!N44</f>
        <v>2.0665652672816309E-2</v>
      </c>
      <c r="AI40" s="184"/>
      <c r="AJ40" s="182">
        <f>Escenario1!BP372</f>
        <v>0</v>
      </c>
      <c r="AK40" s="184"/>
      <c r="AL40" s="182">
        <f>Escenario2!BP325</f>
        <v>0</v>
      </c>
      <c r="AM40" s="151"/>
      <c r="BA40" s="152"/>
      <c r="BB40" s="75">
        <v>35</v>
      </c>
      <c r="BC40" s="190">
        <f>ABS(LíneaBase!L41-LíneaBase!L40)</f>
        <v>1.0708527693587211E-2</v>
      </c>
      <c r="BD40" s="190">
        <f>ABS(Escenario1!BN41-Escenario1!BN40)</f>
        <v>8.508229649598853E-3</v>
      </c>
      <c r="BE40" s="190">
        <f>ABS(Escenario2!BN41-Escenario2!BN40)</f>
        <v>5.7590939580287603E-4</v>
      </c>
      <c r="BF40" s="151"/>
    </row>
    <row r="41" spans="2:58">
      <c r="B41" s="11"/>
      <c r="C41" s="173"/>
      <c r="D41" s="173"/>
      <c r="E41" s="173"/>
      <c r="F41" s="173"/>
      <c r="G41" s="173"/>
      <c r="H41" s="173"/>
      <c r="I41" s="173"/>
      <c r="J41" s="173"/>
      <c r="K41" s="173"/>
      <c r="L41" s="173"/>
      <c r="M41" s="173"/>
      <c r="N41" s="173"/>
      <c r="O41" s="173"/>
      <c r="P41" s="173"/>
      <c r="Q41" s="151"/>
      <c r="Y41" s="152"/>
      <c r="Z41" s="183">
        <f>(LíneaBase!C42-0.44)/(MAX(LíneaBase!C:C)+0.12)*100</f>
        <v>4.8704322577110615</v>
      </c>
      <c r="AA41" s="184"/>
      <c r="AB41" s="182">
        <f>LíneaBase!L420</f>
        <v>2.6157546329110741</v>
      </c>
      <c r="AC41" s="184"/>
      <c r="AD41" s="182">
        <f>Escenario1!BN458</f>
        <v>2.0142945205656262</v>
      </c>
      <c r="AE41" s="184"/>
      <c r="AF41" s="182">
        <f>Escenario2!BN99</f>
        <v>1.2177655593071346</v>
      </c>
      <c r="AG41" s="184"/>
      <c r="AH41" s="182">
        <f>LíneaBase!N325</f>
        <v>2.0665652672816309E-2</v>
      </c>
      <c r="AI41" s="184"/>
      <c r="AJ41" s="182">
        <f>Escenario1!BP293</f>
        <v>0</v>
      </c>
      <c r="AK41" s="184"/>
      <c r="AL41" s="182">
        <f>Escenario2!BP690</f>
        <v>0</v>
      </c>
      <c r="AM41" s="151"/>
      <c r="BA41" s="152"/>
      <c r="BB41" s="75">
        <v>36</v>
      </c>
      <c r="BC41" s="190">
        <f>ABS(LíneaBase!L42-LíneaBase!L41)</f>
        <v>0.10509711007626477</v>
      </c>
      <c r="BD41" s="190">
        <f>ABS(Escenario1!BN42-Escenario1!BN41)</f>
        <v>9.3459406530294276E-2</v>
      </c>
      <c r="BE41" s="190">
        <f>ABS(Escenario2!BN42-Escenario2!BN41)</f>
        <v>0.10150414714211664</v>
      </c>
      <c r="BF41" s="151"/>
    </row>
    <row r="42" spans="2:58">
      <c r="B42" s="11"/>
      <c r="C42" s="173"/>
      <c r="D42" s="173"/>
      <c r="E42" s="173"/>
      <c r="F42" s="173"/>
      <c r="G42" s="173"/>
      <c r="H42" s="173"/>
      <c r="I42" s="173"/>
      <c r="J42" s="173"/>
      <c r="K42" s="173"/>
      <c r="L42" s="173"/>
      <c r="M42" s="173"/>
      <c r="N42" s="173"/>
      <c r="O42" s="173"/>
      <c r="P42" s="173"/>
      <c r="Q42" s="151"/>
      <c r="Y42" s="152"/>
      <c r="Z42" s="183">
        <f>(LíneaBase!C43-0.44)/(MAX(LíneaBase!C:C)+0.12)*100</f>
        <v>5.0073960444858381</v>
      </c>
      <c r="AA42" s="184"/>
      <c r="AB42" s="182">
        <f>LíneaBase!L93</f>
        <v>2.6041331115925752</v>
      </c>
      <c r="AC42" s="184"/>
      <c r="AD42" s="182">
        <f>Escenario1!BN74</f>
        <v>2.009454667137911</v>
      </c>
      <c r="AE42" s="184"/>
      <c r="AF42" s="182">
        <f>Escenario2!BN473</f>
        <v>1.2170294768753922</v>
      </c>
      <c r="AG42" s="184"/>
      <c r="AH42" s="182">
        <f>LíneaBase!N409</f>
        <v>2.0665652672816309E-2</v>
      </c>
      <c r="AI42" s="184"/>
      <c r="AJ42" s="182">
        <f>Escenario1!BP658</f>
        <v>0</v>
      </c>
      <c r="AK42" s="184"/>
      <c r="AL42" s="182">
        <f>Escenario2!BP44</f>
        <v>0</v>
      </c>
      <c r="AM42" s="151"/>
      <c r="BA42" s="152"/>
      <c r="BB42" s="75">
        <v>37</v>
      </c>
      <c r="BC42" s="190">
        <f>ABS(LíneaBase!L43-LíneaBase!L42)</f>
        <v>0.10271316080974247</v>
      </c>
      <c r="BD42" s="190">
        <f>ABS(Escenario1!BN43-Escenario1!BN42)</f>
        <v>9.1348692174209711E-2</v>
      </c>
      <c r="BE42" s="190">
        <f>ABS(Escenario2!BN43-Escenario2!BN42)</f>
        <v>9.9283617627224929E-2</v>
      </c>
      <c r="BF42" s="151"/>
    </row>
    <row r="43" spans="2:58">
      <c r="B43" s="11"/>
      <c r="C43" s="173"/>
      <c r="D43" s="173"/>
      <c r="E43" s="173"/>
      <c r="F43" s="173"/>
      <c r="G43" s="173"/>
      <c r="H43" s="173"/>
      <c r="I43" s="173"/>
      <c r="J43" s="173"/>
      <c r="K43" s="173"/>
      <c r="L43" s="173"/>
      <c r="M43" s="173"/>
      <c r="N43" s="173"/>
      <c r="O43" s="173"/>
      <c r="P43" s="173"/>
      <c r="Q43" s="151"/>
      <c r="Y43" s="152"/>
      <c r="Z43" s="183">
        <f>(LíneaBase!C44-0.44)/(MAX(LíneaBase!C:C)+0.12)*100</f>
        <v>5.1443598312606147</v>
      </c>
      <c r="AA43" s="184"/>
      <c r="AB43" s="182">
        <f>LíneaBase!L443</f>
        <v>2.5770297849294757</v>
      </c>
      <c r="AC43" s="184"/>
      <c r="AD43" s="182">
        <f>Escenario1!BN454</f>
        <v>2.0079987010923692</v>
      </c>
      <c r="AE43" s="184"/>
      <c r="AF43" s="182">
        <f>Escenario2!BN87</f>
        <v>1.2158012987279199</v>
      </c>
      <c r="AG43" s="184"/>
      <c r="AH43" s="182">
        <f>LíneaBase!N690</f>
        <v>2.0665652672816309E-2</v>
      </c>
      <c r="AI43" s="184"/>
      <c r="AJ43" s="182">
        <f>Escenario1!BP29</f>
        <v>0</v>
      </c>
      <c r="AK43" s="184"/>
      <c r="AL43" s="182">
        <f>Escenario2!BP409</f>
        <v>0</v>
      </c>
      <c r="AM43" s="151"/>
      <c r="BA43" s="152"/>
      <c r="BB43" s="75">
        <v>38</v>
      </c>
      <c r="BC43" s="190">
        <f>ABS(LíneaBase!L44-LíneaBase!L43)</f>
        <v>1.4959413174715559</v>
      </c>
      <c r="BD43" s="190">
        <f>ABS(Escenario1!BN44-Escenario1!BN43)</f>
        <v>0.31803695100277762</v>
      </c>
      <c r="BE43" s="190">
        <f>ABS(Escenario2!BN44-Escenario2!BN43)</f>
        <v>0.30960455220754257</v>
      </c>
      <c r="BF43" s="151"/>
    </row>
    <row r="44" spans="2:58">
      <c r="B44" s="11"/>
      <c r="C44" s="173"/>
      <c r="D44" s="173"/>
      <c r="E44" s="173"/>
      <c r="F44" s="173"/>
      <c r="G44" s="173"/>
      <c r="H44" s="173"/>
      <c r="I44" s="173"/>
      <c r="J44" s="173"/>
      <c r="K44" s="173"/>
      <c r="L44" s="173"/>
      <c r="M44" s="173"/>
      <c r="N44" s="173"/>
      <c r="O44" s="173"/>
      <c r="P44" s="173"/>
      <c r="Q44" s="151"/>
      <c r="Y44" s="152"/>
      <c r="Z44" s="183">
        <f>(LíneaBase!C45-0.44)/(MAX(LíneaBase!C:C)+0.12)*100</f>
        <v>5.2813236180353922</v>
      </c>
      <c r="AA44" s="184"/>
      <c r="AB44" s="182">
        <f>LíneaBase!L55</f>
        <v>2.5754582127776322</v>
      </c>
      <c r="AC44" s="184"/>
      <c r="AD44" s="182">
        <f>Escenario1!BN60</f>
        <v>2.0009057277548794</v>
      </c>
      <c r="AE44" s="184"/>
      <c r="AF44" s="182">
        <f>Escenario2!BN100</f>
        <v>1.2149994560227662</v>
      </c>
      <c r="AG44" s="184"/>
      <c r="AH44" s="182">
        <f>LíneaBase!N75</f>
        <v>1.8426950409436069E-2</v>
      </c>
      <c r="AI44" s="184"/>
      <c r="AJ44" s="182">
        <f>Escenario1!BP394</f>
        <v>0</v>
      </c>
      <c r="AK44" s="184"/>
      <c r="AL44" s="182">
        <f>Escenario2!BP75</f>
        <v>0</v>
      </c>
      <c r="AM44" s="151"/>
      <c r="BA44" s="152"/>
      <c r="BB44" s="75">
        <v>39</v>
      </c>
      <c r="BC44" s="190">
        <f>ABS(LíneaBase!L45-LíneaBase!L44)</f>
        <v>1.2830018387002302</v>
      </c>
      <c r="BD44" s="190">
        <f>ABS(Escenario1!BN45-Escenario1!BN44)</f>
        <v>9.838432113700013E-2</v>
      </c>
      <c r="BE44" s="190">
        <f>ABS(Escenario2!BN45-Escenario2!BN44)</f>
        <v>0.10559103992609986</v>
      </c>
      <c r="BF44" s="151"/>
    </row>
    <row r="45" spans="2:58">
      <c r="B45" s="11"/>
      <c r="C45" s="173"/>
      <c r="D45" s="173"/>
      <c r="E45" s="173"/>
      <c r="F45" s="173"/>
      <c r="G45" s="173"/>
      <c r="H45" s="173"/>
      <c r="I45" s="173"/>
      <c r="J45" s="173"/>
      <c r="K45" s="173"/>
      <c r="L45" s="173"/>
      <c r="M45" s="173"/>
      <c r="N45" s="173"/>
      <c r="O45" s="173"/>
      <c r="P45" s="173"/>
      <c r="Q45" s="151"/>
      <c r="Y45" s="152"/>
      <c r="Z45" s="183">
        <f>(LíneaBase!C46-0.44)/(MAX(LíneaBase!C:C)+0.12)*100</f>
        <v>5.4182874048101679</v>
      </c>
      <c r="AA45" s="184"/>
      <c r="AB45" s="182">
        <f>LíneaBase!L78</f>
        <v>2.5449407533871247</v>
      </c>
      <c r="AC45" s="184"/>
      <c r="AD45" s="182">
        <f>Escenario1!BN62</f>
        <v>1.9540337568010053</v>
      </c>
      <c r="AE45" s="184"/>
      <c r="AF45" s="182">
        <f>Escenario2!BN474</f>
        <v>1.2142746247928535</v>
      </c>
      <c r="AG45" s="184"/>
      <c r="AH45" s="182">
        <f>LíneaBase!N440</f>
        <v>1.8426950409436069E-2</v>
      </c>
      <c r="AI45" s="184"/>
      <c r="AJ45" s="182">
        <f>Escenario1!BP53</f>
        <v>0</v>
      </c>
      <c r="AK45" s="184"/>
      <c r="AL45" s="182">
        <f>Escenario2!BP440</f>
        <v>0</v>
      </c>
      <c r="AM45" s="151"/>
      <c r="BA45" s="152"/>
      <c r="BB45" s="75">
        <v>40</v>
      </c>
      <c r="BC45" s="190">
        <f>ABS(LíneaBase!L46-LíneaBase!L45)</f>
        <v>3.3132989818352776E-2</v>
      </c>
      <c r="BD45" s="190">
        <f>ABS(Escenario1!BN46-Escenario1!BN45)</f>
        <v>3.1280305724741053E-2</v>
      </c>
      <c r="BE45" s="190">
        <f>ABS(Escenario2!BN46-Escenario2!BN45)</f>
        <v>3.7508052914290602E-2</v>
      </c>
      <c r="BF45" s="151"/>
    </row>
    <row r="46" spans="2:58">
      <c r="B46" s="11"/>
      <c r="C46" s="173"/>
      <c r="D46" s="173"/>
      <c r="E46" s="173"/>
      <c r="F46" s="173"/>
      <c r="G46" s="173"/>
      <c r="H46" s="173"/>
      <c r="I46" s="173"/>
      <c r="J46" s="173"/>
      <c r="K46" s="173"/>
      <c r="L46" s="173"/>
      <c r="M46" s="173"/>
      <c r="N46" s="173"/>
      <c r="O46" s="173"/>
      <c r="P46" s="173"/>
      <c r="Q46" s="151"/>
      <c r="Y46" s="152"/>
      <c r="Z46" s="183">
        <f>(LíneaBase!C47-0.44)/(MAX(LíneaBase!C:C)+0.12)*100</f>
        <v>5.5552511915849454</v>
      </c>
      <c r="AA46" s="184"/>
      <c r="AB46" s="182">
        <f>LíneaBase!L426</f>
        <v>2.4629964778208384</v>
      </c>
      <c r="AC46" s="184"/>
      <c r="AD46" s="182">
        <f>Escenario1!BN428</f>
        <v>1.9509235292815919</v>
      </c>
      <c r="AE46" s="184"/>
      <c r="AF46" s="182">
        <f>Escenario2!BN448</f>
        <v>1.2127086957806887</v>
      </c>
      <c r="AG46" s="184"/>
      <c r="AH46" s="182">
        <f>LíneaBase!N336</f>
        <v>1.6856895987741743E-2</v>
      </c>
      <c r="AI46" s="184"/>
      <c r="AJ46" s="182">
        <f>Escenario1!BP18</f>
        <v>0</v>
      </c>
      <c r="AK46" s="184"/>
      <c r="AL46" s="182">
        <f>Escenario2!BP336</f>
        <v>0</v>
      </c>
      <c r="AM46" s="151"/>
      <c r="BA46" s="152"/>
      <c r="BB46" s="75">
        <v>41</v>
      </c>
      <c r="BC46" s="190">
        <f>ABS(LíneaBase!L47-LíneaBase!L46)</f>
        <v>4.1061519721212036</v>
      </c>
      <c r="BD46" s="190">
        <f>ABS(Escenario1!BN47-Escenario1!BN46)</f>
        <v>0.42212452797721123</v>
      </c>
      <c r="BE46" s="190">
        <f>ABS(Escenario2!BN47-Escenario2!BN46)</f>
        <v>0.14616294663169682</v>
      </c>
      <c r="BF46" s="151"/>
    </row>
    <row r="47" spans="2:58">
      <c r="B47" s="11"/>
      <c r="C47" s="173"/>
      <c r="D47" s="173"/>
      <c r="E47" s="173"/>
      <c r="F47" s="173"/>
      <c r="G47" s="173"/>
      <c r="H47" s="173"/>
      <c r="I47" s="173"/>
      <c r="J47" s="173"/>
      <c r="K47" s="173"/>
      <c r="L47" s="173"/>
      <c r="M47" s="173"/>
      <c r="N47" s="173"/>
      <c r="O47" s="173"/>
      <c r="P47" s="173"/>
      <c r="Q47" s="151"/>
      <c r="Y47" s="152"/>
      <c r="Z47" s="183">
        <f>(LíneaBase!C48-0.44)/(MAX(LíneaBase!C:C)+0.12)*100</f>
        <v>5.692214978359722</v>
      </c>
      <c r="AA47" s="184"/>
      <c r="AB47" s="182">
        <f>LíneaBase!L409</f>
        <v>2.4594877401584454</v>
      </c>
      <c r="AC47" s="184"/>
      <c r="AD47" s="182">
        <f>Escenario1!BN93</f>
        <v>1.9387873316292428</v>
      </c>
      <c r="AE47" s="184"/>
      <c r="AF47" s="182">
        <f>Escenario2!BN101</f>
        <v>1.2122756333105082</v>
      </c>
      <c r="AG47" s="184"/>
      <c r="AH47" s="182">
        <f>LíneaBase!N701</f>
        <v>1.6856895987741743E-2</v>
      </c>
      <c r="AI47" s="184"/>
      <c r="AJ47" s="182">
        <f>Escenario1!BP383</f>
        <v>0</v>
      </c>
      <c r="AK47" s="184"/>
      <c r="AL47" s="182">
        <f>Escenario2!BP701</f>
        <v>0</v>
      </c>
      <c r="AM47" s="151"/>
      <c r="BA47" s="152"/>
      <c r="BB47" s="75">
        <v>42</v>
      </c>
      <c r="BC47" s="190">
        <f>ABS(LíneaBase!L48-LíneaBase!L47)</f>
        <v>3.7354712288035943</v>
      </c>
      <c r="BD47" s="190">
        <f>ABS(Escenario1!BN48-Escenario1!BN47)</f>
        <v>0.1013377661179653</v>
      </c>
      <c r="BE47" s="190">
        <f>ABS(Escenario2!BN48-Escenario2!BN47)</f>
        <v>6.695317152716207E-5</v>
      </c>
      <c r="BF47" s="151"/>
    </row>
    <row r="48" spans="2:58">
      <c r="B48" s="11"/>
      <c r="C48" s="173"/>
      <c r="D48" s="173"/>
      <c r="E48" s="173"/>
      <c r="F48" s="173"/>
      <c r="G48" s="173"/>
      <c r="H48" s="173"/>
      <c r="I48" s="173"/>
      <c r="J48" s="173"/>
      <c r="K48" s="173"/>
      <c r="L48" s="173"/>
      <c r="M48" s="173"/>
      <c r="N48" s="173"/>
      <c r="O48" s="173"/>
      <c r="P48" s="173"/>
      <c r="Q48" s="151"/>
      <c r="Y48" s="152"/>
      <c r="Z48" s="183">
        <f>(LíneaBase!C49-0.44)/(MAX(LíneaBase!C:C)+0.12)*100</f>
        <v>5.8291787651344986</v>
      </c>
      <c r="AA48" s="184"/>
      <c r="AB48" s="182">
        <f>LíneaBase!L61</f>
        <v>2.4250244408712098</v>
      </c>
      <c r="AC48" s="184"/>
      <c r="AD48" s="182">
        <f>Escenario1!BN89</f>
        <v>1.9295455220082485</v>
      </c>
      <c r="AE48" s="184"/>
      <c r="AF48" s="182">
        <f>Escenario2!BN86</f>
        <v>1.2108260370720367</v>
      </c>
      <c r="AG48" s="184"/>
      <c r="AH48" s="182">
        <f>LíneaBase!N295</f>
        <v>1.5860676452877469E-2</v>
      </c>
      <c r="AI48" s="184"/>
      <c r="AJ48" s="182">
        <f>Escenario1!BP359</f>
        <v>0</v>
      </c>
      <c r="AK48" s="184"/>
      <c r="AL48" s="182">
        <f>Escenario2!BP295</f>
        <v>0</v>
      </c>
      <c r="AM48" s="151"/>
      <c r="BA48" s="152"/>
      <c r="BB48" s="75">
        <v>43</v>
      </c>
      <c r="BC48" s="190">
        <f>ABS(LíneaBase!L49-LíneaBase!L48)</f>
        <v>5.0099918467283677E-2</v>
      </c>
      <c r="BD48" s="190">
        <f>ABS(Escenario1!BN49-Escenario1!BN48)</f>
        <v>4.3931435726899837E-2</v>
      </c>
      <c r="BE48" s="190">
        <f>ABS(Escenario2!BN49-Escenario2!BN48)</f>
        <v>6.5929775758588605E-5</v>
      </c>
      <c r="BF48" s="151"/>
    </row>
    <row r="49" spans="2:58">
      <c r="B49" s="11"/>
      <c r="C49" s="173"/>
      <c r="D49" s="173"/>
      <c r="E49" s="173"/>
      <c r="F49" s="173"/>
      <c r="G49" s="173"/>
      <c r="H49" s="173"/>
      <c r="I49" s="173"/>
      <c r="J49" s="173"/>
      <c r="K49" s="173"/>
      <c r="L49" s="173"/>
      <c r="M49" s="173"/>
      <c r="N49" s="173"/>
      <c r="O49" s="173"/>
      <c r="P49" s="173"/>
      <c r="Q49" s="151"/>
      <c r="Y49" s="152"/>
      <c r="Z49" s="183">
        <f>(LíneaBase!C50-0.44)/(MAX(LíneaBase!C:C)+0.12)*100</f>
        <v>5.9661425519092752</v>
      </c>
      <c r="AA49" s="184"/>
      <c r="AB49" s="182">
        <f>LíneaBase!L44</f>
        <v>2.4145541438235458</v>
      </c>
      <c r="AC49" s="184"/>
      <c r="AD49" s="182">
        <f>Escenario1!BN424</f>
        <v>1.9269445002368404</v>
      </c>
      <c r="AE49" s="184"/>
      <c r="AF49" s="182">
        <f>Escenario2!BN102</f>
        <v>1.2095934449013699</v>
      </c>
      <c r="AG49" s="184"/>
      <c r="AH49" s="182">
        <f>LíneaBase!N660</f>
        <v>1.5860676452877469E-2</v>
      </c>
      <c r="AI49" s="184"/>
      <c r="AJ49" s="182">
        <f>Escenario1!BP724</f>
        <v>0</v>
      </c>
      <c r="AK49" s="184"/>
      <c r="AL49" s="182">
        <f>Escenario2!BP660</f>
        <v>0</v>
      </c>
      <c r="AM49" s="151"/>
      <c r="BA49" s="152"/>
      <c r="BB49" s="75">
        <v>44</v>
      </c>
      <c r="BC49" s="190">
        <f>ABS(LíneaBase!L50-LíneaBase!L49)</f>
        <v>8.7177023703263412E-2</v>
      </c>
      <c r="BD49" s="190">
        <f>ABS(Escenario1!BN50-Escenario1!BN49)</f>
        <v>7.6851933304616704E-2</v>
      </c>
      <c r="BE49" s="190">
        <f>ABS(Escenario2!BN50-Escenario2!BN49)</f>
        <v>6.4922022847246907E-5</v>
      </c>
      <c r="BF49" s="151"/>
    </row>
    <row r="50" spans="2:58">
      <c r="B50" s="11"/>
      <c r="C50" s="173"/>
      <c r="D50" s="173"/>
      <c r="E50" s="173"/>
      <c r="F50" s="173"/>
      <c r="G50" s="173"/>
      <c r="H50" s="173"/>
      <c r="I50" s="173"/>
      <c r="J50" s="173"/>
      <c r="K50" s="173"/>
      <c r="L50" s="173"/>
      <c r="M50" s="173"/>
      <c r="N50" s="173"/>
      <c r="O50" s="173"/>
      <c r="P50" s="173"/>
      <c r="Q50" s="151"/>
      <c r="Y50" s="152"/>
      <c r="Z50" s="183">
        <f>(LíneaBase!C51-0.44)/(MAX(LíneaBase!C:C)+0.12)*100</f>
        <v>6.1031063386840518</v>
      </c>
      <c r="AA50" s="184"/>
      <c r="AB50" s="182">
        <f>LíneaBase!L445</f>
        <v>2.3313266091391887</v>
      </c>
      <c r="AC50" s="184"/>
      <c r="AD50" s="182">
        <f>Escenario1!BN459</f>
        <v>1.9235780525598976</v>
      </c>
      <c r="AE50" s="184"/>
      <c r="AF50" s="182">
        <f>Escenario2!BN103</f>
        <v>1.2069522544047417</v>
      </c>
      <c r="AG50" s="184"/>
      <c r="AH50" s="182">
        <f>LíneaBase!N55</f>
        <v>1.5377428642051225E-2</v>
      </c>
      <c r="AI50" s="184"/>
      <c r="AJ50" s="182">
        <f>Escenario1!BP12</f>
        <v>0</v>
      </c>
      <c r="AK50" s="184"/>
      <c r="AL50" s="182">
        <f>Escenario2!BP55</f>
        <v>0</v>
      </c>
      <c r="AM50" s="151"/>
      <c r="BA50" s="152"/>
      <c r="BB50" s="75">
        <v>45</v>
      </c>
      <c r="BC50" s="190">
        <f>ABS(LíneaBase!L51-LíneaBase!L50)</f>
        <v>0.11011106172656815</v>
      </c>
      <c r="BD50" s="190">
        <f>ABS(Escenario1!BN51-Escenario1!BN50)</f>
        <v>9.7457214454325314E-2</v>
      </c>
      <c r="BE50" s="190">
        <f>ABS(Escenario2!BN51-Escenario2!BN50)</f>
        <v>6.3929673687956878E-5</v>
      </c>
      <c r="BF50" s="151"/>
    </row>
    <row r="51" spans="2:58">
      <c r="B51" s="11"/>
      <c r="C51" s="173"/>
      <c r="D51" s="173"/>
      <c r="E51" s="173"/>
      <c r="F51" s="173"/>
      <c r="G51" s="173"/>
      <c r="H51" s="173"/>
      <c r="I51" s="173"/>
      <c r="J51" s="173"/>
      <c r="K51" s="173"/>
      <c r="L51" s="173"/>
      <c r="M51" s="173"/>
      <c r="N51" s="173"/>
      <c r="O51" s="173"/>
      <c r="P51" s="173"/>
      <c r="Q51" s="151"/>
      <c r="Y51" s="152"/>
      <c r="Z51" s="183">
        <f>(LíneaBase!C52-0.44)/(MAX(LíneaBase!C:C)+0.12)*100</f>
        <v>6.2400701254588293</v>
      </c>
      <c r="AA51" s="184"/>
      <c r="AB51" s="182">
        <f>LíneaBase!L80</f>
        <v>2.299866823933006</v>
      </c>
      <c r="AC51" s="184"/>
      <c r="AD51" s="182">
        <f>Escenario1!BN455</f>
        <v>1.9163590282059964</v>
      </c>
      <c r="AE51" s="184"/>
      <c r="AF51" s="182">
        <f>Escenario2!BN85</f>
        <v>1.2049755581587316</v>
      </c>
      <c r="AG51" s="184"/>
      <c r="AH51" s="182">
        <f>LíneaBase!N122</f>
        <v>1.5377428642051225E-2</v>
      </c>
      <c r="AI51" s="184"/>
      <c r="AJ51" s="182">
        <f>Escenario1!BP377</f>
        <v>0</v>
      </c>
      <c r="AK51" s="184"/>
      <c r="AL51" s="182">
        <f>Escenario2!BP122</f>
        <v>0</v>
      </c>
      <c r="AM51" s="151"/>
      <c r="BA51" s="152"/>
      <c r="BB51" s="75">
        <v>46</v>
      </c>
      <c r="BC51" s="190">
        <f>ABS(LíneaBase!L52-LíneaBase!L51)</f>
        <v>4.8996169247611299E-2</v>
      </c>
      <c r="BD51" s="190">
        <f>ABS(Escenario1!BN52-Escenario1!BN51)</f>
        <v>4.395311897457499E-2</v>
      </c>
      <c r="BE51" s="190">
        <f>ABS(Escenario2!BN52-Escenario2!BN51)</f>
        <v>2.2965588350759125E-2</v>
      </c>
      <c r="BF51" s="151"/>
    </row>
    <row r="52" spans="2:58">
      <c r="B52" s="11"/>
      <c r="C52" s="173"/>
      <c r="D52" s="173"/>
      <c r="E52" s="173"/>
      <c r="F52" s="173"/>
      <c r="G52" s="173"/>
      <c r="H52" s="173"/>
      <c r="I52" s="173"/>
      <c r="J52" s="173"/>
      <c r="K52" s="173"/>
      <c r="L52" s="173"/>
      <c r="M52" s="173"/>
      <c r="N52" s="173"/>
      <c r="O52" s="173"/>
      <c r="P52" s="173"/>
      <c r="Q52" s="151"/>
      <c r="Y52" s="152"/>
      <c r="Z52" s="183">
        <f>(LíneaBase!C53-0.44)/(MAX(LíneaBase!C:C)+0.12)*100</f>
        <v>6.3770339122336051</v>
      </c>
      <c r="AA52" s="184"/>
      <c r="AB52" s="182">
        <f>LíneaBase!L447</f>
        <v>2.281193493044853</v>
      </c>
      <c r="AC52" s="184"/>
      <c r="AD52" s="182">
        <f>Escenario1!BN423</f>
        <v>1.9002940075170862</v>
      </c>
      <c r="AE52" s="184"/>
      <c r="AF52" s="182">
        <f>Escenario2!BN104</f>
        <v>1.2043514351574018</v>
      </c>
      <c r="AG52" s="184"/>
      <c r="AH52" s="182">
        <f>LíneaBase!N420</f>
        <v>1.5377428642051225E-2</v>
      </c>
      <c r="AI52" s="184"/>
      <c r="AJ52" s="182">
        <f>Escenario1!BP9</f>
        <v>0</v>
      </c>
      <c r="AK52" s="184"/>
      <c r="AL52" s="182">
        <f>Escenario2!BP420</f>
        <v>0</v>
      </c>
      <c r="AM52" s="151"/>
      <c r="BA52" s="152"/>
      <c r="BB52" s="75">
        <v>47</v>
      </c>
      <c r="BC52" s="190">
        <f>ABS(LíneaBase!L53-LíneaBase!L52)</f>
        <v>2.7903743655436024</v>
      </c>
      <c r="BD52" s="190">
        <f>ABS(Escenario1!BN53-Escenario1!BN52)</f>
        <v>0.36648767780615543</v>
      </c>
      <c r="BE52" s="190">
        <f>ABS(Escenario2!BN53-Escenario2!BN52)</f>
        <v>2.3543079962751623E-2</v>
      </c>
      <c r="BF52" s="151"/>
    </row>
    <row r="53" spans="2:58">
      <c r="B53" s="11"/>
      <c r="C53" s="173"/>
      <c r="D53" s="173"/>
      <c r="E53" s="173"/>
      <c r="F53" s="173"/>
      <c r="G53" s="173"/>
      <c r="H53" s="173"/>
      <c r="I53" s="173"/>
      <c r="J53" s="173"/>
      <c r="K53" s="173"/>
      <c r="L53" s="173"/>
      <c r="M53" s="173"/>
      <c r="N53" s="173"/>
      <c r="O53" s="173"/>
      <c r="P53" s="173"/>
      <c r="Q53" s="151"/>
      <c r="Y53" s="152"/>
      <c r="Z53" s="183">
        <f>(LíneaBase!C54-0.44)/(MAX(LíneaBase!C:C)+0.12)*100</f>
        <v>6.5139976990083825</v>
      </c>
      <c r="AA53" s="184"/>
      <c r="AB53" s="182">
        <f>LíneaBase!L444</f>
        <v>2.267635919622685</v>
      </c>
      <c r="AC53" s="184"/>
      <c r="AD53" s="182">
        <f>Escenario1!BN460</f>
        <v>1.8883175243567287</v>
      </c>
      <c r="AE53" s="184"/>
      <c r="AF53" s="182">
        <f>Escenario2!BN447</f>
        <v>1.2030058804252859</v>
      </c>
      <c r="AG53" s="184"/>
      <c r="AH53" s="182">
        <f>LíneaBase!N487</f>
        <v>1.5377428642051225E-2</v>
      </c>
      <c r="AI53" s="184"/>
      <c r="AJ53" s="182">
        <f>Escenario1!BP374</f>
        <v>0</v>
      </c>
      <c r="AK53" s="184"/>
      <c r="AL53" s="182">
        <f>Escenario2!BP487</f>
        <v>0</v>
      </c>
      <c r="AM53" s="151"/>
      <c r="BA53" s="152"/>
      <c r="BB53" s="75">
        <v>48</v>
      </c>
      <c r="BC53" s="190">
        <f>ABS(LíneaBase!L54-LíneaBase!L53)</f>
        <v>2.462361104485999</v>
      </c>
      <c r="BD53" s="190">
        <f>ABS(Escenario1!BN54-Escenario1!BN53)</f>
        <v>6.1776584663887801E-2</v>
      </c>
      <c r="BE53" s="190">
        <f>ABS(Escenario2!BN54-Escenario2!BN53)</f>
        <v>7.1779594798426771E-5</v>
      </c>
      <c r="BF53" s="151"/>
    </row>
    <row r="54" spans="2:58">
      <c r="B54" s="11"/>
      <c r="C54" s="173"/>
      <c r="D54" s="173"/>
      <c r="E54" s="173"/>
      <c r="F54" s="173"/>
      <c r="G54" s="173"/>
      <c r="H54" s="173"/>
      <c r="I54" s="173"/>
      <c r="J54" s="173"/>
      <c r="K54" s="173"/>
      <c r="L54" s="173"/>
      <c r="M54" s="173"/>
      <c r="N54" s="173"/>
      <c r="O54" s="173"/>
      <c r="P54" s="173"/>
      <c r="Q54" s="151"/>
      <c r="Y54" s="152"/>
      <c r="Z54" s="183">
        <f>(LíneaBase!C55-0.44)/(MAX(LíneaBase!C:C)+0.12)*100</f>
        <v>6.6509614857831592</v>
      </c>
      <c r="AA54" s="184"/>
      <c r="AB54" s="182">
        <f>LíneaBase!L82</f>
        <v>2.2503506150379891</v>
      </c>
      <c r="AC54" s="184"/>
      <c r="AD54" s="182">
        <f>Escenario1!BN429</f>
        <v>1.8859882383740372</v>
      </c>
      <c r="AE54" s="184"/>
      <c r="AF54" s="182">
        <f>Escenario2!BN84</f>
        <v>1.1975099606676571</v>
      </c>
      <c r="AG54" s="184"/>
      <c r="AH54" s="182">
        <f>LíneaBase!N58</f>
        <v>1.3541304422291688E-2</v>
      </c>
      <c r="AI54" s="184"/>
      <c r="AJ54" s="182">
        <f>Escenario1!BP362</f>
        <v>0</v>
      </c>
      <c r="AK54" s="184"/>
      <c r="AL54" s="182">
        <f>Escenario2!BP58</f>
        <v>0</v>
      </c>
      <c r="AM54" s="151"/>
      <c r="BA54" s="152"/>
      <c r="BB54" s="75">
        <v>49</v>
      </c>
      <c r="BC54" s="190">
        <f>ABS(LíneaBase!L55-LíneaBase!L54)</f>
        <v>1.0747290662421833</v>
      </c>
      <c r="BD54" s="190">
        <f>ABS(Escenario1!BN55-Escenario1!BN54)</f>
        <v>0.11043085207189085</v>
      </c>
      <c r="BE54" s="190">
        <f>ABS(Escenario2!BN55-Escenario2!BN54)</f>
        <v>1.199692648557793E-3</v>
      </c>
      <c r="BF54" s="151"/>
    </row>
    <row r="55" spans="2:58">
      <c r="B55" s="11"/>
      <c r="C55" s="173"/>
      <c r="D55" s="173"/>
      <c r="E55" s="173"/>
      <c r="F55" s="173"/>
      <c r="G55" s="173"/>
      <c r="H55" s="173"/>
      <c r="I55" s="173"/>
      <c r="J55" s="173"/>
      <c r="K55" s="173"/>
      <c r="L55" s="173"/>
      <c r="M55" s="173"/>
      <c r="N55" s="173"/>
      <c r="O55" s="173"/>
      <c r="P55" s="173"/>
      <c r="Q55" s="151"/>
      <c r="Y55" s="152"/>
      <c r="Z55" s="183">
        <f>(LíneaBase!C56-0.44)/(MAX(LíneaBase!C:C)+0.12)*100</f>
        <v>6.7879252725579358</v>
      </c>
      <c r="AA55" s="184"/>
      <c r="AB55" s="182">
        <f>LíneaBase!L448</f>
        <v>2.238211883439237</v>
      </c>
      <c r="AC55" s="184"/>
      <c r="AD55" s="182">
        <f>Escenario1!BN63</f>
        <v>1.8504388519941628</v>
      </c>
      <c r="AE55" s="184"/>
      <c r="AF55" s="182">
        <f>Escenario2!BN475</f>
        <v>1.1965797480716795</v>
      </c>
      <c r="AG55" s="184"/>
      <c r="AH55" s="182">
        <f>LíneaBase!N423</f>
        <v>1.3541304422291688E-2</v>
      </c>
      <c r="AI55" s="184"/>
      <c r="AJ55" s="182">
        <f>Escenario1!BP727</f>
        <v>0</v>
      </c>
      <c r="AK55" s="184"/>
      <c r="AL55" s="182">
        <f>Escenario2!BP423</f>
        <v>0</v>
      </c>
      <c r="AM55" s="151"/>
      <c r="BA55" s="152"/>
      <c r="BB55" s="75">
        <v>50</v>
      </c>
      <c r="BC55" s="190">
        <f>ABS(LíneaBase!L56-LíneaBase!L55)</f>
        <v>1.0766155182295212</v>
      </c>
      <c r="BD55" s="190">
        <f>ABS(Escenario1!BN56-Escenario1!BN55)</f>
        <v>0.10324071541301238</v>
      </c>
      <c r="BE55" s="190">
        <f>ABS(Escenario2!BN56-Escenario2!BN55)</f>
        <v>8.9020024493402516E-5</v>
      </c>
      <c r="BF55" s="151"/>
    </row>
    <row r="56" spans="2:58">
      <c r="B56" s="11"/>
      <c r="C56" s="173"/>
      <c r="D56" s="173"/>
      <c r="E56" s="173"/>
      <c r="F56" s="173"/>
      <c r="G56" s="173"/>
      <c r="H56" s="173"/>
      <c r="I56" s="173"/>
      <c r="J56" s="173"/>
      <c r="K56" s="173"/>
      <c r="L56" s="173"/>
      <c r="M56" s="173"/>
      <c r="N56" s="173"/>
      <c r="O56" s="173"/>
      <c r="P56" s="173"/>
      <c r="Q56" s="151"/>
      <c r="Y56" s="152"/>
      <c r="Z56" s="183">
        <f>(LíneaBase!C57-0.44)/(MAX(LíneaBase!C:C)+0.12)*100</f>
        <v>6.9248890593327133</v>
      </c>
      <c r="AA56" s="184"/>
      <c r="AB56" s="182">
        <f>LíneaBase!L79</f>
        <v>2.2358630689511321</v>
      </c>
      <c r="AC56" s="184"/>
      <c r="AD56" s="182">
        <f>Escenario1!BN94</f>
        <v>1.8487882766655632</v>
      </c>
      <c r="AE56" s="184"/>
      <c r="AF56" s="182">
        <f>Escenario2!BN108</f>
        <v>1.1943396695920241</v>
      </c>
      <c r="AG56" s="184"/>
      <c r="AH56" s="182">
        <f>LíneaBase!N93</f>
        <v>1.1855590955586196E-2</v>
      </c>
      <c r="AI56" s="184"/>
      <c r="AJ56" s="182">
        <f>Escenario1!BP330</f>
        <v>0</v>
      </c>
      <c r="AK56" s="184"/>
      <c r="AL56" s="182">
        <f>Escenario2!BP93</f>
        <v>0</v>
      </c>
      <c r="AM56" s="151"/>
      <c r="BA56" s="152"/>
      <c r="BB56" s="75">
        <v>51</v>
      </c>
      <c r="BC56" s="190">
        <f>ABS(LíneaBase!L57-LíneaBase!L56)</f>
        <v>4.6854842895811002</v>
      </c>
      <c r="BD56" s="190">
        <f>ABS(Escenario1!BN57-Escenario1!BN56)</f>
        <v>0.23609168891978705</v>
      </c>
      <c r="BE56" s="190">
        <f>ABS(Escenario2!BN57-Escenario2!BN56)</f>
        <v>3.4980826902974993E-3</v>
      </c>
      <c r="BF56" s="151"/>
    </row>
    <row r="57" spans="2:58">
      <c r="B57" s="11"/>
      <c r="C57" s="173"/>
      <c r="D57" s="173"/>
      <c r="E57" s="173"/>
      <c r="F57" s="173"/>
      <c r="G57" s="173"/>
      <c r="H57" s="173"/>
      <c r="I57" s="173"/>
      <c r="J57" s="173"/>
      <c r="K57" s="173"/>
      <c r="L57" s="173"/>
      <c r="M57" s="173"/>
      <c r="N57" s="173"/>
      <c r="O57" s="173"/>
      <c r="P57" s="173"/>
      <c r="Q57" s="151"/>
      <c r="Y57" s="152"/>
      <c r="Z57" s="183">
        <f>(LíneaBase!C58-0.44)/(MAX(LíneaBase!C:C)+0.12)*100</f>
        <v>7.0618528461074899</v>
      </c>
      <c r="AA57" s="184"/>
      <c r="AB57" s="182">
        <f>LíneaBase!L83</f>
        <v>2.2076729076555766</v>
      </c>
      <c r="AC57" s="184"/>
      <c r="AD57" s="182">
        <f>Escenario1!BN90</f>
        <v>1.8386545465966564</v>
      </c>
      <c r="AE57" s="184"/>
      <c r="AF57" s="182">
        <f>Escenario2!BN105</f>
        <v>1.194274411527884</v>
      </c>
      <c r="AG57" s="184"/>
      <c r="AH57" s="182">
        <f>LíneaBase!N458</f>
        <v>1.1855590955586196E-2</v>
      </c>
      <c r="AI57" s="184"/>
      <c r="AJ57" s="182">
        <f>Escenario1!BP695</f>
        <v>0</v>
      </c>
      <c r="AK57" s="184"/>
      <c r="AL57" s="182">
        <f>Escenario2!BP458</f>
        <v>0</v>
      </c>
      <c r="AM57" s="151"/>
      <c r="BA57" s="152"/>
      <c r="BB57" s="75">
        <v>52</v>
      </c>
      <c r="BC57" s="190">
        <f>ABS(LíneaBase!L58-LíneaBase!L57)</f>
        <v>3.4914890900019313</v>
      </c>
      <c r="BD57" s="190">
        <f>ABS(Escenario1!BN58-Escenario1!BN57)</f>
        <v>7.270699924399171E-2</v>
      </c>
      <c r="BE57" s="190">
        <f>ABS(Escenario2!BN58-Escenario2!BN57)</f>
        <v>4.6403820059264245E-3</v>
      </c>
      <c r="BF57" s="151"/>
    </row>
    <row r="58" spans="2:58">
      <c r="B58" s="11"/>
      <c r="C58" s="173"/>
      <c r="D58" s="173"/>
      <c r="E58" s="173"/>
      <c r="F58" s="173"/>
      <c r="G58" s="173"/>
      <c r="H58" s="173"/>
      <c r="I58" s="173"/>
      <c r="J58" s="173"/>
      <c r="K58" s="173"/>
      <c r="L58" s="173"/>
      <c r="M58" s="173"/>
      <c r="N58" s="173"/>
      <c r="O58" s="173"/>
      <c r="P58" s="173"/>
      <c r="Q58" s="151"/>
      <c r="Y58" s="152"/>
      <c r="Z58" s="183">
        <f>(LíneaBase!C59-0.44)/(MAX(LíneaBase!C:C)+0.12)*100</f>
        <v>7.1988166328822656</v>
      </c>
      <c r="AA58" s="184"/>
      <c r="AB58" s="182">
        <f>LíneaBase!L727</f>
        <v>2.1862324162755917</v>
      </c>
      <c r="AC58" s="184"/>
      <c r="AD58" s="182">
        <f>Escenario1!BN456</f>
        <v>1.8291272964810645</v>
      </c>
      <c r="AE58" s="184"/>
      <c r="AF58" s="182">
        <f>Escenario2!BN446</f>
        <v>1.1923215183924822</v>
      </c>
      <c r="AG58" s="184"/>
      <c r="AH58" s="182">
        <f>LíneaBase!N159</f>
        <v>1.1456945735200001E-2</v>
      </c>
      <c r="AI58" s="184"/>
      <c r="AJ58" s="182">
        <f>Escenario1!BP44</f>
        <v>0</v>
      </c>
      <c r="AK58" s="184"/>
      <c r="AL58" s="182">
        <f>Escenario2!BP159</f>
        <v>0</v>
      </c>
      <c r="AM58" s="151"/>
      <c r="BA58" s="152"/>
      <c r="BB58" s="75">
        <v>53</v>
      </c>
      <c r="BC58" s="190">
        <f>ABS(LíneaBase!L59-LíneaBase!L58)</f>
        <v>0.71881655123691335</v>
      </c>
      <c r="BD58" s="190">
        <f>ABS(Escenario1!BN59-Escenario1!BN58)</f>
        <v>2.7626763303691737E-2</v>
      </c>
      <c r="BE58" s="190">
        <f>ABS(Escenario2!BN59-Escenario2!BN58)</f>
        <v>4.9921212730368314E-3</v>
      </c>
      <c r="BF58" s="151"/>
    </row>
    <row r="59" spans="2:58">
      <c r="B59" s="11"/>
      <c r="C59" s="173"/>
      <c r="D59" s="173"/>
      <c r="E59" s="173"/>
      <c r="F59" s="173"/>
      <c r="G59" s="173"/>
      <c r="H59" s="173"/>
      <c r="I59" s="173"/>
      <c r="J59" s="173"/>
      <c r="K59" s="173"/>
      <c r="L59" s="173"/>
      <c r="M59" s="173"/>
      <c r="N59" s="173"/>
      <c r="O59" s="173"/>
      <c r="P59" s="173"/>
      <c r="Q59" s="151"/>
      <c r="Y59" s="152"/>
      <c r="Z59" s="183">
        <f>(LíneaBase!C60-0.44)/(MAX(LíneaBase!C:C)+0.12)*100</f>
        <v>7.3357804196570422</v>
      </c>
      <c r="AA59" s="184"/>
      <c r="AB59" s="182">
        <f>LíneaBase!L362</f>
        <v>2.1843047364001626</v>
      </c>
      <c r="AC59" s="184"/>
      <c r="AD59" s="182">
        <f>Escenario1!BN422</f>
        <v>1.8285710577680954</v>
      </c>
      <c r="AE59" s="184"/>
      <c r="AF59" s="182">
        <f>Escenario2!BN83</f>
        <v>1.1899954375225754</v>
      </c>
      <c r="AG59" s="184"/>
      <c r="AH59" s="182">
        <f>LíneaBase!N524</f>
        <v>1.1456945735200001E-2</v>
      </c>
      <c r="AI59" s="184"/>
      <c r="AJ59" s="182">
        <f>Escenario1!BP325</f>
        <v>0</v>
      </c>
      <c r="AK59" s="184"/>
      <c r="AL59" s="182">
        <f>Escenario2!BP524</f>
        <v>0</v>
      </c>
      <c r="AM59" s="151"/>
      <c r="BA59" s="152"/>
      <c r="BB59" s="75">
        <v>54</v>
      </c>
      <c r="BC59" s="190">
        <f>ABS(LíneaBase!L60-LíneaBase!L59)</f>
        <v>6.00870096947226</v>
      </c>
      <c r="BD59" s="190">
        <f>ABS(Escenario1!BN60-Escenario1!BN59)</f>
        <v>0.17834373199150444</v>
      </c>
      <c r="BE59" s="190">
        <f>ABS(Escenario2!BN60-Escenario2!BN59)</f>
        <v>7.5913210230875716E-3</v>
      </c>
      <c r="BF59" s="151"/>
    </row>
    <row r="60" spans="2:58">
      <c r="B60" s="11"/>
      <c r="C60" s="173"/>
      <c r="D60" s="173"/>
      <c r="E60" s="173"/>
      <c r="F60" s="173"/>
      <c r="G60" s="173"/>
      <c r="H60" s="173"/>
      <c r="I60" s="173"/>
      <c r="J60" s="173"/>
      <c r="K60" s="173"/>
      <c r="L60" s="173"/>
      <c r="M60" s="173"/>
      <c r="N60" s="173"/>
      <c r="O60" s="173"/>
      <c r="P60" s="173"/>
      <c r="Q60" s="151"/>
      <c r="Y60" s="152"/>
      <c r="Z60" s="183">
        <f>(LíneaBase!C61-0.44)/(MAX(LíneaBase!C:C)+0.12)*100</f>
        <v>7.4727442064318197</v>
      </c>
      <c r="AA60" s="184"/>
      <c r="AB60" s="182">
        <f>LíneaBase!L701</f>
        <v>2.1805939342581175</v>
      </c>
      <c r="AC60" s="184"/>
      <c r="AD60" s="182">
        <f>Escenario1!BN59</f>
        <v>1.822561995763375</v>
      </c>
      <c r="AE60" s="184"/>
      <c r="AF60" s="182">
        <f>Escenario2!BN487</f>
        <v>1.1820686985419453</v>
      </c>
      <c r="AG60" s="184"/>
      <c r="AH60" s="182">
        <f>LíneaBase!N11</f>
        <v>5.2279265862954149E-3</v>
      </c>
      <c r="AI60" s="184"/>
      <c r="AJ60" s="182">
        <f>Escenario1!BP409</f>
        <v>0</v>
      </c>
      <c r="AK60" s="184"/>
      <c r="AL60" s="182">
        <f>Escenario2!BP11</f>
        <v>0</v>
      </c>
      <c r="AM60" s="151"/>
      <c r="BA60" s="152"/>
      <c r="BB60" s="75">
        <v>55</v>
      </c>
      <c r="BC60" s="190">
        <f>ABS(LíneaBase!L61-LíneaBase!L60)</f>
        <v>5.5576978714914169</v>
      </c>
      <c r="BD60" s="190">
        <f>ABS(Escenario1!BN61-Escenario1!BN60)</f>
        <v>4.3131722847118859E-2</v>
      </c>
      <c r="BE60" s="190">
        <f>ABS(Escenario2!BN61-Escenario2!BN60)</f>
        <v>8.079467671116447E-3</v>
      </c>
      <c r="BF60" s="151"/>
    </row>
    <row r="61" spans="2:58">
      <c r="B61" s="11"/>
      <c r="C61" s="173"/>
      <c r="D61" s="173"/>
      <c r="E61" s="173"/>
      <c r="F61" s="173"/>
      <c r="G61" s="173"/>
      <c r="H61" s="173"/>
      <c r="I61" s="173"/>
      <c r="J61" s="173"/>
      <c r="K61" s="173"/>
      <c r="L61" s="173"/>
      <c r="M61" s="173"/>
      <c r="N61" s="173"/>
      <c r="O61" s="173"/>
      <c r="P61" s="173"/>
      <c r="Q61" s="151"/>
      <c r="Y61" s="152"/>
      <c r="Z61" s="183">
        <f>(LíneaBase!C62-0.44)/(MAX(LíneaBase!C:C)+0.12)*100</f>
        <v>7.6097079932065963</v>
      </c>
      <c r="AA61" s="184"/>
      <c r="AB61" s="182">
        <f>LíneaBase!L336</f>
        <v>2.1781002236388671</v>
      </c>
      <c r="AC61" s="184"/>
      <c r="AD61" s="182">
        <f>Escenario1!BN95</f>
        <v>1.8142369968270933</v>
      </c>
      <c r="AE61" s="184"/>
      <c r="AF61" s="182">
        <f>Escenario2!BN106</f>
        <v>1.1815766654259277</v>
      </c>
      <c r="AG61" s="184"/>
      <c r="AH61" s="182">
        <f>LíneaBase!N376</f>
        <v>5.2279265862954149E-3</v>
      </c>
      <c r="AI61" s="184"/>
      <c r="AJ61" s="182">
        <f>Escenario1!BP690</f>
        <v>0</v>
      </c>
      <c r="AK61" s="184"/>
      <c r="AL61" s="182">
        <f>Escenario2!BP376</f>
        <v>0</v>
      </c>
      <c r="AM61" s="151"/>
      <c r="BA61" s="152"/>
      <c r="BB61" s="75">
        <v>56</v>
      </c>
      <c r="BC61" s="190">
        <f>ABS(LíneaBase!L62-LíneaBase!L61)</f>
        <v>0.46995457795323925</v>
      </c>
      <c r="BD61" s="190">
        <f>ABS(Escenario1!BN62-Escenario1!BN61)</f>
        <v>9.0003693800992934E-2</v>
      </c>
      <c r="BE61" s="190">
        <f>ABS(Escenario2!BN62-Escenario2!BN61)</f>
        <v>6.4396053220774352E-3</v>
      </c>
      <c r="BF61" s="151"/>
    </row>
    <row r="62" spans="2:58">
      <c r="B62" s="11"/>
      <c r="C62" s="173"/>
      <c r="D62" s="173"/>
      <c r="E62" s="173"/>
      <c r="F62" s="173"/>
      <c r="G62" s="173"/>
      <c r="H62" s="173"/>
      <c r="I62" s="173"/>
      <c r="J62" s="173"/>
      <c r="K62" s="173"/>
      <c r="L62" s="173"/>
      <c r="M62" s="173"/>
      <c r="N62" s="173"/>
      <c r="O62" s="173"/>
      <c r="P62" s="173"/>
      <c r="Q62" s="151"/>
      <c r="Y62" s="152"/>
      <c r="Z62" s="183">
        <f>(LíneaBase!C63-0.44)/(MAX(LíneaBase!C:C)+0.12)*100</f>
        <v>7.7466717799813729</v>
      </c>
      <c r="AA62" s="184"/>
      <c r="AB62" s="182">
        <f>LíneaBase!L660</f>
        <v>2.1634670084950778</v>
      </c>
      <c r="AC62" s="184"/>
      <c r="AD62" s="182">
        <f>Escenario1!BN461</f>
        <v>1.8013240439685809</v>
      </c>
      <c r="AE62" s="184"/>
      <c r="AF62" s="182">
        <f>Escenario2!BN82</f>
        <v>1.1806795002449111</v>
      </c>
      <c r="AG62" s="184"/>
      <c r="AH62" s="182">
        <f>LíneaBase!N326</f>
        <v>4.9961107469197472E-3</v>
      </c>
      <c r="AI62" s="184"/>
      <c r="AJ62" s="182">
        <f>Escenario1!BP336</f>
        <v>0</v>
      </c>
      <c r="AK62" s="184"/>
      <c r="AL62" s="182">
        <f>Escenario2!BP326</f>
        <v>0</v>
      </c>
      <c r="AM62" s="151"/>
      <c r="BA62" s="152"/>
      <c r="BB62" s="75">
        <v>57</v>
      </c>
      <c r="BC62" s="190">
        <f>ABS(LíneaBase!L63-LíneaBase!L62)</f>
        <v>0.11887985891951436</v>
      </c>
      <c r="BD62" s="190">
        <f>ABS(Escenario1!BN63-Escenario1!BN62)</f>
        <v>0.10359490480684252</v>
      </c>
      <c r="BE62" s="190">
        <f>ABS(Escenario2!BN63-Escenario2!BN62)</f>
        <v>4.5155266957603857E-3</v>
      </c>
      <c r="BF62" s="151"/>
    </row>
    <row r="63" spans="2:58">
      <c r="B63" s="11"/>
      <c r="C63" s="173"/>
      <c r="D63" s="173"/>
      <c r="E63" s="173"/>
      <c r="F63" s="173"/>
      <c r="G63" s="173"/>
      <c r="H63" s="173"/>
      <c r="I63" s="173"/>
      <c r="J63" s="173"/>
      <c r="K63" s="173"/>
      <c r="L63" s="173"/>
      <c r="M63" s="173"/>
      <c r="N63" s="173"/>
      <c r="O63" s="173"/>
      <c r="P63" s="173"/>
      <c r="Q63" s="151"/>
      <c r="Y63" s="152"/>
      <c r="Z63" s="183">
        <f>(LíneaBase!C64-0.44)/(MAX(LíneaBase!C:C)+0.12)*100</f>
        <v>7.8836355667561504</v>
      </c>
      <c r="AA63" s="184"/>
      <c r="AB63" s="182">
        <f>LíneaBase!L295</f>
        <v>2.1597244928581425</v>
      </c>
      <c r="AC63" s="184"/>
      <c r="AD63" s="182">
        <f>Escenario1!BN430</f>
        <v>1.8001416678286595</v>
      </c>
      <c r="AE63" s="184"/>
      <c r="AF63" s="182">
        <f>Escenario2!BN488</f>
        <v>1.1798482305938378</v>
      </c>
      <c r="AG63" s="184"/>
      <c r="AH63" s="182">
        <f>LíneaBase!N691</f>
        <v>4.9961107469197472E-3</v>
      </c>
      <c r="AI63" s="184"/>
      <c r="AJ63" s="182">
        <f>Escenario1!BP701</f>
        <v>0</v>
      </c>
      <c r="AK63" s="184"/>
      <c r="AL63" s="182">
        <f>Escenario2!BP691</f>
        <v>0</v>
      </c>
      <c r="AM63" s="151"/>
      <c r="BA63" s="152"/>
      <c r="BB63" s="75">
        <v>58</v>
      </c>
      <c r="BC63" s="190">
        <f>ABS(LíneaBase!L64-LíneaBase!L63)</f>
        <v>7.3786634025255315E-2</v>
      </c>
      <c r="BD63" s="190">
        <f>ABS(Escenario1!BN64-Escenario1!BN63)</f>
        <v>6.3987396983940847E-2</v>
      </c>
      <c r="BE63" s="190">
        <f>ABS(Escenario2!BN64-Escenario2!BN63)</f>
        <v>3.4837884706528932E-3</v>
      </c>
      <c r="BF63" s="151"/>
    </row>
    <row r="64" spans="2:58">
      <c r="B64" s="11"/>
      <c r="C64" s="173"/>
      <c r="D64" s="173"/>
      <c r="E64" s="173"/>
      <c r="F64" s="173"/>
      <c r="G64" s="173"/>
      <c r="H64" s="173"/>
      <c r="I64" s="173"/>
      <c r="J64" s="173"/>
      <c r="K64" s="173"/>
      <c r="L64" s="173"/>
      <c r="M64" s="173"/>
      <c r="N64" s="173"/>
      <c r="O64" s="173"/>
      <c r="P64" s="173"/>
      <c r="Q64" s="151"/>
      <c r="Y64" s="152"/>
      <c r="Z64" s="183">
        <f>(LíneaBase!C65-0.44)/(MAX(LíneaBase!C:C)+0.12)*100</f>
        <v>8.0205993535309279</v>
      </c>
      <c r="AA64" s="184"/>
      <c r="AB64" s="182">
        <f>LíneaBase!L441</f>
        <v>2.1494168061299725</v>
      </c>
      <c r="AC64" s="184"/>
      <c r="AD64" s="182">
        <f>Escenario1!BN58</f>
        <v>1.7949352324596832</v>
      </c>
      <c r="AE64" s="184"/>
      <c r="AF64" s="182">
        <f>Escenario2!BN445</f>
        <v>1.1797742957258439</v>
      </c>
      <c r="AG64" s="184"/>
      <c r="AH64" s="182">
        <f>LíneaBase!N61</f>
        <v>3.9378982306366083E-3</v>
      </c>
      <c r="AI64" s="184"/>
      <c r="AJ64" s="182">
        <f>Escenario1!BP295</f>
        <v>0</v>
      </c>
      <c r="AK64" s="184"/>
      <c r="AL64" s="182">
        <f>Escenario2!BP61</f>
        <v>0</v>
      </c>
      <c r="AM64" s="151"/>
      <c r="BA64" s="152"/>
      <c r="BB64" s="75">
        <v>59</v>
      </c>
      <c r="BC64" s="190">
        <f>ABS(LíneaBase!L65-LíneaBase!L64)</f>
        <v>9.7501113173704912E-2</v>
      </c>
      <c r="BD64" s="190">
        <f>ABS(Escenario1!BN65-Escenario1!BN64)</f>
        <v>8.4910002303439036E-2</v>
      </c>
      <c r="BE64" s="190">
        <f>ABS(Escenario2!BN65-Escenario2!BN64)</f>
        <v>1.8819702730921151E-3</v>
      </c>
      <c r="BF64" s="151"/>
    </row>
    <row r="65" spans="2:58">
      <c r="B65" s="11"/>
      <c r="C65" s="173"/>
      <c r="D65" s="173"/>
      <c r="E65" s="173"/>
      <c r="F65" s="173"/>
      <c r="G65" s="173"/>
      <c r="H65" s="173"/>
      <c r="I65" s="173"/>
      <c r="J65" s="173"/>
      <c r="K65" s="173"/>
      <c r="L65" s="173"/>
      <c r="M65" s="173"/>
      <c r="N65" s="173"/>
      <c r="O65" s="173"/>
      <c r="P65" s="173"/>
      <c r="Q65" s="151"/>
      <c r="Y65" s="152"/>
      <c r="Z65" s="183">
        <f>(LíneaBase!C66-0.44)/(MAX(LíneaBase!C:C)+0.12)*100</f>
        <v>8.1575631403057027</v>
      </c>
      <c r="AA65" s="184"/>
      <c r="AB65" s="182">
        <f>LíneaBase!L450</f>
        <v>2.1378267393832271</v>
      </c>
      <c r="AC65" s="184"/>
      <c r="AD65" s="182">
        <f>Escenario1!BN64</f>
        <v>1.786451455010222</v>
      </c>
      <c r="AE65" s="184"/>
      <c r="AF65" s="182">
        <f>Escenario2!BN476</f>
        <v>1.1791723999406842</v>
      </c>
      <c r="AG65" s="184"/>
      <c r="AH65" s="182">
        <f>LíneaBase!N426</f>
        <v>3.9378982306366083E-3</v>
      </c>
      <c r="AI65" s="184"/>
      <c r="AJ65" s="182">
        <f>Escenario1!BP660</f>
        <v>0</v>
      </c>
      <c r="AK65" s="184"/>
      <c r="AL65" s="182">
        <f>Escenario2!BP426</f>
        <v>0</v>
      </c>
      <c r="AM65" s="151"/>
      <c r="BA65" s="152"/>
      <c r="BB65" s="75">
        <v>60</v>
      </c>
      <c r="BC65" s="190">
        <f>ABS(LíneaBase!L66-LíneaBase!L65)</f>
        <v>0.10794687573025641</v>
      </c>
      <c r="BD65" s="190">
        <f>ABS(Escenario1!BN66-Escenario1!BN65)</f>
        <v>9.4177918033450547E-2</v>
      </c>
      <c r="BE65" s="190">
        <f>ABS(Escenario2!BN66-Escenario2!BN65)</f>
        <v>2.6750083266513514E-4</v>
      </c>
      <c r="BF65" s="151"/>
    </row>
    <row r="66" spans="2:58">
      <c r="B66" s="11"/>
      <c r="C66" s="173"/>
      <c r="D66" s="173"/>
      <c r="E66" s="173"/>
      <c r="F66" s="173"/>
      <c r="G66" s="173"/>
      <c r="H66" s="173"/>
      <c r="I66" s="173"/>
      <c r="J66" s="173"/>
      <c r="K66" s="173"/>
      <c r="L66" s="173"/>
      <c r="M66" s="173"/>
      <c r="N66" s="173"/>
      <c r="O66" s="173"/>
      <c r="P66" s="173"/>
      <c r="Q66" s="151"/>
      <c r="Y66" s="152"/>
      <c r="Z66" s="183">
        <f>(LíneaBase!C67-0.44)/(MAX(LíneaBase!C:C)+0.12)*100</f>
        <v>8.2945269270804793</v>
      </c>
      <c r="AA66" s="184"/>
      <c r="AB66" s="182">
        <f>LíneaBase!L449</f>
        <v>2.127647291447246</v>
      </c>
      <c r="AC66" s="184"/>
      <c r="AD66" s="182">
        <f>Escenario1!BN91</f>
        <v>1.7521629223008577</v>
      </c>
      <c r="AE66" s="184"/>
      <c r="AF66" s="182">
        <f>Escenario2!BN109</f>
        <v>1.1785346133275452</v>
      </c>
      <c r="AG66" s="184"/>
      <c r="AH66" s="182">
        <f>LíneaBase!N23</f>
        <v>3.559814043822157E-3</v>
      </c>
      <c r="AI66" s="184"/>
      <c r="AJ66" s="182">
        <f>Escenario1!BP55</f>
        <v>0</v>
      </c>
      <c r="AK66" s="184"/>
      <c r="AL66" s="182">
        <f>Escenario2!BP23</f>
        <v>0</v>
      </c>
      <c r="AM66" s="151"/>
      <c r="BA66" s="152"/>
      <c r="BB66" s="75">
        <v>61</v>
      </c>
      <c r="BC66" s="190">
        <f>ABS(LíneaBase!L67-LíneaBase!L66)</f>
        <v>1.2079722744747556E-2</v>
      </c>
      <c r="BD66" s="190">
        <f>ABS(Escenario1!BN67-Escenario1!BN66)</f>
        <v>1.1397359767891135E-2</v>
      </c>
      <c r="BE66" s="190">
        <f>ABS(Escenario2!BN67-Escenario2!BN66)</f>
        <v>3.2809203856620783E-4</v>
      </c>
      <c r="BF66" s="151"/>
    </row>
    <row r="67" spans="2:58">
      <c r="B67" s="11"/>
      <c r="C67" s="173"/>
      <c r="D67" s="173"/>
      <c r="E67" s="173"/>
      <c r="F67" s="173"/>
      <c r="G67" s="173"/>
      <c r="H67" s="173"/>
      <c r="I67" s="173"/>
      <c r="J67" s="173"/>
      <c r="K67" s="173"/>
      <c r="L67" s="173"/>
      <c r="M67" s="173"/>
      <c r="N67" s="173"/>
      <c r="O67" s="173"/>
      <c r="P67" s="173"/>
      <c r="Q67" s="151"/>
      <c r="Y67" s="152"/>
      <c r="Z67" s="183">
        <f>(LíneaBase!C68-0.44)/(MAX(LíneaBase!C:C)+0.12)*100</f>
        <v>8.4314907138552559</v>
      </c>
      <c r="AA67" s="184"/>
      <c r="AB67" s="182">
        <f>LíneaBase!L76</f>
        <v>2.1166859423120066</v>
      </c>
      <c r="AC67" s="184"/>
      <c r="AD67" s="182">
        <f>Escenario1!BN457</f>
        <v>1.744072683934162</v>
      </c>
      <c r="AE67" s="184"/>
      <c r="AF67" s="182">
        <f>Escenario2!BN489</f>
        <v>1.1776617030469185</v>
      </c>
      <c r="AG67" s="184"/>
      <c r="AH67" s="182">
        <f>LíneaBase!N388</f>
        <v>3.559814043822157E-3</v>
      </c>
      <c r="AI67" s="184"/>
      <c r="AJ67" s="182">
        <f>Escenario1!BP122</f>
        <v>0</v>
      </c>
      <c r="AK67" s="184"/>
      <c r="AL67" s="182">
        <f>Escenario2!BP388</f>
        <v>0</v>
      </c>
      <c r="AM67" s="151"/>
      <c r="BA67" s="152"/>
      <c r="BB67" s="75">
        <v>62</v>
      </c>
      <c r="BC67" s="190">
        <f>ABS(LíneaBase!L68-LíneaBase!L67)</f>
        <v>0.10420283927190122</v>
      </c>
      <c r="BD67" s="190">
        <f>ABS(Escenario1!BN68-Escenario1!BN67)</f>
        <v>9.1016809388092312E-2</v>
      </c>
      <c r="BE67" s="190">
        <f>ABS(Escenario2!BN68-Escenario2!BN67)</f>
        <v>7.8646809079274682E-4</v>
      </c>
      <c r="BF67" s="151"/>
    </row>
    <row r="68" spans="2:58">
      <c r="B68" s="11"/>
      <c r="C68" s="173"/>
      <c r="D68" s="173"/>
      <c r="E68" s="173"/>
      <c r="F68" s="173"/>
      <c r="G68" s="173"/>
      <c r="H68" s="173"/>
      <c r="I68" s="173"/>
      <c r="J68" s="173"/>
      <c r="K68" s="173"/>
      <c r="L68" s="173"/>
      <c r="M68" s="173"/>
      <c r="N68" s="173"/>
      <c r="O68" s="173"/>
      <c r="P68" s="173"/>
      <c r="Q68" s="151"/>
      <c r="Y68" s="152"/>
      <c r="Z68" s="183">
        <f>(LíneaBase!C69-0.44)/(MAX(LíneaBase!C:C)+0.12)*100</f>
        <v>8.5684545006300343</v>
      </c>
      <c r="AA68" s="184"/>
      <c r="AB68" s="182">
        <f>LíneaBase!L487</f>
        <v>2.1134661373369283</v>
      </c>
      <c r="AC68" s="184"/>
      <c r="AD68" s="182">
        <f>Escenario1!BN96</f>
        <v>1.7279440219925823</v>
      </c>
      <c r="AE68" s="184"/>
      <c r="AF68" s="182">
        <f>Escenario2!BN81</f>
        <v>1.1703953378673464</v>
      </c>
      <c r="AG68" s="184"/>
      <c r="AH68" s="182">
        <f>LíneaBase!N78</f>
        <v>3.0386040027325953E-3</v>
      </c>
      <c r="AI68" s="184"/>
      <c r="AJ68" s="182">
        <f>Escenario1!BP487</f>
        <v>0</v>
      </c>
      <c r="AK68" s="184"/>
      <c r="AL68" s="182">
        <f>Escenario2!BP78</f>
        <v>0</v>
      </c>
      <c r="AM68" s="151"/>
      <c r="BA68" s="152"/>
      <c r="BB68" s="75">
        <v>63</v>
      </c>
      <c r="BC68" s="190">
        <f>ABS(LíneaBase!L69-LíneaBase!L68)</f>
        <v>1.3318482607696414E-2</v>
      </c>
      <c r="BD68" s="190">
        <f>ABS(Escenario1!BN69-Escenario1!BN68)</f>
        <v>1.109329881495924E-2</v>
      </c>
      <c r="BE68" s="190">
        <f>ABS(Escenario2!BN69-Escenario2!BN68)</f>
        <v>7.7444673171567224E-4</v>
      </c>
      <c r="BF68" s="151"/>
    </row>
    <row r="69" spans="2:58">
      <c r="B69" s="11"/>
      <c r="C69" s="173"/>
      <c r="D69" s="173"/>
      <c r="E69" s="173"/>
      <c r="F69" s="173"/>
      <c r="G69" s="173"/>
      <c r="H69" s="173"/>
      <c r="I69" s="173"/>
      <c r="J69" s="173"/>
      <c r="K69" s="173"/>
      <c r="L69" s="173"/>
      <c r="M69" s="173"/>
      <c r="N69" s="173"/>
      <c r="O69" s="173"/>
      <c r="P69" s="173"/>
      <c r="Q69" s="151"/>
      <c r="Y69" s="152"/>
      <c r="Z69" s="183">
        <f>(LíneaBase!C70-0.44)/(MAX(LíneaBase!C:C)+0.12)*100</f>
        <v>8.7054182874048109</v>
      </c>
      <c r="AA69" s="184"/>
      <c r="AB69" s="182">
        <f>LíneaBase!L85</f>
        <v>2.1078866142877475</v>
      </c>
      <c r="AC69" s="184"/>
      <c r="AD69" s="182">
        <f>Escenario1!BN57</f>
        <v>1.7222282332156915</v>
      </c>
      <c r="AE69" s="184"/>
      <c r="AF69" s="182">
        <f>Escenario2!BN107</f>
        <v>1.1690461294529664</v>
      </c>
      <c r="AG69" s="184"/>
      <c r="AH69" s="182">
        <f>LíneaBase!N443</f>
        <v>3.0386040027325953E-3</v>
      </c>
      <c r="AI69" s="184"/>
      <c r="AJ69" s="182">
        <f>Escenario1!BP58</f>
        <v>0</v>
      </c>
      <c r="AK69" s="184"/>
      <c r="AL69" s="182">
        <f>Escenario2!BP443</f>
        <v>0</v>
      </c>
      <c r="AM69" s="151"/>
      <c r="BA69" s="152"/>
      <c r="BB69" s="75">
        <v>64</v>
      </c>
      <c r="BC69" s="190">
        <f>ABS(LíneaBase!L70-LíneaBase!L69)</f>
        <v>0.10014108372625707</v>
      </c>
      <c r="BD69" s="190">
        <f>ABS(Escenario1!BN70-Escenario1!BN69)</f>
        <v>8.7597923680741152E-2</v>
      </c>
      <c r="BE69" s="190">
        <f>ABS(Escenario2!BN70-Escenario2!BN69)</f>
        <v>7.6260912208248044E-4</v>
      </c>
      <c r="BF69" s="151"/>
    </row>
    <row r="70" spans="2:58">
      <c r="B70" s="11"/>
      <c r="C70" s="173"/>
      <c r="D70" s="173"/>
      <c r="E70" s="173"/>
      <c r="F70" s="173"/>
      <c r="G70" s="173"/>
      <c r="H70" s="173"/>
      <c r="I70" s="173"/>
      <c r="J70" s="173"/>
      <c r="K70" s="173"/>
      <c r="L70" s="173"/>
      <c r="M70" s="173"/>
      <c r="N70" s="173"/>
      <c r="O70" s="173"/>
      <c r="P70" s="173"/>
      <c r="Q70" s="151"/>
      <c r="Y70" s="152"/>
      <c r="Z70" s="183">
        <f>(LíneaBase!C71-0.44)/(MAX(LíneaBase!C:C)+0.12)*100</f>
        <v>8.8423820741795875</v>
      </c>
      <c r="AA70" s="184"/>
      <c r="AB70" s="182">
        <f>LíneaBase!L84</f>
        <v>2.0974092234657986</v>
      </c>
      <c r="AC70" s="184"/>
      <c r="AD70" s="182">
        <f>Escenario1!BN462</f>
        <v>1.7172425001843041</v>
      </c>
      <c r="AE70" s="184"/>
      <c r="AF70" s="182">
        <f>Escenario2!BN444</f>
        <v>1.1688170594972416</v>
      </c>
      <c r="AG70" s="184"/>
      <c r="AH70" s="182">
        <f>LíneaBase!N298</f>
        <v>2.8767083000789347E-3</v>
      </c>
      <c r="AI70" s="184"/>
      <c r="AJ70" s="182">
        <f>Escenario1!BP93</f>
        <v>0</v>
      </c>
      <c r="AK70" s="184"/>
      <c r="AL70" s="182">
        <f>Escenario2!BP298</f>
        <v>0</v>
      </c>
      <c r="AM70" s="151"/>
      <c r="BA70" s="152"/>
      <c r="BB70" s="75">
        <v>65</v>
      </c>
      <c r="BC70" s="190">
        <f>ABS(LíneaBase!L71-LíneaBase!L70)</f>
        <v>0.16190175355074765</v>
      </c>
      <c r="BD70" s="190">
        <f>ABS(Escenario1!BN71-Escenario1!BN70)</f>
        <v>9.0378794337908408E-2</v>
      </c>
      <c r="BE70" s="190">
        <f>ABS(Escenario2!BN71-Escenario2!BN70)</f>
        <v>7.509524532369749E-4</v>
      </c>
      <c r="BF70" s="151"/>
    </row>
    <row r="71" spans="2:58">
      <c r="B71" s="11"/>
      <c r="C71" s="173"/>
      <c r="D71" s="173"/>
      <c r="E71" s="173"/>
      <c r="F71" s="173"/>
      <c r="G71" s="173"/>
      <c r="H71" s="173"/>
      <c r="I71" s="173"/>
      <c r="J71" s="173"/>
      <c r="K71" s="173"/>
      <c r="L71" s="173"/>
      <c r="M71" s="173"/>
      <c r="N71" s="173"/>
      <c r="O71" s="173"/>
      <c r="P71" s="173"/>
      <c r="Q71" s="151"/>
      <c r="Y71" s="152"/>
      <c r="Z71" s="183">
        <f>(LíneaBase!C72-0.44)/(MAX(LíneaBase!C:C)+0.12)*100</f>
        <v>8.9793458609543642</v>
      </c>
      <c r="AA71" s="184"/>
      <c r="AB71" s="182">
        <f>LíneaBase!L122</f>
        <v>2.0927104196115405</v>
      </c>
      <c r="AC71" s="184"/>
      <c r="AD71" s="182">
        <f>Escenario1!BN432</f>
        <v>1.7155219606693655</v>
      </c>
      <c r="AE71" s="184"/>
      <c r="AF71" s="182">
        <f>Escenario2!BN477</f>
        <v>1.1658443690580893</v>
      </c>
      <c r="AG71" s="184"/>
      <c r="AH71" s="182">
        <f>LíneaBase!N663</f>
        <v>2.8767083000789347E-3</v>
      </c>
      <c r="AI71" s="184"/>
      <c r="AJ71" s="182">
        <f>Escenario1!BP458</f>
        <v>0</v>
      </c>
      <c r="AK71" s="184"/>
      <c r="AL71" s="182">
        <f>Escenario2!BP663</f>
        <v>0</v>
      </c>
      <c r="AM71" s="151"/>
      <c r="BA71" s="152"/>
      <c r="BB71" s="75">
        <v>66</v>
      </c>
      <c r="BC71" s="190">
        <f>ABS(LíneaBase!L72-LíneaBase!L71)</f>
        <v>0.16002604087593353</v>
      </c>
      <c r="BD71" s="190">
        <f>ABS(Escenario1!BN72-Escenario1!BN71)</f>
        <v>8.6041215055867148E-2</v>
      </c>
      <c r="BE71" s="190">
        <f>ABS(Escenario2!BN72-Escenario2!BN71)</f>
        <v>7.3947395945461736E-4</v>
      </c>
      <c r="BF71" s="151"/>
    </row>
    <row r="72" spans="2:58">
      <c r="B72" s="11"/>
      <c r="C72" s="173"/>
      <c r="D72" s="173"/>
      <c r="E72" s="173"/>
      <c r="F72" s="173"/>
      <c r="G72" s="173"/>
      <c r="H72" s="173"/>
      <c r="I72" s="173"/>
      <c r="J72" s="173"/>
      <c r="K72" s="173"/>
      <c r="L72" s="173"/>
      <c r="M72" s="173"/>
      <c r="N72" s="173"/>
      <c r="O72" s="173"/>
      <c r="P72" s="173"/>
      <c r="Q72" s="151"/>
      <c r="Y72" s="152"/>
      <c r="Z72" s="183">
        <f>(LíneaBase!C73-0.44)/(MAX(LíneaBase!C:C)+0.12)*100</f>
        <v>9.1163096477291408</v>
      </c>
      <c r="AA72" s="184"/>
      <c r="AB72" s="182">
        <f>LíneaBase!L695</f>
        <v>2.0910362646645466</v>
      </c>
      <c r="AC72" s="184"/>
      <c r="AD72" s="182">
        <f>Escenario1!BN431</f>
        <v>1.7050390297680327</v>
      </c>
      <c r="AE72" s="184"/>
      <c r="AF72" s="182">
        <f>Escenario2!BN122</f>
        <v>1.1637802430053334</v>
      </c>
      <c r="AG72" s="184"/>
      <c r="AH72" s="182">
        <f>LíneaBase!N356</f>
        <v>2.2856346590405343E-3</v>
      </c>
      <c r="AI72" s="184"/>
      <c r="AJ72" s="182">
        <f>Escenario1!BP159</f>
        <v>0</v>
      </c>
      <c r="AK72" s="184"/>
      <c r="AL72" s="182">
        <f>Escenario2!BP356</f>
        <v>0</v>
      </c>
      <c r="AM72" s="151"/>
      <c r="BA72" s="152"/>
      <c r="BB72" s="75">
        <v>67</v>
      </c>
      <c r="BC72" s="190">
        <f>ABS(LíneaBase!L73-LíneaBase!L72)</f>
        <v>9.5386879663954698</v>
      </c>
      <c r="BD72" s="190">
        <f>ABS(Escenario1!BN73-Escenario1!BN72)</f>
        <v>0.61868636978777913</v>
      </c>
      <c r="BE72" s="190">
        <f>ABS(Escenario2!BN73-Escenario2!BN72)</f>
        <v>7.9282384134737871E-3</v>
      </c>
      <c r="BF72" s="151"/>
    </row>
    <row r="73" spans="2:58">
      <c r="B73" s="11"/>
      <c r="C73" s="173"/>
      <c r="D73" s="173"/>
      <c r="E73" s="173"/>
      <c r="F73" s="173"/>
      <c r="G73" s="173"/>
      <c r="H73" s="173"/>
      <c r="I73" s="173"/>
      <c r="J73" s="173"/>
      <c r="K73" s="173"/>
      <c r="L73" s="173"/>
      <c r="M73" s="173"/>
      <c r="N73" s="173"/>
      <c r="O73" s="173"/>
      <c r="P73" s="173"/>
      <c r="Q73" s="151"/>
      <c r="Y73" s="152"/>
      <c r="Z73" s="183">
        <f>(LíneaBase!C74-0.44)/(MAX(LíneaBase!C:C)+0.12)*100</f>
        <v>9.2532734345039174</v>
      </c>
      <c r="AA73" s="184"/>
      <c r="AB73" s="182">
        <f>LíneaBase!L330</f>
        <v>2.088389906478973</v>
      </c>
      <c r="AC73" s="184"/>
      <c r="AD73" s="182">
        <f>Escenario1!BN65</f>
        <v>1.7015414527067829</v>
      </c>
      <c r="AE73" s="184"/>
      <c r="AF73" s="182">
        <f>Escenario2!BN123</f>
        <v>1.1618393186185509</v>
      </c>
      <c r="AG73" s="184"/>
      <c r="AH73" s="182">
        <f>LíneaBase!N721</f>
        <v>2.2856346590405343E-3</v>
      </c>
      <c r="AI73" s="184"/>
      <c r="AJ73" s="182">
        <f>Escenario1!BP524</f>
        <v>0</v>
      </c>
      <c r="AK73" s="184"/>
      <c r="AL73" s="182">
        <f>Escenario2!BP721</f>
        <v>0</v>
      </c>
      <c r="AM73" s="151"/>
      <c r="BA73" s="152"/>
      <c r="BB73" s="75">
        <v>68</v>
      </c>
      <c r="BC73" s="190">
        <f>ABS(LíneaBase!L74-LíneaBase!L73)</f>
        <v>8.9230769509132521</v>
      </c>
      <c r="BD73" s="190">
        <f>ABS(Escenario1!BN74-Escenario1!BN73)</f>
        <v>4.2622144489340208E-2</v>
      </c>
      <c r="BE73" s="190">
        <f>ABS(Escenario2!BN74-Escenario2!BN73)</f>
        <v>7.0807452047270125E-3</v>
      </c>
      <c r="BF73" s="151"/>
    </row>
    <row r="74" spans="2:58">
      <c r="B74" s="11"/>
      <c r="C74" s="173"/>
      <c r="D74" s="173"/>
      <c r="E74" s="173"/>
      <c r="F74" s="173"/>
      <c r="G74" s="173"/>
      <c r="H74" s="173"/>
      <c r="I74" s="173"/>
      <c r="J74" s="173"/>
      <c r="K74" s="173"/>
      <c r="L74" s="173"/>
      <c r="M74" s="173"/>
      <c r="N74" s="173"/>
      <c r="O74" s="173"/>
      <c r="P74" s="173"/>
      <c r="Q74" s="151"/>
      <c r="Y74" s="152"/>
      <c r="Z74" s="183">
        <f>(LíneaBase!C75-0.44)/(MAX(LíneaBase!C:C)+0.12)*100</f>
        <v>9.390237221278694</v>
      </c>
      <c r="AA74" s="184"/>
      <c r="AB74" s="182">
        <f>LíneaBase!L451</f>
        <v>2.0272510342169747</v>
      </c>
      <c r="AC74" s="184"/>
      <c r="AD74" s="182">
        <f>Escenario1!BN420</f>
        <v>1.6976167909989033</v>
      </c>
      <c r="AE74" s="184"/>
      <c r="AF74" s="182">
        <f>Escenario2!BN80</f>
        <v>1.1582619190552146</v>
      </c>
      <c r="AG74" s="184"/>
      <c r="AH74" s="182">
        <f>LíneaBase!N25</f>
        <v>2.1514870737036175E-3</v>
      </c>
      <c r="AI74" s="184"/>
      <c r="AJ74" s="182">
        <f>Escenario1!BP11</f>
        <v>0</v>
      </c>
      <c r="AK74" s="184"/>
      <c r="AL74" s="182">
        <f>Escenario2!BP25</f>
        <v>0</v>
      </c>
      <c r="AM74" s="151"/>
      <c r="BA74" s="152"/>
      <c r="BB74" s="75">
        <v>69</v>
      </c>
      <c r="BC74" s="190">
        <f>ABS(LíneaBase!L75-LíneaBase!L74)</f>
        <v>1.1786850538463214</v>
      </c>
      <c r="BD74" s="190">
        <f>ABS(Escenario1!BN75-Escenario1!BN74)</f>
        <v>9.2088708938659281E-2</v>
      </c>
      <c r="BE74" s="190">
        <f>ABS(Escenario2!BN75-Escenario2!BN74)</f>
        <v>8.3249277716874737E-3</v>
      </c>
      <c r="BF74" s="151"/>
    </row>
    <row r="75" spans="2:58">
      <c r="B75" s="11"/>
      <c r="C75" s="173"/>
      <c r="D75" s="173"/>
      <c r="E75" s="173"/>
      <c r="F75" s="173"/>
      <c r="G75" s="173"/>
      <c r="H75" s="173"/>
      <c r="I75" s="173"/>
      <c r="J75" s="173"/>
      <c r="K75" s="173"/>
      <c r="L75" s="173"/>
      <c r="M75" s="173"/>
      <c r="N75" s="173"/>
      <c r="O75" s="173"/>
      <c r="P75" s="173"/>
      <c r="Q75" s="151"/>
      <c r="Y75" s="152"/>
      <c r="Z75" s="183">
        <f>(LíneaBase!C76-0.44)/(MAX(LíneaBase!C:C)+0.12)*100</f>
        <v>9.5272010080534706</v>
      </c>
      <c r="AA75" s="184"/>
      <c r="AB75" s="182">
        <f>LíneaBase!L424</f>
        <v>2.0127528816919891</v>
      </c>
      <c r="AC75" s="184"/>
      <c r="AD75" s="182">
        <f>Escenario1!BN394</f>
        <v>1.6893127678818574</v>
      </c>
      <c r="AE75" s="184"/>
      <c r="AF75" s="182">
        <f>Escenario2!BN443</f>
        <v>1.1578775232947667</v>
      </c>
      <c r="AG75" s="184"/>
      <c r="AH75" s="182">
        <f>LíneaBase!N390</f>
        <v>2.1514870737036175E-3</v>
      </c>
      <c r="AI75" s="184"/>
      <c r="AJ75" s="182">
        <f>Escenario1!BP376</f>
        <v>0</v>
      </c>
      <c r="AK75" s="184"/>
      <c r="AL75" s="182">
        <f>Escenario2!BP390</f>
        <v>0</v>
      </c>
      <c r="AM75" s="151"/>
      <c r="BA75" s="152"/>
      <c r="BB75" s="75">
        <v>70</v>
      </c>
      <c r="BC75" s="190">
        <f>ABS(LíneaBase!L76-LíneaBase!L75)</f>
        <v>1.030858537899479</v>
      </c>
      <c r="BD75" s="190">
        <f>ABS(Escenario1!BN76-Escenario1!BN75)</f>
        <v>1.2747842270564025E-2</v>
      </c>
      <c r="BE75" s="190">
        <f>ABS(Escenario2!BN76-Escenario2!BN75)</f>
        <v>8.4387976342523707E-3</v>
      </c>
      <c r="BF75" s="151"/>
    </row>
    <row r="76" spans="2:58">
      <c r="B76" s="11"/>
      <c r="C76" s="173"/>
      <c r="D76" s="173"/>
      <c r="E76" s="173"/>
      <c r="F76" s="173"/>
      <c r="G76" s="173"/>
      <c r="H76" s="173"/>
      <c r="I76" s="173"/>
      <c r="J76" s="173"/>
      <c r="K76" s="173"/>
      <c r="L76" s="173"/>
      <c r="M76" s="173"/>
      <c r="N76" s="173"/>
      <c r="O76" s="173"/>
      <c r="P76" s="173"/>
      <c r="Q76" s="151"/>
      <c r="Y76" s="152"/>
      <c r="Z76" s="183">
        <f>(LíneaBase!C77-0.44)/(MAX(LíneaBase!C:C)+0.12)*100</f>
        <v>9.6641647948282472</v>
      </c>
      <c r="AA76" s="184"/>
      <c r="AB76" s="182">
        <f>LíneaBase!L439</f>
        <v>2.0022449601372356</v>
      </c>
      <c r="AC76" s="184"/>
      <c r="AD76" s="182">
        <f>Escenario1!BN92</f>
        <v>1.6678397320730884</v>
      </c>
      <c r="AE76" s="184"/>
      <c r="AF76" s="182">
        <f>Escenario2!BN124</f>
        <v>1.1572739048141847</v>
      </c>
      <c r="AG76" s="184"/>
      <c r="AH76" s="182">
        <f>LíneaBase!N335</f>
        <v>1.7801107591504911E-3</v>
      </c>
      <c r="AI76" s="184"/>
      <c r="AJ76" s="182">
        <f>Escenario1!BP326</f>
        <v>0</v>
      </c>
      <c r="AK76" s="184"/>
      <c r="AL76" s="182">
        <f>Escenario2!BP335</f>
        <v>0</v>
      </c>
      <c r="AM76" s="151"/>
      <c r="BA76" s="152"/>
      <c r="BB76" s="75">
        <v>71</v>
      </c>
      <c r="BC76" s="190">
        <f>ABS(LíneaBase!L77-LíneaBase!L76)</f>
        <v>3.1163054237341292</v>
      </c>
      <c r="BD76" s="190">
        <f>ABS(Escenario1!BN77-Escenario1!BN76)</f>
        <v>0.12978222400654627</v>
      </c>
      <c r="BE76" s="190">
        <f>ABS(Escenario2!BN77-Escenario2!BN76)</f>
        <v>1.0320555954869359E-2</v>
      </c>
      <c r="BF76" s="151"/>
    </row>
    <row r="77" spans="2:58">
      <c r="B77" s="11"/>
      <c r="C77" s="173"/>
      <c r="D77" s="173"/>
      <c r="E77" s="173"/>
      <c r="F77" s="173"/>
      <c r="G77" s="173"/>
      <c r="H77" s="173"/>
      <c r="I77" s="173"/>
      <c r="J77" s="173"/>
      <c r="K77" s="173"/>
      <c r="L77" s="173"/>
      <c r="M77" s="173"/>
      <c r="N77" s="173"/>
      <c r="O77" s="173"/>
      <c r="P77" s="173"/>
      <c r="Q77" s="151"/>
      <c r="Y77" s="152"/>
      <c r="Z77" s="183">
        <f>(LíneaBase!C78-0.44)/(MAX(LíneaBase!C:C)+0.12)*100</f>
        <v>9.8011285816030238</v>
      </c>
      <c r="AA77" s="184"/>
      <c r="AB77" s="182">
        <f>LíneaBase!L86</f>
        <v>1.9976059163052433</v>
      </c>
      <c r="AC77" s="184"/>
      <c r="AD77" s="182">
        <f>Escenario1!BN395</f>
        <v>1.6607030922444244</v>
      </c>
      <c r="AE77" s="184"/>
      <c r="AF77" s="182">
        <f>Escenario2!BN478</f>
        <v>1.1533079889853184</v>
      </c>
      <c r="AG77" s="184"/>
      <c r="AH77" s="182">
        <f>LíneaBase!N700</f>
        <v>1.7801107591504911E-3</v>
      </c>
      <c r="AI77" s="184"/>
      <c r="AJ77" s="182">
        <f>Escenario1!BP691</f>
        <v>0</v>
      </c>
      <c r="AK77" s="184"/>
      <c r="AL77" s="182">
        <f>Escenario2!BP700</f>
        <v>0</v>
      </c>
      <c r="AM77" s="151"/>
      <c r="BA77" s="152"/>
      <c r="BB77" s="75">
        <v>72</v>
      </c>
      <c r="BC77" s="190">
        <f>ABS(LíneaBase!L78-LíneaBase!L77)</f>
        <v>2.6880506126590111</v>
      </c>
      <c r="BD77" s="190">
        <f>ABS(Escenario1!BN78-Escenario1!BN77)</f>
        <v>3.7551183728672388E-2</v>
      </c>
      <c r="BE77" s="190">
        <f>ABS(Escenario2!BN78-Escenario2!BN77)</f>
        <v>1.070264131771137E-2</v>
      </c>
      <c r="BF77" s="151"/>
    </row>
    <row r="78" spans="2:58">
      <c r="B78" s="11"/>
      <c r="C78" s="173"/>
      <c r="D78" s="173"/>
      <c r="E78" s="173"/>
      <c r="F78" s="173"/>
      <c r="G78" s="173"/>
      <c r="H78" s="173"/>
      <c r="I78" s="173"/>
      <c r="J78" s="173"/>
      <c r="K78" s="173"/>
      <c r="L78" s="173"/>
      <c r="M78" s="173"/>
      <c r="N78" s="173"/>
      <c r="O78" s="173"/>
      <c r="P78" s="173"/>
      <c r="Q78" s="151"/>
      <c r="Y78" s="152"/>
      <c r="Z78" s="183">
        <f>(LíneaBase!C79-0.44)/(MAX(LíneaBase!C:C)+0.12)*100</f>
        <v>9.9380923683778022</v>
      </c>
      <c r="AA78" s="184"/>
      <c r="AB78" s="182">
        <f>LíneaBase!L427</f>
        <v>1.9926677523432998</v>
      </c>
      <c r="AC78" s="184"/>
      <c r="AD78" s="182">
        <f>Escenario1!BN412</f>
        <v>1.6529606185334711</v>
      </c>
      <c r="AE78" s="184"/>
      <c r="AF78" s="182">
        <f>Escenario2!BN79</f>
        <v>1.1477323797555929</v>
      </c>
      <c r="AG78" s="184"/>
      <c r="AH78" s="182">
        <f>LíneaBase!N331</f>
        <v>1.0817353202258308E-3</v>
      </c>
      <c r="AI78" s="184"/>
      <c r="AJ78" s="182">
        <f>Escenario1!BP61</f>
        <v>0</v>
      </c>
      <c r="AK78" s="184"/>
      <c r="AL78" s="182">
        <f>Escenario2!BP331</f>
        <v>0</v>
      </c>
      <c r="AM78" s="151"/>
      <c r="BA78" s="152"/>
      <c r="BB78" s="75">
        <v>73</v>
      </c>
      <c r="BC78" s="190">
        <f>ABS(LíneaBase!L79-LíneaBase!L78)</f>
        <v>0.30907768443599259</v>
      </c>
      <c r="BD78" s="190">
        <f>ABS(Escenario1!BN79-Escenario1!BN78)</f>
        <v>4.7520200136292878E-3</v>
      </c>
      <c r="BE78" s="190">
        <f>ABS(Escenario2!BN79-Escenario2!BN78)</f>
        <v>1.0497667611492956E-2</v>
      </c>
      <c r="BF78" s="151"/>
    </row>
    <row r="79" spans="2:58">
      <c r="B79" s="11"/>
      <c r="C79" s="173"/>
      <c r="D79" s="173"/>
      <c r="E79" s="173"/>
      <c r="F79" s="173"/>
      <c r="G79" s="173"/>
      <c r="H79" s="173"/>
      <c r="I79" s="173"/>
      <c r="J79" s="173"/>
      <c r="K79" s="173"/>
      <c r="L79" s="173"/>
      <c r="M79" s="173"/>
      <c r="N79" s="173"/>
      <c r="O79" s="173"/>
      <c r="P79" s="173"/>
      <c r="Q79" s="151"/>
      <c r="Y79" s="152"/>
      <c r="Z79" s="183">
        <f>(LíneaBase!C80-0.44)/(MAX(LíneaBase!C:C)+0.12)*100</f>
        <v>10.075056155152579</v>
      </c>
      <c r="AA79" s="184"/>
      <c r="AB79" s="182">
        <f>LíneaBase!L452</f>
        <v>1.9780212311591701</v>
      </c>
      <c r="AC79" s="184"/>
      <c r="AD79" s="182">
        <f>Escenario1!BN418</f>
        <v>1.6508110752581076</v>
      </c>
      <c r="AE79" s="184"/>
      <c r="AF79" s="182">
        <f>Escenario2!BN442</f>
        <v>1.1467185465892515</v>
      </c>
      <c r="AG79" s="184"/>
      <c r="AH79" s="182">
        <f>LíneaBase!N696</f>
        <v>1.0817353202258308E-3</v>
      </c>
      <c r="AI79" s="184"/>
      <c r="AJ79" s="182">
        <f>Escenario1!BP23</f>
        <v>0</v>
      </c>
      <c r="AK79" s="184"/>
      <c r="AL79" s="182">
        <f>Escenario2!BP696</f>
        <v>0</v>
      </c>
      <c r="AM79" s="151"/>
      <c r="BA79" s="152"/>
      <c r="BB79" s="75">
        <v>74</v>
      </c>
      <c r="BC79" s="190">
        <f>ABS(LíneaBase!L80-LíneaBase!L79)</f>
        <v>6.4003754981873939E-2</v>
      </c>
      <c r="BD79" s="190">
        <f>ABS(Escenario1!BN80-Escenario1!BN79)</f>
        <v>1.2283972756967465E-2</v>
      </c>
      <c r="BE79" s="190">
        <f>ABS(Escenario2!BN80-Escenario2!BN79)</f>
        <v>1.0529539299621637E-2</v>
      </c>
      <c r="BF79" s="151"/>
    </row>
    <row r="80" spans="2:58">
      <c r="B80" s="11"/>
      <c r="C80" s="173"/>
      <c r="D80" s="173"/>
      <c r="E80" s="173"/>
      <c r="F80" s="173"/>
      <c r="G80" s="173"/>
      <c r="H80" s="173"/>
      <c r="I80" s="173"/>
      <c r="J80" s="173"/>
      <c r="K80" s="173"/>
      <c r="L80" s="173"/>
      <c r="M80" s="173"/>
      <c r="N80" s="173"/>
      <c r="O80" s="173"/>
      <c r="P80" s="173"/>
      <c r="Q80" s="151"/>
      <c r="Y80" s="152"/>
      <c r="Z80" s="183">
        <f>(LíneaBase!C81-0.44)/(MAX(LíneaBase!C:C)+0.12)*100</f>
        <v>10.212019941927354</v>
      </c>
      <c r="AA80" s="184"/>
      <c r="AB80" s="182">
        <f>LíneaBase!L59</f>
        <v>1.9740213428903668</v>
      </c>
      <c r="AC80" s="184"/>
      <c r="AD80" s="182">
        <f>Escenario1!BN97</f>
        <v>1.6445539542677303</v>
      </c>
      <c r="AE80" s="184"/>
      <c r="AF80" s="182">
        <f>Escenario2!BN479</f>
        <v>1.1452130484993832</v>
      </c>
      <c r="AG80" s="184"/>
      <c r="AH80" s="182">
        <f>LíneaBase!N59</f>
        <v>9.9969331054046494E-4</v>
      </c>
      <c r="AI80" s="184"/>
      <c r="AJ80" s="182">
        <f>Escenario1!BP388</f>
        <v>0</v>
      </c>
      <c r="AK80" s="184"/>
      <c r="AL80" s="182">
        <f>Escenario2!BP59</f>
        <v>0</v>
      </c>
      <c r="AM80" s="151"/>
      <c r="BA80" s="152"/>
      <c r="BB80" s="75">
        <v>75</v>
      </c>
      <c r="BC80" s="190">
        <f>ABS(LíneaBase!L81-LíneaBase!L80)</f>
        <v>2.5159387432890696</v>
      </c>
      <c r="BD80" s="190">
        <f>ABS(Escenario1!BN81-Escenario1!BN80)</f>
        <v>0.11595749172891745</v>
      </c>
      <c r="BE80" s="190">
        <f>ABS(Escenario2!BN81-Escenario2!BN80)</f>
        <v>1.2133418812131813E-2</v>
      </c>
      <c r="BF80" s="151"/>
    </row>
    <row r="81" spans="2:58">
      <c r="B81" s="11"/>
      <c r="C81" s="173"/>
      <c r="D81" s="173"/>
      <c r="E81" s="173"/>
      <c r="F81" s="173"/>
      <c r="G81" s="173"/>
      <c r="H81" s="173"/>
      <c r="I81" s="173"/>
      <c r="J81" s="173"/>
      <c r="K81" s="173"/>
      <c r="L81" s="173"/>
      <c r="M81" s="173"/>
      <c r="N81" s="173"/>
      <c r="O81" s="173"/>
      <c r="P81" s="173"/>
      <c r="Q81" s="151"/>
      <c r="Y81" s="152"/>
      <c r="Z81" s="183">
        <f>(LíneaBase!C82-0.44)/(MAX(LíneaBase!C:C)+0.12)*100</f>
        <v>10.34898372870213</v>
      </c>
      <c r="AA81" s="184"/>
      <c r="AB81" s="182">
        <f>LíneaBase!L74</f>
        <v>1.9688594263651642</v>
      </c>
      <c r="AC81" s="184"/>
      <c r="AD81" s="182">
        <f>Escenario1!BN463</f>
        <v>1.6352529987548987</v>
      </c>
      <c r="AE81" s="184"/>
      <c r="AF81" s="182">
        <f>Escenario2!BN110</f>
        <v>1.1379491578352405</v>
      </c>
      <c r="AG81" s="184"/>
      <c r="AH81" s="182">
        <f>LíneaBase!N424</f>
        <v>9.9969331054046494E-4</v>
      </c>
      <c r="AI81" s="184"/>
      <c r="AJ81" s="182">
        <f>Escenario1!BP298</f>
        <v>0</v>
      </c>
      <c r="AK81" s="184"/>
      <c r="AL81" s="182">
        <f>Escenario2!BP424</f>
        <v>0</v>
      </c>
      <c r="AM81" s="151"/>
      <c r="BA81" s="152"/>
      <c r="BB81" s="75">
        <v>76</v>
      </c>
      <c r="BC81" s="190">
        <f>ABS(LíneaBase!L82-LíneaBase!L81)</f>
        <v>2.5654549521840866</v>
      </c>
      <c r="BD81" s="190">
        <f>ABS(Escenario1!BN82-Escenario1!BN81)</f>
        <v>9.8584536750509599E-2</v>
      </c>
      <c r="BE81" s="190">
        <f>ABS(Escenario2!BN82-Escenario2!BN81)</f>
        <v>1.0284162377564687E-2</v>
      </c>
      <c r="BF81" s="151"/>
    </row>
    <row r="82" spans="2:58">
      <c r="B82" s="11"/>
      <c r="C82" s="173"/>
      <c r="D82" s="173"/>
      <c r="E82" s="173"/>
      <c r="F82" s="173"/>
      <c r="G82" s="173"/>
      <c r="H82" s="173"/>
      <c r="I82" s="173"/>
      <c r="J82" s="173"/>
      <c r="K82" s="173"/>
      <c r="L82" s="173"/>
      <c r="M82" s="173"/>
      <c r="N82" s="173"/>
      <c r="O82" s="173"/>
      <c r="P82" s="173"/>
      <c r="Q82" s="151"/>
      <c r="Y82" s="152"/>
      <c r="Z82" s="183">
        <f>(LíneaBase!C83-0.44)/(MAX(LíneaBase!C:C)+0.12)*100</f>
        <v>10.485947515476909</v>
      </c>
      <c r="AA82" s="184"/>
      <c r="AB82" s="182">
        <f>LíneaBase!L376</f>
        <v>1.9627495195022959</v>
      </c>
      <c r="AC82" s="184"/>
      <c r="AD82" s="182">
        <f>Escenario1!BN433</f>
        <v>1.6236029938875722</v>
      </c>
      <c r="AE82" s="184"/>
      <c r="AF82" s="182">
        <f>Escenario2!BN78</f>
        <v>1.1372347121441</v>
      </c>
      <c r="AG82" s="184"/>
      <c r="AH82" s="182">
        <f>LíneaBase!N208</f>
        <v>9.2177709115104616E-4</v>
      </c>
      <c r="AI82" s="184"/>
      <c r="AJ82" s="182">
        <f>Escenario1!BP663</f>
        <v>0</v>
      </c>
      <c r="AK82" s="184"/>
      <c r="AL82" s="182">
        <f>Escenario2!BP208</f>
        <v>0</v>
      </c>
      <c r="AM82" s="151"/>
      <c r="BA82" s="152"/>
      <c r="BB82" s="75">
        <v>77</v>
      </c>
      <c r="BC82" s="190">
        <f>ABS(LíneaBase!L83-LíneaBase!L82)</f>
        <v>4.26777073824125E-2</v>
      </c>
      <c r="BD82" s="190">
        <f>ABS(Escenario1!BN83-Escenario1!BN82)</f>
        <v>3.7222292669453427E-2</v>
      </c>
      <c r="BE82" s="190">
        <f>ABS(Escenario2!BN83-Escenario2!BN82)</f>
        <v>9.3159372776643323E-3</v>
      </c>
      <c r="BF82" s="151"/>
    </row>
    <row r="83" spans="2:58">
      <c r="B83" s="11"/>
      <c r="C83" s="173"/>
      <c r="D83" s="173"/>
      <c r="E83" s="173"/>
      <c r="F83" s="173"/>
      <c r="G83" s="173"/>
      <c r="H83" s="173"/>
      <c r="I83" s="173"/>
      <c r="J83" s="173"/>
      <c r="K83" s="173"/>
      <c r="L83" s="173"/>
      <c r="M83" s="173"/>
      <c r="N83" s="173"/>
      <c r="O83" s="173"/>
      <c r="P83" s="173"/>
      <c r="Q83" s="151"/>
      <c r="Y83" s="152"/>
      <c r="Z83" s="183">
        <f>(LíneaBase!C84-0.44)/(MAX(LíneaBase!C:C)+0.12)*100</f>
        <v>10.622911302251685</v>
      </c>
      <c r="AA83" s="184"/>
      <c r="AB83" s="182">
        <f>LíneaBase!L62</f>
        <v>1.9550698629179706</v>
      </c>
      <c r="AC83" s="184"/>
      <c r="AD83" s="182">
        <f>Escenario1!BN67</f>
        <v>1.6187608944412235</v>
      </c>
      <c r="AE83" s="184"/>
      <c r="AF83" s="182">
        <f>Escenario2!BN441</f>
        <v>1.1359268857976021</v>
      </c>
      <c r="AG83" s="184"/>
      <c r="AH83" s="182">
        <f>LíneaBase!N573</f>
        <v>9.2177709115104616E-4</v>
      </c>
      <c r="AI83" s="184"/>
      <c r="AJ83" s="182">
        <f>Escenario1!BP356</f>
        <v>0</v>
      </c>
      <c r="AK83" s="184"/>
      <c r="AL83" s="182">
        <f>Escenario2!BP573</f>
        <v>0</v>
      </c>
      <c r="AM83" s="151"/>
      <c r="BA83" s="152"/>
      <c r="BB83" s="75">
        <v>78</v>
      </c>
      <c r="BC83" s="190">
        <f>ABS(LíneaBase!L84-LíneaBase!L83)</f>
        <v>0.11026368418977794</v>
      </c>
      <c r="BD83" s="190">
        <f>ABS(Escenario1!BN84-Escenario1!BN83)</f>
        <v>9.6721562711720832E-2</v>
      </c>
      <c r="BE83" s="190">
        <f>ABS(Escenario2!BN84-Escenario2!BN83)</f>
        <v>7.5145231450817196E-3</v>
      </c>
      <c r="BF83" s="151"/>
    </row>
    <row r="84" spans="2:58">
      <c r="B84" s="11"/>
      <c r="C84" s="173"/>
      <c r="D84" s="173"/>
      <c r="E84" s="173"/>
      <c r="F84" s="173"/>
      <c r="G84" s="173"/>
      <c r="H84" s="173"/>
      <c r="I84" s="173"/>
      <c r="J84" s="173"/>
      <c r="K84" s="173"/>
      <c r="L84" s="173"/>
      <c r="M84" s="173"/>
      <c r="N84" s="173"/>
      <c r="O84" s="173"/>
      <c r="P84" s="173"/>
      <c r="Q84" s="151"/>
      <c r="Y84" s="152"/>
      <c r="Z84" s="183">
        <f>(LíneaBase!C85-0.44)/(MAX(LíneaBase!C:C)+0.12)*100</f>
        <v>10.759875089026462</v>
      </c>
      <c r="AA84" s="184"/>
      <c r="AB84" s="182">
        <f>LíneaBase!L453</f>
        <v>1.9530449793283979</v>
      </c>
      <c r="AC84" s="184"/>
      <c r="AD84" s="182">
        <f>Escenario1!BN436</f>
        <v>1.6126506497754944</v>
      </c>
      <c r="AE84" s="184"/>
      <c r="AF84" s="182">
        <f>Escenario2!BN480</f>
        <v>1.1325715538818648</v>
      </c>
      <c r="AG84" s="184"/>
      <c r="AH84" s="182">
        <f>LíneaBase!N291</f>
        <v>6.493322917720003E-4</v>
      </c>
      <c r="AI84" s="184"/>
      <c r="AJ84" s="182">
        <f>Escenario1!BP721</f>
        <v>0</v>
      </c>
      <c r="AK84" s="184"/>
      <c r="AL84" s="182">
        <f>Escenario2!BP291</f>
        <v>0</v>
      </c>
      <c r="AM84" s="151"/>
      <c r="BA84" s="152"/>
      <c r="BB84" s="75">
        <v>79</v>
      </c>
      <c r="BC84" s="190">
        <f>ABS(LíneaBase!L85-LíneaBase!L84)</f>
        <v>1.0477390821948873E-2</v>
      </c>
      <c r="BD84" s="190">
        <f>ABS(Escenario1!BN85-Escenario1!BN84)</f>
        <v>9.5177595163158379E-3</v>
      </c>
      <c r="BE84" s="190">
        <f>ABS(Escenario2!BN85-Escenario2!BN84)</f>
        <v>7.4655974910744494E-3</v>
      </c>
      <c r="BF84" s="151"/>
    </row>
    <row r="85" spans="2:58">
      <c r="B85" s="11"/>
      <c r="C85" s="173"/>
      <c r="D85" s="173"/>
      <c r="E85" s="173"/>
      <c r="F85" s="173"/>
      <c r="G85" s="173"/>
      <c r="H85" s="173"/>
      <c r="I85" s="173"/>
      <c r="J85" s="173"/>
      <c r="K85" s="173"/>
      <c r="L85" s="173"/>
      <c r="M85" s="173"/>
      <c r="N85" s="173"/>
      <c r="O85" s="173"/>
      <c r="P85" s="173"/>
      <c r="Q85" s="151"/>
      <c r="Y85" s="152"/>
      <c r="Z85" s="183">
        <f>(LíneaBase!C86-0.44)/(MAX(LíneaBase!C:C)+0.12)*100</f>
        <v>10.896838875801238</v>
      </c>
      <c r="AA85" s="184"/>
      <c r="AB85" s="182">
        <f>LíneaBase!L87</f>
        <v>1.9486682136551399</v>
      </c>
      <c r="AC85" s="184"/>
      <c r="AD85" s="182">
        <f>Escenario1!BN434</f>
        <v>1.611618470100499</v>
      </c>
      <c r="AE85" s="184"/>
      <c r="AF85" s="182">
        <f>Escenario2!BN490</f>
        <v>1.1311615645946378</v>
      </c>
      <c r="AG85" s="184"/>
      <c r="AH85" s="182">
        <f>LíneaBase!N368</f>
        <v>6.493322917720003E-4</v>
      </c>
      <c r="AI85" s="184"/>
      <c r="AJ85" s="182">
        <f>Escenario1!BP25</f>
        <v>0</v>
      </c>
      <c r="AK85" s="184"/>
      <c r="AL85" s="182">
        <f>Escenario2!BP368</f>
        <v>0</v>
      </c>
      <c r="AM85" s="151"/>
      <c r="BA85" s="152"/>
      <c r="BB85" s="75">
        <v>80</v>
      </c>
      <c r="BC85" s="190">
        <f>ABS(LíneaBase!L86-LíneaBase!L85)</f>
        <v>0.11028069798250417</v>
      </c>
      <c r="BD85" s="190">
        <f>ABS(Escenario1!BN86-Escenario1!BN85)</f>
        <v>9.6779156579598347E-2</v>
      </c>
      <c r="BE85" s="190">
        <f>ABS(Escenario2!BN86-Escenario2!BN85)</f>
        <v>5.850478913305146E-3</v>
      </c>
      <c r="BF85" s="151"/>
    </row>
    <row r="86" spans="2:58">
      <c r="B86" s="11"/>
      <c r="C86" s="173"/>
      <c r="D86" s="173"/>
      <c r="E86" s="173"/>
      <c r="F86" s="173"/>
      <c r="G86" s="173"/>
      <c r="H86" s="173"/>
      <c r="I86" s="173"/>
      <c r="J86" s="173"/>
      <c r="K86" s="173"/>
      <c r="L86" s="173"/>
      <c r="M86" s="173"/>
      <c r="N86" s="173"/>
      <c r="O86" s="173"/>
      <c r="P86" s="173"/>
      <c r="Q86" s="151"/>
      <c r="Y86" s="152"/>
      <c r="Z86" s="183">
        <f>(LíneaBase!C87-0.44)/(MAX(LíneaBase!C:C)+0.12)*100</f>
        <v>11.033802662576015</v>
      </c>
      <c r="AA86" s="184"/>
      <c r="AB86" s="182">
        <f>LíneaBase!L88</f>
        <v>1.9239811840971788</v>
      </c>
      <c r="AC86" s="184"/>
      <c r="AD86" s="182">
        <f>Escenario1!BN66</f>
        <v>1.6073635346733324</v>
      </c>
      <c r="AE86" s="184"/>
      <c r="AF86" s="182">
        <f>Escenario2!BN440</f>
        <v>1.1270019104631375</v>
      </c>
      <c r="AG86" s="184"/>
      <c r="AH86" s="182">
        <f>LíneaBase!N656</f>
        <v>6.493322917720003E-4</v>
      </c>
      <c r="AI86" s="184"/>
      <c r="AJ86" s="182">
        <f>Escenario1!BP390</f>
        <v>0</v>
      </c>
      <c r="AK86" s="184"/>
      <c r="AL86" s="182">
        <f>Escenario2!BP656</f>
        <v>0</v>
      </c>
      <c r="AM86" s="151"/>
      <c r="BA86" s="152"/>
      <c r="BB86" s="75">
        <v>81</v>
      </c>
      <c r="BC86" s="190">
        <f>ABS(LíneaBase!L87-LíneaBase!L86)</f>
        <v>4.8937702650103443E-2</v>
      </c>
      <c r="BD86" s="190">
        <f>ABS(Escenario1!BN87-Escenario1!BN86)</f>
        <v>4.2823593553384942E-2</v>
      </c>
      <c r="BE86" s="190">
        <f>ABS(Escenario2!BN87-Escenario2!BN86)</f>
        <v>4.9752616558831342E-3</v>
      </c>
      <c r="BF86" s="151"/>
    </row>
    <row r="87" spans="2:58">
      <c r="B87" s="11"/>
      <c r="C87" s="173"/>
      <c r="D87" s="173"/>
      <c r="E87" s="173"/>
      <c r="F87" s="173"/>
      <c r="G87" s="173"/>
      <c r="H87" s="173"/>
      <c r="I87" s="173"/>
      <c r="J87" s="173"/>
      <c r="K87" s="173"/>
      <c r="L87" s="173"/>
      <c r="M87" s="173"/>
      <c r="N87" s="173"/>
      <c r="O87" s="173"/>
      <c r="P87" s="173"/>
      <c r="Q87" s="151"/>
      <c r="Y87" s="152"/>
      <c r="Z87" s="183">
        <f>(LíneaBase!C88-0.44)/(MAX(LíneaBase!C:C)+0.12)*100</f>
        <v>11.170766449350792</v>
      </c>
      <c r="AA87" s="184"/>
      <c r="AB87" s="182">
        <f>LíneaBase!L11</f>
        <v>1.9004462758969225</v>
      </c>
      <c r="AC87" s="184"/>
      <c r="AD87" s="182">
        <f>Escenario1!BN383</f>
        <v>1.5936946338340183</v>
      </c>
      <c r="AE87" s="184"/>
      <c r="AF87" s="182">
        <f>Escenario2!BN77</f>
        <v>1.1265320708263886</v>
      </c>
      <c r="AG87" s="184"/>
      <c r="AH87" s="182">
        <f>LíneaBase!N733</f>
        <v>6.493322917720003E-4</v>
      </c>
      <c r="AI87" s="184"/>
      <c r="AJ87" s="182">
        <f>Escenario1!BP335</f>
        <v>0</v>
      </c>
      <c r="AK87" s="184"/>
      <c r="AL87" s="182">
        <f>Escenario2!BP733</f>
        <v>0</v>
      </c>
      <c r="AM87" s="151"/>
      <c r="BA87" s="152"/>
      <c r="BB87" s="75">
        <v>82</v>
      </c>
      <c r="BC87" s="190">
        <f>ABS(LíneaBase!L88-LíneaBase!L87)</f>
        <v>2.4687029557961093E-2</v>
      </c>
      <c r="BD87" s="190">
        <f>ABS(Escenario1!BN88-Escenario1!BN87)</f>
        <v>2.1515026351694999E-2</v>
      </c>
      <c r="BE87" s="190">
        <f>ABS(Escenario2!BN88-Escenario2!BN87)</f>
        <v>4.5594280172132073E-3</v>
      </c>
      <c r="BF87" s="151"/>
    </row>
    <row r="88" spans="2:58" ht="15" thickBot="1">
      <c r="B88" s="33"/>
      <c r="C88" s="155"/>
      <c r="D88" s="155"/>
      <c r="E88" s="155"/>
      <c r="F88" s="155"/>
      <c r="G88" s="155"/>
      <c r="H88" s="155"/>
      <c r="I88" s="155"/>
      <c r="J88" s="155"/>
      <c r="K88" s="155"/>
      <c r="L88" s="155"/>
      <c r="M88" s="155"/>
      <c r="N88" s="155"/>
      <c r="O88" s="155"/>
      <c r="P88" s="155"/>
      <c r="Q88" s="156"/>
      <c r="Y88" s="152"/>
      <c r="Z88" s="183">
        <f>(LíneaBase!C89-0.44)/(MAX(LíneaBase!C:C)+0.12)*100</f>
        <v>11.307730236125568</v>
      </c>
      <c r="AA88" s="184"/>
      <c r="AB88" s="182">
        <f>LíneaBase!L428</f>
        <v>1.8734174324641581</v>
      </c>
      <c r="AC88" s="184"/>
      <c r="AD88" s="182">
        <f>Escenario1!BN421</f>
        <v>1.5934650300502819</v>
      </c>
      <c r="AE88" s="184"/>
      <c r="AF88" s="182">
        <f>Escenario2!BN111</f>
        <v>1.1212390230544249</v>
      </c>
      <c r="AG88" s="184"/>
      <c r="AH88" s="182">
        <f>LíneaBase!N27</f>
        <v>5.9051688147181234E-4</v>
      </c>
      <c r="AI88" s="184"/>
      <c r="AJ88" s="182">
        <f>Escenario1!BP700</f>
        <v>0</v>
      </c>
      <c r="AK88" s="184"/>
      <c r="AL88" s="182">
        <f>Escenario2!BP27</f>
        <v>0</v>
      </c>
      <c r="AM88" s="151"/>
      <c r="BA88" s="152"/>
      <c r="BB88" s="75">
        <v>83</v>
      </c>
      <c r="BC88" s="190">
        <f>ABS(LíneaBase!L89-LíneaBase!L88)</f>
        <v>0.10411419620223072</v>
      </c>
      <c r="BD88" s="190">
        <f>ABS(Escenario1!BN89-Escenario1!BN88)</f>
        <v>9.1440139446313795E-2</v>
      </c>
      <c r="BE88" s="190">
        <f>ABS(Escenario2!BN89-Escenario2!BN88)</f>
        <v>2.8987495390586648E-3</v>
      </c>
      <c r="BF88" s="151"/>
    </row>
    <row r="89" spans="2:58">
      <c r="Y89" s="152"/>
      <c r="Z89" s="183">
        <f>(LíneaBase!C90-0.44)/(MAX(LíneaBase!C:C)+0.12)*100</f>
        <v>11.444694022900345</v>
      </c>
      <c r="AA89" s="184"/>
      <c r="AB89" s="182">
        <f>LíneaBase!L454</f>
        <v>1.8486444106292974</v>
      </c>
      <c r="AC89" s="184"/>
      <c r="AD89" s="182">
        <f>Escenario1!BN55</f>
        <v>1.5893772597089169</v>
      </c>
      <c r="AE89" s="184"/>
      <c r="AF89" s="182">
        <f>Escenario2!BN439</f>
        <v>1.1181754418157284</v>
      </c>
      <c r="AG89" s="184"/>
      <c r="AH89" s="182">
        <f>LíneaBase!N392</f>
        <v>5.9051688147181234E-4</v>
      </c>
      <c r="AI89" s="184"/>
      <c r="AJ89" s="182">
        <f>Escenario1!BP331</f>
        <v>0</v>
      </c>
      <c r="AK89" s="184"/>
      <c r="AL89" s="182">
        <f>Escenario2!BP392</f>
        <v>0</v>
      </c>
      <c r="AM89" s="151"/>
      <c r="BA89" s="152"/>
      <c r="BB89" s="75">
        <v>84</v>
      </c>
      <c r="BC89" s="190">
        <f>ABS(LíneaBase!L90-LíneaBase!L89)</f>
        <v>0.1034585491551292</v>
      </c>
      <c r="BD89" s="190">
        <f>ABS(Escenario1!BN90-Escenario1!BN89)</f>
        <v>9.0890975411592079E-2</v>
      </c>
      <c r="BE89" s="190">
        <f>ABS(Escenario2!BN90-Escenario2!BN89)</f>
        <v>1.2256547379709826E-3</v>
      </c>
      <c r="BF89" s="151"/>
    </row>
    <row r="90" spans="2:58">
      <c r="Y90" s="152"/>
      <c r="Z90" s="183">
        <f>(LíneaBase!C91-0.44)/(MAX(LíneaBase!C:C)+0.12)*100</f>
        <v>11.581657809675121</v>
      </c>
      <c r="AA90" s="184"/>
      <c r="AB90" s="182">
        <f>LíneaBase!L63</f>
        <v>1.8361900039984562</v>
      </c>
      <c r="AC90" s="184"/>
      <c r="AD90" s="182">
        <f>Escenario1!BN419</f>
        <v>1.5881253299108717</v>
      </c>
      <c r="AE90" s="184"/>
      <c r="AF90" s="182">
        <f>Escenario2!BN481</f>
        <v>1.1174879131296604</v>
      </c>
      <c r="AG90" s="184"/>
      <c r="AH90" s="182">
        <f>LíneaBase!N71</f>
        <v>3.8938659586564293E-4</v>
      </c>
      <c r="AI90" s="184"/>
      <c r="AJ90" s="182">
        <f>Escenario1!BP696</f>
        <v>0</v>
      </c>
      <c r="AK90" s="184"/>
      <c r="AL90" s="182">
        <f>Escenario2!BP71</f>
        <v>0</v>
      </c>
      <c r="AM90" s="151"/>
      <c r="BA90" s="152"/>
      <c r="BB90" s="75">
        <v>85</v>
      </c>
      <c r="BC90" s="190">
        <f>ABS(LíneaBase!L91-LíneaBase!L90)</f>
        <v>9.8398956330086884E-2</v>
      </c>
      <c r="BD90" s="190">
        <f>ABS(Escenario1!BN91-Escenario1!BN90)</f>
        <v>8.6491624295798708E-2</v>
      </c>
      <c r="BE90" s="190">
        <f>ABS(Escenario2!BN91-Escenario2!BN90)</f>
        <v>1.4984178178290009E-4</v>
      </c>
      <c r="BF90" s="151"/>
    </row>
    <row r="91" spans="2:58">
      <c r="Y91" s="152"/>
      <c r="Z91" s="183">
        <f>(LíneaBase!C92-0.44)/(MAX(LíneaBase!C:C)+0.12)*100</f>
        <v>11.7186215964499</v>
      </c>
      <c r="AA91" s="184"/>
      <c r="AB91" s="182">
        <f>LíneaBase!L89</f>
        <v>1.8198669878949481</v>
      </c>
      <c r="AC91" s="184"/>
      <c r="AD91" s="182">
        <f>Escenario1!BN392</f>
        <v>1.5840947262400691</v>
      </c>
      <c r="AE91" s="184"/>
      <c r="AF91" s="182">
        <f>Escenario2!BN76</f>
        <v>1.1162115148715193</v>
      </c>
      <c r="AG91" s="184"/>
      <c r="AH91" s="182">
        <f>LíneaBase!N304</f>
        <v>3.8938659586564293E-4</v>
      </c>
      <c r="AI91" s="184"/>
      <c r="AJ91" s="182">
        <f>Escenario1!BP59</f>
        <v>0</v>
      </c>
      <c r="AK91" s="184"/>
      <c r="AL91" s="182">
        <f>Escenario2!BP304</f>
        <v>0</v>
      </c>
      <c r="AM91" s="151"/>
      <c r="BA91" s="152"/>
      <c r="BB91" s="75">
        <v>86</v>
      </c>
      <c r="BC91" s="190">
        <f>ABS(LíneaBase!L92-LíneaBase!L91)</f>
        <v>9.5883856846062043E-2</v>
      </c>
      <c r="BD91" s="190">
        <f>ABS(Escenario1!BN92-Escenario1!BN91)</f>
        <v>8.432319022776924E-2</v>
      </c>
      <c r="BE91" s="190">
        <f>ABS(Escenario2!BN92-Escenario2!BN91)</f>
        <v>1.5754655977755494E-3</v>
      </c>
      <c r="BF91" s="151"/>
    </row>
    <row r="92" spans="2:58">
      <c r="Y92" s="152"/>
      <c r="Z92" s="183">
        <f>(LíneaBase!C93-0.44)/(MAX(LíneaBase!C:C)+0.12)*100</f>
        <v>11.855585383224676</v>
      </c>
      <c r="AA92" s="184"/>
      <c r="AB92" s="182">
        <f>LíneaBase!L429</f>
        <v>1.7992639877193477</v>
      </c>
      <c r="AC92" s="184"/>
      <c r="AD92" s="182">
        <f>Escenario1!BN377</f>
        <v>1.5805772621274994</v>
      </c>
      <c r="AE92" s="184"/>
      <c r="AF92" s="182">
        <f>Escenario2!BN438</f>
        <v>1.11057747562749</v>
      </c>
      <c r="AG92" s="184"/>
      <c r="AH92" s="182">
        <f>LíneaBase!N436</f>
        <v>3.8938659586564293E-4</v>
      </c>
      <c r="AI92" s="184"/>
      <c r="AJ92" s="182">
        <f>Escenario1!BP208</f>
        <v>0</v>
      </c>
      <c r="AK92" s="184"/>
      <c r="AL92" s="182">
        <f>Escenario2!BP436</f>
        <v>0</v>
      </c>
      <c r="AM92" s="151"/>
      <c r="BA92" s="152"/>
      <c r="BB92" s="75">
        <v>87</v>
      </c>
      <c r="BC92" s="190">
        <f>ABS(LíneaBase!L93-LíneaBase!L92)</f>
        <v>1.0820074860289053</v>
      </c>
      <c r="BD92" s="190">
        <f>ABS(Escenario1!BN93-Escenario1!BN92)</f>
        <v>0.27094759955615433</v>
      </c>
      <c r="BE92" s="190">
        <f>ABS(Escenario2!BN93-Escenario2!BN92)</f>
        <v>2.5816057375269708E-3</v>
      </c>
      <c r="BF92" s="151"/>
    </row>
    <row r="93" spans="2:58">
      <c r="Y93" s="152"/>
      <c r="Z93" s="183">
        <f>(LíneaBase!C94-0.44)/(MAX(LíneaBase!C:C)+0.12)*100</f>
        <v>11.992549169999453</v>
      </c>
      <c r="AA93" s="184"/>
      <c r="AB93" s="182">
        <f>LíneaBase!L64</f>
        <v>1.7624033699732009</v>
      </c>
      <c r="AC93" s="184"/>
      <c r="AD93" s="182">
        <f>Escenario1!BN397</f>
        <v>1.5789338648334614</v>
      </c>
      <c r="AE93" s="184"/>
      <c r="AF93" s="182">
        <f>Escenario2!BN112</f>
        <v>1.1085995089396108</v>
      </c>
      <c r="AG93" s="184"/>
      <c r="AH93" s="182">
        <f>LíneaBase!N669</f>
        <v>3.8938659586564293E-4</v>
      </c>
      <c r="AI93" s="184"/>
      <c r="AJ93" s="182">
        <f>Escenario1!BP573</f>
        <v>0</v>
      </c>
      <c r="AK93" s="184"/>
      <c r="AL93" s="182">
        <f>Escenario2!BP669</f>
        <v>0</v>
      </c>
      <c r="AM93" s="151"/>
      <c r="BA93" s="152"/>
      <c r="BB93" s="75">
        <v>88</v>
      </c>
      <c r="BC93" s="190">
        <f>ABS(LíneaBase!L94-LíneaBase!L93)</f>
        <v>0.90289164346121753</v>
      </c>
      <c r="BD93" s="190">
        <f>ABS(Escenario1!BN94-Escenario1!BN93)</f>
        <v>8.9999054963679548E-2</v>
      </c>
      <c r="BE93" s="190">
        <f>ABS(Escenario2!BN94-Escenario2!BN93)</f>
        <v>1.0266459836352215E-3</v>
      </c>
      <c r="BF93" s="151"/>
    </row>
    <row r="94" spans="2:58">
      <c r="Y94" s="152"/>
      <c r="Z94" s="183">
        <f>(LíneaBase!C95-0.44)/(MAX(LíneaBase!C:C)+0.12)*100</f>
        <v>12.129512956774228</v>
      </c>
      <c r="AA94" s="184"/>
      <c r="AB94" s="182">
        <f>LíneaBase!L390</f>
        <v>1.7548953927659872</v>
      </c>
      <c r="AC94" s="184"/>
      <c r="AD94" s="182">
        <f>Escenario1!BN464</f>
        <v>1.571826889078378</v>
      </c>
      <c r="AE94" s="184"/>
      <c r="AF94" s="182">
        <f>Escenario2!BN75</f>
        <v>1.1077727172372669</v>
      </c>
      <c r="AG94" s="184"/>
      <c r="AH94" s="182">
        <f>LíneaBase!N80</f>
        <v>3.0787893885284799E-4</v>
      </c>
      <c r="AI94" s="184"/>
      <c r="AJ94" s="182">
        <f>Escenario1!BP291</f>
        <v>0</v>
      </c>
      <c r="AK94" s="184"/>
      <c r="AL94" s="182">
        <f>Escenario2!BP80</f>
        <v>0</v>
      </c>
      <c r="AM94" s="151"/>
      <c r="BA94" s="152"/>
      <c r="BB94" s="75">
        <v>89</v>
      </c>
      <c r="BC94" s="190">
        <f>ABS(LíneaBase!L95-LíneaBase!L94)</f>
        <v>3.8359259340291274E-2</v>
      </c>
      <c r="BD94" s="190">
        <f>ABS(Escenario1!BN95-Escenario1!BN94)</f>
        <v>3.455127983846995E-2</v>
      </c>
      <c r="BE94" s="190">
        <f>ABS(Escenario2!BN95-Escenario2!BN94)</f>
        <v>4.7360478118707583E-4</v>
      </c>
      <c r="BF94" s="151"/>
    </row>
    <row r="95" spans="2:58">
      <c r="Y95" s="152"/>
      <c r="Z95" s="183">
        <f>(LíneaBase!C96-0.44)/(MAX(LíneaBase!C:C)+0.12)*100</f>
        <v>12.266476743549006</v>
      </c>
      <c r="AA95" s="184"/>
      <c r="AB95" s="182">
        <f>LíneaBase!L455</f>
        <v>1.7449023106737185</v>
      </c>
      <c r="AC95" s="184"/>
      <c r="AD95" s="182">
        <f>Escenario1!BN391</f>
        <v>1.5653133028395552</v>
      </c>
      <c r="AE95" s="184"/>
      <c r="AF95" s="182">
        <f>Escenario2!BN432</f>
        <v>1.1068364401231865</v>
      </c>
      <c r="AG95" s="184"/>
      <c r="AH95" s="182">
        <f>LíneaBase!N445</f>
        <v>3.0787893885284799E-4</v>
      </c>
      <c r="AI95" s="184"/>
      <c r="AJ95" s="182">
        <f>Escenario1!BP368</f>
        <v>0</v>
      </c>
      <c r="AK95" s="184"/>
      <c r="AL95" s="182">
        <f>Escenario2!BP445</f>
        <v>0</v>
      </c>
      <c r="AM95" s="151"/>
      <c r="BA95" s="152"/>
      <c r="BB95" s="75">
        <v>90</v>
      </c>
      <c r="BC95" s="190">
        <f>ABS(LíneaBase!L96-LíneaBase!L95)</f>
        <v>9.7135031855915877E-2</v>
      </c>
      <c r="BD95" s="190">
        <f>ABS(Escenario1!BN96-Escenario1!BN95)</f>
        <v>8.6292974834510927E-2</v>
      </c>
      <c r="BE95" s="190">
        <f>ABS(Escenario2!BN96-Escenario2!BN95)</f>
        <v>1.0362796943190755E-3</v>
      </c>
      <c r="BF95" s="151"/>
    </row>
    <row r="96" spans="2:58">
      <c r="Y96" s="152"/>
      <c r="Z96" s="183">
        <f>(LíneaBase!C97-0.44)/(MAX(LíneaBase!C:C)+0.12)*100</f>
        <v>12.403440530323783</v>
      </c>
      <c r="AA96" s="184"/>
      <c r="AB96" s="182">
        <f>LíneaBase!L388</f>
        <v>1.7311911808129177</v>
      </c>
      <c r="AC96" s="184"/>
      <c r="AD96" s="182">
        <f>Escenario1!BN98</f>
        <v>1.5632466189483762</v>
      </c>
      <c r="AE96" s="184"/>
      <c r="AF96" s="182">
        <f>Escenario2!BN433</f>
        <v>1.1061958609874596</v>
      </c>
      <c r="AG96" s="184"/>
      <c r="AH96" s="182">
        <f>LíneaBase!N76</f>
        <v>2.3799588974509939E-4</v>
      </c>
      <c r="AI96" s="184"/>
      <c r="AJ96" s="182">
        <f>Escenario1!BP656</f>
        <v>0</v>
      </c>
      <c r="AK96" s="184"/>
      <c r="AL96" s="182">
        <f>Escenario2!BP76</f>
        <v>0</v>
      </c>
      <c r="AM96" s="151"/>
      <c r="BA96" s="152"/>
      <c r="BB96" s="75">
        <v>91</v>
      </c>
      <c r="BC96" s="190">
        <f>ABS(LíneaBase!L97-LíneaBase!L96)</f>
        <v>9.3793673925111953E-2</v>
      </c>
      <c r="BD96" s="190">
        <f>ABS(Escenario1!BN97-Escenario1!BN96)</f>
        <v>8.3390067724852024E-2</v>
      </c>
      <c r="BE96" s="190">
        <f>ABS(Escenario2!BN97-Escenario2!BN96)</f>
        <v>2.3781574681587259E-3</v>
      </c>
      <c r="BF96" s="151"/>
    </row>
    <row r="97" spans="25:58">
      <c r="Y97" s="152"/>
      <c r="Z97" s="183">
        <f>(LíneaBase!C98-0.44)/(MAX(LíneaBase!C:C)+0.12)*100</f>
        <v>12.540404317098561</v>
      </c>
      <c r="AA97" s="184"/>
      <c r="AB97" s="182">
        <f>LíneaBase!L459</f>
        <v>1.7286288018637752</v>
      </c>
      <c r="AC97" s="184"/>
      <c r="AD97" s="182">
        <f>Escenario1!BN29</f>
        <v>1.5585738511906797</v>
      </c>
      <c r="AE97" s="184"/>
      <c r="AF97" s="182">
        <f>Escenario2!BN431</f>
        <v>1.1059322484329177</v>
      </c>
      <c r="AG97" s="184"/>
      <c r="AH97" s="182">
        <f>LíneaBase!N441</f>
        <v>2.3799588974509939E-4</v>
      </c>
      <c r="AI97" s="184"/>
      <c r="AJ97" s="182">
        <f>Escenario1!BP733</f>
        <v>0</v>
      </c>
      <c r="AK97" s="184"/>
      <c r="AL97" s="182">
        <f>Escenario2!BP441</f>
        <v>0</v>
      </c>
      <c r="AM97" s="151"/>
      <c r="BA97" s="152"/>
      <c r="BB97" s="75">
        <v>92</v>
      </c>
      <c r="BC97" s="190">
        <f>ABS(LíneaBase!L98-LíneaBase!L97)</f>
        <v>9.1379918653151648E-2</v>
      </c>
      <c r="BD97" s="190">
        <f>ABS(Escenario1!BN98-Escenario1!BN97)</f>
        <v>8.1307335319354079E-2</v>
      </c>
      <c r="BE97" s="190">
        <f>ABS(Escenario2!BN98-Escenario2!BN97)</f>
        <v>2.8526435181530641E-3</v>
      </c>
      <c r="BF97" s="151"/>
    </row>
    <row r="98" spans="25:58">
      <c r="Y98" s="152"/>
      <c r="Z98" s="183">
        <f>(LíneaBase!C99-0.44)/(MAX(LíneaBase!C:C)+0.12)*100</f>
        <v>12.677368103873334</v>
      </c>
      <c r="AA98" s="184"/>
      <c r="AB98" s="182">
        <f>LíneaBase!L90</f>
        <v>1.7164084387398189</v>
      </c>
      <c r="AC98" s="184"/>
      <c r="AD98" s="182">
        <f>Escenario1!BN396</f>
        <v>1.5582211204280991</v>
      </c>
      <c r="AE98" s="184"/>
      <c r="AF98" s="182">
        <f>Escenario2!BN434</f>
        <v>1.1052050916389324</v>
      </c>
      <c r="AG98" s="184"/>
      <c r="AH98" s="182">
        <f>LíneaBase!N36</f>
        <v>1.7892987414496321E-4</v>
      </c>
      <c r="AI98" s="184"/>
      <c r="AJ98" s="182">
        <f>Escenario1!BP27</f>
        <v>0</v>
      </c>
      <c r="AK98" s="184"/>
      <c r="AL98" s="182">
        <f>Escenario2!BP36</f>
        <v>0</v>
      </c>
      <c r="AM98" s="151"/>
      <c r="BA98" s="152"/>
      <c r="BB98" s="75">
        <v>93</v>
      </c>
      <c r="BC98" s="190">
        <f>ABS(LíneaBase!L99-LíneaBase!L98)</f>
        <v>7.0235423041735245E-2</v>
      </c>
      <c r="BD98" s="190">
        <f>ABS(Escenario1!BN99-Escenario1!BN98)</f>
        <v>6.2753329882957676E-2</v>
      </c>
      <c r="BE98" s="190">
        <f>ABS(Escenario2!BN99-Escenario2!BN98)</f>
        <v>2.8090401571880808E-3</v>
      </c>
      <c r="BF98" s="151"/>
    </row>
    <row r="99" spans="25:58">
      <c r="Y99" s="152"/>
      <c r="Z99" s="183">
        <f>(LíneaBase!C100-0.44)/(MAX(LíneaBase!C:C)+0.12)*100</f>
        <v>12.814331890648113</v>
      </c>
      <c r="AA99" s="184"/>
      <c r="AB99" s="182">
        <f>LíneaBase!L430</f>
        <v>1.7013996780994751</v>
      </c>
      <c r="AC99" s="184"/>
      <c r="AD99" s="182">
        <f>Escenario1!BN413</f>
        <v>1.5507185783576316</v>
      </c>
      <c r="AE99" s="184"/>
      <c r="AF99" s="182">
        <f>Escenario2!BN482</f>
        <v>1.105106223194587</v>
      </c>
      <c r="AG99" s="184"/>
      <c r="AH99" s="182">
        <f>LíneaBase!N401</f>
        <v>1.7892987414496321E-4</v>
      </c>
      <c r="AI99" s="184"/>
      <c r="AJ99" s="182">
        <f>Escenario1!BP392</f>
        <v>0</v>
      </c>
      <c r="AK99" s="184"/>
      <c r="AL99" s="182">
        <f>Escenario2!BP401</f>
        <v>0</v>
      </c>
      <c r="AM99" s="151"/>
      <c r="BA99" s="152"/>
      <c r="BB99" s="75">
        <v>94</v>
      </c>
      <c r="BC99" s="190">
        <f>ABS(LíneaBase!L100-LíneaBase!L99)</f>
        <v>8.3946608061908234E-2</v>
      </c>
      <c r="BD99" s="190">
        <f>ABS(Escenario1!BN100-Escenario1!BN99)</f>
        <v>7.4886653903684541E-2</v>
      </c>
      <c r="BE99" s="190">
        <f>ABS(Escenario2!BN100-Escenario2!BN99)</f>
        <v>2.7661032843684374E-3</v>
      </c>
      <c r="BF99" s="151"/>
    </row>
    <row r="100" spans="25:58">
      <c r="Y100" s="152"/>
      <c r="Z100" s="183">
        <f>(LíneaBase!C101-0.44)/(MAX(LíneaBase!C:C)+0.12)*100</f>
        <v>12.951295677422889</v>
      </c>
      <c r="AA100" s="184"/>
      <c r="AB100" s="182">
        <f>LíneaBase!L94</f>
        <v>1.7012414681313577</v>
      </c>
      <c r="AC100" s="184"/>
      <c r="AD100" s="182">
        <f>Escenario1!BN53</f>
        <v>1.5407229923009138</v>
      </c>
      <c r="AE100" s="184"/>
      <c r="AF100" s="182">
        <f>Escenario2!BN430</f>
        <v>1.1050712662016298</v>
      </c>
      <c r="AG100" s="184"/>
      <c r="AH100" s="182">
        <f>LíneaBase!N207</f>
        <v>1.5320162510455492E-4</v>
      </c>
      <c r="AI100" s="184"/>
      <c r="AJ100" s="182">
        <f>Escenario1!BP71</f>
        <v>0</v>
      </c>
      <c r="AK100" s="184"/>
      <c r="AL100" s="182">
        <f>Escenario2!BP207</f>
        <v>0</v>
      </c>
      <c r="AM100" s="151"/>
      <c r="BA100" s="152"/>
      <c r="BB100" s="75">
        <v>95</v>
      </c>
      <c r="BC100" s="190">
        <f>ABS(LíneaBase!L101-LíneaBase!L100)</f>
        <v>8.1102810266231451E-2</v>
      </c>
      <c r="BD100" s="190">
        <f>ABS(Escenario1!BN101-Escenario1!BN100)</f>
        <v>7.2458832871546752E-2</v>
      </c>
      <c r="BE100" s="190">
        <f>ABS(Escenario2!BN101-Escenario2!BN100)</f>
        <v>2.7238227122579062E-3</v>
      </c>
      <c r="BF100" s="151"/>
    </row>
    <row r="101" spans="25:58">
      <c r="Y101" s="152"/>
      <c r="Z101" s="183">
        <f>(LíneaBase!C102-0.44)/(MAX(LíneaBase!C:C)+0.12)*100</f>
        <v>13.088259464197666</v>
      </c>
      <c r="AA101" s="184"/>
      <c r="AB101" s="182">
        <f>LíneaBase!L25</f>
        <v>1.7006604303592725</v>
      </c>
      <c r="AC101" s="184"/>
      <c r="AD101" s="182">
        <f>Escenario1!BN47</f>
        <v>1.5377667830731405</v>
      </c>
      <c r="AE101" s="184"/>
      <c r="AF101" s="182">
        <f>Escenario2!BN435</f>
        <v>1.1041595029126885</v>
      </c>
      <c r="AG101" s="184"/>
      <c r="AH101" s="182">
        <f>LíneaBase!N572</f>
        <v>1.5320162510455492E-4</v>
      </c>
      <c r="AI101" s="184"/>
      <c r="AJ101" s="182">
        <f>Escenario1!BP304</f>
        <v>0</v>
      </c>
      <c r="AK101" s="184"/>
      <c r="AL101" s="182">
        <f>Escenario2!BP572</f>
        <v>0</v>
      </c>
      <c r="AM101" s="151"/>
      <c r="BA101" s="152"/>
      <c r="BB101" s="75">
        <v>96</v>
      </c>
      <c r="BC101" s="190">
        <f>ABS(LíneaBase!L102-LíneaBase!L101)</f>
        <v>7.5413383708785586E-2</v>
      </c>
      <c r="BD101" s="190">
        <f>ABS(Escenario1!BN102-Escenario1!BN101)</f>
        <v>6.7550241891165097E-2</v>
      </c>
      <c r="BE101" s="190">
        <f>ABS(Escenario2!BN102-Escenario2!BN101)</f>
        <v>2.6821884091383641E-3</v>
      </c>
      <c r="BF101" s="151"/>
    </row>
    <row r="102" spans="25:58">
      <c r="Y102" s="152"/>
      <c r="Z102" s="183">
        <f>(LíneaBase!C103-0.44)/(MAX(LíneaBase!C:C)+0.12)*100</f>
        <v>13.225223250972443</v>
      </c>
      <c r="AA102" s="184"/>
      <c r="AB102" s="182">
        <f>LíneaBase!L460</f>
        <v>1.689999688601064</v>
      </c>
      <c r="AC102" s="184"/>
      <c r="AD102" s="182">
        <f>Escenario1!BN390</f>
        <v>1.5317701081611401</v>
      </c>
      <c r="AE102" s="184"/>
      <c r="AF102" s="182">
        <f>Escenario2!BN436</f>
        <v>1.1031298962684541</v>
      </c>
      <c r="AG102" s="184"/>
      <c r="AH102" s="182">
        <f>LíneaBase!N26</f>
        <v>1.2987607046084803E-4</v>
      </c>
      <c r="AI102" s="184"/>
      <c r="AJ102" s="182">
        <f>Escenario1!BP436</f>
        <v>0</v>
      </c>
      <c r="AK102" s="184"/>
      <c r="AL102" s="182">
        <f>Escenario2!BP26</f>
        <v>0</v>
      </c>
      <c r="AM102" s="151"/>
      <c r="BA102" s="152"/>
      <c r="BB102" s="75">
        <v>97</v>
      </c>
      <c r="BC102" s="190">
        <f>ABS(LíneaBase!L103-LíneaBase!L102)</f>
        <v>6.6644213419457143E-2</v>
      </c>
      <c r="BD102" s="190">
        <f>ABS(Escenario1!BN103-Escenario1!BN102)</f>
        <v>5.9927073251108132E-2</v>
      </c>
      <c r="BE102" s="190">
        <f>ABS(Escenario2!BN103-Escenario2!BN102)</f>
        <v>2.641190496628143E-3</v>
      </c>
      <c r="BF102" s="151"/>
    </row>
    <row r="103" spans="25:58">
      <c r="Y103" s="152"/>
      <c r="Z103" s="183">
        <f>(LíneaBase!C104-0.44)/(MAX(LíneaBase!C:C)+0.12)*100</f>
        <v>13.362187037747219</v>
      </c>
      <c r="AA103" s="184"/>
      <c r="AB103" s="182">
        <f>LíneaBase!L392</f>
        <v>1.6777783014031995</v>
      </c>
      <c r="AC103" s="184"/>
      <c r="AD103" s="182">
        <f>Escenario1!BN30</f>
        <v>1.5309849023387958</v>
      </c>
      <c r="AE103" s="184"/>
      <c r="AF103" s="182">
        <f>Escenario2!BN429</f>
        <v>1.1025780699199572</v>
      </c>
      <c r="AG103" s="184"/>
      <c r="AH103" s="182">
        <f>LíneaBase!N391</f>
        <v>1.2987607046084803E-4</v>
      </c>
      <c r="AI103" s="184"/>
      <c r="AJ103" s="182">
        <f>Escenario1!BP669</f>
        <v>0</v>
      </c>
      <c r="AK103" s="184"/>
      <c r="AL103" s="182">
        <f>Escenario2!BP391</f>
        <v>0</v>
      </c>
      <c r="AM103" s="151"/>
      <c r="BA103" s="152"/>
      <c r="BB103" s="75">
        <v>98</v>
      </c>
      <c r="BC103" s="190">
        <f>ABS(LíneaBase!L104-LíneaBase!L103)</f>
        <v>4.6031455483068862E-2</v>
      </c>
      <c r="BD103" s="190">
        <f>ABS(Escenario1!BN104-Escenario1!BN103)</f>
        <v>5.584541199106674E-2</v>
      </c>
      <c r="BE103" s="190">
        <f>ABS(Escenario2!BN104-Escenario2!BN103)</f>
        <v>2.6008192473399028E-3</v>
      </c>
      <c r="BF103" s="151"/>
    </row>
    <row r="104" spans="25:58">
      <c r="Y104" s="152"/>
      <c r="Z104" s="183">
        <f>(LíneaBase!C105-0.44)/(MAX(LíneaBase!C:C)+0.12)*100</f>
        <v>13.499150824521996</v>
      </c>
      <c r="AA104" s="184"/>
      <c r="AB104" s="182">
        <f>LíneaBase!L23</f>
        <v>1.6758714316701147</v>
      </c>
      <c r="AC104" s="184"/>
      <c r="AD104" s="182">
        <f>Escenario1!BN68</f>
        <v>1.5277440850531312</v>
      </c>
      <c r="AE104" s="184"/>
      <c r="AF104" s="182">
        <f>Escenario2!BN437</f>
        <v>1.1021160274161572</v>
      </c>
      <c r="AG104" s="184"/>
      <c r="AH104" s="182">
        <f>LíneaBase!N274</f>
        <v>4.5794762485582542E-5</v>
      </c>
      <c r="AI104" s="184"/>
      <c r="AJ104" s="182">
        <f>Escenario1!BP36</f>
        <v>0</v>
      </c>
      <c r="AK104" s="184"/>
      <c r="AL104" s="182">
        <f>Escenario2!BP274</f>
        <v>0</v>
      </c>
      <c r="AM104" s="151"/>
      <c r="BA104" s="152"/>
      <c r="BB104" s="75">
        <v>99</v>
      </c>
      <c r="BC104" s="190">
        <f>ABS(LíneaBase!L105-LíneaBase!L104)</f>
        <v>1.5429514146206968E-2</v>
      </c>
      <c r="BD104" s="190">
        <f>ABS(Escenario1!BN105-Escenario1!BN104)</f>
        <v>1.6925387928176328E-2</v>
      </c>
      <c r="BE104" s="190">
        <f>ABS(Escenario2!BN105-Escenario2!BN104)</f>
        <v>1.007702362951779E-2</v>
      </c>
      <c r="BF104" s="151"/>
    </row>
    <row r="105" spans="25:58">
      <c r="Y105" s="152"/>
      <c r="Z105" s="183">
        <f>(LíneaBase!C106-0.44)/(MAX(LíneaBase!C:C)+0.12)*100</f>
        <v>13.636114611296774</v>
      </c>
      <c r="AA105" s="184"/>
      <c r="AB105" s="182">
        <f>LíneaBase!L524</f>
        <v>1.6739364300687929</v>
      </c>
      <c r="AC105" s="184"/>
      <c r="AD105" s="182">
        <f>Escenario1!BN437</f>
        <v>1.5257528605645745</v>
      </c>
      <c r="AE105" s="184"/>
      <c r="AF105" s="182">
        <f>Escenario2!BN74</f>
        <v>1.0994477894655794</v>
      </c>
      <c r="AG105" s="184"/>
      <c r="AH105" s="182">
        <f>LíneaBase!N639</f>
        <v>4.5794762485582542E-5</v>
      </c>
      <c r="AI105" s="184"/>
      <c r="AJ105" s="182">
        <f>Escenario1!BP401</f>
        <v>0</v>
      </c>
      <c r="AK105" s="184"/>
      <c r="AL105" s="182">
        <f>Escenario2!BP639</f>
        <v>0</v>
      </c>
      <c r="AM105" s="151"/>
      <c r="BA105" s="152"/>
      <c r="BB105" s="75">
        <v>100</v>
      </c>
      <c r="BC105" s="190">
        <f>ABS(LíneaBase!L106-LíneaBase!L105)</f>
        <v>1.0274771562827856E-2</v>
      </c>
      <c r="BD105" s="190">
        <f>ABS(Escenario1!BN106-Escenario1!BN105)</f>
        <v>1.0310679411720036E-2</v>
      </c>
      <c r="BE105" s="190">
        <f>ABS(Escenario2!BN106-Escenario2!BN105)</f>
        <v>1.2697746101956398E-2</v>
      </c>
      <c r="BF105" s="151"/>
    </row>
    <row r="106" spans="25:58">
      <c r="Y106" s="152"/>
      <c r="Z106" s="183">
        <f>(LíneaBase!C107-0.44)/(MAX(LíneaBase!C:C)+0.12)*100</f>
        <v>13.773078398071551</v>
      </c>
      <c r="AA106" s="184"/>
      <c r="AB106" s="182">
        <f>LíneaBase!L65</f>
        <v>1.664902256799496</v>
      </c>
      <c r="AC106" s="184"/>
      <c r="AD106" s="182">
        <f>Escenario1!BN435</f>
        <v>1.523142069058689</v>
      </c>
      <c r="AE106" s="184"/>
      <c r="AF106" s="182">
        <f>Escenario2!BN428</f>
        <v>1.0984649283239207</v>
      </c>
      <c r="AG106" s="184"/>
      <c r="AH106" s="182">
        <f>LíneaBase!N294</f>
        <v>1.7815188259180114E-5</v>
      </c>
      <c r="AI106" s="184"/>
      <c r="AJ106" s="182">
        <f>Escenario1!BP207</f>
        <v>0</v>
      </c>
      <c r="AK106" s="184"/>
      <c r="AL106" s="182">
        <f>Escenario2!BP294</f>
        <v>0</v>
      </c>
      <c r="AM106" s="151"/>
      <c r="BA106" s="152"/>
      <c r="BB106" s="75">
        <v>101</v>
      </c>
      <c r="BC106" s="190">
        <f>ABS(LíneaBase!L107-LíneaBase!L106)</f>
        <v>9.3434001430966473E-3</v>
      </c>
      <c r="BD106" s="190">
        <f>ABS(Escenario1!BN107-Escenario1!BN106)</f>
        <v>9.402791643744024E-3</v>
      </c>
      <c r="BE106" s="190">
        <f>ABS(Escenario2!BN107-Escenario2!BN106)</f>
        <v>1.2530535972961276E-2</v>
      </c>
      <c r="BF106" s="151"/>
    </row>
    <row r="107" spans="25:58">
      <c r="Y107" s="152"/>
      <c r="Z107" s="183">
        <f>(LíneaBase!C108-0.44)/(MAX(LíneaBase!C:C)+0.12)*100</f>
        <v>13.910042184846327</v>
      </c>
      <c r="AA107" s="184"/>
      <c r="AB107" s="182">
        <f>LíneaBase!L95</f>
        <v>1.6628822087910664</v>
      </c>
      <c r="AC107" s="184"/>
      <c r="AD107" s="182">
        <f>Escenario1!BN71</f>
        <v>1.5194316568953392</v>
      </c>
      <c r="AE107" s="184"/>
      <c r="AF107" s="182">
        <f>Escenario2!BN483</f>
        <v>1.0968783466996992</v>
      </c>
      <c r="AG107" s="184"/>
      <c r="AH107" s="182">
        <f>LíneaBase!N659</f>
        <v>1.7815188259180114E-5</v>
      </c>
      <c r="AI107" s="184"/>
      <c r="AJ107" s="182">
        <f>Escenario1!BP572</f>
        <v>0</v>
      </c>
      <c r="AK107" s="184"/>
      <c r="AL107" s="182">
        <f>Escenario2!BP659</f>
        <v>0</v>
      </c>
      <c r="AM107" s="151"/>
      <c r="BA107" s="152"/>
      <c r="BB107" s="75">
        <v>102</v>
      </c>
      <c r="BC107" s="190">
        <f>ABS(LíneaBase!L108-LíneaBase!L107)</f>
        <v>4.9376811329551962E-2</v>
      </c>
      <c r="BD107" s="190">
        <f>ABS(Escenario1!BN108-Escenario1!BN107)</f>
        <v>4.1546145690116498E-2</v>
      </c>
      <c r="BE107" s="190">
        <f>ABS(Escenario2!BN108-Escenario2!BN107)</f>
        <v>2.5293540139057713E-2</v>
      </c>
      <c r="BF107" s="151"/>
    </row>
    <row r="108" spans="25:58">
      <c r="Y108" s="152"/>
      <c r="Z108" s="183">
        <f>(LíneaBase!C109-0.44)/(MAX(LíneaBase!C:C)+0.12)*100</f>
        <v>14.047005971621104</v>
      </c>
      <c r="AA108" s="184"/>
      <c r="AB108" s="182">
        <f>LíneaBase!L159</f>
        <v>1.6595477187016181</v>
      </c>
      <c r="AC108" s="184"/>
      <c r="AD108" s="182">
        <f>Escenario1!BN69</f>
        <v>1.516650786238172</v>
      </c>
      <c r="AE108" s="184"/>
      <c r="AF108" s="182">
        <f>Escenario2!BN113</f>
        <v>1.096743062664399</v>
      </c>
      <c r="AG108" s="184"/>
      <c r="AH108" s="182">
        <f>LíneaBase!N353</f>
        <v>1.1643961711068925E-5</v>
      </c>
      <c r="AI108" s="184"/>
      <c r="AJ108" s="182">
        <f>Escenario1!BP26</f>
        <v>0</v>
      </c>
      <c r="AK108" s="184"/>
      <c r="AL108" s="182">
        <f>Escenario2!BP353</f>
        <v>0</v>
      </c>
      <c r="AM108" s="151"/>
      <c r="BA108" s="152"/>
      <c r="BB108" s="75">
        <v>103</v>
      </c>
      <c r="BC108" s="190">
        <f>ABS(LíneaBase!L109-LíneaBase!L108)</f>
        <v>6.4433396966899759E-3</v>
      </c>
      <c r="BD108" s="190">
        <f>ABS(Escenario1!BN109-Escenario1!BN108)</f>
        <v>7.218518839033683E-3</v>
      </c>
      <c r="BE108" s="190">
        <f>ABS(Escenario2!BN109-Escenario2!BN108)</f>
        <v>1.5805056264478923E-2</v>
      </c>
      <c r="BF108" s="151"/>
    </row>
    <row r="109" spans="25:58">
      <c r="Y109" s="152"/>
      <c r="Z109" s="183">
        <f>(LíneaBase!C110-0.44)/(MAX(LíneaBase!C:C)+0.12)*100</f>
        <v>14.183969758395881</v>
      </c>
      <c r="AA109" s="184"/>
      <c r="AB109" s="182">
        <f>LíneaBase!L395</f>
        <v>1.6572317054735581</v>
      </c>
      <c r="AC109" s="184"/>
      <c r="AD109" s="182">
        <f>Escenario1!BN414</f>
        <v>1.5059090563285999</v>
      </c>
      <c r="AE109" s="184"/>
      <c r="AF109" s="182">
        <f>Escenario2!BN427</f>
        <v>1.0933015371378294</v>
      </c>
      <c r="AG109" s="184"/>
      <c r="AH109" s="182">
        <f>LíneaBase!N370</f>
        <v>1.1643961711068925E-5</v>
      </c>
      <c r="AI109" s="184"/>
      <c r="AJ109" s="182">
        <f>Escenario1!BP391</f>
        <v>0</v>
      </c>
      <c r="AK109" s="184"/>
      <c r="AL109" s="182">
        <f>Escenario2!BP370</f>
        <v>0</v>
      </c>
      <c r="AM109" s="151"/>
      <c r="BA109" s="152"/>
      <c r="BB109" s="75">
        <v>104</v>
      </c>
      <c r="BC109" s="190">
        <f>ABS(LíneaBase!L110-LíneaBase!L109)</f>
        <v>5.9826363989119224E-2</v>
      </c>
      <c r="BD109" s="190">
        <f>ABS(Escenario1!BN110-Escenario1!BN109)</f>
        <v>5.4348840521659225E-2</v>
      </c>
      <c r="BE109" s="190">
        <f>ABS(Escenario2!BN110-Escenario2!BN109)</f>
        <v>4.0585455492304634E-2</v>
      </c>
      <c r="BF109" s="151"/>
    </row>
    <row r="110" spans="25:58">
      <c r="Y110" s="152"/>
      <c r="Z110" s="183">
        <f>(LíneaBase!C111-0.44)/(MAX(LíneaBase!C:C)+0.12)*100</f>
        <v>14.320933545170659</v>
      </c>
      <c r="AA110" s="184"/>
      <c r="AB110" s="182">
        <f>LíneaBase!L456</f>
        <v>1.6462225974367553</v>
      </c>
      <c r="AC110" s="184"/>
      <c r="AD110" s="182">
        <f>Escenario1!BN384</f>
        <v>1.502708015007042</v>
      </c>
      <c r="AE110" s="184"/>
      <c r="AF110" s="182">
        <f>Escenario2!BN73</f>
        <v>1.0923670442608524</v>
      </c>
      <c r="AG110" s="184"/>
      <c r="AH110" s="182">
        <f>LíneaBase!N718</f>
        <v>1.1643961711068925E-5</v>
      </c>
      <c r="AI110" s="184"/>
      <c r="AJ110" s="182">
        <f>Escenario1!BP274</f>
        <v>0</v>
      </c>
      <c r="AK110" s="184"/>
      <c r="AL110" s="182">
        <f>Escenario2!BP718</f>
        <v>0</v>
      </c>
      <c r="AM110" s="151"/>
      <c r="BA110" s="152"/>
      <c r="BB110" s="75">
        <v>105</v>
      </c>
      <c r="BC110" s="190">
        <f>ABS(LíneaBase!L111-LíneaBase!L110)</f>
        <v>1.7269176291161203E-2</v>
      </c>
      <c r="BD110" s="190">
        <f>ABS(Escenario1!BN111-Escenario1!BN110)</f>
        <v>1.7229297494263163E-2</v>
      </c>
      <c r="BE110" s="190">
        <f>ABS(Escenario2!BN111-Escenario2!BN110)</f>
        <v>1.6710134780815622E-2</v>
      </c>
      <c r="BF110" s="151"/>
    </row>
    <row r="111" spans="25:58">
      <c r="Y111" s="152"/>
      <c r="Z111" s="183">
        <f>(LíneaBase!C112-0.44)/(MAX(LíneaBase!C:C)+0.12)*100</f>
        <v>14.457897331945436</v>
      </c>
      <c r="AA111" s="184"/>
      <c r="AB111" s="182">
        <f>LíneaBase!L690</f>
        <v>1.6336322330563864</v>
      </c>
      <c r="AC111" s="184"/>
      <c r="AD111" s="182">
        <f>Escenario1!BN99</f>
        <v>1.5004932890654186</v>
      </c>
      <c r="AE111" s="184"/>
      <c r="AF111" s="182">
        <f>Escenario2!BN114</f>
        <v>1.0893195850717261</v>
      </c>
      <c r="AG111" s="184"/>
      <c r="AH111" s="182">
        <f>LíneaBase!N735</f>
        <v>1.1643961711068925E-5</v>
      </c>
      <c r="AI111" s="184"/>
      <c r="AJ111" s="182">
        <f>Escenario1!BP639</f>
        <v>0</v>
      </c>
      <c r="AK111" s="184"/>
      <c r="AL111" s="182">
        <f>Escenario2!BP735</f>
        <v>0</v>
      </c>
      <c r="AM111" s="151"/>
      <c r="BA111" s="152"/>
      <c r="BB111" s="75">
        <v>106</v>
      </c>
      <c r="BC111" s="190">
        <f>ABS(LíneaBase!L112-LíneaBase!L111)</f>
        <v>1.0135052201669437E-2</v>
      </c>
      <c r="BD111" s="190">
        <f>ABS(Escenario1!BN112-Escenario1!BN111)</f>
        <v>1.1052583956155271E-2</v>
      </c>
      <c r="BE111" s="190">
        <f>ABS(Escenario2!BN112-Escenario2!BN111)</f>
        <v>1.2639514114814121E-2</v>
      </c>
      <c r="BF111" s="151"/>
    </row>
    <row r="112" spans="25:58">
      <c r="Y112" s="152"/>
      <c r="Z112" s="183">
        <f>(LíneaBase!C113-0.44)/(MAX(LíneaBase!C:C)+0.12)*100</f>
        <v>14.594861118720209</v>
      </c>
      <c r="AA112" s="184"/>
      <c r="AB112" s="182">
        <f>LíneaBase!L325</f>
        <v>1.6308515546246409</v>
      </c>
      <c r="AC112" s="184"/>
      <c r="AD112" s="182">
        <f>Escenario1!BN378</f>
        <v>1.499270660382874</v>
      </c>
      <c r="AE112" s="184"/>
      <c r="AF112" s="182">
        <f>Escenario2!BN67</f>
        <v>1.0882527562046611</v>
      </c>
      <c r="AG112" s="184"/>
      <c r="AH112" s="182">
        <f>LíneaBase!N32</f>
        <v>6.8882745780803645E-6</v>
      </c>
      <c r="AI112" s="184"/>
      <c r="AJ112" s="182">
        <f>Escenario1!BP294</f>
        <v>0</v>
      </c>
      <c r="AK112" s="184"/>
      <c r="AL112" s="182">
        <f>Escenario2!BP32</f>
        <v>0</v>
      </c>
      <c r="AM112" s="151"/>
      <c r="BA112" s="152"/>
      <c r="BB112" s="75">
        <v>107</v>
      </c>
      <c r="BC112" s="190">
        <f>ABS(LíneaBase!L113-LíneaBase!L112)</f>
        <v>8.8796140357361164E-3</v>
      </c>
      <c r="BD112" s="190">
        <f>ABS(Escenario1!BN113-Escenario1!BN112)</f>
        <v>1.0349313772327617E-2</v>
      </c>
      <c r="BE112" s="190">
        <f>ABS(Escenario2!BN113-Escenario2!BN112)</f>
        <v>1.1856446275211763E-2</v>
      </c>
      <c r="BF112" s="151"/>
    </row>
    <row r="113" spans="25:58">
      <c r="Y113" s="152"/>
      <c r="Z113" s="183">
        <f>(LíneaBase!C114-0.44)/(MAX(LíneaBase!C:C)+0.12)*100</f>
        <v>14.731824905494987</v>
      </c>
      <c r="AA113" s="184"/>
      <c r="AB113" s="182">
        <f>LíneaBase!L27</f>
        <v>1.6246068562580451</v>
      </c>
      <c r="AC113" s="184"/>
      <c r="AD113" s="182">
        <f>Escenario1!BN465</f>
        <v>1.4962774835107746</v>
      </c>
      <c r="AE113" s="184"/>
      <c r="AF113" s="182">
        <f>Escenario2!BN66</f>
        <v>1.0879246641660949</v>
      </c>
      <c r="AG113" s="184"/>
      <c r="AH113" s="182">
        <f>LíneaBase!N397</f>
        <v>6.8882745780803645E-6</v>
      </c>
      <c r="AI113" s="184"/>
      <c r="AJ113" s="182">
        <f>Escenario1!BP659</f>
        <v>0</v>
      </c>
      <c r="AK113" s="184"/>
      <c r="AL113" s="182">
        <f>Escenario2!BP397</f>
        <v>0</v>
      </c>
      <c r="AM113" s="151"/>
      <c r="BA113" s="152"/>
      <c r="BB113" s="75">
        <v>108</v>
      </c>
      <c r="BC113" s="190">
        <f>ABS(LíneaBase!L114-LíneaBase!L113)</f>
        <v>3.8314552461555795E-3</v>
      </c>
      <c r="BD113" s="190">
        <f>ABS(Escenario1!BN114-Escenario1!BN113)</f>
        <v>6.6836971757833208E-3</v>
      </c>
      <c r="BE113" s="190">
        <f>ABS(Escenario2!BN114-Escenario2!BN113)</f>
        <v>7.4234775926729224E-3</v>
      </c>
      <c r="BF113" s="151"/>
    </row>
    <row r="114" spans="25:58">
      <c r="Y114" s="152"/>
      <c r="Z114" s="183">
        <f>(LíneaBase!C115-0.44)/(MAX(LíneaBase!C:C)+0.12)*100</f>
        <v>14.868788692269764</v>
      </c>
      <c r="AA114" s="184"/>
      <c r="AB114" s="182">
        <f>LíneaBase!L91</f>
        <v>1.618009482409732</v>
      </c>
      <c r="AC114" s="184"/>
      <c r="AD114" s="182">
        <f>Escenario1!BN56</f>
        <v>1.4861365442959045</v>
      </c>
      <c r="AE114" s="184"/>
      <c r="AF114" s="182">
        <f>Escenario2!BN65</f>
        <v>1.0876571633334298</v>
      </c>
      <c r="AG114" s="184"/>
      <c r="AH114" s="182">
        <f>LíneaBase!N369</f>
        <v>3.4515585325015168E-6</v>
      </c>
      <c r="AI114" s="184"/>
      <c r="AJ114" s="182">
        <f>Escenario1!BP353</f>
        <v>0</v>
      </c>
      <c r="AK114" s="184"/>
      <c r="AL114" s="182">
        <f>Escenario2!BP369</f>
        <v>0</v>
      </c>
      <c r="AM114" s="151"/>
      <c r="BA114" s="152"/>
      <c r="BB114" s="75">
        <v>109</v>
      </c>
      <c r="BC114" s="190">
        <f>ABS(LíneaBase!L115-LíneaBase!L114)</f>
        <v>9.0550198754383304E-3</v>
      </c>
      <c r="BD114" s="190">
        <f>ABS(Escenario1!BN115-Escenario1!BN114)</f>
        <v>1.0770285904381449E-2</v>
      </c>
      <c r="BE114" s="190">
        <f>ABS(Escenario2!BN115-Escenario2!BN114)</f>
        <v>1.1978392087122591E-2</v>
      </c>
      <c r="BF114" s="151"/>
    </row>
    <row r="115" spans="25:58">
      <c r="Y115" s="152"/>
      <c r="Z115" s="183">
        <f>(LíneaBase!C116-0.44)/(MAX(LíneaBase!C:C)+0.12)*100</f>
        <v>15.00575247904454</v>
      </c>
      <c r="AA115" s="184"/>
      <c r="AB115" s="182">
        <f>LíneaBase!L30</f>
        <v>1.6056165572795995</v>
      </c>
      <c r="AC115" s="184"/>
      <c r="AD115" s="182">
        <f>Escenario1!BN393</f>
        <v>1.4847428073564639</v>
      </c>
      <c r="AE115" s="184"/>
      <c r="AF115" s="182">
        <f>Escenario2!BN68</f>
        <v>1.0874662881138684</v>
      </c>
      <c r="AG115" s="184"/>
      <c r="AH115" s="182">
        <f>LíneaBase!N734</f>
        <v>3.4515585325015168E-6</v>
      </c>
      <c r="AI115" s="184"/>
      <c r="AJ115" s="182">
        <f>Escenario1!BP370</f>
        <v>0</v>
      </c>
      <c r="AK115" s="184"/>
      <c r="AL115" s="182">
        <f>Escenario2!BP734</f>
        <v>0</v>
      </c>
      <c r="AM115" s="151"/>
      <c r="BA115" s="152"/>
      <c r="BB115" s="75">
        <v>110</v>
      </c>
      <c r="BC115" s="190">
        <f>ABS(LíneaBase!L116-LíneaBase!L115)</f>
        <v>1.1896087977739889E-2</v>
      </c>
      <c r="BD115" s="190">
        <f>ABS(Escenario1!BN116-Escenario1!BN115)</f>
        <v>1.3259821515351433E-2</v>
      </c>
      <c r="BE115" s="190">
        <f>ABS(Escenario2!BN116-Escenario2!BN115)</f>
        <v>1.4428789546292231E-2</v>
      </c>
      <c r="BF115" s="151"/>
    </row>
    <row r="116" spans="25:58">
      <c r="Y116" s="152"/>
      <c r="Z116" s="183">
        <f>(LíneaBase!C117-0.44)/(MAX(LíneaBase!C:C)+0.12)*100</f>
        <v>15.142716265819317</v>
      </c>
      <c r="AA116" s="184"/>
      <c r="AB116" s="182">
        <f>LíneaBase!L432</f>
        <v>1.6048168329435024</v>
      </c>
      <c r="AC116" s="184"/>
      <c r="AD116" s="182">
        <f>Escenario1!BN398</f>
        <v>1.4810429896605419</v>
      </c>
      <c r="AE116" s="184"/>
      <c r="AF116" s="182">
        <f>Escenario2!BN69</f>
        <v>1.0866918413821527</v>
      </c>
      <c r="AG116" s="184"/>
      <c r="AH116" s="182">
        <f>LíneaBase!N366</f>
        <v>1.2377583021187898E-6</v>
      </c>
      <c r="AI116" s="184"/>
      <c r="AJ116" s="182">
        <f>Escenario1!BP718</f>
        <v>0</v>
      </c>
      <c r="AK116" s="184"/>
      <c r="AL116" s="182">
        <f>Escenario2!BP366</f>
        <v>0</v>
      </c>
      <c r="AM116" s="151"/>
      <c r="BA116" s="152"/>
      <c r="BB116" s="75">
        <v>111</v>
      </c>
      <c r="BC116" s="190">
        <f>ABS(LíneaBase!L117-LíneaBase!L116)</f>
        <v>8.8923110891202528E-3</v>
      </c>
      <c r="BD116" s="190">
        <f>ABS(Escenario1!BN117-Escenario1!BN116)</f>
        <v>1.0180423260343963E-2</v>
      </c>
      <c r="BE116" s="190">
        <f>ABS(Escenario2!BN117-Escenario2!BN116)</f>
        <v>1.173498249717464E-2</v>
      </c>
      <c r="BF116" s="151"/>
    </row>
    <row r="117" spans="25:58">
      <c r="Y117" s="152"/>
      <c r="Z117" s="183">
        <f>(LíneaBase!C118-0.44)/(MAX(LíneaBase!C:C)+0.12)*100</f>
        <v>15.279680052594093</v>
      </c>
      <c r="AA117" s="184"/>
      <c r="AB117" s="182">
        <f>LíneaBase!L391</f>
        <v>1.5965639279982606</v>
      </c>
      <c r="AC117" s="184"/>
      <c r="AD117" s="182">
        <f>Escenario1!BN54</f>
        <v>1.478946407637026</v>
      </c>
      <c r="AE117" s="184"/>
      <c r="AF117" s="182">
        <f>Escenario2!BN426</f>
        <v>1.0861951685028539</v>
      </c>
      <c r="AG117" s="184"/>
      <c r="AH117" s="182">
        <f>LíneaBase!N731</f>
        <v>1.2377583021187898E-6</v>
      </c>
      <c r="AI117" s="184"/>
      <c r="AJ117" s="182">
        <f>Escenario1!BP735</f>
        <v>0</v>
      </c>
      <c r="AK117" s="184"/>
      <c r="AL117" s="182">
        <f>Escenario2!BP731</f>
        <v>0</v>
      </c>
      <c r="AM117" s="151"/>
      <c r="BA117" s="152"/>
      <c r="BB117" s="75">
        <v>112</v>
      </c>
      <c r="BC117" s="190">
        <f>ABS(LíneaBase!L118-LíneaBase!L117)</f>
        <v>4.2380670159990474E-3</v>
      </c>
      <c r="BD117" s="190">
        <f>ABS(Escenario1!BN118-Escenario1!BN117)</f>
        <v>6.857853161639671E-3</v>
      </c>
      <c r="BE117" s="190">
        <f>ABS(Escenario2!BN118-Escenario2!BN117)</f>
        <v>7.5892067296123855E-3</v>
      </c>
      <c r="BF117" s="151"/>
    </row>
    <row r="118" spans="25:58">
      <c r="Y118" s="152"/>
      <c r="Z118" s="183">
        <f>(LíneaBase!C119-0.44)/(MAX(LíneaBase!C:C)+0.12)*100</f>
        <v>15.41664383936887</v>
      </c>
      <c r="AA118" s="184"/>
      <c r="AB118" s="182">
        <f>LíneaBase!L431</f>
        <v>1.593093184584141</v>
      </c>
      <c r="AC118" s="184"/>
      <c r="AD118" s="182">
        <f>Escenario1!BN376</f>
        <v>1.4671729718940023</v>
      </c>
      <c r="AE118" s="184"/>
      <c r="AF118" s="182">
        <f>Escenario2!BN70</f>
        <v>1.0859292322600702</v>
      </c>
      <c r="AG118" s="184"/>
      <c r="AH118" s="182">
        <f>LíneaBase!N329</f>
        <v>1.5136918328103932E-7</v>
      </c>
      <c r="AI118" s="184"/>
      <c r="AJ118" s="182">
        <f>Escenario1!BP32</f>
        <v>0</v>
      </c>
      <c r="AK118" s="184"/>
      <c r="AL118" s="182">
        <f>Escenario2!BP329</f>
        <v>0</v>
      </c>
      <c r="AM118" s="151"/>
      <c r="BA118" s="152"/>
      <c r="BB118" s="75">
        <v>113</v>
      </c>
      <c r="BC118" s="190">
        <f>ABS(LíneaBase!L119-LíneaBase!L118)</f>
        <v>1.1573543738234049E-2</v>
      </c>
      <c r="BD118" s="190">
        <f>ABS(Escenario1!BN119-Escenario1!BN118)</f>
        <v>1.2875577738715505E-2</v>
      </c>
      <c r="BE118" s="190">
        <f>ABS(Escenario2!BN119-Escenario2!BN118)</f>
        <v>1.3995016169797037E-2</v>
      </c>
      <c r="BF118" s="151"/>
    </row>
    <row r="119" spans="25:58">
      <c r="Y119" s="152"/>
      <c r="Z119" s="183">
        <f>(LíneaBase!C120-0.44)/(MAX(LíneaBase!C:C)+0.12)*100</f>
        <v>15.553607626143648</v>
      </c>
      <c r="AA119" s="184"/>
      <c r="AB119" s="182">
        <f>LíneaBase!L461</f>
        <v>1.5925974617576997</v>
      </c>
      <c r="AC119" s="184"/>
      <c r="AD119" s="182">
        <f>Escenario1!BN18</f>
        <v>1.4529694577386545</v>
      </c>
      <c r="AE119" s="184"/>
      <c r="AF119" s="182">
        <f>Escenario2!BN64</f>
        <v>1.0857751930603377</v>
      </c>
      <c r="AG119" s="184"/>
      <c r="AH119" s="182">
        <f>LíneaBase!N694</f>
        <v>1.5136918328103932E-7</v>
      </c>
      <c r="AI119" s="184"/>
      <c r="AJ119" s="182">
        <f>Escenario1!BP397</f>
        <v>0</v>
      </c>
      <c r="AK119" s="184"/>
      <c r="AL119" s="182">
        <f>Escenario2!BP694</f>
        <v>0</v>
      </c>
      <c r="AM119" s="151"/>
      <c r="BA119" s="152"/>
      <c r="BB119" s="75">
        <v>114</v>
      </c>
      <c r="BC119" s="190">
        <f>ABS(LíneaBase!L120-LíneaBase!L119)</f>
        <v>8.6362941827735629E-3</v>
      </c>
      <c r="BD119" s="190">
        <f>ABS(Escenario1!BN120-Escenario1!BN119)</f>
        <v>9.9218210311338151E-3</v>
      </c>
      <c r="BE119" s="190">
        <f>ABS(Escenario2!BN120-Escenario2!BN119)</f>
        <v>1.1361480933435697E-2</v>
      </c>
      <c r="BF119" s="151"/>
    </row>
    <row r="120" spans="25:58">
      <c r="Y120" s="152"/>
      <c r="Z120" s="183">
        <f>(LíneaBase!C121-0.44)/(MAX(LíneaBase!C:C)+0.12)*100</f>
        <v>15.690571412918425</v>
      </c>
      <c r="AA120" s="184"/>
      <c r="AB120" s="182">
        <f>LíneaBase!L67</f>
        <v>1.5690351038139871</v>
      </c>
      <c r="AC120" s="184"/>
      <c r="AD120" s="182">
        <f>Escenario1!BN27</f>
        <v>1.4514796763311699</v>
      </c>
      <c r="AE120" s="184"/>
      <c r="AF120" s="182">
        <f>Escenario2!BN71</f>
        <v>1.0851782798068332</v>
      </c>
      <c r="AG120" s="184"/>
      <c r="AH120" s="182">
        <f>LíneaBase!N85</f>
        <v>0</v>
      </c>
      <c r="AI120" s="184"/>
      <c r="AJ120" s="182">
        <f>Escenario1!BP369</f>
        <v>0</v>
      </c>
      <c r="AK120" s="184"/>
      <c r="AL120" s="182">
        <f>Escenario2!BP85</f>
        <v>0</v>
      </c>
      <c r="AM120" s="151"/>
      <c r="BA120" s="152"/>
      <c r="BB120" s="75">
        <v>115</v>
      </c>
      <c r="BC120" s="190">
        <f>ABS(LíneaBase!L121-LíneaBase!L120)</f>
        <v>8.0827251725525961E-3</v>
      </c>
      <c r="BD120" s="190">
        <f>ABS(Escenario1!BN121-Escenario1!BN120)</f>
        <v>9.6951677616021747E-3</v>
      </c>
      <c r="BE120" s="190">
        <f>ABS(Escenario2!BN121-Escenario2!BN120)</f>
        <v>1.0826235301795828E-2</v>
      </c>
      <c r="BF120" s="151"/>
    </row>
    <row r="121" spans="25:58">
      <c r="Y121" s="152"/>
      <c r="Z121" s="183">
        <f>(LíneaBase!C122-0.44)/(MAX(LíneaBase!C:C)+0.12)*100</f>
        <v>15.827535199693202</v>
      </c>
      <c r="AA121" s="184"/>
      <c r="AB121" s="182">
        <f>LíneaBase!L96</f>
        <v>1.5657471769351505</v>
      </c>
      <c r="AC121" s="184"/>
      <c r="AD121" s="182">
        <f>Escenario1!BN32</f>
        <v>1.451145578959371</v>
      </c>
      <c r="AE121" s="184"/>
      <c r="AF121" s="182">
        <f>Escenario2!BN72</f>
        <v>1.0844388058473786</v>
      </c>
      <c r="AG121" s="184"/>
      <c r="AH121" s="182">
        <f>LíneaBase!N450</f>
        <v>0</v>
      </c>
      <c r="AI121" s="184"/>
      <c r="AJ121" s="182">
        <f>Escenario1!BP734</f>
        <v>0</v>
      </c>
      <c r="AK121" s="184"/>
      <c r="AL121" s="182">
        <f>Escenario2!BP450</f>
        <v>0</v>
      </c>
      <c r="AM121" s="151"/>
      <c r="BA121" s="152"/>
      <c r="BB121" s="75">
        <v>116</v>
      </c>
      <c r="BC121" s="190">
        <f>ABS(LíneaBase!L122-LíneaBase!L121)</f>
        <v>1.2899406542708087</v>
      </c>
      <c r="BD121" s="190">
        <f>ABS(Escenario1!BN122-Escenario1!BN121)</f>
        <v>0.31667292246729417</v>
      </c>
      <c r="BE121" s="190">
        <f>ABS(Escenario2!BN122-Escenario2!BN121)</f>
        <v>0.15637476119883775</v>
      </c>
      <c r="BF121" s="151"/>
    </row>
    <row r="122" spans="25:58">
      <c r="Y122" s="152"/>
      <c r="Z122" s="183">
        <f>(LíneaBase!C123-0.44)/(MAX(LíneaBase!C:C)+0.12)*100</f>
        <v>15.964498986467978</v>
      </c>
      <c r="AA122" s="184"/>
      <c r="AB122" s="182">
        <f>LíneaBase!L397</f>
        <v>1.5648020525737827</v>
      </c>
      <c r="AC122" s="184"/>
      <c r="AD122" s="182">
        <f>Escenario1!BN48</f>
        <v>1.4364290169551752</v>
      </c>
      <c r="AE122" s="184"/>
      <c r="AF122" s="182">
        <f>Escenario2!BN63</f>
        <v>1.0822914045896848</v>
      </c>
      <c r="AG122" s="184"/>
      <c r="AH122" s="182">
        <f>LíneaBase!N108</f>
        <v>0</v>
      </c>
      <c r="AI122" s="184"/>
      <c r="AJ122" s="182">
        <f>Escenario1!BP366</f>
        <v>0</v>
      </c>
      <c r="AK122" s="184"/>
      <c r="AL122" s="182">
        <f>Escenario2!BP108</f>
        <v>0</v>
      </c>
      <c r="AM122" s="151"/>
      <c r="BA122" s="152"/>
      <c r="BB122" s="75">
        <v>117</v>
      </c>
      <c r="BC122" s="190">
        <f>ABS(LíneaBase!L123-LíneaBase!L122)</f>
        <v>1.0352787420607164</v>
      </c>
      <c r="BD122" s="190">
        <f>ABS(Escenario1!BN123-Escenario1!BN122)</f>
        <v>7.065407823543568E-2</v>
      </c>
      <c r="BE122" s="190">
        <f>ABS(Escenario2!BN123-Escenario2!BN122)</f>
        <v>1.9409243867825055E-3</v>
      </c>
      <c r="BF122" s="151"/>
    </row>
    <row r="123" spans="25:58">
      <c r="Y123" s="152"/>
      <c r="Z123" s="183">
        <f>(LíneaBase!C124-0.44)/(MAX(LíneaBase!C:C)+0.12)*100</f>
        <v>16.101462773242755</v>
      </c>
      <c r="AA123" s="184"/>
      <c r="AB123" s="182">
        <f>LíneaBase!L66</f>
        <v>1.5569553810692396</v>
      </c>
      <c r="AC123" s="184"/>
      <c r="AD123" s="182">
        <f>Escenario1!BN12</f>
        <v>1.4338005299955028</v>
      </c>
      <c r="AE123" s="184"/>
      <c r="AF123" s="182">
        <f>Escenario2!BN484</f>
        <v>1.0822525937824135</v>
      </c>
      <c r="AG123" s="184"/>
      <c r="AH123" s="182">
        <f>LíneaBase!N473</f>
        <v>0</v>
      </c>
      <c r="AI123" s="184"/>
      <c r="AJ123" s="182">
        <f>Escenario1!BP731</f>
        <v>0</v>
      </c>
      <c r="AK123" s="184"/>
      <c r="AL123" s="182">
        <f>Escenario2!BP473</f>
        <v>0</v>
      </c>
      <c r="AM123" s="151"/>
      <c r="BA123" s="152"/>
      <c r="BB123" s="75">
        <v>118</v>
      </c>
      <c r="BC123" s="190">
        <f>ABS(LíneaBase!L124-LíneaBase!L123)</f>
        <v>7.1122435527259831E-2</v>
      </c>
      <c r="BD123" s="190">
        <f>ABS(Escenario1!BN124-Escenario1!BN123)</f>
        <v>6.6186479813014065E-2</v>
      </c>
      <c r="BE123" s="190">
        <f>ABS(Escenario2!BN124-Escenario2!BN123)</f>
        <v>4.5654138043662584E-3</v>
      </c>
      <c r="BF123" s="151"/>
    </row>
    <row r="124" spans="25:58">
      <c r="Y124" s="152"/>
      <c r="Z124" s="183">
        <f>(LíneaBase!C125-0.44)/(MAX(LíneaBase!C:C)+0.12)*100</f>
        <v>16.238426560017533</v>
      </c>
      <c r="AA124" s="184"/>
      <c r="AB124" s="182">
        <f>LíneaBase!L457</f>
        <v>1.5500607500484915</v>
      </c>
      <c r="AC124" s="184"/>
      <c r="AD124" s="182">
        <f>Escenario1!BN72</f>
        <v>1.4333904418394721</v>
      </c>
      <c r="AE124" s="184"/>
      <c r="AF124" s="182">
        <f>Escenario2!BN125</f>
        <v>1.0821256801651473</v>
      </c>
      <c r="AG124" s="184"/>
      <c r="AH124" s="182">
        <f>LíneaBase!N67</f>
        <v>0</v>
      </c>
      <c r="AI124" s="184"/>
      <c r="AJ124" s="182">
        <f>Escenario1!BP329</f>
        <v>0</v>
      </c>
      <c r="AK124" s="184"/>
      <c r="AL124" s="182">
        <f>Escenario2!BP67</f>
        <v>0</v>
      </c>
      <c r="AM124" s="151"/>
      <c r="BA124" s="152"/>
      <c r="BB124" s="75">
        <v>119</v>
      </c>
      <c r="BC124" s="190">
        <f>ABS(LíneaBase!L125-LíneaBase!L124)</f>
        <v>7.0566643501037474E-2</v>
      </c>
      <c r="BD124" s="190">
        <f>ABS(Escenario1!BN125-Escenario1!BN124)</f>
        <v>6.563682895796763E-2</v>
      </c>
      <c r="BE124" s="190">
        <f>ABS(Escenario2!BN125-Escenario2!BN124)</f>
        <v>7.5148224649037365E-2</v>
      </c>
      <c r="BF124" s="151"/>
    </row>
    <row r="125" spans="25:58">
      <c r="Y125" s="152"/>
      <c r="Z125" s="183">
        <f>(LíneaBase!C126-0.44)/(MAX(LíneaBase!C:C)+0.12)*100</f>
        <v>16.375390346792308</v>
      </c>
      <c r="AA125" s="184"/>
      <c r="AB125" s="182">
        <f>LíneaBase!L436</f>
        <v>1.5476666242044625</v>
      </c>
      <c r="AC125" s="184"/>
      <c r="AD125" s="182">
        <f>Escenario1!BN26</f>
        <v>1.4317970981096502</v>
      </c>
      <c r="AE125" s="184"/>
      <c r="AF125" s="182">
        <f>Escenario2!BN62</f>
        <v>1.0777758778939244</v>
      </c>
      <c r="AG125" s="184"/>
      <c r="AH125" s="182">
        <f>LíneaBase!N79</f>
        <v>0</v>
      </c>
      <c r="AI125" s="184"/>
      <c r="AJ125" s="182">
        <f>Escenario1!BP694</f>
        <v>0</v>
      </c>
      <c r="AK125" s="184"/>
      <c r="AL125" s="182">
        <f>Escenario2!BP79</f>
        <v>0</v>
      </c>
      <c r="AM125" s="151"/>
      <c r="BA125" s="152"/>
      <c r="BB125" s="75">
        <v>120</v>
      </c>
      <c r="BC125" s="190">
        <f>ABS(LíneaBase!L126-LíneaBase!L125)</f>
        <v>6.6535127166300279E-2</v>
      </c>
      <c r="BD125" s="190">
        <f>ABS(Escenario1!BN126-Escenario1!BN125)</f>
        <v>6.2040879595030018E-2</v>
      </c>
      <c r="BE125" s="190">
        <f>ABS(Escenario2!BN126-Escenario2!BN125)</f>
        <v>7.0942652635432646E-2</v>
      </c>
      <c r="BF125" s="151"/>
    </row>
    <row r="126" spans="25:58">
      <c r="Y126" s="152"/>
      <c r="Z126" s="183">
        <f>(LíneaBase!C127-0.44)/(MAX(LíneaBase!C:C)+0.12)*100</f>
        <v>16.512354133567083</v>
      </c>
      <c r="AA126" s="184"/>
      <c r="AB126" s="182">
        <f>LíneaBase!L26</f>
        <v>1.5428633584480724</v>
      </c>
      <c r="AC126" s="184"/>
      <c r="AD126" s="182">
        <f>Escenario1!BN31</f>
        <v>1.4294766267691843</v>
      </c>
      <c r="AE126" s="184"/>
      <c r="AF126" s="182">
        <f>Escenario2!BN425</f>
        <v>1.0774296437758295</v>
      </c>
      <c r="AG126" s="184"/>
      <c r="AH126" s="182">
        <f>LíneaBase!N299</f>
        <v>0</v>
      </c>
      <c r="AI126" s="184"/>
      <c r="AJ126" s="182">
        <f>Escenario1!BP108</f>
        <v>0</v>
      </c>
      <c r="AK126" s="184"/>
      <c r="AL126" s="182">
        <f>Escenario2!BP299</f>
        <v>0</v>
      </c>
      <c r="AM126" s="151"/>
      <c r="BA126" s="152"/>
      <c r="BB126" s="75">
        <v>121</v>
      </c>
      <c r="BC126" s="190">
        <f>ABS(LíneaBase!L127-LíneaBase!L126)</f>
        <v>6.408728279520326E-2</v>
      </c>
      <c r="BD126" s="190">
        <f>ABS(Escenario1!BN127-Escenario1!BN126)</f>
        <v>5.9835086788062375E-2</v>
      </c>
      <c r="BE126" s="190">
        <f>ABS(Escenario2!BN127-Escenario2!BN126)</f>
        <v>5.6590884553173959E-2</v>
      </c>
      <c r="BF126" s="151"/>
    </row>
    <row r="127" spans="25:58">
      <c r="Y127" s="152"/>
      <c r="Z127" s="183">
        <f>(LíneaBase!C128-0.44)/(MAX(LíneaBase!C:C)+0.12)*100</f>
        <v>16.649317920341861</v>
      </c>
      <c r="AA127" s="184"/>
      <c r="AB127" s="182">
        <f>LíneaBase!L419</f>
        <v>1.541426568056508</v>
      </c>
      <c r="AC127" s="184"/>
      <c r="AD127" s="182">
        <f>Escenario1!BN70</f>
        <v>1.4290528625574308</v>
      </c>
      <c r="AE127" s="184"/>
      <c r="AF127" s="182">
        <f>Escenario2!BN115</f>
        <v>1.0773411929846035</v>
      </c>
      <c r="AG127" s="184"/>
      <c r="AH127" s="182">
        <f>LíneaBase!N432</f>
        <v>0</v>
      </c>
      <c r="AI127" s="184"/>
      <c r="AJ127" s="182">
        <f>Escenario1!BP473</f>
        <v>0</v>
      </c>
      <c r="AK127" s="184"/>
      <c r="AL127" s="182">
        <f>Escenario2!BP432</f>
        <v>0</v>
      </c>
      <c r="AM127" s="151"/>
      <c r="BA127" s="152"/>
      <c r="BB127" s="75">
        <v>122</v>
      </c>
      <c r="BC127" s="190">
        <f>ABS(LíneaBase!L128-LíneaBase!L127)</f>
        <v>3.1369033284557424E-2</v>
      </c>
      <c r="BD127" s="190">
        <f>ABS(Escenario1!BN128-Escenario1!BN127)</f>
        <v>4.9919408179591174E-2</v>
      </c>
      <c r="BE127" s="190">
        <f>ABS(Escenario2!BN128-Escenario2!BN127)</f>
        <v>1.7674025408520588E-2</v>
      </c>
      <c r="BF127" s="151"/>
    </row>
    <row r="128" spans="25:58">
      <c r="Y128" s="152"/>
      <c r="Z128" s="183">
        <f>(LíneaBase!C129-0.44)/(MAX(LíneaBase!C:C)+0.12)*100</f>
        <v>16.786281707116636</v>
      </c>
      <c r="AA128" s="184"/>
      <c r="AB128" s="182">
        <f>LíneaBase!L396</f>
        <v>1.540153542843415</v>
      </c>
      <c r="AC128" s="184"/>
      <c r="AD128" s="182">
        <f>Escenario1!BN415</f>
        <v>1.4282175773129775</v>
      </c>
      <c r="AE128" s="184"/>
      <c r="AF128" s="182">
        <f>Escenario2!BN61</f>
        <v>1.0713362725718469</v>
      </c>
      <c r="AG128" s="184"/>
      <c r="AH128" s="182">
        <f>LíneaBase!N444</f>
        <v>0</v>
      </c>
      <c r="AI128" s="184"/>
      <c r="AJ128" s="182">
        <f>Escenario1!BP67</f>
        <v>0</v>
      </c>
      <c r="AK128" s="184"/>
      <c r="AL128" s="182">
        <f>Escenario2!BP444</f>
        <v>0</v>
      </c>
      <c r="AM128" s="151"/>
      <c r="BA128" s="152"/>
      <c r="BB128" s="75">
        <v>123</v>
      </c>
      <c r="BC128" s="190">
        <f>ABS(LíneaBase!L129-LíneaBase!L128)</f>
        <v>1.1348472393215236E-2</v>
      </c>
      <c r="BD128" s="190">
        <f>ABS(Escenario1!BN129-Escenario1!BN128)</f>
        <v>1.5749272369606104E-2</v>
      </c>
      <c r="BE128" s="190">
        <f>ABS(Escenario2!BN129-Escenario2!BN128)</f>
        <v>1.1126568300502293E-2</v>
      </c>
      <c r="BF128" s="151"/>
    </row>
    <row r="129" spans="25:58">
      <c r="Y129" s="152"/>
      <c r="Z129" s="183">
        <f>(LíneaBase!C130-0.44)/(MAX(LíneaBase!C:C)+0.12)*100</f>
        <v>16.923245493891415</v>
      </c>
      <c r="AA129" s="184"/>
      <c r="AB129" s="182">
        <f>LíneaBase!L421</f>
        <v>1.5387420644561185</v>
      </c>
      <c r="AC129" s="184"/>
      <c r="AD129" s="182">
        <f>Escenario1!BN100</f>
        <v>1.425606635161734</v>
      </c>
      <c r="AE129" s="184"/>
      <c r="AF129" s="182">
        <f>Escenario2!BN485</f>
        <v>1.0702682058847544</v>
      </c>
      <c r="AG129" s="184"/>
      <c r="AH129" s="182">
        <f>LíneaBase!N664</f>
        <v>0</v>
      </c>
      <c r="AI129" s="184"/>
      <c r="AJ129" s="182">
        <f>Escenario1!BP299</f>
        <v>0</v>
      </c>
      <c r="AK129" s="184"/>
      <c r="AL129" s="182">
        <f>Escenario2!BP664</f>
        <v>0</v>
      </c>
      <c r="AM129" s="151"/>
      <c r="BA129" s="152"/>
      <c r="BB129" s="75">
        <v>124</v>
      </c>
      <c r="BC129" s="190">
        <f>ABS(LíneaBase!L130-LíneaBase!L129)</f>
        <v>7.9658035029048779E-3</v>
      </c>
      <c r="BD129" s="190">
        <f>ABS(Escenario1!BN130-Escenario1!BN129)</f>
        <v>9.7709142454759368E-3</v>
      </c>
      <c r="BE129" s="190">
        <f>ABS(Escenario2!BN130-Escenario2!BN129)</f>
        <v>9.9513791948708796E-3</v>
      </c>
      <c r="BF129" s="151"/>
    </row>
    <row r="130" spans="25:58">
      <c r="Y130" s="152"/>
      <c r="Z130" s="183">
        <f>(LíneaBase!C131-0.44)/(MAX(LíneaBase!C:C)+0.12)*100</f>
        <v>17.060209280666193</v>
      </c>
      <c r="AA130" s="184"/>
      <c r="AB130" s="182">
        <f>LíneaBase!L378</f>
        <v>1.5302740262128074</v>
      </c>
      <c r="AC130" s="184"/>
      <c r="AD130" s="182">
        <f>Escenario1!BN374</f>
        <v>1.4244029548304611</v>
      </c>
      <c r="AE130" s="184"/>
      <c r="AF130" s="182">
        <f>Escenario2!BN424</f>
        <v>1.0691325728682337</v>
      </c>
      <c r="AG130" s="184"/>
      <c r="AH130" s="182">
        <f>LíneaBase!N8</f>
        <v>0</v>
      </c>
      <c r="AI130" s="184"/>
      <c r="AJ130" s="182">
        <f>Escenario1!BP432</f>
        <v>0</v>
      </c>
      <c r="AK130" s="184"/>
      <c r="AL130" s="182">
        <f>Escenario2!BP8</f>
        <v>0</v>
      </c>
      <c r="AM130" s="151"/>
      <c r="BA130" s="152"/>
      <c r="BB130" s="75">
        <v>125</v>
      </c>
      <c r="BC130" s="190">
        <f>ABS(LíneaBase!L131-LíneaBase!L130)</f>
        <v>7.3445617538557828E-3</v>
      </c>
      <c r="BD130" s="190">
        <f>ABS(Escenario1!BN131-Escenario1!BN130)</f>
        <v>8.7996533363277063E-3</v>
      </c>
      <c r="BE130" s="190">
        <f>ABS(Escenario2!BN131-Escenario2!BN130)</f>
        <v>9.6686409475102986E-3</v>
      </c>
      <c r="BF130" s="151"/>
    </row>
    <row r="131" spans="25:58">
      <c r="Y131" s="152"/>
      <c r="Z131" s="183">
        <f>(LíneaBase!C132-0.44)/(MAX(LíneaBase!C:C)+0.12)*100</f>
        <v>17.197173067440968</v>
      </c>
      <c r="AA131" s="184"/>
      <c r="AB131" s="182">
        <f>LíneaBase!L92</f>
        <v>1.5221256255636699</v>
      </c>
      <c r="AC131" s="184"/>
      <c r="AD131" s="182">
        <f>Escenario1!BN466</f>
        <v>1.4231664064401881</v>
      </c>
      <c r="AE131" s="184"/>
      <c r="AF131" s="182">
        <f>Escenario2!BN423</f>
        <v>1.0634146188590123</v>
      </c>
      <c r="AG131" s="184"/>
      <c r="AH131" s="182">
        <f>LíneaBase!N10</f>
        <v>0</v>
      </c>
      <c r="AI131" s="184"/>
      <c r="AJ131" s="182">
        <f>Escenario1!BP664</f>
        <v>0</v>
      </c>
      <c r="AK131" s="184"/>
      <c r="AL131" s="182">
        <f>Escenario2!BP10</f>
        <v>0</v>
      </c>
      <c r="AM131" s="151"/>
      <c r="BA131" s="152"/>
      <c r="BB131" s="75">
        <v>126</v>
      </c>
      <c r="BC131" s="190">
        <f>ABS(LíneaBase!L132-LíneaBase!L131)</f>
        <v>7.1821316320989093E-3</v>
      </c>
      <c r="BD131" s="190">
        <f>ABS(Escenario1!BN132-Escenario1!BN131)</f>
        <v>8.7157376305503353E-3</v>
      </c>
      <c r="BE131" s="190">
        <f>ABS(Escenario2!BN132-Escenario2!BN131)</f>
        <v>9.5349774618496141E-3</v>
      </c>
      <c r="BF131" s="151"/>
    </row>
    <row r="132" spans="25:58">
      <c r="Y132" s="152"/>
      <c r="Z132" s="183">
        <f>(LíneaBase!C133-0.44)/(MAX(LíneaBase!C:C)+0.12)*100</f>
        <v>17.334136854215746</v>
      </c>
      <c r="AA132" s="184"/>
      <c r="AB132" s="182">
        <f>LíneaBase!L32</f>
        <v>1.5141990459537686</v>
      </c>
      <c r="AC132" s="184"/>
      <c r="AD132" s="182">
        <f>Escenario1!BN385</f>
        <v>1.4147616691071587</v>
      </c>
      <c r="AE132" s="184"/>
      <c r="AF132" s="182">
        <f>Escenario2!BN60</f>
        <v>1.0632568049007305</v>
      </c>
      <c r="AG132" s="184"/>
      <c r="AH132" s="182">
        <f>LíneaBase!N13</f>
        <v>0</v>
      </c>
      <c r="AI132" s="184"/>
      <c r="AJ132" s="182">
        <f>Escenario1!BP69</f>
        <v>0</v>
      </c>
      <c r="AK132" s="184"/>
      <c r="AL132" s="182">
        <f>Escenario2!BP13</f>
        <v>0</v>
      </c>
      <c r="AM132" s="151"/>
      <c r="BA132" s="152"/>
      <c r="BB132" s="75">
        <v>127</v>
      </c>
      <c r="BC132" s="190">
        <f>ABS(LíneaBase!L133-LíneaBase!L132)</f>
        <v>7.0964197535414719E-3</v>
      </c>
      <c r="BD132" s="190">
        <f>ABS(Escenario1!BN133-Escenario1!BN132)</f>
        <v>8.6325992634850301E-3</v>
      </c>
      <c r="BE132" s="190">
        <f>ABS(Escenario2!BN133-Escenario2!BN132)</f>
        <v>9.4270240956736417E-3</v>
      </c>
      <c r="BF132" s="151"/>
    </row>
    <row r="133" spans="25:58">
      <c r="Y133" s="152"/>
      <c r="Z133" s="183">
        <f>(LíneaBase!C134-0.44)/(MAX(LíneaBase!C:C)+0.12)*100</f>
        <v>17.471100640990521</v>
      </c>
      <c r="AA133" s="184"/>
      <c r="AB133" s="182">
        <f>LíneaBase!L71</f>
        <v>1.5132744517588801</v>
      </c>
      <c r="AC133" s="184"/>
      <c r="AD133" s="182">
        <f>Escenario1!BN388</f>
        <v>1.410364202404959</v>
      </c>
      <c r="AE133" s="184"/>
      <c r="AF133" s="182">
        <f>Escenario2!BN116</f>
        <v>1.0629124034383113</v>
      </c>
      <c r="AG133" s="184"/>
      <c r="AH133" s="182">
        <f>LíneaBase!N14</f>
        <v>0</v>
      </c>
      <c r="AI133" s="184"/>
      <c r="AJ133" s="182">
        <f>Escenario1!BP434</f>
        <v>0</v>
      </c>
      <c r="AK133" s="184"/>
      <c r="AL133" s="182">
        <f>Escenario2!BP14</f>
        <v>0</v>
      </c>
      <c r="AM133" s="151"/>
      <c r="BA133" s="152"/>
      <c r="BB133" s="75">
        <v>128</v>
      </c>
      <c r="BC133" s="190">
        <f>ABS(LíneaBase!L134-LíneaBase!L133)</f>
        <v>7.0240171832753884E-3</v>
      </c>
      <c r="BD133" s="190">
        <f>ABS(Escenario1!BN134-Escenario1!BN133)</f>
        <v>8.5502776339372311E-3</v>
      </c>
      <c r="BE133" s="190">
        <f>ABS(Escenario2!BN134-Escenario2!BN133)</f>
        <v>9.3242987732267135E-3</v>
      </c>
      <c r="BF133" s="151"/>
    </row>
    <row r="134" spans="25:58">
      <c r="Y134" s="152"/>
      <c r="Z134" s="183">
        <f>(LíneaBase!C135-0.44)/(MAX(LíneaBase!C:C)+0.12)*100</f>
        <v>17.608064427765299</v>
      </c>
      <c r="AA134" s="184"/>
      <c r="AB134" s="182">
        <f>LíneaBase!L413</f>
        <v>1.5122886923568097</v>
      </c>
      <c r="AC134" s="184"/>
      <c r="AD134" s="182">
        <f>Escenario1!BN401</f>
        <v>1.4065575756494011</v>
      </c>
      <c r="AE134" s="184"/>
      <c r="AF134" s="182">
        <f>Escenario2!BN491</f>
        <v>1.0596408928304655</v>
      </c>
      <c r="AG134" s="184"/>
      <c r="AH134" s="182">
        <f>LíneaBase!N15</f>
        <v>0</v>
      </c>
      <c r="AI134" s="184"/>
      <c r="AJ134" s="182">
        <f>Escenario1!BP8</f>
        <v>0</v>
      </c>
      <c r="AK134" s="184"/>
      <c r="AL134" s="182">
        <f>Escenario2!BP15</f>
        <v>0</v>
      </c>
      <c r="AM134" s="151"/>
      <c r="BA134" s="152"/>
      <c r="BB134" s="75">
        <v>129</v>
      </c>
      <c r="BC134" s="190">
        <f>ABS(LíneaBase!L135-LíneaBase!L134)</f>
        <v>5.5918495277379465E-3</v>
      </c>
      <c r="BD134" s="190">
        <f>ABS(Escenario1!BN135-Escenario1!BN134)</f>
        <v>7.720271421299052E-3</v>
      </c>
      <c r="BE134" s="190">
        <f>ABS(Escenario2!BN135-Escenario2!BN134)</f>
        <v>8.024350292297755E-3</v>
      </c>
      <c r="BF134" s="151"/>
    </row>
    <row r="135" spans="25:58">
      <c r="Y135" s="152"/>
      <c r="Z135" s="183">
        <f>(LíneaBase!C136-0.44)/(MAX(LíneaBase!C:C)+0.12)*100</f>
        <v>17.745028214540078</v>
      </c>
      <c r="AA135" s="184"/>
      <c r="AB135" s="182">
        <f>LíneaBase!L384</f>
        <v>1.5104212901406047</v>
      </c>
      <c r="AC135" s="184"/>
      <c r="AD135" s="182">
        <f>Escenario1!BN402</f>
        <v>1.4050453703018129</v>
      </c>
      <c r="AE135" s="184"/>
      <c r="AF135" s="182">
        <f>Escenario2!BN486</f>
        <v>1.058826791567854</v>
      </c>
      <c r="AG135" s="184"/>
      <c r="AH135" s="182">
        <f>LíneaBase!N16</f>
        <v>0</v>
      </c>
      <c r="AI135" s="184"/>
      <c r="AJ135" s="182">
        <f>Escenario1!BP10</f>
        <v>0</v>
      </c>
      <c r="AK135" s="184"/>
      <c r="AL135" s="182">
        <f>Escenario2!BP16</f>
        <v>0</v>
      </c>
      <c r="AM135" s="151"/>
      <c r="BA135" s="152"/>
      <c r="BB135" s="75">
        <v>130</v>
      </c>
      <c r="BC135" s="190">
        <f>ABS(LíneaBase!L136-LíneaBase!L135)</f>
        <v>8.0222555862782263E-3</v>
      </c>
      <c r="BD135" s="190">
        <f>ABS(Escenario1!BN136-Escenario1!BN135)</f>
        <v>9.1362262601264455E-3</v>
      </c>
      <c r="BE135" s="190">
        <f>ABS(Escenario2!BN136-Escenario2!BN135)</f>
        <v>1.0123802080358679E-2</v>
      </c>
      <c r="BF135" s="151"/>
    </row>
    <row r="136" spans="25:58">
      <c r="Y136" s="152"/>
      <c r="Z136" s="183">
        <f>(LíneaBase!C137-0.44)/(MAX(LíneaBase!C:C)+0.12)*100</f>
        <v>17.881992001314853</v>
      </c>
      <c r="AA136" s="184"/>
      <c r="AB136" s="182">
        <f>LíneaBase!L54</f>
        <v>1.5007291465354489</v>
      </c>
      <c r="AC136" s="184"/>
      <c r="AD136" s="182">
        <f>Escenario1!BN379</f>
        <v>1.3990447613042354</v>
      </c>
      <c r="AE136" s="184"/>
      <c r="AF136" s="182">
        <f>Escenario2!BN422</f>
        <v>1.0580280261663702</v>
      </c>
      <c r="AG136" s="184"/>
      <c r="AH136" s="182">
        <f>LíneaBase!N17</f>
        <v>0</v>
      </c>
      <c r="AI136" s="184"/>
      <c r="AJ136" s="182">
        <f>Escenario1!BP13</f>
        <v>0</v>
      </c>
      <c r="AK136" s="184"/>
      <c r="AL136" s="182">
        <f>Escenario2!BP17</f>
        <v>0</v>
      </c>
      <c r="AM136" s="151"/>
      <c r="BA136" s="152"/>
      <c r="BB136" s="75">
        <v>131</v>
      </c>
      <c r="BC136" s="190">
        <f>ABS(LíneaBase!L137-LíneaBase!L136)</f>
        <v>7.0065244368137103E-3</v>
      </c>
      <c r="BD136" s="190">
        <f>ABS(Escenario1!BN137-Escenario1!BN136)</f>
        <v>8.3077921958799594E-3</v>
      </c>
      <c r="BE136" s="190">
        <f>ABS(Escenario2!BN137-Escenario2!BN136)</f>
        <v>9.1911426380599792E-3</v>
      </c>
      <c r="BF136" s="151"/>
    </row>
    <row r="137" spans="25:58">
      <c r="Y137" s="152"/>
      <c r="Z137" s="183">
        <f>(LíneaBase!C138-0.44)/(MAX(LíneaBase!C:C)+0.12)*100</f>
        <v>18.018955788089631</v>
      </c>
      <c r="AA137" s="184"/>
      <c r="AB137" s="182">
        <f>LíneaBase!L433</f>
        <v>1.5002614277719444</v>
      </c>
      <c r="AC137" s="184"/>
      <c r="AD137" s="182">
        <f>Escenario1!BN25</f>
        <v>1.3973680126865413</v>
      </c>
      <c r="AE137" s="184"/>
      <c r="AF137" s="182">
        <f>Escenario2!BN59</f>
        <v>1.0556654838776429</v>
      </c>
      <c r="AG137" s="184"/>
      <c r="AH137" s="182">
        <f>LíneaBase!N19</f>
        <v>0</v>
      </c>
      <c r="AI137" s="184"/>
      <c r="AJ137" s="182">
        <f>Escenario1!BP14</f>
        <v>0</v>
      </c>
      <c r="AK137" s="184"/>
      <c r="AL137" s="182">
        <f>Escenario2!BP19</f>
        <v>0</v>
      </c>
      <c r="AM137" s="151"/>
      <c r="BA137" s="152"/>
      <c r="BB137" s="75">
        <v>132</v>
      </c>
      <c r="BC137" s="190">
        <f>ABS(LíneaBase!L138-LíneaBase!L137)</f>
        <v>6.7820572540817636E-3</v>
      </c>
      <c r="BD137" s="190">
        <f>ABS(Escenario1!BN138-Escenario1!BN137)</f>
        <v>8.2285676616117298E-3</v>
      </c>
      <c r="BE137" s="190">
        <f>ABS(Escenario2!BN138-Escenario2!BN137)</f>
        <v>8.9553045945304222E-3</v>
      </c>
      <c r="BF137" s="151"/>
    </row>
    <row r="138" spans="25:58">
      <c r="Y138" s="152"/>
      <c r="Z138" s="183">
        <f>(LíneaBase!C139-0.44)/(MAX(LíneaBase!C:C)+0.12)*100</f>
        <v>18.155919574864406</v>
      </c>
      <c r="AA138" s="184"/>
      <c r="AB138" s="182">
        <f>LíneaBase!L56</f>
        <v>1.498842694548111</v>
      </c>
      <c r="AC138" s="184"/>
      <c r="AD138" s="182">
        <f>Escenario1!BN49</f>
        <v>1.3924975812282754</v>
      </c>
      <c r="AE138" s="184"/>
      <c r="AF138" s="182">
        <f>Escenario2!BN421</f>
        <v>1.0537629587625255</v>
      </c>
      <c r="AG138" s="184"/>
      <c r="AH138" s="182">
        <f>LíneaBase!N20</f>
        <v>0</v>
      </c>
      <c r="AI138" s="184"/>
      <c r="AJ138" s="182">
        <f>Escenario1!BP15</f>
        <v>0</v>
      </c>
      <c r="AK138" s="184"/>
      <c r="AL138" s="182">
        <f>Escenario2!BP20</f>
        <v>0</v>
      </c>
      <c r="AM138" s="151"/>
      <c r="BA138" s="152"/>
      <c r="BB138" s="75">
        <v>133</v>
      </c>
      <c r="BC138" s="190">
        <f>ABS(LíneaBase!L139-LíneaBase!L138)</f>
        <v>6.6894405070538898E-3</v>
      </c>
      <c r="BD138" s="190">
        <f>ABS(Escenario1!BN139-Escenario1!BN138)</f>
        <v>8.1500820711769562E-3</v>
      </c>
      <c r="BE138" s="190">
        <f>ABS(Escenario2!BN139-Escenario2!BN138)</f>
        <v>8.8360014015335109E-3</v>
      </c>
      <c r="BF138" s="151"/>
    </row>
    <row r="139" spans="25:58">
      <c r="Y139" s="152"/>
      <c r="Z139" s="183">
        <f>(LíneaBase!C140-0.44)/(MAX(LíneaBase!C:C)+0.12)*100</f>
        <v>18.292883361639184</v>
      </c>
      <c r="AA139" s="184"/>
      <c r="AB139" s="182">
        <f>LíneaBase!L462</f>
        <v>1.4985392255809915</v>
      </c>
      <c r="AC139" s="184"/>
      <c r="AD139" s="182">
        <f>Escenario1!BN375</f>
        <v>1.3917897986605976</v>
      </c>
      <c r="AE139" s="184"/>
      <c r="AF139" s="182">
        <f>Escenario2!BN420</f>
        <v>1.0534616921213786</v>
      </c>
      <c r="AG139" s="184"/>
      <c r="AH139" s="182">
        <f>LíneaBase!N21</f>
        <v>0</v>
      </c>
      <c r="AI139" s="184"/>
      <c r="AJ139" s="182">
        <f>Escenario1!BP16</f>
        <v>0</v>
      </c>
      <c r="AK139" s="184"/>
      <c r="AL139" s="182">
        <f>Escenario2!BP21</f>
        <v>0</v>
      </c>
      <c r="AM139" s="151"/>
      <c r="BA139" s="152"/>
      <c r="BB139" s="75">
        <v>134</v>
      </c>
      <c r="BC139" s="190">
        <f>ABS(LíneaBase!L140-LíneaBase!L139)</f>
        <v>6.6192481060352026E-3</v>
      </c>
      <c r="BD139" s="190">
        <f>ABS(Escenario1!BN140-Escenario1!BN139)</f>
        <v>8.0723347526395761E-3</v>
      </c>
      <c r="BE139" s="190">
        <f>ABS(Escenario2!BN140-Escenario2!BN139)</f>
        <v>8.7369318530846618E-3</v>
      </c>
      <c r="BF139" s="151"/>
    </row>
    <row r="140" spans="25:58">
      <c r="Y140" s="152"/>
      <c r="Z140" s="183">
        <f>(LíneaBase!C141-0.44)/(MAX(LíneaBase!C:C)+0.12)*100</f>
        <v>18.429847148413963</v>
      </c>
      <c r="AA140" s="184"/>
      <c r="AB140" s="182">
        <f>LíneaBase!L31</f>
        <v>1.4890469709983785</v>
      </c>
      <c r="AC140" s="184"/>
      <c r="AD140" s="182">
        <f>Escenario1!BN389</f>
        <v>1.3904589736931272</v>
      </c>
      <c r="AE140" s="184"/>
      <c r="AF140" s="182">
        <f>Escenario2!BN419</f>
        <v>1.0514589263309784</v>
      </c>
      <c r="AG140" s="184"/>
      <c r="AH140" s="182">
        <f>LíneaBase!N22</f>
        <v>0</v>
      </c>
      <c r="AI140" s="184"/>
      <c r="AJ140" s="182">
        <f>Escenario1!BP17</f>
        <v>0</v>
      </c>
      <c r="AK140" s="184"/>
      <c r="AL140" s="182">
        <f>Escenario2!BP22</f>
        <v>0</v>
      </c>
      <c r="AM140" s="151"/>
      <c r="BA140" s="152"/>
      <c r="BB140" s="75">
        <v>135</v>
      </c>
      <c r="BC140" s="190">
        <f>ABS(LíneaBase!L141-LíneaBase!L140)</f>
        <v>6.5533169117937273E-3</v>
      </c>
      <c r="BD140" s="190">
        <f>ABS(Escenario1!BN141-Escenario1!BN140)</f>
        <v>7.9953296724143419E-3</v>
      </c>
      <c r="BE140" s="190">
        <f>ABS(Escenario2!BN141-Escenario2!BN140)</f>
        <v>8.6421056236899441E-3</v>
      </c>
      <c r="BF140" s="151"/>
    </row>
    <row r="141" spans="25:58">
      <c r="Y141" s="152"/>
      <c r="Z141" s="183">
        <f>(LíneaBase!C142-0.44)/(MAX(LíneaBase!C:C)+0.12)*100</f>
        <v>18.566810935188734</v>
      </c>
      <c r="AA141" s="184"/>
      <c r="AB141" s="182">
        <f>LíneaBase!L434</f>
        <v>1.4865938531803748</v>
      </c>
      <c r="AC141" s="184"/>
      <c r="AD141" s="182">
        <f>Escenario1!BN399</f>
        <v>1.3837274118093605</v>
      </c>
      <c r="AE141" s="184"/>
      <c r="AF141" s="182">
        <f>Escenario2!BN397</f>
        <v>1.051442026741809</v>
      </c>
      <c r="AG141" s="184"/>
      <c r="AH141" s="182">
        <f>LíneaBase!N24</f>
        <v>0</v>
      </c>
      <c r="AI141" s="184"/>
      <c r="AJ141" s="182">
        <f>Escenario1!BP19</f>
        <v>0</v>
      </c>
      <c r="AK141" s="184"/>
      <c r="AL141" s="182">
        <f>Escenario2!BP24</f>
        <v>0</v>
      </c>
      <c r="AM141" s="151"/>
      <c r="BA141" s="152"/>
      <c r="BB141" s="75">
        <v>136</v>
      </c>
      <c r="BC141" s="190">
        <f>ABS(LíneaBase!L142-LíneaBase!L141)</f>
        <v>6.4886276770328433E-3</v>
      </c>
      <c r="BD141" s="190">
        <f>ABS(Escenario1!BN142-Escenario1!BN141)</f>
        <v>7.9190718874908583E-3</v>
      </c>
      <c r="BE141" s="190">
        <f>ABS(Escenario2!BN142-Escenario2!BN141)</f>
        <v>8.5488590084202842E-3</v>
      </c>
      <c r="BF141" s="151"/>
    </row>
    <row r="142" spans="25:58">
      <c r="Y142" s="152"/>
      <c r="Z142" s="183">
        <f>(LíneaBase!C143-0.44)/(MAX(LíneaBase!C:C)+0.12)*100</f>
        <v>18.703774721963512</v>
      </c>
      <c r="AA142" s="184"/>
      <c r="AB142" s="182">
        <f>LíneaBase!L393</f>
        <v>1.4779699070259484</v>
      </c>
      <c r="AC142" s="184"/>
      <c r="AD142" s="182">
        <f>Escenario1!BN487</f>
        <v>1.3688410532693061</v>
      </c>
      <c r="AE142" s="184"/>
      <c r="AF142" s="182">
        <f>Escenario2!BN398</f>
        <v>1.0512182197455198</v>
      </c>
      <c r="AG142" s="184"/>
      <c r="AH142" s="182">
        <f>LíneaBase!N28</f>
        <v>0</v>
      </c>
      <c r="AI142" s="184"/>
      <c r="AJ142" s="182">
        <f>Escenario1!BP20</f>
        <v>0</v>
      </c>
      <c r="AK142" s="184"/>
      <c r="AL142" s="182">
        <f>Escenario2!BP28</f>
        <v>0</v>
      </c>
      <c r="AM142" s="151"/>
      <c r="BA142" s="152"/>
      <c r="BB142" s="75">
        <v>137</v>
      </c>
      <c r="BC142" s="190">
        <f>ABS(LíneaBase!L143-LíneaBase!L142)</f>
        <v>6.4246741287332654E-3</v>
      </c>
      <c r="BD142" s="190">
        <f>ABS(Escenario1!BN143-Escenario1!BN142)</f>
        <v>7.8435256172830758E-3</v>
      </c>
      <c r="BE142" s="190">
        <f>ABS(Escenario2!BN143-Escenario2!BN142)</f>
        <v>8.4567397990823467E-3</v>
      </c>
      <c r="BF142" s="151"/>
    </row>
    <row r="143" spans="25:58">
      <c r="Y143" s="152"/>
      <c r="Z143" s="183">
        <f>(LíneaBase!C144-0.44)/(MAX(LíneaBase!C:C)+0.12)*100</f>
        <v>18.840738508738291</v>
      </c>
      <c r="AA143" s="184"/>
      <c r="AB143" s="182">
        <f>LíneaBase!L97</f>
        <v>1.4719535030100386</v>
      </c>
      <c r="AC143" s="184"/>
      <c r="AD143" s="182">
        <f>Escenario1!BN409</f>
        <v>1.3635017935672951</v>
      </c>
      <c r="AE143" s="184"/>
      <c r="AF143" s="182">
        <f>Escenario2!BN117</f>
        <v>1.0511774209411366</v>
      </c>
      <c r="AG143" s="184"/>
      <c r="AH143" s="182">
        <f>LíneaBase!N30</f>
        <v>0</v>
      </c>
      <c r="AI143" s="184"/>
      <c r="AJ143" s="182">
        <f>Escenario1!BP21</f>
        <v>0</v>
      </c>
      <c r="AK143" s="184"/>
      <c r="AL143" s="182">
        <f>Escenario2!BP30</f>
        <v>0</v>
      </c>
      <c r="AM143" s="151"/>
      <c r="BA143" s="152"/>
      <c r="BB143" s="75">
        <v>138</v>
      </c>
      <c r="BC143" s="190">
        <f>ABS(LíneaBase!L144-LíneaBase!L143)</f>
        <v>6.3613670395312738E-3</v>
      </c>
      <c r="BD143" s="190">
        <f>ABS(Escenario1!BN144-Escenario1!BN143)</f>
        <v>7.7687107364600161E-3</v>
      </c>
      <c r="BE143" s="190">
        <f>ABS(Escenario2!BN144-Escenario2!BN143)</f>
        <v>8.3656628797580401E-3</v>
      </c>
      <c r="BF143" s="151"/>
    </row>
    <row r="144" spans="25:58">
      <c r="Y144" s="152"/>
      <c r="Z144" s="183">
        <f>(LíneaBase!C145-0.44)/(MAX(LíneaBase!C:C)+0.12)*100</f>
        <v>18.977702295513065</v>
      </c>
      <c r="AA144" s="184"/>
      <c r="AB144" s="182">
        <f>LíneaBase!L13</f>
        <v>1.4691961986309505</v>
      </c>
      <c r="AC144" s="184"/>
      <c r="AD144" s="182">
        <f>Escenario1!BN19</f>
        <v>1.3630076577950656</v>
      </c>
      <c r="AE144" s="184"/>
      <c r="AF144" s="182">
        <f>Escenario2!BN418</f>
        <v>1.0511350592045854</v>
      </c>
      <c r="AG144" s="184"/>
      <c r="AH144" s="182">
        <f>LíneaBase!N31</f>
        <v>0</v>
      </c>
      <c r="AI144" s="184"/>
      <c r="AJ144" s="182">
        <f>Escenario1!BP22</f>
        <v>0</v>
      </c>
      <c r="AK144" s="184"/>
      <c r="AL144" s="182">
        <f>Escenario2!BP31</f>
        <v>0</v>
      </c>
      <c r="AM144" s="151"/>
      <c r="BA144" s="152"/>
      <c r="BB144" s="75">
        <v>139</v>
      </c>
      <c r="BC144" s="190">
        <f>ABS(LíneaBase!L145-LíneaBase!L144)</f>
        <v>6.2986864365054407E-3</v>
      </c>
      <c r="BD144" s="190">
        <f>ABS(Escenario1!BN145-Escenario1!BN144)</f>
        <v>7.6946151457597534E-3</v>
      </c>
      <c r="BE144" s="190">
        <f>ABS(Escenario2!BN145-Escenario2!BN144)</f>
        <v>8.2756041715020823E-3</v>
      </c>
      <c r="BF144" s="151"/>
    </row>
    <row r="145" spans="25:58">
      <c r="Y145" s="152"/>
      <c r="Z145" s="183">
        <f>(LíneaBase!C146-0.44)/(MAX(LíneaBase!C:C)+0.12)*100</f>
        <v>19.114666082287844</v>
      </c>
      <c r="AA145" s="184"/>
      <c r="AB145" s="182">
        <f>LíneaBase!L48</f>
        <v>1.4691000586225718</v>
      </c>
      <c r="AC145" s="184"/>
      <c r="AD145" s="182">
        <f>Escenario1!BN467</f>
        <v>1.3549750352629104</v>
      </c>
      <c r="AE145" s="184"/>
      <c r="AF145" s="182">
        <f>Escenario2!BN399</f>
        <v>1.0509978336944639</v>
      </c>
      <c r="AG145" s="184"/>
      <c r="AH145" s="182">
        <f>LíneaBase!N33</f>
        <v>0</v>
      </c>
      <c r="AI145" s="184"/>
      <c r="AJ145" s="182">
        <f>Escenario1!BP24</f>
        <v>0</v>
      </c>
      <c r="AK145" s="184"/>
      <c r="AL145" s="182">
        <f>Escenario2!BP33</f>
        <v>0</v>
      </c>
      <c r="AM145" s="151"/>
      <c r="BA145" s="152"/>
      <c r="BB145" s="75">
        <v>140</v>
      </c>
      <c r="BC145" s="190">
        <f>ABS(LíneaBase!L146-LíneaBase!L145)</f>
        <v>6.2366238894721038E-3</v>
      </c>
      <c r="BD145" s="190">
        <f>ABS(Escenario1!BN146-Escenario1!BN145)</f>
        <v>7.6212108234199327E-3</v>
      </c>
      <c r="BE145" s="190">
        <f>ABS(Escenario2!BN146-Escenario2!BN145)</f>
        <v>8.1865498450750529E-3</v>
      </c>
      <c r="BF145" s="151"/>
    </row>
    <row r="146" spans="25:58">
      <c r="Y146" s="152"/>
      <c r="Z146" s="183">
        <f>(LíneaBase!C147-0.44)/(MAX(LíneaBase!C:C)+0.12)*100</f>
        <v>19.251629869062619</v>
      </c>
      <c r="AA146" s="184"/>
      <c r="AB146" s="182">
        <f>LíneaBase!L68</f>
        <v>1.4648322645420859</v>
      </c>
      <c r="AC146" s="184"/>
      <c r="AD146" s="182">
        <f>Escenario1!BN33</f>
        <v>1.3541550943482246</v>
      </c>
      <c r="AE146" s="184"/>
      <c r="AF146" s="182">
        <f>Escenario2!BN396</f>
        <v>1.0508203461267067</v>
      </c>
      <c r="AG146" s="184"/>
      <c r="AH146" s="182">
        <f>LíneaBase!N34</f>
        <v>0</v>
      </c>
      <c r="AI146" s="184"/>
      <c r="AJ146" s="182">
        <f>Escenario1!BP28</f>
        <v>0</v>
      </c>
      <c r="AK146" s="184"/>
      <c r="AL146" s="182">
        <f>Escenario2!BP34</f>
        <v>0</v>
      </c>
      <c r="AM146" s="151"/>
      <c r="BA146" s="152"/>
      <c r="BB146" s="75">
        <v>141</v>
      </c>
      <c r="BC146" s="190">
        <f>ABS(LíneaBase!L147-LíneaBase!L146)</f>
        <v>6.1751729340155936E-3</v>
      </c>
      <c r="BD146" s="190">
        <f>ABS(Escenario1!BN147-Escenario1!BN146)</f>
        <v>7.5485283135520165E-3</v>
      </c>
      <c r="BE146" s="190">
        <f>ABS(Escenario2!BN147-Escenario2!BN146)</f>
        <v>8.0984878919350134E-3</v>
      </c>
      <c r="BF146" s="151"/>
    </row>
    <row r="147" spans="25:58">
      <c r="Y147" s="152"/>
      <c r="Z147" s="183">
        <f>(LíneaBase!C148-0.44)/(MAX(LíneaBase!C:C)+0.12)*100</f>
        <v>19.388593655837397</v>
      </c>
      <c r="AA147" s="184"/>
      <c r="AB147" s="182">
        <f>LíneaBase!L414</f>
        <v>1.4617632259946118</v>
      </c>
      <c r="AC147" s="184"/>
      <c r="AD147" s="182">
        <f>Escenario1!BN13</f>
        <v>1.3536057718643828</v>
      </c>
      <c r="AE147" s="184"/>
      <c r="AF147" s="182">
        <f>Escenario2!BN400</f>
        <v>1.0507808162986481</v>
      </c>
      <c r="AG147" s="184"/>
      <c r="AH147" s="182">
        <f>LíneaBase!N35</f>
        <v>0</v>
      </c>
      <c r="AI147" s="184"/>
      <c r="AJ147" s="182">
        <f>Escenario1!BP30</f>
        <v>0</v>
      </c>
      <c r="AK147" s="184"/>
      <c r="AL147" s="182">
        <f>Escenario2!BP35</f>
        <v>0</v>
      </c>
      <c r="AM147" s="151"/>
      <c r="BA147" s="152"/>
      <c r="BB147" s="75">
        <v>142</v>
      </c>
      <c r="BC147" s="190">
        <f>ABS(LíneaBase!L148-LíneaBase!L147)</f>
        <v>6.1143274818248328E-3</v>
      </c>
      <c r="BD147" s="190">
        <f>ABS(Escenario1!BN148-Escenario1!BN147)</f>
        <v>7.4765440959804197E-3</v>
      </c>
      <c r="BE147" s="190">
        <f>ABS(Escenario2!BN148-Escenario2!BN147)</f>
        <v>8.0114067240276698E-3</v>
      </c>
      <c r="BF147" s="151"/>
    </row>
    <row r="148" spans="25:58">
      <c r="Y148" s="152"/>
      <c r="Z148" s="183">
        <f>(LíneaBase!C149-0.44)/(MAX(LíneaBase!C:C)+0.12)*100</f>
        <v>19.525557442612175</v>
      </c>
      <c r="AA148" s="184"/>
      <c r="AB148" s="182">
        <f>LíneaBase!L19</f>
        <v>1.4528664410546774</v>
      </c>
      <c r="AC148" s="184"/>
      <c r="AD148" s="182">
        <f>Escenario1!BN101</f>
        <v>1.3531478022901873</v>
      </c>
      <c r="AE148" s="184"/>
      <c r="AF148" s="182">
        <f>Escenario2!BN58</f>
        <v>1.0506733626046061</v>
      </c>
      <c r="AG148" s="184"/>
      <c r="AH148" s="182">
        <f>LíneaBase!N37</f>
        <v>0</v>
      </c>
      <c r="AI148" s="184"/>
      <c r="AJ148" s="182">
        <f>Escenario1!BP31</f>
        <v>0</v>
      </c>
      <c r="AK148" s="184"/>
      <c r="AL148" s="182">
        <f>Escenario2!BP37</f>
        <v>0</v>
      </c>
      <c r="AM148" s="151"/>
      <c r="BA148" s="152"/>
      <c r="BB148" s="75">
        <v>143</v>
      </c>
      <c r="BC148" s="190">
        <f>ABS(LíneaBase!L149-LíneaBase!L148)</f>
        <v>6.0540815564189554E-3</v>
      </c>
      <c r="BD148" s="190">
        <f>ABS(Escenario1!BN149-Escenario1!BN148)</f>
        <v>7.4052325850459955E-3</v>
      </c>
      <c r="BE148" s="190">
        <f>ABS(Escenario2!BN149-Escenario2!BN148)</f>
        <v>7.9252949399269967E-3</v>
      </c>
      <c r="BF148" s="151"/>
    </row>
    <row r="149" spans="25:58">
      <c r="Y149" s="152"/>
      <c r="Z149" s="183">
        <f>(LíneaBase!C150-0.44)/(MAX(LíneaBase!C:C)+0.12)*100</f>
        <v>19.66252122938695</v>
      </c>
      <c r="AA149" s="184"/>
      <c r="AB149" s="182">
        <f>LíneaBase!L69</f>
        <v>1.4515137819343895</v>
      </c>
      <c r="AC149" s="184"/>
      <c r="AD149" s="182">
        <f>Escenario1!BN28</f>
        <v>1.3529574984390769</v>
      </c>
      <c r="AE149" s="184"/>
      <c r="AF149" s="182">
        <f>Escenario2!BN401</f>
        <v>1.0505671160673449</v>
      </c>
      <c r="AG149" s="184"/>
      <c r="AH149" s="182">
        <f>LíneaBase!N38</f>
        <v>0</v>
      </c>
      <c r="AI149" s="184"/>
      <c r="AJ149" s="182">
        <f>Escenario1!BP33</f>
        <v>0</v>
      </c>
      <c r="AK149" s="184"/>
      <c r="AL149" s="182">
        <f>Escenario2!BP38</f>
        <v>0</v>
      </c>
      <c r="AM149" s="151"/>
      <c r="BA149" s="152"/>
      <c r="BB149" s="75">
        <v>144</v>
      </c>
      <c r="BC149" s="190">
        <f>ABS(LíneaBase!L150-LíneaBase!L149)</f>
        <v>5.9944292488058881E-3</v>
      </c>
      <c r="BD149" s="190">
        <f>ABS(Escenario1!BN150-Escenario1!BN149)</f>
        <v>7.3345885413137468E-3</v>
      </c>
      <c r="BE149" s="190">
        <f>ABS(Escenario2!BN150-Escenario2!BN149)</f>
        <v>7.8401412845374718E-3</v>
      </c>
      <c r="BF149" s="151"/>
    </row>
    <row r="150" spans="25:58">
      <c r="Y150" s="152"/>
      <c r="Z150" s="183">
        <f>(LíneaBase!C151-0.44)/(MAX(LíneaBase!C:C)+0.12)*100</f>
        <v>19.799485016161729</v>
      </c>
      <c r="AA150" s="184"/>
      <c r="AB150" s="182">
        <f>LíneaBase!L398</f>
        <v>1.4514971009384259</v>
      </c>
      <c r="AC150" s="184"/>
      <c r="AD150" s="182">
        <f>Escenario1!BN403</f>
        <v>1.3511947482882727</v>
      </c>
      <c r="AE150" s="184"/>
      <c r="AF150" s="182">
        <f>Escenario2!BN413</f>
        <v>1.0504719101075506</v>
      </c>
      <c r="AG150" s="184"/>
      <c r="AH150" s="182">
        <f>LíneaBase!N39</f>
        <v>0</v>
      </c>
      <c r="AI150" s="184"/>
      <c r="AJ150" s="182">
        <f>Escenario1!BP34</f>
        <v>0</v>
      </c>
      <c r="AK150" s="184"/>
      <c r="AL150" s="182">
        <f>Escenario2!BP39</f>
        <v>0</v>
      </c>
      <c r="AM150" s="151"/>
      <c r="BA150" s="152"/>
      <c r="BB150" s="75">
        <v>145</v>
      </c>
      <c r="BC150" s="190">
        <f>ABS(LíneaBase!L151-LíneaBase!L150)</f>
        <v>5.9353647096445084E-3</v>
      </c>
      <c r="BD150" s="190">
        <f>ABS(Escenario1!BN151-Escenario1!BN150)</f>
        <v>7.2646146715339421E-3</v>
      </c>
      <c r="BE150" s="190">
        <f>ABS(Escenario2!BN151-Escenario2!BN150)</f>
        <v>7.755934640934381E-3</v>
      </c>
      <c r="BF150" s="151"/>
    </row>
    <row r="151" spans="25:58">
      <c r="Y151" s="152"/>
      <c r="Z151" s="183">
        <f>(LíneaBase!C152-0.44)/(MAX(LíneaBase!C:C)+0.12)*100</f>
        <v>19.936448802936503</v>
      </c>
      <c r="AA151" s="184"/>
      <c r="AB151" s="182">
        <f>LíneaBase!L663</f>
        <v>1.4361584960933977</v>
      </c>
      <c r="AC151" s="184"/>
      <c r="AD151" s="182">
        <f>Escenario1!BN400</f>
        <v>1.3433790077159906</v>
      </c>
      <c r="AE151" s="184"/>
      <c r="AF151" s="182">
        <f>Escenario2!BN412</f>
        <v>1.0503639005474368</v>
      </c>
      <c r="AG151" s="184"/>
      <c r="AH151" s="182">
        <f>LíneaBase!N40</f>
        <v>0</v>
      </c>
      <c r="AI151" s="184"/>
      <c r="AJ151" s="182">
        <f>Escenario1!BP35</f>
        <v>0</v>
      </c>
      <c r="AK151" s="184"/>
      <c r="AL151" s="182">
        <f>Escenario2!BP40</f>
        <v>0</v>
      </c>
      <c r="AM151" s="151"/>
      <c r="BA151" s="152"/>
      <c r="BB151" s="75">
        <v>146</v>
      </c>
      <c r="BC151" s="190">
        <f>ABS(LíneaBase!L152-LíneaBase!L151)</f>
        <v>5.8768821474646238E-3</v>
      </c>
      <c r="BD151" s="190">
        <f>ABS(Escenario1!BN152-Escenario1!BN151)</f>
        <v>7.1953010761844904E-3</v>
      </c>
      <c r="BE151" s="190">
        <f>ABS(Escenario2!BN152-Escenario2!BN151)</f>
        <v>7.6726640275567304E-3</v>
      </c>
      <c r="BF151" s="151"/>
    </row>
    <row r="152" spans="25:58">
      <c r="Y152" s="152"/>
      <c r="Z152" s="183">
        <f>(LíneaBase!C153-0.44)/(MAX(LíneaBase!C:C)+0.12)*100</f>
        <v>20.073412589711282</v>
      </c>
      <c r="AA152" s="184"/>
      <c r="AB152" s="182">
        <f>LíneaBase!L375</f>
        <v>1.4333133682709001</v>
      </c>
      <c r="AC152" s="184"/>
      <c r="AD152" s="182">
        <f>Escenario1!BN372</f>
        <v>1.342828938115693</v>
      </c>
      <c r="AE152" s="184"/>
      <c r="AF152" s="182">
        <f>Escenario2!BN402</f>
        <v>1.0503566822968753</v>
      </c>
      <c r="AG152" s="184"/>
      <c r="AH152" s="182">
        <f>LíneaBase!N41</f>
        <v>0</v>
      </c>
      <c r="AI152" s="184"/>
      <c r="AJ152" s="182">
        <f>Escenario1!BP37</f>
        <v>0</v>
      </c>
      <c r="AK152" s="184"/>
      <c r="AL152" s="182">
        <f>Escenario2!BP41</f>
        <v>0</v>
      </c>
      <c r="AM152" s="151"/>
      <c r="BA152" s="152"/>
      <c r="BB152" s="75">
        <v>147</v>
      </c>
      <c r="BC152" s="190">
        <f>ABS(LíneaBase!L153-LíneaBase!L152)</f>
        <v>5.8189758279012516E-3</v>
      </c>
      <c r="BD152" s="190">
        <f>ABS(Escenario1!BN153-Escenario1!BN152)</f>
        <v>7.1266627858855847E-3</v>
      </c>
      <c r="BE152" s="190">
        <f>ABS(Escenario2!BN153-Escenario2!BN152)</f>
        <v>7.5903185963105413E-3</v>
      </c>
      <c r="BF152" s="151"/>
    </row>
    <row r="153" spans="25:58">
      <c r="Y153" s="152"/>
      <c r="Z153" s="183">
        <f>(LíneaBase!C154-0.44)/(MAX(LíneaBase!C:C)+0.12)*100</f>
        <v>20.210376376486057</v>
      </c>
      <c r="AA153" s="184"/>
      <c r="AB153" s="182">
        <f>LíneaBase!L298</f>
        <v>1.4325255216894952</v>
      </c>
      <c r="AC153" s="184"/>
      <c r="AD153" s="182">
        <f>Escenario1!BN386</f>
        <v>1.3326634918344433</v>
      </c>
      <c r="AE153" s="184"/>
      <c r="AF153" s="182">
        <f>Escenario2!BN395</f>
        <v>1.0503415633926061</v>
      </c>
      <c r="AG153" s="184"/>
      <c r="AH153" s="182">
        <f>LíneaBase!N42</f>
        <v>0</v>
      </c>
      <c r="AI153" s="184"/>
      <c r="AJ153" s="182">
        <f>Escenario1!BP38</f>
        <v>0</v>
      </c>
      <c r="AK153" s="184"/>
      <c r="AL153" s="182">
        <f>Escenario2!BP42</f>
        <v>0</v>
      </c>
      <c r="AM153" s="151"/>
      <c r="BA153" s="152"/>
      <c r="BB153" s="75">
        <v>148</v>
      </c>
      <c r="BC153" s="190">
        <f>ABS(LíneaBase!L154-LíneaBase!L153)</f>
        <v>5.7616400730966522E-3</v>
      </c>
      <c r="BD153" s="190">
        <f>ABS(Escenario1!BN154-Escenario1!BN153)</f>
        <v>7.0586837687810489E-3</v>
      </c>
      <c r="BE153" s="190">
        <f>ABS(Escenario2!BN154-Escenario2!BN153)</f>
        <v>7.508887630835237E-3</v>
      </c>
      <c r="BF153" s="151"/>
    </row>
    <row r="154" spans="25:58">
      <c r="Y154" s="152"/>
      <c r="Z154" s="183">
        <f>(LíneaBase!C155-0.44)/(MAX(LíneaBase!C:C)+0.12)*100</f>
        <v>20.347340163260835</v>
      </c>
      <c r="AA154" s="184"/>
      <c r="AB154" s="182">
        <f>LíneaBase!L28</f>
        <v>1.42532237279437</v>
      </c>
      <c r="AC154" s="184"/>
      <c r="AD154" s="182">
        <f>Escenario1!BN416</f>
        <v>1.3299718884559495</v>
      </c>
      <c r="AE154" s="184"/>
      <c r="AF154" s="182">
        <f>Escenario2!BN414</f>
        <v>1.0502629315836984</v>
      </c>
      <c r="AG154" s="184"/>
      <c r="AH154" s="182">
        <f>LíneaBase!N43</f>
        <v>0</v>
      </c>
      <c r="AI154" s="184"/>
      <c r="AJ154" s="182">
        <f>Escenario1!BP39</f>
        <v>0</v>
      </c>
      <c r="AK154" s="184"/>
      <c r="AL154" s="182">
        <f>Escenario2!BP43</f>
        <v>0</v>
      </c>
      <c r="AM154" s="151"/>
      <c r="BA154" s="152"/>
      <c r="BB154" s="75">
        <v>149</v>
      </c>
      <c r="BC154" s="190">
        <f>ABS(LíneaBase!L155-LíneaBase!L154)</f>
        <v>5.704869261140777E-3</v>
      </c>
      <c r="BD154" s="190">
        <f>ABS(Escenario1!BN155-Escenario1!BN154)</f>
        <v>6.9913423491080318E-3</v>
      </c>
      <c r="BE154" s="190">
        <f>ABS(Escenario2!BN155-Escenario2!BN154)</f>
        <v>7.4283605448246526E-3</v>
      </c>
      <c r="BF154" s="151"/>
    </row>
    <row r="155" spans="25:58">
      <c r="Y155" s="152"/>
      <c r="Z155" s="183">
        <f>(LíneaBase!C156-0.44)/(MAX(LíneaBase!C:C)+0.12)*100</f>
        <v>20.48430395003561</v>
      </c>
      <c r="AA155" s="184"/>
      <c r="AB155" s="182">
        <f>LíneaBase!L49</f>
        <v>1.4190001401552881</v>
      </c>
      <c r="AC155" s="184"/>
      <c r="AD155" s="182">
        <f>Escenario1!BN404</f>
        <v>1.3213660726497649</v>
      </c>
      <c r="AE155" s="184"/>
      <c r="AF155" s="182">
        <f>Escenario2!BN403</f>
        <v>1.0501494650585781</v>
      </c>
      <c r="AG155" s="184"/>
      <c r="AH155" s="182">
        <f>LíneaBase!N45</f>
        <v>0</v>
      </c>
      <c r="AI155" s="184"/>
      <c r="AJ155" s="182">
        <f>Escenario1!BP40</f>
        <v>0</v>
      </c>
      <c r="AK155" s="184"/>
      <c r="AL155" s="182">
        <f>Escenario2!BP45</f>
        <v>0</v>
      </c>
      <c r="AM155" s="151"/>
      <c r="BA155" s="152"/>
      <c r="BB155" s="75">
        <v>150</v>
      </c>
      <c r="BC155" s="190">
        <f>ABS(LíneaBase!L156-LíneaBase!L155)</f>
        <v>5.6486578255167119E-3</v>
      </c>
      <c r="BD155" s="190">
        <f>ABS(Escenario1!BN156-Escenario1!BN155)</f>
        <v>6.9246422605534486E-3</v>
      </c>
      <c r="BE155" s="190">
        <f>ABS(Escenario2!BN156-Escenario2!BN155)</f>
        <v>7.3487268803689165E-3</v>
      </c>
      <c r="BF155" s="151"/>
    </row>
    <row r="156" spans="25:58">
      <c r="Y156" s="152"/>
      <c r="Z156" s="183">
        <f>(LíneaBase!C157-0.44)/(MAX(LíneaBase!C:C)+0.12)*100</f>
        <v>20.621267736810385</v>
      </c>
      <c r="AA156" s="184"/>
      <c r="AB156" s="182">
        <f>LíneaBase!L379</f>
        <v>1.4149119717564635</v>
      </c>
      <c r="AC156" s="184"/>
      <c r="AD156" s="182">
        <f>Escenario1!BN11</f>
        <v>1.3192446349670273</v>
      </c>
      <c r="AE156" s="184"/>
      <c r="AF156" s="182">
        <f>Escenario2!BN415</f>
        <v>1.0500571473482148</v>
      </c>
      <c r="AG156" s="184"/>
      <c r="AH156" s="182">
        <f>LíneaBase!N46</f>
        <v>0</v>
      </c>
      <c r="AI156" s="184"/>
      <c r="AJ156" s="182">
        <f>Escenario1!BP41</f>
        <v>0</v>
      </c>
      <c r="AK156" s="184"/>
      <c r="AL156" s="182">
        <f>Escenario2!BP46</f>
        <v>0</v>
      </c>
      <c r="AM156" s="151"/>
      <c r="BA156" s="152"/>
      <c r="BB156" s="75">
        <v>151</v>
      </c>
      <c r="BC156" s="190">
        <f>ABS(LíneaBase!L157-LíneaBase!L156)</f>
        <v>5.5930002545564461E-3</v>
      </c>
      <c r="BD156" s="190">
        <f>ABS(Escenario1!BN157-Escenario1!BN156)</f>
        <v>6.8585686456630324E-3</v>
      </c>
      <c r="BE156" s="190">
        <f>ABS(Escenario2!BN157-Escenario2!BN156)</f>
        <v>7.2699763063218681E-3</v>
      </c>
      <c r="BF156" s="151"/>
    </row>
    <row r="157" spans="25:58">
      <c r="Y157" s="152"/>
      <c r="Z157" s="183">
        <f>(LíneaBase!C158-0.44)/(MAX(LíneaBase!C:C)+0.12)*100</f>
        <v>20.758231523585163</v>
      </c>
      <c r="AA157" s="184"/>
      <c r="AB157" s="182">
        <f>LíneaBase!L385</f>
        <v>1.409473201497097</v>
      </c>
      <c r="AC157" s="184"/>
      <c r="AD157" s="182">
        <f>Escenario1!BN50</f>
        <v>1.3156456479236587</v>
      </c>
      <c r="AE157" s="184"/>
      <c r="AF157" s="182">
        <f>Escenario2!BN404</f>
        <v>1.0499454151869645</v>
      </c>
      <c r="AG157" s="184"/>
      <c r="AH157" s="182">
        <f>LíneaBase!N48</f>
        <v>0</v>
      </c>
      <c r="AI157" s="184"/>
      <c r="AJ157" s="182">
        <f>Escenario1!BP42</f>
        <v>0</v>
      </c>
      <c r="AK157" s="184"/>
      <c r="AL157" s="182">
        <f>Escenario2!BP48</f>
        <v>0</v>
      </c>
      <c r="AM157" s="151"/>
      <c r="BA157" s="152"/>
      <c r="BB157" s="75">
        <v>152</v>
      </c>
      <c r="BC157" s="190">
        <f>ABS(LíneaBase!L158-LíneaBase!L157)</f>
        <v>5.5378910908994161E-3</v>
      </c>
      <c r="BD157" s="190">
        <f>ABS(Escenario1!BN158-Escenario1!BN157)</f>
        <v>6.7931303254260555E-3</v>
      </c>
      <c r="BE157" s="190">
        <f>ABS(Escenario2!BN158-Escenario2!BN157)</f>
        <v>7.1920986166891243E-3</v>
      </c>
      <c r="BF157" s="151"/>
    </row>
    <row r="158" spans="25:58">
      <c r="Y158" s="152"/>
      <c r="Z158" s="183">
        <f>(LíneaBase!C159-0.44)/(MAX(LíneaBase!C:C)+0.12)*100</f>
        <v>20.895195310359941</v>
      </c>
      <c r="AA158" s="184"/>
      <c r="AB158" s="182">
        <f>LíneaBase!L463</f>
        <v>1.4068973514711225</v>
      </c>
      <c r="AC158" s="184"/>
      <c r="AD158" s="182">
        <f>Escenario1!BN122</f>
        <v>1.3109620821982273</v>
      </c>
      <c r="AE158" s="184"/>
      <c r="AF158" s="182">
        <f>Escenario2!BN416</f>
        <v>1.0498545085756128</v>
      </c>
      <c r="AG158" s="184"/>
      <c r="AH158" s="182">
        <f>LíneaBase!N49</f>
        <v>0</v>
      </c>
      <c r="AI158" s="184"/>
      <c r="AJ158" s="182">
        <f>Escenario1!BP43</f>
        <v>0</v>
      </c>
      <c r="AK158" s="184"/>
      <c r="AL158" s="182">
        <f>Escenario2!BP49</f>
        <v>0</v>
      </c>
      <c r="AM158" s="151"/>
      <c r="BA158" s="152"/>
      <c r="BB158" s="75">
        <v>153</v>
      </c>
      <c r="BC158" s="190">
        <f>ABS(LíneaBase!L159-LíneaBase!L158)</f>
        <v>1.103047933556399</v>
      </c>
      <c r="BD158" s="190">
        <f>ABS(Escenario1!BN159-Escenario1!BN158)</f>
        <v>0.30292318455408718</v>
      </c>
      <c r="BE158" s="190">
        <f>ABS(Escenario2!BN159-Escenario2!BN158)</f>
        <v>0.29552963228758355</v>
      </c>
      <c r="BF158" s="151"/>
    </row>
    <row r="159" spans="25:58">
      <c r="Y159" s="152"/>
      <c r="Z159" s="183">
        <f>(LíneaBase!C160-0.44)/(MAX(LíneaBase!C:C)+0.12)*100</f>
        <v>21.032159097134716</v>
      </c>
      <c r="AA159" s="184"/>
      <c r="AB159" s="182">
        <f>LíneaBase!L33</f>
        <v>1.4013926977953328</v>
      </c>
      <c r="AC159" s="184"/>
      <c r="AD159" s="182">
        <f>Escenario1!BN380</f>
        <v>1.3021792751123495</v>
      </c>
      <c r="AE159" s="184"/>
      <c r="AF159" s="182">
        <f>Escenario2!BN417</f>
        <v>1.0496549671867148</v>
      </c>
      <c r="AG159" s="184"/>
      <c r="AH159" s="182">
        <f>LíneaBase!N50</f>
        <v>0</v>
      </c>
      <c r="AI159" s="184"/>
      <c r="AJ159" s="182">
        <f>Escenario1!BP45</f>
        <v>0</v>
      </c>
      <c r="AK159" s="184"/>
      <c r="AL159" s="182">
        <f>Escenario2!BP50</f>
        <v>0</v>
      </c>
      <c r="AM159" s="151"/>
      <c r="BA159" s="152"/>
      <c r="BB159" s="75">
        <v>154</v>
      </c>
      <c r="BC159" s="190">
        <f>ABS(LíneaBase!L160-LíneaBase!L159)</f>
        <v>0.79549351808788071</v>
      </c>
      <c r="BD159" s="190">
        <f>ABS(Escenario1!BN160-Escenario1!BN159)</f>
        <v>1.4077738711735788E-2</v>
      </c>
      <c r="BE159" s="190">
        <f>ABS(Escenario2!BN160-Escenario2!BN159)</f>
        <v>2.1213451083595292E-2</v>
      </c>
      <c r="BF159" s="151"/>
    </row>
    <row r="160" spans="25:58">
      <c r="Y160" s="152"/>
      <c r="Z160" s="183">
        <f>(LíneaBase!C161-0.44)/(MAX(LíneaBase!C:C)+0.12)*100</f>
        <v>21.169122883909495</v>
      </c>
      <c r="AA160" s="184"/>
      <c r="AB160" s="182">
        <f>LíneaBase!L401</f>
        <v>1.398384556356925</v>
      </c>
      <c r="AC160" s="184"/>
      <c r="AD160" s="182">
        <f>Escenario1!BN488</f>
        <v>1.2976268727011435</v>
      </c>
      <c r="AE160" s="184"/>
      <c r="AF160" s="182">
        <f>Escenario2!BN409</f>
        <v>1.0489710075041279</v>
      </c>
      <c r="AG160" s="184"/>
      <c r="AH160" s="182">
        <f>LíneaBase!N51</f>
        <v>0</v>
      </c>
      <c r="AI160" s="184"/>
      <c r="AJ160" s="182">
        <f>Escenario1!BP46</f>
        <v>0</v>
      </c>
      <c r="AK160" s="184"/>
      <c r="AL160" s="182">
        <f>Escenario2!BP51</f>
        <v>0</v>
      </c>
      <c r="AM160" s="151"/>
      <c r="BA160" s="152"/>
      <c r="BB160" s="75">
        <v>155</v>
      </c>
      <c r="BC160" s="190">
        <f>ABS(LíneaBase!L161-LíneaBase!L160)</f>
        <v>6.1770822973316819E-2</v>
      </c>
      <c r="BD160" s="190">
        <f>ABS(Escenario1!BN161-Escenario1!BN160)</f>
        <v>5.711668255375435E-2</v>
      </c>
      <c r="BE160" s="190">
        <f>ABS(Escenario2!BN161-Escenario2!BN160)</f>
        <v>6.4866601952500713E-2</v>
      </c>
      <c r="BF160" s="151"/>
    </row>
    <row r="161" spans="25:58">
      <c r="Y161" s="152"/>
      <c r="Z161" s="183">
        <f>(LíneaBase!C162-0.44)/(MAX(LíneaBase!C:C)+0.12)*100</f>
        <v>21.30608667068427</v>
      </c>
      <c r="AA161" s="184"/>
      <c r="AB161" s="182">
        <f>LíneaBase!L437</f>
        <v>1.3873017090618456</v>
      </c>
      <c r="AC161" s="184"/>
      <c r="AD161" s="182">
        <f>Escenario1!BN468</f>
        <v>1.2944182226637406</v>
      </c>
      <c r="AE161" s="184"/>
      <c r="AF161" s="182">
        <f>Escenario2!BN394</f>
        <v>1.0479545556226875</v>
      </c>
      <c r="AG161" s="184"/>
      <c r="AH161" s="182">
        <f>LíneaBase!N52</f>
        <v>0</v>
      </c>
      <c r="AI161" s="184"/>
      <c r="AJ161" s="182">
        <f>Escenario1!BP48</f>
        <v>0</v>
      </c>
      <c r="AK161" s="184"/>
      <c r="AL161" s="182">
        <f>Escenario2!BP52</f>
        <v>0</v>
      </c>
      <c r="AM161" s="151"/>
      <c r="BA161" s="152"/>
      <c r="BB161" s="75">
        <v>156</v>
      </c>
      <c r="BC161" s="190">
        <f>ABS(LíneaBase!L162-LíneaBase!L161)</f>
        <v>5.671826159660176E-2</v>
      </c>
      <c r="BD161" s="190">
        <f>ABS(Escenario1!BN162-Escenario1!BN161)</f>
        <v>5.2625063598825683E-2</v>
      </c>
      <c r="BE161" s="190">
        <f>ABS(Escenario2!BN162-Escenario2!BN161)</f>
        <v>5.9597601232062813E-2</v>
      </c>
      <c r="BF161" s="151"/>
    </row>
    <row r="162" spans="25:58">
      <c r="Y162" s="152"/>
      <c r="Z162" s="183">
        <f>(LíneaBase!C163-0.44)/(MAX(LíneaBase!C:C)+0.12)*100</f>
        <v>21.443050457459048</v>
      </c>
      <c r="AA162" s="184"/>
      <c r="AB162" s="182">
        <f>LíneaBase!L435</f>
        <v>1.3861071171567092</v>
      </c>
      <c r="AC162" s="184"/>
      <c r="AD162" s="182">
        <f>Escenario1!BN102</f>
        <v>1.2855975603990222</v>
      </c>
      <c r="AE162" s="184"/>
      <c r="AF162" s="182">
        <f>Escenario2!BN660</f>
        <v>1.0469129754107549</v>
      </c>
      <c r="AG162" s="184"/>
      <c r="AH162" s="182">
        <f>LíneaBase!N54</f>
        <v>0</v>
      </c>
      <c r="AI162" s="184"/>
      <c r="AJ162" s="182">
        <f>Escenario1!BP49</f>
        <v>0</v>
      </c>
      <c r="AK162" s="184"/>
      <c r="AL162" s="182">
        <f>Escenario2!BP54</f>
        <v>0</v>
      </c>
      <c r="AM162" s="151"/>
      <c r="BA162" s="152"/>
      <c r="BB162" s="75">
        <v>157</v>
      </c>
      <c r="BC162" s="190">
        <f>ABS(LíneaBase!L163-LíneaBase!L162)</f>
        <v>5.609021634304634E-2</v>
      </c>
      <c r="BD162" s="190">
        <f>ABS(Escenario1!BN163-Escenario1!BN162)</f>
        <v>5.2028520412990886E-2</v>
      </c>
      <c r="BE162" s="190">
        <f>ABS(Escenario2!BN163-Escenario2!BN162)</f>
        <v>5.8964056140529464E-2</v>
      </c>
      <c r="BF162" s="151"/>
    </row>
    <row r="163" spans="25:58">
      <c r="Y163" s="152"/>
      <c r="Z163" s="183">
        <f>(LíneaBase!C164-0.44)/(MAX(LíneaBase!C:C)+0.12)*100</f>
        <v>21.580014244233826</v>
      </c>
      <c r="AA163" s="184"/>
      <c r="AB163" s="182">
        <f>LíneaBase!L98</f>
        <v>1.3805735843568869</v>
      </c>
      <c r="AC163" s="184"/>
      <c r="AD163" s="182">
        <f>Escenario1!BN417</f>
        <v>1.2852561550454062</v>
      </c>
      <c r="AE163" s="184"/>
      <c r="AF163" s="182">
        <f>Escenario2!BN663</f>
        <v>1.0464562896615117</v>
      </c>
      <c r="AG163" s="184"/>
      <c r="AH163" s="182">
        <f>LíneaBase!N56</f>
        <v>0</v>
      </c>
      <c r="AI163" s="184"/>
      <c r="AJ163" s="182">
        <f>Escenario1!BP50</f>
        <v>0</v>
      </c>
      <c r="AK163" s="184"/>
      <c r="AL163" s="182">
        <f>Escenario2!BP56</f>
        <v>0</v>
      </c>
      <c r="AM163" s="151"/>
      <c r="BA163" s="152"/>
      <c r="BB163" s="75">
        <v>158</v>
      </c>
      <c r="BC163" s="190">
        <f>ABS(LíneaBase!L164-LíneaBase!L163)</f>
        <v>5.3134163897745945E-2</v>
      </c>
      <c r="BD163" s="190">
        <f>ABS(Escenario1!BN164-Escenario1!BN163)</f>
        <v>4.9382847019869058E-2</v>
      </c>
      <c r="BE163" s="190">
        <f>ABS(Escenario2!BN164-Escenario2!BN163)</f>
        <v>5.5886684530986108E-2</v>
      </c>
      <c r="BF163" s="151"/>
    </row>
    <row r="164" spans="25:58">
      <c r="Y164" s="152"/>
      <c r="Z164" s="183">
        <f>(LíneaBase!C165-0.44)/(MAX(LíneaBase!C:C)+0.12)*100</f>
        <v>21.716978031008601</v>
      </c>
      <c r="AA164" s="184"/>
      <c r="AB164" s="182">
        <f>LíneaBase!L415</f>
        <v>1.3741648474211998</v>
      </c>
      <c r="AC164" s="184"/>
      <c r="AD164" s="182">
        <f>Escenario1!BN36</f>
        <v>1.2820934111082942</v>
      </c>
      <c r="AE164" s="184"/>
      <c r="AF164" s="182">
        <f>Escenario2!BN664</f>
        <v>1.0463086908882988</v>
      </c>
      <c r="AG164" s="184"/>
      <c r="AH164" s="182">
        <f>LíneaBase!N62</f>
        <v>0</v>
      </c>
      <c r="AI164" s="184"/>
      <c r="AJ164" s="182">
        <f>Escenario1!BP51</f>
        <v>0</v>
      </c>
      <c r="AK164" s="184"/>
      <c r="AL164" s="182">
        <f>Escenario2!BP62</f>
        <v>0</v>
      </c>
      <c r="AM164" s="151"/>
      <c r="BA164" s="152"/>
      <c r="BB164" s="75">
        <v>159</v>
      </c>
      <c r="BC164" s="190">
        <f>ABS(LíneaBase!L165-LíneaBase!L164)</f>
        <v>5.1834941048586325E-2</v>
      </c>
      <c r="BD164" s="190">
        <f>ABS(Escenario1!BN165-Escenario1!BN164)</f>
        <v>4.8197287140530953E-2</v>
      </c>
      <c r="BE164" s="190">
        <f>ABS(Escenario2!BN165-Escenario2!BN164)</f>
        <v>5.4546405918897367E-2</v>
      </c>
      <c r="BF164" s="151"/>
    </row>
    <row r="165" spans="25:58">
      <c r="Y165" s="152"/>
      <c r="Z165" s="183">
        <f>(LíneaBase!C166-0.44)/(MAX(LíneaBase!C:C)+0.12)*100</f>
        <v>21.85394181778338</v>
      </c>
      <c r="AA165" s="184"/>
      <c r="AB165" s="182">
        <f>LíneaBase!L10</f>
        <v>1.370500668185999</v>
      </c>
      <c r="AC165" s="184"/>
      <c r="AD165" s="182">
        <f>Escenario1!BN37</f>
        <v>1.2813623137105223</v>
      </c>
      <c r="AE165" s="184"/>
      <c r="AF165" s="182">
        <f>Escenario2!BN57</f>
        <v>1.0460329805986797</v>
      </c>
      <c r="AG165" s="184"/>
      <c r="AH165" s="182">
        <f>LíneaBase!N63</f>
        <v>0</v>
      </c>
      <c r="AI165" s="184"/>
      <c r="AJ165" s="182">
        <f>Escenario1!BP52</f>
        <v>0</v>
      </c>
      <c r="AK165" s="184"/>
      <c r="AL165" s="182">
        <f>Escenario2!BP63</f>
        <v>0</v>
      </c>
      <c r="AM165" s="151"/>
      <c r="BA165" s="152"/>
      <c r="BB165" s="75">
        <v>160</v>
      </c>
      <c r="BC165" s="190">
        <f>ABS(LíneaBase!L166-LíneaBase!L165)</f>
        <v>9.9867767402153085E-3</v>
      </c>
      <c r="BD165" s="190">
        <f>ABS(Escenario1!BN166-Escenario1!BN165)</f>
        <v>6.2513368345732401E-3</v>
      </c>
      <c r="BE165" s="190">
        <f>ABS(Escenario2!BN166-Escenario2!BN165)</f>
        <v>5.0264177960213097E-4</v>
      </c>
      <c r="BF165" s="151"/>
    </row>
    <row r="166" spans="25:58">
      <c r="Y166" s="152"/>
      <c r="Z166" s="183">
        <f>(LíneaBase!C167-0.44)/(MAX(LíneaBase!C:C)+0.12)*100</f>
        <v>21.990905604558154</v>
      </c>
      <c r="AA166" s="184"/>
      <c r="AB166" s="182">
        <f>LíneaBase!L389</f>
        <v>1.3679195603944003</v>
      </c>
      <c r="AC166" s="184"/>
      <c r="AD166" s="182">
        <f>Escenario1!BN20</f>
        <v>1.2760280186441468</v>
      </c>
      <c r="AE166" s="184"/>
      <c r="AF166" s="182">
        <f>Escenario2!BN295</f>
        <v>1.0456398126234592</v>
      </c>
      <c r="AG166" s="184"/>
      <c r="AH166" s="182">
        <f>LíneaBase!N64</f>
        <v>0</v>
      </c>
      <c r="AI166" s="184"/>
      <c r="AJ166" s="182">
        <f>Escenario1!BP54</f>
        <v>0</v>
      </c>
      <c r="AK166" s="184"/>
      <c r="AL166" s="182">
        <f>Escenario2!BP64</f>
        <v>0</v>
      </c>
      <c r="AM166" s="151"/>
      <c r="BA166" s="152"/>
      <c r="BB166" s="75">
        <v>161</v>
      </c>
      <c r="BC166" s="190">
        <f>ABS(LíneaBase!L167-LíneaBase!L166)</f>
        <v>3.2326059070035829E-3</v>
      </c>
      <c r="BD166" s="190">
        <f>ABS(Escenario1!BN167-Escenario1!BN166)</f>
        <v>5.3368166774933057E-3</v>
      </c>
      <c r="BE166" s="190">
        <f>ABS(Escenario2!BN167-Escenario2!BN166)</f>
        <v>1.0743876003029285E-2</v>
      </c>
      <c r="BF166" s="151"/>
    </row>
    <row r="167" spans="25:58">
      <c r="Y167" s="152"/>
      <c r="Z167" s="183">
        <f>(LíneaBase!C168-0.44)/(MAX(LíneaBase!C:C)+0.12)*100</f>
        <v>22.127869391332933</v>
      </c>
      <c r="AA167" s="184"/>
      <c r="AB167" s="182">
        <f>LíneaBase!L402</f>
        <v>1.364469991708988</v>
      </c>
      <c r="AC167" s="184"/>
      <c r="AD167" s="182">
        <f>Escenario1!BN9</f>
        <v>1.2745523945215478</v>
      </c>
      <c r="AE167" s="184"/>
      <c r="AF167" s="182">
        <f>Escenario2!BN298</f>
        <v>1.0452406208636513</v>
      </c>
      <c r="AG167" s="184"/>
      <c r="AH167" s="182">
        <f>LíneaBase!N65</f>
        <v>0</v>
      </c>
      <c r="AI167" s="184"/>
      <c r="AJ167" s="182">
        <f>Escenario1!BP56</f>
        <v>0</v>
      </c>
      <c r="AK167" s="184"/>
      <c r="AL167" s="182">
        <f>Escenario2!BP65</f>
        <v>0</v>
      </c>
      <c r="AM167" s="151"/>
      <c r="BA167" s="152"/>
      <c r="BB167" s="75">
        <v>162</v>
      </c>
      <c r="BC167" s="190">
        <f>ABS(LíneaBase!L168-LíneaBase!L167)</f>
        <v>3.8775767666229477E-2</v>
      </c>
      <c r="BD167" s="190">
        <f>ABS(Escenario1!BN168-Escenario1!BN167)</f>
        <v>3.6578274471700478E-2</v>
      </c>
      <c r="BE167" s="190">
        <f>ABS(Escenario2!BN168-Escenario2!BN167)</f>
        <v>3.0997937411287868E-2</v>
      </c>
      <c r="BF167" s="151"/>
    </row>
    <row r="168" spans="25:58">
      <c r="Y168" s="152"/>
      <c r="Z168" s="183">
        <f>(LíneaBase!C169-0.44)/(MAX(LíneaBase!C:C)+0.12)*100</f>
        <v>22.264833178107711</v>
      </c>
      <c r="AA168" s="184"/>
      <c r="AB168" s="182">
        <f>LíneaBase!L14</f>
        <v>1.3544359545162783</v>
      </c>
      <c r="AC168" s="184"/>
      <c r="AD168" s="182">
        <f>Escenario1!BN23</f>
        <v>1.2742334382568163</v>
      </c>
      <c r="AE168" s="184"/>
      <c r="AF168" s="182">
        <f>Escenario2!BN392</f>
        <v>1.045121560680595</v>
      </c>
      <c r="AG168" s="184"/>
      <c r="AH168" s="182">
        <f>LíneaBase!N66</f>
        <v>0</v>
      </c>
      <c r="AI168" s="184"/>
      <c r="AJ168" s="182">
        <f>Escenario1!BP62</f>
        <v>0</v>
      </c>
      <c r="AK168" s="184"/>
      <c r="AL168" s="182">
        <f>Escenario2!BP66</f>
        <v>0</v>
      </c>
      <c r="AM168" s="151"/>
      <c r="BA168" s="152"/>
      <c r="BB168" s="75">
        <v>163</v>
      </c>
      <c r="BC168" s="190">
        <f>ABS(LíneaBase!L169-LíneaBase!L168)</f>
        <v>4.5376072540027956E-2</v>
      </c>
      <c r="BD168" s="190">
        <f>ABS(Escenario1!BN169-Escenario1!BN168)</f>
        <v>4.5922184326391169E-2</v>
      </c>
      <c r="BE168" s="190">
        <f>ABS(Escenario2!BN169-Escenario2!BN168)</f>
        <v>1.2260690673234542E-2</v>
      </c>
      <c r="BF168" s="151"/>
    </row>
    <row r="169" spans="25:58">
      <c r="Y169" s="152"/>
      <c r="Z169" s="183">
        <f>(LíneaBase!C170-0.44)/(MAX(LíneaBase!C:C)+0.12)*100</f>
        <v>22.401796964882486</v>
      </c>
      <c r="AA169" s="184"/>
      <c r="AB169" s="182">
        <f>LíneaBase!L72</f>
        <v>1.3532484108829466</v>
      </c>
      <c r="AC169" s="184"/>
      <c r="AD169" s="182">
        <f>Escenario1!BN373</f>
        <v>1.2664955948848666</v>
      </c>
      <c r="AE169" s="184"/>
      <c r="AF169" s="182">
        <f>Escenario2!BN299</f>
        <v>1.0451116038883637</v>
      </c>
      <c r="AG169" s="184"/>
      <c r="AH169" s="182">
        <f>LíneaBase!N68</f>
        <v>0</v>
      </c>
      <c r="AI169" s="184"/>
      <c r="AJ169" s="182">
        <f>Escenario1!BP63</f>
        <v>0</v>
      </c>
      <c r="AK169" s="184"/>
      <c r="AL169" s="182">
        <f>Escenario2!BP68</f>
        <v>0</v>
      </c>
      <c r="AM169" s="151"/>
      <c r="BA169" s="152"/>
      <c r="BB169" s="75">
        <v>164</v>
      </c>
      <c r="BC169" s="190">
        <f>ABS(LíneaBase!L170-LíneaBase!L169)</f>
        <v>1.1622878758059396E-2</v>
      </c>
      <c r="BD169" s="190">
        <f>ABS(Escenario1!BN170-Escenario1!BN169)</f>
        <v>2.1561113318437242E-2</v>
      </c>
      <c r="BE169" s="190">
        <f>ABS(Escenario2!BN170-Escenario2!BN169)</f>
        <v>7.2962187592386929E-3</v>
      </c>
      <c r="BF169" s="151"/>
    </row>
    <row r="170" spans="25:58">
      <c r="Y170" s="152"/>
      <c r="Z170" s="183">
        <f>(LíneaBase!C171-0.44)/(MAX(LíneaBase!C:C)+0.12)*100</f>
        <v>22.538760751657261</v>
      </c>
      <c r="AA170" s="184"/>
      <c r="AB170" s="182">
        <f>LíneaBase!L20</f>
        <v>1.3524854541634634</v>
      </c>
      <c r="AC170" s="184"/>
      <c r="AD170" s="182">
        <f>Escenario1!BN410</f>
        <v>1.2641748464453413</v>
      </c>
      <c r="AE170" s="184"/>
      <c r="AF170" s="182">
        <f>Escenario2!BN393</f>
        <v>1.0449943635696211</v>
      </c>
      <c r="AG170" s="184"/>
      <c r="AH170" s="182">
        <f>LíneaBase!N69</f>
        <v>0</v>
      </c>
      <c r="AI170" s="184"/>
      <c r="AJ170" s="182">
        <f>Escenario1!BP64</f>
        <v>0</v>
      </c>
      <c r="AK170" s="184"/>
      <c r="AL170" s="182">
        <f>Escenario2!BP69</f>
        <v>0</v>
      </c>
      <c r="AM170" s="151"/>
      <c r="BA170" s="152"/>
      <c r="BB170" s="75">
        <v>165</v>
      </c>
      <c r="BC170" s="190">
        <f>ABS(LíneaBase!L171-LíneaBase!L170)</f>
        <v>5.981665039795192E-3</v>
      </c>
      <c r="BD170" s="190">
        <f>ABS(Escenario1!BN171-Escenario1!BN170)</f>
        <v>8.5591471800262608E-3</v>
      </c>
      <c r="BE170" s="190">
        <f>ABS(Escenario2!BN171-Escenario2!BN170)</f>
        <v>6.4163372232850513E-3</v>
      </c>
      <c r="BF170" s="151"/>
    </row>
    <row r="171" spans="25:58">
      <c r="Y171" s="152"/>
      <c r="Z171" s="183">
        <f>(LíneaBase!C172-0.44)/(MAX(LíneaBase!C:C)+0.12)*100</f>
        <v>22.675724538432039</v>
      </c>
      <c r="AA171" s="184"/>
      <c r="AB171" s="182">
        <f>LíneaBase!L733</f>
        <v>1.3516793309094797</v>
      </c>
      <c r="AC171" s="184"/>
      <c r="AD171" s="182">
        <f>Escenario1!BN34</f>
        <v>1.2576735552993668</v>
      </c>
      <c r="AE171" s="184"/>
      <c r="AF171" s="182">
        <f>Escenario2!BN384</f>
        <v>1.0439681683560886</v>
      </c>
      <c r="AG171" s="184"/>
      <c r="AH171" s="182">
        <f>LíneaBase!N70</f>
        <v>0</v>
      </c>
      <c r="AI171" s="184"/>
      <c r="AJ171" s="182">
        <f>Escenario1!BP65</f>
        <v>0</v>
      </c>
      <c r="AK171" s="184"/>
      <c r="AL171" s="182">
        <f>Escenario2!BP70</f>
        <v>0</v>
      </c>
      <c r="AM171" s="151"/>
      <c r="BA171" s="152"/>
      <c r="BB171" s="75">
        <v>166</v>
      </c>
      <c r="BC171" s="190">
        <f>ABS(LíneaBase!L172-LíneaBase!L171)</f>
        <v>5.0056474993426803E-3</v>
      </c>
      <c r="BD171" s="190">
        <f>ABS(Escenario1!BN172-Escenario1!BN171)</f>
        <v>6.0740591359209617E-3</v>
      </c>
      <c r="BE171" s="190">
        <f>ABS(Escenario2!BN172-Escenario2!BN171)</f>
        <v>6.2148553064316214E-3</v>
      </c>
      <c r="BF171" s="151"/>
    </row>
    <row r="172" spans="25:58">
      <c r="Y172" s="152"/>
      <c r="Z172" s="183">
        <f>(LíneaBase!C173-0.44)/(MAX(LíneaBase!C:C)+0.12)*100</f>
        <v>22.812688325206814</v>
      </c>
      <c r="AA172" s="184"/>
      <c r="AB172" s="182">
        <f>LíneaBase!L70</f>
        <v>1.3513726982081324</v>
      </c>
      <c r="AC172" s="184"/>
      <c r="AD172" s="182">
        <f>Escenario1!BN24</f>
        <v>1.2551698345910227</v>
      </c>
      <c r="AE172" s="184"/>
      <c r="AF172" s="182">
        <f>Escenario2!BN391</f>
        <v>1.0438614057816804</v>
      </c>
      <c r="AG172" s="184"/>
      <c r="AH172" s="182">
        <f>LíneaBase!N72</f>
        <v>0</v>
      </c>
      <c r="AI172" s="184"/>
      <c r="AJ172" s="182">
        <f>Escenario1!BP66</f>
        <v>0</v>
      </c>
      <c r="AK172" s="184"/>
      <c r="AL172" s="182">
        <f>Escenario2!BP72</f>
        <v>0</v>
      </c>
      <c r="AM172" s="151"/>
      <c r="BA172" s="152"/>
      <c r="BB172" s="75">
        <v>167</v>
      </c>
      <c r="BC172" s="190">
        <f>ABS(LíneaBase!L173-LíneaBase!L172)</f>
        <v>4.8041489778350988E-3</v>
      </c>
      <c r="BD172" s="190">
        <f>ABS(Escenario1!BN173-Escenario1!BN172)</f>
        <v>5.8613364574163773E-3</v>
      </c>
      <c r="BE172" s="190">
        <f>ABS(Escenario2!BN173-Escenario2!BN172)</f>
        <v>6.1265551392825079E-3</v>
      </c>
      <c r="BF172" s="151"/>
    </row>
    <row r="173" spans="25:58">
      <c r="Y173" s="152"/>
      <c r="Z173" s="183">
        <f>(LíneaBase!C174-0.44)/(MAX(LíneaBase!C:C)+0.12)*100</f>
        <v>22.949652111981592</v>
      </c>
      <c r="AA173" s="184"/>
      <c r="AB173" s="182">
        <f>LíneaBase!L368</f>
        <v>1.3498628437075286</v>
      </c>
      <c r="AC173" s="184"/>
      <c r="AD173" s="182">
        <f>Escenario1!BN14</f>
        <v>1.2544383719409578</v>
      </c>
      <c r="AE173" s="184"/>
      <c r="AF173" s="182">
        <f>Escenario2!BN385</f>
        <v>1.0438586011317583</v>
      </c>
      <c r="AG173" s="184"/>
      <c r="AH173" s="182">
        <f>LíneaBase!N74</f>
        <v>0</v>
      </c>
      <c r="AI173" s="184"/>
      <c r="AJ173" s="182">
        <f>Escenario1!BP68</f>
        <v>0</v>
      </c>
      <c r="AK173" s="184"/>
      <c r="AL173" s="182">
        <f>Escenario2!BP74</f>
        <v>0</v>
      </c>
      <c r="AM173" s="151"/>
      <c r="BA173" s="152"/>
      <c r="BB173" s="75">
        <v>168</v>
      </c>
      <c r="BC173" s="190">
        <f>ABS(LíneaBase!L174-LíneaBase!L173)</f>
        <v>4.7315609133325998E-3</v>
      </c>
      <c r="BD173" s="190">
        <f>ABS(Escenario1!BN174-Escenario1!BN173)</f>
        <v>5.8056400994890289E-3</v>
      </c>
      <c r="BE173" s="190">
        <f>ABS(Escenario2!BN174-Escenario2!BN173)</f>
        <v>6.0576395492394353E-3</v>
      </c>
      <c r="BF173" s="151"/>
    </row>
    <row r="174" spans="25:58">
      <c r="Y174" s="152"/>
      <c r="Z174" s="183">
        <f>(LíneaBase!C175-0.44)/(MAX(LíneaBase!C:C)+0.12)*100</f>
        <v>23.086615898756367</v>
      </c>
      <c r="AA174" s="184"/>
      <c r="AB174" s="182">
        <f>LíneaBase!L36</f>
        <v>1.3497466796449995</v>
      </c>
      <c r="AC174" s="184"/>
      <c r="AD174" s="182">
        <f>Escenario1!BN44</f>
        <v>1.2453068819576705</v>
      </c>
      <c r="AE174" s="184"/>
      <c r="AF174" s="182">
        <f>Escenario2!BN386</f>
        <v>1.0437507086695221</v>
      </c>
      <c r="AG174" s="184"/>
      <c r="AH174" s="182">
        <f>LíneaBase!N82</f>
        <v>0</v>
      </c>
      <c r="AI174" s="184"/>
      <c r="AJ174" s="182">
        <f>Escenario1!BP70</f>
        <v>0</v>
      </c>
      <c r="AK174" s="184"/>
      <c r="AL174" s="182">
        <f>Escenario2!BP82</f>
        <v>0</v>
      </c>
      <c r="AM174" s="151"/>
      <c r="BA174" s="152"/>
      <c r="BB174" s="75">
        <v>169</v>
      </c>
      <c r="BC174" s="190">
        <f>ABS(LíneaBase!L175-LíneaBase!L174)</f>
        <v>4.6807495521822839E-3</v>
      </c>
      <c r="BD174" s="190">
        <f>ABS(Escenario1!BN175-Escenario1!BN174)</f>
        <v>5.7504605135014764E-3</v>
      </c>
      <c r="BE174" s="190">
        <f>ABS(Escenario2!BN175-Escenario2!BN174)</f>
        <v>5.9925372673735877E-3</v>
      </c>
      <c r="BF174" s="151"/>
    </row>
    <row r="175" spans="25:58">
      <c r="Y175" s="152"/>
      <c r="Z175" s="183">
        <f>(LíneaBase!C176-0.44)/(MAX(LíneaBase!C:C)+0.12)*100</f>
        <v>23.223579685531146</v>
      </c>
      <c r="AA175" s="184"/>
      <c r="AB175" s="182">
        <f>LíneaBase!L399</f>
        <v>1.3408240929257431</v>
      </c>
      <c r="AC175" s="184"/>
      <c r="AD175" s="182">
        <f>Escenario1!BN10</f>
        <v>1.2429257022053259</v>
      </c>
      <c r="AE175" s="184"/>
      <c r="AF175" s="182">
        <f>Escenario2!BN383</f>
        <v>1.0436815271987745</v>
      </c>
      <c r="AG175" s="184"/>
      <c r="AH175" s="182">
        <f>LíneaBase!N83</f>
        <v>0</v>
      </c>
      <c r="AI175" s="184"/>
      <c r="AJ175" s="182">
        <f>Escenario1!BP72</f>
        <v>0</v>
      </c>
      <c r="AK175" s="184"/>
      <c r="AL175" s="182">
        <f>Escenario2!BP83</f>
        <v>0</v>
      </c>
      <c r="AM175" s="151"/>
      <c r="BA175" s="152"/>
      <c r="BB175" s="75">
        <v>170</v>
      </c>
      <c r="BC175" s="190">
        <f>ABS(LíneaBase!L176-LíneaBase!L175)</f>
        <v>4.6339337114618684E-3</v>
      </c>
      <c r="BD175" s="190">
        <f>ABS(Escenario1!BN176-Escenario1!BN175)</f>
        <v>5.6958027638388531E-3</v>
      </c>
      <c r="BE175" s="190">
        <f>ABS(Escenario2!BN176-Escenario2!BN175)</f>
        <v>5.9286576268458013E-3</v>
      </c>
      <c r="BF175" s="151"/>
    </row>
    <row r="176" spans="25:58">
      <c r="Y176" s="152"/>
      <c r="Z176" s="183">
        <f>(LíneaBase!C177-0.44)/(MAX(LíneaBase!C:C)+0.12)*100</f>
        <v>23.360543472305924</v>
      </c>
      <c r="AA176" s="184"/>
      <c r="AB176" s="182">
        <f>LíneaBase!L464</f>
        <v>1.3364025540821776</v>
      </c>
      <c r="AC176" s="184"/>
      <c r="AD176" s="182">
        <f>Escenario1!BN473</f>
        <v>1.2405265807671426</v>
      </c>
      <c r="AE176" s="184"/>
      <c r="AF176" s="182">
        <f>Escenario2!BN387</f>
        <v>1.0436444653702277</v>
      </c>
      <c r="AG176" s="184"/>
      <c r="AH176" s="182">
        <f>LíneaBase!N84</f>
        <v>0</v>
      </c>
      <c r="AI176" s="184"/>
      <c r="AJ176" s="182">
        <f>Escenario1!BP74</f>
        <v>0</v>
      </c>
      <c r="AK176" s="184"/>
      <c r="AL176" s="182">
        <f>Escenario2!BP84</f>
        <v>0</v>
      </c>
      <c r="AM176" s="151"/>
      <c r="BA176" s="152"/>
      <c r="BB176" s="75">
        <v>171</v>
      </c>
      <c r="BC176" s="190">
        <f>ABS(LíneaBase!L177-LíneaBase!L176)</f>
        <v>4.5881590832708152E-3</v>
      </c>
      <c r="BD176" s="190">
        <f>ABS(Escenario1!BN177-Escenario1!BN176)</f>
        <v>5.6416660677227615E-3</v>
      </c>
      <c r="BE176" s="190">
        <f>ABS(Escenario2!BN177-Escenario2!BN176)</f>
        <v>5.8655639960435435E-3</v>
      </c>
      <c r="BF176" s="151"/>
    </row>
    <row r="177" spans="25:58">
      <c r="Y177" s="152"/>
      <c r="Z177" s="183">
        <f>(LíneaBase!C178-0.44)/(MAX(LíneaBase!C:C)+0.12)*100</f>
        <v>23.497507259080699</v>
      </c>
      <c r="AA177" s="184"/>
      <c r="AB177" s="182">
        <f>LíneaBase!L50</f>
        <v>1.3318231164520247</v>
      </c>
      <c r="AC177" s="184"/>
      <c r="AD177" s="182">
        <f>Escenario1!BN123</f>
        <v>1.2403080039627916</v>
      </c>
      <c r="AE177" s="184"/>
      <c r="AF177" s="182">
        <f>Escenario2!BN118</f>
        <v>1.0435882142115243</v>
      </c>
      <c r="AG177" s="184"/>
      <c r="AH177" s="182">
        <f>LíneaBase!N86</f>
        <v>0</v>
      </c>
      <c r="AI177" s="184"/>
      <c r="AJ177" s="182">
        <f>Escenario1!BP82</f>
        <v>0</v>
      </c>
      <c r="AK177" s="184"/>
      <c r="AL177" s="182">
        <f>Escenario2!BP86</f>
        <v>0</v>
      </c>
      <c r="AM177" s="151"/>
      <c r="BA177" s="152"/>
      <c r="BB177" s="75">
        <v>172</v>
      </c>
      <c r="BC177" s="190">
        <f>ABS(LíneaBase!L178-LíneaBase!L177)</f>
        <v>4.5429317140030512E-3</v>
      </c>
      <c r="BD177" s="190">
        <f>ABS(Escenario1!BN178-Escenario1!BN177)</f>
        <v>5.5880500750001838E-3</v>
      </c>
      <c r="BE177" s="190">
        <f>ABS(Escenario2!BN178-Escenario2!BN177)</f>
        <v>5.8031772567912476E-3</v>
      </c>
      <c r="BF177" s="151"/>
    </row>
    <row r="178" spans="25:58">
      <c r="Y178" s="152"/>
      <c r="Z178" s="183">
        <f>(LíneaBase!C179-0.44)/(MAX(LíneaBase!C:C)+0.12)*100</f>
        <v>23.634471045855477</v>
      </c>
      <c r="AA178" s="184"/>
      <c r="AB178" s="182">
        <f>LíneaBase!L37</f>
        <v>1.3163113555809418</v>
      </c>
      <c r="AC178" s="184"/>
      <c r="AD178" s="182">
        <f>Escenario1!BN469</f>
        <v>1.2379554972490698</v>
      </c>
      <c r="AE178" s="184"/>
      <c r="AF178" s="182">
        <f>Escenario2!BN388</f>
        <v>1.0435398460260119</v>
      </c>
      <c r="AG178" s="184"/>
      <c r="AH178" s="182">
        <f>LíneaBase!N87</f>
        <v>0</v>
      </c>
      <c r="AI178" s="184"/>
      <c r="AJ178" s="182">
        <f>Escenario1!BP83</f>
        <v>0</v>
      </c>
      <c r="AK178" s="184"/>
      <c r="AL178" s="182">
        <f>Escenario2!BP87</f>
        <v>0</v>
      </c>
      <c r="AM178" s="151"/>
      <c r="BA178" s="152"/>
      <c r="BB178" s="75">
        <v>173</v>
      </c>
      <c r="BC178" s="190">
        <f>ABS(LíneaBase!L179-LíneaBase!L178)</f>
        <v>4.4981659489309878E-3</v>
      </c>
      <c r="BD178" s="190">
        <f>ABS(Escenario1!BN179-Escenario1!BN178)</f>
        <v>5.5349402250758351E-3</v>
      </c>
      <c r="BE178" s="190">
        <f>ABS(Escenario2!BN179-Escenario2!BN178)</f>
        <v>5.7414776951074664E-3</v>
      </c>
      <c r="BF178" s="151"/>
    </row>
    <row r="179" spans="25:58">
      <c r="Y179" s="152"/>
      <c r="Z179" s="183">
        <f>(LíneaBase!C180-0.44)/(MAX(LíneaBase!C:C)+0.12)*100</f>
        <v>23.771434832630252</v>
      </c>
      <c r="AA179" s="184"/>
      <c r="AB179" s="182">
        <f>LíneaBase!L386</f>
        <v>1.3153497727051009</v>
      </c>
      <c r="AC179" s="184"/>
      <c r="AD179" s="182">
        <f>Escenario1!BN387</f>
        <v>1.2377188593344464</v>
      </c>
      <c r="AE179" s="184"/>
      <c r="AF179" s="182">
        <f>Escenario2!BN389</f>
        <v>1.0434368258143205</v>
      </c>
      <c r="AG179" s="184"/>
      <c r="AH179" s="182">
        <f>LíneaBase!N88</f>
        <v>0</v>
      </c>
      <c r="AI179" s="184"/>
      <c r="AJ179" s="182">
        <f>Escenario1!BP86</f>
        <v>0</v>
      </c>
      <c r="AK179" s="184"/>
      <c r="AL179" s="182">
        <f>Escenario2!BP88</f>
        <v>0</v>
      </c>
      <c r="AM179" s="151"/>
      <c r="BA179" s="152"/>
      <c r="BB179" s="75">
        <v>174</v>
      </c>
      <c r="BC179" s="190">
        <f>ABS(LíneaBase!L180-LíneaBase!L179)</f>
        <v>4.4538439213014369E-3</v>
      </c>
      <c r="BD179" s="190">
        <f>ABS(Escenario1!BN180-Escenario1!BN179)</f>
        <v>5.4823357754026913E-3</v>
      </c>
      <c r="BE179" s="190">
        <f>ABS(Escenario2!BN180-Escenario2!BN179)</f>
        <v>5.6804555330520756E-3</v>
      </c>
      <c r="BF179" s="151"/>
    </row>
    <row r="180" spans="25:58">
      <c r="Y180" s="152"/>
      <c r="Z180" s="183">
        <f>(LíneaBase!C181-0.44)/(MAX(LíneaBase!C:C)+0.12)*100</f>
        <v>23.90839861940503</v>
      </c>
      <c r="AA180" s="184"/>
      <c r="AB180" s="182">
        <f>LíneaBase!L24</f>
        <v>1.3131448900168086</v>
      </c>
      <c r="AC180" s="184"/>
      <c r="AD180" s="182">
        <f>Escenario1!BN406</f>
        <v>1.2330875323783839</v>
      </c>
      <c r="AE180" s="184"/>
      <c r="AF180" s="182">
        <f>Escenario2!BN390</f>
        <v>1.0433353802920173</v>
      </c>
      <c r="AG180" s="184"/>
      <c r="AH180" s="182">
        <f>LíneaBase!N89</f>
        <v>0</v>
      </c>
      <c r="AI180" s="184"/>
      <c r="AJ180" s="182">
        <f>Escenario1!BP87</f>
        <v>0</v>
      </c>
      <c r="AK180" s="184"/>
      <c r="AL180" s="182">
        <f>Escenario2!BP89</f>
        <v>0</v>
      </c>
      <c r="AM180" s="151"/>
      <c r="BA180" s="152"/>
      <c r="BB180" s="75">
        <v>175</v>
      </c>
      <c r="BC180" s="190">
        <f>ABS(LíneaBase!L181-LíneaBase!L180)</f>
        <v>4.4099590488475005E-3</v>
      </c>
      <c r="BD180" s="190">
        <f>ABS(Escenario1!BN181-Escenario1!BN180)</f>
        <v>5.4302438706621547E-3</v>
      </c>
      <c r="BE180" s="190">
        <f>ABS(Escenario2!BN181-Escenario2!BN180)</f>
        <v>5.6201027191726816E-3</v>
      </c>
      <c r="BF180" s="151"/>
    </row>
    <row r="181" spans="25:58">
      <c r="Y181" s="152"/>
      <c r="Z181" s="183">
        <f>(LíneaBase!C182-0.44)/(MAX(LíneaBase!C:C)+0.12)*100</f>
        <v>24.045362406179809</v>
      </c>
      <c r="AA181" s="184"/>
      <c r="AB181" s="182">
        <f>LíneaBase!L99</f>
        <v>1.3103381613151517</v>
      </c>
      <c r="AC181" s="184"/>
      <c r="AD181" s="182">
        <f>Escenario1!BN474</f>
        <v>1.2327504010466761</v>
      </c>
      <c r="AE181" s="184"/>
      <c r="AF181" s="182">
        <f>Escenario2!BN55</f>
        <v>1.0426239179328756</v>
      </c>
      <c r="AG181" s="184"/>
      <c r="AH181" s="182">
        <f>LíneaBase!N90</f>
        <v>0</v>
      </c>
      <c r="AI181" s="184"/>
      <c r="AJ181" s="182">
        <f>Escenario1!BP88</f>
        <v>0</v>
      </c>
      <c r="AK181" s="184"/>
      <c r="AL181" s="182">
        <f>Escenario2!BP90</f>
        <v>0</v>
      </c>
      <c r="AM181" s="151"/>
      <c r="BA181" s="152"/>
      <c r="BB181" s="75">
        <v>176</v>
      </c>
      <c r="BC181" s="190">
        <f>ABS(LíneaBase!L182-LíneaBase!L181)</f>
        <v>4.3665066574538058E-3</v>
      </c>
      <c r="BD181" s="190">
        <f>ABS(Escenario1!BN182-Escenario1!BN181)</f>
        <v>5.3786353022748923E-3</v>
      </c>
      <c r="BE181" s="190">
        <f>ABS(Escenario2!BN182-Escenario2!BN181)</f>
        <v>5.5604115652695407E-3</v>
      </c>
      <c r="BF181" s="151"/>
    </row>
    <row r="182" spans="25:58">
      <c r="Y182" s="152"/>
      <c r="Z182" s="183">
        <f>(LíneaBase!C183-0.44)/(MAX(LíneaBase!C:C)+0.12)*100</f>
        <v>24.182326192954584</v>
      </c>
      <c r="AA182" s="184"/>
      <c r="AB182" s="182">
        <f>LíneaBase!L373</f>
        <v>1.3082047545270306</v>
      </c>
      <c r="AC182" s="184"/>
      <c r="AD182" s="182">
        <f>Escenario1!BN411</f>
        <v>1.2317773553412259</v>
      </c>
      <c r="AE182" s="184"/>
      <c r="AF182" s="182">
        <f>Escenario2!BN56</f>
        <v>1.0425348979083822</v>
      </c>
      <c r="AG182" s="184"/>
      <c r="AH182" s="182">
        <f>LíneaBase!N91</f>
        <v>0</v>
      </c>
      <c r="AI182" s="184"/>
      <c r="AJ182" s="182">
        <f>Escenario1!BP89</f>
        <v>0</v>
      </c>
      <c r="AK182" s="184"/>
      <c r="AL182" s="182">
        <f>Escenario2!BP91</f>
        <v>0</v>
      </c>
      <c r="AM182" s="151"/>
      <c r="BA182" s="152"/>
      <c r="BB182" s="75">
        <v>177</v>
      </c>
      <c r="BC182" s="190">
        <f>ABS(LíneaBase!L183-LíneaBase!L182)</f>
        <v>4.3234824249284154E-3</v>
      </c>
      <c r="BD182" s="190">
        <f>ABS(Escenario1!BN183-Escenario1!BN182)</f>
        <v>5.3275169811255463E-3</v>
      </c>
      <c r="BE182" s="190">
        <f>ABS(Escenario2!BN183-Escenario2!BN182)</f>
        <v>5.5013745192225016E-3</v>
      </c>
      <c r="BF182" s="151"/>
    </row>
    <row r="183" spans="25:58">
      <c r="Y183" s="152"/>
      <c r="Z183" s="183">
        <f>(LíneaBase!C184-0.44)/(MAX(LíneaBase!C:C)+0.12)*100</f>
        <v>24.319289979729362</v>
      </c>
      <c r="AA183" s="184"/>
      <c r="AB183" s="182">
        <f>LíneaBase!L403</f>
        <v>1.3037963206709979</v>
      </c>
      <c r="AC183" s="184"/>
      <c r="AD183" s="182">
        <f>Escenario1!BN489</f>
        <v>1.2308857357966716</v>
      </c>
      <c r="AE183" s="184"/>
      <c r="AF183" s="182">
        <f>Escenario2!BN378</f>
        <v>1.0420027327948738</v>
      </c>
      <c r="AG183" s="184"/>
      <c r="AH183" s="182">
        <f>LíneaBase!N92</f>
        <v>0</v>
      </c>
      <c r="AI183" s="184"/>
      <c r="AJ183" s="182">
        <f>Escenario1!BP90</f>
        <v>0</v>
      </c>
      <c r="AK183" s="184"/>
      <c r="AL183" s="182">
        <f>Escenario2!BP92</f>
        <v>0</v>
      </c>
      <c r="AM183" s="151"/>
      <c r="BA183" s="152"/>
      <c r="BB183" s="75">
        <v>178</v>
      </c>
      <c r="BC183" s="190">
        <f>ABS(LíneaBase!L184-LíneaBase!L183)</f>
        <v>4.2808821224227245E-3</v>
      </c>
      <c r="BD183" s="190">
        <f>ABS(Escenario1!BN184-Escenario1!BN183)</f>
        <v>5.2769031293202762E-3</v>
      </c>
      <c r="BE183" s="190">
        <f>ABS(Escenario2!BN184-Escenario2!BN183)</f>
        <v>5.4429841263466949E-3</v>
      </c>
      <c r="BF183" s="151"/>
    </row>
    <row r="184" spans="25:58">
      <c r="Y184" s="152"/>
      <c r="Z184" s="183">
        <f>(LíneaBase!C185-0.44)/(MAX(LíneaBase!C:C)+0.12)*100</f>
        <v>24.456253766504137</v>
      </c>
      <c r="AA184" s="184"/>
      <c r="AB184" s="182">
        <f>LíneaBase!L380</f>
        <v>1.3035259357310227</v>
      </c>
      <c r="AC184" s="184"/>
      <c r="AD184" s="182">
        <f>Escenario1!BN38</f>
        <v>1.2282437713550773</v>
      </c>
      <c r="AE184" s="184"/>
      <c r="AF184" s="182">
        <f>Escenario2!BN379</f>
        <v>1.041923207738688</v>
      </c>
      <c r="AG184" s="184"/>
      <c r="AH184" s="182">
        <f>LíneaBase!N94</f>
        <v>0</v>
      </c>
      <c r="AI184" s="184"/>
      <c r="AJ184" s="182">
        <f>Escenario1!BP91</f>
        <v>0</v>
      </c>
      <c r="AK184" s="184"/>
      <c r="AL184" s="182">
        <f>Escenario2!BP94</f>
        <v>0</v>
      </c>
      <c r="AM184" s="151"/>
      <c r="BA184" s="152"/>
      <c r="BB184" s="75">
        <v>179</v>
      </c>
      <c r="BC184" s="190">
        <f>ABS(LíneaBase!L185-LíneaBase!L184)</f>
        <v>4.2387015711774501E-3</v>
      </c>
      <c r="BD184" s="190">
        <f>ABS(Escenario1!BN185-Escenario1!BN184)</f>
        <v>5.2267512589047049E-3</v>
      </c>
      <c r="BE184" s="190">
        <f>ABS(Escenario2!BN185-Escenario2!BN184)</f>
        <v>5.3852330220433009E-3</v>
      </c>
      <c r="BF184" s="151"/>
    </row>
    <row r="185" spans="25:58">
      <c r="Y185" s="152"/>
      <c r="Z185" s="183">
        <f>(LíneaBase!C186-0.44)/(MAX(LíneaBase!C:C)+0.12)*100</f>
        <v>24.593217553278912</v>
      </c>
      <c r="AA185" s="184"/>
      <c r="AB185" s="182">
        <f>LíneaBase!L400</f>
        <v>1.2951007272955923</v>
      </c>
      <c r="AC185" s="184"/>
      <c r="AD185" s="182">
        <f>Escenario1!BN103</f>
        <v>1.225670487147914</v>
      </c>
      <c r="AE185" s="184"/>
      <c r="AF185" s="182">
        <f>Escenario2!BN380</f>
        <v>1.0418448982426338</v>
      </c>
      <c r="AG185" s="184"/>
      <c r="AH185" s="182">
        <f>LíneaBase!N95</f>
        <v>0</v>
      </c>
      <c r="AI185" s="184"/>
      <c r="AJ185" s="182">
        <f>Escenario1!BP92</f>
        <v>0</v>
      </c>
      <c r="AK185" s="184"/>
      <c r="AL185" s="182">
        <f>Escenario2!BP95</f>
        <v>0</v>
      </c>
      <c r="AM185" s="151"/>
      <c r="BA185" s="152"/>
      <c r="BB185" s="75">
        <v>180</v>
      </c>
      <c r="BC185" s="190">
        <f>ABS(LíneaBase!L186-LíneaBase!L185)</f>
        <v>4.1969366350054216E-3</v>
      </c>
      <c r="BD185" s="190">
        <f>ABS(Escenario1!BN186-Escenario1!BN185)</f>
        <v>5.1770962984434288E-3</v>
      </c>
      <c r="BE185" s="190">
        <f>ABS(Escenario2!BN186-Escenario2!BN185)</f>
        <v>5.3281139296552649E-3</v>
      </c>
      <c r="BF185" s="151"/>
    </row>
    <row r="186" spans="25:58">
      <c r="Y186" s="152"/>
      <c r="Z186" s="183">
        <f>(LíneaBase!C187-0.44)/(MAX(LíneaBase!C:C)+0.12)*100</f>
        <v>24.73018134005369</v>
      </c>
      <c r="AA186" s="184"/>
      <c r="AB186" s="182">
        <f>LíneaBase!L34</f>
        <v>1.2912133804007551</v>
      </c>
      <c r="AC186" s="184"/>
      <c r="AD186" s="182">
        <f>Escenario1!BN405</f>
        <v>1.2252039487312059</v>
      </c>
      <c r="AE186" s="184"/>
      <c r="AF186" s="182">
        <f>Escenario2!BN381</f>
        <v>1.0417677857265746</v>
      </c>
      <c r="AG186" s="184"/>
      <c r="AH186" s="182">
        <f>LíneaBase!N96</f>
        <v>0</v>
      </c>
      <c r="AI186" s="184"/>
      <c r="AJ186" s="182">
        <f>Escenario1!BP94</f>
        <v>0</v>
      </c>
      <c r="AK186" s="184"/>
      <c r="AL186" s="182">
        <f>Escenario2!BP96</f>
        <v>0</v>
      </c>
      <c r="AM186" s="151"/>
      <c r="BA186" s="152"/>
      <c r="BB186" s="75">
        <v>181</v>
      </c>
      <c r="BC186" s="190">
        <f>ABS(LíneaBase!L187-LíneaBase!L186)</f>
        <v>4.1555832187066266E-3</v>
      </c>
      <c r="BD186" s="190">
        <f>ABS(Escenario1!BN187-Escenario1!BN186)</f>
        <v>5.1279165565111251E-3</v>
      </c>
      <c r="BE186" s="190">
        <f>ABS(Escenario2!BN187-Escenario2!BN186)</f>
        <v>5.2716196592001996E-3</v>
      </c>
      <c r="BF186" s="151"/>
    </row>
    <row r="187" spans="25:58">
      <c r="Y187" s="152"/>
      <c r="Z187" s="183">
        <f>(LíneaBase!C188-0.44)/(MAX(LíneaBase!C:C)+0.12)*100</f>
        <v>24.867145126828465</v>
      </c>
      <c r="AA187" s="184"/>
      <c r="AB187" s="182">
        <f>LíneaBase!L735</f>
        <v>1.2745164648613936</v>
      </c>
      <c r="AC187" s="184"/>
      <c r="AD187" s="182">
        <f>Escenario1!BN470</f>
        <v>1.2204261471318354</v>
      </c>
      <c r="AE187" s="184"/>
      <c r="AF187" s="182">
        <f>Escenario2!BN382</f>
        <v>1.041691851894375</v>
      </c>
      <c r="AG187" s="184"/>
      <c r="AH187" s="182">
        <f>LíneaBase!N97</f>
        <v>0</v>
      </c>
      <c r="AI187" s="184"/>
      <c r="AJ187" s="182">
        <f>Escenario1!BP95</f>
        <v>0</v>
      </c>
      <c r="AK187" s="184"/>
      <c r="AL187" s="182">
        <f>Escenario2!BP97</f>
        <v>0</v>
      </c>
      <c r="AM187" s="151"/>
      <c r="BA187" s="152"/>
      <c r="BB187" s="75">
        <v>182</v>
      </c>
      <c r="BC187" s="190">
        <f>ABS(LíneaBase!L188-LíneaBase!L187)</f>
        <v>4.1146372674696341E-3</v>
      </c>
      <c r="BD187" s="190">
        <f>ABS(Escenario1!BN188-Escenario1!BN187)</f>
        <v>5.0791857353902348E-3</v>
      </c>
      <c r="BE187" s="190">
        <f>ABS(Escenario2!BN188-Escenario2!BN187)</f>
        <v>5.2157431062598292E-3</v>
      </c>
      <c r="BF187" s="151"/>
    </row>
    <row r="188" spans="25:58">
      <c r="Y188" s="152"/>
      <c r="Z188" s="183">
        <f>(LíneaBase!C189-0.44)/(MAX(LíneaBase!C:C)+0.12)*100</f>
        <v>25.004108913603247</v>
      </c>
      <c r="AA188" s="184"/>
      <c r="AB188" s="182">
        <f>LíneaBase!L370</f>
        <v>1.272735597865525</v>
      </c>
      <c r="AC188" s="184"/>
      <c r="AD188" s="182">
        <f>Escenario1!BN51</f>
        <v>1.2181884334693334</v>
      </c>
      <c r="AE188" s="184"/>
      <c r="AF188" s="182">
        <f>Escenario2!BN377</f>
        <v>1.0415302175618193</v>
      </c>
      <c r="AG188" s="184"/>
      <c r="AH188" s="182">
        <f>LíneaBase!N98</f>
        <v>0</v>
      </c>
      <c r="AI188" s="184"/>
      <c r="AJ188" s="182">
        <f>Escenario1!BP96</f>
        <v>0</v>
      </c>
      <c r="AK188" s="184"/>
      <c r="AL188" s="182">
        <f>Escenario2!BP98</f>
        <v>0</v>
      </c>
      <c r="AM188" s="151"/>
      <c r="BA188" s="152"/>
      <c r="BB188" s="75">
        <v>183</v>
      </c>
      <c r="BC188" s="190">
        <f>ABS(LíneaBase!L189-LíneaBase!L188)</f>
        <v>4.0740947664428817E-3</v>
      </c>
      <c r="BD188" s="190">
        <f>ABS(Escenario1!BN189-Escenario1!BN188)</f>
        <v>5.03092769272806E-3</v>
      </c>
      <c r="BE188" s="190">
        <f>ABS(Escenario2!BN189-Escenario2!BN188)</f>
        <v>5.1604772509071251E-3</v>
      </c>
      <c r="BF188" s="151"/>
    </row>
    <row r="189" spans="25:58">
      <c r="Y189" s="152"/>
      <c r="Z189" s="183">
        <f>(LíneaBase!C190-0.44)/(MAX(LíneaBase!C:C)+0.12)*100</f>
        <v>25.141072700378018</v>
      </c>
      <c r="AA189" s="184"/>
      <c r="AB189" s="182">
        <f>LíneaBase!L404</f>
        <v>1.2706062180090361</v>
      </c>
      <c r="AC189" s="184"/>
      <c r="AD189" s="182">
        <f>Escenario1!BN35</f>
        <v>1.2181126166498535</v>
      </c>
      <c r="AE189" s="184"/>
      <c r="AF189" s="182">
        <f>Escenario2!BN53</f>
        <v>1.0414960048791162</v>
      </c>
      <c r="AG189" s="184"/>
      <c r="AH189" s="182">
        <f>LíneaBase!N99</f>
        <v>0</v>
      </c>
      <c r="AI189" s="184"/>
      <c r="AJ189" s="182">
        <f>Escenario1!BP97</f>
        <v>0</v>
      </c>
      <c r="AK189" s="184"/>
      <c r="AL189" s="182">
        <f>Escenario2!BP99</f>
        <v>0</v>
      </c>
      <c r="AM189" s="151"/>
      <c r="BA189" s="152"/>
      <c r="BB189" s="75">
        <v>184</v>
      </c>
      <c r="BC189" s="190">
        <f>ABS(LíneaBase!L190-LíneaBase!L189)</f>
        <v>4.0339517403353287E-3</v>
      </c>
      <c r="BD189" s="190">
        <f>ABS(Escenario1!BN190-Escenario1!BN189)</f>
        <v>4.9831285503350031E-3</v>
      </c>
      <c r="BE189" s="190">
        <f>ABS(Escenario2!BN190-Escenario2!BN189)</f>
        <v>5.1058151566517052E-3</v>
      </c>
      <c r="BF189" s="151"/>
    </row>
    <row r="190" spans="25:58">
      <c r="Y190" s="152"/>
      <c r="Z190" s="183">
        <f>(LíneaBase!C191-0.44)/(MAX(LíneaBase!C:C)+0.12)*100</f>
        <v>25.2780364871528</v>
      </c>
      <c r="AA190" s="184"/>
      <c r="AB190" s="182">
        <f>LíneaBase!L734</f>
        <v>1.2659630002399667</v>
      </c>
      <c r="AC190" s="184"/>
      <c r="AD190" s="182">
        <f>Escenario1!BN735</f>
        <v>1.2169275505140407</v>
      </c>
      <c r="AE190" s="184"/>
      <c r="AF190" s="182">
        <f>Escenario2!BN54</f>
        <v>1.0414242252843178</v>
      </c>
      <c r="AG190" s="184"/>
      <c r="AH190" s="182">
        <f>LíneaBase!N100</f>
        <v>0</v>
      </c>
      <c r="AI190" s="184"/>
      <c r="AJ190" s="182">
        <f>Escenario1!BP98</f>
        <v>0</v>
      </c>
      <c r="AK190" s="184"/>
      <c r="AL190" s="182">
        <f>Escenario2!BP100</f>
        <v>0</v>
      </c>
      <c r="AM190" s="151"/>
      <c r="BA190" s="152"/>
      <c r="BB190" s="75">
        <v>185</v>
      </c>
      <c r="BC190" s="190">
        <f>ABS(LíneaBase!L191-LíneaBase!L190)</f>
        <v>3.9942042530253241E-3</v>
      </c>
      <c r="BD190" s="190">
        <f>ABS(Escenario1!BN191-Escenario1!BN190)</f>
        <v>4.9357728193352157E-3</v>
      </c>
      <c r="BE190" s="190">
        <f>ABS(Escenario2!BN191-Escenario2!BN190)</f>
        <v>5.0517499693989443E-3</v>
      </c>
      <c r="BF190" s="151"/>
    </row>
    <row r="191" spans="25:58">
      <c r="Y191" s="152"/>
      <c r="Z191" s="183">
        <f>(LíneaBase!C192-0.44)/(MAX(LíneaBase!C:C)+0.12)*100</f>
        <v>25.415000273927575</v>
      </c>
      <c r="AA191" s="184"/>
      <c r="AB191" s="182">
        <f>LíneaBase!L369</f>
        <v>1.2641644113190702</v>
      </c>
      <c r="AC191" s="184"/>
      <c r="AD191" s="182">
        <f>Escenario1!BN370</f>
        <v>1.2118476912045903</v>
      </c>
      <c r="AE191" s="184"/>
      <c r="AF191" s="182">
        <f>Escenario2!BN30</f>
        <v>1.0413047771606279</v>
      </c>
      <c r="AG191" s="184"/>
      <c r="AH191" s="182">
        <f>LíneaBase!N101</f>
        <v>0</v>
      </c>
      <c r="AI191" s="184"/>
      <c r="AJ191" s="182">
        <f>Escenario1!BP99</f>
        <v>0</v>
      </c>
      <c r="AK191" s="184"/>
      <c r="AL191" s="182">
        <f>Escenario2!BP101</f>
        <v>0</v>
      </c>
      <c r="AM191" s="151"/>
      <c r="BA191" s="152"/>
      <c r="BB191" s="75">
        <v>186</v>
      </c>
      <c r="BC191" s="190">
        <f>ABS(LíneaBase!L192-LíneaBase!L191)</f>
        <v>3.9548484071749157E-3</v>
      </c>
      <c r="BD191" s="190">
        <f>ABS(Escenario1!BN192-Escenario1!BN191)</f>
        <v>4.8888828756039615E-3</v>
      </c>
      <c r="BE191" s="190">
        <f>ABS(Escenario2!BN192-Escenario2!BN191)</f>
        <v>4.9982749164244611E-3</v>
      </c>
      <c r="BF191" s="151"/>
    </row>
    <row r="192" spans="25:58">
      <c r="Y192" s="152"/>
      <c r="Z192" s="183">
        <f>(LíneaBase!C193-0.44)/(MAX(LíneaBase!C:C)+0.12)*100</f>
        <v>25.551964060702346</v>
      </c>
      <c r="AA192" s="184"/>
      <c r="AB192" s="182">
        <f>LíneaBase!L416</f>
        <v>1.2636365825343776</v>
      </c>
      <c r="AC192" s="184"/>
      <c r="AD192" s="182">
        <f>Escenario1!BN381</f>
        <v>1.2113346560957572</v>
      </c>
      <c r="AE192" s="184"/>
      <c r="AF192" s="182">
        <f>Escenario2!BN31</f>
        <v>1.0412359205287522</v>
      </c>
      <c r="AG192" s="184"/>
      <c r="AH192" s="182">
        <f>LíneaBase!N102</f>
        <v>0</v>
      </c>
      <c r="AI192" s="184"/>
      <c r="AJ192" s="182">
        <f>Escenario1!BP100</f>
        <v>0</v>
      </c>
      <c r="AK192" s="184"/>
      <c r="AL192" s="182">
        <f>Escenario2!BP102</f>
        <v>0</v>
      </c>
      <c r="AM192" s="151"/>
      <c r="BA192" s="152"/>
      <c r="BB192" s="75">
        <v>187</v>
      </c>
      <c r="BC192" s="190">
        <f>ABS(LíneaBase!L193-LíneaBase!L192)</f>
        <v>3.9158803438475998E-3</v>
      </c>
      <c r="BD192" s="190">
        <f>ABS(Escenario1!BN193-Escenario1!BN192)</f>
        <v>4.842434652994887E-3</v>
      </c>
      <c r="BE192" s="190">
        <f>ABS(Escenario2!BN193-Escenario2!BN192)</f>
        <v>4.9453833053597074E-3</v>
      </c>
      <c r="BF192" s="151"/>
    </row>
    <row r="193" spans="25:58">
      <c r="Y193" s="152"/>
      <c r="Z193" s="183">
        <f>(LíneaBase!C194-0.44)/(MAX(LíneaBase!C:C)+0.12)*100</f>
        <v>25.688927847477128</v>
      </c>
      <c r="AA193" s="184"/>
      <c r="AB193" s="182">
        <f>LíneaBase!L21</f>
        <v>1.25892353933118</v>
      </c>
      <c r="AC193" s="184"/>
      <c r="AD193" s="182">
        <f>Escenario1!BN734</f>
        <v>1.2101154296922787</v>
      </c>
      <c r="AE193" s="184"/>
      <c r="AF193" s="182">
        <f>Escenario2!BN47</f>
        <v>1.0411802479109447</v>
      </c>
      <c r="AG193" s="184"/>
      <c r="AH193" s="182">
        <f>LíneaBase!N103</f>
        <v>0</v>
      </c>
      <c r="AI193" s="184"/>
      <c r="AJ193" s="182">
        <f>Escenario1!BP101</f>
        <v>0</v>
      </c>
      <c r="AK193" s="184"/>
      <c r="AL193" s="182">
        <f>Escenario2!BP103</f>
        <v>0</v>
      </c>
      <c r="AM193" s="151"/>
      <c r="BA193" s="152"/>
      <c r="BB193" s="75">
        <v>188</v>
      </c>
      <c r="BC193" s="190">
        <f>ABS(LíneaBase!L194-LíneaBase!L193)</f>
        <v>3.8772962421295687E-3</v>
      </c>
      <c r="BD193" s="190">
        <f>ABS(Escenario1!BN194-Escenario1!BN193)</f>
        <v>4.7964284941145463E-3</v>
      </c>
      <c r="BE193" s="190">
        <f>ABS(Escenario2!BN194-Escenario2!BN193)</f>
        <v>4.8930685231928783E-3</v>
      </c>
      <c r="BF193" s="151"/>
    </row>
    <row r="194" spans="25:58">
      <c r="Y194" s="152"/>
      <c r="Z194" s="183">
        <f>(LíneaBase!C195-0.44)/(MAX(LíneaBase!C:C)+0.12)*100</f>
        <v>25.825891634251903</v>
      </c>
      <c r="AA194" s="184"/>
      <c r="AB194" s="182">
        <f>LíneaBase!L38</f>
        <v>1.2561122030552123</v>
      </c>
      <c r="AC194" s="184"/>
      <c r="AD194" s="182">
        <f>Escenario1!BN471</f>
        <v>1.2095257198510703</v>
      </c>
      <c r="AE194" s="184"/>
      <c r="AF194" s="182">
        <f>Escenario2!BN32</f>
        <v>1.0411681163875071</v>
      </c>
      <c r="AG194" s="184"/>
      <c r="AH194" s="182">
        <f>LíneaBase!N104</f>
        <v>0</v>
      </c>
      <c r="AI194" s="184"/>
      <c r="AJ194" s="182">
        <f>Escenario1!BP102</f>
        <v>0</v>
      </c>
      <c r="AK194" s="184"/>
      <c r="AL194" s="182">
        <f>Escenario2!BP104</f>
        <v>0</v>
      </c>
      <c r="AM194" s="151"/>
      <c r="BA194" s="152"/>
      <c r="BB194" s="75">
        <v>189</v>
      </c>
      <c r="BC194" s="190">
        <f>ABS(LíneaBase!L195-LíneaBase!L194)</f>
        <v>3.839092318755899E-3</v>
      </c>
      <c r="BD194" s="190">
        <f>ABS(Escenario1!BN195-Escenario1!BN194)</f>
        <v>4.7508378703260967E-3</v>
      </c>
      <c r="BE194" s="190">
        <f>ABS(Escenario2!BN195-Escenario2!BN194)</f>
        <v>4.8413240352814246E-3</v>
      </c>
      <c r="BF194" s="151"/>
    </row>
    <row r="195" spans="25:58">
      <c r="Y195" s="152"/>
      <c r="Z195" s="183">
        <f>(LíneaBase!C196-0.44)/(MAX(LíneaBase!C:C)+0.12)*100</f>
        <v>25.962855421026681</v>
      </c>
      <c r="AA195" s="184"/>
      <c r="AB195" s="182">
        <f>LíneaBase!L465</f>
        <v>1.2521991273502813</v>
      </c>
      <c r="AC195" s="184"/>
      <c r="AD195" s="182">
        <f>Escenario1!BN382</f>
        <v>1.2085714782765213</v>
      </c>
      <c r="AE195" s="184"/>
      <c r="AF195" s="182">
        <f>Escenario2!BN48</f>
        <v>1.0411132947394175</v>
      </c>
      <c r="AG195" s="184"/>
      <c r="AH195" s="182">
        <f>LíneaBase!N105</f>
        <v>0</v>
      </c>
      <c r="AI195" s="184"/>
      <c r="AJ195" s="182">
        <f>Escenario1!BP103</f>
        <v>0</v>
      </c>
      <c r="AK195" s="184"/>
      <c r="AL195" s="182">
        <f>Escenario2!BP105</f>
        <v>0</v>
      </c>
      <c r="AM195" s="151"/>
      <c r="BA195" s="152"/>
      <c r="BB195" s="75">
        <v>190</v>
      </c>
      <c r="BC195" s="190">
        <f>ABS(LíneaBase!L196-LíneaBase!L195)</f>
        <v>3.1247234192268381E-2</v>
      </c>
      <c r="BD195" s="190">
        <f>ABS(Escenario1!BN196-Escenario1!BN195)</f>
        <v>2.5608217526609023E-2</v>
      </c>
      <c r="BE195" s="190">
        <f>ABS(Escenario2!BN196-Escenario2!BN195)</f>
        <v>1.9015030067368766E-2</v>
      </c>
      <c r="BF195" s="151"/>
    </row>
    <row r="196" spans="25:58">
      <c r="Y196" s="152"/>
      <c r="Z196" s="183">
        <f>(LíneaBase!C197-0.44)/(MAX(LíneaBase!C:C)+0.12)*100</f>
        <v>26.099819207801456</v>
      </c>
      <c r="AA196" s="184"/>
      <c r="AB196" s="182">
        <f>LíneaBase!L35</f>
        <v>1.2459788409374613</v>
      </c>
      <c r="AC196" s="184"/>
      <c r="AD196" s="182">
        <f>Escenario1!BN369</f>
        <v>1.204985025529258</v>
      </c>
      <c r="AE196" s="184"/>
      <c r="AF196" s="182">
        <f>Escenario2!BN33</f>
        <v>1.0411013486493128</v>
      </c>
      <c r="AG196" s="184"/>
      <c r="AH196" s="182">
        <f>LíneaBase!N106</f>
        <v>0</v>
      </c>
      <c r="AI196" s="184"/>
      <c r="AJ196" s="182">
        <f>Escenario1!BP104</f>
        <v>0</v>
      </c>
      <c r="AK196" s="184"/>
      <c r="AL196" s="182">
        <f>Escenario2!BP106</f>
        <v>0</v>
      </c>
      <c r="AM196" s="151"/>
      <c r="BA196" s="152"/>
      <c r="BB196" s="75">
        <v>191</v>
      </c>
      <c r="BC196" s="190">
        <f>ABS(LíneaBase!L197-LíneaBase!L196)</f>
        <v>3.2996489818301278E-2</v>
      </c>
      <c r="BD196" s="190">
        <f>ABS(Escenario1!BN197-Escenario1!BN196)</f>
        <v>3.0245242246747628E-2</v>
      </c>
      <c r="BE196" s="190">
        <f>ABS(Escenario2!BN197-Escenario2!BN196)</f>
        <v>2.4594550549413563E-2</v>
      </c>
      <c r="BF196" s="151"/>
    </row>
    <row r="197" spans="25:58">
      <c r="Y197" s="152"/>
      <c r="Z197" s="183">
        <f>(LíneaBase!C198-0.44)/(MAX(LíneaBase!C:C)+0.12)*100</f>
        <v>26.236782994576235</v>
      </c>
      <c r="AA197" s="184"/>
      <c r="AB197" s="182">
        <f>LíneaBase!L736</f>
        <v>1.2459357641212574</v>
      </c>
      <c r="AC197" s="184"/>
      <c r="AD197" s="182">
        <f>Escenario1!BN733</f>
        <v>1.2032111017452625</v>
      </c>
      <c r="AE197" s="184"/>
      <c r="AF197" s="182">
        <f>Escenario2!BN49</f>
        <v>1.0410473649636589</v>
      </c>
      <c r="AG197" s="184"/>
      <c r="AH197" s="182">
        <f>LíneaBase!N107</f>
        <v>0</v>
      </c>
      <c r="AI197" s="184"/>
      <c r="AJ197" s="182">
        <f>Escenario1!BP105</f>
        <v>0</v>
      </c>
      <c r="AK197" s="184"/>
      <c r="AL197" s="182">
        <f>Escenario2!BP107</f>
        <v>0</v>
      </c>
      <c r="AM197" s="151"/>
      <c r="BA197" s="152"/>
      <c r="BB197" s="75">
        <v>192</v>
      </c>
      <c r="BC197" s="190">
        <f>ABS(LíneaBase!L198-LíneaBase!L197)</f>
        <v>8.5774879067372356E-3</v>
      </c>
      <c r="BD197" s="190">
        <f>ABS(Escenario1!BN198-Escenario1!BN197)</f>
        <v>8.8705483620544201E-3</v>
      </c>
      <c r="BE197" s="190">
        <f>ABS(Escenario2!BN198-Escenario2!BN197)</f>
        <v>7.9841189944137025E-3</v>
      </c>
      <c r="BF197" s="151"/>
    </row>
    <row r="198" spans="25:58">
      <c r="Y198" s="152"/>
      <c r="Z198" s="183">
        <f>(LíneaBase!C199-0.44)/(MAX(LíneaBase!C:C)+0.12)*100</f>
        <v>26.373746781351009</v>
      </c>
      <c r="AA198" s="184"/>
      <c r="AB198" s="182">
        <f>LíneaBase!L371</f>
        <v>1.2441724444320688</v>
      </c>
      <c r="AC198" s="184"/>
      <c r="AD198" s="182">
        <f>Escenario1!BN472</f>
        <v>1.1995487047112399</v>
      </c>
      <c r="AE198" s="184"/>
      <c r="AF198" s="182">
        <f>Escenario2!BN34</f>
        <v>1.0410356014724931</v>
      </c>
      <c r="AG198" s="184"/>
      <c r="AH198" s="182">
        <f>LíneaBase!N109</f>
        <v>0</v>
      </c>
      <c r="AI198" s="184"/>
      <c r="AJ198" s="182">
        <f>Escenario1!BP106</f>
        <v>0</v>
      </c>
      <c r="AK198" s="184"/>
      <c r="AL198" s="182">
        <f>Escenario2!BP109</f>
        <v>0</v>
      </c>
      <c r="AM198" s="151"/>
      <c r="BA198" s="152"/>
      <c r="BB198" s="75">
        <v>193</v>
      </c>
      <c r="BC198" s="190">
        <f>ABS(LíneaBase!L199-LíneaBase!L198)</f>
        <v>4.4949219386685724E-3</v>
      </c>
      <c r="BD198" s="190">
        <f>ABS(Escenario1!BN199-Escenario1!BN198)</f>
        <v>5.0394229717269923E-3</v>
      </c>
      <c r="BE198" s="190">
        <f>ABS(Escenario2!BN199-Escenario2!BN198)</f>
        <v>5.1866266076996959E-3</v>
      </c>
      <c r="BF198" s="151"/>
    </row>
    <row r="199" spans="25:58">
      <c r="Y199" s="152"/>
      <c r="Z199" s="183">
        <f>(LíneaBase!C200-0.44)/(MAX(LíneaBase!C:C)+0.12)*100</f>
        <v>26.510710568125788</v>
      </c>
      <c r="AA199" s="184"/>
      <c r="AB199" s="182">
        <f>LíneaBase!L15</f>
        <v>1.2436457991895276</v>
      </c>
      <c r="AC199" s="184"/>
      <c r="AD199" s="182">
        <f>Escenario1!BN39</f>
        <v>1.1991157908554828</v>
      </c>
      <c r="AE199" s="184"/>
      <c r="AF199" s="182">
        <f>Escenario2!BN50</f>
        <v>1.0409824429408117</v>
      </c>
      <c r="AG199" s="184"/>
      <c r="AH199" s="182">
        <f>LíneaBase!N110</f>
        <v>0</v>
      </c>
      <c r="AI199" s="184"/>
      <c r="AJ199" s="182">
        <f>Escenario1!BP107</f>
        <v>0</v>
      </c>
      <c r="AK199" s="184"/>
      <c r="AL199" s="182">
        <f>Escenario2!BP110</f>
        <v>0</v>
      </c>
      <c r="AM199" s="151"/>
      <c r="BA199" s="152"/>
      <c r="BB199" s="75">
        <v>194</v>
      </c>
      <c r="BC199" s="190">
        <f>ABS(LíneaBase!L200-LíneaBase!L199)</f>
        <v>3.787210672841379E-3</v>
      </c>
      <c r="BD199" s="190">
        <f>ABS(Escenario1!BN200-Escenario1!BN199)</f>
        <v>4.5264194183726736E-3</v>
      </c>
      <c r="BE199" s="190">
        <f>ABS(Escenario2!BN200-Escenario2!BN199)</f>
        <v>4.6816509791249294E-3</v>
      </c>
      <c r="BF199" s="151"/>
    </row>
    <row r="200" spans="25:58">
      <c r="Y200" s="152"/>
      <c r="Z200" s="183">
        <f>(LíneaBase!C201-0.44)/(MAX(LíneaBase!C:C)+0.12)*100</f>
        <v>26.647674354900563</v>
      </c>
      <c r="AA200" s="184"/>
      <c r="AB200" s="182">
        <f>LíneaBase!L8</f>
        <v>1.2407799324562991</v>
      </c>
      <c r="AC200" s="184"/>
      <c r="AD200" s="182">
        <f>Escenario1!BN368</f>
        <v>1.1980296498910101</v>
      </c>
      <c r="AE200" s="184"/>
      <c r="AF200" s="182">
        <f>Escenario2!BN35</f>
        <v>1.0409708592575146</v>
      </c>
      <c r="AG200" s="184"/>
      <c r="AH200" s="182">
        <f>LíneaBase!N111</f>
        <v>0</v>
      </c>
      <c r="AI200" s="184"/>
      <c r="AJ200" s="182">
        <f>Escenario1!BP109</f>
        <v>0</v>
      </c>
      <c r="AK200" s="184"/>
      <c r="AL200" s="182">
        <f>Escenario2!BP111</f>
        <v>0</v>
      </c>
      <c r="AM200" s="151"/>
      <c r="BA200" s="152"/>
      <c r="BB200" s="75">
        <v>195</v>
      </c>
      <c r="BC200" s="190">
        <f>ABS(LíneaBase!L201-LíneaBase!L200)</f>
        <v>3.6398086177398814E-3</v>
      </c>
      <c r="BD200" s="190">
        <f>ABS(Escenario1!BN201-Escenario1!BN200)</f>
        <v>4.4834111677821142E-3</v>
      </c>
      <c r="BE200" s="190">
        <f>ABS(Escenario2!BN201-Escenario2!BN200)</f>
        <v>4.5575304435371833E-3</v>
      </c>
      <c r="BF200" s="151"/>
    </row>
    <row r="201" spans="25:58">
      <c r="Y201" s="152"/>
      <c r="Z201" s="183">
        <f>(LíneaBase!C202-0.44)/(MAX(LíneaBase!C:C)+0.12)*100</f>
        <v>26.784638141675345</v>
      </c>
      <c r="AA201" s="184"/>
      <c r="AB201" s="182">
        <f>LíneaBase!L731</f>
        <v>1.2401367590200183</v>
      </c>
      <c r="AC201" s="184"/>
      <c r="AD201" s="182">
        <f>Escenario1!BN736</f>
        <v>1.1951109577612571</v>
      </c>
      <c r="AE201" s="184"/>
      <c r="AF201" s="182">
        <f>Escenario2!BN51</f>
        <v>1.0409185132671237</v>
      </c>
      <c r="AG201" s="184"/>
      <c r="AH201" s="182">
        <f>LíneaBase!N112</f>
        <v>0</v>
      </c>
      <c r="AI201" s="184"/>
      <c r="AJ201" s="182">
        <f>Escenario1!BP110</f>
        <v>0</v>
      </c>
      <c r="AK201" s="184"/>
      <c r="AL201" s="182">
        <f>Escenario2!BP112</f>
        <v>0</v>
      </c>
      <c r="AM201" s="151"/>
      <c r="BA201" s="152"/>
      <c r="BB201" s="75">
        <v>196</v>
      </c>
      <c r="BC201" s="190">
        <f>ABS(LíneaBase!L202-LíneaBase!L201)</f>
        <v>3.5856774885678067E-3</v>
      </c>
      <c r="BD201" s="190">
        <f>ABS(Escenario1!BN202-Escenario1!BN201)</f>
        <v>4.4408011654493151E-3</v>
      </c>
      <c r="BE201" s="190">
        <f>ABS(Escenario2!BN202-Escenario2!BN201)</f>
        <v>4.4970458790717927E-3</v>
      </c>
      <c r="BF201" s="151"/>
    </row>
    <row r="202" spans="25:58">
      <c r="Y202" s="152"/>
      <c r="Z202" s="183">
        <f>(LíneaBase!C203-0.44)/(MAX(LíneaBase!C:C)+0.12)*100</f>
        <v>26.921601928450116</v>
      </c>
      <c r="AA202" s="184"/>
      <c r="AB202" s="182">
        <f>LíneaBase!L366</f>
        <v>1.2382839391505354</v>
      </c>
      <c r="AC202" s="184"/>
      <c r="AD202" s="182">
        <f>Escenario1!BN660</f>
        <v>1.195045580975642</v>
      </c>
      <c r="AE202" s="184"/>
      <c r="AF202" s="182">
        <f>Escenario2!BN36</f>
        <v>1.0409071066432878</v>
      </c>
      <c r="AG202" s="184"/>
      <c r="AH202" s="182">
        <f>LíneaBase!N113</f>
        <v>0</v>
      </c>
      <c r="AI202" s="184"/>
      <c r="AJ202" s="182">
        <f>Escenario1!BP111</f>
        <v>0</v>
      </c>
      <c r="AK202" s="184"/>
      <c r="AL202" s="182">
        <f>Escenario2!BP113</f>
        <v>0</v>
      </c>
      <c r="AM202" s="151"/>
      <c r="BA202" s="152"/>
      <c r="BB202" s="75">
        <v>197</v>
      </c>
      <c r="BC202" s="190">
        <f>ABS(LíneaBase!L203-LíneaBase!L202)</f>
        <v>3.5473157574893999E-3</v>
      </c>
      <c r="BD202" s="190">
        <f>ABS(Escenario1!BN203-Escenario1!BN202)</f>
        <v>4.3986083877318172E-3</v>
      </c>
      <c r="BE202" s="190">
        <f>ABS(Escenario2!BN203-Escenario2!BN202)</f>
        <v>4.4475541651849415E-3</v>
      </c>
      <c r="BF202" s="151"/>
    </row>
    <row r="203" spans="25:58">
      <c r="Y203" s="152"/>
      <c r="Z203" s="183">
        <f>(LíneaBase!C204-0.44)/(MAX(LíneaBase!C:C)+0.12)*100</f>
        <v>27.058565715224898</v>
      </c>
      <c r="AA203" s="184"/>
      <c r="AB203" s="182">
        <f>LíneaBase!L100</f>
        <v>1.2263915532532434</v>
      </c>
      <c r="AC203" s="184"/>
      <c r="AD203" s="182">
        <f>Escenario1!BN21</f>
        <v>1.1948316534244849</v>
      </c>
      <c r="AE203" s="184"/>
      <c r="AF203" s="182">
        <f>Escenario2!BN37</f>
        <v>1.0408443285035205</v>
      </c>
      <c r="AG203" s="184"/>
      <c r="AH203" s="182">
        <f>LíneaBase!N114</f>
        <v>0</v>
      </c>
      <c r="AI203" s="184"/>
      <c r="AJ203" s="182">
        <f>Escenario1!BP112</f>
        <v>0</v>
      </c>
      <c r="AK203" s="184"/>
      <c r="AL203" s="182">
        <f>Escenario2!BP114</f>
        <v>0</v>
      </c>
      <c r="AM203" s="151"/>
      <c r="BA203" s="152"/>
      <c r="BB203" s="75">
        <v>198</v>
      </c>
      <c r="BC203" s="190">
        <f>ABS(LíneaBase!L204-LíneaBase!L203)</f>
        <v>3.511860224766461E-3</v>
      </c>
      <c r="BD203" s="190">
        <f>ABS(Escenario1!BN204-Escenario1!BN203)</f>
        <v>4.3568072201256025E-3</v>
      </c>
      <c r="BE203" s="190">
        <f>ABS(Escenario2!BN204-Escenario2!BN203)</f>
        <v>4.4003150099896637E-3</v>
      </c>
      <c r="BF203" s="151"/>
    </row>
    <row r="204" spans="25:58">
      <c r="Y204" s="152"/>
      <c r="Z204" s="183">
        <f>(LíneaBase!C205-0.44)/(MAX(LíneaBase!C:C)+0.12)*100</f>
        <v>27.195529501999673</v>
      </c>
      <c r="AA204" s="184"/>
      <c r="AB204" s="182">
        <f>LíneaBase!L39</f>
        <v>1.2233919433615881</v>
      </c>
      <c r="AC204" s="184"/>
      <c r="AD204" s="182">
        <f>Escenario1!BN371</f>
        <v>1.1900811454219828</v>
      </c>
      <c r="AE204" s="184"/>
      <c r="AF204" s="182">
        <f>Escenario2!BN38</f>
        <v>1.0407825099431298</v>
      </c>
      <c r="AG204" s="184"/>
      <c r="AH204" s="182">
        <f>LíneaBase!N115</f>
        <v>0</v>
      </c>
      <c r="AI204" s="184"/>
      <c r="AJ204" s="182">
        <f>Escenario1!BP113</f>
        <v>0</v>
      </c>
      <c r="AK204" s="184"/>
      <c r="AL204" s="182">
        <f>Escenario2!BP115</f>
        <v>0</v>
      </c>
      <c r="AM204" s="151"/>
      <c r="BA204" s="152"/>
      <c r="BB204" s="75">
        <v>199</v>
      </c>
      <c r="BC204" s="190">
        <f>ABS(LíneaBase!L205-LíneaBase!L204)</f>
        <v>2.1146267229119609E-3</v>
      </c>
      <c r="BD204" s="190">
        <f>ABS(Escenario1!BN205-Escenario1!BN204)</f>
        <v>3.502981975959607E-3</v>
      </c>
      <c r="BE204" s="190">
        <f>ABS(Escenario2!BN205-Escenario2!BN204)</f>
        <v>3.154832031526944E-3</v>
      </c>
      <c r="BF204" s="151"/>
    </row>
    <row r="205" spans="25:58">
      <c r="Y205" s="152"/>
      <c r="Z205" s="183">
        <f>(LíneaBase!C206-0.44)/(MAX(LíneaBase!C:C)+0.12)*100</f>
        <v>27.332493288774451</v>
      </c>
      <c r="AA205" s="184"/>
      <c r="AB205" s="182">
        <f>LíneaBase!L51</f>
        <v>1.2217120547254565</v>
      </c>
      <c r="AC205" s="184"/>
      <c r="AD205" s="182">
        <f>Escenario1!BN730</f>
        <v>1.1882704256258443</v>
      </c>
      <c r="AE205" s="184"/>
      <c r="AF205" s="182">
        <f>Escenario2!BN730</f>
        <v>1.0402404089527408</v>
      </c>
      <c r="AG205" s="184"/>
      <c r="AH205" s="182">
        <f>LíneaBase!N116</f>
        <v>0</v>
      </c>
      <c r="AI205" s="184"/>
      <c r="AJ205" s="182">
        <f>Escenario1!BP114</f>
        <v>0</v>
      </c>
      <c r="AK205" s="184"/>
      <c r="AL205" s="182">
        <f>Escenario2!BP116</f>
        <v>0</v>
      </c>
      <c r="AM205" s="151"/>
      <c r="BA205" s="152"/>
      <c r="BB205" s="75">
        <v>200</v>
      </c>
      <c r="BC205" s="190">
        <f>ABS(LíneaBase!L206-LíneaBase!L205)</f>
        <v>7.6246966464986188E-3</v>
      </c>
      <c r="BD205" s="190">
        <f>ABS(Escenario1!BN206-Escenario1!BN205)</f>
        <v>5.3270579876132373E-3</v>
      </c>
      <c r="BE205" s="190">
        <f>ABS(Escenario2!BN206-Escenario2!BN205)</f>
        <v>4.2842703914147129E-3</v>
      </c>
      <c r="BF205" s="151"/>
    </row>
    <row r="206" spans="25:58">
      <c r="Y206" s="152"/>
      <c r="Z206" s="183">
        <f>(LíneaBase!C207-0.44)/(MAX(LíneaBase!C:C)+0.12)*100</f>
        <v>27.469457075549226</v>
      </c>
      <c r="AA206" s="184"/>
      <c r="AB206" s="182">
        <f>LíneaBase!L732</f>
        <v>1.2192828041864159</v>
      </c>
      <c r="AC206" s="184"/>
      <c r="AD206" s="182">
        <f>Escenario1!BN7</f>
        <v>1.188014580406195</v>
      </c>
      <c r="AE206" s="184"/>
      <c r="AF206" s="182">
        <f>Escenario2!BN731</f>
        <v>1.0401878214518916</v>
      </c>
      <c r="AG206" s="184"/>
      <c r="AH206" s="182">
        <f>LíneaBase!N117</f>
        <v>0</v>
      </c>
      <c r="AI206" s="184"/>
      <c r="AJ206" s="182">
        <f>Escenario1!BP115</f>
        <v>0</v>
      </c>
      <c r="AK206" s="184"/>
      <c r="AL206" s="182">
        <f>Escenario2!BP117</f>
        <v>0</v>
      </c>
      <c r="AM206" s="151"/>
      <c r="BA206" s="152"/>
      <c r="BB206" s="75">
        <v>201</v>
      </c>
      <c r="BC206" s="190">
        <f>ABS(LíneaBase!L207-LíneaBase!L206)</f>
        <v>0.1548958566694848</v>
      </c>
      <c r="BD206" s="190">
        <f>ABS(Escenario1!BN207-Escenario1!BN206)</f>
        <v>0.11074247117089953</v>
      </c>
      <c r="BE206" s="190">
        <f>ABS(Escenario2!BN207-Escenario2!BN206)</f>
        <v>0.1034296982438247</v>
      </c>
      <c r="BF206" s="151"/>
    </row>
    <row r="207" spans="25:58">
      <c r="Y207" s="152"/>
      <c r="Z207" s="183">
        <f>(LíneaBase!C208-0.44)/(MAX(LíneaBase!C:C)+0.12)*100</f>
        <v>27.606420862324001</v>
      </c>
      <c r="AA207" s="184"/>
      <c r="AB207" s="182">
        <f>LíneaBase!L367</f>
        <v>1.2174482405924141</v>
      </c>
      <c r="AC207" s="184"/>
      <c r="AD207" s="182">
        <f>Escenario1!BN295</f>
        <v>1.1843722754668204</v>
      </c>
      <c r="AE207" s="184"/>
      <c r="AF207" s="182">
        <f>Escenario2!BN732</f>
        <v>1.0401360377639854</v>
      </c>
      <c r="AG207" s="184"/>
      <c r="AH207" s="182">
        <f>LíneaBase!N118</f>
        <v>0</v>
      </c>
      <c r="AI207" s="184"/>
      <c r="AJ207" s="182">
        <f>Escenario1!BP116</f>
        <v>0</v>
      </c>
      <c r="AK207" s="184"/>
      <c r="AL207" s="182">
        <f>Escenario2!BP118</f>
        <v>0</v>
      </c>
      <c r="AM207" s="151"/>
      <c r="BA207" s="152"/>
      <c r="BB207" s="75">
        <v>202</v>
      </c>
      <c r="BC207" s="190">
        <f>ABS(LíneaBase!L208-LíneaBase!L207)</f>
        <v>0.26870997540058561</v>
      </c>
      <c r="BD207" s="190">
        <f>ABS(Escenario1!BN208-Escenario1!BN207)</f>
        <v>0.15570598617484421</v>
      </c>
      <c r="BE207" s="190">
        <f>ABS(Escenario2!BN208-Escenario2!BN207)</f>
        <v>0.14880922407964181</v>
      </c>
      <c r="BF207" s="151"/>
    </row>
    <row r="208" spans="25:58">
      <c r="Y208" s="152"/>
      <c r="Z208" s="183">
        <f>(LíneaBase!C209-0.44)/(MAX(LíneaBase!C:C)+0.12)*100</f>
        <v>27.743384649098779</v>
      </c>
      <c r="AA208" s="184"/>
      <c r="AB208" s="182">
        <f>LíneaBase!L417</f>
        <v>1.2142273209286203</v>
      </c>
      <c r="AC208" s="184"/>
      <c r="AD208" s="182">
        <f>Escenario1!BN731</f>
        <v>1.1832578572071977</v>
      </c>
      <c r="AE208" s="184"/>
      <c r="AF208" s="182">
        <f>Escenario2!BN733</f>
        <v>1.0400850456025428</v>
      </c>
      <c r="AG208" s="184"/>
      <c r="AH208" s="182">
        <f>LíneaBase!N119</f>
        <v>0</v>
      </c>
      <c r="AI208" s="184"/>
      <c r="AJ208" s="182">
        <f>Escenario1!BP117</f>
        <v>0</v>
      </c>
      <c r="AK208" s="184"/>
      <c r="AL208" s="182">
        <f>Escenario2!BP119</f>
        <v>0</v>
      </c>
      <c r="AM208" s="151"/>
      <c r="BA208" s="152"/>
      <c r="BB208" s="75">
        <v>203</v>
      </c>
      <c r="BC208" s="190">
        <f>ABS(LíneaBase!L209-LíneaBase!L208)</f>
        <v>0.18157413877529605</v>
      </c>
      <c r="BD208" s="190">
        <f>ABS(Escenario1!BN209-Escenario1!BN208)</f>
        <v>5.3110575447288699E-2</v>
      </c>
      <c r="BE208" s="190">
        <f>ABS(Escenario2!BN209-Escenario2!BN208)</f>
        <v>6.0277909200686208E-2</v>
      </c>
      <c r="BF208" s="151"/>
    </row>
    <row r="209" spans="25:58">
      <c r="Y209" s="152"/>
      <c r="Z209" s="183">
        <f>(LíneaBase!C210-0.44)/(MAX(LíneaBase!C:C)+0.12)*100</f>
        <v>27.880348435873554</v>
      </c>
      <c r="AA209" s="184"/>
      <c r="AB209" s="182">
        <f>LíneaBase!L387</f>
        <v>1.2068458748246991</v>
      </c>
      <c r="AC209" s="184"/>
      <c r="AD209" s="182">
        <f>Escenario1!BN365</f>
        <v>1.1829327635680309</v>
      </c>
      <c r="AE209" s="184"/>
      <c r="AF209" s="182">
        <f>Escenario2!BN734</f>
        <v>1.0400348328688862</v>
      </c>
      <c r="AG209" s="184"/>
      <c r="AH209" s="182">
        <f>LíneaBase!N120</f>
        <v>0</v>
      </c>
      <c r="AI209" s="184"/>
      <c r="AJ209" s="182">
        <f>Escenario1!BP118</f>
        <v>0</v>
      </c>
      <c r="AK209" s="184"/>
      <c r="AL209" s="182">
        <f>Escenario2!BP120</f>
        <v>0</v>
      </c>
      <c r="AM209" s="151"/>
      <c r="BA209" s="152"/>
      <c r="BB209" s="75">
        <v>204</v>
      </c>
      <c r="BC209" s="190">
        <f>ABS(LíneaBase!L210-LíneaBase!L209)</f>
        <v>5.6354354546254593E-2</v>
      </c>
      <c r="BD209" s="190">
        <f>ABS(Escenario1!BN210-Escenario1!BN209)</f>
        <v>5.10340570031389E-2</v>
      </c>
      <c r="BE209" s="190">
        <f>ABS(Escenario2!BN210-Escenario2!BN209)</f>
        <v>5.7880873728553106E-2</v>
      </c>
      <c r="BF209" s="151"/>
    </row>
    <row r="210" spans="25:58">
      <c r="Y210" s="152"/>
      <c r="Z210" s="183">
        <f>(LíneaBase!C211-0.44)/(MAX(LíneaBase!C:C)+0.12)*100</f>
        <v>28.017312222648332</v>
      </c>
      <c r="AA210" s="184"/>
      <c r="AB210" s="182">
        <f>LíneaBase!L381</f>
        <v>1.1991584429314495</v>
      </c>
      <c r="AC210" s="184"/>
      <c r="AD210" s="182">
        <f>Escenario1!BN366</f>
        <v>1.1779727815090733</v>
      </c>
      <c r="AE210" s="184"/>
      <c r="AF210" s="182">
        <f>Escenario2!BN735</f>
        <v>1.0399853876492695</v>
      </c>
      <c r="AG210" s="184"/>
      <c r="AH210" s="182">
        <f>LíneaBase!N121</f>
        <v>0</v>
      </c>
      <c r="AI210" s="184"/>
      <c r="AJ210" s="182">
        <f>Escenario1!BP119</f>
        <v>0</v>
      </c>
      <c r="AK210" s="184"/>
      <c r="AL210" s="182">
        <f>Escenario2!BP121</f>
        <v>0</v>
      </c>
      <c r="AM210" s="151"/>
      <c r="BA210" s="152"/>
      <c r="BB210" s="75">
        <v>205</v>
      </c>
      <c r="BC210" s="190">
        <f>ABS(LíneaBase!L211-LíneaBase!L210)</f>
        <v>5.5620886002974657E-2</v>
      </c>
      <c r="BD210" s="190">
        <f>ABS(Escenario1!BN211-Escenario1!BN210)</f>
        <v>5.0368915339827791E-2</v>
      </c>
      <c r="BE210" s="190">
        <f>ABS(Escenario2!BN211-Escenario2!BN210)</f>
        <v>5.7163539792199791E-2</v>
      </c>
      <c r="BF210" s="151"/>
    </row>
    <row r="211" spans="25:58">
      <c r="Y211" s="152"/>
      <c r="Z211" s="183">
        <f>(LíneaBase!C212-0.44)/(MAX(LíneaBase!C:C)+0.12)*100</f>
        <v>28.154276009423107</v>
      </c>
      <c r="AA211" s="184"/>
      <c r="AB211" s="182">
        <f>LíneaBase!L382</f>
        <v>1.1950003327119476</v>
      </c>
      <c r="AC211" s="184"/>
      <c r="AD211" s="182">
        <f>Escenario1!BN475</f>
        <v>1.1778599653436734</v>
      </c>
      <c r="AE211" s="184"/>
      <c r="AF211" s="182">
        <f>Escenario2!BN29</f>
        <v>1.0399830758215658</v>
      </c>
      <c r="AG211" s="184"/>
      <c r="AH211" s="182">
        <f>LíneaBase!N123</f>
        <v>0</v>
      </c>
      <c r="AI211" s="184"/>
      <c r="AJ211" s="182">
        <f>Escenario1!BP120</f>
        <v>0</v>
      </c>
      <c r="AK211" s="184"/>
      <c r="AL211" s="182">
        <f>Escenario2!BP123</f>
        <v>0</v>
      </c>
      <c r="AM211" s="151"/>
      <c r="BA211" s="152"/>
      <c r="BB211" s="75">
        <v>206</v>
      </c>
      <c r="BC211" s="190">
        <f>ABS(LíneaBase!L212-LíneaBase!L211)</f>
        <v>5.4027633640948702E-2</v>
      </c>
      <c r="BD211" s="190">
        <f>ABS(Escenario1!BN212-Escenario1!BN211)</f>
        <v>4.8946523855136093E-2</v>
      </c>
      <c r="BE211" s="190">
        <f>ABS(Escenario2!BN212-Escenario2!BN211)</f>
        <v>5.5541138650259836E-2</v>
      </c>
      <c r="BF211" s="151"/>
    </row>
    <row r="212" spans="25:58">
      <c r="Y212" s="152"/>
      <c r="Z212" s="183">
        <f>(LíneaBase!C213-0.44)/(MAX(LíneaBase!C:C)+0.12)*100</f>
        <v>28.291239796197885</v>
      </c>
      <c r="AA212" s="184"/>
      <c r="AB212" s="182">
        <f>LíneaBase!L410</f>
        <v>1.1760431600311811</v>
      </c>
      <c r="AC212" s="184"/>
      <c r="AD212" s="182">
        <f>Escenario1!BN108</f>
        <v>1.1747323618633234</v>
      </c>
      <c r="AE212" s="184"/>
      <c r="AF212" s="182">
        <f>Escenario2!BN736</f>
        <v>1.0399366982120508</v>
      </c>
      <c r="AG212" s="184"/>
      <c r="AH212" s="182">
        <f>LíneaBase!N124</f>
        <v>0</v>
      </c>
      <c r="AI212" s="184"/>
      <c r="AJ212" s="182">
        <f>Escenario1!BP121</f>
        <v>0</v>
      </c>
      <c r="AK212" s="184"/>
      <c r="AL212" s="182">
        <f>Escenario2!BP124</f>
        <v>0</v>
      </c>
      <c r="AM212" s="151"/>
      <c r="BA212" s="152"/>
      <c r="BB212" s="75">
        <v>207</v>
      </c>
      <c r="BC212" s="190">
        <f>ABS(LíneaBase!L213-LíneaBase!L212)</f>
        <v>5.1221773044880348E-2</v>
      </c>
      <c r="BD212" s="190">
        <f>ABS(Escenario1!BN213-Escenario1!BN212)</f>
        <v>4.6455948717267159E-2</v>
      </c>
      <c r="BE212" s="190">
        <f>ABS(Escenario2!BN213-Escenario2!BN212)</f>
        <v>5.0773576096480977E-2</v>
      </c>
      <c r="BF212" s="151"/>
    </row>
    <row r="213" spans="25:58">
      <c r="Y213" s="152"/>
      <c r="Z213" s="183">
        <f>(LíneaBase!C214-0.44)/(MAX(LíneaBase!C:C)+0.12)*100</f>
        <v>28.42820358297266</v>
      </c>
      <c r="AA213" s="184"/>
      <c r="AB213" s="182">
        <f>LíneaBase!L52</f>
        <v>1.1727158854778452</v>
      </c>
      <c r="AC213" s="184"/>
      <c r="AD213" s="182">
        <f>Escenario1!BN52</f>
        <v>1.1742353144947584</v>
      </c>
      <c r="AE213" s="184"/>
      <c r="AF213" s="182">
        <f>Escenario2!BN365</f>
        <v>1.0398072821553548</v>
      </c>
      <c r="AG213" s="184"/>
      <c r="AH213" s="182">
        <f>LíneaBase!N125</f>
        <v>0</v>
      </c>
      <c r="AI213" s="184"/>
      <c r="AJ213" s="182">
        <f>Escenario1!BP123</f>
        <v>0</v>
      </c>
      <c r="AK213" s="184"/>
      <c r="AL213" s="182">
        <f>Escenario2!BP125</f>
        <v>0</v>
      </c>
      <c r="AM213" s="151"/>
      <c r="BA213" s="152"/>
      <c r="BB213" s="75">
        <v>208</v>
      </c>
      <c r="BC213" s="190">
        <f>ABS(LíneaBase!L214-LíneaBase!L213)</f>
        <v>4.967456605568904E-2</v>
      </c>
      <c r="BD213" s="190">
        <f>ABS(Escenario1!BN214-Escenario1!BN213)</f>
        <v>4.5074767385715309E-2</v>
      </c>
      <c r="BE213" s="190">
        <f>ABS(Escenario2!BN214-Escenario2!BN213)</f>
        <v>1.1719748096868376E-2</v>
      </c>
      <c r="BF213" s="151"/>
    </row>
    <row r="214" spans="25:58">
      <c r="Y214" s="152"/>
      <c r="Z214" s="183">
        <f>(LíneaBase!C215-0.44)/(MAX(LíneaBase!C:C)+0.12)*100</f>
        <v>28.565167369747442</v>
      </c>
      <c r="AA214" s="184"/>
      <c r="AB214" s="182">
        <f>LíneaBase!L406</f>
        <v>1.1727115287574779</v>
      </c>
      <c r="AC214" s="184"/>
      <c r="AD214" s="182">
        <f>Escenario1!BN124</f>
        <v>1.1741215241497776</v>
      </c>
      <c r="AE214" s="184"/>
      <c r="AF214" s="182">
        <f>Escenario2!BN366</f>
        <v>1.0397613151046143</v>
      </c>
      <c r="AG214" s="184"/>
      <c r="AH214" s="182">
        <f>LíneaBase!N126</f>
        <v>0</v>
      </c>
      <c r="AI214" s="184"/>
      <c r="AJ214" s="182">
        <f>Escenario1!BP124</f>
        <v>0</v>
      </c>
      <c r="AK214" s="184"/>
      <c r="AL214" s="182">
        <f>Escenario2!BP126</f>
        <v>0</v>
      </c>
      <c r="AM214" s="151"/>
      <c r="BA214" s="152"/>
      <c r="BB214" s="75">
        <v>209</v>
      </c>
      <c r="BC214" s="190">
        <f>ABS(LíneaBase!L215-LíneaBase!L214)</f>
        <v>1.4753004655116975E-2</v>
      </c>
      <c r="BD214" s="190">
        <f>ABS(Escenario1!BN215-Escenario1!BN214)</f>
        <v>1.6315309867308891E-2</v>
      </c>
      <c r="BE214" s="190">
        <f>ABS(Escenario2!BN215-Escenario2!BN214)</f>
        <v>5.204678972614396E-3</v>
      </c>
      <c r="BF214" s="151"/>
    </row>
    <row r="215" spans="25:58">
      <c r="Y215" s="152"/>
      <c r="Z215" s="183">
        <f>(LíneaBase!C216-0.44)/(MAX(LíneaBase!C:C)+0.12)*100</f>
        <v>28.702131156522213</v>
      </c>
      <c r="AA215" s="184"/>
      <c r="AB215" s="182">
        <f>LíneaBase!L466</f>
        <v>1.1708420289095867</v>
      </c>
      <c r="AC215" s="184"/>
      <c r="AD215" s="182">
        <f>Escenario1!BN701</f>
        <v>1.1729693682156885</v>
      </c>
      <c r="AE215" s="184"/>
      <c r="AF215" s="182">
        <f>Escenario2!BN367</f>
        <v>1.0397160506716014</v>
      </c>
      <c r="AG215" s="184"/>
      <c r="AH215" s="182">
        <f>LíneaBase!N127</f>
        <v>0</v>
      </c>
      <c r="AI215" s="184"/>
      <c r="AJ215" s="182">
        <f>Escenario1!BP125</f>
        <v>0</v>
      </c>
      <c r="AK215" s="184"/>
      <c r="AL215" s="182">
        <f>Escenario2!BP127</f>
        <v>0</v>
      </c>
      <c r="AM215" s="151"/>
      <c r="BA215" s="152"/>
      <c r="BB215" s="75">
        <v>210</v>
      </c>
      <c r="BC215" s="190">
        <f>ABS(LíneaBase!L216-LíneaBase!L215)</f>
        <v>5.0437809256560495E-3</v>
      </c>
      <c r="BD215" s="190">
        <f>ABS(Escenario1!BN216-Escenario1!BN215)</f>
        <v>5.9289747604177045E-3</v>
      </c>
      <c r="BE215" s="190">
        <f>ABS(Escenario2!BN216-Escenario2!BN215)</f>
        <v>4.0893461531187336E-3</v>
      </c>
      <c r="BF215" s="151"/>
    </row>
    <row r="216" spans="25:58">
      <c r="Y216" s="152"/>
      <c r="Z216" s="183">
        <f>(LíneaBase!C217-0.44)/(MAX(LíneaBase!C:C)+0.12)*100</f>
        <v>28.839094943296995</v>
      </c>
      <c r="AA216" s="184"/>
      <c r="AB216" s="182">
        <f>LíneaBase!L405</f>
        <v>1.1624636306981952</v>
      </c>
      <c r="AC216" s="184"/>
      <c r="AD216" s="182">
        <f>Escenario1!BN104</f>
        <v>1.1698250751568473</v>
      </c>
      <c r="AE216" s="184"/>
      <c r="AF216" s="182">
        <f>Escenario2!BN368</f>
        <v>1.0396714781166303</v>
      </c>
      <c r="AG216" s="184"/>
      <c r="AH216" s="182">
        <f>LíneaBase!N128</f>
        <v>0</v>
      </c>
      <c r="AI216" s="184"/>
      <c r="AJ216" s="182">
        <f>Escenario1!BP126</f>
        <v>0</v>
      </c>
      <c r="AK216" s="184"/>
      <c r="AL216" s="182">
        <f>Escenario2!BP128</f>
        <v>0</v>
      </c>
      <c r="AM216" s="151"/>
      <c r="BA216" s="152"/>
      <c r="BB216" s="75">
        <v>211</v>
      </c>
      <c r="BC216" s="190">
        <f>ABS(LíneaBase!L217-LíneaBase!L216)</f>
        <v>3.4070917211601603E-3</v>
      </c>
      <c r="BD216" s="190">
        <f>ABS(Escenario1!BN217-Escenario1!BN216)</f>
        <v>3.8465622447041437E-3</v>
      </c>
      <c r="BE216" s="190">
        <f>ABS(Escenario2!BN217-Escenario2!BN216)</f>
        <v>3.8703956719992605E-3</v>
      </c>
      <c r="BF216" s="151"/>
    </row>
    <row r="217" spans="25:58">
      <c r="Y217" s="152"/>
      <c r="Z217" s="183">
        <f>(LíneaBase!C218-0.44)/(MAX(LíneaBase!C:C)+0.12)*100</f>
        <v>28.97605873007177</v>
      </c>
      <c r="AA217" s="184"/>
      <c r="AB217" s="182">
        <f>LíneaBase!L696</f>
        <v>1.1605202054908925</v>
      </c>
      <c r="AC217" s="184"/>
      <c r="AD217" s="182">
        <f>Escenario1!BN664</f>
        <v>1.1693829286870876</v>
      </c>
      <c r="AE217" s="184"/>
      <c r="AF217" s="182">
        <f>Escenario2!BN369</f>
        <v>1.0396275868641742</v>
      </c>
      <c r="AG217" s="184"/>
      <c r="AH217" s="182">
        <f>LíneaBase!N129</f>
        <v>0</v>
      </c>
      <c r="AI217" s="184"/>
      <c r="AJ217" s="182">
        <f>Escenario1!BP127</f>
        <v>0</v>
      </c>
      <c r="AK217" s="184"/>
      <c r="AL217" s="182">
        <f>Escenario2!BP129</f>
        <v>0</v>
      </c>
      <c r="AM217" s="151"/>
      <c r="BA217" s="152"/>
      <c r="BB217" s="75">
        <v>212</v>
      </c>
      <c r="BC217" s="190">
        <f>ABS(LíneaBase!L218-LíneaBase!L217)</f>
        <v>3.1101812698587916E-3</v>
      </c>
      <c r="BD217" s="190">
        <f>ABS(Escenario1!BN218-Escenario1!BN217)</f>
        <v>3.7930128184107126E-3</v>
      </c>
      <c r="BE217" s="190">
        <f>ABS(Escenario2!BN218-Escenario2!BN217)</f>
        <v>3.8005533628147625E-3</v>
      </c>
      <c r="BF217" s="151"/>
    </row>
    <row r="218" spans="25:58">
      <c r="Y218" s="152"/>
      <c r="Z218" s="183">
        <f>(LíneaBase!C219-0.44)/(MAX(LíneaBase!C:C)+0.12)*100</f>
        <v>29.113022516846549</v>
      </c>
      <c r="AA218" s="184"/>
      <c r="AB218" s="182">
        <f>LíneaBase!L331</f>
        <v>1.1578999225028352</v>
      </c>
      <c r="AC218" s="184"/>
      <c r="AD218" s="182">
        <f>Escenario1!BN109</f>
        <v>1.1675138430242897</v>
      </c>
      <c r="AE218" s="184"/>
      <c r="AF218" s="182">
        <f>Escenario2!BN370</f>
        <v>1.0395843665003559</v>
      </c>
      <c r="AG218" s="184"/>
      <c r="AH218" s="182">
        <f>LíneaBase!N130</f>
        <v>0</v>
      </c>
      <c r="AI218" s="184"/>
      <c r="AJ218" s="182">
        <f>Escenario1!BP128</f>
        <v>0</v>
      </c>
      <c r="AK218" s="184"/>
      <c r="AL218" s="182">
        <f>Escenario2!BP130</f>
        <v>0</v>
      </c>
      <c r="AM218" s="151"/>
      <c r="BA218" s="152"/>
      <c r="BB218" s="75">
        <v>213</v>
      </c>
      <c r="BC218" s="190">
        <f>ABS(LíneaBase!L219-LíneaBase!L218)</f>
        <v>3.0358383123315624E-3</v>
      </c>
      <c r="BD218" s="190">
        <f>ABS(Escenario1!BN219-Escenario1!BN218)</f>
        <v>3.7572026761300004E-3</v>
      </c>
      <c r="BE218" s="190">
        <f>ABS(Escenario2!BN219-Escenario2!BN218)</f>
        <v>3.7558152006696433E-3</v>
      </c>
      <c r="BF218" s="151"/>
    </row>
    <row r="219" spans="25:58">
      <c r="Y219" s="152"/>
      <c r="Z219" s="183">
        <f>(LíneaBase!C220-0.44)/(MAX(LíneaBase!C:C)+0.12)*100</f>
        <v>29.249986303621323</v>
      </c>
      <c r="AA219" s="184"/>
      <c r="AB219" s="182">
        <f>LíneaBase!L664</f>
        <v>1.1550990904643057</v>
      </c>
      <c r="AC219" s="184"/>
      <c r="AD219" s="182">
        <f>Escenario1!BN732</f>
        <v>1.1663823817864394</v>
      </c>
      <c r="AE219" s="184"/>
      <c r="AF219" s="182">
        <f>Escenario2!BN376</f>
        <v>1.0395830815184743</v>
      </c>
      <c r="AG219" s="184"/>
      <c r="AH219" s="182">
        <f>LíneaBase!N131</f>
        <v>0</v>
      </c>
      <c r="AI219" s="184"/>
      <c r="AJ219" s="182">
        <f>Escenario1!BP129</f>
        <v>0</v>
      </c>
      <c r="AK219" s="184"/>
      <c r="AL219" s="182">
        <f>Escenario2!BP131</f>
        <v>0</v>
      </c>
      <c r="AM219" s="151"/>
      <c r="BA219" s="152"/>
      <c r="BB219" s="75">
        <v>214</v>
      </c>
      <c r="BC219" s="190">
        <f>ABS(LíneaBase!L220-LíneaBase!L219)</f>
        <v>2.735807689063785E-4</v>
      </c>
      <c r="BD219" s="190">
        <f>ABS(Escenario1!BN220-Escenario1!BN219)</f>
        <v>1.7616192194679359E-3</v>
      </c>
      <c r="BE219" s="190">
        <f>ABS(Escenario2!BN220-Escenario2!BN219)</f>
        <v>1.3175179239967583E-3</v>
      </c>
      <c r="BF219" s="151"/>
    </row>
    <row r="220" spans="25:58">
      <c r="Y220" s="152"/>
      <c r="Z220" s="183">
        <f>(LíneaBase!C221-0.44)/(MAX(LíneaBase!C:C)+0.12)*100</f>
        <v>29.386950090396098</v>
      </c>
      <c r="AA220" s="184"/>
      <c r="AB220" s="182">
        <f>LíneaBase!L299</f>
        <v>1.1515019126225119</v>
      </c>
      <c r="AC220" s="184"/>
      <c r="AD220" s="182">
        <f>Escenario1!BN336</f>
        <v>1.1658565770688132</v>
      </c>
      <c r="AE220" s="184"/>
      <c r="AF220" s="182">
        <f>Escenario2!BN371</f>
        <v>1.0395418067704769</v>
      </c>
      <c r="AG220" s="184"/>
      <c r="AH220" s="182">
        <f>LíneaBase!N132</f>
        <v>0</v>
      </c>
      <c r="AI220" s="184"/>
      <c r="AJ220" s="182">
        <f>Escenario1!BP130</f>
        <v>0</v>
      </c>
      <c r="AK220" s="184"/>
      <c r="AL220" s="182">
        <f>Escenario2!BP132</f>
        <v>0</v>
      </c>
      <c r="AM220" s="151"/>
      <c r="BA220" s="152"/>
      <c r="BB220" s="75">
        <v>215</v>
      </c>
      <c r="BC220" s="190">
        <f>ABS(LíneaBase!L221-LíneaBase!L220)</f>
        <v>5.240826237518037E-3</v>
      </c>
      <c r="BD220" s="190">
        <f>ABS(Escenario1!BN221-Escenario1!BN220)</f>
        <v>5.6461279102031359E-3</v>
      </c>
      <c r="BE220" s="190">
        <f>ABS(Escenario2!BN221-Escenario2!BN220)</f>
        <v>5.6766432070348705E-3</v>
      </c>
      <c r="BF220" s="151"/>
    </row>
    <row r="221" spans="25:58">
      <c r="Y221" s="152"/>
      <c r="Z221" s="183">
        <f>(LíneaBase!C222-0.44)/(MAX(LíneaBase!C:C)+0.12)*100</f>
        <v>29.523913877170877</v>
      </c>
      <c r="AA221" s="184"/>
      <c r="AB221" s="182">
        <f>LíneaBase!L669</f>
        <v>1.151068140752203</v>
      </c>
      <c r="AC221" s="184"/>
      <c r="AD221" s="182">
        <f>Escenario1!BN490</f>
        <v>1.1646996337655842</v>
      </c>
      <c r="AE221" s="184"/>
      <c r="AF221" s="182">
        <f>Escenario2!BN372</f>
        <v>1.0394998975765841</v>
      </c>
      <c r="AG221" s="184"/>
      <c r="AH221" s="182">
        <f>LíneaBase!N133</f>
        <v>0</v>
      </c>
      <c r="AI221" s="184"/>
      <c r="AJ221" s="182">
        <f>Escenario1!BP131</f>
        <v>0</v>
      </c>
      <c r="AK221" s="184"/>
      <c r="AL221" s="182">
        <f>Escenario2!BP133</f>
        <v>0</v>
      </c>
      <c r="AM221" s="151"/>
      <c r="BA221" s="152"/>
      <c r="BB221" s="75">
        <v>216</v>
      </c>
      <c r="BC221" s="190">
        <f>ABS(LíneaBase!L222-LíneaBase!L221)</f>
        <v>3.315638224744899E-3</v>
      </c>
      <c r="BD221" s="190">
        <f>ABS(Escenario1!BN222-Escenario1!BN221)</f>
        <v>3.6512124979795613E-3</v>
      </c>
      <c r="BE221" s="190">
        <f>ABS(Escenario2!BN222-Escenario2!BN221)</f>
        <v>3.9698101945215281E-3</v>
      </c>
      <c r="BF221" s="151"/>
    </row>
    <row r="222" spans="25:58">
      <c r="Y222" s="152"/>
      <c r="Z222" s="183">
        <f>(LíneaBase!C223-0.44)/(MAX(LíneaBase!C:C)+0.12)*100</f>
        <v>29.660877663945652</v>
      </c>
      <c r="AA222" s="184"/>
      <c r="AB222" s="182">
        <f>LíneaBase!L22</f>
        <v>1.1509756226758947</v>
      </c>
      <c r="AC222" s="184"/>
      <c r="AD222" s="182">
        <f>Escenario1!BN663</f>
        <v>1.1628950150144963</v>
      </c>
      <c r="AE222" s="184"/>
      <c r="AF222" s="182">
        <f>Escenario2!BN373</f>
        <v>1.0394586289750742</v>
      </c>
      <c r="AG222" s="184"/>
      <c r="AH222" s="182">
        <f>LíneaBase!N134</f>
        <v>0</v>
      </c>
      <c r="AI222" s="184"/>
      <c r="AJ222" s="182">
        <f>Escenario1!BP132</f>
        <v>0</v>
      </c>
      <c r="AK222" s="184"/>
      <c r="AL222" s="182">
        <f>Escenario2!BP134</f>
        <v>0</v>
      </c>
      <c r="AM222" s="151"/>
      <c r="BA222" s="152"/>
      <c r="BB222" s="75">
        <v>217</v>
      </c>
      <c r="BC222" s="190">
        <f>ABS(LíneaBase!L223-LíneaBase!L222)</f>
        <v>2.9720786244704089E-3</v>
      </c>
      <c r="BD222" s="190">
        <f>ABS(Escenario1!BN223-Escenario1!BN222)</f>
        <v>3.6167502241670202E-3</v>
      </c>
      <c r="BE222" s="190">
        <f>ABS(Escenario2!BN223-Escenario2!BN222)</f>
        <v>3.6548425592499156E-3</v>
      </c>
      <c r="BF222" s="151"/>
    </row>
    <row r="223" spans="25:58">
      <c r="Y223" s="152"/>
      <c r="Z223" s="183">
        <f>(LíneaBase!C224-0.44)/(MAX(LíneaBase!C:C)+0.12)*100</f>
        <v>29.79784145072043</v>
      </c>
      <c r="AA223" s="184"/>
      <c r="AB223" s="182">
        <f>LíneaBase!L304</f>
        <v>1.1476447240356507</v>
      </c>
      <c r="AC223" s="184"/>
      <c r="AD223" s="182">
        <f>Escenario1!BN367</f>
        <v>1.1611493744641579</v>
      </c>
      <c r="AE223" s="184"/>
      <c r="AF223" s="182">
        <f>Escenario2!BN374</f>
        <v>1.0394179911743344</v>
      </c>
      <c r="AG223" s="184"/>
      <c r="AH223" s="182">
        <f>LíneaBase!N135</f>
        <v>0</v>
      </c>
      <c r="AI223" s="184"/>
      <c r="AJ223" s="182">
        <f>Escenario1!BP133</f>
        <v>0</v>
      </c>
      <c r="AK223" s="184"/>
      <c r="AL223" s="182">
        <f>Escenario2!BP135</f>
        <v>0</v>
      </c>
      <c r="AM223" s="151"/>
      <c r="BA223" s="152"/>
      <c r="BB223" s="75">
        <v>218</v>
      </c>
      <c r="BC223" s="190">
        <f>ABS(LíneaBase!L224-LíneaBase!L223)</f>
        <v>4.1161144303888286E-2</v>
      </c>
      <c r="BD223" s="190">
        <f>ABS(Escenario1!BN224-Escenario1!BN223)</f>
        <v>3.4623942675468422E-2</v>
      </c>
      <c r="BE223" s="190">
        <f>ABS(Escenario2!BN224-Escenario2!BN223)</f>
        <v>2.7486664006905526E-2</v>
      </c>
      <c r="BF223" s="151"/>
    </row>
    <row r="224" spans="25:58">
      <c r="Y224" s="152"/>
      <c r="Z224" s="183">
        <f>(LíneaBase!C225-0.44)/(MAX(LíneaBase!C:C)+0.12)*100</f>
        <v>29.934805237495205</v>
      </c>
      <c r="AA224" s="184"/>
      <c r="AB224" s="182">
        <f>LíneaBase!L101</f>
        <v>1.145288742987012</v>
      </c>
      <c r="AC224" s="184"/>
      <c r="AD224" s="182">
        <f>Escenario1!BN476</f>
        <v>1.1601064097403557</v>
      </c>
      <c r="AE224" s="184"/>
      <c r="AF224" s="182">
        <f>Escenario2!BN375</f>
        <v>1.0393779745324194</v>
      </c>
      <c r="AG224" s="184"/>
      <c r="AH224" s="182">
        <f>LíneaBase!N136</f>
        <v>0</v>
      </c>
      <c r="AI224" s="184"/>
      <c r="AJ224" s="182">
        <f>Escenario1!BP134</f>
        <v>0</v>
      </c>
      <c r="AK224" s="184"/>
      <c r="AL224" s="182">
        <f>Escenario2!BP136</f>
        <v>0</v>
      </c>
      <c r="AM224" s="151"/>
      <c r="BA224" s="152"/>
      <c r="BB224" s="75">
        <v>219</v>
      </c>
      <c r="BC224" s="190">
        <f>ABS(LíneaBase!L225-LíneaBase!L224)</f>
        <v>3.95966231624445E-2</v>
      </c>
      <c r="BD224" s="190">
        <f>ABS(Escenario1!BN225-Escenario1!BN224)</f>
        <v>3.5771705284188438E-2</v>
      </c>
      <c r="BE224" s="190">
        <f>ABS(Escenario2!BN225-Escenario2!BN224)</f>
        <v>2.943045049326809E-2</v>
      </c>
      <c r="BF224" s="151"/>
    </row>
    <row r="225" spans="25:58">
      <c r="Y225" s="152"/>
      <c r="Z225" s="183">
        <f>(LíneaBase!C226-0.44)/(MAX(LíneaBase!C:C)+0.12)*100</f>
        <v>30.071769024269983</v>
      </c>
      <c r="AA225" s="184"/>
      <c r="AB225" s="182">
        <f>LíneaBase!L411</f>
        <v>1.1424717912225273</v>
      </c>
      <c r="AC225" s="184"/>
      <c r="AD225" s="182">
        <f>Escenario1!BN299</f>
        <v>1.1591239322951983</v>
      </c>
      <c r="AE225" s="184"/>
      <c r="AF225" s="182">
        <f>Escenario2!BN18</f>
        <v>1.0381578018745465</v>
      </c>
      <c r="AG225" s="184"/>
      <c r="AH225" s="182">
        <f>LíneaBase!N137</f>
        <v>0</v>
      </c>
      <c r="AI225" s="184"/>
      <c r="AJ225" s="182">
        <f>Escenario1!BP135</f>
        <v>0</v>
      </c>
      <c r="AK225" s="184"/>
      <c r="AL225" s="182">
        <f>Escenario2!BP137</f>
        <v>0</v>
      </c>
      <c r="AM225" s="151"/>
      <c r="BA225" s="152"/>
      <c r="BB225" s="75">
        <v>220</v>
      </c>
      <c r="BC225" s="190">
        <f>ABS(LíneaBase!L226-LíneaBase!L225)</f>
        <v>4.8338841380414777E-3</v>
      </c>
      <c r="BD225" s="190">
        <f>ABS(Escenario1!BN226-Escenario1!BN225)</f>
        <v>5.2539347420555993E-3</v>
      </c>
      <c r="BE225" s="190">
        <f>ABS(Escenario2!BN226-Escenario2!BN225)</f>
        <v>4.189374317264849E-3</v>
      </c>
      <c r="BF225" s="151"/>
    </row>
    <row r="226" spans="25:58">
      <c r="Y226" s="152"/>
      <c r="Z226" s="183">
        <f>(LíneaBase!C227-0.44)/(MAX(LíneaBase!C:C)+0.12)*100</f>
        <v>30.208732811044758</v>
      </c>
      <c r="AA226" s="184"/>
      <c r="AB226" s="182">
        <f>LíneaBase!L16</f>
        <v>1.1398683158671576</v>
      </c>
      <c r="AC226" s="184"/>
      <c r="AD226" s="182">
        <f>Escenario1!BN15</f>
        <v>1.1585695041788577</v>
      </c>
      <c r="AE226" s="184"/>
      <c r="AF226" s="182">
        <f>Escenario2!BN19</f>
        <v>1.0381370475374279</v>
      </c>
      <c r="AG226" s="184"/>
      <c r="AH226" s="182">
        <f>LíneaBase!N138</f>
        <v>0</v>
      </c>
      <c r="AI226" s="184"/>
      <c r="AJ226" s="182">
        <f>Escenario1!BP136</f>
        <v>0</v>
      </c>
      <c r="AK226" s="184"/>
      <c r="AL226" s="182">
        <f>Escenario2!BP138</f>
        <v>0</v>
      </c>
      <c r="AM226" s="151"/>
      <c r="BA226" s="152"/>
      <c r="BB226" s="75">
        <v>221</v>
      </c>
      <c r="BC226" s="190">
        <f>ABS(LíneaBase!L227-LíneaBase!L226)</f>
        <v>7.2175988731519869E-3</v>
      </c>
      <c r="BD226" s="190">
        <f>ABS(Escenario1!BN227-Escenario1!BN226)</f>
        <v>7.3822137601413651E-3</v>
      </c>
      <c r="BE226" s="190">
        <f>ABS(Escenario2!BN227-Escenario2!BN226)</f>
        <v>7.1648130855694325E-3</v>
      </c>
      <c r="BF226" s="151"/>
    </row>
    <row r="227" spans="25:58">
      <c r="Y227" s="152"/>
      <c r="Z227" s="183">
        <f>(LíneaBase!C228-0.44)/(MAX(LíneaBase!C:C)+0.12)*100</f>
        <v>30.34569659781954</v>
      </c>
      <c r="AA227" s="184"/>
      <c r="AB227" s="182">
        <f>LíneaBase!L17</f>
        <v>1.1362944017493872</v>
      </c>
      <c r="AC227" s="184"/>
      <c r="AD227" s="182">
        <f>Escenario1!BN105</f>
        <v>1.152899687228671</v>
      </c>
      <c r="AE227" s="184"/>
      <c r="AF227" s="182">
        <f>Escenario2!BN27</f>
        <v>1.0381350360045973</v>
      </c>
      <c r="AG227" s="184"/>
      <c r="AH227" s="182">
        <f>LíneaBase!N139</f>
        <v>0</v>
      </c>
      <c r="AI227" s="184"/>
      <c r="AJ227" s="182">
        <f>Escenario1!BP137</f>
        <v>0</v>
      </c>
      <c r="AK227" s="184"/>
      <c r="AL227" s="182">
        <f>Escenario2!BP139</f>
        <v>0</v>
      </c>
      <c r="AM227" s="151"/>
      <c r="BA227" s="152"/>
      <c r="BB227" s="75">
        <v>222</v>
      </c>
      <c r="BC227" s="190">
        <f>ABS(LíneaBase!L228-LíneaBase!L227)</f>
        <v>3.5025664411541535E-3</v>
      </c>
      <c r="BD227" s="190">
        <f>ABS(Escenario1!BN228-Escenario1!BN227)</f>
        <v>3.7758763991430633E-3</v>
      </c>
      <c r="BE227" s="190">
        <f>ABS(Escenario2!BN228-Escenario2!BN227)</f>
        <v>4.0313526918596687E-3</v>
      </c>
      <c r="BF227" s="151"/>
    </row>
    <row r="228" spans="25:58">
      <c r="Y228" s="152"/>
      <c r="Z228" s="183">
        <f>(LíneaBase!C229-0.44)/(MAX(LíneaBase!C:C)+0.12)*100</f>
        <v>30.482660384594311</v>
      </c>
      <c r="AA228" s="184"/>
      <c r="AB228" s="182">
        <f>LíneaBase!L45</f>
        <v>1.1315523051233156</v>
      </c>
      <c r="AC228" s="184"/>
      <c r="AD228" s="182">
        <f>Escenario1!BN298</f>
        <v>1.1525339717273584</v>
      </c>
      <c r="AE228" s="184"/>
      <c r="AF228" s="182">
        <f>Escenario2!BN20</f>
        <v>1.03811661043548</v>
      </c>
      <c r="AG228" s="184"/>
      <c r="AH228" s="182">
        <f>LíneaBase!N140</f>
        <v>0</v>
      </c>
      <c r="AI228" s="184"/>
      <c r="AJ228" s="182">
        <f>Escenario1!BP138</f>
        <v>0</v>
      </c>
      <c r="AK228" s="184"/>
      <c r="AL228" s="182">
        <f>Escenario2!BP140</f>
        <v>0</v>
      </c>
      <c r="AM228" s="151"/>
      <c r="BA228" s="152"/>
      <c r="BB228" s="75">
        <v>223</v>
      </c>
      <c r="BC228" s="190">
        <f>ABS(LíneaBase!L229-LíneaBase!L228)</f>
        <v>2.8633968237346541E-3</v>
      </c>
      <c r="BD228" s="190">
        <f>ABS(Escenario1!BN229-Escenario1!BN228)</f>
        <v>3.4118787342209411E-3</v>
      </c>
      <c r="BE228" s="190">
        <f>ABS(Escenario2!BN229-Escenario2!BN228)</f>
        <v>3.4816509522092032E-3</v>
      </c>
      <c r="BF228" s="151"/>
    </row>
    <row r="229" spans="25:58">
      <c r="Y229" s="152"/>
      <c r="Z229" s="183">
        <f>(LíneaBase!C230-0.44)/(MAX(LíneaBase!C:C)+0.12)*100</f>
        <v>30.619624171369093</v>
      </c>
      <c r="AA229" s="184"/>
      <c r="AB229" s="182">
        <f>LíneaBase!L41</f>
        <v>1.1264230972379972</v>
      </c>
      <c r="AC229" s="184"/>
      <c r="AD229" s="182">
        <f>Escenario1!BN477</f>
        <v>1.1485460821209992</v>
      </c>
      <c r="AE229" s="184"/>
      <c r="AF229" s="182">
        <f>Escenario2!BN44</f>
        <v>1.0381163941196383</v>
      </c>
      <c r="AG229" s="184"/>
      <c r="AH229" s="182">
        <f>LíneaBase!N141</f>
        <v>0</v>
      </c>
      <c r="AI229" s="184"/>
      <c r="AJ229" s="182">
        <f>Escenario1!BP139</f>
        <v>0</v>
      </c>
      <c r="AK229" s="184"/>
      <c r="AL229" s="182">
        <f>Escenario2!BP141</f>
        <v>0</v>
      </c>
      <c r="AM229" s="151"/>
      <c r="BA229" s="152"/>
      <c r="BB229" s="75">
        <v>224</v>
      </c>
      <c r="BC229" s="190">
        <f>ABS(LíneaBase!L230-LíneaBase!L229)</f>
        <v>2.7348483647064437E-3</v>
      </c>
      <c r="BD229" s="190">
        <f>ABS(Escenario1!BN230-Escenario1!BN229)</f>
        <v>3.3797118658930869E-3</v>
      </c>
      <c r="BE229" s="190">
        <f>ABS(Escenario2!BN230-Escenario2!BN229)</f>
        <v>3.3610083295144699E-3</v>
      </c>
      <c r="BF229" s="151"/>
    </row>
    <row r="230" spans="25:58">
      <c r="Y230" s="152"/>
      <c r="Z230" s="183">
        <f>(LíneaBase!C231-0.44)/(MAX(LíneaBase!C:C)+0.12)*100</f>
        <v>30.756587958143868</v>
      </c>
      <c r="AA230" s="184"/>
      <c r="AB230" s="182">
        <f>LíneaBase!L691</f>
        <v>1.1157556015437984</v>
      </c>
      <c r="AC230" s="184"/>
      <c r="AD230" s="182">
        <f>Escenario1!BN45</f>
        <v>1.1469225608206703</v>
      </c>
      <c r="AE230" s="184"/>
      <c r="AF230" s="182">
        <f>Escenario2!BN28</f>
        <v>1.0381146296494255</v>
      </c>
      <c r="AG230" s="184"/>
      <c r="AH230" s="182">
        <f>LíneaBase!N142</f>
        <v>0</v>
      </c>
      <c r="AI230" s="184"/>
      <c r="AJ230" s="182">
        <f>Escenario1!BP140</f>
        <v>0</v>
      </c>
      <c r="AK230" s="184"/>
      <c r="AL230" s="182">
        <f>Escenario2!BP142</f>
        <v>0</v>
      </c>
      <c r="AM230" s="151"/>
      <c r="BA230" s="152"/>
      <c r="BB230" s="75">
        <v>225</v>
      </c>
      <c r="BC230" s="190">
        <f>ABS(LíneaBase!L231-LíneaBase!L230)</f>
        <v>1.3287052329254423E-3</v>
      </c>
      <c r="BD230" s="190">
        <f>ABS(Escenario1!BN231-Escenario1!BN230)</f>
        <v>2.6013189859971919E-3</v>
      </c>
      <c r="BE230" s="190">
        <f>ABS(Escenario2!BN231-Escenario2!BN230)</f>
        <v>2.1128371144024105E-3</v>
      </c>
      <c r="BF230" s="151"/>
    </row>
    <row r="231" spans="25:58">
      <c r="Y231" s="152"/>
      <c r="Z231" s="183">
        <f>(LíneaBase!C232-0.44)/(MAX(LíneaBase!C:C)+0.12)*100</f>
        <v>30.893551744918646</v>
      </c>
      <c r="AA231" s="184"/>
      <c r="AB231" s="182">
        <f>LíneaBase!L40</f>
        <v>1.11571456954441</v>
      </c>
      <c r="AC231" s="184"/>
      <c r="AD231" s="182">
        <f>Escenario1!BN106</f>
        <v>1.1425890078169509</v>
      </c>
      <c r="AE231" s="184"/>
      <c r="AF231" s="182">
        <f>Escenario2!BN21</f>
        <v>1.0380964857196846</v>
      </c>
      <c r="AG231" s="184"/>
      <c r="AH231" s="182">
        <f>LíneaBase!N143</f>
        <v>0</v>
      </c>
      <c r="AI231" s="184"/>
      <c r="AJ231" s="182">
        <f>Escenario1!BP141</f>
        <v>0</v>
      </c>
      <c r="AK231" s="184"/>
      <c r="AL231" s="182">
        <f>Escenario2!BP143</f>
        <v>0</v>
      </c>
      <c r="AM231" s="151"/>
      <c r="BA231" s="152"/>
      <c r="BB231" s="75">
        <v>226</v>
      </c>
      <c r="BC231" s="190">
        <f>ABS(LíneaBase!L232-LíneaBase!L231)</f>
        <v>3.7984226468913973E-3</v>
      </c>
      <c r="BD231" s="190">
        <f>ABS(Escenario1!BN232-Escenario1!BN231)</f>
        <v>4.0624325870052269E-3</v>
      </c>
      <c r="BE231" s="190">
        <f>ABS(Escenario2!BN232-Escenario2!BN231)</f>
        <v>4.2750042289620427E-3</v>
      </c>
      <c r="BF231" s="151"/>
    </row>
    <row r="232" spans="25:58">
      <c r="Y232" s="152"/>
      <c r="Z232" s="183">
        <f>(LíneaBase!C233-0.44)/(MAX(LíneaBase!C:C)+0.12)*100</f>
        <v>31.030515531693421</v>
      </c>
      <c r="AA232" s="184"/>
      <c r="AB232" s="182">
        <f>LíneaBase!L326</f>
        <v>1.1130023217989466</v>
      </c>
      <c r="AC232" s="184"/>
      <c r="AD232" s="182">
        <f>Escenario1!BN407</f>
        <v>1.1386307493472114</v>
      </c>
      <c r="AE232" s="184"/>
      <c r="AF232" s="182">
        <f>Escenario2!BN23</f>
        <v>1.0380571544199388</v>
      </c>
      <c r="AG232" s="184"/>
      <c r="AH232" s="182">
        <f>LíneaBase!N144</f>
        <v>0</v>
      </c>
      <c r="AI232" s="184"/>
      <c r="AJ232" s="182">
        <f>Escenario1!BP142</f>
        <v>0</v>
      </c>
      <c r="AK232" s="184"/>
      <c r="AL232" s="182">
        <f>Escenario2!BP144</f>
        <v>0</v>
      </c>
      <c r="AM232" s="151"/>
      <c r="BA232" s="152"/>
      <c r="BB232" s="75">
        <v>227</v>
      </c>
      <c r="BC232" s="190">
        <f>ABS(LíneaBase!L233-LíneaBase!L232)</f>
        <v>2.8238628271358146E-3</v>
      </c>
      <c r="BD232" s="190">
        <f>ABS(Escenario1!BN233-Escenario1!BN232)</f>
        <v>3.2846321628357544E-3</v>
      </c>
      <c r="BE232" s="190">
        <f>ABS(Escenario2!BN233-Escenario2!BN232)</f>
        <v>3.4062558459241332E-3</v>
      </c>
      <c r="BF232" s="151"/>
    </row>
    <row r="233" spans="25:58">
      <c r="Y233" s="152"/>
      <c r="Z233" s="183">
        <f>(LíneaBase!C234-0.44)/(MAX(LíneaBase!C:C)+0.12)*100</f>
        <v>31.1674793184682</v>
      </c>
      <c r="AA233" s="184"/>
      <c r="AB233" s="182">
        <f>LíneaBase!L46</f>
        <v>1.0984193153049628</v>
      </c>
      <c r="AC233" s="184"/>
      <c r="AD233" s="182">
        <f>Escenario1!BN478</f>
        <v>1.1377049459813102</v>
      </c>
      <c r="AE233" s="184"/>
      <c r="AF233" s="182">
        <f>Escenario2!BN24</f>
        <v>1.0380379385040306</v>
      </c>
      <c r="AG233" s="184"/>
      <c r="AH233" s="182">
        <f>LíneaBase!N145</f>
        <v>0</v>
      </c>
      <c r="AI233" s="184"/>
      <c r="AJ233" s="182">
        <f>Escenario1!BP143</f>
        <v>0</v>
      </c>
      <c r="AK233" s="184"/>
      <c r="AL233" s="182">
        <f>Escenario2!BP145</f>
        <v>0</v>
      </c>
      <c r="AM233" s="151"/>
      <c r="BA233" s="152"/>
      <c r="BB233" s="75">
        <v>228</v>
      </c>
      <c r="BC233" s="190">
        <f>ABS(LíneaBase!L234-LíneaBase!L233)</f>
        <v>2.6405342149649069E-3</v>
      </c>
      <c r="BD233" s="190">
        <f>ABS(Escenario1!BN234-Escenario1!BN233)</f>
        <v>3.2536455037683876E-3</v>
      </c>
      <c r="BE233" s="190">
        <f>ABS(Escenario2!BN234-Escenario2!BN233)</f>
        <v>3.233915404760368E-3</v>
      </c>
      <c r="BF233" s="151"/>
    </row>
    <row r="234" spans="25:58">
      <c r="Y234" s="152"/>
      <c r="Z234" s="183">
        <f>(LíneaBase!C235-0.44)/(MAX(LíneaBase!C:C)+0.12)*100</f>
        <v>31.304443105242974</v>
      </c>
      <c r="AA234" s="184"/>
      <c r="AB234" s="182">
        <f>LíneaBase!L467</f>
        <v>1.0951768625882874</v>
      </c>
      <c r="AC234" s="184"/>
      <c r="AD234" s="182">
        <f>Escenario1!BN107</f>
        <v>1.1331862161732069</v>
      </c>
      <c r="AE234" s="184"/>
      <c r="AF234" s="182">
        <f>Escenario2!BN25</f>
        <v>1.0380190163081444</v>
      </c>
      <c r="AG234" s="184"/>
      <c r="AH234" s="182">
        <f>LíneaBase!N146</f>
        <v>0</v>
      </c>
      <c r="AI234" s="184"/>
      <c r="AJ234" s="182">
        <f>Escenario1!BP144</f>
        <v>0</v>
      </c>
      <c r="AK234" s="184"/>
      <c r="AL234" s="182">
        <f>Escenario2!BP146</f>
        <v>0</v>
      </c>
      <c r="AM234" s="151"/>
      <c r="BA234" s="152"/>
      <c r="BB234" s="75">
        <v>229</v>
      </c>
      <c r="BC234" s="190">
        <f>ABS(LíneaBase!L235-LíneaBase!L234)</f>
        <v>5.665887924781704E-2</v>
      </c>
      <c r="BD234" s="190">
        <f>ABS(Escenario1!BN235-Escenario1!BN234)</f>
        <v>4.8367860054767842E-2</v>
      </c>
      <c r="BE234" s="190">
        <f>ABS(Escenario2!BN235-Escenario2!BN234)</f>
        <v>3.9850215440671577E-2</v>
      </c>
      <c r="BF234" s="151"/>
    </row>
    <row r="235" spans="25:58">
      <c r="Y235" s="152"/>
      <c r="Z235" s="183">
        <f>(LíneaBase!C236-0.44)/(MAX(LíneaBase!C:C)+0.12)*100</f>
        <v>31.441406892017749</v>
      </c>
      <c r="AA235" s="184"/>
      <c r="AB235" s="182">
        <f>LíneaBase!L488</f>
        <v>1.077982884245837</v>
      </c>
      <c r="AC235" s="184"/>
      <c r="AD235" s="182">
        <f>Escenario1!BN479</f>
        <v>1.1304100245142705</v>
      </c>
      <c r="AE235" s="184"/>
      <c r="AF235" s="182">
        <f>Escenario2!BN26</f>
        <v>1.0380003833426974</v>
      </c>
      <c r="AG235" s="184"/>
      <c r="AH235" s="182">
        <f>LíneaBase!N147</f>
        <v>0</v>
      </c>
      <c r="AI235" s="184"/>
      <c r="AJ235" s="182">
        <f>Escenario1!BP145</f>
        <v>0</v>
      </c>
      <c r="AK235" s="184"/>
      <c r="AL235" s="182">
        <f>Escenario2!BP147</f>
        <v>0</v>
      </c>
      <c r="AM235" s="151"/>
      <c r="BA235" s="152"/>
      <c r="BB235" s="75">
        <v>230</v>
      </c>
      <c r="BC235" s="190">
        <f>ABS(LíneaBase!L236-LíneaBase!L235)</f>
        <v>5.1975187509120779E-2</v>
      </c>
      <c r="BD235" s="190">
        <f>ABS(Escenario1!BN236-Escenario1!BN235)</f>
        <v>4.6598737694951931E-2</v>
      </c>
      <c r="BE235" s="190">
        <f>ABS(Escenario2!BN236-Escenario2!BN235)</f>
        <v>3.9028284002709634E-2</v>
      </c>
      <c r="BF235" s="151"/>
    </row>
    <row r="236" spans="25:58">
      <c r="Y236" s="152"/>
      <c r="Z236" s="183">
        <f>(LíneaBase!C237-0.44)/(MAX(LíneaBase!C:C)+0.12)*100</f>
        <v>31.578370678792528</v>
      </c>
      <c r="AA236" s="184"/>
      <c r="AB236" s="182">
        <f>LíneaBase!L661</f>
        <v>1.0740389729535746</v>
      </c>
      <c r="AC236" s="184"/>
      <c r="AD236" s="182">
        <f>Escenario1!BN480</f>
        <v>1.1190344446652618</v>
      </c>
      <c r="AE236" s="184"/>
      <c r="AF236" s="182">
        <f>Escenario2!BN12</f>
        <v>1.0374413142603918</v>
      </c>
      <c r="AG236" s="184"/>
      <c r="AH236" s="182">
        <f>LíneaBase!N148</f>
        <v>0</v>
      </c>
      <c r="AI236" s="184"/>
      <c r="AJ236" s="182">
        <f>Escenario1!BP146</f>
        <v>0</v>
      </c>
      <c r="AK236" s="184"/>
      <c r="AL236" s="182">
        <f>Escenario2!BP148</f>
        <v>0</v>
      </c>
      <c r="AM236" s="151"/>
      <c r="BA236" s="152"/>
      <c r="BB236" s="75">
        <v>231</v>
      </c>
      <c r="BC236" s="190">
        <f>ABS(LíneaBase!L237-LíneaBase!L236)</f>
        <v>1.0732952813061192E-2</v>
      </c>
      <c r="BD236" s="190">
        <f>ABS(Escenario1!BN237-Escenario1!BN236)</f>
        <v>1.0363288315234753E-2</v>
      </c>
      <c r="BE236" s="190">
        <f>ABS(Escenario2!BN237-Escenario2!BN236)</f>
        <v>9.0621539329240886E-3</v>
      </c>
      <c r="BF236" s="151"/>
    </row>
    <row r="237" spans="25:58">
      <c r="Y237" s="152"/>
      <c r="Z237" s="183">
        <f>(LíneaBase!C238-0.44)/(MAX(LíneaBase!C:C)+0.12)*100</f>
        <v>31.715334465567302</v>
      </c>
      <c r="AA237" s="184"/>
      <c r="AB237" s="182">
        <f>LíneaBase!L296</f>
        <v>1.0703333332146081</v>
      </c>
      <c r="AC237" s="184"/>
      <c r="AD237" s="182">
        <f>Escenario1!BN46</f>
        <v>1.1156422550959293</v>
      </c>
      <c r="AE237" s="184"/>
      <c r="AF237" s="182">
        <f>Escenario2!BN13</f>
        <v>1.0374315116134751</v>
      </c>
      <c r="AG237" s="184"/>
      <c r="AH237" s="182">
        <f>LíneaBase!N149</f>
        <v>0</v>
      </c>
      <c r="AI237" s="184"/>
      <c r="AJ237" s="182">
        <f>Escenario1!BP147</f>
        <v>0</v>
      </c>
      <c r="AK237" s="184"/>
      <c r="AL237" s="182">
        <f>Escenario2!BP149</f>
        <v>0</v>
      </c>
      <c r="AM237" s="151"/>
      <c r="BA237" s="152"/>
      <c r="BB237" s="75">
        <v>232</v>
      </c>
      <c r="BC237" s="190">
        <f>ABS(LíneaBase!L238-LíneaBase!L237)</f>
        <v>3.8685934107441922E-3</v>
      </c>
      <c r="BD237" s="190">
        <f>ABS(Escenario1!BN238-Escenario1!BN237)</f>
        <v>4.0989705405626298E-3</v>
      </c>
      <c r="BE237" s="190">
        <f>ABS(Escenario2!BN238-Escenario2!BN237)</f>
        <v>4.0626900840443625E-3</v>
      </c>
      <c r="BF237" s="151"/>
    </row>
    <row r="238" spans="25:58">
      <c r="Y238" s="152"/>
      <c r="Z238" s="183">
        <f>(LíneaBase!C239-0.44)/(MAX(LíneaBase!C:C)+0.12)*100</f>
        <v>31.852298252342081</v>
      </c>
      <c r="AA238" s="184"/>
      <c r="AB238" s="182">
        <f>LíneaBase!L102</f>
        <v>1.0698753592782264</v>
      </c>
      <c r="AC238" s="184"/>
      <c r="AD238" s="182">
        <f>Escenario1!BN110</f>
        <v>1.1131650025026305</v>
      </c>
      <c r="AE238" s="184"/>
      <c r="AF238" s="182">
        <f>Escenario2!BN14</f>
        <v>1.0374218588024382</v>
      </c>
      <c r="AG238" s="184"/>
      <c r="AH238" s="182">
        <f>LíneaBase!N150</f>
        <v>0</v>
      </c>
      <c r="AI238" s="184"/>
      <c r="AJ238" s="182">
        <f>Escenario1!BP148</f>
        <v>0</v>
      </c>
      <c r="AK238" s="184"/>
      <c r="AL238" s="182">
        <f>Escenario2!BP150</f>
        <v>0</v>
      </c>
      <c r="AM238" s="151"/>
      <c r="BA238" s="152"/>
      <c r="BB238" s="75">
        <v>233</v>
      </c>
      <c r="BC238" s="190">
        <f>ABS(LíneaBase!L239-LíneaBase!L238)</f>
        <v>2.7089771258231865E-3</v>
      </c>
      <c r="BD238" s="190">
        <f>ABS(Escenario1!BN239-Escenario1!BN238)</f>
        <v>3.0975206630329821E-3</v>
      </c>
      <c r="BE238" s="190">
        <f>ABS(Escenario2!BN239-Escenario2!BN238)</f>
        <v>3.2063923006127037E-3</v>
      </c>
      <c r="BF238" s="151"/>
    </row>
    <row r="239" spans="25:58">
      <c r="Y239" s="152"/>
      <c r="Z239" s="183">
        <f>(LíneaBase!C240-0.44)/(MAX(LíneaBase!C:C)+0.12)*100</f>
        <v>31.989262039116856</v>
      </c>
      <c r="AA239" s="184"/>
      <c r="AB239" s="182">
        <f>LíneaBase!L407</f>
        <v>1.0671583277404086</v>
      </c>
      <c r="AC239" s="184"/>
      <c r="AD239" s="182">
        <f>Escenario1!BN8</f>
        <v>1.1126667170467981</v>
      </c>
      <c r="AE239" s="184"/>
      <c r="AF239" s="182">
        <f>Escenario2!BN15</f>
        <v>1.037412353537003</v>
      </c>
      <c r="AG239" s="184"/>
      <c r="AH239" s="182">
        <f>LíneaBase!N151</f>
        <v>0</v>
      </c>
      <c r="AI239" s="184"/>
      <c r="AJ239" s="182">
        <f>Escenario1!BP149</f>
        <v>0</v>
      </c>
      <c r="AK239" s="184"/>
      <c r="AL239" s="182">
        <f>Escenario2!BP151</f>
        <v>0</v>
      </c>
      <c r="AM239" s="151"/>
      <c r="BA239" s="152"/>
      <c r="BB239" s="75">
        <v>234</v>
      </c>
      <c r="BC239" s="190">
        <f>ABS(LíneaBase!L240-LíneaBase!L239)</f>
        <v>2.4961876492702595E-3</v>
      </c>
      <c r="BD239" s="190">
        <f>ABS(Escenario1!BN240-Escenario1!BN239)</f>
        <v>3.0683655519137543E-3</v>
      </c>
      <c r="BE239" s="190">
        <f>ABS(Escenario2!BN240-Escenario2!BN239)</f>
        <v>3.037882208824394E-3</v>
      </c>
      <c r="BF239" s="151"/>
    </row>
    <row r="240" spans="25:58">
      <c r="Y240" s="152"/>
      <c r="Z240" s="183">
        <f>(LíneaBase!C241-0.44)/(MAX(LíneaBase!C:C)+0.12)*100</f>
        <v>32.126225825891638</v>
      </c>
      <c r="AA240" s="184"/>
      <c r="AB240" s="182">
        <f>LíneaBase!L700</f>
        <v>1.0653800502440052</v>
      </c>
      <c r="AC240" s="184"/>
      <c r="AD240" s="182">
        <f>Escenario1!BN41</f>
        <v>1.1120780296593968</v>
      </c>
      <c r="AE240" s="184"/>
      <c r="AF240" s="182">
        <f>Escenario2!BN11</f>
        <v>1.0367999999999999</v>
      </c>
      <c r="AG240" s="184"/>
      <c r="AH240" s="182">
        <f>LíneaBase!N152</f>
        <v>0</v>
      </c>
      <c r="AI240" s="184"/>
      <c r="AJ240" s="182">
        <f>Escenario1!BP150</f>
        <v>0</v>
      </c>
      <c r="AK240" s="184"/>
      <c r="AL240" s="182">
        <f>Escenario2!BP152</f>
        <v>0</v>
      </c>
      <c r="AM240" s="151"/>
      <c r="BA240" s="152"/>
      <c r="BB240" s="75">
        <v>235</v>
      </c>
      <c r="BC240" s="190">
        <f>ABS(LíneaBase!L241-LíneaBase!L240)</f>
        <v>2.4407118183995824E-3</v>
      </c>
      <c r="BD240" s="190">
        <f>ABS(Escenario1!BN241-Escenario1!BN240)</f>
        <v>3.0394998592320199E-3</v>
      </c>
      <c r="BE240" s="190">
        <f>ABS(Escenario2!BN241-Escenario2!BN240)</f>
        <v>2.9837838406062689E-3</v>
      </c>
      <c r="BF240" s="151"/>
    </row>
    <row r="241" spans="25:58">
      <c r="Y241" s="152"/>
      <c r="Z241" s="183">
        <f>(LíneaBase!C242-0.44)/(MAX(LíneaBase!C:C)+0.12)*100</f>
        <v>32.263189612666409</v>
      </c>
      <c r="AA241" s="184"/>
      <c r="AB241" s="182">
        <f>LíneaBase!L335</f>
        <v>1.0628615239856649</v>
      </c>
      <c r="AC241" s="184"/>
      <c r="AD241" s="182">
        <f>Escenario1!BN125</f>
        <v>1.1084846951918099</v>
      </c>
      <c r="AE241" s="184"/>
      <c r="AF241" s="182">
        <f>Escenario2!BN10</f>
        <v>1.0367999999999999</v>
      </c>
      <c r="AG241" s="184"/>
      <c r="AH241" s="182">
        <f>LíneaBase!N153</f>
        <v>0</v>
      </c>
      <c r="AI241" s="184"/>
      <c r="AJ241" s="182">
        <f>Escenario1!BP151</f>
        <v>0</v>
      </c>
      <c r="AK241" s="184"/>
      <c r="AL241" s="182">
        <f>Escenario2!BP153</f>
        <v>0</v>
      </c>
      <c r="AM241" s="151"/>
      <c r="BA241" s="152"/>
      <c r="BB241" s="75">
        <v>236</v>
      </c>
      <c r="BC241" s="190">
        <f>ABS(LíneaBase!L242-LíneaBase!L241)</f>
        <v>2.4115387399992194E-3</v>
      </c>
      <c r="BD241" s="190">
        <f>ABS(Escenario1!BN242-Escenario1!BN241)</f>
        <v>3.0108801461963264E-3</v>
      </c>
      <c r="BE241" s="190">
        <f>ABS(Escenario2!BN242-Escenario2!BN241)</f>
        <v>2.9489501635627802E-3</v>
      </c>
      <c r="BF241" s="151"/>
    </row>
    <row r="242" spans="25:58">
      <c r="Y242" s="152"/>
      <c r="Z242" s="183">
        <f>(LíneaBase!C243-0.44)/(MAX(LíneaBase!C:C)+0.12)*100</f>
        <v>32.400153399441187</v>
      </c>
      <c r="AA242" s="184"/>
      <c r="AB242" s="182">
        <f>LíneaBase!L123</f>
        <v>1.0574316775508241</v>
      </c>
      <c r="AC242" s="184"/>
      <c r="AD242" s="182">
        <f>Escenario1!BN481</f>
        <v>1.1051752048098682</v>
      </c>
      <c r="AE242" s="184"/>
      <c r="AF242" s="182">
        <f>Escenario2!BN9</f>
        <v>1.0367999999999999</v>
      </c>
      <c r="AG242" s="184"/>
      <c r="AH242" s="182">
        <f>LíneaBase!N154</f>
        <v>0</v>
      </c>
      <c r="AI242" s="184"/>
      <c r="AJ242" s="182">
        <f>Escenario1!BP152</f>
        <v>0</v>
      </c>
      <c r="AK242" s="184"/>
      <c r="AL242" s="182">
        <f>Escenario2!BP154</f>
        <v>0</v>
      </c>
      <c r="AM242" s="151"/>
      <c r="BA242" s="152"/>
      <c r="BB242" s="75">
        <v>237</v>
      </c>
      <c r="BC242" s="190">
        <f>ABS(LíneaBase!L243-LíneaBase!L242)</f>
        <v>2.3869269895266942E-3</v>
      </c>
      <c r="BD242" s="190">
        <f>ABS(Escenario1!BN243-Escenario1!BN242)</f>
        <v>2.9825250273849968E-3</v>
      </c>
      <c r="BE242" s="190">
        <f>ABS(Escenario2!BN243-Escenario2!BN242)</f>
        <v>2.9175897353453384E-3</v>
      </c>
      <c r="BF242" s="151"/>
    </row>
    <row r="243" spans="25:58">
      <c r="Y243" s="152"/>
      <c r="Z243" s="183">
        <f>(LíneaBase!C244-0.44)/(MAX(LíneaBase!C:C)+0.12)*100</f>
        <v>32.537117186215966</v>
      </c>
      <c r="AA243" s="184"/>
      <c r="AB243" s="182">
        <f>LíneaBase!L702</f>
        <v>1.0556983847466406</v>
      </c>
      <c r="AC243" s="184"/>
      <c r="AD243" s="182">
        <f>Escenario1!BN40</f>
        <v>1.103569800009798</v>
      </c>
      <c r="AE243" s="184"/>
      <c r="AF243" s="182">
        <f>Escenario2!BN8</f>
        <v>1.0367999999999999</v>
      </c>
      <c r="AG243" s="184"/>
      <c r="AH243" s="182">
        <f>LíneaBase!N155</f>
        <v>0</v>
      </c>
      <c r="AI243" s="184"/>
      <c r="AJ243" s="182">
        <f>Escenario1!BP153</f>
        <v>0</v>
      </c>
      <c r="AK243" s="184"/>
      <c r="AL243" s="182">
        <f>Escenario2!BP155</f>
        <v>0</v>
      </c>
      <c r="AM243" s="151"/>
      <c r="BA243" s="152"/>
      <c r="BB243" s="75">
        <v>238</v>
      </c>
      <c r="BC243" s="190">
        <f>ABS(LíneaBase!L244-LíneaBase!L243)</f>
        <v>2.3632669362250724E-3</v>
      </c>
      <c r="BD243" s="190">
        <f>ABS(Escenario1!BN244-Escenario1!BN243)</f>
        <v>2.9544044450587892E-3</v>
      </c>
      <c r="BE243" s="190">
        <f>ABS(Escenario2!BN244-Escenario2!BN243)</f>
        <v>2.8870791245396155E-3</v>
      </c>
      <c r="BF243" s="151"/>
    </row>
    <row r="244" spans="25:58">
      <c r="Y244" s="152"/>
      <c r="Z244" s="183">
        <f>(LíneaBase!C245-0.44)/(MAX(LíneaBase!C:C)+0.12)*100</f>
        <v>32.674080972990744</v>
      </c>
      <c r="AA244" s="184"/>
      <c r="AB244" s="182">
        <f>LíneaBase!L337</f>
        <v>1.0532292452520771</v>
      </c>
      <c r="AC244" s="184"/>
      <c r="AD244" s="182">
        <f>Escenario1!BN491</f>
        <v>1.1021148201384503</v>
      </c>
      <c r="AE244" s="184"/>
      <c r="AF244" s="182">
        <f>Escenario2!BN7</f>
        <v>1.0367999999999999</v>
      </c>
      <c r="AG244" s="184"/>
      <c r="AH244" s="182">
        <f>LíneaBase!N156</f>
        <v>0</v>
      </c>
      <c r="AI244" s="184"/>
      <c r="AJ244" s="182">
        <f>Escenario1!BP154</f>
        <v>0</v>
      </c>
      <c r="AK244" s="184"/>
      <c r="AL244" s="182">
        <f>Escenario2!BP156</f>
        <v>0</v>
      </c>
      <c r="AM244" s="151"/>
      <c r="BA244" s="152"/>
      <c r="BB244" s="75">
        <v>239</v>
      </c>
      <c r="BC244" s="190">
        <f>ABS(LíneaBase!L245-LíneaBase!L244)</f>
        <v>2.3399576917364218E-3</v>
      </c>
      <c r="BD244" s="190">
        <f>ABS(Escenario1!BN245-Escenario1!BN244)</f>
        <v>2.9265581994518119E-3</v>
      </c>
      <c r="BE244" s="190">
        <f>ABS(Escenario2!BN245-Escenario2!BN244)</f>
        <v>2.8569799863343848E-3</v>
      </c>
      <c r="BF244" s="151"/>
    </row>
    <row r="245" spans="25:58">
      <c r="Y245" s="152"/>
      <c r="Z245" s="183">
        <f>(LíneaBase!C246-0.44)/(MAX(LíneaBase!C:C)+0.12)*100</f>
        <v>32.811044759765515</v>
      </c>
      <c r="AA245" s="184"/>
      <c r="AB245" s="182">
        <f>LíneaBase!L665</f>
        <v>1.0474878135376002</v>
      </c>
      <c r="AC245" s="184"/>
      <c r="AD245" s="182">
        <f>Escenario1!BN22</f>
        <v>1.1007071547473577</v>
      </c>
      <c r="AE245" s="184"/>
      <c r="AF245" s="182">
        <f>Escenario2!BN39</f>
        <v>1.0330112316934525</v>
      </c>
      <c r="AG245" s="184"/>
      <c r="AH245" s="182">
        <f>LíneaBase!N157</f>
        <v>0</v>
      </c>
      <c r="AI245" s="184"/>
      <c r="AJ245" s="182">
        <f>Escenario1!BP155</f>
        <v>0</v>
      </c>
      <c r="AK245" s="184"/>
      <c r="AL245" s="182">
        <f>Escenario2!BP157</f>
        <v>0</v>
      </c>
      <c r="AM245" s="151"/>
      <c r="BA245" s="152"/>
      <c r="BB245" s="75">
        <v>240</v>
      </c>
      <c r="BC245" s="190">
        <f>ABS(LíneaBase!L246-LíneaBase!L245)</f>
        <v>2.3168976462842328E-3</v>
      </c>
      <c r="BD245" s="190">
        <f>ABS(Escenario1!BN246-Escenario1!BN245)</f>
        <v>2.8989723575525428E-3</v>
      </c>
      <c r="BE245" s="190">
        <f>ABS(Escenario2!BN246-Escenario2!BN245)</f>
        <v>2.8272165959536411E-3</v>
      </c>
      <c r="BF245" s="151"/>
    </row>
    <row r="246" spans="25:58">
      <c r="Y246" s="152"/>
      <c r="Z246" s="183">
        <f>(LíneaBase!C247-0.44)/(MAX(LíneaBase!C:C)+0.12)*100</f>
        <v>32.948008546540294</v>
      </c>
      <c r="AA246" s="184"/>
      <c r="AB246" s="182">
        <f>LíneaBase!L300</f>
        <v>1.0439260795458627</v>
      </c>
      <c r="AC246" s="184"/>
      <c r="AD246" s="182">
        <f>Escenario1!BN669</f>
        <v>1.0993484236773552</v>
      </c>
      <c r="AE246" s="184"/>
      <c r="AF246" s="182">
        <f>Escenario2!BN701</f>
        <v>1.0298396602150786</v>
      </c>
      <c r="AG246" s="184"/>
      <c r="AH246" s="182">
        <f>LíneaBase!N158</f>
        <v>0</v>
      </c>
      <c r="AI246" s="184"/>
      <c r="AJ246" s="182">
        <f>Escenario1!BP156</f>
        <v>0</v>
      </c>
      <c r="AK246" s="184"/>
      <c r="AL246" s="182">
        <f>Escenario2!BP158</f>
        <v>0</v>
      </c>
      <c r="AM246" s="151"/>
      <c r="BA246" s="152"/>
      <c r="BB246" s="75">
        <v>241</v>
      </c>
      <c r="BC246" s="190">
        <f>ABS(LíneaBase!L247-LíneaBase!L246)</f>
        <v>2.2940680572739458E-3</v>
      </c>
      <c r="BD246" s="190">
        <f>ABS(Escenario1!BN247-Escenario1!BN246)</f>
        <v>2.8716196150004314E-3</v>
      </c>
      <c r="BE246" s="190">
        <f>ABS(Escenario2!BN247-Escenario2!BN246)</f>
        <v>2.7977734348265115E-3</v>
      </c>
      <c r="BF246" s="151"/>
    </row>
    <row r="247" spans="25:58">
      <c r="Y247" s="152"/>
      <c r="Z247" s="183">
        <f>(LíneaBase!C248-0.44)/(MAX(LíneaBase!C:C)+0.12)*100</f>
        <v>33.084972333315072</v>
      </c>
      <c r="AA247" s="184"/>
      <c r="AB247" s="182">
        <f>LíneaBase!L670</f>
        <v>1.0422171541905403</v>
      </c>
      <c r="AC247" s="184"/>
      <c r="AD247" s="182">
        <f>Escenario1!BN661</f>
        <v>1.0963069019625906</v>
      </c>
      <c r="AE247" s="184"/>
      <c r="AF247" s="182">
        <f>Escenario2!BN119</f>
        <v>1.0295931980417272</v>
      </c>
      <c r="AG247" s="184"/>
      <c r="AH247" s="182">
        <f>LíneaBase!N160</f>
        <v>0</v>
      </c>
      <c r="AI247" s="184"/>
      <c r="AJ247" s="182">
        <f>Escenario1!BP157</f>
        <v>0</v>
      </c>
      <c r="AK247" s="184"/>
      <c r="AL247" s="182">
        <f>Escenario2!BP160</f>
        <v>0</v>
      </c>
      <c r="AM247" s="151"/>
      <c r="BA247" s="152"/>
      <c r="BB247" s="75">
        <v>242</v>
      </c>
      <c r="BC247" s="190">
        <f>ABS(LíneaBase!L248-LíneaBase!L247)</f>
        <v>2.2714639513287949E-3</v>
      </c>
      <c r="BD247" s="190">
        <f>ABS(Escenario1!BN248-Escenario1!BN247)</f>
        <v>2.8445124620287698E-3</v>
      </c>
      <c r="BE247" s="190">
        <f>ABS(Escenario2!BN248-Escenario2!BN247)</f>
        <v>2.7686450087296977E-3</v>
      </c>
      <c r="BF247" s="151"/>
    </row>
    <row r="248" spans="25:58">
      <c r="Y248" s="152"/>
      <c r="Z248" s="183">
        <f>(LíneaBase!C249-0.44)/(MAX(LíneaBase!C:C)+0.12)*100</f>
        <v>33.22193612008985</v>
      </c>
      <c r="AA248" s="184"/>
      <c r="AB248" s="182">
        <f>LíneaBase!L305</f>
        <v>1.0388274692142905</v>
      </c>
      <c r="AC248" s="184"/>
      <c r="AD248" s="182">
        <f>Escenario1!BN111</f>
        <v>1.0959357050083673</v>
      </c>
      <c r="AE248" s="184"/>
      <c r="AF248" s="182">
        <f>Escenario2!BN661</f>
        <v>1.0270978269216466</v>
      </c>
      <c r="AG248" s="184"/>
      <c r="AH248" s="182">
        <f>LíneaBase!N161</f>
        <v>0</v>
      </c>
      <c r="AI248" s="184"/>
      <c r="AJ248" s="182">
        <f>Escenario1!BP158</f>
        <v>0</v>
      </c>
      <c r="AK248" s="184"/>
      <c r="AL248" s="182">
        <f>Escenario2!BP161</f>
        <v>0</v>
      </c>
      <c r="AM248" s="151"/>
      <c r="BA248" s="152"/>
      <c r="BB248" s="75">
        <v>243</v>
      </c>
      <c r="BC248" s="190">
        <f>ABS(LíneaBase!L249-LíneaBase!L248)</f>
        <v>2.2490826582450829E-3</v>
      </c>
      <c r="BD248" s="190">
        <f>ABS(Escenario1!BN249-Escenario1!BN248)</f>
        <v>2.8176681716406415E-3</v>
      </c>
      <c r="BE248" s="190">
        <f>ABS(Escenario2!BN249-Escenario2!BN248)</f>
        <v>2.7398275203886491E-3</v>
      </c>
      <c r="BF248" s="151"/>
    </row>
    <row r="249" spans="25:58">
      <c r="Y249" s="152"/>
      <c r="Z249" s="183">
        <f>(LíneaBase!C250-0.44)/(MAX(LíneaBase!C:C)+0.12)*100</f>
        <v>33.358899906864622</v>
      </c>
      <c r="AA249" s="184"/>
      <c r="AB249" s="182">
        <f>LíneaBase!L667</f>
        <v>1.0319832242325429</v>
      </c>
      <c r="AC249" s="184"/>
      <c r="AD249" s="182">
        <f>Escenario1!BN482</f>
        <v>1.0944011903218174</v>
      </c>
      <c r="AE249" s="184"/>
      <c r="AF249" s="182">
        <f>Escenario2!BN336</f>
        <v>1.0252548477275409</v>
      </c>
      <c r="AG249" s="184"/>
      <c r="AH249" s="182">
        <f>LíneaBase!N162</f>
        <v>0</v>
      </c>
      <c r="AI249" s="184"/>
      <c r="AJ249" s="182">
        <f>Escenario1!BP160</f>
        <v>0</v>
      </c>
      <c r="AK249" s="184"/>
      <c r="AL249" s="182">
        <f>Escenario2!BP162</f>
        <v>0</v>
      </c>
      <c r="AM249" s="151"/>
      <c r="BA249" s="152"/>
      <c r="BB249" s="75">
        <v>244</v>
      </c>
      <c r="BC249" s="190">
        <f>ABS(LíneaBase!L250-LíneaBase!L249)</f>
        <v>2.2269219081781644E-3</v>
      </c>
      <c r="BD249" s="190">
        <f>ABS(Escenario1!BN250-Escenario1!BN249)</f>
        <v>2.7910639755027167E-3</v>
      </c>
      <c r="BE249" s="190">
        <f>ABS(Escenario2!BN250-Escenario2!BN249)</f>
        <v>2.7113174872535617E-3</v>
      </c>
      <c r="BF249" s="151"/>
    </row>
    <row r="250" spans="25:58">
      <c r="Y250" s="152"/>
      <c r="Z250" s="183">
        <f>(LíneaBase!C251-0.44)/(MAX(LíneaBase!C:C)+0.12)*100</f>
        <v>33.4958636936394</v>
      </c>
      <c r="AA250" s="184"/>
      <c r="AB250" s="182">
        <f>LíneaBase!L302</f>
        <v>1.0284913336719399</v>
      </c>
      <c r="AC250" s="184"/>
      <c r="AD250" s="182">
        <f>Escenario1!BN304</f>
        <v>1.0895847922345785</v>
      </c>
      <c r="AE250" s="184"/>
      <c r="AF250" s="182">
        <f>Escenario2!BN296</f>
        <v>1.0200371921261697</v>
      </c>
      <c r="AG250" s="184"/>
      <c r="AH250" s="182">
        <f>LíneaBase!N163</f>
        <v>0</v>
      </c>
      <c r="AI250" s="184"/>
      <c r="AJ250" s="182">
        <f>Escenario1!BP161</f>
        <v>0</v>
      </c>
      <c r="AK250" s="184"/>
      <c r="AL250" s="182">
        <f>Escenario2!BP163</f>
        <v>0</v>
      </c>
      <c r="AM250" s="151"/>
      <c r="BA250" s="152"/>
      <c r="BB250" s="75">
        <v>245</v>
      </c>
      <c r="BC250" s="190">
        <f>ABS(LíneaBase!L251-LíneaBase!L250)</f>
        <v>2.2049795157167151E-3</v>
      </c>
      <c r="BD250" s="190">
        <f>ABS(Escenario1!BN251-Escenario1!BN250)</f>
        <v>2.7647081804526019E-3</v>
      </c>
      <c r="BE250" s="190">
        <f>ABS(Escenario2!BN251-Escenario2!BN250)</f>
        <v>2.6831115117412208E-3</v>
      </c>
      <c r="BF250" s="151"/>
    </row>
    <row r="251" spans="25:58">
      <c r="Y251" s="152"/>
      <c r="Z251" s="183">
        <f>(LíneaBase!C252-0.44)/(MAX(LíneaBase!C:C)+0.12)*100</f>
        <v>33.632827480414178</v>
      </c>
      <c r="AA251" s="184"/>
      <c r="AB251" s="182">
        <f>LíneaBase!L468</f>
        <v>1.0282833474303676</v>
      </c>
      <c r="AC251" s="184"/>
      <c r="AD251" s="182">
        <f>Escenario1!BN483</f>
        <v>1.0869555169013274</v>
      </c>
      <c r="AE251" s="184"/>
      <c r="AF251" s="182">
        <f>Escenario2!BN22</f>
        <v>1.0196170915693687</v>
      </c>
      <c r="AG251" s="184"/>
      <c r="AH251" s="182">
        <f>LíneaBase!N164</f>
        <v>0</v>
      </c>
      <c r="AI251" s="184"/>
      <c r="AJ251" s="182">
        <f>Escenario1!BP162</f>
        <v>0</v>
      </c>
      <c r="AK251" s="184"/>
      <c r="AL251" s="182">
        <f>Escenario2!BP164</f>
        <v>0</v>
      </c>
      <c r="AM251" s="151"/>
      <c r="BA251" s="152"/>
      <c r="BB251" s="75">
        <v>246</v>
      </c>
      <c r="BC251" s="190">
        <f>ABS(LíneaBase!L252-LíneaBase!L251)</f>
        <v>2.1832533272820032E-3</v>
      </c>
      <c r="BD251" s="190">
        <f>ABS(Escenario1!BN252-Escenario1!BN251)</f>
        <v>2.7385889824614318E-3</v>
      </c>
      <c r="BE251" s="190">
        <f>ABS(Escenario2!BN252-Escenario2!BN251)</f>
        <v>2.6552062427151468E-3</v>
      </c>
      <c r="BF251" s="151"/>
    </row>
    <row r="252" spans="25:58">
      <c r="Y252" s="152"/>
      <c r="Z252" s="183">
        <f>(LíneaBase!C253-0.44)/(MAX(LíneaBase!C:C)+0.12)*100</f>
        <v>33.76979126718895</v>
      </c>
      <c r="AA252" s="184"/>
      <c r="AB252" s="182">
        <f>LíneaBase!L666</f>
        <v>1.0279619202055952</v>
      </c>
      <c r="AC252" s="184"/>
      <c r="AD252" s="182">
        <f>Escenario1!BN296</f>
        <v>1.0857387156510712</v>
      </c>
      <c r="AE252" s="184"/>
      <c r="AF252" s="182">
        <f>Escenario2!BN120</f>
        <v>1.0182317171082915</v>
      </c>
      <c r="AG252" s="184"/>
      <c r="AH252" s="182">
        <f>LíneaBase!N165</f>
        <v>0</v>
      </c>
      <c r="AI252" s="184"/>
      <c r="AJ252" s="182">
        <f>Escenario1!BP163</f>
        <v>0</v>
      </c>
      <c r="AK252" s="184"/>
      <c r="AL252" s="182">
        <f>Escenario2!BP165</f>
        <v>0</v>
      </c>
      <c r="AM252" s="151"/>
      <c r="BA252" s="152"/>
      <c r="BB252" s="75">
        <v>247</v>
      </c>
      <c r="BC252" s="190">
        <f>ABS(LíneaBase!L253-LíneaBase!L252)</f>
        <v>2.161741212224455E-3</v>
      </c>
      <c r="BD252" s="190">
        <f>ABS(Escenario1!BN253-Escenario1!BN252)</f>
        <v>2.7127077121421039E-3</v>
      </c>
      <c r="BE252" s="190">
        <f>ABS(Escenario2!BN253-Escenario2!BN252)</f>
        <v>2.627598368706574E-3</v>
      </c>
      <c r="BF252" s="151"/>
    </row>
    <row r="253" spans="25:58">
      <c r="Y253" s="152"/>
      <c r="Z253" s="183">
        <f>(LíneaBase!C254-0.44)/(MAX(LíneaBase!C:C)+0.12)*100</f>
        <v>33.906755053963735</v>
      </c>
      <c r="AA253" s="184"/>
      <c r="AB253" s="182">
        <f>LíneaBase!L301</f>
        <v>1.024435280827217</v>
      </c>
      <c r="AC253" s="184"/>
      <c r="AD253" s="182">
        <f>Escenario1!BN112</f>
        <v>1.0848831210522121</v>
      </c>
      <c r="AE253" s="184"/>
      <c r="AF253" s="182">
        <f>Escenario2!BN52</f>
        <v>1.0179529249163646</v>
      </c>
      <c r="AG253" s="184"/>
      <c r="AH253" s="182">
        <f>LíneaBase!N166</f>
        <v>0</v>
      </c>
      <c r="AI253" s="184"/>
      <c r="AJ253" s="182">
        <f>Escenario1!BP164</f>
        <v>0</v>
      </c>
      <c r="AK253" s="184"/>
      <c r="AL253" s="182">
        <f>Escenario2!BP166</f>
        <v>0</v>
      </c>
      <c r="AM253" s="151"/>
      <c r="BA253" s="152"/>
      <c r="BB253" s="75">
        <v>248</v>
      </c>
      <c r="BC253" s="190">
        <f>ABS(LíneaBase!L254-LíneaBase!L253)</f>
        <v>2.1404410611715607E-3</v>
      </c>
      <c r="BD253" s="190">
        <f>ABS(Escenario1!BN254-Escenario1!BN253)</f>
        <v>2.6870505352283303E-3</v>
      </c>
      <c r="BE253" s="190">
        <f>ABS(Escenario2!BN254-Escenario2!BN253)</f>
        <v>2.6002846164044913E-3</v>
      </c>
      <c r="BF253" s="151"/>
    </row>
    <row r="254" spans="25:58">
      <c r="Y254" s="152"/>
      <c r="Z254" s="183">
        <f>(LíneaBase!C255-0.44)/(MAX(LíneaBase!C:C)+0.12)*100</f>
        <v>34.043718840738507</v>
      </c>
      <c r="AA254" s="184"/>
      <c r="AB254" s="182">
        <f>LíneaBase!L42</f>
        <v>1.0213259871617324</v>
      </c>
      <c r="AC254" s="184"/>
      <c r="AD254" s="182">
        <f>Escenario1!BN702</f>
        <v>1.0784027805885288</v>
      </c>
      <c r="AE254" s="184"/>
      <c r="AF254" s="182">
        <f>Escenario2!BN126</f>
        <v>1.0111830275297147</v>
      </c>
      <c r="AG254" s="184"/>
      <c r="AH254" s="182">
        <f>LíneaBase!N167</f>
        <v>0</v>
      </c>
      <c r="AI254" s="184"/>
      <c r="AJ254" s="182">
        <f>Escenario1!BP165</f>
        <v>0</v>
      </c>
      <c r="AK254" s="184"/>
      <c r="AL254" s="182">
        <f>Escenario2!BP167</f>
        <v>0</v>
      </c>
      <c r="AM254" s="151"/>
      <c r="BA254" s="152"/>
      <c r="BB254" s="75">
        <v>249</v>
      </c>
      <c r="BC254" s="190">
        <f>ABS(LíneaBase!L255-LíneaBase!L254)</f>
        <v>2.119350785582147E-3</v>
      </c>
      <c r="BD254" s="190">
        <f>ABS(Escenario1!BN255-Escenario1!BN254)</f>
        <v>2.6616313804113667E-3</v>
      </c>
      <c r="BE254" s="190">
        <f>ABS(Escenario2!BN255-Escenario2!BN254)</f>
        <v>2.5732617500272559E-3</v>
      </c>
      <c r="BF254" s="151"/>
    </row>
    <row r="255" spans="25:58">
      <c r="Y255" s="152"/>
      <c r="Z255" s="183">
        <f>(LíneaBase!C256-0.44)/(MAX(LíneaBase!C:C)+0.12)*100</f>
        <v>34.180682627513285</v>
      </c>
      <c r="AA255" s="184"/>
      <c r="AB255" s="182">
        <f>LíneaBase!L489</f>
        <v>1.0066579527840951</v>
      </c>
      <c r="AC255" s="184"/>
      <c r="AD255" s="182">
        <f>Escenario1!BN113</f>
        <v>1.0745338072798845</v>
      </c>
      <c r="AE255" s="184"/>
      <c r="AF255" s="182">
        <f>Escenario2!BN524</f>
        <v>1.0103207810361228</v>
      </c>
      <c r="AG255" s="184"/>
      <c r="AH255" s="182">
        <f>LíneaBase!N168</f>
        <v>0</v>
      </c>
      <c r="AI255" s="184"/>
      <c r="AJ255" s="182">
        <f>Escenario1!BP166</f>
        <v>0</v>
      </c>
      <c r="AK255" s="184"/>
      <c r="AL255" s="182">
        <f>Escenario2!BP168</f>
        <v>0</v>
      </c>
      <c r="AM255" s="151"/>
      <c r="BA255" s="152"/>
      <c r="BB255" s="75">
        <v>250</v>
      </c>
      <c r="BC255" s="190">
        <f>ABS(LíneaBase!L256-LíneaBase!L255)</f>
        <v>2.0984683175017116E-3</v>
      </c>
      <c r="BD255" s="190">
        <f>ABS(Escenario1!BN256-Escenario1!BN255)</f>
        <v>2.6364312303636672E-3</v>
      </c>
      <c r="BE255" s="190">
        <f>ABS(Escenario2!BN256-Escenario2!BN255)</f>
        <v>2.5465265708442542E-3</v>
      </c>
      <c r="BF255" s="151"/>
    </row>
    <row r="256" spans="25:58">
      <c r="Y256" s="152"/>
      <c r="Z256" s="183">
        <f>(LíneaBase!C257-0.44)/(MAX(LíneaBase!C:C)+0.12)*100</f>
        <v>34.317646414288063</v>
      </c>
      <c r="AA256" s="184"/>
      <c r="AB256" s="182">
        <f>LíneaBase!L103</f>
        <v>1.0032311458587693</v>
      </c>
      <c r="AC256" s="184"/>
      <c r="AD256" s="182">
        <f>Escenario1!BN484</f>
        <v>1.0734978214528239</v>
      </c>
      <c r="AE256" s="184"/>
      <c r="AF256" s="182">
        <f>Escenario2!BN405</f>
        <v>1.0099076472499202</v>
      </c>
      <c r="AG256" s="184"/>
      <c r="AH256" s="182">
        <f>LíneaBase!N169</f>
        <v>0</v>
      </c>
      <c r="AI256" s="184"/>
      <c r="AJ256" s="182">
        <f>Escenario1!BP167</f>
        <v>0</v>
      </c>
      <c r="AK256" s="184"/>
      <c r="AL256" s="182">
        <f>Escenario2!BP169</f>
        <v>0</v>
      </c>
      <c r="AM256" s="151"/>
      <c r="BA256" s="152"/>
      <c r="BB256" s="75">
        <v>251</v>
      </c>
      <c r="BC256" s="190">
        <f>ABS(LíneaBase!L257-LíneaBase!L256)</f>
        <v>2.0777916093530635E-3</v>
      </c>
      <c r="BD256" s="190">
        <f>ABS(Escenario1!BN257-Escenario1!BN256)</f>
        <v>2.611478582646598E-3</v>
      </c>
      <c r="BE256" s="190">
        <f>ABS(Escenario2!BN257-Escenario2!BN256)</f>
        <v>2.5200759167265108E-3</v>
      </c>
      <c r="BF256" s="151"/>
    </row>
    <row r="257" spans="25:58">
      <c r="Y257" s="152"/>
      <c r="Z257" s="183">
        <f>(LíneaBase!C258-0.44)/(MAX(LíneaBase!C:C)+0.12)*100</f>
        <v>34.454610201062842</v>
      </c>
      <c r="AA257" s="184"/>
      <c r="AB257" s="182">
        <f>LíneaBase!L473</f>
        <v>0.995370874661056</v>
      </c>
      <c r="AC257" s="184"/>
      <c r="AD257" s="182">
        <f>Escenario1!BN665</f>
        <v>1.0720050507118757</v>
      </c>
      <c r="AE257" s="184"/>
      <c r="AF257" s="182">
        <f>Escenario2!BN406</f>
        <v>1.0096342940479062</v>
      </c>
      <c r="AG257" s="184"/>
      <c r="AH257" s="182">
        <f>LíneaBase!N170</f>
        <v>0</v>
      </c>
      <c r="AI257" s="184"/>
      <c r="AJ257" s="182">
        <f>Escenario1!BP168</f>
        <v>0</v>
      </c>
      <c r="AK257" s="184"/>
      <c r="AL257" s="182">
        <f>Escenario2!BP170</f>
        <v>0</v>
      </c>
      <c r="AM257" s="151"/>
      <c r="BA257" s="152"/>
      <c r="BB257" s="75">
        <v>252</v>
      </c>
      <c r="BC257" s="190">
        <f>ABS(LíneaBase!L258-LíneaBase!L257)</f>
        <v>2.0573186337346783E-3</v>
      </c>
      <c r="BD257" s="190">
        <f>ABS(Escenario1!BN258-Escenario1!BN257)</f>
        <v>2.5867512217273014E-3</v>
      </c>
      <c r="BE257" s="190">
        <f>ABS(Escenario2!BN258-Escenario2!BN257)</f>
        <v>2.4939066617086503E-3</v>
      </c>
      <c r="BF257" s="151"/>
    </row>
    <row r="258" spans="25:58">
      <c r="Y258" s="152"/>
      <c r="Z258" s="183">
        <f>(LíneaBase!C259-0.44)/(MAX(LíneaBase!C:C)+0.12)*100</f>
        <v>34.591573987837613</v>
      </c>
      <c r="AA258" s="184"/>
      <c r="AB258" s="182">
        <f>LíneaBase!L668</f>
        <v>0.99302156442763878</v>
      </c>
      <c r="AC258" s="184"/>
      <c r="AD258" s="182">
        <f>Escenario1!BN337</f>
        <v>1.0713600592568382</v>
      </c>
      <c r="AE258" s="184"/>
      <c r="AF258" s="182">
        <f>Escenario2!BN410</f>
        <v>1.0095532042059043</v>
      </c>
      <c r="AG258" s="184"/>
      <c r="AH258" s="182">
        <f>LíneaBase!N171</f>
        <v>0</v>
      </c>
      <c r="AI258" s="184"/>
      <c r="AJ258" s="182">
        <f>Escenario1!BP169</f>
        <v>0</v>
      </c>
      <c r="AK258" s="184"/>
      <c r="AL258" s="182">
        <f>Escenario2!BP171</f>
        <v>0</v>
      </c>
      <c r="AM258" s="151"/>
      <c r="BA258" s="152"/>
      <c r="BB258" s="75">
        <v>253</v>
      </c>
      <c r="BC258" s="190">
        <f>ABS(LíneaBase!L259-LíneaBase!L258)</f>
        <v>2.0370473832214131E-3</v>
      </c>
      <c r="BD258" s="190">
        <f>ABS(Escenario1!BN259-Escenario1!BN258)</f>
        <v>2.5622477651838227E-3</v>
      </c>
      <c r="BE258" s="190">
        <f>ABS(Escenario2!BN259-Escenario2!BN258)</f>
        <v>2.4680157155544669E-3</v>
      </c>
      <c r="BF258" s="151"/>
    </row>
    <row r="259" spans="25:58">
      <c r="Y259" s="152"/>
      <c r="Z259" s="183">
        <f>(LíneaBase!C260-0.44)/(MAX(LíneaBase!C:C)+0.12)*100</f>
        <v>34.728537774612391</v>
      </c>
      <c r="AA259" s="184"/>
      <c r="AB259" s="182">
        <f>LíneaBase!L303</f>
        <v>0.98956408029643306</v>
      </c>
      <c r="AC259" s="184"/>
      <c r="AD259" s="182">
        <f>Escenario1!BN16</f>
        <v>1.0686503927407915</v>
      </c>
      <c r="AE259" s="184"/>
      <c r="AF259" s="182">
        <f>Escenario2!BN121</f>
        <v>1.0074054818064957</v>
      </c>
      <c r="AG259" s="184"/>
      <c r="AH259" s="182">
        <f>LíneaBase!N172</f>
        <v>0</v>
      </c>
      <c r="AI259" s="184"/>
      <c r="AJ259" s="182">
        <f>Escenario1!BP170</f>
        <v>0</v>
      </c>
      <c r="AK259" s="184"/>
      <c r="AL259" s="182">
        <f>Escenario2!BP172</f>
        <v>0</v>
      </c>
      <c r="AM259" s="151"/>
      <c r="BA259" s="152"/>
      <c r="BB259" s="75">
        <v>254</v>
      </c>
      <c r="BC259" s="190">
        <f>ABS(LíneaBase!L260-LíneaBase!L259)</f>
        <v>2.0169758701676088E-3</v>
      </c>
      <c r="BD259" s="190">
        <f>ABS(Escenario1!BN260-Escenario1!BN259)</f>
        <v>2.5379625357749291E-3</v>
      </c>
      <c r="BE259" s="190">
        <f>ABS(Escenario2!BN260-Escenario2!BN259)</f>
        <v>2.4424000233308762E-3</v>
      </c>
      <c r="BF259" s="151"/>
    </row>
    <row r="260" spans="25:58">
      <c r="Y260" s="152"/>
      <c r="Z260" s="183">
        <f>(LíneaBase!C261-0.44)/(MAX(LíneaBase!C:C)+0.12)*100</f>
        <v>34.86550156138717</v>
      </c>
      <c r="AA260" s="184"/>
      <c r="AB260" s="182">
        <f>LíneaBase!L474</f>
        <v>0.98869261348019555</v>
      </c>
      <c r="AC260" s="184"/>
      <c r="AD260" s="182">
        <f>Escenario1!BN114</f>
        <v>1.0678501101041011</v>
      </c>
      <c r="AE260" s="184"/>
      <c r="AF260" s="182">
        <f>Escenario2!BN16</f>
        <v>1.0024977939859598</v>
      </c>
      <c r="AG260" s="184"/>
      <c r="AH260" s="182">
        <f>LíneaBase!N173</f>
        <v>0</v>
      </c>
      <c r="AI260" s="184"/>
      <c r="AJ260" s="182">
        <f>Escenario1!BP171</f>
        <v>0</v>
      </c>
      <c r="AK260" s="184"/>
      <c r="AL260" s="182">
        <f>Escenario2!BP173</f>
        <v>0</v>
      </c>
      <c r="AM260" s="151"/>
      <c r="BA260" s="152"/>
      <c r="BB260" s="75">
        <v>255</v>
      </c>
      <c r="BC260" s="190">
        <f>ABS(LíneaBase!L261-LíneaBase!L260)</f>
        <v>1.9971021265126898E-3</v>
      </c>
      <c r="BD260" s="190">
        <f>ABS(Escenario1!BN261-Escenario1!BN260)</f>
        <v>2.5138917913514192E-3</v>
      </c>
      <c r="BE260" s="190">
        <f>ABS(Escenario2!BN261-Escenario2!BN260)</f>
        <v>2.4170565649853093E-3</v>
      </c>
      <c r="BF260" s="151"/>
    </row>
    <row r="261" spans="25:58">
      <c r="Y261" s="152"/>
      <c r="Z261" s="183">
        <f>(LíneaBase!C262-0.44)/(MAX(LíneaBase!C:C)+0.12)*100</f>
        <v>35.002465348161948</v>
      </c>
      <c r="AA261" s="184"/>
      <c r="AB261" s="182">
        <f>LíneaBase!L124</f>
        <v>0.98630924202356429</v>
      </c>
      <c r="AC261" s="184"/>
      <c r="AD261" s="182">
        <f>Escenario1!BN17</f>
        <v>1.0667748871341871</v>
      </c>
      <c r="AE261" s="184"/>
      <c r="AF261" s="182">
        <f>Escenario2!BN492</f>
        <v>1.0024791344195483</v>
      </c>
      <c r="AG261" s="184"/>
      <c r="AH261" s="182">
        <f>LíneaBase!N174</f>
        <v>0</v>
      </c>
      <c r="AI261" s="184"/>
      <c r="AJ261" s="182">
        <f>Escenario1!BP172</f>
        <v>0</v>
      </c>
      <c r="AK261" s="184"/>
      <c r="AL261" s="182">
        <f>Escenario2!BP174</f>
        <v>0</v>
      </c>
      <c r="AM261" s="151"/>
      <c r="BA261" s="152"/>
      <c r="BB261" s="75">
        <v>256</v>
      </c>
      <c r="BC261" s="190">
        <f>ABS(LíneaBase!L262-LíneaBase!L261)</f>
        <v>1.9774242035874856E-3</v>
      </c>
      <c r="BD261" s="190">
        <f>ABS(Escenario1!BN262-Escenario1!BN261)</f>
        <v>2.4900414291953998E-3</v>
      </c>
      <c r="BE261" s="190">
        <f>ABS(Escenario2!BN262-Escenario2!BN261)</f>
        <v>2.391982354928629E-3</v>
      </c>
      <c r="BF261" s="151"/>
    </row>
    <row r="262" spans="25:58">
      <c r="Y262" s="152"/>
      <c r="Z262" s="183">
        <f>(LíneaBase!C263-0.44)/(MAX(LíneaBase!C:C)+0.12)*100</f>
        <v>35.139429134936719</v>
      </c>
      <c r="AA262" s="184"/>
      <c r="AB262" s="182">
        <f>LíneaBase!L469</f>
        <v>0.98200504663824417</v>
      </c>
      <c r="AC262" s="184"/>
      <c r="AD262" s="182">
        <f>Escenario1!BN485</f>
        <v>1.0629995419371794</v>
      </c>
      <c r="AE262" s="184"/>
      <c r="AF262" s="182">
        <f>Escenario2!BN17</f>
        <v>0.99009904796754478</v>
      </c>
      <c r="AG262" s="184"/>
      <c r="AH262" s="182">
        <f>LíneaBase!N175</f>
        <v>0</v>
      </c>
      <c r="AI262" s="184"/>
      <c r="AJ262" s="182">
        <f>Escenario1!BP173</f>
        <v>0</v>
      </c>
      <c r="AK262" s="184"/>
      <c r="AL262" s="182">
        <f>Escenario2!BP175</f>
        <v>0</v>
      </c>
      <c r="AM262" s="151"/>
      <c r="BA262" s="152"/>
      <c r="BB262" s="75">
        <v>257</v>
      </c>
      <c r="BC262" s="190">
        <f>ABS(LíneaBase!L263-LíneaBase!L262)</f>
        <v>1.9579401719238276E-3</v>
      </c>
      <c r="BD262" s="190">
        <f>ABS(Escenario1!BN263-Escenario1!BN262)</f>
        <v>2.4663996910113672E-3</v>
      </c>
      <c r="BE262" s="190">
        <f>ABS(Escenario2!BN263-Escenario2!BN262)</f>
        <v>2.3671744416242924E-3</v>
      </c>
      <c r="BF262" s="151"/>
    </row>
    <row r="263" spans="25:58">
      <c r="Y263" s="152"/>
      <c r="Z263" s="183">
        <f>(LíneaBase!C264-0.44)/(MAX(LíneaBase!C:C)+0.12)*100</f>
        <v>35.276392921711498</v>
      </c>
      <c r="AA263" s="184"/>
      <c r="AB263" s="182">
        <f>LíneaBase!L108</f>
        <v>0.9715288158531209</v>
      </c>
      <c r="AC263" s="184"/>
      <c r="AD263" s="182">
        <f>Escenario1!BN300</f>
        <v>1.0618470971975813</v>
      </c>
      <c r="AE263" s="184"/>
      <c r="AF263" s="182">
        <f>Escenario2!BN525</f>
        <v>0.988727058951967</v>
      </c>
      <c r="AG263" s="184"/>
      <c r="AH263" s="182">
        <f>LíneaBase!N176</f>
        <v>0</v>
      </c>
      <c r="AI263" s="184"/>
      <c r="AJ263" s="182">
        <f>Escenario1!BP174</f>
        <v>0</v>
      </c>
      <c r="AK263" s="184"/>
      <c r="AL263" s="182">
        <f>Escenario2!BP176</f>
        <v>0</v>
      </c>
      <c r="AM263" s="151"/>
      <c r="BA263" s="152"/>
      <c r="BB263" s="75">
        <v>258</v>
      </c>
      <c r="BC263" s="190">
        <f>ABS(LíneaBase!L264-LíneaBase!L263)</f>
        <v>1.4677189864505946E-3</v>
      </c>
      <c r="BD263" s="190">
        <f>ABS(Escenario1!BN264-Escenario1!BN263)</f>
        <v>1.3428513568058964E-6</v>
      </c>
      <c r="BE263" s="190">
        <f>ABS(Escenario2!BN264-Escenario2!BN263)</f>
        <v>6.5497314743201418E-4</v>
      </c>
      <c r="BF263" s="151"/>
    </row>
    <row r="264" spans="25:58">
      <c r="Y264" s="152"/>
      <c r="Z264" s="183">
        <f>(LíneaBase!C265-0.44)/(MAX(LíneaBase!C:C)+0.12)*100</f>
        <v>35.413356708486276</v>
      </c>
      <c r="AA264" s="184"/>
      <c r="AB264" s="182">
        <f>LíneaBase!L662</f>
        <v>0.96992975593689501</v>
      </c>
      <c r="AC264" s="184"/>
      <c r="AD264" s="182">
        <f>Escenario1!BN115</f>
        <v>1.0570798241997197</v>
      </c>
      <c r="AE264" s="184"/>
      <c r="AF264" s="182">
        <f>Escenario2!BN493</f>
        <v>0.9842412878579776</v>
      </c>
      <c r="AG264" s="184"/>
      <c r="AH264" s="182">
        <f>LíneaBase!N177</f>
        <v>0</v>
      </c>
      <c r="AI264" s="184"/>
      <c r="AJ264" s="182">
        <f>Escenario1!BP175</f>
        <v>0</v>
      </c>
      <c r="AK264" s="184"/>
      <c r="AL264" s="182">
        <f>Escenario2!BP177</f>
        <v>0</v>
      </c>
      <c r="AM264" s="151"/>
      <c r="BA264" s="152"/>
      <c r="BB264" s="75">
        <v>259</v>
      </c>
      <c r="BC264" s="190">
        <f>ABS(LíneaBase!L265-LíneaBase!L264)</f>
        <v>4.7606732141019792E-3</v>
      </c>
      <c r="BD264" s="190">
        <f>ABS(Escenario1!BN265-Escenario1!BN264)</f>
        <v>4.8595143780427175E-3</v>
      </c>
      <c r="BE264" s="190">
        <f>ABS(Escenario2!BN265-Escenario2!BN264)</f>
        <v>4.8185376751112563E-3</v>
      </c>
      <c r="BF264" s="151"/>
    </row>
    <row r="265" spans="25:58">
      <c r="Y265" s="152"/>
      <c r="Z265" s="183">
        <f>(LíneaBase!C266-0.44)/(MAX(LíneaBase!C:C)+0.12)*100</f>
        <v>35.550320495261047</v>
      </c>
      <c r="AA265" s="184"/>
      <c r="AB265" s="182">
        <f>LíneaBase!L470</f>
        <v>0.96633111940860694</v>
      </c>
      <c r="AC265" s="184"/>
      <c r="AD265" s="182">
        <f>Escenario1!BN670</f>
        <v>1.0551168800117514</v>
      </c>
      <c r="AE265" s="184"/>
      <c r="AF265" s="182">
        <f>Escenario2!BN159</f>
        <v>0.97742950881030888</v>
      </c>
      <c r="AG265" s="184"/>
      <c r="AH265" s="182">
        <f>LíneaBase!N178</f>
        <v>0</v>
      </c>
      <c r="AI265" s="184"/>
      <c r="AJ265" s="182">
        <f>Escenario1!BP176</f>
        <v>0</v>
      </c>
      <c r="AK265" s="184"/>
      <c r="AL265" s="182">
        <f>Escenario2!BP178</f>
        <v>0</v>
      </c>
      <c r="AM265" s="151"/>
      <c r="BA265" s="152"/>
      <c r="BB265" s="75">
        <v>260</v>
      </c>
      <c r="BC265" s="190">
        <f>ABS(LíneaBase!L266-LíneaBase!L265)</f>
        <v>2.3720786073392064E-3</v>
      </c>
      <c r="BD265" s="190">
        <f>ABS(Escenario1!BN266-Escenario1!BN265)</f>
        <v>2.3949512753335123E-3</v>
      </c>
      <c r="BE265" s="190">
        <f>ABS(Escenario2!BN266-Escenario2!BN265)</f>
        <v>2.7091921193981017E-3</v>
      </c>
      <c r="BF265" s="151"/>
    </row>
    <row r="266" spans="25:58">
      <c r="Y266" s="152"/>
      <c r="Z266" s="183">
        <f>(LíneaBase!C267-0.44)/(MAX(LíneaBase!C:C)+0.12)*100</f>
        <v>35.687284282035833</v>
      </c>
      <c r="AA266" s="184"/>
      <c r="AB266" s="182">
        <f>LíneaBase!L297</f>
        <v>0.96626062874889107</v>
      </c>
      <c r="AC266" s="184"/>
      <c r="AD266" s="182">
        <f>Escenario1!BN667</f>
        <v>1.0528126868771415</v>
      </c>
      <c r="AE266" s="184"/>
      <c r="AF266" s="182">
        <f>Escenario2!BN494</f>
        <v>0.97255785979364906</v>
      </c>
      <c r="AG266" s="184"/>
      <c r="AH266" s="182">
        <f>LíneaBase!N179</f>
        <v>0</v>
      </c>
      <c r="AI266" s="184"/>
      <c r="AJ266" s="182">
        <f>Escenario1!BP177</f>
        <v>0</v>
      </c>
      <c r="AK266" s="184"/>
      <c r="AL266" s="182">
        <f>Escenario2!BP179</f>
        <v>0</v>
      </c>
      <c r="AM266" s="151"/>
      <c r="BA266" s="152"/>
      <c r="BB266" s="75">
        <v>261</v>
      </c>
      <c r="BC266" s="190">
        <f>ABS(LíneaBase!L267-LíneaBase!L266)</f>
        <v>1.9601350806300877E-3</v>
      </c>
      <c r="BD266" s="190">
        <f>ABS(Escenario1!BN267-Escenario1!BN266)</f>
        <v>2.372218274216964E-3</v>
      </c>
      <c r="BE266" s="190">
        <f>ABS(Escenario2!BN267-Escenario2!BN266)</f>
        <v>2.3393903389659909E-3</v>
      </c>
      <c r="BF266" s="151"/>
    </row>
    <row r="267" spans="25:58">
      <c r="Y267" s="152"/>
      <c r="Z267" s="183">
        <f>(LíneaBase!C268-0.44)/(MAX(LíneaBase!C:C)+0.12)*100</f>
        <v>35.824248068810604</v>
      </c>
      <c r="AA267" s="184"/>
      <c r="AB267" s="182">
        <f>LíneaBase!L109</f>
        <v>0.96508547615643092</v>
      </c>
      <c r="AC267" s="184"/>
      <c r="AD267" s="182">
        <f>Escenario1!BN486</f>
        <v>1.05273347794796</v>
      </c>
      <c r="AE267" s="184"/>
      <c r="AF267" s="182">
        <f>Escenario2!BN411</f>
        <v>0.97124049691532621</v>
      </c>
      <c r="AG267" s="184"/>
      <c r="AH267" s="182">
        <f>LíneaBase!N180</f>
        <v>0</v>
      </c>
      <c r="AI267" s="184"/>
      <c r="AJ267" s="182">
        <f>Escenario1!BP178</f>
        <v>0</v>
      </c>
      <c r="AK267" s="184"/>
      <c r="AL267" s="182">
        <f>Escenario2!BP180</f>
        <v>0</v>
      </c>
      <c r="AM267" s="151"/>
      <c r="BA267" s="152"/>
      <c r="BB267" s="75">
        <v>262</v>
      </c>
      <c r="BC267" s="190">
        <f>ABS(LíneaBase!L268-LíneaBase!L267)</f>
        <v>1.8763433789177608E-3</v>
      </c>
      <c r="BD267" s="190">
        <f>ABS(Escenario1!BN268-Escenario1!BN267)</f>
        <v>2.349685070844959E-3</v>
      </c>
      <c r="BE267" s="190">
        <f>ABS(Escenario2!BN268-Escenario2!BN267)</f>
        <v>2.2584518180093494E-3</v>
      </c>
      <c r="BF267" s="151"/>
    </row>
    <row r="268" spans="25:58">
      <c r="Y268" s="152"/>
      <c r="Z268" s="183">
        <f>(LíneaBase!C269-0.44)/(MAX(LíneaBase!C:C)+0.12)*100</f>
        <v>35.961211855585383</v>
      </c>
      <c r="AA268" s="184"/>
      <c r="AB268" s="182">
        <f>LíneaBase!L408</f>
        <v>0.96399356996253371</v>
      </c>
      <c r="AC268" s="184"/>
      <c r="AD268" s="182">
        <f>Escenario1!BN666</f>
        <v>1.0520568245052559</v>
      </c>
      <c r="AE268" s="184"/>
      <c r="AF268" s="182">
        <f>Escenario2!BN665</f>
        <v>0.96310391505192705</v>
      </c>
      <c r="AG268" s="184"/>
      <c r="AH268" s="182">
        <f>LíneaBase!N181</f>
        <v>0</v>
      </c>
      <c r="AI268" s="184"/>
      <c r="AJ268" s="182">
        <f>Escenario1!BP179</f>
        <v>0</v>
      </c>
      <c r="AK268" s="184"/>
      <c r="AL268" s="182">
        <f>Escenario2!BP181</f>
        <v>0</v>
      </c>
      <c r="AM268" s="151"/>
      <c r="BA268" s="152"/>
      <c r="BB268" s="75">
        <v>263</v>
      </c>
      <c r="BC268" s="190">
        <f>ABS(LíneaBase!L269-LíneaBase!L268)</f>
        <v>1.8471560741135651E-3</v>
      </c>
      <c r="BD268" s="190">
        <f>ABS(Escenario1!BN269-Escenario1!BN268)</f>
        <v>2.3273593640365797E-3</v>
      </c>
      <c r="BE268" s="190">
        <f>ABS(Escenario2!BN269-Escenario2!BN268)</f>
        <v>2.2256536642201452E-3</v>
      </c>
      <c r="BF268" s="151"/>
    </row>
    <row r="269" spans="25:58">
      <c r="Y269" s="152"/>
      <c r="Z269" s="183">
        <f>(LíneaBase!C270-0.44)/(MAX(LíneaBase!C:C)+0.12)*100</f>
        <v>36.098175642360161</v>
      </c>
      <c r="AA269" s="184"/>
      <c r="AB269" s="182">
        <f>LíneaBase!L104</f>
        <v>0.95719969037570041</v>
      </c>
      <c r="AC269" s="184"/>
      <c r="AD269" s="182">
        <f>Escenario1!BN126</f>
        <v>1.0464438155967799</v>
      </c>
      <c r="AE269" s="184"/>
      <c r="AF269" s="182">
        <f>Escenario2!BN495</f>
        <v>0.96205649214203737</v>
      </c>
      <c r="AG269" s="184"/>
      <c r="AH269" s="182">
        <f>LíneaBase!N182</f>
        <v>0</v>
      </c>
      <c r="AI269" s="184"/>
      <c r="AJ269" s="182">
        <f>Escenario1!BP180</f>
        <v>0</v>
      </c>
      <c r="AK269" s="184"/>
      <c r="AL269" s="182">
        <f>Escenario2!BP182</f>
        <v>0</v>
      </c>
      <c r="AM269" s="151"/>
      <c r="BA269" s="152"/>
      <c r="BB269" s="75">
        <v>264</v>
      </c>
      <c r="BC269" s="190">
        <f>ABS(LíneaBase!L270-LíneaBase!L269)</f>
        <v>1.8271802116572033E-3</v>
      </c>
      <c r="BD269" s="190">
        <f>ABS(Escenario1!BN270-Escenario1!BN269)</f>
        <v>2.3052382369384283E-3</v>
      </c>
      <c r="BE269" s="190">
        <f>ABS(Escenario2!BN270-Escenario2!BN269)</f>
        <v>2.2010489375436093E-3</v>
      </c>
      <c r="BF269" s="151"/>
    </row>
    <row r="270" spans="25:58">
      <c r="Y270" s="152"/>
      <c r="Z270" s="183">
        <f>(LíneaBase!C271-0.44)/(MAX(LíneaBase!C:C)+0.12)*100</f>
        <v>36.235139429134939</v>
      </c>
      <c r="AA270" s="184"/>
      <c r="AB270" s="182">
        <f>LíneaBase!L471</f>
        <v>0.95581434302267443</v>
      </c>
      <c r="AC270" s="184"/>
      <c r="AD270" s="182">
        <f>Escenario1!BN408</f>
        <v>1.046139821367265</v>
      </c>
      <c r="AE270" s="184"/>
      <c r="AF270" s="182">
        <f>Escenario2!BN300</f>
        <v>0.95634370109082234</v>
      </c>
      <c r="AG270" s="184"/>
      <c r="AH270" s="182">
        <f>LíneaBase!N183</f>
        <v>0</v>
      </c>
      <c r="AI270" s="184"/>
      <c r="AJ270" s="182">
        <f>Escenario1!BP181</f>
        <v>0</v>
      </c>
      <c r="AK270" s="184"/>
      <c r="AL270" s="182">
        <f>Escenario2!BP183</f>
        <v>0</v>
      </c>
      <c r="AM270" s="151"/>
      <c r="BA270" s="152"/>
      <c r="BB270" s="75">
        <v>265</v>
      </c>
      <c r="BC270" s="190">
        <f>ABS(LíneaBase!L271-LíneaBase!L270)</f>
        <v>1.8088819675182166E-3</v>
      </c>
      <c r="BD270" s="190">
        <f>ABS(Escenario1!BN271-Escenario1!BN270)</f>
        <v>2.2833119302635707E-3</v>
      </c>
      <c r="BE270" s="190">
        <f>ABS(Escenario2!BN271-Escenario2!BN270)</f>
        <v>2.178006748121103E-3</v>
      </c>
      <c r="BF270" s="151"/>
    </row>
    <row r="271" spans="25:58">
      <c r="Y271" s="152"/>
      <c r="Z271" s="183">
        <f>(LíneaBase!C272-0.44)/(MAX(LíneaBase!C:C)+0.12)*100</f>
        <v>36.372103215909711</v>
      </c>
      <c r="AA271" s="184"/>
      <c r="AB271" s="182">
        <f>LíneaBase!L671</f>
        <v>0.94685098480549901</v>
      </c>
      <c r="AC271" s="184"/>
      <c r="AD271" s="182">
        <f>Escenario1!BN305</f>
        <v>1.0454494161747705</v>
      </c>
      <c r="AE271" s="184"/>
      <c r="AF271" s="182">
        <f>Escenario2!BN669</f>
        <v>0.95625909194695224</v>
      </c>
      <c r="AG271" s="184"/>
      <c r="AH271" s="182">
        <f>LíneaBase!N184</f>
        <v>0</v>
      </c>
      <c r="AI271" s="184"/>
      <c r="AJ271" s="182">
        <f>Escenario1!BP182</f>
        <v>0</v>
      </c>
      <c r="AK271" s="184"/>
      <c r="AL271" s="182">
        <f>Escenario2!BP184</f>
        <v>0</v>
      </c>
      <c r="AM271" s="151"/>
      <c r="BA271" s="152"/>
      <c r="BB271" s="75">
        <v>266</v>
      </c>
      <c r="BC271" s="190">
        <f>ABS(LíneaBase!L272-LíneaBase!L271)</f>
        <v>1.7910097374238265E-3</v>
      </c>
      <c r="BD271" s="190">
        <f>ABS(Escenario1!BN272-Escenario1!BN271)</f>
        <v>2.2615820437777434E-3</v>
      </c>
      <c r="BE271" s="190">
        <f>ABS(Escenario2!BN272-Escenario2!BN271)</f>
        <v>2.1554245745973588E-3</v>
      </c>
      <c r="BF271" s="151"/>
    </row>
    <row r="272" spans="25:58">
      <c r="Y272" s="152"/>
      <c r="Z272" s="183">
        <f>(LíneaBase!C273-0.44)/(MAX(LíneaBase!C:C)+0.12)*100</f>
        <v>36.509067002684489</v>
      </c>
      <c r="AA272" s="184"/>
      <c r="AB272" s="182">
        <f>LíneaBase!L472</f>
        <v>0.9462313225876362</v>
      </c>
      <c r="AC272" s="184"/>
      <c r="AD272" s="182">
        <f>Escenario1!BN116</f>
        <v>1.0438200026843683</v>
      </c>
      <c r="AE272" s="184"/>
      <c r="AF272" s="182">
        <f>Escenario2!BN160</f>
        <v>0.95621605772671359</v>
      </c>
      <c r="AG272" s="184"/>
      <c r="AH272" s="182">
        <f>LíneaBase!N185</f>
        <v>0</v>
      </c>
      <c r="AI272" s="184"/>
      <c r="AJ272" s="182">
        <f>Escenario1!BP183</f>
        <v>0</v>
      </c>
      <c r="AK272" s="184"/>
      <c r="AL272" s="182">
        <f>Escenario2!BP185</f>
        <v>0</v>
      </c>
      <c r="AM272" s="151"/>
      <c r="BA272" s="152"/>
      <c r="BB272" s="75">
        <v>267</v>
      </c>
      <c r="BC272" s="190">
        <f>ABS(LíneaBase!L273-LíneaBase!L272)</f>
        <v>1.1852114050000973E-2</v>
      </c>
      <c r="BD272" s="190">
        <f>ABS(Escenario1!BN273-Escenario1!BN272)</f>
        <v>9.1651846406880788E-3</v>
      </c>
      <c r="BE272" s="190">
        <f>ABS(Escenario2!BN273-Escenario2!BN272)</f>
        <v>9.8572949405268395E-3</v>
      </c>
      <c r="BF272" s="151"/>
    </row>
    <row r="273" spans="25:58">
      <c r="Y273" s="152"/>
      <c r="Z273" s="183">
        <f>(LíneaBase!C274-0.44)/(MAX(LíneaBase!C:C)+0.12)*100</f>
        <v>36.646030789459267</v>
      </c>
      <c r="AA273" s="184"/>
      <c r="AB273" s="182">
        <f>LíneaBase!L703</f>
        <v>0.94547569138480059</v>
      </c>
      <c r="AC273" s="184"/>
      <c r="AD273" s="182">
        <f>Escenario1!BN302</f>
        <v>1.0428538442759392</v>
      </c>
      <c r="AE273" s="184"/>
      <c r="AF273" s="182">
        <f>Escenario2!BN127</f>
        <v>0.95459214297654071</v>
      </c>
      <c r="AG273" s="184"/>
      <c r="AH273" s="182">
        <f>LíneaBase!N186</f>
        <v>0</v>
      </c>
      <c r="AI273" s="184"/>
      <c r="AJ273" s="182">
        <f>Escenario1!BP184</f>
        <v>0</v>
      </c>
      <c r="AK273" s="184"/>
      <c r="AL273" s="182">
        <f>Escenario2!BP186</f>
        <v>0</v>
      </c>
      <c r="AM273" s="151"/>
      <c r="BA273" s="152"/>
      <c r="BB273" s="75">
        <v>268</v>
      </c>
      <c r="BC273" s="190">
        <f>ABS(LíneaBase!L274-LíneaBase!L273)</f>
        <v>9.4773246444249309E-2</v>
      </c>
      <c r="BD273" s="190">
        <f>ABS(Escenario1!BN274-Escenario1!BN273)</f>
        <v>7.433757049337647E-2</v>
      </c>
      <c r="BE273" s="190">
        <f>ABS(Escenario2!BN274-Escenario2!BN273)</f>
        <v>6.3377415287103139E-2</v>
      </c>
      <c r="BF273" s="151"/>
    </row>
    <row r="274" spans="25:58">
      <c r="Y274" s="152"/>
      <c r="Z274" s="183">
        <f>(LíneaBase!C275-0.44)/(MAX(LíneaBase!C:C)+0.12)*100</f>
        <v>36.782994576234046</v>
      </c>
      <c r="AA274" s="184"/>
      <c r="AB274" s="182">
        <f>LíneaBase!L306</f>
        <v>0.94349469920268014</v>
      </c>
      <c r="AC274" s="184"/>
      <c r="AD274" s="182">
        <f>Escenario1!BN301</f>
        <v>1.0419989187540615</v>
      </c>
      <c r="AE274" s="184"/>
      <c r="AF274" s="182">
        <f>Escenario2!BN496</f>
        <v>0.95184464517881207</v>
      </c>
      <c r="AG274" s="184"/>
      <c r="AH274" s="182">
        <f>LíneaBase!N187</f>
        <v>0</v>
      </c>
      <c r="AI274" s="184"/>
      <c r="AJ274" s="182">
        <f>Escenario1!BP185</f>
        <v>0</v>
      </c>
      <c r="AK274" s="184"/>
      <c r="AL274" s="182">
        <f>Escenario2!BP187</f>
        <v>0</v>
      </c>
      <c r="AM274" s="151"/>
      <c r="BA274" s="152"/>
      <c r="BB274" s="75">
        <v>269</v>
      </c>
      <c r="BC274" s="190">
        <f>ABS(LíneaBase!L275-LíneaBase!L274)</f>
        <v>8.0587220284644823E-2</v>
      </c>
      <c r="BD274" s="190">
        <f>ABS(Escenario1!BN275-Escenario1!BN274)</f>
        <v>6.2821871433265619E-2</v>
      </c>
      <c r="BE274" s="190">
        <f>ABS(Escenario2!BN275-Escenario2!BN274)</f>
        <v>6.6711539702172001E-2</v>
      </c>
      <c r="BF274" s="151"/>
    </row>
    <row r="275" spans="25:58">
      <c r="Y275" s="152"/>
      <c r="Z275" s="183">
        <f>(LíneaBase!C276-0.44)/(MAX(LíneaBase!C:C)+0.12)*100</f>
        <v>36.919958363008817</v>
      </c>
      <c r="AA275" s="184"/>
      <c r="AB275" s="182">
        <f>LíneaBase!L338</f>
        <v>0.94303088090978027</v>
      </c>
      <c r="AC275" s="184"/>
      <c r="AD275" s="182">
        <f>Escenario1!BN492</f>
        <v>1.0417410865045222</v>
      </c>
      <c r="AE275" s="184"/>
      <c r="AF275" s="182">
        <f>Escenario2!BN304</f>
        <v>0.94978606508780861</v>
      </c>
      <c r="AG275" s="184"/>
      <c r="AH275" s="182">
        <f>LíneaBase!N188</f>
        <v>0</v>
      </c>
      <c r="AI275" s="184"/>
      <c r="AJ275" s="182">
        <f>Escenario1!BP186</f>
        <v>0</v>
      </c>
      <c r="AK275" s="184"/>
      <c r="AL275" s="182">
        <f>Escenario2!BP188</f>
        <v>0</v>
      </c>
      <c r="AM275" s="151"/>
      <c r="BA275" s="152"/>
      <c r="BB275" s="75">
        <v>270</v>
      </c>
      <c r="BC275" s="190">
        <f>ABS(LíneaBase!L276-LíneaBase!L275)</f>
        <v>2.7832605652915954E-2</v>
      </c>
      <c r="BD275" s="190">
        <f>ABS(Escenario1!BN276-Escenario1!BN275)</f>
        <v>2.5395392995691823E-2</v>
      </c>
      <c r="BE275" s="190">
        <f>ABS(Escenario2!BN276-Escenario2!BN275)</f>
        <v>1.2790811475614366E-2</v>
      </c>
      <c r="BF275" s="151"/>
    </row>
    <row r="276" spans="25:58">
      <c r="Y276" s="152"/>
      <c r="Z276" s="183">
        <f>(LíneaBase!C277-0.44)/(MAX(LíneaBase!C:C)+0.12)*100</f>
        <v>37.056922149783603</v>
      </c>
      <c r="AA276" s="184"/>
      <c r="AB276" s="182">
        <f>LíneaBase!L105</f>
        <v>0.94177017622949344</v>
      </c>
      <c r="AC276" s="184"/>
      <c r="AD276" s="182">
        <f>Escenario1!BN524</f>
        <v>1.0373572619281461</v>
      </c>
      <c r="AE276" s="184"/>
      <c r="AF276" s="182">
        <f>Escenario2!BN497</f>
        <v>0.94177315647529014</v>
      </c>
      <c r="AG276" s="184"/>
      <c r="AH276" s="182">
        <f>LíneaBase!N189</f>
        <v>0</v>
      </c>
      <c r="AI276" s="184"/>
      <c r="AJ276" s="182">
        <f>Escenario1!BP187</f>
        <v>0</v>
      </c>
      <c r="AK276" s="184"/>
      <c r="AL276" s="182">
        <f>Escenario2!BP189</f>
        <v>0</v>
      </c>
      <c r="AM276" s="151"/>
      <c r="BA276" s="152"/>
      <c r="BB276" s="75">
        <v>271</v>
      </c>
      <c r="BC276" s="190">
        <f>ABS(LíneaBase!L277-LíneaBase!L276)</f>
        <v>6.0372756052403664E-3</v>
      </c>
      <c r="BD276" s="190">
        <f>ABS(Escenario1!BN277-Escenario1!BN276)</f>
        <v>6.0027962022061454E-3</v>
      </c>
      <c r="BE276" s="190">
        <f>ABS(Escenario2!BN277-Escenario2!BN276)</f>
        <v>3.8256164464559872E-3</v>
      </c>
      <c r="BF276" s="151"/>
    </row>
    <row r="277" spans="25:58">
      <c r="Y277" s="152"/>
      <c r="Z277" s="183">
        <f>(LíneaBase!C278-0.44)/(MAX(LíneaBase!C:C)+0.12)*100</f>
        <v>37.193885936558374</v>
      </c>
      <c r="AA277" s="184"/>
      <c r="AB277" s="182">
        <f>LíneaBase!L490</f>
        <v>0.93589080858924878</v>
      </c>
      <c r="AC277" s="184"/>
      <c r="AD277" s="182">
        <f>Escenario1!BN117</f>
        <v>1.0336395794240243</v>
      </c>
      <c r="AE277" s="184"/>
      <c r="AF277" s="182">
        <f>Escenario2!BN128</f>
        <v>0.93691811756802013</v>
      </c>
      <c r="AG277" s="184"/>
      <c r="AH277" s="182">
        <f>LíneaBase!N190</f>
        <v>0</v>
      </c>
      <c r="AI277" s="184"/>
      <c r="AJ277" s="182">
        <f>Escenario1!BP188</f>
        <v>0</v>
      </c>
      <c r="AK277" s="184"/>
      <c r="AL277" s="182">
        <f>Escenario2!BP190</f>
        <v>0</v>
      </c>
      <c r="AM277" s="151"/>
      <c r="BA277" s="152"/>
      <c r="BB277" s="75">
        <v>272</v>
      </c>
      <c r="BC277" s="190">
        <f>ABS(LíneaBase!L278-LíneaBase!L277)</f>
        <v>2.4066584282696757E-3</v>
      </c>
      <c r="BD277" s="190">
        <f>ABS(Escenario1!BN278-Escenario1!BN277)</f>
        <v>2.3194583641570898E-3</v>
      </c>
      <c r="BE277" s="190">
        <f>ABS(Escenario2!BN278-Escenario2!BN277)</f>
        <v>2.3203655176876337E-3</v>
      </c>
      <c r="BF277" s="151"/>
    </row>
    <row r="278" spans="25:58">
      <c r="Y278" s="152"/>
      <c r="Z278" s="183">
        <f>(LíneaBase!C279-0.44)/(MAX(LíneaBase!C:C)+0.12)*100</f>
        <v>37.330849723333145</v>
      </c>
      <c r="AA278" s="184"/>
      <c r="AB278" s="182">
        <f>LíneaBase!L106</f>
        <v>0.93149540466666558</v>
      </c>
      <c r="AC278" s="184"/>
      <c r="AD278" s="182">
        <f>Escenario1!BN696</f>
        <v>1.0326944479697548</v>
      </c>
      <c r="AE278" s="184"/>
      <c r="AF278" s="182">
        <f>Escenario2!BN666</f>
        <v>0.9338320747006047</v>
      </c>
      <c r="AG278" s="184"/>
      <c r="AH278" s="182">
        <f>LíneaBase!N191</f>
        <v>0</v>
      </c>
      <c r="AI278" s="184"/>
      <c r="AJ278" s="182">
        <f>Escenario1!BP189</f>
        <v>0</v>
      </c>
      <c r="AK278" s="184"/>
      <c r="AL278" s="182">
        <f>Escenario2!BP191</f>
        <v>0</v>
      </c>
      <c r="AM278" s="151"/>
      <c r="BA278" s="152"/>
      <c r="BB278" s="75">
        <v>273</v>
      </c>
      <c r="BC278" s="190">
        <f>ABS(LíneaBase!L279-LíneaBase!L278)</f>
        <v>1.7903647705015957E-3</v>
      </c>
      <c r="BD278" s="190">
        <f>ABS(Escenario1!BN279-Escenario1!BN278)</f>
        <v>2.0968566486088969E-3</v>
      </c>
      <c r="BE278" s="190">
        <f>ABS(Escenario2!BN279-Escenario2!BN278)</f>
        <v>2.053176237664156E-3</v>
      </c>
      <c r="BF278" s="151"/>
    </row>
    <row r="279" spans="25:58">
      <c r="Y279" s="152"/>
      <c r="Z279" s="183">
        <f>(LíneaBase!C280-0.44)/(MAX(LíneaBase!C:C)+0.12)*100</f>
        <v>37.467813510107931</v>
      </c>
      <c r="AA279" s="184"/>
      <c r="AB279" s="182">
        <f>LíneaBase!L475</f>
        <v>0.92863364274424332</v>
      </c>
      <c r="AC279" s="184"/>
      <c r="AD279" s="182">
        <f>Escenario1!BN118</f>
        <v>1.0267817262623846</v>
      </c>
      <c r="AE279" s="184"/>
      <c r="AF279" s="182">
        <f>Escenario2!BN45</f>
        <v>0.93252535419353844</v>
      </c>
      <c r="AG279" s="184"/>
      <c r="AH279" s="182">
        <f>LíneaBase!N192</f>
        <v>0</v>
      </c>
      <c r="AI279" s="184"/>
      <c r="AJ279" s="182">
        <f>Escenario1!BP190</f>
        <v>0</v>
      </c>
      <c r="AK279" s="184"/>
      <c r="AL279" s="182">
        <f>Escenario2!BP192</f>
        <v>0</v>
      </c>
      <c r="AM279" s="151"/>
      <c r="BA279" s="152"/>
      <c r="BB279" s="75">
        <v>274</v>
      </c>
      <c r="BC279" s="190">
        <f>ABS(LíneaBase!L280-LíneaBase!L279)</f>
        <v>1.6743932838867714E-3</v>
      </c>
      <c r="BD279" s="190">
        <f>ABS(Escenario1!BN280-Escenario1!BN279)</f>
        <v>2.0772982836808618E-3</v>
      </c>
      <c r="BE279" s="190">
        <f>ABS(Escenario2!BN280-Escenario2!BN279)</f>
        <v>1.9916102504713429E-3</v>
      </c>
      <c r="BF279" s="151"/>
    </row>
    <row r="280" spans="25:58">
      <c r="Y280" s="152"/>
      <c r="Z280" s="183">
        <f>(LíneaBase!C281-0.44)/(MAX(LíneaBase!C:C)+0.12)*100</f>
        <v>37.604777296882702</v>
      </c>
      <c r="AA280" s="184"/>
      <c r="AB280" s="182">
        <f>LíneaBase!L107</f>
        <v>0.92215200452356894</v>
      </c>
      <c r="AC280" s="184"/>
      <c r="AD280" s="182">
        <f>Escenario1!BN331</f>
        <v>1.02522071816656</v>
      </c>
      <c r="AE280" s="184"/>
      <c r="AF280" s="182">
        <f>Escenario2!BN696</f>
        <v>0.93215459119214472</v>
      </c>
      <c r="AG280" s="184"/>
      <c r="AH280" s="182">
        <f>LíneaBase!N193</f>
        <v>0</v>
      </c>
      <c r="AI280" s="184"/>
      <c r="AJ280" s="182">
        <f>Escenario1!BP191</f>
        <v>0</v>
      </c>
      <c r="AK280" s="184"/>
      <c r="AL280" s="182">
        <f>Escenario2!BP193</f>
        <v>0</v>
      </c>
      <c r="AM280" s="151"/>
      <c r="BA280" s="152"/>
      <c r="BB280" s="75">
        <v>275</v>
      </c>
      <c r="BC280" s="190">
        <f>ABS(LíneaBase!L281-LíneaBase!L280)</f>
        <v>1.6415784699135572E-3</v>
      </c>
      <c r="BD280" s="190">
        <f>ABS(Escenario1!BN281-Escenario1!BN280)</f>
        <v>2.0578997737282501E-3</v>
      </c>
      <c r="BE280" s="190">
        <f>ABS(Escenario2!BN281-Escenario2!BN280)</f>
        <v>1.9643465254536585E-3</v>
      </c>
      <c r="BF280" s="151"/>
    </row>
    <row r="281" spans="25:58">
      <c r="Y281" s="152"/>
      <c r="Z281" s="183">
        <f>(LíneaBase!C282-0.44)/(MAX(LíneaBase!C:C)+0.12)*100</f>
        <v>37.74174108365748</v>
      </c>
      <c r="AA281" s="184"/>
      <c r="AB281" s="182">
        <f>LíneaBase!L43</f>
        <v>0.91861282635198993</v>
      </c>
      <c r="AC281" s="184"/>
      <c r="AD281" s="182">
        <f>Escenario1!BN525</f>
        <v>1.0228886792222471</v>
      </c>
      <c r="AE281" s="184"/>
      <c r="AF281" s="182">
        <f>Escenario2!BN498</f>
        <v>0.93181622942732067</v>
      </c>
      <c r="AG281" s="184"/>
      <c r="AH281" s="182">
        <f>LíneaBase!N194</f>
        <v>0</v>
      </c>
      <c r="AI281" s="184"/>
      <c r="AJ281" s="182">
        <f>Escenario1!BP192</f>
        <v>0</v>
      </c>
      <c r="AK281" s="184"/>
      <c r="AL281" s="182">
        <f>Escenario2!BP194</f>
        <v>0</v>
      </c>
      <c r="AM281" s="151"/>
      <c r="BA281" s="152"/>
      <c r="BB281" s="75">
        <v>276</v>
      </c>
      <c r="BC281" s="190">
        <f>ABS(LíneaBase!L282-LíneaBase!L281)</f>
        <v>1.622696086541614E-3</v>
      </c>
      <c r="BD281" s="190">
        <f>ABS(Escenario1!BN282-Escenario1!BN281)</f>
        <v>2.0386766774077858E-3</v>
      </c>
      <c r="BE281" s="190">
        <f>ABS(Escenario2!BN282-Escenario2!BN281)</f>
        <v>1.942954702264521E-3</v>
      </c>
      <c r="BF281" s="151"/>
    </row>
    <row r="282" spans="25:58">
      <c r="Y282" s="152"/>
      <c r="Z282" s="183">
        <f>(LíneaBase!C283-0.44)/(MAX(LíneaBase!C:C)+0.12)*100</f>
        <v>37.878704870432259</v>
      </c>
      <c r="AA282" s="184"/>
      <c r="AB282" s="182">
        <f>LíneaBase!L125</f>
        <v>0.91574259852252682</v>
      </c>
      <c r="AC282" s="184"/>
      <c r="AD282" s="182">
        <f>Escenario1!BN42</f>
        <v>1.0186186231291026</v>
      </c>
      <c r="AE282" s="184"/>
      <c r="AF282" s="182">
        <f>Escenario2!BN41</f>
        <v>0.9292996066814373</v>
      </c>
      <c r="AG282" s="184"/>
      <c r="AH282" s="182">
        <f>LíneaBase!N195</f>
        <v>0</v>
      </c>
      <c r="AI282" s="184"/>
      <c r="AJ282" s="182">
        <f>Escenario1!BP193</f>
        <v>0</v>
      </c>
      <c r="AK282" s="184"/>
      <c r="AL282" s="182">
        <f>Escenario2!BP195</f>
        <v>0</v>
      </c>
      <c r="AM282" s="151"/>
      <c r="BA282" s="152"/>
      <c r="BB282" s="75">
        <v>277</v>
      </c>
      <c r="BC282" s="190">
        <f>ABS(LíneaBase!L283-LíneaBase!L282)</f>
        <v>1.6062579996229398E-3</v>
      </c>
      <c r="BD282" s="190">
        <f>ABS(Escenario1!BN283-Escenario1!BN282)</f>
        <v>2.0196157197019948E-3</v>
      </c>
      <c r="BE282" s="190">
        <f>ABS(Escenario2!BN283-Escenario2!BN282)</f>
        <v>1.9227151961426769E-3</v>
      </c>
      <c r="BF282" s="151"/>
    </row>
    <row r="283" spans="25:58">
      <c r="Y283" s="152"/>
      <c r="Z283" s="183">
        <f>(LíneaBase!C284-0.44)/(MAX(LíneaBase!C:C)+0.12)*100</f>
        <v>38.015668657207037</v>
      </c>
      <c r="AA283" s="184"/>
      <c r="AB283" s="182">
        <f>LíneaBase!L697</f>
        <v>0.91283770924292862</v>
      </c>
      <c r="AC283" s="184"/>
      <c r="AD283" s="182">
        <f>Escenario1!BN668</f>
        <v>1.0155451869328391</v>
      </c>
      <c r="AE283" s="184"/>
      <c r="AF283" s="182">
        <f>Escenario2!BN40</f>
        <v>0.92872369728563442</v>
      </c>
      <c r="AG283" s="184"/>
      <c r="AH283" s="182">
        <f>LíneaBase!N196</f>
        <v>0</v>
      </c>
      <c r="AI283" s="184"/>
      <c r="AJ283" s="182">
        <f>Escenario1!BP194</f>
        <v>0</v>
      </c>
      <c r="AK283" s="184"/>
      <c r="AL283" s="182">
        <f>Escenario2!BP196</f>
        <v>0</v>
      </c>
      <c r="AM283" s="151"/>
      <c r="BA283" s="152"/>
      <c r="BB283" s="75">
        <v>278</v>
      </c>
      <c r="BC283" s="190">
        <f>ABS(LíneaBase!L284-LíneaBase!L283)</f>
        <v>1.5903566057812735E-3</v>
      </c>
      <c r="BD283" s="190">
        <f>ABS(Escenario1!BN284-Escenario1!BN283)</f>
        <v>2.0006861052641045E-3</v>
      </c>
      <c r="BE283" s="190">
        <f>ABS(Escenario2!BN284-Escenario2!BN283)</f>
        <v>1.9028429234366206E-3</v>
      </c>
      <c r="BF283" s="151"/>
    </row>
    <row r="284" spans="25:58">
      <c r="Y284" s="152"/>
      <c r="Z284" s="183">
        <f>(LíneaBase!C285-0.44)/(MAX(LíneaBase!C:C)+0.12)*100</f>
        <v>38.152632443981808</v>
      </c>
      <c r="AA284" s="184"/>
      <c r="AB284" s="182">
        <f>LíneaBase!L476</f>
        <v>0.91113415163592837</v>
      </c>
      <c r="AC284" s="184"/>
      <c r="AD284" s="182">
        <f>Escenario1!BN119</f>
        <v>1.0139061485236691</v>
      </c>
      <c r="AE284" s="184"/>
      <c r="AF284" s="182">
        <f>Escenario2!BN331</f>
        <v>0.92731722976181585</v>
      </c>
      <c r="AG284" s="184"/>
      <c r="AH284" s="182">
        <f>LíneaBase!N197</f>
        <v>0</v>
      </c>
      <c r="AI284" s="184"/>
      <c r="AJ284" s="182">
        <f>Escenario1!BP195</f>
        <v>0</v>
      </c>
      <c r="AK284" s="184"/>
      <c r="AL284" s="182">
        <f>Escenario2!BP197</f>
        <v>0</v>
      </c>
      <c r="AM284" s="151"/>
      <c r="BA284" s="152"/>
      <c r="BB284" s="75">
        <v>279</v>
      </c>
      <c r="BC284" s="190">
        <f>ABS(LíneaBase!L285-LíneaBase!L284)</f>
        <v>1.5746740726002573E-3</v>
      </c>
      <c r="BD284" s="190">
        <f>ABS(Escenario1!BN285-Escenario1!BN284)</f>
        <v>1.9819551683105396E-3</v>
      </c>
      <c r="BE284" s="190">
        <f>ABS(Escenario2!BN285-Escenario2!BN284)</f>
        <v>1.8832056989578627E-3</v>
      </c>
      <c r="BF284" s="151"/>
    </row>
    <row r="285" spans="25:58">
      <c r="Y285" s="152"/>
      <c r="Z285" s="183">
        <f>(LíneaBase!C286-0.44)/(MAX(LíneaBase!C:C)+0.12)*100</f>
        <v>38.289596230756587</v>
      </c>
      <c r="AA285" s="184"/>
      <c r="AB285" s="182">
        <f>LíneaBase!L332</f>
        <v>0.91024324452725525</v>
      </c>
      <c r="AC285" s="184"/>
      <c r="AD285" s="182">
        <f>Escenario1!BN303</f>
        <v>1.0056844327061856</v>
      </c>
      <c r="AE285" s="184"/>
      <c r="AF285" s="182">
        <f>Escenario2!BN301</f>
        <v>0.92714487393138278</v>
      </c>
      <c r="AG285" s="184"/>
      <c r="AH285" s="182">
        <f>LíneaBase!N198</f>
        <v>0</v>
      </c>
      <c r="AI285" s="184"/>
      <c r="AJ285" s="182">
        <f>Escenario1!BP196</f>
        <v>0</v>
      </c>
      <c r="AK285" s="184"/>
      <c r="AL285" s="182">
        <f>Escenario2!BP198</f>
        <v>0</v>
      </c>
      <c r="AM285" s="151"/>
      <c r="BA285" s="152"/>
      <c r="BB285" s="75">
        <v>280</v>
      </c>
      <c r="BC285" s="190">
        <f>ABS(LíneaBase!L286-LíneaBase!L285)</f>
        <v>1.5591563811478415E-3</v>
      </c>
      <c r="BD285" s="190">
        <f>ABS(Escenario1!BN286-Escenario1!BN285)</f>
        <v>1.9633785984493057E-3</v>
      </c>
      <c r="BE285" s="190">
        <f>ABS(Escenario2!BN286-Escenario2!BN285)</f>
        <v>1.8637796986287203E-3</v>
      </c>
      <c r="BF285" s="151"/>
    </row>
    <row r="286" spans="25:58">
      <c r="Y286" s="152"/>
      <c r="Z286" s="183">
        <f>(LíneaBase!C287-0.44)/(MAX(LíneaBase!C:C)+0.12)*100</f>
        <v>38.426560017531365</v>
      </c>
      <c r="AA286" s="184"/>
      <c r="AB286" s="182">
        <f>LíneaBase!L110</f>
        <v>0.9052591121673117</v>
      </c>
      <c r="AC286" s="184"/>
      <c r="AD286" s="182">
        <f>Escenario1!BN120</f>
        <v>1.0039843274925353</v>
      </c>
      <c r="AE286" s="184"/>
      <c r="AF286" s="182">
        <f>Escenario2!BN702</f>
        <v>0.9267885769958325</v>
      </c>
      <c r="AG286" s="184"/>
      <c r="AH286" s="182">
        <f>LíneaBase!N199</f>
        <v>0</v>
      </c>
      <c r="AI286" s="184"/>
      <c r="AJ286" s="182">
        <f>Escenario1!BP197</f>
        <v>0</v>
      </c>
      <c r="AK286" s="184"/>
      <c r="AL286" s="182">
        <f>Escenario2!BP199</f>
        <v>0</v>
      </c>
      <c r="AM286" s="151"/>
      <c r="BA286" s="152"/>
      <c r="BB286" s="75">
        <v>281</v>
      </c>
      <c r="BC286" s="190">
        <f>ABS(LíneaBase!L287-LíneaBase!L286)</f>
        <v>1.5437933013353056E-3</v>
      </c>
      <c r="BD286" s="190">
        <f>ABS(Escenario1!BN287-Escenario1!BN286)</f>
        <v>1.9449568126726213E-3</v>
      </c>
      <c r="BE286" s="190">
        <f>ABS(Escenario2!BN287-Escenario2!BN286)</f>
        <v>1.8445591006986117E-3</v>
      </c>
      <c r="BF286" s="151"/>
    </row>
    <row r="287" spans="25:58">
      <c r="Y287" s="152"/>
      <c r="Z287" s="183">
        <f>(LíneaBase!C288-0.44)/(MAX(LíneaBase!C:C)+0.12)*100</f>
        <v>38.563523804306143</v>
      </c>
      <c r="AA287" s="184"/>
      <c r="AB287" s="182">
        <f>LíneaBase!L477</f>
        <v>0.90077105396385515</v>
      </c>
      <c r="AC287" s="184"/>
      <c r="AD287" s="182">
        <f>Escenario1!BN662</f>
        <v>1.0022250848159331</v>
      </c>
      <c r="AE287" s="184"/>
      <c r="AF287" s="182">
        <f>Escenario2!BN129</f>
        <v>0.92579154926751783</v>
      </c>
      <c r="AG287" s="184"/>
      <c r="AH287" s="182">
        <f>LíneaBase!N200</f>
        <v>0</v>
      </c>
      <c r="AI287" s="184"/>
      <c r="AJ287" s="182">
        <f>Escenario1!BP198</f>
        <v>0</v>
      </c>
      <c r="AK287" s="184"/>
      <c r="AL287" s="182">
        <f>Escenario2!BP200</f>
        <v>0</v>
      </c>
      <c r="AM287" s="151"/>
      <c r="BA287" s="152"/>
      <c r="BB287" s="75">
        <v>282</v>
      </c>
      <c r="BC287" s="190">
        <f>ABS(LíneaBase!L288-LíneaBase!L287)</f>
        <v>1.52858188171201E-3</v>
      </c>
      <c r="BD287" s="190">
        <f>ABS(Escenario1!BN288-Escenario1!BN287)</f>
        <v>1.9266775026199889E-3</v>
      </c>
      <c r="BE287" s="190">
        <f>ABS(Escenario2!BN288-Escenario2!BN287)</f>
        <v>1.8255410916903081E-3</v>
      </c>
      <c r="BF287" s="151"/>
    </row>
    <row r="288" spans="25:58">
      <c r="Y288" s="152"/>
      <c r="Z288" s="183">
        <f>(LíneaBase!C289-0.44)/(MAX(LíneaBase!C:C)+0.12)*100</f>
        <v>38.700487591080915</v>
      </c>
      <c r="AA288" s="184"/>
      <c r="AB288" s="182">
        <f>LíneaBase!L478</f>
        <v>0.89166564144405147</v>
      </c>
      <c r="AC288" s="184"/>
      <c r="AD288" s="182">
        <f>Escenario1!BN159</f>
        <v>0.99695847303924168</v>
      </c>
      <c r="AE288" s="184"/>
      <c r="AF288" s="182">
        <f>Escenario2!BN667</f>
        <v>0.92543746128894988</v>
      </c>
      <c r="AG288" s="184"/>
      <c r="AH288" s="182">
        <f>LíneaBase!N201</f>
        <v>0</v>
      </c>
      <c r="AI288" s="184"/>
      <c r="AJ288" s="182">
        <f>Escenario1!BP199</f>
        <v>0</v>
      </c>
      <c r="AK288" s="184"/>
      <c r="AL288" s="182">
        <f>Escenario2!BP201</f>
        <v>0</v>
      </c>
      <c r="AM288" s="151"/>
      <c r="BA288" s="152"/>
      <c r="BB288" s="75">
        <v>283</v>
      </c>
      <c r="BC288" s="190">
        <f>ABS(LíneaBase!L289-LíneaBase!L288)</f>
        <v>3.2127844230537161E-2</v>
      </c>
      <c r="BD288" s="190">
        <f>ABS(Escenario1!BN289-Escenario1!BN288)</f>
        <v>2.7115285893724334E-2</v>
      </c>
      <c r="BE288" s="190">
        <f>ABS(Escenario2!BN289-Escenario2!BN288)</f>
        <v>1.636855102456658E-2</v>
      </c>
      <c r="BF288" s="151"/>
    </row>
    <row r="289" spans="25:58">
      <c r="Y289" s="152"/>
      <c r="Z289" s="183">
        <f>(LíneaBase!C290-0.44)/(MAX(LíneaBase!C:C)+0.12)*100</f>
        <v>38.8374513778557</v>
      </c>
      <c r="AA289" s="184"/>
      <c r="AB289" s="182">
        <f>LíneaBase!L659</f>
        <v>0.89155784055762777</v>
      </c>
      <c r="AC289" s="184"/>
      <c r="AD289" s="182">
        <f>Escenario1!BN121</f>
        <v>0.99428915973093313</v>
      </c>
      <c r="AE289" s="184"/>
      <c r="AF289" s="182">
        <f>Escenario2!BN526</f>
        <v>0.92348479170830444</v>
      </c>
      <c r="AG289" s="184"/>
      <c r="AH289" s="182">
        <f>LíneaBase!N202</f>
        <v>0</v>
      </c>
      <c r="AI289" s="184"/>
      <c r="AJ289" s="182">
        <f>Escenario1!BP200</f>
        <v>0</v>
      </c>
      <c r="AK289" s="184"/>
      <c r="AL289" s="182">
        <f>Escenario2!BP202</f>
        <v>0</v>
      </c>
      <c r="AM289" s="151"/>
      <c r="BA289" s="152"/>
      <c r="BB289" s="75">
        <v>284</v>
      </c>
      <c r="BC289" s="190">
        <f>ABS(LíneaBase!L290-LíneaBase!L289)</f>
        <v>2.7513827124196338E-2</v>
      </c>
      <c r="BD289" s="190">
        <f>ABS(Escenario1!BN290-Escenario1!BN289)</f>
        <v>2.4789994708973223E-2</v>
      </c>
      <c r="BE289" s="190">
        <f>ABS(Escenario2!BN290-Escenario2!BN289)</f>
        <v>1.5148878031530588E-2</v>
      </c>
      <c r="BF289" s="151"/>
    </row>
    <row r="290" spans="25:58">
      <c r="Y290" s="152"/>
      <c r="Z290" s="183">
        <f>(LíneaBase!C291-0.44)/(MAX(LíneaBase!C:C)+0.12)*100</f>
        <v>38.974415164630472</v>
      </c>
      <c r="AA290" s="184"/>
      <c r="AB290" s="182">
        <f>LíneaBase!L672</f>
        <v>0.88996922321318828</v>
      </c>
      <c r="AC290" s="184"/>
      <c r="AD290" s="182">
        <f>Escenario1!BN297</f>
        <v>0.99176098251356393</v>
      </c>
      <c r="AE290" s="184"/>
      <c r="AF290" s="182">
        <f>Escenario2!BN662</f>
        <v>0.92254947850352276</v>
      </c>
      <c r="AG290" s="184"/>
      <c r="AH290" s="182">
        <f>LíneaBase!N203</f>
        <v>0</v>
      </c>
      <c r="AI290" s="184"/>
      <c r="AJ290" s="182">
        <f>Escenario1!BP201</f>
        <v>0</v>
      </c>
      <c r="AK290" s="184"/>
      <c r="AL290" s="182">
        <f>Escenario2!BP203</f>
        <v>0</v>
      </c>
      <c r="AM290" s="151"/>
      <c r="BA290" s="152"/>
      <c r="BB290" s="75">
        <v>285</v>
      </c>
      <c r="BC290" s="190">
        <f>ABS(LíneaBase!L291-LíneaBase!L290)</f>
        <v>0.23228649825191147</v>
      </c>
      <c r="BD290" s="190">
        <f>ABS(Escenario1!BN291-Escenario1!BN290)</f>
        <v>0.12460685605088712</v>
      </c>
      <c r="BE290" s="190">
        <f>ABS(Escenario2!BN291-Escenario2!BN290)</f>
        <v>0.11293403619436279</v>
      </c>
      <c r="BF290" s="151"/>
    </row>
    <row r="291" spans="25:58">
      <c r="Y291" s="152"/>
      <c r="Z291" s="183">
        <f>(LíneaBase!C292-0.44)/(MAX(LíneaBase!C:C)+0.12)*100</f>
        <v>39.11137895140525</v>
      </c>
      <c r="AA291" s="184"/>
      <c r="AB291" s="182">
        <f>LíneaBase!L111</f>
        <v>0.88798993587615049</v>
      </c>
      <c r="AC291" s="184"/>
      <c r="AD291" s="182">
        <f>Escenario1!BN493</f>
        <v>0.9912882667155799</v>
      </c>
      <c r="AE291" s="184"/>
      <c r="AF291" s="182">
        <f>Escenario2!BN337</f>
        <v>0.92225261742671027</v>
      </c>
      <c r="AG291" s="184"/>
      <c r="AH291" s="182">
        <f>LíneaBase!N204</f>
        <v>0</v>
      </c>
      <c r="AI291" s="184"/>
      <c r="AJ291" s="182">
        <f>Escenario1!BP202</f>
        <v>0</v>
      </c>
      <c r="AK291" s="184"/>
      <c r="AL291" s="182">
        <f>Escenario2!BP204</f>
        <v>0</v>
      </c>
      <c r="AM291" s="151"/>
      <c r="BA291" s="152"/>
      <c r="BB291" s="75">
        <v>286</v>
      </c>
      <c r="BC291" s="190">
        <f>ABS(LíneaBase!L292-LíneaBase!L291)</f>
        <v>5.4765818808115707E-2</v>
      </c>
      <c r="BD291" s="190">
        <f>ABS(Escenario1!BN292-Escenario1!BN291)</f>
        <v>3.3329822380002927E-2</v>
      </c>
      <c r="BE291" s="190">
        <f>ABS(Escenario2!BN292-Escenario2!BN291)</f>
        <v>2.2590833067171801E-2</v>
      </c>
      <c r="BF291" s="151"/>
    </row>
    <row r="292" spans="25:58">
      <c r="Y292" s="152"/>
      <c r="Z292" s="183">
        <f>(LíneaBase!C293-0.44)/(MAX(LíneaBase!C:C)+0.12)*100</f>
        <v>39.248342738180028</v>
      </c>
      <c r="AA292" s="184"/>
      <c r="AB292" s="182">
        <f>LíneaBase!L294</f>
        <v>0.88777808205994668</v>
      </c>
      <c r="AC292" s="184"/>
      <c r="AD292" s="182">
        <f>Escenario1!BN127</f>
        <v>0.98660872880871753</v>
      </c>
      <c r="AE292" s="184"/>
      <c r="AF292" s="182">
        <f>Escenario2!BN499</f>
        <v>0.92196855067230854</v>
      </c>
      <c r="AG292" s="184"/>
      <c r="AH292" s="182">
        <f>LíneaBase!N205</f>
        <v>0</v>
      </c>
      <c r="AI292" s="184"/>
      <c r="AJ292" s="182">
        <f>Escenario1!BP203</f>
        <v>0</v>
      </c>
      <c r="AK292" s="184"/>
      <c r="AL292" s="182">
        <f>Escenario2!BP205</f>
        <v>0</v>
      </c>
      <c r="AM292" s="151"/>
      <c r="BA292" s="152"/>
      <c r="BB292" s="75">
        <v>287</v>
      </c>
      <c r="BC292" s="190">
        <f>ABS(LíneaBase!L293-LíneaBase!L292)</f>
        <v>3.4982657058685258</v>
      </c>
      <c r="BD292" s="190">
        <f>ABS(Escenario1!BN293-Escenario1!BN292)</f>
        <v>0.50061473844176985</v>
      </c>
      <c r="BE292" s="190">
        <f>ABS(Escenario2!BN293-Escenario2!BN292)</f>
        <v>0.50970762576359729</v>
      </c>
      <c r="BF292" s="151"/>
    </row>
    <row r="293" spans="25:58">
      <c r="Y293" s="152"/>
      <c r="Z293" s="183">
        <f>(LíneaBase!C294-0.44)/(MAX(LíneaBase!C:C)+0.12)*100</f>
        <v>39.3853065249548</v>
      </c>
      <c r="AA293" s="184"/>
      <c r="AB293" s="182">
        <f>LíneaBase!L479</f>
        <v>0.88761061256007268</v>
      </c>
      <c r="AC293" s="184"/>
      <c r="AD293" s="182">
        <f>Escenario1!BN160</f>
        <v>0.98288073432750589</v>
      </c>
      <c r="AE293" s="184"/>
      <c r="AF293" s="182">
        <f>Escenario2!BN302</f>
        <v>0.91882245642084504</v>
      </c>
      <c r="AG293" s="184"/>
      <c r="AH293" s="182">
        <f>LíneaBase!N206</f>
        <v>0</v>
      </c>
      <c r="AI293" s="184"/>
      <c r="AJ293" s="182">
        <f>Escenario1!BP204</f>
        <v>0</v>
      </c>
      <c r="AK293" s="184"/>
      <c r="AL293" s="182">
        <f>Escenario2!BP206</f>
        <v>0</v>
      </c>
      <c r="AM293" s="151"/>
      <c r="BA293" s="152"/>
      <c r="BB293" s="75">
        <v>288</v>
      </c>
      <c r="BC293" s="190">
        <f>ABS(LíneaBase!L294-LíneaBase!L293)</f>
        <v>2.9462287146461219</v>
      </c>
      <c r="BD293" s="190">
        <f>ABS(Escenario1!BN294-Escenario1!BN293)</f>
        <v>3.9647081084941194E-2</v>
      </c>
      <c r="BE293" s="190">
        <f>ABS(Escenario2!BN294-Escenario2!BN293)</f>
        <v>2.7907450637803977E-2</v>
      </c>
      <c r="BF293" s="151"/>
    </row>
    <row r="294" spans="25:58">
      <c r="Y294" s="152"/>
      <c r="Z294" s="183">
        <f>(LíneaBase!C295-0.44)/(MAX(LíneaBase!C:C)+0.12)*100</f>
        <v>39.522270311729578</v>
      </c>
      <c r="AA294" s="184"/>
      <c r="AB294" s="182">
        <f>LíneaBase!L307</f>
        <v>0.88664600789181891</v>
      </c>
      <c r="AC294" s="184"/>
      <c r="AD294" s="182">
        <f>Escenario1!BN703</f>
        <v>0.9778598960750633</v>
      </c>
      <c r="AE294" s="184"/>
      <c r="AF294" s="182">
        <f>Escenario2!BN130</f>
        <v>0.91584017007264695</v>
      </c>
      <c r="AG294" s="184"/>
      <c r="AH294" s="182">
        <f>LíneaBase!N209</f>
        <v>0</v>
      </c>
      <c r="AI294" s="184"/>
      <c r="AJ294" s="182">
        <f>Escenario1!BP205</f>
        <v>0</v>
      </c>
      <c r="AK294" s="184"/>
      <c r="AL294" s="182">
        <f>Escenario2!BP209</f>
        <v>0</v>
      </c>
      <c r="AM294" s="151"/>
      <c r="BA294" s="152"/>
      <c r="BB294" s="75">
        <v>289</v>
      </c>
      <c r="BC294" s="190">
        <f>ABS(LíneaBase!L295-LíneaBase!L294)</f>
        <v>1.2719464107981957</v>
      </c>
      <c r="BD294" s="190">
        <f>ABS(Escenario1!BN295-Escenario1!BN294)</f>
        <v>0.28931936902121402</v>
      </c>
      <c r="BE294" s="190">
        <f>ABS(Escenario2!BN295-Escenario2!BN294)</f>
        <v>0.19334492641991197</v>
      </c>
      <c r="BF294" s="151"/>
    </row>
    <row r="295" spans="25:58">
      <c r="Y295" s="152"/>
      <c r="Z295" s="183">
        <f>(LíneaBase!C296-0.44)/(MAX(LíneaBase!C:C)+0.12)*100</f>
        <v>39.659234098504356</v>
      </c>
      <c r="AA295" s="184"/>
      <c r="AB295" s="182">
        <f>LíneaBase!L480</f>
        <v>0.87833422197111577</v>
      </c>
      <c r="AC295" s="184"/>
      <c r="AD295" s="182">
        <f>Escenario1!BN494</f>
        <v>0.9750107662113715</v>
      </c>
      <c r="AE295" s="184"/>
      <c r="AF295" s="182">
        <f>Escenario2!BN297</f>
        <v>0.91556522394577533</v>
      </c>
      <c r="AG295" s="184"/>
      <c r="AH295" s="182">
        <f>LíneaBase!N210</f>
        <v>0</v>
      </c>
      <c r="AI295" s="184"/>
      <c r="AJ295" s="182">
        <f>Escenario1!BP206</f>
        <v>0</v>
      </c>
      <c r="AK295" s="184"/>
      <c r="AL295" s="182">
        <f>Escenario2!BP210</f>
        <v>0</v>
      </c>
      <c r="AM295" s="151"/>
      <c r="BA295" s="152"/>
      <c r="BB295" s="75">
        <v>290</v>
      </c>
      <c r="BC295" s="190">
        <f>ABS(LíneaBase!L296-LíneaBase!L295)</f>
        <v>1.0893911596435344</v>
      </c>
      <c r="BD295" s="190">
        <f>ABS(Escenario1!BN296-Escenario1!BN295)</f>
        <v>9.8633559815749283E-2</v>
      </c>
      <c r="BE295" s="190">
        <f>ABS(Escenario2!BN296-Escenario2!BN295)</f>
        <v>2.5602620497289452E-2</v>
      </c>
      <c r="BF295" s="151"/>
    </row>
    <row r="296" spans="25:58">
      <c r="Y296" s="152"/>
      <c r="Z296" s="183">
        <f>(LíneaBase!C297-0.44)/(MAX(LíneaBase!C:C)+0.12)*100</f>
        <v>39.796197885279135</v>
      </c>
      <c r="AA296" s="184"/>
      <c r="AB296" s="182">
        <f>LíneaBase!L525</f>
        <v>0.87830113658068731</v>
      </c>
      <c r="AC296" s="184"/>
      <c r="AD296" s="182">
        <f>Escenario1!BN338</f>
        <v>0.97088655430969051</v>
      </c>
      <c r="AE296" s="184"/>
      <c r="AF296" s="182">
        <f>Escenario2!BN500</f>
        <v>0.91342725919938628</v>
      </c>
      <c r="AG296" s="184"/>
      <c r="AH296" s="182">
        <f>LíneaBase!N211</f>
        <v>0</v>
      </c>
      <c r="AI296" s="184"/>
      <c r="AJ296" s="182">
        <f>Escenario1!BP209</f>
        <v>0</v>
      </c>
      <c r="AK296" s="184"/>
      <c r="AL296" s="182">
        <f>Escenario2!BP211</f>
        <v>0</v>
      </c>
      <c r="AM296" s="151"/>
      <c r="BA296" s="152"/>
      <c r="BB296" s="75">
        <v>291</v>
      </c>
      <c r="BC296" s="190">
        <f>ABS(LíneaBase!L297-LíneaBase!L296)</f>
        <v>0.10407270446571704</v>
      </c>
      <c r="BD296" s="190">
        <f>ABS(Escenario1!BN297-Escenario1!BN296)</f>
        <v>9.3977733137507236E-2</v>
      </c>
      <c r="BE296" s="190">
        <f>ABS(Escenario2!BN297-Escenario2!BN296)</f>
        <v>0.10447196818039439</v>
      </c>
      <c r="BF296" s="151"/>
    </row>
    <row r="297" spans="25:58">
      <c r="Y297" s="152"/>
      <c r="Z297" s="183">
        <f>(LíneaBase!C298-0.44)/(MAX(LíneaBase!C:C)+0.12)*100</f>
        <v>39.933161672053906</v>
      </c>
      <c r="AA297" s="184"/>
      <c r="AB297" s="182">
        <f>LíneaBase!L112</f>
        <v>0.87785488367448106</v>
      </c>
      <c r="AC297" s="184"/>
      <c r="AD297" s="182">
        <f>Escenario1!BN671</f>
        <v>0.96828839406062661</v>
      </c>
      <c r="AE297" s="184"/>
      <c r="AF297" s="182">
        <f>Escenario2!BN407</f>
        <v>0.90729000643512647</v>
      </c>
      <c r="AG297" s="184"/>
      <c r="AH297" s="182">
        <f>LíneaBase!N212</f>
        <v>0</v>
      </c>
      <c r="AI297" s="184"/>
      <c r="AJ297" s="182">
        <f>Escenario1!BP210</f>
        <v>0</v>
      </c>
      <c r="AK297" s="184"/>
      <c r="AL297" s="182">
        <f>Escenario2!BP212</f>
        <v>0</v>
      </c>
      <c r="AM297" s="151"/>
      <c r="BA297" s="152"/>
      <c r="BB297" s="75">
        <v>292</v>
      </c>
      <c r="BC297" s="190">
        <f>ABS(LíneaBase!L298-LíneaBase!L297)</f>
        <v>0.46626489294060414</v>
      </c>
      <c r="BD297" s="190">
        <f>ABS(Escenario1!BN298-Escenario1!BN297)</f>
        <v>0.16077298921379446</v>
      </c>
      <c r="BE297" s="190">
        <f>ABS(Escenario2!BN298-Escenario2!BN297)</f>
        <v>0.129675396917876</v>
      </c>
      <c r="BF297" s="151"/>
    </row>
    <row r="298" spans="25:58">
      <c r="Y298" s="152"/>
      <c r="Z298" s="183">
        <f>(LíneaBase!C299-0.44)/(MAX(LíneaBase!C:C)+0.12)*100</f>
        <v>40.070125458828684</v>
      </c>
      <c r="AA298" s="184"/>
      <c r="AB298" s="182">
        <f>LíneaBase!L491</f>
        <v>0.86915715631023138</v>
      </c>
      <c r="AC298" s="184"/>
      <c r="AD298" s="182">
        <f>Escenario1!BN526</f>
        <v>0.9653846196462248</v>
      </c>
      <c r="AE298" s="184"/>
      <c r="AF298" s="182">
        <f>Escenario2!BN131</f>
        <v>0.90617152912513665</v>
      </c>
      <c r="AG298" s="184"/>
      <c r="AH298" s="182">
        <f>LíneaBase!N213</f>
        <v>0</v>
      </c>
      <c r="AI298" s="184"/>
      <c r="AJ298" s="182">
        <f>Escenario1!BP211</f>
        <v>0</v>
      </c>
      <c r="AK298" s="184"/>
      <c r="AL298" s="182">
        <f>Escenario2!BP213</f>
        <v>0</v>
      </c>
      <c r="AM298" s="151"/>
      <c r="BA298" s="152"/>
      <c r="BB298" s="75">
        <v>293</v>
      </c>
      <c r="BC298" s="190">
        <f>ABS(LíneaBase!L299-LíneaBase!L298)</f>
        <v>0.28102360906698332</v>
      </c>
      <c r="BD298" s="190">
        <f>ABS(Escenario1!BN299-Escenario1!BN298)</f>
        <v>6.589960567839892E-3</v>
      </c>
      <c r="BE298" s="190">
        <f>ABS(Escenario2!BN299-Escenario2!BN298)</f>
        <v>1.2901697528766576E-4</v>
      </c>
      <c r="BF298" s="151"/>
    </row>
    <row r="299" spans="25:58">
      <c r="Y299" s="152"/>
      <c r="Z299" s="183">
        <f>(LíneaBase!C300-0.44)/(MAX(LíneaBase!C:C)+0.12)*100</f>
        <v>40.207089245603463</v>
      </c>
      <c r="AA299" s="184"/>
      <c r="AB299" s="182">
        <f>LíneaBase!L113</f>
        <v>0.86897526963874494</v>
      </c>
      <c r="AC299" s="184"/>
      <c r="AD299" s="182">
        <f>Escenario1!BN495</f>
        <v>0.96471675630362808</v>
      </c>
      <c r="AE299" s="184"/>
      <c r="AF299" s="182">
        <f>Escenario2!BN670</f>
        <v>0.90425857662516362</v>
      </c>
      <c r="AG299" s="184"/>
      <c r="AH299" s="182">
        <f>LíneaBase!N214</f>
        <v>0</v>
      </c>
      <c r="AI299" s="184"/>
      <c r="AJ299" s="182">
        <f>Escenario1!BP212</f>
        <v>0</v>
      </c>
      <c r="AK299" s="184"/>
      <c r="AL299" s="182">
        <f>Escenario2!BP214</f>
        <v>0</v>
      </c>
      <c r="AM299" s="151"/>
      <c r="BA299" s="152"/>
      <c r="BB299" s="75">
        <v>294</v>
      </c>
      <c r="BC299" s="190">
        <f>ABS(LíneaBase!L300-LíneaBase!L299)</f>
        <v>0.1075758330766492</v>
      </c>
      <c r="BD299" s="190">
        <f>ABS(Escenario1!BN300-Escenario1!BN299)</f>
        <v>9.7276835097616976E-2</v>
      </c>
      <c r="BE299" s="190">
        <f>ABS(Escenario2!BN300-Escenario2!BN299)</f>
        <v>8.876790279754132E-2</v>
      </c>
      <c r="BF299" s="151"/>
    </row>
    <row r="300" spans="25:58">
      <c r="Y300" s="152"/>
      <c r="Z300" s="183">
        <f>(LíneaBase!C301-0.44)/(MAX(LíneaBase!C:C)+0.12)*100</f>
        <v>40.344053032378241</v>
      </c>
      <c r="AA300" s="184"/>
      <c r="AB300" s="182">
        <f>LíneaBase!L481</f>
        <v>0.86621894449822401</v>
      </c>
      <c r="AC300" s="184"/>
      <c r="AD300" s="182">
        <f>Escenario1!BN306</f>
        <v>0.95871615104683683</v>
      </c>
      <c r="AE300" s="184"/>
      <c r="AF300" s="182">
        <f>Escenario2!BN501</f>
        <v>0.90279287170368605</v>
      </c>
      <c r="AG300" s="184"/>
      <c r="AH300" s="182">
        <f>LíneaBase!N215</f>
        <v>0</v>
      </c>
      <c r="AI300" s="184"/>
      <c r="AJ300" s="182">
        <f>Escenario1!BP213</f>
        <v>0</v>
      </c>
      <c r="AK300" s="184"/>
      <c r="AL300" s="182">
        <f>Escenario2!BP215</f>
        <v>0</v>
      </c>
      <c r="AM300" s="151"/>
      <c r="BA300" s="152"/>
      <c r="BB300" s="75">
        <v>295</v>
      </c>
      <c r="BC300" s="190">
        <f>ABS(LíneaBase!L301-LíneaBase!L300)</f>
        <v>1.9490798718645674E-2</v>
      </c>
      <c r="BD300" s="190">
        <f>ABS(Escenario1!BN301-Escenario1!BN300)</f>
        <v>1.9848178443519826E-2</v>
      </c>
      <c r="BE300" s="190">
        <f>ABS(Escenario2!BN301-Escenario2!BN300)</f>
        <v>2.9198827159439555E-2</v>
      </c>
      <c r="BF300" s="151"/>
    </row>
    <row r="301" spans="25:58">
      <c r="Y301" s="152"/>
      <c r="Z301" s="183">
        <f>(LíneaBase!C302-0.44)/(MAX(LíneaBase!C:C)+0.12)*100</f>
        <v>40.481016819153012</v>
      </c>
      <c r="AA301" s="184"/>
      <c r="AB301" s="182">
        <f>LíneaBase!L114</f>
        <v>0.86514381439258936</v>
      </c>
      <c r="AC301" s="184"/>
      <c r="AD301" s="182">
        <f>Escenario1!BN496</f>
        <v>0.9553990899910314</v>
      </c>
      <c r="AE301" s="184"/>
      <c r="AF301" s="182">
        <f>Escenario2!BN305</f>
        <v>0.89785535062248822</v>
      </c>
      <c r="AG301" s="184"/>
      <c r="AH301" s="182">
        <f>LíneaBase!N216</f>
        <v>0</v>
      </c>
      <c r="AI301" s="184"/>
      <c r="AJ301" s="182">
        <f>Escenario1!BP214</f>
        <v>0</v>
      </c>
      <c r="AK301" s="184"/>
      <c r="AL301" s="182">
        <f>Escenario2!BP216</f>
        <v>0</v>
      </c>
      <c r="AM301" s="151"/>
      <c r="BA301" s="152"/>
      <c r="BB301" s="75">
        <v>296</v>
      </c>
      <c r="BC301" s="190">
        <f>ABS(LíneaBase!L302-LíneaBase!L301)</f>
        <v>4.0560528447228794E-3</v>
      </c>
      <c r="BD301" s="190">
        <f>ABS(Escenario1!BN302-Escenario1!BN301)</f>
        <v>8.5492552187771409E-4</v>
      </c>
      <c r="BE301" s="190">
        <f>ABS(Escenario2!BN302-Escenario2!BN301)</f>
        <v>8.3224175105377496E-3</v>
      </c>
      <c r="BF301" s="151"/>
    </row>
    <row r="302" spans="25:58">
      <c r="Y302" s="152"/>
      <c r="Z302" s="183">
        <f>(LíneaBase!C303-0.44)/(MAX(LíneaBase!C:C)+0.12)*100</f>
        <v>40.617980605927798</v>
      </c>
      <c r="AA302" s="184"/>
      <c r="AB302" s="182">
        <f>LíneaBase!L160</f>
        <v>0.86405420061373739</v>
      </c>
      <c r="AC302" s="184"/>
      <c r="AD302" s="182">
        <f>Escenario1!BN497</f>
        <v>0.94617037183666997</v>
      </c>
      <c r="AE302" s="184"/>
      <c r="AF302" s="182">
        <f>Escenario2!BN132</f>
        <v>0.89663655166328704</v>
      </c>
      <c r="AG302" s="184"/>
      <c r="AH302" s="182">
        <f>LíneaBase!N217</f>
        <v>0</v>
      </c>
      <c r="AI302" s="184"/>
      <c r="AJ302" s="182">
        <f>Escenario1!BP215</f>
        <v>0</v>
      </c>
      <c r="AK302" s="184"/>
      <c r="AL302" s="182">
        <f>Escenario2!BP217</f>
        <v>0</v>
      </c>
      <c r="AM302" s="151"/>
      <c r="BA302" s="152"/>
      <c r="BB302" s="75">
        <v>297</v>
      </c>
      <c r="BC302" s="190">
        <f>ABS(LíneaBase!L303-LíneaBase!L302)</f>
        <v>3.8927253375506843E-2</v>
      </c>
      <c r="BD302" s="190">
        <f>ABS(Escenario1!BN303-Escenario1!BN302)</f>
        <v>3.7169411569753619E-2</v>
      </c>
      <c r="BE302" s="190">
        <f>ABS(Escenario2!BN303-Escenario2!BN302)</f>
        <v>4.511342983110711E-2</v>
      </c>
      <c r="BF302" s="151"/>
    </row>
    <row r="303" spans="25:58">
      <c r="Y303" s="152"/>
      <c r="Z303" s="183">
        <f>(LíneaBase!C304-0.44)/(MAX(LíneaBase!C:C)+0.12)*100</f>
        <v>40.754944392702569</v>
      </c>
      <c r="AA303" s="184"/>
      <c r="AB303" s="182">
        <f>LíneaBase!L482</f>
        <v>0.85710960364025446</v>
      </c>
      <c r="AC303" s="184"/>
      <c r="AD303" s="182">
        <f>Escenario1!BN498</f>
        <v>0.93702977566583023</v>
      </c>
      <c r="AE303" s="184"/>
      <c r="AF303" s="182">
        <f>Escenario2!BN46</f>
        <v>0.89501730127924783</v>
      </c>
      <c r="AG303" s="184"/>
      <c r="AH303" s="182">
        <f>LíneaBase!N218</f>
        <v>0</v>
      </c>
      <c r="AI303" s="184"/>
      <c r="AJ303" s="182">
        <f>Escenario1!BP216</f>
        <v>0</v>
      </c>
      <c r="AK303" s="184"/>
      <c r="AL303" s="182">
        <f>Escenario2!BP218</f>
        <v>0</v>
      </c>
      <c r="AM303" s="151"/>
      <c r="BA303" s="152"/>
      <c r="BB303" s="75">
        <v>298</v>
      </c>
      <c r="BC303" s="190">
        <f>ABS(LíneaBase!L304-LíneaBase!L303)</f>
        <v>0.1580806437392176</v>
      </c>
      <c r="BD303" s="190">
        <f>ABS(Escenario1!BN304-Escenario1!BN303)</f>
        <v>8.390035952839292E-2</v>
      </c>
      <c r="BE303" s="190">
        <f>ABS(Escenario2!BN304-Escenario2!BN303)</f>
        <v>7.6077038498070682E-2</v>
      </c>
      <c r="BF303" s="151"/>
    </row>
    <row r="304" spans="25:58">
      <c r="Y304" s="152"/>
      <c r="Z304" s="183">
        <f>(LíneaBase!C305-0.44)/(MAX(LíneaBase!C:C)+0.12)*100</f>
        <v>40.891908179477348</v>
      </c>
      <c r="AA304" s="184"/>
      <c r="AB304" s="182">
        <f>LíneaBase!L115</f>
        <v>0.85608879451715103</v>
      </c>
      <c r="AC304" s="184"/>
      <c r="AD304" s="182">
        <f>Escenario1!BN128</f>
        <v>0.93668932062912635</v>
      </c>
      <c r="AE304" s="184"/>
      <c r="AF304" s="182">
        <f>Escenario2!BN502</f>
        <v>0.89309741749734295</v>
      </c>
      <c r="AG304" s="184"/>
      <c r="AH304" s="182">
        <f>LíneaBase!N219</f>
        <v>0</v>
      </c>
      <c r="AI304" s="184"/>
      <c r="AJ304" s="182">
        <f>Escenario1!BP217</f>
        <v>0</v>
      </c>
      <c r="AK304" s="184"/>
      <c r="AL304" s="182">
        <f>Escenario2!BP219</f>
        <v>0</v>
      </c>
      <c r="AM304" s="151"/>
      <c r="BA304" s="152"/>
      <c r="BB304" s="75">
        <v>299</v>
      </c>
      <c r="BC304" s="190">
        <f>ABS(LíneaBase!L305-LíneaBase!L304)</f>
        <v>0.10881725482136018</v>
      </c>
      <c r="BD304" s="190">
        <f>ABS(Escenario1!BN305-Escenario1!BN304)</f>
        <v>4.4135376059807996E-2</v>
      </c>
      <c r="BE304" s="190">
        <f>ABS(Escenario2!BN305-Escenario2!BN304)</f>
        <v>5.1930714465320382E-2</v>
      </c>
      <c r="BF304" s="151"/>
    </row>
    <row r="305" spans="25:58">
      <c r="Y305" s="152"/>
      <c r="Z305" s="183">
        <f>(LíneaBase!C306-0.44)/(MAX(LíneaBase!C:C)+0.12)*100</f>
        <v>41.028871966252126</v>
      </c>
      <c r="AA305" s="184"/>
      <c r="AB305" s="182">
        <f>LíneaBase!L483</f>
        <v>0.85265664530141094</v>
      </c>
      <c r="AC305" s="184"/>
      <c r="AD305" s="182">
        <f>Escenario1!BN697</f>
        <v>0.93432195902159232</v>
      </c>
      <c r="AE305" s="184"/>
      <c r="AF305" s="182">
        <f>Escenario2!BN161</f>
        <v>0.89134945577421287</v>
      </c>
      <c r="AG305" s="184"/>
      <c r="AH305" s="182">
        <f>LíneaBase!N220</f>
        <v>0</v>
      </c>
      <c r="AI305" s="184"/>
      <c r="AJ305" s="182">
        <f>Escenario1!BP218</f>
        <v>0</v>
      </c>
      <c r="AK305" s="184"/>
      <c r="AL305" s="182">
        <f>Escenario2!BP220</f>
        <v>0</v>
      </c>
      <c r="AM305" s="151"/>
      <c r="BA305" s="152"/>
      <c r="BB305" s="75">
        <v>300</v>
      </c>
      <c r="BC305" s="190">
        <f>ABS(LíneaBase!L306-LíneaBase!L305)</f>
        <v>9.5332770011610335E-2</v>
      </c>
      <c r="BD305" s="190">
        <f>ABS(Escenario1!BN306-Escenario1!BN305)</f>
        <v>8.6733265127933667E-2</v>
      </c>
      <c r="BE305" s="190">
        <f>ABS(Escenario2!BN306-Escenario2!BN305)</f>
        <v>9.4527165036280336E-2</v>
      </c>
      <c r="BF305" s="151"/>
    </row>
    <row r="306" spans="25:58">
      <c r="Y306" s="152"/>
      <c r="Z306" s="183">
        <f>(LíneaBase!C307-0.44)/(MAX(LíneaBase!C:C)+0.12)*100</f>
        <v>41.165835753026897</v>
      </c>
      <c r="AA306" s="184"/>
      <c r="AB306" s="182">
        <f>LíneaBase!L126</f>
        <v>0.84920747135622654</v>
      </c>
      <c r="AC306" s="184"/>
      <c r="AD306" s="182">
        <f>Escenario1!BN499</f>
        <v>0.92797643514332362</v>
      </c>
      <c r="AE306" s="184"/>
      <c r="AF306" s="182">
        <f>Escenario2!BN133</f>
        <v>0.8872095275676134</v>
      </c>
      <c r="AG306" s="184"/>
      <c r="AH306" s="182">
        <f>LíneaBase!N221</f>
        <v>0</v>
      </c>
      <c r="AI306" s="184"/>
      <c r="AJ306" s="182">
        <f>Escenario1!BP219</f>
        <v>0</v>
      </c>
      <c r="AK306" s="184"/>
      <c r="AL306" s="182">
        <f>Escenario2!BP221</f>
        <v>0</v>
      </c>
      <c r="AM306" s="151"/>
      <c r="BA306" s="152"/>
      <c r="BB306" s="75">
        <v>301</v>
      </c>
      <c r="BC306" s="190">
        <f>ABS(LíneaBase!L307-LíneaBase!L306)</f>
        <v>5.6848691310861232E-2</v>
      </c>
      <c r="BD306" s="190">
        <f>ABS(Escenario1!BN307-Escenario1!BN306)</f>
        <v>5.2772514294282202E-2</v>
      </c>
      <c r="BE306" s="190">
        <f>ABS(Escenario2!BN307-Escenario2!BN306)</f>
        <v>6.0652258219763167E-2</v>
      </c>
      <c r="BF306" s="151"/>
    </row>
    <row r="307" spans="25:58">
      <c r="Y307" s="152"/>
      <c r="Z307" s="183">
        <f>(LíneaBase!C308-0.44)/(MAX(LíneaBase!C:C)+0.12)*100</f>
        <v>41.302799539801676</v>
      </c>
      <c r="AA307" s="184"/>
      <c r="AB307" s="182">
        <f>LíneaBase!L116</f>
        <v>0.84419270653941114</v>
      </c>
      <c r="AC307" s="184"/>
      <c r="AD307" s="182">
        <f>Escenario1!BN43</f>
        <v>0.92726993095489285</v>
      </c>
      <c r="AE307" s="184"/>
      <c r="AF307" s="182">
        <f>Escenario2!BN503</f>
        <v>0.8836439943654274</v>
      </c>
      <c r="AG307" s="184"/>
      <c r="AH307" s="182">
        <f>LíneaBase!N222</f>
        <v>0</v>
      </c>
      <c r="AI307" s="184"/>
      <c r="AJ307" s="182">
        <f>Escenario1!BP220</f>
        <v>0</v>
      </c>
      <c r="AK307" s="184"/>
      <c r="AL307" s="182">
        <f>Escenario2!BP222</f>
        <v>0</v>
      </c>
      <c r="AM307" s="151"/>
      <c r="BA307" s="152"/>
      <c r="BB307" s="75">
        <v>302</v>
      </c>
      <c r="BC307" s="190">
        <f>ABS(LíneaBase!L308-LíneaBase!L307)</f>
        <v>0.1024832689157531</v>
      </c>
      <c r="BD307" s="190">
        <f>ABS(Escenario1!BN308-Escenario1!BN307)</f>
        <v>9.2850958238934189E-2</v>
      </c>
      <c r="BE307" s="190">
        <f>ABS(Escenario2!BN308-Escenario2!BN307)</f>
        <v>0.10043551399532746</v>
      </c>
      <c r="BF307" s="151"/>
    </row>
    <row r="308" spans="25:58">
      <c r="Y308" s="152"/>
      <c r="Z308" s="183">
        <f>(LíneaBase!C309-0.44)/(MAX(LíneaBase!C:C)+0.12)*100</f>
        <v>41.439763326576454</v>
      </c>
      <c r="AA308" s="184"/>
      <c r="AB308" s="182">
        <f>LíneaBase!L704</f>
        <v>0.84097329751864902</v>
      </c>
      <c r="AC308" s="184"/>
      <c r="AD308" s="182">
        <f>Escenario1!BN332</f>
        <v>0.92692185311962561</v>
      </c>
      <c r="AE308" s="184"/>
      <c r="AF308" s="182">
        <f>Escenario2!BN668</f>
        <v>0.8802526432984964</v>
      </c>
      <c r="AG308" s="184"/>
      <c r="AH308" s="182">
        <f>LíneaBase!N223</f>
        <v>0</v>
      </c>
      <c r="AI308" s="184"/>
      <c r="AJ308" s="182">
        <f>Escenario1!BP221</f>
        <v>0</v>
      </c>
      <c r="AK308" s="184"/>
      <c r="AL308" s="182">
        <f>Escenario2!BP223</f>
        <v>0</v>
      </c>
      <c r="AM308" s="151"/>
      <c r="BA308" s="152"/>
      <c r="BB308" s="75">
        <v>303</v>
      </c>
      <c r="BC308" s="190">
        <f>ABS(LíneaBase!L309-LíneaBase!L308)</f>
        <v>1.1737894847598462E-2</v>
      </c>
      <c r="BD308" s="190">
        <f>ABS(Escenario1!BN309-Escenario1!BN308)</f>
        <v>1.2929703887365029E-2</v>
      </c>
      <c r="BE308" s="190">
        <f>ABS(Escenario2!BN309-Escenario2!BN308)</f>
        <v>1.9908022828663774E-2</v>
      </c>
      <c r="BF308" s="151"/>
    </row>
    <row r="309" spans="25:58">
      <c r="Y309" s="152"/>
      <c r="Z309" s="183">
        <f>(LíneaBase!C310-0.44)/(MAX(LíneaBase!C:C)+0.12)*100</f>
        <v>41.576727113351232</v>
      </c>
      <c r="AA309" s="184"/>
      <c r="AB309" s="182">
        <f>LíneaBase!L484</f>
        <v>0.84087032761571956</v>
      </c>
      <c r="AC309" s="184"/>
      <c r="AD309" s="182">
        <f>Escenario1!BN161</f>
        <v>0.92576405177375154</v>
      </c>
      <c r="AE309" s="184"/>
      <c r="AF309" s="182">
        <f>Escenario2!BN134</f>
        <v>0.87788522879438669</v>
      </c>
      <c r="AG309" s="184"/>
      <c r="AH309" s="182">
        <f>LíneaBase!N224</f>
        <v>0</v>
      </c>
      <c r="AI309" s="184"/>
      <c r="AJ309" s="182">
        <f>Escenario1!BP222</f>
        <v>0</v>
      </c>
      <c r="AK309" s="184"/>
      <c r="AL309" s="182">
        <f>Escenario2!BP224</f>
        <v>0</v>
      </c>
      <c r="AM309" s="151"/>
      <c r="BA309" s="152"/>
      <c r="BB309" s="75">
        <v>304</v>
      </c>
      <c r="BC309" s="190">
        <f>ABS(LíneaBase!L310-LíneaBase!L309)</f>
        <v>9.7735391607075561E-2</v>
      </c>
      <c r="BD309" s="190">
        <f>ABS(Escenario1!BN310-Escenario1!BN309)</f>
        <v>8.8523868047771126E-2</v>
      </c>
      <c r="BE309" s="190">
        <f>ABS(Escenario2!BN310-Escenario2!BN309)</f>
        <v>9.5458418983990434E-2</v>
      </c>
      <c r="BF309" s="151"/>
    </row>
    <row r="310" spans="25:58">
      <c r="Y310" s="152"/>
      <c r="Z310" s="183">
        <f>(LíneaBase!C311-0.44)/(MAX(LíneaBase!C:C)+0.12)*100</f>
        <v>41.713690900126004</v>
      </c>
      <c r="AA310" s="184"/>
      <c r="AB310" s="182">
        <f>LíneaBase!L339</f>
        <v>0.83855257634354752</v>
      </c>
      <c r="AC310" s="184"/>
      <c r="AD310" s="182">
        <f>Escenario1!BN129</f>
        <v>0.92094004825952025</v>
      </c>
      <c r="AE310" s="184"/>
      <c r="AF310" s="182">
        <f>Escenario2!BN504</f>
        <v>0.87431598772794195</v>
      </c>
      <c r="AG310" s="184"/>
      <c r="AH310" s="182">
        <f>LíneaBase!N225</f>
        <v>0</v>
      </c>
      <c r="AI310" s="184"/>
      <c r="AJ310" s="182">
        <f>Escenario1!BP223</f>
        <v>0</v>
      </c>
      <c r="AK310" s="184"/>
      <c r="AL310" s="182">
        <f>Escenario2!BP225</f>
        <v>0</v>
      </c>
      <c r="AM310" s="151"/>
      <c r="BA310" s="152"/>
      <c r="BB310" s="75">
        <v>305</v>
      </c>
      <c r="BC310" s="190">
        <f>ABS(LíneaBase!L311-LíneaBase!L310)</f>
        <v>8.0269373969459989E-2</v>
      </c>
      <c r="BD310" s="190">
        <f>ABS(Escenario1!BN311-Escenario1!BN310)</f>
        <v>7.3084805530262087E-2</v>
      </c>
      <c r="BE310" s="190">
        <f>ABS(Escenario2!BN311-Escenario2!BN310)</f>
        <v>7.9691174675859233E-2</v>
      </c>
      <c r="BF310" s="151"/>
    </row>
    <row r="311" spans="25:58">
      <c r="Y311" s="152"/>
      <c r="Z311" s="183">
        <f>(LíneaBase!C312-0.44)/(MAX(LíneaBase!C:C)+0.12)*100</f>
        <v>41.850654686900782</v>
      </c>
      <c r="AA311" s="184"/>
      <c r="AB311" s="182">
        <f>LíneaBase!L117</f>
        <v>0.83530039545029089</v>
      </c>
      <c r="AC311" s="184"/>
      <c r="AD311" s="182">
        <f>Escenario1!BN500</f>
        <v>0.9197579869540472</v>
      </c>
      <c r="AE311" s="184"/>
      <c r="AF311" s="182">
        <f>Escenario2!BN303</f>
        <v>0.87370902658973792</v>
      </c>
      <c r="AG311" s="184"/>
      <c r="AH311" s="182">
        <f>LíneaBase!N226</f>
        <v>0</v>
      </c>
      <c r="AI311" s="184"/>
      <c r="AJ311" s="182">
        <f>Escenario1!BP224</f>
        <v>0</v>
      </c>
      <c r="AK311" s="184"/>
      <c r="AL311" s="182">
        <f>Escenario2!BP226</f>
        <v>0</v>
      </c>
      <c r="AM311" s="151"/>
      <c r="BA311" s="152"/>
      <c r="BB311" s="75">
        <v>306</v>
      </c>
      <c r="BC311" s="190">
        <f>ABS(LíneaBase!L312-LíneaBase!L311)</f>
        <v>1.6464819521128771E-2</v>
      </c>
      <c r="BD311" s="190">
        <f>ABS(Escenario1!BN312-Escenario1!BN311)</f>
        <v>1.6865695269584813E-2</v>
      </c>
      <c r="BE311" s="190">
        <f>ABS(Escenario2!BN312-Escenario2!BN311)</f>
        <v>2.3277779443513003E-2</v>
      </c>
      <c r="BF311" s="151"/>
    </row>
    <row r="312" spans="25:58">
      <c r="Y312" s="152"/>
      <c r="Z312" s="183">
        <f>(LíneaBase!C313-0.44)/(MAX(LíneaBase!C:C)+0.12)*100</f>
        <v>41.98761847367556</v>
      </c>
      <c r="AA312" s="184"/>
      <c r="AB312" s="182">
        <f>LíneaBase!L485</f>
        <v>0.83202335599787203</v>
      </c>
      <c r="AC312" s="184"/>
      <c r="AD312" s="182">
        <f>Escenario1!BN695</f>
        <v>0.91954933694659868</v>
      </c>
      <c r="AE312" s="184"/>
      <c r="AF312" s="182">
        <f>Escenario2!BN135</f>
        <v>0.86986087850208893</v>
      </c>
      <c r="AG312" s="184"/>
      <c r="AH312" s="182">
        <f>LíneaBase!N227</f>
        <v>0</v>
      </c>
      <c r="AI312" s="184"/>
      <c r="AJ312" s="182">
        <f>Escenario1!BP225</f>
        <v>0</v>
      </c>
      <c r="AK312" s="184"/>
      <c r="AL312" s="182">
        <f>Escenario2!BP227</f>
        <v>0</v>
      </c>
      <c r="AM312" s="151"/>
      <c r="BA312" s="152"/>
      <c r="BB312" s="75">
        <v>307</v>
      </c>
      <c r="BC312" s="190">
        <f>ABS(LíneaBase!L313-LíneaBase!L312)</f>
        <v>9.154149204351264E-2</v>
      </c>
      <c r="BD312" s="190">
        <f>ABS(Escenario1!BN313-Escenario1!BN312)</f>
        <v>8.2859812211174222E-2</v>
      </c>
      <c r="BE312" s="190">
        <f>ABS(Escenario2!BN313-Escenario2!BN312)</f>
        <v>8.9159633736249799E-2</v>
      </c>
      <c r="BF312" s="151"/>
    </row>
    <row r="313" spans="25:58">
      <c r="Y313" s="152"/>
      <c r="Z313" s="183">
        <f>(LíneaBase!C314-0.44)/(MAX(LíneaBase!C:C)+0.12)*100</f>
        <v>42.124582260450339</v>
      </c>
      <c r="AA313" s="184"/>
      <c r="AB313" s="182">
        <f>LíneaBase!L118</f>
        <v>0.83106232843429184</v>
      </c>
      <c r="AC313" s="184"/>
      <c r="AD313" s="182">
        <f>Escenario1!BN672</f>
        <v>0.91542159670700007</v>
      </c>
      <c r="AE313" s="184"/>
      <c r="AF313" s="182">
        <f>Escenario2!BN505</f>
        <v>0.86509308528242546</v>
      </c>
      <c r="AG313" s="184"/>
      <c r="AH313" s="182">
        <f>LíneaBase!N228</f>
        <v>0</v>
      </c>
      <c r="AI313" s="184"/>
      <c r="AJ313" s="182">
        <f>Escenario1!BP226</f>
        <v>0</v>
      </c>
      <c r="AK313" s="184"/>
      <c r="AL313" s="182">
        <f>Escenario2!BP228</f>
        <v>0</v>
      </c>
      <c r="AM313" s="151"/>
      <c r="BA313" s="152"/>
      <c r="BB313" s="75">
        <v>308</v>
      </c>
      <c r="BC313" s="190">
        <f>ABS(LíneaBase!L314-LíneaBase!L313)</f>
        <v>1.1987715161140833E-3</v>
      </c>
      <c r="BD313" s="190">
        <f>ABS(Escenario1!BN314-Escenario1!BN313)</f>
        <v>1.1891969699823202E-3</v>
      </c>
      <c r="BE313" s="190">
        <f>ABS(Escenario2!BN314-Escenario2!BN313)</f>
        <v>7.0944185372803781E-3</v>
      </c>
      <c r="BF313" s="151"/>
    </row>
    <row r="314" spans="25:58">
      <c r="Y314" s="152"/>
      <c r="Z314" s="183">
        <f>(LíneaBase!C315-0.44)/(MAX(LíneaBase!C:C)+0.12)*100</f>
        <v>42.26154604722511</v>
      </c>
      <c r="AA314" s="184"/>
      <c r="AB314" s="182">
        <f>LíneaBase!L486</f>
        <v>0.82373202924519262</v>
      </c>
      <c r="AC314" s="184"/>
      <c r="AD314" s="182">
        <f>Escenario1!BN527</f>
        <v>0.91237593886131774</v>
      </c>
      <c r="AE314" s="184"/>
      <c r="AF314" s="182">
        <f>Escenario2!BN527</f>
        <v>0.86351607238622408</v>
      </c>
      <c r="AG314" s="184"/>
      <c r="AH314" s="182">
        <f>LíneaBase!N229</f>
        <v>0</v>
      </c>
      <c r="AI314" s="184"/>
      <c r="AJ314" s="182">
        <f>Escenario1!BP227</f>
        <v>0</v>
      </c>
      <c r="AK314" s="184"/>
      <c r="AL314" s="182">
        <f>Escenario2!BP229</f>
        <v>0</v>
      </c>
      <c r="AM314" s="151"/>
      <c r="BA314" s="152"/>
      <c r="BB314" s="75">
        <v>309</v>
      </c>
      <c r="BC314" s="190">
        <f>ABS(LíneaBase!L315-LíneaBase!L314)</f>
        <v>5.2076317075676892E-2</v>
      </c>
      <c r="BD314" s="190">
        <f>ABS(Escenario1!BN315-Escenario1!BN314)</f>
        <v>4.79939266037126E-2</v>
      </c>
      <c r="BE314" s="190">
        <f>ABS(Escenario2!BN315-Escenario2!BN314)</f>
        <v>5.4037459968481694E-2</v>
      </c>
      <c r="BF314" s="151"/>
    </row>
    <row r="315" spans="25:58">
      <c r="Y315" s="152"/>
      <c r="Z315" s="183">
        <f>(LíneaBase!C316-0.44)/(MAX(LíneaBase!C:C)+0.12)*100</f>
        <v>42.398509833999896</v>
      </c>
      <c r="AA315" s="184"/>
      <c r="AB315" s="182">
        <f>LíneaBase!L119</f>
        <v>0.81948878469605779</v>
      </c>
      <c r="AC315" s="184"/>
      <c r="AD315" s="182">
        <f>Escenario1!BN330</f>
        <v>0.91200125135924504</v>
      </c>
      <c r="AE315" s="184"/>
      <c r="AF315" s="182">
        <f>Escenario2!BN136</f>
        <v>0.85973707642173025</v>
      </c>
      <c r="AG315" s="184"/>
      <c r="AH315" s="182">
        <f>LíneaBase!N230</f>
        <v>0</v>
      </c>
      <c r="AI315" s="184"/>
      <c r="AJ315" s="182">
        <f>Escenario1!BP228</f>
        <v>0</v>
      </c>
      <c r="AK315" s="184"/>
      <c r="AL315" s="182">
        <f>Escenario2!BP230</f>
        <v>0</v>
      </c>
      <c r="AM315" s="151"/>
      <c r="BA315" s="152"/>
      <c r="BB315" s="75">
        <v>310</v>
      </c>
      <c r="BC315" s="190">
        <f>ABS(LíneaBase!L316-LíneaBase!L315)</f>
        <v>8.3529817293173825E-2</v>
      </c>
      <c r="BD315" s="190">
        <f>ABS(Escenario1!BN316-Escenario1!BN315)</f>
        <v>7.5616247976377615E-2</v>
      </c>
      <c r="BE315" s="190">
        <f>ABS(Escenario2!BN316-Escenario2!BN315)</f>
        <v>8.131147783199083E-2</v>
      </c>
      <c r="BF315" s="151"/>
    </row>
    <row r="316" spans="25:58">
      <c r="Y316" s="152"/>
      <c r="Z316" s="183">
        <f>(LíneaBase!C317-0.44)/(MAX(LíneaBase!C:C)+0.12)*100</f>
        <v>42.535473620774667</v>
      </c>
      <c r="AA316" s="184"/>
      <c r="AB316" s="182">
        <f>LíneaBase!L526</f>
        <v>0.81638993515393232</v>
      </c>
      <c r="AC316" s="184"/>
      <c r="AD316" s="182">
        <f>Escenario1!BN130</f>
        <v>0.91116913401404431</v>
      </c>
      <c r="AE316" s="184"/>
      <c r="AF316" s="182">
        <f>Escenario2!BN659</f>
        <v>0.85951089229018751</v>
      </c>
      <c r="AG316" s="184"/>
      <c r="AH316" s="182">
        <f>LíneaBase!N231</f>
        <v>0</v>
      </c>
      <c r="AI316" s="184"/>
      <c r="AJ316" s="182">
        <f>Escenario1!BP229</f>
        <v>0</v>
      </c>
      <c r="AK316" s="184"/>
      <c r="AL316" s="182">
        <f>Escenario2!BP231</f>
        <v>0</v>
      </c>
      <c r="AM316" s="151"/>
      <c r="BA316" s="152"/>
      <c r="BB316" s="75">
        <v>311</v>
      </c>
      <c r="BC316" s="190">
        <f>ABS(LíneaBase!L317-LíneaBase!L316)</f>
        <v>1.5657349548054034E-2</v>
      </c>
      <c r="BD316" s="190">
        <f>ABS(Escenario1!BN317-Escenario1!BN316)</f>
        <v>1.5831660427711336E-2</v>
      </c>
      <c r="BE316" s="190">
        <f>ABS(Escenario2!BN317-Escenario2!BN316)</f>
        <v>2.1274611122019726E-2</v>
      </c>
      <c r="BF316" s="151"/>
    </row>
    <row r="317" spans="25:58">
      <c r="Y317" s="152"/>
      <c r="Z317" s="183">
        <f>(LíneaBase!C318-0.44)/(MAX(LíneaBase!C:C)+0.12)*100</f>
        <v>42.672437407549445</v>
      </c>
      <c r="AA317" s="184"/>
      <c r="AB317" s="182">
        <f>LíneaBase!L120</f>
        <v>0.81085249051328423</v>
      </c>
      <c r="AC317" s="184"/>
      <c r="AD317" s="182">
        <f>Escenario1!BN501</f>
        <v>0.91012841708231673</v>
      </c>
      <c r="AE317" s="184"/>
      <c r="AF317" s="182">
        <f>Escenario2!BN506</f>
        <v>0.85597096610853174</v>
      </c>
      <c r="AG317" s="184"/>
      <c r="AH317" s="182">
        <f>LíneaBase!N232</f>
        <v>0</v>
      </c>
      <c r="AI317" s="184"/>
      <c r="AJ317" s="182">
        <f>Escenario1!BP230</f>
        <v>0</v>
      </c>
      <c r="AK317" s="184"/>
      <c r="AL317" s="182">
        <f>Escenario2!BP232</f>
        <v>0</v>
      </c>
      <c r="AM317" s="151"/>
      <c r="BA317" s="152"/>
      <c r="BB317" s="75">
        <v>312</v>
      </c>
      <c r="BC317" s="190">
        <f>ABS(LíneaBase!L318-LíneaBase!L317)</f>
        <v>8.3323171341797508E-2</v>
      </c>
      <c r="BD317" s="190">
        <f>ABS(Escenario1!BN318-Escenario1!BN317)</f>
        <v>7.5318259224800843E-2</v>
      </c>
      <c r="BE317" s="190">
        <f>ABS(Escenario2!BN318-Escenario2!BN317)</f>
        <v>2.8711423039600836E-2</v>
      </c>
      <c r="BF317" s="151"/>
    </row>
    <row r="318" spans="25:58">
      <c r="Y318" s="152"/>
      <c r="Z318" s="183">
        <f>(LíneaBase!C319-0.44)/(MAX(LíneaBase!C:C)+0.12)*100</f>
        <v>42.809401194324224</v>
      </c>
      <c r="AA318" s="184"/>
      <c r="AB318" s="182">
        <f>LíneaBase!L698</f>
        <v>0.80733663688873103</v>
      </c>
      <c r="AC318" s="184"/>
      <c r="AD318" s="182">
        <f>Escenario1!BN307</f>
        <v>0.90594363675255463</v>
      </c>
      <c r="AE318" s="184"/>
      <c r="AF318" s="182">
        <f>Escenario2!BN294</f>
        <v>0.85229488620354721</v>
      </c>
      <c r="AG318" s="184"/>
      <c r="AH318" s="182">
        <f>LíneaBase!N233</f>
        <v>0</v>
      </c>
      <c r="AI318" s="184"/>
      <c r="AJ318" s="182">
        <f>Escenario1!BP231</f>
        <v>0</v>
      </c>
      <c r="AK318" s="184"/>
      <c r="AL318" s="182">
        <f>Escenario2!BP233</f>
        <v>0</v>
      </c>
      <c r="AM318" s="151"/>
      <c r="BA318" s="152"/>
      <c r="BB318" s="75">
        <v>313</v>
      </c>
      <c r="BC318" s="190">
        <f>ABS(LíneaBase!L319-LíneaBase!L318)</f>
        <v>6.7691760636537868E-2</v>
      </c>
      <c r="BD318" s="190">
        <f>ABS(Escenario1!BN319-Escenario1!BN318)</f>
        <v>6.1503540355172137E-2</v>
      </c>
      <c r="BE318" s="190">
        <f>ABS(Escenario2!BN319-Escenario2!BN318)</f>
        <v>3.5168430918861016E-3</v>
      </c>
      <c r="BF318" s="151"/>
    </row>
    <row r="319" spans="25:58">
      <c r="Y319" s="152"/>
      <c r="Z319" s="183">
        <f>(LíneaBase!C320-0.44)/(MAX(LíneaBase!C:C)+0.12)*100</f>
        <v>42.946364981099002</v>
      </c>
      <c r="AA319" s="184"/>
      <c r="AB319" s="182">
        <f>LíneaBase!L492</f>
        <v>0.80487330451753147</v>
      </c>
      <c r="AC319" s="184"/>
      <c r="AD319" s="182">
        <f>Escenario1!BN659</f>
        <v>0.90583237109021719</v>
      </c>
      <c r="AE319" s="184"/>
      <c r="AF319" s="182">
        <f>Escenario2!BN137</f>
        <v>0.85054593378367027</v>
      </c>
      <c r="AG319" s="184"/>
      <c r="AH319" s="182">
        <f>LíneaBase!N234</f>
        <v>0</v>
      </c>
      <c r="AI319" s="184"/>
      <c r="AJ319" s="182">
        <f>Escenario1!BP232</f>
        <v>0</v>
      </c>
      <c r="AK319" s="184"/>
      <c r="AL319" s="182">
        <f>Escenario2!BP234</f>
        <v>0</v>
      </c>
      <c r="AM319" s="151"/>
      <c r="BA319" s="152"/>
      <c r="BB319" s="75">
        <v>314</v>
      </c>
      <c r="BC319" s="190">
        <f>ABS(LíneaBase!L320-LíneaBase!L319)</f>
        <v>6.1440912283654281E-2</v>
      </c>
      <c r="BD319" s="190">
        <f>ABS(Escenario1!BN320-Escenario1!BN319)</f>
        <v>7.0534112701536061E-2</v>
      </c>
      <c r="BE319" s="190">
        <f>ABS(Escenario2!BN320-Escenario2!BN319)</f>
        <v>4.120545947387505E-3</v>
      </c>
      <c r="BF319" s="151"/>
    </row>
    <row r="320" spans="25:58">
      <c r="Y320" s="152"/>
      <c r="Z320" s="183">
        <f>(LíneaBase!C321-0.44)/(MAX(LíneaBase!C:C)+0.12)*100</f>
        <v>43.083328767873773</v>
      </c>
      <c r="AA320" s="184"/>
      <c r="AB320" s="182">
        <f>LíneaBase!L333</f>
        <v>0.80476773605185459</v>
      </c>
      <c r="AC320" s="184"/>
      <c r="AD320" s="182">
        <f>Escenario1!BN131</f>
        <v>0.90236948067771661</v>
      </c>
      <c r="AE320" s="184"/>
      <c r="AF320" s="182">
        <f>Escenario2!BN507</f>
        <v>0.84694797403275002</v>
      </c>
      <c r="AG320" s="184"/>
      <c r="AH320" s="182">
        <f>LíneaBase!N235</f>
        <v>0</v>
      </c>
      <c r="AI320" s="184"/>
      <c r="AJ320" s="182">
        <f>Escenario1!BP233</f>
        <v>0</v>
      </c>
      <c r="AK320" s="184"/>
      <c r="AL320" s="182">
        <f>Escenario2!BP235</f>
        <v>0</v>
      </c>
      <c r="AM320" s="151"/>
      <c r="BA320" s="152"/>
      <c r="BB320" s="75">
        <v>315</v>
      </c>
      <c r="BC320" s="190">
        <f>ABS(LíneaBase!L321-LíneaBase!L320)</f>
        <v>1.1113005564878722E-2</v>
      </c>
      <c r="BD320" s="190">
        <f>ABS(Escenario1!BN321-Escenario1!BN320)</f>
        <v>3.4130961578980157E-2</v>
      </c>
      <c r="BE320" s="190">
        <f>ABS(Escenario2!BN321-Escenario2!BN320)</f>
        <v>1.8109962907509047E-3</v>
      </c>
      <c r="BF320" s="151"/>
    </row>
    <row r="321" spans="25:58">
      <c r="Y321" s="152"/>
      <c r="Z321" s="183">
        <f>(LíneaBase!C322-0.44)/(MAX(LíneaBase!C:C)+0.12)*100</f>
        <v>43.220292554648552</v>
      </c>
      <c r="AA321" s="184"/>
      <c r="AB321" s="182">
        <f>LíneaBase!L121</f>
        <v>0.80276976534073163</v>
      </c>
      <c r="AC321" s="184"/>
      <c r="AD321" s="182">
        <f>Escenario1!BN502</f>
        <v>0.90133207139344051</v>
      </c>
      <c r="AE321" s="184"/>
      <c r="AF321" s="182">
        <f>Escenario2!BN138</f>
        <v>0.84159062918913985</v>
      </c>
      <c r="AG321" s="184"/>
      <c r="AH321" s="182">
        <f>LíneaBase!N236</f>
        <v>0</v>
      </c>
      <c r="AI321" s="184"/>
      <c r="AJ321" s="182">
        <f>Escenario1!BP234</f>
        <v>0</v>
      </c>
      <c r="AK321" s="184"/>
      <c r="AL321" s="182">
        <f>Escenario2!BP236</f>
        <v>0</v>
      </c>
      <c r="AM321" s="151"/>
      <c r="BA321" s="152"/>
      <c r="BB321" s="75">
        <v>316</v>
      </c>
      <c r="BC321" s="190">
        <f>ABS(LíneaBase!L322-LíneaBase!L321)</f>
        <v>2.7527349073020735E-3</v>
      </c>
      <c r="BD321" s="190">
        <f>ABS(Escenario1!BN322-Escenario1!BN321)</f>
        <v>6.8543263513466401E-3</v>
      </c>
      <c r="BE321" s="190">
        <f>ABS(Escenario2!BN322-Escenario2!BN321)</f>
        <v>1.4162358218586801E-3</v>
      </c>
      <c r="BF321" s="151"/>
    </row>
    <row r="322" spans="25:58">
      <c r="Y322" s="152"/>
      <c r="Z322" s="183">
        <f>(LíneaBase!C323-0.44)/(MAX(LíneaBase!C:C)+0.12)*100</f>
        <v>43.35725634142333</v>
      </c>
      <c r="AA322" s="184"/>
      <c r="AB322" s="182">
        <f>LíneaBase!L161</f>
        <v>0.80228337764042057</v>
      </c>
      <c r="AC322" s="184"/>
      <c r="AD322" s="182">
        <f>Escenario1!BN294</f>
        <v>0.89505290644560642</v>
      </c>
      <c r="AE322" s="184"/>
      <c r="AF322" s="182">
        <f>Escenario2!BN508</f>
        <v>0.83802290611716435</v>
      </c>
      <c r="AG322" s="184"/>
      <c r="AH322" s="182">
        <f>LíneaBase!N237</f>
        <v>0</v>
      </c>
      <c r="AI322" s="184"/>
      <c r="AJ322" s="182">
        <f>Escenario1!BP235</f>
        <v>0</v>
      </c>
      <c r="AK322" s="184"/>
      <c r="AL322" s="182">
        <f>Escenario2!BP237</f>
        <v>0</v>
      </c>
      <c r="AM322" s="151"/>
      <c r="BA322" s="152"/>
      <c r="BB322" s="75">
        <v>317</v>
      </c>
      <c r="BC322" s="190">
        <f>ABS(LíneaBase!L323-LíneaBase!L322)</f>
        <v>1.4994053306061919E-2</v>
      </c>
      <c r="BD322" s="190">
        <f>ABS(Escenario1!BN323-Escenario1!BN322)</f>
        <v>1.2069148030654703E-2</v>
      </c>
      <c r="BE322" s="190">
        <f>ABS(Escenario2!BN323-Escenario2!BN322)</f>
        <v>1.3049166341999457E-2</v>
      </c>
      <c r="BF322" s="151"/>
    </row>
    <row r="323" spans="25:58">
      <c r="Y323" s="152"/>
      <c r="Z323" s="183">
        <f>(LíneaBase!C324-0.44)/(MAX(LíneaBase!C:C)+0.12)*100</f>
        <v>43.494220128198101</v>
      </c>
      <c r="AA323" s="184"/>
      <c r="AB323" s="182">
        <f>LíneaBase!L573</f>
        <v>0.79086803781243464</v>
      </c>
      <c r="AC323" s="184"/>
      <c r="AD323" s="182">
        <f>Escenario1!BN132</f>
        <v>0.89365374304716627</v>
      </c>
      <c r="AE323" s="184"/>
      <c r="AF323" s="182">
        <f>Escenario2!BN139</f>
        <v>0.83275462778760634</v>
      </c>
      <c r="AG323" s="184"/>
      <c r="AH323" s="182">
        <f>LíneaBase!N238</f>
        <v>0</v>
      </c>
      <c r="AI323" s="184"/>
      <c r="AJ323" s="182">
        <f>Escenario1!BP236</f>
        <v>0</v>
      </c>
      <c r="AK323" s="184"/>
      <c r="AL323" s="182">
        <f>Escenario2!BP238</f>
        <v>0</v>
      </c>
      <c r="AM323" s="151"/>
      <c r="BA323" s="152"/>
      <c r="BB323" s="75">
        <v>318</v>
      </c>
      <c r="BC323" s="190">
        <f>ABS(LíneaBase!L324-LíneaBase!L323)</f>
        <v>1.0665728255908877E-2</v>
      </c>
      <c r="BD323" s="190">
        <f>ABS(Escenario1!BN324-Escenario1!BN323)</f>
        <v>9.9403208575261082E-3</v>
      </c>
      <c r="BE323" s="190">
        <f>ABS(Escenario2!BN324-Escenario2!BN323)</f>
        <v>9.7190797870542467E-3</v>
      </c>
      <c r="BF323" s="151"/>
    </row>
    <row r="324" spans="25:58">
      <c r="Y324" s="152"/>
      <c r="Z324" s="183">
        <f>(LíneaBase!C325-0.44)/(MAX(LíneaBase!C:C)+0.12)*100</f>
        <v>43.63118391497288</v>
      </c>
      <c r="AA324" s="184"/>
      <c r="AB324" s="182">
        <f>LíneaBase!L673</f>
        <v>0.7874532098653455</v>
      </c>
      <c r="AC324" s="184"/>
      <c r="AD324" s="182">
        <f>Escenario1!BN503</f>
        <v>0.89261969331736624</v>
      </c>
      <c r="AE324" s="184"/>
      <c r="AF324" s="182">
        <f>Escenario2!BN162</f>
        <v>0.83175185454215006</v>
      </c>
      <c r="AG324" s="184"/>
      <c r="AH324" s="182">
        <f>LíneaBase!N239</f>
        <v>0</v>
      </c>
      <c r="AI324" s="184"/>
      <c r="AJ324" s="182">
        <f>Escenario1!BP237</f>
        <v>0</v>
      </c>
      <c r="AK324" s="184"/>
      <c r="AL324" s="182">
        <f>Escenario2!BP239</f>
        <v>0</v>
      </c>
      <c r="AM324" s="151"/>
      <c r="BA324" s="152"/>
      <c r="BB324" s="75">
        <v>319</v>
      </c>
      <c r="BC324" s="190">
        <f>ABS(LíneaBase!L325-LíneaBase!L324)</f>
        <v>1.5164957597221587</v>
      </c>
      <c r="BD324" s="190">
        <f>ABS(Escenario1!BN325-Escenario1!BN324)</f>
        <v>0.33655256909940801</v>
      </c>
      <c r="BE324" s="190">
        <f>ABS(Escenario2!BN325-Escenario2!BN324)</f>
        <v>0.32313042948527348</v>
      </c>
      <c r="BF324" s="151"/>
    </row>
    <row r="325" spans="25:58">
      <c r="Y325" s="152"/>
      <c r="Z325" s="183">
        <f>(LíneaBase!C326-0.44)/(MAX(LíneaBase!C:C)+0.12)*100</f>
        <v>43.768147701747658</v>
      </c>
      <c r="AA325" s="184"/>
      <c r="AB325" s="182">
        <f>LíneaBase!L127</f>
        <v>0.78512018856102328</v>
      </c>
      <c r="AC325" s="184"/>
      <c r="AD325" s="182">
        <f>Escenario1!BN700</f>
        <v>0.88699171668032617</v>
      </c>
      <c r="AE325" s="184"/>
      <c r="AF325" s="182">
        <f>Escenario2!BN658</f>
        <v>0.83168245340074376</v>
      </c>
      <c r="AG325" s="184"/>
      <c r="AH325" s="182">
        <f>LíneaBase!N240</f>
        <v>0</v>
      </c>
      <c r="AI325" s="184"/>
      <c r="AJ325" s="182">
        <f>Escenario1!BP238</f>
        <v>0</v>
      </c>
      <c r="AK325" s="184"/>
      <c r="AL325" s="182">
        <f>Escenario2!BP240</f>
        <v>0</v>
      </c>
      <c r="AM325" s="151"/>
      <c r="BA325" s="152"/>
      <c r="BB325" s="75">
        <v>320</v>
      </c>
      <c r="BC325" s="190">
        <f>ABS(LíneaBase!L326-LíneaBase!L325)</f>
        <v>0.51784923282569428</v>
      </c>
      <c r="BD325" s="190">
        <f>ABS(Escenario1!BN326-Escenario1!BN325)</f>
        <v>0.20576004769288275</v>
      </c>
      <c r="BE325" s="190">
        <f>ABS(Escenario2!BN326-Escenario2!BN325)</f>
        <v>0.19373558302169991</v>
      </c>
      <c r="BF325" s="151"/>
    </row>
    <row r="326" spans="25:58">
      <c r="Y326" s="152"/>
      <c r="Z326" s="183">
        <f>(LíneaBase!C327-0.44)/(MAX(LíneaBase!C:C)+0.12)*100</f>
        <v>43.905111488522437</v>
      </c>
      <c r="AA326" s="184"/>
      <c r="AB326" s="182">
        <f>LíneaBase!L308</f>
        <v>0.78416273897606581</v>
      </c>
      <c r="AC326" s="184"/>
      <c r="AD326" s="182">
        <f>Escenario1!BN133</f>
        <v>0.88502114378368124</v>
      </c>
      <c r="AE326" s="184"/>
      <c r="AF326" s="182">
        <f>Escenario2!BN509</f>
        <v>0.82919464555288258</v>
      </c>
      <c r="AG326" s="184"/>
      <c r="AH326" s="182">
        <f>LíneaBase!N241</f>
        <v>0</v>
      </c>
      <c r="AI326" s="184"/>
      <c r="AJ326" s="182">
        <f>Escenario1!BP239</f>
        <v>0</v>
      </c>
      <c r="AK326" s="184"/>
      <c r="AL326" s="182">
        <f>Escenario2!BP241</f>
        <v>0</v>
      </c>
      <c r="AM326" s="151"/>
      <c r="BA326" s="152"/>
      <c r="BB326" s="75">
        <v>321</v>
      </c>
      <c r="BC326" s="190">
        <f>ABS(LíneaBase!L327-LíneaBase!L326)</f>
        <v>0.51520148760705498</v>
      </c>
      <c r="BD326" s="190">
        <f>ABS(Escenario1!BN327-Escenario1!BN326)</f>
        <v>7.2222585135201522E-2</v>
      </c>
      <c r="BE326" s="190">
        <f>ABS(Escenario2!BN327-Escenario2!BN326)</f>
        <v>8.4043314536911717E-2</v>
      </c>
      <c r="BF326" s="151"/>
    </row>
    <row r="327" spans="25:58">
      <c r="Y327" s="152"/>
      <c r="Z327" s="183">
        <f>(LíneaBase!C328-0.44)/(MAX(LíneaBase!C:C)+0.12)*100</f>
        <v>44.042075275297208</v>
      </c>
      <c r="AA327" s="184"/>
      <c r="AB327" s="182">
        <f>LíneaBase!L208</f>
        <v>0.78201074700496942</v>
      </c>
      <c r="AC327" s="184"/>
      <c r="AD327" s="182">
        <f>Escenario1!BN504</f>
        <v>0.88399049775789529</v>
      </c>
      <c r="AE327" s="184"/>
      <c r="AF327" s="182">
        <f>Escenario2!BN695</f>
        <v>0.82915451298497334</v>
      </c>
      <c r="AG327" s="184"/>
      <c r="AH327" s="182">
        <f>LíneaBase!N242</f>
        <v>0</v>
      </c>
      <c r="AI327" s="184"/>
      <c r="AJ327" s="182">
        <f>Escenario1!BP240</f>
        <v>0</v>
      </c>
      <c r="AK327" s="184"/>
      <c r="AL327" s="182">
        <f>Escenario2!BP242</f>
        <v>0</v>
      </c>
      <c r="AM327" s="151"/>
      <c r="BA327" s="152"/>
      <c r="BB327" s="75">
        <v>322</v>
      </c>
      <c r="BC327" s="190">
        <f>ABS(LíneaBase!L328-LíneaBase!L327)</f>
        <v>7.4731536431162149E-2</v>
      </c>
      <c r="BD327" s="190">
        <f>ABS(Escenario1!BN328-Escenario1!BN327)</f>
        <v>6.7620832360658079E-2</v>
      </c>
      <c r="BE327" s="190">
        <f>ABS(Escenario2!BN328-Escenario2!BN327)</f>
        <v>7.9186534445299384E-2</v>
      </c>
      <c r="BF327" s="151"/>
    </row>
    <row r="328" spans="25:58">
      <c r="Y328" s="152"/>
      <c r="Z328" s="183">
        <f>(LíneaBase!C329-0.44)/(MAX(LíneaBase!C:C)+0.12)*100</f>
        <v>44.179039062071993</v>
      </c>
      <c r="AA328" s="184"/>
      <c r="AB328" s="182">
        <f>LíneaBase!L728</f>
        <v>0.77663890114260425</v>
      </c>
      <c r="AC328" s="184"/>
      <c r="AD328" s="182">
        <f>Escenario1!BN704</f>
        <v>0.88244779831044273</v>
      </c>
      <c r="AE328" s="184"/>
      <c r="AF328" s="182">
        <f>Escenario2!BN42</f>
        <v>0.82779545953932065</v>
      </c>
      <c r="AG328" s="184"/>
      <c r="AH328" s="182">
        <f>LíneaBase!N243</f>
        <v>0</v>
      </c>
      <c r="AI328" s="184"/>
      <c r="AJ328" s="182">
        <f>Escenario1!BP241</f>
        <v>0</v>
      </c>
      <c r="AK328" s="184"/>
      <c r="AL328" s="182">
        <f>Escenario2!BP243</f>
        <v>0</v>
      </c>
      <c r="AM328" s="151"/>
      <c r="BA328" s="152"/>
      <c r="BB328" s="75">
        <v>323</v>
      </c>
      <c r="BC328" s="190">
        <f>ABS(LíneaBase!L329-LíneaBase!L328)</f>
        <v>3.7315281639839104E-2</v>
      </c>
      <c r="BD328" s="190">
        <f>ABS(Escenario1!BN329-Escenario1!BN328)</f>
        <v>3.0975562628086539E-2</v>
      </c>
      <c r="BE328" s="190">
        <f>ABS(Escenario2!BN329-Escenario2!BN328)</f>
        <v>2.0434741921185384E-2</v>
      </c>
      <c r="BF328" s="151"/>
    </row>
    <row r="329" spans="25:58">
      <c r="Y329" s="152"/>
      <c r="Z329" s="183">
        <f>(LíneaBase!C330-0.44)/(MAX(LíneaBase!C:C)+0.12)*100</f>
        <v>44.316002848846765</v>
      </c>
      <c r="AA329" s="184"/>
      <c r="AB329" s="182">
        <f>LíneaBase!L674</f>
        <v>0.7756828932243458</v>
      </c>
      <c r="AC329" s="184"/>
      <c r="AD329" s="182">
        <f>Escenario1!BN335</f>
        <v>0.87980815946093793</v>
      </c>
      <c r="AE329" s="184"/>
      <c r="AF329" s="182">
        <f>Escenario2!BN293</f>
        <v>0.82438743556574323</v>
      </c>
      <c r="AG329" s="184"/>
      <c r="AH329" s="182">
        <f>LíneaBase!N244</f>
        <v>0</v>
      </c>
      <c r="AI329" s="184"/>
      <c r="AJ329" s="182">
        <f>Escenario1!BP242</f>
        <v>0</v>
      </c>
      <c r="AK329" s="184"/>
      <c r="AL329" s="182">
        <f>Escenario2!BP244</f>
        <v>0</v>
      </c>
      <c r="AM329" s="151"/>
      <c r="BA329" s="152"/>
      <c r="BB329" s="75">
        <v>324</v>
      </c>
      <c r="BC329" s="190">
        <f>ABS(LíneaBase!L330-LíneaBase!L329)</f>
        <v>1.5280053270784044</v>
      </c>
      <c r="BD329" s="190">
        <f>ABS(Escenario1!BN330-Escenario1!BN329)</f>
        <v>0.32657110088375529</v>
      </c>
      <c r="BE329" s="190">
        <f>ABS(Escenario2!BN330-Escenario2!BN329)</f>
        <v>0.31541257561245872</v>
      </c>
      <c r="BF329" s="151"/>
    </row>
    <row r="330" spans="25:58">
      <c r="Y330" s="152"/>
      <c r="Z330" s="183">
        <f>(LíneaBase!C331-0.44)/(MAX(LíneaBase!C:C)+0.12)*100</f>
        <v>44.452966635621543</v>
      </c>
      <c r="AA330" s="184"/>
      <c r="AB330" s="182">
        <f>LíneaBase!L363</f>
        <v>0.77473021515612561</v>
      </c>
      <c r="AC330" s="184"/>
      <c r="AD330" s="182">
        <f>Escenario1!BN134</f>
        <v>0.87647086614974401</v>
      </c>
      <c r="AE330" s="184"/>
      <c r="AF330" s="182">
        <f>Escenario2!BN330</f>
        <v>0.82426493966493597</v>
      </c>
      <c r="AG330" s="184"/>
      <c r="AH330" s="182">
        <f>LíneaBase!N245</f>
        <v>0</v>
      </c>
      <c r="AI330" s="184"/>
      <c r="AJ330" s="182">
        <f>Escenario1!BP243</f>
        <v>0</v>
      </c>
      <c r="AK330" s="184"/>
      <c r="AL330" s="182">
        <f>Escenario2!BP245</f>
        <v>0</v>
      </c>
      <c r="AM330" s="151"/>
      <c r="BA330" s="152"/>
      <c r="BB330" s="75">
        <v>325</v>
      </c>
      <c r="BC330" s="190">
        <f>ABS(LíneaBase!L331-LíneaBase!L330)</f>
        <v>0.9304899839761378</v>
      </c>
      <c r="BD330" s="190">
        <f>ABS(Escenario1!BN331-Escenario1!BN330)</f>
        <v>0.11321946680731498</v>
      </c>
      <c r="BE330" s="190">
        <f>ABS(Escenario2!BN331-Escenario2!BN330)</f>
        <v>0.10305229009687988</v>
      </c>
      <c r="BF330" s="151"/>
    </row>
    <row r="331" spans="25:58">
      <c r="Y331" s="152"/>
      <c r="Z331" s="183">
        <f>(LíneaBase!C332-0.44)/(MAX(LíneaBase!C:C)+0.12)*100</f>
        <v>44.589930422396321</v>
      </c>
      <c r="AA331" s="184"/>
      <c r="AB331" s="182">
        <f>LíneaBase!L493</f>
        <v>0.77330963907662897</v>
      </c>
      <c r="AC331" s="184"/>
      <c r="AD331" s="182">
        <f>Escenario1!BN339</f>
        <v>0.87554315264526006</v>
      </c>
      <c r="AE331" s="184"/>
      <c r="AF331" s="182">
        <f>Escenario2!BN140</f>
        <v>0.82401769593452168</v>
      </c>
      <c r="AG331" s="184"/>
      <c r="AH331" s="182">
        <f>LíneaBase!N246</f>
        <v>0</v>
      </c>
      <c r="AI331" s="184"/>
      <c r="AJ331" s="182">
        <f>Escenario1!BP244</f>
        <v>0</v>
      </c>
      <c r="AK331" s="184"/>
      <c r="AL331" s="182">
        <f>Escenario2!BP246</f>
        <v>0</v>
      </c>
      <c r="AM331" s="151"/>
      <c r="BA331" s="152"/>
      <c r="BB331" s="75">
        <v>326</v>
      </c>
      <c r="BC331" s="190">
        <f>ABS(LíneaBase!L332-LíneaBase!L331)</f>
        <v>0.24765667797558</v>
      </c>
      <c r="BD331" s="190">
        <f>ABS(Escenario1!BN332-Escenario1!BN331)</f>
        <v>9.8298865046934414E-2</v>
      </c>
      <c r="BE331" s="190">
        <f>ABS(Escenario2!BN332-Escenario2!BN331)</f>
        <v>0.10818097944135185</v>
      </c>
      <c r="BF331" s="151"/>
    </row>
    <row r="332" spans="25:58">
      <c r="Y332" s="152"/>
      <c r="Z332" s="183">
        <f>(LíneaBase!C333-0.44)/(MAX(LíneaBase!C:C)+0.12)*100</f>
        <v>44.7268942091711</v>
      </c>
      <c r="AA332" s="184"/>
      <c r="AB332" s="182">
        <f>LíneaBase!L309</f>
        <v>0.77242484412846735</v>
      </c>
      <c r="AC332" s="184"/>
      <c r="AD332" s="182">
        <f>Escenario1!BN505</f>
        <v>0.87544370057414578</v>
      </c>
      <c r="AE332" s="184"/>
      <c r="AF332" s="182">
        <f>Escenario2!BN697</f>
        <v>0.82392197597427519</v>
      </c>
      <c r="AG332" s="184"/>
      <c r="AH332" s="182">
        <f>LíneaBase!N247</f>
        <v>0</v>
      </c>
      <c r="AI332" s="184"/>
      <c r="AJ332" s="182">
        <f>Escenario1!BP245</f>
        <v>0</v>
      </c>
      <c r="AK332" s="184"/>
      <c r="AL332" s="182">
        <f>Escenario2!BP247</f>
        <v>0</v>
      </c>
      <c r="AM332" s="151"/>
      <c r="BA332" s="152"/>
      <c r="BB332" s="75">
        <v>327</v>
      </c>
      <c r="BC332" s="190">
        <f>ABS(LíneaBase!L333-LíneaBase!L332)</f>
        <v>0.10547550847540066</v>
      </c>
      <c r="BD332" s="190">
        <f>ABS(Escenario1!BN333-Escenario1!BN332)</f>
        <v>9.5699682045713441E-2</v>
      </c>
      <c r="BE332" s="190">
        <f>ABS(Escenario2!BN333-Escenario2!BN332)</f>
        <v>0.10538058350850454</v>
      </c>
      <c r="BF332" s="151"/>
    </row>
    <row r="333" spans="25:58">
      <c r="Y333" s="152"/>
      <c r="Z333" s="183">
        <f>(LíneaBase!C334-0.44)/(MAX(LíneaBase!C:C)+0.12)*100</f>
        <v>44.863857995945871</v>
      </c>
      <c r="AA333" s="184"/>
      <c r="AB333" s="182">
        <f>LíneaBase!L494</f>
        <v>0.76176845228406276</v>
      </c>
      <c r="AC333" s="184"/>
      <c r="AD333" s="182">
        <f>Escenario1!BN162</f>
        <v>0.87313898817492586</v>
      </c>
      <c r="AE333" s="184"/>
      <c r="AF333" s="182">
        <f>Escenario2!BN510</f>
        <v>0.82046210060896962</v>
      </c>
      <c r="AG333" s="184"/>
      <c r="AH333" s="182">
        <f>LíneaBase!N248</f>
        <v>0</v>
      </c>
      <c r="AI333" s="184"/>
      <c r="AJ333" s="182">
        <f>Escenario1!BP246</f>
        <v>0</v>
      </c>
      <c r="AK333" s="184"/>
      <c r="AL333" s="182">
        <f>Escenario2!BP248</f>
        <v>0</v>
      </c>
      <c r="AM333" s="151"/>
      <c r="BA333" s="152"/>
      <c r="BB333" s="75">
        <v>328</v>
      </c>
      <c r="BC333" s="190">
        <f>ABS(LíneaBase!L334-LíneaBase!L333)</f>
        <v>9.9923429425246679E-2</v>
      </c>
      <c r="BD333" s="190">
        <f>ABS(Escenario1!BN334-Escenario1!BN333)</f>
        <v>9.0738713135165461E-2</v>
      </c>
      <c r="BE333" s="190">
        <f>ABS(Escenario2!BN334-Escenario2!BN333)</f>
        <v>9.9766509478781407E-2</v>
      </c>
      <c r="BF333" s="151"/>
    </row>
    <row r="334" spans="25:58">
      <c r="Y334" s="152"/>
      <c r="Z334" s="183">
        <f>(LíneaBase!C335-0.44)/(MAX(LíneaBase!C:C)+0.12)*100</f>
        <v>45.000821782720649</v>
      </c>
      <c r="AA334" s="184"/>
      <c r="AB334" s="182">
        <f>LíneaBase!L527</f>
        <v>0.75953267828622983</v>
      </c>
      <c r="AC334" s="184"/>
      <c r="AD334" s="182">
        <f>Escenario1!BN135</f>
        <v>0.86875059472844496</v>
      </c>
      <c r="AE334" s="184"/>
      <c r="AF334" s="182">
        <f>Escenario2!BN332</f>
        <v>0.819136250320464</v>
      </c>
      <c r="AG334" s="184"/>
      <c r="AH334" s="182">
        <f>LíneaBase!N249</f>
        <v>0</v>
      </c>
      <c r="AI334" s="184"/>
      <c r="AJ334" s="182">
        <f>Escenario1!BP247</f>
        <v>0</v>
      </c>
      <c r="AK334" s="184"/>
      <c r="AL334" s="182">
        <f>Escenario2!BP249</f>
        <v>0</v>
      </c>
      <c r="AM334" s="151"/>
      <c r="BA334" s="152"/>
      <c r="BB334" s="75">
        <v>329</v>
      </c>
      <c r="BC334" s="190">
        <f>ABS(LíneaBase!L335-LíneaBase!L334)</f>
        <v>0.35801721735905701</v>
      </c>
      <c r="BD334" s="190">
        <f>ABS(Escenario1!BN335-Escenario1!BN334)</f>
        <v>0.13932470152219123</v>
      </c>
      <c r="BE334" s="190">
        <f>ABS(Escenario2!BN335-Escenario2!BN334)</f>
        <v>0.13045814393458066</v>
      </c>
      <c r="BF334" s="151"/>
    </row>
    <row r="335" spans="25:58">
      <c r="Y335" s="152"/>
      <c r="Z335" s="183">
        <f>(LíneaBase!C336-0.44)/(MAX(LíneaBase!C:C)+0.12)*100</f>
        <v>45.137785569495428</v>
      </c>
      <c r="AA335" s="184"/>
      <c r="AB335" s="182">
        <f>LíneaBase!L128</f>
        <v>0.75375115527646586</v>
      </c>
      <c r="AC335" s="184"/>
      <c r="AD335" s="182">
        <f>Escenario1!BN506</f>
        <v>0.86697851380218349</v>
      </c>
      <c r="AE335" s="184"/>
      <c r="AF335" s="182">
        <f>Escenario2!BN703</f>
        <v>0.81799655727852105</v>
      </c>
      <c r="AG335" s="184"/>
      <c r="AH335" s="182">
        <f>LíneaBase!N250</f>
        <v>0</v>
      </c>
      <c r="AI335" s="184"/>
      <c r="AJ335" s="182">
        <f>Escenario1!BP248</f>
        <v>0</v>
      </c>
      <c r="AK335" s="184"/>
      <c r="AL335" s="182">
        <f>Escenario2!BP250</f>
        <v>0</v>
      </c>
      <c r="AM335" s="151"/>
      <c r="BA335" s="152"/>
      <c r="BB335" s="75">
        <v>330</v>
      </c>
      <c r="BC335" s="190">
        <f>ABS(LíneaBase!L336-LíneaBase!L335)</f>
        <v>1.1152386996532022</v>
      </c>
      <c r="BD335" s="190">
        <f>ABS(Escenario1!BN336-Escenario1!BN335)</f>
        <v>0.28604841760787525</v>
      </c>
      <c r="BE335" s="190">
        <f>ABS(Escenario2!BN336-Escenario2!BN335)</f>
        <v>0.28080754645978223</v>
      </c>
      <c r="BF335" s="151"/>
    </row>
    <row r="336" spans="25:58">
      <c r="Y336" s="152"/>
      <c r="Z336" s="183">
        <f>(LíneaBase!C337-0.44)/(MAX(LíneaBase!C:C)+0.12)*100</f>
        <v>45.274749356270199</v>
      </c>
      <c r="AA336" s="184"/>
      <c r="AB336" s="182">
        <f>LíneaBase!L495</f>
        <v>0.75361183324268477</v>
      </c>
      <c r="AC336" s="184"/>
      <c r="AD336" s="182">
        <f>Escenario1!BN658</f>
        <v>0.86629250241696676</v>
      </c>
      <c r="AE336" s="184"/>
      <c r="AF336" s="182">
        <f>Escenario2!BN141</f>
        <v>0.81537559031083173</v>
      </c>
      <c r="AG336" s="184"/>
      <c r="AH336" s="182">
        <f>LíneaBase!N251</f>
        <v>0</v>
      </c>
      <c r="AI336" s="184"/>
      <c r="AJ336" s="182">
        <f>Escenario1!BP249</f>
        <v>0</v>
      </c>
      <c r="AK336" s="184"/>
      <c r="AL336" s="182">
        <f>Escenario2!BP251</f>
        <v>0</v>
      </c>
      <c r="AM336" s="151"/>
      <c r="BA336" s="152"/>
      <c r="BB336" s="75">
        <v>331</v>
      </c>
      <c r="BC336" s="190">
        <f>ABS(LíneaBase!L337-LíneaBase!L336)</f>
        <v>1.1248709783867901</v>
      </c>
      <c r="BD336" s="190">
        <f>ABS(Escenario1!BN337-Escenario1!BN336)</f>
        <v>9.4496517811974989E-2</v>
      </c>
      <c r="BE336" s="190">
        <f>ABS(Escenario2!BN337-Escenario2!BN336)</f>
        <v>0.10300223030083067</v>
      </c>
      <c r="BF336" s="151"/>
    </row>
    <row r="337" spans="25:58">
      <c r="Y337" s="152"/>
      <c r="Z337" s="183">
        <f>(LíneaBase!C338-0.44)/(MAX(LíneaBase!C:C)+0.12)*100</f>
        <v>45.411713143044977</v>
      </c>
      <c r="AA337" s="184"/>
      <c r="AB337" s="182">
        <f>LíneaBase!L496</f>
        <v>0.74607833610130514</v>
      </c>
      <c r="AC337" s="184"/>
      <c r="AD337" s="182">
        <f>Escenario1!BN528</f>
        <v>0.85996752513936947</v>
      </c>
      <c r="AE337" s="184"/>
      <c r="AF337" s="182">
        <f>Escenario2!BN338</f>
        <v>0.8135089130542944</v>
      </c>
      <c r="AG337" s="184"/>
      <c r="AH337" s="182">
        <f>LíneaBase!N252</f>
        <v>0</v>
      </c>
      <c r="AI337" s="184"/>
      <c r="AJ337" s="182">
        <f>Escenario1!BP250</f>
        <v>0</v>
      </c>
      <c r="AK337" s="184"/>
      <c r="AL337" s="182">
        <f>Escenario2!BP252</f>
        <v>0</v>
      </c>
      <c r="AM337" s="151"/>
      <c r="BA337" s="152"/>
      <c r="BB337" s="75">
        <v>332</v>
      </c>
      <c r="BC337" s="190">
        <f>ABS(LíneaBase!L338-LíneaBase!L337)</f>
        <v>0.1101983643422968</v>
      </c>
      <c r="BD337" s="190">
        <f>ABS(Escenario1!BN338-Escenario1!BN337)</f>
        <v>0.10047350494714768</v>
      </c>
      <c r="BE337" s="190">
        <f>ABS(Escenario2!BN338-Escenario2!BN337)</f>
        <v>0.10874370437241587</v>
      </c>
      <c r="BF337" s="151"/>
    </row>
    <row r="338" spans="25:58">
      <c r="Y338" s="152"/>
      <c r="Z338" s="183">
        <f>(LíneaBase!C339-0.44)/(MAX(LíneaBase!C:C)+0.12)*100</f>
        <v>45.548676929819756</v>
      </c>
      <c r="AA338" s="184"/>
      <c r="AB338" s="182">
        <f>LíneaBase!L162</f>
        <v>0.74556511604381881</v>
      </c>
      <c r="AC338" s="184"/>
      <c r="AD338" s="182">
        <f>Escenario1!BN136</f>
        <v>0.85961436846831851</v>
      </c>
      <c r="AE338" s="184"/>
      <c r="AF338" s="182">
        <f>Escenario2!BN511</f>
        <v>0.81182419436885334</v>
      </c>
      <c r="AG338" s="184"/>
      <c r="AH338" s="182">
        <f>LíneaBase!N253</f>
        <v>0</v>
      </c>
      <c r="AI338" s="184"/>
      <c r="AJ338" s="182">
        <f>Escenario1!BP251</f>
        <v>0</v>
      </c>
      <c r="AK338" s="184"/>
      <c r="AL338" s="182">
        <f>Escenario2!BP253</f>
        <v>0</v>
      </c>
      <c r="AM338" s="151"/>
      <c r="BA338" s="152"/>
      <c r="BB338" s="75">
        <v>333</v>
      </c>
      <c r="BC338" s="190">
        <f>ABS(LíneaBase!L339-LíneaBase!L338)</f>
        <v>0.10447830456623275</v>
      </c>
      <c r="BD338" s="190">
        <f>ABS(Escenario1!BN339-Escenario1!BN338)</f>
        <v>9.5343401664430449E-2</v>
      </c>
      <c r="BE338" s="190">
        <f>ABS(Escenario2!BN339-Escenario2!BN338)</f>
        <v>0.10300707921352259</v>
      </c>
      <c r="BF338" s="151"/>
    </row>
    <row r="339" spans="25:58">
      <c r="Y339" s="152"/>
      <c r="Z339" s="183">
        <f>(LíneaBase!C340-0.44)/(MAX(LíneaBase!C:C)+0.12)*100</f>
        <v>45.685640716594534</v>
      </c>
      <c r="AA339" s="184"/>
      <c r="AB339" s="182">
        <f>LíneaBase!L129</f>
        <v>0.74240268288325062</v>
      </c>
      <c r="AC339" s="184"/>
      <c r="AD339" s="182">
        <f>Escenario1!BN507</f>
        <v>0.85859414452031402</v>
      </c>
      <c r="AE339" s="184"/>
      <c r="AF339" s="182">
        <f>Escenario2!BN671</f>
        <v>0.80966239052294864</v>
      </c>
      <c r="AG339" s="184"/>
      <c r="AH339" s="182">
        <f>LíneaBase!N254</f>
        <v>0</v>
      </c>
      <c r="AI339" s="184"/>
      <c r="AJ339" s="182">
        <f>Escenario1!BP252</f>
        <v>0</v>
      </c>
      <c r="AK339" s="184"/>
      <c r="AL339" s="182">
        <f>Escenario2!BP254</f>
        <v>0</v>
      </c>
      <c r="AM339" s="151"/>
      <c r="BA339" s="152"/>
      <c r="BB339" s="75">
        <v>334</v>
      </c>
      <c r="BC339" s="190">
        <f>ABS(LíneaBase!L340-LíneaBase!L339)</f>
        <v>9.9259929681879577E-2</v>
      </c>
      <c r="BD339" s="190">
        <f>ABS(Escenario1!BN340-Escenario1!BN339)</f>
        <v>9.0654912436956558E-2</v>
      </c>
      <c r="BE339" s="190">
        <f>ABS(Escenario2!BN340-Escenario2!BN339)</f>
        <v>9.7780648639882006E-2</v>
      </c>
      <c r="BF339" s="151"/>
    </row>
    <row r="340" spans="25:58">
      <c r="Y340" s="152"/>
      <c r="Z340" s="183">
        <f>(LíneaBase!C341-0.44)/(MAX(LíneaBase!C:C)+0.12)*100</f>
        <v>45.822604503369305</v>
      </c>
      <c r="AA340" s="184"/>
      <c r="AB340" s="182">
        <f>LíneaBase!L705</f>
        <v>0.74168951589446031</v>
      </c>
      <c r="AC340" s="184"/>
      <c r="AD340" s="182">
        <f>Escenario1!BN293</f>
        <v>0.85540582536066523</v>
      </c>
      <c r="AE340" s="184"/>
      <c r="AF340" s="182">
        <f>Escenario2!BN408</f>
        <v>0.8071752690546774</v>
      </c>
      <c r="AG340" s="184"/>
      <c r="AH340" s="182">
        <f>LíneaBase!N255</f>
        <v>0</v>
      </c>
      <c r="AI340" s="184"/>
      <c r="AJ340" s="182">
        <f>Escenario1!BP253</f>
        <v>0</v>
      </c>
      <c r="AK340" s="184"/>
      <c r="AL340" s="182">
        <f>Escenario2!BP255</f>
        <v>0</v>
      </c>
      <c r="AM340" s="151"/>
      <c r="BA340" s="152"/>
      <c r="BB340" s="75">
        <v>335</v>
      </c>
      <c r="BC340" s="190">
        <f>ABS(LíneaBase!L341-LíneaBase!L340)</f>
        <v>9.444805347632812E-2</v>
      </c>
      <c r="BD340" s="190">
        <f>ABS(Escenario1!BN341-Escenario1!BN340)</f>
        <v>8.6325288449908166E-2</v>
      </c>
      <c r="BE340" s="190">
        <f>ABS(Escenario2!BN341-Escenario2!BN340)</f>
        <v>9.2967408919512051E-2</v>
      </c>
      <c r="BF340" s="151"/>
    </row>
    <row r="341" spans="25:58">
      <c r="Y341" s="152"/>
      <c r="Z341" s="183">
        <f>(LíneaBase!C342-0.44)/(MAX(LíneaBase!C:C)+0.12)*100</f>
        <v>45.959568290144084</v>
      </c>
      <c r="AA341" s="184"/>
      <c r="AB341" s="182">
        <f>LíneaBase!L340</f>
        <v>0.73929264666166794</v>
      </c>
      <c r="AC341" s="184"/>
      <c r="AD341" s="182">
        <f>Escenario1!BN137</f>
        <v>0.85130657627243855</v>
      </c>
      <c r="AE341" s="184"/>
      <c r="AF341" s="182">
        <f>Escenario2!BN142</f>
        <v>0.80682673130241145</v>
      </c>
      <c r="AG341" s="184"/>
      <c r="AH341" s="182">
        <f>LíneaBase!N256</f>
        <v>0</v>
      </c>
      <c r="AI341" s="184"/>
      <c r="AJ341" s="182">
        <f>Escenario1!BP254</f>
        <v>0</v>
      </c>
      <c r="AK341" s="184"/>
      <c r="AL341" s="182">
        <f>Escenario2!BP256</f>
        <v>0</v>
      </c>
      <c r="AM341" s="151"/>
      <c r="BA341" s="152"/>
      <c r="BB341" s="75">
        <v>336</v>
      </c>
      <c r="BC341" s="190">
        <f>ABS(LíneaBase!L342-LíneaBase!L341)</f>
        <v>9.1485646343248961E-2</v>
      </c>
      <c r="BD341" s="190">
        <f>ABS(Escenario1!BN342-Escenario1!BN341)</f>
        <v>8.3619653794730131E-2</v>
      </c>
      <c r="BE341" s="190">
        <f>ABS(Escenario2!BN342-Escenario2!BN341)</f>
        <v>9.0069588319831806E-2</v>
      </c>
      <c r="BF341" s="151"/>
    </row>
    <row r="342" spans="25:58">
      <c r="Y342" s="152"/>
      <c r="Z342" s="183">
        <f>(LíneaBase!C343-0.44)/(MAX(LíneaBase!C:C)+0.12)*100</f>
        <v>46.096532076918862</v>
      </c>
      <c r="AA342" s="184"/>
      <c r="AB342" s="182">
        <f>LíneaBase!L497</f>
        <v>0.73870913070705657</v>
      </c>
      <c r="AC342" s="184"/>
      <c r="AD342" s="182">
        <f>Escenario1!BN508</f>
        <v>0.85028983685078063</v>
      </c>
      <c r="AE342" s="184"/>
      <c r="AF342" s="182">
        <f>Escenario2!BN528</f>
        <v>0.80418538762571379</v>
      </c>
      <c r="AG342" s="184"/>
      <c r="AH342" s="182">
        <f>LíneaBase!N257</f>
        <v>0</v>
      </c>
      <c r="AI342" s="184"/>
      <c r="AJ342" s="182">
        <f>Escenario1!BP255</f>
        <v>0</v>
      </c>
      <c r="AK342" s="184"/>
      <c r="AL342" s="182">
        <f>Escenario2!BP257</f>
        <v>0</v>
      </c>
      <c r="AM342" s="151"/>
      <c r="BA342" s="152"/>
      <c r="BB342" s="75">
        <v>337</v>
      </c>
      <c r="BC342" s="190">
        <f>ABS(LíneaBase!L343-LíneaBase!L342)</f>
        <v>9.0309749484600521E-2</v>
      </c>
      <c r="BD342" s="190">
        <f>ABS(Escenario1!BN343-Escenario1!BN342)</f>
        <v>8.2482249798668472E-2</v>
      </c>
      <c r="BE342" s="190">
        <f>ABS(Escenario2!BN343-Escenario2!BN342)</f>
        <v>8.9020908790798881E-2</v>
      </c>
      <c r="BF342" s="151"/>
    </row>
    <row r="343" spans="25:58">
      <c r="Y343" s="152"/>
      <c r="Z343" s="183">
        <f>(LíneaBase!C344-0.44)/(MAX(LíneaBase!C:C)+0.12)*100</f>
        <v>46.233495863693641</v>
      </c>
      <c r="AA343" s="184"/>
      <c r="AB343" s="182">
        <f>LíneaBase!L130</f>
        <v>0.73443687938034574</v>
      </c>
      <c r="AC343" s="184"/>
      <c r="AD343" s="182">
        <f>Escenario1!BN138</f>
        <v>0.84307800861082682</v>
      </c>
      <c r="AE343" s="184"/>
      <c r="AF343" s="182">
        <f>Escenario2!BN306</f>
        <v>0.80332818558620789</v>
      </c>
      <c r="AG343" s="184"/>
      <c r="AH343" s="182">
        <f>LíneaBase!N258</f>
        <v>0</v>
      </c>
      <c r="AI343" s="184"/>
      <c r="AJ343" s="182">
        <f>Escenario1!BP256</f>
        <v>0</v>
      </c>
      <c r="AK343" s="184"/>
      <c r="AL343" s="182">
        <f>Escenario2!BP258</f>
        <v>0</v>
      </c>
      <c r="AM343" s="151"/>
      <c r="BA343" s="152"/>
      <c r="BB343" s="75">
        <v>338</v>
      </c>
      <c r="BC343" s="190">
        <f>ABS(LíneaBase!L344-LíneaBase!L343)</f>
        <v>8.7180132482310657E-2</v>
      </c>
      <c r="BD343" s="190">
        <f>ABS(Escenario1!BN344-Escenario1!BN343)</f>
        <v>7.9637469513378856E-2</v>
      </c>
      <c r="BE343" s="190">
        <f>ABS(Escenario2!BN344-Escenario2!BN343)</f>
        <v>8.5937197604426141E-2</v>
      </c>
      <c r="BF343" s="151"/>
    </row>
    <row r="344" spans="25:58">
      <c r="Y344" s="152"/>
      <c r="Z344" s="183">
        <f>(LíneaBase!C345-0.44)/(MAX(LíneaBase!C:C)+0.12)*100</f>
        <v>46.370459650468412</v>
      </c>
      <c r="AA344" s="184"/>
      <c r="AB344" s="182">
        <f>LíneaBase!L498</f>
        <v>0.73142748047370143</v>
      </c>
      <c r="AC344" s="184"/>
      <c r="AD344" s="182">
        <f>Escenario1!BN509</f>
        <v>0.84206481471004835</v>
      </c>
      <c r="AE344" s="184"/>
      <c r="AF344" s="182">
        <f>Escenario2!BN512</f>
        <v>0.80327986289593312</v>
      </c>
      <c r="AG344" s="184"/>
      <c r="AH344" s="182">
        <f>LíneaBase!N259</f>
        <v>0</v>
      </c>
      <c r="AI344" s="184"/>
      <c r="AJ344" s="182">
        <f>Escenario1!BP257</f>
        <v>0</v>
      </c>
      <c r="AK344" s="184"/>
      <c r="AL344" s="182">
        <f>Escenario2!BP259</f>
        <v>0</v>
      </c>
      <c r="AM344" s="151"/>
      <c r="BA344" s="152"/>
      <c r="BB344" s="75">
        <v>339</v>
      </c>
      <c r="BC344" s="190">
        <f>ABS(LíneaBase!L345-LíneaBase!L344)</f>
        <v>8.4233086972498317E-2</v>
      </c>
      <c r="BD344" s="190">
        <f>ABS(Escenario1!BN345-Escenario1!BN344)</f>
        <v>7.6956035152136115E-2</v>
      </c>
      <c r="BE344" s="190">
        <f>ABS(Escenario2!BN345-Escenario2!BN344)</f>
        <v>8.3037320439419859E-2</v>
      </c>
      <c r="BF344" s="151"/>
    </row>
    <row r="345" spans="25:58">
      <c r="Y345" s="152"/>
      <c r="Z345" s="183">
        <f>(LíneaBase!C346-0.44)/(MAX(LíneaBase!C:C)+0.12)*100</f>
        <v>46.507423437243197</v>
      </c>
      <c r="AA345" s="184"/>
      <c r="AB345" s="182">
        <f>LíneaBase!L131</f>
        <v>0.72709231762648996</v>
      </c>
      <c r="AC345" s="184"/>
      <c r="AD345" s="182">
        <f>Escenario1!BN727</f>
        <v>0.84205144719772185</v>
      </c>
      <c r="AE345" s="184"/>
      <c r="AF345" s="182">
        <f>Escenario2!BN143</f>
        <v>0.7983699915033291</v>
      </c>
      <c r="AG345" s="184"/>
      <c r="AH345" s="182">
        <f>LíneaBase!N260</f>
        <v>0</v>
      </c>
      <c r="AI345" s="184"/>
      <c r="AJ345" s="182">
        <f>Escenario1!BP258</f>
        <v>0</v>
      </c>
      <c r="AK345" s="184"/>
      <c r="AL345" s="182">
        <f>Escenario2!BP260</f>
        <v>0</v>
      </c>
      <c r="AM345" s="151"/>
      <c r="BA345" s="152"/>
      <c r="BB345" s="75">
        <v>340</v>
      </c>
      <c r="BC345" s="190">
        <f>ABS(LíneaBase!L346-LíneaBase!L345)</f>
        <v>8.1922420376089905E-2</v>
      </c>
      <c r="BD345" s="190">
        <f>ABS(Escenario1!BN346-Escenario1!BN345)</f>
        <v>7.4835030915214318E-2</v>
      </c>
      <c r="BE345" s="190">
        <f>ABS(Escenario2!BN346-Escenario2!BN345)</f>
        <v>5.5731551570086552E-2</v>
      </c>
      <c r="BF345" s="151"/>
    </row>
    <row r="346" spans="25:58">
      <c r="Y346" s="152"/>
      <c r="Z346" s="183">
        <f>(LíneaBase!C347-0.44)/(MAX(LíneaBase!C:C)+0.12)*100</f>
        <v>46.644387224017969</v>
      </c>
      <c r="AA346" s="184"/>
      <c r="AB346" s="182">
        <f>LíneaBase!L499</f>
        <v>0.72422005793064848</v>
      </c>
      <c r="AC346" s="184"/>
      <c r="AD346" s="182">
        <f>Escenario1!BN698</f>
        <v>0.8385493783305048</v>
      </c>
      <c r="AE346" s="184"/>
      <c r="AF346" s="182">
        <f>Escenario2!BN513</f>
        <v>0.7948280547995985</v>
      </c>
      <c r="AG346" s="184"/>
      <c r="AH346" s="182">
        <f>LíneaBase!N261</f>
        <v>0</v>
      </c>
      <c r="AI346" s="184"/>
      <c r="AJ346" s="182">
        <f>Escenario1!BP259</f>
        <v>0</v>
      </c>
      <c r="AK346" s="184"/>
      <c r="AL346" s="182">
        <f>Escenario2!BP261</f>
        <v>0</v>
      </c>
      <c r="AM346" s="151"/>
      <c r="BA346" s="152"/>
      <c r="BB346" s="75">
        <v>341</v>
      </c>
      <c r="BC346" s="190">
        <f>ABS(LíneaBase!L347-LíneaBase!L346)</f>
        <v>7.521030145547386E-2</v>
      </c>
      <c r="BD346" s="190">
        <f>ABS(Escenario1!BN347-Escenario1!BN346)</f>
        <v>6.8848741861478352E-2</v>
      </c>
      <c r="BE346" s="190">
        <f>ABS(Escenario2!BN347-Escenario2!BN346)</f>
        <v>9.5284104656937901E-3</v>
      </c>
      <c r="BF346" s="151"/>
    </row>
    <row r="347" spans="25:58">
      <c r="Y347" s="152"/>
      <c r="Z347" s="183">
        <f>(LíneaBase!C348-0.44)/(MAX(LíneaBase!C:C)+0.12)*100</f>
        <v>46.781351010792747</v>
      </c>
      <c r="AA347" s="184"/>
      <c r="AB347" s="182">
        <f>LíneaBase!L132</f>
        <v>0.71991018599439105</v>
      </c>
      <c r="AC347" s="184"/>
      <c r="AD347" s="182">
        <f>Escenario1!BN362</f>
        <v>0.83655286808326479</v>
      </c>
      <c r="AE347" s="184"/>
      <c r="AF347" s="182">
        <f>Escenario2!BN144</f>
        <v>0.79000432862357106</v>
      </c>
      <c r="AG347" s="184"/>
      <c r="AH347" s="182">
        <f>LíneaBase!N262</f>
        <v>0</v>
      </c>
      <c r="AI347" s="184"/>
      <c r="AJ347" s="182">
        <f>Escenario1!BP260</f>
        <v>0</v>
      </c>
      <c r="AK347" s="184"/>
      <c r="AL347" s="182">
        <f>Escenario2!BP262</f>
        <v>0</v>
      </c>
      <c r="AM347" s="151"/>
      <c r="BA347" s="152"/>
      <c r="BB347" s="75">
        <v>342</v>
      </c>
      <c r="BC347" s="190">
        <f>ABS(LíneaBase!L348-LíneaBase!L347)</f>
        <v>4.1597702796606684E-2</v>
      </c>
      <c r="BD347" s="190">
        <f>ABS(Escenario1!BN348-Escenario1!BN347)</f>
        <v>6.9463539065617752E-2</v>
      </c>
      <c r="BE347" s="190">
        <f>ABS(Escenario2!BN348-Escenario2!BN347)</f>
        <v>3.0517225996118946E-3</v>
      </c>
      <c r="BF347" s="151"/>
    </row>
    <row r="348" spans="25:58">
      <c r="Y348" s="152"/>
      <c r="Z348" s="183">
        <f>(LíneaBase!C349-0.44)/(MAX(LíneaBase!C:C)+0.12)*100</f>
        <v>46.918314797567525</v>
      </c>
      <c r="AA348" s="184"/>
      <c r="AB348" s="182">
        <f>LíneaBase!L500</f>
        <v>0.71844661017982647</v>
      </c>
      <c r="AC348" s="184"/>
      <c r="AD348" s="182">
        <f>Escenario1!BN139</f>
        <v>0.83492792653964987</v>
      </c>
      <c r="AE348" s="184"/>
      <c r="AF348" s="182">
        <f>Escenario2!BN514</f>
        <v>0.78646773103529599</v>
      </c>
      <c r="AG348" s="184"/>
      <c r="AH348" s="182">
        <f>LíneaBase!N263</f>
        <v>0</v>
      </c>
      <c r="AI348" s="184"/>
      <c r="AJ348" s="182">
        <f>Escenario1!BP261</f>
        <v>0</v>
      </c>
      <c r="AK348" s="184"/>
      <c r="AL348" s="182">
        <f>Escenario2!BP263</f>
        <v>0</v>
      </c>
      <c r="AM348" s="151"/>
      <c r="BA348" s="152"/>
      <c r="BB348" s="75">
        <v>343</v>
      </c>
      <c r="BC348" s="190">
        <f>ABS(LíneaBase!L349-LíneaBase!L348)</f>
        <v>7.5980764467449002E-3</v>
      </c>
      <c r="BD348" s="190">
        <f>ABS(Escenario1!BN349-Escenario1!BN348)</f>
        <v>3.641778514767266E-2</v>
      </c>
      <c r="BE348" s="190">
        <f>ABS(Escenario2!BN349-Escenario2!BN348)</f>
        <v>1.3686271460029015E-3</v>
      </c>
      <c r="BF348" s="151"/>
    </row>
    <row r="349" spans="25:58">
      <c r="Y349" s="152"/>
      <c r="Z349" s="183">
        <f>(LíneaBase!C350-0.44)/(MAX(LíneaBase!C:C)+0.12)*100</f>
        <v>47.055278584342297</v>
      </c>
      <c r="AA349" s="184"/>
      <c r="AB349" s="182">
        <f>LíneaBase!L133</f>
        <v>0.71281376624084958</v>
      </c>
      <c r="AC349" s="184"/>
      <c r="AD349" s="182">
        <f>Escenario1!BN510</f>
        <v>0.83391831469272548</v>
      </c>
      <c r="AE349" s="184"/>
      <c r="AF349" s="182">
        <f>Escenario2!BN145</f>
        <v>0.78172872445206898</v>
      </c>
      <c r="AG349" s="184"/>
      <c r="AH349" s="182">
        <f>LíneaBase!N264</f>
        <v>0</v>
      </c>
      <c r="AI349" s="184"/>
      <c r="AJ349" s="182">
        <f>Escenario1!BP262</f>
        <v>0</v>
      </c>
      <c r="AK349" s="184"/>
      <c r="AL349" s="182">
        <f>Escenario2!BP264</f>
        <v>0</v>
      </c>
      <c r="AM349" s="151"/>
      <c r="BA349" s="152"/>
      <c r="BB349" s="75">
        <v>344</v>
      </c>
      <c r="BC349" s="190">
        <f>ABS(LíneaBase!L350-LíneaBase!L349)</f>
        <v>1.9494502756798732E-3</v>
      </c>
      <c r="BD349" s="190">
        <f>ABS(Escenario1!BN350-Escenario1!BN349)</f>
        <v>6.9160447724411767E-3</v>
      </c>
      <c r="BE349" s="190">
        <f>ABS(Escenario2!BN350-Escenario2!BN349)</f>
        <v>1.080574888505631E-3</v>
      </c>
      <c r="BF349" s="151"/>
    </row>
    <row r="350" spans="25:58">
      <c r="Y350" s="152"/>
      <c r="Z350" s="183">
        <f>(LíneaBase!C351-0.44)/(MAX(LíneaBase!C:C)+0.12)*100</f>
        <v>47.192242371117075</v>
      </c>
      <c r="AA350" s="184"/>
      <c r="AB350" s="182">
        <f>LíneaBase!L501</f>
        <v>0.7102445457010097</v>
      </c>
      <c r="AC350" s="184"/>
      <c r="AD350" s="182">
        <f>Escenario1!BN333</f>
        <v>0.83122217107391216</v>
      </c>
      <c r="AE350" s="184"/>
      <c r="AF350" s="182">
        <f>Escenario2!BN515</f>
        <v>0.77819786474508745</v>
      </c>
      <c r="AG350" s="184"/>
      <c r="AH350" s="182">
        <f>LíneaBase!N265</f>
        <v>0</v>
      </c>
      <c r="AI350" s="184"/>
      <c r="AJ350" s="182">
        <f>Escenario1!BP263</f>
        <v>0</v>
      </c>
      <c r="AK350" s="184"/>
      <c r="AL350" s="182">
        <f>Escenario2!BP265</f>
        <v>0</v>
      </c>
      <c r="AM350" s="151"/>
      <c r="BA350" s="152"/>
      <c r="BB350" s="75">
        <v>345</v>
      </c>
      <c r="BC350" s="190">
        <f>ABS(LíneaBase!L351-LíneaBase!L350)</f>
        <v>1.0053525197723512E-3</v>
      </c>
      <c r="BD350" s="190">
        <f>ABS(Escenario1!BN351-Escenario1!BN350)</f>
        <v>1.6391789380419963E-3</v>
      </c>
      <c r="BE350" s="190">
        <f>ABS(Escenario2!BN351-Escenario2!BN350)</f>
        <v>1.0241014704012869E-3</v>
      </c>
      <c r="BF350" s="151"/>
    </row>
    <row r="351" spans="25:58">
      <c r="Y351" s="152"/>
      <c r="Z351" s="183">
        <f>(LíneaBase!C352-0.44)/(MAX(LíneaBase!C:C)+0.12)*100</f>
        <v>47.329206157891853</v>
      </c>
      <c r="AA351" s="184"/>
      <c r="AB351" s="182">
        <f>LíneaBase!L699</f>
        <v>0.70738789547167424</v>
      </c>
      <c r="AC351" s="184"/>
      <c r="AD351" s="182">
        <f>Escenario1!BN140</f>
        <v>0.82685559178701029</v>
      </c>
      <c r="AE351" s="184"/>
      <c r="AF351" s="182">
        <f>Escenario2!BN146</f>
        <v>0.77354217460699393</v>
      </c>
      <c r="AG351" s="184"/>
      <c r="AH351" s="182">
        <f>LíneaBase!N266</f>
        <v>0</v>
      </c>
      <c r="AI351" s="184"/>
      <c r="AJ351" s="182">
        <f>Escenario1!BP264</f>
        <v>0</v>
      </c>
      <c r="AK351" s="184"/>
      <c r="AL351" s="182">
        <f>Escenario2!BP266</f>
        <v>0</v>
      </c>
      <c r="AM351" s="151"/>
      <c r="BA351" s="152"/>
      <c r="BB351" s="75">
        <v>346</v>
      </c>
      <c r="BC351" s="190">
        <f>ABS(LíneaBase!L352-LíneaBase!L351)</f>
        <v>8.4197379720740706E-4</v>
      </c>
      <c r="BD351" s="190">
        <f>ABS(Escenario1!BN352-Escenario1!BN351)</f>
        <v>1.0751613265494731E-3</v>
      </c>
      <c r="BE351" s="190">
        <f>ABS(Escenario2!BN352-Escenario2!BN351)</f>
        <v>1.006144932827191E-3</v>
      </c>
      <c r="BF351" s="151"/>
    </row>
    <row r="352" spans="25:58">
      <c r="Y352" s="152"/>
      <c r="Z352" s="183">
        <f>(LíneaBase!C353-0.44)/(MAX(LíneaBase!C:C)+0.12)*100</f>
        <v>47.466169944666632</v>
      </c>
      <c r="AA352" s="184"/>
      <c r="AB352" s="182">
        <f>LíneaBase!L134</f>
        <v>0.70578974905757419</v>
      </c>
      <c r="AC352" s="184"/>
      <c r="AD352" s="182">
        <f>Escenario1!BN511</f>
        <v>0.82584960246843697</v>
      </c>
      <c r="AE352" s="184"/>
      <c r="AF352" s="182">
        <f>Escenario2!BN163</f>
        <v>0.7727877984016206</v>
      </c>
      <c r="AG352" s="184"/>
      <c r="AH352" s="182">
        <f>LíneaBase!N267</f>
        <v>0</v>
      </c>
      <c r="AI352" s="184"/>
      <c r="AJ352" s="182">
        <f>Escenario1!BP265</f>
        <v>0</v>
      </c>
      <c r="AK352" s="184"/>
      <c r="AL352" s="182">
        <f>Escenario2!BP267</f>
        <v>0</v>
      </c>
      <c r="AM352" s="151"/>
      <c r="BA352" s="152"/>
      <c r="BB352" s="75">
        <v>347</v>
      </c>
      <c r="BC352" s="190">
        <f>ABS(LíneaBase!L353-LíneaBase!L352)</f>
        <v>7.070222999683283E-2</v>
      </c>
      <c r="BD352" s="190">
        <f>ABS(Escenario1!BN353-Escenario1!BN352)</f>
        <v>5.8904785416801442E-2</v>
      </c>
      <c r="BE352" s="190">
        <f>ABS(Escenario2!BN353-Escenario2!BN352)</f>
        <v>4.7760991413535639E-2</v>
      </c>
      <c r="BF352" s="151"/>
    </row>
    <row r="353" spans="25:58">
      <c r="Y353" s="152"/>
      <c r="Z353" s="183">
        <f>(LíneaBase!C354-0.44)/(MAX(LíneaBase!C:C)+0.12)*100</f>
        <v>47.603133731441403</v>
      </c>
      <c r="AA353" s="184"/>
      <c r="AB353" s="182">
        <f>LíneaBase!L334</f>
        <v>0.70484430662660791</v>
      </c>
      <c r="AC353" s="184"/>
      <c r="AD353" s="182">
        <f>Escenario1!BN673</f>
        <v>0.82247728368695727</v>
      </c>
      <c r="AE353" s="184"/>
      <c r="AF353" s="182">
        <f>Escenario2!BN516</f>
        <v>0.77001744110655246</v>
      </c>
      <c r="AG353" s="184"/>
      <c r="AH353" s="182">
        <f>LíneaBase!N268</f>
        <v>0</v>
      </c>
      <c r="AI353" s="184"/>
      <c r="AJ353" s="182">
        <f>Escenario1!BP266</f>
        <v>0</v>
      </c>
      <c r="AK353" s="184"/>
      <c r="AL353" s="182">
        <f>Escenario2!BP268</f>
        <v>0</v>
      </c>
      <c r="AM353" s="151"/>
      <c r="BA353" s="152"/>
      <c r="BB353" s="75">
        <v>348</v>
      </c>
      <c r="BC353" s="190">
        <f>ABS(LíneaBase!L354-LíneaBase!L353)</f>
        <v>5.8183682346047177E-2</v>
      </c>
      <c r="BD353" s="190">
        <f>ABS(Escenario1!BN354-Escenario1!BN353)</f>
        <v>4.9216539145321619E-2</v>
      </c>
      <c r="BE353" s="190">
        <f>ABS(Escenario2!BN354-Escenario2!BN353)</f>
        <v>3.9251596777471087E-2</v>
      </c>
      <c r="BF353" s="151"/>
    </row>
    <row r="354" spans="25:58">
      <c r="Y354" s="152"/>
      <c r="Z354" s="183">
        <f>(LíneaBase!C355-0.44)/(MAX(LíneaBase!C:C)+0.12)*100</f>
        <v>47.740097518216182</v>
      </c>
      <c r="AA354" s="184"/>
      <c r="AB354" s="182">
        <f>LíneaBase!L528</f>
        <v>0.70330483622559492</v>
      </c>
      <c r="AC354" s="184"/>
      <c r="AD354" s="182">
        <f>Escenario1!BN163</f>
        <v>0.82111046776193497</v>
      </c>
      <c r="AE354" s="184"/>
      <c r="AF354" s="182">
        <f>Escenario2!BN147</f>
        <v>0.76544368671505891</v>
      </c>
      <c r="AG354" s="184"/>
      <c r="AH354" s="182">
        <f>LíneaBase!N269</f>
        <v>0</v>
      </c>
      <c r="AI354" s="184"/>
      <c r="AJ354" s="182">
        <f>Escenario1!BP267</f>
        <v>0</v>
      </c>
      <c r="AK354" s="184"/>
      <c r="AL354" s="182">
        <f>Escenario2!BP269</f>
        <v>0</v>
      </c>
      <c r="AM354" s="151"/>
      <c r="BA354" s="152"/>
      <c r="BB354" s="75">
        <v>349</v>
      </c>
      <c r="BC354" s="190">
        <f>ABS(LíneaBase!L355-LíneaBase!L354)</f>
        <v>1.2566774828020363E-2</v>
      </c>
      <c r="BD354" s="190">
        <f>ABS(Escenario1!BN355-Escenario1!BN354)</f>
        <v>1.1423965333739974E-2</v>
      </c>
      <c r="BE354" s="190">
        <f>ABS(Escenario2!BN355-Escenario2!BN354)</f>
        <v>9.7223288105861838E-3</v>
      </c>
      <c r="BF354" s="151"/>
    </row>
    <row r="355" spans="25:58">
      <c r="Y355" s="152"/>
      <c r="Z355" s="183">
        <f>(LíneaBase!C356-0.44)/(MAX(LíneaBase!C:C)+0.12)*100</f>
        <v>47.87706130499096</v>
      </c>
      <c r="AA355" s="184"/>
      <c r="AB355" s="182">
        <f>LíneaBase!L502</f>
        <v>0.70305998407150272</v>
      </c>
      <c r="AC355" s="184"/>
      <c r="AD355" s="182">
        <f>Escenario1!BN141</f>
        <v>0.81886026211459595</v>
      </c>
      <c r="AE355" s="184"/>
      <c r="AF355" s="182">
        <f>Escenario2!BN517</f>
        <v>0.76192545718468452</v>
      </c>
      <c r="AG355" s="184"/>
      <c r="AH355" s="182">
        <f>LíneaBase!N270</f>
        <v>0</v>
      </c>
      <c r="AI355" s="184"/>
      <c r="AJ355" s="182">
        <f>Escenario1!BP268</f>
        <v>0</v>
      </c>
      <c r="AK355" s="184"/>
      <c r="AL355" s="182">
        <f>Escenario2!BP270</f>
        <v>0</v>
      </c>
      <c r="AM355" s="151"/>
      <c r="BA355" s="152"/>
      <c r="BB355" s="75">
        <v>350</v>
      </c>
      <c r="BC355" s="190">
        <f>ABS(LíneaBase!L356-LíneaBase!L355)</f>
        <v>0.43347235301979836</v>
      </c>
      <c r="BD355" s="190">
        <f>ABS(Escenario1!BN356-Escenario1!BN355)</f>
        <v>0.17251115450838922</v>
      </c>
      <c r="BE355" s="190">
        <f>ABS(Escenario2!BN356-Escenario2!BN355)</f>
        <v>0.16002303562095502</v>
      </c>
      <c r="BF355" s="151"/>
    </row>
    <row r="356" spans="25:58">
      <c r="Y356" s="152"/>
      <c r="Z356" s="183">
        <f>(LíneaBase!C357-0.44)/(MAX(LíneaBase!C:C)+0.12)*100</f>
        <v>48.014025091765738</v>
      </c>
      <c r="AA356" s="184"/>
      <c r="AB356" s="182">
        <f>LíneaBase!L135</f>
        <v>0.70019789952983624</v>
      </c>
      <c r="AC356" s="184"/>
      <c r="AD356" s="182">
        <f>Escenario1!BN512</f>
        <v>0.8178579124848171</v>
      </c>
      <c r="AE356" s="184"/>
      <c r="AF356" s="182">
        <f>Escenario2!BN148</f>
        <v>0.75743227999103124</v>
      </c>
      <c r="AG356" s="184"/>
      <c r="AH356" s="182">
        <f>LíneaBase!N271</f>
        <v>0</v>
      </c>
      <c r="AI356" s="184"/>
      <c r="AJ356" s="182">
        <f>Escenario1!BP269</f>
        <v>0</v>
      </c>
      <c r="AK356" s="184"/>
      <c r="AL356" s="182">
        <f>Escenario2!BP271</f>
        <v>0</v>
      </c>
      <c r="AM356" s="151"/>
      <c r="BA356" s="152"/>
      <c r="BB356" s="75">
        <v>351</v>
      </c>
      <c r="BC356" s="190">
        <f>ABS(LíneaBase!L357-LíneaBase!L356)</f>
        <v>0.26427726751656089</v>
      </c>
      <c r="BD356" s="190">
        <f>ABS(Escenario1!BN357-Escenario1!BN356)</f>
        <v>1.7019674260535467E-2</v>
      </c>
      <c r="BE356" s="190">
        <f>ABS(Escenario2!BN357-Escenario2!BN356)</f>
        <v>2.8677496490072424E-2</v>
      </c>
      <c r="BF356" s="151"/>
    </row>
    <row r="357" spans="25:58">
      <c r="Y357" s="152"/>
      <c r="Z357" s="183">
        <f>(LíneaBase!C358-0.44)/(MAX(LíneaBase!C:C)+0.12)*100</f>
        <v>48.15098887854051</v>
      </c>
      <c r="AA357" s="184"/>
      <c r="AB357" s="182">
        <f>LíneaBase!L503</f>
        <v>0.69610164386759243</v>
      </c>
      <c r="AC357" s="184"/>
      <c r="AD357" s="182">
        <f>Escenario1!BN728</f>
        <v>0.81563707732054014</v>
      </c>
      <c r="AE357" s="184"/>
      <c r="AF357" s="182">
        <f>Escenario2!BN727</f>
        <v>0.75535553372937403</v>
      </c>
      <c r="AG357" s="184"/>
      <c r="AH357" s="182">
        <f>LíneaBase!N272</f>
        <v>0</v>
      </c>
      <c r="AI357" s="184"/>
      <c r="AJ357" s="182">
        <f>Escenario1!BP270</f>
        <v>0</v>
      </c>
      <c r="AK357" s="184"/>
      <c r="AL357" s="182">
        <f>Escenario2!BP272</f>
        <v>0</v>
      </c>
      <c r="AM357" s="151"/>
      <c r="BA357" s="152"/>
      <c r="BB357" s="75">
        <v>352</v>
      </c>
      <c r="BC357" s="190">
        <f>ABS(LíneaBase!L358-LíneaBase!L357)</f>
        <v>5.8482715379694683E-2</v>
      </c>
      <c r="BD357" s="190">
        <f>ABS(Escenario1!BN358-Escenario1!BN357)</f>
        <v>5.1965603258118997E-2</v>
      </c>
      <c r="BE357" s="190">
        <f>ABS(Escenario2!BN358-Escenario2!BN357)</f>
        <v>6.3136881757644286E-2</v>
      </c>
      <c r="BF357" s="151"/>
    </row>
    <row r="358" spans="25:58">
      <c r="Y358" s="152"/>
      <c r="Z358" s="183">
        <f>(LíneaBase!C359-0.44)/(MAX(LíneaBase!C:C)+0.12)*100</f>
        <v>48.287952665315295</v>
      </c>
      <c r="AA358" s="184"/>
      <c r="AB358" s="182">
        <f>LíneaBase!L136</f>
        <v>0.69217564394355802</v>
      </c>
      <c r="AC358" s="184"/>
      <c r="AD358" s="182">
        <f>Escenario1!BN308</f>
        <v>0.81309267851362044</v>
      </c>
      <c r="AE358" s="184"/>
      <c r="AF358" s="182">
        <f>Escenario2!BN518</f>
        <v>0.75392092178586556</v>
      </c>
      <c r="AG358" s="184"/>
      <c r="AH358" s="182">
        <f>LíneaBase!N273</f>
        <v>0</v>
      </c>
      <c r="AI358" s="184"/>
      <c r="AJ358" s="182">
        <f>Escenario1!BP271</f>
        <v>0</v>
      </c>
      <c r="AK358" s="184"/>
      <c r="AL358" s="182">
        <f>Escenario2!BP273</f>
        <v>0</v>
      </c>
      <c r="AM358" s="151"/>
      <c r="BA358" s="152"/>
      <c r="BB358" s="75">
        <v>353</v>
      </c>
      <c r="BC358" s="190">
        <f>ABS(LíneaBase!L359-LíneaBase!L358)</f>
        <v>2.5618622598411713</v>
      </c>
      <c r="BD358" s="190">
        <f>ABS(Escenario1!BN359-Escenario1!BN358)</f>
        <v>0.43258205253182286</v>
      </c>
      <c r="BE358" s="190">
        <f>ABS(Escenario2!BN359-Escenario2!BN358)</f>
        <v>0.43164650297843521</v>
      </c>
      <c r="BF358" s="151"/>
    </row>
    <row r="359" spans="25:58">
      <c r="Y359" s="152"/>
      <c r="Z359" s="183">
        <f>(LíneaBase!C360-0.44)/(MAX(LíneaBase!C:C)+0.12)*100</f>
        <v>48.424916452090066</v>
      </c>
      <c r="AA359" s="184"/>
      <c r="AB359" s="182">
        <f>LíneaBase!L163</f>
        <v>0.68947489970077247</v>
      </c>
      <c r="AC359" s="184"/>
      <c r="AD359" s="182">
        <f>Escenario1!BN142</f>
        <v>0.81094119022710509</v>
      </c>
      <c r="AE359" s="184"/>
      <c r="AF359" s="182">
        <f>Escenario2!BN362</f>
        <v>0.75188114670049944</v>
      </c>
      <c r="AG359" s="184"/>
      <c r="AH359" s="182">
        <f>LíneaBase!N275</f>
        <v>0</v>
      </c>
      <c r="AI359" s="184"/>
      <c r="AJ359" s="182">
        <f>Escenario1!BP272</f>
        <v>0</v>
      </c>
      <c r="AK359" s="184"/>
      <c r="AL359" s="182">
        <f>Escenario2!BP275</f>
        <v>0</v>
      </c>
      <c r="AM359" s="151"/>
      <c r="BA359" s="152"/>
      <c r="BB359" s="75">
        <v>354</v>
      </c>
      <c r="BC359" s="190">
        <f>ABS(LíneaBase!L360-LíneaBase!L359)</f>
        <v>2.218525348667054</v>
      </c>
      <c r="BD359" s="190">
        <f>ABS(Escenario1!BN360-Escenario1!BN359)</f>
        <v>8.4146087212511711E-2</v>
      </c>
      <c r="BE359" s="190">
        <f>ABS(Escenario2!BN360-Escenario2!BN359)</f>
        <v>9.5147660859487226E-2</v>
      </c>
      <c r="BF359" s="151"/>
    </row>
    <row r="360" spans="25:58">
      <c r="Y360" s="152"/>
      <c r="Z360" s="183">
        <f>(LíneaBase!C361-0.44)/(MAX(LíneaBase!C:C)+0.12)*100</f>
        <v>48.561880238864845</v>
      </c>
      <c r="AA360" s="184"/>
      <c r="AB360" s="182">
        <f>LíneaBase!L504</f>
        <v>0.68923765736860187</v>
      </c>
      <c r="AC360" s="184"/>
      <c r="AD360" s="182">
        <f>Escenario1!BN529</f>
        <v>0.81020847157166931</v>
      </c>
      <c r="AE360" s="184"/>
      <c r="AF360" s="182">
        <f>Escenario2!BN149</f>
        <v>0.74950698505110425</v>
      </c>
      <c r="AG360" s="184"/>
      <c r="AH360" s="182">
        <f>LíneaBase!N276</f>
        <v>0</v>
      </c>
      <c r="AI360" s="184"/>
      <c r="AJ360" s="182">
        <f>Escenario1!BP273</f>
        <v>0</v>
      </c>
      <c r="AK360" s="184"/>
      <c r="AL360" s="182">
        <f>Escenario2!BP276</f>
        <v>0</v>
      </c>
      <c r="AM360" s="151"/>
      <c r="BA360" s="152"/>
      <c r="BB360" s="75">
        <v>355</v>
      </c>
      <c r="BC360" s="190">
        <f>ABS(LíneaBase!L361-LíneaBase!L360)</f>
        <v>9.0058156817988344E-2</v>
      </c>
      <c r="BD360" s="190">
        <f>ABS(Escenario1!BN361-Escenario1!BN360)</f>
        <v>8.1305728138386657E-2</v>
      </c>
      <c r="BE360" s="190">
        <f>ABS(Escenario2!BN361-Escenario2!BN360)</f>
        <v>9.1928633642011093E-2</v>
      </c>
      <c r="BF360" s="151"/>
    </row>
    <row r="361" spans="25:58">
      <c r="Y361" s="152"/>
      <c r="Z361" s="183">
        <f>(LíneaBase!C362-0.44)/(MAX(LíneaBase!C:C)+0.12)*100</f>
        <v>48.698844025639623</v>
      </c>
      <c r="AA361" s="184"/>
      <c r="AB361" s="182">
        <f>LíneaBase!L137</f>
        <v>0.68516911950674431</v>
      </c>
      <c r="AC361" s="184"/>
      <c r="AD361" s="182">
        <f>Escenario1!BN363</f>
        <v>0.81019266909489573</v>
      </c>
      <c r="AE361" s="184"/>
      <c r="AF361" s="182">
        <f>Escenario2!BN700</f>
        <v>0.7490815104780485</v>
      </c>
      <c r="AG361" s="184"/>
      <c r="AH361" s="182">
        <f>LíneaBase!N277</f>
        <v>0</v>
      </c>
      <c r="AI361" s="184"/>
      <c r="AJ361" s="182">
        <f>Escenario1!BP275</f>
        <v>0</v>
      </c>
      <c r="AK361" s="184"/>
      <c r="AL361" s="182">
        <f>Escenario2!BP277</f>
        <v>0</v>
      </c>
      <c r="AM361" s="151"/>
      <c r="BA361" s="152"/>
      <c r="BB361" s="75">
        <v>356</v>
      </c>
      <c r="BC361" s="190">
        <f>ABS(LíneaBase!L362-LíneaBase!L361)</f>
        <v>1.7388511388626191</v>
      </c>
      <c r="BD361" s="190">
        <f>ABS(Escenario1!BN362-Escenario1!BN361)</f>
        <v>0.35096041150239965</v>
      </c>
      <c r="BE361" s="190">
        <f>ABS(Escenario2!BN362-Escenario2!BN361)</f>
        <v>0.34141758697107405</v>
      </c>
      <c r="BF361" s="151"/>
    </row>
    <row r="362" spans="25:58">
      <c r="Y362" s="152"/>
      <c r="Z362" s="183">
        <f>(LíneaBase!C363-0.44)/(MAX(LíneaBase!C:C)+0.12)*100</f>
        <v>48.835807812414401</v>
      </c>
      <c r="AA362" s="184"/>
      <c r="AB362" s="182">
        <f>LíneaBase!L505</f>
        <v>0.68244558311386239</v>
      </c>
      <c r="AC362" s="184"/>
      <c r="AD362" s="182">
        <f>Escenario1!BN513</f>
        <v>0.80994250362117814</v>
      </c>
      <c r="AE362" s="184"/>
      <c r="AF362" s="182">
        <f>Escenario2!BN672</f>
        <v>0.7489418819376803</v>
      </c>
      <c r="AG362" s="184"/>
      <c r="AH362" s="182">
        <f>LíneaBase!N278</f>
        <v>0</v>
      </c>
      <c r="AI362" s="184"/>
      <c r="AJ362" s="182">
        <f>Escenario1!BP276</f>
        <v>0</v>
      </c>
      <c r="AK362" s="184"/>
      <c r="AL362" s="182">
        <f>Escenario2!BP278</f>
        <v>0</v>
      </c>
      <c r="AM362" s="151"/>
      <c r="BA362" s="152"/>
      <c r="BB362" s="75">
        <v>357</v>
      </c>
      <c r="BC362" s="190">
        <f>ABS(LíneaBase!L363-LíneaBase!L362)</f>
        <v>1.4095745212440369</v>
      </c>
      <c r="BD362" s="190">
        <f>ABS(Escenario1!BN363-Escenario1!BN362)</f>
        <v>2.6360198988369055E-2</v>
      </c>
      <c r="BE362" s="190">
        <f>ABS(Escenario2!BN363-Escenario2!BN362)</f>
        <v>3.69679756556206E-2</v>
      </c>
      <c r="BF362" s="151"/>
    </row>
    <row r="363" spans="25:58">
      <c r="Y363" s="152"/>
      <c r="Z363" s="183">
        <f>(LíneaBase!C364-0.44)/(MAX(LíneaBase!C:C)+0.12)*100</f>
        <v>48.972771599189173</v>
      </c>
      <c r="AA363" s="184"/>
      <c r="AB363" s="182">
        <f>LíneaBase!L138</f>
        <v>0.67838706225266254</v>
      </c>
      <c r="AC363" s="184"/>
      <c r="AD363" s="182">
        <f>Escenario1!BN674</f>
        <v>0.80945514446574951</v>
      </c>
      <c r="AE363" s="184"/>
      <c r="AF363" s="182">
        <f>Escenario2!BN529</f>
        <v>0.74793650698009861</v>
      </c>
      <c r="AG363" s="184"/>
      <c r="AH363" s="182">
        <f>LíneaBase!N279</f>
        <v>0</v>
      </c>
      <c r="AI363" s="184"/>
      <c r="AJ363" s="182">
        <f>Escenario1!BP277</f>
        <v>0</v>
      </c>
      <c r="AK363" s="184"/>
      <c r="AL363" s="182">
        <f>Escenario2!BP279</f>
        <v>0</v>
      </c>
      <c r="AM363" s="151"/>
      <c r="BA363" s="152"/>
      <c r="BB363" s="75">
        <v>358</v>
      </c>
      <c r="BC363" s="190">
        <f>ABS(LíneaBase!L364-LíneaBase!L363)</f>
        <v>9.8337065098500487E-2</v>
      </c>
      <c r="BD363" s="190">
        <f>ABS(Escenario1!BN364-Escenario1!BN363)</f>
        <v>8.9691039555821805E-2</v>
      </c>
      <c r="BE363" s="190">
        <f>ABS(Escenario2!BN364-Escenario2!BN363)</f>
        <v>9.9295514901070248E-2</v>
      </c>
      <c r="BF363" s="151"/>
    </row>
    <row r="364" spans="25:58">
      <c r="Y364" s="152"/>
      <c r="Z364" s="183">
        <f>(LíneaBase!C365-0.44)/(MAX(LíneaBase!C:C)+0.12)*100</f>
        <v>49.109735385963951</v>
      </c>
      <c r="AA364" s="184"/>
      <c r="AB364" s="182">
        <f>LíneaBase!L729</f>
        <v>0.67828302930646545</v>
      </c>
      <c r="AC364" s="184"/>
      <c r="AD364" s="182">
        <f>Escenario1!BN143</f>
        <v>0.80309766460982202</v>
      </c>
      <c r="AE364" s="184"/>
      <c r="AF364" s="182">
        <f>Escenario2!BN519</f>
        <v>0.74600285531375188</v>
      </c>
      <c r="AG364" s="184"/>
      <c r="AH364" s="182">
        <f>LíneaBase!N280</f>
        <v>0</v>
      </c>
      <c r="AI364" s="184"/>
      <c r="AJ364" s="182">
        <f>Escenario1!BP278</f>
        <v>0</v>
      </c>
      <c r="AK364" s="184"/>
      <c r="AL364" s="182">
        <f>Escenario2!BP280</f>
        <v>0</v>
      </c>
      <c r="AM364" s="151"/>
      <c r="BA364" s="152"/>
      <c r="BB364" s="75">
        <v>359</v>
      </c>
      <c r="BC364" s="190">
        <f>ABS(LíneaBase!L365-LíneaBase!L364)</f>
        <v>4.6108215060594304</v>
      </c>
      <c r="BD364" s="190">
        <f>ABS(Escenario1!BN365-Escenario1!BN364)</f>
        <v>0.46243113402895697</v>
      </c>
      <c r="BE364" s="190">
        <f>ABS(Escenario2!BN365-Escenario2!BN364)</f>
        <v>0.42418962601154619</v>
      </c>
      <c r="BF364" s="151"/>
    </row>
    <row r="365" spans="25:58">
      <c r="Y365" s="152"/>
      <c r="Z365" s="183">
        <f>(LíneaBase!C366-0.44)/(MAX(LíneaBase!C:C)+0.12)*100</f>
        <v>49.24669917273873</v>
      </c>
      <c r="AA365" s="184"/>
      <c r="AB365" s="182">
        <f>LíneaBase!L675</f>
        <v>0.67791539928352174</v>
      </c>
      <c r="AC365" s="184"/>
      <c r="AD365" s="182">
        <f>Escenario1!BN514</f>
        <v>0.80210266133206576</v>
      </c>
      <c r="AE365" s="184"/>
      <c r="AF365" s="182">
        <f>Escenario2!BN335</f>
        <v>0.74444730126775871</v>
      </c>
      <c r="AG365" s="184"/>
      <c r="AH365" s="182">
        <f>LíneaBase!N281</f>
        <v>0</v>
      </c>
      <c r="AI365" s="184"/>
      <c r="AJ365" s="182">
        <f>Escenario1!BP279</f>
        <v>0</v>
      </c>
      <c r="AK365" s="184"/>
      <c r="AL365" s="182">
        <f>Escenario2!BP281</f>
        <v>0</v>
      </c>
      <c r="AM365" s="151"/>
      <c r="BA365" s="152"/>
      <c r="BB365" s="75">
        <v>360</v>
      </c>
      <c r="BC365" s="190">
        <f>ABS(LíneaBase!L366-LíneaBase!L365)</f>
        <v>4.0489307169665203</v>
      </c>
      <c r="BD365" s="190">
        <f>ABS(Escenario1!BN366-Escenario1!BN365)</f>
        <v>4.959982058957646E-3</v>
      </c>
      <c r="BE365" s="190">
        <f>ABS(Escenario2!BN366-Escenario2!BN365)</f>
        <v>4.596705074044749E-5</v>
      </c>
      <c r="BF365" s="151"/>
    </row>
    <row r="366" spans="25:58">
      <c r="Y366" s="152"/>
      <c r="Z366" s="183">
        <f>(LíneaBase!C367-0.44)/(MAX(LíneaBase!C:C)+0.12)*100</f>
        <v>49.383662959513501</v>
      </c>
      <c r="AA366" s="184"/>
      <c r="AB366" s="182">
        <f>LíneaBase!L364</f>
        <v>0.67639315005762513</v>
      </c>
      <c r="AC366" s="184"/>
      <c r="AD366" s="182">
        <f>Escenario1!BN309</f>
        <v>0.80016297462625541</v>
      </c>
      <c r="AE366" s="184"/>
      <c r="AF366" s="182">
        <f>Escenario2!BN307</f>
        <v>0.74267592736644472</v>
      </c>
      <c r="AG366" s="184"/>
      <c r="AH366" s="182">
        <f>LíneaBase!N282</f>
        <v>0</v>
      </c>
      <c r="AI366" s="184"/>
      <c r="AJ366" s="182">
        <f>Escenario1!BP280</f>
        <v>0</v>
      </c>
      <c r="AK366" s="184"/>
      <c r="AL366" s="182">
        <f>Escenario2!BP282</f>
        <v>0</v>
      </c>
      <c r="AM366" s="151"/>
      <c r="BA366" s="152"/>
      <c r="BB366" s="75">
        <v>361</v>
      </c>
      <c r="BC366" s="190">
        <f>ABS(LíneaBase!L367-LíneaBase!L366)</f>
        <v>2.0835698558121285E-2</v>
      </c>
      <c r="BD366" s="190">
        <f>ABS(Escenario1!BN367-Escenario1!BN366)</f>
        <v>1.6823407044915362E-2</v>
      </c>
      <c r="BE366" s="190">
        <f>ABS(Escenario2!BN367-Escenario2!BN366)</f>
        <v>4.5264433012892624E-5</v>
      </c>
      <c r="BF366" s="151"/>
    </row>
    <row r="367" spans="25:58">
      <c r="Y367" s="152"/>
      <c r="Z367" s="183">
        <f>(LíneaBase!C368-0.44)/(MAX(LíneaBase!C:C)+0.12)*100</f>
        <v>49.520626746288279</v>
      </c>
      <c r="AA367" s="184"/>
      <c r="AB367" s="182">
        <f>LíneaBase!L506</f>
        <v>0.6757211429505714</v>
      </c>
      <c r="AC367" s="184"/>
      <c r="AD367" s="182">
        <f>Escenario1!BN144</f>
        <v>0.795328953873362</v>
      </c>
      <c r="AE367" s="184"/>
      <c r="AF367" s="182">
        <f>Escenario2!BN150</f>
        <v>0.74166684376656677</v>
      </c>
      <c r="AG367" s="184"/>
      <c r="AH367" s="182">
        <f>LíneaBase!N283</f>
        <v>0</v>
      </c>
      <c r="AI367" s="184"/>
      <c r="AJ367" s="182">
        <f>Escenario1!BP281</f>
        <v>0</v>
      </c>
      <c r="AK367" s="184"/>
      <c r="AL367" s="182">
        <f>Escenario2!BP283</f>
        <v>0</v>
      </c>
      <c r="AM367" s="151"/>
      <c r="BA367" s="152"/>
      <c r="BB367" s="75">
        <v>362</v>
      </c>
      <c r="BC367" s="190">
        <f>ABS(LíneaBase!L368-LíneaBase!L367)</f>
        <v>0.13241460311511455</v>
      </c>
      <c r="BD367" s="190">
        <f>ABS(Escenario1!BN368-Escenario1!BN367)</f>
        <v>3.6880275426852238E-2</v>
      </c>
      <c r="BE367" s="190">
        <f>ABS(Escenario2!BN368-Escenario2!BN367)</f>
        <v>4.4572554971145095E-5</v>
      </c>
      <c r="BF367" s="151"/>
    </row>
    <row r="368" spans="25:58">
      <c r="Y368" s="152"/>
      <c r="Z368" s="183">
        <f>(LíneaBase!C369-0.44)/(MAX(LíneaBase!C:C)+0.12)*100</f>
        <v>49.657590533063058</v>
      </c>
      <c r="AA368" s="184"/>
      <c r="AB368" s="182">
        <f>LíneaBase!L310</f>
        <v>0.67468945252139179</v>
      </c>
      <c r="AC368" s="184"/>
      <c r="AD368" s="182">
        <f>Escenario1!BN515</f>
        <v>0.79433767669446709</v>
      </c>
      <c r="AE368" s="184"/>
      <c r="AF368" s="182">
        <f>Escenario2!BN520</f>
        <v>0.73817028962701792</v>
      </c>
      <c r="AG368" s="184"/>
      <c r="AH368" s="182">
        <f>LíneaBase!N284</f>
        <v>0</v>
      </c>
      <c r="AI368" s="184"/>
      <c r="AJ368" s="182">
        <f>Escenario1!BP282</f>
        <v>0</v>
      </c>
      <c r="AK368" s="184"/>
      <c r="AL368" s="182">
        <f>Escenario2!BP284</f>
        <v>0</v>
      </c>
      <c r="AM368" s="151"/>
      <c r="BA368" s="152"/>
      <c r="BB368" s="75">
        <v>363</v>
      </c>
      <c r="BC368" s="190">
        <f>ABS(LíneaBase!L369-LíneaBase!L368)</f>
        <v>8.5698432388458423E-2</v>
      </c>
      <c r="BD368" s="190">
        <f>ABS(Escenario1!BN369-Escenario1!BN368)</f>
        <v>6.9553756382478849E-3</v>
      </c>
      <c r="BE368" s="190">
        <f>ABS(Escenario2!BN369-Escenario2!BN368)</f>
        <v>4.389125245607417E-5</v>
      </c>
      <c r="BF368" s="151"/>
    </row>
    <row r="369" spans="25:58">
      <c r="Y369" s="152"/>
      <c r="Z369" s="183">
        <f>(LíneaBase!C370-0.44)/(MAX(LíneaBase!C:C)+0.12)*100</f>
        <v>49.794554319837836</v>
      </c>
      <c r="AA369" s="184"/>
      <c r="AB369" s="182">
        <f>LíneaBase!L139</f>
        <v>0.67169762174560865</v>
      </c>
      <c r="AC369" s="184"/>
      <c r="AD369" s="182">
        <f>Escenario1!BN705</f>
        <v>0.79172486650655371</v>
      </c>
      <c r="AE369" s="184"/>
      <c r="AF369" s="182">
        <f>Escenario2!BN151</f>
        <v>0.73391090912563239</v>
      </c>
      <c r="AG369" s="184"/>
      <c r="AH369" s="182">
        <f>LíneaBase!N285</f>
        <v>0</v>
      </c>
      <c r="AI369" s="184"/>
      <c r="AJ369" s="182">
        <f>Escenario1!BP283</f>
        <v>0</v>
      </c>
      <c r="AK369" s="184"/>
      <c r="AL369" s="182">
        <f>Escenario2!BP285</f>
        <v>0</v>
      </c>
      <c r="AM369" s="151"/>
      <c r="BA369" s="152"/>
      <c r="BB369" s="75">
        <v>364</v>
      </c>
      <c r="BC369" s="190">
        <f>ABS(LíneaBase!L370-LíneaBase!L369)</f>
        <v>8.5711865464548342E-3</v>
      </c>
      <c r="BD369" s="190">
        <f>ABS(Escenario1!BN370-Escenario1!BN369)</f>
        <v>6.8626656753323356E-3</v>
      </c>
      <c r="BE369" s="190">
        <f>ABS(Escenario2!BN370-Escenario2!BN369)</f>
        <v>4.3220363818319285E-5</v>
      </c>
      <c r="BF369" s="151"/>
    </row>
    <row r="370" spans="25:58">
      <c r="Y370" s="152"/>
      <c r="Z370" s="183">
        <f>(LíneaBase!C371-0.44)/(MAX(LíneaBase!C:C)+0.12)*100</f>
        <v>49.931518106612607</v>
      </c>
      <c r="AA370" s="184"/>
      <c r="AB370" s="182">
        <f>LíneaBase!L507</f>
        <v>0.66906307814019683</v>
      </c>
      <c r="AC370" s="184"/>
      <c r="AD370" s="182">
        <f>Escenario1!BN145</f>
        <v>0.78763433872760225</v>
      </c>
      <c r="AE370" s="184"/>
      <c r="AF370" s="182">
        <f>Escenario2!BN521</f>
        <v>0.73042226789893028</v>
      </c>
      <c r="AG370" s="184"/>
      <c r="AH370" s="182">
        <f>LíneaBase!N286</f>
        <v>0</v>
      </c>
      <c r="AI370" s="184"/>
      <c r="AJ370" s="182">
        <f>Escenario1!BP284</f>
        <v>0</v>
      </c>
      <c r="AK370" s="184"/>
      <c r="AL370" s="182">
        <f>Escenario2!BP286</f>
        <v>0</v>
      </c>
      <c r="AM370" s="151"/>
      <c r="BA370" s="152"/>
      <c r="BB370" s="75">
        <v>365</v>
      </c>
      <c r="BC370" s="190">
        <f>ABS(LíneaBase!L371-LíneaBase!L370)</f>
        <v>2.8563153433456279E-2</v>
      </c>
      <c r="BD370" s="190">
        <f>ABS(Escenario1!BN371-Escenario1!BN370)</f>
        <v>2.1766545782607505E-2</v>
      </c>
      <c r="BE370" s="190">
        <f>ABS(Escenario2!BN371-Escenario2!BN370)</f>
        <v>4.2559729878988151E-5</v>
      </c>
      <c r="BF370" s="151"/>
    </row>
    <row r="371" spans="25:58">
      <c r="Y371" s="152"/>
      <c r="Z371" s="183">
        <f>(LíneaBase!C372-0.44)/(MAX(LíneaBase!C:C)+0.12)*100</f>
        <v>50.068481893387386</v>
      </c>
      <c r="AA371" s="184"/>
      <c r="AB371" s="182">
        <f>LíneaBase!L140</f>
        <v>0.66507837363957345</v>
      </c>
      <c r="AC371" s="184"/>
      <c r="AD371" s="182">
        <f>Escenario1!BN516</f>
        <v>0.78664683821192816</v>
      </c>
      <c r="AE371" s="184"/>
      <c r="AF371" s="182">
        <f>Escenario2!BN43</f>
        <v>0.72851184191209573</v>
      </c>
      <c r="AG371" s="184"/>
      <c r="AH371" s="182">
        <f>LíneaBase!N287</f>
        <v>0</v>
      </c>
      <c r="AI371" s="184"/>
      <c r="AJ371" s="182">
        <f>Escenario1!BP285</f>
        <v>0</v>
      </c>
      <c r="AK371" s="184"/>
      <c r="AL371" s="182">
        <f>Escenario2!BP287</f>
        <v>0</v>
      </c>
      <c r="AM371" s="151"/>
      <c r="BA371" s="152"/>
      <c r="BB371" s="75">
        <v>366</v>
      </c>
      <c r="BC371" s="190">
        <f>ABS(LíneaBase!L372-LíneaBase!L371)</f>
        <v>3.1826317815985661</v>
      </c>
      <c r="BD371" s="190">
        <f>ABS(Escenario1!BN372-Escenario1!BN371)</f>
        <v>0.15274779269371019</v>
      </c>
      <c r="BE371" s="190">
        <f>ABS(Escenario2!BN372-Escenario2!BN371)</f>
        <v>4.1909193892797347E-5</v>
      </c>
      <c r="BF371" s="151"/>
    </row>
    <row r="372" spans="25:58">
      <c r="Y372" s="152"/>
      <c r="Z372" s="183">
        <f>(LíneaBase!C373-0.44)/(MAX(LíneaBase!C:C)+0.12)*100</f>
        <v>50.205445680162164</v>
      </c>
      <c r="AA372" s="184"/>
      <c r="AB372" s="182">
        <f>LíneaBase!L508</f>
        <v>0.66247063638255332</v>
      </c>
      <c r="AC372" s="184"/>
      <c r="AD372" s="182">
        <f>Escenario1!BN340</f>
        <v>0.7848882402083035</v>
      </c>
      <c r="AE372" s="184"/>
      <c r="AF372" s="182">
        <f>Escenario2!BN152</f>
        <v>0.72623824509807566</v>
      </c>
      <c r="AG372" s="184"/>
      <c r="AH372" s="182">
        <f>LíneaBase!N288</f>
        <v>0</v>
      </c>
      <c r="AI372" s="184"/>
      <c r="AJ372" s="182">
        <f>Escenario1!BP286</f>
        <v>0</v>
      </c>
      <c r="AK372" s="184"/>
      <c r="AL372" s="182">
        <f>Escenario2!BP288</f>
        <v>0</v>
      </c>
      <c r="AM372" s="151"/>
      <c r="BA372" s="152"/>
      <c r="BB372" s="75">
        <v>367</v>
      </c>
      <c r="BC372" s="190">
        <f>ABS(LíneaBase!L373-LíneaBase!L372)</f>
        <v>3.1185994715036043</v>
      </c>
      <c r="BD372" s="190">
        <f>ABS(Escenario1!BN373-Escenario1!BN372)</f>
        <v>7.6333343230826411E-2</v>
      </c>
      <c r="BE372" s="190">
        <f>ABS(Escenario2!BN373-Escenario2!BN372)</f>
        <v>4.1268601509880654E-5</v>
      </c>
      <c r="BF372" s="151"/>
    </row>
    <row r="373" spans="25:58">
      <c r="Y373" s="152"/>
      <c r="Z373" s="183">
        <f>(LíneaBase!C374-0.44)/(MAX(LíneaBase!C:C)+0.12)*100</f>
        <v>50.342409466936942</v>
      </c>
      <c r="AA373" s="184"/>
      <c r="AB373" s="182">
        <f>LíneaBase!L141</f>
        <v>0.65852505672777972</v>
      </c>
      <c r="AC373" s="184"/>
      <c r="AD373" s="182">
        <f>Escenario1!BN146</f>
        <v>0.78001312790418231</v>
      </c>
      <c r="AE373" s="184"/>
      <c r="AF373" s="182">
        <f>Escenario2!BN522</f>
        <v>0.72275784447872704</v>
      </c>
      <c r="AG373" s="184"/>
      <c r="AH373" s="182">
        <f>LíneaBase!N289</f>
        <v>0</v>
      </c>
      <c r="AI373" s="184"/>
      <c r="AJ373" s="182">
        <f>Escenario1!BP287</f>
        <v>0</v>
      </c>
      <c r="AK373" s="184"/>
      <c r="AL373" s="182">
        <f>Escenario2!BP289</f>
        <v>0</v>
      </c>
      <c r="AM373" s="151"/>
      <c r="BA373" s="152"/>
      <c r="BB373" s="75">
        <v>368</v>
      </c>
      <c r="BC373" s="190">
        <f>ABS(LíneaBase!L374-LíneaBase!L373)</f>
        <v>1.8220065983814755</v>
      </c>
      <c r="BD373" s="190">
        <f>ABS(Escenario1!BN374-Escenario1!BN373)</f>
        <v>0.15790735994559446</v>
      </c>
      <c r="BE373" s="190">
        <f>ABS(Escenario2!BN374-Escenario2!BN373)</f>
        <v>4.063780073981782E-5</v>
      </c>
      <c r="BF373" s="151"/>
    </row>
    <row r="374" spans="25:58">
      <c r="Y374" s="152"/>
      <c r="Z374" s="183">
        <f>(LíneaBase!C375-0.44)/(MAX(LíneaBase!C:C)+0.12)*100</f>
        <v>50.479373253711721</v>
      </c>
      <c r="AA374" s="184"/>
      <c r="AB374" s="182">
        <f>LíneaBase!L509</f>
        <v>0.65594315476851861</v>
      </c>
      <c r="AC374" s="184"/>
      <c r="AD374" s="182">
        <f>Escenario1!BN517</f>
        <v>0.77902944480313119</v>
      </c>
      <c r="AE374" s="184"/>
      <c r="AF374" s="182">
        <f>Escenario2!BN153</f>
        <v>0.71864792650176512</v>
      </c>
      <c r="AG374" s="184"/>
      <c r="AH374" s="182">
        <f>LíneaBase!N290</f>
        <v>0</v>
      </c>
      <c r="AI374" s="184"/>
      <c r="AJ374" s="182">
        <f>Escenario1!BP288</f>
        <v>0</v>
      </c>
      <c r="AK374" s="184"/>
      <c r="AL374" s="182">
        <f>Escenario2!BP290</f>
        <v>0</v>
      </c>
      <c r="AM374" s="151"/>
      <c r="BA374" s="152"/>
      <c r="BB374" s="75">
        <v>369</v>
      </c>
      <c r="BC374" s="190">
        <f>ABS(LíneaBase!L375-LíneaBase!L374)</f>
        <v>1.696897984637606</v>
      </c>
      <c r="BD374" s="190">
        <f>ABS(Escenario1!BN375-Escenario1!BN374)</f>
        <v>3.2613156169863489E-2</v>
      </c>
      <c r="BE374" s="190">
        <f>ABS(Escenario2!BN375-Escenario2!BN374)</f>
        <v>4.0016641914997209E-5</v>
      </c>
      <c r="BF374" s="151"/>
    </row>
    <row r="375" spans="25:58">
      <c r="Y375" s="152"/>
      <c r="Z375" s="183">
        <f>(LíneaBase!C376-0.44)/(MAX(LíneaBase!C:C)+0.12)*100</f>
        <v>50.616337040486492</v>
      </c>
      <c r="AA375" s="184"/>
      <c r="AB375" s="182">
        <f>LíneaBase!L142</f>
        <v>0.65203642905074688</v>
      </c>
      <c r="AC375" s="184"/>
      <c r="AD375" s="182">
        <f>Escenario1!BN147</f>
        <v>0.7724645995906303</v>
      </c>
      <c r="AE375" s="184"/>
      <c r="AF375" s="182">
        <f>Escenario2!BN698</f>
        <v>0.7184903261834209</v>
      </c>
      <c r="AG375" s="184"/>
      <c r="AH375" s="182">
        <f>LíneaBase!N292</f>
        <v>0</v>
      </c>
      <c r="AI375" s="184"/>
      <c r="AJ375" s="182">
        <f>Escenario1!BP289</f>
        <v>0</v>
      </c>
      <c r="AK375" s="184"/>
      <c r="AL375" s="182">
        <f>Escenario2!BP292</f>
        <v>0</v>
      </c>
      <c r="AM375" s="151"/>
      <c r="BA375" s="152"/>
      <c r="BB375" s="75">
        <v>370</v>
      </c>
      <c r="BC375" s="190">
        <f>ABS(LíneaBase!L376-LíneaBase!L375)</f>
        <v>0.52943615123139587</v>
      </c>
      <c r="BD375" s="190">
        <f>ABS(Escenario1!BN376-Escenario1!BN375)</f>
        <v>7.538317323340471E-2</v>
      </c>
      <c r="BE375" s="190">
        <f>ABS(Escenario2!BN376-Escenario2!BN375)</f>
        <v>2.0510698605491484E-4</v>
      </c>
      <c r="BF375" s="151"/>
    </row>
    <row r="376" spans="25:58">
      <c r="Y376" s="152"/>
      <c r="Z376" s="183">
        <f>(LíneaBase!C377-0.44)/(MAX(LíneaBase!C:C)+0.12)*100</f>
        <v>50.75330082726127</v>
      </c>
      <c r="AA376" s="184"/>
      <c r="AB376" s="182">
        <f>LíneaBase!L529</f>
        <v>0.65003440266923551</v>
      </c>
      <c r="AC376" s="184"/>
      <c r="AD376" s="182">
        <f>Escenario1!BN164</f>
        <v>0.77172762074206591</v>
      </c>
      <c r="AE376" s="184"/>
      <c r="AF376" s="182">
        <f>Escenario2!BN728</f>
        <v>0.71835086009103022</v>
      </c>
      <c r="AG376" s="184"/>
      <c r="AH376" s="182">
        <f>LíneaBase!N296</f>
        <v>0</v>
      </c>
      <c r="AI376" s="184"/>
      <c r="AJ376" s="182">
        <f>Escenario1!BP290</f>
        <v>0</v>
      </c>
      <c r="AK376" s="184"/>
      <c r="AL376" s="182">
        <f>Escenario2!BP296</f>
        <v>0</v>
      </c>
      <c r="AM376" s="151"/>
      <c r="BA376" s="152"/>
      <c r="BB376" s="75">
        <v>371</v>
      </c>
      <c r="BC376" s="190">
        <f>ABS(LíneaBase!L377-LíneaBase!L376)</f>
        <v>1.7580146040992526</v>
      </c>
      <c r="BD376" s="190">
        <f>ABS(Escenario1!BN377-Escenario1!BN376)</f>
        <v>0.11340429023349707</v>
      </c>
      <c r="BE376" s="190">
        <f>ABS(Escenario2!BN377-Escenario2!BN376)</f>
        <v>1.9471360433449547E-3</v>
      </c>
      <c r="BF376" s="151"/>
    </row>
    <row r="377" spans="25:58">
      <c r="Y377" s="152"/>
      <c r="Z377" s="183">
        <f>(LíneaBase!C378-0.44)/(MAX(LíneaBase!C:C)+0.12)*100</f>
        <v>50.890264614036049</v>
      </c>
      <c r="AA377" s="184"/>
      <c r="AB377" s="182">
        <f>LíneaBase!L510</f>
        <v>0.64947999052397776</v>
      </c>
      <c r="AC377" s="184"/>
      <c r="AD377" s="182">
        <f>Escenario1!BN518</f>
        <v>0.77148478008623989</v>
      </c>
      <c r="AE377" s="184"/>
      <c r="AF377" s="182">
        <f>Escenario2!BN164</f>
        <v>0.71690111387063449</v>
      </c>
      <c r="AG377" s="184"/>
      <c r="AH377" s="182">
        <f>LíneaBase!N297</f>
        <v>0</v>
      </c>
      <c r="AI377" s="184"/>
      <c r="AJ377" s="182">
        <f>Escenario1!BP292</f>
        <v>0</v>
      </c>
      <c r="AK377" s="184"/>
      <c r="AL377" s="182">
        <f>Escenario2!BP297</f>
        <v>0</v>
      </c>
      <c r="AM377" s="151"/>
      <c r="BA377" s="152"/>
      <c r="BB377" s="75">
        <v>372</v>
      </c>
      <c r="BC377" s="190">
        <f>ABS(LíneaBase!L378-LíneaBase!L377)</f>
        <v>2.1904900973887411</v>
      </c>
      <c r="BD377" s="190">
        <f>ABS(Escenario1!BN378-Escenario1!BN377)</f>
        <v>8.130660174462534E-2</v>
      </c>
      <c r="BE377" s="190">
        <f>ABS(Escenario2!BN378-Escenario2!BN377)</f>
        <v>4.725152330544713E-4</v>
      </c>
      <c r="BF377" s="151"/>
    </row>
    <row r="378" spans="25:58">
      <c r="Y378" s="152"/>
      <c r="Z378" s="183">
        <f>(LíneaBase!C379-0.44)/(MAX(LíneaBase!C:C)+0.12)*100</f>
        <v>51.02722840081082</v>
      </c>
      <c r="AA378" s="184"/>
      <c r="AB378" s="182">
        <f>LíneaBase!L706</f>
        <v>0.64721784549469152</v>
      </c>
      <c r="AC378" s="184"/>
      <c r="AD378" s="182">
        <f>Escenario1!BN531</f>
        <v>0.76752102459972249</v>
      </c>
      <c r="AE378" s="184"/>
      <c r="AF378" s="182">
        <f>Escenario2!BN523</f>
        <v>0.71517608475477812</v>
      </c>
      <c r="AG378" s="184"/>
      <c r="AH378" s="182">
        <f>LíneaBase!N300</f>
        <v>0</v>
      </c>
      <c r="AI378" s="184"/>
      <c r="AJ378" s="182">
        <f>Escenario1!BP296</f>
        <v>0</v>
      </c>
      <c r="AK378" s="184"/>
      <c r="AL378" s="182">
        <f>Escenario2!BP300</f>
        <v>0</v>
      </c>
      <c r="AM378" s="151"/>
      <c r="BA378" s="152"/>
      <c r="BB378" s="75">
        <v>373</v>
      </c>
      <c r="BC378" s="190">
        <f>ABS(LíneaBase!L379-LíneaBase!L378)</f>
        <v>0.11536205445634384</v>
      </c>
      <c r="BD378" s="190">
        <f>ABS(Escenario1!BN379-Escenario1!BN378)</f>
        <v>0.10022589907863866</v>
      </c>
      <c r="BE378" s="190">
        <f>ABS(Escenario2!BN379-Escenario2!BN378)</f>
        <v>7.9525056185802967E-5</v>
      </c>
      <c r="BF378" s="151"/>
    </row>
    <row r="379" spans="25:58">
      <c r="Y379" s="152"/>
      <c r="Z379" s="183">
        <f>(LíneaBase!C380-0.44)/(MAX(LíneaBase!C:C)+0.12)*100</f>
        <v>51.164192187585599</v>
      </c>
      <c r="AA379" s="184"/>
      <c r="AB379" s="182">
        <f>LíneaBase!L143</f>
        <v>0.64561175492201361</v>
      </c>
      <c r="AC379" s="184"/>
      <c r="AD379" s="182">
        <f>Escenario1!BN148</f>
        <v>0.76498805549464988</v>
      </c>
      <c r="AE379" s="184"/>
      <c r="AF379" s="182">
        <f>Escenario2!BN704</f>
        <v>0.7149416941375365</v>
      </c>
      <c r="AG379" s="184"/>
      <c r="AH379" s="182">
        <f>LíneaBase!N301</f>
        <v>0</v>
      </c>
      <c r="AI379" s="184"/>
      <c r="AJ379" s="182">
        <f>Escenario1!BP297</f>
        <v>0</v>
      </c>
      <c r="AK379" s="184"/>
      <c r="AL379" s="182">
        <f>Escenario2!BP301</f>
        <v>0</v>
      </c>
      <c r="AM379" s="151"/>
      <c r="BA379" s="152"/>
      <c r="BB379" s="75">
        <v>374</v>
      </c>
      <c r="BC379" s="190">
        <f>ABS(LíneaBase!L380-LíneaBase!L379)</f>
        <v>0.11138603602544084</v>
      </c>
      <c r="BD379" s="190">
        <f>ABS(Escenario1!BN380-Escenario1!BN379)</f>
        <v>9.6865486191885841E-2</v>
      </c>
      <c r="BE379" s="190">
        <f>ABS(Escenario2!BN380-Escenario2!BN379)</f>
        <v>7.8309496054140837E-5</v>
      </c>
      <c r="BF379" s="151"/>
    </row>
    <row r="380" spans="25:58">
      <c r="Y380" s="152"/>
      <c r="Z380" s="183">
        <f>(LíneaBase!C381-0.44)/(MAX(LíneaBase!C:C)+0.12)*100</f>
        <v>51.301155974360377</v>
      </c>
      <c r="AA380" s="184"/>
      <c r="AB380" s="182">
        <f>LíneaBase!L341</f>
        <v>0.64484459318533982</v>
      </c>
      <c r="AC380" s="184"/>
      <c r="AD380" s="182">
        <f>Escenario1!BN519</f>
        <v>0.76401214440498721</v>
      </c>
      <c r="AE380" s="184"/>
      <c r="AF380" s="182">
        <f>Escenario2!BN363</f>
        <v>0.71491317104487884</v>
      </c>
      <c r="AG380" s="184"/>
      <c r="AH380" s="182">
        <f>LíneaBase!N302</f>
        <v>0</v>
      </c>
      <c r="AI380" s="184"/>
      <c r="AJ380" s="182">
        <f>Escenario1!BP300</f>
        <v>0</v>
      </c>
      <c r="AK380" s="184"/>
      <c r="AL380" s="182">
        <f>Escenario2!BP302</f>
        <v>0</v>
      </c>
      <c r="AM380" s="151"/>
      <c r="BA380" s="152"/>
      <c r="BB380" s="75">
        <v>375</v>
      </c>
      <c r="BC380" s="190">
        <f>ABS(LíneaBase!L381-LíneaBase!L380)</f>
        <v>0.10436749279957325</v>
      </c>
      <c r="BD380" s="190">
        <f>ABS(Escenario1!BN381-Escenario1!BN380)</f>
        <v>9.0844619016592354E-2</v>
      </c>
      <c r="BE380" s="190">
        <f>ABS(Escenario2!BN381-Escenario2!BN380)</f>
        <v>7.7112516059241187E-5</v>
      </c>
      <c r="BF380" s="151"/>
    </row>
    <row r="381" spans="25:58">
      <c r="Y381" s="152"/>
      <c r="Z381" s="183">
        <f>(LíneaBase!C382-0.44)/(MAX(LíneaBase!C:C)+0.12)*100</f>
        <v>51.438119761135162</v>
      </c>
      <c r="AA381" s="184"/>
      <c r="AB381" s="182">
        <f>LíneaBase!L511</f>
        <v>0.64308050946548834</v>
      </c>
      <c r="AC381" s="184"/>
      <c r="AD381" s="182">
        <f>Escenario1!BN532</f>
        <v>0.76181880094424925</v>
      </c>
      <c r="AE381" s="184"/>
      <c r="AF381" s="182">
        <f>Escenario2!BN333</f>
        <v>0.71375566681195945</v>
      </c>
      <c r="AG381" s="184"/>
      <c r="AH381" s="182">
        <f>LíneaBase!N303</f>
        <v>0</v>
      </c>
      <c r="AI381" s="184"/>
      <c r="AJ381" s="182">
        <f>Escenario1!BP301</f>
        <v>0</v>
      </c>
      <c r="AK381" s="184"/>
      <c r="AL381" s="182">
        <f>Escenario2!BP303</f>
        <v>0</v>
      </c>
      <c r="AM381" s="151"/>
      <c r="BA381" s="152"/>
      <c r="BB381" s="75">
        <v>376</v>
      </c>
      <c r="BC381" s="190">
        <f>ABS(LíneaBase!L382-LíneaBase!L381)</f>
        <v>4.1581102195018538E-3</v>
      </c>
      <c r="BD381" s="190">
        <f>ABS(Escenario1!BN382-Escenario1!BN381)</f>
        <v>2.7631778192358514E-3</v>
      </c>
      <c r="BE381" s="190">
        <f>ABS(Escenario2!BN382-Escenario2!BN381)</f>
        <v>7.5933832199615026E-5</v>
      </c>
      <c r="BF381" s="151"/>
    </row>
    <row r="382" spans="25:58">
      <c r="Y382" s="152"/>
      <c r="Z382" s="183">
        <f>(LíneaBase!C383-0.44)/(MAX(LíneaBase!C:C)+0.12)*100</f>
        <v>51.575083547909927</v>
      </c>
      <c r="AA382" s="184"/>
      <c r="AB382" s="182">
        <f>LíneaBase!L144</f>
        <v>0.63925038788248234</v>
      </c>
      <c r="AC382" s="184"/>
      <c r="AD382" s="182">
        <f>Escenario1!BN530</f>
        <v>0.76163862873138755</v>
      </c>
      <c r="AE382" s="184"/>
      <c r="AF382" s="182">
        <f>Escenario2!BN154</f>
        <v>0.71113903887092988</v>
      </c>
      <c r="AG382" s="184"/>
      <c r="AH382" s="182">
        <f>LíneaBase!N305</f>
        <v>0</v>
      </c>
      <c r="AI382" s="184"/>
      <c r="AJ382" s="182">
        <f>Escenario1!BP302</f>
        <v>0</v>
      </c>
      <c r="AK382" s="184"/>
      <c r="AL382" s="182">
        <f>Escenario2!BP305</f>
        <v>0</v>
      </c>
      <c r="AM382" s="151"/>
      <c r="BA382" s="152"/>
      <c r="BB382" s="75">
        <v>377</v>
      </c>
      <c r="BC382" s="190">
        <f>ABS(LíneaBase!L383-LíneaBase!L382)</f>
        <v>2.691838401222499</v>
      </c>
      <c r="BD382" s="190">
        <f>ABS(Escenario1!BN383-Escenario1!BN382)</f>
        <v>0.38512315555749699</v>
      </c>
      <c r="BE382" s="190">
        <f>ABS(Escenario2!BN383-Escenario2!BN382)</f>
        <v>1.9896753043995297E-3</v>
      </c>
      <c r="BF382" s="151"/>
    </row>
    <row r="383" spans="25:58">
      <c r="Y383" s="152"/>
      <c r="Z383" s="183">
        <f>(LíneaBase!C384-0.44)/(MAX(LíneaBase!C:C)+0.12)*100</f>
        <v>51.712047334684705</v>
      </c>
      <c r="AA383" s="184"/>
      <c r="AB383" s="182">
        <f>LíneaBase!L512</f>
        <v>0.63674408403293137</v>
      </c>
      <c r="AC383" s="184"/>
      <c r="AD383" s="182">
        <f>Escenario1!BN149</f>
        <v>0.75758282290960388</v>
      </c>
      <c r="AE383" s="184"/>
      <c r="AF383" s="182">
        <f>Escenario2!BN339</f>
        <v>0.71050183384077181</v>
      </c>
      <c r="AG383" s="184"/>
      <c r="AH383" s="182">
        <f>LíneaBase!N306</f>
        <v>0</v>
      </c>
      <c r="AI383" s="184"/>
      <c r="AJ383" s="182">
        <f>Escenario1!BP303</f>
        <v>0</v>
      </c>
      <c r="AK383" s="184"/>
      <c r="AL383" s="182">
        <f>Escenario2!BP306</f>
        <v>0</v>
      </c>
      <c r="AM383" s="151"/>
      <c r="BA383" s="152"/>
      <c r="BB383" s="75">
        <v>378</v>
      </c>
      <c r="BC383" s="190">
        <f>ABS(LíneaBase!L384-LíneaBase!L383)</f>
        <v>2.3764174437938417</v>
      </c>
      <c r="BD383" s="190">
        <f>ABS(Escenario1!BN384-Escenario1!BN383)</f>
        <v>9.098661882697634E-2</v>
      </c>
      <c r="BE383" s="190">
        <f>ABS(Escenario2!BN384-Escenario2!BN383)</f>
        <v>2.8664115731413808E-4</v>
      </c>
      <c r="BF383" s="151"/>
    </row>
    <row r="384" spans="25:58">
      <c r="Y384" s="152"/>
      <c r="Z384" s="183">
        <f>(LíneaBase!C385-0.44)/(MAX(LíneaBase!C:C)+0.12)*100</f>
        <v>51.84901112145949</v>
      </c>
      <c r="AA384" s="184"/>
      <c r="AB384" s="182">
        <f>LíneaBase!L164</f>
        <v>0.63634073580302652</v>
      </c>
      <c r="AC384" s="184"/>
      <c r="AD384" s="182">
        <f>Escenario1!BN520</f>
        <v>0.75661086066327154</v>
      </c>
      <c r="AE384" s="184"/>
      <c r="AF384" s="182">
        <f>Escenario2!BN155</f>
        <v>0.70371067832610523</v>
      </c>
      <c r="AG384" s="184"/>
      <c r="AH384" s="182">
        <f>LíneaBase!N307</f>
        <v>0</v>
      </c>
      <c r="AI384" s="184"/>
      <c r="AJ384" s="182">
        <f>Escenario1!BP305</f>
        <v>0</v>
      </c>
      <c r="AK384" s="184"/>
      <c r="AL384" s="182">
        <f>Escenario2!BP307</f>
        <v>0</v>
      </c>
      <c r="AM384" s="151"/>
      <c r="BA384" s="152"/>
      <c r="BB384" s="75">
        <v>379</v>
      </c>
      <c r="BC384" s="190">
        <f>ABS(LíneaBase!L385-LíneaBase!L384)</f>
        <v>0.10094808864350768</v>
      </c>
      <c r="BD384" s="190">
        <f>ABS(Escenario1!BN385-Escenario1!BN384)</f>
        <v>8.794634589988326E-2</v>
      </c>
      <c r="BE384" s="190">
        <f>ABS(Escenario2!BN385-Escenario2!BN384)</f>
        <v>1.0956722433030919E-4</v>
      </c>
      <c r="BF384" s="151"/>
    </row>
    <row r="385" spans="25:58">
      <c r="Y385" s="152"/>
      <c r="Z385" s="183">
        <f>(LíneaBase!C386-0.44)/(MAX(LíneaBase!C:C)+0.12)*100</f>
        <v>51.985974908234269</v>
      </c>
      <c r="AA385" s="184"/>
      <c r="AB385" s="182">
        <f>LíneaBase!L145</f>
        <v>0.6329517014459769</v>
      </c>
      <c r="AC385" s="184"/>
      <c r="AD385" s="182">
        <f>Escenario1!BN150</f>
        <v>0.75024823436829013</v>
      </c>
      <c r="AE385" s="184"/>
      <c r="AF385" s="182">
        <f>Escenario2!BN156</f>
        <v>0.69636195144573632</v>
      </c>
      <c r="AG385" s="184"/>
      <c r="AH385" s="182">
        <f>LíneaBase!N308</f>
        <v>0</v>
      </c>
      <c r="AI385" s="184"/>
      <c r="AJ385" s="182">
        <f>Escenario1!BP306</f>
        <v>0</v>
      </c>
      <c r="AK385" s="184"/>
      <c r="AL385" s="182">
        <f>Escenario2!BP308</f>
        <v>0</v>
      </c>
      <c r="AM385" s="151"/>
      <c r="BA385" s="152"/>
      <c r="BB385" s="75">
        <v>380</v>
      </c>
      <c r="BC385" s="190">
        <f>ABS(LíneaBase!L386-LíneaBase!L385)</f>
        <v>9.4123428791996089E-2</v>
      </c>
      <c r="BD385" s="190">
        <f>ABS(Escenario1!BN386-Escenario1!BN385)</f>
        <v>8.20981772727154E-2</v>
      </c>
      <c r="BE385" s="190">
        <f>ABS(Escenario2!BN386-Escenario2!BN385)</f>
        <v>1.0789246223619209E-4</v>
      </c>
      <c r="BF385" s="151"/>
    </row>
    <row r="386" spans="25:58">
      <c r="Y386" s="152"/>
      <c r="Z386" s="183">
        <f>(LíneaBase!C387-0.44)/(MAX(LíneaBase!C:C)+0.12)*100</f>
        <v>52.122938695009033</v>
      </c>
      <c r="AA386" s="184"/>
      <c r="AB386" s="182">
        <f>LíneaBase!L513</f>
        <v>0.63047009291184053</v>
      </c>
      <c r="AC386" s="184"/>
      <c r="AD386" s="182">
        <f>Escenario1!BN521</f>
        <v>0.74928024810637261</v>
      </c>
      <c r="AE386" s="184"/>
      <c r="AF386" s="182">
        <f>Escenario2!BN573</f>
        <v>0.69418620893498861</v>
      </c>
      <c r="AG386" s="184"/>
      <c r="AH386" s="182">
        <f>LíneaBase!N309</f>
        <v>0</v>
      </c>
      <c r="AI386" s="184"/>
      <c r="AJ386" s="182">
        <f>Escenario1!BP307</f>
        <v>0</v>
      </c>
      <c r="AK386" s="184"/>
      <c r="AL386" s="182">
        <f>Escenario2!BP309</f>
        <v>0</v>
      </c>
      <c r="AM386" s="151"/>
      <c r="BA386" s="152"/>
      <c r="BB386" s="75">
        <v>381</v>
      </c>
      <c r="BC386" s="190">
        <f>ABS(LíneaBase!L387-LíneaBase!L386)</f>
        <v>0.10850389788040182</v>
      </c>
      <c r="BD386" s="190">
        <f>ABS(Escenario1!BN387-Escenario1!BN386)</f>
        <v>9.4944632499996962E-2</v>
      </c>
      <c r="BE386" s="190">
        <f>ABS(Escenario2!BN387-Escenario2!BN386)</f>
        <v>1.0624329929442844E-4</v>
      </c>
      <c r="BF386" s="151"/>
    </row>
    <row r="387" spans="25:58">
      <c r="Y387" s="152"/>
      <c r="Z387" s="183">
        <f>(LíneaBase!C388-0.44)/(MAX(LíneaBase!C:C)+0.12)*100</f>
        <v>52.259902481783818</v>
      </c>
      <c r="AA387" s="184"/>
      <c r="AB387" s="182">
        <f>LíneaBase!L146</f>
        <v>0.6267150775565048</v>
      </c>
      <c r="AC387" s="184"/>
      <c r="AD387" s="182">
        <f>Escenario1!BN699</f>
        <v>0.74773848465911552</v>
      </c>
      <c r="AE387" s="184"/>
      <c r="AF387" s="182">
        <f>Escenario2!BN531</f>
        <v>0.6931814240376909</v>
      </c>
      <c r="AG387" s="184"/>
      <c r="AH387" s="182">
        <f>LíneaBase!N310</f>
        <v>0</v>
      </c>
      <c r="AI387" s="184"/>
      <c r="AJ387" s="182">
        <f>Escenario1!BP308</f>
        <v>0</v>
      </c>
      <c r="AK387" s="184"/>
      <c r="AL387" s="182">
        <f>Escenario2!BP310</f>
        <v>0</v>
      </c>
      <c r="AM387" s="151"/>
      <c r="BA387" s="152"/>
      <c r="BB387" s="75">
        <v>382</v>
      </c>
      <c r="BC387" s="190">
        <f>ABS(LíneaBase!L388-LíneaBase!L387)</f>
        <v>0.5243453059882186</v>
      </c>
      <c r="BD387" s="190">
        <f>ABS(Escenario1!BN388-Escenario1!BN387)</f>
        <v>0.1726453430705126</v>
      </c>
      <c r="BE387" s="190">
        <f>ABS(Escenario2!BN388-Escenario2!BN387)</f>
        <v>1.04619344215795E-4</v>
      </c>
      <c r="BF387" s="151"/>
    </row>
    <row r="388" spans="25:58">
      <c r="Y388" s="152"/>
      <c r="Z388" s="183">
        <f>(LíneaBase!C389-0.44)/(MAX(LíneaBase!C:C)+0.12)*100</f>
        <v>52.396866268558597</v>
      </c>
      <c r="AA388" s="184"/>
      <c r="AB388" s="182">
        <f>LíneaBase!L514</f>
        <v>0.62425792092002241</v>
      </c>
      <c r="AC388" s="184"/>
      <c r="AD388" s="182">
        <f>Escenario1!BN151</f>
        <v>0.74298361969675619</v>
      </c>
      <c r="AE388" s="184"/>
      <c r="AF388" s="182">
        <f>Escenario2!BN530</f>
        <v>0.69303228124308924</v>
      </c>
      <c r="AG388" s="184"/>
      <c r="AH388" s="182">
        <f>LíneaBase!N311</f>
        <v>0</v>
      </c>
      <c r="AI388" s="184"/>
      <c r="AJ388" s="182">
        <f>Escenario1!BP309</f>
        <v>0</v>
      </c>
      <c r="AK388" s="184"/>
      <c r="AL388" s="182">
        <f>Escenario2!BP311</f>
        <v>0</v>
      </c>
      <c r="AM388" s="151"/>
      <c r="BA388" s="152"/>
      <c r="BB388" s="75">
        <v>383</v>
      </c>
      <c r="BC388" s="190">
        <f>ABS(LíneaBase!L389-LíneaBase!L388)</f>
        <v>0.36327162041851735</v>
      </c>
      <c r="BD388" s="190">
        <f>ABS(Escenario1!BN389-Escenario1!BN388)</f>
        <v>1.9905228711831757E-2</v>
      </c>
      <c r="BE388" s="190">
        <f>ABS(Escenario2!BN389-Escenario2!BN388)</f>
        <v>1.0302021169139586E-4</v>
      </c>
      <c r="BF388" s="151"/>
    </row>
    <row r="389" spans="25:58">
      <c r="Y389" s="152"/>
      <c r="Z389" s="183">
        <f>(LíneaBase!C390-0.44)/(MAX(LíneaBase!C:C)+0.12)*100</f>
        <v>52.533830055333375</v>
      </c>
      <c r="AA389" s="184"/>
      <c r="AB389" s="182">
        <f>LíneaBase!L147</f>
        <v>0.6205399046224892</v>
      </c>
      <c r="AC389" s="184"/>
      <c r="AD389" s="182">
        <f>Escenario1!BN522</f>
        <v>0.74201964150836941</v>
      </c>
      <c r="AE389" s="184"/>
      <c r="AF389" s="182">
        <f>Escenario2!BN157</f>
        <v>0.68909197513941445</v>
      </c>
      <c r="AG389" s="184"/>
      <c r="AH389" s="182">
        <f>LíneaBase!N312</f>
        <v>0</v>
      </c>
      <c r="AI389" s="184"/>
      <c r="AJ389" s="182">
        <f>Escenario1!BP310</f>
        <v>0</v>
      </c>
      <c r="AK389" s="184"/>
      <c r="AL389" s="182">
        <f>Escenario2!BP312</f>
        <v>0</v>
      </c>
      <c r="AM389" s="151"/>
      <c r="BA389" s="152"/>
      <c r="BB389" s="75">
        <v>384</v>
      </c>
      <c r="BC389" s="190">
        <f>ABS(LíneaBase!L390-LíneaBase!L389)</f>
        <v>0.38697583237158684</v>
      </c>
      <c r="BD389" s="190">
        <f>ABS(Escenario1!BN390-Escenario1!BN389)</f>
        <v>0.14131113446801291</v>
      </c>
      <c r="BE389" s="190">
        <f>ABS(Escenario2!BN390-Escenario2!BN389)</f>
        <v>1.0144552230317849E-4</v>
      </c>
      <c r="BF389" s="151"/>
    </row>
    <row r="390" spans="25:58">
      <c r="Y390" s="152"/>
      <c r="Z390" s="183">
        <f>(LíneaBase!C391-0.44)/(MAX(LíneaBase!C:C)+0.12)*100</f>
        <v>52.670793842108147</v>
      </c>
      <c r="AA390" s="184"/>
      <c r="AB390" s="182">
        <f>LíneaBase!L515</f>
        <v>0.61810695893853129</v>
      </c>
      <c r="AC390" s="184"/>
      <c r="AD390" s="182">
        <f>Escenario1!BN334</f>
        <v>0.7404834579387467</v>
      </c>
      <c r="AE390" s="184"/>
      <c r="AF390" s="182">
        <f>Escenario2!BN532</f>
        <v>0.68208831515452262</v>
      </c>
      <c r="AG390" s="184"/>
      <c r="AH390" s="182">
        <f>LíneaBase!N313</f>
        <v>0</v>
      </c>
      <c r="AI390" s="184"/>
      <c r="AJ390" s="182">
        <f>Escenario1!BP311</f>
        <v>0</v>
      </c>
      <c r="AK390" s="184"/>
      <c r="AL390" s="182">
        <f>Escenario2!BP313</f>
        <v>0</v>
      </c>
      <c r="AM390" s="151"/>
      <c r="BA390" s="152"/>
      <c r="BB390" s="75">
        <v>385</v>
      </c>
      <c r="BC390" s="190">
        <f>ABS(LíneaBase!L391-LíneaBase!L390)</f>
        <v>0.15833146476772653</v>
      </c>
      <c r="BD390" s="190">
        <f>ABS(Escenario1!BN391-Escenario1!BN390)</f>
        <v>3.3543194678415045E-2</v>
      </c>
      <c r="BE390" s="190">
        <f>ABS(Escenario2!BN391-Escenario2!BN390)</f>
        <v>5.2602548966307339E-4</v>
      </c>
      <c r="BF390" s="151"/>
    </row>
    <row r="391" spans="25:58">
      <c r="Y391" s="152"/>
      <c r="Z391" s="183">
        <f>(LíneaBase!C392-0.44)/(MAX(LíneaBase!C:C)+0.12)*100</f>
        <v>52.807757628882925</v>
      </c>
      <c r="AA391" s="184"/>
      <c r="AB391" s="182">
        <f>LíneaBase!L148</f>
        <v>0.61442557714066437</v>
      </c>
      <c r="AC391" s="184"/>
      <c r="AD391" s="182">
        <f>Escenario1!BN573</f>
        <v>0.73673392130219106</v>
      </c>
      <c r="AE391" s="184"/>
      <c r="AF391" s="182">
        <f>Escenario2!BN158</f>
        <v>0.68189987652272532</v>
      </c>
      <c r="AG391" s="184"/>
      <c r="AH391" s="182">
        <f>LíneaBase!N314</f>
        <v>0</v>
      </c>
      <c r="AI391" s="184"/>
      <c r="AJ391" s="182">
        <f>Escenario1!BP312</f>
        <v>0</v>
      </c>
      <c r="AK391" s="184"/>
      <c r="AL391" s="182">
        <f>Escenario2!BP314</f>
        <v>0</v>
      </c>
      <c r="AM391" s="151"/>
      <c r="BA391" s="152"/>
      <c r="BB391" s="75">
        <v>386</v>
      </c>
      <c r="BC391" s="190">
        <f>ABS(LíneaBase!L392-LíneaBase!L391)</f>
        <v>8.1214373404938867E-2</v>
      </c>
      <c r="BD391" s="190">
        <f>ABS(Escenario1!BN392-Escenario1!BN391)</f>
        <v>1.8781423400513919E-2</v>
      </c>
      <c r="BE391" s="190">
        <f>ABS(Escenario2!BN392-Escenario2!BN391)</f>
        <v>1.2601548989146227E-3</v>
      </c>
      <c r="BF391" s="151"/>
    </row>
    <row r="392" spans="25:58">
      <c r="Y392" s="152"/>
      <c r="Z392" s="183">
        <f>(LíneaBase!C393-0.44)/(MAX(LíneaBase!C:C)+0.12)*100</f>
        <v>52.944721415657703</v>
      </c>
      <c r="AA392" s="184"/>
      <c r="AB392" s="182">
        <f>LíneaBase!L516</f>
        <v>0.61201660385050005</v>
      </c>
      <c r="AC392" s="184"/>
      <c r="AD392" s="182">
        <f>Escenario1!BN152</f>
        <v>0.7357883186205717</v>
      </c>
      <c r="AE392" s="184"/>
      <c r="AF392" s="182">
        <f>Escenario2!BN208</f>
        <v>0.67544369260899784</v>
      </c>
      <c r="AG392" s="184"/>
      <c r="AH392" s="182">
        <f>LíneaBase!N315</f>
        <v>0</v>
      </c>
      <c r="AI392" s="184"/>
      <c r="AJ392" s="182">
        <f>Escenario1!BP313</f>
        <v>0</v>
      </c>
      <c r="AK392" s="184"/>
      <c r="AL392" s="182">
        <f>Escenario2!BP315</f>
        <v>0</v>
      </c>
      <c r="AM392" s="151"/>
      <c r="BA392" s="152"/>
      <c r="BB392" s="75">
        <v>387</v>
      </c>
      <c r="BC392" s="190">
        <f>ABS(LíneaBase!L393-LíneaBase!L392)</f>
        <v>0.19980839437725106</v>
      </c>
      <c r="BD392" s="190">
        <f>ABS(Escenario1!BN393-Escenario1!BN392)</f>
        <v>9.9351918883605173E-2</v>
      </c>
      <c r="BE392" s="190">
        <f>ABS(Escenario2!BN393-Escenario2!BN392)</f>
        <v>1.2719711097397557E-4</v>
      </c>
      <c r="BF392" s="151"/>
    </row>
    <row r="393" spans="25:58">
      <c r="Y393" s="152"/>
      <c r="Z393" s="183">
        <f>(LíneaBase!C394-0.44)/(MAX(LíneaBase!C:C)+0.12)*100</f>
        <v>53.081685202432475</v>
      </c>
      <c r="AA393" s="184"/>
      <c r="AB393" s="182">
        <f>LíneaBase!L574</f>
        <v>0.60920662604117026</v>
      </c>
      <c r="AC393" s="184"/>
      <c r="AD393" s="182">
        <f>Escenario1!BN523</f>
        <v>0.73482836671795604</v>
      </c>
      <c r="AE393" s="184"/>
      <c r="AF393" s="182">
        <f>Escenario2!BN166</f>
        <v>0.66285734973133925</v>
      </c>
      <c r="AG393" s="184"/>
      <c r="AH393" s="182">
        <f>LíneaBase!N316</f>
        <v>0</v>
      </c>
      <c r="AI393" s="184"/>
      <c r="AJ393" s="182">
        <f>Escenario1!BP314</f>
        <v>0</v>
      </c>
      <c r="AK393" s="184"/>
      <c r="AL393" s="182">
        <f>Escenario2!BP316</f>
        <v>0</v>
      </c>
      <c r="AM393" s="151"/>
      <c r="BA393" s="152"/>
      <c r="BB393" s="75">
        <v>388</v>
      </c>
      <c r="BC393" s="190">
        <f>ABS(LíneaBase!L394-LíneaBase!L393)</f>
        <v>3.1103143382937404</v>
      </c>
      <c r="BD393" s="190">
        <f>ABS(Escenario1!BN394-Escenario1!BN393)</f>
        <v>0.20456996052539345</v>
      </c>
      <c r="BE393" s="190">
        <f>ABS(Escenario2!BN394-Escenario2!BN393)</f>
        <v>2.9601920530664128E-3</v>
      </c>
      <c r="BF393" s="151"/>
    </row>
    <row r="394" spans="25:58">
      <c r="Y394" s="152"/>
      <c r="Z394" s="183">
        <f>(LíneaBase!C395-0.44)/(MAX(LíneaBase!C:C)+0.12)*100</f>
        <v>53.218648989207253</v>
      </c>
      <c r="AA394" s="184"/>
      <c r="AB394" s="182">
        <f>LíneaBase!L149</f>
        <v>0.60837149558424541</v>
      </c>
      <c r="AC394" s="184"/>
      <c r="AD394" s="182">
        <f>Escenario1!BN166</f>
        <v>0.7297816704361082</v>
      </c>
      <c r="AE394" s="184"/>
      <c r="AF394" s="182">
        <f>Escenario2!BN165</f>
        <v>0.66235470795173712</v>
      </c>
      <c r="AG394" s="184"/>
      <c r="AH394" s="182">
        <f>LíneaBase!N317</f>
        <v>0</v>
      </c>
      <c r="AI394" s="184"/>
      <c r="AJ394" s="182">
        <f>Escenario1!BP315</f>
        <v>0</v>
      </c>
      <c r="AK394" s="184"/>
      <c r="AL394" s="182">
        <f>Escenario2!BP317</f>
        <v>0</v>
      </c>
      <c r="AM394" s="151"/>
      <c r="BA394" s="152"/>
      <c r="BB394" s="75">
        <v>389</v>
      </c>
      <c r="BC394" s="190">
        <f>ABS(LíneaBase!L395-LíneaBase!L394)</f>
        <v>2.9310525398461307</v>
      </c>
      <c r="BD394" s="190">
        <f>ABS(Escenario1!BN395-Escenario1!BN394)</f>
        <v>2.8609675637432996E-2</v>
      </c>
      <c r="BE394" s="190">
        <f>ABS(Escenario2!BN395-Escenario2!BN394)</f>
        <v>2.3870077699186254E-3</v>
      </c>
      <c r="BF394" s="151"/>
    </row>
    <row r="395" spans="25:58">
      <c r="Y395" s="152"/>
      <c r="Z395" s="183">
        <f>(LíneaBase!C396-0.44)/(MAX(LíneaBase!C:C)+0.12)*100</f>
        <v>53.355612775982031</v>
      </c>
      <c r="AA395" s="184"/>
      <c r="AB395" s="182">
        <f>LíneaBase!L531</f>
        <v>0.60791771390593041</v>
      </c>
      <c r="AC395" s="184"/>
      <c r="AD395" s="182">
        <f>Escenario1!BN153</f>
        <v>0.72866165583468612</v>
      </c>
      <c r="AE395" s="184"/>
      <c r="AF395" s="182">
        <f>Escenario2!BN691</f>
        <v>0.65675178834899617</v>
      </c>
      <c r="AG395" s="184"/>
      <c r="AH395" s="182">
        <f>LíneaBase!N318</f>
        <v>0</v>
      </c>
      <c r="AI395" s="184"/>
      <c r="AJ395" s="182">
        <f>Escenario1!BP316</f>
        <v>0</v>
      </c>
      <c r="AK395" s="184"/>
      <c r="AL395" s="182">
        <f>Escenario2!BP318</f>
        <v>0</v>
      </c>
      <c r="AM395" s="151"/>
      <c r="BA395" s="152"/>
      <c r="BB395" s="75">
        <v>390</v>
      </c>
      <c r="BC395" s="190">
        <f>ABS(LíneaBase!L396-LíneaBase!L395)</f>
        <v>0.11707816263014315</v>
      </c>
      <c r="BD395" s="190">
        <f>ABS(Escenario1!BN396-Escenario1!BN395)</f>
        <v>0.10248197181632523</v>
      </c>
      <c r="BE395" s="190">
        <f>ABS(Escenario2!BN396-Escenario2!BN395)</f>
        <v>4.7878273410062455E-4</v>
      </c>
      <c r="BF395" s="151"/>
    </row>
    <row r="396" spans="25:58">
      <c r="Y396" s="152"/>
      <c r="Z396" s="183">
        <f>(LíneaBase!C397-0.44)/(MAX(LíneaBase!C:C)+0.12)*100</f>
        <v>53.49257656275681</v>
      </c>
      <c r="AA396" s="184"/>
      <c r="AB396" s="182">
        <f>LíneaBase!L517</f>
        <v>0.60598625848176269</v>
      </c>
      <c r="AC396" s="184"/>
      <c r="AD396" s="182">
        <f>Escenario1!BN729</f>
        <v>0.72589240047108383</v>
      </c>
      <c r="AE396" s="184"/>
      <c r="AF396" s="182">
        <f>Escenario2!BN167</f>
        <v>0.65211347372830997</v>
      </c>
      <c r="AG396" s="184"/>
      <c r="AH396" s="182">
        <f>LíneaBase!N319</f>
        <v>0</v>
      </c>
      <c r="AI396" s="184"/>
      <c r="AJ396" s="182">
        <f>Escenario1!BP317</f>
        <v>0</v>
      </c>
      <c r="AK396" s="184"/>
      <c r="AL396" s="182">
        <f>Escenario2!BP319</f>
        <v>0</v>
      </c>
      <c r="AM396" s="151"/>
      <c r="BA396" s="152"/>
      <c r="BB396" s="75">
        <v>391</v>
      </c>
      <c r="BC396" s="190">
        <f>ABS(LíneaBase!L397-LíneaBase!L396)</f>
        <v>2.4648509730367696E-2</v>
      </c>
      <c r="BD396" s="190">
        <f>ABS(Escenario1!BN397-Escenario1!BN396)</f>
        <v>2.0712744405362304E-2</v>
      </c>
      <c r="BE396" s="190">
        <f>ABS(Escenario2!BN397-Escenario2!BN396)</f>
        <v>6.2168061510226025E-4</v>
      </c>
      <c r="BF396" s="151"/>
    </row>
    <row r="397" spans="25:58">
      <c r="Y397" s="152"/>
      <c r="Z397" s="183">
        <f>(LíneaBase!C398-0.44)/(MAX(LíneaBase!C:C)+0.12)*100</f>
        <v>53.629540349531581</v>
      </c>
      <c r="AA397" s="184"/>
      <c r="AB397" s="182">
        <f>LíneaBase!L532</f>
        <v>0.60455282687312872</v>
      </c>
      <c r="AC397" s="184"/>
      <c r="AD397" s="182">
        <f>Escenario1!BN533</f>
        <v>0.72487863077356884</v>
      </c>
      <c r="AE397" s="184"/>
      <c r="AF397" s="182">
        <f>Escenario2!BN326</f>
        <v>0.65164747111350296</v>
      </c>
      <c r="AG397" s="184"/>
      <c r="AH397" s="182">
        <f>LíneaBase!N320</f>
        <v>0</v>
      </c>
      <c r="AI397" s="184"/>
      <c r="AJ397" s="182">
        <f>Escenario1!BP318</f>
        <v>0</v>
      </c>
      <c r="AK397" s="184"/>
      <c r="AL397" s="182">
        <f>Escenario2!BP320</f>
        <v>0</v>
      </c>
      <c r="AM397" s="151"/>
      <c r="BA397" s="152"/>
      <c r="BB397" s="75">
        <v>392</v>
      </c>
      <c r="BC397" s="190">
        <f>ABS(LíneaBase!L398-LíneaBase!L397)</f>
        <v>0.11330495163535681</v>
      </c>
      <c r="BD397" s="190">
        <f>ABS(Escenario1!BN398-Escenario1!BN397)</f>
        <v>9.78908751729195E-2</v>
      </c>
      <c r="BE397" s="190">
        <f>ABS(Escenario2!BN398-Escenario2!BN397)</f>
        <v>2.2380699628921086E-4</v>
      </c>
      <c r="BF397" s="151"/>
    </row>
    <row r="398" spans="25:58">
      <c r="Y398" s="152"/>
      <c r="Z398" s="183">
        <f>(LíneaBase!C399-0.44)/(MAX(LíneaBase!C:C)+0.12)*100</f>
        <v>53.766504136306359</v>
      </c>
      <c r="AA398" s="184"/>
      <c r="AB398" s="182">
        <f>LíneaBase!L150</f>
        <v>0.60237706633543953</v>
      </c>
      <c r="AC398" s="184"/>
      <c r="AD398" s="182">
        <f>Escenario1!BN167</f>
        <v>0.72444485375861489</v>
      </c>
      <c r="AE398" s="184"/>
      <c r="AF398" s="182">
        <f>Escenario2!BN533</f>
        <v>0.65074535696473546</v>
      </c>
      <c r="AG398" s="184"/>
      <c r="AH398" s="182">
        <f>LíneaBase!N321</f>
        <v>0</v>
      </c>
      <c r="AI398" s="184"/>
      <c r="AJ398" s="182">
        <f>Escenario1!BP319</f>
        <v>0</v>
      </c>
      <c r="AK398" s="184"/>
      <c r="AL398" s="182">
        <f>Escenario2!BP321</f>
        <v>0</v>
      </c>
      <c r="AM398" s="151"/>
      <c r="BA398" s="152"/>
      <c r="BB398" s="75">
        <v>393</v>
      </c>
      <c r="BC398" s="190">
        <f>ABS(LíneaBase!L399-LíneaBase!L398)</f>
        <v>0.11067300801268276</v>
      </c>
      <c r="BD398" s="190">
        <f>ABS(Escenario1!BN399-Escenario1!BN398)</f>
        <v>9.731557785118139E-2</v>
      </c>
      <c r="BE398" s="190">
        <f>ABS(Escenario2!BN399-Escenario2!BN398)</f>
        <v>2.2038605105589859E-4</v>
      </c>
      <c r="BF398" s="151"/>
    </row>
    <row r="399" spans="25:58">
      <c r="Y399" s="152"/>
      <c r="Z399" s="183">
        <f>(LíneaBase!C400-0.44)/(MAX(LíneaBase!C:C)+0.12)*100</f>
        <v>53.903467923081138</v>
      </c>
      <c r="AA399" s="184"/>
      <c r="AB399" s="182">
        <f>LíneaBase!L692</f>
        <v>0.60052698521563708</v>
      </c>
      <c r="AC399" s="184"/>
      <c r="AD399" s="182">
        <f>Escenario1!BN165</f>
        <v>0.72353033360153496</v>
      </c>
      <c r="AE399" s="184"/>
      <c r="AF399" s="182">
        <f>Escenario2!BN673</f>
        <v>0.64843887929824273</v>
      </c>
      <c r="AG399" s="184"/>
      <c r="AH399" s="182">
        <f>LíneaBase!N322</f>
        <v>0</v>
      </c>
      <c r="AI399" s="184"/>
      <c r="AJ399" s="182">
        <f>Escenario1!BP320</f>
        <v>0</v>
      </c>
      <c r="AK399" s="184"/>
      <c r="AL399" s="182">
        <f>Escenario2!BP322</f>
        <v>0</v>
      </c>
      <c r="AM399" s="151"/>
      <c r="BA399" s="152"/>
      <c r="BB399" s="75">
        <v>394</v>
      </c>
      <c r="BC399" s="190">
        <f>ABS(LíneaBase!L400-LíneaBase!L399)</f>
        <v>4.5723365630150781E-2</v>
      </c>
      <c r="BD399" s="190">
        <f>ABS(Escenario1!BN400-Escenario1!BN399)</f>
        <v>4.0348404093369927E-2</v>
      </c>
      <c r="BE399" s="190">
        <f>ABS(Escenario2!BN400-Escenario2!BN399)</f>
        <v>2.1701739581581059E-4</v>
      </c>
      <c r="BF399" s="151"/>
    </row>
    <row r="400" spans="25:58">
      <c r="Y400" s="152"/>
      <c r="Z400" s="183">
        <f>(LíneaBase!C401-0.44)/(MAX(LíneaBase!C:C)+0.12)*100</f>
        <v>54.040431709855916</v>
      </c>
      <c r="AA400" s="184"/>
      <c r="AB400" s="182">
        <f>LíneaBase!L209</f>
        <v>0.60043660822967337</v>
      </c>
      <c r="AC400" s="184"/>
      <c r="AD400" s="182">
        <f>Escenario1!BN154</f>
        <v>0.72160297206590507</v>
      </c>
      <c r="AE400" s="184"/>
      <c r="AF400" s="182">
        <f>Escenario2!BN308</f>
        <v>0.64224041337111726</v>
      </c>
      <c r="AG400" s="184"/>
      <c r="AH400" s="182">
        <f>LíneaBase!N323</f>
        <v>0</v>
      </c>
      <c r="AI400" s="184"/>
      <c r="AJ400" s="182">
        <f>Escenario1!BP321</f>
        <v>0</v>
      </c>
      <c r="AK400" s="184"/>
      <c r="AL400" s="182">
        <f>Escenario2!BP323</f>
        <v>0</v>
      </c>
      <c r="AM400" s="151"/>
      <c r="BA400" s="152"/>
      <c r="BB400" s="75">
        <v>395</v>
      </c>
      <c r="BC400" s="190">
        <f>ABS(LíneaBase!L401-LíneaBase!L400)</f>
        <v>0.10328382906133271</v>
      </c>
      <c r="BD400" s="190">
        <f>ABS(Escenario1!BN401-Escenario1!BN400)</f>
        <v>6.3178567933410479E-2</v>
      </c>
      <c r="BE400" s="190">
        <f>ABS(Escenario2!BN401-Escenario2!BN400)</f>
        <v>2.1370023130318216E-4</v>
      </c>
      <c r="BF400" s="151"/>
    </row>
    <row r="401" spans="25:58">
      <c r="Y401" s="152"/>
      <c r="Z401" s="183">
        <f>(LíneaBase!C402-0.44)/(MAX(LíneaBase!C:C)+0.12)*100</f>
        <v>54.177395496630687</v>
      </c>
      <c r="AA401" s="184"/>
      <c r="AB401" s="182">
        <f>LíneaBase!L518</f>
        <v>0.60001533154226006</v>
      </c>
      <c r="AC401" s="184"/>
      <c r="AD401" s="182">
        <f>Escenario1!BN675</f>
        <v>0.72083975092550412</v>
      </c>
      <c r="AE401" s="184"/>
      <c r="AF401" s="182">
        <f>Escenario2!BN534</f>
        <v>0.63814380432646411</v>
      </c>
      <c r="AG401" s="184"/>
      <c r="AH401" s="182">
        <f>LíneaBase!N324</f>
        <v>0</v>
      </c>
      <c r="AI401" s="184"/>
      <c r="AJ401" s="182">
        <f>Escenario1!BP322</f>
        <v>0</v>
      </c>
      <c r="AK401" s="184"/>
      <c r="AL401" s="182">
        <f>Escenario2!BP324</f>
        <v>0</v>
      </c>
      <c r="AM401" s="151"/>
      <c r="BA401" s="152"/>
      <c r="BB401" s="75">
        <v>396</v>
      </c>
      <c r="BC401" s="190">
        <f>ABS(LíneaBase!L402-LíneaBase!L401)</f>
        <v>3.3914564647937073E-2</v>
      </c>
      <c r="BD401" s="190">
        <f>ABS(Escenario1!BN402-Escenario1!BN401)</f>
        <v>1.5122053475882247E-3</v>
      </c>
      <c r="BE401" s="190">
        <f>ABS(Escenario2!BN402-Escenario2!BN401)</f>
        <v>2.1043377046958689E-4</v>
      </c>
      <c r="BF401" s="151"/>
    </row>
    <row r="402" spans="25:58">
      <c r="Y402" s="152"/>
      <c r="Z402" s="183">
        <f>(LíneaBase!C403-0.44)/(MAX(LíneaBase!C:C)+0.12)*100</f>
        <v>54.314359283405466</v>
      </c>
      <c r="AA402" s="184"/>
      <c r="AB402" s="182">
        <f>LíneaBase!L530</f>
        <v>0.5980645346594391</v>
      </c>
      <c r="AC402" s="184"/>
      <c r="AD402" s="182">
        <f>Escenario1!BN364</f>
        <v>0.72050162953907393</v>
      </c>
      <c r="AE402" s="184"/>
      <c r="AF402" s="182">
        <f>Escenario2!BN574</f>
        <v>0.63369721116198208</v>
      </c>
      <c r="AG402" s="184"/>
      <c r="AH402" s="182">
        <f>LíneaBase!N327</f>
        <v>0</v>
      </c>
      <c r="AI402" s="184"/>
      <c r="AJ402" s="182">
        <f>Escenario1!BP323</f>
        <v>0</v>
      </c>
      <c r="AK402" s="184"/>
      <c r="AL402" s="182">
        <f>Escenario2!BP327</f>
        <v>0</v>
      </c>
      <c r="AM402" s="151"/>
      <c r="BA402" s="152"/>
      <c r="BB402" s="75">
        <v>397</v>
      </c>
      <c r="BC402" s="190">
        <f>ABS(LíneaBase!L403-LíneaBase!L402)</f>
        <v>6.067367103799004E-2</v>
      </c>
      <c r="BD402" s="190">
        <f>ABS(Escenario1!BN403-Escenario1!BN402)</f>
        <v>5.3850622013540184E-2</v>
      </c>
      <c r="BE402" s="190">
        <f>ABS(Escenario2!BN403-Escenario2!BN402)</f>
        <v>2.0721723829719707E-4</v>
      </c>
      <c r="BF402" s="151"/>
    </row>
    <row r="403" spans="25:58">
      <c r="Y403" s="152"/>
      <c r="Z403" s="183">
        <f>(LíneaBase!C404-0.44)/(MAX(LíneaBase!C:C)+0.12)*100</f>
        <v>54.451323070180244</v>
      </c>
      <c r="AA403" s="184"/>
      <c r="AB403" s="182">
        <f>LíneaBase!L327</f>
        <v>0.59780083419189167</v>
      </c>
      <c r="AC403" s="184"/>
      <c r="AD403" s="182">
        <f>Escenario1!BN155</f>
        <v>0.71461162971679704</v>
      </c>
      <c r="AE403" s="184"/>
      <c r="AF403" s="182">
        <f>Escenario2!BN535</f>
        <v>0.63051082983267659</v>
      </c>
      <c r="AG403" s="184"/>
      <c r="AH403" s="182">
        <f>LíneaBase!N328</f>
        <v>0</v>
      </c>
      <c r="AI403" s="184"/>
      <c r="AJ403" s="182">
        <f>Escenario1!BP324</f>
        <v>0</v>
      </c>
      <c r="AK403" s="184"/>
      <c r="AL403" s="182">
        <f>Escenario2!BP328</f>
        <v>0</v>
      </c>
      <c r="AM403" s="151"/>
      <c r="BA403" s="152"/>
      <c r="BB403" s="75">
        <v>398</v>
      </c>
      <c r="BC403" s="190">
        <f>ABS(LíneaBase!L404-LíneaBase!L403)</f>
        <v>3.3190102661961873E-2</v>
      </c>
      <c r="BD403" s="190">
        <f>ABS(Escenario1!BN404-Escenario1!BN403)</f>
        <v>2.9828675638507773E-2</v>
      </c>
      <c r="BE403" s="190">
        <f>ABS(Escenario2!BN404-Escenario2!BN403)</f>
        <v>2.0404987161359855E-4</v>
      </c>
      <c r="BF403" s="151"/>
    </row>
    <row r="404" spans="25:58">
      <c r="Y404" s="152"/>
      <c r="Z404" s="183">
        <f>(LíneaBase!C405-0.44)/(MAX(LíneaBase!C:C)+0.12)*100</f>
        <v>54.588286856955023</v>
      </c>
      <c r="AA404" s="184"/>
      <c r="AB404" s="182">
        <f>LíneaBase!L676</f>
        <v>0.59761423929225388</v>
      </c>
      <c r="AC404" s="184"/>
      <c r="AD404" s="182">
        <f>Escenario1!BN208</f>
        <v>0.71165667120463727</v>
      </c>
      <c r="AE404" s="184"/>
      <c r="AF404" s="182">
        <f>Escenario2!BN674</f>
        <v>0.62846412067747348</v>
      </c>
      <c r="AG404" s="184"/>
      <c r="AH404" s="182">
        <f>LíneaBase!N332</f>
        <v>0</v>
      </c>
      <c r="AI404" s="184"/>
      <c r="AJ404" s="182">
        <f>Escenario1!BP327</f>
        <v>0</v>
      </c>
      <c r="AK404" s="184"/>
      <c r="AL404" s="182">
        <f>Escenario2!BP332</f>
        <v>0</v>
      </c>
      <c r="AM404" s="151"/>
      <c r="BA404" s="152"/>
      <c r="BB404" s="75">
        <v>399</v>
      </c>
      <c r="BC404" s="190">
        <f>ABS(LíneaBase!L405-LíneaBase!L404)</f>
        <v>0.10814258731084081</v>
      </c>
      <c r="BD404" s="190">
        <f>ABS(Escenario1!BN405-Escenario1!BN404)</f>
        <v>9.616212391855905E-2</v>
      </c>
      <c r="BE404" s="190">
        <f>ABS(Escenario2!BN405-Escenario2!BN404)</f>
        <v>4.0037767937044277E-2</v>
      </c>
      <c r="BF404" s="151"/>
    </row>
    <row r="405" spans="25:58">
      <c r="Y405" s="152"/>
      <c r="Z405" s="183">
        <f>(LíneaBase!C406-0.44)/(MAX(LíneaBase!C:C)+0.12)*100</f>
        <v>54.725250643729794</v>
      </c>
      <c r="AA405" s="184"/>
      <c r="AB405" s="182">
        <f>LíneaBase!L151</f>
        <v>0.59644170162579502</v>
      </c>
      <c r="AC405" s="184"/>
      <c r="AD405" s="182">
        <f>Escenario1!BN310</f>
        <v>0.71163910657848428</v>
      </c>
      <c r="AE405" s="184"/>
      <c r="AF405" s="182">
        <f>Escenario2!BN536</f>
        <v>0.62376179121785713</v>
      </c>
      <c r="AG405" s="184"/>
      <c r="AH405" s="182">
        <f>LíneaBase!N333</f>
        <v>0</v>
      </c>
      <c r="AI405" s="184"/>
      <c r="AJ405" s="182">
        <f>Escenario1!BP328</f>
        <v>0</v>
      </c>
      <c r="AK405" s="184"/>
      <c r="AL405" s="182">
        <f>Escenario2!BP333</f>
        <v>0</v>
      </c>
      <c r="AM405" s="151"/>
      <c r="BA405" s="152"/>
      <c r="BB405" s="75">
        <v>400</v>
      </c>
      <c r="BC405" s="190">
        <f>ABS(LíneaBase!L406-LíneaBase!L405)</f>
        <v>1.0247898059282612E-2</v>
      </c>
      <c r="BD405" s="190">
        <f>ABS(Escenario1!BN406-Escenario1!BN405)</f>
        <v>7.8835836471780052E-3</v>
      </c>
      <c r="BE405" s="190">
        <f>ABS(Escenario2!BN406-Escenario2!BN405)</f>
        <v>2.7335320201404834E-4</v>
      </c>
      <c r="BF405" s="151"/>
    </row>
    <row r="406" spans="25:58">
      <c r="Y406" s="152"/>
      <c r="Z406" s="183">
        <f>(LíneaBase!C407-0.44)/(MAX(LíneaBase!C:C)+0.12)*100</f>
        <v>54.862214430504572</v>
      </c>
      <c r="AA406" s="184"/>
      <c r="AB406" s="182">
        <f>LíneaBase!L166</f>
        <v>0.59449257149465551</v>
      </c>
      <c r="AC406" s="184"/>
      <c r="AD406" s="182">
        <f>Escenario1!BN156</f>
        <v>0.70768698745624359</v>
      </c>
      <c r="AE406" s="184"/>
      <c r="AF406" s="182">
        <f>Escenario2!BN309</f>
        <v>0.62233239054245348</v>
      </c>
      <c r="AG406" s="184"/>
      <c r="AH406" s="182">
        <f>LíneaBase!N334</f>
        <v>0</v>
      </c>
      <c r="AI406" s="184"/>
      <c r="AJ406" s="182">
        <f>Escenario1!BP332</f>
        <v>0</v>
      </c>
      <c r="AK406" s="184"/>
      <c r="AL406" s="182">
        <f>Escenario2!BP334</f>
        <v>0</v>
      </c>
      <c r="AM406" s="151"/>
      <c r="BA406" s="152"/>
      <c r="BB406" s="75">
        <v>401</v>
      </c>
      <c r="BC406" s="190">
        <f>ABS(LíneaBase!L407-LíneaBase!L406)</f>
        <v>0.10555320101706922</v>
      </c>
      <c r="BD406" s="190">
        <f>ABS(Escenario1!BN407-Escenario1!BN406)</f>
        <v>9.4456783031172442E-2</v>
      </c>
      <c r="BE406" s="190">
        <f>ABS(Escenario2!BN407-Escenario2!BN406)</f>
        <v>0.10234428761277969</v>
      </c>
      <c r="BF406" s="151"/>
    </row>
    <row r="407" spans="25:58">
      <c r="Y407" s="152"/>
      <c r="Z407" s="183">
        <f>(LíneaBase!C408-0.44)/(MAX(LíneaBase!C:C)+0.12)*100</f>
        <v>54.999178217279351</v>
      </c>
      <c r="AA407" s="184"/>
      <c r="AB407" s="182">
        <f>LíneaBase!L311</f>
        <v>0.5944200785519318</v>
      </c>
      <c r="AC407" s="184"/>
      <c r="AD407" s="182">
        <f>Escenario1!BN706</f>
        <v>0.70533222875621671</v>
      </c>
      <c r="AE407" s="184"/>
      <c r="AF407" s="182">
        <f>Escenario2!BN168</f>
        <v>0.6211155363170221</v>
      </c>
      <c r="AG407" s="184"/>
      <c r="AH407" s="182">
        <f>LíneaBase!N337</f>
        <v>0</v>
      </c>
      <c r="AI407" s="184"/>
      <c r="AJ407" s="182">
        <f>Escenario1!BP333</f>
        <v>0</v>
      </c>
      <c r="AK407" s="184"/>
      <c r="AL407" s="182">
        <f>Escenario2!BP337</f>
        <v>0</v>
      </c>
      <c r="AM407" s="151"/>
      <c r="BA407" s="152"/>
      <c r="BB407" s="75">
        <v>402</v>
      </c>
      <c r="BC407" s="190">
        <f>ABS(LíneaBase!L408-LíneaBase!L407)</f>
        <v>0.10316475777787493</v>
      </c>
      <c r="BD407" s="190">
        <f>ABS(Escenario1!BN408-Escenario1!BN407)</f>
        <v>9.2490927979946402E-2</v>
      </c>
      <c r="BE407" s="190">
        <f>ABS(Escenario2!BN408-Escenario2!BN407)</f>
        <v>0.10011473738044907</v>
      </c>
      <c r="BF407" s="151"/>
    </row>
    <row r="408" spans="25:58">
      <c r="Y408" s="152"/>
      <c r="Z408" s="183">
        <f>(LíneaBase!C409-0.44)/(MAX(LíneaBase!C:C)+0.12)*100</f>
        <v>55.136142004054122</v>
      </c>
      <c r="AA408" s="184"/>
      <c r="AB408" s="182">
        <f>LíneaBase!L519</f>
        <v>0.59410323756805639</v>
      </c>
      <c r="AC408" s="184"/>
      <c r="AD408" s="182">
        <f>Escenario1!BN691</f>
        <v>0.70215097792948633</v>
      </c>
      <c r="AE408" s="184"/>
      <c r="AF408" s="182">
        <f>Escenario2!BN729</f>
        <v>0.61901904646435268</v>
      </c>
      <c r="AG408" s="184"/>
      <c r="AH408" s="182">
        <f>LíneaBase!N338</f>
        <v>0</v>
      </c>
      <c r="AI408" s="184"/>
      <c r="AJ408" s="182">
        <f>Escenario1!BP334</f>
        <v>0</v>
      </c>
      <c r="AK408" s="184"/>
      <c r="AL408" s="182">
        <f>Escenario2!BP338</f>
        <v>0</v>
      </c>
      <c r="AM408" s="151"/>
      <c r="BA408" s="152"/>
      <c r="BB408" s="75">
        <v>403</v>
      </c>
      <c r="BC408" s="190">
        <f>ABS(LíneaBase!L409-LíneaBase!L408)</f>
        <v>1.4954941701959117</v>
      </c>
      <c r="BD408" s="190">
        <f>ABS(Escenario1!BN409-Escenario1!BN408)</f>
        <v>0.31736197220003004</v>
      </c>
      <c r="BE408" s="190">
        <f>ABS(Escenario2!BN409-Escenario2!BN408)</f>
        <v>0.24179573844945046</v>
      </c>
      <c r="BF408" s="151"/>
    </row>
    <row r="409" spans="25:58">
      <c r="Y409" s="152"/>
      <c r="Z409" s="183">
        <f>(LíneaBase!C410-0.44)/(MAX(LíneaBase!C:C)+0.12)*100</f>
        <v>55.2731057908289</v>
      </c>
      <c r="AA409" s="184"/>
      <c r="AB409" s="182">
        <f>LíneaBase!L167</f>
        <v>0.59125996558765193</v>
      </c>
      <c r="AC409" s="184"/>
      <c r="AD409" s="182">
        <f>Escenario1!BN157</f>
        <v>0.70082841881058056</v>
      </c>
      <c r="AE409" s="184"/>
      <c r="AF409" s="182">
        <f>Escenario2!BN699</f>
        <v>0.61867331337705866</v>
      </c>
      <c r="AG409" s="184"/>
      <c r="AH409" s="182">
        <f>LíneaBase!N339</f>
        <v>0</v>
      </c>
      <c r="AI409" s="184"/>
      <c r="AJ409" s="182">
        <f>Escenario1!BP337</f>
        <v>0</v>
      </c>
      <c r="AK409" s="184"/>
      <c r="AL409" s="182">
        <f>Escenario2!BP339</f>
        <v>0</v>
      </c>
      <c r="AM409" s="151"/>
      <c r="BA409" s="152"/>
      <c r="BB409" s="75">
        <v>404</v>
      </c>
      <c r="BC409" s="190">
        <f>ABS(LíneaBase!L410-LíneaBase!L409)</f>
        <v>1.2834445801272643</v>
      </c>
      <c r="BD409" s="190">
        <f>ABS(Escenario1!BN410-Escenario1!BN409)</f>
        <v>9.9326947121953779E-2</v>
      </c>
      <c r="BE409" s="190">
        <f>ABS(Escenario2!BN410-Escenario2!BN409)</f>
        <v>3.941780329822353E-2</v>
      </c>
      <c r="BF409" s="151"/>
    </row>
    <row r="410" spans="25:58">
      <c r="Y410" s="152"/>
      <c r="Z410" s="183">
        <f>(LíneaBase!C411-0.44)/(MAX(LíneaBase!C:C)+0.12)*100</f>
        <v>55.410069577603679</v>
      </c>
      <c r="AA410" s="184"/>
      <c r="AB410" s="182">
        <f>LíneaBase!L152</f>
        <v>0.59056481947833039</v>
      </c>
      <c r="AC410" s="184"/>
      <c r="AD410" s="182">
        <f>Escenario1!BN341</f>
        <v>0.69856295175839533</v>
      </c>
      <c r="AE410" s="184"/>
      <c r="AF410" s="182">
        <f>Escenario2!BN537</f>
        <v>0.61721823766136852</v>
      </c>
      <c r="AG410" s="184"/>
      <c r="AH410" s="182">
        <f>LíneaBase!N340</f>
        <v>0</v>
      </c>
      <c r="AI410" s="184"/>
      <c r="AJ410" s="182">
        <f>Escenario1!BP338</f>
        <v>0</v>
      </c>
      <c r="AK410" s="184"/>
      <c r="AL410" s="182">
        <f>Escenario2!BP340</f>
        <v>0</v>
      </c>
      <c r="AM410" s="151"/>
      <c r="BA410" s="152"/>
      <c r="BB410" s="75">
        <v>405</v>
      </c>
      <c r="BC410" s="190">
        <f>ABS(LíneaBase!L411-LíneaBase!L410)</f>
        <v>3.3571368808653856E-2</v>
      </c>
      <c r="BD410" s="190">
        <f>ABS(Escenario1!BN411-Escenario1!BN410)</f>
        <v>3.2397491104115383E-2</v>
      </c>
      <c r="BE410" s="190">
        <f>ABS(Escenario2!BN411-Escenario2!BN410)</f>
        <v>3.8312707290578119E-2</v>
      </c>
      <c r="BF410" s="151"/>
    </row>
    <row r="411" spans="25:58">
      <c r="Y411" s="152"/>
      <c r="Z411" s="183">
        <f>(LíneaBase!C412-0.44)/(MAX(LíneaBase!C:C)+0.12)*100</f>
        <v>55.547033364378464</v>
      </c>
      <c r="AA411" s="184"/>
      <c r="AB411" s="182">
        <f>LíneaBase!L520</f>
        <v>0.58824939686393163</v>
      </c>
      <c r="AC411" s="184"/>
      <c r="AD411" s="182">
        <f>Escenario1!BN326</f>
        <v>0.6942980053432628</v>
      </c>
      <c r="AE411" s="184"/>
      <c r="AF411" s="182">
        <f>Escenario2!BN705</f>
        <v>0.61711378690533125</v>
      </c>
      <c r="AG411" s="184"/>
      <c r="AH411" s="182">
        <f>LíneaBase!N341</f>
        <v>0</v>
      </c>
      <c r="AI411" s="184"/>
      <c r="AJ411" s="182">
        <f>Escenario1!BP339</f>
        <v>0</v>
      </c>
      <c r="AK411" s="184"/>
      <c r="AL411" s="182">
        <f>Escenario2!BP341</f>
        <v>0</v>
      </c>
      <c r="AM411" s="151"/>
      <c r="BA411" s="152"/>
      <c r="BB411" s="75">
        <v>406</v>
      </c>
      <c r="BC411" s="190">
        <f>ABS(LíneaBase!L412-LíneaBase!L411)</f>
        <v>4.1057179125835654</v>
      </c>
      <c r="BD411" s="190">
        <f>ABS(Escenario1!BN412-Escenario1!BN411)</f>
        <v>0.42118326319224519</v>
      </c>
      <c r="BE411" s="190">
        <f>ABS(Escenario2!BN412-Escenario2!BN411)</f>
        <v>7.9123403632110567E-2</v>
      </c>
      <c r="BF411" s="151"/>
    </row>
    <row r="412" spans="25:58">
      <c r="Y412" s="152"/>
      <c r="Z412" s="183">
        <f>(LíneaBase!C413-0.44)/(MAX(LíneaBase!C:C)+0.12)*100</f>
        <v>55.683997151153228</v>
      </c>
      <c r="AA412" s="184"/>
      <c r="AB412" s="182">
        <f>LíneaBase!L153</f>
        <v>0.58474584365042914</v>
      </c>
      <c r="AC412" s="184"/>
      <c r="AD412" s="182">
        <f>Escenario1!BN158</f>
        <v>0.6940352884851545</v>
      </c>
      <c r="AE412" s="184"/>
      <c r="AF412" s="182">
        <f>Escenario2!BN364</f>
        <v>0.61561765614380859</v>
      </c>
      <c r="AG412" s="184"/>
      <c r="AH412" s="182">
        <f>LíneaBase!N342</f>
        <v>0</v>
      </c>
      <c r="AI412" s="184"/>
      <c r="AJ412" s="182">
        <f>Escenario1!BP340</f>
        <v>0</v>
      </c>
      <c r="AK412" s="184"/>
      <c r="AL412" s="182">
        <f>Escenario2!BP342</f>
        <v>0</v>
      </c>
      <c r="AM412" s="151"/>
      <c r="BA412" s="152"/>
      <c r="BB412" s="75">
        <v>407</v>
      </c>
      <c r="BC412" s="190">
        <f>ABS(LíneaBase!L413-LíneaBase!L412)</f>
        <v>3.7359010114492825</v>
      </c>
      <c r="BD412" s="190">
        <f>ABS(Escenario1!BN413-Escenario1!BN412)</f>
        <v>0.10224204017583949</v>
      </c>
      <c r="BE412" s="190">
        <f>ABS(Escenario2!BN413-Escenario2!BN412)</f>
        <v>1.0800956011380869E-4</v>
      </c>
      <c r="BF412" s="151"/>
    </row>
    <row r="413" spans="25:58">
      <c r="Y413" s="152"/>
      <c r="Z413" s="183">
        <f>(LíneaBase!C414-0.44)/(MAX(LíneaBase!C:C)+0.12)*100</f>
        <v>55.820960937928007</v>
      </c>
      <c r="AA413" s="184"/>
      <c r="AB413" s="182">
        <f>LíneaBase!L165</f>
        <v>0.5845057947544402</v>
      </c>
      <c r="AC413" s="184"/>
      <c r="AD413" s="182">
        <f>Escenario1!BN168</f>
        <v>0.68786657928691441</v>
      </c>
      <c r="AE413" s="184"/>
      <c r="AF413" s="182">
        <f>Escenario2!BN209</f>
        <v>0.61516578340831163</v>
      </c>
      <c r="AG413" s="184"/>
      <c r="AH413" s="182">
        <f>LíneaBase!N343</f>
        <v>0</v>
      </c>
      <c r="AI413" s="184"/>
      <c r="AJ413" s="182">
        <f>Escenario1!BP341</f>
        <v>0</v>
      </c>
      <c r="AK413" s="184"/>
      <c r="AL413" s="182">
        <f>Escenario2!BP343</f>
        <v>0</v>
      </c>
      <c r="AM413" s="151"/>
      <c r="BA413" s="152"/>
      <c r="BB413" s="75">
        <v>408</v>
      </c>
      <c r="BC413" s="190">
        <f>ABS(LíneaBase!L414-LíneaBase!L413)</f>
        <v>5.0525466362197902E-2</v>
      </c>
      <c r="BD413" s="190">
        <f>ABS(Escenario1!BN414-Escenario1!BN413)</f>
        <v>4.4809522029031656E-2</v>
      </c>
      <c r="BE413" s="190">
        <f>ABS(Escenario2!BN414-Escenario2!BN413)</f>
        <v>2.0897852385215465E-4</v>
      </c>
      <c r="BF413" s="151"/>
    </row>
    <row r="414" spans="25:58">
      <c r="Y414" s="152"/>
      <c r="Z414" s="183">
        <f>(LíneaBase!C415-0.44)/(MAX(LíneaBase!C:C)+0.12)*100</f>
        <v>55.957924724702792</v>
      </c>
      <c r="AA414" s="184"/>
      <c r="AB414" s="182">
        <f>LíneaBase!L521</f>
        <v>0.58245323544654093</v>
      </c>
      <c r="AC414" s="184"/>
      <c r="AD414" s="182">
        <f>Escenario1!BN574</f>
        <v>0.6833796190828122</v>
      </c>
      <c r="AE414" s="184"/>
      <c r="AF414" s="182">
        <f>Escenario2!BN334</f>
        <v>0.61398915733317805</v>
      </c>
      <c r="AG414" s="184"/>
      <c r="AH414" s="182">
        <f>LíneaBase!N344</f>
        <v>0</v>
      </c>
      <c r="AI414" s="184"/>
      <c r="AJ414" s="182">
        <f>Escenario1!BP342</f>
        <v>0</v>
      </c>
      <c r="AK414" s="184"/>
      <c r="AL414" s="182">
        <f>Escenario2!BP344</f>
        <v>0</v>
      </c>
      <c r="AM414" s="151"/>
      <c r="BA414" s="152"/>
      <c r="BB414" s="75">
        <v>409</v>
      </c>
      <c r="BC414" s="190">
        <f>ABS(LíneaBase!L415-LíneaBase!L414)</f>
        <v>8.7598378573412017E-2</v>
      </c>
      <c r="BD414" s="190">
        <f>ABS(Escenario1!BN415-Escenario1!BN414)</f>
        <v>7.7691479015622456E-2</v>
      </c>
      <c r="BE414" s="190">
        <f>ABS(Escenario2!BN415-Escenario2!BN414)</f>
        <v>2.0578423548367475E-4</v>
      </c>
      <c r="BF414" s="151"/>
    </row>
    <row r="415" spans="25:58">
      <c r="Y415" s="152"/>
      <c r="Z415" s="183">
        <f>(LíneaBase!C416-0.44)/(MAX(LíneaBase!C:C)+0.12)*100</f>
        <v>56.094888511477571</v>
      </c>
      <c r="AA415" s="184"/>
      <c r="AB415" s="182">
        <f>LíneaBase!L677</f>
        <v>0.58111794694456098</v>
      </c>
      <c r="AC415" s="184"/>
      <c r="AD415" s="182">
        <f>Escenario1!BN534</f>
        <v>0.6785980542847625</v>
      </c>
      <c r="AE415" s="184"/>
      <c r="AF415" s="182">
        <f>Escenario2!BN340</f>
        <v>0.61272118520088981</v>
      </c>
      <c r="AG415" s="184"/>
      <c r="AH415" s="182">
        <f>LíneaBase!N345</f>
        <v>0</v>
      </c>
      <c r="AI415" s="184"/>
      <c r="AJ415" s="182">
        <f>Escenario1!BP343</f>
        <v>0</v>
      </c>
      <c r="AK415" s="184"/>
      <c r="AL415" s="182">
        <f>Escenario2!BP345</f>
        <v>0</v>
      </c>
      <c r="AM415" s="151"/>
      <c r="BA415" s="152"/>
      <c r="BB415" s="75">
        <v>410</v>
      </c>
      <c r="BC415" s="190">
        <f>ABS(LíneaBase!L416-LíneaBase!L415)</f>
        <v>0.11052826488682221</v>
      </c>
      <c r="BD415" s="190">
        <f>ABS(Escenario1!BN416-Escenario1!BN415)</f>
        <v>9.8245688857028002E-2</v>
      </c>
      <c r="BE415" s="190">
        <f>ABS(Escenario2!BN416-Escenario2!BN415)</f>
        <v>2.0263877260195962E-4</v>
      </c>
      <c r="BF415" s="151"/>
    </row>
    <row r="416" spans="25:58">
      <c r="Y416" s="152"/>
      <c r="Z416" s="183">
        <f>(LíneaBase!C417-0.44)/(MAX(LíneaBase!C:C)+0.12)*100</f>
        <v>56.231852298252335</v>
      </c>
      <c r="AA416" s="184"/>
      <c r="AB416" s="182">
        <f>LíneaBase!L154</f>
        <v>0.57898420357733249</v>
      </c>
      <c r="AC416" s="184"/>
      <c r="AD416" s="182">
        <f>Escenario1!BN209</f>
        <v>0.65854609575734857</v>
      </c>
      <c r="AE416" s="184"/>
      <c r="AF416" s="182">
        <f>Escenario2!BN538</f>
        <v>0.6107669368884775</v>
      </c>
      <c r="AG416" s="184"/>
      <c r="AH416" s="182">
        <f>LíneaBase!N346</f>
        <v>0</v>
      </c>
      <c r="AI416" s="184"/>
      <c r="AJ416" s="182">
        <f>Escenario1!BP344</f>
        <v>0</v>
      </c>
      <c r="AK416" s="184"/>
      <c r="AL416" s="182">
        <f>Escenario2!BP346</f>
        <v>0</v>
      </c>
      <c r="AM416" s="151"/>
      <c r="BA416" s="152"/>
      <c r="BB416" s="75">
        <v>411</v>
      </c>
      <c r="BC416" s="190">
        <f>ABS(LíneaBase!L417-LíneaBase!L416)</f>
        <v>4.9409261605757315E-2</v>
      </c>
      <c r="BD416" s="190">
        <f>ABS(Escenario1!BN417-Escenario1!BN416)</f>
        <v>4.4715733410543246E-2</v>
      </c>
      <c r="BE416" s="190">
        <f>ABS(Escenario2!BN417-Escenario2!BN416)</f>
        <v>1.9954138889799466E-4</v>
      </c>
      <c r="BF416" s="151"/>
    </row>
    <row r="417" spans="25:58">
      <c r="Y417" s="152"/>
      <c r="Z417" s="183">
        <f>(LíneaBase!C418-0.44)/(MAX(LíneaBase!C:C)+0.12)*100</f>
        <v>56.36881608502712</v>
      </c>
      <c r="AA417" s="184"/>
      <c r="AB417" s="182">
        <f>LíneaBase!L312</f>
        <v>0.57795525903080303</v>
      </c>
      <c r="AC417" s="184"/>
      <c r="AD417" s="182">
        <f>Escenario1!BN724</f>
        <v>0.65670861723492935</v>
      </c>
      <c r="AE417" s="184"/>
      <c r="AF417" s="182">
        <f>Escenario2!BN169</f>
        <v>0.60885484564378756</v>
      </c>
      <c r="AG417" s="184"/>
      <c r="AH417" s="182">
        <f>LíneaBase!N347</f>
        <v>0</v>
      </c>
      <c r="AI417" s="184"/>
      <c r="AJ417" s="182">
        <f>Escenario1!BP345</f>
        <v>0</v>
      </c>
      <c r="AK417" s="184"/>
      <c r="AL417" s="182">
        <f>Escenario2!BP347</f>
        <v>0</v>
      </c>
      <c r="AM417" s="151"/>
      <c r="BA417" s="152"/>
      <c r="BB417" s="75">
        <v>412</v>
      </c>
      <c r="BC417" s="190">
        <f>ABS(LíneaBase!L418-LíneaBase!L417)</f>
        <v>2.7899653434828502</v>
      </c>
      <c r="BD417" s="190">
        <f>ABS(Escenario1!BN418-Escenario1!BN417)</f>
        <v>0.36555492021270131</v>
      </c>
      <c r="BE417" s="190">
        <f>ABS(Escenario2!BN418-Escenario2!BN417)</f>
        <v>1.4800920178705823E-3</v>
      </c>
      <c r="BF417" s="151"/>
    </row>
    <row r="418" spans="25:58">
      <c r="Y418" s="152"/>
      <c r="Z418" s="183">
        <f>(LíneaBase!C419-0.44)/(MAX(LíneaBase!C:C)+0.12)*100</f>
        <v>56.505779871801899</v>
      </c>
      <c r="AA418" s="184"/>
      <c r="AB418" s="182">
        <f>LíneaBase!L522</f>
        <v>0.57671418498813387</v>
      </c>
      <c r="AC418" s="184"/>
      <c r="AD418" s="182">
        <f>Escenario1!BN535</f>
        <v>0.65668202547283805</v>
      </c>
      <c r="AE418" s="184"/>
      <c r="AF418" s="182">
        <f>Escenario2!BN539</f>
        <v>0.60438845446426148</v>
      </c>
      <c r="AG418" s="184"/>
      <c r="AH418" s="182">
        <f>LíneaBase!N348</f>
        <v>0</v>
      </c>
      <c r="AI418" s="184"/>
      <c r="AJ418" s="182">
        <f>Escenario1!BP346</f>
        <v>0</v>
      </c>
      <c r="AK418" s="184"/>
      <c r="AL418" s="182">
        <f>Escenario2!BP348</f>
        <v>0</v>
      </c>
      <c r="AM418" s="151"/>
      <c r="BA418" s="152"/>
      <c r="BB418" s="75">
        <v>413</v>
      </c>
      <c r="BC418" s="190">
        <f>ABS(LíneaBase!L419-LíneaBase!L418)</f>
        <v>2.4627660963549625</v>
      </c>
      <c r="BD418" s="190">
        <f>ABS(Escenario1!BN419-Escenario1!BN418)</f>
        <v>6.2685745347235811E-2</v>
      </c>
      <c r="BE418" s="190">
        <f>ABS(Escenario2!BN419-Escenario2!BN418)</f>
        <v>3.2386712639298487E-4</v>
      </c>
      <c r="BF418" s="151"/>
    </row>
    <row r="419" spans="25:58">
      <c r="Y419" s="152"/>
      <c r="Z419" s="183">
        <f>(LíneaBase!C420-0.44)/(MAX(LíneaBase!C:C)+0.12)*100</f>
        <v>56.642743658576677</v>
      </c>
      <c r="AA419" s="184"/>
      <c r="AB419" s="182">
        <f>LíneaBase!L155</f>
        <v>0.57327933431619171</v>
      </c>
      <c r="AC419" s="184"/>
      <c r="AD419" s="182">
        <f>Escenario1!BN359</f>
        <v>0.65104427193176351</v>
      </c>
      <c r="AE419" s="184"/>
      <c r="AF419" s="182">
        <f>Escenario2!BN170</f>
        <v>0.60155862688454886</v>
      </c>
      <c r="AG419" s="184"/>
      <c r="AH419" s="182">
        <f>LíneaBase!N349</f>
        <v>0</v>
      </c>
      <c r="AI419" s="184"/>
      <c r="AJ419" s="182">
        <f>Escenario1!BP347</f>
        <v>0</v>
      </c>
      <c r="AK419" s="184"/>
      <c r="AL419" s="182">
        <f>Escenario2!BP349</f>
        <v>0</v>
      </c>
      <c r="AM419" s="151"/>
      <c r="BA419" s="152"/>
      <c r="BB419" s="75">
        <v>414</v>
      </c>
      <c r="BC419" s="190">
        <f>ABS(LíneaBase!L420-LíneaBase!L419)</f>
        <v>1.0743280648545661</v>
      </c>
      <c r="BD419" s="190">
        <f>ABS(Escenario1!BN420-Escenario1!BN419)</f>
        <v>0.10949146108803154</v>
      </c>
      <c r="BE419" s="190">
        <f>ABS(Escenario2!BN420-Escenario2!BN419)</f>
        <v>2.0027657904002627E-3</v>
      </c>
      <c r="BF419" s="151"/>
    </row>
    <row r="420" spans="25:58">
      <c r="Y420" s="152"/>
      <c r="Z420" s="183">
        <f>(LíneaBase!C421-0.44)/(MAX(LíneaBase!C:C)+0.12)*100</f>
        <v>56.779707445351448</v>
      </c>
      <c r="AA420" s="184"/>
      <c r="AB420" s="182">
        <f>LíneaBase!L523</f>
        <v>0.57103168276082883</v>
      </c>
      <c r="AC420" s="184"/>
      <c r="AD420" s="182">
        <f>Escenario1!BN536</f>
        <v>0.64777140602248606</v>
      </c>
      <c r="AE420" s="184"/>
      <c r="AF420" s="182">
        <f>Escenario2!BN724</f>
        <v>0.60112677665992265</v>
      </c>
      <c r="AG420" s="184"/>
      <c r="AH420" s="182">
        <f>LíneaBase!N350</f>
        <v>0</v>
      </c>
      <c r="AI420" s="184"/>
      <c r="AJ420" s="182">
        <f>Escenario1!BP348</f>
        <v>0</v>
      </c>
      <c r="AK420" s="184"/>
      <c r="AL420" s="182">
        <f>Escenario2!BP350</f>
        <v>0</v>
      </c>
      <c r="AM420" s="151"/>
      <c r="BA420" s="152"/>
      <c r="BB420" s="75">
        <v>415</v>
      </c>
      <c r="BC420" s="190">
        <f>ABS(LíneaBase!L421-LíneaBase!L420)</f>
        <v>1.0770125684549556</v>
      </c>
      <c r="BD420" s="190">
        <f>ABS(Escenario1!BN421-Escenario1!BN420)</f>
        <v>0.10415176094862133</v>
      </c>
      <c r="BE420" s="190">
        <f>ABS(Escenario2!BN421-Escenario2!BN420)</f>
        <v>3.0126664114682455E-4</v>
      </c>
      <c r="BF420" s="151"/>
    </row>
    <row r="421" spans="25:58">
      <c r="Y421" s="152"/>
      <c r="Z421" s="183">
        <f>(LíneaBase!C422-0.44)/(MAX(LíneaBase!C:C)+0.12)*100</f>
        <v>56.916671232126227</v>
      </c>
      <c r="AA421" s="184"/>
      <c r="AB421" s="182">
        <f>LíneaBase!L156</f>
        <v>0.567630676490675</v>
      </c>
      <c r="AC421" s="184"/>
      <c r="AD421" s="182">
        <f>Escenario1!BN676</f>
        <v>0.64766432134022411</v>
      </c>
      <c r="AE421" s="184"/>
      <c r="AF421" s="182">
        <f>Escenario2!BN540</f>
        <v>0.59807892788077688</v>
      </c>
      <c r="AG421" s="184"/>
      <c r="AH421" s="182">
        <f>LíneaBase!N351</f>
        <v>0</v>
      </c>
      <c r="AI421" s="184"/>
      <c r="AJ421" s="182">
        <f>Escenario1!BP349</f>
        <v>0</v>
      </c>
      <c r="AK421" s="184"/>
      <c r="AL421" s="182">
        <f>Escenario2!BP351</f>
        <v>0</v>
      </c>
      <c r="AM421" s="151"/>
      <c r="BA421" s="152"/>
      <c r="BB421" s="75">
        <v>416</v>
      </c>
      <c r="BC421" s="190">
        <f>ABS(LíneaBase!L422-LíneaBase!L421)</f>
        <v>4.6850911515861071</v>
      </c>
      <c r="BD421" s="190">
        <f>ABS(Escenario1!BN422-Escenario1!BN421)</f>
        <v>0.23510602771781342</v>
      </c>
      <c r="BE421" s="190">
        <f>ABS(Escenario2!BN422-Escenario2!BN421)</f>
        <v>4.2650674038446912E-3</v>
      </c>
      <c r="BF421" s="151"/>
    </row>
    <row r="422" spans="25:58">
      <c r="Y422" s="152"/>
      <c r="Z422" s="183">
        <f>(LíneaBase!C423-0.44)/(MAX(LíneaBase!C:C)+0.12)*100</f>
        <v>57.053635018901005</v>
      </c>
      <c r="AA422" s="184"/>
      <c r="AB422" s="182">
        <f>LíneaBase!L533</f>
        <v>0.56564608147854056</v>
      </c>
      <c r="AC422" s="184"/>
      <c r="AD422" s="182">
        <f>Escenario1!BN169</f>
        <v>0.64194439496052325</v>
      </c>
      <c r="AE422" s="184"/>
      <c r="AF422" s="182">
        <f>Escenario2!BN359</f>
        <v>0.59753985423092371</v>
      </c>
      <c r="AG422" s="184"/>
      <c r="AH422" s="182">
        <f>LíneaBase!N352</f>
        <v>0</v>
      </c>
      <c r="AI422" s="184"/>
      <c r="AJ422" s="182">
        <f>Escenario1!BP350</f>
        <v>0</v>
      </c>
      <c r="AK422" s="184"/>
      <c r="AL422" s="182">
        <f>Escenario2!BP352</f>
        <v>0</v>
      </c>
      <c r="AM422" s="151"/>
      <c r="BA422" s="152"/>
      <c r="BB422" s="75">
        <v>417</v>
      </c>
      <c r="BC422" s="190">
        <f>ABS(LíneaBase!L423-LíneaBase!L422)</f>
        <v>3.4918783543146215</v>
      </c>
      <c r="BD422" s="190">
        <f>ABS(Escenario1!BN423-Escenario1!BN422)</f>
        <v>7.172294974899085E-2</v>
      </c>
      <c r="BE422" s="190">
        <f>ABS(Escenario2!BN423-Escenario2!BN422)</f>
        <v>5.3865926926421892E-3</v>
      </c>
      <c r="BF422" s="151"/>
    </row>
    <row r="423" spans="25:58">
      <c r="Y423" s="152"/>
      <c r="Z423" s="183">
        <f>(LíneaBase!C424-0.44)/(MAX(LíneaBase!C:C)+0.12)*100</f>
        <v>57.190598805675776</v>
      </c>
      <c r="AA423" s="184"/>
      <c r="AB423" s="182">
        <f>LíneaBase!L694</f>
        <v>0.56305727226552627</v>
      </c>
      <c r="AC423" s="184"/>
      <c r="AD423" s="182">
        <f>Escenario1!BN537</f>
        <v>0.64134928352254039</v>
      </c>
      <c r="AE423" s="184"/>
      <c r="AF423" s="182">
        <f>Escenario2!BN171</f>
        <v>0.59514228966126381</v>
      </c>
      <c r="AG423" s="184"/>
      <c r="AH423" s="182">
        <f>LíneaBase!N354</f>
        <v>0</v>
      </c>
      <c r="AI423" s="184"/>
      <c r="AJ423" s="182">
        <f>Escenario1!BP351</f>
        <v>0</v>
      </c>
      <c r="AK423" s="184"/>
      <c r="AL423" s="182">
        <f>Escenario2!BP354</f>
        <v>0</v>
      </c>
      <c r="AM423" s="151"/>
      <c r="BA423" s="152"/>
      <c r="BB423" s="75">
        <v>418</v>
      </c>
      <c r="BC423" s="190">
        <f>ABS(LíneaBase!L424-LíneaBase!L423)</f>
        <v>0.71920198003561531</v>
      </c>
      <c r="BD423" s="190">
        <f>ABS(Escenario1!BN424-Escenario1!BN423)</f>
        <v>2.6650492719754171E-2</v>
      </c>
      <c r="BE423" s="190">
        <f>ABS(Escenario2!BN424-Escenario2!BN423)</f>
        <v>5.717954009221371E-3</v>
      </c>
      <c r="BF423" s="151"/>
    </row>
    <row r="424" spans="25:58">
      <c r="Y424" s="152"/>
      <c r="Z424" s="183">
        <f>(LíneaBase!C425-0.44)/(MAX(LíneaBase!C:C)+0.12)*100</f>
        <v>57.327562592450555</v>
      </c>
      <c r="AA424" s="184"/>
      <c r="AB424" s="182">
        <f>LíneaBase!L157</f>
        <v>0.56203767623611856</v>
      </c>
      <c r="AC424" s="184"/>
      <c r="AD424" s="182">
        <f>Escenario1!BN311</f>
        <v>0.63855430104822219</v>
      </c>
      <c r="AE424" s="184"/>
      <c r="AF424" s="182">
        <f>Escenario2!BN541</f>
        <v>0.59183708594593476</v>
      </c>
      <c r="AG424" s="184"/>
      <c r="AH424" s="182">
        <f>LíneaBase!N355</f>
        <v>0</v>
      </c>
      <c r="AI424" s="184"/>
      <c r="AJ424" s="182">
        <f>Escenario1!BP352</f>
        <v>0</v>
      </c>
      <c r="AK424" s="184"/>
      <c r="AL424" s="182">
        <f>Escenario2!BP355</f>
        <v>0</v>
      </c>
      <c r="AM424" s="151"/>
      <c r="BA424" s="152"/>
      <c r="BB424" s="75">
        <v>419</v>
      </c>
      <c r="BC424" s="190">
        <f>ABS(LíneaBase!L425-LíneaBase!L424)</f>
        <v>6.0083193383953137</v>
      </c>
      <c r="BD424" s="190">
        <f>ABS(Escenario1!BN425-Escenario1!BN424)</f>
        <v>0.1773556183518965</v>
      </c>
      <c r="BE424" s="190">
        <f>ABS(Escenario2!BN425-Escenario2!BN424)</f>
        <v>8.2970709075957938E-3</v>
      </c>
      <c r="BF424" s="151"/>
    </row>
    <row r="425" spans="25:58">
      <c r="Y425" s="152"/>
      <c r="Z425" s="183">
        <f>(LíneaBase!C426-0.44)/(MAX(LíneaBase!C:C)+0.12)*100</f>
        <v>57.464526379225333</v>
      </c>
      <c r="AA425" s="184"/>
      <c r="AB425" s="182">
        <f>LíneaBase!L329</f>
        <v>0.56038457940056863</v>
      </c>
      <c r="AC425" s="184"/>
      <c r="AD425" s="182">
        <f>Escenario1!BN538</f>
        <v>0.63514325958122886</v>
      </c>
      <c r="AE425" s="184"/>
      <c r="AF425" s="182">
        <f>Escenario2!BN172</f>
        <v>0.58892743435483219</v>
      </c>
      <c r="AG425" s="184"/>
      <c r="AH425" s="182">
        <f>LíneaBase!N357</f>
        <v>0</v>
      </c>
      <c r="AI425" s="184"/>
      <c r="AJ425" s="182">
        <f>Escenario1!BP354</f>
        <v>0</v>
      </c>
      <c r="AK425" s="184"/>
      <c r="AL425" s="182">
        <f>Escenario2!BP357</f>
        <v>0</v>
      </c>
      <c r="AM425" s="151"/>
      <c r="BA425" s="152"/>
      <c r="BB425" s="75">
        <v>420</v>
      </c>
      <c r="BC425" s="190">
        <f>ABS(LíneaBase!L426-LíneaBase!L425)</f>
        <v>5.5580757422664648</v>
      </c>
      <c r="BD425" s="190">
        <f>ABS(Escenario1!BN426-Escenario1!BN425)</f>
        <v>4.2151001272912936E-2</v>
      </c>
      <c r="BE425" s="190">
        <f>ABS(Escenario2!BN426-Escenario2!BN425)</f>
        <v>8.7655247270244097E-3</v>
      </c>
      <c r="BF425" s="151"/>
    </row>
    <row r="426" spans="25:58">
      <c r="Y426" s="152"/>
      <c r="Z426" s="183">
        <f>(LíneaBase!C427-0.44)/(MAX(LíneaBase!C:C)+0.12)*100</f>
        <v>57.601490166000112</v>
      </c>
      <c r="AA426" s="184"/>
      <c r="AB426" s="182">
        <f>LíneaBase!L158</f>
        <v>0.55649978514521914</v>
      </c>
      <c r="AC426" s="184"/>
      <c r="AD426" s="182">
        <f>Escenario1!BN575</f>
        <v>0.63210419952909846</v>
      </c>
      <c r="AE426" s="184"/>
      <c r="AF426" s="182">
        <f>Escenario2!BN542</f>
        <v>0.58566209473937048</v>
      </c>
      <c r="AG426" s="184"/>
      <c r="AH426" s="182">
        <f>LíneaBase!N358</f>
        <v>0</v>
      </c>
      <c r="AI426" s="184"/>
      <c r="AJ426" s="182">
        <f>Escenario1!BP355</f>
        <v>0</v>
      </c>
      <c r="AK426" s="184"/>
      <c r="AL426" s="182">
        <f>Escenario2!BP358</f>
        <v>0</v>
      </c>
      <c r="AM426" s="151"/>
      <c r="BA426" s="152"/>
      <c r="BB426" s="75">
        <v>421</v>
      </c>
      <c r="BC426" s="190">
        <f>ABS(LíneaBase!L427-LíneaBase!L426)</f>
        <v>0.47032872547753857</v>
      </c>
      <c r="BD426" s="190">
        <f>ABS(Escenario1!BN427-Escenario1!BN426)</f>
        <v>9.0973776933592987E-2</v>
      </c>
      <c r="BE426" s="190">
        <f>ABS(Escenario2!BN427-Escenario2!BN426)</f>
        <v>7.1063686349754907E-3</v>
      </c>
      <c r="BF426" s="151"/>
    </row>
    <row r="427" spans="25:58">
      <c r="Y427" s="152"/>
      <c r="Z427" s="183">
        <f>(LíneaBase!C428-0.44)/(MAX(LíneaBase!C:C)+0.12)*100</f>
        <v>57.738453952774883</v>
      </c>
      <c r="AA427" s="184"/>
      <c r="AB427" s="182">
        <f>LíneaBase!L707</f>
        <v>0.55570881493117397</v>
      </c>
      <c r="AC427" s="184"/>
      <c r="AD427" s="182">
        <f>Escenario1!BN677</f>
        <v>0.63070889448270728</v>
      </c>
      <c r="AE427" s="184"/>
      <c r="AF427" s="182">
        <f>Escenario2!BN173</f>
        <v>0.58280087921554968</v>
      </c>
      <c r="AG427" s="184"/>
      <c r="AH427" s="182">
        <f>LíneaBase!N360</f>
        <v>0</v>
      </c>
      <c r="AI427" s="184"/>
      <c r="AJ427" s="182">
        <f>Escenario1!BP357</f>
        <v>0</v>
      </c>
      <c r="AK427" s="184"/>
      <c r="AL427" s="182">
        <f>Escenario2!BP360</f>
        <v>0</v>
      </c>
      <c r="AM427" s="151"/>
      <c r="BA427" s="152"/>
      <c r="BB427" s="75">
        <v>422</v>
      </c>
      <c r="BC427" s="190">
        <f>ABS(LíneaBase!L428-LíneaBase!L427)</f>
        <v>0.1192503198791417</v>
      </c>
      <c r="BD427" s="190">
        <f>ABS(Escenario1!BN428-Escenario1!BN427)</f>
        <v>0.10455381364646499</v>
      </c>
      <c r="BE427" s="190">
        <f>ABS(Escenario2!BN428-Escenario2!BN427)</f>
        <v>5.1633911860913262E-3</v>
      </c>
      <c r="BF427" s="151"/>
    </row>
    <row r="428" spans="25:58">
      <c r="Y428" s="152"/>
      <c r="Z428" s="183">
        <f>(LíneaBase!C429-0.44)/(MAX(LíneaBase!C:C)+0.12)*100</f>
        <v>57.875417739549661</v>
      </c>
      <c r="AA428" s="184"/>
      <c r="AB428" s="182">
        <f>LíneaBase!L342</f>
        <v>0.55335894684209086</v>
      </c>
      <c r="AC428" s="184"/>
      <c r="AD428" s="182">
        <f>Escenario1!BN692</f>
        <v>0.62985103575076973</v>
      </c>
      <c r="AE428" s="184"/>
      <c r="AF428" s="182">
        <f>Escenario2!BN543</f>
        <v>0.57955320009022626</v>
      </c>
      <c r="AG428" s="184"/>
      <c r="AH428" s="182">
        <f>LíneaBase!N361</f>
        <v>0</v>
      </c>
      <c r="AI428" s="184"/>
      <c r="AJ428" s="182">
        <f>Escenario1!BP358</f>
        <v>0</v>
      </c>
      <c r="AK428" s="184"/>
      <c r="AL428" s="182">
        <f>Escenario2!BP361</f>
        <v>0</v>
      </c>
      <c r="AM428" s="151"/>
      <c r="BA428" s="152"/>
      <c r="BB428" s="75">
        <v>423</v>
      </c>
      <c r="BC428" s="190">
        <f>ABS(LíneaBase!L429-LíneaBase!L428)</f>
        <v>7.4153444744810448E-2</v>
      </c>
      <c r="BD428" s="190">
        <f>ABS(Escenario1!BN429-Escenario1!BN428)</f>
        <v>6.4935290907554677E-2</v>
      </c>
      <c r="BE428" s="190">
        <f>ABS(Escenario2!BN429-Escenario2!BN428)</f>
        <v>4.1131415960364848E-3</v>
      </c>
      <c r="BF428" s="151"/>
    </row>
    <row r="429" spans="25:58">
      <c r="Y429" s="152"/>
      <c r="Z429" s="183">
        <f>(LíneaBase!C430-0.44)/(MAX(LíneaBase!C:C)+0.12)*100</f>
        <v>58.01238152632444</v>
      </c>
      <c r="AA429" s="184"/>
      <c r="AB429" s="182">
        <f>LíneaBase!L575</f>
        <v>0.55276585842056369</v>
      </c>
      <c r="AC429" s="184"/>
      <c r="AD429" s="182">
        <f>Escenario1!BN539</f>
        <v>0.62899627405015857</v>
      </c>
      <c r="AE429" s="184"/>
      <c r="AF429" s="182">
        <f>Escenario2!BN174</f>
        <v>0.57674323966631025</v>
      </c>
      <c r="AG429" s="184"/>
      <c r="AH429" s="182">
        <f>LíneaBase!N363</f>
        <v>0</v>
      </c>
      <c r="AI429" s="184"/>
      <c r="AJ429" s="182">
        <f>Escenario1!BP360</f>
        <v>0</v>
      </c>
      <c r="AK429" s="184"/>
      <c r="AL429" s="182">
        <f>Escenario2!BP363</f>
        <v>0</v>
      </c>
      <c r="AM429" s="151"/>
      <c r="BA429" s="152"/>
      <c r="BB429" s="75">
        <v>424</v>
      </c>
      <c r="BC429" s="190">
        <f>ABS(LíneaBase!L430-LíneaBase!L429)</f>
        <v>9.786430961987258E-2</v>
      </c>
      <c r="BD429" s="190">
        <f>ABS(Escenario1!BN430-Escenario1!BN429)</f>
        <v>8.5846570545377698E-2</v>
      </c>
      <c r="BE429" s="190">
        <f>ABS(Escenario2!BN430-Escenario2!BN429)</f>
        <v>2.4931962816725495E-3</v>
      </c>
      <c r="BF429" s="151"/>
    </row>
    <row r="430" spans="25:58">
      <c r="Y430" s="152"/>
      <c r="Z430" s="183">
        <f>(LíneaBase!C431-0.44)/(MAX(LíneaBase!C:C)+0.12)*100</f>
        <v>58.149345313099218</v>
      </c>
      <c r="AA430" s="184"/>
      <c r="AB430" s="182">
        <f>LíneaBase!L168</f>
        <v>0.55248419792142245</v>
      </c>
      <c r="AC430" s="184"/>
      <c r="AD430" s="182">
        <f>Escenario1!BN540</f>
        <v>0.62290777759777327</v>
      </c>
      <c r="AE430" s="184"/>
      <c r="AF430" s="182">
        <f>Escenario2!BN575</f>
        <v>0.57560773251305519</v>
      </c>
      <c r="AG430" s="184"/>
      <c r="AH430" s="182">
        <f>LíneaBase!N364</f>
        <v>0</v>
      </c>
      <c r="AI430" s="184"/>
      <c r="AJ430" s="182">
        <f>Escenario1!BP361</f>
        <v>0</v>
      </c>
      <c r="AK430" s="184"/>
      <c r="AL430" s="182">
        <f>Escenario2!BP364</f>
        <v>0</v>
      </c>
      <c r="AM430" s="151"/>
      <c r="BA430" s="152"/>
      <c r="BB430" s="75">
        <v>425</v>
      </c>
      <c r="BC430" s="190">
        <f>ABS(LíneaBase!L431-LíneaBase!L430)</f>
        <v>0.10830649351533417</v>
      </c>
      <c r="BD430" s="190">
        <f>ABS(Escenario1!BN431-Escenario1!BN430)</f>
        <v>9.5102638060626798E-2</v>
      </c>
      <c r="BE430" s="190">
        <f>ABS(Escenario2!BN431-Escenario2!BN430)</f>
        <v>8.6098223128794338E-4</v>
      </c>
      <c r="BF430" s="151"/>
    </row>
    <row r="431" spans="25:58">
      <c r="Y431" s="152"/>
      <c r="Z431" s="183">
        <f>(LíneaBase!C432-0.44)/(MAX(LíneaBase!C:C)+0.12)*100</f>
        <v>58.286309099873989</v>
      </c>
      <c r="AA431" s="184"/>
      <c r="AB431" s="182">
        <f>LíneaBase!L210</f>
        <v>0.54408225368341878</v>
      </c>
      <c r="AC431" s="184"/>
      <c r="AD431" s="182">
        <f>Escenario1!BN327</f>
        <v>0.62207542020806128</v>
      </c>
      <c r="AE431" s="184"/>
      <c r="AF431" s="182">
        <f>Escenario2!BN544</f>
        <v>0.57350966816430282</v>
      </c>
      <c r="AG431" s="184"/>
      <c r="AH431" s="182">
        <f>LíneaBase!N367</f>
        <v>0</v>
      </c>
      <c r="AI431" s="184"/>
      <c r="AJ431" s="182">
        <f>Escenario1!BP363</f>
        <v>0</v>
      </c>
      <c r="AK431" s="184"/>
      <c r="AL431" s="182">
        <f>Escenario2!BP367</f>
        <v>0</v>
      </c>
      <c r="AM431" s="151"/>
      <c r="BA431" s="152"/>
      <c r="BB431" s="75">
        <v>426</v>
      </c>
      <c r="BC431" s="190">
        <f>ABS(LíneaBase!L432-LíneaBase!L431)</f>
        <v>1.172364835936146E-2</v>
      </c>
      <c r="BD431" s="190">
        <f>ABS(Escenario1!BN432-Escenario1!BN431)</f>
        <v>1.0482930901332788E-2</v>
      </c>
      <c r="BE431" s="190">
        <f>ABS(Escenario2!BN432-Escenario2!BN431)</f>
        <v>9.0419169026878521E-4</v>
      </c>
      <c r="BF431" s="151"/>
    </row>
    <row r="432" spans="25:58">
      <c r="Y432" s="152"/>
      <c r="Z432" s="183">
        <f>(LíneaBase!C433-0.44)/(MAX(LíneaBase!C:C)+0.12)*100</f>
        <v>58.423272886648768</v>
      </c>
      <c r="AA432" s="184"/>
      <c r="AB432" s="182">
        <f>LíneaBase!L725</f>
        <v>0.53747799093091819</v>
      </c>
      <c r="AC432" s="184"/>
      <c r="AD432" s="182">
        <f>Escenario1!BN312</f>
        <v>0.62168860577863738</v>
      </c>
      <c r="AE432" s="184"/>
      <c r="AF432" s="182">
        <f>Escenario2!BN692</f>
        <v>0.57265388965097186</v>
      </c>
      <c r="AG432" s="184"/>
      <c r="AH432" s="182">
        <f>LíneaBase!N371</f>
        <v>0</v>
      </c>
      <c r="AI432" s="184"/>
      <c r="AJ432" s="182">
        <f>Escenario1!BP364</f>
        <v>0</v>
      </c>
      <c r="AK432" s="184"/>
      <c r="AL432" s="182">
        <f>Escenario2!BP371</f>
        <v>0</v>
      </c>
      <c r="AM432" s="151"/>
      <c r="BA432" s="152"/>
      <c r="BB432" s="75">
        <v>427</v>
      </c>
      <c r="BC432" s="190">
        <f>ABS(LíneaBase!L433-LíneaBase!L432)</f>
        <v>0.10455540517155804</v>
      </c>
      <c r="BD432" s="190">
        <f>ABS(Escenario1!BN433-Escenario1!BN432)</f>
        <v>9.1918966781793232E-2</v>
      </c>
      <c r="BE432" s="190">
        <f>ABS(Escenario2!BN433-Escenario2!BN432)</f>
        <v>6.4057913572690417E-4</v>
      </c>
      <c r="BF432" s="151"/>
    </row>
    <row r="433" spans="25:58">
      <c r="Y433" s="152"/>
      <c r="Z433" s="183">
        <f>(LíneaBase!C434-0.44)/(MAX(LíneaBase!C:C)+0.12)*100</f>
        <v>58.560236673423546</v>
      </c>
      <c r="AA433" s="184"/>
      <c r="AB433" s="182">
        <f>LíneaBase!L360</f>
        <v>0.53551175435553189</v>
      </c>
      <c r="AC433" s="184"/>
      <c r="AD433" s="182">
        <f>Escenario1!BN707</f>
        <v>0.62164588912632823</v>
      </c>
      <c r="AE433" s="184"/>
      <c r="AF433" s="182">
        <f>Escenario2!BN175</f>
        <v>0.57075070239893666</v>
      </c>
      <c r="AG433" s="184"/>
      <c r="AH433" s="182">
        <f>LíneaBase!N373</f>
        <v>0</v>
      </c>
      <c r="AI433" s="184"/>
      <c r="AJ433" s="182">
        <f>Escenario1!BP367</f>
        <v>0</v>
      </c>
      <c r="AK433" s="184"/>
      <c r="AL433" s="182">
        <f>Escenario2!BP373</f>
        <v>0</v>
      </c>
      <c r="AM433" s="151"/>
      <c r="BA433" s="152"/>
      <c r="BB433" s="75">
        <v>428</v>
      </c>
      <c r="BC433" s="190">
        <f>ABS(LíneaBase!L434-LíneaBase!L433)</f>
        <v>1.3667574591569531E-2</v>
      </c>
      <c r="BD433" s="190">
        <f>ABS(Escenario1!BN434-Escenario1!BN433)</f>
        <v>1.1984523787073265E-2</v>
      </c>
      <c r="BE433" s="190">
        <f>ABS(Escenario2!BN434-Escenario2!BN433)</f>
        <v>9.9076934852715404E-4</v>
      </c>
      <c r="BF433" s="151"/>
    </row>
    <row r="434" spans="25:58">
      <c r="Y434" s="152"/>
      <c r="Z434" s="183">
        <f>(LíneaBase!C435-0.44)/(MAX(LíneaBase!C:C)+0.12)*100</f>
        <v>58.697200460198331</v>
      </c>
      <c r="AA434" s="184"/>
      <c r="AB434" s="182">
        <f>LíneaBase!L693</f>
        <v>0.52576858736911936</v>
      </c>
      <c r="AC434" s="184"/>
      <c r="AD434" s="182">
        <f>Escenario1!BN170</f>
        <v>0.620383281642086</v>
      </c>
      <c r="AE434" s="184"/>
      <c r="AF434" s="182">
        <f>Escenario2!BN327</f>
        <v>0.56760415657659125</v>
      </c>
      <c r="AG434" s="184"/>
      <c r="AH434" s="182">
        <f>LíneaBase!N375</f>
        <v>0</v>
      </c>
      <c r="AI434" s="184"/>
      <c r="AJ434" s="182">
        <f>Escenario1!BP371</f>
        <v>0</v>
      </c>
      <c r="AK434" s="184"/>
      <c r="AL434" s="182">
        <f>Escenario2!BP375</f>
        <v>0</v>
      </c>
      <c r="AM434" s="151"/>
      <c r="BA434" s="152"/>
      <c r="BB434" s="75">
        <v>429</v>
      </c>
      <c r="BC434" s="190">
        <f>ABS(LíneaBase!L435-LíneaBase!L434)</f>
        <v>0.10048673602366565</v>
      </c>
      <c r="BD434" s="190">
        <f>ABS(Escenario1!BN435-Escenario1!BN434)</f>
        <v>8.8476401041809982E-2</v>
      </c>
      <c r="BE434" s="190">
        <f>ABS(Escenario2!BN435-Escenario2!BN434)</f>
        <v>1.0455887262439401E-3</v>
      </c>
      <c r="BF434" s="151"/>
    </row>
    <row r="435" spans="25:58">
      <c r="Y435" s="152"/>
      <c r="Z435" s="183">
        <f>(LíneaBase!C436-0.44)/(MAX(LíneaBase!C:C)+0.12)*100</f>
        <v>58.834164246973096</v>
      </c>
      <c r="AA435" s="184"/>
      <c r="AB435" s="182">
        <f>LíneaBase!L328</f>
        <v>0.52306929776072952</v>
      </c>
      <c r="AC435" s="184"/>
      <c r="AD435" s="182">
        <f>Escenario1!BN541</f>
        <v>0.61687721587319011</v>
      </c>
      <c r="AE435" s="184"/>
      <c r="AF435" s="182">
        <f>Escenario2!BN545</f>
        <v>0.56753077551948561</v>
      </c>
      <c r="AG435" s="184"/>
      <c r="AH435" s="182">
        <f>LíneaBase!N378</f>
        <v>0</v>
      </c>
      <c r="AI435" s="184"/>
      <c r="AJ435" s="182">
        <f>Escenario1!BP373</f>
        <v>0</v>
      </c>
      <c r="AK435" s="184"/>
      <c r="AL435" s="182">
        <f>Escenario2!BP378</f>
        <v>0</v>
      </c>
      <c r="AM435" s="151"/>
      <c r="BA435" s="152"/>
      <c r="BB435" s="75">
        <v>430</v>
      </c>
      <c r="BC435" s="190">
        <f>ABS(LíneaBase!L436-LíneaBase!L435)</f>
        <v>0.16155950704775335</v>
      </c>
      <c r="BD435" s="190">
        <f>ABS(Escenario1!BN436-Escenario1!BN435)</f>
        <v>8.9508580716805453E-2</v>
      </c>
      <c r="BE435" s="190">
        <f>ABS(Escenario2!BN436-Escenario2!BN435)</f>
        <v>1.0296066442343488E-3</v>
      </c>
      <c r="BF435" s="151"/>
    </row>
    <row r="436" spans="25:58">
      <c r="Y436" s="152"/>
      <c r="Z436" s="183">
        <f>(LíneaBase!C437-0.44)/(MAX(LíneaBase!C:C)+0.12)*100</f>
        <v>58.971128033747874</v>
      </c>
      <c r="AA436" s="184"/>
      <c r="AB436" s="182">
        <f>LíneaBase!L572</f>
        <v>0.52224620388676346</v>
      </c>
      <c r="AC436" s="184"/>
      <c r="AD436" s="182">
        <f>Escenario1!BN342</f>
        <v>0.6149432979636652</v>
      </c>
      <c r="AE436" s="184"/>
      <c r="AF436" s="182">
        <f>Escenario2!BN176</f>
        <v>0.56482204477209086</v>
      </c>
      <c r="AG436" s="184"/>
      <c r="AH436" s="182">
        <f>LíneaBase!N379</f>
        <v>0</v>
      </c>
      <c r="AI436" s="184"/>
      <c r="AJ436" s="182">
        <f>Escenario1!BP375</f>
        <v>0</v>
      </c>
      <c r="AK436" s="184"/>
      <c r="AL436" s="182">
        <f>Escenario2!BP379</f>
        <v>0</v>
      </c>
      <c r="AM436" s="151"/>
      <c r="BA436" s="152"/>
      <c r="BB436" s="75">
        <v>431</v>
      </c>
      <c r="BC436" s="190">
        <f>ABS(LíneaBase!L437-LíneaBase!L436)</f>
        <v>0.16036491514261697</v>
      </c>
      <c r="BD436" s="190">
        <f>ABS(Escenario1!BN437-Escenario1!BN436)</f>
        <v>8.6897789210919951E-2</v>
      </c>
      <c r="BE436" s="190">
        <f>ABS(Escenario2!BN437-Escenario2!BN436)</f>
        <v>1.0138688522969286E-3</v>
      </c>
      <c r="BF436" s="151"/>
    </row>
    <row r="437" spans="25:58">
      <c r="Y437" s="152"/>
      <c r="Z437" s="183">
        <f>(LíneaBase!C438-0.44)/(MAX(LíneaBase!C:C)+0.12)*100</f>
        <v>59.10809182052266</v>
      </c>
      <c r="AA437" s="184"/>
      <c r="AB437" s="182">
        <f>LíneaBase!L534</f>
        <v>0.52014032176490776</v>
      </c>
      <c r="AC437" s="184"/>
      <c r="AD437" s="182">
        <f>Escenario1!BN171</f>
        <v>0.61182413446205974</v>
      </c>
      <c r="AE437" s="184"/>
      <c r="AF437" s="182">
        <f>Escenario2!BN546</f>
        <v>0.56161580737084438</v>
      </c>
      <c r="AG437" s="184"/>
      <c r="AH437" s="182">
        <f>LíneaBase!N380</f>
        <v>0</v>
      </c>
      <c r="AI437" s="184"/>
      <c r="AJ437" s="182">
        <f>Escenario1!BP378</f>
        <v>0</v>
      </c>
      <c r="AK437" s="184"/>
      <c r="AL437" s="182">
        <f>Escenario2!BP380</f>
        <v>0</v>
      </c>
      <c r="AM437" s="151"/>
      <c r="BA437" s="152"/>
      <c r="BB437" s="75">
        <v>432</v>
      </c>
      <c r="BC437" s="190">
        <f>ABS(LíneaBase!L438-LíneaBase!L437)</f>
        <v>9.5383524311376497</v>
      </c>
      <c r="BD437" s="190">
        <f>ABS(Escenario1!BN438-Escenario1!BN437)</f>
        <v>0.61780818216254607</v>
      </c>
      <c r="BE437" s="190">
        <f>ABS(Escenario2!BN438-Escenario2!BN437)</f>
        <v>8.4614482113327671E-3</v>
      </c>
      <c r="BF437" s="151"/>
    </row>
    <row r="438" spans="25:58">
      <c r="Y438" s="152"/>
      <c r="Z438" s="183">
        <f>(LíneaBase!C439-0.44)/(MAX(LíneaBase!C:C)+0.12)*100</f>
        <v>59.245055607297424</v>
      </c>
      <c r="AA438" s="184"/>
      <c r="AB438" s="182">
        <f>LíneaBase!L721</f>
        <v>0.51698050506629278</v>
      </c>
      <c r="AC438" s="184"/>
      <c r="AD438" s="182">
        <f>Escenario1!BN542</f>
        <v>0.61090403550720795</v>
      </c>
      <c r="AE438" s="184"/>
      <c r="AF438" s="182">
        <f>Escenario2!BN177</f>
        <v>0.55895648077604732</v>
      </c>
      <c r="AG438" s="184"/>
      <c r="AH438" s="182">
        <f>LíneaBase!N381</f>
        <v>0</v>
      </c>
      <c r="AI438" s="184"/>
      <c r="AJ438" s="182">
        <f>Escenario1!BP379</f>
        <v>0</v>
      </c>
      <c r="AK438" s="184"/>
      <c r="AL438" s="182">
        <f>Escenario2!BP381</f>
        <v>0</v>
      </c>
      <c r="AM438" s="151"/>
      <c r="BA438" s="152"/>
      <c r="BB438" s="75">
        <v>433</v>
      </c>
      <c r="BC438" s="190">
        <f>ABS(LíneaBase!L439-LíneaBase!L438)</f>
        <v>8.9234091800622579</v>
      </c>
      <c r="BD438" s="190">
        <f>ABS(Escenario1!BN439-Escenario1!BN438)</f>
        <v>4.3492075681520692E-2</v>
      </c>
      <c r="BE438" s="190">
        <f>ABS(Escenario2!BN439-Escenario2!BN438)</f>
        <v>7.5979661882383809E-3</v>
      </c>
      <c r="BF438" s="151"/>
    </row>
    <row r="439" spans="25:58">
      <c r="Y439" s="152"/>
      <c r="Z439" s="183">
        <f>(LíneaBase!C440-0.44)/(MAX(LíneaBase!C:C)+0.12)*100</f>
        <v>59.382019394072202</v>
      </c>
      <c r="AA439" s="184"/>
      <c r="AB439" s="182">
        <f>LíneaBase!L356</f>
        <v>0.51493482607767005</v>
      </c>
      <c r="AC439" s="184"/>
      <c r="AD439" s="182">
        <f>Escenario1!BN210</f>
        <v>0.60751203875420967</v>
      </c>
      <c r="AE439" s="184"/>
      <c r="AF439" s="182">
        <f>Escenario2!BN210</f>
        <v>0.55728490967975852</v>
      </c>
      <c r="AG439" s="184"/>
      <c r="AH439" s="182">
        <f>LíneaBase!N382</f>
        <v>0</v>
      </c>
      <c r="AI439" s="184"/>
      <c r="AJ439" s="182">
        <f>Escenario1!BP380</f>
        <v>0</v>
      </c>
      <c r="AK439" s="184"/>
      <c r="AL439" s="182">
        <f>Escenario2!BP382</f>
        <v>0</v>
      </c>
      <c r="AM439" s="151"/>
      <c r="BA439" s="152"/>
      <c r="BB439" s="75">
        <v>434</v>
      </c>
      <c r="BC439" s="190">
        <f>ABS(LíneaBase!L440-LíneaBase!L439)</f>
        <v>1.1783560982302506</v>
      </c>
      <c r="BD439" s="190">
        <f>ABS(Escenario1!BN440-Escenario1!BN439)</f>
        <v>9.1225954066846082E-2</v>
      </c>
      <c r="BE439" s="190">
        <f>ABS(Escenario2!BN440-Escenario2!BN439)</f>
        <v>8.8264686474091025E-3</v>
      </c>
      <c r="BF439" s="151"/>
    </row>
    <row r="440" spans="25:58">
      <c r="Y440" s="152"/>
      <c r="Z440" s="183">
        <f>(LíneaBase!C441-0.44)/(MAX(LíneaBase!C:C)+0.12)*100</f>
        <v>59.518983180846988</v>
      </c>
      <c r="AA440" s="184"/>
      <c r="AB440" s="182">
        <f>LíneaBase!L207</f>
        <v>0.51330077160438381</v>
      </c>
      <c r="AC440" s="184"/>
      <c r="AD440" s="182">
        <f>Escenario1!BN172</f>
        <v>0.60575007532613878</v>
      </c>
      <c r="AE440" s="184"/>
      <c r="AF440" s="182">
        <f>Escenario2!BN547</f>
        <v>0.55576405721908895</v>
      </c>
      <c r="AG440" s="184"/>
      <c r="AH440" s="182">
        <f>LíneaBase!N384</f>
        <v>0</v>
      </c>
      <c r="AI440" s="184"/>
      <c r="AJ440" s="182">
        <f>Escenario1!BP381</f>
        <v>0</v>
      </c>
      <c r="AK440" s="184"/>
      <c r="AL440" s="182">
        <f>Escenario2!BP384</f>
        <v>0</v>
      </c>
      <c r="AM440" s="151"/>
      <c r="BA440" s="152"/>
      <c r="BB440" s="75">
        <v>435</v>
      </c>
      <c r="BC440" s="190">
        <f>ABS(LíneaBase!L441-LíneaBase!L440)</f>
        <v>1.0311842522375136</v>
      </c>
      <c r="BD440" s="190">
        <f>ABS(Escenario1!BN441-Escenario1!BN440)</f>
        <v>1.1893242259684023E-2</v>
      </c>
      <c r="BE440" s="190">
        <f>ABS(Escenario2!BN441-Escenario2!BN440)</f>
        <v>8.9249753344646798E-3</v>
      </c>
      <c r="BF440" s="151"/>
    </row>
    <row r="441" spans="25:58">
      <c r="Y441" s="152"/>
      <c r="Z441" s="183">
        <f>(LíneaBase!C442-0.44)/(MAX(LíneaBase!C:C)+0.12)*100</f>
        <v>59.655946967621766</v>
      </c>
      <c r="AA441" s="184"/>
      <c r="AB441" s="182">
        <f>LíneaBase!L535</f>
        <v>0.50838903367185417</v>
      </c>
      <c r="AC441" s="184"/>
      <c r="AD441" s="182">
        <f>Escenario1!BN543</f>
        <v>0.6049876836605721</v>
      </c>
      <c r="AE441" s="184"/>
      <c r="AF441" s="182">
        <f>Escenario2!BN178</f>
        <v>0.55315330351925607</v>
      </c>
      <c r="AG441" s="184"/>
      <c r="AH441" s="182">
        <f>LíneaBase!N385</f>
        <v>0</v>
      </c>
      <c r="AI441" s="184"/>
      <c r="AJ441" s="182">
        <f>Escenario1!BP382</f>
        <v>0</v>
      </c>
      <c r="AK441" s="184"/>
      <c r="AL441" s="182">
        <f>Escenario2!BP385</f>
        <v>0</v>
      </c>
      <c r="AM441" s="151"/>
      <c r="BA441" s="152"/>
      <c r="BB441" s="75">
        <v>436</v>
      </c>
      <c r="BC441" s="190">
        <f>ABS(LíneaBase!L442-LíneaBase!L441)</f>
        <v>3.1159829187370458</v>
      </c>
      <c r="BD441" s="190">
        <f>ABS(Escenario1!BN442-Escenario1!BN441)</f>
        <v>0.12893272060302863</v>
      </c>
      <c r="BE441" s="190">
        <f>ABS(Escenario2!BN442-Escenario2!BN441)</f>
        <v>1.0791660791649393E-2</v>
      </c>
      <c r="BF441" s="151"/>
    </row>
    <row r="442" spans="25:58">
      <c r="Y442" s="152"/>
      <c r="Z442" s="183">
        <f>(LíneaBase!C443-0.44)/(MAX(LíneaBase!C:C)+0.12)*100</f>
        <v>59.79291075439653</v>
      </c>
      <c r="AA442" s="184"/>
      <c r="AB442" s="182">
        <f>LíneaBase!L169</f>
        <v>0.50710812538139449</v>
      </c>
      <c r="AC442" s="184"/>
      <c r="AD442" s="182">
        <f>Escenario1!BN173</f>
        <v>0.5998887388687224</v>
      </c>
      <c r="AE442" s="184"/>
      <c r="AF442" s="182">
        <f>Escenario2!BN548</f>
        <v>0.54997482670631326</v>
      </c>
      <c r="AG442" s="184"/>
      <c r="AH442" s="182">
        <f>LíneaBase!N386</f>
        <v>0</v>
      </c>
      <c r="AI442" s="184"/>
      <c r="AJ442" s="182">
        <f>Escenario1!BP384</f>
        <v>0</v>
      </c>
      <c r="AK442" s="184"/>
      <c r="AL442" s="182">
        <f>Escenario2!BP386</f>
        <v>0</v>
      </c>
      <c r="AM442" s="151"/>
      <c r="BA442" s="152"/>
      <c r="BB442" s="75">
        <v>437</v>
      </c>
      <c r="BC442" s="190">
        <f>ABS(LíneaBase!L443-LíneaBase!L442)</f>
        <v>2.6883699399375427</v>
      </c>
      <c r="BD442" s="190">
        <f>ABS(Escenario1!BN443-Escenario1!BN442)</f>
        <v>3.670923445697083E-2</v>
      </c>
      <c r="BE442" s="190">
        <f>ABS(Escenario2!BN443-Escenario2!BN442)</f>
        <v>1.1158976705515133E-2</v>
      </c>
      <c r="BF442" s="151"/>
    </row>
    <row r="443" spans="25:58">
      <c r="Y443" s="152"/>
      <c r="Z443" s="183">
        <f>(LíneaBase!C444-0.44)/(MAX(LíneaBase!C:C)+0.12)*100</f>
        <v>59.929874541171316</v>
      </c>
      <c r="AA443" s="184"/>
      <c r="AB443" s="182">
        <f>LíneaBase!L536</f>
        <v>0.50228022454482746</v>
      </c>
      <c r="AC443" s="184"/>
      <c r="AD443" s="182">
        <f>Escenario1!BN544</f>
        <v>0.59912762264100494</v>
      </c>
      <c r="AE443" s="184"/>
      <c r="AF443" s="182">
        <f>Escenario2!BN179</f>
        <v>0.5474118258241486</v>
      </c>
      <c r="AG443" s="184"/>
      <c r="AH443" s="182">
        <f>LíneaBase!N387</f>
        <v>0</v>
      </c>
      <c r="AI443" s="184"/>
      <c r="AJ443" s="182">
        <f>Escenario1!BP385</f>
        <v>0</v>
      </c>
      <c r="AK443" s="184"/>
      <c r="AL443" s="182">
        <f>Escenario2!BP387</f>
        <v>0</v>
      </c>
      <c r="AM443" s="151"/>
      <c r="BA443" s="152"/>
      <c r="BB443" s="75">
        <v>438</v>
      </c>
      <c r="BC443" s="190">
        <f>ABS(LíneaBase!L444-LíneaBase!L443)</f>
        <v>0.30939386530679069</v>
      </c>
      <c r="BD443" s="190">
        <f>ABS(Escenario1!BN444-Escenario1!BN443)</f>
        <v>5.5856926036494947E-3</v>
      </c>
      <c r="BE443" s="190">
        <f>ABS(Escenario2!BN444-Escenario2!BN443)</f>
        <v>1.0939536202474898E-2</v>
      </c>
      <c r="BF443" s="151"/>
    </row>
    <row r="444" spans="25:58">
      <c r="Y444" s="152"/>
      <c r="Z444" s="183">
        <f>(LíneaBase!C445-0.44)/(MAX(LíneaBase!C:C)+0.12)*100</f>
        <v>60.066838327946094</v>
      </c>
      <c r="AA444" s="184"/>
      <c r="AB444" s="182">
        <f>LíneaBase!L537</f>
        <v>0.49714868573922794</v>
      </c>
      <c r="AC444" s="184"/>
      <c r="AD444" s="182">
        <f>Escenario1!BN174</f>
        <v>0.59408309876923338</v>
      </c>
      <c r="AE444" s="184"/>
      <c r="AF444" s="182">
        <f>Escenario2!BN572</f>
        <v>0.54559058812467331</v>
      </c>
      <c r="AG444" s="184"/>
      <c r="AH444" s="182">
        <f>LíneaBase!N389</f>
        <v>0</v>
      </c>
      <c r="AI444" s="184"/>
      <c r="AJ444" s="182">
        <f>Escenario1!BP386</f>
        <v>0</v>
      </c>
      <c r="AK444" s="184"/>
      <c r="AL444" s="182">
        <f>Escenario2!BP389</f>
        <v>0</v>
      </c>
      <c r="AM444" s="151"/>
      <c r="BA444" s="152"/>
      <c r="BB444" s="75">
        <v>439</v>
      </c>
      <c r="BC444" s="190">
        <f>ABS(LíneaBase!L445-LíneaBase!L444)</f>
        <v>6.3690689516503696E-2</v>
      </c>
      <c r="BD444" s="190">
        <f>ABS(Escenario1!BN445-Escenario1!BN444)</f>
        <v>1.1458377500060735E-2</v>
      </c>
      <c r="BE444" s="190">
        <f>ABS(Escenario2!BN445-Escenario2!BN444)</f>
        <v>1.0957236228602341E-2</v>
      </c>
      <c r="BF444" s="151"/>
    </row>
    <row r="445" spans="25:58">
      <c r="Y445" s="152"/>
      <c r="Z445" s="183">
        <f>(LíneaBase!C446-0.44)/(MAX(LíneaBase!C:C)+0.12)*100</f>
        <v>60.203802114720872</v>
      </c>
      <c r="AA445" s="184"/>
      <c r="AB445" s="182">
        <f>LíneaBase!L576</f>
        <v>0.49705941079184035</v>
      </c>
      <c r="AC445" s="184"/>
      <c r="AD445" s="182">
        <f>Escenario1!BN545</f>
        <v>0.59332331568794983</v>
      </c>
      <c r="AE445" s="184"/>
      <c r="AF445" s="182">
        <f>Escenario2!BN549</f>
        <v>0.54424742551050087</v>
      </c>
      <c r="AG445" s="184"/>
      <c r="AH445" s="182">
        <f>LíneaBase!N393</f>
        <v>0</v>
      </c>
      <c r="AI445" s="184"/>
      <c r="AJ445" s="182">
        <f>Escenario1!BP387</f>
        <v>0</v>
      </c>
      <c r="AK445" s="184"/>
      <c r="AL445" s="182">
        <f>Escenario2!BP393</f>
        <v>0</v>
      </c>
      <c r="AM445" s="151"/>
      <c r="BA445" s="152"/>
      <c r="BB445" s="75">
        <v>440</v>
      </c>
      <c r="BC445" s="190">
        <f>ABS(LíneaBase!L446-LíneaBase!L445)</f>
        <v>2.5156287625322955</v>
      </c>
      <c r="BD445" s="190">
        <f>ABS(Escenario1!BN446-Escenario1!BN445)</f>
        <v>0.11513826489979762</v>
      </c>
      <c r="BE445" s="190">
        <f>ABS(Escenario2!BN446-Escenario2!BN445)</f>
        <v>1.2547222666638325E-2</v>
      </c>
      <c r="BF445" s="151"/>
    </row>
    <row r="446" spans="25:58">
      <c r="Y446" s="152"/>
      <c r="Z446" s="183">
        <f>(LíneaBase!C447-0.44)/(MAX(LíneaBase!C:C)+0.12)*100</f>
        <v>60.340765901495644</v>
      </c>
      <c r="AA446" s="184"/>
      <c r="AB446" s="182">
        <f>LíneaBase!L170</f>
        <v>0.4954852466233351</v>
      </c>
      <c r="AC446" s="184"/>
      <c r="AD446" s="182">
        <f>Escenario1!BN694</f>
        <v>0.59305333017761186</v>
      </c>
      <c r="AE446" s="184"/>
      <c r="AF446" s="182">
        <f>Escenario2!BN180</f>
        <v>0.54173137029109653</v>
      </c>
      <c r="AG446" s="184"/>
      <c r="AH446" s="182">
        <f>LíneaBase!N395</f>
        <v>0</v>
      </c>
      <c r="AI446" s="184"/>
      <c r="AJ446" s="182">
        <f>Escenario1!BP389</f>
        <v>0</v>
      </c>
      <c r="AK446" s="184"/>
      <c r="AL446" s="182">
        <f>Escenario2!BP395</f>
        <v>0</v>
      </c>
      <c r="AM446" s="151"/>
      <c r="BA446" s="152"/>
      <c r="BB446" s="75">
        <v>441</v>
      </c>
      <c r="BC446" s="190">
        <f>ABS(LíneaBase!L447-LíneaBase!L446)</f>
        <v>2.5657618786266312</v>
      </c>
      <c r="BD446" s="190">
        <f>ABS(Escenario1!BN447-Escenario1!BN446)</f>
        <v>9.9395708179758291E-2</v>
      </c>
      <c r="BE446" s="190">
        <f>ABS(Escenario2!BN447-Escenario2!BN446)</f>
        <v>1.0684362032803651E-2</v>
      </c>
      <c r="BF446" s="151"/>
    </row>
    <row r="447" spans="25:58">
      <c r="Y447" s="152"/>
      <c r="Z447" s="183">
        <f>(LíneaBase!C448-0.44)/(MAX(LíneaBase!C:C)+0.12)*100</f>
        <v>60.477729688270422</v>
      </c>
      <c r="AA447" s="184"/>
      <c r="AB447" s="182">
        <f>LíneaBase!L538</f>
        <v>0.49221988589216153</v>
      </c>
      <c r="AC447" s="184"/>
      <c r="AD447" s="182">
        <f>Escenario1!BN175</f>
        <v>0.5883326382557319</v>
      </c>
      <c r="AE447" s="184"/>
      <c r="AF447" s="182">
        <f>Escenario2!BN550</f>
        <v>0.53858117124749205</v>
      </c>
      <c r="AG447" s="184"/>
      <c r="AH447" s="182">
        <f>LíneaBase!N396</f>
        <v>0</v>
      </c>
      <c r="AI447" s="184"/>
      <c r="AJ447" s="182">
        <f>Escenario1!BP393</f>
        <v>0</v>
      </c>
      <c r="AK447" s="184"/>
      <c r="AL447" s="182">
        <f>Escenario2!BP396</f>
        <v>0</v>
      </c>
      <c r="AM447" s="151"/>
      <c r="BA447" s="152"/>
      <c r="BB447" s="75">
        <v>442</v>
      </c>
      <c r="BC447" s="190">
        <f>ABS(LíneaBase!L448-LíneaBase!L447)</f>
        <v>4.2981609605615922E-2</v>
      </c>
      <c r="BD447" s="190">
        <f>ABS(Escenario1!BN448-Escenario1!BN447)</f>
        <v>3.8025237633908748E-2</v>
      </c>
      <c r="BE447" s="190">
        <f>ABS(Escenario2!BN448-Escenario2!BN447)</f>
        <v>9.7028153554028496E-3</v>
      </c>
      <c r="BF447" s="151"/>
    </row>
    <row r="448" spans="25:58">
      <c r="Y448" s="152"/>
      <c r="Z448" s="183">
        <f>(LíneaBase!C449-0.44)/(MAX(LíneaBase!C:C)+0.12)*100</f>
        <v>60.6146934750452</v>
      </c>
      <c r="AA448" s="184"/>
      <c r="AB448" s="182">
        <f>LíneaBase!L679</f>
        <v>0.49071320803622265</v>
      </c>
      <c r="AC448" s="184"/>
      <c r="AD448" s="182">
        <f>Escenario1!BN546</f>
        <v>0.58757421884389072</v>
      </c>
      <c r="AE448" s="184"/>
      <c r="AF448" s="182">
        <f>Escenario2!BN181</f>
        <v>0.53611126757192384</v>
      </c>
      <c r="AG448" s="184"/>
      <c r="AH448" s="182">
        <f>LíneaBase!N398</f>
        <v>0</v>
      </c>
      <c r="AI448" s="184"/>
      <c r="AJ448" s="182">
        <f>Escenario1!BP395</f>
        <v>0</v>
      </c>
      <c r="AK448" s="184"/>
      <c r="AL448" s="182">
        <f>Escenario2!BP398</f>
        <v>0</v>
      </c>
      <c r="AM448" s="151"/>
      <c r="BA448" s="152"/>
      <c r="BB448" s="75">
        <v>443</v>
      </c>
      <c r="BC448" s="190">
        <f>ABS(LíneaBase!L449-LíneaBase!L448)</f>
        <v>0.11056459199199109</v>
      </c>
      <c r="BD448" s="190">
        <f>ABS(Escenario1!BN449-Escenario1!BN448)</f>
        <v>9.7516173381777538E-2</v>
      </c>
      <c r="BE448" s="190">
        <f>ABS(Escenario2!BN449-Escenario2!BN448)</f>
        <v>7.888359493273045E-3</v>
      </c>
      <c r="BF448" s="151"/>
    </row>
    <row r="449" spans="25:58">
      <c r="Y449" s="152"/>
      <c r="Z449" s="183">
        <f>(LíneaBase!C450-0.44)/(MAX(LíneaBase!C:C)+0.12)*100</f>
        <v>60.751657261819979</v>
      </c>
      <c r="AA449" s="184"/>
      <c r="AB449" s="182">
        <f>LíneaBase!L678</f>
        <v>0.48954529218374043</v>
      </c>
      <c r="AC449" s="184"/>
      <c r="AD449" s="182">
        <f>Escenario1!BN329</f>
        <v>0.58543015047548974</v>
      </c>
      <c r="AE449" s="184"/>
      <c r="AF449" s="182">
        <f>Escenario2!BN551</f>
        <v>0.53297538937520839</v>
      </c>
      <c r="AG449" s="184"/>
      <c r="AH449" s="182">
        <f>LíneaBase!N399</f>
        <v>0</v>
      </c>
      <c r="AI449" s="184"/>
      <c r="AJ449" s="182">
        <f>Escenario1!BP396</f>
        <v>0</v>
      </c>
      <c r="AK449" s="184"/>
      <c r="AL449" s="182">
        <f>Escenario2!BP399</f>
        <v>0</v>
      </c>
      <c r="AM449" s="151"/>
      <c r="BA449" s="152"/>
      <c r="BB449" s="75">
        <v>444</v>
      </c>
      <c r="BC449" s="190">
        <f>ABS(LíneaBase!L450-LíneaBase!L449)</f>
        <v>1.0179447935981134E-2</v>
      </c>
      <c r="BD449" s="190">
        <f>ABS(Escenario1!BN450-Escenario1!BN449)</f>
        <v>4.4177254222365292E-2</v>
      </c>
      <c r="BE449" s="190">
        <f>ABS(Escenario2!BN450-Escenario2!BN449)</f>
        <v>7.8266640899016249E-3</v>
      </c>
      <c r="BF449" s="151"/>
    </row>
    <row r="450" spans="25:58">
      <c r="Y450" s="152"/>
      <c r="Z450" s="183">
        <f>(LíneaBase!C451-0.44)/(MAX(LíneaBase!C:C)+0.12)*100</f>
        <v>60.88862104859475</v>
      </c>
      <c r="AA450" s="184"/>
      <c r="AB450" s="182">
        <f>LíneaBase!L171</f>
        <v>0.4895035815835399</v>
      </c>
      <c r="AC450" s="184"/>
      <c r="AD450" s="182">
        <f>Escenario1!BN176</f>
        <v>0.58263683549189305</v>
      </c>
      <c r="AE450" s="184"/>
      <c r="AF450" s="182">
        <f>Escenario2!BN675</f>
        <v>0.53293970999223217</v>
      </c>
      <c r="AG450" s="184"/>
      <c r="AH450" s="182">
        <f>LíneaBase!N400</f>
        <v>0</v>
      </c>
      <c r="AI450" s="184"/>
      <c r="AJ450" s="182">
        <f>Escenario1!BP398</f>
        <v>0</v>
      </c>
      <c r="AK450" s="184"/>
      <c r="AL450" s="182">
        <f>Escenario2!BP400</f>
        <v>0</v>
      </c>
      <c r="AM450" s="151"/>
      <c r="BA450" s="152"/>
      <c r="BB450" s="75">
        <v>445</v>
      </c>
      <c r="BC450" s="190">
        <f>ABS(LíneaBase!L451-LíneaBase!L450)</f>
        <v>0.11057570516625237</v>
      </c>
      <c r="BD450" s="190">
        <f>ABS(Escenario1!BN451-Escenario1!BN450)</f>
        <v>0.1330074325937578</v>
      </c>
      <c r="BE450" s="190">
        <f>ABS(Escenario2!BN451-Escenario2!BN450)</f>
        <v>6.1990471783957002E-3</v>
      </c>
      <c r="BF450" s="151"/>
    </row>
    <row r="451" spans="25:58">
      <c r="Y451" s="152"/>
      <c r="Z451" s="183">
        <f>(LíneaBase!C452-0.44)/(MAX(LíneaBase!C:C)+0.12)*100</f>
        <v>61.025584835369528</v>
      </c>
      <c r="AA451" s="184"/>
      <c r="AB451" s="182">
        <f>LíneaBase!L211</f>
        <v>0.48846136768044413</v>
      </c>
      <c r="AC451" s="184"/>
      <c r="AD451" s="182">
        <f>Escenario1!BN547</f>
        <v>0.58187981838447311</v>
      </c>
      <c r="AE451" s="184"/>
      <c r="AF451" s="182">
        <f>Escenario2!BN182</f>
        <v>0.5305508560066543</v>
      </c>
      <c r="AG451" s="184"/>
      <c r="AH451" s="182">
        <f>LíneaBase!N402</f>
        <v>0</v>
      </c>
      <c r="AI451" s="184"/>
      <c r="AJ451" s="182">
        <f>Escenario1!BP399</f>
        <v>0</v>
      </c>
      <c r="AK451" s="184"/>
      <c r="AL451" s="182">
        <f>Escenario2!BP402</f>
        <v>0</v>
      </c>
      <c r="AM451" s="151"/>
      <c r="BA451" s="152"/>
      <c r="BB451" s="75">
        <v>446</v>
      </c>
      <c r="BC451" s="190">
        <f>ABS(LíneaBase!L452-LíneaBase!L451)</f>
        <v>4.9229803057804666E-2</v>
      </c>
      <c r="BD451" s="190">
        <f>ABS(Escenario1!BN452-Escenario1!BN451)</f>
        <v>4.3597186877640137E-2</v>
      </c>
      <c r="BE451" s="190">
        <f>ABS(Escenario2!BN452-Escenario2!BN451)</f>
        <v>5.3115966234795753E-3</v>
      </c>
      <c r="BF451" s="151"/>
    </row>
    <row r="452" spans="25:58">
      <c r="Y452" s="152"/>
      <c r="Z452" s="183">
        <f>(LíneaBase!C453-0.44)/(MAX(LíneaBase!C:C)+0.12)*100</f>
        <v>61.162548622144307</v>
      </c>
      <c r="AA452" s="184"/>
      <c r="AB452" s="182">
        <f>LíneaBase!L314</f>
        <v>0.48761253850340447</v>
      </c>
      <c r="AC452" s="184"/>
      <c r="AD452" s="182">
        <f>Escenario1!BN576</f>
        <v>0.58149626266647159</v>
      </c>
      <c r="AE452" s="184"/>
      <c r="AF452" s="182">
        <f>Escenario2!BN552</f>
        <v>0.52742941309925473</v>
      </c>
      <c r="AG452" s="184"/>
      <c r="AH452" s="182">
        <f>LíneaBase!N403</f>
        <v>0</v>
      </c>
      <c r="AI452" s="184"/>
      <c r="AJ452" s="182">
        <f>Escenario1!BP400</f>
        <v>0</v>
      </c>
      <c r="AK452" s="184"/>
      <c r="AL452" s="182">
        <f>Escenario2!BP403</f>
        <v>0</v>
      </c>
      <c r="AM452" s="151"/>
      <c r="BA452" s="152"/>
      <c r="BB452" s="75">
        <v>447</v>
      </c>
      <c r="BC452" s="190">
        <f>ABS(LíneaBase!L453-LíneaBase!L452)</f>
        <v>2.4976251830772123E-2</v>
      </c>
      <c r="BD452" s="190">
        <f>ABS(Escenario1!BN453-Escenario1!BN452)</f>
        <v>2.2280568904047726E-2</v>
      </c>
      <c r="BE452" s="190">
        <f>ABS(Escenario2!BN453-Escenario2!BN452)</f>
        <v>4.8837895897198003E-3</v>
      </c>
      <c r="BF452" s="151"/>
    </row>
    <row r="453" spans="25:58">
      <c r="Y453" s="152"/>
      <c r="Z453" s="183">
        <f>(LíneaBase!C454-0.44)/(MAX(LíneaBase!C:C)+0.12)*100</f>
        <v>61.299512408919078</v>
      </c>
      <c r="AA453" s="184"/>
      <c r="AB453" s="182">
        <f>LíneaBase!L539</f>
        <v>0.48736490232430157</v>
      </c>
      <c r="AC453" s="184"/>
      <c r="AD453" s="182">
        <f>Escenario1!BN572</f>
        <v>0.58127370942639633</v>
      </c>
      <c r="AE453" s="184"/>
      <c r="AF453" s="182">
        <f>Escenario2!BN310</f>
        <v>0.52687397155846305</v>
      </c>
      <c r="AG453" s="184"/>
      <c r="AH453" s="182">
        <f>LíneaBase!N404</f>
        <v>0</v>
      </c>
      <c r="AI453" s="184"/>
      <c r="AJ453" s="182">
        <f>Escenario1!BP402</f>
        <v>0</v>
      </c>
      <c r="AK453" s="184"/>
      <c r="AL453" s="182">
        <f>Escenario2!BP404</f>
        <v>0</v>
      </c>
      <c r="AM453" s="151"/>
      <c r="BA453" s="152"/>
      <c r="BB453" s="75">
        <v>448</v>
      </c>
      <c r="BC453" s="190">
        <f>ABS(LíneaBase!L454-LíneaBase!L453)</f>
        <v>0.10440056869910053</v>
      </c>
      <c r="BD453" s="190">
        <f>ABS(Escenario1!BN454-Escenario1!BN453)</f>
        <v>9.2197313787444113E-2</v>
      </c>
      <c r="BE453" s="190">
        <f>ABS(Escenario2!BN454-Escenario2!BN453)</f>
        <v>3.2113973032856791E-3</v>
      </c>
      <c r="BF453" s="151"/>
    </row>
    <row r="454" spans="25:58">
      <c r="Y454" s="152"/>
      <c r="Z454" s="183">
        <f>(LíneaBase!C455-0.44)/(MAX(LíneaBase!C:C)+0.12)*100</f>
        <v>61.436476195693857</v>
      </c>
      <c r="AA454" s="184"/>
      <c r="AB454" s="182">
        <f>LíneaBase!L313</f>
        <v>0.48641376698729039</v>
      </c>
      <c r="AC454" s="184"/>
      <c r="AD454" s="182">
        <f>Escenario1!BN177</f>
        <v>0.57699516942417028</v>
      </c>
      <c r="AE454" s="184"/>
      <c r="AF454" s="182">
        <f>Escenario2!BN207</f>
        <v>0.52663446852935603</v>
      </c>
      <c r="AG454" s="184"/>
      <c r="AH454" s="182">
        <f>LíneaBase!N405</f>
        <v>0</v>
      </c>
      <c r="AI454" s="184"/>
      <c r="AJ454" s="182">
        <f>Escenario1!BP403</f>
        <v>0</v>
      </c>
      <c r="AK454" s="184"/>
      <c r="AL454" s="182">
        <f>Escenario2!BP405</f>
        <v>0</v>
      </c>
      <c r="AM454" s="151"/>
      <c r="BA454" s="152"/>
      <c r="BB454" s="75">
        <v>449</v>
      </c>
      <c r="BC454" s="190">
        <f>ABS(LíneaBase!L455-LíneaBase!L454)</f>
        <v>0.10374209995557893</v>
      </c>
      <c r="BD454" s="190">
        <f>ABS(Escenario1!BN455-Escenario1!BN454)</f>
        <v>9.1639672886372869E-2</v>
      </c>
      <c r="BE454" s="190">
        <f>ABS(Escenario2!BN455-Escenario2!BN454)</f>
        <v>1.5268453898316103E-3</v>
      </c>
      <c r="BF454" s="151"/>
    </row>
    <row r="455" spans="25:58">
      <c r="Y455" s="152"/>
      <c r="Z455" s="183">
        <f>(LíneaBase!C456-0.44)/(MAX(LíneaBase!C:C)+0.12)*100</f>
        <v>61.573439982468635</v>
      </c>
      <c r="AA455" s="184"/>
      <c r="AB455" s="182">
        <f>LíneaBase!L172</f>
        <v>0.48449793408419722</v>
      </c>
      <c r="AC455" s="184"/>
      <c r="AD455" s="182">
        <f>Escenario1!BN548</f>
        <v>0.57623959362951405</v>
      </c>
      <c r="AE455" s="184"/>
      <c r="AF455" s="182">
        <f>Escenario2!BN183</f>
        <v>0.5250494814874318</v>
      </c>
      <c r="AG455" s="184"/>
      <c r="AH455" s="182">
        <f>LíneaBase!N406</f>
        <v>0</v>
      </c>
      <c r="AI455" s="184"/>
      <c r="AJ455" s="182">
        <f>Escenario1!BP404</f>
        <v>0</v>
      </c>
      <c r="AK455" s="184"/>
      <c r="AL455" s="182">
        <f>Escenario2!BP406</f>
        <v>0</v>
      </c>
      <c r="AM455" s="151"/>
      <c r="BA455" s="152"/>
      <c r="BB455" s="75">
        <v>450</v>
      </c>
      <c r="BC455" s="190">
        <f>ABS(LíneaBase!L456-LíneaBase!L455)</f>
        <v>9.8679713236963229E-2</v>
      </c>
      <c r="BD455" s="190">
        <f>ABS(Escenario1!BN456-Escenario1!BN455)</f>
        <v>8.7231731724931816E-2</v>
      </c>
      <c r="BE455" s="190">
        <f>ABS(Escenario2!BN456-Escenario2!BN455)</f>
        <v>1.4014618195234974E-4</v>
      </c>
      <c r="BF455" s="151"/>
    </row>
    <row r="456" spans="25:58">
      <c r="Y456" s="152"/>
      <c r="Z456" s="183">
        <f>(LíneaBase!C457-0.44)/(MAX(LíneaBase!C:C)+0.12)*100</f>
        <v>61.710403769243413</v>
      </c>
      <c r="AA456" s="184"/>
      <c r="AB456" s="182">
        <f>LíneaBase!L540</f>
        <v>0.48256194623040416</v>
      </c>
      <c r="AC456" s="184"/>
      <c r="AD456" s="182">
        <f>Escenario1!BN725</f>
        <v>0.57250672668402458</v>
      </c>
      <c r="AE456" s="184"/>
      <c r="AF456" s="182">
        <f>Escenario2!BN706</f>
        <v>0.52409963871920351</v>
      </c>
      <c r="AG456" s="184"/>
      <c r="AH456" s="182">
        <f>LíneaBase!N407</f>
        <v>0</v>
      </c>
      <c r="AI456" s="184"/>
      <c r="AJ456" s="182">
        <f>Escenario1!BP405</f>
        <v>0</v>
      </c>
      <c r="AK456" s="184"/>
      <c r="AL456" s="182">
        <f>Escenario2!BP407</f>
        <v>0</v>
      </c>
      <c r="AM456" s="151"/>
      <c r="BA456" s="152"/>
      <c r="BB456" s="75">
        <v>451</v>
      </c>
      <c r="BC456" s="190">
        <f>ABS(LíneaBase!L457-LíneaBase!L456)</f>
        <v>9.6161847388263721E-2</v>
      </c>
      <c r="BD456" s="190">
        <f>ABS(Escenario1!BN457-Escenario1!BN456)</f>
        <v>8.5054612546902497E-2</v>
      </c>
      <c r="BE456" s="190">
        <f>ABS(Escenario2!BN457-Escenario2!BN456)</f>
        <v>1.2964283293876999E-3</v>
      </c>
      <c r="BF456" s="151"/>
    </row>
    <row r="457" spans="25:58">
      <c r="Y457" s="152"/>
      <c r="Z457" s="183">
        <f>(LíneaBase!C458-0.44)/(MAX(LíneaBase!C:C)+0.12)*100</f>
        <v>61.847367556018185</v>
      </c>
      <c r="AA457" s="184"/>
      <c r="AB457" s="182">
        <f>LíneaBase!L173</f>
        <v>0.47969378510636212</v>
      </c>
      <c r="AC457" s="184"/>
      <c r="AD457" s="182">
        <f>Escenario1!BN178</f>
        <v>0.5714071193491701</v>
      </c>
      <c r="AE457" s="184"/>
      <c r="AF457" s="182">
        <f>Escenario2!BN553</f>
        <v>0.52194258327974097</v>
      </c>
      <c r="AG457" s="184"/>
      <c r="AH457" s="182">
        <f>LíneaBase!N408</f>
        <v>0</v>
      </c>
      <c r="AI457" s="184"/>
      <c r="AJ457" s="182">
        <f>Escenario1!BP406</f>
        <v>0</v>
      </c>
      <c r="AK457" s="184"/>
      <c r="AL457" s="182">
        <f>Escenario2!BP408</f>
        <v>0</v>
      </c>
      <c r="AM457" s="151"/>
      <c r="BA457" s="152"/>
      <c r="BB457" s="75">
        <v>452</v>
      </c>
      <c r="BC457" s="190">
        <f>ABS(LíneaBase!L458-LíneaBase!L457)</f>
        <v>1.0817322345937277</v>
      </c>
      <c r="BD457" s="190">
        <f>ABS(Escenario1!BN458-Escenario1!BN457)</f>
        <v>0.27022183663146415</v>
      </c>
      <c r="BE457" s="190">
        <f>ABS(Escenario2!BN458-Escenario2!BN457)</f>
        <v>2.8499037318194809E-3</v>
      </c>
      <c r="BF457" s="151"/>
    </row>
    <row r="458" spans="25:58">
      <c r="Y458" s="152"/>
      <c r="Z458" s="183">
        <f>(LíneaBase!C459-0.44)/(MAX(LíneaBase!C:C)+0.12)*100</f>
        <v>61.984331342792963</v>
      </c>
      <c r="AA458" s="184"/>
      <c r="AB458" s="182">
        <f>LíneaBase!L541</f>
        <v>0.47780701010738991</v>
      </c>
      <c r="AC458" s="184"/>
      <c r="AD458" s="182">
        <f>Escenario1!BN549</f>
        <v>0.57065300939027142</v>
      </c>
      <c r="AE458" s="184"/>
      <c r="AF458" s="182">
        <f>Escenario2!BN341</f>
        <v>0.51975377628137776</v>
      </c>
      <c r="AG458" s="184"/>
      <c r="AH458" s="182">
        <f>LíneaBase!N410</f>
        <v>0</v>
      </c>
      <c r="AI458" s="184"/>
      <c r="AJ458" s="182">
        <f>Escenario1!BP407</f>
        <v>0</v>
      </c>
      <c r="AK458" s="184"/>
      <c r="AL458" s="182">
        <f>Escenario2!BP410</f>
        <v>0</v>
      </c>
      <c r="AM458" s="151"/>
      <c r="BA458" s="152"/>
      <c r="BB458" s="75">
        <v>453</v>
      </c>
      <c r="BC458" s="190">
        <f>ABS(LíneaBase!L459-LíneaBase!L458)</f>
        <v>0.90316418277844401</v>
      </c>
      <c r="BD458" s="190">
        <f>ABS(Escenario1!BN459-Escenario1!BN458)</f>
        <v>9.0716468005728634E-2</v>
      </c>
      <c r="BE458" s="190">
        <f>ABS(Escenario2!BN459-Escenario2!BN458)</f>
        <v>1.2844473794000333E-3</v>
      </c>
      <c r="BF458" s="151"/>
    </row>
    <row r="459" spans="25:58">
      <c r="Y459" s="152"/>
      <c r="Z459" s="183">
        <f>(LíneaBase!C460-0.44)/(MAX(LíneaBase!C:C)+0.12)*100</f>
        <v>62.121295129567741</v>
      </c>
      <c r="AA459" s="184"/>
      <c r="AB459" s="182">
        <f>LíneaBase!L174</f>
        <v>0.47496222419302953</v>
      </c>
      <c r="AC459" s="184"/>
      <c r="AD459" s="182">
        <f>Escenario1!BN360</f>
        <v>0.5668981847192518</v>
      </c>
      <c r="AE459" s="184"/>
      <c r="AF459" s="182">
        <f>Escenario2!BN184</f>
        <v>0.51960649736108511</v>
      </c>
      <c r="AG459" s="184"/>
      <c r="AH459" s="182">
        <f>LíneaBase!N411</f>
        <v>0</v>
      </c>
      <c r="AI459" s="184"/>
      <c r="AJ459" s="182">
        <f>Escenario1!BP408</f>
        <v>0</v>
      </c>
      <c r="AK459" s="184"/>
      <c r="AL459" s="182">
        <f>Escenario2!BP411</f>
        <v>0</v>
      </c>
      <c r="AM459" s="151"/>
      <c r="BA459" s="152"/>
      <c r="BB459" s="75">
        <v>454</v>
      </c>
      <c r="BC459" s="190">
        <f>ABS(LíneaBase!L460-LíneaBase!L459)</f>
        <v>3.8629113262711234E-2</v>
      </c>
      <c r="BD459" s="190">
        <f>ABS(Escenario1!BN460-Escenario1!BN459)</f>
        <v>3.5260528203168828E-2</v>
      </c>
      <c r="BE459" s="190">
        <f>ABS(Escenario2!BN460-Escenario2!BN459)</f>
        <v>7.2114416701407613E-4</v>
      </c>
      <c r="BF459" s="151"/>
    </row>
    <row r="460" spans="25:58">
      <c r="Y460" s="152"/>
      <c r="Z460" s="183">
        <f>(LíneaBase!C461-0.44)/(MAX(LíneaBase!C:C)+0.12)*100</f>
        <v>62.258258916342527</v>
      </c>
      <c r="AA460" s="184"/>
      <c r="AB460" s="182">
        <f>LíneaBase!L542</f>
        <v>0.47309904087814819</v>
      </c>
      <c r="AC460" s="184"/>
      <c r="AD460" s="182">
        <f>Escenario1!BN179</f>
        <v>0.56587217912409427</v>
      </c>
      <c r="AE460" s="184"/>
      <c r="AF460" s="182">
        <f>Escenario2!BN576</f>
        <v>0.51823804080905633</v>
      </c>
      <c r="AG460" s="184"/>
      <c r="AH460" s="182">
        <f>LíneaBase!N413</f>
        <v>0</v>
      </c>
      <c r="AI460" s="184"/>
      <c r="AJ460" s="182">
        <f>Escenario1!BP410</f>
        <v>0</v>
      </c>
      <c r="AK460" s="184"/>
      <c r="AL460" s="182">
        <f>Escenario2!BP413</f>
        <v>0</v>
      </c>
      <c r="AM460" s="151"/>
      <c r="BA460" s="152"/>
      <c r="BB460" s="75">
        <v>455</v>
      </c>
      <c r="BC460" s="190">
        <f>ABS(LíneaBase!L461-LíneaBase!L460)</f>
        <v>9.7402226843364303E-2</v>
      </c>
      <c r="BD460" s="190">
        <f>ABS(Escenario1!BN461-Escenario1!BN460)</f>
        <v>8.6993480388147804E-2</v>
      </c>
      <c r="BE460" s="190">
        <f>ABS(Escenario2!BN461-Escenario2!BN460)</f>
        <v>7.9876400109690771E-4</v>
      </c>
      <c r="BF460" s="151"/>
    </row>
    <row r="461" spans="25:58">
      <c r="Y461" s="152"/>
      <c r="Z461" s="183">
        <f>(LíneaBase!C462-0.44)/(MAX(LíneaBase!C:C)+0.12)*100</f>
        <v>62.395222703117291</v>
      </c>
      <c r="AA461" s="184"/>
      <c r="AB461" s="182">
        <f>LíneaBase!L175</f>
        <v>0.47028147464084724</v>
      </c>
      <c r="AC461" s="184"/>
      <c r="AD461" s="182">
        <f>Escenario1!BN550</f>
        <v>0.56511957441687111</v>
      </c>
      <c r="AE461" s="184"/>
      <c r="AF461" s="182">
        <f>Escenario2!BN554</f>
        <v>0.5165142483392835</v>
      </c>
      <c r="AG461" s="184"/>
      <c r="AH461" s="182">
        <f>LíneaBase!N414</f>
        <v>0</v>
      </c>
      <c r="AI461" s="184"/>
      <c r="AJ461" s="182">
        <f>Escenario1!BP411</f>
        <v>0</v>
      </c>
      <c r="AK461" s="184"/>
      <c r="AL461" s="182">
        <f>Escenario2!BP414</f>
        <v>0</v>
      </c>
      <c r="AM461" s="151"/>
      <c r="BA461" s="152"/>
      <c r="BB461" s="75">
        <v>456</v>
      </c>
      <c r="BC461" s="190">
        <f>ABS(LíneaBase!L462-LíneaBase!L461)</f>
        <v>9.4058236176708165E-2</v>
      </c>
      <c r="BD461" s="190">
        <f>ABS(Escenario1!BN462-Escenario1!BN461)</f>
        <v>8.4081543784276791E-2</v>
      </c>
      <c r="BE461" s="190">
        <f>ABS(Escenario2!BN462-Escenario2!BN461)</f>
        <v>2.1504276831942892E-3</v>
      </c>
      <c r="BF461" s="151"/>
    </row>
    <row r="462" spans="25:58">
      <c r="Y462" s="152"/>
      <c r="Z462" s="183">
        <f>(LíneaBase!C463-0.44)/(MAX(LíneaBase!C:C)+0.12)*100</f>
        <v>62.532186489892069</v>
      </c>
      <c r="AA462" s="184"/>
      <c r="AB462" s="182">
        <f>LíneaBase!L543</f>
        <v>0.46843747953607906</v>
      </c>
      <c r="AC462" s="184"/>
      <c r="AD462" s="182">
        <f>Escenario1!BN693</f>
        <v>0.56215360826883531</v>
      </c>
      <c r="AE462" s="184"/>
      <c r="AF462" s="182">
        <f>Escenario2!BN185</f>
        <v>0.51422126433904181</v>
      </c>
      <c r="AG462" s="184"/>
      <c r="AH462" s="182">
        <f>LíneaBase!N415</f>
        <v>0</v>
      </c>
      <c r="AI462" s="184"/>
      <c r="AJ462" s="182">
        <f>Escenario1!BP413</f>
        <v>0</v>
      </c>
      <c r="AK462" s="184"/>
      <c r="AL462" s="182">
        <f>Escenario2!BP415</f>
        <v>0</v>
      </c>
      <c r="AM462" s="151"/>
      <c r="BA462" s="152"/>
      <c r="BB462" s="75">
        <v>457</v>
      </c>
      <c r="BC462" s="190">
        <f>ABS(LíneaBase!L463-LíneaBase!L462)</f>
        <v>9.1641874109869015E-2</v>
      </c>
      <c r="BD462" s="190">
        <f>ABS(Escenario1!BN463-Escenario1!BN462)</f>
        <v>8.198950142940542E-2</v>
      </c>
      <c r="BE462" s="190">
        <f>ABS(Escenario2!BN463-Escenario2!BN462)</f>
        <v>3.2634983323256428E-3</v>
      </c>
      <c r="BF462" s="151"/>
    </row>
    <row r="463" spans="25:58">
      <c r="Y463" s="152"/>
      <c r="Z463" s="183">
        <f>(LíneaBase!C464-0.44)/(MAX(LíneaBase!C:C)+0.12)*100</f>
        <v>62.669150276666855</v>
      </c>
      <c r="AA463" s="184"/>
      <c r="AB463" s="182">
        <f>LíneaBase!L176</f>
        <v>0.46564754092938537</v>
      </c>
      <c r="AC463" s="184"/>
      <c r="AD463" s="182">
        <f>Escenario1!BN180</f>
        <v>0.56038984334869157</v>
      </c>
      <c r="AE463" s="184"/>
      <c r="AF463" s="182">
        <f>Escenario2!BN694</f>
        <v>0.51379473207507953</v>
      </c>
      <c r="AG463" s="184"/>
      <c r="AH463" s="182">
        <f>LíneaBase!N416</f>
        <v>0</v>
      </c>
      <c r="AI463" s="184"/>
      <c r="AJ463" s="182">
        <f>Escenario1!BP414</f>
        <v>0</v>
      </c>
      <c r="AK463" s="184"/>
      <c r="AL463" s="182">
        <f>Escenario2!BP416</f>
        <v>0</v>
      </c>
      <c r="AM463" s="151"/>
      <c r="BA463" s="152"/>
      <c r="BB463" s="75">
        <v>458</v>
      </c>
      <c r="BC463" s="190">
        <f>ABS(LíneaBase!L464-LíneaBase!L463)</f>
        <v>7.049479738894493E-2</v>
      </c>
      <c r="BD463" s="190">
        <f>ABS(Escenario1!BN464-Escenario1!BN463)</f>
        <v>6.3426109676520737E-2</v>
      </c>
      <c r="BE463" s="190">
        <f>ABS(Escenario2!BN464-Escenario2!BN463)</f>
        <v>3.2136149540180625E-3</v>
      </c>
      <c r="BF463" s="151"/>
    </row>
    <row r="464" spans="25:58">
      <c r="Y464" s="152"/>
      <c r="Z464" s="183">
        <f>(LíneaBase!C465-0.44)/(MAX(LíneaBase!C:C)+0.12)*100</f>
        <v>62.806114063441633</v>
      </c>
      <c r="AA464" s="184"/>
      <c r="AB464" s="182">
        <f>LíneaBase!L708</f>
        <v>0.4653759116365967</v>
      </c>
      <c r="AC464" s="184"/>
      <c r="AD464" s="182">
        <f>Escenario1!BN551</f>
        <v>0.55963876159480053</v>
      </c>
      <c r="AE464" s="184"/>
      <c r="AF464" s="182">
        <f>Escenario2!BN555</f>
        <v>0.51114376417216811</v>
      </c>
      <c r="AG464" s="184"/>
      <c r="AH464" s="182">
        <f>LíneaBase!N417</f>
        <v>0</v>
      </c>
      <c r="AI464" s="184"/>
      <c r="AJ464" s="182">
        <f>Escenario1!BP415</f>
        <v>0</v>
      </c>
      <c r="AK464" s="184"/>
      <c r="AL464" s="182">
        <f>Escenario2!BP417</f>
        <v>0</v>
      </c>
      <c r="AM464" s="151"/>
      <c r="BA464" s="152"/>
      <c r="BB464" s="75">
        <v>459</v>
      </c>
      <c r="BC464" s="190">
        <f>ABS(LíneaBase!L465-LíneaBase!L464)</f>
        <v>8.4203426731896291E-2</v>
      </c>
      <c r="BD464" s="190">
        <f>ABS(Escenario1!BN465-Escenario1!BN464)</f>
        <v>7.5549405567603367E-2</v>
      </c>
      <c r="BE464" s="190">
        <f>ABS(Escenario2!BN465-Escenario2!BN464)</f>
        <v>3.1644940554722556E-3</v>
      </c>
      <c r="BF464" s="151"/>
    </row>
    <row r="465" spans="25:58">
      <c r="Y465" s="152"/>
      <c r="Z465" s="183">
        <f>(LíneaBase!C466-0.44)/(MAX(LíneaBase!C:C)+0.12)*100</f>
        <v>62.943077850216397</v>
      </c>
      <c r="AA465" s="184"/>
      <c r="AB465" s="182">
        <f>LíneaBase!L544</f>
        <v>0.46382185284506278</v>
      </c>
      <c r="AC465" s="184"/>
      <c r="AD465" s="182">
        <f>Escenario1!BN211</f>
        <v>0.55714312341438188</v>
      </c>
      <c r="AE465" s="184"/>
      <c r="AF465" s="182">
        <f>Escenario2!BN186</f>
        <v>0.50889315040938654</v>
      </c>
      <c r="AG465" s="184"/>
      <c r="AH465" s="182">
        <f>LíneaBase!N419</f>
        <v>0</v>
      </c>
      <c r="AI465" s="184"/>
      <c r="AJ465" s="182">
        <f>Escenario1!BP416</f>
        <v>0</v>
      </c>
      <c r="AK465" s="184"/>
      <c r="AL465" s="182">
        <f>Escenario2!BP419</f>
        <v>0</v>
      </c>
      <c r="AM465" s="151"/>
      <c r="BA465" s="152"/>
      <c r="BB465" s="75">
        <v>460</v>
      </c>
      <c r="BC465" s="190">
        <f>ABS(LíneaBase!L466-LíneaBase!L465)</f>
        <v>8.1357098440694608E-2</v>
      </c>
      <c r="BD465" s="190">
        <f>ABS(Escenario1!BN466-Escenario1!BN465)</f>
        <v>7.3111077070586505E-2</v>
      </c>
      <c r="BE465" s="190">
        <f>ABS(Escenario2!BN466-Escenario2!BN465)</f>
        <v>3.1161239819967879E-3</v>
      </c>
      <c r="BF465" s="151"/>
    </row>
    <row r="466" spans="25:58">
      <c r="Y466" s="152"/>
      <c r="Z466" s="183">
        <f>(LíneaBase!C467-0.44)/(MAX(LíneaBase!C:C)+0.12)*100</f>
        <v>63.080041636991183</v>
      </c>
      <c r="AA466" s="184"/>
      <c r="AB466" s="182">
        <f>LíneaBase!L343</f>
        <v>0.46304919735749034</v>
      </c>
      <c r="AC466" s="184"/>
      <c r="AD466" s="182">
        <f>Escenario1!BN207</f>
        <v>0.55595068502979306</v>
      </c>
      <c r="AE466" s="184"/>
      <c r="AF466" s="182">
        <f>Escenario2!BN329</f>
        <v>0.50885236405247725</v>
      </c>
      <c r="AG466" s="184"/>
      <c r="AH466" s="182">
        <f>LíneaBase!N421</f>
        <v>0</v>
      </c>
      <c r="AI466" s="184"/>
      <c r="AJ466" s="182">
        <f>Escenario1!BP417</f>
        <v>0</v>
      </c>
      <c r="AK466" s="184"/>
      <c r="AL466" s="182">
        <f>Escenario2!BP421</f>
        <v>0</v>
      </c>
      <c r="AM466" s="151"/>
      <c r="BA466" s="152"/>
      <c r="BB466" s="75">
        <v>461</v>
      </c>
      <c r="BC466" s="190">
        <f>ABS(LíneaBase!L467-LíneaBase!L466)</f>
        <v>7.5665166321299271E-2</v>
      </c>
      <c r="BD466" s="190">
        <f>ABS(Escenario1!BN467-Escenario1!BN466)</f>
        <v>6.8191371177277693E-2</v>
      </c>
      <c r="BE466" s="190">
        <f>ABS(Escenario2!BN467-Escenario2!BN466)</f>
        <v>3.0684932570450574E-3</v>
      </c>
      <c r="BF466" s="151"/>
    </row>
    <row r="467" spans="25:58">
      <c r="Y467" s="152"/>
      <c r="Z467" s="183">
        <f>(LíneaBase!C468-0.44)/(MAX(LíneaBase!C:C)+0.12)*100</f>
        <v>63.217005423765961</v>
      </c>
      <c r="AA467" s="184"/>
      <c r="AB467" s="182">
        <f>LíneaBase!L177</f>
        <v>0.46105938184611456</v>
      </c>
      <c r="AC467" s="184"/>
      <c r="AD467" s="182">
        <f>Escenario1!BN181</f>
        <v>0.55495959947802942</v>
      </c>
      <c r="AE467" s="184"/>
      <c r="AF467" s="182">
        <f>Escenario2!BN725</f>
        <v>0.50594119244595614</v>
      </c>
      <c r="AG467" s="184"/>
      <c r="AH467" s="182">
        <f>LíneaBase!N427</f>
        <v>0</v>
      </c>
      <c r="AI467" s="184"/>
      <c r="AJ467" s="182">
        <f>Escenario1!BP419</f>
        <v>0</v>
      </c>
      <c r="AK467" s="184"/>
      <c r="AL467" s="182">
        <f>Escenario2!BP427</f>
        <v>0</v>
      </c>
      <c r="AM467" s="151"/>
      <c r="BA467" s="152"/>
      <c r="BB467" s="75">
        <v>462</v>
      </c>
      <c r="BC467" s="190">
        <f>ABS(LíneaBase!L468-LíneaBase!L467)</f>
        <v>6.6893515157919747E-2</v>
      </c>
      <c r="BD467" s="190">
        <f>ABS(Escenario1!BN468-Escenario1!BN467)</f>
        <v>6.0556812599169785E-2</v>
      </c>
      <c r="BE467" s="190">
        <f>ABS(Escenario2!BN468-Escenario2!BN467)</f>
        <v>3.0215905794919173E-3</v>
      </c>
      <c r="BF467" s="151"/>
    </row>
    <row r="468" spans="25:58">
      <c r="Y468" s="152"/>
      <c r="Z468" s="183">
        <f>(LíneaBase!C469-0.44)/(MAX(LíneaBase!C:C)+0.12)*100</f>
        <v>63.353969210540725</v>
      </c>
      <c r="AA468" s="184"/>
      <c r="AB468" s="182">
        <f>LíneaBase!L545</f>
        <v>0.45925170555034489</v>
      </c>
      <c r="AC468" s="184"/>
      <c r="AD468" s="182">
        <f>Escenario1!BN328</f>
        <v>0.5544545878474032</v>
      </c>
      <c r="AE468" s="184"/>
      <c r="AF468" s="182">
        <f>Escenario2!BN556</f>
        <v>0.50583049405465674</v>
      </c>
      <c r="AG468" s="184"/>
      <c r="AH468" s="182">
        <f>LíneaBase!N428</f>
        <v>0</v>
      </c>
      <c r="AI468" s="184"/>
      <c r="AJ468" s="182">
        <f>Escenario1!BP421</f>
        <v>0</v>
      </c>
      <c r="AK468" s="184"/>
      <c r="AL468" s="182">
        <f>Escenario2!BP428</f>
        <v>0</v>
      </c>
      <c r="AM468" s="151"/>
      <c r="BA468" s="152"/>
      <c r="BB468" s="75">
        <v>463</v>
      </c>
      <c r="BC468" s="190">
        <f>ABS(LíneaBase!L469-LíneaBase!L468)</f>
        <v>4.6278300792123472E-2</v>
      </c>
      <c r="BD468" s="190">
        <f>ABS(Escenario1!BN469-Escenario1!BN468)</f>
        <v>5.6462725414670789E-2</v>
      </c>
      <c r="BE468" s="190">
        <f>ABS(Escenario2!BN469-Escenario2!BN468)</f>
        <v>2.9754048209535977E-3</v>
      </c>
      <c r="BF468" s="151"/>
    </row>
    <row r="469" spans="25:58">
      <c r="Y469" s="152"/>
      <c r="Z469" s="183">
        <f>(LíneaBase!C470-0.44)/(MAX(LíneaBase!C:C)+0.12)*100</f>
        <v>63.490932997315511</v>
      </c>
      <c r="AA469" s="184"/>
      <c r="AB469" s="182">
        <f>LíneaBase!L178</f>
        <v>0.45651645013211151</v>
      </c>
      <c r="AC469" s="184"/>
      <c r="AD469" s="182">
        <f>Escenario1!BN552</f>
        <v>0.55421006631123249</v>
      </c>
      <c r="AE469" s="184"/>
      <c r="AF469" s="182">
        <f>Escenario2!BN561</f>
        <v>0.50390574800451049</v>
      </c>
      <c r="AG469" s="184"/>
      <c r="AH469" s="182">
        <f>LíneaBase!N429</f>
        <v>0</v>
      </c>
      <c r="AI469" s="184"/>
      <c r="AJ469" s="182">
        <f>Escenario1!BP427</f>
        <v>0</v>
      </c>
      <c r="AK469" s="184"/>
      <c r="AL469" s="182">
        <f>Escenario2!BP429</f>
        <v>0</v>
      </c>
      <c r="AM469" s="151"/>
      <c r="BA469" s="152"/>
      <c r="BB469" s="75">
        <v>464</v>
      </c>
      <c r="BC469" s="190">
        <f>ABS(LíneaBase!L470-LíneaBase!L469)</f>
        <v>1.567392722963723E-2</v>
      </c>
      <c r="BD469" s="190">
        <f>ABS(Escenario1!BN470-Escenario1!BN469)</f>
        <v>1.7529350117234443E-2</v>
      </c>
      <c r="BE469" s="190">
        <f>ABS(Escenario2!BN470-Escenario2!BN469)</f>
        <v>2.9299250231451524E-3</v>
      </c>
      <c r="BF469" s="151"/>
    </row>
    <row r="470" spans="25:58">
      <c r="Y470" s="152"/>
      <c r="Z470" s="183">
        <f>(LíneaBase!C471-0.44)/(MAX(LíneaBase!C:C)+0.12)*100</f>
        <v>63.627896784090289</v>
      </c>
      <c r="AA470" s="184"/>
      <c r="AB470" s="182">
        <f>LíneaBase!L546</f>
        <v>0.45472658909292052</v>
      </c>
      <c r="AC470" s="184"/>
      <c r="AD470" s="182">
        <f>Escenario1!BN182</f>
        <v>0.54958096417575453</v>
      </c>
      <c r="AE470" s="184"/>
      <c r="AF470" s="182">
        <f>Escenario2!BN187</f>
        <v>0.50362153075018634</v>
      </c>
      <c r="AG470" s="184"/>
      <c r="AH470" s="182">
        <f>LíneaBase!N430</f>
        <v>0</v>
      </c>
      <c r="AI470" s="184"/>
      <c r="AJ470" s="182">
        <f>Escenario1!BP428</f>
        <v>0</v>
      </c>
      <c r="AK470" s="184"/>
      <c r="AL470" s="182">
        <f>Escenario2!BP430</f>
        <v>0</v>
      </c>
      <c r="AM470" s="151"/>
      <c r="BA470" s="152"/>
      <c r="BB470" s="75">
        <v>465</v>
      </c>
      <c r="BC470" s="190">
        <f>ABS(LíneaBase!L471-LíneaBase!L470)</f>
        <v>1.0516776385932514E-2</v>
      </c>
      <c r="BD470" s="190">
        <f>ABS(Escenario1!BN471-Escenario1!BN470)</f>
        <v>1.0900427280765124E-2</v>
      </c>
      <c r="BE470" s="190">
        <f>ABS(Escenario2!BN471-Escenario2!BN470)</f>
        <v>2.8851403952827592E-3</v>
      </c>
      <c r="BF470" s="151"/>
    </row>
    <row r="471" spans="25:58">
      <c r="Y471" s="152"/>
      <c r="Z471" s="183">
        <f>(LíneaBase!C472-0.44)/(MAX(LíneaBase!C:C)+0.12)*100</f>
        <v>63.764860570865068</v>
      </c>
      <c r="AA471" s="184"/>
      <c r="AB471" s="182">
        <f>LíneaBase!L179</f>
        <v>0.45201828418318052</v>
      </c>
      <c r="AC471" s="184"/>
      <c r="AD471" s="182">
        <f>Escenario1!BN553</f>
        <v>0.54883301123217509</v>
      </c>
      <c r="AE471" s="184"/>
      <c r="AF471" s="182">
        <f>Escenario2!BN360</f>
        <v>0.50239219337143648</v>
      </c>
      <c r="AG471" s="184"/>
      <c r="AH471" s="182">
        <f>LíneaBase!N431</f>
        <v>0</v>
      </c>
      <c r="AI471" s="184"/>
      <c r="AJ471" s="182">
        <f>Escenario1!BP429</f>
        <v>0</v>
      </c>
      <c r="AK471" s="184"/>
      <c r="AL471" s="182">
        <f>Escenario2!BP431</f>
        <v>0</v>
      </c>
      <c r="AM471" s="151"/>
      <c r="BA471" s="152"/>
      <c r="BB471" s="75">
        <v>466</v>
      </c>
      <c r="BC471" s="190">
        <f>ABS(LíneaBase!L472-LíneaBase!L471)</f>
        <v>9.5830204350382253E-3</v>
      </c>
      <c r="BD471" s="190">
        <f>ABS(Escenario1!BN472-Escenario1!BN471)</f>
        <v>9.977015139830403E-3</v>
      </c>
      <c r="BE471" s="190">
        <f>ABS(Escenario2!BN472-Escenario2!BN471)</f>
        <v>2.8410403115222138E-3</v>
      </c>
      <c r="BF471" s="151"/>
    </row>
    <row r="472" spans="25:58">
      <c r="Y472" s="152"/>
      <c r="Z472" s="183">
        <f>(LíneaBase!C473-0.44)/(MAX(LíneaBase!C:C)+0.12)*100</f>
        <v>63.901824357639839</v>
      </c>
      <c r="AA472" s="184"/>
      <c r="AB472" s="182">
        <f>LíneaBase!L547</f>
        <v>0.45024605970026482</v>
      </c>
      <c r="AC472" s="184"/>
      <c r="AD472" s="182">
        <f>Escenario1!BN678</f>
        <v>0.54776023396151607</v>
      </c>
      <c r="AE472" s="184"/>
      <c r="AF472" s="182">
        <f>Escenario2!BN557</f>
        <v>0.50057380855642408</v>
      </c>
      <c r="AG472" s="184"/>
      <c r="AH472" s="182">
        <f>LíneaBase!N433</f>
        <v>0</v>
      </c>
      <c r="AI472" s="184"/>
      <c r="AJ472" s="182">
        <f>Escenario1!BP430</f>
        <v>0</v>
      </c>
      <c r="AK472" s="184"/>
      <c r="AL472" s="182">
        <f>Escenario2!BP433</f>
        <v>0</v>
      </c>
      <c r="AM472" s="151"/>
      <c r="BA472" s="152"/>
      <c r="BB472" s="75">
        <v>467</v>
      </c>
      <c r="BC472" s="190">
        <f>ABS(LíneaBase!L473-LíneaBase!L472)</f>
        <v>4.9139552073419801E-2</v>
      </c>
      <c r="BD472" s="190">
        <f>ABS(Escenario1!BN473-Escenario1!BN472)</f>
        <v>4.0977876055902751E-2</v>
      </c>
      <c r="BE472" s="190">
        <f>ABS(Escenario2!BN473-Escenario2!BN472)</f>
        <v>2.7976143084371685E-3</v>
      </c>
      <c r="BF472" s="151"/>
    </row>
    <row r="473" spans="25:58">
      <c r="Y473" s="152"/>
      <c r="Z473" s="183">
        <f>(LíneaBase!C474-0.44)/(MAX(LíneaBase!C:C)+0.12)*100</f>
        <v>64.03878814441461</v>
      </c>
      <c r="AA473" s="184"/>
      <c r="AB473" s="182">
        <f>LíneaBase!L180</f>
        <v>0.44756444026187908</v>
      </c>
      <c r="AC473" s="184"/>
      <c r="AD473" s="182">
        <f>Escenario1!BN679</f>
        <v>0.54648306375288225</v>
      </c>
      <c r="AE473" s="184"/>
      <c r="AF473" s="182">
        <f>Escenario2!BN211</f>
        <v>0.50012136988755873</v>
      </c>
      <c r="AG473" s="184"/>
      <c r="AH473" s="182">
        <f>LíneaBase!N434</f>
        <v>0</v>
      </c>
      <c r="AI473" s="184"/>
      <c r="AJ473" s="182">
        <f>Escenario1!BP431</f>
        <v>0</v>
      </c>
      <c r="AK473" s="184"/>
      <c r="AL473" s="182">
        <f>Escenario2!BP434</f>
        <v>0</v>
      </c>
      <c r="AM473" s="151"/>
      <c r="BA473" s="152"/>
      <c r="BB473" s="75">
        <v>468</v>
      </c>
      <c r="BC473" s="190">
        <f>ABS(LíneaBase!L474-LíneaBase!L473)</f>
        <v>6.6782611808604564E-3</v>
      </c>
      <c r="BD473" s="190">
        <f>ABS(Escenario1!BN474-Escenario1!BN473)</f>
        <v>7.776179720466514E-3</v>
      </c>
      <c r="BE473" s="190">
        <f>ABS(Escenario2!BN474-Escenario2!BN473)</f>
        <v>2.7548520825386724E-3</v>
      </c>
      <c r="BF473" s="151"/>
    </row>
    <row r="474" spans="25:58">
      <c r="Y474" s="152"/>
      <c r="Z474" s="183">
        <f>(LíneaBase!C475-0.44)/(MAX(LíneaBase!C:C)+0.12)*100</f>
        <v>64.175751931189396</v>
      </c>
      <c r="AA474" s="184"/>
      <c r="AB474" s="182">
        <f>LíneaBase!L726</f>
        <v>0.44740046031563152</v>
      </c>
      <c r="AC474" s="184"/>
      <c r="AD474" s="182">
        <f>Escenario1!BN183</f>
        <v>0.54425344719462898</v>
      </c>
      <c r="AE474" s="184"/>
      <c r="AF474" s="182">
        <f>Escenario2!BN188</f>
        <v>0.49840578764392651</v>
      </c>
      <c r="AG474" s="184"/>
      <c r="AH474" s="182">
        <f>LíneaBase!N435</f>
        <v>0</v>
      </c>
      <c r="AI474" s="184"/>
      <c r="AJ474" s="182">
        <f>Escenario1!BP433</f>
        <v>0</v>
      </c>
      <c r="AK474" s="184"/>
      <c r="AL474" s="182">
        <f>Escenario2!BP435</f>
        <v>0</v>
      </c>
      <c r="AM474" s="151"/>
      <c r="BA474" s="152"/>
      <c r="BB474" s="75">
        <v>469</v>
      </c>
      <c r="BC474" s="190">
        <f>ABS(LíneaBase!L475-LíneaBase!L474)</f>
        <v>6.0058970735952233E-2</v>
      </c>
      <c r="BD474" s="190">
        <f>ABS(Escenario1!BN475-Escenario1!BN474)</f>
        <v>5.4890435703002671E-2</v>
      </c>
      <c r="BE474" s="190">
        <f>ABS(Escenario2!BN475-Escenario2!BN474)</f>
        <v>1.769487672117398E-2</v>
      </c>
      <c r="BF474" s="151"/>
    </row>
    <row r="475" spans="25:58">
      <c r="Y475" s="152"/>
      <c r="Z475" s="183">
        <f>(LíneaBase!C476-0.44)/(MAX(LíneaBase!C:C)+0.12)*100</f>
        <v>64.312715717964181</v>
      </c>
      <c r="AA475" s="184"/>
      <c r="AB475" s="182">
        <f>LíneaBase!L548</f>
        <v>0.44580967803330263</v>
      </c>
      <c r="AC475" s="184"/>
      <c r="AD475" s="182">
        <f>Escenario1!BN554</f>
        <v>0.5435070945417696</v>
      </c>
      <c r="AE475" s="184"/>
      <c r="AF475" s="182">
        <f>Escenario2!BN558</f>
        <v>0.49537308545310865</v>
      </c>
      <c r="AG475" s="184"/>
      <c r="AH475" s="182">
        <f>LíneaBase!N437</f>
        <v>0</v>
      </c>
      <c r="AI475" s="184"/>
      <c r="AJ475" s="182">
        <f>Escenario1!BP435</f>
        <v>0</v>
      </c>
      <c r="AK475" s="184"/>
      <c r="AL475" s="182">
        <f>Escenario2!BP437</f>
        <v>0</v>
      </c>
      <c r="AM475" s="151"/>
      <c r="BA475" s="152"/>
      <c r="BB475" s="75">
        <v>470</v>
      </c>
      <c r="BC475" s="190">
        <f>ABS(LíneaBase!L476-LíneaBase!L475)</f>
        <v>1.7499491108314946E-2</v>
      </c>
      <c r="BD475" s="190">
        <f>ABS(Escenario1!BN476-Escenario1!BN475)</f>
        <v>1.7753555603317706E-2</v>
      </c>
      <c r="BE475" s="190">
        <f>ABS(Escenario2!BN476-Escenario2!BN475)</f>
        <v>1.7407348130995315E-2</v>
      </c>
      <c r="BF475" s="151"/>
    </row>
    <row r="476" spans="25:58">
      <c r="Y476" s="152"/>
      <c r="Z476" s="183">
        <f>(LíneaBase!C477-0.44)/(MAX(LíneaBase!C:C)+0.12)*100</f>
        <v>64.449679504738938</v>
      </c>
      <c r="AA476" s="184"/>
      <c r="AB476" s="182">
        <f>LíneaBase!L361</f>
        <v>0.44545359753754354</v>
      </c>
      <c r="AC476" s="184"/>
      <c r="AD476" s="182">
        <f>Escenario1!BN708</f>
        <v>0.53909761042030169</v>
      </c>
      <c r="AE476" s="184"/>
      <c r="AF476" s="182">
        <f>Escenario2!BN693</f>
        <v>0.49341337445065525</v>
      </c>
      <c r="AG476" s="184"/>
      <c r="AH476" s="182">
        <f>LíneaBase!N439</f>
        <v>0</v>
      </c>
      <c r="AI476" s="184"/>
      <c r="AJ476" s="182">
        <f>Escenario1!BP437</f>
        <v>0</v>
      </c>
      <c r="AK476" s="184"/>
      <c r="AL476" s="182">
        <f>Escenario2!BP439</f>
        <v>0</v>
      </c>
      <c r="AM476" s="151"/>
      <c r="BA476" s="152"/>
      <c r="BB476" s="75">
        <v>471</v>
      </c>
      <c r="BC476" s="190">
        <f>ABS(LíneaBase!L477-LíneaBase!L476)</f>
        <v>1.0363097672073218E-2</v>
      </c>
      <c r="BD476" s="190">
        <f>ABS(Escenario1!BN477-Escenario1!BN476)</f>
        <v>1.1560327619356547E-2</v>
      </c>
      <c r="BE476" s="190">
        <f>ABS(Escenario2!BN477-Escenario2!BN476)</f>
        <v>1.3328030882594932E-2</v>
      </c>
      <c r="BF476" s="151"/>
    </row>
    <row r="477" spans="25:58">
      <c r="Y477" s="152"/>
      <c r="Z477" s="183">
        <f>(LíneaBase!C478-0.44)/(MAX(LíneaBase!C:C)+0.12)*100</f>
        <v>64.586643291513724</v>
      </c>
      <c r="AA477" s="184"/>
      <c r="AB477" s="182">
        <f>LíneaBase!L181</f>
        <v>0.44315448121303158</v>
      </c>
      <c r="AC477" s="184"/>
      <c r="AD477" s="182">
        <f>Escenario1!BN184</f>
        <v>0.5389765440653087</v>
      </c>
      <c r="AE477" s="184"/>
      <c r="AF477" s="182">
        <f>Escenario2!BN189</f>
        <v>0.49324531039301939</v>
      </c>
      <c r="AG477" s="184"/>
      <c r="AH477" s="182">
        <f>LíneaBase!N447</f>
        <v>0</v>
      </c>
      <c r="AI477" s="184"/>
      <c r="AJ477" s="182">
        <f>Escenario1!BP439</f>
        <v>0</v>
      </c>
      <c r="AK477" s="184"/>
      <c r="AL477" s="182">
        <f>Escenario2!BP447</f>
        <v>0</v>
      </c>
      <c r="AM477" s="151"/>
      <c r="BA477" s="152"/>
      <c r="BB477" s="75">
        <v>472</v>
      </c>
      <c r="BC477" s="190">
        <f>ABS(LíneaBase!L478-LíneaBase!L477)</f>
        <v>9.1054125198036795E-3</v>
      </c>
      <c r="BD477" s="190">
        <f>ABS(Escenario1!BN478-Escenario1!BN477)</f>
        <v>1.0841136139688956E-2</v>
      </c>
      <c r="BE477" s="190">
        <f>ABS(Escenario2!BN478-Escenario2!BN477)</f>
        <v>1.2536380072770914E-2</v>
      </c>
      <c r="BF477" s="151"/>
    </row>
    <row r="478" spans="25:58">
      <c r="Y478" s="152"/>
      <c r="Z478" s="183">
        <f>(LíneaBase!C479-0.44)/(MAX(LíneaBase!C:C)+0.12)*100</f>
        <v>64.723607078288509</v>
      </c>
      <c r="AA478" s="184"/>
      <c r="AB478" s="182">
        <f>LíneaBase!L577</f>
        <v>0.44294705858422079</v>
      </c>
      <c r="AC478" s="184"/>
      <c r="AD478" s="182">
        <f>Escenario1!BN313</f>
        <v>0.53882879356746316</v>
      </c>
      <c r="AE478" s="184"/>
      <c r="AF478" s="182">
        <f>Escenario2!BN559</f>
        <v>0.49022770963996398</v>
      </c>
      <c r="AG478" s="184"/>
      <c r="AH478" s="182">
        <f>LíneaBase!N448</f>
        <v>0</v>
      </c>
      <c r="AI478" s="184"/>
      <c r="AJ478" s="182">
        <f>Escenario1!BP447</f>
        <v>0</v>
      </c>
      <c r="AK478" s="184"/>
      <c r="AL478" s="182">
        <f>Escenario2!BP448</f>
        <v>0</v>
      </c>
      <c r="AM478" s="151"/>
      <c r="BA478" s="152"/>
      <c r="BB478" s="75">
        <v>473</v>
      </c>
      <c r="BC478" s="190">
        <f>ABS(LíneaBase!L479-LíneaBase!L478)</f>
        <v>4.0550288839787951E-3</v>
      </c>
      <c r="BD478" s="190">
        <f>ABS(Escenario1!BN479-Escenario1!BN478)</f>
        <v>7.2949214670396945E-3</v>
      </c>
      <c r="BE478" s="190">
        <f>ABS(Escenario2!BN479-Escenario2!BN478)</f>
        <v>8.0949404859351759E-3</v>
      </c>
      <c r="BF478" s="151"/>
    </row>
    <row r="479" spans="25:58">
      <c r="Y479" s="152"/>
      <c r="Z479" s="183">
        <f>(LíneaBase!C480-0.44)/(MAX(LíneaBase!C:C)+0.12)*100</f>
        <v>64.860570865063266</v>
      </c>
      <c r="AA479" s="184"/>
      <c r="AB479" s="182">
        <f>LíneaBase!L549</f>
        <v>0.44141700909196846</v>
      </c>
      <c r="AC479" s="184"/>
      <c r="AD479" s="182">
        <f>Escenario1!BN555</f>
        <v>0.53823182888021948</v>
      </c>
      <c r="AE479" s="184"/>
      <c r="AF479" s="182">
        <f>Escenario2!BN328</f>
        <v>0.48841762213129186</v>
      </c>
      <c r="AG479" s="184"/>
      <c r="AH479" s="182">
        <f>LíneaBase!N449</f>
        <v>0</v>
      </c>
      <c r="AI479" s="184"/>
      <c r="AJ479" s="182">
        <f>Escenario1!BP448</f>
        <v>0</v>
      </c>
      <c r="AK479" s="184"/>
      <c r="AL479" s="182">
        <f>Escenario2!BP449</f>
        <v>0</v>
      </c>
      <c r="AM479" s="151"/>
      <c r="BA479" s="152"/>
      <c r="BB479" s="75">
        <v>474</v>
      </c>
      <c r="BC479" s="190">
        <f>ABS(LíneaBase!L480-LíneaBase!L479)</f>
        <v>9.2763905889569065E-3</v>
      </c>
      <c r="BD479" s="190">
        <f>ABS(Escenario1!BN480-Escenario1!BN479)</f>
        <v>1.1375579849008721E-2</v>
      </c>
      <c r="BE479" s="190">
        <f>ABS(Escenario2!BN480-Escenario2!BN479)</f>
        <v>1.2641494617518401E-2</v>
      </c>
      <c r="BF479" s="151"/>
    </row>
    <row r="480" spans="25:58">
      <c r="Y480" s="152"/>
      <c r="Z480" s="183">
        <f>(LíneaBase!C481-0.44)/(MAX(LíneaBase!C:C)+0.12)*100</f>
        <v>64.997534651838052</v>
      </c>
      <c r="AA480" s="184"/>
      <c r="AB480" s="182">
        <f>LíneaBase!L182</f>
        <v>0.43878797455557778</v>
      </c>
      <c r="AC480" s="184"/>
      <c r="AD480" s="182">
        <f>Escenario1!BN561</f>
        <v>0.53793120114558945</v>
      </c>
      <c r="AE480" s="184"/>
      <c r="AF480" s="182">
        <f>Escenario2!BN190</f>
        <v>0.48813949523636768</v>
      </c>
      <c r="AG480" s="184"/>
      <c r="AH480" s="182">
        <f>LíneaBase!N451</f>
        <v>0</v>
      </c>
      <c r="AI480" s="184"/>
      <c r="AJ480" s="182">
        <f>Escenario1!BP451</f>
        <v>0</v>
      </c>
      <c r="AK480" s="184"/>
      <c r="AL480" s="182">
        <f>Escenario2!BP451</f>
        <v>0</v>
      </c>
      <c r="AM480" s="151"/>
      <c r="BA480" s="152"/>
      <c r="BB480" s="75">
        <v>475</v>
      </c>
      <c r="BC480" s="190">
        <f>ABS(LíneaBase!L481-LíneaBase!L480)</f>
        <v>1.2115277472891761E-2</v>
      </c>
      <c r="BD480" s="190">
        <f>ABS(Escenario1!BN481-Escenario1!BN480)</f>
        <v>1.3859239855393612E-2</v>
      </c>
      <c r="BE480" s="190">
        <f>ABS(Escenario2!BN481-Escenario2!BN480)</f>
        <v>1.5083640752204364E-2</v>
      </c>
      <c r="BF480" s="151"/>
    </row>
    <row r="481" spans="25:58">
      <c r="Y481" s="152"/>
      <c r="Z481" s="183">
        <f>(LíneaBase!C482-0.44)/(MAX(LíneaBase!C:C)+0.12)*100</f>
        <v>65.134498438612837</v>
      </c>
      <c r="AA481" s="184"/>
      <c r="AB481" s="182">
        <f>LíneaBase!L680</f>
        <v>0.43860633932511695</v>
      </c>
      <c r="AC481" s="184"/>
      <c r="AD481" s="182">
        <f>Escenario1!BN314</f>
        <v>0.53763959659748084</v>
      </c>
      <c r="AE481" s="184"/>
      <c r="AF481" s="182">
        <f>Escenario2!BN560</f>
        <v>0.4851370730465947</v>
      </c>
      <c r="AG481" s="184"/>
      <c r="AH481" s="182">
        <f>LíneaBase!N452</f>
        <v>0</v>
      </c>
      <c r="AI481" s="184"/>
      <c r="AJ481" s="182">
        <f>Escenario1!BP452</f>
        <v>0</v>
      </c>
      <c r="AK481" s="184"/>
      <c r="AL481" s="182">
        <f>Escenario2!BP452</f>
        <v>0</v>
      </c>
      <c r="AM481" s="151"/>
      <c r="BA481" s="152"/>
      <c r="BB481" s="75">
        <v>476</v>
      </c>
      <c r="BC481" s="190">
        <f>ABS(LíneaBase!L482-LíneaBase!L481)</f>
        <v>9.1093408579695501E-3</v>
      </c>
      <c r="BD481" s="190">
        <f>ABS(Escenario1!BN482-Escenario1!BN481)</f>
        <v>1.077401448805082E-2</v>
      </c>
      <c r="BE481" s="190">
        <f>ABS(Escenario2!BN482-Escenario2!BN481)</f>
        <v>1.2381689935073492E-2</v>
      </c>
      <c r="BF481" s="151"/>
    </row>
    <row r="482" spans="25:58">
      <c r="Y482" s="152"/>
      <c r="Z482" s="183">
        <f>(LíneaBase!C483-0.44)/(MAX(LíneaBase!C:C)+0.12)*100</f>
        <v>65.271462225387609</v>
      </c>
      <c r="AA482" s="184"/>
      <c r="AB482" s="182">
        <f>LíneaBase!L550</f>
        <v>0.43706762216403172</v>
      </c>
      <c r="AC482" s="184"/>
      <c r="AD482" s="182">
        <f>Escenario1!BN185</f>
        <v>0.533749792806404</v>
      </c>
      <c r="AE482" s="184"/>
      <c r="AF482" s="182">
        <f>Escenario2!BN191</f>
        <v>0.48308774526696874</v>
      </c>
      <c r="AG482" s="184"/>
      <c r="AH482" s="182">
        <f>LíneaBase!N453</f>
        <v>0</v>
      </c>
      <c r="AI482" s="184"/>
      <c r="AJ482" s="182">
        <f>Escenario1!BP453</f>
        <v>0</v>
      </c>
      <c r="AK482" s="184"/>
      <c r="AL482" s="182">
        <f>Escenario2!BP453</f>
        <v>0</v>
      </c>
      <c r="AM482" s="151"/>
      <c r="BA482" s="152"/>
      <c r="BB482" s="75">
        <v>477</v>
      </c>
      <c r="BC482" s="190">
        <f>ABS(LíneaBase!L483-LíneaBase!L482)</f>
        <v>4.4529583388435157E-3</v>
      </c>
      <c r="BD482" s="190">
        <f>ABS(Escenario1!BN483-Escenario1!BN482)</f>
        <v>7.4456734204899622E-3</v>
      </c>
      <c r="BE482" s="190">
        <f>ABS(Escenario2!BN483-Escenario2!BN482)</f>
        <v>8.2278764948877647E-3</v>
      </c>
      <c r="BF482" s="151"/>
    </row>
    <row r="483" spans="25:58">
      <c r="Y483" s="152"/>
      <c r="Z483" s="183">
        <f>(LíneaBase!C484-0.44)/(MAX(LíneaBase!C:C)+0.12)*100</f>
        <v>65.40842601216238</v>
      </c>
      <c r="AA483" s="184"/>
      <c r="AB483" s="182">
        <f>LíneaBase!L315</f>
        <v>0.43553622142772758</v>
      </c>
      <c r="AC483" s="184"/>
      <c r="AD483" s="182">
        <f>Escenario1!BN556</f>
        <v>0.53300674302113271</v>
      </c>
      <c r="AE483" s="184"/>
      <c r="AF483" s="182">
        <f>Escenario2!BN196</f>
        <v>0.48242472455407903</v>
      </c>
      <c r="AG483" s="184"/>
      <c r="AH483" s="182">
        <f>LíneaBase!N454</f>
        <v>0</v>
      </c>
      <c r="AI483" s="184"/>
      <c r="AJ483" s="182">
        <f>Escenario1!BP454</f>
        <v>0</v>
      </c>
      <c r="AK483" s="184"/>
      <c r="AL483" s="182">
        <f>Escenario2!BP454</f>
        <v>0</v>
      </c>
      <c r="AM483" s="151"/>
      <c r="BA483" s="152"/>
      <c r="BB483" s="75">
        <v>478</v>
      </c>
      <c r="BC483" s="190">
        <f>ABS(LíneaBase!L484-LíneaBase!L483)</f>
        <v>1.1786317685691383E-2</v>
      </c>
      <c r="BD483" s="190">
        <f>ABS(Escenario1!BN484-Escenario1!BN483)</f>
        <v>1.3457695448503504E-2</v>
      </c>
      <c r="BE483" s="190">
        <f>ABS(Escenario2!BN484-Escenario2!BN483)</f>
        <v>1.4625752917285739E-2</v>
      </c>
      <c r="BF483" s="151"/>
    </row>
    <row r="484" spans="25:58">
      <c r="Y484" s="152"/>
      <c r="Z484" s="183">
        <f>(LíneaBase!C485-0.44)/(MAX(LíneaBase!C:C)+0.12)*100</f>
        <v>65.545389798937165</v>
      </c>
      <c r="AA484" s="184"/>
      <c r="AB484" s="182">
        <f>LíneaBase!L183</f>
        <v>0.43446449213064936</v>
      </c>
      <c r="AC484" s="184"/>
      <c r="AD484" s="182">
        <f>Escenario1!BN343</f>
        <v>0.53246104816499673</v>
      </c>
      <c r="AE484" s="184"/>
      <c r="AF484" s="182">
        <f>Escenario2!BN562</f>
        <v>0.47906776299726017</v>
      </c>
      <c r="AG484" s="184"/>
      <c r="AH484" s="182">
        <f>LíneaBase!N455</f>
        <v>0</v>
      </c>
      <c r="AI484" s="184"/>
      <c r="AJ484" s="182">
        <f>Escenario1!BP455</f>
        <v>0</v>
      </c>
      <c r="AK484" s="184"/>
      <c r="AL484" s="182">
        <f>Escenario2!BP455</f>
        <v>0</v>
      </c>
      <c r="AM484" s="151"/>
      <c r="BA484" s="152"/>
      <c r="BB484" s="75">
        <v>479</v>
      </c>
      <c r="BC484" s="190">
        <f>ABS(LíneaBase!L485-LíneaBase!L484)</f>
        <v>8.8469716178475322E-3</v>
      </c>
      <c r="BD484" s="190">
        <f>ABS(Escenario1!BN485-Escenario1!BN484)</f>
        <v>1.0498279515644526E-2</v>
      </c>
      <c r="BE484" s="190">
        <f>ABS(Escenario2!BN485-Escenario2!BN484)</f>
        <v>1.1984387897659099E-2</v>
      </c>
      <c r="BF484" s="151"/>
    </row>
    <row r="485" spans="25:58">
      <c r="Y485" s="152"/>
      <c r="Z485" s="183">
        <f>(LíneaBase!C486-0.44)/(MAX(LíneaBase!C:C)+0.12)*100</f>
        <v>65.682353585711937</v>
      </c>
      <c r="AA485" s="184"/>
      <c r="AB485" s="182">
        <f>LíneaBase!L212</f>
        <v>0.43443373403949542</v>
      </c>
      <c r="AC485" s="184"/>
      <c r="AD485" s="182">
        <f>Escenario1!BN577</f>
        <v>0.53231303498622906</v>
      </c>
      <c r="AE485" s="184"/>
      <c r="AF485" s="182">
        <f>Escenario2!BN192</f>
        <v>0.47808947035054428</v>
      </c>
      <c r="AG485" s="184"/>
      <c r="AH485" s="182">
        <f>LíneaBase!N456</f>
        <v>0</v>
      </c>
      <c r="AI485" s="184"/>
      <c r="AJ485" s="182">
        <f>Escenario1!BP456</f>
        <v>0</v>
      </c>
      <c r="AK485" s="184"/>
      <c r="AL485" s="182">
        <f>Escenario2!BP456</f>
        <v>0</v>
      </c>
      <c r="AM485" s="151"/>
      <c r="BA485" s="152"/>
      <c r="BB485" s="75">
        <v>480</v>
      </c>
      <c r="BC485" s="190">
        <f>ABS(LíneaBase!L486-LíneaBase!L485)</f>
        <v>8.2913267526794066E-3</v>
      </c>
      <c r="BD485" s="190">
        <f>ABS(Escenario1!BN486-Escenario1!BN485)</f>
        <v>1.0266063989219365E-2</v>
      </c>
      <c r="BE485" s="190">
        <f>ABS(Escenario2!BN486-Escenario2!BN485)</f>
        <v>1.1441414316900378E-2</v>
      </c>
      <c r="BF485" s="151"/>
    </row>
    <row r="486" spans="25:58">
      <c r="Y486" s="152"/>
      <c r="Z486" s="183">
        <f>(LíneaBase!C487-0.44)/(MAX(LíneaBase!C:C)+0.12)*100</f>
        <v>65.819317372486722</v>
      </c>
      <c r="AA486" s="184"/>
      <c r="AB486" s="182">
        <f>LíneaBase!L551</f>
        <v>0.43276109078145036</v>
      </c>
      <c r="AC486" s="184"/>
      <c r="AD486" s="182">
        <f>Escenario1!BN186</f>
        <v>0.52857269650796057</v>
      </c>
      <c r="AE486" s="184"/>
      <c r="AF486" s="182">
        <f>Escenario2!BN193</f>
        <v>0.47314408704518457</v>
      </c>
      <c r="AG486" s="184"/>
      <c r="AH486" s="182">
        <f>LíneaBase!N457</f>
        <v>0</v>
      </c>
      <c r="AI486" s="184"/>
      <c r="AJ486" s="182">
        <f>Escenario1!BP457</f>
        <v>0</v>
      </c>
      <c r="AK486" s="184"/>
      <c r="AL486" s="182">
        <f>Escenario2!BP457</f>
        <v>0</v>
      </c>
      <c r="AM486" s="151"/>
      <c r="BA486" s="152"/>
      <c r="BB486" s="75">
        <v>481</v>
      </c>
      <c r="BC486" s="190">
        <f>ABS(LíneaBase!L487-LíneaBase!L486)</f>
        <v>1.2897341080917357</v>
      </c>
      <c r="BD486" s="190">
        <f>ABS(Escenario1!BN487-Escenario1!BN486)</f>
        <v>0.31610757532134603</v>
      </c>
      <c r="BE486" s="190">
        <f>ABS(Escenario2!BN487-Escenario2!BN486)</f>
        <v>0.12324190697409132</v>
      </c>
      <c r="BF486" s="151"/>
    </row>
    <row r="487" spans="25:58">
      <c r="Y487" s="152"/>
      <c r="Z487" s="183">
        <f>(LíneaBase!C488-0.44)/(MAX(LíneaBase!C:C)+0.12)*100</f>
        <v>65.956281159261493</v>
      </c>
      <c r="AA487" s="184"/>
      <c r="AB487" s="182">
        <f>LíneaBase!L184</f>
        <v>0.43018361000822664</v>
      </c>
      <c r="AC487" s="184"/>
      <c r="AD487" s="182">
        <f>Escenario1!BN557</f>
        <v>0.52783134274105359</v>
      </c>
      <c r="AE487" s="184"/>
      <c r="AF487" s="182">
        <f>Escenario2!BN563</f>
        <v>0.47084309387920914</v>
      </c>
      <c r="AG487" s="184"/>
      <c r="AH487" s="182">
        <f>LíneaBase!N459</f>
        <v>0</v>
      </c>
      <c r="AI487" s="184"/>
      <c r="AJ487" s="182">
        <f>Escenario1!BP459</f>
        <v>0</v>
      </c>
      <c r="AK487" s="184"/>
      <c r="AL487" s="182">
        <f>Escenario2!BP459</f>
        <v>0</v>
      </c>
      <c r="AM487" s="151"/>
      <c r="BA487" s="152"/>
      <c r="BB487" s="75">
        <v>482</v>
      </c>
      <c r="BC487" s="190">
        <f>ABS(LíneaBase!L488-LíneaBase!L487)</f>
        <v>1.0354832530910913</v>
      </c>
      <c r="BD487" s="190">
        <f>ABS(Escenario1!BN488-Escenario1!BN487)</f>
        <v>7.1214180568162533E-2</v>
      </c>
      <c r="BE487" s="190">
        <f>ABS(Escenario2!BN488-Escenario2!BN487)</f>
        <v>2.2204679481074852E-3</v>
      </c>
      <c r="BF487" s="151"/>
    </row>
    <row r="488" spans="25:58">
      <c r="Y488" s="152"/>
      <c r="Z488" s="183">
        <f>(LíneaBase!C489-0.44)/(MAX(LíneaBase!C:C)+0.12)*100</f>
        <v>66.093244946036265</v>
      </c>
      <c r="AA488" s="184"/>
      <c r="AB488" s="182">
        <f>LíneaBase!L552</f>
        <v>0.42849699267831909</v>
      </c>
      <c r="AC488" s="184"/>
      <c r="AD488" s="182">
        <f>Escenario1!BN187</f>
        <v>0.52344477995144945</v>
      </c>
      <c r="AE488" s="184"/>
      <c r="AF488" s="182">
        <f>Escenario2!BN194</f>
        <v>0.46825101852199169</v>
      </c>
      <c r="AG488" s="184"/>
      <c r="AH488" s="182">
        <f>LíneaBase!N460</f>
        <v>0</v>
      </c>
      <c r="AI488" s="184"/>
      <c r="AJ488" s="182">
        <f>Escenario1!BP460</f>
        <v>0</v>
      </c>
      <c r="AK488" s="184"/>
      <c r="AL488" s="182">
        <f>Escenario2!BP460</f>
        <v>0</v>
      </c>
      <c r="AM488" s="151"/>
      <c r="BA488" s="152"/>
      <c r="BB488" s="75">
        <v>483</v>
      </c>
      <c r="BC488" s="190">
        <f>ABS(LíneaBase!L489-LíneaBase!L488)</f>
        <v>7.1324931461741903E-2</v>
      </c>
      <c r="BD488" s="190">
        <f>ABS(Escenario1!BN489-Escenario1!BN488)</f>
        <v>6.674113690447192E-2</v>
      </c>
      <c r="BE488" s="190">
        <f>ABS(Escenario2!BN489-Escenario2!BN488)</f>
        <v>2.1865275469192813E-3</v>
      </c>
      <c r="BF488" s="151"/>
    </row>
    <row r="489" spans="25:58">
      <c r="Y489" s="152"/>
      <c r="Z489" s="183">
        <f>(LíneaBase!C490-0.44)/(MAX(LíneaBase!C:C)+0.12)*100</f>
        <v>66.23020873281105</v>
      </c>
      <c r="AA489" s="184"/>
      <c r="AB489" s="182">
        <f>LíneaBase!L561</f>
        <v>0.42701045991342729</v>
      </c>
      <c r="AC489" s="184"/>
      <c r="AD489" s="182">
        <f>Escenario1!BN558</f>
        <v>0.52270515880890911</v>
      </c>
      <c r="AE489" s="184"/>
      <c r="AF489" s="182">
        <f>Escenario2!BN564</f>
        <v>0.46541876563774298</v>
      </c>
      <c r="AG489" s="184"/>
      <c r="AH489" s="182">
        <f>LíneaBase!N461</f>
        <v>0</v>
      </c>
      <c r="AI489" s="184"/>
      <c r="AJ489" s="182">
        <f>Escenario1!BP461</f>
        <v>0</v>
      </c>
      <c r="AK489" s="184"/>
      <c r="AL489" s="182">
        <f>Escenario2!BP461</f>
        <v>0</v>
      </c>
      <c r="AM489" s="151"/>
      <c r="BA489" s="152"/>
      <c r="BB489" s="75">
        <v>484</v>
      </c>
      <c r="BC489" s="190">
        <f>ABS(LíneaBase!L490-LíneaBase!L489)</f>
        <v>7.076714419484631E-2</v>
      </c>
      <c r="BD489" s="190">
        <f>ABS(Escenario1!BN490-Escenario1!BN489)</f>
        <v>6.6186102031087435E-2</v>
      </c>
      <c r="BE489" s="190">
        <f>ABS(Escenario2!BN490-Escenario2!BN489)</f>
        <v>4.6500138452280737E-2</v>
      </c>
      <c r="BF489" s="151"/>
    </row>
    <row r="490" spans="25:58">
      <c r="Y490" s="152"/>
      <c r="Z490" s="183">
        <f>(LíneaBase!C491-0.44)/(MAX(LíneaBase!C:C)+0.12)*100</f>
        <v>66.367172519585822</v>
      </c>
      <c r="AA490" s="184"/>
      <c r="AB490" s="182">
        <f>LíneaBase!L185</f>
        <v>0.42594490843704919</v>
      </c>
      <c r="AC490" s="184"/>
      <c r="AD490" s="182">
        <f>Escenario1!BN188</f>
        <v>0.51836559421605921</v>
      </c>
      <c r="AE490" s="184"/>
      <c r="AF490" s="182">
        <f>Escenario2!BN195</f>
        <v>0.46340969448671027</v>
      </c>
      <c r="AG490" s="184"/>
      <c r="AH490" s="182">
        <f>LíneaBase!N462</f>
        <v>0</v>
      </c>
      <c r="AI490" s="184"/>
      <c r="AJ490" s="182">
        <f>Escenario1!BP462</f>
        <v>0</v>
      </c>
      <c r="AK490" s="184"/>
      <c r="AL490" s="182">
        <f>Escenario2!BP462</f>
        <v>0</v>
      </c>
      <c r="AM490" s="151"/>
      <c r="BA490" s="152"/>
      <c r="BB490" s="75">
        <v>485</v>
      </c>
      <c r="BC490" s="190">
        <f>ABS(LíneaBase!L491-LíneaBase!L490)</f>
        <v>6.6733652279017397E-2</v>
      </c>
      <c r="BD490" s="190">
        <f>ABS(Escenario1!BN491-Escenario1!BN490)</f>
        <v>6.2584813627133862E-2</v>
      </c>
      <c r="BE490" s="190">
        <f>ABS(Escenario2!BN491-Escenario2!BN490)</f>
        <v>7.1520671764172317E-2</v>
      </c>
      <c r="BF490" s="151"/>
    </row>
    <row r="491" spans="25:58">
      <c r="Y491" s="152"/>
      <c r="Z491" s="183">
        <f>(LíneaBase!C492-0.44)/(MAX(LíneaBase!C:C)+0.12)*100</f>
        <v>66.504136306360593</v>
      </c>
      <c r="AA491" s="184"/>
      <c r="AB491" s="182">
        <f>LíneaBase!L553</f>
        <v>0.42427490974942733</v>
      </c>
      <c r="AC491" s="184"/>
      <c r="AD491" s="182">
        <f>Escenario1!BN559</f>
        <v>0.51762772176048</v>
      </c>
      <c r="AE491" s="184"/>
      <c r="AF491" s="182">
        <f>Escenario2!BN690</f>
        <v>0.4630713999271977</v>
      </c>
      <c r="AG491" s="184"/>
      <c r="AH491" s="182">
        <f>LíneaBase!N463</f>
        <v>0</v>
      </c>
      <c r="AI491" s="184"/>
      <c r="AJ491" s="182">
        <f>Escenario1!BP463</f>
        <v>0</v>
      </c>
      <c r="AK491" s="184"/>
      <c r="AL491" s="182">
        <f>Escenario2!BP463</f>
        <v>0</v>
      </c>
      <c r="AM491" s="151"/>
      <c r="BA491" s="152"/>
      <c r="BB491" s="75">
        <v>486</v>
      </c>
      <c r="BC491" s="190">
        <f>ABS(LíneaBase!L492-LíneaBase!L491)</f>
        <v>6.4283851792699909E-2</v>
      </c>
      <c r="BD491" s="190">
        <f>ABS(Escenario1!BN492-Escenario1!BN491)</f>
        <v>6.0373733633928062E-2</v>
      </c>
      <c r="BE491" s="190">
        <f>ABS(Escenario2!BN492-Escenario2!BN491)</f>
        <v>5.7161758410917196E-2</v>
      </c>
      <c r="BF491" s="151"/>
    </row>
    <row r="492" spans="25:58">
      <c r="Y492" s="152"/>
      <c r="Z492" s="183">
        <f>(LíneaBase!C493-0.44)/(MAX(LíneaBase!C:C)+0.12)*100</f>
        <v>66.641100093135378</v>
      </c>
      <c r="AA492" s="184"/>
      <c r="AB492" s="182">
        <f>LíneaBase!L186</f>
        <v>0.42174797180204376</v>
      </c>
      <c r="AC492" s="184"/>
      <c r="AD492" s="182">
        <f>Escenario1!BN189</f>
        <v>0.51333466652333115</v>
      </c>
      <c r="AE492" s="184"/>
      <c r="AF492" s="182">
        <f>Escenario2!BN577</f>
        <v>0.46249317300846887</v>
      </c>
      <c r="AG492" s="184"/>
      <c r="AH492" s="182">
        <f>LíneaBase!N464</f>
        <v>0</v>
      </c>
      <c r="AI492" s="184"/>
      <c r="AJ492" s="182">
        <f>Escenario1!BP464</f>
        <v>0</v>
      </c>
      <c r="AK492" s="184"/>
      <c r="AL492" s="182">
        <f>Escenario2!BP464</f>
        <v>0</v>
      </c>
      <c r="AM492" s="151"/>
      <c r="BA492" s="152"/>
      <c r="BB492" s="75">
        <v>487</v>
      </c>
      <c r="BC492" s="190">
        <f>ABS(LíneaBase!L493-LíneaBase!L492)</f>
        <v>3.15636654409025E-2</v>
      </c>
      <c r="BD492" s="190">
        <f>ABS(Escenario1!BN493-Escenario1!BN492)</f>
        <v>5.0452819788942338E-2</v>
      </c>
      <c r="BE492" s="190">
        <f>ABS(Escenario2!BN493-Escenario2!BN492)</f>
        <v>1.8237846561570681E-2</v>
      </c>
      <c r="BF492" s="151"/>
    </row>
    <row r="493" spans="25:58">
      <c r="Y493" s="152"/>
      <c r="Z493" s="183">
        <f>(LíneaBase!C494-0.44)/(MAX(LíneaBase!C:C)+0.12)*100</f>
        <v>66.77806387991015</v>
      </c>
      <c r="AA493" s="184"/>
      <c r="AB493" s="182">
        <f>LíneaBase!L554</f>
        <v>0.42009442800925578</v>
      </c>
      <c r="AC493" s="184"/>
      <c r="AD493" s="182">
        <f>Escenario1!BN560</f>
        <v>0.51259858970644756</v>
      </c>
      <c r="AE493" s="184"/>
      <c r="AF493" s="182">
        <f>Escenario2!BN565</f>
        <v>0.46050222613705871</v>
      </c>
      <c r="AG493" s="184"/>
      <c r="AH493" s="182">
        <f>LíneaBase!N465</f>
        <v>0</v>
      </c>
      <c r="AI493" s="184"/>
      <c r="AJ493" s="182">
        <f>Escenario1!BP465</f>
        <v>0</v>
      </c>
      <c r="AK493" s="184"/>
      <c r="AL493" s="182">
        <f>Escenario2!BP465</f>
        <v>0</v>
      </c>
      <c r="AM493" s="151"/>
      <c r="BA493" s="152"/>
      <c r="BB493" s="75">
        <v>488</v>
      </c>
      <c r="BC493" s="190">
        <f>ABS(LíneaBase!L494-LíneaBase!L493)</f>
        <v>1.1541186792566216E-2</v>
      </c>
      <c r="BD493" s="190">
        <f>ABS(Escenario1!BN494-Escenario1!BN493)</f>
        <v>1.6277500504208398E-2</v>
      </c>
      <c r="BE493" s="190">
        <f>ABS(Escenario2!BN494-Escenario2!BN493)</f>
        <v>1.1683428064328538E-2</v>
      </c>
      <c r="BF493" s="151"/>
    </row>
    <row r="494" spans="25:58">
      <c r="Y494" s="152"/>
      <c r="Z494" s="183">
        <f>(LíneaBase!C495-0.44)/(MAX(LíneaBase!C:C)+0.12)*100</f>
        <v>66.915027666684921</v>
      </c>
      <c r="AA494" s="184"/>
      <c r="AB494" s="182">
        <f>LíneaBase!L187</f>
        <v>0.41759238858333714</v>
      </c>
      <c r="AC494" s="184"/>
      <c r="AD494" s="182">
        <f>Escenario1!BN196</f>
        <v>0.50974539878723046</v>
      </c>
      <c r="AE494" s="184"/>
      <c r="AF494" s="182">
        <f>Escenario2!BN325</f>
        <v>0.45791188809180305</v>
      </c>
      <c r="AG494" s="184"/>
      <c r="AH494" s="182">
        <f>LíneaBase!N466</f>
        <v>0</v>
      </c>
      <c r="AI494" s="184"/>
      <c r="AJ494" s="182">
        <f>Escenario1!BP466</f>
        <v>0</v>
      </c>
      <c r="AK494" s="184"/>
      <c r="AL494" s="182">
        <f>Escenario2!BP466</f>
        <v>0</v>
      </c>
      <c r="AM494" s="151"/>
      <c r="BA494" s="152"/>
      <c r="BB494" s="75">
        <v>489</v>
      </c>
      <c r="BC494" s="190">
        <f>ABS(LíneaBase!L495-LíneaBase!L494)</f>
        <v>8.1566190413779882E-3</v>
      </c>
      <c r="BD494" s="190">
        <f>ABS(Escenario1!BN495-Escenario1!BN494)</f>
        <v>1.0294009907743429E-2</v>
      </c>
      <c r="BE494" s="190">
        <f>ABS(Escenario2!BN495-Escenario2!BN494)</f>
        <v>1.0501367651611693E-2</v>
      </c>
      <c r="BF494" s="151"/>
    </row>
    <row r="495" spans="25:58">
      <c r="Y495" s="152"/>
      <c r="Z495" s="183">
        <f>(LíneaBase!C496-0.44)/(MAX(LíneaBase!C:C)+0.12)*100</f>
        <v>67.051991453459706</v>
      </c>
      <c r="AA495" s="184"/>
      <c r="AB495" s="182">
        <f>LíneaBase!L196</f>
        <v>0.41703561743642437</v>
      </c>
      <c r="AC495" s="184"/>
      <c r="AD495" s="182">
        <f>Escenario1!BN190</f>
        <v>0.50835153797299615</v>
      </c>
      <c r="AE495" s="184"/>
      <c r="AF495" s="182">
        <f>Escenario2!BN197</f>
        <v>0.45783017400466547</v>
      </c>
      <c r="AG495" s="184"/>
      <c r="AH495" s="182">
        <f>LíneaBase!N467</f>
        <v>0</v>
      </c>
      <c r="AI495" s="184"/>
      <c r="AJ495" s="182">
        <f>Escenario1!BP467</f>
        <v>0</v>
      </c>
      <c r="AK495" s="184"/>
      <c r="AL495" s="182">
        <f>Escenario2!BP467</f>
        <v>0</v>
      </c>
      <c r="AM495" s="151"/>
      <c r="BA495" s="152"/>
      <c r="BB495" s="75">
        <v>490</v>
      </c>
      <c r="BC495" s="190">
        <f>ABS(LíneaBase!L496-LíneaBase!L495)</f>
        <v>7.5334971413796303E-3</v>
      </c>
      <c r="BD495" s="190">
        <f>ABS(Escenario1!BN496-Escenario1!BN495)</f>
        <v>9.317666312596673E-3</v>
      </c>
      <c r="BE495" s="190">
        <f>ABS(Escenario2!BN496-Escenario2!BN495)</f>
        <v>1.0211846963225302E-2</v>
      </c>
      <c r="BF495" s="151"/>
    </row>
    <row r="496" spans="25:58">
      <c r="Y496" s="152"/>
      <c r="Z496" s="183">
        <f>(LíneaBase!C497-0.44)/(MAX(LíneaBase!C:C)+0.12)*100</f>
        <v>67.188955240234478</v>
      </c>
      <c r="AA496" s="184"/>
      <c r="AB496" s="182">
        <f>LíneaBase!L555</f>
        <v>0.41595513755138347</v>
      </c>
      <c r="AC496" s="184"/>
      <c r="AD496" s="182">
        <f>Escenario1!BN212</f>
        <v>0.50819659955924579</v>
      </c>
      <c r="AE496" s="184"/>
      <c r="AF496" s="182">
        <f>Escenario2!BN566</f>
        <v>0.45571258536683773</v>
      </c>
      <c r="AG496" s="184"/>
      <c r="AH496" s="182">
        <f>LíneaBase!N468</f>
        <v>0</v>
      </c>
      <c r="AI496" s="184"/>
      <c r="AJ496" s="182">
        <f>Escenario1!BP468</f>
        <v>0</v>
      </c>
      <c r="AK496" s="184"/>
      <c r="AL496" s="182">
        <f>Escenario2!BP468</f>
        <v>0</v>
      </c>
      <c r="AM496" s="151"/>
      <c r="BA496" s="152"/>
      <c r="BB496" s="75">
        <v>491</v>
      </c>
      <c r="BC496" s="190">
        <f>ABS(LíneaBase!L497-LíneaBase!L496)</f>
        <v>7.369205394248568E-3</v>
      </c>
      <c r="BD496" s="190">
        <f>ABS(Escenario1!BN497-Escenario1!BN496)</f>
        <v>9.2287181543614372E-3</v>
      </c>
      <c r="BE496" s="190">
        <f>ABS(Escenario2!BN497-Escenario2!BN496)</f>
        <v>1.0071488703521925E-2</v>
      </c>
      <c r="BF496" s="151"/>
    </row>
    <row r="497" spans="25:58">
      <c r="Y497" s="152"/>
      <c r="Z497" s="183">
        <f>(LíneaBase!C498-0.44)/(MAX(LíneaBase!C:C)+0.12)*100</f>
        <v>67.325919027009263</v>
      </c>
      <c r="AA497" s="184"/>
      <c r="AB497" s="182">
        <f>LíneaBase!L188</f>
        <v>0.4134777513158675</v>
      </c>
      <c r="AC497" s="184"/>
      <c r="AD497" s="182">
        <f>Escenario1!BN562</f>
        <v>0.50741290963231833</v>
      </c>
      <c r="AE497" s="184"/>
      <c r="AF497" s="182">
        <f>Escenario2!BN676</f>
        <v>0.45318327905168271</v>
      </c>
      <c r="AG497" s="184"/>
      <c r="AH497" s="182">
        <f>LíneaBase!N469</f>
        <v>0</v>
      </c>
      <c r="AI497" s="184"/>
      <c r="AJ497" s="182">
        <f>Escenario1!BP469</f>
        <v>0</v>
      </c>
      <c r="AK497" s="184"/>
      <c r="AL497" s="182">
        <f>Escenario2!BP469</f>
        <v>0</v>
      </c>
      <c r="AM497" s="151"/>
      <c r="BA497" s="152"/>
      <c r="BB497" s="75">
        <v>492</v>
      </c>
      <c r="BC497" s="190">
        <f>ABS(LíneaBase!L498-LíneaBase!L497)</f>
        <v>7.2816502333551414E-3</v>
      </c>
      <c r="BD497" s="190">
        <f>ABS(Escenario1!BN498-Escenario1!BN497)</f>
        <v>9.1405961708397321E-3</v>
      </c>
      <c r="BE497" s="190">
        <f>ABS(Escenario2!BN498-Escenario2!BN497)</f>
        <v>9.956927047969466E-3</v>
      </c>
      <c r="BF497" s="151"/>
    </row>
    <row r="498" spans="25:58">
      <c r="Y498" s="152"/>
      <c r="Z498" s="183">
        <f>(LíneaBase!C499-0.44)/(MAX(LíneaBase!C:C)+0.12)*100</f>
        <v>67.462882813784034</v>
      </c>
      <c r="AA498" s="184"/>
      <c r="AB498" s="182">
        <f>LíneaBase!L556</f>
        <v>0.41185663250829468</v>
      </c>
      <c r="AC498" s="184"/>
      <c r="AD498" s="182">
        <f>Escenario1!BN191</f>
        <v>0.50341576515366093</v>
      </c>
      <c r="AE498" s="184"/>
      <c r="AF498" s="182">
        <f>Escenario2!BN567</f>
        <v>0.45098617289271459</v>
      </c>
      <c r="AG498" s="184"/>
      <c r="AH498" s="182">
        <f>LíneaBase!N470</f>
        <v>0</v>
      </c>
      <c r="AI498" s="184"/>
      <c r="AJ498" s="182">
        <f>Escenario1!BP470</f>
        <v>0</v>
      </c>
      <c r="AK498" s="184"/>
      <c r="AL498" s="182">
        <f>Escenario2!BP470</f>
        <v>0</v>
      </c>
      <c r="AM498" s="151"/>
      <c r="BA498" s="152"/>
      <c r="BB498" s="75">
        <v>493</v>
      </c>
      <c r="BC498" s="190">
        <f>ABS(LíneaBase!L499-LíneaBase!L498)</f>
        <v>7.2074225430529548E-3</v>
      </c>
      <c r="BD498" s="190">
        <f>ABS(Escenario1!BN499-Escenario1!BN498)</f>
        <v>9.0533405225066144E-3</v>
      </c>
      <c r="BE498" s="190">
        <f>ABS(Escenario2!BN499-Escenario2!BN498)</f>
        <v>9.8476787550121347E-3</v>
      </c>
      <c r="BF498" s="151"/>
    </row>
    <row r="499" spans="25:58">
      <c r="Y499" s="152"/>
      <c r="Z499" s="183">
        <f>(LíneaBase!C500-0.44)/(MAX(LíneaBase!C:C)+0.12)*100</f>
        <v>67.599846600558806</v>
      </c>
      <c r="AA499" s="184"/>
      <c r="AB499" s="182">
        <f>LíneaBase!L189</f>
        <v>0.40940365654942462</v>
      </c>
      <c r="AC499" s="184"/>
      <c r="AD499" s="182">
        <f>Escenario1!BN192</f>
        <v>0.49852688227805697</v>
      </c>
      <c r="AE499" s="184"/>
      <c r="AF499" s="182">
        <f>Escenario2!BN198</f>
        <v>0.44984605501025177</v>
      </c>
      <c r="AG499" s="184"/>
      <c r="AH499" s="182">
        <f>LíneaBase!N471</f>
        <v>0</v>
      </c>
      <c r="AI499" s="184"/>
      <c r="AJ499" s="182">
        <f>Escenario1!BP471</f>
        <v>0</v>
      </c>
      <c r="AK499" s="184"/>
      <c r="AL499" s="182">
        <f>Escenario2!BP471</f>
        <v>0</v>
      </c>
      <c r="AM499" s="151"/>
      <c r="BA499" s="152"/>
      <c r="BB499" s="75">
        <v>494</v>
      </c>
      <c r="BC499" s="190">
        <f>ABS(LíneaBase!L500-LíneaBase!L499)</f>
        <v>5.7734477508220028E-3</v>
      </c>
      <c r="BD499" s="190">
        <f>ABS(Escenario1!BN500-Escenario1!BN499)</f>
        <v>8.2184481892764172E-3</v>
      </c>
      <c r="BE499" s="190">
        <f>ABS(Escenario2!BN500-Escenario2!BN499)</f>
        <v>8.5412914729222633E-3</v>
      </c>
      <c r="BF499" s="151"/>
    </row>
    <row r="500" spans="25:58">
      <c r="Y500" s="152"/>
      <c r="Z500" s="183">
        <f>(LíneaBase!C501-0.44)/(MAX(LíneaBase!C:C)+0.12)*100</f>
        <v>67.736810387333591</v>
      </c>
      <c r="AA500" s="184"/>
      <c r="AB500" s="182">
        <f>LíneaBase!L557</f>
        <v>0.40779851101158332</v>
      </c>
      <c r="AC500" s="184"/>
      <c r="AD500" s="182">
        <f>Escenario1!BN680</f>
        <v>0.49840202979545939</v>
      </c>
      <c r="AE500" s="184"/>
      <c r="AF500" s="182">
        <f>Escenario2!BN311</f>
        <v>0.44718279688260382</v>
      </c>
      <c r="AG500" s="184"/>
      <c r="AH500" s="182">
        <f>LíneaBase!N472</f>
        <v>0</v>
      </c>
      <c r="AI500" s="184"/>
      <c r="AJ500" s="182">
        <f>Escenario1!BP472</f>
        <v>0</v>
      </c>
      <c r="AK500" s="184"/>
      <c r="AL500" s="182">
        <f>Escenario2!BP472</f>
        <v>0</v>
      </c>
      <c r="AM500" s="151"/>
      <c r="BA500" s="152"/>
      <c r="BB500" s="75">
        <v>495</v>
      </c>
      <c r="BC500" s="190">
        <f>ABS(LíneaBase!L501-LíneaBase!L500)</f>
        <v>8.2020644788167729E-3</v>
      </c>
      <c r="BD500" s="190">
        <f>ABS(Escenario1!BN501-Escenario1!BN500)</f>
        <v>9.6295698717304701E-3</v>
      </c>
      <c r="BE500" s="190">
        <f>ABS(Escenario2!BN501-Escenario2!BN500)</f>
        <v>1.0634387495700226E-2</v>
      </c>
      <c r="BF500" s="151"/>
    </row>
    <row r="501" spans="25:58">
      <c r="Y501" s="152"/>
      <c r="Z501" s="183">
        <f>(LíneaBase!C502-0.44)/(MAX(LíneaBase!C:C)+0.12)*100</f>
        <v>67.873774174108377</v>
      </c>
      <c r="AA501" s="184"/>
      <c r="AB501" s="182">
        <f>LíneaBase!L190</f>
        <v>0.40536970480908929</v>
      </c>
      <c r="AC501" s="184"/>
      <c r="AD501" s="182">
        <f>Escenario1!BN563</f>
        <v>0.49827195015868608</v>
      </c>
      <c r="AE501" s="184"/>
      <c r="AF501" s="182">
        <f>Escenario2!BN568</f>
        <v>0.4463119618487994</v>
      </c>
      <c r="AG501" s="184"/>
      <c r="AH501" s="182">
        <f>LíneaBase!N474</f>
        <v>0</v>
      </c>
      <c r="AI501" s="184"/>
      <c r="AJ501" s="182">
        <f>Escenario1!BP474</f>
        <v>0</v>
      </c>
      <c r="AK501" s="184"/>
      <c r="AL501" s="182">
        <f>Escenario2!BP474</f>
        <v>0</v>
      </c>
      <c r="AM501" s="151"/>
      <c r="BA501" s="152"/>
      <c r="BB501" s="75">
        <v>496</v>
      </c>
      <c r="BC501" s="190">
        <f>ABS(LíneaBase!L502-LíneaBase!L501)</f>
        <v>7.1845616295069803E-3</v>
      </c>
      <c r="BD501" s="190">
        <f>ABS(Escenario1!BN502-Escenario1!BN501)</f>
        <v>8.796345688876217E-3</v>
      </c>
      <c r="BE501" s="190">
        <f>ABS(Escenario2!BN502-Escenario2!BN501)</f>
        <v>9.6954542063431015E-3</v>
      </c>
      <c r="BF501" s="151"/>
    </row>
    <row r="502" spans="25:58">
      <c r="Y502" s="152"/>
      <c r="Z502" s="183">
        <f>(LíneaBase!C503-0.44)/(MAX(LíneaBase!C:C)+0.12)*100</f>
        <v>68.010737960883134</v>
      </c>
      <c r="AA502" s="184"/>
      <c r="AB502" s="182">
        <f>LíneaBase!L558</f>
        <v>0.40378037515254833</v>
      </c>
      <c r="AC502" s="184"/>
      <c r="AD502" s="182">
        <f>Escenario1!BN690</f>
        <v>0.49646905551883119</v>
      </c>
      <c r="AE502" s="184"/>
      <c r="AF502" s="182">
        <f>Escenario2!BN199</f>
        <v>0.44465942840255207</v>
      </c>
      <c r="AG502" s="184"/>
      <c r="AH502" s="182">
        <f>LíneaBase!N475</f>
        <v>0</v>
      </c>
      <c r="AI502" s="184"/>
      <c r="AJ502" s="182">
        <f>Escenario1!BP475</f>
        <v>0</v>
      </c>
      <c r="AK502" s="184"/>
      <c r="AL502" s="182">
        <f>Escenario2!BP475</f>
        <v>0</v>
      </c>
      <c r="AM502" s="151"/>
      <c r="BA502" s="152"/>
      <c r="BB502" s="75">
        <v>497</v>
      </c>
      <c r="BC502" s="190">
        <f>ABS(LíneaBase!L503-LíneaBase!L502)</f>
        <v>6.9583402039102848E-3</v>
      </c>
      <c r="BD502" s="190">
        <f>ABS(Escenario1!BN503-Escenario1!BN502)</f>
        <v>8.7123780760742786E-3</v>
      </c>
      <c r="BE502" s="190">
        <f>ABS(Escenario2!BN503-Escenario2!BN502)</f>
        <v>9.4534231319155504E-3</v>
      </c>
      <c r="BF502" s="151"/>
    </row>
    <row r="503" spans="25:58">
      <c r="Y503" s="152"/>
      <c r="Z503" s="183">
        <f>(LíneaBase!C504-0.44)/(MAX(LíneaBase!C:C)+0.12)*100</f>
        <v>68.147701747657919</v>
      </c>
      <c r="AA503" s="184"/>
      <c r="AB503" s="182">
        <f>LíneaBase!L191</f>
        <v>0.40137550055606397</v>
      </c>
      <c r="AC503" s="184"/>
      <c r="AD503" s="182">
        <f>Escenario1!BN193</f>
        <v>0.49368444762506208</v>
      </c>
      <c r="AE503" s="184"/>
      <c r="AF503" s="182">
        <f>Escenario2!BN212</f>
        <v>0.4445802312372989</v>
      </c>
      <c r="AG503" s="184"/>
      <c r="AH503" s="182">
        <f>LíneaBase!N476</f>
        <v>0</v>
      </c>
      <c r="AI503" s="184"/>
      <c r="AJ503" s="182">
        <f>Escenario1!BP476</f>
        <v>0</v>
      </c>
      <c r="AK503" s="184"/>
      <c r="AL503" s="182">
        <f>Escenario2!BP476</f>
        <v>0</v>
      </c>
      <c r="AM503" s="151"/>
      <c r="BA503" s="152"/>
      <c r="BB503" s="75">
        <v>498</v>
      </c>
      <c r="BC503" s="190">
        <f>ABS(LíneaBase!L504-LíneaBase!L503)</f>
        <v>6.8639864989905597E-3</v>
      </c>
      <c r="BD503" s="190">
        <f>ABS(Escenario1!BN504-Escenario1!BN503)</f>
        <v>8.629195559470948E-3</v>
      </c>
      <c r="BE503" s="190">
        <f>ABS(Escenario2!BN504-Escenario2!BN503)</f>
        <v>9.3280066374854531E-3</v>
      </c>
      <c r="BF503" s="151"/>
    </row>
    <row r="504" spans="25:58">
      <c r="Y504" s="152"/>
      <c r="Z504" s="183">
        <f>(LíneaBase!C505-0.44)/(MAX(LíneaBase!C:C)+0.12)*100</f>
        <v>68.284665534432705</v>
      </c>
      <c r="AA504" s="184"/>
      <c r="AB504" s="182">
        <f>LíneaBase!L559</f>
        <v>0.39980183094317767</v>
      </c>
      <c r="AC504" s="184"/>
      <c r="AD504" s="182">
        <f>Escenario1!BN564</f>
        <v>0.49296472771120758</v>
      </c>
      <c r="AE504" s="184"/>
      <c r="AF504" s="182">
        <f>Escenario2!BN571</f>
        <v>0.44237703929943051</v>
      </c>
      <c r="AG504" s="184"/>
      <c r="AH504" s="182">
        <f>LíneaBase!N477</f>
        <v>0</v>
      </c>
      <c r="AI504" s="184"/>
      <c r="AJ504" s="182">
        <f>Escenario1!BP477</f>
        <v>0</v>
      </c>
      <c r="AK504" s="184"/>
      <c r="AL504" s="182">
        <f>Escenario2!BP477</f>
        <v>0</v>
      </c>
      <c r="AM504" s="151"/>
      <c r="BA504" s="152"/>
      <c r="BB504" s="75">
        <v>499</v>
      </c>
      <c r="BC504" s="190">
        <f>ABS(LíneaBase!L505-LíneaBase!L504)</f>
        <v>6.7920742547394886E-3</v>
      </c>
      <c r="BD504" s="190">
        <f>ABS(Escenario1!BN505-Escenario1!BN504)</f>
        <v>8.5467971837495105E-3</v>
      </c>
      <c r="BE504" s="190">
        <f>ABS(Escenario2!BN505-Escenario2!BN504)</f>
        <v>9.2229024455164899E-3</v>
      </c>
      <c r="BF504" s="151"/>
    </row>
    <row r="505" spans="25:58">
      <c r="Y505" s="152"/>
      <c r="Z505" s="183">
        <f>(LíneaBase!C506-0.44)/(MAX(LíneaBase!C:C)+0.12)*100</f>
        <v>68.421629321207476</v>
      </c>
      <c r="AA505" s="184"/>
      <c r="AB505" s="182">
        <f>LíneaBase!L192</f>
        <v>0.39742065214888905</v>
      </c>
      <c r="AC505" s="184"/>
      <c r="AD505" s="182">
        <f>Escenario1!BN726</f>
        <v>0.49114574495500291</v>
      </c>
      <c r="AE505" s="184"/>
      <c r="AF505" s="182">
        <f>Escenario2!BN569</f>
        <v>0.44168766610295151</v>
      </c>
      <c r="AG505" s="184"/>
      <c r="AH505" s="182">
        <f>LíneaBase!N478</f>
        <v>0</v>
      </c>
      <c r="AI505" s="184"/>
      <c r="AJ505" s="182">
        <f>Escenario1!BP478</f>
        <v>0</v>
      </c>
      <c r="AK505" s="184"/>
      <c r="AL505" s="182">
        <f>Escenario2!BP478</f>
        <v>0</v>
      </c>
      <c r="AM505" s="151"/>
      <c r="BA505" s="152"/>
      <c r="BB505" s="75">
        <v>500</v>
      </c>
      <c r="BC505" s="190">
        <f>ABS(LíneaBase!L506-LíneaBase!L505)</f>
        <v>6.72444016329099E-3</v>
      </c>
      <c r="BD505" s="190">
        <f>ABS(Escenario1!BN506-Escenario1!BN505)</f>
        <v>8.4651867719622853E-3</v>
      </c>
      <c r="BE505" s="190">
        <f>ABS(Escenario2!BN506-Escenario2!BN505)</f>
        <v>9.1221191738937168E-3</v>
      </c>
      <c r="BF505" s="151"/>
    </row>
    <row r="506" spans="25:58">
      <c r="Y506" s="152"/>
      <c r="Z506" s="183">
        <f>(LíneaBase!C507-0.44)/(MAX(LíneaBase!C:C)+0.12)*100</f>
        <v>68.558593107982247</v>
      </c>
      <c r="AA506" s="184"/>
      <c r="AB506" s="182">
        <f>LíneaBase!L560</f>
        <v>0.39586248827751741</v>
      </c>
      <c r="AC506" s="184"/>
      <c r="AD506" s="182">
        <f>Escenario1!BN315</f>
        <v>0.48964566999376824</v>
      </c>
      <c r="AE506" s="184"/>
      <c r="AF506" s="182">
        <f>Escenario2!BN200</f>
        <v>0.43997777742342714</v>
      </c>
      <c r="AG506" s="184"/>
      <c r="AH506" s="182">
        <f>LíneaBase!N479</f>
        <v>0</v>
      </c>
      <c r="AI506" s="184"/>
      <c r="AJ506" s="182">
        <f>Escenario1!BP479</f>
        <v>0</v>
      </c>
      <c r="AK506" s="184"/>
      <c r="AL506" s="182">
        <f>Escenario2!BP479</f>
        <v>0</v>
      </c>
      <c r="AM506" s="151"/>
      <c r="BA506" s="152"/>
      <c r="BB506" s="75">
        <v>501</v>
      </c>
      <c r="BC506" s="190">
        <f>ABS(LíneaBase!L507-LíneaBase!L506)</f>
        <v>6.6580648103745643E-3</v>
      </c>
      <c r="BD506" s="190">
        <f>ABS(Escenario1!BN507-Escenario1!BN506)</f>
        <v>8.3843692818694748E-3</v>
      </c>
      <c r="BE506" s="190">
        <f>ABS(Escenario2!BN507-Escenario2!BN506)</f>
        <v>9.0229920757817217E-3</v>
      </c>
      <c r="BF506" s="151"/>
    </row>
    <row r="507" spans="25:58">
      <c r="Y507" s="152"/>
      <c r="Z507" s="183">
        <f>(LíneaBase!C508-0.44)/(MAX(LíneaBase!C:C)+0.12)*100</f>
        <v>68.695556894757033</v>
      </c>
      <c r="AA507" s="184"/>
      <c r="AB507" s="182">
        <f>LíneaBase!L656</f>
        <v>0.39440063520183488</v>
      </c>
      <c r="AC507" s="184"/>
      <c r="AD507" s="182">
        <f>Escenario1!BN194</f>
        <v>0.48888801913094754</v>
      </c>
      <c r="AE507" s="184"/>
      <c r="AF507" s="182">
        <f>Escenario2!BN570</f>
        <v>0.43831149634086725</v>
      </c>
      <c r="AG507" s="184"/>
      <c r="AH507" s="182">
        <f>LíneaBase!N480</f>
        <v>0</v>
      </c>
      <c r="AI507" s="184"/>
      <c r="AJ507" s="182">
        <f>Escenario1!BP480</f>
        <v>0</v>
      </c>
      <c r="AK507" s="184"/>
      <c r="AL507" s="182">
        <f>Escenario2!BP480</f>
        <v>0</v>
      </c>
      <c r="AM507" s="151"/>
      <c r="BA507" s="152"/>
      <c r="BB507" s="75">
        <v>502</v>
      </c>
      <c r="BC507" s="190">
        <f>ABS(LíneaBase!L508-LíneaBase!L507)</f>
        <v>6.5924417576435079E-3</v>
      </c>
      <c r="BD507" s="190">
        <f>ABS(Escenario1!BN508-Escenario1!BN507)</f>
        <v>8.304307669533384E-3</v>
      </c>
      <c r="BE507" s="190">
        <f>ABS(Escenario2!BN508-Escenario2!BN507)</f>
        <v>8.9250679155856716E-3</v>
      </c>
      <c r="BF507" s="151"/>
    </row>
    <row r="508" spans="25:58">
      <c r="Y508" s="152"/>
      <c r="Z508" s="183">
        <f>(LíneaBase!C509-0.44)/(MAX(LíneaBase!C:C)+0.12)*100</f>
        <v>68.832520681531804</v>
      </c>
      <c r="AA508" s="184"/>
      <c r="AB508" s="182">
        <f>LíneaBase!L562</f>
        <v>0.39391568559637774</v>
      </c>
      <c r="AC508" s="184"/>
      <c r="AD508" s="182">
        <f>Escenario1!BN325</f>
        <v>0.48853795765038005</v>
      </c>
      <c r="AE508" s="184"/>
      <c r="AF508" s="182">
        <f>Escenario2!BN201</f>
        <v>0.43542024697988996</v>
      </c>
      <c r="AG508" s="184"/>
      <c r="AH508" s="182">
        <f>LíneaBase!N481</f>
        <v>0</v>
      </c>
      <c r="AI508" s="184"/>
      <c r="AJ508" s="182">
        <f>Escenario1!BP481</f>
        <v>0</v>
      </c>
      <c r="AK508" s="184"/>
      <c r="AL508" s="182">
        <f>Escenario2!BP481</f>
        <v>0</v>
      </c>
      <c r="AM508" s="151"/>
      <c r="BA508" s="152"/>
      <c r="BB508" s="75">
        <v>503</v>
      </c>
      <c r="BC508" s="190">
        <f>ABS(LíneaBase!L509-LíneaBase!L508)</f>
        <v>6.5274816140347136E-3</v>
      </c>
      <c r="BD508" s="190">
        <f>ABS(Escenario1!BN509-Escenario1!BN508)</f>
        <v>8.2250221407322854E-3</v>
      </c>
      <c r="BE508" s="190">
        <f>ABS(Escenario2!BN509-Escenario2!BN508)</f>
        <v>8.8282605642817646E-3</v>
      </c>
      <c r="BF508" s="151"/>
    </row>
    <row r="509" spans="25:58">
      <c r="Y509" s="152"/>
      <c r="Z509" s="183">
        <f>(LíneaBase!C510-0.44)/(MAX(LíneaBase!C:C)+0.12)*100</f>
        <v>68.969484468306575</v>
      </c>
      <c r="AA509" s="184"/>
      <c r="AB509" s="182">
        <f>LíneaBase!L193</f>
        <v>0.39350477180504145</v>
      </c>
      <c r="AC509" s="184"/>
      <c r="AD509" s="182">
        <f>Escenario1!BN565</f>
        <v>0.48817309472317533</v>
      </c>
      <c r="AE509" s="184"/>
      <c r="AF509" s="182">
        <f>Escenario2!BN707</f>
        <v>0.43398382452097944</v>
      </c>
      <c r="AG509" s="184"/>
      <c r="AH509" s="182">
        <f>LíneaBase!N482</f>
        <v>0</v>
      </c>
      <c r="AI509" s="184"/>
      <c r="AJ509" s="182">
        <f>Escenario1!BP482</f>
        <v>0</v>
      </c>
      <c r="AK509" s="184"/>
      <c r="AL509" s="182">
        <f>Escenario2!BP482</f>
        <v>0</v>
      </c>
      <c r="AM509" s="151"/>
      <c r="BA509" s="152"/>
      <c r="BB509" s="75">
        <v>504</v>
      </c>
      <c r="BC509" s="190">
        <f>ABS(LíneaBase!L510-LíneaBase!L509)</f>
        <v>6.4631642445408533E-3</v>
      </c>
      <c r="BD509" s="190">
        <f>ABS(Escenario1!BN510-Escenario1!BN509)</f>
        <v>8.1465000173228663E-3</v>
      </c>
      <c r="BE509" s="190">
        <f>ABS(Escenario2!BN510-Escenario2!BN509)</f>
        <v>8.7325449439129565E-3</v>
      </c>
      <c r="BF509" s="151"/>
    </row>
    <row r="510" spans="25:58">
      <c r="Y510" s="152"/>
      <c r="Z510" s="183">
        <f>(LíneaBase!C511-0.44)/(MAX(LíneaBase!C:C)+0.12)*100</f>
        <v>69.106448255081361</v>
      </c>
      <c r="AA510" s="184"/>
      <c r="AB510" s="182">
        <f>LíneaBase!L578</f>
        <v>0.39164140172488537</v>
      </c>
      <c r="AC510" s="184"/>
      <c r="AD510" s="182">
        <f>Escenario1!BN578</f>
        <v>0.48562267725340424</v>
      </c>
      <c r="AE510" s="184"/>
      <c r="AF510" s="182">
        <f>Escenario2!BN202</f>
        <v>0.43092320110081817</v>
      </c>
      <c r="AG510" s="184"/>
      <c r="AH510" s="182">
        <f>LíneaBase!N483</f>
        <v>0</v>
      </c>
      <c r="AI510" s="184"/>
      <c r="AJ510" s="182">
        <f>Escenario1!BP483</f>
        <v>0</v>
      </c>
      <c r="AK510" s="184"/>
      <c r="AL510" s="182">
        <f>Escenario2!BP483</f>
        <v>0</v>
      </c>
      <c r="AM510" s="151"/>
      <c r="BA510" s="152"/>
      <c r="BB510" s="75">
        <v>505</v>
      </c>
      <c r="BC510" s="190">
        <f>ABS(LíneaBase!L511-LíneaBase!L510)</f>
        <v>6.3994810584894202E-3</v>
      </c>
      <c r="BD510" s="190">
        <f>ABS(Escenario1!BN511-Escenario1!BN510)</f>
        <v>8.0687122242885101E-3</v>
      </c>
      <c r="BE510" s="190">
        <f>ABS(Escenario2!BN511-Escenario2!BN510)</f>
        <v>8.6379062401162887E-3</v>
      </c>
      <c r="BF510" s="151"/>
    </row>
    <row r="511" spans="25:58">
      <c r="Y511" s="152"/>
      <c r="Z511" s="183">
        <f>(LíneaBase!C512-0.44)/(MAX(LíneaBase!C:C)+0.12)*100</f>
        <v>69.243412041856132</v>
      </c>
      <c r="AA511" s="184"/>
      <c r="AB511" s="182">
        <f>LíneaBase!L291</f>
        <v>0.39050690964565848</v>
      </c>
      <c r="AC511" s="184"/>
      <c r="AD511" s="182">
        <f>Escenario1!BN361</f>
        <v>0.48559245658086514</v>
      </c>
      <c r="AE511" s="184"/>
      <c r="AF511" s="182">
        <f>Escenario2!BN677</f>
        <v>0.42984097023123524</v>
      </c>
      <c r="AG511" s="184"/>
      <c r="AH511" s="182">
        <f>LíneaBase!N484</f>
        <v>0</v>
      </c>
      <c r="AI511" s="184"/>
      <c r="AJ511" s="182">
        <f>Escenario1!BP484</f>
        <v>0</v>
      </c>
      <c r="AK511" s="184"/>
      <c r="AL511" s="182">
        <f>Escenario2!BP484</f>
        <v>0</v>
      </c>
      <c r="AM511" s="151"/>
      <c r="BA511" s="152"/>
      <c r="BB511" s="75">
        <v>506</v>
      </c>
      <c r="BC511" s="190">
        <f>ABS(LíneaBase!L512-LíneaBase!L511)</f>
        <v>6.3364254325569691E-3</v>
      </c>
      <c r="BD511" s="190">
        <f>ABS(Escenario1!BN512-Escenario1!BN511)</f>
        <v>7.9916899836198763E-3</v>
      </c>
      <c r="BE511" s="190">
        <f>ABS(Escenario2!BN512-Escenario2!BN511)</f>
        <v>8.5443314729202191E-3</v>
      </c>
      <c r="BF511" s="151"/>
    </row>
    <row r="512" spans="25:58">
      <c r="Y512" s="152"/>
      <c r="Z512" s="183">
        <f>(LíneaBase!C513-0.44)/(MAX(LíneaBase!C:C)+0.12)*100</f>
        <v>69.380375828630918</v>
      </c>
      <c r="AA512" s="184"/>
      <c r="AB512" s="182">
        <f>LíneaBase!L194</f>
        <v>0.38962747556291188</v>
      </c>
      <c r="AC512" s="184"/>
      <c r="AD512" s="182">
        <f>Escenario1!BN195</f>
        <v>0.48413718126062144</v>
      </c>
      <c r="AE512" s="184"/>
      <c r="AF512" s="182">
        <f>Escenario2!BN342</f>
        <v>0.42968418796154595</v>
      </c>
      <c r="AG512" s="184"/>
      <c r="AH512" s="182">
        <f>LíneaBase!N485</f>
        <v>0</v>
      </c>
      <c r="AI512" s="184"/>
      <c r="AJ512" s="182">
        <f>Escenario1!BP485</f>
        <v>0</v>
      </c>
      <c r="AK512" s="184"/>
      <c r="AL512" s="182">
        <f>Escenario2!BP485</f>
        <v>0</v>
      </c>
      <c r="AM512" s="151"/>
      <c r="BA512" s="152"/>
      <c r="BB512" s="75">
        <v>507</v>
      </c>
      <c r="BC512" s="190">
        <f>ABS(LíneaBase!L513-LíneaBase!L512)</f>
        <v>6.2739911210908383E-3</v>
      </c>
      <c r="BD512" s="190">
        <f>ABS(Escenario1!BN513-Escenario1!BN512)</f>
        <v>7.9154088636389508E-3</v>
      </c>
      <c r="BE512" s="190">
        <f>ABS(Escenario2!BN513-Escenario2!BN512)</f>
        <v>8.4518080963346121E-3</v>
      </c>
      <c r="BF512" s="151"/>
    </row>
    <row r="513" spans="25:58">
      <c r="Y513" s="152"/>
      <c r="Z513" s="183">
        <f>(LíneaBase!C514-0.44)/(MAX(LíneaBase!C:C)+0.12)*100</f>
        <v>69.517339615405689</v>
      </c>
      <c r="AA513" s="184"/>
      <c r="AB513" s="182">
        <f>LíneaBase!L195</f>
        <v>0.38578838324415599</v>
      </c>
      <c r="AC513" s="184"/>
      <c r="AD513" s="182">
        <f>Escenario1!BN566</f>
        <v>0.48342703098320239</v>
      </c>
      <c r="AE513" s="184"/>
      <c r="AF513" s="182">
        <f>Escenario2!BN203</f>
        <v>0.42647564693563322</v>
      </c>
      <c r="AG513" s="184"/>
      <c r="AH513" s="182">
        <f>LíneaBase!N486</f>
        <v>0</v>
      </c>
      <c r="AI513" s="184"/>
      <c r="AJ513" s="182">
        <f>Escenario1!BP486</f>
        <v>0</v>
      </c>
      <c r="AK513" s="184"/>
      <c r="AL513" s="182">
        <f>Escenario2!BP486</f>
        <v>0</v>
      </c>
      <c r="AM513" s="151"/>
      <c r="BA513" s="152"/>
      <c r="BB513" s="75">
        <v>508</v>
      </c>
      <c r="BC513" s="190">
        <f>ABS(LíneaBase!L514-LíneaBase!L513)</f>
        <v>6.2121719918181162E-3</v>
      </c>
      <c r="BD513" s="190">
        <f>ABS(Escenario1!BN514-Escenario1!BN513)</f>
        <v>7.8398422891123865E-3</v>
      </c>
      <c r="BE513" s="190">
        <f>ABS(Escenario2!BN514-Escenario2!BN513)</f>
        <v>8.360323764302513E-3</v>
      </c>
      <c r="BF513" s="151"/>
    </row>
    <row r="514" spans="25:58">
      <c r="Y514" s="152"/>
      <c r="Z514" s="183">
        <f>(LíneaBase!C515-0.44)/(MAX(LíneaBase!C:C)+0.12)*100</f>
        <v>69.65430340218046</v>
      </c>
      <c r="AA514" s="184"/>
      <c r="AB514" s="182">
        <f>LíneaBase!L563</f>
        <v>0.38524088161146786</v>
      </c>
      <c r="AC514" s="184"/>
      <c r="AD514" s="182">
        <f>Escenario1!BN197</f>
        <v>0.47950015654048284</v>
      </c>
      <c r="AE514" s="184"/>
      <c r="AF514" s="182">
        <f>Escenario2!BN312</f>
        <v>0.42390501743909081</v>
      </c>
      <c r="AG514" s="184"/>
      <c r="AH514" s="182">
        <f>LíneaBase!N488</f>
        <v>0</v>
      </c>
      <c r="AI514" s="184"/>
      <c r="AJ514" s="182">
        <f>Escenario1!BP488</f>
        <v>0</v>
      </c>
      <c r="AK514" s="184"/>
      <c r="AL514" s="182">
        <f>Escenario2!BP488</f>
        <v>0</v>
      </c>
      <c r="AM514" s="151"/>
      <c r="BA514" s="152"/>
      <c r="BB514" s="75">
        <v>509</v>
      </c>
      <c r="BC514" s="190">
        <f>ABS(LíneaBase!L515-LíneaBase!L514)</f>
        <v>6.1509619814911209E-3</v>
      </c>
      <c r="BD514" s="190">
        <f>ABS(Escenario1!BN515-Escenario1!BN514)</f>
        <v>7.7649846375986709E-3</v>
      </c>
      <c r="BE514" s="190">
        <f>ABS(Escenario2!BN515-Escenario2!BN514)</f>
        <v>8.2698662902085385E-3</v>
      </c>
      <c r="BF514" s="151"/>
    </row>
    <row r="515" spans="25:58">
      <c r="Y515" s="152"/>
      <c r="Z515" s="183">
        <f>(LíneaBase!C516-0.44)/(MAX(LíneaBase!C:C)+0.12)*100</f>
        <v>69.791267188955246</v>
      </c>
      <c r="AA515" s="184"/>
      <c r="AB515" s="182">
        <f>LíneaBase!L197</f>
        <v>0.38403912761812309</v>
      </c>
      <c r="AC515" s="184"/>
      <c r="AD515" s="182">
        <f>Escenario1!BN567</f>
        <v>0.47872611325201803</v>
      </c>
      <c r="AE515" s="184"/>
      <c r="AF515" s="182">
        <f>Escenario2!BN206</f>
        <v>0.42320477028553133</v>
      </c>
      <c r="AG515" s="184"/>
      <c r="AH515" s="182">
        <f>LíneaBase!N489</f>
        <v>0</v>
      </c>
      <c r="AI515" s="184"/>
      <c r="AJ515" s="182">
        <f>Escenario1!BP489</f>
        <v>0</v>
      </c>
      <c r="AK515" s="184"/>
      <c r="AL515" s="182">
        <f>Escenario2!BP489</f>
        <v>0</v>
      </c>
      <c r="AM515" s="151"/>
      <c r="BA515" s="152"/>
      <c r="BB515" s="75">
        <v>510</v>
      </c>
      <c r="BC515" s="190">
        <f>ABS(LíneaBase!L516-LíneaBase!L515)</f>
        <v>6.0903550880312407E-3</v>
      </c>
      <c r="BD515" s="190">
        <f>ABS(Escenario1!BN516-Escenario1!BN515)</f>
        <v>7.6908384825389309E-3</v>
      </c>
      <c r="BE515" s="190">
        <f>ABS(Escenario2!BN516-Escenario2!BN515)</f>
        <v>8.1804236385349949E-3</v>
      </c>
      <c r="BF515" s="151"/>
    </row>
    <row r="516" spans="25:58">
      <c r="Y516" s="152"/>
      <c r="Z516" s="183">
        <f>(LíneaBase!C517-0.44)/(MAX(LíneaBase!C:C)+0.12)*100</f>
        <v>69.928230975730017</v>
      </c>
      <c r="AA516" s="184"/>
      <c r="AB516" s="182">
        <f>LíneaBase!L213</f>
        <v>0.38321196099461508</v>
      </c>
      <c r="AC516" s="184"/>
      <c r="AD516" s="182">
        <f>Escenario1!BN568</f>
        <v>0.47406989872848126</v>
      </c>
      <c r="AE516" s="184"/>
      <c r="AF516" s="182">
        <f>Escenario2!BN204</f>
        <v>0.42207533192564356</v>
      </c>
      <c r="AG516" s="184"/>
      <c r="AH516" s="182">
        <f>LíneaBase!N490</f>
        <v>0</v>
      </c>
      <c r="AI516" s="184"/>
      <c r="AJ516" s="182">
        <f>Escenario1!BP490</f>
        <v>0</v>
      </c>
      <c r="AK516" s="184"/>
      <c r="AL516" s="182">
        <f>Escenario2!BP490</f>
        <v>0</v>
      </c>
      <c r="AM516" s="151"/>
      <c r="BA516" s="152"/>
      <c r="BB516" s="75">
        <v>511</v>
      </c>
      <c r="BC516" s="190">
        <f>ABS(LíneaBase!L517-LíneaBase!L516)</f>
        <v>6.0303453687373665E-3</v>
      </c>
      <c r="BD516" s="190">
        <f>ABS(Escenario1!BN517-Escenario1!BN516)</f>
        <v>7.6173934087969686E-3</v>
      </c>
      <c r="BE516" s="190">
        <f>ABS(Escenario2!BN517-Escenario2!BN516)</f>
        <v>8.0919839218679401E-3</v>
      </c>
      <c r="BF516" s="151"/>
    </row>
    <row r="517" spans="25:58">
      <c r="Y517" s="152"/>
      <c r="Z517" s="183">
        <f>(LíneaBase!C518-0.44)/(MAX(LíneaBase!C:C)+0.12)*100</f>
        <v>70.065194762504788</v>
      </c>
      <c r="AA517" s="184"/>
      <c r="AB517" s="182">
        <f>LíneaBase!L564</f>
        <v>0.3806496024731239</v>
      </c>
      <c r="AC517" s="184"/>
      <c r="AD517" s="182">
        <f>Escenario1!BN571</f>
        <v>0.47077915501498468</v>
      </c>
      <c r="AE517" s="184"/>
      <c r="AF517" s="182">
        <f>Escenario2!BN205</f>
        <v>0.41892049989411662</v>
      </c>
      <c r="AG517" s="184"/>
      <c r="AH517" s="182">
        <f>LíneaBase!N491</f>
        <v>0</v>
      </c>
      <c r="AI517" s="184"/>
      <c r="AJ517" s="182">
        <f>Escenario1!BP491</f>
        <v>0</v>
      </c>
      <c r="AK517" s="184"/>
      <c r="AL517" s="182">
        <f>Escenario2!BP491</f>
        <v>0</v>
      </c>
      <c r="AM517" s="151"/>
      <c r="BA517" s="152"/>
      <c r="BB517" s="75">
        <v>512</v>
      </c>
      <c r="BC517" s="190">
        <f>ABS(LíneaBase!L518-LíneaBase!L517)</f>
        <v>5.9709269395026299E-3</v>
      </c>
      <c r="BD517" s="190">
        <f>ABS(Escenario1!BN518-Escenario1!BN517)</f>
        <v>7.5446647168913028E-3</v>
      </c>
      <c r="BE517" s="190">
        <f>ABS(Escenario2!BN518-Escenario2!BN517)</f>
        <v>8.0045353988189571E-3</v>
      </c>
      <c r="BF517" s="151"/>
    </row>
    <row r="518" spans="25:58">
      <c r="Y518" s="152"/>
      <c r="Z518" s="183">
        <f>(LíneaBase!C519-0.44)/(MAX(LíneaBase!C:C)+0.12)*100</f>
        <v>70.202158549279559</v>
      </c>
      <c r="AA518" s="184"/>
      <c r="AB518" s="182">
        <f>LíneaBase!L709</f>
        <v>0.37817285348431384</v>
      </c>
      <c r="AC518" s="184"/>
      <c r="AD518" s="182">
        <f>Escenario1!BN198</f>
        <v>0.47062960817842842</v>
      </c>
      <c r="AE518" s="184"/>
      <c r="AF518" s="182">
        <f>Escenario2!BN726</f>
        <v>0.41397504856170719</v>
      </c>
      <c r="AG518" s="184"/>
      <c r="AH518" s="182">
        <f>LíneaBase!N492</f>
        <v>0</v>
      </c>
      <c r="AI518" s="184"/>
      <c r="AJ518" s="182">
        <f>Escenario1!BP492</f>
        <v>0</v>
      </c>
      <c r="AK518" s="184"/>
      <c r="AL518" s="182">
        <f>Escenario2!BP492</f>
        <v>0</v>
      </c>
      <c r="AM518" s="151"/>
      <c r="BA518" s="152"/>
      <c r="BB518" s="75">
        <v>513</v>
      </c>
      <c r="BC518" s="190">
        <f>ABS(LíneaBase!L519-LíneaBase!L518)</f>
        <v>5.9120939742036693E-3</v>
      </c>
      <c r="BD518" s="190">
        <f>ABS(Escenario1!BN519-Escenario1!BN518)</f>
        <v>7.4726356812526706E-3</v>
      </c>
      <c r="BE518" s="190">
        <f>ABS(Escenario2!BN519-Escenario2!BN518)</f>
        <v>7.9180664721136829E-3</v>
      </c>
      <c r="BF518" s="151"/>
    </row>
    <row r="519" spans="25:58">
      <c r="Y519" s="152"/>
      <c r="Z519" s="183">
        <f>(LíneaBase!C520-0.44)/(MAX(LíneaBase!C:C)+0.12)*100</f>
        <v>70.339122336054345</v>
      </c>
      <c r="AA519" s="184"/>
      <c r="AB519" s="182">
        <f>LíneaBase!L565</f>
        <v>0.37676698403104603</v>
      </c>
      <c r="AC519" s="184"/>
      <c r="AD519" s="182">
        <f>Escenario1!BN569</f>
        <v>0.46945797125639954</v>
      </c>
      <c r="AE519" s="184"/>
      <c r="AF519" s="182">
        <f>Escenario2!BN578</f>
        <v>0.41151826066694841</v>
      </c>
      <c r="AG519" s="184"/>
      <c r="AH519" s="182">
        <f>LíneaBase!N493</f>
        <v>0</v>
      </c>
      <c r="AI519" s="184"/>
      <c r="AJ519" s="182">
        <f>Escenario1!BP493</f>
        <v>0</v>
      </c>
      <c r="AK519" s="184"/>
      <c r="AL519" s="182">
        <f>Escenario2!BP493</f>
        <v>0</v>
      </c>
      <c r="AM519" s="151"/>
      <c r="BA519" s="152"/>
      <c r="BB519" s="75">
        <v>514</v>
      </c>
      <c r="BC519" s="190">
        <f>ABS(LíneaBase!L520-LíneaBase!L519)</f>
        <v>5.8538407041247575E-3</v>
      </c>
      <c r="BD519" s="190">
        <f>ABS(Escenario1!BN520-Escenario1!BN519)</f>
        <v>7.4012837417156696E-3</v>
      </c>
      <c r="BE519" s="190">
        <f>ABS(Escenario2!BN520-Escenario2!BN519)</f>
        <v>7.832565686733961E-3</v>
      </c>
      <c r="BF519" s="151"/>
    </row>
    <row r="520" spans="25:58">
      <c r="Y520" s="152"/>
      <c r="Z520" s="183">
        <f>(LíneaBase!C521-0.44)/(MAX(LíneaBase!C:C)+0.12)*100</f>
        <v>70.476086122829116</v>
      </c>
      <c r="AA520" s="184"/>
      <c r="AB520" s="182">
        <f>LíneaBase!L344</f>
        <v>0.37586906487517968</v>
      </c>
      <c r="AC520" s="184"/>
      <c r="AD520" s="182">
        <f>Escenario1!BN570</f>
        <v>0.46570233052053683</v>
      </c>
      <c r="AE520" s="184"/>
      <c r="AF520" s="182">
        <f>Escenario2!BN361</f>
        <v>0.41046355972942539</v>
      </c>
      <c r="AG520" s="184"/>
      <c r="AH520" s="182">
        <f>LíneaBase!N494</f>
        <v>0</v>
      </c>
      <c r="AI520" s="184"/>
      <c r="AJ520" s="182">
        <f>Escenario1!BP494</f>
        <v>0</v>
      </c>
      <c r="AK520" s="184"/>
      <c r="AL520" s="182">
        <f>Escenario2!BP494</f>
        <v>0</v>
      </c>
      <c r="AM520" s="151"/>
      <c r="BA520" s="152"/>
      <c r="BB520" s="75">
        <v>515</v>
      </c>
      <c r="BC520" s="190">
        <f>ABS(LíneaBase!L521-LíneaBase!L520)</f>
        <v>5.7961614173906995E-3</v>
      </c>
      <c r="BD520" s="190">
        <f>ABS(Escenario1!BN521-Escenario1!BN520)</f>
        <v>7.33061255689893E-3</v>
      </c>
      <c r="BE520" s="190">
        <f>ABS(Escenario2!BN521-Escenario2!BN520)</f>
        <v>7.7480217280876396E-3</v>
      </c>
      <c r="BF520" s="151"/>
    </row>
    <row r="521" spans="25:58">
      <c r="Y521" s="152"/>
      <c r="Z521" s="183">
        <f>(LíneaBase!C522-0.44)/(MAX(LíneaBase!C:C)+0.12)*100</f>
        <v>70.613049909603902</v>
      </c>
      <c r="AA521" s="184"/>
      <c r="AB521" s="182">
        <f>LíneaBase!L198</f>
        <v>0.37546163971138585</v>
      </c>
      <c r="AC521" s="184"/>
      <c r="AD521" s="182">
        <f>Escenario1!BN199</f>
        <v>0.46559018520670142</v>
      </c>
      <c r="AE521" s="184"/>
      <c r="AF521" s="182">
        <f>Escenario2!BN579</f>
        <v>0.39959953975979451</v>
      </c>
      <c r="AG521" s="184"/>
      <c r="AH521" s="182">
        <f>LíneaBase!N495</f>
        <v>0</v>
      </c>
      <c r="AI521" s="184"/>
      <c r="AJ521" s="182">
        <f>Escenario1!BP495</f>
        <v>0</v>
      </c>
      <c r="AK521" s="184"/>
      <c r="AL521" s="182">
        <f>Escenario2!BP495</f>
        <v>0</v>
      </c>
      <c r="AM521" s="151"/>
      <c r="BA521" s="152"/>
      <c r="BB521" s="75">
        <v>516</v>
      </c>
      <c r="BC521" s="190">
        <f>ABS(LíneaBase!L522-LíneaBase!L521)</f>
        <v>5.7390504584070579E-3</v>
      </c>
      <c r="BD521" s="190">
        <f>ABS(Escenario1!BN522-Escenario1!BN521)</f>
        <v>7.2606065980032053E-3</v>
      </c>
      <c r="BE521" s="190">
        <f>ABS(Escenario2!BN522-Escenario2!BN521)</f>
        <v>7.6644234202032369E-3</v>
      </c>
      <c r="BF521" s="151"/>
    </row>
    <row r="522" spans="25:58">
      <c r="Y522" s="152"/>
      <c r="Z522" s="183">
        <f>(LíneaBase!C523-0.44)/(MAX(LíneaBase!C:C)+0.12)*100</f>
        <v>70.750013696378673</v>
      </c>
      <c r="AA522" s="184"/>
      <c r="AB522" s="182">
        <f>LíneaBase!L566</f>
        <v>0.37303270771954422</v>
      </c>
      <c r="AC522" s="184"/>
      <c r="AD522" s="182">
        <f>Escenario1!BN213</f>
        <v>0.46174065084197863</v>
      </c>
      <c r="AE522" s="184"/>
      <c r="AF522" s="182">
        <f>Escenario2!BN580</f>
        <v>0.39419822232156576</v>
      </c>
      <c r="AG522" s="184"/>
      <c r="AH522" s="182">
        <f>LíneaBase!N496</f>
        <v>0</v>
      </c>
      <c r="AI522" s="184"/>
      <c r="AJ522" s="182">
        <f>Escenario1!BP496</f>
        <v>0</v>
      </c>
      <c r="AK522" s="184"/>
      <c r="AL522" s="182">
        <f>Escenario2!BP496</f>
        <v>0</v>
      </c>
      <c r="AM522" s="151"/>
      <c r="BA522" s="152"/>
      <c r="BB522" s="75">
        <v>517</v>
      </c>
      <c r="BC522" s="190">
        <f>ABS(LíneaBase!L523-LíneaBase!L522)</f>
        <v>5.6825022273050418E-3</v>
      </c>
      <c r="BD522" s="190">
        <f>ABS(Escenario1!BN523-Escenario1!BN522)</f>
        <v>7.1912747904133711E-3</v>
      </c>
      <c r="BE522" s="190">
        <f>ABS(Escenario2!BN523-Escenario2!BN522)</f>
        <v>7.5817597239489221E-3</v>
      </c>
      <c r="BF522" s="151"/>
    </row>
    <row r="523" spans="25:58">
      <c r="Y523" s="152"/>
      <c r="Z523" s="183">
        <f>(LíneaBase!C524-0.44)/(MAX(LíneaBase!C:C)+0.12)*100</f>
        <v>70.886977483153444</v>
      </c>
      <c r="AA523" s="184"/>
      <c r="AB523" s="182">
        <f>LíneaBase!L199</f>
        <v>0.37096671777271728</v>
      </c>
      <c r="AC523" s="184"/>
      <c r="AD523" s="182">
        <f>Escenario1!BN200</f>
        <v>0.46106376578832875</v>
      </c>
      <c r="AE523" s="184"/>
      <c r="AF523" s="182">
        <f>Escenario2!BN213</f>
        <v>0.39380665514081792</v>
      </c>
      <c r="AG523" s="184"/>
      <c r="AH523" s="182">
        <f>LíneaBase!N497</f>
        <v>0</v>
      </c>
      <c r="AI523" s="184"/>
      <c r="AJ523" s="182">
        <f>Escenario1!BP497</f>
        <v>0</v>
      </c>
      <c r="AK523" s="184"/>
      <c r="AL523" s="182">
        <f>Escenario2!BP497</f>
        <v>0</v>
      </c>
      <c r="AM523" s="151"/>
      <c r="BA523" s="152"/>
      <c r="BB523" s="75">
        <v>518</v>
      </c>
      <c r="BC523" s="190">
        <f>ABS(LíneaBase!L524-LíneaBase!L523)</f>
        <v>1.1029047473079641</v>
      </c>
      <c r="BD523" s="190">
        <f>ABS(Escenario1!BN524-Escenario1!BN523)</f>
        <v>0.30252889521019011</v>
      </c>
      <c r="BE523" s="190">
        <f>ABS(Escenario2!BN524-Escenario2!BN523)</f>
        <v>0.29514469628134465</v>
      </c>
      <c r="BF523" s="151"/>
    </row>
    <row r="524" spans="25:58">
      <c r="Y524" s="152"/>
      <c r="Z524" s="183">
        <f>(LíneaBase!C525-0.44)/(MAX(LíneaBase!C:C)+0.12)*100</f>
        <v>71.02394126992823</v>
      </c>
      <c r="AA524" s="184"/>
      <c r="AB524" s="182">
        <f>LíneaBase!L567</f>
        <v>0.36935349334990153</v>
      </c>
      <c r="AC524" s="184"/>
      <c r="AD524" s="182">
        <f>Escenario1!BN709</f>
        <v>0.45939476245302979</v>
      </c>
      <c r="AE524" s="184"/>
      <c r="AF524" s="182">
        <f>Escenario2!BN581</f>
        <v>0.38991454333274655</v>
      </c>
      <c r="AG524" s="184"/>
      <c r="AH524" s="182">
        <f>LíneaBase!N498</f>
        <v>0</v>
      </c>
      <c r="AI524" s="184"/>
      <c r="AJ524" s="182">
        <f>Escenario1!BP498</f>
        <v>0</v>
      </c>
      <c r="AK524" s="184"/>
      <c r="AL524" s="182">
        <f>Escenario2!BP498</f>
        <v>0</v>
      </c>
      <c r="AM524" s="151"/>
      <c r="BA524" s="152"/>
      <c r="BB524" s="75">
        <v>519</v>
      </c>
      <c r="BC524" s="190">
        <f>ABS(LíneaBase!L525-LíneaBase!L524)</f>
        <v>0.79563529348810558</v>
      </c>
      <c r="BD524" s="190">
        <f>ABS(Escenario1!BN525-Escenario1!BN524)</f>
        <v>1.4468582705899014E-2</v>
      </c>
      <c r="BE524" s="190">
        <f>ABS(Escenario2!BN525-Escenario2!BN524)</f>
        <v>2.1593722084155775E-2</v>
      </c>
      <c r="BF524" s="151"/>
    </row>
    <row r="525" spans="25:58">
      <c r="Y525" s="152"/>
      <c r="Z525" s="183">
        <f>(LíneaBase!C526-0.44)/(MAX(LíneaBase!C:C)+0.12)*100</f>
        <v>71.160905056703001</v>
      </c>
      <c r="AA525" s="184"/>
      <c r="AB525" s="182">
        <f>LíneaBase!L571</f>
        <v>0.36743936581362519</v>
      </c>
      <c r="AC525" s="184"/>
      <c r="AD525" s="182">
        <f>Escenario1!BN201</f>
        <v>0.45658035462054664</v>
      </c>
      <c r="AE525" s="184"/>
      <c r="AF525" s="182">
        <f>Escenario2!BN589</f>
        <v>0.38988064335894201</v>
      </c>
      <c r="AG525" s="184"/>
      <c r="AH525" s="182">
        <f>LíneaBase!N499</f>
        <v>0</v>
      </c>
      <c r="AI525" s="184"/>
      <c r="AJ525" s="182">
        <f>Escenario1!BP499</f>
        <v>0</v>
      </c>
      <c r="AK525" s="184"/>
      <c r="AL525" s="182">
        <f>Escenario2!BP499</f>
        <v>0</v>
      </c>
      <c r="AM525" s="151"/>
      <c r="BA525" s="152"/>
      <c r="BB525" s="75">
        <v>520</v>
      </c>
      <c r="BC525" s="190">
        <f>ABS(LíneaBase!L526-LíneaBase!L525)</f>
        <v>6.1911201426754991E-2</v>
      </c>
      <c r="BD525" s="190">
        <f>ABS(Escenario1!BN526-Escenario1!BN525)</f>
        <v>5.7504059576022337E-2</v>
      </c>
      <c r="BE525" s="190">
        <f>ABS(Escenario2!BN526-Escenario2!BN525)</f>
        <v>6.5242267243662555E-2</v>
      </c>
      <c r="BF525" s="151"/>
    </row>
    <row r="526" spans="25:58">
      <c r="Y526" s="152"/>
      <c r="Z526" s="183">
        <f>(LíneaBase!C527-0.44)/(MAX(LíneaBase!C:C)+0.12)*100</f>
        <v>71.297868843477772</v>
      </c>
      <c r="AA526" s="184"/>
      <c r="AB526" s="182">
        <f>LíneaBase!L200</f>
        <v>0.3671795070998759</v>
      </c>
      <c r="AC526" s="184"/>
      <c r="AD526" s="182">
        <f>Escenario1!BN344</f>
        <v>0.45282357865161788</v>
      </c>
      <c r="AE526" s="184"/>
      <c r="AF526" s="182">
        <f>Escenario2!BN582</f>
        <v>0.38585209211047522</v>
      </c>
      <c r="AG526" s="184"/>
      <c r="AH526" s="182">
        <f>LíneaBase!N500</f>
        <v>0</v>
      </c>
      <c r="AI526" s="184"/>
      <c r="AJ526" s="182">
        <f>Escenario1!BP500</f>
        <v>0</v>
      </c>
      <c r="AK526" s="184"/>
      <c r="AL526" s="182">
        <f>Escenario2!BP500</f>
        <v>0</v>
      </c>
      <c r="AM526" s="151"/>
      <c r="BA526" s="152"/>
      <c r="BB526" s="75">
        <v>521</v>
      </c>
      <c r="BC526" s="190">
        <f>ABS(LíneaBase!L527-LíneaBase!L526)</f>
        <v>5.6857256867702488E-2</v>
      </c>
      <c r="BD526" s="190">
        <f>ABS(Escenario1!BN527-Escenario1!BN526)</f>
        <v>5.3008680784907058E-2</v>
      </c>
      <c r="BE526" s="190">
        <f>ABS(Escenario2!BN527-Escenario2!BN526)</f>
        <v>5.9968719322080366E-2</v>
      </c>
      <c r="BF526" s="151"/>
    </row>
    <row r="527" spans="25:58">
      <c r="Y527" s="152"/>
      <c r="Z527" s="183">
        <f>(LíneaBase!C528-0.44)/(MAX(LíneaBase!C:C)+0.12)*100</f>
        <v>71.434832630252558</v>
      </c>
      <c r="AA527" s="184"/>
      <c r="AB527" s="182">
        <f>LíneaBase!L568</f>
        <v>0.36571356235250524</v>
      </c>
      <c r="AC527" s="184"/>
      <c r="AD527" s="182">
        <f>Escenario1!BN202</f>
        <v>0.45213955345509732</v>
      </c>
      <c r="AE527" s="184"/>
      <c r="AF527" s="182">
        <f>Escenario2!BN214</f>
        <v>0.38208690704394954</v>
      </c>
      <c r="AG527" s="184"/>
      <c r="AH527" s="182">
        <f>LíneaBase!N501</f>
        <v>0</v>
      </c>
      <c r="AI527" s="184"/>
      <c r="AJ527" s="182">
        <f>Escenario1!BP501</f>
        <v>0</v>
      </c>
      <c r="AK527" s="184"/>
      <c r="AL527" s="182">
        <f>Escenario2!BP501</f>
        <v>0</v>
      </c>
      <c r="AM527" s="151"/>
      <c r="BA527" s="152"/>
      <c r="BB527" s="75">
        <v>522</v>
      </c>
      <c r="BC527" s="190">
        <f>ABS(LíneaBase!L528-LíneaBase!L527)</f>
        <v>5.6227842060634914E-2</v>
      </c>
      <c r="BD527" s="190">
        <f>ABS(Escenario1!BN528-Escenario1!BN527)</f>
        <v>5.2408413721948266E-2</v>
      </c>
      <c r="BE527" s="190">
        <f>ABS(Escenario2!BN528-Escenario2!BN527)</f>
        <v>5.9330684760510288E-2</v>
      </c>
      <c r="BF527" s="151"/>
    </row>
    <row r="528" spans="25:58">
      <c r="Y528" s="152"/>
      <c r="Z528" s="183">
        <f>(LíneaBase!C529-0.44)/(MAX(LíneaBase!C:C)+0.12)*100</f>
        <v>71.571796417027329</v>
      </c>
      <c r="AA528" s="184"/>
      <c r="AB528" s="182">
        <f>LíneaBase!L201</f>
        <v>0.36353969848213602</v>
      </c>
      <c r="AC528" s="184"/>
      <c r="AD528" s="182">
        <f>Escenario1!BN203</f>
        <v>0.4477409450673655</v>
      </c>
      <c r="AE528" s="184"/>
      <c r="AF528" s="182">
        <f>Escenario2!BN583</f>
        <v>0.3818617325036196</v>
      </c>
      <c r="AG528" s="184"/>
      <c r="AH528" s="182">
        <f>LíneaBase!N502</f>
        <v>0</v>
      </c>
      <c r="AI528" s="184"/>
      <c r="AJ528" s="182">
        <f>Escenario1!BP502</f>
        <v>0</v>
      </c>
      <c r="AK528" s="184"/>
      <c r="AL528" s="182">
        <f>Escenario2!BP502</f>
        <v>0</v>
      </c>
      <c r="AM528" s="151"/>
      <c r="BA528" s="152"/>
      <c r="BB528" s="75">
        <v>523</v>
      </c>
      <c r="BC528" s="190">
        <f>ABS(LíneaBase!L529-LíneaBase!L528)</f>
        <v>5.3270433556359409E-2</v>
      </c>
      <c r="BD528" s="190">
        <f>ABS(Escenario1!BN529-Escenario1!BN528)</f>
        <v>4.9759053567700162E-2</v>
      </c>
      <c r="BE528" s="190">
        <f>ABS(Escenario2!BN529-Escenario2!BN528)</f>
        <v>5.6248880645615174E-2</v>
      </c>
      <c r="BF528" s="151"/>
    </row>
    <row r="529" spans="25:58">
      <c r="Y529" s="152"/>
      <c r="Z529" s="183">
        <f>(LíneaBase!C530-0.44)/(MAX(LíneaBase!C:C)+0.12)*100</f>
        <v>71.7087602038021</v>
      </c>
      <c r="AA529" s="184"/>
      <c r="AB529" s="182">
        <f>LíneaBase!L569</f>
        <v>0.36210999944784994</v>
      </c>
      <c r="AC529" s="184"/>
      <c r="AD529" s="182">
        <f>Escenario1!BN206</f>
        <v>0.44520821385889353</v>
      </c>
      <c r="AE529" s="184"/>
      <c r="AF529" s="182">
        <f>Escenario2!BN584</f>
        <v>0.37791833274631792</v>
      </c>
      <c r="AG529" s="184"/>
      <c r="AH529" s="182">
        <f>LíneaBase!N503</f>
        <v>0</v>
      </c>
      <c r="AI529" s="184"/>
      <c r="AJ529" s="182">
        <f>Escenario1!BP503</f>
        <v>0</v>
      </c>
      <c r="AK529" s="184"/>
      <c r="AL529" s="182">
        <f>Escenario2!BP503</f>
        <v>0</v>
      </c>
      <c r="AM529" s="151"/>
      <c r="BA529" s="152"/>
      <c r="BB529" s="75">
        <v>524</v>
      </c>
      <c r="BC529" s="190">
        <f>ABS(LíneaBase!L530-LíneaBase!L529)</f>
        <v>5.1969868009796416E-2</v>
      </c>
      <c r="BD529" s="190">
        <f>ABS(Escenario1!BN530-Escenario1!BN529)</f>
        <v>4.8569842840281763E-2</v>
      </c>
      <c r="BE529" s="190">
        <f>ABS(Escenario2!BN530-Escenario2!BN529)</f>
        <v>5.4904225737009371E-2</v>
      </c>
      <c r="BF529" s="151"/>
    </row>
    <row r="530" spans="25:58">
      <c r="Y530" s="152"/>
      <c r="Z530" s="183">
        <f>(LíneaBase!C531-0.44)/(MAX(LíneaBase!C:C)+0.12)*100</f>
        <v>71.845723990576886</v>
      </c>
      <c r="AA530" s="184"/>
      <c r="AB530" s="182">
        <f>LíneaBase!L202</f>
        <v>0.35995402099356821</v>
      </c>
      <c r="AC530" s="184"/>
      <c r="AD530" s="182">
        <f>Escenario1!BN204</f>
        <v>0.4433841378472399</v>
      </c>
      <c r="AE530" s="184"/>
      <c r="AF530" s="182">
        <f>Escenario2!BN215</f>
        <v>0.37688222807133515</v>
      </c>
      <c r="AG530" s="184"/>
      <c r="AH530" s="182">
        <f>LíneaBase!N504</f>
        <v>0</v>
      </c>
      <c r="AI530" s="184"/>
      <c r="AJ530" s="182">
        <f>Escenario1!BP504</f>
        <v>0</v>
      </c>
      <c r="AK530" s="184"/>
      <c r="AL530" s="182">
        <f>Escenario2!BP504</f>
        <v>0</v>
      </c>
      <c r="AM530" s="151"/>
      <c r="BA530" s="152"/>
      <c r="BB530" s="75">
        <v>525</v>
      </c>
      <c r="BC530" s="190">
        <f>ABS(LíneaBase!L531-LíneaBase!L530)</f>
        <v>9.853179246491317E-3</v>
      </c>
      <c r="BD530" s="190">
        <f>ABS(Escenario1!BN531-Escenario1!BN530)</f>
        <v>5.8823958683349442E-3</v>
      </c>
      <c r="BE530" s="190">
        <f>ABS(Escenario2!BN531-Escenario2!BN530)</f>
        <v>1.4914279460165325E-4</v>
      </c>
      <c r="BF530" s="151"/>
    </row>
    <row r="531" spans="25:58">
      <c r="Y531" s="152"/>
      <c r="Z531" s="183">
        <f>(LíneaBase!C532-0.44)/(MAX(LíneaBase!C:C)+0.12)*100</f>
        <v>71.982687777351657</v>
      </c>
      <c r="AA531" s="184"/>
      <c r="AB531" s="182">
        <f>LíneaBase!L570</f>
        <v>0.3599045736133959</v>
      </c>
      <c r="AC531" s="184"/>
      <c r="AD531" s="182">
        <f>Escenario1!BN579</f>
        <v>0.44031577330356758</v>
      </c>
      <c r="AE531" s="184"/>
      <c r="AF531" s="182">
        <f>Escenario2!BN585</f>
        <v>0.37641542468980427</v>
      </c>
      <c r="AG531" s="184"/>
      <c r="AH531" s="182">
        <f>LíneaBase!N505</f>
        <v>0</v>
      </c>
      <c r="AI531" s="184"/>
      <c r="AJ531" s="182">
        <f>Escenario1!BP505</f>
        <v>0</v>
      </c>
      <c r="AK531" s="184"/>
      <c r="AL531" s="182">
        <f>Escenario2!BP505</f>
        <v>0</v>
      </c>
      <c r="AM531" s="151"/>
      <c r="BA531" s="152"/>
      <c r="BB531" s="75">
        <v>526</v>
      </c>
      <c r="BC531" s="190">
        <f>ABS(LíneaBase!L532-LíneaBase!L531)</f>
        <v>3.3648870328016889E-3</v>
      </c>
      <c r="BD531" s="190">
        <f>ABS(Escenario1!BN532-Escenario1!BN531)</f>
        <v>5.7022236554732375E-3</v>
      </c>
      <c r="BE531" s="190">
        <f>ABS(Escenario2!BN532-Escenario2!BN531)</f>
        <v>1.1093108883168279E-2</v>
      </c>
      <c r="BF531" s="151"/>
    </row>
    <row r="532" spans="25:58">
      <c r="Y532" s="152"/>
      <c r="Z532" s="183">
        <f>(LíneaBase!C533-0.44)/(MAX(LíneaBase!C:C)+0.12)*100</f>
        <v>72.119651564126443</v>
      </c>
      <c r="AA532" s="184"/>
      <c r="AB532" s="182">
        <f>LíneaBase!L206</f>
        <v>0.35840491493489901</v>
      </c>
      <c r="AC532" s="184"/>
      <c r="AD532" s="182">
        <f>Escenario1!BN205</f>
        <v>0.43988115587128029</v>
      </c>
      <c r="AE532" s="184"/>
      <c r="AF532" s="182">
        <f>Escenario2!BN224</f>
        <v>0.3742339678048352</v>
      </c>
      <c r="AG532" s="184"/>
      <c r="AH532" s="182">
        <f>LíneaBase!N506</f>
        <v>0</v>
      </c>
      <c r="AI532" s="184"/>
      <c r="AJ532" s="182">
        <f>Escenario1!BP506</f>
        <v>0</v>
      </c>
      <c r="AK532" s="184"/>
      <c r="AL532" s="182">
        <f>Escenario2!BP506</f>
        <v>0</v>
      </c>
      <c r="AM532" s="151"/>
      <c r="BA532" s="152"/>
      <c r="BB532" s="75">
        <v>527</v>
      </c>
      <c r="BC532" s="190">
        <f>ABS(LíneaBase!L533-LíneaBase!L532)</f>
        <v>3.890674539458816E-2</v>
      </c>
      <c r="BD532" s="190">
        <f>ABS(Escenario1!BN533-Escenario1!BN532)</f>
        <v>3.6940170170680409E-2</v>
      </c>
      <c r="BE532" s="190">
        <f>ABS(Escenario2!BN533-Escenario2!BN532)</f>
        <v>3.1342958189787162E-2</v>
      </c>
      <c r="BF532" s="151"/>
    </row>
    <row r="533" spans="25:58">
      <c r="Y533" s="152"/>
      <c r="Z533" s="183">
        <f>(LíneaBase!C534-0.44)/(MAX(LíneaBase!C:C)+0.12)*100</f>
        <v>72.256615350901214</v>
      </c>
      <c r="AA533" s="184"/>
      <c r="AB533" s="182">
        <f>LíneaBase!L203</f>
        <v>0.35640670523607881</v>
      </c>
      <c r="AC533" s="184"/>
      <c r="AD533" s="182">
        <f>Escenario1!BN589</f>
        <v>0.42442164725654341</v>
      </c>
      <c r="AE533" s="184"/>
      <c r="AF533" s="182">
        <f>Escenario2!BN216</f>
        <v>0.37279288191821641</v>
      </c>
      <c r="AG533" s="184"/>
      <c r="AH533" s="182">
        <f>LíneaBase!N507</f>
        <v>0</v>
      </c>
      <c r="AI533" s="184"/>
      <c r="AJ533" s="182">
        <f>Escenario1!BP507</f>
        <v>0</v>
      </c>
      <c r="AK533" s="184"/>
      <c r="AL533" s="182">
        <f>Escenario2!BP507</f>
        <v>0</v>
      </c>
      <c r="AM533" s="151"/>
      <c r="BA533" s="152"/>
      <c r="BB533" s="75">
        <v>528</v>
      </c>
      <c r="BC533" s="190">
        <f>ABS(LíneaBase!L534-LíneaBase!L533)</f>
        <v>4.5505759713632798E-2</v>
      </c>
      <c r="BD533" s="190">
        <f>ABS(Escenario1!BN534-Escenario1!BN533)</f>
        <v>4.6280576488806346E-2</v>
      </c>
      <c r="BE533" s="190">
        <f>ABS(Escenario2!BN534-Escenario2!BN533)</f>
        <v>1.2601552638271341E-2</v>
      </c>
      <c r="BF533" s="151"/>
    </row>
    <row r="534" spans="25:58">
      <c r="Y534" s="152"/>
      <c r="Z534" s="183">
        <f>(LíneaBase!C535-0.44)/(MAX(LíneaBase!C:C)+0.12)*100</f>
        <v>72.393579137675985</v>
      </c>
      <c r="AA534" s="184"/>
      <c r="AB534" s="182">
        <f>LíneaBase!L681</f>
        <v>0.35504627142905498</v>
      </c>
      <c r="AC534" s="184"/>
      <c r="AD534" s="182">
        <f>Escenario1!BN580</f>
        <v>0.42377057690627978</v>
      </c>
      <c r="AE534" s="184"/>
      <c r="AF534" s="182">
        <f>Escenario2!BN586</f>
        <v>0.3705555588618259</v>
      </c>
      <c r="AG534" s="184"/>
      <c r="AH534" s="182">
        <f>LíneaBase!N508</f>
        <v>0</v>
      </c>
      <c r="AI534" s="184"/>
      <c r="AJ534" s="182">
        <f>Escenario1!BP508</f>
        <v>0</v>
      </c>
      <c r="AK534" s="184"/>
      <c r="AL534" s="182">
        <f>Escenario2!BP508</f>
        <v>0</v>
      </c>
      <c r="AM534" s="151"/>
      <c r="BA534" s="152"/>
      <c r="BB534" s="75">
        <v>529</v>
      </c>
      <c r="BC534" s="190">
        <f>ABS(LíneaBase!L535-LíneaBase!L534)</f>
        <v>1.1751288093053591E-2</v>
      </c>
      <c r="BD534" s="190">
        <f>ABS(Escenario1!BN535-Escenario1!BN534)</f>
        <v>2.1916028811924448E-2</v>
      </c>
      <c r="BE534" s="190">
        <f>ABS(Escenario2!BN535-Escenario2!BN534)</f>
        <v>7.6329744937875255E-3</v>
      </c>
      <c r="BF534" s="151"/>
    </row>
    <row r="535" spans="25:58">
      <c r="Y535" s="152"/>
      <c r="Z535" s="183">
        <f>(LíneaBase!C536-0.44)/(MAX(LíneaBase!C:C)+0.12)*100</f>
        <v>72.530542924450771</v>
      </c>
      <c r="AA535" s="184"/>
      <c r="AB535" s="182">
        <f>LíneaBase!L204</f>
        <v>0.35289484501131235</v>
      </c>
      <c r="AC535" s="184"/>
      <c r="AD535" s="182">
        <f>Escenario1!BN681</f>
        <v>0.42269953216096773</v>
      </c>
      <c r="AE535" s="184"/>
      <c r="AF535" s="182">
        <f>Escenario2!BN217</f>
        <v>0.36892248624621715</v>
      </c>
      <c r="AG535" s="184"/>
      <c r="AH535" s="182">
        <f>LíneaBase!N509</f>
        <v>0</v>
      </c>
      <c r="AI535" s="184"/>
      <c r="AJ535" s="182">
        <f>Escenario1!BP509</f>
        <v>0</v>
      </c>
      <c r="AK535" s="184"/>
      <c r="AL535" s="182">
        <f>Escenario2!BP509</f>
        <v>0</v>
      </c>
      <c r="AM535" s="151"/>
      <c r="BA535" s="152"/>
      <c r="BB535" s="75">
        <v>530</v>
      </c>
      <c r="BC535" s="190">
        <f>ABS(LíneaBase!L536-LíneaBase!L535)</f>
        <v>6.1088091270267153E-3</v>
      </c>
      <c r="BD535" s="190">
        <f>ABS(Escenario1!BN536-Escenario1!BN535)</f>
        <v>8.9106194503519864E-3</v>
      </c>
      <c r="BE535" s="190">
        <f>ABS(Escenario2!BN536-Escenario2!BN535)</f>
        <v>6.7490386148194581E-3</v>
      </c>
      <c r="BF535" s="151"/>
    </row>
    <row r="536" spans="25:58">
      <c r="Y536" s="152"/>
      <c r="Z536" s="183">
        <f>(LíneaBase!C537-0.44)/(MAX(LíneaBase!C:C)+0.12)*100</f>
        <v>72.667506711225542</v>
      </c>
      <c r="AA536" s="184"/>
      <c r="AB536" s="182">
        <f>LíneaBase!L316</f>
        <v>0.35200640413455375</v>
      </c>
      <c r="AC536" s="184"/>
      <c r="AD536" s="182">
        <f>Escenario1!BN581</f>
        <v>0.4176139432857196</v>
      </c>
      <c r="AE536" s="184"/>
      <c r="AF536" s="182">
        <f>Escenario2!BN587</f>
        <v>0.36640466699143226</v>
      </c>
      <c r="AG536" s="184"/>
      <c r="AH536" s="182">
        <f>LíneaBase!N510</f>
        <v>0</v>
      </c>
      <c r="AI536" s="184"/>
      <c r="AJ536" s="182">
        <f>Escenario1!BP510</f>
        <v>0</v>
      </c>
      <c r="AK536" s="184"/>
      <c r="AL536" s="182">
        <f>Escenario2!BP510</f>
        <v>0</v>
      </c>
      <c r="AM536" s="151"/>
      <c r="BA536" s="152"/>
      <c r="BB536" s="75">
        <v>531</v>
      </c>
      <c r="BC536" s="190">
        <f>ABS(LíneaBase!L537-LíneaBase!L536)</f>
        <v>5.1315388055995226E-3</v>
      </c>
      <c r="BD536" s="190">
        <f>ABS(Escenario1!BN537-Escenario1!BN536)</f>
        <v>6.4221224999456705E-3</v>
      </c>
      <c r="BE536" s="190">
        <f>ABS(Escenario2!BN537-Escenario2!BN536)</f>
        <v>6.5435535564886127E-3</v>
      </c>
      <c r="BF536" s="151"/>
    </row>
    <row r="537" spans="25:58">
      <c r="Y537" s="152"/>
      <c r="Z537" s="183">
        <f>(LíneaBase!C538-0.44)/(MAX(LíneaBase!C:C)+0.12)*100</f>
        <v>72.804470498000313</v>
      </c>
      <c r="AA537" s="184"/>
      <c r="AB537" s="182">
        <f>LíneaBase!L205</f>
        <v>0.35078021828840039</v>
      </c>
      <c r="AC537" s="184"/>
      <c r="AD537" s="182">
        <f>Escenario1!BN214</f>
        <v>0.41666588345626332</v>
      </c>
      <c r="AE537" s="184"/>
      <c r="AF537" s="182">
        <f>Escenario2!BN218</f>
        <v>0.36512193288340239</v>
      </c>
      <c r="AG537" s="184"/>
      <c r="AH537" s="182">
        <f>LíneaBase!N511</f>
        <v>0</v>
      </c>
      <c r="AI537" s="184"/>
      <c r="AJ537" s="182">
        <f>Escenario1!BP511</f>
        <v>0</v>
      </c>
      <c r="AK537" s="184"/>
      <c r="AL537" s="182">
        <f>Escenario2!BP511</f>
        <v>0</v>
      </c>
      <c r="AM537" s="151"/>
      <c r="BA537" s="152"/>
      <c r="BB537" s="75">
        <v>532</v>
      </c>
      <c r="BC537" s="190">
        <f>ABS(LíneaBase!L538-LíneaBase!L537)</f>
        <v>4.9287998470664007E-3</v>
      </c>
      <c r="BD537" s="190">
        <f>ABS(Escenario1!BN538-Escenario1!BN537)</f>
        <v>6.2060239413115337E-3</v>
      </c>
      <c r="BE537" s="190">
        <f>ABS(Escenario2!BN538-Escenario2!BN537)</f>
        <v>6.4513007728910221E-3</v>
      </c>
      <c r="BF537" s="151"/>
    </row>
    <row r="538" spans="25:58">
      <c r="Y538" s="152"/>
      <c r="Z538" s="183">
        <f>(LíneaBase!C539-0.44)/(MAX(LíneaBase!C:C)+0.12)*100</f>
        <v>72.941434284775099</v>
      </c>
      <c r="AA538" s="184"/>
      <c r="AB538" s="182">
        <f>LíneaBase!L579</f>
        <v>0.34188377838194467</v>
      </c>
      <c r="AC538" s="184"/>
      <c r="AD538" s="182">
        <f>Escenario1!BN316</f>
        <v>0.41402942201739062</v>
      </c>
      <c r="AE538" s="184"/>
      <c r="AF538" s="182">
        <f>Escenario2!BN600</f>
        <v>0.36322931970123307</v>
      </c>
      <c r="AG538" s="184"/>
      <c r="AH538" s="182">
        <f>LíneaBase!N512</f>
        <v>0</v>
      </c>
      <c r="AI538" s="184"/>
      <c r="AJ538" s="182">
        <f>Escenario1!BP512</f>
        <v>0</v>
      </c>
      <c r="AK538" s="184"/>
      <c r="AL538" s="182">
        <f>Escenario2!BP512</f>
        <v>0</v>
      </c>
      <c r="AM538" s="151"/>
      <c r="BA538" s="152"/>
      <c r="BB538" s="75">
        <v>533</v>
      </c>
      <c r="BC538" s="190">
        <f>ABS(LíneaBase!L539-LíneaBase!L538)</f>
        <v>4.8549835678599607E-3</v>
      </c>
      <c r="BD538" s="190">
        <f>ABS(Escenario1!BN539-Escenario1!BN538)</f>
        <v>6.1469855310702926E-3</v>
      </c>
      <c r="BE538" s="190">
        <f>ABS(Escenario2!BN539-Escenario2!BN538)</f>
        <v>6.3784824242160143E-3</v>
      </c>
      <c r="BF538" s="151"/>
    </row>
    <row r="539" spans="25:58">
      <c r="Y539" s="152"/>
      <c r="Z539" s="183">
        <f>(LíneaBase!C540-0.44)/(MAX(LíneaBase!C:C)+0.12)*100</f>
        <v>73.078398071549884</v>
      </c>
      <c r="AA539" s="184"/>
      <c r="AB539" s="182">
        <f>LíneaBase!L589</f>
        <v>0.34110603549841345</v>
      </c>
      <c r="AC539" s="184"/>
      <c r="AD539" s="182">
        <f>Escenario1!BN582</f>
        <v>0.41354192778194743</v>
      </c>
      <c r="AE539" s="184"/>
      <c r="AF539" s="182">
        <f>Escenario2!BN588</f>
        <v>0.36257085747627438</v>
      </c>
      <c r="AG539" s="184"/>
      <c r="AH539" s="182">
        <f>LíneaBase!N513</f>
        <v>0</v>
      </c>
      <c r="AI539" s="184"/>
      <c r="AJ539" s="182">
        <f>Escenario1!BP513</f>
        <v>0</v>
      </c>
      <c r="AK539" s="184"/>
      <c r="AL539" s="182">
        <f>Escenario2!BP513</f>
        <v>0</v>
      </c>
      <c r="AM539" s="151"/>
      <c r="BA539" s="152"/>
      <c r="BB539" s="75">
        <v>534</v>
      </c>
      <c r="BC539" s="190">
        <f>ABS(LíneaBase!L540-LíneaBase!L539)</f>
        <v>4.8029560938974147E-3</v>
      </c>
      <c r="BD539" s="190">
        <f>ABS(Escenario1!BN540-Escenario1!BN539)</f>
        <v>6.0884964523852947E-3</v>
      </c>
      <c r="BE539" s="190">
        <f>ABS(Escenario2!BN540-Escenario2!BN539)</f>
        <v>6.3095265834846037E-3</v>
      </c>
      <c r="BF539" s="151"/>
    </row>
    <row r="540" spans="25:58">
      <c r="Y540" s="152"/>
      <c r="Z540" s="183">
        <f>(LíneaBase!C541-0.44)/(MAX(LíneaBase!C:C)+0.12)*100</f>
        <v>73.215361858324641</v>
      </c>
      <c r="AA540" s="184"/>
      <c r="AB540" s="182">
        <f>LíneaBase!L657</f>
        <v>0.33959645058840093</v>
      </c>
      <c r="AC540" s="184"/>
      <c r="AD540" s="182">
        <f>Escenario1!BN583</f>
        <v>0.40952564489008658</v>
      </c>
      <c r="AE540" s="184"/>
      <c r="AF540" s="182">
        <f>Escenario2!BN219</f>
        <v>0.36136611768273275</v>
      </c>
      <c r="AG540" s="184"/>
      <c r="AH540" s="182">
        <f>LíneaBase!N514</f>
        <v>0</v>
      </c>
      <c r="AI540" s="184"/>
      <c r="AJ540" s="182">
        <f>Escenario1!BP514</f>
        <v>0</v>
      </c>
      <c r="AK540" s="184"/>
      <c r="AL540" s="182">
        <f>Escenario2!BP514</f>
        <v>0</v>
      </c>
      <c r="AM540" s="151"/>
      <c r="BA540" s="152"/>
      <c r="BB540" s="75">
        <v>535</v>
      </c>
      <c r="BC540" s="190">
        <f>ABS(LíneaBase!L541-LíneaBase!L540)</f>
        <v>4.7549361230142528E-3</v>
      </c>
      <c r="BD540" s="190">
        <f>ABS(Escenario1!BN541-Escenario1!BN540)</f>
        <v>6.0305617245831611E-3</v>
      </c>
      <c r="BE540" s="190">
        <f>ABS(Escenario2!BN541-Escenario2!BN540)</f>
        <v>6.2418419348421184E-3</v>
      </c>
      <c r="BF540" s="151"/>
    </row>
    <row r="541" spans="25:58">
      <c r="Y541" s="152"/>
      <c r="Z541" s="183">
        <f>(LíneaBase!C542-0.44)/(MAX(LíneaBase!C:C)+0.12)*100</f>
        <v>73.352325645099427</v>
      </c>
      <c r="AA541" s="184"/>
      <c r="AB541" s="182">
        <f>LíneaBase!L682</f>
        <v>0.33935896934450827</v>
      </c>
      <c r="AC541" s="184"/>
      <c r="AD541" s="182">
        <f>Escenario1!BN682</f>
        <v>0.40678247153862057</v>
      </c>
      <c r="AE541" s="184"/>
      <c r="AF541" s="182">
        <f>Escenario2!BN590</f>
        <v>0.36027537801710868</v>
      </c>
      <c r="AG541" s="184"/>
      <c r="AH541" s="182">
        <f>LíneaBase!N515</f>
        <v>0</v>
      </c>
      <c r="AI541" s="184"/>
      <c r="AJ541" s="182">
        <f>Escenario1!BP515</f>
        <v>0</v>
      </c>
      <c r="AK541" s="184"/>
      <c r="AL541" s="182">
        <f>Escenario2!BP515</f>
        <v>0</v>
      </c>
      <c r="AM541" s="151"/>
      <c r="BA541" s="152"/>
      <c r="BB541" s="75">
        <v>536</v>
      </c>
      <c r="BC541" s="190">
        <f>ABS(LíneaBase!L542-LíneaBase!L541)</f>
        <v>4.7079692292417152E-3</v>
      </c>
      <c r="BD541" s="190">
        <f>ABS(Escenario1!BN542-Escenario1!BN541)</f>
        <v>5.9731803659821558E-3</v>
      </c>
      <c r="BE541" s="190">
        <f>ABS(Escenario2!BN542-Escenario2!BN541)</f>
        <v>6.1749912065642842E-3</v>
      </c>
      <c r="BF541" s="151"/>
    </row>
    <row r="542" spans="25:58">
      <c r="Y542" s="152"/>
      <c r="Z542" s="183">
        <f>(LíneaBase!C543-0.44)/(MAX(LíneaBase!C:C)+0.12)*100</f>
        <v>73.489289431874198</v>
      </c>
      <c r="AA542" s="184"/>
      <c r="AB542" s="182">
        <f>LíneaBase!L317</f>
        <v>0.33634905458649972</v>
      </c>
      <c r="AC542" s="184"/>
      <c r="AD542" s="182">
        <f>Escenario1!BN584</f>
        <v>0.405547334242568</v>
      </c>
      <c r="AE542" s="184"/>
      <c r="AF542" s="182">
        <f>Escenario2!BN220</f>
        <v>0.36004859975873599</v>
      </c>
      <c r="AG542" s="184"/>
      <c r="AH542" s="182">
        <f>LíneaBase!N516</f>
        <v>0</v>
      </c>
      <c r="AI542" s="184"/>
      <c r="AJ542" s="182">
        <f>Escenario1!BP516</f>
        <v>0</v>
      </c>
      <c r="AK542" s="184"/>
      <c r="AL542" s="182">
        <f>Escenario2!BP516</f>
        <v>0</v>
      </c>
      <c r="AM542" s="151"/>
      <c r="BA542" s="152"/>
      <c r="BB542" s="75">
        <v>537</v>
      </c>
      <c r="BC542" s="190">
        <f>ABS(LíneaBase!L543-LíneaBase!L542)</f>
        <v>4.6615613420691315E-3</v>
      </c>
      <c r="BD542" s="190">
        <f>ABS(Escenario1!BN543-Escenario1!BN542)</f>
        <v>5.9163518466358589E-3</v>
      </c>
      <c r="BE542" s="190">
        <f>ABS(Escenario2!BN543-Escenario2!BN542)</f>
        <v>6.1088946491442142E-3</v>
      </c>
      <c r="BF542" s="151"/>
    </row>
    <row r="543" spans="25:58">
      <c r="Y543" s="152"/>
      <c r="Z543" s="183">
        <f>(LíneaBase!C544-0.44)/(MAX(LíneaBase!C:C)+0.12)*100</f>
        <v>73.626253218648984</v>
      </c>
      <c r="AA543" s="184"/>
      <c r="AB543" s="182">
        <f>LíneaBase!L292</f>
        <v>0.33574109083754278</v>
      </c>
      <c r="AC543" s="184"/>
      <c r="AD543" s="182">
        <f>Escenario1!BN585</f>
        <v>0.40356674724918196</v>
      </c>
      <c r="AE543" s="184"/>
      <c r="AF543" s="182">
        <f>Escenario2!BN591</f>
        <v>0.35591322689879518</v>
      </c>
      <c r="AG543" s="184"/>
      <c r="AH543" s="182">
        <f>LíneaBase!N517</f>
        <v>0</v>
      </c>
      <c r="AI543" s="184"/>
      <c r="AJ543" s="182">
        <f>Escenario1!BP517</f>
        <v>0</v>
      </c>
      <c r="AK543" s="184"/>
      <c r="AL543" s="182">
        <f>Escenario2!BP517</f>
        <v>0</v>
      </c>
      <c r="AM543" s="151"/>
      <c r="BA543" s="152"/>
      <c r="BB543" s="75">
        <v>538</v>
      </c>
      <c r="BC543" s="190">
        <f>ABS(LíneaBase!L544-LíneaBase!L543)</f>
        <v>4.6156266910162835E-3</v>
      </c>
      <c r="BD543" s="190">
        <f>ABS(Escenario1!BN544-Escenario1!BN543)</f>
        <v>5.8600610195671532E-3</v>
      </c>
      <c r="BE543" s="190">
        <f>ABS(Escenario2!BN544-Escenario2!BN543)</f>
        <v>6.0435319259234399E-3</v>
      </c>
      <c r="BF543" s="151"/>
    </row>
    <row r="544" spans="25:58">
      <c r="Y544" s="152"/>
      <c r="Z544" s="183">
        <f>(LíneaBase!C545-0.44)/(MAX(LíneaBase!C:C)+0.12)*100</f>
        <v>73.763217005423755</v>
      </c>
      <c r="AA544" s="184"/>
      <c r="AB544" s="182">
        <f>LíneaBase!L224</f>
        <v>0.33354651850305106</v>
      </c>
      <c r="AC544" s="184"/>
      <c r="AD544" s="182">
        <f>Escenario1!BN224</f>
        <v>0.40297305391294264</v>
      </c>
      <c r="AE544" s="184"/>
      <c r="AF544" s="182">
        <f>Escenario2!BN221</f>
        <v>0.35437195655170112</v>
      </c>
      <c r="AG544" s="184"/>
      <c r="AH544" s="182">
        <f>LíneaBase!N518</f>
        <v>0</v>
      </c>
      <c r="AI544" s="184"/>
      <c r="AJ544" s="182">
        <f>Escenario1!BP518</f>
        <v>0</v>
      </c>
      <c r="AK544" s="184"/>
      <c r="AL544" s="182">
        <f>Escenario2!BP518</f>
        <v>0</v>
      </c>
      <c r="AM544" s="151"/>
      <c r="BA544" s="152"/>
      <c r="BB544" s="75">
        <v>539</v>
      </c>
      <c r="BC544" s="190">
        <f>ABS(LíneaBase!L545-LíneaBase!L544)</f>
        <v>4.5701472947178856E-3</v>
      </c>
      <c r="BD544" s="190">
        <f>ABS(Escenario1!BN545-Escenario1!BN544)</f>
        <v>5.8043069530551161E-3</v>
      </c>
      <c r="BE544" s="190">
        <f>ABS(Escenario2!BN545-Escenario2!BN544)</f>
        <v>5.9788926448172131E-3</v>
      </c>
      <c r="BF544" s="151"/>
    </row>
    <row r="545" spans="25:58">
      <c r="Y545" s="152"/>
      <c r="Z545" s="183">
        <f>(LíneaBase!C546-0.44)/(MAX(LíneaBase!C:C)+0.12)*100</f>
        <v>73.90018079219854</v>
      </c>
      <c r="AA545" s="184"/>
      <c r="AB545" s="182">
        <f>LíneaBase!L214</f>
        <v>0.33353739493892604</v>
      </c>
      <c r="AC545" s="184"/>
      <c r="AD545" s="182">
        <f>Escenario1!BN215</f>
        <v>0.40035057358895443</v>
      </c>
      <c r="AE545" s="184"/>
      <c r="AF545" s="182">
        <f>Escenario2!BN222</f>
        <v>0.35040214635717959</v>
      </c>
      <c r="AG545" s="184"/>
      <c r="AH545" s="182">
        <f>LíneaBase!N519</f>
        <v>0</v>
      </c>
      <c r="AI545" s="184"/>
      <c r="AJ545" s="182">
        <f>Escenario1!BP519</f>
        <v>0</v>
      </c>
      <c r="AK545" s="184"/>
      <c r="AL545" s="182">
        <f>Escenario2!BP519</f>
        <v>0</v>
      </c>
      <c r="AM545" s="151"/>
      <c r="BA545" s="152"/>
      <c r="BB545" s="75">
        <v>540</v>
      </c>
      <c r="BC545" s="190">
        <f>ABS(LíneaBase!L546-LíneaBase!L545)</f>
        <v>4.5251164574243719E-3</v>
      </c>
      <c r="BD545" s="190">
        <f>ABS(Escenario1!BN546-Escenario1!BN545)</f>
        <v>5.7490968440591095E-3</v>
      </c>
      <c r="BE545" s="190">
        <f>ABS(Escenario2!BN546-Escenario2!BN545)</f>
        <v>5.9149681486412309E-3</v>
      </c>
      <c r="BF545" s="151"/>
    </row>
    <row r="546" spans="25:58">
      <c r="Y546" s="152"/>
      <c r="Z546" s="183">
        <f>(LíneaBase!C547-0.44)/(MAX(LíneaBase!C:C)+0.12)*100</f>
        <v>74.037144578973312</v>
      </c>
      <c r="AA546" s="184"/>
      <c r="AB546" s="182">
        <f>LíneaBase!L580</f>
        <v>0.3270485348228101</v>
      </c>
      <c r="AC546" s="184"/>
      <c r="AD546" s="182">
        <f>Escenario1!BN600</f>
        <v>0.39842409007770807</v>
      </c>
      <c r="AE546" s="184"/>
      <c r="AF546" s="182">
        <f>Escenario2!BN235</f>
        <v>0.34939752078177211</v>
      </c>
      <c r="AG546" s="184"/>
      <c r="AH546" s="182">
        <f>LíneaBase!N520</f>
        <v>0</v>
      </c>
      <c r="AI546" s="184"/>
      <c r="AJ546" s="182">
        <f>Escenario1!BP520</f>
        <v>0</v>
      </c>
      <c r="AK546" s="184"/>
      <c r="AL546" s="182">
        <f>Escenario2!BP520</f>
        <v>0</v>
      </c>
      <c r="AM546" s="151"/>
      <c r="BA546" s="152"/>
      <c r="BB546" s="75">
        <v>541</v>
      </c>
      <c r="BC546" s="190">
        <f>ABS(LíneaBase!L547-LíneaBase!L546)</f>
        <v>4.4805293926556966E-3</v>
      </c>
      <c r="BD546" s="190">
        <f>ABS(Escenario1!BN547-Escenario1!BN546)</f>
        <v>5.6944004594176034E-3</v>
      </c>
      <c r="BE546" s="190">
        <f>ABS(Escenario2!BN547-Escenario2!BN546)</f>
        <v>5.8517501517554305E-3</v>
      </c>
      <c r="BF546" s="151"/>
    </row>
    <row r="547" spans="25:58">
      <c r="Y547" s="152"/>
      <c r="Z547" s="183">
        <f>(LíneaBase!C548-0.44)/(MAX(LíneaBase!C:C)+0.12)*100</f>
        <v>74.174108365748097</v>
      </c>
      <c r="AA547" s="184"/>
      <c r="AB547" s="182">
        <f>LíneaBase!L600</f>
        <v>0.32564432497821733</v>
      </c>
      <c r="AC547" s="184"/>
      <c r="AD547" s="182">
        <f>Escenario1!BN317</f>
        <v>0.39819776158967929</v>
      </c>
      <c r="AE547" s="184"/>
      <c r="AF547" s="182">
        <f>Escenario2!BN592</f>
        <v>0.34857765015498732</v>
      </c>
      <c r="AG547" s="184"/>
      <c r="AH547" s="182">
        <f>LíneaBase!N521</f>
        <v>0</v>
      </c>
      <c r="AI547" s="184"/>
      <c r="AJ547" s="182">
        <f>Escenario1!BP521</f>
        <v>0</v>
      </c>
      <c r="AK547" s="184"/>
      <c r="AL547" s="182">
        <f>Escenario2!BP521</f>
        <v>0</v>
      </c>
      <c r="AM547" s="151"/>
      <c r="BA547" s="152"/>
      <c r="BB547" s="75">
        <v>542</v>
      </c>
      <c r="BC547" s="190">
        <f>ABS(LíneaBase!L548-LíneaBase!L547)</f>
        <v>4.4363816669621969E-3</v>
      </c>
      <c r="BD547" s="190">
        <f>ABS(Escenario1!BN548-Escenario1!BN547)</f>
        <v>5.6402247549590667E-3</v>
      </c>
      <c r="BE547" s="190">
        <f>ABS(Escenario2!BN548-Escenario2!BN547)</f>
        <v>5.7892305127756893E-3</v>
      </c>
      <c r="BF547" s="151"/>
    </row>
    <row r="548" spans="25:58">
      <c r="Y548" s="152"/>
      <c r="Z548" s="183">
        <f>(LíneaBase!C549-0.44)/(MAX(LíneaBase!C:C)+0.12)*100</f>
        <v>74.311072152522854</v>
      </c>
      <c r="AA548" s="184"/>
      <c r="AB548" s="182">
        <f>LíneaBase!L581</f>
        <v>0.32192332531264545</v>
      </c>
      <c r="AC548" s="184"/>
      <c r="AD548" s="182">
        <f>Escenario1!BN586</f>
        <v>0.39770375385581502</v>
      </c>
      <c r="AE548" s="184"/>
      <c r="AF548" s="182">
        <f>Escenario2!BN223</f>
        <v>0.34674730379792967</v>
      </c>
      <c r="AG548" s="184"/>
      <c r="AH548" s="182">
        <f>LíneaBase!N522</f>
        <v>0</v>
      </c>
      <c r="AI548" s="184"/>
      <c r="AJ548" s="182">
        <f>Escenario1!BP522</f>
        <v>0</v>
      </c>
      <c r="AK548" s="184"/>
      <c r="AL548" s="182">
        <f>Escenario2!BP522</f>
        <v>0</v>
      </c>
      <c r="AM548" s="151"/>
      <c r="BA548" s="152"/>
      <c r="BB548" s="75">
        <v>543</v>
      </c>
      <c r="BC548" s="190">
        <f>ABS(LíneaBase!L549-LíneaBase!L548)</f>
        <v>4.3926689413341657E-3</v>
      </c>
      <c r="BD548" s="190">
        <f>ABS(Escenario1!BN549-Escenario1!BN548)</f>
        <v>5.5865842392426313E-3</v>
      </c>
      <c r="BE548" s="190">
        <f>ABS(Escenario2!BN549-Escenario2!BN548)</f>
        <v>5.7274011958123872E-3</v>
      </c>
      <c r="BF548" s="151"/>
    </row>
    <row r="549" spans="25:58">
      <c r="Y549" s="152"/>
      <c r="Z549" s="183">
        <f>(LíneaBase!C550-0.44)/(MAX(LíneaBase!C:C)+0.12)*100</f>
        <v>74.44803593929764</v>
      </c>
      <c r="AA549" s="184"/>
      <c r="AB549" s="182">
        <f>LíneaBase!L235</f>
        <v>0.31886495502571732</v>
      </c>
      <c r="AC549" s="184"/>
      <c r="AD549" s="182">
        <f>Escenario1!BN216</f>
        <v>0.39442159882853672</v>
      </c>
      <c r="AE549" s="184"/>
      <c r="AF549" s="182">
        <f>Escenario2!BN708</f>
        <v>0.34491719737357196</v>
      </c>
      <c r="AG549" s="184"/>
      <c r="AH549" s="182">
        <f>LíneaBase!N523</f>
        <v>0</v>
      </c>
      <c r="AI549" s="184"/>
      <c r="AJ549" s="182">
        <f>Escenario1!BP523</f>
        <v>0</v>
      </c>
      <c r="AK549" s="184"/>
      <c r="AL549" s="182">
        <f>Escenario2!BP523</f>
        <v>0</v>
      </c>
      <c r="AM549" s="151"/>
      <c r="BA549" s="152"/>
      <c r="BB549" s="75">
        <v>544</v>
      </c>
      <c r="BC549" s="190">
        <f>ABS(LíneaBase!L550-LíneaBase!L549)</f>
        <v>4.3493869279367381E-3</v>
      </c>
      <c r="BD549" s="190">
        <f>ABS(Escenario1!BN550-Escenario1!BN549)</f>
        <v>5.5334349734003085E-3</v>
      </c>
      <c r="BE549" s="190">
        <f>ABS(Escenario2!BN550-Escenario2!BN549)</f>
        <v>5.6662542630088186E-3</v>
      </c>
      <c r="BF549" s="151"/>
    </row>
    <row r="550" spans="25:58">
      <c r="Y550" s="152"/>
      <c r="Z550" s="183">
        <f>(LíneaBase!C551-0.44)/(MAX(LíneaBase!C:C)+0.12)*100</f>
        <v>74.584999726072425</v>
      </c>
      <c r="AA550" s="184"/>
      <c r="AB550" s="182">
        <f>LíneaBase!L215</f>
        <v>0.31878439028380906</v>
      </c>
      <c r="AC550" s="184"/>
      <c r="AD550" s="182">
        <f>Escenario1!BN587</f>
        <v>0.39383777471383252</v>
      </c>
      <c r="AE550" s="184"/>
      <c r="AF550" s="182">
        <f>Escenario2!BN225</f>
        <v>0.34480351731156711</v>
      </c>
      <c r="AG550" s="184"/>
      <c r="AH550" s="182">
        <f>LíneaBase!N525</f>
        <v>0</v>
      </c>
      <c r="AI550" s="184"/>
      <c r="AJ550" s="182">
        <f>Escenario1!BP525</f>
        <v>0</v>
      </c>
      <c r="AK550" s="184"/>
      <c r="AL550" s="182">
        <f>Escenario2!BP525</f>
        <v>0</v>
      </c>
      <c r="AM550" s="151"/>
      <c r="BA550" s="152"/>
      <c r="BB550" s="75">
        <v>545</v>
      </c>
      <c r="BC550" s="190">
        <f>ABS(LíneaBase!L551-LíneaBase!L550)</f>
        <v>4.3065313825813578E-3</v>
      </c>
      <c r="BD550" s="190">
        <f>ABS(Escenario1!BN551-Escenario1!BN550)</f>
        <v>5.4808128220705798E-3</v>
      </c>
      <c r="BE550" s="190">
        <f>ABS(Escenario2!BN551-Escenario2!BN550)</f>
        <v>5.6057818722836661E-3</v>
      </c>
      <c r="BF550" s="151"/>
    </row>
    <row r="551" spans="25:58">
      <c r="Y551" s="152"/>
      <c r="Z551" s="183">
        <f>(LíneaBase!C552-0.44)/(MAX(LíneaBase!C:C)+0.12)*100</f>
        <v>74.721963512847196</v>
      </c>
      <c r="AA551" s="184"/>
      <c r="AB551" s="182">
        <f>LíneaBase!L582</f>
        <v>0.31843560734221449</v>
      </c>
      <c r="AC551" s="184"/>
      <c r="AD551" s="182">
        <f>Escenario1!BN217</f>
        <v>0.39057503658383258</v>
      </c>
      <c r="AE551" s="184"/>
      <c r="AF551" s="182">
        <f>Escenario2!BN593</f>
        <v>0.34437752236211089</v>
      </c>
      <c r="AG551" s="184"/>
      <c r="AH551" s="182">
        <f>LíneaBase!N526</f>
        <v>0</v>
      </c>
      <c r="AI551" s="184"/>
      <c r="AJ551" s="182">
        <f>Escenario1!BP526</f>
        <v>0</v>
      </c>
      <c r="AK551" s="184"/>
      <c r="AL551" s="182">
        <f>Escenario2!BP526</f>
        <v>0</v>
      </c>
      <c r="AM551" s="151"/>
      <c r="BA551" s="152"/>
      <c r="BB551" s="75">
        <v>546</v>
      </c>
      <c r="BC551" s="190">
        <f>ABS(LíneaBase!L552-LíneaBase!L551)</f>
        <v>4.2640981031312752E-3</v>
      </c>
      <c r="BD551" s="190">
        <f>ABS(Escenario1!BN552-Escenario1!BN551)</f>
        <v>5.4286952835680413E-3</v>
      </c>
      <c r="BE551" s="190">
        <f>ABS(Escenario2!BN552-Escenario2!BN551)</f>
        <v>5.5459762759536568E-3</v>
      </c>
      <c r="BF551" s="151"/>
    </row>
    <row r="552" spans="25:58">
      <c r="Y552" s="152"/>
      <c r="Z552" s="183">
        <f>(LíneaBase!C553-0.44)/(MAX(LíneaBase!C:C)+0.12)*100</f>
        <v>74.858927299621968</v>
      </c>
      <c r="AA552" s="184"/>
      <c r="AB552" s="182">
        <f>LíneaBase!L583</f>
        <v>0.31524559425272275</v>
      </c>
      <c r="AC552" s="184"/>
      <c r="AD552" s="182">
        <f>Escenario1!BN588</f>
        <v>0.39000833594366374</v>
      </c>
      <c r="AE552" s="184"/>
      <c r="AF552" s="182">
        <f>Escenario2!BN594</f>
        <v>0.34072906059536495</v>
      </c>
      <c r="AG552" s="184"/>
      <c r="AH552" s="182">
        <f>LíneaBase!N527</f>
        <v>0</v>
      </c>
      <c r="AI552" s="184"/>
      <c r="AJ552" s="182">
        <f>Escenario1!BP527</f>
        <v>0</v>
      </c>
      <c r="AK552" s="184"/>
      <c r="AL552" s="182">
        <f>Escenario2!BP527</f>
        <v>0</v>
      </c>
      <c r="AM552" s="151"/>
      <c r="BA552" s="152"/>
      <c r="BB552" s="75">
        <v>547</v>
      </c>
      <c r="BC552" s="190">
        <f>ABS(LíneaBase!L553-LíneaBase!L552)</f>
        <v>4.2220829288917572E-3</v>
      </c>
      <c r="BD552" s="190">
        <f>ABS(Escenario1!BN553-Escenario1!BN552)</f>
        <v>5.3770550790573912E-3</v>
      </c>
      <c r="BE552" s="190">
        <f>ABS(Escenario2!BN553-Escenario2!BN552)</f>
        <v>5.486829819513761E-3</v>
      </c>
      <c r="BF552" s="151"/>
    </row>
    <row r="553" spans="25:58">
      <c r="Y553" s="152"/>
      <c r="Z553" s="183">
        <f>(LíneaBase!C554-0.44)/(MAX(LíneaBase!C:C)+0.12)*100</f>
        <v>74.995891086396753</v>
      </c>
      <c r="AA553" s="184"/>
      <c r="AB553" s="182">
        <f>LíneaBase!L216</f>
        <v>0.31374060935815301</v>
      </c>
      <c r="AC553" s="184"/>
      <c r="AD553" s="182">
        <f>Escenario1!BN590</f>
        <v>0.38844123567350924</v>
      </c>
      <c r="AE553" s="184"/>
      <c r="AF553" s="182">
        <f>Escenario2!BN343</f>
        <v>0.34066327917074707</v>
      </c>
      <c r="AG553" s="184"/>
      <c r="AH553" s="182">
        <f>LíneaBase!N528</f>
        <v>0</v>
      </c>
      <c r="AI553" s="184"/>
      <c r="AJ553" s="182">
        <f>Escenario1!BP528</f>
        <v>0</v>
      </c>
      <c r="AK553" s="184"/>
      <c r="AL553" s="182">
        <f>Escenario2!BP528</f>
        <v>0</v>
      </c>
      <c r="AM553" s="151"/>
      <c r="BA553" s="152"/>
      <c r="BB553" s="75">
        <v>548</v>
      </c>
      <c r="BC553" s="190">
        <f>ABS(LíneaBase!L554-LíneaBase!L553)</f>
        <v>4.1804817401715488E-3</v>
      </c>
      <c r="BD553" s="190">
        <f>ABS(Escenario1!BN554-Escenario1!BN553)</f>
        <v>5.3259166904054966E-3</v>
      </c>
      <c r="BE553" s="190">
        <f>ABS(Escenario2!BN554-Escenario2!BN553)</f>
        <v>5.4283349404574688E-3</v>
      </c>
      <c r="BF553" s="151"/>
    </row>
    <row r="554" spans="25:58">
      <c r="Y554" s="152"/>
      <c r="Z554" s="183">
        <f>(LíneaBase!C555-0.44)/(MAX(LíneaBase!C:C)+0.12)*100</f>
        <v>75.132854873171524</v>
      </c>
      <c r="AA554" s="184"/>
      <c r="AB554" s="182">
        <f>LíneaBase!L584</f>
        <v>0.31213071072269155</v>
      </c>
      <c r="AC554" s="184"/>
      <c r="AD554" s="182">
        <f>Escenario1!BN218</f>
        <v>0.38678202376542187</v>
      </c>
      <c r="AE554" s="184"/>
      <c r="AF554" s="182">
        <f>Escenario2!BN678</f>
        <v>0.34061752556114167</v>
      </c>
      <c r="AG554" s="184"/>
      <c r="AH554" s="182">
        <f>LíneaBase!N529</f>
        <v>0</v>
      </c>
      <c r="AI554" s="184"/>
      <c r="AJ554" s="182">
        <f>Escenario1!BP529</f>
        <v>0</v>
      </c>
      <c r="AK554" s="184"/>
      <c r="AL554" s="182">
        <f>Escenario2!BP529</f>
        <v>0</v>
      </c>
      <c r="AM554" s="151"/>
      <c r="BA554" s="152"/>
      <c r="BB554" s="75">
        <v>549</v>
      </c>
      <c r="BC554" s="190">
        <f>ABS(LíneaBase!L555-LíneaBase!L554)</f>
        <v>4.1392904578723133E-3</v>
      </c>
      <c r="BD554" s="190">
        <f>ABS(Escenario1!BN555-Escenario1!BN554)</f>
        <v>5.2752656615501214E-3</v>
      </c>
      <c r="BE554" s="190">
        <f>ABS(Escenario2!BN555-Escenario2!BN554)</f>
        <v>5.3704841671153858E-3</v>
      </c>
      <c r="BF554" s="151"/>
    </row>
    <row r="555" spans="25:58">
      <c r="Y555" s="152"/>
      <c r="Z555" s="183">
        <f>(LíneaBase!C556-0.44)/(MAX(LíneaBase!C:C)+0.12)*100</f>
        <v>75.269818659946296</v>
      </c>
      <c r="AA555" s="184"/>
      <c r="AB555" s="182">
        <f>LíneaBase!L585</f>
        <v>0.31177886358744267</v>
      </c>
      <c r="AC555" s="184"/>
      <c r="AD555" s="182">
        <f>Escenario1!BN219</f>
        <v>0.38302482108929187</v>
      </c>
      <c r="AE555" s="184"/>
      <c r="AF555" s="182">
        <f>Escenario2!BN226</f>
        <v>0.34061414299430226</v>
      </c>
      <c r="AG555" s="184"/>
      <c r="AH555" s="182">
        <f>LíneaBase!N530</f>
        <v>0</v>
      </c>
      <c r="AI555" s="184"/>
      <c r="AJ555" s="182">
        <f>Escenario1!BP530</f>
        <v>0</v>
      </c>
      <c r="AK555" s="184"/>
      <c r="AL555" s="182">
        <f>Escenario2!BP530</f>
        <v>0</v>
      </c>
      <c r="AM555" s="151"/>
      <c r="BA555" s="152"/>
      <c r="BB555" s="75">
        <v>550</v>
      </c>
      <c r="BC555" s="190">
        <f>ABS(LíneaBase!L556-LíneaBase!L555)</f>
        <v>4.0985050430887848E-3</v>
      </c>
      <c r="BD555" s="190">
        <f>ABS(Escenario1!BN556-Escenario1!BN555)</f>
        <v>5.2250858590867644E-3</v>
      </c>
      <c r="BE555" s="190">
        <f>ABS(Escenario2!BN556-Escenario2!BN555)</f>
        <v>5.3132701175113706E-3</v>
      </c>
      <c r="BF555" s="151"/>
    </row>
    <row r="556" spans="25:58">
      <c r="Y556" s="152"/>
      <c r="Z556" s="183">
        <f>(LíneaBase!C557-0.44)/(MAX(LíneaBase!C:C)+0.12)*100</f>
        <v>75.406782446721081</v>
      </c>
      <c r="AA556" s="184"/>
      <c r="AB556" s="182">
        <f>LíneaBase!L217</f>
        <v>0.31033351763699285</v>
      </c>
      <c r="AC556" s="184"/>
      <c r="AD556" s="182">
        <f>Escenario1!BN591</f>
        <v>0.38298061575373693</v>
      </c>
      <c r="AE556" s="184"/>
      <c r="AF556" s="182">
        <f>Escenario2!BN595</f>
        <v>0.3372031817776866</v>
      </c>
      <c r="AG556" s="184"/>
      <c r="AH556" s="182">
        <f>LíneaBase!N531</f>
        <v>0</v>
      </c>
      <c r="AI556" s="184"/>
      <c r="AJ556" s="182">
        <f>Escenario1!BP531</f>
        <v>0</v>
      </c>
      <c r="AK556" s="184"/>
      <c r="AL556" s="182">
        <f>Escenario2!BP531</f>
        <v>0</v>
      </c>
      <c r="AM556" s="151"/>
      <c r="BA556" s="152"/>
      <c r="BB556" s="75">
        <v>551</v>
      </c>
      <c r="BC556" s="190">
        <f>ABS(LíneaBase!L557-LíneaBase!L556)</f>
        <v>4.0581214967113644E-3</v>
      </c>
      <c r="BD556" s="190">
        <f>ABS(Escenario1!BN557-Escenario1!BN556)</f>
        <v>5.1754002800791232E-3</v>
      </c>
      <c r="BE556" s="190">
        <f>ABS(Escenario2!BN557-Escenario2!BN556)</f>
        <v>5.2566854982326605E-3</v>
      </c>
      <c r="BF556" s="151"/>
    </row>
    <row r="557" spans="25:58">
      <c r="Y557" s="152"/>
      <c r="Z557" s="183">
        <f>(LíneaBase!C558-0.44)/(MAX(LíneaBase!C:C)+0.12)*100</f>
        <v>75.543746233495852</v>
      </c>
      <c r="AA557" s="184"/>
      <c r="AB557" s="182">
        <f>LíneaBase!L218</f>
        <v>0.30722333636713406</v>
      </c>
      <c r="AC557" s="184"/>
      <c r="AD557" s="182">
        <f>Escenario1!BN710</f>
        <v>0.38237399289143709</v>
      </c>
      <c r="AE557" s="184"/>
      <c r="AF557" s="182">
        <f>Escenario2!BN596</f>
        <v>0.3349273908478671</v>
      </c>
      <c r="AG557" s="184"/>
      <c r="AH557" s="182">
        <f>LíneaBase!N532</f>
        <v>0</v>
      </c>
      <c r="AI557" s="184"/>
      <c r="AJ557" s="182">
        <f>Escenario1!BP532</f>
        <v>0</v>
      </c>
      <c r="AK557" s="184"/>
      <c r="AL557" s="182">
        <f>Escenario2!BP532</f>
        <v>0</v>
      </c>
      <c r="AM557" s="151"/>
      <c r="BA557" s="152"/>
      <c r="BB557" s="75">
        <v>552</v>
      </c>
      <c r="BC557" s="190">
        <f>ABS(LíneaBase!L558-LíneaBase!L557)</f>
        <v>4.018135859034988E-3</v>
      </c>
      <c r="BD557" s="190">
        <f>ABS(Escenario1!BN558-Escenario1!BN557)</f>
        <v>5.1261839321444791E-3</v>
      </c>
      <c r="BE557" s="190">
        <f>ABS(Escenario2!BN558-Escenario2!BN557)</f>
        <v>5.20072310331543E-3</v>
      </c>
      <c r="BF557" s="151"/>
    </row>
    <row r="558" spans="25:58">
      <c r="Y558" s="152"/>
      <c r="Z558" s="183">
        <f>(LíneaBase!C559-0.44)/(MAX(LíneaBase!C:C)+0.12)*100</f>
        <v>75.680710020270638</v>
      </c>
      <c r="AA558" s="184"/>
      <c r="AB558" s="182">
        <f>LíneaBase!L586</f>
        <v>0.30646054216073121</v>
      </c>
      <c r="AC558" s="184"/>
      <c r="AD558" s="182">
        <f>Escenario1!BN220</f>
        <v>0.38126320186982393</v>
      </c>
      <c r="AE558" s="184"/>
      <c r="AF558" s="182">
        <f>Escenario2!BN313</f>
        <v>0.33474538370284102</v>
      </c>
      <c r="AG558" s="184"/>
      <c r="AH558" s="182">
        <f>LíneaBase!N533</f>
        <v>0</v>
      </c>
      <c r="AI558" s="184"/>
      <c r="AJ558" s="182">
        <f>Escenario1!BP533</f>
        <v>0</v>
      </c>
      <c r="AK558" s="184"/>
      <c r="AL558" s="182">
        <f>Escenario2!BP533</f>
        <v>0</v>
      </c>
      <c r="AM558" s="151"/>
      <c r="BA558" s="152"/>
      <c r="BB558" s="75">
        <v>553</v>
      </c>
      <c r="BC558" s="190">
        <f>ABS(LíneaBase!L559-LíneaBase!L558)</f>
        <v>3.9785442093706602E-3</v>
      </c>
      <c r="BD558" s="190">
        <f>ABS(Escenario1!BN559-Escenario1!BN558)</f>
        <v>5.077437048429112E-3</v>
      </c>
      <c r="BE558" s="190">
        <f>ABS(Escenario2!BN559-Escenario2!BN558)</f>
        <v>5.1453758131446703E-3</v>
      </c>
      <c r="BF558" s="151"/>
    </row>
    <row r="559" spans="25:58">
      <c r="Y559" s="152"/>
      <c r="Z559" s="183">
        <f>(LíneaBase!C560-0.44)/(MAX(LíneaBase!C:C)+0.12)*100</f>
        <v>75.817673807045409</v>
      </c>
      <c r="AA559" s="184"/>
      <c r="AB559" s="182">
        <f>LíneaBase!L219</f>
        <v>0.3041874980548025</v>
      </c>
      <c r="AC559" s="184"/>
      <c r="AD559" s="182">
        <f>Escenario1!BN235</f>
        <v>0.37916356394246142</v>
      </c>
      <c r="AE559" s="184"/>
      <c r="AF559" s="182">
        <f>Escenario2!BN679</f>
        <v>0.33346000619125399</v>
      </c>
      <c r="AG559" s="184"/>
      <c r="AH559" s="182">
        <f>LíneaBase!N534</f>
        <v>0</v>
      </c>
      <c r="AI559" s="184"/>
      <c r="AJ559" s="182">
        <f>Escenario1!BP534</f>
        <v>0</v>
      </c>
      <c r="AK559" s="184"/>
      <c r="AL559" s="182">
        <f>Escenario2!BP534</f>
        <v>0</v>
      </c>
      <c r="AM559" s="151"/>
      <c r="BA559" s="152"/>
      <c r="BB559" s="75">
        <v>554</v>
      </c>
      <c r="BC559" s="190">
        <f>ABS(LíneaBase!L560-LíneaBase!L559)</f>
        <v>3.9393426656602615E-3</v>
      </c>
      <c r="BD559" s="190">
        <f>ABS(Escenario1!BN560-Escenario1!BN559)</f>
        <v>5.0291320540324369E-3</v>
      </c>
      <c r="BE559" s="190">
        <f>ABS(Escenario2!BN560-Escenario2!BN559)</f>
        <v>5.0906365933692799E-3</v>
      </c>
      <c r="BF559" s="151"/>
    </row>
    <row r="560" spans="25:58">
      <c r="Y560" s="152"/>
      <c r="Z560" s="183">
        <f>(LíneaBase!C561-0.44)/(MAX(LíneaBase!C:C)+0.12)*100</f>
        <v>75.954637593820181</v>
      </c>
      <c r="AA560" s="184"/>
      <c r="AB560" s="182">
        <f>LíneaBase!L220</f>
        <v>0.30391391728589612</v>
      </c>
      <c r="AC560" s="184"/>
      <c r="AD560" s="182">
        <f>Escenario1!BN345</f>
        <v>0.37586754349948176</v>
      </c>
      <c r="AE560" s="184"/>
      <c r="AF560" s="182">
        <f>Escenario2!BN227</f>
        <v>0.33344932990873283</v>
      </c>
      <c r="AG560" s="184"/>
      <c r="AH560" s="182">
        <f>LíneaBase!N535</f>
        <v>0</v>
      </c>
      <c r="AI560" s="184"/>
      <c r="AJ560" s="182">
        <f>Escenario1!BP535</f>
        <v>0</v>
      </c>
      <c r="AK560" s="184"/>
      <c r="AL560" s="182">
        <f>Escenario2!BP535</f>
        <v>0</v>
      </c>
      <c r="AM560" s="151"/>
      <c r="BA560" s="152"/>
      <c r="BB560" s="75">
        <v>555</v>
      </c>
      <c r="BC560" s="190">
        <f>ABS(LíneaBase!L561-LíneaBase!L560)</f>
        <v>3.1147971635909877E-2</v>
      </c>
      <c r="BD560" s="190">
        <f>ABS(Escenario1!BN561-Escenario1!BN560)</f>
        <v>2.5332611439141894E-2</v>
      </c>
      <c r="BE560" s="190">
        <f>ABS(Escenario2!BN561-Escenario2!BN560)</f>
        <v>1.8768674957915787E-2</v>
      </c>
      <c r="BF560" s="151"/>
    </row>
    <row r="561" spans="25:58">
      <c r="Y561" s="152"/>
      <c r="Z561" s="183">
        <f>(LíneaBase!C562-0.44)/(MAX(LíneaBase!C:C)+0.12)*100</f>
        <v>76.091601380594966</v>
      </c>
      <c r="AA561" s="184"/>
      <c r="AB561" s="182">
        <f>LíneaBase!L587</f>
        <v>0.30306817232534994</v>
      </c>
      <c r="AC561" s="184"/>
      <c r="AD561" s="182">
        <f>Escenario1!BN221</f>
        <v>0.3756170739596208</v>
      </c>
      <c r="AE561" s="184"/>
      <c r="AF561" s="182">
        <f>Escenario2!BN597</f>
        <v>0.33049132612499427</v>
      </c>
      <c r="AG561" s="184"/>
      <c r="AH561" s="182">
        <f>LíneaBase!N536</f>
        <v>0</v>
      </c>
      <c r="AI561" s="184"/>
      <c r="AJ561" s="182">
        <f>Escenario1!BP536</f>
        <v>0</v>
      </c>
      <c r="AK561" s="184"/>
      <c r="AL561" s="182">
        <f>Escenario2!BP536</f>
        <v>0</v>
      </c>
      <c r="AM561" s="151"/>
      <c r="BA561" s="152"/>
      <c r="BB561" s="75">
        <v>556</v>
      </c>
      <c r="BC561" s="190">
        <f>ABS(LíneaBase!L562-LíneaBase!L561)</f>
        <v>3.3094774317049547E-2</v>
      </c>
      <c r="BD561" s="190">
        <f>ABS(Escenario1!BN562-Escenario1!BN561)</f>
        <v>3.0518291513271123E-2</v>
      </c>
      <c r="BE561" s="190">
        <f>ABS(Escenario2!BN562-Escenario2!BN561)</f>
        <v>2.4837985007250318E-2</v>
      </c>
      <c r="BF561" s="151"/>
    </row>
    <row r="562" spans="25:58">
      <c r="Y562" s="152"/>
      <c r="Z562" s="183">
        <f>(LíneaBase!C563-0.44)/(MAX(LíneaBase!C:C)+0.12)*100</f>
        <v>76.228565167369737</v>
      </c>
      <c r="AA562" s="184"/>
      <c r="AB562" s="182">
        <f>LíneaBase!L590</f>
        <v>0.30143492661447713</v>
      </c>
      <c r="AC562" s="184"/>
      <c r="AD562" s="182">
        <f>Escenario1!BN592</f>
        <v>0.37539369305805309</v>
      </c>
      <c r="AE562" s="184"/>
      <c r="AF562" s="182">
        <f>Escenario2!BN228</f>
        <v>0.32941797721687316</v>
      </c>
      <c r="AG562" s="184"/>
      <c r="AH562" s="182">
        <f>LíneaBase!N537</f>
        <v>0</v>
      </c>
      <c r="AI562" s="184"/>
      <c r="AJ562" s="182">
        <f>Escenario1!BP537</f>
        <v>0</v>
      </c>
      <c r="AK562" s="184"/>
      <c r="AL562" s="182">
        <f>Escenario2!BP537</f>
        <v>0</v>
      </c>
      <c r="AM562" s="151"/>
      <c r="BA562" s="152"/>
      <c r="BB562" s="75">
        <v>557</v>
      </c>
      <c r="BC562" s="190">
        <f>ABS(LíneaBase!L563-LíneaBase!L562)</f>
        <v>8.6748039849098846E-3</v>
      </c>
      <c r="BD562" s="190">
        <f>ABS(Escenario1!BN563-Escenario1!BN562)</f>
        <v>9.1409594736322486E-3</v>
      </c>
      <c r="BE562" s="190">
        <f>ABS(Escenario2!BN563-Escenario2!BN562)</f>
        <v>8.2246691180510312E-3</v>
      </c>
      <c r="BF562" s="151"/>
    </row>
    <row r="563" spans="25:58">
      <c r="Y563" s="152"/>
      <c r="Z563" s="183">
        <f>(LíneaBase!C564-0.44)/(MAX(LíneaBase!C:C)+0.12)*100</f>
        <v>76.365528954144509</v>
      </c>
      <c r="AA563" s="184"/>
      <c r="AB563" s="182">
        <f>LíneaBase!L588</f>
        <v>0.30002011814507867</v>
      </c>
      <c r="AC563" s="184"/>
      <c r="AD563" s="182">
        <f>Escenario1!BN222</f>
        <v>0.37196586146164123</v>
      </c>
      <c r="AE563" s="184"/>
      <c r="AF563" s="182">
        <f>Escenario2!BN314</f>
        <v>0.32765096516556064</v>
      </c>
      <c r="AG563" s="184"/>
      <c r="AH563" s="182">
        <f>LíneaBase!N538</f>
        <v>0</v>
      </c>
      <c r="AI563" s="184"/>
      <c r="AJ563" s="182">
        <f>Escenario1!BP538</f>
        <v>0</v>
      </c>
      <c r="AK563" s="184"/>
      <c r="AL563" s="182">
        <f>Escenario2!BP538</f>
        <v>0</v>
      </c>
      <c r="AM563" s="151"/>
      <c r="BA563" s="152"/>
      <c r="BB563" s="75">
        <v>558</v>
      </c>
      <c r="BC563" s="190">
        <f>ABS(LíneaBase!L564-LíneaBase!L563)</f>
        <v>4.5912791383439511E-3</v>
      </c>
      <c r="BD563" s="190">
        <f>ABS(Escenario1!BN564-Escenario1!BN563)</f>
        <v>5.307222447478499E-3</v>
      </c>
      <c r="BE563" s="190">
        <f>ABS(Escenario2!BN564-Escenario2!BN563)</f>
        <v>5.4243282414661587E-3</v>
      </c>
      <c r="BF563" s="151"/>
    </row>
    <row r="564" spans="25:58">
      <c r="Y564" s="152"/>
      <c r="Z564" s="183">
        <f>(LíneaBase!C565-0.44)/(MAX(LíneaBase!C:C)+0.12)*100</f>
        <v>76.502492740919294</v>
      </c>
      <c r="AA564" s="184"/>
      <c r="AB564" s="182">
        <f>LíneaBase!L221</f>
        <v>0.29867309104837808</v>
      </c>
      <c r="AC564" s="184"/>
      <c r="AD564" s="182">
        <f>Escenario1!BN593</f>
        <v>0.37141508977905358</v>
      </c>
      <c r="AE564" s="184"/>
      <c r="AF564" s="182">
        <f>Escenario2!BN598</f>
        <v>0.32692588005377154</v>
      </c>
      <c r="AG564" s="184"/>
      <c r="AH564" s="182">
        <f>LíneaBase!N539</f>
        <v>0</v>
      </c>
      <c r="AI564" s="184"/>
      <c r="AJ564" s="182">
        <f>Escenario1!BP539</f>
        <v>0</v>
      </c>
      <c r="AK564" s="184"/>
      <c r="AL564" s="182">
        <f>Escenario2!BP539</f>
        <v>0</v>
      </c>
      <c r="AM564" s="151"/>
      <c r="BA564" s="152"/>
      <c r="BB564" s="75">
        <v>559</v>
      </c>
      <c r="BC564" s="190">
        <f>ABS(LíneaBase!L565-LíneaBase!L564)</f>
        <v>3.8826184420778787E-3</v>
      </c>
      <c r="BD564" s="190">
        <f>ABS(Escenario1!BN565-Escenario1!BN564)</f>
        <v>4.7916329880322572E-3</v>
      </c>
      <c r="BE564" s="190">
        <f>ABS(Escenario2!BN565-Escenario2!BN564)</f>
        <v>4.9165395006842694E-3</v>
      </c>
      <c r="BF564" s="151"/>
    </row>
    <row r="565" spans="25:58">
      <c r="Y565" s="152"/>
      <c r="Z565" s="183">
        <f>(LíneaBase!C566-0.44)/(MAX(LíneaBase!C:C)+0.12)*100</f>
        <v>76.639456527694065</v>
      </c>
      <c r="AA565" s="184"/>
      <c r="AB565" s="182">
        <f>LíneaBase!L591</f>
        <v>0.2965272906804986</v>
      </c>
      <c r="AC565" s="184"/>
      <c r="AD565" s="182">
        <f>Escenario1!BN223</f>
        <v>0.36834911123747421</v>
      </c>
      <c r="AE565" s="184"/>
      <c r="AF565" s="182">
        <f>Escenario2!BN229</f>
        <v>0.32593632626466396</v>
      </c>
      <c r="AG565" s="184"/>
      <c r="AH565" s="182">
        <f>LíneaBase!N540</f>
        <v>0</v>
      </c>
      <c r="AI565" s="184"/>
      <c r="AJ565" s="182">
        <f>Escenario1!BP540</f>
        <v>0</v>
      </c>
      <c r="AK565" s="184"/>
      <c r="AL565" s="182">
        <f>Escenario2!BP540</f>
        <v>0</v>
      </c>
      <c r="AM565" s="151"/>
      <c r="BA565" s="152"/>
      <c r="BB565" s="75">
        <v>560</v>
      </c>
      <c r="BC565" s="190">
        <f>ABS(LíneaBase!L566-LíneaBase!L565)</f>
        <v>3.7342763115018052E-3</v>
      </c>
      <c r="BD565" s="190">
        <f>ABS(Escenario1!BN566-Escenario1!BN565)</f>
        <v>4.7460637399729388E-3</v>
      </c>
      <c r="BE565" s="190">
        <f>ABS(Escenario2!BN566-Escenario2!BN565)</f>
        <v>4.789640770220982E-3</v>
      </c>
      <c r="BF565" s="151"/>
    </row>
    <row r="566" spans="25:58">
      <c r="Y566" s="152"/>
      <c r="Z566" s="183">
        <f>(LíneaBase!C567-0.44)/(MAX(LíneaBase!C:C)+0.12)*100</f>
        <v>76.776420314468851</v>
      </c>
      <c r="AA566" s="184"/>
      <c r="AB566" s="182">
        <f>LíneaBase!L222</f>
        <v>0.29535745282363318</v>
      </c>
      <c r="AC566" s="184"/>
      <c r="AD566" s="182">
        <f>Escenario1!BN594</f>
        <v>0.36780244655667471</v>
      </c>
      <c r="AE566" s="184"/>
      <c r="AF566" s="182">
        <f>Escenario2!BN601</f>
        <v>0.32404732088574312</v>
      </c>
      <c r="AG566" s="184"/>
      <c r="AH566" s="182">
        <f>LíneaBase!N541</f>
        <v>0</v>
      </c>
      <c r="AI566" s="184"/>
      <c r="AJ566" s="182">
        <f>Escenario1!BP541</f>
        <v>0</v>
      </c>
      <c r="AK566" s="184"/>
      <c r="AL566" s="182">
        <f>Escenario2!BP541</f>
        <v>0</v>
      </c>
      <c r="AM566" s="151"/>
      <c r="BA566" s="152"/>
      <c r="BB566" s="75">
        <v>561</v>
      </c>
      <c r="BC566" s="190">
        <f>ABS(LíneaBase!L567-LíneaBase!L566)</f>
        <v>3.6792143696426916E-3</v>
      </c>
      <c r="BD566" s="190">
        <f>ABS(Escenario1!BN567-Escenario1!BN566)</f>
        <v>4.700917731184362E-3</v>
      </c>
      <c r="BE566" s="190">
        <f>ABS(Escenario2!BN567-Escenario2!BN566)</f>
        <v>4.7264124741231428E-3</v>
      </c>
      <c r="BF566" s="151"/>
    </row>
    <row r="567" spans="25:58">
      <c r="Y567" s="152"/>
      <c r="Z567" s="183">
        <f>(LíneaBase!C568-0.44)/(MAX(LíneaBase!C:C)+0.12)*100</f>
        <v>76.913384101243622</v>
      </c>
      <c r="AA567" s="184"/>
      <c r="AB567" s="182">
        <f>LíneaBase!L225</f>
        <v>0.29394989534060656</v>
      </c>
      <c r="AC567" s="184"/>
      <c r="AD567" s="182">
        <f>Escenario1!BN225</f>
        <v>0.3672013486287542</v>
      </c>
      <c r="AE567" s="184"/>
      <c r="AF567" s="182">
        <f>Escenario2!BN599</f>
        <v>0.32353462193379368</v>
      </c>
      <c r="AG567" s="184"/>
      <c r="AH567" s="182">
        <f>LíneaBase!N542</f>
        <v>0</v>
      </c>
      <c r="AI567" s="184"/>
      <c r="AJ567" s="182">
        <f>Escenario1!BP542</f>
        <v>0</v>
      </c>
      <c r="AK567" s="184"/>
      <c r="AL567" s="182">
        <f>Escenario2!BP542</f>
        <v>0</v>
      </c>
      <c r="AM567" s="151"/>
      <c r="BA567" s="152"/>
      <c r="BB567" s="75">
        <v>562</v>
      </c>
      <c r="BC567" s="190">
        <f>ABS(LíneaBase!L568-LíneaBase!L567)</f>
        <v>3.6399309973962901E-3</v>
      </c>
      <c r="BD567" s="190">
        <f>ABS(Escenario1!BN568-Escenario1!BN567)</f>
        <v>4.6562145235367614E-3</v>
      </c>
      <c r="BE567" s="190">
        <f>ABS(Escenario2!BN568-Escenario2!BN567)</f>
        <v>4.6742110439151885E-3</v>
      </c>
      <c r="BF567" s="151"/>
    </row>
    <row r="568" spans="25:58">
      <c r="Y568" s="152"/>
      <c r="Z568" s="183">
        <f>(LíneaBase!C569-0.44)/(MAX(LíneaBase!C:C)+0.12)*100</f>
        <v>77.050347888018393</v>
      </c>
      <c r="AA568" s="184"/>
      <c r="AB568" s="182">
        <f>LíneaBase!L710</f>
        <v>0.29391706673393003</v>
      </c>
      <c r="AC568" s="184"/>
      <c r="AD568" s="182">
        <f>Escenario1!BN657</f>
        <v>0.36578601962130874</v>
      </c>
      <c r="AE568" s="184"/>
      <c r="AF568" s="182">
        <f>Escenario2!BN230</f>
        <v>0.32257531793514949</v>
      </c>
      <c r="AG568" s="184"/>
      <c r="AH568" s="182">
        <f>LíneaBase!N543</f>
        <v>0</v>
      </c>
      <c r="AI568" s="184"/>
      <c r="AJ568" s="182">
        <f>Escenario1!BP543</f>
        <v>0</v>
      </c>
      <c r="AK568" s="184"/>
      <c r="AL568" s="182">
        <f>Escenario2!BP543</f>
        <v>0</v>
      </c>
      <c r="AM568" s="151"/>
      <c r="BA568" s="152"/>
      <c r="BB568" s="75">
        <v>563</v>
      </c>
      <c r="BC568" s="190">
        <f>ABS(LíneaBase!L569-LíneaBase!L568)</f>
        <v>3.6035629046552997E-3</v>
      </c>
      <c r="BD568" s="190">
        <f>ABS(Escenario1!BN569-Escenario1!BN568)</f>
        <v>4.6119274720817227E-3</v>
      </c>
      <c r="BE568" s="190">
        <f>ABS(Escenario2!BN569-Escenario2!BN568)</f>
        <v>4.6242957458478839E-3</v>
      </c>
      <c r="BF568" s="151"/>
    </row>
    <row r="569" spans="25:58">
      <c r="Y569" s="152"/>
      <c r="Z569" s="183">
        <f>(LíneaBase!C570-0.44)/(MAX(LíneaBase!C:C)+0.12)*100</f>
        <v>77.187311674793179</v>
      </c>
      <c r="AA569" s="184"/>
      <c r="AB569" s="182">
        <f>LíneaBase!L223</f>
        <v>0.29238537419916277</v>
      </c>
      <c r="AC569" s="184"/>
      <c r="AD569" s="182">
        <f>Escenario1!BN595</f>
        <v>0.36422391361558093</v>
      </c>
      <c r="AE569" s="184"/>
      <c r="AF569" s="182">
        <f>Escenario2!BN657</f>
        <v>0.32205473746574614</v>
      </c>
      <c r="AG569" s="184"/>
      <c r="AH569" s="182">
        <f>LíneaBase!N544</f>
        <v>0</v>
      </c>
      <c r="AI569" s="184"/>
      <c r="AJ569" s="182">
        <f>Escenario1!BP544</f>
        <v>0</v>
      </c>
      <c r="AK569" s="184"/>
      <c r="AL569" s="182">
        <f>Escenario2!BP544</f>
        <v>0</v>
      </c>
      <c r="AM569" s="151"/>
      <c r="BA569" s="152"/>
      <c r="BB569" s="75">
        <v>564</v>
      </c>
      <c r="BC569" s="190">
        <f>ABS(LíneaBase!L570-LíneaBase!L569)</f>
        <v>2.2054258344540445E-3</v>
      </c>
      <c r="BD569" s="190">
        <f>ABS(Escenario1!BN570-Escenario1!BN569)</f>
        <v>3.7556407358627086E-3</v>
      </c>
      <c r="BE569" s="190">
        <f>ABS(Escenario2!BN570-Escenario2!BN569)</f>
        <v>3.376169762084269E-3</v>
      </c>
      <c r="BF569" s="151"/>
    </row>
    <row r="570" spans="25:58">
      <c r="Y570" s="152"/>
      <c r="Z570" s="183">
        <f>(LíneaBase!C571-0.44)/(MAX(LíneaBase!C:C)+0.12)*100</f>
        <v>77.32427546156795</v>
      </c>
      <c r="AA570" s="184"/>
      <c r="AB570" s="182">
        <f>LíneaBase!L345</f>
        <v>0.29163597790268136</v>
      </c>
      <c r="AC570" s="184"/>
      <c r="AD570" s="182">
        <f>Escenario1!BN226</f>
        <v>0.3619474138866986</v>
      </c>
      <c r="AE570" s="184"/>
      <c r="AF570" s="182">
        <f>Escenario2!BN231</f>
        <v>0.32046248082074708</v>
      </c>
      <c r="AG570" s="184"/>
      <c r="AH570" s="182">
        <f>LíneaBase!N545</f>
        <v>0</v>
      </c>
      <c r="AI570" s="184"/>
      <c r="AJ570" s="182">
        <f>Escenario1!BP545</f>
        <v>0</v>
      </c>
      <c r="AK570" s="184"/>
      <c r="AL570" s="182">
        <f>Escenario2!BP545</f>
        <v>0</v>
      </c>
      <c r="AM570" s="151"/>
      <c r="BA570" s="152"/>
      <c r="BB570" s="75">
        <v>565</v>
      </c>
      <c r="BC570" s="190">
        <f>ABS(LíneaBase!L571-LíneaBase!L570)</f>
        <v>7.53479220022929E-3</v>
      </c>
      <c r="BD570" s="190">
        <f>ABS(Escenario1!BN571-Escenario1!BN570)</f>
        <v>5.0768244944478513E-3</v>
      </c>
      <c r="BE570" s="190">
        <f>ABS(Escenario2!BN571-Escenario2!BN570)</f>
        <v>4.0655429585632619E-3</v>
      </c>
      <c r="BF570" s="151"/>
    </row>
    <row r="571" spans="25:58">
      <c r="Y571" s="152"/>
      <c r="Z571" s="183">
        <f>(LíneaBase!C572-0.44)/(MAX(LíneaBase!C:C)+0.12)*100</f>
        <v>77.461239248342721</v>
      </c>
      <c r="AA571" s="184"/>
      <c r="AB571" s="182">
        <f>LíneaBase!L639</f>
        <v>0.29120958432978905</v>
      </c>
      <c r="AC571" s="184"/>
      <c r="AD571" s="182">
        <f>Escenario1!BN596</f>
        <v>0.36142569786285883</v>
      </c>
      <c r="AE571" s="184"/>
      <c r="AF571" s="182">
        <f>Escenario2!BN232</f>
        <v>0.31618747659178503</v>
      </c>
      <c r="AG571" s="184"/>
      <c r="AH571" s="182">
        <f>LíneaBase!N546</f>
        <v>0</v>
      </c>
      <c r="AI571" s="184"/>
      <c r="AJ571" s="182">
        <f>Escenario1!BP546</f>
        <v>0</v>
      </c>
      <c r="AK571" s="184"/>
      <c r="AL571" s="182">
        <f>Escenario2!BP546</f>
        <v>0</v>
      </c>
      <c r="AM571" s="151"/>
      <c r="BA571" s="152"/>
      <c r="BB571" s="75">
        <v>566</v>
      </c>
      <c r="BC571" s="190">
        <f>ABS(LíneaBase!L572-LíneaBase!L571)</f>
        <v>0.15480683807313828</v>
      </c>
      <c r="BD571" s="190">
        <f>ABS(Escenario1!BN572-Escenario1!BN571)</f>
        <v>0.11049455441141165</v>
      </c>
      <c r="BE571" s="190">
        <f>ABS(Escenario2!BN572-Escenario2!BN571)</f>
        <v>0.10321354882524281</v>
      </c>
      <c r="BF571" s="151"/>
    </row>
    <row r="572" spans="25:58">
      <c r="Y572" s="152"/>
      <c r="Z572" s="183">
        <f>(LíneaBase!C573-0.44)/(MAX(LíneaBase!C:C)+0.12)*100</f>
        <v>77.598203035117507</v>
      </c>
      <c r="AA572" s="184"/>
      <c r="AB572" s="182">
        <f>LíneaBase!L592</f>
        <v>0.28923666670542131</v>
      </c>
      <c r="AC572" s="184"/>
      <c r="AD572" s="182">
        <f>Escenario1!BN597</f>
        <v>0.35716826415145597</v>
      </c>
      <c r="AE572" s="184"/>
      <c r="AF572" s="182">
        <f>Escenario2!BN602</f>
        <v>0.31483323310169881</v>
      </c>
      <c r="AG572" s="184"/>
      <c r="AH572" s="182">
        <f>LíneaBase!N547</f>
        <v>0</v>
      </c>
      <c r="AI572" s="184"/>
      <c r="AJ572" s="182">
        <f>Escenario1!BP547</f>
        <v>0</v>
      </c>
      <c r="AK572" s="184"/>
      <c r="AL572" s="182">
        <f>Escenario2!BP547</f>
        <v>0</v>
      </c>
      <c r="AM572" s="151"/>
      <c r="BA572" s="152"/>
      <c r="BB572" s="75">
        <v>567</v>
      </c>
      <c r="BC572" s="190">
        <f>ABS(LíneaBase!L573-LíneaBase!L572)</f>
        <v>0.26862183392567118</v>
      </c>
      <c r="BD572" s="190">
        <f>ABS(Escenario1!BN573-Escenario1!BN572)</f>
        <v>0.15546021187579473</v>
      </c>
      <c r="BE572" s="190">
        <f>ABS(Escenario2!BN573-Escenario2!BN572)</f>
        <v>0.1485956208103153</v>
      </c>
      <c r="BF572" s="151"/>
    </row>
    <row r="573" spans="25:58">
      <c r="Y573" s="152"/>
      <c r="Z573" s="183">
        <f>(LíneaBase!C574-0.44)/(MAX(LíneaBase!C:C)+0.12)*100</f>
        <v>77.735166821892292</v>
      </c>
      <c r="AA573" s="184"/>
      <c r="AB573" s="182">
        <f>LíneaBase!L226</f>
        <v>0.28911601120256508</v>
      </c>
      <c r="AC573" s="184"/>
      <c r="AD573" s="182">
        <f>Escenario1!BN292</f>
        <v>0.35479108691889538</v>
      </c>
      <c r="AE573" s="184"/>
      <c r="AF573" s="182">
        <f>Escenario2!BN292</f>
        <v>0.31467980980214599</v>
      </c>
      <c r="AG573" s="184"/>
      <c r="AH573" s="182">
        <f>LíneaBase!N548</f>
        <v>0</v>
      </c>
      <c r="AI573" s="184"/>
      <c r="AJ573" s="182">
        <f>Escenario1!BP548</f>
        <v>0</v>
      </c>
      <c r="AK573" s="184"/>
      <c r="AL573" s="182">
        <f>Escenario2!BP548</f>
        <v>0</v>
      </c>
      <c r="AM573" s="151"/>
      <c r="BA573" s="152"/>
      <c r="BB573" s="75">
        <v>568</v>
      </c>
      <c r="BC573" s="190">
        <f>ABS(LíneaBase!L574-LíneaBase!L573)</f>
        <v>0.18166141177126438</v>
      </c>
      <c r="BD573" s="190">
        <f>ABS(Escenario1!BN574-Escenario1!BN573)</f>
        <v>5.3354302219378869E-2</v>
      </c>
      <c r="BE573" s="190">
        <f>ABS(Escenario2!BN574-Escenario2!BN573)</f>
        <v>6.0488997773006536E-2</v>
      </c>
      <c r="BF573" s="151"/>
    </row>
    <row r="574" spans="25:58">
      <c r="Y574" s="152"/>
      <c r="Z574" s="183">
        <f>(LíneaBase!C575-0.44)/(MAX(LíneaBase!C:C)+0.12)*100</f>
        <v>77.87213060866705</v>
      </c>
      <c r="AA574" s="184"/>
      <c r="AB574" s="182">
        <f>LíneaBase!L274</f>
        <v>0.28660200711152017</v>
      </c>
      <c r="AC574" s="184"/>
      <c r="AD574" s="182">
        <f>Escenario1!BN227</f>
        <v>0.35456520012655723</v>
      </c>
      <c r="AE574" s="184"/>
      <c r="AF574" s="182">
        <f>Escenario2!BN233</f>
        <v>0.3127812207458609</v>
      </c>
      <c r="AG574" s="184"/>
      <c r="AH574" s="182">
        <f>LíneaBase!N549</f>
        <v>0</v>
      </c>
      <c r="AI574" s="184"/>
      <c r="AJ574" s="182">
        <f>Escenario1!BP549</f>
        <v>0</v>
      </c>
      <c r="AK574" s="184"/>
      <c r="AL574" s="182">
        <f>Escenario2!BP549</f>
        <v>0</v>
      </c>
      <c r="AM574" s="151"/>
      <c r="BA574" s="152"/>
      <c r="BB574" s="75">
        <v>569</v>
      </c>
      <c r="BC574" s="190">
        <f>ABS(LíneaBase!L575-LíneaBase!L574)</f>
        <v>5.6440767620606569E-2</v>
      </c>
      <c r="BD574" s="190">
        <f>ABS(Escenario1!BN575-Escenario1!BN574)</f>
        <v>5.127541955371373E-2</v>
      </c>
      <c r="BE574" s="190">
        <f>ABS(Escenario2!BN575-Escenario2!BN574)</f>
        <v>5.8089478648926884E-2</v>
      </c>
      <c r="BF574" s="151"/>
    </row>
    <row r="575" spans="25:58">
      <c r="Y575" s="152"/>
      <c r="Z575" s="183">
        <f>(LíneaBase!C576-0.44)/(MAX(LíneaBase!C:C)+0.12)*100</f>
        <v>78.009094395441835</v>
      </c>
      <c r="AA575" s="184"/>
      <c r="AB575" s="182">
        <f>LíneaBase!L593</f>
        <v>0.28566179469606434</v>
      </c>
      <c r="AC575" s="184"/>
      <c r="AD575" s="182">
        <f>Escenario1!BN598</f>
        <v>0.35369051780143118</v>
      </c>
      <c r="AE575" s="184"/>
      <c r="AF575" s="182">
        <f>Escenario2!BN603</f>
        <v>0.31062036850837799</v>
      </c>
      <c r="AG575" s="184"/>
      <c r="AH575" s="182">
        <f>LíneaBase!N550</f>
        <v>0</v>
      </c>
      <c r="AI575" s="184"/>
      <c r="AJ575" s="182">
        <f>Escenario1!BP550</f>
        <v>0</v>
      </c>
      <c r="AK575" s="184"/>
      <c r="AL575" s="182">
        <f>Escenario2!BP550</f>
        <v>0</v>
      </c>
      <c r="AM575" s="151"/>
      <c r="BA575" s="152"/>
      <c r="BB575" s="75">
        <v>570</v>
      </c>
      <c r="BC575" s="190">
        <f>ABS(LíneaBase!L576-LíneaBase!L575)</f>
        <v>5.5706447628723343E-2</v>
      </c>
      <c r="BD575" s="190">
        <f>ABS(Escenario1!BN576-Escenario1!BN575)</f>
        <v>5.0607936862626879E-2</v>
      </c>
      <c r="BE575" s="190">
        <f>ABS(Escenario2!BN576-Escenario2!BN575)</f>
        <v>5.736969170399886E-2</v>
      </c>
      <c r="BF575" s="151"/>
    </row>
    <row r="576" spans="25:58">
      <c r="Y576" s="152"/>
      <c r="Z576" s="183">
        <f>(LíneaBase!C577-0.44)/(MAX(LíneaBase!C:C)+0.12)*100</f>
        <v>78.14605818221662</v>
      </c>
      <c r="AA576" s="184"/>
      <c r="AB576" s="182">
        <f>LíneaBase!L594</f>
        <v>0.28272680474811207</v>
      </c>
      <c r="AC576" s="184"/>
      <c r="AD576" s="182">
        <f>Escenario1!BN601</f>
        <v>0.35163762792550296</v>
      </c>
      <c r="AE576" s="184"/>
      <c r="AF576" s="182">
        <f>Escenario2!BN236</f>
        <v>0.31036923677906247</v>
      </c>
      <c r="AG576" s="184"/>
      <c r="AH576" s="182">
        <f>LíneaBase!N551</f>
        <v>0</v>
      </c>
      <c r="AI576" s="184"/>
      <c r="AJ576" s="182">
        <f>Escenario1!BP551</f>
        <v>0</v>
      </c>
      <c r="AK576" s="184"/>
      <c r="AL576" s="182">
        <f>Escenario2!BP551</f>
        <v>0</v>
      </c>
      <c r="AM576" s="151"/>
      <c r="BA576" s="152"/>
      <c r="BB576" s="75">
        <v>571</v>
      </c>
      <c r="BC576" s="190">
        <f>ABS(LíneaBase!L577-LíneaBase!L576)</f>
        <v>5.4112352207619563E-2</v>
      </c>
      <c r="BD576" s="190">
        <f>ABS(Escenario1!BN577-Escenario1!BN576)</f>
        <v>4.9183227680242525E-2</v>
      </c>
      <c r="BE576" s="190">
        <f>ABS(Escenario2!BN577-Escenario2!BN576)</f>
        <v>5.5744867800587461E-2</v>
      </c>
      <c r="BF576" s="151"/>
    </row>
    <row r="577" spans="25:58">
      <c r="Y577" s="152"/>
      <c r="Z577" s="183">
        <f>(LíneaBase!C578-0.44)/(MAX(LíneaBase!C:C)+0.12)*100</f>
        <v>78.283021968991392</v>
      </c>
      <c r="AA577" s="184"/>
      <c r="AB577" s="182">
        <f>LíneaBase!L227</f>
        <v>0.2818984123294131</v>
      </c>
      <c r="AC577" s="184"/>
      <c r="AD577" s="182">
        <f>Escenario1!BN228</f>
        <v>0.35078932372741417</v>
      </c>
      <c r="AE577" s="184"/>
      <c r="AF577" s="182">
        <f>Escenario2!BN234</f>
        <v>0.30954730534110053</v>
      </c>
      <c r="AG577" s="184"/>
      <c r="AH577" s="182">
        <f>LíneaBase!N552</f>
        <v>0</v>
      </c>
      <c r="AI577" s="184"/>
      <c r="AJ577" s="182">
        <f>Escenario1!BP552</f>
        <v>0</v>
      </c>
      <c r="AK577" s="184"/>
      <c r="AL577" s="182">
        <f>Escenario2!BP552</f>
        <v>0</v>
      </c>
      <c r="AM577" s="151"/>
      <c r="BA577" s="152"/>
      <c r="BB577" s="75">
        <v>572</v>
      </c>
      <c r="BC577" s="190">
        <f>ABS(LíneaBase!L578-LíneaBase!L577)</f>
        <v>5.1305656859335413E-2</v>
      </c>
      <c r="BD577" s="190">
        <f>ABS(Escenario1!BN578-Escenario1!BN577)</f>
        <v>4.6690357732824816E-2</v>
      </c>
      <c r="BE577" s="190">
        <f>ABS(Escenario2!BN578-Escenario2!BN577)</f>
        <v>5.0974912341520462E-2</v>
      </c>
      <c r="BF577" s="151"/>
    </row>
    <row r="578" spans="25:58">
      <c r="Y578" s="152"/>
      <c r="Z578" s="183">
        <f>(LíneaBase!C579-0.44)/(MAX(LíneaBase!C:C)+0.12)*100</f>
        <v>78.419985755766163</v>
      </c>
      <c r="AA578" s="184"/>
      <c r="AB578" s="182">
        <f>LíneaBase!L595</f>
        <v>0.27992106868329331</v>
      </c>
      <c r="AC578" s="184"/>
      <c r="AD578" s="182">
        <f>Escenario1!BN599</f>
        <v>0.350245626297782</v>
      </c>
      <c r="AE578" s="184"/>
      <c r="AF578" s="182">
        <f>Escenario2!BN604</f>
        <v>0.30726553969577619</v>
      </c>
      <c r="AG578" s="184"/>
      <c r="AH578" s="182">
        <f>LíneaBase!N553</f>
        <v>0</v>
      </c>
      <c r="AI578" s="184"/>
      <c r="AJ578" s="182">
        <f>Escenario1!BP553</f>
        <v>0</v>
      </c>
      <c r="AK578" s="184"/>
      <c r="AL578" s="182">
        <f>Escenario2!BP553</f>
        <v>0</v>
      </c>
      <c r="AM578" s="151"/>
      <c r="BA578" s="152"/>
      <c r="BB578" s="75">
        <v>573</v>
      </c>
      <c r="BC578" s="190">
        <f>ABS(LíneaBase!L579-LíneaBase!L578)</f>
        <v>4.9757623342940704E-2</v>
      </c>
      <c r="BD578" s="190">
        <f>ABS(Escenario1!BN579-Escenario1!BN578)</f>
        <v>4.5306903949836663E-2</v>
      </c>
      <c r="BE578" s="190">
        <f>ABS(Escenario2!BN579-Escenario2!BN578)</f>
        <v>1.1918720907153901E-2</v>
      </c>
      <c r="BF578" s="151"/>
    </row>
    <row r="579" spans="25:58">
      <c r="Y579" s="152"/>
      <c r="Z579" s="183">
        <f>(LíneaBase!C580-0.44)/(MAX(LíneaBase!C:C)+0.12)*100</f>
        <v>78.556949542540949</v>
      </c>
      <c r="AA579" s="184"/>
      <c r="AB579" s="182">
        <f>LíneaBase!L596</f>
        <v>0.27852217422364883</v>
      </c>
      <c r="AC579" s="184"/>
      <c r="AD579" s="182">
        <f>Escenario1!BN229</f>
        <v>0.34737744499319323</v>
      </c>
      <c r="AE579" s="184"/>
      <c r="AF579" s="182">
        <f>Escenario2!BN605</f>
        <v>0.30408093789929053</v>
      </c>
      <c r="AG579" s="184"/>
      <c r="AH579" s="182">
        <f>LíneaBase!N554</f>
        <v>0</v>
      </c>
      <c r="AI579" s="184"/>
      <c r="AJ579" s="182">
        <f>Escenario1!BP554</f>
        <v>0</v>
      </c>
      <c r="AK579" s="184"/>
      <c r="AL579" s="182">
        <f>Escenario2!BP554</f>
        <v>0</v>
      </c>
      <c r="AM579" s="151"/>
      <c r="BA579" s="152"/>
      <c r="BB579" s="75">
        <v>574</v>
      </c>
      <c r="BC579" s="190">
        <f>ABS(LíneaBase!L580-LíneaBase!L579)</f>
        <v>1.483524355913457E-2</v>
      </c>
      <c r="BD579" s="190">
        <f>ABS(Escenario1!BN580-Escenario1!BN579)</f>
        <v>1.6545196397287798E-2</v>
      </c>
      <c r="BE579" s="190">
        <f>ABS(Escenario2!BN580-Escenario2!BN579)</f>
        <v>5.4013174382287477E-3</v>
      </c>
      <c r="BF579" s="151"/>
    </row>
    <row r="580" spans="25:58">
      <c r="Y580" s="152"/>
      <c r="Z580" s="183">
        <f>(LíneaBase!C581-0.44)/(MAX(LíneaBase!C:C)+0.12)*100</f>
        <v>78.69391332931572</v>
      </c>
      <c r="AA580" s="184"/>
      <c r="AB580" s="182">
        <f>LíneaBase!L228</f>
        <v>0.27839584588825894</v>
      </c>
      <c r="AC580" s="184"/>
      <c r="AD580" s="182">
        <f>Escenario1!BN230</f>
        <v>0.34399773312730014</v>
      </c>
      <c r="AE580" s="184"/>
      <c r="AF580" s="182">
        <f>Escenario2!BN237</f>
        <v>0.30130708284613839</v>
      </c>
      <c r="AG580" s="184"/>
      <c r="AH580" s="182">
        <f>LíneaBase!N555</f>
        <v>0</v>
      </c>
      <c r="AI580" s="184"/>
      <c r="AJ580" s="182">
        <f>Escenario1!BP555</f>
        <v>0</v>
      </c>
      <c r="AK580" s="184"/>
      <c r="AL580" s="182">
        <f>Escenario2!BP555</f>
        <v>0</v>
      </c>
      <c r="AM580" s="151"/>
      <c r="BA580" s="152"/>
      <c r="BB580" s="75">
        <v>575</v>
      </c>
      <c r="BC580" s="190">
        <f>ABS(LíneaBase!L581-LíneaBase!L580)</f>
        <v>5.1252095101646522E-3</v>
      </c>
      <c r="BD580" s="190">
        <f>ABS(Escenario1!BN581-Escenario1!BN580)</f>
        <v>6.1566336205601813E-3</v>
      </c>
      <c r="BE580" s="190">
        <f>ABS(Escenario2!BN581-Escenario2!BN580)</f>
        <v>4.2836789888192062E-3</v>
      </c>
      <c r="BF580" s="151"/>
    </row>
    <row r="581" spans="25:58">
      <c r="Y581" s="152"/>
      <c r="Z581" s="183">
        <f>(LíneaBase!C582-0.44)/(MAX(LíneaBase!C:C)+0.12)*100</f>
        <v>78.830877116090505</v>
      </c>
      <c r="AA581" s="184"/>
      <c r="AB581" s="182">
        <f>LíneaBase!L229</f>
        <v>0.27553244906452429</v>
      </c>
      <c r="AC581" s="184"/>
      <c r="AD581" s="182">
        <f>Escenario1!BN231</f>
        <v>0.34139641414130295</v>
      </c>
      <c r="AE581" s="184"/>
      <c r="AF581" s="182">
        <f>Escenario2!BN606</f>
        <v>0.3009521305903754</v>
      </c>
      <c r="AG581" s="184"/>
      <c r="AH581" s="182">
        <f>LíneaBase!N556</f>
        <v>0</v>
      </c>
      <c r="AI581" s="184"/>
      <c r="AJ581" s="182">
        <f>Escenario1!BP556</f>
        <v>0</v>
      </c>
      <c r="AK581" s="184"/>
      <c r="AL581" s="182">
        <f>Escenario2!BP556</f>
        <v>0</v>
      </c>
      <c r="AM581" s="151"/>
      <c r="BA581" s="152"/>
      <c r="BB581" s="75">
        <v>576</v>
      </c>
      <c r="BC581" s="190">
        <f>ABS(LíneaBase!L582-LíneaBase!L581)</f>
        <v>3.4877179704309591E-3</v>
      </c>
      <c r="BD581" s="190">
        <f>ABS(Escenario1!BN582-Escenario1!BN581)</f>
        <v>4.072015503772175E-3</v>
      </c>
      <c r="BE581" s="190">
        <f>ABS(Escenario2!BN582-Escenario2!BN581)</f>
        <v>4.0624512222713349E-3</v>
      </c>
      <c r="BF581" s="151"/>
    </row>
    <row r="582" spans="25:58">
      <c r="Y582" s="152"/>
      <c r="Z582" s="183">
        <f>(LíneaBase!C583-0.44)/(MAX(LíneaBase!C:C)+0.12)*100</f>
        <v>78.967840902865277</v>
      </c>
      <c r="AA582" s="184"/>
      <c r="AB582" s="182">
        <f>LíneaBase!L597</f>
        <v>0.27465425394120696</v>
      </c>
      <c r="AC582" s="184"/>
      <c r="AD582" s="182">
        <f>Escenario1!BN602</f>
        <v>0.34108843436381653</v>
      </c>
      <c r="AE582" s="184"/>
      <c r="AF582" s="182">
        <f>Escenario2!BN656</f>
        <v>0.29954472298006429</v>
      </c>
      <c r="AG582" s="184"/>
      <c r="AH582" s="182">
        <f>LíneaBase!N557</f>
        <v>0</v>
      </c>
      <c r="AI582" s="184"/>
      <c r="AJ582" s="182">
        <f>Escenario1!BP557</f>
        <v>0</v>
      </c>
      <c r="AK582" s="184"/>
      <c r="AL582" s="182">
        <f>Escenario2!BP557</f>
        <v>0</v>
      </c>
      <c r="AM582" s="151"/>
      <c r="BA582" s="152"/>
      <c r="BB582" s="75">
        <v>577</v>
      </c>
      <c r="BC582" s="190">
        <f>ABS(LíneaBase!L583-LíneaBase!L582)</f>
        <v>3.1900130894917389E-3</v>
      </c>
      <c r="BD582" s="190">
        <f>ABS(Escenario1!BN583-Escenario1!BN582)</f>
        <v>4.0162828918608451E-3</v>
      </c>
      <c r="BE582" s="190">
        <f>ABS(Escenario2!BN583-Escenario2!BN582)</f>
        <v>3.9903596068556202E-3</v>
      </c>
      <c r="BF582" s="151"/>
    </row>
    <row r="583" spans="25:58">
      <c r="Y583" s="152"/>
      <c r="Z583" s="183">
        <f>(LíneaBase!C584-0.44)/(MAX(LíneaBase!C:C)+0.12)*100</f>
        <v>79.104804689640048</v>
      </c>
      <c r="AA583" s="184"/>
      <c r="AB583" s="182">
        <f>LíneaBase!L601</f>
        <v>0.27360233872223449</v>
      </c>
      <c r="AC583" s="184"/>
      <c r="AD583" s="182">
        <f>Escenario1!BN232</f>
        <v>0.33733398155429772</v>
      </c>
      <c r="AE583" s="184"/>
      <c r="AF583" s="182">
        <f>Escenario2!BN607</f>
        <v>0.29785983253730175</v>
      </c>
      <c r="AG583" s="184"/>
      <c r="AH583" s="182">
        <f>LíneaBase!N558</f>
        <v>0</v>
      </c>
      <c r="AI583" s="184"/>
      <c r="AJ583" s="182">
        <f>Escenario1!BP558</f>
        <v>0</v>
      </c>
      <c r="AK583" s="184"/>
      <c r="AL583" s="182">
        <f>Escenario2!BP558</f>
        <v>0</v>
      </c>
      <c r="AM583" s="151"/>
      <c r="BA583" s="152"/>
      <c r="BB583" s="75">
        <v>578</v>
      </c>
      <c r="BC583" s="190">
        <f>ABS(LíneaBase!L584-LíneaBase!L583)</f>
        <v>3.1148835300311983E-3</v>
      </c>
      <c r="BD583" s="190">
        <f>ABS(Escenario1!BN584-Escenario1!BN583)</f>
        <v>3.9783106475185792E-3</v>
      </c>
      <c r="BE583" s="190">
        <f>ABS(Escenario2!BN584-Escenario2!BN583)</f>
        <v>3.9433997573016799E-3</v>
      </c>
      <c r="BF583" s="151"/>
    </row>
    <row r="584" spans="25:58">
      <c r="Y584" s="152"/>
      <c r="Z584" s="183">
        <f>(LíneaBase!C585-0.44)/(MAX(LíneaBase!C:C)+0.12)*100</f>
        <v>79.241768476414833</v>
      </c>
      <c r="AA584" s="184"/>
      <c r="AB584" s="182">
        <f>LíneaBase!L230</f>
        <v>0.27279760069981784</v>
      </c>
      <c r="AC584" s="184"/>
      <c r="AD584" s="182">
        <f>Escenario1!BN603</f>
        <v>0.33680535978964155</v>
      </c>
      <c r="AE584" s="184"/>
      <c r="AF584" s="182">
        <f>Escenario2!BN238</f>
        <v>0.29724439276209402</v>
      </c>
      <c r="AG584" s="184"/>
      <c r="AH584" s="182">
        <f>LíneaBase!N559</f>
        <v>0</v>
      </c>
      <c r="AI584" s="184"/>
      <c r="AJ584" s="182">
        <f>Escenario1!BP559</f>
        <v>0</v>
      </c>
      <c r="AK584" s="184"/>
      <c r="AL584" s="182">
        <f>Escenario2!BP559</f>
        <v>0</v>
      </c>
      <c r="AM584" s="151"/>
      <c r="BA584" s="152"/>
      <c r="BB584" s="75">
        <v>579</v>
      </c>
      <c r="BC584" s="190">
        <f>ABS(LíneaBase!L585-LíneaBase!L584)</f>
        <v>3.5184713524888389E-4</v>
      </c>
      <c r="BD584" s="190">
        <f>ABS(Escenario1!BN585-Escenario1!BN584)</f>
        <v>1.9805869933860465E-3</v>
      </c>
      <c r="BE584" s="190">
        <f>ABS(Escenario2!BN585-Escenario2!BN584)</f>
        <v>1.5029080565136521E-3</v>
      </c>
      <c r="BF584" s="151"/>
    </row>
    <row r="585" spans="25:58">
      <c r="Y585" s="152"/>
      <c r="Z585" s="183">
        <f>(LíneaBase!C586-0.44)/(MAX(LíneaBase!C:C)+0.12)*100</f>
        <v>79.378732263189605</v>
      </c>
      <c r="AA585" s="184"/>
      <c r="AB585" s="182">
        <f>LíneaBase!L598</f>
        <v>0.2717615782552768</v>
      </c>
      <c r="AC585" s="184"/>
      <c r="AD585" s="182">
        <f>Escenario1!BN233</f>
        <v>0.33404934939146197</v>
      </c>
      <c r="AE585" s="184"/>
      <c r="AF585" s="182">
        <f>Escenario2!BN608</f>
        <v>0.29480055021159607</v>
      </c>
      <c r="AG585" s="184"/>
      <c r="AH585" s="182">
        <f>LíneaBase!N560</f>
        <v>0</v>
      </c>
      <c r="AI585" s="184"/>
      <c r="AJ585" s="182">
        <f>Escenario1!BP560</f>
        <v>0</v>
      </c>
      <c r="AK585" s="184"/>
      <c r="AL585" s="182">
        <f>Escenario2!BP560</f>
        <v>0</v>
      </c>
      <c r="AM585" s="151"/>
      <c r="BA585" s="152"/>
      <c r="BB585" s="75">
        <v>580</v>
      </c>
      <c r="BC585" s="190">
        <f>ABS(LíneaBase!L586-LíneaBase!L585)</f>
        <v>5.3183214267114587E-3</v>
      </c>
      <c r="BD585" s="190">
        <f>ABS(Escenario1!BN586-Escenario1!BN585)</f>
        <v>5.8629933933669331E-3</v>
      </c>
      <c r="BE585" s="190">
        <f>ABS(Escenario2!BN586-Escenario2!BN585)</f>
        <v>5.8598658279783722E-3</v>
      </c>
      <c r="BF585" s="151"/>
    </row>
    <row r="586" spans="25:58">
      <c r="Y586" s="152"/>
      <c r="Z586" s="183">
        <f>(LíneaBase!C587-0.44)/(MAX(LíneaBase!C:C)+0.12)*100</f>
        <v>79.515696049964376</v>
      </c>
      <c r="AA586" s="184"/>
      <c r="AB586" s="182">
        <f>LíneaBase!L231</f>
        <v>0.2714688954668924</v>
      </c>
      <c r="AC586" s="184"/>
      <c r="AD586" s="182">
        <f>Escenario1!BN604</f>
        <v>0.33352551816325321</v>
      </c>
      <c r="AE586" s="184"/>
      <c r="AF586" s="182">
        <f>Escenario2!BN239</f>
        <v>0.29403800046148132</v>
      </c>
      <c r="AG586" s="184"/>
      <c r="AH586" s="182">
        <f>LíneaBase!N561</f>
        <v>0</v>
      </c>
      <c r="AI586" s="184"/>
      <c r="AJ586" s="182">
        <f>Escenario1!BP561</f>
        <v>0</v>
      </c>
      <c r="AK586" s="184"/>
      <c r="AL586" s="182">
        <f>Escenario2!BP561</f>
        <v>0</v>
      </c>
      <c r="AM586" s="151"/>
      <c r="BA586" s="152"/>
      <c r="BB586" s="75">
        <v>581</v>
      </c>
      <c r="BC586" s="190">
        <f>ABS(LíneaBase!L587-LíneaBase!L586)</f>
        <v>3.3923698353812703E-3</v>
      </c>
      <c r="BD586" s="190">
        <f>ABS(Escenario1!BN587-Escenario1!BN586)</f>
        <v>3.8659791419825007E-3</v>
      </c>
      <c r="BE586" s="190">
        <f>ABS(Escenario2!BN587-Escenario2!BN586)</f>
        <v>4.1508918703936359E-3</v>
      </c>
      <c r="BF586" s="151"/>
    </row>
    <row r="587" spans="25:58">
      <c r="Y587" s="152"/>
      <c r="Z587" s="183">
        <f>(LíneaBase!C588-0.44)/(MAX(LíneaBase!C:C)+0.12)*100</f>
        <v>79.652659836739161</v>
      </c>
      <c r="AA587" s="184"/>
      <c r="AB587" s="182">
        <f>LíneaBase!L599</f>
        <v>0.26905290921100528</v>
      </c>
      <c r="AC587" s="184"/>
      <c r="AD587" s="182">
        <f>Escenario1!BN656</f>
        <v>0.3325655199381044</v>
      </c>
      <c r="AE587" s="184"/>
      <c r="AF587" s="182">
        <f>Escenario2!BN291</f>
        <v>0.29208897673497419</v>
      </c>
      <c r="AG587" s="184"/>
      <c r="AH587" s="182">
        <f>LíneaBase!N562</f>
        <v>0</v>
      </c>
      <c r="AI587" s="184"/>
      <c r="AJ587" s="182">
        <f>Escenario1!BP562</f>
        <v>0</v>
      </c>
      <c r="AK587" s="184"/>
      <c r="AL587" s="182">
        <f>Escenario2!BP562</f>
        <v>0</v>
      </c>
      <c r="AM587" s="151"/>
      <c r="BA587" s="152"/>
      <c r="BB587" s="75">
        <v>582</v>
      </c>
      <c r="BC587" s="190">
        <f>ABS(LíneaBase!L588-LíneaBase!L587)</f>
        <v>3.0480541802712646E-3</v>
      </c>
      <c r="BD587" s="190">
        <f>ABS(Escenario1!BN588-Escenario1!BN587)</f>
        <v>3.8294387701687804E-3</v>
      </c>
      <c r="BE587" s="190">
        <f>ABS(Escenario2!BN588-Escenario2!BN587)</f>
        <v>3.8338095151578822E-3</v>
      </c>
      <c r="BF587" s="151"/>
    </row>
    <row r="588" spans="25:58">
      <c r="Y588" s="152"/>
      <c r="Z588" s="183">
        <f>(LíneaBase!C589-0.44)/(MAX(LíneaBase!C:C)+0.12)*100</f>
        <v>79.789623623513933</v>
      </c>
      <c r="AA588" s="184"/>
      <c r="AB588" s="182">
        <f>LíneaBase!L232</f>
        <v>0.267670472820001</v>
      </c>
      <c r="AC588" s="184"/>
      <c r="AD588" s="182">
        <f>Escenario1!BN236</f>
        <v>0.33256482624750949</v>
      </c>
      <c r="AE588" s="184"/>
      <c r="AF588" s="182">
        <f>Escenario2!BN609</f>
        <v>0.29177341377364147</v>
      </c>
      <c r="AG588" s="184"/>
      <c r="AH588" s="182">
        <f>LíneaBase!N563</f>
        <v>0</v>
      </c>
      <c r="AI588" s="184"/>
      <c r="AJ588" s="182">
        <f>Escenario1!BP563</f>
        <v>0</v>
      </c>
      <c r="AK588" s="184"/>
      <c r="AL588" s="182">
        <f>Escenario2!BP563</f>
        <v>0</v>
      </c>
      <c r="AM588" s="151"/>
      <c r="BA588" s="152"/>
      <c r="BB588" s="75">
        <v>583</v>
      </c>
      <c r="BC588" s="190">
        <f>ABS(LíneaBase!L589-LíneaBase!L588)</f>
        <v>4.1085917353334778E-2</v>
      </c>
      <c r="BD588" s="190">
        <f>ABS(Escenario1!BN589-Escenario1!BN588)</f>
        <v>3.4413311312879669E-2</v>
      </c>
      <c r="BE588" s="190">
        <f>ABS(Escenario2!BN589-Escenario2!BN588)</f>
        <v>2.7309785882667637E-2</v>
      </c>
      <c r="BF588" s="151"/>
    </row>
    <row r="589" spans="25:58">
      <c r="Y589" s="152"/>
      <c r="Z589" s="183">
        <f>(LíneaBase!C590-0.44)/(MAX(LíneaBase!C:C)+0.12)*100</f>
        <v>79.926587410288704</v>
      </c>
      <c r="AA589" s="184"/>
      <c r="AB589" s="182">
        <f>LíneaBase!L236</f>
        <v>0.26688976751659654</v>
      </c>
      <c r="AC589" s="184"/>
      <c r="AD589" s="182">
        <f>Escenario1!BN683</f>
        <v>0.33137965280882997</v>
      </c>
      <c r="AE589" s="184"/>
      <c r="AF589" s="182">
        <f>Escenario2!BN639</f>
        <v>0.29175804831246549</v>
      </c>
      <c r="AG589" s="184"/>
      <c r="AH589" s="182">
        <f>LíneaBase!N564</f>
        <v>0</v>
      </c>
      <c r="AI589" s="184"/>
      <c r="AJ589" s="182">
        <f>Escenario1!BP564</f>
        <v>0</v>
      </c>
      <c r="AK589" s="184"/>
      <c r="AL589" s="182">
        <f>Escenario2!BP564</f>
        <v>0</v>
      </c>
      <c r="AM589" s="151"/>
      <c r="BA589" s="152"/>
      <c r="BB589" s="75">
        <v>584</v>
      </c>
      <c r="BC589" s="190">
        <f>ABS(LíneaBase!L590-LíneaBase!L589)</f>
        <v>3.9671108883936324E-2</v>
      </c>
      <c r="BD589" s="190">
        <f>ABS(Escenario1!BN590-Escenario1!BN589)</f>
        <v>3.5980411583034166E-2</v>
      </c>
      <c r="BE589" s="190">
        <f>ABS(Escenario2!BN590-Escenario2!BN589)</f>
        <v>2.9605265341833331E-2</v>
      </c>
      <c r="BF589" s="151"/>
    </row>
    <row r="590" spans="25:58">
      <c r="Y590" s="152"/>
      <c r="Z590" s="183">
        <f>(LíneaBase!C591-0.44)/(MAX(LíneaBase!C:C)+0.12)*100</f>
        <v>80.063551197063489</v>
      </c>
      <c r="AA590" s="184"/>
      <c r="AB590" s="182">
        <f>LíneaBase!L233</f>
        <v>0.26484660999286519</v>
      </c>
      <c r="AC590" s="184"/>
      <c r="AD590" s="182">
        <f>Escenario1!BN234</f>
        <v>0.33079570388769358</v>
      </c>
      <c r="AE590" s="184"/>
      <c r="AF590" s="182">
        <f>Escenario2!BN240</f>
        <v>0.29100011825265693</v>
      </c>
      <c r="AG590" s="184"/>
      <c r="AH590" s="182">
        <f>LíneaBase!N565</f>
        <v>0</v>
      </c>
      <c r="AI590" s="184"/>
      <c r="AJ590" s="182">
        <f>Escenario1!BP565</f>
        <v>0</v>
      </c>
      <c r="AK590" s="184"/>
      <c r="AL590" s="182">
        <f>Escenario2!BP565</f>
        <v>0</v>
      </c>
      <c r="AM590" s="151"/>
      <c r="BA590" s="152"/>
      <c r="BB590" s="75">
        <v>585</v>
      </c>
      <c r="BC590" s="190">
        <f>ABS(LíneaBase!L591-LíneaBase!L590)</f>
        <v>4.9076359339785269E-3</v>
      </c>
      <c r="BD590" s="190">
        <f>ABS(Escenario1!BN591-Escenario1!BN590)</f>
        <v>5.4606199197723138E-3</v>
      </c>
      <c r="BE590" s="190">
        <f>ABS(Escenario2!BN591-Escenario2!BN590)</f>
        <v>4.3621511183135064E-3</v>
      </c>
      <c r="BF590" s="151"/>
    </row>
    <row r="591" spans="25:58">
      <c r="Y591" s="152"/>
      <c r="Z591" s="183">
        <f>(LíneaBase!C592-0.44)/(MAX(LíneaBase!C:C)+0.12)*100</f>
        <v>80.200514983838261</v>
      </c>
      <c r="AA591" s="184"/>
      <c r="AB591" s="182">
        <f>LíneaBase!L602</f>
        <v>0.26280324534627419</v>
      </c>
      <c r="AC591" s="184"/>
      <c r="AD591" s="182">
        <f>Escenario1!BN605</f>
        <v>0.33027659735383369</v>
      </c>
      <c r="AE591" s="184"/>
      <c r="AF591" s="182">
        <f>Escenario2!BN610</f>
        <v>0.28877799198265725</v>
      </c>
      <c r="AG591" s="184"/>
      <c r="AH591" s="182">
        <f>LíneaBase!N566</f>
        <v>0</v>
      </c>
      <c r="AI591" s="184"/>
      <c r="AJ591" s="182">
        <f>Escenario1!BP566</f>
        <v>0</v>
      </c>
      <c r="AK591" s="184"/>
      <c r="AL591" s="182">
        <f>Escenario2!BP566</f>
        <v>0</v>
      </c>
      <c r="AM591" s="151"/>
      <c r="BA591" s="152"/>
      <c r="BB591" s="75">
        <v>586</v>
      </c>
      <c r="BC591" s="190">
        <f>ABS(LíneaBase!L592-LíneaBase!L591)</f>
        <v>7.2906239750772928E-3</v>
      </c>
      <c r="BD591" s="190">
        <f>ABS(Escenario1!BN592-Escenario1!BN591)</f>
        <v>7.5869226956838398E-3</v>
      </c>
      <c r="BE591" s="190">
        <f>ABS(Escenario2!BN592-Escenario2!BN591)</f>
        <v>7.335576743807859E-3</v>
      </c>
      <c r="BF591" s="151"/>
    </row>
    <row r="592" spans="25:58">
      <c r="Y592" s="152"/>
      <c r="Z592" s="183">
        <f>(LíneaBase!C593-0.44)/(MAX(LíneaBase!C:C)+0.12)*100</f>
        <v>80.337478770613046</v>
      </c>
      <c r="AA592" s="184"/>
      <c r="AB592" s="182">
        <f>LíneaBase!L234</f>
        <v>0.26220607577790028</v>
      </c>
      <c r="AC592" s="184"/>
      <c r="AD592" s="182">
        <f>Escenario1!BN606</f>
        <v>0.32705828992390323</v>
      </c>
      <c r="AE592" s="184"/>
      <c r="AF592" s="182">
        <f>Escenario2!BN241</f>
        <v>0.28801633441205066</v>
      </c>
      <c r="AG592" s="184"/>
      <c r="AH592" s="182">
        <f>LíneaBase!N567</f>
        <v>0</v>
      </c>
      <c r="AI592" s="184"/>
      <c r="AJ592" s="182">
        <f>Escenario1!BP567</f>
        <v>0</v>
      </c>
      <c r="AK592" s="184"/>
      <c r="AL592" s="182">
        <f>Escenario2!BP567</f>
        <v>0</v>
      </c>
      <c r="AM592" s="151"/>
      <c r="BA592" s="152"/>
      <c r="BB592" s="75">
        <v>587</v>
      </c>
      <c r="BC592" s="190">
        <f>ABS(LíneaBase!L593-LíneaBase!L592)</f>
        <v>3.5748720093569664E-3</v>
      </c>
      <c r="BD592" s="190">
        <f>ABS(Escenario1!BN593-Escenario1!BN592)</f>
        <v>3.9786032789995152E-3</v>
      </c>
      <c r="BE592" s="190">
        <f>ABS(Escenario2!BN593-Escenario2!BN592)</f>
        <v>4.2001277928764291E-3</v>
      </c>
      <c r="BF592" s="151"/>
    </row>
    <row r="593" spans="25:58">
      <c r="Y593" s="152"/>
      <c r="Z593" s="183">
        <f>(LíneaBase!C594-0.44)/(MAX(LíneaBase!C:C)+0.12)*100</f>
        <v>80.474442557387817</v>
      </c>
      <c r="AA593" s="184"/>
      <c r="AB593" s="182">
        <f>LíneaBase!L603</f>
        <v>0.25886916307135055</v>
      </c>
      <c r="AC593" s="184"/>
      <c r="AD593" s="182">
        <f>Escenario1!BN639</f>
        <v>0.3243123234215276</v>
      </c>
      <c r="AE593" s="184"/>
      <c r="AF593" s="182">
        <f>Escenario2!BN611</f>
        <v>0.28581392957329238</v>
      </c>
      <c r="AG593" s="184"/>
      <c r="AH593" s="182">
        <f>LíneaBase!N568</f>
        <v>0</v>
      </c>
      <c r="AI593" s="184"/>
      <c r="AJ593" s="182">
        <f>Escenario1!BP568</f>
        <v>0</v>
      </c>
      <c r="AK593" s="184"/>
      <c r="AL593" s="182">
        <f>Escenario2!BP568</f>
        <v>0</v>
      </c>
      <c r="AM593" s="151"/>
      <c r="BA593" s="152"/>
      <c r="BB593" s="75">
        <v>588</v>
      </c>
      <c r="BC593" s="190">
        <f>ABS(LíneaBase!L594-LíneaBase!L593)</f>
        <v>2.9349899479522712E-3</v>
      </c>
      <c r="BD593" s="190">
        <f>ABS(Escenario1!BN594-Escenario1!BN593)</f>
        <v>3.612643222378864E-3</v>
      </c>
      <c r="BE593" s="190">
        <f>ABS(Escenario2!BN594-Escenario2!BN593)</f>
        <v>3.6484617667459363E-3</v>
      </c>
      <c r="BF593" s="151"/>
    </row>
    <row r="594" spans="25:58">
      <c r="Y594" s="152"/>
      <c r="Z594" s="183">
        <f>(LíneaBase!C595-0.44)/(MAX(LíneaBase!C:C)+0.12)*100</f>
        <v>80.611406344162589</v>
      </c>
      <c r="AA594" s="184"/>
      <c r="AB594" s="182">
        <f>LíneaBase!L237</f>
        <v>0.25615681470353535</v>
      </c>
      <c r="AC594" s="184"/>
      <c r="AD594" s="182">
        <f>Escenario1!BN607</f>
        <v>0.32387033310648661</v>
      </c>
      <c r="AE594" s="184"/>
      <c r="AF594" s="182">
        <f>Escenario2!BN242</f>
        <v>0.28506738424848788</v>
      </c>
      <c r="AG594" s="184"/>
      <c r="AH594" s="182">
        <f>LíneaBase!N569</f>
        <v>0</v>
      </c>
      <c r="AI594" s="184"/>
      <c r="AJ594" s="182">
        <f>Escenario1!BP569</f>
        <v>0</v>
      </c>
      <c r="AK594" s="184"/>
      <c r="AL594" s="182">
        <f>Escenario2!BP569</f>
        <v>0</v>
      </c>
      <c r="AM594" s="151"/>
      <c r="BA594" s="152"/>
      <c r="BB594" s="75">
        <v>589</v>
      </c>
      <c r="BC594" s="190">
        <f>ABS(LíneaBase!L595-LíneaBase!L594)</f>
        <v>2.8057360648187646E-3</v>
      </c>
      <c r="BD594" s="190">
        <f>ABS(Escenario1!BN595-Escenario1!BN594)</f>
        <v>3.5785329410937816E-3</v>
      </c>
      <c r="BE594" s="190">
        <f>ABS(Escenario2!BN595-Escenario2!BN594)</f>
        <v>3.5258788176783518E-3</v>
      </c>
      <c r="BF594" s="151"/>
    </row>
    <row r="595" spans="25:58">
      <c r="Y595" s="152"/>
      <c r="Z595" s="183">
        <f>(LíneaBase!C596-0.44)/(MAX(LíneaBase!C:C)+0.12)*100</f>
        <v>80.748370130937374</v>
      </c>
      <c r="AA595" s="184"/>
      <c r="AB595" s="182">
        <f>LíneaBase!L604</f>
        <v>0.25609534235872511</v>
      </c>
      <c r="AC595" s="184"/>
      <c r="AD595" s="182">
        <f>Escenario1!BN318</f>
        <v>0.32287950236487845</v>
      </c>
      <c r="AE595" s="184"/>
      <c r="AF595" s="182">
        <f>Escenario2!BN612</f>
        <v>0.28288088704609804</v>
      </c>
      <c r="AG595" s="184"/>
      <c r="AH595" s="182">
        <f>LíneaBase!N570</f>
        <v>0</v>
      </c>
      <c r="AI595" s="184"/>
      <c r="AJ595" s="182">
        <f>Escenario1!BP570</f>
        <v>0</v>
      </c>
      <c r="AK595" s="184"/>
      <c r="AL595" s="182">
        <f>Escenario2!BP570</f>
        <v>0</v>
      </c>
      <c r="AM595" s="151"/>
      <c r="BA595" s="152"/>
      <c r="BB595" s="75">
        <v>590</v>
      </c>
      <c r="BC595" s="190">
        <f>ABS(LíneaBase!L596-LíneaBase!L595)</f>
        <v>1.398894459644473E-3</v>
      </c>
      <c r="BD595" s="190">
        <f>ABS(Escenario1!BN596-Escenario1!BN595)</f>
        <v>2.7982157527220997E-3</v>
      </c>
      <c r="BE595" s="190">
        <f>ABS(Escenario2!BN596-Escenario2!BN595)</f>
        <v>2.2757909298194989E-3</v>
      </c>
      <c r="BF595" s="151"/>
    </row>
    <row r="596" spans="25:58">
      <c r="Y596" s="152"/>
      <c r="Z596" s="183">
        <f>(LíneaBase!C597-0.44)/(MAX(LíneaBase!C:C)+0.12)*100</f>
        <v>80.88533391771216</v>
      </c>
      <c r="AA596" s="184"/>
      <c r="AB596" s="182">
        <f>LíneaBase!L683</f>
        <v>0.25600614059569426</v>
      </c>
      <c r="AC596" s="184"/>
      <c r="AD596" s="182">
        <f>Escenario1!BN237</f>
        <v>0.32220153793227474</v>
      </c>
      <c r="AE596" s="184"/>
      <c r="AF596" s="182">
        <f>Escenario2!BN274</f>
        <v>0.28277833211491388</v>
      </c>
      <c r="AG596" s="184"/>
      <c r="AH596" s="182">
        <f>LíneaBase!N571</f>
        <v>0</v>
      </c>
      <c r="AI596" s="184"/>
      <c r="AJ596" s="182">
        <f>Escenario1!BP571</f>
        <v>0</v>
      </c>
      <c r="AK596" s="184"/>
      <c r="AL596" s="182">
        <f>Escenario2!BP571</f>
        <v>0</v>
      </c>
      <c r="AM596" s="151"/>
      <c r="BA596" s="152"/>
      <c r="BB596" s="75">
        <v>591</v>
      </c>
      <c r="BC596" s="190">
        <f>ABS(LíneaBase!L597-LíneaBase!L596)</f>
        <v>3.8679202824418724E-3</v>
      </c>
      <c r="BD596" s="190">
        <f>ABS(Escenario1!BN597-Escenario1!BN596)</f>
        <v>4.2574337114028582E-3</v>
      </c>
      <c r="BE596" s="190">
        <f>ABS(Escenario2!BN597-Escenario2!BN596)</f>
        <v>4.4360647228728345E-3</v>
      </c>
      <c r="BF596" s="151"/>
    </row>
    <row r="597" spans="25:58">
      <c r="Y597" s="152"/>
      <c r="Z597" s="183">
        <f>(LíneaBase!C598-0.44)/(MAX(LíneaBase!C:C)+0.12)*100</f>
        <v>81.022297704486917</v>
      </c>
      <c r="AA597" s="184"/>
      <c r="AB597" s="182">
        <f>LíneaBase!L605</f>
        <v>0.25353495004195781</v>
      </c>
      <c r="AC597" s="184"/>
      <c r="AD597" s="182">
        <f>Escenario1!BN291</f>
        <v>0.32146126453889246</v>
      </c>
      <c r="AE597" s="184"/>
      <c r="AF597" s="182">
        <f>Escenario2!BN243</f>
        <v>0.28214979451314254</v>
      </c>
      <c r="AG597" s="184"/>
      <c r="AH597" s="182">
        <f>LíneaBase!N574</f>
        <v>0</v>
      </c>
      <c r="AI597" s="184"/>
      <c r="AJ597" s="182">
        <f>Escenario1!BP574</f>
        <v>0</v>
      </c>
      <c r="AK597" s="184"/>
      <c r="AL597" s="182">
        <f>Escenario2!BP574</f>
        <v>0</v>
      </c>
      <c r="AM597" s="151"/>
      <c r="BA597" s="152"/>
      <c r="BB597" s="75">
        <v>592</v>
      </c>
      <c r="BC597" s="190">
        <f>ABS(LíneaBase!L598-LíneaBase!L597)</f>
        <v>2.8926756859301572E-3</v>
      </c>
      <c r="BD597" s="190">
        <f>ABS(Escenario1!BN598-Escenario1!BN597)</f>
        <v>3.4777463500247907E-3</v>
      </c>
      <c r="BE597" s="190">
        <f>ABS(Escenario2!BN598-Escenario2!BN597)</f>
        <v>3.5654460712227221E-3</v>
      </c>
      <c r="BF597" s="151"/>
    </row>
    <row r="598" spans="25:58">
      <c r="Y598" s="152"/>
      <c r="Z598" s="183">
        <f>(LíneaBase!C599-0.44)/(MAX(LíneaBase!C:C)+0.12)*100</f>
        <v>81.159261491261702</v>
      </c>
      <c r="AA598" s="184"/>
      <c r="AB598" s="182">
        <f>LíneaBase!L318</f>
        <v>0.25302588324470221</v>
      </c>
      <c r="AC598" s="184"/>
      <c r="AD598" s="182">
        <f>Escenario1!BN608</f>
        <v>0.32071244513512959</v>
      </c>
      <c r="AE598" s="184"/>
      <c r="AF598" s="182">
        <f>Escenario2!BN613</f>
        <v>0.2799785306399008</v>
      </c>
      <c r="AG598" s="184"/>
      <c r="AH598" s="182">
        <f>LíneaBase!N575</f>
        <v>0</v>
      </c>
      <c r="AI598" s="184"/>
      <c r="AJ598" s="182">
        <f>Escenario1!BP575</f>
        <v>0</v>
      </c>
      <c r="AK598" s="184"/>
      <c r="AL598" s="182">
        <f>Escenario2!BP575</f>
        <v>0</v>
      </c>
      <c r="AM598" s="151"/>
      <c r="BA598" s="152"/>
      <c r="BB598" s="75">
        <v>593</v>
      </c>
      <c r="BC598" s="190">
        <f>ABS(LíneaBase!L599-LíneaBase!L598)</f>
        <v>2.7086690442715278E-3</v>
      </c>
      <c r="BD598" s="190">
        <f>ABS(Escenario1!BN599-Escenario1!BN598)</f>
        <v>3.4448915036491834E-3</v>
      </c>
      <c r="BE598" s="190">
        <f>ABS(Escenario2!BN599-Escenario2!BN598)</f>
        <v>3.3912581199778691E-3</v>
      </c>
      <c r="BF598" s="151"/>
    </row>
    <row r="599" spans="25:58">
      <c r="Y599" s="152"/>
      <c r="Z599" s="183">
        <f>(LíneaBase!C600-0.44)/(MAX(LíneaBase!C:C)+0.12)*100</f>
        <v>81.296225278036488</v>
      </c>
      <c r="AA599" s="184"/>
      <c r="AB599" s="182">
        <f>LíneaBase!L722</f>
        <v>0.25268308098741421</v>
      </c>
      <c r="AC599" s="184"/>
      <c r="AD599" s="182">
        <f>Escenario1!BN238</f>
        <v>0.31810256739171211</v>
      </c>
      <c r="AE599" s="184"/>
      <c r="AF599" s="182">
        <f>Escenario2!BN680</f>
        <v>0.27936014725104463</v>
      </c>
      <c r="AG599" s="184"/>
      <c r="AH599" s="182">
        <f>LíneaBase!N576</f>
        <v>0</v>
      </c>
      <c r="AI599" s="184"/>
      <c r="AJ599" s="182">
        <f>Escenario1!BP576</f>
        <v>0</v>
      </c>
      <c r="AK599" s="184"/>
      <c r="AL599" s="182">
        <f>Escenario2!BP576</f>
        <v>0</v>
      </c>
      <c r="AM599" s="151"/>
      <c r="BA599" s="152"/>
      <c r="BB599" s="75">
        <v>594</v>
      </c>
      <c r="BC599" s="190">
        <f>ABS(LíneaBase!L600-LíneaBase!L599)</f>
        <v>5.659141576721205E-2</v>
      </c>
      <c r="BD599" s="190">
        <f>ABS(Escenario1!BN600-Escenario1!BN599)</f>
        <v>4.8178463779926073E-2</v>
      </c>
      <c r="BE599" s="190">
        <f>ABS(Escenario2!BN600-Escenario2!BN599)</f>
        <v>3.9694697767439391E-2</v>
      </c>
      <c r="BF599" s="151"/>
    </row>
    <row r="600" spans="25:58">
      <c r="Y600" s="152"/>
      <c r="Z600" s="183">
        <f>(LíneaBase!C601-0.44)/(MAX(LíneaBase!C:C)+0.12)*100</f>
        <v>81.433189064811245</v>
      </c>
      <c r="AA600" s="184"/>
      <c r="AB600" s="182">
        <f>LíneaBase!L238</f>
        <v>0.25228822129279116</v>
      </c>
      <c r="AC600" s="184"/>
      <c r="AD600" s="182">
        <f>Escenario1!BN609</f>
        <v>0.3175843752359</v>
      </c>
      <c r="AE600" s="184"/>
      <c r="AF600" s="182">
        <f>Escenario2!BN244</f>
        <v>0.27926271538860292</v>
      </c>
      <c r="AG600" s="184"/>
      <c r="AH600" s="182">
        <f>LíneaBase!N577</f>
        <v>0</v>
      </c>
      <c r="AI600" s="184"/>
      <c r="AJ600" s="182">
        <f>Escenario1!BP577</f>
        <v>0</v>
      </c>
      <c r="AK600" s="184"/>
      <c r="AL600" s="182">
        <f>Escenario2!BP577</f>
        <v>0</v>
      </c>
      <c r="AM600" s="151"/>
      <c r="BA600" s="152"/>
      <c r="BB600" s="75">
        <v>595</v>
      </c>
      <c r="BC600" s="190">
        <f>ABS(LíneaBase!L601-LíneaBase!L600)</f>
        <v>5.2041986255982831E-2</v>
      </c>
      <c r="BD600" s="190">
        <f>ABS(Escenario1!BN601-Escenario1!BN600)</f>
        <v>4.6786462152205111E-2</v>
      </c>
      <c r="BE600" s="190">
        <f>ABS(Escenario2!BN601-Escenario2!BN600)</f>
        <v>3.9181998815489949E-2</v>
      </c>
      <c r="BF600" s="151"/>
    </row>
    <row r="601" spans="25:58">
      <c r="Y601" s="152"/>
      <c r="Z601" s="183">
        <f>(LíneaBase!C602-0.44)/(MAX(LíneaBase!C:C)+0.12)*100</f>
        <v>81.57015285158603</v>
      </c>
      <c r="AA601" s="184"/>
      <c r="AB601" s="182">
        <f>LíneaBase!L606</f>
        <v>0.25103066617994246</v>
      </c>
      <c r="AC601" s="184"/>
      <c r="AD601" s="182">
        <f>Escenario1!BN239</f>
        <v>0.31500504672867913</v>
      </c>
      <c r="AE601" s="184"/>
      <c r="AF601" s="182">
        <f>Escenario2!BN614</f>
        <v>0.27710653063162155</v>
      </c>
      <c r="AG601" s="184"/>
      <c r="AH601" s="182">
        <f>LíneaBase!N578</f>
        <v>0</v>
      </c>
      <c r="AI601" s="184"/>
      <c r="AJ601" s="182">
        <f>Escenario1!BP578</f>
        <v>0</v>
      </c>
      <c r="AK601" s="184"/>
      <c r="AL601" s="182">
        <f>Escenario2!BP578</f>
        <v>0</v>
      </c>
      <c r="AM601" s="151"/>
      <c r="BA601" s="152"/>
      <c r="BB601" s="75">
        <v>596</v>
      </c>
      <c r="BC601" s="190">
        <f>ABS(LíneaBase!L602-LíneaBase!L601)</f>
        <v>1.07990933759603E-2</v>
      </c>
      <c r="BD601" s="190">
        <f>ABS(Escenario1!BN602-Escenario1!BN601)</f>
        <v>1.0549193561686432E-2</v>
      </c>
      <c r="BE601" s="190">
        <f>ABS(Escenario2!BN602-Escenario2!BN601)</f>
        <v>9.2140877840443114E-3</v>
      </c>
      <c r="BF601" s="151"/>
    </row>
    <row r="602" spans="25:58">
      <c r="Y602" s="152"/>
      <c r="Z602" s="183">
        <f>(LíneaBase!C603-0.44)/(MAX(LíneaBase!C:C)+0.12)*100</f>
        <v>81.707116638360816</v>
      </c>
      <c r="AA602" s="184"/>
      <c r="AB602" s="182">
        <f>LíneaBase!L357</f>
        <v>0.25065755856110916</v>
      </c>
      <c r="AC602" s="184"/>
      <c r="AD602" s="182">
        <f>Escenario1!BN610</f>
        <v>0.31448583182520751</v>
      </c>
      <c r="AE602" s="184"/>
      <c r="AF602" s="182">
        <f>Escenario2!BN245</f>
        <v>0.27640573540226854</v>
      </c>
      <c r="AG602" s="184"/>
      <c r="AH602" s="182">
        <f>LíneaBase!N579</f>
        <v>0</v>
      </c>
      <c r="AI602" s="184"/>
      <c r="AJ602" s="182">
        <f>Escenario1!BP579</f>
        <v>0</v>
      </c>
      <c r="AK602" s="184"/>
      <c r="AL602" s="182">
        <f>Escenario2!BP579</f>
        <v>0</v>
      </c>
      <c r="AM602" s="151"/>
      <c r="BA602" s="152"/>
      <c r="BB602" s="75">
        <v>597</v>
      </c>
      <c r="BC602" s="190">
        <f>ABS(LíneaBase!L603-LíneaBase!L602)</f>
        <v>3.9340822749236448E-3</v>
      </c>
      <c r="BD602" s="190">
        <f>ABS(Escenario1!BN603-Escenario1!BN602)</f>
        <v>4.2830745741749832E-3</v>
      </c>
      <c r="BE602" s="190">
        <f>ABS(Escenario2!BN603-Escenario2!BN602)</f>
        <v>4.2128645933208198E-3</v>
      </c>
      <c r="BF602" s="151"/>
    </row>
    <row r="603" spans="25:58">
      <c r="Y603" s="152"/>
      <c r="Z603" s="183">
        <f>(LíneaBase!C604-0.44)/(MAX(LíneaBase!C:C)+0.12)*100</f>
        <v>81.844080425135587</v>
      </c>
      <c r="AA603" s="184"/>
      <c r="AB603" s="182">
        <f>LíneaBase!L239</f>
        <v>0.24957924416696797</v>
      </c>
      <c r="AC603" s="184"/>
      <c r="AD603" s="182">
        <f>Escenario1!BN240</f>
        <v>0.31193668117676537</v>
      </c>
      <c r="AE603" s="184"/>
      <c r="AF603" s="182">
        <f>Escenario2!BN615</f>
        <v>0.27426456101836272</v>
      </c>
      <c r="AG603" s="184"/>
      <c r="AH603" s="182">
        <f>LíneaBase!N580</f>
        <v>0</v>
      </c>
      <c r="AI603" s="184"/>
      <c r="AJ603" s="182">
        <f>Escenario1!BP580</f>
        <v>0</v>
      </c>
      <c r="AK603" s="184"/>
      <c r="AL603" s="182">
        <f>Escenario2!BP580</f>
        <v>0</v>
      </c>
      <c r="AM603" s="151"/>
      <c r="BA603" s="152"/>
      <c r="BB603" s="75">
        <v>598</v>
      </c>
      <c r="BC603" s="190">
        <f>ABS(LíneaBase!L604-LíneaBase!L603)</f>
        <v>2.7738207126254411E-3</v>
      </c>
      <c r="BD603" s="190">
        <f>ABS(Escenario1!BN604-Escenario1!BN603)</f>
        <v>3.2798416263883357E-3</v>
      </c>
      <c r="BE603" s="190">
        <f>ABS(Escenario2!BN604-Escenario2!BN603)</f>
        <v>3.3548288126017956E-3</v>
      </c>
      <c r="BF603" s="151"/>
    </row>
    <row r="604" spans="25:58">
      <c r="Y604" s="152"/>
      <c r="Z604" s="183">
        <f>(LíneaBase!C605-0.44)/(MAX(LíneaBase!C:C)+0.12)*100</f>
        <v>81.981044211910358</v>
      </c>
      <c r="AA604" s="184"/>
      <c r="AB604" s="182">
        <f>LíneaBase!L607</f>
        <v>0.24855618178681482</v>
      </c>
      <c r="AC604" s="184"/>
      <c r="AD604" s="182">
        <f>Escenario1!BN611</f>
        <v>0.31141653772188027</v>
      </c>
      <c r="AE604" s="184"/>
      <c r="AF604" s="182">
        <f>Escenario2!BN315</f>
        <v>0.27361350519707894</v>
      </c>
      <c r="AG604" s="184"/>
      <c r="AH604" s="182">
        <f>LíneaBase!N581</f>
        <v>0</v>
      </c>
      <c r="AI604" s="184"/>
      <c r="AJ604" s="182">
        <f>Escenario1!BP581</f>
        <v>0</v>
      </c>
      <c r="AK604" s="184"/>
      <c r="AL604" s="182">
        <f>Escenario2!BP581</f>
        <v>0</v>
      </c>
      <c r="AM604" s="151"/>
      <c r="BA604" s="152"/>
      <c r="BB604" s="75">
        <v>599</v>
      </c>
      <c r="BC604" s="190">
        <f>ABS(LíneaBase!L605-LíneaBase!L604)</f>
        <v>2.5603923167673015E-3</v>
      </c>
      <c r="BD604" s="190">
        <f>ABS(Escenario1!BN605-Escenario1!BN604)</f>
        <v>3.2489208094195199E-3</v>
      </c>
      <c r="BE604" s="190">
        <f>ABS(Escenario2!BN605-Escenario2!BN604)</f>
        <v>3.1846017964856643E-3</v>
      </c>
      <c r="BF604" s="151"/>
    </row>
    <row r="605" spans="25:58">
      <c r="Y605" s="152"/>
      <c r="Z605" s="183">
        <f>(LíneaBase!C606-0.44)/(MAX(LíneaBase!C:C)+0.12)*100</f>
        <v>82.118007998685144</v>
      </c>
      <c r="AA605" s="184"/>
      <c r="AB605" s="182">
        <f>LíneaBase!L240</f>
        <v>0.24708305651769771</v>
      </c>
      <c r="AC605" s="184"/>
      <c r="AD605" s="182">
        <f>Escenario1!BN274</f>
        <v>0.31117663758901926</v>
      </c>
      <c r="AE605" s="184"/>
      <c r="AF605" s="182">
        <f>Escenario2!BN246</f>
        <v>0.2735785188063149</v>
      </c>
      <c r="AG605" s="184"/>
      <c r="AH605" s="182">
        <f>LíneaBase!N582</f>
        <v>0</v>
      </c>
      <c r="AI605" s="184"/>
      <c r="AJ605" s="182">
        <f>Escenario1!BP582</f>
        <v>0</v>
      </c>
      <c r="AK605" s="184"/>
      <c r="AL605" s="182">
        <f>Escenario2!BP582</f>
        <v>0</v>
      </c>
      <c r="AM605" s="151"/>
      <c r="BA605" s="152"/>
      <c r="BB605" s="75">
        <v>600</v>
      </c>
      <c r="BC605" s="190">
        <f>ABS(LíneaBase!L606-LíneaBase!L605)</f>
        <v>2.504283862015344E-3</v>
      </c>
      <c r="BD605" s="190">
        <f>ABS(Escenario1!BN606-Escenario1!BN605)</f>
        <v>3.2183074299304559E-3</v>
      </c>
      <c r="BE605" s="190">
        <f>ABS(Escenario2!BN606-Escenario2!BN605)</f>
        <v>3.1288073089151269E-3</v>
      </c>
      <c r="BF605" s="151"/>
    </row>
    <row r="606" spans="25:58">
      <c r="Y606" s="152"/>
      <c r="Z606" s="183">
        <f>(LíneaBase!C607-0.44)/(MAX(LíneaBase!C:C)+0.12)*100</f>
        <v>82.254971785459915</v>
      </c>
      <c r="AA606" s="184"/>
      <c r="AB606" s="182">
        <f>LíneaBase!L608</f>
        <v>0.24610692936267248</v>
      </c>
      <c r="AC606" s="184"/>
      <c r="AD606" s="182">
        <f>Escenario1!BN241</f>
        <v>0.30889718131753335</v>
      </c>
      <c r="AE606" s="184"/>
      <c r="AF606" s="182">
        <f>Escenario2!BN616</f>
        <v>0.27145229942929677</v>
      </c>
      <c r="AG606" s="184"/>
      <c r="AH606" s="182">
        <f>LíneaBase!N583</f>
        <v>0</v>
      </c>
      <c r="AI606" s="184"/>
      <c r="AJ606" s="182">
        <f>Escenario1!BP583</f>
        <v>0</v>
      </c>
      <c r="AK606" s="184"/>
      <c r="AL606" s="182">
        <f>Escenario2!BP583</f>
        <v>0</v>
      </c>
      <c r="AM606" s="151"/>
      <c r="BA606" s="152"/>
      <c r="BB606" s="75">
        <v>601</v>
      </c>
      <c r="BC606" s="190">
        <f>ABS(LíneaBase!L607-LíneaBase!L606)</f>
        <v>2.4744843931276406E-3</v>
      </c>
      <c r="BD606" s="190">
        <f>ABS(Escenario1!BN607-Escenario1!BN606)</f>
        <v>3.1879568174166262E-3</v>
      </c>
      <c r="BE606" s="190">
        <f>ABS(Escenario2!BN607-Escenario2!BN606)</f>
        <v>3.0922980530736499E-3</v>
      </c>
      <c r="BF606" s="151"/>
    </row>
    <row r="607" spans="25:58">
      <c r="Y607" s="152"/>
      <c r="Z607" s="183">
        <f>(LíneaBase!C608-0.44)/(MAX(LíneaBase!C:C)+0.12)*100</f>
        <v>82.391935572234701</v>
      </c>
      <c r="AA607" s="184"/>
      <c r="AB607" s="182">
        <f>LíneaBase!L241</f>
        <v>0.24464234469929813</v>
      </c>
      <c r="AC607" s="184"/>
      <c r="AD607" s="182">
        <f>Escenario1!BN612</f>
        <v>0.30837624394944235</v>
      </c>
      <c r="AE607" s="184"/>
      <c r="AF607" s="182">
        <f>Escenario2!BN247</f>
        <v>0.27078074537148838</v>
      </c>
      <c r="AG607" s="184"/>
      <c r="AH607" s="182">
        <f>LíneaBase!N584</f>
        <v>0</v>
      </c>
      <c r="AI607" s="184"/>
      <c r="AJ607" s="182">
        <f>Escenario1!BP584</f>
        <v>0</v>
      </c>
      <c r="AK607" s="184"/>
      <c r="AL607" s="182">
        <f>Escenario2!BP584</f>
        <v>0</v>
      </c>
      <c r="AM607" s="151"/>
      <c r="BA607" s="152"/>
      <c r="BB607" s="75">
        <v>602</v>
      </c>
      <c r="BC607" s="190">
        <f>ABS(LíneaBase!L608-LíneaBase!L607)</f>
        <v>2.4492524241423452E-3</v>
      </c>
      <c r="BD607" s="190">
        <f>ABS(Escenario1!BN608-Escenario1!BN607)</f>
        <v>3.1578879713570207E-3</v>
      </c>
      <c r="BE607" s="190">
        <f>ABS(Escenario2!BN608-Escenario2!BN607)</f>
        <v>3.0592823257056811E-3</v>
      </c>
      <c r="BF607" s="151"/>
    </row>
    <row r="608" spans="25:58">
      <c r="Y608" s="152"/>
      <c r="Z608" s="183">
        <f>(LíneaBase!C609-0.44)/(MAX(LíneaBase!C:C)+0.12)*100</f>
        <v>82.528899359009472</v>
      </c>
      <c r="AA608" s="184"/>
      <c r="AB608" s="182">
        <f>LíneaBase!L609</f>
        <v>0.24368195109918375</v>
      </c>
      <c r="AC608" s="184"/>
      <c r="AD608" s="182">
        <f>Escenario1!BN711</f>
        <v>0.30747486526526607</v>
      </c>
      <c r="AE608" s="184"/>
      <c r="AF608" s="182">
        <f>Escenario2!BN617</f>
        <v>0.26866942707611841</v>
      </c>
      <c r="AG608" s="184"/>
      <c r="AH608" s="182">
        <f>LíneaBase!N585</f>
        <v>0</v>
      </c>
      <c r="AI608" s="184"/>
      <c r="AJ608" s="182">
        <f>Escenario1!BP585</f>
        <v>0</v>
      </c>
      <c r="AK608" s="184"/>
      <c r="AL608" s="182">
        <f>Escenario2!BP585</f>
        <v>0</v>
      </c>
      <c r="AM608" s="151"/>
      <c r="BA608" s="152"/>
      <c r="BB608" s="75">
        <v>603</v>
      </c>
      <c r="BC608" s="190">
        <f>ABS(LíneaBase!L609-LíneaBase!L608)</f>
        <v>2.4249782634887251E-3</v>
      </c>
      <c r="BD608" s="190">
        <f>ABS(Escenario1!BN609-Escenario1!BN608)</f>
        <v>3.1280698992295908E-3</v>
      </c>
      <c r="BE608" s="190">
        <f>ABS(Escenario2!BN609-Escenario2!BN608)</f>
        <v>3.0271364379546029E-3</v>
      </c>
      <c r="BF608" s="151"/>
    </row>
    <row r="609" spans="25:58">
      <c r="Y609" s="152"/>
      <c r="Z609" s="183">
        <f>(LíneaBase!C610-0.44)/(MAX(LíneaBase!C:C)+0.12)*100</f>
        <v>82.665863145784243</v>
      </c>
      <c r="AA609" s="184"/>
      <c r="AB609" s="182">
        <f>LíneaBase!L242</f>
        <v>0.24223080595929891</v>
      </c>
      <c r="AC609" s="184"/>
      <c r="AD609" s="182">
        <f>Escenario1!BN242</f>
        <v>0.30588630117133703</v>
      </c>
      <c r="AE609" s="184"/>
      <c r="AF609" s="182">
        <f>Escenario2!BN248</f>
        <v>0.26801210036275869</v>
      </c>
      <c r="AG609" s="184"/>
      <c r="AH609" s="182">
        <f>LíneaBase!N586</f>
        <v>0</v>
      </c>
      <c r="AI609" s="184"/>
      <c r="AJ609" s="182">
        <f>Escenario1!BP586</f>
        <v>0</v>
      </c>
      <c r="AK609" s="184"/>
      <c r="AL609" s="182">
        <f>Escenario2!BP586</f>
        <v>0</v>
      </c>
      <c r="AM609" s="151"/>
      <c r="BA609" s="152"/>
      <c r="BB609" s="75">
        <v>604</v>
      </c>
      <c r="BC609" s="190">
        <f>ABS(LíneaBase!L610-LíneaBase!L609)</f>
        <v>2.4010609625940704E-3</v>
      </c>
      <c r="BD609" s="190">
        <f>ABS(Escenario1!BN610-Escenario1!BN609)</f>
        <v>3.0985434106924892E-3</v>
      </c>
      <c r="BE609" s="190">
        <f>ABS(Escenario2!BN610-Escenario2!BN609)</f>
        <v>2.9954217909842207E-3</v>
      </c>
      <c r="BF609" s="151"/>
    </row>
    <row r="610" spans="25:58">
      <c r="Y610" s="152"/>
      <c r="Z610" s="183">
        <f>(LíneaBase!C611-0.44)/(MAX(LíneaBase!C:C)+0.12)*100</f>
        <v>82.802826932559029</v>
      </c>
      <c r="AA610" s="184"/>
      <c r="AB610" s="182">
        <f>LíneaBase!L610</f>
        <v>0.24128089013658968</v>
      </c>
      <c r="AC610" s="184"/>
      <c r="AD610" s="182">
        <f>Escenario1!BN613</f>
        <v>0.30536468877619688</v>
      </c>
      <c r="AE610" s="184"/>
      <c r="AF610" s="182">
        <f>Escenario2!BN618</f>
        <v>0.26591562871031832</v>
      </c>
      <c r="AG610" s="184"/>
      <c r="AH610" s="182">
        <f>LíneaBase!N587</f>
        <v>0</v>
      </c>
      <c r="AI610" s="184"/>
      <c r="AJ610" s="182">
        <f>Escenario1!BP587</f>
        <v>0</v>
      </c>
      <c r="AK610" s="184"/>
      <c r="AL610" s="182">
        <f>Escenario2!BP587</f>
        <v>0</v>
      </c>
      <c r="AM610" s="151"/>
      <c r="BA610" s="152"/>
      <c r="BB610" s="75">
        <v>605</v>
      </c>
      <c r="BC610" s="190">
        <f>ABS(LíneaBase!L611-LíneaBase!L610)</f>
        <v>2.3773988520605083E-3</v>
      </c>
      <c r="BD610" s="190">
        <f>ABS(Escenario1!BN611-Escenario1!BN610)</f>
        <v>3.0692941033272358E-3</v>
      </c>
      <c r="BE610" s="190">
        <f>ABS(Escenario2!BN611-Escenario2!BN610)</f>
        <v>2.9640624093648649E-3</v>
      </c>
      <c r="BF610" s="151"/>
    </row>
    <row r="611" spans="25:58">
      <c r="Y611" s="152"/>
      <c r="Z611" s="183">
        <f>(LíneaBase!C612-0.44)/(MAX(LíneaBase!C:C)+0.12)*100</f>
        <v>82.9397907193338</v>
      </c>
      <c r="AA611" s="184"/>
      <c r="AB611" s="182">
        <f>LíneaBase!L243</f>
        <v>0.23984387896977222</v>
      </c>
      <c r="AC611" s="184"/>
      <c r="AD611" s="182">
        <f>Escenario1!BN243</f>
        <v>0.30290377614395203</v>
      </c>
      <c r="AE611" s="184"/>
      <c r="AF611" s="182">
        <f>Escenario2!BN249</f>
        <v>0.26527227284237004</v>
      </c>
      <c r="AG611" s="184"/>
      <c r="AH611" s="182">
        <f>LíneaBase!N588</f>
        <v>0</v>
      </c>
      <c r="AI611" s="184"/>
      <c r="AJ611" s="182">
        <f>Escenario1!BP588</f>
        <v>0</v>
      </c>
      <c r="AK611" s="184"/>
      <c r="AL611" s="182">
        <f>Escenario2!BP588</f>
        <v>0</v>
      </c>
      <c r="AM611" s="151"/>
      <c r="BA611" s="152"/>
      <c r="BB611" s="75">
        <v>606</v>
      </c>
      <c r="BC611" s="190">
        <f>ABS(LíneaBase!L612-LíneaBase!L611)</f>
        <v>2.3539731302593958E-3</v>
      </c>
      <c r="BD611" s="190">
        <f>ABS(Escenario1!BN612-Escenario1!BN611)</f>
        <v>3.0402937724379187E-3</v>
      </c>
      <c r="BE611" s="190">
        <f>ABS(Escenario2!BN612-Escenario2!BN611)</f>
        <v>2.9330425271943406E-3</v>
      </c>
      <c r="BF611" s="151"/>
    </row>
    <row r="612" spans="25:58">
      <c r="Y612" s="152"/>
      <c r="Z612" s="183">
        <f>(LíneaBase!C613-0.44)/(MAX(LíneaBase!C:C)+0.12)*100</f>
        <v>83.076754506108571</v>
      </c>
      <c r="AA612" s="184"/>
      <c r="AB612" s="182">
        <f>LíneaBase!L611</f>
        <v>0.23890349128452917</v>
      </c>
      <c r="AC612" s="184"/>
      <c r="AD612" s="182">
        <f>Escenario1!BN614</f>
        <v>0.3023815927385094</v>
      </c>
      <c r="AE612" s="184"/>
      <c r="AF612" s="182">
        <f>Escenario2!BN619</f>
        <v>0.26319059258200905</v>
      </c>
      <c r="AG612" s="184"/>
      <c r="AH612" s="182">
        <f>LíneaBase!N589</f>
        <v>0</v>
      </c>
      <c r="AI612" s="184"/>
      <c r="AJ612" s="182">
        <f>Escenario1!BP589</f>
        <v>0</v>
      </c>
      <c r="AK612" s="184"/>
      <c r="AL612" s="182">
        <f>Escenario2!BP589</f>
        <v>0</v>
      </c>
      <c r="AM612" s="151"/>
      <c r="BA612" s="152"/>
      <c r="BB612" s="75">
        <v>607</v>
      </c>
      <c r="BC612" s="190">
        <f>ABS(LíneaBase!L613-LíneaBase!L612)</f>
        <v>2.3307787653616963E-3</v>
      </c>
      <c r="BD612" s="190">
        <f>ABS(Escenario1!BN613-Escenario1!BN612)</f>
        <v>3.0115551732454726E-3</v>
      </c>
      <c r="BE612" s="190">
        <f>ABS(Escenario2!BN613-Escenario2!BN612)</f>
        <v>2.9023564061972373E-3</v>
      </c>
      <c r="BF612" s="151"/>
    </row>
    <row r="613" spans="25:58">
      <c r="Y613" s="152"/>
      <c r="Z613" s="183">
        <f>(LíneaBase!C614-0.44)/(MAX(LíneaBase!C:C)+0.12)*100</f>
        <v>83.213718292883357</v>
      </c>
      <c r="AA613" s="184"/>
      <c r="AB613" s="182">
        <f>LíneaBase!L244</f>
        <v>0.23748061203354714</v>
      </c>
      <c r="AC613" s="184"/>
      <c r="AD613" s="182">
        <f>Escenario1!BN346</f>
        <v>0.30103251258426744</v>
      </c>
      <c r="AE613" s="184"/>
      <c r="AF613" s="182">
        <f>Escenario2!BN250</f>
        <v>0.26256095535511648</v>
      </c>
      <c r="AG613" s="184"/>
      <c r="AH613" s="182">
        <f>LíneaBase!N590</f>
        <v>0</v>
      </c>
      <c r="AI613" s="184"/>
      <c r="AJ613" s="182">
        <f>Escenario1!BP590</f>
        <v>0</v>
      </c>
      <c r="AK613" s="184"/>
      <c r="AL613" s="182">
        <f>Escenario2!BP590</f>
        <v>0</v>
      </c>
      <c r="AM613" s="151"/>
      <c r="BA613" s="152"/>
      <c r="BB613" s="75">
        <v>608</v>
      </c>
      <c r="BC613" s="190">
        <f>ABS(LíneaBase!L614-LíneaBase!L613)</f>
        <v>2.3078130292878418E-3</v>
      </c>
      <c r="BD613" s="190">
        <f>ABS(Escenario1!BN614-Escenario1!BN613)</f>
        <v>2.9830960376874827E-3</v>
      </c>
      <c r="BE613" s="190">
        <f>ABS(Escenario2!BN614-Escenario2!BN613)</f>
        <v>2.8720000082792518E-3</v>
      </c>
      <c r="BF613" s="151"/>
    </row>
    <row r="614" spans="25:58">
      <c r="Y614" s="152"/>
      <c r="Z614" s="183">
        <f>(LíneaBase!C615-0.44)/(MAX(LíneaBase!C:C)+0.12)*100</f>
        <v>83.350682079658128</v>
      </c>
      <c r="AA614" s="184"/>
      <c r="AB614" s="182">
        <f>LíneaBase!L612</f>
        <v>0.23654951815426978</v>
      </c>
      <c r="AC614" s="184"/>
      <c r="AD614" s="182">
        <f>Escenario1!BN244</f>
        <v>0.29994937169889324</v>
      </c>
      <c r="AE614" s="184"/>
      <c r="AF614" s="182">
        <f>Escenario2!BN721</f>
        <v>0.26141094824380268</v>
      </c>
      <c r="AG614" s="184"/>
      <c r="AH614" s="182">
        <f>LíneaBase!N591</f>
        <v>0</v>
      </c>
      <c r="AI614" s="184"/>
      <c r="AJ614" s="182">
        <f>Escenario1!BP591</f>
        <v>0</v>
      </c>
      <c r="AK614" s="184"/>
      <c r="AL614" s="182">
        <f>Escenario2!BP591</f>
        <v>0</v>
      </c>
      <c r="AM614" s="151"/>
      <c r="BA614" s="152"/>
      <c r="BB614" s="75">
        <v>609</v>
      </c>
      <c r="BC614" s="190">
        <f>ABS(LíneaBase!L615-LíneaBase!L614)</f>
        <v>2.285073594886472E-3</v>
      </c>
      <c r="BD614" s="190">
        <f>ABS(Escenario1!BN615-Escenario1!BN614)</f>
        <v>2.9548928076669756E-3</v>
      </c>
      <c r="BE614" s="190">
        <f>ABS(Escenario2!BN615-Escenario2!BN614)</f>
        <v>2.8419696132588324E-3</v>
      </c>
      <c r="BF614" s="151"/>
    </row>
    <row r="615" spans="25:58">
      <c r="Y615" s="152"/>
      <c r="Z615" s="183">
        <f>(LíneaBase!C616-0.44)/(MAX(LíneaBase!C:C)+0.12)*100</f>
        <v>83.487645866432899</v>
      </c>
      <c r="AA615" s="184"/>
      <c r="AB615" s="182">
        <f>LíneaBase!L245</f>
        <v>0.23514065434181072</v>
      </c>
      <c r="AC615" s="184"/>
      <c r="AD615" s="182">
        <f>Escenario1!BN615</f>
        <v>0.29942669993084242</v>
      </c>
      <c r="AE615" s="184"/>
      <c r="AF615" s="182">
        <f>Escenario2!BN620</f>
        <v>0.26049401039941988</v>
      </c>
      <c r="AG615" s="184"/>
      <c r="AH615" s="182">
        <f>LíneaBase!N592</f>
        <v>0</v>
      </c>
      <c r="AI615" s="184"/>
      <c r="AJ615" s="182">
        <f>Escenario1!BP592</f>
        <v>0</v>
      </c>
      <c r="AK615" s="184"/>
      <c r="AL615" s="182">
        <f>Escenario2!BP592</f>
        <v>0</v>
      </c>
      <c r="AM615" s="151"/>
      <c r="BA615" s="152"/>
      <c r="BB615" s="75">
        <v>610</v>
      </c>
      <c r="BC615" s="190">
        <f>ABS(LíneaBase!L616-LíneaBase!L615)</f>
        <v>2.2625582200051786E-3</v>
      </c>
      <c r="BD615" s="190">
        <f>ABS(Escenario1!BN616-Escenario1!BN615)</f>
        <v>2.9269539824830493E-3</v>
      </c>
      <c r="BE615" s="190">
        <f>ABS(Escenario2!BN616-Escenario2!BN615)</f>
        <v>2.8122615890659453E-3</v>
      </c>
      <c r="BF615" s="151"/>
    </row>
    <row r="616" spans="25:58">
      <c r="Y616" s="152"/>
      <c r="Z616" s="183">
        <f>(LíneaBase!C617-0.44)/(MAX(LíneaBase!C:C)+0.12)*100</f>
        <v>83.624609653207685</v>
      </c>
      <c r="AA616" s="184"/>
      <c r="AB616" s="182">
        <f>LíneaBase!L613</f>
        <v>0.23421873938890808</v>
      </c>
      <c r="AC616" s="184"/>
      <c r="AD616" s="182">
        <f>Escenario1!BN245</f>
        <v>0.29702281349944143</v>
      </c>
      <c r="AE616" s="184"/>
      <c r="AF616" s="182">
        <f>Escenario2!BN251</f>
        <v>0.25987784384337526</v>
      </c>
      <c r="AG616" s="184"/>
      <c r="AH616" s="182">
        <f>LíneaBase!N593</f>
        <v>0</v>
      </c>
      <c r="AI616" s="184"/>
      <c r="AJ616" s="182">
        <f>Escenario1!BP593</f>
        <v>0</v>
      </c>
      <c r="AK616" s="184"/>
      <c r="AL616" s="182">
        <f>Escenario2!BP593</f>
        <v>0</v>
      </c>
      <c r="AM616" s="151"/>
      <c r="BA616" s="152"/>
      <c r="BB616" s="75">
        <v>611</v>
      </c>
      <c r="BC616" s="190">
        <f>ABS(LíneaBase!L617-LíneaBase!L616)</f>
        <v>2.2402646948829208E-3</v>
      </c>
      <c r="BD616" s="190">
        <f>ABS(Escenario1!BN617-Escenario1!BN616)</f>
        <v>2.8992672901361205E-3</v>
      </c>
      <c r="BE616" s="190">
        <f>ABS(Escenario2!BN617-Escenario2!BN616)</f>
        <v>2.7828723531783672E-3</v>
      </c>
      <c r="BF616" s="151"/>
    </row>
    <row r="617" spans="25:58">
      <c r="Y617" s="152"/>
      <c r="Z617" s="183">
        <f>(LíneaBase!C618-0.44)/(MAX(LíneaBase!C:C)+0.12)*100</f>
        <v>83.761573439982456</v>
      </c>
      <c r="AA617" s="184"/>
      <c r="AB617" s="182">
        <f>LíneaBase!L246</f>
        <v>0.23282375669552649</v>
      </c>
      <c r="AC617" s="184"/>
      <c r="AD617" s="182">
        <f>Escenario1!BN616</f>
        <v>0.29649974594835937</v>
      </c>
      <c r="AE617" s="184"/>
      <c r="AF617" s="182">
        <f>Escenario2!BN709</f>
        <v>0.25893478313803403</v>
      </c>
      <c r="AG617" s="184"/>
      <c r="AH617" s="182">
        <f>LíneaBase!N594</f>
        <v>0</v>
      </c>
      <c r="AI617" s="184"/>
      <c r="AJ617" s="182">
        <f>Escenario1!BP594</f>
        <v>0</v>
      </c>
      <c r="AK617" s="184"/>
      <c r="AL617" s="182">
        <f>Escenario2!BP594</f>
        <v>0</v>
      </c>
      <c r="AM617" s="151"/>
      <c r="BA617" s="152"/>
      <c r="BB617" s="75">
        <v>612</v>
      </c>
      <c r="BC617" s="190">
        <f>ABS(LíneaBase!L618-LíneaBase!L617)</f>
        <v>2.2181908332413736E-3</v>
      </c>
      <c r="BD617" s="190">
        <f>ABS(Escenario1!BN618-Escenario1!BN617)</f>
        <v>2.871834028934761E-3</v>
      </c>
      <c r="BE617" s="190">
        <f>ABS(Escenario2!BN618-Escenario2!BN617)</f>
        <v>2.7537983658000864E-3</v>
      </c>
      <c r="BF617" s="151"/>
    </row>
    <row r="618" spans="25:58">
      <c r="Y618" s="152"/>
      <c r="Z618" s="183">
        <f>(LíneaBase!C619-0.44)/(MAX(LíneaBase!C:C)+0.12)*100</f>
        <v>83.898537226757242</v>
      </c>
      <c r="AA618" s="184"/>
      <c r="AB618" s="182">
        <f>LíneaBase!L614</f>
        <v>0.23191092635962024</v>
      </c>
      <c r="AC618" s="184"/>
      <c r="AD618" s="182">
        <f>Escenario1!BN246</f>
        <v>0.29412384114188889</v>
      </c>
      <c r="AE618" s="184"/>
      <c r="AF618" s="182">
        <f>Escenario2!BN621</f>
        <v>0.25782557728891292</v>
      </c>
      <c r="AG618" s="184"/>
      <c r="AH618" s="182">
        <f>LíneaBase!N595</f>
        <v>0</v>
      </c>
      <c r="AI618" s="184"/>
      <c r="AJ618" s="182">
        <f>Escenario1!BP595</f>
        <v>0</v>
      </c>
      <c r="AK618" s="184"/>
      <c r="AL618" s="182">
        <f>Escenario2!BP595</f>
        <v>0</v>
      </c>
      <c r="AM618" s="151"/>
      <c r="BA618" s="152"/>
      <c r="BB618" s="75">
        <v>613</v>
      </c>
      <c r="BC618" s="190">
        <f>ABS(LíneaBase!L619-LíneaBase!L618)</f>
        <v>2.1963344706273646E-3</v>
      </c>
      <c r="BD618" s="190">
        <f>ABS(Escenario1!BN619-Escenario1!BN618)</f>
        <v>2.8446397853417182E-3</v>
      </c>
      <c r="BE618" s="190">
        <f>ABS(Escenario2!BN619-Escenario2!BN618)</f>
        <v>2.7250361283092661E-3</v>
      </c>
      <c r="BF618" s="151"/>
    </row>
    <row r="619" spans="25:58">
      <c r="Y619" s="152"/>
      <c r="Z619" s="183">
        <f>(LíneaBase!C620-0.44)/(MAX(LíneaBase!C:C)+0.12)*100</f>
        <v>84.035501013532013</v>
      </c>
      <c r="AA619" s="184"/>
      <c r="AB619" s="182">
        <f>LíneaBase!L247</f>
        <v>0.23052968863825254</v>
      </c>
      <c r="AC619" s="184"/>
      <c r="AD619" s="182">
        <f>Escenario1!BN617</f>
        <v>0.29360047865822325</v>
      </c>
      <c r="AE619" s="184"/>
      <c r="AF619" s="182">
        <f>Escenario2!BN356</f>
        <v>0.25770772950020521</v>
      </c>
      <c r="AG619" s="184"/>
      <c r="AH619" s="182">
        <f>LíneaBase!N596</f>
        <v>0</v>
      </c>
      <c r="AI619" s="184"/>
      <c r="AJ619" s="182">
        <f>Escenario1!BP596</f>
        <v>0</v>
      </c>
      <c r="AK619" s="184"/>
      <c r="AL619" s="182">
        <f>Escenario2!BP596</f>
        <v>0</v>
      </c>
      <c r="AM619" s="151"/>
      <c r="BA619" s="152"/>
      <c r="BB619" s="75">
        <v>614</v>
      </c>
      <c r="BC619" s="190">
        <f>ABS(LíneaBase!L620-LíneaBase!L619)</f>
        <v>2.1746934639618465E-3</v>
      </c>
      <c r="BD619" s="190">
        <f>ABS(Escenario1!BN620-Escenario1!BN619)</f>
        <v>2.8176989194042545E-3</v>
      </c>
      <c r="BE619" s="190">
        <f>ABS(Escenario2!BN620-Escenario2!BN619)</f>
        <v>2.6965821825891689E-3</v>
      </c>
      <c r="BF619" s="151"/>
    </row>
    <row r="620" spans="25:58">
      <c r="Y620" s="152"/>
      <c r="Z620" s="183">
        <f>(LíneaBase!C621-0.44)/(MAX(LíneaBase!C:C)+0.12)*100</f>
        <v>84.172464800306784</v>
      </c>
      <c r="AA620" s="184"/>
      <c r="AB620" s="182">
        <f>LíneaBase!L615</f>
        <v>0.22962585276473377</v>
      </c>
      <c r="AC620" s="184"/>
      <c r="AD620" s="182">
        <f>Escenario1!BN721</f>
        <v>0.29328260251051635</v>
      </c>
      <c r="AE620" s="184"/>
      <c r="AF620" s="182">
        <f>Escenario2!BN252</f>
        <v>0.25722263760066011</v>
      </c>
      <c r="AG620" s="184"/>
      <c r="AH620" s="182">
        <f>LíneaBase!N597</f>
        <v>0</v>
      </c>
      <c r="AI620" s="184"/>
      <c r="AJ620" s="182">
        <f>Escenario1!BP597</f>
        <v>0</v>
      </c>
      <c r="AK620" s="184"/>
      <c r="AL620" s="182">
        <f>Escenario2!BP597</f>
        <v>0</v>
      </c>
      <c r="AM620" s="151"/>
      <c r="BA620" s="152"/>
      <c r="BB620" s="75">
        <v>615</v>
      </c>
      <c r="BC620" s="190">
        <f>ABS(LíneaBase!L621-LíneaBase!L620)</f>
        <v>2.1532656912895964E-3</v>
      </c>
      <c r="BD620" s="190">
        <f>ABS(Escenario1!BN621-Escenario1!BN620)</f>
        <v>2.7909916110916422E-3</v>
      </c>
      <c r="BE620" s="190">
        <f>ABS(Escenario2!BN621-Escenario2!BN620)</f>
        <v>2.6684331105069625E-3</v>
      </c>
      <c r="BF620" s="151"/>
    </row>
    <row r="621" spans="25:58">
      <c r="Y621" s="152"/>
      <c r="Z621" s="183">
        <f>(LíneaBase!C622-0.44)/(MAX(LíneaBase!C:C)+0.12)*100</f>
        <v>84.30942858708157</v>
      </c>
      <c r="AA621" s="184"/>
      <c r="AB621" s="182">
        <f>LíneaBase!L248</f>
        <v>0.22825822468692375</v>
      </c>
      <c r="AC621" s="184"/>
      <c r="AD621" s="182">
        <f>Escenario1!BN247</f>
        <v>0.29125222152688846</v>
      </c>
      <c r="AE621" s="184"/>
      <c r="AF621" s="182">
        <f>Escenario2!BN622</f>
        <v>0.25518499175548609</v>
      </c>
      <c r="AG621" s="184"/>
      <c r="AH621" s="182">
        <f>LíneaBase!N598</f>
        <v>0</v>
      </c>
      <c r="AI621" s="184"/>
      <c r="AJ621" s="182">
        <f>Escenario1!BP598</f>
        <v>0</v>
      </c>
      <c r="AK621" s="184"/>
      <c r="AL621" s="182">
        <f>Escenario2!BP598</f>
        <v>0</v>
      </c>
      <c r="AM621" s="151"/>
      <c r="BA621" s="152"/>
      <c r="BB621" s="75">
        <v>616</v>
      </c>
      <c r="BC621" s="190">
        <f>ABS(LíneaBase!L622-LíneaBase!L621)</f>
        <v>2.1320490515653601E-3</v>
      </c>
      <c r="BD621" s="190">
        <f>ABS(Escenario1!BN622-Escenario1!BN621)</f>
        <v>2.7645474227994682E-3</v>
      </c>
      <c r="BE621" s="190">
        <f>ABS(Escenario2!BN622-Escenario2!BN621)</f>
        <v>2.6405855334268313E-3</v>
      </c>
      <c r="BF621" s="151"/>
    </row>
    <row r="622" spans="25:58">
      <c r="Y622" s="152"/>
      <c r="Z622" s="183">
        <f>(LíneaBase!C623-0.44)/(MAX(LíneaBase!C:C)+0.12)*100</f>
        <v>84.446392373856355</v>
      </c>
      <c r="AA622" s="184"/>
      <c r="AB622" s="182">
        <f>LíneaBase!L616</f>
        <v>0.22736329454472859</v>
      </c>
      <c r="AC622" s="184"/>
      <c r="AD622" s="182">
        <f>Escenario1!BN618</f>
        <v>0.29072864462928849</v>
      </c>
      <c r="AE622" s="184"/>
      <c r="AF622" s="182">
        <f>Escenario2!BN344</f>
        <v>0.25472608156632093</v>
      </c>
      <c r="AG622" s="184"/>
      <c r="AH622" s="182">
        <f>LíneaBase!N599</f>
        <v>0</v>
      </c>
      <c r="AI622" s="184"/>
      <c r="AJ622" s="182">
        <f>Escenario1!BP599</f>
        <v>0</v>
      </c>
      <c r="AK622" s="184"/>
      <c r="AL622" s="182">
        <f>Escenario2!BP599</f>
        <v>0</v>
      </c>
      <c r="AM622" s="151"/>
      <c r="BA622" s="152"/>
      <c r="BB622" s="75">
        <v>617</v>
      </c>
      <c r="BC622" s="190">
        <f>ABS(LíneaBase!L623-LíneaBase!L622)</f>
        <v>2.1110414644459063E-3</v>
      </c>
      <c r="BD622" s="190">
        <f>ABS(Escenario1!BN623-Escenario1!BN622)</f>
        <v>2.7383431984651097E-3</v>
      </c>
      <c r="BE622" s="190">
        <f>ABS(Escenario2!BN623-Escenario2!BN622)</f>
        <v>2.6130361117295831E-3</v>
      </c>
      <c r="BF622" s="151"/>
    </row>
    <row r="623" spans="25:58">
      <c r="Y623" s="152"/>
      <c r="Z623" s="183">
        <f>(LíneaBase!C624-0.44)/(MAX(LíneaBase!C:C)+0.12)*100</f>
        <v>84.583356160631112</v>
      </c>
      <c r="AA623" s="184"/>
      <c r="AB623" s="182">
        <f>LíneaBase!L249</f>
        <v>0.22600914202867867</v>
      </c>
      <c r="AC623" s="184"/>
      <c r="AD623" s="182">
        <f>Escenario1!BN248</f>
        <v>0.28840770906485969</v>
      </c>
      <c r="AE623" s="184"/>
      <c r="AF623" s="182">
        <f>Escenario2!BN253</f>
        <v>0.25459503923195353</v>
      </c>
      <c r="AG623" s="184"/>
      <c r="AH623" s="182">
        <f>LíneaBase!N600</f>
        <v>0</v>
      </c>
      <c r="AI623" s="184"/>
      <c r="AJ623" s="182">
        <f>Escenario1!BP600</f>
        <v>0</v>
      </c>
      <c r="AK623" s="184"/>
      <c r="AL623" s="182">
        <f>Escenario2!BP600</f>
        <v>0</v>
      </c>
      <c r="AM623" s="151"/>
      <c r="BA623" s="152"/>
      <c r="BB623" s="75">
        <v>618</v>
      </c>
      <c r="BC623" s="190">
        <f>ABS(LíneaBase!L624-LíneaBase!L623)</f>
        <v>2.0902408700858299E-3</v>
      </c>
      <c r="BD623" s="190">
        <f>ABS(Escenario1!BN624-Escenario1!BN623)</f>
        <v>2.7123774282268864E-3</v>
      </c>
      <c r="BE623" s="190">
        <f>ABS(Escenario2!BN624-Escenario2!BN623)</f>
        <v>2.5857815443413312E-3</v>
      </c>
      <c r="BF623" s="151"/>
    </row>
    <row r="624" spans="25:58">
      <c r="Y624" s="152"/>
      <c r="Z624" s="183">
        <f>(LíneaBase!C625-0.44)/(MAX(LíneaBase!C:C)+0.12)*100</f>
        <v>84.720319947405898</v>
      </c>
      <c r="AA624" s="184"/>
      <c r="AB624" s="182">
        <f>LíneaBase!L617</f>
        <v>0.22512302984984567</v>
      </c>
      <c r="AC624" s="184"/>
      <c r="AD624" s="182">
        <f>Escenario1!BN619</f>
        <v>0.28788400484394677</v>
      </c>
      <c r="AE624" s="184"/>
      <c r="AF624" s="182">
        <f>Escenario2!BN623</f>
        <v>0.25257195564375651</v>
      </c>
      <c r="AG624" s="184"/>
      <c r="AH624" s="182">
        <f>LíneaBase!N601</f>
        <v>0</v>
      </c>
      <c r="AI624" s="184"/>
      <c r="AJ624" s="182">
        <f>Escenario1!BP601</f>
        <v>0</v>
      </c>
      <c r="AK624" s="184"/>
      <c r="AL624" s="182">
        <f>Escenario2!BP601</f>
        <v>0</v>
      </c>
      <c r="AM624" s="151"/>
      <c r="BA624" s="152"/>
      <c r="BB624" s="75">
        <v>619</v>
      </c>
      <c r="BC624" s="190">
        <f>ABS(LíneaBase!L625-LíneaBase!L624)</f>
        <v>2.0696452289362399E-3</v>
      </c>
      <c r="BD624" s="190">
        <f>ABS(Escenario1!BN625-Escenario1!BN624)</f>
        <v>2.6866441069411939E-3</v>
      </c>
      <c r="BE624" s="190">
        <f>ABS(Escenario2!BN625-Escenario2!BN624)</f>
        <v>2.5588185682672571E-3</v>
      </c>
      <c r="BF624" s="151"/>
    </row>
    <row r="625" spans="25:58">
      <c r="Y625" s="152"/>
      <c r="Z625" s="183">
        <f>(LíneaBase!C626-0.44)/(MAX(LíneaBase!C:C)+0.12)*100</f>
        <v>84.857283734180683</v>
      </c>
      <c r="AA625" s="184"/>
      <c r="AB625" s="182">
        <f>LíneaBase!L250</f>
        <v>0.2237822201205005</v>
      </c>
      <c r="AC625" s="184"/>
      <c r="AD625" s="182">
        <f>Escenario1!BN356</f>
        <v>0.28744749691859511</v>
      </c>
      <c r="AE625" s="184"/>
      <c r="AF625" s="182">
        <f>Escenario2!BN254</f>
        <v>0.25199475461554904</v>
      </c>
      <c r="AG625" s="184"/>
      <c r="AH625" s="182">
        <f>LíneaBase!N602</f>
        <v>0</v>
      </c>
      <c r="AI625" s="184"/>
      <c r="AJ625" s="182">
        <f>Escenario1!BP602</f>
        <v>0</v>
      </c>
      <c r="AK625" s="184"/>
      <c r="AL625" s="182">
        <f>Escenario2!BP602</f>
        <v>0</v>
      </c>
      <c r="AM625" s="151"/>
      <c r="BA625" s="152"/>
      <c r="BB625" s="75">
        <v>620</v>
      </c>
      <c r="BC625" s="190">
        <f>ABS(LíneaBase!L626-LíneaBase!L625)</f>
        <v>2.0492525215443924E-3</v>
      </c>
      <c r="BD625" s="190">
        <f>ABS(Escenario1!BN626-Escenario1!BN625)</f>
        <v>2.661139225048792E-3</v>
      </c>
      <c r="BE625" s="190">
        <f>ABS(Escenario2!BN626-Escenario2!BN625)</f>
        <v>2.5321439581314498E-3</v>
      </c>
      <c r="BF625" s="151"/>
    </row>
    <row r="626" spans="25:58">
      <c r="Y626" s="152"/>
      <c r="Z626" s="183">
        <f>(LíneaBase!C627-0.44)/(MAX(LíneaBase!C:C)+0.12)*100</f>
        <v>84.99424752095544</v>
      </c>
      <c r="AA626" s="184"/>
      <c r="AB626" s="182">
        <f>LíneaBase!L618</f>
        <v>0.22290483901660429</v>
      </c>
      <c r="AC626" s="184"/>
      <c r="AD626" s="182">
        <f>Escenario1!BN249</f>
        <v>0.28559004089321904</v>
      </c>
      <c r="AE626" s="184"/>
      <c r="AF626" s="182">
        <f>Escenario2!BN624</f>
        <v>0.24998617409941518</v>
      </c>
      <c r="AG626" s="184"/>
      <c r="AH626" s="182">
        <f>LíneaBase!N603</f>
        <v>0</v>
      </c>
      <c r="AI626" s="184"/>
      <c r="AJ626" s="182">
        <f>Escenario1!BP603</f>
        <v>0</v>
      </c>
      <c r="AK626" s="184"/>
      <c r="AL626" s="182">
        <f>Escenario2!BP603</f>
        <v>0</v>
      </c>
      <c r="AM626" s="151"/>
      <c r="BA626" s="152"/>
      <c r="BB626" s="75">
        <v>621</v>
      </c>
      <c r="BC626" s="190">
        <f>ABS(LíneaBase!L627-LíneaBase!L626)</f>
        <v>2.0290607483556544E-3</v>
      </c>
      <c r="BD626" s="190">
        <f>ABS(Escenario1!BN627-Escenario1!BN626)</f>
        <v>2.635868877299774E-3</v>
      </c>
      <c r="BE626" s="190">
        <f>ABS(Escenario2!BN627-Escenario2!BN626)</f>
        <v>2.5057545257224922E-3</v>
      </c>
      <c r="BF626" s="151"/>
    </row>
    <row r="627" spans="25:58">
      <c r="Y627" s="152"/>
      <c r="Z627" s="183">
        <f>(LíneaBase!C628-0.44)/(MAX(LíneaBase!C:C)+0.12)*100</f>
        <v>85.131211307730226</v>
      </c>
      <c r="AA627" s="184"/>
      <c r="AB627" s="182">
        <f>LíneaBase!L251</f>
        <v>0.22157724060478379</v>
      </c>
      <c r="AC627" s="184"/>
      <c r="AD627" s="182">
        <f>Escenario1!BN620</f>
        <v>0.28506630592454252</v>
      </c>
      <c r="AE627" s="184"/>
      <c r="AF627" s="182">
        <f>Escenario2!BN255</f>
        <v>0.24942149286552179</v>
      </c>
      <c r="AG627" s="184"/>
      <c r="AH627" s="182">
        <f>LíneaBase!N604</f>
        <v>0</v>
      </c>
      <c r="AI627" s="184"/>
      <c r="AJ627" s="182">
        <f>Escenario1!BP604</f>
        <v>0</v>
      </c>
      <c r="AK627" s="184"/>
      <c r="AL627" s="182">
        <f>Escenario2!BP604</f>
        <v>0</v>
      </c>
      <c r="AM627" s="151"/>
      <c r="BA627" s="152"/>
      <c r="BB627" s="75">
        <v>622</v>
      </c>
      <c r="BC627" s="190">
        <f>ABS(LíneaBase!L628-LíneaBase!L627)</f>
        <v>2.0090679295175218E-3</v>
      </c>
      <c r="BD627" s="190">
        <f>ABS(Escenario1!BN628-Escenario1!BN627)</f>
        <v>2.6108206010068136E-3</v>
      </c>
      <c r="BE627" s="190">
        <f>ABS(Escenario2!BN628-Escenario2!BN627)</f>
        <v>2.4796471195457082E-3</v>
      </c>
      <c r="BF627" s="151"/>
    </row>
    <row r="628" spans="25:58">
      <c r="Y628" s="152"/>
      <c r="Z628" s="183">
        <f>(LíneaBase!C629-0.44)/(MAX(LíneaBase!C:C)+0.12)*100</f>
        <v>85.268175094505011</v>
      </c>
      <c r="AA628" s="184"/>
      <c r="AB628" s="182">
        <f>LíneaBase!L619</f>
        <v>0.22070850454597693</v>
      </c>
      <c r="AC628" s="184"/>
      <c r="AD628" s="182">
        <f>Escenario1!BN250</f>
        <v>0.28279897691771633</v>
      </c>
      <c r="AE628" s="184"/>
      <c r="AF628" s="182">
        <f>Escenario2!BN625</f>
        <v>0.24742735553114792</v>
      </c>
      <c r="AG628" s="184"/>
      <c r="AH628" s="182">
        <f>LíneaBase!N605</f>
        <v>0</v>
      </c>
      <c r="AI628" s="184"/>
      <c r="AJ628" s="182">
        <f>Escenario1!BP605</f>
        <v>0</v>
      </c>
      <c r="AK628" s="184"/>
      <c r="AL628" s="182">
        <f>Escenario2!BP605</f>
        <v>0</v>
      </c>
      <c r="AM628" s="151"/>
      <c r="BA628" s="152"/>
      <c r="BB628" s="75">
        <v>623</v>
      </c>
      <c r="BC628" s="190">
        <f>ABS(LíneaBase!L629-LíneaBase!L628)</f>
        <v>1.4170950028301876E-3</v>
      </c>
      <c r="BD628" s="190">
        <f>ABS(Escenario1!BN629-Escenario1!BN628)</f>
        <v>1.4437060447530792E-4</v>
      </c>
      <c r="BE628" s="190">
        <f>ABS(Escenario2!BN629-Escenario2!BN628)</f>
        <v>5.4378443023397893E-4</v>
      </c>
      <c r="BF628" s="151"/>
    </row>
    <row r="629" spans="25:58">
      <c r="Y629" s="152"/>
      <c r="Z629" s="183">
        <f>(LíneaBase!C630-0.44)/(MAX(LíneaBase!C:C)+0.12)*100</f>
        <v>85.405138881279782</v>
      </c>
      <c r="AA629" s="184"/>
      <c r="AB629" s="182">
        <f>LíneaBase!L252</f>
        <v>0.21939398727750178</v>
      </c>
      <c r="AC629" s="184"/>
      <c r="AD629" s="182">
        <f>Escenario1!BN621</f>
        <v>0.28227531431345088</v>
      </c>
      <c r="AE629" s="184"/>
      <c r="AF629" s="182">
        <f>Escenario2!BN256</f>
        <v>0.24687496629467753</v>
      </c>
      <c r="AG629" s="184"/>
      <c r="AH629" s="182">
        <f>LíneaBase!N606</f>
        <v>0</v>
      </c>
      <c r="AI629" s="184"/>
      <c r="AJ629" s="182">
        <f>Escenario1!BP606</f>
        <v>0</v>
      </c>
      <c r="AK629" s="184"/>
      <c r="AL629" s="182">
        <f>Escenario2!BP606</f>
        <v>0</v>
      </c>
      <c r="AM629" s="151"/>
      <c r="BA629" s="152"/>
      <c r="BB629" s="75">
        <v>624</v>
      </c>
      <c r="BC629" s="190">
        <f>ABS(LíneaBase!L630-LíneaBase!L629)</f>
        <v>4.8107983875541327E-3</v>
      </c>
      <c r="BD629" s="190">
        <f>ABS(Escenario1!BN630-Escenario1!BN629)</f>
        <v>5.0012682668655883E-3</v>
      </c>
      <c r="BE629" s="190">
        <f>ABS(Escenario2!BN630-Escenario2!BN629)</f>
        <v>4.9284577689959475E-3</v>
      </c>
      <c r="BF629" s="151"/>
    </row>
    <row r="630" spans="25:58">
      <c r="Y630" s="152"/>
      <c r="Z630" s="183">
        <f>(LíneaBase!C631-0.44)/(MAX(LíneaBase!C:C)+0.12)*100</f>
        <v>85.542102668054554</v>
      </c>
      <c r="AA630" s="184"/>
      <c r="AB630" s="182">
        <f>LíneaBase!L620</f>
        <v>0.21853381108201508</v>
      </c>
      <c r="AC630" s="184"/>
      <c r="AD630" s="182">
        <f>Escenario1!BN251</f>
        <v>0.28003426873726373</v>
      </c>
      <c r="AE630" s="184"/>
      <c r="AF630" s="182">
        <f>Escenario2!BN626</f>
        <v>0.24489521157301647</v>
      </c>
      <c r="AG630" s="184"/>
      <c r="AH630" s="182">
        <f>LíneaBase!N607</f>
        <v>0</v>
      </c>
      <c r="AI630" s="184"/>
      <c r="AJ630" s="182">
        <f>Escenario1!BP607</f>
        <v>0</v>
      </c>
      <c r="AK630" s="184"/>
      <c r="AL630" s="182">
        <f>Escenario2!BP607</f>
        <v>0</v>
      </c>
      <c r="AM630" s="151"/>
      <c r="BA630" s="152"/>
      <c r="BB630" s="75">
        <v>625</v>
      </c>
      <c r="BC630" s="190">
        <f>ABS(LíneaBase!L631-LíneaBase!L630)</f>
        <v>2.4217098855185415E-3</v>
      </c>
      <c r="BD630" s="190">
        <f>ABS(Escenario1!BN631-Escenario1!BN630)</f>
        <v>2.5353348285260813E-3</v>
      </c>
      <c r="BE630" s="190">
        <f>ABS(Escenario2!BN631-Escenario2!BN630)</f>
        <v>2.8178587351960216E-3</v>
      </c>
      <c r="BF630" s="151"/>
    </row>
    <row r="631" spans="25:58">
      <c r="Y631" s="152"/>
      <c r="Z631" s="183">
        <f>(LíneaBase!C632-0.44)/(MAX(LíneaBase!C:C)+0.12)*100</f>
        <v>85.679066454829339</v>
      </c>
      <c r="AA631" s="184"/>
      <c r="AB631" s="182">
        <f>LíneaBase!L253</f>
        <v>0.21723224606527733</v>
      </c>
      <c r="AC631" s="184"/>
      <c r="AD631" s="182">
        <f>Escenario1!BN622</f>
        <v>0.27951076689065141</v>
      </c>
      <c r="AE631" s="184"/>
      <c r="AF631" s="182">
        <f>Escenario2!BN257</f>
        <v>0.24435489037795102</v>
      </c>
      <c r="AG631" s="184"/>
      <c r="AH631" s="182">
        <f>LíneaBase!N608</f>
        <v>0</v>
      </c>
      <c r="AI631" s="184"/>
      <c r="AJ631" s="182">
        <f>Escenario1!BP608</f>
        <v>0</v>
      </c>
      <c r="AK631" s="184"/>
      <c r="AL631" s="182">
        <f>Escenario2!BP608</f>
        <v>0</v>
      </c>
      <c r="AM631" s="151"/>
      <c r="BA631" s="152"/>
      <c r="BB631" s="75">
        <v>626</v>
      </c>
      <c r="BC631" s="190">
        <f>ABS(LíneaBase!L632-LíneaBase!L631)</f>
        <v>2.0092773300041666E-3</v>
      </c>
      <c r="BD631" s="190">
        <f>ABS(Escenario1!BN632-Escenario1!BN631)</f>
        <v>2.5112445811145689E-3</v>
      </c>
      <c r="BE631" s="190">
        <f>ABS(Escenario2!BN632-Escenario2!BN631)</f>
        <v>2.4468184322427311E-3</v>
      </c>
      <c r="BF631" s="151"/>
    </row>
    <row r="632" spans="25:58">
      <c r="Y632" s="152"/>
      <c r="Z632" s="183">
        <f>(LíneaBase!C633-0.44)/(MAX(LíneaBase!C:C)+0.12)*100</f>
        <v>85.816030241604111</v>
      </c>
      <c r="AA632" s="184"/>
      <c r="AB632" s="182">
        <f>LíneaBase!L621</f>
        <v>0.21638054539072549</v>
      </c>
      <c r="AC632" s="184"/>
      <c r="AD632" s="182">
        <f>Escenario1!BN252</f>
        <v>0.27729567975480229</v>
      </c>
      <c r="AE632" s="184"/>
      <c r="AF632" s="182">
        <f>Escenario2!BN627</f>
        <v>0.24238945704729398</v>
      </c>
      <c r="AG632" s="184"/>
      <c r="AH632" s="182">
        <f>LíneaBase!N609</f>
        <v>0</v>
      </c>
      <c r="AI632" s="184"/>
      <c r="AJ632" s="182">
        <f>Escenario1!BP609</f>
        <v>0</v>
      </c>
      <c r="AK632" s="184"/>
      <c r="AL632" s="182">
        <f>Escenario2!BP609</f>
        <v>0</v>
      </c>
      <c r="AM632" s="151"/>
      <c r="BA632" s="152"/>
      <c r="BB632" s="75">
        <v>627</v>
      </c>
      <c r="BC632" s="190">
        <f>ABS(LíneaBase!L633-LíneaBase!L632)</f>
        <v>1.9250014180040853E-3</v>
      </c>
      <c r="BD632" s="190">
        <f>ABS(Escenario1!BN633-Escenario1!BN632)</f>
        <v>2.4873667479494155E-3</v>
      </c>
      <c r="BE632" s="190">
        <f>ABS(Escenario2!BN633-Escenario2!BN632)</f>
        <v>2.3646561571549207E-3</v>
      </c>
      <c r="BF632" s="151"/>
    </row>
    <row r="633" spans="25:58">
      <c r="Y633" s="152"/>
      <c r="Z633" s="183">
        <f>(LíneaBase!C634-0.44)/(MAX(LíneaBase!C:C)+0.12)*100</f>
        <v>85.952994028378896</v>
      </c>
      <c r="AA633" s="184"/>
      <c r="AB633" s="182">
        <f>LíneaBase!L254</f>
        <v>0.21509180500410577</v>
      </c>
      <c r="AC633" s="184"/>
      <c r="AD633" s="182">
        <f>Escenario1!BN623</f>
        <v>0.2767724236921863</v>
      </c>
      <c r="AE633" s="184"/>
      <c r="AF633" s="182">
        <f>Escenario2!BN258</f>
        <v>0.24186098371624237</v>
      </c>
      <c r="AG633" s="184"/>
      <c r="AH633" s="182">
        <f>LíneaBase!N610</f>
        <v>0</v>
      </c>
      <c r="AI633" s="184"/>
      <c r="AJ633" s="182">
        <f>Escenario1!BP610</f>
        <v>0</v>
      </c>
      <c r="AK633" s="184"/>
      <c r="AL633" s="182">
        <f>Escenario2!BP610</f>
        <v>0</v>
      </c>
      <c r="AM633" s="151"/>
      <c r="BA633" s="152"/>
      <c r="BB633" s="75">
        <v>628</v>
      </c>
      <c r="BC633" s="190">
        <f>ABS(LíneaBase!L634-LíneaBase!L633)</f>
        <v>1.8953346739512822E-3</v>
      </c>
      <c r="BD633" s="190">
        <f>ABS(Escenario1!BN634-Escenario1!BN633)</f>
        <v>2.4637091882604989E-3</v>
      </c>
      <c r="BE633" s="190">
        <f>ABS(Escenario2!BN634-Escenario2!BN633)</f>
        <v>2.3306488329027097E-3</v>
      </c>
      <c r="BF633" s="151"/>
    </row>
    <row r="634" spans="25:58">
      <c r="Y634" s="152"/>
      <c r="Z634" s="183">
        <f>(LíneaBase!C635-0.44)/(MAX(LíneaBase!C:C)+0.12)*100</f>
        <v>86.089957815153667</v>
      </c>
      <c r="AA634" s="184"/>
      <c r="AB634" s="182">
        <f>LíneaBase!L622</f>
        <v>0.21424849633916013</v>
      </c>
      <c r="AC634" s="184"/>
      <c r="AD634" s="182">
        <f>Escenario1!BN722</f>
        <v>0.27620544381651213</v>
      </c>
      <c r="AE634" s="184"/>
      <c r="AF634" s="182">
        <f>Escenario2!BN629</f>
        <v>0.24045359435798225</v>
      </c>
      <c r="AG634" s="184"/>
      <c r="AH634" s="182">
        <f>LíneaBase!N611</f>
        <v>0</v>
      </c>
      <c r="AI634" s="184"/>
      <c r="AJ634" s="182">
        <f>Escenario1!BP611</f>
        <v>0</v>
      </c>
      <c r="AK634" s="184"/>
      <c r="AL634" s="182">
        <f>Escenario2!BP611</f>
        <v>0</v>
      </c>
      <c r="AM634" s="151"/>
      <c r="BA634" s="152"/>
      <c r="BB634" s="75">
        <v>629</v>
      </c>
      <c r="BC634" s="190">
        <f>ABS(LíneaBase!L635-LíneaBase!L634)</f>
        <v>1.8748840962754254E-3</v>
      </c>
      <c r="BD634" s="190">
        <f>ABS(Escenario1!BN635-Escenario1!BN634)</f>
        <v>2.4402684540409947E-3</v>
      </c>
      <c r="BE634" s="190">
        <f>ABS(Escenario2!BN635-Escenario2!BN634)</f>
        <v>2.3048493371286838E-3</v>
      </c>
      <c r="BF634" s="151"/>
    </row>
    <row r="635" spans="25:58">
      <c r="Y635" s="152"/>
      <c r="Z635" s="183">
        <f>(LíneaBase!C636-0.44)/(MAX(LíneaBase!C:C)+0.12)*100</f>
        <v>86.226921601928439</v>
      </c>
      <c r="AA635" s="184"/>
      <c r="AB635" s="182">
        <f>LíneaBase!L255</f>
        <v>0.21297245421852362</v>
      </c>
      <c r="AC635" s="184"/>
      <c r="AD635" s="182">
        <f>Escenario1!BN253</f>
        <v>0.27458297204266019</v>
      </c>
      <c r="AE635" s="184"/>
      <c r="AF635" s="182">
        <f>Escenario2!BN628</f>
        <v>0.23990980992774827</v>
      </c>
      <c r="AG635" s="184"/>
      <c r="AH635" s="182">
        <f>LíneaBase!N612</f>
        <v>0</v>
      </c>
      <c r="AI635" s="184"/>
      <c r="AJ635" s="182">
        <f>Escenario1!BP612</f>
        <v>0</v>
      </c>
      <c r="AK635" s="184"/>
      <c r="AL635" s="182">
        <f>Escenario2!BP612</f>
        <v>0</v>
      </c>
      <c r="AM635" s="151"/>
      <c r="BA635" s="152"/>
      <c r="BB635" s="75">
        <v>630</v>
      </c>
      <c r="BC635" s="190">
        <f>ABS(LíneaBase!L636-LíneaBase!L635)</f>
        <v>1.8561158143992618E-3</v>
      </c>
      <c r="BD635" s="190">
        <f>ABS(Escenario1!BN636-Escenario1!BN635)</f>
        <v>2.4170335257901465E-3</v>
      </c>
      <c r="BE635" s="190">
        <f>ABS(Escenario2!BN636-Escenario2!BN635)</f>
        <v>2.280626600057567E-3</v>
      </c>
      <c r="BF635" s="151"/>
    </row>
    <row r="636" spans="25:58">
      <c r="Y636" s="152"/>
      <c r="Z636" s="183">
        <f>(LíneaBase!C637-0.44)/(MAX(LíneaBase!C:C)+0.12)*100</f>
        <v>86.363885388703224</v>
      </c>
      <c r="AA636" s="184"/>
      <c r="AB636" s="182">
        <f>LíneaBase!L623</f>
        <v>0.21213745487471422</v>
      </c>
      <c r="AC636" s="184"/>
      <c r="AD636" s="182">
        <f>Escenario1!BN624</f>
        <v>0.27406004626395941</v>
      </c>
      <c r="AE636" s="184"/>
      <c r="AF636" s="182">
        <f>Escenario2!BN259</f>
        <v>0.23939296800068791</v>
      </c>
      <c r="AG636" s="184"/>
      <c r="AH636" s="182">
        <f>LíneaBase!N613</f>
        <v>0</v>
      </c>
      <c r="AI636" s="184"/>
      <c r="AJ636" s="182">
        <f>Escenario1!BP613</f>
        <v>0</v>
      </c>
      <c r="AK636" s="184"/>
      <c r="AL636" s="182">
        <f>Escenario2!BP613</f>
        <v>0</v>
      </c>
      <c r="AM636" s="151"/>
      <c r="BA636" s="152"/>
      <c r="BB636" s="75">
        <v>631</v>
      </c>
      <c r="BC636" s="190">
        <f>ABS(LíneaBase!L637-LíneaBase!L636)</f>
        <v>1.837778177961269E-3</v>
      </c>
      <c r="BD636" s="190">
        <f>ABS(Escenario1!BN637-Escenario1!BN636)</f>
        <v>2.3940050194459772E-3</v>
      </c>
      <c r="BE636" s="190">
        <f>ABS(Escenario2!BN637-Escenario2!BN636)</f>
        <v>2.2568779227720159E-3</v>
      </c>
      <c r="BF636" s="151"/>
    </row>
    <row r="637" spans="25:58">
      <c r="Y637" s="152"/>
      <c r="Z637" s="183">
        <f>(LíneaBase!C638-0.44)/(MAX(LíneaBase!C:C)+0.12)*100</f>
        <v>86.500849175477995</v>
      </c>
      <c r="AA637" s="184"/>
      <c r="AB637" s="182">
        <f>LíneaBase!L711</f>
        <v>0.21197217024627282</v>
      </c>
      <c r="AC637" s="184"/>
      <c r="AD637" s="182">
        <f>Escenario1!BN254</f>
        <v>0.27189592150743186</v>
      </c>
      <c r="AE637" s="184"/>
      <c r="AF637" s="182">
        <f>Escenario2!BN260</f>
        <v>0.23695056797735703</v>
      </c>
      <c r="AG637" s="184"/>
      <c r="AH637" s="182">
        <f>LíneaBase!N614</f>
        <v>0</v>
      </c>
      <c r="AI637" s="184"/>
      <c r="AJ637" s="182">
        <f>Escenario1!BP614</f>
        <v>0</v>
      </c>
      <c r="AK637" s="184"/>
      <c r="AL637" s="182">
        <f>Escenario2!BP614</f>
        <v>0</v>
      </c>
      <c r="AM637" s="151"/>
      <c r="BA637" s="152"/>
      <c r="BB637" s="75">
        <v>632</v>
      </c>
      <c r="BC637" s="190">
        <f>ABS(LíneaBase!L638-LíneaBase!L637)</f>
        <v>1.1805806430047527E-2</v>
      </c>
      <c r="BD637" s="190">
        <f>ABS(Escenario1!BN638-Escenario1!BN637)</f>
        <v>9.0340521707205634E-3</v>
      </c>
      <c r="BE637" s="190">
        <f>ABS(Escenario2!BN638-Escenario2!BN637)</f>
        <v>9.7569942274683685E-3</v>
      </c>
      <c r="BF637" s="151"/>
    </row>
    <row r="638" spans="25:58">
      <c r="Y638" s="152"/>
      <c r="Z638" s="183">
        <f>(LíneaBase!C639-0.44)/(MAX(LíneaBase!C:C)+0.12)*100</f>
        <v>86.637812962252767</v>
      </c>
      <c r="AA638" s="184"/>
      <c r="AB638" s="182">
        <f>LíneaBase!L256</f>
        <v>0.21087398590102191</v>
      </c>
      <c r="AC638" s="184"/>
      <c r="AD638" s="182">
        <f>Escenario1!BN625</f>
        <v>0.27137340215701822</v>
      </c>
      <c r="AE638" s="184"/>
      <c r="AF638" s="182">
        <f>Escenario2!BN630</f>
        <v>0.2355251365889863</v>
      </c>
      <c r="AG638" s="184"/>
      <c r="AH638" s="182">
        <f>LíneaBase!N615</f>
        <v>0</v>
      </c>
      <c r="AI638" s="184"/>
      <c r="AJ638" s="182">
        <f>Escenario1!BP615</f>
        <v>0</v>
      </c>
      <c r="AK638" s="184"/>
      <c r="AL638" s="182">
        <f>Escenario2!BP615</f>
        <v>0</v>
      </c>
      <c r="AM638" s="151"/>
      <c r="BA638" s="152"/>
      <c r="BB638" s="75">
        <v>633</v>
      </c>
      <c r="BC638" s="190">
        <f>ABS(LíneaBase!L639-LíneaBase!L638)</f>
        <v>9.4727395104304918E-2</v>
      </c>
      <c r="BD638" s="190">
        <f>ABS(Escenario1!BN639-Escenario1!BN638)</f>
        <v>7.4207299013612782E-2</v>
      </c>
      <c r="BE638" s="190">
        <f>ABS(Escenario2!BN639-Escenario2!BN638)</f>
        <v>6.3278253513465471E-2</v>
      </c>
      <c r="BF638" s="151"/>
    </row>
    <row r="639" spans="25:58">
      <c r="Y639" s="152"/>
      <c r="Z639" s="183">
        <f>(LíneaBase!C640-0.44)/(MAX(LíneaBase!C:C)+0.12)*100</f>
        <v>86.774776749027552</v>
      </c>
      <c r="AA639" s="184"/>
      <c r="AB639" s="182">
        <f>LíneaBase!L640</f>
        <v>0.21057696448937324</v>
      </c>
      <c r="AC639" s="184"/>
      <c r="AD639" s="182">
        <f>Escenario1!BN357</f>
        <v>0.27042782265805965</v>
      </c>
      <c r="AE639" s="184"/>
      <c r="AF639" s="182">
        <f>Escenario2!BN261</f>
        <v>0.23453351141237172</v>
      </c>
      <c r="AG639" s="184"/>
      <c r="AH639" s="182">
        <f>LíneaBase!N616</f>
        <v>0</v>
      </c>
      <c r="AI639" s="184"/>
      <c r="AJ639" s="182">
        <f>Escenario1!BP616</f>
        <v>0</v>
      </c>
      <c r="AK639" s="184"/>
      <c r="AL639" s="182">
        <f>Escenario2!BP616</f>
        <v>0</v>
      </c>
      <c r="AM639" s="151"/>
      <c r="BA639" s="152"/>
      <c r="BB639" s="75">
        <v>634</v>
      </c>
      <c r="BC639" s="190">
        <f>ABS(LíneaBase!L640-LíneaBase!L639)</f>
        <v>8.0632619840415809E-2</v>
      </c>
      <c r="BD639" s="190">
        <f>ABS(Escenario1!BN640-Escenario1!BN639)</f>
        <v>6.2951008968720412E-2</v>
      </c>
      <c r="BE639" s="190">
        <f>ABS(Escenario2!BN640-Escenario2!BN639)</f>
        <v>6.6809576061392623E-2</v>
      </c>
      <c r="BF639" s="151"/>
    </row>
    <row r="640" spans="25:58">
      <c r="Y640" s="152"/>
      <c r="Z640" s="183">
        <f>(LíneaBase!C641-0.44)/(MAX(LíneaBase!C:C)+0.12)*100</f>
        <v>86.911740535802323</v>
      </c>
      <c r="AA640" s="184"/>
      <c r="AB640" s="182">
        <f>LíneaBase!L624</f>
        <v>0.21004721400462839</v>
      </c>
      <c r="AC640" s="184"/>
      <c r="AD640" s="182">
        <f>Escenario1!BN684</f>
        <v>0.26979238579134163</v>
      </c>
      <c r="AE640" s="184"/>
      <c r="AF640" s="182">
        <f>Escenario2!BN631</f>
        <v>0.23270727785379028</v>
      </c>
      <c r="AG640" s="184"/>
      <c r="AH640" s="182">
        <f>LíneaBase!N617</f>
        <v>0</v>
      </c>
      <c r="AI640" s="184"/>
      <c r="AJ640" s="182">
        <f>Escenario1!BP617</f>
        <v>0</v>
      </c>
      <c r="AK640" s="184"/>
      <c r="AL640" s="182">
        <f>Escenario2!BP617</f>
        <v>0</v>
      </c>
      <c r="AM640" s="151"/>
      <c r="BA640" s="152"/>
      <c r="BB640" s="75">
        <v>635</v>
      </c>
      <c r="BC640" s="190">
        <f>ABS(LíneaBase!L641-LíneaBase!L640)</f>
        <v>2.7877557876050563E-2</v>
      </c>
      <c r="BD640" s="190">
        <f>ABS(Escenario1!BN641-Escenario1!BN640)</f>
        <v>2.5523264048139815E-2</v>
      </c>
      <c r="BE640" s="190">
        <f>ABS(Escenario2!BN641-Escenario2!BN640)</f>
        <v>1.288773577695812E-2</v>
      </c>
      <c r="BF640" s="151"/>
    </row>
    <row r="641" spans="25:58">
      <c r="Y641" s="152"/>
      <c r="Z641" s="183">
        <f>(LíneaBase!C642-0.44)/(MAX(LíneaBase!C:C)+0.12)*100</f>
        <v>87.048704322577095</v>
      </c>
      <c r="AA641" s="184"/>
      <c r="AB641" s="182">
        <f>LíneaBase!L346</f>
        <v>0.20971355752659146</v>
      </c>
      <c r="AC641" s="184"/>
      <c r="AD641" s="182">
        <f>Escenario1!BN255</f>
        <v>0.26923429012702049</v>
      </c>
      <c r="AE641" s="184"/>
      <c r="AF641" s="182">
        <f>Escenario2!BN722</f>
        <v>0.23269426045895203</v>
      </c>
      <c r="AG641" s="184"/>
      <c r="AH641" s="182">
        <f>LíneaBase!N618</f>
        <v>0</v>
      </c>
      <c r="AI641" s="184"/>
      <c r="AJ641" s="182">
        <f>Escenario1!BP618</f>
        <v>0</v>
      </c>
      <c r="AK641" s="184"/>
      <c r="AL641" s="182">
        <f>Escenario2!BP618</f>
        <v>0</v>
      </c>
      <c r="AM641" s="151"/>
      <c r="BA641" s="152"/>
      <c r="BB641" s="75">
        <v>636</v>
      </c>
      <c r="BC641" s="190">
        <f>ABS(LíneaBase!L642-LíneaBase!L641)</f>
        <v>6.0817849034136007E-3</v>
      </c>
      <c r="BD641" s="190">
        <f>ABS(Escenario1!BN642-Escenario1!BN641)</f>
        <v>6.1294132133658807E-3</v>
      </c>
      <c r="BE641" s="190">
        <f>ABS(Escenario2!BN642-Escenario2!BN641)</f>
        <v>3.9214418801979678E-3</v>
      </c>
      <c r="BF641" s="151"/>
    </row>
    <row r="642" spans="25:58">
      <c r="Y642" s="152"/>
      <c r="Z642" s="183">
        <f>(LíneaBase!C643-0.44)/(MAX(LíneaBase!C:C)+0.12)*100</f>
        <v>87.18566810935188</v>
      </c>
      <c r="AA642" s="184"/>
      <c r="AB642" s="182">
        <f>LíneaBase!L257</f>
        <v>0.20879619429166885</v>
      </c>
      <c r="AC642" s="184"/>
      <c r="AD642" s="182">
        <f>Escenario1!BN626</f>
        <v>0.26871226293196943</v>
      </c>
      <c r="AE642" s="184"/>
      <c r="AF642" s="182">
        <f>Escenario2!BN262</f>
        <v>0.23214152905744309</v>
      </c>
      <c r="AG642" s="184"/>
      <c r="AH642" s="182">
        <f>LíneaBase!N619</f>
        <v>0</v>
      </c>
      <c r="AI642" s="184"/>
      <c r="AJ642" s="182">
        <f>Escenario1!BP619</f>
        <v>0</v>
      </c>
      <c r="AK642" s="184"/>
      <c r="AL642" s="182">
        <f>Escenario2!BP619</f>
        <v>0</v>
      </c>
      <c r="AM642" s="151"/>
      <c r="BA642" s="152"/>
      <c r="BB642" s="75">
        <v>637</v>
      </c>
      <c r="BC642" s="190">
        <f>ABS(LíneaBase!L643-LíneaBase!L642)</f>
        <v>2.4507291657268615E-3</v>
      </c>
      <c r="BD642" s="190">
        <f>ABS(Escenario1!BN643-Escenario1!BN642)</f>
        <v>2.4448337314442459E-3</v>
      </c>
      <c r="BE642" s="190">
        <f>ABS(Escenario2!BN643-Escenario2!BN642)</f>
        <v>2.4151051100049226E-3</v>
      </c>
      <c r="BF642" s="151"/>
    </row>
    <row r="643" spans="25:58">
      <c r="Y643" s="152"/>
      <c r="Z643" s="183">
        <f>(LíneaBase!C644-0.44)/(MAX(LíneaBase!C:C)+0.12)*100</f>
        <v>87.322631896126651</v>
      </c>
      <c r="AA643" s="184"/>
      <c r="AB643" s="182">
        <f>LíneaBase!L625</f>
        <v>0.20797756877569215</v>
      </c>
      <c r="AC643" s="184"/>
      <c r="AD643" s="182">
        <f>Escenario1!BN256</f>
        <v>0.26659785889665683</v>
      </c>
      <c r="AE643" s="184"/>
      <c r="AF643" s="182">
        <f>Escenario2!BN264</f>
        <v>0.23042932776325081</v>
      </c>
      <c r="AG643" s="184"/>
      <c r="AH643" s="182">
        <f>LíneaBase!N620</f>
        <v>0</v>
      </c>
      <c r="AI643" s="184"/>
      <c r="AJ643" s="182">
        <f>Escenario1!BP620</f>
        <v>0</v>
      </c>
      <c r="AK643" s="184"/>
      <c r="AL643" s="182">
        <f>Escenario2!BP620</f>
        <v>0</v>
      </c>
      <c r="AM643" s="151"/>
      <c r="BA643" s="152"/>
      <c r="BB643" s="75">
        <v>638</v>
      </c>
      <c r="BC643" s="190">
        <f>ABS(LíneaBase!L644-LíneaBase!L643)</f>
        <v>1.8340012684857632E-3</v>
      </c>
      <c r="BD643" s="190">
        <f>ABS(Escenario1!BN644-Escenario1!BN643)</f>
        <v>2.2210026534519312E-3</v>
      </c>
      <c r="BE643" s="190">
        <f>ABS(Escenario2!BN644-Escenario2!BN643)</f>
        <v>2.1468428527757766E-3</v>
      </c>
      <c r="BF643" s="151"/>
    </row>
    <row r="644" spans="25:58">
      <c r="Y644" s="152"/>
      <c r="Z644" s="183">
        <f>(LíneaBase!C645-0.44)/(MAX(LíneaBase!C:C)+0.12)*100</f>
        <v>87.459595682901437</v>
      </c>
      <c r="AA644" s="184"/>
      <c r="AB644" s="182">
        <f>LíneaBase!L258</f>
        <v>0.20673887565793417</v>
      </c>
      <c r="AC644" s="184"/>
      <c r="AD644" s="182">
        <f>Escenario1!BN627</f>
        <v>0.26607639405466965</v>
      </c>
      <c r="AE644" s="184"/>
      <c r="AF644" s="182">
        <f>Escenario2!BN632</f>
        <v>0.23026045942154755</v>
      </c>
      <c r="AG644" s="184"/>
      <c r="AH644" s="182">
        <f>LíneaBase!N621</f>
        <v>0</v>
      </c>
      <c r="AI644" s="184"/>
      <c r="AJ644" s="182">
        <f>Escenario1!BP621</f>
        <v>0</v>
      </c>
      <c r="AK644" s="184"/>
      <c r="AL644" s="182">
        <f>Escenario2!BP621</f>
        <v>0</v>
      </c>
      <c r="AM644" s="151"/>
      <c r="BA644" s="152"/>
      <c r="BB644" s="75">
        <v>639</v>
      </c>
      <c r="BC644" s="190">
        <f>ABS(LíneaBase!L645-LíneaBase!L644)</f>
        <v>1.7175998210627874E-3</v>
      </c>
      <c r="BD644" s="190">
        <f>ABS(Escenario1!BN645-Escenario1!BN644)</f>
        <v>2.2002270949737224E-3</v>
      </c>
      <c r="BE644" s="190">
        <f>ABS(Escenario2!BN645-Escenario2!BN644)</f>
        <v>2.0842165927464074E-3</v>
      </c>
      <c r="BF644" s="151"/>
    </row>
    <row r="645" spans="25:58">
      <c r="Y645" s="152"/>
      <c r="Z645" s="183">
        <f>(LíneaBase!C646-0.44)/(MAX(LíneaBase!C:C)+0.12)*100</f>
        <v>87.596559469676208</v>
      </c>
      <c r="AA645" s="184"/>
      <c r="AB645" s="182">
        <f>LíneaBase!L275</f>
        <v>0.20601478682687535</v>
      </c>
      <c r="AC645" s="184"/>
      <c r="AD645" s="182">
        <f>Escenario1!BN257</f>
        <v>0.26398638031401023</v>
      </c>
      <c r="AE645" s="184"/>
      <c r="AF645" s="182">
        <f>Escenario2!BN263</f>
        <v>0.2297743546158188</v>
      </c>
      <c r="AG645" s="184"/>
      <c r="AH645" s="182">
        <f>LíneaBase!N622</f>
        <v>0</v>
      </c>
      <c r="AI645" s="184"/>
      <c r="AJ645" s="182">
        <f>Escenario1!BP622</f>
        <v>0</v>
      </c>
      <c r="AK645" s="184"/>
      <c r="AL645" s="182">
        <f>Escenario2!BP622</f>
        <v>0</v>
      </c>
      <c r="AM645" s="151"/>
      <c r="BA645" s="152"/>
      <c r="BB645" s="75">
        <v>640</v>
      </c>
      <c r="BC645" s="190">
        <f>ABS(LíneaBase!L646-LíneaBase!L645)</f>
        <v>1.6843592827878451E-3</v>
      </c>
      <c r="BD645" s="190">
        <f>ABS(Escenario1!BN646-Escenario1!BN645)</f>
        <v>2.1796233104655616E-3</v>
      </c>
      <c r="BE645" s="190">
        <f>ABS(Escenario2!BN646-Escenario2!BN645)</f>
        <v>2.0559051414930918E-3</v>
      </c>
      <c r="BF645" s="151"/>
    </row>
    <row r="646" spans="25:58">
      <c r="Y646" s="152"/>
      <c r="Z646" s="183">
        <f>(LíneaBase!C647-0.44)/(MAX(LíneaBase!C:C)+0.12)*100</f>
        <v>87.733523256450979</v>
      </c>
      <c r="AA646" s="184"/>
      <c r="AB646" s="182">
        <f>LíneaBase!L626</f>
        <v>0.20592831625414776</v>
      </c>
      <c r="AC646" s="184"/>
      <c r="AD646" s="182">
        <f>Escenario1!BN628</f>
        <v>0.26346557345366284</v>
      </c>
      <c r="AE646" s="184"/>
      <c r="AF646" s="182">
        <f>Escenario2!BN357</f>
        <v>0.22903023301013278</v>
      </c>
      <c r="AG646" s="184"/>
      <c r="AH646" s="182">
        <f>LíneaBase!N623</f>
        <v>0</v>
      </c>
      <c r="AI646" s="184"/>
      <c r="AJ646" s="182">
        <f>Escenario1!BP623</f>
        <v>0</v>
      </c>
      <c r="AK646" s="184"/>
      <c r="AL646" s="182">
        <f>Escenario2!BP623</f>
        <v>0</v>
      </c>
      <c r="AM646" s="151"/>
      <c r="BA646" s="152"/>
      <c r="BB646" s="75">
        <v>641</v>
      </c>
      <c r="BC646" s="190">
        <f>ABS(LíneaBase!L647-LíneaBase!L646)</f>
        <v>1.6650553698772108E-3</v>
      </c>
      <c r="BD646" s="190">
        <f>ABS(Escenario1!BN647-Escenario1!BN646)</f>
        <v>2.1592068626200001E-3</v>
      </c>
      <c r="BE646" s="190">
        <f>ABS(Escenario2!BN647-Escenario2!BN646)</f>
        <v>2.0334779829536964E-3</v>
      </c>
      <c r="BF646" s="151"/>
    </row>
    <row r="647" spans="25:58">
      <c r="Y647" s="152"/>
      <c r="Z647" s="183">
        <f>(LíneaBase!C648-0.44)/(MAX(LíneaBase!C:C)+0.12)*100</f>
        <v>87.870487043225765</v>
      </c>
      <c r="AA647" s="184"/>
      <c r="AB647" s="182">
        <f>LíneaBase!L259</f>
        <v>0.20470182827471275</v>
      </c>
      <c r="AC647" s="184"/>
      <c r="AD647" s="182">
        <f>Escenario1!BN629</f>
        <v>0.26332120284918753</v>
      </c>
      <c r="AE647" s="184"/>
      <c r="AF647" s="182">
        <f>Escenario2!BN638</f>
        <v>0.22847979479900002</v>
      </c>
      <c r="AG647" s="184"/>
      <c r="AH647" s="182">
        <f>LíneaBase!N624</f>
        <v>0</v>
      </c>
      <c r="AI647" s="184"/>
      <c r="AJ647" s="182">
        <f>Escenario1!BP624</f>
        <v>0</v>
      </c>
      <c r="AK647" s="184"/>
      <c r="AL647" s="182">
        <f>Escenario2!BP624</f>
        <v>0</v>
      </c>
      <c r="AM647" s="151"/>
      <c r="BA647" s="152"/>
      <c r="BB647" s="75">
        <v>642</v>
      </c>
      <c r="BC647" s="190">
        <f>ABS(LíneaBase!L648-LíneaBase!L647)</f>
        <v>1.6481999068505282E-3</v>
      </c>
      <c r="BD647" s="190">
        <f>ABS(Escenario1!BN648-Escenario1!BN647)</f>
        <v>2.1389642678623644E-3</v>
      </c>
      <c r="BE647" s="190">
        <f>ABS(Escenario2!BN648-Escenario2!BN647)</f>
        <v>2.0122153786759356E-3</v>
      </c>
      <c r="BF647" s="151"/>
    </row>
    <row r="648" spans="25:58">
      <c r="Y648" s="152"/>
      <c r="Z648" s="183">
        <f>(LíneaBase!C649-0.44)/(MAX(LíneaBase!C:C)+0.12)*100</f>
        <v>88.00745083000055</v>
      </c>
      <c r="AA648" s="184"/>
      <c r="AB648" s="182">
        <f>LíneaBase!L627</f>
        <v>0.2038992555057921</v>
      </c>
      <c r="AC648" s="184"/>
      <c r="AD648" s="182">
        <f>Escenario1!BN258</f>
        <v>0.26139962909228293</v>
      </c>
      <c r="AE648" s="184"/>
      <c r="AF648" s="182">
        <f>Escenario2!BN633</f>
        <v>0.22789580326439263</v>
      </c>
      <c r="AG648" s="184"/>
      <c r="AH648" s="182">
        <f>LíneaBase!N625</f>
        <v>0</v>
      </c>
      <c r="AI648" s="184"/>
      <c r="AJ648" s="182">
        <f>Escenario1!BP625</f>
        <v>0</v>
      </c>
      <c r="AK648" s="184"/>
      <c r="AL648" s="182">
        <f>Escenario2!BP625</f>
        <v>0</v>
      </c>
      <c r="AM648" s="151"/>
      <c r="BA648" s="152"/>
      <c r="BB648" s="75">
        <v>643</v>
      </c>
      <c r="BC648" s="190">
        <f>ABS(LíneaBase!L649-LíneaBase!L648)</f>
        <v>1.6318852494071889E-3</v>
      </c>
      <c r="BD648" s="190">
        <f>ABS(Escenario1!BN649-Escenario1!BN648)</f>
        <v>2.1188643620694558E-3</v>
      </c>
      <c r="BE648" s="190">
        <f>ABS(Escenario2!BN649-Escenario2!BN648)</f>
        <v>1.9913320933148126E-3</v>
      </c>
      <c r="BF648" s="151"/>
    </row>
    <row r="649" spans="25:58">
      <c r="Y649" s="152"/>
      <c r="Z649" s="183">
        <f>(LíneaBase!C650-0.44)/(MAX(LíneaBase!C:C)+0.12)*100</f>
        <v>88.144414616775308</v>
      </c>
      <c r="AA649" s="184"/>
      <c r="AB649" s="182">
        <f>LíneaBase!L629</f>
        <v>0.20330728257910477</v>
      </c>
      <c r="AC649" s="184"/>
      <c r="AD649" s="182">
        <f>Escenario1!BN319</f>
        <v>0.26137596200970631</v>
      </c>
      <c r="AE649" s="184"/>
      <c r="AF649" s="182">
        <f>Escenario2!BN265</f>
        <v>0.22561079008813956</v>
      </c>
      <c r="AG649" s="184"/>
      <c r="AH649" s="182">
        <f>LíneaBase!N626</f>
        <v>0</v>
      </c>
      <c r="AI649" s="184"/>
      <c r="AJ649" s="182">
        <f>Escenario1!BP626</f>
        <v>0</v>
      </c>
      <c r="AK649" s="184"/>
      <c r="AL649" s="182">
        <f>Escenario2!BP626</f>
        <v>0</v>
      </c>
      <c r="AM649" s="151"/>
      <c r="BA649" s="152"/>
      <c r="BB649" s="75">
        <v>644</v>
      </c>
      <c r="BC649" s="190">
        <f>ABS(LíneaBase!L650-LíneaBase!L649)</f>
        <v>1.6157935246092214E-3</v>
      </c>
      <c r="BD649" s="190">
        <f>ABS(Escenario1!BN650-Escenario1!BN649)</f>
        <v>2.0989749307900596E-3</v>
      </c>
      <c r="BE649" s="190">
        <f>ABS(Escenario2!BN650-Escenario2!BN649)</f>
        <v>1.9706957919585488E-3</v>
      </c>
      <c r="BF649" s="151"/>
    </row>
    <row r="650" spans="25:58">
      <c r="Y650" s="152"/>
      <c r="Z650" s="183">
        <f>(LíneaBase!C651-0.44)/(MAX(LíneaBase!C:C)+0.12)*100</f>
        <v>88.281378403550093</v>
      </c>
      <c r="AA650" s="184"/>
      <c r="AB650" s="182">
        <f>LíneaBase!L260</f>
        <v>0.20268485240454515</v>
      </c>
      <c r="AC650" s="184"/>
      <c r="AD650" s="182">
        <f>Escenario1!BN640</f>
        <v>0.26136131445280719</v>
      </c>
      <c r="AE650" s="184"/>
      <c r="AF650" s="182">
        <f>Escenario2!BN634</f>
        <v>0.22556515443148992</v>
      </c>
      <c r="AG650" s="184"/>
      <c r="AH650" s="182">
        <f>LíneaBase!N627</f>
        <v>0</v>
      </c>
      <c r="AI650" s="184"/>
      <c r="AJ650" s="182">
        <f>Escenario1!BP627</f>
        <v>0</v>
      </c>
      <c r="AK650" s="184"/>
      <c r="AL650" s="182">
        <f>Escenario2!BP627</f>
        <v>0</v>
      </c>
      <c r="AM650" s="151"/>
      <c r="BA650" s="152"/>
      <c r="BB650" s="75">
        <v>645</v>
      </c>
      <c r="BC650" s="190">
        <f>ABS(LíneaBase!L651-LíneaBase!L650)</f>
        <v>1.5998706734021428E-3</v>
      </c>
      <c r="BD650" s="190">
        <f>ABS(Escenario1!BN651-Escenario1!BN650)</f>
        <v>2.0792511806982106E-3</v>
      </c>
      <c r="BE650" s="190">
        <f>ABS(Escenario2!BN651-Escenario2!BN650)</f>
        <v>1.9502825027497284E-3</v>
      </c>
      <c r="BF650" s="151"/>
    </row>
    <row r="651" spans="25:58">
      <c r="Y651" s="152"/>
      <c r="Z651" s="183">
        <f>(LíneaBase!C652-0.44)/(MAX(LíneaBase!C:C)+0.12)*100</f>
        <v>88.418342190324879</v>
      </c>
      <c r="AA651" s="184"/>
      <c r="AB651" s="182">
        <f>LíneaBase!L628</f>
        <v>0.20189018757627458</v>
      </c>
      <c r="AC651" s="184"/>
      <c r="AD651" s="182">
        <f>Escenario1!BN259</f>
        <v>0.2588373813270991</v>
      </c>
      <c r="AE651" s="184"/>
      <c r="AF651" s="182">
        <f>Escenario2!BN640</f>
        <v>0.22494847225107287</v>
      </c>
      <c r="AG651" s="184"/>
      <c r="AH651" s="182">
        <f>LíneaBase!N628</f>
        <v>0</v>
      </c>
      <c r="AI651" s="184"/>
      <c r="AJ651" s="182">
        <f>Escenario1!BP628</f>
        <v>0</v>
      </c>
      <c r="AK651" s="184"/>
      <c r="AL651" s="182">
        <f>Escenario2!BP628</f>
        <v>0</v>
      </c>
      <c r="AM651" s="151"/>
      <c r="BA651" s="152"/>
      <c r="BB651" s="75">
        <v>646</v>
      </c>
      <c r="BC651" s="190">
        <f>ABS(LíneaBase!L652-LíneaBase!L651)</f>
        <v>1.5841064259706772E-3</v>
      </c>
      <c r="BD651" s="190">
        <f>ABS(Escenario1!BN652-Escenario1!BN651)</f>
        <v>2.0596934137183387E-3</v>
      </c>
      <c r="BE651" s="190">
        <f>ABS(Escenario2!BN652-Escenario2!BN651)</f>
        <v>1.930086258075947E-3</v>
      </c>
      <c r="BF651" s="151"/>
    </row>
    <row r="652" spans="25:58">
      <c r="Y652" s="152"/>
      <c r="Z652" s="183">
        <f>(LíneaBase!C653-0.44)/(MAX(LíneaBase!C:C)+0.12)*100</f>
        <v>88.55530597709965</v>
      </c>
      <c r="AA652" s="184"/>
      <c r="AB652" s="182">
        <f>LíneaBase!L261</f>
        <v>0.20068775027803246</v>
      </c>
      <c r="AC652" s="184"/>
      <c r="AD652" s="182">
        <f>Escenario1!BN630</f>
        <v>0.25831993458232194</v>
      </c>
      <c r="AE652" s="184"/>
      <c r="AF652" s="182">
        <f>Escenario2!BN635</f>
        <v>0.22326030509436123</v>
      </c>
      <c r="AG652" s="184"/>
      <c r="AH652" s="182">
        <f>LíneaBase!N629</f>
        <v>0</v>
      </c>
      <c r="AI652" s="184"/>
      <c r="AJ652" s="182">
        <f>Escenario1!BP629</f>
        <v>0</v>
      </c>
      <c r="AK652" s="184"/>
      <c r="AL652" s="182">
        <f>Escenario2!BP629</f>
        <v>0</v>
      </c>
      <c r="AM652" s="151"/>
      <c r="BA652" s="152"/>
      <c r="BB652" s="75">
        <v>647</v>
      </c>
      <c r="BC652" s="190">
        <f>ABS(LíneaBase!L653-LíneaBase!L652)</f>
        <v>1.5684977915284004E-3</v>
      </c>
      <c r="BD652" s="190">
        <f>ABS(Escenario1!BN653-Escenario1!BN652)</f>
        <v>2.040289073434981E-3</v>
      </c>
      <c r="BE652" s="190">
        <f>ABS(Escenario2!BN653-Escenario2!BN652)</f>
        <v>1.910104100488752E-3</v>
      </c>
      <c r="BF652" s="151"/>
    </row>
    <row r="653" spans="25:58">
      <c r="Y653" s="152"/>
      <c r="Z653" s="183">
        <f>(LíneaBase!C654-0.44)/(MAX(LíneaBase!C:C)+0.12)*100</f>
        <v>88.692269763874421</v>
      </c>
      <c r="AA653" s="184"/>
      <c r="AB653" s="182">
        <f>LíneaBase!L262</f>
        <v>0.19871032607444497</v>
      </c>
      <c r="AC653" s="184"/>
      <c r="AD653" s="182">
        <f>Escenario1!BN260</f>
        <v>0.25629941879132417</v>
      </c>
      <c r="AE653" s="184"/>
      <c r="AF653" s="182">
        <f>Escenario2!BN266</f>
        <v>0.22290159796874146</v>
      </c>
      <c r="AG653" s="184"/>
      <c r="AH653" s="182">
        <f>LíneaBase!N630</f>
        <v>0</v>
      </c>
      <c r="AI653" s="184"/>
      <c r="AJ653" s="182">
        <f>Escenario1!BP630</f>
        <v>0</v>
      </c>
      <c r="AK653" s="184"/>
      <c r="AL653" s="182">
        <f>Escenario2!BP630</f>
        <v>0</v>
      </c>
      <c r="AM653" s="151"/>
      <c r="BA653" s="152"/>
      <c r="BB653" s="75">
        <v>648</v>
      </c>
      <c r="BC653" s="190">
        <f>ABS(LíneaBase!L654-LíneaBase!L653)</f>
        <v>3.2088321621687343E-2</v>
      </c>
      <c r="BD653" s="190">
        <f>ABS(Escenario1!BN654-Escenario1!BN653)</f>
        <v>2.7002788166872599E-2</v>
      </c>
      <c r="BE653" s="190">
        <f>ABS(Escenario2!BN654-Escenario2!BN653)</f>
        <v>1.6284940808286991E-2</v>
      </c>
      <c r="BF653" s="151"/>
    </row>
    <row r="654" spans="25:58">
      <c r="Y654" s="152"/>
      <c r="Z654" s="183">
        <f>(LíneaBase!C655-0.44)/(MAX(LíneaBase!C:C)+0.12)*100</f>
        <v>88.829233550649207</v>
      </c>
      <c r="AA654" s="184"/>
      <c r="AB654" s="182">
        <f>LíneaBase!L630</f>
        <v>0.19849648419155064</v>
      </c>
      <c r="AC654" s="184"/>
      <c r="AD654" s="182">
        <f>Escenario1!BN631</f>
        <v>0.25578459975379586</v>
      </c>
      <c r="AE654" s="184"/>
      <c r="AF654" s="182">
        <f>Escenario2!BN636</f>
        <v>0.22097967849430367</v>
      </c>
      <c r="AG654" s="184"/>
      <c r="AH654" s="182">
        <f>LíneaBase!N631</f>
        <v>0</v>
      </c>
      <c r="AI654" s="184"/>
      <c r="AJ654" s="182">
        <f>Escenario1!BP631</f>
        <v>0</v>
      </c>
      <c r="AK654" s="184"/>
      <c r="AL654" s="182">
        <f>Escenario2!BP631</f>
        <v>0</v>
      </c>
      <c r="AM654" s="151"/>
      <c r="BA654" s="152"/>
      <c r="BB654" s="75">
        <v>649</v>
      </c>
      <c r="BC654" s="190">
        <f>ABS(LíneaBase!L655-LíneaBase!L654)</f>
        <v>2.7552960307367647E-2</v>
      </c>
      <c r="BD654" s="190">
        <f>ABS(Escenario1!BN655-Escenario1!BN654)</f>
        <v>2.4901458594232401E-2</v>
      </c>
      <c r="BE654" s="190">
        <f>ABS(Escenario2!BN655-Escenario2!BN654)</f>
        <v>1.523154667108631E-2</v>
      </c>
      <c r="BF654" s="151"/>
    </row>
    <row r="655" spans="25:58">
      <c r="Y655" s="152"/>
      <c r="Z655" s="183">
        <f>(LíneaBase!C656-0.44)/(MAX(LíneaBase!C:C)+0.12)*100</f>
        <v>88.966197337423978</v>
      </c>
      <c r="AA655" s="184"/>
      <c r="AB655" s="182">
        <f>LíneaBase!L264</f>
        <v>0.19822010488897174</v>
      </c>
      <c r="AC655" s="184"/>
      <c r="AD655" s="182">
        <f>Escenario1!BN261</f>
        <v>0.25378552699997275</v>
      </c>
      <c r="AE655" s="184"/>
      <c r="AF655" s="182">
        <f>Escenario2!BN267</f>
        <v>0.22056220762977546</v>
      </c>
      <c r="AG655" s="184"/>
      <c r="AH655" s="182">
        <f>LíneaBase!N632</f>
        <v>0</v>
      </c>
      <c r="AI655" s="184"/>
      <c r="AJ655" s="182">
        <f>Escenario1!BP632</f>
        <v>0</v>
      </c>
      <c r="AK655" s="184"/>
      <c r="AL655" s="182">
        <f>Escenario2!BP632</f>
        <v>0</v>
      </c>
      <c r="AM655" s="151"/>
      <c r="BA655" s="152"/>
      <c r="BB655" s="75">
        <v>650</v>
      </c>
      <c r="BC655" s="190">
        <f>ABS(LíneaBase!L656-LíneaBase!L655)</f>
        <v>0.23224775065731473</v>
      </c>
      <c r="BD655" s="190">
        <f>ABS(Escenario1!BN656-Escenario1!BN655)</f>
        <v>0.12449648405569158</v>
      </c>
      <c r="BE655" s="190">
        <f>ABS(Escenario2!BN656-Escenario2!BN655)</f>
        <v>0.11285229805418445</v>
      </c>
      <c r="BF655" s="151"/>
    </row>
    <row r="656" spans="25:58">
      <c r="Y656" s="152"/>
      <c r="Z656" s="183">
        <f>(LíneaBase!C657-0.44)/(MAX(LíneaBase!C:C)+0.12)*100</f>
        <v>89.103161124198749</v>
      </c>
      <c r="AA656" s="184"/>
      <c r="AB656" s="182">
        <f>LíneaBase!L263</f>
        <v>0.19675238590252114</v>
      </c>
      <c r="AC656" s="184"/>
      <c r="AD656" s="182">
        <f>Escenario1!BN632</f>
        <v>0.25327335517268129</v>
      </c>
      <c r="AE656" s="184"/>
      <c r="AF656" s="182">
        <f>Escenario2!BN273</f>
        <v>0.21940091682781074</v>
      </c>
      <c r="AG656" s="184"/>
      <c r="AH656" s="182">
        <f>LíneaBase!N633</f>
        <v>0</v>
      </c>
      <c r="AI656" s="184"/>
      <c r="AJ656" s="182">
        <f>Escenario1!BP633</f>
        <v>0</v>
      </c>
      <c r="AK656" s="184"/>
      <c r="AL656" s="182">
        <f>Escenario2!BP633</f>
        <v>0</v>
      </c>
      <c r="AM656" s="151"/>
      <c r="BA656" s="152"/>
      <c r="BB656" s="75">
        <v>651</v>
      </c>
      <c r="BC656" s="190">
        <f>ABS(LíneaBase!L657-LíneaBase!L656)</f>
        <v>5.4804184613433948E-2</v>
      </c>
      <c r="BD656" s="190">
        <f>ABS(Escenario1!BN657-Escenario1!BN656)</f>
        <v>3.3220499683204341E-2</v>
      </c>
      <c r="BE656" s="190">
        <f>ABS(Escenario2!BN657-Escenario2!BN656)</f>
        <v>2.2510014485681851E-2</v>
      </c>
      <c r="BF656" s="151"/>
    </row>
    <row r="657" spans="25:58">
      <c r="Y657" s="152"/>
      <c r="Z657" s="183">
        <f>(LíneaBase!C658-0.44)/(MAX(LíneaBase!C:C)+0.12)*100</f>
        <v>89.240124910973535</v>
      </c>
      <c r="AA657" s="184"/>
      <c r="AB657" s="182">
        <f>LíneaBase!L638</f>
        <v>0.19648218922548413</v>
      </c>
      <c r="AC657" s="184"/>
      <c r="AD657" s="182">
        <f>Escenario1!BN262</f>
        <v>0.25129548557077735</v>
      </c>
      <c r="AE657" s="184"/>
      <c r="AF657" s="182">
        <f>Escenario2!BN637</f>
        <v>0.21872280057153165</v>
      </c>
      <c r="AG657" s="184"/>
      <c r="AH657" s="182">
        <f>LíneaBase!N634</f>
        <v>0</v>
      </c>
      <c r="AI657" s="184"/>
      <c r="AJ657" s="182">
        <f>Escenario1!BP634</f>
        <v>0</v>
      </c>
      <c r="AK657" s="184"/>
      <c r="AL657" s="182">
        <f>Escenario2!BP634</f>
        <v>0</v>
      </c>
      <c r="AM657" s="151"/>
      <c r="BA657" s="152"/>
      <c r="BB657" s="75">
        <v>652</v>
      </c>
      <c r="BC657" s="190">
        <f>ABS(LíneaBase!L658-LíneaBase!L657)</f>
        <v>3.4982277180906256</v>
      </c>
      <c r="BD657" s="190">
        <f>ABS(Escenario1!BN658-Escenario1!BN657)</f>
        <v>0.50050648279565801</v>
      </c>
      <c r="BE657" s="190">
        <f>ABS(Escenario2!BN658-Escenario2!BN657)</f>
        <v>0.50962771593499756</v>
      </c>
      <c r="BF657" s="151"/>
    </row>
    <row r="658" spans="25:58">
      <c r="Y658" s="152"/>
      <c r="Z658" s="183">
        <f>(LíneaBase!C659-0.44)/(MAX(LíneaBase!C:C)+0.12)*100</f>
        <v>89.377088697748306</v>
      </c>
      <c r="AA658" s="184"/>
      <c r="AB658" s="182">
        <f>LíneaBase!L631</f>
        <v>0.1960747743060321</v>
      </c>
      <c r="AC658" s="184"/>
      <c r="AD658" s="182">
        <f>Escenario1!BN633</f>
        <v>0.25078598842473188</v>
      </c>
      <c r="AE658" s="184"/>
      <c r="AF658" s="182">
        <f>Escenario2!BN268</f>
        <v>0.21830375581176611</v>
      </c>
      <c r="AG658" s="184"/>
      <c r="AH658" s="182">
        <f>LíneaBase!N635</f>
        <v>0</v>
      </c>
      <c r="AI658" s="184"/>
      <c r="AJ658" s="182">
        <f>Escenario1!BP635</f>
        <v>0</v>
      </c>
      <c r="AK658" s="184"/>
      <c r="AL658" s="182">
        <f>Escenario2!BP635</f>
        <v>0</v>
      </c>
      <c r="AM658" s="151"/>
      <c r="BA658" s="152"/>
      <c r="BB658" s="75">
        <v>653</v>
      </c>
      <c r="BC658" s="190">
        <f>ABS(LíneaBase!L659-LíneaBase!L658)</f>
        <v>2.946266328121399</v>
      </c>
      <c r="BD658" s="190">
        <f>ABS(Escenario1!BN659-Escenario1!BN658)</f>
        <v>3.9539868673250433E-2</v>
      </c>
      <c r="BE658" s="190">
        <f>ABS(Escenario2!BN659-Escenario2!BN658)</f>
        <v>2.7828438889443752E-2</v>
      </c>
      <c r="BF658" s="151"/>
    </row>
    <row r="659" spans="25:58">
      <c r="Y659" s="152"/>
      <c r="Z659" s="183">
        <f>(LíneaBase!C660-0.44)/(MAX(LíneaBase!C:C)+0.12)*100</f>
        <v>89.514052484523091</v>
      </c>
      <c r="AA659" s="184"/>
      <c r="AB659" s="182">
        <f>LíneaBase!L723</f>
        <v>0.1941804076528113</v>
      </c>
      <c r="AC659" s="184"/>
      <c r="AD659" s="182">
        <f>Escenario1!BN638</f>
        <v>0.25010502440791482</v>
      </c>
      <c r="AE659" s="184"/>
      <c r="AF659" s="182">
        <f>Escenario2!BN269</f>
        <v>0.21607810214754597</v>
      </c>
      <c r="AG659" s="184"/>
      <c r="AH659" s="182">
        <f>LíneaBase!N636</f>
        <v>0</v>
      </c>
      <c r="AI659" s="184"/>
      <c r="AJ659" s="182">
        <f>Escenario1!BP636</f>
        <v>0</v>
      </c>
      <c r="AK659" s="184"/>
      <c r="AL659" s="182">
        <f>Escenario2!BP636</f>
        <v>0</v>
      </c>
      <c r="AM659" s="151"/>
      <c r="BA659" s="152"/>
      <c r="BB659" s="75">
        <v>654</v>
      </c>
      <c r="BC659" s="190">
        <f>ABS(LíneaBase!L660-LíneaBase!L659)</f>
        <v>1.2719091679374501</v>
      </c>
      <c r="BD659" s="190">
        <f>ABS(Escenario1!BN660-Escenario1!BN659)</f>
        <v>0.28921320988542476</v>
      </c>
      <c r="BE659" s="190">
        <f>ABS(Escenario2!BN660-Escenario2!BN659)</f>
        <v>0.18740208312056739</v>
      </c>
      <c r="BF659" s="151"/>
    </row>
    <row r="660" spans="25:58">
      <c r="Y660" s="152"/>
      <c r="Z660" s="183">
        <f>(LíneaBase!C661-0.44)/(MAX(LíneaBase!C:C)+0.12)*100</f>
        <v>89.651016271297863</v>
      </c>
      <c r="AA660" s="184"/>
      <c r="AB660" s="182">
        <f>LíneaBase!L632</f>
        <v>0.19406549697602793</v>
      </c>
      <c r="AC660" s="184"/>
      <c r="AD660" s="182">
        <f>Escenario1!BN263</f>
        <v>0.24882908587976599</v>
      </c>
      <c r="AE660" s="184"/>
      <c r="AF660" s="182">
        <f>Escenario2!BN275</f>
        <v>0.21606679241274188</v>
      </c>
      <c r="AG660" s="184"/>
      <c r="AH660" s="182">
        <f>LíneaBase!N637</f>
        <v>0</v>
      </c>
      <c r="AI660" s="184"/>
      <c r="AJ660" s="182">
        <f>Escenario1!BP637</f>
        <v>0</v>
      </c>
      <c r="AK660" s="184"/>
      <c r="AL660" s="182">
        <f>Escenario2!BP637</f>
        <v>0</v>
      </c>
      <c r="AM660" s="151"/>
      <c r="BA660" s="152"/>
      <c r="BB660" s="75">
        <v>655</v>
      </c>
      <c r="BC660" s="190">
        <f>ABS(LíneaBase!L661-LíneaBase!L660)</f>
        <v>1.0894280355415031</v>
      </c>
      <c r="BD660" s="190">
        <f>ABS(Escenario1!BN661-Escenario1!BN660)</f>
        <v>9.8738679013051334E-2</v>
      </c>
      <c r="BE660" s="190">
        <f>ABS(Escenario2!BN661-Escenario2!BN660)</f>
        <v>1.9815148489108259E-2</v>
      </c>
      <c r="BF660" s="151"/>
    </row>
    <row r="661" spans="25:58">
      <c r="Y661" s="152"/>
      <c r="Z661" s="183">
        <f>(LíneaBase!C662-0.44)/(MAX(LíneaBase!C:C)+0.12)*100</f>
        <v>89.787980058072634</v>
      </c>
      <c r="AA661" s="184"/>
      <c r="AB661" s="182">
        <f>LíneaBase!L265</f>
        <v>0.19345943167486976</v>
      </c>
      <c r="AC661" s="184"/>
      <c r="AD661" s="182">
        <f>Escenario1!BN264</f>
        <v>0.24882774302840918</v>
      </c>
      <c r="AE661" s="184"/>
      <c r="AF661" s="182">
        <f>Escenario2!BN270</f>
        <v>0.21387705321000236</v>
      </c>
      <c r="AG661" s="184"/>
      <c r="AH661" s="182">
        <f>LíneaBase!N638</f>
        <v>0</v>
      </c>
      <c r="AI661" s="184"/>
      <c r="AJ661" s="182">
        <f>Escenario1!BP638</f>
        <v>0</v>
      </c>
      <c r="AK661" s="184"/>
      <c r="AL661" s="182">
        <f>Escenario2!BP638</f>
        <v>0</v>
      </c>
      <c r="AM661" s="151"/>
      <c r="BA661" s="152"/>
      <c r="BB661" s="75">
        <v>656</v>
      </c>
      <c r="BC661" s="190">
        <f>ABS(LíneaBase!L662-LíneaBase!L661)</f>
        <v>0.10410921701667963</v>
      </c>
      <c r="BD661" s="190">
        <f>ABS(Escenario1!BN662-Escenario1!BN661)</f>
        <v>9.4081817146657531E-2</v>
      </c>
      <c r="BE661" s="190">
        <f>ABS(Escenario2!BN662-Escenario2!BN661)</f>
        <v>0.10454834841812388</v>
      </c>
      <c r="BF661" s="151"/>
    </row>
    <row r="662" spans="25:58">
      <c r="Y662" s="152"/>
      <c r="Z662" s="183">
        <f>(LíneaBase!C663-0.44)/(MAX(LíneaBase!C:C)+0.12)*100</f>
        <v>89.924943844847419</v>
      </c>
      <c r="AA662" s="184"/>
      <c r="AB662" s="182">
        <f>LíneaBase!L358</f>
        <v>0.19217484318141448</v>
      </c>
      <c r="AC662" s="184"/>
      <c r="AD662" s="182">
        <f>Escenario1!BN275</f>
        <v>0.24835476615575364</v>
      </c>
      <c r="AE662" s="184"/>
      <c r="AF662" s="182">
        <f>Escenario2!BN641</f>
        <v>0.21206073647411475</v>
      </c>
      <c r="AG662" s="184"/>
      <c r="AH662" s="182">
        <f>LíneaBase!N640</f>
        <v>0</v>
      </c>
      <c r="AI662" s="184"/>
      <c r="AJ662" s="182">
        <f>Escenario1!BP640</f>
        <v>0</v>
      </c>
      <c r="AK662" s="184"/>
      <c r="AL662" s="182">
        <f>Escenario2!BP640</f>
        <v>0</v>
      </c>
      <c r="AM662" s="151"/>
      <c r="BA662" s="152"/>
      <c r="BB662" s="75">
        <v>657</v>
      </c>
      <c r="BC662" s="190">
        <f>ABS(LíneaBase!L663-LíneaBase!L662)</f>
        <v>0.46622874015650273</v>
      </c>
      <c r="BD662" s="190">
        <f>ABS(Escenario1!BN663-Escenario1!BN662)</f>
        <v>0.16066993019856324</v>
      </c>
      <c r="BE662" s="190">
        <f>ABS(Escenario2!BN663-Escenario2!BN662)</f>
        <v>0.12390681115798896</v>
      </c>
      <c r="BF662" s="151"/>
    </row>
    <row r="663" spans="25:58">
      <c r="Y663" s="152"/>
      <c r="Z663" s="183">
        <f>(LíneaBase!C664-0.44)/(MAX(LíneaBase!C:C)+0.12)*100</f>
        <v>90.061907631622191</v>
      </c>
      <c r="AA663" s="184"/>
      <c r="AB663" s="182">
        <f>LíneaBase!L633</f>
        <v>0.19214049555802384</v>
      </c>
      <c r="AC663" s="184"/>
      <c r="AD663" s="182">
        <f>Escenario1!BN634</f>
        <v>0.24832227923647138</v>
      </c>
      <c r="AE663" s="184"/>
      <c r="AF663" s="182">
        <f>Escenario2!BN271</f>
        <v>0.21169904646188126</v>
      </c>
      <c r="AG663" s="184"/>
      <c r="AH663" s="182">
        <f>LíneaBase!N641</f>
        <v>0</v>
      </c>
      <c r="AI663" s="184"/>
      <c r="AJ663" s="182">
        <f>Escenario1!BP641</f>
        <v>0</v>
      </c>
      <c r="AK663" s="184"/>
      <c r="AL663" s="182">
        <f>Escenario2!BP641</f>
        <v>0</v>
      </c>
      <c r="AM663" s="151"/>
      <c r="BA663" s="152"/>
      <c r="BB663" s="75">
        <v>658</v>
      </c>
      <c r="BC663" s="190">
        <f>ABS(LíneaBase!L664-LíneaBase!L663)</f>
        <v>0.28105940562909204</v>
      </c>
      <c r="BD663" s="190">
        <f>ABS(Escenario1!BN664-Escenario1!BN663)</f>
        <v>6.4879136725912723E-3</v>
      </c>
      <c r="BE663" s="190">
        <f>ABS(Escenario2!BN664-Escenario2!BN663)</f>
        <v>1.4759877321290915E-4</v>
      </c>
      <c r="BF663" s="151"/>
    </row>
    <row r="664" spans="25:58">
      <c r="Y664" s="152"/>
      <c r="Z664" s="183">
        <f>(LíneaBase!C665-0.44)/(MAX(LíneaBase!C:C)+0.12)*100</f>
        <v>90.198871418396962</v>
      </c>
      <c r="AA664" s="184"/>
      <c r="AB664" s="182">
        <f>LíneaBase!L273</f>
        <v>0.19182876066727086</v>
      </c>
      <c r="AC664" s="184"/>
      <c r="AD664" s="182">
        <f>Escenario1!BN635</f>
        <v>0.24588201078243038</v>
      </c>
      <c r="AE664" s="184"/>
      <c r="AF664" s="182">
        <f>Escenario2!BN272</f>
        <v>0.2095436218872839</v>
      </c>
      <c r="AG664" s="184"/>
      <c r="AH664" s="182">
        <f>LíneaBase!N642</f>
        <v>0</v>
      </c>
      <c r="AI664" s="184"/>
      <c r="AJ664" s="182">
        <f>Escenario1!BP642</f>
        <v>0</v>
      </c>
      <c r="AK664" s="184"/>
      <c r="AL664" s="182">
        <f>Escenario2!BP642</f>
        <v>0</v>
      </c>
      <c r="AM664" s="151"/>
      <c r="BA664" s="152"/>
      <c r="BB664" s="75">
        <v>659</v>
      </c>
      <c r="BC664" s="190">
        <f>ABS(LíneaBase!L665-LíneaBase!L664)</f>
        <v>0.10761127692670547</v>
      </c>
      <c r="BD664" s="190">
        <f>ABS(Escenario1!BN665-Escenario1!BN664)</f>
        <v>9.7377877975211913E-2</v>
      </c>
      <c r="BE664" s="190">
        <f>ABS(Escenario2!BN665-Escenario2!BN664)</f>
        <v>8.3204775836371758E-2</v>
      </c>
      <c r="BF664" s="151"/>
    </row>
    <row r="665" spans="25:58">
      <c r="Y665" s="152"/>
      <c r="Z665" s="183">
        <f>(LíneaBase!C666-0.44)/(MAX(LíneaBase!C:C)+0.12)*100</f>
        <v>90.335835205171747</v>
      </c>
      <c r="AA665" s="184"/>
      <c r="AB665" s="182">
        <f>LíneaBase!L266</f>
        <v>0.19108735306753055</v>
      </c>
      <c r="AC665" s="184"/>
      <c r="AD665" s="182">
        <f>Escenario1!BN265</f>
        <v>0.24396822865036646</v>
      </c>
      <c r="AE665" s="184"/>
      <c r="AF665" s="182">
        <f>Escenario2!BN642</f>
        <v>0.20813929459391678</v>
      </c>
      <c r="AG665" s="184"/>
      <c r="AH665" s="182">
        <f>LíneaBase!N643</f>
        <v>0</v>
      </c>
      <c r="AI665" s="184"/>
      <c r="AJ665" s="182">
        <f>Escenario1!BP643</f>
        <v>0</v>
      </c>
      <c r="AK665" s="184"/>
      <c r="AL665" s="182">
        <f>Escenario2!BP643</f>
        <v>0</v>
      </c>
      <c r="AM665" s="151"/>
      <c r="BA665" s="152"/>
      <c r="BB665" s="75">
        <v>660</v>
      </c>
      <c r="BC665" s="190">
        <f>ABS(LíneaBase!L666-LíneaBase!L665)</f>
        <v>1.9525893332005051E-2</v>
      </c>
      <c r="BD665" s="190">
        <f>ABS(Escenario1!BN666-Escenario1!BN665)</f>
        <v>1.9948226206619735E-2</v>
      </c>
      <c r="BE665" s="190">
        <f>ABS(Escenario2!BN666-Escenario2!BN665)</f>
        <v>2.9271840351322354E-2</v>
      </c>
      <c r="BF665" s="151"/>
    </row>
    <row r="666" spans="25:58">
      <c r="Y666" s="152"/>
      <c r="Z666" s="183">
        <f>(LíneaBase!C667-0.44)/(MAX(LíneaBase!C:C)+0.12)*100</f>
        <v>90.472798991946519</v>
      </c>
      <c r="AA666" s="184"/>
      <c r="AB666" s="182">
        <f>LíneaBase!L634</f>
        <v>0.19024516088407256</v>
      </c>
      <c r="AC666" s="184"/>
      <c r="AD666" s="182">
        <f>Escenario1!BN636</f>
        <v>0.24346497725664024</v>
      </c>
      <c r="AE666" s="184"/>
      <c r="AF666" s="182">
        <f>Escenario2!BN643</f>
        <v>0.20572418948391186</v>
      </c>
      <c r="AG666" s="184"/>
      <c r="AH666" s="182">
        <f>LíneaBase!N644</f>
        <v>0</v>
      </c>
      <c r="AI666" s="184"/>
      <c r="AJ666" s="182">
        <f>Escenario1!BP644</f>
        <v>0</v>
      </c>
      <c r="AK666" s="184"/>
      <c r="AL666" s="182">
        <f>Escenario2!BP644</f>
        <v>0</v>
      </c>
      <c r="AM666" s="151"/>
      <c r="BA666" s="152"/>
      <c r="BB666" s="75">
        <v>661</v>
      </c>
      <c r="BC666" s="190">
        <f>ABS(LíneaBase!L667-LíneaBase!L666)</f>
        <v>4.0213040269476696E-3</v>
      </c>
      <c r="BD666" s="190">
        <f>ABS(Escenario1!BN667-Escenario1!BN666)</f>
        <v>7.5586237188551841E-4</v>
      </c>
      <c r="BE666" s="190">
        <f>ABS(Escenario2!BN667-Escenario2!BN666)</f>
        <v>8.3946134116548166E-3</v>
      </c>
      <c r="BF666" s="151"/>
    </row>
    <row r="667" spans="25:58">
      <c r="Y667" s="152"/>
      <c r="Z667" s="183">
        <f>(LíneaBase!C668-0.44)/(MAX(LíneaBase!C:C)+0.12)*100</f>
        <v>90.609762778721304</v>
      </c>
      <c r="AA667" s="184"/>
      <c r="AB667" s="182">
        <f>LíneaBase!L654</f>
        <v>0.18970584485188779</v>
      </c>
      <c r="AC667" s="184"/>
      <c r="AD667" s="182">
        <f>Escenario1!BN266</f>
        <v>0.24157327737503295</v>
      </c>
      <c r="AE667" s="184"/>
      <c r="AF667" s="182">
        <f>Escenario2!BN644</f>
        <v>0.20357734663113608</v>
      </c>
      <c r="AG667" s="184"/>
      <c r="AH667" s="182">
        <f>LíneaBase!N645</f>
        <v>0</v>
      </c>
      <c r="AI667" s="184"/>
      <c r="AJ667" s="182">
        <f>Escenario1!BP645</f>
        <v>0</v>
      </c>
      <c r="AK667" s="184"/>
      <c r="AL667" s="182">
        <f>Escenario2!BP645</f>
        <v>0</v>
      </c>
      <c r="AM667" s="151"/>
      <c r="BA667" s="152"/>
      <c r="BB667" s="75">
        <v>662</v>
      </c>
      <c r="BC667" s="190">
        <f>ABS(LíneaBase!L668-LíneaBase!L667)</f>
        <v>3.896165980490407E-2</v>
      </c>
      <c r="BD667" s="190">
        <f>ABS(Escenario1!BN668-Escenario1!BN667)</f>
        <v>3.726749994430234E-2</v>
      </c>
      <c r="BE667" s="190">
        <f>ABS(Escenario2!BN668-Escenario2!BN667)</f>
        <v>4.5184817990453485E-2</v>
      </c>
      <c r="BF667" s="151"/>
    </row>
    <row r="668" spans="25:58">
      <c r="Y668" s="152"/>
      <c r="Z668" s="183">
        <f>(LíneaBase!C669-0.44)/(MAX(LíneaBase!C:C)+0.12)*100</f>
        <v>90.746726565496076</v>
      </c>
      <c r="AA668" s="184"/>
      <c r="AB668" s="182">
        <f>LíneaBase!L267</f>
        <v>0.18912721798690046</v>
      </c>
      <c r="AC668" s="184"/>
      <c r="AD668" s="182">
        <f>Escenario1!BN637</f>
        <v>0.24107097223719426</v>
      </c>
      <c r="AE668" s="184"/>
      <c r="AF668" s="182">
        <f>Escenario2!BN276</f>
        <v>0.20327598093712751</v>
      </c>
      <c r="AG668" s="184"/>
      <c r="AH668" s="182">
        <f>LíneaBase!N646</f>
        <v>0</v>
      </c>
      <c r="AI668" s="184"/>
      <c r="AJ668" s="182">
        <f>Escenario1!BP646</f>
        <v>0</v>
      </c>
      <c r="AK668" s="184"/>
      <c r="AL668" s="182">
        <f>Escenario2!BP646</f>
        <v>0</v>
      </c>
      <c r="AM668" s="151"/>
      <c r="BA668" s="152"/>
      <c r="BB668" s="75">
        <v>663</v>
      </c>
      <c r="BC668" s="190">
        <f>ABS(LíneaBase!L669-LíneaBase!L668)</f>
        <v>0.1580465763245642</v>
      </c>
      <c r="BD668" s="190">
        <f>ABS(Escenario1!BN669-Escenario1!BN668)</f>
        <v>8.3803236744516063E-2</v>
      </c>
      <c r="BE668" s="190">
        <f>ABS(Escenario2!BN669-Escenario2!BN668)</f>
        <v>7.6006448648455849E-2</v>
      </c>
      <c r="BF668" s="151"/>
    </row>
    <row r="669" spans="25:58">
      <c r="Y669" s="152"/>
      <c r="Z669" s="183">
        <f>(LíneaBase!C670-0.44)/(MAX(LíneaBase!C:C)+0.12)*100</f>
        <v>90.883690352270847</v>
      </c>
      <c r="AA669" s="184"/>
      <c r="AB669" s="182">
        <f>LíneaBase!L635</f>
        <v>0.18837027678779714</v>
      </c>
      <c r="AC669" s="184"/>
      <c r="AD669" s="182">
        <f>Escenario1!BN267</f>
        <v>0.23920105910081599</v>
      </c>
      <c r="AE669" s="184"/>
      <c r="AF669" s="182">
        <f>Escenario2!BN654</f>
        <v>0.20192397159696615</v>
      </c>
      <c r="AG669" s="184"/>
      <c r="AH669" s="182">
        <f>LíneaBase!N647</f>
        <v>0</v>
      </c>
      <c r="AI669" s="184"/>
      <c r="AJ669" s="182">
        <f>Escenario1!BP647</f>
        <v>0</v>
      </c>
      <c r="AK669" s="184"/>
      <c r="AL669" s="182">
        <f>Escenario2!BP647</f>
        <v>0</v>
      </c>
      <c r="AM669" s="151"/>
      <c r="BA669" s="152"/>
      <c r="BB669" s="75">
        <v>664</v>
      </c>
      <c r="BC669" s="190">
        <f>ABS(LíneaBase!L670-LíneaBase!L669)</f>
        <v>0.1088509865616627</v>
      </c>
      <c r="BD669" s="190">
        <f>ABS(Escenario1!BN670-Escenario1!BN669)</f>
        <v>4.4231543665603779E-2</v>
      </c>
      <c r="BE669" s="190">
        <f>ABS(Escenario2!BN670-Escenario2!BN669)</f>
        <v>5.2000515321788621E-2</v>
      </c>
      <c r="BF669" s="151"/>
    </row>
    <row r="670" spans="25:58">
      <c r="Y670" s="152"/>
      <c r="Z670" s="183">
        <f>(LíneaBase!C671-0.44)/(MAX(LíneaBase!C:C)+0.12)*100</f>
        <v>91.020654139045632</v>
      </c>
      <c r="AA670" s="184"/>
      <c r="AB670" s="182">
        <f>LíneaBase!L684</f>
        <v>0.18828501477363499</v>
      </c>
      <c r="AC670" s="184"/>
      <c r="AD670" s="182">
        <f>Escenario1!BN712</f>
        <v>0.23856265810751526</v>
      </c>
      <c r="AE670" s="184"/>
      <c r="AF670" s="182">
        <f>Escenario2!BN645</f>
        <v>0.20149313003838967</v>
      </c>
      <c r="AG670" s="184"/>
      <c r="AH670" s="182">
        <f>LíneaBase!N648</f>
        <v>0</v>
      </c>
      <c r="AI670" s="184"/>
      <c r="AJ670" s="182">
        <f>Escenario1!BP648</f>
        <v>0</v>
      </c>
      <c r="AK670" s="184"/>
      <c r="AL670" s="182">
        <f>Escenario2!BP648</f>
        <v>0</v>
      </c>
      <c r="AM670" s="151"/>
      <c r="BA670" s="152"/>
      <c r="BB670" s="75">
        <v>665</v>
      </c>
      <c r="BC670" s="190">
        <f>ABS(LíneaBase!L671-LíneaBase!L670)</f>
        <v>9.5366169385041277E-2</v>
      </c>
      <c r="BD670" s="190">
        <f>ABS(Escenario1!BN671-Escenario1!BN670)</f>
        <v>8.6828485951124801E-2</v>
      </c>
      <c r="BE670" s="190">
        <f>ABS(Escenario2!BN671-Escenario2!BN670)</f>
        <v>9.4596186102214985E-2</v>
      </c>
      <c r="BF670" s="151"/>
    </row>
    <row r="671" spans="25:58">
      <c r="Y671" s="152"/>
      <c r="Z671" s="183">
        <f>(LíneaBase!C672-0.44)/(MAX(LíneaBase!C:C)+0.12)*100</f>
        <v>91.157617925820404</v>
      </c>
      <c r="AA671" s="184"/>
      <c r="AB671" s="182">
        <f>LíneaBase!L268</f>
        <v>0.1872508746079827</v>
      </c>
      <c r="AC671" s="184"/>
      <c r="AD671" s="182">
        <f>Escenario1!BN268</f>
        <v>0.23685137402997103</v>
      </c>
      <c r="AE671" s="184"/>
      <c r="AF671" s="182">
        <f>Escenario2!BN277</f>
        <v>0.19945036449067152</v>
      </c>
      <c r="AG671" s="184"/>
      <c r="AH671" s="182">
        <f>LíneaBase!N649</f>
        <v>0</v>
      </c>
      <c r="AI671" s="184"/>
      <c r="AJ671" s="182">
        <f>Escenario1!BP649</f>
        <v>0</v>
      </c>
      <c r="AK671" s="184"/>
      <c r="AL671" s="182">
        <f>Escenario2!BP649</f>
        <v>0</v>
      </c>
      <c r="AM671" s="151"/>
      <c r="BA671" s="152"/>
      <c r="BB671" s="75">
        <v>666</v>
      </c>
      <c r="BC671" s="190">
        <f>ABS(LíneaBase!L672-LíneaBase!L671)</f>
        <v>5.6881761592310731E-2</v>
      </c>
      <c r="BD671" s="190">
        <f>ABS(Escenario1!BN672-Escenario1!BN671)</f>
        <v>5.2866797353626538E-2</v>
      </c>
      <c r="BE671" s="190">
        <f>ABS(Escenario2!BN672-Escenario2!BN671)</f>
        <v>6.072050858526834E-2</v>
      </c>
      <c r="BF671" s="151"/>
    </row>
    <row r="672" spans="25:58">
      <c r="Y672" s="152"/>
      <c r="Z672" s="183">
        <f>(LíneaBase!C673-0.44)/(MAX(LíneaBase!C:C)+0.12)*100</f>
        <v>91.294581712595175</v>
      </c>
      <c r="AA672" s="184"/>
      <c r="AB672" s="182">
        <f>LíneaBase!L636</f>
        <v>0.18651416097339787</v>
      </c>
      <c r="AC672" s="184"/>
      <c r="AD672" s="182">
        <f>Escenario1!BN273</f>
        <v>0.23683906709564279</v>
      </c>
      <c r="AE672" s="184"/>
      <c r="AF672" s="182">
        <f>Escenario2!BN646</f>
        <v>0.19943722489689658</v>
      </c>
      <c r="AG672" s="184"/>
      <c r="AH672" s="182">
        <f>LíneaBase!N650</f>
        <v>0</v>
      </c>
      <c r="AI672" s="184"/>
      <c r="AJ672" s="182">
        <f>Escenario1!BP650</f>
        <v>0</v>
      </c>
      <c r="AK672" s="184"/>
      <c r="AL672" s="182">
        <f>Escenario2!BP650</f>
        <v>0</v>
      </c>
      <c r="AM672" s="151"/>
      <c r="BA672" s="152"/>
      <c r="BB672" s="75">
        <v>667</v>
      </c>
      <c r="BC672" s="190">
        <f>ABS(LíneaBase!L673-LíneaBase!L672)</f>
        <v>0.10251601334784277</v>
      </c>
      <c r="BD672" s="190">
        <f>ABS(Escenario1!BN673-Escenario1!BN672)</f>
        <v>9.2944313020042801E-2</v>
      </c>
      <c r="BE672" s="190">
        <f>ABS(Escenario2!BN673-Escenario2!BN672)</f>
        <v>0.10050300263943757</v>
      </c>
      <c r="BF672" s="151"/>
    </row>
    <row r="673" spans="25:58">
      <c r="Y673" s="152"/>
      <c r="Z673" s="183">
        <f>(LíneaBase!C674-0.44)/(MAX(LíneaBase!C:C)+0.12)*100</f>
        <v>91.43154549936996</v>
      </c>
      <c r="AA673" s="184"/>
      <c r="AB673" s="182">
        <f>LíneaBase!L289</f>
        <v>0.18573423851794335</v>
      </c>
      <c r="AC673" s="184"/>
      <c r="AD673" s="182">
        <f>Escenario1!BN641</f>
        <v>0.23583805040466738</v>
      </c>
      <c r="AE673" s="184"/>
      <c r="AF673" s="182">
        <f>Escenario2!BN681</f>
        <v>0.19798696416805084</v>
      </c>
      <c r="AG673" s="184"/>
      <c r="AH673" s="182">
        <f>LíneaBase!N651</f>
        <v>0</v>
      </c>
      <c r="AI673" s="184"/>
      <c r="AJ673" s="182">
        <f>Escenario1!BP651</f>
        <v>0</v>
      </c>
      <c r="AK673" s="184"/>
      <c r="AL673" s="182">
        <f>Escenario2!BP651</f>
        <v>0</v>
      </c>
      <c r="AM673" s="151"/>
      <c r="BA673" s="152"/>
      <c r="BB673" s="75">
        <v>668</v>
      </c>
      <c r="BC673" s="190">
        <f>ABS(LíneaBase!L674-LíneaBase!L673)</f>
        <v>1.1770316640999701E-2</v>
      </c>
      <c r="BD673" s="190">
        <f>ABS(Escenario1!BN674-Escenario1!BN673)</f>
        <v>1.3022139221207762E-2</v>
      </c>
      <c r="BE673" s="190">
        <f>ABS(Escenario2!BN674-Escenario2!BN673)</f>
        <v>1.9974758620769251E-2</v>
      </c>
      <c r="BF673" s="151"/>
    </row>
    <row r="674" spans="25:58">
      <c r="Y674" s="152"/>
      <c r="Z674" s="183">
        <f>(LíneaBase!C675-0.44)/(MAX(LíneaBase!C:C)+0.12)*100</f>
        <v>91.568509286144746</v>
      </c>
      <c r="AA674" s="184"/>
      <c r="AB674" s="182">
        <f>LíneaBase!L269</f>
        <v>0.18540371853386914</v>
      </c>
      <c r="AC674" s="184"/>
      <c r="AD674" s="182">
        <f>Escenario1!BN269</f>
        <v>0.23452401466593445</v>
      </c>
      <c r="AE674" s="184"/>
      <c r="AF674" s="182">
        <f>Escenario2!BN647</f>
        <v>0.19740374691394288</v>
      </c>
      <c r="AG674" s="184"/>
      <c r="AH674" s="182">
        <f>LíneaBase!N652</f>
        <v>0</v>
      </c>
      <c r="AI674" s="184"/>
      <c r="AJ674" s="182">
        <f>Escenario1!BP652</f>
        <v>0</v>
      </c>
      <c r="AK674" s="184"/>
      <c r="AL674" s="182">
        <f>Escenario2!BP652</f>
        <v>0</v>
      </c>
      <c r="AM674" s="151"/>
      <c r="BA674" s="152"/>
      <c r="BB674" s="75">
        <v>669</v>
      </c>
      <c r="BC674" s="190">
        <f>ABS(LíneaBase!L675-LíneaBase!L674)</f>
        <v>9.7767493940824068E-2</v>
      </c>
      <c r="BD674" s="190">
        <f>ABS(Escenario1!BN675-Escenario1!BN674)</f>
        <v>8.8615393540245391E-2</v>
      </c>
      <c r="BE674" s="190">
        <f>ABS(Escenario2!BN675-Escenario2!BN674)</f>
        <v>9.5524410685241312E-2</v>
      </c>
      <c r="BF674" s="151"/>
    </row>
    <row r="675" spans="25:58">
      <c r="Y675" s="152"/>
      <c r="Z675" s="183">
        <f>(LíneaBase!C676-0.44)/(MAX(LíneaBase!C:C)+0.12)*100</f>
        <v>91.705473072919503</v>
      </c>
      <c r="AA675" s="184"/>
      <c r="AB675" s="182">
        <f>LíneaBase!L319</f>
        <v>0.18533412260816434</v>
      </c>
      <c r="AC675" s="184"/>
      <c r="AD675" s="182">
        <f>Escenario1!BN654</f>
        <v>0.23297049447664522</v>
      </c>
      <c r="AE675" s="184"/>
      <c r="AF675" s="182">
        <f>Escenario2!BN278</f>
        <v>0.19712999897298389</v>
      </c>
      <c r="AG675" s="184"/>
      <c r="AH675" s="182">
        <f>LíneaBase!N653</f>
        <v>0</v>
      </c>
      <c r="AI675" s="184"/>
      <c r="AJ675" s="182">
        <f>Escenario1!BP653</f>
        <v>0</v>
      </c>
      <c r="AK675" s="184"/>
      <c r="AL675" s="182">
        <f>Escenario2!BP653</f>
        <v>0</v>
      </c>
      <c r="AM675" s="151"/>
      <c r="BA675" s="152"/>
      <c r="BB675" s="75">
        <v>670</v>
      </c>
      <c r="BC675" s="190">
        <f>ABS(LíneaBase!L676-LíneaBase!L675)</f>
        <v>8.0301159991267856E-2</v>
      </c>
      <c r="BD675" s="190">
        <f>ABS(Escenario1!BN676-Escenario1!BN675)</f>
        <v>7.3175429585280005E-2</v>
      </c>
      <c r="BE675" s="190">
        <f>ABS(Escenario2!BN676-Escenario2!BN675)</f>
        <v>7.9756430940549461E-2</v>
      </c>
      <c r="BF675" s="151"/>
    </row>
    <row r="676" spans="25:58">
      <c r="Y676" s="152"/>
      <c r="Z676" s="183">
        <f>(LíneaBase!C677-0.44)/(MAX(LíneaBase!C:C)+0.12)*100</f>
        <v>91.842436859694288</v>
      </c>
      <c r="AA676" s="184"/>
      <c r="AB676" s="182">
        <f>LíneaBase!L637</f>
        <v>0.18467638279543661</v>
      </c>
      <c r="AC676" s="184"/>
      <c r="AD676" s="182">
        <f>Escenario1!BN270</f>
        <v>0.23221877642899602</v>
      </c>
      <c r="AE676" s="184"/>
      <c r="AF676" s="182">
        <f>Escenario2!BN648</f>
        <v>0.19539153153526695</v>
      </c>
      <c r="AG676" s="184"/>
      <c r="AH676" s="182">
        <f>LíneaBase!N654</f>
        <v>0</v>
      </c>
      <c r="AI676" s="184"/>
      <c r="AJ676" s="182">
        <f>Escenario1!BP654</f>
        <v>0</v>
      </c>
      <c r="AK676" s="184"/>
      <c r="AL676" s="182">
        <f>Escenario2!BP654</f>
        <v>0</v>
      </c>
      <c r="AM676" s="151"/>
      <c r="BA676" s="152"/>
      <c r="BB676" s="75">
        <v>671</v>
      </c>
      <c r="BC676" s="190">
        <f>ABS(LíneaBase!L677-LíneaBase!L676)</f>
        <v>1.6496292347692898E-2</v>
      </c>
      <c r="BD676" s="190">
        <f>ABS(Escenario1!BN677-Escenario1!BN676)</f>
        <v>1.6955426857516831E-2</v>
      </c>
      <c r="BE676" s="190">
        <f>ABS(Escenario2!BN677-Escenario2!BN676)</f>
        <v>2.3342308820447466E-2</v>
      </c>
      <c r="BF676" s="151"/>
    </row>
    <row r="677" spans="25:58">
      <c r="Y677" s="152"/>
      <c r="Z677" s="183">
        <f>(LíneaBase!C678-0.44)/(MAX(LíneaBase!C:C)+0.12)*100</f>
        <v>91.979400646469074</v>
      </c>
      <c r="AA677" s="184"/>
      <c r="AB677" s="182">
        <f>LíneaBase!L270</f>
        <v>0.18357653832221194</v>
      </c>
      <c r="AC677" s="184"/>
      <c r="AD677" s="182">
        <f>Escenario1!BN347</f>
        <v>0.23218377072278909</v>
      </c>
      <c r="AE677" s="184"/>
      <c r="AF677" s="182">
        <f>Escenario2!BN279</f>
        <v>0.19507682273531973</v>
      </c>
      <c r="AG677" s="184"/>
      <c r="AH677" s="182">
        <f>LíneaBase!N655</f>
        <v>0</v>
      </c>
      <c r="AI677" s="184"/>
      <c r="AJ677" s="182">
        <f>Escenario1!BP655</f>
        <v>0</v>
      </c>
      <c r="AK677" s="184"/>
      <c r="AL677" s="182">
        <f>Escenario2!BP655</f>
        <v>0</v>
      </c>
      <c r="AM677" s="151"/>
      <c r="BA677" s="152"/>
      <c r="BB677" s="75">
        <v>672</v>
      </c>
      <c r="BC677" s="190">
        <f>ABS(LíneaBase!L678-LíneaBase!L677)</f>
        <v>9.1572654760820549E-2</v>
      </c>
      <c r="BD677" s="190">
        <f>ABS(Escenario1!BN678-Escenario1!BN677)</f>
        <v>8.2948660521191209E-2</v>
      </c>
      <c r="BE677" s="190">
        <f>ABS(Escenario2!BN678-Escenario2!BN677)</f>
        <v>8.9223444670093577E-2</v>
      </c>
      <c r="BF677" s="151"/>
    </row>
    <row r="678" spans="25:58">
      <c r="Y678" s="152"/>
      <c r="Z678" s="183">
        <f>(LíneaBase!C679-0.44)/(MAX(LíneaBase!C:C)+0.12)*100</f>
        <v>92.116364433243845</v>
      </c>
      <c r="AA678" s="184"/>
      <c r="AB678" s="182">
        <f>LíneaBase!L641</f>
        <v>0.18269940661332268</v>
      </c>
      <c r="AC678" s="184"/>
      <c r="AD678" s="182">
        <f>Escenario1!BN271</f>
        <v>0.22993546449873245</v>
      </c>
      <c r="AE678" s="184"/>
      <c r="AF678" s="182">
        <f>Escenario2!BN289</f>
        <v>0.19430381857214199</v>
      </c>
      <c r="AG678" s="184"/>
      <c r="AH678" s="182">
        <f>LíneaBase!N657</f>
        <v>0</v>
      </c>
      <c r="AI678" s="184"/>
      <c r="AJ678" s="182">
        <f>Escenario1!BP657</f>
        <v>0</v>
      </c>
      <c r="AK678" s="184"/>
      <c r="AL678" s="182">
        <f>Escenario2!BP657</f>
        <v>0</v>
      </c>
      <c r="AM678" s="151"/>
      <c r="BA678" s="152"/>
      <c r="BB678" s="75">
        <v>673</v>
      </c>
      <c r="BC678" s="190">
        <f>ABS(LíneaBase!L679-LíneaBase!L678)</f>
        <v>1.1679158524822153E-3</v>
      </c>
      <c r="BD678" s="190">
        <f>ABS(Escenario1!BN679-Escenario1!BN678)</f>
        <v>1.2771702086338266E-3</v>
      </c>
      <c r="BE678" s="190">
        <f>ABS(Escenario2!BN679-Escenario2!BN678)</f>
        <v>7.1575193698876771E-3</v>
      </c>
      <c r="BF678" s="151"/>
    </row>
    <row r="679" spans="25:58">
      <c r="Y679" s="152"/>
      <c r="Z679" s="183">
        <f>(LíneaBase!C680-0.44)/(MAX(LíneaBase!C:C)+0.12)*100</f>
        <v>92.253328220018616</v>
      </c>
      <c r="AA679" s="184"/>
      <c r="AB679" s="182">
        <f>LíneaBase!L271</f>
        <v>0.18176765635469372</v>
      </c>
      <c r="AC679" s="184"/>
      <c r="AD679" s="182">
        <f>Escenario1!BN642</f>
        <v>0.2297086371913015</v>
      </c>
      <c r="AE679" s="184"/>
      <c r="AF679" s="182">
        <f>Escenario2!BN649</f>
        <v>0.19340019944195214</v>
      </c>
      <c r="AG679" s="184"/>
      <c r="AH679" s="182">
        <f>LíneaBase!N661</f>
        <v>0</v>
      </c>
      <c r="AI679" s="184"/>
      <c r="AJ679" s="182">
        <f>Escenario1!BP661</f>
        <v>0</v>
      </c>
      <c r="AK679" s="184"/>
      <c r="AL679" s="182">
        <f>Escenario2!BP661</f>
        <v>0</v>
      </c>
      <c r="AM679" s="151"/>
      <c r="BA679" s="152"/>
      <c r="BB679" s="75">
        <v>674</v>
      </c>
      <c r="BC679" s="190">
        <f>ABS(LíneaBase!L680-LíneaBase!L679)</f>
        <v>5.2106868711105703E-2</v>
      </c>
      <c r="BD679" s="190">
        <f>ABS(Escenario1!BN680-Escenario1!BN679)</f>
        <v>4.8081033957422858E-2</v>
      </c>
      <c r="BE679" s="190">
        <f>ABS(Escenario2!BN680-Escenario2!BN679)</f>
        <v>5.4099858940209355E-2</v>
      </c>
      <c r="BF679" s="151"/>
    </row>
    <row r="680" spans="25:58">
      <c r="Y680" s="152"/>
      <c r="Z680" s="183">
        <f>(LíneaBase!C681-0.44)/(MAX(LíneaBase!C:C)+0.12)*100</f>
        <v>92.390292006793402</v>
      </c>
      <c r="AA680" s="184"/>
      <c r="AB680" s="182">
        <f>LíneaBase!L272</f>
        <v>0.17997664661726989</v>
      </c>
      <c r="AC680" s="184"/>
      <c r="AD680" s="182">
        <f>Escenario1!BN272</f>
        <v>0.22767388245495471</v>
      </c>
      <c r="AE680" s="184"/>
      <c r="AF680" s="182">
        <f>Escenario2!BN280</f>
        <v>0.19308521248484839</v>
      </c>
      <c r="AG680" s="184"/>
      <c r="AH680" s="182">
        <f>LíneaBase!N662</f>
        <v>0</v>
      </c>
      <c r="AI680" s="184"/>
      <c r="AJ680" s="182">
        <f>Escenario1!BP662</f>
        <v>0</v>
      </c>
      <c r="AK680" s="184"/>
      <c r="AL680" s="182">
        <f>Escenario2!BP662</f>
        <v>0</v>
      </c>
      <c r="AM680" s="151"/>
      <c r="BA680" s="152"/>
      <c r="BB680" s="75">
        <v>675</v>
      </c>
      <c r="BC680" s="190">
        <f>ABS(LíneaBase!L681-LíneaBase!L680)</f>
        <v>8.3560067896061963E-2</v>
      </c>
      <c r="BD680" s="190">
        <f>ABS(Escenario1!BN681-Escenario1!BN680)</f>
        <v>7.5702497634491661E-2</v>
      </c>
      <c r="BE680" s="190">
        <f>ABS(Escenario2!BN681-Escenario2!BN680)</f>
        <v>8.1373183082993794E-2</v>
      </c>
      <c r="BF680" s="151"/>
    </row>
    <row r="681" spans="25:58">
      <c r="Y681" s="152"/>
      <c r="Z681" s="183">
        <f>(LíneaBase!C682-0.44)/(MAX(LíneaBase!C:C)+0.12)*100</f>
        <v>92.527255793568173</v>
      </c>
      <c r="AA681" s="184"/>
      <c r="AB681" s="182">
        <f>LíneaBase!L276</f>
        <v>0.1781821811739594</v>
      </c>
      <c r="AC681" s="184"/>
      <c r="AD681" s="182">
        <f>Escenario1!BN643</f>
        <v>0.22726380345985725</v>
      </c>
      <c r="AE681" s="184"/>
      <c r="AF681" s="182">
        <f>Escenario2!BN316</f>
        <v>0.19230202736508811</v>
      </c>
      <c r="AG681" s="184"/>
      <c r="AH681" s="182">
        <f>LíneaBase!N665</f>
        <v>0</v>
      </c>
      <c r="AI681" s="184"/>
      <c r="AJ681" s="182">
        <f>Escenario1!BP665</f>
        <v>0</v>
      </c>
      <c r="AK681" s="184"/>
      <c r="AL681" s="182">
        <f>Escenario2!BP665</f>
        <v>0</v>
      </c>
      <c r="AM681" s="151"/>
      <c r="BA681" s="152"/>
      <c r="BB681" s="75">
        <v>676</v>
      </c>
      <c r="BC681" s="190">
        <f>ABS(LíneaBase!L682-LíneaBase!L681)</f>
        <v>1.5687302084546717E-2</v>
      </c>
      <c r="BD681" s="190">
        <f>ABS(Escenario1!BN682-Escenario1!BN681)</f>
        <v>1.5917060622347157E-2</v>
      </c>
      <c r="BE681" s="190">
        <f>ABS(Escenario2!BN682-Escenario2!BN681)</f>
        <v>2.1335630693528257E-2</v>
      </c>
      <c r="BF681" s="151"/>
    </row>
    <row r="682" spans="25:58">
      <c r="Y682" s="152"/>
      <c r="Z682" s="183">
        <f>(LíneaBase!C683-0.44)/(MAX(LíneaBase!C:C)+0.12)*100</f>
        <v>92.664219580342959</v>
      </c>
      <c r="AA682" s="184"/>
      <c r="AB682" s="182">
        <f>LíneaBase!L642</f>
        <v>0.17661762170990908</v>
      </c>
      <c r="AC682" s="184"/>
      <c r="AD682" s="182">
        <f>Escenario1!BN644</f>
        <v>0.22504280080640532</v>
      </c>
      <c r="AE682" s="184"/>
      <c r="AF682" s="182">
        <f>Escenario2!BN650</f>
        <v>0.19142950364999359</v>
      </c>
      <c r="AG682" s="184"/>
      <c r="AH682" s="182">
        <f>LíneaBase!N666</f>
        <v>0</v>
      </c>
      <c r="AI682" s="184"/>
      <c r="AJ682" s="182">
        <f>Escenario1!BP666</f>
        <v>0</v>
      </c>
      <c r="AK682" s="184"/>
      <c r="AL682" s="182">
        <f>Escenario2!BP666</f>
        <v>0</v>
      </c>
      <c r="AM682" s="151"/>
      <c r="BA682" s="152"/>
      <c r="BB682" s="75">
        <v>677</v>
      </c>
      <c r="BC682" s="190">
        <f>ABS(LíneaBase!L683-LíneaBase!L682)</f>
        <v>8.3352828748814001E-2</v>
      </c>
      <c r="BD682" s="190">
        <f>ABS(Escenario1!BN683-Escenario1!BN682)</f>
        <v>7.5402818729790599E-2</v>
      </c>
      <c r="BE682" s="190">
        <f>ABS(Escenario2!BN683-Escenario2!BN682)</f>
        <v>2.8771764875181599E-2</v>
      </c>
      <c r="BF682" s="151"/>
    </row>
    <row r="683" spans="25:58">
      <c r="Y683" s="152"/>
      <c r="Z683" s="183">
        <f>(LíneaBase!C684-0.44)/(MAX(LíneaBase!C:C)+0.12)*100</f>
        <v>92.80118336711773</v>
      </c>
      <c r="AA683" s="184"/>
      <c r="AB683" s="182">
        <f>LíneaBase!L643</f>
        <v>0.17416689254418222</v>
      </c>
      <c r="AC683" s="184"/>
      <c r="AD683" s="182">
        <f>Escenario1!BN723</f>
        <v>0.22418292229418088</v>
      </c>
      <c r="AE683" s="184"/>
      <c r="AF683" s="182">
        <f>Escenario2!BN281</f>
        <v>0.19112086595939473</v>
      </c>
      <c r="AG683" s="184"/>
      <c r="AH683" s="182">
        <f>LíneaBase!N667</f>
        <v>0</v>
      </c>
      <c r="AI683" s="184"/>
      <c r="AJ683" s="182">
        <f>Escenario1!BP667</f>
        <v>0</v>
      </c>
      <c r="AK683" s="184"/>
      <c r="AL683" s="182">
        <f>Escenario2!BP667</f>
        <v>0</v>
      </c>
      <c r="AM683" s="151"/>
      <c r="BA683" s="152"/>
      <c r="BB683" s="75">
        <v>678</v>
      </c>
      <c r="BC683" s="190">
        <f>ABS(LíneaBase!L684-LíneaBase!L683)</f>
        <v>6.7721125822059275E-2</v>
      </c>
      <c r="BD683" s="190">
        <f>ABS(Escenario1!BN684-Escenario1!BN683)</f>
        <v>6.1587267017488345E-2</v>
      </c>
      <c r="BE683" s="190">
        <f>ABS(Escenario2!BN684-Escenario2!BN683)</f>
        <v>3.5765150386857514E-3</v>
      </c>
      <c r="BF683" s="151"/>
    </row>
    <row r="684" spans="25:58">
      <c r="Y684" s="152"/>
      <c r="Z684" s="183">
        <f>(LíneaBase!C685-0.44)/(MAX(LíneaBase!C:C)+0.12)*100</f>
        <v>92.938147153892501</v>
      </c>
      <c r="AA684" s="184"/>
      <c r="AB684" s="182">
        <f>LíneaBase!L644</f>
        <v>0.17233289127569645</v>
      </c>
      <c r="AC684" s="184"/>
      <c r="AD684" s="182">
        <f>Escenario1!BN276</f>
        <v>0.22295937316006181</v>
      </c>
      <c r="AE684" s="184"/>
      <c r="AF684" s="182">
        <f>Escenario2!BN651</f>
        <v>0.18947922114724386</v>
      </c>
      <c r="AG684" s="184"/>
      <c r="AH684" s="182">
        <f>LíneaBase!N668</f>
        <v>0</v>
      </c>
      <c r="AI684" s="184"/>
      <c r="AJ684" s="182">
        <f>Escenario1!BP668</f>
        <v>0</v>
      </c>
      <c r="AK684" s="184"/>
      <c r="AL684" s="182">
        <f>Escenario2!BP668</f>
        <v>0</v>
      </c>
      <c r="AM684" s="151"/>
      <c r="BA684" s="152"/>
      <c r="BB684" s="75">
        <v>679</v>
      </c>
      <c r="BC684" s="190">
        <f>ABS(LíneaBase!L685-LíneaBase!L684)</f>
        <v>6.1469988127008435E-2</v>
      </c>
      <c r="BD684" s="190">
        <f>ABS(Escenario1!BN685-Escenario1!BN684)</f>
        <v>7.0617014815755719E-2</v>
      </c>
      <c r="BE684" s="190">
        <f>ABS(Escenario2!BN685-Escenario2!BN684)</f>
        <v>4.1795557573611752E-3</v>
      </c>
      <c r="BF684" s="151"/>
    </row>
    <row r="685" spans="25:58">
      <c r="Y685" s="152"/>
      <c r="Z685" s="183">
        <f>(LíneaBase!C686-0.44)/(MAX(LíneaBase!C:C)+0.12)*100</f>
        <v>93.075110940667287</v>
      </c>
      <c r="AA685" s="184"/>
      <c r="AB685" s="182">
        <f>LíneaBase!L277</f>
        <v>0.17214490556871903</v>
      </c>
      <c r="AC685" s="184"/>
      <c r="AD685" s="182">
        <f>Escenario1!BN645</f>
        <v>0.2228425737114316</v>
      </c>
      <c r="AE685" s="184"/>
      <c r="AF685" s="182">
        <f>Escenario2!BN282</f>
        <v>0.18917791125713021</v>
      </c>
      <c r="AG685" s="184"/>
      <c r="AH685" s="182">
        <f>LíneaBase!N670</f>
        <v>0</v>
      </c>
      <c r="AI685" s="184"/>
      <c r="AJ685" s="182">
        <f>Escenario1!BP670</f>
        <v>0</v>
      </c>
      <c r="AK685" s="184"/>
      <c r="AL685" s="182">
        <f>Escenario2!BP670</f>
        <v>0</v>
      </c>
      <c r="AM685" s="151"/>
      <c r="BA685" s="152"/>
      <c r="BB685" s="75">
        <v>680</v>
      </c>
      <c r="BC685" s="190">
        <f>ABS(LíneaBase!L686-LíneaBase!L685)</f>
        <v>1.1141794917022954E-2</v>
      </c>
      <c r="BD685" s="190">
        <f>ABS(Escenario1!BN686-Escenario1!BN685)</f>
        <v>3.4213047178721284E-2</v>
      </c>
      <c r="BE685" s="190">
        <f>ABS(Escenario2!BN686-Escenario2!BN685)</f>
        <v>1.869351621872295E-3</v>
      </c>
      <c r="BF685" s="151"/>
    </row>
    <row r="686" spans="25:58">
      <c r="Y686" s="152"/>
      <c r="Z686" s="183">
        <f>(LíneaBase!C687-0.44)/(MAX(LíneaBase!C:C)+0.12)*100</f>
        <v>93.212074727442058</v>
      </c>
      <c r="AA686" s="184"/>
      <c r="AB686" s="182">
        <f>LíneaBase!L645</f>
        <v>0.17061529145463367</v>
      </c>
      <c r="AC686" s="184"/>
      <c r="AD686" s="182">
        <f>Escenario1!BN289</f>
        <v>0.22164440319697856</v>
      </c>
      <c r="AE686" s="184"/>
      <c r="AF686" s="182">
        <f>Escenario2!BN652</f>
        <v>0.18754913488916791</v>
      </c>
      <c r="AG686" s="184"/>
      <c r="AH686" s="182">
        <f>LíneaBase!N671</f>
        <v>0</v>
      </c>
      <c r="AI686" s="184"/>
      <c r="AJ686" s="182">
        <f>Escenario1!BP671</f>
        <v>0</v>
      </c>
      <c r="AK686" s="184"/>
      <c r="AL686" s="182">
        <f>Escenario2!BP671</f>
        <v>0</v>
      </c>
      <c r="AM686" s="151"/>
      <c r="BA686" s="152"/>
      <c r="BB686" s="75">
        <v>681</v>
      </c>
      <c r="BC686" s="190">
        <f>ABS(LíneaBase!L687-LíneaBase!L686)</f>
        <v>2.7812405911026017E-3</v>
      </c>
      <c r="BD686" s="190">
        <f>ABS(Escenario1!BN687-Escenario1!BN686)</f>
        <v>6.9356034777881548E-3</v>
      </c>
      <c r="BE686" s="190">
        <f>ABS(Escenario2!BN687-Escenario2!BN686)</f>
        <v>1.4739442393157665E-3</v>
      </c>
      <c r="BF686" s="151"/>
    </row>
    <row r="687" spans="25:58">
      <c r="Y687" s="152"/>
      <c r="Z687" s="183">
        <f>(LíneaBase!C688-0.44)/(MAX(LíneaBase!C:C)+0.12)*100</f>
        <v>93.349038514216829</v>
      </c>
      <c r="AA687" s="184"/>
      <c r="AB687" s="182">
        <f>LíneaBase!L278</f>
        <v>0.16973824714044936</v>
      </c>
      <c r="AC687" s="184"/>
      <c r="AD687" s="182">
        <f>Escenario1!BN646</f>
        <v>0.22066295040096603</v>
      </c>
      <c r="AE687" s="184"/>
      <c r="AF687" s="182">
        <f>Escenario2!BN283</f>
        <v>0.18725519606098753</v>
      </c>
      <c r="AG687" s="184"/>
      <c r="AH687" s="182">
        <f>LíneaBase!N672</f>
        <v>0</v>
      </c>
      <c r="AI687" s="184"/>
      <c r="AJ687" s="182">
        <f>Escenario1!BP672</f>
        <v>0</v>
      </c>
      <c r="AK687" s="184"/>
      <c r="AL687" s="182">
        <f>Escenario2!BP672</f>
        <v>0</v>
      </c>
      <c r="AM687" s="151"/>
      <c r="BA687" s="152"/>
      <c r="BB687" s="75">
        <v>682</v>
      </c>
      <c r="BC687" s="190">
        <f>ABS(LíneaBase!L688-LíneaBase!L687)</f>
        <v>1.496582849555346E-2</v>
      </c>
      <c r="BD687" s="190">
        <f>ABS(Escenario1!BN688-Escenario1!BN687)</f>
        <v>1.1988671407663354E-2</v>
      </c>
      <c r="BE687" s="190">
        <f>ABS(Escenario2!BN688-Escenario2!BN687)</f>
        <v>1.2992097364625588E-2</v>
      </c>
      <c r="BF687" s="151"/>
    </row>
    <row r="688" spans="25:58">
      <c r="Y688" s="152"/>
      <c r="Z688" s="183">
        <f>(LíneaBase!C689-0.44)/(MAX(LíneaBase!C:C)+0.12)*100</f>
        <v>93.486002300991615</v>
      </c>
      <c r="AA688" s="184"/>
      <c r="AB688" s="182">
        <f>LíneaBase!L646</f>
        <v>0.16893093217184582</v>
      </c>
      <c r="AC688" s="184"/>
      <c r="AD688" s="182">
        <f>Escenario1!BN647</f>
        <v>0.21850374353834603</v>
      </c>
      <c r="AE688" s="184"/>
      <c r="AF688" s="182">
        <f>Escenario2!BN655</f>
        <v>0.18669242492587984</v>
      </c>
      <c r="AG688" s="184"/>
      <c r="AH688" s="182">
        <f>LíneaBase!N673</f>
        <v>0</v>
      </c>
      <c r="AI688" s="184"/>
      <c r="AJ688" s="182">
        <f>Escenario1!BP673</f>
        <v>0</v>
      </c>
      <c r="AK688" s="184"/>
      <c r="AL688" s="182">
        <f>Escenario2!BP673</f>
        <v>0</v>
      </c>
      <c r="AM688" s="151"/>
      <c r="BA688" s="152"/>
      <c r="BB688" s="75">
        <v>683</v>
      </c>
      <c r="BC688" s="190">
        <f>ABS(LíneaBase!L689-LíneaBase!L688)</f>
        <v>1.0693674960636779E-2</v>
      </c>
      <c r="BD688" s="190">
        <f>ABS(Escenario1!BN689-Escenario1!BN688)</f>
        <v>1.0020005425607353E-2</v>
      </c>
      <c r="BE688" s="190">
        <f>ABS(Escenario2!BN689-Escenario2!BN688)</f>
        <v>9.7755167074824179E-3</v>
      </c>
      <c r="BF688" s="151"/>
    </row>
    <row r="689" spans="25:58">
      <c r="Y689" s="152"/>
      <c r="Z689" s="183">
        <f>(LíneaBase!C690-0.44)/(MAX(LíneaBase!C:C)+0.12)*100</f>
        <v>93.622966087766386</v>
      </c>
      <c r="AA689" s="184"/>
      <c r="AB689" s="182">
        <f>LíneaBase!L279</f>
        <v>0.16794788236994776</v>
      </c>
      <c r="AC689" s="184"/>
      <c r="AD689" s="182">
        <f>Escenario1!BN358</f>
        <v>0.21846221939994065</v>
      </c>
      <c r="AE689" s="184"/>
      <c r="AF689" s="182">
        <f>Escenario2!BN653</f>
        <v>0.18563903078867916</v>
      </c>
      <c r="AG689" s="184"/>
      <c r="AH689" s="182">
        <f>LíneaBase!N674</f>
        <v>0</v>
      </c>
      <c r="AI689" s="184"/>
      <c r="AJ689" s="182">
        <f>Escenario1!BP674</f>
        <v>0</v>
      </c>
      <c r="AK689" s="184"/>
      <c r="AL689" s="182">
        <f>Escenario2!BP674</f>
        <v>0</v>
      </c>
      <c r="AM689" s="151"/>
      <c r="BA689" s="152"/>
      <c r="BB689" s="75">
        <v>684</v>
      </c>
      <c r="BC689" s="190">
        <f>ABS(LíneaBase!L690-LíneaBase!L689)</f>
        <v>1.5164680883829686</v>
      </c>
      <c r="BD689" s="190">
        <f>ABS(Escenario1!BN690-Escenario1!BN689)</f>
        <v>0.33647366921769872</v>
      </c>
      <c r="BE689" s="190">
        <f>ABS(Escenario2!BN690-Escenario2!BN689)</f>
        <v>0.32307461732794851</v>
      </c>
      <c r="BF689" s="151"/>
    </row>
    <row r="690" spans="25:58">
      <c r="Y690" s="152"/>
      <c r="Z690" s="183">
        <f>(LíneaBase!C691-0.44)/(MAX(LíneaBase!C:C)+0.12)*100</f>
        <v>93.759929874541157</v>
      </c>
      <c r="AA690" s="184"/>
      <c r="AB690" s="182">
        <f>LíneaBase!L647</f>
        <v>0.16726587680196861</v>
      </c>
      <c r="AC690" s="184"/>
      <c r="AD690" s="182">
        <f>Escenario1!BN277</f>
        <v>0.21695657695785567</v>
      </c>
      <c r="AE690" s="184"/>
      <c r="AF690" s="182">
        <f>Escenario2!BN284</f>
        <v>0.18535235313755091</v>
      </c>
      <c r="AG690" s="184"/>
      <c r="AH690" s="182">
        <f>LíneaBase!N675</f>
        <v>0</v>
      </c>
      <c r="AI690" s="184"/>
      <c r="AJ690" s="182">
        <f>Escenario1!BP675</f>
        <v>0</v>
      </c>
      <c r="AK690" s="184"/>
      <c r="AL690" s="182">
        <f>Escenario2!BP675</f>
        <v>0</v>
      </c>
      <c r="AM690" s="151"/>
      <c r="BA690" s="152"/>
      <c r="BB690" s="75">
        <v>685</v>
      </c>
      <c r="BC690" s="190">
        <f>ABS(LíneaBase!L691-LíneaBase!L690)</f>
        <v>0.517876631512588</v>
      </c>
      <c r="BD690" s="190">
        <f>ABS(Escenario1!BN691-Escenario1!BN690)</f>
        <v>0.20568192241065514</v>
      </c>
      <c r="BE690" s="190">
        <f>ABS(Escenario2!BN691-Escenario2!BN690)</f>
        <v>0.19368038842179847</v>
      </c>
      <c r="BF690" s="151"/>
    </row>
    <row r="691" spans="25:58">
      <c r="Y691" s="152"/>
      <c r="Z691" s="183">
        <f>(LíneaBase!C692-0.44)/(MAX(LíneaBase!C:C)+0.12)*100</f>
        <v>93.896893661315943</v>
      </c>
      <c r="AA691" s="184"/>
      <c r="AB691" s="182">
        <f>LíneaBase!L280</f>
        <v>0.16627348908606099</v>
      </c>
      <c r="AC691" s="184"/>
      <c r="AD691" s="182">
        <f>Escenario1!BN648</f>
        <v>0.21636477927048367</v>
      </c>
      <c r="AE691" s="184"/>
      <c r="AF691" s="182">
        <f>Escenario2!BN285</f>
        <v>0.18346914743859305</v>
      </c>
      <c r="AG691" s="184"/>
      <c r="AH691" s="182">
        <f>LíneaBase!N676</f>
        <v>0</v>
      </c>
      <c r="AI691" s="184"/>
      <c r="AJ691" s="182">
        <f>Escenario1!BP676</f>
        <v>0</v>
      </c>
      <c r="AK691" s="184"/>
      <c r="AL691" s="182">
        <f>Escenario2!BP676</f>
        <v>0</v>
      </c>
      <c r="AM691" s="151"/>
      <c r="BA691" s="152"/>
      <c r="BB691" s="75">
        <v>686</v>
      </c>
      <c r="BC691" s="190">
        <f>ABS(LíneaBase!L692-LíneaBase!L691)</f>
        <v>0.5152286163281613</v>
      </c>
      <c r="BD691" s="190">
        <f>ABS(Escenario1!BN692-Escenario1!BN691)</f>
        <v>7.2299942178716603E-2</v>
      </c>
      <c r="BE691" s="190">
        <f>ABS(Escenario2!BN692-Escenario2!BN691)</f>
        <v>8.4097898698024309E-2</v>
      </c>
      <c r="BF691" s="151"/>
    </row>
    <row r="692" spans="25:58">
      <c r="Y692" s="152"/>
      <c r="Z692" s="183">
        <f>(LíneaBase!C693-0.44)/(MAX(LíneaBase!C:C)+0.12)*100</f>
        <v>94.033857448090714</v>
      </c>
      <c r="AA692" s="184"/>
      <c r="AB692" s="182">
        <f>LíneaBase!L648</f>
        <v>0.16561767689511808</v>
      </c>
      <c r="AC692" s="184"/>
      <c r="AD692" s="182">
        <f>Escenario1!BN278</f>
        <v>0.21463711859369858</v>
      </c>
      <c r="AE692" s="184"/>
      <c r="AF692" s="182">
        <f>Escenario2!BN286</f>
        <v>0.18160536773996433</v>
      </c>
      <c r="AG692" s="184"/>
      <c r="AH692" s="182">
        <f>LíneaBase!N677</f>
        <v>0</v>
      </c>
      <c r="AI692" s="184"/>
      <c r="AJ692" s="182">
        <f>Escenario1!BP677</f>
        <v>0</v>
      </c>
      <c r="AK692" s="184"/>
      <c r="AL692" s="182">
        <f>Escenario2!BP677</f>
        <v>0</v>
      </c>
      <c r="AM692" s="151"/>
      <c r="BA692" s="152"/>
      <c r="BB692" s="75">
        <v>687</v>
      </c>
      <c r="BC692" s="190">
        <f>ABS(LíneaBase!L693-LíneaBase!L692)</f>
        <v>7.4758397846517721E-2</v>
      </c>
      <c r="BD692" s="190">
        <f>ABS(Escenario1!BN693-Escenario1!BN692)</f>
        <v>6.7697427481934414E-2</v>
      </c>
      <c r="BE692" s="190">
        <f>ABS(Escenario2!BN693-Escenario2!BN692)</f>
        <v>7.9240515200316608E-2</v>
      </c>
      <c r="BF692" s="151"/>
    </row>
    <row r="693" spans="25:58">
      <c r="Y693" s="152"/>
      <c r="Z693" s="183">
        <f>(LíneaBase!C694-0.44)/(MAX(LíneaBase!C:C)+0.12)*100</f>
        <v>94.1708212348655</v>
      </c>
      <c r="AA693" s="184"/>
      <c r="AB693" s="182">
        <f>LíneaBase!L281</f>
        <v>0.16463191061614743</v>
      </c>
      <c r="AC693" s="184"/>
      <c r="AD693" s="182">
        <f>Escenario1!BN649</f>
        <v>0.21424591490841421</v>
      </c>
      <c r="AE693" s="184"/>
      <c r="AF693" s="182">
        <f>Escenario2!BN287</f>
        <v>0.17976080863926572</v>
      </c>
      <c r="AG693" s="184"/>
      <c r="AH693" s="182">
        <f>LíneaBase!N678</f>
        <v>0</v>
      </c>
      <c r="AI693" s="184"/>
      <c r="AJ693" s="182">
        <f>Escenario1!BP678</f>
        <v>0</v>
      </c>
      <c r="AK693" s="184"/>
      <c r="AL693" s="182">
        <f>Escenario2!BP678</f>
        <v>0</v>
      </c>
      <c r="AM693" s="151"/>
      <c r="BA693" s="152"/>
      <c r="BB693" s="75">
        <v>688</v>
      </c>
      <c r="BC693" s="190">
        <f>ABS(LíneaBase!L694-LíneaBase!L693)</f>
        <v>3.728868489640691E-2</v>
      </c>
      <c r="BD693" s="190">
        <f>ABS(Escenario1!BN694-Escenario1!BN693)</f>
        <v>3.0899721908776545E-2</v>
      </c>
      <c r="BE693" s="190">
        <f>ABS(Escenario2!BN694-Escenario2!BN693)</f>
        <v>2.0381357624424279E-2</v>
      </c>
      <c r="BF693" s="151"/>
    </row>
    <row r="694" spans="25:58">
      <c r="Y694" s="152"/>
      <c r="Z694" s="183">
        <f>(LíneaBase!C695-0.44)/(MAX(LíneaBase!C:C)+0.12)*100</f>
        <v>94.307785021640271</v>
      </c>
      <c r="AA694" s="184"/>
      <c r="AB694" s="182">
        <f>LíneaBase!L649</f>
        <v>0.16398579164571089</v>
      </c>
      <c r="AC694" s="184"/>
      <c r="AD694" s="182">
        <f>Escenario1!BN279</f>
        <v>0.21254026194508968</v>
      </c>
      <c r="AE694" s="184"/>
      <c r="AF694" s="182">
        <f>Escenario2!BN290</f>
        <v>0.1791549405406114</v>
      </c>
      <c r="AG694" s="184"/>
      <c r="AH694" s="182">
        <f>LíneaBase!N679</f>
        <v>0</v>
      </c>
      <c r="AI694" s="184"/>
      <c r="AJ694" s="182">
        <f>Escenario1!BP679</f>
        <v>0</v>
      </c>
      <c r="AK694" s="184"/>
      <c r="AL694" s="182">
        <f>Escenario2!BP679</f>
        <v>0</v>
      </c>
      <c r="AM694" s="151"/>
      <c r="BA694" s="152"/>
      <c r="BB694" s="75">
        <v>689</v>
      </c>
      <c r="BC694" s="190">
        <f>ABS(LíneaBase!L695-LíneaBase!L694)</f>
        <v>1.5279789923990204</v>
      </c>
      <c r="BD694" s="190">
        <f>ABS(Escenario1!BN695-Escenario1!BN694)</f>
        <v>0.32649600676898682</v>
      </c>
      <c r="BE694" s="190">
        <f>ABS(Escenario2!BN695-Escenario2!BN694)</f>
        <v>0.31535978090989381</v>
      </c>
      <c r="BF694" s="151"/>
    </row>
    <row r="695" spans="25:58">
      <c r="Y695" s="152"/>
      <c r="Z695" s="183">
        <f>(LíneaBase!C696-0.44)/(MAX(LíneaBase!C:C)+0.12)*100</f>
        <v>94.444748808415042</v>
      </c>
      <c r="AA695" s="184"/>
      <c r="AB695" s="182">
        <f>LíneaBase!L282</f>
        <v>0.16300921452960582</v>
      </c>
      <c r="AC695" s="184"/>
      <c r="AD695" s="182">
        <f>Escenario1!BN650</f>
        <v>0.21214693997762415</v>
      </c>
      <c r="AE695" s="184"/>
      <c r="AF695" s="182">
        <f>Escenario2!BN288</f>
        <v>0.17793526754757541</v>
      </c>
      <c r="AG695" s="184"/>
      <c r="AH695" s="182">
        <f>LíneaBase!N680</f>
        <v>0</v>
      </c>
      <c r="AI695" s="184"/>
      <c r="AJ695" s="182">
        <f>Escenario1!BP680</f>
        <v>0</v>
      </c>
      <c r="AK695" s="184"/>
      <c r="AL695" s="182">
        <f>Escenario2!BP680</f>
        <v>0</v>
      </c>
      <c r="AM695" s="151"/>
      <c r="BA695" s="152"/>
      <c r="BB695" s="75">
        <v>690</v>
      </c>
      <c r="BC695" s="190">
        <f>ABS(LíneaBase!L696-LíneaBase!L695)</f>
        <v>0.9305160591736541</v>
      </c>
      <c r="BD695" s="190">
        <f>ABS(Escenario1!BN696-Escenario1!BN695)</f>
        <v>0.11314511102315616</v>
      </c>
      <c r="BE695" s="190">
        <f>ABS(Escenario2!BN696-Escenario2!BN695)</f>
        <v>0.10300007820717139</v>
      </c>
      <c r="BF695" s="151"/>
    </row>
    <row r="696" spans="25:58">
      <c r="Y696" s="152"/>
      <c r="Z696" s="183">
        <f>(LíneaBase!C697-0.44)/(MAX(LíneaBase!C:C)+0.12)*100</f>
        <v>94.581712595189828</v>
      </c>
      <c r="AA696" s="184"/>
      <c r="AB696" s="182">
        <f>LíneaBase!L650</f>
        <v>0.16236999812110167</v>
      </c>
      <c r="AC696" s="184"/>
      <c r="AD696" s="182">
        <f>Escenario1!BN280</f>
        <v>0.21046296366140882</v>
      </c>
      <c r="AE696" s="184"/>
      <c r="AF696" s="182">
        <f>Escenario2!BN682</f>
        <v>0.17665133347452258</v>
      </c>
      <c r="AG696" s="184"/>
      <c r="AH696" s="182">
        <f>LíneaBase!N681</f>
        <v>0</v>
      </c>
      <c r="AI696" s="184"/>
      <c r="AJ696" s="182">
        <f>Escenario1!BP681</f>
        <v>0</v>
      </c>
      <c r="AK696" s="184"/>
      <c r="AL696" s="182">
        <f>Escenario2!BP681</f>
        <v>0</v>
      </c>
      <c r="AM696" s="151"/>
      <c r="BA696" s="152"/>
      <c r="BB696" s="75">
        <v>691</v>
      </c>
      <c r="BC696" s="190">
        <f>ABS(LíneaBase!L697-LíneaBase!L696)</f>
        <v>0.2476824962479639</v>
      </c>
      <c r="BD696" s="190">
        <f>ABS(Escenario1!BN697-Escenario1!BN696)</f>
        <v>9.8372488948162529E-2</v>
      </c>
      <c r="BE696" s="190">
        <f>ABS(Escenario2!BN697-Escenario2!BN696)</f>
        <v>0.10823261521786953</v>
      </c>
      <c r="BF696" s="151"/>
    </row>
    <row r="697" spans="25:58">
      <c r="Y697" s="152"/>
      <c r="Z697" s="183">
        <f>(LíneaBase!C698-0.44)/(MAX(LíneaBase!C:C)+0.12)*100</f>
        <v>94.718676381964599</v>
      </c>
      <c r="AA697" s="184"/>
      <c r="AB697" s="182">
        <f>LíneaBase!L655</f>
        <v>0.16215288454452015</v>
      </c>
      <c r="AC697" s="184"/>
      <c r="AD697" s="182">
        <f>Escenario1!BN651</f>
        <v>0.21006768879692594</v>
      </c>
      <c r="AE697" s="184"/>
      <c r="AF697" s="182">
        <f>Escenario2!BN710</f>
        <v>0.17585274206598411</v>
      </c>
      <c r="AG697" s="184"/>
      <c r="AH697" s="182">
        <f>LíneaBase!N682</f>
        <v>0</v>
      </c>
      <c r="AI697" s="184"/>
      <c r="AJ697" s="182">
        <f>Escenario1!BP682</f>
        <v>0</v>
      </c>
      <c r="AK697" s="184"/>
      <c r="AL697" s="182">
        <f>Escenario2!BP682</f>
        <v>0</v>
      </c>
      <c r="AM697" s="151"/>
      <c r="BA697" s="152"/>
      <c r="BB697" s="75">
        <v>692</v>
      </c>
      <c r="BC697" s="190">
        <f>ABS(LíneaBase!L698-LíneaBase!L697)</f>
        <v>0.10550107235419759</v>
      </c>
      <c r="BD697" s="190">
        <f>ABS(Escenario1!BN698-Escenario1!BN697)</f>
        <v>9.5772580691087517E-2</v>
      </c>
      <c r="BE697" s="190">
        <f>ABS(Escenario2!BN698-Escenario2!BN697)</f>
        <v>0.10543164979085429</v>
      </c>
      <c r="BF697" s="151"/>
    </row>
    <row r="698" spans="25:58">
      <c r="Y698" s="152"/>
      <c r="Z698" s="183">
        <f>(LíneaBase!C699-0.44)/(MAX(LíneaBase!C:C)+0.12)*100</f>
        <v>94.85564016873937</v>
      </c>
      <c r="AA698" s="184"/>
      <c r="AB698" s="182">
        <f>LíneaBase!L283</f>
        <v>0.16140295652998288</v>
      </c>
      <c r="AC698" s="184"/>
      <c r="AD698" s="182">
        <f>Escenario1!BN281</f>
        <v>0.20840506388768057</v>
      </c>
      <c r="AE698" s="184"/>
      <c r="AF698" s="182">
        <f>Escenario2!BN345</f>
        <v>0.17168876112690107</v>
      </c>
      <c r="AG698" s="184"/>
      <c r="AH698" s="182">
        <f>LíneaBase!N683</f>
        <v>0</v>
      </c>
      <c r="AI698" s="184"/>
      <c r="AJ698" s="182">
        <f>Escenario1!BP683</f>
        <v>0</v>
      </c>
      <c r="AK698" s="184"/>
      <c r="AL698" s="182">
        <f>Escenario2!BP683</f>
        <v>0</v>
      </c>
      <c r="AM698" s="151"/>
      <c r="BA698" s="152"/>
      <c r="BB698" s="75">
        <v>693</v>
      </c>
      <c r="BC698" s="190">
        <f>ABS(LíneaBase!L699-LíneaBase!L698)</f>
        <v>9.9948741417056786E-2</v>
      </c>
      <c r="BD698" s="190">
        <f>ABS(Escenario1!BN699-Escenario1!BN698)</f>
        <v>9.0810893671389281E-2</v>
      </c>
      <c r="BE698" s="190">
        <f>ABS(Escenario2!BN699-Escenario2!BN698)</f>
        <v>9.9817012806362237E-2</v>
      </c>
      <c r="BF698" s="151"/>
    </row>
    <row r="699" spans="25:58">
      <c r="Y699" s="152"/>
      <c r="Z699" s="183">
        <f>(LíneaBase!C700-0.44)/(MAX(LíneaBase!C:C)+0.12)*100</f>
        <v>94.992603955514156</v>
      </c>
      <c r="AA699" s="184"/>
      <c r="AB699" s="182">
        <f>LíneaBase!L651</f>
        <v>0.16077012744769953</v>
      </c>
      <c r="AC699" s="184"/>
      <c r="AD699" s="182">
        <f>Escenario1!BN655</f>
        <v>0.20806903588241282</v>
      </c>
      <c r="AE699" s="184"/>
      <c r="AF699" s="182">
        <f>Escenario2!BN317</f>
        <v>0.17102741624306839</v>
      </c>
      <c r="AG699" s="184"/>
      <c r="AH699" s="182">
        <f>LíneaBase!N684</f>
        <v>0</v>
      </c>
      <c r="AI699" s="184"/>
      <c r="AJ699" s="182">
        <f>Escenario1!BP684</f>
        <v>0</v>
      </c>
      <c r="AK699" s="184"/>
      <c r="AL699" s="182">
        <f>Escenario2!BP684</f>
        <v>0</v>
      </c>
      <c r="AM699" s="151"/>
      <c r="BA699" s="152"/>
      <c r="BB699" s="75">
        <v>694</v>
      </c>
      <c r="BC699" s="190">
        <f>ABS(LíneaBase!L700-LíneaBase!L699)</f>
        <v>0.35799215477233093</v>
      </c>
      <c r="BD699" s="190">
        <f>ABS(Escenario1!BN700-Escenario1!BN699)</f>
        <v>0.13925323202121065</v>
      </c>
      <c r="BE699" s="190">
        <f>ABS(Escenario2!BN700-Escenario2!BN699)</f>
        <v>0.13040819710098983</v>
      </c>
      <c r="BF699" s="151"/>
    </row>
    <row r="700" spans="25:58">
      <c r="Y700" s="152"/>
      <c r="Z700" s="183">
        <f>(LíneaBase!C701-0.44)/(MAX(LíneaBase!C:C)+0.12)*100</f>
        <v>95.129567742288941</v>
      </c>
      <c r="AA700" s="184"/>
      <c r="AB700" s="182">
        <f>LíneaBase!L284</f>
        <v>0.1598125999242016</v>
      </c>
      <c r="AC700" s="184"/>
      <c r="AD700" s="182">
        <f>Escenario1!BN652</f>
        <v>0.20800799538320761</v>
      </c>
      <c r="AE700" s="184"/>
      <c r="AF700" s="182">
        <f>Escenario2!BN723</f>
        <v>0.1695186148775768</v>
      </c>
      <c r="AG700" s="184"/>
      <c r="AH700" s="182">
        <f>LíneaBase!N685</f>
        <v>0</v>
      </c>
      <c r="AI700" s="184"/>
      <c r="AJ700" s="182">
        <f>Escenario1!BP685</f>
        <v>0</v>
      </c>
      <c r="AK700" s="184"/>
      <c r="AL700" s="182">
        <f>Escenario2!BP685</f>
        <v>0</v>
      </c>
      <c r="AM700" s="151"/>
      <c r="BA700" s="152"/>
      <c r="BB700" s="75">
        <v>695</v>
      </c>
      <c r="BC700" s="190">
        <f>ABS(LíneaBase!L701-LíneaBase!L700)</f>
        <v>1.1152138840141124</v>
      </c>
      <c r="BD700" s="190">
        <f>ABS(Escenario1!BN701-Escenario1!BN700)</f>
        <v>0.28597765153536236</v>
      </c>
      <c r="BE700" s="190">
        <f>ABS(Escenario2!BN701-Escenario2!BN700)</f>
        <v>0.28075814973703006</v>
      </c>
      <c r="BF700" s="151"/>
    </row>
    <row r="701" spans="25:58">
      <c r="Y701" s="152"/>
      <c r="Z701" s="183">
        <f>(LíneaBase!C702-0.44)/(MAX(LíneaBase!C:C)+0.12)*100</f>
        <v>95.266531529063698</v>
      </c>
      <c r="AA701" s="184"/>
      <c r="AB701" s="182">
        <f>LíneaBase!L652</f>
        <v>0.15918602102172885</v>
      </c>
      <c r="AC701" s="184"/>
      <c r="AD701" s="182">
        <f>Escenario1!BN282</f>
        <v>0.20636638721027278</v>
      </c>
      <c r="AE701" s="184"/>
      <c r="AF701" s="182">
        <f>Escenario2!BN358</f>
        <v>0.1658933512524885</v>
      </c>
      <c r="AG701" s="184"/>
      <c r="AH701" s="182">
        <f>LíneaBase!N686</f>
        <v>0</v>
      </c>
      <c r="AI701" s="184"/>
      <c r="AJ701" s="182">
        <f>Escenario1!BP686</f>
        <v>0</v>
      </c>
      <c r="AK701" s="184"/>
      <c r="AL701" s="182">
        <f>Escenario2!BP686</f>
        <v>0</v>
      </c>
      <c r="AM701" s="151"/>
      <c r="BA701" s="152"/>
      <c r="BB701" s="75">
        <v>696</v>
      </c>
      <c r="BC701" s="190">
        <f>ABS(LíneaBase!L702-LíneaBase!L701)</f>
        <v>1.124895549511477</v>
      </c>
      <c r="BD701" s="190">
        <f>ABS(Escenario1!BN702-Escenario1!BN701)</f>
        <v>9.4566587627159748E-2</v>
      </c>
      <c r="BE701" s="190">
        <f>ABS(Escenario2!BN702-Escenario2!BN701)</f>
        <v>0.10305108321924605</v>
      </c>
      <c r="BF701" s="151"/>
    </row>
    <row r="702" spans="25:58">
      <c r="Y702" s="152"/>
      <c r="Z702" s="183">
        <f>(LíneaBase!C703-0.44)/(MAX(LíneaBase!C:C)+0.12)*100</f>
        <v>95.403495315838484</v>
      </c>
      <c r="AA702" s="184"/>
      <c r="AB702" s="182">
        <f>LíneaBase!L285</f>
        <v>0.15823792585160135</v>
      </c>
      <c r="AC702" s="184"/>
      <c r="AD702" s="182">
        <f>Escenario1!BN653</f>
        <v>0.20596770630977262</v>
      </c>
      <c r="AE702" s="184"/>
      <c r="AF702" s="182">
        <f>Escenario2!BN718</f>
        <v>0.15048202623143833</v>
      </c>
      <c r="AG702" s="184"/>
      <c r="AH702" s="182">
        <f>LíneaBase!N687</f>
        <v>0</v>
      </c>
      <c r="AI702" s="184"/>
      <c r="AJ702" s="182">
        <f>Escenario1!BP687</f>
        <v>0</v>
      </c>
      <c r="AK702" s="184"/>
      <c r="AL702" s="182">
        <f>Escenario2!BP687</f>
        <v>0</v>
      </c>
      <c r="AM702" s="151"/>
      <c r="BA702" s="152"/>
      <c r="BB702" s="75">
        <v>697</v>
      </c>
      <c r="BC702" s="190">
        <f>ABS(LíneaBase!L703-LíneaBase!L702)</f>
        <v>0.11022269336183999</v>
      </c>
      <c r="BD702" s="190">
        <f>ABS(Escenario1!BN703-Escenario1!BN702)</f>
        <v>0.10054288451346549</v>
      </c>
      <c r="BE702" s="190">
        <f>ABS(Escenario2!BN703-Escenario2!BN702)</f>
        <v>0.10879201971731145</v>
      </c>
      <c r="BF702" s="151"/>
    </row>
    <row r="703" spans="25:58">
      <c r="Y703" s="152"/>
      <c r="Z703" s="183">
        <f>(LíneaBase!C704-0.44)/(MAX(LíneaBase!C:C)+0.12)*100</f>
        <v>95.540459102613255</v>
      </c>
      <c r="AA703" s="184"/>
      <c r="AB703" s="182">
        <f>LíneaBase!L290</f>
        <v>0.15822041139374701</v>
      </c>
      <c r="AC703" s="184"/>
      <c r="AD703" s="182">
        <f>Escenario1!BN283</f>
        <v>0.20434677149057079</v>
      </c>
      <c r="AE703" s="184"/>
      <c r="AF703" s="182">
        <f>Escenario2!BN688</f>
        <v>0.14977229930673158</v>
      </c>
      <c r="AG703" s="184"/>
      <c r="AH703" s="182">
        <f>LíneaBase!N688</f>
        <v>0</v>
      </c>
      <c r="AI703" s="184"/>
      <c r="AJ703" s="182">
        <f>Escenario1!BP688</f>
        <v>0</v>
      </c>
      <c r="AK703" s="184"/>
      <c r="AL703" s="182">
        <f>Escenario2!BP688</f>
        <v>0</v>
      </c>
      <c r="AM703" s="151"/>
      <c r="BA703" s="152"/>
      <c r="BB703" s="75">
        <v>698</v>
      </c>
      <c r="BC703" s="190">
        <f>ABS(LíneaBase!L704-LíneaBase!L703)</f>
        <v>0.10450239386615157</v>
      </c>
      <c r="BD703" s="190">
        <f>ABS(Escenario1!BN704-Escenario1!BN703)</f>
        <v>9.5412097764620563E-2</v>
      </c>
      <c r="BE703" s="190">
        <f>ABS(Escenario2!BN704-Escenario2!BN703)</f>
        <v>0.10305486314098455</v>
      </c>
      <c r="BF703" s="151"/>
    </row>
    <row r="704" spans="25:58">
      <c r="Y704" s="152"/>
      <c r="Z704" s="183">
        <f>(LíneaBase!C705-0.44)/(MAX(LíneaBase!C:C)+0.12)*100</f>
        <v>95.677422889388041</v>
      </c>
      <c r="AA704" s="184"/>
      <c r="AB704" s="182">
        <f>LíneaBase!L653</f>
        <v>0.15761752323020045</v>
      </c>
      <c r="AC704" s="184"/>
      <c r="AD704" s="182">
        <f>Escenario1!BN284</f>
        <v>0.20234608538530668</v>
      </c>
      <c r="AE704" s="184"/>
      <c r="AF704" s="182">
        <f>Escenario2!BN683</f>
        <v>0.14787956859934098</v>
      </c>
      <c r="AG704" s="184"/>
      <c r="AH704" s="182">
        <f>LíneaBase!N689</f>
        <v>0</v>
      </c>
      <c r="AI704" s="184"/>
      <c r="AJ704" s="182">
        <f>Escenario1!BP689</f>
        <v>0</v>
      </c>
      <c r="AK704" s="184"/>
      <c r="AL704" s="182">
        <f>Escenario2!BP689</f>
        <v>0</v>
      </c>
      <c r="AM704" s="151"/>
      <c r="BA704" s="152"/>
      <c r="BB704" s="75">
        <v>699</v>
      </c>
      <c r="BC704" s="190">
        <f>ABS(LíneaBase!L705-LíneaBase!L704)</f>
        <v>9.9283781624188716E-2</v>
      </c>
      <c r="BD704" s="190">
        <f>ABS(Escenario1!BN705-Escenario1!BN704)</f>
        <v>9.0722931803889018E-2</v>
      </c>
      <c r="BE704" s="190">
        <f>ABS(Escenario2!BN705-Escenario2!BN704)</f>
        <v>9.7827907232205247E-2</v>
      </c>
      <c r="BF704" s="151"/>
    </row>
    <row r="705" spans="25:58">
      <c r="Y705" s="152"/>
      <c r="Z705" s="183">
        <f>(LíneaBase!C706-0.44)/(MAX(LíneaBase!C:C)+0.12)*100</f>
        <v>95.814386676162812</v>
      </c>
      <c r="AA705" s="184"/>
      <c r="AB705" s="182">
        <f>LíneaBase!L286</f>
        <v>0.1566787694704535</v>
      </c>
      <c r="AC705" s="184"/>
      <c r="AD705" s="182">
        <f>Escenario1!BN285</f>
        <v>0.20036413021699614</v>
      </c>
      <c r="AE705" s="184"/>
      <c r="AF705" s="182">
        <f>Escenario2!BN353</f>
        <v>0.14665861946730746</v>
      </c>
      <c r="AG705" s="184"/>
      <c r="AH705" s="182">
        <f>LíneaBase!N692</f>
        <v>0</v>
      </c>
      <c r="AI705" s="184"/>
      <c r="AJ705" s="182">
        <f>Escenario1!BP692</f>
        <v>0</v>
      </c>
      <c r="AK705" s="184"/>
      <c r="AL705" s="182">
        <f>Escenario2!BP692</f>
        <v>0</v>
      </c>
      <c r="AM705" s="151"/>
      <c r="BA705" s="152"/>
      <c r="BB705" s="75">
        <v>700</v>
      </c>
      <c r="BC705" s="190">
        <f>ABS(LíneaBase!L706-LíneaBase!L705)</f>
        <v>9.4471670399768781E-2</v>
      </c>
      <c r="BD705" s="190">
        <f>ABS(Escenario1!BN706-Escenario1!BN705)</f>
        <v>8.6392637750337009E-2</v>
      </c>
      <c r="BE705" s="190">
        <f>ABS(Escenario2!BN706-Escenario2!BN705)</f>
        <v>9.3014148186127743E-2</v>
      </c>
      <c r="BF705" s="151"/>
    </row>
    <row r="706" spans="25:58">
      <c r="Y706" s="152"/>
      <c r="Z706" s="183">
        <f>(LíneaBase!C707-0.44)/(MAX(LíneaBase!C:C)+0.12)*100</f>
        <v>95.951350462937597</v>
      </c>
      <c r="AA706" s="184"/>
      <c r="AB706" s="182">
        <f>LíneaBase!L287</f>
        <v>0.1551349761691182</v>
      </c>
      <c r="AC706" s="184"/>
      <c r="AD706" s="182">
        <f>Escenario1!BN685</f>
        <v>0.19917537097558591</v>
      </c>
      <c r="AE706" s="184"/>
      <c r="AF706" s="182">
        <f>Escenario2!BN323</f>
        <v>0.14450053839358382</v>
      </c>
      <c r="AG706" s="184"/>
      <c r="AH706" s="182">
        <f>LíneaBase!N693</f>
        <v>0</v>
      </c>
      <c r="AI706" s="184"/>
      <c r="AJ706" s="182">
        <f>Escenario1!BP693</f>
        <v>0</v>
      </c>
      <c r="AK706" s="184"/>
      <c r="AL706" s="182">
        <f>Escenario2!BP693</f>
        <v>0</v>
      </c>
      <c r="AM706" s="151"/>
      <c r="BA706" s="152"/>
      <c r="BB706" s="75">
        <v>701</v>
      </c>
      <c r="BC706" s="190">
        <f>ABS(LíneaBase!L707-LíneaBase!L706)</f>
        <v>9.1509030563517557E-2</v>
      </c>
      <c r="BD706" s="190">
        <f>ABS(Escenario1!BN707-Escenario1!BN706)</f>
        <v>8.3686339629888473E-2</v>
      </c>
      <c r="BE706" s="190">
        <f>ABS(Escenario2!BN707-Escenario2!BN706)</f>
        <v>9.0115814198224065E-2</v>
      </c>
      <c r="BF706" s="151"/>
    </row>
    <row r="707" spans="25:58">
      <c r="Y707" s="152"/>
      <c r="Z707" s="183">
        <f>(LíneaBase!C708-0.44)/(MAX(LíneaBase!C:C)+0.12)*100</f>
        <v>96.088314249712369</v>
      </c>
      <c r="AA707" s="184"/>
      <c r="AB707" s="182">
        <f>LíneaBase!L718</f>
        <v>0.15432029041450651</v>
      </c>
      <c r="AC707" s="184"/>
      <c r="AD707" s="182">
        <f>Escenario1!BN286</f>
        <v>0.19840075161854684</v>
      </c>
      <c r="AE707" s="184"/>
      <c r="AF707" s="182">
        <f>Escenario2!BN684</f>
        <v>0.14430305356065523</v>
      </c>
      <c r="AG707" s="184"/>
      <c r="AH707" s="182">
        <f>LíneaBase!N697</f>
        <v>0</v>
      </c>
      <c r="AI707" s="184"/>
      <c r="AJ707" s="182">
        <f>Escenario1!BP697</f>
        <v>0</v>
      </c>
      <c r="AK707" s="184"/>
      <c r="AL707" s="182">
        <f>Escenario2!BP697</f>
        <v>0</v>
      </c>
      <c r="AM707" s="151"/>
      <c r="BA707" s="152"/>
      <c r="BB707" s="75">
        <v>702</v>
      </c>
      <c r="BC707" s="190">
        <f>ABS(LíneaBase!L708-LíneaBase!L707)</f>
        <v>9.0332903294577271E-2</v>
      </c>
      <c r="BD707" s="190">
        <f>ABS(Escenario1!BN708-Escenario1!BN707)</f>
        <v>8.2548278706026545E-2</v>
      </c>
      <c r="BE707" s="190">
        <f>ABS(Escenario2!BN708-Escenario2!BN707)</f>
        <v>8.9066627147407484E-2</v>
      </c>
      <c r="BF707" s="151"/>
    </row>
    <row r="708" spans="25:58">
      <c r="Y708" s="152"/>
      <c r="Z708" s="183">
        <f>(LíneaBase!C709-0.44)/(MAX(LíneaBase!C:C)+0.12)*100</f>
        <v>96.225278036487154</v>
      </c>
      <c r="AA708" s="184"/>
      <c r="AB708" s="182">
        <f>LíneaBase!L288</f>
        <v>0.15360639428740619</v>
      </c>
      <c r="AC708" s="184"/>
      <c r="AD708" s="182">
        <f>Escenario1!BN290</f>
        <v>0.19685440848800534</v>
      </c>
      <c r="AE708" s="184"/>
      <c r="AF708" s="182">
        <f>Escenario2!BN318</f>
        <v>0.14231599320346755</v>
      </c>
      <c r="AG708" s="184"/>
      <c r="AH708" s="182">
        <f>LíneaBase!N698</f>
        <v>0</v>
      </c>
      <c r="AI708" s="184"/>
      <c r="AJ708" s="182">
        <f>Escenario1!BP698</f>
        <v>0</v>
      </c>
      <c r="AK708" s="184"/>
      <c r="AL708" s="182">
        <f>Escenario2!BP698</f>
        <v>0</v>
      </c>
      <c r="AM708" s="151"/>
      <c r="BA708" s="152"/>
      <c r="BB708" s="75">
        <v>703</v>
      </c>
      <c r="BC708" s="190">
        <f>ABS(LíneaBase!L709-LíneaBase!L708)</f>
        <v>8.7203058152282853E-2</v>
      </c>
      <c r="BD708" s="190">
        <f>ABS(Escenario1!BN709-Escenario1!BN708)</f>
        <v>7.9702847967271895E-2</v>
      </c>
      <c r="BE708" s="190">
        <f>ABS(Escenario2!BN709-Escenario2!BN708)</f>
        <v>8.598241423553793E-2</v>
      </c>
      <c r="BF708" s="151"/>
    </row>
    <row r="709" spans="25:58">
      <c r="Y709" s="152"/>
      <c r="Z709" s="183">
        <f>(LíneaBase!C710-0.44)/(MAX(LíneaBase!C:C)+0.12)*100</f>
        <v>96.362241823261911</v>
      </c>
      <c r="AA709" s="184"/>
      <c r="AB709" s="182">
        <f>LíneaBase!L353</f>
        <v>0.15221293023193921</v>
      </c>
      <c r="AC709" s="184"/>
      <c r="AD709" s="182">
        <f>Escenario1!BN287</f>
        <v>0.19645579480587422</v>
      </c>
      <c r="AE709" s="184"/>
      <c r="AF709" s="182">
        <f>Escenario2!BN685</f>
        <v>0.14012349780329406</v>
      </c>
      <c r="AG709" s="184"/>
      <c r="AH709" s="182">
        <f>LíneaBase!N699</f>
        <v>0</v>
      </c>
      <c r="AI709" s="184"/>
      <c r="AJ709" s="182">
        <f>Escenario1!BP699</f>
        <v>0</v>
      </c>
      <c r="AK709" s="184"/>
      <c r="AL709" s="182">
        <f>Escenario2!BP699</f>
        <v>0</v>
      </c>
      <c r="AM709" s="151"/>
      <c r="BA709" s="152"/>
      <c r="BB709" s="75">
        <v>704</v>
      </c>
      <c r="BC709" s="190">
        <f>ABS(LíneaBase!L710-LíneaBase!L709)</f>
        <v>8.425578675038381E-2</v>
      </c>
      <c r="BD709" s="190">
        <f>ABS(Escenario1!BN710-Escenario1!BN709)</f>
        <v>7.7020769561592706E-2</v>
      </c>
      <c r="BE709" s="190">
        <f>ABS(Escenario2!BN710-Escenario2!BN709)</f>
        <v>8.3082041072049917E-2</v>
      </c>
      <c r="BF709" s="151"/>
    </row>
    <row r="710" spans="25:58">
      <c r="Y710" s="152"/>
      <c r="Z710" s="183">
        <f>(LíneaBase!C711-0.44)/(MAX(LíneaBase!C:C)+0.12)*100</f>
        <v>96.499205610036697</v>
      </c>
      <c r="AA710" s="184"/>
      <c r="AB710" s="182">
        <f>LíneaBase!L712</f>
        <v>0.13673961414171235</v>
      </c>
      <c r="AC710" s="184"/>
      <c r="AD710" s="182">
        <f>Escenario1!BN288</f>
        <v>0.19452911730325423</v>
      </c>
      <c r="AE710" s="184"/>
      <c r="AF710" s="182">
        <f>Escenario2!BN689</f>
        <v>0.13999678259924916</v>
      </c>
      <c r="AG710" s="184"/>
      <c r="AH710" s="182">
        <f>LíneaBase!N702</f>
        <v>0</v>
      </c>
      <c r="AI710" s="184"/>
      <c r="AJ710" s="182">
        <f>Escenario1!BP702</f>
        <v>0</v>
      </c>
      <c r="AK710" s="184"/>
      <c r="AL710" s="182">
        <f>Escenario2!BP702</f>
        <v>0</v>
      </c>
      <c r="AM710" s="151"/>
      <c r="BA710" s="152"/>
      <c r="BB710" s="75">
        <v>705</v>
      </c>
      <c r="BC710" s="190">
        <f>ABS(LíneaBase!L711-LíneaBase!L710)</f>
        <v>8.1944896487657209E-2</v>
      </c>
      <c r="BD710" s="190">
        <f>ABS(Escenario1!BN711-Escenario1!BN710)</f>
        <v>7.4899127626171014E-2</v>
      </c>
      <c r="BE710" s="190">
        <f>ABS(Escenario2!BN711-Escenario2!BN710)</f>
        <v>5.577578186284568E-2</v>
      </c>
      <c r="BF710" s="151"/>
    </row>
    <row r="711" spans="25:58">
      <c r="Y711" s="152"/>
      <c r="Z711" s="183">
        <f>(LíneaBase!C712-0.44)/(MAX(LíneaBase!C:C)+0.12)*100</f>
        <v>96.636169396811482</v>
      </c>
      <c r="AA711" s="184"/>
      <c r="AB711" s="182">
        <f>LíneaBase!L347</f>
        <v>0.1345032560711176</v>
      </c>
      <c r="AC711" s="184"/>
      <c r="AD711" s="182">
        <f>Escenario1!BN320</f>
        <v>0.19084184930817025</v>
      </c>
      <c r="AE711" s="184"/>
      <c r="AF711" s="182">
        <f>Escenario2!BN319</f>
        <v>0.13879915011158145</v>
      </c>
      <c r="AG711" s="184"/>
      <c r="AH711" s="182">
        <f>LíneaBase!N703</f>
        <v>0</v>
      </c>
      <c r="AI711" s="184"/>
      <c r="AJ711" s="182">
        <f>Escenario1!BP703</f>
        <v>0</v>
      </c>
      <c r="AK711" s="184"/>
      <c r="AL711" s="182">
        <f>Escenario2!BP703</f>
        <v>0</v>
      </c>
      <c r="AM711" s="151"/>
      <c r="BA711" s="152"/>
      <c r="BB711" s="75">
        <v>706</v>
      </c>
      <c r="BC711" s="190">
        <f>ABS(LíneaBase!L712-LíneaBase!L711)</f>
        <v>7.5232556104560477E-2</v>
      </c>
      <c r="BD711" s="190">
        <f>ABS(Escenario1!BN712-Escenario1!BN711)</f>
        <v>6.8912207157750816E-2</v>
      </c>
      <c r="BE711" s="190">
        <f>ABS(Escenario2!BN712-Escenario2!BN711)</f>
        <v>9.5721560096456021E-3</v>
      </c>
      <c r="BF711" s="151"/>
    </row>
    <row r="712" spans="25:58">
      <c r="Y712" s="152"/>
      <c r="Z712" s="183">
        <f>(LíneaBase!C713-0.44)/(MAX(LíneaBase!C:C)+0.12)*100</f>
        <v>96.773133183586253</v>
      </c>
      <c r="AA712" s="184"/>
      <c r="AB712" s="182">
        <f>LíneaBase!L688</f>
        <v>0.12785781963405446</v>
      </c>
      <c r="AC712" s="184"/>
      <c r="AD712" s="182">
        <f>Escenario1!BN718</f>
        <v>0.18158785802486316</v>
      </c>
      <c r="AE712" s="184"/>
      <c r="AF712" s="182">
        <f>Escenario2!BN686</f>
        <v>0.13825414618142176</v>
      </c>
      <c r="AG712" s="184"/>
      <c r="AH712" s="182">
        <f>LíneaBase!N704</f>
        <v>0</v>
      </c>
      <c r="AI712" s="184"/>
      <c r="AJ712" s="182">
        <f>Escenario1!BP704</f>
        <v>0</v>
      </c>
      <c r="AK712" s="184"/>
      <c r="AL712" s="182">
        <f>Escenario2!BP704</f>
        <v>0</v>
      </c>
      <c r="AM712" s="151"/>
      <c r="BA712" s="152"/>
      <c r="BB712" s="75">
        <v>707</v>
      </c>
      <c r="BC712" s="190">
        <f>ABS(LíneaBase!L713-LíneaBase!L712)</f>
        <v>4.1619738165335277E-2</v>
      </c>
      <c r="BD712" s="190">
        <f>ABS(Escenario1!BN713-Escenario1!BN712)</f>
        <v>6.9526379175933517E-2</v>
      </c>
      <c r="BE712" s="190">
        <f>ABS(Escenario2!BN713-Escenario2!BN712)</f>
        <v>3.0949889191190516E-3</v>
      </c>
      <c r="BF712" s="151"/>
    </row>
    <row r="713" spans="25:58">
      <c r="Y713" s="152"/>
      <c r="Z713" s="183">
        <f>(LíneaBase!C714-0.44)/(MAX(LíneaBase!C:C)+0.12)*100</f>
        <v>96.910096970361025</v>
      </c>
      <c r="AA713" s="184"/>
      <c r="AB713" s="182">
        <f>LíneaBase!L685</f>
        <v>0.12681502664662656</v>
      </c>
      <c r="AC713" s="184"/>
      <c r="AD713" s="182">
        <f>Escenario1!BN353</f>
        <v>0.17557684688926747</v>
      </c>
      <c r="AE713" s="184"/>
      <c r="AF713" s="182">
        <f>Escenario2!BN687</f>
        <v>0.13678020194210599</v>
      </c>
      <c r="AG713" s="184"/>
      <c r="AH713" s="182">
        <f>LíneaBase!N705</f>
        <v>0</v>
      </c>
      <c r="AI713" s="184"/>
      <c r="AJ713" s="182">
        <f>Escenario1!BP705</f>
        <v>0</v>
      </c>
      <c r="AK713" s="184"/>
      <c r="AL713" s="182">
        <f>Escenario2!BP705</f>
        <v>0</v>
      </c>
      <c r="AM713" s="151"/>
      <c r="BA713" s="152"/>
      <c r="BB713" s="75">
        <v>708</v>
      </c>
      <c r="BC713" s="190">
        <f>ABS(LíneaBase!L714-LíneaBase!L713)</f>
        <v>7.619894695736984E-3</v>
      </c>
      <c r="BD713" s="190">
        <f>ABS(Escenario1!BN714-Escenario1!BN713)</f>
        <v>3.6480006224278522E-2</v>
      </c>
      <c r="BE713" s="190">
        <f>ABS(Escenario2!BN714-Escenario2!BN713)</f>
        <v>1.4114196995616418E-3</v>
      </c>
      <c r="BF713" s="151"/>
    </row>
    <row r="714" spans="25:58">
      <c r="Y714" s="152"/>
      <c r="Z714" s="183">
        <f>(LíneaBase!C715-0.44)/(MAX(LíneaBase!C:C)+0.12)*100</f>
        <v>97.04706075713581</v>
      </c>
      <c r="AA714" s="184"/>
      <c r="AB714" s="182">
        <f>LíneaBase!L323</f>
        <v>0.12502152315839118</v>
      </c>
      <c r="AC714" s="184"/>
      <c r="AD714" s="182">
        <f>Escenario1!BN688</f>
        <v>0.17001539172673982</v>
      </c>
      <c r="AE714" s="184"/>
      <c r="AF714" s="182">
        <f>Escenario2!BN324</f>
        <v>0.13478145860652957</v>
      </c>
      <c r="AG714" s="184"/>
      <c r="AH714" s="182">
        <f>LíneaBase!N706</f>
        <v>0</v>
      </c>
      <c r="AI714" s="184"/>
      <c r="AJ714" s="182">
        <f>Escenario1!BP706</f>
        <v>0</v>
      </c>
      <c r="AK714" s="184"/>
      <c r="AL714" s="182">
        <f>Escenario2!BP706</f>
        <v>0</v>
      </c>
      <c r="AM714" s="151"/>
      <c r="BA714" s="152"/>
      <c r="BB714" s="75">
        <v>709</v>
      </c>
      <c r="BC714" s="190">
        <f>ABS(LíneaBase!L715-LíneaBase!L714)</f>
        <v>1.9710535442678812E-3</v>
      </c>
      <c r="BD714" s="190">
        <f>ABS(Escenario1!BN715-Escenario1!BN714)</f>
        <v>6.9776529164648771E-3</v>
      </c>
      <c r="BE714" s="190">
        <f>ABS(Escenario2!BN715-Escenario2!BN714)</f>
        <v>1.1228990695693469E-3</v>
      </c>
      <c r="BF714" s="151"/>
    </row>
    <row r="715" spans="25:58">
      <c r="Y715" s="152"/>
      <c r="Z715" s="183">
        <f>(LíneaBase!C716-0.44)/(MAX(LíneaBase!C:C)+0.12)*100</f>
        <v>97.184024543910581</v>
      </c>
      <c r="AA715" s="184"/>
      <c r="AB715" s="182">
        <f>LíneaBase!L320</f>
        <v>0.12389321032451006</v>
      </c>
      <c r="AC715" s="184"/>
      <c r="AD715" s="182">
        <f>Escenario1!BN713</f>
        <v>0.16903627893158174</v>
      </c>
      <c r="AE715" s="184"/>
      <c r="AF715" s="182">
        <f>Escenario2!BN320</f>
        <v>0.13467860416419394</v>
      </c>
      <c r="AG715" s="184"/>
      <c r="AH715" s="182">
        <f>LíneaBase!N707</f>
        <v>0</v>
      </c>
      <c r="AI715" s="184"/>
      <c r="AJ715" s="182">
        <f>Escenario1!BP707</f>
        <v>0</v>
      </c>
      <c r="AK715" s="184"/>
      <c r="AL715" s="182">
        <f>Escenario2!BP707</f>
        <v>0</v>
      </c>
      <c r="AM715" s="151"/>
      <c r="BA715" s="152"/>
      <c r="BB715" s="75">
        <v>710</v>
      </c>
      <c r="BC715" s="190">
        <f>ABS(LíneaBase!L716-LíneaBase!L715)</f>
        <v>1.0267429262094951E-3</v>
      </c>
      <c r="BD715" s="190">
        <f>ABS(Escenario1!BN716-Escenario1!BN715)</f>
        <v>1.7001801849544224E-3</v>
      </c>
      <c r="BE715" s="190">
        <f>ABS(Escenario2!BN716-Escenario2!BN715)</f>
        <v>1.0659626081934853E-3</v>
      </c>
      <c r="BF715" s="151"/>
    </row>
    <row r="716" spans="25:58">
      <c r="Y716" s="152"/>
      <c r="Z716" s="183">
        <f>(LíneaBase!C717-0.44)/(MAX(LíneaBase!C:C)+0.12)*100</f>
        <v>97.320988330685353</v>
      </c>
      <c r="AA716" s="184"/>
      <c r="AB716" s="182">
        <f>LíneaBase!L689</f>
        <v>0.11716414467341768</v>
      </c>
      <c r="AC716" s="184"/>
      <c r="AD716" s="182">
        <f>Escenario1!BN686</f>
        <v>0.16496232379686462</v>
      </c>
      <c r="AE716" s="184"/>
      <c r="AF716" s="182">
        <f>Escenario2!BN321</f>
        <v>0.13286760787344304</v>
      </c>
      <c r="AG716" s="184"/>
      <c r="AH716" s="182">
        <f>LíneaBase!N708</f>
        <v>0</v>
      </c>
      <c r="AI716" s="184"/>
      <c r="AJ716" s="182">
        <f>Escenario1!BP708</f>
        <v>0</v>
      </c>
      <c r="AK716" s="184"/>
      <c r="AL716" s="182">
        <f>Escenario2!BP708</f>
        <v>0</v>
      </c>
      <c r="AM716" s="151"/>
      <c r="BA716" s="152"/>
      <c r="BB716" s="75">
        <v>711</v>
      </c>
      <c r="BC716" s="190">
        <f>ABS(LíneaBase!L717-LíneaBase!L716)</f>
        <v>8.6315343887519158E-4</v>
      </c>
      <c r="BD716" s="190">
        <f>ABS(Escenario1!BN717-Escenario1!BN716)</f>
        <v>1.1355616593072687E-3</v>
      </c>
      <c r="BE716" s="190">
        <f>ABS(Escenario2!BN717-Escenario2!BN716)</f>
        <v>1.0475482931442404E-3</v>
      </c>
      <c r="BF716" s="151"/>
    </row>
    <row r="717" spans="25:58">
      <c r="Y717" s="152"/>
      <c r="Z717" s="183">
        <f>(LíneaBase!C718-0.44)/(MAX(LíneaBase!C:C)+0.12)*100</f>
        <v>97.457952117460138</v>
      </c>
      <c r="AA717" s="184"/>
      <c r="AB717" s="182">
        <f>LíneaBase!L686</f>
        <v>0.1156732317296036</v>
      </c>
      <c r="AC717" s="184"/>
      <c r="AD717" s="182">
        <f>Escenario1!BN348</f>
        <v>0.16272023165717134</v>
      </c>
      <c r="AE717" s="184"/>
      <c r="AF717" s="182">
        <f>Escenario2!BN322</f>
        <v>0.13145137205158436</v>
      </c>
      <c r="AG717" s="184"/>
      <c r="AH717" s="182">
        <f>LíneaBase!N709</f>
        <v>0</v>
      </c>
      <c r="AI717" s="184"/>
      <c r="AJ717" s="182">
        <f>Escenario1!BP709</f>
        <v>0</v>
      </c>
      <c r="AK717" s="184"/>
      <c r="AL717" s="182">
        <f>Escenario2!BP709</f>
        <v>0</v>
      </c>
      <c r="AM717" s="151"/>
      <c r="BA717" s="152"/>
      <c r="BB717" s="75">
        <v>712</v>
      </c>
      <c r="BC717" s="190">
        <f>ABS(LíneaBase!L718-LíneaBase!L717)</f>
        <v>7.0681259043218994E-2</v>
      </c>
      <c r="BD717" s="190">
        <f>ABS(Escenario1!BN718-Escenario1!BN717)</f>
        <v>5.8844980078286507E-2</v>
      </c>
      <c r="BE717" s="190">
        <f>ABS(Escenario2!BN718-Escenario2!BN717)</f>
        <v>4.7720040627533267E-2</v>
      </c>
      <c r="BF717" s="151"/>
    </row>
    <row r="718" spans="25:58">
      <c r="Y718" s="152"/>
      <c r="Z718" s="183">
        <f>(LíneaBase!C719-0.44)/(MAX(LíneaBase!C:C)+0.12)*100</f>
        <v>97.594915904234909</v>
      </c>
      <c r="AA718" s="184"/>
      <c r="AB718" s="182">
        <f>LíneaBase!L324</f>
        <v>0.11435579490248231</v>
      </c>
      <c r="AC718" s="184"/>
      <c r="AD718" s="182">
        <f>Escenario1!BN323</f>
        <v>0.16192570940849815</v>
      </c>
      <c r="AE718" s="184"/>
      <c r="AF718" s="182">
        <f>Escenario2!BN711</f>
        <v>0.12007696020313843</v>
      </c>
      <c r="AG718" s="184"/>
      <c r="AH718" s="182">
        <f>LíneaBase!N710</f>
        <v>0</v>
      </c>
      <c r="AI718" s="184"/>
      <c r="AJ718" s="182">
        <f>Escenario1!BP710</f>
        <v>0</v>
      </c>
      <c r="AK718" s="184"/>
      <c r="AL718" s="182">
        <f>Escenario2!BP710</f>
        <v>0</v>
      </c>
      <c r="AM718" s="151"/>
      <c r="BA718" s="152"/>
      <c r="BB718" s="75">
        <v>713</v>
      </c>
      <c r="BC718" s="190">
        <f>ABS(LíneaBase!L719-LíneaBase!L718)</f>
        <v>5.8204446667860121E-2</v>
      </c>
      <c r="BD718" s="190">
        <f>ABS(Escenario1!BN719-Escenario1!BN718)</f>
        <v>4.9275755695694978E-2</v>
      </c>
      <c r="BE718" s="190">
        <f>ABS(Escenario2!BN719-Escenario2!BN718)</f>
        <v>3.9292100130465621E-2</v>
      </c>
      <c r="BF718" s="151"/>
    </row>
    <row r="719" spans="25:58">
      <c r="Y719" s="152"/>
      <c r="Z719" s="183">
        <f>(LíneaBase!C720-0.44)/(MAX(LíneaBase!C:C)+0.12)*100</f>
        <v>97.731879691009695</v>
      </c>
      <c r="AA719" s="184"/>
      <c r="AB719" s="182">
        <f>LíneaBase!L687</f>
        <v>0.112891991138501</v>
      </c>
      <c r="AC719" s="184"/>
      <c r="AD719" s="182">
        <f>Escenario1!BN689</f>
        <v>0.15999538630113247</v>
      </c>
      <c r="AE719" s="184"/>
      <c r="AF719" s="182">
        <f>Escenario2!BN346</f>
        <v>0.11595720955681452</v>
      </c>
      <c r="AG719" s="184"/>
      <c r="AH719" s="182">
        <f>LíneaBase!N711</f>
        <v>0</v>
      </c>
      <c r="AI719" s="184"/>
      <c r="AJ719" s="182">
        <f>Escenario1!BP711</f>
        <v>0</v>
      </c>
      <c r="AK719" s="184"/>
      <c r="AL719" s="182">
        <f>Escenario2!BP711</f>
        <v>0</v>
      </c>
      <c r="AM719" s="151"/>
      <c r="BA719" s="152"/>
      <c r="BB719" s="75">
        <v>714</v>
      </c>
      <c r="BC719" s="190">
        <f>ABS(LíneaBase!L720-LíneaBase!L719)</f>
        <v>1.2587334554024832E-2</v>
      </c>
      <c r="BD719" s="190">
        <f>ABS(Escenario1!BN720-Escenario1!BN719)</f>
        <v>1.1482598580242614E-2</v>
      </c>
      <c r="BE719" s="190">
        <f>ABS(Escenario2!BN720-Escenario2!BN719)</f>
        <v>9.7623898107966067E-3</v>
      </c>
      <c r="BF719" s="151"/>
    </row>
    <row r="720" spans="25:58">
      <c r="Y720" s="152"/>
      <c r="Z720" s="183">
        <f>(LíneaBase!C721-0.44)/(MAX(LíneaBase!C:C)+0.12)*100</f>
        <v>97.868843477784466</v>
      </c>
      <c r="AA720" s="184"/>
      <c r="AB720" s="182">
        <f>LíneaBase!L321</f>
        <v>0.11278020475963134</v>
      </c>
      <c r="AC720" s="184"/>
      <c r="AD720" s="182">
        <f>Escenario1!BN687</f>
        <v>0.15802672031907647</v>
      </c>
      <c r="AE720" s="184"/>
      <c r="AF720" s="182">
        <f>Escenario2!BN719</f>
        <v>0.11118992610097271</v>
      </c>
      <c r="AG720" s="184"/>
      <c r="AH720" s="182">
        <f>LíneaBase!N712</f>
        <v>0</v>
      </c>
      <c r="AI720" s="184"/>
      <c r="AJ720" s="182">
        <f>Escenario1!BP712</f>
        <v>0</v>
      </c>
      <c r="AK720" s="184"/>
      <c r="AL720" s="182">
        <f>Escenario2!BP712</f>
        <v>0</v>
      </c>
      <c r="AM720" s="151"/>
      <c r="BA720" s="152"/>
      <c r="BB720" s="75">
        <v>715</v>
      </c>
      <c r="BC720" s="190">
        <f>ABS(LíneaBase!L721-LíneaBase!L720)</f>
        <v>0.43345199587367123</v>
      </c>
      <c r="BD720" s="190">
        <f>ABS(Escenario1!BN721-Escenario1!BN720)</f>
        <v>0.17245309876159079</v>
      </c>
      <c r="BE720" s="190">
        <f>ABS(Escenario2!BN721-Escenario2!BN720)</f>
        <v>0.15998341195362659</v>
      </c>
      <c r="BF720" s="151"/>
    </row>
    <row r="721" spans="25:58">
      <c r="Y721" s="152"/>
      <c r="Z721" s="183">
        <f>(LíneaBase!C722-0.44)/(MAX(LíneaBase!C:C)+0.12)*100</f>
        <v>98.005807264559238</v>
      </c>
      <c r="AA721" s="184"/>
      <c r="AB721" s="182">
        <f>LíneaBase!L322</f>
        <v>0.11002746985232927</v>
      </c>
      <c r="AC721" s="184"/>
      <c r="AD721" s="182">
        <f>Escenario1!BN321</f>
        <v>0.15671088772919009</v>
      </c>
      <c r="AE721" s="184"/>
      <c r="AF721" s="182">
        <f>Escenario2!BN712</f>
        <v>0.11050480419349283</v>
      </c>
      <c r="AG721" s="184"/>
      <c r="AH721" s="182">
        <f>LíneaBase!N713</f>
        <v>0</v>
      </c>
      <c r="AI721" s="184"/>
      <c r="AJ721" s="182">
        <f>Escenario1!BP713</f>
        <v>0</v>
      </c>
      <c r="AK721" s="184"/>
      <c r="AL721" s="182">
        <f>Escenario2!BP713</f>
        <v>0</v>
      </c>
      <c r="AM721" s="151"/>
      <c r="BA721" s="152"/>
      <c r="BB721" s="75">
        <v>716</v>
      </c>
      <c r="BC721" s="190">
        <f>ABS(LíneaBase!L722-LíneaBase!L721)</f>
        <v>0.26429742407887857</v>
      </c>
      <c r="BD721" s="190">
        <f>ABS(Escenario1!BN722-Escenario1!BN721)</f>
        <v>1.7077158694004224E-2</v>
      </c>
      <c r="BE721" s="190">
        <f>ABS(Escenario2!BN722-Escenario2!BN721)</f>
        <v>2.8716687784850647E-2</v>
      </c>
      <c r="BF721" s="151"/>
    </row>
    <row r="722" spans="25:58">
      <c r="Y722" s="152"/>
      <c r="Z722" s="183">
        <f>(LíneaBase!C723-0.44)/(MAX(LíneaBase!C:C)+0.12)*100</f>
        <v>98.142771051334023</v>
      </c>
      <c r="AA722" s="184"/>
      <c r="AB722" s="182">
        <f>LíneaBase!L719</f>
        <v>9.611584374664639E-2</v>
      </c>
      <c r="AC722" s="184"/>
      <c r="AD722" s="182">
        <f>Escenario1!BN324</f>
        <v>0.15198538855097204</v>
      </c>
      <c r="AE722" s="184"/>
      <c r="AF722" s="182">
        <f>Escenario2!BN713</f>
        <v>0.10740981527437378</v>
      </c>
      <c r="AG722" s="184"/>
      <c r="AH722" s="182">
        <f>LíneaBase!N714</f>
        <v>0</v>
      </c>
      <c r="AI722" s="184"/>
      <c r="AJ722" s="182">
        <f>Escenario1!BP714</f>
        <v>0</v>
      </c>
      <c r="AK722" s="184"/>
      <c r="AL722" s="182">
        <f>Escenario2!BP714</f>
        <v>0</v>
      </c>
      <c r="AM722" s="151"/>
      <c r="BA722" s="152"/>
      <c r="BB722" s="75">
        <v>717</v>
      </c>
      <c r="BC722" s="190">
        <f>ABS(LíneaBase!L723-LíneaBase!L722)</f>
        <v>5.8502673334602906E-2</v>
      </c>
      <c r="BD722" s="190">
        <f>ABS(Escenario1!BN723-Escenario1!BN722)</f>
        <v>5.202252152233125E-2</v>
      </c>
      <c r="BE722" s="190">
        <f>ABS(Escenario2!BN723-Escenario2!BN722)</f>
        <v>6.3175645581375228E-2</v>
      </c>
      <c r="BF722" s="151"/>
    </row>
    <row r="723" spans="25:58">
      <c r="Y723" s="152"/>
      <c r="Z723" s="183">
        <f>(LíneaBase!C724-0.44)/(MAX(LíneaBase!C:C)+0.12)*100</f>
        <v>98.279734838108794</v>
      </c>
      <c r="AA723" s="184"/>
      <c r="AB723" s="182">
        <f>LíneaBase!L713</f>
        <v>9.5119875976377069E-2</v>
      </c>
      <c r="AC723" s="184"/>
      <c r="AD723" s="182">
        <f>Escenario1!BN322</f>
        <v>0.14985656137784345</v>
      </c>
      <c r="AE723" s="184"/>
      <c r="AF723" s="182">
        <f>Escenario2!BN354</f>
        <v>0.10740702268983637</v>
      </c>
      <c r="AG723" s="184"/>
      <c r="AH723" s="182">
        <f>LíneaBase!N715</f>
        <v>0</v>
      </c>
      <c r="AI723" s="184"/>
      <c r="AJ723" s="182">
        <f>Escenario1!BP715</f>
        <v>0</v>
      </c>
      <c r="AK723" s="184"/>
      <c r="AL723" s="182">
        <f>Escenario2!BP715</f>
        <v>0</v>
      </c>
      <c r="AM723" s="151"/>
      <c r="BA723" s="152"/>
      <c r="BB723" s="75">
        <v>718</v>
      </c>
      <c r="BC723" s="190">
        <f>ABS(LíneaBase!L724-LíneaBase!L723)</f>
        <v>2.5618424985367465</v>
      </c>
      <c r="BD723" s="190">
        <f>ABS(Escenario1!BN724-Escenario1!BN723)</f>
        <v>0.43252569494074844</v>
      </c>
      <c r="BE723" s="190">
        <f>ABS(Escenario2!BN724-Escenario2!BN723)</f>
        <v>0.43160816178234584</v>
      </c>
      <c r="BF723" s="151"/>
    </row>
    <row r="724" spans="25:58">
      <c r="Y724" s="152"/>
      <c r="Z724" s="183">
        <f>(LíneaBase!C725-0.44)/(MAX(LíneaBase!C:C)+0.12)*100</f>
        <v>98.416698624883566</v>
      </c>
      <c r="AA724" s="184"/>
      <c r="AB724" s="182">
        <f>LíneaBase!L354</f>
        <v>9.4029247885892037E-2</v>
      </c>
      <c r="AC724" s="184"/>
      <c r="AD724" s="182">
        <f>Escenario1!BN714</f>
        <v>0.13255627270730322</v>
      </c>
      <c r="AE724" s="184"/>
      <c r="AF724" s="182">
        <f>Escenario2!BN347</f>
        <v>0.10642879909112073</v>
      </c>
      <c r="AG724" s="184"/>
      <c r="AH724" s="182">
        <f>LíneaBase!N716</f>
        <v>0</v>
      </c>
      <c r="AI724" s="184"/>
      <c r="AJ724" s="182">
        <f>Escenario1!BP716</f>
        <v>0</v>
      </c>
      <c r="AK724" s="184"/>
      <c r="AL724" s="182">
        <f>Escenario2!BP716</f>
        <v>0</v>
      </c>
      <c r="AM724" s="151"/>
      <c r="BA724" s="152"/>
      <c r="BB724" s="75">
        <v>719</v>
      </c>
      <c r="BC724" s="190">
        <f>ABS(LíneaBase!L725-LíneaBase!L724)</f>
        <v>2.2185449152586396</v>
      </c>
      <c r="BD724" s="190">
        <f>ABS(Escenario1!BN725-Escenario1!BN724)</f>
        <v>8.4201890550904768E-2</v>
      </c>
      <c r="BE724" s="190">
        <f>ABS(Escenario2!BN725-Escenario2!BN724)</f>
        <v>9.5185584213966501E-2</v>
      </c>
      <c r="BF724" s="151"/>
    </row>
    <row r="725" spans="25:58">
      <c r="Y725" s="152"/>
      <c r="Z725" s="183">
        <f>(LíneaBase!C726-0.44)/(MAX(LíneaBase!C:C)+0.12)*100</f>
        <v>98.553662411658351</v>
      </c>
      <c r="AA725" s="184"/>
      <c r="AB725" s="182">
        <f>LíneaBase!L348</f>
        <v>9.2905553274510916E-2</v>
      </c>
      <c r="AC725" s="184"/>
      <c r="AD725" s="182">
        <f>Escenario1!BN719</f>
        <v>0.13231210232916818</v>
      </c>
      <c r="AE725" s="184"/>
      <c r="AF725" s="182">
        <f>Escenario2!BN714</f>
        <v>0.10599839557481214</v>
      </c>
      <c r="AG725" s="184"/>
      <c r="AH725" s="182">
        <f>LíneaBase!N717</f>
        <v>0</v>
      </c>
      <c r="AI725" s="184"/>
      <c r="AJ725" s="182">
        <f>Escenario1!BP717</f>
        <v>0</v>
      </c>
      <c r="AK725" s="184"/>
      <c r="AL725" s="182">
        <f>Escenario2!BP717</f>
        <v>0</v>
      </c>
      <c r="AM725" s="151"/>
      <c r="BA725" s="152"/>
      <c r="BB725" s="75">
        <v>720</v>
      </c>
      <c r="BC725" s="190">
        <f>ABS(LíneaBase!L726-LíneaBase!L725)</f>
        <v>9.0077530615286672E-2</v>
      </c>
      <c r="BD725" s="190">
        <f>ABS(Escenario1!BN726-Escenario1!BN725)</f>
        <v>8.1360981729021675E-2</v>
      </c>
      <c r="BE725" s="190">
        <f>ABS(Escenario2!BN726-Escenario2!BN725)</f>
        <v>9.1966143884248952E-2</v>
      </c>
      <c r="BF725" s="151"/>
    </row>
    <row r="726" spans="25:58">
      <c r="Y726" s="152"/>
      <c r="Z726" s="183">
        <f>(LíneaBase!C727-0.44)/(MAX(LíneaBase!C:C)+0.12)*100</f>
        <v>98.690626198433122</v>
      </c>
      <c r="AA726" s="184"/>
      <c r="AB726" s="182">
        <f>LíneaBase!L714</f>
        <v>8.7499981280640085E-2</v>
      </c>
      <c r="AC726" s="184"/>
      <c r="AD726" s="182">
        <f>Escenario1!BN354</f>
        <v>0.12636030774394585</v>
      </c>
      <c r="AE726" s="184"/>
      <c r="AF726" s="182">
        <f>Escenario2!BN715</f>
        <v>0.10487549650524279</v>
      </c>
      <c r="AG726" s="184"/>
      <c r="AH726" s="182">
        <f>LíneaBase!N719</f>
        <v>0</v>
      </c>
      <c r="AI726" s="184"/>
      <c r="AJ726" s="182">
        <f>Escenario1!BP719</f>
        <v>0</v>
      </c>
      <c r="AK726" s="184"/>
      <c r="AL726" s="182">
        <f>Escenario2!BP719</f>
        <v>0</v>
      </c>
      <c r="AM726" s="151"/>
      <c r="BA726" s="152"/>
      <c r="BB726" s="75">
        <v>721</v>
      </c>
      <c r="BC726" s="190">
        <f>ABS(LíneaBase!L727-LíneaBase!L726)</f>
        <v>1.7388319559599603</v>
      </c>
      <c r="BD726" s="190">
        <f>ABS(Escenario1!BN727-Escenario1!BN726)</f>
        <v>0.35090570224271894</v>
      </c>
      <c r="BE726" s="190">
        <f>ABS(Escenario2!BN727-Escenario2!BN726)</f>
        <v>0.34138048516766684</v>
      </c>
      <c r="BF726" s="151"/>
    </row>
    <row r="727" spans="25:58">
      <c r="Y727" s="152"/>
      <c r="Z727" s="183">
        <f>(LíneaBase!C728-0.44)/(MAX(LíneaBase!C:C)+0.12)*100</f>
        <v>98.827589985207894</v>
      </c>
      <c r="AA727" s="184"/>
      <c r="AB727" s="182">
        <f>LíneaBase!L715</f>
        <v>8.5528927736372204E-2</v>
      </c>
      <c r="AC727" s="184"/>
      <c r="AD727" s="182">
        <f>Escenario1!BN349</f>
        <v>0.12630244650949868</v>
      </c>
      <c r="AE727" s="184"/>
      <c r="AF727" s="182">
        <f>Escenario2!BN716</f>
        <v>0.10380953389704931</v>
      </c>
      <c r="AG727" s="184"/>
      <c r="AH727" s="182">
        <f>LíneaBase!N720</f>
        <v>0</v>
      </c>
      <c r="AI727" s="184"/>
      <c r="AJ727" s="182">
        <f>Escenario1!BP720</f>
        <v>0</v>
      </c>
      <c r="AK727" s="184"/>
      <c r="AL727" s="182">
        <f>Escenario2!BP720</f>
        <v>0</v>
      </c>
      <c r="AM727" s="151"/>
      <c r="BA727" s="152"/>
      <c r="BB727" s="75">
        <v>722</v>
      </c>
      <c r="BC727" s="190">
        <f>ABS(LíneaBase!L728-LíneaBase!L727)</f>
        <v>1.4095935151329875</v>
      </c>
      <c r="BD727" s="190">
        <f>ABS(Escenario1!BN728-Escenario1!BN727)</f>
        <v>2.6414369877181709E-2</v>
      </c>
      <c r="BE727" s="190">
        <f>ABS(Escenario2!BN728-Escenario2!BN727)</f>
        <v>3.700467363834381E-2</v>
      </c>
      <c r="BF727" s="151"/>
    </row>
    <row r="728" spans="25:58">
      <c r="Y728" s="152"/>
      <c r="Z728" s="183">
        <f>(LíneaBase!C729-0.44)/(MAX(LíneaBase!C:C)+0.12)*100</f>
        <v>98.964553771982679</v>
      </c>
      <c r="AA728" s="184"/>
      <c r="AB728" s="182">
        <f>LíneaBase!L349</f>
        <v>8.5307476827766016E-2</v>
      </c>
      <c r="AC728" s="184"/>
      <c r="AD728" s="182">
        <f>Escenario1!BN715</f>
        <v>0.12557861979083834</v>
      </c>
      <c r="AE728" s="184"/>
      <c r="AF728" s="182">
        <f>Escenario2!BN348</f>
        <v>0.10337707649150883</v>
      </c>
      <c r="AG728" s="184"/>
      <c r="AH728" s="182">
        <f>LíneaBase!N722</f>
        <v>0</v>
      </c>
      <c r="AI728" s="184"/>
      <c r="AJ728" s="182">
        <f>Escenario1!BP722</f>
        <v>0</v>
      </c>
      <c r="AK728" s="184"/>
      <c r="AL728" s="182">
        <f>Escenario2!BP722</f>
        <v>0</v>
      </c>
      <c r="AM728" s="151"/>
      <c r="BA728" s="152"/>
      <c r="BB728" s="75">
        <v>723</v>
      </c>
      <c r="BC728" s="190">
        <f>ABS(LíneaBase!L729-LíneaBase!L728)</f>
        <v>9.8355871836138808E-2</v>
      </c>
      <c r="BD728" s="190">
        <f>ABS(Escenario1!BN729-Escenario1!BN728)</f>
        <v>8.9744676849456306E-2</v>
      </c>
      <c r="BE728" s="190">
        <f>ABS(Escenario2!BN729-Escenario2!BN728)</f>
        <v>9.9331813626677534E-2</v>
      </c>
      <c r="BF728" s="151"/>
    </row>
    <row r="729" spans="25:58">
      <c r="Y729" s="152"/>
      <c r="Z729" s="183">
        <f>(LíneaBase!C730-0.44)/(MAX(LíneaBase!C:C)+0.12)*100</f>
        <v>99.10151755875745</v>
      </c>
      <c r="AA729" s="184"/>
      <c r="AB729" s="182">
        <f>LíneaBase!L716</f>
        <v>8.4502184810162709E-2</v>
      </c>
      <c r="AC729" s="184"/>
      <c r="AD729" s="182">
        <f>Escenario1!BN716</f>
        <v>0.12387843960588392</v>
      </c>
      <c r="AE729" s="184"/>
      <c r="AF729" s="182">
        <f>Escenario2!BN717</f>
        <v>0.10276198560390506</v>
      </c>
      <c r="AG729" s="184"/>
      <c r="AH729" s="182">
        <f>LíneaBase!N723</f>
        <v>0</v>
      </c>
      <c r="AI729" s="184"/>
      <c r="AJ729" s="182">
        <f>Escenario1!BP723</f>
        <v>0</v>
      </c>
      <c r="AK729" s="184"/>
      <c r="AL729" s="182">
        <f>Escenario2!BP723</f>
        <v>0</v>
      </c>
      <c r="AM729" s="151"/>
      <c r="BA729" s="152"/>
      <c r="BB729" s="75">
        <v>724</v>
      </c>
      <c r="BC729" s="190">
        <f>ABS(LíneaBase!L730-LíneaBase!L729)</f>
        <v>4.6108028846290576</v>
      </c>
      <c r="BD729" s="190">
        <f>ABS(Escenario1!BN730-Escenario1!BN729)</f>
        <v>0.46237802515476045</v>
      </c>
      <c r="BE729" s="190">
        <f>ABS(Escenario2!BN730-Escenario2!BN729)</f>
        <v>0.42122136248838815</v>
      </c>
      <c r="BF729" s="151"/>
    </row>
    <row r="730" spans="25:58">
      <c r="Y730" s="152"/>
      <c r="Z730" s="183">
        <f>(LíneaBase!C731-0.44)/(MAX(LíneaBase!C:C)+0.12)*100</f>
        <v>99.238481345532236</v>
      </c>
      <c r="AA730" s="184"/>
      <c r="AB730" s="182">
        <f>LíneaBase!L717</f>
        <v>8.3639031371287517E-2</v>
      </c>
      <c r="AC730" s="184"/>
      <c r="AD730" s="182">
        <f>Escenario1!BN717</f>
        <v>0.12274287794657665</v>
      </c>
      <c r="AE730" s="184"/>
      <c r="AF730" s="182">
        <f>Escenario2!BN349</f>
        <v>0.10200844934550593</v>
      </c>
      <c r="AG730" s="184"/>
      <c r="AH730" s="182">
        <f>LíneaBase!N725</f>
        <v>0</v>
      </c>
      <c r="AI730" s="184"/>
      <c r="AJ730" s="182">
        <f>Escenario1!BP725</f>
        <v>0</v>
      </c>
      <c r="AK730" s="184"/>
      <c r="AL730" s="182">
        <f>Escenario2!BP725</f>
        <v>0</v>
      </c>
      <c r="AM730" s="151"/>
      <c r="BA730" s="152"/>
      <c r="BB730" s="75">
        <v>725</v>
      </c>
      <c r="BC730" s="190">
        <f>ABS(LíneaBase!L731-LíneaBase!L730)</f>
        <v>4.0489491549155048</v>
      </c>
      <c r="BD730" s="190">
        <f>ABS(Escenario1!BN731-Escenario1!BN730)</f>
        <v>5.0125684186466124E-3</v>
      </c>
      <c r="BE730" s="190">
        <f>ABS(Escenario2!BN731-Escenario2!BN730)</f>
        <v>5.2587500849243796E-5</v>
      </c>
      <c r="BF730" s="151"/>
    </row>
    <row r="731" spans="25:58">
      <c r="Y731" s="152"/>
      <c r="Z731" s="183">
        <f>(LíneaBase!C732-0.44)/(MAX(LíneaBase!C:C)+0.12)*100</f>
        <v>99.375445132307007</v>
      </c>
      <c r="AA731" s="184"/>
      <c r="AB731" s="182">
        <f>LíneaBase!L720</f>
        <v>8.3528509192621558E-2</v>
      </c>
      <c r="AC731" s="184"/>
      <c r="AD731" s="182">
        <f>Escenario1!BN720</f>
        <v>0.12082950374892557</v>
      </c>
      <c r="AE731" s="184"/>
      <c r="AF731" s="182">
        <f>Escenario2!BN720</f>
        <v>0.1014275362901761</v>
      </c>
      <c r="AG731" s="184"/>
      <c r="AH731" s="182">
        <f>LíneaBase!N726</f>
        <v>0</v>
      </c>
      <c r="AI731" s="184"/>
      <c r="AJ731" s="182">
        <f>Escenario1!BP726</f>
        <v>0</v>
      </c>
      <c r="AK731" s="184"/>
      <c r="AL731" s="182">
        <f>Escenario2!BP726</f>
        <v>0</v>
      </c>
      <c r="AM731" s="151"/>
      <c r="BA731" s="152"/>
      <c r="BB731" s="75">
        <v>726</v>
      </c>
      <c r="BC731" s="190">
        <f>ABS(LíneaBase!L732-LíneaBase!L731)</f>
        <v>2.0853954833602417E-2</v>
      </c>
      <c r="BD731" s="190">
        <f>ABS(Escenario1!BN732-Escenario1!BN731)</f>
        <v>1.687547542075829E-2</v>
      </c>
      <c r="BE731" s="190">
        <f>ABS(Escenario2!BN732-Escenario2!BN731)</f>
        <v>5.1783687906148401E-5</v>
      </c>
      <c r="BF731" s="151"/>
    </row>
    <row r="732" spans="25:58">
      <c r="Y732" s="152"/>
      <c r="Z732" s="183">
        <f>(LíneaBase!C733-0.44)/(MAX(LíneaBase!C:C)+0.12)*100</f>
        <v>99.512408919081778</v>
      </c>
      <c r="AA732" s="184"/>
      <c r="AB732" s="182">
        <f>LíneaBase!L350</f>
        <v>8.3358026552086142E-2</v>
      </c>
      <c r="AC732" s="184"/>
      <c r="AD732" s="182">
        <f>Escenario1!BN350</f>
        <v>0.1193864017370575</v>
      </c>
      <c r="AE732" s="184"/>
      <c r="AF732" s="182">
        <f>Escenario2!BN350</f>
        <v>0.1009278744570003</v>
      </c>
      <c r="AG732" s="184"/>
      <c r="AH732" s="182">
        <f>LíneaBase!N728</f>
        <v>0</v>
      </c>
      <c r="AI732" s="184"/>
      <c r="AJ732" s="182">
        <f>Escenario1!BP728</f>
        <v>0</v>
      </c>
      <c r="AK732" s="184"/>
      <c r="AL732" s="182">
        <f>Escenario2!BP728</f>
        <v>0</v>
      </c>
      <c r="AM732" s="151"/>
      <c r="BA732" s="152"/>
      <c r="BB732" s="75">
        <v>727</v>
      </c>
      <c r="BC732" s="190">
        <f>ABS(LíneaBase!L733-LíneaBase!L732)</f>
        <v>0.13239652672306379</v>
      </c>
      <c r="BD732" s="190">
        <f>ABS(Escenario1!BN733-Escenario1!BN732)</f>
        <v>3.6828719958823086E-2</v>
      </c>
      <c r="BE732" s="190">
        <f>ABS(Escenario2!BN733-Escenario2!BN732)</f>
        <v>5.0992161442664496E-5</v>
      </c>
      <c r="BF732" s="151"/>
    </row>
    <row r="733" spans="25:58">
      <c r="Y733" s="152"/>
      <c r="Z733" s="183">
        <f>(LíneaBase!C734-0.44)/(MAX(LíneaBase!C:C)+0.12)*100</f>
        <v>99.649372705856564</v>
      </c>
      <c r="AA733" s="184"/>
      <c r="AB733" s="182">
        <f>LíneaBase!L351</f>
        <v>8.2352674032313791E-2</v>
      </c>
      <c r="AC733" s="184"/>
      <c r="AD733" s="182">
        <f>Escenario1!BN351</f>
        <v>0.11774722279901551</v>
      </c>
      <c r="AE733" s="184"/>
      <c r="AF733" s="182">
        <f>Escenario2!BN351</f>
        <v>9.9903772986599013E-2</v>
      </c>
      <c r="AG733" s="184"/>
      <c r="AH733" s="182">
        <f>LíneaBase!N729</f>
        <v>0</v>
      </c>
      <c r="AI733" s="184"/>
      <c r="AJ733" s="182">
        <f>Escenario1!BP729</f>
        <v>0</v>
      </c>
      <c r="AK733" s="184"/>
      <c r="AL733" s="182">
        <f>Escenario2!BP729</f>
        <v>0</v>
      </c>
      <c r="AM733" s="151"/>
      <c r="BA733" s="152"/>
      <c r="BB733" s="75">
        <v>728</v>
      </c>
      <c r="BC733" s="190">
        <f>ABS(LíneaBase!L734-LíneaBase!L733)</f>
        <v>8.5716330669513008E-2</v>
      </c>
      <c r="BD733" s="190">
        <f>ABS(Escenario1!BN734-Escenario1!BN733)</f>
        <v>6.9043279470162311E-3</v>
      </c>
      <c r="BE733" s="190">
        <f>ABS(Escenario2!BN734-Escenario2!BN733)</f>
        <v>5.021273365657386E-5</v>
      </c>
      <c r="BF733" s="151"/>
    </row>
    <row r="734" spans="25:58">
      <c r="Y734" s="152"/>
      <c r="Z734" s="183">
        <f>(LíneaBase!C735-0.44)/(MAX(LíneaBase!C:C)+0.12)*100</f>
        <v>99.786336492631349</v>
      </c>
      <c r="AA734" s="184"/>
      <c r="AB734" s="182">
        <f>LíneaBase!L352</f>
        <v>8.1510700235106384E-2</v>
      </c>
      <c r="AC734" s="184"/>
      <c r="AD734" s="182">
        <f>Escenario1!BN352</f>
        <v>0.11667206147246603</v>
      </c>
      <c r="AE734" s="184"/>
      <c r="AF734" s="182">
        <f>Escenario2!BN352</f>
        <v>9.8897628053771822E-2</v>
      </c>
      <c r="AG734" s="184"/>
      <c r="AH734" s="182">
        <f>LíneaBase!N732</f>
        <v>0</v>
      </c>
      <c r="AI734" s="184"/>
      <c r="AJ734" s="182">
        <f>Escenario1!BP732</f>
        <v>0</v>
      </c>
      <c r="AK734" s="184"/>
      <c r="AL734" s="182">
        <f>Escenario2!BP732</f>
        <v>0</v>
      </c>
      <c r="AM734" s="151"/>
      <c r="BA734" s="152"/>
      <c r="BB734" s="75">
        <v>729</v>
      </c>
      <c r="BC734" s="190">
        <f>ABS(LíneaBase!L735-LíneaBase!L734)</f>
        <v>8.5534646214269205E-3</v>
      </c>
      <c r="BD734" s="190">
        <f>ABS(Escenario1!BN735-Escenario1!BN734)</f>
        <v>6.8121208217619689E-3</v>
      </c>
      <c r="BE734" s="190">
        <f>ABS(Escenario2!BN735-Escenario2!BN734)</f>
        <v>4.9445219616695013E-5</v>
      </c>
      <c r="BF734" s="151"/>
    </row>
    <row r="735" spans="25:58">
      <c r="Y735" s="152"/>
      <c r="Z735" s="183">
        <f>(LíneaBase!C736-0.44)/(MAX(LíneaBase!C:C)+0.12)*100</f>
        <v>99.923300279406106</v>
      </c>
      <c r="AA735" s="184"/>
      <c r="AB735" s="182">
        <f>LíneaBase!L355</f>
        <v>8.1462473057871673E-2</v>
      </c>
      <c r="AC735" s="184"/>
      <c r="AD735" s="182">
        <f>Escenario1!BN355</f>
        <v>0.11493634241020588</v>
      </c>
      <c r="AE735" s="184"/>
      <c r="AF735" s="182">
        <f>Escenario2!BN355</f>
        <v>9.768469387925019E-2</v>
      </c>
      <c r="AG735" s="184"/>
      <c r="AH735" s="182">
        <f>LíneaBase!N736</f>
        <v>0</v>
      </c>
      <c r="AI735" s="184"/>
      <c r="AJ735" s="182">
        <f>Escenario1!BP736</f>
        <v>0</v>
      </c>
      <c r="AK735" s="184"/>
      <c r="AL735" s="182">
        <f>Escenario2!BP736</f>
        <v>0</v>
      </c>
      <c r="AM735" s="151"/>
      <c r="BA735" s="152"/>
      <c r="BB735" s="75">
        <v>730</v>
      </c>
      <c r="BC735" s="190">
        <f>ABS(LíneaBase!L736-LíneaBase!L735)</f>
        <v>2.8580700740136189E-2</v>
      </c>
      <c r="BD735" s="190">
        <f>ABS(Escenario1!BN736-Escenario1!BN735)</f>
        <v>2.1816592752783581E-2</v>
      </c>
      <c r="BE735" s="190">
        <f>ABS(Escenario2!BN736-Escenario2!BN735)</f>
        <v>4.8689437218696341E-5</v>
      </c>
      <c r="BF735" s="151"/>
    </row>
    <row r="736" spans="25:58" ht="15" thickBot="1">
      <c r="Y736" s="154"/>
      <c r="Z736" s="177"/>
      <c r="AA736" s="155"/>
      <c r="AB736" s="155"/>
      <c r="AC736" s="155"/>
      <c r="AD736" s="155"/>
      <c r="AE736" s="155"/>
      <c r="AF736" s="155"/>
      <c r="AG736" s="155"/>
      <c r="AH736" s="155"/>
      <c r="AI736" s="155"/>
      <c r="AJ736" s="155"/>
      <c r="AK736" s="155"/>
      <c r="AL736" s="155"/>
      <c r="AM736" s="156"/>
      <c r="BA736" s="152"/>
      <c r="BB736" s="191" t="s">
        <v>478</v>
      </c>
      <c r="BC736" s="192">
        <f>SUM(BC371:BC735)</f>
        <v>149.93994809602876</v>
      </c>
      <c r="BD736" s="192">
        <f>SUM(BD371:BD735)</f>
        <v>20.219540211897442</v>
      </c>
      <c r="BE736" s="192">
        <f>SUM(BE371:BE735)</f>
        <v>10.470663271742595</v>
      </c>
      <c r="BF736" s="151"/>
    </row>
    <row r="737" spans="53:58" ht="15" thickBot="1">
      <c r="BA737" s="154"/>
      <c r="BB737" s="155"/>
      <c r="BC737" s="155"/>
      <c r="BD737" s="155"/>
      <c r="BE737" s="155"/>
      <c r="BF737" s="156"/>
    </row>
  </sheetData>
  <sheetProtection sheet="1" objects="1" scenarios="1" sort="0"/>
  <sortState xmlns:xlrd2="http://schemas.microsoft.com/office/spreadsheetml/2017/richdata2" ref="AB6:AB735">
    <sortCondition descending="1" ref="AB6:AB735"/>
  </sortState>
  <mergeCells count="6">
    <mergeCell ref="BB3:BE3"/>
    <mergeCell ref="C3:P3"/>
    <mergeCell ref="T3:V3"/>
    <mergeCell ref="Z3:AL3"/>
    <mergeCell ref="S22:W24"/>
    <mergeCell ref="AP3:AX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09188-4D41-3A4B-9CBB-3941D5008F99}">
  <dimension ref="A1:AE885"/>
  <sheetViews>
    <sheetView zoomScaleNormal="100" workbookViewId="0">
      <selection activeCell="C3" sqref="C3:L3"/>
    </sheetView>
  </sheetViews>
  <sheetFormatPr baseColWidth="10" defaultColWidth="10.81640625" defaultRowHeight="14"/>
  <cols>
    <col min="1" max="1" width="10.81640625" style="2"/>
    <col min="2" max="2" width="2.453125" style="2" customWidth="1"/>
    <col min="3" max="3" width="10.81640625" style="3"/>
    <col min="4" max="4" width="12.81640625" style="112" bestFit="1" customWidth="1"/>
    <col min="5" max="5" width="11.36328125" style="112" bestFit="1" customWidth="1"/>
    <col min="6" max="6" width="11.453125" style="112" bestFit="1" customWidth="1"/>
    <col min="7" max="7" width="10.6328125" style="112" bestFit="1" customWidth="1"/>
    <col min="8" max="8" width="14.1796875" style="112" bestFit="1" customWidth="1"/>
    <col min="9" max="9" width="13.36328125" style="112" bestFit="1" customWidth="1"/>
    <col min="10" max="10" width="10.81640625" style="112" bestFit="1" customWidth="1"/>
    <col min="11" max="11" width="13.36328125" style="112" bestFit="1" customWidth="1"/>
    <col min="12" max="12" width="22.6328125" style="112" bestFit="1" customWidth="1"/>
    <col min="13" max="13" width="2.453125" style="2" customWidth="1"/>
    <col min="14" max="31" width="10.81640625" style="2"/>
    <col min="32" max="16384" width="10.81640625" style="3"/>
  </cols>
  <sheetData>
    <row r="1" spans="2:13" s="2" customFormat="1" ht="14.5" thickBot="1">
      <c r="D1" s="107"/>
      <c r="E1" s="107"/>
      <c r="F1" s="107"/>
      <c r="G1" s="107"/>
      <c r="H1" s="107"/>
      <c r="I1" s="107"/>
      <c r="J1" s="107"/>
      <c r="K1" s="107"/>
      <c r="L1" s="107"/>
    </row>
    <row r="2" spans="2:13" s="2" customFormat="1" ht="14.5" thickBot="1">
      <c r="B2" s="36"/>
      <c r="C2" s="37"/>
      <c r="D2" s="108"/>
      <c r="E2" s="108"/>
      <c r="F2" s="108"/>
      <c r="G2" s="108"/>
      <c r="H2" s="108"/>
      <c r="I2" s="108"/>
      <c r="J2" s="108"/>
      <c r="K2" s="108"/>
      <c r="L2" s="108"/>
      <c r="M2" s="38"/>
    </row>
    <row r="3" spans="2:13" s="2" customFormat="1" ht="25.5" thickBot="1">
      <c r="B3" s="39"/>
      <c r="C3" s="208" t="s">
        <v>452</v>
      </c>
      <c r="D3" s="209"/>
      <c r="E3" s="209"/>
      <c r="F3" s="209"/>
      <c r="G3" s="209"/>
      <c r="H3" s="209"/>
      <c r="I3" s="209"/>
      <c r="J3" s="209"/>
      <c r="K3" s="209"/>
      <c r="L3" s="210"/>
      <c r="M3" s="40"/>
    </row>
    <row r="4" spans="2:13" s="2" customFormat="1">
      <c r="B4" s="39"/>
      <c r="C4" s="15"/>
      <c r="D4" s="109"/>
      <c r="E4" s="109"/>
      <c r="F4" s="109"/>
      <c r="G4" s="109"/>
      <c r="H4" s="109"/>
      <c r="I4" s="109"/>
      <c r="J4" s="109"/>
      <c r="K4" s="109"/>
      <c r="L4" s="109"/>
      <c r="M4" s="40"/>
    </row>
    <row r="5" spans="2:13" ht="59">
      <c r="B5" s="39"/>
      <c r="C5" s="129" t="s">
        <v>33</v>
      </c>
      <c r="D5" s="128" t="s">
        <v>142</v>
      </c>
      <c r="E5" s="132" t="s">
        <v>165</v>
      </c>
      <c r="F5" s="133" t="s">
        <v>166</v>
      </c>
      <c r="G5" s="133" t="s">
        <v>167</v>
      </c>
      <c r="H5" s="133" t="s">
        <v>168</v>
      </c>
      <c r="I5" s="133" t="s">
        <v>169</v>
      </c>
      <c r="J5" s="133" t="s">
        <v>170</v>
      </c>
      <c r="K5" s="133" t="s">
        <v>171</v>
      </c>
      <c r="L5" s="133" t="s">
        <v>172</v>
      </c>
      <c r="M5" s="40"/>
    </row>
    <row r="6" spans="2:13">
      <c r="B6" s="39"/>
      <c r="C6" s="78">
        <v>1</v>
      </c>
      <c r="D6" s="110" t="str">
        <f>IF($C6&lt;=Entradas!$E$124,"",Observaciones!H6)</f>
        <v/>
      </c>
      <c r="E6" s="110" t="str">
        <f>IF($C6&lt;=Entradas!$E$124,"",LíneaBase!L7)</f>
        <v/>
      </c>
      <c r="F6" s="79" t="str">
        <f>IF($C6&lt;=Entradas!$E$124,"",D6-E6)</f>
        <v/>
      </c>
      <c r="G6" s="79" t="str">
        <f>IF($C6&lt;=Entradas!$E$124,"",D6-AVERAGE(D:D))</f>
        <v/>
      </c>
      <c r="H6" s="79" t="str">
        <f>IF($C6&lt;=Entradas!$E$124,"",F6^2)</f>
        <v/>
      </c>
      <c r="I6" s="79" t="str">
        <f>IF($C6&lt;=Entradas!$E$124,"",G6^2)</f>
        <v/>
      </c>
      <c r="J6" s="79" t="str">
        <f>IF($C6&lt;=Entradas!$E$124,"",E6-AVERAGE(E:E))</f>
        <v/>
      </c>
      <c r="K6" s="79" t="str">
        <f>IF($C6&lt;=Entradas!$E$124,"",J6^2)</f>
        <v/>
      </c>
      <c r="L6" s="79" t="str">
        <f>IF($C6&lt;=Entradas!$E$124,"",G6*J6)</f>
        <v/>
      </c>
      <c r="M6" s="40"/>
    </row>
    <row r="7" spans="2:13">
      <c r="B7" s="39"/>
      <c r="C7" s="75">
        <v>2</v>
      </c>
      <c r="D7" s="110" t="str">
        <f>IF($C7&lt;=Entradas!$E$124,"",Observaciones!H7)</f>
        <v/>
      </c>
      <c r="E7" s="110" t="str">
        <f>IF($C7&lt;=Entradas!$E$124,"",LíneaBase!L8)</f>
        <v/>
      </c>
      <c r="F7" s="79" t="str">
        <f>IF($C7&lt;=Entradas!$E$124,"",D7-E7)</f>
        <v/>
      </c>
      <c r="G7" s="79" t="str">
        <f>IF($C7&lt;=Entradas!$E$124,"",D7-AVERAGE(D:D))</f>
        <v/>
      </c>
      <c r="H7" s="79" t="str">
        <f>IF($C7&lt;=Entradas!$E$124,"",F7^2)</f>
        <v/>
      </c>
      <c r="I7" s="79" t="str">
        <f>IF($C7&lt;=Entradas!$E$124,"",G7^2)</f>
        <v/>
      </c>
      <c r="J7" s="79" t="str">
        <f>IF($C7&lt;=Entradas!$E$124,"",E7-AVERAGE(E:E))</f>
        <v/>
      </c>
      <c r="K7" s="79" t="str">
        <f>IF($C7&lt;=Entradas!$E$124,"",J7^2)</f>
        <v/>
      </c>
      <c r="L7" s="79" t="str">
        <f>IF($C7&lt;=Entradas!$E$124,"",G7*J7)</f>
        <v/>
      </c>
      <c r="M7" s="40"/>
    </row>
    <row r="8" spans="2:13">
      <c r="B8" s="39"/>
      <c r="C8" s="75">
        <v>3</v>
      </c>
      <c r="D8" s="110" t="str">
        <f>IF($C8&lt;=Entradas!$E$124,"",Observaciones!H8)</f>
        <v/>
      </c>
      <c r="E8" s="110" t="str">
        <f>IF($C8&lt;=Entradas!$E$124,"",LíneaBase!L9)</f>
        <v/>
      </c>
      <c r="F8" s="79" t="str">
        <f>IF($C8&lt;=Entradas!$E$124,"",D8-E8)</f>
        <v/>
      </c>
      <c r="G8" s="79" t="str">
        <f>IF($C8&lt;=Entradas!$E$124,"",D8-AVERAGE(D:D))</f>
        <v/>
      </c>
      <c r="H8" s="79" t="str">
        <f>IF($C8&lt;=Entradas!$E$124,"",F8^2)</f>
        <v/>
      </c>
      <c r="I8" s="79" t="str">
        <f>IF($C8&lt;=Entradas!$E$124,"",G8^2)</f>
        <v/>
      </c>
      <c r="J8" s="79" t="str">
        <f>IF($C8&lt;=Entradas!$E$124,"",E8-AVERAGE(E:E))</f>
        <v/>
      </c>
      <c r="K8" s="79" t="str">
        <f>IF($C8&lt;=Entradas!$E$124,"",J8^2)</f>
        <v/>
      </c>
      <c r="L8" s="79" t="str">
        <f>IF($C8&lt;=Entradas!$E$124,"",G8*J8)</f>
        <v/>
      </c>
      <c r="M8" s="40"/>
    </row>
    <row r="9" spans="2:13">
      <c r="B9" s="39"/>
      <c r="C9" s="75">
        <v>4</v>
      </c>
      <c r="D9" s="110" t="str">
        <f>IF($C9&lt;=Entradas!$E$124,"",Observaciones!H9)</f>
        <v/>
      </c>
      <c r="E9" s="110" t="str">
        <f>IF($C9&lt;=Entradas!$E$124,"",LíneaBase!L10)</f>
        <v/>
      </c>
      <c r="F9" s="79" t="str">
        <f>IF($C9&lt;=Entradas!$E$124,"",D9-E9)</f>
        <v/>
      </c>
      <c r="G9" s="79" t="str">
        <f>IF($C9&lt;=Entradas!$E$124,"",D9-AVERAGE(D:D))</f>
        <v/>
      </c>
      <c r="H9" s="79" t="str">
        <f>IF($C9&lt;=Entradas!$E$124,"",F9^2)</f>
        <v/>
      </c>
      <c r="I9" s="79" t="str">
        <f>IF($C9&lt;=Entradas!$E$124,"",G9^2)</f>
        <v/>
      </c>
      <c r="J9" s="79" t="str">
        <f>IF($C9&lt;=Entradas!$E$124,"",E9-AVERAGE(E:E))</f>
        <v/>
      </c>
      <c r="K9" s="79" t="str">
        <f>IF($C9&lt;=Entradas!$E$124,"",J9^2)</f>
        <v/>
      </c>
      <c r="L9" s="79" t="str">
        <f>IF($C9&lt;=Entradas!$E$124,"",G9*J9)</f>
        <v/>
      </c>
      <c r="M9" s="40"/>
    </row>
    <row r="10" spans="2:13">
      <c r="B10" s="39"/>
      <c r="C10" s="75">
        <v>5</v>
      </c>
      <c r="D10" s="110" t="str">
        <f>IF($C10&lt;=Entradas!$E$124,"",Observaciones!H10)</f>
        <v/>
      </c>
      <c r="E10" s="110" t="str">
        <f>IF($C10&lt;=Entradas!$E$124,"",LíneaBase!L11)</f>
        <v/>
      </c>
      <c r="F10" s="79" t="str">
        <f>IF($C10&lt;=Entradas!$E$124,"",D10-E10)</f>
        <v/>
      </c>
      <c r="G10" s="79" t="str">
        <f>IF($C10&lt;=Entradas!$E$124,"",D10-AVERAGE(D:D))</f>
        <v/>
      </c>
      <c r="H10" s="79" t="str">
        <f>IF($C10&lt;=Entradas!$E$124,"",F10^2)</f>
        <v/>
      </c>
      <c r="I10" s="79" t="str">
        <f>IF($C10&lt;=Entradas!$E$124,"",G10^2)</f>
        <v/>
      </c>
      <c r="J10" s="79" t="str">
        <f>IF($C10&lt;=Entradas!$E$124,"",E10-AVERAGE(E:E))</f>
        <v/>
      </c>
      <c r="K10" s="79" t="str">
        <f>IF($C10&lt;=Entradas!$E$124,"",J10^2)</f>
        <v/>
      </c>
      <c r="L10" s="79" t="str">
        <f>IF($C10&lt;=Entradas!$E$124,"",G10*J10)</f>
        <v/>
      </c>
      <c r="M10" s="40"/>
    </row>
    <row r="11" spans="2:13">
      <c r="B11" s="39"/>
      <c r="C11" s="75">
        <v>6</v>
      </c>
      <c r="D11" s="110" t="str">
        <f>IF($C11&lt;=Entradas!$E$124,"",Observaciones!H11)</f>
        <v/>
      </c>
      <c r="E11" s="110" t="str">
        <f>IF($C11&lt;=Entradas!$E$124,"",LíneaBase!L12)</f>
        <v/>
      </c>
      <c r="F11" s="79" t="str">
        <f>IF($C11&lt;=Entradas!$E$124,"",D11-E11)</f>
        <v/>
      </c>
      <c r="G11" s="79" t="str">
        <f>IF($C11&lt;=Entradas!$E$124,"",D11-AVERAGE(D:D))</f>
        <v/>
      </c>
      <c r="H11" s="79" t="str">
        <f>IF($C11&lt;=Entradas!$E$124,"",F11^2)</f>
        <v/>
      </c>
      <c r="I11" s="79" t="str">
        <f>IF($C11&lt;=Entradas!$E$124,"",G11^2)</f>
        <v/>
      </c>
      <c r="J11" s="79" t="str">
        <f>IF($C11&lt;=Entradas!$E$124,"",E11-AVERAGE(E:E))</f>
        <v/>
      </c>
      <c r="K11" s="79" t="str">
        <f>IF($C11&lt;=Entradas!$E$124,"",J11^2)</f>
        <v/>
      </c>
      <c r="L11" s="79" t="str">
        <f>IF($C11&lt;=Entradas!$E$124,"",G11*J11)</f>
        <v/>
      </c>
      <c r="M11" s="40"/>
    </row>
    <row r="12" spans="2:13">
      <c r="B12" s="39"/>
      <c r="C12" s="75">
        <v>7</v>
      </c>
      <c r="D12" s="110" t="str">
        <f>IF($C12&lt;=Entradas!$E$124,"",Observaciones!H12)</f>
        <v/>
      </c>
      <c r="E12" s="110" t="str">
        <f>IF($C12&lt;=Entradas!$E$124,"",LíneaBase!L13)</f>
        <v/>
      </c>
      <c r="F12" s="79" t="str">
        <f>IF($C12&lt;=Entradas!$E$124,"",D12-E12)</f>
        <v/>
      </c>
      <c r="G12" s="79" t="str">
        <f>IF($C12&lt;=Entradas!$E$124,"",D12-AVERAGE(D:D))</f>
        <v/>
      </c>
      <c r="H12" s="79" t="str">
        <f>IF($C12&lt;=Entradas!$E$124,"",F12^2)</f>
        <v/>
      </c>
      <c r="I12" s="79" t="str">
        <f>IF($C12&lt;=Entradas!$E$124,"",G12^2)</f>
        <v/>
      </c>
      <c r="J12" s="79" t="str">
        <f>IF($C12&lt;=Entradas!$E$124,"",E12-AVERAGE(E:E))</f>
        <v/>
      </c>
      <c r="K12" s="79" t="str">
        <f>IF($C12&lt;=Entradas!$E$124,"",J12^2)</f>
        <v/>
      </c>
      <c r="L12" s="79" t="str">
        <f>IF($C12&lt;=Entradas!$E$124,"",G12*J12)</f>
        <v/>
      </c>
      <c r="M12" s="40"/>
    </row>
    <row r="13" spans="2:13">
      <c r="B13" s="39"/>
      <c r="C13" s="75">
        <v>8</v>
      </c>
      <c r="D13" s="110" t="str">
        <f>IF($C13&lt;=Entradas!$E$124,"",Observaciones!H13)</f>
        <v/>
      </c>
      <c r="E13" s="110" t="str">
        <f>IF($C13&lt;=Entradas!$E$124,"",LíneaBase!L14)</f>
        <v/>
      </c>
      <c r="F13" s="79" t="str">
        <f>IF($C13&lt;=Entradas!$E$124,"",D13-E13)</f>
        <v/>
      </c>
      <c r="G13" s="79" t="str">
        <f>IF($C13&lt;=Entradas!$E$124,"",D13-AVERAGE(D:D))</f>
        <v/>
      </c>
      <c r="H13" s="79" t="str">
        <f>IF($C13&lt;=Entradas!$E$124,"",F13^2)</f>
        <v/>
      </c>
      <c r="I13" s="79" t="str">
        <f>IF($C13&lt;=Entradas!$E$124,"",G13^2)</f>
        <v/>
      </c>
      <c r="J13" s="79" t="str">
        <f>IF($C13&lt;=Entradas!$E$124,"",E13-AVERAGE(E:E))</f>
        <v/>
      </c>
      <c r="K13" s="79" t="str">
        <f>IF($C13&lt;=Entradas!$E$124,"",J13^2)</f>
        <v/>
      </c>
      <c r="L13" s="79" t="str">
        <f>IF($C13&lt;=Entradas!$E$124,"",G13*J13)</f>
        <v/>
      </c>
      <c r="M13" s="40"/>
    </row>
    <row r="14" spans="2:13">
      <c r="B14" s="39"/>
      <c r="C14" s="75">
        <v>9</v>
      </c>
      <c r="D14" s="110" t="str">
        <f>IF($C14&lt;=Entradas!$E$124,"",Observaciones!H14)</f>
        <v/>
      </c>
      <c r="E14" s="110" t="str">
        <f>IF($C14&lt;=Entradas!$E$124,"",LíneaBase!L15)</f>
        <v/>
      </c>
      <c r="F14" s="79" t="str">
        <f>IF($C14&lt;=Entradas!$E$124,"",D14-E14)</f>
        <v/>
      </c>
      <c r="G14" s="79" t="str">
        <f>IF($C14&lt;=Entradas!$E$124,"",D14-AVERAGE(D:D))</f>
        <v/>
      </c>
      <c r="H14" s="79" t="str">
        <f>IF($C14&lt;=Entradas!$E$124,"",F14^2)</f>
        <v/>
      </c>
      <c r="I14" s="79" t="str">
        <f>IF($C14&lt;=Entradas!$E$124,"",G14^2)</f>
        <v/>
      </c>
      <c r="J14" s="79" t="str">
        <f>IF($C14&lt;=Entradas!$E$124,"",E14-AVERAGE(E:E))</f>
        <v/>
      </c>
      <c r="K14" s="79" t="str">
        <f>IF($C14&lt;=Entradas!$E$124,"",J14^2)</f>
        <v/>
      </c>
      <c r="L14" s="79" t="str">
        <f>IF($C14&lt;=Entradas!$E$124,"",G14*J14)</f>
        <v/>
      </c>
      <c r="M14" s="40"/>
    </row>
    <row r="15" spans="2:13">
      <c r="B15" s="39"/>
      <c r="C15" s="75">
        <v>10</v>
      </c>
      <c r="D15" s="110" t="str">
        <f>IF($C15&lt;=Entradas!$E$124,"",Observaciones!H15)</f>
        <v/>
      </c>
      <c r="E15" s="110" t="str">
        <f>IF($C15&lt;=Entradas!$E$124,"",LíneaBase!L16)</f>
        <v/>
      </c>
      <c r="F15" s="79" t="str">
        <f>IF($C15&lt;=Entradas!$E$124,"",D15-E15)</f>
        <v/>
      </c>
      <c r="G15" s="79" t="str">
        <f>IF($C15&lt;=Entradas!$E$124,"",D15-AVERAGE(D:D))</f>
        <v/>
      </c>
      <c r="H15" s="79" t="str">
        <f>IF($C15&lt;=Entradas!$E$124,"",F15^2)</f>
        <v/>
      </c>
      <c r="I15" s="79" t="str">
        <f>IF($C15&lt;=Entradas!$E$124,"",G15^2)</f>
        <v/>
      </c>
      <c r="J15" s="79" t="str">
        <f>IF($C15&lt;=Entradas!$E$124,"",E15-AVERAGE(E:E))</f>
        <v/>
      </c>
      <c r="K15" s="79" t="str">
        <f>IF($C15&lt;=Entradas!$E$124,"",J15^2)</f>
        <v/>
      </c>
      <c r="L15" s="79" t="str">
        <f>IF($C15&lt;=Entradas!$E$124,"",G15*J15)</f>
        <v/>
      </c>
      <c r="M15" s="40"/>
    </row>
    <row r="16" spans="2:13">
      <c r="B16" s="39"/>
      <c r="C16" s="75">
        <v>11</v>
      </c>
      <c r="D16" s="110" t="str">
        <f>IF($C16&lt;=Entradas!$E$124,"",Observaciones!H16)</f>
        <v/>
      </c>
      <c r="E16" s="110" t="str">
        <f>IF($C16&lt;=Entradas!$E$124,"",LíneaBase!L17)</f>
        <v/>
      </c>
      <c r="F16" s="79" t="str">
        <f>IF($C16&lt;=Entradas!$E$124,"",D16-E16)</f>
        <v/>
      </c>
      <c r="G16" s="79" t="str">
        <f>IF($C16&lt;=Entradas!$E$124,"",D16-AVERAGE(D:D))</f>
        <v/>
      </c>
      <c r="H16" s="79" t="str">
        <f>IF($C16&lt;=Entradas!$E$124,"",F16^2)</f>
        <v/>
      </c>
      <c r="I16" s="79" t="str">
        <f>IF($C16&lt;=Entradas!$E$124,"",G16^2)</f>
        <v/>
      </c>
      <c r="J16" s="79" t="str">
        <f>IF($C16&lt;=Entradas!$E$124,"",E16-AVERAGE(E:E))</f>
        <v/>
      </c>
      <c r="K16" s="79" t="str">
        <f>IF($C16&lt;=Entradas!$E$124,"",J16^2)</f>
        <v/>
      </c>
      <c r="L16" s="79" t="str">
        <f>IF($C16&lt;=Entradas!$E$124,"",G16*J16)</f>
        <v/>
      </c>
      <c r="M16" s="40"/>
    </row>
    <row r="17" spans="2:13">
      <c r="B17" s="39"/>
      <c r="C17" s="75">
        <v>12</v>
      </c>
      <c r="D17" s="110" t="str">
        <f>IF($C17&lt;=Entradas!$E$124,"",Observaciones!H17)</f>
        <v/>
      </c>
      <c r="E17" s="110" t="str">
        <f>IF($C17&lt;=Entradas!$E$124,"",LíneaBase!L18)</f>
        <v/>
      </c>
      <c r="F17" s="79" t="str">
        <f>IF($C17&lt;=Entradas!$E$124,"",D17-E17)</f>
        <v/>
      </c>
      <c r="G17" s="79" t="str">
        <f>IF($C17&lt;=Entradas!$E$124,"",D17-AVERAGE(D:D))</f>
        <v/>
      </c>
      <c r="H17" s="79" t="str">
        <f>IF($C17&lt;=Entradas!$E$124,"",F17^2)</f>
        <v/>
      </c>
      <c r="I17" s="79" t="str">
        <f>IF($C17&lt;=Entradas!$E$124,"",G17^2)</f>
        <v/>
      </c>
      <c r="J17" s="79" t="str">
        <f>IF($C17&lt;=Entradas!$E$124,"",E17-AVERAGE(E:E))</f>
        <v/>
      </c>
      <c r="K17" s="79" t="str">
        <f>IF($C17&lt;=Entradas!$E$124,"",J17^2)</f>
        <v/>
      </c>
      <c r="L17" s="79" t="str">
        <f>IF($C17&lt;=Entradas!$E$124,"",G17*J17)</f>
        <v/>
      </c>
      <c r="M17" s="40"/>
    </row>
    <row r="18" spans="2:13">
      <c r="B18" s="39"/>
      <c r="C18" s="75">
        <v>13</v>
      </c>
      <c r="D18" s="110" t="str">
        <f>IF($C18&lt;=Entradas!$E$124,"",Observaciones!H18)</f>
        <v/>
      </c>
      <c r="E18" s="110" t="str">
        <f>IF($C18&lt;=Entradas!$E$124,"",LíneaBase!L19)</f>
        <v/>
      </c>
      <c r="F18" s="79" t="str">
        <f>IF($C18&lt;=Entradas!$E$124,"",D18-E18)</f>
        <v/>
      </c>
      <c r="G18" s="79" t="str">
        <f>IF($C18&lt;=Entradas!$E$124,"",D18-AVERAGE(D:D))</f>
        <v/>
      </c>
      <c r="H18" s="79" t="str">
        <f>IF($C18&lt;=Entradas!$E$124,"",F18^2)</f>
        <v/>
      </c>
      <c r="I18" s="79" t="str">
        <f>IF($C18&lt;=Entradas!$E$124,"",G18^2)</f>
        <v/>
      </c>
      <c r="J18" s="79" t="str">
        <f>IF($C18&lt;=Entradas!$E$124,"",E18-AVERAGE(E:E))</f>
        <v/>
      </c>
      <c r="K18" s="79" t="str">
        <f>IF($C18&lt;=Entradas!$E$124,"",J18^2)</f>
        <v/>
      </c>
      <c r="L18" s="79" t="str">
        <f>IF($C18&lt;=Entradas!$E$124,"",G18*J18)</f>
        <v/>
      </c>
      <c r="M18" s="40"/>
    </row>
    <row r="19" spans="2:13">
      <c r="B19" s="39"/>
      <c r="C19" s="75">
        <v>14</v>
      </c>
      <c r="D19" s="110" t="str">
        <f>IF($C19&lt;=Entradas!$E$124,"",Observaciones!H19)</f>
        <v/>
      </c>
      <c r="E19" s="110" t="str">
        <f>IF($C19&lt;=Entradas!$E$124,"",LíneaBase!L20)</f>
        <v/>
      </c>
      <c r="F19" s="79" t="str">
        <f>IF($C19&lt;=Entradas!$E$124,"",D19-E19)</f>
        <v/>
      </c>
      <c r="G19" s="79" t="str">
        <f>IF($C19&lt;=Entradas!$E$124,"",D19-AVERAGE(D:D))</f>
        <v/>
      </c>
      <c r="H19" s="79" t="str">
        <f>IF($C19&lt;=Entradas!$E$124,"",F19^2)</f>
        <v/>
      </c>
      <c r="I19" s="79" t="str">
        <f>IF($C19&lt;=Entradas!$E$124,"",G19^2)</f>
        <v/>
      </c>
      <c r="J19" s="79" t="str">
        <f>IF($C19&lt;=Entradas!$E$124,"",E19-AVERAGE(E:E))</f>
        <v/>
      </c>
      <c r="K19" s="79" t="str">
        <f>IF($C19&lt;=Entradas!$E$124,"",J19^2)</f>
        <v/>
      </c>
      <c r="L19" s="79" t="str">
        <f>IF($C19&lt;=Entradas!$E$124,"",G19*J19)</f>
        <v/>
      </c>
      <c r="M19" s="40"/>
    </row>
    <row r="20" spans="2:13">
      <c r="B20" s="39"/>
      <c r="C20" s="75">
        <v>15</v>
      </c>
      <c r="D20" s="110" t="str">
        <f>IF($C20&lt;=Entradas!$E$124,"",Observaciones!H20)</f>
        <v/>
      </c>
      <c r="E20" s="110" t="str">
        <f>IF($C20&lt;=Entradas!$E$124,"",LíneaBase!L21)</f>
        <v/>
      </c>
      <c r="F20" s="79" t="str">
        <f>IF($C20&lt;=Entradas!$E$124,"",D20-E20)</f>
        <v/>
      </c>
      <c r="G20" s="79" t="str">
        <f>IF($C20&lt;=Entradas!$E$124,"",D20-AVERAGE(D:D))</f>
        <v/>
      </c>
      <c r="H20" s="79" t="str">
        <f>IF($C20&lt;=Entradas!$E$124,"",F20^2)</f>
        <v/>
      </c>
      <c r="I20" s="79" t="str">
        <f>IF($C20&lt;=Entradas!$E$124,"",G20^2)</f>
        <v/>
      </c>
      <c r="J20" s="79" t="str">
        <f>IF($C20&lt;=Entradas!$E$124,"",E20-AVERAGE(E:E))</f>
        <v/>
      </c>
      <c r="K20" s="79" t="str">
        <f>IF($C20&lt;=Entradas!$E$124,"",J20^2)</f>
        <v/>
      </c>
      <c r="L20" s="79" t="str">
        <f>IF($C20&lt;=Entradas!$E$124,"",G20*J20)</f>
        <v/>
      </c>
      <c r="M20" s="40"/>
    </row>
    <row r="21" spans="2:13">
      <c r="B21" s="39"/>
      <c r="C21" s="75">
        <v>16</v>
      </c>
      <c r="D21" s="110" t="str">
        <f>IF($C21&lt;=Entradas!$E$124,"",Observaciones!H21)</f>
        <v/>
      </c>
      <c r="E21" s="110" t="str">
        <f>IF($C21&lt;=Entradas!$E$124,"",LíneaBase!L22)</f>
        <v/>
      </c>
      <c r="F21" s="79" t="str">
        <f>IF($C21&lt;=Entradas!$E$124,"",D21-E21)</f>
        <v/>
      </c>
      <c r="G21" s="79" t="str">
        <f>IF($C21&lt;=Entradas!$E$124,"",D21-AVERAGE(D:D))</f>
        <v/>
      </c>
      <c r="H21" s="79" t="str">
        <f>IF($C21&lt;=Entradas!$E$124,"",F21^2)</f>
        <v/>
      </c>
      <c r="I21" s="79" t="str">
        <f>IF($C21&lt;=Entradas!$E$124,"",G21^2)</f>
        <v/>
      </c>
      <c r="J21" s="79" t="str">
        <f>IF($C21&lt;=Entradas!$E$124,"",E21-AVERAGE(E:E))</f>
        <v/>
      </c>
      <c r="K21" s="79" t="str">
        <f>IF($C21&lt;=Entradas!$E$124,"",J21^2)</f>
        <v/>
      </c>
      <c r="L21" s="79" t="str">
        <f>IF($C21&lt;=Entradas!$E$124,"",G21*J21)</f>
        <v/>
      </c>
      <c r="M21" s="40"/>
    </row>
    <row r="22" spans="2:13">
      <c r="B22" s="39"/>
      <c r="C22" s="75">
        <v>17</v>
      </c>
      <c r="D22" s="110" t="str">
        <f>IF($C22&lt;=Entradas!$E$124,"",Observaciones!H22)</f>
        <v/>
      </c>
      <c r="E22" s="110" t="str">
        <f>IF($C22&lt;=Entradas!$E$124,"",LíneaBase!L23)</f>
        <v/>
      </c>
      <c r="F22" s="79" t="str">
        <f>IF($C22&lt;=Entradas!$E$124,"",D22-E22)</f>
        <v/>
      </c>
      <c r="G22" s="79" t="str">
        <f>IF($C22&lt;=Entradas!$E$124,"",D22-AVERAGE(D:D))</f>
        <v/>
      </c>
      <c r="H22" s="79" t="str">
        <f>IF($C22&lt;=Entradas!$E$124,"",F22^2)</f>
        <v/>
      </c>
      <c r="I22" s="79" t="str">
        <f>IF($C22&lt;=Entradas!$E$124,"",G22^2)</f>
        <v/>
      </c>
      <c r="J22" s="79" t="str">
        <f>IF($C22&lt;=Entradas!$E$124,"",E22-AVERAGE(E:E))</f>
        <v/>
      </c>
      <c r="K22" s="79" t="str">
        <f>IF($C22&lt;=Entradas!$E$124,"",J22^2)</f>
        <v/>
      </c>
      <c r="L22" s="79" t="str">
        <f>IF($C22&lt;=Entradas!$E$124,"",G22*J22)</f>
        <v/>
      </c>
      <c r="M22" s="40"/>
    </row>
    <row r="23" spans="2:13">
      <c r="B23" s="39"/>
      <c r="C23" s="75">
        <v>18</v>
      </c>
      <c r="D23" s="110" t="str">
        <f>IF($C23&lt;=Entradas!$E$124,"",Observaciones!H23)</f>
        <v/>
      </c>
      <c r="E23" s="110" t="str">
        <f>IF($C23&lt;=Entradas!$E$124,"",LíneaBase!L24)</f>
        <v/>
      </c>
      <c r="F23" s="79" t="str">
        <f>IF($C23&lt;=Entradas!$E$124,"",D23-E23)</f>
        <v/>
      </c>
      <c r="G23" s="79" t="str">
        <f>IF($C23&lt;=Entradas!$E$124,"",D23-AVERAGE(D:D))</f>
        <v/>
      </c>
      <c r="H23" s="79" t="str">
        <f>IF($C23&lt;=Entradas!$E$124,"",F23^2)</f>
        <v/>
      </c>
      <c r="I23" s="79" t="str">
        <f>IF($C23&lt;=Entradas!$E$124,"",G23^2)</f>
        <v/>
      </c>
      <c r="J23" s="79" t="str">
        <f>IF($C23&lt;=Entradas!$E$124,"",E23-AVERAGE(E:E))</f>
        <v/>
      </c>
      <c r="K23" s="79" t="str">
        <f>IF($C23&lt;=Entradas!$E$124,"",J23^2)</f>
        <v/>
      </c>
      <c r="L23" s="79" t="str">
        <f>IF($C23&lt;=Entradas!$E$124,"",G23*J23)</f>
        <v/>
      </c>
      <c r="M23" s="40"/>
    </row>
    <row r="24" spans="2:13">
      <c r="B24" s="39"/>
      <c r="C24" s="75">
        <v>19</v>
      </c>
      <c r="D24" s="110" t="str">
        <f>IF($C24&lt;=Entradas!$E$124,"",Observaciones!H24)</f>
        <v/>
      </c>
      <c r="E24" s="110" t="str">
        <f>IF($C24&lt;=Entradas!$E$124,"",LíneaBase!L25)</f>
        <v/>
      </c>
      <c r="F24" s="79" t="str">
        <f>IF($C24&lt;=Entradas!$E$124,"",D24-E24)</f>
        <v/>
      </c>
      <c r="G24" s="79" t="str">
        <f>IF($C24&lt;=Entradas!$E$124,"",D24-AVERAGE(D:D))</f>
        <v/>
      </c>
      <c r="H24" s="79" t="str">
        <f>IF($C24&lt;=Entradas!$E$124,"",F24^2)</f>
        <v/>
      </c>
      <c r="I24" s="79" t="str">
        <f>IF($C24&lt;=Entradas!$E$124,"",G24^2)</f>
        <v/>
      </c>
      <c r="J24" s="79" t="str">
        <f>IF($C24&lt;=Entradas!$E$124,"",E24-AVERAGE(E:E))</f>
        <v/>
      </c>
      <c r="K24" s="79" t="str">
        <f>IF($C24&lt;=Entradas!$E$124,"",J24^2)</f>
        <v/>
      </c>
      <c r="L24" s="79" t="str">
        <f>IF($C24&lt;=Entradas!$E$124,"",G24*J24)</f>
        <v/>
      </c>
      <c r="M24" s="40"/>
    </row>
    <row r="25" spans="2:13">
      <c r="B25" s="39"/>
      <c r="C25" s="75">
        <v>20</v>
      </c>
      <c r="D25" s="110" t="str">
        <f>IF($C25&lt;=Entradas!$E$124,"",Observaciones!H25)</f>
        <v/>
      </c>
      <c r="E25" s="110" t="str">
        <f>IF($C25&lt;=Entradas!$E$124,"",LíneaBase!L26)</f>
        <v/>
      </c>
      <c r="F25" s="79" t="str">
        <f>IF($C25&lt;=Entradas!$E$124,"",D25-E25)</f>
        <v/>
      </c>
      <c r="G25" s="79" t="str">
        <f>IF($C25&lt;=Entradas!$E$124,"",D25-AVERAGE(D:D))</f>
        <v/>
      </c>
      <c r="H25" s="79" t="str">
        <f>IF($C25&lt;=Entradas!$E$124,"",F25^2)</f>
        <v/>
      </c>
      <c r="I25" s="79" t="str">
        <f>IF($C25&lt;=Entradas!$E$124,"",G25^2)</f>
        <v/>
      </c>
      <c r="J25" s="79" t="str">
        <f>IF($C25&lt;=Entradas!$E$124,"",E25-AVERAGE(E:E))</f>
        <v/>
      </c>
      <c r="K25" s="79" t="str">
        <f>IF($C25&lt;=Entradas!$E$124,"",J25^2)</f>
        <v/>
      </c>
      <c r="L25" s="79" t="str">
        <f>IF($C25&lt;=Entradas!$E$124,"",G25*J25)</f>
        <v/>
      </c>
      <c r="M25" s="40"/>
    </row>
    <row r="26" spans="2:13">
      <c r="B26" s="39"/>
      <c r="C26" s="75">
        <v>21</v>
      </c>
      <c r="D26" s="110" t="str">
        <f>IF($C26&lt;=Entradas!$E$124,"",Observaciones!H26)</f>
        <v/>
      </c>
      <c r="E26" s="110" t="str">
        <f>IF($C26&lt;=Entradas!$E$124,"",LíneaBase!L27)</f>
        <v/>
      </c>
      <c r="F26" s="79" t="str">
        <f>IF($C26&lt;=Entradas!$E$124,"",D26-E26)</f>
        <v/>
      </c>
      <c r="G26" s="79" t="str">
        <f>IF($C26&lt;=Entradas!$E$124,"",D26-AVERAGE(D:D))</f>
        <v/>
      </c>
      <c r="H26" s="79" t="str">
        <f>IF($C26&lt;=Entradas!$E$124,"",F26^2)</f>
        <v/>
      </c>
      <c r="I26" s="79" t="str">
        <f>IF($C26&lt;=Entradas!$E$124,"",G26^2)</f>
        <v/>
      </c>
      <c r="J26" s="79" t="str">
        <f>IF($C26&lt;=Entradas!$E$124,"",E26-AVERAGE(E:E))</f>
        <v/>
      </c>
      <c r="K26" s="79" t="str">
        <f>IF($C26&lt;=Entradas!$E$124,"",J26^2)</f>
        <v/>
      </c>
      <c r="L26" s="79" t="str">
        <f>IF($C26&lt;=Entradas!$E$124,"",G26*J26)</f>
        <v/>
      </c>
      <c r="M26" s="40"/>
    </row>
    <row r="27" spans="2:13">
      <c r="B27" s="39"/>
      <c r="C27" s="75">
        <v>22</v>
      </c>
      <c r="D27" s="110" t="str">
        <f>IF($C27&lt;=Entradas!$E$124,"",Observaciones!H27)</f>
        <v/>
      </c>
      <c r="E27" s="110" t="str">
        <f>IF($C27&lt;=Entradas!$E$124,"",LíneaBase!L28)</f>
        <v/>
      </c>
      <c r="F27" s="79" t="str">
        <f>IF($C27&lt;=Entradas!$E$124,"",D27-E27)</f>
        <v/>
      </c>
      <c r="G27" s="79" t="str">
        <f>IF($C27&lt;=Entradas!$E$124,"",D27-AVERAGE(D:D))</f>
        <v/>
      </c>
      <c r="H27" s="79" t="str">
        <f>IF($C27&lt;=Entradas!$E$124,"",F27^2)</f>
        <v/>
      </c>
      <c r="I27" s="79" t="str">
        <f>IF($C27&lt;=Entradas!$E$124,"",G27^2)</f>
        <v/>
      </c>
      <c r="J27" s="79" t="str">
        <f>IF($C27&lt;=Entradas!$E$124,"",E27-AVERAGE(E:E))</f>
        <v/>
      </c>
      <c r="K27" s="79" t="str">
        <f>IF($C27&lt;=Entradas!$E$124,"",J27^2)</f>
        <v/>
      </c>
      <c r="L27" s="79" t="str">
        <f>IF($C27&lt;=Entradas!$E$124,"",G27*J27)</f>
        <v/>
      </c>
      <c r="M27" s="40"/>
    </row>
    <row r="28" spans="2:13">
      <c r="B28" s="39"/>
      <c r="C28" s="75">
        <v>23</v>
      </c>
      <c r="D28" s="110" t="str">
        <f>IF($C28&lt;=Entradas!$E$124,"",Observaciones!H28)</f>
        <v/>
      </c>
      <c r="E28" s="110" t="str">
        <f>IF($C28&lt;=Entradas!$E$124,"",LíneaBase!L29)</f>
        <v/>
      </c>
      <c r="F28" s="79" t="str">
        <f>IF($C28&lt;=Entradas!$E$124,"",D28-E28)</f>
        <v/>
      </c>
      <c r="G28" s="79" t="str">
        <f>IF($C28&lt;=Entradas!$E$124,"",D28-AVERAGE(D:D))</f>
        <v/>
      </c>
      <c r="H28" s="79" t="str">
        <f>IF($C28&lt;=Entradas!$E$124,"",F28^2)</f>
        <v/>
      </c>
      <c r="I28" s="79" t="str">
        <f>IF($C28&lt;=Entradas!$E$124,"",G28^2)</f>
        <v/>
      </c>
      <c r="J28" s="79" t="str">
        <f>IF($C28&lt;=Entradas!$E$124,"",E28-AVERAGE(E:E))</f>
        <v/>
      </c>
      <c r="K28" s="79" t="str">
        <f>IF($C28&lt;=Entradas!$E$124,"",J28^2)</f>
        <v/>
      </c>
      <c r="L28" s="79" t="str">
        <f>IF($C28&lt;=Entradas!$E$124,"",G28*J28)</f>
        <v/>
      </c>
      <c r="M28" s="40"/>
    </row>
    <row r="29" spans="2:13">
      <c r="B29" s="39"/>
      <c r="C29" s="75">
        <v>24</v>
      </c>
      <c r="D29" s="110" t="str">
        <f>IF($C29&lt;=Entradas!$E$124,"",Observaciones!H29)</f>
        <v/>
      </c>
      <c r="E29" s="110" t="str">
        <f>IF($C29&lt;=Entradas!$E$124,"",LíneaBase!L30)</f>
        <v/>
      </c>
      <c r="F29" s="79" t="str">
        <f>IF($C29&lt;=Entradas!$E$124,"",D29-E29)</f>
        <v/>
      </c>
      <c r="G29" s="79" t="str">
        <f>IF($C29&lt;=Entradas!$E$124,"",D29-AVERAGE(D:D))</f>
        <v/>
      </c>
      <c r="H29" s="79" t="str">
        <f>IF($C29&lt;=Entradas!$E$124,"",F29^2)</f>
        <v/>
      </c>
      <c r="I29" s="79" t="str">
        <f>IF($C29&lt;=Entradas!$E$124,"",G29^2)</f>
        <v/>
      </c>
      <c r="J29" s="79" t="str">
        <f>IF($C29&lt;=Entradas!$E$124,"",E29-AVERAGE(E:E))</f>
        <v/>
      </c>
      <c r="K29" s="79" t="str">
        <f>IF($C29&lt;=Entradas!$E$124,"",J29^2)</f>
        <v/>
      </c>
      <c r="L29" s="79" t="str">
        <f>IF($C29&lt;=Entradas!$E$124,"",G29*J29)</f>
        <v/>
      </c>
      <c r="M29" s="40"/>
    </row>
    <row r="30" spans="2:13">
      <c r="B30" s="39"/>
      <c r="C30" s="75">
        <v>25</v>
      </c>
      <c r="D30" s="110" t="str">
        <f>IF($C30&lt;=Entradas!$E$124,"",Observaciones!H30)</f>
        <v/>
      </c>
      <c r="E30" s="110" t="str">
        <f>IF($C30&lt;=Entradas!$E$124,"",LíneaBase!L31)</f>
        <v/>
      </c>
      <c r="F30" s="79" t="str">
        <f>IF($C30&lt;=Entradas!$E$124,"",D30-E30)</f>
        <v/>
      </c>
      <c r="G30" s="79" t="str">
        <f>IF($C30&lt;=Entradas!$E$124,"",D30-AVERAGE(D:D))</f>
        <v/>
      </c>
      <c r="H30" s="79" t="str">
        <f>IF($C30&lt;=Entradas!$E$124,"",F30^2)</f>
        <v/>
      </c>
      <c r="I30" s="79" t="str">
        <f>IF($C30&lt;=Entradas!$E$124,"",G30^2)</f>
        <v/>
      </c>
      <c r="J30" s="79" t="str">
        <f>IF($C30&lt;=Entradas!$E$124,"",E30-AVERAGE(E:E))</f>
        <v/>
      </c>
      <c r="K30" s="79" t="str">
        <f>IF($C30&lt;=Entradas!$E$124,"",J30^2)</f>
        <v/>
      </c>
      <c r="L30" s="79" t="str">
        <f>IF($C30&lt;=Entradas!$E$124,"",G30*J30)</f>
        <v/>
      </c>
      <c r="M30" s="40"/>
    </row>
    <row r="31" spans="2:13">
      <c r="B31" s="39"/>
      <c r="C31" s="75">
        <v>26</v>
      </c>
      <c r="D31" s="110" t="str">
        <f>IF($C31&lt;=Entradas!$E$124,"",Observaciones!H31)</f>
        <v/>
      </c>
      <c r="E31" s="110" t="str">
        <f>IF($C31&lt;=Entradas!$E$124,"",LíneaBase!L32)</f>
        <v/>
      </c>
      <c r="F31" s="79" t="str">
        <f>IF($C31&lt;=Entradas!$E$124,"",D31-E31)</f>
        <v/>
      </c>
      <c r="G31" s="79" t="str">
        <f>IF($C31&lt;=Entradas!$E$124,"",D31-AVERAGE(D:D))</f>
        <v/>
      </c>
      <c r="H31" s="79" t="str">
        <f>IF($C31&lt;=Entradas!$E$124,"",F31^2)</f>
        <v/>
      </c>
      <c r="I31" s="79" t="str">
        <f>IF($C31&lt;=Entradas!$E$124,"",G31^2)</f>
        <v/>
      </c>
      <c r="J31" s="79" t="str">
        <f>IF($C31&lt;=Entradas!$E$124,"",E31-AVERAGE(E:E))</f>
        <v/>
      </c>
      <c r="K31" s="79" t="str">
        <f>IF($C31&lt;=Entradas!$E$124,"",J31^2)</f>
        <v/>
      </c>
      <c r="L31" s="79" t="str">
        <f>IF($C31&lt;=Entradas!$E$124,"",G31*J31)</f>
        <v/>
      </c>
      <c r="M31" s="40"/>
    </row>
    <row r="32" spans="2:13">
      <c r="B32" s="39"/>
      <c r="C32" s="75">
        <v>27</v>
      </c>
      <c r="D32" s="110" t="str">
        <f>IF($C32&lt;=Entradas!$E$124,"",Observaciones!H32)</f>
        <v/>
      </c>
      <c r="E32" s="110" t="str">
        <f>IF($C32&lt;=Entradas!$E$124,"",LíneaBase!L33)</f>
        <v/>
      </c>
      <c r="F32" s="79" t="str">
        <f>IF($C32&lt;=Entradas!$E$124,"",D32-E32)</f>
        <v/>
      </c>
      <c r="G32" s="79" t="str">
        <f>IF($C32&lt;=Entradas!$E$124,"",D32-AVERAGE(D:D))</f>
        <v/>
      </c>
      <c r="H32" s="79" t="str">
        <f>IF($C32&lt;=Entradas!$E$124,"",F32^2)</f>
        <v/>
      </c>
      <c r="I32" s="79" t="str">
        <f>IF($C32&lt;=Entradas!$E$124,"",G32^2)</f>
        <v/>
      </c>
      <c r="J32" s="79" t="str">
        <f>IF($C32&lt;=Entradas!$E$124,"",E32-AVERAGE(E:E))</f>
        <v/>
      </c>
      <c r="K32" s="79" t="str">
        <f>IF($C32&lt;=Entradas!$E$124,"",J32^2)</f>
        <v/>
      </c>
      <c r="L32" s="79" t="str">
        <f>IF($C32&lt;=Entradas!$E$124,"",G32*J32)</f>
        <v/>
      </c>
      <c r="M32" s="40"/>
    </row>
    <row r="33" spans="2:13">
      <c r="B33" s="39"/>
      <c r="C33" s="75">
        <v>28</v>
      </c>
      <c r="D33" s="110" t="str">
        <f>IF($C33&lt;=Entradas!$E$124,"",Observaciones!H33)</f>
        <v/>
      </c>
      <c r="E33" s="110" t="str">
        <f>IF($C33&lt;=Entradas!$E$124,"",LíneaBase!L34)</f>
        <v/>
      </c>
      <c r="F33" s="79" t="str">
        <f>IF($C33&lt;=Entradas!$E$124,"",D33-E33)</f>
        <v/>
      </c>
      <c r="G33" s="79" t="str">
        <f>IF($C33&lt;=Entradas!$E$124,"",D33-AVERAGE(D:D))</f>
        <v/>
      </c>
      <c r="H33" s="79" t="str">
        <f>IF($C33&lt;=Entradas!$E$124,"",F33^2)</f>
        <v/>
      </c>
      <c r="I33" s="79" t="str">
        <f>IF($C33&lt;=Entradas!$E$124,"",G33^2)</f>
        <v/>
      </c>
      <c r="J33" s="79" t="str">
        <f>IF($C33&lt;=Entradas!$E$124,"",E33-AVERAGE(E:E))</f>
        <v/>
      </c>
      <c r="K33" s="79" t="str">
        <f>IF($C33&lt;=Entradas!$E$124,"",J33^2)</f>
        <v/>
      </c>
      <c r="L33" s="79" t="str">
        <f>IF($C33&lt;=Entradas!$E$124,"",G33*J33)</f>
        <v/>
      </c>
      <c r="M33" s="40"/>
    </row>
    <row r="34" spans="2:13">
      <c r="B34" s="39"/>
      <c r="C34" s="75">
        <v>29</v>
      </c>
      <c r="D34" s="110" t="str">
        <f>IF($C34&lt;=Entradas!$E$124,"",Observaciones!H34)</f>
        <v/>
      </c>
      <c r="E34" s="110" t="str">
        <f>IF($C34&lt;=Entradas!$E$124,"",LíneaBase!L35)</f>
        <v/>
      </c>
      <c r="F34" s="79" t="str">
        <f>IF($C34&lt;=Entradas!$E$124,"",D34-E34)</f>
        <v/>
      </c>
      <c r="G34" s="79" t="str">
        <f>IF($C34&lt;=Entradas!$E$124,"",D34-AVERAGE(D:D))</f>
        <v/>
      </c>
      <c r="H34" s="79" t="str">
        <f>IF($C34&lt;=Entradas!$E$124,"",F34^2)</f>
        <v/>
      </c>
      <c r="I34" s="79" t="str">
        <f>IF($C34&lt;=Entradas!$E$124,"",G34^2)</f>
        <v/>
      </c>
      <c r="J34" s="79" t="str">
        <f>IF($C34&lt;=Entradas!$E$124,"",E34-AVERAGE(E:E))</f>
        <v/>
      </c>
      <c r="K34" s="79" t="str">
        <f>IF($C34&lt;=Entradas!$E$124,"",J34^2)</f>
        <v/>
      </c>
      <c r="L34" s="79" t="str">
        <f>IF($C34&lt;=Entradas!$E$124,"",G34*J34)</f>
        <v/>
      </c>
      <c r="M34" s="40"/>
    </row>
    <row r="35" spans="2:13">
      <c r="B35" s="39"/>
      <c r="C35" s="75">
        <v>30</v>
      </c>
      <c r="D35" s="110" t="str">
        <f>IF($C35&lt;=Entradas!$E$124,"",Observaciones!H35)</f>
        <v/>
      </c>
      <c r="E35" s="110" t="str">
        <f>IF($C35&lt;=Entradas!$E$124,"",LíneaBase!L36)</f>
        <v/>
      </c>
      <c r="F35" s="79" t="str">
        <f>IF($C35&lt;=Entradas!$E$124,"",D35-E35)</f>
        <v/>
      </c>
      <c r="G35" s="79" t="str">
        <f>IF($C35&lt;=Entradas!$E$124,"",D35-AVERAGE(D:D))</f>
        <v/>
      </c>
      <c r="H35" s="79" t="str">
        <f>IF($C35&lt;=Entradas!$E$124,"",F35^2)</f>
        <v/>
      </c>
      <c r="I35" s="79" t="str">
        <f>IF($C35&lt;=Entradas!$E$124,"",G35^2)</f>
        <v/>
      </c>
      <c r="J35" s="79" t="str">
        <f>IF($C35&lt;=Entradas!$E$124,"",E35-AVERAGE(E:E))</f>
        <v/>
      </c>
      <c r="K35" s="79" t="str">
        <f>IF($C35&lt;=Entradas!$E$124,"",J35^2)</f>
        <v/>
      </c>
      <c r="L35" s="79" t="str">
        <f>IF($C35&lt;=Entradas!$E$124,"",G35*J35)</f>
        <v/>
      </c>
      <c r="M35" s="40"/>
    </row>
    <row r="36" spans="2:13">
      <c r="B36" s="39"/>
      <c r="C36" s="75">
        <v>31</v>
      </c>
      <c r="D36" s="110" t="str">
        <f>IF($C36&lt;=Entradas!$E$124,"",Observaciones!H36)</f>
        <v/>
      </c>
      <c r="E36" s="110" t="str">
        <f>IF($C36&lt;=Entradas!$E$124,"",LíneaBase!L37)</f>
        <v/>
      </c>
      <c r="F36" s="79" t="str">
        <f>IF($C36&lt;=Entradas!$E$124,"",D36-E36)</f>
        <v/>
      </c>
      <c r="G36" s="79" t="str">
        <f>IF($C36&lt;=Entradas!$E$124,"",D36-AVERAGE(D:D))</f>
        <v/>
      </c>
      <c r="H36" s="79" t="str">
        <f>IF($C36&lt;=Entradas!$E$124,"",F36^2)</f>
        <v/>
      </c>
      <c r="I36" s="79" t="str">
        <f>IF($C36&lt;=Entradas!$E$124,"",G36^2)</f>
        <v/>
      </c>
      <c r="J36" s="79" t="str">
        <f>IF($C36&lt;=Entradas!$E$124,"",E36-AVERAGE(E:E))</f>
        <v/>
      </c>
      <c r="K36" s="79" t="str">
        <f>IF($C36&lt;=Entradas!$E$124,"",J36^2)</f>
        <v/>
      </c>
      <c r="L36" s="79" t="str">
        <f>IF($C36&lt;=Entradas!$E$124,"",G36*J36)</f>
        <v/>
      </c>
      <c r="M36" s="40"/>
    </row>
    <row r="37" spans="2:13">
      <c r="B37" s="39"/>
      <c r="C37" s="75">
        <v>32</v>
      </c>
      <c r="D37" s="110" t="str">
        <f>IF($C37&lt;=Entradas!$E$124,"",Observaciones!H37)</f>
        <v/>
      </c>
      <c r="E37" s="110" t="str">
        <f>IF($C37&lt;=Entradas!$E$124,"",LíneaBase!L38)</f>
        <v/>
      </c>
      <c r="F37" s="79" t="str">
        <f>IF($C37&lt;=Entradas!$E$124,"",D37-E37)</f>
        <v/>
      </c>
      <c r="G37" s="79" t="str">
        <f>IF($C37&lt;=Entradas!$E$124,"",D37-AVERAGE(D:D))</f>
        <v/>
      </c>
      <c r="H37" s="79" t="str">
        <f>IF($C37&lt;=Entradas!$E$124,"",F37^2)</f>
        <v/>
      </c>
      <c r="I37" s="79" t="str">
        <f>IF($C37&lt;=Entradas!$E$124,"",G37^2)</f>
        <v/>
      </c>
      <c r="J37" s="79" t="str">
        <f>IF($C37&lt;=Entradas!$E$124,"",E37-AVERAGE(E:E))</f>
        <v/>
      </c>
      <c r="K37" s="79" t="str">
        <f>IF($C37&lt;=Entradas!$E$124,"",J37^2)</f>
        <v/>
      </c>
      <c r="L37" s="79" t="str">
        <f>IF($C37&lt;=Entradas!$E$124,"",G37*J37)</f>
        <v/>
      </c>
      <c r="M37" s="40"/>
    </row>
    <row r="38" spans="2:13">
      <c r="B38" s="39"/>
      <c r="C38" s="75">
        <v>33</v>
      </c>
      <c r="D38" s="110" t="str">
        <f>IF($C38&lt;=Entradas!$E$124,"",Observaciones!H38)</f>
        <v/>
      </c>
      <c r="E38" s="110" t="str">
        <f>IF($C38&lt;=Entradas!$E$124,"",LíneaBase!L39)</f>
        <v/>
      </c>
      <c r="F38" s="79" t="str">
        <f>IF($C38&lt;=Entradas!$E$124,"",D38-E38)</f>
        <v/>
      </c>
      <c r="G38" s="79" t="str">
        <f>IF($C38&lt;=Entradas!$E$124,"",D38-AVERAGE(D:D))</f>
        <v/>
      </c>
      <c r="H38" s="79" t="str">
        <f>IF($C38&lt;=Entradas!$E$124,"",F38^2)</f>
        <v/>
      </c>
      <c r="I38" s="79" t="str">
        <f>IF($C38&lt;=Entradas!$E$124,"",G38^2)</f>
        <v/>
      </c>
      <c r="J38" s="79" t="str">
        <f>IF($C38&lt;=Entradas!$E$124,"",E38-AVERAGE(E:E))</f>
        <v/>
      </c>
      <c r="K38" s="79" t="str">
        <f>IF($C38&lt;=Entradas!$E$124,"",J38^2)</f>
        <v/>
      </c>
      <c r="L38" s="79" t="str">
        <f>IF($C38&lt;=Entradas!$E$124,"",G38*J38)</f>
        <v/>
      </c>
      <c r="M38" s="40"/>
    </row>
    <row r="39" spans="2:13">
      <c r="B39" s="39"/>
      <c r="C39" s="75">
        <v>34</v>
      </c>
      <c r="D39" s="110" t="str">
        <f>IF($C39&lt;=Entradas!$E$124,"",Observaciones!H39)</f>
        <v/>
      </c>
      <c r="E39" s="110" t="str">
        <f>IF($C39&lt;=Entradas!$E$124,"",LíneaBase!L40)</f>
        <v/>
      </c>
      <c r="F39" s="79" t="str">
        <f>IF($C39&lt;=Entradas!$E$124,"",D39-E39)</f>
        <v/>
      </c>
      <c r="G39" s="79" t="str">
        <f>IF($C39&lt;=Entradas!$E$124,"",D39-AVERAGE(D:D))</f>
        <v/>
      </c>
      <c r="H39" s="79" t="str">
        <f>IF($C39&lt;=Entradas!$E$124,"",F39^2)</f>
        <v/>
      </c>
      <c r="I39" s="79" t="str">
        <f>IF($C39&lt;=Entradas!$E$124,"",G39^2)</f>
        <v/>
      </c>
      <c r="J39" s="79" t="str">
        <f>IF($C39&lt;=Entradas!$E$124,"",E39-AVERAGE(E:E))</f>
        <v/>
      </c>
      <c r="K39" s="79" t="str">
        <f>IF($C39&lt;=Entradas!$E$124,"",J39^2)</f>
        <v/>
      </c>
      <c r="L39" s="79" t="str">
        <f>IF($C39&lt;=Entradas!$E$124,"",G39*J39)</f>
        <v/>
      </c>
      <c r="M39" s="40"/>
    </row>
    <row r="40" spans="2:13">
      <c r="B40" s="39"/>
      <c r="C40" s="75">
        <v>35</v>
      </c>
      <c r="D40" s="110" t="str">
        <f>IF($C40&lt;=Entradas!$E$124,"",Observaciones!H40)</f>
        <v/>
      </c>
      <c r="E40" s="110" t="str">
        <f>IF($C40&lt;=Entradas!$E$124,"",LíneaBase!L41)</f>
        <v/>
      </c>
      <c r="F40" s="79" t="str">
        <f>IF($C40&lt;=Entradas!$E$124,"",D40-E40)</f>
        <v/>
      </c>
      <c r="G40" s="79" t="str">
        <f>IF($C40&lt;=Entradas!$E$124,"",D40-AVERAGE(D:D))</f>
        <v/>
      </c>
      <c r="H40" s="79" t="str">
        <f>IF($C40&lt;=Entradas!$E$124,"",F40^2)</f>
        <v/>
      </c>
      <c r="I40" s="79" t="str">
        <f>IF($C40&lt;=Entradas!$E$124,"",G40^2)</f>
        <v/>
      </c>
      <c r="J40" s="79" t="str">
        <f>IF($C40&lt;=Entradas!$E$124,"",E40-AVERAGE(E:E))</f>
        <v/>
      </c>
      <c r="K40" s="79" t="str">
        <f>IF($C40&lt;=Entradas!$E$124,"",J40^2)</f>
        <v/>
      </c>
      <c r="L40" s="79" t="str">
        <f>IF($C40&lt;=Entradas!$E$124,"",G40*J40)</f>
        <v/>
      </c>
      <c r="M40" s="40"/>
    </row>
    <row r="41" spans="2:13">
      <c r="B41" s="39"/>
      <c r="C41" s="75">
        <v>36</v>
      </c>
      <c r="D41" s="110" t="str">
        <f>IF($C41&lt;=Entradas!$E$124,"",Observaciones!H41)</f>
        <v/>
      </c>
      <c r="E41" s="110" t="str">
        <f>IF($C41&lt;=Entradas!$E$124,"",LíneaBase!L42)</f>
        <v/>
      </c>
      <c r="F41" s="79" t="str">
        <f>IF($C41&lt;=Entradas!$E$124,"",D41-E41)</f>
        <v/>
      </c>
      <c r="G41" s="79" t="str">
        <f>IF($C41&lt;=Entradas!$E$124,"",D41-AVERAGE(D:D))</f>
        <v/>
      </c>
      <c r="H41" s="79" t="str">
        <f>IF($C41&lt;=Entradas!$E$124,"",F41^2)</f>
        <v/>
      </c>
      <c r="I41" s="79" t="str">
        <f>IF($C41&lt;=Entradas!$E$124,"",G41^2)</f>
        <v/>
      </c>
      <c r="J41" s="79" t="str">
        <f>IF($C41&lt;=Entradas!$E$124,"",E41-AVERAGE(E:E))</f>
        <v/>
      </c>
      <c r="K41" s="79" t="str">
        <f>IF($C41&lt;=Entradas!$E$124,"",J41^2)</f>
        <v/>
      </c>
      <c r="L41" s="79" t="str">
        <f>IF($C41&lt;=Entradas!$E$124,"",G41*J41)</f>
        <v/>
      </c>
      <c r="M41" s="40"/>
    </row>
    <row r="42" spans="2:13">
      <c r="B42" s="39"/>
      <c r="C42" s="75">
        <v>37</v>
      </c>
      <c r="D42" s="110" t="str">
        <f>IF($C42&lt;=Entradas!$E$124,"",Observaciones!H42)</f>
        <v/>
      </c>
      <c r="E42" s="110" t="str">
        <f>IF($C42&lt;=Entradas!$E$124,"",LíneaBase!L43)</f>
        <v/>
      </c>
      <c r="F42" s="79" t="str">
        <f>IF($C42&lt;=Entradas!$E$124,"",D42-E42)</f>
        <v/>
      </c>
      <c r="G42" s="79" t="str">
        <f>IF($C42&lt;=Entradas!$E$124,"",D42-AVERAGE(D:D))</f>
        <v/>
      </c>
      <c r="H42" s="79" t="str">
        <f>IF($C42&lt;=Entradas!$E$124,"",F42^2)</f>
        <v/>
      </c>
      <c r="I42" s="79" t="str">
        <f>IF($C42&lt;=Entradas!$E$124,"",G42^2)</f>
        <v/>
      </c>
      <c r="J42" s="79" t="str">
        <f>IF($C42&lt;=Entradas!$E$124,"",E42-AVERAGE(E:E))</f>
        <v/>
      </c>
      <c r="K42" s="79" t="str">
        <f>IF($C42&lt;=Entradas!$E$124,"",J42^2)</f>
        <v/>
      </c>
      <c r="L42" s="79" t="str">
        <f>IF($C42&lt;=Entradas!$E$124,"",G42*J42)</f>
        <v/>
      </c>
      <c r="M42" s="40"/>
    </row>
    <row r="43" spans="2:13">
      <c r="B43" s="39"/>
      <c r="C43" s="75">
        <v>38</v>
      </c>
      <c r="D43" s="110" t="str">
        <f>IF($C43&lt;=Entradas!$E$124,"",Observaciones!H43)</f>
        <v/>
      </c>
      <c r="E43" s="110" t="str">
        <f>IF($C43&lt;=Entradas!$E$124,"",LíneaBase!L44)</f>
        <v/>
      </c>
      <c r="F43" s="79" t="str">
        <f>IF($C43&lt;=Entradas!$E$124,"",D43-E43)</f>
        <v/>
      </c>
      <c r="G43" s="79" t="str">
        <f>IF($C43&lt;=Entradas!$E$124,"",D43-AVERAGE(D:D))</f>
        <v/>
      </c>
      <c r="H43" s="79" t="str">
        <f>IF($C43&lt;=Entradas!$E$124,"",F43^2)</f>
        <v/>
      </c>
      <c r="I43" s="79" t="str">
        <f>IF($C43&lt;=Entradas!$E$124,"",G43^2)</f>
        <v/>
      </c>
      <c r="J43" s="79" t="str">
        <f>IF($C43&lt;=Entradas!$E$124,"",E43-AVERAGE(E:E))</f>
        <v/>
      </c>
      <c r="K43" s="79" t="str">
        <f>IF($C43&lt;=Entradas!$E$124,"",J43^2)</f>
        <v/>
      </c>
      <c r="L43" s="79" t="str">
        <f>IF($C43&lt;=Entradas!$E$124,"",G43*J43)</f>
        <v/>
      </c>
      <c r="M43" s="40"/>
    </row>
    <row r="44" spans="2:13">
      <c r="B44" s="39"/>
      <c r="C44" s="75">
        <v>39</v>
      </c>
      <c r="D44" s="110" t="str">
        <f>IF($C44&lt;=Entradas!$E$124,"",Observaciones!H44)</f>
        <v/>
      </c>
      <c r="E44" s="110" t="str">
        <f>IF($C44&lt;=Entradas!$E$124,"",LíneaBase!L45)</f>
        <v/>
      </c>
      <c r="F44" s="79" t="str">
        <f>IF($C44&lt;=Entradas!$E$124,"",D44-E44)</f>
        <v/>
      </c>
      <c r="G44" s="79" t="str">
        <f>IF($C44&lt;=Entradas!$E$124,"",D44-AVERAGE(D:D))</f>
        <v/>
      </c>
      <c r="H44" s="79" t="str">
        <f>IF($C44&lt;=Entradas!$E$124,"",F44^2)</f>
        <v/>
      </c>
      <c r="I44" s="79" t="str">
        <f>IF($C44&lt;=Entradas!$E$124,"",G44^2)</f>
        <v/>
      </c>
      <c r="J44" s="79" t="str">
        <f>IF($C44&lt;=Entradas!$E$124,"",E44-AVERAGE(E:E))</f>
        <v/>
      </c>
      <c r="K44" s="79" t="str">
        <f>IF($C44&lt;=Entradas!$E$124,"",J44^2)</f>
        <v/>
      </c>
      <c r="L44" s="79" t="str">
        <f>IF($C44&lt;=Entradas!$E$124,"",G44*J44)</f>
        <v/>
      </c>
      <c r="M44" s="40"/>
    </row>
    <row r="45" spans="2:13">
      <c r="B45" s="39"/>
      <c r="C45" s="75">
        <v>40</v>
      </c>
      <c r="D45" s="110" t="str">
        <f>IF($C45&lt;=Entradas!$E$124,"",Observaciones!H45)</f>
        <v/>
      </c>
      <c r="E45" s="110" t="str">
        <f>IF($C45&lt;=Entradas!$E$124,"",LíneaBase!L46)</f>
        <v/>
      </c>
      <c r="F45" s="79" t="str">
        <f>IF($C45&lt;=Entradas!$E$124,"",D45-E45)</f>
        <v/>
      </c>
      <c r="G45" s="79" t="str">
        <f>IF($C45&lt;=Entradas!$E$124,"",D45-AVERAGE(D:D))</f>
        <v/>
      </c>
      <c r="H45" s="79" t="str">
        <f>IF($C45&lt;=Entradas!$E$124,"",F45^2)</f>
        <v/>
      </c>
      <c r="I45" s="79" t="str">
        <f>IF($C45&lt;=Entradas!$E$124,"",G45^2)</f>
        <v/>
      </c>
      <c r="J45" s="79" t="str">
        <f>IF($C45&lt;=Entradas!$E$124,"",E45-AVERAGE(E:E))</f>
        <v/>
      </c>
      <c r="K45" s="79" t="str">
        <f>IF($C45&lt;=Entradas!$E$124,"",J45^2)</f>
        <v/>
      </c>
      <c r="L45" s="79" t="str">
        <f>IF($C45&lt;=Entradas!$E$124,"",G45*J45)</f>
        <v/>
      </c>
      <c r="M45" s="40"/>
    </row>
    <row r="46" spans="2:13">
      <c r="B46" s="39"/>
      <c r="C46" s="75">
        <v>41</v>
      </c>
      <c r="D46" s="110" t="str">
        <f>IF($C46&lt;=Entradas!$E$124,"",Observaciones!H46)</f>
        <v/>
      </c>
      <c r="E46" s="110" t="str">
        <f>IF($C46&lt;=Entradas!$E$124,"",LíneaBase!L47)</f>
        <v/>
      </c>
      <c r="F46" s="79" t="str">
        <f>IF($C46&lt;=Entradas!$E$124,"",D46-E46)</f>
        <v/>
      </c>
      <c r="G46" s="79" t="str">
        <f>IF($C46&lt;=Entradas!$E$124,"",D46-AVERAGE(D:D))</f>
        <v/>
      </c>
      <c r="H46" s="79" t="str">
        <f>IF($C46&lt;=Entradas!$E$124,"",F46^2)</f>
        <v/>
      </c>
      <c r="I46" s="79" t="str">
        <f>IF($C46&lt;=Entradas!$E$124,"",G46^2)</f>
        <v/>
      </c>
      <c r="J46" s="79" t="str">
        <f>IF($C46&lt;=Entradas!$E$124,"",E46-AVERAGE(E:E))</f>
        <v/>
      </c>
      <c r="K46" s="79" t="str">
        <f>IF($C46&lt;=Entradas!$E$124,"",J46^2)</f>
        <v/>
      </c>
      <c r="L46" s="79" t="str">
        <f>IF($C46&lt;=Entradas!$E$124,"",G46*J46)</f>
        <v/>
      </c>
      <c r="M46" s="40"/>
    </row>
    <row r="47" spans="2:13">
      <c r="B47" s="39"/>
      <c r="C47" s="75">
        <v>42</v>
      </c>
      <c r="D47" s="110" t="str">
        <f>IF($C47&lt;=Entradas!$E$124,"",Observaciones!H47)</f>
        <v/>
      </c>
      <c r="E47" s="110" t="str">
        <f>IF($C47&lt;=Entradas!$E$124,"",LíneaBase!L48)</f>
        <v/>
      </c>
      <c r="F47" s="79" t="str">
        <f>IF($C47&lt;=Entradas!$E$124,"",D47-E47)</f>
        <v/>
      </c>
      <c r="G47" s="79" t="str">
        <f>IF($C47&lt;=Entradas!$E$124,"",D47-AVERAGE(D:D))</f>
        <v/>
      </c>
      <c r="H47" s="79" t="str">
        <f>IF($C47&lt;=Entradas!$E$124,"",F47^2)</f>
        <v/>
      </c>
      <c r="I47" s="79" t="str">
        <f>IF($C47&lt;=Entradas!$E$124,"",G47^2)</f>
        <v/>
      </c>
      <c r="J47" s="79" t="str">
        <f>IF($C47&lt;=Entradas!$E$124,"",E47-AVERAGE(E:E))</f>
        <v/>
      </c>
      <c r="K47" s="79" t="str">
        <f>IF($C47&lt;=Entradas!$E$124,"",J47^2)</f>
        <v/>
      </c>
      <c r="L47" s="79" t="str">
        <f>IF($C47&lt;=Entradas!$E$124,"",G47*J47)</f>
        <v/>
      </c>
      <c r="M47" s="40"/>
    </row>
    <row r="48" spans="2:13">
      <c r="B48" s="39"/>
      <c r="C48" s="75">
        <v>43</v>
      </c>
      <c r="D48" s="110" t="str">
        <f>IF($C48&lt;=Entradas!$E$124,"",Observaciones!H48)</f>
        <v/>
      </c>
      <c r="E48" s="110" t="str">
        <f>IF($C48&lt;=Entradas!$E$124,"",LíneaBase!L49)</f>
        <v/>
      </c>
      <c r="F48" s="79" t="str">
        <f>IF($C48&lt;=Entradas!$E$124,"",D48-E48)</f>
        <v/>
      </c>
      <c r="G48" s="79" t="str">
        <f>IF($C48&lt;=Entradas!$E$124,"",D48-AVERAGE(D:D))</f>
        <v/>
      </c>
      <c r="H48" s="79" t="str">
        <f>IF($C48&lt;=Entradas!$E$124,"",F48^2)</f>
        <v/>
      </c>
      <c r="I48" s="79" t="str">
        <f>IF($C48&lt;=Entradas!$E$124,"",G48^2)</f>
        <v/>
      </c>
      <c r="J48" s="79" t="str">
        <f>IF($C48&lt;=Entradas!$E$124,"",E48-AVERAGE(E:E))</f>
        <v/>
      </c>
      <c r="K48" s="79" t="str">
        <f>IF($C48&lt;=Entradas!$E$124,"",J48^2)</f>
        <v/>
      </c>
      <c r="L48" s="79" t="str">
        <f>IF($C48&lt;=Entradas!$E$124,"",G48*J48)</f>
        <v/>
      </c>
      <c r="M48" s="40"/>
    </row>
    <row r="49" spans="2:13">
      <c r="B49" s="39"/>
      <c r="C49" s="75">
        <v>44</v>
      </c>
      <c r="D49" s="110" t="str">
        <f>IF($C49&lt;=Entradas!$E$124,"",Observaciones!H49)</f>
        <v/>
      </c>
      <c r="E49" s="110" t="str">
        <f>IF($C49&lt;=Entradas!$E$124,"",LíneaBase!L50)</f>
        <v/>
      </c>
      <c r="F49" s="79" t="str">
        <f>IF($C49&lt;=Entradas!$E$124,"",D49-E49)</f>
        <v/>
      </c>
      <c r="G49" s="79" t="str">
        <f>IF($C49&lt;=Entradas!$E$124,"",D49-AVERAGE(D:D))</f>
        <v/>
      </c>
      <c r="H49" s="79" t="str">
        <f>IF($C49&lt;=Entradas!$E$124,"",F49^2)</f>
        <v/>
      </c>
      <c r="I49" s="79" t="str">
        <f>IF($C49&lt;=Entradas!$E$124,"",G49^2)</f>
        <v/>
      </c>
      <c r="J49" s="79" t="str">
        <f>IF($C49&lt;=Entradas!$E$124,"",E49-AVERAGE(E:E))</f>
        <v/>
      </c>
      <c r="K49" s="79" t="str">
        <f>IF($C49&lt;=Entradas!$E$124,"",J49^2)</f>
        <v/>
      </c>
      <c r="L49" s="79" t="str">
        <f>IF($C49&lt;=Entradas!$E$124,"",G49*J49)</f>
        <v/>
      </c>
      <c r="M49" s="40"/>
    </row>
    <row r="50" spans="2:13">
      <c r="B50" s="39"/>
      <c r="C50" s="75">
        <v>45</v>
      </c>
      <c r="D50" s="110" t="str">
        <f>IF($C50&lt;=Entradas!$E$124,"",Observaciones!H50)</f>
        <v/>
      </c>
      <c r="E50" s="110" t="str">
        <f>IF($C50&lt;=Entradas!$E$124,"",LíneaBase!L51)</f>
        <v/>
      </c>
      <c r="F50" s="79" t="str">
        <f>IF($C50&lt;=Entradas!$E$124,"",D50-E50)</f>
        <v/>
      </c>
      <c r="G50" s="79" t="str">
        <f>IF($C50&lt;=Entradas!$E$124,"",D50-AVERAGE(D:D))</f>
        <v/>
      </c>
      <c r="H50" s="79" t="str">
        <f>IF($C50&lt;=Entradas!$E$124,"",F50^2)</f>
        <v/>
      </c>
      <c r="I50" s="79" t="str">
        <f>IF($C50&lt;=Entradas!$E$124,"",G50^2)</f>
        <v/>
      </c>
      <c r="J50" s="79" t="str">
        <f>IF($C50&lt;=Entradas!$E$124,"",E50-AVERAGE(E:E))</f>
        <v/>
      </c>
      <c r="K50" s="79" t="str">
        <f>IF($C50&lt;=Entradas!$E$124,"",J50^2)</f>
        <v/>
      </c>
      <c r="L50" s="79" t="str">
        <f>IF($C50&lt;=Entradas!$E$124,"",G50*J50)</f>
        <v/>
      </c>
      <c r="M50" s="40"/>
    </row>
    <row r="51" spans="2:13">
      <c r="B51" s="39"/>
      <c r="C51" s="75">
        <v>46</v>
      </c>
      <c r="D51" s="110" t="str">
        <f>IF($C51&lt;=Entradas!$E$124,"",Observaciones!H51)</f>
        <v/>
      </c>
      <c r="E51" s="110" t="str">
        <f>IF($C51&lt;=Entradas!$E$124,"",LíneaBase!L52)</f>
        <v/>
      </c>
      <c r="F51" s="79" t="str">
        <f>IF($C51&lt;=Entradas!$E$124,"",D51-E51)</f>
        <v/>
      </c>
      <c r="G51" s="79" t="str">
        <f>IF($C51&lt;=Entradas!$E$124,"",D51-AVERAGE(D:D))</f>
        <v/>
      </c>
      <c r="H51" s="79" t="str">
        <f>IF($C51&lt;=Entradas!$E$124,"",F51^2)</f>
        <v/>
      </c>
      <c r="I51" s="79" t="str">
        <f>IF($C51&lt;=Entradas!$E$124,"",G51^2)</f>
        <v/>
      </c>
      <c r="J51" s="79" t="str">
        <f>IF($C51&lt;=Entradas!$E$124,"",E51-AVERAGE(E:E))</f>
        <v/>
      </c>
      <c r="K51" s="79" t="str">
        <f>IF($C51&lt;=Entradas!$E$124,"",J51^2)</f>
        <v/>
      </c>
      <c r="L51" s="79" t="str">
        <f>IF($C51&lt;=Entradas!$E$124,"",G51*J51)</f>
        <v/>
      </c>
      <c r="M51" s="40"/>
    </row>
    <row r="52" spans="2:13">
      <c r="B52" s="39"/>
      <c r="C52" s="75">
        <v>47</v>
      </c>
      <c r="D52" s="110" t="str">
        <f>IF($C52&lt;=Entradas!$E$124,"",Observaciones!H52)</f>
        <v/>
      </c>
      <c r="E52" s="110" t="str">
        <f>IF($C52&lt;=Entradas!$E$124,"",LíneaBase!L53)</f>
        <v/>
      </c>
      <c r="F52" s="79" t="str">
        <f>IF($C52&lt;=Entradas!$E$124,"",D52-E52)</f>
        <v/>
      </c>
      <c r="G52" s="79" t="str">
        <f>IF($C52&lt;=Entradas!$E$124,"",D52-AVERAGE(D:D))</f>
        <v/>
      </c>
      <c r="H52" s="79" t="str">
        <f>IF($C52&lt;=Entradas!$E$124,"",F52^2)</f>
        <v/>
      </c>
      <c r="I52" s="79" t="str">
        <f>IF($C52&lt;=Entradas!$E$124,"",G52^2)</f>
        <v/>
      </c>
      <c r="J52" s="79" t="str">
        <f>IF($C52&lt;=Entradas!$E$124,"",E52-AVERAGE(E:E))</f>
        <v/>
      </c>
      <c r="K52" s="79" t="str">
        <f>IF($C52&lt;=Entradas!$E$124,"",J52^2)</f>
        <v/>
      </c>
      <c r="L52" s="79" t="str">
        <f>IF($C52&lt;=Entradas!$E$124,"",G52*J52)</f>
        <v/>
      </c>
      <c r="M52" s="40"/>
    </row>
    <row r="53" spans="2:13">
      <c r="B53" s="39"/>
      <c r="C53" s="75">
        <v>48</v>
      </c>
      <c r="D53" s="110" t="str">
        <f>IF($C53&lt;=Entradas!$E$124,"",Observaciones!H53)</f>
        <v/>
      </c>
      <c r="E53" s="110" t="str">
        <f>IF($C53&lt;=Entradas!$E$124,"",LíneaBase!L54)</f>
        <v/>
      </c>
      <c r="F53" s="79" t="str">
        <f>IF($C53&lt;=Entradas!$E$124,"",D53-E53)</f>
        <v/>
      </c>
      <c r="G53" s="79" t="str">
        <f>IF($C53&lt;=Entradas!$E$124,"",D53-AVERAGE(D:D))</f>
        <v/>
      </c>
      <c r="H53" s="79" t="str">
        <f>IF($C53&lt;=Entradas!$E$124,"",F53^2)</f>
        <v/>
      </c>
      <c r="I53" s="79" t="str">
        <f>IF($C53&lt;=Entradas!$E$124,"",G53^2)</f>
        <v/>
      </c>
      <c r="J53" s="79" t="str">
        <f>IF($C53&lt;=Entradas!$E$124,"",E53-AVERAGE(E:E))</f>
        <v/>
      </c>
      <c r="K53" s="79" t="str">
        <f>IF($C53&lt;=Entradas!$E$124,"",J53^2)</f>
        <v/>
      </c>
      <c r="L53" s="79" t="str">
        <f>IF($C53&lt;=Entradas!$E$124,"",G53*J53)</f>
        <v/>
      </c>
      <c r="M53" s="40"/>
    </row>
    <row r="54" spans="2:13">
      <c r="B54" s="39"/>
      <c r="C54" s="75">
        <v>49</v>
      </c>
      <c r="D54" s="110" t="str">
        <f>IF($C54&lt;=Entradas!$E$124,"",Observaciones!H54)</f>
        <v/>
      </c>
      <c r="E54" s="110" t="str">
        <f>IF($C54&lt;=Entradas!$E$124,"",LíneaBase!L55)</f>
        <v/>
      </c>
      <c r="F54" s="79" t="str">
        <f>IF($C54&lt;=Entradas!$E$124,"",D54-E54)</f>
        <v/>
      </c>
      <c r="G54" s="79" t="str">
        <f>IF($C54&lt;=Entradas!$E$124,"",D54-AVERAGE(D:D))</f>
        <v/>
      </c>
      <c r="H54" s="79" t="str">
        <f>IF($C54&lt;=Entradas!$E$124,"",F54^2)</f>
        <v/>
      </c>
      <c r="I54" s="79" t="str">
        <f>IF($C54&lt;=Entradas!$E$124,"",G54^2)</f>
        <v/>
      </c>
      <c r="J54" s="79" t="str">
        <f>IF($C54&lt;=Entradas!$E$124,"",E54-AVERAGE(E:E))</f>
        <v/>
      </c>
      <c r="K54" s="79" t="str">
        <f>IF($C54&lt;=Entradas!$E$124,"",J54^2)</f>
        <v/>
      </c>
      <c r="L54" s="79" t="str">
        <f>IF($C54&lt;=Entradas!$E$124,"",G54*J54)</f>
        <v/>
      </c>
      <c r="M54" s="40"/>
    </row>
    <row r="55" spans="2:13">
      <c r="B55" s="39"/>
      <c r="C55" s="75">
        <v>50</v>
      </c>
      <c r="D55" s="110" t="str">
        <f>IF($C55&lt;=Entradas!$E$124,"",Observaciones!H55)</f>
        <v/>
      </c>
      <c r="E55" s="110" t="str">
        <f>IF($C55&lt;=Entradas!$E$124,"",LíneaBase!L56)</f>
        <v/>
      </c>
      <c r="F55" s="79" t="str">
        <f>IF($C55&lt;=Entradas!$E$124,"",D55-E55)</f>
        <v/>
      </c>
      <c r="G55" s="79" t="str">
        <f>IF($C55&lt;=Entradas!$E$124,"",D55-AVERAGE(D:D))</f>
        <v/>
      </c>
      <c r="H55" s="79" t="str">
        <f>IF($C55&lt;=Entradas!$E$124,"",F55^2)</f>
        <v/>
      </c>
      <c r="I55" s="79" t="str">
        <f>IF($C55&lt;=Entradas!$E$124,"",G55^2)</f>
        <v/>
      </c>
      <c r="J55" s="79" t="str">
        <f>IF($C55&lt;=Entradas!$E$124,"",E55-AVERAGE(E:E))</f>
        <v/>
      </c>
      <c r="K55" s="79" t="str">
        <f>IF($C55&lt;=Entradas!$E$124,"",J55^2)</f>
        <v/>
      </c>
      <c r="L55" s="79" t="str">
        <f>IF($C55&lt;=Entradas!$E$124,"",G55*J55)</f>
        <v/>
      </c>
      <c r="M55" s="40"/>
    </row>
    <row r="56" spans="2:13">
      <c r="B56" s="39"/>
      <c r="C56" s="75">
        <v>51</v>
      </c>
      <c r="D56" s="110" t="str">
        <f>IF($C56&lt;=Entradas!$E$124,"",Observaciones!H56)</f>
        <v/>
      </c>
      <c r="E56" s="110" t="str">
        <f>IF($C56&lt;=Entradas!$E$124,"",LíneaBase!L57)</f>
        <v/>
      </c>
      <c r="F56" s="79" t="str">
        <f>IF($C56&lt;=Entradas!$E$124,"",D56-E56)</f>
        <v/>
      </c>
      <c r="G56" s="79" t="str">
        <f>IF($C56&lt;=Entradas!$E$124,"",D56-AVERAGE(D:D))</f>
        <v/>
      </c>
      <c r="H56" s="79" t="str">
        <f>IF($C56&lt;=Entradas!$E$124,"",F56^2)</f>
        <v/>
      </c>
      <c r="I56" s="79" t="str">
        <f>IF($C56&lt;=Entradas!$E$124,"",G56^2)</f>
        <v/>
      </c>
      <c r="J56" s="79" t="str">
        <f>IF($C56&lt;=Entradas!$E$124,"",E56-AVERAGE(E:E))</f>
        <v/>
      </c>
      <c r="K56" s="79" t="str">
        <f>IF($C56&lt;=Entradas!$E$124,"",J56^2)</f>
        <v/>
      </c>
      <c r="L56" s="79" t="str">
        <f>IF($C56&lt;=Entradas!$E$124,"",G56*J56)</f>
        <v/>
      </c>
      <c r="M56" s="40"/>
    </row>
    <row r="57" spans="2:13">
      <c r="B57" s="39"/>
      <c r="C57" s="75">
        <v>52</v>
      </c>
      <c r="D57" s="110" t="str">
        <f>IF($C57&lt;=Entradas!$E$124,"",Observaciones!H57)</f>
        <v/>
      </c>
      <c r="E57" s="110" t="str">
        <f>IF($C57&lt;=Entradas!$E$124,"",LíneaBase!L58)</f>
        <v/>
      </c>
      <c r="F57" s="79" t="str">
        <f>IF($C57&lt;=Entradas!$E$124,"",D57-E57)</f>
        <v/>
      </c>
      <c r="G57" s="79" t="str">
        <f>IF($C57&lt;=Entradas!$E$124,"",D57-AVERAGE(D:D))</f>
        <v/>
      </c>
      <c r="H57" s="79" t="str">
        <f>IF($C57&lt;=Entradas!$E$124,"",F57^2)</f>
        <v/>
      </c>
      <c r="I57" s="79" t="str">
        <f>IF($C57&lt;=Entradas!$E$124,"",G57^2)</f>
        <v/>
      </c>
      <c r="J57" s="79" t="str">
        <f>IF($C57&lt;=Entradas!$E$124,"",E57-AVERAGE(E:E))</f>
        <v/>
      </c>
      <c r="K57" s="79" t="str">
        <f>IF($C57&lt;=Entradas!$E$124,"",J57^2)</f>
        <v/>
      </c>
      <c r="L57" s="79" t="str">
        <f>IF($C57&lt;=Entradas!$E$124,"",G57*J57)</f>
        <v/>
      </c>
      <c r="M57" s="40"/>
    </row>
    <row r="58" spans="2:13">
      <c r="B58" s="39"/>
      <c r="C58" s="75">
        <v>53</v>
      </c>
      <c r="D58" s="110" t="str">
        <f>IF($C58&lt;=Entradas!$E$124,"",Observaciones!H58)</f>
        <v/>
      </c>
      <c r="E58" s="110" t="str">
        <f>IF($C58&lt;=Entradas!$E$124,"",LíneaBase!L59)</f>
        <v/>
      </c>
      <c r="F58" s="79" t="str">
        <f>IF($C58&lt;=Entradas!$E$124,"",D58-E58)</f>
        <v/>
      </c>
      <c r="G58" s="79" t="str">
        <f>IF($C58&lt;=Entradas!$E$124,"",D58-AVERAGE(D:D))</f>
        <v/>
      </c>
      <c r="H58" s="79" t="str">
        <f>IF($C58&lt;=Entradas!$E$124,"",F58^2)</f>
        <v/>
      </c>
      <c r="I58" s="79" t="str">
        <f>IF($C58&lt;=Entradas!$E$124,"",G58^2)</f>
        <v/>
      </c>
      <c r="J58" s="79" t="str">
        <f>IF($C58&lt;=Entradas!$E$124,"",E58-AVERAGE(E:E))</f>
        <v/>
      </c>
      <c r="K58" s="79" t="str">
        <f>IF($C58&lt;=Entradas!$E$124,"",J58^2)</f>
        <v/>
      </c>
      <c r="L58" s="79" t="str">
        <f>IF($C58&lt;=Entradas!$E$124,"",G58*J58)</f>
        <v/>
      </c>
      <c r="M58" s="40"/>
    </row>
    <row r="59" spans="2:13">
      <c r="B59" s="39"/>
      <c r="C59" s="75">
        <v>54</v>
      </c>
      <c r="D59" s="110" t="str">
        <f>IF($C59&lt;=Entradas!$E$124,"",Observaciones!H59)</f>
        <v/>
      </c>
      <c r="E59" s="110" t="str">
        <f>IF($C59&lt;=Entradas!$E$124,"",LíneaBase!L60)</f>
        <v/>
      </c>
      <c r="F59" s="79" t="str">
        <f>IF($C59&lt;=Entradas!$E$124,"",D59-E59)</f>
        <v/>
      </c>
      <c r="G59" s="79" t="str">
        <f>IF($C59&lt;=Entradas!$E$124,"",D59-AVERAGE(D:D))</f>
        <v/>
      </c>
      <c r="H59" s="79" t="str">
        <f>IF($C59&lt;=Entradas!$E$124,"",F59^2)</f>
        <v/>
      </c>
      <c r="I59" s="79" t="str">
        <f>IF($C59&lt;=Entradas!$E$124,"",G59^2)</f>
        <v/>
      </c>
      <c r="J59" s="79" t="str">
        <f>IF($C59&lt;=Entradas!$E$124,"",E59-AVERAGE(E:E))</f>
        <v/>
      </c>
      <c r="K59" s="79" t="str">
        <f>IF($C59&lt;=Entradas!$E$124,"",J59^2)</f>
        <v/>
      </c>
      <c r="L59" s="79" t="str">
        <f>IF($C59&lt;=Entradas!$E$124,"",G59*J59)</f>
        <v/>
      </c>
      <c r="M59" s="40"/>
    </row>
    <row r="60" spans="2:13">
      <c r="B60" s="39"/>
      <c r="C60" s="75">
        <v>55</v>
      </c>
      <c r="D60" s="110" t="str">
        <f>IF($C60&lt;=Entradas!$E$124,"",Observaciones!H60)</f>
        <v/>
      </c>
      <c r="E60" s="110" t="str">
        <f>IF($C60&lt;=Entradas!$E$124,"",LíneaBase!L61)</f>
        <v/>
      </c>
      <c r="F60" s="79" t="str">
        <f>IF($C60&lt;=Entradas!$E$124,"",D60-E60)</f>
        <v/>
      </c>
      <c r="G60" s="79" t="str">
        <f>IF($C60&lt;=Entradas!$E$124,"",D60-AVERAGE(D:D))</f>
        <v/>
      </c>
      <c r="H60" s="79" t="str">
        <f>IF($C60&lt;=Entradas!$E$124,"",F60^2)</f>
        <v/>
      </c>
      <c r="I60" s="79" t="str">
        <f>IF($C60&lt;=Entradas!$E$124,"",G60^2)</f>
        <v/>
      </c>
      <c r="J60" s="79" t="str">
        <f>IF($C60&lt;=Entradas!$E$124,"",E60-AVERAGE(E:E))</f>
        <v/>
      </c>
      <c r="K60" s="79" t="str">
        <f>IF($C60&lt;=Entradas!$E$124,"",J60^2)</f>
        <v/>
      </c>
      <c r="L60" s="79" t="str">
        <f>IF($C60&lt;=Entradas!$E$124,"",G60*J60)</f>
        <v/>
      </c>
      <c r="M60" s="40"/>
    </row>
    <row r="61" spans="2:13">
      <c r="B61" s="39"/>
      <c r="C61" s="75">
        <v>56</v>
      </c>
      <c r="D61" s="110" t="str">
        <f>IF($C61&lt;=Entradas!$E$124,"",Observaciones!H61)</f>
        <v/>
      </c>
      <c r="E61" s="110" t="str">
        <f>IF($C61&lt;=Entradas!$E$124,"",LíneaBase!L62)</f>
        <v/>
      </c>
      <c r="F61" s="79" t="str">
        <f>IF($C61&lt;=Entradas!$E$124,"",D61-E61)</f>
        <v/>
      </c>
      <c r="G61" s="79" t="str">
        <f>IF($C61&lt;=Entradas!$E$124,"",D61-AVERAGE(D:D))</f>
        <v/>
      </c>
      <c r="H61" s="79" t="str">
        <f>IF($C61&lt;=Entradas!$E$124,"",F61^2)</f>
        <v/>
      </c>
      <c r="I61" s="79" t="str">
        <f>IF($C61&lt;=Entradas!$E$124,"",G61^2)</f>
        <v/>
      </c>
      <c r="J61" s="79" t="str">
        <f>IF($C61&lt;=Entradas!$E$124,"",E61-AVERAGE(E:E))</f>
        <v/>
      </c>
      <c r="K61" s="79" t="str">
        <f>IF($C61&lt;=Entradas!$E$124,"",J61^2)</f>
        <v/>
      </c>
      <c r="L61" s="79" t="str">
        <f>IF($C61&lt;=Entradas!$E$124,"",G61*J61)</f>
        <v/>
      </c>
      <c r="M61" s="40"/>
    </row>
    <row r="62" spans="2:13">
      <c r="B62" s="39"/>
      <c r="C62" s="75">
        <v>57</v>
      </c>
      <c r="D62" s="110" t="str">
        <f>IF($C62&lt;=Entradas!$E$124,"",Observaciones!H62)</f>
        <v/>
      </c>
      <c r="E62" s="110" t="str">
        <f>IF($C62&lt;=Entradas!$E$124,"",LíneaBase!L63)</f>
        <v/>
      </c>
      <c r="F62" s="79" t="str">
        <f>IF($C62&lt;=Entradas!$E$124,"",D62-E62)</f>
        <v/>
      </c>
      <c r="G62" s="79" t="str">
        <f>IF($C62&lt;=Entradas!$E$124,"",D62-AVERAGE(D:D))</f>
        <v/>
      </c>
      <c r="H62" s="79" t="str">
        <f>IF($C62&lt;=Entradas!$E$124,"",F62^2)</f>
        <v/>
      </c>
      <c r="I62" s="79" t="str">
        <f>IF($C62&lt;=Entradas!$E$124,"",G62^2)</f>
        <v/>
      </c>
      <c r="J62" s="79" t="str">
        <f>IF($C62&lt;=Entradas!$E$124,"",E62-AVERAGE(E:E))</f>
        <v/>
      </c>
      <c r="K62" s="79" t="str">
        <f>IF($C62&lt;=Entradas!$E$124,"",J62^2)</f>
        <v/>
      </c>
      <c r="L62" s="79" t="str">
        <f>IF($C62&lt;=Entradas!$E$124,"",G62*J62)</f>
        <v/>
      </c>
      <c r="M62" s="40"/>
    </row>
    <row r="63" spans="2:13">
      <c r="B63" s="39"/>
      <c r="C63" s="75">
        <v>58</v>
      </c>
      <c r="D63" s="110" t="str">
        <f>IF($C63&lt;=Entradas!$E$124,"",Observaciones!H63)</f>
        <v/>
      </c>
      <c r="E63" s="110" t="str">
        <f>IF($C63&lt;=Entradas!$E$124,"",LíneaBase!L64)</f>
        <v/>
      </c>
      <c r="F63" s="79" t="str">
        <f>IF($C63&lt;=Entradas!$E$124,"",D63-E63)</f>
        <v/>
      </c>
      <c r="G63" s="79" t="str">
        <f>IF($C63&lt;=Entradas!$E$124,"",D63-AVERAGE(D:D))</f>
        <v/>
      </c>
      <c r="H63" s="79" t="str">
        <f>IF($C63&lt;=Entradas!$E$124,"",F63^2)</f>
        <v/>
      </c>
      <c r="I63" s="79" t="str">
        <f>IF($C63&lt;=Entradas!$E$124,"",G63^2)</f>
        <v/>
      </c>
      <c r="J63" s="79" t="str">
        <f>IF($C63&lt;=Entradas!$E$124,"",E63-AVERAGE(E:E))</f>
        <v/>
      </c>
      <c r="K63" s="79" t="str">
        <f>IF($C63&lt;=Entradas!$E$124,"",J63^2)</f>
        <v/>
      </c>
      <c r="L63" s="79" t="str">
        <f>IF($C63&lt;=Entradas!$E$124,"",G63*J63)</f>
        <v/>
      </c>
      <c r="M63" s="40"/>
    </row>
    <row r="64" spans="2:13">
      <c r="B64" s="39"/>
      <c r="C64" s="75">
        <v>59</v>
      </c>
      <c r="D64" s="110" t="str">
        <f>IF($C64&lt;=Entradas!$E$124,"",Observaciones!H64)</f>
        <v/>
      </c>
      <c r="E64" s="110" t="str">
        <f>IF($C64&lt;=Entradas!$E$124,"",LíneaBase!L65)</f>
        <v/>
      </c>
      <c r="F64" s="79" t="str">
        <f>IF($C64&lt;=Entradas!$E$124,"",D64-E64)</f>
        <v/>
      </c>
      <c r="G64" s="79" t="str">
        <f>IF($C64&lt;=Entradas!$E$124,"",D64-AVERAGE(D:D))</f>
        <v/>
      </c>
      <c r="H64" s="79" t="str">
        <f>IF($C64&lt;=Entradas!$E$124,"",F64^2)</f>
        <v/>
      </c>
      <c r="I64" s="79" t="str">
        <f>IF($C64&lt;=Entradas!$E$124,"",G64^2)</f>
        <v/>
      </c>
      <c r="J64" s="79" t="str">
        <f>IF($C64&lt;=Entradas!$E$124,"",E64-AVERAGE(E:E))</f>
        <v/>
      </c>
      <c r="K64" s="79" t="str">
        <f>IF($C64&lt;=Entradas!$E$124,"",J64^2)</f>
        <v/>
      </c>
      <c r="L64" s="79" t="str">
        <f>IF($C64&lt;=Entradas!$E$124,"",G64*J64)</f>
        <v/>
      </c>
      <c r="M64" s="40"/>
    </row>
    <row r="65" spans="2:13">
      <c r="B65" s="39"/>
      <c r="C65" s="75">
        <v>60</v>
      </c>
      <c r="D65" s="110" t="str">
        <f>IF($C65&lt;=Entradas!$E$124,"",Observaciones!H65)</f>
        <v/>
      </c>
      <c r="E65" s="110" t="str">
        <f>IF($C65&lt;=Entradas!$E$124,"",LíneaBase!L66)</f>
        <v/>
      </c>
      <c r="F65" s="79" t="str">
        <f>IF($C65&lt;=Entradas!$E$124,"",D65-E65)</f>
        <v/>
      </c>
      <c r="G65" s="79" t="str">
        <f>IF($C65&lt;=Entradas!$E$124,"",D65-AVERAGE(D:D))</f>
        <v/>
      </c>
      <c r="H65" s="79" t="str">
        <f>IF($C65&lt;=Entradas!$E$124,"",F65^2)</f>
        <v/>
      </c>
      <c r="I65" s="79" t="str">
        <f>IF($C65&lt;=Entradas!$E$124,"",G65^2)</f>
        <v/>
      </c>
      <c r="J65" s="79" t="str">
        <f>IF($C65&lt;=Entradas!$E$124,"",E65-AVERAGE(E:E))</f>
        <v/>
      </c>
      <c r="K65" s="79" t="str">
        <f>IF($C65&lt;=Entradas!$E$124,"",J65^2)</f>
        <v/>
      </c>
      <c r="L65" s="79" t="str">
        <f>IF($C65&lt;=Entradas!$E$124,"",G65*J65)</f>
        <v/>
      </c>
      <c r="M65" s="40"/>
    </row>
    <row r="66" spans="2:13">
      <c r="B66" s="39"/>
      <c r="C66" s="75">
        <v>61</v>
      </c>
      <c r="D66" s="110">
        <f>IF($C66&lt;=Entradas!$E$124,"",Observaciones!H66)</f>
        <v>1.6562901632511569</v>
      </c>
      <c r="E66" s="110">
        <f>IF($C66&lt;=Entradas!$E$124,"",LíneaBase!L67)</f>
        <v>1.5690351038139871</v>
      </c>
      <c r="F66" s="79">
        <f>IF($C66&lt;=Entradas!$E$124,"",D66-E66)</f>
        <v>8.7255059437169713E-2</v>
      </c>
      <c r="G66" s="79">
        <f>IF($C66&lt;=Entradas!$E$124,"",D66-AVERAGE(D:D))</f>
        <v>0.75019148105767863</v>
      </c>
      <c r="H66" s="79">
        <f>IF($C66&lt;=Entradas!$E$124,"",F66^2)</f>
        <v>7.6134453973840197E-3</v>
      </c>
      <c r="I66" s="79">
        <f>IF($C66&lt;=Entradas!$E$124,"",G66^2)</f>
        <v>0.56278725825151343</v>
      </c>
      <c r="J66" s="79">
        <f>IF($C66&lt;=Entradas!$E$124,"",E66-AVERAGE(E:E))</f>
        <v>0.67345424001686927</v>
      </c>
      <c r="K66" s="79">
        <f>IF($C66&lt;=Entradas!$E$124,"",J66^2)</f>
        <v>0.45354061339669893</v>
      </c>
      <c r="L66" s="79">
        <f>IF($C66&lt;=Entradas!$E$124,"",G66*J66)</f>
        <v>0.50521963374282852</v>
      </c>
      <c r="M66" s="40"/>
    </row>
    <row r="67" spans="2:13">
      <c r="B67" s="39"/>
      <c r="C67" s="75">
        <v>62</v>
      </c>
      <c r="D67" s="110">
        <f>IF($C67&lt;=Entradas!$E$124,"",Observaciones!H67)</f>
        <v>1.554571674700465</v>
      </c>
      <c r="E67" s="110">
        <f>IF($C67&lt;=Entradas!$E$124,"",LíneaBase!L68)</f>
        <v>1.4648322645420859</v>
      </c>
      <c r="F67" s="79">
        <f>IF($C67&lt;=Entradas!$E$124,"",D67-E67)</f>
        <v>8.9739410158379052E-2</v>
      </c>
      <c r="G67" s="79">
        <f>IF($C67&lt;=Entradas!$E$124,"",D67-AVERAGE(D:D))</f>
        <v>0.64847299250698676</v>
      </c>
      <c r="H67" s="79">
        <f>IF($C67&lt;=Entradas!$E$124,"",F67^2)</f>
        <v>8.0531617355737856E-3</v>
      </c>
      <c r="I67" s="79">
        <f>IF($C67&lt;=Entradas!$E$124,"",G67^2)</f>
        <v>0.42051722201096653</v>
      </c>
      <c r="J67" s="79">
        <f>IF($C67&lt;=Entradas!$E$124,"",E67-AVERAGE(E:E))</f>
        <v>0.56925140074496805</v>
      </c>
      <c r="K67" s="79">
        <f>IF($C67&lt;=Entradas!$E$124,"",J67^2)</f>
        <v>0.32404715725010819</v>
      </c>
      <c r="L67" s="79">
        <f>IF($C67&lt;=Entradas!$E$124,"",G67*J67)</f>
        <v>0.36914415932988337</v>
      </c>
      <c r="M67" s="40"/>
    </row>
    <row r="68" spans="2:13">
      <c r="B68" s="39"/>
      <c r="C68" s="75">
        <v>63</v>
      </c>
      <c r="D68" s="110">
        <f>IF($C68&lt;=Entradas!$E$124,"",Observaciones!H68)</f>
        <v>1.5436649264345652</v>
      </c>
      <c r="E68" s="110">
        <f>IF($C68&lt;=Entradas!$E$124,"",LíneaBase!L69)</f>
        <v>1.4515137819343895</v>
      </c>
      <c r="F68" s="79">
        <f>IF($C68&lt;=Entradas!$E$124,"",D68-E68)</f>
        <v>9.2151144500175697E-2</v>
      </c>
      <c r="G68" s="79">
        <f>IF($C68&lt;=Entradas!$E$124,"",D68-AVERAGE(D:D))</f>
        <v>0.63756624424108699</v>
      </c>
      <c r="H68" s="79">
        <f>IF($C68&lt;=Entradas!$E$124,"",F68^2)</f>
        <v>8.4918334326922612E-3</v>
      </c>
      <c r="I68" s="79">
        <f>IF($C68&lt;=Entradas!$E$124,"",G68^2)</f>
        <v>0.40649071579568541</v>
      </c>
      <c r="J68" s="79">
        <f>IF($C68&lt;=Entradas!$E$124,"",E68-AVERAGE(E:E))</f>
        <v>0.55593291813727164</v>
      </c>
      <c r="K68" s="79">
        <f>IF($C68&lt;=Entradas!$E$124,"",J68^2)</f>
        <v>0.30906140946862237</v>
      </c>
      <c r="L68" s="79">
        <f>IF($C68&lt;=Entradas!$E$124,"",G68*J68)</f>
        <v>0.35444406266676792</v>
      </c>
      <c r="M68" s="40"/>
    </row>
    <row r="69" spans="2:13">
      <c r="B69" s="39"/>
      <c r="C69" s="75">
        <v>64</v>
      </c>
      <c r="D69" s="110">
        <f>IF($C69&lt;=Entradas!$E$124,"",Observaciones!H69)</f>
        <v>1.4457732217530124</v>
      </c>
      <c r="E69" s="110">
        <f>IF($C69&lt;=Entradas!$E$124,"",LíneaBase!L70)</f>
        <v>1.3513726982081324</v>
      </c>
      <c r="F69" s="79">
        <f>IF($C69&lt;=Entradas!$E$124,"",D69-E69)</f>
        <v>9.4400523544879933E-2</v>
      </c>
      <c r="G69" s="79">
        <f>IF($C69&lt;=Entradas!$E$124,"",D69-AVERAGE(D:D))</f>
        <v>0.53967453955953415</v>
      </c>
      <c r="H69" s="79">
        <f>IF($C69&lt;=Entradas!$E$124,"",F69^2)</f>
        <v>8.9114588455474313E-3</v>
      </c>
      <c r="I69" s="79">
        <f>IF($C69&lt;=Entradas!$E$124,"",G69^2)</f>
        <v>0.2912486086487952</v>
      </c>
      <c r="J69" s="79">
        <f>IF($C69&lt;=Entradas!$E$124,"",E69-AVERAGE(E:E))</f>
        <v>0.45579183441101456</v>
      </c>
      <c r="K69" s="79">
        <f>IF($C69&lt;=Entradas!$E$124,"",J69^2)</f>
        <v>0.20774619631575772</v>
      </c>
      <c r="L69" s="79">
        <f>IF($C69&lt;=Entradas!$E$124,"",G69*J69)</f>
        <v>0.24597924837075971</v>
      </c>
      <c r="M69" s="40"/>
    </row>
    <row r="70" spans="2:13">
      <c r="B70" s="39"/>
      <c r="C70" s="75">
        <v>65</v>
      </c>
      <c r="D70" s="110">
        <f>IF($C70&lt;=Entradas!$E$124,"",Observaciones!H70)</f>
        <v>1.5679672147681845</v>
      </c>
      <c r="E70" s="110">
        <f>IF($C70&lt;=Entradas!$E$124,"",LíneaBase!L71)</f>
        <v>1.5132744517588801</v>
      </c>
      <c r="F70" s="79">
        <f>IF($C70&lt;=Entradas!$E$124,"",D70-E70)</f>
        <v>5.4692763009304368E-2</v>
      </c>
      <c r="G70" s="79">
        <f>IF($C70&lt;=Entradas!$E$124,"",D70-AVERAGE(D:D))</f>
        <v>0.66186853257470624</v>
      </c>
      <c r="H70" s="79">
        <f>IF($C70&lt;=Entradas!$E$124,"",F70^2)</f>
        <v>2.9912983255919322E-3</v>
      </c>
      <c r="I70" s="79">
        <f>IF($C70&lt;=Entradas!$E$124,"",G70^2)</f>
        <v>0.438069954412595</v>
      </c>
      <c r="J70" s="79">
        <f>IF($C70&lt;=Entradas!$E$124,"",E70-AVERAGE(E:E))</f>
        <v>0.61769358796176221</v>
      </c>
      <c r="K70" s="79">
        <f>IF($C70&lt;=Entradas!$E$124,"",J70^2)</f>
        <v>0.38154536860907529</v>
      </c>
      <c r="L70" s="79">
        <f>IF($C70&lt;=Entradas!$E$124,"",G70*J70)</f>
        <v>0.40883194864505679</v>
      </c>
      <c r="M70" s="40"/>
    </row>
    <row r="71" spans="2:13">
      <c r="B71" s="39"/>
      <c r="C71" s="75">
        <v>66</v>
      </c>
      <c r="D71" s="110">
        <f>IF($C71&lt;=Entradas!$E$124,"",Observaciones!H71)</f>
        <v>1.4531277378914504</v>
      </c>
      <c r="E71" s="110">
        <f>IF($C71&lt;=Entradas!$E$124,"",LíneaBase!L72)</f>
        <v>1.3532484108829466</v>
      </c>
      <c r="F71" s="79">
        <f>IF($C71&lt;=Entradas!$E$124,"",D71-E71)</f>
        <v>9.9879327008503882E-2</v>
      </c>
      <c r="G71" s="79">
        <f>IF($C71&lt;=Entradas!$E$124,"",D71-AVERAGE(D:D))</f>
        <v>0.54702905569797222</v>
      </c>
      <c r="H71" s="79">
        <f>IF($C71&lt;=Entradas!$E$124,"",F71^2)</f>
        <v>9.9758799636716529E-3</v>
      </c>
      <c r="I71" s="79">
        <f>IF($C71&lt;=Entradas!$E$124,"",G71^2)</f>
        <v>0.29924078777781521</v>
      </c>
      <c r="J71" s="79">
        <f>IF($C71&lt;=Entradas!$E$124,"",E71-AVERAGE(E:E))</f>
        <v>0.45766754708582869</v>
      </c>
      <c r="K71" s="79">
        <f>IF($C71&lt;=Entradas!$E$124,"",J71^2)</f>
        <v>0.20945958365555922</v>
      </c>
      <c r="L71" s="79">
        <f>IF($C71&lt;=Entradas!$E$124,"",G71*J71)</f>
        <v>0.25035744610596811</v>
      </c>
      <c r="M71" s="40"/>
    </row>
    <row r="72" spans="2:13">
      <c r="B72" s="39"/>
      <c r="C72" s="75">
        <v>67</v>
      </c>
      <c r="D72" s="110">
        <f>IF($C72&lt;=Entradas!$E$124,"",Observaciones!H72)</f>
        <v>9.3468132740992171</v>
      </c>
      <c r="E72" s="110">
        <f>IF($C72&lt;=Entradas!$E$124,"",LíneaBase!L73)</f>
        <v>10.891936377278416</v>
      </c>
      <c r="F72" s="79">
        <f>IF($C72&lt;=Entradas!$E$124,"",D72-E72)</f>
        <v>-1.5451231031791988</v>
      </c>
      <c r="G72" s="79">
        <f>IF($C72&lt;=Entradas!$E$124,"",D72-AVERAGE(D:D))</f>
        <v>8.4407145919057385</v>
      </c>
      <c r="H72" s="79">
        <f>IF($C72&lt;=Entradas!$E$124,"",F72^2)</f>
        <v>2.387405403978117</v>
      </c>
      <c r="I72" s="79">
        <f>IF($C72&lt;=Entradas!$E$124,"",G72^2)</f>
        <v>71.245662822010459</v>
      </c>
      <c r="J72" s="79">
        <f>IF($C72&lt;=Entradas!$E$124,"",E72-AVERAGE(E:E))</f>
        <v>9.9963555134812978</v>
      </c>
      <c r="K72" s="79">
        <f>IF($C72&lt;=Entradas!$E$124,"",J72^2)</f>
        <v>99.92712355190794</v>
      </c>
      <c r="L72" s="79">
        <f>IF($C72&lt;=Entradas!$E$124,"",G72*J72)</f>
        <v>84.376383848518969</v>
      </c>
      <c r="M72" s="40"/>
    </row>
    <row r="73" spans="2:13">
      <c r="B73" s="39"/>
      <c r="C73" s="75">
        <v>68</v>
      </c>
      <c r="D73" s="110">
        <f>IF($C73&lt;=Entradas!$E$124,"",Observaciones!H73)</f>
        <v>2.056557924933486</v>
      </c>
      <c r="E73" s="110">
        <f>IF($C73&lt;=Entradas!$E$124,"",LíneaBase!L74)</f>
        <v>1.9688594263651642</v>
      </c>
      <c r="F73" s="79">
        <f>IF($C73&lt;=Entradas!$E$124,"",D73-E73)</f>
        <v>8.7698498568321792E-2</v>
      </c>
      <c r="G73" s="79">
        <f>IF($C73&lt;=Entradas!$E$124,"",D73-AVERAGE(D:D))</f>
        <v>1.1504592427400078</v>
      </c>
      <c r="H73" s="79">
        <f>IF($C73&lt;=Entradas!$E$124,"",F73^2)</f>
        <v>7.6910266511379397E-3</v>
      </c>
      <c r="I73" s="79">
        <f>IF($C73&lt;=Entradas!$E$124,"",G73^2)</f>
        <v>1.3235564692059121</v>
      </c>
      <c r="J73" s="79">
        <f>IF($C73&lt;=Entradas!$E$124,"",E73-AVERAGE(E:E))</f>
        <v>1.0732785625680463</v>
      </c>
      <c r="K73" s="79">
        <f>IF($C73&lt;=Entradas!$E$124,"",J73^2)</f>
        <v>1.1519268728681318</v>
      </c>
      <c r="L73" s="79">
        <f>IF($C73&lt;=Entradas!$E$124,"",G73*J73)</f>
        <v>1.2347632423411186</v>
      </c>
      <c r="M73" s="40"/>
    </row>
    <row r="74" spans="2:13">
      <c r="B74" s="39"/>
      <c r="C74" s="75">
        <v>69</v>
      </c>
      <c r="D74" s="110">
        <f>IF($C74&lt;=Entradas!$E$124,"",Observaciones!H74)</f>
        <v>2.9018501764971205</v>
      </c>
      <c r="E74" s="110">
        <f>IF($C74&lt;=Entradas!$E$124,"",LíneaBase!L75)</f>
        <v>3.1475444802114856</v>
      </c>
      <c r="F74" s="79">
        <f>IF($C74&lt;=Entradas!$E$124,"",D74-E74)</f>
        <v>-0.24569430371436507</v>
      </c>
      <c r="G74" s="79">
        <f>IF($C74&lt;=Entradas!$E$124,"",D74-AVERAGE(D:D))</f>
        <v>1.9957514943036423</v>
      </c>
      <c r="H74" s="79">
        <f>IF($C74&lt;=Entradas!$E$124,"",F74^2)</f>
        <v>6.0365690877686666E-2</v>
      </c>
      <c r="I74" s="79">
        <f>IF($C74&lt;=Entradas!$E$124,"",G74^2)</f>
        <v>3.9830240270152211</v>
      </c>
      <c r="J74" s="79">
        <f>IF($C74&lt;=Entradas!$E$124,"",E74-AVERAGE(E:E))</f>
        <v>2.2519636164143675</v>
      </c>
      <c r="K74" s="79">
        <f>IF($C74&lt;=Entradas!$E$124,"",J74^2)</f>
        <v>5.0713401296540761</v>
      </c>
      <c r="L74" s="79">
        <f>IF($C74&lt;=Entradas!$E$124,"",G74*J74)</f>
        <v>4.4943597525764085</v>
      </c>
      <c r="M74" s="40"/>
    </row>
    <row r="75" spans="2:13">
      <c r="B75" s="39"/>
      <c r="C75" s="75">
        <v>70</v>
      </c>
      <c r="D75" s="110">
        <f>IF($C75&lt;=Entradas!$E$124,"",Observaciones!H75)</f>
        <v>2.1734552594877981</v>
      </c>
      <c r="E75" s="110">
        <f>IF($C75&lt;=Entradas!$E$124,"",LíneaBase!L76)</f>
        <v>2.1166859423120066</v>
      </c>
      <c r="F75" s="79">
        <f>IF($C75&lt;=Entradas!$E$124,"",D75-E75)</f>
        <v>5.6769317175791478E-2</v>
      </c>
      <c r="G75" s="79">
        <f>IF($C75&lt;=Entradas!$E$124,"",D75-AVERAGE(D:D))</f>
        <v>1.2673565772943198</v>
      </c>
      <c r="H75" s="79">
        <f>IF($C75&lt;=Entradas!$E$124,"",F75^2)</f>
        <v>3.2227553726056134E-3</v>
      </c>
      <c r="I75" s="79">
        <f>IF($C75&lt;=Entradas!$E$124,"",G75^2)</f>
        <v>1.6061926940111733</v>
      </c>
      <c r="J75" s="79">
        <f>IF($C75&lt;=Entradas!$E$124,"",E75-AVERAGE(E:E))</f>
        <v>1.2211050785148887</v>
      </c>
      <c r="K75" s="79">
        <f>IF($C75&lt;=Entradas!$E$124,"",J75^2)</f>
        <v>1.4910976127748525</v>
      </c>
      <c r="L75" s="79">
        <f>IF($C75&lt;=Entradas!$E$124,"",G75*J75)</f>
        <v>1.547575552823341</v>
      </c>
      <c r="M75" s="40"/>
    </row>
    <row r="76" spans="2:13">
      <c r="B76" s="39"/>
      <c r="C76" s="75">
        <v>71</v>
      </c>
      <c r="D76" s="110">
        <f>IF($C76&lt;=Entradas!$E$124,"",Observaciones!H76)</f>
        <v>4.6054455786262913</v>
      </c>
      <c r="E76" s="110">
        <f>IF($C76&lt;=Entradas!$E$124,"",LíneaBase!L77)</f>
        <v>5.2329913660461358</v>
      </c>
      <c r="F76" s="79">
        <f>IF($C76&lt;=Entradas!$E$124,"",D76-E76)</f>
        <v>-0.62754578741984446</v>
      </c>
      <c r="G76" s="79">
        <f>IF($C76&lt;=Entradas!$E$124,"",D76-AVERAGE(D:D))</f>
        <v>3.6993468964328131</v>
      </c>
      <c r="H76" s="79">
        <f>IF($C76&lt;=Entradas!$E$124,"",F76^2)</f>
        <v>0.3938137153083926</v>
      </c>
      <c r="I76" s="79">
        <f>IF($C76&lt;=Entradas!$E$124,"",G76^2)</f>
        <v>13.685167460147087</v>
      </c>
      <c r="J76" s="79">
        <f>IF($C76&lt;=Entradas!$E$124,"",E76-AVERAGE(E:E))</f>
        <v>4.3374105022490177</v>
      </c>
      <c r="K76" s="79">
        <f>IF($C76&lt;=Entradas!$E$124,"",J76^2)</f>
        <v>18.813129865020077</v>
      </c>
      <c r="L76" s="79">
        <f>IF($C76&lt;=Entradas!$E$124,"",G76*J76)</f>
        <v>16.045586080049993</v>
      </c>
      <c r="M76" s="40"/>
    </row>
    <row r="77" spans="2:13">
      <c r="B77" s="39"/>
      <c r="C77" s="75">
        <v>72</v>
      </c>
      <c r="D77" s="110">
        <f>IF($C77&lt;=Entradas!$E$124,"",Observaciones!H77)</f>
        <v>2.5096134060582695</v>
      </c>
      <c r="E77" s="110">
        <f>IF($C77&lt;=Entradas!$E$124,"",LíneaBase!L78)</f>
        <v>2.5449407533871247</v>
      </c>
      <c r="F77" s="79">
        <f>IF($C77&lt;=Entradas!$E$124,"",D77-E77)</f>
        <v>-3.5327347328855119E-2</v>
      </c>
      <c r="G77" s="79">
        <f>IF($C77&lt;=Entradas!$E$124,"",D77-AVERAGE(D:D))</f>
        <v>1.6035147238647913</v>
      </c>
      <c r="H77" s="79">
        <f>IF($C77&lt;=Entradas!$E$124,"",F77^2)</f>
        <v>1.2480214692935669E-3</v>
      </c>
      <c r="I77" s="79">
        <f>IF($C77&lt;=Entradas!$E$124,"",G77^2)</f>
        <v>2.5712594696511779</v>
      </c>
      <c r="J77" s="79">
        <f>IF($C77&lt;=Entradas!$E$124,"",E77-AVERAGE(E:E))</f>
        <v>1.6493598895900068</v>
      </c>
      <c r="K77" s="79">
        <f>IF($C77&lt;=Entradas!$E$124,"",J77^2)</f>
        <v>2.7203880453883595</v>
      </c>
      <c r="L77" s="79">
        <f>IF($C77&lt;=Entradas!$E$124,"",G77*J77)</f>
        <v>2.6447728679095825</v>
      </c>
      <c r="M77" s="40"/>
    </row>
    <row r="78" spans="2:13">
      <c r="B78" s="39"/>
      <c r="C78" s="75">
        <v>73</v>
      </c>
      <c r="D78" s="110">
        <f>IF($C78&lt;=Entradas!$E$124,"",Observaciones!H78)</f>
        <v>2.3328614266619714</v>
      </c>
      <c r="E78" s="110">
        <f>IF($C78&lt;=Entradas!$E$124,"",LíneaBase!L79)</f>
        <v>2.2358630689511321</v>
      </c>
      <c r="F78" s="79">
        <f>IF($C78&lt;=Entradas!$E$124,"",D78-E78)</f>
        <v>9.6998357710839311E-2</v>
      </c>
      <c r="G78" s="79">
        <f>IF($C78&lt;=Entradas!$E$124,"",D78-AVERAGE(D:D))</f>
        <v>1.4267627444684932</v>
      </c>
      <c r="H78" s="79">
        <f>IF($C78&lt;=Entradas!$E$124,"",F78^2)</f>
        <v>9.4086813985999398E-3</v>
      </c>
      <c r="I78" s="79">
        <f>IF($C78&lt;=Entradas!$E$124,"",G78^2)</f>
        <v>2.0356519290032669</v>
      </c>
      <c r="J78" s="79">
        <f>IF($C78&lt;=Entradas!$E$124,"",E78-AVERAGE(E:E))</f>
        <v>1.3402822051540142</v>
      </c>
      <c r="K78" s="79">
        <f>IF($C78&lt;=Entradas!$E$124,"",J78^2)</f>
        <v>1.796356389452507</v>
      </c>
      <c r="L78" s="79">
        <f>IF($C78&lt;=Entradas!$E$124,"",G78*J78)</f>
        <v>1.9122647173878253</v>
      </c>
      <c r="M78" s="40"/>
    </row>
    <row r="79" spans="2:13">
      <c r="B79" s="39"/>
      <c r="C79" s="75">
        <v>74</v>
      </c>
      <c r="D79" s="110">
        <f>IF($C79&lt;=Entradas!$E$124,"",Observaciones!H79)</f>
        <v>2.3593596997005997</v>
      </c>
      <c r="E79" s="110">
        <f>IF($C79&lt;=Entradas!$E$124,"",LíneaBase!L80)</f>
        <v>2.299866823933006</v>
      </c>
      <c r="F79" s="79">
        <f>IF($C79&lt;=Entradas!$E$124,"",D79-E79)</f>
        <v>5.9492875767593656E-2</v>
      </c>
      <c r="G79" s="79">
        <f>IF($C79&lt;=Entradas!$E$124,"",D79-AVERAGE(D:D))</f>
        <v>1.4532610175071214</v>
      </c>
      <c r="H79" s="79">
        <f>IF($C79&lt;=Entradas!$E$124,"",F79^2)</f>
        <v>3.5394022670983323E-3</v>
      </c>
      <c r="I79" s="79">
        <f>IF($C79&lt;=Entradas!$E$124,"",G79^2)</f>
        <v>2.1119675850058339</v>
      </c>
      <c r="J79" s="79">
        <f>IF($C79&lt;=Entradas!$E$124,"",E79-AVERAGE(E:E))</f>
        <v>1.4042859601358881</v>
      </c>
      <c r="K79" s="79">
        <f>IF($C79&lt;=Entradas!$E$124,"",J79^2)</f>
        <v>1.9720190578347732</v>
      </c>
      <c r="L79" s="79">
        <f>IF($C79&lt;=Entradas!$E$124,"",G79*J79)</f>
        <v>2.0407940432980456</v>
      </c>
      <c r="M79" s="40"/>
    </row>
    <row r="80" spans="2:13">
      <c r="B80" s="39"/>
      <c r="C80" s="75">
        <v>75</v>
      </c>
      <c r="D80" s="110">
        <f>IF($C80&lt;=Entradas!$E$124,"",Observaciones!H80)</f>
        <v>4.3023523663830732</v>
      </c>
      <c r="E80" s="110">
        <f>IF($C80&lt;=Entradas!$E$124,"",LíneaBase!L81)</f>
        <v>4.8158055672220756</v>
      </c>
      <c r="F80" s="79">
        <f>IF($C80&lt;=Entradas!$E$124,"",D80-E80)</f>
        <v>-0.51345320083900248</v>
      </c>
      <c r="G80" s="79">
        <f>IF($C80&lt;=Entradas!$E$124,"",D80-AVERAGE(D:D))</f>
        <v>3.3962536841895949</v>
      </c>
      <c r="H80" s="79">
        <f>IF($C80&lt;=Entradas!$E$124,"",F80^2)</f>
        <v>0.26363418945181699</v>
      </c>
      <c r="I80" s="79">
        <f>IF($C80&lt;=Entradas!$E$124,"",G80^2)</f>
        <v>11.534539087371398</v>
      </c>
      <c r="J80" s="79">
        <f>IF($C80&lt;=Entradas!$E$124,"",E80-AVERAGE(E:E))</f>
        <v>3.9202247034249575</v>
      </c>
      <c r="K80" s="79">
        <f>IF($C80&lt;=Entradas!$E$124,"",J80^2)</f>
        <v>15.368161725343297</v>
      </c>
      <c r="L80" s="79">
        <f>IF($C80&lt;=Entradas!$E$124,"",G80*J80)</f>
        <v>13.314077591858075</v>
      </c>
      <c r="M80" s="40"/>
    </row>
    <row r="81" spans="2:13">
      <c r="B81" s="39"/>
      <c r="C81" s="75">
        <v>76</v>
      </c>
      <c r="D81" s="110">
        <f>IF($C81&lt;=Entradas!$E$124,"",Observaciones!H81)</f>
        <v>2.3562536234519964</v>
      </c>
      <c r="E81" s="110">
        <f>IF($C81&lt;=Entradas!$E$124,"",LíneaBase!L82)</f>
        <v>2.2503506150379891</v>
      </c>
      <c r="F81" s="79">
        <f>IF($C81&lt;=Entradas!$E$124,"",D81-E81)</f>
        <v>0.10590300841400735</v>
      </c>
      <c r="G81" s="79">
        <f>IF($C81&lt;=Entradas!$E$124,"",D81-AVERAGE(D:D))</f>
        <v>1.4501549412585182</v>
      </c>
      <c r="H81" s="79">
        <f>IF($C81&lt;=Entradas!$E$124,"",F81^2)</f>
        <v>1.1215447191137311E-2</v>
      </c>
      <c r="I81" s="79">
        <f>IF($C81&lt;=Entradas!$E$124,"",G81^2)</f>
        <v>2.1029493536564963</v>
      </c>
      <c r="J81" s="79">
        <f>IF($C81&lt;=Entradas!$E$124,"",E81-AVERAGE(E:E))</f>
        <v>1.3547697512408712</v>
      </c>
      <c r="K81" s="79">
        <f>IF($C81&lt;=Entradas!$E$124,"",J81^2)</f>
        <v>1.8354010788772519</v>
      </c>
      <c r="L81" s="79">
        <f>IF($C81&lt;=Entradas!$E$124,"",G81*J81)</f>
        <v>1.9646260490295229</v>
      </c>
      <c r="M81" s="40"/>
    </row>
    <row r="82" spans="2:13">
      <c r="B82" s="39"/>
      <c r="C82" s="75">
        <v>77</v>
      </c>
      <c r="D82" s="110">
        <f>IF($C82&lt;=Entradas!$E$124,"",Observaciones!H82)</f>
        <v>2.3163146530564633</v>
      </c>
      <c r="E82" s="110">
        <f>IF($C82&lt;=Entradas!$E$124,"",LíneaBase!L83)</f>
        <v>2.2076729076555766</v>
      </c>
      <c r="F82" s="79">
        <f>IF($C82&lt;=Entradas!$E$124,"",D82-E82)</f>
        <v>0.10864174540088678</v>
      </c>
      <c r="G82" s="79">
        <f>IF($C82&lt;=Entradas!$E$124,"",D82-AVERAGE(D:D))</f>
        <v>1.4102159708629851</v>
      </c>
      <c r="H82" s="79">
        <f>IF($C82&lt;=Entradas!$E$124,"",F82^2)</f>
        <v>1.1803028843751104E-2</v>
      </c>
      <c r="I82" s="79">
        <f>IF($C82&lt;=Entradas!$E$124,"",G82^2)</f>
        <v>1.9887090844770317</v>
      </c>
      <c r="J82" s="79">
        <f>IF($C82&lt;=Entradas!$E$124,"",E82-AVERAGE(E:E))</f>
        <v>1.3120920438584587</v>
      </c>
      <c r="K82" s="79">
        <f>IF($C82&lt;=Entradas!$E$124,"",J82^2)</f>
        <v>1.7215855315566675</v>
      </c>
      <c r="L82" s="79">
        <f>IF($C82&lt;=Entradas!$E$124,"",G82*J82)</f>
        <v>1.8503331554914548</v>
      </c>
      <c r="M82" s="40"/>
    </row>
    <row r="83" spans="2:13">
      <c r="B83" s="39"/>
      <c r="C83" s="75">
        <v>78</v>
      </c>
      <c r="D83" s="110">
        <f>IF($C83&lt;=Entradas!$E$124,"",Observaciones!H83)</f>
        <v>2.2086844197465547</v>
      </c>
      <c r="E83" s="110">
        <f>IF($C83&lt;=Entradas!$E$124,"",LíneaBase!L84)</f>
        <v>2.0974092234657986</v>
      </c>
      <c r="F83" s="79">
        <f>IF($C83&lt;=Entradas!$E$124,"",D83-E83)</f>
        <v>0.11127519628075611</v>
      </c>
      <c r="G83" s="79">
        <f>IF($C83&lt;=Entradas!$E$124,"",D83-AVERAGE(D:D))</f>
        <v>1.3025857375530765</v>
      </c>
      <c r="H83" s="79">
        <f>IF($C83&lt;=Entradas!$E$124,"",F83^2)</f>
        <v>1.2382169307320797E-2</v>
      </c>
      <c r="I83" s="79">
        <f>IF($C83&lt;=Entradas!$E$124,"",G83^2)</f>
        <v>1.6967296036766923</v>
      </c>
      <c r="J83" s="79">
        <f>IF($C83&lt;=Entradas!$E$124,"",E83-AVERAGE(E:E))</f>
        <v>1.2018283596686807</v>
      </c>
      <c r="K83" s="79">
        <f>IF($C83&lt;=Entradas!$E$124,"",J83^2)</f>
        <v>1.4443914061039118</v>
      </c>
      <c r="L83" s="79">
        <f>IF($C83&lt;=Entradas!$E$124,"",G83*J83)</f>
        <v>1.5654844802912327</v>
      </c>
      <c r="M83" s="40"/>
    </row>
    <row r="84" spans="2:13">
      <c r="B84" s="39"/>
      <c r="C84" s="75">
        <v>79</v>
      </c>
      <c r="D84" s="110">
        <f>IF($C84&lt;=Entradas!$E$124,"",Observaciones!H84)</f>
        <v>2.2216181054241204</v>
      </c>
      <c r="E84" s="110">
        <f>IF($C84&lt;=Entradas!$E$124,"",LíneaBase!L85)</f>
        <v>2.1078866142877475</v>
      </c>
      <c r="F84" s="79">
        <f>IF($C84&lt;=Entradas!$E$124,"",D84-E84)</f>
        <v>0.11373149113637293</v>
      </c>
      <c r="G84" s="79">
        <f>IF($C84&lt;=Entradas!$E$124,"",D84-AVERAGE(D:D))</f>
        <v>1.3155194232306422</v>
      </c>
      <c r="H84" s="79">
        <f>IF($C84&lt;=Entradas!$E$124,"",F84^2)</f>
        <v>1.2934852076102874E-2</v>
      </c>
      <c r="I84" s="79">
        <f>IF($C84&lt;=Entradas!$E$124,"",G84^2)</f>
        <v>1.7305913528970815</v>
      </c>
      <c r="J84" s="79">
        <f>IF($C84&lt;=Entradas!$E$124,"",E84-AVERAGE(E:E))</f>
        <v>1.2123057504906296</v>
      </c>
      <c r="K84" s="79">
        <f>IF($C84&lt;=Entradas!$E$124,"",J84^2)</f>
        <v>1.4696852326726486</v>
      </c>
      <c r="L84" s="79">
        <f>IF($C84&lt;=Entradas!$E$124,"",G84*J84)</f>
        <v>1.5948117616646238</v>
      </c>
      <c r="M84" s="40"/>
    </row>
    <row r="85" spans="2:13">
      <c r="B85" s="39"/>
      <c r="C85" s="75">
        <v>80</v>
      </c>
      <c r="D85" s="110">
        <f>IF($C85&lt;=Entradas!$E$124,"",Observaciones!H85)</f>
        <v>2.1135830543938239</v>
      </c>
      <c r="E85" s="110">
        <f>IF($C85&lt;=Entradas!$E$124,"",LíneaBase!L86)</f>
        <v>1.9976059163052433</v>
      </c>
      <c r="F85" s="79">
        <f>IF($C85&lt;=Entradas!$E$124,"",D85-E85)</f>
        <v>0.11597713808858057</v>
      </c>
      <c r="G85" s="79">
        <f>IF($C85&lt;=Entradas!$E$124,"",D85-AVERAGE(D:D))</f>
        <v>1.2074843722003457</v>
      </c>
      <c r="H85" s="79">
        <f>IF($C85&lt;=Entradas!$E$124,"",F85^2)</f>
        <v>1.3450696559217686E-2</v>
      </c>
      <c r="I85" s="79">
        <f>IF($C85&lt;=Entradas!$E$124,"",G85^2)</f>
        <v>1.4580185091080629</v>
      </c>
      <c r="J85" s="79">
        <f>IF($C85&lt;=Entradas!$E$124,"",E85-AVERAGE(E:E))</f>
        <v>1.1020250525081254</v>
      </c>
      <c r="K85" s="79">
        <f>IF($C85&lt;=Entradas!$E$124,"",J85^2)</f>
        <v>1.2144592163555366</v>
      </c>
      <c r="L85" s="79">
        <f>IF($C85&lt;=Entradas!$E$124,"",G85*J85)</f>
        <v>1.3306780286768267</v>
      </c>
      <c r="M85" s="40"/>
    </row>
    <row r="86" spans="2:13">
      <c r="B86" s="39"/>
      <c r="C86" s="75">
        <v>81</v>
      </c>
      <c r="D86" s="110">
        <f>IF($C86&lt;=Entradas!$E$124,"",Observaciones!H86)</f>
        <v>2.0667826046999278</v>
      </c>
      <c r="E86" s="110">
        <f>IF($C86&lt;=Entradas!$E$124,"",LíneaBase!L87)</f>
        <v>1.9486682136551399</v>
      </c>
      <c r="F86" s="79">
        <f>IF($C86&lt;=Entradas!$E$124,"",D86-E86)</f>
        <v>0.11811439104478794</v>
      </c>
      <c r="G86" s="79">
        <f>IF($C86&lt;=Entradas!$E$124,"",D86-AVERAGE(D:D))</f>
        <v>1.1606839225064496</v>
      </c>
      <c r="H86" s="79">
        <f>IF($C86&lt;=Entradas!$E$124,"",F86^2)</f>
        <v>1.395100937188108E-2</v>
      </c>
      <c r="I86" s="79">
        <f>IF($C86&lt;=Entradas!$E$124,"",G86^2)</f>
        <v>1.3471871679649579</v>
      </c>
      <c r="J86" s="79">
        <f>IF($C86&lt;=Entradas!$E$124,"",E86-AVERAGE(E:E))</f>
        <v>1.053087349858022</v>
      </c>
      <c r="K86" s="79">
        <f>IF($C86&lt;=Entradas!$E$124,"",J86^2)</f>
        <v>1.1089929664309921</v>
      </c>
      <c r="L86" s="79">
        <f>IF($C86&lt;=Entradas!$E$124,"",G86*J86)</f>
        <v>1.2223015559751307</v>
      </c>
      <c r="M86" s="40"/>
    </row>
    <row r="87" spans="2:13">
      <c r="B87" s="39"/>
      <c r="C87" s="75">
        <v>82</v>
      </c>
      <c r="D87" s="110">
        <f>IF($C87&lt;=Entradas!$E$124,"",Observaciones!H87)</f>
        <v>2.0440356159383235</v>
      </c>
      <c r="E87" s="110">
        <f>IF($C87&lt;=Entradas!$E$124,"",LíneaBase!L88)</f>
        <v>1.9239811840971788</v>
      </c>
      <c r="F87" s="79">
        <f>IF($C87&lt;=Entradas!$E$124,"",D87-E87)</f>
        <v>0.12005443184114473</v>
      </c>
      <c r="G87" s="79">
        <f>IF($C87&lt;=Entradas!$E$124,"",D87-AVERAGE(D:D))</f>
        <v>1.1379369337448453</v>
      </c>
      <c r="H87" s="79">
        <f>IF($C87&lt;=Entradas!$E$124,"",F87^2)</f>
        <v>1.4413066604700065E-2</v>
      </c>
      <c r="I87" s="79">
        <f>IF($C87&lt;=Entradas!$E$124,"",G87^2)</f>
        <v>1.2949004651806204</v>
      </c>
      <c r="J87" s="79">
        <f>IF($C87&lt;=Entradas!$E$124,"",E87-AVERAGE(E:E))</f>
        <v>1.0284003203000609</v>
      </c>
      <c r="K87" s="79">
        <f>IF($C87&lt;=Entradas!$E$124,"",J87^2)</f>
        <v>1.0576072187932679</v>
      </c>
      <c r="L87" s="79">
        <f>IF($C87&lt;=Entradas!$E$124,"",G87*J87)</f>
        <v>1.170254707144468</v>
      </c>
      <c r="M87" s="40"/>
    </row>
    <row r="88" spans="2:13">
      <c r="B88" s="39"/>
      <c r="C88" s="75">
        <v>83</v>
      </c>
      <c r="D88" s="110">
        <f>IF($C88&lt;=Entradas!$E$124,"",Observaciones!H88)</f>
        <v>1.9418248897828101</v>
      </c>
      <c r="E88" s="110">
        <f>IF($C88&lt;=Entradas!$E$124,"",LíneaBase!L89)</f>
        <v>1.8198669878949481</v>
      </c>
      <c r="F88" s="79">
        <f>IF($C88&lt;=Entradas!$E$124,"",D88-E88)</f>
        <v>0.12195790188786204</v>
      </c>
      <c r="G88" s="79">
        <f>IF($C88&lt;=Entradas!$E$124,"",D88-AVERAGE(D:D))</f>
        <v>1.0357262075893319</v>
      </c>
      <c r="H88" s="79">
        <f>IF($C88&lt;=Entradas!$E$124,"",F88^2)</f>
        <v>1.4873729832889383E-2</v>
      </c>
      <c r="I88" s="79">
        <f>IF($C88&lt;=Entradas!$E$124,"",G88^2)</f>
        <v>1.0727287770873797</v>
      </c>
      <c r="J88" s="79">
        <f>IF($C88&lt;=Entradas!$E$124,"",E88-AVERAGE(E:E))</f>
        <v>0.92428612409783018</v>
      </c>
      <c r="K88" s="79">
        <f>IF($C88&lt;=Entradas!$E$124,"",J88^2)</f>
        <v>0.8543048391997895</v>
      </c>
      <c r="L88" s="79">
        <f>IF($C88&lt;=Entradas!$E$124,"",G88*J88)</f>
        <v>0.95730736203928823</v>
      </c>
      <c r="M88" s="40"/>
    </row>
    <row r="89" spans="2:13">
      <c r="B89" s="39"/>
      <c r="C89" s="75">
        <v>84</v>
      </c>
      <c r="D89" s="110">
        <f>IF($C89&lt;=Entradas!$E$124,"",Observaciones!H89)</f>
        <v>1.8402693663725844</v>
      </c>
      <c r="E89" s="110">
        <f>IF($C89&lt;=Entradas!$E$124,"",LíneaBase!L90)</f>
        <v>1.7164084387398189</v>
      </c>
      <c r="F89" s="79">
        <f>IF($C89&lt;=Entradas!$E$124,"",D89-E89)</f>
        <v>0.12386092763276557</v>
      </c>
      <c r="G89" s="79">
        <f>IF($C89&lt;=Entradas!$E$124,"",D89-AVERAGE(D:D))</f>
        <v>0.9341706841791062</v>
      </c>
      <c r="H89" s="79">
        <f>IF($C89&lt;=Entradas!$E$124,"",F89^2)</f>
        <v>1.534152939404919E-2</v>
      </c>
      <c r="I89" s="79">
        <f>IF($C89&lt;=Entradas!$E$124,"",G89^2)</f>
        <v>0.87267486717965936</v>
      </c>
      <c r="J89" s="79">
        <f>IF($C89&lt;=Entradas!$E$124,"",E89-AVERAGE(E:E))</f>
        <v>0.82082757494270098</v>
      </c>
      <c r="K89" s="79">
        <f>IF($C89&lt;=Entradas!$E$124,"",J89^2)</f>
        <v>0.67375790778631539</v>
      </c>
      <c r="L89" s="79">
        <f>IF($C89&lt;=Entradas!$E$124,"",G89*J89)</f>
        <v>0.76679305727729952</v>
      </c>
      <c r="M89" s="40"/>
    </row>
    <row r="90" spans="2:13">
      <c r="B90" s="39"/>
      <c r="C90" s="75">
        <v>85</v>
      </c>
      <c r="D90" s="110">
        <f>IF($C90&lt;=Entradas!$E$124,"",Observaciones!H90)</f>
        <v>1.7436099901210342</v>
      </c>
      <c r="E90" s="110">
        <f>IF($C90&lt;=Entradas!$E$124,"",LíneaBase!L91)</f>
        <v>1.618009482409732</v>
      </c>
      <c r="F90" s="79">
        <f>IF($C90&lt;=Entradas!$E$124,"",D90-E90)</f>
        <v>0.12560050771130227</v>
      </c>
      <c r="G90" s="79">
        <f>IF($C90&lt;=Entradas!$E$124,"",D90-AVERAGE(D:D))</f>
        <v>0.83751130792755601</v>
      </c>
      <c r="H90" s="79">
        <f>IF($C90&lt;=Entradas!$E$124,"",F90^2)</f>
        <v>1.5775487537336902E-2</v>
      </c>
      <c r="I90" s="79">
        <f>IF($C90&lt;=Entradas!$E$124,"",G90^2)</f>
        <v>0.70142519090652555</v>
      </c>
      <c r="J90" s="79">
        <f>IF($C90&lt;=Entradas!$E$124,"",E90-AVERAGE(E:E))</f>
        <v>0.72242861861261409</v>
      </c>
      <c r="K90" s="79">
        <f>IF($C90&lt;=Entradas!$E$124,"",J90^2)</f>
        <v>0.52190310899052983</v>
      </c>
      <c r="L90" s="79">
        <f>IF($C90&lt;=Entradas!$E$124,"",G90*J90)</f>
        <v>0.60504213725854794</v>
      </c>
      <c r="M90" s="40"/>
    </row>
    <row r="91" spans="2:13">
      <c r="B91" s="39"/>
      <c r="C91" s="75">
        <v>86</v>
      </c>
      <c r="D91" s="110">
        <f>IF($C91&lt;=Entradas!$E$124,"",Observaciones!H91)</f>
        <v>1.649395639465888</v>
      </c>
      <c r="E91" s="110">
        <f>IF($C91&lt;=Entradas!$E$124,"",LíneaBase!L92)</f>
        <v>1.5221256255636699</v>
      </c>
      <c r="F91" s="79">
        <f>IF($C91&lt;=Entradas!$E$124,"",D91-E91)</f>
        <v>0.12727001390221804</v>
      </c>
      <c r="G91" s="79">
        <f>IF($C91&lt;=Entradas!$E$124,"",D91-AVERAGE(D:D))</f>
        <v>0.74329695727240974</v>
      </c>
      <c r="H91" s="79">
        <f>IF($C91&lt;=Entradas!$E$124,"",F91^2)</f>
        <v>1.6197656438670771E-2</v>
      </c>
      <c r="I91" s="79">
        <f>IF($C91&lt;=Entradas!$E$124,"",G91^2)</f>
        <v>0.55249036669042251</v>
      </c>
      <c r="J91" s="79">
        <f>IF($C91&lt;=Entradas!$E$124,"",E91-AVERAGE(E:E))</f>
        <v>0.62654476176655205</v>
      </c>
      <c r="K91" s="79">
        <f>IF($C91&lt;=Entradas!$E$124,"",J91^2)</f>
        <v>0.39255833849710547</v>
      </c>
      <c r="L91" s="79">
        <f>IF($C91&lt;=Entradas!$E$124,"",G91*J91)</f>
        <v>0.465708815016045</v>
      </c>
      <c r="M91" s="40"/>
    </row>
    <row r="92" spans="2:13">
      <c r="B92" s="39"/>
      <c r="C92" s="75">
        <v>87</v>
      </c>
      <c r="D92" s="110">
        <f>IF($C92&lt;=Entradas!$E$124,"",Observaciones!H92)</f>
        <v>2.4745970659183545</v>
      </c>
      <c r="E92" s="110">
        <f>IF($C92&lt;=Entradas!$E$124,"",LíneaBase!L93)</f>
        <v>2.6041331115925752</v>
      </c>
      <c r="F92" s="79">
        <f>IF($C92&lt;=Entradas!$E$124,"",D92-E92)</f>
        <v>-0.12953604567422072</v>
      </c>
      <c r="G92" s="79">
        <f>IF($C92&lt;=Entradas!$E$124,"",D92-AVERAGE(D:D))</f>
        <v>1.5684983837248763</v>
      </c>
      <c r="H92" s="79">
        <f>IF($C92&lt;=Entradas!$E$124,"",F92^2)</f>
        <v>1.6779587128913798E-2</v>
      </c>
      <c r="I92" s="79">
        <f>IF($C92&lt;=Entradas!$E$124,"",G92^2)</f>
        <v>2.4601871797475492</v>
      </c>
      <c r="J92" s="79">
        <f>IF($C92&lt;=Entradas!$E$124,"",E92-AVERAGE(E:E))</f>
        <v>1.7085522477954573</v>
      </c>
      <c r="K92" s="79">
        <f>IF($C92&lt;=Entradas!$E$124,"",J92^2)</f>
        <v>2.9191507834469097</v>
      </c>
      <c r="L92" s="79">
        <f>IF($C92&lt;=Entradas!$E$124,"",G92*J92)</f>
        <v>2.6798614391766793</v>
      </c>
      <c r="M92" s="40"/>
    </row>
    <row r="93" spans="2:13">
      <c r="B93" s="39"/>
      <c r="C93" s="75">
        <v>88</v>
      </c>
      <c r="D93" s="110">
        <f>IF($C93&lt;=Entradas!$E$124,"",Observaciones!H93)</f>
        <v>1.84026242571557</v>
      </c>
      <c r="E93" s="110">
        <f>IF($C93&lt;=Entradas!$E$124,"",LíneaBase!L94)</f>
        <v>1.7012414681313577</v>
      </c>
      <c r="F93" s="79">
        <f>IF($C93&lt;=Entradas!$E$124,"",D93-E93)</f>
        <v>0.13902095758421229</v>
      </c>
      <c r="G93" s="79">
        <f>IF($C93&lt;=Entradas!$E$124,"",D93-AVERAGE(D:D))</f>
        <v>0.93416374352209175</v>
      </c>
      <c r="H93" s="79">
        <f>IF($C93&lt;=Entradas!$E$124,"",F93^2)</f>
        <v>1.9326826647631353E-2</v>
      </c>
      <c r="I93" s="79">
        <f>IF($C93&lt;=Entradas!$E$124,"",G93^2)</f>
        <v>0.87266189971120844</v>
      </c>
      <c r="J93" s="79">
        <f>IF($C93&lt;=Entradas!$E$124,"",E93-AVERAGE(E:E))</f>
        <v>0.8056606043342398</v>
      </c>
      <c r="K93" s="79">
        <f>IF($C93&lt;=Entradas!$E$124,"",J93^2)</f>
        <v>0.6490890093762125</v>
      </c>
      <c r="L93" s="79">
        <f>IF($C93&lt;=Entradas!$E$124,"",G93*J93)</f>
        <v>0.75261892615314419</v>
      </c>
      <c r="M93" s="40"/>
    </row>
    <row r="94" spans="2:13">
      <c r="B94" s="39"/>
      <c r="C94" s="75">
        <v>89</v>
      </c>
      <c r="D94" s="110">
        <f>IF($C94&lt;=Entradas!$E$124,"",Observaciones!H94)</f>
        <v>1.8029017356293684</v>
      </c>
      <c r="E94" s="110">
        <f>IF($C94&lt;=Entradas!$E$124,"",LíneaBase!L95)</f>
        <v>1.6628822087910664</v>
      </c>
      <c r="F94" s="79">
        <f>IF($C94&lt;=Entradas!$E$124,"",D94-E94)</f>
        <v>0.14001952683830199</v>
      </c>
      <c r="G94" s="79">
        <f>IF($C94&lt;=Entradas!$E$124,"",D94-AVERAGE(D:D))</f>
        <v>0.89680305343589017</v>
      </c>
      <c r="H94" s="79">
        <f>IF($C94&lt;=Entradas!$E$124,"",F94^2)</f>
        <v>1.960546789602197E-2</v>
      </c>
      <c r="I94" s="79">
        <f>IF($C94&lt;=Entradas!$E$124,"",G94^2)</f>
        <v>0.80425571665193607</v>
      </c>
      <c r="J94" s="79">
        <f>IF($C94&lt;=Entradas!$E$124,"",E94-AVERAGE(E:E))</f>
        <v>0.76730134499394853</v>
      </c>
      <c r="K94" s="79">
        <f>IF($C94&lt;=Entradas!$E$124,"",J94^2)</f>
        <v>0.58875135402952239</v>
      </c>
      <c r="L94" s="79">
        <f>IF($C94&lt;=Entradas!$E$124,"",G94*J94)</f>
        <v>0.68811818909603839</v>
      </c>
      <c r="M94" s="40"/>
    </row>
    <row r="95" spans="2:13">
      <c r="B95" s="39"/>
      <c r="C95" s="75">
        <v>90</v>
      </c>
      <c r="D95" s="110">
        <f>IF($C95&lt;=Entradas!$E$124,"",Observaciones!H95)</f>
        <v>1.7067722329624782</v>
      </c>
      <c r="E95" s="110">
        <f>IF($C95&lt;=Entradas!$E$124,"",LíneaBase!L96)</f>
        <v>1.5657471769351505</v>
      </c>
      <c r="F95" s="79">
        <f>IF($C95&lt;=Entradas!$E$124,"",D95-E95)</f>
        <v>0.14102505602732762</v>
      </c>
      <c r="G95" s="79">
        <f>IF($C95&lt;=Entradas!$E$124,"",D95-AVERAGE(D:D))</f>
        <v>0.80067355076899993</v>
      </c>
      <c r="H95" s="79">
        <f>IF($C95&lt;=Entradas!$E$124,"",F95^2)</f>
        <v>1.9888066427510894E-2</v>
      </c>
      <c r="I95" s="79">
        <f>IF($C95&lt;=Entradas!$E$124,"",G95^2)</f>
        <v>0.64107813490103827</v>
      </c>
      <c r="J95" s="79">
        <f>IF($C95&lt;=Entradas!$E$124,"",E95-AVERAGE(E:E))</f>
        <v>0.67016631313803265</v>
      </c>
      <c r="K95" s="79">
        <f>IF($C95&lt;=Entradas!$E$124,"",J95^2)</f>
        <v>0.44912288726502364</v>
      </c>
      <c r="L95" s="79">
        <f>IF($C95&lt;=Entradas!$E$124,"",G95*J95)</f>
        <v>0.53658444154599805</v>
      </c>
      <c r="M95" s="40"/>
    </row>
    <row r="96" spans="2:13">
      <c r="B96" s="39"/>
      <c r="C96" s="75">
        <v>91</v>
      </c>
      <c r="D96" s="110">
        <f>IF($C96&lt;=Entradas!$E$124,"",Observaciones!H96)</f>
        <v>1.6139090188549681</v>
      </c>
      <c r="E96" s="110">
        <f>IF($C96&lt;=Entradas!$E$124,"",LíneaBase!L97)</f>
        <v>1.4719535030100386</v>
      </c>
      <c r="F96" s="79">
        <f>IF($C96&lt;=Entradas!$E$124,"",D96-E96)</f>
        <v>0.14195551584492949</v>
      </c>
      <c r="G96" s="79">
        <f>IF($C96&lt;=Entradas!$E$124,"",D96-AVERAGE(D:D))</f>
        <v>0.70781033666148985</v>
      </c>
      <c r="H96" s="79">
        <f>IF($C96&lt;=Entradas!$E$124,"",F96^2)</f>
        <v>2.0151368478800027E-2</v>
      </c>
      <c r="I96" s="79">
        <f>IF($C96&lt;=Entradas!$E$124,"",G96^2)</f>
        <v>0.50099547268485156</v>
      </c>
      <c r="J96" s="79">
        <f>IF($C96&lt;=Entradas!$E$124,"",E96-AVERAGE(E:E))</f>
        <v>0.5763726392129207</v>
      </c>
      <c r="K96" s="79">
        <f>IF($C96&lt;=Entradas!$E$124,"",J96^2)</f>
        <v>0.33220541923326763</v>
      </c>
      <c r="L96" s="79">
        <f>IF($C96&lt;=Entradas!$E$124,"",G96*J96)</f>
        <v>0.4079625118037688</v>
      </c>
      <c r="M96" s="40"/>
    </row>
    <row r="97" spans="2:13">
      <c r="B97" s="39"/>
      <c r="C97" s="75">
        <v>92</v>
      </c>
      <c r="D97" s="110">
        <f>IF($C97&lt;=Entradas!$E$124,"",Observaciones!H97)</f>
        <v>1.5234173601148857</v>
      </c>
      <c r="E97" s="110">
        <f>IF($C97&lt;=Entradas!$E$124,"",LíneaBase!L98)</f>
        <v>1.3805735843568869</v>
      </c>
      <c r="F97" s="79">
        <f>IF($C97&lt;=Entradas!$E$124,"",D97-E97)</f>
        <v>0.14284377575799878</v>
      </c>
      <c r="G97" s="79">
        <f>IF($C97&lt;=Entradas!$E$124,"",D97-AVERAGE(D:D))</f>
        <v>0.61731867792140749</v>
      </c>
      <c r="H97" s="79">
        <f>IF($C97&lt;=Entradas!$E$124,"",F97^2)</f>
        <v>2.0404344272801439E-2</v>
      </c>
      <c r="I97" s="79">
        <f>IF($C97&lt;=Entradas!$E$124,"",G97^2)</f>
        <v>0.38108235011063446</v>
      </c>
      <c r="J97" s="79">
        <f>IF($C97&lt;=Entradas!$E$124,"",E97-AVERAGE(E:E))</f>
        <v>0.48499272055976905</v>
      </c>
      <c r="K97" s="79">
        <f>IF($C97&lt;=Entradas!$E$124,"",J97^2)</f>
        <v>0.23521793899596624</v>
      </c>
      <c r="L97" s="79">
        <f>IF($C97&lt;=Entradas!$E$124,"",G97*J97)</f>
        <v>0.29939506505746327</v>
      </c>
      <c r="M97" s="40"/>
    </row>
    <row r="98" spans="2:13">
      <c r="B98" s="39"/>
      <c r="C98" s="75">
        <v>93</v>
      </c>
      <c r="D98" s="110">
        <f>IF($C98&lt;=Entradas!$E$124,"",Observaciones!H98)</f>
        <v>1.4539643504233009</v>
      </c>
      <c r="E98" s="110">
        <f>IF($C98&lt;=Entradas!$E$124,"",LíneaBase!L99)</f>
        <v>1.3103381613151517</v>
      </c>
      <c r="F98" s="79">
        <f>IF($C98&lt;=Entradas!$E$124,"",D98-E98)</f>
        <v>0.14362618910814917</v>
      </c>
      <c r="G98" s="79">
        <f>IF($C98&lt;=Entradas!$E$124,"",D98-AVERAGE(D:D))</f>
        <v>0.54786566822982263</v>
      </c>
      <c r="H98" s="79">
        <f>IF($C98&lt;=Entradas!$E$124,"",F98^2)</f>
        <v>2.0628482197729829E-2</v>
      </c>
      <c r="I98" s="79">
        <f>IF($C98&lt;=Entradas!$E$124,"",G98^2)</f>
        <v>0.30015679042491006</v>
      </c>
      <c r="J98" s="79">
        <f>IF($C98&lt;=Entradas!$E$124,"",E98-AVERAGE(E:E))</f>
        <v>0.41475729751803381</v>
      </c>
      <c r="K98" s="79">
        <f>IF($C98&lt;=Entradas!$E$124,"",J98^2)</f>
        <v>0.17202361584446282</v>
      </c>
      <c r="L98" s="79">
        <f>IF($C98&lt;=Entradas!$E$124,"",G98*J98)</f>
        <v>0.22723128395791295</v>
      </c>
      <c r="M98" s="40"/>
    </row>
    <row r="99" spans="2:13">
      <c r="B99" s="39"/>
      <c r="C99" s="75">
        <v>94</v>
      </c>
      <c r="D99" s="110">
        <f>IF($C99&lt;=Entradas!$E$124,"",Observaciones!H99)</f>
        <v>1.3707006453922901</v>
      </c>
      <c r="E99" s="110">
        <f>IF($C99&lt;=Entradas!$E$124,"",LíneaBase!L100)</f>
        <v>1.2263915532532434</v>
      </c>
      <c r="F99" s="79">
        <f>IF($C99&lt;=Entradas!$E$124,"",D99-E99)</f>
        <v>0.14430909213904664</v>
      </c>
      <c r="G99" s="79">
        <f>IF($C99&lt;=Entradas!$E$124,"",D99-AVERAGE(D:D))</f>
        <v>0.46460196319881186</v>
      </c>
      <c r="H99" s="79">
        <f>IF($C99&lt;=Entradas!$E$124,"",F99^2)</f>
        <v>2.082511407399585E-2</v>
      </c>
      <c r="I99" s="79">
        <f>IF($C99&lt;=Entradas!$E$124,"",G99^2)</f>
        <v>0.21585498420819013</v>
      </c>
      <c r="J99" s="79">
        <f>IF($C99&lt;=Entradas!$E$124,"",E99-AVERAGE(E:E))</f>
        <v>0.33081068945612557</v>
      </c>
      <c r="K99" s="79">
        <f>IF($C99&lt;=Entradas!$E$124,"",J99^2)</f>
        <v>0.10943571225843715</v>
      </c>
      <c r="L99" s="79">
        <f>IF($C99&lt;=Entradas!$E$124,"",G99*J99)</f>
        <v>0.15369529576846844</v>
      </c>
      <c r="M99" s="40"/>
    </row>
    <row r="100" spans="2:13">
      <c r="B100" s="39"/>
      <c r="C100" s="75">
        <v>95</v>
      </c>
      <c r="D100" s="110">
        <f>IF($C100&lt;=Entradas!$E$124,"",Observaciones!H100)</f>
        <v>1.2902200528905174</v>
      </c>
      <c r="E100" s="110">
        <f>IF($C100&lt;=Entradas!$E$124,"",LíneaBase!L101)</f>
        <v>1.145288742987012</v>
      </c>
      <c r="F100" s="79">
        <f>IF($C100&lt;=Entradas!$E$124,"",D100-E100)</f>
        <v>0.14493130990350545</v>
      </c>
      <c r="G100" s="79">
        <f>IF($C100&lt;=Entradas!$E$124,"",D100-AVERAGE(D:D))</f>
        <v>0.38412137069703922</v>
      </c>
      <c r="H100" s="79">
        <f>IF($C100&lt;=Entradas!$E$124,"",F100^2)</f>
        <v>2.1005084590345936E-2</v>
      </c>
      <c r="I100" s="79">
        <f>IF($C100&lt;=Entradas!$E$124,"",G100^2)</f>
        <v>0.14754922742617221</v>
      </c>
      <c r="J100" s="79">
        <f>IF($C100&lt;=Entradas!$E$124,"",E100-AVERAGE(E:E))</f>
        <v>0.24970787918989412</v>
      </c>
      <c r="K100" s="79">
        <f>IF($C100&lt;=Entradas!$E$124,"",J100^2)</f>
        <v>6.2354024929514758E-2</v>
      </c>
      <c r="L100" s="79">
        <f>IF($C100&lt;=Entradas!$E$124,"",G100*J100)</f>
        <v>9.5918132828272801E-2</v>
      </c>
      <c r="M100" s="40"/>
    </row>
    <row r="101" spans="2:13">
      <c r="B101" s="39"/>
      <c r="C101" s="75">
        <v>96</v>
      </c>
      <c r="D101" s="110">
        <f>IF($C101&lt;=Entradas!$E$124,"",Observaciones!H101)</f>
        <v>1.2152595052007524</v>
      </c>
      <c r="E101" s="110">
        <f>IF($C101&lt;=Entradas!$E$124,"",LíneaBase!L102)</f>
        <v>1.0698753592782264</v>
      </c>
      <c r="F101" s="79">
        <f>IF($C101&lt;=Entradas!$E$124,"",D101-E101)</f>
        <v>0.14538414592252602</v>
      </c>
      <c r="G101" s="79">
        <f>IF($C101&lt;=Entradas!$E$124,"",D101-AVERAGE(D:D))</f>
        <v>0.30916082300727421</v>
      </c>
      <c r="H101" s="79">
        <f>IF($C101&lt;=Entradas!$E$124,"",F101^2)</f>
        <v>2.113654988562234E-2</v>
      </c>
      <c r="I101" s="79">
        <f>IF($C101&lt;=Entradas!$E$124,"",G101^2)</f>
        <v>9.5580414482535125E-2</v>
      </c>
      <c r="J101" s="79">
        <f>IF($C101&lt;=Entradas!$E$124,"",E101-AVERAGE(E:E))</f>
        <v>0.17429449548110854</v>
      </c>
      <c r="K101" s="79">
        <f>IF($C101&lt;=Entradas!$E$124,"",J101^2)</f>
        <v>3.0378571155014165E-2</v>
      </c>
      <c r="L101" s="79">
        <f>IF($C101&lt;=Entradas!$E$124,"",G101*J101)</f>
        <v>5.3885029668577153E-2</v>
      </c>
      <c r="M101" s="40"/>
    </row>
    <row r="102" spans="2:13">
      <c r="B102" s="39"/>
      <c r="C102" s="75">
        <v>97</v>
      </c>
      <c r="D102" s="110">
        <f>IF($C102&lt;=Entradas!$E$124,"",Observaciones!H102)</f>
        <v>1.1490388729876222</v>
      </c>
      <c r="E102" s="110">
        <f>IF($C102&lt;=Entradas!$E$124,"",LíneaBase!L103)</f>
        <v>1.0032311458587693</v>
      </c>
      <c r="F102" s="79">
        <f>IF($C102&lt;=Entradas!$E$124,"",D102-E102)</f>
        <v>0.14580772712885293</v>
      </c>
      <c r="G102" s="79">
        <f>IF($C102&lt;=Entradas!$E$124,"",D102-AVERAGE(D:D))</f>
        <v>0.24294019079414397</v>
      </c>
      <c r="H102" s="79">
        <f>IF($C102&lt;=Entradas!$E$124,"",F102^2)</f>
        <v>2.1259893290482033E-2</v>
      </c>
      <c r="I102" s="79">
        <f>IF($C102&lt;=Entradas!$E$124,"",G102^2)</f>
        <v>5.9019936303095079E-2</v>
      </c>
      <c r="J102" s="79">
        <f>IF($C102&lt;=Entradas!$E$124,"",E102-AVERAGE(E:E))</f>
        <v>0.10765028206165139</v>
      </c>
      <c r="K102" s="79">
        <f>IF($C102&lt;=Entradas!$E$124,"",J102^2)</f>
        <v>1.1588583227953104E-2</v>
      </c>
      <c r="L102" s="79">
        <f>IF($C102&lt;=Entradas!$E$124,"",G102*J102)</f>
        <v>2.6152580063101005E-2</v>
      </c>
      <c r="M102" s="40"/>
    </row>
    <row r="103" spans="2:13">
      <c r="B103" s="39"/>
      <c r="C103" s="75">
        <v>98</v>
      </c>
      <c r="D103" s="110">
        <f>IF($C103&lt;=Entradas!$E$124,"",Observaciones!H103)</f>
        <v>1.0807753160336795</v>
      </c>
      <c r="E103" s="110">
        <f>IF($C103&lt;=Entradas!$E$124,"",LíneaBase!L104)</f>
        <v>0.95719969037570041</v>
      </c>
      <c r="F103" s="79">
        <f>IF($C103&lt;=Entradas!$E$124,"",D103-E103)</f>
        <v>0.12357562565797908</v>
      </c>
      <c r="G103" s="79">
        <f>IF($C103&lt;=Entradas!$E$124,"",D103-AVERAGE(D:D))</f>
        <v>0.17467663384020127</v>
      </c>
      <c r="H103" s="79">
        <f>IF($C103&lt;=Entradas!$E$124,"",F103^2)</f>
        <v>1.5270935256760978E-2</v>
      </c>
      <c r="I103" s="79">
        <f>IF($C103&lt;=Entradas!$E$124,"",G103^2)</f>
        <v>3.0511926409743748E-2</v>
      </c>
      <c r="J103" s="79">
        <f>IF($C103&lt;=Entradas!$E$124,"",E103-AVERAGE(E:E))</f>
        <v>6.1618826578582531E-2</v>
      </c>
      <c r="K103" s="79">
        <f>IF($C103&lt;=Entradas!$E$124,"",J103^2)</f>
        <v>3.796879788921429E-3</v>
      </c>
      <c r="L103" s="79">
        <f>IF($C103&lt;=Entradas!$E$124,"",G103*J103)</f>
        <v>1.0763369207929923E-2</v>
      </c>
      <c r="M103" s="40"/>
    </row>
    <row r="104" spans="2:13">
      <c r="B104" s="39"/>
      <c r="C104" s="75">
        <v>99</v>
      </c>
      <c r="D104" s="110">
        <f>IF($C104&lt;=Entradas!$E$124,"",Observaciones!H104)</f>
        <v>1.0606774656290725</v>
      </c>
      <c r="E104" s="110">
        <f>IF($C104&lt;=Entradas!$E$124,"",LíneaBase!L105)</f>
        <v>0.94177017622949344</v>
      </c>
      <c r="F104" s="79">
        <f>IF($C104&lt;=Entradas!$E$124,"",D104-E104)</f>
        <v>0.11890728939957906</v>
      </c>
      <c r="G104" s="79">
        <f>IF($C104&lt;=Entradas!$E$124,"",D104-AVERAGE(D:D))</f>
        <v>0.15457878343559428</v>
      </c>
      <c r="H104" s="79">
        <f>IF($C104&lt;=Entradas!$E$124,"",F104^2)</f>
        <v>1.4138943472355248E-2</v>
      </c>
      <c r="I104" s="79">
        <f>IF($C104&lt;=Entradas!$E$124,"",G104^2)</f>
        <v>2.3894600288428356E-2</v>
      </c>
      <c r="J104" s="79">
        <f>IF($C104&lt;=Entradas!$E$124,"",E104-AVERAGE(E:E))</f>
        <v>4.6189312432375562E-2</v>
      </c>
      <c r="K104" s="79">
        <f>IF($C104&lt;=Entradas!$E$124,"",J104^2)</f>
        <v>2.1334525829756036E-3</v>
      </c>
      <c r="L104" s="79">
        <f>IF($C104&lt;=Entradas!$E$124,"",G104*J104)</f>
        <v>7.1398877235231842E-3</v>
      </c>
      <c r="M104" s="40"/>
    </row>
    <row r="105" spans="2:13">
      <c r="B105" s="39"/>
      <c r="C105" s="75">
        <v>100</v>
      </c>
      <c r="D105" s="110">
        <f>IF($C105&lt;=Entradas!$E$124,"",Observaciones!H105)</f>
        <v>1.0486584730463187</v>
      </c>
      <c r="E105" s="110">
        <f>IF($C105&lt;=Entradas!$E$124,"",LíneaBase!L106)</f>
        <v>0.93149540466666558</v>
      </c>
      <c r="F105" s="79">
        <f>IF($C105&lt;=Entradas!$E$124,"",D105-E105)</f>
        <v>0.11716306837965307</v>
      </c>
      <c r="G105" s="79">
        <f>IF($C105&lt;=Entradas!$E$124,"",D105-AVERAGE(D:D))</f>
        <v>0.14255979085284043</v>
      </c>
      <c r="H105" s="79">
        <f>IF($C105&lt;=Entradas!$E$124,"",F105^2)</f>
        <v>1.3727184592135261E-2</v>
      </c>
      <c r="I105" s="79">
        <f>IF($C105&lt;=Entradas!$E$124,"",G105^2)</f>
        <v>2.0323293968005605E-2</v>
      </c>
      <c r="J105" s="79">
        <f>IF($C105&lt;=Entradas!$E$124,"",E105-AVERAGE(E:E))</f>
        <v>3.5914540869547706E-2</v>
      </c>
      <c r="K105" s="79">
        <f>IF($C105&lt;=Entradas!$E$124,"",J105^2)</f>
        <v>1.2898542458704126E-3</v>
      </c>
      <c r="L105" s="79">
        <f>IF($C105&lt;=Entradas!$E$124,"",G105*J105)</f>
        <v>5.1199694349385108E-3</v>
      </c>
      <c r="M105" s="40"/>
    </row>
    <row r="106" spans="2:13">
      <c r="B106" s="39"/>
      <c r="C106" s="75">
        <v>101</v>
      </c>
      <c r="D106" s="110">
        <f>IF($C106&lt;=Entradas!$E$124,"",Observaciones!H106)</f>
        <v>1.0380656222792037</v>
      </c>
      <c r="E106" s="110">
        <f>IF($C106&lt;=Entradas!$E$124,"",LíneaBase!L107)</f>
        <v>0.92215200452356894</v>
      </c>
      <c r="F106" s="79">
        <f>IF($C106&lt;=Entradas!$E$124,"",D106-E106)</f>
        <v>0.1159136177556348</v>
      </c>
      <c r="G106" s="79">
        <f>IF($C106&lt;=Entradas!$E$124,"",D106-AVERAGE(D:D))</f>
        <v>0.13196694008572551</v>
      </c>
      <c r="H106" s="79">
        <f>IF($C106&lt;=Entradas!$E$124,"",F106^2)</f>
        <v>1.3435966781199415E-2</v>
      </c>
      <c r="I106" s="79">
        <f>IF($C106&lt;=Entradas!$E$124,"",G106^2)</f>
        <v>1.7415273275589466E-2</v>
      </c>
      <c r="J106" s="79">
        <f>IF($C106&lt;=Entradas!$E$124,"",E106-AVERAGE(E:E))</f>
        <v>2.6571140726451059E-2</v>
      </c>
      <c r="K106" s="79">
        <f>IF($C106&lt;=Entradas!$E$124,"",J106^2)</f>
        <v>7.0602551950486609E-4</v>
      </c>
      <c r="L106" s="79">
        <f>IF($C106&lt;=Entradas!$E$124,"",G106*J106)</f>
        <v>3.5065121362569483E-3</v>
      </c>
      <c r="M106" s="40"/>
    </row>
    <row r="107" spans="2:13">
      <c r="B107" s="39"/>
      <c r="C107" s="75">
        <v>102</v>
      </c>
      <c r="D107" s="110">
        <f>IF($C107&lt;=Entradas!$E$124,"",Observaciones!H107)</f>
        <v>1.0887431899739624</v>
      </c>
      <c r="E107" s="110">
        <f>IF($C107&lt;=Entradas!$E$124,"",LíneaBase!L108)</f>
        <v>0.9715288158531209</v>
      </c>
      <c r="F107" s="79">
        <f>IF($C107&lt;=Entradas!$E$124,"",D107-E107)</f>
        <v>0.11721437412084146</v>
      </c>
      <c r="G107" s="79">
        <f>IF($C107&lt;=Entradas!$E$124,"",D107-AVERAGE(D:D))</f>
        <v>0.18264450778048413</v>
      </c>
      <c r="H107" s="79">
        <f>IF($C107&lt;=Entradas!$E$124,"",F107^2)</f>
        <v>1.3739209500540587E-2</v>
      </c>
      <c r="I107" s="79">
        <f>IF($C107&lt;=Entradas!$E$124,"",G107^2)</f>
        <v>3.3359016222375332E-2</v>
      </c>
      <c r="J107" s="79">
        <f>IF($C107&lt;=Entradas!$E$124,"",E107-AVERAGE(E:E))</f>
        <v>7.5947952056003021E-2</v>
      </c>
      <c r="K107" s="79">
        <f>IF($C107&lt;=Entradas!$E$124,"",J107^2)</f>
        <v>5.7680914215009335E-3</v>
      </c>
      <c r="L107" s="79">
        <f>IF($C107&lt;=Entradas!$E$124,"",G107*J107)</f>
        <v>1.387147632020448E-2</v>
      </c>
      <c r="M107" s="40"/>
    </row>
    <row r="108" spans="2:13">
      <c r="B108" s="39"/>
      <c r="C108" s="75">
        <v>103</v>
      </c>
      <c r="D108" s="110">
        <f>IF($C108&lt;=Entradas!$E$124,"",Observaciones!H108)</f>
        <v>1.0833773615611493</v>
      </c>
      <c r="E108" s="110">
        <f>IF($C108&lt;=Entradas!$E$124,"",LíneaBase!L109)</f>
        <v>0.96508547615643092</v>
      </c>
      <c r="F108" s="79">
        <f>IF($C108&lt;=Entradas!$E$124,"",D108-E108)</f>
        <v>0.11829188540471836</v>
      </c>
      <c r="G108" s="79">
        <f>IF($C108&lt;=Entradas!$E$124,"",D108-AVERAGE(D:D))</f>
        <v>0.17727867936767105</v>
      </c>
      <c r="H108" s="79">
        <f>IF($C108&lt;=Entradas!$E$124,"",F108^2)</f>
        <v>1.3992970152603019E-2</v>
      </c>
      <c r="I108" s="79">
        <f>IF($C108&lt;=Entradas!$E$124,"",G108^2)</f>
        <v>3.1427730158345518E-2</v>
      </c>
      <c r="J108" s="79">
        <f>IF($C108&lt;=Entradas!$E$124,"",E108-AVERAGE(E:E))</f>
        <v>6.9504612359313045E-2</v>
      </c>
      <c r="K108" s="79">
        <f>IF($C108&lt;=Entradas!$E$124,"",J108^2)</f>
        <v>4.8308911392183716E-3</v>
      </c>
      <c r="L108" s="79">
        <f>IF($C108&lt;=Entradas!$E$124,"",G108*J108)</f>
        <v>1.2321685889020923E-2</v>
      </c>
      <c r="M108" s="40"/>
    </row>
    <row r="109" spans="2:13">
      <c r="B109" s="39"/>
      <c r="C109" s="75">
        <v>104</v>
      </c>
      <c r="D109" s="110">
        <f>IF($C109&lt;=Entradas!$E$124,"",Observaciones!H109)</f>
        <v>1.0185363626944253</v>
      </c>
      <c r="E109" s="110">
        <f>IF($C109&lt;=Entradas!$E$124,"",LíneaBase!L110)</f>
        <v>0.9052591121673117</v>
      </c>
      <c r="F109" s="79">
        <f>IF($C109&lt;=Entradas!$E$124,"",D109-E109)</f>
        <v>0.11327725052711357</v>
      </c>
      <c r="G109" s="79">
        <f>IF($C109&lt;=Entradas!$E$124,"",D109-AVERAGE(D:D))</f>
        <v>0.11243768050094705</v>
      </c>
      <c r="H109" s="79">
        <f>IF($C109&lt;=Entradas!$E$124,"",F109^2)</f>
        <v>1.2831735486982451E-2</v>
      </c>
      <c r="I109" s="79">
        <f>IF($C109&lt;=Entradas!$E$124,"",G109^2)</f>
        <v>1.2642231996433047E-2</v>
      </c>
      <c r="J109" s="79">
        <f>IF($C109&lt;=Entradas!$E$124,"",E109-AVERAGE(E:E))</f>
        <v>9.6782483701938204E-3</v>
      </c>
      <c r="K109" s="79">
        <f>IF($C109&lt;=Entradas!$E$124,"",J109^2)</f>
        <v>9.3668491515159341E-5</v>
      </c>
      <c r="L109" s="79">
        <f>IF($C109&lt;=Entradas!$E$124,"",G109*J109)</f>
        <v>1.0881997980566644E-3</v>
      </c>
      <c r="M109" s="40"/>
    </row>
    <row r="110" spans="2:13">
      <c r="B110" s="39"/>
      <c r="C110" s="75">
        <v>105</v>
      </c>
      <c r="D110" s="110">
        <f>IF($C110&lt;=Entradas!$E$124,"",Observaciones!H110)</f>
        <v>0.99951233700667741</v>
      </c>
      <c r="E110" s="110">
        <f>IF($C110&lt;=Entradas!$E$124,"",LíneaBase!L111)</f>
        <v>0.88798993587615049</v>
      </c>
      <c r="F110" s="79">
        <f>IF($C110&lt;=Entradas!$E$124,"",D110-E110)</f>
        <v>0.11152240113052692</v>
      </c>
      <c r="G110" s="79">
        <f>IF($C110&lt;=Entradas!$E$124,"",D110-AVERAGE(D:D))</f>
        <v>9.3413654813199187E-2</v>
      </c>
      <c r="H110" s="79">
        <f>IF($C110&lt;=Entradas!$E$124,"",F110^2)</f>
        <v>1.2437245953918151E-2</v>
      </c>
      <c r="I110" s="79">
        <f>IF($C110&lt;=Entradas!$E$124,"",G110^2)</f>
        <v>8.7261109055595323E-3</v>
      </c>
      <c r="J110" s="79">
        <f>IF($C110&lt;=Entradas!$E$124,"",E110-AVERAGE(E:E))</f>
        <v>-7.590927920967383E-3</v>
      </c>
      <c r="K110" s="79">
        <f>IF($C110&lt;=Entradas!$E$124,"",J110^2)</f>
        <v>5.7622186701322193E-5</v>
      </c>
      <c r="L110" s="79">
        <f>IF($C110&lt;=Entradas!$E$124,"",G110*J110)</f>
        <v>-7.0909632052112287E-4</v>
      </c>
      <c r="M110" s="40"/>
    </row>
    <row r="111" spans="2:13">
      <c r="B111" s="39"/>
      <c r="C111" s="75">
        <v>106</v>
      </c>
      <c r="D111" s="110">
        <f>IF($C111&lt;=Entradas!$E$124,"",Observaciones!H111)</f>
        <v>0.98817244421426786</v>
      </c>
      <c r="E111" s="110">
        <f>IF($C111&lt;=Entradas!$E$124,"",LíneaBase!L112)</f>
        <v>0.87785488367448106</v>
      </c>
      <c r="F111" s="79">
        <f>IF($C111&lt;=Entradas!$E$124,"",D111-E111)</f>
        <v>0.11031756053978681</v>
      </c>
      <c r="G111" s="79">
        <f>IF($C111&lt;=Entradas!$E$124,"",D111-AVERAGE(D:D))</f>
        <v>8.2073762020789642E-2</v>
      </c>
      <c r="H111" s="79">
        <f>IF($C111&lt;=Entradas!$E$124,"",F111^2)</f>
        <v>1.2169964163449527E-2</v>
      </c>
      <c r="I111" s="79">
        <f>IF($C111&lt;=Entradas!$E$124,"",G111^2)</f>
        <v>6.7361024122452127E-3</v>
      </c>
      <c r="J111" s="79">
        <f>IF($C111&lt;=Entradas!$E$124,"",E111-AVERAGE(E:E))</f>
        <v>-1.772598012263682E-2</v>
      </c>
      <c r="K111" s="79">
        <f>IF($C111&lt;=Entradas!$E$124,"",J111^2)</f>
        <v>3.1421037130811564E-4</v>
      </c>
      <c r="L111" s="79">
        <f>IF($C111&lt;=Entradas!$E$124,"",G111*J111)</f>
        <v>-1.454837874170542E-3</v>
      </c>
      <c r="M111" s="40"/>
    </row>
    <row r="112" spans="2:13">
      <c r="B112" s="39"/>
      <c r="C112" s="75">
        <v>107</v>
      </c>
      <c r="D112" s="110">
        <f>IF($C112&lt;=Entradas!$E$124,"",Observaciones!H112)</f>
        <v>0.97818825841460821</v>
      </c>
      <c r="E112" s="110">
        <f>IF($C112&lt;=Entradas!$E$124,"",LíneaBase!L113)</f>
        <v>0.86897526963874494</v>
      </c>
      <c r="F112" s="79">
        <f>IF($C112&lt;=Entradas!$E$124,"",D112-E112)</f>
        <v>0.10921298877586327</v>
      </c>
      <c r="G112" s="79">
        <f>IF($C112&lt;=Entradas!$E$124,"",D112-AVERAGE(D:D))</f>
        <v>7.2089576221129992E-2</v>
      </c>
      <c r="H112" s="79">
        <f>IF($C112&lt;=Entradas!$E$124,"",F112^2)</f>
        <v>1.1927476917356837E-2</v>
      </c>
      <c r="I112" s="79">
        <f>IF($C112&lt;=Entradas!$E$124,"",G112^2)</f>
        <v>5.1969069997421105E-3</v>
      </c>
      <c r="J112" s="79">
        <f>IF($C112&lt;=Entradas!$E$124,"",E112-AVERAGE(E:E))</f>
        <v>-2.6605594158372936E-2</v>
      </c>
      <c r="K112" s="79">
        <f>IF($C112&lt;=Entradas!$E$124,"",J112^2)</f>
        <v>7.0785764052004813E-4</v>
      </c>
      <c r="L112" s="79">
        <f>IF($C112&lt;=Entradas!$E$124,"",G112*J112)</f>
        <v>-1.9179860079884766E-3</v>
      </c>
      <c r="M112" s="40"/>
    </row>
    <row r="113" spans="2:13">
      <c r="B113" s="39"/>
      <c r="C113" s="75">
        <v>108</v>
      </c>
      <c r="D113" s="110">
        <f>IF($C113&lt;=Entradas!$E$124,"",Observaciones!H113)</f>
        <v>0.97327778332761328</v>
      </c>
      <c r="E113" s="110">
        <f>IF($C113&lt;=Entradas!$E$124,"",LíneaBase!L114)</f>
        <v>0.86514381439258936</v>
      </c>
      <c r="F113" s="79">
        <f>IF($C113&lt;=Entradas!$E$124,"",D113-E113)</f>
        <v>0.10813396893502392</v>
      </c>
      <c r="G113" s="79">
        <f>IF($C113&lt;=Entradas!$E$124,"",D113-AVERAGE(D:D))</f>
        <v>6.7179101134135055E-2</v>
      </c>
      <c r="H113" s="79">
        <f>IF($C113&lt;=Entradas!$E$124,"",F113^2)</f>
        <v>1.1692955237640718E-2</v>
      </c>
      <c r="I113" s="79">
        <f>IF($C113&lt;=Entradas!$E$124,"",G113^2)</f>
        <v>4.5130316291903455E-3</v>
      </c>
      <c r="J113" s="79">
        <f>IF($C113&lt;=Entradas!$E$124,"",E113-AVERAGE(E:E))</f>
        <v>-3.0437049404528516E-2</v>
      </c>
      <c r="K113" s="79">
        <f>IF($C113&lt;=Entradas!$E$124,"",J113^2)</f>
        <v>9.2641397645370962E-4</v>
      </c>
      <c r="L113" s="79">
        <f>IF($C113&lt;=Entradas!$E$124,"",G113*J113)</f>
        <v>-2.0447336201714862E-3</v>
      </c>
      <c r="M113" s="40"/>
    </row>
    <row r="114" spans="2:13">
      <c r="B114" s="39"/>
      <c r="C114" s="75">
        <v>109</v>
      </c>
      <c r="D114" s="110">
        <f>IF($C114&lt;=Entradas!$E$124,"",Observaciones!H114)</f>
        <v>0.96315680945707449</v>
      </c>
      <c r="E114" s="110">
        <f>IF($C114&lt;=Entradas!$E$124,"",LíneaBase!L115)</f>
        <v>0.85608879451715103</v>
      </c>
      <c r="F114" s="79">
        <f>IF($C114&lt;=Entradas!$E$124,"",D114-E114)</f>
        <v>0.10706801493992346</v>
      </c>
      <c r="G114" s="79">
        <f>IF($C114&lt;=Entradas!$E$124,"",D114-AVERAGE(D:D))</f>
        <v>5.705812726359627E-2</v>
      </c>
      <c r="H114" s="79">
        <f>IF($C114&lt;=Entradas!$E$124,"",F114^2)</f>
        <v>1.1463559823175673E-2</v>
      </c>
      <c r="I114" s="79">
        <f>IF($C114&lt;=Entradas!$E$124,"",G114^2)</f>
        <v>3.2556298868287479E-3</v>
      </c>
      <c r="J114" s="79">
        <f>IF($C114&lt;=Entradas!$E$124,"",E114-AVERAGE(E:E))</f>
        <v>-3.9492069279966846E-2</v>
      </c>
      <c r="K114" s="79">
        <f>IF($C114&lt;=Entradas!$E$124,"",J114^2)</f>
        <v>1.5596235360137011E-3</v>
      </c>
      <c r="L114" s="79">
        <f>IF($C114&lt;=Entradas!$E$124,"",G114*J114)</f>
        <v>-2.2533435148791091E-3</v>
      </c>
      <c r="M114" s="40"/>
    </row>
    <row r="115" spans="2:13">
      <c r="B115" s="39"/>
      <c r="C115" s="75">
        <v>110</v>
      </c>
      <c r="D115" s="110">
        <f>IF($C115&lt;=Entradas!$E$124,"",Observaciones!H115)</f>
        <v>0.95020567447289872</v>
      </c>
      <c r="E115" s="110">
        <f>IF($C115&lt;=Entradas!$E$124,"",LíneaBase!L116)</f>
        <v>0.84419270653941114</v>
      </c>
      <c r="F115" s="79">
        <f>IF($C115&lt;=Entradas!$E$124,"",D115-E115)</f>
        <v>0.10601296793348758</v>
      </c>
      <c r="G115" s="79">
        <f>IF($C115&lt;=Entradas!$E$124,"",D115-AVERAGE(D:D))</f>
        <v>4.4106992279420498E-2</v>
      </c>
      <c r="H115" s="79">
        <f>IF($C115&lt;=Entradas!$E$124,"",F115^2)</f>
        <v>1.1238749370066666E-2</v>
      </c>
      <c r="I115" s="79">
        <f>IF($C115&lt;=Entradas!$E$124,"",G115^2)</f>
        <v>1.9454267679368594E-3</v>
      </c>
      <c r="J115" s="79">
        <f>IF($C115&lt;=Entradas!$E$124,"",E115-AVERAGE(E:E))</f>
        <v>-5.1388157257706735E-2</v>
      </c>
      <c r="K115" s="79">
        <f>IF($C115&lt;=Entradas!$E$124,"",J115^2)</f>
        <v>2.6407427063427974E-3</v>
      </c>
      <c r="L115" s="79">
        <f>IF($C115&lt;=Entradas!$E$124,"",G115*J115)</f>
        <v>-2.2665770554193172E-3</v>
      </c>
      <c r="M115" s="40"/>
    </row>
    <row r="116" spans="2:13">
      <c r="B116" s="39"/>
      <c r="C116" s="75">
        <v>111</v>
      </c>
      <c r="D116" s="110">
        <f>IF($C116&lt;=Entradas!$E$124,"",Observaciones!H116)</f>
        <v>0.94026877902682371</v>
      </c>
      <c r="E116" s="110">
        <f>IF($C116&lt;=Entradas!$E$124,"",LíneaBase!L117)</f>
        <v>0.83530039545029089</v>
      </c>
      <c r="F116" s="79">
        <f>IF($C116&lt;=Entradas!$E$124,"",D116-E116)</f>
        <v>0.10496838357653282</v>
      </c>
      <c r="G116" s="79">
        <f>IF($C116&lt;=Entradas!$E$124,"",D116-AVERAGE(D:D))</f>
        <v>3.4170096833345487E-2</v>
      </c>
      <c r="H116" s="79">
        <f>IF($C116&lt;=Entradas!$E$124,"",F116^2)</f>
        <v>1.1018361550670125E-2</v>
      </c>
      <c r="I116" s="79">
        <f>IF($C116&lt;=Entradas!$E$124,"",G116^2)</f>
        <v>1.1675955176002073E-3</v>
      </c>
      <c r="J116" s="79">
        <f>IF($C116&lt;=Entradas!$E$124,"",E116-AVERAGE(E:E))</f>
        <v>-6.0280468346826988E-2</v>
      </c>
      <c r="K116" s="79">
        <f>IF($C116&lt;=Entradas!$E$124,"",J116^2)</f>
        <v>3.6337348641128104E-3</v>
      </c>
      <c r="L116" s="79">
        <f>IF($C116&lt;=Entradas!$E$124,"",G116*J116)</f>
        <v>-2.0597894405704957E-3</v>
      </c>
      <c r="M116" s="40"/>
    </row>
    <row r="117" spans="2:13">
      <c r="B117" s="39"/>
      <c r="C117" s="75">
        <v>112</v>
      </c>
      <c r="D117" s="110">
        <f>IF($C117&lt;=Entradas!$E$124,"",Observaciones!H117)</f>
        <v>0.93499643131339782</v>
      </c>
      <c r="E117" s="110">
        <f>IF($C117&lt;=Entradas!$E$124,"",LíneaBase!L118)</f>
        <v>0.83106232843429184</v>
      </c>
      <c r="F117" s="79">
        <f>IF($C117&lt;=Entradas!$E$124,"",D117-E117)</f>
        <v>0.10393410287910598</v>
      </c>
      <c r="G117" s="79">
        <f>IF($C117&lt;=Entradas!$E$124,"",D117-AVERAGE(D:D))</f>
        <v>2.8897749119919602E-2</v>
      </c>
      <c r="H117" s="79">
        <f>IF($C117&lt;=Entradas!$E$124,"",F117^2)</f>
        <v>1.0802297741284586E-2</v>
      </c>
      <c r="I117" s="79">
        <f>IF($C117&lt;=Entradas!$E$124,"",G117^2)</f>
        <v>8.3507990419781413E-4</v>
      </c>
      <c r="J117" s="79">
        <f>IF($C117&lt;=Entradas!$E$124,"",E117-AVERAGE(E:E))</f>
        <v>-6.4518535362826035E-2</v>
      </c>
      <c r="K117" s="79">
        <f>IF($C117&lt;=Entradas!$E$124,"",J117^2)</f>
        <v>4.1626414053642334E-3</v>
      </c>
      <c r="L117" s="79">
        <f>IF($C117&lt;=Entradas!$E$124,"",G117*J117)</f>
        <v>-1.8644404484996079E-3</v>
      </c>
      <c r="M117" s="40"/>
    </row>
    <row r="118" spans="2:13">
      <c r="B118" s="39"/>
      <c r="C118" s="75">
        <v>113</v>
      </c>
      <c r="D118" s="110">
        <f>IF($C118&lt;=Entradas!$E$124,"",Observaciones!H118)</f>
        <v>0.92239879973718275</v>
      </c>
      <c r="E118" s="110">
        <f>IF($C118&lt;=Entradas!$E$124,"",LíneaBase!L119)</f>
        <v>0.81948878469605779</v>
      </c>
      <c r="F118" s="79">
        <f>IF($C118&lt;=Entradas!$E$124,"",D118-E118)</f>
        <v>0.10291001504112496</v>
      </c>
      <c r="G118" s="79">
        <f>IF($C118&lt;=Entradas!$E$124,"",D118-AVERAGE(D:D))</f>
        <v>1.6300117543704529E-2</v>
      </c>
      <c r="H118" s="79">
        <f>IF($C118&lt;=Entradas!$E$124,"",F118^2)</f>
        <v>1.0590471195764565E-2</v>
      </c>
      <c r="I118" s="79">
        <f>IF($C118&lt;=Entradas!$E$124,"",G118^2)</f>
        <v>2.6569383193858416E-4</v>
      </c>
      <c r="J118" s="79">
        <f>IF($C118&lt;=Entradas!$E$124,"",E118-AVERAGE(E:E))</f>
        <v>-7.6092079101060084E-2</v>
      </c>
      <c r="K118" s="79">
        <f>IF($C118&lt;=Entradas!$E$124,"",J118^2)</f>
        <v>5.7900045019219845E-3</v>
      </c>
      <c r="L118" s="79">
        <f>IF($C118&lt;=Entradas!$E$124,"",G118*J118)</f>
        <v>-1.2403098334921423E-3</v>
      </c>
      <c r="M118" s="40"/>
    </row>
    <row r="119" spans="2:13">
      <c r="B119" s="39"/>
      <c r="C119" s="75">
        <v>114</v>
      </c>
      <c r="D119" s="110">
        <f>IF($C119&lt;=Entradas!$E$124,"",Observaciones!H119)</f>
        <v>0.91274850860403167</v>
      </c>
      <c r="E119" s="110">
        <f>IF($C119&lt;=Entradas!$E$124,"",LíneaBase!L120)</f>
        <v>0.81085249051328423</v>
      </c>
      <c r="F119" s="79">
        <f>IF($C119&lt;=Entradas!$E$124,"",D119-E119)</f>
        <v>0.10189601809074744</v>
      </c>
      <c r="G119" s="79">
        <f>IF($C119&lt;=Entradas!$E$124,"",D119-AVERAGE(D:D))</f>
        <v>6.6498264105534499E-3</v>
      </c>
      <c r="H119" s="79">
        <f>IF($C119&lt;=Entradas!$E$124,"",F119^2)</f>
        <v>1.0382798502749931E-2</v>
      </c>
      <c r="I119" s="79">
        <f>IF($C119&lt;=Entradas!$E$124,"",G119^2)</f>
        <v>4.422019129049418E-5</v>
      </c>
      <c r="J119" s="79">
        <f>IF($C119&lt;=Entradas!$E$124,"",E119-AVERAGE(E:E))</f>
        <v>-8.4728373283833647E-2</v>
      </c>
      <c r="K119" s="79">
        <f>IF($C119&lt;=Entradas!$E$124,"",J119^2)</f>
        <v>7.1788972393246556E-3</v>
      </c>
      <c r="L119" s="79">
        <f>IF($C119&lt;=Entradas!$E$124,"",G119*J119)</f>
        <v>-5.6342897438606829E-4</v>
      </c>
      <c r="M119" s="40"/>
    </row>
    <row r="120" spans="2:13">
      <c r="B120" s="39"/>
      <c r="C120" s="75">
        <v>115</v>
      </c>
      <c r="D120" s="110">
        <f>IF($C120&lt;=Entradas!$E$124,"",Observaciones!H120)</f>
        <v>0.90366177768538103</v>
      </c>
      <c r="E120" s="110">
        <f>IF($C120&lt;=Entradas!$E$124,"",LíneaBase!L121)</f>
        <v>0.80276976534073163</v>
      </c>
      <c r="F120" s="79">
        <f>IF($C120&lt;=Entradas!$E$124,"",D120-E120)</f>
        <v>0.1008920123446494</v>
      </c>
      <c r="G120" s="79">
        <f>IF($C120&lt;=Entradas!$E$124,"",D120-AVERAGE(D:D))</f>
        <v>-2.4369045080971929E-3</v>
      </c>
      <c r="H120" s="79">
        <f>IF($C120&lt;=Entradas!$E$124,"",F120^2)</f>
        <v>1.0179198154952886E-2</v>
      </c>
      <c r="I120" s="79">
        <f>IF($C120&lt;=Entradas!$E$124,"",G120^2)</f>
        <v>5.9385035815844216E-6</v>
      </c>
      <c r="J120" s="79">
        <f>IF($C120&lt;=Entradas!$E$124,"",E120-AVERAGE(E:E))</f>
        <v>-9.2811098456386243E-2</v>
      </c>
      <c r="K120" s="79">
        <f>IF($C120&lt;=Entradas!$E$124,"",J120^2)</f>
        <v>8.6138999966810202E-3</v>
      </c>
      <c r="L120" s="79">
        <f>IF($C120&lt;=Entradas!$E$124,"",G120*J120)</f>
        <v>2.2617178422982005E-4</v>
      </c>
      <c r="M120" s="40"/>
    </row>
    <row r="121" spans="2:13">
      <c r="B121" s="39"/>
      <c r="C121" s="75">
        <v>116</v>
      </c>
      <c r="D121" s="110">
        <f>IF($C121&lt;=Entradas!$E$124,"",Observaciones!H121)</f>
        <v>1.9000128438682864</v>
      </c>
      <c r="E121" s="110">
        <f>IF($C121&lt;=Entradas!$E$124,"",LíneaBase!L122)</f>
        <v>2.0927104196115405</v>
      </c>
      <c r="F121" s="79">
        <f>IF($C121&lt;=Entradas!$E$124,"",D121-E121)</f>
        <v>-0.19269757574325408</v>
      </c>
      <c r="G121" s="79">
        <f>IF($C121&lt;=Entradas!$E$124,"",D121-AVERAGE(D:D))</f>
        <v>0.99391416167480817</v>
      </c>
      <c r="H121" s="79">
        <f>IF($C121&lt;=Entradas!$E$124,"",F121^2)</f>
        <v>3.7132355697327146E-2</v>
      </c>
      <c r="I121" s="79">
        <f>IF($C121&lt;=Entradas!$E$124,"",G121^2)</f>
        <v>0.98786536077773668</v>
      </c>
      <c r="J121" s="79">
        <f>IF($C121&lt;=Entradas!$E$124,"",E121-AVERAGE(E:E))</f>
        <v>1.1971295558144226</v>
      </c>
      <c r="K121" s="79">
        <f>IF($C121&lt;=Entradas!$E$124,"",J121^2)</f>
        <v>1.4331191734044368</v>
      </c>
      <c r="L121" s="79">
        <f>IF($C121&lt;=Entradas!$E$124,"",G121*J121)</f>
        <v>1.1898440188834274</v>
      </c>
      <c r="M121" s="40"/>
    </row>
    <row r="122" spans="2:13">
      <c r="B122" s="39"/>
      <c r="C122" s="75">
        <v>117</v>
      </c>
      <c r="D122" s="110">
        <f>IF($C122&lt;=Entradas!$E$124,"",Observaciones!H122)</f>
        <v>1.1708370253172318</v>
      </c>
      <c r="E122" s="110">
        <f>IF($C122&lt;=Entradas!$E$124,"",LíneaBase!L123)</f>
        <v>1.0574316775508241</v>
      </c>
      <c r="F122" s="79">
        <f>IF($C122&lt;=Entradas!$E$124,"",D122-E122)</f>
        <v>0.11340534776640765</v>
      </c>
      <c r="G122" s="79">
        <f>IF($C122&lt;=Entradas!$E$124,"",D122-AVERAGE(D:D))</f>
        <v>0.26473834312375355</v>
      </c>
      <c r="H122" s="79">
        <f>IF($C122&lt;=Entradas!$E$124,"",F122^2)</f>
        <v>1.2860772902019861E-2</v>
      </c>
      <c r="I122" s="79">
        <f>IF($C122&lt;=Entradas!$E$124,"",G122^2)</f>
        <v>7.0086390319910263E-2</v>
      </c>
      <c r="J122" s="79">
        <f>IF($C122&lt;=Entradas!$E$124,"",E122-AVERAGE(E:E))</f>
        <v>0.16185081375370625</v>
      </c>
      <c r="K122" s="79">
        <f>IF($C122&lt;=Entradas!$E$124,"",J122^2)</f>
        <v>2.6195685912736907E-2</v>
      </c>
      <c r="L122" s="79">
        <f>IF($C122&lt;=Entradas!$E$124,"",G122*J122)</f>
        <v>4.2848116266387418E-2</v>
      </c>
      <c r="M122" s="40"/>
    </row>
    <row r="123" spans="2:13">
      <c r="B123" s="39"/>
      <c r="C123" s="75">
        <v>118</v>
      </c>
      <c r="D123" s="110">
        <f>IF($C123&lt;=Entradas!$E$124,"",Observaciones!H123)</f>
        <v>1.100456065246725</v>
      </c>
      <c r="E123" s="110">
        <f>IF($C123&lt;=Entradas!$E$124,"",LíneaBase!L124)</f>
        <v>0.98630924202356429</v>
      </c>
      <c r="F123" s="79">
        <f>IF($C123&lt;=Entradas!$E$124,"",D123-E123)</f>
        <v>0.11414682322316072</v>
      </c>
      <c r="G123" s="79">
        <f>IF($C123&lt;=Entradas!$E$124,"",D123-AVERAGE(D:D))</f>
        <v>0.19435738305324679</v>
      </c>
      <c r="H123" s="79">
        <f>IF($C123&lt;=Entradas!$E$124,"",F123^2)</f>
        <v>1.3029497251939503E-2</v>
      </c>
      <c r="I123" s="79">
        <f>IF($C123&lt;=Entradas!$E$124,"",G123^2)</f>
        <v>3.7774792347306504E-2</v>
      </c>
      <c r="J123" s="79">
        <f>IF($C123&lt;=Entradas!$E$124,"",E123-AVERAGE(E:E))</f>
        <v>9.0728378226446416E-2</v>
      </c>
      <c r="K123" s="79">
        <f>IF($C123&lt;=Entradas!$E$124,"",J123^2)</f>
        <v>8.2316386156011164E-3</v>
      </c>
      <c r="L123" s="79">
        <f>IF($C123&lt;=Entradas!$E$124,"",G123*J123)</f>
        <v>1.76337301607573E-2</v>
      </c>
      <c r="M123" s="40"/>
    </row>
    <row r="124" spans="2:13">
      <c r="B124" s="39"/>
      <c r="C124" s="75">
        <v>119</v>
      </c>
      <c r="D124" s="110">
        <f>IF($C124&lt;=Entradas!$E$124,"",Observaciones!H124)</f>
        <v>1.0306468915308535</v>
      </c>
      <c r="E124" s="110">
        <f>IF($C124&lt;=Entradas!$E$124,"",LíneaBase!L125)</f>
        <v>0.91574259852252682</v>
      </c>
      <c r="F124" s="79">
        <f>IF($C124&lt;=Entradas!$E$124,"",D124-E124)</f>
        <v>0.11490429300832672</v>
      </c>
      <c r="G124" s="79">
        <f>IF($C124&lt;=Entradas!$E$124,"",D124-AVERAGE(D:D))</f>
        <v>0.12454820933737532</v>
      </c>
      <c r="H124" s="79">
        <f>IF($C124&lt;=Entradas!$E$124,"",F124^2)</f>
        <v>1.3202996551743401E-2</v>
      </c>
      <c r="I124" s="79">
        <f>IF($C124&lt;=Entradas!$E$124,"",G124^2)</f>
        <v>1.5512256449146663E-2</v>
      </c>
      <c r="J124" s="79">
        <f>IF($C124&lt;=Entradas!$E$124,"",E124-AVERAGE(E:E))</f>
        <v>2.0161734725408942E-2</v>
      </c>
      <c r="K124" s="79">
        <f>IF($C124&lt;=Entradas!$E$124,"",J124^2)</f>
        <v>4.0649554713776076E-4</v>
      </c>
      <c r="L124" s="79">
        <f>IF($C124&lt;=Entradas!$E$124,"",G124*J124)</f>
        <v>2.511107957184862E-3</v>
      </c>
      <c r="M124" s="40"/>
    </row>
    <row r="125" spans="2:13">
      <c r="B125" s="39"/>
      <c r="C125" s="75">
        <v>120</v>
      </c>
      <c r="D125" s="110">
        <f>IF($C125&lt;=Entradas!$E$124,"",Observaciones!H125)</f>
        <v>0.96475238973979693</v>
      </c>
      <c r="E125" s="110">
        <f>IF($C125&lt;=Entradas!$E$124,"",LíneaBase!L126)</f>
        <v>0.84920747135622654</v>
      </c>
      <c r="F125" s="79">
        <f>IF($C125&lt;=Entradas!$E$124,"",D125-E125)</f>
        <v>0.11554491838357039</v>
      </c>
      <c r="G125" s="79">
        <f>IF($C125&lt;=Entradas!$E$124,"",D125-AVERAGE(D:D))</f>
        <v>5.8653707546318712E-2</v>
      </c>
      <c r="H125" s="79">
        <f>IF($C125&lt;=Entradas!$E$124,"",F125^2)</f>
        <v>1.3350628164265944E-2</v>
      </c>
      <c r="I125" s="79">
        <f>IF($C125&lt;=Entradas!$E$124,"",G125^2)</f>
        <v>3.4402574089290846E-3</v>
      </c>
      <c r="J125" s="79">
        <f>IF($C125&lt;=Entradas!$E$124,"",E125-AVERAGE(E:E))</f>
        <v>-4.6373392440891337E-2</v>
      </c>
      <c r="K125" s="79">
        <f>IF($C125&lt;=Entradas!$E$124,"",J125^2)</f>
        <v>2.1504915264769177E-3</v>
      </c>
      <c r="L125" s="79">
        <f>IF($C125&lt;=Entradas!$E$124,"",G125*J125)</f>
        <v>-2.7199713981587072E-3</v>
      </c>
      <c r="M125" s="40"/>
    </row>
    <row r="126" spans="2:13">
      <c r="B126" s="39"/>
      <c r="C126" s="75">
        <v>121</v>
      </c>
      <c r="D126" s="110">
        <f>IF($C126&lt;=Entradas!$E$124,"",Observaciones!H126)</f>
        <v>0.901247931503947</v>
      </c>
      <c r="E126" s="110">
        <f>IF($C126&lt;=Entradas!$E$124,"",LíneaBase!L127)</f>
        <v>0.78512018856102328</v>
      </c>
      <c r="F126" s="79">
        <f>IF($C126&lt;=Entradas!$E$124,"",D126-E126)</f>
        <v>0.11612774294292372</v>
      </c>
      <c r="G126" s="79">
        <f>IF($C126&lt;=Entradas!$E$124,"",D126-AVERAGE(D:D))</f>
        <v>-4.8507506895312247E-3</v>
      </c>
      <c r="H126" s="79">
        <f>IF($C126&lt;=Entradas!$E$124,"",F126^2)</f>
        <v>1.3485652681017769E-2</v>
      </c>
      <c r="I126" s="79">
        <f>IF($C126&lt;=Entradas!$E$124,"",G126^2)</f>
        <v>2.352978225198765E-5</v>
      </c>
      <c r="J126" s="79">
        <f>IF($C126&lt;=Entradas!$E$124,"",E126-AVERAGE(E:E))</f>
        <v>-0.1104606752360946</v>
      </c>
      <c r="K126" s="79">
        <f>IF($C126&lt;=Entradas!$E$124,"",J126^2)</f>
        <v>1.2201560773613961E-2</v>
      </c>
      <c r="L126" s="79">
        <f>IF($C126&lt;=Entradas!$E$124,"",G126*J126)</f>
        <v>5.3581719656757055E-4</v>
      </c>
      <c r="M126" s="40"/>
    </row>
    <row r="127" spans="2:13">
      <c r="B127" s="39"/>
      <c r="C127" s="75">
        <v>122</v>
      </c>
      <c r="D127" s="110">
        <f>IF($C127&lt;=Entradas!$E$124,"",Observaciones!H127)</f>
        <v>0.85138058655227067</v>
      </c>
      <c r="E127" s="110">
        <f>IF($C127&lt;=Entradas!$E$124,"",LíneaBase!L128)</f>
        <v>0.75375115527646586</v>
      </c>
      <c r="F127" s="79">
        <f>IF($C127&lt;=Entradas!$E$124,"",D127-E127)</f>
        <v>9.7629431275804812E-2</v>
      </c>
      <c r="G127" s="79">
        <f>IF($C127&lt;=Entradas!$E$124,"",D127-AVERAGE(D:D))</f>
        <v>-5.4718095641207554E-2</v>
      </c>
      <c r="H127" s="79">
        <f>IF($C127&lt;=Entradas!$E$124,"",F127^2)</f>
        <v>9.5315058512370956E-3</v>
      </c>
      <c r="I127" s="79">
        <f>IF($C127&lt;=Entradas!$E$124,"",G127^2)</f>
        <v>2.9940699906003372E-3</v>
      </c>
      <c r="J127" s="79">
        <f>IF($C127&lt;=Entradas!$E$124,"",E127-AVERAGE(E:E))</f>
        <v>-0.14182970852065202</v>
      </c>
      <c r="K127" s="79">
        <f>IF($C127&lt;=Entradas!$E$124,"",J127^2)</f>
        <v>2.0115666219053113E-2</v>
      </c>
      <c r="L127" s="79">
        <f>IF($C127&lt;=Entradas!$E$124,"",G127*J127)</f>
        <v>7.7606515555976273E-3</v>
      </c>
      <c r="M127" s="40"/>
    </row>
    <row r="128" spans="2:13">
      <c r="B128" s="39"/>
      <c r="C128" s="75">
        <v>123</v>
      </c>
      <c r="D128" s="110">
        <f>IF($C128&lt;=Entradas!$E$124,"",Observaciones!H128)</f>
        <v>0.83619047623077258</v>
      </c>
      <c r="E128" s="110">
        <f>IF($C128&lt;=Entradas!$E$124,"",LíneaBase!L129)</f>
        <v>0.74240268288325062</v>
      </c>
      <c r="F128" s="79">
        <f>IF($C128&lt;=Entradas!$E$124,"",D128-E128)</f>
        <v>9.3787793347521964E-2</v>
      </c>
      <c r="G128" s="79">
        <f>IF($C128&lt;=Entradas!$E$124,"",D128-AVERAGE(D:D))</f>
        <v>-6.9908205962705638E-2</v>
      </c>
      <c r="H128" s="79">
        <f>IF($C128&lt;=Entradas!$E$124,"",F128^2)</f>
        <v>8.7961501809974852E-3</v>
      </c>
      <c r="I128" s="79">
        <f>IF($C128&lt;=Entradas!$E$124,"",G128^2)</f>
        <v>4.8871572609240719E-3</v>
      </c>
      <c r="J128" s="79">
        <f>IF($C128&lt;=Entradas!$E$124,"",E128-AVERAGE(E:E))</f>
        <v>-0.15317818091386726</v>
      </c>
      <c r="K128" s="79">
        <f>IF($C128&lt;=Entradas!$E$124,"",J128^2)</f>
        <v>2.3463555108081447E-2</v>
      </c>
      <c r="L128" s="79">
        <f>IF($C128&lt;=Entradas!$E$124,"",G128*J128)</f>
        <v>1.0708411820319218E-2</v>
      </c>
      <c r="M128" s="40"/>
    </row>
    <row r="129" spans="2:13">
      <c r="B129" s="39"/>
      <c r="C129" s="75">
        <v>124</v>
      </c>
      <c r="D129" s="110">
        <f>IF($C129&lt;=Entradas!$E$124,"",Observaciones!H129)</f>
        <v>0.82682271707983279</v>
      </c>
      <c r="E129" s="110">
        <f>IF($C129&lt;=Entradas!$E$124,"",LíneaBase!L130)</f>
        <v>0.73443687938034574</v>
      </c>
      <c r="F129" s="79">
        <f>IF($C129&lt;=Entradas!$E$124,"",D129-E129)</f>
        <v>9.238583769948705E-2</v>
      </c>
      <c r="G129" s="79">
        <f>IF($C129&lt;=Entradas!$E$124,"",D129-AVERAGE(D:D))</f>
        <v>-7.927596511364543E-2</v>
      </c>
      <c r="H129" s="79">
        <f>IF($C129&lt;=Entradas!$E$124,"",F129^2)</f>
        <v>8.5351430074359618E-3</v>
      </c>
      <c r="I129" s="79">
        <f>IF($C129&lt;=Entradas!$E$124,"",G129^2)</f>
        <v>6.2846786446999273E-3</v>
      </c>
      <c r="J129" s="79">
        <f>IF($C129&lt;=Entradas!$E$124,"",E129-AVERAGE(E:E))</f>
        <v>-0.16114398441677213</v>
      </c>
      <c r="K129" s="79">
        <f>IF($C129&lt;=Entradas!$E$124,"",J129^2)</f>
        <v>2.5967383713712901E-2</v>
      </c>
      <c r="L129" s="79">
        <f>IF($C129&lt;=Entradas!$E$124,"",G129*J129)</f>
        <v>1.2774844886897851E-2</v>
      </c>
      <c r="M129" s="40"/>
    </row>
    <row r="130" spans="2:13">
      <c r="B130" s="39"/>
      <c r="C130" s="75">
        <v>125</v>
      </c>
      <c r="D130" s="110">
        <f>IF($C130&lt;=Entradas!$E$124,"",Observaciones!H130)</f>
        <v>0.81848856428509997</v>
      </c>
      <c r="E130" s="110">
        <f>IF($C130&lt;=Entradas!$E$124,"",LíneaBase!L131)</f>
        <v>0.72709231762648996</v>
      </c>
      <c r="F130" s="79">
        <f>IF($C130&lt;=Entradas!$E$124,"",D130-E130)</f>
        <v>9.1396246658610014E-2</v>
      </c>
      <c r="G130" s="79">
        <f>IF($C130&lt;=Entradas!$E$124,"",D130-AVERAGE(D:D))</f>
        <v>-8.7610117908378249E-2</v>
      </c>
      <c r="H130" s="79">
        <f>IF($C130&lt;=Entradas!$E$124,"",F130^2)</f>
        <v>8.3532739032814822E-3</v>
      </c>
      <c r="I130" s="79">
        <f>IF($C130&lt;=Entradas!$E$124,"",G130^2)</f>
        <v>7.6755327599199391E-3</v>
      </c>
      <c r="J130" s="79">
        <f>IF($C130&lt;=Entradas!$E$124,"",E130-AVERAGE(E:E))</f>
        <v>-0.16848854617062792</v>
      </c>
      <c r="K130" s="79">
        <f>IF($C130&lt;=Entradas!$E$124,"",J130^2)</f>
        <v>2.8388390190691816E-2</v>
      </c>
      <c r="L130" s="79">
        <f>IF($C130&lt;=Entradas!$E$124,"",G130*J130)</f>
        <v>1.4761301396219945E-2</v>
      </c>
      <c r="M130" s="40"/>
    </row>
    <row r="131" spans="2:13">
      <c r="B131" s="39"/>
      <c r="C131" s="75">
        <v>126</v>
      </c>
      <c r="D131" s="110">
        <f>IF($C131&lt;=Entradas!$E$124,"",Observaciones!H131)</f>
        <v>0.81039272634569748</v>
      </c>
      <c r="E131" s="110">
        <f>IF($C131&lt;=Entradas!$E$124,"",LíneaBase!L132)</f>
        <v>0.71991018599439105</v>
      </c>
      <c r="F131" s="79">
        <f>IF($C131&lt;=Entradas!$E$124,"",D131-E131)</f>
        <v>9.0482540351306429E-2</v>
      </c>
      <c r="G131" s="79">
        <f>IF($C131&lt;=Entradas!$E$124,"",D131-AVERAGE(D:D))</f>
        <v>-9.5705955847780744E-2</v>
      </c>
      <c r="H131" s="79">
        <f>IF($C131&lt;=Entradas!$E$124,"",F131^2)</f>
        <v>8.1870901084257954E-3</v>
      </c>
      <c r="I131" s="79">
        <f>IF($C131&lt;=Entradas!$E$124,"",G131^2)</f>
        <v>9.1596299847373566E-3</v>
      </c>
      <c r="J131" s="79">
        <f>IF($C131&lt;=Entradas!$E$124,"",E131-AVERAGE(E:E))</f>
        <v>-0.17567067780272683</v>
      </c>
      <c r="K131" s="79">
        <f>IF($C131&lt;=Entradas!$E$124,"",J131^2)</f>
        <v>3.0860187039669459E-2</v>
      </c>
      <c r="L131" s="79">
        <f>IF($C131&lt;=Entradas!$E$124,"",G131*J131)</f>
        <v>1.6812730133537492E-2</v>
      </c>
      <c r="M131" s="40"/>
    </row>
    <row r="132" spans="2:13">
      <c r="B132" s="39"/>
      <c r="C132" s="75">
        <v>127</v>
      </c>
      <c r="D132" s="110">
        <f>IF($C132&lt;=Entradas!$E$124,"",Observaciones!H132)</f>
        <v>0.8024025772934188</v>
      </c>
      <c r="E132" s="110">
        <f>IF($C132&lt;=Entradas!$E$124,"",LíneaBase!L133)</f>
        <v>0.71281376624084958</v>
      </c>
      <c r="F132" s="79">
        <f>IF($C132&lt;=Entradas!$E$124,"",D132-E132)</f>
        <v>8.9588811052569217E-2</v>
      </c>
      <c r="G132" s="79">
        <f>IF($C132&lt;=Entradas!$E$124,"",D132-AVERAGE(D:D))</f>
        <v>-0.10369610490005943</v>
      </c>
      <c r="H132" s="79">
        <f>IF($C132&lt;=Entradas!$E$124,"",F132^2)</f>
        <v>8.0261550658129489E-3</v>
      </c>
      <c r="I132" s="79">
        <f>IF($C132&lt;=Entradas!$E$124,"",G132^2)</f>
        <v>1.0752882171444128E-2</v>
      </c>
      <c r="J132" s="79">
        <f>IF($C132&lt;=Entradas!$E$124,"",E132-AVERAGE(E:E))</f>
        <v>-0.1827670975562683</v>
      </c>
      <c r="K132" s="79">
        <f>IF($C132&lt;=Entradas!$E$124,"",J132^2)</f>
        <v>3.3403811949142492E-2</v>
      </c>
      <c r="L132" s="79">
        <f>IF($C132&lt;=Entradas!$E$124,"",G132*J132)</f>
        <v>1.8952236120474194E-2</v>
      </c>
      <c r="M132" s="40"/>
    </row>
    <row r="133" spans="2:13">
      <c r="B133" s="39"/>
      <c r="C133" s="75">
        <v>128</v>
      </c>
      <c r="D133" s="110">
        <f>IF($C133&lt;=Entradas!$E$124,"",Observaciones!H133)</f>
        <v>0.79449545793141441</v>
      </c>
      <c r="E133" s="110">
        <f>IF($C133&lt;=Entradas!$E$124,"",LíneaBase!L134)</f>
        <v>0.70578974905757419</v>
      </c>
      <c r="F133" s="79">
        <f>IF($C133&lt;=Entradas!$E$124,"",D133-E133)</f>
        <v>8.8705708873840217E-2</v>
      </c>
      <c r="G133" s="79">
        <f>IF($C133&lt;=Entradas!$E$124,"",D133-AVERAGE(D:D))</f>
        <v>-0.11160322426206382</v>
      </c>
      <c r="H133" s="79">
        <f>IF($C133&lt;=Entradas!$E$124,"",F133^2)</f>
        <v>7.8687027868104952E-3</v>
      </c>
      <c r="I133" s="79">
        <f>IF($C133&lt;=Entradas!$E$124,"",G133^2)</f>
        <v>1.2455279665688509E-2</v>
      </c>
      <c r="J133" s="79">
        <f>IF($C133&lt;=Entradas!$E$124,"",E133-AVERAGE(E:E))</f>
        <v>-0.18979111473954369</v>
      </c>
      <c r="K133" s="79">
        <f>IF($C133&lt;=Entradas!$E$124,"",J133^2)</f>
        <v>3.6020667234078638E-2</v>
      </c>
      <c r="L133" s="79">
        <f>IF($C133&lt;=Entradas!$E$124,"",G133*J133)</f>
        <v>2.1181300341224379E-2</v>
      </c>
      <c r="M133" s="40"/>
    </row>
    <row r="134" spans="2:13">
      <c r="B134" s="39"/>
      <c r="C134" s="75">
        <v>129</v>
      </c>
      <c r="D134" s="110">
        <f>IF($C134&lt;=Entradas!$E$124,"",Observaciones!H134)</f>
        <v>0.78802950980983999</v>
      </c>
      <c r="E134" s="110">
        <f>IF($C134&lt;=Entradas!$E$124,"",LíneaBase!L135)</f>
        <v>0.70019789952983624</v>
      </c>
      <c r="F134" s="79">
        <f>IF($C134&lt;=Entradas!$E$124,"",D134-E134)</f>
        <v>8.7831610280003747E-2</v>
      </c>
      <c r="G134" s="79">
        <f>IF($C134&lt;=Entradas!$E$124,"",D134-AVERAGE(D:D))</f>
        <v>-0.11806917238363823</v>
      </c>
      <c r="H134" s="79">
        <f>IF($C134&lt;=Entradas!$E$124,"",F134^2)</f>
        <v>7.71439176437846E-3</v>
      </c>
      <c r="I134" s="79">
        <f>IF($C134&lt;=Entradas!$E$124,"",G134^2)</f>
        <v>1.3940329467357281E-2</v>
      </c>
      <c r="J134" s="79">
        <f>IF($C134&lt;=Entradas!$E$124,"",E134-AVERAGE(E:E))</f>
        <v>-0.19538296426728163</v>
      </c>
      <c r="K134" s="79">
        <f>IF($C134&lt;=Entradas!$E$124,"",J134^2)</f>
        <v>3.8174502725869849E-2</v>
      </c>
      <c r="L134" s="79">
        <f>IF($C134&lt;=Entradas!$E$124,"",G134*J134)</f>
        <v>2.3068704888899904E-2</v>
      </c>
      <c r="M134" s="40"/>
    </row>
    <row r="135" spans="2:13">
      <c r="B135" s="39"/>
      <c r="C135" s="75">
        <v>130</v>
      </c>
      <c r="D135" s="110">
        <f>IF($C135&lt;=Entradas!$E$124,"",Observaciones!H135)</f>
        <v>0.77914181847214359</v>
      </c>
      <c r="E135" s="110">
        <f>IF($C135&lt;=Entradas!$E$124,"",LíneaBase!L136)</f>
        <v>0.69217564394355802</v>
      </c>
      <c r="F135" s="79">
        <f>IF($C135&lt;=Entradas!$E$124,"",D135-E135)</f>
        <v>8.6966174528585571E-2</v>
      </c>
      <c r="G135" s="79">
        <f>IF($C135&lt;=Entradas!$E$124,"",D135-AVERAGE(D:D))</f>
        <v>-0.12695686372133463</v>
      </c>
      <c r="H135" s="79">
        <f>IF($C135&lt;=Entradas!$E$124,"",F135^2)</f>
        <v>7.5631155121364058E-3</v>
      </c>
      <c r="I135" s="79">
        <f>IF($C135&lt;=Entradas!$E$124,"",G135^2)</f>
        <v>1.6118045245957533E-2</v>
      </c>
      <c r="J135" s="79">
        <f>IF($C135&lt;=Entradas!$E$124,"",E135-AVERAGE(E:E))</f>
        <v>-0.20340521985355986</v>
      </c>
      <c r="K135" s="79">
        <f>IF($C135&lt;=Entradas!$E$124,"",J135^2)</f>
        <v>4.1373683463675023E-2</v>
      </c>
      <c r="L135" s="79">
        <f>IF($C135&lt;=Entradas!$E$124,"",G135*J135)</f>
        <v>2.582368877715651E-2</v>
      </c>
      <c r="M135" s="40"/>
    </row>
    <row r="136" spans="2:13">
      <c r="B136" s="39"/>
      <c r="C136" s="75">
        <v>131</v>
      </c>
      <c r="D136" s="110">
        <f>IF($C136&lt;=Entradas!$E$124,"",Observaciones!H136)</f>
        <v>0.77127839394867781</v>
      </c>
      <c r="E136" s="110">
        <f>IF($C136&lt;=Entradas!$E$124,"",LíneaBase!L137)</f>
        <v>0.68516911950674431</v>
      </c>
      <c r="F136" s="79">
        <f>IF($C136&lt;=Entradas!$E$124,"",D136-E136)</f>
        <v>8.6109274441933503E-2</v>
      </c>
      <c r="G136" s="79">
        <f>IF($C136&lt;=Entradas!$E$124,"",D136-AVERAGE(D:D))</f>
        <v>-0.13482028824480041</v>
      </c>
      <c r="H136" s="79">
        <f>IF($C136&lt;=Entradas!$E$124,"",F136^2)</f>
        <v>7.4148071449162221E-3</v>
      </c>
      <c r="I136" s="79">
        <f>IF($C136&lt;=Entradas!$E$124,"",G136^2)</f>
        <v>1.8176510122411067E-2</v>
      </c>
      <c r="J136" s="79">
        <f>IF($C136&lt;=Entradas!$E$124,"",E136-AVERAGE(E:E))</f>
        <v>-0.21041174429037357</v>
      </c>
      <c r="K136" s="79">
        <f>IF($C136&lt;=Entradas!$E$124,"",J136^2)</f>
        <v>4.4273102135317557E-2</v>
      </c>
      <c r="L136" s="79">
        <f>IF($C136&lt;=Entradas!$E$124,"",G136*J136)</f>
        <v>2.8367772015319401E-2</v>
      </c>
      <c r="M136" s="40"/>
    </row>
    <row r="137" spans="2:13">
      <c r="B137" s="39"/>
      <c r="C137" s="75">
        <v>132</v>
      </c>
      <c r="D137" s="110">
        <f>IF($C137&lt;=Entradas!$E$124,"",Observaciones!H137)</f>
        <v>0.76364788122921512</v>
      </c>
      <c r="E137" s="110">
        <f>IF($C137&lt;=Entradas!$E$124,"",LíneaBase!L138)</f>
        <v>0.67838706225266254</v>
      </c>
      <c r="F137" s="79">
        <f>IF($C137&lt;=Entradas!$E$124,"",D137-E137)</f>
        <v>8.5260818976552577E-2</v>
      </c>
      <c r="G137" s="79">
        <f>IF($C137&lt;=Entradas!$E$124,"",D137-AVERAGE(D:D))</f>
        <v>-0.1424508009642631</v>
      </c>
      <c r="H137" s="79">
        <f>IF($C137&lt;=Entradas!$E$124,"",F137^2)</f>
        <v>7.269407252552468E-3</v>
      </c>
      <c r="I137" s="79">
        <f>IF($C137&lt;=Entradas!$E$124,"",G137^2)</f>
        <v>2.0292230695360101E-2</v>
      </c>
      <c r="J137" s="79">
        <f>IF($C137&lt;=Entradas!$E$124,"",E137-AVERAGE(E:E))</f>
        <v>-0.21719380154445533</v>
      </c>
      <c r="K137" s="79">
        <f>IF($C137&lt;=Entradas!$E$124,"",J137^2)</f>
        <v>4.7173147429332249E-2</v>
      </c>
      <c r="L137" s="79">
        <f>IF($C137&lt;=Entradas!$E$124,"",G137*J137)</f>
        <v>3.0939430994480866E-2</v>
      </c>
      <c r="M137" s="40"/>
    </row>
    <row r="138" spans="2:13">
      <c r="B138" s="39"/>
      <c r="C138" s="75">
        <v>133</v>
      </c>
      <c r="D138" s="110">
        <f>IF($C138&lt;=Entradas!$E$124,"",Observaciones!H138)</f>
        <v>0.75611834551966217</v>
      </c>
      <c r="E138" s="110">
        <f>IF($C138&lt;=Entradas!$E$124,"",LíneaBase!L139)</f>
        <v>0.67169762174560865</v>
      </c>
      <c r="F138" s="79">
        <f>IF($C138&lt;=Entradas!$E$124,"",D138-E138)</f>
        <v>8.4420723774053519E-2</v>
      </c>
      <c r="G138" s="79">
        <f>IF($C138&lt;=Entradas!$E$124,"",D138-AVERAGE(D:D))</f>
        <v>-0.14998033667381605</v>
      </c>
      <c r="H138" s="79">
        <f>IF($C138&lt;=Entradas!$E$124,"",F138^2)</f>
        <v>7.1268586025350451E-3</v>
      </c>
      <c r="I138" s="79">
        <f>IF($C138&lt;=Entradas!$E$124,"",G138^2)</f>
        <v>2.249410138879121E-2</v>
      </c>
      <c r="J138" s="79">
        <f>IF($C138&lt;=Entradas!$E$124,"",E138-AVERAGE(E:E))</f>
        <v>-0.22388324205150922</v>
      </c>
      <c r="K138" s="79">
        <f>IF($C138&lt;=Entradas!$E$124,"",J138^2)</f>
        <v>5.0123706071494668E-2</v>
      </c>
      <c r="L138" s="79">
        <f>IF($C138&lt;=Entradas!$E$124,"",G138*J138)</f>
        <v>3.3578084018510805E-2</v>
      </c>
      <c r="M138" s="40"/>
    </row>
    <row r="139" spans="2:13">
      <c r="B139" s="39"/>
      <c r="C139" s="75">
        <v>134</v>
      </c>
      <c r="D139" s="110">
        <f>IF($C139&lt;=Entradas!$E$124,"",Observaciones!H139)</f>
        <v>0.74866727990726833</v>
      </c>
      <c r="E139" s="110">
        <f>IF($C139&lt;=Entradas!$E$124,"",LíneaBase!L140)</f>
        <v>0.66507837363957345</v>
      </c>
      <c r="F139" s="79">
        <f>IF($C139&lt;=Entradas!$E$124,"",D139-E139)</f>
        <v>8.3588906267694885E-2</v>
      </c>
      <c r="G139" s="79">
        <f>IF($C139&lt;=Entradas!$E$124,"",D139-AVERAGE(D:D))</f>
        <v>-0.15743140228620989</v>
      </c>
      <c r="H139" s="79">
        <f>IF($C139&lt;=Entradas!$E$124,"",F139^2)</f>
        <v>6.9871052510294815E-3</v>
      </c>
      <c r="I139" s="79">
        <f>IF($C139&lt;=Entradas!$E$124,"",G139^2)</f>
        <v>2.4784646425802453E-2</v>
      </c>
      <c r="J139" s="79">
        <f>IF($C139&lt;=Entradas!$E$124,"",E139-AVERAGE(E:E))</f>
        <v>-0.23050249015754443</v>
      </c>
      <c r="K139" s="79">
        <f>IF($C139&lt;=Entradas!$E$124,"",J139^2)</f>
        <v>5.3131397968828868E-2</v>
      </c>
      <c r="L139" s="79">
        <f>IF($C139&lt;=Entradas!$E$124,"",G139*J139)</f>
        <v>3.6288330255965513E-2</v>
      </c>
      <c r="M139" s="40"/>
    </row>
    <row r="140" spans="2:13">
      <c r="B140" s="39"/>
      <c r="C140" s="75">
        <v>135</v>
      </c>
      <c r="D140" s="110">
        <f>IF($C140&lt;=Entradas!$E$124,"",Observaciones!H140)</f>
        <v>0.74129034159143758</v>
      </c>
      <c r="E140" s="110">
        <f>IF($C140&lt;=Entradas!$E$124,"",LíneaBase!L141)</f>
        <v>0.65852505672777972</v>
      </c>
      <c r="F140" s="79">
        <f>IF($C140&lt;=Entradas!$E$124,"",D140-E140)</f>
        <v>8.2765284863657862E-2</v>
      </c>
      <c r="G140" s="79">
        <f>IF($C140&lt;=Entradas!$E$124,"",D140-AVERAGE(D:D))</f>
        <v>-0.16480834060204064</v>
      </c>
      <c r="H140" s="79">
        <f>IF($C140&lt;=Entradas!$E$124,"",F140^2)</f>
        <v>6.8500923785624335E-3</v>
      </c>
      <c r="I140" s="79">
        <f>IF($C140&lt;=Entradas!$E$124,"",G140^2)</f>
        <v>2.7161789131998237E-2</v>
      </c>
      <c r="J140" s="79">
        <f>IF($C140&lt;=Entradas!$E$124,"",E140-AVERAGE(E:E))</f>
        <v>-0.23705580706933815</v>
      </c>
      <c r="K140" s="79">
        <f>IF($C140&lt;=Entradas!$E$124,"",J140^2)</f>
        <v>5.6195455665295276E-2</v>
      </c>
      <c r="L140" s="79">
        <f>IF($C140&lt;=Entradas!$E$124,"",G140*J140)</f>
        <v>3.9068774193175115E-2</v>
      </c>
      <c r="M140" s="40"/>
    </row>
    <row r="141" spans="2:13">
      <c r="B141" s="39"/>
      <c r="C141" s="75">
        <v>136</v>
      </c>
      <c r="D141" s="110">
        <f>IF($C141&lt;=Entradas!$E$124,"",Observaciones!H141)</f>
        <v>0.73398620784927993</v>
      </c>
      <c r="E141" s="110">
        <f>IF($C141&lt;=Entradas!$E$124,"",LíneaBase!L142)</f>
        <v>0.65203642905074688</v>
      </c>
      <c r="F141" s="79">
        <f>IF($C141&lt;=Entradas!$E$124,"",D141-E141)</f>
        <v>8.1949778798533046E-2</v>
      </c>
      <c r="G141" s="79">
        <f>IF($C141&lt;=Entradas!$E$124,"",D141-AVERAGE(D:D))</f>
        <v>-0.1721124743441983</v>
      </c>
      <c r="H141" s="79">
        <f>IF($C141&lt;=Entradas!$E$124,"",F141^2)</f>
        <v>6.7157662451284962E-3</v>
      </c>
      <c r="I141" s="79">
        <f>IF($C141&lt;=Entradas!$E$124,"",G141^2)</f>
        <v>2.9622703824882315E-2</v>
      </c>
      <c r="J141" s="79">
        <f>IF($C141&lt;=Entradas!$E$124,"",E141-AVERAGE(E:E))</f>
        <v>-0.243544434746371</v>
      </c>
      <c r="K141" s="79">
        <f>IF($C141&lt;=Entradas!$E$124,"",J141^2)</f>
        <v>5.9313891695929363E-2</v>
      </c>
      <c r="L141" s="79">
        <f>IF($C141&lt;=Entradas!$E$124,"",G141*J141)</f>
        <v>4.1917035276957053E-2</v>
      </c>
      <c r="M141" s="40"/>
    </row>
    <row r="142" spans="2:13">
      <c r="B142" s="39"/>
      <c r="C142" s="75">
        <v>137</v>
      </c>
      <c r="D142" s="110">
        <f>IF($C142&lt;=Entradas!$E$124,"",Observaciones!H142)</f>
        <v>0.7267540630310938</v>
      </c>
      <c r="E142" s="110">
        <f>IF($C142&lt;=Entradas!$E$124,"",LíneaBase!L143)</f>
        <v>0.64561175492201361</v>
      </c>
      <c r="F142" s="79">
        <f>IF($C142&lt;=Entradas!$E$124,"",D142-E142)</f>
        <v>8.1142308109080186E-2</v>
      </c>
      <c r="G142" s="79">
        <f>IF($C142&lt;=Entradas!$E$124,"",D142-AVERAGE(D:D))</f>
        <v>-0.17934461916238442</v>
      </c>
      <c r="H142" s="79">
        <f>IF($C142&lt;=Entradas!$E$124,"",F142^2)</f>
        <v>6.5840741652688998E-3</v>
      </c>
      <c r="I142" s="79">
        <f>IF($C142&lt;=Entradas!$E$124,"",G142^2)</f>
        <v>3.2164492422500704E-2</v>
      </c>
      <c r="J142" s="79">
        <f>IF($C142&lt;=Entradas!$E$124,"",E142-AVERAGE(E:E))</f>
        <v>-0.24996910887510426</v>
      </c>
      <c r="K142" s="79">
        <f>IF($C142&lt;=Entradas!$E$124,"",J142^2)</f>
        <v>6.2484555391813731E-2</v>
      </c>
      <c r="L142" s="79">
        <f>IF($C142&lt;=Entradas!$E$124,"",G142*J142)</f>
        <v>4.4830614633566183E-2</v>
      </c>
      <c r="M142" s="40"/>
    </row>
    <row r="143" spans="2:13">
      <c r="B143" s="39"/>
      <c r="C143" s="75">
        <v>138</v>
      </c>
      <c r="D143" s="110">
        <f>IF($C143&lt;=Entradas!$E$124,"",Observaciones!H143)</f>
        <v>0.71959318150316576</v>
      </c>
      <c r="E143" s="110">
        <f>IF($C143&lt;=Entradas!$E$124,"",LíneaBase!L144)</f>
        <v>0.63925038788248234</v>
      </c>
      <c r="F143" s="79">
        <f>IF($C143&lt;=Entradas!$E$124,"",D143-E143)</f>
        <v>8.0342793620683417E-2</v>
      </c>
      <c r="G143" s="79">
        <f>IF($C143&lt;=Entradas!$E$124,"",D143-AVERAGE(D:D))</f>
        <v>-0.18650550069031246</v>
      </c>
      <c r="H143" s="79">
        <f>IF($C143&lt;=Entradas!$E$124,"",F143^2)</f>
        <v>6.4549644867757279E-3</v>
      </c>
      <c r="I143" s="79">
        <f>IF($C143&lt;=Entradas!$E$124,"",G143^2)</f>
        <v>3.4784301787744144E-2</v>
      </c>
      <c r="J143" s="79">
        <f>IF($C143&lt;=Entradas!$E$124,"",E143-AVERAGE(E:E))</f>
        <v>-0.25633047591463554</v>
      </c>
      <c r="K143" s="79">
        <f>IF($C143&lt;=Entradas!$E$124,"",J143^2)</f>
        <v>6.5705312882623546E-2</v>
      </c>
      <c r="L143" s="79">
        <f>IF($C143&lt;=Entradas!$E$124,"",G143*J143)</f>
        <v>4.7807043752645183E-2</v>
      </c>
      <c r="M143" s="40"/>
    </row>
    <row r="144" spans="2:13">
      <c r="B144" s="39"/>
      <c r="C144" s="75">
        <v>139</v>
      </c>
      <c r="D144" s="110">
        <f>IF($C144&lt;=Entradas!$E$124,"",Observaciones!H144)</f>
        <v>0.71250285838495209</v>
      </c>
      <c r="E144" s="110">
        <f>IF($C144&lt;=Entradas!$E$124,"",LíneaBase!L145)</f>
        <v>0.6329517014459769</v>
      </c>
      <c r="F144" s="79">
        <f>IF($C144&lt;=Entradas!$E$124,"",D144-E144)</f>
        <v>7.9551156938975187E-2</v>
      </c>
      <c r="G144" s="79">
        <f>IF($C144&lt;=Entradas!$E$124,"",D144-AVERAGE(D:D))</f>
        <v>-0.19359582380852614</v>
      </c>
      <c r="H144" s="79">
        <f>IF($C144&lt;=Entradas!$E$124,"",F144^2)</f>
        <v>6.32838657032946E-3</v>
      </c>
      <c r="I144" s="79">
        <f>IF($C144&lt;=Entradas!$E$124,"",G144^2)</f>
        <v>3.7479342996101894E-2</v>
      </c>
      <c r="J144" s="79">
        <f>IF($C144&lt;=Entradas!$E$124,"",E144-AVERAGE(E:E))</f>
        <v>-0.26262916235114098</v>
      </c>
      <c r="K144" s="79">
        <f>IF($C144&lt;=Entradas!$E$124,"",J144^2)</f>
        <v>6.897407691726197E-2</v>
      </c>
      <c r="L144" s="79">
        <f>IF($C144&lt;=Entradas!$E$124,"",G144*J144)</f>
        <v>5.0843909041512293E-2</v>
      </c>
      <c r="M144" s="40"/>
    </row>
    <row r="145" spans="2:13">
      <c r="B145" s="39"/>
      <c r="C145" s="75">
        <v>140</v>
      </c>
      <c r="D145" s="110">
        <f>IF($C145&lt;=Entradas!$E$124,"",Observaciones!H145)</f>
        <v>0.70548239799855084</v>
      </c>
      <c r="E145" s="110">
        <f>IF($C145&lt;=Entradas!$E$124,"",LíneaBase!L146)</f>
        <v>0.6267150775565048</v>
      </c>
      <c r="F145" s="79">
        <f>IF($C145&lt;=Entradas!$E$124,"",D145-E145)</f>
        <v>7.876732044204604E-2</v>
      </c>
      <c r="G145" s="79">
        <f>IF($C145&lt;=Entradas!$E$124,"",D145-AVERAGE(D:D))</f>
        <v>-0.20061628419492739</v>
      </c>
      <c r="H145" s="79">
        <f>IF($C145&lt;=Entradas!$E$124,"",F145^2)</f>
        <v>6.2042907696199644E-3</v>
      </c>
      <c r="I145" s="79">
        <f>IF($C145&lt;=Entradas!$E$124,"",G145^2)</f>
        <v>4.0246893484179869E-2</v>
      </c>
      <c r="J145" s="79">
        <f>IF($C145&lt;=Entradas!$E$124,"",E145-AVERAGE(E:E))</f>
        <v>-0.26886578624061308</v>
      </c>
      <c r="K145" s="79">
        <f>IF($C145&lt;=Entradas!$E$124,"",J145^2)</f>
        <v>7.2288811010783049E-2</v>
      </c>
      <c r="L145" s="79">
        <f>IF($C145&lt;=Entradas!$E$124,"",G145*J145)</f>
        <v>5.3938854982739433E-2</v>
      </c>
      <c r="M145" s="40"/>
    </row>
    <row r="146" spans="2:13">
      <c r="B146" s="39"/>
      <c r="C146" s="75">
        <v>141</v>
      </c>
      <c r="D146" s="110">
        <f>IF($C146&lt;=Entradas!$E$124,"",Observaciones!H146)</f>
        <v>0.69853111189530581</v>
      </c>
      <c r="E146" s="110">
        <f>IF($C146&lt;=Entradas!$E$124,"",LíneaBase!L147)</f>
        <v>0.6205399046224892</v>
      </c>
      <c r="F146" s="79">
        <f>IF($C146&lt;=Entradas!$E$124,"",D146-E146)</f>
        <v>7.7991207272816609E-2</v>
      </c>
      <c r="G146" s="79">
        <f>IF($C146&lt;=Entradas!$E$124,"",D146-AVERAGE(D:D))</f>
        <v>-0.20756757029817241</v>
      </c>
      <c r="H146" s="79">
        <f>IF($C146&lt;=Entradas!$E$124,"",F146^2)</f>
        <v>6.082628411871442E-3</v>
      </c>
      <c r="I146" s="79">
        <f>IF($C146&lt;=Entradas!$E$124,"",G146^2)</f>
        <v>4.3084296239486744E-2</v>
      </c>
      <c r="J146" s="79">
        <f>IF($C146&lt;=Entradas!$E$124,"",E146-AVERAGE(E:E))</f>
        <v>-0.27504095917462867</v>
      </c>
      <c r="K146" s="79">
        <f>IF($C146&lt;=Entradas!$E$124,"",J146^2)</f>
        <v>7.5647529223699758E-2</v>
      </c>
      <c r="L146" s="79">
        <f>IF($C146&lt;=Entradas!$E$124,"",G146*J146)</f>
        <v>5.7089583628356505E-2</v>
      </c>
      <c r="M146" s="40"/>
    </row>
    <row r="147" spans="2:13">
      <c r="B147" s="39"/>
      <c r="C147" s="75">
        <v>142</v>
      </c>
      <c r="D147" s="110">
        <f>IF($C147&lt;=Entradas!$E$124,"",Observaciones!H147)</f>
        <v>0.69164831847216357</v>
      </c>
      <c r="E147" s="110">
        <f>IF($C147&lt;=Entradas!$E$124,"",LíneaBase!L148)</f>
        <v>0.61442557714066437</v>
      </c>
      <c r="F147" s="79">
        <f>IF($C147&lt;=Entradas!$E$124,"",D147-E147)</f>
        <v>7.7222741331499201E-2</v>
      </c>
      <c r="G147" s="79">
        <f>IF($C147&lt;=Entradas!$E$124,"",D147-AVERAGE(D:D))</f>
        <v>-0.21445036372131465</v>
      </c>
      <c r="H147" s="79">
        <f>IF($C147&lt;=Entradas!$E$124,"",F147^2)</f>
        <v>5.9633517787516348E-3</v>
      </c>
      <c r="I147" s="79">
        <f>IF($C147&lt;=Entradas!$E$124,"",G147^2)</f>
        <v>4.5988958500204145E-2</v>
      </c>
      <c r="J147" s="79">
        <f>IF($C147&lt;=Entradas!$E$124,"",E147-AVERAGE(E:E))</f>
        <v>-0.28115528665645351</v>
      </c>
      <c r="K147" s="79">
        <f>IF($C147&lt;=Entradas!$E$124,"",J147^2)</f>
        <v>7.9048295214872541E-2</v>
      </c>
      <c r="L147" s="79">
        <f>IF($C147&lt;=Entradas!$E$124,"",G147*J147)</f>
        <v>6.0293853485646941E-2</v>
      </c>
      <c r="M147" s="40"/>
    </row>
    <row r="148" spans="2:13">
      <c r="B148" s="39"/>
      <c r="C148" s="75">
        <v>143</v>
      </c>
      <c r="D148" s="110">
        <f>IF($C148&lt;=Entradas!$E$124,"",Observaciones!H148)</f>
        <v>0.68483334285238129</v>
      </c>
      <c r="E148" s="110">
        <f>IF($C148&lt;=Entradas!$E$124,"",LíneaBase!L149)</f>
        <v>0.60837149558424541</v>
      </c>
      <c r="F148" s="79">
        <f>IF($C148&lt;=Entradas!$E$124,"",D148-E148)</f>
        <v>7.6461847268135874E-2</v>
      </c>
      <c r="G148" s="79">
        <f>IF($C148&lt;=Entradas!$E$124,"",D148-AVERAGE(D:D))</f>
        <v>-0.22126533934109693</v>
      </c>
      <c r="H148" s="79">
        <f>IF($C148&lt;=Entradas!$E$124,"",F148^2)</f>
        <v>5.8464140876557371E-3</v>
      </c>
      <c r="I148" s="79">
        <f>IF($C148&lt;=Entradas!$E$124,"",G148^2)</f>
        <v>4.8958350393730782E-2</v>
      </c>
      <c r="J148" s="79">
        <f>IF($C148&lt;=Entradas!$E$124,"",E148-AVERAGE(E:E))</f>
        <v>-0.28720936821287246</v>
      </c>
      <c r="K148" s="79">
        <f>IF($C148&lt;=Entradas!$E$124,"",J148^2)</f>
        <v>8.2489221189237349E-2</v>
      </c>
      <c r="L148" s="79">
        <f>IF($C148&lt;=Entradas!$E$124,"",G148*J148)</f>
        <v>6.3549478319563285E-2</v>
      </c>
      <c r="M148" s="40"/>
    </row>
    <row r="149" spans="2:13">
      <c r="B149" s="39"/>
      <c r="C149" s="75">
        <v>144</v>
      </c>
      <c r="D149" s="110">
        <f>IF($C149&lt;=Entradas!$E$124,"",Observaciones!H149)</f>
        <v>0.67808551681064921</v>
      </c>
      <c r="E149" s="110">
        <f>IF($C149&lt;=Entradas!$E$124,"",LíneaBase!L150)</f>
        <v>0.60237706633543953</v>
      </c>
      <c r="F149" s="79">
        <f>IF($C149&lt;=Entradas!$E$124,"",D149-E149)</f>
        <v>7.5708450475209688E-2</v>
      </c>
      <c r="G149" s="79">
        <f>IF($C149&lt;=Entradas!$E$124,"",D149-AVERAGE(D:D))</f>
        <v>-0.22801316538282901</v>
      </c>
      <c r="H149" s="79">
        <f>IF($C149&lt;=Entradas!$E$124,"",F149^2)</f>
        <v>5.7317694733572781E-3</v>
      </c>
      <c r="I149" s="79">
        <f>IF($C149&lt;=Entradas!$E$124,"",G149^2)</f>
        <v>5.1990003587897335E-2</v>
      </c>
      <c r="J149" s="79">
        <f>IF($C149&lt;=Entradas!$E$124,"",E149-AVERAGE(E:E))</f>
        <v>-0.29320379746167835</v>
      </c>
      <c r="K149" s="79">
        <f>IF($C149&lt;=Entradas!$E$124,"",J149^2)</f>
        <v>8.5968466845948902E-2</v>
      </c>
      <c r="L149" s="79">
        <f>IF($C149&lt;=Entradas!$E$124,"",G149*J149)</f>
        <v>6.6854325961503161E-2</v>
      </c>
      <c r="M149" s="40"/>
    </row>
    <row r="150" spans="2:13">
      <c r="B150" s="39"/>
      <c r="C150" s="75">
        <v>145</v>
      </c>
      <c r="D150" s="110">
        <f>IF($C150&lt;=Entradas!$E$124,"",Observaciones!H150)</f>
        <v>0.67140417870612457</v>
      </c>
      <c r="E150" s="110">
        <f>IF($C150&lt;=Entradas!$E$124,"",LíneaBase!L151)</f>
        <v>0.59644170162579502</v>
      </c>
      <c r="F150" s="79">
        <f>IF($C150&lt;=Entradas!$E$124,"",D150-E150)</f>
        <v>7.4962477080329548E-2</v>
      </c>
      <c r="G150" s="79">
        <f>IF($C150&lt;=Entradas!$E$124,"",D150-AVERAGE(D:D))</f>
        <v>-0.23469450348735366</v>
      </c>
      <c r="H150" s="79">
        <f>IF($C150&lt;=Entradas!$E$124,"",F150^2)</f>
        <v>5.6193729700189324E-3</v>
      </c>
      <c r="I150" s="79">
        <f>IF($C150&lt;=Entradas!$E$124,"",G150^2)</f>
        <v>5.5081509967175458E-2</v>
      </c>
      <c r="J150" s="79">
        <f>IF($C150&lt;=Entradas!$E$124,"",E150-AVERAGE(E:E))</f>
        <v>-0.29913916217132286</v>
      </c>
      <c r="K150" s="79">
        <f>IF($C150&lt;=Entradas!$E$124,"",J150^2)</f>
        <v>8.9484238344560998E-2</v>
      </c>
      <c r="L150" s="79">
        <f>IF($C150&lt;=Entradas!$E$124,"",G150*J150)</f>
        <v>7.020631713942159E-2</v>
      </c>
      <c r="M150" s="40"/>
    </row>
    <row r="151" spans="2:13">
      <c r="B151" s="39"/>
      <c r="C151" s="75">
        <v>146</v>
      </c>
      <c r="D151" s="110">
        <f>IF($C151&lt;=Entradas!$E$124,"",Observaciones!H151)</f>
        <v>0.6647886734173164</v>
      </c>
      <c r="E151" s="110">
        <f>IF($C151&lt;=Entradas!$E$124,"",LíneaBase!L152)</f>
        <v>0.59056481947833039</v>
      </c>
      <c r="F151" s="79">
        <f>IF($C151&lt;=Entradas!$E$124,"",D151-E151)</f>
        <v>7.4223853938986006E-2</v>
      </c>
      <c r="G151" s="79">
        <f>IF($C151&lt;=Entradas!$E$124,"",D151-AVERAGE(D:D))</f>
        <v>-0.24131000877616182</v>
      </c>
      <c r="H151" s="79">
        <f>IF($C151&lt;=Entradas!$E$124,"",F151^2)</f>
        <v>5.5091804935559286E-3</v>
      </c>
      <c r="I151" s="79">
        <f>IF($C151&lt;=Entradas!$E$124,"",G151^2)</f>
        <v>5.8230520335551296E-2</v>
      </c>
      <c r="J151" s="79">
        <f>IF($C151&lt;=Entradas!$E$124,"",E151-AVERAGE(E:E))</f>
        <v>-0.30501604431878748</v>
      </c>
      <c r="K151" s="79">
        <f>IF($C151&lt;=Entradas!$E$124,"",J151^2)</f>
        <v>9.3034787291880527E-2</v>
      </c>
      <c r="L151" s="79">
        <f>IF($C151&lt;=Entradas!$E$124,"",G151*J151)</f>
        <v>7.3603424331436768E-2</v>
      </c>
      <c r="M151" s="40"/>
    </row>
    <row r="152" spans="2:13">
      <c r="B152" s="39"/>
      <c r="C152" s="75">
        <v>147</v>
      </c>
      <c r="D152" s="110">
        <f>IF($C152&lt;=Entradas!$E$124,"",Observaciones!H152)</f>
        <v>0.65823835227780969</v>
      </c>
      <c r="E152" s="110">
        <f>IF($C152&lt;=Entradas!$E$124,"",LíneaBase!L153)</f>
        <v>0.58474584365042914</v>
      </c>
      <c r="F152" s="79">
        <f>IF($C152&lt;=Entradas!$E$124,"",D152-E152)</f>
        <v>7.3492508627380548E-2</v>
      </c>
      <c r="G152" s="79">
        <f>IF($C152&lt;=Entradas!$E$124,"",D152-AVERAGE(D:D))</f>
        <v>-0.24786032991566853</v>
      </c>
      <c r="H152" s="79">
        <f>IF($C152&lt;=Entradas!$E$124,"",F152^2)</f>
        <v>5.4011488243456045E-3</v>
      </c>
      <c r="I152" s="79">
        <f>IF($C152&lt;=Entradas!$E$124,"",G152^2)</f>
        <v>6.1434743145904046E-2</v>
      </c>
      <c r="J152" s="79">
        <f>IF($C152&lt;=Entradas!$E$124,"",E152-AVERAGE(E:E))</f>
        <v>-0.31083502014668873</v>
      </c>
      <c r="K152" s="79">
        <f>IF($C152&lt;=Entradas!$E$124,"",J152^2)</f>
        <v>9.661840974959239E-2</v>
      </c>
      <c r="L152" s="79">
        <f>IF($C152&lt;=Entradas!$E$124,"",G152*J152)</f>
        <v>7.704367064290174E-2</v>
      </c>
      <c r="M152" s="40"/>
    </row>
    <row r="153" spans="2:13">
      <c r="B153" s="39"/>
      <c r="C153" s="75">
        <v>148</v>
      </c>
      <c r="D153" s="110">
        <f>IF($C153&lt;=Entradas!$E$124,"",Observaciones!H153)</f>
        <v>0.65175257301265566</v>
      </c>
      <c r="E153" s="110">
        <f>IF($C153&lt;=Entradas!$E$124,"",LíneaBase!L154)</f>
        <v>0.57898420357733249</v>
      </c>
      <c r="F153" s="79">
        <f>IF($C153&lt;=Entradas!$E$124,"",D153-E153)</f>
        <v>7.2768369435323166E-2</v>
      </c>
      <c r="G153" s="79">
        <f>IF($C153&lt;=Entradas!$E$124,"",D153-AVERAGE(D:D))</f>
        <v>-0.25434610918082257</v>
      </c>
      <c r="H153" s="79">
        <f>IF($C153&lt;=Entradas!$E$124,"",F153^2)</f>
        <v>5.2952355902756744E-3</v>
      </c>
      <c r="I153" s="79">
        <f>IF($C153&lt;=Entradas!$E$124,"",G153^2)</f>
        <v>6.4691943255422907E-2</v>
      </c>
      <c r="J153" s="79">
        <f>IF($C153&lt;=Entradas!$E$124,"",E153-AVERAGE(E:E))</f>
        <v>-0.31659666021978539</v>
      </c>
      <c r="K153" s="79">
        <f>IF($C153&lt;=Entradas!$E$124,"",J153^2)</f>
        <v>0.10023344526232224</v>
      </c>
      <c r="L153" s="79">
        <f>IF($C153&lt;=Entradas!$E$124,"",G153*J153)</f>
        <v>8.0525128706545324E-2</v>
      </c>
      <c r="M153" s="40"/>
    </row>
    <row r="154" spans="2:13">
      <c r="B154" s="39"/>
      <c r="C154" s="75">
        <v>149</v>
      </c>
      <c r="D154" s="110">
        <f>IF($C154&lt;=Entradas!$E$124,"",Observaciones!H154)</f>
        <v>0.64533069967539336</v>
      </c>
      <c r="E154" s="110">
        <f>IF($C154&lt;=Entradas!$E$124,"",LíneaBase!L155)</f>
        <v>0.57327933431619171</v>
      </c>
      <c r="F154" s="79">
        <f>IF($C154&lt;=Entradas!$E$124,"",D154-E154)</f>
        <v>7.2051365359201647E-2</v>
      </c>
      <c r="G154" s="79">
        <f>IF($C154&lt;=Entradas!$E$124,"",D154-AVERAGE(D:D))</f>
        <v>-0.26076798251808486</v>
      </c>
      <c r="H154" s="79">
        <f>IF($C154&lt;=Entradas!$E$124,"",F154^2)</f>
        <v>5.191399250125163E-3</v>
      </c>
      <c r="I154" s="79">
        <f>IF($C154&lt;=Entradas!$E$124,"",G154^2)</f>
        <v>6.7999940706552214E-2</v>
      </c>
      <c r="J154" s="79">
        <f>IF($C154&lt;=Entradas!$E$124,"",E154-AVERAGE(E:E))</f>
        <v>-0.32230152948092616</v>
      </c>
      <c r="K154" s="79">
        <f>IF($C154&lt;=Entradas!$E$124,"",J154^2)</f>
        <v>0.10387827590574432</v>
      </c>
      <c r="L154" s="79">
        <f>IF($C154&lt;=Entradas!$E$124,"",G154*J154)</f>
        <v>8.4045919605234165E-2</v>
      </c>
      <c r="M154" s="40"/>
    </row>
    <row r="155" spans="2:13">
      <c r="B155" s="39"/>
      <c r="C155" s="75">
        <v>150</v>
      </c>
      <c r="D155" s="110">
        <f>IF($C155&lt;=Entradas!$E$124,"",Observaciones!H155)</f>
        <v>0.63897210258569426</v>
      </c>
      <c r="E155" s="110">
        <f>IF($C155&lt;=Entradas!$E$124,"",LíneaBase!L156)</f>
        <v>0.567630676490675</v>
      </c>
      <c r="F155" s="79">
        <f>IF($C155&lt;=Entradas!$E$124,"",D155-E155)</f>
        <v>7.1341426095019256E-2</v>
      </c>
      <c r="G155" s="79">
        <f>IF($C155&lt;=Entradas!$E$124,"",D155-AVERAGE(D:D))</f>
        <v>-0.26712657960778396</v>
      </c>
      <c r="H155" s="79">
        <f>IF($C155&lt;=Entradas!$E$124,"",F155^2)</f>
        <v>5.0895990772710942E-3</v>
      </c>
      <c r="I155" s="79">
        <f>IF($C155&lt;=Entradas!$E$124,"",G155^2)</f>
        <v>7.1356609532953738E-2</v>
      </c>
      <c r="J155" s="79">
        <f>IF($C155&lt;=Entradas!$E$124,"",E155-AVERAGE(E:E))</f>
        <v>-0.32795018730644288</v>
      </c>
      <c r="K155" s="79">
        <f>IF($C155&lt;=Entradas!$E$124,"",J155^2)</f>
        <v>0.10755132535433097</v>
      </c>
      <c r="L155" s="79">
        <f>IF($C155&lt;=Entradas!$E$124,"",G155*J155)</f>
        <v>8.7604211816902172E-2</v>
      </c>
      <c r="M155" s="40"/>
    </row>
    <row r="156" spans="2:13">
      <c r="B156" s="39"/>
      <c r="C156" s="75">
        <v>151</v>
      </c>
      <c r="D156" s="110">
        <f>IF($C156&lt;=Entradas!$E$124,"",Observaciones!H156)</f>
        <v>0.63267615826761969</v>
      </c>
      <c r="E156" s="110">
        <f>IF($C156&lt;=Entradas!$E$124,"",LíneaBase!L157)</f>
        <v>0.56203767623611856</v>
      </c>
      <c r="F156" s="79">
        <f>IF($C156&lt;=Entradas!$E$124,"",D156-E156)</f>
        <v>7.0638482031501137E-2</v>
      </c>
      <c r="G156" s="79">
        <f>IF($C156&lt;=Entradas!$E$124,"",D156-AVERAGE(D:D))</f>
        <v>-0.27342252392585853</v>
      </c>
      <c r="H156" s="79">
        <f>IF($C156&lt;=Entradas!$E$124,"",F156^2)</f>
        <v>4.9897951437147094E-3</v>
      </c>
      <c r="I156" s="79">
        <f>IF($C156&lt;=Entradas!$E$124,"",G156^2)</f>
        <v>7.4759876589986674E-2</v>
      </c>
      <c r="J156" s="79">
        <f>IF($C156&lt;=Entradas!$E$124,"",E156-AVERAGE(E:E))</f>
        <v>-0.33354318756099932</v>
      </c>
      <c r="K156" s="79">
        <f>IF($C156&lt;=Entradas!$E$124,"",J156^2)</f>
        <v>0.11125105796835197</v>
      </c>
      <c r="L156" s="79">
        <f>IF($C156&lt;=Entradas!$E$124,"",G156*J156)</f>
        <v>9.1198220181204451E-2</v>
      </c>
      <c r="M156" s="40"/>
    </row>
    <row r="157" spans="2:13">
      <c r="B157" s="39"/>
      <c r="C157" s="75">
        <v>152</v>
      </c>
      <c r="D157" s="110">
        <f>IF($C157&lt;=Entradas!$E$124,"",Observaciones!H157)</f>
        <v>0.62644224938848836</v>
      </c>
      <c r="E157" s="110">
        <f>IF($C157&lt;=Entradas!$E$124,"",LíneaBase!L158)</f>
        <v>0.55649978514521914</v>
      </c>
      <c r="F157" s="79">
        <f>IF($C157&lt;=Entradas!$E$124,"",D157-E157)</f>
        <v>6.994246424326922E-2</v>
      </c>
      <c r="G157" s="79">
        <f>IF($C157&lt;=Entradas!$E$124,"",D157-AVERAGE(D:D))</f>
        <v>-0.27965643280498986</v>
      </c>
      <c r="H157" s="79">
        <f>IF($C157&lt;=Entradas!$E$124,"",F157^2)</f>
        <v>4.8919483044209938E-3</v>
      </c>
      <c r="I157" s="79">
        <f>IF($C157&lt;=Entradas!$E$124,"",G157^2)</f>
        <v>7.8207720409211812E-2</v>
      </c>
      <c r="J157" s="79">
        <f>IF($C157&lt;=Entradas!$E$124,"",E157-AVERAGE(E:E))</f>
        <v>-0.33908107865189874</v>
      </c>
      <c r="K157" s="79">
        <f>IF($C157&lt;=Entradas!$E$124,"",J157^2)</f>
        <v>0.11497597789973514</v>
      </c>
      <c r="L157" s="79">
        <f>IF($C157&lt;=Entradas!$E$124,"",G157*J157)</f>
        <v>9.4826204887458201E-2</v>
      </c>
      <c r="M157" s="40"/>
    </row>
    <row r="158" spans="2:13">
      <c r="B158" s="39"/>
      <c r="C158" s="75">
        <v>153</v>
      </c>
      <c r="D158" s="110">
        <f>IF($C158&lt;=Entradas!$E$124,"",Observaciones!H158)</f>
        <v>1.4767519172164114</v>
      </c>
      <c r="E158" s="110">
        <f>IF($C158&lt;=Entradas!$E$124,"",LíneaBase!L159)</f>
        <v>1.6595477187016181</v>
      </c>
      <c r="F158" s="79">
        <f>IF($C158&lt;=Entradas!$E$124,"",D158-E158)</f>
        <v>-0.18279580148520669</v>
      </c>
      <c r="G158" s="79">
        <f>IF($C158&lt;=Entradas!$E$124,"",D158-AVERAGE(D:D))</f>
        <v>0.57065323502293319</v>
      </c>
      <c r="H158" s="79">
        <f>IF($C158&lt;=Entradas!$E$124,"",F158^2)</f>
        <v>3.341430504061909E-2</v>
      </c>
      <c r="I158" s="79">
        <f>IF($C158&lt;=Entradas!$E$124,"",G158^2)</f>
        <v>0.32564511464213902</v>
      </c>
      <c r="J158" s="79">
        <f>IF($C158&lt;=Entradas!$E$124,"",E158-AVERAGE(E:E))</f>
        <v>0.76396685490450023</v>
      </c>
      <c r="K158" s="79">
        <f>IF($C158&lt;=Entradas!$E$124,"",J158^2)</f>
        <v>0.5836453553926737</v>
      </c>
      <c r="L158" s="79">
        <f>IF($C158&lt;=Entradas!$E$124,"",G158*J158)</f>
        <v>0.43596015720154885</v>
      </c>
      <c r="M158" s="40"/>
    </row>
    <row r="159" spans="2:13">
      <c r="B159" s="39"/>
      <c r="C159" s="75">
        <v>154</v>
      </c>
      <c r="D159" s="110">
        <f>IF($C159&lt;=Entradas!$E$124,"",Observaciones!H159)</f>
        <v>0.94472018161146487</v>
      </c>
      <c r="E159" s="110">
        <f>IF($C159&lt;=Entradas!$E$124,"",LíneaBase!L160)</f>
        <v>0.86405420061373739</v>
      </c>
      <c r="F159" s="79">
        <f>IF($C159&lt;=Entradas!$E$124,"",D159-E159)</f>
        <v>8.0665980997727482E-2</v>
      </c>
      <c r="G159" s="79">
        <f>IF($C159&lt;=Entradas!$E$124,"",D159-AVERAGE(D:D))</f>
        <v>3.8621499417986649E-2</v>
      </c>
      <c r="H159" s="79">
        <f>IF($C159&lt;=Entradas!$E$124,"",F159^2)</f>
        <v>6.5070004903257312E-3</v>
      </c>
      <c r="I159" s="79">
        <f>IF($C159&lt;=Entradas!$E$124,"",G159^2)</f>
        <v>1.4916202172935431E-3</v>
      </c>
      <c r="J159" s="79">
        <f>IF($C159&lt;=Entradas!$E$124,"",E159-AVERAGE(E:E))</f>
        <v>-3.1526663183380488E-2</v>
      </c>
      <c r="K159" s="79">
        <f>IF($C159&lt;=Entradas!$E$124,"",J159^2)</f>
        <v>9.9393049147831862E-4</v>
      </c>
      <c r="L159" s="79">
        <f>IF($C159&lt;=Entradas!$E$124,"",G159*J159)</f>
        <v>-1.2176070037879906E-3</v>
      </c>
      <c r="M159" s="40"/>
    </row>
    <row r="160" spans="2:13">
      <c r="B160" s="39"/>
      <c r="C160" s="75">
        <v>155</v>
      </c>
      <c r="D160" s="110">
        <f>IF($C160&lt;=Entradas!$E$124,"",Observaciones!H160)</f>
        <v>0.88377610078853419</v>
      </c>
      <c r="E160" s="110">
        <f>IF($C160&lt;=Entradas!$E$124,"",LíneaBase!L161)</f>
        <v>0.80228337764042057</v>
      </c>
      <c r="F160" s="79">
        <f>IF($C160&lt;=Entradas!$E$124,"",D160-E160)</f>
        <v>8.1492723148113622E-2</v>
      </c>
      <c r="G160" s="79">
        <f>IF($C160&lt;=Entradas!$E$124,"",D160-AVERAGE(D:D))</f>
        <v>-2.2322581404944031E-2</v>
      </c>
      <c r="H160" s="79">
        <f>IF($C160&lt;=Entradas!$E$124,"",F160^2)</f>
        <v>6.6410639260950938E-3</v>
      </c>
      <c r="I160" s="79">
        <f>IF($C160&lt;=Entradas!$E$124,"",G160^2)</f>
        <v>4.9829764058035306E-4</v>
      </c>
      <c r="J160" s="79">
        <f>IF($C160&lt;=Entradas!$E$124,"",E160-AVERAGE(E:E))</f>
        <v>-9.3297486156697307E-2</v>
      </c>
      <c r="K160" s="79">
        <f>IF($C160&lt;=Entradas!$E$124,"",J160^2)</f>
        <v>8.7044209231591264E-3</v>
      </c>
      <c r="L160" s="79">
        <f>IF($C160&lt;=Entradas!$E$124,"",G160*J160)</f>
        <v>2.0826407296095145E-3</v>
      </c>
      <c r="M160" s="40"/>
    </row>
    <row r="161" spans="2:13">
      <c r="B161" s="39"/>
      <c r="C161" s="75">
        <v>156</v>
      </c>
      <c r="D161" s="110">
        <f>IF($C161&lt;=Entradas!$E$124,"",Observaciones!H161)</f>
        <v>0.82771851848180744</v>
      </c>
      <c r="E161" s="110">
        <f>IF($C161&lt;=Entradas!$E$124,"",LíneaBase!L162)</f>
        <v>0.74556511604381881</v>
      </c>
      <c r="F161" s="79">
        <f>IF($C161&lt;=Entradas!$E$124,"",D161-E161)</f>
        <v>8.2153402437988632E-2</v>
      </c>
      <c r="G161" s="79">
        <f>IF($C161&lt;=Entradas!$E$124,"",D161-AVERAGE(D:D))</f>
        <v>-7.8380163711670781E-2</v>
      </c>
      <c r="H161" s="79">
        <f>IF($C161&lt;=Entradas!$E$124,"",F161^2)</f>
        <v>6.7491815321381165E-3</v>
      </c>
      <c r="I161" s="79">
        <f>IF($C161&lt;=Entradas!$E$124,"",G161^2)</f>
        <v>6.143450063468313E-3</v>
      </c>
      <c r="J161" s="79">
        <f>IF($C161&lt;=Entradas!$E$124,"",E161-AVERAGE(E:E))</f>
        <v>-0.15001574775329907</v>
      </c>
      <c r="K161" s="79">
        <f>IF($C161&lt;=Entradas!$E$124,"",J161^2)</f>
        <v>2.2504724573981453E-2</v>
      </c>
      <c r="L161" s="79">
        <f>IF($C161&lt;=Entradas!$E$124,"",G161*J161)</f>
        <v>1.1758258868232289E-2</v>
      </c>
      <c r="M161" s="40"/>
    </row>
    <row r="162" spans="2:13">
      <c r="B162" s="39"/>
      <c r="C162" s="75">
        <v>157</v>
      </c>
      <c r="D162" s="110">
        <f>IF($C162&lt;=Entradas!$E$124,"",Observaciones!H162)</f>
        <v>0.77229829002998884</v>
      </c>
      <c r="E162" s="110">
        <f>IF($C162&lt;=Entradas!$E$124,"",LíneaBase!L163)</f>
        <v>0.68947489970077247</v>
      </c>
      <c r="F162" s="79">
        <f>IF($C162&lt;=Entradas!$E$124,"",D162-E162)</f>
        <v>8.2823390329216373E-2</v>
      </c>
      <c r="G162" s="79">
        <f>IF($C162&lt;=Entradas!$E$124,"",D162-AVERAGE(D:D))</f>
        <v>-0.13380039216348938</v>
      </c>
      <c r="H162" s="79">
        <f>IF($C162&lt;=Entradas!$E$124,"",F162^2)</f>
        <v>6.859713985625732E-3</v>
      </c>
      <c r="I162" s="79">
        <f>IF($C162&lt;=Entradas!$E$124,"",G162^2)</f>
        <v>1.790254494310355E-2</v>
      </c>
      <c r="J162" s="79">
        <f>IF($C162&lt;=Entradas!$E$124,"",E162-AVERAGE(E:E))</f>
        <v>-0.20610596409634541</v>
      </c>
      <c r="K162" s="79">
        <f>IF($C162&lt;=Entradas!$E$124,"",J162^2)</f>
        <v>4.2479668436084021E-2</v>
      </c>
      <c r="L162" s="79">
        <f>IF($C162&lt;=Entradas!$E$124,"",G162*J162)</f>
        <v>2.7577058823325076E-2</v>
      </c>
      <c r="M162" s="40"/>
    </row>
    <row r="163" spans="2:13">
      <c r="B163" s="39"/>
      <c r="C163" s="75">
        <v>158</v>
      </c>
      <c r="D163" s="110">
        <f>IF($C163&lt;=Entradas!$E$124,"",Observaciones!H163)</f>
        <v>0.71974881770565036</v>
      </c>
      <c r="E163" s="110">
        <f>IF($C163&lt;=Entradas!$E$124,"",LíneaBase!L164)</f>
        <v>0.63634073580302652</v>
      </c>
      <c r="F163" s="79">
        <f>IF($C163&lt;=Entradas!$E$124,"",D163-E163)</f>
        <v>8.3408081902623832E-2</v>
      </c>
      <c r="G163" s="79">
        <f>IF($C163&lt;=Entradas!$E$124,"",D163-AVERAGE(D:D))</f>
        <v>-0.18634986448782787</v>
      </c>
      <c r="H163" s="79">
        <f>IF($C163&lt;=Entradas!$E$124,"",F163^2)</f>
        <v>6.9569081266748056E-3</v>
      </c>
      <c r="I163" s="79">
        <f>IF($C163&lt;=Entradas!$E$124,"",G163^2)</f>
        <v>3.472627199463181E-2</v>
      </c>
      <c r="J163" s="79">
        <f>IF($C163&lt;=Entradas!$E$124,"",E163-AVERAGE(E:E))</f>
        <v>-0.25924012799409135</v>
      </c>
      <c r="K163" s="79">
        <f>IF($C163&lt;=Entradas!$E$124,"",J163^2)</f>
        <v>6.7205443962392863E-2</v>
      </c>
      <c r="L163" s="79">
        <f>IF($C163&lt;=Entradas!$E$124,"",G163*J163)</f>
        <v>4.8309362721506072E-2</v>
      </c>
      <c r="M163" s="40"/>
    </row>
    <row r="164" spans="2:13">
      <c r="B164" s="39"/>
      <c r="C164" s="75">
        <v>159</v>
      </c>
      <c r="D164" s="110">
        <f>IF($C164&lt;=Entradas!$E$124,"",Observaciones!H164)</f>
        <v>0.6684789463114138</v>
      </c>
      <c r="E164" s="110">
        <f>IF($C164&lt;=Entradas!$E$124,"",LíneaBase!L165)</f>
        <v>0.5845057947544402</v>
      </c>
      <c r="F164" s="79">
        <f>IF($C164&lt;=Entradas!$E$124,"",D164-E164)</f>
        <v>8.3973151556973602E-2</v>
      </c>
      <c r="G164" s="79">
        <f>IF($C164&lt;=Entradas!$E$124,"",D164-AVERAGE(D:D))</f>
        <v>-0.23761973588206442</v>
      </c>
      <c r="H164" s="79">
        <f>IF($C164&lt;=Entradas!$E$124,"",F164^2)</f>
        <v>7.0514901824104579E-3</v>
      </c>
      <c r="I164" s="79">
        <f>IF($C164&lt;=Entradas!$E$124,"",G164^2)</f>
        <v>5.6463138880662053E-2</v>
      </c>
      <c r="J164" s="79">
        <f>IF($C164&lt;=Entradas!$E$124,"",E164-AVERAGE(E:E))</f>
        <v>-0.31107506904267768</v>
      </c>
      <c r="K164" s="79">
        <f>IF($C164&lt;=Entradas!$E$124,"",J164^2)</f>
        <v>9.6767698579906677E-2</v>
      </c>
      <c r="L164" s="79">
        <f>IF($C164&lt;=Entradas!$E$124,"",G164*J164)</f>
        <v>7.391757574541602E-2</v>
      </c>
      <c r="M164" s="40"/>
    </row>
    <row r="165" spans="2:13">
      <c r="B165" s="39"/>
      <c r="C165" s="75">
        <v>160</v>
      </c>
      <c r="D165" s="110">
        <f>IF($C165&lt;=Entradas!$E$124,"",Observaciones!H165)</f>
        <v>0.67890355415465209</v>
      </c>
      <c r="E165" s="110">
        <f>IF($C165&lt;=Entradas!$E$124,"",LíneaBase!L166)</f>
        <v>0.59449257149465551</v>
      </c>
      <c r="F165" s="79">
        <f>IF($C165&lt;=Entradas!$E$124,"",D165-E165)</f>
        <v>8.4410982659996581E-2</v>
      </c>
      <c r="G165" s="79">
        <f>IF($C165&lt;=Entradas!$E$124,"",D165-AVERAGE(D:D))</f>
        <v>-0.22719512803882613</v>
      </c>
      <c r="H165" s="79">
        <f>IF($C165&lt;=Entradas!$E$124,"",F165^2)</f>
        <v>7.1252139936262438E-3</v>
      </c>
      <c r="I165" s="79">
        <f>IF($C165&lt;=Entradas!$E$124,"",G165^2)</f>
        <v>5.1617626204578604E-2</v>
      </c>
      <c r="J165" s="79">
        <f>IF($C165&lt;=Entradas!$E$124,"",E165-AVERAGE(E:E))</f>
        <v>-0.30108829230246237</v>
      </c>
      <c r="K165" s="79">
        <f>IF($C165&lt;=Entradas!$E$124,"",J165^2)</f>
        <v>9.0654159761613021E-2</v>
      </c>
      <c r="L165" s="79">
        <f>IF($C165&lt;=Entradas!$E$124,"",G165*J165)</f>
        <v>6.8405793120649441E-2</v>
      </c>
      <c r="M165" s="40"/>
    </row>
    <row r="166" spans="2:13">
      <c r="B166" s="39"/>
      <c r="C166" s="75">
        <v>161</v>
      </c>
      <c r="D166" s="110">
        <f>IF($C166&lt;=Entradas!$E$124,"",Observaciones!H166)</f>
        <v>0.67604261583468173</v>
      </c>
      <c r="E166" s="110">
        <f>IF($C166&lt;=Entradas!$E$124,"",LíneaBase!L167)</f>
        <v>0.59125996558765193</v>
      </c>
      <c r="F166" s="79">
        <f>IF($C166&lt;=Entradas!$E$124,"",D166-E166)</f>
        <v>8.47826502470298E-2</v>
      </c>
      <c r="G166" s="79">
        <f>IF($C166&lt;=Entradas!$E$124,"",D166-AVERAGE(D:D))</f>
        <v>-0.2300560663587965</v>
      </c>
      <c r="H166" s="79">
        <f>IF($C166&lt;=Entradas!$E$124,"",F166^2)</f>
        <v>7.1880977829101821E-3</v>
      </c>
      <c r="I166" s="79">
        <f>IF($C166&lt;=Entradas!$E$124,"",G166^2)</f>
        <v>5.2925793668482976E-2</v>
      </c>
      <c r="J166" s="79">
        <f>IF($C166&lt;=Entradas!$E$124,"",E166-AVERAGE(E:E))</f>
        <v>-0.30432089820946595</v>
      </c>
      <c r="K166" s="79">
        <f>IF($C166&lt;=Entradas!$E$124,"",J166^2)</f>
        <v>9.261120908701613E-2</v>
      </c>
      <c r="L166" s="79">
        <f>IF($C166&lt;=Entradas!$E$124,"",G166*J166)</f>
        <v>7.0010868752845457E-2</v>
      </c>
      <c r="M166" s="40"/>
    </row>
    <row r="167" spans="2:13">
      <c r="B167" s="39"/>
      <c r="C167" s="75">
        <v>162</v>
      </c>
      <c r="D167" s="110">
        <f>IF($C167&lt;=Entradas!$E$124,"",Observaciones!H167)</f>
        <v>0.63767204069798034</v>
      </c>
      <c r="E167" s="110">
        <f>IF($C167&lt;=Entradas!$E$124,"",LíneaBase!L168)</f>
        <v>0.55248419792142245</v>
      </c>
      <c r="F167" s="79">
        <f>IF($C167&lt;=Entradas!$E$124,"",D167-E167)</f>
        <v>8.5187842776557887E-2</v>
      </c>
      <c r="G167" s="79">
        <f>IF($C167&lt;=Entradas!$E$124,"",D167-AVERAGE(D:D))</f>
        <v>-0.26842664149549789</v>
      </c>
      <c r="H167" s="79">
        <f>IF($C167&lt;=Entradas!$E$124,"",F167^2)</f>
        <v>7.2569685569235454E-3</v>
      </c>
      <c r="I167" s="79">
        <f>IF($C167&lt;=Entradas!$E$124,"",G167^2)</f>
        <v>7.205286186455255E-2</v>
      </c>
      <c r="J167" s="79">
        <f>IF($C167&lt;=Entradas!$E$124,"",E167-AVERAGE(E:E))</f>
        <v>-0.34309666587569543</v>
      </c>
      <c r="K167" s="79">
        <f>IF($C167&lt;=Entradas!$E$124,"",J167^2)</f>
        <v>0.11771532213501859</v>
      </c>
      <c r="L167" s="79">
        <f>IF($C167&lt;=Entradas!$E$124,"",G167*J167)</f>
        <v>9.2096285729315913E-2</v>
      </c>
      <c r="M167" s="40"/>
    </row>
    <row r="168" spans="2:13">
      <c r="B168" s="39"/>
      <c r="C168" s="75">
        <v>163</v>
      </c>
      <c r="D168" s="110">
        <f>IF($C168&lt;=Entradas!$E$124,"",Observaciones!H168)</f>
        <v>0.58867937610803378</v>
      </c>
      <c r="E168" s="110">
        <f>IF($C168&lt;=Entradas!$E$124,"",LíneaBase!L169)</f>
        <v>0.50710812538139449</v>
      </c>
      <c r="F168" s="79">
        <f>IF($C168&lt;=Entradas!$E$124,"",D168-E168)</f>
        <v>8.1571250726639288E-2</v>
      </c>
      <c r="G168" s="79">
        <f>IF($C168&lt;=Entradas!$E$124,"",D168-AVERAGE(D:D))</f>
        <v>-0.31741930608544444</v>
      </c>
      <c r="H168" s="79">
        <f>IF($C168&lt;=Entradas!$E$124,"",F168^2)</f>
        <v>6.6538689451082506E-3</v>
      </c>
      <c r="I168" s="79">
        <f>IF($C168&lt;=Entradas!$E$124,"",G168^2)</f>
        <v>0.10075501587576506</v>
      </c>
      <c r="J168" s="79">
        <f>IF($C168&lt;=Entradas!$E$124,"",E168-AVERAGE(E:E))</f>
        <v>-0.38847273841572338</v>
      </c>
      <c r="K168" s="79">
        <f>IF($C168&lt;=Entradas!$E$124,"",J168^2)</f>
        <v>0.15091106849221106</v>
      </c>
      <c r="L168" s="79">
        <f>IF($C168&lt;=Entradas!$E$124,"",G168*J168)</f>
        <v>0.12330874706103129</v>
      </c>
      <c r="M168" s="40"/>
    </row>
    <row r="169" spans="2:13">
      <c r="B169" s="39"/>
      <c r="C169" s="75">
        <v>164</v>
      </c>
      <c r="D169" s="110">
        <f>IF($C169&lt;=Entradas!$E$124,"",Observaciones!H169)</f>
        <v>0.56071894970316749</v>
      </c>
      <c r="E169" s="110">
        <f>IF($C169&lt;=Entradas!$E$124,"",LíneaBase!L170)</f>
        <v>0.4954852466233351</v>
      </c>
      <c r="F169" s="79">
        <f>IF($C169&lt;=Entradas!$E$124,"",D169-E169)</f>
        <v>6.5233703079832395E-2</v>
      </c>
      <c r="G169" s="79">
        <f>IF($C169&lt;=Entradas!$E$124,"",D169-AVERAGE(D:D))</f>
        <v>-0.34537973249031073</v>
      </c>
      <c r="H169" s="79">
        <f>IF($C169&lt;=Entradas!$E$124,"",F169^2)</f>
        <v>4.2554360175077344E-3</v>
      </c>
      <c r="I169" s="79">
        <f>IF($C169&lt;=Entradas!$E$124,"",G169^2)</f>
        <v>0.1192871596150786</v>
      </c>
      <c r="J169" s="79">
        <f>IF($C169&lt;=Entradas!$E$124,"",E169-AVERAGE(E:E))</f>
        <v>-0.40009561717378278</v>
      </c>
      <c r="K169" s="79">
        <f>IF($C169&lt;=Entradas!$E$124,"",J169^2)</f>
        <v>0.16007650288167014</v>
      </c>
      <c r="L169" s="79">
        <f>IF($C169&lt;=Entradas!$E$124,"",G169*J169)</f>
        <v>0.13818491723002688</v>
      </c>
      <c r="M169" s="40"/>
    </row>
    <row r="170" spans="2:13">
      <c r="B170" s="39"/>
      <c r="C170" s="75">
        <v>165</v>
      </c>
      <c r="D170" s="110">
        <f>IF($C170&lt;=Entradas!$E$124,"",Observaciones!H170)</f>
        <v>0.551516898593992</v>
      </c>
      <c r="E170" s="110">
        <f>IF($C170&lt;=Entradas!$E$124,"",LíneaBase!L171)</f>
        <v>0.4895035815835399</v>
      </c>
      <c r="F170" s="79">
        <f>IF($C170&lt;=Entradas!$E$124,"",D170-E170)</f>
        <v>6.2013317010452096E-2</v>
      </c>
      <c r="G170" s="79">
        <f>IF($C170&lt;=Entradas!$E$124,"",D170-AVERAGE(D:D))</f>
        <v>-0.35458178359948622</v>
      </c>
      <c r="H170" s="79">
        <f>IF($C170&lt;=Entradas!$E$124,"",F170^2)</f>
        <v>3.8456514866388272E-3</v>
      </c>
      <c r="I170" s="79">
        <f>IF($C170&lt;=Entradas!$E$124,"",G170^2)</f>
        <v>0.12572824126059287</v>
      </c>
      <c r="J170" s="79">
        <f>IF($C170&lt;=Entradas!$E$124,"",E170-AVERAGE(E:E))</f>
        <v>-0.40607728221357797</v>
      </c>
      <c r="K170" s="79">
        <f>IF($C170&lt;=Entradas!$E$124,"",J170^2)</f>
        <v>0.16489875912996585</v>
      </c>
      <c r="L170" s="79">
        <f>IF($C170&lt;=Entradas!$E$124,"",G170*J170)</f>
        <v>0.14398760700652241</v>
      </c>
      <c r="M170" s="40"/>
    </row>
    <row r="171" spans="2:13">
      <c r="B171" s="39"/>
      <c r="C171" s="75">
        <v>166</v>
      </c>
      <c r="D171" s="110">
        <f>IF($C171&lt;=Entradas!$E$124,"",Observaciones!H171)</f>
        <v>0.54547249783773333</v>
      </c>
      <c r="E171" s="110">
        <f>IF($C171&lt;=Entradas!$E$124,"",LíneaBase!L172)</f>
        <v>0.48449793408419722</v>
      </c>
      <c r="F171" s="79">
        <f>IF($C171&lt;=Entradas!$E$124,"",D171-E171)</f>
        <v>6.0974563753536104E-2</v>
      </c>
      <c r="G171" s="79">
        <f>IF($C171&lt;=Entradas!$E$124,"",D171-AVERAGE(D:D))</f>
        <v>-0.36062618435574489</v>
      </c>
      <c r="H171" s="79">
        <f>IF($C171&lt;=Entradas!$E$124,"",F171^2)</f>
        <v>3.7178974249340389E-3</v>
      </c>
      <c r="I171" s="79">
        <f>IF($C171&lt;=Entradas!$E$124,"",G171^2)</f>
        <v>0.13005124484298369</v>
      </c>
      <c r="J171" s="79">
        <f>IF($C171&lt;=Entradas!$E$124,"",E171-AVERAGE(E:E))</f>
        <v>-0.41108292971292065</v>
      </c>
      <c r="K171" s="79">
        <f>IF($C171&lt;=Entradas!$E$124,"",J171^2)</f>
        <v>0.16898917510135805</v>
      </c>
      <c r="L171" s="79">
        <f>IF($C171&lt;=Entradas!$E$124,"",G171*J171)</f>
        <v>0.14824726839615143</v>
      </c>
      <c r="M171" s="40"/>
    </row>
    <row r="172" spans="2:13">
      <c r="B172" s="39"/>
      <c r="C172" s="75">
        <v>167</v>
      </c>
      <c r="D172" s="110">
        <f>IF($C172&lt;=Entradas!$E$124,"",Observaciones!H172)</f>
        <v>0.53999657746221608</v>
      </c>
      <c r="E172" s="110">
        <f>IF($C172&lt;=Entradas!$E$124,"",LíneaBase!L173)</f>
        <v>0.47969378510636212</v>
      </c>
      <c r="F172" s="79">
        <f>IF($C172&lt;=Entradas!$E$124,"",D172-E172)</f>
        <v>6.0302792355853951E-2</v>
      </c>
      <c r="G172" s="79">
        <f>IF($C172&lt;=Entradas!$E$124,"",D172-AVERAGE(D:D))</f>
        <v>-0.36610210473126215</v>
      </c>
      <c r="H172" s="79">
        <f>IF($C172&lt;=Entradas!$E$124,"",F172^2)</f>
        <v>3.6364267659132377E-3</v>
      </c>
      <c r="I172" s="79">
        <f>IF($C172&lt;=Entradas!$E$124,"",G172^2)</f>
        <v>0.13403075108866003</v>
      </c>
      <c r="J172" s="79">
        <f>IF($C172&lt;=Entradas!$E$124,"",E172-AVERAGE(E:E))</f>
        <v>-0.41588707869075575</v>
      </c>
      <c r="K172" s="79">
        <f>IF($C172&lt;=Entradas!$E$124,"",J172^2)</f>
        <v>0.17296206222193086</v>
      </c>
      <c r="L172" s="79">
        <f>IF($C172&lt;=Entradas!$E$124,"",G172*J172)</f>
        <v>0.15225713483922174</v>
      </c>
      <c r="M172" s="40"/>
    </row>
    <row r="173" spans="2:13">
      <c r="B173" s="39"/>
      <c r="C173" s="75">
        <v>168</v>
      </c>
      <c r="D173" s="110">
        <f>IF($C173&lt;=Entradas!$E$124,"",Observaciones!H173)</f>
        <v>0.53465906152514808</v>
      </c>
      <c r="E173" s="110">
        <f>IF($C173&lt;=Entradas!$E$124,"",LíneaBase!L174)</f>
        <v>0.47496222419302953</v>
      </c>
      <c r="F173" s="79">
        <f>IF($C173&lt;=Entradas!$E$124,"",D173-E173)</f>
        <v>5.9696837332118557E-2</v>
      </c>
      <c r="G173" s="79">
        <f>IF($C173&lt;=Entradas!$E$124,"",D173-AVERAGE(D:D))</f>
        <v>-0.37143962066833014</v>
      </c>
      <c r="H173" s="79">
        <f>IF($C173&lt;=Entradas!$E$124,"",F173^2)</f>
        <v>3.5637123874574239E-3</v>
      </c>
      <c r="I173" s="79">
        <f>IF($C173&lt;=Entradas!$E$124,"",G173^2)</f>
        <v>0.137967391802233</v>
      </c>
      <c r="J173" s="79">
        <f>IF($C173&lt;=Entradas!$E$124,"",E173-AVERAGE(E:E))</f>
        <v>-0.42061863960408835</v>
      </c>
      <c r="K173" s="79">
        <f>IF($C173&lt;=Entradas!$E$124,"",J173^2)</f>
        <v>0.17692003998239397</v>
      </c>
      <c r="L173" s="79">
        <f>IF($C173&lt;=Entradas!$E$124,"",G173*J173)</f>
        <v>0.15623442794057163</v>
      </c>
      <c r="M173" s="40"/>
    </row>
    <row r="174" spans="2:13">
      <c r="B174" s="39"/>
      <c r="C174" s="75">
        <v>169</v>
      </c>
      <c r="D174" s="110">
        <f>IF($C174&lt;=Entradas!$E$124,"",Observaciones!H174)</f>
        <v>0.52938815054281418</v>
      </c>
      <c r="E174" s="110">
        <f>IF($C174&lt;=Entradas!$E$124,"",LíneaBase!L175)</f>
        <v>0.47028147464084724</v>
      </c>
      <c r="F174" s="79">
        <f>IF($C174&lt;=Entradas!$E$124,"",D174-E174)</f>
        <v>5.9106675901966943E-2</v>
      </c>
      <c r="G174" s="79">
        <f>IF($C174&lt;=Entradas!$E$124,"",D174-AVERAGE(D:D))</f>
        <v>-0.37671053165066404</v>
      </c>
      <c r="H174" s="79">
        <f>IF($C174&lt;=Entradas!$E$124,"",F174^2)</f>
        <v>3.4935991361801596E-3</v>
      </c>
      <c r="I174" s="79">
        <f>IF($C174&lt;=Entradas!$E$124,"",G174^2)</f>
        <v>0.14191082465652596</v>
      </c>
      <c r="J174" s="79">
        <f>IF($C174&lt;=Entradas!$E$124,"",E174-AVERAGE(E:E))</f>
        <v>-0.42529938915627064</v>
      </c>
      <c r="K174" s="79">
        <f>IF($C174&lt;=Entradas!$E$124,"",J174^2)</f>
        <v>0.18087957041669694</v>
      </c>
      <c r="L174" s="79">
        <f>IF($C174&lt;=Entradas!$E$124,"",G174*J174)</f>
        <v>0.16021475899976137</v>
      </c>
      <c r="M174" s="40"/>
    </row>
    <row r="175" spans="2:13">
      <c r="B175" s="39"/>
      <c r="C175" s="75">
        <v>170</v>
      </c>
      <c r="D175" s="110">
        <f>IF($C175&lt;=Entradas!$E$124,"",Observaciones!H175)</f>
        <v>0.52417150039064964</v>
      </c>
      <c r="E175" s="110">
        <f>IF($C175&lt;=Entradas!$E$124,"",LíneaBase!L176)</f>
        <v>0.46564754092938537</v>
      </c>
      <c r="F175" s="79">
        <f>IF($C175&lt;=Entradas!$E$124,"",D175-E175)</f>
        <v>5.8523959461264263E-2</v>
      </c>
      <c r="G175" s="79">
        <f>IF($C175&lt;=Entradas!$E$124,"",D175-AVERAGE(D:D))</f>
        <v>-0.38192718180282859</v>
      </c>
      <c r="H175" s="79">
        <f>IF($C175&lt;=Entradas!$E$124,"",F175^2)</f>
        <v>3.4250538310237029E-3</v>
      </c>
      <c r="I175" s="79">
        <f>IF($C175&lt;=Entradas!$E$124,"",G175^2)</f>
        <v>0.14586837219985088</v>
      </c>
      <c r="J175" s="79">
        <f>IF($C175&lt;=Entradas!$E$124,"",E175-AVERAGE(E:E))</f>
        <v>-0.4299333228677325</v>
      </c>
      <c r="K175" s="79">
        <f>IF($C175&lt;=Entradas!$E$124,"",J175^2)</f>
        <v>0.18484266211208991</v>
      </c>
      <c r="L175" s="79">
        <f>IF($C175&lt;=Entradas!$E$124,"",G175*J175)</f>
        <v>0.16420322236599869</v>
      </c>
      <c r="M175" s="40"/>
    </row>
    <row r="176" spans="2:13">
      <c r="B176" s="39"/>
      <c r="C176" s="75">
        <v>171</v>
      </c>
      <c r="D176" s="110">
        <f>IF($C176&lt;=Entradas!$E$124,"",Observaciones!H176)</f>
        <v>0.5190066369848354</v>
      </c>
      <c r="E176" s="110">
        <f>IF($C176&lt;=Entradas!$E$124,"",LíneaBase!L177)</f>
        <v>0.46105938184611456</v>
      </c>
      <c r="F176" s="79">
        <f>IF($C176&lt;=Entradas!$E$124,"",D176-E176)</f>
        <v>5.7947255138720843E-2</v>
      </c>
      <c r="G176" s="79">
        <f>IF($C176&lt;=Entradas!$E$124,"",D176-AVERAGE(D:D))</f>
        <v>-0.38709204520864282</v>
      </c>
      <c r="H176" s="79">
        <f>IF($C176&lt;=Entradas!$E$124,"",F176^2)</f>
        <v>3.3578843781120094E-3</v>
      </c>
      <c r="I176" s="79">
        <f>IF($C176&lt;=Entradas!$E$124,"",G176^2)</f>
        <v>0.14984025146380997</v>
      </c>
      <c r="J176" s="79">
        <f>IF($C176&lt;=Entradas!$E$124,"",E176-AVERAGE(E:E))</f>
        <v>-0.43452148195100332</v>
      </c>
      <c r="K176" s="79">
        <f>IF($C176&lt;=Entradas!$E$124,"",J176^2)</f>
        <v>0.18880891827689611</v>
      </c>
      <c r="L176" s="79">
        <f>IF($C176&lt;=Entradas!$E$124,"",G176*J176)</f>
        <v>0.16819980913550425</v>
      </c>
      <c r="M176" s="40"/>
    </row>
    <row r="177" spans="2:13">
      <c r="B177" s="39"/>
      <c r="C177" s="75">
        <v>172</v>
      </c>
      <c r="D177" s="110">
        <f>IF($C177&lt;=Entradas!$E$124,"",Observaciones!H177)</f>
        <v>0.51389272823484788</v>
      </c>
      <c r="E177" s="110">
        <f>IF($C177&lt;=Entradas!$E$124,"",LíneaBase!L178)</f>
        <v>0.45651645013211151</v>
      </c>
      <c r="F177" s="79">
        <f>IF($C177&lt;=Entradas!$E$124,"",D177-E177)</f>
        <v>5.7376278102736378E-2</v>
      </c>
      <c r="G177" s="79">
        <f>IF($C177&lt;=Entradas!$E$124,"",D177-AVERAGE(D:D))</f>
        <v>-0.39220595395863034</v>
      </c>
      <c r="H177" s="79">
        <f>IF($C177&lt;=Entradas!$E$124,"",F177^2)</f>
        <v>3.2920372889225459E-3</v>
      </c>
      <c r="I177" s="79">
        <f>IF($C177&lt;=Entradas!$E$124,"",G177^2)</f>
        <v>0.15382551032059927</v>
      </c>
      <c r="J177" s="79">
        <f>IF($C177&lt;=Entradas!$E$124,"",E177-AVERAGE(E:E))</f>
        <v>-0.43906441366500637</v>
      </c>
      <c r="K177" s="79">
        <f>IF($C177&lt;=Entradas!$E$124,"",J177^2)</f>
        <v>0.19277755934699584</v>
      </c>
      <c r="L177" s="79">
        <f>IF($C177&lt;=Entradas!$E$124,"",G177*J177)</f>
        <v>0.17220367721077051</v>
      </c>
      <c r="M177" s="40"/>
    </row>
    <row r="178" spans="2:13">
      <c r="B178" s="39"/>
      <c r="C178" s="75">
        <v>173</v>
      </c>
      <c r="D178" s="110">
        <f>IF($C178&lt;=Entradas!$E$124,"",Observaciones!H178)</f>
        <v>0.50882921867013697</v>
      </c>
      <c r="E178" s="110">
        <f>IF($C178&lt;=Entradas!$E$124,"",LíneaBase!L179)</f>
        <v>0.45201828418318052</v>
      </c>
      <c r="F178" s="79">
        <f>IF($C178&lt;=Entradas!$E$124,"",D178-E178)</f>
        <v>5.6810934486956455E-2</v>
      </c>
      <c r="G178" s="79">
        <f>IF($C178&lt;=Entradas!$E$124,"",D178-AVERAGE(D:D))</f>
        <v>-0.39726946352334125</v>
      </c>
      <c r="H178" s="79">
        <f>IF($C178&lt;=Entradas!$E$124,"",F178^2)</f>
        <v>3.2274822772812581E-3</v>
      </c>
      <c r="I178" s="79">
        <f>IF($C178&lt;=Entradas!$E$124,"",G178^2)</f>
        <v>0.15782302664812337</v>
      </c>
      <c r="J178" s="79">
        <f>IF($C178&lt;=Entradas!$E$124,"",E178-AVERAGE(E:E))</f>
        <v>-0.44356257961393736</v>
      </c>
      <c r="K178" s="79">
        <f>IF($C178&lt;=Entradas!$E$124,"",J178^2)</f>
        <v>0.19674776203377051</v>
      </c>
      <c r="L178" s="79">
        <f>IF($C178&lt;=Entradas!$E$124,"",G178*J178)</f>
        <v>0.17621386804225825</v>
      </c>
      <c r="M178" s="40"/>
    </row>
    <row r="179" spans="2:13">
      <c r="B179" s="39"/>
      <c r="C179" s="75">
        <v>174</v>
      </c>
      <c r="D179" s="110">
        <f>IF($C179&lt;=Entradas!$E$124,"",Observaciones!H179)</f>
        <v>0.5038156028341626</v>
      </c>
      <c r="E179" s="110">
        <f>IF($C179&lt;=Entradas!$E$124,"",LíneaBase!L180)</f>
        <v>0.44756444026187908</v>
      </c>
      <c r="F179" s="79">
        <f>IF($C179&lt;=Entradas!$E$124,"",D179-E179)</f>
        <v>5.625116257228352E-2</v>
      </c>
      <c r="G179" s="79">
        <f>IF($C179&lt;=Entradas!$E$124,"",D179-AVERAGE(D:D))</f>
        <v>-0.40228307935931562</v>
      </c>
      <c r="H179" s="79">
        <f>IF($C179&lt;=Entradas!$E$124,"",F179^2)</f>
        <v>3.1641932907334703E-3</v>
      </c>
      <c r="I179" s="79">
        <f>IF($C179&lt;=Entradas!$E$124,"",G179^2)</f>
        <v>0.16183167593881342</v>
      </c>
      <c r="J179" s="79">
        <f>IF($C179&lt;=Entradas!$E$124,"",E179-AVERAGE(E:E))</f>
        <v>-0.44801642353523879</v>
      </c>
      <c r="K179" s="79">
        <f>IF($C179&lt;=Entradas!$E$124,"",J179^2)</f>
        <v>0.20071871575730646</v>
      </c>
      <c r="L179" s="79">
        <f>IF($C179&lt;=Entradas!$E$124,"",G179*J179)</f>
        <v>0.18022942646330323</v>
      </c>
      <c r="M179" s="40"/>
    </row>
    <row r="180" spans="2:13">
      <c r="B180" s="39"/>
      <c r="C180" s="75">
        <v>175</v>
      </c>
      <c r="D180" s="110">
        <f>IF($C180&lt;=Entradas!$E$124,"",Observaciones!H180)</f>
        <v>0.49885138764170955</v>
      </c>
      <c r="E180" s="110">
        <f>IF($C180&lt;=Entradas!$E$124,"",LíneaBase!L181)</f>
        <v>0.44315448121303158</v>
      </c>
      <c r="F180" s="79">
        <f>IF($C180&lt;=Entradas!$E$124,"",D180-E180)</f>
        <v>5.5696906428677972E-2</v>
      </c>
      <c r="G180" s="79">
        <f>IF($C180&lt;=Entradas!$E$124,"",D180-AVERAGE(D:D))</f>
        <v>-0.40724729455176867</v>
      </c>
      <c r="H180" s="79">
        <f>IF($C180&lt;=Entradas!$E$124,"",F180^2)</f>
        <v>3.1021453857249096E-3</v>
      </c>
      <c r="I180" s="79">
        <f>IF($C180&lt;=Entradas!$E$124,"",G180^2)</f>
        <v>0.16585035891973504</v>
      </c>
      <c r="J180" s="79">
        <f>IF($C180&lt;=Entradas!$E$124,"",E180-AVERAGE(E:E))</f>
        <v>-0.4524263825840863</v>
      </c>
      <c r="K180" s="79">
        <f>IF($C180&lt;=Entradas!$E$124,"",J180^2)</f>
        <v>0.20468963165812201</v>
      </c>
      <c r="L180" s="79">
        <f>IF($C180&lt;=Entradas!$E$124,"",G180*J180)</f>
        <v>0.18424942029121258</v>
      </c>
      <c r="M180" s="40"/>
    </row>
    <row r="181" spans="2:13">
      <c r="B181" s="39"/>
      <c r="C181" s="75">
        <v>176</v>
      </c>
      <c r="D181" s="110">
        <f>IF($C181&lt;=Entradas!$E$124,"",Observaciones!H181)</f>
        <v>0.49393608609247464</v>
      </c>
      <c r="E181" s="110">
        <f>IF($C181&lt;=Entradas!$E$124,"",LíneaBase!L182)</f>
        <v>0.43878797455557778</v>
      </c>
      <c r="F181" s="79">
        <f>IF($C181&lt;=Entradas!$E$124,"",D181-E181)</f>
        <v>5.514811153689686E-2</v>
      </c>
      <c r="G181" s="79">
        <f>IF($C181&lt;=Entradas!$E$124,"",D181-AVERAGE(D:D))</f>
        <v>-0.41216259610100359</v>
      </c>
      <c r="H181" s="79">
        <f>IF($C181&lt;=Entradas!$E$124,"",F181^2)</f>
        <v>3.0413142060860166E-3</v>
      </c>
      <c r="I181" s="79">
        <f>IF($C181&lt;=Entradas!$E$124,"",G181^2)</f>
        <v>0.16987800562471903</v>
      </c>
      <c r="J181" s="79">
        <f>IF($C181&lt;=Entradas!$E$124,"",E181-AVERAGE(E:E))</f>
        <v>-0.4567928892415401</v>
      </c>
      <c r="K181" s="79">
        <f>IF($C181&lt;=Entradas!$E$124,"",J181^2)</f>
        <v>0.20865974366163392</v>
      </c>
      <c r="L181" s="79">
        <f>IF($C181&lt;=Entradas!$E$124,"",G181*J181)</f>
        <v>0.18827294311027135</v>
      </c>
      <c r="M181" s="40"/>
    </row>
    <row r="182" spans="2:13">
      <c r="B182" s="39"/>
      <c r="C182" s="75">
        <v>177</v>
      </c>
      <c r="D182" s="110">
        <f>IF($C182&lt;=Entradas!$E$124,"",Observaciones!H182)</f>
        <v>0.48906921618819305</v>
      </c>
      <c r="E182" s="110">
        <f>IF($C182&lt;=Entradas!$E$124,"",LíneaBase!L183)</f>
        <v>0.43446449213064936</v>
      </c>
      <c r="F182" s="79">
        <f>IF($C182&lt;=Entradas!$E$124,"",D182-E182)</f>
        <v>5.4604724057543685E-2</v>
      </c>
      <c r="G182" s="79">
        <f>IF($C182&lt;=Entradas!$E$124,"",D182-AVERAGE(D:D))</f>
        <v>-0.41702946600528518</v>
      </c>
      <c r="H182" s="79">
        <f>IF($C182&lt;=Entradas!$E$124,"",F182^2)</f>
        <v>2.9816758894004899E-3</v>
      </c>
      <c r="I182" s="79">
        <f>IF($C182&lt;=Entradas!$E$124,"",G182^2)</f>
        <v>0.17391357551665332</v>
      </c>
      <c r="J182" s="79">
        <f>IF($C182&lt;=Entradas!$E$124,"",E182-AVERAGE(E:E))</f>
        <v>-0.46111637166646852</v>
      </c>
      <c r="K182" s="79">
        <f>IF($C182&lt;=Entradas!$E$124,"",J182^2)</f>
        <v>0.21262830821884873</v>
      </c>
      <c r="L182" s="79">
        <f>IF($C182&lt;=Entradas!$E$124,"",G182*J182)</f>
        <v>0.19229911424236198</v>
      </c>
      <c r="M182" s="40"/>
    </row>
    <row r="183" spans="2:13">
      <c r="B183" s="39"/>
      <c r="C183" s="75">
        <v>178</v>
      </c>
      <c r="D183" s="110">
        <f>IF($C183&lt;=Entradas!$E$124,"",Observaciones!H183)</f>
        <v>0.48425030071361308</v>
      </c>
      <c r="E183" s="110">
        <f>IF($C183&lt;=Entradas!$E$124,"",LíneaBase!L184)</f>
        <v>0.43018361000822664</v>
      </c>
      <c r="F183" s="79">
        <f>IF($C183&lt;=Entradas!$E$124,"",D183-E183)</f>
        <v>5.4066690705386444E-2</v>
      </c>
      <c r="G183" s="79">
        <f>IF($C183&lt;=Entradas!$E$124,"",D183-AVERAGE(D:D))</f>
        <v>-0.42184838147986514</v>
      </c>
      <c r="H183" s="79">
        <f>IF($C183&lt;=Entradas!$E$124,"",F183^2)</f>
        <v>2.9232070438319209E-3</v>
      </c>
      <c r="I183" s="79">
        <f>IF($C183&lt;=Entradas!$E$124,"",G183^2)</f>
        <v>0.17795605695718184</v>
      </c>
      <c r="J183" s="79">
        <f>IF($C183&lt;=Entradas!$E$124,"",E183-AVERAGE(E:E))</f>
        <v>-0.46539725378889124</v>
      </c>
      <c r="K183" s="79">
        <f>IF($C183&lt;=Entradas!$E$124,"",J183^2)</f>
        <v>0.21659460383424164</v>
      </c>
      <c r="L183" s="79">
        <f>IF($C183&lt;=Entradas!$E$124,"",G183*J183)</f>
        <v>0.19632707825601781</v>
      </c>
      <c r="M183" s="40"/>
    </row>
    <row r="184" spans="2:13">
      <c r="B184" s="39"/>
      <c r="C184" s="75">
        <v>179</v>
      </c>
      <c r="D184" s="110">
        <f>IF($C184&lt;=Entradas!$E$124,"",Observaciones!H184)</f>
        <v>0.47947886716120219</v>
      </c>
      <c r="E184" s="110">
        <f>IF($C184&lt;=Entradas!$E$124,"",LíneaBase!L185)</f>
        <v>0.42594490843704919</v>
      </c>
      <c r="F184" s="79">
        <f>IF($C184&lt;=Entradas!$E$124,"",D184-E184)</f>
        <v>5.3533958724153008E-2</v>
      </c>
      <c r="G184" s="79">
        <f>IF($C184&lt;=Entradas!$E$124,"",D184-AVERAGE(D:D))</f>
        <v>-0.42661981503227603</v>
      </c>
      <c r="H184" s="79">
        <f>IF($C184&lt;=Entradas!$E$124,"",F184^2)</f>
        <v>2.8658847366793178E-3</v>
      </c>
      <c r="I184" s="79">
        <f>IF($C184&lt;=Entradas!$E$124,"",G184^2)</f>
        <v>0.1820044665781734</v>
      </c>
      <c r="J184" s="79">
        <f>IF($C184&lt;=Entradas!$E$124,"",E184-AVERAGE(E:E))</f>
        <v>-0.46963595536006869</v>
      </c>
      <c r="K184" s="79">
        <f>IF($C184&lt;=Entradas!$E$124,"",J184^2)</f>
        <v>0.22055793056696443</v>
      </c>
      <c r="L184" s="79">
        <f>IF($C184&lt;=Entradas!$E$124,"",G184*J184)</f>
        <v>0.20035600440821874</v>
      </c>
      <c r="M184" s="40"/>
    </row>
    <row r="185" spans="2:13">
      <c r="B185" s="39"/>
      <c r="C185" s="75">
        <v>180</v>
      </c>
      <c r="D185" s="110">
        <f>IF($C185&lt;=Entradas!$E$124,"",Observaciones!H185)</f>
        <v>0.47475444768008696</v>
      </c>
      <c r="E185" s="110">
        <f>IF($C185&lt;=Entradas!$E$124,"",LíneaBase!L186)</f>
        <v>0.42174797180204376</v>
      </c>
      <c r="F185" s="79">
        <f>IF($C185&lt;=Entradas!$E$124,"",D185-E185)</f>
        <v>5.3006475878043191E-2</v>
      </c>
      <c r="G185" s="79">
        <f>IF($C185&lt;=Entradas!$E$124,"",D185-AVERAGE(D:D))</f>
        <v>-0.43134423451339127</v>
      </c>
      <c r="H185" s="79">
        <f>IF($C185&lt;=Entradas!$E$124,"",F185^2)</f>
        <v>2.8096864850095746E-3</v>
      </c>
      <c r="I185" s="79">
        <f>IF($C185&lt;=Entradas!$E$124,"",G185^2)</f>
        <v>0.18605784864794347</v>
      </c>
      <c r="J185" s="79">
        <f>IF($C185&lt;=Entradas!$E$124,"",E185-AVERAGE(E:E))</f>
        <v>-0.47383289199507411</v>
      </c>
      <c r="K185" s="79">
        <f>IF($C185&lt;=Entradas!$E$124,"",J185^2)</f>
        <v>0.22451760953641556</v>
      </c>
      <c r="L185" s="79">
        <f>IF($C185&lt;=Entradas!$E$124,"",G185*J185)</f>
        <v>0.20438508608488165</v>
      </c>
      <c r="M185" s="40"/>
    </row>
    <row r="186" spans="2:13">
      <c r="B186" s="39"/>
      <c r="C186" s="75">
        <v>181</v>
      </c>
      <c r="D186" s="110">
        <f>IF($C186&lt;=Entradas!$E$124,"",Observaciones!H186)</f>
        <v>0.4700765790293942</v>
      </c>
      <c r="E186" s="110">
        <f>IF($C186&lt;=Entradas!$E$124,"",LíneaBase!L187)</f>
        <v>0.41759238858333714</v>
      </c>
      <c r="F186" s="79">
        <f>IF($C186&lt;=Entradas!$E$124,"",D186-E186)</f>
        <v>5.2484190446057066E-2</v>
      </c>
      <c r="G186" s="79">
        <f>IF($C186&lt;=Entradas!$E$124,"",D186-AVERAGE(D:D))</f>
        <v>-0.43602210316408402</v>
      </c>
      <c r="H186" s="79">
        <f>IF($C186&lt;=Entradas!$E$124,"",F186^2)</f>
        <v>2.7545902467779877E-3</v>
      </c>
      <c r="I186" s="79">
        <f>IF($C186&lt;=Entradas!$E$124,"",G186^2)</f>
        <v>0.19011527444763113</v>
      </c>
      <c r="J186" s="79">
        <f>IF($C186&lt;=Entradas!$E$124,"",E186-AVERAGE(E:E))</f>
        <v>-0.47798847521378074</v>
      </c>
      <c r="K186" s="79">
        <f>IF($C186&lt;=Entradas!$E$124,"",J186^2)</f>
        <v>0.22847298243719508</v>
      </c>
      <c r="L186" s="79">
        <f>IF($C186&lt;=Entradas!$E$124,"",G186*J186)</f>
        <v>0.20841354025090633</v>
      </c>
      <c r="M186" s="40"/>
    </row>
    <row r="187" spans="2:13">
      <c r="B187" s="39"/>
      <c r="C187" s="75">
        <v>182</v>
      </c>
      <c r="D187" s="110">
        <f>IF($C187&lt;=Entradas!$E$124,"",Observaciones!H187)</f>
        <v>0.46544480253269932</v>
      </c>
      <c r="E187" s="110">
        <f>IF($C187&lt;=Entradas!$E$124,"",LíneaBase!L188)</f>
        <v>0.4134777513158675</v>
      </c>
      <c r="F187" s="79">
        <f>IF($C187&lt;=Entradas!$E$124,"",D187-E187)</f>
        <v>5.1967051216831817E-2</v>
      </c>
      <c r="G187" s="79">
        <f>IF($C187&lt;=Entradas!$E$124,"",D187-AVERAGE(D:D))</f>
        <v>-0.4406538796607789</v>
      </c>
      <c r="H187" s="79">
        <f>IF($C187&lt;=Entradas!$E$124,"",F187^2)</f>
        <v>2.7005744121728213E-3</v>
      </c>
      <c r="I187" s="79">
        <f>IF($C187&lt;=Entradas!$E$124,"",G187^2)</f>
        <v>0.19417584166009622</v>
      </c>
      <c r="J187" s="79">
        <f>IF($C187&lt;=Entradas!$E$124,"",E187-AVERAGE(E:E))</f>
        <v>-0.48210311248125037</v>
      </c>
      <c r="K187" s="79">
        <f>IF($C187&lt;=Entradas!$E$124,"",J187^2)</f>
        <v>0.23242341106410916</v>
      </c>
      <c r="L187" s="79">
        <f>IF($C187&lt;=Entradas!$E$124,"",G187*J187)</f>
        <v>0.21244060691139985</v>
      </c>
      <c r="M187" s="40"/>
    </row>
    <row r="188" spans="2:13">
      <c r="B188" s="39"/>
      <c r="C188" s="75">
        <v>183</v>
      </c>
      <c r="D188" s="110">
        <f>IF($C188&lt;=Entradas!$E$124,"",Observaciones!H188)</f>
        <v>0.46085866403302972</v>
      </c>
      <c r="E188" s="110">
        <f>IF($C188&lt;=Entradas!$E$124,"",LíneaBase!L189)</f>
        <v>0.40940365654942462</v>
      </c>
      <c r="F188" s="79">
        <f>IF($C188&lt;=Entradas!$E$124,"",D188-E188)</f>
        <v>5.1455007483605097E-2</v>
      </c>
      <c r="G188" s="79">
        <f>IF($C188&lt;=Entradas!$E$124,"",D188-AVERAGE(D:D))</f>
        <v>-0.4452400181604485</v>
      </c>
      <c r="H188" s="79">
        <f>IF($C188&lt;=Entradas!$E$124,"",F188^2)</f>
        <v>2.6476177951378567E-3</v>
      </c>
      <c r="I188" s="79">
        <f>IF($C188&lt;=Entradas!$E$124,"",G188^2)</f>
        <v>0.19823867377151652</v>
      </c>
      <c r="J188" s="79">
        <f>IF($C188&lt;=Entradas!$E$124,"",E188-AVERAGE(E:E))</f>
        <v>-0.48617720724769325</v>
      </c>
      <c r="K188" s="79">
        <f>IF($C188&lt;=Entradas!$E$124,"",J188^2)</f>
        <v>0.23636827684716649</v>
      </c>
      <c r="L188" s="79">
        <f>IF($C188&lt;=Entradas!$E$124,"",G188*J188)</f>
        <v>0.21646554858415909</v>
      </c>
      <c r="M188" s="40"/>
    </row>
    <row r="189" spans="2:13">
      <c r="B189" s="39"/>
      <c r="C189" s="75">
        <v>184</v>
      </c>
      <c r="D189" s="110">
        <f>IF($C189&lt;=Entradas!$E$124,"",Observaciones!H189)</f>
        <v>0.45631771384833053</v>
      </c>
      <c r="E189" s="110">
        <f>IF($C189&lt;=Entradas!$E$124,"",LíneaBase!L190)</f>
        <v>0.40536970480908929</v>
      </c>
      <c r="F189" s="79">
        <f>IF($C189&lt;=Entradas!$E$124,"",D189-E189)</f>
        <v>5.0948009039241238E-2</v>
      </c>
      <c r="G189" s="79">
        <f>IF($C189&lt;=Entradas!$E$124,"",D189-AVERAGE(D:D))</f>
        <v>-0.44978096834514769</v>
      </c>
      <c r="H189" s="79">
        <f>IF($C189&lt;=Entradas!$E$124,"",F189^2)</f>
        <v>2.5956996250626071E-3</v>
      </c>
      <c r="I189" s="79">
        <f>IF($C189&lt;=Entradas!$E$124,"",G189^2)</f>
        <v>0.20230291948549875</v>
      </c>
      <c r="J189" s="79">
        <f>IF($C189&lt;=Entradas!$E$124,"",E189-AVERAGE(E:E))</f>
        <v>-0.49021115898802858</v>
      </c>
      <c r="K189" s="79">
        <f>IF($C189&lt;=Entradas!$E$124,"",J189^2)</f>
        <v>0.24030698039638623</v>
      </c>
      <c r="L189" s="79">
        <f>IF($C189&lt;=Entradas!$E$124,"",G189*J189)</f>
        <v>0.22048764978323265</v>
      </c>
      <c r="M189" s="40"/>
    </row>
    <row r="190" spans="2:13">
      <c r="B190" s="39"/>
      <c r="C190" s="75">
        <v>185</v>
      </c>
      <c r="D190" s="110">
        <f>IF($C190&lt;=Entradas!$E$124,"",Observaciones!H190)</f>
        <v>0.4518215067273712</v>
      </c>
      <c r="E190" s="110">
        <f>IF($C190&lt;=Entradas!$E$124,"",LíneaBase!L191)</f>
        <v>0.40137550055606397</v>
      </c>
      <c r="F190" s="79">
        <f>IF($C190&lt;=Entradas!$E$124,"",D190-E190)</f>
        <v>5.0446006171307234E-2</v>
      </c>
      <c r="G190" s="79">
        <f>IF($C190&lt;=Entradas!$E$124,"",D190-AVERAGE(D:D))</f>
        <v>-0.45427717546610702</v>
      </c>
      <c r="H190" s="79">
        <f>IF($C190&lt;=Entradas!$E$124,"",F190^2)</f>
        <v>2.5447995386355675E-3</v>
      </c>
      <c r="I190" s="79">
        <f>IF($C190&lt;=Entradas!$E$124,"",G190^2)</f>
        <v>0.20636775214946418</v>
      </c>
      <c r="J190" s="79">
        <f>IF($C190&lt;=Entradas!$E$124,"",E190-AVERAGE(E:E))</f>
        <v>-0.49420536324105391</v>
      </c>
      <c r="K190" s="79">
        <f>IF($C190&lt;=Entradas!$E$124,"",J190^2)</f>
        <v>0.24423894105622204</v>
      </c>
      <c r="L190" s="79">
        <f>IF($C190&lt;=Entradas!$E$124,"",G190*J190)</f>
        <v>0.2245062165133474</v>
      </c>
      <c r="M190" s="40"/>
    </row>
    <row r="191" spans="2:13">
      <c r="B191" s="39"/>
      <c r="C191" s="75">
        <v>186</v>
      </c>
      <c r="D191" s="110">
        <f>IF($C191&lt;=Entradas!$E$124,"",Observaciones!H191)</f>
        <v>0.44736960180608781</v>
      </c>
      <c r="E191" s="110">
        <f>IF($C191&lt;=Entradas!$E$124,"",LíneaBase!L192)</f>
        <v>0.39742065214888905</v>
      </c>
      <c r="F191" s="79">
        <f>IF($C191&lt;=Entradas!$E$124,"",D191-E191)</f>
        <v>4.994894965719876E-2</v>
      </c>
      <c r="G191" s="79">
        <f>IF($C191&lt;=Entradas!$E$124,"",D191-AVERAGE(D:D))</f>
        <v>-0.45872908038739041</v>
      </c>
      <c r="H191" s="79">
        <f>IF($C191&lt;=Entradas!$E$124,"",F191^2)</f>
        <v>2.4948975718573759E-3</v>
      </c>
      <c r="I191" s="79">
        <f>IF($C191&lt;=Entradas!$E$124,"",G191^2)</f>
        <v>0.21043236919306088</v>
      </c>
      <c r="J191" s="79">
        <f>IF($C191&lt;=Entradas!$E$124,"",E191-AVERAGE(E:E))</f>
        <v>-0.49816021164822882</v>
      </c>
      <c r="K191" s="79">
        <f>IF($C191&lt;=Entradas!$E$124,"",J191^2)</f>
        <v>0.24816359646940814</v>
      </c>
      <c r="L191" s="79">
        <f>IF($C191&lt;=Entradas!$E$124,"",G191*J191)</f>
        <v>0.22852057577497978</v>
      </c>
      <c r="M191" s="40"/>
    </row>
    <row r="192" spans="2:13">
      <c r="B192" s="39"/>
      <c r="C192" s="75">
        <v>187</v>
      </c>
      <c r="D192" s="110">
        <f>IF($C192&lt;=Entradas!$E$124,"",Observaciones!H192)</f>
        <v>0.44296156256435493</v>
      </c>
      <c r="E192" s="110">
        <f>IF($C192&lt;=Entradas!$E$124,"",LíneaBase!L193)</f>
        <v>0.39350477180504145</v>
      </c>
      <c r="F192" s="79">
        <f>IF($C192&lt;=Entradas!$E$124,"",D192-E192)</f>
        <v>4.9456790759313474E-2</v>
      </c>
      <c r="G192" s="79">
        <f>IF($C192&lt;=Entradas!$E$124,"",D192-AVERAGE(D:D))</f>
        <v>-0.4631371196291233</v>
      </c>
      <c r="H192" s="79">
        <f>IF($C192&lt;=Entradas!$E$124,"",F192^2)</f>
        <v>2.4459741522105147E-3</v>
      </c>
      <c r="I192" s="79">
        <f>IF($C192&lt;=Entradas!$E$124,"",G192^2)</f>
        <v>0.21449599157836086</v>
      </c>
      <c r="J192" s="79">
        <f>IF($C192&lt;=Entradas!$E$124,"",E192-AVERAGE(E:E))</f>
        <v>-0.50207609199207637</v>
      </c>
      <c r="K192" s="79">
        <f>IF($C192&lt;=Entradas!$E$124,"",J192^2)</f>
        <v>0.25208040215003591</v>
      </c>
      <c r="L192" s="79">
        <f>IF($C192&lt;=Entradas!$E$124,"",G192*J192)</f>
        <v>0.23253007507985698</v>
      </c>
      <c r="M192" s="40"/>
    </row>
    <row r="193" spans="2:13">
      <c r="B193" s="39"/>
      <c r="C193" s="75">
        <v>188</v>
      </c>
      <c r="D193" s="110">
        <f>IF($C193&lt;=Entradas!$E$124,"",Observaciones!H193)</f>
        <v>0.43859695678318411</v>
      </c>
      <c r="E193" s="110">
        <f>IF($C193&lt;=Entradas!$E$124,"",LíneaBase!L194)</f>
        <v>0.38962747556291188</v>
      </c>
      <c r="F193" s="79">
        <f>IF($C193&lt;=Entradas!$E$124,"",D193-E193)</f>
        <v>4.8969481220272226E-2</v>
      </c>
      <c r="G193" s="79">
        <f>IF($C193&lt;=Entradas!$E$124,"",D193-AVERAGE(D:D))</f>
        <v>-0.46750172541029411</v>
      </c>
      <c r="H193" s="79">
        <f>IF($C193&lt;=Entradas!$E$124,"",F193^2)</f>
        <v>2.3980100909825942E-3</v>
      </c>
      <c r="I193" s="79">
        <f>IF($C193&lt;=Entradas!$E$124,"",G193^2)</f>
        <v>0.21855786326160204</v>
      </c>
      <c r="J193" s="79">
        <f>IF($C193&lt;=Entradas!$E$124,"",E193-AVERAGE(E:E))</f>
        <v>-0.50595338823420599</v>
      </c>
      <c r="K193" s="79">
        <f>IF($C193&lt;=Entradas!$E$124,"",J193^2)</f>
        <v>0.25598883106567316</v>
      </c>
      <c r="L193" s="79">
        <f>IF($C193&lt;=Entradas!$E$124,"",G193*J193)</f>
        <v>0.23653408197667569</v>
      </c>
      <c r="M193" s="40"/>
    </row>
    <row r="194" spans="2:13">
      <c r="B194" s="39"/>
      <c r="C194" s="75">
        <v>189</v>
      </c>
      <c r="D194" s="110">
        <f>IF($C194&lt;=Entradas!$E$124,"",Observaciones!H194)</f>
        <v>0.43427535650234311</v>
      </c>
      <c r="E194" s="110">
        <f>IF($C194&lt;=Entradas!$E$124,"",LíneaBase!L195)</f>
        <v>0.38578838324415599</v>
      </c>
      <c r="F194" s="79">
        <f>IF($C194&lt;=Entradas!$E$124,"",D194-E194)</f>
        <v>4.8486973258187127E-2</v>
      </c>
      <c r="G194" s="79">
        <f>IF($C194&lt;=Entradas!$E$124,"",D194-AVERAGE(D:D))</f>
        <v>-0.47182332569113511</v>
      </c>
      <c r="H194" s="79">
        <f>IF($C194&lt;=Entradas!$E$124,"",F194^2)</f>
        <v>2.3509865757401537E-3</v>
      </c>
      <c r="I194" s="79">
        <f>IF($C194&lt;=Entradas!$E$124,"",G194^2)</f>
        <v>0.22261725066624297</v>
      </c>
      <c r="J194" s="79">
        <f>IF($C194&lt;=Entradas!$E$124,"",E194-AVERAGE(E:E))</f>
        <v>-0.50979248055296189</v>
      </c>
      <c r="K194" s="79">
        <f>IF($C194&lt;=Entradas!$E$124,"",J194^2)</f>
        <v>0.25988837322834202</v>
      </c>
      <c r="L194" s="79">
        <f>IF($C194&lt;=Entradas!$E$124,"",G194*J194)</f>
        <v>0.24053198358683181</v>
      </c>
      <c r="M194" s="40"/>
    </row>
    <row r="195" spans="2:13">
      <c r="B195" s="39"/>
      <c r="C195" s="75">
        <v>190</v>
      </c>
      <c r="D195" s="110">
        <f>IF($C195&lt;=Entradas!$E$124,"",Observaciones!H195)</f>
        <v>0.46673150141145658</v>
      </c>
      <c r="E195" s="110">
        <f>IF($C195&lt;=Entradas!$E$124,"",LíneaBase!L196)</f>
        <v>0.41703561743642437</v>
      </c>
      <c r="F195" s="79">
        <f>IF($C195&lt;=Entradas!$E$124,"",D195-E195)</f>
        <v>4.9695883975032218E-2</v>
      </c>
      <c r="G195" s="79">
        <f>IF($C195&lt;=Entradas!$E$124,"",D195-AVERAGE(D:D))</f>
        <v>-0.43936718078202164</v>
      </c>
      <c r="H195" s="79">
        <f>IF($C195&lt;=Entradas!$E$124,"",F195^2)</f>
        <v>2.4696808840598641E-3</v>
      </c>
      <c r="I195" s="79">
        <f>IF($C195&lt;=Entradas!$E$124,"",G195^2)</f>
        <v>0.19304351954834167</v>
      </c>
      <c r="J195" s="79">
        <f>IF($C195&lt;=Entradas!$E$124,"",E195-AVERAGE(E:E))</f>
        <v>-0.47854524636069351</v>
      </c>
      <c r="K195" s="79">
        <f>IF($C195&lt;=Entradas!$E$124,"",J195^2)</f>
        <v>0.22900555281441684</v>
      </c>
      <c r="L195" s="79">
        <f>IF($C195&lt;=Entradas!$E$124,"",G195*J195)</f>
        <v>0.21025707577013591</v>
      </c>
      <c r="M195" s="40"/>
    </row>
    <row r="196" spans="2:13">
      <c r="B196" s="39"/>
      <c r="C196" s="75">
        <v>191</v>
      </c>
      <c r="D196" s="110">
        <f>IF($C196&lt;=Entradas!$E$124,"",Observaciones!H196)</f>
        <v>0.43185517980568139</v>
      </c>
      <c r="E196" s="110">
        <f>IF($C196&lt;=Entradas!$E$124,"",LíneaBase!L197)</f>
        <v>0.38403912761812309</v>
      </c>
      <c r="F196" s="79">
        <f>IF($C196&lt;=Entradas!$E$124,"",D196-E196)</f>
        <v>4.78160521875583E-2</v>
      </c>
      <c r="G196" s="79">
        <f>IF($C196&lt;=Entradas!$E$124,"",D196-AVERAGE(D:D))</f>
        <v>-0.47424350238779683</v>
      </c>
      <c r="H196" s="79">
        <f>IF($C196&lt;=Entradas!$E$124,"",F196^2)</f>
        <v>2.2863748468032988E-3</v>
      </c>
      <c r="I196" s="79">
        <f>IF($C196&lt;=Entradas!$E$124,"",G196^2)</f>
        <v>0.22490689955704427</v>
      </c>
      <c r="J196" s="79">
        <f>IF($C196&lt;=Entradas!$E$124,"",E196-AVERAGE(E:E))</f>
        <v>-0.51154173617899479</v>
      </c>
      <c r="K196" s="79">
        <f>IF($C196&lt;=Entradas!$E$124,"",J196^2)</f>
        <v>0.26167494785302031</v>
      </c>
      <c r="L196" s="79">
        <f>IF($C196&lt;=Entradas!$E$124,"",G196*J196)</f>
        <v>0.24259534458306084</v>
      </c>
      <c r="M196" s="40"/>
    </row>
    <row r="197" spans="2:13">
      <c r="B197" s="39"/>
      <c r="C197" s="75">
        <v>192</v>
      </c>
      <c r="D197" s="110">
        <f>IF($C197&lt;=Entradas!$E$124,"",Observaciones!H197)</f>
        <v>0.4225758698378323</v>
      </c>
      <c r="E197" s="110">
        <f>IF($C197&lt;=Entradas!$E$124,"",LíneaBase!L198)</f>
        <v>0.37546163971138585</v>
      </c>
      <c r="F197" s="79">
        <f>IF($C197&lt;=Entradas!$E$124,"",D197-E197)</f>
        <v>4.7114230126446444E-2</v>
      </c>
      <c r="G197" s="79">
        <f>IF($C197&lt;=Entradas!$E$124,"",D197-AVERAGE(D:D))</f>
        <v>-0.48352281235564593</v>
      </c>
      <c r="H197" s="79">
        <f>IF($C197&lt;=Entradas!$E$124,"",F197^2)</f>
        <v>2.2197506804077535E-3</v>
      </c>
      <c r="I197" s="79">
        <f>IF($C197&lt;=Entradas!$E$124,"",G197^2)</f>
        <v>0.23379431006831319</v>
      </c>
      <c r="J197" s="79">
        <f>IF($C197&lt;=Entradas!$E$124,"",E197-AVERAGE(E:E))</f>
        <v>-0.52011922408573197</v>
      </c>
      <c r="K197" s="79">
        <f>IF($C197&lt;=Entradas!$E$124,"",J197^2)</f>
        <v>0.27052400726354386</v>
      </c>
      <c r="L197" s="79">
        <f>IF($C197&lt;=Entradas!$E$124,"",G197*J197)</f>
        <v>0.25148950999016956</v>
      </c>
      <c r="M197" s="40"/>
    </row>
    <row r="198" spans="2:13">
      <c r="B198" s="39"/>
      <c r="C198" s="75">
        <v>193</v>
      </c>
      <c r="D198" s="110">
        <f>IF($C198&lt;=Entradas!$E$124,"",Observaciones!H198)</f>
        <v>0.41757844212331774</v>
      </c>
      <c r="E198" s="110">
        <f>IF($C198&lt;=Entradas!$E$124,"",LíneaBase!L199)</f>
        <v>0.37096671777271728</v>
      </c>
      <c r="F198" s="79">
        <f>IF($C198&lt;=Entradas!$E$124,"",D198-E198)</f>
        <v>4.6611724350600459E-2</v>
      </c>
      <c r="G198" s="79">
        <f>IF($C198&lt;=Entradas!$E$124,"",D198-AVERAGE(D:D))</f>
        <v>-0.48852024007016048</v>
      </c>
      <c r="H198" s="79">
        <f>IF($C198&lt;=Entradas!$E$124,"",F198^2)</f>
        <v>2.1726528469363598E-3</v>
      </c>
      <c r="I198" s="79">
        <f>IF($C198&lt;=Entradas!$E$124,"",G198^2)</f>
        <v>0.23865202495820723</v>
      </c>
      <c r="J198" s="79">
        <f>IF($C198&lt;=Entradas!$E$124,"",E198-AVERAGE(E:E))</f>
        <v>-0.5246141460244006</v>
      </c>
      <c r="K198" s="79">
        <f>IF($C198&lt;=Entradas!$E$124,"",J198^2)</f>
        <v>0.27522000220891113</v>
      </c>
      <c r="L198" s="79">
        <f>IF($C198&lt;=Entradas!$E$124,"",G198*J198)</f>
        <v>0.25628462856004242</v>
      </c>
      <c r="M198" s="40"/>
    </row>
    <row r="199" spans="2:13">
      <c r="B199" s="39"/>
      <c r="C199" s="75">
        <v>194</v>
      </c>
      <c r="D199" s="110">
        <f>IF($C199&lt;=Entradas!$E$124,"",Observaciones!H199)</f>
        <v>0.41332560331019036</v>
      </c>
      <c r="E199" s="110">
        <f>IF($C199&lt;=Entradas!$E$124,"",LíneaBase!L200)</f>
        <v>0.3671795070998759</v>
      </c>
      <c r="F199" s="79">
        <f>IF($C199&lt;=Entradas!$E$124,"",D199-E199)</f>
        <v>4.6146096210314458E-2</v>
      </c>
      <c r="G199" s="79">
        <f>IF($C199&lt;=Entradas!$E$124,"",D199-AVERAGE(D:D))</f>
        <v>-0.49277307888328786</v>
      </c>
      <c r="H199" s="79">
        <f>IF($C199&lt;=Entradas!$E$124,"",F199^2)</f>
        <v>2.1294621954515984E-3</v>
      </c>
      <c r="I199" s="79">
        <f>IF($C199&lt;=Entradas!$E$124,"",G199^2)</f>
        <v>0.24282530727211504</v>
      </c>
      <c r="J199" s="79">
        <f>IF($C199&lt;=Entradas!$E$124,"",E199-AVERAGE(E:E))</f>
        <v>-0.52840135669724198</v>
      </c>
      <c r="K199" s="79">
        <f>IF($C199&lt;=Entradas!$E$124,"",J199^2)</f>
        <v>0.27920799375948596</v>
      </c>
      <c r="L199" s="79">
        <f>IF($C199&lt;=Entradas!$E$124,"",G199*J199)</f>
        <v>0.26038196342580633</v>
      </c>
      <c r="M199" s="40"/>
    </row>
    <row r="200" spans="2:13">
      <c r="B200" s="39"/>
      <c r="C200" s="75">
        <v>195</v>
      </c>
      <c r="D200" s="110">
        <f>IF($C200&lt;=Entradas!$E$124,"",Observaciones!H200)</f>
        <v>0.40923005223454412</v>
      </c>
      <c r="E200" s="110">
        <f>IF($C200&lt;=Entradas!$E$124,"",LíneaBase!L201)</f>
        <v>0.36353969848213602</v>
      </c>
      <c r="F200" s="79">
        <f>IF($C200&lt;=Entradas!$E$124,"",D200-E200)</f>
        <v>4.5690353752408097E-2</v>
      </c>
      <c r="G200" s="79">
        <f>IF($C200&lt;=Entradas!$E$124,"",D200-AVERAGE(D:D))</f>
        <v>-0.4968686299589341</v>
      </c>
      <c r="H200" s="79">
        <f>IF($C200&lt;=Entradas!$E$124,"",F200^2)</f>
        <v>2.0876084260201926E-3</v>
      </c>
      <c r="I200" s="79">
        <f>IF($C200&lt;=Entradas!$E$124,"",G200^2)</f>
        <v>0.2468784354372682</v>
      </c>
      <c r="J200" s="79">
        <f>IF($C200&lt;=Entradas!$E$124,"",E200-AVERAGE(E:E))</f>
        <v>-0.53204116531498191</v>
      </c>
      <c r="K200" s="79">
        <f>IF($C200&lt;=Entradas!$E$124,"",J200^2)</f>
        <v>0.28306780158972389</v>
      </c>
      <c r="L200" s="79">
        <f>IF($C200&lt;=Entradas!$E$124,"",G200*J200)</f>
        <v>0.26435456489180981</v>
      </c>
      <c r="M200" s="40"/>
    </row>
    <row r="201" spans="2:13">
      <c r="B201" s="39"/>
      <c r="C201" s="75">
        <v>196</v>
      </c>
      <c r="D201" s="110">
        <f>IF($C201&lt;=Entradas!$E$124,"",Observaciones!H201)</f>
        <v>0.40519400191415422</v>
      </c>
      <c r="E201" s="110">
        <f>IF($C201&lt;=Entradas!$E$124,"",LíneaBase!L202)</f>
        <v>0.35995402099356821</v>
      </c>
      <c r="F201" s="79">
        <f>IF($C201&lt;=Entradas!$E$124,"",D201-E201)</f>
        <v>4.5239980920586009E-2</v>
      </c>
      <c r="G201" s="79">
        <f>IF($C201&lt;=Entradas!$E$124,"",D201-AVERAGE(D:D))</f>
        <v>-0.500904680279324</v>
      </c>
      <c r="H201" s="79">
        <f>IF($C201&lt;=Entradas!$E$124,"",F201^2)</f>
        <v>2.0466558736949862E-3</v>
      </c>
      <c r="I201" s="79">
        <f>IF($C201&lt;=Entradas!$E$124,"",G201^2)</f>
        <v>0.25090549872573181</v>
      </c>
      <c r="J201" s="79">
        <f>IF($C201&lt;=Entradas!$E$124,"",E201-AVERAGE(E:E))</f>
        <v>-0.53562684280354966</v>
      </c>
      <c r="K201" s="79">
        <f>IF($C201&lt;=Entradas!$E$124,"",J201^2)</f>
        <v>0.28689611473169851</v>
      </c>
      <c r="L201" s="79">
        <f>IF($C201&lt;=Entradas!$E$124,"",G201*J201)</f>
        <v>0.2682979924435358</v>
      </c>
      <c r="M201" s="40"/>
    </row>
    <row r="202" spans="2:13">
      <c r="B202" s="39"/>
      <c r="C202" s="75">
        <v>197</v>
      </c>
      <c r="D202" s="110">
        <f>IF($C202&lt;=Entradas!$E$124,"",Observaciones!H202)</f>
        <v>0.40120089682811094</v>
      </c>
      <c r="E202" s="110">
        <f>IF($C202&lt;=Entradas!$E$124,"",LíneaBase!L203)</f>
        <v>0.35640670523607881</v>
      </c>
      <c r="F202" s="79">
        <f>IF($C202&lt;=Entradas!$E$124,"",D202-E202)</f>
        <v>4.4794191592032129E-2</v>
      </c>
      <c r="G202" s="79">
        <f>IF($C202&lt;=Entradas!$E$124,"",D202-AVERAGE(D:D))</f>
        <v>-0.50489778536536734</v>
      </c>
      <c r="H202" s="79">
        <f>IF($C202&lt;=Entradas!$E$124,"",F202^2)</f>
        <v>2.006519600383682E-3</v>
      </c>
      <c r="I202" s="79">
        <f>IF($C202&lt;=Entradas!$E$124,"",G202^2)</f>
        <v>0.25492177366685254</v>
      </c>
      <c r="J202" s="79">
        <f>IF($C202&lt;=Entradas!$E$124,"",E202-AVERAGE(E:E))</f>
        <v>-0.53917415856103901</v>
      </c>
      <c r="K202" s="79">
        <f>IF($C202&lt;=Entradas!$E$124,"",J202^2)</f>
        <v>0.29070877326000444</v>
      </c>
      <c r="L202" s="79">
        <f>IF($C202&lt;=Entradas!$E$124,"",G202*J202)</f>
        <v>0.27222783858370403</v>
      </c>
      <c r="M202" s="40"/>
    </row>
    <row r="203" spans="2:13">
      <c r="B203" s="39"/>
      <c r="C203" s="75">
        <v>198</v>
      </c>
      <c r="D203" s="110">
        <f>IF($C203&lt;=Entradas!$E$124,"",Observaciones!H203)</f>
        <v>0.39724766394876837</v>
      </c>
      <c r="E203" s="110">
        <f>IF($C203&lt;=Entradas!$E$124,"",LíneaBase!L204)</f>
        <v>0.35289484501131235</v>
      </c>
      <c r="F203" s="79">
        <f>IF($C203&lt;=Entradas!$E$124,"",D203-E203)</f>
        <v>4.4352818937456018E-2</v>
      </c>
      <c r="G203" s="79">
        <f>IF($C203&lt;=Entradas!$E$124,"",D203-AVERAGE(D:D))</f>
        <v>-0.50885101824470991</v>
      </c>
      <c r="H203" s="79">
        <f>IF($C203&lt;=Entradas!$E$124,"",F203^2)</f>
        <v>1.9671725476987571E-3</v>
      </c>
      <c r="I203" s="79">
        <f>IF($C203&lt;=Entradas!$E$124,"",G203^2)</f>
        <v>0.25892935876867812</v>
      </c>
      <c r="J203" s="79">
        <f>IF($C203&lt;=Entradas!$E$124,"",E203-AVERAGE(E:E))</f>
        <v>-0.54268601878580558</v>
      </c>
      <c r="K203" s="79">
        <f>IF($C203&lt;=Entradas!$E$124,"",J203^2)</f>
        <v>0.29450811498558771</v>
      </c>
      <c r="L203" s="79">
        <f>IF($C203&lt;=Entradas!$E$124,"",G203*J203)</f>
        <v>0.27614633324632493</v>
      </c>
      <c r="M203" s="40"/>
    </row>
    <row r="204" spans="2:13">
      <c r="B204" s="39"/>
      <c r="C204" s="75">
        <v>199</v>
      </c>
      <c r="D204" s="110">
        <f>IF($C204&lt;=Entradas!$E$124,"",Observaciones!H204)</f>
        <v>0.39469601753775185</v>
      </c>
      <c r="E204" s="110">
        <f>IF($C204&lt;=Entradas!$E$124,"",LíneaBase!L205)</f>
        <v>0.35078021828840039</v>
      </c>
      <c r="F204" s="79">
        <f>IF($C204&lt;=Entradas!$E$124,"",D204-E204)</f>
        <v>4.3915799249351462E-2</v>
      </c>
      <c r="G204" s="79">
        <f>IF($C204&lt;=Entradas!$E$124,"",D204-AVERAGE(D:D))</f>
        <v>-0.51140266465572637</v>
      </c>
      <c r="H204" s="79">
        <f>IF($C204&lt;=Entradas!$E$124,"",F204^2)</f>
        <v>1.9285974237093384E-3</v>
      </c>
      <c r="I204" s="79">
        <f>IF($C204&lt;=Entradas!$E$124,"",G204^2)</f>
        <v>0.26153268541697733</v>
      </c>
      <c r="J204" s="79">
        <f>IF($C204&lt;=Entradas!$E$124,"",E204-AVERAGE(E:E))</f>
        <v>-0.54480064550871754</v>
      </c>
      <c r="K204" s="79">
        <f>IF($C204&lt;=Entradas!$E$124,"",J204^2)</f>
        <v>0.29680774334671534</v>
      </c>
      <c r="L204" s="79">
        <f>IF($C204&lt;=Entradas!$E$124,"",G204*J204)</f>
        <v>0.27861250181931796</v>
      </c>
      <c r="M204" s="40"/>
    </row>
    <row r="205" spans="2:13">
      <c r="B205" s="39"/>
      <c r="C205" s="75">
        <v>200</v>
      </c>
      <c r="D205" s="110">
        <f>IF($C205&lt;=Entradas!$E$124,"",Observaciones!H205)</f>
        <v>0.40370887175651904</v>
      </c>
      <c r="E205" s="110">
        <f>IF($C205&lt;=Entradas!$E$124,"",LíneaBase!L206)</f>
        <v>0.35840491493489901</v>
      </c>
      <c r="F205" s="79">
        <f>IF($C205&lt;=Entradas!$E$124,"",D205-E205)</f>
        <v>4.5303956821620028E-2</v>
      </c>
      <c r="G205" s="79">
        <f>IF($C205&lt;=Entradas!$E$124,"",D205-AVERAGE(D:D))</f>
        <v>-0.50238981043695918</v>
      </c>
      <c r="H205" s="79">
        <f>IF($C205&lt;=Entradas!$E$124,"",F205^2)</f>
        <v>2.052448503695212E-3</v>
      </c>
      <c r="I205" s="79">
        <f>IF($C205&lt;=Entradas!$E$124,"",G205^2)</f>
        <v>0.2523955216308838</v>
      </c>
      <c r="J205" s="79">
        <f>IF($C205&lt;=Entradas!$E$124,"",E205-AVERAGE(E:E))</f>
        <v>-0.53717594886221887</v>
      </c>
      <c r="K205" s="79">
        <f>IF($C205&lt;=Entradas!$E$124,"",J205^2)</f>
        <v>0.28855800003602516</v>
      </c>
      <c r="L205" s="79">
        <f>IF($C205&lt;=Entradas!$E$124,"",G205*J205)</f>
        <v>0.26987172312018382</v>
      </c>
      <c r="M205" s="40"/>
    </row>
    <row r="206" spans="2:13">
      <c r="B206" s="39"/>
      <c r="C206" s="75">
        <v>201</v>
      </c>
      <c r="D206" s="110">
        <f>IF($C206&lt;=Entradas!$E$124,"",Observaciones!H206)</f>
        <v>0.53627056947260843</v>
      </c>
      <c r="E206" s="110">
        <f>IF($C206&lt;=Entradas!$E$124,"",LíneaBase!L207)</f>
        <v>0.51330077160438381</v>
      </c>
      <c r="F206" s="79">
        <f>IF($C206&lt;=Entradas!$E$124,"",D206-E206)</f>
        <v>2.2969797868224617E-2</v>
      </c>
      <c r="G206" s="79">
        <f>IF($C206&lt;=Entradas!$E$124,"",D206-AVERAGE(D:D))</f>
        <v>-0.36982811272086979</v>
      </c>
      <c r="H206" s="79">
        <f>IF($C206&lt;=Entradas!$E$124,"",F206^2)</f>
        <v>5.2761161410709622E-4</v>
      </c>
      <c r="I206" s="79">
        <f>IF($C206&lt;=Entradas!$E$124,"",G206^2)</f>
        <v>0.13677283295868037</v>
      </c>
      <c r="J206" s="79">
        <f>IF($C206&lt;=Entradas!$E$124,"",E206-AVERAGE(E:E))</f>
        <v>-0.38228009219273407</v>
      </c>
      <c r="K206" s="79">
        <f>IF($C206&lt;=Entradas!$E$124,"",J206^2)</f>
        <v>0.14613806888688527</v>
      </c>
      <c r="L206" s="79">
        <f>IF($C206&lt;=Entradas!$E$124,"",G206*J206)</f>
        <v>0.14137792502639895</v>
      </c>
      <c r="M206" s="40"/>
    </row>
    <row r="207" spans="2:13">
      <c r="B207" s="39"/>
      <c r="C207" s="75">
        <v>202</v>
      </c>
      <c r="D207" s="110">
        <f>IF($C207&lt;=Entradas!$E$124,"",Observaciones!H207)</f>
        <v>0.76278442032947424</v>
      </c>
      <c r="E207" s="110">
        <f>IF($C207&lt;=Entradas!$E$124,"",LíneaBase!L208)</f>
        <v>0.78201074700496942</v>
      </c>
      <c r="F207" s="79">
        <f>IF($C207&lt;=Entradas!$E$124,"",D207-E207)</f>
        <v>-1.9226326675495176E-2</v>
      </c>
      <c r="G207" s="79">
        <f>IF($C207&lt;=Entradas!$E$124,"",D207-AVERAGE(D:D))</f>
        <v>-0.14331426186400398</v>
      </c>
      <c r="H207" s="79">
        <f>IF($C207&lt;=Entradas!$E$124,"",F207^2)</f>
        <v>3.6965163743285739E-4</v>
      </c>
      <c r="I207" s="79">
        <f>IF($C207&lt;=Entradas!$E$124,"",G207^2)</f>
        <v>2.0538977653624304E-2</v>
      </c>
      <c r="J207" s="79">
        <f>IF($C207&lt;=Entradas!$E$124,"",E207-AVERAGE(E:E))</f>
        <v>-0.11357011679214846</v>
      </c>
      <c r="K207" s="79">
        <f>IF($C207&lt;=Entradas!$E$124,"",J207^2)</f>
        <v>1.2898171428182241E-2</v>
      </c>
      <c r="L207" s="79">
        <f>IF($C207&lt;=Entradas!$E$124,"",G207*J207)</f>
        <v>1.627621745787548E-2</v>
      </c>
      <c r="M207" s="40"/>
    </row>
    <row r="208" spans="2:13">
      <c r="B208" s="39"/>
      <c r="C208" s="75">
        <v>203</v>
      </c>
      <c r="D208" s="110">
        <f>IF($C208&lt;=Entradas!$E$124,"",Observaciones!H208)</f>
        <v>0.65258167712238535</v>
      </c>
      <c r="E208" s="110">
        <f>IF($C208&lt;=Entradas!$E$124,"",LíneaBase!L209)</f>
        <v>0.60043660822967337</v>
      </c>
      <c r="F208" s="79">
        <f>IF($C208&lt;=Entradas!$E$124,"",D208-E208)</f>
        <v>5.2145068892711977E-2</v>
      </c>
      <c r="G208" s="79">
        <f>IF($C208&lt;=Entradas!$E$124,"",D208-AVERAGE(D:D))</f>
        <v>-0.25351700507109287</v>
      </c>
      <c r="H208" s="79">
        <f>IF($C208&lt;=Entradas!$E$124,"",F208^2)</f>
        <v>2.7191082098256781E-3</v>
      </c>
      <c r="I208" s="79">
        <f>IF($C208&lt;=Entradas!$E$124,"",G208^2)</f>
        <v>6.427087186021653E-2</v>
      </c>
      <c r="J208" s="79">
        <f>IF($C208&lt;=Entradas!$E$124,"",E208-AVERAGE(E:E))</f>
        <v>-0.2951442555674445</v>
      </c>
      <c r="K208" s="79">
        <f>IF($C208&lt;=Entradas!$E$124,"",J208^2)</f>
        <v>8.7110131594461002E-2</v>
      </c>
      <c r="L208" s="79">
        <f>IF($C208&lt;=Entradas!$E$124,"",G208*J208)</f>
        <v>7.4824087735395756E-2</v>
      </c>
      <c r="M208" s="40"/>
    </row>
    <row r="209" spans="2:13">
      <c r="B209" s="39"/>
      <c r="C209" s="75">
        <v>204</v>
      </c>
      <c r="D209" s="110">
        <f>IF($C209&lt;=Entradas!$E$124,"",Observaciones!H209)</f>
        <v>0.59731516684897612</v>
      </c>
      <c r="E209" s="110">
        <f>IF($C209&lt;=Entradas!$E$124,"",LíneaBase!L210)</f>
        <v>0.54408225368341878</v>
      </c>
      <c r="F209" s="79">
        <f>IF($C209&lt;=Entradas!$E$124,"",D209-E209)</f>
        <v>5.3232913165557338E-2</v>
      </c>
      <c r="G209" s="79">
        <f>IF($C209&lt;=Entradas!$E$124,"",D209-AVERAGE(D:D))</f>
        <v>-0.3087835153445021</v>
      </c>
      <c r="H209" s="79">
        <f>IF($C209&lt;=Entradas!$E$124,"",F209^2)</f>
        <v>2.8337430440917677E-3</v>
      </c>
      <c r="I209" s="79">
        <f>IF($C209&lt;=Entradas!$E$124,"",G209^2)</f>
        <v>9.5347259348508365E-2</v>
      </c>
      <c r="J209" s="79">
        <f>IF($C209&lt;=Entradas!$E$124,"",E209-AVERAGE(E:E))</f>
        <v>-0.35149861011369909</v>
      </c>
      <c r="K209" s="79">
        <f>IF($C209&lt;=Entradas!$E$124,"",J209^2)</f>
        <v>0.12355127291186224</v>
      </c>
      <c r="L209" s="79">
        <f>IF($C209&lt;=Entradas!$E$124,"",G209*J209)</f>
        <v>0.10853697646961456</v>
      </c>
      <c r="M209" s="40"/>
    </row>
    <row r="210" spans="2:13">
      <c r="B210" s="39"/>
      <c r="C210" s="75">
        <v>205</v>
      </c>
      <c r="D210" s="110">
        <f>IF($C210&lt;=Entradas!$E$124,"",Observaciones!H210)</f>
        <v>0.54277851294565549</v>
      </c>
      <c r="E210" s="110">
        <f>IF($C210&lt;=Entradas!$E$124,"",LíneaBase!L211)</f>
        <v>0.48846136768044413</v>
      </c>
      <c r="F210" s="79">
        <f>IF($C210&lt;=Entradas!$E$124,"",D210-E210)</f>
        <v>5.4317145265211364E-2</v>
      </c>
      <c r="G210" s="79">
        <f>IF($C210&lt;=Entradas!$E$124,"",D210-AVERAGE(D:D))</f>
        <v>-0.36332016924782273</v>
      </c>
      <c r="H210" s="79">
        <f>IF($C210&lt;=Entradas!$E$124,"",F210^2)</f>
        <v>2.9503522697620732E-3</v>
      </c>
      <c r="I210" s="79">
        <f>IF($C210&lt;=Entradas!$E$124,"",G210^2)</f>
        <v>0.13200154538226655</v>
      </c>
      <c r="J210" s="79">
        <f>IF($C210&lt;=Entradas!$E$124,"",E210-AVERAGE(E:E))</f>
        <v>-0.40711949611667375</v>
      </c>
      <c r="K210" s="79">
        <f>IF($C210&lt;=Entradas!$E$124,"",J210^2)</f>
        <v>0.16574628411829434</v>
      </c>
      <c r="L210" s="79">
        <f>IF($C210&lt;=Entradas!$E$124,"",G210*J210)</f>
        <v>0.14791472423319821</v>
      </c>
      <c r="M210" s="40"/>
    </row>
    <row r="211" spans="2:13">
      <c r="B211" s="39"/>
      <c r="C211" s="75">
        <v>206</v>
      </c>
      <c r="D211" s="110">
        <f>IF($C211&lt;=Entradas!$E$124,"",Observaciones!H211)</f>
        <v>0.48979587905881394</v>
      </c>
      <c r="E211" s="110">
        <f>IF($C211&lt;=Entradas!$E$124,"",LíneaBase!L212)</f>
        <v>0.43443373403949542</v>
      </c>
      <c r="F211" s="79">
        <f>IF($C211&lt;=Entradas!$E$124,"",D211-E211)</f>
        <v>5.5362145019318521E-2</v>
      </c>
      <c r="G211" s="79">
        <f>IF($C211&lt;=Entradas!$E$124,"",D211-AVERAGE(D:D))</f>
        <v>-0.41630280313466428</v>
      </c>
      <c r="H211" s="79">
        <f>IF($C211&lt;=Entradas!$E$124,"",F211^2)</f>
        <v>3.0649671011400543E-3</v>
      </c>
      <c r="I211" s="79">
        <f>IF($C211&lt;=Entradas!$E$124,"",G211^2)</f>
        <v>0.17330802389777905</v>
      </c>
      <c r="J211" s="79">
        <f>IF($C211&lt;=Entradas!$E$124,"",E211-AVERAGE(E:E))</f>
        <v>-0.46114712975762245</v>
      </c>
      <c r="K211" s="79">
        <f>IF($C211&lt;=Entradas!$E$124,"",J211^2)</f>
        <v>0.21265667528369347</v>
      </c>
      <c r="L211" s="79">
        <f>IF($C211&lt;=Entradas!$E$124,"",G211*J211)</f>
        <v>0.19197684277560298</v>
      </c>
      <c r="M211" s="40"/>
    </row>
    <row r="212" spans="2:13">
      <c r="B212" s="39"/>
      <c r="C212" s="75">
        <v>207</v>
      </c>
      <c r="D212" s="110">
        <f>IF($C212&lt;=Entradas!$E$124,"",Observaciones!H212)</f>
        <v>0.43952996938800232</v>
      </c>
      <c r="E212" s="110">
        <f>IF($C212&lt;=Entradas!$E$124,"",LíneaBase!L213)</f>
        <v>0.38321196099461508</v>
      </c>
      <c r="F212" s="79">
        <f>IF($C212&lt;=Entradas!$E$124,"",D212-E212)</f>
        <v>5.6318008393387242E-2</v>
      </c>
      <c r="G212" s="79">
        <f>IF($C212&lt;=Entradas!$E$124,"",D212-AVERAGE(D:D))</f>
        <v>-0.4665687128054759</v>
      </c>
      <c r="H212" s="79">
        <f>IF($C212&lt;=Entradas!$E$124,"",F212^2)</f>
        <v>3.1717180693976357E-3</v>
      </c>
      <c r="I212" s="79">
        <f>IF($C212&lt;=Entradas!$E$124,"",G212^2)</f>
        <v>0.21768636376895867</v>
      </c>
      <c r="J212" s="79">
        <f>IF($C212&lt;=Entradas!$E$124,"",E212-AVERAGE(E:E))</f>
        <v>-0.5123689028025028</v>
      </c>
      <c r="K212" s="79">
        <f>IF($C212&lt;=Entradas!$E$124,"",J212^2)</f>
        <v>0.26252189255904057</v>
      </c>
      <c r="L212" s="79">
        <f>IF($C212&lt;=Entradas!$E$124,"",G212*J212)</f>
        <v>0.23905529946211773</v>
      </c>
      <c r="M212" s="40"/>
    </row>
    <row r="213" spans="2:13">
      <c r="B213" s="39"/>
      <c r="C213" s="75">
        <v>208</v>
      </c>
      <c r="D213" s="110">
        <f>IF($C213&lt;=Entradas!$E$124,"",Observaciones!H213)</f>
        <v>0.3907724027209234</v>
      </c>
      <c r="E213" s="110">
        <f>IF($C213&lt;=Entradas!$E$124,"",LíneaBase!L214)</f>
        <v>0.33353739493892604</v>
      </c>
      <c r="F213" s="79">
        <f>IF($C213&lt;=Entradas!$E$124,"",D213-E213)</f>
        <v>5.723500778199736E-2</v>
      </c>
      <c r="G213" s="79">
        <f>IF($C213&lt;=Entradas!$E$124,"",D213-AVERAGE(D:D))</f>
        <v>-0.51532627947255483</v>
      </c>
      <c r="H213" s="79">
        <f>IF($C213&lt;=Entradas!$E$124,"",F213^2)</f>
        <v>3.2758461158052983E-3</v>
      </c>
      <c r="I213" s="79">
        <f>IF($C213&lt;=Entradas!$E$124,"",G213^2)</f>
        <v>0.26556117431502568</v>
      </c>
      <c r="J213" s="79">
        <f>IF($C213&lt;=Entradas!$E$124,"",E213-AVERAGE(E:E))</f>
        <v>-0.5620434688581919</v>
      </c>
      <c r="K213" s="79">
        <f>IF($C213&lt;=Entradas!$E$124,"",J213^2)</f>
        <v>0.31589286088614932</v>
      </c>
      <c r="L213" s="79">
        <f>IF($C213&lt;=Entradas!$E$124,"",G213*J213)</f>
        <v>0.28963576970854077</v>
      </c>
      <c r="M213" s="40"/>
    </row>
    <row r="214" spans="2:13">
      <c r="B214" s="39"/>
      <c r="C214" s="75">
        <v>209</v>
      </c>
      <c r="D214" s="110">
        <f>IF($C214&lt;=Entradas!$E$124,"",Observaciones!H214)</f>
        <v>0.36139144171613563</v>
      </c>
      <c r="E214" s="110">
        <f>IF($C214&lt;=Entradas!$E$124,"",LíneaBase!L215)</f>
        <v>0.31878439028380906</v>
      </c>
      <c r="F214" s="79">
        <f>IF($C214&lt;=Entradas!$E$124,"",D214-E214)</f>
        <v>4.260705143232657E-2</v>
      </c>
      <c r="G214" s="79">
        <f>IF($C214&lt;=Entradas!$E$124,"",D214-AVERAGE(D:D))</f>
        <v>-0.54470724047734254</v>
      </c>
      <c r="H214" s="79">
        <f>IF($C214&lt;=Entradas!$E$124,"",F214^2)</f>
        <v>1.8153608317569216E-3</v>
      </c>
      <c r="I214" s="79">
        <f>IF($C214&lt;=Entradas!$E$124,"",G214^2)</f>
        <v>0.29670597782844149</v>
      </c>
      <c r="J214" s="79">
        <f>IF($C214&lt;=Entradas!$E$124,"",E214-AVERAGE(E:E))</f>
        <v>-0.57679647351330887</v>
      </c>
      <c r="K214" s="79">
        <f>IF($C214&lt;=Entradas!$E$124,"",J214^2)</f>
        <v>0.3326941718573892</v>
      </c>
      <c r="L214" s="79">
        <f>IF($C214&lt;=Entradas!$E$124,"",G214*J214)</f>
        <v>0.31418521540449706</v>
      </c>
      <c r="M214" s="40"/>
    </row>
    <row r="215" spans="2:13">
      <c r="B215" s="39"/>
      <c r="C215" s="75">
        <v>210</v>
      </c>
      <c r="D215" s="110">
        <f>IF($C215&lt;=Entradas!$E$124,"",Observaciones!H215)</f>
        <v>0.35359411380808009</v>
      </c>
      <c r="E215" s="110">
        <f>IF($C215&lt;=Entradas!$E$124,"",LíneaBase!L216)</f>
        <v>0.31374060935815301</v>
      </c>
      <c r="F215" s="79">
        <f>IF($C215&lt;=Entradas!$E$124,"",D215-E215)</f>
        <v>3.985350444992708E-2</v>
      </c>
      <c r="G215" s="79">
        <f>IF($C215&lt;=Entradas!$E$124,"",D215-AVERAGE(D:D))</f>
        <v>-0.55250456838539819</v>
      </c>
      <c r="H215" s="79">
        <f>IF($C215&lt;=Entradas!$E$124,"",F215^2)</f>
        <v>1.5883018169403575E-3</v>
      </c>
      <c r="I215" s="79">
        <f>IF($C215&lt;=Entradas!$E$124,"",G215^2)</f>
        <v>0.30526129808673513</v>
      </c>
      <c r="J215" s="79">
        <f>IF($C215&lt;=Entradas!$E$124,"",E215-AVERAGE(E:E))</f>
        <v>-0.58184025443896492</v>
      </c>
      <c r="K215" s="79">
        <f>IF($C215&lt;=Entradas!$E$124,"",J215^2)</f>
        <v>0.33853808168559946</v>
      </c>
      <c r="L215" s="79">
        <f>IF($C215&lt;=Entradas!$E$124,"",G215*J215)</f>
        <v>0.32146939864805057</v>
      </c>
      <c r="M215" s="40"/>
    </row>
    <row r="216" spans="2:13">
      <c r="B216" s="39"/>
      <c r="C216" s="75">
        <v>211</v>
      </c>
      <c r="D216" s="110">
        <f>IF($C216&lt;=Entradas!$E$124,"",Observaciones!H216)</f>
        <v>0.3494070854999124</v>
      </c>
      <c r="E216" s="110">
        <f>IF($C216&lt;=Entradas!$E$124,"",LíneaBase!L217)</f>
        <v>0.31033351763699285</v>
      </c>
      <c r="F216" s="79">
        <f>IF($C216&lt;=Entradas!$E$124,"",D216-E216)</f>
        <v>3.9073567862919545E-2</v>
      </c>
      <c r="G216" s="79">
        <f>IF($C216&lt;=Entradas!$E$124,"",D216-AVERAGE(D:D))</f>
        <v>-0.55669159669356583</v>
      </c>
      <c r="H216" s="79">
        <f>IF($C216&lt;=Entradas!$E$124,"",F216^2)</f>
        <v>1.526743705538179E-3</v>
      </c>
      <c r="I216" s="79">
        <f>IF($C216&lt;=Entradas!$E$124,"",G216^2)</f>
        <v>0.30990553382923175</v>
      </c>
      <c r="J216" s="79">
        <f>IF($C216&lt;=Entradas!$E$124,"",E216-AVERAGE(E:E))</f>
        <v>-0.58524734616012508</v>
      </c>
      <c r="K216" s="79">
        <f>IF($C216&lt;=Entradas!$E$124,"",J216^2)</f>
        <v>0.34251445618746929</v>
      </c>
      <c r="L216" s="79">
        <f>IF($C216&lt;=Entradas!$E$124,"",G216*J216)</f>
        <v>0.32580227959455205</v>
      </c>
      <c r="M216" s="40"/>
    </row>
    <row r="217" spans="2:13">
      <c r="B217" s="39"/>
      <c r="C217" s="75">
        <v>212</v>
      </c>
      <c r="D217" s="110">
        <f>IF($C217&lt;=Entradas!$E$124,"",Observaciones!H217)</f>
        <v>0.34584764413041885</v>
      </c>
      <c r="E217" s="110">
        <f>IF($C217&lt;=Entradas!$E$124,"",LíneaBase!L218)</f>
        <v>0.30722333636713406</v>
      </c>
      <c r="F217" s="79">
        <f>IF($C217&lt;=Entradas!$E$124,"",D217-E217)</f>
        <v>3.8624307763284793E-2</v>
      </c>
      <c r="G217" s="79">
        <f>IF($C217&lt;=Entradas!$E$124,"",D217-AVERAGE(D:D))</f>
        <v>-0.56025103806305943</v>
      </c>
      <c r="H217" s="79">
        <f>IF($C217&lt;=Entradas!$E$124,"",F217^2)</f>
        <v>1.4918371501929418E-3</v>
      </c>
      <c r="I217" s="79">
        <f>IF($C217&lt;=Entradas!$E$124,"",G217^2)</f>
        <v>0.31388122565073567</v>
      </c>
      <c r="J217" s="79">
        <f>IF($C217&lt;=Entradas!$E$124,"",E217-AVERAGE(E:E))</f>
        <v>-0.58835752742998382</v>
      </c>
      <c r="K217" s="79">
        <f>IF($C217&lt;=Entradas!$E$124,"",J217^2)</f>
        <v>0.34616458008352419</v>
      </c>
      <c r="L217" s="79">
        <f>IF($C217&lt;=Entradas!$E$124,"",G217*J217)</f>
        <v>0.32962791549486342</v>
      </c>
      <c r="M217" s="40"/>
    </row>
    <row r="218" spans="2:13">
      <c r="B218" s="39"/>
      <c r="C218" s="75">
        <v>213</v>
      </c>
      <c r="D218" s="110">
        <f>IF($C218&lt;=Entradas!$E$124,"",Observaciones!H218)</f>
        <v>0.3424205684233429</v>
      </c>
      <c r="E218" s="110">
        <f>IF($C218&lt;=Entradas!$E$124,"",LíneaBase!L219)</f>
        <v>0.3041874980548025</v>
      </c>
      <c r="F218" s="79">
        <f>IF($C218&lt;=Entradas!$E$124,"",D218-E218)</f>
        <v>3.8233070368540401E-2</v>
      </c>
      <c r="G218" s="79">
        <f>IF($C218&lt;=Entradas!$E$124,"",D218-AVERAGE(D:D))</f>
        <v>-0.56367811377013533</v>
      </c>
      <c r="H218" s="79">
        <f>IF($C218&lt;=Entradas!$E$124,"",F218^2)</f>
        <v>1.461767669805762E-3</v>
      </c>
      <c r="I218" s="79">
        <f>IF($C218&lt;=Entradas!$E$124,"",G218^2)</f>
        <v>0.3177330159434576</v>
      </c>
      <c r="J218" s="79">
        <f>IF($C218&lt;=Entradas!$E$124,"",E218-AVERAGE(E:E))</f>
        <v>-0.59139336574231538</v>
      </c>
      <c r="K218" s="79">
        <f>IF($C218&lt;=Entradas!$E$124,"",J218^2)</f>
        <v>0.34974611304402403</v>
      </c>
      <c r="L218" s="79">
        <f>IF($C218&lt;=Entradas!$E$124,"",G218*J218)</f>
        <v>0.33335549689780009</v>
      </c>
      <c r="M218" s="40"/>
    </row>
    <row r="219" spans="2:13">
      <c r="B219" s="39"/>
      <c r="C219" s="75">
        <v>214</v>
      </c>
      <c r="D219" s="110">
        <f>IF($C219&lt;=Entradas!$E$124,"",Observaciones!H219)</f>
        <v>0.34176849874473908</v>
      </c>
      <c r="E219" s="110">
        <f>IF($C219&lt;=Entradas!$E$124,"",LíneaBase!L220)</f>
        <v>0.30391391728589612</v>
      </c>
      <c r="F219" s="79">
        <f>IF($C219&lt;=Entradas!$E$124,"",D219-E219)</f>
        <v>3.7854581458842962E-2</v>
      </c>
      <c r="G219" s="79">
        <f>IF($C219&lt;=Entradas!$E$124,"",D219-AVERAGE(D:D))</f>
        <v>-0.56433018344873909</v>
      </c>
      <c r="H219" s="79">
        <f>IF($C219&lt;=Entradas!$E$124,"",F219^2)</f>
        <v>1.4329693374241774E-3</v>
      </c>
      <c r="I219" s="79">
        <f>IF($C219&lt;=Entradas!$E$124,"",G219^2)</f>
        <v>0.31846855595128754</v>
      </c>
      <c r="J219" s="79">
        <f>IF($C219&lt;=Entradas!$E$124,"",E219-AVERAGE(E:E))</f>
        <v>-0.59166694651122176</v>
      </c>
      <c r="K219" s="79">
        <f>IF($C219&lt;=Entradas!$E$124,"",J219^2)</f>
        <v>0.35006977559391295</v>
      </c>
      <c r="L219" s="79">
        <f>IF($C219&lt;=Entradas!$E$124,"",G219*J219)</f>
        <v>0.33389551646523308</v>
      </c>
      <c r="M219" s="40"/>
    </row>
    <row r="220" spans="2:13">
      <c r="B220" s="39"/>
      <c r="C220" s="75">
        <v>215</v>
      </c>
      <c r="D220" s="110">
        <f>IF($C220&lt;=Entradas!$E$124,"",Observaciones!H220)</f>
        <v>0.33615438869858794</v>
      </c>
      <c r="E220" s="110">
        <f>IF($C220&lt;=Entradas!$E$124,"",LíneaBase!L221)</f>
        <v>0.29867309104837808</v>
      </c>
      <c r="F220" s="79">
        <f>IF($C220&lt;=Entradas!$E$124,"",D220-E220)</f>
        <v>3.7481297650209855E-2</v>
      </c>
      <c r="G220" s="79">
        <f>IF($C220&lt;=Entradas!$E$124,"",D220-AVERAGE(D:D))</f>
        <v>-0.56994429349489029</v>
      </c>
      <c r="H220" s="79">
        <f>IF($C220&lt;=Entradas!$E$124,"",F220^2)</f>
        <v>1.4048476735436268E-3</v>
      </c>
      <c r="I220" s="79">
        <f>IF($C220&lt;=Entradas!$E$124,"",G220^2)</f>
        <v>0.32483649768738965</v>
      </c>
      <c r="J220" s="79">
        <f>IF($C220&lt;=Entradas!$E$124,"",E220-AVERAGE(E:E))</f>
        <v>-0.59690777274873974</v>
      </c>
      <c r="K220" s="79">
        <f>IF($C220&lt;=Entradas!$E$124,"",J220^2)</f>
        <v>0.35629888916786112</v>
      </c>
      <c r="L220" s="79">
        <f>IF($C220&lt;=Entradas!$E$124,"",G220*J220)</f>
        <v>0.34020417882088899</v>
      </c>
      <c r="M220" s="40"/>
    </row>
    <row r="221" spans="2:13">
      <c r="B221" s="39"/>
      <c r="C221" s="75">
        <v>216</v>
      </c>
      <c r="D221" s="110">
        <f>IF($C221&lt;=Entradas!$E$124,"",Observaciones!H221)</f>
        <v>0.33246938960163064</v>
      </c>
      <c r="E221" s="110">
        <f>IF($C221&lt;=Entradas!$E$124,"",LíneaBase!L222)</f>
        <v>0.29535745282363318</v>
      </c>
      <c r="F221" s="79">
        <f>IF($C221&lt;=Entradas!$E$124,"",D221-E221)</f>
        <v>3.7111936777997456E-2</v>
      </c>
      <c r="G221" s="79">
        <f>IF($C221&lt;=Entradas!$E$124,"",D221-AVERAGE(D:D))</f>
        <v>-0.57362929259184758</v>
      </c>
      <c r="H221" s="79">
        <f>IF($C221&lt;=Entradas!$E$124,"",F221^2)</f>
        <v>1.3772958514140802E-3</v>
      </c>
      <c r="I221" s="79">
        <f>IF($C221&lt;=Entradas!$E$124,"",G221^2)</f>
        <v>0.3290505653194235</v>
      </c>
      <c r="J221" s="79">
        <f>IF($C221&lt;=Entradas!$E$124,"",E221-AVERAGE(E:E))</f>
        <v>-0.60022341097348475</v>
      </c>
      <c r="K221" s="79">
        <f>IF($C221&lt;=Entradas!$E$124,"",J221^2)</f>
        <v>0.36026814308064475</v>
      </c>
      <c r="L221" s="79">
        <f>IF($C221&lt;=Entradas!$E$124,"",G221*J221)</f>
        <v>0.34430573063378589</v>
      </c>
      <c r="M221" s="40"/>
    </row>
    <row r="222" spans="2:13">
      <c r="B222" s="39"/>
      <c r="C222" s="75">
        <v>217</v>
      </c>
      <c r="D222" s="110">
        <f>IF($C222&lt;=Entradas!$E$124,"",Observaciones!H222)</f>
        <v>0.32913163014044072</v>
      </c>
      <c r="E222" s="110">
        <f>IF($C222&lt;=Entradas!$E$124,"",LíneaBase!L223)</f>
        <v>0.29238537419916277</v>
      </c>
      <c r="F222" s="79">
        <f>IF($C222&lt;=Entradas!$E$124,"",D222-E222)</f>
        <v>3.674625594127795E-2</v>
      </c>
      <c r="G222" s="79">
        <f>IF($C222&lt;=Entradas!$E$124,"",D222-AVERAGE(D:D))</f>
        <v>-0.57696705205303744</v>
      </c>
      <c r="H222" s="79">
        <f>IF($C222&lt;=Entradas!$E$124,"",F222^2)</f>
        <v>1.350287325701905E-3</v>
      </c>
      <c r="I222" s="79">
        <f>IF($C222&lt;=Entradas!$E$124,"",G222^2)</f>
        <v>0.33289097915477239</v>
      </c>
      <c r="J222" s="79">
        <f>IF($C222&lt;=Entradas!$E$124,"",E222-AVERAGE(E:E))</f>
        <v>-0.6031954895979551</v>
      </c>
      <c r="K222" s="79">
        <f>IF($C222&lt;=Entradas!$E$124,"",J222^2)</f>
        <v>0.36384479867131675</v>
      </c>
      <c r="L222" s="79">
        <f>IF($C222&lt;=Entradas!$E$124,"",G222*J222)</f>
        <v>0.34802392344502076</v>
      </c>
      <c r="M222" s="40"/>
    </row>
    <row r="223" spans="2:13">
      <c r="B223" s="39"/>
      <c r="C223" s="75">
        <v>218</v>
      </c>
      <c r="D223" s="110">
        <f>IF($C223&lt;=Entradas!$E$124,"",Observaciones!H223)</f>
        <v>0.37177130520181545</v>
      </c>
      <c r="E223" s="110">
        <f>IF($C223&lt;=Entradas!$E$124,"",LíneaBase!L224)</f>
        <v>0.33354651850305106</v>
      </c>
      <c r="F223" s="79">
        <f>IF($C223&lt;=Entradas!$E$124,"",D223-E223)</f>
        <v>3.822478669876439E-2</v>
      </c>
      <c r="G223" s="79">
        <f>IF($C223&lt;=Entradas!$E$124,"",D223-AVERAGE(D:D))</f>
        <v>-0.53432737699166277</v>
      </c>
      <c r="H223" s="79">
        <f>IF($C223&lt;=Entradas!$E$124,"",F223^2)</f>
        <v>1.461134318166035E-3</v>
      </c>
      <c r="I223" s="79">
        <f>IF($C223&lt;=Entradas!$E$124,"",G223^2)</f>
        <v>0.28550574580279053</v>
      </c>
      <c r="J223" s="79">
        <f>IF($C223&lt;=Entradas!$E$124,"",E223-AVERAGE(E:E))</f>
        <v>-0.56203434529406682</v>
      </c>
      <c r="K223" s="79">
        <f>IF($C223&lt;=Entradas!$E$124,"",J223^2)</f>
        <v>0.31588260529013035</v>
      </c>
      <c r="L223" s="79">
        <f>IF($C223&lt;=Entradas!$E$124,"",G223*J223)</f>
        <v>0.30031033750020519</v>
      </c>
      <c r="M223" s="40"/>
    </row>
    <row r="224" spans="2:13">
      <c r="B224" s="39"/>
      <c r="C224" s="75">
        <v>219</v>
      </c>
      <c r="D224" s="110">
        <f>IF($C224&lt;=Entradas!$E$124,"",Observaciones!H224)</f>
        <v>0.33028100075596389</v>
      </c>
      <c r="E224" s="110">
        <f>IF($C224&lt;=Entradas!$E$124,"",LíneaBase!L225)</f>
        <v>0.29394989534060656</v>
      </c>
      <c r="F224" s="79">
        <f>IF($C224&lt;=Entradas!$E$124,"",D224-E224)</f>
        <v>3.6331105415357334E-2</v>
      </c>
      <c r="G224" s="79">
        <f>IF($C224&lt;=Entradas!$E$124,"",D224-AVERAGE(D:D))</f>
        <v>-0.57581768143751433</v>
      </c>
      <c r="H224" s="79">
        <f>IF($C224&lt;=Entradas!$E$124,"",F224^2)</f>
        <v>1.319949220701807E-3</v>
      </c>
      <c r="I224" s="79">
        <f>IF($C224&lt;=Entradas!$E$124,"",G224^2)</f>
        <v>0.33156600225607474</v>
      </c>
      <c r="J224" s="79">
        <f>IF($C224&lt;=Entradas!$E$124,"",E224-AVERAGE(E:E))</f>
        <v>-0.60163096845651132</v>
      </c>
      <c r="K224" s="79">
        <f>IF($C224&lt;=Entradas!$E$124,"",J224^2)</f>
        <v>0.36195982220591971</v>
      </c>
      <c r="L224" s="79">
        <f>IF($C224&lt;=Entradas!$E$124,"",G224*J224)</f>
        <v>0.34642974933763465</v>
      </c>
      <c r="M224" s="40"/>
    </row>
    <row r="225" spans="2:13">
      <c r="B225" s="39"/>
      <c r="C225" s="75">
        <v>220</v>
      </c>
      <c r="D225" s="110">
        <f>IF($C225&lt;=Entradas!$E$124,"",Observaciones!H225)</f>
        <v>0.32483740497761687</v>
      </c>
      <c r="E225" s="110">
        <f>IF($C225&lt;=Entradas!$E$124,"",LíneaBase!L226)</f>
        <v>0.28911601120256508</v>
      </c>
      <c r="F225" s="79">
        <f>IF($C225&lt;=Entradas!$E$124,"",D225-E225)</f>
        <v>3.5721393775051791E-2</v>
      </c>
      <c r="G225" s="79">
        <f>IF($C225&lt;=Entradas!$E$124,"",D225-AVERAGE(D:D))</f>
        <v>-0.5812612772158614</v>
      </c>
      <c r="H225" s="79">
        <f>IF($C225&lt;=Entradas!$E$124,"",F225^2)</f>
        <v>1.2760179732323089E-3</v>
      </c>
      <c r="I225" s="79">
        <f>IF($C225&lt;=Entradas!$E$124,"",G225^2)</f>
        <v>0.33786467239061446</v>
      </c>
      <c r="J225" s="79">
        <f>IF($C225&lt;=Entradas!$E$124,"",E225-AVERAGE(E:E))</f>
        <v>-0.60646485259455285</v>
      </c>
      <c r="K225" s="79">
        <f>IF($C225&lt;=Entradas!$E$124,"",J225^2)</f>
        <v>0.3677996174325327</v>
      </c>
      <c r="L225" s="79">
        <f>IF($C225&lt;=Entradas!$E$124,"",G225*J225)</f>
        <v>0.35251453480563893</v>
      </c>
      <c r="M225" s="40"/>
    </row>
    <row r="226" spans="2:13">
      <c r="B226" s="39"/>
      <c r="C226" s="75">
        <v>221</v>
      </c>
      <c r="D226" s="110">
        <f>IF($C226&lt;=Entradas!$E$124,"",Observaciones!H226)</f>
        <v>0.31722606311903995</v>
      </c>
      <c r="E226" s="110">
        <f>IF($C226&lt;=Entradas!$E$124,"",LíneaBase!L227)</f>
        <v>0.2818984123294131</v>
      </c>
      <c r="F226" s="79">
        <f>IF($C226&lt;=Entradas!$E$124,"",D226-E226)</f>
        <v>3.5327650789626852E-2</v>
      </c>
      <c r="G226" s="79">
        <f>IF($C226&lt;=Entradas!$E$124,"",D226-AVERAGE(D:D))</f>
        <v>-0.58887261907443822</v>
      </c>
      <c r="H226" s="79">
        <f>IF($C226&lt;=Entradas!$E$124,"",F226^2)</f>
        <v>1.2480429103138228E-3</v>
      </c>
      <c r="I226" s="79">
        <f>IF($C226&lt;=Entradas!$E$124,"",G226^2)</f>
        <v>0.34677096149558839</v>
      </c>
      <c r="J226" s="79">
        <f>IF($C226&lt;=Entradas!$E$124,"",E226-AVERAGE(E:E))</f>
        <v>-0.61368245146770484</v>
      </c>
      <c r="K226" s="79">
        <f>IF($C226&lt;=Entradas!$E$124,"",J226^2)</f>
        <v>0.37660615123941188</v>
      </c>
      <c r="L226" s="79">
        <f>IF($C226&lt;=Entradas!$E$124,"",G226*J226)</f>
        <v>0.36138079247580918</v>
      </c>
      <c r="M226" s="40"/>
    </row>
    <row r="227" spans="2:13">
      <c r="B227" s="39"/>
      <c r="C227" s="75">
        <v>222</v>
      </c>
      <c r="D227" s="110">
        <f>IF($C227&lt;=Entradas!$E$124,"",Observaciones!H227)</f>
        <v>0.31336847349689817</v>
      </c>
      <c r="E227" s="110">
        <f>IF($C227&lt;=Entradas!$E$124,"",LíneaBase!L228)</f>
        <v>0.27839584588825894</v>
      </c>
      <c r="F227" s="79">
        <f>IF($C227&lt;=Entradas!$E$124,"",D227-E227)</f>
        <v>3.4972627608639228E-2</v>
      </c>
      <c r="G227" s="79">
        <f>IF($C227&lt;=Entradas!$E$124,"",D227-AVERAGE(D:D))</f>
        <v>-0.59273020869658</v>
      </c>
      <c r="H227" s="79">
        <f>IF($C227&lt;=Entradas!$E$124,"",F227^2)</f>
        <v>1.2230846818525548E-3</v>
      </c>
      <c r="I227" s="79">
        <f>IF($C227&lt;=Entradas!$E$124,"",G227^2)</f>
        <v>0.35132910030149128</v>
      </c>
      <c r="J227" s="79">
        <f>IF($C227&lt;=Entradas!$E$124,"",E227-AVERAGE(E:E))</f>
        <v>-0.61718501790885893</v>
      </c>
      <c r="K227" s="79">
        <f>IF($C227&lt;=Entradas!$E$124,"",J227^2)</f>
        <v>0.38091734633115854</v>
      </c>
      <c r="L227" s="79">
        <f>IF($C227&lt;=Entradas!$E$124,"",G227*J227)</f>
        <v>0.36582420446952041</v>
      </c>
      <c r="M227" s="40"/>
    </row>
    <row r="228" spans="2:13">
      <c r="B228" s="39"/>
      <c r="C228" s="75">
        <v>223</v>
      </c>
      <c r="D228" s="110">
        <f>IF($C228&lt;=Entradas!$E$124,"",Observaciones!H228)</f>
        <v>0.3101593328685569</v>
      </c>
      <c r="E228" s="110">
        <f>IF($C228&lt;=Entradas!$E$124,"",LíneaBase!L229)</f>
        <v>0.27553244906452429</v>
      </c>
      <c r="F228" s="79">
        <f>IF($C228&lt;=Entradas!$E$124,"",D228-E228)</f>
        <v>3.4626883804032615E-2</v>
      </c>
      <c r="G228" s="79">
        <f>IF($C228&lt;=Entradas!$E$124,"",D228-AVERAGE(D:D))</f>
        <v>-0.59593934932492132</v>
      </c>
      <c r="H228" s="79">
        <f>IF($C228&lt;=Entradas!$E$124,"",F228^2)</f>
        <v>1.1990210819779763E-3</v>
      </c>
      <c r="I228" s="79">
        <f>IF($C228&lt;=Entradas!$E$124,"",G228^2)</f>
        <v>0.35514370807381063</v>
      </c>
      <c r="J228" s="79">
        <f>IF($C228&lt;=Entradas!$E$124,"",E228-AVERAGE(E:E))</f>
        <v>-0.62004841473259353</v>
      </c>
      <c r="K228" s="79">
        <f>IF($C228&lt;=Entradas!$E$124,"",J228^2)</f>
        <v>0.3844600366124023</v>
      </c>
      <c r="L228" s="79">
        <f>IF($C228&lt;=Entradas!$E$124,"",G228*J228)</f>
        <v>0.36951124882569075</v>
      </c>
      <c r="M228" s="40"/>
    </row>
    <row r="229" spans="2:13">
      <c r="B229" s="39"/>
      <c r="C229" s="75">
        <v>224</v>
      </c>
      <c r="D229" s="110">
        <f>IF($C229&lt;=Entradas!$E$124,"",Observaciones!H229)</f>
        <v>0.30708310671443972</v>
      </c>
      <c r="E229" s="110">
        <f>IF($C229&lt;=Entradas!$E$124,"",LíneaBase!L230)</f>
        <v>0.27279760069981784</v>
      </c>
      <c r="F229" s="79">
        <f>IF($C229&lt;=Entradas!$E$124,"",D229-E229)</f>
        <v>3.428550601462188E-2</v>
      </c>
      <c r="G229" s="79">
        <f>IF($C229&lt;=Entradas!$E$124,"",D229-AVERAGE(D:D))</f>
        <v>-0.5990155754790385</v>
      </c>
      <c r="H229" s="79">
        <f>IF($C229&lt;=Entradas!$E$124,"",F229^2)</f>
        <v>1.1754959226786732E-3</v>
      </c>
      <c r="I229" s="79">
        <f>IF($C229&lt;=Entradas!$E$124,"",G229^2)</f>
        <v>0.35881965966648366</v>
      </c>
      <c r="J229" s="79">
        <f>IF($C229&lt;=Entradas!$E$124,"",E229-AVERAGE(E:E))</f>
        <v>-0.62278326309730003</v>
      </c>
      <c r="K229" s="79">
        <f>IF($C229&lt;=Entradas!$E$124,"",J229^2)</f>
        <v>0.38785899279412084</v>
      </c>
      <c r="L229" s="79">
        <f>IF($C229&lt;=Entradas!$E$124,"",G229*J229)</f>
        <v>0.37305687474294263</v>
      </c>
      <c r="M229" s="40"/>
    </row>
    <row r="230" spans="2:13">
      <c r="B230" s="39"/>
      <c r="C230" s="75">
        <v>225</v>
      </c>
      <c r="D230" s="110">
        <f>IF($C230&lt;=Entradas!$E$124,"",Observaciones!H230)</f>
        <v>0.30541654655466866</v>
      </c>
      <c r="E230" s="110">
        <f>IF($C230&lt;=Entradas!$E$124,"",LíneaBase!L231)</f>
        <v>0.2714688954668924</v>
      </c>
      <c r="F230" s="79">
        <f>IF($C230&lt;=Entradas!$E$124,"",D230-E230)</f>
        <v>3.3947651087776254E-2</v>
      </c>
      <c r="G230" s="79">
        <f>IF($C230&lt;=Entradas!$E$124,"",D230-AVERAGE(D:D))</f>
        <v>-0.60068213563880957</v>
      </c>
      <c r="H230" s="79">
        <f>IF($C230&lt;=Entradas!$E$124,"",F230^2)</f>
        <v>1.1524430143773964E-3</v>
      </c>
      <c r="I230" s="79">
        <f>IF($C230&lt;=Entradas!$E$124,"",G230^2)</f>
        <v>0.36081902807560123</v>
      </c>
      <c r="J230" s="79">
        <f>IF($C230&lt;=Entradas!$E$124,"",E230-AVERAGE(E:E))</f>
        <v>-0.62411196833022542</v>
      </c>
      <c r="K230" s="79">
        <f>IF($C230&lt;=Entradas!$E$124,"",J230^2)</f>
        <v>0.38951574901302832</v>
      </c>
      <c r="L230" s="79">
        <f>IF($C230&lt;=Entradas!$E$124,"",G230*J230)</f>
        <v>0.37489291001434089</v>
      </c>
      <c r="M230" s="40"/>
    </row>
    <row r="231" spans="2:13">
      <c r="B231" s="39"/>
      <c r="C231" s="75">
        <v>226</v>
      </c>
      <c r="D231" s="110">
        <f>IF($C231&lt;=Entradas!$E$124,"",Observaciones!H231)</f>
        <v>0.30128362436071976</v>
      </c>
      <c r="E231" s="110">
        <f>IF($C231&lt;=Entradas!$E$124,"",LíneaBase!L232)</f>
        <v>0.267670472820001</v>
      </c>
      <c r="F231" s="79">
        <f>IF($C231&lt;=Entradas!$E$124,"",D231-E231)</f>
        <v>3.3613151540718755E-2</v>
      </c>
      <c r="G231" s="79">
        <f>IF($C231&lt;=Entradas!$E$124,"",D231-AVERAGE(D:D))</f>
        <v>-0.60481505783275846</v>
      </c>
      <c r="H231" s="79">
        <f>IF($C231&lt;=Entradas!$E$124,"",F231^2)</f>
        <v>1.1298439564993237E-3</v>
      </c>
      <c r="I231" s="79">
        <f>IF($C231&lt;=Entradas!$E$124,"",G231^2)</f>
        <v>0.36580125418124299</v>
      </c>
      <c r="J231" s="79">
        <f>IF($C231&lt;=Entradas!$E$124,"",E231-AVERAGE(E:E))</f>
        <v>-0.62791039097711687</v>
      </c>
      <c r="K231" s="79">
        <f>IF($C231&lt;=Entradas!$E$124,"",J231^2)</f>
        <v>0.39427145909703576</v>
      </c>
      <c r="L231" s="79">
        <f>IF($C231&lt;=Entradas!$E$124,"",G231*J231)</f>
        <v>0.37976965943261493</v>
      </c>
      <c r="M231" s="40"/>
    </row>
    <row r="232" spans="2:13">
      <c r="B232" s="39"/>
      <c r="C232" s="75">
        <v>227</v>
      </c>
      <c r="D232" s="110">
        <f>IF($C232&lt;=Entradas!$E$124,"",Observaciones!H232)</f>
        <v>0.29812856227339773</v>
      </c>
      <c r="E232" s="110">
        <f>IF($C232&lt;=Entradas!$E$124,"",LíneaBase!L233)</f>
        <v>0.26484660999286519</v>
      </c>
      <c r="F232" s="79">
        <f>IF($C232&lt;=Entradas!$E$124,"",D232-E232)</f>
        <v>3.3281952280532545E-2</v>
      </c>
      <c r="G232" s="79">
        <f>IF($C232&lt;=Entradas!$E$124,"",D232-AVERAGE(D:D))</f>
        <v>-0.60797011992008043</v>
      </c>
      <c r="H232" s="79">
        <f>IF($C232&lt;=Entradas!$E$124,"",F232^2)</f>
        <v>1.1076883476036454E-3</v>
      </c>
      <c r="I232" s="79">
        <f>IF($C232&lt;=Entradas!$E$124,"",G232^2)</f>
        <v>0.36962766671563696</v>
      </c>
      <c r="J232" s="79">
        <f>IF($C232&lt;=Entradas!$E$124,"",E232-AVERAGE(E:E))</f>
        <v>-0.63073425380425263</v>
      </c>
      <c r="K232" s="79">
        <f>IF($C232&lt;=Entradas!$E$124,"",J232^2)</f>
        <v>0.39782569892200736</v>
      </c>
      <c r="L232" s="79">
        <f>IF($C232&lt;=Entradas!$E$124,"",G232*J232)</f>
        <v>0.3834675799230739</v>
      </c>
      <c r="M232" s="40"/>
    </row>
    <row r="233" spans="2:13">
      <c r="B233" s="39"/>
      <c r="C233" s="75">
        <v>228</v>
      </c>
      <c r="D233" s="110">
        <f>IF($C233&lt;=Entradas!$E$124,"",Observaciones!H233)</f>
        <v>0.29516009291076828</v>
      </c>
      <c r="E233" s="110">
        <f>IF($C233&lt;=Entradas!$E$124,"",LíneaBase!L234)</f>
        <v>0.26220607577790028</v>
      </c>
      <c r="F233" s="79">
        <f>IF($C233&lt;=Entradas!$E$124,"",D233-E233)</f>
        <v>3.2954017132867996E-2</v>
      </c>
      <c r="G233" s="79">
        <f>IF($C233&lt;=Entradas!$E$124,"",D233-AVERAGE(D:D))</f>
        <v>-0.61093858928270994</v>
      </c>
      <c r="H233" s="79">
        <f>IF($C233&lt;=Entradas!$E$124,"",F233^2)</f>
        <v>1.0859672451933576E-3</v>
      </c>
      <c r="I233" s="79">
        <f>IF($C233&lt;=Entradas!$E$124,"",G233^2)</f>
        <v>0.37324595987474773</v>
      </c>
      <c r="J233" s="79">
        <f>IF($C233&lt;=Entradas!$E$124,"",E233-AVERAGE(E:E))</f>
        <v>-0.63337478801921754</v>
      </c>
      <c r="K233" s="79">
        <f>IF($C233&lt;=Entradas!$E$124,"",J233^2)</f>
        <v>0.40116362209838874</v>
      </c>
      <c r="L233" s="79">
        <f>IF($C233&lt;=Entradas!$E$124,"",G233*J233)</f>
        <v>0.38695309947969619</v>
      </c>
      <c r="M233" s="40"/>
    </row>
    <row r="234" spans="2:13">
      <c r="B234" s="39"/>
      <c r="C234" s="75">
        <v>229</v>
      </c>
      <c r="D234" s="110">
        <f>IF($C234&lt;=Entradas!$E$124,"",Observaciones!H234)</f>
        <v>0.35366515771315216</v>
      </c>
      <c r="E234" s="110">
        <f>IF($C234&lt;=Entradas!$E$124,"",LíneaBase!L235)</f>
        <v>0.31886495502571732</v>
      </c>
      <c r="F234" s="79">
        <f>IF($C234&lt;=Entradas!$E$124,"",D234-E234)</f>
        <v>3.4800202687434834E-2</v>
      </c>
      <c r="G234" s="79">
        <f>IF($C234&lt;=Entradas!$E$124,"",D234-AVERAGE(D:D))</f>
        <v>-0.55243352448032601</v>
      </c>
      <c r="H234" s="79">
        <f>IF($C234&lt;=Entradas!$E$124,"",F234^2)</f>
        <v>1.2110541070865467E-3</v>
      </c>
      <c r="I234" s="79">
        <f>IF($C234&lt;=Entradas!$E$124,"",G234^2)</f>
        <v>0.30518279896975498</v>
      </c>
      <c r="J234" s="79">
        <f>IF($C234&lt;=Entradas!$E$124,"",E234-AVERAGE(E:E))</f>
        <v>-0.57671590877140055</v>
      </c>
      <c r="K234" s="79">
        <f>IF($C234&lt;=Entradas!$E$124,"",J234^2)</f>
        <v>0.3326012394300224</v>
      </c>
      <c r="L234" s="79">
        <f>IF($C234&lt;=Entradas!$E$124,"",G234*J234)</f>
        <v>0.31859720210645898</v>
      </c>
      <c r="M234" s="40"/>
    </row>
    <row r="235" spans="2:13">
      <c r="B235" s="39"/>
      <c r="C235" s="75">
        <v>230</v>
      </c>
      <c r="D235" s="110">
        <f>IF($C235&lt;=Entradas!$E$124,"",Observaciones!H235)</f>
        <v>0.2995578058563349</v>
      </c>
      <c r="E235" s="110">
        <f>IF($C235&lt;=Entradas!$E$124,"",LíneaBase!L236)</f>
        <v>0.26688976751659654</v>
      </c>
      <c r="F235" s="79">
        <f>IF($C235&lt;=Entradas!$E$124,"",D235-E235)</f>
        <v>3.2668038339738359E-2</v>
      </c>
      <c r="G235" s="79">
        <f>IF($C235&lt;=Entradas!$E$124,"",D235-AVERAGE(D:D))</f>
        <v>-0.60654087633714338</v>
      </c>
      <c r="H235" s="79">
        <f>IF($C235&lt;=Entradas!$E$124,"",F235^2)</f>
        <v>1.0672007289666153E-3</v>
      </c>
      <c r="I235" s="79">
        <f>IF($C235&lt;=Entradas!$E$124,"",G235^2)</f>
        <v>0.36789183466782988</v>
      </c>
      <c r="J235" s="79">
        <f>IF($C235&lt;=Entradas!$E$124,"",E235-AVERAGE(E:E))</f>
        <v>-0.62869109628052133</v>
      </c>
      <c r="K235" s="79">
        <f>IF($C235&lt;=Entradas!$E$124,"",J235^2)</f>
        <v>0.39525249454240374</v>
      </c>
      <c r="L235" s="79">
        <f>IF($C235&lt;=Entradas!$E$124,"",G235*J235)</f>
        <v>0.3813268484833468</v>
      </c>
      <c r="M235" s="40"/>
    </row>
    <row r="236" spans="2:13">
      <c r="B236" s="39"/>
      <c r="C236" s="75">
        <v>231</v>
      </c>
      <c r="D236" s="110">
        <f>IF($C236&lt;=Entradas!$E$124,"",Observaciones!H236)</f>
        <v>0.2882060622414469</v>
      </c>
      <c r="E236" s="110">
        <f>IF($C236&lt;=Entradas!$E$124,"",LíneaBase!L237)</f>
        <v>0.25615681470353535</v>
      </c>
      <c r="F236" s="79">
        <f>IF($C236&lt;=Entradas!$E$124,"",D236-E236)</f>
        <v>3.2049247537911552E-2</v>
      </c>
      <c r="G236" s="79">
        <f>IF($C236&lt;=Entradas!$E$124,"",D236-AVERAGE(D:D))</f>
        <v>-0.61789261995203137</v>
      </c>
      <c r="H236" s="79">
        <f>IF($C236&lt;=Entradas!$E$124,"",F236^2)</f>
        <v>1.0271542677463296E-3</v>
      </c>
      <c r="I236" s="79">
        <f>IF($C236&lt;=Entradas!$E$124,"",G236^2)</f>
        <v>0.38179128979118548</v>
      </c>
      <c r="J236" s="79">
        <f>IF($C236&lt;=Entradas!$E$124,"",E236-AVERAGE(E:E))</f>
        <v>-0.63942404909358252</v>
      </c>
      <c r="K236" s="79">
        <f>IF($C236&lt;=Entradas!$E$124,"",J236^2)</f>
        <v>0.40886311455923224</v>
      </c>
      <c r="L236" s="79">
        <f>IF($C236&lt;=Entradas!$E$124,"",G236*J236)</f>
        <v>0.39509540095477003</v>
      </c>
      <c r="M236" s="40"/>
    </row>
    <row r="237" spans="2:13">
      <c r="B237" s="39"/>
      <c r="C237" s="75">
        <v>232</v>
      </c>
      <c r="D237" s="110">
        <f>IF($C237&lt;=Entradas!$E$124,"",Observaciones!H237)</f>
        <v>0.28397241266212792</v>
      </c>
      <c r="E237" s="110">
        <f>IF($C237&lt;=Entradas!$E$124,"",LíneaBase!L238)</f>
        <v>0.25228822129279116</v>
      </c>
      <c r="F237" s="79">
        <f>IF($C237&lt;=Entradas!$E$124,"",D237-E237)</f>
        <v>3.1684191369336756E-2</v>
      </c>
      <c r="G237" s="79">
        <f>IF($C237&lt;=Entradas!$E$124,"",D237-AVERAGE(D:D))</f>
        <v>-0.62212626953135031</v>
      </c>
      <c r="H237" s="79">
        <f>IF($C237&lt;=Entradas!$E$124,"",F237^2)</f>
        <v>1.0038879827287538E-3</v>
      </c>
      <c r="I237" s="79">
        <f>IF($C237&lt;=Entradas!$E$124,"",G237^2)</f>
        <v>0.38704109524099434</v>
      </c>
      <c r="J237" s="79">
        <f>IF($C237&lt;=Entradas!$E$124,"",E237-AVERAGE(E:E))</f>
        <v>-0.64329264250432672</v>
      </c>
      <c r="K237" s="79">
        <f>IF($C237&lt;=Entradas!$E$124,"",J237^2)</f>
        <v>0.4138254239001995</v>
      </c>
      <c r="L237" s="79">
        <f>IF($C237&lt;=Entradas!$E$124,"",G237*J237)</f>
        <v>0.40020925189818135</v>
      </c>
      <c r="M237" s="40"/>
    </row>
    <row r="238" spans="2:13">
      <c r="B238" s="39"/>
      <c r="C238" s="75">
        <v>233</v>
      </c>
      <c r="D238" s="110">
        <f>IF($C238&lt;=Entradas!$E$124,"",Observaciones!H238)</f>
        <v>0.28094306841741629</v>
      </c>
      <c r="E238" s="110">
        <f>IF($C238&lt;=Entradas!$E$124,"",LíneaBase!L239)</f>
        <v>0.24957924416696797</v>
      </c>
      <c r="F238" s="79">
        <f>IF($C238&lt;=Entradas!$E$124,"",D238-E238)</f>
        <v>3.1363824250448313E-2</v>
      </c>
      <c r="G238" s="79">
        <f>IF($C238&lt;=Entradas!$E$124,"",D238-AVERAGE(D:D))</f>
        <v>-0.62515561377606188</v>
      </c>
      <c r="H238" s="79">
        <f>IF($C238&lt;=Entradas!$E$124,"",F238^2)</f>
        <v>9.8368947161300976E-4</v>
      </c>
      <c r="I238" s="79">
        <f>IF($C238&lt;=Entradas!$E$124,"",G238^2)</f>
        <v>0.39081954143572467</v>
      </c>
      <c r="J238" s="79">
        <f>IF($C238&lt;=Entradas!$E$124,"",E238-AVERAGE(E:E))</f>
        <v>-0.6460016196301499</v>
      </c>
      <c r="K238" s="79">
        <f>IF($C238&lt;=Entradas!$E$124,"",J238^2)</f>
        <v>0.41731809256477687</v>
      </c>
      <c r="L238" s="79">
        <f>IF($C238&lt;=Entradas!$E$124,"",G238*J238)</f>
        <v>0.40385153902021642</v>
      </c>
      <c r="M238" s="40"/>
    </row>
    <row r="239" spans="2:13">
      <c r="B239" s="39"/>
      <c r="C239" s="75">
        <v>234</v>
      </c>
      <c r="D239" s="110">
        <f>IF($C239&lt;=Entradas!$E$124,"",Observaciones!H239)</f>
        <v>0.27813648896908444</v>
      </c>
      <c r="E239" s="110">
        <f>IF($C239&lt;=Entradas!$E$124,"",LíneaBase!L240)</f>
        <v>0.24708305651769771</v>
      </c>
      <c r="F239" s="79">
        <f>IF($C239&lt;=Entradas!$E$124,"",D239-E239)</f>
        <v>3.1053432451386725E-2</v>
      </c>
      <c r="G239" s="79">
        <f>IF($C239&lt;=Entradas!$E$124,"",D239-AVERAGE(D:D))</f>
        <v>-0.62796219322439373</v>
      </c>
      <c r="H239" s="79">
        <f>IF($C239&lt;=Entradas!$E$124,"",F239^2)</f>
        <v>9.6431566701283818E-4</v>
      </c>
      <c r="I239" s="79">
        <f>IF($C239&lt;=Entradas!$E$124,"",G239^2)</f>
        <v>0.39433651611919079</v>
      </c>
      <c r="J239" s="79">
        <f>IF($C239&lt;=Entradas!$E$124,"",E239-AVERAGE(E:E))</f>
        <v>-0.64849780727942019</v>
      </c>
      <c r="K239" s="79">
        <f>IF($C239&lt;=Entradas!$E$124,"",J239^2)</f>
        <v>0.42054940604621599</v>
      </c>
      <c r="L239" s="79">
        <f>IF($C239&lt;=Entradas!$E$124,"",G239*J239)</f>
        <v>0.40723210536039489</v>
      </c>
      <c r="M239" s="40"/>
    </row>
    <row r="240" spans="2:13">
      <c r="B240" s="39"/>
      <c r="C240" s="75">
        <v>235</v>
      </c>
      <c r="D240" s="110">
        <f>IF($C240&lt;=Entradas!$E$124,"",Observaciones!H240)</f>
        <v>0.27538957518040313</v>
      </c>
      <c r="E240" s="110">
        <f>IF($C240&lt;=Entradas!$E$124,"",LíneaBase!L241)</f>
        <v>0.24464234469929813</v>
      </c>
      <c r="F240" s="79">
        <f>IF($C240&lt;=Entradas!$E$124,"",D240-E240)</f>
        <v>3.0747230481105003E-2</v>
      </c>
      <c r="G240" s="79">
        <f>IF($C240&lt;=Entradas!$E$124,"",D240-AVERAGE(D:D))</f>
        <v>-0.63070910701307503</v>
      </c>
      <c r="H240" s="79">
        <f>IF($C240&lt;=Entradas!$E$124,"",F240^2)</f>
        <v>9.4539218225819267E-4</v>
      </c>
      <c r="I240" s="79">
        <f>IF($C240&lt;=Entradas!$E$124,"",G240^2)</f>
        <v>0.39779397766923053</v>
      </c>
      <c r="J240" s="79">
        <f>IF($C240&lt;=Entradas!$E$124,"",E240-AVERAGE(E:E))</f>
        <v>-0.65093851909781975</v>
      </c>
      <c r="K240" s="79">
        <f>IF($C240&lt;=Entradas!$E$124,"",J240^2)</f>
        <v>0.42372095564526263</v>
      </c>
      <c r="L240" s="79">
        <f>IF($C240&lt;=Entradas!$E$124,"",G240*J240)</f>
        <v>0.41055285210059939</v>
      </c>
      <c r="M240" s="40"/>
    </row>
    <row r="241" spans="2:13">
      <c r="B241" s="39"/>
      <c r="C241" s="75">
        <v>236</v>
      </c>
      <c r="D241" s="110">
        <f>IF($C241&lt;=Entradas!$E$124,"",Observaciones!H241)</f>
        <v>0.27267503930212456</v>
      </c>
      <c r="E241" s="110">
        <f>IF($C241&lt;=Entradas!$E$124,"",LíneaBase!L242)</f>
        <v>0.24223080595929891</v>
      </c>
      <c r="F241" s="79">
        <f>IF($C241&lt;=Entradas!$E$124,"",D241-E241)</f>
        <v>3.0444233342825644E-2</v>
      </c>
      <c r="G241" s="79">
        <f>IF($C241&lt;=Entradas!$E$124,"",D241-AVERAGE(D:D))</f>
        <v>-0.63342364289135367</v>
      </c>
      <c r="H241" s="79">
        <f>IF($C241&lt;=Entradas!$E$124,"",F241^2)</f>
        <v>9.2685134383241666E-4</v>
      </c>
      <c r="I241" s="79">
        <f>IF($C241&lt;=Entradas!$E$124,"",G241^2)</f>
        <v>0.40122551137375312</v>
      </c>
      <c r="J241" s="79">
        <f>IF($C241&lt;=Entradas!$E$124,"",E241-AVERAGE(E:E))</f>
        <v>-0.65335005783781896</v>
      </c>
      <c r="K241" s="79">
        <f>IF($C241&lt;=Entradas!$E$124,"",J241^2)</f>
        <v>0.42686629807668136</v>
      </c>
      <c r="L241" s="79">
        <f>IF($C241&lt;=Entradas!$E$124,"",G241*J241)</f>
        <v>0.4138473737189079</v>
      </c>
      <c r="M241" s="40"/>
    </row>
    <row r="242" spans="2:13">
      <c r="B242" s="39"/>
      <c r="C242" s="75">
        <v>237</v>
      </c>
      <c r="D242" s="110">
        <f>IF($C242&lt;=Entradas!$E$124,"",Observaciones!H242)</f>
        <v>0.26998813183201165</v>
      </c>
      <c r="E242" s="110">
        <f>IF($C242&lt;=Entradas!$E$124,"",LíneaBase!L243)</f>
        <v>0.23984387896977222</v>
      </c>
      <c r="F242" s="79">
        <f>IF($C242&lt;=Entradas!$E$124,"",D242-E242)</f>
        <v>3.0144252862239429E-2</v>
      </c>
      <c r="G242" s="79">
        <f>IF($C242&lt;=Entradas!$E$124,"",D242-AVERAGE(D:D))</f>
        <v>-0.63611055036146658</v>
      </c>
      <c r="H242" s="79">
        <f>IF($C242&lt;=Entradas!$E$124,"",F242^2)</f>
        <v>9.0867598062263004E-4</v>
      </c>
      <c r="I242" s="79">
        <f>IF($C242&lt;=Entradas!$E$124,"",G242^2)</f>
        <v>0.40463663228116792</v>
      </c>
      <c r="J242" s="79">
        <f>IF($C242&lt;=Entradas!$E$124,"",E242-AVERAGE(E:E))</f>
        <v>-0.65573698482734566</v>
      </c>
      <c r="K242" s="79">
        <f>IF($C242&lt;=Entradas!$E$124,"",J242^2)</f>
        <v>0.42999099327045853</v>
      </c>
      <c r="L242" s="79">
        <f>IF($C242&lt;=Entradas!$E$124,"",G242*J242)</f>
        <v>0.4171212143108915</v>
      </c>
      <c r="M242" s="40"/>
    </row>
    <row r="243" spans="2:13">
      <c r="B243" s="39"/>
      <c r="C243" s="75">
        <v>238</v>
      </c>
      <c r="D243" s="110">
        <f>IF($C243&lt;=Entradas!$E$124,"",Observaciones!H243)</f>
        <v>0.26732784536402548</v>
      </c>
      <c r="E243" s="110">
        <f>IF($C243&lt;=Entradas!$E$124,"",LíneaBase!L244)</f>
        <v>0.23748061203354714</v>
      </c>
      <c r="F243" s="79">
        <f>IF($C243&lt;=Entradas!$E$124,"",D243-E243)</f>
        <v>2.984723333047834E-2</v>
      </c>
      <c r="G243" s="79">
        <f>IF($C243&lt;=Entradas!$E$124,"",D243-AVERAGE(D:D))</f>
        <v>-0.63877083682945268</v>
      </c>
      <c r="H243" s="79">
        <f>IF($C243&lt;=Entradas!$E$124,"",F243^2)</f>
        <v>8.9085733748401718E-4</v>
      </c>
      <c r="I243" s="79">
        <f>IF($C243&lt;=Entradas!$E$124,"",G243^2)</f>
        <v>0.40802818198379925</v>
      </c>
      <c r="J243" s="79">
        <f>IF($C243&lt;=Entradas!$E$124,"",E243-AVERAGE(E:E))</f>
        <v>-0.65810025176357079</v>
      </c>
      <c r="K243" s="79">
        <f>IF($C243&lt;=Entradas!$E$124,"",J243^2)</f>
        <v>0.43309594137127527</v>
      </c>
      <c r="L243" s="79">
        <f>IF($C243&lt;=Entradas!$E$124,"",G243*J243)</f>
        <v>0.42037524853668962</v>
      </c>
      <c r="M243" s="40"/>
    </row>
    <row r="244" spans="2:13">
      <c r="B244" s="39"/>
      <c r="C244" s="75">
        <v>239</v>
      </c>
      <c r="D244" s="110">
        <f>IF($C244&lt;=Entradas!$E$124,"",Observaciones!H244)</f>
        <v>0.26469379560256001</v>
      </c>
      <c r="E244" s="110">
        <f>IF($C244&lt;=Entradas!$E$124,"",LíneaBase!L245)</f>
        <v>0.23514065434181072</v>
      </c>
      <c r="F244" s="79">
        <f>IF($C244&lt;=Entradas!$E$124,"",D244-E244)</f>
        <v>2.9553141260749288E-2</v>
      </c>
      <c r="G244" s="79">
        <f>IF($C244&lt;=Entradas!$E$124,"",D244-AVERAGE(D:D))</f>
        <v>-0.64140488659091821</v>
      </c>
      <c r="H244" s="79">
        <f>IF($C244&lt;=Entradas!$E$124,"",F244^2)</f>
        <v>8.7338815837780198E-4</v>
      </c>
      <c r="I244" s="79">
        <f>IF($C244&lt;=Entradas!$E$124,"",G244^2)</f>
        <v>0.41140022854270863</v>
      </c>
      <c r="J244" s="79">
        <f>IF($C244&lt;=Entradas!$E$124,"",E244-AVERAGE(E:E))</f>
        <v>-0.66044020945530713</v>
      </c>
      <c r="K244" s="79">
        <f>IF($C244&lt;=Entradas!$E$124,"",J244^2)</f>
        <v>0.43618127026536996</v>
      </c>
      <c r="L244" s="79">
        <f>IF($C244&lt;=Entradas!$E$124,"",G244*J244)</f>
        <v>0.42360957764576351</v>
      </c>
      <c r="M244" s="40"/>
    </row>
    <row r="245" spans="2:13">
      <c r="B245" s="39"/>
      <c r="C245" s="75">
        <v>240</v>
      </c>
      <c r="D245" s="110">
        <f>IF($C245&lt;=Entradas!$E$124,"",Observaciones!H245)</f>
        <v>0.26208570378810392</v>
      </c>
      <c r="E245" s="110">
        <f>IF($C245&lt;=Entradas!$E$124,"",LíneaBase!L246)</f>
        <v>0.23282375669552649</v>
      </c>
      <c r="F245" s="79">
        <f>IF($C245&lt;=Entradas!$E$124,"",D245-E245)</f>
        <v>2.9261947092577428E-2</v>
      </c>
      <c r="G245" s="79">
        <f>IF($C245&lt;=Entradas!$E$124,"",D245-AVERAGE(D:D))</f>
        <v>-0.6440129784053743</v>
      </c>
      <c r="H245" s="79">
        <f>IF($C245&lt;=Entradas!$E$124,"",F245^2)</f>
        <v>8.5626154764880064E-4</v>
      </c>
      <c r="I245" s="79">
        <f>IF($C245&lt;=Entradas!$E$124,"",G245^2)</f>
        <v>0.41475271635456112</v>
      </c>
      <c r="J245" s="79">
        <f>IF($C245&lt;=Entradas!$E$124,"",E245-AVERAGE(E:E))</f>
        <v>-0.66275710710159141</v>
      </c>
      <c r="K245" s="79">
        <f>IF($C245&lt;=Entradas!$E$124,"",J245^2)</f>
        <v>0.43924698301367032</v>
      </c>
      <c r="L245" s="79">
        <f>IF($C245&lt;=Entradas!$E$124,"",G245*J245)</f>
        <v>0.42682417850382554</v>
      </c>
      <c r="M245" s="40"/>
    </row>
    <row r="246" spans="2:13">
      <c r="B246" s="39"/>
      <c r="C246" s="75">
        <v>241</v>
      </c>
      <c r="D246" s="110">
        <f>IF($C246&lt;=Entradas!$E$124,"",Observaciones!H246)</f>
        <v>0.25950331079177474</v>
      </c>
      <c r="E246" s="110">
        <f>IF($C246&lt;=Entradas!$E$124,"",LíneaBase!L247)</f>
        <v>0.23052968863825254</v>
      </c>
      <c r="F246" s="79">
        <f>IF($C246&lt;=Entradas!$E$124,"",D246-E246)</f>
        <v>2.8973622153522199E-2</v>
      </c>
      <c r="G246" s="79">
        <f>IF($C246&lt;=Entradas!$E$124,"",D246-AVERAGE(D:D))</f>
        <v>-0.64659537140170342</v>
      </c>
      <c r="H246" s="79">
        <f>IF($C246&lt;=Entradas!$E$124,"",F246^2)</f>
        <v>8.3947078069507232E-4</v>
      </c>
      <c r="I246" s="79">
        <f>IF($C246&lt;=Entradas!$E$124,"",G246^2)</f>
        <v>0.41808557431810678</v>
      </c>
      <c r="J246" s="79">
        <f>IF($C246&lt;=Entradas!$E$124,"",E246-AVERAGE(E:E))</f>
        <v>-0.66505117515886536</v>
      </c>
      <c r="K246" s="79">
        <f>IF($C246&lt;=Entradas!$E$124,"",J246^2)</f>
        <v>0.44229306558018783</v>
      </c>
      <c r="L246" s="79">
        <f>IF($C246&lt;=Entradas!$E$124,"",G246*J246)</f>
        <v>0.43001901160298589</v>
      </c>
      <c r="M246" s="40"/>
    </row>
    <row r="247" spans="2:13">
      <c r="B247" s="39"/>
      <c r="C247" s="75">
        <v>242</v>
      </c>
      <c r="D247" s="110">
        <f>IF($C247&lt;=Entradas!$E$124,"",Observaciones!H247)</f>
        <v>0.25694636283960831</v>
      </c>
      <c r="E247" s="110">
        <f>IF($C247&lt;=Entradas!$E$124,"",LíneaBase!L248)</f>
        <v>0.22825822468692375</v>
      </c>
      <c r="F247" s="79">
        <f>IF($C247&lt;=Entradas!$E$124,"",D247-E247)</f>
        <v>2.8688138152684561E-2</v>
      </c>
      <c r="G247" s="79">
        <f>IF($C247&lt;=Entradas!$E$124,"",D247-AVERAGE(D:D))</f>
        <v>-0.64915231935386997</v>
      </c>
      <c r="H247" s="79">
        <f>IF($C247&lt;=Entradas!$E$124,"",F247^2)</f>
        <v>8.2300927066751551E-4</v>
      </c>
      <c r="I247" s="79">
        <f>IF($C247&lt;=Entradas!$E$124,"",G247^2)</f>
        <v>0.4213987337225088</v>
      </c>
      <c r="J247" s="79">
        <f>IF($C247&lt;=Entradas!$E$124,"",E247-AVERAGE(E:E))</f>
        <v>-0.66732263911019407</v>
      </c>
      <c r="K247" s="79">
        <f>IF($C247&lt;=Entradas!$E$124,"",J247^2)</f>
        <v>0.44531950466899434</v>
      </c>
      <c r="L247" s="79">
        <f>IF($C247&lt;=Entradas!$E$124,"",G247*J247)</f>
        <v>0.433194038935728</v>
      </c>
      <c r="M247" s="40"/>
    </row>
    <row r="248" spans="2:13">
      <c r="B248" s="39"/>
      <c r="C248" s="75">
        <v>243</v>
      </c>
      <c r="D248" s="110">
        <f>IF($C248&lt;=Entradas!$E$124,"",Observaciones!H248)</f>
        <v>0.25441460912303321</v>
      </c>
      <c r="E248" s="110">
        <f>IF($C248&lt;=Entradas!$E$124,"",LíneaBase!L249)</f>
        <v>0.22600914202867867</v>
      </c>
      <c r="F248" s="79">
        <f>IF($C248&lt;=Entradas!$E$124,"",D248-E248)</f>
        <v>2.8405467094354542E-2</v>
      </c>
      <c r="G248" s="79">
        <f>IF($C248&lt;=Entradas!$E$124,"",D248-AVERAGE(D:D))</f>
        <v>-0.65168407307044496</v>
      </c>
      <c r="H248" s="79">
        <f>IF($C248&lt;=Entradas!$E$124,"",F248^2)</f>
        <v>8.0687056084845861E-4</v>
      </c>
      <c r="I248" s="79">
        <f>IF($C248&lt;=Entradas!$E$124,"",G248^2)</f>
        <v>0.42469213109368503</v>
      </c>
      <c r="J248" s="79">
        <f>IF($C248&lt;=Entradas!$E$124,"",E248-AVERAGE(E:E))</f>
        <v>-0.66957172176843915</v>
      </c>
      <c r="K248" s="79">
        <f>IF($C248&lt;=Entradas!$E$124,"",J248^2)</f>
        <v>0.44832629059195211</v>
      </c>
      <c r="L248" s="79">
        <f>IF($C248&lt;=Entradas!$E$124,"",G248*J248)</f>
        <v>0.43634922685484712</v>
      </c>
      <c r="M248" s="40"/>
    </row>
    <row r="249" spans="2:13">
      <c r="B249" s="39"/>
      <c r="C249" s="75">
        <v>244</v>
      </c>
      <c r="D249" s="110">
        <f>IF($C249&lt;=Entradas!$E$124,"",Observaciones!H249)</f>
        <v>0.25190780138189772</v>
      </c>
      <c r="E249" s="110">
        <f>IF($C249&lt;=Entradas!$E$124,"",LíneaBase!L250)</f>
        <v>0.2237822201205005</v>
      </c>
      <c r="F249" s="79">
        <f>IF($C249&lt;=Entradas!$E$124,"",D249-E249)</f>
        <v>2.812558126139722E-2</v>
      </c>
      <c r="G249" s="79">
        <f>IF($C249&lt;=Entradas!$E$124,"",D249-AVERAGE(D:D))</f>
        <v>-0.6541908808115805</v>
      </c>
      <c r="H249" s="79">
        <f>IF($C249&lt;=Entradas!$E$124,"",F249^2)</f>
        <v>7.9104832129145842E-4</v>
      </c>
      <c r="I249" s="79">
        <f>IF($C249&lt;=Entradas!$E$124,"",G249^2)</f>
        <v>0.42796570853703153</v>
      </c>
      <c r="J249" s="79">
        <f>IF($C249&lt;=Entradas!$E$124,"",E249-AVERAGE(E:E))</f>
        <v>-0.67179864367661735</v>
      </c>
      <c r="K249" s="79">
        <f>IF($C249&lt;=Entradas!$E$124,"",J249^2)</f>
        <v>0.45131341764574268</v>
      </c>
      <c r="L249" s="79">
        <f>IF($C249&lt;=Entradas!$E$124,"",G249*J249)</f>
        <v>0.43948454643483142</v>
      </c>
      <c r="M249" s="40"/>
    </row>
    <row r="250" spans="2:13">
      <c r="B250" s="39"/>
      <c r="C250" s="75">
        <v>245</v>
      </c>
      <c r="D250" s="110">
        <f>IF($C250&lt;=Entradas!$E$124,"",Observaciones!H250)</f>
        <v>0.24942569381501734</v>
      </c>
      <c r="E250" s="110">
        <f>IF($C250&lt;=Entradas!$E$124,"",LíneaBase!L251)</f>
        <v>0.22157724060478379</v>
      </c>
      <c r="F250" s="79">
        <f>IF($C250&lt;=Entradas!$E$124,"",D250-E250)</f>
        <v>2.7848453210233548E-2</v>
      </c>
      <c r="G250" s="79">
        <f>IF($C250&lt;=Entradas!$E$124,"",D250-AVERAGE(D:D))</f>
        <v>-0.65667298837846089</v>
      </c>
      <c r="H250" s="79">
        <f>IF($C250&lt;=Entradas!$E$124,"",F250^2)</f>
        <v>7.7553634620256722E-4</v>
      </c>
      <c r="I250" s="79">
        <f>IF($C250&lt;=Entradas!$E$124,"",G250^2)</f>
        <v>0.43121941366589822</v>
      </c>
      <c r="J250" s="79">
        <f>IF($C250&lt;=Entradas!$E$124,"",E250-AVERAGE(E:E))</f>
        <v>-0.67400362319233409</v>
      </c>
      <c r="K250" s="79">
        <f>IF($C250&lt;=Entradas!$E$124,"",J250^2)</f>
        <v>0.45428088407639389</v>
      </c>
      <c r="L250" s="79">
        <f>IF($C250&lt;=Entradas!$E$124,"",G250*J250)</f>
        <v>0.44259997341962015</v>
      </c>
      <c r="M250" s="40"/>
    </row>
    <row r="251" spans="2:13">
      <c r="B251" s="39"/>
      <c r="C251" s="75">
        <v>246</v>
      </c>
      <c r="D251" s="110">
        <f>IF($C251&lt;=Entradas!$E$124,"",Observaciones!H251)</f>
        <v>0.24696804304526951</v>
      </c>
      <c r="E251" s="110">
        <f>IF($C251&lt;=Entradas!$E$124,"",LíneaBase!L252)</f>
        <v>0.21939398727750178</v>
      </c>
      <c r="F251" s="79">
        <f>IF($C251&lt;=Entradas!$E$124,"",D251-E251)</f>
        <v>2.7574055767767724E-2</v>
      </c>
      <c r="G251" s="79">
        <f>IF($C251&lt;=Entradas!$E$124,"",D251-AVERAGE(D:D))</f>
        <v>-0.65913063914820869</v>
      </c>
      <c r="H251" s="79">
        <f>IF($C251&lt;=Entradas!$E$124,"",F251^2)</f>
        <v>7.6032855148396451E-4</v>
      </c>
      <c r="I251" s="79">
        <f>IF($C251&lt;=Entradas!$E$124,"",G251^2)</f>
        <v>0.43445319946392608</v>
      </c>
      <c r="J251" s="79">
        <f>IF($C251&lt;=Entradas!$E$124,"",E251-AVERAGE(E:E))</f>
        <v>-0.67618687651961606</v>
      </c>
      <c r="K251" s="79">
        <f>IF($C251&lt;=Entradas!$E$124,"",J251^2)</f>
        <v>0.4572286919773545</v>
      </c>
      <c r="L251" s="79">
        <f>IF($C251&lt;=Entradas!$E$124,"",G251*J251)</f>
        <v>0.44569548810400539</v>
      </c>
      <c r="M251" s="40"/>
    </row>
    <row r="252" spans="2:13">
      <c r="B252" s="39"/>
      <c r="C252" s="75">
        <v>247</v>
      </c>
      <c r="D252" s="110">
        <f>IF($C252&lt;=Entradas!$E$124,"",Observaciones!H252)</f>
        <v>0.24453460809393668</v>
      </c>
      <c r="E252" s="110">
        <f>IF($C252&lt;=Entradas!$E$124,"",LíneaBase!L253)</f>
        <v>0.21723224606527733</v>
      </c>
      <c r="F252" s="79">
        <f>IF($C252&lt;=Entradas!$E$124,"",D252-E252)</f>
        <v>2.7302362028659349E-2</v>
      </c>
      <c r="G252" s="79">
        <f>IF($C252&lt;=Entradas!$E$124,"",D252-AVERAGE(D:D))</f>
        <v>-0.66156407409954154</v>
      </c>
      <c r="H252" s="79">
        <f>IF($C252&lt;=Entradas!$E$124,"",F252^2)</f>
        <v>7.4541897234397983E-4</v>
      </c>
      <c r="I252" s="79">
        <f>IF($C252&lt;=Entradas!$E$124,"",G252^2)</f>
        <v>0.43766702413918368</v>
      </c>
      <c r="J252" s="79">
        <f>IF($C252&lt;=Entradas!$E$124,"",E252-AVERAGE(E:E))</f>
        <v>-0.67834861773184052</v>
      </c>
      <c r="K252" s="79">
        <f>IF($C252&lt;=Entradas!$E$124,"",J252^2)</f>
        <v>0.4601568471786987</v>
      </c>
      <c r="L252" s="79">
        <f>IF($C252&lt;=Entradas!$E$124,"",G252*J252)</f>
        <v>0.44877107520646892</v>
      </c>
      <c r="M252" s="40"/>
    </row>
    <row r="253" spans="2:13">
      <c r="B253" s="39"/>
      <c r="C253" s="75">
        <v>248</v>
      </c>
      <c r="D253" s="110">
        <f>IF($C253&lt;=Entradas!$E$124,"",Observaciones!H253)</f>
        <v>0.24212515035678067</v>
      </c>
      <c r="E253" s="110">
        <f>IF($C253&lt;=Entradas!$E$124,"",LíneaBase!L254)</f>
        <v>0.21509180500410577</v>
      </c>
      <c r="F253" s="79">
        <f>IF($C253&lt;=Entradas!$E$124,"",D253-E253)</f>
        <v>2.7033345352674903E-2</v>
      </c>
      <c r="G253" s="79">
        <f>IF($C253&lt;=Entradas!$E$124,"",D253-AVERAGE(D:D))</f>
        <v>-0.66397353183669749</v>
      </c>
      <c r="H253" s="79">
        <f>IF($C253&lt;=Entradas!$E$124,"",F253^2)</f>
        <v>7.308017609569898E-4</v>
      </c>
      <c r="I253" s="79">
        <f>IF($C253&lt;=Entradas!$E$124,"",G253^2)</f>
        <v>0.44086085097969796</v>
      </c>
      <c r="J253" s="79">
        <f>IF($C253&lt;=Entradas!$E$124,"",E253-AVERAGE(E:E))</f>
        <v>-0.68048905879301214</v>
      </c>
      <c r="K253" s="79">
        <f>IF($C253&lt;=Entradas!$E$124,"",J253^2)</f>
        <v>0.46306535913699953</v>
      </c>
      <c r="L253" s="79">
        <f>IF($C253&lt;=Entradas!$E$124,"",G253*J253)</f>
        <v>0.45182672374302635</v>
      </c>
      <c r="M253" s="40"/>
    </row>
    <row r="254" spans="2:13">
      <c r="B254" s="39"/>
      <c r="C254" s="75">
        <v>249</v>
      </c>
      <c r="D254" s="110">
        <f>IF($C254&lt;=Entradas!$E$124,"",Observaciones!H254)</f>
        <v>0.23973943358059746</v>
      </c>
      <c r="E254" s="110">
        <f>IF($C254&lt;=Entradas!$E$124,"",LíneaBase!L255)</f>
        <v>0.21297245421852362</v>
      </c>
      <c r="F254" s="79">
        <f>IF($C254&lt;=Entradas!$E$124,"",D254-E254)</f>
        <v>2.6766979362073839E-2</v>
      </c>
      <c r="G254" s="79">
        <f>IF($C254&lt;=Entradas!$E$124,"",D254-AVERAGE(D:D))</f>
        <v>-0.66635924861288076</v>
      </c>
      <c r="H254" s="79">
        <f>IF($C254&lt;=Entradas!$E$124,"",F254^2)</f>
        <v>7.1647118416968687E-4</v>
      </c>
      <c r="I254" s="79">
        <f>IF($C254&lt;=Entradas!$E$124,"",G254^2)</f>
        <v>0.44403464821192301</v>
      </c>
      <c r="J254" s="79">
        <f>IF($C254&lt;=Entradas!$E$124,"",E254-AVERAGE(E:E))</f>
        <v>-0.68260840957859426</v>
      </c>
      <c r="K254" s="79">
        <f>IF($C254&lt;=Entradas!$E$124,"",J254^2)</f>
        <v>0.46595424082741788</v>
      </c>
      <c r="L254" s="79">
        <f>IF($C254&lt;=Entradas!$E$124,"",G254*J254)</f>
        <v>0.45486242690362561</v>
      </c>
      <c r="M254" s="40"/>
    </row>
    <row r="255" spans="2:13">
      <c r="B255" s="39"/>
      <c r="C255" s="75">
        <v>250</v>
      </c>
      <c r="D255" s="110">
        <f>IF($C255&lt;=Entradas!$E$124,"",Observaciones!H255)</f>
        <v>0.23737722384004351</v>
      </c>
      <c r="E255" s="110">
        <f>IF($C255&lt;=Entradas!$E$124,"",LíneaBase!L256)</f>
        <v>0.21087398590102191</v>
      </c>
      <c r="F255" s="79">
        <f>IF($C255&lt;=Entradas!$E$124,"",D255-E255)</f>
        <v>2.6503237939021596E-2</v>
      </c>
      <c r="G255" s="79">
        <f>IF($C255&lt;=Entradas!$E$124,"",D255-AVERAGE(D:D))</f>
        <v>-0.66872145835343466</v>
      </c>
      <c r="H255" s="79">
        <f>IF($C255&lt;=Entradas!$E$124,"",F255^2)</f>
        <v>7.0242162125239366E-4</v>
      </c>
      <c r="I255" s="79">
        <f>IF($C255&lt;=Entradas!$E$124,"",G255^2)</f>
        <v>0.44718838886234447</v>
      </c>
      <c r="J255" s="79">
        <f>IF($C255&lt;=Entradas!$E$124,"",E255-AVERAGE(E:E))</f>
        <v>-0.68470687789609597</v>
      </c>
      <c r="K255" s="79">
        <f>IF($C255&lt;=Entradas!$E$124,"",J255^2)</f>
        <v>0.46882350863821926</v>
      </c>
      <c r="L255" s="79">
        <f>IF($C255&lt;=Entradas!$E$124,"",G255*J255)</f>
        <v>0.45787818193130442</v>
      </c>
      <c r="M255" s="40"/>
    </row>
    <row r="256" spans="2:13">
      <c r="B256" s="39"/>
      <c r="C256" s="75">
        <v>251</v>
      </c>
      <c r="D256" s="110">
        <f>IF($C256&lt;=Entradas!$E$124,"",Observaciones!H256)</f>
        <v>0.23503828951469777</v>
      </c>
      <c r="E256" s="110">
        <f>IF($C256&lt;=Entradas!$E$124,"",LíneaBase!L257)</f>
        <v>0.20879619429166885</v>
      </c>
      <c r="F256" s="79">
        <f>IF($C256&lt;=Entradas!$E$124,"",D256-E256)</f>
        <v>2.6242095223028922E-2</v>
      </c>
      <c r="G256" s="79">
        <f>IF($C256&lt;=Entradas!$E$124,"",D256-AVERAGE(D:D))</f>
        <v>-0.67106039267878048</v>
      </c>
      <c r="H256" s="79">
        <f>IF($C256&lt;=Entradas!$E$124,"",F256^2)</f>
        <v>6.8864756169451731E-4</v>
      </c>
      <c r="I256" s="79">
        <f>IF($C256&lt;=Entradas!$E$124,"",G256^2)</f>
        <v>0.45032205062219904</v>
      </c>
      <c r="J256" s="79">
        <f>IF($C256&lt;=Entradas!$E$124,"",E256-AVERAGE(E:E))</f>
        <v>-0.68678466950544903</v>
      </c>
      <c r="K256" s="79">
        <f>IF($C256&lt;=Entradas!$E$124,"",J256^2)</f>
        <v>0.47167318226770882</v>
      </c>
      <c r="L256" s="79">
        <f>IF($C256&lt;=Entradas!$E$124,"",G256*J256)</f>
        <v>0.46087399000409313</v>
      </c>
      <c r="M256" s="40"/>
    </row>
    <row r="257" spans="2:13">
      <c r="B257" s="39"/>
      <c r="C257" s="75">
        <v>252</v>
      </c>
      <c r="D257" s="110">
        <f>IF($C257&lt;=Entradas!$E$124,"",Observaciones!H257)</f>
        <v>0.23272240126635049</v>
      </c>
      <c r="E257" s="110">
        <f>IF($C257&lt;=Entradas!$E$124,"",LíneaBase!L258)</f>
        <v>0.20673887565793417</v>
      </c>
      <c r="F257" s="79">
        <f>IF($C257&lt;=Entradas!$E$124,"",D257-E257)</f>
        <v>2.5983525608416325E-2</v>
      </c>
      <c r="G257" s="79">
        <f>IF($C257&lt;=Entradas!$E$124,"",D257-AVERAGE(D:D))</f>
        <v>-0.67337628092712776</v>
      </c>
      <c r="H257" s="79">
        <f>IF($C257&lt;=Entradas!$E$124,"",F257^2)</f>
        <v>6.7514360304322691E-4</v>
      </c>
      <c r="I257" s="79">
        <f>IF($C257&lt;=Entradas!$E$124,"",G257^2)</f>
        <v>0.4534356157152501</v>
      </c>
      <c r="J257" s="79">
        <f>IF($C257&lt;=Entradas!$E$124,"",E257-AVERAGE(E:E))</f>
        <v>-0.68884198813918374</v>
      </c>
      <c r="K257" s="79">
        <f>IF($C257&lt;=Entradas!$E$124,"",J257^2)</f>
        <v>0.47450328462354335</v>
      </c>
      <c r="L257" s="79">
        <f>IF($C257&lt;=Entradas!$E$124,"",G257*J257)</f>
        <v>0.46384985611961221</v>
      </c>
      <c r="M257" s="40"/>
    </row>
    <row r="258" spans="2:13">
      <c r="B258" s="39"/>
      <c r="C258" s="75">
        <v>253</v>
      </c>
      <c r="D258" s="110">
        <f>IF($C258&lt;=Entradas!$E$124,"",Observaciones!H258)</f>
        <v>0.23042933201651578</v>
      </c>
      <c r="E258" s="110">
        <f>IF($C258&lt;=Entradas!$E$124,"",LíneaBase!L259)</f>
        <v>0.20470182827471275</v>
      </c>
      <c r="F258" s="79">
        <f>IF($C258&lt;=Entradas!$E$124,"",D258-E258)</f>
        <v>2.5727503741803021E-2</v>
      </c>
      <c r="G258" s="79">
        <f>IF($C258&lt;=Entradas!$E$124,"",D258-AVERAGE(D:D))</f>
        <v>-0.67566935017696239</v>
      </c>
      <c r="H258" s="79">
        <f>IF($C258&lt;=Entradas!$E$124,"",F258^2)</f>
        <v>6.6190444878448846E-4</v>
      </c>
      <c r="I258" s="79">
        <f>IF($C258&lt;=Entradas!$E$124,"",G258^2)</f>
        <v>0.45652907076855864</v>
      </c>
      <c r="J258" s="79">
        <f>IF($C258&lt;=Entradas!$E$124,"",E258-AVERAGE(E:E))</f>
        <v>-0.69087903552240515</v>
      </c>
      <c r="K258" s="79">
        <f>IF($C258&lt;=Entradas!$E$124,"",J258^2)</f>
        <v>0.47731384172436875</v>
      </c>
      <c r="L258" s="79">
        <f>IF($C258&lt;=Entradas!$E$124,"",G258*J258)</f>
        <v>0.46680578898231001</v>
      </c>
      <c r="M258" s="40"/>
    </row>
    <row r="259" spans="2:13">
      <c r="B259" s="39"/>
      <c r="C259" s="75">
        <v>254</v>
      </c>
      <c r="D259" s="110">
        <f>IF($C259&lt;=Entradas!$E$124,"",Observaciones!H259)</f>
        <v>0.22815885692416618</v>
      </c>
      <c r="E259" s="110">
        <f>IF($C259&lt;=Entradas!$E$124,"",LíneaBase!L260)</f>
        <v>0.20268485240454515</v>
      </c>
      <c r="F259" s="79">
        <f>IF($C259&lt;=Entradas!$E$124,"",D259-E259)</f>
        <v>2.5474004519621035E-2</v>
      </c>
      <c r="G259" s="79">
        <f>IF($C259&lt;=Entradas!$E$124,"",D259-AVERAGE(D:D))</f>
        <v>-0.67793982526931207</v>
      </c>
      <c r="H259" s="79">
        <f>IF($C259&lt;=Entradas!$E$124,"",F259^2)</f>
        <v>6.4892490626567291E-4</v>
      </c>
      <c r="I259" s="79">
        <f>IF($C259&lt;=Entradas!$E$124,"",G259^2)</f>
        <v>0.45960240668618541</v>
      </c>
      <c r="J259" s="79">
        <f>IF($C259&lt;=Entradas!$E$124,"",E259-AVERAGE(E:E))</f>
        <v>-0.69289601139257273</v>
      </c>
      <c r="K259" s="79">
        <f>IF($C259&lt;=Entradas!$E$124,"",J259^2)</f>
        <v>0.48010488260373629</v>
      </c>
      <c r="L259" s="79">
        <f>IF($C259&lt;=Entradas!$E$124,"",G259*J259)</f>
        <v>0.46974180089328404</v>
      </c>
      <c r="M259" s="40"/>
    </row>
    <row r="260" spans="2:13">
      <c r="B260" s="39"/>
      <c r="C260" s="75">
        <v>255</v>
      </c>
      <c r="D260" s="110">
        <f>IF($C260&lt;=Entradas!$E$124,"",Observaciones!H260)</f>
        <v>0.22591075336368649</v>
      </c>
      <c r="E260" s="110">
        <f>IF($C260&lt;=Entradas!$E$124,"",LíneaBase!L261)</f>
        <v>0.20068775027803246</v>
      </c>
      <c r="F260" s="79">
        <f>IF($C260&lt;=Entradas!$E$124,"",D260-E260)</f>
        <v>2.5223003085654033E-2</v>
      </c>
      <c r="G260" s="79">
        <f>IF($C260&lt;=Entradas!$E$124,"",D260-AVERAGE(D:D))</f>
        <v>-0.68018792882979173</v>
      </c>
      <c r="H260" s="79">
        <f>IF($C260&lt;=Entradas!$E$124,"",F260^2)</f>
        <v>6.3619988465891291E-4</v>
      </c>
      <c r="I260" s="79">
        <f>IF($C260&lt;=Entradas!$E$124,"",G260^2)</f>
        <v>0.46265561852576181</v>
      </c>
      <c r="J260" s="79">
        <f>IF($C260&lt;=Entradas!$E$124,"",E260-AVERAGE(E:E))</f>
        <v>-0.69489311351908545</v>
      </c>
      <c r="K260" s="79">
        <f>IF($C260&lt;=Entradas!$E$124,"",J260^2)</f>
        <v>0.48287643921624857</v>
      </c>
      <c r="L260" s="79">
        <f>IF($C260&lt;=Entradas!$E$124,"",G260*J260)</f>
        <v>0.4726579076426321</v>
      </c>
      <c r="M260" s="40"/>
    </row>
    <row r="261" spans="2:13">
      <c r="B261" s="39"/>
      <c r="C261" s="75">
        <v>256</v>
      </c>
      <c r="D261" s="110">
        <f>IF($C261&lt;=Entradas!$E$124,"",Observaciones!H261)</f>
        <v>0.22368480090304474</v>
      </c>
      <c r="E261" s="110">
        <f>IF($C261&lt;=Entradas!$E$124,"",LíneaBase!L262)</f>
        <v>0.19871032607444497</v>
      </c>
      <c r="F261" s="79">
        <f>IF($C261&lt;=Entradas!$E$124,"",D261-E261)</f>
        <v>2.4974474828599769E-2</v>
      </c>
      <c r="G261" s="79">
        <f>IF($C261&lt;=Entradas!$E$124,"",D261-AVERAGE(D:D))</f>
        <v>-0.68241388129043346</v>
      </c>
      <c r="H261" s="79">
        <f>IF($C261&lt;=Entradas!$E$124,"",F261^2)</f>
        <v>6.2372439296436339E-4</v>
      </c>
      <c r="I261" s="79">
        <f>IF($C261&lt;=Entradas!$E$124,"",G261^2)</f>
        <v>0.46568870537787382</v>
      </c>
      <c r="J261" s="79">
        <f>IF($C261&lt;=Entradas!$E$124,"",E261-AVERAGE(E:E))</f>
        <v>-0.69687053772267293</v>
      </c>
      <c r="K261" s="79">
        <f>IF($C261&lt;=Entradas!$E$124,"",J261^2)</f>
        <v>0.48562854634588731</v>
      </c>
      <c r="L261" s="79">
        <f>IF($C261&lt;=Entradas!$E$124,"",G261*J261)</f>
        <v>0.47555412840428063</v>
      </c>
      <c r="M261" s="40"/>
    </row>
    <row r="262" spans="2:13">
      <c r="B262" s="39"/>
      <c r="C262" s="75">
        <v>257</v>
      </c>
      <c r="D262" s="110">
        <f>IF($C262&lt;=Entradas!$E$124,"",Observaciones!H262)</f>
        <v>0.2214807812821783</v>
      </c>
      <c r="E262" s="110">
        <f>IF($C262&lt;=Entradas!$E$124,"",LíneaBase!L263)</f>
        <v>0.19675238590252114</v>
      </c>
      <c r="F262" s="79">
        <f>IF($C262&lt;=Entradas!$E$124,"",D262-E262)</f>
        <v>2.4728395379657153E-2</v>
      </c>
      <c r="G262" s="79">
        <f>IF($C262&lt;=Entradas!$E$124,"",D262-AVERAGE(D:D))</f>
        <v>-0.68461790091129993</v>
      </c>
      <c r="H262" s="79">
        <f>IF($C262&lt;=Entradas!$E$124,"",F262^2)</f>
        <v>6.1149353805264926E-4</v>
      </c>
      <c r="I262" s="79">
        <f>IF($C262&lt;=Entradas!$E$124,"",G262^2)</f>
        <v>0.46870167024819448</v>
      </c>
      <c r="J262" s="79">
        <f>IF($C262&lt;=Entradas!$E$124,"",E262-AVERAGE(E:E))</f>
        <v>-0.69882847789459679</v>
      </c>
      <c r="K262" s="79">
        <f>IF($C262&lt;=Entradas!$E$124,"",J262^2)</f>
        <v>0.48836124151647897</v>
      </c>
      <c r="L262" s="79">
        <f>IF($C262&lt;=Entradas!$E$124,"",G262*J262)</f>
        <v>0.47843048563323759</v>
      </c>
      <c r="M262" s="40"/>
    </row>
    <row r="263" spans="2:13">
      <c r="B263" s="39"/>
      <c r="C263" s="75">
        <v>258</v>
      </c>
      <c r="D263" s="110">
        <f>IF($C263&lt;=Entradas!$E$124,"",Observaciones!H263)</f>
        <v>0.22270484549910824</v>
      </c>
      <c r="E263" s="110">
        <f>IF($C263&lt;=Entradas!$E$124,"",LíneaBase!L264)</f>
        <v>0.19822010488897174</v>
      </c>
      <c r="F263" s="79">
        <f>IF($C263&lt;=Entradas!$E$124,"",D263-E263)</f>
        <v>2.4484740610136502E-2</v>
      </c>
      <c r="G263" s="79">
        <f>IF($C263&lt;=Entradas!$E$124,"",D263-AVERAGE(D:D))</f>
        <v>-0.68339383669436993</v>
      </c>
      <c r="H263" s="79">
        <f>IF($C263&lt;=Entradas!$E$124,"",F263^2)</f>
        <v>5.9950252274566763E-4</v>
      </c>
      <c r="I263" s="79">
        <f>IF($C263&lt;=Entradas!$E$124,"",G263^2)</f>
        <v>0.46702713603185114</v>
      </c>
      <c r="J263" s="79">
        <f>IF($C263&lt;=Entradas!$E$124,"",E263-AVERAGE(E:E))</f>
        <v>-0.69736075890814608</v>
      </c>
      <c r="K263" s="79">
        <f>IF($C263&lt;=Entradas!$E$124,"",J263^2)</f>
        <v>0.48631202806494545</v>
      </c>
      <c r="L263" s="79">
        <f>IF($C263&lt;=Entradas!$E$124,"",G263*J263)</f>
        <v>0.47657204459033548</v>
      </c>
      <c r="M263" s="40"/>
    </row>
    <row r="264" spans="2:13">
      <c r="B264" s="39"/>
      <c r="C264" s="75">
        <v>259</v>
      </c>
      <c r="D264" s="110">
        <f>IF($C264&lt;=Entradas!$E$124,"",Observaciones!H264)</f>
        <v>0.21770291830396379</v>
      </c>
      <c r="E264" s="110">
        <f>IF($C264&lt;=Entradas!$E$124,"",LíneaBase!L265)</f>
        <v>0.19345943167486976</v>
      </c>
      <c r="F264" s="79">
        <f>IF($C264&lt;=Entradas!$E$124,"",D264-E264)</f>
        <v>2.4243486629094035E-2</v>
      </c>
      <c r="G264" s="79">
        <f>IF($C264&lt;=Entradas!$E$124,"",D264-AVERAGE(D:D))</f>
        <v>-0.6883957638895144</v>
      </c>
      <c r="H264" s="79">
        <f>IF($C264&lt;=Entradas!$E$124,"",F264^2)</f>
        <v>5.877466439350613E-4</v>
      </c>
      <c r="I264" s="79">
        <f>IF($C264&lt;=Entradas!$E$124,"",G264^2)</f>
        <v>0.47388872774102808</v>
      </c>
      <c r="J264" s="79">
        <f>IF($C264&lt;=Entradas!$E$124,"",E264-AVERAGE(E:E))</f>
        <v>-0.70212143212224809</v>
      </c>
      <c r="K264" s="79">
        <f>IF($C264&lt;=Entradas!$E$124,"",J264^2)</f>
        <v>0.49297450544539662</v>
      </c>
      <c r="L264" s="79">
        <f>IF($C264&lt;=Entradas!$E$124,"",G264*J264)</f>
        <v>0.48333741960899479</v>
      </c>
      <c r="M264" s="40"/>
    </row>
    <row r="265" spans="2:13">
      <c r="B265" s="39"/>
      <c r="C265" s="75">
        <v>260</v>
      </c>
      <c r="D265" s="110">
        <f>IF($C265&lt;=Entradas!$E$124,"",Observaciones!H265)</f>
        <v>0.21509196284851936</v>
      </c>
      <c r="E265" s="110">
        <f>IF($C265&lt;=Entradas!$E$124,"",LíneaBase!L266)</f>
        <v>0.19108735306753055</v>
      </c>
      <c r="F265" s="79">
        <f>IF($C265&lt;=Entradas!$E$124,"",D265-E265)</f>
        <v>2.4004609780988811E-2</v>
      </c>
      <c r="G265" s="79">
        <f>IF($C265&lt;=Entradas!$E$124,"",D265-AVERAGE(D:D))</f>
        <v>-0.69100671934495883</v>
      </c>
      <c r="H265" s="79">
        <f>IF($C265&lt;=Entradas!$E$124,"",F265^2)</f>
        <v>5.7622129073754377E-4</v>
      </c>
      <c r="I265" s="79">
        <f>IF($C265&lt;=Entradas!$E$124,"",G265^2)</f>
        <v>0.47749028617988271</v>
      </c>
      <c r="J265" s="79">
        <f>IF($C265&lt;=Entradas!$E$124,"",E265-AVERAGE(E:E))</f>
        <v>-0.70449351072958732</v>
      </c>
      <c r="K265" s="79">
        <f>IF($C265&lt;=Entradas!$E$124,"",J265^2)</f>
        <v>0.49631110666009914</v>
      </c>
      <c r="L265" s="79">
        <f>IF($C265&lt;=Entradas!$E$124,"",G265*J265)</f>
        <v>0.4868097496490647</v>
      </c>
      <c r="M265" s="40"/>
    </row>
    <row r="266" spans="2:13">
      <c r="B266" s="39"/>
      <c r="C266" s="75">
        <v>261</v>
      </c>
      <c r="D266" s="110">
        <f>IF($C266&lt;=Entradas!$E$124,"",Observaciones!H266)</f>
        <v>0.21289530463026463</v>
      </c>
      <c r="E266" s="110">
        <f>IF($C266&lt;=Entradas!$E$124,"",LíneaBase!L267)</f>
        <v>0.18912721798690046</v>
      </c>
      <c r="F266" s="79">
        <f>IF($C266&lt;=Entradas!$E$124,"",D266-E266)</f>
        <v>2.3768086643364161E-2</v>
      </c>
      <c r="G266" s="79">
        <f>IF($C266&lt;=Entradas!$E$124,"",D266-AVERAGE(D:D))</f>
        <v>-0.6932033775632136</v>
      </c>
      <c r="H266" s="79">
        <f>IF($C266&lt;=Entradas!$E$124,"",F266^2)</f>
        <v>5.649219426864658E-4</v>
      </c>
      <c r="I266" s="79">
        <f>IF($C266&lt;=Entradas!$E$124,"",G266^2)</f>
        <v>0.48053092266504727</v>
      </c>
      <c r="J266" s="79">
        <f>IF($C266&lt;=Entradas!$E$124,"",E266-AVERAGE(E:E))</f>
        <v>-0.70645364581021741</v>
      </c>
      <c r="K266" s="79">
        <f>IF($C266&lt;=Entradas!$E$124,"",J266^2)</f>
        <v>0.49907675367854809</v>
      </c>
      <c r="L266" s="79">
        <f>IF($C266&lt;=Entradas!$E$124,"",G266*J266)</f>
        <v>0.48971605336748891</v>
      </c>
      <c r="M266" s="40"/>
    </row>
    <row r="267" spans="2:13">
      <c r="B267" s="39"/>
      <c r="C267" s="75">
        <v>262</v>
      </c>
      <c r="D267" s="110">
        <f>IF($C267&lt;=Entradas!$E$124,"",Observaciones!H267)</f>
        <v>0.21078476863253254</v>
      </c>
      <c r="E267" s="110">
        <f>IF($C267&lt;=Entradas!$E$124,"",LíneaBase!L268)</f>
        <v>0.1872508746079827</v>
      </c>
      <c r="F267" s="79">
        <f>IF($C267&lt;=Entradas!$E$124,"",D267-E267)</f>
        <v>2.3533894024549834E-2</v>
      </c>
      <c r="G267" s="79">
        <f>IF($C267&lt;=Entradas!$E$124,"",D267-AVERAGE(D:D))</f>
        <v>-0.69531391356094563</v>
      </c>
      <c r="H267" s="79">
        <f>IF($C267&lt;=Entradas!$E$124,"",F267^2)</f>
        <v>5.5384416795874235E-4</v>
      </c>
      <c r="I267" s="79">
        <f>IF($C267&lt;=Entradas!$E$124,"",G267^2)</f>
        <v>0.48346143839143818</v>
      </c>
      <c r="J267" s="79">
        <f>IF($C267&lt;=Entradas!$E$124,"",E267-AVERAGE(E:E))</f>
        <v>-0.70832998918913515</v>
      </c>
      <c r="K267" s="79">
        <f>IF($C267&lt;=Entradas!$E$124,"",J267^2)</f>
        <v>0.50173137358468034</v>
      </c>
      <c r="L267" s="79">
        <f>IF($C267&lt;=Entradas!$E$124,"",G267*J267)</f>
        <v>0.49251169687567986</v>
      </c>
      <c r="M267" s="40"/>
    </row>
    <row r="268" spans="2:13">
      <c r="B268" s="39"/>
      <c r="C268" s="75">
        <v>263</v>
      </c>
      <c r="D268" s="110">
        <f>IF($C268&lt;=Entradas!$E$124,"",Observaciones!H268)</f>
        <v>0.20870572749525815</v>
      </c>
      <c r="E268" s="110">
        <f>IF($C268&lt;=Entradas!$E$124,"",LíneaBase!L269)</f>
        <v>0.18540371853386914</v>
      </c>
      <c r="F268" s="79">
        <f>IF($C268&lt;=Entradas!$E$124,"",D268-E268)</f>
        <v>2.3302008961389009E-2</v>
      </c>
      <c r="G268" s="79">
        <f>IF($C268&lt;=Entradas!$E$124,"",D268-AVERAGE(D:D))</f>
        <v>-0.69739295469822005</v>
      </c>
      <c r="H268" s="79">
        <f>IF($C268&lt;=Entradas!$E$124,"",F268^2)</f>
        <v>5.4298362163665364E-4</v>
      </c>
      <c r="I268" s="79">
        <f>IF($C268&lt;=Entradas!$E$124,"",G268^2)</f>
        <v>0.48635693326271362</v>
      </c>
      <c r="J268" s="79">
        <f>IF($C268&lt;=Entradas!$E$124,"",E268-AVERAGE(E:E))</f>
        <v>-0.71017714526324871</v>
      </c>
      <c r="K268" s="79">
        <f>IF($C268&lt;=Entradas!$E$124,"",J268^2)</f>
        <v>0.50435157765425742</v>
      </c>
      <c r="L268" s="79">
        <f>IF($C268&lt;=Entradas!$E$124,"",G268*J268)</f>
        <v>0.49527253769428403</v>
      </c>
      <c r="M268" s="40"/>
    </row>
    <row r="269" spans="2:13">
      <c r="B269" s="39"/>
      <c r="C269" s="75">
        <v>264</v>
      </c>
      <c r="D269" s="110">
        <f>IF($C269&lt;=Entradas!$E$124,"",Observaciones!H269)</f>
        <v>0.20664894703919839</v>
      </c>
      <c r="E269" s="110">
        <f>IF($C269&lt;=Entradas!$E$124,"",LíneaBase!L270)</f>
        <v>0.18357653832221194</v>
      </c>
      <c r="F269" s="79">
        <f>IF($C269&lt;=Entradas!$E$124,"",D269-E269)</f>
        <v>2.3072408716986459E-2</v>
      </c>
      <c r="G269" s="79">
        <f>IF($C269&lt;=Entradas!$E$124,"",D269-AVERAGE(D:D))</f>
        <v>-0.69944973515427988</v>
      </c>
      <c r="H269" s="79">
        <f>IF($C269&lt;=Entradas!$E$124,"",F269^2)</f>
        <v>5.3233604400367278E-4</v>
      </c>
      <c r="I269" s="79">
        <f>IF($C269&lt;=Entradas!$E$124,"",G269^2)</f>
        <v>0.48922993200739229</v>
      </c>
      <c r="J269" s="79">
        <f>IF($C269&lt;=Entradas!$E$124,"",E269-AVERAGE(E:E))</f>
        <v>-0.712004325474906</v>
      </c>
      <c r="K269" s="79">
        <f>IF($C269&lt;=Entradas!$E$124,"",J269^2)</f>
        <v>0.5069501594949759</v>
      </c>
      <c r="L269" s="79">
        <f>IF($C269&lt;=Entradas!$E$124,"",G269*J269)</f>
        <v>0.49801123688212467</v>
      </c>
      <c r="M269" s="40"/>
    </row>
    <row r="270" spans="2:13">
      <c r="B270" s="39"/>
      <c r="C270" s="75">
        <v>265</v>
      </c>
      <c r="D270" s="110">
        <f>IF($C270&lt;=Entradas!$E$124,"",Observaciones!H270)</f>
        <v>0.204612727133172</v>
      </c>
      <c r="E270" s="110">
        <f>IF($C270&lt;=Entradas!$E$124,"",LíneaBase!L271)</f>
        <v>0.18176765635469372</v>
      </c>
      <c r="F270" s="79">
        <f>IF($C270&lt;=Entradas!$E$124,"",D270-E270)</f>
        <v>2.2845070778478277E-2</v>
      </c>
      <c r="G270" s="79">
        <f>IF($C270&lt;=Entradas!$E$124,"",D270-AVERAGE(D:D))</f>
        <v>-0.7014859550603062</v>
      </c>
      <c r="H270" s="79">
        <f>IF($C270&lt;=Entradas!$E$124,"",F270^2)</f>
        <v>5.2189725887368205E-4</v>
      </c>
      <c r="I270" s="79">
        <f>IF($C270&lt;=Entradas!$E$124,"",G270^2)</f>
        <v>0.49208254514686994</v>
      </c>
      <c r="J270" s="79">
        <f>IF($C270&lt;=Entradas!$E$124,"",E270-AVERAGE(E:E))</f>
        <v>-0.71381320744242416</v>
      </c>
      <c r="K270" s="79">
        <f>IF($C270&lt;=Entradas!$E$124,"",J270^2)</f>
        <v>0.50952929511924128</v>
      </c>
      <c r="L270" s="79">
        <f>IF($C270&lt;=Entradas!$E$124,"",G270*J270)</f>
        <v>0.50072993955740941</v>
      </c>
      <c r="M270" s="40"/>
    </row>
    <row r="271" spans="2:13">
      <c r="B271" s="39"/>
      <c r="C271" s="75">
        <v>266</v>
      </c>
      <c r="D271" s="110">
        <f>IF($C271&lt;=Entradas!$E$124,"",Observaciones!H271)</f>
        <v>0.20259661947209576</v>
      </c>
      <c r="E271" s="110">
        <f>IF($C271&lt;=Entradas!$E$124,"",LíneaBase!L272)</f>
        <v>0.17997664661726989</v>
      </c>
      <c r="F271" s="79">
        <f>IF($C271&lt;=Entradas!$E$124,"",D271-E271)</f>
        <v>2.2619972854825865E-2</v>
      </c>
      <c r="G271" s="79">
        <f>IF($C271&lt;=Entradas!$E$124,"",D271-AVERAGE(D:D))</f>
        <v>-0.70350206272138249</v>
      </c>
      <c r="H271" s="79">
        <f>IF($C271&lt;=Entradas!$E$124,"",F271^2)</f>
        <v>5.1166317195305898E-4</v>
      </c>
      <c r="I271" s="79">
        <f>IF($C271&lt;=Entradas!$E$124,"",G271^2)</f>
        <v>0.49491515225324001</v>
      </c>
      <c r="J271" s="79">
        <f>IF($C271&lt;=Entradas!$E$124,"",E271-AVERAGE(E:E))</f>
        <v>-0.71560421717984801</v>
      </c>
      <c r="K271" s="79">
        <f>IF($C271&lt;=Entradas!$E$124,"",J271^2)</f>
        <v>0.51208939564558309</v>
      </c>
      <c r="L271" s="79">
        <f>IF($C271&lt;=Entradas!$E$124,"",G271*J271)</f>
        <v>0.50342904287814327</v>
      </c>
      <c r="M271" s="40"/>
    </row>
    <row r="272" spans="2:13">
      <c r="B272" s="39"/>
      <c r="C272" s="75">
        <v>267</v>
      </c>
      <c r="D272" s="110">
        <f>IF($C272&lt;=Entradas!$E$124,"",Observaciones!H272)</f>
        <v>0.21422585354190035</v>
      </c>
      <c r="E272" s="110">
        <f>IF($C272&lt;=Entradas!$E$124,"",LíneaBase!L273)</f>
        <v>0.19182876066727086</v>
      </c>
      <c r="F272" s="79">
        <f>IF($C272&lt;=Entradas!$E$124,"",D272-E272)</f>
        <v>2.2397092874629487E-2</v>
      </c>
      <c r="G272" s="79">
        <f>IF($C272&lt;=Entradas!$E$124,"",D272-AVERAGE(D:D))</f>
        <v>-0.69187282865157784</v>
      </c>
      <c r="H272" s="79">
        <f>IF($C272&lt;=Entradas!$E$124,"",F272^2)</f>
        <v>5.0162976923477892E-4</v>
      </c>
      <c r="I272" s="79">
        <f>IF($C272&lt;=Entradas!$E$124,"",G272^2)</f>
        <v>0.47868801102633557</v>
      </c>
      <c r="J272" s="79">
        <f>IF($C272&lt;=Entradas!$E$124,"",E272-AVERAGE(E:E))</f>
        <v>-0.70375210312984704</v>
      </c>
      <c r="K272" s="79">
        <f>IF($C272&lt;=Entradas!$E$124,"",J272^2)</f>
        <v>0.49526702265968287</v>
      </c>
      <c r="L272" s="79">
        <f>IF($C272&lt;=Entradas!$E$124,"",G272*J272)</f>
        <v>0.48690695826194419</v>
      </c>
      <c r="M272" s="40"/>
    </row>
    <row r="273" spans="2:13">
      <c r="B273" s="39"/>
      <c r="C273" s="75">
        <v>268</v>
      </c>
      <c r="D273" s="110">
        <f>IF($C273&lt;=Entradas!$E$124,"",Observaciones!H273)</f>
        <v>0.30181865919995365</v>
      </c>
      <c r="E273" s="110">
        <f>IF($C273&lt;=Entradas!$E$124,"",LíneaBase!L274)</f>
        <v>0.28660200711152017</v>
      </c>
      <c r="F273" s="79">
        <f>IF($C273&lt;=Entradas!$E$124,"",D273-E273)</f>
        <v>1.521665208843348E-2</v>
      </c>
      <c r="G273" s="79">
        <f>IF($C273&lt;=Entradas!$E$124,"",D273-AVERAGE(D:D))</f>
        <v>-0.60428002299352457</v>
      </c>
      <c r="H273" s="79">
        <f>IF($C273&lt;=Entradas!$E$124,"",F273^2)</f>
        <v>2.3154650078042698E-4</v>
      </c>
      <c r="I273" s="79">
        <f>IF($C273&lt;=Entradas!$E$124,"",G273^2)</f>
        <v>0.36515434618905457</v>
      </c>
      <c r="J273" s="79">
        <f>IF($C273&lt;=Entradas!$E$124,"",E273-AVERAGE(E:E))</f>
        <v>-0.6089788566855977</v>
      </c>
      <c r="K273" s="79">
        <f>IF($C273&lt;=Entradas!$E$124,"",J273^2)</f>
        <v>0.37085524789009777</v>
      </c>
      <c r="L273" s="79">
        <f>IF($C273&lt;=Entradas!$E$124,"",G273*J273)</f>
        <v>0.36799375752054331</v>
      </c>
      <c r="M273" s="40"/>
    </row>
    <row r="274" spans="2:13">
      <c r="B274" s="39"/>
      <c r="C274" s="75">
        <v>269</v>
      </c>
      <c r="D274" s="110">
        <f>IF($C274&lt;=Entradas!$E$124,"",Observaciones!H274)</f>
        <v>0.23342816843066405</v>
      </c>
      <c r="E274" s="110">
        <f>IF($C274&lt;=Entradas!$E$124,"",LíneaBase!L275)</f>
        <v>0.20601478682687535</v>
      </c>
      <c r="F274" s="79">
        <f>IF($C274&lt;=Entradas!$E$124,"",D274-E274)</f>
        <v>2.74133816037887E-2</v>
      </c>
      <c r="G274" s="79">
        <f>IF($C274&lt;=Entradas!$E$124,"",D274-AVERAGE(D:D))</f>
        <v>-0.67267051376281417</v>
      </c>
      <c r="H274" s="79">
        <f>IF($C274&lt;=Entradas!$E$124,"",F274^2)</f>
        <v>7.5149349095494076E-4</v>
      </c>
      <c r="I274" s="79">
        <f>IF($C274&lt;=Entradas!$E$124,"",G274^2)</f>
        <v>0.45248562008592835</v>
      </c>
      <c r="J274" s="79">
        <f>IF($C274&lt;=Entradas!$E$124,"",E274-AVERAGE(E:E))</f>
        <v>-0.68956607697024253</v>
      </c>
      <c r="K274" s="79">
        <f>IF($C274&lt;=Entradas!$E$124,"",J274^2)</f>
        <v>0.47550137450813046</v>
      </c>
      <c r="L274" s="79">
        <f>IF($C274&lt;=Entradas!$E$124,"",G274*J274)</f>
        <v>0.46385076726898128</v>
      </c>
      <c r="M274" s="40"/>
    </row>
    <row r="275" spans="2:13">
      <c r="B275" s="39"/>
      <c r="C275" s="75">
        <v>270</v>
      </c>
      <c r="D275" s="110">
        <f>IF($C275&lt;=Entradas!$E$124,"",Observaciones!H275)</f>
        <v>0.20082898696949908</v>
      </c>
      <c r="E275" s="110">
        <f>IF($C275&lt;=Entradas!$E$124,"",LíneaBase!L276)</f>
        <v>0.1781821811739594</v>
      </c>
      <c r="F275" s="79">
        <f>IF($C275&lt;=Entradas!$E$124,"",D275-E275)</f>
        <v>2.2646805795539682E-2</v>
      </c>
      <c r="G275" s="79">
        <f>IF($C275&lt;=Entradas!$E$124,"",D275-AVERAGE(D:D))</f>
        <v>-0.7052696952239792</v>
      </c>
      <c r="H275" s="79">
        <f>IF($C275&lt;=Entradas!$E$124,"",F275^2)</f>
        <v>5.1287781274088969E-4</v>
      </c>
      <c r="I275" s="79">
        <f>IF($C275&lt;=Entradas!$E$124,"",G275^2)</f>
        <v>0.4974053430013245</v>
      </c>
      <c r="J275" s="79">
        <f>IF($C275&lt;=Entradas!$E$124,"",E275-AVERAGE(E:E))</f>
        <v>-0.71739868262315842</v>
      </c>
      <c r="K275" s="79">
        <f>IF($C275&lt;=Entradas!$E$124,"",J275^2)</f>
        <v>0.51466086982944315</v>
      </c>
      <c r="L275" s="79">
        <f>IF($C275&lt;=Entradas!$E$124,"",G275*J275)</f>
        <v>0.5059595502477191</v>
      </c>
      <c r="M275" s="40"/>
    </row>
    <row r="276" spans="2:13">
      <c r="B276" s="39"/>
      <c r="C276" s="75">
        <v>271</v>
      </c>
      <c r="D276" s="110">
        <f>IF($C276&lt;=Entradas!$E$124,"",Observaciones!H276)</f>
        <v>0.19382244005931062</v>
      </c>
      <c r="E276" s="110">
        <f>IF($C276&lt;=Entradas!$E$124,"",LíneaBase!L277)</f>
        <v>0.17214490556871903</v>
      </c>
      <c r="F276" s="79">
        <f>IF($C276&lt;=Entradas!$E$124,"",D276-E276)</f>
        <v>2.1677534490591593E-2</v>
      </c>
      <c r="G276" s="79">
        <f>IF($C276&lt;=Entradas!$E$124,"",D276-AVERAGE(D:D))</f>
        <v>-0.71227624213416763</v>
      </c>
      <c r="H276" s="79">
        <f>IF($C276&lt;=Entradas!$E$124,"",F276^2)</f>
        <v>4.6991550159078811E-4</v>
      </c>
      <c r="I276" s="79">
        <f>IF($C276&lt;=Entradas!$E$124,"",G276^2)</f>
        <v>0.50733744510877143</v>
      </c>
      <c r="J276" s="79">
        <f>IF($C276&lt;=Entradas!$E$124,"",E276-AVERAGE(E:E))</f>
        <v>-0.7234359582283989</v>
      </c>
      <c r="K276" s="79">
        <f>IF($C276&lt;=Entradas!$E$124,"",J276^2)</f>
        <v>0.52335958565784169</v>
      </c>
      <c r="L276" s="79">
        <f>IF($C276&lt;=Entradas!$E$124,"",G276*J276)</f>
        <v>0.5152862457516546</v>
      </c>
      <c r="M276" s="40"/>
    </row>
    <row r="277" spans="2:13">
      <c r="B277" s="39"/>
      <c r="C277" s="75">
        <v>272</v>
      </c>
      <c r="D277" s="110">
        <f>IF($C277&lt;=Entradas!$E$124,"",Observaciones!H277)</f>
        <v>0.19107837815627893</v>
      </c>
      <c r="E277" s="110">
        <f>IF($C277&lt;=Entradas!$E$124,"",LíneaBase!L278)</f>
        <v>0.16973824714044936</v>
      </c>
      <c r="F277" s="79">
        <f>IF($C277&lt;=Entradas!$E$124,"",D277-E277)</f>
        <v>2.1340131015829572E-2</v>
      </c>
      <c r="G277" s="79">
        <f>IF($C277&lt;=Entradas!$E$124,"",D277-AVERAGE(D:D))</f>
        <v>-0.71502030403719929</v>
      </c>
      <c r="H277" s="79">
        <f>IF($C277&lt;=Entradas!$E$124,"",F277^2)</f>
        <v>4.554011917727713E-4</v>
      </c>
      <c r="I277" s="79">
        <f>IF($C277&lt;=Entradas!$E$124,"",G277^2)</f>
        <v>0.51125403518544887</v>
      </c>
      <c r="J277" s="79">
        <f>IF($C277&lt;=Entradas!$E$124,"",E277-AVERAGE(E:E))</f>
        <v>-0.72584261665666849</v>
      </c>
      <c r="K277" s="79">
        <f>IF($C277&lt;=Entradas!$E$124,"",J277^2)</f>
        <v>0.52684750415499937</v>
      </c>
      <c r="L277" s="79">
        <f>IF($C277&lt;=Entradas!$E$124,"",G277*J277)</f>
        <v>0.51899220844500737</v>
      </c>
      <c r="M277" s="40"/>
    </row>
    <row r="278" spans="2:13">
      <c r="B278" s="39"/>
      <c r="C278" s="75">
        <v>273</v>
      </c>
      <c r="D278" s="110">
        <f>IF($C278&lt;=Entradas!$E$124,"",Observaciones!H278)</f>
        <v>0.18905719948747957</v>
      </c>
      <c r="E278" s="110">
        <f>IF($C278&lt;=Entradas!$E$124,"",LíneaBase!L279)</f>
        <v>0.16794788236994776</v>
      </c>
      <c r="F278" s="79">
        <f>IF($C278&lt;=Entradas!$E$124,"",D278-E278)</f>
        <v>2.1109317117531806E-2</v>
      </c>
      <c r="G278" s="79">
        <f>IF($C278&lt;=Entradas!$E$124,"",D278-AVERAGE(D:D))</f>
        <v>-0.71704148270599866</v>
      </c>
      <c r="H278" s="79">
        <f>IF($C278&lt;=Entradas!$E$124,"",F278^2)</f>
        <v>4.4560326916852133E-4</v>
      </c>
      <c r="I278" s="79">
        <f>IF($C278&lt;=Entradas!$E$124,"",G278^2)</f>
        <v>0.51414848792121692</v>
      </c>
      <c r="J278" s="79">
        <f>IF($C278&lt;=Entradas!$E$124,"",E278-AVERAGE(E:E))</f>
        <v>-0.72763298142717014</v>
      </c>
      <c r="K278" s="79">
        <f>IF($C278&lt;=Entradas!$E$124,"",J278^2)</f>
        <v>0.52944975566059249</v>
      </c>
      <c r="L278" s="79">
        <f>IF($C278&lt;=Entradas!$E$124,"",G278*J278)</f>
        <v>0.52174303186832449</v>
      </c>
      <c r="M278" s="40"/>
    </row>
    <row r="279" spans="2:13">
      <c r="B279" s="39"/>
      <c r="C279" s="75">
        <v>274</v>
      </c>
      <c r="D279" s="110">
        <f>IF($C279&lt;=Entradas!$E$124,"",Observaciones!H279)</f>
        <v>0.18717140199451726</v>
      </c>
      <c r="E279" s="110">
        <f>IF($C279&lt;=Entradas!$E$124,"",LíneaBase!L280)</f>
        <v>0.16627348908606099</v>
      </c>
      <c r="F279" s="79">
        <f>IF($C279&lt;=Entradas!$E$124,"",D279-E279)</f>
        <v>2.0897912908456273E-2</v>
      </c>
      <c r="G279" s="79">
        <f>IF($C279&lt;=Entradas!$E$124,"",D279-AVERAGE(D:D))</f>
        <v>-0.71892728019896102</v>
      </c>
      <c r="H279" s="79">
        <f>IF($C279&lt;=Entradas!$E$124,"",F279^2)</f>
        <v>4.3672276392942331E-4</v>
      </c>
      <c r="I279" s="79">
        <f>IF($C279&lt;=Entradas!$E$124,"",G279^2)</f>
        <v>0.51685643421427541</v>
      </c>
      <c r="J279" s="79">
        <f>IF($C279&lt;=Entradas!$E$124,"",E279-AVERAGE(E:E))</f>
        <v>-0.72930737471105689</v>
      </c>
      <c r="K279" s="79">
        <f>IF($C279&lt;=Entradas!$E$124,"",J279^2)</f>
        <v>0.53188924680793392</v>
      </c>
      <c r="L279" s="79">
        <f>IF($C279&lt;=Entradas!$E$124,"",G279*J279)</f>
        <v>0.52431896733006467</v>
      </c>
      <c r="M279" s="40"/>
    </row>
    <row r="280" spans="2:13">
      <c r="B280" s="39"/>
      <c r="C280" s="75">
        <v>275</v>
      </c>
      <c r="D280" s="110">
        <f>IF($C280&lt;=Entradas!$E$124,"",Observaciones!H280)</f>
        <v>0.18532334572105638</v>
      </c>
      <c r="E280" s="110">
        <f>IF($C280&lt;=Entradas!$E$124,"",LíneaBase!L281)</f>
        <v>0.16463191061614743</v>
      </c>
      <c r="F280" s="79">
        <f>IF($C280&lt;=Entradas!$E$124,"",D280-E280)</f>
        <v>2.0691435104908951E-2</v>
      </c>
      <c r="G280" s="79">
        <f>IF($C280&lt;=Entradas!$E$124,"",D280-AVERAGE(D:D))</f>
        <v>-0.72077533647242187</v>
      </c>
      <c r="H280" s="79">
        <f>IF($C280&lt;=Entradas!$E$124,"",F280^2)</f>
        <v>4.2813548670065846E-4</v>
      </c>
      <c r="I280" s="79">
        <f>IF($C280&lt;=Entradas!$E$124,"",G280^2)</f>
        <v>0.519517085666933</v>
      </c>
      <c r="J280" s="79">
        <f>IF($C280&lt;=Entradas!$E$124,"",E280-AVERAGE(E:E))</f>
        <v>-0.73094895318097042</v>
      </c>
      <c r="K280" s="79">
        <f>IF($C280&lt;=Entradas!$E$124,"",J280^2)</f>
        <v>0.53428637215635644</v>
      </c>
      <c r="L280" s="79">
        <f>IF($C280&lt;=Entradas!$E$124,"",G280*J280)</f>
        <v>0.52684997767317854</v>
      </c>
      <c r="M280" s="40"/>
    </row>
    <row r="281" spans="2:13">
      <c r="B281" s="39"/>
      <c r="C281" s="75">
        <v>276</v>
      </c>
      <c r="D281" s="110">
        <f>IF($C281&lt;=Entradas!$E$124,"",Observaciones!H281)</f>
        <v>0.18349667812756082</v>
      </c>
      <c r="E281" s="110">
        <f>IF($C281&lt;=Entradas!$E$124,"",LíneaBase!L282)</f>
        <v>0.16300921452960582</v>
      </c>
      <c r="F281" s="79">
        <f>IF($C281&lt;=Entradas!$E$124,"",D281-E281)</f>
        <v>2.0487463597955002E-2</v>
      </c>
      <c r="G281" s="79">
        <f>IF($C281&lt;=Entradas!$E$124,"",D281-AVERAGE(D:D))</f>
        <v>-0.72260200406591735</v>
      </c>
      <c r="H281" s="79">
        <f>IF($C281&lt;=Entradas!$E$124,"",F281^2)</f>
        <v>4.1973616467753136E-4</v>
      </c>
      <c r="I281" s="79">
        <f>IF($C281&lt;=Entradas!$E$124,"",G281^2)</f>
        <v>0.52215365628008004</v>
      </c>
      <c r="J281" s="79">
        <f>IF($C281&lt;=Entradas!$E$124,"",E281-AVERAGE(E:E))</f>
        <v>-0.73257164926751206</v>
      </c>
      <c r="K281" s="79">
        <f>IF($C281&lt;=Entradas!$E$124,"",J281^2)</f>
        <v>0.53666122131052274</v>
      </c>
      <c r="L281" s="79">
        <f>IF($C281&lt;=Entradas!$E$124,"",G281*J281)</f>
        <v>0.52935774188257856</v>
      </c>
      <c r="M281" s="40"/>
    </row>
    <row r="282" spans="2:13">
      <c r="B282" s="39"/>
      <c r="C282" s="75">
        <v>277</v>
      </c>
      <c r="D282" s="110">
        <f>IF($C282&lt;=Entradas!$E$124,"",Observaciones!H282)</f>
        <v>0.18168853669317106</v>
      </c>
      <c r="E282" s="110">
        <f>IF($C282&lt;=Entradas!$E$124,"",LíneaBase!L283)</f>
        <v>0.16140295652998288</v>
      </c>
      <c r="F282" s="79">
        <f>IF($C282&lt;=Entradas!$E$124,"",D282-E282)</f>
        <v>2.0285580163188183E-2</v>
      </c>
      <c r="G282" s="79">
        <f>IF($C282&lt;=Entradas!$E$124,"",D282-AVERAGE(D:D))</f>
        <v>-0.72441014550030713</v>
      </c>
      <c r="H282" s="79">
        <f>IF($C282&lt;=Entradas!$E$124,"",F282^2)</f>
        <v>4.115047625571339E-4</v>
      </c>
      <c r="I282" s="79">
        <f>IF($C282&lt;=Entradas!$E$124,"",G282^2)</f>
        <v>0.52477005890377615</v>
      </c>
      <c r="J282" s="79">
        <f>IF($C282&lt;=Entradas!$E$124,"",E282-AVERAGE(E:E))</f>
        <v>-0.73417790726713505</v>
      </c>
      <c r="K282" s="79">
        <f>IF($C282&lt;=Entradas!$E$124,"",J282^2)</f>
        <v>0.53901719951914995</v>
      </c>
      <c r="L282" s="79">
        <f>IF($C282&lt;=Entradas!$E$124,"",G282*J282)</f>
        <v>0.53184592462649627</v>
      </c>
      <c r="M282" s="40"/>
    </row>
    <row r="283" spans="2:13">
      <c r="B283" s="39"/>
      <c r="C283" s="75">
        <v>278</v>
      </c>
      <c r="D283" s="110">
        <f>IF($C283&lt;=Entradas!$E$124,"",Observaciones!H283)</f>
        <v>0.17989829884973521</v>
      </c>
      <c r="E283" s="110">
        <f>IF($C283&lt;=Entradas!$E$124,"",LíneaBase!L284)</f>
        <v>0.1598125999242016</v>
      </c>
      <c r="F283" s="79">
        <f>IF($C283&lt;=Entradas!$E$124,"",D283-E283)</f>
        <v>2.0085698925533607E-2</v>
      </c>
      <c r="G283" s="79">
        <f>IF($C283&lt;=Entradas!$E$124,"",D283-AVERAGE(D:D))</f>
        <v>-0.72620038334374304</v>
      </c>
      <c r="H283" s="79">
        <f>IF($C283&lt;=Entradas!$E$124,"",F283^2)</f>
        <v>4.034353013271819E-4</v>
      </c>
      <c r="I283" s="79">
        <f>IF($C283&lt;=Entradas!$E$124,"",G283^2)</f>
        <v>0.52736699676859933</v>
      </c>
      <c r="J283" s="79">
        <f>IF($C283&lt;=Entradas!$E$124,"",E283-AVERAGE(E:E))</f>
        <v>-0.73576826387291627</v>
      </c>
      <c r="K283" s="79">
        <f>IF($C283&lt;=Entradas!$E$124,"",J283^2)</f>
        <v>0.5413549381225653</v>
      </c>
      <c r="L283" s="79">
        <f>IF($C283&lt;=Entradas!$E$124,"",G283*J283)</f>
        <v>0.53431519527667204</v>
      </c>
      <c r="M283" s="40"/>
    </row>
    <row r="284" spans="2:13">
      <c r="B284" s="39"/>
      <c r="C284" s="75">
        <v>279</v>
      </c>
      <c r="D284" s="110">
        <f>IF($C284&lt;=Entradas!$E$124,"",Observaciones!H284)</f>
        <v>0.17812571517269227</v>
      </c>
      <c r="E284" s="110">
        <f>IF($C284&lt;=Entradas!$E$124,"",LíneaBase!L285)</f>
        <v>0.15823792585160135</v>
      </c>
      <c r="F284" s="79">
        <f>IF($C284&lt;=Entradas!$E$124,"",D284-E284)</f>
        <v>1.9887789321090921E-2</v>
      </c>
      <c r="G284" s="79">
        <f>IF($C284&lt;=Entradas!$E$124,"",D284-AVERAGE(D:D))</f>
        <v>-0.72797296702078595</v>
      </c>
      <c r="H284" s="79">
        <f>IF($C284&lt;=Entradas!$E$124,"",F284^2)</f>
        <v>3.9552416408009805E-4</v>
      </c>
      <c r="I284" s="79">
        <f>IF($C284&lt;=Entradas!$E$124,"",G284^2)</f>
        <v>0.52994464071304637</v>
      </c>
      <c r="J284" s="79">
        <f>IF($C284&lt;=Entradas!$E$124,"",E284-AVERAGE(E:E))</f>
        <v>-0.73734293794551653</v>
      </c>
      <c r="K284" s="79">
        <f>IF($C284&lt;=Entradas!$E$124,"",J284^2)</f>
        <v>0.54367460813812585</v>
      </c>
      <c r="L284" s="79">
        <f>IF($C284&lt;=Entradas!$E$124,"",G284*J284)</f>
        <v>0.53676572624802088</v>
      </c>
      <c r="M284" s="40"/>
    </row>
    <row r="285" spans="2:13">
      <c r="B285" s="39"/>
      <c r="C285" s="75">
        <v>280</v>
      </c>
      <c r="D285" s="110">
        <f>IF($C285&lt;=Entradas!$E$124,"",Observaciones!H285)</f>
        <v>0.17637059959529314</v>
      </c>
      <c r="E285" s="110">
        <f>IF($C285&lt;=Entradas!$E$124,"",LíneaBase!L286)</f>
        <v>0.1566787694704535</v>
      </c>
      <c r="F285" s="79">
        <f>IF($C285&lt;=Entradas!$E$124,"",D285-E285)</f>
        <v>1.9691830124839632E-2</v>
      </c>
      <c r="G285" s="79">
        <f>IF($C285&lt;=Entradas!$E$124,"",D285-AVERAGE(D:D))</f>
        <v>-0.72972808259818511</v>
      </c>
      <c r="H285" s="79">
        <f>IF($C285&lt;=Entradas!$E$124,"",F285^2)</f>
        <v>3.8776817366554167E-4</v>
      </c>
      <c r="I285" s="79">
        <f>IF($C285&lt;=Entradas!$E$124,"",G285^2)</f>
        <v>0.53250307453242363</v>
      </c>
      <c r="J285" s="79">
        <f>IF($C285&lt;=Entradas!$E$124,"",E285-AVERAGE(E:E))</f>
        <v>-0.73890209432666443</v>
      </c>
      <c r="K285" s="79">
        <f>IF($C285&lt;=Entradas!$E$124,"",J285^2)</f>
        <v>0.5459763050003309</v>
      </c>
      <c r="L285" s="79">
        <f>IF($C285&lt;=Entradas!$E$124,"",G285*J285)</f>
        <v>0.53919760852078014</v>
      </c>
      <c r="M285" s="40"/>
    </row>
    <row r="286" spans="2:13">
      <c r="B286" s="39"/>
      <c r="C286" s="75">
        <v>281</v>
      </c>
      <c r="D286" s="110">
        <f>IF($C286&lt;=Entradas!$E$124,"",Observaciones!H286)</f>
        <v>0.17463277798969981</v>
      </c>
      <c r="E286" s="110">
        <f>IF($C286&lt;=Entradas!$E$124,"",LíneaBase!L287)</f>
        <v>0.1551349761691182</v>
      </c>
      <c r="F286" s="79">
        <f>IF($C286&lt;=Entradas!$E$124,"",D286-E286)</f>
        <v>1.9497801820581612E-2</v>
      </c>
      <c r="G286" s="79">
        <f>IF($C286&lt;=Entradas!$E$124,"",D286-AVERAGE(D:D))</f>
        <v>-0.73146590420377844</v>
      </c>
      <c r="H286" s="79">
        <f>IF($C286&lt;=Entradas!$E$124,"",F286^2)</f>
        <v>3.8016427583467563E-4</v>
      </c>
      <c r="I286" s="79">
        <f>IF($C286&lt;=Entradas!$E$124,"",G286^2)</f>
        <v>0.53504236901265123</v>
      </c>
      <c r="J286" s="79">
        <f>IF($C286&lt;=Entradas!$E$124,"",E286-AVERAGE(E:E))</f>
        <v>-0.74044588762799968</v>
      </c>
      <c r="K286" s="79">
        <f>IF($C286&lt;=Entradas!$E$124,"",J286^2)</f>
        <v>0.54826011250521633</v>
      </c>
      <c r="L286" s="79">
        <f>IF($C286&lt;=Entradas!$E$124,"",G286*J286)</f>
        <v>0.54161092070778416</v>
      </c>
      <c r="M286" s="40"/>
    </row>
    <row r="287" spans="2:13">
      <c r="B287" s="39"/>
      <c r="C287" s="75">
        <v>282</v>
      </c>
      <c r="D287" s="110">
        <f>IF($C287&lt;=Entradas!$E$124,"",Observaciones!H287)</f>
        <v>0.17291207962067556</v>
      </c>
      <c r="E287" s="110">
        <f>IF($C287&lt;=Entradas!$E$124,"",LíneaBase!L288)</f>
        <v>0.15360639428740619</v>
      </c>
      <c r="F287" s="79">
        <f>IF($C287&lt;=Entradas!$E$124,"",D287-E287)</f>
        <v>1.9305685333269373E-2</v>
      </c>
      <c r="G287" s="79">
        <f>IF($C287&lt;=Entradas!$E$124,"",D287-AVERAGE(D:D))</f>
        <v>-0.73318660257280266</v>
      </c>
      <c r="H287" s="79">
        <f>IF($C287&lt;=Entradas!$E$124,"",F287^2)</f>
        <v>3.7270948618721222E-4</v>
      </c>
      <c r="I287" s="79">
        <f>IF($C287&lt;=Entradas!$E$124,"",G287^2)</f>
        <v>0.53756259419224883</v>
      </c>
      <c r="J287" s="79">
        <f>IF($C287&lt;=Entradas!$E$124,"",E287-AVERAGE(E:E))</f>
        <v>-0.74197446950971169</v>
      </c>
      <c r="K287" s="79">
        <f>IF($C287&lt;=Entradas!$E$124,"",J287^2)</f>
        <v>0.55052611340421809</v>
      </c>
      <c r="L287" s="79">
        <f>IF($C287&lt;=Entradas!$E$124,"",G287*J287)</f>
        <v>0.54400574049558303</v>
      </c>
      <c r="M287" s="40"/>
    </row>
    <row r="288" spans="2:13">
      <c r="B288" s="39"/>
      <c r="C288" s="75">
        <v>283</v>
      </c>
      <c r="D288" s="110">
        <f>IF($C288&lt;=Entradas!$E$124,"",Observaciones!H288)</f>
        <v>0.20755797699425474</v>
      </c>
      <c r="E288" s="110">
        <f>IF($C288&lt;=Entradas!$E$124,"",LíneaBase!L289)</f>
        <v>0.18573423851794335</v>
      </c>
      <c r="F288" s="79">
        <f>IF($C288&lt;=Entradas!$E$124,"",D288-E288)</f>
        <v>2.1823738476311388E-2</v>
      </c>
      <c r="G288" s="79">
        <f>IF($C288&lt;=Entradas!$E$124,"",D288-AVERAGE(D:D))</f>
        <v>-0.69854070519922351</v>
      </c>
      <c r="H288" s="79">
        <f>IF($C288&lt;=Entradas!$E$124,"",F288^2)</f>
        <v>4.7627556108243411E-4</v>
      </c>
      <c r="I288" s="79">
        <f>IF($C288&lt;=Entradas!$E$124,"",G288^2)</f>
        <v>0.48795911682022847</v>
      </c>
      <c r="J288" s="79">
        <f>IF($C288&lt;=Entradas!$E$124,"",E288-AVERAGE(E:E))</f>
        <v>-0.70984662527917453</v>
      </c>
      <c r="K288" s="79">
        <f>IF($C288&lt;=Entradas!$E$124,"",J288^2)</f>
        <v>0.50388223142023281</v>
      </c>
      <c r="L288" s="79">
        <f>IF($C288&lt;=Entradas!$E$124,"",G288*J288)</f>
        <v>0.49585676220580355</v>
      </c>
      <c r="M288" s="40"/>
    </row>
    <row r="289" spans="2:13">
      <c r="B289" s="39"/>
      <c r="C289" s="75">
        <v>284</v>
      </c>
      <c r="D289" s="110">
        <f>IF($C289&lt;=Entradas!$E$124,"",Observaciones!H289)</f>
        <v>0.17759692549910291</v>
      </c>
      <c r="E289" s="110">
        <f>IF($C289&lt;=Entradas!$E$124,"",LíneaBase!L290)</f>
        <v>0.15822041139374701</v>
      </c>
      <c r="F289" s="79">
        <f>IF($C289&lt;=Entradas!$E$124,"",D289-E289)</f>
        <v>1.9376514105355902E-2</v>
      </c>
      <c r="G289" s="79">
        <f>IF($C289&lt;=Entradas!$E$124,"",D289-AVERAGE(D:D))</f>
        <v>-0.72850175669437534</v>
      </c>
      <c r="H289" s="79">
        <f>IF($C289&lt;=Entradas!$E$124,"",F289^2)</f>
        <v>3.7544929887505624E-4</v>
      </c>
      <c r="I289" s="79">
        <f>IF($C289&lt;=Entradas!$E$124,"",G289^2)</f>
        <v>0.53071480950679084</v>
      </c>
      <c r="J289" s="79">
        <f>IF($C289&lt;=Entradas!$E$124,"",E289-AVERAGE(E:E))</f>
        <v>-0.73736045240337089</v>
      </c>
      <c r="K289" s="79">
        <f>IF($C289&lt;=Entradas!$E$124,"",J289^2)</f>
        <v>0.54370043676850377</v>
      </c>
      <c r="L289" s="79">
        <f>IF($C289&lt;=Entradas!$E$124,"",G289*J289)</f>
        <v>0.53716838489281504</v>
      </c>
      <c r="M289" s="40"/>
    </row>
    <row r="290" spans="2:13">
      <c r="B290" s="39"/>
      <c r="C290" s="75">
        <v>285</v>
      </c>
      <c r="D290" s="110">
        <f>IF($C290&lt;=Entradas!$E$124,"",Observaciones!H290)</f>
        <v>0.35656894370068726</v>
      </c>
      <c r="E290" s="110">
        <f>IF($C290&lt;=Entradas!$E$124,"",LíneaBase!L291)</f>
        <v>0.39050690964565848</v>
      </c>
      <c r="F290" s="79">
        <f>IF($C290&lt;=Entradas!$E$124,"",D290-E290)</f>
        <v>-3.3937965944971227E-2</v>
      </c>
      <c r="G290" s="79">
        <f>IF($C290&lt;=Entradas!$E$124,"",D290-AVERAGE(D:D))</f>
        <v>-0.54952973849279096</v>
      </c>
      <c r="H290" s="79">
        <f>IF($C290&lt;=Entradas!$E$124,"",F290^2)</f>
        <v>1.1517855324820268E-3</v>
      </c>
      <c r="I290" s="79">
        <f>IF($C290&lt;=Entradas!$E$124,"",G290^2)</f>
        <v>0.30198293348795524</v>
      </c>
      <c r="J290" s="79">
        <f>IF($C290&lt;=Entradas!$E$124,"",E290-AVERAGE(E:E))</f>
        <v>-0.50507395415145939</v>
      </c>
      <c r="K290" s="79">
        <f>IF($C290&lt;=Entradas!$E$124,"",J290^2)</f>
        <v>0.2550996991621905</v>
      </c>
      <c r="L290" s="79">
        <f>IF($C290&lt;=Entradas!$E$124,"",G290*J290)</f>
        <v>0.27755315794437135</v>
      </c>
      <c r="M290" s="40"/>
    </row>
    <row r="291" spans="2:13">
      <c r="B291" s="39"/>
      <c r="C291" s="75">
        <v>286</v>
      </c>
      <c r="D291" s="110">
        <f>IF($C291&lt;=Entradas!$E$124,"",Observaciones!H291)</f>
        <v>0.36197495685391301</v>
      </c>
      <c r="E291" s="110">
        <f>IF($C291&lt;=Entradas!$E$124,"",LíneaBase!L292)</f>
        <v>0.33574109083754278</v>
      </c>
      <c r="F291" s="79">
        <f>IF($C291&lt;=Entradas!$E$124,"",D291-E291)</f>
        <v>2.6233866016370233E-2</v>
      </c>
      <c r="G291" s="79">
        <f>IF($C291&lt;=Entradas!$E$124,"",D291-AVERAGE(D:D))</f>
        <v>-0.54412372533956521</v>
      </c>
      <c r="H291" s="79">
        <f>IF($C291&lt;=Entradas!$E$124,"",F291^2)</f>
        <v>6.8821572616486505E-4</v>
      </c>
      <c r="I291" s="79">
        <f>IF($C291&lt;=Entradas!$E$124,"",G291^2)</f>
        <v>0.29607062847740662</v>
      </c>
      <c r="J291" s="79">
        <f>IF($C291&lt;=Entradas!$E$124,"",E291-AVERAGE(E:E))</f>
        <v>-0.5598397729595751</v>
      </c>
      <c r="K291" s="79">
        <f>IF($C291&lt;=Entradas!$E$124,"",J291^2)</f>
        <v>0.31342057138742857</v>
      </c>
      <c r="L291" s="79">
        <f>IF($C291&lt;=Entradas!$E$124,"",G291*J291)</f>
        <v>0.30462210285602037</v>
      </c>
      <c r="M291" s="40"/>
    </row>
    <row r="292" spans="2:13">
      <c r="B292" s="39"/>
      <c r="C292" s="75">
        <v>287</v>
      </c>
      <c r="D292" s="110">
        <f>IF($C292&lt;=Entradas!$E$124,"",Observaciones!H292)</f>
        <v>3.1693932735117767</v>
      </c>
      <c r="E292" s="110">
        <f>IF($C292&lt;=Entradas!$E$124,"",LíneaBase!L293)</f>
        <v>3.8340067967060687</v>
      </c>
      <c r="F292" s="79">
        <f>IF($C292&lt;=Entradas!$E$124,"",D292-E292)</f>
        <v>-0.66461352319429201</v>
      </c>
      <c r="G292" s="79">
        <f>IF($C292&lt;=Entradas!$E$124,"",D292-AVERAGE(D:D))</f>
        <v>2.2632945913182985</v>
      </c>
      <c r="H292" s="79">
        <f>IF($C292&lt;=Entradas!$E$124,"",F292^2)</f>
        <v>0.4417111352127297</v>
      </c>
      <c r="I292" s="79">
        <f>IF($C292&lt;=Entradas!$E$124,"",G292^2)</f>
        <v>5.1225024070906633</v>
      </c>
      <c r="J292" s="79">
        <f>IF($C292&lt;=Entradas!$E$124,"",E292-AVERAGE(E:E))</f>
        <v>2.9384259329089506</v>
      </c>
      <c r="K292" s="79">
        <f>IF($C292&lt;=Entradas!$E$124,"",J292^2)</f>
        <v>8.6343469631918364</v>
      </c>
      <c r="L292" s="79">
        <f>IF($C292&lt;=Entradas!$E$124,"",G292*J292)</f>
        <v>6.6505235209422535</v>
      </c>
      <c r="M292" s="40"/>
    </row>
    <row r="293" spans="2:13">
      <c r="B293" s="39"/>
      <c r="C293" s="75">
        <v>288</v>
      </c>
      <c r="D293" s="110">
        <f>IF($C293&lt;=Entradas!$E$124,"",Observaciones!H293)</f>
        <v>0.93817436103621699</v>
      </c>
      <c r="E293" s="110">
        <f>IF($C293&lt;=Entradas!$E$124,"",LíneaBase!L294)</f>
        <v>0.88777808205994668</v>
      </c>
      <c r="F293" s="79">
        <f>IF($C293&lt;=Entradas!$E$124,"",D293-E293)</f>
        <v>5.0396278976270303E-2</v>
      </c>
      <c r="G293" s="79">
        <f>IF($C293&lt;=Entradas!$E$124,"",D293-AVERAGE(D:D))</f>
        <v>3.2075678842738764E-2</v>
      </c>
      <c r="H293" s="79">
        <f>IF($C293&lt;=Entradas!$E$124,"",F293^2)</f>
        <v>2.539784934654064E-3</v>
      </c>
      <c r="I293" s="79">
        <f>IF($C293&lt;=Entradas!$E$124,"",G293^2)</f>
        <v>1.0288491732225191E-3</v>
      </c>
      <c r="J293" s="79">
        <f>IF($C293&lt;=Entradas!$E$124,"",E293-AVERAGE(E:E))</f>
        <v>-7.8027817371711938E-3</v>
      </c>
      <c r="K293" s="79">
        <f>IF($C293&lt;=Entradas!$E$124,"",J293^2)</f>
        <v>6.0883402837932316E-5</v>
      </c>
      <c r="L293" s="79">
        <f>IF($C293&lt;=Entradas!$E$124,"",G293*J293)</f>
        <v>-2.5027952108149046E-4</v>
      </c>
      <c r="M293" s="40"/>
    </row>
    <row r="294" spans="2:13">
      <c r="B294" s="39"/>
      <c r="C294" s="75">
        <v>289</v>
      </c>
      <c r="D294" s="110">
        <f>IF($C294&lt;=Entradas!$E$124,"",Observaciones!H294)</f>
        <v>1.9162861432839533</v>
      </c>
      <c r="E294" s="110">
        <f>IF($C294&lt;=Entradas!$E$124,"",LíneaBase!L295)</f>
        <v>2.1597244928581425</v>
      </c>
      <c r="F294" s="79">
        <f>IF($C294&lt;=Entradas!$E$124,"",D294-E294)</f>
        <v>-0.24343834957418919</v>
      </c>
      <c r="G294" s="79">
        <f>IF($C294&lt;=Entradas!$E$124,"",D294-AVERAGE(D:D))</f>
        <v>1.0101874610904751</v>
      </c>
      <c r="H294" s="79">
        <f>IF($C294&lt;=Entradas!$E$124,"",F294^2)</f>
        <v>5.926223004340514E-2</v>
      </c>
      <c r="I294" s="79">
        <f>IF($C294&lt;=Entradas!$E$124,"",G294^2)</f>
        <v>1.0204787065444201</v>
      </c>
      <c r="J294" s="79">
        <f>IF($C294&lt;=Entradas!$E$124,"",E294-AVERAGE(E:E))</f>
        <v>1.2641436290610246</v>
      </c>
      <c r="K294" s="79">
        <f>IF($C294&lt;=Entradas!$E$124,"",J294^2)</f>
        <v>1.5980591148955774</v>
      </c>
      <c r="L294" s="79">
        <f>IF($C294&lt;=Entradas!$E$124,"",G294*J294)</f>
        <v>1.2770220430948558</v>
      </c>
      <c r="M294" s="40"/>
    </row>
    <row r="295" spans="2:13">
      <c r="B295" s="39"/>
      <c r="C295" s="75">
        <v>290</v>
      </c>
      <c r="D295" s="110">
        <f>IF($C295&lt;=Entradas!$E$124,"",Observaciones!H295)</f>
        <v>1.1379667132872107</v>
      </c>
      <c r="E295" s="110">
        <f>IF($C295&lt;=Entradas!$E$124,"",LíneaBase!L296)</f>
        <v>1.0703333332146081</v>
      </c>
      <c r="F295" s="79">
        <f>IF($C295&lt;=Entradas!$E$124,"",D295-E295)</f>
        <v>6.7633380072602556E-2</v>
      </c>
      <c r="G295" s="79">
        <f>IF($C295&lt;=Entradas!$E$124,"",D295-AVERAGE(D:D))</f>
        <v>0.23186803109373244</v>
      </c>
      <c r="H295" s="79">
        <f>IF($C295&lt;=Entradas!$E$124,"",F295^2)</f>
        <v>4.5742741000451125E-3</v>
      </c>
      <c r="I295" s="79">
        <f>IF($C295&lt;=Entradas!$E$124,"",G295^2)</f>
        <v>5.3762783843284076E-2</v>
      </c>
      <c r="J295" s="79">
        <f>IF($C295&lt;=Entradas!$E$124,"",E295-AVERAGE(E:E))</f>
        <v>0.17475246941749023</v>
      </c>
      <c r="K295" s="79">
        <f>IF($C295&lt;=Entradas!$E$124,"",J295^2)</f>
        <v>3.0538425567510859E-2</v>
      </c>
      <c r="L295" s="79">
        <f>IF($C295&lt;=Entradas!$E$124,"",G295*J295)</f>
        <v>4.051951101260115E-2</v>
      </c>
      <c r="M295" s="40"/>
    </row>
    <row r="296" spans="2:13">
      <c r="B296" s="39"/>
      <c r="C296" s="75">
        <v>291</v>
      </c>
      <c r="D296" s="110">
        <f>IF($C296&lt;=Entradas!$E$124,"",Observaciones!H296)</f>
        <v>1.0348205459506223</v>
      </c>
      <c r="E296" s="110">
        <f>IF($C296&lt;=Entradas!$E$124,"",LíneaBase!L297)</f>
        <v>0.96626062874889107</v>
      </c>
      <c r="F296" s="79">
        <f>IF($C296&lt;=Entradas!$E$124,"",D296-E296)</f>
        <v>6.8559917201731269E-2</v>
      </c>
      <c r="G296" s="79">
        <f>IF($C296&lt;=Entradas!$E$124,"",D296-AVERAGE(D:D))</f>
        <v>0.12872186375714412</v>
      </c>
      <c r="H296" s="79">
        <f>IF($C296&lt;=Entradas!$E$124,"",F296^2)</f>
        <v>4.7004622467082475E-3</v>
      </c>
      <c r="I296" s="79">
        <f>IF($C296&lt;=Entradas!$E$124,"",G296^2)</f>
        <v>1.6569318209112772E-2</v>
      </c>
      <c r="J296" s="79">
        <f>IF($C296&lt;=Entradas!$E$124,"",E296-AVERAGE(E:E))</f>
        <v>7.0679764951773194E-2</v>
      </c>
      <c r="K296" s="79">
        <f>IF($C296&lt;=Entradas!$E$124,"",J296^2)</f>
        <v>4.9956291736379067E-3</v>
      </c>
      <c r="L296" s="79">
        <f>IF($C296&lt;=Entradas!$E$124,"",G296*J296)</f>
        <v>9.0980310745091188E-3</v>
      </c>
      <c r="M296" s="40"/>
    </row>
    <row r="297" spans="2:13">
      <c r="B297" s="39"/>
      <c r="C297" s="75">
        <v>292</v>
      </c>
      <c r="D297" s="110">
        <f>IF($C297&lt;=Entradas!$E$124,"",Observaciones!H297)</f>
        <v>1.3775360399882048</v>
      </c>
      <c r="E297" s="110">
        <f>IF($C297&lt;=Entradas!$E$124,"",LíneaBase!L298)</f>
        <v>1.4325255216894952</v>
      </c>
      <c r="F297" s="79">
        <f>IF($C297&lt;=Entradas!$E$124,"",D297-E297)</f>
        <v>-5.4989481701290366E-2</v>
      </c>
      <c r="G297" s="79">
        <f>IF($C297&lt;=Entradas!$E$124,"",D297-AVERAGE(D:D))</f>
        <v>0.47143735779472662</v>
      </c>
      <c r="H297" s="79">
        <f>IF($C297&lt;=Entradas!$E$124,"",F297^2)</f>
        <v>3.0238430977765482E-3</v>
      </c>
      <c r="I297" s="79">
        <f>IF($C297&lt;=Entradas!$E$124,"",G297^2)</f>
        <v>0.22225318232447308</v>
      </c>
      <c r="J297" s="79">
        <f>IF($C297&lt;=Entradas!$E$124,"",E297-AVERAGE(E:E))</f>
        <v>0.53694465789237733</v>
      </c>
      <c r="K297" s="79">
        <f>IF($C297&lt;=Entradas!$E$124,"",J297^2)</f>
        <v>0.2883095656391621</v>
      </c>
      <c r="L297" s="79">
        <f>IF($C297&lt;=Entradas!$E$124,"",G297*J297)</f>
        <v>0.25313577079877575</v>
      </c>
      <c r="M297" s="40"/>
    </row>
    <row r="298" spans="2:13">
      <c r="B298" s="39"/>
      <c r="C298" s="75">
        <v>293</v>
      </c>
      <c r="D298" s="110">
        <f>IF($C298&lt;=Entradas!$E$124,"",Observaciones!H298)</f>
        <v>1.2260342853661697</v>
      </c>
      <c r="E298" s="110">
        <f>IF($C298&lt;=Entradas!$E$124,"",LíneaBase!L299)</f>
        <v>1.1515019126225119</v>
      </c>
      <c r="F298" s="79">
        <f>IF($C298&lt;=Entradas!$E$124,"",D298-E298)</f>
        <v>7.453237274365776E-2</v>
      </c>
      <c r="G298" s="79">
        <f>IF($C298&lt;=Entradas!$E$124,"",D298-AVERAGE(D:D))</f>
        <v>0.31993560317269143</v>
      </c>
      <c r="H298" s="79">
        <f>IF($C298&lt;=Entradas!$E$124,"",F298^2)</f>
        <v>5.5550745867995379E-3</v>
      </c>
      <c r="I298" s="79">
        <f>IF($C298&lt;=Entradas!$E$124,"",G298^2)</f>
        <v>0.10235879017747389</v>
      </c>
      <c r="J298" s="79">
        <f>IF($C298&lt;=Entradas!$E$124,"",E298-AVERAGE(E:E))</f>
        <v>0.25592104882539402</v>
      </c>
      <c r="K298" s="79">
        <f>IF($C298&lt;=Entradas!$E$124,"",J298^2)</f>
        <v>6.5495583231889712E-2</v>
      </c>
      <c r="L298" s="79">
        <f>IF($C298&lt;=Entradas!$E$124,"",G298*J298)</f>
        <v>8.1878255120540241E-2</v>
      </c>
      <c r="M298" s="40"/>
    </row>
    <row r="299" spans="2:13">
      <c r="B299" s="39"/>
      <c r="C299" s="75">
        <v>294</v>
      </c>
      <c r="D299" s="110">
        <f>IF($C299&lt;=Entradas!$E$124,"",Observaciones!H299)</f>
        <v>1.1191601365119377</v>
      </c>
      <c r="E299" s="110">
        <f>IF($C299&lt;=Entradas!$E$124,"",LíneaBase!L300)</f>
        <v>1.0439260795458627</v>
      </c>
      <c r="F299" s="79">
        <f>IF($C299&lt;=Entradas!$E$124,"",D299-E299)</f>
        <v>7.5234056966074991E-2</v>
      </c>
      <c r="G299" s="79">
        <f>IF($C299&lt;=Entradas!$E$124,"",D299-AVERAGE(D:D))</f>
        <v>0.21306145431845946</v>
      </c>
      <c r="H299" s="79">
        <f>IF($C299&lt;=Entradas!$E$124,"",F299^2)</f>
        <v>5.6601633275746169E-3</v>
      </c>
      <c r="I299" s="79">
        <f>IF($C299&lt;=Entradas!$E$124,"",G299^2)</f>
        <v>4.5395183316296987E-2</v>
      </c>
      <c r="J299" s="79">
        <f>IF($C299&lt;=Entradas!$E$124,"",E299-AVERAGE(E:E))</f>
        <v>0.14834521574874482</v>
      </c>
      <c r="K299" s="79">
        <f>IF($C299&lt;=Entradas!$E$124,"",J299^2)</f>
        <v>2.2006303035541647E-2</v>
      </c>
      <c r="L299" s="79">
        <f>IF($C299&lt;=Entradas!$E$124,"",G299*J299)</f>
        <v>3.1606647408613207E-2</v>
      </c>
      <c r="M299" s="40"/>
    </row>
    <row r="300" spans="2:13">
      <c r="B300" s="39"/>
      <c r="C300" s="75">
        <v>295</v>
      </c>
      <c r="D300" s="110">
        <f>IF($C300&lt;=Entradas!$E$124,"",Observaciones!H300)</f>
        <v>1.1003688193512919</v>
      </c>
      <c r="E300" s="110">
        <f>IF($C300&lt;=Entradas!$E$124,"",LíneaBase!L301)</f>
        <v>1.024435280827217</v>
      </c>
      <c r="F300" s="79">
        <f>IF($C300&lt;=Entradas!$E$124,"",D300-E300)</f>
        <v>7.5933538524074917E-2</v>
      </c>
      <c r="G300" s="79">
        <f>IF($C300&lt;=Entradas!$E$124,"",D300-AVERAGE(D:D))</f>
        <v>0.19427013715781372</v>
      </c>
      <c r="H300" s="79">
        <f>IF($C300&lt;=Entradas!$E$124,"",F300^2)</f>
        <v>5.7659022727871694E-3</v>
      </c>
      <c r="I300" s="79">
        <f>IF($C300&lt;=Entradas!$E$124,"",G300^2)</f>
        <v>3.7740886191315756E-2</v>
      </c>
      <c r="J300" s="79">
        <f>IF($C300&lt;=Entradas!$E$124,"",E300-AVERAGE(E:E))</f>
        <v>0.12885441703009914</v>
      </c>
      <c r="K300" s="79">
        <f>IF($C300&lt;=Entradas!$E$124,"",J300^2)</f>
        <v>1.6603460788166706E-2</v>
      </c>
      <c r="L300" s="79">
        <f>IF($C300&lt;=Entradas!$E$124,"",G300*J300)</f>
        <v>2.503256526982749E-2</v>
      </c>
      <c r="M300" s="40"/>
    </row>
    <row r="301" spans="2:13">
      <c r="B301" s="39"/>
      <c r="C301" s="75">
        <v>296</v>
      </c>
      <c r="D301" s="110">
        <f>IF($C301&lt;=Entradas!$E$124,"",Observaciones!H301)</f>
        <v>1.1051303607601723</v>
      </c>
      <c r="E301" s="110">
        <f>IF($C301&lt;=Entradas!$E$124,"",LíneaBase!L302)</f>
        <v>1.0284913336719399</v>
      </c>
      <c r="F301" s="79">
        <f>IF($C301&lt;=Entradas!$E$124,"",D301-E301)</f>
        <v>7.6639027088232448E-2</v>
      </c>
      <c r="G301" s="79">
        <f>IF($C301&lt;=Entradas!$E$124,"",D301-AVERAGE(D:D))</f>
        <v>0.19903167856669413</v>
      </c>
      <c r="H301" s="79">
        <f>IF($C301&lt;=Entradas!$E$124,"",F301^2)</f>
        <v>5.8735404730308272E-3</v>
      </c>
      <c r="I301" s="79">
        <f>IF($C301&lt;=Entradas!$E$124,"",G301^2)</f>
        <v>3.9613609073075852E-2</v>
      </c>
      <c r="J301" s="79">
        <f>IF($C301&lt;=Entradas!$E$124,"",E301-AVERAGE(E:E))</f>
        <v>0.13291046987482202</v>
      </c>
      <c r="K301" s="79">
        <f>IF($C301&lt;=Entradas!$E$124,"",J301^2)</f>
        <v>1.7665193002345973E-2</v>
      </c>
      <c r="L301" s="79">
        <f>IF($C301&lt;=Entradas!$E$124,"",G301*J301)</f>
        <v>2.6453393918273858E-2</v>
      </c>
      <c r="M301" s="40"/>
    </row>
    <row r="302" spans="2:13">
      <c r="B302" s="39"/>
      <c r="C302" s="75">
        <v>297</v>
      </c>
      <c r="D302" s="110">
        <f>IF($C302&lt;=Entradas!$E$124,"",Observaciones!H302)</f>
        <v>1.0666982580066742</v>
      </c>
      <c r="E302" s="110">
        <f>IF($C302&lt;=Entradas!$E$124,"",LíneaBase!L303)</f>
        <v>0.98956408029643306</v>
      </c>
      <c r="F302" s="79">
        <f>IF($C302&lt;=Entradas!$E$124,"",D302-E302)</f>
        <v>7.7134177710241114E-2</v>
      </c>
      <c r="G302" s="79">
        <f>IF($C302&lt;=Entradas!$E$124,"",D302-AVERAGE(D:D))</f>
        <v>0.16059957581319595</v>
      </c>
      <c r="H302" s="79">
        <f>IF($C302&lt;=Entradas!$E$124,"",F302^2)</f>
        <v>5.9496813710350569E-3</v>
      </c>
      <c r="I302" s="79">
        <f>IF($C302&lt;=Entradas!$E$124,"",G302^2)</f>
        <v>2.5792223751378473E-2</v>
      </c>
      <c r="J302" s="79">
        <f>IF($C302&lt;=Entradas!$E$124,"",E302-AVERAGE(E:E))</f>
        <v>9.3983216499315181E-2</v>
      </c>
      <c r="K302" s="79">
        <f>IF($C302&lt;=Entradas!$E$124,"",J302^2)</f>
        <v>8.8328449835571501E-3</v>
      </c>
      <c r="L302" s="79">
        <f>IF($C302&lt;=Entradas!$E$124,"",G302*J302)</f>
        <v>1.5093664703349777E-2</v>
      </c>
      <c r="M302" s="40"/>
    </row>
    <row r="303" spans="2:13">
      <c r="B303" s="39"/>
      <c r="C303" s="75">
        <v>298</v>
      </c>
      <c r="D303" s="110">
        <f>IF($C303&lt;=Entradas!$E$124,"",Observaciones!H303)</f>
        <v>1.1834646752837472</v>
      </c>
      <c r="E303" s="110">
        <f>IF($C303&lt;=Entradas!$E$124,"",LíneaBase!L304)</f>
        <v>1.1476447240356507</v>
      </c>
      <c r="F303" s="79">
        <f>IF($C303&lt;=Entradas!$E$124,"",D303-E303)</f>
        <v>3.581995124809656E-2</v>
      </c>
      <c r="G303" s="79">
        <f>IF($C303&lt;=Entradas!$E$124,"",D303-AVERAGE(D:D))</f>
        <v>0.27736599309026899</v>
      </c>
      <c r="H303" s="79">
        <f>IF($C303&lt;=Entradas!$E$124,"",F303^2)</f>
        <v>1.2830689074160143E-3</v>
      </c>
      <c r="I303" s="79">
        <f>IF($C303&lt;=Entradas!$E$124,"",G303^2)</f>
        <v>7.693189412295115E-2</v>
      </c>
      <c r="J303" s="79">
        <f>IF($C303&lt;=Entradas!$E$124,"",E303-AVERAGE(E:E))</f>
        <v>0.25206386023853278</v>
      </c>
      <c r="K303" s="79">
        <f>IF($C303&lt;=Entradas!$E$124,"",J303^2)</f>
        <v>6.3536189638350588E-2</v>
      </c>
      <c r="L303" s="79">
        <f>IF($C303&lt;=Entradas!$E$124,"",G303*J303)</f>
        <v>6.9913942917227412E-2</v>
      </c>
      <c r="M303" s="40"/>
    </row>
    <row r="304" spans="2:13">
      <c r="B304" s="39"/>
      <c r="C304" s="75">
        <v>299</v>
      </c>
      <c r="D304" s="110">
        <f>IF($C304&lt;=Entradas!$E$124,"",Observaciones!H304)</f>
        <v>1.1184221062144395</v>
      </c>
      <c r="E304" s="110">
        <f>IF($C304&lt;=Entradas!$E$124,"",LíneaBase!L305)</f>
        <v>1.0388274692142905</v>
      </c>
      <c r="F304" s="79">
        <f>IF($C304&lt;=Entradas!$E$124,"",D304-E304)</f>
        <v>7.9594637000149016E-2</v>
      </c>
      <c r="G304" s="79">
        <f>IF($C304&lt;=Entradas!$E$124,"",D304-AVERAGE(D:D))</f>
        <v>0.21232342402096127</v>
      </c>
      <c r="H304" s="79">
        <f>IF($C304&lt;=Entradas!$E$124,"",F304^2)</f>
        <v>6.3353062391854906E-3</v>
      </c>
      <c r="I304" s="79">
        <f>IF($C304&lt;=Entradas!$E$124,"",G304^2)</f>
        <v>4.5081236387984912E-2</v>
      </c>
      <c r="J304" s="79">
        <f>IF($C304&lt;=Entradas!$E$124,"",E304-AVERAGE(E:E))</f>
        <v>0.1432466054171726</v>
      </c>
      <c r="K304" s="79">
        <f>IF($C304&lt;=Entradas!$E$124,"",J304^2)</f>
        <v>2.0519589963543142E-2</v>
      </c>
      <c r="L304" s="79">
        <f>IF($C304&lt;=Entradas!$E$124,"",G304*J304)</f>
        <v>3.0414609741553664E-2</v>
      </c>
      <c r="M304" s="40"/>
    </row>
    <row r="305" spans="2:13">
      <c r="B305" s="39"/>
      <c r="C305" s="75">
        <v>300</v>
      </c>
      <c r="D305" s="110">
        <f>IF($C305&lt;=Entradas!$E$124,"",Observaciones!H305)</f>
        <v>1.0236528970178127</v>
      </c>
      <c r="E305" s="110">
        <f>IF($C305&lt;=Entradas!$E$124,"",LíneaBase!L306)</f>
        <v>0.94349469920268014</v>
      </c>
      <c r="F305" s="79">
        <f>IF($C305&lt;=Entradas!$E$124,"",D305-E305)</f>
        <v>8.0158197815132559E-2</v>
      </c>
      <c r="G305" s="79">
        <f>IF($C305&lt;=Entradas!$E$124,"",D305-AVERAGE(D:D))</f>
        <v>0.11755421482433448</v>
      </c>
      <c r="H305" s="79">
        <f>IF($C305&lt;=Entradas!$E$124,"",F305^2)</f>
        <v>6.4253366769699222E-3</v>
      </c>
      <c r="I305" s="79">
        <f>IF($C305&lt;=Entradas!$E$124,"",G305^2)</f>
        <v>1.381899342296578E-2</v>
      </c>
      <c r="J305" s="79">
        <f>IF($C305&lt;=Entradas!$E$124,"",E305-AVERAGE(E:E))</f>
        <v>4.7913835405562266E-2</v>
      </c>
      <c r="K305" s="79">
        <f>IF($C305&lt;=Entradas!$E$124,"",J305^2)</f>
        <v>2.2957356232713123E-3</v>
      </c>
      <c r="L305" s="79">
        <f>IF($C305&lt;=Entradas!$E$124,"",G305*J305)</f>
        <v>5.6324733003232704E-3</v>
      </c>
      <c r="M305" s="40"/>
    </row>
    <row r="306" spans="2:13">
      <c r="B306" s="39"/>
      <c r="C306" s="75">
        <v>301</v>
      </c>
      <c r="D306" s="110">
        <f>IF($C306&lt;=Entradas!$E$124,"",Observaciones!H306)</f>
        <v>0.96742474825156077</v>
      </c>
      <c r="E306" s="110">
        <f>IF($C306&lt;=Entradas!$E$124,"",LíneaBase!L307)</f>
        <v>0.88664600789181891</v>
      </c>
      <c r="F306" s="79">
        <f>IF($C306&lt;=Entradas!$E$124,"",D306-E306)</f>
        <v>8.0778740359741863E-2</v>
      </c>
      <c r="G306" s="79">
        <f>IF($C306&lt;=Entradas!$E$124,"",D306-AVERAGE(D:D))</f>
        <v>6.1326066058082551E-2</v>
      </c>
      <c r="H306" s="79">
        <f>IF($C306&lt;=Entradas!$E$124,"",F306^2)</f>
        <v>6.5252048941065888E-3</v>
      </c>
      <c r="I306" s="79">
        <f>IF($C306&lt;=Entradas!$E$124,"",G306^2)</f>
        <v>3.7608863781603049E-3</v>
      </c>
      <c r="J306" s="79">
        <f>IF($C306&lt;=Entradas!$E$124,"",E306-AVERAGE(E:E))</f>
        <v>-8.9348559052989662E-3</v>
      </c>
      <c r="K306" s="79">
        <f>IF($C306&lt;=Entradas!$E$124,"",J306^2)</f>
        <v>7.9831650048455807E-5</v>
      </c>
      <c r="L306" s="79">
        <f>IF($C306&lt;=Entradas!$E$124,"",G306*J306)</f>
        <v>-5.4793956346781342E-4</v>
      </c>
      <c r="M306" s="40"/>
    </row>
    <row r="307" spans="2:13">
      <c r="B307" s="39"/>
      <c r="C307" s="75">
        <v>302</v>
      </c>
      <c r="D307" s="110">
        <f>IF($C307&lt;=Entradas!$E$124,"",Observaciones!H307)</f>
        <v>0.86553152601627414</v>
      </c>
      <c r="E307" s="110">
        <f>IF($C307&lt;=Entradas!$E$124,"",LíneaBase!L308)</f>
        <v>0.78416273897606581</v>
      </c>
      <c r="F307" s="79">
        <f>IF($C307&lt;=Entradas!$E$124,"",D307-E307)</f>
        <v>8.1368787040208335E-2</v>
      </c>
      <c r="G307" s="79">
        <f>IF($C307&lt;=Entradas!$E$124,"",D307-AVERAGE(D:D))</f>
        <v>-4.0567156177204078E-2</v>
      </c>
      <c r="H307" s="79">
        <f>IF($C307&lt;=Entradas!$E$124,"",F307^2)</f>
        <v>6.6208795043947756E-3</v>
      </c>
      <c r="I307" s="79">
        <f>IF($C307&lt;=Entradas!$E$124,"",G307^2)</f>
        <v>1.645694160305667E-3</v>
      </c>
      <c r="J307" s="79">
        <f>IF($C307&lt;=Entradas!$E$124,"",E307-AVERAGE(E:E))</f>
        <v>-0.11141812482105207</v>
      </c>
      <c r="K307" s="79">
        <f>IF($C307&lt;=Entradas!$E$124,"",J307^2)</f>
        <v>1.2413998538639538E-2</v>
      </c>
      <c r="L307" s="79">
        <f>IF($C307&lt;=Entradas!$E$124,"",G307*J307)</f>
        <v>4.5199164705868374E-3</v>
      </c>
      <c r="M307" s="40"/>
    </row>
    <row r="308" spans="2:13">
      <c r="B308" s="39"/>
      <c r="C308" s="75">
        <v>303</v>
      </c>
      <c r="D308" s="110">
        <f>IF($C308&lt;=Entradas!$E$124,"",Observaciones!H308)</f>
        <v>0.85428203570419292</v>
      </c>
      <c r="E308" s="110">
        <f>IF($C308&lt;=Entradas!$E$124,"",LíneaBase!L309)</f>
        <v>0.77242484412846735</v>
      </c>
      <c r="F308" s="79">
        <f>IF($C308&lt;=Entradas!$E$124,"",D308-E308)</f>
        <v>8.1857191575725574E-2</v>
      </c>
      <c r="G308" s="79">
        <f>IF($C308&lt;=Entradas!$E$124,"",D308-AVERAGE(D:D))</f>
        <v>-5.1816646489285301E-2</v>
      </c>
      <c r="H308" s="79">
        <f>IF($C308&lt;=Entradas!$E$124,"",F308^2)</f>
        <v>6.7005998126650375E-3</v>
      </c>
      <c r="I308" s="79">
        <f>IF($C308&lt;=Entradas!$E$124,"",G308^2)</f>
        <v>2.6849648533955627E-3</v>
      </c>
      <c r="J308" s="79">
        <f>IF($C308&lt;=Entradas!$E$124,"",E308-AVERAGE(E:E))</f>
        <v>-0.12315601966865053</v>
      </c>
      <c r="K308" s="79">
        <f>IF($C308&lt;=Entradas!$E$124,"",J308^2)</f>
        <v>1.5167405180625036E-2</v>
      </c>
      <c r="L308" s="79">
        <f>IF($C308&lt;=Entradas!$E$124,"",G308*J308)</f>
        <v>6.3815319341979319E-3</v>
      </c>
      <c r="M308" s="40"/>
    </row>
    <row r="309" spans="2:13">
      <c r="B309" s="39"/>
      <c r="C309" s="75">
        <v>304</v>
      </c>
      <c r="D309" s="110">
        <f>IF($C309&lt;=Entradas!$E$124,"",Observaciones!H309)</f>
        <v>0.75705876225588364</v>
      </c>
      <c r="E309" s="110">
        <f>IF($C309&lt;=Entradas!$E$124,"",LíneaBase!L310)</f>
        <v>0.67468945252139179</v>
      </c>
      <c r="F309" s="79">
        <f>IF($C309&lt;=Entradas!$E$124,"",D309-E309)</f>
        <v>8.2369309734491858E-2</v>
      </c>
      <c r="G309" s="79">
        <f>IF($C309&lt;=Entradas!$E$124,"",D309-AVERAGE(D:D))</f>
        <v>-0.14903991993759458</v>
      </c>
      <c r="H309" s="79">
        <f>IF($C309&lt;=Entradas!$E$124,"",F309^2)</f>
        <v>6.7847031861366551E-3</v>
      </c>
      <c r="I309" s="79">
        <f>IF($C309&lt;=Entradas!$E$124,"",G309^2)</f>
        <v>2.2212897735004601E-2</v>
      </c>
      <c r="J309" s="79">
        <f>IF($C309&lt;=Entradas!$E$124,"",E309-AVERAGE(E:E))</f>
        <v>-0.22089141127572609</v>
      </c>
      <c r="K309" s="79">
        <f>IF($C309&lt;=Entradas!$E$124,"",J309^2)</f>
        <v>4.8793015575381973E-2</v>
      </c>
      <c r="L309" s="79">
        <f>IF($C309&lt;=Entradas!$E$124,"",G309*J309)</f>
        <v>3.2921638251436493E-2</v>
      </c>
      <c r="M309" s="40"/>
    </row>
    <row r="310" spans="2:13">
      <c r="B310" s="39"/>
      <c r="C310" s="75">
        <v>305</v>
      </c>
      <c r="D310" s="110">
        <f>IF($C310&lt;=Entradas!$E$124,"",Observaciones!H310)</f>
        <v>0.67726039705570662</v>
      </c>
      <c r="E310" s="110">
        <f>IF($C310&lt;=Entradas!$E$124,"",LíneaBase!L311)</f>
        <v>0.5944200785519318</v>
      </c>
      <c r="F310" s="79">
        <f>IF($C310&lt;=Entradas!$E$124,"",D310-E310)</f>
        <v>8.2840318503774824E-2</v>
      </c>
      <c r="G310" s="79">
        <f>IF($C310&lt;=Entradas!$E$124,"",D310-AVERAGE(D:D))</f>
        <v>-0.2288382851377716</v>
      </c>
      <c r="H310" s="79">
        <f>IF($C310&lt;=Entradas!$E$124,"",F310^2)</f>
        <v>6.8625183698068576E-3</v>
      </c>
      <c r="I310" s="79">
        <f>IF($C310&lt;=Entradas!$E$124,"",G310^2)</f>
        <v>5.2366960744796062E-2</v>
      </c>
      <c r="J310" s="79">
        <f>IF($C310&lt;=Entradas!$E$124,"",E310-AVERAGE(E:E))</f>
        <v>-0.30116078524518608</v>
      </c>
      <c r="K310" s="79">
        <f>IF($C310&lt;=Entradas!$E$124,"",J310^2)</f>
        <v>9.0697818569497088E-2</v>
      </c>
      <c r="L310" s="79">
        <f>IF($C310&lt;=Entradas!$E$124,"",G310*J310)</f>
        <v>6.8917117646253093E-2</v>
      </c>
      <c r="M310" s="40"/>
    </row>
    <row r="311" spans="2:13">
      <c r="B311" s="39"/>
      <c r="C311" s="75">
        <v>306</v>
      </c>
      <c r="D311" s="110">
        <f>IF($C311&lt;=Entradas!$E$124,"",Observaciones!H311)</f>
        <v>0.66125457776348462</v>
      </c>
      <c r="E311" s="110">
        <f>IF($C311&lt;=Entradas!$E$124,"",LíneaBase!L312)</f>
        <v>0.57795525903080303</v>
      </c>
      <c r="F311" s="79">
        <f>IF($C311&lt;=Entradas!$E$124,"",D311-E311)</f>
        <v>8.3299318732681593E-2</v>
      </c>
      <c r="G311" s="79">
        <f>IF($C311&lt;=Entradas!$E$124,"",D311-AVERAGE(D:D))</f>
        <v>-0.2448441044299936</v>
      </c>
      <c r="H311" s="79">
        <f>IF($C311&lt;=Entradas!$E$124,"",F311^2)</f>
        <v>6.9387765013288784E-3</v>
      </c>
      <c r="I311" s="79">
        <f>IF($C311&lt;=Entradas!$E$124,"",G311^2)</f>
        <v>5.9948635474125614E-2</v>
      </c>
      <c r="J311" s="79">
        <f>IF($C311&lt;=Entradas!$E$124,"",E311-AVERAGE(E:E))</f>
        <v>-0.31762560476631485</v>
      </c>
      <c r="K311" s="79">
        <f>IF($C311&lt;=Entradas!$E$124,"",J311^2)</f>
        <v>0.10088602480316725</v>
      </c>
      <c r="L311" s="79">
        <f>IF($C311&lt;=Entradas!$E$124,"",G311*J311)</f>
        <v>7.7768756743043468E-2</v>
      </c>
      <c r="M311" s="40"/>
    </row>
    <row r="312" spans="2:13">
      <c r="B312" s="39"/>
      <c r="C312" s="75">
        <v>307</v>
      </c>
      <c r="D312" s="110">
        <f>IF($C312&lt;=Entradas!$E$124,"",Observaciones!H312)</f>
        <v>0.57017707433682929</v>
      </c>
      <c r="E312" s="110">
        <f>IF($C312&lt;=Entradas!$E$124,"",LíneaBase!L313)</f>
        <v>0.48641376698729039</v>
      </c>
      <c r="F312" s="79">
        <f>IF($C312&lt;=Entradas!$E$124,"",D312-E312)</f>
        <v>8.3763307349538907E-2</v>
      </c>
      <c r="G312" s="79">
        <f>IF($C312&lt;=Entradas!$E$124,"",D312-AVERAGE(D:D))</f>
        <v>-0.33592160785664893</v>
      </c>
      <c r="H312" s="79">
        <f>IF($C312&lt;=Entradas!$E$124,"",F312^2)</f>
        <v>7.0162916581333187E-3</v>
      </c>
      <c r="I312" s="79">
        <f>IF($C312&lt;=Entradas!$E$124,"",G312^2)</f>
        <v>0.11284332662499622</v>
      </c>
      <c r="J312" s="79">
        <f>IF($C312&lt;=Entradas!$E$124,"",E312-AVERAGE(E:E))</f>
        <v>-0.40916709680982749</v>
      </c>
      <c r="K312" s="79">
        <f>IF($C312&lt;=Entradas!$E$124,"",J312^2)</f>
        <v>0.16741771311178275</v>
      </c>
      <c r="L312" s="79">
        <f>IF($C312&lt;=Entradas!$E$124,"",G312*J312)</f>
        <v>0.13744806904239437</v>
      </c>
      <c r="M312" s="40"/>
    </row>
    <row r="313" spans="2:13">
      <c r="B313" s="39"/>
      <c r="C313" s="75">
        <v>308</v>
      </c>
      <c r="D313" s="110">
        <f>IF($C313&lt;=Entradas!$E$124,"",Observaciones!H313)</f>
        <v>0.57178055737785349</v>
      </c>
      <c r="E313" s="110">
        <f>IF($C313&lt;=Entradas!$E$124,"",LíneaBase!L314)</f>
        <v>0.48761253850340447</v>
      </c>
      <c r="F313" s="79">
        <f>IF($C313&lt;=Entradas!$E$124,"",D313-E313)</f>
        <v>8.4168018874449024E-2</v>
      </c>
      <c r="G313" s="79">
        <f>IF($C313&lt;=Entradas!$E$124,"",D313-AVERAGE(D:D))</f>
        <v>-0.33431812481562473</v>
      </c>
      <c r="H313" s="79">
        <f>IF($C313&lt;=Entradas!$E$124,"",F313^2)</f>
        <v>7.0842554012496076E-3</v>
      </c>
      <c r="I313" s="79">
        <f>IF($C313&lt;=Entradas!$E$124,"",G313^2)</f>
        <v>0.11176860858023563</v>
      </c>
      <c r="J313" s="79">
        <f>IF($C313&lt;=Entradas!$E$124,"",E313-AVERAGE(E:E))</f>
        <v>-0.40796832529371341</v>
      </c>
      <c r="K313" s="79">
        <f>IF($C313&lt;=Entradas!$E$124,"",J313^2)</f>
        <v>0.16643815444295715</v>
      </c>
      <c r="L313" s="79">
        <f>IF($C313&lt;=Entradas!$E$124,"",G313*J313)</f>
        <v>0.13639120549636508</v>
      </c>
      <c r="M313" s="40"/>
    </row>
    <row r="314" spans="2:13">
      <c r="B314" s="39"/>
      <c r="C314" s="75">
        <v>309</v>
      </c>
      <c r="D314" s="110">
        <f>IF($C314&lt;=Entradas!$E$124,"",Observaciones!H314)</f>
        <v>0.52016842296232813</v>
      </c>
      <c r="E314" s="110">
        <f>IF($C314&lt;=Entradas!$E$124,"",LíneaBase!L315)</f>
        <v>0.43553622142772758</v>
      </c>
      <c r="F314" s="79">
        <f>IF($C314&lt;=Entradas!$E$124,"",D314-E314)</f>
        <v>8.4632201534600549E-2</v>
      </c>
      <c r="G314" s="79">
        <f>IF($C314&lt;=Entradas!$E$124,"",D314-AVERAGE(D:D))</f>
        <v>-0.3859302592311501</v>
      </c>
      <c r="H314" s="79">
        <f>IF($C314&lt;=Entradas!$E$124,"",F314^2)</f>
        <v>7.1626095365932433E-3</v>
      </c>
      <c r="I314" s="79">
        <f>IF($C314&lt;=Entradas!$E$124,"",G314^2)</f>
        <v>0.14894216499022273</v>
      </c>
      <c r="J314" s="79">
        <f>IF($C314&lt;=Entradas!$E$124,"",E314-AVERAGE(E:E))</f>
        <v>-0.4600446423693903</v>
      </c>
      <c r="K314" s="79">
        <f>IF($C314&lt;=Entradas!$E$124,"",J314^2)</f>
        <v>0.21164107297278023</v>
      </c>
      <c r="L314" s="79">
        <f>IF($C314&lt;=Entradas!$E$124,"",G314*J314)</f>
        <v>0.17754514808752053</v>
      </c>
      <c r="M314" s="40"/>
    </row>
    <row r="315" spans="2:13">
      <c r="B315" s="39"/>
      <c r="C315" s="75">
        <v>310</v>
      </c>
      <c r="D315" s="110">
        <f>IF($C315&lt;=Entradas!$E$124,"",Observaciones!H315)</f>
        <v>0.43705193757466165</v>
      </c>
      <c r="E315" s="110">
        <f>IF($C315&lt;=Entradas!$E$124,"",LíneaBase!L316)</f>
        <v>0.35200640413455375</v>
      </c>
      <c r="F315" s="79">
        <f>IF($C315&lt;=Entradas!$E$124,"",D315-E315)</f>
        <v>8.5045533440107901E-2</v>
      </c>
      <c r="G315" s="79">
        <f>IF($C315&lt;=Entradas!$E$124,"",D315-AVERAGE(D:D))</f>
        <v>-0.46904674461881657</v>
      </c>
      <c r="H315" s="79">
        <f>IF($C315&lt;=Entradas!$E$124,"",F315^2)</f>
        <v>7.2327427581125115E-3</v>
      </c>
      <c r="I315" s="79">
        <f>IF($C315&lt;=Entradas!$E$124,"",G315^2)</f>
        <v>0.22000484863750933</v>
      </c>
      <c r="J315" s="79">
        <f>IF($C315&lt;=Entradas!$E$124,"",E315-AVERAGE(E:E))</f>
        <v>-0.54357445966256412</v>
      </c>
      <c r="K315" s="79">
        <f>IF($C315&lt;=Entradas!$E$124,"",J315^2)</f>
        <v>0.29547319319744852</v>
      </c>
      <c r="L315" s="79">
        <f>IF($C315&lt;=Entradas!$E$124,"",G315*J315)</f>
        <v>0.25496183076265794</v>
      </c>
      <c r="M315" s="40"/>
    </row>
    <row r="316" spans="2:13">
      <c r="B316" s="39"/>
      <c r="C316" s="75">
        <v>311</v>
      </c>
      <c r="D316" s="110">
        <f>IF($C316&lt;=Entradas!$E$124,"",Observaciones!H316)</f>
        <v>0.42177802858705143</v>
      </c>
      <c r="E316" s="110">
        <f>IF($C316&lt;=Entradas!$E$124,"",LíneaBase!L317)</f>
        <v>0.33634905458649972</v>
      </c>
      <c r="F316" s="79">
        <f>IF($C316&lt;=Entradas!$E$124,"",D316-E316)</f>
        <v>8.5428974000551716E-2</v>
      </c>
      <c r="G316" s="79">
        <f>IF($C316&lt;=Entradas!$E$124,"",D316-AVERAGE(D:D))</f>
        <v>-0.48432065360642679</v>
      </c>
      <c r="H316" s="79">
        <f>IF($C316&lt;=Entradas!$E$124,"",F316^2)</f>
        <v>7.2981095987869407E-3</v>
      </c>
      <c r="I316" s="79">
        <f>IF($C316&lt;=Entradas!$E$124,"",G316^2)</f>
        <v>0.23456649550975645</v>
      </c>
      <c r="J316" s="79">
        <f>IF($C316&lt;=Entradas!$E$124,"",E316-AVERAGE(E:E))</f>
        <v>-0.5592318092106181</v>
      </c>
      <c r="K316" s="79">
        <f>IF($C316&lt;=Entradas!$E$124,"",J316^2)</f>
        <v>0.31274021643298117</v>
      </c>
      <c r="L316" s="79">
        <f>IF($C316&lt;=Entradas!$E$124,"",G316*J316)</f>
        <v>0.27084751535439111</v>
      </c>
      <c r="M316" s="40"/>
    </row>
    <row r="317" spans="2:13">
      <c r="B317" s="39"/>
      <c r="C317" s="75">
        <v>312</v>
      </c>
      <c r="D317" s="110">
        <f>IF($C317&lt;=Entradas!$E$124,"",Observaciones!H317)</f>
        <v>0.33882326794785461</v>
      </c>
      <c r="E317" s="110">
        <f>IF($C317&lt;=Entradas!$E$124,"",LíneaBase!L318)</f>
        <v>0.25302588324470221</v>
      </c>
      <c r="F317" s="79">
        <f>IF($C317&lt;=Entradas!$E$124,"",D317-E317)</f>
        <v>8.5797384703152402E-2</v>
      </c>
      <c r="G317" s="79">
        <f>IF($C317&lt;=Entradas!$E$124,"",D317-AVERAGE(D:D))</f>
        <v>-0.56727541424562355</v>
      </c>
      <c r="H317" s="79">
        <f>IF($C317&lt;=Entradas!$E$124,"",F317^2)</f>
        <v>7.36119122190073E-3</v>
      </c>
      <c r="I317" s="79">
        <f>IF($C317&lt;=Entradas!$E$124,"",G317^2)</f>
        <v>0.32180139560754378</v>
      </c>
      <c r="J317" s="79">
        <f>IF($C317&lt;=Entradas!$E$124,"",E317-AVERAGE(E:E))</f>
        <v>-0.64255498055241567</v>
      </c>
      <c r="K317" s="79">
        <f>IF($C317&lt;=Entradas!$E$124,"",J317^2)</f>
        <v>0.41287690303271529</v>
      </c>
      <c r="L317" s="79">
        <f>IF($C317&lt;=Entradas!$E$124,"",G317*J317)</f>
        <v>0.3645056427684602</v>
      </c>
      <c r="M317" s="40"/>
    </row>
    <row r="318" spans="2:13">
      <c r="B318" s="39"/>
      <c r="C318" s="75">
        <v>313</v>
      </c>
      <c r="D318" s="110">
        <f>IF($C318&lt;=Entradas!$E$124,"",Observaciones!H318)</f>
        <v>0.27151315814143218</v>
      </c>
      <c r="E318" s="110">
        <f>IF($C318&lt;=Entradas!$E$124,"",LíneaBase!L319)</f>
        <v>0.18533412260816434</v>
      </c>
      <c r="F318" s="79">
        <f>IF($C318&lt;=Entradas!$E$124,"",D318-E318)</f>
        <v>8.6179035533267834E-2</v>
      </c>
      <c r="G318" s="79">
        <f>IF($C318&lt;=Entradas!$E$124,"",D318-AVERAGE(D:D))</f>
        <v>-0.63458552405204605</v>
      </c>
      <c r="H318" s="79">
        <f>IF($C318&lt;=Entradas!$E$124,"",F318^2)</f>
        <v>7.42682616544424E-3</v>
      </c>
      <c r="I318" s="79">
        <f>IF($C318&lt;=Entradas!$E$124,"",G318^2)</f>
        <v>0.4026987873364099</v>
      </c>
      <c r="J318" s="79">
        <f>IF($C318&lt;=Entradas!$E$124,"",E318-AVERAGE(E:E))</f>
        <v>-0.71024674118895348</v>
      </c>
      <c r="K318" s="79">
        <f>IF($C318&lt;=Entradas!$E$124,"",J318^2)</f>
        <v>0.50445043336952822</v>
      </c>
      <c r="L318" s="79">
        <f>IF($C318&lt;=Entradas!$E$124,"",G318*J318)</f>
        <v>0.45071230046364996</v>
      </c>
      <c r="M318" s="40"/>
    </row>
    <row r="319" spans="2:13">
      <c r="B319" s="39"/>
      <c r="C319" s="75">
        <v>314</v>
      </c>
      <c r="D319" s="110">
        <f>IF($C319&lt;=Entradas!$E$124,"",Observaciones!H319)</f>
        <v>0.19383269744930406</v>
      </c>
      <c r="E319" s="110">
        <f>IF($C319&lt;=Entradas!$E$124,"",LíneaBase!L320)</f>
        <v>0.12389321032451006</v>
      </c>
      <c r="F319" s="79">
        <f>IF($C319&lt;=Entradas!$E$124,"",D319-E319)</f>
        <v>6.9939487124794003E-2</v>
      </c>
      <c r="G319" s="79">
        <f>IF($C319&lt;=Entradas!$E$124,"",D319-AVERAGE(D:D))</f>
        <v>-0.71226598474417413</v>
      </c>
      <c r="H319" s="79">
        <f>IF($C319&lt;=Entradas!$E$124,"",F319^2)</f>
        <v>4.8915318592792261E-3</v>
      </c>
      <c r="I319" s="79">
        <f>IF($C319&lt;=Entradas!$E$124,"",G319^2)</f>
        <v>0.50732283302358805</v>
      </c>
      <c r="J319" s="79">
        <f>IF($C319&lt;=Entradas!$E$124,"",E319-AVERAGE(E:E))</f>
        <v>-0.77168765347260782</v>
      </c>
      <c r="K319" s="79">
        <f>IF($C319&lt;=Entradas!$E$124,"",J319^2)</f>
        <v>0.59550183452205963</v>
      </c>
      <c r="L319" s="79">
        <f>IF($C319&lt;=Entradas!$E$124,"",G319*J319)</f>
        <v>0.54964686641558802</v>
      </c>
      <c r="M319" s="40"/>
    </row>
    <row r="320" spans="2:13">
      <c r="B320" s="39"/>
      <c r="C320" s="75">
        <v>315</v>
      </c>
      <c r="D320" s="110">
        <f>IF($C320&lt;=Entradas!$E$124,"",Observaciones!H320)</f>
        <v>0.13597640525342611</v>
      </c>
      <c r="E320" s="110">
        <f>IF($C320&lt;=Entradas!$E$124,"",LíneaBase!L321)</f>
        <v>0.11278020475963134</v>
      </c>
      <c r="F320" s="79">
        <f>IF($C320&lt;=Entradas!$E$124,"",D320-E320)</f>
        <v>2.3196200493794769E-2</v>
      </c>
      <c r="G320" s="79">
        <f>IF($C320&lt;=Entradas!$E$124,"",D320-AVERAGE(D:D))</f>
        <v>-0.77012227694005209</v>
      </c>
      <c r="H320" s="79">
        <f>IF($C320&lt;=Entradas!$E$124,"",F320^2)</f>
        <v>5.380637173483247E-4</v>
      </c>
      <c r="I320" s="79">
        <f>IF($C320&lt;=Entradas!$E$124,"",G320^2)</f>
        <v>0.59308832143933032</v>
      </c>
      <c r="J320" s="79">
        <f>IF($C320&lt;=Entradas!$E$124,"",E320-AVERAGE(E:E))</f>
        <v>-0.78280065903748652</v>
      </c>
      <c r="K320" s="79">
        <f>IF($C320&lt;=Entradas!$E$124,"",J320^2)</f>
        <v>0.61277687178952323</v>
      </c>
      <c r="L320" s="79">
        <f>IF($C320&lt;=Entradas!$E$124,"",G320*J320)</f>
        <v>0.60285222592812249</v>
      </c>
      <c r="M320" s="40"/>
    </row>
    <row r="321" spans="2:13">
      <c r="B321" s="39"/>
      <c r="C321" s="75">
        <v>316</v>
      </c>
      <c r="D321" s="110">
        <f>IF($C321&lt;=Entradas!$E$124,"",Observaciones!H321)</f>
        <v>0.12535305504518732</v>
      </c>
      <c r="E321" s="110">
        <f>IF($C321&lt;=Entradas!$E$124,"",LíneaBase!L322)</f>
        <v>0.11002746985232927</v>
      </c>
      <c r="F321" s="79">
        <f>IF($C321&lt;=Entradas!$E$124,"",D321-E321)</f>
        <v>1.5325585192858052E-2</v>
      </c>
      <c r="G321" s="79">
        <f>IF($C321&lt;=Entradas!$E$124,"",D321-AVERAGE(D:D))</f>
        <v>-0.78074562714829088</v>
      </c>
      <c r="H321" s="79">
        <f>IF($C321&lt;=Entradas!$E$124,"",F321^2)</f>
        <v>2.3487356150354995E-4</v>
      </c>
      <c r="I321" s="79">
        <f>IF($C321&lt;=Entradas!$E$124,"",G321^2)</f>
        <v>0.60956373431117805</v>
      </c>
      <c r="J321" s="79">
        <f>IF($C321&lt;=Entradas!$E$124,"",E321-AVERAGE(E:E))</f>
        <v>-0.78555339394478862</v>
      </c>
      <c r="K321" s="79">
        <f>IF($C321&lt;=Entradas!$E$124,"",J321^2)</f>
        <v>0.61709413473817631</v>
      </c>
      <c r="L321" s="79">
        <f>IF($C321&lt;=Entradas!$E$124,"",G321*J321)</f>
        <v>0.61331737721389235</v>
      </c>
      <c r="M321" s="40"/>
    </row>
    <row r="322" spans="2:13">
      <c r="B322" s="39"/>
      <c r="C322" s="75">
        <v>317</v>
      </c>
      <c r="D322" s="110">
        <f>IF($C322&lt;=Entradas!$E$124,"",Observaciones!H322)</f>
        <v>0.13892800672441252</v>
      </c>
      <c r="E322" s="110">
        <f>IF($C322&lt;=Entradas!$E$124,"",LíneaBase!L323)</f>
        <v>0.12502152315839118</v>
      </c>
      <c r="F322" s="79">
        <f>IF($C322&lt;=Entradas!$E$124,"",D322-E322)</f>
        <v>1.3906483566021338E-2</v>
      </c>
      <c r="G322" s="79">
        <f>IF($C322&lt;=Entradas!$E$124,"",D322-AVERAGE(D:D))</f>
        <v>-0.7671706754690657</v>
      </c>
      <c r="H322" s="79">
        <f>IF($C322&lt;=Entradas!$E$124,"",F322^2)</f>
        <v>1.9339028517202157E-4</v>
      </c>
      <c r="I322" s="79">
        <f>IF($C322&lt;=Entradas!$E$124,"",G322^2)</f>
        <v>0.58855084529966251</v>
      </c>
      <c r="J322" s="79">
        <f>IF($C322&lt;=Entradas!$E$124,"",E322-AVERAGE(E:E))</f>
        <v>-0.77055934063872666</v>
      </c>
      <c r="K322" s="79">
        <f>IF($C322&lt;=Entradas!$E$124,"",J322^2)</f>
        <v>0.59376169744558915</v>
      </c>
      <c r="L322" s="79">
        <f>IF($C322&lt;=Entradas!$E$124,"",G322*J322)</f>
        <v>0.59115052984680982</v>
      </c>
      <c r="M322" s="40"/>
    </row>
    <row r="323" spans="2:13">
      <c r="B323" s="39"/>
      <c r="C323" s="75">
        <v>318</v>
      </c>
      <c r="D323" s="110">
        <f>IF($C323&lt;=Entradas!$E$124,"",Observaciones!H323)</f>
        <v>0.12791483154701255</v>
      </c>
      <c r="E323" s="110">
        <f>IF($C323&lt;=Entradas!$E$124,"",LíneaBase!L324)</f>
        <v>0.11435579490248231</v>
      </c>
      <c r="F323" s="79">
        <f>IF($C323&lt;=Entradas!$E$124,"",D323-E323)</f>
        <v>1.3559036644530245E-2</v>
      </c>
      <c r="G323" s="79">
        <f>IF($C323&lt;=Entradas!$E$124,"",D323-AVERAGE(D:D))</f>
        <v>-0.77818385064646567</v>
      </c>
      <c r="H323" s="79">
        <f>IF($C323&lt;=Entradas!$E$124,"",F323^2)</f>
        <v>1.8384747472771401E-4</v>
      </c>
      <c r="I323" s="79">
        <f>IF($C323&lt;=Entradas!$E$124,"",G323^2)</f>
        <v>0.60557010540696077</v>
      </c>
      <c r="J323" s="79">
        <f>IF($C323&lt;=Entradas!$E$124,"",E323-AVERAGE(E:E))</f>
        <v>-0.78122506889463561</v>
      </c>
      <c r="K323" s="79">
        <f>IF($C323&lt;=Entradas!$E$124,"",J323^2)</f>
        <v>0.61031260826942813</v>
      </c>
      <c r="L323" s="79">
        <f>IF($C323&lt;=Entradas!$E$124,"",G323*J323)</f>
        <v>0.60793673233397794</v>
      </c>
      <c r="M323" s="40"/>
    </row>
    <row r="324" spans="2:13">
      <c r="B324" s="39"/>
      <c r="C324" s="75">
        <v>319</v>
      </c>
      <c r="D324" s="110">
        <f>IF($C324&lt;=Entradas!$E$124,"",Observaciones!H324)</f>
        <v>1.3048685997153773</v>
      </c>
      <c r="E324" s="110">
        <f>IF($C324&lt;=Entradas!$E$124,"",LíneaBase!L325)</f>
        <v>1.6308515546246409</v>
      </c>
      <c r="F324" s="79">
        <f>IF($C324&lt;=Entradas!$E$124,"",D324-E324)</f>
        <v>-0.32598295490926366</v>
      </c>
      <c r="G324" s="79">
        <f>IF($C324&lt;=Entradas!$E$124,"",D324-AVERAGE(D:D))</f>
        <v>0.39876991752189905</v>
      </c>
      <c r="H324" s="79">
        <f>IF($C324&lt;=Entradas!$E$124,"",F324^2)</f>
        <v>0.10626488689137502</v>
      </c>
      <c r="I324" s="79">
        <f>IF($C324&lt;=Entradas!$E$124,"",G324^2)</f>
        <v>0.15901744712042218</v>
      </c>
      <c r="J324" s="79">
        <f>IF($C324&lt;=Entradas!$E$124,"",E324-AVERAGE(E:E))</f>
        <v>0.73527069082752305</v>
      </c>
      <c r="K324" s="79">
        <f>IF($C324&lt;=Entradas!$E$124,"",J324^2)</f>
        <v>0.54062298878998305</v>
      </c>
      <c r="L324" s="79">
        <f>IF($C324&lt;=Entradas!$E$124,"",G324*J324)</f>
        <v>0.29320383273756112</v>
      </c>
      <c r="M324" s="40"/>
    </row>
    <row r="325" spans="2:13">
      <c r="B325" s="39"/>
      <c r="C325" s="75">
        <v>320</v>
      </c>
      <c r="D325" s="110">
        <f>IF($C325&lt;=Entradas!$E$124,"",Observaciones!H325)</f>
        <v>0.97794050343412853</v>
      </c>
      <c r="E325" s="110">
        <f>IF($C325&lt;=Entradas!$E$124,"",LíneaBase!L326)</f>
        <v>1.1130023217989466</v>
      </c>
      <c r="F325" s="79">
        <f>IF($C325&lt;=Entradas!$E$124,"",D325-E325)</f>
        <v>-0.13506181836481812</v>
      </c>
      <c r="G325" s="79">
        <f>IF($C325&lt;=Entradas!$E$124,"",D325-AVERAGE(D:D))</f>
        <v>7.1841821240650305E-2</v>
      </c>
      <c r="H325" s="79">
        <f>IF($C325&lt;=Entradas!$E$124,"",F325^2)</f>
        <v>1.8241694780011121E-2</v>
      </c>
      <c r="I325" s="79">
        <f>IF($C325&lt;=Entradas!$E$124,"",G325^2)</f>
        <v>5.1612472791735531E-3</v>
      </c>
      <c r="J325" s="79">
        <f>IF($C325&lt;=Entradas!$E$124,"",E325-AVERAGE(E:E))</f>
        <v>0.21742145800182877</v>
      </c>
      <c r="K325" s="79">
        <f>IF($C325&lt;=Entradas!$E$124,"",J325^2)</f>
        <v>4.727209039964099E-2</v>
      </c>
      <c r="L325" s="79">
        <f>IF($C325&lt;=Entradas!$E$124,"",G325*J325)</f>
        <v>1.5619953519648941E-2</v>
      </c>
      <c r="M325" s="40"/>
    </row>
    <row r="326" spans="2:13">
      <c r="B326" s="39"/>
      <c r="C326" s="75">
        <v>321</v>
      </c>
      <c r="D326" s="110">
        <f>IF($C326&lt;=Entradas!$E$124,"",Observaciones!H326)</f>
        <v>0.63648235015696397</v>
      </c>
      <c r="E326" s="110">
        <f>IF($C326&lt;=Entradas!$E$124,"",LíneaBase!L327)</f>
        <v>0.59780083419189167</v>
      </c>
      <c r="F326" s="79">
        <f>IF($C326&lt;=Entradas!$E$124,"",D326-E326)</f>
        <v>3.86815159650723E-2</v>
      </c>
      <c r="G326" s="79">
        <f>IF($C326&lt;=Entradas!$E$124,"",D326-AVERAGE(D:D))</f>
        <v>-0.26961633203651425</v>
      </c>
      <c r="H326" s="79">
        <f>IF($C326&lt;=Entradas!$E$124,"",F326^2)</f>
        <v>1.4962596773561432E-3</v>
      </c>
      <c r="I326" s="79">
        <f>IF($C326&lt;=Entradas!$E$124,"",G326^2)</f>
        <v>7.2692966500823894E-2</v>
      </c>
      <c r="J326" s="79">
        <f>IF($C326&lt;=Entradas!$E$124,"",E326-AVERAGE(E:E))</f>
        <v>-0.2977800296052262</v>
      </c>
      <c r="K326" s="79">
        <f>IF($C326&lt;=Entradas!$E$124,"",J326^2)</f>
        <v>8.867294603168939E-2</v>
      </c>
      <c r="L326" s="79">
        <f>IF($C326&lt;=Entradas!$E$124,"",G326*J326)</f>
        <v>8.028635933588571E-2</v>
      </c>
      <c r="M326" s="40"/>
    </row>
    <row r="327" spans="2:13">
      <c r="B327" s="39"/>
      <c r="C327" s="75">
        <v>322</v>
      </c>
      <c r="D327" s="110">
        <f>IF($C327&lt;=Entradas!$E$124,"",Observaciones!H327)</f>
        <v>0.56377497132283116</v>
      </c>
      <c r="E327" s="110">
        <f>IF($C327&lt;=Entradas!$E$124,"",LíneaBase!L328)</f>
        <v>0.52306929776072952</v>
      </c>
      <c r="F327" s="79">
        <f>IF($C327&lt;=Entradas!$E$124,"",D327-E327)</f>
        <v>4.0705673562101641E-2</v>
      </c>
      <c r="G327" s="79">
        <f>IF($C327&lt;=Entradas!$E$124,"",D327-AVERAGE(D:D))</f>
        <v>-0.34232371087064706</v>
      </c>
      <c r="H327" s="79">
        <f>IF($C327&lt;=Entradas!$E$124,"",F327^2)</f>
        <v>1.6569518601443805E-3</v>
      </c>
      <c r="I327" s="79">
        <f>IF($C327&lt;=Entradas!$E$124,"",G327^2)</f>
        <v>0.11718552302425037</v>
      </c>
      <c r="J327" s="79">
        <f>IF($C327&lt;=Entradas!$E$124,"",E327-AVERAGE(E:E))</f>
        <v>-0.37251156603638835</v>
      </c>
      <c r="K327" s="79">
        <f>IF($C327&lt;=Entradas!$E$124,"",J327^2)</f>
        <v>0.13876486683088252</v>
      </c>
      <c r="L327" s="79">
        <f>IF($C327&lt;=Entradas!$E$124,"",G327*J327)</f>
        <v>0.12751954162781257</v>
      </c>
      <c r="M327" s="40"/>
    </row>
    <row r="328" spans="2:13">
      <c r="B328" s="39"/>
      <c r="C328" s="75">
        <v>323</v>
      </c>
      <c r="D328" s="110">
        <f>IF($C328&lt;=Entradas!$E$124,"",Observaciones!H328)</f>
        <v>0.60286052532240753</v>
      </c>
      <c r="E328" s="110">
        <f>IF($C328&lt;=Entradas!$E$124,"",LíneaBase!L329)</f>
        <v>0.56038457940056863</v>
      </c>
      <c r="F328" s="79">
        <f>IF($C328&lt;=Entradas!$E$124,"",D328-E328)</f>
        <v>4.2475945921838898E-2</v>
      </c>
      <c r="G328" s="79">
        <f>IF($C328&lt;=Entradas!$E$124,"",D328-AVERAGE(D:D))</f>
        <v>-0.3032381568710707</v>
      </c>
      <c r="H328" s="79">
        <f>IF($C328&lt;=Entradas!$E$124,"",F328^2)</f>
        <v>1.8042059819549825E-3</v>
      </c>
      <c r="I328" s="79">
        <f>IF($C328&lt;=Entradas!$E$124,"",G328^2)</f>
        <v>9.1953379782564085E-2</v>
      </c>
      <c r="J328" s="79">
        <f>IF($C328&lt;=Entradas!$E$124,"",E328-AVERAGE(E:E))</f>
        <v>-0.33519628439654925</v>
      </c>
      <c r="K328" s="79">
        <f>IF($C328&lt;=Entradas!$E$124,"",J328^2)</f>
        <v>0.11235654907325232</v>
      </c>
      <c r="L328" s="79">
        <f>IF($C328&lt;=Entradas!$E$124,"",G328*J328)</f>
        <v>0.10164430347044083</v>
      </c>
      <c r="M328" s="40"/>
    </row>
    <row r="329" spans="2:13">
      <c r="B329" s="39"/>
      <c r="C329" s="75">
        <v>324</v>
      </c>
      <c r="D329" s="110">
        <f>IF($C329&lt;=Entradas!$E$124,"",Observaciones!H329)</f>
        <v>1.7854315916865511</v>
      </c>
      <c r="E329" s="110">
        <f>IF($C329&lt;=Entradas!$E$124,"",LíneaBase!L330)</f>
        <v>2.088389906478973</v>
      </c>
      <c r="F329" s="79">
        <f>IF($C329&lt;=Entradas!$E$124,"",D329-E329)</f>
        <v>-0.30295831479242197</v>
      </c>
      <c r="G329" s="79">
        <f>IF($C329&lt;=Entradas!$E$124,"",D329-AVERAGE(D:D))</f>
        <v>0.87933290949307286</v>
      </c>
      <c r="H329" s="79">
        <f>IF($C329&lt;=Entradas!$E$124,"",F329^2)</f>
        <v>9.1783740501864247E-2</v>
      </c>
      <c r="I329" s="79">
        <f>IF($C329&lt;=Entradas!$E$124,"",G329^2)</f>
        <v>0.77322636571755265</v>
      </c>
      <c r="J329" s="79">
        <f>IF($C329&lt;=Entradas!$E$124,"",E329-AVERAGE(E:E))</f>
        <v>1.1928090426818552</v>
      </c>
      <c r="K329" s="79">
        <f>IF($C329&lt;=Entradas!$E$124,"",J329^2)</f>
        <v>1.4227934123036037</v>
      </c>
      <c r="L329" s="79">
        <f>IF($C329&lt;=Entradas!$E$124,"",G329*J329)</f>
        <v>1.0488762459710825</v>
      </c>
      <c r="M329" s="40"/>
    </row>
    <row r="330" spans="2:13">
      <c r="B330" s="39"/>
      <c r="C330" s="75">
        <v>325</v>
      </c>
      <c r="D330" s="110">
        <f>IF($C330&lt;=Entradas!$E$124,"",Observaciones!H330)</f>
        <v>1.1417879082143905</v>
      </c>
      <c r="E330" s="110">
        <f>IF($C330&lt;=Entradas!$E$124,"",LíneaBase!L331)</f>
        <v>1.1578999225028352</v>
      </c>
      <c r="F330" s="79">
        <f>IF($C330&lt;=Entradas!$E$124,"",D330-E330)</f>
        <v>-1.6112014288444776E-2</v>
      </c>
      <c r="G330" s="79">
        <f>IF($C330&lt;=Entradas!$E$124,"",D330-AVERAGE(D:D))</f>
        <v>0.23568922602091225</v>
      </c>
      <c r="H330" s="79">
        <f>IF($C330&lt;=Entradas!$E$124,"",F330^2)</f>
        <v>2.595970044310486E-4</v>
      </c>
      <c r="I330" s="79">
        <f>IF($C330&lt;=Entradas!$E$124,"",G330^2)</f>
        <v>5.5549411262336659E-2</v>
      </c>
      <c r="J330" s="79">
        <f>IF($C330&lt;=Entradas!$E$124,"",E330-AVERAGE(E:E))</f>
        <v>0.26231905870571737</v>
      </c>
      <c r="K330" s="79">
        <f>IF($C330&lt;=Entradas!$E$124,"",J330^2)</f>
        <v>6.8811288560253592E-2</v>
      </c>
      <c r="L330" s="79">
        <f>IF($C330&lt;=Entradas!$E$124,"",G330*J330)</f>
        <v>6.1825775916884769E-2</v>
      </c>
      <c r="M330" s="40"/>
    </row>
    <row r="331" spans="2:13">
      <c r="B331" s="39"/>
      <c r="C331" s="75">
        <v>326</v>
      </c>
      <c r="D331" s="110">
        <f>IF($C331&lt;=Entradas!$E$124,"",Observaciones!H331)</f>
        <v>0.97196464164670626</v>
      </c>
      <c r="E331" s="110">
        <f>IF($C331&lt;=Entradas!$E$124,"",LíneaBase!L332)</f>
        <v>0.91024324452725525</v>
      </c>
      <c r="F331" s="79">
        <f>IF($C331&lt;=Entradas!$E$124,"",D331-E331)</f>
        <v>6.1721397119451016E-2</v>
      </c>
      <c r="G331" s="79">
        <f>IF($C331&lt;=Entradas!$E$124,"",D331-AVERAGE(D:D))</f>
        <v>6.586595945322804E-2</v>
      </c>
      <c r="H331" s="79">
        <f>IF($C331&lt;=Entradas!$E$124,"",F331^2)</f>
        <v>3.809530862376976E-3</v>
      </c>
      <c r="I331" s="79">
        <f>IF($C331&lt;=Entradas!$E$124,"",G331^2)</f>
        <v>4.33832461469428E-3</v>
      </c>
      <c r="J331" s="79">
        <f>IF($C331&lt;=Entradas!$E$124,"",E331-AVERAGE(E:E))</f>
        <v>1.466238073013737E-2</v>
      </c>
      <c r="K331" s="79">
        <f>IF($C331&lt;=Entradas!$E$124,"",J331^2)</f>
        <v>2.1498540867550368E-4</v>
      </c>
      <c r="L331" s="79">
        <f>IF($C331&lt;=Entradas!$E$124,"",G331*J331)</f>
        <v>9.6575177465902013E-4</v>
      </c>
      <c r="M331" s="40"/>
    </row>
    <row r="332" spans="2:13">
      <c r="B332" s="39"/>
      <c r="C332" s="75">
        <v>327</v>
      </c>
      <c r="D332" s="110">
        <f>IF($C332&lt;=Entradas!$E$124,"",Observaciones!H332)</f>
        <v>0.86769651009169035</v>
      </c>
      <c r="E332" s="110">
        <f>IF($C332&lt;=Entradas!$E$124,"",LíneaBase!L333)</f>
        <v>0.80476773605185459</v>
      </c>
      <c r="F332" s="79">
        <f>IF($C332&lt;=Entradas!$E$124,"",D332-E332)</f>
        <v>6.2928774039835766E-2</v>
      </c>
      <c r="G332" s="79">
        <f>IF($C332&lt;=Entradas!$E$124,"",D332-AVERAGE(D:D))</f>
        <v>-3.8402172101787868E-2</v>
      </c>
      <c r="H332" s="79">
        <f>IF($C332&lt;=Entradas!$E$124,"",F332^2)</f>
        <v>3.960030602156708E-3</v>
      </c>
      <c r="I332" s="79">
        <f>IF($C332&lt;=Entradas!$E$124,"",G332^2)</f>
        <v>1.4747268221353344E-3</v>
      </c>
      <c r="J332" s="79">
        <f>IF($C332&lt;=Entradas!$E$124,"",E332-AVERAGE(E:E))</f>
        <v>-9.0813127745263289E-2</v>
      </c>
      <c r="K332" s="79">
        <f>IF($C332&lt;=Entradas!$E$124,"",J332^2)</f>
        <v>8.2470241708775087E-3</v>
      </c>
      <c r="L332" s="79">
        <f>IF($C332&lt;=Entradas!$E$124,"",G332*J332)</f>
        <v>3.4874213607752479E-3</v>
      </c>
      <c r="M332" s="40"/>
    </row>
    <row r="333" spans="2:13">
      <c r="B333" s="39"/>
      <c r="C333" s="75">
        <v>328</v>
      </c>
      <c r="D333" s="110">
        <f>IF($C333&lt;=Entradas!$E$124,"",Observaciones!H333)</f>
        <v>0.76886436106209854</v>
      </c>
      <c r="E333" s="110">
        <f>IF($C333&lt;=Entradas!$E$124,"",LíneaBase!L334)</f>
        <v>0.70484430662660791</v>
      </c>
      <c r="F333" s="79">
        <f>IF($C333&lt;=Entradas!$E$124,"",D333-E333)</f>
        <v>6.4020054435490636E-2</v>
      </c>
      <c r="G333" s="79">
        <f>IF($C333&lt;=Entradas!$E$124,"",D333-AVERAGE(D:D))</f>
        <v>-0.13723432113137968</v>
      </c>
      <c r="H333" s="79">
        <f>IF($C333&lt;=Entradas!$E$124,"",F333^2)</f>
        <v>4.0985673699231841E-3</v>
      </c>
      <c r="I333" s="79">
        <f>IF($C333&lt;=Entradas!$E$124,"",G333^2)</f>
        <v>1.8833258896390644E-2</v>
      </c>
      <c r="J333" s="79">
        <f>IF($C333&lt;=Entradas!$E$124,"",E333-AVERAGE(E:E))</f>
        <v>-0.19073655717050997</v>
      </c>
      <c r="K333" s="79">
        <f>IF($C333&lt;=Entradas!$E$124,"",J333^2)</f>
        <v>3.6380434241259217E-2</v>
      </c>
      <c r="L333" s="79">
        <f>IF($C333&lt;=Entradas!$E$124,"",G333*J333)</f>
        <v>2.6175601938231523E-2</v>
      </c>
      <c r="M333" s="40"/>
    </row>
    <row r="334" spans="2:13">
      <c r="B334" s="39"/>
      <c r="C334" s="75">
        <v>329</v>
      </c>
      <c r="D334" s="110">
        <f>IF($C334&lt;=Entradas!$E$124,"",Observaciones!H334)</f>
        <v>1.0313193279471664</v>
      </c>
      <c r="E334" s="110">
        <f>IF($C334&lt;=Entradas!$E$124,"",LíneaBase!L335)</f>
        <v>1.0628615239856649</v>
      </c>
      <c r="F334" s="79">
        <f>IF($C334&lt;=Entradas!$E$124,"",D334-E334)</f>
        <v>-3.1542196038498505E-2</v>
      </c>
      <c r="G334" s="79">
        <f>IF($C334&lt;=Entradas!$E$124,"",D334-AVERAGE(D:D))</f>
        <v>0.12522064575368819</v>
      </c>
      <c r="H334" s="79">
        <f>IF($C334&lt;=Entradas!$E$124,"",F334^2)</f>
        <v>9.9491013093107078E-4</v>
      </c>
      <c r="I334" s="79">
        <f>IF($C334&lt;=Entradas!$E$124,"",G334^2)</f>
        <v>1.5680210122970668E-2</v>
      </c>
      <c r="J334" s="79">
        <f>IF($C334&lt;=Entradas!$E$124,"",E334-AVERAGE(E:E))</f>
        <v>0.16728066018854704</v>
      </c>
      <c r="K334" s="79">
        <f>IF($C334&lt;=Entradas!$E$124,"",J334^2)</f>
        <v>2.7982819273116147E-2</v>
      </c>
      <c r="L334" s="79">
        <f>IF($C334&lt;=Entradas!$E$124,"",G334*J334)</f>
        <v>2.0946992290913138E-2</v>
      </c>
      <c r="M334" s="40"/>
    </row>
    <row r="335" spans="2:13">
      <c r="B335" s="39"/>
      <c r="C335" s="75">
        <v>330</v>
      </c>
      <c r="D335" s="110">
        <f>IF($C335&lt;=Entradas!$E$124,"",Observaciones!H335)</f>
        <v>1.9351068582041395</v>
      </c>
      <c r="E335" s="110">
        <f>IF($C335&lt;=Entradas!$E$124,"",LíneaBase!L336)</f>
        <v>2.1781002236388671</v>
      </c>
      <c r="F335" s="79">
        <f>IF($C335&lt;=Entradas!$E$124,"",D335-E335)</f>
        <v>-0.2429933654347276</v>
      </c>
      <c r="G335" s="79">
        <f>IF($C335&lt;=Entradas!$E$124,"",D335-AVERAGE(D:D))</f>
        <v>1.0290081760106613</v>
      </c>
      <c r="H335" s="79">
        <f>IF($C335&lt;=Entradas!$E$124,"",F335^2)</f>
        <v>5.9045775645295069E-2</v>
      </c>
      <c r="I335" s="79">
        <f>IF($C335&lt;=Entradas!$E$124,"",G335^2)</f>
        <v>1.058857826296788</v>
      </c>
      <c r="J335" s="79">
        <f>IF($C335&lt;=Entradas!$E$124,"",E335-AVERAGE(E:E))</f>
        <v>1.2825193598417493</v>
      </c>
      <c r="K335" s="79">
        <f>IF($C335&lt;=Entradas!$E$124,"",J335^2)</f>
        <v>1.6448559083688903</v>
      </c>
      <c r="L335" s="79">
        <f>IF($C335&lt;=Entradas!$E$124,"",G335*J335)</f>
        <v>1.3197229071691194</v>
      </c>
      <c r="M335" s="40"/>
    </row>
    <row r="336" spans="2:13">
      <c r="B336" s="39"/>
      <c r="C336" s="75">
        <v>331</v>
      </c>
      <c r="D336" s="110">
        <f>IF($C336&lt;=Entradas!$E$124,"",Observaciones!H336)</f>
        <v>1.1306968057497018</v>
      </c>
      <c r="E336" s="110">
        <f>IF($C336&lt;=Entradas!$E$124,"",LíneaBase!L337)</f>
        <v>1.0532292452520771</v>
      </c>
      <c r="F336" s="79">
        <f>IF($C336&lt;=Entradas!$E$124,"",D336-E336)</f>
        <v>7.746756049762471E-2</v>
      </c>
      <c r="G336" s="79">
        <f>IF($C336&lt;=Entradas!$E$124,"",D336-AVERAGE(D:D))</f>
        <v>0.22459812355622355</v>
      </c>
      <c r="H336" s="79">
        <f>IF($C336&lt;=Entradas!$E$124,"",F336^2)</f>
        <v>6.0012229294531443E-3</v>
      </c>
      <c r="I336" s="79">
        <f>IF($C336&lt;=Entradas!$E$124,"",G336^2)</f>
        <v>5.0444317104976662E-2</v>
      </c>
      <c r="J336" s="79">
        <f>IF($C336&lt;=Entradas!$E$124,"",E336-AVERAGE(E:E))</f>
        <v>0.15764838145495919</v>
      </c>
      <c r="K336" s="79">
        <f>IF($C336&lt;=Entradas!$E$124,"",J336^2)</f>
        <v>2.4853012175368318E-2</v>
      </c>
      <c r="L336" s="79">
        <f>IF($C336&lt;=Entradas!$E$124,"",G336*J336)</f>
        <v>3.5407530656459588E-2</v>
      </c>
      <c r="M336" s="40"/>
    </row>
    <row r="337" spans="2:13">
      <c r="B337" s="39"/>
      <c r="C337" s="75">
        <v>332</v>
      </c>
      <c r="D337" s="110">
        <f>IF($C337&lt;=Entradas!$E$124,"",Observaciones!H337)</f>
        <v>1.0211805291160685</v>
      </c>
      <c r="E337" s="110">
        <f>IF($C337&lt;=Entradas!$E$124,"",LíneaBase!L338)</f>
        <v>0.94303088090978027</v>
      </c>
      <c r="F337" s="79">
        <f>IF($C337&lt;=Entradas!$E$124,"",D337-E337)</f>
        <v>7.8149648206288225E-2</v>
      </c>
      <c r="G337" s="79">
        <f>IF($C337&lt;=Entradas!$E$124,"",D337-AVERAGE(D:D))</f>
        <v>0.11508184692259027</v>
      </c>
      <c r="H337" s="79">
        <f>IF($C337&lt;=Entradas!$E$124,"",F337^2)</f>
        <v>6.1073675147666085E-3</v>
      </c>
      <c r="I337" s="79">
        <f>IF($C337&lt;=Entradas!$E$124,"",G337^2)</f>
        <v>1.3243831491114499E-2</v>
      </c>
      <c r="J337" s="79">
        <f>IF($C337&lt;=Entradas!$E$124,"",E337-AVERAGE(E:E))</f>
        <v>4.745001711266239E-2</v>
      </c>
      <c r="K337" s="79">
        <f>IF($C337&lt;=Entradas!$E$124,"",J337^2)</f>
        <v>2.2515041239919535E-3</v>
      </c>
      <c r="L337" s="79">
        <f>IF($C337&lt;=Entradas!$E$124,"",G337*J337)</f>
        <v>5.4606356058337019E-3</v>
      </c>
      <c r="M337" s="40"/>
    </row>
    <row r="338" spans="2:13">
      <c r="B338" s="39"/>
      <c r="C338" s="75">
        <v>333</v>
      </c>
      <c r="D338" s="110">
        <f>IF($C338&lt;=Entradas!$E$124,"",Observaciones!H338)</f>
        <v>0.9172855282013781</v>
      </c>
      <c r="E338" s="110">
        <f>IF($C338&lt;=Entradas!$E$124,"",LíneaBase!L339)</f>
        <v>0.83855257634354752</v>
      </c>
      <c r="F338" s="79">
        <f>IF($C338&lt;=Entradas!$E$124,"",D338-E338)</f>
        <v>7.873295185783058E-2</v>
      </c>
      <c r="G338" s="79">
        <f>IF($C338&lt;=Entradas!$E$124,"",D338-AVERAGE(D:D))</f>
        <v>1.1186846007899875E-2</v>
      </c>
      <c r="H338" s="79">
        <f>IF($C338&lt;=Entradas!$E$124,"",F338^2)</f>
        <v>6.1988777082474678E-3</v>
      </c>
      <c r="I338" s="79">
        <f>IF($C338&lt;=Entradas!$E$124,"",G338^2)</f>
        <v>1.2514552360446538E-4</v>
      </c>
      <c r="J338" s="79">
        <f>IF($C338&lt;=Entradas!$E$124,"",E338-AVERAGE(E:E))</f>
        <v>-5.7028287453570359E-2</v>
      </c>
      <c r="K338" s="79">
        <f>IF($C338&lt;=Entradas!$E$124,"",J338^2)</f>
        <v>3.2522255698870504E-3</v>
      </c>
      <c r="L338" s="79">
        <f>IF($C338&lt;=Entradas!$E$124,"",G338*J338)</f>
        <v>-6.3796666983734012E-4</v>
      </c>
      <c r="M338" s="40"/>
    </row>
    <row r="339" spans="2:13">
      <c r="B339" s="39"/>
      <c r="C339" s="75">
        <v>334</v>
      </c>
      <c r="D339" s="110">
        <f>IF($C339&lt;=Entradas!$E$124,"",Observaciones!H339)</f>
        <v>0.81852382973480409</v>
      </c>
      <c r="E339" s="110">
        <f>IF($C339&lt;=Entradas!$E$124,"",LíneaBase!L340)</f>
        <v>0.73929264666166794</v>
      </c>
      <c r="F339" s="79">
        <f>IF($C339&lt;=Entradas!$E$124,"",D339-E339)</f>
        <v>7.9231183073136147E-2</v>
      </c>
      <c r="G339" s="79">
        <f>IF($C339&lt;=Entradas!$E$124,"",D339-AVERAGE(D:D))</f>
        <v>-8.7574852458674135E-2</v>
      </c>
      <c r="H339" s="79">
        <f>IF($C339&lt;=Entradas!$E$124,"",F339^2)</f>
        <v>6.2775803711688158E-3</v>
      </c>
      <c r="I339" s="79">
        <f>IF($C339&lt;=Entradas!$E$124,"",G339^2)</f>
        <v>7.669354783158543E-3</v>
      </c>
      <c r="J339" s="79">
        <f>IF($C339&lt;=Entradas!$E$124,"",E339-AVERAGE(E:E))</f>
        <v>-0.15628821713544994</v>
      </c>
      <c r="K339" s="79">
        <f>IF($C339&lt;=Entradas!$E$124,"",J339^2)</f>
        <v>2.4426006815377547E-2</v>
      </c>
      <c r="L339" s="79">
        <f>IF($C339&lt;=Entradas!$E$124,"",G339*J339)</f>
        <v>1.3686917556666255E-2</v>
      </c>
      <c r="M339" s="40"/>
    </row>
    <row r="340" spans="2:13">
      <c r="B340" s="39"/>
      <c r="C340" s="75">
        <v>335</v>
      </c>
      <c r="D340" s="110">
        <f>IF($C340&lt;=Entradas!$E$124,"",Observaciones!H340)</f>
        <v>0.72449970081980919</v>
      </c>
      <c r="E340" s="110">
        <f>IF($C340&lt;=Entradas!$E$124,"",LíneaBase!L341)</f>
        <v>0.64484459318533982</v>
      </c>
      <c r="F340" s="79">
        <f>IF($C340&lt;=Entradas!$E$124,"",D340-E340)</f>
        <v>7.9655107634469369E-2</v>
      </c>
      <c r="G340" s="79">
        <f>IF($C340&lt;=Entradas!$E$124,"",D340-AVERAGE(D:D))</f>
        <v>-0.18159898137366903</v>
      </c>
      <c r="H340" s="79">
        <f>IF($C340&lt;=Entradas!$E$124,"",F340^2)</f>
        <v>6.3449361722589005E-3</v>
      </c>
      <c r="I340" s="79">
        <f>IF($C340&lt;=Entradas!$E$124,"",G340^2)</f>
        <v>3.2978190035954195E-2</v>
      </c>
      <c r="J340" s="79">
        <f>IF($C340&lt;=Entradas!$E$124,"",E340-AVERAGE(E:E))</f>
        <v>-0.25073627061177806</v>
      </c>
      <c r="K340" s="79">
        <f>IF($C340&lt;=Entradas!$E$124,"",J340^2)</f>
        <v>6.2868677400302803E-2</v>
      </c>
      <c r="L340" s="79">
        <f>IF($C340&lt;=Entradas!$E$124,"",G340*J340)</f>
        <v>4.553345133653152E-2</v>
      </c>
      <c r="M340" s="40"/>
    </row>
    <row r="341" spans="2:13">
      <c r="B341" s="39"/>
      <c r="C341" s="75">
        <v>336</v>
      </c>
      <c r="D341" s="110">
        <f>IF($C341&lt;=Entradas!$E$124,"",Observaciones!H341)</f>
        <v>0.63342916912613545</v>
      </c>
      <c r="E341" s="110">
        <f>IF($C341&lt;=Entradas!$E$124,"",LíneaBase!L342)</f>
        <v>0.55335894684209086</v>
      </c>
      <c r="F341" s="79">
        <f>IF($C341&lt;=Entradas!$E$124,"",D341-E341)</f>
        <v>8.007022228404459E-2</v>
      </c>
      <c r="G341" s="79">
        <f>IF($C341&lt;=Entradas!$E$124,"",D341-AVERAGE(D:D))</f>
        <v>-0.27266951306734277</v>
      </c>
      <c r="H341" s="79">
        <f>IF($C341&lt;=Entradas!$E$124,"",F341^2)</f>
        <v>6.4112404966163109E-3</v>
      </c>
      <c r="I341" s="79">
        <f>IF($C341&lt;=Entradas!$E$124,"",G341^2)</f>
        <v>7.4348663356381808E-2</v>
      </c>
      <c r="J341" s="79">
        <f>IF($C341&lt;=Entradas!$E$124,"",E341-AVERAGE(E:E))</f>
        <v>-0.34222191695502702</v>
      </c>
      <c r="K341" s="79">
        <f>IF($C341&lt;=Entradas!$E$124,"",J341^2)</f>
        <v>0.11711584044437341</v>
      </c>
      <c r="L341" s="79">
        <f>IF($C341&lt;=Entradas!$E$124,"",G341*J341)</f>
        <v>9.3313483457099833E-2</v>
      </c>
      <c r="M341" s="40"/>
    </row>
    <row r="342" spans="2:13">
      <c r="B342" s="39"/>
      <c r="C342" s="75">
        <v>337</v>
      </c>
      <c r="D342" s="110">
        <f>IF($C342&lt;=Entradas!$E$124,"",Observaciones!H342)</f>
        <v>0.54358868353579615</v>
      </c>
      <c r="E342" s="110">
        <f>IF($C342&lt;=Entradas!$E$124,"",LíneaBase!L343)</f>
        <v>0.46304919735749034</v>
      </c>
      <c r="F342" s="79">
        <f>IF($C342&lt;=Entradas!$E$124,"",D342-E342)</f>
        <v>8.0539486178305808E-2</v>
      </c>
      <c r="G342" s="79">
        <f>IF($C342&lt;=Entradas!$E$124,"",D342-AVERAGE(D:D))</f>
        <v>-0.36250999865768208</v>
      </c>
      <c r="H342" s="79">
        <f>IF($C342&lt;=Entradas!$E$124,"",F342^2)</f>
        <v>6.4866088338655127E-3</v>
      </c>
      <c r="I342" s="79">
        <f>IF($C342&lt;=Entradas!$E$124,"",G342^2)</f>
        <v>0.13141349912679265</v>
      </c>
      <c r="J342" s="79">
        <f>IF($C342&lt;=Entradas!$E$124,"",E342-AVERAGE(E:E))</f>
        <v>-0.43253166643962754</v>
      </c>
      <c r="K342" s="79">
        <f>IF($C342&lt;=Entradas!$E$124,"",J342^2)</f>
        <v>0.18708364247304121</v>
      </c>
      <c r="L342" s="79">
        <f>IF($C342&lt;=Entradas!$E$124,"",G342*J342)</f>
        <v>0.15679705382043438</v>
      </c>
      <c r="M342" s="40"/>
    </row>
    <row r="343" spans="2:13">
      <c r="B343" s="39"/>
      <c r="C343" s="75">
        <v>338</v>
      </c>
      <c r="D343" s="110">
        <f>IF($C343&lt;=Entradas!$E$124,"",Observaciones!H343)</f>
        <v>0.45685603354325571</v>
      </c>
      <c r="E343" s="110">
        <f>IF($C343&lt;=Entradas!$E$124,"",LíneaBase!L344)</f>
        <v>0.37586906487517968</v>
      </c>
      <c r="F343" s="79">
        <f>IF($C343&lt;=Entradas!$E$124,"",D343-E343)</f>
        <v>8.0986968668076031E-2</v>
      </c>
      <c r="G343" s="79">
        <f>IF($C343&lt;=Entradas!$E$124,"",D343-AVERAGE(D:D))</f>
        <v>-0.44924264865022251</v>
      </c>
      <c r="H343" s="79">
        <f>IF($C343&lt;=Entradas!$E$124,"",F343^2)</f>
        <v>6.5588890940439289E-3</v>
      </c>
      <c r="I343" s="79">
        <f>IF($C343&lt;=Entradas!$E$124,"",G343^2)</f>
        <v>0.20181895736626726</v>
      </c>
      <c r="J343" s="79">
        <f>IF($C343&lt;=Entradas!$E$124,"",E343-AVERAGE(E:E))</f>
        <v>-0.5197117989219382</v>
      </c>
      <c r="K343" s="79">
        <f>IF($C343&lt;=Entradas!$E$124,"",J343^2)</f>
        <v>0.2701003539386771</v>
      </c>
      <c r="L343" s="79">
        <f>IF($C343&lt;=Entradas!$E$124,"",G343*J343)</f>
        <v>0.23347670508246338</v>
      </c>
      <c r="M343" s="40"/>
    </row>
    <row r="344" spans="2:13">
      <c r="B344" s="39"/>
      <c r="C344" s="75">
        <v>339</v>
      </c>
      <c r="D344" s="110">
        <f>IF($C344&lt;=Entradas!$E$124,"",Observaciones!H344)</f>
        <v>0.37305223474391563</v>
      </c>
      <c r="E344" s="110">
        <f>IF($C344&lt;=Entradas!$E$124,"",LíneaBase!L345)</f>
        <v>0.29163597790268136</v>
      </c>
      <c r="F344" s="79">
        <f>IF($C344&lt;=Entradas!$E$124,"",D344-E344)</f>
        <v>8.1416256841234269E-2</v>
      </c>
      <c r="G344" s="79">
        <f>IF($C344&lt;=Entradas!$E$124,"",D344-AVERAGE(D:D))</f>
        <v>-0.53304644744956264</v>
      </c>
      <c r="H344" s="79">
        <f>IF($C344&lt;=Entradas!$E$124,"",F344^2)</f>
        <v>6.628606878037826E-3</v>
      </c>
      <c r="I344" s="79">
        <f>IF($C344&lt;=Entradas!$E$124,"",G344^2)</f>
        <v>0.28413851513859933</v>
      </c>
      <c r="J344" s="79">
        <f>IF($C344&lt;=Entradas!$E$124,"",E344-AVERAGE(E:E))</f>
        <v>-0.60394488589443651</v>
      </c>
      <c r="K344" s="79">
        <f>IF($C344&lt;=Entradas!$E$124,"",J344^2)</f>
        <v>0.36474942519804393</v>
      </c>
      <c r="L344" s="79">
        <f>IF($C344&lt;=Entradas!$E$124,"",G344*J344)</f>
        <v>0.32193067588136087</v>
      </c>
      <c r="M344" s="40"/>
    </row>
    <row r="345" spans="2:13">
      <c r="B345" s="39"/>
      <c r="C345" s="75">
        <v>340</v>
      </c>
      <c r="D345" s="110">
        <f>IF($C345&lt;=Entradas!$E$124,"",Observaciones!H345)</f>
        <v>0.29156133348238034</v>
      </c>
      <c r="E345" s="110">
        <f>IF($C345&lt;=Entradas!$E$124,"",LíneaBase!L346)</f>
        <v>0.20971355752659146</v>
      </c>
      <c r="F345" s="79">
        <f>IF($C345&lt;=Entradas!$E$124,"",D345-E345)</f>
        <v>8.1847775955788876E-2</v>
      </c>
      <c r="G345" s="79">
        <f>IF($C345&lt;=Entradas!$E$124,"",D345-AVERAGE(D:D))</f>
        <v>-0.61453734871109789</v>
      </c>
      <c r="H345" s="79">
        <f>IF($C345&lt;=Entradas!$E$124,"",F345^2)</f>
        <v>6.6990584289090115E-3</v>
      </c>
      <c r="I345" s="79">
        <f>IF($C345&lt;=Entradas!$E$124,"",G345^2)</f>
        <v>0.37765615296086552</v>
      </c>
      <c r="J345" s="79">
        <f>IF($C345&lt;=Entradas!$E$124,"",E345-AVERAGE(E:E))</f>
        <v>-0.68586730627052639</v>
      </c>
      <c r="K345" s="79">
        <f>IF($C345&lt;=Entradas!$E$124,"",J345^2)</f>
        <v>0.47041396181078804</v>
      </c>
      <c r="L345" s="79">
        <f>IF($C345&lt;=Entradas!$E$124,"",G345*J345)</f>
        <v>0.42149107596311186</v>
      </c>
      <c r="M345" s="40"/>
    </row>
    <row r="346" spans="2:13">
      <c r="B346" s="39"/>
      <c r="C346" s="75">
        <v>341</v>
      </c>
      <c r="D346" s="110">
        <f>IF($C346&lt;=Entradas!$E$124,"",Observaciones!H346)</f>
        <v>0.21674514251598001</v>
      </c>
      <c r="E346" s="110">
        <f>IF($C346&lt;=Entradas!$E$124,"",LíneaBase!L347)</f>
        <v>0.1345032560711176</v>
      </c>
      <c r="F346" s="79">
        <f>IF($C346&lt;=Entradas!$E$124,"",D346-E346)</f>
        <v>8.2241886444862411E-2</v>
      </c>
      <c r="G346" s="79">
        <f>IF($C346&lt;=Entradas!$E$124,"",D346-AVERAGE(D:D))</f>
        <v>-0.68935353967749824</v>
      </c>
      <c r="H346" s="79">
        <f>IF($C346&lt;=Entradas!$E$124,"",F346^2)</f>
        <v>6.7637278860096439E-3</v>
      </c>
      <c r="I346" s="79">
        <f>IF($C346&lt;=Entradas!$E$124,"",G346^2)</f>
        <v>0.47520830266589614</v>
      </c>
      <c r="J346" s="79">
        <f>IF($C346&lt;=Entradas!$E$124,"",E346-AVERAGE(E:E))</f>
        <v>-0.7610776077260003</v>
      </c>
      <c r="K346" s="79">
        <f>IF($C346&lt;=Entradas!$E$124,"",J346^2)</f>
        <v>0.57923912498193164</v>
      </c>
      <c r="L346" s="79">
        <f>IF($C346&lt;=Entradas!$E$124,"",G346*J346)</f>
        <v>0.52465154285520077</v>
      </c>
      <c r="M346" s="40"/>
    </row>
    <row r="347" spans="2:13">
      <c r="B347" s="39"/>
      <c r="C347" s="75">
        <v>342</v>
      </c>
      <c r="D347" s="110">
        <f>IF($C347&lt;=Entradas!$E$124,"",Observaciones!H347)</f>
        <v>0.1411210851867275</v>
      </c>
      <c r="E347" s="110">
        <f>IF($C347&lt;=Entradas!$E$124,"",LíneaBase!L348)</f>
        <v>9.2905553274510916E-2</v>
      </c>
      <c r="F347" s="79">
        <f>IF($C347&lt;=Entradas!$E$124,"",D347-E347)</f>
        <v>4.8215531912216586E-2</v>
      </c>
      <c r="G347" s="79">
        <f>IF($C347&lt;=Entradas!$E$124,"",D347-AVERAGE(D:D))</f>
        <v>-0.76497759700675072</v>
      </c>
      <c r="H347" s="79">
        <f>IF($C347&lt;=Entradas!$E$124,"",F347^2)</f>
        <v>2.324737517577976E-3</v>
      </c>
      <c r="I347" s="79">
        <f>IF($C347&lt;=Entradas!$E$124,"",G347^2)</f>
        <v>0.58519072392222271</v>
      </c>
      <c r="J347" s="79">
        <f>IF($C347&lt;=Entradas!$E$124,"",E347-AVERAGE(E:E))</f>
        <v>-0.80267531052260699</v>
      </c>
      <c r="K347" s="79">
        <f>IF($C347&lt;=Entradas!$E$124,"",J347^2)</f>
        <v>0.6442876541225635</v>
      </c>
      <c r="L347" s="79">
        <f>IF($C347&lt;=Entradas!$E$124,"",G347*J347)</f>
        <v>0.61402863022023135</v>
      </c>
      <c r="M347" s="40"/>
    </row>
    <row r="348" spans="2:13">
      <c r="B348" s="39"/>
      <c r="C348" s="75">
        <v>343</v>
      </c>
      <c r="D348" s="110">
        <f>IF($C348&lt;=Entradas!$E$124,"",Observaciones!H348)</f>
        <v>0.10316907938270582</v>
      </c>
      <c r="E348" s="110">
        <f>IF($C348&lt;=Entradas!$E$124,"",LíneaBase!L349)</f>
        <v>8.5307476827766016E-2</v>
      </c>
      <c r="F348" s="79">
        <f>IF($C348&lt;=Entradas!$E$124,"",D348-E348)</f>
        <v>1.7861602554939807E-2</v>
      </c>
      <c r="G348" s="79">
        <f>IF($C348&lt;=Entradas!$E$124,"",D348-AVERAGE(D:D))</f>
        <v>-0.80292960281077241</v>
      </c>
      <c r="H348" s="79">
        <f>IF($C348&lt;=Entradas!$E$124,"",F348^2)</f>
        <v>3.1903684583063223E-4</v>
      </c>
      <c r="I348" s="79">
        <f>IF($C348&lt;=Entradas!$E$124,"",G348^2)</f>
        <v>0.64469594706986477</v>
      </c>
      <c r="J348" s="79">
        <f>IF($C348&lt;=Entradas!$E$124,"",E348-AVERAGE(E:E))</f>
        <v>-0.81027338696935192</v>
      </c>
      <c r="K348" s="79">
        <f>IF($C348&lt;=Entradas!$E$124,"",J348^2)</f>
        <v>0.65654296163078507</v>
      </c>
      <c r="L348" s="79">
        <f>IF($C348&lt;=Entradas!$E$124,"",G348*J348)</f>
        <v>0.65059248876744102</v>
      </c>
      <c r="M348" s="40"/>
    </row>
    <row r="349" spans="2:13">
      <c r="B349" s="39"/>
      <c r="C349" s="75">
        <v>344</v>
      </c>
      <c r="D349" s="110">
        <f>IF($C349&lt;=Entradas!$E$124,"",Observaciones!H349)</f>
        <v>9.6085647761876919E-2</v>
      </c>
      <c r="E349" s="110">
        <f>IF($C349&lt;=Entradas!$E$124,"",LíneaBase!L350)</f>
        <v>8.3358026552086142E-2</v>
      </c>
      <c r="F349" s="79">
        <f>IF($C349&lt;=Entradas!$E$124,"",D349-E349)</f>
        <v>1.2727621209790776E-2</v>
      </c>
      <c r="G349" s="79">
        <f>IF($C349&lt;=Entradas!$E$124,"",D349-AVERAGE(D:D))</f>
        <v>-0.81001303443160133</v>
      </c>
      <c r="H349" s="79">
        <f>IF($C349&lt;=Entradas!$E$124,"",F349^2)</f>
        <v>1.6199234165991603E-4</v>
      </c>
      <c r="I349" s="79">
        <f>IF($C349&lt;=Entradas!$E$124,"",G349^2)</f>
        <v>0.65612111594909062</v>
      </c>
      <c r="J349" s="79">
        <f>IF($C349&lt;=Entradas!$E$124,"",E349-AVERAGE(E:E))</f>
        <v>-0.81222283724503175</v>
      </c>
      <c r="K349" s="79">
        <f>IF($C349&lt;=Entradas!$E$124,"",J349^2)</f>
        <v>0.65970593734236938</v>
      </c>
      <c r="L349" s="79">
        <f>IF($C349&lt;=Entradas!$E$124,"",G349*J349)</f>
        <v>0.65791108503149287</v>
      </c>
      <c r="M349" s="40"/>
    </row>
    <row r="350" spans="2:13">
      <c r="B350" s="39"/>
      <c r="C350" s="75">
        <v>345</v>
      </c>
      <c r="D350" s="110">
        <f>IF($C350&lt;=Entradas!$E$124,"",Observaciones!H350)</f>
        <v>9.4132176843521556E-2</v>
      </c>
      <c r="E350" s="110">
        <f>IF($C350&lt;=Entradas!$E$124,"",LíneaBase!L351)</f>
        <v>8.2352674032313791E-2</v>
      </c>
      <c r="F350" s="79">
        <f>IF($C350&lt;=Entradas!$E$124,"",D350-E350)</f>
        <v>1.1779502811207765E-2</v>
      </c>
      <c r="G350" s="79">
        <f>IF($C350&lt;=Entradas!$E$124,"",D350-AVERAGE(D:D))</f>
        <v>-0.81196650534995662</v>
      </c>
      <c r="H350" s="79">
        <f>IF($C350&lt;=Entradas!$E$124,"",F350^2)</f>
        <v>1.3875668647925164E-4</v>
      </c>
      <c r="I350" s="79">
        <f>IF($C350&lt;=Entradas!$E$124,"",G350^2)</f>
        <v>0.65928960581022111</v>
      </c>
      <c r="J350" s="79">
        <f>IF($C350&lt;=Entradas!$E$124,"",E350-AVERAGE(E:E))</f>
        <v>-0.81322818976480404</v>
      </c>
      <c r="K350" s="79">
        <f>IF($C350&lt;=Entradas!$E$124,"",J350^2)</f>
        <v>0.66134008862814009</v>
      </c>
      <c r="L350" s="79">
        <f>IF($C350&lt;=Entradas!$E$124,"",G350*J350)</f>
        <v>0.66031405129539933</v>
      </c>
      <c r="M350" s="40"/>
    </row>
    <row r="351" spans="2:13">
      <c r="B351" s="39"/>
      <c r="C351" s="75">
        <v>346</v>
      </c>
      <c r="D351" s="110">
        <f>IF($C351&lt;=Entradas!$E$124,"",Observaciones!H351)</f>
        <v>9.3037619303150826E-2</v>
      </c>
      <c r="E351" s="110">
        <f>IF($C351&lt;=Entradas!$E$124,"",LíneaBase!L352)</f>
        <v>8.1510700235106384E-2</v>
      </c>
      <c r="F351" s="79">
        <f>IF($C351&lt;=Entradas!$E$124,"",D351-E351)</f>
        <v>1.1526919068044442E-2</v>
      </c>
      <c r="G351" s="79">
        <f>IF($C351&lt;=Entradas!$E$124,"",D351-AVERAGE(D:D))</f>
        <v>-0.81306106289032742</v>
      </c>
      <c r="H351" s="79">
        <f>IF($C351&lt;=Entradas!$E$124,"",F351^2)</f>
        <v>1.3286986320124654E-4</v>
      </c>
      <c r="I351" s="79">
        <f>IF($C351&lt;=Entradas!$E$124,"",G351^2)</f>
        <v>0.66106829198834893</v>
      </c>
      <c r="J351" s="79">
        <f>IF($C351&lt;=Entradas!$E$124,"",E351-AVERAGE(E:E))</f>
        <v>-0.81407016356201145</v>
      </c>
      <c r="K351" s="79">
        <f>IF($C351&lt;=Entradas!$E$124,"",J351^2)</f>
        <v>0.66271023120188011</v>
      </c>
      <c r="L351" s="79">
        <f>IF($C351&lt;=Entradas!$E$124,"",G351*J351)</f>
        <v>0.66188875245303169</v>
      </c>
      <c r="M351" s="40"/>
    </row>
    <row r="352" spans="2:13">
      <c r="B352" s="39"/>
      <c r="C352" s="75">
        <v>347</v>
      </c>
      <c r="D352" s="110">
        <f>IF($C352&lt;=Entradas!$E$124,"",Observaciones!H352)</f>
        <v>0.16368499597931857</v>
      </c>
      <c r="E352" s="110">
        <f>IF($C352&lt;=Entradas!$E$124,"",LíneaBase!L353)</f>
        <v>0.15221293023193921</v>
      </c>
      <c r="F352" s="79">
        <f>IF($C352&lt;=Entradas!$E$124,"",D352-E352)</f>
        <v>1.1472065747379356E-2</v>
      </c>
      <c r="G352" s="79">
        <f>IF($C352&lt;=Entradas!$E$124,"",D352-AVERAGE(D:D))</f>
        <v>-0.74241368621415971</v>
      </c>
      <c r="H352" s="79">
        <f>IF($C352&lt;=Entradas!$E$124,"",F352^2)</f>
        <v>1.3160829251219466E-4</v>
      </c>
      <c r="I352" s="79">
        <f>IF($C352&lt;=Entradas!$E$124,"",G352^2)</f>
        <v>0.55117808147809677</v>
      </c>
      <c r="J352" s="79">
        <f>IF($C352&lt;=Entradas!$E$124,"",E352-AVERAGE(E:E))</f>
        <v>-0.74336793356517861</v>
      </c>
      <c r="K352" s="79">
        <f>IF($C352&lt;=Entradas!$E$124,"",J352^2)</f>
        <v>0.55259588465296383</v>
      </c>
      <c r="L352" s="79">
        <f>IF($C352&lt;=Entradas!$E$124,"",G352*J352)</f>
        <v>0.5518865277715268</v>
      </c>
      <c r="M352" s="40"/>
    </row>
    <row r="353" spans="2:13">
      <c r="B353" s="39"/>
      <c r="C353" s="75">
        <v>348</v>
      </c>
      <c r="D353" s="110">
        <f>IF($C353&lt;=Entradas!$E$124,"",Observaciones!H353)</f>
        <v>0.10578593914603057</v>
      </c>
      <c r="E353" s="110">
        <f>IF($C353&lt;=Entradas!$E$124,"",LíneaBase!L354)</f>
        <v>9.4029247885892037E-2</v>
      </c>
      <c r="F353" s="79">
        <f>IF($C353&lt;=Entradas!$E$124,"",D353-E353)</f>
        <v>1.1756691260138535E-2</v>
      </c>
      <c r="G353" s="79">
        <f>IF($C353&lt;=Entradas!$E$124,"",D353-AVERAGE(D:D))</f>
        <v>-0.80031274304744771</v>
      </c>
      <c r="H353" s="79">
        <f>IF($C353&lt;=Entradas!$E$124,"",F353^2)</f>
        <v>1.3821978938621782E-4</v>
      </c>
      <c r="I353" s="79">
        <f>IF($C353&lt;=Entradas!$E$124,"",G353^2)</f>
        <v>0.64050048668413007</v>
      </c>
      <c r="J353" s="79">
        <f>IF($C353&lt;=Entradas!$E$124,"",E353-AVERAGE(E:E))</f>
        <v>-0.80155161591122581</v>
      </c>
      <c r="K353" s="79">
        <f>IF($C353&lt;=Entradas!$E$124,"",J353^2)</f>
        <v>0.64248499296989725</v>
      </c>
      <c r="L353" s="79">
        <f>IF($C353&lt;=Entradas!$E$124,"",G353*J353)</f>
        <v>0.64149197242402733</v>
      </c>
      <c r="M353" s="40"/>
    </row>
    <row r="354" spans="2:13">
      <c r="B354" s="39"/>
      <c r="C354" s="75">
        <v>349</v>
      </c>
      <c r="D354" s="110">
        <f>IF($C354&lt;=Entradas!$E$124,"",Observaciones!H354)</f>
        <v>9.2705432096798518E-2</v>
      </c>
      <c r="E354" s="110">
        <f>IF($C354&lt;=Entradas!$E$124,"",LíneaBase!L355)</f>
        <v>8.1462473057871673E-2</v>
      </c>
      <c r="F354" s="79">
        <f>IF($C354&lt;=Entradas!$E$124,"",D354-E354)</f>
        <v>1.1242959038926845E-2</v>
      </c>
      <c r="G354" s="79">
        <f>IF($C354&lt;=Entradas!$E$124,"",D354-AVERAGE(D:D))</f>
        <v>-0.81339325009667973</v>
      </c>
      <c r="H354" s="79">
        <f>IF($C354&lt;=Entradas!$E$124,"",F354^2)</f>
        <v>1.2640412795098685E-4</v>
      </c>
      <c r="I354" s="79">
        <f>IF($C354&lt;=Entradas!$E$124,"",G354^2)</f>
        <v>0.66160857930283978</v>
      </c>
      <c r="J354" s="79">
        <f>IF($C354&lt;=Entradas!$E$124,"",E354-AVERAGE(E:E))</f>
        <v>-0.81411839073924619</v>
      </c>
      <c r="K354" s="79">
        <f>IF($C354&lt;=Entradas!$E$124,"",J354^2)</f>
        <v>0.66278875413985994</v>
      </c>
      <c r="L354" s="79">
        <f>IF($C354&lt;=Entradas!$E$124,"",G354*J354)</f>
        <v>0.66219840380687411</v>
      </c>
      <c r="M354" s="40"/>
    </row>
    <row r="355" spans="2:13">
      <c r="B355" s="39"/>
      <c r="C355" s="75">
        <v>350</v>
      </c>
      <c r="D355" s="110">
        <f>IF($C355&lt;=Entradas!$E$124,"",Observaciones!H355)</f>
        <v>0.41871149003078056</v>
      </c>
      <c r="E355" s="110">
        <f>IF($C355&lt;=Entradas!$E$124,"",LíneaBase!L356)</f>
        <v>0.51493482607767005</v>
      </c>
      <c r="F355" s="79">
        <f>IF($C355&lt;=Entradas!$E$124,"",D355-E355)</f>
        <v>-9.6223336046889485E-2</v>
      </c>
      <c r="G355" s="79">
        <f>IF($C355&lt;=Entradas!$E$124,"",D355-AVERAGE(D:D))</f>
        <v>-0.48738719216269766</v>
      </c>
      <c r="H355" s="79">
        <f>IF($C355&lt;=Entradas!$E$124,"",F355^2)</f>
        <v>9.2589303999926209E-3</v>
      </c>
      <c r="I355" s="79">
        <f>IF($C355&lt;=Entradas!$E$124,"",G355^2)</f>
        <v>0.23754627508423837</v>
      </c>
      <c r="J355" s="79">
        <f>IF($C355&lt;=Entradas!$E$124,"",E355-AVERAGE(E:E))</f>
        <v>-0.38064603771944783</v>
      </c>
      <c r="K355" s="79">
        <f>IF($C355&lt;=Entradas!$E$124,"",J355^2)</f>
        <v>0.14489140603151529</v>
      </c>
      <c r="L355" s="79">
        <f>IF($C355&lt;=Entradas!$E$124,"",G355*J355)</f>
        <v>0.18552200353193798</v>
      </c>
      <c r="M355" s="40"/>
    </row>
    <row r="356" spans="2:13">
      <c r="B356" s="39"/>
      <c r="C356" s="75">
        <v>351</v>
      </c>
      <c r="D356" s="110">
        <f>IF($C356&lt;=Entradas!$E$124,"",Observaciones!H356)</f>
        <v>0.27114265053946274</v>
      </c>
      <c r="E356" s="110">
        <f>IF($C356&lt;=Entradas!$E$124,"",LíneaBase!L357)</f>
        <v>0.25065755856110916</v>
      </c>
      <c r="F356" s="79">
        <f>IF($C356&lt;=Entradas!$E$124,"",D356-E356)</f>
        <v>2.0485091978353576E-2</v>
      </c>
      <c r="G356" s="79">
        <f>IF($C356&lt;=Entradas!$E$124,"",D356-AVERAGE(D:D))</f>
        <v>-0.63495603165401548</v>
      </c>
      <c r="H356" s="79">
        <f>IF($C356&lt;=Entradas!$E$124,"",F356^2)</f>
        <v>4.1963899336160604E-4</v>
      </c>
      <c r="I356" s="79">
        <f>IF($C356&lt;=Entradas!$E$124,"",G356^2)</f>
        <v>0.4031691621338151</v>
      </c>
      <c r="J356" s="79">
        <f>IF($C356&lt;=Entradas!$E$124,"",E356-AVERAGE(E:E))</f>
        <v>-0.64492330523600871</v>
      </c>
      <c r="K356" s="79">
        <f>IF($C356&lt;=Entradas!$E$124,"",J356^2)</f>
        <v>0.41592606963653805</v>
      </c>
      <c r="L356" s="79">
        <f>IF($C356&lt;=Entradas!$E$124,"",G356*J356)</f>
        <v>0.40949794261384742</v>
      </c>
      <c r="M356" s="40"/>
    </row>
    <row r="357" spans="2:13">
      <c r="B357" s="39"/>
      <c r="C357" s="75">
        <v>352</v>
      </c>
      <c r="D357" s="110">
        <f>IF($C357&lt;=Entradas!$E$124,"",Observaciones!H357)</f>
        <v>0.21506529338924849</v>
      </c>
      <c r="E357" s="110">
        <f>IF($C357&lt;=Entradas!$E$124,"",LíneaBase!L358)</f>
        <v>0.19217484318141448</v>
      </c>
      <c r="F357" s="79">
        <f>IF($C357&lt;=Entradas!$E$124,"",D357-E357)</f>
        <v>2.2890450207834007E-2</v>
      </c>
      <c r="G357" s="79">
        <f>IF($C357&lt;=Entradas!$E$124,"",D357-AVERAGE(D:D))</f>
        <v>-0.69103338880422971</v>
      </c>
      <c r="H357" s="79">
        <f>IF($C357&lt;=Entradas!$E$124,"",F357^2)</f>
        <v>5.2397271071732792E-4</v>
      </c>
      <c r="I357" s="79">
        <f>IF($C357&lt;=Entradas!$E$124,"",G357^2)</f>
        <v>0.47752714444225769</v>
      </c>
      <c r="J357" s="79">
        <f>IF($C357&lt;=Entradas!$E$124,"",E357-AVERAGE(E:E))</f>
        <v>-0.70340602061570334</v>
      </c>
      <c r="K357" s="79">
        <f>IF($C357&lt;=Entradas!$E$124,"",J357^2)</f>
        <v>0.49478002983841929</v>
      </c>
      <c r="L357" s="79">
        <f>IF($C357&lt;=Entradas!$E$124,"",G357*J357)</f>
        <v>0.48607704613136732</v>
      </c>
      <c r="M357" s="40"/>
    </row>
    <row r="358" spans="2:13">
      <c r="B358" s="39"/>
      <c r="C358" s="75">
        <v>353</v>
      </c>
      <c r="D358" s="110">
        <f>IF($C358&lt;=Entradas!$E$124,"",Observaciones!H358)</f>
        <v>2.2448826668454513</v>
      </c>
      <c r="E358" s="110">
        <f>IF($C358&lt;=Entradas!$E$124,"",LíneaBase!L359)</f>
        <v>2.7540371030225859</v>
      </c>
      <c r="F358" s="79">
        <f>IF($C358&lt;=Entradas!$E$124,"",D358-E358)</f>
        <v>-0.50915443617713452</v>
      </c>
      <c r="G358" s="79">
        <f>IF($C358&lt;=Entradas!$E$124,"",D358-AVERAGE(D:D))</f>
        <v>1.3387839846519731</v>
      </c>
      <c r="H358" s="79">
        <f>IF($C358&lt;=Entradas!$E$124,"",F358^2)</f>
        <v>0.25923823987885575</v>
      </c>
      <c r="I358" s="79">
        <f>IF($C358&lt;=Entradas!$E$124,"",G358^2)</f>
        <v>1.7923425575606147</v>
      </c>
      <c r="J358" s="79">
        <f>IF($C358&lt;=Entradas!$E$124,"",E358-AVERAGE(E:E))</f>
        <v>1.858456239225468</v>
      </c>
      <c r="K358" s="79">
        <f>IF($C358&lt;=Entradas!$E$124,"",J358^2)</f>
        <v>3.45385959311607</v>
      </c>
      <c r="L358" s="79">
        <f>IF($C358&lt;=Entradas!$E$124,"",G358*J358)</f>
        <v>2.4880714492515925</v>
      </c>
      <c r="M358" s="40"/>
    </row>
    <row r="359" spans="2:13">
      <c r="B359" s="39"/>
      <c r="C359" s="75">
        <v>354</v>
      </c>
      <c r="D359" s="110">
        <f>IF($C359&lt;=Entradas!$E$124,"",Observaciones!H359)</f>
        <v>0.58121582898816548</v>
      </c>
      <c r="E359" s="110">
        <f>IF($C359&lt;=Entradas!$E$124,"",LíneaBase!L360)</f>
        <v>0.53551175435553189</v>
      </c>
      <c r="F359" s="79">
        <f>IF($C359&lt;=Entradas!$E$124,"",D359-E359)</f>
        <v>4.5704074632633596E-2</v>
      </c>
      <c r="G359" s="79">
        <f>IF($C359&lt;=Entradas!$E$124,"",D359-AVERAGE(D:D))</f>
        <v>-0.32488285320531274</v>
      </c>
      <c r="H359" s="79">
        <f>IF($C359&lt;=Entradas!$E$124,"",F359^2)</f>
        <v>2.0888624380253416E-3</v>
      </c>
      <c r="I359" s="79">
        <f>IF($C359&lt;=Entradas!$E$124,"",G359^2)</f>
        <v>0.10554886830682479</v>
      </c>
      <c r="J359" s="79">
        <f>IF($C359&lt;=Entradas!$E$124,"",E359-AVERAGE(E:E))</f>
        <v>-0.36006910944158599</v>
      </c>
      <c r="K359" s="79">
        <f>IF($C359&lt;=Entradas!$E$124,"",J359^2)</f>
        <v>0.12964976357405683</v>
      </c>
      <c r="L359" s="79">
        <f>IF($C359&lt;=Entradas!$E$124,"",G359*J359)</f>
        <v>0.11698027962647847</v>
      </c>
      <c r="M359" s="40"/>
    </row>
    <row r="360" spans="2:13">
      <c r="B360" s="39"/>
      <c r="C360" s="75">
        <v>355</v>
      </c>
      <c r="D360" s="110">
        <f>IF($C360&lt;=Entradas!$E$124,"",Observaciones!H360)</f>
        <v>0.49274741358436686</v>
      </c>
      <c r="E360" s="110">
        <f>IF($C360&lt;=Entradas!$E$124,"",LíneaBase!L361)</f>
        <v>0.44545359753754354</v>
      </c>
      <c r="F360" s="79">
        <f>IF($C360&lt;=Entradas!$E$124,"",D360-E360)</f>
        <v>4.7293816046823312E-2</v>
      </c>
      <c r="G360" s="79">
        <f>IF($C360&lt;=Entradas!$E$124,"",D360-AVERAGE(D:D))</f>
        <v>-0.41335126860911137</v>
      </c>
      <c r="H360" s="79">
        <f>IF($C360&lt;=Entradas!$E$124,"",F360^2)</f>
        <v>2.2367050362707623E-3</v>
      </c>
      <c r="I360" s="79">
        <f>IF($C360&lt;=Entradas!$E$124,"",G360^2)</f>
        <v>0.17085927126076172</v>
      </c>
      <c r="J360" s="79">
        <f>IF($C360&lt;=Entradas!$E$124,"",E360-AVERAGE(E:E))</f>
        <v>-0.45012726625957433</v>
      </c>
      <c r="K360" s="79">
        <f>IF($C360&lt;=Entradas!$E$124,"",J360^2)</f>
        <v>0.20261455583031773</v>
      </c>
      <c r="L360" s="79">
        <f>IF($C360&lt;=Entradas!$E$124,"",G360*J360)</f>
        <v>0.18606067654394631</v>
      </c>
      <c r="M360" s="40"/>
    </row>
    <row r="361" spans="2:13">
      <c r="B361" s="39"/>
      <c r="C361" s="75">
        <v>356</v>
      </c>
      <c r="D361" s="110">
        <f>IF($C361&lt;=Entradas!$E$124,"",Observaciones!H361)</f>
        <v>1.8462634579632737</v>
      </c>
      <c r="E361" s="110">
        <f>IF($C361&lt;=Entradas!$E$124,"",LíneaBase!L362)</f>
        <v>2.1843047364001626</v>
      </c>
      <c r="F361" s="79">
        <f>IF($C361&lt;=Entradas!$E$124,"",D361-E361)</f>
        <v>-0.33804127843688891</v>
      </c>
      <c r="G361" s="79">
        <f>IF($C361&lt;=Entradas!$E$124,"",D361-AVERAGE(D:D))</f>
        <v>0.94016477576979551</v>
      </c>
      <c r="H361" s="79">
        <f>IF($C361&lt;=Entradas!$E$124,"",F361^2)</f>
        <v>0.11427190592724626</v>
      </c>
      <c r="I361" s="79">
        <f>IF($C361&lt;=Entradas!$E$124,"",G361^2)</f>
        <v>0.88390980559826993</v>
      </c>
      <c r="J361" s="79">
        <f>IF($C361&lt;=Entradas!$E$124,"",E361-AVERAGE(E:E))</f>
        <v>1.2887238726030448</v>
      </c>
      <c r="K361" s="79">
        <f>IF($C361&lt;=Entradas!$E$124,"",J361^2)</f>
        <v>1.6608092198169888</v>
      </c>
      <c r="L361" s="79">
        <f>IF($C361&lt;=Entradas!$E$124,"",G361*J361)</f>
        <v>1.211612790715024</v>
      </c>
      <c r="M361" s="40"/>
    </row>
    <row r="362" spans="2:13">
      <c r="B362" s="39"/>
      <c r="C362" s="75">
        <v>357</v>
      </c>
      <c r="D362" s="110">
        <f>IF($C362&lt;=Entradas!$E$124,"",Observaciones!H362)</f>
        <v>0.838320232762649</v>
      </c>
      <c r="E362" s="110">
        <f>IF($C362&lt;=Entradas!$E$124,"",LíneaBase!L363)</f>
        <v>0.77473021515612561</v>
      </c>
      <c r="F362" s="79">
        <f>IF($C362&lt;=Entradas!$E$124,"",D362-E362)</f>
        <v>6.3590017606523386E-2</v>
      </c>
      <c r="G362" s="79">
        <f>IF($C362&lt;=Entradas!$E$124,"",D362-AVERAGE(D:D))</f>
        <v>-6.7778449430829224E-2</v>
      </c>
      <c r="H362" s="79">
        <f>IF($C362&lt;=Entradas!$E$124,"",F362^2)</f>
        <v>4.0436903391979544E-3</v>
      </c>
      <c r="I362" s="79">
        <f>IF($C362&lt;=Entradas!$E$124,"",G362^2)</f>
        <v>4.5939182072474742E-3</v>
      </c>
      <c r="J362" s="79">
        <f>IF($C362&lt;=Entradas!$E$124,"",E362-AVERAGE(E:E))</f>
        <v>-0.12085064864099226</v>
      </c>
      <c r="K362" s="79">
        <f>IF($C362&lt;=Entradas!$E$124,"",J362^2)</f>
        <v>1.4604879276948566E-2</v>
      </c>
      <c r="L362" s="79">
        <f>IF($C362&lt;=Entradas!$E$124,"",G362*J362)</f>
        <v>8.1910695775964052E-3</v>
      </c>
      <c r="M362" s="40"/>
    </row>
    <row r="363" spans="2:13">
      <c r="B363" s="39"/>
      <c r="C363" s="75">
        <v>358</v>
      </c>
      <c r="D363" s="110">
        <f>IF($C363&lt;=Entradas!$E$124,"",Observaciones!H363)</f>
        <v>0.74095895842834647</v>
      </c>
      <c r="E363" s="110">
        <f>IF($C363&lt;=Entradas!$E$124,"",LíneaBase!L364)</f>
        <v>0.67639315005762513</v>
      </c>
      <c r="F363" s="79">
        <f>IF($C363&lt;=Entradas!$E$124,"",D363-E363)</f>
        <v>6.4565808370721345E-2</v>
      </c>
      <c r="G363" s="79">
        <f>IF($C363&lt;=Entradas!$E$124,"",D363-AVERAGE(D:D))</f>
        <v>-0.16513972376513175</v>
      </c>
      <c r="H363" s="79">
        <f>IF($C363&lt;=Entradas!$E$124,"",F363^2)</f>
        <v>4.1687436105647107E-3</v>
      </c>
      <c r="I363" s="79">
        <f>IF($C363&lt;=Entradas!$E$124,"",G363^2)</f>
        <v>2.727112836522402E-2</v>
      </c>
      <c r="J363" s="79">
        <f>IF($C363&lt;=Entradas!$E$124,"",E363-AVERAGE(E:E))</f>
        <v>-0.21918771373949275</v>
      </c>
      <c r="K363" s="79">
        <f>IF($C363&lt;=Entradas!$E$124,"",J363^2)</f>
        <v>4.8043253854345817E-2</v>
      </c>
      <c r="L363" s="79">
        <f>IF($C363&lt;=Entradas!$E$124,"",G363*J363)</f>
        <v>3.6196598499650609E-2</v>
      </c>
      <c r="M363" s="40"/>
    </row>
    <row r="364" spans="2:13">
      <c r="B364" s="39"/>
      <c r="C364" s="75">
        <v>359</v>
      </c>
      <c r="D364" s="110">
        <f>IF($C364&lt;=Entradas!$E$124,"",Observaciones!H364)</f>
        <v>4.4030202170012602</v>
      </c>
      <c r="E364" s="110">
        <f>IF($C364&lt;=Entradas!$E$124,"",LíneaBase!L365)</f>
        <v>5.2872146561170554</v>
      </c>
      <c r="F364" s="79">
        <f>IF($C364&lt;=Entradas!$E$124,"",D364-E364)</f>
        <v>-0.88419443911579521</v>
      </c>
      <c r="G364" s="79">
        <f>IF($C364&lt;=Entradas!$E$124,"",D364-AVERAGE(D:D))</f>
        <v>3.496921534807782</v>
      </c>
      <c r="H364" s="79">
        <f>IF($C364&lt;=Entradas!$E$124,"",F364^2)</f>
        <v>0.7817998061632957</v>
      </c>
      <c r="I364" s="79">
        <f>IF($C364&lt;=Entradas!$E$124,"",G364^2)</f>
        <v>12.228460220602413</v>
      </c>
      <c r="J364" s="79">
        <f>IF($C364&lt;=Entradas!$E$124,"",E364-AVERAGE(E:E))</f>
        <v>4.3916337923199373</v>
      </c>
      <c r="K364" s="79">
        <f>IF($C364&lt;=Entradas!$E$124,"",J364^2)</f>
        <v>19.286447365846396</v>
      </c>
      <c r="L364" s="79">
        <f>IF($C364&lt;=Entradas!$E$124,"",G364*J364)</f>
        <v>15.357198781353155</v>
      </c>
      <c r="M364" s="40"/>
    </row>
    <row r="365" spans="2:13">
      <c r="B365" s="39"/>
      <c r="C365" s="75">
        <v>360</v>
      </c>
      <c r="D365" s="110">
        <f>IF($C365&lt;=Entradas!$E$124,"",Observaciones!H365)</f>
        <v>1.2398845191109809</v>
      </c>
      <c r="E365" s="110">
        <f>IF($C365&lt;=Entradas!$E$124,"",LíneaBase!L366)</f>
        <v>1.2382839391505354</v>
      </c>
      <c r="F365" s="79">
        <f>IF($C365&lt;=Entradas!$E$124,"",D365-E365)</f>
        <v>1.6005799604454918E-3</v>
      </c>
      <c r="G365" s="79">
        <f>IF($C365&lt;=Entradas!$E$124,"",D365-AVERAGE(D:D))</f>
        <v>0.33378583691750263</v>
      </c>
      <c r="H365" s="79">
        <f>IF($C365&lt;=Entradas!$E$124,"",F365^2)</f>
        <v>2.561856209779692E-6</v>
      </c>
      <c r="I365" s="79">
        <f>IF($C365&lt;=Entradas!$E$124,"",G365^2)</f>
        <v>0.11141298492671767</v>
      </c>
      <c r="J365" s="79">
        <f>IF($C365&lt;=Entradas!$E$124,"",E365-AVERAGE(E:E))</f>
        <v>0.34270307535341749</v>
      </c>
      <c r="K365" s="79">
        <f>IF($C365&lt;=Entradas!$E$124,"",J365^2)</f>
        <v>0.11744539785669014</v>
      </c>
      <c r="L365" s="79">
        <f>IF($C365&lt;=Entradas!$E$124,"",G365*J365)</f>
        <v>0.11438943282104243</v>
      </c>
      <c r="M365" s="40"/>
    </row>
    <row r="366" spans="2:13">
      <c r="B366" s="39"/>
      <c r="C366" s="75">
        <v>361</v>
      </c>
      <c r="D366" s="110">
        <f>IF($C366&lt;=Entradas!$E$124,"",Observaciones!H366)</f>
        <v>1.2234656020381622</v>
      </c>
      <c r="E366" s="110">
        <f>IF($C366&lt;=Entradas!$E$124,"",LíneaBase!L367)</f>
        <v>1.2174482405924141</v>
      </c>
      <c r="F366" s="79">
        <f>IF($C366&lt;=Entradas!$E$124,"",D366-E366)</f>
        <v>6.0173614457481595E-3</v>
      </c>
      <c r="G366" s="79">
        <f>IF($C366&lt;=Entradas!$E$124,"",D366-AVERAGE(D:D))</f>
        <v>0.31736691984468401</v>
      </c>
      <c r="H366" s="79">
        <f>IF($C366&lt;=Entradas!$E$124,"",F366^2)</f>
        <v>3.6208638768776381E-5</v>
      </c>
      <c r="I366" s="79">
        <f>IF($C366&lt;=Entradas!$E$124,"",G366^2)</f>
        <v>0.10072176181170209</v>
      </c>
      <c r="J366" s="79">
        <f>IF($C366&lt;=Entradas!$E$124,"",E366-AVERAGE(E:E))</f>
        <v>0.3218673767952962</v>
      </c>
      <c r="K366" s="79">
        <f>IF($C366&lt;=Entradas!$E$124,"",J366^2)</f>
        <v>0.10359860824508518</v>
      </c>
      <c r="L366" s="79">
        <f>IF($C366&lt;=Entradas!$E$124,"",G366*J366)</f>
        <v>0.10215005797201147</v>
      </c>
      <c r="M366" s="40"/>
    </row>
    <row r="367" spans="2:13">
      <c r="B367" s="39"/>
      <c r="C367" s="75">
        <v>362</v>
      </c>
      <c r="D367" s="110">
        <f>IF($C367&lt;=Entradas!$E$124,"",Observaciones!H367)</f>
        <v>1.2967261567784383</v>
      </c>
      <c r="E367" s="110">
        <f>IF($C367&lt;=Entradas!$E$124,"",LíneaBase!L368)</f>
        <v>1.3498628437075286</v>
      </c>
      <c r="F367" s="79">
        <f>IF($C367&lt;=Entradas!$E$124,"",D367-E367)</f>
        <v>-5.3136686929090349E-2</v>
      </c>
      <c r="G367" s="79">
        <f>IF($C367&lt;=Entradas!$E$124,"",D367-AVERAGE(D:D))</f>
        <v>0.39062747458496005</v>
      </c>
      <c r="H367" s="79">
        <f>IF($C367&lt;=Entradas!$E$124,"",F367^2)</f>
        <v>2.8235074978001612E-3</v>
      </c>
      <c r="I367" s="79">
        <f>IF($C367&lt;=Entradas!$E$124,"",G367^2)</f>
        <v>0.15258982390062362</v>
      </c>
      <c r="J367" s="79">
        <f>IF($C367&lt;=Entradas!$E$124,"",E367-AVERAGE(E:E))</f>
        <v>0.45428197991041075</v>
      </c>
      <c r="K367" s="79">
        <f>IF($C367&lt;=Entradas!$E$124,"",J367^2)</f>
        <v>0.20637211727132285</v>
      </c>
      <c r="L367" s="79">
        <f>IF($C367&lt;=Entradas!$E$124,"",G367*J367)</f>
        <v>0.1774550225618593</v>
      </c>
      <c r="M367" s="40"/>
    </row>
    <row r="368" spans="2:13">
      <c r="B368" s="39"/>
      <c r="C368" s="75">
        <v>363</v>
      </c>
      <c r="D368" s="110">
        <f>IF($C368&lt;=Entradas!$E$124,"",Observaciones!H368)</f>
        <v>1.2688106132196546</v>
      </c>
      <c r="E368" s="110">
        <f>IF($C368&lt;=Entradas!$E$124,"",LíneaBase!L369)</f>
        <v>1.2641644113190702</v>
      </c>
      <c r="F368" s="79">
        <f>IF($C368&lt;=Entradas!$E$124,"",D368-E368)</f>
        <v>4.6462019005844013E-3</v>
      </c>
      <c r="G368" s="79">
        <f>IF($C368&lt;=Entradas!$E$124,"",D368-AVERAGE(D:D))</f>
        <v>0.36271193102617638</v>
      </c>
      <c r="H368" s="79">
        <f>IF($C368&lt;=Entradas!$E$124,"",F368^2)</f>
        <v>2.1587192100994104E-5</v>
      </c>
      <c r="I368" s="79">
        <f>IF($C368&lt;=Entradas!$E$124,"",G368^2)</f>
        <v>0.13155994490873774</v>
      </c>
      <c r="J368" s="79">
        <f>IF($C368&lt;=Entradas!$E$124,"",E368-AVERAGE(E:E))</f>
        <v>0.36858354752195233</v>
      </c>
      <c r="K368" s="79">
        <f>IF($C368&lt;=Entradas!$E$124,"",J368^2)</f>
        <v>0.13585383150386729</v>
      </c>
      <c r="L368" s="79">
        <f>IF($C368&lt;=Entradas!$E$124,"",G368*J368)</f>
        <v>0.13368965026616578</v>
      </c>
      <c r="M368" s="40"/>
    </row>
    <row r="369" spans="2:13">
      <c r="B369" s="39"/>
      <c r="C369" s="75">
        <v>364</v>
      </c>
      <c r="D369" s="110">
        <f>IF($C369&lt;=Entradas!$E$124,"",Observaciones!H369)</f>
        <v>1.2762538381371709</v>
      </c>
      <c r="E369" s="110">
        <f>IF($C369&lt;=Entradas!$E$124,"",LíneaBase!L370)</f>
        <v>1.272735597865525</v>
      </c>
      <c r="F369" s="79">
        <f>IF($C369&lt;=Entradas!$E$124,"",D369-E369)</f>
        <v>3.5182402716458228E-3</v>
      </c>
      <c r="G369" s="79">
        <f>IF($C369&lt;=Entradas!$E$124,"",D369-AVERAGE(D:D))</f>
        <v>0.37015515594369264</v>
      </c>
      <c r="H369" s="79">
        <f>IF($C369&lt;=Entradas!$E$124,"",F369^2)</f>
        <v>1.2378014609030473E-5</v>
      </c>
      <c r="I369" s="79">
        <f>IF($C369&lt;=Entradas!$E$124,"",G369^2)</f>
        <v>0.1370148394716994</v>
      </c>
      <c r="J369" s="79">
        <f>IF($C369&lt;=Entradas!$E$124,"",E369-AVERAGE(E:E))</f>
        <v>0.37715473406840716</v>
      </c>
      <c r="K369" s="79">
        <f>IF($C369&lt;=Entradas!$E$124,"",J369^2)</f>
        <v>0.14224569343021093</v>
      </c>
      <c r="L369" s="79">
        <f>IF($C369&lt;=Entradas!$E$124,"",G369*J369)</f>
        <v>0.13960576940399319</v>
      </c>
      <c r="M369" s="40"/>
    </row>
    <row r="370" spans="2:13">
      <c r="B370" s="39"/>
      <c r="C370" s="75">
        <v>365</v>
      </c>
      <c r="D370" s="110">
        <f>IF($C370&lt;=Entradas!$E$124,"",Observaciones!H370)</f>
        <v>1.2543410695170669</v>
      </c>
      <c r="E370" s="110">
        <f>IF($C370&lt;=Entradas!$E$124,"",LíneaBase!L371)</f>
        <v>1.2441724444320688</v>
      </c>
      <c r="F370" s="79">
        <f>IF($C370&lt;=Entradas!$E$124,"",D370-E370)</f>
        <v>1.0168625084998162E-2</v>
      </c>
      <c r="G370" s="79">
        <f>IF($C370&lt;=Entradas!$E$124,"",D370-AVERAGE(D:D))</f>
        <v>0.3482423873235887</v>
      </c>
      <c r="H370" s="79">
        <f>IF($C370&lt;=Entradas!$E$124,"",F370^2)</f>
        <v>1.0340093611925387E-4</v>
      </c>
      <c r="I370" s="79">
        <f>IF($C370&lt;=Entradas!$E$124,"",G370^2)</f>
        <v>0.12127276032883237</v>
      </c>
      <c r="J370" s="79">
        <f>IF($C370&lt;=Entradas!$E$124,"",E370-AVERAGE(E:E))</f>
        <v>0.34859158063495088</v>
      </c>
      <c r="K370" s="79">
        <f>IF($C370&lt;=Entradas!$E$124,"",J370^2)</f>
        <v>0.12151609008957347</v>
      </c>
      <c r="L370" s="79">
        <f>IF($C370&lt;=Entradas!$E$124,"",G370*J370)</f>
        <v>0.12139436424121856</v>
      </c>
      <c r="M370" s="40"/>
    </row>
    <row r="371" spans="2:13">
      <c r="B371" s="39"/>
      <c r="C371" s="75">
        <v>366</v>
      </c>
      <c r="D371" s="110">
        <f>IF($C371&lt;=Entradas!$E$124,"",Observaciones!H371)</f>
        <v>3.5956025883777398</v>
      </c>
      <c r="E371" s="110">
        <f>IF($C371&lt;=Entradas!$E$124,"",LíneaBase!L372)</f>
        <v>4.4268042260306348</v>
      </c>
      <c r="F371" s="79">
        <f>IF($C371&lt;=Entradas!$E$124,"",D371-E371)</f>
        <v>-0.83120163765289501</v>
      </c>
      <c r="G371" s="79">
        <f>IF($C371&lt;=Entradas!$E$124,"",D371-AVERAGE(D:D))</f>
        <v>2.6895039061842616</v>
      </c>
      <c r="H371" s="79">
        <f>IF($C371&lt;=Entradas!$E$124,"",F371^2)</f>
        <v>0.69089616243685459</v>
      </c>
      <c r="I371" s="79">
        <f>IF($C371&lt;=Entradas!$E$124,"",G371^2)</f>
        <v>7.2334312613804013</v>
      </c>
      <c r="J371" s="79">
        <f>IF($C371&lt;=Entradas!$E$124,"",E371-AVERAGE(E:E))</f>
        <v>3.5312233622335167</v>
      </c>
      <c r="K371" s="79">
        <f>IF($C371&lt;=Entradas!$E$124,"",J371^2)</f>
        <v>12.469538433983782</v>
      </c>
      <c r="L371" s="79">
        <f>IF($C371&lt;=Entradas!$E$124,"",G371*J371)</f>
        <v>9.4972390263361657</v>
      </c>
      <c r="M371" s="40"/>
    </row>
    <row r="372" spans="2:13">
      <c r="B372" s="39"/>
      <c r="C372" s="75">
        <v>367</v>
      </c>
      <c r="D372" s="110">
        <f>IF($C372&lt;=Entradas!$E$124,"",Observaciones!H372)</f>
        <v>1.2058495533566642</v>
      </c>
      <c r="E372" s="110">
        <f>IF($C372&lt;=Entradas!$E$124,"",LíneaBase!L373)</f>
        <v>1.3082047545270306</v>
      </c>
      <c r="F372" s="79">
        <f>IF($C372&lt;=Entradas!$E$124,"",D372-E372)</f>
        <v>-0.10235520117036634</v>
      </c>
      <c r="G372" s="79">
        <f>IF($C372&lt;=Entradas!$E$124,"",D372-AVERAGE(D:D))</f>
        <v>0.29975087116318599</v>
      </c>
      <c r="H372" s="79">
        <f>IF($C372&lt;=Entradas!$E$124,"",F372^2)</f>
        <v>1.0476587206626163E-2</v>
      </c>
      <c r="I372" s="79">
        <f>IF($C372&lt;=Entradas!$E$124,"",G372^2)</f>
        <v>8.9850584763088923E-2</v>
      </c>
      <c r="J372" s="79">
        <f>IF($C372&lt;=Entradas!$E$124,"",E372-AVERAGE(E:E))</f>
        <v>0.41262389072991268</v>
      </c>
      <c r="K372" s="79">
        <f>IF($C372&lt;=Entradas!$E$124,"",J372^2)</f>
        <v>0.17025847520109091</v>
      </c>
      <c r="L372" s="79">
        <f>IF($C372&lt;=Entradas!$E$124,"",G372*J372)</f>
        <v>0.1236843707090346</v>
      </c>
      <c r="M372" s="40"/>
    </row>
    <row r="373" spans="2:13">
      <c r="B373" s="39"/>
      <c r="C373" s="75">
        <v>368</v>
      </c>
      <c r="D373" s="110">
        <f>IF($C373&lt;=Entradas!$E$124,"",Observaciones!H373)</f>
        <v>2.5752731916512372</v>
      </c>
      <c r="E373" s="110">
        <f>IF($C373&lt;=Entradas!$E$124,"",LíneaBase!L374)</f>
        <v>3.1302113529085061</v>
      </c>
      <c r="F373" s="79">
        <f>IF($C373&lt;=Entradas!$E$124,"",D373-E373)</f>
        <v>-0.5549381612572688</v>
      </c>
      <c r="G373" s="79">
        <f>IF($C373&lt;=Entradas!$E$124,"",D373-AVERAGE(D:D))</f>
        <v>1.669174509457759</v>
      </c>
      <c r="H373" s="79">
        <f>IF($C373&lt;=Entradas!$E$124,"",F373^2)</f>
        <v>0.30795636281959848</v>
      </c>
      <c r="I373" s="79">
        <f>IF($C373&lt;=Entradas!$E$124,"",G373^2)</f>
        <v>2.7861435430235506</v>
      </c>
      <c r="J373" s="79">
        <f>IF($C373&lt;=Entradas!$E$124,"",E373-AVERAGE(E:E))</f>
        <v>2.234630489111388</v>
      </c>
      <c r="K373" s="79">
        <f>IF($C373&lt;=Entradas!$E$124,"",J373^2)</f>
        <v>4.9935734228662012</v>
      </c>
      <c r="L373" s="79">
        <f>IF($C373&lt;=Entradas!$E$124,"",G373*J373)</f>
        <v>3.7299882504818531</v>
      </c>
      <c r="M373" s="40"/>
    </row>
    <row r="374" spans="2:13">
      <c r="B374" s="39"/>
      <c r="C374" s="75">
        <v>369</v>
      </c>
      <c r="D374" s="110">
        <f>IF($C374&lt;=Entradas!$E$124,"",Observaciones!H374)</f>
        <v>1.342278116725431</v>
      </c>
      <c r="E374" s="110">
        <f>IF($C374&lt;=Entradas!$E$124,"",LíneaBase!L375)</f>
        <v>1.4333133682709001</v>
      </c>
      <c r="F374" s="79">
        <f>IF($C374&lt;=Entradas!$E$124,"",D374-E374)</f>
        <v>-9.1035251545469098E-2</v>
      </c>
      <c r="G374" s="79">
        <f>IF($C374&lt;=Entradas!$E$124,"",D374-AVERAGE(D:D))</f>
        <v>0.43617943453195274</v>
      </c>
      <c r="H374" s="79">
        <f>IF($C374&lt;=Entradas!$E$124,"",F374^2)</f>
        <v>8.2874170239468341E-3</v>
      </c>
      <c r="I374" s="79">
        <f>IF($C374&lt;=Entradas!$E$124,"",G374^2)</f>
        <v>0.19025249910861405</v>
      </c>
      <c r="J374" s="79">
        <f>IF($C374&lt;=Entradas!$E$124,"",E374-AVERAGE(E:E))</f>
        <v>0.53773250447378218</v>
      </c>
      <c r="K374" s="79">
        <f>IF($C374&lt;=Entradas!$E$124,"",J374^2)</f>
        <v>0.2891562463676462</v>
      </c>
      <c r="L374" s="79">
        <f>IF($C374&lt;=Entradas!$E$124,"",G374*J374)</f>
        <v>0.23454785973082506</v>
      </c>
      <c r="M374" s="40"/>
    </row>
    <row r="375" spans="2:13">
      <c r="B375" s="39"/>
      <c r="C375" s="75">
        <v>370</v>
      </c>
      <c r="D375" s="110">
        <f>IF($C375&lt;=Entradas!$E$124,"",Observaciones!H375)</f>
        <v>1.6960917506784017</v>
      </c>
      <c r="E375" s="110">
        <f>IF($C375&lt;=Entradas!$E$124,"",LíneaBase!L376)</f>
        <v>1.9627495195022959</v>
      </c>
      <c r="F375" s="79">
        <f>IF($C375&lt;=Entradas!$E$124,"",D375-E375)</f>
        <v>-0.26665776882389425</v>
      </c>
      <c r="G375" s="79">
        <f>IF($C375&lt;=Entradas!$E$124,"",D375-AVERAGE(D:D))</f>
        <v>0.78999306848492346</v>
      </c>
      <c r="H375" s="79">
        <f>IF($C375&lt;=Entradas!$E$124,"",F375^2)</f>
        <v>7.1106365674137431E-2</v>
      </c>
      <c r="I375" s="79">
        <f>IF($C375&lt;=Entradas!$E$124,"",G375^2)</f>
        <v>0.62408904825422495</v>
      </c>
      <c r="J375" s="79">
        <f>IF($C375&lt;=Entradas!$E$124,"",E375-AVERAGE(E:E))</f>
        <v>1.067168655705178</v>
      </c>
      <c r="K375" s="79">
        <f>IF($C375&lt;=Entradas!$E$124,"",J375^2)</f>
        <v>1.1388489397195969</v>
      </c>
      <c r="L375" s="79">
        <f>IF($C375&lt;=Entradas!$E$124,"",G375*J375)</f>
        <v>0.84305584091146446</v>
      </c>
      <c r="M375" s="40"/>
    </row>
    <row r="376" spans="2:13">
      <c r="B376" s="39"/>
      <c r="C376" s="75">
        <v>371</v>
      </c>
      <c r="D376" s="110">
        <f>IF($C376&lt;=Entradas!$E$124,"",Observaciones!H376)</f>
        <v>3.0895402328869666</v>
      </c>
      <c r="E376" s="110">
        <f>IF($C376&lt;=Entradas!$E$124,"",LíneaBase!L377)</f>
        <v>3.7207641236015485</v>
      </c>
      <c r="F376" s="79">
        <f>IF($C376&lt;=Entradas!$E$124,"",D376-E376)</f>
        <v>-0.63122389071458196</v>
      </c>
      <c r="G376" s="79">
        <f>IF($C376&lt;=Entradas!$E$124,"",D376-AVERAGE(D:D))</f>
        <v>2.1834415506934883</v>
      </c>
      <c r="H376" s="79">
        <f>IF($C376&lt;=Entradas!$E$124,"",F376^2)</f>
        <v>0.3984436002088545</v>
      </c>
      <c r="I376" s="79">
        <f>IF($C376&lt;=Entradas!$E$124,"",G376^2)</f>
        <v>4.7674170052947851</v>
      </c>
      <c r="J376" s="79">
        <f>IF($C376&lt;=Entradas!$E$124,"",E376-AVERAGE(E:E))</f>
        <v>2.8251832598044304</v>
      </c>
      <c r="K376" s="79">
        <f>IF($C376&lt;=Entradas!$E$124,"",J376^2)</f>
        <v>7.981660451479188</v>
      </c>
      <c r="L376" s="79">
        <f>IF($C376&lt;=Entradas!$E$124,"",G376*J376)</f>
        <v>6.1686225177806699</v>
      </c>
      <c r="M376" s="40"/>
    </row>
    <row r="377" spans="2:13">
      <c r="B377" s="39"/>
      <c r="C377" s="75">
        <v>372</v>
      </c>
      <c r="D377" s="110">
        <f>IF($C377&lt;=Entradas!$E$124,"",Observaciones!H377)</f>
        <v>1.4514309807432555</v>
      </c>
      <c r="E377" s="110">
        <f>IF($C377&lt;=Entradas!$E$124,"",LíneaBase!L378)</f>
        <v>1.5302740262128074</v>
      </c>
      <c r="F377" s="79">
        <f>IF($C377&lt;=Entradas!$E$124,"",D377-E377)</f>
        <v>-7.8843045469551898E-2</v>
      </c>
      <c r="G377" s="79">
        <f>IF($C377&lt;=Entradas!$E$124,"",D377-AVERAGE(D:D))</f>
        <v>0.54533229854977727</v>
      </c>
      <c r="H377" s="79">
        <f>IF($C377&lt;=Entradas!$E$124,"",F377^2)</f>
        <v>6.2162258189138279E-3</v>
      </c>
      <c r="I377" s="79">
        <f>IF($C377&lt;=Entradas!$E$124,"",G377^2)</f>
        <v>0.2973873158415834</v>
      </c>
      <c r="J377" s="79">
        <f>IF($C377&lt;=Entradas!$E$124,"",E377-AVERAGE(E:E))</f>
        <v>0.63469316241568952</v>
      </c>
      <c r="K377" s="79">
        <f>IF($C377&lt;=Entradas!$E$124,"",J377^2)</f>
        <v>0.40283541041722881</v>
      </c>
      <c r="L377" s="79">
        <f>IF($C377&lt;=Entradas!$E$124,"",G377*J377)</f>
        <v>0.34611868113397509</v>
      </c>
      <c r="M377" s="40"/>
    </row>
    <row r="378" spans="2:13">
      <c r="B378" s="39"/>
      <c r="C378" s="75">
        <v>373</v>
      </c>
      <c r="D378" s="110">
        <f>IF($C378&lt;=Entradas!$E$124,"",Observaciones!H378)</f>
        <v>1.3407784172268926</v>
      </c>
      <c r="E378" s="110">
        <f>IF($C378&lt;=Entradas!$E$124,"",LíneaBase!L379)</f>
        <v>1.4149119717564635</v>
      </c>
      <c r="F378" s="79">
        <f>IF($C378&lt;=Entradas!$E$124,"",D378-E378)</f>
        <v>-7.4133554529570933E-2</v>
      </c>
      <c r="G378" s="79">
        <f>IF($C378&lt;=Entradas!$E$124,"",D378-AVERAGE(D:D))</f>
        <v>0.43467973503341439</v>
      </c>
      <c r="H378" s="79">
        <f>IF($C378&lt;=Entradas!$E$124,"",F378^2)</f>
        <v>5.4957839071888672E-3</v>
      </c>
      <c r="I378" s="79">
        <f>IF($C378&lt;=Entradas!$E$124,"",G378^2)</f>
        <v>0.18894647204871934</v>
      </c>
      <c r="J378" s="79">
        <f>IF($C378&lt;=Entradas!$E$124,"",E378-AVERAGE(E:E))</f>
        <v>0.51933110795934567</v>
      </c>
      <c r="K378" s="79">
        <f>IF($C378&lt;=Entradas!$E$124,"",J378^2)</f>
        <v>0.26970479969428157</v>
      </c>
      <c r="L378" s="79">
        <f>IF($C378&lt;=Entradas!$E$124,"",G378*J378)</f>
        <v>0.2257427084023779</v>
      </c>
      <c r="M378" s="40"/>
    </row>
    <row r="379" spans="2:13">
      <c r="B379" s="39"/>
      <c r="C379" s="75">
        <v>374</v>
      </c>
      <c r="D379" s="110">
        <f>IF($C379&lt;=Entradas!$E$124,"",Observaciones!H379)</f>
        <v>1.2339445056609823</v>
      </c>
      <c r="E379" s="110">
        <f>IF($C379&lt;=Entradas!$E$124,"",LíneaBase!L380)</f>
        <v>1.3035259357310227</v>
      </c>
      <c r="F379" s="79">
        <f>IF($C379&lt;=Entradas!$E$124,"",D379-E379)</f>
        <v>-6.9581430070040362E-2</v>
      </c>
      <c r="G379" s="79">
        <f>IF($C379&lt;=Entradas!$E$124,"",D379-AVERAGE(D:D))</f>
        <v>0.32784582346750413</v>
      </c>
      <c r="H379" s="79">
        <f>IF($C379&lt;=Entradas!$E$124,"",F379^2)</f>
        <v>4.8415754105919171E-3</v>
      </c>
      <c r="I379" s="79">
        <f>IF($C379&lt;=Entradas!$E$124,"",G379^2)</f>
        <v>0.10748288396508587</v>
      </c>
      <c r="J379" s="79">
        <f>IF($C379&lt;=Entradas!$E$124,"",E379-AVERAGE(E:E))</f>
        <v>0.40794507193390483</v>
      </c>
      <c r="K379" s="79">
        <f>IF($C379&lt;=Entradas!$E$124,"",J379^2)</f>
        <v>0.16641918171515879</v>
      </c>
      <c r="L379" s="79">
        <f>IF($C379&lt;=Entradas!$E$124,"",G379*J379)</f>
        <v>0.13374308803768123</v>
      </c>
      <c r="M379" s="40"/>
    </row>
    <row r="380" spans="2:13">
      <c r="B380" s="39"/>
      <c r="C380" s="75">
        <v>375</v>
      </c>
      <c r="D380" s="110">
        <f>IF($C380&lt;=Entradas!$E$124,"",Observaciones!H380)</f>
        <v>1.1339854884349567</v>
      </c>
      <c r="E380" s="110">
        <f>IF($C380&lt;=Entradas!$E$124,"",LíneaBase!L381)</f>
        <v>1.1991584429314495</v>
      </c>
      <c r="F380" s="79">
        <f>IF($C380&lt;=Entradas!$E$124,"",D380-E380)</f>
        <v>-6.5172954496492741E-2</v>
      </c>
      <c r="G380" s="79">
        <f>IF($C380&lt;=Entradas!$E$124,"",D380-AVERAGE(D:D))</f>
        <v>0.2278868062414785</v>
      </c>
      <c r="H380" s="79">
        <f>IF($C380&lt;=Entradas!$E$124,"",F380^2)</f>
        <v>4.2475139978019136E-3</v>
      </c>
      <c r="I380" s="79">
        <f>IF($C380&lt;=Entradas!$E$124,"",G380^2)</f>
        <v>5.1932396458941162E-2</v>
      </c>
      <c r="J380" s="79">
        <f>IF($C380&lt;=Entradas!$E$124,"",E380-AVERAGE(E:E))</f>
        <v>0.30357757913433159</v>
      </c>
      <c r="K380" s="79">
        <f>IF($C380&lt;=Entradas!$E$124,"",J380^2)</f>
        <v>9.2159346553061364E-2</v>
      </c>
      <c r="L380" s="79">
        <f>IF($C380&lt;=Entradas!$E$124,"",G380*J380)</f>
        <v>6.9181324955442533E-2</v>
      </c>
      <c r="M380" s="40"/>
    </row>
    <row r="381" spans="2:13">
      <c r="B381" s="39"/>
      <c r="C381" s="75">
        <v>376</v>
      </c>
      <c r="D381" s="110">
        <f>IF($C381&lt;=Entradas!$E$124,"",Observaciones!H381)</f>
        <v>1.1340431599414478</v>
      </c>
      <c r="E381" s="110">
        <f>IF($C381&lt;=Entradas!$E$124,"",LíneaBase!L382)</f>
        <v>1.1950003327119476</v>
      </c>
      <c r="F381" s="79">
        <f>IF($C381&lt;=Entradas!$E$124,"",D381-E381)</f>
        <v>-6.0957172770499835E-2</v>
      </c>
      <c r="G381" s="79">
        <f>IF($C381&lt;=Entradas!$E$124,"",D381-AVERAGE(D:D))</f>
        <v>0.22794447774796955</v>
      </c>
      <c r="H381" s="79">
        <f>IF($C381&lt;=Entradas!$E$124,"",F381^2)</f>
        <v>3.7157769121725663E-3</v>
      </c>
      <c r="I381" s="79">
        <f>IF($C381&lt;=Entradas!$E$124,"",G381^2)</f>
        <v>5.1958684935794586E-2</v>
      </c>
      <c r="J381" s="79">
        <f>IF($C381&lt;=Entradas!$E$124,"",E381-AVERAGE(E:E))</f>
        <v>0.29941946891482973</v>
      </c>
      <c r="K381" s="79">
        <f>IF($C381&lt;=Entradas!$E$124,"",J381^2)</f>
        <v>8.9652018365238687E-2</v>
      </c>
      <c r="L381" s="79">
        <f>IF($C381&lt;=Entradas!$E$124,"",G381*J381)</f>
        <v>6.8251014469365268E-2</v>
      </c>
      <c r="M381" s="40"/>
    </row>
    <row r="382" spans="2:13">
      <c r="B382" s="39"/>
      <c r="C382" s="75">
        <v>377</v>
      </c>
      <c r="D382" s="110">
        <f>IF($C382&lt;=Entradas!$E$124,"",Observaciones!H382)</f>
        <v>3.2357969162921236</v>
      </c>
      <c r="E382" s="110">
        <f>IF($C382&lt;=Entradas!$E$124,"",LíneaBase!L383)</f>
        <v>3.8868387339344466</v>
      </c>
      <c r="F382" s="79">
        <f>IF($C382&lt;=Entradas!$E$124,"",D382-E382)</f>
        <v>-0.65104181764232294</v>
      </c>
      <c r="G382" s="79">
        <f>IF($C382&lt;=Entradas!$E$124,"",D382-AVERAGE(D:D))</f>
        <v>2.3296982340986454</v>
      </c>
      <c r="H382" s="79">
        <f>IF($C382&lt;=Entradas!$E$124,"",F382^2)</f>
        <v>0.42385544831901967</v>
      </c>
      <c r="I382" s="79">
        <f>IF($C382&lt;=Entradas!$E$124,"",G382^2)</f>
        <v>5.427493861962347</v>
      </c>
      <c r="J382" s="79">
        <f>IF($C382&lt;=Entradas!$E$124,"",E382-AVERAGE(E:E))</f>
        <v>2.9912578701373285</v>
      </c>
      <c r="K382" s="79">
        <f>IF($C382&lt;=Entradas!$E$124,"",J382^2)</f>
        <v>8.9476236456585063</v>
      </c>
      <c r="L382" s="79">
        <f>IF($C382&lt;=Entradas!$E$124,"",G382*J382)</f>
        <v>6.9687281777926096</v>
      </c>
      <c r="M382" s="40"/>
    </row>
    <row r="383" spans="2:13">
      <c r="B383" s="39"/>
      <c r="C383" s="75">
        <v>378</v>
      </c>
      <c r="D383" s="110">
        <f>IF($C383&lt;=Entradas!$E$124,"",Observaciones!H383)</f>
        <v>1.4458934562639241</v>
      </c>
      <c r="E383" s="110">
        <f>IF($C383&lt;=Entradas!$E$124,"",LíneaBase!L384)</f>
        <v>1.5104212901406047</v>
      </c>
      <c r="F383" s="79">
        <f>IF($C383&lt;=Entradas!$E$124,"",D383-E383)</f>
        <v>-6.4527833876680596E-2</v>
      </c>
      <c r="G383" s="79">
        <f>IF($C383&lt;=Entradas!$E$124,"",D383-AVERAGE(D:D))</f>
        <v>0.53979477407044585</v>
      </c>
      <c r="H383" s="79">
        <f>IF($C383&lt;=Entradas!$E$124,"",F383^2)</f>
        <v>4.1638413448164876E-3</v>
      </c>
      <c r="I383" s="79">
        <f>IF($C383&lt;=Entradas!$E$124,"",G383^2)</f>
        <v>0.2913783981137637</v>
      </c>
      <c r="J383" s="79">
        <f>IF($C383&lt;=Entradas!$E$124,"",E383-AVERAGE(E:E))</f>
        <v>0.61484042634348679</v>
      </c>
      <c r="K383" s="79">
        <f>IF($C383&lt;=Entradas!$E$124,"",J383^2)</f>
        <v>0.37802874986624063</v>
      </c>
      <c r="L383" s="79">
        <f>IF($C383&lt;=Entradas!$E$124,"",G383*J383)</f>
        <v>0.33188764902745904</v>
      </c>
      <c r="M383" s="40"/>
    </row>
    <row r="384" spans="2:13">
      <c r="B384" s="39"/>
      <c r="C384" s="75">
        <v>379</v>
      </c>
      <c r="D384" s="110">
        <f>IF($C384&lt;=Entradas!$E$124,"",Observaciones!H384)</f>
        <v>1.3495059526051145</v>
      </c>
      <c r="E384" s="110">
        <f>IF($C384&lt;=Entradas!$E$124,"",LíneaBase!L385)</f>
        <v>1.409473201497097</v>
      </c>
      <c r="F384" s="79">
        <f>IF($C384&lt;=Entradas!$E$124,"",D384-E384)</f>
        <v>-5.9967248891982461E-2</v>
      </c>
      <c r="G384" s="79">
        <f>IF($C384&lt;=Entradas!$E$124,"",D384-AVERAGE(D:D))</f>
        <v>0.4434072704116363</v>
      </c>
      <c r="H384" s="79">
        <f>IF($C384&lt;=Entradas!$E$124,"",F384^2)</f>
        <v>3.5960709396729716E-3</v>
      </c>
      <c r="I384" s="79">
        <f>IF($C384&lt;=Entradas!$E$124,"",G384^2)</f>
        <v>0.19661000745389795</v>
      </c>
      <c r="J384" s="79">
        <f>IF($C384&lt;=Entradas!$E$124,"",E384-AVERAGE(E:E))</f>
        <v>0.51389233769997911</v>
      </c>
      <c r="K384" s="79">
        <f>IF($C384&lt;=Entradas!$E$124,"",J384^2)</f>
        <v>0.26408533474674939</v>
      </c>
      <c r="L384" s="79">
        <f>IF($C384&lt;=Entradas!$E$124,"",G384*J384)</f>
        <v>0.22786359874500256</v>
      </c>
      <c r="M384" s="40"/>
    </row>
    <row r="385" spans="2:13">
      <c r="B385" s="39"/>
      <c r="C385" s="75">
        <v>380</v>
      </c>
      <c r="D385" s="110">
        <f>IF($C385&lt;=Entradas!$E$124,"",Observaciones!H385)</f>
        <v>1.2597898866800317</v>
      </c>
      <c r="E385" s="110">
        <f>IF($C385&lt;=Entradas!$E$124,"",LíneaBase!L386)</f>
        <v>1.3153497727051009</v>
      </c>
      <c r="F385" s="79">
        <f>IF($C385&lt;=Entradas!$E$124,"",D385-E385)</f>
        <v>-5.5559886025069227E-2</v>
      </c>
      <c r="G385" s="79">
        <f>IF($C385&lt;=Entradas!$E$124,"",D385-AVERAGE(D:D))</f>
        <v>0.35369120448655345</v>
      </c>
      <c r="H385" s="79">
        <f>IF($C385&lt;=Entradas!$E$124,"",F385^2)</f>
        <v>3.0869009351186826E-3</v>
      </c>
      <c r="I385" s="79">
        <f>IF($C385&lt;=Entradas!$E$124,"",G385^2)</f>
        <v>0.12509746813114897</v>
      </c>
      <c r="J385" s="79">
        <f>IF($C385&lt;=Entradas!$E$124,"",E385-AVERAGE(E:E))</f>
        <v>0.41976890890798302</v>
      </c>
      <c r="K385" s="79">
        <f>IF($C385&lt;=Entradas!$E$124,"",J385^2)</f>
        <v>0.17620593688579855</v>
      </c>
      <c r="L385" s="79">
        <f>IF($C385&lt;=Entradas!$E$124,"",G385*J385)</f>
        <v>0.14846857099767086</v>
      </c>
      <c r="M385" s="40"/>
    </row>
    <row r="386" spans="2:13">
      <c r="B386" s="39"/>
      <c r="C386" s="75">
        <v>381</v>
      </c>
      <c r="D386" s="110">
        <f>IF($C386&lt;=Entradas!$E$124,"",Observaciones!H386)</f>
        <v>1.1555650692802824</v>
      </c>
      <c r="E386" s="110">
        <f>IF($C386&lt;=Entradas!$E$124,"",LíneaBase!L387)</f>
        <v>1.2068458748246991</v>
      </c>
      <c r="F386" s="79">
        <f>IF($C386&lt;=Entradas!$E$124,"",D386-E386)</f>
        <v>-5.1280805544416719E-2</v>
      </c>
      <c r="G386" s="79">
        <f>IF($C386&lt;=Entradas!$E$124,"",D386-AVERAGE(D:D))</f>
        <v>0.24946638708680413</v>
      </c>
      <c r="H386" s="79">
        <f>IF($C386&lt;=Entradas!$E$124,"",F386^2)</f>
        <v>2.6297210172842806E-3</v>
      </c>
      <c r="I386" s="79">
        <f>IF($C386&lt;=Entradas!$E$124,"",G386^2)</f>
        <v>6.2233478286143194E-2</v>
      </c>
      <c r="J386" s="79">
        <f>IF($C386&lt;=Entradas!$E$124,"",E386-AVERAGE(E:E))</f>
        <v>0.3112650110275812</v>
      </c>
      <c r="K386" s="79">
        <f>IF($C386&lt;=Entradas!$E$124,"",J386^2)</f>
        <v>9.6885907090000237E-2</v>
      </c>
      <c r="L386" s="79">
        <f>IF($C386&lt;=Entradas!$E$124,"",G386*J386)</f>
        <v>7.765015772758492E-2</v>
      </c>
      <c r="M386" s="40"/>
    </row>
    <row r="387" spans="2:13">
      <c r="B387" s="39"/>
      <c r="C387" s="75">
        <v>382</v>
      </c>
      <c r="D387" s="110">
        <f>IF($C387&lt;=Entradas!$E$124,"",Observaciones!H387)</f>
        <v>1.5449266705292974</v>
      </c>
      <c r="E387" s="110">
        <f>IF($C387&lt;=Entradas!$E$124,"",LíneaBase!L388)</f>
        <v>1.7311911808129177</v>
      </c>
      <c r="F387" s="79">
        <f>IF($C387&lt;=Entradas!$E$124,"",D387-E387)</f>
        <v>-0.18626451028362023</v>
      </c>
      <c r="G387" s="79">
        <f>IF($C387&lt;=Entradas!$E$124,"",D387-AVERAGE(D:D))</f>
        <v>0.63882798833581922</v>
      </c>
      <c r="H387" s="79">
        <f>IF($C387&lt;=Entradas!$E$124,"",F387^2)</f>
        <v>3.4694467791196865E-2</v>
      </c>
      <c r="I387" s="79">
        <f>IF($C387&lt;=Entradas!$E$124,"",G387^2)</f>
        <v>0.4081011986811896</v>
      </c>
      <c r="J387" s="79">
        <f>IF($C387&lt;=Entradas!$E$124,"",E387-AVERAGE(E:E))</f>
        <v>0.8356103170157998</v>
      </c>
      <c r="K387" s="79">
        <f>IF($C387&lt;=Entradas!$E$124,"",J387^2)</f>
        <v>0.69824460190324544</v>
      </c>
      <c r="L387" s="79">
        <f>IF($C387&lt;=Entradas!$E$124,"",G387*J387)</f>
        <v>0.53381125785185957</v>
      </c>
      <c r="M387" s="40"/>
    </row>
    <row r="388" spans="2:13">
      <c r="B388" s="39"/>
      <c r="C388" s="75">
        <v>383</v>
      </c>
      <c r="D388" s="110">
        <f>IF($C388&lt;=Entradas!$E$124,"",Observaciones!H388)</f>
        <v>1.3293722147809401</v>
      </c>
      <c r="E388" s="110">
        <f>IF($C388&lt;=Entradas!$E$124,"",LíneaBase!L389)</f>
        <v>1.3679195603944003</v>
      </c>
      <c r="F388" s="79">
        <f>IF($C388&lt;=Entradas!$E$124,"",D388-E388)</f>
        <v>-3.8547345613460182E-2</v>
      </c>
      <c r="G388" s="79">
        <f>IF($C388&lt;=Entradas!$E$124,"",D388-AVERAGE(D:D))</f>
        <v>0.42327353258746192</v>
      </c>
      <c r="H388" s="79">
        <f>IF($C388&lt;=Entradas!$E$124,"",F388^2)</f>
        <v>1.4858978538435479E-3</v>
      </c>
      <c r="I388" s="79">
        <f>IF($C388&lt;=Entradas!$E$124,"",G388^2)</f>
        <v>0.17916048338906918</v>
      </c>
      <c r="J388" s="79">
        <f>IF($C388&lt;=Entradas!$E$124,"",E388-AVERAGE(E:E))</f>
        <v>0.47233869659728245</v>
      </c>
      <c r="K388" s="79">
        <f>IF($C388&lt;=Entradas!$E$124,"",J388^2)</f>
        <v>0.22310384430321964</v>
      </c>
      <c r="L388" s="79">
        <f>IF($C388&lt;=Entradas!$E$124,"",G388*J388)</f>
        <v>0.19992846868648911</v>
      </c>
      <c r="M388" s="40"/>
    </row>
    <row r="389" spans="2:13">
      <c r="B389" s="39"/>
      <c r="C389" s="75">
        <v>384</v>
      </c>
      <c r="D389" s="110">
        <f>IF($C389&lt;=Entradas!$E$124,"",Observaciones!H389)</f>
        <v>1.6131532015776715</v>
      </c>
      <c r="E389" s="110">
        <f>IF($C389&lt;=Entradas!$E$124,"",LíneaBase!L390)</f>
        <v>1.7548953927659872</v>
      </c>
      <c r="F389" s="79">
        <f>IF($C389&lt;=Entradas!$E$124,"",D389-E389)</f>
        <v>-0.14174219118831566</v>
      </c>
      <c r="G389" s="79">
        <f>IF($C389&lt;=Entradas!$E$124,"",D389-AVERAGE(D:D))</f>
        <v>0.70705451938419328</v>
      </c>
      <c r="H389" s="79">
        <f>IF($C389&lt;=Entradas!$E$124,"",F389^2)</f>
        <v>2.009084876286503E-2</v>
      </c>
      <c r="I389" s="79">
        <f>IF($C389&lt;=Entradas!$E$124,"",G389^2)</f>
        <v>0.49992609338161254</v>
      </c>
      <c r="J389" s="79">
        <f>IF($C389&lt;=Entradas!$E$124,"",E389-AVERAGE(E:E))</f>
        <v>0.85931452896886928</v>
      </c>
      <c r="K389" s="79">
        <f>IF($C389&lt;=Entradas!$E$124,"",J389^2)</f>
        <v>0.73842145969698969</v>
      </c>
      <c r="L389" s="79">
        <f>IF($C389&lt;=Entradas!$E$124,"",G389*J389)</f>
        <v>0.60758222127993833</v>
      </c>
      <c r="M389" s="40"/>
    </row>
    <row r="390" spans="2:13">
      <c r="B390" s="39"/>
      <c r="C390" s="75">
        <v>385</v>
      </c>
      <c r="D390" s="110">
        <f>IF($C390&lt;=Entradas!$E$124,"",Observaciones!H390)</f>
        <v>1.5184124805995169</v>
      </c>
      <c r="E390" s="110">
        <f>IF($C390&lt;=Entradas!$E$124,"",LíneaBase!L391)</f>
        <v>1.5965639279982606</v>
      </c>
      <c r="F390" s="79">
        <f>IF($C390&lt;=Entradas!$E$124,"",D390-E390)</f>
        <v>-7.815144739874369E-2</v>
      </c>
      <c r="G390" s="79">
        <f>IF($C390&lt;=Entradas!$E$124,"",D390-AVERAGE(D:D))</f>
        <v>0.61231379840603872</v>
      </c>
      <c r="H390" s="79">
        <f>IF($C390&lt;=Entradas!$E$124,"",F390^2)</f>
        <v>6.1076487305186016E-3</v>
      </c>
      <c r="I390" s="79">
        <f>IF($C390&lt;=Entradas!$E$124,"",G390^2)</f>
        <v>0.37492818771843101</v>
      </c>
      <c r="J390" s="79">
        <f>IF($C390&lt;=Entradas!$E$124,"",E390-AVERAGE(E:E))</f>
        <v>0.70098306420114276</v>
      </c>
      <c r="K390" s="79">
        <f>IF($C390&lt;=Entradas!$E$124,"",J390^2)</f>
        <v>0.49137725629682344</v>
      </c>
      <c r="L390" s="79">
        <f>IF($C390&lt;=Entradas!$E$124,"",G390*J390)</f>
        <v>0.42922160265930581</v>
      </c>
      <c r="M390" s="40"/>
    </row>
    <row r="391" spans="2:13">
      <c r="B391" s="39"/>
      <c r="C391" s="75">
        <v>386</v>
      </c>
      <c r="D391" s="110">
        <f>IF($C391&lt;=Entradas!$E$124,"",Observaciones!H391)</f>
        <v>1.5696137436765665</v>
      </c>
      <c r="E391" s="110">
        <f>IF($C391&lt;=Entradas!$E$124,"",LíneaBase!L392)</f>
        <v>1.6777783014031995</v>
      </c>
      <c r="F391" s="79">
        <f>IF($C391&lt;=Entradas!$E$124,"",D391-E391)</f>
        <v>-0.10816455772663303</v>
      </c>
      <c r="G391" s="79">
        <f>IF($C391&lt;=Entradas!$E$124,"",D391-AVERAGE(D:D))</f>
        <v>0.66351506148308825</v>
      </c>
      <c r="H391" s="79">
        <f>IF($C391&lt;=Entradas!$E$124,"",F391^2)</f>
        <v>1.1699571548198128E-2</v>
      </c>
      <c r="I391" s="79">
        <f>IF($C391&lt;=Entradas!$E$124,"",G391^2)</f>
        <v>0.44025223681490638</v>
      </c>
      <c r="J391" s="79">
        <f>IF($C391&lt;=Entradas!$E$124,"",E391-AVERAGE(E:E))</f>
        <v>0.78219743760608162</v>
      </c>
      <c r="K391" s="79">
        <f>IF($C391&lt;=Entradas!$E$124,"",J391^2)</f>
        <v>0.61183283139751998</v>
      </c>
      <c r="L391" s="79">
        <f>IF($C391&lt;=Entradas!$E$124,"",G391*J391)</f>
        <v>0.51899978090511334</v>
      </c>
      <c r="M391" s="40"/>
    </row>
    <row r="392" spans="2:13">
      <c r="B392" s="39"/>
      <c r="C392" s="75">
        <v>387</v>
      </c>
      <c r="D392" s="110">
        <f>IF($C392&lt;=Entradas!$E$124,"",Observaciones!H392)</f>
        <v>1.4291947825224085</v>
      </c>
      <c r="E392" s="110">
        <f>IF($C392&lt;=Entradas!$E$124,"",LíneaBase!L393)</f>
        <v>1.4779699070259484</v>
      </c>
      <c r="F392" s="79">
        <f>IF($C392&lt;=Entradas!$E$124,"",D392-E392)</f>
        <v>-4.8775124503539935E-2</v>
      </c>
      <c r="G392" s="79">
        <f>IF($C392&lt;=Entradas!$E$124,"",D392-AVERAGE(D:D))</f>
        <v>0.52309610032893028</v>
      </c>
      <c r="H392" s="79">
        <f>IF($C392&lt;=Entradas!$E$124,"",F392^2)</f>
        <v>2.3790127703358218E-3</v>
      </c>
      <c r="I392" s="79">
        <f>IF($C392&lt;=Entradas!$E$124,"",G392^2)</f>
        <v>0.27362953017933428</v>
      </c>
      <c r="J392" s="79">
        <f>IF($C392&lt;=Entradas!$E$124,"",E392-AVERAGE(E:E))</f>
        <v>0.58238904322883056</v>
      </c>
      <c r="K392" s="79">
        <f>IF($C392&lt;=Entradas!$E$124,"",J392^2)</f>
        <v>0.3391769976729927</v>
      </c>
      <c r="L392" s="79">
        <f>IF($C392&lt;=Entradas!$E$124,"",G392*J392)</f>
        <v>0.30464543738729805</v>
      </c>
      <c r="M392" s="40"/>
    </row>
    <row r="393" spans="2:13">
      <c r="B393" s="39"/>
      <c r="C393" s="75">
        <v>388</v>
      </c>
      <c r="D393" s="110">
        <f>IF($C393&lt;=Entradas!$E$124,"",Observaciones!H393)</f>
        <v>3.8448020243048981</v>
      </c>
      <c r="E393" s="110">
        <f>IF($C393&lt;=Entradas!$E$124,"",LíneaBase!L394)</f>
        <v>4.5882842453196888</v>
      </c>
      <c r="F393" s="79">
        <f>IF($C393&lt;=Entradas!$E$124,"",D393-E393)</f>
        <v>-0.74348222101479067</v>
      </c>
      <c r="G393" s="79">
        <f>IF($C393&lt;=Entradas!$E$124,"",D393-AVERAGE(D:D))</f>
        <v>2.9387033421114199</v>
      </c>
      <c r="H393" s="79">
        <f>IF($C393&lt;=Entradas!$E$124,"",F393^2)</f>
        <v>0.55276581296508609</v>
      </c>
      <c r="I393" s="79">
        <f>IF($C393&lt;=Entradas!$E$124,"",G393^2)</f>
        <v>8.6359773329368288</v>
      </c>
      <c r="J393" s="79">
        <f>IF($C393&lt;=Entradas!$E$124,"",E393-AVERAGE(E:E))</f>
        <v>3.6927033815225707</v>
      </c>
      <c r="K393" s="79">
        <f>IF($C393&lt;=Entradas!$E$124,"",J393^2)</f>
        <v>13.636058263908229</v>
      </c>
      <c r="L393" s="79">
        <f>IF($C393&lt;=Entradas!$E$124,"",G393*J393)</f>
        <v>10.85175976870652</v>
      </c>
      <c r="M393" s="40"/>
    </row>
    <row r="394" spans="2:13">
      <c r="B394" s="39"/>
      <c r="C394" s="75">
        <v>389</v>
      </c>
      <c r="D394" s="110">
        <f>IF($C394&lt;=Entradas!$E$124,"",Observaciones!H394)</f>
        <v>1.6175923816307491</v>
      </c>
      <c r="E394" s="110">
        <f>IF($C394&lt;=Entradas!$E$124,"",LíneaBase!L395)</f>
        <v>1.6572317054735581</v>
      </c>
      <c r="F394" s="79">
        <f>IF($C394&lt;=Entradas!$E$124,"",D394-E394)</f>
        <v>-3.9639323842808993E-2</v>
      </c>
      <c r="G394" s="79">
        <f>IF($C394&lt;=Entradas!$E$124,"",D394-AVERAGE(D:D))</f>
        <v>0.71149369943727092</v>
      </c>
      <c r="H394" s="79">
        <f>IF($C394&lt;=Entradas!$E$124,"",F394^2)</f>
        <v>1.5712759947150855E-3</v>
      </c>
      <c r="I394" s="79">
        <f>IF($C394&lt;=Entradas!$E$124,"",G394^2)</f>
        <v>0.5062232843389336</v>
      </c>
      <c r="J394" s="79">
        <f>IF($C394&lt;=Entradas!$E$124,"",E394-AVERAGE(E:E))</f>
        <v>0.76165084167644026</v>
      </c>
      <c r="K394" s="79">
        <f>IF($C394&lt;=Entradas!$E$124,"",J394^2)</f>
        <v>0.58011200462642987</v>
      </c>
      <c r="L394" s="79">
        <f>IF($C394&lt;=Entradas!$E$124,"",G394*J394)</f>
        <v>0.5419097750238816</v>
      </c>
      <c r="M394" s="40"/>
    </row>
    <row r="395" spans="2:13">
      <c r="B395" s="39"/>
      <c r="C395" s="75">
        <v>390</v>
      </c>
      <c r="D395" s="110">
        <f>IF($C395&lt;=Entradas!$E$124,"",Observaciones!H395)</f>
        <v>1.5048036971785259</v>
      </c>
      <c r="E395" s="110">
        <f>IF($C395&lt;=Entradas!$E$124,"",LíneaBase!L396)</f>
        <v>1.540153542843415</v>
      </c>
      <c r="F395" s="79">
        <f>IF($C395&lt;=Entradas!$E$124,"",D395-E395)</f>
        <v>-3.5349845664889079E-2</v>
      </c>
      <c r="G395" s="79">
        <f>IF($C395&lt;=Entradas!$E$124,"",D395-AVERAGE(D:D))</f>
        <v>0.59870501498504769</v>
      </c>
      <c r="H395" s="79">
        <f>IF($C395&lt;=Entradas!$E$124,"",F395^2)</f>
        <v>1.2496115885314773E-3</v>
      </c>
      <c r="I395" s="79">
        <f>IF($C395&lt;=Entradas!$E$124,"",G395^2)</f>
        <v>0.35844769496824619</v>
      </c>
      <c r="J395" s="79">
        <f>IF($C395&lt;=Entradas!$E$124,"",E395-AVERAGE(E:E))</f>
        <v>0.64457267904629711</v>
      </c>
      <c r="K395" s="79">
        <f>IF($C395&lt;=Entradas!$E$124,"",J395^2)</f>
        <v>0.41547393857292075</v>
      </c>
      <c r="L395" s="79">
        <f>IF($C395&lt;=Entradas!$E$124,"",G395*J395)</f>
        <v>0.38590889546736568</v>
      </c>
      <c r="M395" s="40"/>
    </row>
    <row r="396" spans="2:13">
      <c r="B396" s="39"/>
      <c r="C396" s="75">
        <v>391</v>
      </c>
      <c r="D396" s="110">
        <f>IF($C396&lt;=Entradas!$E$124,"",Observaciones!H396)</f>
        <v>1.5319344256860985</v>
      </c>
      <c r="E396" s="110">
        <f>IF($C396&lt;=Entradas!$E$124,"",LíneaBase!L397)</f>
        <v>1.5648020525737827</v>
      </c>
      <c r="F396" s="79">
        <f>IF($C396&lt;=Entradas!$E$124,"",D396-E396)</f>
        <v>-3.2867626887684187E-2</v>
      </c>
      <c r="G396" s="79">
        <f>IF($C396&lt;=Entradas!$E$124,"",D396-AVERAGE(D:D))</f>
        <v>0.62583574349262028</v>
      </c>
      <c r="H396" s="79">
        <f>IF($C396&lt;=Entradas!$E$124,"",F396^2)</f>
        <v>1.0802808972280205E-3</v>
      </c>
      <c r="I396" s="79">
        <f>IF($C396&lt;=Entradas!$E$124,"",G396^2)</f>
        <v>0.39167037783296083</v>
      </c>
      <c r="J396" s="79">
        <f>IF($C396&lt;=Entradas!$E$124,"",E396-AVERAGE(E:E))</f>
        <v>0.66922118877666481</v>
      </c>
      <c r="K396" s="79">
        <f>IF($C396&lt;=Entradas!$E$124,"",J396^2)</f>
        <v>0.44785699950765245</v>
      </c>
      <c r="L396" s="79">
        <f>IF($C396&lt;=Entradas!$E$124,"",G396*J396)</f>
        <v>0.41882254023905924</v>
      </c>
      <c r="M396" s="40"/>
    </row>
    <row r="397" spans="2:13">
      <c r="B397" s="39"/>
      <c r="C397" s="75">
        <v>392</v>
      </c>
      <c r="D397" s="110">
        <f>IF($C397&lt;=Entradas!$E$124,"",Observaciones!H397)</f>
        <v>1.424381885699505</v>
      </c>
      <c r="E397" s="110">
        <f>IF($C397&lt;=Entradas!$E$124,"",LíneaBase!L398)</f>
        <v>1.4514971009384259</v>
      </c>
      <c r="F397" s="79">
        <f>IF($C397&lt;=Entradas!$E$124,"",D397-E397)</f>
        <v>-2.7115215238920909E-2</v>
      </c>
      <c r="G397" s="79">
        <f>IF($C397&lt;=Entradas!$E$124,"",D397-AVERAGE(D:D))</f>
        <v>0.51828320350602675</v>
      </c>
      <c r="H397" s="79">
        <f>IF($C397&lt;=Entradas!$E$124,"",F397^2)</f>
        <v>7.3523489745300869E-4</v>
      </c>
      <c r="I397" s="79">
        <f>IF($C397&lt;=Entradas!$E$124,"",G397^2)</f>
        <v>0.26861747903646954</v>
      </c>
      <c r="J397" s="79">
        <f>IF($C397&lt;=Entradas!$E$124,"",E397-AVERAGE(E:E))</f>
        <v>0.555916237141308</v>
      </c>
      <c r="K397" s="79">
        <f>IF($C397&lt;=Entradas!$E$124,"",J397^2)</f>
        <v>0.30904286271735099</v>
      </c>
      <c r="L397" s="79">
        <f>IF($C397&lt;=Entradas!$E$124,"",G397*J397)</f>
        <v>0.28812204826661314</v>
      </c>
      <c r="M397" s="40"/>
    </row>
    <row r="398" spans="2:13">
      <c r="B398" s="39"/>
      <c r="C398" s="75">
        <v>393</v>
      </c>
      <c r="D398" s="110">
        <f>IF($C398&lt;=Entradas!$E$124,"",Observaciones!H398)</f>
        <v>1.3175786744990317</v>
      </c>
      <c r="E398" s="110">
        <f>IF($C398&lt;=Entradas!$E$124,"",LíneaBase!L399)</f>
        <v>1.3408240929257431</v>
      </c>
      <c r="F398" s="79">
        <f>IF($C398&lt;=Entradas!$E$124,"",D398-E398)</f>
        <v>-2.3245418426711462E-2</v>
      </c>
      <c r="G398" s="79">
        <f>IF($C398&lt;=Entradas!$E$124,"",D398-AVERAGE(D:D))</f>
        <v>0.41147999230555343</v>
      </c>
      <c r="H398" s="79">
        <f>IF($C398&lt;=Entradas!$E$124,"",F398^2)</f>
        <v>5.4034947783289681E-4</v>
      </c>
      <c r="I398" s="79">
        <f>IF($C398&lt;=Entradas!$E$124,"",G398^2)</f>
        <v>0.16931578406777831</v>
      </c>
      <c r="J398" s="79">
        <f>IF($C398&lt;=Entradas!$E$124,"",E398-AVERAGE(E:E))</f>
        <v>0.44524322912862524</v>
      </c>
      <c r="K398" s="79">
        <f>IF($C398&lt;=Entradas!$E$124,"",J398^2)</f>
        <v>0.19824153308488549</v>
      </c>
      <c r="L398" s="79">
        <f>IF($C398&lt;=Entradas!$E$124,"",G398*J398)</f>
        <v>0.18320868049594649</v>
      </c>
      <c r="M398" s="40"/>
    </row>
    <row r="399" spans="2:13">
      <c r="B399" s="39"/>
      <c r="C399" s="75">
        <v>394</v>
      </c>
      <c r="D399" s="110">
        <f>IF($C399&lt;=Entradas!$E$124,"",Observaciones!H399)</f>
        <v>1.2754658649863604</v>
      </c>
      <c r="E399" s="110">
        <f>IF($C399&lt;=Entradas!$E$124,"",LíneaBase!L400)</f>
        <v>1.2951007272955923</v>
      </c>
      <c r="F399" s="79">
        <f>IF($C399&lt;=Entradas!$E$124,"",D399-E399)</f>
        <v>-1.9634862309231949E-2</v>
      </c>
      <c r="G399" s="79">
        <f>IF($C399&lt;=Entradas!$E$124,"",D399-AVERAGE(D:D))</f>
        <v>0.36936718279288216</v>
      </c>
      <c r="H399" s="79">
        <f>IF($C399&lt;=Entradas!$E$124,"",F399^2)</f>
        <v>3.8552781790249734E-4</v>
      </c>
      <c r="I399" s="79">
        <f>IF($C399&lt;=Entradas!$E$124,"",G399^2)</f>
        <v>0.13643211572435043</v>
      </c>
      <c r="J399" s="79">
        <f>IF($C399&lt;=Entradas!$E$124,"",E399-AVERAGE(E:E))</f>
        <v>0.39951986349847446</v>
      </c>
      <c r="K399" s="79">
        <f>IF($C399&lt;=Entradas!$E$124,"",J399^2)</f>
        <v>0.15961612132983966</v>
      </c>
      <c r="L399" s="79">
        <f>IF($C399&lt;=Entradas!$E$124,"",G399*J399)</f>
        <v>0.14756952645022833</v>
      </c>
      <c r="M399" s="40"/>
    </row>
    <row r="400" spans="2:13">
      <c r="B400" s="39"/>
      <c r="C400" s="75">
        <v>395</v>
      </c>
      <c r="D400" s="110">
        <f>IF($C400&lt;=Entradas!$E$124,"",Observaciones!H400)</f>
        <v>1.3562422040366251</v>
      </c>
      <c r="E400" s="110">
        <f>IF($C400&lt;=Entradas!$E$124,"",LíneaBase!L401)</f>
        <v>1.398384556356925</v>
      </c>
      <c r="F400" s="79">
        <f>IF($C400&lt;=Entradas!$E$124,"",D400-E400)</f>
        <v>-4.2142352320299947E-2</v>
      </c>
      <c r="G400" s="79">
        <f>IF($C400&lt;=Entradas!$E$124,"",D400-AVERAGE(D:D))</f>
        <v>0.45014352184314688</v>
      </c>
      <c r="H400" s="79">
        <f>IF($C400&lt;=Entradas!$E$124,"",F400^2)</f>
        <v>1.7759778590882903E-3</v>
      </c>
      <c r="I400" s="79">
        <f>IF($C400&lt;=Entradas!$E$124,"",G400^2)</f>
        <v>0.20262919025735165</v>
      </c>
      <c r="J400" s="79">
        <f>IF($C400&lt;=Entradas!$E$124,"",E400-AVERAGE(E:E))</f>
        <v>0.50280369255980717</v>
      </c>
      <c r="K400" s="79">
        <f>IF($C400&lt;=Entradas!$E$124,"",J400^2)</f>
        <v>0.25281155325177707</v>
      </c>
      <c r="L400" s="79">
        <f>IF($C400&lt;=Entradas!$E$124,"",G400*J400)</f>
        <v>0.22633382496461046</v>
      </c>
      <c r="M400" s="40"/>
    </row>
    <row r="401" spans="2:13">
      <c r="B401" s="39"/>
      <c r="C401" s="75">
        <v>396</v>
      </c>
      <c r="D401" s="110">
        <f>IF($C401&lt;=Entradas!$E$124,"",Observaciones!H401)</f>
        <v>1.3527754041930637</v>
      </c>
      <c r="E401" s="110">
        <f>IF($C401&lt;=Entradas!$E$124,"",LíneaBase!L402)</f>
        <v>1.364469991708988</v>
      </c>
      <c r="F401" s="79">
        <f>IF($C401&lt;=Entradas!$E$124,"",D401-E401)</f>
        <v>-1.1694587515924226E-2</v>
      </c>
      <c r="G401" s="79">
        <f>IF($C401&lt;=Entradas!$E$124,"",D401-AVERAGE(D:D))</f>
        <v>0.44667672199958552</v>
      </c>
      <c r="H401" s="79">
        <f>IF($C401&lt;=Entradas!$E$124,"",F401^2)</f>
        <v>1.3676337716761076E-4</v>
      </c>
      <c r="I401" s="79">
        <f>IF($C401&lt;=Entradas!$E$124,"",G401^2)</f>
        <v>0.199520093976295</v>
      </c>
      <c r="J401" s="79">
        <f>IF($C401&lt;=Entradas!$E$124,"",E401-AVERAGE(E:E))</f>
        <v>0.4688891279118701</v>
      </c>
      <c r="K401" s="79">
        <f>IF($C401&lt;=Entradas!$E$124,"",J401^2)</f>
        <v>0.21985701427395407</v>
      </c>
      <c r="L401" s="79">
        <f>IF($C401&lt;=Entradas!$E$124,"",G401*J401)</f>
        <v>0.2094418586369185</v>
      </c>
      <c r="M401" s="40"/>
    </row>
    <row r="402" spans="2:13">
      <c r="B402" s="39"/>
      <c r="C402" s="75">
        <v>397</v>
      </c>
      <c r="D402" s="110">
        <f>IF($C402&lt;=Entradas!$E$124,"",Observaciones!H402)</f>
        <v>1.2954507144270362</v>
      </c>
      <c r="E402" s="110">
        <f>IF($C402&lt;=Entradas!$E$124,"",LíneaBase!L403)</f>
        <v>1.3037963206709979</v>
      </c>
      <c r="F402" s="79">
        <f>IF($C402&lt;=Entradas!$E$124,"",D402-E402)</f>
        <v>-8.3456062439617451E-3</v>
      </c>
      <c r="G402" s="79">
        <f>IF($C402&lt;=Entradas!$E$124,"",D402-AVERAGE(D:D))</f>
        <v>0.38935203223355797</v>
      </c>
      <c r="H402" s="79">
        <f>IF($C402&lt;=Entradas!$E$124,"",F402^2)</f>
        <v>6.964914357925326E-5</v>
      </c>
      <c r="I402" s="79">
        <f>IF($C402&lt;=Entradas!$E$124,"",G402^2)</f>
        <v>0.15159500500440157</v>
      </c>
      <c r="J402" s="79">
        <f>IF($C402&lt;=Entradas!$E$124,"",E402-AVERAGE(E:E))</f>
        <v>0.40821545687388006</v>
      </c>
      <c r="K402" s="79">
        <f>IF($C402&lt;=Entradas!$E$124,"",J402^2)</f>
        <v>0.16663985923075061</v>
      </c>
      <c r="L402" s="79">
        <f>IF($C402&lt;=Entradas!$E$124,"",G402*J402)</f>
        <v>0.15893951772299553</v>
      </c>
      <c r="M402" s="40"/>
    </row>
    <row r="403" spans="2:13">
      <c r="B403" s="39"/>
      <c r="C403" s="75">
        <v>398</v>
      </c>
      <c r="D403" s="110">
        <f>IF($C403&lt;=Entradas!$E$124,"",Observaciones!H403)</f>
        <v>1.2655579471481655</v>
      </c>
      <c r="E403" s="110">
        <f>IF($C403&lt;=Entradas!$E$124,"",LíneaBase!L404)</f>
        <v>1.2706062180090361</v>
      </c>
      <c r="F403" s="79">
        <f>IF($C403&lt;=Entradas!$E$124,"",D403-E403)</f>
        <v>-5.0482708608705629E-3</v>
      </c>
      <c r="G403" s="79">
        <f>IF($C403&lt;=Entradas!$E$124,"",D403-AVERAGE(D:D))</f>
        <v>0.35945926495468727</v>
      </c>
      <c r="H403" s="79">
        <f>IF($C403&lt;=Entradas!$E$124,"",F403^2)</f>
        <v>2.5485038684714815E-5</v>
      </c>
      <c r="I403" s="79">
        <f>IF($C403&lt;=Entradas!$E$124,"",G403^2)</f>
        <v>0.12921096316176406</v>
      </c>
      <c r="J403" s="79">
        <f>IF($C403&lt;=Entradas!$E$124,"",E403-AVERAGE(E:E))</f>
        <v>0.37502535421191818</v>
      </c>
      <c r="K403" s="79">
        <f>IF($C403&lt;=Entradas!$E$124,"",J403^2)</f>
        <v>0.1406440163017747</v>
      </c>
      <c r="L403" s="79">
        <f>IF($C403&lt;=Entradas!$E$124,"",G403*J403)</f>
        <v>0.13480633816438733</v>
      </c>
      <c r="M403" s="40"/>
    </row>
    <row r="404" spans="2:13">
      <c r="B404" s="39"/>
      <c r="C404" s="75">
        <v>399</v>
      </c>
      <c r="D404" s="110">
        <f>IF($C404&lt;=Entradas!$E$124,"",Observaciones!H404)</f>
        <v>1.1606371170349079</v>
      </c>
      <c r="E404" s="110">
        <f>IF($C404&lt;=Entradas!$E$124,"",LíneaBase!L405)</f>
        <v>1.1624636306981952</v>
      </c>
      <c r="F404" s="79">
        <f>IF($C404&lt;=Entradas!$E$124,"",D404-E404)</f>
        <v>-1.8265136632873435E-3</v>
      </c>
      <c r="G404" s="79">
        <f>IF($C404&lt;=Entradas!$E$124,"",D404-AVERAGE(D:D))</f>
        <v>0.25453843484142968</v>
      </c>
      <c r="H404" s="79">
        <f>IF($C404&lt;=Entradas!$E$124,"",F404^2)</f>
        <v>3.3361521621753513E-6</v>
      </c>
      <c r="I404" s="79">
        <f>IF($C404&lt;=Entradas!$E$124,"",G404^2)</f>
        <v>6.4789814811524751E-2</v>
      </c>
      <c r="J404" s="79">
        <f>IF($C404&lt;=Entradas!$E$124,"",E404-AVERAGE(E:E))</f>
        <v>0.26688276690107737</v>
      </c>
      <c r="K404" s="79">
        <f>IF($C404&lt;=Entradas!$E$124,"",J404^2)</f>
        <v>7.1226411268774797E-2</v>
      </c>
      <c r="L404" s="79">
        <f>IF($C404&lt;=Entradas!$E$124,"",G404*J404)</f>
        <v>6.7931921773150356E-2</v>
      </c>
      <c r="M404" s="40"/>
    </row>
    <row r="405" spans="2:13">
      <c r="B405" s="39"/>
      <c r="C405" s="75">
        <v>400</v>
      </c>
      <c r="D405" s="110">
        <f>IF($C405&lt;=Entradas!$E$124,"",Observaciones!H405)</f>
        <v>1.1739087389155642</v>
      </c>
      <c r="E405" s="110">
        <f>IF($C405&lt;=Entradas!$E$124,"",LíneaBase!L406)</f>
        <v>1.1727115287574779</v>
      </c>
      <c r="F405" s="79">
        <f>IF($C405&lt;=Entradas!$E$124,"",D405-E405)</f>
        <v>1.1972101580863814E-3</v>
      </c>
      <c r="G405" s="79">
        <f>IF($C405&lt;=Entradas!$E$124,"",D405-AVERAGE(D:D))</f>
        <v>0.26781005672208602</v>
      </c>
      <c r="H405" s="79">
        <f>IF($C405&lt;=Entradas!$E$124,"",F405^2)</f>
        <v>1.4333121626252185E-6</v>
      </c>
      <c r="I405" s="79">
        <f>IF($C405&lt;=Entradas!$E$124,"",G405^2)</f>
        <v>7.1722226481486934E-2</v>
      </c>
      <c r="J405" s="79">
        <f>IF($C405&lt;=Entradas!$E$124,"",E405-AVERAGE(E:E))</f>
        <v>0.27713066496035998</v>
      </c>
      <c r="K405" s="79">
        <f>IF($C405&lt;=Entradas!$E$124,"",J405^2)</f>
        <v>7.6801405461371292E-2</v>
      </c>
      <c r="L405" s="79">
        <f>IF($C405&lt;=Entradas!$E$124,"",G405*J405)</f>
        <v>7.4218379102463428E-2</v>
      </c>
      <c r="M405" s="40"/>
    </row>
    <row r="406" spans="2:13">
      <c r="B406" s="39"/>
      <c r="C406" s="75">
        <v>401</v>
      </c>
      <c r="D406" s="110">
        <f>IF($C406&lt;=Entradas!$E$124,"",Observaciones!H406)</f>
        <v>1.0713822106249293</v>
      </c>
      <c r="E406" s="110">
        <f>IF($C406&lt;=Entradas!$E$124,"",LíneaBase!L407)</f>
        <v>1.0671583277404086</v>
      </c>
      <c r="F406" s="79">
        <f>IF($C406&lt;=Entradas!$E$124,"",D406-E406)</f>
        <v>4.2238828845206911E-3</v>
      </c>
      <c r="G406" s="79">
        <f>IF($C406&lt;=Entradas!$E$124,"",D406-AVERAGE(D:D))</f>
        <v>0.16528352843145111</v>
      </c>
      <c r="H406" s="79">
        <f>IF($C406&lt;=Entradas!$E$124,"",F406^2)</f>
        <v>1.7841186622146834E-5</v>
      </c>
      <c r="I406" s="79">
        <f>IF($C406&lt;=Entradas!$E$124,"",G406^2)</f>
        <v>2.7318644770750307E-2</v>
      </c>
      <c r="J406" s="79">
        <f>IF($C406&lt;=Entradas!$E$124,"",E406-AVERAGE(E:E))</f>
        <v>0.17157746394329076</v>
      </c>
      <c r="K406" s="79">
        <f>IF($C406&lt;=Entradas!$E$124,"",J406^2)</f>
        <v>2.9438826133211242E-2</v>
      </c>
      <c r="L406" s="79">
        <f>IF($C406&lt;=Entradas!$E$124,"",G406*J406)</f>
        <v>2.8358928639867175E-2</v>
      </c>
      <c r="M406" s="40"/>
    </row>
    <row r="407" spans="2:13">
      <c r="B407" s="39"/>
      <c r="C407" s="75">
        <v>402</v>
      </c>
      <c r="D407" s="110">
        <f>IF($C407&lt;=Entradas!$E$124,"",Observaciones!H407)</f>
        <v>0.97117967790813964</v>
      </c>
      <c r="E407" s="110">
        <f>IF($C407&lt;=Entradas!$E$124,"",LíneaBase!L408)</f>
        <v>0.96399356996253371</v>
      </c>
      <c r="F407" s="79">
        <f>IF($C407&lt;=Entradas!$E$124,"",D407-E407)</f>
        <v>7.186107945605924E-3</v>
      </c>
      <c r="G407" s="79">
        <f>IF($C407&lt;=Entradas!$E$124,"",D407-AVERAGE(D:D))</f>
        <v>6.5080995714661416E-2</v>
      </c>
      <c r="H407" s="79">
        <f>IF($C407&lt;=Entradas!$E$124,"",F407^2)</f>
        <v>5.1640147405900596E-5</v>
      </c>
      <c r="I407" s="79">
        <f>IF($C407&lt;=Entradas!$E$124,"",G407^2)</f>
        <v>4.2355360032117779E-3</v>
      </c>
      <c r="J407" s="79">
        <f>IF($C407&lt;=Entradas!$E$124,"",E407-AVERAGE(E:E))</f>
        <v>6.8412706165415837E-2</v>
      </c>
      <c r="K407" s="79">
        <f>IF($C407&lt;=Entradas!$E$124,"",J407^2)</f>
        <v>4.6802983648755259E-3</v>
      </c>
      <c r="L407" s="79">
        <f>IF($C407&lt;=Entradas!$E$124,"",G407*J407)</f>
        <v>4.4523670367798184E-3</v>
      </c>
      <c r="M407" s="40"/>
    </row>
    <row r="408" spans="2:13">
      <c r="B408" s="39"/>
      <c r="C408" s="75">
        <v>403</v>
      </c>
      <c r="D408" s="110">
        <f>IF($C408&lt;=Entradas!$E$124,"",Observaciones!H408)</f>
        <v>2.1270987011681908</v>
      </c>
      <c r="E408" s="110">
        <f>IF($C408&lt;=Entradas!$E$124,"",LíneaBase!L409)</f>
        <v>2.4594877401584454</v>
      </c>
      <c r="F408" s="79">
        <f>IF($C408&lt;=Entradas!$E$124,"",D408-E408)</f>
        <v>-0.33238903899025463</v>
      </c>
      <c r="G408" s="79">
        <f>IF($C408&lt;=Entradas!$E$124,"",D408-AVERAGE(D:D))</f>
        <v>1.2210000189747126</v>
      </c>
      <c r="H408" s="79">
        <f>IF($C408&lt;=Entradas!$E$124,"",F408^2)</f>
        <v>0.11048247324086501</v>
      </c>
      <c r="I408" s="79">
        <f>IF($C408&lt;=Entradas!$E$124,"",G408^2)</f>
        <v>1.4908410463362485</v>
      </c>
      <c r="J408" s="79">
        <f>IF($C408&lt;=Entradas!$E$124,"",E408-AVERAGE(E:E))</f>
        <v>1.5639068763613275</v>
      </c>
      <c r="K408" s="79">
        <f>IF($C408&lt;=Entradas!$E$124,"",J408^2)</f>
        <v>2.4458047179302445</v>
      </c>
      <c r="L408" s="79">
        <f>IF($C408&lt;=Entradas!$E$124,"",G408*J408)</f>
        <v>1.9095303257118643</v>
      </c>
      <c r="M408" s="40"/>
    </row>
    <row r="409" spans="2:13">
      <c r="B409" s="39"/>
      <c r="C409" s="75">
        <v>404</v>
      </c>
      <c r="D409" s="110">
        <f>IF($C409&lt;=Entradas!$E$124,"",Observaciones!H409)</f>
        <v>1.2004187285257604</v>
      </c>
      <c r="E409" s="110">
        <f>IF($C409&lt;=Entradas!$E$124,"",LíneaBase!L410)</f>
        <v>1.1760431600311811</v>
      </c>
      <c r="F409" s="79">
        <f>IF($C409&lt;=Entradas!$E$124,"",D409-E409)</f>
        <v>2.4375568494579225E-2</v>
      </c>
      <c r="G409" s="79">
        <f>IF($C409&lt;=Entradas!$E$124,"",D409-AVERAGE(D:D))</f>
        <v>0.29432004633228215</v>
      </c>
      <c r="H409" s="79">
        <f>IF($C409&lt;=Entradas!$E$124,"",F409^2)</f>
        <v>5.941683394339233E-4</v>
      </c>
      <c r="I409" s="79">
        <f>IF($C409&lt;=Entradas!$E$124,"",G409^2)</f>
        <v>8.6624289673036717E-2</v>
      </c>
      <c r="J409" s="79">
        <f>IF($C409&lt;=Entradas!$E$124,"",E409-AVERAGE(E:E))</f>
        <v>0.28046229623406327</v>
      </c>
      <c r="K409" s="79">
        <f>IF($C409&lt;=Entradas!$E$124,"",J409^2)</f>
        <v>7.8659099608883454E-2</v>
      </c>
      <c r="L409" s="79">
        <f>IF($C409&lt;=Entradas!$E$124,"",G409*J409)</f>
        <v>8.2545676022067749E-2</v>
      </c>
      <c r="M409" s="40"/>
    </row>
    <row r="410" spans="2:13">
      <c r="B410" s="39"/>
      <c r="C410" s="75">
        <v>405</v>
      </c>
      <c r="D410" s="110">
        <f>IF($C410&lt;=Entradas!$E$124,"",Observaciones!H410)</f>
        <v>1.1689217641251128</v>
      </c>
      <c r="E410" s="110">
        <f>IF($C410&lt;=Entradas!$E$124,"",LíneaBase!L411)</f>
        <v>1.1424717912225273</v>
      </c>
      <c r="F410" s="79">
        <f>IF($C410&lt;=Entradas!$E$124,"",D410-E410)</f>
        <v>2.644997290258555E-2</v>
      </c>
      <c r="G410" s="79">
        <f>IF($C410&lt;=Entradas!$E$124,"",D410-AVERAGE(D:D))</f>
        <v>0.26282308193163462</v>
      </c>
      <c r="H410" s="79">
        <f>IF($C410&lt;=Entradas!$E$124,"",F410^2)</f>
        <v>6.9960106654750991E-4</v>
      </c>
      <c r="I410" s="79">
        <f>IF($C410&lt;=Entradas!$E$124,"",G410^2)</f>
        <v>6.9075972396042726E-2</v>
      </c>
      <c r="J410" s="79">
        <f>IF($C410&lt;=Entradas!$E$124,"",E410-AVERAGE(E:E))</f>
        <v>0.24689092742540941</v>
      </c>
      <c r="K410" s="79">
        <f>IF($C410&lt;=Entradas!$E$124,"",J410^2)</f>
        <v>6.0955130044978781E-2</v>
      </c>
      <c r="L410" s="79">
        <f>IF($C410&lt;=Entradas!$E$124,"",G410*J410)</f>
        <v>6.4888634446905638E-2</v>
      </c>
      <c r="M410" s="40"/>
    </row>
    <row r="411" spans="2:13">
      <c r="B411" s="39"/>
      <c r="C411" s="75">
        <v>406</v>
      </c>
      <c r="D411" s="110">
        <f>IF($C411&lt;=Entradas!$E$124,"",Observaciones!H411)</f>
        <v>4.4032537348740508</v>
      </c>
      <c r="E411" s="110">
        <f>IF($C411&lt;=Entradas!$E$124,"",LíneaBase!L412)</f>
        <v>5.2481897038060925</v>
      </c>
      <c r="F411" s="79">
        <f>IF($C411&lt;=Entradas!$E$124,"",D411-E411)</f>
        <v>-0.8449359689320417</v>
      </c>
      <c r="G411" s="79">
        <f>IF($C411&lt;=Entradas!$E$124,"",D411-AVERAGE(D:D))</f>
        <v>3.4971550526805726</v>
      </c>
      <c r="H411" s="79">
        <f>IF($C411&lt;=Entradas!$E$124,"",F411^2)</f>
        <v>0.71391679159512811</v>
      </c>
      <c r="I411" s="79">
        <f>IF($C411&lt;=Entradas!$E$124,"",G411^2)</f>
        <v>12.230093462489258</v>
      </c>
      <c r="J411" s="79">
        <f>IF($C411&lt;=Entradas!$E$124,"",E411-AVERAGE(E:E))</f>
        <v>4.3526088400089744</v>
      </c>
      <c r="K411" s="79">
        <f>IF($C411&lt;=Entradas!$E$124,"",J411^2)</f>
        <v>18.945203714124268</v>
      </c>
      <c r="L411" s="79">
        <f>IF($C411&lt;=Entradas!$E$124,"",G411*J411)</f>
        <v>15.221747997179511</v>
      </c>
      <c r="M411" s="40"/>
    </row>
    <row r="412" spans="2:13">
      <c r="B412" s="39"/>
      <c r="C412" s="75">
        <v>407</v>
      </c>
      <c r="D412" s="110">
        <f>IF($C412&lt;=Entradas!$E$124,"",Observaciones!H412)</f>
        <v>1.4997265502264259</v>
      </c>
      <c r="E412" s="110">
        <f>IF($C412&lt;=Entradas!$E$124,"",LíneaBase!L413)</f>
        <v>1.5122886923568097</v>
      </c>
      <c r="F412" s="79">
        <f>IF($C412&lt;=Entradas!$E$124,"",D412-E412)</f>
        <v>-1.2562142130383869E-2</v>
      </c>
      <c r="G412" s="79">
        <f>IF($C412&lt;=Entradas!$E$124,"",D412-AVERAGE(D:D))</f>
        <v>0.59362786803294765</v>
      </c>
      <c r="H412" s="79">
        <f>IF($C412&lt;=Entradas!$E$124,"",F412^2)</f>
        <v>1.5780741490396537E-4</v>
      </c>
      <c r="I412" s="79">
        <f>IF($C412&lt;=Entradas!$E$124,"",G412^2)</f>
        <v>0.35239404570534272</v>
      </c>
      <c r="J412" s="79">
        <f>IF($C412&lt;=Entradas!$E$124,"",E412-AVERAGE(E:E))</f>
        <v>0.61670782855969186</v>
      </c>
      <c r="K412" s="79">
        <f>IF($C412&lt;=Entradas!$E$124,"",J412^2)</f>
        <v>0.3803285458068103</v>
      </c>
      <c r="L412" s="79">
        <f>IF($C412&lt;=Entradas!$E$124,"",G412*J412)</f>
        <v>0.36609495346711846</v>
      </c>
      <c r="M412" s="40"/>
    </row>
    <row r="413" spans="2:13">
      <c r="B413" s="39"/>
      <c r="C413" s="75">
        <v>408</v>
      </c>
      <c r="D413" s="110">
        <f>IF($C413&lt;=Entradas!$E$124,"",Observaciones!H413)</f>
        <v>1.4533256023375341</v>
      </c>
      <c r="E413" s="110">
        <f>IF($C413&lt;=Entradas!$E$124,"",LíneaBase!L414)</f>
        <v>1.4617632259946118</v>
      </c>
      <c r="F413" s="79">
        <f>IF($C413&lt;=Entradas!$E$124,"",D413-E413)</f>
        <v>-8.4376236570777863E-3</v>
      </c>
      <c r="G413" s="79">
        <f>IF($C413&lt;=Entradas!$E$124,"",D413-AVERAGE(D:D))</f>
        <v>0.54722692014405583</v>
      </c>
      <c r="H413" s="79">
        <f>IF($C413&lt;=Entradas!$E$124,"",F413^2)</f>
        <v>7.1193492978478712E-5</v>
      </c>
      <c r="I413" s="79">
        <f>IF($C413&lt;=Entradas!$E$124,"",G413^2)</f>
        <v>0.29945730213034888</v>
      </c>
      <c r="J413" s="79">
        <f>IF($C413&lt;=Entradas!$E$124,"",E413-AVERAGE(E:E))</f>
        <v>0.56618236219749396</v>
      </c>
      <c r="K413" s="79">
        <f>IF($C413&lt;=Entradas!$E$124,"",J413^2)</f>
        <v>0.32056246726353421</v>
      </c>
      <c r="L413" s="79">
        <f>IF($C413&lt;=Entradas!$E$124,"",G413*J413)</f>
        <v>0.30983023030522094</v>
      </c>
      <c r="M413" s="40"/>
    </row>
    <row r="414" spans="2:13">
      <c r="B414" s="39"/>
      <c r="C414" s="75">
        <v>409</v>
      </c>
      <c r="D414" s="110">
        <f>IF($C414&lt;=Entradas!$E$124,"",Observaciones!H414)</f>
        <v>1.3697479345123544</v>
      </c>
      <c r="E414" s="110">
        <f>IF($C414&lt;=Entradas!$E$124,"",LíneaBase!L415)</f>
        <v>1.3741648474211998</v>
      </c>
      <c r="F414" s="79">
        <f>IF($C414&lt;=Entradas!$E$124,"",D414-E414)</f>
        <v>-4.4169129088453829E-3</v>
      </c>
      <c r="G414" s="79">
        <f>IF($C414&lt;=Entradas!$E$124,"",D414-AVERAGE(D:D))</f>
        <v>0.46364925231887621</v>
      </c>
      <c r="H414" s="79">
        <f>IF($C414&lt;=Entradas!$E$124,"",F414^2)</f>
        <v>1.9509119644324981E-5</v>
      </c>
      <c r="I414" s="79">
        <f>IF($C414&lt;=Entradas!$E$124,"",G414^2)</f>
        <v>0.21497062917585294</v>
      </c>
      <c r="J414" s="79">
        <f>IF($C414&lt;=Entradas!$E$124,"",E414-AVERAGE(E:E))</f>
        <v>0.47858398362408194</v>
      </c>
      <c r="K414" s="79">
        <f>IF($C414&lt;=Entradas!$E$124,"",J414^2)</f>
        <v>0.22904262938149553</v>
      </c>
      <c r="L414" s="79">
        <f>IF($C414&lt;=Entradas!$E$124,"",G414*J414)</f>
        <v>0.22189510617909489</v>
      </c>
      <c r="M414" s="40"/>
    </row>
    <row r="415" spans="2:13">
      <c r="B415" s="39"/>
      <c r="C415" s="75">
        <v>410</v>
      </c>
      <c r="D415" s="110">
        <f>IF($C415&lt;=Entradas!$E$124,"",Observaciones!H415)</f>
        <v>1.2630436644665124</v>
      </c>
      <c r="E415" s="110">
        <f>IF($C415&lt;=Entradas!$E$124,"",LíneaBase!L416)</f>
        <v>1.2636365825343776</v>
      </c>
      <c r="F415" s="79">
        <f>IF($C415&lt;=Entradas!$E$124,"",D415-E415)</f>
        <v>-5.9291806786521128E-4</v>
      </c>
      <c r="G415" s="79">
        <f>IF($C415&lt;=Entradas!$E$124,"",D415-AVERAGE(D:D))</f>
        <v>0.35694498227303417</v>
      </c>
      <c r="H415" s="79">
        <f>IF($C415&lt;=Entradas!$E$124,"",F415^2)</f>
        <v>3.515518352010153E-7</v>
      </c>
      <c r="I415" s="79">
        <f>IF($C415&lt;=Entradas!$E$124,"",G415^2)</f>
        <v>0.12740972036989667</v>
      </c>
      <c r="J415" s="79">
        <f>IF($C415&lt;=Entradas!$E$124,"",E415-AVERAGE(E:E))</f>
        <v>0.36805571873725973</v>
      </c>
      <c r="K415" s="79">
        <f>IF($C415&lt;=Entradas!$E$124,"",J415^2)</f>
        <v>0.13546501209520084</v>
      </c>
      <c r="L415" s="79">
        <f>IF($C415&lt;=Entradas!$E$124,"",G415*J415)</f>
        <v>0.13137564200016003</v>
      </c>
      <c r="M415" s="40"/>
    </row>
    <row r="416" spans="2:13">
      <c r="B416" s="39"/>
      <c r="C416" s="75">
        <v>411</v>
      </c>
      <c r="D416" s="110">
        <f>IF($C416&lt;=Entradas!$E$124,"",Observaciones!H416)</f>
        <v>1.2173372095634136</v>
      </c>
      <c r="E416" s="110">
        <f>IF($C416&lt;=Entradas!$E$124,"",LíneaBase!L417)</f>
        <v>1.2142273209286203</v>
      </c>
      <c r="F416" s="79">
        <f>IF($C416&lt;=Entradas!$E$124,"",D416-E416)</f>
        <v>3.1098886347933341E-3</v>
      </c>
      <c r="G416" s="79">
        <f>IF($C416&lt;=Entradas!$E$124,"",D416-AVERAGE(D:D))</f>
        <v>0.3112385273699354</v>
      </c>
      <c r="H416" s="79">
        <f>IF($C416&lt;=Entradas!$E$124,"",F416^2)</f>
        <v>9.671407320816747E-6</v>
      </c>
      <c r="I416" s="79">
        <f>IF($C416&lt;=Entradas!$E$124,"",G416^2)</f>
        <v>9.6869420919406035E-2</v>
      </c>
      <c r="J416" s="79">
        <f>IF($C416&lt;=Entradas!$E$124,"",E416-AVERAGE(E:E))</f>
        <v>0.31864645713150241</v>
      </c>
      <c r="K416" s="79">
        <f>IF($C416&lt;=Entradas!$E$124,"",J416^2)</f>
        <v>0.1015355646424584</v>
      </c>
      <c r="L416" s="79">
        <f>IF($C416&lt;=Entradas!$E$124,"",G416*J416)</f>
        <v>9.9175054069256058E-2</v>
      </c>
      <c r="M416" s="40"/>
    </row>
    <row r="417" spans="2:13">
      <c r="B417" s="39"/>
      <c r="C417" s="75">
        <v>412</v>
      </c>
      <c r="D417" s="110">
        <f>IF($C417&lt;=Entradas!$E$124,"",Observaciones!H417)</f>
        <v>3.3952154230607219</v>
      </c>
      <c r="E417" s="110">
        <f>IF($C417&lt;=Entradas!$E$124,"",LíneaBase!L418)</f>
        <v>4.0041926644114705</v>
      </c>
      <c r="F417" s="79">
        <f>IF($C417&lt;=Entradas!$E$124,"",D417-E417)</f>
        <v>-0.6089772413507486</v>
      </c>
      <c r="G417" s="79">
        <f>IF($C417&lt;=Entradas!$E$124,"",D417-AVERAGE(D:D))</f>
        <v>2.4891167408672437</v>
      </c>
      <c r="H417" s="79">
        <f>IF($C417&lt;=Entradas!$E$124,"",F417^2)</f>
        <v>0.3708532804831679</v>
      </c>
      <c r="I417" s="79">
        <f>IF($C417&lt;=Entradas!$E$124,"",G417^2)</f>
        <v>6.1957021496655686</v>
      </c>
      <c r="J417" s="79">
        <f>IF($C417&lt;=Entradas!$E$124,"",E417-AVERAGE(E:E))</f>
        <v>3.1086118006143524</v>
      </c>
      <c r="K417" s="79">
        <f>IF($C417&lt;=Entradas!$E$124,"",J417^2)</f>
        <v>9.6634673269188056</v>
      </c>
      <c r="L417" s="79">
        <f>IF($C417&lt;=Entradas!$E$124,"",G417*J417)</f>
        <v>7.7376976737666503</v>
      </c>
      <c r="M417" s="40"/>
    </row>
    <row r="418" spans="2:13">
      <c r="B418" s="39"/>
      <c r="C418" s="75">
        <v>413</v>
      </c>
      <c r="D418" s="110">
        <f>IF($C418&lt;=Entradas!$E$124,"",Observaciones!H418)</f>
        <v>1.5414560032866587</v>
      </c>
      <c r="E418" s="110">
        <f>IF($C418&lt;=Entradas!$E$124,"",LíneaBase!L419)</f>
        <v>1.541426568056508</v>
      </c>
      <c r="F418" s="79">
        <f>IF($C418&lt;=Entradas!$E$124,"",D418-E418)</f>
        <v>2.9435230150642866E-5</v>
      </c>
      <c r="G418" s="79">
        <f>IF($C418&lt;=Entradas!$E$124,"",D418-AVERAGE(D:D))</f>
        <v>0.63535732109318044</v>
      </c>
      <c r="H418" s="79">
        <f>IF($C418&lt;=Entradas!$E$124,"",F418^2)</f>
        <v>8.6643277402131488E-10</v>
      </c>
      <c r="I418" s="79">
        <f>IF($C418&lt;=Entradas!$E$124,"",G418^2)</f>
        <v>0.40367892546670281</v>
      </c>
      <c r="J418" s="79">
        <f>IF($C418&lt;=Entradas!$E$124,"",E418-AVERAGE(E:E))</f>
        <v>0.64584570425939014</v>
      </c>
      <c r="K418" s="79">
        <f>IF($C418&lt;=Entradas!$E$124,"",J418^2)</f>
        <v>0.41711667371030764</v>
      </c>
      <c r="L418" s="79">
        <f>IF($C418&lt;=Entradas!$E$124,"",G418*J418)</f>
        <v>0.4103427964977846</v>
      </c>
      <c r="M418" s="40"/>
    </row>
    <row r="419" spans="2:13">
      <c r="B419" s="39"/>
      <c r="C419" s="75">
        <v>414</v>
      </c>
      <c r="D419" s="110">
        <f>IF($C419&lt;=Entradas!$E$124,"",Observaciones!H419)</f>
        <v>2.3116266113290607</v>
      </c>
      <c r="E419" s="110">
        <f>IF($C419&lt;=Entradas!$E$124,"",LíneaBase!L420)</f>
        <v>2.6157546329110741</v>
      </c>
      <c r="F419" s="79">
        <f>IF($C419&lt;=Entradas!$E$124,"",D419-E419)</f>
        <v>-0.30412802158201346</v>
      </c>
      <c r="G419" s="79">
        <f>IF($C419&lt;=Entradas!$E$124,"",D419-AVERAGE(D:D))</f>
        <v>1.4055279291355824</v>
      </c>
      <c r="H419" s="79">
        <f>IF($C419&lt;=Entradas!$E$124,"",F419^2)</f>
        <v>9.2493853511389654E-2</v>
      </c>
      <c r="I419" s="79">
        <f>IF($C419&lt;=Entradas!$E$124,"",G419^2)</f>
        <v>1.9755087595801588</v>
      </c>
      <c r="J419" s="79">
        <f>IF($C419&lt;=Entradas!$E$124,"",E419-AVERAGE(E:E))</f>
        <v>1.7201737691139563</v>
      </c>
      <c r="K419" s="79">
        <f>IF($C419&lt;=Entradas!$E$124,"",J419^2)</f>
        <v>2.9589977959477145</v>
      </c>
      <c r="L419" s="79">
        <f>IF($C419&lt;=Entradas!$E$124,"",G419*J419)</f>
        <v>2.4177522754560883</v>
      </c>
      <c r="M419" s="40"/>
    </row>
    <row r="420" spans="2:13">
      <c r="B420" s="39"/>
      <c r="C420" s="75">
        <v>415</v>
      </c>
      <c r="D420" s="110">
        <f>IF($C420&lt;=Entradas!$E$124,"",Observaciones!H420)</f>
        <v>1.5438254277009555</v>
      </c>
      <c r="E420" s="110">
        <f>IF($C420&lt;=Entradas!$E$124,"",LíneaBase!L421)</f>
        <v>1.5387420644561185</v>
      </c>
      <c r="F420" s="79">
        <f>IF($C420&lt;=Entradas!$E$124,"",D420-E420)</f>
        <v>5.0833632448370469E-3</v>
      </c>
      <c r="G420" s="79">
        <f>IF($C420&lt;=Entradas!$E$124,"",D420-AVERAGE(D:D))</f>
        <v>0.63772674550747732</v>
      </c>
      <c r="H420" s="79">
        <f>IF($C420&lt;=Entradas!$E$124,"",F420^2)</f>
        <v>2.5840581878960231E-5</v>
      </c>
      <c r="I420" s="79">
        <f>IF($C420&lt;=Entradas!$E$124,"",G420^2)</f>
        <v>0.40669540193555875</v>
      </c>
      <c r="J420" s="79">
        <f>IF($C420&lt;=Entradas!$E$124,"",E420-AVERAGE(E:E))</f>
        <v>0.64316120065900062</v>
      </c>
      <c r="K420" s="79">
        <f>IF($C420&lt;=Entradas!$E$124,"",J420^2)</f>
        <v>0.41365633003312724</v>
      </c>
      <c r="L420" s="79">
        <f>IF($C420&lt;=Entradas!$E$124,"",G420*J420)</f>
        <v>0.41016109933294603</v>
      </c>
      <c r="M420" s="40"/>
    </row>
    <row r="421" spans="2:13">
      <c r="B421" s="39"/>
      <c r="C421" s="75">
        <v>416</v>
      </c>
      <c r="D421" s="110">
        <f>IF($C421&lt;=Entradas!$E$124,"",Observaciones!H421)</f>
        <v>5.268308813292637</v>
      </c>
      <c r="E421" s="110">
        <f>IF($C421&lt;=Entradas!$E$124,"",LíneaBase!L422)</f>
        <v>6.2238332160422258</v>
      </c>
      <c r="F421" s="79">
        <f>IF($C421&lt;=Entradas!$E$124,"",D421-E421)</f>
        <v>-0.95552440274958883</v>
      </c>
      <c r="G421" s="79">
        <f>IF($C421&lt;=Entradas!$E$124,"",D421-AVERAGE(D:D))</f>
        <v>4.3622101310991592</v>
      </c>
      <c r="H421" s="79">
        <f>IF($C421&lt;=Entradas!$E$124,"",F421^2)</f>
        <v>0.91302688424995848</v>
      </c>
      <c r="I421" s="79">
        <f>IF($C421&lt;=Entradas!$E$124,"",G421^2)</f>
        <v>19.028877227864143</v>
      </c>
      <c r="J421" s="79">
        <f>IF($C421&lt;=Entradas!$E$124,"",E421-AVERAGE(E:E))</f>
        <v>5.3282523522451077</v>
      </c>
      <c r="K421" s="79">
        <f>IF($C421&lt;=Entradas!$E$124,"",J421^2)</f>
        <v>28.390273129205525</v>
      </c>
      <c r="L421" s="79">
        <f>IF($C421&lt;=Entradas!$E$124,"",G421*J421)</f>
        <v>23.242956392016534</v>
      </c>
      <c r="M421" s="40"/>
    </row>
    <row r="422" spans="2:13">
      <c r="B422" s="39"/>
      <c r="C422" s="75">
        <v>417</v>
      </c>
      <c r="D422" s="110">
        <f>IF($C422&lt;=Entradas!$E$124,"",Observaciones!H422)</f>
        <v>2.4614053137426222</v>
      </c>
      <c r="E422" s="110">
        <f>IF($C422&lt;=Entradas!$E$124,"",LíneaBase!L423)</f>
        <v>2.7319548617276044</v>
      </c>
      <c r="F422" s="79">
        <f>IF($C422&lt;=Entradas!$E$124,"",D422-E422)</f>
        <v>-0.27054954798498221</v>
      </c>
      <c r="G422" s="79">
        <f>IF($C422&lt;=Entradas!$E$124,"",D422-AVERAGE(D:D))</f>
        <v>1.5553066315491439</v>
      </c>
      <c r="H422" s="79">
        <f>IF($C422&lt;=Entradas!$E$124,"",F422^2)</f>
        <v>7.3197057914878197E-2</v>
      </c>
      <c r="I422" s="79">
        <f>IF($C422&lt;=Entradas!$E$124,"",G422^2)</f>
        <v>2.4189787181407447</v>
      </c>
      <c r="J422" s="79">
        <f>IF($C422&lt;=Entradas!$E$124,"",E422-AVERAGE(E:E))</f>
        <v>1.8363739979304865</v>
      </c>
      <c r="K422" s="79">
        <f>IF($C422&lt;=Entradas!$E$124,"",J422^2)</f>
        <v>3.3722694602751986</v>
      </c>
      <c r="L422" s="79">
        <f>IF($C422&lt;=Entradas!$E$124,"",G422*J422)</f>
        <v>2.8561246569856995</v>
      </c>
      <c r="M422" s="40"/>
    </row>
    <row r="423" spans="2:13">
      <c r="B423" s="39"/>
      <c r="C423" s="75">
        <v>418</v>
      </c>
      <c r="D423" s="110">
        <f>IF($C423&lt;=Entradas!$E$124,"",Observaciones!H423)</f>
        <v>1.956252497450039</v>
      </c>
      <c r="E423" s="110">
        <f>IF($C423&lt;=Entradas!$E$124,"",LíneaBase!L424)</f>
        <v>2.0127528816919891</v>
      </c>
      <c r="F423" s="79">
        <f>IF($C423&lt;=Entradas!$E$124,"",D423-E423)</f>
        <v>-5.650038424195003E-2</v>
      </c>
      <c r="G423" s="79">
        <f>IF($C423&lt;=Entradas!$E$124,"",D423-AVERAGE(D:D))</f>
        <v>1.0501538152565608</v>
      </c>
      <c r="H423" s="79">
        <f>IF($C423&lt;=Entradas!$E$124,"",F423^2)</f>
        <v>3.1922934194879952E-3</v>
      </c>
      <c r="I423" s="79">
        <f>IF($C423&lt;=Entradas!$E$124,"",G423^2)</f>
        <v>1.102823035697911</v>
      </c>
      <c r="J423" s="79">
        <f>IF($C423&lt;=Entradas!$E$124,"",E423-AVERAGE(E:E))</f>
        <v>1.1171720178948712</v>
      </c>
      <c r="K423" s="79">
        <f>IF($C423&lt;=Entradas!$E$124,"",J423^2)</f>
        <v>1.2480733175672984</v>
      </c>
      <c r="L423" s="79">
        <f>IF($C423&lt;=Entradas!$E$124,"",G423*J423)</f>
        <v>1.1732024568901698</v>
      </c>
      <c r="M423" s="40"/>
    </row>
    <row r="424" spans="2:13">
      <c r="B424" s="39"/>
      <c r="C424" s="75">
        <v>419</v>
      </c>
      <c r="D424" s="110">
        <f>IF($C424&lt;=Entradas!$E$124,"",Observaciones!H424)</f>
        <v>6.8407540069502977</v>
      </c>
      <c r="E424" s="110">
        <f>IF($C424&lt;=Entradas!$E$124,"",LíneaBase!L425)</f>
        <v>8.0210722200873033</v>
      </c>
      <c r="F424" s="79">
        <f>IF($C424&lt;=Entradas!$E$124,"",D424-E424)</f>
        <v>-1.1803182131370056</v>
      </c>
      <c r="G424" s="79">
        <f>IF($C424&lt;=Entradas!$E$124,"",D424-AVERAGE(D:D))</f>
        <v>5.9346553247568199</v>
      </c>
      <c r="H424" s="79">
        <f>IF($C424&lt;=Entradas!$E$124,"",F424^2)</f>
        <v>1.3931510842629338</v>
      </c>
      <c r="I424" s="79">
        <f>IF($C424&lt;=Entradas!$E$124,"",G424^2)</f>
        <v>35.220133823664476</v>
      </c>
      <c r="J424" s="79">
        <f>IF($C424&lt;=Entradas!$E$124,"",E424-AVERAGE(E:E))</f>
        <v>7.1254913562901852</v>
      </c>
      <c r="K424" s="79">
        <f>IF($C424&lt;=Entradas!$E$124,"",J424^2)</f>
        <v>50.772627068566145</v>
      </c>
      <c r="L424" s="79">
        <f>IF($C424&lt;=Entradas!$E$124,"",G424*J424)</f>
        <v>42.287335219116244</v>
      </c>
      <c r="M424" s="40"/>
    </row>
    <row r="425" spans="2:13">
      <c r="B425" s="39"/>
      <c r="C425" s="75">
        <v>420</v>
      </c>
      <c r="D425" s="110">
        <f>IF($C425&lt;=Entradas!$E$124,"",Observaciones!H425)</f>
        <v>2.3428761560723417</v>
      </c>
      <c r="E425" s="110">
        <f>IF($C425&lt;=Entradas!$E$124,"",LíneaBase!L426)</f>
        <v>2.4629964778208384</v>
      </c>
      <c r="F425" s="79">
        <f>IF($C425&lt;=Entradas!$E$124,"",D425-E425)</f>
        <v>-0.12012032174849674</v>
      </c>
      <c r="G425" s="79">
        <f>IF($C425&lt;=Entradas!$E$124,"",D425-AVERAGE(D:D))</f>
        <v>1.4367774738788635</v>
      </c>
      <c r="H425" s="79">
        <f>IF($C425&lt;=Entradas!$E$124,"",F425^2)</f>
        <v>1.4428891696962379E-2</v>
      </c>
      <c r="I425" s="79">
        <f>IF($C425&lt;=Entradas!$E$124,"",G425^2)</f>
        <v>2.0643295094457281</v>
      </c>
      <c r="J425" s="79">
        <f>IF($C425&lt;=Entradas!$E$124,"",E425-AVERAGE(E:E))</f>
        <v>1.5674156140237205</v>
      </c>
      <c r="K425" s="79">
        <f>IF($C425&lt;=Entradas!$E$124,"",J425^2)</f>
        <v>2.4567917070853569</v>
      </c>
      <c r="L425" s="79">
        <f>IF($C425&lt;=Entradas!$E$124,"",G425*J425)</f>
        <v>2.2520274464352887</v>
      </c>
      <c r="M425" s="40"/>
    </row>
    <row r="426" spans="2:13">
      <c r="B426" s="39"/>
      <c r="C426" s="75">
        <v>421</v>
      </c>
      <c r="D426" s="110">
        <f>IF($C426&lt;=Entradas!$E$124,"",Observaciones!H426)</f>
        <v>2.0279643365142075</v>
      </c>
      <c r="E426" s="110">
        <f>IF($C426&lt;=Entradas!$E$124,"",LíneaBase!L427)</f>
        <v>1.9926677523432998</v>
      </c>
      <c r="F426" s="79">
        <f>IF($C426&lt;=Entradas!$E$124,"",D426-E426)</f>
        <v>3.5296584170907641E-2</v>
      </c>
      <c r="G426" s="79">
        <f>IF($C426&lt;=Entradas!$E$124,"",D426-AVERAGE(D:D))</f>
        <v>1.1218656543207293</v>
      </c>
      <c r="H426" s="79">
        <f>IF($C426&lt;=Entradas!$E$124,"",F426^2)</f>
        <v>1.2458488541339679E-3</v>
      </c>
      <c r="I426" s="79">
        <f>IF($C426&lt;=Entradas!$E$124,"",G426^2)</f>
        <v>1.258582546344478</v>
      </c>
      <c r="J426" s="79">
        <f>IF($C426&lt;=Entradas!$E$124,"",E426-AVERAGE(E:E))</f>
        <v>1.097086888546182</v>
      </c>
      <c r="K426" s="79">
        <f>IF($C426&lt;=Entradas!$E$124,"",J426^2)</f>
        <v>1.2035996410199428</v>
      </c>
      <c r="L426" s="79">
        <f>IF($C426&lt;=Entradas!$E$124,"",G426*J426)</f>
        <v>1.2307841000655555</v>
      </c>
      <c r="M426" s="40"/>
    </row>
    <row r="427" spans="2:13">
      <c r="B427" s="39"/>
      <c r="C427" s="75">
        <v>422</v>
      </c>
      <c r="D427" s="110">
        <f>IF($C427&lt;=Entradas!$E$124,"",Observaciones!H427)</f>
        <v>1.9122849593360747</v>
      </c>
      <c r="E427" s="110">
        <f>IF($C427&lt;=Entradas!$E$124,"",LíneaBase!L428)</f>
        <v>1.8734174324641581</v>
      </c>
      <c r="F427" s="79">
        <f>IF($C427&lt;=Entradas!$E$124,"",D427-E427)</f>
        <v>3.8867526871916525E-2</v>
      </c>
      <c r="G427" s="79">
        <f>IF($C427&lt;=Entradas!$E$124,"",D427-AVERAGE(D:D))</f>
        <v>1.0061862771425965</v>
      </c>
      <c r="H427" s="79">
        <f>IF($C427&lt;=Entradas!$E$124,"",F427^2)</f>
        <v>1.5106846451391532E-3</v>
      </c>
      <c r="I427" s="79">
        <f>IF($C427&lt;=Entradas!$E$124,"",G427^2)</f>
        <v>1.012410824310078</v>
      </c>
      <c r="J427" s="79">
        <f>IF($C427&lt;=Entradas!$E$124,"",E427-AVERAGE(E:E))</f>
        <v>0.97783656866704027</v>
      </c>
      <c r="K427" s="79">
        <f>IF($C427&lt;=Entradas!$E$124,"",J427^2)</f>
        <v>0.95616435502253139</v>
      </c>
      <c r="L427" s="79">
        <f>IF($C427&lt;=Entradas!$E$124,"",G427*J427)</f>
        <v>0.98388573668098012</v>
      </c>
      <c r="M427" s="40"/>
    </row>
    <row r="428" spans="2:13">
      <c r="B428" s="39"/>
      <c r="C428" s="75">
        <v>423</v>
      </c>
      <c r="D428" s="110">
        <f>IF($C428&lt;=Entradas!$E$124,"",Observaciones!H428)</f>
        <v>1.8414231349023102</v>
      </c>
      <c r="E428" s="110">
        <f>IF($C428&lt;=Entradas!$E$124,"",LíneaBase!L429)</f>
        <v>1.7992639877193477</v>
      </c>
      <c r="F428" s="79">
        <f>IF($C428&lt;=Entradas!$E$124,"",D428-E428)</f>
        <v>4.2159147182962542E-2</v>
      </c>
      <c r="G428" s="79">
        <f>IF($C428&lt;=Entradas!$E$124,"",D428-AVERAGE(D:D))</f>
        <v>0.93532445270883202</v>
      </c>
      <c r="H428" s="79">
        <f>IF($C428&lt;=Entradas!$E$124,"",F428^2)</f>
        <v>1.7773936911946984E-3</v>
      </c>
      <c r="I428" s="79">
        <f>IF($C428&lt;=Entradas!$E$124,"",G428^2)</f>
        <v>0.87483183183507618</v>
      </c>
      <c r="J428" s="79">
        <f>IF($C428&lt;=Entradas!$E$124,"",E428-AVERAGE(E:E))</f>
        <v>0.90368312392222983</v>
      </c>
      <c r="K428" s="79">
        <f>IF($C428&lt;=Entradas!$E$124,"",J428^2)</f>
        <v>0.81664318846184014</v>
      </c>
      <c r="L428" s="79">
        <f>IF($C428&lt;=Entradas!$E$124,"",G428*J428)</f>
        <v>0.84523692330476718</v>
      </c>
      <c r="M428" s="40"/>
    </row>
    <row r="429" spans="2:13">
      <c r="B429" s="39"/>
      <c r="C429" s="75">
        <v>424</v>
      </c>
      <c r="D429" s="110">
        <f>IF($C429&lt;=Entradas!$E$124,"",Observaciones!H429)</f>
        <v>1.7468009173253582</v>
      </c>
      <c r="E429" s="110">
        <f>IF($C429&lt;=Entradas!$E$124,"",LíneaBase!L430)</f>
        <v>1.7013996780994751</v>
      </c>
      <c r="F429" s="79">
        <f>IF($C429&lt;=Entradas!$E$124,"",D429-E429)</f>
        <v>4.5401239225883128E-2</v>
      </c>
      <c r="G429" s="79">
        <f>IF($C429&lt;=Entradas!$E$124,"",D429-AVERAGE(D:D))</f>
        <v>0.84070223513188003</v>
      </c>
      <c r="H429" s="79">
        <f>IF($C429&lt;=Entradas!$E$124,"",F429^2)</f>
        <v>2.0612725232458688E-3</v>
      </c>
      <c r="I429" s="79">
        <f>IF($C429&lt;=Entradas!$E$124,"",G429^2)</f>
        <v>0.70678024815573892</v>
      </c>
      <c r="J429" s="79">
        <f>IF($C429&lt;=Entradas!$E$124,"",E429-AVERAGE(E:E))</f>
        <v>0.80581881430235724</v>
      </c>
      <c r="K429" s="79">
        <f>IF($C429&lt;=Entradas!$E$124,"",J429^2)</f>
        <v>0.64934396148365692</v>
      </c>
      <c r="L429" s="79">
        <f>IF($C429&lt;=Entradas!$E$124,"",G429*J429)</f>
        <v>0.67745367829531311</v>
      </c>
      <c r="M429" s="40"/>
    </row>
    <row r="430" spans="2:13">
      <c r="B430" s="39"/>
      <c r="C430" s="75">
        <v>425</v>
      </c>
      <c r="D430" s="110">
        <f>IF($C430&lt;=Entradas!$E$124,"",Observaciones!H430)</f>
        <v>1.6416058517647789</v>
      </c>
      <c r="E430" s="110">
        <f>IF($C430&lt;=Entradas!$E$124,"",LíneaBase!L431)</f>
        <v>1.593093184584141</v>
      </c>
      <c r="F430" s="79">
        <f>IF($C430&lt;=Entradas!$E$124,"",D430-E430)</f>
        <v>4.8512667180637958E-2</v>
      </c>
      <c r="G430" s="79">
        <f>IF($C430&lt;=Entradas!$E$124,"",D430-AVERAGE(D:D))</f>
        <v>0.73550716957130069</v>
      </c>
      <c r="H430" s="79">
        <f>IF($C430&lt;=Entradas!$E$124,"",F430^2)</f>
        <v>2.3534788769793472E-3</v>
      </c>
      <c r="I430" s="79">
        <f>IF($C430&lt;=Entradas!$E$124,"",G430^2)</f>
        <v>0.54097079649078605</v>
      </c>
      <c r="J430" s="79">
        <f>IF($C430&lt;=Entradas!$E$124,"",E430-AVERAGE(E:E))</f>
        <v>0.69751232078702308</v>
      </c>
      <c r="K430" s="79">
        <f>IF($C430&lt;=Entradas!$E$124,"",J430^2)</f>
        <v>0.48652343764969896</v>
      </c>
      <c r="L430" s="79">
        <f>IF($C430&lt;=Entradas!$E$124,"",G430*J430)</f>
        <v>0.51302531280317243</v>
      </c>
      <c r="M430" s="40"/>
    </row>
    <row r="431" spans="2:13">
      <c r="B431" s="39"/>
      <c r="C431" s="75">
        <v>426</v>
      </c>
      <c r="D431" s="110">
        <f>IF($C431&lt;=Entradas!$E$124,"",Observaciones!H431)</f>
        <v>1.6562901632511569</v>
      </c>
      <c r="E431" s="110">
        <f>IF($C431&lt;=Entradas!$E$124,"",LíneaBase!L432)</f>
        <v>1.6048168329435024</v>
      </c>
      <c r="F431" s="79">
        <f>IF($C431&lt;=Entradas!$E$124,"",D431-E431)</f>
        <v>5.1473330307654441E-2</v>
      </c>
      <c r="G431" s="79">
        <f>IF($C431&lt;=Entradas!$E$124,"",D431-AVERAGE(D:D))</f>
        <v>0.75019148105767863</v>
      </c>
      <c r="H431" s="79">
        <f>IF($C431&lt;=Entradas!$E$124,"",F431^2)</f>
        <v>2.6495037329608974E-3</v>
      </c>
      <c r="I431" s="79">
        <f>IF($C431&lt;=Entradas!$E$124,"",G431^2)</f>
        <v>0.56278725825151343</v>
      </c>
      <c r="J431" s="79">
        <f>IF($C431&lt;=Entradas!$E$124,"",E431-AVERAGE(E:E))</f>
        <v>0.70923596914638454</v>
      </c>
      <c r="K431" s="79">
        <f>IF($C431&lt;=Entradas!$E$124,"",J431^2)</f>
        <v>0.50301565993101127</v>
      </c>
      <c r="L431" s="79">
        <f>IF($C431&lt;=Entradas!$E$124,"",G431*J431)</f>
        <v>0.53206278211330427</v>
      </c>
      <c r="M431" s="40"/>
    </row>
    <row r="432" spans="2:13">
      <c r="B432" s="39"/>
      <c r="C432" s="75">
        <v>427</v>
      </c>
      <c r="D432" s="110">
        <f>IF($C432&lt;=Entradas!$E$124,"",Observaciones!H432)</f>
        <v>1.554571674700465</v>
      </c>
      <c r="E432" s="110">
        <f>IF($C432&lt;=Entradas!$E$124,"",LíneaBase!L433)</f>
        <v>1.5002614277719444</v>
      </c>
      <c r="F432" s="79">
        <f>IF($C432&lt;=Entradas!$E$124,"",D432-E432)</f>
        <v>5.43102469285206E-2</v>
      </c>
      <c r="G432" s="79">
        <f>IF($C432&lt;=Entradas!$E$124,"",D432-AVERAGE(D:D))</f>
        <v>0.64847299250698676</v>
      </c>
      <c r="H432" s="79">
        <f>IF($C432&lt;=Entradas!$E$124,"",F432^2)</f>
        <v>2.9496029214368812E-3</v>
      </c>
      <c r="I432" s="79">
        <f>IF($C432&lt;=Entradas!$E$124,"",G432^2)</f>
        <v>0.42051722201096653</v>
      </c>
      <c r="J432" s="79">
        <f>IF($C432&lt;=Entradas!$E$124,"",E432-AVERAGE(E:E))</f>
        <v>0.6046805639748265</v>
      </c>
      <c r="K432" s="79">
        <f>IF($C432&lt;=Entradas!$E$124,"",J432^2)</f>
        <v>0.36563858444891423</v>
      </c>
      <c r="L432" s="79">
        <f>IF($C432&lt;=Entradas!$E$124,"",G432*J432)</f>
        <v>0.39211901483156819</v>
      </c>
      <c r="M432" s="40"/>
    </row>
    <row r="433" spans="2:13">
      <c r="B433" s="39"/>
      <c r="C433" s="75">
        <v>428</v>
      </c>
      <c r="D433" s="110">
        <f>IF($C433&lt;=Entradas!$E$124,"",Observaciones!H433)</f>
        <v>1.5436649264345652</v>
      </c>
      <c r="E433" s="110">
        <f>IF($C433&lt;=Entradas!$E$124,"",LíneaBase!L434)</f>
        <v>1.4865938531803748</v>
      </c>
      <c r="F433" s="79">
        <f>IF($C433&lt;=Entradas!$E$124,"",D433-E433)</f>
        <v>5.7071073254190363E-2</v>
      </c>
      <c r="G433" s="79">
        <f>IF($C433&lt;=Entradas!$E$124,"",D433-AVERAGE(D:D))</f>
        <v>0.63756624424108699</v>
      </c>
      <c r="H433" s="79">
        <f>IF($C433&lt;=Entradas!$E$124,"",F433^2)</f>
        <v>3.2571074023851625E-3</v>
      </c>
      <c r="I433" s="79">
        <f>IF($C433&lt;=Entradas!$E$124,"",G433^2)</f>
        <v>0.40649071579568541</v>
      </c>
      <c r="J433" s="79">
        <f>IF($C433&lt;=Entradas!$E$124,"",E433-AVERAGE(E:E))</f>
        <v>0.59101298938325697</v>
      </c>
      <c r="K433" s="79">
        <f>IF($C433&lt;=Entradas!$E$124,"",J433^2)</f>
        <v>0.34929635361973382</v>
      </c>
      <c r="L433" s="79">
        <f>IF($C433&lt;=Entradas!$E$124,"",G433*J433)</f>
        <v>0.37680993193878054</v>
      </c>
      <c r="M433" s="40"/>
    </row>
    <row r="434" spans="2:13">
      <c r="B434" s="39"/>
      <c r="C434" s="75">
        <v>429</v>
      </c>
      <c r="D434" s="110">
        <f>IF($C434&lt;=Entradas!$E$124,"",Observaciones!H434)</f>
        <v>1.4457732217530124</v>
      </c>
      <c r="E434" s="110">
        <f>IF($C434&lt;=Entradas!$E$124,"",LíneaBase!L435)</f>
        <v>1.3861071171567092</v>
      </c>
      <c r="F434" s="79">
        <f>IF($C434&lt;=Entradas!$E$124,"",D434-E434)</f>
        <v>5.9666104596303171E-2</v>
      </c>
      <c r="G434" s="79">
        <f>IF($C434&lt;=Entradas!$E$124,"",D434-AVERAGE(D:D))</f>
        <v>0.53967453955953415</v>
      </c>
      <c r="H434" s="79">
        <f>IF($C434&lt;=Entradas!$E$124,"",F434^2)</f>
        <v>3.5600440376969906E-3</v>
      </c>
      <c r="I434" s="79">
        <f>IF($C434&lt;=Entradas!$E$124,"",G434^2)</f>
        <v>0.2912486086487952</v>
      </c>
      <c r="J434" s="79">
        <f>IF($C434&lt;=Entradas!$E$124,"",E434-AVERAGE(E:E))</f>
        <v>0.49052625335959132</v>
      </c>
      <c r="K434" s="79">
        <f>IF($C434&lt;=Entradas!$E$124,"",J434^2)</f>
        <v>0.24061600523499799</v>
      </c>
      <c r="L434" s="79">
        <f>IF($C434&lt;=Entradas!$E$124,"",G434*J434)</f>
        <v>0.26472452992370082</v>
      </c>
      <c r="M434" s="40"/>
    </row>
    <row r="435" spans="2:13">
      <c r="B435" s="39"/>
      <c r="C435" s="75">
        <v>430</v>
      </c>
      <c r="D435" s="110">
        <f>IF($C435&lt;=Entradas!$E$124,"",Observaciones!H435)</f>
        <v>1.5679672147681845</v>
      </c>
      <c r="E435" s="110">
        <f>IF($C435&lt;=Entradas!$E$124,"",LíneaBase!L436)</f>
        <v>1.5476666242044625</v>
      </c>
      <c r="F435" s="79">
        <f>IF($C435&lt;=Entradas!$E$124,"",D435-E435)</f>
        <v>2.030059056372191E-2</v>
      </c>
      <c r="G435" s="79">
        <f>IF($C435&lt;=Entradas!$E$124,"",D435-AVERAGE(D:D))</f>
        <v>0.66186853257470624</v>
      </c>
      <c r="H435" s="79">
        <f>IF($C435&lt;=Entradas!$E$124,"",F435^2)</f>
        <v>4.1211397723587504E-4</v>
      </c>
      <c r="I435" s="79">
        <f>IF($C435&lt;=Entradas!$E$124,"",G435^2)</f>
        <v>0.438069954412595</v>
      </c>
      <c r="J435" s="79">
        <f>IF($C435&lt;=Entradas!$E$124,"",E435-AVERAGE(E:E))</f>
        <v>0.65208576040734467</v>
      </c>
      <c r="K435" s="79">
        <f>IF($C435&lt;=Entradas!$E$124,"",J435^2)</f>
        <v>0.42521583892602494</v>
      </c>
      <c r="L435" s="79">
        <f>IF($C435&lt;=Entradas!$E$124,"",G435*J435)</f>
        <v>0.43159504535367071</v>
      </c>
      <c r="M435" s="40"/>
    </row>
    <row r="436" spans="2:13">
      <c r="B436" s="39"/>
      <c r="C436" s="75">
        <v>431</v>
      </c>
      <c r="D436" s="110">
        <f>IF($C436&lt;=Entradas!$E$124,"",Observaciones!H436)</f>
        <v>1.4531277378914504</v>
      </c>
      <c r="E436" s="110">
        <f>IF($C436&lt;=Entradas!$E$124,"",LíneaBase!L437)</f>
        <v>1.3873017090618456</v>
      </c>
      <c r="F436" s="79">
        <f>IF($C436&lt;=Entradas!$E$124,"",D436-E436)</f>
        <v>6.5826028829604866E-2</v>
      </c>
      <c r="G436" s="79">
        <f>IF($C436&lt;=Entradas!$E$124,"",D436-AVERAGE(D:D))</f>
        <v>0.54702905569797222</v>
      </c>
      <c r="H436" s="79">
        <f>IF($C436&lt;=Entradas!$E$124,"",F436^2)</f>
        <v>4.333066071475971E-3</v>
      </c>
      <c r="I436" s="79">
        <f>IF($C436&lt;=Entradas!$E$124,"",G436^2)</f>
        <v>0.29924078777781521</v>
      </c>
      <c r="J436" s="79">
        <f>IF($C436&lt;=Entradas!$E$124,"",E436-AVERAGE(E:E))</f>
        <v>0.4917208452647277</v>
      </c>
      <c r="K436" s="79">
        <f>IF($C436&lt;=Entradas!$E$124,"",J436^2)</f>
        <v>0.24178938966785829</v>
      </c>
      <c r="L436" s="79">
        <f>IF($C436&lt;=Entradas!$E$124,"",G436*J436)</f>
        <v>0.26898558965217273</v>
      </c>
      <c r="M436" s="40"/>
    </row>
    <row r="437" spans="2:13">
      <c r="B437" s="39"/>
      <c r="C437" s="75">
        <v>432</v>
      </c>
      <c r="D437" s="110">
        <f>IF($C437&lt;=Entradas!$E$124,"",Observaciones!H437)</f>
        <v>9.3468132740992171</v>
      </c>
      <c r="E437" s="110">
        <f>IF($C437&lt;=Entradas!$E$124,"",LíneaBase!L438)</f>
        <v>10.925654140199494</v>
      </c>
      <c r="F437" s="79">
        <f>IF($C437&lt;=Entradas!$E$124,"",D437-E437)</f>
        <v>-1.5788408661002773</v>
      </c>
      <c r="G437" s="79">
        <f>IF($C437&lt;=Entradas!$E$124,"",D437-AVERAGE(D:D))</f>
        <v>8.4407145919057385</v>
      </c>
      <c r="H437" s="79">
        <f>IF($C437&lt;=Entradas!$E$124,"",F437^2)</f>
        <v>2.4927384804682737</v>
      </c>
      <c r="I437" s="79">
        <f>IF($C437&lt;=Entradas!$E$124,"",G437^2)</f>
        <v>71.245662822010459</v>
      </c>
      <c r="J437" s="79">
        <f>IF($C437&lt;=Entradas!$E$124,"",E437-AVERAGE(E:E))</f>
        <v>10.030073276402376</v>
      </c>
      <c r="K437" s="79">
        <f>IF($C437&lt;=Entradas!$E$124,"",J437^2)</f>
        <v>100.6023699300011</v>
      </c>
      <c r="L437" s="79">
        <f>IF($C437&lt;=Entradas!$E$124,"",G437*J437)</f>
        <v>84.660985862013334</v>
      </c>
      <c r="M437" s="40"/>
    </row>
    <row r="438" spans="2:13">
      <c r="B438" s="39"/>
      <c r="C438" s="75">
        <v>433</v>
      </c>
      <c r="D438" s="110">
        <f>IF($C438&lt;=Entradas!$E$124,"",Observaciones!H438)</f>
        <v>2.056557924933486</v>
      </c>
      <c r="E438" s="110">
        <f>IF($C438&lt;=Entradas!$E$124,"",LíneaBase!L439)</f>
        <v>2.0022449601372356</v>
      </c>
      <c r="F438" s="79">
        <f>IF($C438&lt;=Entradas!$E$124,"",D438-E438)</f>
        <v>5.4312964796250363E-2</v>
      </c>
      <c r="G438" s="79">
        <f>IF($C438&lt;=Entradas!$E$124,"",D438-AVERAGE(D:D))</f>
        <v>1.1504592427400078</v>
      </c>
      <c r="H438" s="79">
        <f>IF($C438&lt;=Entradas!$E$124,"",F438^2)</f>
        <v>2.9498981449587311E-3</v>
      </c>
      <c r="I438" s="79">
        <f>IF($C438&lt;=Entradas!$E$124,"",G438^2)</f>
        <v>1.3235564692059121</v>
      </c>
      <c r="J438" s="79">
        <f>IF($C438&lt;=Entradas!$E$124,"",E438-AVERAGE(E:E))</f>
        <v>1.1066640963401178</v>
      </c>
      <c r="K438" s="79">
        <f>IF($C438&lt;=Entradas!$E$124,"",J438^2)</f>
        <v>1.2247054221282894</v>
      </c>
      <c r="L438" s="79">
        <f>IF($C438&lt;=Entradas!$E$124,"",G438*J438)</f>
        <v>1.2731719382430069</v>
      </c>
      <c r="M438" s="40"/>
    </row>
    <row r="439" spans="2:13">
      <c r="B439" s="39"/>
      <c r="C439" s="75">
        <v>434</v>
      </c>
      <c r="D439" s="110">
        <f>IF($C439&lt;=Entradas!$E$124,"",Observaciones!H439)</f>
        <v>2.9018501764971205</v>
      </c>
      <c r="E439" s="110">
        <f>IF($C439&lt;=Entradas!$E$124,"",LíneaBase!L440)</f>
        <v>3.1806010583674862</v>
      </c>
      <c r="F439" s="79">
        <f>IF($C439&lt;=Entradas!$E$124,"",D439-E439)</f>
        <v>-0.27875088187036567</v>
      </c>
      <c r="G439" s="79">
        <f>IF($C439&lt;=Entradas!$E$124,"",D439-AVERAGE(D:D))</f>
        <v>1.9957514943036423</v>
      </c>
      <c r="H439" s="79">
        <f>IF($C439&lt;=Entradas!$E$124,"",F439^2)</f>
        <v>7.770205414350656E-2</v>
      </c>
      <c r="I439" s="79">
        <f>IF($C439&lt;=Entradas!$E$124,"",G439^2)</f>
        <v>3.9830240270152211</v>
      </c>
      <c r="J439" s="79">
        <f>IF($C439&lt;=Entradas!$E$124,"",E439-AVERAGE(E:E))</f>
        <v>2.2850201945703681</v>
      </c>
      <c r="K439" s="79">
        <f>IF($C439&lt;=Entradas!$E$124,"",J439^2)</f>
        <v>5.2213172895944027</v>
      </c>
      <c r="L439" s="79">
        <f>IF($C439&lt;=Entradas!$E$124,"",G439*J439)</f>
        <v>4.5603324678278119</v>
      </c>
      <c r="M439" s="40"/>
    </row>
    <row r="440" spans="2:13">
      <c r="B440" s="39"/>
      <c r="C440" s="75">
        <v>435</v>
      </c>
      <c r="D440" s="110">
        <f>IF($C440&lt;=Entradas!$E$124,"",Observaciones!H440)</f>
        <v>2.1734552594877981</v>
      </c>
      <c r="E440" s="110">
        <f>IF($C440&lt;=Entradas!$E$124,"",LíneaBase!L441)</f>
        <v>2.1494168061299725</v>
      </c>
      <c r="F440" s="79">
        <f>IF($C440&lt;=Entradas!$E$124,"",D440-E440)</f>
        <v>2.4038453357825507E-2</v>
      </c>
      <c r="G440" s="79">
        <f>IF($C440&lt;=Entradas!$E$124,"",D440-AVERAGE(D:D))</f>
        <v>1.2673565772943198</v>
      </c>
      <c r="H440" s="79">
        <f>IF($C440&lt;=Entradas!$E$124,"",F440^2)</f>
        <v>5.7784723983635242E-4</v>
      </c>
      <c r="I440" s="79">
        <f>IF($C440&lt;=Entradas!$E$124,"",G440^2)</f>
        <v>1.6061926940111733</v>
      </c>
      <c r="J440" s="79">
        <f>IF($C440&lt;=Entradas!$E$124,"",E440-AVERAGE(E:E))</f>
        <v>1.2538359423328547</v>
      </c>
      <c r="K440" s="79">
        <f>IF($C440&lt;=Entradas!$E$124,"",J440^2)</f>
        <v>1.5721045702857177</v>
      </c>
      <c r="L440" s="79">
        <f>IF($C440&lt;=Entradas!$E$124,"",G440*J440)</f>
        <v>1.5890572283635649</v>
      </c>
      <c r="M440" s="40"/>
    </row>
    <row r="441" spans="2:13">
      <c r="B441" s="39"/>
      <c r="C441" s="75">
        <v>436</v>
      </c>
      <c r="D441" s="110">
        <f>IF($C441&lt;=Entradas!$E$124,"",Observaciones!H441)</f>
        <v>4.6054455786262913</v>
      </c>
      <c r="E441" s="110">
        <f>IF($C441&lt;=Entradas!$E$124,"",LíneaBase!L442)</f>
        <v>5.2653997248670183</v>
      </c>
      <c r="F441" s="79">
        <f>IF($C441&lt;=Entradas!$E$124,"",D441-E441)</f>
        <v>-0.65995414624072701</v>
      </c>
      <c r="G441" s="79">
        <f>IF($C441&lt;=Entradas!$E$124,"",D441-AVERAGE(D:D))</f>
        <v>3.6993468964328131</v>
      </c>
      <c r="H441" s="79">
        <f>IF($C441&lt;=Entradas!$E$124,"",F441^2)</f>
        <v>0.43553947514032687</v>
      </c>
      <c r="I441" s="79">
        <f>IF($C441&lt;=Entradas!$E$124,"",G441^2)</f>
        <v>13.685167460147087</v>
      </c>
      <c r="J441" s="79">
        <f>IF($C441&lt;=Entradas!$E$124,"",E441-AVERAGE(E:E))</f>
        <v>4.3698188610699003</v>
      </c>
      <c r="K441" s="79">
        <f>IF($C441&lt;=Entradas!$E$124,"",J441^2)</f>
        <v>19.09531687856224</v>
      </c>
      <c r="L441" s="79">
        <f>IF($C441&lt;=Entradas!$E$124,"",G441*J441)</f>
        <v>16.165475841672507</v>
      </c>
      <c r="M441" s="40"/>
    </row>
    <row r="442" spans="2:13">
      <c r="B442" s="39"/>
      <c r="C442" s="75">
        <v>437</v>
      </c>
      <c r="D442" s="110">
        <f>IF($C442&lt;=Entradas!$E$124,"",Observaciones!H442)</f>
        <v>2.5096134060582695</v>
      </c>
      <c r="E442" s="110">
        <f>IF($C442&lt;=Entradas!$E$124,"",LíneaBase!L443)</f>
        <v>2.5770297849294757</v>
      </c>
      <c r="F442" s="79">
        <f>IF($C442&lt;=Entradas!$E$124,"",D442-E442)</f>
        <v>-6.7416378871206106E-2</v>
      </c>
      <c r="G442" s="79">
        <f>IF($C442&lt;=Entradas!$E$124,"",D442-AVERAGE(D:D))</f>
        <v>1.6035147238647913</v>
      </c>
      <c r="H442" s="79">
        <f>IF($C442&lt;=Entradas!$E$124,"",F442^2)</f>
        <v>4.5449681401060048E-3</v>
      </c>
      <c r="I442" s="79">
        <f>IF($C442&lt;=Entradas!$E$124,"",G442^2)</f>
        <v>2.5712594696511779</v>
      </c>
      <c r="J442" s="79">
        <f>IF($C442&lt;=Entradas!$E$124,"",E442-AVERAGE(E:E))</f>
        <v>1.6814489211323578</v>
      </c>
      <c r="K442" s="79">
        <f>IF($C442&lt;=Entradas!$E$124,"",J442^2)</f>
        <v>2.8272704743771699</v>
      </c>
      <c r="L442" s="79">
        <f>IF($C442&lt;=Entradas!$E$124,"",G442*J442)</f>
        <v>2.696228102462304</v>
      </c>
      <c r="M442" s="40"/>
    </row>
    <row r="443" spans="2:13">
      <c r="B443" s="39"/>
      <c r="C443" s="75">
        <v>438</v>
      </c>
      <c r="D443" s="110">
        <f>IF($C443&lt;=Entradas!$E$124,"",Observaciones!H443)</f>
        <v>2.3328614266619714</v>
      </c>
      <c r="E443" s="110">
        <f>IF($C443&lt;=Entradas!$E$124,"",LíneaBase!L444)</f>
        <v>2.267635919622685</v>
      </c>
      <c r="F443" s="79">
        <f>IF($C443&lt;=Entradas!$E$124,"",D443-E443)</f>
        <v>6.5225507039286423E-2</v>
      </c>
      <c r="G443" s="79">
        <f>IF($C443&lt;=Entradas!$E$124,"",D443-AVERAGE(D:D))</f>
        <v>1.4267627444684932</v>
      </c>
      <c r="H443" s="79">
        <f>IF($C443&lt;=Entradas!$E$124,"",F443^2)</f>
        <v>4.2543667685320027E-3</v>
      </c>
      <c r="I443" s="79">
        <f>IF($C443&lt;=Entradas!$E$124,"",G443^2)</f>
        <v>2.0356519290032669</v>
      </c>
      <c r="J443" s="79">
        <f>IF($C443&lt;=Entradas!$E$124,"",E443-AVERAGE(E:E))</f>
        <v>1.3720550558255671</v>
      </c>
      <c r="K443" s="79">
        <f>IF($C443&lt;=Entradas!$E$124,"",J443^2)</f>
        <v>1.8825350762165001</v>
      </c>
      <c r="L443" s="79">
        <f>IF($C443&lt;=Entradas!$E$124,"",G443*J443)</f>
        <v>1.9575970370115576</v>
      </c>
      <c r="M443" s="40"/>
    </row>
    <row r="444" spans="2:13">
      <c r="B444" s="39"/>
      <c r="C444" s="75">
        <v>439</v>
      </c>
      <c r="D444" s="110">
        <f>IF($C444&lt;=Entradas!$E$124,"",Observaciones!H444)</f>
        <v>2.3593596997005997</v>
      </c>
      <c r="E444" s="110">
        <f>IF($C444&lt;=Entradas!$E$124,"",LíneaBase!L445)</f>
        <v>2.3313266091391887</v>
      </c>
      <c r="F444" s="79">
        <f>IF($C444&lt;=Entradas!$E$124,"",D444-E444)</f>
        <v>2.8033090561411012E-2</v>
      </c>
      <c r="G444" s="79">
        <f>IF($C444&lt;=Entradas!$E$124,"",D444-AVERAGE(D:D))</f>
        <v>1.4532610175071214</v>
      </c>
      <c r="H444" s="79">
        <f>IF($C444&lt;=Entradas!$E$124,"",F444^2)</f>
        <v>7.8585416642427118E-4</v>
      </c>
      <c r="I444" s="79">
        <f>IF($C444&lt;=Entradas!$E$124,"",G444^2)</f>
        <v>2.1119675850058339</v>
      </c>
      <c r="J444" s="79">
        <f>IF($C444&lt;=Entradas!$E$124,"",E444-AVERAGE(E:E))</f>
        <v>1.4357457453420708</v>
      </c>
      <c r="K444" s="79">
        <f>IF($C444&lt;=Entradas!$E$124,"",J444^2)</f>
        <v>2.0613658452678583</v>
      </c>
      <c r="L444" s="79">
        <f>IF($C444&lt;=Entradas!$E$124,"",G444*J444)</f>
        <v>2.0865133227573383</v>
      </c>
      <c r="M444" s="40"/>
    </row>
    <row r="445" spans="2:13">
      <c r="B445" s="39"/>
      <c r="C445" s="75">
        <v>440</v>
      </c>
      <c r="D445" s="110">
        <f>IF($C445&lt;=Entradas!$E$124,"",Observaciones!H445)</f>
        <v>4.3023523663830732</v>
      </c>
      <c r="E445" s="110">
        <f>IF($C445&lt;=Entradas!$E$124,"",LíneaBase!L446)</f>
        <v>4.8469553716714842</v>
      </c>
      <c r="F445" s="79">
        <f>IF($C445&lt;=Entradas!$E$124,"",D445-E445)</f>
        <v>-0.54460300528841099</v>
      </c>
      <c r="G445" s="79">
        <f>IF($C445&lt;=Entradas!$E$124,"",D445-AVERAGE(D:D))</f>
        <v>3.3962536841895949</v>
      </c>
      <c r="H445" s="79">
        <f>IF($C445&lt;=Entradas!$E$124,"",F445^2)</f>
        <v>0.29659243336916902</v>
      </c>
      <c r="I445" s="79">
        <f>IF($C445&lt;=Entradas!$E$124,"",G445^2)</f>
        <v>11.534539087371398</v>
      </c>
      <c r="J445" s="79">
        <f>IF($C445&lt;=Entradas!$E$124,"",E445-AVERAGE(E:E))</f>
        <v>3.9513745078743661</v>
      </c>
      <c r="K445" s="79">
        <f>IF($C445&lt;=Entradas!$E$124,"",J445^2)</f>
        <v>15.613360501479388</v>
      </c>
      <c r="L445" s="79">
        <f>IF($C445&lt;=Entradas!$E$124,"",G445*J445)</f>
        <v>13.419870229981163</v>
      </c>
      <c r="M445" s="40"/>
    </row>
    <row r="446" spans="2:13">
      <c r="B446" s="39"/>
      <c r="C446" s="75">
        <v>441</v>
      </c>
      <c r="D446" s="110">
        <f>IF($C446&lt;=Entradas!$E$124,"",Observaciones!H446)</f>
        <v>2.3562536234519964</v>
      </c>
      <c r="E446" s="110">
        <f>IF($C446&lt;=Entradas!$E$124,"",LíneaBase!L447)</f>
        <v>2.281193493044853</v>
      </c>
      <c r="F446" s="79">
        <f>IF($C446&lt;=Entradas!$E$124,"",D446-E446)</f>
        <v>7.5060130407143433E-2</v>
      </c>
      <c r="G446" s="79">
        <f>IF($C446&lt;=Entradas!$E$124,"",D446-AVERAGE(D:D))</f>
        <v>1.4501549412585182</v>
      </c>
      <c r="H446" s="79">
        <f>IF($C446&lt;=Entradas!$E$124,"",F446^2)</f>
        <v>5.6340231767373784E-3</v>
      </c>
      <c r="I446" s="79">
        <f>IF($C446&lt;=Entradas!$E$124,"",G446^2)</f>
        <v>2.1029493536564963</v>
      </c>
      <c r="J446" s="79">
        <f>IF($C446&lt;=Entradas!$E$124,"",E446-AVERAGE(E:E))</f>
        <v>1.3856126292477351</v>
      </c>
      <c r="K446" s="79">
        <f>IF($C446&lt;=Entradas!$E$124,"",J446^2)</f>
        <v>1.9199223583308214</v>
      </c>
      <c r="L446" s="79">
        <f>IF($C446&lt;=Entradas!$E$124,"",G446*J446)</f>
        <v>2.0093530009738103</v>
      </c>
      <c r="M446" s="40"/>
    </row>
    <row r="447" spans="2:13">
      <c r="B447" s="39"/>
      <c r="C447" s="75">
        <v>442</v>
      </c>
      <c r="D447" s="110">
        <f>IF($C447&lt;=Entradas!$E$124,"",Observaciones!H447)</f>
        <v>2.3163146530564633</v>
      </c>
      <c r="E447" s="110">
        <f>IF($C447&lt;=Entradas!$E$124,"",LíneaBase!L448)</f>
        <v>2.238211883439237</v>
      </c>
      <c r="F447" s="79">
        <f>IF($C447&lt;=Entradas!$E$124,"",D447-E447)</f>
        <v>7.8102769617226286E-2</v>
      </c>
      <c r="G447" s="79">
        <f>IF($C447&lt;=Entradas!$E$124,"",D447-AVERAGE(D:D))</f>
        <v>1.4102159708629851</v>
      </c>
      <c r="H447" s="79">
        <f>IF($C447&lt;=Entradas!$E$124,"",F447^2)</f>
        <v>6.1000426218815254E-3</v>
      </c>
      <c r="I447" s="79">
        <f>IF($C447&lt;=Entradas!$E$124,"",G447^2)</f>
        <v>1.9887090844770317</v>
      </c>
      <c r="J447" s="79">
        <f>IF($C447&lt;=Entradas!$E$124,"",E447-AVERAGE(E:E))</f>
        <v>1.3426310196421192</v>
      </c>
      <c r="K447" s="79">
        <f>IF($C447&lt;=Entradas!$E$124,"",J447^2)</f>
        <v>1.8026580549052367</v>
      </c>
      <c r="L447" s="79">
        <f>IF($C447&lt;=Entradas!$E$124,"",G447*J447)</f>
        <v>1.8933997068753707</v>
      </c>
      <c r="M447" s="40"/>
    </row>
    <row r="448" spans="2:13">
      <c r="B448" s="39"/>
      <c r="C448" s="75">
        <v>443</v>
      </c>
      <c r="D448" s="110">
        <f>IF($C448&lt;=Entradas!$E$124,"",Observaciones!H448)</f>
        <v>2.2086844197465547</v>
      </c>
      <c r="E448" s="110">
        <f>IF($C448&lt;=Entradas!$E$124,"",LíneaBase!L449)</f>
        <v>2.127647291447246</v>
      </c>
      <c r="F448" s="79">
        <f>IF($C448&lt;=Entradas!$E$124,"",D448-E448)</f>
        <v>8.1037128299308758E-2</v>
      </c>
      <c r="G448" s="79">
        <f>IF($C448&lt;=Entradas!$E$124,"",D448-AVERAGE(D:D))</f>
        <v>1.3025857375530765</v>
      </c>
      <c r="H448" s="79">
        <f>IF($C448&lt;=Entradas!$E$124,"",F448^2)</f>
        <v>6.5670161629986287E-3</v>
      </c>
      <c r="I448" s="79">
        <f>IF($C448&lt;=Entradas!$E$124,"",G448^2)</f>
        <v>1.6967296036766923</v>
      </c>
      <c r="J448" s="79">
        <f>IF($C448&lt;=Entradas!$E$124,"",E448-AVERAGE(E:E))</f>
        <v>1.2320664276501281</v>
      </c>
      <c r="K448" s="79">
        <f>IF($C448&lt;=Entradas!$E$124,"",J448^2)</f>
        <v>1.5179876821425482</v>
      </c>
      <c r="L448" s="79">
        <f>IF($C448&lt;=Entradas!$E$124,"",G448*J448)</f>
        <v>1.6048721563750263</v>
      </c>
      <c r="M448" s="40"/>
    </row>
    <row r="449" spans="2:13">
      <c r="B449" s="39"/>
      <c r="C449" s="75">
        <v>444</v>
      </c>
      <c r="D449" s="110">
        <f>IF($C449&lt;=Entradas!$E$124,"",Observaciones!H449)</f>
        <v>2.2216181054241204</v>
      </c>
      <c r="E449" s="110">
        <f>IF($C449&lt;=Entradas!$E$124,"",LíneaBase!L450)</f>
        <v>2.1378267393832271</v>
      </c>
      <c r="F449" s="79">
        <f>IF($C449&lt;=Entradas!$E$124,"",D449-E449)</f>
        <v>8.3791366040893323E-2</v>
      </c>
      <c r="G449" s="79">
        <f>IF($C449&lt;=Entradas!$E$124,"",D449-AVERAGE(D:D))</f>
        <v>1.3155194232306422</v>
      </c>
      <c r="H449" s="79">
        <f>IF($C449&lt;=Entradas!$E$124,"",F449^2)</f>
        <v>7.0209930229989705E-3</v>
      </c>
      <c r="I449" s="79">
        <f>IF($C449&lt;=Entradas!$E$124,"",G449^2)</f>
        <v>1.7305913528970815</v>
      </c>
      <c r="J449" s="79">
        <f>IF($C449&lt;=Entradas!$E$124,"",E449-AVERAGE(E:E))</f>
        <v>1.2422458755861092</v>
      </c>
      <c r="K449" s="79">
        <f>IF($C449&lt;=Entradas!$E$124,"",J449^2)</f>
        <v>1.5431748154106992</v>
      </c>
      <c r="L449" s="79">
        <f>IF($C449&lt;=Entradas!$E$124,"",G449*J449)</f>
        <v>1.6341985777616825</v>
      </c>
      <c r="M449" s="40"/>
    </row>
    <row r="450" spans="2:13">
      <c r="B450" s="39"/>
      <c r="C450" s="75">
        <v>445</v>
      </c>
      <c r="D450" s="110">
        <f>IF($C450&lt;=Entradas!$E$124,"",Observaciones!H450)</f>
        <v>2.1135830543938239</v>
      </c>
      <c r="E450" s="110">
        <f>IF($C450&lt;=Entradas!$E$124,"",LíneaBase!L451)</f>
        <v>2.0272510342169747</v>
      </c>
      <c r="F450" s="79">
        <f>IF($C450&lt;=Entradas!$E$124,"",D450-E450)</f>
        <v>8.6332020176849156E-2</v>
      </c>
      <c r="G450" s="79">
        <f>IF($C450&lt;=Entradas!$E$124,"",D450-AVERAGE(D:D))</f>
        <v>1.2074843722003457</v>
      </c>
      <c r="H450" s="79">
        <f>IF($C450&lt;=Entradas!$E$124,"",F450^2)</f>
        <v>7.4532177078158899E-3</v>
      </c>
      <c r="I450" s="79">
        <f>IF($C450&lt;=Entradas!$E$124,"",G450^2)</f>
        <v>1.4580185091080629</v>
      </c>
      <c r="J450" s="79">
        <f>IF($C450&lt;=Entradas!$E$124,"",E450-AVERAGE(E:E))</f>
        <v>1.1316701704198568</v>
      </c>
      <c r="K450" s="79">
        <f>IF($C450&lt;=Entradas!$E$124,"",J450^2)</f>
        <v>1.2806773746181079</v>
      </c>
      <c r="L450" s="79">
        <f>IF($C450&lt;=Entradas!$E$124,"",G450*J450)</f>
        <v>1.366474045267279</v>
      </c>
      <c r="M450" s="40"/>
    </row>
    <row r="451" spans="2:13">
      <c r="B451" s="39"/>
      <c r="C451" s="75">
        <v>446</v>
      </c>
      <c r="D451" s="110">
        <f>IF($C451&lt;=Entradas!$E$124,"",Observaciones!H451)</f>
        <v>2.0667826046999278</v>
      </c>
      <c r="E451" s="110">
        <f>IF($C451&lt;=Entradas!$E$124,"",LíneaBase!L452)</f>
        <v>1.9780212311591701</v>
      </c>
      <c r="F451" s="79">
        <f>IF($C451&lt;=Entradas!$E$124,"",D451-E451)</f>
        <v>8.8761373540757749E-2</v>
      </c>
      <c r="G451" s="79">
        <f>IF($C451&lt;=Entradas!$E$124,"",D451-AVERAGE(D:D))</f>
        <v>1.1606839225064496</v>
      </c>
      <c r="H451" s="79">
        <f>IF($C451&lt;=Entradas!$E$124,"",F451^2)</f>
        <v>7.8785814328419298E-3</v>
      </c>
      <c r="I451" s="79">
        <f>IF($C451&lt;=Entradas!$E$124,"",G451^2)</f>
        <v>1.3471871679649579</v>
      </c>
      <c r="J451" s="79">
        <f>IF($C451&lt;=Entradas!$E$124,"",E451-AVERAGE(E:E))</f>
        <v>1.0824403673620522</v>
      </c>
      <c r="K451" s="79">
        <f>IF($C451&lt;=Entradas!$E$124,"",J451^2)</f>
        <v>1.1716771488948945</v>
      </c>
      <c r="L451" s="79">
        <f>IF($C451&lt;=Entradas!$E$124,"",G451*J451)</f>
        <v>1.2563711314691091</v>
      </c>
      <c r="M451" s="40"/>
    </row>
    <row r="452" spans="2:13">
      <c r="B452" s="39"/>
      <c r="C452" s="75">
        <v>447</v>
      </c>
      <c r="D452" s="110">
        <f>IF($C452&lt;=Entradas!$E$124,"",Observaciones!H452)</f>
        <v>2.0440356159383235</v>
      </c>
      <c r="E452" s="110">
        <f>IF($C452&lt;=Entradas!$E$124,"",LíneaBase!L453)</f>
        <v>1.9530449793283979</v>
      </c>
      <c r="F452" s="79">
        <f>IF($C452&lt;=Entradas!$E$124,"",D452-E452)</f>
        <v>9.0990636609925568E-2</v>
      </c>
      <c r="G452" s="79">
        <f>IF($C452&lt;=Entradas!$E$124,"",D452-AVERAGE(D:D))</f>
        <v>1.1379369337448453</v>
      </c>
      <c r="H452" s="79">
        <f>IF($C452&lt;=Entradas!$E$124,"",F452^2)</f>
        <v>8.2792959506795272E-3</v>
      </c>
      <c r="I452" s="79">
        <f>IF($C452&lt;=Entradas!$E$124,"",G452^2)</f>
        <v>1.2949004651806204</v>
      </c>
      <c r="J452" s="79">
        <f>IF($C452&lt;=Entradas!$E$124,"",E452-AVERAGE(E:E))</f>
        <v>1.0574641155312801</v>
      </c>
      <c r="K452" s="79">
        <f>IF($C452&lt;=Entradas!$E$124,"",J452^2)</f>
        <v>1.1182303556363524</v>
      </c>
      <c r="L452" s="79">
        <f>IF($C452&lt;=Entradas!$E$124,"",G452*J452)</f>
        <v>1.2033274731728696</v>
      </c>
      <c r="M452" s="40"/>
    </row>
    <row r="453" spans="2:13">
      <c r="B453" s="39"/>
      <c r="C453" s="75">
        <v>448</v>
      </c>
      <c r="D453" s="110">
        <f>IF($C453&lt;=Entradas!$E$124,"",Observaciones!H453)</f>
        <v>1.9418248897828101</v>
      </c>
      <c r="E453" s="110">
        <f>IF($C453&lt;=Entradas!$E$124,"",LíneaBase!L454)</f>
        <v>1.8486444106292974</v>
      </c>
      <c r="F453" s="79">
        <f>IF($C453&lt;=Entradas!$E$124,"",D453-E453)</f>
        <v>9.3180479153512685E-2</v>
      </c>
      <c r="G453" s="79">
        <f>IF($C453&lt;=Entradas!$E$124,"",D453-AVERAGE(D:D))</f>
        <v>1.0357262075893319</v>
      </c>
      <c r="H453" s="79">
        <f>IF($C453&lt;=Entradas!$E$124,"",F453^2)</f>
        <v>8.6826016952782116E-3</v>
      </c>
      <c r="I453" s="79">
        <f>IF($C453&lt;=Entradas!$E$124,"",G453^2)</f>
        <v>1.0727287770873797</v>
      </c>
      <c r="J453" s="79">
        <f>IF($C453&lt;=Entradas!$E$124,"",E453-AVERAGE(E:E))</f>
        <v>0.95306354683217953</v>
      </c>
      <c r="K453" s="79">
        <f>IF($C453&lt;=Entradas!$E$124,"",J453^2)</f>
        <v>0.90833012430033411</v>
      </c>
      <c r="L453" s="79">
        <f>IF($C453&lt;=Entradas!$E$124,"",G453*J453)</f>
        <v>0.98711289295213089</v>
      </c>
      <c r="M453" s="40"/>
    </row>
    <row r="454" spans="2:13">
      <c r="B454" s="39"/>
      <c r="C454" s="75">
        <v>449</v>
      </c>
      <c r="D454" s="110">
        <f>IF($C454&lt;=Entradas!$E$124,"",Observaciones!H454)</f>
        <v>1.8402693663725844</v>
      </c>
      <c r="E454" s="110">
        <f>IF($C454&lt;=Entradas!$E$124,"",LíneaBase!L455)</f>
        <v>1.7449023106737185</v>
      </c>
      <c r="F454" s="79">
        <f>IF($C454&lt;=Entradas!$E$124,"",D454-E454)</f>
        <v>9.5367055698865943E-2</v>
      </c>
      <c r="G454" s="79">
        <f>IF($C454&lt;=Entradas!$E$124,"",D454-AVERAGE(D:D))</f>
        <v>0.9341706841791062</v>
      </c>
      <c r="H454" s="79">
        <f>IF($C454&lt;=Entradas!$E$124,"",F454^2)</f>
        <v>9.0948753126706E-3</v>
      </c>
      <c r="I454" s="79">
        <f>IF($C454&lt;=Entradas!$E$124,"",G454^2)</f>
        <v>0.87267486717965936</v>
      </c>
      <c r="J454" s="79">
        <f>IF($C454&lt;=Entradas!$E$124,"",E454-AVERAGE(E:E))</f>
        <v>0.84932144687660061</v>
      </c>
      <c r="K454" s="79">
        <f>IF($C454&lt;=Entradas!$E$124,"",J454^2)</f>
        <v>0.72134692012456225</v>
      </c>
      <c r="L454" s="79">
        <f>IF($C454&lt;=Entradas!$E$124,"",G454*J454)</f>
        <v>0.79341119711670238</v>
      </c>
      <c r="M454" s="40"/>
    </row>
    <row r="455" spans="2:13">
      <c r="B455" s="39"/>
      <c r="C455" s="75">
        <v>450</v>
      </c>
      <c r="D455" s="110">
        <f>IF($C455&lt;=Entradas!$E$124,"",Observaciones!H455)</f>
        <v>1.7436099901210342</v>
      </c>
      <c r="E455" s="110">
        <f>IF($C455&lt;=Entradas!$E$124,"",LíneaBase!L456)</f>
        <v>1.6462225974367553</v>
      </c>
      <c r="F455" s="79">
        <f>IF($C455&lt;=Entradas!$E$124,"",D455-E455)</f>
        <v>9.7387392684278984E-2</v>
      </c>
      <c r="G455" s="79">
        <f>IF($C455&lt;=Entradas!$E$124,"",D455-AVERAGE(D:D))</f>
        <v>0.83751130792755601</v>
      </c>
      <c r="H455" s="79">
        <f>IF($C455&lt;=Entradas!$E$124,"",F455^2)</f>
        <v>9.4843042538419551E-3</v>
      </c>
      <c r="I455" s="79">
        <f>IF($C455&lt;=Entradas!$E$124,"",G455^2)</f>
        <v>0.70142519090652555</v>
      </c>
      <c r="J455" s="79">
        <f>IF($C455&lt;=Entradas!$E$124,"",E455-AVERAGE(E:E))</f>
        <v>0.75064173363963738</v>
      </c>
      <c r="K455" s="79">
        <f>IF($C455&lt;=Entradas!$E$124,"",J455^2)</f>
        <v>0.56346301228152029</v>
      </c>
      <c r="L455" s="79">
        <f>IF($C455&lt;=Entradas!$E$124,"",G455*J455)</f>
        <v>0.62867094012554081</v>
      </c>
      <c r="M455" s="40"/>
    </row>
    <row r="456" spans="2:13">
      <c r="B456" s="39"/>
      <c r="C456" s="75">
        <v>451</v>
      </c>
      <c r="D456" s="110">
        <f>IF($C456&lt;=Entradas!$E$124,"",Observaciones!H456)</f>
        <v>1.649395639465888</v>
      </c>
      <c r="E456" s="110">
        <f>IF($C456&lt;=Entradas!$E$124,"",LíneaBase!L457)</f>
        <v>1.5500607500484915</v>
      </c>
      <c r="F456" s="79">
        <f>IF($C456&lt;=Entradas!$E$124,"",D456-E456)</f>
        <v>9.9334889417396433E-2</v>
      </c>
      <c r="G456" s="79">
        <f>IF($C456&lt;=Entradas!$E$124,"",D456-AVERAGE(D:D))</f>
        <v>0.74329695727240974</v>
      </c>
      <c r="H456" s="79">
        <f>IF($C456&lt;=Entradas!$E$124,"",F456^2)</f>
        <v>9.8674202555663771E-3</v>
      </c>
      <c r="I456" s="79">
        <f>IF($C456&lt;=Entradas!$E$124,"",G456^2)</f>
        <v>0.55249036669042251</v>
      </c>
      <c r="J456" s="79">
        <f>IF($C456&lt;=Entradas!$E$124,"",E456-AVERAGE(E:E))</f>
        <v>0.65447988625137365</v>
      </c>
      <c r="K456" s="79">
        <f>IF($C456&lt;=Entradas!$E$124,"",J456^2)</f>
        <v>0.42834392150761103</v>
      </c>
      <c r="L456" s="79">
        <f>IF($C456&lt;=Entradas!$E$124,"",G456*J456)</f>
        <v>0.4864729080466389</v>
      </c>
      <c r="M456" s="40"/>
    </row>
    <row r="457" spans="2:13">
      <c r="B457" s="39"/>
      <c r="C457" s="75">
        <v>452</v>
      </c>
      <c r="D457" s="110">
        <f>IF($C457&lt;=Entradas!$E$124,"",Observaciones!H457)</f>
        <v>2.4745970659183545</v>
      </c>
      <c r="E457" s="110">
        <f>IF($C457&lt;=Entradas!$E$124,"",LíneaBase!L458)</f>
        <v>2.6317929846422192</v>
      </c>
      <c r="F457" s="79">
        <f>IF($C457&lt;=Entradas!$E$124,"",D457-E457)</f>
        <v>-0.15719591872386474</v>
      </c>
      <c r="G457" s="79">
        <f>IF($C457&lt;=Entradas!$E$124,"",D457-AVERAGE(D:D))</f>
        <v>1.5684983837248763</v>
      </c>
      <c r="H457" s="79">
        <f>IF($C457&lt;=Entradas!$E$124,"",F457^2)</f>
        <v>2.4710556863439887E-2</v>
      </c>
      <c r="I457" s="79">
        <f>IF($C457&lt;=Entradas!$E$124,"",G457^2)</f>
        <v>2.4601871797475492</v>
      </c>
      <c r="J457" s="79">
        <f>IF($C457&lt;=Entradas!$E$124,"",E457-AVERAGE(E:E))</f>
        <v>1.7362121208451013</v>
      </c>
      <c r="K457" s="79">
        <f>IF($C457&lt;=Entradas!$E$124,"",J457^2)</f>
        <v>3.0144325285694449</v>
      </c>
      <c r="L457" s="79">
        <f>IF($C457&lt;=Entradas!$E$124,"",G457*J457)</f>
        <v>2.723245905349081</v>
      </c>
      <c r="M457" s="40"/>
    </row>
    <row r="458" spans="2:13">
      <c r="B458" s="39"/>
      <c r="C458" s="75">
        <v>453</v>
      </c>
      <c r="D458" s="110">
        <f>IF($C458&lt;=Entradas!$E$124,"",Observaciones!H458)</f>
        <v>1.84026242571557</v>
      </c>
      <c r="E458" s="110">
        <f>IF($C458&lt;=Entradas!$E$124,"",LíneaBase!L459)</f>
        <v>1.7286288018637752</v>
      </c>
      <c r="F458" s="79">
        <f>IF($C458&lt;=Entradas!$E$124,"",D458-E458)</f>
        <v>0.11163362385179476</v>
      </c>
      <c r="G458" s="79">
        <f>IF($C458&lt;=Entradas!$E$124,"",D458-AVERAGE(D:D))</f>
        <v>0.93416374352209175</v>
      </c>
      <c r="H458" s="79">
        <f>IF($C458&lt;=Entradas!$E$124,"",F458^2)</f>
        <v>1.2462065974284E-2</v>
      </c>
      <c r="I458" s="79">
        <f>IF($C458&lt;=Entradas!$E$124,"",G458^2)</f>
        <v>0.87266189971120844</v>
      </c>
      <c r="J458" s="79">
        <f>IF($C458&lt;=Entradas!$E$124,"",E458-AVERAGE(E:E))</f>
        <v>0.83304793806665733</v>
      </c>
      <c r="K458" s="79">
        <f>IF($C458&lt;=Entradas!$E$124,"",J458^2)</f>
        <v>0.69396886711710937</v>
      </c>
      <c r="L458" s="79">
        <f>IF($C458&lt;=Entradas!$E$124,"",G458*J458)</f>
        <v>0.7782031803577083</v>
      </c>
      <c r="M458" s="40"/>
    </row>
    <row r="459" spans="2:13">
      <c r="B459" s="39"/>
      <c r="C459" s="75">
        <v>454</v>
      </c>
      <c r="D459" s="110">
        <f>IF($C459&lt;=Entradas!$E$124,"",Observaciones!H459)</f>
        <v>1.8029017356293684</v>
      </c>
      <c r="E459" s="110">
        <f>IF($C459&lt;=Entradas!$E$124,"",LíneaBase!L460)</f>
        <v>1.689999688601064</v>
      </c>
      <c r="F459" s="79">
        <f>IF($C459&lt;=Entradas!$E$124,"",D459-E459)</f>
        <v>0.11290204702830442</v>
      </c>
      <c r="G459" s="79">
        <f>IF($C459&lt;=Entradas!$E$124,"",D459-AVERAGE(D:D))</f>
        <v>0.89680305343589017</v>
      </c>
      <c r="H459" s="79">
        <f>IF($C459&lt;=Entradas!$E$124,"",F459^2)</f>
        <v>1.2746872223181462E-2</v>
      </c>
      <c r="I459" s="79">
        <f>IF($C459&lt;=Entradas!$E$124,"",G459^2)</f>
        <v>0.80425571665193607</v>
      </c>
      <c r="J459" s="79">
        <f>IF($C459&lt;=Entradas!$E$124,"",E459-AVERAGE(E:E))</f>
        <v>0.7944188248039461</v>
      </c>
      <c r="K459" s="79">
        <f>IF($C459&lt;=Entradas!$E$124,"",J459^2)</f>
        <v>0.63110126920288279</v>
      </c>
      <c r="L459" s="79">
        <f>IF($C459&lt;=Entradas!$E$124,"",G459*J459)</f>
        <v>0.71243722779113039</v>
      </c>
      <c r="M459" s="40"/>
    </row>
    <row r="460" spans="2:13">
      <c r="B460" s="39"/>
      <c r="C460" s="75">
        <v>455</v>
      </c>
      <c r="D460" s="110">
        <f>IF($C460&lt;=Entradas!$E$124,"",Observaciones!H460)</f>
        <v>1.7067722329624782</v>
      </c>
      <c r="E460" s="110">
        <f>IF($C460&lt;=Entradas!$E$124,"",LíneaBase!L461)</f>
        <v>1.5925974617576997</v>
      </c>
      <c r="F460" s="79">
        <f>IF($C460&lt;=Entradas!$E$124,"",D460-E460)</f>
        <v>0.11417477120477848</v>
      </c>
      <c r="G460" s="79">
        <f>IF($C460&lt;=Entradas!$E$124,"",D460-AVERAGE(D:D))</f>
        <v>0.80067355076899993</v>
      </c>
      <c r="H460" s="79">
        <f>IF($C460&lt;=Entradas!$E$124,"",F460^2)</f>
        <v>1.3035878379663513E-2</v>
      </c>
      <c r="I460" s="79">
        <f>IF($C460&lt;=Entradas!$E$124,"",G460^2)</f>
        <v>0.64107813490103827</v>
      </c>
      <c r="J460" s="79">
        <f>IF($C460&lt;=Entradas!$E$124,"",E460-AVERAGE(E:E))</f>
        <v>0.6970165979605818</v>
      </c>
      <c r="K460" s="79">
        <f>IF($C460&lt;=Entradas!$E$124,"",J460^2)</f>
        <v>0.48583213783254331</v>
      </c>
      <c r="L460" s="79">
        <f>IF($C460&lt;=Entradas!$E$124,"",G460*J460)</f>
        <v>0.55808275443402755</v>
      </c>
      <c r="M460" s="40"/>
    </row>
    <row r="461" spans="2:13">
      <c r="B461" s="39"/>
      <c r="C461" s="75">
        <v>456</v>
      </c>
      <c r="D461" s="110">
        <f>IF($C461&lt;=Entradas!$E$124,"",Observaciones!H461)</f>
        <v>1.6139090188549681</v>
      </c>
      <c r="E461" s="110">
        <f>IF($C461&lt;=Entradas!$E$124,"",LíneaBase!L462)</f>
        <v>1.4985392255809915</v>
      </c>
      <c r="F461" s="79">
        <f>IF($C461&lt;=Entradas!$E$124,"",D461-E461)</f>
        <v>0.11536979327397656</v>
      </c>
      <c r="G461" s="79">
        <f>IF($C461&lt;=Entradas!$E$124,"",D461-AVERAGE(D:D))</f>
        <v>0.70781033666148985</v>
      </c>
      <c r="H461" s="79">
        <f>IF($C461&lt;=Entradas!$E$124,"",F461^2)</f>
        <v>1.3310189200080088E-2</v>
      </c>
      <c r="I461" s="79">
        <f>IF($C461&lt;=Entradas!$E$124,"",G461^2)</f>
        <v>0.50099547268485156</v>
      </c>
      <c r="J461" s="79">
        <f>IF($C461&lt;=Entradas!$E$124,"",E461-AVERAGE(E:E))</f>
        <v>0.60295836178387363</v>
      </c>
      <c r="K461" s="79">
        <f>IF($C461&lt;=Entradas!$E$124,"",J461^2)</f>
        <v>0.36355878604509262</v>
      </c>
      <c r="L461" s="79">
        <f>IF($C461&lt;=Entradas!$E$124,"",G461*J461)</f>
        <v>0.42678016104710398</v>
      </c>
      <c r="M461" s="40"/>
    </row>
    <row r="462" spans="2:13">
      <c r="B462" s="39"/>
      <c r="C462" s="75">
        <v>457</v>
      </c>
      <c r="D462" s="110">
        <f>IF($C462&lt;=Entradas!$E$124,"",Observaciones!H462)</f>
        <v>1.5234173601148857</v>
      </c>
      <c r="E462" s="110">
        <f>IF($C462&lt;=Entradas!$E$124,"",LíneaBase!L463)</f>
        <v>1.4068973514711225</v>
      </c>
      <c r="F462" s="79">
        <f>IF($C462&lt;=Entradas!$E$124,"",D462-E462)</f>
        <v>0.11652000864376322</v>
      </c>
      <c r="G462" s="79">
        <f>IF($C462&lt;=Entradas!$E$124,"",D462-AVERAGE(D:D))</f>
        <v>0.61731867792140749</v>
      </c>
      <c r="H462" s="79">
        <f>IF($C462&lt;=Entradas!$E$124,"",F462^2)</f>
        <v>1.3576912414342656E-2</v>
      </c>
      <c r="I462" s="79">
        <f>IF($C462&lt;=Entradas!$E$124,"",G462^2)</f>
        <v>0.38108235011063446</v>
      </c>
      <c r="J462" s="79">
        <f>IF($C462&lt;=Entradas!$E$124,"",E462-AVERAGE(E:E))</f>
        <v>0.51131648767400462</v>
      </c>
      <c r="K462" s="79">
        <f>IF($C462&lt;=Entradas!$E$124,"",J462^2)</f>
        <v>0.2614445505672805</v>
      </c>
      <c r="L462" s="79">
        <f>IF($C462&lt;=Entradas!$E$124,"",G462*J462)</f>
        <v>0.3156452181703342</v>
      </c>
      <c r="M462" s="40"/>
    </row>
    <row r="463" spans="2:13">
      <c r="B463" s="39"/>
      <c r="C463" s="75">
        <v>458</v>
      </c>
      <c r="D463" s="110">
        <f>IF($C463&lt;=Entradas!$E$124,"",Observaciones!H463)</f>
        <v>1.4539643504233009</v>
      </c>
      <c r="E463" s="110">
        <f>IF($C463&lt;=Entradas!$E$124,"",LíneaBase!L464)</f>
        <v>1.3364025540821776</v>
      </c>
      <c r="F463" s="79">
        <f>IF($C463&lt;=Entradas!$E$124,"",D463-E463)</f>
        <v>0.11756179634112329</v>
      </c>
      <c r="G463" s="79">
        <f>IF($C463&lt;=Entradas!$E$124,"",D463-AVERAGE(D:D))</f>
        <v>0.54786566822982263</v>
      </c>
      <c r="H463" s="79">
        <f>IF($C463&lt;=Entradas!$E$124,"",F463^2)</f>
        <v>1.382077595895175E-2</v>
      </c>
      <c r="I463" s="79">
        <f>IF($C463&lt;=Entradas!$E$124,"",G463^2)</f>
        <v>0.30015679042491006</v>
      </c>
      <c r="J463" s="79">
        <f>IF($C463&lt;=Entradas!$E$124,"",E463-AVERAGE(E:E))</f>
        <v>0.44082169028505969</v>
      </c>
      <c r="K463" s="79">
        <f>IF($C463&lt;=Entradas!$E$124,"",J463^2)</f>
        <v>0.19432376262577708</v>
      </c>
      <c r="L463" s="79">
        <f>IF($C463&lt;=Entradas!$E$124,"",G463*J463)</f>
        <v>0.24151106991822413</v>
      </c>
      <c r="M463" s="40"/>
    </row>
    <row r="464" spans="2:13">
      <c r="B464" s="39"/>
      <c r="C464" s="75">
        <v>459</v>
      </c>
      <c r="D464" s="110">
        <f>IF($C464&lt;=Entradas!$E$124,"",Observaciones!H464)</f>
        <v>1.3707006453922901</v>
      </c>
      <c r="E464" s="110">
        <f>IF($C464&lt;=Entradas!$E$124,"",LíneaBase!L465)</f>
        <v>1.2521991273502813</v>
      </c>
      <c r="F464" s="79">
        <f>IF($C464&lt;=Entradas!$E$124,"",D464-E464)</f>
        <v>0.11850151804200881</v>
      </c>
      <c r="G464" s="79">
        <f>IF($C464&lt;=Entradas!$E$124,"",D464-AVERAGE(D:D))</f>
        <v>0.46460196319881186</v>
      </c>
      <c r="H464" s="79">
        <f>IF($C464&lt;=Entradas!$E$124,"",F464^2)</f>
        <v>1.404260977826054E-2</v>
      </c>
      <c r="I464" s="79">
        <f>IF($C464&lt;=Entradas!$E$124,"",G464^2)</f>
        <v>0.21585498420819013</v>
      </c>
      <c r="J464" s="79">
        <f>IF($C464&lt;=Entradas!$E$124,"",E464-AVERAGE(E:E))</f>
        <v>0.35661826355316339</v>
      </c>
      <c r="K464" s="79">
        <f>IF($C464&lt;=Entradas!$E$124,"",J464^2)</f>
        <v>0.12717658589967351</v>
      </c>
      <c r="L464" s="79">
        <f>IF($C464&lt;=Entradas!$E$124,"",G464*J464)</f>
        <v>0.16568554535935101</v>
      </c>
      <c r="M464" s="40"/>
    </row>
    <row r="465" spans="2:13">
      <c r="B465" s="39"/>
      <c r="C465" s="75">
        <v>460</v>
      </c>
      <c r="D465" s="110">
        <f>IF($C465&lt;=Entradas!$E$124,"",Observaciones!H465)</f>
        <v>1.2902200528905174</v>
      </c>
      <c r="E465" s="110">
        <f>IF($C465&lt;=Entradas!$E$124,"",LíneaBase!L466)</f>
        <v>1.1708420289095867</v>
      </c>
      <c r="F465" s="79">
        <f>IF($C465&lt;=Entradas!$E$124,"",D465-E465)</f>
        <v>0.11937802398093078</v>
      </c>
      <c r="G465" s="79">
        <f>IF($C465&lt;=Entradas!$E$124,"",D465-AVERAGE(D:D))</f>
        <v>0.38412137069703922</v>
      </c>
      <c r="H465" s="79">
        <f>IF($C465&lt;=Entradas!$E$124,"",F465^2)</f>
        <v>1.4251112609591684E-2</v>
      </c>
      <c r="I465" s="79">
        <f>IF($C465&lt;=Entradas!$E$124,"",G465^2)</f>
        <v>0.14754922742617221</v>
      </c>
      <c r="J465" s="79">
        <f>IF($C465&lt;=Entradas!$E$124,"",E465-AVERAGE(E:E))</f>
        <v>0.27526116511246879</v>
      </c>
      <c r="K465" s="79">
        <f>IF($C465&lt;=Entradas!$E$124,"",J465^2)</f>
        <v>7.5768709019073802E-2</v>
      </c>
      <c r="L465" s="79">
        <f>IF($C465&lt;=Entradas!$E$124,"",G465*J465)</f>
        <v>0.10573369604266554</v>
      </c>
      <c r="M465" s="40"/>
    </row>
    <row r="466" spans="2:13">
      <c r="B466" s="39"/>
      <c r="C466" s="75">
        <v>461</v>
      </c>
      <c r="D466" s="110">
        <f>IF($C466&lt;=Entradas!$E$124,"",Observaciones!H466)</f>
        <v>1.2152595052007524</v>
      </c>
      <c r="E466" s="110">
        <f>IF($C466&lt;=Entradas!$E$124,"",LíneaBase!L467)</f>
        <v>1.0951768625882874</v>
      </c>
      <c r="F466" s="79">
        <f>IF($C466&lt;=Entradas!$E$124,"",D466-E466)</f>
        <v>0.12008264261246504</v>
      </c>
      <c r="G466" s="79">
        <f>IF($C466&lt;=Entradas!$E$124,"",D466-AVERAGE(D:D))</f>
        <v>0.30916082300727421</v>
      </c>
      <c r="H466" s="79">
        <f>IF($C466&lt;=Entradas!$E$124,"",F466^2)</f>
        <v>1.4419841056793005E-2</v>
      </c>
      <c r="I466" s="79">
        <f>IF($C466&lt;=Entradas!$E$124,"",G466^2)</f>
        <v>9.5580414482535125E-2</v>
      </c>
      <c r="J466" s="79">
        <f>IF($C466&lt;=Entradas!$E$124,"",E466-AVERAGE(E:E))</f>
        <v>0.19959599879116952</v>
      </c>
      <c r="K466" s="79">
        <f>IF($C466&lt;=Entradas!$E$124,"",J466^2)</f>
        <v>3.9838562733444542E-2</v>
      </c>
      <c r="L466" s="79">
        <f>IF($C466&lt;=Entradas!$E$124,"",G466*J466)</f>
        <v>6.1707263255236879E-2</v>
      </c>
      <c r="M466" s="40"/>
    </row>
    <row r="467" spans="2:13">
      <c r="B467" s="39"/>
      <c r="C467" s="75">
        <v>462</v>
      </c>
      <c r="D467" s="110">
        <f>IF($C467&lt;=Entradas!$E$124,"",Observaciones!H467)</f>
        <v>1.1490388729876222</v>
      </c>
      <c r="E467" s="110">
        <f>IF($C467&lt;=Entradas!$E$124,"",LíneaBase!L468)</f>
        <v>1.0282833474303676</v>
      </c>
      <c r="F467" s="79">
        <f>IF($C467&lt;=Entradas!$E$124,"",D467-E467)</f>
        <v>0.12075552555725455</v>
      </c>
      <c r="G467" s="79">
        <f>IF($C467&lt;=Entradas!$E$124,"",D467-AVERAGE(D:D))</f>
        <v>0.24294019079414397</v>
      </c>
      <c r="H467" s="79">
        <f>IF($C467&lt;=Entradas!$E$124,"",F467^2)</f>
        <v>1.4581896952608756E-2</v>
      </c>
      <c r="I467" s="79">
        <f>IF($C467&lt;=Entradas!$E$124,"",G467^2)</f>
        <v>5.9019936303095079E-2</v>
      </c>
      <c r="J467" s="79">
        <f>IF($C467&lt;=Entradas!$E$124,"",E467-AVERAGE(E:E))</f>
        <v>0.13270248363324977</v>
      </c>
      <c r="K467" s="79">
        <f>IF($C467&lt;=Entradas!$E$124,"",J467^2)</f>
        <v>1.7609949162432921E-2</v>
      </c>
      <c r="L467" s="79">
        <f>IF($C467&lt;=Entradas!$E$124,"",G467*J467)</f>
        <v>3.2238766692718468E-2</v>
      </c>
      <c r="M467" s="40"/>
    </row>
    <row r="468" spans="2:13">
      <c r="B468" s="39"/>
      <c r="C468" s="75">
        <v>463</v>
      </c>
      <c r="D468" s="110">
        <f>IF($C468&lt;=Entradas!$E$124,"",Observaciones!H468)</f>
        <v>1.0807753160336795</v>
      </c>
      <c r="E468" s="110">
        <f>IF($C468&lt;=Entradas!$E$124,"",LíneaBase!L469)</f>
        <v>0.98200504663824417</v>
      </c>
      <c r="F468" s="79">
        <f>IF($C468&lt;=Entradas!$E$124,"",D468-E468)</f>
        <v>9.8770269395435317E-2</v>
      </c>
      <c r="G468" s="79">
        <f>IF($C468&lt;=Entradas!$E$124,"",D468-AVERAGE(D:D))</f>
        <v>0.17467663384020127</v>
      </c>
      <c r="H468" s="79">
        <f>IF($C468&lt;=Entradas!$E$124,"",F468^2)</f>
        <v>9.7555661164468663E-3</v>
      </c>
      <c r="I468" s="79">
        <f>IF($C468&lt;=Entradas!$E$124,"",G468^2)</f>
        <v>3.0511926409743748E-2</v>
      </c>
      <c r="J468" s="79">
        <f>IF($C468&lt;=Entradas!$E$124,"",E468-AVERAGE(E:E))</f>
        <v>8.6424182841126296E-2</v>
      </c>
      <c r="K468" s="79">
        <f>IF($C468&lt;=Entradas!$E$124,"",J468^2)</f>
        <v>7.4691393797564291E-3</v>
      </c>
      <c r="L468" s="79">
        <f>IF($C468&lt;=Entradas!$E$124,"",G468*J468)</f>
        <v>1.5096285341078023E-2</v>
      </c>
      <c r="M468" s="40"/>
    </row>
    <row r="469" spans="2:13">
      <c r="B469" s="39"/>
      <c r="C469" s="75">
        <v>464</v>
      </c>
      <c r="D469" s="110">
        <f>IF($C469&lt;=Entradas!$E$124,"",Observaciones!H469)</f>
        <v>1.0606774656290725</v>
      </c>
      <c r="E469" s="110">
        <f>IF($C469&lt;=Entradas!$E$124,"",LíneaBase!L470)</f>
        <v>0.96633111940860694</v>
      </c>
      <c r="F469" s="79">
        <f>IF($C469&lt;=Entradas!$E$124,"",D469-E469)</f>
        <v>9.434634622046556E-2</v>
      </c>
      <c r="G469" s="79">
        <f>IF($C469&lt;=Entradas!$E$124,"",D469-AVERAGE(D:D))</f>
        <v>0.15457878343559428</v>
      </c>
      <c r="H469" s="79">
        <f>IF($C469&lt;=Entradas!$E$124,"",F469^2)</f>
        <v>8.9012330451519565E-3</v>
      </c>
      <c r="I469" s="79">
        <f>IF($C469&lt;=Entradas!$E$124,"",G469^2)</f>
        <v>2.3894600288428356E-2</v>
      </c>
      <c r="J469" s="79">
        <f>IF($C469&lt;=Entradas!$E$124,"",E469-AVERAGE(E:E))</f>
        <v>7.0750255611489066E-2</v>
      </c>
      <c r="K469" s="79">
        <f>IF($C469&lt;=Entradas!$E$124,"",J469^2)</f>
        <v>5.0055986690910404E-3</v>
      </c>
      <c r="L469" s="79">
        <f>IF($C469&lt;=Entradas!$E$124,"",G469*J469)</f>
        <v>1.0936488440181307E-2</v>
      </c>
      <c r="M469" s="40"/>
    </row>
    <row r="470" spans="2:13">
      <c r="B470" s="39"/>
      <c r="C470" s="75">
        <v>465</v>
      </c>
      <c r="D470" s="110">
        <f>IF($C470&lt;=Entradas!$E$124,"",Observaciones!H470)</f>
        <v>1.0486584730463187</v>
      </c>
      <c r="E470" s="110">
        <f>IF($C470&lt;=Entradas!$E$124,"",LíneaBase!L471)</f>
        <v>0.95581434302267443</v>
      </c>
      <c r="F470" s="79">
        <f>IF($C470&lt;=Entradas!$E$124,"",D470-E470)</f>
        <v>9.2844130023644222E-2</v>
      </c>
      <c r="G470" s="79">
        <f>IF($C470&lt;=Entradas!$E$124,"",D470-AVERAGE(D:D))</f>
        <v>0.14255979085284043</v>
      </c>
      <c r="H470" s="79">
        <f>IF($C470&lt;=Entradas!$E$124,"",F470^2)</f>
        <v>8.6200324798473543E-3</v>
      </c>
      <c r="I470" s="79">
        <f>IF($C470&lt;=Entradas!$E$124,"",G470^2)</f>
        <v>2.0323293968005605E-2</v>
      </c>
      <c r="J470" s="79">
        <f>IF($C470&lt;=Entradas!$E$124,"",E470-AVERAGE(E:E))</f>
        <v>6.0233479225556552E-2</v>
      </c>
      <c r="K470" s="79">
        <f>IF($C470&lt;=Entradas!$E$124,"",J470^2)</f>
        <v>3.6280720196155527E-3</v>
      </c>
      <c r="L470" s="79">
        <f>IF($C470&lt;=Entradas!$E$124,"",G470*J470)</f>
        <v>8.586872200734251E-3</v>
      </c>
      <c r="M470" s="40"/>
    </row>
    <row r="471" spans="2:13">
      <c r="B471" s="39"/>
      <c r="C471" s="75">
        <v>466</v>
      </c>
      <c r="D471" s="110">
        <f>IF($C471&lt;=Entradas!$E$124,"",Observaciones!H471)</f>
        <v>1.0380656222792037</v>
      </c>
      <c r="E471" s="110">
        <f>IF($C471&lt;=Entradas!$E$124,"",LíneaBase!L472)</f>
        <v>0.9462313225876362</v>
      </c>
      <c r="F471" s="79">
        <f>IF($C471&lt;=Entradas!$E$124,"",D471-E471)</f>
        <v>9.1834299691567534E-2</v>
      </c>
      <c r="G471" s="79">
        <f>IF($C471&lt;=Entradas!$E$124,"",D471-AVERAGE(D:D))</f>
        <v>0.13196694008572551</v>
      </c>
      <c r="H471" s="79">
        <f>IF($C471&lt;=Entradas!$E$124,"",F471^2)</f>
        <v>8.4335385998406415E-3</v>
      </c>
      <c r="I471" s="79">
        <f>IF($C471&lt;=Entradas!$E$124,"",G471^2)</f>
        <v>1.7415273275589466E-2</v>
      </c>
      <c r="J471" s="79">
        <f>IF($C471&lt;=Entradas!$E$124,"",E471-AVERAGE(E:E))</f>
        <v>5.0650458790518327E-2</v>
      </c>
      <c r="K471" s="79">
        <f>IF($C471&lt;=Entradas!$E$124,"",J471^2)</f>
        <v>2.5654689756899954E-3</v>
      </c>
      <c r="L471" s="79">
        <f>IF($C471&lt;=Entradas!$E$124,"",G471*J471)</f>
        <v>6.684186060522841E-3</v>
      </c>
      <c r="M471" s="40"/>
    </row>
    <row r="472" spans="2:13">
      <c r="B472" s="39"/>
      <c r="C472" s="75">
        <v>467</v>
      </c>
      <c r="D472" s="110">
        <f>IF($C472&lt;=Entradas!$E$124,"",Observaciones!H472)</f>
        <v>1.0887431899739624</v>
      </c>
      <c r="E472" s="110">
        <f>IF($C472&lt;=Entradas!$E$124,"",LíneaBase!L473)</f>
        <v>0.995370874661056</v>
      </c>
      <c r="F472" s="79">
        <f>IF($C472&lt;=Entradas!$E$124,"",D472-E472)</f>
        <v>9.3372315312906351E-2</v>
      </c>
      <c r="G472" s="79">
        <f>IF($C472&lt;=Entradas!$E$124,"",D472-AVERAGE(D:D))</f>
        <v>0.18264450778048413</v>
      </c>
      <c r="H472" s="79">
        <f>IF($C472&lt;=Entradas!$E$124,"",F472^2)</f>
        <v>8.7183892668928065E-3</v>
      </c>
      <c r="I472" s="79">
        <f>IF($C472&lt;=Entradas!$E$124,"",G472^2)</f>
        <v>3.3359016222375332E-2</v>
      </c>
      <c r="J472" s="79">
        <f>IF($C472&lt;=Entradas!$E$124,"",E472-AVERAGE(E:E))</f>
        <v>9.9790010863938128E-2</v>
      </c>
      <c r="K472" s="79">
        <f>IF($C472&lt;=Entradas!$E$124,"",J472^2)</f>
        <v>9.9580462682248901E-3</v>
      </c>
      <c r="L472" s="79">
        <f>IF($C472&lt;=Entradas!$E$124,"",G472*J472)</f>
        <v>1.8226097415653144E-2</v>
      </c>
      <c r="M472" s="40"/>
    </row>
    <row r="473" spans="2:13">
      <c r="B473" s="39"/>
      <c r="C473" s="75">
        <v>468</v>
      </c>
      <c r="D473" s="110">
        <f>IF($C473&lt;=Entradas!$E$124,"",Observaciones!H473)</f>
        <v>1.0833773615611493</v>
      </c>
      <c r="E473" s="110">
        <f>IF($C473&lt;=Entradas!$E$124,"",LíneaBase!L474)</f>
        <v>0.98869261348019555</v>
      </c>
      <c r="F473" s="79">
        <f>IF($C473&lt;=Entradas!$E$124,"",D473-E473)</f>
        <v>9.4684748080953729E-2</v>
      </c>
      <c r="G473" s="79">
        <f>IF($C473&lt;=Entradas!$E$124,"",D473-AVERAGE(D:D))</f>
        <v>0.17727867936767105</v>
      </c>
      <c r="H473" s="79">
        <f>IF($C473&lt;=Entradas!$E$124,"",F473^2)</f>
        <v>8.9652015191536705E-3</v>
      </c>
      <c r="I473" s="79">
        <f>IF($C473&lt;=Entradas!$E$124,"",G473^2)</f>
        <v>3.1427730158345518E-2</v>
      </c>
      <c r="J473" s="79">
        <f>IF($C473&lt;=Entradas!$E$124,"",E473-AVERAGE(E:E))</f>
        <v>9.3111749683077671E-2</v>
      </c>
      <c r="K473" s="79">
        <f>IF($C473&lt;=Entradas!$E$124,"",J473^2)</f>
        <v>8.6697979290441141E-3</v>
      </c>
      <c r="L473" s="79">
        <f>IF($C473&lt;=Entradas!$E$124,"",G473*J473)</f>
        <v>1.6506728017429174E-2</v>
      </c>
      <c r="M473" s="40"/>
    </row>
    <row r="474" spans="2:13">
      <c r="B474" s="39"/>
      <c r="C474" s="75">
        <v>469</v>
      </c>
      <c r="D474" s="110">
        <f>IF($C474&lt;=Entradas!$E$124,"",Observaciones!H474)</f>
        <v>1.0185363626944253</v>
      </c>
      <c r="E474" s="110">
        <f>IF($C474&lt;=Entradas!$E$124,"",LíneaBase!L475)</f>
        <v>0.92863364274424332</v>
      </c>
      <c r="F474" s="79">
        <f>IF($C474&lt;=Entradas!$E$124,"",D474-E474)</f>
        <v>8.9902719950181953E-2</v>
      </c>
      <c r="G474" s="79">
        <f>IF($C474&lt;=Entradas!$E$124,"",D474-AVERAGE(D:D))</f>
        <v>0.11243768050094705</v>
      </c>
      <c r="H474" s="79">
        <f>IF($C474&lt;=Entradas!$E$124,"",F474^2)</f>
        <v>8.0824990544408441E-3</v>
      </c>
      <c r="I474" s="79">
        <f>IF($C474&lt;=Entradas!$E$124,"",G474^2)</f>
        <v>1.2642231996433047E-2</v>
      </c>
      <c r="J474" s="79">
        <f>IF($C474&lt;=Entradas!$E$124,"",E474-AVERAGE(E:E))</f>
        <v>3.3052778947125439E-2</v>
      </c>
      <c r="K474" s="79">
        <f>IF($C474&lt;=Entradas!$E$124,"",J474^2)</f>
        <v>1.0924861961275386E-3</v>
      </c>
      <c r="L474" s="79">
        <f>IF($C474&lt;=Entradas!$E$124,"",G474*J474)</f>
        <v>3.716377798925319E-3</v>
      </c>
      <c r="M474" s="40"/>
    </row>
    <row r="475" spans="2:13">
      <c r="B475" s="39"/>
      <c r="C475" s="75">
        <v>470</v>
      </c>
      <c r="D475" s="110">
        <f>IF($C475&lt;=Entradas!$E$124,"",Observaciones!H475)</f>
        <v>0.99951233700667741</v>
      </c>
      <c r="E475" s="110">
        <f>IF($C475&lt;=Entradas!$E$124,"",LíneaBase!L476)</f>
        <v>0.91113415163592837</v>
      </c>
      <c r="F475" s="79">
        <f>IF($C475&lt;=Entradas!$E$124,"",D475-E475)</f>
        <v>8.8378185370749041E-2</v>
      </c>
      <c r="G475" s="79">
        <f>IF($C475&lt;=Entradas!$E$124,"",D475-AVERAGE(D:D))</f>
        <v>9.3413654813199187E-2</v>
      </c>
      <c r="H475" s="79">
        <f>IF($C475&lt;=Entradas!$E$124,"",F475^2)</f>
        <v>7.81070364942648E-3</v>
      </c>
      <c r="I475" s="79">
        <f>IF($C475&lt;=Entradas!$E$124,"",G475^2)</f>
        <v>8.7261109055595323E-3</v>
      </c>
      <c r="J475" s="79">
        <f>IF($C475&lt;=Entradas!$E$124,"",E475-AVERAGE(E:E))</f>
        <v>1.5553287838810492E-2</v>
      </c>
      <c r="K475" s="79">
        <f>IF($C475&lt;=Entradas!$E$124,"",J475^2)</f>
        <v>2.4190476259689035E-4</v>
      </c>
      <c r="L475" s="79">
        <f>IF($C475&lt;=Entradas!$E$124,"",G475*J475)</f>
        <v>1.4528894613849721E-3</v>
      </c>
      <c r="M475" s="40"/>
    </row>
    <row r="476" spans="2:13">
      <c r="B476" s="39"/>
      <c r="C476" s="75">
        <v>471</v>
      </c>
      <c r="D476" s="110">
        <f>IF($C476&lt;=Entradas!$E$124,"",Observaciones!H476)</f>
        <v>0.98817244421426786</v>
      </c>
      <c r="E476" s="110">
        <f>IF($C476&lt;=Entradas!$E$124,"",LíneaBase!L477)</f>
        <v>0.90077105396385515</v>
      </c>
      <c r="F476" s="79">
        <f>IF($C476&lt;=Entradas!$E$124,"",D476-E476)</f>
        <v>8.7401390250412714E-2</v>
      </c>
      <c r="G476" s="79">
        <f>IF($C476&lt;=Entradas!$E$124,"",D476-AVERAGE(D:D))</f>
        <v>8.2073762020789642E-2</v>
      </c>
      <c r="H476" s="79">
        <f>IF($C476&lt;=Entradas!$E$124,"",F476^2)</f>
        <v>7.6390030177049383E-3</v>
      </c>
      <c r="I476" s="79">
        <f>IF($C476&lt;=Entradas!$E$124,"",G476^2)</f>
        <v>6.7361024122452127E-3</v>
      </c>
      <c r="J476" s="79">
        <f>IF($C476&lt;=Entradas!$E$124,"",E476-AVERAGE(E:E))</f>
        <v>5.1901901667372741E-3</v>
      </c>
      <c r="K476" s="79">
        <f>IF($C476&lt;=Entradas!$E$124,"",J476^2)</f>
        <v>2.6938073966896293E-5</v>
      </c>
      <c r="L476" s="79">
        <f>IF($C476&lt;=Entradas!$E$124,"",G476*J476)</f>
        <v>4.2597843258743753E-4</v>
      </c>
      <c r="M476" s="40"/>
    </row>
    <row r="477" spans="2:13">
      <c r="B477" s="39"/>
      <c r="C477" s="75">
        <v>472</v>
      </c>
      <c r="D477" s="110">
        <f>IF($C477&lt;=Entradas!$E$124,"",Observaciones!H477)</f>
        <v>0.97818825841460821</v>
      </c>
      <c r="E477" s="110">
        <f>IF($C477&lt;=Entradas!$E$124,"",LíneaBase!L478)</f>
        <v>0.89166564144405147</v>
      </c>
      <c r="F477" s="79">
        <f>IF($C477&lt;=Entradas!$E$124,"",D477-E477)</f>
        <v>8.6522616970556743E-2</v>
      </c>
      <c r="G477" s="79">
        <f>IF($C477&lt;=Entradas!$E$124,"",D477-AVERAGE(D:D))</f>
        <v>7.2089576221129992E-2</v>
      </c>
      <c r="H477" s="79">
        <f>IF($C477&lt;=Entradas!$E$124,"",F477^2)</f>
        <v>7.4861632474336739E-3</v>
      </c>
      <c r="I477" s="79">
        <f>IF($C477&lt;=Entradas!$E$124,"",G477^2)</f>
        <v>5.1969069997421105E-3</v>
      </c>
      <c r="J477" s="79">
        <f>IF($C477&lt;=Entradas!$E$124,"",E477-AVERAGE(E:E))</f>
        <v>-3.9152223530664054E-3</v>
      </c>
      <c r="K477" s="79">
        <f>IF($C477&lt;=Entradas!$E$124,"",J477^2)</f>
        <v>1.532896607395084E-5</v>
      </c>
      <c r="L477" s="79">
        <f>IF($C477&lt;=Entradas!$E$124,"",G477*J477)</f>
        <v>-2.8224672024405254E-4</v>
      </c>
      <c r="M477" s="40"/>
    </row>
    <row r="478" spans="2:13">
      <c r="B478" s="39"/>
      <c r="C478" s="75">
        <v>473</v>
      </c>
      <c r="D478" s="110">
        <f>IF($C478&lt;=Entradas!$E$124,"",Observaciones!H478)</f>
        <v>0.97327778332761328</v>
      </c>
      <c r="E478" s="110">
        <f>IF($C478&lt;=Entradas!$E$124,"",LíneaBase!L479)</f>
        <v>0.88761061256007268</v>
      </c>
      <c r="F478" s="79">
        <f>IF($C478&lt;=Entradas!$E$124,"",D478-E478)</f>
        <v>8.5667170767540601E-2</v>
      </c>
      <c r="G478" s="79">
        <f>IF($C478&lt;=Entradas!$E$124,"",D478-AVERAGE(D:D))</f>
        <v>6.7179101134135055E-2</v>
      </c>
      <c r="H478" s="79">
        <f>IF($C478&lt;=Entradas!$E$124,"",F478^2)</f>
        <v>7.3388641473149628E-3</v>
      </c>
      <c r="I478" s="79">
        <f>IF($C478&lt;=Entradas!$E$124,"",G478^2)</f>
        <v>4.5130316291903455E-3</v>
      </c>
      <c r="J478" s="79">
        <f>IF($C478&lt;=Entradas!$E$124,"",E478-AVERAGE(E:E))</f>
        <v>-7.9702512370452006E-3</v>
      </c>
      <c r="K478" s="79">
        <f>IF($C478&lt;=Entradas!$E$124,"",J478^2)</f>
        <v>6.3524904781620553E-5</v>
      </c>
      <c r="L478" s="79">
        <f>IF($C478&lt;=Entradas!$E$124,"",G478*J478)</f>
        <v>-5.3543431391792453E-4</v>
      </c>
      <c r="M478" s="40"/>
    </row>
    <row r="479" spans="2:13">
      <c r="B479" s="39"/>
      <c r="C479" s="75">
        <v>474</v>
      </c>
      <c r="D479" s="110">
        <f>IF($C479&lt;=Entradas!$E$124,"",Observaciones!H479)</f>
        <v>0.96315680945707449</v>
      </c>
      <c r="E479" s="110">
        <f>IF($C479&lt;=Entradas!$E$124,"",LíneaBase!L480)</f>
        <v>0.87833422197111577</v>
      </c>
      <c r="F479" s="79">
        <f>IF($C479&lt;=Entradas!$E$124,"",D479-E479)</f>
        <v>8.4822587485958723E-2</v>
      </c>
      <c r="G479" s="79">
        <f>IF($C479&lt;=Entradas!$E$124,"",D479-AVERAGE(D:D))</f>
        <v>5.705812726359627E-2</v>
      </c>
      <c r="H479" s="79">
        <f>IF($C479&lt;=Entradas!$E$124,"",F479^2)</f>
        <v>7.1948713478131214E-3</v>
      </c>
      <c r="I479" s="79">
        <f>IF($C479&lt;=Entradas!$E$124,"",G479^2)</f>
        <v>3.2556298868287479E-3</v>
      </c>
      <c r="J479" s="79">
        <f>IF($C479&lt;=Entradas!$E$124,"",E479-AVERAGE(E:E))</f>
        <v>-1.7246641826002107E-2</v>
      </c>
      <c r="K479" s="79">
        <f>IF($C479&lt;=Entradas!$E$124,"",J479^2)</f>
        <v>2.9744665427440531E-4</v>
      </c>
      <c r="L479" s="79">
        <f>IF($C479&lt;=Entradas!$E$124,"",G479*J479)</f>
        <v>-9.8406108417769048E-4</v>
      </c>
      <c r="M479" s="40"/>
    </row>
    <row r="480" spans="2:13">
      <c r="B480" s="39"/>
      <c r="C480" s="75">
        <v>475</v>
      </c>
      <c r="D480" s="110">
        <f>IF($C480&lt;=Entradas!$E$124,"",Observaciones!H480)</f>
        <v>0.95020567447289872</v>
      </c>
      <c r="E480" s="110">
        <f>IF($C480&lt;=Entradas!$E$124,"",LíneaBase!L481)</f>
        <v>0.86621894449822401</v>
      </c>
      <c r="F480" s="79">
        <f>IF($C480&lt;=Entradas!$E$124,"",D480-E480)</f>
        <v>8.3986729974674712E-2</v>
      </c>
      <c r="G480" s="79">
        <f>IF($C480&lt;=Entradas!$E$124,"",D480-AVERAGE(D:D))</f>
        <v>4.4106992279420498E-2</v>
      </c>
      <c r="H480" s="79">
        <f>IF($C480&lt;=Entradas!$E$124,"",F480^2)</f>
        <v>7.0537708118389233E-3</v>
      </c>
      <c r="I480" s="79">
        <f>IF($C480&lt;=Entradas!$E$124,"",G480^2)</f>
        <v>1.9454267679368594E-3</v>
      </c>
      <c r="J480" s="79">
        <f>IF($C480&lt;=Entradas!$E$124,"",E480-AVERAGE(E:E))</f>
        <v>-2.9361919298893868E-2</v>
      </c>
      <c r="K480" s="79">
        <f>IF($C480&lt;=Entradas!$E$124,"",J480^2)</f>
        <v>8.621223049147562E-4</v>
      </c>
      <c r="L480" s="79">
        <f>IF($C480&lt;=Entradas!$E$124,"",G480*J480)</f>
        <v>-1.2950659478252796E-3</v>
      </c>
      <c r="M480" s="40"/>
    </row>
    <row r="481" spans="2:13">
      <c r="B481" s="39"/>
      <c r="C481" s="75">
        <v>476</v>
      </c>
      <c r="D481" s="110">
        <f>IF($C481&lt;=Entradas!$E$124,"",Observaciones!H481)</f>
        <v>0.94026877902682371</v>
      </c>
      <c r="E481" s="110">
        <f>IF($C481&lt;=Entradas!$E$124,"",LíneaBase!L482)</f>
        <v>0.85710960364025446</v>
      </c>
      <c r="F481" s="79">
        <f>IF($C481&lt;=Entradas!$E$124,"",D481-E481)</f>
        <v>8.3159175386569251E-2</v>
      </c>
      <c r="G481" s="79">
        <f>IF($C481&lt;=Entradas!$E$124,"",D481-AVERAGE(D:D))</f>
        <v>3.4170096833345487E-2</v>
      </c>
      <c r="H481" s="79">
        <f>IF($C481&lt;=Entradas!$E$124,"",F481^2)</f>
        <v>6.9154484509741853E-3</v>
      </c>
      <c r="I481" s="79">
        <f>IF($C481&lt;=Entradas!$E$124,"",G481^2)</f>
        <v>1.1675955176002073E-3</v>
      </c>
      <c r="J481" s="79">
        <f>IF($C481&lt;=Entradas!$E$124,"",E481-AVERAGE(E:E))</f>
        <v>-3.8471260156863418E-2</v>
      </c>
      <c r="K481" s="79">
        <f>IF($C481&lt;=Entradas!$E$124,"",J481^2)</f>
        <v>1.4800378580570668E-3</v>
      </c>
      <c r="L481" s="79">
        <f>IF($C481&lt;=Entradas!$E$124,"",G481*J481)</f>
        <v>-1.3145666848608491E-3</v>
      </c>
      <c r="M481" s="40"/>
    </row>
    <row r="482" spans="2:13">
      <c r="B482" s="39"/>
      <c r="C482" s="75">
        <v>477</v>
      </c>
      <c r="D482" s="110">
        <f>IF($C482&lt;=Entradas!$E$124,"",Observaciones!H482)</f>
        <v>0.93499643131339782</v>
      </c>
      <c r="E482" s="110">
        <f>IF($C482&lt;=Entradas!$E$124,"",LíneaBase!L483)</f>
        <v>0.85265664530141094</v>
      </c>
      <c r="F482" s="79">
        <f>IF($C482&lt;=Entradas!$E$124,"",D482-E482)</f>
        <v>8.2339786011986882E-2</v>
      </c>
      <c r="G482" s="79">
        <f>IF($C482&lt;=Entradas!$E$124,"",D482-AVERAGE(D:D))</f>
        <v>2.8897749119919602E-2</v>
      </c>
      <c r="H482" s="79">
        <f>IF($C482&lt;=Entradas!$E$124,"",F482^2)</f>
        <v>6.7798403604997903E-3</v>
      </c>
      <c r="I482" s="79">
        <f>IF($C482&lt;=Entradas!$E$124,"",G482^2)</f>
        <v>8.3507990419781413E-4</v>
      </c>
      <c r="J482" s="79">
        <f>IF($C482&lt;=Entradas!$E$124,"",E482-AVERAGE(E:E))</f>
        <v>-4.2924218495706934E-2</v>
      </c>
      <c r="K482" s="79">
        <f>IF($C482&lt;=Entradas!$E$124,"",J482^2)</f>
        <v>1.8424885334671892E-3</v>
      </c>
      <c r="L482" s="79">
        <f>IF($C482&lt;=Entradas!$E$124,"",G482*J482)</f>
        <v>-1.2404132972575518E-3</v>
      </c>
      <c r="M482" s="40"/>
    </row>
    <row r="483" spans="2:13">
      <c r="B483" s="39"/>
      <c r="C483" s="75">
        <v>478</v>
      </c>
      <c r="D483" s="110">
        <f>IF($C483&lt;=Entradas!$E$124,"",Observaciones!H483)</f>
        <v>0.92239879973718275</v>
      </c>
      <c r="E483" s="110">
        <f>IF($C483&lt;=Entradas!$E$124,"",LíneaBase!L484)</f>
        <v>0.84087032761571956</v>
      </c>
      <c r="F483" s="79">
        <f>IF($C483&lt;=Entradas!$E$124,"",D483-E483)</f>
        <v>8.1528472121463191E-2</v>
      </c>
      <c r="G483" s="79">
        <f>IF($C483&lt;=Entradas!$E$124,"",D483-AVERAGE(D:D))</f>
        <v>1.6300117543704529E-2</v>
      </c>
      <c r="H483" s="79">
        <f>IF($C483&lt;=Entradas!$E$124,"",F483^2)</f>
        <v>6.6468917664602011E-3</v>
      </c>
      <c r="I483" s="79">
        <f>IF($C483&lt;=Entradas!$E$124,"",G483^2)</f>
        <v>2.6569383193858416E-4</v>
      </c>
      <c r="J483" s="79">
        <f>IF($C483&lt;=Entradas!$E$124,"",E483-AVERAGE(E:E))</f>
        <v>-5.4710536181398317E-2</v>
      </c>
      <c r="K483" s="79">
        <f>IF($C483&lt;=Entradas!$E$124,"",J483^2)</f>
        <v>2.9932427692560943E-3</v>
      </c>
      <c r="L483" s="79">
        <f>IF($C483&lt;=Entradas!$E$124,"",G483*J483)</f>
        <v>-8.9178817063589205E-4</v>
      </c>
      <c r="M483" s="40"/>
    </row>
    <row r="484" spans="2:13">
      <c r="B484" s="39"/>
      <c r="C484" s="75">
        <v>479</v>
      </c>
      <c r="D484" s="110">
        <f>IF($C484&lt;=Entradas!$E$124,"",Observaciones!H484)</f>
        <v>0.91274850860403167</v>
      </c>
      <c r="E484" s="110">
        <f>IF($C484&lt;=Entradas!$E$124,"",LíneaBase!L485)</f>
        <v>0.83202335599787203</v>
      </c>
      <c r="F484" s="79">
        <f>IF($C484&lt;=Entradas!$E$124,"",D484-E484)</f>
        <v>8.0725152606159645E-2</v>
      </c>
      <c r="G484" s="79">
        <f>IF($C484&lt;=Entradas!$E$124,"",D484-AVERAGE(D:D))</f>
        <v>6.6498264105534499E-3</v>
      </c>
      <c r="H484" s="79">
        <f>IF($C484&lt;=Entradas!$E$124,"",F484^2)</f>
        <v>6.5165502632877634E-3</v>
      </c>
      <c r="I484" s="79">
        <f>IF($C484&lt;=Entradas!$E$124,"",G484^2)</f>
        <v>4.422019129049418E-5</v>
      </c>
      <c r="J484" s="79">
        <f>IF($C484&lt;=Entradas!$E$124,"",E484-AVERAGE(E:E))</f>
        <v>-6.3557507799245849E-2</v>
      </c>
      <c r="K484" s="79">
        <f>IF($C484&lt;=Entradas!$E$124,"",J484^2)</f>
        <v>4.0395567976511965E-3</v>
      </c>
      <c r="L484" s="79">
        <f>IF($C484&lt;=Entradas!$E$124,"",G484*J484)</f>
        <v>-4.2264639395238194E-4</v>
      </c>
      <c r="M484" s="40"/>
    </row>
    <row r="485" spans="2:13">
      <c r="B485" s="39"/>
      <c r="C485" s="75">
        <v>480</v>
      </c>
      <c r="D485" s="110">
        <f>IF($C485&lt;=Entradas!$E$124,"",Observaciones!H485)</f>
        <v>0.90366177768538103</v>
      </c>
      <c r="E485" s="110">
        <f>IF($C485&lt;=Entradas!$E$124,"",LíneaBase!L486)</f>
        <v>0.82373202924519262</v>
      </c>
      <c r="F485" s="79">
        <f>IF($C485&lt;=Entradas!$E$124,"",D485-E485)</f>
        <v>7.9929748440188408E-2</v>
      </c>
      <c r="G485" s="79">
        <f>IF($C485&lt;=Entradas!$E$124,"",D485-AVERAGE(D:D))</f>
        <v>-2.4369045080971929E-3</v>
      </c>
      <c r="H485" s="79">
        <f>IF($C485&lt;=Entradas!$E$124,"",F485^2)</f>
        <v>6.3887646857118015E-3</v>
      </c>
      <c r="I485" s="79">
        <f>IF($C485&lt;=Entradas!$E$124,"",G485^2)</f>
        <v>5.9385035815844216E-6</v>
      </c>
      <c r="J485" s="79">
        <f>IF($C485&lt;=Entradas!$E$124,"",E485-AVERAGE(E:E))</f>
        <v>-7.1848834551925256E-2</v>
      </c>
      <c r="K485" s="79">
        <f>IF($C485&lt;=Entradas!$E$124,"",J485^2)</f>
        <v>5.1622550264699288E-3</v>
      </c>
      <c r="L485" s="79">
        <f>IF($C485&lt;=Entradas!$E$124,"",G485*J485)</f>
        <v>1.7508874882111601E-4</v>
      </c>
      <c r="M485" s="40"/>
    </row>
    <row r="486" spans="2:13">
      <c r="B486" s="39"/>
      <c r="C486" s="75">
        <v>481</v>
      </c>
      <c r="D486" s="110">
        <f>IF($C486&lt;=Entradas!$E$124,"",Observaciones!H486)</f>
        <v>1.9000128438682864</v>
      </c>
      <c r="E486" s="110">
        <f>IF($C486&lt;=Entradas!$E$124,"",LíneaBase!L487)</f>
        <v>2.1134661373369283</v>
      </c>
      <c r="F486" s="79">
        <f>IF($C486&lt;=Entradas!$E$124,"",D486-E486)</f>
        <v>-0.21345329346864195</v>
      </c>
      <c r="G486" s="79">
        <f>IF($C486&lt;=Entradas!$E$124,"",D486-AVERAGE(D:D))</f>
        <v>0.99391416167480817</v>
      </c>
      <c r="H486" s="79">
        <f>IF($C486&lt;=Entradas!$E$124,"",F486^2)</f>
        <v>4.5562308492610185E-2</v>
      </c>
      <c r="I486" s="79">
        <f>IF($C486&lt;=Entradas!$E$124,"",G486^2)</f>
        <v>0.98786536077773668</v>
      </c>
      <c r="J486" s="79">
        <f>IF($C486&lt;=Entradas!$E$124,"",E486-AVERAGE(E:E))</f>
        <v>1.2178852735398105</v>
      </c>
      <c r="K486" s="79">
        <f>IF($C486&lt;=Entradas!$E$124,"",J486^2)</f>
        <v>1.483244539505139</v>
      </c>
      <c r="L486" s="79">
        <f>IF($C486&lt;=Entradas!$E$124,"",G486*J486)</f>
        <v>1.2104734206664152</v>
      </c>
      <c r="M486" s="40"/>
    </row>
    <row r="487" spans="2:13">
      <c r="B487" s="39"/>
      <c r="C487" s="75">
        <v>482</v>
      </c>
      <c r="D487" s="110">
        <f>IF($C487&lt;=Entradas!$E$124,"",Observaciones!H487)</f>
        <v>1.1708370253172318</v>
      </c>
      <c r="E487" s="110">
        <f>IF($C487&lt;=Entradas!$E$124,"",LíneaBase!L488)</f>
        <v>1.077982884245837</v>
      </c>
      <c r="F487" s="79">
        <f>IF($C487&lt;=Entradas!$E$124,"",D487-E487)</f>
        <v>9.285414107139478E-2</v>
      </c>
      <c r="G487" s="79">
        <f>IF($C487&lt;=Entradas!$E$124,"",D487-AVERAGE(D:D))</f>
        <v>0.26473834312375355</v>
      </c>
      <c r="H487" s="79">
        <f>IF($C487&lt;=Entradas!$E$124,"",F487^2)</f>
        <v>8.6218915141064827E-3</v>
      </c>
      <c r="I487" s="79">
        <f>IF($C487&lt;=Entradas!$E$124,"",G487^2)</f>
        <v>7.0086390319910263E-2</v>
      </c>
      <c r="J487" s="79">
        <f>IF($C487&lt;=Entradas!$E$124,"",E487-AVERAGE(E:E))</f>
        <v>0.18240202044871912</v>
      </c>
      <c r="K487" s="79">
        <f>IF($C487&lt;=Entradas!$E$124,"",J487^2)</f>
        <v>3.3270497063774947E-2</v>
      </c>
      <c r="L487" s="79">
        <f>IF($C487&lt;=Entradas!$E$124,"",G487*J487)</f>
        <v>4.828880867601891E-2</v>
      </c>
      <c r="M487" s="40"/>
    </row>
    <row r="488" spans="2:13">
      <c r="B488" s="39"/>
      <c r="C488" s="75">
        <v>483</v>
      </c>
      <c r="D488" s="110">
        <f>IF($C488&lt;=Entradas!$E$124,"",Observaciones!H488)</f>
        <v>1.100456065246725</v>
      </c>
      <c r="E488" s="110">
        <f>IF($C488&lt;=Entradas!$E$124,"",LíneaBase!L489)</f>
        <v>1.0066579527840951</v>
      </c>
      <c r="F488" s="79">
        <f>IF($C488&lt;=Entradas!$E$124,"",D488-E488)</f>
        <v>9.3798112462629923E-2</v>
      </c>
      <c r="G488" s="79">
        <f>IF($C488&lt;=Entradas!$E$124,"",D488-AVERAGE(D:D))</f>
        <v>0.19435738305324679</v>
      </c>
      <c r="H488" s="79">
        <f>IF($C488&lt;=Entradas!$E$124,"",F488^2)</f>
        <v>8.7980859015521704E-3</v>
      </c>
      <c r="I488" s="79">
        <f>IF($C488&lt;=Entradas!$E$124,"",G488^2)</f>
        <v>3.7774792347306504E-2</v>
      </c>
      <c r="J488" s="79">
        <f>IF($C488&lt;=Entradas!$E$124,"",E488-AVERAGE(E:E))</f>
        <v>0.11107708898697721</v>
      </c>
      <c r="K488" s="79">
        <f>IF($C488&lt;=Entradas!$E$124,"",J488^2)</f>
        <v>1.2338119697820855E-2</v>
      </c>
      <c r="L488" s="79">
        <f>IF($C488&lt;=Entradas!$E$124,"",G488*J488)</f>
        <v>2.1588652332681511E-2</v>
      </c>
      <c r="M488" s="40"/>
    </row>
    <row r="489" spans="2:13">
      <c r="B489" s="39"/>
      <c r="C489" s="75">
        <v>484</v>
      </c>
      <c r="D489" s="110">
        <f>IF($C489&lt;=Entradas!$E$124,"",Observaciones!H489)</f>
        <v>1.0306468915308535</v>
      </c>
      <c r="E489" s="110">
        <f>IF($C489&lt;=Entradas!$E$124,"",LíneaBase!L490)</f>
        <v>0.93589080858924878</v>
      </c>
      <c r="F489" s="79">
        <f>IF($C489&lt;=Entradas!$E$124,"",D489-E489)</f>
        <v>9.4756082941604758E-2</v>
      </c>
      <c r="G489" s="79">
        <f>IF($C489&lt;=Entradas!$E$124,"",D489-AVERAGE(D:D))</f>
        <v>0.12454820933737532</v>
      </c>
      <c r="H489" s="79">
        <f>IF($C489&lt;=Entradas!$E$124,"",F489^2)</f>
        <v>8.978715254436281E-3</v>
      </c>
      <c r="I489" s="79">
        <f>IF($C489&lt;=Entradas!$E$124,"",G489^2)</f>
        <v>1.5512256449146663E-2</v>
      </c>
      <c r="J489" s="79">
        <f>IF($C489&lt;=Entradas!$E$124,"",E489-AVERAGE(E:E))</f>
        <v>4.0309944792130903E-2</v>
      </c>
      <c r="K489" s="79">
        <f>IF($C489&lt;=Entradas!$E$124,"",J489^2)</f>
        <v>1.6248916491446413E-3</v>
      </c>
      <c r="L489" s="79">
        <f>IF($C489&lt;=Entradas!$E$124,"",G489*J489)</f>
        <v>5.0205314423483619E-3</v>
      </c>
      <c r="M489" s="40"/>
    </row>
    <row r="490" spans="2:13">
      <c r="B490" s="39"/>
      <c r="C490" s="75">
        <v>485</v>
      </c>
      <c r="D490" s="110">
        <f>IF($C490&lt;=Entradas!$E$124,"",Observaciones!H490)</f>
        <v>0.96475238973979693</v>
      </c>
      <c r="E490" s="110">
        <f>IF($C490&lt;=Entradas!$E$124,"",LíneaBase!L491)</f>
        <v>0.86915715631023138</v>
      </c>
      <c r="F490" s="79">
        <f>IF($C490&lt;=Entradas!$E$124,"",D490-E490)</f>
        <v>9.5595233429565551E-2</v>
      </c>
      <c r="G490" s="79">
        <f>IF($C490&lt;=Entradas!$E$124,"",D490-AVERAGE(D:D))</f>
        <v>5.8653707546318712E-2</v>
      </c>
      <c r="H490" s="79">
        <f>IF($C490&lt;=Entradas!$E$124,"",F490^2)</f>
        <v>9.1384486544531275E-3</v>
      </c>
      <c r="I490" s="79">
        <f>IF($C490&lt;=Entradas!$E$124,"",G490^2)</f>
        <v>3.4402574089290846E-3</v>
      </c>
      <c r="J490" s="79">
        <f>IF($C490&lt;=Entradas!$E$124,"",E490-AVERAGE(E:E))</f>
        <v>-2.6423707486886494E-2</v>
      </c>
      <c r="K490" s="79">
        <f>IF($C490&lt;=Entradas!$E$124,"",J490^2)</f>
        <v>6.9821231735254141E-4</v>
      </c>
      <c r="L490" s="79">
        <f>IF($C490&lt;=Entradas!$E$124,"",G490*J490)</f>
        <v>-1.5498484112253126E-3</v>
      </c>
      <c r="M490" s="40"/>
    </row>
    <row r="491" spans="2:13">
      <c r="B491" s="39"/>
      <c r="C491" s="75">
        <v>486</v>
      </c>
      <c r="D491" s="110">
        <f>IF($C491&lt;=Entradas!$E$124,"",Observaciones!H491)</f>
        <v>0.901247931503947</v>
      </c>
      <c r="E491" s="110">
        <f>IF($C491&lt;=Entradas!$E$124,"",LíneaBase!L492)</f>
        <v>0.80487330451753147</v>
      </c>
      <c r="F491" s="79">
        <f>IF($C491&lt;=Entradas!$E$124,"",D491-E491)</f>
        <v>9.6374626986415524E-2</v>
      </c>
      <c r="G491" s="79">
        <f>IF($C491&lt;=Entradas!$E$124,"",D491-AVERAGE(D:D))</f>
        <v>-4.8507506895312247E-3</v>
      </c>
      <c r="H491" s="79">
        <f>IF($C491&lt;=Entradas!$E$124,"",F491^2)</f>
        <v>9.2880687267707322E-3</v>
      </c>
      <c r="I491" s="79">
        <f>IF($C491&lt;=Entradas!$E$124,"",G491^2)</f>
        <v>2.352978225198765E-5</v>
      </c>
      <c r="J491" s="79">
        <f>IF($C491&lt;=Entradas!$E$124,"",E491-AVERAGE(E:E))</f>
        <v>-9.0707559279586403E-2</v>
      </c>
      <c r="K491" s="79">
        <f>IF($C491&lt;=Entradas!$E$124,"",J491^2)</f>
        <v>8.2278613104596818E-3</v>
      </c>
      <c r="L491" s="79">
        <f>IF($C491&lt;=Entradas!$E$124,"",G491*J491)</f>
        <v>4.399997557211482E-4</v>
      </c>
      <c r="M491" s="40"/>
    </row>
    <row r="492" spans="2:13">
      <c r="B492" s="39"/>
      <c r="C492" s="75">
        <v>487</v>
      </c>
      <c r="D492" s="110">
        <f>IF($C492&lt;=Entradas!$E$124,"",Observaciones!H492)</f>
        <v>0.85138058655227067</v>
      </c>
      <c r="E492" s="110">
        <f>IF($C492&lt;=Entradas!$E$124,"",LíneaBase!L493)</f>
        <v>0.77330963907662897</v>
      </c>
      <c r="F492" s="79">
        <f>IF($C492&lt;=Entradas!$E$124,"",D492-E492)</f>
        <v>7.8070947475641694E-2</v>
      </c>
      <c r="G492" s="79">
        <f>IF($C492&lt;=Entradas!$E$124,"",D492-AVERAGE(D:D))</f>
        <v>-5.4718095641207554E-2</v>
      </c>
      <c r="H492" s="79">
        <f>IF($C492&lt;=Entradas!$E$124,"",F492^2)</f>
        <v>6.0950728397444042E-3</v>
      </c>
      <c r="I492" s="79">
        <f>IF($C492&lt;=Entradas!$E$124,"",G492^2)</f>
        <v>2.9940699906003372E-3</v>
      </c>
      <c r="J492" s="79">
        <f>IF($C492&lt;=Entradas!$E$124,"",E492-AVERAGE(E:E))</f>
        <v>-0.1222712247204889</v>
      </c>
      <c r="K492" s="79">
        <f>IF($C492&lt;=Entradas!$E$124,"",J492^2)</f>
        <v>1.4950252394648296E-2</v>
      </c>
      <c r="L492" s="79">
        <f>IF($C492&lt;=Entradas!$E$124,"",G492*J492)</f>
        <v>6.6904485684232927E-3</v>
      </c>
      <c r="M492" s="40"/>
    </row>
    <row r="493" spans="2:13">
      <c r="B493" s="39"/>
      <c r="C493" s="75">
        <v>488</v>
      </c>
      <c r="D493" s="110">
        <f>IF($C493&lt;=Entradas!$E$124,"",Observaciones!H493)</f>
        <v>0.83619047623077258</v>
      </c>
      <c r="E493" s="110">
        <f>IF($C493&lt;=Entradas!$E$124,"",LíneaBase!L494)</f>
        <v>0.76176845228406276</v>
      </c>
      <c r="F493" s="79">
        <f>IF($C493&lt;=Entradas!$E$124,"",D493-E493)</f>
        <v>7.4422023946709825E-2</v>
      </c>
      <c r="G493" s="79">
        <f>IF($C493&lt;=Entradas!$E$124,"",D493-AVERAGE(D:D))</f>
        <v>-6.9908205962705638E-2</v>
      </c>
      <c r="H493" s="79">
        <f>IF($C493&lt;=Entradas!$E$124,"",F493^2)</f>
        <v>5.5386376483246508E-3</v>
      </c>
      <c r="I493" s="79">
        <f>IF($C493&lt;=Entradas!$E$124,"",G493^2)</f>
        <v>4.8871572609240719E-3</v>
      </c>
      <c r="J493" s="79">
        <f>IF($C493&lt;=Entradas!$E$124,"",E493-AVERAGE(E:E))</f>
        <v>-0.13381241151305512</v>
      </c>
      <c r="K493" s="79">
        <f>IF($C493&lt;=Entradas!$E$124,"",J493^2)</f>
        <v>1.7905761474939205E-2</v>
      </c>
      <c r="L493" s="79">
        <f>IF($C493&lt;=Entradas!$E$124,"",G493*J493)</f>
        <v>9.3545856244209805E-3</v>
      </c>
      <c r="M493" s="40"/>
    </row>
    <row r="494" spans="2:13">
      <c r="B494" s="39"/>
      <c r="C494" s="75">
        <v>489</v>
      </c>
      <c r="D494" s="110">
        <f>IF($C494&lt;=Entradas!$E$124,"",Observaciones!H494)</f>
        <v>0.82682271707983279</v>
      </c>
      <c r="E494" s="110">
        <f>IF($C494&lt;=Entradas!$E$124,"",LíneaBase!L495)</f>
        <v>0.75361183324268477</v>
      </c>
      <c r="F494" s="79">
        <f>IF($C494&lt;=Entradas!$E$124,"",D494-E494)</f>
        <v>7.3210883837148022E-2</v>
      </c>
      <c r="G494" s="79">
        <f>IF($C494&lt;=Entradas!$E$124,"",D494-AVERAGE(D:D))</f>
        <v>-7.927596511364543E-2</v>
      </c>
      <c r="H494" s="79">
        <f>IF($C494&lt;=Entradas!$E$124,"",F494^2)</f>
        <v>5.3598335122163818E-3</v>
      </c>
      <c r="I494" s="79">
        <f>IF($C494&lt;=Entradas!$E$124,"",G494^2)</f>
        <v>6.2846786446999273E-3</v>
      </c>
      <c r="J494" s="79">
        <f>IF($C494&lt;=Entradas!$E$124,"",E494-AVERAGE(E:E))</f>
        <v>-0.14196903055443311</v>
      </c>
      <c r="K494" s="79">
        <f>IF($C494&lt;=Entradas!$E$124,"",J494^2)</f>
        <v>2.015520563656556E-2</v>
      </c>
      <c r="L494" s="79">
        <f>IF($C494&lt;=Entradas!$E$124,"",G494*J494)</f>
        <v>1.1254731913451301E-2</v>
      </c>
      <c r="M494" s="40"/>
    </row>
    <row r="495" spans="2:13">
      <c r="B495" s="39"/>
      <c r="C495" s="75">
        <v>490</v>
      </c>
      <c r="D495" s="110">
        <f>IF($C495&lt;=Entradas!$E$124,"",Observaciones!H495)</f>
        <v>0.81848856428509997</v>
      </c>
      <c r="E495" s="110">
        <f>IF($C495&lt;=Entradas!$E$124,"",LíneaBase!L496)</f>
        <v>0.74607833610130514</v>
      </c>
      <c r="F495" s="79">
        <f>IF($C495&lt;=Entradas!$E$124,"",D495-E495)</f>
        <v>7.2410228183794834E-2</v>
      </c>
      <c r="G495" s="79">
        <f>IF($C495&lt;=Entradas!$E$124,"",D495-AVERAGE(D:D))</f>
        <v>-8.7610117908378249E-2</v>
      </c>
      <c r="H495" s="79">
        <f>IF($C495&lt;=Entradas!$E$124,"",F495^2)</f>
        <v>5.2432411456292353E-3</v>
      </c>
      <c r="I495" s="79">
        <f>IF($C495&lt;=Entradas!$E$124,"",G495^2)</f>
        <v>7.6755327599199391E-3</v>
      </c>
      <c r="J495" s="79">
        <f>IF($C495&lt;=Entradas!$E$124,"",E495-AVERAGE(E:E))</f>
        <v>-0.14950252769581274</v>
      </c>
      <c r="K495" s="79">
        <f>IF($C495&lt;=Entradas!$E$124,"",J495^2)</f>
        <v>2.2351005787437254E-2</v>
      </c>
      <c r="L495" s="79">
        <f>IF($C495&lt;=Entradas!$E$124,"",G495*J495)</f>
        <v>1.3097934079030739E-2</v>
      </c>
      <c r="M495" s="40"/>
    </row>
    <row r="496" spans="2:13">
      <c r="B496" s="39"/>
      <c r="C496" s="75">
        <v>491</v>
      </c>
      <c r="D496" s="110">
        <f>IF($C496&lt;=Entradas!$E$124,"",Observaciones!H496)</f>
        <v>0.81039272634569748</v>
      </c>
      <c r="E496" s="110">
        <f>IF($C496&lt;=Entradas!$E$124,"",LíneaBase!L497)</f>
        <v>0.73870913070705657</v>
      </c>
      <c r="F496" s="79">
        <f>IF($C496&lt;=Entradas!$E$124,"",D496-E496)</f>
        <v>7.1683595638640907E-2</v>
      </c>
      <c r="G496" s="79">
        <f>IF($C496&lt;=Entradas!$E$124,"",D496-AVERAGE(D:D))</f>
        <v>-9.5705955847780744E-2</v>
      </c>
      <c r="H496" s="79">
        <f>IF($C496&lt;=Entradas!$E$124,"",F496^2)</f>
        <v>5.1385378836841774E-3</v>
      </c>
      <c r="I496" s="79">
        <f>IF($C496&lt;=Entradas!$E$124,"",G496^2)</f>
        <v>9.1596299847373566E-3</v>
      </c>
      <c r="J496" s="79">
        <f>IF($C496&lt;=Entradas!$E$124,"",E496-AVERAGE(E:E))</f>
        <v>-0.1568717330900613</v>
      </c>
      <c r="K496" s="79">
        <f>IF($C496&lt;=Entradas!$E$124,"",J496^2)</f>
        <v>2.4608740642679434E-2</v>
      </c>
      <c r="L496" s="79">
        <f>IF($C496&lt;=Entradas!$E$124,"",G496*J496)</f>
        <v>1.5013559160882253E-2</v>
      </c>
      <c r="M496" s="40"/>
    </row>
    <row r="497" spans="2:13">
      <c r="B497" s="39"/>
      <c r="C497" s="75">
        <v>492</v>
      </c>
      <c r="D497" s="110">
        <f>IF($C497&lt;=Entradas!$E$124,"",Observaciones!H497)</f>
        <v>0.8024025772934188</v>
      </c>
      <c r="E497" s="110">
        <f>IF($C497&lt;=Entradas!$E$124,"",LíneaBase!L498)</f>
        <v>0.73142748047370143</v>
      </c>
      <c r="F497" s="79">
        <f>IF($C497&lt;=Entradas!$E$124,"",D497-E497)</f>
        <v>7.0975096819717365E-2</v>
      </c>
      <c r="G497" s="79">
        <f>IF($C497&lt;=Entradas!$E$124,"",D497-AVERAGE(D:D))</f>
        <v>-0.10369610490005943</v>
      </c>
      <c r="H497" s="79">
        <f>IF($C497&lt;=Entradas!$E$124,"",F497^2)</f>
        <v>5.0374643685682542E-3</v>
      </c>
      <c r="I497" s="79">
        <f>IF($C497&lt;=Entradas!$E$124,"",G497^2)</f>
        <v>1.0752882171444128E-2</v>
      </c>
      <c r="J497" s="79">
        <f>IF($C497&lt;=Entradas!$E$124,"",E497-AVERAGE(E:E))</f>
        <v>-0.16415338332341645</v>
      </c>
      <c r="K497" s="79">
        <f>IF($C497&lt;=Entradas!$E$124,"",J497^2)</f>
        <v>2.6946333256524495E-2</v>
      </c>
      <c r="L497" s="79">
        <f>IF($C497&lt;=Entradas!$E$124,"",G497*J497)</f>
        <v>1.7022066456804659E-2</v>
      </c>
      <c r="M497" s="40"/>
    </row>
    <row r="498" spans="2:13">
      <c r="B498" s="39"/>
      <c r="C498" s="75">
        <v>493</v>
      </c>
      <c r="D498" s="110">
        <f>IF($C498&lt;=Entradas!$E$124,"",Observaciones!H498)</f>
        <v>0.79449545793141441</v>
      </c>
      <c r="E498" s="110">
        <f>IF($C498&lt;=Entradas!$E$124,"",LíneaBase!L499)</f>
        <v>0.72422005793064848</v>
      </c>
      <c r="F498" s="79">
        <f>IF($C498&lt;=Entradas!$E$124,"",D498-E498)</f>
        <v>7.0275400000765931E-2</v>
      </c>
      <c r="G498" s="79">
        <f>IF($C498&lt;=Entradas!$E$124,"",D498-AVERAGE(D:D))</f>
        <v>-0.11160322426206382</v>
      </c>
      <c r="H498" s="79">
        <f>IF($C498&lt;=Entradas!$E$124,"",F498^2)</f>
        <v>4.9386318452676525E-3</v>
      </c>
      <c r="I498" s="79">
        <f>IF($C498&lt;=Entradas!$E$124,"",G498^2)</f>
        <v>1.2455279665688509E-2</v>
      </c>
      <c r="J498" s="79">
        <f>IF($C498&lt;=Entradas!$E$124,"",E498-AVERAGE(E:E))</f>
        <v>-0.1713608058664694</v>
      </c>
      <c r="K498" s="79">
        <f>IF($C498&lt;=Entradas!$E$124,"",J498^2)</f>
        <v>2.9364525787205813E-2</v>
      </c>
      <c r="L498" s="79">
        <f>IF($C498&lt;=Entradas!$E$124,"",G498*J498)</f>
        <v>1.9124418446843566E-2</v>
      </c>
      <c r="M498" s="40"/>
    </row>
    <row r="499" spans="2:13">
      <c r="B499" s="39"/>
      <c r="C499" s="75">
        <v>494</v>
      </c>
      <c r="D499" s="110">
        <f>IF($C499&lt;=Entradas!$E$124,"",Observaciones!H499)</f>
        <v>0.78802950980983999</v>
      </c>
      <c r="E499" s="110">
        <f>IF($C499&lt;=Entradas!$E$124,"",LíneaBase!L500)</f>
        <v>0.71844661017982647</v>
      </c>
      <c r="F499" s="79">
        <f>IF($C499&lt;=Entradas!$E$124,"",D499-E499)</f>
        <v>6.9582899630013517E-2</v>
      </c>
      <c r="G499" s="79">
        <f>IF($C499&lt;=Entradas!$E$124,"",D499-AVERAGE(D:D))</f>
        <v>-0.11806917238363823</v>
      </c>
      <c r="H499" s="79">
        <f>IF($C499&lt;=Entradas!$E$124,"",F499^2)</f>
        <v>4.8417799209205352E-3</v>
      </c>
      <c r="I499" s="79">
        <f>IF($C499&lt;=Entradas!$E$124,"",G499^2)</f>
        <v>1.3940329467357281E-2</v>
      </c>
      <c r="J499" s="79">
        <f>IF($C499&lt;=Entradas!$E$124,"",E499-AVERAGE(E:E))</f>
        <v>-0.1771342536172914</v>
      </c>
      <c r="K499" s="79">
        <f>IF($C499&lt;=Entradas!$E$124,"",J499^2)</f>
        <v>3.1376543804554916E-2</v>
      </c>
      <c r="L499" s="79">
        <f>IF($C499&lt;=Entradas!$E$124,"",G499*J499)</f>
        <v>2.0914094725387074E-2</v>
      </c>
      <c r="M499" s="40"/>
    </row>
    <row r="500" spans="2:13">
      <c r="B500" s="39"/>
      <c r="C500" s="75">
        <v>495</v>
      </c>
      <c r="D500" s="110">
        <f>IF($C500&lt;=Entradas!$E$124,"",Observaciones!H500)</f>
        <v>0.77914181847214359</v>
      </c>
      <c r="E500" s="110">
        <f>IF($C500&lt;=Entradas!$E$124,"",LíneaBase!L501)</f>
        <v>0.7102445457010097</v>
      </c>
      <c r="F500" s="79">
        <f>IF($C500&lt;=Entradas!$E$124,"",D500-E500)</f>
        <v>6.8897272771133888E-2</v>
      </c>
      <c r="G500" s="79">
        <f>IF($C500&lt;=Entradas!$E$124,"",D500-AVERAGE(D:D))</f>
        <v>-0.12695686372133463</v>
      </c>
      <c r="H500" s="79">
        <f>IF($C500&lt;=Entradas!$E$124,"",F500^2)</f>
        <v>4.7468341953000271E-3</v>
      </c>
      <c r="I500" s="79">
        <f>IF($C500&lt;=Entradas!$E$124,"",G500^2)</f>
        <v>1.6118045245957533E-2</v>
      </c>
      <c r="J500" s="79">
        <f>IF($C500&lt;=Entradas!$E$124,"",E500-AVERAGE(E:E))</f>
        <v>-0.18533631809610818</v>
      </c>
      <c r="K500" s="79">
        <f>IF($C500&lt;=Entradas!$E$124,"",J500^2)</f>
        <v>3.4349550805421798E-2</v>
      </c>
      <c r="L500" s="79">
        <f>IF($C500&lt;=Entradas!$E$124,"",G500*J500)</f>
        <v>2.3529717679141533E-2</v>
      </c>
      <c r="M500" s="40"/>
    </row>
    <row r="501" spans="2:13">
      <c r="B501" s="39"/>
      <c r="C501" s="75">
        <v>496</v>
      </c>
      <c r="D501" s="110">
        <f>IF($C501&lt;=Entradas!$E$124,"",Observaciones!H501)</f>
        <v>0.77127839394867781</v>
      </c>
      <c r="E501" s="110">
        <f>IF($C501&lt;=Entradas!$E$124,"",LíneaBase!L502)</f>
        <v>0.70305998407150272</v>
      </c>
      <c r="F501" s="79">
        <f>IF($C501&lt;=Entradas!$E$124,"",D501-E501)</f>
        <v>6.821840987717509E-2</v>
      </c>
      <c r="G501" s="79">
        <f>IF($C501&lt;=Entradas!$E$124,"",D501-AVERAGE(D:D))</f>
        <v>-0.13482028824480041</v>
      </c>
      <c r="H501" s="79">
        <f>IF($C501&lt;=Entradas!$E$124,"",F501^2)</f>
        <v>4.6537514461702598E-3</v>
      </c>
      <c r="I501" s="79">
        <f>IF($C501&lt;=Entradas!$E$124,"",G501^2)</f>
        <v>1.8176510122411067E-2</v>
      </c>
      <c r="J501" s="79">
        <f>IF($C501&lt;=Entradas!$E$124,"",E501-AVERAGE(E:E))</f>
        <v>-0.19252087972561516</v>
      </c>
      <c r="K501" s="79">
        <f>IF($C501&lt;=Entradas!$E$124,"",J501^2)</f>
        <v>3.7064289130324779E-2</v>
      </c>
      <c r="L501" s="79">
        <f>IF($C501&lt;=Entradas!$E$124,"",G501*J501)</f>
        <v>2.5955720497749989E-2</v>
      </c>
      <c r="M501" s="40"/>
    </row>
    <row r="502" spans="2:13">
      <c r="B502" s="39"/>
      <c r="C502" s="75">
        <v>497</v>
      </c>
      <c r="D502" s="110">
        <f>IF($C502&lt;=Entradas!$E$124,"",Observaciones!H502)</f>
        <v>0.76364788122921512</v>
      </c>
      <c r="E502" s="110">
        <f>IF($C502&lt;=Entradas!$E$124,"",LíneaBase!L503)</f>
        <v>0.69610164386759243</v>
      </c>
      <c r="F502" s="79">
        <f>IF($C502&lt;=Entradas!$E$124,"",D502-E502)</f>
        <v>6.7546237361622685E-2</v>
      </c>
      <c r="G502" s="79">
        <f>IF($C502&lt;=Entradas!$E$124,"",D502-AVERAGE(D:D))</f>
        <v>-0.1424508009642631</v>
      </c>
      <c r="H502" s="79">
        <f>IF($C502&lt;=Entradas!$E$124,"",F502^2)</f>
        <v>4.5624941817126721E-3</v>
      </c>
      <c r="I502" s="79">
        <f>IF($C502&lt;=Entradas!$E$124,"",G502^2)</f>
        <v>2.0292230695360101E-2</v>
      </c>
      <c r="J502" s="79">
        <f>IF($C502&lt;=Entradas!$E$124,"",E502-AVERAGE(E:E))</f>
        <v>-0.19947921992952544</v>
      </c>
      <c r="K502" s="79">
        <f>IF($C502&lt;=Entradas!$E$124,"",J502^2)</f>
        <v>3.979195918369198E-2</v>
      </c>
      <c r="L502" s="79">
        <f>IF($C502&lt;=Entradas!$E$124,"",G502*J502)</f>
        <v>2.8415974654687294E-2</v>
      </c>
      <c r="M502" s="40"/>
    </row>
    <row r="503" spans="2:13">
      <c r="B503" s="39"/>
      <c r="C503" s="75">
        <v>498</v>
      </c>
      <c r="D503" s="110">
        <f>IF($C503&lt;=Entradas!$E$124,"",Observaciones!H503)</f>
        <v>0.75611834551966217</v>
      </c>
      <c r="E503" s="110">
        <f>IF($C503&lt;=Entradas!$E$124,"",LíneaBase!L504)</f>
        <v>0.68923765736860187</v>
      </c>
      <c r="F503" s="79">
        <f>IF($C503&lt;=Entradas!$E$124,"",D503-E503)</f>
        <v>6.6880688151060297E-2</v>
      </c>
      <c r="G503" s="79">
        <f>IF($C503&lt;=Entradas!$E$124,"",D503-AVERAGE(D:D))</f>
        <v>-0.14998033667381605</v>
      </c>
      <c r="H503" s="79">
        <f>IF($C503&lt;=Entradas!$E$124,"",F503^2)</f>
        <v>4.4730264475593773E-3</v>
      </c>
      <c r="I503" s="79">
        <f>IF($C503&lt;=Entradas!$E$124,"",G503^2)</f>
        <v>2.249410138879121E-2</v>
      </c>
      <c r="J503" s="79">
        <f>IF($C503&lt;=Entradas!$E$124,"",E503-AVERAGE(E:E))</f>
        <v>-0.206343206428516</v>
      </c>
      <c r="K503" s="79">
        <f>IF($C503&lt;=Entradas!$E$124,"",J503^2)</f>
        <v>4.2577518839201169E-2</v>
      </c>
      <c r="L503" s="79">
        <f>IF($C503&lt;=Entradas!$E$124,"",G503*J503)</f>
        <v>3.0947423570503556E-2</v>
      </c>
      <c r="M503" s="40"/>
    </row>
    <row r="504" spans="2:13">
      <c r="B504" s="39"/>
      <c r="C504" s="75">
        <v>499</v>
      </c>
      <c r="D504" s="110">
        <f>IF($C504&lt;=Entradas!$E$124,"",Observaciones!H504)</f>
        <v>0.74866727990726833</v>
      </c>
      <c r="E504" s="110">
        <f>IF($C504&lt;=Entradas!$E$124,"",LíneaBase!L505)</f>
        <v>0.68244558311386239</v>
      </c>
      <c r="F504" s="79">
        <f>IF($C504&lt;=Entradas!$E$124,"",D504-E504)</f>
        <v>6.6221696793405949E-2</v>
      </c>
      <c r="G504" s="79">
        <f>IF($C504&lt;=Entradas!$E$124,"",D504-AVERAGE(D:D))</f>
        <v>-0.15743140228620989</v>
      </c>
      <c r="H504" s="79">
        <f>IF($C504&lt;=Entradas!$E$124,"",F504^2)</f>
        <v>4.3853131261977919E-3</v>
      </c>
      <c r="I504" s="79">
        <f>IF($C504&lt;=Entradas!$E$124,"",G504^2)</f>
        <v>2.4784646425802453E-2</v>
      </c>
      <c r="J504" s="79">
        <f>IF($C504&lt;=Entradas!$E$124,"",E504-AVERAGE(E:E))</f>
        <v>-0.21313528068325549</v>
      </c>
      <c r="K504" s="79">
        <f>IF($C504&lt;=Entradas!$E$124,"",J504^2)</f>
        <v>4.5426647871930098E-2</v>
      </c>
      <c r="L504" s="79">
        <f>IF($C504&lt;=Entradas!$E$124,"",G504*J504)</f>
        <v>3.3554186114629854E-2</v>
      </c>
      <c r="M504" s="40"/>
    </row>
    <row r="505" spans="2:13">
      <c r="B505" s="39"/>
      <c r="C505" s="75">
        <v>500</v>
      </c>
      <c r="D505" s="110">
        <f>IF($C505&lt;=Entradas!$E$124,"",Observaciones!H505)</f>
        <v>0.74129034159143758</v>
      </c>
      <c r="E505" s="110">
        <f>IF($C505&lt;=Entradas!$E$124,"",LíneaBase!L506)</f>
        <v>0.6757211429505714</v>
      </c>
      <c r="F505" s="79">
        <f>IF($C505&lt;=Entradas!$E$124,"",D505-E505)</f>
        <v>6.5569198640866189E-2</v>
      </c>
      <c r="G505" s="79">
        <f>IF($C505&lt;=Entradas!$E$124,"",D505-AVERAGE(D:D))</f>
        <v>-0.16480834060204064</v>
      </c>
      <c r="H505" s="79">
        <f>IF($C505&lt;=Entradas!$E$124,"",F505^2)</f>
        <v>4.299319810405368E-3</v>
      </c>
      <c r="I505" s="79">
        <f>IF($C505&lt;=Entradas!$E$124,"",G505^2)</f>
        <v>2.7161789131998237E-2</v>
      </c>
      <c r="J505" s="79">
        <f>IF($C505&lt;=Entradas!$E$124,"",E505-AVERAGE(E:E))</f>
        <v>-0.21985972084654648</v>
      </c>
      <c r="K505" s="79">
        <f>IF($C505&lt;=Entradas!$E$124,"",J505^2)</f>
        <v>4.8338296850721343E-2</v>
      </c>
      <c r="L505" s="79">
        <f>IF($C505&lt;=Entradas!$E$124,"",G505*J505)</f>
        <v>3.6234715757947206E-2</v>
      </c>
      <c r="M505" s="40"/>
    </row>
    <row r="506" spans="2:13">
      <c r="B506" s="39"/>
      <c r="C506" s="75">
        <v>501</v>
      </c>
      <c r="D506" s="110">
        <f>IF($C506&lt;=Entradas!$E$124,"",Observaciones!H506)</f>
        <v>0.73398620784927993</v>
      </c>
      <c r="E506" s="110">
        <f>IF($C506&lt;=Entradas!$E$124,"",LíneaBase!L507)</f>
        <v>0.66906307814019683</v>
      </c>
      <c r="F506" s="79">
        <f>IF($C506&lt;=Entradas!$E$124,"",D506-E506)</f>
        <v>6.4923129709083094E-2</v>
      </c>
      <c r="G506" s="79">
        <f>IF($C506&lt;=Entradas!$E$124,"",D506-AVERAGE(D:D))</f>
        <v>-0.1721124743441983</v>
      </c>
      <c r="H506" s="79">
        <f>IF($C506&lt;=Entradas!$E$124,"",F506^2)</f>
        <v>4.2150127712224277E-3</v>
      </c>
      <c r="I506" s="79">
        <f>IF($C506&lt;=Entradas!$E$124,"",G506^2)</f>
        <v>2.9622703824882315E-2</v>
      </c>
      <c r="J506" s="79">
        <f>IF($C506&lt;=Entradas!$E$124,"",E506-AVERAGE(E:E))</f>
        <v>-0.22651778565692104</v>
      </c>
      <c r="K506" s="79">
        <f>IF($C506&lt;=Entradas!$E$124,"",J506^2)</f>
        <v>5.1310307218914823E-2</v>
      </c>
      <c r="L506" s="79">
        <f>IF($C506&lt;=Entradas!$E$124,"",G506*J506)</f>
        <v>3.8986536572381429E-2</v>
      </c>
      <c r="M506" s="40"/>
    </row>
    <row r="507" spans="2:13">
      <c r="B507" s="39"/>
      <c r="C507" s="75">
        <v>502</v>
      </c>
      <c r="D507" s="110">
        <f>IF($C507&lt;=Entradas!$E$124,"",Observaciones!H507)</f>
        <v>0.7267540630310938</v>
      </c>
      <c r="E507" s="110">
        <f>IF($C507&lt;=Entradas!$E$124,"",LíneaBase!L508)</f>
        <v>0.66247063638255332</v>
      </c>
      <c r="F507" s="79">
        <f>IF($C507&lt;=Entradas!$E$124,"",D507-E507)</f>
        <v>6.4283426648540476E-2</v>
      </c>
      <c r="G507" s="79">
        <f>IF($C507&lt;=Entradas!$E$124,"",D507-AVERAGE(D:D))</f>
        <v>-0.17934461916238442</v>
      </c>
      <c r="H507" s="79">
        <f>IF($C507&lt;=Entradas!$E$124,"",F507^2)</f>
        <v>4.132358941678284E-3</v>
      </c>
      <c r="I507" s="79">
        <f>IF($C507&lt;=Entradas!$E$124,"",G507^2)</f>
        <v>3.2164492422500704E-2</v>
      </c>
      <c r="J507" s="79">
        <f>IF($C507&lt;=Entradas!$E$124,"",E507-AVERAGE(E:E))</f>
        <v>-0.23311022741456455</v>
      </c>
      <c r="K507" s="79">
        <f>IF($C507&lt;=Entradas!$E$124,"",J507^2)</f>
        <v>5.4340378125270004E-2</v>
      </c>
      <c r="L507" s="79">
        <f>IF($C507&lt;=Entradas!$E$124,"",G507*J507)</f>
        <v>4.1807064958521906E-2</v>
      </c>
      <c r="M507" s="40"/>
    </row>
    <row r="508" spans="2:13">
      <c r="B508" s="39"/>
      <c r="C508" s="75">
        <v>503</v>
      </c>
      <c r="D508" s="110">
        <f>IF($C508&lt;=Entradas!$E$124,"",Observaciones!H508)</f>
        <v>0.71959318150316576</v>
      </c>
      <c r="E508" s="110">
        <f>IF($C508&lt;=Entradas!$E$124,"",LíneaBase!L509)</f>
        <v>0.65594315476851861</v>
      </c>
      <c r="F508" s="79">
        <f>IF($C508&lt;=Entradas!$E$124,"",D508-E508)</f>
        <v>6.3650026734647147E-2</v>
      </c>
      <c r="G508" s="79">
        <f>IF($C508&lt;=Entradas!$E$124,"",D508-AVERAGE(D:D))</f>
        <v>-0.18650550069031246</v>
      </c>
      <c r="H508" s="79">
        <f>IF($C508&lt;=Entradas!$E$124,"",F508^2)</f>
        <v>4.0513259033212968E-3</v>
      </c>
      <c r="I508" s="79">
        <f>IF($C508&lt;=Entradas!$E$124,"",G508^2)</f>
        <v>3.4784301787744144E-2</v>
      </c>
      <c r="J508" s="79">
        <f>IF($C508&lt;=Entradas!$E$124,"",E508-AVERAGE(E:E))</f>
        <v>-0.23963770902859927</v>
      </c>
      <c r="K508" s="79">
        <f>IF($C508&lt;=Entradas!$E$124,"",J508^2)</f>
        <v>5.7426231588475603E-2</v>
      </c>
      <c r="L508" s="79">
        <f>IF($C508&lt;=Entradas!$E$124,"",G508*J508)</f>
        <v>4.4693750906658315E-2</v>
      </c>
      <c r="M508" s="40"/>
    </row>
    <row r="509" spans="2:13">
      <c r="B509" s="39"/>
      <c r="C509" s="75">
        <v>504</v>
      </c>
      <c r="D509" s="110">
        <f>IF($C509&lt;=Entradas!$E$124,"",Observaciones!H509)</f>
        <v>0.71250285838495209</v>
      </c>
      <c r="E509" s="110">
        <f>IF($C509&lt;=Entradas!$E$124,"",LíneaBase!L510)</f>
        <v>0.64947999052397776</v>
      </c>
      <c r="F509" s="79">
        <f>IF($C509&lt;=Entradas!$E$124,"",D509-E509)</f>
        <v>6.302286786097433E-2</v>
      </c>
      <c r="G509" s="79">
        <f>IF($C509&lt;=Entradas!$E$124,"",D509-AVERAGE(D:D))</f>
        <v>-0.19359582380852614</v>
      </c>
      <c r="H509" s="79">
        <f>IF($C509&lt;=Entradas!$E$124,"",F509^2)</f>
        <v>3.9718818734218314E-3</v>
      </c>
      <c r="I509" s="79">
        <f>IF($C509&lt;=Entradas!$E$124,"",G509^2)</f>
        <v>3.7479342996101894E-2</v>
      </c>
      <c r="J509" s="79">
        <f>IF($C509&lt;=Entradas!$E$124,"",E509-AVERAGE(E:E))</f>
        <v>-0.24610087327314012</v>
      </c>
      <c r="K509" s="79">
        <f>IF($C509&lt;=Entradas!$E$124,"",J509^2)</f>
        <v>6.0565639825802174E-2</v>
      </c>
      <c r="L509" s="79">
        <f>IF($C509&lt;=Entradas!$E$124,"",G509*J509)</f>
        <v>4.7644101301311255E-2</v>
      </c>
      <c r="M509" s="40"/>
    </row>
    <row r="510" spans="2:13">
      <c r="B510" s="39"/>
      <c r="C510" s="75">
        <v>505</v>
      </c>
      <c r="D510" s="110">
        <f>IF($C510&lt;=Entradas!$E$124,"",Observaciones!H510)</f>
        <v>0.70548239799855084</v>
      </c>
      <c r="E510" s="110">
        <f>IF($C510&lt;=Entradas!$E$124,"",LíneaBase!L511)</f>
        <v>0.64308050946548834</v>
      </c>
      <c r="F510" s="79">
        <f>IF($C510&lt;=Entradas!$E$124,"",D510-E510)</f>
        <v>6.2401888533062499E-2</v>
      </c>
      <c r="G510" s="79">
        <f>IF($C510&lt;=Entradas!$E$124,"",D510-AVERAGE(D:D))</f>
        <v>-0.20061628419492739</v>
      </c>
      <c r="H510" s="79">
        <f>IF($C510&lt;=Entradas!$E$124,"",F510^2)</f>
        <v>3.8939956924927571E-3</v>
      </c>
      <c r="I510" s="79">
        <f>IF($C510&lt;=Entradas!$E$124,"",G510^2)</f>
        <v>4.0246893484179869E-2</v>
      </c>
      <c r="J510" s="79">
        <f>IF($C510&lt;=Entradas!$E$124,"",E510-AVERAGE(E:E))</f>
        <v>-0.25250035433162954</v>
      </c>
      <c r="K510" s="79">
        <f>IF($C510&lt;=Entradas!$E$124,"",J510^2)</f>
        <v>6.3756428937598475E-2</v>
      </c>
      <c r="L510" s="79">
        <f>IF($C510&lt;=Entradas!$E$124,"",G510*J510)</f>
        <v>5.0655682843914057E-2</v>
      </c>
      <c r="M510" s="40"/>
    </row>
    <row r="511" spans="2:13">
      <c r="B511" s="39"/>
      <c r="C511" s="75">
        <v>506</v>
      </c>
      <c r="D511" s="110">
        <f>IF($C511&lt;=Entradas!$E$124,"",Observaciones!H511)</f>
        <v>0.69853111189530581</v>
      </c>
      <c r="E511" s="110">
        <f>IF($C511&lt;=Entradas!$E$124,"",LíneaBase!L512)</f>
        <v>0.63674408403293137</v>
      </c>
      <c r="F511" s="79">
        <f>IF($C511&lt;=Entradas!$E$124,"",D511-E511)</f>
        <v>6.1787027862374444E-2</v>
      </c>
      <c r="G511" s="79">
        <f>IF($C511&lt;=Entradas!$E$124,"",D511-AVERAGE(D:D))</f>
        <v>-0.20756757029817241</v>
      </c>
      <c r="H511" s="79">
        <f>IF($C511&lt;=Entradas!$E$124,"",F511^2)</f>
        <v>3.8176368120658357E-3</v>
      </c>
      <c r="I511" s="79">
        <f>IF($C511&lt;=Entradas!$E$124,"",G511^2)</f>
        <v>4.3084296239486744E-2</v>
      </c>
      <c r="J511" s="79">
        <f>IF($C511&lt;=Entradas!$E$124,"",E511-AVERAGE(E:E))</f>
        <v>-0.25883677976418651</v>
      </c>
      <c r="K511" s="79">
        <f>IF($C511&lt;=Entradas!$E$124,"",J511^2)</f>
        <v>6.6996478558693992E-2</v>
      </c>
      <c r="L511" s="79">
        <f>IF($C511&lt;=Entradas!$E$124,"",G511*J511)</f>
        <v>5.3726121479455352E-2</v>
      </c>
      <c r="M511" s="40"/>
    </row>
    <row r="512" spans="2:13">
      <c r="B512" s="39"/>
      <c r="C512" s="75">
        <v>507</v>
      </c>
      <c r="D512" s="110">
        <f>IF($C512&lt;=Entradas!$E$124,"",Observaciones!H512)</f>
        <v>0.69164831847216357</v>
      </c>
      <c r="E512" s="110">
        <f>IF($C512&lt;=Entradas!$E$124,"",LíneaBase!L513)</f>
        <v>0.63047009291184053</v>
      </c>
      <c r="F512" s="79">
        <f>IF($C512&lt;=Entradas!$E$124,"",D512-E512)</f>
        <v>6.1178225560323041E-2</v>
      </c>
      <c r="G512" s="79">
        <f>IF($C512&lt;=Entradas!$E$124,"",D512-AVERAGE(D:D))</f>
        <v>-0.21445036372131465</v>
      </c>
      <c r="H512" s="79">
        <f>IF($C512&lt;=Entradas!$E$124,"",F512^2)</f>
        <v>3.7427752827097634E-3</v>
      </c>
      <c r="I512" s="79">
        <f>IF($C512&lt;=Entradas!$E$124,"",G512^2)</f>
        <v>4.5988958500204145E-2</v>
      </c>
      <c r="J512" s="79">
        <f>IF($C512&lt;=Entradas!$E$124,"",E512-AVERAGE(E:E))</f>
        <v>-0.26511077088527735</v>
      </c>
      <c r="K512" s="79">
        <f>IF($C512&lt;=Entradas!$E$124,"",J512^2)</f>
        <v>7.0283720839386013E-2</v>
      </c>
      <c r="L512" s="79">
        <f>IF($C512&lt;=Entradas!$E$124,"",G512*J512)</f>
        <v>5.6853101242785843E-2</v>
      </c>
      <c r="M512" s="40"/>
    </row>
    <row r="513" spans="2:13">
      <c r="B513" s="39"/>
      <c r="C513" s="75">
        <v>508</v>
      </c>
      <c r="D513" s="110">
        <f>IF($C513&lt;=Entradas!$E$124,"",Observaciones!H513)</f>
        <v>0.68483334285238129</v>
      </c>
      <c r="E513" s="110">
        <f>IF($C513&lt;=Entradas!$E$124,"",LíneaBase!L514)</f>
        <v>0.62425792092002241</v>
      </c>
      <c r="F513" s="79">
        <f>IF($C513&lt;=Entradas!$E$124,"",D513-E513)</f>
        <v>6.0575421932358875E-2</v>
      </c>
      <c r="G513" s="79">
        <f>IF($C513&lt;=Entradas!$E$124,"",D513-AVERAGE(D:D))</f>
        <v>-0.22126533934109693</v>
      </c>
      <c r="H513" s="79">
        <f>IF($C513&lt;=Entradas!$E$124,"",F513^2)</f>
        <v>3.6693817422833045E-3</v>
      </c>
      <c r="I513" s="79">
        <f>IF($C513&lt;=Entradas!$E$124,"",G513^2)</f>
        <v>4.8958350393730782E-2</v>
      </c>
      <c r="J513" s="79">
        <f>IF($C513&lt;=Entradas!$E$124,"",E513-AVERAGE(E:E))</f>
        <v>-0.27132294287709546</v>
      </c>
      <c r="K513" s="79">
        <f>IF($C513&lt;=Entradas!$E$124,"",J513^2)</f>
        <v>7.3616139331487612E-2</v>
      </c>
      <c r="L513" s="79">
        <f>IF($C513&lt;=Entradas!$E$124,"",G513*J513)</f>
        <v>6.0034363026725587E-2</v>
      </c>
      <c r="M513" s="40"/>
    </row>
    <row r="514" spans="2:13">
      <c r="B514" s="39"/>
      <c r="C514" s="75">
        <v>509</v>
      </c>
      <c r="D514" s="110">
        <f>IF($C514&lt;=Entradas!$E$124,"",Observaciones!H514)</f>
        <v>0.67808551681064921</v>
      </c>
      <c r="E514" s="110">
        <f>IF($C514&lt;=Entradas!$E$124,"",LíneaBase!L515)</f>
        <v>0.61810695893853129</v>
      </c>
      <c r="F514" s="79">
        <f>IF($C514&lt;=Entradas!$E$124,"",D514-E514)</f>
        <v>5.9978557872117921E-2</v>
      </c>
      <c r="G514" s="79">
        <f>IF($C514&lt;=Entradas!$E$124,"",D514-AVERAGE(D:D))</f>
        <v>-0.22801316538282901</v>
      </c>
      <c r="H514" s="79">
        <f>IF($C514&lt;=Entradas!$E$124,"",F514^2)</f>
        <v>3.5974274044189986E-3</v>
      </c>
      <c r="I514" s="79">
        <f>IF($C514&lt;=Entradas!$E$124,"",G514^2)</f>
        <v>5.1990003587897335E-2</v>
      </c>
      <c r="J514" s="79">
        <f>IF($C514&lt;=Entradas!$E$124,"",E514-AVERAGE(E:E))</f>
        <v>-0.27747390485858658</v>
      </c>
      <c r="K514" s="79">
        <f>IF($C514&lt;=Entradas!$E$124,"",J514^2)</f>
        <v>7.6991767877471959E-2</v>
      </c>
      <c r="L514" s="79">
        <f>IF($C514&lt;=Entradas!$E$124,"",G514*J514)</f>
        <v>6.3267703357940269E-2</v>
      </c>
      <c r="M514" s="40"/>
    </row>
    <row r="515" spans="2:13">
      <c r="B515" s="39"/>
      <c r="C515" s="75">
        <v>510</v>
      </c>
      <c r="D515" s="110">
        <f>IF($C515&lt;=Entradas!$E$124,"",Observaciones!H515)</f>
        <v>0.67140417870612457</v>
      </c>
      <c r="E515" s="110">
        <f>IF($C515&lt;=Entradas!$E$124,"",LíneaBase!L516)</f>
        <v>0.61201660385050005</v>
      </c>
      <c r="F515" s="79">
        <f>IF($C515&lt;=Entradas!$E$124,"",D515-E515)</f>
        <v>5.9387574855624514E-2</v>
      </c>
      <c r="G515" s="79">
        <f>IF($C515&lt;=Entradas!$E$124,"",D515-AVERAGE(D:D))</f>
        <v>-0.23469450348735366</v>
      </c>
      <c r="H515" s="79">
        <f>IF($C515&lt;=Entradas!$E$124,"",F515^2)</f>
        <v>3.5268840472324051E-3</v>
      </c>
      <c r="I515" s="79">
        <f>IF($C515&lt;=Entradas!$E$124,"",G515^2)</f>
        <v>5.5081509967175458E-2</v>
      </c>
      <c r="J515" s="79">
        <f>IF($C515&lt;=Entradas!$E$124,"",E515-AVERAGE(E:E))</f>
        <v>-0.28356425994661782</v>
      </c>
      <c r="K515" s="79">
        <f>IF($C515&lt;=Entradas!$E$124,"",J515^2)</f>
        <v>8.040868951907304E-2</v>
      </c>
      <c r="L515" s="79">
        <f>IF($C515&lt;=Entradas!$E$124,"",G515*J515)</f>
        <v>6.6550973194930349E-2</v>
      </c>
      <c r="M515" s="40"/>
    </row>
    <row r="516" spans="2:13">
      <c r="B516" s="39"/>
      <c r="C516" s="75">
        <v>511</v>
      </c>
      <c r="D516" s="110">
        <f>IF($C516&lt;=Entradas!$E$124,"",Observaciones!H516)</f>
        <v>0.6647886734173164</v>
      </c>
      <c r="E516" s="110">
        <f>IF($C516&lt;=Entradas!$E$124,"",LíneaBase!L517)</f>
        <v>0.60598625848176269</v>
      </c>
      <c r="F516" s="79">
        <f>IF($C516&lt;=Entradas!$E$124,"",D516-E516)</f>
        <v>5.8802414935553715E-2</v>
      </c>
      <c r="G516" s="79">
        <f>IF($C516&lt;=Entradas!$E$124,"",D516-AVERAGE(D:D))</f>
        <v>-0.24131000877616182</v>
      </c>
      <c r="H516" s="79">
        <f>IF($C516&lt;=Entradas!$E$124,"",F516^2)</f>
        <v>3.4577240022530308E-3</v>
      </c>
      <c r="I516" s="79">
        <f>IF($C516&lt;=Entradas!$E$124,"",G516^2)</f>
        <v>5.8230520335551296E-2</v>
      </c>
      <c r="J516" s="79">
        <f>IF($C516&lt;=Entradas!$E$124,"",E516-AVERAGE(E:E))</f>
        <v>-0.28959460531535519</v>
      </c>
      <c r="K516" s="79">
        <f>IF($C516&lt;=Entradas!$E$124,"",J516^2)</f>
        <v>8.3865035427756349E-2</v>
      </c>
      <c r="L516" s="79">
        <f>IF($C516&lt;=Entradas!$E$124,"",G516*J516)</f>
        <v>6.9882076750177477E-2</v>
      </c>
      <c r="M516" s="40"/>
    </row>
    <row r="517" spans="2:13">
      <c r="B517" s="39"/>
      <c r="C517" s="75">
        <v>512</v>
      </c>
      <c r="D517" s="110">
        <f>IF($C517&lt;=Entradas!$E$124,"",Observaciones!H517)</f>
        <v>0.65823835227780969</v>
      </c>
      <c r="E517" s="110">
        <f>IF($C517&lt;=Entradas!$E$124,"",LíneaBase!L518)</f>
        <v>0.60001533154226006</v>
      </c>
      <c r="F517" s="79">
        <f>IF($C517&lt;=Entradas!$E$124,"",D517-E517)</f>
        <v>5.8223020735549635E-2</v>
      </c>
      <c r="G517" s="79">
        <f>IF($C517&lt;=Entradas!$E$124,"",D517-AVERAGE(D:D))</f>
        <v>-0.24786032991566853</v>
      </c>
      <c r="H517" s="79">
        <f>IF($C517&lt;=Entradas!$E$124,"",F517^2)</f>
        <v>3.3899201435722429E-3</v>
      </c>
      <c r="I517" s="79">
        <f>IF($C517&lt;=Entradas!$E$124,"",G517^2)</f>
        <v>6.1434743145904046E-2</v>
      </c>
      <c r="J517" s="79">
        <f>IF($C517&lt;=Entradas!$E$124,"",E517-AVERAGE(E:E))</f>
        <v>-0.29556553225485782</v>
      </c>
      <c r="K517" s="79">
        <f>IF($C517&lt;=Entradas!$E$124,"",J517^2)</f>
        <v>8.7358983857097394E-2</v>
      </c>
      <c r="L517" s="79">
        <f>IF($C517&lt;=Entradas!$E$124,"",G517*J517)</f>
        <v>7.3258970336389229E-2</v>
      </c>
      <c r="M517" s="40"/>
    </row>
    <row r="518" spans="2:13">
      <c r="B518" s="39"/>
      <c r="C518" s="75">
        <v>513</v>
      </c>
      <c r="D518" s="110">
        <f>IF($C518&lt;=Entradas!$E$124,"",Observaciones!H518)</f>
        <v>0.65175257301265566</v>
      </c>
      <c r="E518" s="110">
        <f>IF($C518&lt;=Entradas!$E$124,"",LíneaBase!L519)</f>
        <v>0.59410323756805639</v>
      </c>
      <c r="F518" s="79">
        <f>IF($C518&lt;=Entradas!$E$124,"",D518-E518)</f>
        <v>5.764933544459927E-2</v>
      </c>
      <c r="G518" s="79">
        <f>IF($C518&lt;=Entradas!$E$124,"",D518-AVERAGE(D:D))</f>
        <v>-0.25434610918082257</v>
      </c>
      <c r="H518" s="79">
        <f>IF($C518&lt;=Entradas!$E$124,"",F518^2)</f>
        <v>3.3234458772039297E-3</v>
      </c>
      <c r="I518" s="79">
        <f>IF($C518&lt;=Entradas!$E$124,"",G518^2)</f>
        <v>6.4691943255422907E-2</v>
      </c>
      <c r="J518" s="79">
        <f>IF($C518&lt;=Entradas!$E$124,"",E518-AVERAGE(E:E))</f>
        <v>-0.30147762622906149</v>
      </c>
      <c r="K518" s="79">
        <f>IF($C518&lt;=Entradas!$E$124,"",J518^2)</f>
        <v>9.0888759116709711E-2</v>
      </c>
      <c r="L518" s="79">
        <f>IF($C518&lt;=Entradas!$E$124,"",G518*J518)</f>
        <v>7.6679661236432092E-2</v>
      </c>
      <c r="M518" s="40"/>
    </row>
    <row r="519" spans="2:13">
      <c r="B519" s="39"/>
      <c r="C519" s="75">
        <v>514</v>
      </c>
      <c r="D519" s="110">
        <f>IF($C519&lt;=Entradas!$E$124,"",Observaciones!H519)</f>
        <v>0.64533069967539336</v>
      </c>
      <c r="E519" s="110">
        <f>IF($C519&lt;=Entradas!$E$124,"",LíneaBase!L520)</f>
        <v>0.58824939686393163</v>
      </c>
      <c r="F519" s="79">
        <f>IF($C519&lt;=Entradas!$E$124,"",D519-E519)</f>
        <v>5.7081302811461732E-2</v>
      </c>
      <c r="G519" s="79">
        <f>IF($C519&lt;=Entradas!$E$124,"",D519-AVERAGE(D:D))</f>
        <v>-0.26076798251808486</v>
      </c>
      <c r="H519" s="79">
        <f>IF($C519&lt;=Entradas!$E$124,"",F519^2)</f>
        <v>3.2582751306537891E-3</v>
      </c>
      <c r="I519" s="79">
        <f>IF($C519&lt;=Entradas!$E$124,"",G519^2)</f>
        <v>6.7999940706552214E-2</v>
      </c>
      <c r="J519" s="79">
        <f>IF($C519&lt;=Entradas!$E$124,"",E519-AVERAGE(E:E))</f>
        <v>-0.30733146693318625</v>
      </c>
      <c r="K519" s="79">
        <f>IF($C519&lt;=Entradas!$E$124,"",J519^2)</f>
        <v>9.4452630567304158E-2</v>
      </c>
      <c r="L519" s="79">
        <f>IF($C519&lt;=Entradas!$E$124,"",G519*J519)</f>
        <v>8.014220659649049E-2</v>
      </c>
      <c r="M519" s="40"/>
    </row>
    <row r="520" spans="2:13">
      <c r="B520" s="39"/>
      <c r="C520" s="75">
        <v>515</v>
      </c>
      <c r="D520" s="110">
        <f>IF($C520&lt;=Entradas!$E$124,"",Observaciones!H520)</f>
        <v>0.63897210258569426</v>
      </c>
      <c r="E520" s="110">
        <f>IF($C520&lt;=Entradas!$E$124,"",LíneaBase!L521)</f>
        <v>0.58245323544654093</v>
      </c>
      <c r="F520" s="79">
        <f>IF($C520&lt;=Entradas!$E$124,"",D520-E520)</f>
        <v>5.6518867139153328E-2</v>
      </c>
      <c r="G520" s="79">
        <f>IF($C520&lt;=Entradas!$E$124,"",D520-AVERAGE(D:D))</f>
        <v>-0.26712657960778396</v>
      </c>
      <c r="H520" s="79">
        <f>IF($C520&lt;=Entradas!$E$124,"",F520^2)</f>
        <v>3.1943823426932661E-3</v>
      </c>
      <c r="I520" s="79">
        <f>IF($C520&lt;=Entradas!$E$124,"",G520^2)</f>
        <v>7.1356609532953738E-2</v>
      </c>
      <c r="J520" s="79">
        <f>IF($C520&lt;=Entradas!$E$124,"",E520-AVERAGE(E:E))</f>
        <v>-0.31312762835057695</v>
      </c>
      <c r="K520" s="79">
        <f>IF($C520&lt;=Entradas!$E$124,"",J520^2)</f>
        <v>9.8048911636457042E-2</v>
      </c>
      <c r="L520" s="79">
        <f>IF($C520&lt;=Entradas!$E$124,"",G520*J520)</f>
        <v>8.364471234198699E-2</v>
      </c>
      <c r="M520" s="40"/>
    </row>
    <row r="521" spans="2:13">
      <c r="B521" s="39"/>
      <c r="C521" s="75">
        <v>516</v>
      </c>
      <c r="D521" s="110">
        <f>IF($C521&lt;=Entradas!$E$124,"",Observaciones!H521)</f>
        <v>0.63267615826761969</v>
      </c>
      <c r="E521" s="110">
        <f>IF($C521&lt;=Entradas!$E$124,"",LíneaBase!L522)</f>
        <v>0.57671418498813387</v>
      </c>
      <c r="F521" s="79">
        <f>IF($C521&lt;=Entradas!$E$124,"",D521-E521)</f>
        <v>5.5961973279485822E-2</v>
      </c>
      <c r="G521" s="79">
        <f>IF($C521&lt;=Entradas!$E$124,"",D521-AVERAGE(D:D))</f>
        <v>-0.27342252392585853</v>
      </c>
      <c r="H521" s="79">
        <f>IF($C521&lt;=Entradas!$E$124,"",F521^2)</f>
        <v>3.131742453333885E-3</v>
      </c>
      <c r="I521" s="79">
        <f>IF($C521&lt;=Entradas!$E$124,"",G521^2)</f>
        <v>7.4759876589986674E-2</v>
      </c>
      <c r="J521" s="79">
        <f>IF($C521&lt;=Entradas!$E$124,"",E521-AVERAGE(E:E))</f>
        <v>-0.31886667880898401</v>
      </c>
      <c r="K521" s="79">
        <f>IF($C521&lt;=Entradas!$E$124,"",J521^2)</f>
        <v>0.10167595885467177</v>
      </c>
      <c r="L521" s="79">
        <f>IF($C521&lt;=Entradas!$E$124,"",G521*J521)</f>
        <v>8.7185332115808478E-2</v>
      </c>
      <c r="M521" s="40"/>
    </row>
    <row r="522" spans="2:13">
      <c r="B522" s="39"/>
      <c r="C522" s="75">
        <v>517</v>
      </c>
      <c r="D522" s="110">
        <f>IF($C522&lt;=Entradas!$E$124,"",Observaciones!H522)</f>
        <v>0.62644224938848836</v>
      </c>
      <c r="E522" s="110">
        <f>IF($C522&lt;=Entradas!$E$124,"",LíneaBase!L523)</f>
        <v>0.57103168276082883</v>
      </c>
      <c r="F522" s="79">
        <f>IF($C522&lt;=Entradas!$E$124,"",D522-E522)</f>
        <v>5.541056662765953E-2</v>
      </c>
      <c r="G522" s="79">
        <f>IF($C522&lt;=Entradas!$E$124,"",D522-AVERAGE(D:D))</f>
        <v>-0.27965643280498986</v>
      </c>
      <c r="H522" s="79">
        <f>IF($C522&lt;=Entradas!$E$124,"",F522^2)</f>
        <v>3.070330893998296E-3</v>
      </c>
      <c r="I522" s="79">
        <f>IF($C522&lt;=Entradas!$E$124,"",G522^2)</f>
        <v>7.8207720409211812E-2</v>
      </c>
      <c r="J522" s="79">
        <f>IF($C522&lt;=Entradas!$E$124,"",E522-AVERAGE(E:E))</f>
        <v>-0.32454918103628905</v>
      </c>
      <c r="K522" s="79">
        <f>IF($C522&lt;=Entradas!$E$124,"",J522^2)</f>
        <v>0.10533217091132592</v>
      </c>
      <c r="L522" s="79">
        <f>IF($C522&lt;=Entradas!$E$124,"",G522*J522)</f>
        <v>9.0762266238389455E-2</v>
      </c>
      <c r="M522" s="40"/>
    </row>
    <row r="523" spans="2:13">
      <c r="B523" s="39"/>
      <c r="C523" s="75">
        <v>518</v>
      </c>
      <c r="D523" s="110">
        <f>IF($C523&lt;=Entradas!$E$124,"",Observaciones!H523)</f>
        <v>1.4767519172164114</v>
      </c>
      <c r="E523" s="110">
        <f>IF($C523&lt;=Entradas!$E$124,"",LíneaBase!L524)</f>
        <v>1.6739364300687929</v>
      </c>
      <c r="F523" s="79">
        <f>IF($C523&lt;=Entradas!$E$124,"",D523-E523)</f>
        <v>-0.19718451285238148</v>
      </c>
      <c r="G523" s="79">
        <f>IF($C523&lt;=Entradas!$E$124,"",D523-AVERAGE(D:D))</f>
        <v>0.57065323502293319</v>
      </c>
      <c r="H523" s="79">
        <f>IF($C523&lt;=Entradas!$E$124,"",F523^2)</f>
        <v>3.8881732108830995E-2</v>
      </c>
      <c r="I523" s="79">
        <f>IF($C523&lt;=Entradas!$E$124,"",G523^2)</f>
        <v>0.32564511464213902</v>
      </c>
      <c r="J523" s="79">
        <f>IF($C523&lt;=Entradas!$E$124,"",E523-AVERAGE(E:E))</f>
        <v>0.77835556627167501</v>
      </c>
      <c r="K523" s="79">
        <f>IF($C523&lt;=Entradas!$E$124,"",J523^2)</f>
        <v>0.60583738754609984</v>
      </c>
      <c r="L523" s="79">
        <f>IF($C523&lt;=Entradas!$E$124,"",G523*J523)</f>
        <v>0.44417112189103841</v>
      </c>
      <c r="M523" s="40"/>
    </row>
    <row r="524" spans="2:13">
      <c r="B524" s="39"/>
      <c r="C524" s="75">
        <v>519</v>
      </c>
      <c r="D524" s="110">
        <f>IF($C524&lt;=Entradas!$E$124,"",Observaciones!H524)</f>
        <v>0.94472018161146487</v>
      </c>
      <c r="E524" s="110">
        <f>IF($C524&lt;=Entradas!$E$124,"",LíneaBase!L525)</f>
        <v>0.87830113658068731</v>
      </c>
      <c r="F524" s="79">
        <f>IF($C524&lt;=Entradas!$E$124,"",D524-E524)</f>
        <v>6.6419045030777557E-2</v>
      </c>
      <c r="G524" s="79">
        <f>IF($C524&lt;=Entradas!$E$124,"",D524-AVERAGE(D:D))</f>
        <v>3.8621499417986649E-2</v>
      </c>
      <c r="H524" s="79">
        <f>IF($C524&lt;=Entradas!$E$124,"",F524^2)</f>
        <v>4.4114895428004567E-3</v>
      </c>
      <c r="I524" s="79">
        <f>IF($C524&lt;=Entradas!$E$124,"",G524^2)</f>
        <v>1.4916202172935431E-3</v>
      </c>
      <c r="J524" s="79">
        <f>IF($C524&lt;=Entradas!$E$124,"",E524-AVERAGE(E:E))</f>
        <v>-1.7279727216430563E-2</v>
      </c>
      <c r="K524" s="79">
        <f>IF($C524&lt;=Entradas!$E$124,"",J524^2)</f>
        <v>2.9858897267425111E-4</v>
      </c>
      <c r="L524" s="79">
        <f>IF($C524&lt;=Entradas!$E$124,"",G524*J524)</f>
        <v>-6.6736897463234109E-4</v>
      </c>
      <c r="M524" s="40"/>
    </row>
    <row r="525" spans="2:13">
      <c r="B525" s="39"/>
      <c r="C525" s="75">
        <v>520</v>
      </c>
      <c r="D525" s="110">
        <f>IF($C525&lt;=Entradas!$E$124,"",Observaciones!H525)</f>
        <v>0.88377610078853419</v>
      </c>
      <c r="E525" s="110">
        <f>IF($C525&lt;=Entradas!$E$124,"",LíneaBase!L526)</f>
        <v>0.81638993515393232</v>
      </c>
      <c r="F525" s="79">
        <f>IF($C525&lt;=Entradas!$E$124,"",D525-E525)</f>
        <v>6.7386165634601869E-2</v>
      </c>
      <c r="G525" s="79">
        <f>IF($C525&lt;=Entradas!$E$124,"",D525-AVERAGE(D:D))</f>
        <v>-2.2322581404944031E-2</v>
      </c>
      <c r="H525" s="79">
        <f>IF($C525&lt;=Entradas!$E$124,"",F525^2)</f>
        <v>4.5408953189339978E-3</v>
      </c>
      <c r="I525" s="79">
        <f>IF($C525&lt;=Entradas!$E$124,"",G525^2)</f>
        <v>4.9829764058035306E-4</v>
      </c>
      <c r="J525" s="79">
        <f>IF($C525&lt;=Entradas!$E$124,"",E525-AVERAGE(E:E))</f>
        <v>-7.9190928643185554E-2</v>
      </c>
      <c r="K525" s="79">
        <f>IF($C525&lt;=Entradas!$E$124,"",J525^2)</f>
        <v>6.2712031793701059E-3</v>
      </c>
      <c r="L525" s="79">
        <f>IF($C525&lt;=Entradas!$E$124,"",G525*J525)</f>
        <v>1.7677459511706234E-3</v>
      </c>
      <c r="M525" s="40"/>
    </row>
    <row r="526" spans="2:13">
      <c r="B526" s="39"/>
      <c r="C526" s="75">
        <v>521</v>
      </c>
      <c r="D526" s="110">
        <f>IF($C526&lt;=Entradas!$E$124,"",Observaciones!H526)</f>
        <v>0.82771851848180744</v>
      </c>
      <c r="E526" s="110">
        <f>IF($C526&lt;=Entradas!$E$124,"",LíneaBase!L527)</f>
        <v>0.75953267828622983</v>
      </c>
      <c r="F526" s="79">
        <f>IF($C526&lt;=Entradas!$E$124,"",D526-E526)</f>
        <v>6.8185840195577607E-2</v>
      </c>
      <c r="G526" s="79">
        <f>IF($C526&lt;=Entradas!$E$124,"",D526-AVERAGE(D:D))</f>
        <v>-7.8380163711670781E-2</v>
      </c>
      <c r="H526" s="79">
        <f>IF($C526&lt;=Entradas!$E$124,"",F526^2)</f>
        <v>4.6493088031768466E-3</v>
      </c>
      <c r="I526" s="79">
        <f>IF($C526&lt;=Entradas!$E$124,"",G526^2)</f>
        <v>6.143450063468313E-3</v>
      </c>
      <c r="J526" s="79">
        <f>IF($C526&lt;=Entradas!$E$124,"",E526-AVERAGE(E:E))</f>
        <v>-0.13604818551088804</v>
      </c>
      <c r="K526" s="79">
        <f>IF($C526&lt;=Entradas!$E$124,"",J526^2)</f>
        <v>1.8509108780805007E-2</v>
      </c>
      <c r="L526" s="79">
        <f>IF($C526&lt;=Entradas!$E$124,"",G526*J526)</f>
        <v>1.0663479053019162E-2</v>
      </c>
      <c r="M526" s="40"/>
    </row>
    <row r="527" spans="2:13">
      <c r="B527" s="39"/>
      <c r="C527" s="75">
        <v>522</v>
      </c>
      <c r="D527" s="110">
        <f>IF($C527&lt;=Entradas!$E$124,"",Observaciones!H527)</f>
        <v>0.77229829002998884</v>
      </c>
      <c r="E527" s="110">
        <f>IF($C527&lt;=Entradas!$E$124,"",LíneaBase!L528)</f>
        <v>0.70330483622559492</v>
      </c>
      <c r="F527" s="79">
        <f>IF($C527&lt;=Entradas!$E$124,"",D527-E527)</f>
        <v>6.8993453804393923E-2</v>
      </c>
      <c r="G527" s="79">
        <f>IF($C527&lt;=Entradas!$E$124,"",D527-AVERAGE(D:D))</f>
        <v>-0.13380039216348938</v>
      </c>
      <c r="H527" s="79">
        <f>IF($C527&lt;=Entradas!$E$124,"",F527^2)</f>
        <v>4.7600966678590382E-3</v>
      </c>
      <c r="I527" s="79">
        <f>IF($C527&lt;=Entradas!$E$124,"",G527^2)</f>
        <v>1.790254494310355E-2</v>
      </c>
      <c r="J527" s="79">
        <f>IF($C527&lt;=Entradas!$E$124,"",E527-AVERAGE(E:E))</f>
        <v>-0.19227602757152296</v>
      </c>
      <c r="K527" s="79">
        <f>IF($C527&lt;=Entradas!$E$124,"",J527^2)</f>
        <v>3.6970070778685055E-2</v>
      </c>
      <c r="L527" s="79">
        <f>IF($C527&lt;=Entradas!$E$124,"",G527*J527)</f>
        <v>2.5726607892707667E-2</v>
      </c>
      <c r="M527" s="40"/>
    </row>
    <row r="528" spans="2:13">
      <c r="B528" s="39"/>
      <c r="C528" s="75">
        <v>523</v>
      </c>
      <c r="D528" s="110">
        <f>IF($C528&lt;=Entradas!$E$124,"",Observaciones!H528)</f>
        <v>0.71974881770565036</v>
      </c>
      <c r="E528" s="110">
        <f>IF($C528&lt;=Entradas!$E$124,"",LíneaBase!L529)</f>
        <v>0.65003440266923551</v>
      </c>
      <c r="F528" s="79">
        <f>IF($C528&lt;=Entradas!$E$124,"",D528-E528)</f>
        <v>6.9714415036414845E-2</v>
      </c>
      <c r="G528" s="79">
        <f>IF($C528&lt;=Entradas!$E$124,"",D528-AVERAGE(D:D))</f>
        <v>-0.18634986448782787</v>
      </c>
      <c r="H528" s="79">
        <f>IF($C528&lt;=Entradas!$E$124,"",F528^2)</f>
        <v>4.8600996638695042E-3</v>
      </c>
      <c r="I528" s="79">
        <f>IF($C528&lt;=Entradas!$E$124,"",G528^2)</f>
        <v>3.472627199463181E-2</v>
      </c>
      <c r="J528" s="79">
        <f>IF($C528&lt;=Entradas!$E$124,"",E528-AVERAGE(E:E))</f>
        <v>-0.24554646112788237</v>
      </c>
      <c r="K528" s="79">
        <f>IF($C528&lt;=Entradas!$E$124,"",J528^2)</f>
        <v>6.0293064572426648E-2</v>
      </c>
      <c r="L528" s="79">
        <f>IF($C528&lt;=Entradas!$E$124,"",G528*J528)</f>
        <v>4.5757549756646573E-2</v>
      </c>
      <c r="M528" s="40"/>
    </row>
    <row r="529" spans="2:13">
      <c r="B529" s="39"/>
      <c r="C529" s="75">
        <v>524</v>
      </c>
      <c r="D529" s="110">
        <f>IF($C529&lt;=Entradas!$E$124,"",Observaciones!H529)</f>
        <v>0.6684789463114138</v>
      </c>
      <c r="E529" s="110">
        <f>IF($C529&lt;=Entradas!$E$124,"",LíneaBase!L530)</f>
        <v>0.5980645346594391</v>
      </c>
      <c r="F529" s="79">
        <f>IF($C529&lt;=Entradas!$E$124,"",D529-E529)</f>
        <v>7.0414411651974707E-2</v>
      </c>
      <c r="G529" s="79">
        <f>IF($C529&lt;=Entradas!$E$124,"",D529-AVERAGE(D:D))</f>
        <v>-0.23761973588206442</v>
      </c>
      <c r="H529" s="79">
        <f>IF($C529&lt;=Entradas!$E$124,"",F529^2)</f>
        <v>4.9581893682937514E-3</v>
      </c>
      <c r="I529" s="79">
        <f>IF($C529&lt;=Entradas!$E$124,"",G529^2)</f>
        <v>5.6463138880662053E-2</v>
      </c>
      <c r="J529" s="79">
        <f>IF($C529&lt;=Entradas!$E$124,"",E529-AVERAGE(E:E))</f>
        <v>-0.29751632913767878</v>
      </c>
      <c r="K529" s="79">
        <f>IF($C529&lt;=Entradas!$E$124,"",J529^2)</f>
        <v>8.8515966103559607E-2</v>
      </c>
      <c r="L529" s="79">
        <f>IF($C529&lt;=Entradas!$E$124,"",G529*J529)</f>
        <v>7.0695751550296573E-2</v>
      </c>
      <c r="M529" s="40"/>
    </row>
    <row r="530" spans="2:13">
      <c r="B530" s="39"/>
      <c r="C530" s="75">
        <v>525</v>
      </c>
      <c r="D530" s="110">
        <f>IF($C530&lt;=Entradas!$E$124,"",Observaciones!H530)</f>
        <v>0.67890355415465209</v>
      </c>
      <c r="E530" s="110">
        <f>IF($C530&lt;=Entradas!$E$124,"",LíneaBase!L531)</f>
        <v>0.60791771390593041</v>
      </c>
      <c r="F530" s="79">
        <f>IF($C530&lt;=Entradas!$E$124,"",D530-E530)</f>
        <v>7.0985840248721677E-2</v>
      </c>
      <c r="G530" s="79">
        <f>IF($C530&lt;=Entradas!$E$124,"",D530-AVERAGE(D:D))</f>
        <v>-0.22719512803882613</v>
      </c>
      <c r="H530" s="79">
        <f>IF($C530&lt;=Entradas!$E$124,"",F530^2)</f>
        <v>5.0389895158170347E-3</v>
      </c>
      <c r="I530" s="79">
        <f>IF($C530&lt;=Entradas!$E$124,"",G530^2)</f>
        <v>5.1617626204578604E-2</v>
      </c>
      <c r="J530" s="79">
        <f>IF($C530&lt;=Entradas!$E$124,"",E530-AVERAGE(E:E))</f>
        <v>-0.28766314989118746</v>
      </c>
      <c r="K530" s="79">
        <f>IF($C530&lt;=Entradas!$E$124,"",J530^2)</f>
        <v>8.2750087805319783E-2</v>
      </c>
      <c r="L530" s="79">
        <f>IF($C530&lt;=Entradas!$E$124,"",G530*J530)</f>
        <v>6.5355666171580368E-2</v>
      </c>
      <c r="M530" s="40"/>
    </row>
    <row r="531" spans="2:13">
      <c r="B531" s="39"/>
      <c r="C531" s="75">
        <v>526</v>
      </c>
      <c r="D531" s="110">
        <f>IF($C531&lt;=Entradas!$E$124,"",Observaciones!H531)</f>
        <v>0.67604261583468173</v>
      </c>
      <c r="E531" s="110">
        <f>IF($C531&lt;=Entradas!$E$124,"",LíneaBase!L532)</f>
        <v>0.60455282687312872</v>
      </c>
      <c r="F531" s="79">
        <f>IF($C531&lt;=Entradas!$E$124,"",D531-E531)</f>
        <v>7.1489788961553002E-2</v>
      </c>
      <c r="G531" s="79">
        <f>IF($C531&lt;=Entradas!$E$124,"",D531-AVERAGE(D:D))</f>
        <v>-0.2300560663587965</v>
      </c>
      <c r="H531" s="79">
        <f>IF($C531&lt;=Entradas!$E$124,"",F531^2)</f>
        <v>5.1107899257673856E-3</v>
      </c>
      <c r="I531" s="79">
        <f>IF($C531&lt;=Entradas!$E$124,"",G531^2)</f>
        <v>5.2925793668482976E-2</v>
      </c>
      <c r="J531" s="79">
        <f>IF($C531&lt;=Entradas!$E$124,"",E531-AVERAGE(E:E))</f>
        <v>-0.29102803692398915</v>
      </c>
      <c r="K531" s="79">
        <f>IF($C531&lt;=Entradas!$E$124,"",J531^2)</f>
        <v>8.4697318275830796E-2</v>
      </c>
      <c r="L531" s="79">
        <f>IF($C531&lt;=Entradas!$E$124,"",G531*J531)</f>
        <v>6.6952765374855519E-2</v>
      </c>
      <c r="M531" s="40"/>
    </row>
    <row r="532" spans="2:13">
      <c r="B532" s="39"/>
      <c r="C532" s="75">
        <v>527</v>
      </c>
      <c r="D532" s="110">
        <f>IF($C532&lt;=Entradas!$E$124,"",Observaciones!H532)</f>
        <v>0.63767204069798034</v>
      </c>
      <c r="E532" s="110">
        <f>IF($C532&lt;=Entradas!$E$124,"",LíneaBase!L533)</f>
        <v>0.56564608147854056</v>
      </c>
      <c r="F532" s="79">
        <f>IF($C532&lt;=Entradas!$E$124,"",D532-E532)</f>
        <v>7.2025959219439772E-2</v>
      </c>
      <c r="G532" s="79">
        <f>IF($C532&lt;=Entradas!$E$124,"",D532-AVERAGE(D:D))</f>
        <v>-0.26842664149549789</v>
      </c>
      <c r="H532" s="79">
        <f>IF($C532&lt;=Entradas!$E$124,"",F532^2)</f>
        <v>5.187738801480401E-3</v>
      </c>
      <c r="I532" s="79">
        <f>IF($C532&lt;=Entradas!$E$124,"",G532^2)</f>
        <v>7.205286186455255E-2</v>
      </c>
      <c r="J532" s="79">
        <f>IF($C532&lt;=Entradas!$E$124,"",E532-AVERAGE(E:E))</f>
        <v>-0.32993478231857731</v>
      </c>
      <c r="K532" s="79">
        <f>IF($C532&lt;=Entradas!$E$124,"",J532^2)</f>
        <v>0.108856960583607</v>
      </c>
      <c r="L532" s="79">
        <f>IF($C532&lt;=Entradas!$E$124,"",G532*J532)</f>
        <v>8.8563285530323888E-2</v>
      </c>
      <c r="M532" s="40"/>
    </row>
    <row r="533" spans="2:13">
      <c r="B533" s="39"/>
      <c r="C533" s="75">
        <v>528</v>
      </c>
      <c r="D533" s="110">
        <f>IF($C533&lt;=Entradas!$E$124,"",Observaciones!H533)</f>
        <v>0.58867937610803378</v>
      </c>
      <c r="E533" s="110">
        <f>IF($C533&lt;=Entradas!$E$124,"",LíneaBase!L534)</f>
        <v>0.52014032176490776</v>
      </c>
      <c r="F533" s="79">
        <f>IF($C533&lt;=Entradas!$E$124,"",D533-E533)</f>
        <v>6.8539054343126016E-2</v>
      </c>
      <c r="G533" s="79">
        <f>IF($C533&lt;=Entradas!$E$124,"",D533-AVERAGE(D:D))</f>
        <v>-0.31741930608544444</v>
      </c>
      <c r="H533" s="79">
        <f>IF($C533&lt;=Entradas!$E$124,"",F533^2)</f>
        <v>4.6976019702499811E-3</v>
      </c>
      <c r="I533" s="79">
        <f>IF($C533&lt;=Entradas!$E$124,"",G533^2)</f>
        <v>0.10075501587576506</v>
      </c>
      <c r="J533" s="79">
        <f>IF($C533&lt;=Entradas!$E$124,"",E533-AVERAGE(E:E))</f>
        <v>-0.37544054203221011</v>
      </c>
      <c r="K533" s="79">
        <f>IF($C533&lt;=Entradas!$E$124,"",J533^2)</f>
        <v>0.14095560060143972</v>
      </c>
      <c r="L533" s="79">
        <f>IF($C533&lt;=Entradas!$E$124,"",G533*J533)</f>
        <v>0.11917207632820727</v>
      </c>
      <c r="M533" s="40"/>
    </row>
    <row r="534" spans="2:13">
      <c r="B534" s="39"/>
      <c r="C534" s="75">
        <v>529</v>
      </c>
      <c r="D534" s="110">
        <f>IF($C534&lt;=Entradas!$E$124,"",Observaciones!H534)</f>
        <v>0.56071894970316749</v>
      </c>
      <c r="E534" s="110">
        <f>IF($C534&lt;=Entradas!$E$124,"",LíneaBase!L535)</f>
        <v>0.50838903367185417</v>
      </c>
      <c r="F534" s="79">
        <f>IF($C534&lt;=Entradas!$E$124,"",D534-E534)</f>
        <v>5.2329916031313317E-2</v>
      </c>
      <c r="G534" s="79">
        <f>IF($C534&lt;=Entradas!$E$124,"",D534-AVERAGE(D:D))</f>
        <v>-0.34537973249031073</v>
      </c>
      <c r="H534" s="79">
        <f>IF($C534&lt;=Entradas!$E$124,"",F534^2)</f>
        <v>2.7384201118443026E-3</v>
      </c>
      <c r="I534" s="79">
        <f>IF($C534&lt;=Entradas!$E$124,"",G534^2)</f>
        <v>0.1192871596150786</v>
      </c>
      <c r="J534" s="79">
        <f>IF($C534&lt;=Entradas!$E$124,"",E534-AVERAGE(E:E))</f>
        <v>-0.3871918301252637</v>
      </c>
      <c r="K534" s="79">
        <f>IF($C534&lt;=Entradas!$E$124,"",J534^2)</f>
        <v>0.14991751331575107</v>
      </c>
      <c r="L534" s="79">
        <f>IF($C534&lt;=Entradas!$E$124,"",G534*J534)</f>
        <v>0.13372821071109742</v>
      </c>
      <c r="M534" s="40"/>
    </row>
    <row r="535" spans="2:13">
      <c r="B535" s="39"/>
      <c r="C535" s="75">
        <v>530</v>
      </c>
      <c r="D535" s="110">
        <f>IF($C535&lt;=Entradas!$E$124,"",Observaciones!H535)</f>
        <v>0.551516898593992</v>
      </c>
      <c r="E535" s="110">
        <f>IF($C535&lt;=Entradas!$E$124,"",LíneaBase!L536)</f>
        <v>0.50228022454482746</v>
      </c>
      <c r="F535" s="79">
        <f>IF($C535&lt;=Entradas!$E$124,"",D535-E535)</f>
        <v>4.9236674049164542E-2</v>
      </c>
      <c r="G535" s="79">
        <f>IF($C535&lt;=Entradas!$E$124,"",D535-AVERAGE(D:D))</f>
        <v>-0.35458178359948622</v>
      </c>
      <c r="H535" s="79">
        <f>IF($C535&lt;=Entradas!$E$124,"",F535^2)</f>
        <v>2.4242500714236732E-3</v>
      </c>
      <c r="I535" s="79">
        <f>IF($C535&lt;=Entradas!$E$124,"",G535^2)</f>
        <v>0.12572824126059287</v>
      </c>
      <c r="J535" s="79">
        <f>IF($C535&lt;=Entradas!$E$124,"",E535-AVERAGE(E:E))</f>
        <v>-0.39330063925229042</v>
      </c>
      <c r="K535" s="79">
        <f>IF($C535&lt;=Entradas!$E$124,"",J535^2)</f>
        <v>0.15468539283626029</v>
      </c>
      <c r="L535" s="79">
        <f>IF($C535&lt;=Entradas!$E$124,"",G535*J535)</f>
        <v>0.13945724215689523</v>
      </c>
      <c r="M535" s="40"/>
    </row>
    <row r="536" spans="2:13">
      <c r="B536" s="39"/>
      <c r="C536" s="75">
        <v>531</v>
      </c>
      <c r="D536" s="110">
        <f>IF($C536&lt;=Entradas!$E$124,"",Observaciones!H536)</f>
        <v>0.54547249783773333</v>
      </c>
      <c r="E536" s="110">
        <f>IF($C536&lt;=Entradas!$E$124,"",LíneaBase!L537)</f>
        <v>0.49714868573922794</v>
      </c>
      <c r="F536" s="79">
        <f>IF($C536&lt;=Entradas!$E$124,"",D536-E536)</f>
        <v>4.8323812098505392E-2</v>
      </c>
      <c r="G536" s="79">
        <f>IF($C536&lt;=Entradas!$E$124,"",D536-AVERAGE(D:D))</f>
        <v>-0.36062618435574489</v>
      </c>
      <c r="H536" s="79">
        <f>IF($C536&lt;=Entradas!$E$124,"",F536^2)</f>
        <v>2.3351908157316563E-3</v>
      </c>
      <c r="I536" s="79">
        <f>IF($C536&lt;=Entradas!$E$124,"",G536^2)</f>
        <v>0.13005124484298369</v>
      </c>
      <c r="J536" s="79">
        <f>IF($C536&lt;=Entradas!$E$124,"",E536-AVERAGE(E:E))</f>
        <v>-0.39843217805788994</v>
      </c>
      <c r="K536" s="79">
        <f>IF($C536&lt;=Entradas!$E$124,"",J536^2)</f>
        <v>0.15874820051195412</v>
      </c>
      <c r="L536" s="79">
        <f>IF($C536&lt;=Entradas!$E$124,"",G536*J536)</f>
        <v>0.14368507609756559</v>
      </c>
      <c r="M536" s="40"/>
    </row>
    <row r="537" spans="2:13">
      <c r="B537" s="39"/>
      <c r="C537" s="75">
        <v>532</v>
      </c>
      <c r="D537" s="110">
        <f>IF($C537&lt;=Entradas!$E$124,"",Observaciones!H537)</f>
        <v>0.53999657746221608</v>
      </c>
      <c r="E537" s="110">
        <f>IF($C537&lt;=Entradas!$E$124,"",LíneaBase!L538)</f>
        <v>0.49221988589216153</v>
      </c>
      <c r="F537" s="79">
        <f>IF($C537&lt;=Entradas!$E$124,"",D537-E537)</f>
        <v>4.7776691570054541E-2</v>
      </c>
      <c r="G537" s="79">
        <f>IF($C537&lt;=Entradas!$E$124,"",D537-AVERAGE(D:D))</f>
        <v>-0.36610210473126215</v>
      </c>
      <c r="H537" s="79">
        <f>IF($C537&lt;=Entradas!$E$124,"",F537^2)</f>
        <v>2.2826122573801205E-3</v>
      </c>
      <c r="I537" s="79">
        <f>IF($C537&lt;=Entradas!$E$124,"",G537^2)</f>
        <v>0.13403075108866003</v>
      </c>
      <c r="J537" s="79">
        <f>IF($C537&lt;=Entradas!$E$124,"",E537-AVERAGE(E:E))</f>
        <v>-0.40336097790495634</v>
      </c>
      <c r="K537" s="79">
        <f>IF($C537&lt;=Entradas!$E$124,"",J537^2)</f>
        <v>0.16270007849644269</v>
      </c>
      <c r="L537" s="79">
        <f>IF($C537&lt;=Entradas!$E$124,"",G537*J537)</f>
        <v>0.14767130297746464</v>
      </c>
      <c r="M537" s="40"/>
    </row>
    <row r="538" spans="2:13">
      <c r="B538" s="39"/>
      <c r="C538" s="75">
        <v>533</v>
      </c>
      <c r="D538" s="110">
        <f>IF($C538&lt;=Entradas!$E$124,"",Observaciones!H538)</f>
        <v>0.53465906152514808</v>
      </c>
      <c r="E538" s="110">
        <f>IF($C538&lt;=Entradas!$E$124,"",LíneaBase!L539)</f>
        <v>0.48736490232430157</v>
      </c>
      <c r="F538" s="79">
        <f>IF($C538&lt;=Entradas!$E$124,"",D538-E538)</f>
        <v>4.7294159200846508E-2</v>
      </c>
      <c r="G538" s="79">
        <f>IF($C538&lt;=Entradas!$E$124,"",D538-AVERAGE(D:D))</f>
        <v>-0.37143962066833014</v>
      </c>
      <c r="H538" s="79">
        <f>IF($C538&lt;=Entradas!$E$124,"",F538^2)</f>
        <v>2.2367374945150144E-3</v>
      </c>
      <c r="I538" s="79">
        <f>IF($C538&lt;=Entradas!$E$124,"",G538^2)</f>
        <v>0.137967391802233</v>
      </c>
      <c r="J538" s="79">
        <f>IF($C538&lt;=Entradas!$E$124,"",E538-AVERAGE(E:E))</f>
        <v>-0.4082159614728163</v>
      </c>
      <c r="K538" s="79">
        <f>IF($C538&lt;=Entradas!$E$124,"",J538^2)</f>
        <v>0.16664027120117583</v>
      </c>
      <c r="L538" s="79">
        <f>IF($C538&lt;=Entradas!$E$124,"",G538*J538)</f>
        <v>0.15162758188022055</v>
      </c>
      <c r="M538" s="40"/>
    </row>
    <row r="539" spans="2:13">
      <c r="B539" s="39"/>
      <c r="C539" s="75">
        <v>534</v>
      </c>
      <c r="D539" s="110">
        <f>IF($C539&lt;=Entradas!$E$124,"",Observaciones!H539)</f>
        <v>0.52938815054281418</v>
      </c>
      <c r="E539" s="110">
        <f>IF($C539&lt;=Entradas!$E$124,"",LíneaBase!L540)</f>
        <v>0.48256194623040416</v>
      </c>
      <c r="F539" s="79">
        <f>IF($C539&lt;=Entradas!$E$124,"",D539-E539)</f>
        <v>4.6826204312410025E-2</v>
      </c>
      <c r="G539" s="79">
        <f>IF($C539&lt;=Entradas!$E$124,"",D539-AVERAGE(D:D))</f>
        <v>-0.37671053165066404</v>
      </c>
      <c r="H539" s="79">
        <f>IF($C539&lt;=Entradas!$E$124,"",F539^2)</f>
        <v>2.1926934103075673E-3</v>
      </c>
      <c r="I539" s="79">
        <f>IF($C539&lt;=Entradas!$E$124,"",G539^2)</f>
        <v>0.14191082465652596</v>
      </c>
      <c r="J539" s="79">
        <f>IF($C539&lt;=Entradas!$E$124,"",E539-AVERAGE(E:E))</f>
        <v>-0.41301891756671372</v>
      </c>
      <c r="K539" s="79">
        <f>IF($C539&lt;=Entradas!$E$124,"",J539^2)</f>
        <v>0.17058462626797985</v>
      </c>
      <c r="L539" s="79">
        <f>IF($C539&lt;=Entradas!$E$124,"",G539*J539)</f>
        <v>0.1555885760183385</v>
      </c>
      <c r="M539" s="40"/>
    </row>
    <row r="540" spans="2:13">
      <c r="B540" s="39"/>
      <c r="C540" s="75">
        <v>535</v>
      </c>
      <c r="D540" s="110">
        <f>IF($C540&lt;=Entradas!$E$124,"",Observaciones!H540)</f>
        <v>0.52417150039064964</v>
      </c>
      <c r="E540" s="110">
        <f>IF($C540&lt;=Entradas!$E$124,"",LíneaBase!L541)</f>
        <v>0.47780701010738991</v>
      </c>
      <c r="F540" s="79">
        <f>IF($C540&lt;=Entradas!$E$124,"",D540-E540)</f>
        <v>4.6364490283259729E-2</v>
      </c>
      <c r="G540" s="79">
        <f>IF($C540&lt;=Entradas!$E$124,"",D540-AVERAGE(D:D))</f>
        <v>-0.38192718180282859</v>
      </c>
      <c r="H540" s="79">
        <f>IF($C540&lt;=Entradas!$E$124,"",F540^2)</f>
        <v>2.1496659592264858E-3</v>
      </c>
      <c r="I540" s="79">
        <f>IF($C540&lt;=Entradas!$E$124,"",G540^2)</f>
        <v>0.14586837219985088</v>
      </c>
      <c r="J540" s="79">
        <f>IF($C540&lt;=Entradas!$E$124,"",E540-AVERAGE(E:E))</f>
        <v>-0.41777385368972797</v>
      </c>
      <c r="K540" s="79">
        <f>IF($C540&lt;=Entradas!$E$124,"",J540^2)</f>
        <v>0.17453499282676624</v>
      </c>
      <c r="L540" s="79">
        <f>IF($C540&lt;=Entradas!$E$124,"",G540*J540)</f>
        <v>0.15955919057062504</v>
      </c>
      <c r="M540" s="40"/>
    </row>
    <row r="541" spans="2:13">
      <c r="B541" s="39"/>
      <c r="C541" s="75">
        <v>536</v>
      </c>
      <c r="D541" s="110">
        <f>IF($C541&lt;=Entradas!$E$124,"",Observaciones!H541)</f>
        <v>0.5190066369848354</v>
      </c>
      <c r="E541" s="110">
        <f>IF($C541&lt;=Entradas!$E$124,"",LíneaBase!L542)</f>
        <v>0.47309904087814819</v>
      </c>
      <c r="F541" s="79">
        <f>IF($C541&lt;=Entradas!$E$124,"",D541-E541)</f>
        <v>4.590759610668721E-2</v>
      </c>
      <c r="G541" s="79">
        <f>IF($C541&lt;=Entradas!$E$124,"",D541-AVERAGE(D:D))</f>
        <v>-0.38709204520864282</v>
      </c>
      <c r="H541" s="79">
        <f>IF($C541&lt;=Entradas!$E$124,"",F541^2)</f>
        <v>2.1075073802947226E-3</v>
      </c>
      <c r="I541" s="79">
        <f>IF($C541&lt;=Entradas!$E$124,"",G541^2)</f>
        <v>0.14984025146380997</v>
      </c>
      <c r="J541" s="79">
        <f>IF($C541&lt;=Entradas!$E$124,"",E541-AVERAGE(E:E))</f>
        <v>-0.42248182291896968</v>
      </c>
      <c r="K541" s="79">
        <f>IF($C541&lt;=Entradas!$E$124,"",J541^2)</f>
        <v>0.17849089069693566</v>
      </c>
      <c r="L541" s="79">
        <f>IF($C541&lt;=Entradas!$E$124,"",G541*J541)</f>
        <v>0.16353935289717964</v>
      </c>
      <c r="M541" s="40"/>
    </row>
    <row r="542" spans="2:13">
      <c r="B542" s="39"/>
      <c r="C542" s="75">
        <v>537</v>
      </c>
      <c r="D542" s="110">
        <f>IF($C542&lt;=Entradas!$E$124,"",Observaciones!H542)</f>
        <v>0.51389272823484788</v>
      </c>
      <c r="E542" s="110">
        <f>IF($C542&lt;=Entradas!$E$124,"",LíneaBase!L543)</f>
        <v>0.46843747953607906</v>
      </c>
      <c r="F542" s="79">
        <f>IF($C542&lt;=Entradas!$E$124,"",D542-E542)</f>
        <v>4.5455248698768824E-2</v>
      </c>
      <c r="G542" s="79">
        <f>IF($C542&lt;=Entradas!$E$124,"",D542-AVERAGE(D:D))</f>
        <v>-0.39220595395863034</v>
      </c>
      <c r="H542" s="79">
        <f>IF($C542&lt;=Entradas!$E$124,"",F542^2)</f>
        <v>2.066179634266925E-3</v>
      </c>
      <c r="I542" s="79">
        <f>IF($C542&lt;=Entradas!$E$124,"",G542^2)</f>
        <v>0.15382551032059927</v>
      </c>
      <c r="J542" s="79">
        <f>IF($C542&lt;=Entradas!$E$124,"",E542-AVERAGE(E:E))</f>
        <v>-0.42714338426103882</v>
      </c>
      <c r="K542" s="79">
        <f>IF($C542&lt;=Entradas!$E$124,"",J542^2)</f>
        <v>0.18245147071797346</v>
      </c>
      <c r="L542" s="79">
        <f>IF($C542&lt;=Entradas!$E$124,"",G542*J542)</f>
        <v>0.16752817850121854</v>
      </c>
      <c r="M542" s="40"/>
    </row>
    <row r="543" spans="2:13">
      <c r="B543" s="39"/>
      <c r="C543" s="75">
        <v>538</v>
      </c>
      <c r="D543" s="110">
        <f>IF($C543&lt;=Entradas!$E$124,"",Observaciones!H543)</f>
        <v>0.50882921867013697</v>
      </c>
      <c r="E543" s="110">
        <f>IF($C543&lt;=Entradas!$E$124,"",LíneaBase!L544)</f>
        <v>0.46382185284506278</v>
      </c>
      <c r="F543" s="79">
        <f>IF($C543&lt;=Entradas!$E$124,"",D543-E543)</f>
        <v>4.5007365825074197E-2</v>
      </c>
      <c r="G543" s="79">
        <f>IF($C543&lt;=Entradas!$E$124,"",D543-AVERAGE(D:D))</f>
        <v>-0.39726946352334125</v>
      </c>
      <c r="H543" s="79">
        <f>IF($C543&lt;=Entradas!$E$124,"",F543^2)</f>
        <v>2.0256629785120567E-3</v>
      </c>
      <c r="I543" s="79">
        <f>IF($C543&lt;=Entradas!$E$124,"",G543^2)</f>
        <v>0.15782302664812337</v>
      </c>
      <c r="J543" s="79">
        <f>IF($C543&lt;=Entradas!$E$124,"",E543-AVERAGE(E:E))</f>
        <v>-0.4317590109520551</v>
      </c>
      <c r="K543" s="79">
        <f>IF($C543&lt;=Entradas!$E$124,"",J543^2)</f>
        <v>0.18641584353829685</v>
      </c>
      <c r="L543" s="79">
        <f>IF($C543&lt;=Entradas!$E$124,"",G543*J543)</f>
        <v>0.17152467065229135</v>
      </c>
      <c r="M543" s="40"/>
    </row>
    <row r="544" spans="2:13">
      <c r="B544" s="39"/>
      <c r="C544" s="75">
        <v>539</v>
      </c>
      <c r="D544" s="110">
        <f>IF($C544&lt;=Entradas!$E$124,"",Observaciones!H544)</f>
        <v>0.5038156028341626</v>
      </c>
      <c r="E544" s="110">
        <f>IF($C544&lt;=Entradas!$E$124,"",LíneaBase!L545)</f>
        <v>0.45925170555034489</v>
      </c>
      <c r="F544" s="79">
        <f>IF($C544&lt;=Entradas!$E$124,"",D544-E544)</f>
        <v>4.4563897283817711E-2</v>
      </c>
      <c r="G544" s="79">
        <f>IF($C544&lt;=Entradas!$E$124,"",D544-AVERAGE(D:D))</f>
        <v>-0.40228307935931562</v>
      </c>
      <c r="H544" s="79">
        <f>IF($C544&lt;=Entradas!$E$124,"",F544^2)</f>
        <v>1.9859409411226553E-3</v>
      </c>
      <c r="I544" s="79">
        <f>IF($C544&lt;=Entradas!$E$124,"",G544^2)</f>
        <v>0.16183167593881342</v>
      </c>
      <c r="J544" s="79">
        <f>IF($C544&lt;=Entradas!$E$124,"",E544-AVERAGE(E:E))</f>
        <v>-0.43632915824677299</v>
      </c>
      <c r="K544" s="79">
        <f>IF($C544&lt;=Entradas!$E$124,"",J544^2)</f>
        <v>0.19038313433633747</v>
      </c>
      <c r="L544" s="79">
        <f>IF($C544&lt;=Entradas!$E$124,"",G544*J544)</f>
        <v>0.17552783739376995</v>
      </c>
      <c r="M544" s="40"/>
    </row>
    <row r="545" spans="2:13">
      <c r="B545" s="39"/>
      <c r="C545" s="75">
        <v>540</v>
      </c>
      <c r="D545" s="110">
        <f>IF($C545&lt;=Entradas!$E$124,"",Observaciones!H545)</f>
        <v>0.49885138764170955</v>
      </c>
      <c r="E545" s="110">
        <f>IF($C545&lt;=Entradas!$E$124,"",LíneaBase!L546)</f>
        <v>0.45472658909292052</v>
      </c>
      <c r="F545" s="79">
        <f>IF($C545&lt;=Entradas!$E$124,"",D545-E545)</f>
        <v>4.4124798548789035E-2</v>
      </c>
      <c r="G545" s="79">
        <f>IF($C545&lt;=Entradas!$E$124,"",D545-AVERAGE(D:D))</f>
        <v>-0.40724729455176867</v>
      </c>
      <c r="H545" s="79">
        <f>IF($C545&lt;=Entradas!$E$124,"",F545^2)</f>
        <v>1.946997846971215E-3</v>
      </c>
      <c r="I545" s="79">
        <f>IF($C545&lt;=Entradas!$E$124,"",G545^2)</f>
        <v>0.16585035891973504</v>
      </c>
      <c r="J545" s="79">
        <f>IF($C545&lt;=Entradas!$E$124,"",E545-AVERAGE(E:E))</f>
        <v>-0.44085427470419736</v>
      </c>
      <c r="K545" s="79">
        <f>IF($C545&lt;=Entradas!$E$124,"",J545^2)</f>
        <v>0.19435249152496389</v>
      </c>
      <c r="L545" s="79">
        <f>IF($C545&lt;=Entradas!$E$124,"",G545*J545)</f>
        <v>0.17953671066486659</v>
      </c>
      <c r="M545" s="40"/>
    </row>
    <row r="546" spans="2:13">
      <c r="B546" s="39"/>
      <c r="C546" s="75">
        <v>541</v>
      </c>
      <c r="D546" s="110">
        <f>IF($C546&lt;=Entradas!$E$124,"",Observaciones!H546)</f>
        <v>0.49393608609247464</v>
      </c>
      <c r="E546" s="110">
        <f>IF($C546&lt;=Entradas!$E$124,"",LíneaBase!L547)</f>
        <v>0.45024605970026482</v>
      </c>
      <c r="F546" s="79">
        <f>IF($C546&lt;=Entradas!$E$124,"",D546-E546)</f>
        <v>4.3690026392209813E-2</v>
      </c>
      <c r="G546" s="79">
        <f>IF($C546&lt;=Entradas!$E$124,"",D546-AVERAGE(D:D))</f>
        <v>-0.41216259610100359</v>
      </c>
      <c r="H546" s="79">
        <f>IF($C546&lt;=Entradas!$E$124,"",F546^2)</f>
        <v>1.9088184061519899E-3</v>
      </c>
      <c r="I546" s="79">
        <f>IF($C546&lt;=Entradas!$E$124,"",G546^2)</f>
        <v>0.16987800562471903</v>
      </c>
      <c r="J546" s="79">
        <f>IF($C546&lt;=Entradas!$E$124,"",E546-AVERAGE(E:E))</f>
        <v>-0.44533480409685305</v>
      </c>
      <c r="K546" s="79">
        <f>IF($C546&lt;=Entradas!$E$124,"",J546^2)</f>
        <v>0.1983230877399825</v>
      </c>
      <c r="L546" s="79">
        <f>IF($C546&lt;=Entradas!$E$124,"",G546*J546)</f>
        <v>0.18355034899069081</v>
      </c>
      <c r="M546" s="40"/>
    </row>
    <row r="547" spans="2:13">
      <c r="B547" s="39"/>
      <c r="C547" s="75">
        <v>542</v>
      </c>
      <c r="D547" s="110">
        <f>IF($C547&lt;=Entradas!$E$124,"",Observaciones!H547)</f>
        <v>0.48906921618819305</v>
      </c>
      <c r="E547" s="110">
        <f>IF($C547&lt;=Entradas!$E$124,"",LíneaBase!L548)</f>
        <v>0.44580967803330263</v>
      </c>
      <c r="F547" s="79">
        <f>IF($C547&lt;=Entradas!$E$124,"",D547-E547)</f>
        <v>4.325953815489042E-2</v>
      </c>
      <c r="G547" s="79">
        <f>IF($C547&lt;=Entradas!$E$124,"",D547-AVERAGE(D:D))</f>
        <v>-0.41702946600528518</v>
      </c>
      <c r="H547" s="79">
        <f>IF($C547&lt;=Entradas!$E$124,"",F547^2)</f>
        <v>1.8713876413744201E-3</v>
      </c>
      <c r="I547" s="79">
        <f>IF($C547&lt;=Entradas!$E$124,"",G547^2)</f>
        <v>0.17391357551665332</v>
      </c>
      <c r="J547" s="79">
        <f>IF($C547&lt;=Entradas!$E$124,"",E547-AVERAGE(E:E))</f>
        <v>-0.44977118576381525</v>
      </c>
      <c r="K547" s="79">
        <f>IF($C547&lt;=Entradas!$E$124,"",J547^2)</f>
        <v>0.20229411954338841</v>
      </c>
      <c r="L547" s="79">
        <f>IF($C547&lt;=Entradas!$E$124,"",G547*J547)</f>
        <v>0.1875678374236478</v>
      </c>
      <c r="M547" s="40"/>
    </row>
    <row r="548" spans="2:13">
      <c r="B548" s="39"/>
      <c r="C548" s="75">
        <v>543</v>
      </c>
      <c r="D548" s="110">
        <f>IF($C548&lt;=Entradas!$E$124,"",Observaciones!H548)</f>
        <v>0.48425030071361308</v>
      </c>
      <c r="E548" s="110">
        <f>IF($C548&lt;=Entradas!$E$124,"",LíneaBase!L549)</f>
        <v>0.44141700909196846</v>
      </c>
      <c r="F548" s="79">
        <f>IF($C548&lt;=Entradas!$E$124,"",D548-E548)</f>
        <v>4.283329162164462E-2</v>
      </c>
      <c r="G548" s="79">
        <f>IF($C548&lt;=Entradas!$E$124,"",D548-AVERAGE(D:D))</f>
        <v>-0.42184838147986514</v>
      </c>
      <c r="H548" s="79">
        <f>IF($C548&lt;=Entradas!$E$124,"",F548^2)</f>
        <v>1.8346908711448513E-3</v>
      </c>
      <c r="I548" s="79">
        <f>IF($C548&lt;=Entradas!$E$124,"",G548^2)</f>
        <v>0.17795605695718184</v>
      </c>
      <c r="J548" s="79">
        <f>IF($C548&lt;=Entradas!$E$124,"",E548-AVERAGE(E:E))</f>
        <v>-0.45416385470514942</v>
      </c>
      <c r="K548" s="79">
        <f>IF($C548&lt;=Entradas!$E$124,"",J548^2)</f>
        <v>0.20626480692064006</v>
      </c>
      <c r="L548" s="79">
        <f>IF($C548&lt;=Entradas!$E$124,"",G548*J548)</f>
        <v>0.19158828703402392</v>
      </c>
      <c r="M548" s="40"/>
    </row>
    <row r="549" spans="2:13">
      <c r="B549" s="39"/>
      <c r="C549" s="75">
        <v>544</v>
      </c>
      <c r="D549" s="110">
        <f>IF($C549&lt;=Entradas!$E$124,"",Observaciones!H549)</f>
        <v>0.47947886716120219</v>
      </c>
      <c r="E549" s="110">
        <f>IF($C549&lt;=Entradas!$E$124,"",LíneaBase!L550)</f>
        <v>0.43706762216403172</v>
      </c>
      <c r="F549" s="79">
        <f>IF($C549&lt;=Entradas!$E$124,"",D549-E549)</f>
        <v>4.2411244997170472E-2</v>
      </c>
      <c r="G549" s="79">
        <f>IF($C549&lt;=Entradas!$E$124,"",D549-AVERAGE(D:D))</f>
        <v>-0.42661981503227603</v>
      </c>
      <c r="H549" s="79">
        <f>IF($C549&lt;=Entradas!$E$124,"",F549^2)</f>
        <v>1.7987137022100173E-3</v>
      </c>
      <c r="I549" s="79">
        <f>IF($C549&lt;=Entradas!$E$124,"",G549^2)</f>
        <v>0.1820044665781734</v>
      </c>
      <c r="J549" s="79">
        <f>IF($C549&lt;=Entradas!$E$124,"",E549-AVERAGE(E:E))</f>
        <v>-0.45851324163308615</v>
      </c>
      <c r="K549" s="79">
        <f>IF($C549&lt;=Entradas!$E$124,"",J549^2)</f>
        <v>0.21023439275288086</v>
      </c>
      <c r="L549" s="79">
        <f>IF($C549&lt;=Entradas!$E$124,"",G549*J549)</f>
        <v>0.1956108343353565</v>
      </c>
      <c r="M549" s="40"/>
    </row>
    <row r="550" spans="2:13">
      <c r="B550" s="39"/>
      <c r="C550" s="75">
        <v>545</v>
      </c>
      <c r="D550" s="110">
        <f>IF($C550&lt;=Entradas!$E$124,"",Observaciones!H550)</f>
        <v>0.47475444768008696</v>
      </c>
      <c r="E550" s="110">
        <f>IF($C550&lt;=Entradas!$E$124,"",LíneaBase!L551)</f>
        <v>0.43276109078145036</v>
      </c>
      <c r="F550" s="79">
        <f>IF($C550&lt;=Entradas!$E$124,"",D550-E550)</f>
        <v>4.1993356898636591E-2</v>
      </c>
      <c r="G550" s="79">
        <f>IF($C550&lt;=Entradas!$E$124,"",D550-AVERAGE(D:D))</f>
        <v>-0.43134423451339127</v>
      </c>
      <c r="H550" s="79">
        <f>IF($C550&lt;=Entradas!$E$124,"",F550^2)</f>
        <v>1.7634420236162694E-3</v>
      </c>
      <c r="I550" s="79">
        <f>IF($C550&lt;=Entradas!$E$124,"",G550^2)</f>
        <v>0.18605784864794347</v>
      </c>
      <c r="J550" s="79">
        <f>IF($C550&lt;=Entradas!$E$124,"",E550-AVERAGE(E:E))</f>
        <v>-0.46281977301566751</v>
      </c>
      <c r="K550" s="79">
        <f>IF($C550&lt;=Entradas!$E$124,"",J550^2)</f>
        <v>0.21420214229427401</v>
      </c>
      <c r="L550" s="79">
        <f>IF($C550&lt;=Entradas!$E$124,"",G550*J550)</f>
        <v>0.19963464070910461</v>
      </c>
      <c r="M550" s="40"/>
    </row>
    <row r="551" spans="2:13">
      <c r="B551" s="39"/>
      <c r="C551" s="75">
        <v>546</v>
      </c>
      <c r="D551" s="110">
        <f>IF($C551&lt;=Entradas!$E$124,"",Observaciones!H551)</f>
        <v>0.4700765790293942</v>
      </c>
      <c r="E551" s="110">
        <f>IF($C551&lt;=Entradas!$E$124,"",LíneaBase!L552)</f>
        <v>0.42849699267831909</v>
      </c>
      <c r="F551" s="79">
        <f>IF($C551&lt;=Entradas!$E$124,"",D551-E551)</f>
        <v>4.1579586351075115E-2</v>
      </c>
      <c r="G551" s="79">
        <f>IF($C551&lt;=Entradas!$E$124,"",D551-AVERAGE(D:D))</f>
        <v>-0.43602210316408402</v>
      </c>
      <c r="H551" s="79">
        <f>IF($C551&lt;=Entradas!$E$124,"",F551^2)</f>
        <v>1.7288620011265119E-3</v>
      </c>
      <c r="I551" s="79">
        <f>IF($C551&lt;=Entradas!$E$124,"",G551^2)</f>
        <v>0.19011527444763113</v>
      </c>
      <c r="J551" s="79">
        <f>IF($C551&lt;=Entradas!$E$124,"",E551-AVERAGE(E:E))</f>
        <v>-0.46708387111879879</v>
      </c>
      <c r="K551" s="79">
        <f>IF($C551&lt;=Entradas!$E$124,"",J551^2)</f>
        <v>0.21816734265932264</v>
      </c>
      <c r="L551" s="79">
        <f>IF($C551&lt;=Entradas!$E$124,"",G551*J551)</f>
        <v>0.2036588918392406</v>
      </c>
      <c r="M551" s="40"/>
    </row>
    <row r="552" spans="2:13">
      <c r="B552" s="39"/>
      <c r="C552" s="75">
        <v>547</v>
      </c>
      <c r="D552" s="110">
        <f>IF($C552&lt;=Entradas!$E$124,"",Observaciones!H552)</f>
        <v>0.46544480253269932</v>
      </c>
      <c r="E552" s="110">
        <f>IF($C552&lt;=Entradas!$E$124,"",LíneaBase!L553)</f>
        <v>0.42427490974942733</v>
      </c>
      <c r="F552" s="79">
        <f>IF($C552&lt;=Entradas!$E$124,"",D552-E552)</f>
        <v>4.1169892783271989E-2</v>
      </c>
      <c r="G552" s="79">
        <f>IF($C552&lt;=Entradas!$E$124,"",D552-AVERAGE(D:D))</f>
        <v>-0.4406538796607789</v>
      </c>
      <c r="H552" s="79">
        <f>IF($C552&lt;=Entradas!$E$124,"",F552^2)</f>
        <v>1.694960071786111E-3</v>
      </c>
      <c r="I552" s="79">
        <f>IF($C552&lt;=Entradas!$E$124,"",G552^2)</f>
        <v>0.19417584166009622</v>
      </c>
      <c r="J552" s="79">
        <f>IF($C552&lt;=Entradas!$E$124,"",E552-AVERAGE(E:E))</f>
        <v>-0.47130595404769055</v>
      </c>
      <c r="K552" s="79">
        <f>IF($C552&lt;=Entradas!$E$124,"",J552^2)</f>
        <v>0.2221293023208038</v>
      </c>
      <c r="L552" s="79">
        <f>IF($C552&lt;=Entradas!$E$124,"",G552*J552)</f>
        <v>0.20768279715833962</v>
      </c>
      <c r="M552" s="40"/>
    </row>
    <row r="553" spans="2:13">
      <c r="B553" s="39"/>
      <c r="C553" s="75">
        <v>548</v>
      </c>
      <c r="D553" s="110">
        <f>IF($C553&lt;=Entradas!$E$124,"",Observaciones!H553)</f>
        <v>0.46085866403302972</v>
      </c>
      <c r="E553" s="110">
        <f>IF($C553&lt;=Entradas!$E$124,"",LíneaBase!L554)</f>
        <v>0.42009442800925578</v>
      </c>
      <c r="F553" s="79">
        <f>IF($C553&lt;=Entradas!$E$124,"",D553-E553)</f>
        <v>4.0764236023773937E-2</v>
      </c>
      <c r="G553" s="79">
        <f>IF($C553&lt;=Entradas!$E$124,"",D553-AVERAGE(D:D))</f>
        <v>-0.4452400181604485</v>
      </c>
      <c r="H553" s="79">
        <f>IF($C553&lt;=Entradas!$E$124,"",F553^2)</f>
        <v>1.6617229386019488E-3</v>
      </c>
      <c r="I553" s="79">
        <f>IF($C553&lt;=Entradas!$E$124,"",G553^2)</f>
        <v>0.19823867377151652</v>
      </c>
      <c r="J553" s="79">
        <f>IF($C553&lt;=Entradas!$E$124,"",E553-AVERAGE(E:E))</f>
        <v>-0.47548643578786209</v>
      </c>
      <c r="K553" s="79">
        <f>IF($C553&lt;=Entradas!$E$124,"",J553^2)</f>
        <v>0.2260873506182447</v>
      </c>
      <c r="L553" s="79">
        <f>IF($C553&lt;=Entradas!$E$124,"",G553*J553)</f>
        <v>0.21170558930523464</v>
      </c>
      <c r="M553" s="40"/>
    </row>
    <row r="554" spans="2:13">
      <c r="B554" s="39"/>
      <c r="C554" s="75">
        <v>549</v>
      </c>
      <c r="D554" s="110">
        <f>IF($C554&lt;=Entradas!$E$124,"",Observaciones!H554)</f>
        <v>0.45631771384833053</v>
      </c>
      <c r="E554" s="110">
        <f>IF($C554&lt;=Entradas!$E$124,"",LíneaBase!L555)</f>
        <v>0.41595513755138347</v>
      </c>
      <c r="F554" s="79">
        <f>IF($C554&lt;=Entradas!$E$124,"",D554-E554)</f>
        <v>4.0362576296947061E-2</v>
      </c>
      <c r="G554" s="79">
        <f>IF($C554&lt;=Entradas!$E$124,"",D554-AVERAGE(D:D))</f>
        <v>-0.44978096834514769</v>
      </c>
      <c r="H554" s="79">
        <f>IF($C554&lt;=Entradas!$E$124,"",F554^2)</f>
        <v>1.6291375653268727E-3</v>
      </c>
      <c r="I554" s="79">
        <f>IF($C554&lt;=Entradas!$E$124,"",G554^2)</f>
        <v>0.20230291948549875</v>
      </c>
      <c r="J554" s="79">
        <f>IF($C554&lt;=Entradas!$E$124,"",E554-AVERAGE(E:E))</f>
        <v>-0.47962572624573441</v>
      </c>
      <c r="K554" s="79">
        <f>IF($C554&lt;=Entradas!$E$124,"",J554^2)</f>
        <v>0.23004083727674815</v>
      </c>
      <c r="L554" s="79">
        <f>IF($C554&lt;=Entradas!$E$124,"",G554*J554)</f>
        <v>0.21572652359405114</v>
      </c>
      <c r="M554" s="40"/>
    </row>
    <row r="555" spans="2:13">
      <c r="B555" s="39"/>
      <c r="C555" s="75">
        <v>550</v>
      </c>
      <c r="D555" s="110">
        <f>IF($C555&lt;=Entradas!$E$124,"",Observaciones!H555)</f>
        <v>0.4518215067273712</v>
      </c>
      <c r="E555" s="110">
        <f>IF($C555&lt;=Entradas!$E$124,"",LíneaBase!L556)</f>
        <v>0.41185663250829468</v>
      </c>
      <c r="F555" s="79">
        <f>IF($C555&lt;=Entradas!$E$124,"",D555-E555)</f>
        <v>3.9964874219076518E-2</v>
      </c>
      <c r="G555" s="79">
        <f>IF($C555&lt;=Entradas!$E$124,"",D555-AVERAGE(D:D))</f>
        <v>-0.45427717546610702</v>
      </c>
      <c r="H555" s="79">
        <f>IF($C555&lt;=Entradas!$E$124,"",F555^2)</f>
        <v>1.597191171346607E-3</v>
      </c>
      <c r="I555" s="79">
        <f>IF($C555&lt;=Entradas!$E$124,"",G555^2)</f>
        <v>0.20636775214946418</v>
      </c>
      <c r="J555" s="79">
        <f>IF($C555&lt;=Entradas!$E$124,"",E555-AVERAGE(E:E))</f>
        <v>-0.48372423128882319</v>
      </c>
      <c r="K555" s="79">
        <f>IF($C555&lt;=Entradas!$E$124,"",J555^2)</f>
        <v>0.23398913193596291</v>
      </c>
      <c r="L555" s="79">
        <f>IF($C555&lt;=Entradas!$E$124,"",G555*J555)</f>
        <v>0.21974487749440047</v>
      </c>
      <c r="M555" s="40"/>
    </row>
    <row r="556" spans="2:13">
      <c r="B556" s="39"/>
      <c r="C556" s="75">
        <v>551</v>
      </c>
      <c r="D556" s="110">
        <f>IF($C556&lt;=Entradas!$E$124,"",Observaciones!H556)</f>
        <v>0.44736960180608781</v>
      </c>
      <c r="E556" s="110">
        <f>IF($C556&lt;=Entradas!$E$124,"",LíneaBase!L557)</f>
        <v>0.40779851101158332</v>
      </c>
      <c r="F556" s="79">
        <f>IF($C556&lt;=Entradas!$E$124,"",D556-E556)</f>
        <v>3.9571090794504493E-2</v>
      </c>
      <c r="G556" s="79">
        <f>IF($C556&lt;=Entradas!$E$124,"",D556-AVERAGE(D:D))</f>
        <v>-0.45872908038739041</v>
      </c>
      <c r="H556" s="79">
        <f>IF($C556&lt;=Entradas!$E$124,"",F556^2)</f>
        <v>1.5658712266669182E-3</v>
      </c>
      <c r="I556" s="79">
        <f>IF($C556&lt;=Entradas!$E$124,"",G556^2)</f>
        <v>0.21043236919306088</v>
      </c>
      <c r="J556" s="79">
        <f>IF($C556&lt;=Entradas!$E$124,"",E556-AVERAGE(E:E))</f>
        <v>-0.48778235278553456</v>
      </c>
      <c r="K556" s="79">
        <f>IF($C556&lt;=Entradas!$E$124,"",J556^2)</f>
        <v>0.23793162368899168</v>
      </c>
      <c r="L556" s="79">
        <f>IF($C556&lt;=Entradas!$E$124,"",G556*J556)</f>
        <v>0.22375995012250591</v>
      </c>
      <c r="M556" s="40"/>
    </row>
    <row r="557" spans="2:13">
      <c r="B557" s="39"/>
      <c r="C557" s="75">
        <v>552</v>
      </c>
      <c r="D557" s="110">
        <f>IF($C557&lt;=Entradas!$E$124,"",Observaciones!H557)</f>
        <v>0.44296156256435493</v>
      </c>
      <c r="E557" s="110">
        <f>IF($C557&lt;=Entradas!$E$124,"",LíneaBase!L558)</f>
        <v>0.40378037515254833</v>
      </c>
      <c r="F557" s="79">
        <f>IF($C557&lt;=Entradas!$E$124,"",D557-E557)</f>
        <v>3.9181187411806595E-2</v>
      </c>
      <c r="G557" s="79">
        <f>IF($C557&lt;=Entradas!$E$124,"",D557-AVERAGE(D:D))</f>
        <v>-0.4631371196291233</v>
      </c>
      <c r="H557" s="79">
        <f>IF($C557&lt;=Entradas!$E$124,"",F557^2)</f>
        <v>1.5351654469991116E-3</v>
      </c>
      <c r="I557" s="79">
        <f>IF($C557&lt;=Entradas!$E$124,"",G557^2)</f>
        <v>0.21449599157836086</v>
      </c>
      <c r="J557" s="79">
        <f>IF($C557&lt;=Entradas!$E$124,"",E557-AVERAGE(E:E))</f>
        <v>-0.49180048864456954</v>
      </c>
      <c r="K557" s="79">
        <f>IF($C557&lt;=Entradas!$E$124,"",J557^2)</f>
        <v>0.24186772063103737</v>
      </c>
      <c r="L557" s="79">
        <f>IF($C557&lt;=Entradas!$E$124,"",G557*J557)</f>
        <v>0.22777106174304129</v>
      </c>
      <c r="M557" s="40"/>
    </row>
    <row r="558" spans="2:13">
      <c r="B558" s="39"/>
      <c r="C558" s="75">
        <v>553</v>
      </c>
      <c r="D558" s="110">
        <f>IF($C558&lt;=Entradas!$E$124,"",Observaciones!H558)</f>
        <v>0.43859695678318411</v>
      </c>
      <c r="E558" s="110">
        <f>IF($C558&lt;=Entradas!$E$124,"",LíneaBase!L559)</f>
        <v>0.39980183094317767</v>
      </c>
      <c r="F558" s="79">
        <f>IF($C558&lt;=Entradas!$E$124,"",D558-E558)</f>
        <v>3.8795125840006439E-2</v>
      </c>
      <c r="G558" s="79">
        <f>IF($C558&lt;=Entradas!$E$124,"",D558-AVERAGE(D:D))</f>
        <v>-0.46750172541029411</v>
      </c>
      <c r="H558" s="79">
        <f>IF($C558&lt;=Entradas!$E$124,"",F558^2)</f>
        <v>1.5050617889419352E-3</v>
      </c>
      <c r="I558" s="79">
        <f>IF($C558&lt;=Entradas!$E$124,"",G558^2)</f>
        <v>0.21855786326160204</v>
      </c>
      <c r="J558" s="79">
        <f>IF($C558&lt;=Entradas!$E$124,"",E558-AVERAGE(E:E))</f>
        <v>-0.4957790328539402</v>
      </c>
      <c r="K558" s="79">
        <f>IF($C558&lt;=Entradas!$E$124,"",J558^2)</f>
        <v>0.24579684941758831</v>
      </c>
      <c r="L558" s="79">
        <f>IF($C558&lt;=Entradas!$E$124,"",G558*J558)</f>
        <v>0.23177755328146393</v>
      </c>
      <c r="M558" s="40"/>
    </row>
    <row r="559" spans="2:13">
      <c r="B559" s="39"/>
      <c r="C559" s="75">
        <v>554</v>
      </c>
      <c r="D559" s="110">
        <f>IF($C559&lt;=Entradas!$E$124,"",Observaciones!H559)</f>
        <v>0.43427535650234311</v>
      </c>
      <c r="E559" s="110">
        <f>IF($C559&lt;=Entradas!$E$124,"",LíneaBase!L560)</f>
        <v>0.39586248827751741</v>
      </c>
      <c r="F559" s="79">
        <f>IF($C559&lt;=Entradas!$E$124,"",D559-E559)</f>
        <v>3.8412868224825703E-2</v>
      </c>
      <c r="G559" s="79">
        <f>IF($C559&lt;=Entradas!$E$124,"",D559-AVERAGE(D:D))</f>
        <v>-0.47182332569113511</v>
      </c>
      <c r="H559" s="79">
        <f>IF($C559&lt;=Entradas!$E$124,"",F559^2)</f>
        <v>1.475548445257824E-3</v>
      </c>
      <c r="I559" s="79">
        <f>IF($C559&lt;=Entradas!$E$124,"",G559^2)</f>
        <v>0.22261725066624297</v>
      </c>
      <c r="J559" s="79">
        <f>IF($C559&lt;=Entradas!$E$124,"",E559-AVERAGE(E:E))</f>
        <v>-0.49971837551960047</v>
      </c>
      <c r="K559" s="79">
        <f>IF($C559&lt;=Entradas!$E$124,"",J559^2)</f>
        <v>0.24971845483194843</v>
      </c>
      <c r="L559" s="79">
        <f>IF($C559&lt;=Entradas!$E$124,"",G559*J559)</f>
        <v>0.2357787858466294</v>
      </c>
      <c r="M559" s="40"/>
    </row>
    <row r="560" spans="2:13">
      <c r="B560" s="39"/>
      <c r="C560" s="75">
        <v>555</v>
      </c>
      <c r="D560" s="110">
        <f>IF($C560&lt;=Entradas!$E$124,"",Observaciones!H560)</f>
        <v>0.46673150141145658</v>
      </c>
      <c r="E560" s="110">
        <f>IF($C560&lt;=Entradas!$E$124,"",LíneaBase!L561)</f>
        <v>0.42701045991342729</v>
      </c>
      <c r="F560" s="79">
        <f>IF($C560&lt;=Entradas!$E$124,"",D560-E560)</f>
        <v>3.9721041498029297E-2</v>
      </c>
      <c r="G560" s="79">
        <f>IF($C560&lt;=Entradas!$E$124,"",D560-AVERAGE(D:D))</f>
        <v>-0.43936718078202164</v>
      </c>
      <c r="H560" s="79">
        <f>IF($C560&lt;=Entradas!$E$124,"",F560^2)</f>
        <v>1.5777611376881656E-3</v>
      </c>
      <c r="I560" s="79">
        <f>IF($C560&lt;=Entradas!$E$124,"",G560^2)</f>
        <v>0.19304351954834167</v>
      </c>
      <c r="J560" s="79">
        <f>IF($C560&lt;=Entradas!$E$124,"",E560-AVERAGE(E:E))</f>
        <v>-0.46857040388369059</v>
      </c>
      <c r="K560" s="79">
        <f>IF($C560&lt;=Entradas!$E$124,"",J560^2)</f>
        <v>0.21955822339572492</v>
      </c>
      <c r="L560" s="79">
        <f>IF($C560&lt;=Entradas!$E$124,"",G560*J560)</f>
        <v>0.20587445735227039</v>
      </c>
      <c r="M560" s="40"/>
    </row>
    <row r="561" spans="2:13">
      <c r="B561" s="39"/>
      <c r="C561" s="75">
        <v>556</v>
      </c>
      <c r="D561" s="110">
        <f>IF($C561&lt;=Entradas!$E$124,"",Observaciones!H561)</f>
        <v>0.43185517980568139</v>
      </c>
      <c r="E561" s="110">
        <f>IF($C561&lt;=Entradas!$E$124,"",LíneaBase!L562)</f>
        <v>0.39391568559637774</v>
      </c>
      <c r="F561" s="79">
        <f>IF($C561&lt;=Entradas!$E$124,"",D561-E561)</f>
        <v>3.7939494209303648E-2</v>
      </c>
      <c r="G561" s="79">
        <f>IF($C561&lt;=Entradas!$E$124,"",D561-AVERAGE(D:D))</f>
        <v>-0.47424350238779683</v>
      </c>
      <c r="H561" s="79">
        <f>IF($C561&lt;=Entradas!$E$124,"",F561^2)</f>
        <v>1.4394052208577851E-3</v>
      </c>
      <c r="I561" s="79">
        <f>IF($C561&lt;=Entradas!$E$124,"",G561^2)</f>
        <v>0.22490689955704427</v>
      </c>
      <c r="J561" s="79">
        <f>IF($C561&lt;=Entradas!$E$124,"",E561-AVERAGE(E:E))</f>
        <v>-0.50166517820074019</v>
      </c>
      <c r="K561" s="79">
        <f>IF($C561&lt;=Entradas!$E$124,"",J561^2)</f>
        <v>0.25166795101918044</v>
      </c>
      <c r="L561" s="79">
        <f>IF($C561&lt;=Entradas!$E$124,"",G561*J561)</f>
        <v>0.23791145113591725</v>
      </c>
      <c r="M561" s="40"/>
    </row>
    <row r="562" spans="2:13">
      <c r="B562" s="39"/>
      <c r="C562" s="75">
        <v>557</v>
      </c>
      <c r="D562" s="110">
        <f>IF($C562&lt;=Entradas!$E$124,"",Observaciones!H562)</f>
        <v>0.4225758698378323</v>
      </c>
      <c r="E562" s="110">
        <f>IF($C562&lt;=Entradas!$E$124,"",LíneaBase!L563)</f>
        <v>0.38524088161146786</v>
      </c>
      <c r="F562" s="79">
        <f>IF($C562&lt;=Entradas!$E$124,"",D562-E562)</f>
        <v>3.7334988226364441E-2</v>
      </c>
      <c r="G562" s="79">
        <f>IF($C562&lt;=Entradas!$E$124,"",D562-AVERAGE(D:D))</f>
        <v>-0.48352281235564593</v>
      </c>
      <c r="H562" s="79">
        <f>IF($C562&lt;=Entradas!$E$124,"",F562^2)</f>
        <v>1.3939013458627715E-3</v>
      </c>
      <c r="I562" s="79">
        <f>IF($C562&lt;=Entradas!$E$124,"",G562^2)</f>
        <v>0.23379431006831319</v>
      </c>
      <c r="J562" s="79">
        <f>IF($C562&lt;=Entradas!$E$124,"",E562-AVERAGE(E:E))</f>
        <v>-0.51033998218565002</v>
      </c>
      <c r="K562" s="79">
        <f>IF($C562&lt;=Entradas!$E$124,"",J562^2)</f>
        <v>0.26044689741724958</v>
      </c>
      <c r="L562" s="79">
        <f>IF($C562&lt;=Entradas!$E$124,"",G562*J562)</f>
        <v>0.24676102344393575</v>
      </c>
      <c r="M562" s="40"/>
    </row>
    <row r="563" spans="2:13">
      <c r="B563" s="39"/>
      <c r="C563" s="75">
        <v>558</v>
      </c>
      <c r="D563" s="110">
        <f>IF($C563&lt;=Entradas!$E$124,"",Observaciones!H563)</f>
        <v>0.41757844212331774</v>
      </c>
      <c r="E563" s="110">
        <f>IF($C563&lt;=Entradas!$E$124,"",LíneaBase!L564)</f>
        <v>0.3806496024731239</v>
      </c>
      <c r="F563" s="79">
        <f>IF($C563&lt;=Entradas!$E$124,"",D563-E563)</f>
        <v>3.6928839650193834E-2</v>
      </c>
      <c r="G563" s="79">
        <f>IF($C563&lt;=Entradas!$E$124,"",D563-AVERAGE(D:D))</f>
        <v>-0.48852024007016048</v>
      </c>
      <c r="H563" s="79">
        <f>IF($C563&lt;=Entradas!$E$124,"",F563^2)</f>
        <v>1.3637391979097282E-3</v>
      </c>
      <c r="I563" s="79">
        <f>IF($C563&lt;=Entradas!$E$124,"",G563^2)</f>
        <v>0.23865202495820723</v>
      </c>
      <c r="J563" s="79">
        <f>IF($C563&lt;=Entradas!$E$124,"",E563-AVERAGE(E:E))</f>
        <v>-0.51493126132399403</v>
      </c>
      <c r="K563" s="79">
        <f>IF($C563&lt;=Entradas!$E$124,"",J563^2)</f>
        <v>0.26515420388871941</v>
      </c>
      <c r="L563" s="79">
        <f>IF($C563&lt;=Entradas!$E$124,"",G563*J563)</f>
        <v>0.25155434340162813</v>
      </c>
      <c r="M563" s="40"/>
    </row>
    <row r="564" spans="2:13">
      <c r="B564" s="39"/>
      <c r="C564" s="75">
        <v>559</v>
      </c>
      <c r="D564" s="110">
        <f>IF($C564&lt;=Entradas!$E$124,"",Observaciones!H564)</f>
        <v>0.41332560331019036</v>
      </c>
      <c r="E564" s="110">
        <f>IF($C564&lt;=Entradas!$E$124,"",LíneaBase!L565)</f>
        <v>0.37676698403104603</v>
      </c>
      <c r="F564" s="79">
        <f>IF($C564&lt;=Entradas!$E$124,"",D564-E564)</f>
        <v>3.6558619279144333E-2</v>
      </c>
      <c r="G564" s="79">
        <f>IF($C564&lt;=Entradas!$E$124,"",D564-AVERAGE(D:D))</f>
        <v>-0.49277307888328786</v>
      </c>
      <c r="H564" s="79">
        <f>IF($C564&lt;=Entradas!$E$124,"",F564^2)</f>
        <v>1.3365326435974237E-3</v>
      </c>
      <c r="I564" s="79">
        <f>IF($C564&lt;=Entradas!$E$124,"",G564^2)</f>
        <v>0.24282530727211504</v>
      </c>
      <c r="J564" s="79">
        <f>IF($C564&lt;=Entradas!$E$124,"",E564-AVERAGE(E:E))</f>
        <v>-0.51881387976607185</v>
      </c>
      <c r="K564" s="79">
        <f>IF($C564&lt;=Entradas!$E$124,"",J564^2)</f>
        <v>0.26916784183792408</v>
      </c>
      <c r="L564" s="79">
        <f>IF($C564&lt;=Entradas!$E$124,"",G564*J564)</f>
        <v>0.25565751289971117</v>
      </c>
      <c r="M564" s="40"/>
    </row>
    <row r="565" spans="2:13">
      <c r="B565" s="39"/>
      <c r="C565" s="75">
        <v>560</v>
      </c>
      <c r="D565" s="110">
        <f>IF($C565&lt;=Entradas!$E$124,"",Observaciones!H565)</f>
        <v>0.40923005223454412</v>
      </c>
      <c r="E565" s="110">
        <f>IF($C565&lt;=Entradas!$E$124,"",LíneaBase!L566)</f>
        <v>0.37303270771954422</v>
      </c>
      <c r="F565" s="79">
        <f>IF($C565&lt;=Entradas!$E$124,"",D565-E565)</f>
        <v>3.6197344514999896E-2</v>
      </c>
      <c r="G565" s="79">
        <f>IF($C565&lt;=Entradas!$E$124,"",D565-AVERAGE(D:D))</f>
        <v>-0.4968686299589341</v>
      </c>
      <c r="H565" s="79">
        <f>IF($C565&lt;=Entradas!$E$124,"",F565^2)</f>
        <v>1.310247749937593E-3</v>
      </c>
      <c r="I565" s="79">
        <f>IF($C565&lt;=Entradas!$E$124,"",G565^2)</f>
        <v>0.2468784354372682</v>
      </c>
      <c r="J565" s="79">
        <f>IF($C565&lt;=Entradas!$E$124,"",E565-AVERAGE(E:E))</f>
        <v>-0.52254815607757366</v>
      </c>
      <c r="K565" s="79">
        <f>IF($C565&lt;=Entradas!$E$124,"",J565^2)</f>
        <v>0.27305657542007228</v>
      </c>
      <c r="L565" s="79">
        <f>IF($C565&lt;=Entradas!$E$124,"",G565*J565)</f>
        <v>0.2596377863978313</v>
      </c>
      <c r="M565" s="40"/>
    </row>
    <row r="566" spans="2:13">
      <c r="B566" s="39"/>
      <c r="C566" s="75">
        <v>561</v>
      </c>
      <c r="D566" s="110">
        <f>IF($C566&lt;=Entradas!$E$124,"",Observaciones!H566)</f>
        <v>0.40519400191415422</v>
      </c>
      <c r="E566" s="110">
        <f>IF($C566&lt;=Entradas!$E$124,"",LíneaBase!L567)</f>
        <v>0.36935349334990153</v>
      </c>
      <c r="F566" s="79">
        <f>IF($C566&lt;=Entradas!$E$124,"",D566-E566)</f>
        <v>3.5840508564252693E-2</v>
      </c>
      <c r="G566" s="79">
        <f>IF($C566&lt;=Entradas!$E$124,"",D566-AVERAGE(D:D))</f>
        <v>-0.500904680279324</v>
      </c>
      <c r="H566" s="79">
        <f>IF($C566&lt;=Entradas!$E$124,"",F566^2)</f>
        <v>1.2845420541442707E-3</v>
      </c>
      <c r="I566" s="79">
        <f>IF($C566&lt;=Entradas!$E$124,"",G566^2)</f>
        <v>0.25090549872573181</v>
      </c>
      <c r="J566" s="79">
        <f>IF($C566&lt;=Entradas!$E$124,"",E566-AVERAGE(E:E))</f>
        <v>-0.52622737044721635</v>
      </c>
      <c r="K566" s="79">
        <f>IF($C566&lt;=Entradas!$E$124,"",J566^2)</f>
        <v>0.27691524540779189</v>
      </c>
      <c r="L566" s="79">
        <f>IF($C566&lt;=Entradas!$E$124,"",G566*J566)</f>
        <v>0.26358975274809232</v>
      </c>
      <c r="M566" s="40"/>
    </row>
    <row r="567" spans="2:13">
      <c r="B567" s="39"/>
      <c r="C567" s="75">
        <v>562</v>
      </c>
      <c r="D567" s="110">
        <f>IF($C567&lt;=Entradas!$E$124,"",Observaciones!H567)</f>
        <v>0.40120089682811094</v>
      </c>
      <c r="E567" s="110">
        <f>IF($C567&lt;=Entradas!$E$124,"",LíneaBase!L568)</f>
        <v>0.36571356235250524</v>
      </c>
      <c r="F567" s="79">
        <f>IF($C567&lt;=Entradas!$E$124,"",D567-E567)</f>
        <v>3.5487334475605703E-2</v>
      </c>
      <c r="G567" s="79">
        <f>IF($C567&lt;=Entradas!$E$124,"",D567-AVERAGE(D:D))</f>
        <v>-0.50489778536536734</v>
      </c>
      <c r="H567" s="79">
        <f>IF($C567&lt;=Entradas!$E$124,"",F567^2)</f>
        <v>1.259350908183513E-3</v>
      </c>
      <c r="I567" s="79">
        <f>IF($C567&lt;=Entradas!$E$124,"",G567^2)</f>
        <v>0.25492177366685254</v>
      </c>
      <c r="J567" s="79">
        <f>IF($C567&lt;=Entradas!$E$124,"",E567-AVERAGE(E:E))</f>
        <v>-0.52986730144461269</v>
      </c>
      <c r="K567" s="79">
        <f>IF($C567&lt;=Entradas!$E$124,"",J567^2)</f>
        <v>0.28075935714019606</v>
      </c>
      <c r="L567" s="79">
        <f>IF($C567&lt;=Entradas!$E$124,"",G567*J567)</f>
        <v>0.26752882703690845</v>
      </c>
      <c r="M567" s="40"/>
    </row>
    <row r="568" spans="2:13">
      <c r="B568" s="39"/>
      <c r="C568" s="75">
        <v>563</v>
      </c>
      <c r="D568" s="110">
        <f>IF($C568&lt;=Entradas!$E$124,"",Observaciones!H568)</f>
        <v>0.39724766394876837</v>
      </c>
      <c r="E568" s="110">
        <f>IF($C568&lt;=Entradas!$E$124,"",LíneaBase!L569)</f>
        <v>0.36210999944784994</v>
      </c>
      <c r="F568" s="79">
        <f>IF($C568&lt;=Entradas!$E$124,"",D568-E568)</f>
        <v>3.5137664500918431E-2</v>
      </c>
      <c r="G568" s="79">
        <f>IF($C568&lt;=Entradas!$E$124,"",D568-AVERAGE(D:D))</f>
        <v>-0.50885101824470991</v>
      </c>
      <c r="H568" s="79">
        <f>IF($C568&lt;=Entradas!$E$124,"",F568^2)</f>
        <v>1.2346554665791033E-3</v>
      </c>
      <c r="I568" s="79">
        <f>IF($C568&lt;=Entradas!$E$124,"",G568^2)</f>
        <v>0.25892935876867812</v>
      </c>
      <c r="J568" s="79">
        <f>IF($C568&lt;=Entradas!$E$124,"",E568-AVERAGE(E:E))</f>
        <v>-0.53347086434926794</v>
      </c>
      <c r="K568" s="79">
        <f>IF($C568&lt;=Entradas!$E$124,"",J568^2)</f>
        <v>0.28459116310955501</v>
      </c>
      <c r="L568" s="79">
        <f>IF($C568&lt;=Entradas!$E$124,"",G568*J568)</f>
        <v>0.27145719252801048</v>
      </c>
      <c r="M568" s="40"/>
    </row>
    <row r="569" spans="2:13">
      <c r="B569" s="39"/>
      <c r="C569" s="75">
        <v>564</v>
      </c>
      <c r="D569" s="110">
        <f>IF($C569&lt;=Entradas!$E$124,"",Observaciones!H569)</f>
        <v>0.39469601753775185</v>
      </c>
      <c r="E569" s="110">
        <f>IF($C569&lt;=Entradas!$E$124,"",LíneaBase!L570)</f>
        <v>0.3599045736133959</v>
      </c>
      <c r="F569" s="79">
        <f>IF($C569&lt;=Entradas!$E$124,"",D569-E569)</f>
        <v>3.4791443924355958E-2</v>
      </c>
      <c r="G569" s="79">
        <f>IF($C569&lt;=Entradas!$E$124,"",D569-AVERAGE(D:D))</f>
        <v>-0.51140266465572637</v>
      </c>
      <c r="H569" s="79">
        <f>IF($C569&lt;=Entradas!$E$124,"",F569^2)</f>
        <v>1.2104445703416051E-3</v>
      </c>
      <c r="I569" s="79">
        <f>IF($C569&lt;=Entradas!$E$124,"",G569^2)</f>
        <v>0.26153268541697733</v>
      </c>
      <c r="J569" s="79">
        <f>IF($C569&lt;=Entradas!$E$124,"",E569-AVERAGE(E:E))</f>
        <v>-0.53567629018372198</v>
      </c>
      <c r="K569" s="79">
        <f>IF($C569&lt;=Entradas!$E$124,"",J569^2)</f>
        <v>0.28694908786499512</v>
      </c>
      <c r="L569" s="79">
        <f>IF($C569&lt;=Entradas!$E$124,"",G569*J569)</f>
        <v>0.27394628219284956</v>
      </c>
      <c r="M569" s="40"/>
    </row>
    <row r="570" spans="2:13">
      <c r="B570" s="39"/>
      <c r="C570" s="75">
        <v>565</v>
      </c>
      <c r="D570" s="110">
        <f>IF($C570&lt;=Entradas!$E$124,"",Observaciones!H570)</f>
        <v>0.40370887175651904</v>
      </c>
      <c r="E570" s="110">
        <f>IF($C570&lt;=Entradas!$E$124,"",LíneaBase!L571)</f>
        <v>0.36743936581362519</v>
      </c>
      <c r="F570" s="79">
        <f>IF($C570&lt;=Entradas!$E$124,"",D570-E570)</f>
        <v>3.6269505942893854E-2</v>
      </c>
      <c r="G570" s="79">
        <f>IF($C570&lt;=Entradas!$E$124,"",D570-AVERAGE(D:D))</f>
        <v>-0.50238981043695918</v>
      </c>
      <c r="H570" s="79">
        <f>IF($C570&lt;=Entradas!$E$124,"",F570^2)</f>
        <v>1.3154770613416126E-3</v>
      </c>
      <c r="I570" s="79">
        <f>IF($C570&lt;=Entradas!$E$124,"",G570^2)</f>
        <v>0.2523955216308838</v>
      </c>
      <c r="J570" s="79">
        <f>IF($C570&lt;=Entradas!$E$124,"",E570-AVERAGE(E:E))</f>
        <v>-0.52814149798349264</v>
      </c>
      <c r="K570" s="79">
        <f>IF($C570&lt;=Entradas!$E$124,"",J570^2)</f>
        <v>0.27893344189224756</v>
      </c>
      <c r="L570" s="79">
        <f>IF($C570&lt;=Entradas!$E$124,"",G570*J570)</f>
        <v>0.26533290705581852</v>
      </c>
      <c r="M570" s="40"/>
    </row>
    <row r="571" spans="2:13">
      <c r="B571" s="39"/>
      <c r="C571" s="75">
        <v>566</v>
      </c>
      <c r="D571" s="110">
        <f>IF($C571&lt;=Entradas!$E$124,"",Observaciones!H571)</f>
        <v>0.53627056947260843</v>
      </c>
      <c r="E571" s="110">
        <f>IF($C571&lt;=Entradas!$E$124,"",LíneaBase!L572)</f>
        <v>0.52224620388676346</v>
      </c>
      <c r="F571" s="79">
        <f>IF($C571&lt;=Entradas!$E$124,"",D571-E571)</f>
        <v>1.4024365585844967E-2</v>
      </c>
      <c r="G571" s="79">
        <f>IF($C571&lt;=Entradas!$E$124,"",D571-AVERAGE(D:D))</f>
        <v>-0.36982811272086979</v>
      </c>
      <c r="H571" s="79">
        <f>IF($C571&lt;=Entradas!$E$124,"",F571^2)</f>
        <v>1.9668283008543263E-4</v>
      </c>
      <c r="I571" s="79">
        <f>IF($C571&lt;=Entradas!$E$124,"",G571^2)</f>
        <v>0.13677283295868037</v>
      </c>
      <c r="J571" s="79">
        <f>IF($C571&lt;=Entradas!$E$124,"",E571-AVERAGE(E:E))</f>
        <v>-0.37333465991035442</v>
      </c>
      <c r="K571" s="79">
        <f>IF($C571&lt;=Entradas!$E$124,"",J571^2)</f>
        <v>0.13937876829037998</v>
      </c>
      <c r="L571" s="79">
        <f>IF($C571&lt;=Entradas!$E$124,"",G571*J571)</f>
        <v>0.13806965268793414</v>
      </c>
      <c r="M571" s="40"/>
    </row>
    <row r="572" spans="2:13">
      <c r="B572" s="39"/>
      <c r="C572" s="75">
        <v>567</v>
      </c>
      <c r="D572" s="110">
        <f>IF($C572&lt;=Entradas!$E$124,"",Observaciones!H572)</f>
        <v>0.76278442032947424</v>
      </c>
      <c r="E572" s="110">
        <f>IF($C572&lt;=Entradas!$E$124,"",LíneaBase!L573)</f>
        <v>0.79086803781243464</v>
      </c>
      <c r="F572" s="79">
        <f>IF($C572&lt;=Entradas!$E$124,"",D572-E572)</f>
        <v>-2.8083617482960399E-2</v>
      </c>
      <c r="G572" s="79">
        <f>IF($C572&lt;=Entradas!$E$124,"",D572-AVERAGE(D:D))</f>
        <v>-0.14331426186400398</v>
      </c>
      <c r="H572" s="79">
        <f>IF($C572&lt;=Entradas!$E$124,"",F572^2)</f>
        <v>7.8868957092923897E-4</v>
      </c>
      <c r="I572" s="79">
        <f>IF($C572&lt;=Entradas!$E$124,"",G572^2)</f>
        <v>2.0538977653624304E-2</v>
      </c>
      <c r="J572" s="79">
        <f>IF($C572&lt;=Entradas!$E$124,"",E572-AVERAGE(E:E))</f>
        <v>-0.10471282598468323</v>
      </c>
      <c r="K572" s="79">
        <f>IF($C572&lt;=Entradas!$E$124,"",J572^2)</f>
        <v>1.0964775925698552E-2</v>
      </c>
      <c r="L572" s="79">
        <f>IF($C572&lt;=Entradas!$E$124,"",G572*J572)</f>
        <v>1.5006841363688773E-2</v>
      </c>
      <c r="M572" s="40"/>
    </row>
    <row r="573" spans="2:13">
      <c r="B573" s="39"/>
      <c r="C573" s="75">
        <v>568</v>
      </c>
      <c r="D573" s="110">
        <f>IF($C573&lt;=Entradas!$E$124,"",Observaciones!H573)</f>
        <v>0.65258167712238535</v>
      </c>
      <c r="E573" s="110">
        <f>IF($C573&lt;=Entradas!$E$124,"",LíneaBase!L574)</f>
        <v>0.60920662604117026</v>
      </c>
      <c r="F573" s="79">
        <f>IF($C573&lt;=Entradas!$E$124,"",D573-E573)</f>
        <v>4.3375051081215088E-2</v>
      </c>
      <c r="G573" s="79">
        <f>IF($C573&lt;=Entradas!$E$124,"",D573-AVERAGE(D:D))</f>
        <v>-0.25351700507109287</v>
      </c>
      <c r="H573" s="79">
        <f>IF($C573&lt;=Entradas!$E$124,"",F573^2)</f>
        <v>1.8813950562980182E-3</v>
      </c>
      <c r="I573" s="79">
        <f>IF($C573&lt;=Entradas!$E$124,"",G573^2)</f>
        <v>6.427087186021653E-2</v>
      </c>
      <c r="J573" s="79">
        <f>IF($C573&lt;=Entradas!$E$124,"",E573-AVERAGE(E:E))</f>
        <v>-0.28637423775594761</v>
      </c>
      <c r="K573" s="79">
        <f>IF($C573&lt;=Entradas!$E$124,"",J573^2)</f>
        <v>8.2010204050300017E-2</v>
      </c>
      <c r="L573" s="79">
        <f>IF($C573&lt;=Entradas!$E$124,"",G573*J573)</f>
        <v>7.2600739085404931E-2</v>
      </c>
      <c r="M573" s="40"/>
    </row>
    <row r="574" spans="2:13">
      <c r="B574" s="39"/>
      <c r="C574" s="75">
        <v>569</v>
      </c>
      <c r="D574" s="110">
        <f>IF($C574&lt;=Entradas!$E$124,"",Observaciones!H574)</f>
        <v>0.59731516684897612</v>
      </c>
      <c r="E574" s="110">
        <f>IF($C574&lt;=Entradas!$E$124,"",LíneaBase!L575)</f>
        <v>0.55276585842056369</v>
      </c>
      <c r="F574" s="79">
        <f>IF($C574&lt;=Entradas!$E$124,"",D574-E574)</f>
        <v>4.4549308428412426E-2</v>
      </c>
      <c r="G574" s="79">
        <f>IF($C574&lt;=Entradas!$E$124,"",D574-AVERAGE(D:D))</f>
        <v>-0.3087835153445021</v>
      </c>
      <c r="H574" s="79">
        <f>IF($C574&lt;=Entradas!$E$124,"",F574^2)</f>
        <v>1.9846408814498183E-3</v>
      </c>
      <c r="I574" s="79">
        <f>IF($C574&lt;=Entradas!$E$124,"",G574^2)</f>
        <v>9.5347259348508365E-2</v>
      </c>
      <c r="J574" s="79">
        <f>IF($C574&lt;=Entradas!$E$124,"",E574-AVERAGE(E:E))</f>
        <v>-0.34281500537655418</v>
      </c>
      <c r="K574" s="79">
        <f>IF($C574&lt;=Entradas!$E$124,"",J574^2)</f>
        <v>0.11752212791132688</v>
      </c>
      <c r="L574" s="79">
        <f>IF($C574&lt;=Entradas!$E$124,"",G574*J574)</f>
        <v>0.10585562247301679</v>
      </c>
      <c r="M574" s="40"/>
    </row>
    <row r="575" spans="2:13">
      <c r="B575" s="39"/>
      <c r="C575" s="75">
        <v>570</v>
      </c>
      <c r="D575" s="110">
        <f>IF($C575&lt;=Entradas!$E$124,"",Observaciones!H575)</f>
        <v>0.54277851294565549</v>
      </c>
      <c r="E575" s="110">
        <f>IF($C575&lt;=Entradas!$E$124,"",LíneaBase!L576)</f>
        <v>0.49705941079184035</v>
      </c>
      <c r="F575" s="79">
        <f>IF($C575&lt;=Entradas!$E$124,"",D575-E575)</f>
        <v>4.5719102153815139E-2</v>
      </c>
      <c r="G575" s="79">
        <f>IF($C575&lt;=Entradas!$E$124,"",D575-AVERAGE(D:D))</f>
        <v>-0.36332016924782273</v>
      </c>
      <c r="H575" s="79">
        <f>IF($C575&lt;=Entradas!$E$124,"",F575^2)</f>
        <v>2.0902363017509841E-3</v>
      </c>
      <c r="I575" s="79">
        <f>IF($C575&lt;=Entradas!$E$124,"",G575^2)</f>
        <v>0.13200154538226655</v>
      </c>
      <c r="J575" s="79">
        <f>IF($C575&lt;=Entradas!$E$124,"",E575-AVERAGE(E:E))</f>
        <v>-0.39852145300527753</v>
      </c>
      <c r="K575" s="79">
        <f>IF($C575&lt;=Entradas!$E$124,"",J575^2)</f>
        <v>0.15881934850543764</v>
      </c>
      <c r="L575" s="79">
        <f>IF($C575&lt;=Entradas!$E$124,"",G575*J575)</f>
        <v>0.14479088175476568</v>
      </c>
      <c r="M575" s="40"/>
    </row>
    <row r="576" spans="2:13">
      <c r="B576" s="39"/>
      <c r="C576" s="75">
        <v>571</v>
      </c>
      <c r="D576" s="110">
        <f>IF($C576&lt;=Entradas!$E$124,"",Observaciones!H576)</f>
        <v>0.48979587905881394</v>
      </c>
      <c r="E576" s="110">
        <f>IF($C576&lt;=Entradas!$E$124,"",LíneaBase!L577)</f>
        <v>0.44294705858422079</v>
      </c>
      <c r="F576" s="79">
        <f>IF($C576&lt;=Entradas!$E$124,"",D576-E576)</f>
        <v>4.6848820474593156E-2</v>
      </c>
      <c r="G576" s="79">
        <f>IF($C576&lt;=Entradas!$E$124,"",D576-AVERAGE(D:D))</f>
        <v>-0.41630280313466428</v>
      </c>
      <c r="H576" s="79">
        <f>IF($C576&lt;=Entradas!$E$124,"",F576^2)</f>
        <v>2.1948119798606588E-3</v>
      </c>
      <c r="I576" s="79">
        <f>IF($C576&lt;=Entradas!$E$124,"",G576^2)</f>
        <v>0.17330802389777905</v>
      </c>
      <c r="J576" s="79">
        <f>IF($C576&lt;=Entradas!$E$124,"",E576-AVERAGE(E:E))</f>
        <v>-0.45263380521289709</v>
      </c>
      <c r="K576" s="79">
        <f>IF($C576&lt;=Entradas!$E$124,"",J576^2)</f>
        <v>0.20487736162150685</v>
      </c>
      <c r="L576" s="79">
        <f>IF($C576&lt;=Entradas!$E$124,"",G576*J576)</f>
        <v>0.18843272190363866</v>
      </c>
      <c r="M576" s="40"/>
    </row>
    <row r="577" spans="2:13">
      <c r="B577" s="39"/>
      <c r="C577" s="75">
        <v>572</v>
      </c>
      <c r="D577" s="110">
        <f>IF($C577&lt;=Entradas!$E$124,"",Observaciones!H577)</f>
        <v>0.43952996938800232</v>
      </c>
      <c r="E577" s="110">
        <f>IF($C577&lt;=Entradas!$E$124,"",LíneaBase!L578)</f>
        <v>0.39164140172488537</v>
      </c>
      <c r="F577" s="79">
        <f>IF($C577&lt;=Entradas!$E$124,"",D577-E577)</f>
        <v>4.7888567663116943E-2</v>
      </c>
      <c r="G577" s="79">
        <f>IF($C577&lt;=Entradas!$E$124,"",D577-AVERAGE(D:D))</f>
        <v>-0.4665687128054759</v>
      </c>
      <c r="H577" s="79">
        <f>IF($C577&lt;=Entradas!$E$124,"",F577^2)</f>
        <v>2.2933149128249296E-3</v>
      </c>
      <c r="I577" s="79">
        <f>IF($C577&lt;=Entradas!$E$124,"",G577^2)</f>
        <v>0.21768636376895867</v>
      </c>
      <c r="J577" s="79">
        <f>IF($C577&lt;=Entradas!$E$124,"",E577-AVERAGE(E:E))</f>
        <v>-0.5039394620722325</v>
      </c>
      <c r="K577" s="79">
        <f>IF($C577&lt;=Entradas!$E$124,"",J577^2)</f>
        <v>0.25395498143365108</v>
      </c>
      <c r="L577" s="79">
        <f>IF($C577&lt;=Entradas!$E$124,"",G577*J577)</f>
        <v>0.23512238615092546</v>
      </c>
      <c r="M577" s="40"/>
    </row>
    <row r="578" spans="2:13">
      <c r="B578" s="39"/>
      <c r="C578" s="75">
        <v>573</v>
      </c>
      <c r="D578" s="110">
        <f>IF($C578&lt;=Entradas!$E$124,"",Observaciones!H578)</f>
        <v>0.3907724027209234</v>
      </c>
      <c r="E578" s="110">
        <f>IF($C578&lt;=Entradas!$E$124,"",LíneaBase!L579)</f>
        <v>0.34188377838194467</v>
      </c>
      <c r="F578" s="79">
        <f>IF($C578&lt;=Entradas!$E$124,"",D578-E578)</f>
        <v>4.8888624338978726E-2</v>
      </c>
      <c r="G578" s="79">
        <f>IF($C578&lt;=Entradas!$E$124,"",D578-AVERAGE(D:D))</f>
        <v>-0.51532627947255483</v>
      </c>
      <c r="H578" s="79">
        <f>IF($C578&lt;=Entradas!$E$124,"",F578^2)</f>
        <v>2.3900975897577829E-3</v>
      </c>
      <c r="I578" s="79">
        <f>IF($C578&lt;=Entradas!$E$124,"",G578^2)</f>
        <v>0.26556117431502568</v>
      </c>
      <c r="J578" s="79">
        <f>IF($C578&lt;=Entradas!$E$124,"",E578-AVERAGE(E:E))</f>
        <v>-0.55369708541517326</v>
      </c>
      <c r="K578" s="79">
        <f>IF($C578&lt;=Entradas!$E$124,"",J578^2)</f>
        <v>0.30658046239725767</v>
      </c>
      <c r="L578" s="79">
        <f>IF($C578&lt;=Entradas!$E$124,"",G578*J578)</f>
        <v>0.28533465898179866</v>
      </c>
      <c r="M578" s="40"/>
    </row>
    <row r="579" spans="2:13">
      <c r="B579" s="39"/>
      <c r="C579" s="75">
        <v>574</v>
      </c>
      <c r="D579" s="110">
        <f>IF($C579&lt;=Entradas!$E$124,"",Observaciones!H579)</f>
        <v>0.36139144171613563</v>
      </c>
      <c r="E579" s="110">
        <f>IF($C579&lt;=Entradas!$E$124,"",LíneaBase!L580)</f>
        <v>0.3270485348228101</v>
      </c>
      <c r="F579" s="79">
        <f>IF($C579&lt;=Entradas!$E$124,"",D579-E579)</f>
        <v>3.4342906893325531E-2</v>
      </c>
      <c r="G579" s="79">
        <f>IF($C579&lt;=Entradas!$E$124,"",D579-AVERAGE(D:D))</f>
        <v>-0.54470724047734254</v>
      </c>
      <c r="H579" s="79">
        <f>IF($C579&lt;=Entradas!$E$124,"",F579^2)</f>
        <v>1.1794352538836263E-3</v>
      </c>
      <c r="I579" s="79">
        <f>IF($C579&lt;=Entradas!$E$124,"",G579^2)</f>
        <v>0.29670597782844149</v>
      </c>
      <c r="J579" s="79">
        <f>IF($C579&lt;=Entradas!$E$124,"",E579-AVERAGE(E:E))</f>
        <v>-0.56853232897430783</v>
      </c>
      <c r="K579" s="79">
        <f>IF($C579&lt;=Entradas!$E$124,"",J579^2)</f>
        <v>0.32322900908895058</v>
      </c>
      <c r="L579" s="79">
        <f>IF($C579&lt;=Entradas!$E$124,"",G579*J579)</f>
        <v>0.30968367603775193</v>
      </c>
      <c r="M579" s="40"/>
    </row>
    <row r="580" spans="2:13">
      <c r="B580" s="39"/>
      <c r="C580" s="75">
        <v>575</v>
      </c>
      <c r="D580" s="110">
        <f>IF($C580&lt;=Entradas!$E$124,"",Observaciones!H580)</f>
        <v>0.35359411380808009</v>
      </c>
      <c r="E580" s="110">
        <f>IF($C580&lt;=Entradas!$E$124,"",LíneaBase!L581)</f>
        <v>0.32192332531264545</v>
      </c>
      <c r="F580" s="79">
        <f>IF($C580&lt;=Entradas!$E$124,"",D580-E580)</f>
        <v>3.1670788495434643E-2</v>
      </c>
      <c r="G580" s="79">
        <f>IF($C580&lt;=Entradas!$E$124,"",D580-AVERAGE(D:D))</f>
        <v>-0.55250456838539819</v>
      </c>
      <c r="H580" s="79">
        <f>IF($C580&lt;=Entradas!$E$124,"",F580^2)</f>
        <v>1.0030388439225553E-3</v>
      </c>
      <c r="I580" s="79">
        <f>IF($C580&lt;=Entradas!$E$124,"",G580^2)</f>
        <v>0.30526129808673513</v>
      </c>
      <c r="J580" s="79">
        <f>IF($C580&lt;=Entradas!$E$124,"",E580-AVERAGE(E:E))</f>
        <v>-0.57365753848447243</v>
      </c>
      <c r="K580" s="79">
        <f>IF($C580&lt;=Entradas!$E$124,"",J580^2)</f>
        <v>0.32908297146006399</v>
      </c>
      <c r="L580" s="79">
        <f>IF($C580&lt;=Entradas!$E$124,"",G580*J580)</f>
        <v>0.3169484107013934</v>
      </c>
      <c r="M580" s="40"/>
    </row>
    <row r="581" spans="2:13">
      <c r="B581" s="39"/>
      <c r="C581" s="75">
        <v>576</v>
      </c>
      <c r="D581" s="110">
        <f>IF($C581&lt;=Entradas!$E$124,"",Observaciones!H581)</f>
        <v>0.3494070854999124</v>
      </c>
      <c r="E581" s="110">
        <f>IF($C581&lt;=Entradas!$E$124,"",LíneaBase!L582)</f>
        <v>0.31843560734221449</v>
      </c>
      <c r="F581" s="79">
        <f>IF($C581&lt;=Entradas!$E$124,"",D581-E581)</f>
        <v>3.0971478157697907E-2</v>
      </c>
      <c r="G581" s="79">
        <f>IF($C581&lt;=Entradas!$E$124,"",D581-AVERAGE(D:D))</f>
        <v>-0.55669159669356583</v>
      </c>
      <c r="H581" s="79">
        <f>IF($C581&lt;=Entradas!$E$124,"",F581^2)</f>
        <v>9.5923245927275857E-4</v>
      </c>
      <c r="I581" s="79">
        <f>IF($C581&lt;=Entradas!$E$124,"",G581^2)</f>
        <v>0.30990553382923175</v>
      </c>
      <c r="J581" s="79">
        <f>IF($C581&lt;=Entradas!$E$124,"",E581-AVERAGE(E:E))</f>
        <v>-0.57714525645490333</v>
      </c>
      <c r="K581" s="79">
        <f>IF($C581&lt;=Entradas!$E$124,"",J581^2)</f>
        <v>0.33309664704839614</v>
      </c>
      <c r="L581" s="79">
        <f>IF($C581&lt;=Entradas!$E$124,"",G581*J581)</f>
        <v>0.32129191433999765</v>
      </c>
      <c r="M581" s="40"/>
    </row>
    <row r="582" spans="2:13">
      <c r="B582" s="39"/>
      <c r="C582" s="75">
        <v>577</v>
      </c>
      <c r="D582" s="110">
        <f>IF($C582&lt;=Entradas!$E$124,"",Observaciones!H582)</f>
        <v>0.34584764413041885</v>
      </c>
      <c r="E582" s="110">
        <f>IF($C582&lt;=Entradas!$E$124,"",LíneaBase!L583)</f>
        <v>0.31524559425272275</v>
      </c>
      <c r="F582" s="79">
        <f>IF($C582&lt;=Entradas!$E$124,"",D582-E582)</f>
        <v>3.0602049877696103E-2</v>
      </c>
      <c r="G582" s="79">
        <f>IF($C582&lt;=Entradas!$E$124,"",D582-AVERAGE(D:D))</f>
        <v>-0.56025103806305943</v>
      </c>
      <c r="H582" s="79">
        <f>IF($C582&lt;=Entradas!$E$124,"",F582^2)</f>
        <v>9.3648545671700008E-4</v>
      </c>
      <c r="I582" s="79">
        <f>IF($C582&lt;=Entradas!$E$124,"",G582^2)</f>
        <v>0.31388122565073567</v>
      </c>
      <c r="J582" s="79">
        <f>IF($C582&lt;=Entradas!$E$124,"",E582-AVERAGE(E:E))</f>
        <v>-0.58033526954439507</v>
      </c>
      <c r="K582" s="79">
        <f>IF($C582&lt;=Entradas!$E$124,"",J582^2)</f>
        <v>0.33678902507716568</v>
      </c>
      <c r="L582" s="79">
        <f>IF($C582&lt;=Entradas!$E$124,"",G582*J582)</f>
        <v>0.32513343718685273</v>
      </c>
      <c r="M582" s="40"/>
    </row>
    <row r="583" spans="2:13">
      <c r="B583" s="39"/>
      <c r="C583" s="75">
        <v>578</v>
      </c>
      <c r="D583" s="110">
        <f>IF($C583&lt;=Entradas!$E$124,"",Observaciones!H583)</f>
        <v>0.3424205684233429</v>
      </c>
      <c r="E583" s="110">
        <f>IF($C583&lt;=Entradas!$E$124,"",LíneaBase!L584)</f>
        <v>0.31213071072269155</v>
      </c>
      <c r="F583" s="79">
        <f>IF($C583&lt;=Entradas!$E$124,"",D583-E583)</f>
        <v>3.0289857700651346E-2</v>
      </c>
      <c r="G583" s="79">
        <f>IF($C583&lt;=Entradas!$E$124,"",D583-AVERAGE(D:D))</f>
        <v>-0.56367811377013533</v>
      </c>
      <c r="H583" s="79">
        <f>IF($C583&lt;=Entradas!$E$124,"",F583^2)</f>
        <v>9.1747547952570761E-4</v>
      </c>
      <c r="I583" s="79">
        <f>IF($C583&lt;=Entradas!$E$124,"",G583^2)</f>
        <v>0.3177330159434576</v>
      </c>
      <c r="J583" s="79">
        <f>IF($C583&lt;=Entradas!$E$124,"",E583-AVERAGE(E:E))</f>
        <v>-0.58345015307442627</v>
      </c>
      <c r="K583" s="79">
        <f>IF($C583&lt;=Entradas!$E$124,"",J583^2)</f>
        <v>0.34041408112257143</v>
      </c>
      <c r="L583" s="79">
        <f>IF($C583&lt;=Entradas!$E$124,"",G583*J583)</f>
        <v>0.32887808176388933</v>
      </c>
      <c r="M583" s="40"/>
    </row>
    <row r="584" spans="2:13">
      <c r="B584" s="39"/>
      <c r="C584" s="75">
        <v>579</v>
      </c>
      <c r="D584" s="110">
        <f>IF($C584&lt;=Entradas!$E$124,"",Observaciones!H584)</f>
        <v>0.34176849874473908</v>
      </c>
      <c r="E584" s="110">
        <f>IF($C584&lt;=Entradas!$E$124,"",LíneaBase!L585)</f>
        <v>0.31177886358744267</v>
      </c>
      <c r="F584" s="79">
        <f>IF($C584&lt;=Entradas!$E$124,"",D584-E584)</f>
        <v>2.9989635157296413E-2</v>
      </c>
      <c r="G584" s="79">
        <f>IF($C584&lt;=Entradas!$E$124,"",D584-AVERAGE(D:D))</f>
        <v>-0.56433018344873909</v>
      </c>
      <c r="H584" s="79">
        <f>IF($C584&lt;=Entradas!$E$124,"",F584^2)</f>
        <v>8.9937821686774907E-4</v>
      </c>
      <c r="I584" s="79">
        <f>IF($C584&lt;=Entradas!$E$124,"",G584^2)</f>
        <v>0.31846855595128754</v>
      </c>
      <c r="J584" s="79">
        <f>IF($C584&lt;=Entradas!$E$124,"",E584-AVERAGE(E:E))</f>
        <v>-0.58380200020967521</v>
      </c>
      <c r="K584" s="79">
        <f>IF($C584&lt;=Entradas!$E$124,"",J584^2)</f>
        <v>0.34082477544881762</v>
      </c>
      <c r="L584" s="79">
        <f>IF($C584&lt;=Entradas!$E$124,"",G584*J584)</f>
        <v>0.32945708987606681</v>
      </c>
      <c r="M584" s="40"/>
    </row>
    <row r="585" spans="2:13">
      <c r="B585" s="39"/>
      <c r="C585" s="75">
        <v>580</v>
      </c>
      <c r="D585" s="110">
        <f>IF($C585&lt;=Entradas!$E$124,"",Observaciones!H585)</f>
        <v>0.33615438869858794</v>
      </c>
      <c r="E585" s="110">
        <f>IF($C585&lt;=Entradas!$E$124,"",LíneaBase!L586)</f>
        <v>0.30646054216073121</v>
      </c>
      <c r="F585" s="79">
        <f>IF($C585&lt;=Entradas!$E$124,"",D585-E585)</f>
        <v>2.9693846537856727E-2</v>
      </c>
      <c r="G585" s="79">
        <f>IF($C585&lt;=Entradas!$E$124,"",D585-AVERAGE(D:D))</f>
        <v>-0.56994429349489029</v>
      </c>
      <c r="H585" s="79">
        <f>IF($C585&lt;=Entradas!$E$124,"",F585^2)</f>
        <v>8.8172452221378596E-4</v>
      </c>
      <c r="I585" s="79">
        <f>IF($C585&lt;=Entradas!$E$124,"",G585^2)</f>
        <v>0.32483649768738965</v>
      </c>
      <c r="J585" s="79">
        <f>IF($C585&lt;=Entradas!$E$124,"",E585-AVERAGE(E:E))</f>
        <v>-0.58912032163638672</v>
      </c>
      <c r="K585" s="79">
        <f>IF($C585&lt;=Entradas!$E$124,"",J585^2)</f>
        <v>0.34706275336495973</v>
      </c>
      <c r="L585" s="79">
        <f>IF($C585&lt;=Entradas!$E$124,"",G585*J585)</f>
        <v>0.33576576549853293</v>
      </c>
      <c r="M585" s="40"/>
    </row>
    <row r="586" spans="2:13">
      <c r="B586" s="39"/>
      <c r="C586" s="75">
        <v>581</v>
      </c>
      <c r="D586" s="110">
        <f>IF($C586&lt;=Entradas!$E$124,"",Observaciones!H586)</f>
        <v>0.33246938960163064</v>
      </c>
      <c r="E586" s="110">
        <f>IF($C586&lt;=Entradas!$E$124,"",LíneaBase!L587)</f>
        <v>0.30306817232534994</v>
      </c>
      <c r="F586" s="79">
        <f>IF($C586&lt;=Entradas!$E$124,"",D586-E586)</f>
        <v>2.94012172762807E-2</v>
      </c>
      <c r="G586" s="79">
        <f>IF($C586&lt;=Entradas!$E$124,"",D586-AVERAGE(D:D))</f>
        <v>-0.57362929259184758</v>
      </c>
      <c r="H586" s="79">
        <f>IF($C586&lt;=Entradas!$E$124,"",F586^2)</f>
        <v>8.6443157732706672E-4</v>
      </c>
      <c r="I586" s="79">
        <f>IF($C586&lt;=Entradas!$E$124,"",G586^2)</f>
        <v>0.3290505653194235</v>
      </c>
      <c r="J586" s="79">
        <f>IF($C586&lt;=Entradas!$E$124,"",E586-AVERAGE(E:E))</f>
        <v>-0.59251269147176799</v>
      </c>
      <c r="K586" s="79">
        <f>IF($C586&lt;=Entradas!$E$124,"",J586^2)</f>
        <v>0.35107128955511852</v>
      </c>
      <c r="L586" s="79">
        <f>IF($C586&lt;=Entradas!$E$124,"",G586*J586)</f>
        <v>0.3398826360606419</v>
      </c>
      <c r="M586" s="40"/>
    </row>
    <row r="587" spans="2:13">
      <c r="B587" s="39"/>
      <c r="C587" s="75">
        <v>582</v>
      </c>
      <c r="D587" s="110">
        <f>IF($C587&lt;=Entradas!$E$124,"",Observaciones!H587)</f>
        <v>0.32913163014044072</v>
      </c>
      <c r="E587" s="110">
        <f>IF($C587&lt;=Entradas!$E$124,"",LíneaBase!L588)</f>
        <v>0.30002011814507867</v>
      </c>
      <c r="F587" s="79">
        <f>IF($C587&lt;=Entradas!$E$124,"",D587-E587)</f>
        <v>2.9111511995362049E-2</v>
      </c>
      <c r="G587" s="79">
        <f>IF($C587&lt;=Entradas!$E$124,"",D587-AVERAGE(D:D))</f>
        <v>-0.57696705205303744</v>
      </c>
      <c r="H587" s="79">
        <f>IF($C587&lt;=Entradas!$E$124,"",F587^2)</f>
        <v>8.474801306561085E-4</v>
      </c>
      <c r="I587" s="79">
        <f>IF($C587&lt;=Entradas!$E$124,"",G587^2)</f>
        <v>0.33289097915477239</v>
      </c>
      <c r="J587" s="79">
        <f>IF($C587&lt;=Entradas!$E$124,"",E587-AVERAGE(E:E))</f>
        <v>-0.5955607456520392</v>
      </c>
      <c r="K587" s="79">
        <f>IF($C587&lt;=Entradas!$E$124,"",J587^2)</f>
        <v>0.35469260176161294</v>
      </c>
      <c r="L587" s="79">
        <f>IF($C587&lt;=Entradas!$E$124,"",G587*J587)</f>
        <v>0.34361892773736591</v>
      </c>
      <c r="M587" s="40"/>
    </row>
    <row r="588" spans="2:13">
      <c r="B588" s="39"/>
      <c r="C588" s="75">
        <v>583</v>
      </c>
      <c r="D588" s="110">
        <f>IF($C588&lt;=Entradas!$E$124,"",Observaciones!H588)</f>
        <v>0.37177130520181545</v>
      </c>
      <c r="E588" s="110">
        <f>IF($C588&lt;=Entradas!$E$124,"",LíneaBase!L589)</f>
        <v>0.34110603549841345</v>
      </c>
      <c r="F588" s="79">
        <f>IF($C588&lt;=Entradas!$E$124,"",D588-E588)</f>
        <v>3.0665269703401998E-2</v>
      </c>
      <c r="G588" s="79">
        <f>IF($C588&lt;=Entradas!$E$124,"",D588-AVERAGE(D:D))</f>
        <v>-0.53432737699166277</v>
      </c>
      <c r="H588" s="79">
        <f>IF($C588&lt;=Entradas!$E$124,"",F588^2)</f>
        <v>9.4035876598238448E-4</v>
      </c>
      <c r="I588" s="79">
        <f>IF($C588&lt;=Entradas!$E$124,"",G588^2)</f>
        <v>0.28550574580279053</v>
      </c>
      <c r="J588" s="79">
        <f>IF($C588&lt;=Entradas!$E$124,"",E588-AVERAGE(E:E))</f>
        <v>-0.55447482829870443</v>
      </c>
      <c r="K588" s="79">
        <f>IF($C588&lt;=Entradas!$E$124,"",J588^2)</f>
        <v>0.30744233521687775</v>
      </c>
      <c r="L588" s="79">
        <f>IF($C588&lt;=Entradas!$E$124,"",G588*J588)</f>
        <v>0.29627108061274932</v>
      </c>
      <c r="M588" s="40"/>
    </row>
    <row r="589" spans="2:13">
      <c r="B589" s="39"/>
      <c r="C589" s="75">
        <v>584</v>
      </c>
      <c r="D589" s="110">
        <f>IF($C589&lt;=Entradas!$E$124,"",Observaciones!H589)</f>
        <v>0.33028100075596389</v>
      </c>
      <c r="E589" s="110">
        <f>IF($C589&lt;=Entradas!$E$124,"",LíneaBase!L590)</f>
        <v>0.30143492661447713</v>
      </c>
      <c r="F589" s="79">
        <f>IF($C589&lt;=Entradas!$E$124,"",D589-E589)</f>
        <v>2.8846074141486766E-2</v>
      </c>
      <c r="G589" s="79">
        <f>IF($C589&lt;=Entradas!$E$124,"",D589-AVERAGE(D:D))</f>
        <v>-0.57581768143751433</v>
      </c>
      <c r="H589" s="79">
        <f>IF($C589&lt;=Entradas!$E$124,"",F589^2)</f>
        <v>8.3209599337615145E-4</v>
      </c>
      <c r="I589" s="79">
        <f>IF($C589&lt;=Entradas!$E$124,"",G589^2)</f>
        <v>0.33156600225607474</v>
      </c>
      <c r="J589" s="79">
        <f>IF($C589&lt;=Entradas!$E$124,"",E589-AVERAGE(E:E))</f>
        <v>-0.59414593718264075</v>
      </c>
      <c r="K589" s="79">
        <f>IF($C589&lt;=Entradas!$E$124,"",J589^2)</f>
        <v>0.35300939467063847</v>
      </c>
      <c r="L589" s="79">
        <f>IF($C589&lt;=Entradas!$E$124,"",G589*J589)</f>
        <v>0.34211973598402723</v>
      </c>
      <c r="M589" s="40"/>
    </row>
    <row r="590" spans="2:13">
      <c r="B590" s="39"/>
      <c r="C590" s="75">
        <v>585</v>
      </c>
      <c r="D590" s="110">
        <f>IF($C590&lt;=Entradas!$E$124,"",Observaciones!H590)</f>
        <v>0.32483740497761687</v>
      </c>
      <c r="E590" s="110">
        <f>IF($C590&lt;=Entradas!$E$124,"",LíneaBase!L591)</f>
        <v>0.2965272906804986</v>
      </c>
      <c r="F590" s="79">
        <f>IF($C590&lt;=Entradas!$E$124,"",D590-E590)</f>
        <v>2.8310114297118272E-2</v>
      </c>
      <c r="G590" s="79">
        <f>IF($C590&lt;=Entradas!$E$124,"",D590-AVERAGE(D:D))</f>
        <v>-0.5812612772158614</v>
      </c>
      <c r="H590" s="79">
        <f>IF($C590&lt;=Entradas!$E$124,"",F590^2)</f>
        <v>8.0146257151590032E-4</v>
      </c>
      <c r="I590" s="79">
        <f>IF($C590&lt;=Entradas!$E$124,"",G590^2)</f>
        <v>0.33786467239061446</v>
      </c>
      <c r="J590" s="79">
        <f>IF($C590&lt;=Entradas!$E$124,"",E590-AVERAGE(E:E))</f>
        <v>-0.59905357311661933</v>
      </c>
      <c r="K590" s="79">
        <f>IF($C590&lt;=Entradas!$E$124,"",J590^2)</f>
        <v>0.35886518346378876</v>
      </c>
      <c r="L590" s="79">
        <f>IF($C590&lt;=Entradas!$E$124,"",G590*J590)</f>
        <v>0.34820664503049159</v>
      </c>
      <c r="M590" s="40"/>
    </row>
    <row r="591" spans="2:13">
      <c r="B591" s="39"/>
      <c r="C591" s="75">
        <v>586</v>
      </c>
      <c r="D591" s="110">
        <f>IF($C591&lt;=Entradas!$E$124,"",Observaciones!H591)</f>
        <v>0.31722606311903995</v>
      </c>
      <c r="E591" s="110">
        <f>IF($C591&lt;=Entradas!$E$124,"",LíneaBase!L592)</f>
        <v>0.28923666670542131</v>
      </c>
      <c r="F591" s="79">
        <f>IF($C591&lt;=Entradas!$E$124,"",D591-E591)</f>
        <v>2.7989396413618639E-2</v>
      </c>
      <c r="G591" s="79">
        <f>IF($C591&lt;=Entradas!$E$124,"",D591-AVERAGE(D:D))</f>
        <v>-0.58887261907443822</v>
      </c>
      <c r="H591" s="79">
        <f>IF($C591&lt;=Entradas!$E$124,"",F591^2)</f>
        <v>7.8340631159868799E-4</v>
      </c>
      <c r="I591" s="79">
        <f>IF($C591&lt;=Entradas!$E$124,"",G591^2)</f>
        <v>0.34677096149558839</v>
      </c>
      <c r="J591" s="79">
        <f>IF($C591&lt;=Entradas!$E$124,"",E591-AVERAGE(E:E))</f>
        <v>-0.60634419709169651</v>
      </c>
      <c r="K591" s="79">
        <f>IF($C591&lt;=Entradas!$E$124,"",J591^2)</f>
        <v>0.36765328534677411</v>
      </c>
      <c r="L591" s="79">
        <f>IF($C591&lt;=Entradas!$E$124,"",G591*J591)</f>
        <v>0.35705949540197468</v>
      </c>
      <c r="M591" s="40"/>
    </row>
    <row r="592" spans="2:13">
      <c r="B592" s="39"/>
      <c r="C592" s="75">
        <v>587</v>
      </c>
      <c r="D592" s="110">
        <f>IF($C592&lt;=Entradas!$E$124,"",Observaciones!H592)</f>
        <v>0.31336847349689817</v>
      </c>
      <c r="E592" s="110">
        <f>IF($C592&lt;=Entradas!$E$124,"",LíneaBase!L593)</f>
        <v>0.28566179469606434</v>
      </c>
      <c r="F592" s="79">
        <f>IF($C592&lt;=Entradas!$E$124,"",D592-E592)</f>
        <v>2.7706678800833828E-2</v>
      </c>
      <c r="G592" s="79">
        <f>IF($C592&lt;=Entradas!$E$124,"",D592-AVERAGE(D:D))</f>
        <v>-0.59273020869658</v>
      </c>
      <c r="H592" s="79">
        <f>IF($C592&lt;=Entradas!$E$124,"",F592^2)</f>
        <v>7.6766005017257462E-4</v>
      </c>
      <c r="I592" s="79">
        <f>IF($C592&lt;=Entradas!$E$124,"",G592^2)</f>
        <v>0.35132910030149128</v>
      </c>
      <c r="J592" s="79">
        <f>IF($C592&lt;=Entradas!$E$124,"",E592-AVERAGE(E:E))</f>
        <v>-0.60991906910105353</v>
      </c>
      <c r="K592" s="79">
        <f>IF($C592&lt;=Entradas!$E$124,"",J592^2)</f>
        <v>0.3720012708530957</v>
      </c>
      <c r="L592" s="79">
        <f>IF($C592&lt;=Entradas!$E$124,"",G592*J592)</f>
        <v>0.36151745711629124</v>
      </c>
      <c r="M592" s="40"/>
    </row>
    <row r="593" spans="2:13">
      <c r="B593" s="39"/>
      <c r="C593" s="75">
        <v>588</v>
      </c>
      <c r="D593" s="110">
        <f>IF($C593&lt;=Entradas!$E$124,"",Observaciones!H593)</f>
        <v>0.3101593328685569</v>
      </c>
      <c r="E593" s="110">
        <f>IF($C593&lt;=Entradas!$E$124,"",LíneaBase!L594)</f>
        <v>0.28272680474811207</v>
      </c>
      <c r="F593" s="79">
        <f>IF($C593&lt;=Entradas!$E$124,"",D593-E593)</f>
        <v>2.7432528120444832E-2</v>
      </c>
      <c r="G593" s="79">
        <f>IF($C593&lt;=Entradas!$E$124,"",D593-AVERAGE(D:D))</f>
        <v>-0.59593934932492132</v>
      </c>
      <c r="H593" s="79">
        <f>IF($C593&lt;=Entradas!$E$124,"",F593^2)</f>
        <v>7.5254359907899653E-4</v>
      </c>
      <c r="I593" s="79">
        <f>IF($C593&lt;=Entradas!$E$124,"",G593^2)</f>
        <v>0.35514370807381063</v>
      </c>
      <c r="J593" s="79">
        <f>IF($C593&lt;=Entradas!$E$124,"",E593-AVERAGE(E:E))</f>
        <v>-0.61285405904900581</v>
      </c>
      <c r="K593" s="79">
        <f>IF($C593&lt;=Entradas!$E$124,"",J593^2)</f>
        <v>0.3755900976928423</v>
      </c>
      <c r="L593" s="79">
        <f>IF($C593&lt;=Entradas!$E$124,"",G593*J593)</f>
        <v>0.36522384918080142</v>
      </c>
      <c r="M593" s="40"/>
    </row>
    <row r="594" spans="2:13">
      <c r="B594" s="39"/>
      <c r="C594" s="75">
        <v>589</v>
      </c>
      <c r="D594" s="110">
        <f>IF($C594&lt;=Entradas!$E$124,"",Observaciones!H594)</f>
        <v>0.30708310671443972</v>
      </c>
      <c r="E594" s="110">
        <f>IF($C594&lt;=Entradas!$E$124,"",LíneaBase!L595)</f>
        <v>0.27992106868329331</v>
      </c>
      <c r="F594" s="79">
        <f>IF($C594&lt;=Entradas!$E$124,"",D594-E594)</f>
        <v>2.7162038031146418E-2</v>
      </c>
      <c r="G594" s="79">
        <f>IF($C594&lt;=Entradas!$E$124,"",D594-AVERAGE(D:D))</f>
        <v>-0.5990155754790385</v>
      </c>
      <c r="H594" s="79">
        <f>IF($C594&lt;=Entradas!$E$124,"",F594^2)</f>
        <v>7.3777631000544438E-4</v>
      </c>
      <c r="I594" s="79">
        <f>IF($C594&lt;=Entradas!$E$124,"",G594^2)</f>
        <v>0.35881965966648366</v>
      </c>
      <c r="J594" s="79">
        <f>IF($C594&lt;=Entradas!$E$124,"",E594-AVERAGE(E:E))</f>
        <v>-0.61565979511382452</v>
      </c>
      <c r="K594" s="79">
        <f>IF($C594&lt;=Entradas!$E$124,"",J594^2)</f>
        <v>0.3790369833195964</v>
      </c>
      <c r="L594" s="79">
        <f>IF($C594&lt;=Entradas!$E$124,"",G594*J594)</f>
        <v>0.36878980646941451</v>
      </c>
      <c r="M594" s="40"/>
    </row>
    <row r="595" spans="2:13">
      <c r="B595" s="39"/>
      <c r="C595" s="75">
        <v>590</v>
      </c>
      <c r="D595" s="110">
        <f>IF($C595&lt;=Entradas!$E$124,"",Observaciones!H595)</f>
        <v>0.30541654655466866</v>
      </c>
      <c r="E595" s="110">
        <f>IF($C595&lt;=Entradas!$E$124,"",LíneaBase!L596)</f>
        <v>0.27852217422364883</v>
      </c>
      <c r="F595" s="79">
        <f>IF($C595&lt;=Entradas!$E$124,"",D595-E595)</f>
        <v>2.6894372331019822E-2</v>
      </c>
      <c r="G595" s="79">
        <f>IF($C595&lt;=Entradas!$E$124,"",D595-AVERAGE(D:D))</f>
        <v>-0.60068213563880957</v>
      </c>
      <c r="H595" s="79">
        <f>IF($C595&lt;=Entradas!$E$124,"",F595^2)</f>
        <v>7.233072630795246E-4</v>
      </c>
      <c r="I595" s="79">
        <f>IF($C595&lt;=Entradas!$E$124,"",G595^2)</f>
        <v>0.36081902807560123</v>
      </c>
      <c r="J595" s="79">
        <f>IF($C595&lt;=Entradas!$E$124,"",E595-AVERAGE(E:E))</f>
        <v>-0.6170586895734691</v>
      </c>
      <c r="K595" s="79">
        <f>IF($C595&lt;=Entradas!$E$124,"",J595^2)</f>
        <v>0.38076142637812688</v>
      </c>
      <c r="L595" s="79">
        <f>IF($C595&lt;=Entradas!$E$124,"",G595*J595)</f>
        <v>0.37065613146747667</v>
      </c>
      <c r="M595" s="40"/>
    </row>
    <row r="596" spans="2:13">
      <c r="B596" s="39"/>
      <c r="C596" s="75">
        <v>591</v>
      </c>
      <c r="D596" s="110">
        <f>IF($C596&lt;=Entradas!$E$124,"",Observaciones!H596)</f>
        <v>0.30128362436071976</v>
      </c>
      <c r="E596" s="110">
        <f>IF($C596&lt;=Entradas!$E$124,"",LíneaBase!L597)</f>
        <v>0.27465425394120696</v>
      </c>
      <c r="F596" s="79">
        <f>IF($C596&lt;=Entradas!$E$124,"",D596-E596)</f>
        <v>2.6629370419512799E-2</v>
      </c>
      <c r="G596" s="79">
        <f>IF($C596&lt;=Entradas!$E$124,"",D596-AVERAGE(D:D))</f>
        <v>-0.60481505783275846</v>
      </c>
      <c r="H596" s="79">
        <f>IF($C596&lt;=Entradas!$E$124,"",F596^2)</f>
        <v>7.091233689396233E-4</v>
      </c>
      <c r="I596" s="79">
        <f>IF($C596&lt;=Entradas!$E$124,"",G596^2)</f>
        <v>0.36580125418124299</v>
      </c>
      <c r="J596" s="79">
        <f>IF($C596&lt;=Entradas!$E$124,"",E596-AVERAGE(E:E))</f>
        <v>-0.62092660985591097</v>
      </c>
      <c r="K596" s="79">
        <f>IF($C596&lt;=Entradas!$E$124,"",J596^2)</f>
        <v>0.3855498548271547</v>
      </c>
      <c r="L596" s="79">
        <f>IF($C596&lt;=Entradas!$E$124,"",G596*J596)</f>
        <v>0.37554576344990143</v>
      </c>
      <c r="M596" s="40"/>
    </row>
    <row r="597" spans="2:13">
      <c r="B597" s="39"/>
      <c r="C597" s="75">
        <v>592</v>
      </c>
      <c r="D597" s="110">
        <f>IF($C597&lt;=Entradas!$E$124,"",Observaciones!H597)</f>
        <v>0.29812856227339773</v>
      </c>
      <c r="E597" s="110">
        <f>IF($C597&lt;=Entradas!$E$124,"",LíneaBase!L598)</f>
        <v>0.2717615782552768</v>
      </c>
      <c r="F597" s="79">
        <f>IF($C597&lt;=Entradas!$E$124,"",D597-E597)</f>
        <v>2.6366984018120931E-2</v>
      </c>
      <c r="G597" s="79">
        <f>IF($C597&lt;=Entradas!$E$124,"",D597-AVERAGE(D:D))</f>
        <v>-0.60797011992008043</v>
      </c>
      <c r="H597" s="79">
        <f>IF($C597&lt;=Entradas!$E$124,"",F597^2)</f>
        <v>6.9521784621184466E-4</v>
      </c>
      <c r="I597" s="79">
        <f>IF($C597&lt;=Entradas!$E$124,"",G597^2)</f>
        <v>0.36962766671563696</v>
      </c>
      <c r="J597" s="79">
        <f>IF($C597&lt;=Entradas!$E$124,"",E597-AVERAGE(E:E))</f>
        <v>-0.62381928554184107</v>
      </c>
      <c r="K597" s="79">
        <f>IF($C597&lt;=Entradas!$E$124,"",J597^2)</f>
        <v>0.38915050101393306</v>
      </c>
      <c r="L597" s="79">
        <f>IF($C597&lt;=Entradas!$E$124,"",G597*J597)</f>
        <v>0.379263485839332</v>
      </c>
      <c r="M597" s="40"/>
    </row>
    <row r="598" spans="2:13">
      <c r="B598" s="39"/>
      <c r="C598" s="75">
        <v>593</v>
      </c>
      <c r="D598" s="110">
        <f>IF($C598&lt;=Entradas!$E$124,"",Observaciones!H598)</f>
        <v>0.29516009291076828</v>
      </c>
      <c r="E598" s="110">
        <f>IF($C598&lt;=Entradas!$E$124,"",LíneaBase!L599)</f>
        <v>0.26905290921100528</v>
      </c>
      <c r="F598" s="79">
        <f>IF($C598&lt;=Entradas!$E$124,"",D598-E598)</f>
        <v>2.6107183699763004E-2</v>
      </c>
      <c r="G598" s="79">
        <f>IF($C598&lt;=Entradas!$E$124,"",D598-AVERAGE(D:D))</f>
        <v>-0.61093858928270994</v>
      </c>
      <c r="H598" s="79">
        <f>IF($C598&lt;=Entradas!$E$124,"",F598^2)</f>
        <v>6.8158504073317103E-4</v>
      </c>
      <c r="I598" s="79">
        <f>IF($C598&lt;=Entradas!$E$124,"",G598^2)</f>
        <v>0.37324595987474773</v>
      </c>
      <c r="J598" s="79">
        <f>IF($C598&lt;=Entradas!$E$124,"",E598-AVERAGE(E:E))</f>
        <v>-0.62652795458611266</v>
      </c>
      <c r="K598" s="79">
        <f>IF($C598&lt;=Entradas!$E$124,"",J598^2)</f>
        <v>0.39253727787785803</v>
      </c>
      <c r="L598" s="79">
        <f>IF($C598&lt;=Entradas!$E$124,"",G598*J598)</f>
        <v>0.38277010472102141</v>
      </c>
      <c r="M598" s="40"/>
    </row>
    <row r="599" spans="2:13">
      <c r="B599" s="39"/>
      <c r="C599" s="75">
        <v>594</v>
      </c>
      <c r="D599" s="110">
        <f>IF($C599&lt;=Entradas!$E$124,"",Observaciones!H599)</f>
        <v>0.35366515771315216</v>
      </c>
      <c r="E599" s="110">
        <f>IF($C599&lt;=Entradas!$E$124,"",LíneaBase!L600)</f>
        <v>0.32564432497821733</v>
      </c>
      <c r="F599" s="79">
        <f>IF($C599&lt;=Entradas!$E$124,"",D599-E599)</f>
        <v>2.8020832734934831E-2</v>
      </c>
      <c r="G599" s="79">
        <f>IF($C599&lt;=Entradas!$E$124,"",D599-AVERAGE(D:D))</f>
        <v>-0.55243352448032601</v>
      </c>
      <c r="H599" s="79">
        <f>IF($C599&lt;=Entradas!$E$124,"",F599^2)</f>
        <v>7.8516706715919533E-4</v>
      </c>
      <c r="I599" s="79">
        <f>IF($C599&lt;=Entradas!$E$124,"",G599^2)</f>
        <v>0.30518279896975498</v>
      </c>
      <c r="J599" s="79">
        <f>IF($C599&lt;=Entradas!$E$124,"",E599-AVERAGE(E:E))</f>
        <v>-0.56993653881890061</v>
      </c>
      <c r="K599" s="79">
        <f>IF($C599&lt;=Entradas!$E$124,"",J599^2)</f>
        <v>0.32482765828086818</v>
      </c>
      <c r="L599" s="79">
        <f>IF($C599&lt;=Entradas!$E$124,"",G599*J599)</f>
        <v>0.31485205086984341</v>
      </c>
      <c r="M599" s="40"/>
    </row>
    <row r="600" spans="2:13">
      <c r="B600" s="39"/>
      <c r="C600" s="75">
        <v>595</v>
      </c>
      <c r="D600" s="110">
        <f>IF($C600&lt;=Entradas!$E$124,"",Observaciones!H600)</f>
        <v>0.2995578058563349</v>
      </c>
      <c r="E600" s="110">
        <f>IF($C600&lt;=Entradas!$E$124,"",LíneaBase!L601)</f>
        <v>0.27360233872223449</v>
      </c>
      <c r="F600" s="79">
        <f>IF($C600&lt;=Entradas!$E$124,"",D600-E600)</f>
        <v>2.5955467134100407E-2</v>
      </c>
      <c r="G600" s="79">
        <f>IF($C600&lt;=Entradas!$E$124,"",D600-AVERAGE(D:D))</f>
        <v>-0.60654087633714338</v>
      </c>
      <c r="H600" s="79">
        <f>IF($C600&lt;=Entradas!$E$124,"",F600^2)</f>
        <v>6.7368627414936646E-4</v>
      </c>
      <c r="I600" s="79">
        <f>IF($C600&lt;=Entradas!$E$124,"",G600^2)</f>
        <v>0.36789183466782988</v>
      </c>
      <c r="J600" s="79">
        <f>IF($C600&lt;=Entradas!$E$124,"",E600-AVERAGE(E:E))</f>
        <v>-0.62197852507488338</v>
      </c>
      <c r="K600" s="79">
        <f>IF($C600&lt;=Entradas!$E$124,"",J600^2)</f>
        <v>0.38685728565432731</v>
      </c>
      <c r="L600" s="79">
        <f>IF($C600&lt;=Entradas!$E$124,"",G600*J600)</f>
        <v>0.37725539966180366</v>
      </c>
      <c r="M600" s="40"/>
    </row>
    <row r="601" spans="2:13">
      <c r="B601" s="39"/>
      <c r="C601" s="75">
        <v>596</v>
      </c>
      <c r="D601" s="110">
        <f>IF($C601&lt;=Entradas!$E$124,"",Observaciones!H601)</f>
        <v>0.2882060622414469</v>
      </c>
      <c r="E601" s="110">
        <f>IF($C601&lt;=Entradas!$E$124,"",LíneaBase!L602)</f>
        <v>0.26280324534627419</v>
      </c>
      <c r="F601" s="79">
        <f>IF($C601&lt;=Entradas!$E$124,"",D601-E601)</f>
        <v>2.5402816895172708E-2</v>
      </c>
      <c r="G601" s="79">
        <f>IF($C601&lt;=Entradas!$E$124,"",D601-AVERAGE(D:D))</f>
        <v>-0.61789261995203137</v>
      </c>
      <c r="H601" s="79">
        <f>IF($C601&lt;=Entradas!$E$124,"",F601^2)</f>
        <v>6.4530310620967198E-4</v>
      </c>
      <c r="I601" s="79">
        <f>IF($C601&lt;=Entradas!$E$124,"",G601^2)</f>
        <v>0.38179128979118548</v>
      </c>
      <c r="J601" s="79">
        <f>IF($C601&lt;=Entradas!$E$124,"",E601-AVERAGE(E:E))</f>
        <v>-0.63277761845084368</v>
      </c>
      <c r="K601" s="79">
        <f>IF($C601&lt;=Entradas!$E$124,"",J601^2)</f>
        <v>0.40040751441232153</v>
      </c>
      <c r="L601" s="79">
        <f>IF($C601&lt;=Entradas!$E$124,"",G601*J601)</f>
        <v>0.39098862051159866</v>
      </c>
      <c r="M601" s="40"/>
    </row>
    <row r="602" spans="2:13">
      <c r="B602" s="39"/>
      <c r="C602" s="75">
        <v>597</v>
      </c>
      <c r="D602" s="110">
        <f>IF($C602&lt;=Entradas!$E$124,"",Observaciones!H602)</f>
        <v>0.28397241266212792</v>
      </c>
      <c r="E602" s="110">
        <f>IF($C602&lt;=Entradas!$E$124,"",LíneaBase!L603)</f>
        <v>0.25886916307135055</v>
      </c>
      <c r="F602" s="79">
        <f>IF($C602&lt;=Entradas!$E$124,"",D602-E602)</f>
        <v>2.5103249590777366E-2</v>
      </c>
      <c r="G602" s="79">
        <f>IF($C602&lt;=Entradas!$E$124,"",D602-AVERAGE(D:D))</f>
        <v>-0.62212626953135031</v>
      </c>
      <c r="H602" s="79">
        <f>IF($C602&lt;=Entradas!$E$124,"",F602^2)</f>
        <v>6.3017314001686403E-4</v>
      </c>
      <c r="I602" s="79">
        <f>IF($C602&lt;=Entradas!$E$124,"",G602^2)</f>
        <v>0.38704109524099434</v>
      </c>
      <c r="J602" s="79">
        <f>IF($C602&lt;=Entradas!$E$124,"",E602-AVERAGE(E:E))</f>
        <v>-0.63671170072576733</v>
      </c>
      <c r="K602" s="79">
        <f>IF($C602&lt;=Entradas!$E$124,"",J602^2)</f>
        <v>0.40540178984109909</v>
      </c>
      <c r="L602" s="79">
        <f>IF($C602&lt;=Entradas!$E$124,"",G602*J602)</f>
        <v>0.39611507513948319</v>
      </c>
      <c r="M602" s="40"/>
    </row>
    <row r="603" spans="2:13">
      <c r="B603" s="39"/>
      <c r="C603" s="75">
        <v>598</v>
      </c>
      <c r="D603" s="110">
        <f>IF($C603&lt;=Entradas!$E$124,"",Observaciones!H603)</f>
        <v>0.28094306841741629</v>
      </c>
      <c r="E603" s="110">
        <f>IF($C603&lt;=Entradas!$E$124,"",LíneaBase!L604)</f>
        <v>0.25609534235872511</v>
      </c>
      <c r="F603" s="79">
        <f>IF($C603&lt;=Entradas!$E$124,"",D603-E603)</f>
        <v>2.4847726058691177E-2</v>
      </c>
      <c r="G603" s="79">
        <f>IF($C603&lt;=Entradas!$E$124,"",D603-AVERAGE(D:D))</f>
        <v>-0.62515561377606188</v>
      </c>
      <c r="H603" s="79">
        <f>IF($C603&lt;=Entradas!$E$124,"",F603^2)</f>
        <v>6.1740949028776056E-4</v>
      </c>
      <c r="I603" s="79">
        <f>IF($C603&lt;=Entradas!$E$124,"",G603^2)</f>
        <v>0.39081954143572467</v>
      </c>
      <c r="J603" s="79">
        <f>IF($C603&lt;=Entradas!$E$124,"",E603-AVERAGE(E:E))</f>
        <v>-0.63948552143839277</v>
      </c>
      <c r="K603" s="79">
        <f>IF($C603&lt;=Entradas!$E$124,"",J603^2)</f>
        <v>0.4089417321293331</v>
      </c>
      <c r="L603" s="79">
        <f>IF($C603&lt;=Entradas!$E$124,"",G603*J603)</f>
        <v>0.39977796365572343</v>
      </c>
      <c r="M603" s="40"/>
    </row>
    <row r="604" spans="2:13">
      <c r="B604" s="39"/>
      <c r="C604" s="75">
        <v>599</v>
      </c>
      <c r="D604" s="110">
        <f>IF($C604&lt;=Entradas!$E$124,"",Observaciones!H604)</f>
        <v>0.27813648896908444</v>
      </c>
      <c r="E604" s="110">
        <f>IF($C604&lt;=Entradas!$E$124,"",LíneaBase!L605)</f>
        <v>0.25353495004195781</v>
      </c>
      <c r="F604" s="79">
        <f>IF($C604&lt;=Entradas!$E$124,"",D604-E604)</f>
        <v>2.4601538927126632E-2</v>
      </c>
      <c r="G604" s="79">
        <f>IF($C604&lt;=Entradas!$E$124,"",D604-AVERAGE(D:D))</f>
        <v>-0.62796219322439373</v>
      </c>
      <c r="H604" s="79">
        <f>IF($C604&lt;=Entradas!$E$124,"",F604^2)</f>
        <v>6.0523571758292697E-4</v>
      </c>
      <c r="I604" s="79">
        <f>IF($C604&lt;=Entradas!$E$124,"",G604^2)</f>
        <v>0.39433651611919079</v>
      </c>
      <c r="J604" s="79">
        <f>IF($C604&lt;=Entradas!$E$124,"",E604-AVERAGE(E:E))</f>
        <v>-0.64204591375516007</v>
      </c>
      <c r="K604" s="79">
        <f>IF($C604&lt;=Entradas!$E$124,"",J604^2)</f>
        <v>0.41222295536969844</v>
      </c>
      <c r="L604" s="79">
        <f>IF($C604&lt;=Entradas!$E$124,"",G604*J604)</f>
        <v>0.40318056015245024</v>
      </c>
      <c r="M604" s="40"/>
    </row>
    <row r="605" spans="2:13">
      <c r="B605" s="39"/>
      <c r="C605" s="75">
        <v>600</v>
      </c>
      <c r="D605" s="110">
        <f>IF($C605&lt;=Entradas!$E$124,"",Observaciones!H605)</f>
        <v>0.27538957518040313</v>
      </c>
      <c r="E605" s="110">
        <f>IF($C605&lt;=Entradas!$E$124,"",LíneaBase!L606)</f>
        <v>0.25103066617994246</v>
      </c>
      <c r="F605" s="79">
        <f>IF($C605&lt;=Entradas!$E$124,"",D605-E605)</f>
        <v>2.4358909000460671E-2</v>
      </c>
      <c r="G605" s="79">
        <f>IF($C605&lt;=Entradas!$E$124,"",D605-AVERAGE(D:D))</f>
        <v>-0.63070910701307503</v>
      </c>
      <c r="H605" s="79">
        <f>IF($C605&lt;=Entradas!$E$124,"",F605^2)</f>
        <v>5.9335644769272389E-4</v>
      </c>
      <c r="I605" s="79">
        <f>IF($C605&lt;=Entradas!$E$124,"",G605^2)</f>
        <v>0.39779397766923053</v>
      </c>
      <c r="J605" s="79">
        <f>IF($C605&lt;=Entradas!$E$124,"",E605-AVERAGE(E:E))</f>
        <v>-0.64455019761717547</v>
      </c>
      <c r="K605" s="79">
        <f>IF($C605&lt;=Entradas!$E$124,"",J605^2)</f>
        <v>0.41544495724833996</v>
      </c>
      <c r="L605" s="79">
        <f>IF($C605&lt;=Entradas!$E$124,"",G605*J605)</f>
        <v>0.4065236795642298</v>
      </c>
      <c r="M605" s="40"/>
    </row>
    <row r="606" spans="2:13">
      <c r="B606" s="39"/>
      <c r="C606" s="75">
        <v>601</v>
      </c>
      <c r="D606" s="110">
        <f>IF($C606&lt;=Entradas!$E$124,"",Observaciones!H606)</f>
        <v>0.27267503930212456</v>
      </c>
      <c r="E606" s="110">
        <f>IF($C606&lt;=Entradas!$E$124,"",LíneaBase!L607)</f>
        <v>0.24855618178681482</v>
      </c>
      <c r="F606" s="79">
        <f>IF($C606&lt;=Entradas!$E$124,"",D606-E606)</f>
        <v>2.4118857515309733E-2</v>
      </c>
      <c r="G606" s="79">
        <f>IF($C606&lt;=Entradas!$E$124,"",D606-AVERAGE(D:D))</f>
        <v>-0.63342364289135367</v>
      </c>
      <c r="H606" s="79">
        <f>IF($C606&lt;=Entradas!$E$124,"",F606^2)</f>
        <v>5.8171928784381277E-4</v>
      </c>
      <c r="I606" s="79">
        <f>IF($C606&lt;=Entradas!$E$124,"",G606^2)</f>
        <v>0.40122551137375312</v>
      </c>
      <c r="J606" s="79">
        <f>IF($C606&lt;=Entradas!$E$124,"",E606-AVERAGE(E:E))</f>
        <v>-0.64702468201030305</v>
      </c>
      <c r="K606" s="79">
        <f>IF($C606&lt;=Entradas!$E$124,"",J606^2)</f>
        <v>0.4186409391305338</v>
      </c>
      <c r="L606" s="79">
        <f>IF($C606&lt;=Entradas!$E$124,"",G606*J606)</f>
        <v>0.40984073111958585</v>
      </c>
      <c r="M606" s="40"/>
    </row>
    <row r="607" spans="2:13">
      <c r="B607" s="39"/>
      <c r="C607" s="75">
        <v>602</v>
      </c>
      <c r="D607" s="110">
        <f>IF($C607&lt;=Entradas!$E$124,"",Observaciones!H607)</f>
        <v>0.26998813183201165</v>
      </c>
      <c r="E607" s="110">
        <f>IF($C607&lt;=Entradas!$E$124,"",LíneaBase!L608)</f>
        <v>0.24610692936267248</v>
      </c>
      <c r="F607" s="79">
        <f>IF($C607&lt;=Entradas!$E$124,"",D607-E607)</f>
        <v>2.3881202469339169E-2</v>
      </c>
      <c r="G607" s="79">
        <f>IF($C607&lt;=Entradas!$E$124,"",D607-AVERAGE(D:D))</f>
        <v>-0.63611055036146658</v>
      </c>
      <c r="H607" s="79">
        <f>IF($C607&lt;=Entradas!$E$124,"",F607^2)</f>
        <v>5.7031183138157122E-4</v>
      </c>
      <c r="I607" s="79">
        <f>IF($C607&lt;=Entradas!$E$124,"",G607^2)</f>
        <v>0.40463663228116792</v>
      </c>
      <c r="J607" s="79">
        <f>IF($C607&lt;=Entradas!$E$124,"",E607-AVERAGE(E:E))</f>
        <v>-0.64947393443444534</v>
      </c>
      <c r="K607" s="79">
        <f>IF($C607&lt;=Entradas!$E$124,"",J607^2)</f>
        <v>0.42181639150975819</v>
      </c>
      <c r="L607" s="79">
        <f>IF($C607&lt;=Entradas!$E$124,"",G607*J607)</f>
        <v>0.41313722187852209</v>
      </c>
      <c r="M607" s="40"/>
    </row>
    <row r="608" spans="2:13">
      <c r="B608" s="39"/>
      <c r="C608" s="75">
        <v>603</v>
      </c>
      <c r="D608" s="110">
        <f>IF($C608&lt;=Entradas!$E$124,"",Observaciones!H608)</f>
        <v>0.26732784536402548</v>
      </c>
      <c r="E608" s="110">
        <f>IF($C608&lt;=Entradas!$E$124,"",LíneaBase!L609)</f>
        <v>0.24368195109918375</v>
      </c>
      <c r="F608" s="79">
        <f>IF($C608&lt;=Entradas!$E$124,"",D608-E608)</f>
        <v>2.3645894264841733E-2</v>
      </c>
      <c r="G608" s="79">
        <f>IF($C608&lt;=Entradas!$E$124,"",D608-AVERAGE(D:D))</f>
        <v>-0.63877083682945268</v>
      </c>
      <c r="H608" s="79">
        <f>IF($C608&lt;=Entradas!$E$124,"",F608^2)</f>
        <v>5.5912831558407514E-4</v>
      </c>
      <c r="I608" s="79">
        <f>IF($C608&lt;=Entradas!$E$124,"",G608^2)</f>
        <v>0.40802818198379925</v>
      </c>
      <c r="J608" s="79">
        <f>IF($C608&lt;=Entradas!$E$124,"",E608-AVERAGE(E:E))</f>
        <v>-0.6518989126979341</v>
      </c>
      <c r="K608" s="79">
        <f>IF($C608&lt;=Entradas!$E$124,"",J608^2)</f>
        <v>0.42497219237674871</v>
      </c>
      <c r="L608" s="79">
        <f>IF($C608&lt;=Entradas!$E$124,"",G608*J608)</f>
        <v>0.41641401399226968</v>
      </c>
      <c r="M608" s="40"/>
    </row>
    <row r="609" spans="2:13">
      <c r="B609" s="39"/>
      <c r="C609" s="75">
        <v>604</v>
      </c>
      <c r="D609" s="110">
        <f>IF($C609&lt;=Entradas!$E$124,"",Observaciones!H609)</f>
        <v>0.26469379560256001</v>
      </c>
      <c r="E609" s="110">
        <f>IF($C609&lt;=Entradas!$E$124,"",LíneaBase!L610)</f>
        <v>0.24128089013658968</v>
      </c>
      <c r="F609" s="79">
        <f>IF($C609&lt;=Entradas!$E$124,"",D609-E609)</f>
        <v>2.341290546597033E-2</v>
      </c>
      <c r="G609" s="79">
        <f>IF($C609&lt;=Entradas!$E$124,"",D609-AVERAGE(D:D))</f>
        <v>-0.64140488659091821</v>
      </c>
      <c r="H609" s="79">
        <f>IF($C609&lt;=Entradas!$E$124,"",F609^2)</f>
        <v>5.4816414235846331E-4</v>
      </c>
      <c r="I609" s="79">
        <f>IF($C609&lt;=Entradas!$E$124,"",G609^2)</f>
        <v>0.41140022854270863</v>
      </c>
      <c r="J609" s="79">
        <f>IF($C609&lt;=Entradas!$E$124,"",E609-AVERAGE(E:E))</f>
        <v>-0.65429997366052817</v>
      </c>
      <c r="K609" s="79">
        <f>IF($C609&lt;=Entradas!$E$124,"",J609^2)</f>
        <v>0.42810845553216786</v>
      </c>
      <c r="L609" s="79">
        <f>IF($C609&lt;=Entradas!$E$124,"",G609*J609)</f>
        <v>0.41967120040217182</v>
      </c>
      <c r="M609" s="40"/>
    </row>
    <row r="610" spans="2:13">
      <c r="B610" s="39"/>
      <c r="C610" s="75">
        <v>605</v>
      </c>
      <c r="D610" s="110">
        <f>IF($C610&lt;=Entradas!$E$124,"",Observaciones!H610)</f>
        <v>0.26208570378810392</v>
      </c>
      <c r="E610" s="110">
        <f>IF($C610&lt;=Entradas!$E$124,"",LíneaBase!L611)</f>
        <v>0.23890349128452917</v>
      </c>
      <c r="F610" s="79">
        <f>IF($C610&lt;=Entradas!$E$124,"",D610-E610)</f>
        <v>2.3182212503574745E-2</v>
      </c>
      <c r="G610" s="79">
        <f>IF($C610&lt;=Entradas!$E$124,"",D610-AVERAGE(D:D))</f>
        <v>-0.6440129784053743</v>
      </c>
      <c r="H610" s="79">
        <f>IF($C610&lt;=Entradas!$E$124,"",F610^2)</f>
        <v>5.374149765608972E-4</v>
      </c>
      <c r="I610" s="79">
        <f>IF($C610&lt;=Entradas!$E$124,"",G610^2)</f>
        <v>0.41475271635456112</v>
      </c>
      <c r="J610" s="79">
        <f>IF($C610&lt;=Entradas!$E$124,"",E610-AVERAGE(E:E))</f>
        <v>-0.65667737251258873</v>
      </c>
      <c r="K610" s="79">
        <f>IF($C610&lt;=Entradas!$E$124,"",J610^2)</f>
        <v>0.4312251715700372</v>
      </c>
      <c r="L610" s="79">
        <f>IF($C610&lt;=Entradas!$E$124,"",G610*J610)</f>
        <v>0.42290875052324772</v>
      </c>
      <c r="M610" s="40"/>
    </row>
    <row r="611" spans="2:13">
      <c r="B611" s="39"/>
      <c r="C611" s="75">
        <v>606</v>
      </c>
      <c r="D611" s="110">
        <f>IF($C611&lt;=Entradas!$E$124,"",Observaciones!H611)</f>
        <v>0.25950331079177474</v>
      </c>
      <c r="E611" s="110">
        <f>IF($C611&lt;=Entradas!$E$124,"",LíneaBase!L612)</f>
        <v>0.23654951815426978</v>
      </c>
      <c r="F611" s="79">
        <f>IF($C611&lt;=Entradas!$E$124,"",D611-E611)</f>
        <v>2.2953792637504966E-2</v>
      </c>
      <c r="G611" s="79">
        <f>IF($C611&lt;=Entradas!$E$124,"",D611-AVERAGE(D:D))</f>
        <v>-0.64659537140170342</v>
      </c>
      <c r="H611" s="79">
        <f>IF($C611&lt;=Entradas!$E$124,"",F611^2)</f>
        <v>5.2687659644557719E-4</v>
      </c>
      <c r="I611" s="79">
        <f>IF($C611&lt;=Entradas!$E$124,"",G611^2)</f>
        <v>0.41808557431810678</v>
      </c>
      <c r="J611" s="79">
        <f>IF($C611&lt;=Entradas!$E$124,"",E611-AVERAGE(E:E))</f>
        <v>-0.65903134564284804</v>
      </c>
      <c r="K611" s="79">
        <f>IF($C611&lt;=Entradas!$E$124,"",J611^2)</f>
        <v>0.43432231453982306</v>
      </c>
      <c r="L611" s="79">
        <f>IF($C611&lt;=Entradas!$E$124,"",G611*J611)</f>
        <v>0.42612661770130172</v>
      </c>
      <c r="M611" s="40"/>
    </row>
    <row r="612" spans="2:13">
      <c r="B612" s="39"/>
      <c r="C612" s="75">
        <v>607</v>
      </c>
      <c r="D612" s="110">
        <f>IF($C612&lt;=Entradas!$E$124,"",Observaciones!H612)</f>
        <v>0.25694636283960831</v>
      </c>
      <c r="E612" s="110">
        <f>IF($C612&lt;=Entradas!$E$124,"",LíneaBase!L613)</f>
        <v>0.23421873938890808</v>
      </c>
      <c r="F612" s="79">
        <f>IF($C612&lt;=Entradas!$E$124,"",D612-E612)</f>
        <v>2.2727623450700229E-2</v>
      </c>
      <c r="G612" s="79">
        <f>IF($C612&lt;=Entradas!$E$124,"",D612-AVERAGE(D:D))</f>
        <v>-0.64915231935386997</v>
      </c>
      <c r="H612" s="79">
        <f>IF($C612&lt;=Entradas!$E$124,"",F612^2)</f>
        <v>5.1654486771681904E-4</v>
      </c>
      <c r="I612" s="79">
        <f>IF($C612&lt;=Entradas!$E$124,"",G612^2)</f>
        <v>0.4213987337225088</v>
      </c>
      <c r="J612" s="79">
        <f>IF($C612&lt;=Entradas!$E$124,"",E612-AVERAGE(E:E))</f>
        <v>-0.66136212440820974</v>
      </c>
      <c r="K612" s="79">
        <f>IF($C612&lt;=Entradas!$E$124,"",J612^2)</f>
        <v>0.43739985960174027</v>
      </c>
      <c r="L612" s="79">
        <f>IF($C612&lt;=Entradas!$E$124,"",G612*J612)</f>
        <v>0.42932475699239203</v>
      </c>
      <c r="M612" s="40"/>
    </row>
    <row r="613" spans="2:13">
      <c r="B613" s="39"/>
      <c r="C613" s="75">
        <v>608</v>
      </c>
      <c r="D613" s="110">
        <f>IF($C613&lt;=Entradas!$E$124,"",Observaciones!H613)</f>
        <v>0.25441460912303321</v>
      </c>
      <c r="E613" s="110">
        <f>IF($C613&lt;=Entradas!$E$124,"",LíneaBase!L614)</f>
        <v>0.23191092635962024</v>
      </c>
      <c r="F613" s="79">
        <f>IF($C613&lt;=Entradas!$E$124,"",D613-E613)</f>
        <v>2.2503682763412969E-2</v>
      </c>
      <c r="G613" s="79">
        <f>IF($C613&lt;=Entradas!$E$124,"",D613-AVERAGE(D:D))</f>
        <v>-0.65168407307044496</v>
      </c>
      <c r="H613" s="79">
        <f>IF($C613&lt;=Entradas!$E$124,"",F613^2)</f>
        <v>5.0641573791633001E-4</v>
      </c>
      <c r="I613" s="79">
        <f>IF($C613&lt;=Entradas!$E$124,"",G613^2)</f>
        <v>0.42469213109368503</v>
      </c>
      <c r="J613" s="79">
        <f>IF($C613&lt;=Entradas!$E$124,"",E613-AVERAGE(E:E))</f>
        <v>-0.66366993743749769</v>
      </c>
      <c r="K613" s="79">
        <f>IF($C613&lt;=Entradas!$E$124,"",J613^2)</f>
        <v>0.44045778585829209</v>
      </c>
      <c r="L613" s="79">
        <f>IF($C613&lt;=Entradas!$E$124,"",G613*J613)</f>
        <v>0.43250312800367591</v>
      </c>
      <c r="M613" s="40"/>
    </row>
    <row r="614" spans="2:13">
      <c r="B614" s="39"/>
      <c r="C614" s="75">
        <v>609</v>
      </c>
      <c r="D614" s="110">
        <f>IF($C614&lt;=Entradas!$E$124,"",Observaciones!H614)</f>
        <v>0.25190780138189772</v>
      </c>
      <c r="E614" s="110">
        <f>IF($C614&lt;=Entradas!$E$124,"",LíneaBase!L615)</f>
        <v>0.22962585276473377</v>
      </c>
      <c r="F614" s="79">
        <f>IF($C614&lt;=Entradas!$E$124,"",D614-E614)</f>
        <v>2.2281948617163955E-2</v>
      </c>
      <c r="G614" s="79">
        <f>IF($C614&lt;=Entradas!$E$124,"",D614-AVERAGE(D:D))</f>
        <v>-0.6541908808115805</v>
      </c>
      <c r="H614" s="79">
        <f>IF($C614&lt;=Entradas!$E$124,"",F614^2)</f>
        <v>4.9648523417793471E-4</v>
      </c>
      <c r="I614" s="79">
        <f>IF($C614&lt;=Entradas!$E$124,"",G614^2)</f>
        <v>0.42796570853703153</v>
      </c>
      <c r="J614" s="79">
        <f>IF($C614&lt;=Entradas!$E$124,"",E614-AVERAGE(E:E))</f>
        <v>-0.66595501103238408</v>
      </c>
      <c r="K614" s="79">
        <f>IF($C614&lt;=Entradas!$E$124,"",J614^2)</f>
        <v>0.44349607671914282</v>
      </c>
      <c r="L614" s="79">
        <f>IF($C614&lt;=Entradas!$E$124,"",G614*J614)</f>
        <v>0.43566169524816117</v>
      </c>
      <c r="M614" s="40"/>
    </row>
    <row r="615" spans="2:13">
      <c r="B615" s="39"/>
      <c r="C615" s="75">
        <v>610</v>
      </c>
      <c r="D615" s="110">
        <f>IF($C615&lt;=Entradas!$E$124,"",Observaciones!H615)</f>
        <v>0.24942569381501734</v>
      </c>
      <c r="E615" s="110">
        <f>IF($C615&lt;=Entradas!$E$124,"",LíneaBase!L616)</f>
        <v>0.22736329454472859</v>
      </c>
      <c r="F615" s="79">
        <f>IF($C615&lt;=Entradas!$E$124,"",D615-E615)</f>
        <v>2.2062399270288746E-2</v>
      </c>
      <c r="G615" s="79">
        <f>IF($C615&lt;=Entradas!$E$124,"",D615-AVERAGE(D:D))</f>
        <v>-0.65667298837846089</v>
      </c>
      <c r="H615" s="79">
        <f>IF($C615&lt;=Entradas!$E$124,"",F615^2)</f>
        <v>4.8674946156163741E-4</v>
      </c>
      <c r="I615" s="79">
        <f>IF($C615&lt;=Entradas!$E$124,"",G615^2)</f>
        <v>0.43121941366589822</v>
      </c>
      <c r="J615" s="79">
        <f>IF($C615&lt;=Entradas!$E$124,"",E615-AVERAGE(E:E))</f>
        <v>-0.66821756925238929</v>
      </c>
      <c r="K615" s="79">
        <f>IF($C615&lt;=Entradas!$E$124,"",J615^2)</f>
        <v>0.44651471985757168</v>
      </c>
      <c r="L615" s="79">
        <f>IF($C615&lt;=Entradas!$E$124,"",G615*J615)</f>
        <v>0.43880042808795761</v>
      </c>
      <c r="M615" s="40"/>
    </row>
    <row r="616" spans="2:13">
      <c r="B616" s="39"/>
      <c r="C616" s="75">
        <v>611</v>
      </c>
      <c r="D616" s="110">
        <f>IF($C616&lt;=Entradas!$E$124,"",Observaciones!H616)</f>
        <v>0.24696804304526951</v>
      </c>
      <c r="E616" s="110">
        <f>IF($C616&lt;=Entradas!$E$124,"",LíneaBase!L617)</f>
        <v>0.22512302984984567</v>
      </c>
      <c r="F616" s="79">
        <f>IF($C616&lt;=Entradas!$E$124,"",D616-E616)</f>
        <v>2.184501319542384E-2</v>
      </c>
      <c r="G616" s="79">
        <f>IF($C616&lt;=Entradas!$E$124,"",D616-AVERAGE(D:D))</f>
        <v>-0.65913063914820869</v>
      </c>
      <c r="H616" s="79">
        <f>IF($C616&lt;=Entradas!$E$124,"",F616^2)</f>
        <v>4.7720460150824171E-4</v>
      </c>
      <c r="I616" s="79">
        <f>IF($C616&lt;=Entradas!$E$124,"",G616^2)</f>
        <v>0.43445319946392608</v>
      </c>
      <c r="J616" s="79">
        <f>IF($C616&lt;=Entradas!$E$124,"",E616-AVERAGE(E:E))</f>
        <v>-0.67045783394727221</v>
      </c>
      <c r="K616" s="79">
        <f>IF($C616&lt;=Entradas!$E$124,"",J616^2)</f>
        <v>0.44951370710126803</v>
      </c>
      <c r="L616" s="79">
        <f>IF($C616&lt;=Entradas!$E$124,"",G616*J616)</f>
        <v>0.44191930061158907</v>
      </c>
      <c r="M616" s="40"/>
    </row>
    <row r="617" spans="2:13">
      <c r="B617" s="39"/>
      <c r="C617" s="75">
        <v>612</v>
      </c>
      <c r="D617" s="110">
        <f>IF($C617&lt;=Entradas!$E$124,"",Observaciones!H617)</f>
        <v>0.24453460809393668</v>
      </c>
      <c r="E617" s="110">
        <f>IF($C617&lt;=Entradas!$E$124,"",LíneaBase!L618)</f>
        <v>0.22290483901660429</v>
      </c>
      <c r="F617" s="79">
        <f>IF($C617&lt;=Entradas!$E$124,"",D617-E617)</f>
        <v>2.1629769077332384E-2</v>
      </c>
      <c r="G617" s="79">
        <f>IF($C617&lt;=Entradas!$E$124,"",D617-AVERAGE(D:D))</f>
        <v>-0.66156407409954154</v>
      </c>
      <c r="H617" s="79">
        <f>IF($C617&lt;=Entradas!$E$124,"",F617^2)</f>
        <v>4.6784691033872417E-4</v>
      </c>
      <c r="I617" s="79">
        <f>IF($C617&lt;=Entradas!$E$124,"",G617^2)</f>
        <v>0.43766702413918368</v>
      </c>
      <c r="J617" s="79">
        <f>IF($C617&lt;=Entradas!$E$124,"",E617-AVERAGE(E:E))</f>
        <v>-0.67267602478051358</v>
      </c>
      <c r="K617" s="79">
        <f>IF($C617&lt;=Entradas!$E$124,"",J617^2)</f>
        <v>0.4524930343145141</v>
      </c>
      <c r="L617" s="79">
        <f>IF($C617&lt;=Entradas!$E$124,"",G617*J617)</f>
        <v>0.44501829150288075</v>
      </c>
      <c r="M617" s="40"/>
    </row>
    <row r="618" spans="2:13">
      <c r="B618" s="39"/>
      <c r="C618" s="75">
        <v>613</v>
      </c>
      <c r="D618" s="110">
        <f>IF($C618&lt;=Entradas!$E$124,"",Observaciones!H618)</f>
        <v>0.24212515035678067</v>
      </c>
      <c r="E618" s="110">
        <f>IF($C618&lt;=Entradas!$E$124,"",LíneaBase!L619)</f>
        <v>0.22070850454597693</v>
      </c>
      <c r="F618" s="79">
        <f>IF($C618&lt;=Entradas!$E$124,"",D618-E618)</f>
        <v>2.1416645810803742E-2</v>
      </c>
      <c r="G618" s="79">
        <f>IF($C618&lt;=Entradas!$E$124,"",D618-AVERAGE(D:D))</f>
        <v>-0.66397353183669749</v>
      </c>
      <c r="H618" s="79">
        <f>IF($C618&lt;=Entradas!$E$124,"",F618^2)</f>
        <v>4.5867271778541745E-4</v>
      </c>
      <c r="I618" s="79">
        <f>IF($C618&lt;=Entradas!$E$124,"",G618^2)</f>
        <v>0.44086085097969796</v>
      </c>
      <c r="J618" s="79">
        <f>IF($C618&lt;=Entradas!$E$124,"",E618-AVERAGE(E:E))</f>
        <v>-0.67487235925114097</v>
      </c>
      <c r="K618" s="79">
        <f>IF($C618&lt;=Entradas!$E$124,"",J618^2)</f>
        <v>0.45545270128120108</v>
      </c>
      <c r="L618" s="79">
        <f>IF($C618&lt;=Entradas!$E$124,"",G618*J618)</f>
        <v>0.44809738391094461</v>
      </c>
      <c r="M618" s="40"/>
    </row>
    <row r="619" spans="2:13">
      <c r="B619" s="39"/>
      <c r="C619" s="75">
        <v>614</v>
      </c>
      <c r="D619" s="110">
        <f>IF($C619&lt;=Entradas!$E$124,"",Observaciones!H619)</f>
        <v>0.23973943358059746</v>
      </c>
      <c r="E619" s="110">
        <f>IF($C619&lt;=Entradas!$E$124,"",LíneaBase!L620)</f>
        <v>0.21853381108201508</v>
      </c>
      <c r="F619" s="79">
        <f>IF($C619&lt;=Entradas!$E$124,"",D619-E619)</f>
        <v>2.1205622498582377E-2</v>
      </c>
      <c r="G619" s="79">
        <f>IF($C619&lt;=Entradas!$E$124,"",D619-AVERAGE(D:D))</f>
        <v>-0.66635924861288076</v>
      </c>
      <c r="H619" s="79">
        <f>IF($C619&lt;=Entradas!$E$124,"",F619^2)</f>
        <v>4.4967842555238311E-4</v>
      </c>
      <c r="I619" s="79">
        <f>IF($C619&lt;=Entradas!$E$124,"",G619^2)</f>
        <v>0.44403464821192301</v>
      </c>
      <c r="J619" s="79">
        <f>IF($C619&lt;=Entradas!$E$124,"",E619-AVERAGE(E:E))</f>
        <v>-0.67704705271510279</v>
      </c>
      <c r="K619" s="79">
        <f>IF($C619&lt;=Entradas!$E$124,"",J619^2)</f>
        <v>0.45839271159020717</v>
      </c>
      <c r="L619" s="79">
        <f>IF($C619&lt;=Entradas!$E$124,"",G619*J619)</f>
        <v>0.45115656532280135</v>
      </c>
      <c r="M619" s="40"/>
    </row>
    <row r="620" spans="2:13">
      <c r="B620" s="39"/>
      <c r="C620" s="75">
        <v>615</v>
      </c>
      <c r="D620" s="110">
        <f>IF($C620&lt;=Entradas!$E$124,"",Observaciones!H620)</f>
        <v>0.23737722384004351</v>
      </c>
      <c r="E620" s="110">
        <f>IF($C620&lt;=Entradas!$E$124,"",LíneaBase!L621)</f>
        <v>0.21638054539072549</v>
      </c>
      <c r="F620" s="79">
        <f>IF($C620&lt;=Entradas!$E$124,"",D620-E620)</f>
        <v>2.0996678449318018E-2</v>
      </c>
      <c r="G620" s="79">
        <f>IF($C620&lt;=Entradas!$E$124,"",D620-AVERAGE(D:D))</f>
        <v>-0.66872145835343466</v>
      </c>
      <c r="H620" s="79">
        <f>IF($C620&lt;=Entradas!$E$124,"",F620^2)</f>
        <v>4.4086050590405569E-4</v>
      </c>
      <c r="I620" s="79">
        <f>IF($C620&lt;=Entradas!$E$124,"",G620^2)</f>
        <v>0.44718838886234447</v>
      </c>
      <c r="J620" s="79">
        <f>IF($C620&lt;=Entradas!$E$124,"",E620-AVERAGE(E:E))</f>
        <v>-0.67920031840639239</v>
      </c>
      <c r="K620" s="79">
        <f>IF($C620&lt;=Entradas!$E$124,"",J620^2)</f>
        <v>0.4613130725233448</v>
      </c>
      <c r="L620" s="79">
        <f>IF($C620&lt;=Entradas!$E$124,"",G620*J620)</f>
        <v>0.45419582743883991</v>
      </c>
      <c r="M620" s="40"/>
    </row>
    <row r="621" spans="2:13">
      <c r="B621" s="39"/>
      <c r="C621" s="75">
        <v>616</v>
      </c>
      <c r="D621" s="110">
        <f>IF($C621&lt;=Entradas!$E$124,"",Observaciones!H621)</f>
        <v>0.23503828951469777</v>
      </c>
      <c r="E621" s="110">
        <f>IF($C621&lt;=Entradas!$E$124,"",LíneaBase!L622)</f>
        <v>0.21424849633916013</v>
      </c>
      <c r="F621" s="79">
        <f>IF($C621&lt;=Entradas!$E$124,"",D621-E621)</f>
        <v>2.0789793175537641E-2</v>
      </c>
      <c r="G621" s="79">
        <f>IF($C621&lt;=Entradas!$E$124,"",D621-AVERAGE(D:D))</f>
        <v>-0.67106039267878048</v>
      </c>
      <c r="H621" s="79">
        <f>IF($C621&lt;=Entradas!$E$124,"",F621^2)</f>
        <v>4.3221550028163145E-4</v>
      </c>
      <c r="I621" s="79">
        <f>IF($C621&lt;=Entradas!$E$124,"",G621^2)</f>
        <v>0.45032205062219904</v>
      </c>
      <c r="J621" s="79">
        <f>IF($C621&lt;=Entradas!$E$124,"",E621-AVERAGE(E:E))</f>
        <v>-0.68133236745795778</v>
      </c>
      <c r="K621" s="79">
        <f>IF($C621&lt;=Entradas!$E$124,"",J621^2)</f>
        <v>0.46421379494586562</v>
      </c>
      <c r="L621" s="79">
        <f>IF($C621&lt;=Entradas!$E$124,"",G621*J621)</f>
        <v>0.4572151660511003</v>
      </c>
      <c r="M621" s="40"/>
    </row>
    <row r="622" spans="2:13">
      <c r="B622" s="39"/>
      <c r="C622" s="75">
        <v>617</v>
      </c>
      <c r="D622" s="110">
        <f>IF($C622&lt;=Entradas!$E$124,"",Observaciones!H622)</f>
        <v>0.23272240126635049</v>
      </c>
      <c r="E622" s="110">
        <f>IF($C622&lt;=Entradas!$E$124,"",LíneaBase!L623)</f>
        <v>0.21213745487471422</v>
      </c>
      <c r="F622" s="79">
        <f>IF($C622&lt;=Entradas!$E$124,"",D622-E622)</f>
        <v>2.0584946391636272E-2</v>
      </c>
      <c r="G622" s="79">
        <f>IF($C622&lt;=Entradas!$E$124,"",D622-AVERAGE(D:D))</f>
        <v>-0.67337628092712776</v>
      </c>
      <c r="H622" s="79">
        <f>IF($C622&lt;=Entradas!$E$124,"",F622^2)</f>
        <v>4.2374001794653914E-4</v>
      </c>
      <c r="I622" s="79">
        <f>IF($C622&lt;=Entradas!$E$124,"",G622^2)</f>
        <v>0.4534356157152501</v>
      </c>
      <c r="J622" s="79">
        <f>IF($C622&lt;=Entradas!$E$124,"",E622-AVERAGE(E:E))</f>
        <v>-0.68344340892240363</v>
      </c>
      <c r="K622" s="79">
        <f>IF($C622&lt;=Entradas!$E$124,"",J622^2)</f>
        <v>0.46709489319947584</v>
      </c>
      <c r="L622" s="79">
        <f>IF($C622&lt;=Entradas!$E$124,"",G622*J622)</f>
        <v>0.46021458092432632</v>
      </c>
      <c r="M622" s="40"/>
    </row>
    <row r="623" spans="2:13">
      <c r="B623" s="39"/>
      <c r="C623" s="75">
        <v>618</v>
      </c>
      <c r="D623" s="110">
        <f>IF($C623&lt;=Entradas!$E$124,"",Observaciones!H623)</f>
        <v>0.23042933201651578</v>
      </c>
      <c r="E623" s="110">
        <f>IF($C623&lt;=Entradas!$E$124,"",LíneaBase!L624)</f>
        <v>0.21004721400462839</v>
      </c>
      <c r="F623" s="79">
        <f>IF($C623&lt;=Entradas!$E$124,"",D623-E623)</f>
        <v>2.0382118011887385E-2</v>
      </c>
      <c r="G623" s="79">
        <f>IF($C623&lt;=Entradas!$E$124,"",D623-AVERAGE(D:D))</f>
        <v>-0.67566935017696239</v>
      </c>
      <c r="H623" s="79">
        <f>IF($C623&lt;=Entradas!$E$124,"",F623^2)</f>
        <v>4.1543073465050417E-4</v>
      </c>
      <c r="I623" s="79">
        <f>IF($C623&lt;=Entradas!$E$124,"",G623^2)</f>
        <v>0.45652907076855864</v>
      </c>
      <c r="J623" s="79">
        <f>IF($C623&lt;=Entradas!$E$124,"",E623-AVERAGE(E:E))</f>
        <v>-0.68553364979248954</v>
      </c>
      <c r="K623" s="79">
        <f>IF($C623&lt;=Entradas!$E$124,"",J623^2)</f>
        <v>0.46995638499781167</v>
      </c>
      <c r="L623" s="79">
        <f>IF($C623&lt;=Entradas!$E$124,"",G623*J623)</f>
        <v>0.4631940756797327</v>
      </c>
      <c r="M623" s="40"/>
    </row>
    <row r="624" spans="2:13">
      <c r="B624" s="39"/>
      <c r="C624" s="75">
        <v>619</v>
      </c>
      <c r="D624" s="110">
        <f>IF($C624&lt;=Entradas!$E$124,"",Observaciones!H624)</f>
        <v>0.22815885692416618</v>
      </c>
      <c r="E624" s="110">
        <f>IF($C624&lt;=Entradas!$E$124,"",LíneaBase!L625)</f>
        <v>0.20797756877569215</v>
      </c>
      <c r="F624" s="79">
        <f>IF($C624&lt;=Entradas!$E$124,"",D624-E624)</f>
        <v>2.018128814847403E-2</v>
      </c>
      <c r="G624" s="79">
        <f>IF($C624&lt;=Entradas!$E$124,"",D624-AVERAGE(D:D))</f>
        <v>-0.67793982526931207</v>
      </c>
      <c r="H624" s="79">
        <f>IF($C624&lt;=Entradas!$E$124,"",F624^2)</f>
        <v>4.0728439133173833E-4</v>
      </c>
      <c r="I624" s="79">
        <f>IF($C624&lt;=Entradas!$E$124,"",G624^2)</f>
        <v>0.45960240668618541</v>
      </c>
      <c r="J624" s="79">
        <f>IF($C624&lt;=Entradas!$E$124,"",E624-AVERAGE(E:E))</f>
        <v>-0.6876032950214257</v>
      </c>
      <c r="K624" s="79">
        <f>IF($C624&lt;=Entradas!$E$124,"",J624^2)</f>
        <v>0.47279829132432177</v>
      </c>
      <c r="L624" s="79">
        <f>IF($C624&lt;=Entradas!$E$124,"",G624*J624)</f>
        <v>0.46615365768142858</v>
      </c>
      <c r="M624" s="40"/>
    </row>
    <row r="625" spans="2:13">
      <c r="B625" s="39"/>
      <c r="C625" s="75">
        <v>620</v>
      </c>
      <c r="D625" s="110">
        <f>IF($C625&lt;=Entradas!$E$124,"",Observaciones!H625)</f>
        <v>0.22591075336368649</v>
      </c>
      <c r="E625" s="110">
        <f>IF($C625&lt;=Entradas!$E$124,"",LíneaBase!L626)</f>
        <v>0.20592831625414776</v>
      </c>
      <c r="F625" s="79">
        <f>IF($C625&lt;=Entradas!$E$124,"",D625-E625)</f>
        <v>1.9982437109538731E-2</v>
      </c>
      <c r="G625" s="79">
        <f>IF($C625&lt;=Entradas!$E$124,"",D625-AVERAGE(D:D))</f>
        <v>-0.68018792882979173</v>
      </c>
      <c r="H625" s="79">
        <f>IF($C625&lt;=Entradas!$E$124,"",F625^2)</f>
        <v>3.9929779283667062E-4</v>
      </c>
      <c r="I625" s="79">
        <f>IF($C625&lt;=Entradas!$E$124,"",G625^2)</f>
        <v>0.46265561852576181</v>
      </c>
      <c r="J625" s="79">
        <f>IF($C625&lt;=Entradas!$E$124,"",E625-AVERAGE(E:E))</f>
        <v>-0.68965254754297012</v>
      </c>
      <c r="K625" s="79">
        <f>IF($C625&lt;=Entradas!$E$124,"",J625^2)</f>
        <v>0.47562063633250867</v>
      </c>
      <c r="L625" s="79">
        <f>IF($C625&lt;=Entradas!$E$124,"",G625*J625)</f>
        <v>0.46909333792544233</v>
      </c>
      <c r="M625" s="40"/>
    </row>
    <row r="626" spans="2:13">
      <c r="B626" s="39"/>
      <c r="C626" s="75">
        <v>621</v>
      </c>
      <c r="D626" s="110">
        <f>IF($C626&lt;=Entradas!$E$124,"",Observaciones!H626)</f>
        <v>0.22368480090304474</v>
      </c>
      <c r="E626" s="110">
        <f>IF($C626&lt;=Entradas!$E$124,"",LíneaBase!L627)</f>
        <v>0.2038992555057921</v>
      </c>
      <c r="F626" s="79">
        <f>IF($C626&lt;=Entradas!$E$124,"",D626-E626)</f>
        <v>1.9785545397252635E-2</v>
      </c>
      <c r="G626" s="79">
        <f>IF($C626&lt;=Entradas!$E$124,"",D626-AVERAGE(D:D))</f>
        <v>-0.68241388129043346</v>
      </c>
      <c r="H626" s="79">
        <f>IF($C626&lt;=Entradas!$E$124,"",F626^2)</f>
        <v>3.9146780666674496E-4</v>
      </c>
      <c r="I626" s="79">
        <f>IF($C626&lt;=Entradas!$E$124,"",G626^2)</f>
        <v>0.46568870537787382</v>
      </c>
      <c r="J626" s="79">
        <f>IF($C626&lt;=Entradas!$E$124,"",E626-AVERAGE(E:E))</f>
        <v>-0.69168160829132574</v>
      </c>
      <c r="K626" s="79">
        <f>IF($C626&lt;=Entradas!$E$124,"",J626^2)</f>
        <v>0.47842344724847496</v>
      </c>
      <c r="L626" s="79">
        <f>IF($C626&lt;=Entradas!$E$124,"",G626*J626)</f>
        <v>0.47201313093129288</v>
      </c>
      <c r="M626" s="40"/>
    </row>
    <row r="627" spans="2:13">
      <c r="B627" s="39"/>
      <c r="C627" s="75">
        <v>622</v>
      </c>
      <c r="D627" s="110">
        <f>IF($C627&lt;=Entradas!$E$124,"",Observaciones!H627)</f>
        <v>0.2214807812821783</v>
      </c>
      <c r="E627" s="110">
        <f>IF($C627&lt;=Entradas!$E$124,"",LíneaBase!L628)</f>
        <v>0.20189018757627458</v>
      </c>
      <c r="F627" s="79">
        <f>IF($C627&lt;=Entradas!$E$124,"",D627-E627)</f>
        <v>1.9590593705903714E-2</v>
      </c>
      <c r="G627" s="79">
        <f>IF($C627&lt;=Entradas!$E$124,"",D627-AVERAGE(D:D))</f>
        <v>-0.68461790091129993</v>
      </c>
      <c r="H627" s="79">
        <f>IF($C627&lt;=Entradas!$E$124,"",F627^2)</f>
        <v>3.8379136174979421E-4</v>
      </c>
      <c r="I627" s="79">
        <f>IF($C627&lt;=Entradas!$E$124,"",G627^2)</f>
        <v>0.46870167024819448</v>
      </c>
      <c r="J627" s="79">
        <f>IF($C627&lt;=Entradas!$E$124,"",E627-AVERAGE(E:E))</f>
        <v>-0.69369067622084324</v>
      </c>
      <c r="K627" s="79">
        <f>IF($C627&lt;=Entradas!$E$124,"",J627^2)</f>
        <v>0.48120675427573079</v>
      </c>
      <c r="L627" s="79">
        <f>IF($C627&lt;=Entradas!$E$124,"",G627*J627)</f>
        <v>0.47491305463605388</v>
      </c>
      <c r="M627" s="40"/>
    </row>
    <row r="628" spans="2:13">
      <c r="B628" s="39"/>
      <c r="C628" s="75">
        <v>623</v>
      </c>
      <c r="D628" s="110">
        <f>IF($C628&lt;=Entradas!$E$124,"",Observaciones!H628)</f>
        <v>0.22270484549910824</v>
      </c>
      <c r="E628" s="110">
        <f>IF($C628&lt;=Entradas!$E$124,"",LíneaBase!L629)</f>
        <v>0.20330728257910477</v>
      </c>
      <c r="F628" s="79">
        <f>IF($C628&lt;=Entradas!$E$124,"",D628-E628)</f>
        <v>1.9397562920003469E-2</v>
      </c>
      <c r="G628" s="79">
        <f>IF($C628&lt;=Entradas!$E$124,"",D628-AVERAGE(D:D))</f>
        <v>-0.68339383669436993</v>
      </c>
      <c r="H628" s="79">
        <f>IF($C628&lt;=Entradas!$E$124,"",F628^2)</f>
        <v>3.7626544723549352E-4</v>
      </c>
      <c r="I628" s="79">
        <f>IF($C628&lt;=Entradas!$E$124,"",G628^2)</f>
        <v>0.46702713603185114</v>
      </c>
      <c r="J628" s="79">
        <f>IF($C628&lt;=Entradas!$E$124,"",E628-AVERAGE(E:E))</f>
        <v>-0.69227358121801308</v>
      </c>
      <c r="K628" s="79">
        <f>IF($C628&lt;=Entradas!$E$124,"",J628^2)</f>
        <v>0.47924271125241297</v>
      </c>
      <c r="L628" s="79">
        <f>IF($C628&lt;=Entradas!$E$124,"",G628*J628)</f>
        <v>0.47309549871072948</v>
      </c>
      <c r="M628" s="40"/>
    </row>
    <row r="629" spans="2:13">
      <c r="B629" s="39"/>
      <c r="C629" s="75">
        <v>624</v>
      </c>
      <c r="D629" s="110">
        <f>IF($C629&lt;=Entradas!$E$124,"",Observaciones!H629)</f>
        <v>0.21770291830396379</v>
      </c>
      <c r="E629" s="110">
        <f>IF($C629&lt;=Entradas!$E$124,"",LíneaBase!L630)</f>
        <v>0.19849648419155064</v>
      </c>
      <c r="F629" s="79">
        <f>IF($C629&lt;=Entradas!$E$124,"",D629-E629)</f>
        <v>1.9206434112413157E-2</v>
      </c>
      <c r="G629" s="79">
        <f>IF($C629&lt;=Entradas!$E$124,"",D629-AVERAGE(D:D))</f>
        <v>-0.6883957638895144</v>
      </c>
      <c r="H629" s="79">
        <f>IF($C629&lt;=Entradas!$E$124,"",F629^2)</f>
        <v>3.6888711131446777E-4</v>
      </c>
      <c r="I629" s="79">
        <f>IF($C629&lt;=Entradas!$E$124,"",G629^2)</f>
        <v>0.47388872774102808</v>
      </c>
      <c r="J629" s="79">
        <f>IF($C629&lt;=Entradas!$E$124,"",E629-AVERAGE(E:E))</f>
        <v>-0.69708437960556724</v>
      </c>
      <c r="K629" s="79">
        <f>IF($C629&lt;=Entradas!$E$124,"",J629^2)</f>
        <v>0.48592663229007854</v>
      </c>
      <c r="L629" s="79">
        <f>IF($C629&lt;=Entradas!$E$124,"",G629*J629)</f>
        <v>0.47986993399402267</v>
      </c>
      <c r="M629" s="40"/>
    </row>
    <row r="630" spans="2:13">
      <c r="B630" s="39"/>
      <c r="C630" s="75">
        <v>625</v>
      </c>
      <c r="D630" s="110">
        <f>IF($C630&lt;=Entradas!$E$124,"",Observaciones!H630)</f>
        <v>0.21509196284851936</v>
      </c>
      <c r="E630" s="110">
        <f>IF($C630&lt;=Entradas!$E$124,"",LíneaBase!L631)</f>
        <v>0.1960747743060321</v>
      </c>
      <c r="F630" s="79">
        <f>IF($C630&lt;=Entradas!$E$124,"",D630-E630)</f>
        <v>1.9017188542487268E-2</v>
      </c>
      <c r="G630" s="79">
        <f>IF($C630&lt;=Entradas!$E$124,"",D630-AVERAGE(D:D))</f>
        <v>-0.69100671934495883</v>
      </c>
      <c r="H630" s="79">
        <f>IF($C630&lt;=Entradas!$E$124,"",F630^2)</f>
        <v>3.6165346006050903E-4</v>
      </c>
      <c r="I630" s="79">
        <f>IF($C630&lt;=Entradas!$E$124,"",G630^2)</f>
        <v>0.47749028617988271</v>
      </c>
      <c r="J630" s="79">
        <f>IF($C630&lt;=Entradas!$E$124,"",E630-AVERAGE(E:E))</f>
        <v>-0.69950608949108584</v>
      </c>
      <c r="K630" s="79">
        <f>IF($C630&lt;=Entradas!$E$124,"",J630^2)</f>
        <v>0.48930876923511096</v>
      </c>
      <c r="L630" s="79">
        <f>IF($C630&lt;=Entradas!$E$124,"",G630*J630)</f>
        <v>0.48336340806105643</v>
      </c>
      <c r="M630" s="40"/>
    </row>
    <row r="631" spans="2:13">
      <c r="B631" s="39"/>
      <c r="C631" s="75">
        <v>626</v>
      </c>
      <c r="D631" s="110">
        <f>IF($C631&lt;=Entradas!$E$124,"",Observaciones!H631)</f>
        <v>0.21289530463026463</v>
      </c>
      <c r="E631" s="110">
        <f>IF($C631&lt;=Entradas!$E$124,"",LíneaBase!L632)</f>
        <v>0.19406549697602793</v>
      </c>
      <c r="F631" s="79">
        <f>IF($C631&lt;=Entradas!$E$124,"",D631-E631)</f>
        <v>1.8829807654236697E-2</v>
      </c>
      <c r="G631" s="79">
        <f>IF($C631&lt;=Entradas!$E$124,"",D631-AVERAGE(D:D))</f>
        <v>-0.6932033775632136</v>
      </c>
      <c r="H631" s="79">
        <f>IF($C631&lt;=Entradas!$E$124,"",F631^2)</f>
        <v>3.5456165629555087E-4</v>
      </c>
      <c r="I631" s="79">
        <f>IF($C631&lt;=Entradas!$E$124,"",G631^2)</f>
        <v>0.48053092266504727</v>
      </c>
      <c r="J631" s="79">
        <f>IF($C631&lt;=Entradas!$E$124,"",E631-AVERAGE(E:E))</f>
        <v>-0.70151536682108995</v>
      </c>
      <c r="K631" s="79">
        <f>IF($C631&lt;=Entradas!$E$124,"",J631^2)</f>
        <v>0.49212380988612836</v>
      </c>
      <c r="L631" s="79">
        <f>IF($C631&lt;=Entradas!$E$124,"",G631*J631)</f>
        <v>0.4862928216928763</v>
      </c>
      <c r="M631" s="40"/>
    </row>
    <row r="632" spans="2:13">
      <c r="B632" s="39"/>
      <c r="C632" s="75">
        <v>627</v>
      </c>
      <c r="D632" s="110">
        <f>IF($C632&lt;=Entradas!$E$124,"",Observaciones!H632)</f>
        <v>0.21078476863253254</v>
      </c>
      <c r="E632" s="110">
        <f>IF($C632&lt;=Entradas!$E$124,"",LíneaBase!L633)</f>
        <v>0.19214049555802384</v>
      </c>
      <c r="F632" s="79">
        <f>IF($C632&lt;=Entradas!$E$124,"",D632-E632)</f>
        <v>1.8644273074508694E-2</v>
      </c>
      <c r="G632" s="79">
        <f>IF($C632&lt;=Entradas!$E$124,"",D632-AVERAGE(D:D))</f>
        <v>-0.69531391356094563</v>
      </c>
      <c r="H632" s="79">
        <f>IF($C632&lt;=Entradas!$E$124,"",F632^2)</f>
        <v>3.4760891847684987E-4</v>
      </c>
      <c r="I632" s="79">
        <f>IF($C632&lt;=Entradas!$E$124,"",G632^2)</f>
        <v>0.48346143839143818</v>
      </c>
      <c r="J632" s="79">
        <f>IF($C632&lt;=Entradas!$E$124,"",E632-AVERAGE(E:E))</f>
        <v>-0.70344036823909406</v>
      </c>
      <c r="K632" s="79">
        <f>IF($C632&lt;=Entradas!$E$124,"",J632^2)</f>
        <v>0.49482835166835226</v>
      </c>
      <c r="L632" s="79">
        <f>IF($C632&lt;=Entradas!$E$124,"",G632*J632)</f>
        <v>0.48911187539707723</v>
      </c>
      <c r="M632" s="40"/>
    </row>
    <row r="633" spans="2:13">
      <c r="B633" s="39"/>
      <c r="C633" s="75">
        <v>628</v>
      </c>
      <c r="D633" s="110">
        <f>IF($C633&lt;=Entradas!$E$124,"",Observaciones!H633)</f>
        <v>0.20870572749525815</v>
      </c>
      <c r="E633" s="110">
        <f>IF($C633&lt;=Entradas!$E$124,"",LíneaBase!L634)</f>
        <v>0.19024516088407256</v>
      </c>
      <c r="F633" s="79">
        <f>IF($C633&lt;=Entradas!$E$124,"",D633-E633)</f>
        <v>1.8460566611185586E-2</v>
      </c>
      <c r="G633" s="79">
        <f>IF($C633&lt;=Entradas!$E$124,"",D633-AVERAGE(D:D))</f>
        <v>-0.69739295469822005</v>
      </c>
      <c r="H633" s="79">
        <f>IF($C633&lt;=Entradas!$E$124,"",F633^2)</f>
        <v>3.4079251960602008E-4</v>
      </c>
      <c r="I633" s="79">
        <f>IF($C633&lt;=Entradas!$E$124,"",G633^2)</f>
        <v>0.48635693326271362</v>
      </c>
      <c r="J633" s="79">
        <f>IF($C633&lt;=Entradas!$E$124,"",E633-AVERAGE(E:E))</f>
        <v>-0.70533570291304537</v>
      </c>
      <c r="K633" s="79">
        <f>IF($C633&lt;=Entradas!$E$124,"",J633^2)</f>
        <v>0.49749845380383978</v>
      </c>
      <c r="L633" s="79">
        <f>IF($C633&lt;=Entradas!$E$124,"",G633*J633)</f>
        <v>0.49189614990867464</v>
      </c>
      <c r="M633" s="40"/>
    </row>
    <row r="634" spans="2:13">
      <c r="B634" s="39"/>
      <c r="C634" s="75">
        <v>629</v>
      </c>
      <c r="D634" s="110">
        <f>IF($C634&lt;=Entradas!$E$124,"",Observaciones!H634)</f>
        <v>0.20664894703919839</v>
      </c>
      <c r="E634" s="110">
        <f>IF($C634&lt;=Entradas!$E$124,"",LíneaBase!L635)</f>
        <v>0.18837027678779714</v>
      </c>
      <c r="F634" s="79">
        <f>IF($C634&lt;=Entradas!$E$124,"",D634-E634)</f>
        <v>1.8278670251401258E-2</v>
      </c>
      <c r="G634" s="79">
        <f>IF($C634&lt;=Entradas!$E$124,"",D634-AVERAGE(D:D))</f>
        <v>-0.69944973515427988</v>
      </c>
      <c r="H634" s="79">
        <f>IF($C634&lt;=Entradas!$E$124,"",F634^2)</f>
        <v>3.3410978615946134E-4</v>
      </c>
      <c r="I634" s="79">
        <f>IF($C634&lt;=Entradas!$E$124,"",G634^2)</f>
        <v>0.48922993200739229</v>
      </c>
      <c r="J634" s="79">
        <f>IF($C634&lt;=Entradas!$E$124,"",E634-AVERAGE(E:E))</f>
        <v>-0.70721058700932071</v>
      </c>
      <c r="K634" s="79">
        <f>IF($C634&lt;=Entradas!$E$124,"",J634^2)</f>
        <v>0.50014681437806796</v>
      </c>
      <c r="L634" s="79">
        <f>IF($C634&lt;=Entradas!$E$124,"",G634*J634)</f>
        <v>0.4946582577819722</v>
      </c>
      <c r="M634" s="40"/>
    </row>
    <row r="635" spans="2:13">
      <c r="B635" s="39"/>
      <c r="C635" s="75">
        <v>630</v>
      </c>
      <c r="D635" s="110">
        <f>IF($C635&lt;=Entradas!$E$124,"",Observaciones!H635)</f>
        <v>0.204612727133172</v>
      </c>
      <c r="E635" s="110">
        <f>IF($C635&lt;=Entradas!$E$124,"",LíneaBase!L636)</f>
        <v>0.18651416097339787</v>
      </c>
      <c r="F635" s="79">
        <f>IF($C635&lt;=Entradas!$E$124,"",D635-E635)</f>
        <v>1.8098566159774121E-2</v>
      </c>
      <c r="G635" s="79">
        <f>IF($C635&lt;=Entradas!$E$124,"",D635-AVERAGE(D:D))</f>
        <v>-0.7014859550603062</v>
      </c>
      <c r="H635" s="79">
        <f>IF($C635&lt;=Entradas!$E$124,"",F635^2)</f>
        <v>3.2755809703972097E-4</v>
      </c>
      <c r="I635" s="79">
        <f>IF($C635&lt;=Entradas!$E$124,"",G635^2)</f>
        <v>0.49208254514686994</v>
      </c>
      <c r="J635" s="79">
        <f>IF($C635&lt;=Entradas!$E$124,"",E635-AVERAGE(E:E))</f>
        <v>-0.70906670282371997</v>
      </c>
      <c r="K635" s="79">
        <f>IF($C635&lt;=Entradas!$E$124,"",J635^2)</f>
        <v>0.50277558905330166</v>
      </c>
      <c r="L635" s="79">
        <f>IF($C635&lt;=Entradas!$E$124,"",G635*J635)</f>
        <v>0.49740033323175953</v>
      </c>
      <c r="M635" s="40"/>
    </row>
    <row r="636" spans="2:13">
      <c r="B636" s="39"/>
      <c r="C636" s="75">
        <v>631</v>
      </c>
      <c r="D636" s="110">
        <f>IF($C636&lt;=Entradas!$E$124,"",Observaciones!H636)</f>
        <v>0.20259661947209576</v>
      </c>
      <c r="E636" s="110">
        <f>IF($C636&lt;=Entradas!$E$124,"",LíneaBase!L637)</f>
        <v>0.18467638279543661</v>
      </c>
      <c r="F636" s="79">
        <f>IF($C636&lt;=Entradas!$E$124,"",D636-E636)</f>
        <v>1.7920236676659151E-2</v>
      </c>
      <c r="G636" s="79">
        <f>IF($C636&lt;=Entradas!$E$124,"",D636-AVERAGE(D:D))</f>
        <v>-0.70350206272138249</v>
      </c>
      <c r="H636" s="79">
        <f>IF($C636&lt;=Entradas!$E$124,"",F636^2)</f>
        <v>3.211348825474798E-4</v>
      </c>
      <c r="I636" s="79">
        <f>IF($C636&lt;=Entradas!$E$124,"",G636^2)</f>
        <v>0.49491515225324001</v>
      </c>
      <c r="J636" s="79">
        <f>IF($C636&lt;=Entradas!$E$124,"",E636-AVERAGE(E:E))</f>
        <v>-0.71090448100168124</v>
      </c>
      <c r="K636" s="79">
        <f>IF($C636&lt;=Entradas!$E$124,"",J636^2)</f>
        <v>0.5053851811082698</v>
      </c>
      <c r="L636" s="79">
        <f>IF($C636&lt;=Entradas!$E$124,"",G636*J636)</f>
        <v>0.50012276878255668</v>
      </c>
      <c r="M636" s="40"/>
    </row>
    <row r="637" spans="2:13">
      <c r="B637" s="39"/>
      <c r="C637" s="75">
        <v>632</v>
      </c>
      <c r="D637" s="110">
        <f>IF($C637&lt;=Entradas!$E$124,"",Observaciones!H637)</f>
        <v>0.21422585354190035</v>
      </c>
      <c r="E637" s="110">
        <f>IF($C637&lt;=Entradas!$E$124,"",LíneaBase!L638)</f>
        <v>0.19648218922548413</v>
      </c>
      <c r="F637" s="79">
        <f>IF($C637&lt;=Entradas!$E$124,"",D637-E637)</f>
        <v>1.7743664316416219E-2</v>
      </c>
      <c r="G637" s="79">
        <f>IF($C637&lt;=Entradas!$E$124,"",D637-AVERAGE(D:D))</f>
        <v>-0.69187282865157784</v>
      </c>
      <c r="H637" s="79">
        <f>IF($C637&lt;=Entradas!$E$124,"",F637^2)</f>
        <v>3.1483762337366225E-4</v>
      </c>
      <c r="I637" s="79">
        <f>IF($C637&lt;=Entradas!$E$124,"",G637^2)</f>
        <v>0.47868801102633557</v>
      </c>
      <c r="J637" s="79">
        <f>IF($C637&lt;=Entradas!$E$124,"",E637-AVERAGE(E:E))</f>
        <v>-0.69909867457163377</v>
      </c>
      <c r="K637" s="79">
        <f>IF($C637&lt;=Entradas!$E$124,"",J637^2)</f>
        <v>0.48873895678781509</v>
      </c>
      <c r="L637" s="79">
        <f>IF($C637&lt;=Entradas!$E$124,"",G637*J637)</f>
        <v>0.48368737748244517</v>
      </c>
      <c r="M637" s="40"/>
    </row>
    <row r="638" spans="2:13">
      <c r="B638" s="39"/>
      <c r="C638" s="75">
        <v>633</v>
      </c>
      <c r="D638" s="110">
        <f>IF($C638&lt;=Entradas!$E$124,"",Observaciones!H638)</f>
        <v>0.30181865919995365</v>
      </c>
      <c r="E638" s="110">
        <f>IF($C638&lt;=Entradas!$E$124,"",LíneaBase!L639)</f>
        <v>0.29120958432978905</v>
      </c>
      <c r="F638" s="79">
        <f>IF($C638&lt;=Entradas!$E$124,"",D638-E638)</f>
        <v>1.0609074870164603E-2</v>
      </c>
      <c r="G638" s="79">
        <f>IF($C638&lt;=Entradas!$E$124,"",D638-AVERAGE(D:D))</f>
        <v>-0.60428002299352457</v>
      </c>
      <c r="H638" s="79">
        <f>IF($C638&lt;=Entradas!$E$124,"",F638^2)</f>
        <v>1.1255246960075809E-4</v>
      </c>
      <c r="I638" s="79">
        <f>IF($C638&lt;=Entradas!$E$124,"",G638^2)</f>
        <v>0.36515434618905457</v>
      </c>
      <c r="J638" s="79">
        <f>IF($C638&lt;=Entradas!$E$124,"",E638-AVERAGE(E:E))</f>
        <v>-0.60437127946732883</v>
      </c>
      <c r="K638" s="79">
        <f>IF($C638&lt;=Entradas!$E$124,"",J638^2)</f>
        <v>0.36526464344497606</v>
      </c>
      <c r="L638" s="79">
        <f>IF($C638&lt;=Entradas!$E$124,"",G638*J638)</f>
        <v>0.36520949065314334</v>
      </c>
      <c r="M638" s="40"/>
    </row>
    <row r="639" spans="2:13">
      <c r="B639" s="39"/>
      <c r="C639" s="75">
        <v>634</v>
      </c>
      <c r="D639" s="110">
        <f>IF($C639&lt;=Entradas!$E$124,"",Observaciones!H639)</f>
        <v>0.23342816843066405</v>
      </c>
      <c r="E639" s="110">
        <f>IF($C639&lt;=Entradas!$E$124,"",LíneaBase!L640)</f>
        <v>0.21057696448937324</v>
      </c>
      <c r="F639" s="79">
        <f>IF($C639&lt;=Entradas!$E$124,"",D639-E639)</f>
        <v>2.285120394129081E-2</v>
      </c>
      <c r="G639" s="79">
        <f>IF($C639&lt;=Entradas!$E$124,"",D639-AVERAGE(D:D))</f>
        <v>-0.67267051376281417</v>
      </c>
      <c r="H639" s="79">
        <f>IF($C639&lt;=Entradas!$E$124,"",F639^2)</f>
        <v>5.2217752156646468E-4</v>
      </c>
      <c r="I639" s="79">
        <f>IF($C639&lt;=Entradas!$E$124,"",G639^2)</f>
        <v>0.45248562008592835</v>
      </c>
      <c r="J639" s="79">
        <f>IF($C639&lt;=Entradas!$E$124,"",E639-AVERAGE(E:E))</f>
        <v>-0.68500389930774463</v>
      </c>
      <c r="K639" s="79">
        <f>IF($C639&lt;=Entradas!$E$124,"",J639^2)</f>
        <v>0.46923034206681474</v>
      </c>
      <c r="L639" s="79">
        <f>IF($C639&lt;=Entradas!$E$124,"",G639*J639)</f>
        <v>0.46078192487687158</v>
      </c>
      <c r="M639" s="40"/>
    </row>
    <row r="640" spans="2:13">
      <c r="B640" s="39"/>
      <c r="C640" s="75">
        <v>635</v>
      </c>
      <c r="D640" s="110">
        <f>IF($C640&lt;=Entradas!$E$124,"",Observaciones!H640)</f>
        <v>0.20082898696949908</v>
      </c>
      <c r="E640" s="110">
        <f>IF($C640&lt;=Entradas!$E$124,"",LíneaBase!L641)</f>
        <v>0.18269940661332268</v>
      </c>
      <c r="F640" s="79">
        <f>IF($C640&lt;=Entradas!$E$124,"",D640-E640)</f>
        <v>1.81295803561764E-2</v>
      </c>
      <c r="G640" s="79">
        <f>IF($C640&lt;=Entradas!$E$124,"",D640-AVERAGE(D:D))</f>
        <v>-0.7052696952239792</v>
      </c>
      <c r="H640" s="79">
        <f>IF($C640&lt;=Entradas!$E$124,"",F640^2)</f>
        <v>3.2868168389105722E-4</v>
      </c>
      <c r="I640" s="79">
        <f>IF($C640&lt;=Entradas!$E$124,"",G640^2)</f>
        <v>0.4974053430013245</v>
      </c>
      <c r="J640" s="79">
        <f>IF($C640&lt;=Entradas!$E$124,"",E640-AVERAGE(E:E))</f>
        <v>-0.71288145718379514</v>
      </c>
      <c r="K640" s="79">
        <f>IF($C640&lt;=Entradas!$E$124,"",J640^2)</f>
        <v>0.50819997199649114</v>
      </c>
      <c r="L640" s="79">
        <f>IF($C640&lt;=Entradas!$E$124,"",G640*J640)</f>
        <v>0.50277368803884137</v>
      </c>
      <c r="M640" s="40"/>
    </row>
    <row r="641" spans="2:13">
      <c r="B641" s="39"/>
      <c r="C641" s="75">
        <v>636</v>
      </c>
      <c r="D641" s="110">
        <f>IF($C641&lt;=Entradas!$E$124,"",Observaciones!H641)</f>
        <v>0.19382244005931062</v>
      </c>
      <c r="E641" s="110">
        <f>IF($C641&lt;=Entradas!$E$124,"",LíneaBase!L642)</f>
        <v>0.17661762170990908</v>
      </c>
      <c r="F641" s="79">
        <f>IF($C641&lt;=Entradas!$E$124,"",D641-E641)</f>
        <v>1.7204818349401546E-2</v>
      </c>
      <c r="G641" s="79">
        <f>IF($C641&lt;=Entradas!$E$124,"",D641-AVERAGE(D:D))</f>
        <v>-0.71227624213416763</v>
      </c>
      <c r="H641" s="79">
        <f>IF($C641&lt;=Entradas!$E$124,"",F641^2)</f>
        <v>2.9600577443590414E-4</v>
      </c>
      <c r="I641" s="79">
        <f>IF($C641&lt;=Entradas!$E$124,"",G641^2)</f>
        <v>0.50733744510877143</v>
      </c>
      <c r="J641" s="79">
        <f>IF($C641&lt;=Entradas!$E$124,"",E641-AVERAGE(E:E))</f>
        <v>-0.71896324208720874</v>
      </c>
      <c r="K641" s="79">
        <f>IF($C641&lt;=Entradas!$E$124,"",J641^2)</f>
        <v>0.51690814347255032</v>
      </c>
      <c r="L641" s="79">
        <f>IF($C641&lt;=Entradas!$E$124,"",G641*J641)</f>
        <v>0.51210043630647484</v>
      </c>
      <c r="M641" s="40"/>
    </row>
    <row r="642" spans="2:13">
      <c r="B642" s="39"/>
      <c r="C642" s="75">
        <v>637</v>
      </c>
      <c r="D642" s="110">
        <f>IF($C642&lt;=Entradas!$E$124,"",Observaciones!H642)</f>
        <v>0.19107837815627893</v>
      </c>
      <c r="E642" s="110">
        <f>IF($C642&lt;=Entradas!$E$124,"",LíneaBase!L643)</f>
        <v>0.17416689254418222</v>
      </c>
      <c r="F642" s="79">
        <f>IF($C642&lt;=Entradas!$E$124,"",D642-E642)</f>
        <v>1.6911485612096711E-2</v>
      </c>
      <c r="G642" s="79">
        <f>IF($C642&lt;=Entradas!$E$124,"",D642-AVERAGE(D:D))</f>
        <v>-0.71502030403719929</v>
      </c>
      <c r="H642" s="79">
        <f>IF($C642&lt;=Entradas!$E$124,"",F642^2)</f>
        <v>2.8599834560815406E-4</v>
      </c>
      <c r="I642" s="79">
        <f>IF($C642&lt;=Entradas!$E$124,"",G642^2)</f>
        <v>0.51125403518544887</v>
      </c>
      <c r="J642" s="79">
        <f>IF($C642&lt;=Entradas!$E$124,"",E642-AVERAGE(E:E))</f>
        <v>-0.72141397125293572</v>
      </c>
      <c r="K642" s="79">
        <f>IF($C642&lt;=Entradas!$E$124,"",J642^2)</f>
        <v>0.52043811791893158</v>
      </c>
      <c r="L642" s="79">
        <f>IF($C642&lt;=Entradas!$E$124,"",G642*J642)</f>
        <v>0.5158256370619575</v>
      </c>
      <c r="M642" s="40"/>
    </row>
    <row r="643" spans="2:13">
      <c r="B643" s="39"/>
      <c r="C643" s="75">
        <v>638</v>
      </c>
      <c r="D643" s="110">
        <f>IF($C643&lt;=Entradas!$E$124,"",Observaciones!H643)</f>
        <v>0.18905719948747957</v>
      </c>
      <c r="E643" s="110">
        <f>IF($C643&lt;=Entradas!$E$124,"",LíneaBase!L644)</f>
        <v>0.17233289127569645</v>
      </c>
      <c r="F643" s="79">
        <f>IF($C643&lt;=Entradas!$E$124,"",D643-E643)</f>
        <v>1.6724308211783112E-2</v>
      </c>
      <c r="G643" s="79">
        <f>IF($C643&lt;=Entradas!$E$124,"",D643-AVERAGE(D:D))</f>
        <v>-0.71704148270599866</v>
      </c>
      <c r="H643" s="79">
        <f>IF($C643&lt;=Entradas!$E$124,"",F643^2)</f>
        <v>2.7970248516271605E-4</v>
      </c>
      <c r="I643" s="79">
        <f>IF($C643&lt;=Entradas!$E$124,"",G643^2)</f>
        <v>0.51414848792121692</v>
      </c>
      <c r="J643" s="79">
        <f>IF($C643&lt;=Entradas!$E$124,"",E643-AVERAGE(E:E))</f>
        <v>-0.72324797252142137</v>
      </c>
      <c r="K643" s="79">
        <f>IF($C643&lt;=Entradas!$E$124,"",J643^2)</f>
        <v>0.52308762975634671</v>
      </c>
      <c r="L643" s="79">
        <f>IF($C643&lt;=Entradas!$E$124,"",G643*J643)</f>
        <v>0.51859879858086733</v>
      </c>
      <c r="M643" s="40"/>
    </row>
    <row r="644" spans="2:13">
      <c r="B644" s="39"/>
      <c r="C644" s="75">
        <v>639</v>
      </c>
      <c r="D644" s="110">
        <f>IF($C644&lt;=Entradas!$E$124,"",Observaciones!H644)</f>
        <v>0.18717140199451726</v>
      </c>
      <c r="E644" s="110">
        <f>IF($C644&lt;=Entradas!$E$124,"",LíneaBase!L645)</f>
        <v>0.17061529145463367</v>
      </c>
      <c r="F644" s="79">
        <f>IF($C644&lt;=Entradas!$E$124,"",D644-E644)</f>
        <v>1.6556110539883595E-2</v>
      </c>
      <c r="G644" s="79">
        <f>IF($C644&lt;=Entradas!$E$124,"",D644-AVERAGE(D:D))</f>
        <v>-0.71892728019896102</v>
      </c>
      <c r="H644" s="79">
        <f>IF($C644&lt;=Entradas!$E$124,"",F644^2)</f>
        <v>2.7410479620884468E-4</v>
      </c>
      <c r="I644" s="79">
        <f>IF($C644&lt;=Entradas!$E$124,"",G644^2)</f>
        <v>0.51685643421427541</v>
      </c>
      <c r="J644" s="79">
        <f>IF($C644&lt;=Entradas!$E$124,"",E644-AVERAGE(E:E))</f>
        <v>-0.72496557234248415</v>
      </c>
      <c r="K644" s="79">
        <f>IF($C644&lt;=Entradas!$E$124,"",J644^2)</f>
        <v>0.52557508108186568</v>
      </c>
      <c r="L644" s="79">
        <f>IF($C644&lt;=Entradas!$E$124,"",G644*J644)</f>
        <v>0.52119752716206524</v>
      </c>
      <c r="M644" s="40"/>
    </row>
    <row r="645" spans="2:13">
      <c r="B645" s="39"/>
      <c r="C645" s="75">
        <v>640</v>
      </c>
      <c r="D645" s="110">
        <f>IF($C645&lt;=Entradas!$E$124,"",Observaciones!H645)</f>
        <v>0.18532334572105638</v>
      </c>
      <c r="E645" s="110">
        <f>IF($C645&lt;=Entradas!$E$124,"",LíneaBase!L646)</f>
        <v>0.16893093217184582</v>
      </c>
      <c r="F645" s="79">
        <f>IF($C645&lt;=Entradas!$E$124,"",D645-E645)</f>
        <v>1.639241354921056E-2</v>
      </c>
      <c r="G645" s="79">
        <f>IF($C645&lt;=Entradas!$E$124,"",D645-AVERAGE(D:D))</f>
        <v>-0.72077533647242187</v>
      </c>
      <c r="H645" s="79">
        <f>IF($C645&lt;=Entradas!$E$124,"",F645^2)</f>
        <v>2.6871122196834196E-4</v>
      </c>
      <c r="I645" s="79">
        <f>IF($C645&lt;=Entradas!$E$124,"",G645^2)</f>
        <v>0.519517085666933</v>
      </c>
      <c r="J645" s="79">
        <f>IF($C645&lt;=Entradas!$E$124,"",E645-AVERAGE(E:E))</f>
        <v>-0.72664993162527203</v>
      </c>
      <c r="K645" s="79">
        <f>IF($C645&lt;=Entradas!$E$124,"",J645^2)</f>
        <v>0.52802012313101254</v>
      </c>
      <c r="L645" s="79">
        <f>IF($C645&lt;=Entradas!$E$124,"",G645*J645)</f>
        <v>0.52375134896486775</v>
      </c>
      <c r="M645" s="40"/>
    </row>
    <row r="646" spans="2:13">
      <c r="B646" s="39"/>
      <c r="C646" s="75">
        <v>641</v>
      </c>
      <c r="D646" s="110">
        <f>IF($C646&lt;=Entradas!$E$124,"",Observaciones!H646)</f>
        <v>0.18349667812756082</v>
      </c>
      <c r="E646" s="110">
        <f>IF($C646&lt;=Entradas!$E$124,"",LíneaBase!L647)</f>
        <v>0.16726587680196861</v>
      </c>
      <c r="F646" s="79">
        <f>IF($C646&lt;=Entradas!$E$124,"",D646-E646)</f>
        <v>1.6230801325592209E-2</v>
      </c>
      <c r="G646" s="79">
        <f>IF($C646&lt;=Entradas!$E$124,"",D646-AVERAGE(D:D))</f>
        <v>-0.72260200406591735</v>
      </c>
      <c r="H646" s="79">
        <f>IF($C646&lt;=Entradas!$E$124,"",F646^2)</f>
        <v>2.6343891167084581E-4</v>
      </c>
      <c r="I646" s="79">
        <f>IF($C646&lt;=Entradas!$E$124,"",G646^2)</f>
        <v>0.52215365628008004</v>
      </c>
      <c r="J646" s="79">
        <f>IF($C646&lt;=Entradas!$E$124,"",E646-AVERAGE(E:E))</f>
        <v>-0.72831498699514929</v>
      </c>
      <c r="K646" s="79">
        <f>IF($C646&lt;=Entradas!$E$124,"",J646^2)</f>
        <v>0.53044272028174444</v>
      </c>
      <c r="L646" s="79">
        <f>IF($C646&lt;=Entradas!$E$124,"",G646*J646)</f>
        <v>0.52628186919393738</v>
      </c>
      <c r="M646" s="40"/>
    </row>
    <row r="647" spans="2:13">
      <c r="B647" s="39"/>
      <c r="C647" s="75">
        <v>642</v>
      </c>
      <c r="D647" s="110">
        <f>IF($C647&lt;=Entradas!$E$124,"",Observaciones!H647)</f>
        <v>0.18168853669317106</v>
      </c>
      <c r="E647" s="110">
        <f>IF($C647&lt;=Entradas!$E$124,"",LíneaBase!L648)</f>
        <v>0.16561767689511808</v>
      </c>
      <c r="F647" s="79">
        <f>IF($C647&lt;=Entradas!$E$124,"",D647-E647)</f>
        <v>1.6070859798052978E-2</v>
      </c>
      <c r="G647" s="79">
        <f>IF($C647&lt;=Entradas!$E$124,"",D647-AVERAGE(D:D))</f>
        <v>-0.72441014550030713</v>
      </c>
      <c r="H647" s="79">
        <f>IF($C647&lt;=Entradas!$E$124,"",F647^2)</f>
        <v>2.5827253464867541E-4</v>
      </c>
      <c r="I647" s="79">
        <f>IF($C647&lt;=Entradas!$E$124,"",G647^2)</f>
        <v>0.52477005890377615</v>
      </c>
      <c r="J647" s="79">
        <f>IF($C647&lt;=Entradas!$E$124,"",E647-AVERAGE(E:E))</f>
        <v>-0.72996318690199979</v>
      </c>
      <c r="K647" s="79">
        <f>IF($C647&lt;=Entradas!$E$124,"",J647^2)</f>
        <v>0.53284625423212384</v>
      </c>
      <c r="L647" s="79">
        <f>IF($C647&lt;=Entradas!$E$124,"",G647*J647)</f>
        <v>0.52879273843354557</v>
      </c>
      <c r="M647" s="40"/>
    </row>
    <row r="648" spans="2:13">
      <c r="B648" s="39"/>
      <c r="C648" s="75">
        <v>643</v>
      </c>
      <c r="D648" s="110">
        <f>IF($C648&lt;=Entradas!$E$124,"",Observaciones!H648)</f>
        <v>0.17989829884973521</v>
      </c>
      <c r="E648" s="110">
        <f>IF($C648&lt;=Entradas!$E$124,"",LíneaBase!L649)</f>
        <v>0.16398579164571089</v>
      </c>
      <c r="F648" s="79">
        <f>IF($C648&lt;=Entradas!$E$124,"",D648-E648)</f>
        <v>1.5912507204024318E-2</v>
      </c>
      <c r="G648" s="79">
        <f>IF($C648&lt;=Entradas!$E$124,"",D648-AVERAGE(D:D))</f>
        <v>-0.72620038334374304</v>
      </c>
      <c r="H648" s="79">
        <f>IF($C648&lt;=Entradas!$E$124,"",F648^2)</f>
        <v>2.5320788551812582E-4</v>
      </c>
      <c r="I648" s="79">
        <f>IF($C648&lt;=Entradas!$E$124,"",G648^2)</f>
        <v>0.52736699676859933</v>
      </c>
      <c r="J648" s="79">
        <f>IF($C648&lt;=Entradas!$E$124,"",E648-AVERAGE(E:E))</f>
        <v>-0.73159507215140696</v>
      </c>
      <c r="K648" s="79">
        <f>IF($C648&lt;=Entradas!$E$124,"",J648^2)</f>
        <v>0.53523134959622232</v>
      </c>
      <c r="L648" s="79">
        <f>IF($C648&lt;=Entradas!$E$124,"",G648*J648)</f>
        <v>0.53128462184874503</v>
      </c>
      <c r="M648" s="40"/>
    </row>
    <row r="649" spans="2:13">
      <c r="B649" s="39"/>
      <c r="C649" s="75">
        <v>644</v>
      </c>
      <c r="D649" s="110">
        <f>IF($C649&lt;=Entradas!$E$124,"",Observaciones!H649)</f>
        <v>0.17812571517269227</v>
      </c>
      <c r="E649" s="110">
        <f>IF($C649&lt;=Entradas!$E$124,"",LíneaBase!L650)</f>
        <v>0.16236999812110167</v>
      </c>
      <c r="F649" s="79">
        <f>IF($C649&lt;=Entradas!$E$124,"",D649-E649)</f>
        <v>1.5755717051590595E-2</v>
      </c>
      <c r="G649" s="79">
        <f>IF($C649&lt;=Entradas!$E$124,"",D649-AVERAGE(D:D))</f>
        <v>-0.72797296702078595</v>
      </c>
      <c r="H649" s="79">
        <f>IF($C649&lt;=Entradas!$E$124,"",F649^2)</f>
        <v>2.4824261980978263E-4</v>
      </c>
      <c r="I649" s="79">
        <f>IF($C649&lt;=Entradas!$E$124,"",G649^2)</f>
        <v>0.52994464071304637</v>
      </c>
      <c r="J649" s="79">
        <f>IF($C649&lt;=Entradas!$E$124,"",E649-AVERAGE(E:E))</f>
        <v>-0.73321086567601623</v>
      </c>
      <c r="K649" s="79">
        <f>IF($C649&lt;=Entradas!$E$124,"",J649^2)</f>
        <v>0.53759817354537309</v>
      </c>
      <c r="L649" s="79">
        <f>IF($C649&lt;=Entradas!$E$124,"",G649*J649)</f>
        <v>0.53375768933804846</v>
      </c>
      <c r="M649" s="40"/>
    </row>
    <row r="650" spans="2:13">
      <c r="B650" s="39"/>
      <c r="C650" s="75">
        <v>645</v>
      </c>
      <c r="D650" s="110">
        <f>IF($C650&lt;=Entradas!$E$124,"",Observaciones!H650)</f>
        <v>0.17637059959529314</v>
      </c>
      <c r="E650" s="110">
        <f>IF($C650&lt;=Entradas!$E$124,"",LíneaBase!L651)</f>
        <v>0.16077012744769953</v>
      </c>
      <c r="F650" s="79">
        <f>IF($C650&lt;=Entradas!$E$124,"",D650-E650)</f>
        <v>1.5600472147593608E-2</v>
      </c>
      <c r="G650" s="79">
        <f>IF($C650&lt;=Entradas!$E$124,"",D650-AVERAGE(D:D))</f>
        <v>-0.72972808259818511</v>
      </c>
      <c r="H650" s="79">
        <f>IF($C650&lt;=Entradas!$E$124,"",F650^2)</f>
        <v>2.4337473122784393E-4</v>
      </c>
      <c r="I650" s="79">
        <f>IF($C650&lt;=Entradas!$E$124,"",G650^2)</f>
        <v>0.53250307453242363</v>
      </c>
      <c r="J650" s="79">
        <f>IF($C650&lt;=Entradas!$E$124,"",E650-AVERAGE(E:E))</f>
        <v>-0.73481073634941829</v>
      </c>
      <c r="K650" s="79">
        <f>IF($C650&lt;=Entradas!$E$124,"",J650^2)</f>
        <v>0.53994681825437429</v>
      </c>
      <c r="L650" s="79">
        <f>IF($C650&lt;=Entradas!$E$124,"",G650*J650)</f>
        <v>0.53621202970882154</v>
      </c>
      <c r="M650" s="40"/>
    </row>
    <row r="651" spans="2:13">
      <c r="B651" s="39"/>
      <c r="C651" s="75">
        <v>646</v>
      </c>
      <c r="D651" s="110">
        <f>IF($C651&lt;=Entradas!$E$124,"",Observaciones!H651)</f>
        <v>0.17463277798969981</v>
      </c>
      <c r="E651" s="110">
        <f>IF($C651&lt;=Entradas!$E$124,"",LíneaBase!L652)</f>
        <v>0.15918602102172885</v>
      </c>
      <c r="F651" s="79">
        <f>IF($C651&lt;=Entradas!$E$124,"",D651-E651)</f>
        <v>1.5446756967970959E-2</v>
      </c>
      <c r="G651" s="79">
        <f>IF($C651&lt;=Entradas!$E$124,"",D651-AVERAGE(D:D))</f>
        <v>-0.73146590420377844</v>
      </c>
      <c r="H651" s="79">
        <f>IF($C651&lt;=Entradas!$E$124,"",F651^2)</f>
        <v>2.3860230082755937E-4</v>
      </c>
      <c r="I651" s="79">
        <f>IF($C651&lt;=Entradas!$E$124,"",G651^2)</f>
        <v>0.53504236901265123</v>
      </c>
      <c r="J651" s="79">
        <f>IF($C651&lt;=Entradas!$E$124,"",E651-AVERAGE(E:E))</f>
        <v>-0.73639484277538902</v>
      </c>
      <c r="K651" s="79">
        <f>IF($C651&lt;=Entradas!$E$124,"",J651^2)</f>
        <v>0.5422773644661899</v>
      </c>
      <c r="L651" s="79">
        <f>IF($C651&lt;=Entradas!$E$124,"",G651*J651)</f>
        <v>0.53864771952169921</v>
      </c>
      <c r="M651" s="40"/>
    </row>
    <row r="652" spans="2:13">
      <c r="B652" s="39"/>
      <c r="C652" s="75">
        <v>647</v>
      </c>
      <c r="D652" s="110">
        <f>IF($C652&lt;=Entradas!$E$124,"",Observaciones!H652)</f>
        <v>0.17291207962067556</v>
      </c>
      <c r="E652" s="110">
        <f>IF($C652&lt;=Entradas!$E$124,"",LíneaBase!L653)</f>
        <v>0.15761752323020045</v>
      </c>
      <c r="F652" s="79">
        <f>IF($C652&lt;=Entradas!$E$124,"",D652-E652)</f>
        <v>1.5294556390475111E-2</v>
      </c>
      <c r="G652" s="79">
        <f>IF($C652&lt;=Entradas!$E$124,"",D652-AVERAGE(D:D))</f>
        <v>-0.73318660257280266</v>
      </c>
      <c r="H652" s="79">
        <f>IF($C652&lt;=Entradas!$E$124,"",F652^2)</f>
        <v>2.3392345518142307E-4</v>
      </c>
      <c r="I652" s="79">
        <f>IF($C652&lt;=Entradas!$E$124,"",G652^2)</f>
        <v>0.53756259419224883</v>
      </c>
      <c r="J652" s="79">
        <f>IF($C652&lt;=Entradas!$E$124,"",E652-AVERAGE(E:E))</f>
        <v>-0.73796334056691748</v>
      </c>
      <c r="K652" s="79">
        <f>IF($C652&lt;=Entradas!$E$124,"",J652^2)</f>
        <v>0.5445898920206842</v>
      </c>
      <c r="L652" s="79">
        <f>IF($C652&lt;=Entradas!$E$124,"",G652*J652)</f>
        <v>0.54106483449353437</v>
      </c>
      <c r="M652" s="40"/>
    </row>
    <row r="653" spans="2:13">
      <c r="B653" s="39"/>
      <c r="C653" s="75">
        <v>648</v>
      </c>
      <c r="D653" s="110">
        <f>IF($C653&lt;=Entradas!$E$124,"",Observaciones!H653)</f>
        <v>0.20755797699425474</v>
      </c>
      <c r="E653" s="110">
        <f>IF($C653&lt;=Entradas!$E$124,"",LíneaBase!L654)</f>
        <v>0.18970584485188779</v>
      </c>
      <c r="F653" s="79">
        <f>IF($C653&lt;=Entradas!$E$124,"",D653-E653)</f>
        <v>1.7852132142366944E-2</v>
      </c>
      <c r="G653" s="79">
        <f>IF($C653&lt;=Entradas!$E$124,"",D653-AVERAGE(D:D))</f>
        <v>-0.69854070519922351</v>
      </c>
      <c r="H653" s="79">
        <f>IF($C653&lt;=Entradas!$E$124,"",F653^2)</f>
        <v>3.1869862202853097E-4</v>
      </c>
      <c r="I653" s="79">
        <f>IF($C653&lt;=Entradas!$E$124,"",G653^2)</f>
        <v>0.48795911682022847</v>
      </c>
      <c r="J653" s="79">
        <f>IF($C653&lt;=Entradas!$E$124,"",E653-AVERAGE(E:E))</f>
        <v>-0.70587501894523008</v>
      </c>
      <c r="K653" s="79">
        <f>IF($C653&lt;=Entradas!$E$124,"",J653^2)</f>
        <v>0.49825954237092895</v>
      </c>
      <c r="L653" s="79">
        <f>IF($C653&lt;=Entradas!$E$124,"",G653*J653)</f>
        <v>0.49308243351651626</v>
      </c>
      <c r="M653" s="40"/>
    </row>
    <row r="654" spans="2:13">
      <c r="B654" s="39"/>
      <c r="C654" s="75">
        <v>649</v>
      </c>
      <c r="D654" s="110">
        <f>IF($C654&lt;=Entradas!$E$124,"",Observaciones!H654)</f>
        <v>0.17759692549910291</v>
      </c>
      <c r="E654" s="110">
        <f>IF($C654&lt;=Entradas!$E$124,"",LíneaBase!L655)</f>
        <v>0.16215288454452015</v>
      </c>
      <c r="F654" s="79">
        <f>IF($C654&lt;=Entradas!$E$124,"",D654-E654)</f>
        <v>1.5444040954582766E-2</v>
      </c>
      <c r="G654" s="79">
        <f>IF($C654&lt;=Entradas!$E$124,"",D654-AVERAGE(D:D))</f>
        <v>-0.72850175669437534</v>
      </c>
      <c r="H654" s="79">
        <f>IF($C654&lt;=Entradas!$E$124,"",F654^2)</f>
        <v>2.3851840100682975E-4</v>
      </c>
      <c r="I654" s="79">
        <f>IF($C654&lt;=Entradas!$E$124,"",G654^2)</f>
        <v>0.53071480950679084</v>
      </c>
      <c r="J654" s="79">
        <f>IF($C654&lt;=Entradas!$E$124,"",E654-AVERAGE(E:E))</f>
        <v>-0.73342797925259773</v>
      </c>
      <c r="K654" s="79">
        <f>IF($C654&lt;=Entradas!$E$124,"",J654^2)</f>
        <v>0.53791660075054892</v>
      </c>
      <c r="L654" s="79">
        <f>IF($C654&lt;=Entradas!$E$124,"",G654*J654)</f>
        <v>0.53430357129432327</v>
      </c>
      <c r="M654" s="40"/>
    </row>
    <row r="655" spans="2:13">
      <c r="B655" s="39"/>
      <c r="C655" s="75">
        <v>650</v>
      </c>
      <c r="D655" s="110">
        <f>IF($C655&lt;=Entradas!$E$124,"",Observaciones!H655)</f>
        <v>0.35656894370068726</v>
      </c>
      <c r="E655" s="110">
        <f>IF($C655&lt;=Entradas!$E$124,"",LíneaBase!L656)</f>
        <v>0.39440063520183488</v>
      </c>
      <c r="F655" s="79">
        <f>IF($C655&lt;=Entradas!$E$124,"",D655-E655)</f>
        <v>-3.7831691501147624E-2</v>
      </c>
      <c r="G655" s="79">
        <f>IF($C655&lt;=Entradas!$E$124,"",D655-AVERAGE(D:D))</f>
        <v>-0.54952973849279096</v>
      </c>
      <c r="H655" s="79">
        <f>IF($C655&lt;=Entradas!$E$124,"",F655^2)</f>
        <v>1.4312368818380054E-3</v>
      </c>
      <c r="I655" s="79">
        <f>IF($C655&lt;=Entradas!$E$124,"",G655^2)</f>
        <v>0.30198293348795524</v>
      </c>
      <c r="J655" s="79">
        <f>IF($C655&lt;=Entradas!$E$124,"",E655-AVERAGE(E:E))</f>
        <v>-0.50118022859528299</v>
      </c>
      <c r="K655" s="79">
        <f>IF($C655&lt;=Entradas!$E$124,"",J655^2)</f>
        <v>0.2511816215348201</v>
      </c>
      <c r="L655" s="79">
        <f>IF($C655&lt;=Entradas!$E$124,"",G655*J655)</f>
        <v>0.27541343995772305</v>
      </c>
      <c r="M655" s="40"/>
    </row>
    <row r="656" spans="2:13">
      <c r="B656" s="39"/>
      <c r="C656" s="75">
        <v>651</v>
      </c>
      <c r="D656" s="110">
        <f>IF($C656&lt;=Entradas!$E$124,"",Observaciones!H656)</f>
        <v>0.36197495685391301</v>
      </c>
      <c r="E656" s="110">
        <f>IF($C656&lt;=Entradas!$E$124,"",LíneaBase!L657)</f>
        <v>0.33959645058840093</v>
      </c>
      <c r="F656" s="79">
        <f>IF($C656&lt;=Entradas!$E$124,"",D656-E656)</f>
        <v>2.2378506265512077E-2</v>
      </c>
      <c r="G656" s="79">
        <f>IF($C656&lt;=Entradas!$E$124,"",D656-AVERAGE(D:D))</f>
        <v>-0.54412372533956521</v>
      </c>
      <c r="H656" s="79">
        <f>IF($C656&lt;=Entradas!$E$124,"",F656^2)</f>
        <v>5.0079754267556332E-4</v>
      </c>
      <c r="I656" s="79">
        <f>IF($C656&lt;=Entradas!$E$124,"",G656^2)</f>
        <v>0.29607062847740662</v>
      </c>
      <c r="J656" s="79">
        <f>IF($C656&lt;=Entradas!$E$124,"",E656-AVERAGE(E:E))</f>
        <v>-0.55598441320871694</v>
      </c>
      <c r="K656" s="79">
        <f>IF($C656&lt;=Entradas!$E$124,"",J656^2)</f>
        <v>0.3091186677310413</v>
      </c>
      <c r="L656" s="79">
        <f>IF($C656&lt;=Entradas!$E$124,"",G656*J656)</f>
        <v>0.30252431014585923</v>
      </c>
      <c r="M656" s="40"/>
    </row>
    <row r="657" spans="2:13">
      <c r="B657" s="39"/>
      <c r="C657" s="75">
        <v>652</v>
      </c>
      <c r="D657" s="110">
        <f>IF($C657&lt;=Entradas!$E$124,"",Observaciones!H657)</f>
        <v>3.1693932735117767</v>
      </c>
      <c r="E657" s="110">
        <f>IF($C657&lt;=Entradas!$E$124,"",LíneaBase!L658)</f>
        <v>3.8378241686790266</v>
      </c>
      <c r="F657" s="79">
        <f>IF($C657&lt;=Entradas!$E$124,"",D657-E657)</f>
        <v>-0.66843089516724996</v>
      </c>
      <c r="G657" s="79">
        <f>IF($C657&lt;=Entradas!$E$124,"",D657-AVERAGE(D:D))</f>
        <v>2.2632945913182985</v>
      </c>
      <c r="H657" s="79">
        <f>IF($C657&lt;=Entradas!$E$124,"",F657^2)</f>
        <v>0.44679986161409113</v>
      </c>
      <c r="I657" s="79">
        <f>IF($C657&lt;=Entradas!$E$124,"",G657^2)</f>
        <v>5.1225024070906633</v>
      </c>
      <c r="J657" s="79">
        <f>IF($C657&lt;=Entradas!$E$124,"",E657-AVERAGE(E:E))</f>
        <v>2.9422433048819085</v>
      </c>
      <c r="K657" s="79">
        <f>IF($C657&lt;=Entradas!$E$124,"",J657^2)</f>
        <v>8.6567956651224147</v>
      </c>
      <c r="L657" s="79">
        <f>IF($C657&lt;=Entradas!$E$124,"",G657*J657)</f>
        <v>6.6591633582816989</v>
      </c>
      <c r="M657" s="40"/>
    </row>
    <row r="658" spans="2:13">
      <c r="B658" s="39"/>
      <c r="C658" s="75">
        <v>653</v>
      </c>
      <c r="D658" s="110">
        <f>IF($C658&lt;=Entradas!$E$124,"",Observaciones!H658)</f>
        <v>0.93817436103621699</v>
      </c>
      <c r="E658" s="110">
        <f>IF($C658&lt;=Entradas!$E$124,"",LíneaBase!L659)</f>
        <v>0.89155784055762777</v>
      </c>
      <c r="F658" s="79">
        <f>IF($C658&lt;=Entradas!$E$124,"",D658-E658)</f>
        <v>4.6616520478589218E-2</v>
      </c>
      <c r="G658" s="79">
        <f>IF($C658&lt;=Entradas!$E$124,"",D658-AVERAGE(D:D))</f>
        <v>3.2075678842738764E-2</v>
      </c>
      <c r="H658" s="79">
        <f>IF($C658&lt;=Entradas!$E$124,"",F658^2)</f>
        <v>2.1730999815307282E-3</v>
      </c>
      <c r="I658" s="79">
        <f>IF($C658&lt;=Entradas!$E$124,"",G658^2)</f>
        <v>1.0288491732225191E-3</v>
      </c>
      <c r="J658" s="79">
        <f>IF($C658&lt;=Entradas!$E$124,"",E658-AVERAGE(E:E))</f>
        <v>-4.0230232394901089E-3</v>
      </c>
      <c r="K658" s="79">
        <f>IF($C658&lt;=Entradas!$E$124,"",J658^2)</f>
        <v>1.618471598547749E-5</v>
      </c>
      <c r="L658" s="79">
        <f>IF($C658&lt;=Entradas!$E$124,"",G658*J658)</f>
        <v>-1.2904120140675926E-4</v>
      </c>
      <c r="M658" s="40"/>
    </row>
    <row r="659" spans="2:13">
      <c r="B659" s="39"/>
      <c r="C659" s="75">
        <v>654</v>
      </c>
      <c r="D659" s="110">
        <f>IF($C659&lt;=Entradas!$E$124,"",Observaciones!H659)</f>
        <v>1.9162861432839533</v>
      </c>
      <c r="E659" s="110">
        <f>IF($C659&lt;=Entradas!$E$124,"",LíneaBase!L660)</f>
        <v>2.1634670084950778</v>
      </c>
      <c r="F659" s="79">
        <f>IF($C659&lt;=Entradas!$E$124,"",D659-E659)</f>
        <v>-0.24718086521112448</v>
      </c>
      <c r="G659" s="79">
        <f>IF($C659&lt;=Entradas!$E$124,"",D659-AVERAGE(D:D))</f>
        <v>1.0101874610904751</v>
      </c>
      <c r="H659" s="79">
        <f>IF($C659&lt;=Entradas!$E$124,"",F659^2)</f>
        <v>6.1098380126520087E-2</v>
      </c>
      <c r="I659" s="79">
        <f>IF($C659&lt;=Entradas!$E$124,"",G659^2)</f>
        <v>1.0204787065444201</v>
      </c>
      <c r="J659" s="79">
        <f>IF($C659&lt;=Entradas!$E$124,"",E659-AVERAGE(E:E))</f>
        <v>1.2678861446979599</v>
      </c>
      <c r="K659" s="79">
        <f>IF($C659&lt;=Entradas!$E$124,"",J659^2)</f>
        <v>1.607535275917056</v>
      </c>
      <c r="L659" s="79">
        <f>IF($C659&lt;=Entradas!$E$124,"",G659*J659)</f>
        <v>1.2808026854642229</v>
      </c>
      <c r="M659" s="40"/>
    </row>
    <row r="660" spans="2:13">
      <c r="B660" s="39"/>
      <c r="C660" s="75">
        <v>655</v>
      </c>
      <c r="D660" s="110">
        <f>IF($C660&lt;=Entradas!$E$124,"",Observaciones!H660)</f>
        <v>1.1379667132872107</v>
      </c>
      <c r="E660" s="110">
        <f>IF($C660&lt;=Entradas!$E$124,"",LíneaBase!L661)</f>
        <v>1.0740389729535746</v>
      </c>
      <c r="F660" s="79">
        <f>IF($C660&lt;=Entradas!$E$124,"",D660-E660)</f>
        <v>6.3927740333636018E-2</v>
      </c>
      <c r="G660" s="79">
        <f>IF($C660&lt;=Entradas!$E$124,"",D660-AVERAGE(D:D))</f>
        <v>0.23186803109373244</v>
      </c>
      <c r="H660" s="79">
        <f>IF($C660&lt;=Entradas!$E$124,"",F660^2)</f>
        <v>4.0867559841647931E-3</v>
      </c>
      <c r="I660" s="79">
        <f>IF($C660&lt;=Entradas!$E$124,"",G660^2)</f>
        <v>5.3762783843284076E-2</v>
      </c>
      <c r="J660" s="79">
        <f>IF($C660&lt;=Entradas!$E$124,"",E660-AVERAGE(E:E))</f>
        <v>0.17845810915645677</v>
      </c>
      <c r="K660" s="79">
        <f>IF($C660&lt;=Entradas!$E$124,"",J660^2)</f>
        <v>3.1847296723697842E-2</v>
      </c>
      <c r="L660" s="79">
        <f>IF($C660&lt;=Entradas!$E$124,"",G660*J660)</f>
        <v>4.1378730402818018E-2</v>
      </c>
      <c r="M660" s="40"/>
    </row>
    <row r="661" spans="2:13">
      <c r="B661" s="39"/>
      <c r="C661" s="75">
        <v>656</v>
      </c>
      <c r="D661" s="110">
        <f>IF($C661&lt;=Entradas!$E$124,"",Observaciones!H661)</f>
        <v>1.0348205459506223</v>
      </c>
      <c r="E661" s="110">
        <f>IF($C661&lt;=Entradas!$E$124,"",LíneaBase!L662)</f>
        <v>0.96992975593689501</v>
      </c>
      <c r="F661" s="79">
        <f>IF($C661&lt;=Entradas!$E$124,"",D661-E661)</f>
        <v>6.4890790013727329E-2</v>
      </c>
      <c r="G661" s="79">
        <f>IF($C661&lt;=Entradas!$E$124,"",D661-AVERAGE(D:D))</f>
        <v>0.12872186375714412</v>
      </c>
      <c r="H661" s="79">
        <f>IF($C661&lt;=Entradas!$E$124,"",F661^2)</f>
        <v>4.2108146286056547E-3</v>
      </c>
      <c r="I661" s="79">
        <f>IF($C661&lt;=Entradas!$E$124,"",G661^2)</f>
        <v>1.6569318209112772E-2</v>
      </c>
      <c r="J661" s="79">
        <f>IF($C661&lt;=Entradas!$E$124,"",E661-AVERAGE(E:E))</f>
        <v>7.4348892139777134E-2</v>
      </c>
      <c r="K661" s="79">
        <f>IF($C661&lt;=Entradas!$E$124,"",J661^2)</f>
        <v>5.5277577624122144E-3</v>
      </c>
      <c r="L661" s="79">
        <f>IF($C661&lt;=Entradas!$E$124,"",G661*J661)</f>
        <v>9.5703279645109954E-3</v>
      </c>
      <c r="M661" s="40"/>
    </row>
    <row r="662" spans="2:13">
      <c r="B662" s="39"/>
      <c r="C662" s="75">
        <v>657</v>
      </c>
      <c r="D662" s="110">
        <f>IF($C662&lt;=Entradas!$E$124,"",Observaciones!H662)</f>
        <v>1.3775360399882048</v>
      </c>
      <c r="E662" s="110">
        <f>IF($C662&lt;=Entradas!$E$124,"",LíneaBase!L663)</f>
        <v>1.4361584960933977</v>
      </c>
      <c r="F662" s="79">
        <f>IF($C662&lt;=Entradas!$E$124,"",D662-E662)</f>
        <v>-5.8622456105192899E-2</v>
      </c>
      <c r="G662" s="79">
        <f>IF($C662&lt;=Entradas!$E$124,"",D662-AVERAGE(D:D))</f>
        <v>0.47143735779472662</v>
      </c>
      <c r="H662" s="79">
        <f>IF($C662&lt;=Entradas!$E$124,"",F662^2)</f>
        <v>3.4365923598052681E-3</v>
      </c>
      <c r="I662" s="79">
        <f>IF($C662&lt;=Entradas!$E$124,"",G662^2)</f>
        <v>0.22225318232447308</v>
      </c>
      <c r="J662" s="79">
        <f>IF($C662&lt;=Entradas!$E$124,"",E662-AVERAGE(E:E))</f>
        <v>0.54057763229627986</v>
      </c>
      <c r="K662" s="79">
        <f>IF($C662&lt;=Entradas!$E$124,"",J662^2)</f>
        <v>0.29222417653905197</v>
      </c>
      <c r="L662" s="79">
        <f>IF($C662&lt;=Entradas!$E$124,"",G662*J662)</f>
        <v>0.25484849065268744</v>
      </c>
      <c r="M662" s="40"/>
    </row>
    <row r="663" spans="2:13">
      <c r="B663" s="39"/>
      <c r="C663" s="75">
        <v>658</v>
      </c>
      <c r="D663" s="110">
        <f>IF($C663&lt;=Entradas!$E$124,"",Observaciones!H663)</f>
        <v>1.2260342853661697</v>
      </c>
      <c r="E663" s="110">
        <f>IF($C663&lt;=Entradas!$E$124,"",LíneaBase!L664)</f>
        <v>1.1550990904643057</v>
      </c>
      <c r="F663" s="79">
        <f>IF($C663&lt;=Entradas!$E$124,"",D663-E663)</f>
        <v>7.0935194901863952E-2</v>
      </c>
      <c r="G663" s="79">
        <f>IF($C663&lt;=Entradas!$E$124,"",D663-AVERAGE(D:D))</f>
        <v>0.31993560317269143</v>
      </c>
      <c r="H663" s="79">
        <f>IF($C663&lt;=Entradas!$E$124,"",F663^2)</f>
        <v>5.0318018757654253E-3</v>
      </c>
      <c r="I663" s="79">
        <f>IF($C663&lt;=Entradas!$E$124,"",G663^2)</f>
        <v>0.10235879017747389</v>
      </c>
      <c r="J663" s="79">
        <f>IF($C663&lt;=Entradas!$E$124,"",E663-AVERAGE(E:E))</f>
        <v>0.25951822666718782</v>
      </c>
      <c r="K663" s="79">
        <f>IF($C663&lt;=Entradas!$E$124,"",J663^2)</f>
        <v>6.734970997248188E-2</v>
      </c>
      <c r="L663" s="79">
        <f>IF($C663&lt;=Entradas!$E$124,"",G663*J663)</f>
        <v>8.3029120383073987E-2</v>
      </c>
      <c r="M663" s="40"/>
    </row>
    <row r="664" spans="2:13">
      <c r="B664" s="39"/>
      <c r="C664" s="75">
        <v>659</v>
      </c>
      <c r="D664" s="110">
        <f>IF($C664&lt;=Entradas!$E$124,"",Observaciones!H664)</f>
        <v>1.1191601365119377</v>
      </c>
      <c r="E664" s="110">
        <f>IF($C664&lt;=Entradas!$E$124,"",LíneaBase!L665)</f>
        <v>1.0474878135376002</v>
      </c>
      <c r="F664" s="79">
        <f>IF($C664&lt;=Entradas!$E$124,"",D664-E664)</f>
        <v>7.1672322974337455E-2</v>
      </c>
      <c r="G664" s="79">
        <f>IF($C664&lt;=Entradas!$E$124,"",D664-AVERAGE(D:D))</f>
        <v>0.21306145431845946</v>
      </c>
      <c r="H664" s="79">
        <f>IF($C664&lt;=Entradas!$E$124,"",F664^2)</f>
        <v>5.1369218805377408E-3</v>
      </c>
      <c r="I664" s="79">
        <f>IF($C664&lt;=Entradas!$E$124,"",G664^2)</f>
        <v>4.5395183316296987E-2</v>
      </c>
      <c r="J664" s="79">
        <f>IF($C664&lt;=Entradas!$E$124,"",E664-AVERAGE(E:E))</f>
        <v>0.15190694974048236</v>
      </c>
      <c r="K664" s="79">
        <f>IF($C664&lt;=Entradas!$E$124,"",J664^2)</f>
        <v>2.3075721379457431E-2</v>
      </c>
      <c r="L664" s="79">
        <f>IF($C664&lt;=Entradas!$E$124,"",G664*J664)</f>
        <v>3.2365515632788298E-2</v>
      </c>
      <c r="M664" s="40"/>
    </row>
    <row r="665" spans="2:13">
      <c r="B665" s="39"/>
      <c r="C665" s="75">
        <v>660</v>
      </c>
      <c r="D665" s="110">
        <f>IF($C665&lt;=Entradas!$E$124,"",Observaciones!H665)</f>
        <v>1.1003688193512919</v>
      </c>
      <c r="E665" s="110">
        <f>IF($C665&lt;=Entradas!$E$124,"",LíneaBase!L666)</f>
        <v>1.0279619202055952</v>
      </c>
      <c r="F665" s="79">
        <f>IF($C665&lt;=Entradas!$E$124,"",D665-E665)</f>
        <v>7.2406899145696757E-2</v>
      </c>
      <c r="G665" s="79">
        <f>IF($C665&lt;=Entradas!$E$124,"",D665-AVERAGE(D:D))</f>
        <v>0.19427013715781372</v>
      </c>
      <c r="H665" s="79">
        <f>IF($C665&lt;=Entradas!$E$124,"",F665^2)</f>
        <v>5.2427590438951016E-3</v>
      </c>
      <c r="I665" s="79">
        <f>IF($C665&lt;=Entradas!$E$124,"",G665^2)</f>
        <v>3.7740886191315756E-2</v>
      </c>
      <c r="J665" s="79">
        <f>IF($C665&lt;=Entradas!$E$124,"",E665-AVERAGE(E:E))</f>
        <v>0.1323810564084773</v>
      </c>
      <c r="K665" s="79">
        <f>IF($C665&lt;=Entradas!$E$124,"",J665^2)</f>
        <v>1.7524744095824451E-2</v>
      </c>
      <c r="L665" s="79">
        <f>IF($C665&lt;=Entradas!$E$124,"",G665*J665)</f>
        <v>2.571768598557116E-2</v>
      </c>
      <c r="M665" s="40"/>
    </row>
    <row r="666" spans="2:13">
      <c r="B666" s="39"/>
      <c r="C666" s="75">
        <v>661</v>
      </c>
      <c r="D666" s="110">
        <f>IF($C666&lt;=Entradas!$E$124,"",Observaciones!H666)</f>
        <v>1.1051303607601723</v>
      </c>
      <c r="E666" s="110">
        <f>IF($C666&lt;=Entradas!$E$124,"",LíneaBase!L667)</f>
        <v>1.0319832242325429</v>
      </c>
      <c r="F666" s="79">
        <f>IF($C666&lt;=Entradas!$E$124,"",D666-E666)</f>
        <v>7.3147136527629497E-2</v>
      </c>
      <c r="G666" s="79">
        <f>IF($C666&lt;=Entradas!$E$124,"",D666-AVERAGE(D:D))</f>
        <v>0.19903167856669413</v>
      </c>
      <c r="H666" s="79">
        <f>IF($C666&lt;=Entradas!$E$124,"",F666^2)</f>
        <v>5.3505035821916694E-3</v>
      </c>
      <c r="I666" s="79">
        <f>IF($C666&lt;=Entradas!$E$124,"",G666^2)</f>
        <v>3.9613609073075852E-2</v>
      </c>
      <c r="J666" s="79">
        <f>IF($C666&lt;=Entradas!$E$124,"",E666-AVERAGE(E:E))</f>
        <v>0.13640236043542497</v>
      </c>
      <c r="K666" s="79">
        <f>IF($C666&lt;=Entradas!$E$124,"",J666^2)</f>
        <v>1.8605603932355587E-2</v>
      </c>
      <c r="L666" s="79">
        <f>IF($C666&lt;=Entradas!$E$124,"",G666*J666)</f>
        <v>2.7148390757921859E-2</v>
      </c>
      <c r="M666" s="40"/>
    </row>
    <row r="667" spans="2:13">
      <c r="B667" s="39"/>
      <c r="C667" s="75">
        <v>662</v>
      </c>
      <c r="D667" s="110">
        <f>IF($C667&lt;=Entradas!$E$124,"",Observaciones!H667)</f>
        <v>1.0666982580066742</v>
      </c>
      <c r="E667" s="110">
        <f>IF($C667&lt;=Entradas!$E$124,"",LíneaBase!L668)</f>
        <v>0.99302156442763878</v>
      </c>
      <c r="F667" s="79">
        <f>IF($C667&lt;=Entradas!$E$124,"",D667-E667)</f>
        <v>7.3676693579035391E-2</v>
      </c>
      <c r="G667" s="79">
        <f>IF($C667&lt;=Entradas!$E$124,"",D667-AVERAGE(D:D))</f>
        <v>0.16059957581319595</v>
      </c>
      <c r="H667" s="79">
        <f>IF($C667&lt;=Entradas!$E$124,"",F667^2)</f>
        <v>5.4282551767390746E-3</v>
      </c>
      <c r="I667" s="79">
        <f>IF($C667&lt;=Entradas!$E$124,"",G667^2)</f>
        <v>2.5792223751378473E-2</v>
      </c>
      <c r="J667" s="79">
        <f>IF($C667&lt;=Entradas!$E$124,"",E667-AVERAGE(E:E))</f>
        <v>9.7440700630520904E-2</v>
      </c>
      <c r="K667" s="79">
        <f>IF($C667&lt;=Entradas!$E$124,"",J667^2)</f>
        <v>9.4946901393667977E-3</v>
      </c>
      <c r="L667" s="79">
        <f>IF($C667&lt;=Entradas!$E$124,"",G667*J667)</f>
        <v>1.5648935188202272E-2</v>
      </c>
      <c r="M667" s="40"/>
    </row>
    <row r="668" spans="2:13">
      <c r="B668" s="39"/>
      <c r="C668" s="75">
        <v>663</v>
      </c>
      <c r="D668" s="110">
        <f>IF($C668&lt;=Entradas!$E$124,"",Observaciones!H668)</f>
        <v>1.1834646752837472</v>
      </c>
      <c r="E668" s="110">
        <f>IF($C668&lt;=Entradas!$E$124,"",LíneaBase!L669)</f>
        <v>1.151068140752203</v>
      </c>
      <c r="F668" s="79">
        <f>IF($C668&lt;=Entradas!$E$124,"",D668-E668)</f>
        <v>3.239653453154423E-2</v>
      </c>
      <c r="G668" s="79">
        <f>IF($C668&lt;=Entradas!$E$124,"",D668-AVERAGE(D:D))</f>
        <v>0.27736599309026899</v>
      </c>
      <c r="H668" s="79">
        <f>IF($C668&lt;=Entradas!$E$124,"",F668^2)</f>
        <v>1.0495354496535378E-3</v>
      </c>
      <c r="I668" s="79">
        <f>IF($C668&lt;=Entradas!$E$124,"",G668^2)</f>
        <v>7.693189412295115E-2</v>
      </c>
      <c r="J668" s="79">
        <f>IF($C668&lt;=Entradas!$E$124,"",E668-AVERAGE(E:E))</f>
        <v>0.25548727695508511</v>
      </c>
      <c r="K668" s="79">
        <f>IF($C668&lt;=Entradas!$E$124,"",J668^2)</f>
        <v>6.5273748685924365E-2</v>
      </c>
      <c r="L668" s="79">
        <f>IF($C668&lt;=Entradas!$E$124,"",G668*J668)</f>
        <v>7.0863482294575772E-2</v>
      </c>
      <c r="M668" s="40"/>
    </row>
    <row r="669" spans="2:13">
      <c r="B669" s="39"/>
      <c r="C669" s="75">
        <v>664</v>
      </c>
      <c r="D669" s="110">
        <f>IF($C669&lt;=Entradas!$E$124,"",Observaciones!H669)</f>
        <v>1.1184221062144395</v>
      </c>
      <c r="E669" s="110">
        <f>IF($C669&lt;=Entradas!$E$124,"",LíneaBase!L670)</f>
        <v>1.0422171541905403</v>
      </c>
      <c r="F669" s="79">
        <f>IF($C669&lt;=Entradas!$E$124,"",D669-E669)</f>
        <v>7.6204952023899208E-2</v>
      </c>
      <c r="G669" s="79">
        <f>IF($C669&lt;=Entradas!$E$124,"",D669-AVERAGE(D:D))</f>
        <v>0.21232342402096127</v>
      </c>
      <c r="H669" s="79">
        <f>IF($C669&lt;=Entradas!$E$124,"",F669^2)</f>
        <v>5.80719471296478E-3</v>
      </c>
      <c r="I669" s="79">
        <f>IF($C669&lt;=Entradas!$E$124,"",G669^2)</f>
        <v>4.5081236387984912E-2</v>
      </c>
      <c r="J669" s="79">
        <f>IF($C669&lt;=Entradas!$E$124,"",E669-AVERAGE(E:E))</f>
        <v>0.14663629039342241</v>
      </c>
      <c r="K669" s="79">
        <f>IF($C669&lt;=Entradas!$E$124,"",J669^2)</f>
        <v>2.1502201660344104E-2</v>
      </c>
      <c r="L669" s="79">
        <f>IF($C669&lt;=Entradas!$E$124,"",G669*J669)</f>
        <v>3.1134319262063438E-2</v>
      </c>
      <c r="M669" s="40"/>
    </row>
    <row r="670" spans="2:13">
      <c r="B670" s="39"/>
      <c r="C670" s="75">
        <v>665</v>
      </c>
      <c r="D670" s="110">
        <f>IF($C670&lt;=Entradas!$E$124,"",Observaciones!H670)</f>
        <v>1.0236528970178127</v>
      </c>
      <c r="E670" s="110">
        <f>IF($C670&lt;=Entradas!$E$124,"",LíneaBase!L671)</f>
        <v>0.94685098480549901</v>
      </c>
      <c r="F670" s="79">
        <f>IF($C670&lt;=Entradas!$E$124,"",D670-E670)</f>
        <v>7.6801912212313694E-2</v>
      </c>
      <c r="G670" s="79">
        <f>IF($C670&lt;=Entradas!$E$124,"",D670-AVERAGE(D:D))</f>
        <v>0.11755421482433448</v>
      </c>
      <c r="H670" s="79">
        <f>IF($C670&lt;=Entradas!$E$124,"",F670^2)</f>
        <v>5.8985337194679393E-3</v>
      </c>
      <c r="I670" s="79">
        <f>IF($C670&lt;=Entradas!$E$124,"",G670^2)</f>
        <v>1.381899342296578E-2</v>
      </c>
      <c r="J670" s="79">
        <f>IF($C670&lt;=Entradas!$E$124,"",E670-AVERAGE(E:E))</f>
        <v>5.1270121008381131E-2</v>
      </c>
      <c r="K670" s="79">
        <f>IF($C670&lt;=Entradas!$E$124,"",J670^2)</f>
        <v>2.628625308214044E-3</v>
      </c>
      <c r="L670" s="79">
        <f>IF($C670&lt;=Entradas!$E$124,"",G670*J670)</f>
        <v>6.0270188190888595E-3</v>
      </c>
      <c r="M670" s="40"/>
    </row>
    <row r="671" spans="2:13">
      <c r="B671" s="39"/>
      <c r="C671" s="75">
        <v>666</v>
      </c>
      <c r="D671" s="110">
        <f>IF($C671&lt;=Entradas!$E$124,"",Observaciones!H671)</f>
        <v>0.96742474825156077</v>
      </c>
      <c r="E671" s="110">
        <f>IF($C671&lt;=Entradas!$E$124,"",LíneaBase!L672)</f>
        <v>0.88996922321318828</v>
      </c>
      <c r="F671" s="79">
        <f>IF($C671&lt;=Entradas!$E$124,"",D671-E671)</f>
        <v>7.7455525038372497E-2</v>
      </c>
      <c r="G671" s="79">
        <f>IF($C671&lt;=Entradas!$E$124,"",D671-AVERAGE(D:D))</f>
        <v>6.1326066058082551E-2</v>
      </c>
      <c r="H671" s="79">
        <f>IF($C671&lt;=Entradas!$E$124,"",F671^2)</f>
        <v>5.999358358969949E-3</v>
      </c>
      <c r="I671" s="79">
        <f>IF($C671&lt;=Entradas!$E$124,"",G671^2)</f>
        <v>3.7608863781603049E-3</v>
      </c>
      <c r="J671" s="79">
        <f>IF($C671&lt;=Entradas!$E$124,"",E671-AVERAGE(E:E))</f>
        <v>-5.6116405839296002E-3</v>
      </c>
      <c r="K671" s="79">
        <f>IF($C671&lt;=Entradas!$E$124,"",J671^2)</f>
        <v>3.1490510043205741E-5</v>
      </c>
      <c r="L671" s="79">
        <f>IF($C671&lt;=Entradas!$E$124,"",G671*J671)</f>
        <v>-3.441398411442836E-4</v>
      </c>
      <c r="M671" s="40"/>
    </row>
    <row r="672" spans="2:13">
      <c r="B672" s="39"/>
      <c r="C672" s="75">
        <v>667</v>
      </c>
      <c r="D672" s="110">
        <f>IF($C672&lt;=Entradas!$E$124,"",Observaciones!H672)</f>
        <v>0.86553152601627414</v>
      </c>
      <c r="E672" s="110">
        <f>IF($C672&lt;=Entradas!$E$124,"",LíneaBase!L673)</f>
        <v>0.7874532098653455</v>
      </c>
      <c r="F672" s="79">
        <f>IF($C672&lt;=Entradas!$E$124,"",D672-E672)</f>
        <v>7.8078316150928639E-2</v>
      </c>
      <c r="G672" s="79">
        <f>IF($C672&lt;=Entradas!$E$124,"",D672-AVERAGE(D:D))</f>
        <v>-4.0567156177204078E-2</v>
      </c>
      <c r="H672" s="79">
        <f>IF($C672&lt;=Entradas!$E$124,"",F672^2)</f>
        <v>6.0962234529643644E-3</v>
      </c>
      <c r="I672" s="79">
        <f>IF($C672&lt;=Entradas!$E$124,"",G672^2)</f>
        <v>1.645694160305667E-3</v>
      </c>
      <c r="J672" s="79">
        <f>IF($C672&lt;=Entradas!$E$124,"",E672-AVERAGE(E:E))</f>
        <v>-0.10812765393177237</v>
      </c>
      <c r="K672" s="79">
        <f>IF($C672&lt;=Entradas!$E$124,"",J672^2)</f>
        <v>1.1691589544789129E-2</v>
      </c>
      <c r="L672" s="79">
        <f>IF($C672&lt;=Entradas!$E$124,"",G672*J672)</f>
        <v>4.3864314241248842E-3</v>
      </c>
      <c r="M672" s="40"/>
    </row>
    <row r="673" spans="2:13">
      <c r="B673" s="39"/>
      <c r="C673" s="75">
        <v>668</v>
      </c>
      <c r="D673" s="110">
        <f>IF($C673&lt;=Entradas!$E$124,"",Observaciones!H673)</f>
        <v>0.85428203570419292</v>
      </c>
      <c r="E673" s="110">
        <f>IF($C673&lt;=Entradas!$E$124,"",LíneaBase!L674)</f>
        <v>0.7756828932243458</v>
      </c>
      <c r="F673" s="79">
        <f>IF($C673&lt;=Entradas!$E$124,"",D673-E673)</f>
        <v>7.8599142479847117E-2</v>
      </c>
      <c r="G673" s="79">
        <f>IF($C673&lt;=Entradas!$E$124,"",D673-AVERAGE(D:D))</f>
        <v>-5.1816646489285301E-2</v>
      </c>
      <c r="H673" s="79">
        <f>IF($C673&lt;=Entradas!$E$124,"",F673^2)</f>
        <v>6.1778251985673081E-3</v>
      </c>
      <c r="I673" s="79">
        <f>IF($C673&lt;=Entradas!$E$124,"",G673^2)</f>
        <v>2.6849648533955627E-3</v>
      </c>
      <c r="J673" s="79">
        <f>IF($C673&lt;=Entradas!$E$124,"",E673-AVERAGE(E:E))</f>
        <v>-0.11989797057277207</v>
      </c>
      <c r="K673" s="79">
        <f>IF($C673&lt;=Entradas!$E$124,"",J673^2)</f>
        <v>1.4375523347469318E-2</v>
      </c>
      <c r="L673" s="79">
        <f>IF($C673&lt;=Entradas!$E$124,"",G673*J673)</f>
        <v>6.212710755952062E-3</v>
      </c>
      <c r="M673" s="40"/>
    </row>
    <row r="674" spans="2:13">
      <c r="B674" s="39"/>
      <c r="C674" s="75">
        <v>669</v>
      </c>
      <c r="D674" s="110">
        <f>IF($C674&lt;=Entradas!$E$124,"",Observaciones!H674)</f>
        <v>0.75705876225588364</v>
      </c>
      <c r="E674" s="110">
        <f>IF($C674&lt;=Entradas!$E$124,"",LíneaBase!L675)</f>
        <v>0.67791539928352174</v>
      </c>
      <c r="F674" s="79">
        <f>IF($C674&lt;=Entradas!$E$124,"",D674-E674)</f>
        <v>7.9143362972361908E-2</v>
      </c>
      <c r="G674" s="79">
        <f>IF($C674&lt;=Entradas!$E$124,"",D674-AVERAGE(D:D))</f>
        <v>-0.14903991993759458</v>
      </c>
      <c r="H674" s="79">
        <f>IF($C674&lt;=Entradas!$E$124,"",F674^2)</f>
        <v>6.2636719025750262E-3</v>
      </c>
      <c r="I674" s="79">
        <f>IF($C674&lt;=Entradas!$E$124,"",G674^2)</f>
        <v>2.2212897735004601E-2</v>
      </c>
      <c r="J674" s="79">
        <f>IF($C674&lt;=Entradas!$E$124,"",E674-AVERAGE(E:E))</f>
        <v>-0.21766546451359614</v>
      </c>
      <c r="K674" s="79">
        <f>IF($C674&lt;=Entradas!$E$124,"",J674^2)</f>
        <v>4.7378254441919579E-2</v>
      </c>
      <c r="L674" s="79">
        <f>IF($C674&lt;=Entradas!$E$124,"",G674*J674)</f>
        <v>3.2440843404285706E-2</v>
      </c>
      <c r="M674" s="40"/>
    </row>
    <row r="675" spans="2:13">
      <c r="B675" s="39"/>
      <c r="C675" s="75">
        <v>670</v>
      </c>
      <c r="D675" s="110">
        <f>IF($C675&lt;=Entradas!$E$124,"",Observaciones!H675)</f>
        <v>0.67726039705570662</v>
      </c>
      <c r="E675" s="110">
        <f>IF($C675&lt;=Entradas!$E$124,"",LíneaBase!L676)</f>
        <v>0.59761423929225388</v>
      </c>
      <c r="F675" s="79">
        <f>IF($C675&lt;=Entradas!$E$124,"",D675-E675)</f>
        <v>7.9646157763452741E-2</v>
      </c>
      <c r="G675" s="79">
        <f>IF($C675&lt;=Entradas!$E$124,"",D675-AVERAGE(D:D))</f>
        <v>-0.2288382851377716</v>
      </c>
      <c r="H675" s="79">
        <f>IF($C675&lt;=Entradas!$E$124,"",F675^2)</f>
        <v>6.343510446480803E-3</v>
      </c>
      <c r="I675" s="79">
        <f>IF($C675&lt;=Entradas!$E$124,"",G675^2)</f>
        <v>5.2366960744796062E-2</v>
      </c>
      <c r="J675" s="79">
        <f>IF($C675&lt;=Entradas!$E$124,"",E675-AVERAGE(E:E))</f>
        <v>-0.297966624504864</v>
      </c>
      <c r="K675" s="79">
        <f>IF($C675&lt;=Entradas!$E$124,"",J675^2)</f>
        <v>8.8784109318822621E-2</v>
      </c>
      <c r="L675" s="79">
        <f>IF($C675&lt;=Entradas!$E$124,"",G675*J675)</f>
        <v>6.8186171379983396E-2</v>
      </c>
      <c r="M675" s="40"/>
    </row>
    <row r="676" spans="2:13">
      <c r="B676" s="39"/>
      <c r="C676" s="75">
        <v>671</v>
      </c>
      <c r="D676" s="110">
        <f>IF($C676&lt;=Entradas!$E$124,"",Observaciones!H676)</f>
        <v>0.66125457776348462</v>
      </c>
      <c r="E676" s="110">
        <f>IF($C676&lt;=Entradas!$E$124,"",LíneaBase!L677)</f>
        <v>0.58111794694456098</v>
      </c>
      <c r="F676" s="79">
        <f>IF($C676&lt;=Entradas!$E$124,"",D676-E676)</f>
        <v>8.0136630818923638E-2</v>
      </c>
      <c r="G676" s="79">
        <f>IF($C676&lt;=Entradas!$E$124,"",D676-AVERAGE(D:D))</f>
        <v>-0.2448441044299936</v>
      </c>
      <c r="H676" s="79">
        <f>IF($C676&lt;=Entradas!$E$124,"",F676^2)</f>
        <v>6.4218795990084619E-3</v>
      </c>
      <c r="I676" s="79">
        <f>IF($C676&lt;=Entradas!$E$124,"",G676^2)</f>
        <v>5.9948635474125614E-2</v>
      </c>
      <c r="J676" s="79">
        <f>IF($C676&lt;=Entradas!$E$124,"",E676-AVERAGE(E:E))</f>
        <v>-0.3144629168525569</v>
      </c>
      <c r="K676" s="79">
        <f>IF($C676&lt;=Entradas!$E$124,"",J676^2)</f>
        <v>9.8886926075418116E-2</v>
      </c>
      <c r="L676" s="79">
        <f>IF($C676&lt;=Entradas!$E$124,"",G676*J676)</f>
        <v>7.6994391253207839E-2</v>
      </c>
      <c r="M676" s="40"/>
    </row>
    <row r="677" spans="2:13">
      <c r="B677" s="39"/>
      <c r="C677" s="75">
        <v>672</v>
      </c>
      <c r="D677" s="110">
        <f>IF($C677&lt;=Entradas!$E$124,"",Observaciones!H677)</f>
        <v>0.57017707433682929</v>
      </c>
      <c r="E677" s="110">
        <f>IF($C677&lt;=Entradas!$E$124,"",LíneaBase!L678)</f>
        <v>0.48954529218374043</v>
      </c>
      <c r="F677" s="79">
        <f>IF($C677&lt;=Entradas!$E$124,"",D677-E677)</f>
        <v>8.063178215308886E-2</v>
      </c>
      <c r="G677" s="79">
        <f>IF($C677&lt;=Entradas!$E$124,"",D677-AVERAGE(D:D))</f>
        <v>-0.33592160785664893</v>
      </c>
      <c r="H677" s="79">
        <f>IF($C677&lt;=Entradas!$E$124,"",F677^2)</f>
        <v>6.5014842931831792E-3</v>
      </c>
      <c r="I677" s="79">
        <f>IF($C677&lt;=Entradas!$E$124,"",G677^2)</f>
        <v>0.11284332662499622</v>
      </c>
      <c r="J677" s="79">
        <f>IF($C677&lt;=Entradas!$E$124,"",E677-AVERAGE(E:E))</f>
        <v>-0.40603557161337744</v>
      </c>
      <c r="K677" s="79">
        <f>IF($C677&lt;=Entradas!$E$124,"",J677^2)</f>
        <v>0.16486488541540217</v>
      </c>
      <c r="L677" s="79">
        <f>IF($C677&lt;=Entradas!$E$124,"",G677*J677)</f>
        <v>0.13639612206335927</v>
      </c>
      <c r="M677" s="40"/>
    </row>
    <row r="678" spans="2:13">
      <c r="B678" s="39"/>
      <c r="C678" s="75">
        <v>673</v>
      </c>
      <c r="D678" s="110">
        <f>IF($C678&lt;=Entradas!$E$124,"",Observaciones!H678)</f>
        <v>0.57178055737785349</v>
      </c>
      <c r="E678" s="110">
        <f>IF($C678&lt;=Entradas!$E$124,"",LíneaBase!L679)</f>
        <v>0.49071320803622265</v>
      </c>
      <c r="F678" s="79">
        <f>IF($C678&lt;=Entradas!$E$124,"",D678-E678)</f>
        <v>8.1067349341630845E-2</v>
      </c>
      <c r="G678" s="79">
        <f>IF($C678&lt;=Entradas!$E$124,"",D678-AVERAGE(D:D))</f>
        <v>-0.33431812481562473</v>
      </c>
      <c r="H678" s="79">
        <f>IF($C678&lt;=Entradas!$E$124,"",F678^2)</f>
        <v>6.5719151292780147E-3</v>
      </c>
      <c r="I678" s="79">
        <f>IF($C678&lt;=Entradas!$E$124,"",G678^2)</f>
        <v>0.11176860858023563</v>
      </c>
      <c r="J678" s="79">
        <f>IF($C678&lt;=Entradas!$E$124,"",E678-AVERAGE(E:E))</f>
        <v>-0.40486765576089523</v>
      </c>
      <c r="K678" s="79">
        <f>IF($C678&lt;=Entradas!$E$124,"",J678^2)</f>
        <v>0.16391781868132277</v>
      </c>
      <c r="L678" s="79">
        <f>IF($C678&lt;=Entradas!$E$124,"",G678*J678)</f>
        <v>0.13535459547248035</v>
      </c>
      <c r="M678" s="40"/>
    </row>
    <row r="679" spans="2:13">
      <c r="B679" s="39"/>
      <c r="C679" s="75">
        <v>674</v>
      </c>
      <c r="D679" s="110">
        <f>IF($C679&lt;=Entradas!$E$124,"",Observaciones!H679)</f>
        <v>0.52016842296232813</v>
      </c>
      <c r="E679" s="110">
        <f>IF($C679&lt;=Entradas!$E$124,"",LíneaBase!L680)</f>
        <v>0.43860633932511695</v>
      </c>
      <c r="F679" s="79">
        <f>IF($C679&lt;=Entradas!$E$124,"",D679-E679)</f>
        <v>8.156208363721118E-2</v>
      </c>
      <c r="G679" s="79">
        <f>IF($C679&lt;=Entradas!$E$124,"",D679-AVERAGE(D:D))</f>
        <v>-0.3859302592311501</v>
      </c>
      <c r="H679" s="79">
        <f>IF($C679&lt;=Entradas!$E$124,"",F679^2)</f>
        <v>6.6523734872434319E-3</v>
      </c>
      <c r="I679" s="79">
        <f>IF($C679&lt;=Entradas!$E$124,"",G679^2)</f>
        <v>0.14894216499022273</v>
      </c>
      <c r="J679" s="79">
        <f>IF($C679&lt;=Entradas!$E$124,"",E679-AVERAGE(E:E))</f>
        <v>-0.45697452447200093</v>
      </c>
      <c r="K679" s="79">
        <f>IF($C679&lt;=Entradas!$E$124,"",J679^2)</f>
        <v>0.20882571601641137</v>
      </c>
      <c r="L679" s="79">
        <f>IF($C679&lt;=Entradas!$E$124,"",G679*J679)</f>
        <v>0.17636029669151088</v>
      </c>
      <c r="M679" s="40"/>
    </row>
    <row r="680" spans="2:13">
      <c r="B680" s="39"/>
      <c r="C680" s="75">
        <v>675</v>
      </c>
      <c r="D680" s="110">
        <f>IF($C680&lt;=Entradas!$E$124,"",Observaciones!H680)</f>
        <v>0.43705193757466165</v>
      </c>
      <c r="E680" s="110">
        <f>IF($C680&lt;=Entradas!$E$124,"",LíneaBase!L681)</f>
        <v>0.35504627142905498</v>
      </c>
      <c r="F680" s="79">
        <f>IF($C680&lt;=Entradas!$E$124,"",D680-E680)</f>
        <v>8.200566614560667E-2</v>
      </c>
      <c r="G680" s="79">
        <f>IF($C680&lt;=Entradas!$E$124,"",D680-AVERAGE(D:D))</f>
        <v>-0.46904674461881657</v>
      </c>
      <c r="H680" s="79">
        <f>IF($C680&lt;=Entradas!$E$124,"",F680^2)</f>
        <v>6.7249292799846996E-3</v>
      </c>
      <c r="I680" s="79">
        <f>IF($C680&lt;=Entradas!$E$124,"",G680^2)</f>
        <v>0.22000484863750933</v>
      </c>
      <c r="J680" s="79">
        <f>IF($C680&lt;=Entradas!$E$124,"",E680-AVERAGE(E:E))</f>
        <v>-0.54053459236806289</v>
      </c>
      <c r="K680" s="79">
        <f>IF($C680&lt;=Entradas!$E$124,"",J680^2)</f>
        <v>0.29217764554650794</v>
      </c>
      <c r="L680" s="79">
        <f>IF($C680&lt;=Entradas!$E$124,"",G680*J680)</f>
        <v>0.2535359909040989</v>
      </c>
      <c r="M680" s="40"/>
    </row>
    <row r="681" spans="2:13">
      <c r="B681" s="39"/>
      <c r="C681" s="75">
        <v>676</v>
      </c>
      <c r="D681" s="110">
        <f>IF($C681&lt;=Entradas!$E$124,"",Observaciones!H681)</f>
        <v>0.42177802858705143</v>
      </c>
      <c r="E681" s="110">
        <f>IF($C681&lt;=Entradas!$E$124,"",LíneaBase!L682)</f>
        <v>0.33935896934450827</v>
      </c>
      <c r="F681" s="79">
        <f>IF($C681&lt;=Entradas!$E$124,"",D681-E681)</f>
        <v>8.2419059242543169E-2</v>
      </c>
      <c r="G681" s="79">
        <f>IF($C681&lt;=Entradas!$E$124,"",D681-AVERAGE(D:D))</f>
        <v>-0.48432065360642679</v>
      </c>
      <c r="H681" s="79">
        <f>IF($C681&lt;=Entradas!$E$124,"",F681^2)</f>
        <v>6.7929013264258408E-3</v>
      </c>
      <c r="I681" s="79">
        <f>IF($C681&lt;=Entradas!$E$124,"",G681^2)</f>
        <v>0.23456649550975645</v>
      </c>
      <c r="J681" s="79">
        <f>IF($C681&lt;=Entradas!$E$124,"",E681-AVERAGE(E:E))</f>
        <v>-0.55622189445260961</v>
      </c>
      <c r="K681" s="79">
        <f>IF($C681&lt;=Entradas!$E$124,"",J681^2)</f>
        <v>0.30938279586844997</v>
      </c>
      <c r="L681" s="79">
        <f>IF($C681&lt;=Entradas!$E$124,"",G681*J681)</f>
        <v>0.2693897514714928</v>
      </c>
      <c r="M681" s="40"/>
    </row>
    <row r="682" spans="2:13">
      <c r="B682" s="39"/>
      <c r="C682" s="75">
        <v>677</v>
      </c>
      <c r="D682" s="110">
        <f>IF($C682&lt;=Entradas!$E$124,"",Observaciones!H682)</f>
        <v>0.33882326794785461</v>
      </c>
      <c r="E682" s="110">
        <f>IF($C682&lt;=Entradas!$E$124,"",LíneaBase!L683)</f>
        <v>0.25600614059569426</v>
      </c>
      <c r="F682" s="79">
        <f>IF($C682&lt;=Entradas!$E$124,"",D682-E682)</f>
        <v>8.2817127352160347E-2</v>
      </c>
      <c r="G682" s="79">
        <f>IF($C682&lt;=Entradas!$E$124,"",D682-AVERAGE(D:D))</f>
        <v>-0.56727541424562355</v>
      </c>
      <c r="H682" s="79">
        <f>IF($C682&lt;=Entradas!$E$124,"",F682^2)</f>
        <v>6.8586765828639457E-3</v>
      </c>
      <c r="I682" s="79">
        <f>IF($C682&lt;=Entradas!$E$124,"",G682^2)</f>
        <v>0.32180139560754378</v>
      </c>
      <c r="J682" s="79">
        <f>IF($C682&lt;=Entradas!$E$124,"",E682-AVERAGE(E:E))</f>
        <v>-0.63957472320142361</v>
      </c>
      <c r="K682" s="79">
        <f>IF($C682&lt;=Entradas!$E$124,"",J682^2)</f>
        <v>0.40905582655817763</v>
      </c>
      <c r="L682" s="79">
        <f>IF($C682&lt;=Entradas!$E$124,"",G682*J682)</f>
        <v>0.36281501604511762</v>
      </c>
      <c r="M682" s="40"/>
    </row>
    <row r="683" spans="2:13">
      <c r="B683" s="39"/>
      <c r="C683" s="75">
        <v>678</v>
      </c>
      <c r="D683" s="110">
        <f>IF($C683&lt;=Entradas!$E$124,"",Observaciones!H683)</f>
        <v>0.27151315814143218</v>
      </c>
      <c r="E683" s="110">
        <f>IF($C683&lt;=Entradas!$E$124,"",LíneaBase!L684)</f>
        <v>0.18828501477363499</v>
      </c>
      <c r="F683" s="79">
        <f>IF($C683&lt;=Entradas!$E$124,"",D683-E683)</f>
        <v>8.3228143367797186E-2</v>
      </c>
      <c r="G683" s="79">
        <f>IF($C683&lt;=Entradas!$E$124,"",D683-AVERAGE(D:D))</f>
        <v>-0.63458552405204605</v>
      </c>
      <c r="H683" s="79">
        <f>IF($C683&lt;=Entradas!$E$124,"",F683^2)</f>
        <v>6.9269238484506029E-3</v>
      </c>
      <c r="I683" s="79">
        <f>IF($C683&lt;=Entradas!$E$124,"",G683^2)</f>
        <v>0.4026987873364099</v>
      </c>
      <c r="J683" s="79">
        <f>IF($C683&lt;=Entradas!$E$124,"",E683-AVERAGE(E:E))</f>
        <v>-0.70729584902348286</v>
      </c>
      <c r="K683" s="79">
        <f>IF($C683&lt;=Entradas!$E$124,"",J683^2)</f>
        <v>0.50026741804584951</v>
      </c>
      <c r="L683" s="79">
        <f>IF($C683&lt;=Entradas!$E$124,"",G683*J683)</f>
        <v>0.44883970701240372</v>
      </c>
      <c r="M683" s="40"/>
    </row>
    <row r="684" spans="2:13">
      <c r="B684" s="39"/>
      <c r="C684" s="75">
        <v>679</v>
      </c>
      <c r="D684" s="110">
        <f>IF($C684&lt;=Entradas!$E$124,"",Observaciones!H684)</f>
        <v>0.19383269744930406</v>
      </c>
      <c r="E684" s="110">
        <f>IF($C684&lt;=Entradas!$E$124,"",LíneaBase!L685)</f>
        <v>0.12681502664662656</v>
      </c>
      <c r="F684" s="79">
        <f>IF($C684&lt;=Entradas!$E$124,"",D684-E684)</f>
        <v>6.7017670802677509E-2</v>
      </c>
      <c r="G684" s="79">
        <f>IF($C684&lt;=Entradas!$E$124,"",D684-AVERAGE(D:D))</f>
        <v>-0.71226598474417413</v>
      </c>
      <c r="H684" s="79">
        <f>IF($C684&lt;=Entradas!$E$124,"",F684^2)</f>
        <v>4.4913681998160534E-3</v>
      </c>
      <c r="I684" s="79">
        <f>IF($C684&lt;=Entradas!$E$124,"",G684^2)</f>
        <v>0.50732283302358805</v>
      </c>
      <c r="J684" s="79">
        <f>IF($C684&lt;=Entradas!$E$124,"",E684-AVERAGE(E:E))</f>
        <v>-0.76876583715049129</v>
      </c>
      <c r="K684" s="79">
        <f>IF($C684&lt;=Entradas!$E$124,"",J684^2)</f>
        <v>0.59100091236969565</v>
      </c>
      <c r="L684" s="79">
        <f>IF($C684&lt;=Entradas!$E$124,"",G684*J684)</f>
        <v>0.54756575603567403</v>
      </c>
      <c r="M684" s="40"/>
    </row>
    <row r="685" spans="2:13">
      <c r="B685" s="39"/>
      <c r="C685" s="75">
        <v>680</v>
      </c>
      <c r="D685" s="110">
        <f>IF($C685&lt;=Entradas!$E$124,"",Observaciones!H685)</f>
        <v>0.13597640525342611</v>
      </c>
      <c r="E685" s="110">
        <f>IF($C685&lt;=Entradas!$E$124,"",LíneaBase!L686)</f>
        <v>0.1156732317296036</v>
      </c>
      <c r="F685" s="79">
        <f>IF($C685&lt;=Entradas!$E$124,"",D685-E685)</f>
        <v>2.0303173523822507E-2</v>
      </c>
      <c r="G685" s="79">
        <f>IF($C685&lt;=Entradas!$E$124,"",D685-AVERAGE(D:D))</f>
        <v>-0.77012227694005209</v>
      </c>
      <c r="H685" s="79">
        <f>IF($C685&lt;=Entradas!$E$124,"",F685^2)</f>
        <v>4.1221885513844725E-4</v>
      </c>
      <c r="I685" s="79">
        <f>IF($C685&lt;=Entradas!$E$124,"",G685^2)</f>
        <v>0.59308832143933032</v>
      </c>
      <c r="J685" s="79">
        <f>IF($C685&lt;=Entradas!$E$124,"",E685-AVERAGE(E:E))</f>
        <v>-0.77990763206751423</v>
      </c>
      <c r="K685" s="79">
        <f>IF($C685&lt;=Entradas!$E$124,"",J685^2)</f>
        <v>0.60825591455715711</v>
      </c>
      <c r="L685" s="79">
        <f>IF($C685&lt;=Entradas!$E$124,"",G685*J685)</f>
        <v>0.60062424141075843</v>
      </c>
      <c r="M685" s="40"/>
    </row>
    <row r="686" spans="2:13">
      <c r="B686" s="39"/>
      <c r="C686" s="75">
        <v>681</v>
      </c>
      <c r="D686" s="110">
        <f>IF($C686&lt;=Entradas!$E$124,"",Observaciones!H686)</f>
        <v>0.12535305504518732</v>
      </c>
      <c r="E686" s="110">
        <f>IF($C686&lt;=Entradas!$E$124,"",LíneaBase!L687)</f>
        <v>0.112891991138501</v>
      </c>
      <c r="F686" s="79">
        <f>IF($C686&lt;=Entradas!$E$124,"",D686-E686)</f>
        <v>1.2461063906686318E-2</v>
      </c>
      <c r="G686" s="79">
        <f>IF($C686&lt;=Entradas!$E$124,"",D686-AVERAGE(D:D))</f>
        <v>-0.78074562714829088</v>
      </c>
      <c r="H686" s="79">
        <f>IF($C686&lt;=Entradas!$E$124,"",F686^2)</f>
        <v>1.5527811368652047E-4</v>
      </c>
      <c r="I686" s="79">
        <f>IF($C686&lt;=Entradas!$E$124,"",G686^2)</f>
        <v>0.60956373431117805</v>
      </c>
      <c r="J686" s="79">
        <f>IF($C686&lt;=Entradas!$E$124,"",E686-AVERAGE(E:E))</f>
        <v>-0.78268887265861686</v>
      </c>
      <c r="K686" s="79">
        <f>IF($C686&lt;=Entradas!$E$124,"",J686^2)</f>
        <v>0.61260187138361655</v>
      </c>
      <c r="L686" s="79">
        <f>IF($C686&lt;=Entradas!$E$124,"",G686*J686)</f>
        <v>0.61108091474584059</v>
      </c>
      <c r="M686" s="40"/>
    </row>
    <row r="687" spans="2:13">
      <c r="B687" s="39"/>
      <c r="C687" s="75">
        <v>682</v>
      </c>
      <c r="D687" s="110">
        <f>IF($C687&lt;=Entradas!$E$124,"",Observaciones!H687)</f>
        <v>0.13892800672441252</v>
      </c>
      <c r="E687" s="110">
        <f>IF($C687&lt;=Entradas!$E$124,"",LíneaBase!L688)</f>
        <v>0.12785781963405446</v>
      </c>
      <c r="F687" s="79">
        <f>IF($C687&lt;=Entradas!$E$124,"",D687-E687)</f>
        <v>1.1070187090358063E-2</v>
      </c>
      <c r="G687" s="79">
        <f>IF($C687&lt;=Entradas!$E$124,"",D687-AVERAGE(D:D))</f>
        <v>-0.7671706754690657</v>
      </c>
      <c r="H687" s="79">
        <f>IF($C687&lt;=Entradas!$E$124,"",F687^2)</f>
        <v>1.2254904221553032E-4</v>
      </c>
      <c r="I687" s="79">
        <f>IF($C687&lt;=Entradas!$E$124,"",G687^2)</f>
        <v>0.58855084529966251</v>
      </c>
      <c r="J687" s="79">
        <f>IF($C687&lt;=Entradas!$E$124,"",E687-AVERAGE(E:E))</f>
        <v>-0.76772304416306336</v>
      </c>
      <c r="K687" s="79">
        <f>IF($C687&lt;=Entradas!$E$124,"",J687^2)</f>
        <v>0.58939867253900091</v>
      </c>
      <c r="L687" s="79">
        <f>IF($C687&lt;=Entradas!$E$124,"",G687*J687)</f>
        <v>0.58897460636374466</v>
      </c>
      <c r="M687" s="40"/>
    </row>
    <row r="688" spans="2:13">
      <c r="B688" s="39"/>
      <c r="C688" s="75">
        <v>683</v>
      </c>
      <c r="D688" s="110">
        <f>IF($C688&lt;=Entradas!$E$124,"",Observaciones!H688)</f>
        <v>0.12791483154701255</v>
      </c>
      <c r="E688" s="110">
        <f>IF($C688&lt;=Entradas!$E$124,"",LíneaBase!L689)</f>
        <v>0.11716414467341768</v>
      </c>
      <c r="F688" s="79">
        <f>IF($C688&lt;=Entradas!$E$124,"",D688-E688)</f>
        <v>1.0750686873594872E-2</v>
      </c>
      <c r="G688" s="79">
        <f>IF($C688&lt;=Entradas!$E$124,"",D688-AVERAGE(D:D))</f>
        <v>-0.77818385064646567</v>
      </c>
      <c r="H688" s="79">
        <f>IF($C688&lt;=Entradas!$E$124,"",F688^2)</f>
        <v>1.1557726825408509E-4</v>
      </c>
      <c r="I688" s="79">
        <f>IF($C688&lt;=Entradas!$E$124,"",G688^2)</f>
        <v>0.60557010540696077</v>
      </c>
      <c r="J688" s="79">
        <f>IF($C688&lt;=Entradas!$E$124,"",E688-AVERAGE(E:E))</f>
        <v>-0.77841671912370014</v>
      </c>
      <c r="K688" s="79">
        <f>IF($C688&lt;=Entradas!$E$124,"",J688^2)</f>
        <v>0.6059325886113055</v>
      </c>
      <c r="L688" s="79">
        <f>IF($C688&lt;=Entradas!$E$124,"",G688*J688)</f>
        <v>0.60575131989526931</v>
      </c>
      <c r="M688" s="40"/>
    </row>
    <row r="689" spans="2:13">
      <c r="B689" s="39"/>
      <c r="C689" s="75">
        <v>684</v>
      </c>
      <c r="D689" s="110">
        <f>IF($C689&lt;=Entradas!$E$124,"",Observaciones!H689)</f>
        <v>1.3048685997153773</v>
      </c>
      <c r="E689" s="110">
        <f>IF($C689&lt;=Entradas!$E$124,"",LíneaBase!L690)</f>
        <v>1.6336322330563864</v>
      </c>
      <c r="F689" s="79">
        <f>IF($C689&lt;=Entradas!$E$124,"",D689-E689)</f>
        <v>-0.32876363334100911</v>
      </c>
      <c r="G689" s="79">
        <f>IF($C689&lt;=Entradas!$E$124,"",D689-AVERAGE(D:D))</f>
        <v>0.39876991752189905</v>
      </c>
      <c r="H689" s="79">
        <f>IF($C689&lt;=Entradas!$E$124,"",F689^2)</f>
        <v>0.10808552660758147</v>
      </c>
      <c r="I689" s="79">
        <f>IF($C689&lt;=Entradas!$E$124,"",G689^2)</f>
        <v>0.15901744712042218</v>
      </c>
      <c r="J689" s="79">
        <f>IF($C689&lt;=Entradas!$E$124,"",E689-AVERAGE(E:E))</f>
        <v>0.73805136925926851</v>
      </c>
      <c r="K689" s="79">
        <f>IF($C689&lt;=Entradas!$E$124,"",J689^2)</f>
        <v>0.54471982366548111</v>
      </c>
      <c r="L689" s="79">
        <f>IF($C689&lt;=Entradas!$E$124,"",G689*J689)</f>
        <v>0.29431268364644314</v>
      </c>
      <c r="M689" s="40"/>
    </row>
    <row r="690" spans="2:13">
      <c r="B690" s="39"/>
      <c r="C690" s="75">
        <v>685</v>
      </c>
      <c r="D690" s="110">
        <f>IF($C690&lt;=Entradas!$E$124,"",Observaciones!H690)</f>
        <v>0.97794050343412853</v>
      </c>
      <c r="E690" s="110">
        <f>IF($C690&lt;=Entradas!$E$124,"",LíneaBase!L691)</f>
        <v>1.1157556015437984</v>
      </c>
      <c r="F690" s="79">
        <f>IF($C690&lt;=Entradas!$E$124,"",D690-E690)</f>
        <v>-0.13781509810966985</v>
      </c>
      <c r="G690" s="79">
        <f>IF($C690&lt;=Entradas!$E$124,"",D690-AVERAGE(D:D))</f>
        <v>7.1841821240650305E-2</v>
      </c>
      <c r="H690" s="79">
        <f>IF($C690&lt;=Entradas!$E$124,"",F690^2)</f>
        <v>1.8993001266977928E-2</v>
      </c>
      <c r="I690" s="79">
        <f>IF($C690&lt;=Entradas!$E$124,"",G690^2)</f>
        <v>5.1612472791735531E-3</v>
      </c>
      <c r="J690" s="79">
        <f>IF($C690&lt;=Entradas!$E$124,"",E690-AVERAGE(E:E))</f>
        <v>0.2201747377466805</v>
      </c>
      <c r="K690" s="79">
        <f>IF($C690&lt;=Entradas!$E$124,"",J690^2)</f>
        <v>4.8476915141819538E-2</v>
      </c>
      <c r="L690" s="79">
        <f>IF($C690&lt;=Entradas!$E$124,"",G690*J690)</f>
        <v>1.5817754150904081E-2</v>
      </c>
      <c r="M690" s="40"/>
    </row>
    <row r="691" spans="2:13">
      <c r="B691" s="39"/>
      <c r="C691" s="75">
        <v>686</v>
      </c>
      <c r="D691" s="110">
        <f>IF($C691&lt;=Entradas!$E$124,"",Observaciones!H691)</f>
        <v>0.63648235015696397</v>
      </c>
      <c r="E691" s="110">
        <f>IF($C691&lt;=Entradas!$E$124,"",LíneaBase!L692)</f>
        <v>0.60052698521563708</v>
      </c>
      <c r="F691" s="79">
        <f>IF($C691&lt;=Entradas!$E$124,"",D691-E691)</f>
        <v>3.5955364941326895E-2</v>
      </c>
      <c r="G691" s="79">
        <f>IF($C691&lt;=Entradas!$E$124,"",D691-AVERAGE(D:D))</f>
        <v>-0.26961633203651425</v>
      </c>
      <c r="H691" s="79">
        <f>IF($C691&lt;=Entradas!$E$124,"",F691^2)</f>
        <v>1.2927882680639992E-3</v>
      </c>
      <c r="I691" s="79">
        <f>IF($C691&lt;=Entradas!$E$124,"",G691^2)</f>
        <v>7.2692966500823894E-2</v>
      </c>
      <c r="J691" s="79">
        <f>IF($C691&lt;=Entradas!$E$124,"",E691-AVERAGE(E:E))</f>
        <v>-0.2950538785814808</v>
      </c>
      <c r="K691" s="79">
        <f>IF($C691&lt;=Entradas!$E$124,"",J691^2)</f>
        <v>8.7056791265975209E-2</v>
      </c>
      <c r="L691" s="79">
        <f>IF($C691&lt;=Entradas!$E$124,"",G691*J691)</f>
        <v>7.9551344496285883E-2</v>
      </c>
      <c r="M691" s="40"/>
    </row>
    <row r="692" spans="2:13">
      <c r="B692" s="39"/>
      <c r="C692" s="75">
        <v>687</v>
      </c>
      <c r="D692" s="110">
        <f>IF($C692&lt;=Entradas!$E$124,"",Observaciones!H692)</f>
        <v>0.56377497132283116</v>
      </c>
      <c r="E692" s="110">
        <f>IF($C692&lt;=Entradas!$E$124,"",LíneaBase!L693)</f>
        <v>0.52576858736911936</v>
      </c>
      <c r="F692" s="79">
        <f>IF($C692&lt;=Entradas!$E$124,"",D692-E692)</f>
        <v>3.8006383953711809E-2</v>
      </c>
      <c r="G692" s="79">
        <f>IF($C692&lt;=Entradas!$E$124,"",D692-AVERAGE(D:D))</f>
        <v>-0.34232371087064706</v>
      </c>
      <c r="H692" s="79">
        <f>IF($C692&lt;=Entradas!$E$124,"",F692^2)</f>
        <v>1.4444852212369625E-3</v>
      </c>
      <c r="I692" s="79">
        <f>IF($C692&lt;=Entradas!$E$124,"",G692^2)</f>
        <v>0.11718552302425037</v>
      </c>
      <c r="J692" s="79">
        <f>IF($C692&lt;=Entradas!$E$124,"",E692-AVERAGE(E:E))</f>
        <v>-0.36981227642799852</v>
      </c>
      <c r="K692" s="79">
        <f>IF($C692&lt;=Entradas!$E$124,"",J692^2)</f>
        <v>0.1367611197968584</v>
      </c>
      <c r="L692" s="79">
        <f>IF($C692&lt;=Entradas!$E$124,"",G692*J692)</f>
        <v>0.12659551079235398</v>
      </c>
      <c r="M692" s="40"/>
    </row>
    <row r="693" spans="2:13">
      <c r="B693" s="39"/>
      <c r="C693" s="75">
        <v>688</v>
      </c>
      <c r="D693" s="110">
        <f>IF($C693&lt;=Entradas!$E$124,"",Observaciones!H693)</f>
        <v>0.60286052532240753</v>
      </c>
      <c r="E693" s="110">
        <f>IF($C693&lt;=Entradas!$E$124,"",LíneaBase!L694)</f>
        <v>0.56305727226552627</v>
      </c>
      <c r="F693" s="79">
        <f>IF($C693&lt;=Entradas!$E$124,"",D693-E693)</f>
        <v>3.980325305688126E-2</v>
      </c>
      <c r="G693" s="79">
        <f>IF($C693&lt;=Entradas!$E$124,"",D693-AVERAGE(D:D))</f>
        <v>-0.3032381568710707</v>
      </c>
      <c r="H693" s="79">
        <f>IF($C693&lt;=Entradas!$E$124,"",F693^2)</f>
        <v>1.5842989539101274E-3</v>
      </c>
      <c r="I693" s="79">
        <f>IF($C693&lt;=Entradas!$E$124,"",G693^2)</f>
        <v>9.1953379782564085E-2</v>
      </c>
      <c r="J693" s="79">
        <f>IF($C693&lt;=Entradas!$E$124,"",E693-AVERAGE(E:E))</f>
        <v>-0.33252359153159161</v>
      </c>
      <c r="K693" s="79">
        <f>IF($C693&lt;=Entradas!$E$124,"",J693^2)</f>
        <v>0.11057193892506878</v>
      </c>
      <c r="L693" s="79">
        <f>IF($C693&lt;=Entradas!$E$124,"",G693*J693)</f>
        <v>0.10083384101218862</v>
      </c>
      <c r="M693" s="40"/>
    </row>
    <row r="694" spans="2:13">
      <c r="B694" s="39"/>
      <c r="C694" s="75">
        <v>689</v>
      </c>
      <c r="D694" s="110">
        <f>IF($C694&lt;=Entradas!$E$124,"",Observaciones!H694)</f>
        <v>1.7854315916865511</v>
      </c>
      <c r="E694" s="110">
        <f>IF($C694&lt;=Entradas!$E$124,"",LíneaBase!L695)</f>
        <v>2.0910362646645466</v>
      </c>
      <c r="F694" s="79">
        <f>IF($C694&lt;=Entradas!$E$124,"",D694-E694)</f>
        <v>-0.30560467297799554</v>
      </c>
      <c r="G694" s="79">
        <f>IF($C694&lt;=Entradas!$E$124,"",D694-AVERAGE(D:D))</f>
        <v>0.87933290949307286</v>
      </c>
      <c r="H694" s="79">
        <f>IF($C694&lt;=Entradas!$E$124,"",F694^2)</f>
        <v>9.3394216145987599E-2</v>
      </c>
      <c r="I694" s="79">
        <f>IF($C694&lt;=Entradas!$E$124,"",G694^2)</f>
        <v>0.77322636571755265</v>
      </c>
      <c r="J694" s="79">
        <f>IF($C694&lt;=Entradas!$E$124,"",E694-AVERAGE(E:E))</f>
        <v>1.1954554008674287</v>
      </c>
      <c r="K694" s="79">
        <f>IF($C694&lt;=Entradas!$E$124,"",J694^2)</f>
        <v>1.4291136154631048</v>
      </c>
      <c r="L694" s="79">
        <f>IF($C694&lt;=Entradas!$E$124,"",G694*J694)</f>
        <v>1.0512032758139638</v>
      </c>
      <c r="M694" s="40"/>
    </row>
    <row r="695" spans="2:13">
      <c r="B695" s="39"/>
      <c r="C695" s="75">
        <v>690</v>
      </c>
      <c r="D695" s="110">
        <f>IF($C695&lt;=Entradas!$E$124,"",Observaciones!H695)</f>
        <v>1.1417879082143905</v>
      </c>
      <c r="E695" s="110">
        <f>IF($C695&lt;=Entradas!$E$124,"",LíneaBase!L696)</f>
        <v>1.1605202054908925</v>
      </c>
      <c r="F695" s="79">
        <f>IF($C695&lt;=Entradas!$E$124,"",D695-E695)</f>
        <v>-1.8732297276502052E-2</v>
      </c>
      <c r="G695" s="79">
        <f>IF($C695&lt;=Entradas!$E$124,"",D695-AVERAGE(D:D))</f>
        <v>0.23568922602091225</v>
      </c>
      <c r="H695" s="79">
        <f>IF($C695&lt;=Entradas!$E$124,"",F695^2)</f>
        <v>3.5089896125524623E-4</v>
      </c>
      <c r="I695" s="79">
        <f>IF($C695&lt;=Entradas!$E$124,"",G695^2)</f>
        <v>5.5549411262336659E-2</v>
      </c>
      <c r="J695" s="79">
        <f>IF($C695&lt;=Entradas!$E$124,"",E695-AVERAGE(E:E))</f>
        <v>0.26493934169377464</v>
      </c>
      <c r="K695" s="79">
        <f>IF($C695&lt;=Entradas!$E$124,"",J695^2)</f>
        <v>7.0192854777130678E-2</v>
      </c>
      <c r="L695" s="79">
        <f>IF($C695&lt;=Entradas!$E$124,"",G695*J695)</f>
        <v>6.2443348386295748E-2</v>
      </c>
      <c r="M695" s="40"/>
    </row>
    <row r="696" spans="2:13">
      <c r="B696" s="39"/>
      <c r="C696" s="75">
        <v>691</v>
      </c>
      <c r="D696" s="110">
        <f>IF($C696&lt;=Entradas!$E$124,"",Observaciones!H696)</f>
        <v>0.97196464164670626</v>
      </c>
      <c r="E696" s="110">
        <f>IF($C696&lt;=Entradas!$E$124,"",LíneaBase!L697)</f>
        <v>0.91283770924292862</v>
      </c>
      <c r="F696" s="79">
        <f>IF($C696&lt;=Entradas!$E$124,"",D696-E696)</f>
        <v>5.9126932403777643E-2</v>
      </c>
      <c r="G696" s="79">
        <f>IF($C696&lt;=Entradas!$E$124,"",D696-AVERAGE(D:D))</f>
        <v>6.586595945322804E-2</v>
      </c>
      <c r="H696" s="79">
        <f>IF($C696&lt;=Entradas!$E$124,"",F696^2)</f>
        <v>3.4959941354808905E-3</v>
      </c>
      <c r="I696" s="79">
        <f>IF($C696&lt;=Entradas!$E$124,"",G696^2)</f>
        <v>4.33832461469428E-3</v>
      </c>
      <c r="J696" s="79">
        <f>IF($C696&lt;=Entradas!$E$124,"",E696-AVERAGE(E:E))</f>
        <v>1.7256845445810742E-2</v>
      </c>
      <c r="K696" s="79">
        <f>IF($C696&lt;=Entradas!$E$124,"",J696^2)</f>
        <v>2.9779871474059895E-4</v>
      </c>
      <c r="L696" s="79">
        <f>IF($C696&lt;=Entradas!$E$124,"",G696*J696)</f>
        <v>1.1366386824243934E-3</v>
      </c>
      <c r="M696" s="40"/>
    </row>
    <row r="697" spans="2:13">
      <c r="B697" s="39"/>
      <c r="C697" s="75">
        <v>692</v>
      </c>
      <c r="D697" s="110">
        <f>IF($C697&lt;=Entradas!$E$124,"",Observaciones!H697)</f>
        <v>0.86769651009169035</v>
      </c>
      <c r="E697" s="110">
        <f>IF($C697&lt;=Entradas!$E$124,"",LíneaBase!L698)</f>
        <v>0.80733663688873103</v>
      </c>
      <c r="F697" s="79">
        <f>IF($C697&lt;=Entradas!$E$124,"",D697-E697)</f>
        <v>6.0359873202959324E-2</v>
      </c>
      <c r="G697" s="79">
        <f>IF($C697&lt;=Entradas!$E$124,"",D697-AVERAGE(D:D))</f>
        <v>-3.8402172101787868E-2</v>
      </c>
      <c r="H697" s="79">
        <f>IF($C697&lt;=Entradas!$E$124,"",F697^2)</f>
        <v>3.6433142930773271E-3</v>
      </c>
      <c r="I697" s="79">
        <f>IF($C697&lt;=Entradas!$E$124,"",G697^2)</f>
        <v>1.4747268221353344E-3</v>
      </c>
      <c r="J697" s="79">
        <f>IF($C697&lt;=Entradas!$E$124,"",E697-AVERAGE(E:E))</f>
        <v>-8.8244226908386847E-2</v>
      </c>
      <c r="K697" s="79">
        <f>IF($C697&lt;=Entradas!$E$124,"",J697^2)</f>
        <v>7.7870435826588652E-3</v>
      </c>
      <c r="L697" s="79">
        <f>IF($C697&lt;=Entradas!$E$124,"",G697*J697)</f>
        <v>3.3887699887250916E-3</v>
      </c>
      <c r="M697" s="40"/>
    </row>
    <row r="698" spans="2:13">
      <c r="B698" s="39"/>
      <c r="C698" s="75">
        <v>693</v>
      </c>
      <c r="D698" s="110">
        <f>IF($C698&lt;=Entradas!$E$124,"",Observaciones!H698)</f>
        <v>0.76886436106209854</v>
      </c>
      <c r="E698" s="110">
        <f>IF($C698&lt;=Entradas!$E$124,"",LíneaBase!L699)</f>
        <v>0.70738789547167424</v>
      </c>
      <c r="F698" s="79">
        <f>IF($C698&lt;=Entradas!$E$124,"",D698-E698)</f>
        <v>6.1476465590424301E-2</v>
      </c>
      <c r="G698" s="79">
        <f>IF($C698&lt;=Entradas!$E$124,"",D698-AVERAGE(D:D))</f>
        <v>-0.13723432113137968</v>
      </c>
      <c r="H698" s="79">
        <f>IF($C698&lt;=Entradas!$E$124,"",F698^2)</f>
        <v>3.7793558214906232E-3</v>
      </c>
      <c r="I698" s="79">
        <f>IF($C698&lt;=Entradas!$E$124,"",G698^2)</f>
        <v>1.8833258896390644E-2</v>
      </c>
      <c r="J698" s="79">
        <f>IF($C698&lt;=Entradas!$E$124,"",E698-AVERAGE(E:E))</f>
        <v>-0.18819296832544363</v>
      </c>
      <c r="K698" s="79">
        <f>IF($C698&lt;=Entradas!$E$124,"",J698^2)</f>
        <v>3.5416593327141428E-2</v>
      </c>
      <c r="L698" s="79">
        <f>IF($C698&lt;=Entradas!$E$124,"",G698*J698)</f>
        <v>2.5826534249841496E-2</v>
      </c>
      <c r="M698" s="40"/>
    </row>
    <row r="699" spans="2:13">
      <c r="B699" s="39"/>
      <c r="C699" s="75">
        <v>694</v>
      </c>
      <c r="D699" s="110">
        <f>IF($C699&lt;=Entradas!$E$124,"",Observaciones!H699)</f>
        <v>1.0313193279471664</v>
      </c>
      <c r="E699" s="110">
        <f>IF($C699&lt;=Entradas!$E$124,"",LíneaBase!L700)</f>
        <v>1.0653800502440052</v>
      </c>
      <c r="F699" s="79">
        <f>IF($C699&lt;=Entradas!$E$124,"",D699-E699)</f>
        <v>-3.4060722296838764E-2</v>
      </c>
      <c r="G699" s="79">
        <f>IF($C699&lt;=Entradas!$E$124,"",D699-AVERAGE(D:D))</f>
        <v>0.12522064575368819</v>
      </c>
      <c r="H699" s="79">
        <f>IF($C699&lt;=Entradas!$E$124,"",F699^2)</f>
        <v>1.1601328033823692E-3</v>
      </c>
      <c r="I699" s="79">
        <f>IF($C699&lt;=Entradas!$E$124,"",G699^2)</f>
        <v>1.5680210122970668E-2</v>
      </c>
      <c r="J699" s="79">
        <f>IF($C699&lt;=Entradas!$E$124,"",E699-AVERAGE(E:E))</f>
        <v>0.1697991864468873</v>
      </c>
      <c r="K699" s="79">
        <f>IF($C699&lt;=Entradas!$E$124,"",J699^2)</f>
        <v>2.8831763718024796E-2</v>
      </c>
      <c r="L699" s="79">
        <f>IF($C699&lt;=Entradas!$E$124,"",G699*J699)</f>
        <v>2.1262363775330126E-2</v>
      </c>
      <c r="M699" s="40"/>
    </row>
    <row r="700" spans="2:13">
      <c r="B700" s="39"/>
      <c r="C700" s="75">
        <v>695</v>
      </c>
      <c r="D700" s="110">
        <f>IF($C700&lt;=Entradas!$E$124,"",Observaciones!H700)</f>
        <v>1.9351068582041395</v>
      </c>
      <c r="E700" s="110">
        <f>IF($C700&lt;=Entradas!$E$124,"",LíneaBase!L701)</f>
        <v>2.1805939342581175</v>
      </c>
      <c r="F700" s="79">
        <f>IF($C700&lt;=Entradas!$E$124,"",D700-E700)</f>
        <v>-0.24548707605397802</v>
      </c>
      <c r="G700" s="79">
        <f>IF($C700&lt;=Entradas!$E$124,"",D700-AVERAGE(D:D))</f>
        <v>1.0290081760106613</v>
      </c>
      <c r="H700" s="79">
        <f>IF($C700&lt;=Entradas!$E$124,"",F700^2)</f>
        <v>6.0263904509531584E-2</v>
      </c>
      <c r="I700" s="79">
        <f>IF($C700&lt;=Entradas!$E$124,"",G700^2)</f>
        <v>1.058857826296788</v>
      </c>
      <c r="J700" s="79">
        <f>IF($C700&lt;=Entradas!$E$124,"",E700-AVERAGE(E:E))</f>
        <v>1.2850130704609997</v>
      </c>
      <c r="K700" s="79">
        <f>IF($C700&lt;=Entradas!$E$124,"",J700^2)</f>
        <v>1.6512585912556061</v>
      </c>
      <c r="L700" s="79">
        <f>IF($C700&lt;=Entradas!$E$124,"",G700*J700)</f>
        <v>1.3222889557849327</v>
      </c>
      <c r="M700" s="40"/>
    </row>
    <row r="701" spans="2:13">
      <c r="B701" s="39"/>
      <c r="C701" s="75">
        <v>696</v>
      </c>
      <c r="D701" s="110">
        <f>IF($C701&lt;=Entradas!$E$124,"",Observaciones!H701)</f>
        <v>1.1306968057497018</v>
      </c>
      <c r="E701" s="110">
        <f>IF($C701&lt;=Entradas!$E$124,"",LíneaBase!L702)</f>
        <v>1.0556983847466406</v>
      </c>
      <c r="F701" s="79">
        <f>IF($C701&lt;=Entradas!$E$124,"",D701-E701)</f>
        <v>7.49984210030612E-2</v>
      </c>
      <c r="G701" s="79">
        <f>IF($C701&lt;=Entradas!$E$124,"",D701-AVERAGE(D:D))</f>
        <v>0.22459812355622355</v>
      </c>
      <c r="H701" s="79">
        <f>IF($C701&lt;=Entradas!$E$124,"",F701^2)</f>
        <v>5.6247631529524117E-3</v>
      </c>
      <c r="I701" s="79">
        <f>IF($C701&lt;=Entradas!$E$124,"",G701^2)</f>
        <v>5.0444317104976662E-2</v>
      </c>
      <c r="J701" s="79">
        <f>IF($C701&lt;=Entradas!$E$124,"",E701-AVERAGE(E:E))</f>
        <v>0.1601175209495227</v>
      </c>
      <c r="K701" s="79">
        <f>IF($C701&lt;=Entradas!$E$124,"",J701^2)</f>
        <v>2.5637620515020838E-2</v>
      </c>
      <c r="L701" s="79">
        <f>IF($C701&lt;=Entradas!$E$124,"",G701*J701)</f>
        <v>3.5962094753737114E-2</v>
      </c>
      <c r="M701" s="40"/>
    </row>
    <row r="702" spans="2:13">
      <c r="B702" s="39"/>
      <c r="C702" s="75">
        <v>697</v>
      </c>
      <c r="D702" s="110">
        <f>IF($C702&lt;=Entradas!$E$124,"",Observaciones!H702)</f>
        <v>1.0211805291160685</v>
      </c>
      <c r="E702" s="110">
        <f>IF($C702&lt;=Entradas!$E$124,"",LíneaBase!L703)</f>
        <v>0.94547569138480059</v>
      </c>
      <c r="F702" s="79">
        <f>IF($C702&lt;=Entradas!$E$124,"",D702-E702)</f>
        <v>7.5704837731267904E-2</v>
      </c>
      <c r="G702" s="79">
        <f>IF($C702&lt;=Entradas!$E$124,"",D702-AVERAGE(D:D))</f>
        <v>0.11508184692259027</v>
      </c>
      <c r="H702" s="79">
        <f>IF($C702&lt;=Entradas!$E$124,"",F702^2)</f>
        <v>5.7312224559176042E-3</v>
      </c>
      <c r="I702" s="79">
        <f>IF($C702&lt;=Entradas!$E$124,"",G702^2)</f>
        <v>1.3243831491114499E-2</v>
      </c>
      <c r="J702" s="79">
        <f>IF($C702&lt;=Entradas!$E$124,"",E702-AVERAGE(E:E))</f>
        <v>4.9894827587682711E-2</v>
      </c>
      <c r="K702" s="79">
        <f>IF($C702&lt;=Entradas!$E$124,"",J702^2)</f>
        <v>2.4894938200045835E-3</v>
      </c>
      <c r="L702" s="79">
        <f>IF($C702&lt;=Entradas!$E$124,"",G702*J702)</f>
        <v>5.7419889106747352E-3</v>
      </c>
      <c r="M702" s="40"/>
    </row>
    <row r="703" spans="2:13">
      <c r="B703" s="39"/>
      <c r="C703" s="75">
        <v>698</v>
      </c>
      <c r="D703" s="110">
        <f>IF($C703&lt;=Entradas!$E$124,"",Observaciones!H703)</f>
        <v>0.9172855282013781</v>
      </c>
      <c r="E703" s="110">
        <f>IF($C703&lt;=Entradas!$E$124,"",LíneaBase!L704)</f>
        <v>0.84097329751864902</v>
      </c>
      <c r="F703" s="79">
        <f>IF($C703&lt;=Entradas!$E$124,"",D703-E703)</f>
        <v>7.6312230682729076E-2</v>
      </c>
      <c r="G703" s="79">
        <f>IF($C703&lt;=Entradas!$E$124,"",D703-AVERAGE(D:D))</f>
        <v>1.1186846007899875E-2</v>
      </c>
      <c r="H703" s="79">
        <f>IF($C703&lt;=Entradas!$E$124,"",F703^2)</f>
        <v>5.8235565517740567E-3</v>
      </c>
      <c r="I703" s="79">
        <f>IF($C703&lt;=Entradas!$E$124,"",G703^2)</f>
        <v>1.2514552360446538E-4</v>
      </c>
      <c r="J703" s="79">
        <f>IF($C703&lt;=Entradas!$E$124,"",E703-AVERAGE(E:E))</f>
        <v>-5.4607566278468855E-2</v>
      </c>
      <c r="K703" s="79">
        <f>IF($C703&lt;=Entradas!$E$124,"",J703^2)</f>
        <v>2.9819862948573688E-3</v>
      </c>
      <c r="L703" s="79">
        <f>IF($C703&lt;=Entradas!$E$124,"",G703*J703)</f>
        <v>-6.1088643482341723E-4</v>
      </c>
      <c r="M703" s="40"/>
    </row>
    <row r="704" spans="2:13">
      <c r="B704" s="39"/>
      <c r="C704" s="75">
        <v>699</v>
      </c>
      <c r="D704" s="110">
        <f>IF($C704&lt;=Entradas!$E$124,"",Observaciones!H704)</f>
        <v>0.81852382973480409</v>
      </c>
      <c r="E704" s="110">
        <f>IF($C704&lt;=Entradas!$E$124,"",LíneaBase!L705)</f>
        <v>0.74168951589446031</v>
      </c>
      <c r="F704" s="79">
        <f>IF($C704&lt;=Entradas!$E$124,"",D704-E704)</f>
        <v>7.6834313840343782E-2</v>
      </c>
      <c r="G704" s="79">
        <f>IF($C704&lt;=Entradas!$E$124,"",D704-AVERAGE(D:D))</f>
        <v>-8.7574852458674135E-2</v>
      </c>
      <c r="H704" s="79">
        <f>IF($C704&lt;=Entradas!$E$124,"",F704^2)</f>
        <v>5.903511783316444E-3</v>
      </c>
      <c r="I704" s="79">
        <f>IF($C704&lt;=Entradas!$E$124,"",G704^2)</f>
        <v>7.669354783158543E-3</v>
      </c>
      <c r="J704" s="79">
        <f>IF($C704&lt;=Entradas!$E$124,"",E704-AVERAGE(E:E))</f>
        <v>-0.15389134790265757</v>
      </c>
      <c r="K704" s="79">
        <f>IF($C704&lt;=Entradas!$E$124,"",J704^2)</f>
        <v>2.368254695929679E-2</v>
      </c>
      <c r="L704" s="79">
        <f>IF($C704&lt;=Entradas!$E$124,"",G704*J704)</f>
        <v>1.3477012087241728E-2</v>
      </c>
      <c r="M704" s="40"/>
    </row>
    <row r="705" spans="2:13">
      <c r="B705" s="39"/>
      <c r="C705" s="75">
        <v>700</v>
      </c>
      <c r="D705" s="110">
        <f>IF($C705&lt;=Entradas!$E$124,"",Observaciones!H705)</f>
        <v>0.72449970081980919</v>
      </c>
      <c r="E705" s="110">
        <f>IF($C705&lt;=Entradas!$E$124,"",LíneaBase!L706)</f>
        <v>0.64721784549469152</v>
      </c>
      <c r="F705" s="79">
        <f>IF($C705&lt;=Entradas!$E$124,"",D705-E705)</f>
        <v>7.7281855325117665E-2</v>
      </c>
      <c r="G705" s="79">
        <f>IF($C705&lt;=Entradas!$E$124,"",D705-AVERAGE(D:D))</f>
        <v>-0.18159898137366903</v>
      </c>
      <c r="H705" s="79">
        <f>IF($C705&lt;=Entradas!$E$124,"",F705^2)</f>
        <v>5.9724851624924176E-3</v>
      </c>
      <c r="I705" s="79">
        <f>IF($C705&lt;=Entradas!$E$124,"",G705^2)</f>
        <v>3.2978190035954195E-2</v>
      </c>
      <c r="J705" s="79">
        <f>IF($C705&lt;=Entradas!$E$124,"",E705-AVERAGE(E:E))</f>
        <v>-0.24836301830242635</v>
      </c>
      <c r="K705" s="79">
        <f>IF($C705&lt;=Entradas!$E$124,"",J705^2)</f>
        <v>6.1684188860291367E-2</v>
      </c>
      <c r="L705" s="79">
        <f>IF($C705&lt;=Entradas!$E$124,"",G705*J705)</f>
        <v>4.5102471134610543E-2</v>
      </c>
      <c r="M705" s="40"/>
    </row>
    <row r="706" spans="2:13">
      <c r="B706" s="39"/>
      <c r="C706" s="75">
        <v>701</v>
      </c>
      <c r="D706" s="110">
        <f>IF($C706&lt;=Entradas!$E$124,"",Observaciones!H706)</f>
        <v>0.63342916912613545</v>
      </c>
      <c r="E706" s="110">
        <f>IF($C706&lt;=Entradas!$E$124,"",LíneaBase!L707)</f>
        <v>0.55570881493117397</v>
      </c>
      <c r="F706" s="79">
        <f>IF($C706&lt;=Entradas!$E$124,"",D706-E706)</f>
        <v>7.7720354194961483E-2</v>
      </c>
      <c r="G706" s="79">
        <f>IF($C706&lt;=Entradas!$E$124,"",D706-AVERAGE(D:D))</f>
        <v>-0.27266951306734277</v>
      </c>
      <c r="H706" s="79">
        <f>IF($C706&lt;=Entradas!$E$124,"",F706^2)</f>
        <v>6.0404534561902673E-3</v>
      </c>
      <c r="I706" s="79">
        <f>IF($C706&lt;=Entradas!$E$124,"",G706^2)</f>
        <v>7.4348663356381808E-2</v>
      </c>
      <c r="J706" s="79">
        <f>IF($C706&lt;=Entradas!$E$124,"",E706-AVERAGE(E:E))</f>
        <v>-0.33987204886594391</v>
      </c>
      <c r="K706" s="79">
        <f>IF($C706&lt;=Entradas!$E$124,"",J706^2)</f>
        <v>0.11551300960033456</v>
      </c>
      <c r="L706" s="79">
        <f>IF($C706&lt;=Entradas!$E$124,"",G706*J706)</f>
        <v>9.2672746069477049E-2</v>
      </c>
      <c r="M706" s="40"/>
    </row>
    <row r="707" spans="2:13">
      <c r="B707" s="39"/>
      <c r="C707" s="75">
        <v>702</v>
      </c>
      <c r="D707" s="110">
        <f>IF($C707&lt;=Entradas!$E$124,"",Observaciones!H707)</f>
        <v>0.54358868353579615</v>
      </c>
      <c r="E707" s="110">
        <f>IF($C707&lt;=Entradas!$E$124,"",LíneaBase!L708)</f>
        <v>0.4653759116365967</v>
      </c>
      <c r="F707" s="79">
        <f>IF($C707&lt;=Entradas!$E$124,"",D707-E707)</f>
        <v>7.8212771899199451E-2</v>
      </c>
      <c r="G707" s="79">
        <f>IF($C707&lt;=Entradas!$E$124,"",D707-AVERAGE(D:D))</f>
        <v>-0.36250999865768208</v>
      </c>
      <c r="H707" s="79">
        <f>IF($C707&lt;=Entradas!$E$124,"",F707^2)</f>
        <v>6.1172376881562032E-3</v>
      </c>
      <c r="I707" s="79">
        <f>IF($C707&lt;=Entradas!$E$124,"",G707^2)</f>
        <v>0.13141349912679265</v>
      </c>
      <c r="J707" s="79">
        <f>IF($C707&lt;=Entradas!$E$124,"",E707-AVERAGE(E:E))</f>
        <v>-0.43020495216052118</v>
      </c>
      <c r="K707" s="79">
        <f>IF($C707&lt;=Entradas!$E$124,"",J707^2)</f>
        <v>0.18507630086343632</v>
      </c>
      <c r="L707" s="79">
        <f>IF($C707&lt;=Entradas!$E$124,"",G707*J707)</f>
        <v>0.15595359663023872</v>
      </c>
      <c r="M707" s="40"/>
    </row>
    <row r="708" spans="2:13">
      <c r="B708" s="39"/>
      <c r="C708" s="75">
        <v>703</v>
      </c>
      <c r="D708" s="110">
        <f>IF($C708&lt;=Entradas!$E$124,"",Observaciones!H708)</f>
        <v>0.45685603354325571</v>
      </c>
      <c r="E708" s="110">
        <f>IF($C708&lt;=Entradas!$E$124,"",LíneaBase!L709)</f>
        <v>0.37817285348431384</v>
      </c>
      <c r="F708" s="79">
        <f>IF($C708&lt;=Entradas!$E$124,"",D708-E708)</f>
        <v>7.8683180058941871E-2</v>
      </c>
      <c r="G708" s="79">
        <f>IF($C708&lt;=Entradas!$E$124,"",D708-AVERAGE(D:D))</f>
        <v>-0.44924264865022251</v>
      </c>
      <c r="H708" s="79">
        <f>IF($C708&lt;=Entradas!$E$124,"",F708^2)</f>
        <v>6.191042824187868E-3</v>
      </c>
      <c r="I708" s="79">
        <f>IF($C708&lt;=Entradas!$E$124,"",G708^2)</f>
        <v>0.20181895736626726</v>
      </c>
      <c r="J708" s="79">
        <f>IF($C708&lt;=Entradas!$E$124,"",E708-AVERAGE(E:E))</f>
        <v>-0.51740801031280403</v>
      </c>
      <c r="K708" s="79">
        <f>IF($C708&lt;=Entradas!$E$124,"",J708^2)</f>
        <v>0.26771104913585475</v>
      </c>
      <c r="L708" s="79">
        <f>IF($C708&lt;=Entradas!$E$124,"",G708*J708)</f>
        <v>0.23244174498576572</v>
      </c>
      <c r="M708" s="40"/>
    </row>
    <row r="709" spans="2:13">
      <c r="B709" s="39"/>
      <c r="C709" s="75">
        <v>704</v>
      </c>
      <c r="D709" s="110">
        <f>IF($C709&lt;=Entradas!$E$124,"",Observaciones!H709)</f>
        <v>0.37305223474391563</v>
      </c>
      <c r="E709" s="110">
        <f>IF($C709&lt;=Entradas!$E$124,"",LíneaBase!L710)</f>
        <v>0.29391706673393003</v>
      </c>
      <c r="F709" s="79">
        <f>IF($C709&lt;=Entradas!$E$124,"",D709-E709)</f>
        <v>7.9135168009985601E-2</v>
      </c>
      <c r="G709" s="79">
        <f>IF($C709&lt;=Entradas!$E$124,"",D709-AVERAGE(D:D))</f>
        <v>-0.53304644744956264</v>
      </c>
      <c r="H709" s="79">
        <f>IF($C709&lt;=Entradas!$E$124,"",F709^2)</f>
        <v>6.2623748159686488E-3</v>
      </c>
      <c r="I709" s="79">
        <f>IF($C709&lt;=Entradas!$E$124,"",G709^2)</f>
        <v>0.28413851513859933</v>
      </c>
      <c r="J709" s="79">
        <f>IF($C709&lt;=Entradas!$E$124,"",E709-AVERAGE(E:E))</f>
        <v>-0.60166379706318784</v>
      </c>
      <c r="K709" s="79">
        <f>IF($C709&lt;=Entradas!$E$124,"",J709^2)</f>
        <v>0.36199932469649287</v>
      </c>
      <c r="L709" s="79">
        <f>IF($C709&lt;=Entradas!$E$124,"",G709*J709)</f>
        <v>0.3207147495835469</v>
      </c>
      <c r="M709" s="40"/>
    </row>
    <row r="710" spans="2:13">
      <c r="B710" s="39"/>
      <c r="C710" s="75">
        <v>705</v>
      </c>
      <c r="D710" s="110">
        <f>IF($C710&lt;=Entradas!$E$124,"",Observaciones!H710)</f>
        <v>0.29156133348238034</v>
      </c>
      <c r="E710" s="110">
        <f>IF($C710&lt;=Entradas!$E$124,"",LíneaBase!L711)</f>
        <v>0.21197217024627282</v>
      </c>
      <c r="F710" s="79">
        <f>IF($C710&lt;=Entradas!$E$124,"",D710-E710)</f>
        <v>7.9589163236107513E-2</v>
      </c>
      <c r="G710" s="79">
        <f>IF($C710&lt;=Entradas!$E$124,"",D710-AVERAGE(D:D))</f>
        <v>-0.61453734871109789</v>
      </c>
      <c r="H710" s="79">
        <f>IF($C710&lt;=Entradas!$E$124,"",F710^2)</f>
        <v>6.3344349046237682E-3</v>
      </c>
      <c r="I710" s="79">
        <f>IF($C710&lt;=Entradas!$E$124,"",G710^2)</f>
        <v>0.37765615296086552</v>
      </c>
      <c r="J710" s="79">
        <f>IF($C710&lt;=Entradas!$E$124,"",E710-AVERAGE(E:E))</f>
        <v>-0.68360869355084508</v>
      </c>
      <c r="K710" s="79">
        <f>IF($C710&lt;=Entradas!$E$124,"",J710^2)</f>
        <v>0.4673208458982932</v>
      </c>
      <c r="L710" s="79">
        <f>IF($C710&lt;=Entradas!$E$124,"",G710*J710)</f>
        <v>0.42010307409059372</v>
      </c>
      <c r="M710" s="40"/>
    </row>
    <row r="711" spans="2:13">
      <c r="B711" s="39"/>
      <c r="C711" s="75">
        <v>706</v>
      </c>
      <c r="D711" s="110">
        <f>IF($C711&lt;=Entradas!$E$124,"",Observaciones!H711)</f>
        <v>0.21674514251598001</v>
      </c>
      <c r="E711" s="110">
        <f>IF($C711&lt;=Entradas!$E$124,"",LíneaBase!L712)</f>
        <v>0.13673961414171235</v>
      </c>
      <c r="F711" s="79">
        <f>IF($C711&lt;=Entradas!$E$124,"",D711-E711)</f>
        <v>8.0005528374267665E-2</v>
      </c>
      <c r="G711" s="79">
        <f>IF($C711&lt;=Entradas!$E$124,"",D711-AVERAGE(D:D))</f>
        <v>-0.68935353967749824</v>
      </c>
      <c r="H711" s="79">
        <f>IF($C711&lt;=Entradas!$E$124,"",F711^2)</f>
        <v>6.4008845704457487E-3</v>
      </c>
      <c r="I711" s="79">
        <f>IF($C711&lt;=Entradas!$E$124,"",G711^2)</f>
        <v>0.47520830266589614</v>
      </c>
      <c r="J711" s="79">
        <f>IF($C711&lt;=Entradas!$E$124,"",E711-AVERAGE(E:E))</f>
        <v>-0.75884124965540556</v>
      </c>
      <c r="K711" s="79">
        <f>IF($C711&lt;=Entradas!$E$124,"",J711^2)</f>
        <v>0.57584004217857754</v>
      </c>
      <c r="L711" s="79">
        <f>IF($C711&lt;=Entradas!$E$124,"",G711*J711)</f>
        <v>0.52310990150324999</v>
      </c>
      <c r="M711" s="40"/>
    </row>
    <row r="712" spans="2:13">
      <c r="B712" s="39"/>
      <c r="C712" s="75">
        <v>707</v>
      </c>
      <c r="D712" s="110">
        <f>IF($C712&lt;=Entradas!$E$124,"",Observaciones!H712)</f>
        <v>0.1411210851867275</v>
      </c>
      <c r="E712" s="110">
        <f>IF($C712&lt;=Entradas!$E$124,"",LíneaBase!L713)</f>
        <v>9.5119875976377069E-2</v>
      </c>
      <c r="F712" s="79">
        <f>IF($C712&lt;=Entradas!$E$124,"",D712-E712)</f>
        <v>4.6001209210350433E-2</v>
      </c>
      <c r="G712" s="79">
        <f>IF($C712&lt;=Entradas!$E$124,"",D712-AVERAGE(D:D))</f>
        <v>-0.76497759700675072</v>
      </c>
      <c r="H712" s="79">
        <f>IF($C712&lt;=Entradas!$E$124,"",F712^2)</f>
        <v>2.1161112488144295E-3</v>
      </c>
      <c r="I712" s="79">
        <f>IF($C712&lt;=Entradas!$E$124,"",G712^2)</f>
        <v>0.58519072392222271</v>
      </c>
      <c r="J712" s="79">
        <f>IF($C712&lt;=Entradas!$E$124,"",E712-AVERAGE(E:E))</f>
        <v>-0.80046098782074082</v>
      </c>
      <c r="K712" s="79">
        <f>IF($C712&lt;=Entradas!$E$124,"",J712^2)</f>
        <v>0.64073779302295619</v>
      </c>
      <c r="L712" s="79">
        <f>IF($C712&lt;=Entradas!$E$124,"",G712*J712)</f>
        <v>0.6123347229607603</v>
      </c>
      <c r="M712" s="40"/>
    </row>
    <row r="713" spans="2:13">
      <c r="B713" s="39"/>
      <c r="C713" s="75">
        <v>708</v>
      </c>
      <c r="D713" s="110">
        <f>IF($C713&lt;=Entradas!$E$124,"",Observaciones!H713)</f>
        <v>0.10316907938270582</v>
      </c>
      <c r="E713" s="110">
        <f>IF($C713&lt;=Entradas!$E$124,"",LíneaBase!L714)</f>
        <v>8.7499981280640085E-2</v>
      </c>
      <c r="F713" s="79">
        <f>IF($C713&lt;=Entradas!$E$124,"",D713-E713)</f>
        <v>1.5669098102065737E-2</v>
      </c>
      <c r="G713" s="79">
        <f>IF($C713&lt;=Entradas!$E$124,"",D713-AVERAGE(D:D))</f>
        <v>-0.80292960281077241</v>
      </c>
      <c r="H713" s="79">
        <f>IF($C713&lt;=Entradas!$E$124,"",F713^2)</f>
        <v>2.4552063533216009E-4</v>
      </c>
      <c r="I713" s="79">
        <f>IF($C713&lt;=Entradas!$E$124,"",G713^2)</f>
        <v>0.64469594706986477</v>
      </c>
      <c r="J713" s="79">
        <f>IF($C713&lt;=Entradas!$E$124,"",E713-AVERAGE(E:E))</f>
        <v>-0.80808088251647781</v>
      </c>
      <c r="K713" s="79">
        <f>IF($C713&lt;=Entradas!$E$124,"",J713^2)</f>
        <v>0.65299471268860965</v>
      </c>
      <c r="L713" s="79">
        <f>IF($C713&lt;=Entradas!$E$124,"",G713*J713)</f>
        <v>0.64883206203793398</v>
      </c>
      <c r="M713" s="40"/>
    </row>
    <row r="714" spans="2:13">
      <c r="B714" s="39"/>
      <c r="C714" s="75">
        <v>709</v>
      </c>
      <c r="D714" s="110">
        <f>IF($C714&lt;=Entradas!$E$124,"",Observaciones!H714)</f>
        <v>9.6085647761876919E-2</v>
      </c>
      <c r="E714" s="110">
        <f>IF($C714&lt;=Entradas!$E$124,"",LíneaBase!L715)</f>
        <v>8.5528927736372204E-2</v>
      </c>
      <c r="F714" s="79">
        <f>IF($C714&lt;=Entradas!$E$124,"",D714-E714)</f>
        <v>1.0556720025504715E-2</v>
      </c>
      <c r="G714" s="79">
        <f>IF($C714&lt;=Entradas!$E$124,"",D714-AVERAGE(D:D))</f>
        <v>-0.81001303443160133</v>
      </c>
      <c r="H714" s="79">
        <f>IF($C714&lt;=Entradas!$E$124,"",F714^2)</f>
        <v>1.1144433769689227E-4</v>
      </c>
      <c r="I714" s="79">
        <f>IF($C714&lt;=Entradas!$E$124,"",G714^2)</f>
        <v>0.65612111594909062</v>
      </c>
      <c r="J714" s="79">
        <f>IF($C714&lt;=Entradas!$E$124,"",E714-AVERAGE(E:E))</f>
        <v>-0.81005193606074566</v>
      </c>
      <c r="K714" s="79">
        <f>IF($C714&lt;=Entradas!$E$124,"",J714^2)</f>
        <v>0.65618413911576234</v>
      </c>
      <c r="L714" s="79">
        <f>IF($C714&lt;=Entradas!$E$124,"",G714*J714)</f>
        <v>0.65615262677575814</v>
      </c>
      <c r="M714" s="40"/>
    </row>
    <row r="715" spans="2:13">
      <c r="B715" s="39"/>
      <c r="C715" s="75">
        <v>710</v>
      </c>
      <c r="D715" s="110">
        <f>IF($C715&lt;=Entradas!$E$124,"",Observaciones!H715)</f>
        <v>9.4132176843521556E-2</v>
      </c>
      <c r="E715" s="110">
        <f>IF($C715&lt;=Entradas!$E$124,"",LíneaBase!L716)</f>
        <v>8.4502184810162709E-2</v>
      </c>
      <c r="F715" s="79">
        <f>IF($C715&lt;=Entradas!$E$124,"",D715-E715)</f>
        <v>9.6299920333588473E-3</v>
      </c>
      <c r="G715" s="79">
        <f>IF($C715&lt;=Entradas!$E$124,"",D715-AVERAGE(D:D))</f>
        <v>-0.81196650534995662</v>
      </c>
      <c r="H715" s="79">
        <f>IF($C715&lt;=Entradas!$E$124,"",F715^2)</f>
        <v>9.2736746562554874E-5</v>
      </c>
      <c r="I715" s="79">
        <f>IF($C715&lt;=Entradas!$E$124,"",G715^2)</f>
        <v>0.65928960581022111</v>
      </c>
      <c r="J715" s="79">
        <f>IF($C715&lt;=Entradas!$E$124,"",E715-AVERAGE(E:E))</f>
        <v>-0.81107867898695518</v>
      </c>
      <c r="K715" s="79">
        <f>IF($C715&lt;=Entradas!$E$124,"",J715^2)</f>
        <v>0.65784862350722428</v>
      </c>
      <c r="L715" s="79">
        <f>IF($C715&lt;=Entradas!$E$124,"",G715*J715)</f>
        <v>0.65856872054089732</v>
      </c>
      <c r="M715" s="40"/>
    </row>
    <row r="716" spans="2:13">
      <c r="B716" s="39"/>
      <c r="C716" s="75">
        <v>711</v>
      </c>
      <c r="D716" s="110">
        <f>IF($C716&lt;=Entradas!$E$124,"",Observaciones!H716)</f>
        <v>9.3037619303150826E-2</v>
      </c>
      <c r="E716" s="110">
        <f>IF($C716&lt;=Entradas!$E$124,"",LíneaBase!L717)</f>
        <v>8.3639031371287517E-2</v>
      </c>
      <c r="F716" s="79">
        <f>IF($C716&lt;=Entradas!$E$124,"",D716-E716)</f>
        <v>9.3985879318633087E-3</v>
      </c>
      <c r="G716" s="79">
        <f>IF($C716&lt;=Entradas!$E$124,"",D716-AVERAGE(D:D))</f>
        <v>-0.81306106289032742</v>
      </c>
      <c r="H716" s="79">
        <f>IF($C716&lt;=Entradas!$E$124,"",F716^2)</f>
        <v>8.8333455112966623E-5</v>
      </c>
      <c r="I716" s="79">
        <f>IF($C716&lt;=Entradas!$E$124,"",G716^2)</f>
        <v>0.66106829198834893</v>
      </c>
      <c r="J716" s="79">
        <f>IF($C716&lt;=Entradas!$E$124,"",E716-AVERAGE(E:E))</f>
        <v>-0.8119418324258304</v>
      </c>
      <c r="K716" s="79">
        <f>IF($C716&lt;=Entradas!$E$124,"",J716^2)</f>
        <v>0.65924953924301521</v>
      </c>
      <c r="L716" s="79">
        <f>IF($C716&lt;=Entradas!$E$124,"",G716*J716)</f>
        <v>0.66015828927726583</v>
      </c>
      <c r="M716" s="40"/>
    </row>
    <row r="717" spans="2:13">
      <c r="B717" s="39"/>
      <c r="C717" s="75">
        <v>712</v>
      </c>
      <c r="D717" s="110">
        <f>IF($C717&lt;=Entradas!$E$124,"",Observaciones!H717)</f>
        <v>0.16368499597931857</v>
      </c>
      <c r="E717" s="110">
        <f>IF($C717&lt;=Entradas!$E$124,"",LíneaBase!L718)</f>
        <v>0.15432029041450651</v>
      </c>
      <c r="F717" s="79">
        <f>IF($C717&lt;=Entradas!$E$124,"",D717-E717)</f>
        <v>9.3647055648120592E-3</v>
      </c>
      <c r="G717" s="79">
        <f>IF($C717&lt;=Entradas!$E$124,"",D717-AVERAGE(D:D))</f>
        <v>-0.74241368621415971</v>
      </c>
      <c r="H717" s="79">
        <f>IF($C717&lt;=Entradas!$E$124,"",F717^2)</f>
        <v>8.7697710315621952E-5</v>
      </c>
      <c r="I717" s="79">
        <f>IF($C717&lt;=Entradas!$E$124,"",G717^2)</f>
        <v>0.55117808147809677</v>
      </c>
      <c r="J717" s="79">
        <f>IF($C717&lt;=Entradas!$E$124,"",E717-AVERAGE(E:E))</f>
        <v>-0.74126057338261142</v>
      </c>
      <c r="K717" s="79">
        <f>IF($C717&lt;=Entradas!$E$124,"",J717^2)</f>
        <v>0.54946723765151784</v>
      </c>
      <c r="L717" s="79">
        <f>IF($C717&lt;=Entradas!$E$124,"",G717*J717)</f>
        <v>0.55032199473020615</v>
      </c>
      <c r="M717" s="40"/>
    </row>
    <row r="718" spans="2:13">
      <c r="B718" s="39"/>
      <c r="C718" s="75">
        <v>713</v>
      </c>
      <c r="D718" s="110">
        <f>IF($C718&lt;=Entradas!$E$124,"",Observaciones!H718)</f>
        <v>0.10578593914603057</v>
      </c>
      <c r="E718" s="110">
        <f>IF($C718&lt;=Entradas!$E$124,"",LíneaBase!L719)</f>
        <v>9.611584374664639E-2</v>
      </c>
      <c r="F718" s="79">
        <f>IF($C718&lt;=Entradas!$E$124,"",D718-E718)</f>
        <v>9.6700953993841821E-3</v>
      </c>
      <c r="G718" s="79">
        <f>IF($C718&lt;=Entradas!$E$124,"",D718-AVERAGE(D:D))</f>
        <v>-0.80031274304744771</v>
      </c>
      <c r="H718" s="79">
        <f>IF($C718&lt;=Entradas!$E$124,"",F718^2)</f>
        <v>9.3510745033191124E-5</v>
      </c>
      <c r="I718" s="79">
        <f>IF($C718&lt;=Entradas!$E$124,"",G718^2)</f>
        <v>0.64050048668413007</v>
      </c>
      <c r="J718" s="79">
        <f>IF($C718&lt;=Entradas!$E$124,"",E718-AVERAGE(E:E))</f>
        <v>-0.79946502005047149</v>
      </c>
      <c r="K718" s="79">
        <f>IF($C718&lt;=Entradas!$E$124,"",J718^2)</f>
        <v>0.63914431828430074</v>
      </c>
      <c r="L718" s="79">
        <f>IF($C718&lt;=Entradas!$E$124,"",G718*J718)</f>
        <v>0.63982204316707558</v>
      </c>
      <c r="M718" s="40"/>
    </row>
    <row r="719" spans="2:13">
      <c r="B719" s="39"/>
      <c r="C719" s="75">
        <v>714</v>
      </c>
      <c r="D719" s="110">
        <f>IF($C719&lt;=Entradas!$E$124,"",Observaciones!H719)</f>
        <v>9.2705432096798518E-2</v>
      </c>
      <c r="E719" s="110">
        <f>IF($C719&lt;=Entradas!$E$124,"",LíneaBase!L720)</f>
        <v>8.3528509192621558E-2</v>
      </c>
      <c r="F719" s="79">
        <f>IF($C719&lt;=Entradas!$E$124,"",D719-E719)</f>
        <v>9.1769229041769596E-3</v>
      </c>
      <c r="G719" s="79">
        <f>IF($C719&lt;=Entradas!$E$124,"",D719-AVERAGE(D:D))</f>
        <v>-0.81339325009667973</v>
      </c>
      <c r="H719" s="79">
        <f>IF($C719&lt;=Entradas!$E$124,"",F719^2)</f>
        <v>8.4215913989207675E-5</v>
      </c>
      <c r="I719" s="79">
        <f>IF($C719&lt;=Entradas!$E$124,"",G719^2)</f>
        <v>0.66160857930283978</v>
      </c>
      <c r="J719" s="79">
        <f>IF($C719&lt;=Entradas!$E$124,"",E719-AVERAGE(E:E))</f>
        <v>-0.81205235460449632</v>
      </c>
      <c r="K719" s="79">
        <f>IF($C719&lt;=Entradas!$E$124,"",J719^2)</f>
        <v>0.65942902661870662</v>
      </c>
      <c r="L719" s="79">
        <f>IF($C719&lt;=Entradas!$E$124,"",G719*J719)</f>
        <v>0.66051790396041277</v>
      </c>
      <c r="M719" s="40"/>
    </row>
    <row r="720" spans="2:13">
      <c r="B720" s="39"/>
      <c r="C720" s="75">
        <v>715</v>
      </c>
      <c r="D720" s="110">
        <f>IF($C720&lt;=Entradas!$E$124,"",Observaciones!H720)</f>
        <v>0.41871149003078056</v>
      </c>
      <c r="E720" s="110">
        <f>IF($C720&lt;=Entradas!$E$124,"",LíneaBase!L721)</f>
        <v>0.51698050506629278</v>
      </c>
      <c r="F720" s="79">
        <f>IF($C720&lt;=Entradas!$E$124,"",D720-E720)</f>
        <v>-9.8269015035512219E-2</v>
      </c>
      <c r="G720" s="79">
        <f>IF($C720&lt;=Entradas!$E$124,"",D720-AVERAGE(D:D))</f>
        <v>-0.48738719216269766</v>
      </c>
      <c r="H720" s="79">
        <f>IF($C720&lt;=Entradas!$E$124,"",F720^2)</f>
        <v>9.656799316049727E-3</v>
      </c>
      <c r="I720" s="79">
        <f>IF($C720&lt;=Entradas!$E$124,"",G720^2)</f>
        <v>0.23754627508423837</v>
      </c>
      <c r="J720" s="79">
        <f>IF($C720&lt;=Entradas!$E$124,"",E720-AVERAGE(E:E))</f>
        <v>-0.37860035873082509</v>
      </c>
      <c r="K720" s="79">
        <f>IF($C720&lt;=Entradas!$E$124,"",J720^2)</f>
        <v>0.14333823163110945</v>
      </c>
      <c r="L720" s="79">
        <f>IF($C720&lt;=Entradas!$E$124,"",G720*J720)</f>
        <v>0.18452496579360692</v>
      </c>
      <c r="M720" s="40"/>
    </row>
    <row r="721" spans="2:13">
      <c r="B721" s="39"/>
      <c r="C721" s="75">
        <v>716</v>
      </c>
      <c r="D721" s="110">
        <f>IF($C721&lt;=Entradas!$E$124,"",Observaciones!H721)</f>
        <v>0.27114265053946274</v>
      </c>
      <c r="E721" s="110">
        <f>IF($C721&lt;=Entradas!$E$124,"",LíneaBase!L722)</f>
        <v>0.25268308098741421</v>
      </c>
      <c r="F721" s="79">
        <f>IF($C721&lt;=Entradas!$E$124,"",D721-E721)</f>
        <v>1.8459569552048527E-2</v>
      </c>
      <c r="G721" s="79">
        <f>IF($C721&lt;=Entradas!$E$124,"",D721-AVERAGE(D:D))</f>
        <v>-0.63495603165401548</v>
      </c>
      <c r="H721" s="79">
        <f>IF($C721&lt;=Entradas!$E$124,"",F721^2)</f>
        <v>3.4075570804691704E-4</v>
      </c>
      <c r="I721" s="79">
        <f>IF($C721&lt;=Entradas!$E$124,"",G721^2)</f>
        <v>0.4031691621338151</v>
      </c>
      <c r="J721" s="79">
        <f>IF($C721&lt;=Entradas!$E$124,"",E721-AVERAGE(E:E))</f>
        <v>-0.64289778280970367</v>
      </c>
      <c r="K721" s="79">
        <f>IF($C721&lt;=Entradas!$E$124,"",J721^2)</f>
        <v>0.41331755914163293</v>
      </c>
      <c r="L721" s="79">
        <f>IF($C721&lt;=Entradas!$E$124,"",G721*J721)</f>
        <v>0.40821182493201458</v>
      </c>
      <c r="M721" s="40"/>
    </row>
    <row r="722" spans="2:13">
      <c r="B722" s="39"/>
      <c r="C722" s="75">
        <v>717</v>
      </c>
      <c r="D722" s="110">
        <f>IF($C722&lt;=Entradas!$E$124,"",Observaciones!H722)</f>
        <v>0.21506529338924849</v>
      </c>
      <c r="E722" s="110">
        <f>IF($C722&lt;=Entradas!$E$124,"",LíneaBase!L723)</f>
        <v>0.1941804076528113</v>
      </c>
      <c r="F722" s="79">
        <f>IF($C722&lt;=Entradas!$E$124,"",D722-E722)</f>
        <v>2.0884885736437181E-2</v>
      </c>
      <c r="G722" s="79">
        <f>IF($C722&lt;=Entradas!$E$124,"",D722-AVERAGE(D:D))</f>
        <v>-0.69103338880422971</v>
      </c>
      <c r="H722" s="79">
        <f>IF($C722&lt;=Entradas!$E$124,"",F722^2)</f>
        <v>4.361784522240372E-4</v>
      </c>
      <c r="I722" s="79">
        <f>IF($C722&lt;=Entradas!$E$124,"",G722^2)</f>
        <v>0.47752714444225769</v>
      </c>
      <c r="J722" s="79">
        <f>IF($C722&lt;=Entradas!$E$124,"",E722-AVERAGE(E:E))</f>
        <v>-0.70140045614430657</v>
      </c>
      <c r="K722" s="79">
        <f>IF($C722&lt;=Entradas!$E$124,"",J722^2)</f>
        <v>0.49196259987944135</v>
      </c>
      <c r="L722" s="79">
        <f>IF($C722&lt;=Entradas!$E$124,"",G722*J722)</f>
        <v>0.48469113411823267</v>
      </c>
      <c r="M722" s="40"/>
    </row>
    <row r="723" spans="2:13">
      <c r="B723" s="39"/>
      <c r="C723" s="75">
        <v>718</v>
      </c>
      <c r="D723" s="110">
        <f>IF($C723&lt;=Entradas!$E$124,"",Observaciones!H723)</f>
        <v>2.2448826668454513</v>
      </c>
      <c r="E723" s="110">
        <f>IF($C723&lt;=Entradas!$E$124,"",LíneaBase!L724)</f>
        <v>2.7560229061895578</v>
      </c>
      <c r="F723" s="79">
        <f>IF($C723&lt;=Entradas!$E$124,"",D723-E723)</f>
        <v>-0.51114023934410646</v>
      </c>
      <c r="G723" s="79">
        <f>IF($C723&lt;=Entradas!$E$124,"",D723-AVERAGE(D:D))</f>
        <v>1.3387839846519731</v>
      </c>
      <c r="H723" s="79">
        <f>IF($C723&lt;=Entradas!$E$124,"",F723^2)</f>
        <v>0.26126434427675044</v>
      </c>
      <c r="I723" s="79">
        <f>IF($C723&lt;=Entradas!$E$124,"",G723^2)</f>
        <v>1.7923425575606147</v>
      </c>
      <c r="J723" s="79">
        <f>IF($C723&lt;=Entradas!$E$124,"",E723-AVERAGE(E:E))</f>
        <v>1.8604420423924399</v>
      </c>
      <c r="K723" s="79">
        <f>IF($C723&lt;=Entradas!$E$124,"",J723^2)</f>
        <v>3.4612445931013531</v>
      </c>
      <c r="L723" s="79">
        <f>IF($C723&lt;=Entradas!$E$124,"",G723*J723)</f>
        <v>2.490730010728206</v>
      </c>
      <c r="M723" s="40"/>
    </row>
    <row r="724" spans="2:13">
      <c r="B724" s="39"/>
      <c r="C724" s="75">
        <v>719</v>
      </c>
      <c r="D724" s="110">
        <f>IF($C724&lt;=Entradas!$E$124,"",Observaciones!H724)</f>
        <v>0.58121582898816548</v>
      </c>
      <c r="E724" s="110">
        <f>IF($C724&lt;=Entradas!$E$124,"",LíneaBase!L725)</f>
        <v>0.53747799093091819</v>
      </c>
      <c r="F724" s="79">
        <f>IF($C724&lt;=Entradas!$E$124,"",D724-E724)</f>
        <v>4.3737838057247291E-2</v>
      </c>
      <c r="G724" s="79">
        <f>IF($C724&lt;=Entradas!$E$124,"",D724-AVERAGE(D:D))</f>
        <v>-0.32488285320531274</v>
      </c>
      <c r="H724" s="79">
        <f>IF($C724&lt;=Entradas!$E$124,"",F724^2)</f>
        <v>1.9129984779219895E-3</v>
      </c>
      <c r="I724" s="79">
        <f>IF($C724&lt;=Entradas!$E$124,"",G724^2)</f>
        <v>0.10554886830682479</v>
      </c>
      <c r="J724" s="79">
        <f>IF($C724&lt;=Entradas!$E$124,"",E724-AVERAGE(E:E))</f>
        <v>-0.35810287286619968</v>
      </c>
      <c r="K724" s="79">
        <f>IF($C724&lt;=Entradas!$E$124,"",J724^2)</f>
        <v>0.12823766755502558</v>
      </c>
      <c r="L724" s="79">
        <f>IF($C724&lt;=Entradas!$E$124,"",G724*J724)</f>
        <v>0.11634148307779033</v>
      </c>
      <c r="M724" s="40"/>
    </row>
    <row r="725" spans="2:13">
      <c r="B725" s="39"/>
      <c r="C725" s="75">
        <v>720</v>
      </c>
      <c r="D725" s="110">
        <f>IF($C725&lt;=Entradas!$E$124,"",Observaciones!H725)</f>
        <v>0.49274741358436686</v>
      </c>
      <c r="E725" s="110">
        <f>IF($C725&lt;=Entradas!$E$124,"",LíneaBase!L726)</f>
        <v>0.44740046031563152</v>
      </c>
      <c r="F725" s="79">
        <f>IF($C725&lt;=Entradas!$E$124,"",D725-E725)</f>
        <v>4.5346953268735335E-2</v>
      </c>
      <c r="G725" s="79">
        <f>IF($C725&lt;=Entradas!$E$124,"",D725-AVERAGE(D:D))</f>
        <v>-0.41335126860911137</v>
      </c>
      <c r="H725" s="79">
        <f>IF($C725&lt;=Entradas!$E$124,"",F725^2)</f>
        <v>2.0563461707568662E-3</v>
      </c>
      <c r="I725" s="79">
        <f>IF($C725&lt;=Entradas!$E$124,"",G725^2)</f>
        <v>0.17085927126076172</v>
      </c>
      <c r="J725" s="79">
        <f>IF($C725&lt;=Entradas!$E$124,"",E725-AVERAGE(E:E))</f>
        <v>-0.44818040348148636</v>
      </c>
      <c r="K725" s="79">
        <f>IF($C725&lt;=Entradas!$E$124,"",J725^2)</f>
        <v>0.20086567406482791</v>
      </c>
      <c r="L725" s="79">
        <f>IF($C725&lt;=Entradas!$E$124,"",G725*J725)</f>
        <v>0.18525593834481577</v>
      </c>
      <c r="M725" s="40"/>
    </row>
    <row r="726" spans="2:13">
      <c r="B726" s="39"/>
      <c r="C726" s="75">
        <v>721</v>
      </c>
      <c r="D726" s="110">
        <f>IF($C726&lt;=Entradas!$E$124,"",Observaciones!H726)</f>
        <v>1.8462634579632737</v>
      </c>
      <c r="E726" s="110">
        <f>IF($C726&lt;=Entradas!$E$124,"",LíneaBase!L727)</f>
        <v>2.1862324162755917</v>
      </c>
      <c r="F726" s="79">
        <f>IF($C726&lt;=Entradas!$E$124,"",D726-E726)</f>
        <v>-0.33996895831231799</v>
      </c>
      <c r="G726" s="79">
        <f>IF($C726&lt;=Entradas!$E$124,"",D726-AVERAGE(D:D))</f>
        <v>0.94016477576979551</v>
      </c>
      <c r="H726" s="79">
        <f>IF($C726&lt;=Entradas!$E$124,"",F726^2)</f>
        <v>0.1155788926159626</v>
      </c>
      <c r="I726" s="79">
        <f>IF($C726&lt;=Entradas!$E$124,"",G726^2)</f>
        <v>0.88390980559826993</v>
      </c>
      <c r="J726" s="79">
        <f>IF($C726&lt;=Entradas!$E$124,"",E726-AVERAGE(E:E))</f>
        <v>1.2906515524784739</v>
      </c>
      <c r="K726" s="79">
        <f>IF($C726&lt;=Entradas!$E$124,"",J726^2)</f>
        <v>1.6657814299150948</v>
      </c>
      <c r="L726" s="79">
        <f>IF($C726&lt;=Entradas!$E$124,"",G726*J726)</f>
        <v>1.2134251274328629</v>
      </c>
      <c r="M726" s="40"/>
    </row>
    <row r="727" spans="2:13">
      <c r="B727" s="39"/>
      <c r="C727" s="75">
        <v>722</v>
      </c>
      <c r="D727" s="110">
        <f>IF($C727&lt;=Entradas!$E$124,"",Observaciones!H727)</f>
        <v>0.838320232762649</v>
      </c>
      <c r="E727" s="110">
        <f>IF($C727&lt;=Entradas!$E$124,"",LíneaBase!L728)</f>
        <v>0.77663890114260425</v>
      </c>
      <c r="F727" s="79">
        <f>IF($C727&lt;=Entradas!$E$124,"",D727-E727)</f>
        <v>6.1681331620044744E-2</v>
      </c>
      <c r="G727" s="79">
        <f>IF($C727&lt;=Entradas!$E$124,"",D727-AVERAGE(D:D))</f>
        <v>-6.7778449430829224E-2</v>
      </c>
      <c r="H727" s="79">
        <f>IF($C727&lt;=Entradas!$E$124,"",F727^2)</f>
        <v>3.8045866704219315E-3</v>
      </c>
      <c r="I727" s="79">
        <f>IF($C727&lt;=Entradas!$E$124,"",G727^2)</f>
        <v>4.5939182072474742E-3</v>
      </c>
      <c r="J727" s="79">
        <f>IF($C727&lt;=Entradas!$E$124,"",E727-AVERAGE(E:E))</f>
        <v>-0.11894196265451362</v>
      </c>
      <c r="K727" s="79">
        <f>IF($C727&lt;=Entradas!$E$124,"",J727^2)</f>
        <v>1.4147190480107713E-2</v>
      </c>
      <c r="L727" s="79">
        <f>IF($C727&lt;=Entradas!$E$124,"",G727*J727)</f>
        <v>8.0617018009825295E-3</v>
      </c>
      <c r="M727" s="40"/>
    </row>
    <row r="728" spans="2:13">
      <c r="B728" s="39"/>
      <c r="C728" s="75">
        <v>723</v>
      </c>
      <c r="D728" s="110">
        <f>IF($C728&lt;=Entradas!$E$124,"",Observaciones!H728)</f>
        <v>0.74095895842834647</v>
      </c>
      <c r="E728" s="110">
        <f>IF($C728&lt;=Entradas!$E$124,"",LíneaBase!L729)</f>
        <v>0.67828302930646545</v>
      </c>
      <c r="F728" s="79">
        <f>IF($C728&lt;=Entradas!$E$124,"",D728-E728)</f>
        <v>6.2675929121881024E-2</v>
      </c>
      <c r="G728" s="79">
        <f>IF($C728&lt;=Entradas!$E$124,"",D728-AVERAGE(D:D))</f>
        <v>-0.16513972376513175</v>
      </c>
      <c r="H728" s="79">
        <f>IF($C728&lt;=Entradas!$E$124,"",F728^2)</f>
        <v>3.9282720912910537E-3</v>
      </c>
      <c r="I728" s="79">
        <f>IF($C728&lt;=Entradas!$E$124,"",G728^2)</f>
        <v>2.727112836522402E-2</v>
      </c>
      <c r="J728" s="79">
        <f>IF($C728&lt;=Entradas!$E$124,"",E728-AVERAGE(E:E))</f>
        <v>-0.21729783449065243</v>
      </c>
      <c r="K728" s="79">
        <f>IF($C728&lt;=Entradas!$E$124,"",J728^2)</f>
        <v>4.7218348874326979E-2</v>
      </c>
      <c r="L728" s="79">
        <f>IF($C728&lt;=Entradas!$E$124,"",G728*J728)</f>
        <v>3.5884504362547663E-2</v>
      </c>
      <c r="M728" s="40"/>
    </row>
    <row r="729" spans="2:13">
      <c r="B729" s="39"/>
      <c r="C729" s="75">
        <v>724</v>
      </c>
      <c r="D729" s="110">
        <f>IF($C729&lt;=Entradas!$E$124,"",Observaciones!H729)</f>
        <v>4.4030202170012602</v>
      </c>
      <c r="E729" s="110">
        <f>IF($C729&lt;=Entradas!$E$124,"",LíneaBase!L730)</f>
        <v>5.2890859139355229</v>
      </c>
      <c r="F729" s="79">
        <f>IF($C729&lt;=Entradas!$E$124,"",D729-E729)</f>
        <v>-0.88606569693426263</v>
      </c>
      <c r="G729" s="79">
        <f>IF($C729&lt;=Entradas!$E$124,"",D729-AVERAGE(D:D))</f>
        <v>3.496921534807782</v>
      </c>
      <c r="H729" s="79">
        <f>IF($C729&lt;=Entradas!$E$124,"",F729^2)</f>
        <v>0.78511241928360054</v>
      </c>
      <c r="I729" s="79">
        <f>IF($C729&lt;=Entradas!$E$124,"",G729^2)</f>
        <v>12.228460220602413</v>
      </c>
      <c r="J729" s="79">
        <f>IF($C729&lt;=Entradas!$E$124,"",E729-AVERAGE(E:E))</f>
        <v>4.3935050501384048</v>
      </c>
      <c r="K729" s="79">
        <f>IF($C729&lt;=Entradas!$E$124,"",J729^2)</f>
        <v>19.302886625591668</v>
      </c>
      <c r="L729" s="79">
        <f>IF($C729&lt;=Entradas!$E$124,"",G729*J729)</f>
        <v>15.363742423115731</v>
      </c>
      <c r="M729" s="40"/>
    </row>
    <row r="730" spans="2:13">
      <c r="B730" s="39"/>
      <c r="C730" s="75">
        <v>725</v>
      </c>
      <c r="D730" s="110">
        <f>IF($C730&lt;=Entradas!$E$124,"",Observaciones!H730)</f>
        <v>1.2398845191109809</v>
      </c>
      <c r="E730" s="110">
        <f>IF($C730&lt;=Entradas!$E$124,"",LíneaBase!L731)</f>
        <v>1.2401367590200183</v>
      </c>
      <c r="F730" s="79">
        <f>IF($C730&lt;=Entradas!$E$124,"",D730-E730)</f>
        <v>-2.5223990903744387E-4</v>
      </c>
      <c r="G730" s="79">
        <f>IF($C730&lt;=Entradas!$E$124,"",D730-AVERAGE(D:D))</f>
        <v>0.33378583691750263</v>
      </c>
      <c r="H730" s="79">
        <f>IF($C730&lt;=Entradas!$E$124,"",F730^2)</f>
        <v>6.3624971711217954E-8</v>
      </c>
      <c r="I730" s="79">
        <f>IF($C730&lt;=Entradas!$E$124,"",G730^2)</f>
        <v>0.11141298492671767</v>
      </c>
      <c r="J730" s="79">
        <f>IF($C730&lt;=Entradas!$E$124,"",E730-AVERAGE(E:E))</f>
        <v>0.34455589522290042</v>
      </c>
      <c r="K730" s="79">
        <f>IF($C730&lt;=Entradas!$E$124,"",J730^2)</f>
        <v>0.11871876493285434</v>
      </c>
      <c r="L730" s="79">
        <f>IF($C730&lt;=Entradas!$E$124,"",G730*J730)</f>
        <v>0.11500787785183517</v>
      </c>
      <c r="M730" s="40"/>
    </row>
    <row r="731" spans="2:13">
      <c r="B731" s="39"/>
      <c r="C731" s="75">
        <v>726</v>
      </c>
      <c r="D731" s="110">
        <f>IF($C731&lt;=Entradas!$E$124,"",Observaciones!H731)</f>
        <v>1.2234656020381622</v>
      </c>
      <c r="E731" s="110">
        <f>IF($C731&lt;=Entradas!$E$124,"",LíneaBase!L732)</f>
        <v>1.2192828041864159</v>
      </c>
      <c r="F731" s="79">
        <f>IF($C731&lt;=Entradas!$E$124,"",D731-E731)</f>
        <v>4.182797851746356E-3</v>
      </c>
      <c r="G731" s="79">
        <f>IF($C731&lt;=Entradas!$E$124,"",D731-AVERAGE(D:D))</f>
        <v>0.31736691984468401</v>
      </c>
      <c r="H731" s="79">
        <f>IF($C731&lt;=Entradas!$E$124,"",F731^2)</f>
        <v>1.7495797868573931E-5</v>
      </c>
      <c r="I731" s="79">
        <f>IF($C731&lt;=Entradas!$E$124,"",G731^2)</f>
        <v>0.10072176181170209</v>
      </c>
      <c r="J731" s="79">
        <f>IF($C731&lt;=Entradas!$E$124,"",E731-AVERAGE(E:E))</f>
        <v>0.323701940389298</v>
      </c>
      <c r="K731" s="79">
        <f>IF($C731&lt;=Entradas!$E$124,"",J731^2)</f>
        <v>0.10478294621179664</v>
      </c>
      <c r="L731" s="79">
        <f>IF($C731&lt;=Entradas!$E$124,"",G731*J731)</f>
        <v>0.10273228776909903</v>
      </c>
      <c r="M731" s="40"/>
    </row>
    <row r="732" spans="2:13">
      <c r="B732" s="39"/>
      <c r="C732" s="75">
        <v>727</v>
      </c>
      <c r="D732" s="110">
        <f>IF($C732&lt;=Entradas!$E$124,"",Observaciones!H732)</f>
        <v>1.2967261567784383</v>
      </c>
      <c r="E732" s="110">
        <f>IF($C732&lt;=Entradas!$E$124,"",LíneaBase!L733)</f>
        <v>1.3516793309094797</v>
      </c>
      <c r="F732" s="79">
        <f>IF($C732&lt;=Entradas!$E$124,"",D732-E732)</f>
        <v>-5.4953174131041393E-2</v>
      </c>
      <c r="G732" s="79">
        <f>IF($C732&lt;=Entradas!$E$124,"",D732-AVERAGE(D:D))</f>
        <v>0.39062747458496005</v>
      </c>
      <c r="H732" s="79">
        <f>IF($C732&lt;=Entradas!$E$124,"",F732^2)</f>
        <v>3.0198513470765572E-3</v>
      </c>
      <c r="I732" s="79">
        <f>IF($C732&lt;=Entradas!$E$124,"",G732^2)</f>
        <v>0.15258982390062362</v>
      </c>
      <c r="J732" s="79">
        <f>IF($C732&lt;=Entradas!$E$124,"",E732-AVERAGE(E:E))</f>
        <v>0.45609846711236179</v>
      </c>
      <c r="K732" s="79">
        <f>IF($C732&lt;=Entradas!$E$124,"",J732^2)</f>
        <v>0.20802581170224618</v>
      </c>
      <c r="L732" s="79">
        <f>IF($C732&lt;=Entradas!$E$124,"",G732*J732)</f>
        <v>0.17816459237017335</v>
      </c>
      <c r="M732" s="40"/>
    </row>
    <row r="733" spans="2:13">
      <c r="B733" s="39"/>
      <c r="C733" s="75">
        <v>728</v>
      </c>
      <c r="D733" s="110">
        <f>IF($C733&lt;=Entradas!$E$124,"",Observaciones!H733)</f>
        <v>1.2688106132196546</v>
      </c>
      <c r="E733" s="110">
        <f>IF($C733&lt;=Entradas!$E$124,"",LíneaBase!L734)</f>
        <v>1.2659630002399667</v>
      </c>
      <c r="F733" s="79">
        <f>IF($C733&lt;=Entradas!$E$124,"",D733-E733)</f>
        <v>2.8476129796879412E-3</v>
      </c>
      <c r="G733" s="79">
        <f>IF($C733&lt;=Entradas!$E$124,"",D733-AVERAGE(D:D))</f>
        <v>0.36271193102617638</v>
      </c>
      <c r="H733" s="79">
        <f>IF($C733&lt;=Entradas!$E$124,"",F733^2)</f>
        <v>8.108899682087235E-6</v>
      </c>
      <c r="I733" s="79">
        <f>IF($C733&lt;=Entradas!$E$124,"",G733^2)</f>
        <v>0.13155994490873774</v>
      </c>
      <c r="J733" s="79">
        <f>IF($C733&lt;=Entradas!$E$124,"",E733-AVERAGE(E:E))</f>
        <v>0.37038213644284879</v>
      </c>
      <c r="K733" s="79">
        <f>IF($C733&lt;=Entradas!$E$124,"",J733^2)</f>
        <v>0.13718292699596907</v>
      </c>
      <c r="L733" s="79">
        <f>IF($C733&lt;=Entradas!$E$124,"",G733*J733)</f>
        <v>0.13434201992678643</v>
      </c>
      <c r="M733" s="40"/>
    </row>
    <row r="734" spans="2:13">
      <c r="B734" s="39"/>
      <c r="C734" s="75">
        <v>729</v>
      </c>
      <c r="D734" s="110">
        <f>IF($C734&lt;=Entradas!$E$124,"",Observaciones!H734)</f>
        <v>1.2762538381371709</v>
      </c>
      <c r="E734" s="110">
        <f>IF($C734&lt;=Entradas!$E$124,"",LíneaBase!L735)</f>
        <v>1.2745164648613936</v>
      </c>
      <c r="F734" s="79">
        <f>IF($C734&lt;=Entradas!$E$124,"",D734-E734)</f>
        <v>1.7373732757772764E-3</v>
      </c>
      <c r="G734" s="79">
        <f>IF($C734&lt;=Entradas!$E$124,"",D734-AVERAGE(D:D))</f>
        <v>0.37015515594369264</v>
      </c>
      <c r="H734" s="79">
        <f>IF($C734&lt;=Entradas!$E$124,"",F734^2)</f>
        <v>3.0184658993850642E-6</v>
      </c>
      <c r="I734" s="79">
        <f>IF($C734&lt;=Entradas!$E$124,"",G734^2)</f>
        <v>0.1370148394716994</v>
      </c>
      <c r="J734" s="79">
        <f>IF($C734&lt;=Entradas!$E$124,"",E734-AVERAGE(E:E))</f>
        <v>0.37893560106427571</v>
      </c>
      <c r="K734" s="79">
        <f>IF($C734&lt;=Entradas!$E$124,"",J734^2)</f>
        <v>0.14359218975394392</v>
      </c>
      <c r="L734" s="79">
        <f>IF($C734&lt;=Entradas!$E$124,"",G734*J734)</f>
        <v>0.14026496650456388</v>
      </c>
      <c r="M734" s="40"/>
    </row>
    <row r="735" spans="2:13">
      <c r="B735" s="39"/>
      <c r="C735" s="75">
        <v>730</v>
      </c>
      <c r="D735" s="110">
        <f>IF($C735&lt;=Entradas!$E$124,"",Observaciones!H735)</f>
        <v>1.2543410695170669</v>
      </c>
      <c r="E735" s="110">
        <f>IF($C735&lt;=Entradas!$E$124,"",LíneaBase!L736)</f>
        <v>1.2459357641212574</v>
      </c>
      <c r="F735" s="79">
        <f>IF($C735&lt;=Entradas!$E$124,"",D735-E735)</f>
        <v>8.4053053958095258E-3</v>
      </c>
      <c r="G735" s="79">
        <f>IF($C735&lt;=Entradas!$E$124,"",D735-AVERAGE(D:D))</f>
        <v>0.3482423873235887</v>
      </c>
      <c r="H735" s="79">
        <f>IF($C735&lt;=Entradas!$E$124,"",F735^2)</f>
        <v>7.0649158796824723E-5</v>
      </c>
      <c r="I735" s="79">
        <f>IF($C735&lt;=Entradas!$E$124,"",G735^2)</f>
        <v>0.12127276032883237</v>
      </c>
      <c r="J735" s="79">
        <f>IF($C735&lt;=Entradas!$E$124,"",E735-AVERAGE(E:E))</f>
        <v>0.35035490032413952</v>
      </c>
      <c r="K735" s="79">
        <f>IF($C735&lt;=Entradas!$E$124,"",J735^2)</f>
        <v>0.12274855618113774</v>
      </c>
      <c r="L735" s="79">
        <f>IF($C735&lt;=Entradas!$E$124,"",G735*J735)</f>
        <v>0.12200842689939631</v>
      </c>
      <c r="M735" s="40"/>
    </row>
    <row r="736" spans="2:13" s="2" customFormat="1" ht="14.5" thickBot="1">
      <c r="B736" s="41"/>
      <c r="C736" s="42"/>
      <c r="D736" s="111"/>
      <c r="E736" s="111"/>
      <c r="F736" s="111"/>
      <c r="G736" s="111"/>
      <c r="H736" s="111"/>
      <c r="I736" s="111"/>
      <c r="J736" s="111"/>
      <c r="K736" s="111"/>
      <c r="L736" s="111"/>
      <c r="M736" s="43"/>
    </row>
    <row r="737" spans="4:12" s="2" customFormat="1">
      <c r="D737" s="107"/>
      <c r="E737" s="107"/>
      <c r="F737" s="107"/>
      <c r="G737" s="107"/>
      <c r="H737" s="107"/>
      <c r="I737" s="107"/>
      <c r="J737" s="107"/>
      <c r="K737" s="107"/>
      <c r="L737" s="107"/>
    </row>
    <row r="738" spans="4:12" s="2" customFormat="1">
      <c r="D738" s="107"/>
      <c r="E738" s="107"/>
      <c r="F738" s="107"/>
      <c r="G738" s="107"/>
      <c r="H738" s="107"/>
      <c r="I738" s="107"/>
      <c r="J738" s="107"/>
      <c r="K738" s="107"/>
      <c r="L738" s="107"/>
    </row>
    <row r="739" spans="4:12" s="2" customFormat="1">
      <c r="D739" s="107"/>
      <c r="E739" s="107"/>
      <c r="F739" s="107"/>
      <c r="G739" s="107"/>
      <c r="H739" s="107"/>
      <c r="I739" s="107"/>
      <c r="J739" s="107"/>
      <c r="K739" s="107"/>
      <c r="L739" s="107"/>
    </row>
    <row r="740" spans="4:12" s="2" customFormat="1">
      <c r="D740" s="107"/>
      <c r="E740" s="107"/>
      <c r="F740" s="107"/>
      <c r="G740" s="107"/>
      <c r="H740" s="107"/>
      <c r="I740" s="107"/>
      <c r="J740" s="107"/>
      <c r="K740" s="107"/>
      <c r="L740" s="107"/>
    </row>
    <row r="741" spans="4:12" s="2" customFormat="1">
      <c r="D741" s="107"/>
      <c r="E741" s="107"/>
      <c r="F741" s="107"/>
      <c r="G741" s="107"/>
      <c r="H741" s="107"/>
      <c r="I741" s="107"/>
      <c r="J741" s="107"/>
      <c r="K741" s="107"/>
      <c r="L741" s="107"/>
    </row>
    <row r="742" spans="4:12" s="2" customFormat="1">
      <c r="D742" s="107"/>
      <c r="E742" s="107"/>
      <c r="F742" s="107"/>
      <c r="G742" s="107"/>
      <c r="H742" s="107"/>
      <c r="I742" s="107"/>
      <c r="J742" s="107"/>
      <c r="K742" s="107"/>
      <c r="L742" s="107"/>
    </row>
    <row r="743" spans="4:12" s="2" customFormat="1">
      <c r="D743" s="107"/>
      <c r="E743" s="107"/>
      <c r="F743" s="107"/>
      <c r="G743" s="107"/>
      <c r="H743" s="107"/>
      <c r="I743" s="107"/>
      <c r="J743" s="107"/>
      <c r="K743" s="107"/>
      <c r="L743" s="107"/>
    </row>
    <row r="744" spans="4:12" s="2" customFormat="1">
      <c r="D744" s="107"/>
      <c r="E744" s="107"/>
      <c r="F744" s="107"/>
      <c r="G744" s="107"/>
      <c r="H744" s="107"/>
      <c r="I744" s="107"/>
      <c r="J744" s="107"/>
      <c r="K744" s="107"/>
      <c r="L744" s="107"/>
    </row>
    <row r="745" spans="4:12" s="2" customFormat="1">
      <c r="D745" s="107"/>
      <c r="E745" s="107"/>
      <c r="F745" s="107"/>
      <c r="G745" s="107"/>
      <c r="H745" s="107"/>
      <c r="I745" s="107"/>
      <c r="J745" s="107"/>
      <c r="K745" s="107"/>
      <c r="L745" s="107"/>
    </row>
    <row r="746" spans="4:12" s="2" customFormat="1">
      <c r="D746" s="107"/>
      <c r="E746" s="107"/>
      <c r="F746" s="107"/>
      <c r="G746" s="107"/>
      <c r="H746" s="107"/>
      <c r="I746" s="107"/>
      <c r="J746" s="107"/>
      <c r="K746" s="107"/>
      <c r="L746" s="107"/>
    </row>
    <row r="747" spans="4:12" s="2" customFormat="1">
      <c r="D747" s="107"/>
      <c r="E747" s="107"/>
      <c r="F747" s="107"/>
      <c r="G747" s="107"/>
      <c r="H747" s="107"/>
      <c r="I747" s="107"/>
      <c r="J747" s="107"/>
      <c r="K747" s="107"/>
      <c r="L747" s="107"/>
    </row>
    <row r="748" spans="4:12" s="2" customFormat="1">
      <c r="D748" s="107"/>
      <c r="E748" s="107"/>
      <c r="F748" s="107"/>
      <c r="G748" s="107"/>
      <c r="H748" s="107"/>
      <c r="I748" s="107"/>
      <c r="J748" s="107"/>
      <c r="K748" s="107"/>
      <c r="L748" s="107"/>
    </row>
    <row r="749" spans="4:12" s="2" customFormat="1">
      <c r="D749" s="107"/>
      <c r="E749" s="107"/>
      <c r="F749" s="107"/>
      <c r="G749" s="107"/>
      <c r="H749" s="107"/>
      <c r="I749" s="107"/>
      <c r="J749" s="107"/>
      <c r="K749" s="107"/>
      <c r="L749" s="107"/>
    </row>
    <row r="750" spans="4:12" s="2" customFormat="1">
      <c r="D750" s="107"/>
      <c r="E750" s="107"/>
      <c r="F750" s="107"/>
      <c r="G750" s="107"/>
      <c r="H750" s="107"/>
      <c r="I750" s="107"/>
      <c r="J750" s="107"/>
      <c r="K750" s="107"/>
      <c r="L750" s="107"/>
    </row>
    <row r="751" spans="4:12" s="2" customFormat="1">
      <c r="D751" s="107"/>
      <c r="E751" s="107"/>
      <c r="F751" s="107"/>
      <c r="G751" s="107"/>
      <c r="H751" s="107"/>
      <c r="I751" s="107"/>
      <c r="J751" s="107"/>
      <c r="K751" s="107"/>
      <c r="L751" s="107"/>
    </row>
    <row r="752" spans="4:12" s="2" customFormat="1">
      <c r="D752" s="107"/>
      <c r="E752" s="107"/>
      <c r="F752" s="107"/>
      <c r="G752" s="107"/>
      <c r="H752" s="107"/>
      <c r="I752" s="107"/>
      <c r="J752" s="107"/>
      <c r="K752" s="107"/>
      <c r="L752" s="107"/>
    </row>
    <row r="753" spans="4:12" s="2" customFormat="1">
      <c r="D753" s="107"/>
      <c r="E753" s="107"/>
      <c r="F753" s="107"/>
      <c r="G753" s="107"/>
      <c r="H753" s="107"/>
      <c r="I753" s="107"/>
      <c r="J753" s="107"/>
      <c r="K753" s="107"/>
      <c r="L753" s="107"/>
    </row>
    <row r="754" spans="4:12" s="2" customFormat="1">
      <c r="D754" s="107"/>
      <c r="E754" s="107"/>
      <c r="F754" s="107"/>
      <c r="G754" s="107"/>
      <c r="H754" s="107"/>
      <c r="I754" s="107"/>
      <c r="J754" s="107"/>
      <c r="K754" s="107"/>
      <c r="L754" s="107"/>
    </row>
    <row r="755" spans="4:12" s="2" customFormat="1">
      <c r="D755" s="107"/>
      <c r="E755" s="107"/>
      <c r="F755" s="107"/>
      <c r="G755" s="107"/>
      <c r="H755" s="107"/>
      <c r="I755" s="107"/>
      <c r="J755" s="107"/>
      <c r="K755" s="107"/>
      <c r="L755" s="107"/>
    </row>
    <row r="756" spans="4:12" s="2" customFormat="1">
      <c r="D756" s="107"/>
      <c r="E756" s="107"/>
      <c r="F756" s="107"/>
      <c r="G756" s="107"/>
      <c r="H756" s="107"/>
      <c r="I756" s="107"/>
      <c r="J756" s="107"/>
      <c r="K756" s="107"/>
      <c r="L756" s="107"/>
    </row>
    <row r="757" spans="4:12" s="2" customFormat="1">
      <c r="D757" s="107"/>
      <c r="E757" s="107"/>
      <c r="F757" s="107"/>
      <c r="G757" s="107"/>
      <c r="H757" s="107"/>
      <c r="I757" s="107"/>
      <c r="J757" s="107"/>
      <c r="K757" s="107"/>
      <c r="L757" s="107"/>
    </row>
    <row r="758" spans="4:12" s="2" customFormat="1">
      <c r="D758" s="107"/>
      <c r="E758" s="107"/>
      <c r="F758" s="107"/>
      <c r="G758" s="107"/>
      <c r="H758" s="107"/>
      <c r="I758" s="107"/>
      <c r="J758" s="107"/>
      <c r="K758" s="107"/>
      <c r="L758" s="107"/>
    </row>
    <row r="759" spans="4:12" s="2" customFormat="1">
      <c r="D759" s="107"/>
      <c r="E759" s="107"/>
      <c r="F759" s="107"/>
      <c r="G759" s="107"/>
      <c r="H759" s="107"/>
      <c r="I759" s="107"/>
      <c r="J759" s="107"/>
      <c r="K759" s="107"/>
      <c r="L759" s="107"/>
    </row>
    <row r="760" spans="4:12" s="2" customFormat="1">
      <c r="D760" s="107"/>
      <c r="E760" s="107"/>
      <c r="F760" s="107"/>
      <c r="G760" s="107"/>
      <c r="H760" s="107"/>
      <c r="I760" s="107"/>
      <c r="J760" s="107"/>
      <c r="K760" s="107"/>
      <c r="L760" s="107"/>
    </row>
    <row r="761" spans="4:12" s="2" customFormat="1">
      <c r="D761" s="107"/>
      <c r="E761" s="107"/>
      <c r="F761" s="107"/>
      <c r="G761" s="107"/>
      <c r="H761" s="107"/>
      <c r="I761" s="107"/>
      <c r="J761" s="107"/>
      <c r="K761" s="107"/>
      <c r="L761" s="107"/>
    </row>
    <row r="762" spans="4:12" s="2" customFormat="1">
      <c r="D762" s="107"/>
      <c r="E762" s="107"/>
      <c r="F762" s="107"/>
      <c r="G762" s="107"/>
      <c r="H762" s="107"/>
      <c r="I762" s="107"/>
      <c r="J762" s="107"/>
      <c r="K762" s="107"/>
      <c r="L762" s="107"/>
    </row>
    <row r="763" spans="4:12" s="2" customFormat="1">
      <c r="D763" s="107"/>
      <c r="E763" s="107"/>
      <c r="F763" s="107"/>
      <c r="G763" s="107"/>
      <c r="H763" s="107"/>
      <c r="I763" s="107"/>
      <c r="J763" s="107"/>
      <c r="K763" s="107"/>
      <c r="L763" s="107"/>
    </row>
    <row r="764" spans="4:12" s="2" customFormat="1">
      <c r="D764" s="107"/>
      <c r="E764" s="107"/>
      <c r="F764" s="107"/>
      <c r="G764" s="107"/>
      <c r="H764" s="107"/>
      <c r="I764" s="107"/>
      <c r="J764" s="107"/>
      <c r="K764" s="107"/>
      <c r="L764" s="107"/>
    </row>
    <row r="765" spans="4:12" s="2" customFormat="1">
      <c r="D765" s="107"/>
      <c r="E765" s="107"/>
      <c r="F765" s="107"/>
      <c r="G765" s="107"/>
      <c r="H765" s="107"/>
      <c r="I765" s="107"/>
      <c r="J765" s="107"/>
      <c r="K765" s="107"/>
      <c r="L765" s="107"/>
    </row>
    <row r="766" spans="4:12" s="2" customFormat="1">
      <c r="D766" s="107"/>
      <c r="E766" s="107"/>
      <c r="F766" s="107"/>
      <c r="G766" s="107"/>
      <c r="H766" s="107"/>
      <c r="I766" s="107"/>
      <c r="J766" s="107"/>
      <c r="K766" s="107"/>
      <c r="L766" s="107"/>
    </row>
    <row r="767" spans="4:12" s="2" customFormat="1">
      <c r="D767" s="107"/>
      <c r="E767" s="107"/>
      <c r="F767" s="107"/>
      <c r="G767" s="107"/>
      <c r="H767" s="107"/>
      <c r="I767" s="107"/>
      <c r="J767" s="107"/>
      <c r="K767" s="107"/>
      <c r="L767" s="107"/>
    </row>
    <row r="768" spans="4:12" s="2" customFormat="1">
      <c r="D768" s="107"/>
      <c r="E768" s="107"/>
      <c r="F768" s="107"/>
      <c r="G768" s="107"/>
      <c r="H768" s="107"/>
      <c r="I768" s="107"/>
      <c r="J768" s="107"/>
      <c r="K768" s="107"/>
      <c r="L768" s="107"/>
    </row>
    <row r="769" spans="4:12" s="2" customFormat="1">
      <c r="D769" s="107"/>
      <c r="E769" s="107"/>
      <c r="F769" s="107"/>
      <c r="G769" s="107"/>
      <c r="H769" s="107"/>
      <c r="I769" s="107"/>
      <c r="J769" s="107"/>
      <c r="K769" s="107"/>
      <c r="L769" s="107"/>
    </row>
    <row r="770" spans="4:12" s="2" customFormat="1">
      <c r="D770" s="107"/>
      <c r="E770" s="107"/>
      <c r="F770" s="107"/>
      <c r="G770" s="107"/>
      <c r="H770" s="107"/>
      <c r="I770" s="107"/>
      <c r="J770" s="107"/>
      <c r="K770" s="107"/>
      <c r="L770" s="107"/>
    </row>
    <row r="771" spans="4:12" s="2" customFormat="1">
      <c r="D771" s="107"/>
      <c r="E771" s="107"/>
      <c r="F771" s="107"/>
      <c r="G771" s="107"/>
      <c r="H771" s="107"/>
      <c r="I771" s="107"/>
      <c r="J771" s="107"/>
      <c r="K771" s="107"/>
      <c r="L771" s="107"/>
    </row>
    <row r="772" spans="4:12" s="2" customFormat="1">
      <c r="D772" s="107"/>
      <c r="E772" s="107"/>
      <c r="F772" s="107"/>
      <c r="G772" s="107"/>
      <c r="H772" s="107"/>
      <c r="I772" s="107"/>
      <c r="J772" s="107"/>
      <c r="K772" s="107"/>
      <c r="L772" s="107"/>
    </row>
    <row r="773" spans="4:12" s="2" customFormat="1">
      <c r="D773" s="107"/>
      <c r="E773" s="107"/>
      <c r="F773" s="107"/>
      <c r="G773" s="107"/>
      <c r="H773" s="107"/>
      <c r="I773" s="107"/>
      <c r="J773" s="107"/>
      <c r="K773" s="107"/>
      <c r="L773" s="107"/>
    </row>
    <row r="774" spans="4:12" s="2" customFormat="1">
      <c r="D774" s="107"/>
      <c r="E774" s="107"/>
      <c r="F774" s="107"/>
      <c r="G774" s="107"/>
      <c r="H774" s="107"/>
      <c r="I774" s="107"/>
      <c r="J774" s="107"/>
      <c r="K774" s="107"/>
      <c r="L774" s="107"/>
    </row>
    <row r="775" spans="4:12" s="2" customFormat="1">
      <c r="D775" s="107"/>
      <c r="E775" s="107"/>
      <c r="F775" s="107"/>
      <c r="G775" s="107"/>
      <c r="H775" s="107"/>
      <c r="I775" s="107"/>
      <c r="J775" s="107"/>
      <c r="K775" s="107"/>
      <c r="L775" s="107"/>
    </row>
    <row r="776" spans="4:12" s="2" customFormat="1">
      <c r="D776" s="107"/>
      <c r="E776" s="107"/>
      <c r="F776" s="107"/>
      <c r="G776" s="107"/>
      <c r="H776" s="107"/>
      <c r="I776" s="107"/>
      <c r="J776" s="107"/>
      <c r="K776" s="107"/>
      <c r="L776" s="107"/>
    </row>
    <row r="777" spans="4:12" s="2" customFormat="1">
      <c r="D777" s="107"/>
      <c r="E777" s="107"/>
      <c r="F777" s="107"/>
      <c r="G777" s="107"/>
      <c r="H777" s="107"/>
      <c r="I777" s="107"/>
      <c r="J777" s="107"/>
      <c r="K777" s="107"/>
      <c r="L777" s="107"/>
    </row>
    <row r="778" spans="4:12" s="2" customFormat="1">
      <c r="D778" s="107"/>
      <c r="E778" s="107"/>
      <c r="F778" s="107"/>
      <c r="G778" s="107"/>
      <c r="H778" s="107"/>
      <c r="I778" s="107"/>
      <c r="J778" s="107"/>
      <c r="K778" s="107"/>
      <c r="L778" s="107"/>
    </row>
    <row r="779" spans="4:12" s="2" customFormat="1">
      <c r="D779" s="107"/>
      <c r="E779" s="107"/>
      <c r="F779" s="107"/>
      <c r="G779" s="107"/>
      <c r="H779" s="107"/>
      <c r="I779" s="107"/>
      <c r="J779" s="107"/>
      <c r="K779" s="107"/>
      <c r="L779" s="107"/>
    </row>
    <row r="780" spans="4:12" s="2" customFormat="1">
      <c r="D780" s="107"/>
      <c r="E780" s="107"/>
      <c r="F780" s="107"/>
      <c r="G780" s="107"/>
      <c r="H780" s="107"/>
      <c r="I780" s="107"/>
      <c r="J780" s="107"/>
      <c r="K780" s="107"/>
      <c r="L780" s="107"/>
    </row>
    <row r="781" spans="4:12" s="2" customFormat="1">
      <c r="D781" s="107"/>
      <c r="E781" s="107"/>
      <c r="F781" s="107"/>
      <c r="G781" s="107"/>
      <c r="H781" s="107"/>
      <c r="I781" s="107"/>
      <c r="J781" s="107"/>
      <c r="K781" s="107"/>
      <c r="L781" s="107"/>
    </row>
    <row r="782" spans="4:12" s="2" customFormat="1">
      <c r="D782" s="107"/>
      <c r="E782" s="107"/>
      <c r="F782" s="107"/>
      <c r="G782" s="107"/>
      <c r="H782" s="107"/>
      <c r="I782" s="107"/>
      <c r="J782" s="107"/>
      <c r="K782" s="107"/>
      <c r="L782" s="107"/>
    </row>
    <row r="783" spans="4:12" s="2" customFormat="1">
      <c r="D783" s="107"/>
      <c r="E783" s="107"/>
      <c r="F783" s="107"/>
      <c r="G783" s="107"/>
      <c r="H783" s="107"/>
      <c r="I783" s="107"/>
      <c r="J783" s="107"/>
      <c r="K783" s="107"/>
      <c r="L783" s="107"/>
    </row>
    <row r="784" spans="4:12" s="2" customFormat="1">
      <c r="D784" s="107"/>
      <c r="E784" s="107"/>
      <c r="F784" s="107"/>
      <c r="G784" s="107"/>
      <c r="H784" s="107"/>
      <c r="I784" s="107"/>
      <c r="J784" s="107"/>
      <c r="K784" s="107"/>
      <c r="L784" s="107"/>
    </row>
    <row r="785" spans="4:12" s="2" customFormat="1">
      <c r="D785" s="107"/>
      <c r="E785" s="107"/>
      <c r="F785" s="107"/>
      <c r="G785" s="107"/>
      <c r="H785" s="107"/>
      <c r="I785" s="107"/>
      <c r="J785" s="107"/>
      <c r="K785" s="107"/>
      <c r="L785" s="107"/>
    </row>
    <row r="786" spans="4:12" s="2" customFormat="1">
      <c r="D786" s="107"/>
      <c r="E786" s="107"/>
      <c r="F786" s="107"/>
      <c r="G786" s="107"/>
      <c r="H786" s="107"/>
      <c r="I786" s="107"/>
      <c r="J786" s="107"/>
      <c r="K786" s="107"/>
      <c r="L786" s="107"/>
    </row>
    <row r="787" spans="4:12" s="2" customFormat="1">
      <c r="D787" s="107"/>
      <c r="E787" s="107"/>
      <c r="F787" s="107"/>
      <c r="G787" s="107"/>
      <c r="H787" s="107"/>
      <c r="I787" s="107"/>
      <c r="J787" s="107"/>
      <c r="K787" s="107"/>
      <c r="L787" s="107"/>
    </row>
    <row r="788" spans="4:12" s="2" customFormat="1">
      <c r="D788" s="107"/>
      <c r="E788" s="107"/>
      <c r="F788" s="107"/>
      <c r="G788" s="107"/>
      <c r="H788" s="107"/>
      <c r="I788" s="107"/>
      <c r="J788" s="107"/>
      <c r="K788" s="107"/>
      <c r="L788" s="107"/>
    </row>
    <row r="789" spans="4:12" s="2" customFormat="1">
      <c r="D789" s="107"/>
      <c r="E789" s="107"/>
      <c r="F789" s="107"/>
      <c r="G789" s="107"/>
      <c r="H789" s="107"/>
      <c r="I789" s="107"/>
      <c r="J789" s="107"/>
      <c r="K789" s="107"/>
      <c r="L789" s="107"/>
    </row>
    <row r="790" spans="4:12" s="2" customFormat="1">
      <c r="D790" s="107"/>
      <c r="E790" s="107"/>
      <c r="F790" s="107"/>
      <c r="G790" s="107"/>
      <c r="H790" s="107"/>
      <c r="I790" s="107"/>
      <c r="J790" s="107"/>
      <c r="K790" s="107"/>
      <c r="L790" s="107"/>
    </row>
    <row r="791" spans="4:12" s="2" customFormat="1">
      <c r="D791" s="107"/>
      <c r="E791" s="107"/>
      <c r="F791" s="107"/>
      <c r="G791" s="107"/>
      <c r="H791" s="107"/>
      <c r="I791" s="107"/>
      <c r="J791" s="107"/>
      <c r="K791" s="107"/>
      <c r="L791" s="107"/>
    </row>
    <row r="792" spans="4:12" s="2" customFormat="1">
      <c r="D792" s="107"/>
      <c r="E792" s="107"/>
      <c r="F792" s="107"/>
      <c r="G792" s="107"/>
      <c r="H792" s="107"/>
      <c r="I792" s="107"/>
      <c r="J792" s="107"/>
      <c r="K792" s="107"/>
      <c r="L792" s="107"/>
    </row>
    <row r="793" spans="4:12" s="2" customFormat="1">
      <c r="D793" s="107"/>
      <c r="E793" s="107"/>
      <c r="F793" s="107"/>
      <c r="G793" s="107"/>
      <c r="H793" s="107"/>
      <c r="I793" s="107"/>
      <c r="J793" s="107"/>
      <c r="K793" s="107"/>
      <c r="L793" s="107"/>
    </row>
    <row r="794" spans="4:12" s="2" customFormat="1">
      <c r="D794" s="107"/>
      <c r="E794" s="107"/>
      <c r="F794" s="107"/>
      <c r="G794" s="107"/>
      <c r="H794" s="107"/>
      <c r="I794" s="107"/>
      <c r="J794" s="107"/>
      <c r="K794" s="107"/>
      <c r="L794" s="107"/>
    </row>
    <row r="795" spans="4:12" s="2" customFormat="1">
      <c r="D795" s="107"/>
      <c r="E795" s="107"/>
      <c r="F795" s="107"/>
      <c r="G795" s="107"/>
      <c r="H795" s="107"/>
      <c r="I795" s="107"/>
      <c r="J795" s="107"/>
      <c r="K795" s="107"/>
      <c r="L795" s="107"/>
    </row>
    <row r="796" spans="4:12" s="2" customFormat="1">
      <c r="D796" s="107"/>
      <c r="E796" s="107"/>
      <c r="F796" s="107"/>
      <c r="G796" s="107"/>
      <c r="H796" s="107"/>
      <c r="I796" s="107"/>
      <c r="J796" s="107"/>
      <c r="K796" s="107"/>
      <c r="L796" s="107"/>
    </row>
    <row r="797" spans="4:12" s="2" customFormat="1">
      <c r="D797" s="107"/>
      <c r="E797" s="107"/>
      <c r="F797" s="107"/>
      <c r="G797" s="107"/>
      <c r="H797" s="107"/>
      <c r="I797" s="107"/>
      <c r="J797" s="107"/>
      <c r="K797" s="107"/>
      <c r="L797" s="107"/>
    </row>
    <row r="798" spans="4:12" s="2" customFormat="1">
      <c r="D798" s="107"/>
      <c r="E798" s="107"/>
      <c r="F798" s="107"/>
      <c r="G798" s="107"/>
      <c r="H798" s="107"/>
      <c r="I798" s="107"/>
      <c r="J798" s="107"/>
      <c r="K798" s="107"/>
      <c r="L798" s="107"/>
    </row>
    <row r="799" spans="4:12" s="2" customFormat="1">
      <c r="D799" s="107"/>
      <c r="E799" s="107"/>
      <c r="F799" s="107"/>
      <c r="G799" s="107"/>
      <c r="H799" s="107"/>
      <c r="I799" s="107"/>
      <c r="J799" s="107"/>
      <c r="K799" s="107"/>
      <c r="L799" s="107"/>
    </row>
    <row r="800" spans="4:12" s="2" customFormat="1">
      <c r="D800" s="107"/>
      <c r="E800" s="107"/>
      <c r="F800" s="107"/>
      <c r="G800" s="107"/>
      <c r="H800" s="107"/>
      <c r="I800" s="107"/>
      <c r="J800" s="107"/>
      <c r="K800" s="107"/>
      <c r="L800" s="107"/>
    </row>
    <row r="801" spans="4:12" s="2" customFormat="1">
      <c r="D801" s="107"/>
      <c r="E801" s="107"/>
      <c r="F801" s="107"/>
      <c r="G801" s="107"/>
      <c r="H801" s="107"/>
      <c r="I801" s="107"/>
      <c r="J801" s="107"/>
      <c r="K801" s="107"/>
      <c r="L801" s="107"/>
    </row>
    <row r="802" spans="4:12" s="2" customFormat="1">
      <c r="D802" s="107"/>
      <c r="E802" s="107"/>
      <c r="F802" s="107"/>
      <c r="G802" s="107"/>
      <c r="H802" s="107"/>
      <c r="I802" s="107"/>
      <c r="J802" s="107"/>
      <c r="K802" s="107"/>
      <c r="L802" s="107"/>
    </row>
    <row r="803" spans="4:12" s="2" customFormat="1">
      <c r="D803" s="107"/>
      <c r="E803" s="107"/>
      <c r="F803" s="107"/>
      <c r="G803" s="107"/>
      <c r="H803" s="107"/>
      <c r="I803" s="107"/>
      <c r="J803" s="107"/>
      <c r="K803" s="107"/>
      <c r="L803" s="107"/>
    </row>
    <row r="804" spans="4:12" s="2" customFormat="1">
      <c r="D804" s="107"/>
      <c r="E804" s="107"/>
      <c r="F804" s="107"/>
      <c r="G804" s="107"/>
      <c r="H804" s="107"/>
      <c r="I804" s="107"/>
      <c r="J804" s="107"/>
      <c r="K804" s="107"/>
      <c r="L804" s="107"/>
    </row>
    <row r="805" spans="4:12" s="2" customFormat="1">
      <c r="D805" s="107"/>
      <c r="E805" s="107"/>
      <c r="F805" s="107"/>
      <c r="G805" s="107"/>
      <c r="H805" s="107"/>
      <c r="I805" s="107"/>
      <c r="J805" s="107"/>
      <c r="K805" s="107"/>
      <c r="L805" s="107"/>
    </row>
    <row r="806" spans="4:12" s="2" customFormat="1">
      <c r="D806" s="107"/>
      <c r="E806" s="107"/>
      <c r="F806" s="107"/>
      <c r="G806" s="107"/>
      <c r="H806" s="107"/>
      <c r="I806" s="107"/>
      <c r="J806" s="107"/>
      <c r="K806" s="107"/>
      <c r="L806" s="107"/>
    </row>
    <row r="807" spans="4:12" s="2" customFormat="1">
      <c r="D807" s="107"/>
      <c r="E807" s="107"/>
      <c r="F807" s="107"/>
      <c r="G807" s="107"/>
      <c r="H807" s="107"/>
      <c r="I807" s="107"/>
      <c r="J807" s="107"/>
      <c r="K807" s="107"/>
      <c r="L807" s="107"/>
    </row>
    <row r="808" spans="4:12" s="2" customFormat="1">
      <c r="D808" s="107"/>
      <c r="E808" s="107"/>
      <c r="F808" s="107"/>
      <c r="G808" s="107"/>
      <c r="H808" s="107"/>
      <c r="I808" s="107"/>
      <c r="J808" s="107"/>
      <c r="K808" s="107"/>
      <c r="L808" s="107"/>
    </row>
    <row r="809" spans="4:12" s="2" customFormat="1">
      <c r="D809" s="107"/>
      <c r="E809" s="107"/>
      <c r="F809" s="107"/>
      <c r="G809" s="107"/>
      <c r="H809" s="107"/>
      <c r="I809" s="107"/>
      <c r="J809" s="107"/>
      <c r="K809" s="107"/>
      <c r="L809" s="107"/>
    </row>
    <row r="810" spans="4:12" s="2" customFormat="1">
      <c r="D810" s="107"/>
      <c r="E810" s="107"/>
      <c r="F810" s="107"/>
      <c r="G810" s="107"/>
      <c r="H810" s="107"/>
      <c r="I810" s="107"/>
      <c r="J810" s="107"/>
      <c r="K810" s="107"/>
      <c r="L810" s="107"/>
    </row>
    <row r="811" spans="4:12" s="2" customFormat="1">
      <c r="D811" s="107"/>
      <c r="E811" s="107"/>
      <c r="F811" s="107"/>
      <c r="G811" s="107"/>
      <c r="H811" s="107"/>
      <c r="I811" s="107"/>
      <c r="J811" s="107"/>
      <c r="K811" s="107"/>
      <c r="L811" s="107"/>
    </row>
    <row r="812" spans="4:12" s="2" customFormat="1">
      <c r="D812" s="107"/>
      <c r="E812" s="107"/>
      <c r="F812" s="107"/>
      <c r="G812" s="107"/>
      <c r="H812" s="107"/>
      <c r="I812" s="107"/>
      <c r="J812" s="107"/>
      <c r="K812" s="107"/>
      <c r="L812" s="107"/>
    </row>
    <row r="813" spans="4:12" s="2" customFormat="1">
      <c r="D813" s="107"/>
      <c r="E813" s="107"/>
      <c r="F813" s="107"/>
      <c r="G813" s="107"/>
      <c r="H813" s="107"/>
      <c r="I813" s="107"/>
      <c r="J813" s="107"/>
      <c r="K813" s="107"/>
      <c r="L813" s="107"/>
    </row>
    <row r="814" spans="4:12" s="2" customFormat="1">
      <c r="D814" s="107"/>
      <c r="E814" s="107"/>
      <c r="F814" s="107"/>
      <c r="G814" s="107"/>
      <c r="H814" s="107"/>
      <c r="I814" s="107"/>
      <c r="J814" s="107"/>
      <c r="K814" s="107"/>
      <c r="L814" s="107"/>
    </row>
    <row r="815" spans="4:12" s="2" customFormat="1">
      <c r="D815" s="107"/>
      <c r="E815" s="107"/>
      <c r="F815" s="107"/>
      <c r="G815" s="107"/>
      <c r="H815" s="107"/>
      <c r="I815" s="107"/>
      <c r="J815" s="107"/>
      <c r="K815" s="107"/>
      <c r="L815" s="107"/>
    </row>
    <row r="816" spans="4:12" s="2" customFormat="1">
      <c r="D816" s="107"/>
      <c r="E816" s="107"/>
      <c r="F816" s="107"/>
      <c r="G816" s="107"/>
      <c r="H816" s="107"/>
      <c r="I816" s="107"/>
      <c r="J816" s="107"/>
      <c r="K816" s="107"/>
      <c r="L816" s="107"/>
    </row>
    <row r="817" spans="4:12" s="2" customFormat="1">
      <c r="D817" s="107"/>
      <c r="E817" s="107"/>
      <c r="F817" s="107"/>
      <c r="G817" s="107"/>
      <c r="H817" s="107"/>
      <c r="I817" s="107"/>
      <c r="J817" s="107"/>
      <c r="K817" s="107"/>
      <c r="L817" s="107"/>
    </row>
    <row r="818" spans="4:12" s="2" customFormat="1">
      <c r="D818" s="107"/>
      <c r="E818" s="107"/>
      <c r="F818" s="107"/>
      <c r="G818" s="107"/>
      <c r="H818" s="107"/>
      <c r="I818" s="107"/>
      <c r="J818" s="107"/>
      <c r="K818" s="107"/>
      <c r="L818" s="107"/>
    </row>
    <row r="819" spans="4:12" s="2" customFormat="1">
      <c r="D819" s="107"/>
      <c r="E819" s="107"/>
      <c r="F819" s="107"/>
      <c r="G819" s="107"/>
      <c r="H819" s="107"/>
      <c r="I819" s="107"/>
      <c r="J819" s="107"/>
      <c r="K819" s="107"/>
      <c r="L819" s="107"/>
    </row>
    <row r="820" spans="4:12" s="2" customFormat="1">
      <c r="D820" s="107"/>
      <c r="E820" s="107"/>
      <c r="F820" s="107"/>
      <c r="G820" s="107"/>
      <c r="H820" s="107"/>
      <c r="I820" s="107"/>
      <c r="J820" s="107"/>
      <c r="K820" s="107"/>
      <c r="L820" s="107"/>
    </row>
    <row r="821" spans="4:12" s="2" customFormat="1">
      <c r="D821" s="107"/>
      <c r="E821" s="107"/>
      <c r="F821" s="107"/>
      <c r="G821" s="107"/>
      <c r="H821" s="107"/>
      <c r="I821" s="107"/>
      <c r="J821" s="107"/>
      <c r="K821" s="107"/>
      <c r="L821" s="107"/>
    </row>
    <row r="822" spans="4:12" s="2" customFormat="1">
      <c r="D822" s="107"/>
      <c r="E822" s="107"/>
      <c r="F822" s="107"/>
      <c r="G822" s="107"/>
      <c r="H822" s="107"/>
      <c r="I822" s="107"/>
      <c r="J822" s="107"/>
      <c r="K822" s="107"/>
      <c r="L822" s="107"/>
    </row>
    <row r="823" spans="4:12" s="2" customFormat="1">
      <c r="D823" s="107"/>
      <c r="E823" s="107"/>
      <c r="F823" s="107"/>
      <c r="G823" s="107"/>
      <c r="H823" s="107"/>
      <c r="I823" s="107"/>
      <c r="J823" s="107"/>
      <c r="K823" s="107"/>
      <c r="L823" s="107"/>
    </row>
    <row r="824" spans="4:12" s="2" customFormat="1">
      <c r="D824" s="107"/>
      <c r="E824" s="107"/>
      <c r="F824" s="107"/>
      <c r="G824" s="107"/>
      <c r="H824" s="107"/>
      <c r="I824" s="107"/>
      <c r="J824" s="107"/>
      <c r="K824" s="107"/>
      <c r="L824" s="107"/>
    </row>
    <row r="825" spans="4:12" s="2" customFormat="1">
      <c r="D825" s="107"/>
      <c r="E825" s="107"/>
      <c r="F825" s="107"/>
      <c r="G825" s="107"/>
      <c r="H825" s="107"/>
      <c r="I825" s="107"/>
      <c r="J825" s="107"/>
      <c r="K825" s="107"/>
      <c r="L825" s="107"/>
    </row>
    <row r="826" spans="4:12" s="2" customFormat="1">
      <c r="D826" s="107"/>
      <c r="E826" s="107"/>
      <c r="F826" s="107"/>
      <c r="G826" s="107"/>
      <c r="H826" s="107"/>
      <c r="I826" s="107"/>
      <c r="J826" s="107"/>
      <c r="K826" s="107"/>
      <c r="L826" s="107"/>
    </row>
    <row r="827" spans="4:12" s="2" customFormat="1">
      <c r="D827" s="107"/>
      <c r="E827" s="107"/>
      <c r="F827" s="107"/>
      <c r="G827" s="107"/>
      <c r="H827" s="107"/>
      <c r="I827" s="107"/>
      <c r="J827" s="107"/>
      <c r="K827" s="107"/>
      <c r="L827" s="107"/>
    </row>
    <row r="828" spans="4:12" s="2" customFormat="1">
      <c r="D828" s="107"/>
      <c r="E828" s="107"/>
      <c r="F828" s="107"/>
      <c r="G828" s="107"/>
      <c r="H828" s="107"/>
      <c r="I828" s="107"/>
      <c r="J828" s="107"/>
      <c r="K828" s="107"/>
      <c r="L828" s="107"/>
    </row>
    <row r="829" spans="4:12" s="2" customFormat="1">
      <c r="D829" s="107"/>
      <c r="E829" s="107"/>
      <c r="F829" s="107"/>
      <c r="G829" s="107"/>
      <c r="H829" s="107"/>
      <c r="I829" s="107"/>
      <c r="J829" s="107"/>
      <c r="K829" s="107"/>
      <c r="L829" s="107"/>
    </row>
    <row r="830" spans="4:12" s="2" customFormat="1">
      <c r="D830" s="107"/>
      <c r="E830" s="107"/>
      <c r="F830" s="107"/>
      <c r="G830" s="107"/>
      <c r="H830" s="107"/>
      <c r="I830" s="107"/>
      <c r="J830" s="107"/>
      <c r="K830" s="107"/>
      <c r="L830" s="107"/>
    </row>
    <row r="831" spans="4:12" s="2" customFormat="1">
      <c r="D831" s="107"/>
      <c r="E831" s="107"/>
      <c r="F831" s="107"/>
      <c r="G831" s="107"/>
      <c r="H831" s="107"/>
      <c r="I831" s="107"/>
      <c r="J831" s="107"/>
      <c r="K831" s="107"/>
      <c r="L831" s="107"/>
    </row>
    <row r="832" spans="4:12" s="2" customFormat="1">
      <c r="D832" s="107"/>
      <c r="E832" s="107"/>
      <c r="F832" s="107"/>
      <c r="G832" s="107"/>
      <c r="H832" s="107"/>
      <c r="I832" s="107"/>
      <c r="J832" s="107"/>
      <c r="K832" s="107"/>
      <c r="L832" s="107"/>
    </row>
    <row r="833" spans="4:12" s="2" customFormat="1">
      <c r="D833" s="107"/>
      <c r="E833" s="107"/>
      <c r="F833" s="107"/>
      <c r="G833" s="107"/>
      <c r="H833" s="107"/>
      <c r="I833" s="107"/>
      <c r="J833" s="107"/>
      <c r="K833" s="107"/>
      <c r="L833" s="107"/>
    </row>
    <row r="834" spans="4:12" s="2" customFormat="1">
      <c r="D834" s="107"/>
      <c r="E834" s="107"/>
      <c r="F834" s="107"/>
      <c r="G834" s="107"/>
      <c r="H834" s="107"/>
      <c r="I834" s="107"/>
      <c r="J834" s="107"/>
      <c r="K834" s="107"/>
      <c r="L834" s="107"/>
    </row>
    <row r="835" spans="4:12" s="2" customFormat="1">
      <c r="D835" s="107"/>
      <c r="E835" s="107"/>
      <c r="F835" s="107"/>
      <c r="G835" s="107"/>
      <c r="H835" s="107"/>
      <c r="I835" s="107"/>
      <c r="J835" s="107"/>
      <c r="K835" s="107"/>
      <c r="L835" s="107"/>
    </row>
    <row r="836" spans="4:12" s="2" customFormat="1">
      <c r="D836" s="107"/>
      <c r="E836" s="107"/>
      <c r="F836" s="107"/>
      <c r="G836" s="107"/>
      <c r="H836" s="107"/>
      <c r="I836" s="107"/>
      <c r="J836" s="107"/>
      <c r="K836" s="107"/>
      <c r="L836" s="107"/>
    </row>
    <row r="837" spans="4:12" s="2" customFormat="1">
      <c r="D837" s="107"/>
      <c r="E837" s="107"/>
      <c r="F837" s="107"/>
      <c r="G837" s="107"/>
      <c r="H837" s="107"/>
      <c r="I837" s="107"/>
      <c r="J837" s="107"/>
      <c r="K837" s="107"/>
      <c r="L837" s="107"/>
    </row>
    <row r="838" spans="4:12" s="2" customFormat="1">
      <c r="D838" s="107"/>
      <c r="E838" s="107"/>
      <c r="F838" s="107"/>
      <c r="G838" s="107"/>
      <c r="H838" s="107"/>
      <c r="I838" s="107"/>
      <c r="J838" s="107"/>
      <c r="K838" s="107"/>
      <c r="L838" s="107"/>
    </row>
    <row r="839" spans="4:12" s="2" customFormat="1">
      <c r="D839" s="107"/>
      <c r="E839" s="107"/>
      <c r="F839" s="107"/>
      <c r="G839" s="107"/>
      <c r="H839" s="107"/>
      <c r="I839" s="107"/>
      <c r="J839" s="107"/>
      <c r="K839" s="107"/>
      <c r="L839" s="107"/>
    </row>
    <row r="840" spans="4:12" s="2" customFormat="1">
      <c r="D840" s="107"/>
      <c r="E840" s="107"/>
      <c r="F840" s="107"/>
      <c r="G840" s="107"/>
      <c r="H840" s="107"/>
      <c r="I840" s="107"/>
      <c r="J840" s="107"/>
      <c r="K840" s="107"/>
      <c r="L840" s="107"/>
    </row>
    <row r="841" spans="4:12" s="2" customFormat="1">
      <c r="D841" s="107"/>
      <c r="E841" s="107"/>
      <c r="F841" s="107"/>
      <c r="G841" s="107"/>
      <c r="H841" s="107"/>
      <c r="I841" s="107"/>
      <c r="J841" s="107"/>
      <c r="K841" s="107"/>
      <c r="L841" s="107"/>
    </row>
    <row r="842" spans="4:12" s="2" customFormat="1">
      <c r="D842" s="107"/>
      <c r="E842" s="107"/>
      <c r="F842" s="107"/>
      <c r="G842" s="107"/>
      <c r="H842" s="107"/>
      <c r="I842" s="107"/>
      <c r="J842" s="107"/>
      <c r="K842" s="107"/>
      <c r="L842" s="107"/>
    </row>
    <row r="843" spans="4:12" s="2" customFormat="1">
      <c r="D843" s="107"/>
      <c r="E843" s="107"/>
      <c r="F843" s="107"/>
      <c r="G843" s="107"/>
      <c r="H843" s="107"/>
      <c r="I843" s="107"/>
      <c r="J843" s="107"/>
      <c r="K843" s="107"/>
      <c r="L843" s="107"/>
    </row>
    <row r="844" spans="4:12" s="2" customFormat="1">
      <c r="D844" s="107"/>
      <c r="E844" s="107"/>
      <c r="F844" s="107"/>
      <c r="G844" s="107"/>
      <c r="H844" s="107"/>
      <c r="I844" s="107"/>
      <c r="J844" s="107"/>
      <c r="K844" s="107"/>
      <c r="L844" s="107"/>
    </row>
    <row r="845" spans="4:12" s="2" customFormat="1">
      <c r="D845" s="107"/>
      <c r="E845" s="107"/>
      <c r="F845" s="107"/>
      <c r="G845" s="107"/>
      <c r="H845" s="107"/>
      <c r="I845" s="107"/>
      <c r="J845" s="107"/>
      <c r="K845" s="107"/>
      <c r="L845" s="107"/>
    </row>
    <row r="846" spans="4:12" s="2" customFormat="1">
      <c r="D846" s="107"/>
      <c r="E846" s="107"/>
      <c r="F846" s="107"/>
      <c r="G846" s="107"/>
      <c r="H846" s="107"/>
      <c r="I846" s="107"/>
      <c r="J846" s="107"/>
      <c r="K846" s="107"/>
      <c r="L846" s="107"/>
    </row>
    <row r="847" spans="4:12" s="2" customFormat="1">
      <c r="D847" s="107"/>
      <c r="E847" s="107"/>
      <c r="F847" s="107"/>
      <c r="G847" s="107"/>
      <c r="H847" s="107"/>
      <c r="I847" s="107"/>
      <c r="J847" s="107"/>
      <c r="K847" s="107"/>
      <c r="L847" s="107"/>
    </row>
    <row r="848" spans="4:12" s="2" customFormat="1">
      <c r="D848" s="107"/>
      <c r="E848" s="107"/>
      <c r="F848" s="107"/>
      <c r="G848" s="107"/>
      <c r="H848" s="107"/>
      <c r="I848" s="107"/>
      <c r="J848" s="107"/>
      <c r="K848" s="107"/>
      <c r="L848" s="107"/>
    </row>
    <row r="849" spans="4:12" s="2" customFormat="1">
      <c r="D849" s="107"/>
      <c r="E849" s="107"/>
      <c r="F849" s="107"/>
      <c r="G849" s="107"/>
      <c r="H849" s="107"/>
      <c r="I849" s="107"/>
      <c r="J849" s="107"/>
      <c r="K849" s="107"/>
      <c r="L849" s="107"/>
    </row>
    <row r="850" spans="4:12" s="2" customFormat="1">
      <c r="D850" s="107"/>
      <c r="E850" s="107"/>
      <c r="F850" s="107"/>
      <c r="G850" s="107"/>
      <c r="H850" s="107"/>
      <c r="I850" s="107"/>
      <c r="J850" s="107"/>
      <c r="K850" s="107"/>
      <c r="L850" s="107"/>
    </row>
    <row r="851" spans="4:12" s="2" customFormat="1">
      <c r="D851" s="107"/>
      <c r="E851" s="107"/>
      <c r="F851" s="107"/>
      <c r="G851" s="107"/>
      <c r="H851" s="107"/>
      <c r="I851" s="107"/>
      <c r="J851" s="107"/>
      <c r="K851" s="107"/>
      <c r="L851" s="107"/>
    </row>
    <row r="852" spans="4:12" s="2" customFormat="1">
      <c r="D852" s="107"/>
      <c r="E852" s="107"/>
      <c r="F852" s="107"/>
      <c r="G852" s="107"/>
      <c r="H852" s="107"/>
      <c r="I852" s="107"/>
      <c r="J852" s="107"/>
      <c r="K852" s="107"/>
      <c r="L852" s="107"/>
    </row>
    <row r="853" spans="4:12" s="2" customFormat="1">
      <c r="D853" s="107"/>
      <c r="E853" s="107"/>
      <c r="F853" s="107"/>
      <c r="G853" s="107"/>
      <c r="H853" s="107"/>
      <c r="I853" s="107"/>
      <c r="J853" s="107"/>
      <c r="K853" s="107"/>
      <c r="L853" s="107"/>
    </row>
    <row r="854" spans="4:12" s="2" customFormat="1">
      <c r="D854" s="107"/>
      <c r="E854" s="107"/>
      <c r="F854" s="107"/>
      <c r="G854" s="107"/>
      <c r="H854" s="107"/>
      <c r="I854" s="107"/>
      <c r="J854" s="107"/>
      <c r="K854" s="107"/>
      <c r="L854" s="107"/>
    </row>
    <row r="855" spans="4:12" s="2" customFormat="1">
      <c r="D855" s="107"/>
      <c r="E855" s="107"/>
      <c r="F855" s="107"/>
      <c r="G855" s="107"/>
      <c r="H855" s="107"/>
      <c r="I855" s="107"/>
      <c r="J855" s="107"/>
      <c r="K855" s="107"/>
      <c r="L855" s="107"/>
    </row>
    <row r="856" spans="4:12" s="2" customFormat="1">
      <c r="D856" s="107"/>
      <c r="E856" s="107"/>
      <c r="F856" s="107"/>
      <c r="G856" s="107"/>
      <c r="H856" s="107"/>
      <c r="I856" s="107"/>
      <c r="J856" s="107"/>
      <c r="K856" s="107"/>
      <c r="L856" s="107"/>
    </row>
    <row r="857" spans="4:12" s="2" customFormat="1">
      <c r="D857" s="107"/>
      <c r="E857" s="107"/>
      <c r="F857" s="107"/>
      <c r="G857" s="107"/>
      <c r="H857" s="107"/>
      <c r="I857" s="107"/>
      <c r="J857" s="107"/>
      <c r="K857" s="107"/>
      <c r="L857" s="107"/>
    </row>
    <row r="858" spans="4:12" s="2" customFormat="1">
      <c r="D858" s="107"/>
      <c r="E858" s="107"/>
      <c r="F858" s="107"/>
      <c r="G858" s="107"/>
      <c r="H858" s="107"/>
      <c r="I858" s="107"/>
      <c r="J858" s="107"/>
      <c r="K858" s="107"/>
      <c r="L858" s="107"/>
    </row>
    <row r="859" spans="4:12" s="2" customFormat="1">
      <c r="D859" s="107"/>
      <c r="E859" s="107"/>
      <c r="F859" s="107"/>
      <c r="G859" s="107"/>
      <c r="H859" s="107"/>
      <c r="I859" s="107"/>
      <c r="J859" s="107"/>
      <c r="K859" s="107"/>
      <c r="L859" s="107"/>
    </row>
    <row r="860" spans="4:12" s="2" customFormat="1">
      <c r="D860" s="107"/>
      <c r="E860" s="107"/>
      <c r="F860" s="107"/>
      <c r="G860" s="107"/>
      <c r="H860" s="107"/>
      <c r="I860" s="107"/>
      <c r="J860" s="107"/>
      <c r="K860" s="107"/>
      <c r="L860" s="107"/>
    </row>
    <row r="861" spans="4:12" s="2" customFormat="1">
      <c r="D861" s="107"/>
      <c r="E861" s="107"/>
      <c r="F861" s="107"/>
      <c r="G861" s="107"/>
      <c r="H861" s="107"/>
      <c r="I861" s="107"/>
      <c r="J861" s="107"/>
      <c r="K861" s="107"/>
      <c r="L861" s="107"/>
    </row>
    <row r="862" spans="4:12" s="2" customFormat="1">
      <c r="D862" s="107"/>
      <c r="E862" s="107"/>
      <c r="F862" s="107"/>
      <c r="G862" s="107"/>
      <c r="H862" s="107"/>
      <c r="I862" s="107"/>
      <c r="J862" s="107"/>
      <c r="K862" s="107"/>
      <c r="L862" s="107"/>
    </row>
    <row r="863" spans="4:12" s="2" customFormat="1">
      <c r="D863" s="107"/>
      <c r="E863" s="107"/>
      <c r="F863" s="107"/>
      <c r="G863" s="107"/>
      <c r="H863" s="107"/>
      <c r="I863" s="107"/>
      <c r="J863" s="107"/>
      <c r="K863" s="107"/>
      <c r="L863" s="107"/>
    </row>
    <row r="864" spans="4:12" s="2" customFormat="1">
      <c r="D864" s="107"/>
      <c r="E864" s="107"/>
      <c r="F864" s="107"/>
      <c r="G864" s="107"/>
      <c r="H864" s="107"/>
      <c r="I864" s="107"/>
      <c r="J864" s="107"/>
      <c r="K864" s="107"/>
      <c r="L864" s="107"/>
    </row>
    <row r="865" spans="4:12" s="2" customFormat="1">
      <c r="D865" s="107"/>
      <c r="E865" s="107"/>
      <c r="F865" s="107"/>
      <c r="G865" s="107"/>
      <c r="H865" s="107"/>
      <c r="I865" s="107"/>
      <c r="J865" s="107"/>
      <c r="K865" s="107"/>
      <c r="L865" s="107"/>
    </row>
    <row r="866" spans="4:12" s="2" customFormat="1">
      <c r="D866" s="107"/>
      <c r="E866" s="107"/>
      <c r="F866" s="107"/>
      <c r="G866" s="107"/>
      <c r="H866" s="107"/>
      <c r="I866" s="107"/>
      <c r="J866" s="107"/>
      <c r="K866" s="107"/>
      <c r="L866" s="107"/>
    </row>
    <row r="867" spans="4:12" s="2" customFormat="1">
      <c r="D867" s="107"/>
      <c r="E867" s="107"/>
      <c r="F867" s="107"/>
      <c r="G867" s="107"/>
      <c r="H867" s="107"/>
      <c r="I867" s="107"/>
      <c r="J867" s="107"/>
      <c r="K867" s="107"/>
      <c r="L867" s="107"/>
    </row>
    <row r="868" spans="4:12" s="2" customFormat="1">
      <c r="D868" s="107"/>
      <c r="E868" s="107"/>
      <c r="F868" s="107"/>
      <c r="G868" s="107"/>
      <c r="H868" s="107"/>
      <c r="I868" s="107"/>
      <c r="J868" s="107"/>
      <c r="K868" s="107"/>
      <c r="L868" s="107"/>
    </row>
    <row r="869" spans="4:12" s="2" customFormat="1">
      <c r="D869" s="107"/>
      <c r="E869" s="107"/>
      <c r="F869" s="107"/>
      <c r="G869" s="107"/>
      <c r="H869" s="107"/>
      <c r="I869" s="107"/>
      <c r="J869" s="107"/>
      <c r="K869" s="107"/>
      <c r="L869" s="107"/>
    </row>
    <row r="870" spans="4:12" s="2" customFormat="1">
      <c r="D870" s="107"/>
      <c r="E870" s="107"/>
      <c r="F870" s="107"/>
      <c r="G870" s="107"/>
      <c r="H870" s="107"/>
      <c r="I870" s="107"/>
      <c r="J870" s="107"/>
      <c r="K870" s="107"/>
      <c r="L870" s="107"/>
    </row>
    <row r="871" spans="4:12" s="2" customFormat="1">
      <c r="D871" s="107"/>
      <c r="E871" s="107"/>
      <c r="F871" s="107"/>
      <c r="G871" s="107"/>
      <c r="H871" s="107"/>
      <c r="I871" s="107"/>
      <c r="J871" s="107"/>
      <c r="K871" s="107"/>
      <c r="L871" s="107"/>
    </row>
    <row r="872" spans="4:12" s="2" customFormat="1">
      <c r="D872" s="107"/>
      <c r="E872" s="107"/>
      <c r="F872" s="107"/>
      <c r="G872" s="107"/>
      <c r="H872" s="107"/>
      <c r="I872" s="107"/>
      <c r="J872" s="107"/>
      <c r="K872" s="107"/>
      <c r="L872" s="107"/>
    </row>
    <row r="873" spans="4:12" s="2" customFormat="1">
      <c r="D873" s="107"/>
      <c r="E873" s="107"/>
      <c r="F873" s="107"/>
      <c r="G873" s="107"/>
      <c r="H873" s="107"/>
      <c r="I873" s="107"/>
      <c r="J873" s="107"/>
      <c r="K873" s="107"/>
      <c r="L873" s="107"/>
    </row>
    <row r="874" spans="4:12" s="2" customFormat="1">
      <c r="D874" s="107"/>
      <c r="E874" s="107"/>
      <c r="F874" s="107"/>
      <c r="G874" s="107"/>
      <c r="H874" s="107"/>
      <c r="I874" s="107"/>
      <c r="J874" s="107"/>
      <c r="K874" s="107"/>
      <c r="L874" s="107"/>
    </row>
    <row r="875" spans="4:12" s="2" customFormat="1">
      <c r="D875" s="107"/>
      <c r="E875" s="107"/>
      <c r="F875" s="107"/>
      <c r="G875" s="107"/>
      <c r="H875" s="107"/>
      <c r="I875" s="107"/>
      <c r="J875" s="107"/>
      <c r="K875" s="107"/>
      <c r="L875" s="107"/>
    </row>
    <row r="876" spans="4:12" s="2" customFormat="1">
      <c r="D876" s="107"/>
      <c r="E876" s="107"/>
      <c r="F876" s="107"/>
      <c r="G876" s="107"/>
      <c r="H876" s="107"/>
      <c r="I876" s="107"/>
      <c r="J876" s="107"/>
      <c r="K876" s="107"/>
      <c r="L876" s="107"/>
    </row>
    <row r="877" spans="4:12" s="2" customFormat="1">
      <c r="D877" s="107"/>
      <c r="E877" s="107"/>
      <c r="F877" s="107"/>
      <c r="G877" s="107"/>
      <c r="H877" s="107"/>
      <c r="I877" s="107"/>
      <c r="J877" s="107"/>
      <c r="K877" s="107"/>
      <c r="L877" s="107"/>
    </row>
    <row r="878" spans="4:12" s="2" customFormat="1">
      <c r="D878" s="107"/>
      <c r="E878" s="107"/>
      <c r="F878" s="107"/>
      <c r="G878" s="107"/>
      <c r="H878" s="107"/>
      <c r="I878" s="107"/>
      <c r="J878" s="107"/>
      <c r="K878" s="107"/>
      <c r="L878" s="107"/>
    </row>
    <row r="879" spans="4:12" s="2" customFormat="1">
      <c r="D879" s="107"/>
      <c r="E879" s="107"/>
      <c r="F879" s="107"/>
      <c r="G879" s="107"/>
      <c r="H879" s="107"/>
      <c r="I879" s="107"/>
      <c r="J879" s="107"/>
      <c r="K879" s="107"/>
      <c r="L879" s="107"/>
    </row>
    <row r="880" spans="4:12" s="2" customFormat="1">
      <c r="D880" s="107"/>
      <c r="E880" s="107"/>
      <c r="F880" s="107"/>
      <c r="G880" s="107"/>
      <c r="H880" s="107"/>
      <c r="I880" s="107"/>
      <c r="J880" s="107"/>
      <c r="K880" s="107"/>
      <c r="L880" s="107"/>
    </row>
    <row r="881" spans="4:12" s="2" customFormat="1">
      <c r="D881" s="107"/>
      <c r="E881" s="107"/>
      <c r="F881" s="107"/>
      <c r="G881" s="107"/>
      <c r="H881" s="107"/>
      <c r="I881" s="107"/>
      <c r="J881" s="107"/>
      <c r="K881" s="107"/>
      <c r="L881" s="107"/>
    </row>
    <row r="882" spans="4:12" s="2" customFormat="1">
      <c r="D882" s="107"/>
      <c r="E882" s="107"/>
      <c r="F882" s="107"/>
      <c r="G882" s="107"/>
      <c r="H882" s="107"/>
      <c r="I882" s="107"/>
      <c r="J882" s="107"/>
      <c r="K882" s="107"/>
      <c r="L882" s="107"/>
    </row>
    <row r="883" spans="4:12" s="2" customFormat="1">
      <c r="D883" s="107"/>
      <c r="E883" s="107"/>
      <c r="F883" s="107"/>
      <c r="G883" s="107"/>
      <c r="H883" s="107"/>
      <c r="I883" s="107"/>
      <c r="J883" s="107"/>
      <c r="K883" s="107"/>
      <c r="L883" s="107"/>
    </row>
    <row r="884" spans="4:12" s="2" customFormat="1">
      <c r="D884" s="107"/>
      <c r="E884" s="107"/>
      <c r="F884" s="107"/>
      <c r="G884" s="107"/>
      <c r="H884" s="107"/>
      <c r="I884" s="107"/>
      <c r="J884" s="107"/>
      <c r="K884" s="107"/>
      <c r="L884" s="107"/>
    </row>
    <row r="885" spans="4:12" s="2" customFormat="1">
      <c r="D885" s="107"/>
      <c r="E885" s="107"/>
      <c r="F885" s="107"/>
      <c r="G885" s="107"/>
      <c r="H885" s="107"/>
      <c r="I885" s="107"/>
      <c r="J885" s="107"/>
      <c r="K885" s="107"/>
      <c r="L885" s="107"/>
    </row>
  </sheetData>
  <sheetProtection sheet="1" objects="1" scenarios="1"/>
  <mergeCells count="1">
    <mergeCell ref="C3:L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8AA85-E18E-9E45-AAF2-0C9B744E2C0D}">
  <dimension ref="A1:AE885"/>
  <sheetViews>
    <sheetView workbookViewId="0">
      <selection activeCell="C3" sqref="C3:L3"/>
    </sheetView>
  </sheetViews>
  <sheetFormatPr baseColWidth="10" defaultColWidth="10.81640625" defaultRowHeight="14"/>
  <cols>
    <col min="1" max="1" width="10.81640625" style="2"/>
    <col min="2" max="2" width="2.453125" style="2" customWidth="1"/>
    <col min="3" max="3" width="10.81640625" style="3"/>
    <col min="4" max="4" width="12.81640625" style="112" bestFit="1" customWidth="1"/>
    <col min="5" max="5" width="11.6328125" style="112" bestFit="1" customWidth="1"/>
    <col min="6" max="6" width="11.453125" style="112" bestFit="1" customWidth="1"/>
    <col min="7" max="7" width="10.6328125" style="112" bestFit="1" customWidth="1"/>
    <col min="8" max="8" width="14.1796875" style="112" bestFit="1" customWidth="1"/>
    <col min="9" max="9" width="13.36328125" style="112" bestFit="1" customWidth="1"/>
    <col min="10" max="10" width="10.81640625" style="112" bestFit="1" customWidth="1"/>
    <col min="11" max="11" width="13.36328125" style="112" bestFit="1" customWidth="1"/>
    <col min="12" max="12" width="22.6328125" style="112" bestFit="1" customWidth="1"/>
    <col min="13" max="13" width="2.453125" style="2" customWidth="1"/>
    <col min="14" max="31" width="10.81640625" style="2"/>
    <col min="32" max="16384" width="10.81640625" style="3"/>
  </cols>
  <sheetData>
    <row r="1" spans="2:13" s="2" customFormat="1" ht="14.5" thickBot="1">
      <c r="D1" s="107"/>
      <c r="E1" s="107"/>
      <c r="F1" s="107"/>
      <c r="G1" s="107"/>
      <c r="H1" s="107"/>
      <c r="I1" s="107"/>
      <c r="J1" s="107"/>
      <c r="K1" s="107"/>
      <c r="L1" s="107"/>
    </row>
    <row r="2" spans="2:13" s="2" customFormat="1" ht="14.5" thickBot="1">
      <c r="B2" s="36"/>
      <c r="C2" s="37"/>
      <c r="D2" s="108"/>
      <c r="E2" s="108"/>
      <c r="F2" s="108"/>
      <c r="G2" s="108"/>
      <c r="H2" s="108"/>
      <c r="I2" s="108"/>
      <c r="J2" s="108"/>
      <c r="K2" s="108"/>
      <c r="L2" s="108"/>
      <c r="M2" s="38"/>
    </row>
    <row r="3" spans="2:13" s="2" customFormat="1" ht="25.5" thickBot="1">
      <c r="B3" s="39"/>
      <c r="C3" s="237" t="s">
        <v>451</v>
      </c>
      <c r="D3" s="238"/>
      <c r="E3" s="238"/>
      <c r="F3" s="238"/>
      <c r="G3" s="238"/>
      <c r="H3" s="238"/>
      <c r="I3" s="238"/>
      <c r="J3" s="238"/>
      <c r="K3" s="238"/>
      <c r="L3" s="239"/>
      <c r="M3" s="40"/>
    </row>
    <row r="4" spans="2:13" s="2" customFormat="1">
      <c r="B4" s="39"/>
      <c r="C4" s="15"/>
      <c r="D4" s="109"/>
      <c r="E4" s="109"/>
      <c r="F4" s="109"/>
      <c r="G4" s="109"/>
      <c r="H4" s="109"/>
      <c r="I4" s="109"/>
      <c r="J4" s="109"/>
      <c r="K4" s="109"/>
      <c r="L4" s="109"/>
      <c r="M4" s="40"/>
    </row>
    <row r="5" spans="2:13" ht="59">
      <c r="B5" s="39"/>
      <c r="C5" s="129" t="s">
        <v>33</v>
      </c>
      <c r="D5" s="128" t="s">
        <v>142</v>
      </c>
      <c r="E5" s="132" t="s">
        <v>165</v>
      </c>
      <c r="F5" s="133" t="s">
        <v>166</v>
      </c>
      <c r="G5" s="133" t="s">
        <v>167</v>
      </c>
      <c r="H5" s="133" t="s">
        <v>168</v>
      </c>
      <c r="I5" s="133" t="s">
        <v>169</v>
      </c>
      <c r="J5" s="133" t="s">
        <v>170</v>
      </c>
      <c r="K5" s="133" t="s">
        <v>171</v>
      </c>
      <c r="L5" s="133" t="s">
        <v>172</v>
      </c>
      <c r="M5" s="40"/>
    </row>
    <row r="6" spans="2:13">
      <c r="B6" s="39"/>
      <c r="C6" s="78">
        <v>1</v>
      </c>
      <c r="D6" s="110" t="str">
        <f>IF($C6&lt;=Entradas!$E$153,"",Observaciones!L6)</f>
        <v/>
      </c>
      <c r="E6" s="110" t="str">
        <f>IF($C6&lt;=Entradas!$E$153,"",Escenario1!BN7)</f>
        <v/>
      </c>
      <c r="F6" s="79" t="str">
        <f>IF($C6&lt;=Entradas!$E$153,"",D6-E6)</f>
        <v/>
      </c>
      <c r="G6" s="79" t="str">
        <f>IF($C6&lt;=Entradas!$E$153,"",D6-AVERAGE(D:D))</f>
        <v/>
      </c>
      <c r="H6" s="79" t="str">
        <f>IF($C6&lt;=Entradas!$E$153,"",F6^2)</f>
        <v/>
      </c>
      <c r="I6" s="79" t="str">
        <f>IF($C6&lt;=Entradas!$E$153,"",G6^2)</f>
        <v/>
      </c>
      <c r="J6" s="79" t="str">
        <f>IF($C6&lt;=Entradas!$E$153,"",E6-AVERAGE(E:E))</f>
        <v/>
      </c>
      <c r="K6" s="79" t="str">
        <f>IF($C6&lt;=Entradas!$E$153,"",J6^2)</f>
        <v/>
      </c>
      <c r="L6" s="79" t="str">
        <f>IF($C6&lt;=Entradas!$E$153,"",G6*J6)</f>
        <v/>
      </c>
      <c r="M6" s="40"/>
    </row>
    <row r="7" spans="2:13">
      <c r="B7" s="39"/>
      <c r="C7" s="75">
        <v>2</v>
      </c>
      <c r="D7" s="110" t="str">
        <f>IF($C7&lt;=Entradas!$E$153,"",Observaciones!L7)</f>
        <v/>
      </c>
      <c r="E7" s="110" t="str">
        <f>IF($C7&lt;=Entradas!$E$153,"",Escenario1!BN8)</f>
        <v/>
      </c>
      <c r="F7" s="79" t="str">
        <f>IF($C7&lt;=Entradas!$E$153,"",D7-E7)</f>
        <v/>
      </c>
      <c r="G7" s="79" t="str">
        <f>IF($C7&lt;=Entradas!$E$153,"",D7-AVERAGE(D:D))</f>
        <v/>
      </c>
      <c r="H7" s="79" t="str">
        <f>IF($C7&lt;=Entradas!$E$153,"",F7^2)</f>
        <v/>
      </c>
      <c r="I7" s="79" t="str">
        <f>IF($C7&lt;=Entradas!$E$153,"",G7^2)</f>
        <v/>
      </c>
      <c r="J7" s="79" t="str">
        <f>IF($C7&lt;=Entradas!$E$153,"",E7-AVERAGE(E:E))</f>
        <v/>
      </c>
      <c r="K7" s="79" t="str">
        <f>IF($C7&lt;=Entradas!$E$153,"",J7^2)</f>
        <v/>
      </c>
      <c r="L7" s="79" t="str">
        <f>IF($C7&lt;=Entradas!$E$153,"",G7*J7)</f>
        <v/>
      </c>
      <c r="M7" s="40"/>
    </row>
    <row r="8" spans="2:13">
      <c r="B8" s="39"/>
      <c r="C8" s="75">
        <v>3</v>
      </c>
      <c r="D8" s="110" t="str">
        <f>IF($C8&lt;=Entradas!$E$153,"",Observaciones!L8)</f>
        <v/>
      </c>
      <c r="E8" s="110" t="str">
        <f>IF($C8&lt;=Entradas!$E$153,"",Escenario1!BN9)</f>
        <v/>
      </c>
      <c r="F8" s="79" t="str">
        <f>IF($C8&lt;=Entradas!$E$153,"",D8-E8)</f>
        <v/>
      </c>
      <c r="G8" s="79" t="str">
        <f>IF($C8&lt;=Entradas!$E$153,"",D8-AVERAGE(D:D))</f>
        <v/>
      </c>
      <c r="H8" s="79" t="str">
        <f>IF($C8&lt;=Entradas!$E$153,"",F8^2)</f>
        <v/>
      </c>
      <c r="I8" s="79" t="str">
        <f>IF($C8&lt;=Entradas!$E$153,"",G8^2)</f>
        <v/>
      </c>
      <c r="J8" s="79" t="str">
        <f>IF($C8&lt;=Entradas!$E$153,"",E8-AVERAGE(E:E))</f>
        <v/>
      </c>
      <c r="K8" s="79" t="str">
        <f>IF($C8&lt;=Entradas!$E$153,"",J8^2)</f>
        <v/>
      </c>
      <c r="L8" s="79" t="str">
        <f>IF($C8&lt;=Entradas!$E$153,"",G8*J8)</f>
        <v/>
      </c>
      <c r="M8" s="40"/>
    </row>
    <row r="9" spans="2:13">
      <c r="B9" s="39"/>
      <c r="C9" s="75">
        <v>4</v>
      </c>
      <c r="D9" s="110" t="str">
        <f>IF($C9&lt;=Entradas!$E$153,"",Observaciones!L9)</f>
        <v/>
      </c>
      <c r="E9" s="110" t="str">
        <f>IF($C9&lt;=Entradas!$E$153,"",Escenario1!BN10)</f>
        <v/>
      </c>
      <c r="F9" s="79" t="str">
        <f>IF($C9&lt;=Entradas!$E$153,"",D9-E9)</f>
        <v/>
      </c>
      <c r="G9" s="79" t="str">
        <f>IF($C9&lt;=Entradas!$E$153,"",D9-AVERAGE(D:D))</f>
        <v/>
      </c>
      <c r="H9" s="79" t="str">
        <f>IF($C9&lt;=Entradas!$E$153,"",F9^2)</f>
        <v/>
      </c>
      <c r="I9" s="79" t="str">
        <f>IF($C9&lt;=Entradas!$E$153,"",G9^2)</f>
        <v/>
      </c>
      <c r="J9" s="79" t="str">
        <f>IF($C9&lt;=Entradas!$E$153,"",E9-AVERAGE(E:E))</f>
        <v/>
      </c>
      <c r="K9" s="79" t="str">
        <f>IF($C9&lt;=Entradas!$E$153,"",J9^2)</f>
        <v/>
      </c>
      <c r="L9" s="79" t="str">
        <f>IF($C9&lt;=Entradas!$E$153,"",G9*J9)</f>
        <v/>
      </c>
      <c r="M9" s="40"/>
    </row>
    <row r="10" spans="2:13">
      <c r="B10" s="39"/>
      <c r="C10" s="75">
        <v>5</v>
      </c>
      <c r="D10" s="110" t="str">
        <f>IF($C10&lt;=Entradas!$E$153,"",Observaciones!L10)</f>
        <v/>
      </c>
      <c r="E10" s="110" t="str">
        <f>IF($C10&lt;=Entradas!$E$153,"",Escenario1!BN11)</f>
        <v/>
      </c>
      <c r="F10" s="79" t="str">
        <f>IF($C10&lt;=Entradas!$E$153,"",D10-E10)</f>
        <v/>
      </c>
      <c r="G10" s="79" t="str">
        <f>IF($C10&lt;=Entradas!$E$153,"",D10-AVERAGE(D:D))</f>
        <v/>
      </c>
      <c r="H10" s="79" t="str">
        <f>IF($C10&lt;=Entradas!$E$153,"",F10^2)</f>
        <v/>
      </c>
      <c r="I10" s="79" t="str">
        <f>IF($C10&lt;=Entradas!$E$153,"",G10^2)</f>
        <v/>
      </c>
      <c r="J10" s="79" t="str">
        <f>IF($C10&lt;=Entradas!$E$153,"",E10-AVERAGE(E:E))</f>
        <v/>
      </c>
      <c r="K10" s="79" t="str">
        <f>IF($C10&lt;=Entradas!$E$153,"",J10^2)</f>
        <v/>
      </c>
      <c r="L10" s="79" t="str">
        <f>IF($C10&lt;=Entradas!$E$153,"",G10*J10)</f>
        <v/>
      </c>
      <c r="M10" s="40"/>
    </row>
    <row r="11" spans="2:13">
      <c r="B11" s="39"/>
      <c r="C11" s="75">
        <v>6</v>
      </c>
      <c r="D11" s="110" t="str">
        <f>IF($C11&lt;=Entradas!$E$153,"",Observaciones!L11)</f>
        <v/>
      </c>
      <c r="E11" s="110" t="str">
        <f>IF($C11&lt;=Entradas!$E$153,"",Escenario1!BN12)</f>
        <v/>
      </c>
      <c r="F11" s="79" t="str">
        <f>IF($C11&lt;=Entradas!$E$153,"",D11-E11)</f>
        <v/>
      </c>
      <c r="G11" s="79" t="str">
        <f>IF($C11&lt;=Entradas!$E$153,"",D11-AVERAGE(D:D))</f>
        <v/>
      </c>
      <c r="H11" s="79" t="str">
        <f>IF($C11&lt;=Entradas!$E$153,"",F11^2)</f>
        <v/>
      </c>
      <c r="I11" s="79" t="str">
        <f>IF($C11&lt;=Entradas!$E$153,"",G11^2)</f>
        <v/>
      </c>
      <c r="J11" s="79" t="str">
        <f>IF($C11&lt;=Entradas!$E$153,"",E11-AVERAGE(E:E))</f>
        <v/>
      </c>
      <c r="K11" s="79" t="str">
        <f>IF($C11&lt;=Entradas!$E$153,"",J11^2)</f>
        <v/>
      </c>
      <c r="L11" s="79" t="str">
        <f>IF($C11&lt;=Entradas!$E$153,"",G11*J11)</f>
        <v/>
      </c>
      <c r="M11" s="40"/>
    </row>
    <row r="12" spans="2:13">
      <c r="B12" s="39"/>
      <c r="C12" s="75">
        <v>7</v>
      </c>
      <c r="D12" s="110" t="str">
        <f>IF($C12&lt;=Entradas!$E$153,"",Observaciones!L12)</f>
        <v/>
      </c>
      <c r="E12" s="110" t="str">
        <f>IF($C12&lt;=Entradas!$E$153,"",Escenario1!BN13)</f>
        <v/>
      </c>
      <c r="F12" s="79" t="str">
        <f>IF($C12&lt;=Entradas!$E$153,"",D12-E12)</f>
        <v/>
      </c>
      <c r="G12" s="79" t="str">
        <f>IF($C12&lt;=Entradas!$E$153,"",D12-AVERAGE(D:D))</f>
        <v/>
      </c>
      <c r="H12" s="79" t="str">
        <f>IF($C12&lt;=Entradas!$E$153,"",F12^2)</f>
        <v/>
      </c>
      <c r="I12" s="79" t="str">
        <f>IF($C12&lt;=Entradas!$E$153,"",G12^2)</f>
        <v/>
      </c>
      <c r="J12" s="79" t="str">
        <f>IF($C12&lt;=Entradas!$E$153,"",E12-AVERAGE(E:E))</f>
        <v/>
      </c>
      <c r="K12" s="79" t="str">
        <f>IF($C12&lt;=Entradas!$E$153,"",J12^2)</f>
        <v/>
      </c>
      <c r="L12" s="79" t="str">
        <f>IF($C12&lt;=Entradas!$E$153,"",G12*J12)</f>
        <v/>
      </c>
      <c r="M12" s="40"/>
    </row>
    <row r="13" spans="2:13">
      <c r="B13" s="39"/>
      <c r="C13" s="75">
        <v>8</v>
      </c>
      <c r="D13" s="110" t="str">
        <f>IF($C13&lt;=Entradas!$E$153,"",Observaciones!L13)</f>
        <v/>
      </c>
      <c r="E13" s="110" t="str">
        <f>IF($C13&lt;=Entradas!$E$153,"",Escenario1!BN14)</f>
        <v/>
      </c>
      <c r="F13" s="79" t="str">
        <f>IF($C13&lt;=Entradas!$E$153,"",D13-E13)</f>
        <v/>
      </c>
      <c r="G13" s="79" t="str">
        <f>IF($C13&lt;=Entradas!$E$153,"",D13-AVERAGE(D:D))</f>
        <v/>
      </c>
      <c r="H13" s="79" t="str">
        <f>IF($C13&lt;=Entradas!$E$153,"",F13^2)</f>
        <v/>
      </c>
      <c r="I13" s="79" t="str">
        <f>IF($C13&lt;=Entradas!$E$153,"",G13^2)</f>
        <v/>
      </c>
      <c r="J13" s="79" t="str">
        <f>IF($C13&lt;=Entradas!$E$153,"",E13-AVERAGE(E:E))</f>
        <v/>
      </c>
      <c r="K13" s="79" t="str">
        <f>IF($C13&lt;=Entradas!$E$153,"",J13^2)</f>
        <v/>
      </c>
      <c r="L13" s="79" t="str">
        <f>IF($C13&lt;=Entradas!$E$153,"",G13*J13)</f>
        <v/>
      </c>
      <c r="M13" s="40"/>
    </row>
    <row r="14" spans="2:13">
      <c r="B14" s="39"/>
      <c r="C14" s="75">
        <v>9</v>
      </c>
      <c r="D14" s="110" t="str">
        <f>IF($C14&lt;=Entradas!$E$153,"",Observaciones!L14)</f>
        <v/>
      </c>
      <c r="E14" s="110" t="str">
        <f>IF($C14&lt;=Entradas!$E$153,"",Escenario1!BN15)</f>
        <v/>
      </c>
      <c r="F14" s="79" t="str">
        <f>IF($C14&lt;=Entradas!$E$153,"",D14-E14)</f>
        <v/>
      </c>
      <c r="G14" s="79" t="str">
        <f>IF($C14&lt;=Entradas!$E$153,"",D14-AVERAGE(D:D))</f>
        <v/>
      </c>
      <c r="H14" s="79" t="str">
        <f>IF($C14&lt;=Entradas!$E$153,"",F14^2)</f>
        <v/>
      </c>
      <c r="I14" s="79" t="str">
        <f>IF($C14&lt;=Entradas!$E$153,"",G14^2)</f>
        <v/>
      </c>
      <c r="J14" s="79" t="str">
        <f>IF($C14&lt;=Entradas!$E$153,"",E14-AVERAGE(E:E))</f>
        <v/>
      </c>
      <c r="K14" s="79" t="str">
        <f>IF($C14&lt;=Entradas!$E$153,"",J14^2)</f>
        <v/>
      </c>
      <c r="L14" s="79" t="str">
        <f>IF($C14&lt;=Entradas!$E$153,"",G14*J14)</f>
        <v/>
      </c>
      <c r="M14" s="40"/>
    </row>
    <row r="15" spans="2:13">
      <c r="B15" s="39"/>
      <c r="C15" s="75">
        <v>10</v>
      </c>
      <c r="D15" s="110" t="str">
        <f>IF($C15&lt;=Entradas!$E$153,"",Observaciones!L15)</f>
        <v/>
      </c>
      <c r="E15" s="110" t="str">
        <f>IF($C15&lt;=Entradas!$E$153,"",Escenario1!BN16)</f>
        <v/>
      </c>
      <c r="F15" s="79" t="str">
        <f>IF($C15&lt;=Entradas!$E$153,"",D15-E15)</f>
        <v/>
      </c>
      <c r="G15" s="79" t="str">
        <f>IF($C15&lt;=Entradas!$E$153,"",D15-AVERAGE(D:D))</f>
        <v/>
      </c>
      <c r="H15" s="79" t="str">
        <f>IF($C15&lt;=Entradas!$E$153,"",F15^2)</f>
        <v/>
      </c>
      <c r="I15" s="79" t="str">
        <f>IF($C15&lt;=Entradas!$E$153,"",G15^2)</f>
        <v/>
      </c>
      <c r="J15" s="79" t="str">
        <f>IF($C15&lt;=Entradas!$E$153,"",E15-AVERAGE(E:E))</f>
        <v/>
      </c>
      <c r="K15" s="79" t="str">
        <f>IF($C15&lt;=Entradas!$E$153,"",J15^2)</f>
        <v/>
      </c>
      <c r="L15" s="79" t="str">
        <f>IF($C15&lt;=Entradas!$E$153,"",G15*J15)</f>
        <v/>
      </c>
      <c r="M15" s="40"/>
    </row>
    <row r="16" spans="2:13">
      <c r="B16" s="39"/>
      <c r="C16" s="75">
        <v>11</v>
      </c>
      <c r="D16" s="110" t="str">
        <f>IF($C16&lt;=Entradas!$E$153,"",Observaciones!L16)</f>
        <v/>
      </c>
      <c r="E16" s="110" t="str">
        <f>IF($C16&lt;=Entradas!$E$153,"",Escenario1!BN17)</f>
        <v/>
      </c>
      <c r="F16" s="79" t="str">
        <f>IF($C16&lt;=Entradas!$E$153,"",D16-E16)</f>
        <v/>
      </c>
      <c r="G16" s="79" t="str">
        <f>IF($C16&lt;=Entradas!$E$153,"",D16-AVERAGE(D:D))</f>
        <v/>
      </c>
      <c r="H16" s="79" t="str">
        <f>IF($C16&lt;=Entradas!$E$153,"",F16^2)</f>
        <v/>
      </c>
      <c r="I16" s="79" t="str">
        <f>IF($C16&lt;=Entradas!$E$153,"",G16^2)</f>
        <v/>
      </c>
      <c r="J16" s="79" t="str">
        <f>IF($C16&lt;=Entradas!$E$153,"",E16-AVERAGE(E:E))</f>
        <v/>
      </c>
      <c r="K16" s="79" t="str">
        <f>IF($C16&lt;=Entradas!$E$153,"",J16^2)</f>
        <v/>
      </c>
      <c r="L16" s="79" t="str">
        <f>IF($C16&lt;=Entradas!$E$153,"",G16*J16)</f>
        <v/>
      </c>
      <c r="M16" s="40"/>
    </row>
    <row r="17" spans="2:13">
      <c r="B17" s="39"/>
      <c r="C17" s="75">
        <v>12</v>
      </c>
      <c r="D17" s="110" t="str">
        <f>IF($C17&lt;=Entradas!$E$153,"",Observaciones!L17)</f>
        <v/>
      </c>
      <c r="E17" s="110" t="str">
        <f>IF($C17&lt;=Entradas!$E$153,"",Escenario1!BN18)</f>
        <v/>
      </c>
      <c r="F17" s="79" t="str">
        <f>IF($C17&lt;=Entradas!$E$153,"",D17-E17)</f>
        <v/>
      </c>
      <c r="G17" s="79" t="str">
        <f>IF($C17&lt;=Entradas!$E$153,"",D17-AVERAGE(D:D))</f>
        <v/>
      </c>
      <c r="H17" s="79" t="str">
        <f>IF($C17&lt;=Entradas!$E$153,"",F17^2)</f>
        <v/>
      </c>
      <c r="I17" s="79" t="str">
        <f>IF($C17&lt;=Entradas!$E$153,"",G17^2)</f>
        <v/>
      </c>
      <c r="J17" s="79" t="str">
        <f>IF($C17&lt;=Entradas!$E$153,"",E17-AVERAGE(E:E))</f>
        <v/>
      </c>
      <c r="K17" s="79" t="str">
        <f>IF($C17&lt;=Entradas!$E$153,"",J17^2)</f>
        <v/>
      </c>
      <c r="L17" s="79" t="str">
        <f>IF($C17&lt;=Entradas!$E$153,"",G17*J17)</f>
        <v/>
      </c>
      <c r="M17" s="40"/>
    </row>
    <row r="18" spans="2:13">
      <c r="B18" s="39"/>
      <c r="C18" s="75">
        <v>13</v>
      </c>
      <c r="D18" s="110" t="str">
        <f>IF($C18&lt;=Entradas!$E$153,"",Observaciones!L18)</f>
        <v/>
      </c>
      <c r="E18" s="110" t="str">
        <f>IF($C18&lt;=Entradas!$E$153,"",Escenario1!BN19)</f>
        <v/>
      </c>
      <c r="F18" s="79" t="str">
        <f>IF($C18&lt;=Entradas!$E$153,"",D18-E18)</f>
        <v/>
      </c>
      <c r="G18" s="79" t="str">
        <f>IF($C18&lt;=Entradas!$E$153,"",D18-AVERAGE(D:D))</f>
        <v/>
      </c>
      <c r="H18" s="79" t="str">
        <f>IF($C18&lt;=Entradas!$E$153,"",F18^2)</f>
        <v/>
      </c>
      <c r="I18" s="79" t="str">
        <f>IF($C18&lt;=Entradas!$E$153,"",G18^2)</f>
        <v/>
      </c>
      <c r="J18" s="79" t="str">
        <f>IF($C18&lt;=Entradas!$E$153,"",E18-AVERAGE(E:E))</f>
        <v/>
      </c>
      <c r="K18" s="79" t="str">
        <f>IF($C18&lt;=Entradas!$E$153,"",J18^2)</f>
        <v/>
      </c>
      <c r="L18" s="79" t="str">
        <f>IF($C18&lt;=Entradas!$E$153,"",G18*J18)</f>
        <v/>
      </c>
      <c r="M18" s="40"/>
    </row>
    <row r="19" spans="2:13">
      <c r="B19" s="39"/>
      <c r="C19" s="75">
        <v>14</v>
      </c>
      <c r="D19" s="110" t="str">
        <f>IF($C19&lt;=Entradas!$E$153,"",Observaciones!L19)</f>
        <v/>
      </c>
      <c r="E19" s="110" t="str">
        <f>IF($C19&lt;=Entradas!$E$153,"",Escenario1!BN20)</f>
        <v/>
      </c>
      <c r="F19" s="79" t="str">
        <f>IF($C19&lt;=Entradas!$E$153,"",D19-E19)</f>
        <v/>
      </c>
      <c r="G19" s="79" t="str">
        <f>IF($C19&lt;=Entradas!$E$153,"",D19-AVERAGE(D:D))</f>
        <v/>
      </c>
      <c r="H19" s="79" t="str">
        <f>IF($C19&lt;=Entradas!$E$153,"",F19^2)</f>
        <v/>
      </c>
      <c r="I19" s="79" t="str">
        <f>IF($C19&lt;=Entradas!$E$153,"",G19^2)</f>
        <v/>
      </c>
      <c r="J19" s="79" t="str">
        <f>IF($C19&lt;=Entradas!$E$153,"",E19-AVERAGE(E:E))</f>
        <v/>
      </c>
      <c r="K19" s="79" t="str">
        <f>IF($C19&lt;=Entradas!$E$153,"",J19^2)</f>
        <v/>
      </c>
      <c r="L19" s="79" t="str">
        <f>IF($C19&lt;=Entradas!$E$153,"",G19*J19)</f>
        <v/>
      </c>
      <c r="M19" s="40"/>
    </row>
    <row r="20" spans="2:13">
      <c r="B20" s="39"/>
      <c r="C20" s="75">
        <v>15</v>
      </c>
      <c r="D20" s="110" t="str">
        <f>IF($C20&lt;=Entradas!$E$153,"",Observaciones!L20)</f>
        <v/>
      </c>
      <c r="E20" s="110" t="str">
        <f>IF($C20&lt;=Entradas!$E$153,"",Escenario1!BN21)</f>
        <v/>
      </c>
      <c r="F20" s="79" t="str">
        <f>IF($C20&lt;=Entradas!$E$153,"",D20-E20)</f>
        <v/>
      </c>
      <c r="G20" s="79" t="str">
        <f>IF($C20&lt;=Entradas!$E$153,"",D20-AVERAGE(D:D))</f>
        <v/>
      </c>
      <c r="H20" s="79" t="str">
        <f>IF($C20&lt;=Entradas!$E$153,"",F20^2)</f>
        <v/>
      </c>
      <c r="I20" s="79" t="str">
        <f>IF($C20&lt;=Entradas!$E$153,"",G20^2)</f>
        <v/>
      </c>
      <c r="J20" s="79" t="str">
        <f>IF($C20&lt;=Entradas!$E$153,"",E20-AVERAGE(E:E))</f>
        <v/>
      </c>
      <c r="K20" s="79" t="str">
        <f>IF($C20&lt;=Entradas!$E$153,"",J20^2)</f>
        <v/>
      </c>
      <c r="L20" s="79" t="str">
        <f>IF($C20&lt;=Entradas!$E$153,"",G20*J20)</f>
        <v/>
      </c>
      <c r="M20" s="40"/>
    </row>
    <row r="21" spans="2:13">
      <c r="B21" s="39"/>
      <c r="C21" s="75">
        <v>16</v>
      </c>
      <c r="D21" s="110" t="str">
        <f>IF($C21&lt;=Entradas!$E$153,"",Observaciones!L21)</f>
        <v/>
      </c>
      <c r="E21" s="110" t="str">
        <f>IF($C21&lt;=Entradas!$E$153,"",Escenario1!BN22)</f>
        <v/>
      </c>
      <c r="F21" s="79" t="str">
        <f>IF($C21&lt;=Entradas!$E$153,"",D21-E21)</f>
        <v/>
      </c>
      <c r="G21" s="79" t="str">
        <f>IF($C21&lt;=Entradas!$E$153,"",D21-AVERAGE(D:D))</f>
        <v/>
      </c>
      <c r="H21" s="79" t="str">
        <f>IF($C21&lt;=Entradas!$E$153,"",F21^2)</f>
        <v/>
      </c>
      <c r="I21" s="79" t="str">
        <f>IF($C21&lt;=Entradas!$E$153,"",G21^2)</f>
        <v/>
      </c>
      <c r="J21" s="79" t="str">
        <f>IF($C21&lt;=Entradas!$E$153,"",E21-AVERAGE(E:E))</f>
        <v/>
      </c>
      <c r="K21" s="79" t="str">
        <f>IF($C21&lt;=Entradas!$E$153,"",J21^2)</f>
        <v/>
      </c>
      <c r="L21" s="79" t="str">
        <f>IF($C21&lt;=Entradas!$E$153,"",G21*J21)</f>
        <v/>
      </c>
      <c r="M21" s="40"/>
    </row>
    <row r="22" spans="2:13">
      <c r="B22" s="39"/>
      <c r="C22" s="75">
        <v>17</v>
      </c>
      <c r="D22" s="110" t="str">
        <f>IF($C22&lt;=Entradas!$E$153,"",Observaciones!L22)</f>
        <v/>
      </c>
      <c r="E22" s="110" t="str">
        <f>IF($C22&lt;=Entradas!$E$153,"",Escenario1!BN23)</f>
        <v/>
      </c>
      <c r="F22" s="79" t="str">
        <f>IF($C22&lt;=Entradas!$E$153,"",D22-E22)</f>
        <v/>
      </c>
      <c r="G22" s="79" t="str">
        <f>IF($C22&lt;=Entradas!$E$153,"",D22-AVERAGE(D:D))</f>
        <v/>
      </c>
      <c r="H22" s="79" t="str">
        <f>IF($C22&lt;=Entradas!$E$153,"",F22^2)</f>
        <v/>
      </c>
      <c r="I22" s="79" t="str">
        <f>IF($C22&lt;=Entradas!$E$153,"",G22^2)</f>
        <v/>
      </c>
      <c r="J22" s="79" t="str">
        <f>IF($C22&lt;=Entradas!$E$153,"",E22-AVERAGE(E:E))</f>
        <v/>
      </c>
      <c r="K22" s="79" t="str">
        <f>IF($C22&lt;=Entradas!$E$153,"",J22^2)</f>
        <v/>
      </c>
      <c r="L22" s="79" t="str">
        <f>IF($C22&lt;=Entradas!$E$153,"",G22*J22)</f>
        <v/>
      </c>
      <c r="M22" s="40"/>
    </row>
    <row r="23" spans="2:13">
      <c r="B23" s="39"/>
      <c r="C23" s="75">
        <v>18</v>
      </c>
      <c r="D23" s="110" t="str">
        <f>IF($C23&lt;=Entradas!$E$153,"",Observaciones!L23)</f>
        <v/>
      </c>
      <c r="E23" s="110" t="str">
        <f>IF($C23&lt;=Entradas!$E$153,"",Escenario1!BN24)</f>
        <v/>
      </c>
      <c r="F23" s="79" t="str">
        <f>IF($C23&lt;=Entradas!$E$153,"",D23-E23)</f>
        <v/>
      </c>
      <c r="G23" s="79" t="str">
        <f>IF($C23&lt;=Entradas!$E$153,"",D23-AVERAGE(D:D))</f>
        <v/>
      </c>
      <c r="H23" s="79" t="str">
        <f>IF($C23&lt;=Entradas!$E$153,"",F23^2)</f>
        <v/>
      </c>
      <c r="I23" s="79" t="str">
        <f>IF($C23&lt;=Entradas!$E$153,"",G23^2)</f>
        <v/>
      </c>
      <c r="J23" s="79" t="str">
        <f>IF($C23&lt;=Entradas!$E$153,"",E23-AVERAGE(E:E))</f>
        <v/>
      </c>
      <c r="K23" s="79" t="str">
        <f>IF($C23&lt;=Entradas!$E$153,"",J23^2)</f>
        <v/>
      </c>
      <c r="L23" s="79" t="str">
        <f>IF($C23&lt;=Entradas!$E$153,"",G23*J23)</f>
        <v/>
      </c>
      <c r="M23" s="40"/>
    </row>
    <row r="24" spans="2:13">
      <c r="B24" s="39"/>
      <c r="C24" s="75">
        <v>19</v>
      </c>
      <c r="D24" s="110" t="str">
        <f>IF($C24&lt;=Entradas!$E$153,"",Observaciones!L24)</f>
        <v/>
      </c>
      <c r="E24" s="110" t="str">
        <f>IF($C24&lt;=Entradas!$E$153,"",Escenario1!BN25)</f>
        <v/>
      </c>
      <c r="F24" s="79" t="str">
        <f>IF($C24&lt;=Entradas!$E$153,"",D24-E24)</f>
        <v/>
      </c>
      <c r="G24" s="79" t="str">
        <f>IF($C24&lt;=Entradas!$E$153,"",D24-AVERAGE(D:D))</f>
        <v/>
      </c>
      <c r="H24" s="79" t="str">
        <f>IF($C24&lt;=Entradas!$E$153,"",F24^2)</f>
        <v/>
      </c>
      <c r="I24" s="79" t="str">
        <f>IF($C24&lt;=Entradas!$E$153,"",G24^2)</f>
        <v/>
      </c>
      <c r="J24" s="79" t="str">
        <f>IF($C24&lt;=Entradas!$E$153,"",E24-AVERAGE(E:E))</f>
        <v/>
      </c>
      <c r="K24" s="79" t="str">
        <f>IF($C24&lt;=Entradas!$E$153,"",J24^2)</f>
        <v/>
      </c>
      <c r="L24" s="79" t="str">
        <f>IF($C24&lt;=Entradas!$E$153,"",G24*J24)</f>
        <v/>
      </c>
      <c r="M24" s="40"/>
    </row>
    <row r="25" spans="2:13">
      <c r="B25" s="39"/>
      <c r="C25" s="75">
        <v>20</v>
      </c>
      <c r="D25" s="110" t="str">
        <f>IF($C25&lt;=Entradas!$E$153,"",Observaciones!L25)</f>
        <v/>
      </c>
      <c r="E25" s="110" t="str">
        <f>IF($C25&lt;=Entradas!$E$153,"",Escenario1!BN26)</f>
        <v/>
      </c>
      <c r="F25" s="79" t="str">
        <f>IF($C25&lt;=Entradas!$E$153,"",D25-E25)</f>
        <v/>
      </c>
      <c r="G25" s="79" t="str">
        <f>IF($C25&lt;=Entradas!$E$153,"",D25-AVERAGE(D:D))</f>
        <v/>
      </c>
      <c r="H25" s="79" t="str">
        <f>IF($C25&lt;=Entradas!$E$153,"",F25^2)</f>
        <v/>
      </c>
      <c r="I25" s="79" t="str">
        <f>IF($C25&lt;=Entradas!$E$153,"",G25^2)</f>
        <v/>
      </c>
      <c r="J25" s="79" t="str">
        <f>IF($C25&lt;=Entradas!$E$153,"",E25-AVERAGE(E:E))</f>
        <v/>
      </c>
      <c r="K25" s="79" t="str">
        <f>IF($C25&lt;=Entradas!$E$153,"",J25^2)</f>
        <v/>
      </c>
      <c r="L25" s="79" t="str">
        <f>IF($C25&lt;=Entradas!$E$153,"",G25*J25)</f>
        <v/>
      </c>
      <c r="M25" s="40"/>
    </row>
    <row r="26" spans="2:13">
      <c r="B26" s="39"/>
      <c r="C26" s="75">
        <v>21</v>
      </c>
      <c r="D26" s="110" t="str">
        <f>IF($C26&lt;=Entradas!$E$153,"",Observaciones!L26)</f>
        <v/>
      </c>
      <c r="E26" s="110" t="str">
        <f>IF($C26&lt;=Entradas!$E$153,"",Escenario1!BN27)</f>
        <v/>
      </c>
      <c r="F26" s="79" t="str">
        <f>IF($C26&lt;=Entradas!$E$153,"",D26-E26)</f>
        <v/>
      </c>
      <c r="G26" s="79" t="str">
        <f>IF($C26&lt;=Entradas!$E$153,"",D26-AVERAGE(D:D))</f>
        <v/>
      </c>
      <c r="H26" s="79" t="str">
        <f>IF($C26&lt;=Entradas!$E$153,"",F26^2)</f>
        <v/>
      </c>
      <c r="I26" s="79" t="str">
        <f>IF($C26&lt;=Entradas!$E$153,"",G26^2)</f>
        <v/>
      </c>
      <c r="J26" s="79" t="str">
        <f>IF($C26&lt;=Entradas!$E$153,"",E26-AVERAGE(E:E))</f>
        <v/>
      </c>
      <c r="K26" s="79" t="str">
        <f>IF($C26&lt;=Entradas!$E$153,"",J26^2)</f>
        <v/>
      </c>
      <c r="L26" s="79" t="str">
        <f>IF($C26&lt;=Entradas!$E$153,"",G26*J26)</f>
        <v/>
      </c>
      <c r="M26" s="40"/>
    </row>
    <row r="27" spans="2:13">
      <c r="B27" s="39"/>
      <c r="C27" s="75">
        <v>22</v>
      </c>
      <c r="D27" s="110" t="str">
        <f>IF($C27&lt;=Entradas!$E$153,"",Observaciones!L27)</f>
        <v/>
      </c>
      <c r="E27" s="110" t="str">
        <f>IF($C27&lt;=Entradas!$E$153,"",Escenario1!BN28)</f>
        <v/>
      </c>
      <c r="F27" s="79" t="str">
        <f>IF($C27&lt;=Entradas!$E$153,"",D27-E27)</f>
        <v/>
      </c>
      <c r="G27" s="79" t="str">
        <f>IF($C27&lt;=Entradas!$E$153,"",D27-AVERAGE(D:D))</f>
        <v/>
      </c>
      <c r="H27" s="79" t="str">
        <f>IF($C27&lt;=Entradas!$E$153,"",F27^2)</f>
        <v/>
      </c>
      <c r="I27" s="79" t="str">
        <f>IF($C27&lt;=Entradas!$E$153,"",G27^2)</f>
        <v/>
      </c>
      <c r="J27" s="79" t="str">
        <f>IF($C27&lt;=Entradas!$E$153,"",E27-AVERAGE(E:E))</f>
        <v/>
      </c>
      <c r="K27" s="79" t="str">
        <f>IF($C27&lt;=Entradas!$E$153,"",J27^2)</f>
        <v/>
      </c>
      <c r="L27" s="79" t="str">
        <f>IF($C27&lt;=Entradas!$E$153,"",G27*J27)</f>
        <v/>
      </c>
      <c r="M27" s="40"/>
    </row>
    <row r="28" spans="2:13">
      <c r="B28" s="39"/>
      <c r="C28" s="75">
        <v>23</v>
      </c>
      <c r="D28" s="110" t="str">
        <f>IF($C28&lt;=Entradas!$E$153,"",Observaciones!L28)</f>
        <v/>
      </c>
      <c r="E28" s="110" t="str">
        <f>IF($C28&lt;=Entradas!$E$153,"",Escenario1!BN29)</f>
        <v/>
      </c>
      <c r="F28" s="79" t="str">
        <f>IF($C28&lt;=Entradas!$E$153,"",D28-E28)</f>
        <v/>
      </c>
      <c r="G28" s="79" t="str">
        <f>IF($C28&lt;=Entradas!$E$153,"",D28-AVERAGE(D:D))</f>
        <v/>
      </c>
      <c r="H28" s="79" t="str">
        <f>IF($C28&lt;=Entradas!$E$153,"",F28^2)</f>
        <v/>
      </c>
      <c r="I28" s="79" t="str">
        <f>IF($C28&lt;=Entradas!$E$153,"",G28^2)</f>
        <v/>
      </c>
      <c r="J28" s="79" t="str">
        <f>IF($C28&lt;=Entradas!$E$153,"",E28-AVERAGE(E:E))</f>
        <v/>
      </c>
      <c r="K28" s="79" t="str">
        <f>IF($C28&lt;=Entradas!$E$153,"",J28^2)</f>
        <v/>
      </c>
      <c r="L28" s="79" t="str">
        <f>IF($C28&lt;=Entradas!$E$153,"",G28*J28)</f>
        <v/>
      </c>
      <c r="M28" s="40"/>
    </row>
    <row r="29" spans="2:13">
      <c r="B29" s="39"/>
      <c r="C29" s="75">
        <v>24</v>
      </c>
      <c r="D29" s="110" t="str">
        <f>IF($C29&lt;=Entradas!$E$153,"",Observaciones!L29)</f>
        <v/>
      </c>
      <c r="E29" s="110" t="str">
        <f>IF($C29&lt;=Entradas!$E$153,"",Escenario1!BN30)</f>
        <v/>
      </c>
      <c r="F29" s="79" t="str">
        <f>IF($C29&lt;=Entradas!$E$153,"",D29-E29)</f>
        <v/>
      </c>
      <c r="G29" s="79" t="str">
        <f>IF($C29&lt;=Entradas!$E$153,"",D29-AVERAGE(D:D))</f>
        <v/>
      </c>
      <c r="H29" s="79" t="str">
        <f>IF($C29&lt;=Entradas!$E$153,"",F29^2)</f>
        <v/>
      </c>
      <c r="I29" s="79" t="str">
        <f>IF($C29&lt;=Entradas!$E$153,"",G29^2)</f>
        <v/>
      </c>
      <c r="J29" s="79" t="str">
        <f>IF($C29&lt;=Entradas!$E$153,"",E29-AVERAGE(E:E))</f>
        <v/>
      </c>
      <c r="K29" s="79" t="str">
        <f>IF($C29&lt;=Entradas!$E$153,"",J29^2)</f>
        <v/>
      </c>
      <c r="L29" s="79" t="str">
        <f>IF($C29&lt;=Entradas!$E$153,"",G29*J29)</f>
        <v/>
      </c>
      <c r="M29" s="40"/>
    </row>
    <row r="30" spans="2:13">
      <c r="B30" s="39"/>
      <c r="C30" s="75">
        <v>25</v>
      </c>
      <c r="D30" s="110" t="str">
        <f>IF($C30&lt;=Entradas!$E$153,"",Observaciones!L30)</f>
        <v/>
      </c>
      <c r="E30" s="110" t="str">
        <f>IF($C30&lt;=Entradas!$E$153,"",Escenario1!BN31)</f>
        <v/>
      </c>
      <c r="F30" s="79" t="str">
        <f>IF($C30&lt;=Entradas!$E$153,"",D30-E30)</f>
        <v/>
      </c>
      <c r="G30" s="79" t="str">
        <f>IF($C30&lt;=Entradas!$E$153,"",D30-AVERAGE(D:D))</f>
        <v/>
      </c>
      <c r="H30" s="79" t="str">
        <f>IF($C30&lt;=Entradas!$E$153,"",F30^2)</f>
        <v/>
      </c>
      <c r="I30" s="79" t="str">
        <f>IF($C30&lt;=Entradas!$E$153,"",G30^2)</f>
        <v/>
      </c>
      <c r="J30" s="79" t="str">
        <f>IF($C30&lt;=Entradas!$E$153,"",E30-AVERAGE(E:E))</f>
        <v/>
      </c>
      <c r="K30" s="79" t="str">
        <f>IF($C30&lt;=Entradas!$E$153,"",J30^2)</f>
        <v/>
      </c>
      <c r="L30" s="79" t="str">
        <f>IF($C30&lt;=Entradas!$E$153,"",G30*J30)</f>
        <v/>
      </c>
      <c r="M30" s="40"/>
    </row>
    <row r="31" spans="2:13">
      <c r="B31" s="39"/>
      <c r="C31" s="75">
        <v>26</v>
      </c>
      <c r="D31" s="110" t="str">
        <f>IF($C31&lt;=Entradas!$E$153,"",Observaciones!L31)</f>
        <v/>
      </c>
      <c r="E31" s="110" t="str">
        <f>IF($C31&lt;=Entradas!$E$153,"",Escenario1!BN32)</f>
        <v/>
      </c>
      <c r="F31" s="79" t="str">
        <f>IF($C31&lt;=Entradas!$E$153,"",D31-E31)</f>
        <v/>
      </c>
      <c r="G31" s="79" t="str">
        <f>IF($C31&lt;=Entradas!$E$153,"",D31-AVERAGE(D:D))</f>
        <v/>
      </c>
      <c r="H31" s="79" t="str">
        <f>IF($C31&lt;=Entradas!$E$153,"",F31^2)</f>
        <v/>
      </c>
      <c r="I31" s="79" t="str">
        <f>IF($C31&lt;=Entradas!$E$153,"",G31^2)</f>
        <v/>
      </c>
      <c r="J31" s="79" t="str">
        <f>IF($C31&lt;=Entradas!$E$153,"",E31-AVERAGE(E:E))</f>
        <v/>
      </c>
      <c r="K31" s="79" t="str">
        <f>IF($C31&lt;=Entradas!$E$153,"",J31^2)</f>
        <v/>
      </c>
      <c r="L31" s="79" t="str">
        <f>IF($C31&lt;=Entradas!$E$153,"",G31*J31)</f>
        <v/>
      </c>
      <c r="M31" s="40"/>
    </row>
    <row r="32" spans="2:13">
      <c r="B32" s="39"/>
      <c r="C32" s="75">
        <v>27</v>
      </c>
      <c r="D32" s="110" t="str">
        <f>IF($C32&lt;=Entradas!$E$153,"",Observaciones!L32)</f>
        <v/>
      </c>
      <c r="E32" s="110" t="str">
        <f>IF($C32&lt;=Entradas!$E$153,"",Escenario1!BN33)</f>
        <v/>
      </c>
      <c r="F32" s="79" t="str">
        <f>IF($C32&lt;=Entradas!$E$153,"",D32-E32)</f>
        <v/>
      </c>
      <c r="G32" s="79" t="str">
        <f>IF($C32&lt;=Entradas!$E$153,"",D32-AVERAGE(D:D))</f>
        <v/>
      </c>
      <c r="H32" s="79" t="str">
        <f>IF($C32&lt;=Entradas!$E$153,"",F32^2)</f>
        <v/>
      </c>
      <c r="I32" s="79" t="str">
        <f>IF($C32&lt;=Entradas!$E$153,"",G32^2)</f>
        <v/>
      </c>
      <c r="J32" s="79" t="str">
        <f>IF($C32&lt;=Entradas!$E$153,"",E32-AVERAGE(E:E))</f>
        <v/>
      </c>
      <c r="K32" s="79" t="str">
        <f>IF($C32&lt;=Entradas!$E$153,"",J32^2)</f>
        <v/>
      </c>
      <c r="L32" s="79" t="str">
        <f>IF($C32&lt;=Entradas!$E$153,"",G32*J32)</f>
        <v/>
      </c>
      <c r="M32" s="40"/>
    </row>
    <row r="33" spans="2:13">
      <c r="B33" s="39"/>
      <c r="C33" s="75">
        <v>28</v>
      </c>
      <c r="D33" s="110" t="str">
        <f>IF($C33&lt;=Entradas!$E$153,"",Observaciones!L33)</f>
        <v/>
      </c>
      <c r="E33" s="110" t="str">
        <f>IF($C33&lt;=Entradas!$E$153,"",Escenario1!BN34)</f>
        <v/>
      </c>
      <c r="F33" s="79" t="str">
        <f>IF($C33&lt;=Entradas!$E$153,"",D33-E33)</f>
        <v/>
      </c>
      <c r="G33" s="79" t="str">
        <f>IF($C33&lt;=Entradas!$E$153,"",D33-AVERAGE(D:D))</f>
        <v/>
      </c>
      <c r="H33" s="79" t="str">
        <f>IF($C33&lt;=Entradas!$E$153,"",F33^2)</f>
        <v/>
      </c>
      <c r="I33" s="79" t="str">
        <f>IF($C33&lt;=Entradas!$E$153,"",G33^2)</f>
        <v/>
      </c>
      <c r="J33" s="79" t="str">
        <f>IF($C33&lt;=Entradas!$E$153,"",E33-AVERAGE(E:E))</f>
        <v/>
      </c>
      <c r="K33" s="79" t="str">
        <f>IF($C33&lt;=Entradas!$E$153,"",J33^2)</f>
        <v/>
      </c>
      <c r="L33" s="79" t="str">
        <f>IF($C33&lt;=Entradas!$E$153,"",G33*J33)</f>
        <v/>
      </c>
      <c r="M33" s="40"/>
    </row>
    <row r="34" spans="2:13">
      <c r="B34" s="39"/>
      <c r="C34" s="75">
        <v>29</v>
      </c>
      <c r="D34" s="110" t="str">
        <f>IF($C34&lt;=Entradas!$E$153,"",Observaciones!L34)</f>
        <v/>
      </c>
      <c r="E34" s="110" t="str">
        <f>IF($C34&lt;=Entradas!$E$153,"",Escenario1!BN35)</f>
        <v/>
      </c>
      <c r="F34" s="79" t="str">
        <f>IF($C34&lt;=Entradas!$E$153,"",D34-E34)</f>
        <v/>
      </c>
      <c r="G34" s="79" t="str">
        <f>IF($C34&lt;=Entradas!$E$153,"",D34-AVERAGE(D:D))</f>
        <v/>
      </c>
      <c r="H34" s="79" t="str">
        <f>IF($C34&lt;=Entradas!$E$153,"",F34^2)</f>
        <v/>
      </c>
      <c r="I34" s="79" t="str">
        <f>IF($C34&lt;=Entradas!$E$153,"",G34^2)</f>
        <v/>
      </c>
      <c r="J34" s="79" t="str">
        <f>IF($C34&lt;=Entradas!$E$153,"",E34-AVERAGE(E:E))</f>
        <v/>
      </c>
      <c r="K34" s="79" t="str">
        <f>IF($C34&lt;=Entradas!$E$153,"",J34^2)</f>
        <v/>
      </c>
      <c r="L34" s="79" t="str">
        <f>IF($C34&lt;=Entradas!$E$153,"",G34*J34)</f>
        <v/>
      </c>
      <c r="M34" s="40"/>
    </row>
    <row r="35" spans="2:13">
      <c r="B35" s="39"/>
      <c r="C35" s="75">
        <v>30</v>
      </c>
      <c r="D35" s="110" t="str">
        <f>IF($C35&lt;=Entradas!$E$153,"",Observaciones!L35)</f>
        <v/>
      </c>
      <c r="E35" s="110" t="str">
        <f>IF($C35&lt;=Entradas!$E$153,"",Escenario1!BN36)</f>
        <v/>
      </c>
      <c r="F35" s="79" t="str">
        <f>IF($C35&lt;=Entradas!$E$153,"",D35-E35)</f>
        <v/>
      </c>
      <c r="G35" s="79" t="str">
        <f>IF($C35&lt;=Entradas!$E$153,"",D35-AVERAGE(D:D))</f>
        <v/>
      </c>
      <c r="H35" s="79" t="str">
        <f>IF($C35&lt;=Entradas!$E$153,"",F35^2)</f>
        <v/>
      </c>
      <c r="I35" s="79" t="str">
        <f>IF($C35&lt;=Entradas!$E$153,"",G35^2)</f>
        <v/>
      </c>
      <c r="J35" s="79" t="str">
        <f>IF($C35&lt;=Entradas!$E$153,"",E35-AVERAGE(E:E))</f>
        <v/>
      </c>
      <c r="K35" s="79" t="str">
        <f>IF($C35&lt;=Entradas!$E$153,"",J35^2)</f>
        <v/>
      </c>
      <c r="L35" s="79" t="str">
        <f>IF($C35&lt;=Entradas!$E$153,"",G35*J35)</f>
        <v/>
      </c>
      <c r="M35" s="40"/>
    </row>
    <row r="36" spans="2:13">
      <c r="B36" s="39"/>
      <c r="C36" s="75">
        <v>31</v>
      </c>
      <c r="D36" s="110" t="str">
        <f>IF($C36&lt;=Entradas!$E$153,"",Observaciones!L36)</f>
        <v/>
      </c>
      <c r="E36" s="110" t="str">
        <f>IF($C36&lt;=Entradas!$E$153,"",Escenario1!BN37)</f>
        <v/>
      </c>
      <c r="F36" s="79" t="str">
        <f>IF($C36&lt;=Entradas!$E$153,"",D36-E36)</f>
        <v/>
      </c>
      <c r="G36" s="79" t="str">
        <f>IF($C36&lt;=Entradas!$E$153,"",D36-AVERAGE(D:D))</f>
        <v/>
      </c>
      <c r="H36" s="79" t="str">
        <f>IF($C36&lt;=Entradas!$E$153,"",F36^2)</f>
        <v/>
      </c>
      <c r="I36" s="79" t="str">
        <f>IF($C36&lt;=Entradas!$E$153,"",G36^2)</f>
        <v/>
      </c>
      <c r="J36" s="79" t="str">
        <f>IF($C36&lt;=Entradas!$E$153,"",E36-AVERAGE(E:E))</f>
        <v/>
      </c>
      <c r="K36" s="79" t="str">
        <f>IF($C36&lt;=Entradas!$E$153,"",J36^2)</f>
        <v/>
      </c>
      <c r="L36" s="79" t="str">
        <f>IF($C36&lt;=Entradas!$E$153,"",G36*J36)</f>
        <v/>
      </c>
      <c r="M36" s="40"/>
    </row>
    <row r="37" spans="2:13">
      <c r="B37" s="39"/>
      <c r="C37" s="75">
        <v>32</v>
      </c>
      <c r="D37" s="110" t="str">
        <f>IF($C37&lt;=Entradas!$E$153,"",Observaciones!L37)</f>
        <v/>
      </c>
      <c r="E37" s="110" t="str">
        <f>IF($C37&lt;=Entradas!$E$153,"",Escenario1!BN38)</f>
        <v/>
      </c>
      <c r="F37" s="79" t="str">
        <f>IF($C37&lt;=Entradas!$E$153,"",D37-E37)</f>
        <v/>
      </c>
      <c r="G37" s="79" t="str">
        <f>IF($C37&lt;=Entradas!$E$153,"",D37-AVERAGE(D:D))</f>
        <v/>
      </c>
      <c r="H37" s="79" t="str">
        <f>IF($C37&lt;=Entradas!$E$153,"",F37^2)</f>
        <v/>
      </c>
      <c r="I37" s="79" t="str">
        <f>IF($C37&lt;=Entradas!$E$153,"",G37^2)</f>
        <v/>
      </c>
      <c r="J37" s="79" t="str">
        <f>IF($C37&lt;=Entradas!$E$153,"",E37-AVERAGE(E:E))</f>
        <v/>
      </c>
      <c r="K37" s="79" t="str">
        <f>IF($C37&lt;=Entradas!$E$153,"",J37^2)</f>
        <v/>
      </c>
      <c r="L37" s="79" t="str">
        <f>IF($C37&lt;=Entradas!$E$153,"",G37*J37)</f>
        <v/>
      </c>
      <c r="M37" s="40"/>
    </row>
    <row r="38" spans="2:13">
      <c r="B38" s="39"/>
      <c r="C38" s="75">
        <v>33</v>
      </c>
      <c r="D38" s="110" t="str">
        <f>IF($C38&lt;=Entradas!$E$153,"",Observaciones!L38)</f>
        <v/>
      </c>
      <c r="E38" s="110" t="str">
        <f>IF($C38&lt;=Entradas!$E$153,"",Escenario1!BN39)</f>
        <v/>
      </c>
      <c r="F38" s="79" t="str">
        <f>IF($C38&lt;=Entradas!$E$153,"",D38-E38)</f>
        <v/>
      </c>
      <c r="G38" s="79" t="str">
        <f>IF($C38&lt;=Entradas!$E$153,"",D38-AVERAGE(D:D))</f>
        <v/>
      </c>
      <c r="H38" s="79" t="str">
        <f>IF($C38&lt;=Entradas!$E$153,"",F38^2)</f>
        <v/>
      </c>
      <c r="I38" s="79" t="str">
        <f>IF($C38&lt;=Entradas!$E$153,"",G38^2)</f>
        <v/>
      </c>
      <c r="J38" s="79" t="str">
        <f>IF($C38&lt;=Entradas!$E$153,"",E38-AVERAGE(E:E))</f>
        <v/>
      </c>
      <c r="K38" s="79" t="str">
        <f>IF($C38&lt;=Entradas!$E$153,"",J38^2)</f>
        <v/>
      </c>
      <c r="L38" s="79" t="str">
        <f>IF($C38&lt;=Entradas!$E$153,"",G38*J38)</f>
        <v/>
      </c>
      <c r="M38" s="40"/>
    </row>
    <row r="39" spans="2:13">
      <c r="B39" s="39"/>
      <c r="C39" s="75">
        <v>34</v>
      </c>
      <c r="D39" s="110" t="str">
        <f>IF($C39&lt;=Entradas!$E$153,"",Observaciones!L39)</f>
        <v/>
      </c>
      <c r="E39" s="110" t="str">
        <f>IF($C39&lt;=Entradas!$E$153,"",Escenario1!BN40)</f>
        <v/>
      </c>
      <c r="F39" s="79" t="str">
        <f>IF($C39&lt;=Entradas!$E$153,"",D39-E39)</f>
        <v/>
      </c>
      <c r="G39" s="79" t="str">
        <f>IF($C39&lt;=Entradas!$E$153,"",D39-AVERAGE(D:D))</f>
        <v/>
      </c>
      <c r="H39" s="79" t="str">
        <f>IF($C39&lt;=Entradas!$E$153,"",F39^2)</f>
        <v/>
      </c>
      <c r="I39" s="79" t="str">
        <f>IF($C39&lt;=Entradas!$E$153,"",G39^2)</f>
        <v/>
      </c>
      <c r="J39" s="79" t="str">
        <f>IF($C39&lt;=Entradas!$E$153,"",E39-AVERAGE(E:E))</f>
        <v/>
      </c>
      <c r="K39" s="79" t="str">
        <f>IF($C39&lt;=Entradas!$E$153,"",J39^2)</f>
        <v/>
      </c>
      <c r="L39" s="79" t="str">
        <f>IF($C39&lt;=Entradas!$E$153,"",G39*J39)</f>
        <v/>
      </c>
      <c r="M39" s="40"/>
    </row>
    <row r="40" spans="2:13">
      <c r="B40" s="39"/>
      <c r="C40" s="75">
        <v>35</v>
      </c>
      <c r="D40" s="110" t="str">
        <f>IF($C40&lt;=Entradas!$E$153,"",Observaciones!L40)</f>
        <v/>
      </c>
      <c r="E40" s="110" t="str">
        <f>IF($C40&lt;=Entradas!$E$153,"",Escenario1!BN41)</f>
        <v/>
      </c>
      <c r="F40" s="79" t="str">
        <f>IF($C40&lt;=Entradas!$E$153,"",D40-E40)</f>
        <v/>
      </c>
      <c r="G40" s="79" t="str">
        <f>IF($C40&lt;=Entradas!$E$153,"",D40-AVERAGE(D:D))</f>
        <v/>
      </c>
      <c r="H40" s="79" t="str">
        <f>IF($C40&lt;=Entradas!$E$153,"",F40^2)</f>
        <v/>
      </c>
      <c r="I40" s="79" t="str">
        <f>IF($C40&lt;=Entradas!$E$153,"",G40^2)</f>
        <v/>
      </c>
      <c r="J40" s="79" t="str">
        <f>IF($C40&lt;=Entradas!$E$153,"",E40-AVERAGE(E:E))</f>
        <v/>
      </c>
      <c r="K40" s="79" t="str">
        <f>IF($C40&lt;=Entradas!$E$153,"",J40^2)</f>
        <v/>
      </c>
      <c r="L40" s="79" t="str">
        <f>IF($C40&lt;=Entradas!$E$153,"",G40*J40)</f>
        <v/>
      </c>
      <c r="M40" s="40"/>
    </row>
    <row r="41" spans="2:13">
      <c r="B41" s="39"/>
      <c r="C41" s="75">
        <v>36</v>
      </c>
      <c r="D41" s="110" t="str">
        <f>IF($C41&lt;=Entradas!$E$153,"",Observaciones!L41)</f>
        <v/>
      </c>
      <c r="E41" s="110" t="str">
        <f>IF($C41&lt;=Entradas!$E$153,"",Escenario1!BN42)</f>
        <v/>
      </c>
      <c r="F41" s="79" t="str">
        <f>IF($C41&lt;=Entradas!$E$153,"",D41-E41)</f>
        <v/>
      </c>
      <c r="G41" s="79" t="str">
        <f>IF($C41&lt;=Entradas!$E$153,"",D41-AVERAGE(D:D))</f>
        <v/>
      </c>
      <c r="H41" s="79" t="str">
        <f>IF($C41&lt;=Entradas!$E$153,"",F41^2)</f>
        <v/>
      </c>
      <c r="I41" s="79" t="str">
        <f>IF($C41&lt;=Entradas!$E$153,"",G41^2)</f>
        <v/>
      </c>
      <c r="J41" s="79" t="str">
        <f>IF($C41&lt;=Entradas!$E$153,"",E41-AVERAGE(E:E))</f>
        <v/>
      </c>
      <c r="K41" s="79" t="str">
        <f>IF($C41&lt;=Entradas!$E$153,"",J41^2)</f>
        <v/>
      </c>
      <c r="L41" s="79" t="str">
        <f>IF($C41&lt;=Entradas!$E$153,"",G41*J41)</f>
        <v/>
      </c>
      <c r="M41" s="40"/>
    </row>
    <row r="42" spans="2:13">
      <c r="B42" s="39"/>
      <c r="C42" s="75">
        <v>37</v>
      </c>
      <c r="D42" s="110" t="str">
        <f>IF($C42&lt;=Entradas!$E$153,"",Observaciones!L42)</f>
        <v/>
      </c>
      <c r="E42" s="110" t="str">
        <f>IF($C42&lt;=Entradas!$E$153,"",Escenario1!BN43)</f>
        <v/>
      </c>
      <c r="F42" s="79" t="str">
        <f>IF($C42&lt;=Entradas!$E$153,"",D42-E42)</f>
        <v/>
      </c>
      <c r="G42" s="79" t="str">
        <f>IF($C42&lt;=Entradas!$E$153,"",D42-AVERAGE(D:D))</f>
        <v/>
      </c>
      <c r="H42" s="79" t="str">
        <f>IF($C42&lt;=Entradas!$E$153,"",F42^2)</f>
        <v/>
      </c>
      <c r="I42" s="79" t="str">
        <f>IF($C42&lt;=Entradas!$E$153,"",G42^2)</f>
        <v/>
      </c>
      <c r="J42" s="79" t="str">
        <f>IF($C42&lt;=Entradas!$E$153,"",E42-AVERAGE(E:E))</f>
        <v/>
      </c>
      <c r="K42" s="79" t="str">
        <f>IF($C42&lt;=Entradas!$E$153,"",J42^2)</f>
        <v/>
      </c>
      <c r="L42" s="79" t="str">
        <f>IF($C42&lt;=Entradas!$E$153,"",G42*J42)</f>
        <v/>
      </c>
      <c r="M42" s="40"/>
    </row>
    <row r="43" spans="2:13">
      <c r="B43" s="39"/>
      <c r="C43" s="75">
        <v>38</v>
      </c>
      <c r="D43" s="110" t="str">
        <f>IF($C43&lt;=Entradas!$E$153,"",Observaciones!L43)</f>
        <v/>
      </c>
      <c r="E43" s="110" t="str">
        <f>IF($C43&lt;=Entradas!$E$153,"",Escenario1!BN44)</f>
        <v/>
      </c>
      <c r="F43" s="79" t="str">
        <f>IF($C43&lt;=Entradas!$E$153,"",D43-E43)</f>
        <v/>
      </c>
      <c r="G43" s="79" t="str">
        <f>IF($C43&lt;=Entradas!$E$153,"",D43-AVERAGE(D:D))</f>
        <v/>
      </c>
      <c r="H43" s="79" t="str">
        <f>IF($C43&lt;=Entradas!$E$153,"",F43^2)</f>
        <v/>
      </c>
      <c r="I43" s="79" t="str">
        <f>IF($C43&lt;=Entradas!$E$153,"",G43^2)</f>
        <v/>
      </c>
      <c r="J43" s="79" t="str">
        <f>IF($C43&lt;=Entradas!$E$153,"",E43-AVERAGE(E:E))</f>
        <v/>
      </c>
      <c r="K43" s="79" t="str">
        <f>IF($C43&lt;=Entradas!$E$153,"",J43^2)</f>
        <v/>
      </c>
      <c r="L43" s="79" t="str">
        <f>IF($C43&lt;=Entradas!$E$153,"",G43*J43)</f>
        <v/>
      </c>
      <c r="M43" s="40"/>
    </row>
    <row r="44" spans="2:13">
      <c r="B44" s="39"/>
      <c r="C44" s="75">
        <v>39</v>
      </c>
      <c r="D44" s="110" t="str">
        <f>IF($C44&lt;=Entradas!$E$153,"",Observaciones!L44)</f>
        <v/>
      </c>
      <c r="E44" s="110" t="str">
        <f>IF($C44&lt;=Entradas!$E$153,"",Escenario1!BN45)</f>
        <v/>
      </c>
      <c r="F44" s="79" t="str">
        <f>IF($C44&lt;=Entradas!$E$153,"",D44-E44)</f>
        <v/>
      </c>
      <c r="G44" s="79" t="str">
        <f>IF($C44&lt;=Entradas!$E$153,"",D44-AVERAGE(D:D))</f>
        <v/>
      </c>
      <c r="H44" s="79" t="str">
        <f>IF($C44&lt;=Entradas!$E$153,"",F44^2)</f>
        <v/>
      </c>
      <c r="I44" s="79" t="str">
        <f>IF($C44&lt;=Entradas!$E$153,"",G44^2)</f>
        <v/>
      </c>
      <c r="J44" s="79" t="str">
        <f>IF($C44&lt;=Entradas!$E$153,"",E44-AVERAGE(E:E))</f>
        <v/>
      </c>
      <c r="K44" s="79" t="str">
        <f>IF($C44&lt;=Entradas!$E$153,"",J44^2)</f>
        <v/>
      </c>
      <c r="L44" s="79" t="str">
        <f>IF($C44&lt;=Entradas!$E$153,"",G44*J44)</f>
        <v/>
      </c>
      <c r="M44" s="40"/>
    </row>
    <row r="45" spans="2:13">
      <c r="B45" s="39"/>
      <c r="C45" s="75">
        <v>40</v>
      </c>
      <c r="D45" s="110" t="str">
        <f>IF($C45&lt;=Entradas!$E$153,"",Observaciones!L45)</f>
        <v/>
      </c>
      <c r="E45" s="110" t="str">
        <f>IF($C45&lt;=Entradas!$E$153,"",Escenario1!BN46)</f>
        <v/>
      </c>
      <c r="F45" s="79" t="str">
        <f>IF($C45&lt;=Entradas!$E$153,"",D45-E45)</f>
        <v/>
      </c>
      <c r="G45" s="79" t="str">
        <f>IF($C45&lt;=Entradas!$E$153,"",D45-AVERAGE(D:D))</f>
        <v/>
      </c>
      <c r="H45" s="79" t="str">
        <f>IF($C45&lt;=Entradas!$E$153,"",F45^2)</f>
        <v/>
      </c>
      <c r="I45" s="79" t="str">
        <f>IF($C45&lt;=Entradas!$E$153,"",G45^2)</f>
        <v/>
      </c>
      <c r="J45" s="79" t="str">
        <f>IF($C45&lt;=Entradas!$E$153,"",E45-AVERAGE(E:E))</f>
        <v/>
      </c>
      <c r="K45" s="79" t="str">
        <f>IF($C45&lt;=Entradas!$E$153,"",J45^2)</f>
        <v/>
      </c>
      <c r="L45" s="79" t="str">
        <f>IF($C45&lt;=Entradas!$E$153,"",G45*J45)</f>
        <v/>
      </c>
      <c r="M45" s="40"/>
    </row>
    <row r="46" spans="2:13">
      <c r="B46" s="39"/>
      <c r="C46" s="75">
        <v>41</v>
      </c>
      <c r="D46" s="110" t="str">
        <f>IF($C46&lt;=Entradas!$E$153,"",Observaciones!L46)</f>
        <v/>
      </c>
      <c r="E46" s="110" t="str">
        <f>IF($C46&lt;=Entradas!$E$153,"",Escenario1!BN47)</f>
        <v/>
      </c>
      <c r="F46" s="79" t="str">
        <f>IF($C46&lt;=Entradas!$E$153,"",D46-E46)</f>
        <v/>
      </c>
      <c r="G46" s="79" t="str">
        <f>IF($C46&lt;=Entradas!$E$153,"",D46-AVERAGE(D:D))</f>
        <v/>
      </c>
      <c r="H46" s="79" t="str">
        <f>IF($C46&lt;=Entradas!$E$153,"",F46^2)</f>
        <v/>
      </c>
      <c r="I46" s="79" t="str">
        <f>IF($C46&lt;=Entradas!$E$153,"",G46^2)</f>
        <v/>
      </c>
      <c r="J46" s="79" t="str">
        <f>IF($C46&lt;=Entradas!$E$153,"",E46-AVERAGE(E:E))</f>
        <v/>
      </c>
      <c r="K46" s="79" t="str">
        <f>IF($C46&lt;=Entradas!$E$153,"",J46^2)</f>
        <v/>
      </c>
      <c r="L46" s="79" t="str">
        <f>IF($C46&lt;=Entradas!$E$153,"",G46*J46)</f>
        <v/>
      </c>
      <c r="M46" s="40"/>
    </row>
    <row r="47" spans="2:13">
      <c r="B47" s="39"/>
      <c r="C47" s="75">
        <v>42</v>
      </c>
      <c r="D47" s="110" t="str">
        <f>IF($C47&lt;=Entradas!$E$153,"",Observaciones!L47)</f>
        <v/>
      </c>
      <c r="E47" s="110" t="str">
        <f>IF($C47&lt;=Entradas!$E$153,"",Escenario1!BN48)</f>
        <v/>
      </c>
      <c r="F47" s="79" t="str">
        <f>IF($C47&lt;=Entradas!$E$153,"",D47-E47)</f>
        <v/>
      </c>
      <c r="G47" s="79" t="str">
        <f>IF($C47&lt;=Entradas!$E$153,"",D47-AVERAGE(D:D))</f>
        <v/>
      </c>
      <c r="H47" s="79" t="str">
        <f>IF($C47&lt;=Entradas!$E$153,"",F47^2)</f>
        <v/>
      </c>
      <c r="I47" s="79" t="str">
        <f>IF($C47&lt;=Entradas!$E$153,"",G47^2)</f>
        <v/>
      </c>
      <c r="J47" s="79" t="str">
        <f>IF($C47&lt;=Entradas!$E$153,"",E47-AVERAGE(E:E))</f>
        <v/>
      </c>
      <c r="K47" s="79" t="str">
        <f>IF($C47&lt;=Entradas!$E$153,"",J47^2)</f>
        <v/>
      </c>
      <c r="L47" s="79" t="str">
        <f>IF($C47&lt;=Entradas!$E$153,"",G47*J47)</f>
        <v/>
      </c>
      <c r="M47" s="40"/>
    </row>
    <row r="48" spans="2:13">
      <c r="B48" s="39"/>
      <c r="C48" s="75">
        <v>43</v>
      </c>
      <c r="D48" s="110" t="str">
        <f>IF($C48&lt;=Entradas!$E$153,"",Observaciones!L48)</f>
        <v/>
      </c>
      <c r="E48" s="110" t="str">
        <f>IF($C48&lt;=Entradas!$E$153,"",Escenario1!BN49)</f>
        <v/>
      </c>
      <c r="F48" s="79" t="str">
        <f>IF($C48&lt;=Entradas!$E$153,"",D48-E48)</f>
        <v/>
      </c>
      <c r="G48" s="79" t="str">
        <f>IF($C48&lt;=Entradas!$E$153,"",D48-AVERAGE(D:D))</f>
        <v/>
      </c>
      <c r="H48" s="79" t="str">
        <f>IF($C48&lt;=Entradas!$E$153,"",F48^2)</f>
        <v/>
      </c>
      <c r="I48" s="79" t="str">
        <f>IF($C48&lt;=Entradas!$E$153,"",G48^2)</f>
        <v/>
      </c>
      <c r="J48" s="79" t="str">
        <f>IF($C48&lt;=Entradas!$E$153,"",E48-AVERAGE(E:E))</f>
        <v/>
      </c>
      <c r="K48" s="79" t="str">
        <f>IF($C48&lt;=Entradas!$E$153,"",J48^2)</f>
        <v/>
      </c>
      <c r="L48" s="79" t="str">
        <f>IF($C48&lt;=Entradas!$E$153,"",G48*J48)</f>
        <v/>
      </c>
      <c r="M48" s="40"/>
    </row>
    <row r="49" spans="2:13">
      <c r="B49" s="39"/>
      <c r="C49" s="75">
        <v>44</v>
      </c>
      <c r="D49" s="110" t="str">
        <f>IF($C49&lt;=Entradas!$E$153,"",Observaciones!L49)</f>
        <v/>
      </c>
      <c r="E49" s="110" t="str">
        <f>IF($C49&lt;=Entradas!$E$153,"",Escenario1!BN50)</f>
        <v/>
      </c>
      <c r="F49" s="79" t="str">
        <f>IF($C49&lt;=Entradas!$E$153,"",D49-E49)</f>
        <v/>
      </c>
      <c r="G49" s="79" t="str">
        <f>IF($C49&lt;=Entradas!$E$153,"",D49-AVERAGE(D:D))</f>
        <v/>
      </c>
      <c r="H49" s="79" t="str">
        <f>IF($C49&lt;=Entradas!$E$153,"",F49^2)</f>
        <v/>
      </c>
      <c r="I49" s="79" t="str">
        <f>IF($C49&lt;=Entradas!$E$153,"",G49^2)</f>
        <v/>
      </c>
      <c r="J49" s="79" t="str">
        <f>IF($C49&lt;=Entradas!$E$153,"",E49-AVERAGE(E:E))</f>
        <v/>
      </c>
      <c r="K49" s="79" t="str">
        <f>IF($C49&lt;=Entradas!$E$153,"",J49^2)</f>
        <v/>
      </c>
      <c r="L49" s="79" t="str">
        <f>IF($C49&lt;=Entradas!$E$153,"",G49*J49)</f>
        <v/>
      </c>
      <c r="M49" s="40"/>
    </row>
    <row r="50" spans="2:13">
      <c r="B50" s="39"/>
      <c r="C50" s="75">
        <v>45</v>
      </c>
      <c r="D50" s="110" t="str">
        <f>IF($C50&lt;=Entradas!$E$153,"",Observaciones!L50)</f>
        <v/>
      </c>
      <c r="E50" s="110" t="str">
        <f>IF($C50&lt;=Entradas!$E$153,"",Escenario1!BN51)</f>
        <v/>
      </c>
      <c r="F50" s="79" t="str">
        <f>IF($C50&lt;=Entradas!$E$153,"",D50-E50)</f>
        <v/>
      </c>
      <c r="G50" s="79" t="str">
        <f>IF($C50&lt;=Entradas!$E$153,"",D50-AVERAGE(D:D))</f>
        <v/>
      </c>
      <c r="H50" s="79" t="str">
        <f>IF($C50&lt;=Entradas!$E$153,"",F50^2)</f>
        <v/>
      </c>
      <c r="I50" s="79" t="str">
        <f>IF($C50&lt;=Entradas!$E$153,"",G50^2)</f>
        <v/>
      </c>
      <c r="J50" s="79" t="str">
        <f>IF($C50&lt;=Entradas!$E$153,"",E50-AVERAGE(E:E))</f>
        <v/>
      </c>
      <c r="K50" s="79" t="str">
        <f>IF($C50&lt;=Entradas!$E$153,"",J50^2)</f>
        <v/>
      </c>
      <c r="L50" s="79" t="str">
        <f>IF($C50&lt;=Entradas!$E$153,"",G50*J50)</f>
        <v/>
      </c>
      <c r="M50" s="40"/>
    </row>
    <row r="51" spans="2:13">
      <c r="B51" s="39"/>
      <c r="C51" s="75">
        <v>46</v>
      </c>
      <c r="D51" s="110" t="str">
        <f>IF($C51&lt;=Entradas!$E$153,"",Observaciones!L51)</f>
        <v/>
      </c>
      <c r="E51" s="110" t="str">
        <f>IF($C51&lt;=Entradas!$E$153,"",Escenario1!BN52)</f>
        <v/>
      </c>
      <c r="F51" s="79" t="str">
        <f>IF($C51&lt;=Entradas!$E$153,"",D51-E51)</f>
        <v/>
      </c>
      <c r="G51" s="79" t="str">
        <f>IF($C51&lt;=Entradas!$E$153,"",D51-AVERAGE(D:D))</f>
        <v/>
      </c>
      <c r="H51" s="79" t="str">
        <f>IF($C51&lt;=Entradas!$E$153,"",F51^2)</f>
        <v/>
      </c>
      <c r="I51" s="79" t="str">
        <f>IF($C51&lt;=Entradas!$E$153,"",G51^2)</f>
        <v/>
      </c>
      <c r="J51" s="79" t="str">
        <f>IF($C51&lt;=Entradas!$E$153,"",E51-AVERAGE(E:E))</f>
        <v/>
      </c>
      <c r="K51" s="79" t="str">
        <f>IF($C51&lt;=Entradas!$E$153,"",J51^2)</f>
        <v/>
      </c>
      <c r="L51" s="79" t="str">
        <f>IF($C51&lt;=Entradas!$E$153,"",G51*J51)</f>
        <v/>
      </c>
      <c r="M51" s="40"/>
    </row>
    <row r="52" spans="2:13">
      <c r="B52" s="39"/>
      <c r="C52" s="75">
        <v>47</v>
      </c>
      <c r="D52" s="110" t="str">
        <f>IF($C52&lt;=Entradas!$E$153,"",Observaciones!L52)</f>
        <v/>
      </c>
      <c r="E52" s="110" t="str">
        <f>IF($C52&lt;=Entradas!$E$153,"",Escenario1!BN53)</f>
        <v/>
      </c>
      <c r="F52" s="79" t="str">
        <f>IF($C52&lt;=Entradas!$E$153,"",D52-E52)</f>
        <v/>
      </c>
      <c r="G52" s="79" t="str">
        <f>IF($C52&lt;=Entradas!$E$153,"",D52-AVERAGE(D:D))</f>
        <v/>
      </c>
      <c r="H52" s="79" t="str">
        <f>IF($C52&lt;=Entradas!$E$153,"",F52^2)</f>
        <v/>
      </c>
      <c r="I52" s="79" t="str">
        <f>IF($C52&lt;=Entradas!$E$153,"",G52^2)</f>
        <v/>
      </c>
      <c r="J52" s="79" t="str">
        <f>IF($C52&lt;=Entradas!$E$153,"",E52-AVERAGE(E:E))</f>
        <v/>
      </c>
      <c r="K52" s="79" t="str">
        <f>IF($C52&lt;=Entradas!$E$153,"",J52^2)</f>
        <v/>
      </c>
      <c r="L52" s="79" t="str">
        <f>IF($C52&lt;=Entradas!$E$153,"",G52*J52)</f>
        <v/>
      </c>
      <c r="M52" s="40"/>
    </row>
    <row r="53" spans="2:13">
      <c r="B53" s="39"/>
      <c r="C53" s="75">
        <v>48</v>
      </c>
      <c r="D53" s="110" t="str">
        <f>IF($C53&lt;=Entradas!$E$153,"",Observaciones!L53)</f>
        <v/>
      </c>
      <c r="E53" s="110" t="str">
        <f>IF($C53&lt;=Entradas!$E$153,"",Escenario1!BN54)</f>
        <v/>
      </c>
      <c r="F53" s="79" t="str">
        <f>IF($C53&lt;=Entradas!$E$153,"",D53-E53)</f>
        <v/>
      </c>
      <c r="G53" s="79" t="str">
        <f>IF($C53&lt;=Entradas!$E$153,"",D53-AVERAGE(D:D))</f>
        <v/>
      </c>
      <c r="H53" s="79" t="str">
        <f>IF($C53&lt;=Entradas!$E$153,"",F53^2)</f>
        <v/>
      </c>
      <c r="I53" s="79" t="str">
        <f>IF($C53&lt;=Entradas!$E$153,"",G53^2)</f>
        <v/>
      </c>
      <c r="J53" s="79" t="str">
        <f>IF($C53&lt;=Entradas!$E$153,"",E53-AVERAGE(E:E))</f>
        <v/>
      </c>
      <c r="K53" s="79" t="str">
        <f>IF($C53&lt;=Entradas!$E$153,"",J53^2)</f>
        <v/>
      </c>
      <c r="L53" s="79" t="str">
        <f>IF($C53&lt;=Entradas!$E$153,"",G53*J53)</f>
        <v/>
      </c>
      <c r="M53" s="40"/>
    </row>
    <row r="54" spans="2:13">
      <c r="B54" s="39"/>
      <c r="C54" s="75">
        <v>49</v>
      </c>
      <c r="D54" s="110" t="str">
        <f>IF($C54&lt;=Entradas!$E$153,"",Observaciones!L54)</f>
        <v/>
      </c>
      <c r="E54" s="110" t="str">
        <f>IF($C54&lt;=Entradas!$E$153,"",Escenario1!BN55)</f>
        <v/>
      </c>
      <c r="F54" s="79" t="str">
        <f>IF($C54&lt;=Entradas!$E$153,"",D54-E54)</f>
        <v/>
      </c>
      <c r="G54" s="79" t="str">
        <f>IF($C54&lt;=Entradas!$E$153,"",D54-AVERAGE(D:D))</f>
        <v/>
      </c>
      <c r="H54" s="79" t="str">
        <f>IF($C54&lt;=Entradas!$E$153,"",F54^2)</f>
        <v/>
      </c>
      <c r="I54" s="79" t="str">
        <f>IF($C54&lt;=Entradas!$E$153,"",G54^2)</f>
        <v/>
      </c>
      <c r="J54" s="79" t="str">
        <f>IF($C54&lt;=Entradas!$E$153,"",E54-AVERAGE(E:E))</f>
        <v/>
      </c>
      <c r="K54" s="79" t="str">
        <f>IF($C54&lt;=Entradas!$E$153,"",J54^2)</f>
        <v/>
      </c>
      <c r="L54" s="79" t="str">
        <f>IF($C54&lt;=Entradas!$E$153,"",G54*J54)</f>
        <v/>
      </c>
      <c r="M54" s="40"/>
    </row>
    <row r="55" spans="2:13">
      <c r="B55" s="39"/>
      <c r="C55" s="75">
        <v>50</v>
      </c>
      <c r="D55" s="110" t="str">
        <f>IF($C55&lt;=Entradas!$E$153,"",Observaciones!L55)</f>
        <v/>
      </c>
      <c r="E55" s="110" t="str">
        <f>IF($C55&lt;=Entradas!$E$153,"",Escenario1!BN56)</f>
        <v/>
      </c>
      <c r="F55" s="79" t="str">
        <f>IF($C55&lt;=Entradas!$E$153,"",D55-E55)</f>
        <v/>
      </c>
      <c r="G55" s="79" t="str">
        <f>IF($C55&lt;=Entradas!$E$153,"",D55-AVERAGE(D:D))</f>
        <v/>
      </c>
      <c r="H55" s="79" t="str">
        <f>IF($C55&lt;=Entradas!$E$153,"",F55^2)</f>
        <v/>
      </c>
      <c r="I55" s="79" t="str">
        <f>IF($C55&lt;=Entradas!$E$153,"",G55^2)</f>
        <v/>
      </c>
      <c r="J55" s="79" t="str">
        <f>IF($C55&lt;=Entradas!$E$153,"",E55-AVERAGE(E:E))</f>
        <v/>
      </c>
      <c r="K55" s="79" t="str">
        <f>IF($C55&lt;=Entradas!$E$153,"",J55^2)</f>
        <v/>
      </c>
      <c r="L55" s="79" t="str">
        <f>IF($C55&lt;=Entradas!$E$153,"",G55*J55)</f>
        <v/>
      </c>
      <c r="M55" s="40"/>
    </row>
    <row r="56" spans="2:13">
      <c r="B56" s="39"/>
      <c r="C56" s="75">
        <v>51</v>
      </c>
      <c r="D56" s="110" t="str">
        <f>IF($C56&lt;=Entradas!$E$153,"",Observaciones!L56)</f>
        <v/>
      </c>
      <c r="E56" s="110" t="str">
        <f>IF($C56&lt;=Entradas!$E$153,"",Escenario1!BN57)</f>
        <v/>
      </c>
      <c r="F56" s="79" t="str">
        <f>IF($C56&lt;=Entradas!$E$153,"",D56-E56)</f>
        <v/>
      </c>
      <c r="G56" s="79" t="str">
        <f>IF($C56&lt;=Entradas!$E$153,"",D56-AVERAGE(D:D))</f>
        <v/>
      </c>
      <c r="H56" s="79" t="str">
        <f>IF($C56&lt;=Entradas!$E$153,"",F56^2)</f>
        <v/>
      </c>
      <c r="I56" s="79" t="str">
        <f>IF($C56&lt;=Entradas!$E$153,"",G56^2)</f>
        <v/>
      </c>
      <c r="J56" s="79" t="str">
        <f>IF($C56&lt;=Entradas!$E$153,"",E56-AVERAGE(E:E))</f>
        <v/>
      </c>
      <c r="K56" s="79" t="str">
        <f>IF($C56&lt;=Entradas!$E$153,"",J56^2)</f>
        <v/>
      </c>
      <c r="L56" s="79" t="str">
        <f>IF($C56&lt;=Entradas!$E$153,"",G56*J56)</f>
        <v/>
      </c>
      <c r="M56" s="40"/>
    </row>
    <row r="57" spans="2:13">
      <c r="B57" s="39"/>
      <c r="C57" s="75">
        <v>52</v>
      </c>
      <c r="D57" s="110" t="str">
        <f>IF($C57&lt;=Entradas!$E$153,"",Observaciones!L57)</f>
        <v/>
      </c>
      <c r="E57" s="110" t="str">
        <f>IF($C57&lt;=Entradas!$E$153,"",Escenario1!BN58)</f>
        <v/>
      </c>
      <c r="F57" s="79" t="str">
        <f>IF($C57&lt;=Entradas!$E$153,"",D57-E57)</f>
        <v/>
      </c>
      <c r="G57" s="79" t="str">
        <f>IF($C57&lt;=Entradas!$E$153,"",D57-AVERAGE(D:D))</f>
        <v/>
      </c>
      <c r="H57" s="79" t="str">
        <f>IF($C57&lt;=Entradas!$E$153,"",F57^2)</f>
        <v/>
      </c>
      <c r="I57" s="79" t="str">
        <f>IF($C57&lt;=Entradas!$E$153,"",G57^2)</f>
        <v/>
      </c>
      <c r="J57" s="79" t="str">
        <f>IF($C57&lt;=Entradas!$E$153,"",E57-AVERAGE(E:E))</f>
        <v/>
      </c>
      <c r="K57" s="79" t="str">
        <f>IF($C57&lt;=Entradas!$E$153,"",J57^2)</f>
        <v/>
      </c>
      <c r="L57" s="79" t="str">
        <f>IF($C57&lt;=Entradas!$E$153,"",G57*J57)</f>
        <v/>
      </c>
      <c r="M57" s="40"/>
    </row>
    <row r="58" spans="2:13">
      <c r="B58" s="39"/>
      <c r="C58" s="75">
        <v>53</v>
      </c>
      <c r="D58" s="110" t="str">
        <f>IF($C58&lt;=Entradas!$E$153,"",Observaciones!L58)</f>
        <v/>
      </c>
      <c r="E58" s="110" t="str">
        <f>IF($C58&lt;=Entradas!$E$153,"",Escenario1!BN59)</f>
        <v/>
      </c>
      <c r="F58" s="79" t="str">
        <f>IF($C58&lt;=Entradas!$E$153,"",D58-E58)</f>
        <v/>
      </c>
      <c r="G58" s="79" t="str">
        <f>IF($C58&lt;=Entradas!$E$153,"",D58-AVERAGE(D:D))</f>
        <v/>
      </c>
      <c r="H58" s="79" t="str">
        <f>IF($C58&lt;=Entradas!$E$153,"",F58^2)</f>
        <v/>
      </c>
      <c r="I58" s="79" t="str">
        <f>IF($C58&lt;=Entradas!$E$153,"",G58^2)</f>
        <v/>
      </c>
      <c r="J58" s="79" t="str">
        <f>IF($C58&lt;=Entradas!$E$153,"",E58-AVERAGE(E:E))</f>
        <v/>
      </c>
      <c r="K58" s="79" t="str">
        <f>IF($C58&lt;=Entradas!$E$153,"",J58^2)</f>
        <v/>
      </c>
      <c r="L58" s="79" t="str">
        <f>IF($C58&lt;=Entradas!$E$153,"",G58*J58)</f>
        <v/>
      </c>
      <c r="M58" s="40"/>
    </row>
    <row r="59" spans="2:13">
      <c r="B59" s="39"/>
      <c r="C59" s="75">
        <v>54</v>
      </c>
      <c r="D59" s="110" t="str">
        <f>IF($C59&lt;=Entradas!$E$153,"",Observaciones!L59)</f>
        <v/>
      </c>
      <c r="E59" s="110" t="str">
        <f>IF($C59&lt;=Entradas!$E$153,"",Escenario1!BN60)</f>
        <v/>
      </c>
      <c r="F59" s="79" t="str">
        <f>IF($C59&lt;=Entradas!$E$153,"",D59-E59)</f>
        <v/>
      </c>
      <c r="G59" s="79" t="str">
        <f>IF($C59&lt;=Entradas!$E$153,"",D59-AVERAGE(D:D))</f>
        <v/>
      </c>
      <c r="H59" s="79" t="str">
        <f>IF($C59&lt;=Entradas!$E$153,"",F59^2)</f>
        <v/>
      </c>
      <c r="I59" s="79" t="str">
        <f>IF($C59&lt;=Entradas!$E$153,"",G59^2)</f>
        <v/>
      </c>
      <c r="J59" s="79" t="str">
        <f>IF($C59&lt;=Entradas!$E$153,"",E59-AVERAGE(E:E))</f>
        <v/>
      </c>
      <c r="K59" s="79" t="str">
        <f>IF($C59&lt;=Entradas!$E$153,"",J59^2)</f>
        <v/>
      </c>
      <c r="L59" s="79" t="str">
        <f>IF($C59&lt;=Entradas!$E$153,"",G59*J59)</f>
        <v/>
      </c>
      <c r="M59" s="40"/>
    </row>
    <row r="60" spans="2:13">
      <c r="B60" s="39"/>
      <c r="C60" s="75">
        <v>55</v>
      </c>
      <c r="D60" s="110" t="str">
        <f>IF($C60&lt;=Entradas!$E$153,"",Observaciones!L60)</f>
        <v/>
      </c>
      <c r="E60" s="110" t="str">
        <f>IF($C60&lt;=Entradas!$E$153,"",Escenario1!BN61)</f>
        <v/>
      </c>
      <c r="F60" s="79" t="str">
        <f>IF($C60&lt;=Entradas!$E$153,"",D60-E60)</f>
        <v/>
      </c>
      <c r="G60" s="79" t="str">
        <f>IF($C60&lt;=Entradas!$E$153,"",D60-AVERAGE(D:D))</f>
        <v/>
      </c>
      <c r="H60" s="79" t="str">
        <f>IF($C60&lt;=Entradas!$E$153,"",F60^2)</f>
        <v/>
      </c>
      <c r="I60" s="79" t="str">
        <f>IF($C60&lt;=Entradas!$E$153,"",G60^2)</f>
        <v/>
      </c>
      <c r="J60" s="79" t="str">
        <f>IF($C60&lt;=Entradas!$E$153,"",E60-AVERAGE(E:E))</f>
        <v/>
      </c>
      <c r="K60" s="79" t="str">
        <f>IF($C60&lt;=Entradas!$E$153,"",J60^2)</f>
        <v/>
      </c>
      <c r="L60" s="79" t="str">
        <f>IF($C60&lt;=Entradas!$E$153,"",G60*J60)</f>
        <v/>
      </c>
      <c r="M60" s="40"/>
    </row>
    <row r="61" spans="2:13">
      <c r="B61" s="39"/>
      <c r="C61" s="75">
        <v>56</v>
      </c>
      <c r="D61" s="110" t="str">
        <f>IF($C61&lt;=Entradas!$E$153,"",Observaciones!L61)</f>
        <v/>
      </c>
      <c r="E61" s="110" t="str">
        <f>IF($C61&lt;=Entradas!$E$153,"",Escenario1!BN62)</f>
        <v/>
      </c>
      <c r="F61" s="79" t="str">
        <f>IF($C61&lt;=Entradas!$E$153,"",D61-E61)</f>
        <v/>
      </c>
      <c r="G61" s="79" t="str">
        <f>IF($C61&lt;=Entradas!$E$153,"",D61-AVERAGE(D:D))</f>
        <v/>
      </c>
      <c r="H61" s="79" t="str">
        <f>IF($C61&lt;=Entradas!$E$153,"",F61^2)</f>
        <v/>
      </c>
      <c r="I61" s="79" t="str">
        <f>IF($C61&lt;=Entradas!$E$153,"",G61^2)</f>
        <v/>
      </c>
      <c r="J61" s="79" t="str">
        <f>IF($C61&lt;=Entradas!$E$153,"",E61-AVERAGE(E:E))</f>
        <v/>
      </c>
      <c r="K61" s="79" t="str">
        <f>IF($C61&lt;=Entradas!$E$153,"",J61^2)</f>
        <v/>
      </c>
      <c r="L61" s="79" t="str">
        <f>IF($C61&lt;=Entradas!$E$153,"",G61*J61)</f>
        <v/>
      </c>
      <c r="M61" s="40"/>
    </row>
    <row r="62" spans="2:13">
      <c r="B62" s="39"/>
      <c r="C62" s="75">
        <v>57</v>
      </c>
      <c r="D62" s="110" t="str">
        <f>IF($C62&lt;=Entradas!$E$153,"",Observaciones!L62)</f>
        <v/>
      </c>
      <c r="E62" s="110" t="str">
        <f>IF($C62&lt;=Entradas!$E$153,"",Escenario1!BN63)</f>
        <v/>
      </c>
      <c r="F62" s="79" t="str">
        <f>IF($C62&lt;=Entradas!$E$153,"",D62-E62)</f>
        <v/>
      </c>
      <c r="G62" s="79" t="str">
        <f>IF($C62&lt;=Entradas!$E$153,"",D62-AVERAGE(D:D))</f>
        <v/>
      </c>
      <c r="H62" s="79" t="str">
        <f>IF($C62&lt;=Entradas!$E$153,"",F62^2)</f>
        <v/>
      </c>
      <c r="I62" s="79" t="str">
        <f>IF($C62&lt;=Entradas!$E$153,"",G62^2)</f>
        <v/>
      </c>
      <c r="J62" s="79" t="str">
        <f>IF($C62&lt;=Entradas!$E$153,"",E62-AVERAGE(E:E))</f>
        <v/>
      </c>
      <c r="K62" s="79" t="str">
        <f>IF($C62&lt;=Entradas!$E$153,"",J62^2)</f>
        <v/>
      </c>
      <c r="L62" s="79" t="str">
        <f>IF($C62&lt;=Entradas!$E$153,"",G62*J62)</f>
        <v/>
      </c>
      <c r="M62" s="40"/>
    </row>
    <row r="63" spans="2:13">
      <c r="B63" s="39"/>
      <c r="C63" s="75">
        <v>58</v>
      </c>
      <c r="D63" s="110" t="str">
        <f>IF($C63&lt;=Entradas!$E$153,"",Observaciones!L63)</f>
        <v/>
      </c>
      <c r="E63" s="110" t="str">
        <f>IF($C63&lt;=Entradas!$E$153,"",Escenario1!BN64)</f>
        <v/>
      </c>
      <c r="F63" s="79" t="str">
        <f>IF($C63&lt;=Entradas!$E$153,"",D63-E63)</f>
        <v/>
      </c>
      <c r="G63" s="79" t="str">
        <f>IF($C63&lt;=Entradas!$E$153,"",D63-AVERAGE(D:D))</f>
        <v/>
      </c>
      <c r="H63" s="79" t="str">
        <f>IF($C63&lt;=Entradas!$E$153,"",F63^2)</f>
        <v/>
      </c>
      <c r="I63" s="79" t="str">
        <f>IF($C63&lt;=Entradas!$E$153,"",G63^2)</f>
        <v/>
      </c>
      <c r="J63" s="79" t="str">
        <f>IF($C63&lt;=Entradas!$E$153,"",E63-AVERAGE(E:E))</f>
        <v/>
      </c>
      <c r="K63" s="79" t="str">
        <f>IF($C63&lt;=Entradas!$E$153,"",J63^2)</f>
        <v/>
      </c>
      <c r="L63" s="79" t="str">
        <f>IF($C63&lt;=Entradas!$E$153,"",G63*J63)</f>
        <v/>
      </c>
      <c r="M63" s="40"/>
    </row>
    <row r="64" spans="2:13">
      <c r="B64" s="39"/>
      <c r="C64" s="75">
        <v>59</v>
      </c>
      <c r="D64" s="110" t="str">
        <f>IF($C64&lt;=Entradas!$E$153,"",Observaciones!L64)</f>
        <v/>
      </c>
      <c r="E64" s="110" t="str">
        <f>IF($C64&lt;=Entradas!$E$153,"",Escenario1!BN65)</f>
        <v/>
      </c>
      <c r="F64" s="79" t="str">
        <f>IF($C64&lt;=Entradas!$E$153,"",D64-E64)</f>
        <v/>
      </c>
      <c r="G64" s="79" t="str">
        <f>IF($C64&lt;=Entradas!$E$153,"",D64-AVERAGE(D:D))</f>
        <v/>
      </c>
      <c r="H64" s="79" t="str">
        <f>IF($C64&lt;=Entradas!$E$153,"",F64^2)</f>
        <v/>
      </c>
      <c r="I64" s="79" t="str">
        <f>IF($C64&lt;=Entradas!$E$153,"",G64^2)</f>
        <v/>
      </c>
      <c r="J64" s="79" t="str">
        <f>IF($C64&lt;=Entradas!$E$153,"",E64-AVERAGE(E:E))</f>
        <v/>
      </c>
      <c r="K64" s="79" t="str">
        <f>IF($C64&lt;=Entradas!$E$153,"",J64^2)</f>
        <v/>
      </c>
      <c r="L64" s="79" t="str">
        <f>IF($C64&lt;=Entradas!$E$153,"",G64*J64)</f>
        <v/>
      </c>
      <c r="M64" s="40"/>
    </row>
    <row r="65" spans="2:13">
      <c r="B65" s="39"/>
      <c r="C65" s="75">
        <v>60</v>
      </c>
      <c r="D65" s="110" t="str">
        <f>IF($C65&lt;=Entradas!$E$153,"",Observaciones!L65)</f>
        <v/>
      </c>
      <c r="E65" s="110" t="str">
        <f>IF($C65&lt;=Entradas!$E$153,"",Escenario1!BN66)</f>
        <v/>
      </c>
      <c r="F65" s="79" t="str">
        <f>IF($C65&lt;=Entradas!$E$153,"",D65-E65)</f>
        <v/>
      </c>
      <c r="G65" s="79" t="str">
        <f>IF($C65&lt;=Entradas!$E$153,"",D65-AVERAGE(D:D))</f>
        <v/>
      </c>
      <c r="H65" s="79" t="str">
        <f>IF($C65&lt;=Entradas!$E$153,"",F65^2)</f>
        <v/>
      </c>
      <c r="I65" s="79" t="str">
        <f>IF($C65&lt;=Entradas!$E$153,"",G65^2)</f>
        <v/>
      </c>
      <c r="J65" s="79" t="str">
        <f>IF($C65&lt;=Entradas!$E$153,"",E65-AVERAGE(E:E))</f>
        <v/>
      </c>
      <c r="K65" s="79" t="str">
        <f>IF($C65&lt;=Entradas!$E$153,"",J65^2)</f>
        <v/>
      </c>
      <c r="L65" s="79" t="str">
        <f>IF($C65&lt;=Entradas!$E$153,"",G65*J65)</f>
        <v/>
      </c>
      <c r="M65" s="40"/>
    </row>
    <row r="66" spans="2:13">
      <c r="B66" s="39"/>
      <c r="C66" s="75">
        <v>61</v>
      </c>
      <c r="D66" s="110">
        <f>IF($C66&lt;=Entradas!$E$153,"",Observaciones!L66)</f>
        <v>1.1017960334111263</v>
      </c>
      <c r="E66" s="110">
        <f>IF($C66&lt;=Entradas!$E$153,"",Escenario1!BN67)</f>
        <v>1.6187608944412235</v>
      </c>
      <c r="F66" s="79">
        <f>IF($C66&lt;=Entradas!$E$153,"",D66-E66)</f>
        <v>-0.5169648610300972</v>
      </c>
      <c r="G66" s="79">
        <f>IF($C66&lt;=Entradas!$E$153,"",D66-AVERAGE(D:D))</f>
        <v>0.31894441189954836</v>
      </c>
      <c r="H66" s="79">
        <f>IF($C66&lt;=Entradas!$E$153,"",F66^2)</f>
        <v>0.26725266753986771</v>
      </c>
      <c r="I66" s="79">
        <f>IF($C66&lt;=Entradas!$E$153,"",G66^2)</f>
        <v>0.10172553788194877</v>
      </c>
      <c r="J66" s="79">
        <f>IF($C66&lt;=Entradas!$E$153,"",E66-AVERAGE(E:E))</f>
        <v>0.78782175377803831</v>
      </c>
      <c r="K66" s="79">
        <f>IF($C66&lt;=Entradas!$E$153,"",J66^2)</f>
        <v>0.62066311572590405</v>
      </c>
      <c r="L66" s="79">
        <f>IF($C66&lt;=Entradas!$E$153,"",G66*J66)</f>
        <v>0.25127134594040723</v>
      </c>
      <c r="M66" s="40"/>
    </row>
    <row r="67" spans="2:13">
      <c r="B67" s="39"/>
      <c r="C67" s="75">
        <v>62</v>
      </c>
      <c r="D67" s="110">
        <f>IF($C67&lt;=Entradas!$E$153,"",Observaciones!L67)</f>
        <v>1.1020847122339488</v>
      </c>
      <c r="E67" s="110">
        <f>IF($C67&lt;=Entradas!$E$153,"",Escenario1!BN68)</f>
        <v>1.5277440850531312</v>
      </c>
      <c r="F67" s="79">
        <f>IF($C67&lt;=Entradas!$E$153,"",D67-E67)</f>
        <v>-0.42565937281918242</v>
      </c>
      <c r="G67" s="79">
        <f>IF($C67&lt;=Entradas!$E$153,"",D67-AVERAGE(D:D))</f>
        <v>0.31923309072237083</v>
      </c>
      <c r="H67" s="79">
        <f>IF($C67&lt;=Entradas!$E$153,"",F67^2)</f>
        <v>0.18118590166881973</v>
      </c>
      <c r="I67" s="79">
        <f>IF($C67&lt;=Entradas!$E$153,"",G67^2)</f>
        <v>0.10190976621215744</v>
      </c>
      <c r="J67" s="79">
        <f>IF($C67&lt;=Entradas!$E$153,"",E67-AVERAGE(E:E))</f>
        <v>0.696804944389946</v>
      </c>
      <c r="K67" s="79">
        <f>IF($C67&lt;=Entradas!$E$153,"",J67^2)</f>
        <v>0.48553713052627573</v>
      </c>
      <c r="L67" s="79">
        <f>IF($C67&lt;=Entradas!$E$153,"",G67*J67)</f>
        <v>0.2224431960282322</v>
      </c>
      <c r="M67" s="40"/>
    </row>
    <row r="68" spans="2:13">
      <c r="B68" s="39"/>
      <c r="C68" s="75">
        <v>63</v>
      </c>
      <c r="D68" s="110">
        <f>IF($C68&lt;=Entradas!$E$153,"",Observaciones!L68)</f>
        <v>1.102257011718865</v>
      </c>
      <c r="E68" s="110">
        <f>IF($C68&lt;=Entradas!$E$153,"",Escenario1!BN69)</f>
        <v>1.516650786238172</v>
      </c>
      <c r="F68" s="79">
        <f>IF($C68&lt;=Entradas!$E$153,"",D68-E68)</f>
        <v>-0.41439377451930692</v>
      </c>
      <c r="G68" s="79">
        <f>IF($C68&lt;=Entradas!$E$153,"",D68-AVERAGE(D:D))</f>
        <v>0.31940539020728709</v>
      </c>
      <c r="H68" s="79">
        <f>IF($C68&lt;=Entradas!$E$153,"",F68^2)</f>
        <v>0.17172220036035818</v>
      </c>
      <c r="I68" s="79">
        <f>IF($C68&lt;=Entradas!$E$153,"",G68^2)</f>
        <v>0.10201980329346932</v>
      </c>
      <c r="J68" s="79">
        <f>IF($C68&lt;=Entradas!$E$153,"",E68-AVERAGE(E:E))</f>
        <v>0.68571164557498676</v>
      </c>
      <c r="K68" s="79">
        <f>IF($C68&lt;=Entradas!$E$153,"",J68^2)</f>
        <v>0.47020046087715628</v>
      </c>
      <c r="L68" s="79">
        <f>IF($C68&lt;=Entradas!$E$153,"",G68*J68)</f>
        <v>0.2190199957245596</v>
      </c>
      <c r="M68" s="40"/>
    </row>
    <row r="69" spans="2:13">
      <c r="B69" s="39"/>
      <c r="C69" s="75">
        <v>64</v>
      </c>
      <c r="D69" s="110">
        <f>IF($C69&lt;=Entradas!$E$153,"",Observaciones!L69)</f>
        <v>1.1015847950662878</v>
      </c>
      <c r="E69" s="110">
        <f>IF($C69&lt;=Entradas!$E$153,"",Escenario1!BN70)</f>
        <v>1.4290528625574308</v>
      </c>
      <c r="F69" s="79">
        <f>IF($C69&lt;=Entradas!$E$153,"",D69-E69)</f>
        <v>-0.32746806749114299</v>
      </c>
      <c r="G69" s="79">
        <f>IF($C69&lt;=Entradas!$E$153,"",D69-AVERAGE(D:D))</f>
        <v>0.31873317355470987</v>
      </c>
      <c r="H69" s="79">
        <f>IF($C69&lt;=Entradas!$E$153,"",F69^2)</f>
        <v>0.10723533522638377</v>
      </c>
      <c r="I69" s="79">
        <f>IF($C69&lt;=Entradas!$E$153,"",G69^2)</f>
        <v>0.1015908359242568</v>
      </c>
      <c r="J69" s="79">
        <f>IF($C69&lt;=Entradas!$E$153,"",E69-AVERAGE(E:E))</f>
        <v>0.59811372189424561</v>
      </c>
      <c r="K69" s="79">
        <f>IF($C69&lt;=Entradas!$E$153,"",J69^2)</f>
        <v>0.35774002431818697</v>
      </c>
      <c r="L69" s="79">
        <f>IF($C69&lt;=Entradas!$E$153,"",G69*J69)</f>
        <v>0.19063868472597206</v>
      </c>
      <c r="M69" s="40"/>
    </row>
    <row r="70" spans="2:13">
      <c r="B70" s="39"/>
      <c r="C70" s="75">
        <v>65</v>
      </c>
      <c r="D70" s="110">
        <f>IF($C70&lt;=Entradas!$E$153,"",Observaciones!L70)</f>
        <v>1.1024636358102891</v>
      </c>
      <c r="E70" s="110">
        <f>IF($C70&lt;=Entradas!$E$153,"",Escenario1!BN71)</f>
        <v>1.5194316568953392</v>
      </c>
      <c r="F70" s="79">
        <f>IF($C70&lt;=Entradas!$E$153,"",D70-E70)</f>
        <v>-0.41696802108505016</v>
      </c>
      <c r="G70" s="79">
        <f>IF($C70&lt;=Entradas!$E$153,"",D70-AVERAGE(D:D))</f>
        <v>0.31961201429871111</v>
      </c>
      <c r="H70" s="79">
        <f>IF($C70&lt;=Entradas!$E$153,"",F70^2)</f>
        <v>0.17386233060758283</v>
      </c>
      <c r="I70" s="79">
        <f>IF($C70&lt;=Entradas!$E$153,"",G70^2)</f>
        <v>0.10215183968407951</v>
      </c>
      <c r="J70" s="79">
        <f>IF($C70&lt;=Entradas!$E$153,"",E70-AVERAGE(E:E))</f>
        <v>0.68849251623215402</v>
      </c>
      <c r="K70" s="79">
        <f>IF($C70&lt;=Entradas!$E$153,"",J70^2)</f>
        <v>0.47402194490768285</v>
      </c>
      <c r="L70" s="79">
        <f>IF($C70&lt;=Entradas!$E$153,"",G70*J70)</f>
        <v>0.22005047994254681</v>
      </c>
      <c r="M70" s="40"/>
    </row>
    <row r="71" spans="2:13">
      <c r="B71" s="39"/>
      <c r="C71" s="75">
        <v>66</v>
      </c>
      <c r="D71" s="110">
        <f>IF($C71&lt;=Entradas!$E$153,"",Observaciones!L71)</f>
        <v>1.1017978614062895</v>
      </c>
      <c r="E71" s="110">
        <f>IF($C71&lt;=Entradas!$E$153,"",Escenario1!BN72)</f>
        <v>1.4333904418394721</v>
      </c>
      <c r="F71" s="79">
        <f>IF($C71&lt;=Entradas!$E$153,"",D71-E71)</f>
        <v>-0.33159258043318252</v>
      </c>
      <c r="G71" s="79">
        <f>IF($C71&lt;=Entradas!$E$153,"",D71-AVERAGE(D:D))</f>
        <v>0.3189462398947116</v>
      </c>
      <c r="H71" s="79">
        <f>IF($C71&lt;=Entradas!$E$153,"",F71^2)</f>
        <v>0.10995363939833662</v>
      </c>
      <c r="I71" s="79">
        <f>IF($C71&lt;=Entradas!$E$153,"",G71^2)</f>
        <v>0.10172670394297492</v>
      </c>
      <c r="J71" s="79">
        <f>IF($C71&lt;=Entradas!$E$153,"",E71-AVERAGE(E:E))</f>
        <v>0.60245130117628687</v>
      </c>
      <c r="K71" s="79">
        <f>IF($C71&lt;=Entradas!$E$153,"",J71^2)</f>
        <v>0.3629475702890011</v>
      </c>
      <c r="L71" s="79">
        <f>IF($C71&lt;=Entradas!$E$153,"",G71*J71)</f>
        <v>0.19214957722985315</v>
      </c>
      <c r="M71" s="40"/>
    </row>
    <row r="72" spans="2:13">
      <c r="B72" s="39"/>
      <c r="C72" s="75">
        <v>67</v>
      </c>
      <c r="D72" s="110">
        <f>IF($C72&lt;=Entradas!$E$153,"",Observaciones!L72)</f>
        <v>9.7231703399355904</v>
      </c>
      <c r="E72" s="110">
        <f>IF($C72&lt;=Entradas!$E$153,"",Escenario1!BN73)</f>
        <v>2.0520768116272512</v>
      </c>
      <c r="F72" s="79">
        <f>IF($C72&lt;=Entradas!$E$153,"",D72-E72)</f>
        <v>7.6710935283083392</v>
      </c>
      <c r="G72" s="79">
        <f>IF($C72&lt;=Entradas!$E$153,"",D72-AVERAGE(D:D))</f>
        <v>8.9403187184240132</v>
      </c>
      <c r="H72" s="79">
        <f>IF($C72&lt;=Entradas!$E$153,"",F72^2)</f>
        <v>58.845675920054084</v>
      </c>
      <c r="I72" s="79">
        <f>IF($C72&lt;=Entradas!$E$153,"",G72^2)</f>
        <v>79.929298787002793</v>
      </c>
      <c r="J72" s="79">
        <f>IF($C72&lt;=Entradas!$E$153,"",E72-AVERAGE(E:E))</f>
        <v>1.221137670964066</v>
      </c>
      <c r="K72" s="79">
        <f>IF($C72&lt;=Entradas!$E$153,"",J72^2)</f>
        <v>1.4911772114475434</v>
      </c>
      <c r="L72" s="79">
        <f>IF($C72&lt;=Entradas!$E$153,"",G72*J72)</f>
        <v>10.917359977492742</v>
      </c>
      <c r="M72" s="40"/>
    </row>
    <row r="73" spans="2:13">
      <c r="B73" s="39"/>
      <c r="C73" s="75">
        <v>68</v>
      </c>
      <c r="D73" s="110">
        <f>IF($C73&lt;=Entradas!$E$153,"",Observaciones!L73)</f>
        <v>1.1184740636137809</v>
      </c>
      <c r="E73" s="110">
        <f>IF($C73&lt;=Entradas!$E$153,"",Escenario1!BN74)</f>
        <v>2.009454667137911</v>
      </c>
      <c r="F73" s="79">
        <f>IF($C73&lt;=Entradas!$E$153,"",D73-E73)</f>
        <v>-0.89098060352413011</v>
      </c>
      <c r="G73" s="79">
        <f>IF($C73&lt;=Entradas!$E$153,"",D73-AVERAGE(D:D))</f>
        <v>0.33562244210220293</v>
      </c>
      <c r="H73" s="79">
        <f>IF($C73&lt;=Entradas!$E$153,"",F73^2)</f>
        <v>0.79384643585622316</v>
      </c>
      <c r="I73" s="79">
        <f>IF($C73&lt;=Entradas!$E$153,"",G73^2)</f>
        <v>0.11264242364264657</v>
      </c>
      <c r="J73" s="79">
        <f>IF($C73&lt;=Entradas!$E$153,"",E73-AVERAGE(E:E))</f>
        <v>1.1785155264747258</v>
      </c>
      <c r="K73" s="79">
        <f>IF($C73&lt;=Entradas!$E$153,"",J73^2)</f>
        <v>1.3888988461420002</v>
      </c>
      <c r="L73" s="79">
        <f>IF($C73&lt;=Entradas!$E$153,"",G73*J73)</f>
        <v>0.39553625905081086</v>
      </c>
      <c r="M73" s="40"/>
    </row>
    <row r="74" spans="2:13">
      <c r="B74" s="39"/>
      <c r="C74" s="75">
        <v>69</v>
      </c>
      <c r="D74" s="110">
        <f>IF($C74&lt;=Entradas!$E$153,"",Observaciones!L74)</f>
        <v>1.5032030778697645</v>
      </c>
      <c r="E74" s="110">
        <f>IF($C74&lt;=Entradas!$E$153,"",Escenario1!BN75)</f>
        <v>2.1015433760765703</v>
      </c>
      <c r="F74" s="79">
        <f>IF($C74&lt;=Entradas!$E$153,"",D74-E74)</f>
        <v>-0.59834029820680579</v>
      </c>
      <c r="G74" s="79">
        <f>IF($C74&lt;=Entradas!$E$153,"",D74-AVERAGE(D:D))</f>
        <v>0.72035145635818654</v>
      </c>
      <c r="H74" s="79">
        <f>IF($C74&lt;=Entradas!$E$153,"",F74^2)</f>
        <v>0.35801111245820927</v>
      </c>
      <c r="I74" s="79">
        <f>IF($C74&lt;=Entradas!$E$153,"",G74^2)</f>
        <v>0.51890622067736036</v>
      </c>
      <c r="J74" s="79">
        <f>IF($C74&lt;=Entradas!$E$153,"",E74-AVERAGE(E:E))</f>
        <v>1.2706042354133851</v>
      </c>
      <c r="K74" s="79">
        <f>IF($C74&lt;=Entradas!$E$153,"",J74^2)</f>
        <v>1.6144351230504328</v>
      </c>
      <c r="L74" s="79">
        <f>IF($C74&lt;=Entradas!$E$153,"",G74*J74)</f>
        <v>0.91528161143491205</v>
      </c>
      <c r="M74" s="40"/>
    </row>
    <row r="75" spans="2:13">
      <c r="B75" s="39"/>
      <c r="C75" s="75">
        <v>70</v>
      </c>
      <c r="D75" s="110">
        <f>IF($C75&lt;=Entradas!$E$153,"",Observaciones!L75)</f>
        <v>1.1360225468554859</v>
      </c>
      <c r="E75" s="110">
        <f>IF($C75&lt;=Entradas!$E$153,"",Escenario1!BN76)</f>
        <v>2.1142912183471343</v>
      </c>
      <c r="F75" s="79">
        <f>IF($C75&lt;=Entradas!$E$153,"",D75-E75)</f>
        <v>-0.97826867149164842</v>
      </c>
      <c r="G75" s="79">
        <f>IF($C75&lt;=Entradas!$E$153,"",D75-AVERAGE(D:D))</f>
        <v>0.35317092534390793</v>
      </c>
      <c r="H75" s="79">
        <f>IF($C75&lt;=Entradas!$E$153,"",F75^2)</f>
        <v>0.95700959362203475</v>
      </c>
      <c r="I75" s="79">
        <f>IF($C75&lt;=Entradas!$E$153,"",G75^2)</f>
        <v>0.12472970250827219</v>
      </c>
      <c r="J75" s="79">
        <f>IF($C75&lt;=Entradas!$E$153,"",E75-AVERAGE(E:E))</f>
        <v>1.2833520776839491</v>
      </c>
      <c r="K75" s="79">
        <f>IF($C75&lt;=Entradas!$E$153,"",J75^2)</f>
        <v>1.646992555295709</v>
      </c>
      <c r="L75" s="79">
        <f>IF($C75&lt;=Entradas!$E$153,"",G75*J75)</f>
        <v>0.45324264081766713</v>
      </c>
      <c r="M75" s="40"/>
    </row>
    <row r="76" spans="2:13">
      <c r="B76" s="39"/>
      <c r="C76" s="75">
        <v>71</v>
      </c>
      <c r="D76" s="110">
        <f>IF($C76&lt;=Entradas!$E$153,"",Observaciones!L76)</f>
        <v>3.7541337253690221</v>
      </c>
      <c r="E76" s="110">
        <f>IF($C76&lt;=Entradas!$E$153,"",Escenario1!BN77)</f>
        <v>2.2440734423536806</v>
      </c>
      <c r="F76" s="79">
        <f>IF($C76&lt;=Entradas!$E$153,"",D76-E76)</f>
        <v>1.5100602830153416</v>
      </c>
      <c r="G76" s="79">
        <f>IF($C76&lt;=Entradas!$E$153,"",D76-AVERAGE(D:D))</f>
        <v>2.971282103857444</v>
      </c>
      <c r="H76" s="79">
        <f>IF($C76&lt;=Entradas!$E$153,"",F76^2)</f>
        <v>2.2802820583403736</v>
      </c>
      <c r="I76" s="79">
        <f>IF($C76&lt;=Entradas!$E$153,"",G76^2)</f>
        <v>8.8285173407035185</v>
      </c>
      <c r="J76" s="79">
        <f>IF($C76&lt;=Entradas!$E$153,"",E76-AVERAGE(E:E))</f>
        <v>1.4131343016904954</v>
      </c>
      <c r="K76" s="79">
        <f>IF($C76&lt;=Entradas!$E$153,"",J76^2)</f>
        <v>1.996948554614284</v>
      </c>
      <c r="L76" s="79">
        <f>IF($C76&lt;=Entradas!$E$153,"",G76*J76)</f>
        <v>4.1988206609600551</v>
      </c>
      <c r="M76" s="40"/>
    </row>
    <row r="77" spans="2:13">
      <c r="B77" s="39"/>
      <c r="C77" s="75">
        <v>72</v>
      </c>
      <c r="D77" s="110">
        <f>IF($C77&lt;=Entradas!$E$153,"",Observaciones!L77)</f>
        <v>1.1569525420194617</v>
      </c>
      <c r="E77" s="110">
        <f>IF($C77&lt;=Entradas!$E$153,"",Escenario1!BN78)</f>
        <v>2.2816246260823529</v>
      </c>
      <c r="F77" s="79">
        <f>IF($C77&lt;=Entradas!$E$153,"",D77-E77)</f>
        <v>-1.1246720840628912</v>
      </c>
      <c r="G77" s="79">
        <f>IF($C77&lt;=Entradas!$E$153,"",D77-AVERAGE(D:D))</f>
        <v>0.37410092050788379</v>
      </c>
      <c r="H77" s="79">
        <f>IF($C77&lt;=Entradas!$E$153,"",F77^2)</f>
        <v>1.264887296670367</v>
      </c>
      <c r="I77" s="79">
        <f>IF($C77&lt;=Entradas!$E$153,"",G77^2)</f>
        <v>0.139951498724846</v>
      </c>
      <c r="J77" s="79">
        <f>IF($C77&lt;=Entradas!$E$153,"",E77-AVERAGE(E:E))</f>
        <v>1.4506854854191678</v>
      </c>
      <c r="K77" s="79">
        <f>IF($C77&lt;=Entradas!$E$153,"",J77^2)</f>
        <v>2.1044883776058465</v>
      </c>
      <c r="L77" s="79">
        <f>IF($C77&lt;=Entradas!$E$153,"",G77*J77)</f>
        <v>0.54270277546273693</v>
      </c>
      <c r="M77" s="40"/>
    </row>
    <row r="78" spans="2:13">
      <c r="B78" s="39"/>
      <c r="C78" s="75">
        <v>73</v>
      </c>
      <c r="D78" s="110">
        <f>IF($C78&lt;=Entradas!$E$153,"",Observaciones!L78)</f>
        <v>1.1627816753791345</v>
      </c>
      <c r="E78" s="110">
        <f>IF($C78&lt;=Entradas!$E$153,"",Escenario1!BN79)</f>
        <v>2.2768726060687237</v>
      </c>
      <c r="F78" s="79">
        <f>IF($C78&lt;=Entradas!$E$153,"",D78-E78)</f>
        <v>-1.1140909306895892</v>
      </c>
      <c r="G78" s="79">
        <f>IF($C78&lt;=Entradas!$E$153,"",D78-AVERAGE(D:D))</f>
        <v>0.37993005386755652</v>
      </c>
      <c r="H78" s="79">
        <f>IF($C78&lt;=Entradas!$E$153,"",F78^2)</f>
        <v>1.2411986018447951</v>
      </c>
      <c r="I78" s="79">
        <f>IF($C78&lt;=Entradas!$E$153,"",G78^2)</f>
        <v>0.1443468458318044</v>
      </c>
      <c r="J78" s="79">
        <f>IF($C78&lt;=Entradas!$E$153,"",E78-AVERAGE(E:E))</f>
        <v>1.4459334654055385</v>
      </c>
      <c r="K78" s="79">
        <f>IF($C78&lt;=Entradas!$E$153,"",J78^2)</f>
        <v>2.0907235863796694</v>
      </c>
      <c r="L78" s="79">
        <f>IF($C78&lt;=Entradas!$E$153,"",G78*J78)</f>
        <v>0.54935357940042895</v>
      </c>
      <c r="M78" s="40"/>
    </row>
    <row r="79" spans="2:13">
      <c r="B79" s="39"/>
      <c r="C79" s="75">
        <v>74</v>
      </c>
      <c r="D79" s="110">
        <f>IF($C79&lt;=Entradas!$E$153,"",Observaciones!L79)</f>
        <v>1.1692256048646983</v>
      </c>
      <c r="E79" s="110">
        <f>IF($C79&lt;=Entradas!$E$153,"",Escenario1!BN80)</f>
        <v>2.2891565788256911</v>
      </c>
      <c r="F79" s="79">
        <f>IF($C79&lt;=Entradas!$E$153,"",D79-E79)</f>
        <v>-1.1199309739609928</v>
      </c>
      <c r="G79" s="79">
        <f>IF($C79&lt;=Entradas!$E$153,"",D79-AVERAGE(D:D))</f>
        <v>0.38637398335312034</v>
      </c>
      <c r="H79" s="79">
        <f>IF($C79&lt;=Entradas!$E$153,"",F79^2)</f>
        <v>1.2542453864372181</v>
      </c>
      <c r="I79" s="79">
        <f>IF($C79&lt;=Entradas!$E$153,"",G79^2)</f>
        <v>0.14928485501215732</v>
      </c>
      <c r="J79" s="79">
        <f>IF($C79&lt;=Entradas!$E$153,"",E79-AVERAGE(E:E))</f>
        <v>1.4582174381625059</v>
      </c>
      <c r="K79" s="79">
        <f>IF($C79&lt;=Entradas!$E$153,"",J79^2)</f>
        <v>2.1263980969612217</v>
      </c>
      <c r="L79" s="79">
        <f>IF($C79&lt;=Entradas!$E$153,"",G79*J79)</f>
        <v>0.56341728017782988</v>
      </c>
      <c r="M79" s="40"/>
    </row>
    <row r="80" spans="2:13">
      <c r="B80" s="39"/>
      <c r="C80" s="75">
        <v>75</v>
      </c>
      <c r="D80" s="110">
        <f>IF($C80&lt;=Entradas!$E$153,"",Observaciones!L80)</f>
        <v>3.325499759288157</v>
      </c>
      <c r="E80" s="110">
        <f>IF($C80&lt;=Entradas!$E$153,"",Escenario1!BN81)</f>
        <v>2.4051140705546086</v>
      </c>
      <c r="F80" s="79">
        <f>IF($C80&lt;=Entradas!$E$153,"",D80-E80)</f>
        <v>0.92038568873354842</v>
      </c>
      <c r="G80" s="79">
        <f>IF($C80&lt;=Entradas!$E$153,"",D80-AVERAGE(D:D))</f>
        <v>2.5426481377765793</v>
      </c>
      <c r="H80" s="79">
        <f>IF($C80&lt;=Entradas!$E$153,"",F80^2)</f>
        <v>0.84710981602552826</v>
      </c>
      <c r="I80" s="79">
        <f>IF($C80&lt;=Entradas!$E$153,"",G80^2)</f>
        <v>6.4650595525387065</v>
      </c>
      <c r="J80" s="79">
        <f>IF($C80&lt;=Entradas!$E$153,"",E80-AVERAGE(E:E))</f>
        <v>1.5741749298914234</v>
      </c>
      <c r="K80" s="79">
        <f>IF($C80&lt;=Entradas!$E$153,"",J80^2)</f>
        <v>2.4780267098986677</v>
      </c>
      <c r="L80" s="79">
        <f>IF($C80&lt;=Entradas!$E$153,"",G80*J80)</f>
        <v>4.0025729540230053</v>
      </c>
      <c r="M80" s="40"/>
    </row>
    <row r="81" spans="2:13">
      <c r="B81" s="39"/>
      <c r="C81" s="75">
        <v>76</v>
      </c>
      <c r="D81" s="110">
        <f>IF($C81&lt;=Entradas!$E$153,"",Observaciones!L81)</f>
        <v>1.1861626902123361</v>
      </c>
      <c r="E81" s="110">
        <f>IF($C81&lt;=Entradas!$E$153,"",Escenario1!BN82)</f>
        <v>2.306529533804099</v>
      </c>
      <c r="F81" s="79">
        <f>IF($C81&lt;=Entradas!$E$153,"",D81-E81)</f>
        <v>-1.1203668435917629</v>
      </c>
      <c r="G81" s="79">
        <f>IF($C81&lt;=Entradas!$E$153,"",D81-AVERAGE(D:D))</f>
        <v>0.40331106870075817</v>
      </c>
      <c r="H81" s="79">
        <f>IF($C81&lt;=Entradas!$E$153,"",F81^2)</f>
        <v>1.2552218642197697</v>
      </c>
      <c r="I81" s="79">
        <f>IF($C81&lt;=Entradas!$E$153,"",G81^2)</f>
        <v>0.16265981813654767</v>
      </c>
      <c r="J81" s="79">
        <f>IF($C81&lt;=Entradas!$E$153,"",E81-AVERAGE(E:E))</f>
        <v>1.4755903931409138</v>
      </c>
      <c r="K81" s="79">
        <f>IF($C81&lt;=Entradas!$E$153,"",J81^2)</f>
        <v>2.1773670083297563</v>
      </c>
      <c r="L81" s="79">
        <f>IF($C81&lt;=Entradas!$E$153,"",G81*J81)</f>
        <v>0.59512193842223382</v>
      </c>
      <c r="M81" s="40"/>
    </row>
    <row r="82" spans="2:13">
      <c r="B82" s="39"/>
      <c r="C82" s="75">
        <v>77</v>
      </c>
      <c r="D82" s="110">
        <f>IF($C82&lt;=Entradas!$E$153,"",Observaciones!L82)</f>
        <v>1.1912898391097353</v>
      </c>
      <c r="E82" s="110">
        <f>IF($C82&lt;=Entradas!$E$153,"",Escenario1!BN83)</f>
        <v>2.2693072411346455</v>
      </c>
      <c r="F82" s="79">
        <f>IF($C82&lt;=Entradas!$E$153,"",D82-E82)</f>
        <v>-1.0780174020249103</v>
      </c>
      <c r="G82" s="79">
        <f>IF($C82&lt;=Entradas!$E$153,"",D82-AVERAGE(D:D))</f>
        <v>0.40843821759815735</v>
      </c>
      <c r="H82" s="79">
        <f>IF($C82&lt;=Entradas!$E$153,"",F82^2)</f>
        <v>1.162121519068537</v>
      </c>
      <c r="I82" s="79">
        <f>IF($C82&lt;=Entradas!$E$153,"",G82^2)</f>
        <v>0.16682177759475972</v>
      </c>
      <c r="J82" s="79">
        <f>IF($C82&lt;=Entradas!$E$153,"",E82-AVERAGE(E:E))</f>
        <v>1.4383681004714604</v>
      </c>
      <c r="K82" s="79">
        <f>IF($C82&lt;=Entradas!$E$153,"",J82^2)</f>
        <v>2.0689027924538772</v>
      </c>
      <c r="L82" s="79">
        <f>IF($C82&lt;=Entradas!$E$153,"",G82*J82)</f>
        <v>0.58748450320661061</v>
      </c>
      <c r="M82" s="40"/>
    </row>
    <row r="83" spans="2:13">
      <c r="B83" s="39"/>
      <c r="C83" s="75">
        <v>78</v>
      </c>
      <c r="D83" s="110">
        <f>IF($C83&lt;=Entradas!$E$153,"",Observaciones!L83)</f>
        <v>1.1954129007626957</v>
      </c>
      <c r="E83" s="110">
        <f>IF($C83&lt;=Entradas!$E$153,"",Escenario1!BN84)</f>
        <v>2.1725856784229247</v>
      </c>
      <c r="F83" s="79">
        <f>IF($C83&lt;=Entradas!$E$153,"",D83-E83)</f>
        <v>-0.97717277766022903</v>
      </c>
      <c r="G83" s="79">
        <f>IF($C83&lt;=Entradas!$E$153,"",D83-AVERAGE(D:D))</f>
        <v>0.41256127925111774</v>
      </c>
      <c r="H83" s="79">
        <f>IF($C83&lt;=Entradas!$E$153,"",F83^2)</f>
        <v>0.95486663740020739</v>
      </c>
      <c r="I83" s="79">
        <f>IF($C83&lt;=Entradas!$E$153,"",G83^2)</f>
        <v>0.17020680913731875</v>
      </c>
      <c r="J83" s="79">
        <f>IF($C83&lt;=Entradas!$E$153,"",E83-AVERAGE(E:E))</f>
        <v>1.3416465377597395</v>
      </c>
      <c r="K83" s="79">
        <f>IF($C83&lt;=Entradas!$E$153,"",J83^2)</f>
        <v>1.8000154322826962</v>
      </c>
      <c r="L83" s="79">
        <f>IF($C83&lt;=Entradas!$E$153,"",G83*J83)</f>
        <v>0.55351141192099118</v>
      </c>
      <c r="M83" s="40"/>
    </row>
    <row r="84" spans="2:13">
      <c r="B84" s="39"/>
      <c r="C84" s="75">
        <v>79</v>
      </c>
      <c r="D84" s="110">
        <f>IF($C84&lt;=Entradas!$E$153,"",Observaciones!L84)</f>
        <v>1.1995682751960035</v>
      </c>
      <c r="E84" s="110">
        <f>IF($C84&lt;=Entradas!$E$153,"",Escenario1!BN85)</f>
        <v>2.1821034379392406</v>
      </c>
      <c r="F84" s="79">
        <f>IF($C84&lt;=Entradas!$E$153,"",D84-E84)</f>
        <v>-0.98253516274323704</v>
      </c>
      <c r="G84" s="79">
        <f>IF($C84&lt;=Entradas!$E$153,"",D84-AVERAGE(D:D))</f>
        <v>0.41671665368442556</v>
      </c>
      <c r="H84" s="79">
        <f>IF($C84&lt;=Entradas!$E$153,"",F84^2)</f>
        <v>0.96537534602687936</v>
      </c>
      <c r="I84" s="79">
        <f>IF($C84&lt;=Entradas!$E$153,"",G84^2)</f>
        <v>0.17365276945794547</v>
      </c>
      <c r="J84" s="79">
        <f>IF($C84&lt;=Entradas!$E$153,"",E84-AVERAGE(E:E))</f>
        <v>1.3511642972760554</v>
      </c>
      <c r="K84" s="79">
        <f>IF($C84&lt;=Entradas!$E$153,"",J84^2)</f>
        <v>1.8256449582334966</v>
      </c>
      <c r="L84" s="79">
        <f>IF($C84&lt;=Entradas!$E$153,"",G84*J84)</f>
        <v>0.56305266453874614</v>
      </c>
      <c r="M84" s="40"/>
    </row>
    <row r="85" spans="2:13">
      <c r="B85" s="39"/>
      <c r="C85" s="75">
        <v>80</v>
      </c>
      <c r="D85" s="110">
        <f>IF($C85&lt;=Entradas!$E$153,"",Observaciones!L85)</f>
        <v>1.2027280058639476</v>
      </c>
      <c r="E85" s="110">
        <f>IF($C85&lt;=Entradas!$E$153,"",Escenario1!BN86)</f>
        <v>2.0853242813596422</v>
      </c>
      <c r="F85" s="79">
        <f>IF($C85&lt;=Entradas!$E$153,"",D85-E85)</f>
        <v>-0.88259627549569464</v>
      </c>
      <c r="G85" s="79">
        <f>IF($C85&lt;=Entradas!$E$153,"",D85-AVERAGE(D:D))</f>
        <v>0.41987638435236962</v>
      </c>
      <c r="H85" s="79">
        <f>IF($C85&lt;=Entradas!$E$153,"",F85^2)</f>
        <v>0.77897618551887216</v>
      </c>
      <c r="I85" s="79">
        <f>IF($C85&lt;=Entradas!$E$153,"",G85^2)</f>
        <v>0.17629617813681883</v>
      </c>
      <c r="J85" s="79">
        <f>IF($C85&lt;=Entradas!$E$153,"",E85-AVERAGE(E:E))</f>
        <v>1.254385140696457</v>
      </c>
      <c r="K85" s="79">
        <f>IF($C85&lt;=Entradas!$E$153,"",J85^2)</f>
        <v>1.5734820812000703</v>
      </c>
      <c r="L85" s="79">
        <f>IF($C85&lt;=Entradas!$E$153,"",G85*J85)</f>
        <v>0.52668669746096686</v>
      </c>
      <c r="M85" s="40"/>
    </row>
    <row r="86" spans="2:13">
      <c r="B86" s="39"/>
      <c r="C86" s="75">
        <v>81</v>
      </c>
      <c r="D86" s="110">
        <f>IF($C86&lt;=Entradas!$E$153,"",Observaciones!L86)</f>
        <v>1.2054292199177374</v>
      </c>
      <c r="E86" s="110">
        <f>IF($C86&lt;=Entradas!$E$153,"",Escenario1!BN87)</f>
        <v>2.0425006878062573</v>
      </c>
      <c r="F86" s="79">
        <f>IF($C86&lt;=Entradas!$E$153,"",D86-E86)</f>
        <v>-0.83707146788851983</v>
      </c>
      <c r="G86" s="79">
        <f>IF($C86&lt;=Entradas!$E$153,"",D86-AVERAGE(D:D))</f>
        <v>0.42257759840615949</v>
      </c>
      <c r="H86" s="79">
        <f>IF($C86&lt;=Entradas!$E$153,"",F86^2)</f>
        <v>0.70068864235304129</v>
      </c>
      <c r="I86" s="79">
        <f>IF($C86&lt;=Entradas!$E$153,"",G86^2)</f>
        <v>0.17857182667471741</v>
      </c>
      <c r="J86" s="79">
        <f>IF($C86&lt;=Entradas!$E$153,"",E86-AVERAGE(E:E))</f>
        <v>1.2115615471430721</v>
      </c>
      <c r="K86" s="79">
        <f>IF($C86&lt;=Entradas!$E$153,"",J86^2)</f>
        <v>1.4678813825157144</v>
      </c>
      <c r="L86" s="79">
        <f>IF($C86&lt;=Entradas!$E$153,"",G86*J86)</f>
        <v>0.51197876891297034</v>
      </c>
      <c r="M86" s="40"/>
    </row>
    <row r="87" spans="2:13">
      <c r="B87" s="39"/>
      <c r="C87" s="75">
        <v>82</v>
      </c>
      <c r="D87" s="110">
        <f>IF($C87&lt;=Entradas!$E$153,"",Observaciones!L87)</f>
        <v>1.2078827697618437</v>
      </c>
      <c r="E87" s="110">
        <f>IF($C87&lt;=Entradas!$E$153,"",Escenario1!BN88)</f>
        <v>2.0209856614545623</v>
      </c>
      <c r="F87" s="79">
        <f>IF($C87&lt;=Entradas!$E$153,"",D87-E87)</f>
        <v>-0.81310289169271854</v>
      </c>
      <c r="G87" s="79">
        <f>IF($C87&lt;=Entradas!$E$153,"",D87-AVERAGE(D:D))</f>
        <v>0.42503114825026578</v>
      </c>
      <c r="H87" s="79">
        <f>IF($C87&lt;=Entradas!$E$153,"",F87^2)</f>
        <v>0.66113631247906079</v>
      </c>
      <c r="I87" s="79">
        <f>IF($C87&lt;=Entradas!$E$153,"",G87^2)</f>
        <v>0.1806514769829394</v>
      </c>
      <c r="J87" s="79">
        <f>IF($C87&lt;=Entradas!$E$153,"",E87-AVERAGE(E:E))</f>
        <v>1.1900465207913771</v>
      </c>
      <c r="K87" s="79">
        <f>IF($C87&lt;=Entradas!$E$153,"",J87^2)</f>
        <v>1.4162107216476614</v>
      </c>
      <c r="L87" s="79">
        <f>IF($C87&lt;=Entradas!$E$153,"",G87*J87)</f>
        <v>0.5058068392031928</v>
      </c>
      <c r="M87" s="40"/>
    </row>
    <row r="88" spans="2:13">
      <c r="B88" s="39"/>
      <c r="C88" s="75">
        <v>83</v>
      </c>
      <c r="D88" s="110">
        <f>IF($C88&lt;=Entradas!$E$153,"",Observaciones!L88)</f>
        <v>1.2094246870896819</v>
      </c>
      <c r="E88" s="110">
        <f>IF($C88&lt;=Entradas!$E$153,"",Escenario1!BN89)</f>
        <v>1.9295455220082485</v>
      </c>
      <c r="F88" s="79">
        <f>IF($C88&lt;=Entradas!$E$153,"",D88-E88)</f>
        <v>-0.7201208349185666</v>
      </c>
      <c r="G88" s="79">
        <f>IF($C88&lt;=Entradas!$E$153,"",D88-AVERAGE(D:D))</f>
        <v>0.42657306557810393</v>
      </c>
      <c r="H88" s="79">
        <f>IF($C88&lt;=Entradas!$E$153,"",F88^2)</f>
        <v>0.51857401688381344</v>
      </c>
      <c r="I88" s="79">
        <f>IF($C88&lt;=Entradas!$E$153,"",G88^2)</f>
        <v>0.18196458027670134</v>
      </c>
      <c r="J88" s="79">
        <f>IF($C88&lt;=Entradas!$E$153,"",E88-AVERAGE(E:E))</f>
        <v>1.0986063813450633</v>
      </c>
      <c r="K88" s="79">
        <f>IF($C88&lt;=Entradas!$E$153,"",J88^2)</f>
        <v>1.2069359811320945</v>
      </c>
      <c r="L88" s="79">
        <f>IF($C88&lt;=Entradas!$E$153,"",G88*J88)</f>
        <v>0.4686358919540311</v>
      </c>
      <c r="M88" s="40"/>
    </row>
    <row r="89" spans="2:13">
      <c r="B89" s="39"/>
      <c r="C89" s="75">
        <v>84</v>
      </c>
      <c r="D89" s="110">
        <f>IF($C89&lt;=Entradas!$E$153,"",Observaciones!L89)</f>
        <v>1.2100743922214423</v>
      </c>
      <c r="E89" s="110">
        <f>IF($C89&lt;=Entradas!$E$153,"",Escenario1!BN90)</f>
        <v>1.8386545465966564</v>
      </c>
      <c r="F89" s="79">
        <f>IF($C89&lt;=Entradas!$E$153,"",D89-E89)</f>
        <v>-0.62858015437521408</v>
      </c>
      <c r="G89" s="79">
        <f>IF($C89&lt;=Entradas!$E$153,"",D89-AVERAGE(D:D))</f>
        <v>0.42722277070986436</v>
      </c>
      <c r="H89" s="79">
        <f>IF($C89&lt;=Entradas!$E$153,"",F89^2)</f>
        <v>0.39511301047436798</v>
      </c>
      <c r="I89" s="79">
        <f>IF($C89&lt;=Entradas!$E$153,"",G89^2)</f>
        <v>0.18251929581301335</v>
      </c>
      <c r="J89" s="79">
        <f>IF($C89&lt;=Entradas!$E$153,"",E89-AVERAGE(E:E))</f>
        <v>1.0077154059334712</v>
      </c>
      <c r="K89" s="79">
        <f>IF($C89&lt;=Entradas!$E$153,"",J89^2)</f>
        <v>1.0154903393556607</v>
      </c>
      <c r="L89" s="79">
        <f>IF($C89&lt;=Entradas!$E$153,"",G89*J89)</f>
        <v>0.43051896780991328</v>
      </c>
      <c r="M89" s="40"/>
    </row>
    <row r="90" spans="2:13">
      <c r="B90" s="39"/>
      <c r="C90" s="75">
        <v>85</v>
      </c>
      <c r="D90" s="110">
        <f>IF($C90&lt;=Entradas!$E$153,"",Observaciones!L90)</f>
        <v>1.2098880399378018</v>
      </c>
      <c r="E90" s="110">
        <f>IF($C90&lt;=Entradas!$E$153,"",Escenario1!BN91)</f>
        <v>1.7521629223008577</v>
      </c>
      <c r="F90" s="79">
        <f>IF($C90&lt;=Entradas!$E$153,"",D90-E90)</f>
        <v>-0.54227488236305588</v>
      </c>
      <c r="G90" s="79">
        <f>IF($C90&lt;=Entradas!$E$153,"",D90-AVERAGE(D:D))</f>
        <v>0.42703641842622386</v>
      </c>
      <c r="H90" s="79">
        <f>IF($C90&lt;=Entradas!$E$153,"",F90^2)</f>
        <v>0.29406204804186609</v>
      </c>
      <c r="I90" s="79">
        <f>IF($C90&lt;=Entradas!$E$153,"",G90^2)</f>
        <v>0.18236010266229694</v>
      </c>
      <c r="J90" s="79">
        <f>IF($C90&lt;=Entradas!$E$153,"",E90-AVERAGE(E:E))</f>
        <v>0.92122378163767249</v>
      </c>
      <c r="K90" s="79">
        <f>IF($C90&lt;=Entradas!$E$153,"",J90^2)</f>
        <v>0.8486532558548141</v>
      </c>
      <c r="L90" s="79">
        <f>IF($C90&lt;=Entradas!$E$153,"",G90*J90)</f>
        <v>0.39339610427961341</v>
      </c>
      <c r="M90" s="40"/>
    </row>
    <row r="91" spans="2:13">
      <c r="B91" s="39"/>
      <c r="C91" s="75">
        <v>86</v>
      </c>
      <c r="D91" s="110">
        <f>IF($C91&lt;=Entradas!$E$153,"",Observaciones!L91)</f>
        <v>1.208899531122607</v>
      </c>
      <c r="E91" s="110">
        <f>IF($C91&lt;=Entradas!$E$153,"",Escenario1!BN92)</f>
        <v>1.6678397320730884</v>
      </c>
      <c r="F91" s="79">
        <f>IF($C91&lt;=Entradas!$E$153,"",D91-E91)</f>
        <v>-0.45894020095048149</v>
      </c>
      <c r="G91" s="79">
        <f>IF($C91&lt;=Entradas!$E$153,"",D91-AVERAGE(D:D))</f>
        <v>0.42604790961102901</v>
      </c>
      <c r="H91" s="79">
        <f>IF($C91&lt;=Entradas!$E$153,"",F91^2)</f>
        <v>0.21062610804846832</v>
      </c>
      <c r="I91" s="79">
        <f>IF($C91&lt;=Entradas!$E$153,"",G91^2)</f>
        <v>0.18151682128392754</v>
      </c>
      <c r="J91" s="79">
        <f>IF($C91&lt;=Entradas!$E$153,"",E91-AVERAGE(E:E))</f>
        <v>0.83690059140990325</v>
      </c>
      <c r="K91" s="79">
        <f>IF($C91&lt;=Entradas!$E$153,"",J91^2)</f>
        <v>0.70040259990224585</v>
      </c>
      <c r="L91" s="79">
        <f>IF($C91&lt;=Entradas!$E$153,"",G91*J91)</f>
        <v>0.3565597475224232</v>
      </c>
      <c r="M91" s="40"/>
    </row>
    <row r="92" spans="2:13">
      <c r="B92" s="39"/>
      <c r="C92" s="75">
        <v>87</v>
      </c>
      <c r="D92" s="110">
        <f>IF($C92&lt;=Entradas!$E$153,"",Observaciones!L92)</f>
        <v>1.2179337536047621</v>
      </c>
      <c r="E92" s="110">
        <f>IF($C92&lt;=Entradas!$E$153,"",Escenario1!BN93)</f>
        <v>1.9387873316292428</v>
      </c>
      <c r="F92" s="79">
        <f>IF($C92&lt;=Entradas!$E$153,"",D92-E92)</f>
        <v>-0.72085357802448069</v>
      </c>
      <c r="G92" s="79">
        <f>IF($C92&lt;=Entradas!$E$153,"",D92-AVERAGE(D:D))</f>
        <v>0.43508213209318414</v>
      </c>
      <c r="H92" s="79">
        <f>IF($C92&lt;=Entradas!$E$153,"",F92^2)</f>
        <v>0.51962988095069607</v>
      </c>
      <c r="I92" s="79">
        <f>IF($C92&lt;=Entradas!$E$153,"",G92^2)</f>
        <v>0.18929646166675093</v>
      </c>
      <c r="J92" s="79">
        <f>IF($C92&lt;=Entradas!$E$153,"",E92-AVERAGE(E:E))</f>
        <v>1.1078481909660576</v>
      </c>
      <c r="K92" s="79">
        <f>IF($C92&lt;=Entradas!$E$153,"",J92^2)</f>
        <v>1.2273276142267664</v>
      </c>
      <c r="L92" s="79">
        <f>IF($C92&lt;=Entradas!$E$153,"",G92*J92)</f>
        <v>0.48200495296108936</v>
      </c>
      <c r="M92" s="40"/>
    </row>
    <row r="93" spans="2:13">
      <c r="B93" s="39"/>
      <c r="C93" s="75">
        <v>88</v>
      </c>
      <c r="D93" s="110">
        <f>IF($C93&lt;=Entradas!$E$153,"",Observaciones!L93)</f>
        <v>1.2182991651146349</v>
      </c>
      <c r="E93" s="110">
        <f>IF($C93&lt;=Entradas!$E$153,"",Escenario1!BN94)</f>
        <v>1.8487882766655632</v>
      </c>
      <c r="F93" s="79">
        <f>IF($C93&lt;=Entradas!$E$153,"",D93-E93)</f>
        <v>-0.63048911155092835</v>
      </c>
      <c r="G93" s="79">
        <f>IF($C93&lt;=Entradas!$E$153,"",D93-AVERAGE(D:D))</f>
        <v>0.43544754360305693</v>
      </c>
      <c r="H93" s="79">
        <f>IF($C93&lt;=Entradas!$E$153,"",F93^2)</f>
        <v>0.39751651978427899</v>
      </c>
      <c r="I93" s="79">
        <f>IF($C93&lt;=Entradas!$E$153,"",G93^2)</f>
        <v>0.18961456322993617</v>
      </c>
      <c r="J93" s="79">
        <f>IF($C93&lt;=Entradas!$E$153,"",E93-AVERAGE(E:E))</f>
        <v>1.017849136002378</v>
      </c>
      <c r="K93" s="79">
        <f>IF($C93&lt;=Entradas!$E$153,"",J93^2)</f>
        <v>1.0360168636607874</v>
      </c>
      <c r="L93" s="79">
        <f>IF($C93&lt;=Entradas!$E$153,"",G93*J93)</f>
        <v>0.4432199060307293</v>
      </c>
      <c r="M93" s="40"/>
    </row>
    <row r="94" spans="2:13">
      <c r="B94" s="39"/>
      <c r="C94" s="75">
        <v>89</v>
      </c>
      <c r="D94" s="110">
        <f>IF($C94&lt;=Entradas!$E$153,"",Observaciones!L94)</f>
        <v>1.218338585899057</v>
      </c>
      <c r="E94" s="110">
        <f>IF($C94&lt;=Entradas!$E$153,"",Escenario1!BN95)</f>
        <v>1.8142369968270933</v>
      </c>
      <c r="F94" s="79">
        <f>IF($C94&lt;=Entradas!$E$153,"",D94-E94)</f>
        <v>-0.5958984109280363</v>
      </c>
      <c r="G94" s="79">
        <f>IF($C94&lt;=Entradas!$E$153,"",D94-AVERAGE(D:D))</f>
        <v>0.43548696438747903</v>
      </c>
      <c r="H94" s="79">
        <f>IF($C94&lt;=Entradas!$E$153,"",F94^2)</f>
        <v>0.3550949161465588</v>
      </c>
      <c r="I94" s="79">
        <f>IF($C94&lt;=Entradas!$E$153,"",G94^2)</f>
        <v>0.18964889615142141</v>
      </c>
      <c r="J94" s="79">
        <f>IF($C94&lt;=Entradas!$E$153,"",E94-AVERAGE(E:E))</f>
        <v>0.98329785616390808</v>
      </c>
      <c r="K94" s="79">
        <f>IF($C94&lt;=Entradas!$E$153,"",J94^2)</f>
        <v>0.9668746739365377</v>
      </c>
      <c r="L94" s="79">
        <f>IF($C94&lt;=Entradas!$E$153,"",G94*J94)</f>
        <v>0.42821339846953632</v>
      </c>
      <c r="M94" s="40"/>
    </row>
    <row r="95" spans="2:13">
      <c r="B95" s="39"/>
      <c r="C95" s="75">
        <v>90</v>
      </c>
      <c r="D95" s="110">
        <f>IF($C95&lt;=Entradas!$E$153,"",Observaciones!L95)</f>
        <v>1.2175628227377493</v>
      </c>
      <c r="E95" s="110">
        <f>IF($C95&lt;=Entradas!$E$153,"",Escenario1!BN96)</f>
        <v>1.7279440219925823</v>
      </c>
      <c r="F95" s="79">
        <f>IF($C95&lt;=Entradas!$E$153,"",D95-E95)</f>
        <v>-0.51038119925483305</v>
      </c>
      <c r="G95" s="79">
        <f>IF($C95&lt;=Entradas!$E$153,"",D95-AVERAGE(D:D))</f>
        <v>0.43471120122617135</v>
      </c>
      <c r="H95" s="79">
        <f>IF($C95&lt;=Entradas!$E$153,"",F95^2)</f>
        <v>0.26048896855280163</v>
      </c>
      <c r="I95" s="79">
        <f>IF($C95&lt;=Entradas!$E$153,"",G95^2)</f>
        <v>0.18897382847150085</v>
      </c>
      <c r="J95" s="79">
        <f>IF($C95&lt;=Entradas!$E$153,"",E95-AVERAGE(E:E))</f>
        <v>0.89700488132939715</v>
      </c>
      <c r="K95" s="79">
        <f>IF($C95&lt;=Entradas!$E$153,"",J95^2)</f>
        <v>0.80461775712876582</v>
      </c>
      <c r="L95" s="79">
        <f>IF($C95&lt;=Entradas!$E$153,"",G95*J95)</f>
        <v>0.38993806946844151</v>
      </c>
      <c r="M95" s="40"/>
    </row>
    <row r="96" spans="2:13">
      <c r="B96" s="39"/>
      <c r="C96" s="75">
        <v>91</v>
      </c>
      <c r="D96" s="110">
        <f>IF($C96&lt;=Entradas!$E$153,"",Observaciones!L96)</f>
        <v>1.2160123734037398</v>
      </c>
      <c r="E96" s="110">
        <f>IF($C96&lt;=Entradas!$E$153,"",Escenario1!BN97)</f>
        <v>1.6445539542677303</v>
      </c>
      <c r="F96" s="79">
        <f>IF($C96&lt;=Entradas!$E$153,"",D96-E96)</f>
        <v>-0.42854158086399052</v>
      </c>
      <c r="G96" s="79">
        <f>IF($C96&lt;=Entradas!$E$153,"",D96-AVERAGE(D:D))</f>
        <v>0.43316075189216185</v>
      </c>
      <c r="H96" s="79">
        <f>IF($C96&lt;=Entradas!$E$153,"",F96^2)</f>
        <v>0.18364788652940814</v>
      </c>
      <c r="I96" s="79">
        <f>IF($C96&lt;=Entradas!$E$153,"",G96^2)</f>
        <v>0.18762823697978301</v>
      </c>
      <c r="J96" s="79">
        <f>IF($C96&lt;=Entradas!$E$153,"",E96-AVERAGE(E:E))</f>
        <v>0.81361481360454513</v>
      </c>
      <c r="K96" s="79">
        <f>IF($C96&lt;=Entradas!$E$153,"",J96^2)</f>
        <v>0.66196906491675866</v>
      </c>
      <c r="L96" s="79">
        <f>IF($C96&lt;=Entradas!$E$153,"",G96*J96)</f>
        <v>0.35242600441154587</v>
      </c>
      <c r="M96" s="40"/>
    </row>
    <row r="97" spans="2:13">
      <c r="B97" s="39"/>
      <c r="C97" s="75">
        <v>92</v>
      </c>
      <c r="D97" s="110">
        <f>IF($C97&lt;=Entradas!$E$153,"",Observaciones!L97)</f>
        <v>1.2137193181452783</v>
      </c>
      <c r="E97" s="110">
        <f>IF($C97&lt;=Entradas!$E$153,"",Escenario1!BN98)</f>
        <v>1.5632466189483762</v>
      </c>
      <c r="F97" s="79">
        <f>IF($C97&lt;=Entradas!$E$153,"",D97-E97)</f>
        <v>-0.34952730080309791</v>
      </c>
      <c r="G97" s="79">
        <f>IF($C97&lt;=Entradas!$E$153,"",D97-AVERAGE(D:D))</f>
        <v>0.43086769663370039</v>
      </c>
      <c r="H97" s="79">
        <f>IF($C97&lt;=Entradas!$E$153,"",F97^2)</f>
        <v>0.12216933400669928</v>
      </c>
      <c r="I97" s="79">
        <f>IF($C97&lt;=Entradas!$E$153,"",G97^2)</f>
        <v>0.18564697200243047</v>
      </c>
      <c r="J97" s="79">
        <f>IF($C97&lt;=Entradas!$E$153,"",E97-AVERAGE(E:E))</f>
        <v>0.73230747828519105</v>
      </c>
      <c r="K97" s="79">
        <f>IF($C97&lt;=Entradas!$E$153,"",J97^2)</f>
        <v>0.53627424275241553</v>
      </c>
      <c r="L97" s="79">
        <f>IF($C97&lt;=Entradas!$E$153,"",G97*J97)</f>
        <v>0.31552763639637382</v>
      </c>
      <c r="M97" s="40"/>
    </row>
    <row r="98" spans="2:13">
      <c r="B98" s="39"/>
      <c r="C98" s="75">
        <v>93</v>
      </c>
      <c r="D98" s="110">
        <f>IF($C98&lt;=Entradas!$E$153,"",Observaciones!L98)</f>
        <v>1.2108727199672047</v>
      </c>
      <c r="E98" s="110">
        <f>IF($C98&lt;=Entradas!$E$153,"",Escenario1!BN99)</f>
        <v>1.5004932890654186</v>
      </c>
      <c r="F98" s="79">
        <f>IF($C98&lt;=Entradas!$E$153,"",D98-E98)</f>
        <v>-0.28962056909821388</v>
      </c>
      <c r="G98" s="79">
        <f>IF($C98&lt;=Entradas!$E$153,"",D98-AVERAGE(D:D))</f>
        <v>0.42802109845562675</v>
      </c>
      <c r="H98" s="79">
        <f>IF($C98&lt;=Entradas!$E$153,"",F98^2)</f>
        <v>8.3880074044773281E-2</v>
      </c>
      <c r="I98" s="79">
        <f>IF($C98&lt;=Entradas!$E$153,"",G98^2)</f>
        <v>0.18320206072316134</v>
      </c>
      <c r="J98" s="79">
        <f>IF($C98&lt;=Entradas!$E$153,"",E98-AVERAGE(E:E))</f>
        <v>0.66955414840223337</v>
      </c>
      <c r="K98" s="79">
        <f>IF($C98&lt;=Entradas!$E$153,"",J98^2)</f>
        <v>0.44830275764263994</v>
      </c>
      <c r="L98" s="79">
        <f>IF($C98&lt;=Entradas!$E$153,"",G98*J98)</f>
        <v>0.28658330207464566</v>
      </c>
      <c r="M98" s="40"/>
    </row>
    <row r="99" spans="2:13">
      <c r="B99" s="39"/>
      <c r="C99" s="75">
        <v>94</v>
      </c>
      <c r="D99" s="110">
        <f>IF($C99&lt;=Entradas!$E$153,"",Observaciones!L99)</f>
        <v>1.207365724187226</v>
      </c>
      <c r="E99" s="110">
        <f>IF($C99&lt;=Entradas!$E$153,"",Escenario1!BN100)</f>
        <v>1.425606635161734</v>
      </c>
      <c r="F99" s="79">
        <f>IF($C99&lt;=Entradas!$E$153,"",D99-E99)</f>
        <v>-0.21824091097450804</v>
      </c>
      <c r="G99" s="79">
        <f>IF($C99&lt;=Entradas!$E$153,"",D99-AVERAGE(D:D))</f>
        <v>0.42451410267564804</v>
      </c>
      <c r="H99" s="79">
        <f>IF($C99&lt;=Entradas!$E$153,"",F99^2)</f>
        <v>4.7629095222983142E-2</v>
      </c>
      <c r="I99" s="79">
        <f>IF($C99&lt;=Entradas!$E$153,"",G99^2)</f>
        <v>0.18021222337051065</v>
      </c>
      <c r="J99" s="79">
        <f>IF($C99&lt;=Entradas!$E$153,"",E99-AVERAGE(E:E))</f>
        <v>0.59466749449854883</v>
      </c>
      <c r="K99" s="79">
        <f>IF($C99&lt;=Entradas!$E$153,"",J99^2)</f>
        <v>0.35362942901318162</v>
      </c>
      <c r="L99" s="79">
        <f>IF($C99&lt;=Entradas!$E$153,"",G99*J99)</f>
        <v>0.25244473781742732</v>
      </c>
      <c r="M99" s="40"/>
    </row>
    <row r="100" spans="2:13">
      <c r="B100" s="39"/>
      <c r="C100" s="75">
        <v>95</v>
      </c>
      <c r="D100" s="110">
        <f>IF($C100&lt;=Entradas!$E$153,"",Observaciones!L100)</f>
        <v>1.2032322861832678</v>
      </c>
      <c r="E100" s="110">
        <f>IF($C100&lt;=Entradas!$E$153,"",Escenario1!BN101)</f>
        <v>1.3531478022901873</v>
      </c>
      <c r="F100" s="79">
        <f>IF($C100&lt;=Entradas!$E$153,"",D100-E100)</f>
        <v>-0.14991551610691944</v>
      </c>
      <c r="G100" s="79">
        <f>IF($C100&lt;=Entradas!$E$153,"",D100-AVERAGE(D:D))</f>
        <v>0.42038066467168989</v>
      </c>
      <c r="H100" s="79">
        <f>IF($C100&lt;=Entradas!$E$153,"",F100^2)</f>
        <v>2.2474661969604022E-2</v>
      </c>
      <c r="I100" s="79">
        <f>IF($C100&lt;=Entradas!$E$153,"",G100^2)</f>
        <v>0.17671990322981176</v>
      </c>
      <c r="J100" s="79">
        <f>IF($C100&lt;=Entradas!$E$153,"",E100-AVERAGE(E:E))</f>
        <v>0.52220866162700208</v>
      </c>
      <c r="K100" s="79">
        <f>IF($C100&lt;=Entradas!$E$153,"",J100^2)</f>
        <v>0.27270188627826475</v>
      </c>
      <c r="L100" s="79">
        <f>IF($C100&lt;=Entradas!$E$153,"",G100*J100)</f>
        <v>0.21952642427207272</v>
      </c>
      <c r="M100" s="40"/>
    </row>
    <row r="101" spans="2:13">
      <c r="B101" s="39"/>
      <c r="C101" s="75">
        <v>96</v>
      </c>
      <c r="D101" s="110">
        <f>IF($C101&lt;=Entradas!$E$153,"",Observaciones!L101)</f>
        <v>1.1985297595762354</v>
      </c>
      <c r="E101" s="110">
        <f>IF($C101&lt;=Entradas!$E$153,"",Escenario1!BN102)</f>
        <v>1.2855975603990222</v>
      </c>
      <c r="F101" s="79">
        <f>IF($C101&lt;=Entradas!$E$153,"",D101-E101)</f>
        <v>-8.7067800822786756E-2</v>
      </c>
      <c r="G101" s="79">
        <f>IF($C101&lt;=Entradas!$E$153,"",D101-AVERAGE(D:D))</f>
        <v>0.41567813806465748</v>
      </c>
      <c r="H101" s="79">
        <f>IF($C101&lt;=Entradas!$E$153,"",F101^2)</f>
        <v>7.5808019401164663E-3</v>
      </c>
      <c r="I101" s="79">
        <f>IF($C101&lt;=Entradas!$E$153,"",G101^2)</f>
        <v>0.17278831446490045</v>
      </c>
      <c r="J101" s="79">
        <f>IF($C101&lt;=Entradas!$E$153,"",E101-AVERAGE(E:E))</f>
        <v>0.45465841973583698</v>
      </c>
      <c r="K101" s="79">
        <f>IF($C101&lt;=Entradas!$E$153,"",J101^2)</f>
        <v>0.20671427863668851</v>
      </c>
      <c r="L101" s="79">
        <f>IF($C101&lt;=Entradas!$E$153,"",G101*J101)</f>
        <v>0.18899156537121223</v>
      </c>
      <c r="M101" s="40"/>
    </row>
    <row r="102" spans="2:13">
      <c r="B102" s="39"/>
      <c r="C102" s="75">
        <v>97</v>
      </c>
      <c r="D102" s="110">
        <f>IF($C102&lt;=Entradas!$E$153,"",Observaciones!L102)</f>
        <v>1.193340523944233</v>
      </c>
      <c r="E102" s="110">
        <f>IF($C102&lt;=Entradas!$E$153,"",Escenario1!BN103)</f>
        <v>1.225670487147914</v>
      </c>
      <c r="F102" s="79">
        <f>IF($C102&lt;=Entradas!$E$153,"",D102-E102)</f>
        <v>-3.2329963203681089E-2</v>
      </c>
      <c r="G102" s="79">
        <f>IF($C102&lt;=Entradas!$E$153,"",D102-AVERAGE(D:D))</f>
        <v>0.41048890243265501</v>
      </c>
      <c r="H102" s="79">
        <f>IF($C102&lt;=Entradas!$E$153,"",F102^2)</f>
        <v>1.0452265207513732E-3</v>
      </c>
      <c r="I102" s="79">
        <f>IF($C102&lt;=Entradas!$E$153,"",G102^2)</f>
        <v>0.16850113902036576</v>
      </c>
      <c r="J102" s="79">
        <f>IF($C102&lt;=Entradas!$E$153,"",E102-AVERAGE(E:E))</f>
        <v>0.39473134648472885</v>
      </c>
      <c r="K102" s="79">
        <f>IF($C102&lt;=Entradas!$E$153,"",J102^2)</f>
        <v>0.15581283589764705</v>
      </c>
      <c r="L102" s="79">
        <f>IF($C102&lt;=Entradas!$E$153,"",G102*J102)</f>
        <v>0.16203283717428041</v>
      </c>
      <c r="M102" s="40"/>
    </row>
    <row r="103" spans="2:13">
      <c r="B103" s="39"/>
      <c r="C103" s="75">
        <v>98</v>
      </c>
      <c r="D103" s="110">
        <f>IF($C103&lt;=Entradas!$E$153,"",Observaciones!L103)</f>
        <v>1.1878524646815274</v>
      </c>
      <c r="E103" s="110">
        <f>IF($C103&lt;=Entradas!$E$153,"",Escenario1!BN104)</f>
        <v>1.1698250751568473</v>
      </c>
      <c r="F103" s="79">
        <f>IF($C103&lt;=Entradas!$E$153,"",D103-E103)</f>
        <v>1.8027389524680082E-2</v>
      </c>
      <c r="G103" s="79">
        <f>IF($C103&lt;=Entradas!$E$153,"",D103-AVERAGE(D:D))</f>
        <v>0.40500084316994944</v>
      </c>
      <c r="H103" s="79">
        <f>IF($C103&lt;=Entradas!$E$153,"",F103^2)</f>
        <v>3.2498677307454517E-4</v>
      </c>
      <c r="I103" s="79">
        <f>IF($C103&lt;=Entradas!$E$153,"",G103^2)</f>
        <v>0.16402568296836997</v>
      </c>
      <c r="J103" s="79">
        <f>IF($C103&lt;=Entradas!$E$153,"",E103-AVERAGE(E:E))</f>
        <v>0.33888593449366211</v>
      </c>
      <c r="K103" s="79">
        <f>IF($C103&lt;=Entradas!$E$153,"",J103^2)</f>
        <v>0.11484367659764265</v>
      </c>
      <c r="L103" s="79">
        <f>IF($C103&lt;=Entradas!$E$153,"",G103*J103)</f>
        <v>0.1372490892083694</v>
      </c>
      <c r="M103" s="40"/>
    </row>
    <row r="104" spans="2:13">
      <c r="B104" s="39"/>
      <c r="C104" s="75">
        <v>99</v>
      </c>
      <c r="D104" s="110">
        <f>IF($C104&lt;=Entradas!$E$153,"",Observaciones!L104)</f>
        <v>1.1823204320767975</v>
      </c>
      <c r="E104" s="110">
        <f>IF($C104&lt;=Entradas!$E$153,"",Escenario1!BN105)</f>
        <v>1.152899687228671</v>
      </c>
      <c r="F104" s="79">
        <f>IF($C104&lt;=Entradas!$E$153,"",D104-E104)</f>
        <v>2.9420744848126512E-2</v>
      </c>
      <c r="G104" s="79">
        <f>IF($C104&lt;=Entradas!$E$153,"",D104-AVERAGE(D:D))</f>
        <v>0.39946881056521955</v>
      </c>
      <c r="H104" s="79">
        <f>IF($C104&lt;=Entradas!$E$153,"",F104^2)</f>
        <v>8.6558022741856273E-4</v>
      </c>
      <c r="I104" s="79">
        <f>IF($C104&lt;=Entradas!$E$153,"",G104^2)</f>
        <v>0.15957533061439125</v>
      </c>
      <c r="J104" s="79">
        <f>IF($C104&lt;=Entradas!$E$153,"",E104-AVERAGE(E:E))</f>
        <v>0.32196054656548578</v>
      </c>
      <c r="K104" s="79">
        <f>IF($C104&lt;=Entradas!$E$153,"",J104^2)</f>
        <v>0.10365859354474634</v>
      </c>
      <c r="L104" s="79">
        <f>IF($C104&lt;=Entradas!$E$153,"",G104*J104)</f>
        <v>0.1286131965854426</v>
      </c>
      <c r="M104" s="40"/>
    </row>
    <row r="105" spans="2:13">
      <c r="B105" s="39"/>
      <c r="C105" s="75">
        <v>100</v>
      </c>
      <c r="D105" s="110">
        <f>IF($C105&lt;=Entradas!$E$153,"",Observaciones!L105)</f>
        <v>1.1767872708304321</v>
      </c>
      <c r="E105" s="110">
        <f>IF($C105&lt;=Entradas!$E$153,"",Escenario1!BN106)</f>
        <v>1.1425890078169509</v>
      </c>
      <c r="F105" s="79">
        <f>IF($C105&lt;=Entradas!$E$153,"",D105-E105)</f>
        <v>3.4198263013481167E-2</v>
      </c>
      <c r="G105" s="79">
        <f>IF($C105&lt;=Entradas!$E$153,"",D105-AVERAGE(D:D))</f>
        <v>0.39393564931885416</v>
      </c>
      <c r="H105" s="79">
        <f>IF($C105&lt;=Entradas!$E$153,"",F105^2)</f>
        <v>1.169521193139234E-3</v>
      </c>
      <c r="I105" s="79">
        <f>IF($C105&lt;=Entradas!$E$153,"",G105^2)</f>
        <v>0.15518529580426724</v>
      </c>
      <c r="J105" s="79">
        <f>IF($C105&lt;=Entradas!$E$153,"",E105-AVERAGE(E:E))</f>
        <v>0.31164986715376575</v>
      </c>
      <c r="K105" s="79">
        <f>IF($C105&lt;=Entradas!$E$153,"",J105^2)</f>
        <v>9.7125639696959837E-2</v>
      </c>
      <c r="L105" s="79">
        <f>IF($C105&lt;=Entradas!$E$153,"",G105*J105)</f>
        <v>0.12276999277735336</v>
      </c>
      <c r="M105" s="40"/>
    </row>
    <row r="106" spans="2:13">
      <c r="B106" s="39"/>
      <c r="C106" s="75">
        <v>101</v>
      </c>
      <c r="D106" s="110">
        <f>IF($C106&lt;=Entradas!$E$153,"",Observaciones!L106)</f>
        <v>1.1712606313970715</v>
      </c>
      <c r="E106" s="110">
        <f>IF($C106&lt;=Entradas!$E$153,"",Escenario1!BN107)</f>
        <v>1.1331862161732069</v>
      </c>
      <c r="F106" s="79">
        <f>IF($C106&lt;=Entradas!$E$153,"",D106-E106)</f>
        <v>3.8074415223864566E-2</v>
      </c>
      <c r="G106" s="79">
        <f>IF($C106&lt;=Entradas!$E$153,"",D106-AVERAGE(D:D))</f>
        <v>0.38840900988549354</v>
      </c>
      <c r="H106" s="79">
        <f>IF($C106&lt;=Entradas!$E$153,"",F106^2)</f>
        <v>1.4496610946392499E-3</v>
      </c>
      <c r="I106" s="79">
        <f>IF($C106&lt;=Entradas!$E$153,"",G106^2)</f>
        <v>0.15086155896022943</v>
      </c>
      <c r="J106" s="79">
        <f>IF($C106&lt;=Entradas!$E$153,"",E106-AVERAGE(E:E))</f>
        <v>0.30224707551002172</v>
      </c>
      <c r="K106" s="79">
        <f>IF($C106&lt;=Entradas!$E$153,"",J106^2)</f>
        <v>9.1353294654360775E-2</v>
      </c>
      <c r="L106" s="79">
        <f>IF($C106&lt;=Entradas!$E$153,"",G106*J106)</f>
        <v>0.11739548733963354</v>
      </c>
      <c r="M106" s="40"/>
    </row>
    <row r="107" spans="2:13">
      <c r="B107" s="39"/>
      <c r="C107" s="75">
        <v>102</v>
      </c>
      <c r="D107" s="110">
        <f>IF($C107&lt;=Entradas!$E$153,"",Observaciones!L107)</f>
        <v>1.1662367206191875</v>
      </c>
      <c r="E107" s="110">
        <f>IF($C107&lt;=Entradas!$E$153,"",Escenario1!BN108)</f>
        <v>1.1747323618633234</v>
      </c>
      <c r="F107" s="79">
        <f>IF($C107&lt;=Entradas!$E$153,"",D107-E107)</f>
        <v>-8.4956412441359319E-3</v>
      </c>
      <c r="G107" s="79">
        <f>IF($C107&lt;=Entradas!$E$153,"",D107-AVERAGE(D:D))</f>
        <v>0.38338509910760954</v>
      </c>
      <c r="H107" s="79">
        <f>IF($C107&lt;=Entradas!$E$153,"",F107^2)</f>
        <v>7.2175920149063531E-5</v>
      </c>
      <c r="I107" s="79">
        <f>IF($C107&lt;=Entradas!$E$153,"",G107^2)</f>
        <v>0.14698413421775158</v>
      </c>
      <c r="J107" s="79">
        <f>IF($C107&lt;=Entradas!$E$153,"",E107-AVERAGE(E:E))</f>
        <v>0.34379322120013822</v>
      </c>
      <c r="K107" s="79">
        <f>IF($C107&lt;=Entradas!$E$153,"",J107^2)</f>
        <v>0.11819377894316717</v>
      </c>
      <c r="L107" s="79">
        <f>IF($C107&lt;=Entradas!$E$153,"",G107*J107)</f>
        <v>0.13180519818233932</v>
      </c>
      <c r="M107" s="40"/>
    </row>
    <row r="108" spans="2:13">
      <c r="B108" s="39"/>
      <c r="C108" s="75">
        <v>103</v>
      </c>
      <c r="D108" s="110">
        <f>IF($C108&lt;=Entradas!$E$153,"",Observaciones!L108)</f>
        <v>1.161234777154752</v>
      </c>
      <c r="E108" s="110">
        <f>IF($C108&lt;=Entradas!$E$153,"",Escenario1!BN109)</f>
        <v>1.1675138430242897</v>
      </c>
      <c r="F108" s="79">
        <f>IF($C108&lt;=Entradas!$E$153,"",D108-E108)</f>
        <v>-6.2790658695377477E-3</v>
      </c>
      <c r="G108" s="79">
        <f>IF($C108&lt;=Entradas!$E$153,"",D108-AVERAGE(D:D))</f>
        <v>0.37838315564317404</v>
      </c>
      <c r="H108" s="79">
        <f>IF($C108&lt;=Entradas!$E$153,"",F108^2)</f>
        <v>3.9426668193993834E-5</v>
      </c>
      <c r="I108" s="79">
        <f>IF($C108&lt;=Entradas!$E$153,"",G108^2)</f>
        <v>0.14317381247448646</v>
      </c>
      <c r="J108" s="79">
        <f>IF($C108&lt;=Entradas!$E$153,"",E108-AVERAGE(E:E))</f>
        <v>0.33657470236110454</v>
      </c>
      <c r="K108" s="79">
        <f>IF($C108&lt;=Entradas!$E$153,"",J108^2)</f>
        <v>0.11328253026946611</v>
      </c>
      <c r="L108" s="79">
        <f>IF($C108&lt;=Entradas!$E$153,"",G108*J108)</f>
        <v>0.12735419798905678</v>
      </c>
      <c r="M108" s="40"/>
    </row>
    <row r="109" spans="2:13">
      <c r="B109" s="39"/>
      <c r="C109" s="75">
        <v>104</v>
      </c>
      <c r="D109" s="110">
        <f>IF($C109&lt;=Entradas!$E$153,"",Observaciones!L109)</f>
        <v>1.1558054586189161</v>
      </c>
      <c r="E109" s="110">
        <f>IF($C109&lt;=Entradas!$E$153,"",Escenario1!BN110)</f>
        <v>1.1131650025026305</v>
      </c>
      <c r="F109" s="79">
        <f>IF($C109&lt;=Entradas!$E$153,"",D109-E109)</f>
        <v>4.2640456116285641E-2</v>
      </c>
      <c r="G109" s="79">
        <f>IF($C109&lt;=Entradas!$E$153,"",D109-AVERAGE(D:D))</f>
        <v>0.3729538371073382</v>
      </c>
      <c r="H109" s="79">
        <f>IF($C109&lt;=Entradas!$E$153,"",F109^2)</f>
        <v>1.8182084978048815E-3</v>
      </c>
      <c r="I109" s="79">
        <f>IF($C109&lt;=Entradas!$E$153,"",G109^2)</f>
        <v>0.13909456461308695</v>
      </c>
      <c r="J109" s="79">
        <f>IF($C109&lt;=Entradas!$E$153,"",E109-AVERAGE(E:E))</f>
        <v>0.28222586183944531</v>
      </c>
      <c r="K109" s="79">
        <f>IF($C109&lt;=Entradas!$E$153,"",J109^2)</f>
        <v>7.9651437091017671E-2</v>
      </c>
      <c r="L109" s="79">
        <f>IF($C109&lt;=Entradas!$E$153,"",G109*J109)</f>
        <v>0.10525721810394663</v>
      </c>
      <c r="M109" s="40"/>
    </row>
    <row r="110" spans="2:13">
      <c r="B110" s="39"/>
      <c r="C110" s="75">
        <v>105</v>
      </c>
      <c r="D110" s="110">
        <f>IF($C110&lt;=Entradas!$E$153,"",Observaciones!L110)</f>
        <v>1.1503141683699076</v>
      </c>
      <c r="E110" s="110">
        <f>IF($C110&lt;=Entradas!$E$153,"",Escenario1!BN111)</f>
        <v>1.0959357050083673</v>
      </c>
      <c r="F110" s="79">
        <f>IF($C110&lt;=Entradas!$E$153,"",D110-E110)</f>
        <v>5.4378463361540286E-2</v>
      </c>
      <c r="G110" s="79">
        <f>IF($C110&lt;=Entradas!$E$153,"",D110-AVERAGE(D:D))</f>
        <v>0.36746254685832969</v>
      </c>
      <c r="H110" s="79">
        <f>IF($C110&lt;=Entradas!$E$153,"",F110^2)</f>
        <v>2.957017277562379E-3</v>
      </c>
      <c r="I110" s="79">
        <f>IF($C110&lt;=Entradas!$E$153,"",G110^2)</f>
        <v>0.13502872334361013</v>
      </c>
      <c r="J110" s="79">
        <f>IF($C110&lt;=Entradas!$E$153,"",E110-AVERAGE(E:E))</f>
        <v>0.26499656434518215</v>
      </c>
      <c r="K110" s="79">
        <f>IF($C110&lt;=Entradas!$E$153,"",J110^2)</f>
        <v>7.0223179114750262E-2</v>
      </c>
      <c r="L110" s="79">
        <f>IF($C110&lt;=Entradas!$E$153,"",G110*J110)</f>
        <v>9.7376312442987875E-2</v>
      </c>
      <c r="M110" s="40"/>
    </row>
    <row r="111" spans="2:13">
      <c r="B111" s="39"/>
      <c r="C111" s="75">
        <v>106</v>
      </c>
      <c r="D111" s="110">
        <f>IF($C111&lt;=Entradas!$E$153,"",Observaciones!L111)</f>
        <v>1.1448220079263092</v>
      </c>
      <c r="E111" s="110">
        <f>IF($C111&lt;=Entradas!$E$153,"",Escenario1!BN112)</f>
        <v>1.0848831210522121</v>
      </c>
      <c r="F111" s="79">
        <f>IF($C111&lt;=Entradas!$E$153,"",D111-E111)</f>
        <v>5.9938886874097097E-2</v>
      </c>
      <c r="G111" s="79">
        <f>IF($C111&lt;=Entradas!$E$153,"",D111-AVERAGE(D:D))</f>
        <v>0.36197038641473123</v>
      </c>
      <c r="H111" s="79">
        <f>IF($C111&lt;=Entradas!$E$153,"",F111^2)</f>
        <v>3.5926701597058094E-3</v>
      </c>
      <c r="I111" s="79">
        <f>IF($C111&lt;=Entradas!$E$153,"",G111^2)</f>
        <v>0.13102256064122983</v>
      </c>
      <c r="J111" s="79">
        <f>IF($C111&lt;=Entradas!$E$153,"",E111-AVERAGE(E:E))</f>
        <v>0.25394398038902688</v>
      </c>
      <c r="K111" s="79">
        <f>IF($C111&lt;=Entradas!$E$153,"",J111^2)</f>
        <v>6.4487545175822475E-2</v>
      </c>
      <c r="L111" s="79">
        <f>IF($C111&lt;=Entradas!$E$153,"",G111*J111)</f>
        <v>9.1920200709110986E-2</v>
      </c>
      <c r="M111" s="40"/>
    </row>
    <row r="112" spans="2:13">
      <c r="B112" s="39"/>
      <c r="C112" s="75">
        <v>107</v>
      </c>
      <c r="D112" s="110">
        <f>IF($C112&lt;=Entradas!$E$153,"",Observaciones!L112)</f>
        <v>1.1393395709688425</v>
      </c>
      <c r="E112" s="110">
        <f>IF($C112&lt;=Entradas!$E$153,"",Escenario1!BN113)</f>
        <v>1.0745338072798845</v>
      </c>
      <c r="F112" s="79">
        <f>IF($C112&lt;=Entradas!$E$153,"",D112-E112)</f>
        <v>6.4805763688958073E-2</v>
      </c>
      <c r="G112" s="79">
        <f>IF($C112&lt;=Entradas!$E$153,"",D112-AVERAGE(D:D))</f>
        <v>0.35648794945726459</v>
      </c>
      <c r="H112" s="79">
        <f>IF($C112&lt;=Entradas!$E$153,"",F112^2)</f>
        <v>4.1997870073090769E-3</v>
      </c>
      <c r="I112" s="79">
        <f>IF($C112&lt;=Entradas!$E$153,"",G112^2)</f>
        <v>0.12708365810824523</v>
      </c>
      <c r="J112" s="79">
        <f>IF($C112&lt;=Entradas!$E$153,"",E112-AVERAGE(E:E))</f>
        <v>0.24359466661669926</v>
      </c>
      <c r="K112" s="79">
        <f>IF($C112&lt;=Entradas!$E$153,"",J112^2)</f>
        <v>5.9338361604100859E-2</v>
      </c>
      <c r="L112" s="79">
        <f>IF($C112&lt;=Entradas!$E$153,"",G112*J112)</f>
        <v>8.6838563200913099E-2</v>
      </c>
      <c r="M112" s="40"/>
    </row>
    <row r="113" spans="2:13">
      <c r="B113" s="39"/>
      <c r="C113" s="75">
        <v>108</v>
      </c>
      <c r="D113" s="110">
        <f>IF($C113&lt;=Entradas!$E$153,"",Observaciones!L113)</f>
        <v>1.1339091489597584</v>
      </c>
      <c r="E113" s="110">
        <f>IF($C113&lt;=Entradas!$E$153,"",Escenario1!BN114)</f>
        <v>1.0678501101041011</v>
      </c>
      <c r="F113" s="79">
        <f>IF($C113&lt;=Entradas!$E$153,"",D113-E113)</f>
        <v>6.6059038855657226E-2</v>
      </c>
      <c r="G113" s="79">
        <f>IF($C113&lt;=Entradas!$E$153,"",D113-AVERAGE(D:D))</f>
        <v>0.35105752744818042</v>
      </c>
      <c r="H113" s="79">
        <f>IF($C113&lt;=Entradas!$E$153,"",F113^2)</f>
        <v>4.3637966145332312E-3</v>
      </c>
      <c r="I113" s="79">
        <f>IF($C113&lt;=Entradas!$E$153,"",G113^2)</f>
        <v>0.12324138757802995</v>
      </c>
      <c r="J113" s="79">
        <f>IF($C113&lt;=Entradas!$E$153,"",E113-AVERAGE(E:E))</f>
        <v>0.23691096944091594</v>
      </c>
      <c r="K113" s="79">
        <f>IF($C113&lt;=Entradas!$E$153,"",J113^2)</f>
        <v>5.6126807441434605E-2</v>
      </c>
      <c r="L113" s="79">
        <f>IF($C113&lt;=Entradas!$E$153,"",G113*J113)</f>
        <v>8.3169379157279386E-2</v>
      </c>
      <c r="M113" s="40"/>
    </row>
    <row r="114" spans="2:13">
      <c r="B114" s="39"/>
      <c r="C114" s="75">
        <v>109</v>
      </c>
      <c r="D114" s="110">
        <f>IF($C114&lt;=Entradas!$E$153,"",Observaciones!L114)</f>
        <v>1.1284860295623003</v>
      </c>
      <c r="E114" s="110">
        <f>IF($C114&lt;=Entradas!$E$153,"",Escenario1!BN115)</f>
        <v>1.0570798241997197</v>
      </c>
      <c r="F114" s="79">
        <f>IF($C114&lt;=Entradas!$E$153,"",D114-E114)</f>
        <v>7.1406205362580577E-2</v>
      </c>
      <c r="G114" s="79">
        <f>IF($C114&lt;=Entradas!$E$153,"",D114-AVERAGE(D:D))</f>
        <v>0.34563440805072232</v>
      </c>
      <c r="H114" s="79">
        <f>IF($C114&lt;=Entradas!$E$153,"",F114^2)</f>
        <v>5.0988461642830314E-3</v>
      </c>
      <c r="I114" s="79">
        <f>IF($C114&lt;=Entradas!$E$153,"",G114^2)</f>
        <v>0.11946314402857322</v>
      </c>
      <c r="J114" s="79">
        <f>IF($C114&lt;=Entradas!$E$153,"",E114-AVERAGE(E:E))</f>
        <v>0.22614068353653449</v>
      </c>
      <c r="K114" s="79">
        <f>IF($C114&lt;=Entradas!$E$153,"",J114^2)</f>
        <v>5.1139608750371039E-2</v>
      </c>
      <c r="L114" s="79">
        <f>IF($C114&lt;=Entradas!$E$153,"",G114*J114)</f>
        <v>7.816200129033582E-2</v>
      </c>
      <c r="M114" s="40"/>
    </row>
    <row r="115" spans="2:13">
      <c r="B115" s="39"/>
      <c r="C115" s="75">
        <v>110</v>
      </c>
      <c r="D115" s="110">
        <f>IF($C115&lt;=Entradas!$E$153,"",Observaciones!L115)</f>
        <v>1.1230462125999083</v>
      </c>
      <c r="E115" s="110">
        <f>IF($C115&lt;=Entradas!$E$153,"",Escenario1!BN116)</f>
        <v>1.0438200026843683</v>
      </c>
      <c r="F115" s="79">
        <f>IF($C115&lt;=Entradas!$E$153,"",D115-E115)</f>
        <v>7.922620991554008E-2</v>
      </c>
      <c r="G115" s="79">
        <f>IF($C115&lt;=Entradas!$E$153,"",D115-AVERAGE(D:D))</f>
        <v>0.34019459108833039</v>
      </c>
      <c r="H115" s="79">
        <f>IF($C115&lt;=Entradas!$E$153,"",F115^2)</f>
        <v>6.2767923375812214E-3</v>
      </c>
      <c r="I115" s="79">
        <f>IF($C115&lt;=Entradas!$E$153,"",G115^2)</f>
        <v>0.11573235980575632</v>
      </c>
      <c r="J115" s="79">
        <f>IF($C115&lt;=Entradas!$E$153,"",E115-AVERAGE(E:E))</f>
        <v>0.21288086202118306</v>
      </c>
      <c r="K115" s="79">
        <f>IF($C115&lt;=Entradas!$E$153,"",J115^2)</f>
        <v>4.5318261414881982E-2</v>
      </c>
      <c r="L115" s="79">
        <f>IF($C115&lt;=Entradas!$E$153,"",G115*J115)</f>
        <v>7.2420917805827656E-2</v>
      </c>
      <c r="M115" s="40"/>
    </row>
    <row r="116" spans="2:13">
      <c r="B116" s="39"/>
      <c r="C116" s="75">
        <v>111</v>
      </c>
      <c r="D116" s="110">
        <f>IF($C116&lt;=Entradas!$E$153,"",Observaciones!L116)</f>
        <v>1.1176152016148655</v>
      </c>
      <c r="E116" s="110">
        <f>IF($C116&lt;=Entradas!$E$153,"",Escenario1!BN117)</f>
        <v>1.0336395794240243</v>
      </c>
      <c r="F116" s="79">
        <f>IF($C116&lt;=Entradas!$E$153,"",D116-E116)</f>
        <v>8.3975622190841204E-2</v>
      </c>
      <c r="G116" s="79">
        <f>IF($C116&lt;=Entradas!$E$153,"",D116-AVERAGE(D:D))</f>
        <v>0.33476358010328755</v>
      </c>
      <c r="H116" s="79">
        <f>IF($C116&lt;=Entradas!$E$153,"",F116^2)</f>
        <v>7.0519051223389018E-3</v>
      </c>
      <c r="I116" s="79">
        <f>IF($C116&lt;=Entradas!$E$153,"",G116^2)</f>
        <v>0.11206665456357022</v>
      </c>
      <c r="J116" s="79">
        <f>IF($C116&lt;=Entradas!$E$153,"",E116-AVERAGE(E:E))</f>
        <v>0.2027004387608391</v>
      </c>
      <c r="K116" s="79">
        <f>IF($C116&lt;=Entradas!$E$153,"",J116^2)</f>
        <v>4.1087467873836679E-2</v>
      </c>
      <c r="L116" s="79">
        <f>IF($C116&lt;=Entradas!$E$153,"",G116*J116)</f>
        <v>6.7856724568085697E-2</v>
      </c>
      <c r="M116" s="40"/>
    </row>
    <row r="117" spans="2:13">
      <c r="B117" s="39"/>
      <c r="C117" s="75">
        <v>112</v>
      </c>
      <c r="D117" s="110">
        <f>IF($C117&lt;=Entradas!$E$153,"",Observaciones!L117)</f>
        <v>1.1122319856321679</v>
      </c>
      <c r="E117" s="110">
        <f>IF($C117&lt;=Entradas!$E$153,"",Escenario1!BN118)</f>
        <v>1.0267817262623846</v>
      </c>
      <c r="F117" s="79">
        <f>IF($C117&lt;=Entradas!$E$153,"",D117-E117)</f>
        <v>8.5450259369783232E-2</v>
      </c>
      <c r="G117" s="79">
        <f>IF($C117&lt;=Entradas!$E$153,"",D117-AVERAGE(D:D))</f>
        <v>0.32938036412058991</v>
      </c>
      <c r="H117" s="79">
        <f>IF($C117&lt;=Entradas!$E$153,"",F117^2)</f>
        <v>7.3017468263632274E-3</v>
      </c>
      <c r="I117" s="79">
        <f>IF($C117&lt;=Entradas!$E$153,"",G117^2)</f>
        <v>0.10849142426821239</v>
      </c>
      <c r="J117" s="79">
        <f>IF($C117&lt;=Entradas!$E$153,"",E117-AVERAGE(E:E))</f>
        <v>0.19584258559919943</v>
      </c>
      <c r="K117" s="79">
        <f>IF($C117&lt;=Entradas!$E$153,"",J117^2)</f>
        <v>3.8354318334179752E-2</v>
      </c>
      <c r="L117" s="79">
        <f>IF($C117&lt;=Entradas!$E$153,"",G117*J117)</f>
        <v>6.450670215498211E-2</v>
      </c>
      <c r="M117" s="40"/>
    </row>
    <row r="118" spans="2:13">
      <c r="B118" s="39"/>
      <c r="C118" s="75">
        <v>113</v>
      </c>
      <c r="D118" s="110">
        <f>IF($C118&lt;=Entradas!$E$153,"",Observaciones!L118)</f>
        <v>1.106834161542378</v>
      </c>
      <c r="E118" s="110">
        <f>IF($C118&lt;=Entradas!$E$153,"",Escenario1!BN119)</f>
        <v>1.0139061485236691</v>
      </c>
      <c r="F118" s="79">
        <f>IF($C118&lt;=Entradas!$E$153,"",D118-E118)</f>
        <v>9.2928013018708899E-2</v>
      </c>
      <c r="G118" s="79">
        <f>IF($C118&lt;=Entradas!$E$153,"",D118-AVERAGE(D:D))</f>
        <v>0.32398254003080007</v>
      </c>
      <c r="H118" s="79">
        <f>IF($C118&lt;=Entradas!$E$153,"",F118^2)</f>
        <v>8.6356156036053299E-3</v>
      </c>
      <c r="I118" s="79">
        <f>IF($C118&lt;=Entradas!$E$153,"",G118^2)</f>
        <v>0.10496468624480897</v>
      </c>
      <c r="J118" s="79">
        <f>IF($C118&lt;=Entradas!$E$153,"",E118-AVERAGE(E:E))</f>
        <v>0.18296700786048392</v>
      </c>
      <c r="K118" s="79">
        <f>IF($C118&lt;=Entradas!$E$153,"",J118^2)</f>
        <v>3.3476925965418382E-2</v>
      </c>
      <c r="L118" s="79">
        <f>IF($C118&lt;=Entradas!$E$153,"",G118*J118)</f>
        <v>5.9278115948474944E-2</v>
      </c>
      <c r="M118" s="40"/>
    </row>
    <row r="119" spans="2:13">
      <c r="B119" s="39"/>
      <c r="C119" s="75">
        <v>114</v>
      </c>
      <c r="D119" s="110">
        <f>IF($C119&lt;=Entradas!$E$153,"",Observaciones!L119)</f>
        <v>1.1014466417597986</v>
      </c>
      <c r="E119" s="110">
        <f>IF($C119&lt;=Entradas!$E$153,"",Escenario1!BN120)</f>
        <v>1.0039843274925353</v>
      </c>
      <c r="F119" s="79">
        <f>IF($C119&lt;=Entradas!$E$153,"",D119-E119)</f>
        <v>9.7462314267263261E-2</v>
      </c>
      <c r="G119" s="79">
        <f>IF($C119&lt;=Entradas!$E$153,"",D119-AVERAGE(D:D))</f>
        <v>0.31859502024822062</v>
      </c>
      <c r="H119" s="79">
        <f>IF($C119&lt;=Entradas!$E$153,"",F119^2)</f>
        <v>9.4989027023307873E-3</v>
      </c>
      <c r="I119" s="79">
        <f>IF($C119&lt;=Entradas!$E$153,"",G119^2)</f>
        <v>0.1015027869269641</v>
      </c>
      <c r="J119" s="79">
        <f>IF($C119&lt;=Entradas!$E$153,"",E119-AVERAGE(E:E))</f>
        <v>0.17304518682935011</v>
      </c>
      <c r="K119" s="79">
        <f>IF($C119&lt;=Entradas!$E$153,"",J119^2)</f>
        <v>2.9944636684804682E-2</v>
      </c>
      <c r="L119" s="79">
        <f>IF($C119&lt;=Entradas!$E$153,"",G119*J119)</f>
        <v>5.5131334801753917E-2</v>
      </c>
      <c r="M119" s="40"/>
    </row>
    <row r="120" spans="2:13">
      <c r="B120" s="39"/>
      <c r="C120" s="75">
        <v>115</v>
      </c>
      <c r="D120" s="110">
        <f>IF($C120&lt;=Entradas!$E$153,"",Observaciones!L120)</f>
        <v>1.096073918615279</v>
      </c>
      <c r="E120" s="110">
        <f>IF($C120&lt;=Entradas!$E$153,"",Escenario1!BN121)</f>
        <v>0.99428915973093313</v>
      </c>
      <c r="F120" s="79">
        <f>IF($C120&lt;=Entradas!$E$153,"",D120-E120)</f>
        <v>0.10178475888434591</v>
      </c>
      <c r="G120" s="79">
        <f>IF($C120&lt;=Entradas!$E$153,"",D120-AVERAGE(D:D))</f>
        <v>0.31322229710370109</v>
      </c>
      <c r="H120" s="79">
        <f>IF($C120&lt;=Entradas!$E$153,"",F120^2)</f>
        <v>1.0360137141144433E-2</v>
      </c>
      <c r="I120" s="79">
        <f>IF($C120&lt;=Entradas!$E$153,"",G120^2)</f>
        <v>9.8108207402919187E-2</v>
      </c>
      <c r="J120" s="79">
        <f>IF($C120&lt;=Entradas!$E$153,"",E120-AVERAGE(E:E))</f>
        <v>0.16335001906774793</v>
      </c>
      <c r="K120" s="79">
        <f>IF($C120&lt;=Entradas!$E$153,"",J120^2)</f>
        <v>2.6683228729433614E-2</v>
      </c>
      <c r="L120" s="79">
        <f>IF($C120&lt;=Entradas!$E$153,"",G120*J120)</f>
        <v>5.1164868204333379E-2</v>
      </c>
      <c r="M120" s="40"/>
    </row>
    <row r="121" spans="2:13">
      <c r="B121" s="39"/>
      <c r="C121" s="75">
        <v>116</v>
      </c>
      <c r="D121" s="110">
        <f>IF($C121&lt;=Entradas!$E$153,"",Observaciones!L121)</f>
        <v>1.1026606863314188</v>
      </c>
      <c r="E121" s="110">
        <f>IF($C121&lt;=Entradas!$E$153,"",Escenario1!BN122)</f>
        <v>1.3109620821982273</v>
      </c>
      <c r="F121" s="79">
        <f>IF($C121&lt;=Entradas!$E$153,"",D121-E121)</f>
        <v>-0.20830139586680851</v>
      </c>
      <c r="G121" s="79">
        <f>IF($C121&lt;=Entradas!$E$153,"",D121-AVERAGE(D:D))</f>
        <v>0.31980906481984084</v>
      </c>
      <c r="H121" s="79">
        <f>IF($C121&lt;=Entradas!$E$153,"",F121^2)</f>
        <v>4.3389471520060868E-2</v>
      </c>
      <c r="I121" s="79">
        <f>IF($C121&lt;=Entradas!$E$153,"",G121^2)</f>
        <v>0.10227783794094115</v>
      </c>
      <c r="J121" s="79">
        <f>IF($C121&lt;=Entradas!$E$153,"",E121-AVERAGE(E:E))</f>
        <v>0.4800229415350421</v>
      </c>
      <c r="K121" s="79">
        <f>IF($C121&lt;=Entradas!$E$153,"",J121^2)</f>
        <v>0.23042202439995446</v>
      </c>
      <c r="L121" s="79">
        <f>IF($C121&lt;=Entradas!$E$153,"",G121*J121)</f>
        <v>0.15351568802439094</v>
      </c>
      <c r="M121" s="40"/>
    </row>
    <row r="122" spans="2:13">
      <c r="B122" s="39"/>
      <c r="C122" s="75">
        <v>117</v>
      </c>
      <c r="D122" s="110">
        <f>IF($C122&lt;=Entradas!$E$153,"",Observaciones!L122)</f>
        <v>1.0993777350791443</v>
      </c>
      <c r="E122" s="110">
        <f>IF($C122&lt;=Entradas!$E$153,"",Escenario1!BN123)</f>
        <v>1.2403080039627916</v>
      </c>
      <c r="F122" s="79">
        <f>IF($C122&lt;=Entradas!$E$153,"",D122-E122)</f>
        <v>-0.14093026888364735</v>
      </c>
      <c r="G122" s="79">
        <f>IF($C122&lt;=Entradas!$E$153,"",D122-AVERAGE(D:D))</f>
        <v>0.31652611356756633</v>
      </c>
      <c r="H122" s="79">
        <f>IF($C122&lt;=Entradas!$E$153,"",F122^2)</f>
        <v>1.9861340687617138E-2</v>
      </c>
      <c r="I122" s="79">
        <f>IF($C122&lt;=Entradas!$E$153,"",G122^2)</f>
        <v>0.10018878057018789</v>
      </c>
      <c r="J122" s="79">
        <f>IF($C122&lt;=Entradas!$E$153,"",E122-AVERAGE(E:E))</f>
        <v>0.40936886329960642</v>
      </c>
      <c r="K122" s="79">
        <f>IF($C122&lt;=Entradas!$E$153,"",J122^2)</f>
        <v>0.16758286623921184</v>
      </c>
      <c r="L122" s="79">
        <f>IF($C122&lt;=Entradas!$E$153,"",G122*J122)</f>
        <v>0.12957593531579675</v>
      </c>
      <c r="M122" s="40"/>
    </row>
    <row r="123" spans="2:13">
      <c r="B123" s="39"/>
      <c r="C123" s="75">
        <v>118</v>
      </c>
      <c r="D123" s="110">
        <f>IF($C123&lt;=Entradas!$E$153,"",Observaciones!L123)</f>
        <v>1.0955494752732831</v>
      </c>
      <c r="E123" s="110">
        <f>IF($C123&lt;=Entradas!$E$153,"",Escenario1!BN124)</f>
        <v>1.1741215241497776</v>
      </c>
      <c r="F123" s="79">
        <f>IF($C123&lt;=Entradas!$E$153,"",D123-E123)</f>
        <v>-7.8572048876494494E-2</v>
      </c>
      <c r="G123" s="79">
        <f>IF($C123&lt;=Entradas!$E$153,"",D123-AVERAGE(D:D))</f>
        <v>0.31269785376170511</v>
      </c>
      <c r="H123" s="79">
        <f>IF($C123&lt;=Entradas!$E$153,"",F123^2)</f>
        <v>6.1735668646502396E-3</v>
      </c>
      <c r="I123" s="79">
        <f>IF($C123&lt;=Entradas!$E$153,"",G123^2)</f>
        <v>9.7779947747176715E-2</v>
      </c>
      <c r="J123" s="79">
        <f>IF($C123&lt;=Entradas!$E$153,"",E123-AVERAGE(E:E))</f>
        <v>0.34318238348659236</v>
      </c>
      <c r="K123" s="79">
        <f>IF($C123&lt;=Entradas!$E$153,"",J123^2)</f>
        <v>0.11777414833553854</v>
      </c>
      <c r="L123" s="79">
        <f>IF($C123&lt;=Entradas!$E$153,"",G123*J123)</f>
        <v>0.10731239476508386</v>
      </c>
      <c r="M123" s="40"/>
    </row>
    <row r="124" spans="2:13">
      <c r="B124" s="39"/>
      <c r="C124" s="75">
        <v>119</v>
      </c>
      <c r="D124" s="110">
        <f>IF($C124&lt;=Entradas!$E$153,"",Observaciones!L124)</f>
        <v>1.0911888519390378</v>
      </c>
      <c r="E124" s="110">
        <f>IF($C124&lt;=Entradas!$E$153,"",Escenario1!BN125)</f>
        <v>1.1084846951918099</v>
      </c>
      <c r="F124" s="79">
        <f>IF($C124&lt;=Entradas!$E$153,"",D124-E124)</f>
        <v>-1.7295843252772114E-2</v>
      </c>
      <c r="G124" s="79">
        <f>IF($C124&lt;=Entradas!$E$153,"",D124-AVERAGE(D:D))</f>
        <v>0.30833723042745986</v>
      </c>
      <c r="H124" s="79">
        <f>IF($C124&lt;=Entradas!$E$153,"",F124^2)</f>
        <v>2.9914619382446264E-4</v>
      </c>
      <c r="I124" s="79">
        <f>IF($C124&lt;=Entradas!$E$153,"",G124^2)</f>
        <v>9.5071847667676485E-2</v>
      </c>
      <c r="J124" s="79">
        <f>IF($C124&lt;=Entradas!$E$153,"",E124-AVERAGE(E:E))</f>
        <v>0.27754555452862473</v>
      </c>
      <c r="K124" s="79">
        <f>IF($C124&lt;=Entradas!$E$153,"",J124^2)</f>
        <v>7.7031534838601798E-2</v>
      </c>
      <c r="L124" s="79">
        <f>IF($C124&lt;=Entradas!$E$153,"",G124*J124)</f>
        <v>8.5577627600809683E-2</v>
      </c>
      <c r="M124" s="40"/>
    </row>
    <row r="125" spans="2:13">
      <c r="B125" s="39"/>
      <c r="C125" s="75">
        <v>120</v>
      </c>
      <c r="D125" s="110">
        <f>IF($C125&lt;=Entradas!$E$153,"",Observaciones!L125)</f>
        <v>1.0863378230777889</v>
      </c>
      <c r="E125" s="110">
        <f>IF($C125&lt;=Entradas!$E$153,"",Escenario1!BN126)</f>
        <v>1.0464438155967799</v>
      </c>
      <c r="F125" s="79">
        <f>IF($C125&lt;=Entradas!$E$153,"",D125-E125)</f>
        <v>3.989400748100902E-2</v>
      </c>
      <c r="G125" s="79">
        <f>IF($C125&lt;=Entradas!$E$153,"",D125-AVERAGE(D:D))</f>
        <v>0.30348620156621098</v>
      </c>
      <c r="H125" s="79">
        <f>IF($C125&lt;=Entradas!$E$153,"",F125^2)</f>
        <v>1.5915318328948037E-3</v>
      </c>
      <c r="I125" s="79">
        <f>IF($C125&lt;=Entradas!$E$153,"",G125^2)</f>
        <v>9.2103874541086844E-2</v>
      </c>
      <c r="J125" s="79">
        <f>IF($C125&lt;=Entradas!$E$153,"",E125-AVERAGE(E:E))</f>
        <v>0.21550467493359471</v>
      </c>
      <c r="K125" s="79">
        <f>IF($C125&lt;=Entradas!$E$153,"",J125^2)</f>
        <v>4.6442264918234326E-2</v>
      </c>
      <c r="L125" s="79">
        <f>IF($C125&lt;=Entradas!$E$153,"",G125*J125)</f>
        <v>6.5402695215357701E-2</v>
      </c>
      <c r="M125" s="40"/>
    </row>
    <row r="126" spans="2:13">
      <c r="B126" s="39"/>
      <c r="C126" s="75">
        <v>121</v>
      </c>
      <c r="D126" s="110">
        <f>IF($C126&lt;=Entradas!$E$153,"",Observaciones!L126)</f>
        <v>1.0810243980667649</v>
      </c>
      <c r="E126" s="110">
        <f>IF($C126&lt;=Entradas!$E$153,"",Escenario1!BN127)</f>
        <v>0.98660872880871753</v>
      </c>
      <c r="F126" s="79">
        <f>IF($C126&lt;=Entradas!$E$153,"",D126-E126)</f>
        <v>9.4415669258047341E-2</v>
      </c>
      <c r="G126" s="79">
        <f>IF($C126&lt;=Entradas!$E$153,"",D126-AVERAGE(D:D))</f>
        <v>0.29817277655518692</v>
      </c>
      <c r="H126" s="79">
        <f>IF($C126&lt;=Entradas!$E$153,"",F126^2)</f>
        <v>8.914318601444985E-3</v>
      </c>
      <c r="I126" s="79">
        <f>IF($C126&lt;=Entradas!$E$153,"",G126^2)</f>
        <v>8.8907004678629428E-2</v>
      </c>
      <c r="J126" s="79">
        <f>IF($C126&lt;=Entradas!$E$153,"",E126-AVERAGE(E:E))</f>
        <v>0.15566958814553233</v>
      </c>
      <c r="K126" s="79">
        <f>IF($C126&lt;=Entradas!$E$153,"",J126^2)</f>
        <v>2.423302067339966E-2</v>
      </c>
      <c r="L126" s="79">
        <f>IF($C126&lt;=Entradas!$E$153,"",G126*J126)</f>
        <v>4.6416433322555788E-2</v>
      </c>
      <c r="M126" s="40"/>
    </row>
    <row r="127" spans="2:13">
      <c r="B127" s="39"/>
      <c r="C127" s="75">
        <v>122</v>
      </c>
      <c r="D127" s="110">
        <f>IF($C127&lt;=Entradas!$E$153,"",Observaciones!L127)</f>
        <v>1.0755501727424059</v>
      </c>
      <c r="E127" s="110">
        <f>IF($C127&lt;=Entradas!$E$153,"",Escenario1!BN128)</f>
        <v>0.93668932062912635</v>
      </c>
      <c r="F127" s="79">
        <f>IF($C127&lt;=Entradas!$E$153,"",D127-E127)</f>
        <v>0.13886085211327959</v>
      </c>
      <c r="G127" s="79">
        <f>IF($C127&lt;=Entradas!$E$153,"",D127-AVERAGE(D:D))</f>
        <v>0.292698551230828</v>
      </c>
      <c r="H127" s="79">
        <f>IF($C127&lt;=Entradas!$E$153,"",F127^2)</f>
        <v>1.9282336249626105E-2</v>
      </c>
      <c r="I127" s="79">
        <f>IF($C127&lt;=Entradas!$E$153,"",G127^2)</f>
        <v>8.5672441892625642E-2</v>
      </c>
      <c r="J127" s="79">
        <f>IF($C127&lt;=Entradas!$E$153,"",E127-AVERAGE(E:E))</f>
        <v>0.10575017996594116</v>
      </c>
      <c r="K127" s="79">
        <f>IF($C127&lt;=Entradas!$E$153,"",J127^2)</f>
        <v>1.1183100562828943E-2</v>
      </c>
      <c r="L127" s="79">
        <f>IF($C127&lt;=Entradas!$E$153,"",G127*J127)</f>
        <v>3.0952924468430308E-2</v>
      </c>
      <c r="M127" s="40"/>
    </row>
    <row r="128" spans="2:13">
      <c r="B128" s="39"/>
      <c r="C128" s="75">
        <v>123</v>
      </c>
      <c r="D128" s="110">
        <f>IF($C128&lt;=Entradas!$E$153,"",Observaciones!L128)</f>
        <v>1.070068123343253</v>
      </c>
      <c r="E128" s="110">
        <f>IF($C128&lt;=Entradas!$E$153,"",Escenario1!BN129)</f>
        <v>0.92094004825952025</v>
      </c>
      <c r="F128" s="79">
        <f>IF($C128&lt;=Entradas!$E$153,"",D128-E128)</f>
        <v>0.14912807508373271</v>
      </c>
      <c r="G128" s="79">
        <f>IF($C128&lt;=Entradas!$E$153,"",D128-AVERAGE(D:D))</f>
        <v>0.28721650183167502</v>
      </c>
      <c r="H128" s="79">
        <f>IF($C128&lt;=Entradas!$E$153,"",F128^2)</f>
        <v>2.2239182778179423E-2</v>
      </c>
      <c r="I128" s="79">
        <f>IF($C128&lt;=Entradas!$E$153,"",G128^2)</f>
        <v>8.2493318924424575E-2</v>
      </c>
      <c r="J128" s="79">
        <f>IF($C128&lt;=Entradas!$E$153,"",E128-AVERAGE(E:E))</f>
        <v>9.0000907596335056E-2</v>
      </c>
      <c r="K128" s="79">
        <f>IF($C128&lt;=Entradas!$E$153,"",J128^2)</f>
        <v>8.1001633681640414E-3</v>
      </c>
      <c r="L128" s="79">
        <f>IF($C128&lt;=Entradas!$E$153,"",G128*J128)</f>
        <v>2.5849745841495183E-2</v>
      </c>
      <c r="M128" s="40"/>
    </row>
    <row r="129" spans="2:13">
      <c r="B129" s="39"/>
      <c r="C129" s="75">
        <v>124</v>
      </c>
      <c r="D129" s="110">
        <f>IF($C129&lt;=Entradas!$E$153,"",Observaciones!L129)</f>
        <v>1.0646038517875838</v>
      </c>
      <c r="E129" s="110">
        <f>IF($C129&lt;=Entradas!$E$153,"",Escenario1!BN130)</f>
        <v>0.91116913401404431</v>
      </c>
      <c r="F129" s="79">
        <f>IF($C129&lt;=Entradas!$E$153,"",D129-E129)</f>
        <v>0.15343471777353945</v>
      </c>
      <c r="G129" s="79">
        <f>IF($C129&lt;=Entradas!$E$153,"",D129-AVERAGE(D:D))</f>
        <v>0.28175223027600582</v>
      </c>
      <c r="H129" s="79">
        <f>IF($C129&lt;=Entradas!$E$153,"",F129^2)</f>
        <v>2.3542212618245704E-2</v>
      </c>
      <c r="I129" s="79">
        <f>IF($C129&lt;=Entradas!$E$153,"",G129^2)</f>
        <v>7.9384319265503406E-2</v>
      </c>
      <c r="J129" s="79">
        <f>IF($C129&lt;=Entradas!$E$153,"",E129-AVERAGE(E:E))</f>
        <v>8.0229993350859119E-2</v>
      </c>
      <c r="K129" s="79">
        <f>IF($C129&lt;=Entradas!$E$153,"",J129^2)</f>
        <v>6.4368518330788988E-3</v>
      </c>
      <c r="L129" s="79">
        <f>IF($C129&lt;=Entradas!$E$153,"",G129*J129)</f>
        <v>2.2604979561633674E-2</v>
      </c>
      <c r="M129" s="40"/>
    </row>
    <row r="130" spans="2:13">
      <c r="B130" s="39"/>
      <c r="C130" s="75">
        <v>125</v>
      </c>
      <c r="D130" s="110">
        <f>IF($C130&lt;=Entradas!$E$153,"",Observaciones!L130)</f>
        <v>1.0591618156560973</v>
      </c>
      <c r="E130" s="110">
        <f>IF($C130&lt;=Entradas!$E$153,"",Escenario1!BN131)</f>
        <v>0.90236948067771661</v>
      </c>
      <c r="F130" s="79">
        <f>IF($C130&lt;=Entradas!$E$153,"",D130-E130)</f>
        <v>0.15679233497838074</v>
      </c>
      <c r="G130" s="79">
        <f>IF($C130&lt;=Entradas!$E$153,"",D130-AVERAGE(D:D))</f>
        <v>0.27631019414451941</v>
      </c>
      <c r="H130" s="79">
        <f>IF($C130&lt;=Entradas!$E$153,"",F130^2)</f>
        <v>2.4583836307972756E-2</v>
      </c>
      <c r="I130" s="79">
        <f>IF($C130&lt;=Entradas!$E$153,"",G130^2)</f>
        <v>7.6347323388182009E-2</v>
      </c>
      <c r="J130" s="79">
        <f>IF($C130&lt;=Entradas!$E$153,"",E130-AVERAGE(E:E))</f>
        <v>7.1430340014531413E-2</v>
      </c>
      <c r="K130" s="79">
        <f>IF($C130&lt;=Entradas!$E$153,"",J130^2)</f>
        <v>5.1022934745915674E-3</v>
      </c>
      <c r="L130" s="79">
        <f>IF($C130&lt;=Entradas!$E$153,"",G130*J130)</f>
        <v>1.9736931117224209E-2</v>
      </c>
      <c r="M130" s="40"/>
    </row>
    <row r="131" spans="2:13">
      <c r="B131" s="39"/>
      <c r="C131" s="75">
        <v>126</v>
      </c>
      <c r="D131" s="110">
        <f>IF($C131&lt;=Entradas!$E$153,"",Observaciones!L131)</f>
        <v>1.0537429557814022</v>
      </c>
      <c r="E131" s="110">
        <f>IF($C131&lt;=Entradas!$E$153,"",Escenario1!BN132)</f>
        <v>0.89365374304716627</v>
      </c>
      <c r="F131" s="79">
        <f>IF($C131&lt;=Entradas!$E$153,"",D131-E131)</f>
        <v>0.16008921273423593</v>
      </c>
      <c r="G131" s="79">
        <f>IF($C131&lt;=Entradas!$E$153,"",D131-AVERAGE(D:D))</f>
        <v>0.27089133426982426</v>
      </c>
      <c r="H131" s="79">
        <f>IF($C131&lt;=Entradas!$E$153,"",F131^2)</f>
        <v>2.5628556033867447E-2</v>
      </c>
      <c r="I131" s="79">
        <f>IF($C131&lt;=Entradas!$E$153,"",G131^2)</f>
        <v>7.3382114982485661E-2</v>
      </c>
      <c r="J131" s="79">
        <f>IF($C131&lt;=Entradas!$E$153,"",E131-AVERAGE(E:E))</f>
        <v>6.2714602383981077E-2</v>
      </c>
      <c r="K131" s="79">
        <f>IF($C131&lt;=Entradas!$E$153,"",J131^2)</f>
        <v>3.9331213521808447E-3</v>
      </c>
      <c r="L131" s="79">
        <f>IF($C131&lt;=Entradas!$E$153,"",G131*J131)</f>
        <v>1.6988842317998135E-2</v>
      </c>
      <c r="M131" s="40"/>
    </row>
    <row r="132" spans="2:13">
      <c r="B132" s="39"/>
      <c r="C132" s="75">
        <v>127</v>
      </c>
      <c r="D132" s="110">
        <f>IF($C132&lt;=Entradas!$E$153,"",Observaciones!L132)</f>
        <v>1.0483476214784671</v>
      </c>
      <c r="E132" s="110">
        <f>IF($C132&lt;=Entradas!$E$153,"",Escenario1!BN133)</f>
        <v>0.88502114378368124</v>
      </c>
      <c r="F132" s="79">
        <f>IF($C132&lt;=Entradas!$E$153,"",D132-E132)</f>
        <v>0.16332647769478581</v>
      </c>
      <c r="G132" s="79">
        <f>IF($C132&lt;=Entradas!$E$153,"",D132-AVERAGE(D:D))</f>
        <v>0.26549599996688911</v>
      </c>
      <c r="H132" s="79">
        <f>IF($C132&lt;=Entradas!$E$153,"",F132^2)</f>
        <v>2.6675538316185368E-2</v>
      </c>
      <c r="I132" s="79">
        <f>IF($C132&lt;=Entradas!$E$153,"",G132^2)</f>
        <v>7.0488125998418374E-2</v>
      </c>
      <c r="J132" s="79">
        <f>IF($C132&lt;=Entradas!$E$153,"",E132-AVERAGE(E:E))</f>
        <v>5.4082003120496047E-2</v>
      </c>
      <c r="K132" s="79">
        <f>IF($C132&lt;=Entradas!$E$153,"",J132^2)</f>
        <v>2.924863061525344E-3</v>
      </c>
      <c r="L132" s="79">
        <f>IF($C132&lt;=Entradas!$E$153,"",G132*J132)</f>
        <v>1.4358555498688514E-2</v>
      </c>
      <c r="M132" s="40"/>
    </row>
    <row r="133" spans="2:13">
      <c r="B133" s="39"/>
      <c r="C133" s="75">
        <v>128</v>
      </c>
      <c r="D133" s="110">
        <f>IF($C133&lt;=Entradas!$E$153,"",Observaciones!L133)</f>
        <v>1.0429760561164645</v>
      </c>
      <c r="E133" s="110">
        <f>IF($C133&lt;=Entradas!$E$153,"",Escenario1!BN134)</f>
        <v>0.87647086614974401</v>
      </c>
      <c r="F133" s="79">
        <f>IF($C133&lt;=Entradas!$E$153,"",D133-E133)</f>
        <v>0.16650518996672048</v>
      </c>
      <c r="G133" s="79">
        <f>IF($C133&lt;=Entradas!$E$153,"",D133-AVERAGE(D:D))</f>
        <v>0.26012443460488655</v>
      </c>
      <c r="H133" s="79">
        <f>IF($C133&lt;=Entradas!$E$153,"",F133^2)</f>
        <v>2.7723978285853674E-2</v>
      </c>
      <c r="I133" s="79">
        <f>IF($C133&lt;=Entradas!$E$153,"",G133^2)</f>
        <v>6.7664721478511894E-2</v>
      </c>
      <c r="J133" s="79">
        <f>IF($C133&lt;=Entradas!$E$153,"",E133-AVERAGE(E:E))</f>
        <v>4.5531725486558816E-2</v>
      </c>
      <c r="K133" s="79">
        <f>IF($C133&lt;=Entradas!$E$153,"",J133^2)</f>
        <v>2.0731380257833498E-3</v>
      </c>
      <c r="L133" s="79">
        <f>IF($C133&lt;=Entradas!$E$153,"",G133*J133)</f>
        <v>1.1843914348776016E-2</v>
      </c>
      <c r="M133" s="40"/>
    </row>
    <row r="134" spans="2:13">
      <c r="B134" s="39"/>
      <c r="C134" s="75">
        <v>129</v>
      </c>
      <c r="D134" s="110">
        <f>IF($C134&lt;=Entradas!$E$153,"",Observaciones!L134)</f>
        <v>1.0376399326353729</v>
      </c>
      <c r="E134" s="110">
        <f>IF($C134&lt;=Entradas!$E$153,"",Escenario1!BN135)</f>
        <v>0.86875059472844496</v>
      </c>
      <c r="F134" s="79">
        <f>IF($C134&lt;=Entradas!$E$153,"",D134-E134)</f>
        <v>0.16888933790692795</v>
      </c>
      <c r="G134" s="79">
        <f>IF($C134&lt;=Entradas!$E$153,"",D134-AVERAGE(D:D))</f>
        <v>0.25478831112379496</v>
      </c>
      <c r="H134" s="79">
        <f>IF($C134&lt;=Entradas!$E$153,"",F134^2)</f>
        <v>2.8523608458640489E-2</v>
      </c>
      <c r="I134" s="79">
        <f>IF($C134&lt;=Entradas!$E$153,"",G134^2)</f>
        <v>6.4917083485315746E-2</v>
      </c>
      <c r="J134" s="79">
        <f>IF($C134&lt;=Entradas!$E$153,"",E134-AVERAGE(E:E))</f>
        <v>3.7811454065259764E-2</v>
      </c>
      <c r="K134" s="79">
        <f>IF($C134&lt;=Entradas!$E$153,"",J134^2)</f>
        <v>1.4297060585292491E-3</v>
      </c>
      <c r="L134" s="79">
        <f>IF($C134&lt;=Entradas!$E$153,"",G134*J134)</f>
        <v>9.6339165224224865E-3</v>
      </c>
      <c r="M134" s="40"/>
    </row>
    <row r="135" spans="2:13">
      <c r="B135" s="39"/>
      <c r="C135" s="75">
        <v>130</v>
      </c>
      <c r="D135" s="110">
        <f>IF($C135&lt;=Entradas!$E$153,"",Observaciones!L135)</f>
        <v>1.0292233815672795</v>
      </c>
      <c r="E135" s="110">
        <f>IF($C135&lt;=Entradas!$E$153,"",Escenario1!BN136)</f>
        <v>0.85961436846831851</v>
      </c>
      <c r="F135" s="79">
        <f>IF($C135&lt;=Entradas!$E$153,"",D135-E135)</f>
        <v>0.16960901309896104</v>
      </c>
      <c r="G135" s="79">
        <f>IF($C135&lt;=Entradas!$E$153,"",D135-AVERAGE(D:D))</f>
        <v>0.24637176005570161</v>
      </c>
      <c r="H135" s="79">
        <f>IF($C135&lt;=Entradas!$E$153,"",F135^2)</f>
        <v>2.8767217324403536E-2</v>
      </c>
      <c r="I135" s="79">
        <f>IF($C135&lt;=Entradas!$E$153,"",G135^2)</f>
        <v>6.0699044152944207E-2</v>
      </c>
      <c r="J135" s="79">
        <f>IF($C135&lt;=Entradas!$E$153,"",E135-AVERAGE(E:E))</f>
        <v>2.8675227805133319E-2</v>
      </c>
      <c r="K135" s="79">
        <f>IF($C135&lt;=Entradas!$E$153,"",J135^2)</f>
        <v>8.2226868967629103E-4</v>
      </c>
      <c r="L135" s="79">
        <f>IF($C135&lt;=Entradas!$E$153,"",G135*J135)</f>
        <v>7.0647663443488889E-3</v>
      </c>
      <c r="M135" s="40"/>
    </row>
    <row r="136" spans="2:13">
      <c r="B136" s="39"/>
      <c r="C136" s="75">
        <v>131</v>
      </c>
      <c r="D136" s="110">
        <f>IF($C136&lt;=Entradas!$E$153,"",Observaciones!L136)</f>
        <v>1.0170427457086608</v>
      </c>
      <c r="E136" s="110">
        <f>IF($C136&lt;=Entradas!$E$153,"",Escenario1!BN137)</f>
        <v>0.85130657627243855</v>
      </c>
      <c r="F136" s="79">
        <f>IF($C136&lt;=Entradas!$E$153,"",D136-E136)</f>
        <v>0.16573616943622227</v>
      </c>
      <c r="G136" s="79">
        <f>IF($C136&lt;=Entradas!$E$153,"",D136-AVERAGE(D:D))</f>
        <v>0.23419112419708288</v>
      </c>
      <c r="H136" s="79">
        <f>IF($C136&lt;=Entradas!$E$153,"",F136^2)</f>
        <v>2.7468477859392177E-2</v>
      </c>
      <c r="I136" s="79">
        <f>IF($C136&lt;=Entradas!$E$153,"",G136^2)</f>
        <v>5.4845482652693497E-2</v>
      </c>
      <c r="J136" s="79">
        <f>IF($C136&lt;=Entradas!$E$153,"",E136-AVERAGE(E:E))</f>
        <v>2.0367435609253359E-2</v>
      </c>
      <c r="K136" s="79">
        <f>IF($C136&lt;=Entradas!$E$153,"",J136^2)</f>
        <v>4.1483243329708177E-4</v>
      </c>
      <c r="L136" s="79">
        <f>IF($C136&lt;=Entradas!$E$153,"",G136*J136)</f>
        <v>4.769872642342742E-3</v>
      </c>
      <c r="M136" s="40"/>
    </row>
    <row r="137" spans="2:13">
      <c r="B137" s="39"/>
      <c r="C137" s="75">
        <v>132</v>
      </c>
      <c r="D137" s="110">
        <f>IF($C137&lt;=Entradas!$E$153,"",Observaciones!L137)</f>
        <v>1.0051658836772461</v>
      </c>
      <c r="E137" s="110">
        <f>IF($C137&lt;=Entradas!$E$153,"",Escenario1!BN138)</f>
        <v>0.84307800861082682</v>
      </c>
      <c r="F137" s="79">
        <f>IF($C137&lt;=Entradas!$E$153,"",D137-E137)</f>
        <v>0.16208787506641931</v>
      </c>
      <c r="G137" s="79">
        <f>IF($C137&lt;=Entradas!$E$153,"",D137-AVERAGE(D:D))</f>
        <v>0.22231426216566819</v>
      </c>
      <c r="H137" s="79">
        <f>IF($C137&lt;=Entradas!$E$153,"",F137^2)</f>
        <v>2.6272479243547153E-2</v>
      </c>
      <c r="I137" s="79">
        <f>IF($C137&lt;=Entradas!$E$153,"",G137^2)</f>
        <v>4.9423631162265447E-2</v>
      </c>
      <c r="J137" s="79">
        <f>IF($C137&lt;=Entradas!$E$153,"",E137-AVERAGE(E:E))</f>
        <v>1.2138867947641629E-2</v>
      </c>
      <c r="K137" s="79">
        <f>IF($C137&lt;=Entradas!$E$153,"",J137^2)</f>
        <v>1.4735211505028129E-4</v>
      </c>
      <c r="L137" s="79">
        <f>IF($C137&lt;=Entradas!$E$153,"",G137*J137)</f>
        <v>2.6986434713064276E-3</v>
      </c>
      <c r="M137" s="40"/>
    </row>
    <row r="138" spans="2:13">
      <c r="B138" s="39"/>
      <c r="C138" s="75">
        <v>133</v>
      </c>
      <c r="D138" s="110">
        <f>IF($C138&lt;=Entradas!$E$153,"",Observaciones!L138)</f>
        <v>0.99345973082039685</v>
      </c>
      <c r="E138" s="110">
        <f>IF($C138&lt;=Entradas!$E$153,"",Escenario1!BN139)</f>
        <v>0.83492792653964987</v>
      </c>
      <c r="F138" s="79">
        <f>IF($C138&lt;=Entradas!$E$153,"",D138-E138)</f>
        <v>0.15853180428074698</v>
      </c>
      <c r="G138" s="79">
        <f>IF($C138&lt;=Entradas!$E$153,"",D138-AVERAGE(D:D))</f>
        <v>0.2106081093088189</v>
      </c>
      <c r="H138" s="79">
        <f>IF($C138&lt;=Entradas!$E$153,"",F138^2)</f>
        <v>2.5132332968509065E-2</v>
      </c>
      <c r="I138" s="79">
        <f>IF($C138&lt;=Entradas!$E$153,"",G138^2)</f>
        <v>4.435577570663541E-2</v>
      </c>
      <c r="J138" s="79">
        <f>IF($C138&lt;=Entradas!$E$153,"",E138-AVERAGE(E:E))</f>
        <v>3.9887858764646733E-3</v>
      </c>
      <c r="K138" s="79">
        <f>IF($C138&lt;=Entradas!$E$153,"",J138^2)</f>
        <v>1.5910412768284052E-5</v>
      </c>
      <c r="L138" s="79">
        <f>IF($C138&lt;=Entradas!$E$153,"",G138*J138)</f>
        <v>8.4007065187994493E-4</v>
      </c>
      <c r="M138" s="40"/>
    </row>
    <row r="139" spans="2:13">
      <c r="B139" s="39"/>
      <c r="C139" s="75">
        <v>134</v>
      </c>
      <c r="D139" s="110">
        <f>IF($C139&lt;=Entradas!$E$153,"",Observaciones!L139)</f>
        <v>0.98190066701823331</v>
      </c>
      <c r="E139" s="110">
        <f>IF($C139&lt;=Entradas!$E$153,"",Escenario1!BN140)</f>
        <v>0.82685559178701029</v>
      </c>
      <c r="F139" s="79">
        <f>IF($C139&lt;=Entradas!$E$153,"",D139-E139)</f>
        <v>0.15504507523122302</v>
      </c>
      <c r="G139" s="79">
        <f>IF($C139&lt;=Entradas!$E$153,"",D139-AVERAGE(D:D))</f>
        <v>0.19904904550665536</v>
      </c>
      <c r="H139" s="79">
        <f>IF($C139&lt;=Entradas!$E$153,"",F139^2)</f>
        <v>2.4038975353455606E-2</v>
      </c>
      <c r="I139" s="79">
        <f>IF($C139&lt;=Entradas!$E$153,"",G139^2)</f>
        <v>3.9620522517110561E-2</v>
      </c>
      <c r="J139" s="79">
        <f>IF($C139&lt;=Entradas!$E$153,"",E139-AVERAGE(E:E))</f>
        <v>-4.0835488761749028E-3</v>
      </c>
      <c r="K139" s="79">
        <f>IF($C139&lt;=Entradas!$E$153,"",J139^2)</f>
        <v>1.6675371424109312E-5</v>
      </c>
      <c r="L139" s="79">
        <f>IF($C139&lt;=Entradas!$E$153,"",G139*J139)</f>
        <v>-8.1282650608238965E-4</v>
      </c>
      <c r="M139" s="40"/>
    </row>
    <row r="140" spans="2:13">
      <c r="B140" s="39"/>
      <c r="C140" s="75">
        <v>135</v>
      </c>
      <c r="D140" s="110">
        <f>IF($C140&lt;=Entradas!$E$153,"",Observaciones!L140)</f>
        <v>0.97048325356601384</v>
      </c>
      <c r="E140" s="110">
        <f>IF($C140&lt;=Entradas!$E$153,"",Escenario1!BN141)</f>
        <v>0.81886026211459595</v>
      </c>
      <c r="F140" s="79">
        <f>IF($C140&lt;=Entradas!$E$153,"",D140-E140)</f>
        <v>0.15162299145141789</v>
      </c>
      <c r="G140" s="79">
        <f>IF($C140&lt;=Entradas!$E$153,"",D140-AVERAGE(D:D))</f>
        <v>0.18763163205443589</v>
      </c>
      <c r="H140" s="79">
        <f>IF($C140&lt;=Entradas!$E$153,"",F140^2)</f>
        <v>2.2989531536676742E-2</v>
      </c>
      <c r="I140" s="79">
        <f>IF($C140&lt;=Entradas!$E$153,"",G140^2)</f>
        <v>3.5205629347411213E-2</v>
      </c>
      <c r="J140" s="79">
        <f>IF($C140&lt;=Entradas!$E$153,"",E140-AVERAGE(E:E))</f>
        <v>-1.2078878548589245E-2</v>
      </c>
      <c r="K140" s="79">
        <f>IF($C140&lt;=Entradas!$E$153,"",J140^2)</f>
        <v>1.4589930699156941E-4</v>
      </c>
      <c r="L140" s="79">
        <f>IF($C140&lt;=Entradas!$E$153,"",G140*J140)</f>
        <v>-2.2663796954591159E-3</v>
      </c>
      <c r="M140" s="40"/>
    </row>
    <row r="141" spans="2:13">
      <c r="B141" s="39"/>
      <c r="C141" s="75">
        <v>136</v>
      </c>
      <c r="D141" s="110">
        <f>IF($C141&lt;=Entradas!$E$153,"",Observaciones!L141)</f>
        <v>0.95920508902171719</v>
      </c>
      <c r="E141" s="110">
        <f>IF($C141&lt;=Entradas!$E$153,"",Escenario1!BN142)</f>
        <v>0.81094119022710509</v>
      </c>
      <c r="F141" s="79">
        <f>IF($C141&lt;=Entradas!$E$153,"",D141-E141)</f>
        <v>0.1482638987946121</v>
      </c>
      <c r="G141" s="79">
        <f>IF($C141&lt;=Entradas!$E$153,"",D141-AVERAGE(D:D))</f>
        <v>0.17635346751013925</v>
      </c>
      <c r="H141" s="79">
        <f>IF($C141&lt;=Entradas!$E$153,"",F141^2)</f>
        <v>2.1982183685778981E-2</v>
      </c>
      <c r="I141" s="79">
        <f>IF($C141&lt;=Entradas!$E$153,"",G141^2)</f>
        <v>3.1100545502849741E-2</v>
      </c>
      <c r="J141" s="79">
        <f>IF($C141&lt;=Entradas!$E$153,"",E141-AVERAGE(E:E))</f>
        <v>-1.9997950436080103E-2</v>
      </c>
      <c r="K141" s="79">
        <f>IF($C141&lt;=Entradas!$E$153,"",J141^2)</f>
        <v>3.999180216439164E-4</v>
      </c>
      <c r="L141" s="79">
        <f>IF($C141&lt;=Entradas!$E$153,"",G141*J141)</f>
        <v>-3.5267079024986275E-3</v>
      </c>
      <c r="M141" s="40"/>
    </row>
    <row r="142" spans="2:13">
      <c r="B142" s="39"/>
      <c r="C142" s="75">
        <v>137</v>
      </c>
      <c r="D142" s="110">
        <f>IF($C142&lt;=Entradas!$E$153,"",Observaciones!L142)</f>
        <v>0.94806429595935371</v>
      </c>
      <c r="E142" s="110">
        <f>IF($C142&lt;=Entradas!$E$153,"",Escenario1!BN143)</f>
        <v>0.80309766460982202</v>
      </c>
      <c r="F142" s="79">
        <f>IF($C142&lt;=Entradas!$E$153,"",D142-E142)</f>
        <v>0.14496663134953169</v>
      </c>
      <c r="G142" s="79">
        <f>IF($C142&lt;=Entradas!$E$153,"",D142-AVERAGE(D:D))</f>
        <v>0.16521267444777576</v>
      </c>
      <c r="H142" s="79">
        <f>IF($C142&lt;=Entradas!$E$153,"",F142^2)</f>
        <v>2.1015324204831026E-2</v>
      </c>
      <c r="I142" s="79">
        <f>IF($C142&lt;=Entradas!$E$153,"",G142^2)</f>
        <v>2.7295227798186741E-2</v>
      </c>
      <c r="J142" s="79">
        <f>IF($C142&lt;=Entradas!$E$153,"",E142-AVERAGE(E:E))</f>
        <v>-2.7841476053363179E-2</v>
      </c>
      <c r="K142" s="79">
        <f>IF($C142&lt;=Entradas!$E$153,"",J142^2)</f>
        <v>7.7514778882999537E-4</v>
      </c>
      <c r="L142" s="79">
        <f>IF($C142&lt;=Entradas!$E$153,"",G142*J142)</f>
        <v>-4.5997647193498359E-3</v>
      </c>
      <c r="M142" s="40"/>
    </row>
    <row r="143" spans="2:13">
      <c r="B143" s="39"/>
      <c r="C143" s="75">
        <v>138</v>
      </c>
      <c r="D143" s="110">
        <f>IF($C143&lt;=Entradas!$E$153,"",Observaciones!L143)</f>
        <v>0.93705910365242417</v>
      </c>
      <c r="E143" s="110">
        <f>IF($C143&lt;=Entradas!$E$153,"",Escenario1!BN144)</f>
        <v>0.795328953873362</v>
      </c>
      <c r="F143" s="79">
        <f>IF($C143&lt;=Entradas!$E$153,"",D143-E143)</f>
        <v>0.14173014977906218</v>
      </c>
      <c r="G143" s="79">
        <f>IF($C143&lt;=Entradas!$E$153,"",D143-AVERAGE(D:D))</f>
        <v>0.15420748214084623</v>
      </c>
      <c r="H143" s="79">
        <f>IF($C143&lt;=Entradas!$E$153,"",F143^2)</f>
        <v>2.0087435356395397E-2</v>
      </c>
      <c r="I143" s="79">
        <f>IF($C143&lt;=Entradas!$E$153,"",G143^2)</f>
        <v>2.377994754821941E-2</v>
      </c>
      <c r="J143" s="79">
        <f>IF($C143&lt;=Entradas!$E$153,"",E143-AVERAGE(E:E))</f>
        <v>-3.5610186789823195E-2</v>
      </c>
      <c r="K143" s="79">
        <f>IF($C143&lt;=Entradas!$E$153,"",J143^2)</f>
        <v>1.2680854032060985E-3</v>
      </c>
      <c r="L143" s="79">
        <f>IF($C143&lt;=Entradas!$E$153,"",G143*J143)</f>
        <v>-5.4913572434238589E-3</v>
      </c>
      <c r="M143" s="40"/>
    </row>
    <row r="144" spans="2:13">
      <c r="B144" s="39"/>
      <c r="C144" s="75">
        <v>139</v>
      </c>
      <c r="D144" s="110">
        <f>IF($C144&lt;=Entradas!$E$153,"",Observaciones!L144)</f>
        <v>0.92618777855229983</v>
      </c>
      <c r="E144" s="110">
        <f>IF($C144&lt;=Entradas!$E$153,"",Escenario1!BN145)</f>
        <v>0.78763433872760225</v>
      </c>
      <c r="F144" s="79">
        <f>IF($C144&lt;=Entradas!$E$153,"",D144-E144)</f>
        <v>0.13855343982469759</v>
      </c>
      <c r="G144" s="79">
        <f>IF($C144&lt;=Entradas!$E$153,"",D144-AVERAGE(D:D))</f>
        <v>0.14333615704072189</v>
      </c>
      <c r="H144" s="79">
        <f>IF($C144&lt;=Entradas!$E$153,"",F144^2)</f>
        <v>1.9197055687256097E-2</v>
      </c>
      <c r="I144" s="79">
        <f>IF($C144&lt;=Entradas!$E$153,"",G144^2)</f>
        <v>2.0545253915202486E-2</v>
      </c>
      <c r="J144" s="79">
        <f>IF($C144&lt;=Entradas!$E$153,"",E144-AVERAGE(E:E))</f>
        <v>-4.3304801935582948E-2</v>
      </c>
      <c r="K144" s="79">
        <f>IF($C144&lt;=Entradas!$E$153,"",J144^2)</f>
        <v>1.8753058706800687E-3</v>
      </c>
      <c r="L144" s="79">
        <f>IF($C144&lt;=Entradas!$E$153,"",G144*J144)</f>
        <v>-6.2071438908560747E-3</v>
      </c>
      <c r="M144" s="40"/>
    </row>
    <row r="145" spans="2:13">
      <c r="B145" s="39"/>
      <c r="C145" s="75">
        <v>140</v>
      </c>
      <c r="D145" s="110">
        <f>IF($C145&lt;=Entradas!$E$153,"",Observaciones!L145)</f>
        <v>0.91544861248231535</v>
      </c>
      <c r="E145" s="110">
        <f>IF($C145&lt;=Entradas!$E$153,"",Escenario1!BN146)</f>
        <v>0.78001312790418231</v>
      </c>
      <c r="F145" s="79">
        <f>IF($C145&lt;=Entradas!$E$153,"",D145-E145)</f>
        <v>0.13543548457813304</v>
      </c>
      <c r="G145" s="79">
        <f>IF($C145&lt;=Entradas!$E$153,"",D145-AVERAGE(D:D))</f>
        <v>0.13259699097073741</v>
      </c>
      <c r="H145" s="79">
        <f>IF($C145&lt;=Entradas!$E$153,"",F145^2)</f>
        <v>1.834277048291371E-2</v>
      </c>
      <c r="I145" s="79">
        <f>IF($C145&lt;=Entradas!$E$153,"",G145^2)</f>
        <v>1.7581962014493815E-2</v>
      </c>
      <c r="J145" s="79">
        <f>IF($C145&lt;=Entradas!$E$153,"",E145-AVERAGE(E:E))</f>
        <v>-5.0926012759002881E-2</v>
      </c>
      <c r="K145" s="79">
        <f>IF($C145&lt;=Entradas!$E$153,"",J145^2)</f>
        <v>2.5934587755301244E-3</v>
      </c>
      <c r="L145" s="79">
        <f>IF($C145&lt;=Entradas!$E$153,"",G145*J145)</f>
        <v>-6.7526360539811627E-3</v>
      </c>
      <c r="M145" s="40"/>
    </row>
    <row r="146" spans="2:13">
      <c r="B146" s="39"/>
      <c r="C146" s="75">
        <v>141</v>
      </c>
      <c r="D146" s="110">
        <f>IF($C146&lt;=Entradas!$E$153,"",Observaciones!L146)</f>
        <v>0.90483992041284722</v>
      </c>
      <c r="E146" s="110">
        <f>IF($C146&lt;=Entradas!$E$153,"",Escenario1!BN147)</f>
        <v>0.7724645995906303</v>
      </c>
      <c r="F146" s="79">
        <f>IF($C146&lt;=Entradas!$E$153,"",D146-E146)</f>
        <v>0.13237532082221692</v>
      </c>
      <c r="G146" s="79">
        <f>IF($C146&lt;=Entradas!$E$153,"",D146-AVERAGE(D:D))</f>
        <v>0.12198829890126928</v>
      </c>
      <c r="H146" s="79">
        <f>IF($C146&lt;=Entradas!$E$153,"",F146^2)</f>
        <v>1.7523225562784857E-2</v>
      </c>
      <c r="I146" s="79">
        <f>IF($C146&lt;=Entradas!$E$153,"",G146^2)</f>
        <v>1.4881145068825414E-2</v>
      </c>
      <c r="J146" s="79">
        <f>IF($C146&lt;=Entradas!$E$153,"",E146-AVERAGE(E:E))</f>
        <v>-5.8474541072554898E-2</v>
      </c>
      <c r="K146" s="79">
        <f>IF($C146&lt;=Entradas!$E$153,"",J146^2)</f>
        <v>3.4192719536459098E-3</v>
      </c>
      <c r="L146" s="79">
        <f>IF($C146&lt;=Entradas!$E$153,"",G146*J146)</f>
        <v>-7.133209794473374E-3</v>
      </c>
      <c r="M146" s="40"/>
    </row>
    <row r="147" spans="2:13">
      <c r="B147" s="39"/>
      <c r="C147" s="75">
        <v>142</v>
      </c>
      <c r="D147" s="110">
        <f>IF($C147&lt;=Entradas!$E$153,"",Observaciones!L147)</f>
        <v>0.894360039830015</v>
      </c>
      <c r="E147" s="110">
        <f>IF($C147&lt;=Entradas!$E$153,"",Escenario1!BN148)</f>
        <v>0.76498805549464988</v>
      </c>
      <c r="F147" s="79">
        <f>IF($C147&lt;=Entradas!$E$153,"",D147-E147)</f>
        <v>0.12937198433536512</v>
      </c>
      <c r="G147" s="79">
        <f>IF($C147&lt;=Entradas!$E$153,"",D147-AVERAGE(D:D))</f>
        <v>0.11150841831843705</v>
      </c>
      <c r="H147" s="79">
        <f>IF($C147&lt;=Entradas!$E$153,"",F147^2)</f>
        <v>1.6737110330869959E-2</v>
      </c>
      <c r="I147" s="79">
        <f>IF($C147&lt;=Entradas!$E$153,"",G147^2)</f>
        <v>1.2434127355879548E-2</v>
      </c>
      <c r="J147" s="79">
        <f>IF($C147&lt;=Entradas!$E$153,"",E147-AVERAGE(E:E))</f>
        <v>-6.5951085168535317E-2</v>
      </c>
      <c r="K147" s="79">
        <f>IF($C147&lt;=Entradas!$E$153,"",J147^2)</f>
        <v>4.349545634907399E-3</v>
      </c>
      <c r="L147" s="79">
        <f>IF($C147&lt;=Entradas!$E$153,"",G147*J147)</f>
        <v>-7.3541011935279055E-3</v>
      </c>
      <c r="M147" s="40"/>
    </row>
    <row r="148" spans="2:13">
      <c r="B148" s="39"/>
      <c r="C148" s="75">
        <v>143</v>
      </c>
      <c r="D148" s="110">
        <f>IF($C148&lt;=Entradas!$E$153,"",Observaciones!L148)</f>
        <v>0.88400733037256152</v>
      </c>
      <c r="E148" s="110">
        <f>IF($C148&lt;=Entradas!$E$153,"",Escenario1!BN149)</f>
        <v>0.75758282290960388</v>
      </c>
      <c r="F148" s="79">
        <f>IF($C148&lt;=Entradas!$E$153,"",D148-E148)</f>
        <v>0.12642450746295764</v>
      </c>
      <c r="G148" s="79">
        <f>IF($C148&lt;=Entradas!$E$153,"",D148-AVERAGE(D:D))</f>
        <v>0.10115570886098357</v>
      </c>
      <c r="H148" s="79">
        <f>IF($C148&lt;=Entradas!$E$153,"",F148^2)</f>
        <v>1.598315608725143E-2</v>
      </c>
      <c r="I148" s="79">
        <f>IF($C148&lt;=Entradas!$E$153,"",G148^2)</f>
        <v>1.023247743516807E-2</v>
      </c>
      <c r="J148" s="79">
        <f>IF($C148&lt;=Entradas!$E$153,"",E148-AVERAGE(E:E))</f>
        <v>-7.3356317753581313E-2</v>
      </c>
      <c r="K148" s="79">
        <f>IF($C148&lt;=Entradas!$E$153,"",J148^2)</f>
        <v>5.3811493543643885E-3</v>
      </c>
      <c r="L148" s="79">
        <f>IF($C148&lt;=Entradas!$E$153,"",G148*J148)</f>
        <v>-7.420410321795072E-3</v>
      </c>
      <c r="M148" s="40"/>
    </row>
    <row r="149" spans="2:13">
      <c r="B149" s="39"/>
      <c r="C149" s="75">
        <v>144</v>
      </c>
      <c r="D149" s="110">
        <f>IF($C149&lt;=Entradas!$E$153,"",Observaciones!L149)</f>
        <v>0.87378017351691417</v>
      </c>
      <c r="E149" s="110">
        <f>IF($C149&lt;=Entradas!$E$153,"",Escenario1!BN150)</f>
        <v>0.75024823436829013</v>
      </c>
      <c r="F149" s="79">
        <f>IF($C149&lt;=Entradas!$E$153,"",D149-E149)</f>
        <v>0.12353193914862404</v>
      </c>
      <c r="G149" s="79">
        <f>IF($C149&lt;=Entradas!$E$153,"",D149-AVERAGE(D:D))</f>
        <v>9.0928552005336227E-2</v>
      </c>
      <c r="H149" s="79">
        <f>IF($C149&lt;=Entradas!$E$153,"",F149^2)</f>
        <v>1.5260139989819352E-2</v>
      </c>
      <c r="I149" s="79">
        <f>IF($C149&lt;=Entradas!$E$153,"",G149^2)</f>
        <v>8.2680015697871347E-3</v>
      </c>
      <c r="J149" s="79">
        <f>IF($C149&lt;=Entradas!$E$153,"",E149-AVERAGE(E:E))</f>
        <v>-8.069090629489506E-2</v>
      </c>
      <c r="K149" s="79">
        <f>IF($C149&lt;=Entradas!$E$153,"",J149^2)</f>
        <v>6.5110223586915348E-3</v>
      </c>
      <c r="L149" s="79">
        <f>IF($C149&lt;=Entradas!$E$153,"",G149*J149)</f>
        <v>-7.337107269393078E-3</v>
      </c>
      <c r="M149" s="40"/>
    </row>
    <row r="150" spans="2:13">
      <c r="B150" s="39"/>
      <c r="C150" s="75">
        <v>145</v>
      </c>
      <c r="D150" s="110">
        <f>IF($C150&lt;=Entradas!$E$153,"",Observaciones!L150)</f>
        <v>0.86367697227387175</v>
      </c>
      <c r="E150" s="110">
        <f>IF($C150&lt;=Entradas!$E$153,"",Escenario1!BN151)</f>
        <v>0.74298361969675619</v>
      </c>
      <c r="F150" s="79">
        <f>IF($C150&lt;=Entradas!$E$153,"",D150-E150)</f>
        <v>0.12069335257711555</v>
      </c>
      <c r="G150" s="79">
        <f>IF($C150&lt;=Entradas!$E$153,"",D150-AVERAGE(D:D))</f>
        <v>8.0825350762293802E-2</v>
      </c>
      <c r="H150" s="79">
        <f>IF($C150&lt;=Entradas!$E$153,"",F150^2)</f>
        <v>1.4566885356303926E-2</v>
      </c>
      <c r="I150" s="79">
        <f>IF($C150&lt;=Entradas!$E$153,"",G150^2)</f>
        <v>6.5327373258478273E-3</v>
      </c>
      <c r="J150" s="79">
        <f>IF($C150&lt;=Entradas!$E$153,"",E150-AVERAGE(E:E))</f>
        <v>-8.7955520966429002E-2</v>
      </c>
      <c r="K150" s="79">
        <f>IF($C150&lt;=Entradas!$E$153,"",J150^2)</f>
        <v>7.7361736684759316E-3</v>
      </c>
      <c r="L150" s="79">
        <f>IF($C150&lt;=Entradas!$E$153,"",G150*J150)</f>
        <v>-7.1090358335919104E-3</v>
      </c>
      <c r="M150" s="40"/>
    </row>
    <row r="151" spans="2:13">
      <c r="B151" s="39"/>
      <c r="C151" s="75">
        <v>146</v>
      </c>
      <c r="D151" s="110">
        <f>IF($C151&lt;=Entradas!$E$153,"",Observaciones!L151)</f>
        <v>0.85369615089079409</v>
      </c>
      <c r="E151" s="110">
        <f>IF($C151&lt;=Entradas!$E$153,"",Escenario1!BN152)</f>
        <v>0.7357883186205717</v>
      </c>
      <c r="F151" s="79">
        <f>IF($C151&lt;=Entradas!$E$153,"",D151-E151)</f>
        <v>0.11790783227022239</v>
      </c>
      <c r="G151" s="79">
        <f>IF($C151&lt;=Entradas!$E$153,"",D151-AVERAGE(D:D))</f>
        <v>7.0844529379216148E-2</v>
      </c>
      <c r="H151" s="79">
        <f>IF($C151&lt;=Entradas!$E$153,"",F151^2)</f>
        <v>1.3902256910662896E-2</v>
      </c>
      <c r="I151" s="79">
        <f>IF($C151&lt;=Entradas!$E$153,"",G151^2)</f>
        <v>5.0189473429626203E-3</v>
      </c>
      <c r="J151" s="79">
        <f>IF($C151&lt;=Entradas!$E$153,"",E151-AVERAGE(E:E))</f>
        <v>-9.5150822042613492E-2</v>
      </c>
      <c r="K151" s="79">
        <f>IF($C151&lt;=Entradas!$E$153,"",J151^2)</f>
        <v>9.0536789353851017E-3</v>
      </c>
      <c r="L151" s="79">
        <f>IF($C151&lt;=Entradas!$E$153,"",G151*J151)</f>
        <v>-6.7409152076544987E-3</v>
      </c>
      <c r="M151" s="40"/>
    </row>
    <row r="152" spans="2:13">
      <c r="B152" s="39"/>
      <c r="C152" s="75">
        <v>147</v>
      </c>
      <c r="D152" s="110">
        <f>IF($C152&lt;=Entradas!$E$153,"",Observaciones!L152)</f>
        <v>0.84383615455822991</v>
      </c>
      <c r="E152" s="110">
        <f>IF($C152&lt;=Entradas!$E$153,"",Escenario1!BN153)</f>
        <v>0.72866165583468612</v>
      </c>
      <c r="F152" s="79">
        <f>IF($C152&lt;=Entradas!$E$153,"",D152-E152)</f>
        <v>0.11517449872354379</v>
      </c>
      <c r="G152" s="79">
        <f>IF($C152&lt;=Entradas!$E$153,"",D152-AVERAGE(D:D))</f>
        <v>6.0984533046651968E-2</v>
      </c>
      <c r="H152" s="79">
        <f>IF($C152&lt;=Entradas!$E$153,"",F152^2)</f>
        <v>1.3265165156219592E-2</v>
      </c>
      <c r="I152" s="79">
        <f>IF($C152&lt;=Entradas!$E$153,"",G152^2)</f>
        <v>3.7191132709181859E-3</v>
      </c>
      <c r="J152" s="79">
        <f>IF($C152&lt;=Entradas!$E$153,"",E152-AVERAGE(E:E))</f>
        <v>-0.10227748482849908</v>
      </c>
      <c r="K152" s="79">
        <f>IF($C152&lt;=Entradas!$E$153,"",J152^2)</f>
        <v>1.0460683902843859E-2</v>
      </c>
      <c r="L152" s="79">
        <f>IF($C152&lt;=Entradas!$E$153,"",G152*J152)</f>
        <v>-6.2373446534520474E-3</v>
      </c>
      <c r="M152" s="40"/>
    </row>
    <row r="153" spans="2:13">
      <c r="B153" s="39"/>
      <c r="C153" s="75">
        <v>148</v>
      </c>
      <c r="D153" s="110">
        <f>IF($C153&lt;=Entradas!$E$153,"",Observaciones!L153)</f>
        <v>0.83409544912075329</v>
      </c>
      <c r="E153" s="110">
        <f>IF($C153&lt;=Entradas!$E$153,"",Escenario1!BN154)</f>
        <v>0.72160297206590507</v>
      </c>
      <c r="F153" s="79">
        <f>IF($C153&lt;=Entradas!$E$153,"",D153-E153)</f>
        <v>0.11249247705484822</v>
      </c>
      <c r="G153" s="79">
        <f>IF($C153&lt;=Entradas!$E$153,"",D153-AVERAGE(D:D))</f>
        <v>5.1243827609175341E-2</v>
      </c>
      <c r="H153" s="79">
        <f>IF($C153&lt;=Entradas!$E$153,"",F153^2)</f>
        <v>1.2654557393935553E-2</v>
      </c>
      <c r="I153" s="79">
        <f>IF($C153&lt;=Entradas!$E$153,"",G153^2)</f>
        <v>2.6259298680388807E-3</v>
      </c>
      <c r="J153" s="79">
        <f>IF($C153&lt;=Entradas!$E$153,"",E153-AVERAGE(E:E))</f>
        <v>-0.10933616859728013</v>
      </c>
      <c r="K153" s="79">
        <f>IF($C153&lt;=Entradas!$E$153,"",J153^2)</f>
        <v>1.1954397763532864E-2</v>
      </c>
      <c r="L153" s="79">
        <f>IF($C153&lt;=Entradas!$E$153,"",G153*J153)</f>
        <v>-5.6028037750467533E-3</v>
      </c>
      <c r="M153" s="40"/>
    </row>
    <row r="154" spans="2:13">
      <c r="B154" s="39"/>
      <c r="C154" s="75">
        <v>149</v>
      </c>
      <c r="D154" s="110">
        <f>IF($C154&lt;=Entradas!$E$153,"",Observaciones!L154)</f>
        <v>0.82447252079192057</v>
      </c>
      <c r="E154" s="110">
        <f>IF($C154&lt;=Entradas!$E$153,"",Escenario1!BN155)</f>
        <v>0.71461162971679704</v>
      </c>
      <c r="F154" s="79">
        <f>IF($C154&lt;=Entradas!$E$153,"",D154-E154)</f>
        <v>0.10986089107512353</v>
      </c>
      <c r="G154" s="79">
        <f>IF($C154&lt;=Entradas!$E$153,"",D154-AVERAGE(D:D))</f>
        <v>4.1620899280342627E-2</v>
      </c>
      <c r="H154" s="79">
        <f>IF($C154&lt;=Entradas!$E$153,"",F154^2)</f>
        <v>1.2069415387820158E-2</v>
      </c>
      <c r="I154" s="79">
        <f>IF($C154&lt;=Entradas!$E$153,"",G154^2)</f>
        <v>1.7322992569044253E-3</v>
      </c>
      <c r="J154" s="79">
        <f>IF($C154&lt;=Entradas!$E$153,"",E154-AVERAGE(E:E))</f>
        <v>-0.11632751094638816</v>
      </c>
      <c r="K154" s="79">
        <f>IF($C154&lt;=Entradas!$E$153,"",J154^2)</f>
        <v>1.3532089802982056E-2</v>
      </c>
      <c r="L154" s="79">
        <f>IF($C154&lt;=Entradas!$E$153,"",G154*J154)</f>
        <v>-4.841655616632576E-3</v>
      </c>
      <c r="M154" s="40"/>
    </row>
    <row r="155" spans="2:13">
      <c r="B155" s="39"/>
      <c r="C155" s="75">
        <v>150</v>
      </c>
      <c r="D155" s="110">
        <f>IF($C155&lt;=Entradas!$E$153,"",Observaciones!L155)</f>
        <v>0.81496587587328206</v>
      </c>
      <c r="E155" s="110">
        <f>IF($C155&lt;=Entradas!$E$153,"",Escenario1!BN156)</f>
        <v>0.70768698745624359</v>
      </c>
      <c r="F155" s="79">
        <f>IF($C155&lt;=Entradas!$E$153,"",D155-E155)</f>
        <v>0.10727888841703848</v>
      </c>
      <c r="G155" s="79">
        <f>IF($C155&lt;=Entradas!$E$153,"",D155-AVERAGE(D:D))</f>
        <v>3.211425436170412E-2</v>
      </c>
      <c r="H155" s="79">
        <f>IF($C155&lt;=Entradas!$E$153,"",F155^2)</f>
        <v>1.1508759899995393E-2</v>
      </c>
      <c r="I155" s="79">
        <f>IF($C155&lt;=Entradas!$E$153,"",G155^2)</f>
        <v>1.0313253332082321E-3</v>
      </c>
      <c r="J155" s="79">
        <f>IF($C155&lt;=Entradas!$E$153,"",E155-AVERAGE(E:E))</f>
        <v>-0.12325215320694161</v>
      </c>
      <c r="K155" s="79">
        <f>IF($C155&lt;=Entradas!$E$153,"",J155^2)</f>
        <v>1.5191093270147405E-2</v>
      </c>
      <c r="L155" s="79">
        <f>IF($C155&lt;=Entradas!$E$153,"",G155*J155)</f>
        <v>-3.9581509987154486E-3</v>
      </c>
      <c r="M155" s="40"/>
    </row>
    <row r="156" spans="2:13">
      <c r="B156" s="39"/>
      <c r="C156" s="75">
        <v>151</v>
      </c>
      <c r="D156" s="110">
        <f>IF($C156&lt;=Entradas!$E$153,"",Observaciones!L156)</f>
        <v>0.8055740404773909</v>
      </c>
      <c r="E156" s="110">
        <f>IF($C156&lt;=Entradas!$E$153,"",Escenario1!BN157)</f>
        <v>0.70082841881058056</v>
      </c>
      <c r="F156" s="79">
        <f>IF($C156&lt;=Entradas!$E$153,"",D156-E156)</f>
        <v>0.10474562166681034</v>
      </c>
      <c r="G156" s="79">
        <f>IF($C156&lt;=Entradas!$E$153,"",D156-AVERAGE(D:D))</f>
        <v>2.2722418965812952E-2</v>
      </c>
      <c r="H156" s="79">
        <f>IF($C156&lt;=Entradas!$E$153,"",F156^2)</f>
        <v>1.0971645258366568E-2</v>
      </c>
      <c r="I156" s="79">
        <f>IF($C156&lt;=Entradas!$E$153,"",G156^2)</f>
        <v>5.1630832365793611E-4</v>
      </c>
      <c r="J156" s="79">
        <f>IF($C156&lt;=Entradas!$E$153,"",E156-AVERAGE(E:E))</f>
        <v>-0.13011072185260464</v>
      </c>
      <c r="K156" s="79">
        <f>IF($C156&lt;=Entradas!$E$153,"",J156^2)</f>
        <v>1.6928799941005851E-2</v>
      </c>
      <c r="L156" s="79">
        <f>IF($C156&lt;=Entradas!$E$153,"",G156*J156)</f>
        <v>-2.9564303338792371E-3</v>
      </c>
      <c r="M156" s="40"/>
    </row>
    <row r="157" spans="2:13">
      <c r="B157" s="39"/>
      <c r="C157" s="75">
        <v>152</v>
      </c>
      <c r="D157" s="110">
        <f>IF($C157&lt;=Entradas!$E$153,"",Observaciones!L157)</f>
        <v>0.79629556025474912</v>
      </c>
      <c r="E157" s="110">
        <f>IF($C157&lt;=Entradas!$E$153,"",Escenario1!BN158)</f>
        <v>0.6940352884851545</v>
      </c>
      <c r="F157" s="79">
        <f>IF($C157&lt;=Entradas!$E$153,"",D157-E157)</f>
        <v>0.10226027176959462</v>
      </c>
      <c r="G157" s="79">
        <f>IF($C157&lt;=Entradas!$E$153,"",D157-AVERAGE(D:D))</f>
        <v>1.344393874317118E-2</v>
      </c>
      <c r="H157" s="79">
        <f>IF($C157&lt;=Entradas!$E$153,"",F157^2)</f>
        <v>1.0457163182391351E-2</v>
      </c>
      <c r="I157" s="79">
        <f>IF($C157&lt;=Entradas!$E$153,"",G157^2)</f>
        <v>1.8073948893013907E-4</v>
      </c>
      <c r="J157" s="79">
        <f>IF($C157&lt;=Entradas!$E$153,"",E157-AVERAGE(E:E))</f>
        <v>-0.13690385217803069</v>
      </c>
      <c r="K157" s="79">
        <f>IF($C157&lt;=Entradas!$E$153,"",J157^2)</f>
        <v>1.8742664741184079E-2</v>
      </c>
      <c r="L157" s="79">
        <f>IF($C157&lt;=Entradas!$E$153,"",G157*J157)</f>
        <v>-1.8405270023856069E-3</v>
      </c>
      <c r="M157" s="40"/>
    </row>
    <row r="158" spans="2:13">
      <c r="B158" s="39"/>
      <c r="C158" s="75">
        <v>153</v>
      </c>
      <c r="D158" s="110">
        <f>IF($C158&lt;=Entradas!$E$153,"",Observaciones!L158)</f>
        <v>0.93958462625145722</v>
      </c>
      <c r="E158" s="110">
        <f>IF($C158&lt;=Entradas!$E$153,"",Escenario1!BN159)</f>
        <v>0.99695847303924168</v>
      </c>
      <c r="F158" s="79">
        <f>IF($C158&lt;=Entradas!$E$153,"",D158-E158)</f>
        <v>-5.7373846787784455E-2</v>
      </c>
      <c r="G158" s="79">
        <f>IF($C158&lt;=Entradas!$E$153,"",D158-AVERAGE(D:D))</f>
        <v>0.15673300473987928</v>
      </c>
      <c r="H158" s="79">
        <f>IF($C158&lt;=Entradas!$E$153,"",F158^2)</f>
        <v>3.2917582952281645E-3</v>
      </c>
      <c r="I158" s="79">
        <f>IF($C158&lt;=Entradas!$E$153,"",G158^2)</f>
        <v>2.4565234774791021E-2</v>
      </c>
      <c r="J158" s="79">
        <f>IF($C158&lt;=Entradas!$E$153,"",E158-AVERAGE(E:E))</f>
        <v>0.16601933237605648</v>
      </c>
      <c r="K158" s="79">
        <f>IF($C158&lt;=Entradas!$E$153,"",J158^2)</f>
        <v>2.7562418722591516E-2</v>
      </c>
      <c r="L158" s="79">
        <f>IF($C158&lt;=Entradas!$E$153,"",G158*J158)</f>
        <v>2.6020708808208053E-2</v>
      </c>
      <c r="M158" s="40"/>
    </row>
    <row r="159" spans="2:13">
      <c r="B159" s="39"/>
      <c r="C159" s="75">
        <v>154</v>
      </c>
      <c r="D159" s="110">
        <f>IF($C159&lt;=Entradas!$E$153,"",Observaciones!L159)</f>
        <v>0.93718541691504798</v>
      </c>
      <c r="E159" s="110">
        <f>IF($C159&lt;=Entradas!$E$153,"",Escenario1!BN160)</f>
        <v>0.98288073432750589</v>
      </c>
      <c r="F159" s="79">
        <f>IF($C159&lt;=Entradas!$E$153,"",D159-E159)</f>
        <v>-4.5695317412457914E-2</v>
      </c>
      <c r="G159" s="79">
        <f>IF($C159&lt;=Entradas!$E$153,"",D159-AVERAGE(D:D))</f>
        <v>0.15433379540347003</v>
      </c>
      <c r="H159" s="79">
        <f>IF($C159&lt;=Entradas!$E$153,"",F159^2)</f>
        <v>2.0880620334252794E-3</v>
      </c>
      <c r="I159" s="79">
        <f>IF($C159&lt;=Entradas!$E$153,"",G159^2)</f>
        <v>2.3818920403640146E-2</v>
      </c>
      <c r="J159" s="79">
        <f>IF($C159&lt;=Entradas!$E$153,"",E159-AVERAGE(E:E))</f>
        <v>0.1519415936643207</v>
      </c>
      <c r="K159" s="79">
        <f>IF($C159&lt;=Entradas!$E$153,"",J159^2)</f>
        <v>2.3086247885253538E-2</v>
      </c>
      <c r="L159" s="79">
        <f>IF($C159&lt;=Entradas!$E$153,"",G159*J159)</f>
        <v>2.3449722829866449E-2</v>
      </c>
      <c r="M159" s="40"/>
    </row>
    <row r="160" spans="2:13">
      <c r="B160" s="39"/>
      <c r="C160" s="75">
        <v>155</v>
      </c>
      <c r="D160" s="110">
        <f>IF($C160&lt;=Entradas!$E$153,"",Observaciones!L160)</f>
        <v>0.93430584829463126</v>
      </c>
      <c r="E160" s="110">
        <f>IF($C160&lt;=Entradas!$E$153,"",Escenario1!BN161)</f>
        <v>0.92576405177375154</v>
      </c>
      <c r="F160" s="79">
        <f>IF($C160&lt;=Entradas!$E$153,"",D160-E160)</f>
        <v>8.5417965208797186E-3</v>
      </c>
      <c r="G160" s="79">
        <f>IF($C160&lt;=Entradas!$E$153,"",D160-AVERAGE(D:D))</f>
        <v>0.15145422678305331</v>
      </c>
      <c r="H160" s="79">
        <f>IF($C160&lt;=Entradas!$E$153,"",F160^2)</f>
        <v>7.2962287804112868E-5</v>
      </c>
      <c r="I160" s="79">
        <f>IF($C160&lt;=Entradas!$E$153,"",G160^2)</f>
        <v>2.2938382810452542E-2</v>
      </c>
      <c r="J160" s="79">
        <f>IF($C160&lt;=Entradas!$E$153,"",E160-AVERAGE(E:E))</f>
        <v>9.4824911110566346E-2</v>
      </c>
      <c r="K160" s="79">
        <f>IF($C160&lt;=Entradas!$E$153,"",J160^2)</f>
        <v>8.9917637671268081E-3</v>
      </c>
      <c r="L160" s="79">
        <f>IF($C160&lt;=Entradas!$E$153,"",G160*J160)</f>
        <v>1.4361633592022588E-2</v>
      </c>
      <c r="M160" s="40"/>
    </row>
    <row r="161" spans="2:13">
      <c r="B161" s="39"/>
      <c r="C161" s="75">
        <v>156</v>
      </c>
      <c r="D161" s="110">
        <f>IF($C161&lt;=Entradas!$E$153,"",Observaciones!L161)</f>
        <v>0.93099563604460278</v>
      </c>
      <c r="E161" s="110">
        <f>IF($C161&lt;=Entradas!$E$153,"",Escenario1!BN162)</f>
        <v>0.87313898817492586</v>
      </c>
      <c r="F161" s="79">
        <f>IF($C161&lt;=Entradas!$E$153,"",D161-E161)</f>
        <v>5.7856647869676925E-2</v>
      </c>
      <c r="G161" s="79">
        <f>IF($C161&lt;=Entradas!$E$153,"",D161-AVERAGE(D:D))</f>
        <v>0.14814401453302484</v>
      </c>
      <c r="H161" s="79">
        <f>IF($C161&lt;=Entradas!$E$153,"",F161^2)</f>
        <v>3.3473917027157913E-3</v>
      </c>
      <c r="I161" s="79">
        <f>IF($C161&lt;=Entradas!$E$153,"",G161^2)</f>
        <v>2.1946649041961076E-2</v>
      </c>
      <c r="J161" s="79">
        <f>IF($C161&lt;=Entradas!$E$153,"",E161-AVERAGE(E:E))</f>
        <v>4.2199847511740662E-2</v>
      </c>
      <c r="K161" s="79">
        <f>IF($C161&lt;=Entradas!$E$153,"",J161^2)</f>
        <v>1.7808271300141646E-3</v>
      </c>
      <c r="L161" s="79">
        <f>IF($C161&lt;=Entradas!$E$153,"",G161*J161)</f>
        <v>6.2516548230707406E-3</v>
      </c>
      <c r="M161" s="40"/>
    </row>
    <row r="162" spans="2:13">
      <c r="B162" s="39"/>
      <c r="C162" s="75">
        <v>157</v>
      </c>
      <c r="D162" s="110">
        <f>IF($C162&lt;=Entradas!$E$153,"",Observaciones!L162)</f>
        <v>0.9197525447923347</v>
      </c>
      <c r="E162" s="110">
        <f>IF($C162&lt;=Entradas!$E$153,"",Escenario1!BN163)</f>
        <v>0.82111046776193497</v>
      </c>
      <c r="F162" s="79">
        <f>IF($C162&lt;=Entradas!$E$153,"",D162-E162)</f>
        <v>9.8642077030399733E-2</v>
      </c>
      <c r="G162" s="79">
        <f>IF($C162&lt;=Entradas!$E$153,"",D162-AVERAGE(D:D))</f>
        <v>0.13690092328075676</v>
      </c>
      <c r="H162" s="79">
        <f>IF($C162&lt;=Entradas!$E$153,"",F162^2)</f>
        <v>9.7302593608713153E-3</v>
      </c>
      <c r="I162" s="79">
        <f>IF($C162&lt;=Entradas!$E$153,"",G162^2)</f>
        <v>1.8741862795123649E-2</v>
      </c>
      <c r="J162" s="79">
        <f>IF($C162&lt;=Entradas!$E$153,"",E162-AVERAGE(E:E))</f>
        <v>-9.8286729012502239E-3</v>
      </c>
      <c r="K162" s="79">
        <f>IF($C162&lt;=Entradas!$E$153,"",J162^2)</f>
        <v>9.6602810999770494E-5</v>
      </c>
      <c r="L162" s="79">
        <f>IF($C162&lt;=Entradas!$E$153,"",G162*J162)</f>
        <v>-1.3455543948057099E-3</v>
      </c>
      <c r="M162" s="40"/>
    </row>
    <row r="163" spans="2:13">
      <c r="B163" s="39"/>
      <c r="C163" s="75">
        <v>158</v>
      </c>
      <c r="D163" s="110">
        <f>IF($C163&lt;=Entradas!$E$153,"",Observaciones!L163)</f>
        <v>0.86325164925978148</v>
      </c>
      <c r="E163" s="110">
        <f>IF($C163&lt;=Entradas!$E$153,"",Escenario1!BN164)</f>
        <v>0.77172762074206591</v>
      </c>
      <c r="F163" s="79">
        <f>IF($C163&lt;=Entradas!$E$153,"",D163-E163)</f>
        <v>9.1524028517715572E-2</v>
      </c>
      <c r="G163" s="79">
        <f>IF($C163&lt;=Entradas!$E$153,"",D163-AVERAGE(D:D))</f>
        <v>8.040002774820354E-2</v>
      </c>
      <c r="H163" s="79">
        <f>IF($C163&lt;=Entradas!$E$153,"",F163^2)</f>
        <v>8.3766477961116134E-3</v>
      </c>
      <c r="I163" s="79">
        <f>IF($C163&lt;=Entradas!$E$153,"",G163^2)</f>
        <v>6.464164461911899E-3</v>
      </c>
      <c r="J163" s="79">
        <f>IF($C163&lt;=Entradas!$E$153,"",E163-AVERAGE(E:E))</f>
        <v>-5.9211519921119282E-2</v>
      </c>
      <c r="K163" s="79">
        <f>IF($C163&lt;=Entradas!$E$153,"",J163^2)</f>
        <v>3.5060040913691055E-3</v>
      </c>
      <c r="L163" s="79">
        <f>IF($C163&lt;=Entradas!$E$153,"",G163*J163)</f>
        <v>-4.7606078446712973E-3</v>
      </c>
      <c r="M163" s="40"/>
    </row>
    <row r="164" spans="2:13">
      <c r="B164" s="39"/>
      <c r="C164" s="75">
        <v>159</v>
      </c>
      <c r="D164" s="110">
        <f>IF($C164&lt;=Entradas!$E$153,"",Observaciones!L164)</f>
        <v>0.80809867132944069</v>
      </c>
      <c r="E164" s="110">
        <f>IF($C164&lt;=Entradas!$E$153,"",Escenario1!BN165)</f>
        <v>0.72353033360153496</v>
      </c>
      <c r="F164" s="79">
        <f>IF($C164&lt;=Entradas!$E$153,"",D164-E164)</f>
        <v>8.4568337727905729E-2</v>
      </c>
      <c r="G164" s="79">
        <f>IF($C164&lt;=Entradas!$E$153,"",D164-AVERAGE(D:D))</f>
        <v>2.5247049817862743E-2</v>
      </c>
      <c r="H164" s="79">
        <f>IF($C164&lt;=Entradas!$E$153,"",F164^2)</f>
        <v>7.1518037460611234E-3</v>
      </c>
      <c r="I164" s="79">
        <f>IF($C164&lt;=Entradas!$E$153,"",G164^2)</f>
        <v>6.3741352450564321E-4</v>
      </c>
      <c r="J164" s="79">
        <f>IF($C164&lt;=Entradas!$E$153,"",E164-AVERAGE(E:E))</f>
        <v>-0.10740880706165024</v>
      </c>
      <c r="K164" s="79">
        <f>IF($C164&lt;=Entradas!$E$153,"",J164^2)</f>
        <v>1.1536651834406806E-2</v>
      </c>
      <c r="L164" s="79">
        <f>IF($C164&lt;=Entradas!$E$153,"",G164*J164)</f>
        <v>-2.711755502762691E-3</v>
      </c>
      <c r="M164" s="40"/>
    </row>
    <row r="165" spans="2:13">
      <c r="B165" s="39"/>
      <c r="C165" s="75">
        <v>160</v>
      </c>
      <c r="D165" s="110">
        <f>IF($C165&lt;=Entradas!$E$153,"",Observaciones!L165)</f>
        <v>0.81481017659428956</v>
      </c>
      <c r="E165" s="110">
        <f>IF($C165&lt;=Entradas!$E$153,"",Escenario1!BN166)</f>
        <v>0.7297816704361082</v>
      </c>
      <c r="F165" s="79">
        <f>IF($C165&lt;=Entradas!$E$153,"",D165-E165)</f>
        <v>8.5028506158181361E-2</v>
      </c>
      <c r="G165" s="79">
        <f>IF($C165&lt;=Entradas!$E$153,"",D165-AVERAGE(D:D))</f>
        <v>3.1958555082711615E-2</v>
      </c>
      <c r="H165" s="79">
        <f>IF($C165&lt;=Entradas!$E$153,"",F165^2)</f>
        <v>7.2298468594918855E-3</v>
      </c>
      <c r="I165" s="79">
        <f>IF($C165&lt;=Entradas!$E$153,"",G165^2)</f>
        <v>1.0213492429747124E-3</v>
      </c>
      <c r="J165" s="79">
        <f>IF($C165&lt;=Entradas!$E$153,"",E165-AVERAGE(E:E))</f>
        <v>-0.101157470227077</v>
      </c>
      <c r="K165" s="79">
        <f>IF($C165&lt;=Entradas!$E$153,"",J165^2)</f>
        <v>1.0232833782741969E-2</v>
      </c>
      <c r="L165" s="79">
        <f>IF($C165&lt;=Entradas!$E$153,"",G165*J165)</f>
        <v>-3.2328465842798005E-3</v>
      </c>
      <c r="M165" s="40"/>
    </row>
    <row r="166" spans="2:13">
      <c r="B166" s="39"/>
      <c r="C166" s="75">
        <v>161</v>
      </c>
      <c r="D166" s="110">
        <f>IF($C166&lt;=Entradas!$E$153,"",Observaciones!L166)</f>
        <v>0.80834704725331585</v>
      </c>
      <c r="E166" s="110">
        <f>IF($C166&lt;=Entradas!$E$153,"",Escenario1!BN167)</f>
        <v>0.72444485375861489</v>
      </c>
      <c r="F166" s="79">
        <f>IF($C166&lt;=Entradas!$E$153,"",D166-E166)</f>
        <v>8.3902193494700961E-2</v>
      </c>
      <c r="G166" s="79">
        <f>IF($C166&lt;=Entradas!$E$153,"",D166-AVERAGE(D:D))</f>
        <v>2.5495425741737909E-2</v>
      </c>
      <c r="H166" s="79">
        <f>IF($C166&lt;=Entradas!$E$153,"",F166^2)</f>
        <v>7.0395780732222402E-3</v>
      </c>
      <c r="I166" s="79">
        <f>IF($C166&lt;=Entradas!$E$153,"",G166^2)</f>
        <v>6.5001673375247198E-4</v>
      </c>
      <c r="J166" s="79">
        <f>IF($C166&lt;=Entradas!$E$153,"",E166-AVERAGE(E:E))</f>
        <v>-0.1064942869045703</v>
      </c>
      <c r="K166" s="79">
        <f>IF($C166&lt;=Entradas!$E$153,"",J166^2)</f>
        <v>1.1341033143312933E-2</v>
      </c>
      <c r="L166" s="79">
        <f>IF($C166&lt;=Entradas!$E$153,"",G166*J166)</f>
        <v>-2.7151171836948041E-3</v>
      </c>
      <c r="M166" s="40"/>
    </row>
    <row r="167" spans="2:13">
      <c r="B167" s="39"/>
      <c r="C167" s="75">
        <v>162</v>
      </c>
      <c r="D167" s="110">
        <f>IF($C167&lt;=Entradas!$E$153,"",Observaciones!L167)</f>
        <v>0.76639070978628598</v>
      </c>
      <c r="E167" s="110">
        <f>IF($C167&lt;=Entradas!$E$153,"",Escenario1!BN168)</f>
        <v>0.68786657928691441</v>
      </c>
      <c r="F167" s="79">
        <f>IF($C167&lt;=Entradas!$E$153,"",D167-E167)</f>
        <v>7.8524130499371569E-2</v>
      </c>
      <c r="G167" s="79">
        <f>IF($C167&lt;=Entradas!$E$153,"",D167-AVERAGE(D:D))</f>
        <v>-1.646091172529196E-2</v>
      </c>
      <c r="H167" s="79">
        <f>IF($C167&lt;=Entradas!$E$153,"",F167^2)</f>
        <v>6.1660390706823366E-3</v>
      </c>
      <c r="I167" s="79">
        <f>IF($C167&lt;=Entradas!$E$153,"",G167^2)</f>
        <v>2.7096161482785433E-4</v>
      </c>
      <c r="J167" s="79">
        <f>IF($C167&lt;=Entradas!$E$153,"",E167-AVERAGE(E:E))</f>
        <v>-0.14307256137627078</v>
      </c>
      <c r="K167" s="79">
        <f>IF($C167&lt;=Entradas!$E$153,"",J167^2)</f>
        <v>2.0469757818766768E-2</v>
      </c>
      <c r="L167" s="79">
        <f>IF($C167&lt;=Entradas!$E$153,"",G167*J167)</f>
        <v>2.3551048031262094E-3</v>
      </c>
      <c r="M167" s="40"/>
    </row>
    <row r="168" spans="2:13">
      <c r="B168" s="39"/>
      <c r="C168" s="75">
        <v>163</v>
      </c>
      <c r="D168" s="110">
        <f>IF($C168&lt;=Entradas!$E$153,"",Observaciones!L168)</f>
        <v>0.71915050650717716</v>
      </c>
      <c r="E168" s="110">
        <f>IF($C168&lt;=Entradas!$E$153,"",Escenario1!BN169)</f>
        <v>0.64194439496052325</v>
      </c>
      <c r="F168" s="79">
        <f>IF($C168&lt;=Entradas!$E$153,"",D168-E168)</f>
        <v>7.7206111546653911E-2</v>
      </c>
      <c r="G168" s="79">
        <f>IF($C168&lt;=Entradas!$E$153,"",D168-AVERAGE(D:D))</f>
        <v>-6.3701115004400788E-2</v>
      </c>
      <c r="H168" s="79">
        <f>IF($C168&lt;=Entradas!$E$153,"",F168^2)</f>
        <v>5.9607836601543659E-3</v>
      </c>
      <c r="I168" s="79">
        <f>IF($C168&lt;=Entradas!$E$153,"",G168^2)</f>
        <v>4.0578320528038949E-3</v>
      </c>
      <c r="J168" s="79">
        <f>IF($C168&lt;=Entradas!$E$153,"",E168-AVERAGE(E:E))</f>
        <v>-0.18899474570266195</v>
      </c>
      <c r="K168" s="79">
        <f>IF($C168&lt;=Entradas!$E$153,"",J168^2)</f>
        <v>3.5719013903213859E-2</v>
      </c>
      <c r="L168" s="79">
        <f>IF($C168&lt;=Entradas!$E$153,"",G168*J168)</f>
        <v>1.2039176031232751E-2</v>
      </c>
      <c r="M168" s="40"/>
    </row>
    <row r="169" spans="2:13">
      <c r="B169" s="39"/>
      <c r="C169" s="75">
        <v>164</v>
      </c>
      <c r="D169" s="110">
        <f>IF($C169&lt;=Entradas!$E$153,"",Observaciones!L169)</f>
        <v>0.70450636764795949</v>
      </c>
      <c r="E169" s="110">
        <f>IF($C169&lt;=Entradas!$E$153,"",Escenario1!BN170)</f>
        <v>0.620383281642086</v>
      </c>
      <c r="F169" s="79">
        <f>IF($C169&lt;=Entradas!$E$153,"",D169-E169)</f>
        <v>8.4123086005873482E-2</v>
      </c>
      <c r="G169" s="79">
        <f>IF($C169&lt;=Entradas!$E$153,"",D169-AVERAGE(D:D))</f>
        <v>-7.8345253863618458E-2</v>
      </c>
      <c r="H169" s="79">
        <f>IF($C169&lt;=Entradas!$E$153,"",F169^2)</f>
        <v>7.0766935991515871E-3</v>
      </c>
      <c r="I169" s="79">
        <f>IF($C169&lt;=Entradas!$E$153,"",G169^2)</f>
        <v>6.137978802954823E-3</v>
      </c>
      <c r="J169" s="79">
        <f>IF($C169&lt;=Entradas!$E$153,"",E169-AVERAGE(E:E))</f>
        <v>-0.21055585902109919</v>
      </c>
      <c r="K169" s="79">
        <f>IF($C169&lt;=Entradas!$E$153,"",J169^2)</f>
        <v>4.4333769768112999E-2</v>
      </c>
      <c r="L169" s="79">
        <f>IF($C169&lt;=Entradas!$E$153,"",G169*J169)</f>
        <v>1.6496052227480275E-2</v>
      </c>
      <c r="M169" s="40"/>
    </row>
    <row r="170" spans="2:13">
      <c r="B170" s="39"/>
      <c r="C170" s="75">
        <v>165</v>
      </c>
      <c r="D170" s="110">
        <f>IF($C170&lt;=Entradas!$E$153,"",Observaciones!L170)</f>
        <v>0.69535301692134754</v>
      </c>
      <c r="E170" s="110">
        <f>IF($C170&lt;=Entradas!$E$153,"",Escenario1!BN171)</f>
        <v>0.61182413446205974</v>
      </c>
      <c r="F170" s="79">
        <f>IF($C170&lt;=Entradas!$E$153,"",D170-E170)</f>
        <v>8.3528882459287801E-2</v>
      </c>
      <c r="G170" s="79">
        <f>IF($C170&lt;=Entradas!$E$153,"",D170-AVERAGE(D:D))</f>
        <v>-8.74986045902304E-2</v>
      </c>
      <c r="H170" s="79">
        <f>IF($C170&lt;=Entradas!$E$153,"",F170^2)</f>
        <v>6.9770742048975171E-3</v>
      </c>
      <c r="I170" s="79">
        <f>IF($C170&lt;=Entradas!$E$153,"",G170^2)</f>
        <v>7.6560058052374882E-3</v>
      </c>
      <c r="J170" s="79">
        <f>IF($C170&lt;=Entradas!$E$153,"",E170-AVERAGE(E:E))</f>
        <v>-0.21911500620112545</v>
      </c>
      <c r="K170" s="79">
        <f>IF($C170&lt;=Entradas!$E$153,"",J170^2)</f>
        <v>4.8011385942519247E-2</v>
      </c>
      <c r="L170" s="79">
        <f>IF($C170&lt;=Entradas!$E$153,"",G170*J170)</f>
        <v>1.9172257287378158E-2</v>
      </c>
      <c r="M170" s="40"/>
    </row>
    <row r="171" spans="2:13">
      <c r="B171" s="39"/>
      <c r="C171" s="75">
        <v>166</v>
      </c>
      <c r="D171" s="110">
        <f>IF($C171&lt;=Entradas!$E$153,"",Observaciones!L171)</f>
        <v>0.6871916699564028</v>
      </c>
      <c r="E171" s="110">
        <f>IF($C171&lt;=Entradas!$E$153,"",Escenario1!BN172)</f>
        <v>0.60575007532613878</v>
      </c>
      <c r="F171" s="79">
        <f>IF($C171&lt;=Entradas!$E$153,"",D171-E171)</f>
        <v>8.1441594630264014E-2</v>
      </c>
      <c r="G171" s="79">
        <f>IF($C171&lt;=Entradas!$E$153,"",D171-AVERAGE(D:D))</f>
        <v>-9.5659951555175149E-2</v>
      </c>
      <c r="H171" s="79">
        <f>IF($C171&lt;=Entradas!$E$153,"",F171^2)</f>
        <v>6.6327333359202482E-3</v>
      </c>
      <c r="I171" s="79">
        <f>IF($C171&lt;=Entradas!$E$153,"",G171^2)</f>
        <v>9.1508263315384572E-3</v>
      </c>
      <c r="J171" s="79">
        <f>IF($C171&lt;=Entradas!$E$153,"",E171-AVERAGE(E:E))</f>
        <v>-0.22518906533704641</v>
      </c>
      <c r="K171" s="79">
        <f>IF($C171&lt;=Entradas!$E$153,"",J171^2)</f>
        <v>5.0710115147372559E-2</v>
      </c>
      <c r="L171" s="79">
        <f>IF($C171&lt;=Entradas!$E$153,"",G171*J171)</f>
        <v>2.1541575080897032E-2</v>
      </c>
      <c r="M171" s="40"/>
    </row>
    <row r="172" spans="2:13">
      <c r="B172" s="39"/>
      <c r="C172" s="75">
        <v>167</v>
      </c>
      <c r="D172" s="110">
        <f>IF($C172&lt;=Entradas!$E$153,"",Observaciones!L172)</f>
        <v>0.67927479432469462</v>
      </c>
      <c r="E172" s="110">
        <f>IF($C172&lt;=Entradas!$E$153,"",Escenario1!BN173)</f>
        <v>0.5998887388687224</v>
      </c>
      <c r="F172" s="79">
        <f>IF($C172&lt;=Entradas!$E$153,"",D172-E172)</f>
        <v>7.9386055455972215E-2</v>
      </c>
      <c r="G172" s="79">
        <f>IF($C172&lt;=Entradas!$E$153,"",D172-AVERAGE(D:D))</f>
        <v>-0.10357682718688332</v>
      </c>
      <c r="H172" s="79">
        <f>IF($C172&lt;=Entradas!$E$153,"",F172^2)</f>
        <v>6.3021458008586956E-3</v>
      </c>
      <c r="I172" s="79">
        <f>IF($C172&lt;=Entradas!$E$153,"",G172^2)</f>
        <v>1.0728159130101493E-2</v>
      </c>
      <c r="J172" s="79">
        <f>IF($C172&lt;=Entradas!$E$153,"",E172-AVERAGE(E:E))</f>
        <v>-0.23105040179446279</v>
      </c>
      <c r="K172" s="79">
        <f>IF($C172&lt;=Entradas!$E$153,"",J172^2)</f>
        <v>5.3384288169382697E-2</v>
      </c>
      <c r="L172" s="79">
        <f>IF($C172&lt;=Entradas!$E$153,"",G172*J172)</f>
        <v>2.3931467538125029E-2</v>
      </c>
      <c r="M172" s="40"/>
    </row>
    <row r="173" spans="2:13">
      <c r="B173" s="39"/>
      <c r="C173" s="75">
        <v>168</v>
      </c>
      <c r="D173" s="110">
        <f>IF($C173&lt;=Entradas!$E$153,"",Observaciones!L173)</f>
        <v>0.67147734005033177</v>
      </c>
      <c r="E173" s="110">
        <f>IF($C173&lt;=Entradas!$E$153,"",Escenario1!BN174)</f>
        <v>0.59408309876923338</v>
      </c>
      <c r="F173" s="79">
        <f>IF($C173&lt;=Entradas!$E$153,"",D173-E173)</f>
        <v>7.7394241281098397E-2</v>
      </c>
      <c r="G173" s="79">
        <f>IF($C173&lt;=Entradas!$E$153,"",D173-AVERAGE(D:D))</f>
        <v>-0.11137428146124617</v>
      </c>
      <c r="H173" s="79">
        <f>IF($C173&lt;=Entradas!$E$153,"",F173^2)</f>
        <v>5.9898685834768751E-3</v>
      </c>
      <c r="I173" s="79">
        <f>IF($C173&lt;=Entradas!$E$153,"",G173^2)</f>
        <v>1.2404230571008883E-2</v>
      </c>
      <c r="J173" s="79">
        <f>IF($C173&lt;=Entradas!$E$153,"",E173-AVERAGE(E:E))</f>
        <v>-0.23685604189395182</v>
      </c>
      <c r="K173" s="79">
        <f>IF($C173&lt;=Entradas!$E$153,"",J173^2)</f>
        <v>5.6100784581669456E-2</v>
      </c>
      <c r="L173" s="79">
        <f>IF($C173&lt;=Entradas!$E$153,"",G173*J173)</f>
        <v>2.6379671475693704E-2</v>
      </c>
      <c r="M173" s="40"/>
    </row>
    <row r="174" spans="2:13">
      <c r="B174" s="39"/>
      <c r="C174" s="75">
        <v>169</v>
      </c>
      <c r="D174" s="110">
        <f>IF($C174&lt;=Entradas!$E$153,"",Observaciones!L174)</f>
        <v>0.66377756290169154</v>
      </c>
      <c r="E174" s="110">
        <f>IF($C174&lt;=Entradas!$E$153,"",Escenario1!BN175)</f>
        <v>0.5883326382557319</v>
      </c>
      <c r="F174" s="79">
        <f>IF($C174&lt;=Entradas!$E$153,"",D174-E174)</f>
        <v>7.5444924645959643E-2</v>
      </c>
      <c r="G174" s="79">
        <f>IF($C174&lt;=Entradas!$E$153,"",D174-AVERAGE(D:D))</f>
        <v>-0.1190740586098864</v>
      </c>
      <c r="H174" s="79">
        <f>IF($C174&lt;=Entradas!$E$153,"",F174^2)</f>
        <v>5.6919366548345285E-3</v>
      </c>
      <c r="I174" s="79">
        <f>IF($C174&lt;=Entradas!$E$153,"",G174^2)</f>
        <v>1.4178631433830661E-2</v>
      </c>
      <c r="J174" s="79">
        <f>IF($C174&lt;=Entradas!$E$153,"",E174-AVERAGE(E:E))</f>
        <v>-0.24260650240745329</v>
      </c>
      <c r="K174" s="79">
        <f>IF($C174&lt;=Entradas!$E$153,"",J174^2)</f>
        <v>5.885791501037764E-2</v>
      </c>
      <c r="L174" s="79">
        <f>IF($C174&lt;=Entradas!$E$153,"",G174*J174)</f>
        <v>2.888814088680464E-2</v>
      </c>
      <c r="M174" s="40"/>
    </row>
    <row r="175" spans="2:13">
      <c r="B175" s="39"/>
      <c r="C175" s="75">
        <v>170</v>
      </c>
      <c r="D175" s="110">
        <f>IF($C175&lt;=Entradas!$E$153,"",Observaciones!L175)</f>
        <v>0.65617087393195539</v>
      </c>
      <c r="E175" s="110">
        <f>IF($C175&lt;=Entradas!$E$153,"",Escenario1!BN176)</f>
        <v>0.58263683549189305</v>
      </c>
      <c r="F175" s="79">
        <f>IF($C175&lt;=Entradas!$E$153,"",D175-E175)</f>
        <v>7.3534038440062344E-2</v>
      </c>
      <c r="G175" s="79">
        <f>IF($C175&lt;=Entradas!$E$153,"",D175-AVERAGE(D:D))</f>
        <v>-0.12668074757962255</v>
      </c>
      <c r="H175" s="79">
        <f>IF($C175&lt;=Entradas!$E$153,"",F175^2)</f>
        <v>5.4072548093045663E-3</v>
      </c>
      <c r="I175" s="79">
        <f>IF($C175&lt;=Entradas!$E$153,"",G175^2)</f>
        <v>1.6048011807332046E-2</v>
      </c>
      <c r="J175" s="79">
        <f>IF($C175&lt;=Entradas!$E$153,"",E175-AVERAGE(E:E))</f>
        <v>-0.24830230517129215</v>
      </c>
      <c r="K175" s="79">
        <f>IF($C175&lt;=Entradas!$E$153,"",J175^2)</f>
        <v>6.1654034753377496E-2</v>
      </c>
      <c r="L175" s="79">
        <f>IF($C175&lt;=Entradas!$E$153,"",G175*J175)</f>
        <v>3.1455121644842869E-2</v>
      </c>
      <c r="M175" s="40"/>
    </row>
    <row r="176" spans="2:13">
      <c r="B176" s="39"/>
      <c r="C176" s="75">
        <v>171</v>
      </c>
      <c r="D176" s="110">
        <f>IF($C176&lt;=Entradas!$E$153,"",Observaciones!L176)</f>
        <v>0.64865554380828405</v>
      </c>
      <c r="E176" s="110">
        <f>IF($C176&lt;=Entradas!$E$153,"",Escenario1!BN177)</f>
        <v>0.57699516942417028</v>
      </c>
      <c r="F176" s="79">
        <f>IF($C176&lt;=Entradas!$E$153,"",D176-E176)</f>
        <v>7.1660374384113767E-2</v>
      </c>
      <c r="G176" s="79">
        <f>IF($C176&lt;=Entradas!$E$153,"",D176-AVERAGE(D:D))</f>
        <v>-0.13419607770329389</v>
      </c>
      <c r="H176" s="79">
        <f>IF($C176&lt;=Entradas!$E$153,"",F176^2)</f>
        <v>5.1352092568713488E-3</v>
      </c>
      <c r="I176" s="79">
        <f>IF($C176&lt;=Entradas!$E$153,"",G176^2)</f>
        <v>1.8008587270948492E-2</v>
      </c>
      <c r="J176" s="79">
        <f>IF($C176&lt;=Entradas!$E$153,"",E176-AVERAGE(E:E))</f>
        <v>-0.25394397123901491</v>
      </c>
      <c r="K176" s="79">
        <f>IF($C176&lt;=Entradas!$E$153,"",J176^2)</f>
        <v>6.4487540528641626E-2</v>
      </c>
      <c r="L176" s="79">
        <f>IF($C176&lt;=Entradas!$E$153,"",G176*J176)</f>
        <v>3.4078284896673874E-2</v>
      </c>
      <c r="M176" s="40"/>
    </row>
    <row r="177" spans="2:13">
      <c r="B177" s="39"/>
      <c r="C177" s="75">
        <v>172</v>
      </c>
      <c r="D177" s="110">
        <f>IF($C177&lt;=Entradas!$E$153,"",Observaciones!L177)</f>
        <v>0.64123033046338151</v>
      </c>
      <c r="E177" s="110">
        <f>IF($C177&lt;=Entradas!$E$153,"",Escenario1!BN178)</f>
        <v>0.5714071193491701</v>
      </c>
      <c r="F177" s="79">
        <f>IF($C177&lt;=Entradas!$E$153,"",D177-E177)</f>
        <v>6.9823211114211414E-2</v>
      </c>
      <c r="G177" s="79">
        <f>IF($C177&lt;=Entradas!$E$153,"",D177-AVERAGE(D:D))</f>
        <v>-0.14162129104819643</v>
      </c>
      <c r="H177" s="79">
        <f>IF($C177&lt;=Entradas!$E$153,"",F177^2)</f>
        <v>4.8752808102997362E-3</v>
      </c>
      <c r="I177" s="79">
        <f>IF($C177&lt;=Entradas!$E$153,"",G177^2)</f>
        <v>2.0056590078157962E-2</v>
      </c>
      <c r="J177" s="79">
        <f>IF($C177&lt;=Entradas!$E$153,"",E177-AVERAGE(E:E))</f>
        <v>-0.25953202131401509</v>
      </c>
      <c r="K177" s="79">
        <f>IF($C177&lt;=Entradas!$E$153,"",J177^2)</f>
        <v>6.7356870087338386E-2</v>
      </c>
      <c r="L177" s="79">
        <f>IF($C177&lt;=Entradas!$E$153,"",G177*J177)</f>
        <v>3.6755259926838847E-2</v>
      </c>
      <c r="M177" s="40"/>
    </row>
    <row r="178" spans="2:13">
      <c r="B178" s="39"/>
      <c r="C178" s="75">
        <v>173</v>
      </c>
      <c r="D178" s="110">
        <f>IF($C178&lt;=Entradas!$E$153,"",Observaciones!L178)</f>
        <v>0.63389408526191504</v>
      </c>
      <c r="E178" s="110">
        <f>IF($C178&lt;=Entradas!$E$153,"",Escenario1!BN179)</f>
        <v>0.56587217912409427</v>
      </c>
      <c r="F178" s="79">
        <f>IF($C178&lt;=Entradas!$E$153,"",D178-E178)</f>
        <v>6.8021906137820776E-2</v>
      </c>
      <c r="G178" s="79">
        <f>IF($C178&lt;=Entradas!$E$153,"",D178-AVERAGE(D:D))</f>
        <v>-0.1489575362496629</v>
      </c>
      <c r="H178" s="79">
        <f>IF($C178&lt;=Entradas!$E$153,"",F178^2)</f>
        <v>4.6269797146224999E-3</v>
      </c>
      <c r="I178" s="79">
        <f>IF($C178&lt;=Entradas!$E$153,"",G178^2)</f>
        <v>2.2188347605569637E-2</v>
      </c>
      <c r="J178" s="79">
        <f>IF($C178&lt;=Entradas!$E$153,"",E178-AVERAGE(E:E))</f>
        <v>-0.26506696153909093</v>
      </c>
      <c r="K178" s="79">
        <f>IF($C178&lt;=Entradas!$E$153,"",J178^2)</f>
        <v>7.0260494099565904E-2</v>
      </c>
      <c r="L178" s="79">
        <f>IF($C178&lt;=Entradas!$E$153,"",G178*J178)</f>
        <v>3.9483721532047142E-2</v>
      </c>
      <c r="M178" s="40"/>
    </row>
    <row r="179" spans="2:13">
      <c r="B179" s="39"/>
      <c r="C179" s="75">
        <v>174</v>
      </c>
      <c r="D179" s="110">
        <f>IF($C179&lt;=Entradas!$E$153,"",Observaciones!L179)</f>
        <v>0.62664568747690041</v>
      </c>
      <c r="E179" s="110">
        <f>IF($C179&lt;=Entradas!$E$153,"",Escenario1!BN180)</f>
        <v>0.56038984334869157</v>
      </c>
      <c r="F179" s="79">
        <f>IF($C179&lt;=Entradas!$E$153,"",D179-E179)</f>
        <v>6.6255844128208841E-2</v>
      </c>
      <c r="G179" s="79">
        <f>IF($C179&lt;=Entradas!$E$153,"",D179-AVERAGE(D:D))</f>
        <v>-0.15620593403467753</v>
      </c>
      <c r="H179" s="79">
        <f>IF($C179&lt;=Entradas!$E$153,"",F179^2)</f>
        <v>4.3898368811415055E-3</v>
      </c>
      <c r="I179" s="79">
        <f>IF($C179&lt;=Entradas!$E$153,"",G179^2)</f>
        <v>2.4400293827646028E-2</v>
      </c>
      <c r="J179" s="79">
        <f>IF($C179&lt;=Entradas!$E$153,"",E179-AVERAGE(E:E))</f>
        <v>-0.27054929731449362</v>
      </c>
      <c r="K179" s="79">
        <f>IF($C179&lt;=Entradas!$E$153,"",J179^2)</f>
        <v>7.3196922277366266E-2</v>
      </c>
      <c r="L179" s="79">
        <f>IF($C179&lt;=Entradas!$E$153,"",G179*J179)</f>
        <v>4.2261405689436149E-2</v>
      </c>
      <c r="M179" s="40"/>
    </row>
    <row r="180" spans="2:13">
      <c r="B180" s="39"/>
      <c r="C180" s="75">
        <v>175</v>
      </c>
      <c r="D180" s="110">
        <f>IF($C180&lt;=Entradas!$E$153,"",Observaciones!L180)</f>
        <v>0.61948403324707491</v>
      </c>
      <c r="E180" s="110">
        <f>IF($C180&lt;=Entradas!$E$153,"",Escenario1!BN181)</f>
        <v>0.55495959947802942</v>
      </c>
      <c r="F180" s="79">
        <f>IF($C180&lt;=Entradas!$E$153,"",D180-E180)</f>
        <v>6.4524433769045486E-2</v>
      </c>
      <c r="G180" s="79">
        <f>IF($C180&lt;=Entradas!$E$153,"",D180-AVERAGE(D:D))</f>
        <v>-0.16336758826450304</v>
      </c>
      <c r="H180" s="79">
        <f>IF($C180&lt;=Entradas!$E$153,"",F180^2)</f>
        <v>4.1634025532159375E-3</v>
      </c>
      <c r="I180" s="79">
        <f>IF($C180&lt;=Entradas!$E$153,"",G180^2)</f>
        <v>2.6688968895360193E-2</v>
      </c>
      <c r="J180" s="79">
        <f>IF($C180&lt;=Entradas!$E$153,"",E180-AVERAGE(E:E))</f>
        <v>-0.27597954118515577</v>
      </c>
      <c r="K180" s="79">
        <f>IF($C180&lt;=Entradas!$E$153,"",J180^2)</f>
        <v>7.6164707152769087E-2</v>
      </c>
      <c r="L180" s="79">
        <f>IF($C180&lt;=Entradas!$E$153,"",G180*J180)</f>
        <v>4.5086112053762985E-2</v>
      </c>
      <c r="M180" s="40"/>
    </row>
    <row r="181" spans="2:13">
      <c r="B181" s="39"/>
      <c r="C181" s="75">
        <v>176</v>
      </c>
      <c r="D181" s="110">
        <f>IF($C181&lt;=Entradas!$E$153,"",Observaciones!L181)</f>
        <v>0.61240803357704732</v>
      </c>
      <c r="E181" s="110">
        <f>IF($C181&lt;=Entradas!$E$153,"",Escenario1!BN182)</f>
        <v>0.54958096417575453</v>
      </c>
      <c r="F181" s="79">
        <f>IF($C181&lt;=Entradas!$E$153,"",D181-E181)</f>
        <v>6.282706940129279E-2</v>
      </c>
      <c r="G181" s="79">
        <f>IF($C181&lt;=Entradas!$E$153,"",D181-AVERAGE(D:D))</f>
        <v>-0.17044358793453063</v>
      </c>
      <c r="H181" s="79">
        <f>IF($C181&lt;=Entradas!$E$153,"",F181^2)</f>
        <v>3.9472406495548607E-3</v>
      </c>
      <c r="I181" s="79">
        <f>IF($C181&lt;=Entradas!$E$153,"",G181^2)</f>
        <v>2.9051016667996074E-2</v>
      </c>
      <c r="J181" s="79">
        <f>IF($C181&lt;=Entradas!$E$153,"",E181-AVERAGE(E:E))</f>
        <v>-0.28135817648743067</v>
      </c>
      <c r="K181" s="79">
        <f>IF($C181&lt;=Entradas!$E$153,"",J181^2)</f>
        <v>7.9162423476332178E-2</v>
      </c>
      <c r="L181" s="79">
        <f>IF($C181&lt;=Entradas!$E$153,"",G181*J181)</f>
        <v>4.7955697095234576E-2</v>
      </c>
      <c r="M181" s="40"/>
    </row>
    <row r="182" spans="2:13">
      <c r="B182" s="39"/>
      <c r="C182" s="75">
        <v>177</v>
      </c>
      <c r="D182" s="110">
        <f>IF($C182&lt;=Entradas!$E$153,"",Observaciones!L182)</f>
        <v>0.6054166138403424</v>
      </c>
      <c r="E182" s="110">
        <f>IF($C182&lt;=Entradas!$E$153,"",Escenario1!BN183)</f>
        <v>0.54425344719462898</v>
      </c>
      <c r="F182" s="79">
        <f>IF($C182&lt;=Entradas!$E$153,"",D182-E182)</f>
        <v>6.1163166645713418E-2</v>
      </c>
      <c r="G182" s="79">
        <f>IF($C182&lt;=Entradas!$E$153,"",D182-AVERAGE(D:D))</f>
        <v>-0.17743500767123555</v>
      </c>
      <c r="H182" s="79">
        <f>IF($C182&lt;=Entradas!$E$153,"",F182^2)</f>
        <v>3.7409329541313102E-3</v>
      </c>
      <c r="I182" s="79">
        <f>IF($C182&lt;=Entradas!$E$153,"",G182^2)</f>
        <v>3.1483181947291418E-2</v>
      </c>
      <c r="J182" s="79">
        <f>IF($C182&lt;=Entradas!$E$153,"",E182-AVERAGE(E:E))</f>
        <v>-0.28668569346855621</v>
      </c>
      <c r="K182" s="79">
        <f>IF($C182&lt;=Entradas!$E$153,"",J182^2)</f>
        <v>8.2188686839546971E-2</v>
      </c>
      <c r="L182" s="79">
        <f>IF($C182&lt;=Entradas!$E$153,"",G182*J182)</f>
        <v>5.0868078219826751E-2</v>
      </c>
      <c r="M182" s="40"/>
    </row>
    <row r="183" spans="2:13">
      <c r="B183" s="39"/>
      <c r="C183" s="75">
        <v>178</v>
      </c>
      <c r="D183" s="110">
        <f>IF($C183&lt;=Entradas!$E$153,"",Observaciones!L183)</f>
        <v>0.59850871353416069</v>
      </c>
      <c r="E183" s="110">
        <f>IF($C183&lt;=Entradas!$E$153,"",Escenario1!BN184)</f>
        <v>0.5389765440653087</v>
      </c>
      <c r="F183" s="79">
        <f>IF($C183&lt;=Entradas!$E$153,"",D183-E183)</f>
        <v>5.9532169468851981E-2</v>
      </c>
      <c r="G183" s="79">
        <f>IF($C183&lt;=Entradas!$E$153,"",D183-AVERAGE(D:D))</f>
        <v>-0.18434290797741726</v>
      </c>
      <c r="H183" s="79">
        <f>IF($C183&lt;=Entradas!$E$153,"",F183^2)</f>
        <v>3.5440792016681118E-3</v>
      </c>
      <c r="I183" s="79">
        <f>IF($C183&lt;=Entradas!$E$153,"",G183^2)</f>
        <v>3.3982307721570529E-2</v>
      </c>
      <c r="J183" s="79">
        <f>IF($C183&lt;=Entradas!$E$153,"",E183-AVERAGE(E:E))</f>
        <v>-0.29196259659787649</v>
      </c>
      <c r="K183" s="79">
        <f>IF($C183&lt;=Entradas!$E$153,"",J183^2)</f>
        <v>8.5242157812174355E-2</v>
      </c>
      <c r="L183" s="79">
        <f>IF($C183&lt;=Entradas!$E$153,"",G183*J183)</f>
        <v>5.3821234077490142E-2</v>
      </c>
      <c r="M183" s="40"/>
    </row>
    <row r="184" spans="2:13">
      <c r="B184" s="39"/>
      <c r="C184" s="75">
        <v>179</v>
      </c>
      <c r="D184" s="110">
        <f>IF($C184&lt;=Entradas!$E$153,"",Observaciones!L184)</f>
        <v>0.59168328607820797</v>
      </c>
      <c r="E184" s="110">
        <f>IF($C184&lt;=Entradas!$E$153,"",Escenario1!BN185)</f>
        <v>0.533749792806404</v>
      </c>
      <c r="F184" s="79">
        <f>IF($C184&lt;=Entradas!$E$153,"",D184-E184)</f>
        <v>5.7933493271803971E-2</v>
      </c>
      <c r="G184" s="79">
        <f>IF($C184&lt;=Entradas!$E$153,"",D184-AVERAGE(D:D))</f>
        <v>-0.19116833543336997</v>
      </c>
      <c r="H184" s="79">
        <f>IF($C184&lt;=Entradas!$E$153,"",F184^2)</f>
        <v>3.3562896426741558E-3</v>
      </c>
      <c r="I184" s="79">
        <f>IF($C184&lt;=Entradas!$E$153,"",G184^2)</f>
        <v>3.6545332472365459E-2</v>
      </c>
      <c r="J184" s="79">
        <f>IF($C184&lt;=Entradas!$E$153,"",E184-AVERAGE(E:E))</f>
        <v>-0.29718934785678119</v>
      </c>
      <c r="K184" s="79">
        <f>IF($C184&lt;=Entradas!$E$153,"",J184^2)</f>
        <v>8.8321508479538902E-2</v>
      </c>
      <c r="L184" s="79">
        <f>IF($C184&lt;=Entradas!$E$153,"",G184*J184)</f>
        <v>5.6813192938309616E-2</v>
      </c>
      <c r="M184" s="40"/>
    </row>
    <row r="185" spans="2:13">
      <c r="B185" s="39"/>
      <c r="C185" s="75">
        <v>180</v>
      </c>
      <c r="D185" s="110">
        <f>IF($C185&lt;=Entradas!$E$153,"",Observaciones!L185)</f>
        <v>0.58493929862310412</v>
      </c>
      <c r="E185" s="110">
        <f>IF($C185&lt;=Entradas!$E$153,"",Escenario1!BN186)</f>
        <v>0.52857269650796057</v>
      </c>
      <c r="F185" s="79">
        <f>IF($C185&lt;=Entradas!$E$153,"",D185-E185)</f>
        <v>5.6366602115143549E-2</v>
      </c>
      <c r="G185" s="79">
        <f>IF($C185&lt;=Entradas!$E$153,"",D185-AVERAGE(D:D))</f>
        <v>-0.19791232288847382</v>
      </c>
      <c r="H185" s="79">
        <f>IF($C185&lt;=Entradas!$E$153,"",F185^2)</f>
        <v>3.1771938340069052E-3</v>
      </c>
      <c r="I185" s="79">
        <f>IF($C185&lt;=Entradas!$E$153,"",G185^2)</f>
        <v>3.9169287551111522E-2</v>
      </c>
      <c r="J185" s="79">
        <f>IF($C185&lt;=Entradas!$E$153,"",E185-AVERAGE(E:E))</f>
        <v>-0.30236644415522462</v>
      </c>
      <c r="K185" s="79">
        <f>IF($C185&lt;=Entradas!$E$153,"",J185^2)</f>
        <v>9.1425466551074572E-2</v>
      </c>
      <c r="L185" s="79">
        <f>IF($C185&lt;=Entradas!$E$153,"",G185*J185)</f>
        <v>5.9842045326288507E-2</v>
      </c>
      <c r="M185" s="40"/>
    </row>
    <row r="186" spans="2:13">
      <c r="B186" s="39"/>
      <c r="C186" s="75">
        <v>181</v>
      </c>
      <c r="D186" s="110">
        <f>IF($C186&lt;=Entradas!$E$153,"",Observaciones!L186)</f>
        <v>0.57827573186261239</v>
      </c>
      <c r="E186" s="110">
        <f>IF($C186&lt;=Entradas!$E$153,"",Escenario1!BN187)</f>
        <v>0.52344477995144945</v>
      </c>
      <c r="F186" s="79">
        <f>IF($C186&lt;=Entradas!$E$153,"",D186-E186)</f>
        <v>5.483095191116294E-2</v>
      </c>
      <c r="G186" s="79">
        <f>IF($C186&lt;=Entradas!$E$153,"",D186-AVERAGE(D:D))</f>
        <v>-0.20457588964896556</v>
      </c>
      <c r="H186" s="79">
        <f>IF($C186&lt;=Entradas!$E$153,"",F186^2)</f>
        <v>3.0064332874842627E-3</v>
      </c>
      <c r="I186" s="79">
        <f>IF($C186&lt;=Entradas!$E$153,"",G186^2)</f>
        <v>4.1851294625665732E-2</v>
      </c>
      <c r="J186" s="79">
        <f>IF($C186&lt;=Entradas!$E$153,"",E186-AVERAGE(E:E))</f>
        <v>-0.30749436071173575</v>
      </c>
      <c r="K186" s="79">
        <f>IF($C186&lt;=Entradas!$E$153,"",J186^2)</f>
        <v>9.4552781869519056E-2</v>
      </c>
      <c r="L186" s="79">
        <f>IF($C186&lt;=Entradas!$E$153,"",G186*J186)</f>
        <v>6.2905932404643261E-2</v>
      </c>
      <c r="M186" s="40"/>
    </row>
    <row r="187" spans="2:13">
      <c r="B187" s="39"/>
      <c r="C187" s="75">
        <v>182</v>
      </c>
      <c r="D187" s="110">
        <f>IF($C187&lt;=Entradas!$E$153,"",Observaciones!L187)</f>
        <v>0.57169157984870722</v>
      </c>
      <c r="E187" s="110">
        <f>IF($C187&lt;=Entradas!$E$153,"",Escenario1!BN188)</f>
        <v>0.51836559421605921</v>
      </c>
      <c r="F187" s="79">
        <f>IF($C187&lt;=Entradas!$E$153,"",D187-E187)</f>
        <v>5.332598563264801E-2</v>
      </c>
      <c r="G187" s="79">
        <f>IF($C187&lt;=Entradas!$E$153,"",D187-AVERAGE(D:D))</f>
        <v>-0.21116004166287072</v>
      </c>
      <c r="H187" s="79">
        <f>IF($C187&lt;=Entradas!$E$153,"",F187^2)</f>
        <v>2.8436607436933821E-3</v>
      </c>
      <c r="I187" s="79">
        <f>IF($C187&lt;=Entradas!$E$153,"",G187^2)</f>
        <v>4.4588563195065302E-2</v>
      </c>
      <c r="J187" s="79">
        <f>IF($C187&lt;=Entradas!$E$153,"",E187-AVERAGE(E:E))</f>
        <v>-0.31257354644712598</v>
      </c>
      <c r="K187" s="79">
        <f>IF($C187&lt;=Entradas!$E$153,"",J187^2)</f>
        <v>9.7702221938533618E-2</v>
      </c>
      <c r="L187" s="79">
        <f>IF($C187&lt;=Entradas!$E$153,"",G187*J187)</f>
        <v>6.600304309048638E-2</v>
      </c>
      <c r="M187" s="40"/>
    </row>
    <row r="188" spans="2:13">
      <c r="B188" s="39"/>
      <c r="C188" s="75">
        <v>183</v>
      </c>
      <c r="D188" s="110">
        <f>IF($C188&lt;=Entradas!$E$153,"",Observaciones!L188)</f>
        <v>0.56518584980927833</v>
      </c>
      <c r="E188" s="110">
        <f>IF($C188&lt;=Entradas!$E$153,"",Escenario1!BN189)</f>
        <v>0.51333466652333115</v>
      </c>
      <c r="F188" s="79">
        <f>IF($C188&lt;=Entradas!$E$153,"",D188-E188)</f>
        <v>5.1851183285947178E-2</v>
      </c>
      <c r="G188" s="79">
        <f>IF($C188&lt;=Entradas!$E$153,"",D188-AVERAGE(D:D))</f>
        <v>-0.21766577170229962</v>
      </c>
      <c r="H188" s="79">
        <f>IF($C188&lt;=Entradas!$E$153,"",F188^2)</f>
        <v>2.6885452081528878E-3</v>
      </c>
      <c r="I188" s="79">
        <f>IF($C188&lt;=Entradas!$E$153,"",G188^2)</f>
        <v>4.7378388170757617E-2</v>
      </c>
      <c r="J188" s="79">
        <f>IF($C188&lt;=Entradas!$E$153,"",E188-AVERAGE(E:E))</f>
        <v>-0.31760447413985404</v>
      </c>
      <c r="K188" s="79">
        <f>IF($C188&lt;=Entradas!$E$153,"",J188^2)</f>
        <v>0.10087260199365322</v>
      </c>
      <c r="L188" s="79">
        <f>IF($C188&lt;=Entradas!$E$153,"",G188*J188)</f>
        <v>6.9131622959754391E-2</v>
      </c>
      <c r="M188" s="40"/>
    </row>
    <row r="189" spans="2:13">
      <c r="B189" s="39"/>
      <c r="C189" s="75">
        <v>184</v>
      </c>
      <c r="D189" s="110">
        <f>IF($C189&lt;=Entradas!$E$153,"",Observaciones!L189)</f>
        <v>0.5587575619684132</v>
      </c>
      <c r="E189" s="110">
        <f>IF($C189&lt;=Entradas!$E$153,"",Escenario1!BN190)</f>
        <v>0.50835153797299615</v>
      </c>
      <c r="F189" s="79">
        <f>IF($C189&lt;=Entradas!$E$153,"",D189-E189)</f>
        <v>5.0406023995417049E-2</v>
      </c>
      <c r="G189" s="79">
        <f>IF($C189&lt;=Entradas!$E$153,"",D189-AVERAGE(D:D))</f>
        <v>-0.22409405954316475</v>
      </c>
      <c r="H189" s="79">
        <f>IF($C189&lt;=Entradas!$E$153,"",F189^2)</f>
        <v>2.5407672550265591E-3</v>
      </c>
      <c r="I189" s="79">
        <f>IF($C189&lt;=Entradas!$E$153,"",G189^2)</f>
        <v>5.0218147522535464E-2</v>
      </c>
      <c r="J189" s="79">
        <f>IF($C189&lt;=Entradas!$E$153,"",E189-AVERAGE(E:E))</f>
        <v>-0.32258760269018905</v>
      </c>
      <c r="K189" s="79">
        <f>IF($C189&lt;=Entradas!$E$153,"",J189^2)</f>
        <v>0.10406276140940326</v>
      </c>
      <c r="L189" s="79">
        <f>IF($C189&lt;=Entradas!$E$153,"",G189*J189)</f>
        <v>7.228996544514199E-2</v>
      </c>
      <c r="M189" s="40"/>
    </row>
    <row r="190" spans="2:13">
      <c r="B190" s="39"/>
      <c r="C190" s="75">
        <v>185</v>
      </c>
      <c r="D190" s="110">
        <f>IF($C190&lt;=Entradas!$E$153,"",Observaciones!L190)</f>
        <v>0.55240574936921227</v>
      </c>
      <c r="E190" s="110">
        <f>IF($C190&lt;=Entradas!$E$153,"",Escenario1!BN191)</f>
        <v>0.50341576515366093</v>
      </c>
      <c r="F190" s="79">
        <f>IF($C190&lt;=Entradas!$E$153,"",D190-E190)</f>
        <v>4.8989984215551341E-2</v>
      </c>
      <c r="G190" s="79">
        <f>IF($C190&lt;=Entradas!$E$153,"",D190-AVERAGE(D:D))</f>
        <v>-0.23044587214236567</v>
      </c>
      <c r="H190" s="79">
        <f>IF($C190&lt;=Entradas!$E$153,"",F190^2)</f>
        <v>2.4000185534399695E-3</v>
      </c>
      <c r="I190" s="79">
        <f>IF($C190&lt;=Entradas!$E$153,"",G190^2)</f>
        <v>5.310529998745555E-2</v>
      </c>
      <c r="J190" s="79">
        <f>IF($C190&lt;=Entradas!$E$153,"",E190-AVERAGE(E:E))</f>
        <v>-0.32752337550952426</v>
      </c>
      <c r="K190" s="79">
        <f>IF($C190&lt;=Entradas!$E$153,"",J190^2)</f>
        <v>0.10727156150515284</v>
      </c>
      <c r="L190" s="79">
        <f>IF($C190&lt;=Entradas!$E$153,"",G190*J190)</f>
        <v>7.5476409916303847E-2</v>
      </c>
      <c r="M190" s="40"/>
    </row>
    <row r="191" spans="2:13">
      <c r="B191" s="39"/>
      <c r="C191" s="75">
        <v>186</v>
      </c>
      <c r="D191" s="110">
        <f>IF($C191&lt;=Entradas!$E$153,"",Observaciones!L191)</f>
        <v>0.54612945769910159</v>
      </c>
      <c r="E191" s="110">
        <f>IF($C191&lt;=Entradas!$E$153,"",Escenario1!BN192)</f>
        <v>0.49852688227805697</v>
      </c>
      <c r="F191" s="79">
        <f>IF($C191&lt;=Entradas!$E$153,"",D191-E191)</f>
        <v>4.7602575421044624E-2</v>
      </c>
      <c r="G191" s="79">
        <f>IF($C191&lt;=Entradas!$E$153,"",D191-AVERAGE(D:D))</f>
        <v>-0.23672216381247635</v>
      </c>
      <c r="H191" s="79">
        <f>IF($C191&lt;=Entradas!$E$153,"",F191^2)</f>
        <v>2.2660051867162416E-3</v>
      </c>
      <c r="I191" s="79">
        <f>IF($C191&lt;=Entradas!$E$153,"",G191^2)</f>
        <v>5.6037382840060886E-2</v>
      </c>
      <c r="J191" s="79">
        <f>IF($C191&lt;=Entradas!$E$153,"",E191-AVERAGE(E:E))</f>
        <v>-0.33241225838512822</v>
      </c>
      <c r="K191" s="79">
        <f>IF($C191&lt;=Entradas!$E$153,"",J191^2)</f>
        <v>0.11049790952470125</v>
      </c>
      <c r="L191" s="79">
        <f>IF($C191&lt;=Entradas!$E$153,"",G191*J191)</f>
        <v>7.8689349082719531E-2</v>
      </c>
      <c r="M191" s="40"/>
    </row>
    <row r="192" spans="2:13">
      <c r="B192" s="39"/>
      <c r="C192" s="75">
        <v>187</v>
      </c>
      <c r="D192" s="110">
        <f>IF($C192&lt;=Entradas!$E$153,"",Observaciones!L192)</f>
        <v>0.53992774511760677</v>
      </c>
      <c r="E192" s="110">
        <f>IF($C192&lt;=Entradas!$E$153,"",Escenario1!BN193)</f>
        <v>0.49368444762506208</v>
      </c>
      <c r="F192" s="79">
        <f>IF($C192&lt;=Entradas!$E$153,"",D192-E192)</f>
        <v>4.6243297492544688E-2</v>
      </c>
      <c r="G192" s="79">
        <f>IF($C192&lt;=Entradas!$E$153,"",D192-AVERAGE(D:D))</f>
        <v>-0.24292387639397117</v>
      </c>
      <c r="H192" s="79">
        <f>IF($C192&lt;=Entradas!$E$153,"",F192^2)</f>
        <v>2.1384425629839897E-3</v>
      </c>
      <c r="I192" s="79">
        <f>IF($C192&lt;=Entradas!$E$153,"",G192^2)</f>
        <v>5.9012009722273384E-2</v>
      </c>
      <c r="J192" s="79">
        <f>IF($C192&lt;=Entradas!$E$153,"",E192-AVERAGE(E:E))</f>
        <v>-0.33725469303812311</v>
      </c>
      <c r="K192" s="79">
        <f>IF($C192&lt;=Entradas!$E$153,"",J192^2)</f>
        <v>0.11374072797623865</v>
      </c>
      <c r="L192" s="79">
        <f>IF($C192&lt;=Entradas!$E$153,"",G192*J192)</f>
        <v>8.1927217364879706E-2</v>
      </c>
      <c r="M192" s="40"/>
    </row>
    <row r="193" spans="2:13">
      <c r="B193" s="39"/>
      <c r="C193" s="75">
        <v>188</v>
      </c>
      <c r="D193" s="110">
        <f>IF($C193&lt;=Entradas!$E$153,"",Observaciones!L193)</f>
        <v>0.53379968208655049</v>
      </c>
      <c r="E193" s="110">
        <f>IF($C193&lt;=Entradas!$E$153,"",Escenario1!BN194)</f>
        <v>0.48888801913094754</v>
      </c>
      <c r="F193" s="79">
        <f>IF($C193&lt;=Entradas!$E$153,"",D193-E193)</f>
        <v>4.4911662955602949E-2</v>
      </c>
      <c r="G193" s="79">
        <f>IF($C193&lt;=Entradas!$E$153,"",D193-AVERAGE(D:D))</f>
        <v>-0.24905193942502746</v>
      </c>
      <c r="H193" s="79">
        <f>IF($C193&lt;=Entradas!$E$153,"",F193^2)</f>
        <v>2.017057469437678E-3</v>
      </c>
      <c r="I193" s="79">
        <f>IF($C193&lt;=Entradas!$E$153,"",G193^2)</f>
        <v>6.2026868531367546E-2</v>
      </c>
      <c r="J193" s="79">
        <f>IF($C193&lt;=Entradas!$E$153,"",E193-AVERAGE(E:E))</f>
        <v>-0.34205112153223766</v>
      </c>
      <c r="K193" s="79">
        <f>IF($C193&lt;=Entradas!$E$153,"",J193^2)</f>
        <v>0.11699896974146161</v>
      </c>
      <c r="L193" s="79">
        <f>IF($C193&lt;=Entradas!$E$153,"",G193*J193)</f>
        <v>8.5188495200109557E-2</v>
      </c>
      <c r="M193" s="40"/>
    </row>
    <row r="194" spans="2:13">
      <c r="B194" s="39"/>
      <c r="C194" s="75">
        <v>189</v>
      </c>
      <c r="D194" s="110">
        <f>IF($C194&lt;=Entradas!$E$153,"",Observaciones!L194)</f>
        <v>0.52774435120264218</v>
      </c>
      <c r="E194" s="110">
        <f>IF($C194&lt;=Entradas!$E$153,"",Escenario1!BN195)</f>
        <v>0.48413718126062144</v>
      </c>
      <c r="F194" s="79">
        <f>IF($C194&lt;=Entradas!$E$153,"",D194-E194)</f>
        <v>4.360716994202074E-2</v>
      </c>
      <c r="G194" s="79">
        <f>IF($C194&lt;=Entradas!$E$153,"",D194-AVERAGE(D:D))</f>
        <v>-0.25510727030893576</v>
      </c>
      <c r="H194" s="79">
        <f>IF($C194&lt;=Entradas!$E$153,"",F194^2)</f>
        <v>1.9015852703522771E-3</v>
      </c>
      <c r="I194" s="79">
        <f>IF($C194&lt;=Entradas!$E$153,"",G194^2)</f>
        <v>6.5079719364476415E-2</v>
      </c>
      <c r="J194" s="79">
        <f>IF($C194&lt;=Entradas!$E$153,"",E194-AVERAGE(E:E))</f>
        <v>-0.34680195940256375</v>
      </c>
      <c r="K194" s="79">
        <f>IF($C194&lt;=Entradas!$E$153,"",J194^2)</f>
        <v>0.12027159904545748</v>
      </c>
      <c r="L194" s="79">
        <f>IF($C194&lt;=Entradas!$E$153,"",G194*J194)</f>
        <v>8.84717012009784E-2</v>
      </c>
      <c r="M194" s="40"/>
    </row>
    <row r="195" spans="2:13">
      <c r="B195" s="39"/>
      <c r="C195" s="75">
        <v>190</v>
      </c>
      <c r="D195" s="110">
        <f>IF($C195&lt;=Entradas!$E$153,"",Observaciones!L195)</f>
        <v>0.55692192037094435</v>
      </c>
      <c r="E195" s="110">
        <f>IF($C195&lt;=Entradas!$E$153,"",Escenario1!BN196)</f>
        <v>0.50974539878723046</v>
      </c>
      <c r="F195" s="79">
        <f>IF($C195&lt;=Entradas!$E$153,"",D195-E195)</f>
        <v>4.7176521583713882E-2</v>
      </c>
      <c r="G195" s="79">
        <f>IF($C195&lt;=Entradas!$E$153,"",D195-AVERAGE(D:D))</f>
        <v>-0.2259297011406336</v>
      </c>
      <c r="H195" s="79">
        <f>IF($C195&lt;=Entradas!$E$153,"",F195^2)</f>
        <v>2.2256241887386218E-3</v>
      </c>
      <c r="I195" s="79">
        <f>IF($C195&lt;=Entradas!$E$153,"",G195^2)</f>
        <v>5.1044229857496015E-2</v>
      </c>
      <c r="J195" s="79">
        <f>IF($C195&lt;=Entradas!$E$153,"",E195-AVERAGE(E:E))</f>
        <v>-0.32119374187595473</v>
      </c>
      <c r="K195" s="79">
        <f>IF($C195&lt;=Entradas!$E$153,"",J195^2)</f>
        <v>0.10316541982027744</v>
      </c>
      <c r="L195" s="79">
        <f>IF($C195&lt;=Entradas!$E$153,"",G195*J195)</f>
        <v>7.2567206110276269E-2</v>
      </c>
      <c r="M195" s="40"/>
    </row>
    <row r="196" spans="2:13">
      <c r="B196" s="39"/>
      <c r="C196" s="75">
        <v>191</v>
      </c>
      <c r="D196" s="110">
        <f>IF($C196&lt;=Entradas!$E$153,"",Observaciones!L196)</f>
        <v>0.52168277538037766</v>
      </c>
      <c r="E196" s="110">
        <f>IF($C196&lt;=Entradas!$E$153,"",Escenario1!BN197)</f>
        <v>0.47950015654048284</v>
      </c>
      <c r="F196" s="79">
        <f>IF($C196&lt;=Entradas!$E$153,"",D196-E196)</f>
        <v>4.2182618839894825E-2</v>
      </c>
      <c r="G196" s="79">
        <f>IF($C196&lt;=Entradas!$E$153,"",D196-AVERAGE(D:D))</f>
        <v>-0.26116884613120028</v>
      </c>
      <c r="H196" s="79">
        <f>IF($C196&lt;=Entradas!$E$153,"",F196^2)</f>
        <v>1.7793733321918499E-3</v>
      </c>
      <c r="I196" s="79">
        <f>IF($C196&lt;=Entradas!$E$153,"",G196^2)</f>
        <v>6.8209166189502568E-2</v>
      </c>
      <c r="J196" s="79">
        <f>IF($C196&lt;=Entradas!$E$153,"",E196-AVERAGE(E:E))</f>
        <v>-0.35143898412270236</v>
      </c>
      <c r="K196" s="79">
        <f>IF($C196&lt;=Entradas!$E$153,"",J196^2)</f>
        <v>0.12350935956119705</v>
      </c>
      <c r="L196" s="79">
        <f>IF($C196&lt;=Entradas!$E$153,"",G196*J196)</f>
        <v>9.1784913968847387E-2</v>
      </c>
      <c r="M196" s="40"/>
    </row>
    <row r="197" spans="2:13">
      <c r="B197" s="39"/>
      <c r="C197" s="75">
        <v>192</v>
      </c>
      <c r="D197" s="110">
        <f>IF($C197&lt;=Entradas!$E$153,"",Observaciones!L197)</f>
        <v>0.51097391139091186</v>
      </c>
      <c r="E197" s="110">
        <f>IF($C197&lt;=Entradas!$E$153,"",Escenario1!BN198)</f>
        <v>0.47062960817842842</v>
      </c>
      <c r="F197" s="79">
        <f>IF($C197&lt;=Entradas!$E$153,"",D197-E197)</f>
        <v>4.0344303212483446E-2</v>
      </c>
      <c r="G197" s="79">
        <f>IF($C197&lt;=Entradas!$E$153,"",D197-AVERAGE(D:D))</f>
        <v>-0.27187771012066608</v>
      </c>
      <c r="H197" s="79">
        <f>IF($C197&lt;=Entradas!$E$153,"",F197^2)</f>
        <v>1.6276628017008021E-3</v>
      </c>
      <c r="I197" s="79">
        <f>IF($C197&lt;=Entradas!$E$153,"",G197^2)</f>
        <v>7.3917489260456937E-2</v>
      </c>
      <c r="J197" s="79">
        <f>IF($C197&lt;=Entradas!$E$153,"",E197-AVERAGE(E:E))</f>
        <v>-0.36030953248475678</v>
      </c>
      <c r="K197" s="79">
        <f>IF($C197&lt;=Entradas!$E$153,"",J197^2)</f>
        <v>0.129822959199384</v>
      </c>
      <c r="L197" s="79">
        <f>IF($C197&lt;=Entradas!$E$153,"",G197*J197)</f>
        <v>9.7960130626603428E-2</v>
      </c>
      <c r="M197" s="40"/>
    </row>
    <row r="198" spans="2:13">
      <c r="B198" s="39"/>
      <c r="C198" s="75">
        <v>193</v>
      </c>
      <c r="D198" s="110">
        <f>IF($C198&lt;=Entradas!$E$153,"",Observaciones!L198)</f>
        <v>0.50439306877098888</v>
      </c>
      <c r="E198" s="110">
        <f>IF($C198&lt;=Entradas!$E$153,"",Escenario1!BN199)</f>
        <v>0.46559018520670142</v>
      </c>
      <c r="F198" s="79">
        <f>IF($C198&lt;=Entradas!$E$153,"",D198-E198)</f>
        <v>3.880288356428746E-2</v>
      </c>
      <c r="G198" s="79">
        <f>IF($C198&lt;=Entradas!$E$153,"",D198-AVERAGE(D:D))</f>
        <v>-0.27845855274058906</v>
      </c>
      <c r="H198" s="79">
        <f>IF($C198&lt;=Entradas!$E$153,"",F198^2)</f>
        <v>1.5056637729036499E-3</v>
      </c>
      <c r="I198" s="79">
        <f>IF($C198&lt;=Entradas!$E$153,"",G198^2)</f>
        <v>7.7539165594383425E-2</v>
      </c>
      <c r="J198" s="79">
        <f>IF($C198&lt;=Entradas!$E$153,"",E198-AVERAGE(E:E))</f>
        <v>-0.36534895545648377</v>
      </c>
      <c r="K198" s="79">
        <f>IF($C198&lt;=Entradas!$E$153,"",J198^2)</f>
        <v>0.13347985925314376</v>
      </c>
      <c r="L198" s="79">
        <f>IF($C198&lt;=Entradas!$E$153,"",G198*J198)</f>
        <v>0.10173454138169841</v>
      </c>
      <c r="M198" s="40"/>
    </row>
    <row r="199" spans="2:13">
      <c r="B199" s="39"/>
      <c r="C199" s="75">
        <v>194</v>
      </c>
      <c r="D199" s="110">
        <f>IF($C199&lt;=Entradas!$E$153,"",Observaciones!L199)</f>
        <v>0.49855405674293762</v>
      </c>
      <c r="E199" s="110">
        <f>IF($C199&lt;=Entradas!$E$153,"",Escenario1!BN200)</f>
        <v>0.46106376578832875</v>
      </c>
      <c r="F199" s="79">
        <f>IF($C199&lt;=Entradas!$E$153,"",D199-E199)</f>
        <v>3.7490290954608874E-2</v>
      </c>
      <c r="G199" s="79">
        <f>IF($C199&lt;=Entradas!$E$153,"",D199-AVERAGE(D:D))</f>
        <v>-0.28429756476864032</v>
      </c>
      <c r="H199" s="79">
        <f>IF($C199&lt;=Entradas!$E$153,"",F199^2)</f>
        <v>1.4055219158612279E-3</v>
      </c>
      <c r="I199" s="79">
        <f>IF($C199&lt;=Entradas!$E$153,"",G199^2)</f>
        <v>8.0825105333379235E-2</v>
      </c>
      <c r="J199" s="79">
        <f>IF($C199&lt;=Entradas!$E$153,"",E199-AVERAGE(E:E))</f>
        <v>-0.36987537487485644</v>
      </c>
      <c r="K199" s="79">
        <f>IF($C199&lt;=Entradas!$E$153,"",J199^2)</f>
        <v>0.13680779293881559</v>
      </c>
      <c r="L199" s="79">
        <f>IF($C199&lt;=Entradas!$E$153,"",G199*J199)</f>
        <v>0.10515466834480962</v>
      </c>
      <c r="M199" s="40"/>
    </row>
    <row r="200" spans="2:13">
      <c r="B200" s="39"/>
      <c r="C200" s="75">
        <v>195</v>
      </c>
      <c r="D200" s="110">
        <f>IF($C200&lt;=Entradas!$E$153,"",Observaciones!L200)</f>
        <v>0.49289427782567596</v>
      </c>
      <c r="E200" s="110">
        <f>IF($C200&lt;=Entradas!$E$153,"",Escenario1!BN201)</f>
        <v>0.45658035462054664</v>
      </c>
      <c r="F200" s="79">
        <f>IF($C200&lt;=Entradas!$E$153,"",D200-E200)</f>
        <v>3.6313923205129328E-2</v>
      </c>
      <c r="G200" s="79">
        <f>IF($C200&lt;=Entradas!$E$153,"",D200-AVERAGE(D:D))</f>
        <v>-0.28995734368590198</v>
      </c>
      <c r="H200" s="79">
        <f>IF($C200&lt;=Entradas!$E$153,"",F200^2)</f>
        <v>1.3187010185480303E-3</v>
      </c>
      <c r="I200" s="79">
        <f>IF($C200&lt;=Entradas!$E$153,"",G200^2)</f>
        <v>8.4075261157384285E-2</v>
      </c>
      <c r="J200" s="79">
        <f>IF($C200&lt;=Entradas!$E$153,"",E200-AVERAGE(E:E))</f>
        <v>-0.37435878604263856</v>
      </c>
      <c r="K200" s="79">
        <f>IF($C200&lt;=Entradas!$E$153,"",J200^2)</f>
        <v>0.14014450068731804</v>
      </c>
      <c r="L200" s="79">
        <f>IF($C200&lt;=Entradas!$E$153,"",G200*J200)</f>
        <v>0.1085480791864024</v>
      </c>
      <c r="M200" s="40"/>
    </row>
    <row r="201" spans="2:13">
      <c r="B201" s="39"/>
      <c r="C201" s="75">
        <v>196</v>
      </c>
      <c r="D201" s="110">
        <f>IF($C201&lt;=Entradas!$E$153,"",Observaciones!L201)</f>
        <v>0.48731968041627505</v>
      </c>
      <c r="E201" s="110">
        <f>IF($C201&lt;=Entradas!$E$153,"",Escenario1!BN202)</f>
        <v>0.45213955345509732</v>
      </c>
      <c r="F201" s="79">
        <f>IF($C201&lt;=Entradas!$E$153,"",D201-E201)</f>
        <v>3.5180126961177727E-2</v>
      </c>
      <c r="G201" s="79">
        <f>IF($C201&lt;=Entradas!$E$153,"",D201-AVERAGE(D:D))</f>
        <v>-0.2955319410953029</v>
      </c>
      <c r="H201" s="79">
        <f>IF($C201&lt;=Entradas!$E$153,"",F201^2)</f>
        <v>1.237641333004584E-3</v>
      </c>
      <c r="I201" s="79">
        <f>IF($C201&lt;=Entradas!$E$153,"",G201^2)</f>
        <v>8.7339128207557584E-2</v>
      </c>
      <c r="J201" s="79">
        <f>IF($C201&lt;=Entradas!$E$153,"",E201-AVERAGE(E:E))</f>
        <v>-0.37879958720808787</v>
      </c>
      <c r="K201" s="79">
        <f>IF($C201&lt;=Entradas!$E$153,"",J201^2)</f>
        <v>0.14348912726901777</v>
      </c>
      <c r="L201" s="79">
        <f>IF($C201&lt;=Entradas!$E$153,"",G201*J201)</f>
        <v>0.11194737729370567</v>
      </c>
      <c r="M201" s="40"/>
    </row>
    <row r="202" spans="2:13">
      <c r="B202" s="39"/>
      <c r="C202" s="75">
        <v>197</v>
      </c>
      <c r="D202" s="110">
        <f>IF($C202&lt;=Entradas!$E$153,"",Observaciones!L202)</f>
        <v>0.48181397074256777</v>
      </c>
      <c r="E202" s="110">
        <f>IF($C202&lt;=Entradas!$E$153,"",Escenario1!BN203)</f>
        <v>0.4477409450673655</v>
      </c>
      <c r="F202" s="79">
        <f>IF($C202&lt;=Entradas!$E$153,"",D202-E202)</f>
        <v>3.4073025675202262E-2</v>
      </c>
      <c r="G202" s="79">
        <f>IF($C202&lt;=Entradas!$E$153,"",D202-AVERAGE(D:D))</f>
        <v>-0.30103765076901018</v>
      </c>
      <c r="H202" s="79">
        <f>IF($C202&lt;=Entradas!$E$153,"",F202^2)</f>
        <v>1.1609710786629926E-3</v>
      </c>
      <c r="I202" s="79">
        <f>IF($C202&lt;=Entradas!$E$153,"",G202^2)</f>
        <v>9.0623667180524531E-2</v>
      </c>
      <c r="J202" s="79">
        <f>IF($C202&lt;=Entradas!$E$153,"",E202-AVERAGE(E:E))</f>
        <v>-0.38319819559581969</v>
      </c>
      <c r="K202" s="79">
        <f>IF($C202&lt;=Entradas!$E$153,"",J202^2)</f>
        <v>0.14684085710789208</v>
      </c>
      <c r="L202" s="79">
        <f>IF($C202&lt;=Entradas!$E$153,"",G202*J202)</f>
        <v>0.11535708458108922</v>
      </c>
      <c r="M202" s="40"/>
    </row>
    <row r="203" spans="2:13">
      <c r="B203" s="39"/>
      <c r="C203" s="75">
        <v>198</v>
      </c>
      <c r="D203" s="110">
        <f>IF($C203&lt;=Entradas!$E$153,"",Observaciones!L203)</f>
        <v>0.47637376680659005</v>
      </c>
      <c r="E203" s="110">
        <f>IF($C203&lt;=Entradas!$E$153,"",Escenario1!BN204)</f>
        <v>0.4433841378472399</v>
      </c>
      <c r="F203" s="79">
        <f>IF($C203&lt;=Entradas!$E$153,"",D203-E203)</f>
        <v>3.2989628959350148E-2</v>
      </c>
      <c r="G203" s="79">
        <f>IF($C203&lt;=Entradas!$E$153,"",D203-AVERAGE(D:D))</f>
        <v>-0.3064778547049879</v>
      </c>
      <c r="H203" s="79">
        <f>IF($C203&lt;=Entradas!$E$153,"",F203^2)</f>
        <v>1.0883156188755939E-3</v>
      </c>
      <c r="I203" s="79">
        <f>IF($C203&lt;=Entradas!$E$153,"",G203^2)</f>
        <v>9.3928675424571673E-2</v>
      </c>
      <c r="J203" s="79">
        <f>IF($C203&lt;=Entradas!$E$153,"",E203-AVERAGE(E:E))</f>
        <v>-0.38755500281594529</v>
      </c>
      <c r="K203" s="79">
        <f>IF($C203&lt;=Entradas!$E$153,"",J203^2)</f>
        <v>0.15019888020766736</v>
      </c>
      <c r="L203" s="79">
        <f>IF($C203&lt;=Entradas!$E$153,"",G203*J203)</f>
        <v>0.11877702584321645</v>
      </c>
      <c r="M203" s="40"/>
    </row>
    <row r="204" spans="2:13">
      <c r="B204" s="39"/>
      <c r="C204" s="75">
        <v>199</v>
      </c>
      <c r="D204" s="110">
        <f>IF($C204&lt;=Entradas!$E$153,"",Observaciones!L204)</f>
        <v>0.47236038479014719</v>
      </c>
      <c r="E204" s="110">
        <f>IF($C204&lt;=Entradas!$E$153,"",Escenario1!BN205)</f>
        <v>0.43988115587128029</v>
      </c>
      <c r="F204" s="79">
        <f>IF($C204&lt;=Entradas!$E$153,"",D204-E204)</f>
        <v>3.2479228918866898E-2</v>
      </c>
      <c r="G204" s="79">
        <f>IF($C204&lt;=Entradas!$E$153,"",D204-AVERAGE(D:D))</f>
        <v>-0.31049123672143075</v>
      </c>
      <c r="H204" s="79">
        <f>IF($C204&lt;=Entradas!$E$153,"",F204^2)</f>
        <v>1.0549003111641599E-3</v>
      </c>
      <c r="I204" s="79">
        <f>IF($C204&lt;=Entradas!$E$153,"",G204^2)</f>
        <v>9.6404808080803553E-2</v>
      </c>
      <c r="J204" s="79">
        <f>IF($C204&lt;=Entradas!$E$153,"",E204-AVERAGE(E:E))</f>
        <v>-0.3910579847919049</v>
      </c>
      <c r="K204" s="79">
        <f>IF($C204&lt;=Entradas!$E$153,"",J204^2)</f>
        <v>0.15292634746950573</v>
      </c>
      <c r="L204" s="79">
        <f>IF($C204&lt;=Entradas!$E$153,"",G204*J204)</f>
        <v>0.12142007732782902</v>
      </c>
      <c r="M204" s="40"/>
    </row>
    <row r="205" spans="2:13">
      <c r="B205" s="39"/>
      <c r="C205" s="75">
        <v>200</v>
      </c>
      <c r="D205" s="110">
        <f>IF($C205&lt;=Entradas!$E$153,"",Observaciones!L205)</f>
        <v>0.47823024091191901</v>
      </c>
      <c r="E205" s="110">
        <f>IF($C205&lt;=Entradas!$E$153,"",Escenario1!BN206)</f>
        <v>0.44520821385889353</v>
      </c>
      <c r="F205" s="79">
        <f>IF($C205&lt;=Entradas!$E$153,"",D205-E205)</f>
        <v>3.3022027053025482E-2</v>
      </c>
      <c r="G205" s="79">
        <f>IF($C205&lt;=Entradas!$E$153,"",D205-AVERAGE(D:D))</f>
        <v>-0.30462138059965893</v>
      </c>
      <c r="H205" s="79">
        <f>IF($C205&lt;=Entradas!$E$153,"",F205^2)</f>
        <v>1.0904542706907468E-3</v>
      </c>
      <c r="I205" s="79">
        <f>IF($C205&lt;=Entradas!$E$153,"",G205^2)</f>
        <v>9.2794185518442263E-2</v>
      </c>
      <c r="J205" s="79">
        <f>IF($C205&lt;=Entradas!$E$153,"",E205-AVERAGE(E:E))</f>
        <v>-0.38573092680429166</v>
      </c>
      <c r="K205" s="79">
        <f>IF($C205&lt;=Entradas!$E$153,"",J205^2)</f>
        <v>0.14878834789329781</v>
      </c>
      <c r="L205" s="79">
        <f>IF($C205&lt;=Entradas!$E$153,"",G205*J205)</f>
        <v>0.11750188746310931</v>
      </c>
      <c r="M205" s="40"/>
    </row>
    <row r="206" spans="2:13">
      <c r="B206" s="39"/>
      <c r="C206" s="75">
        <v>201</v>
      </c>
      <c r="D206" s="110">
        <f>IF($C206&lt;=Entradas!$E$153,"",Observaciones!L206)</f>
        <v>0.64535181915131179</v>
      </c>
      <c r="E206" s="110">
        <f>IF($C206&lt;=Entradas!$E$153,"",Escenario1!BN207)</f>
        <v>0.55595068502979306</v>
      </c>
      <c r="F206" s="79">
        <f>IF($C206&lt;=Entradas!$E$153,"",D206-E206)</f>
        <v>8.9401134121518733E-2</v>
      </c>
      <c r="G206" s="79">
        <f>IF($C206&lt;=Entradas!$E$153,"",D206-AVERAGE(D:D))</f>
        <v>-0.13749980236026615</v>
      </c>
      <c r="H206" s="79">
        <f>IF($C206&lt;=Entradas!$E$153,"",F206^2)</f>
        <v>7.9925627822137815E-3</v>
      </c>
      <c r="I206" s="79">
        <f>IF($C206&lt;=Entradas!$E$153,"",G206^2)</f>
        <v>1.8906195649112254E-2</v>
      </c>
      <c r="J206" s="79">
        <f>IF($C206&lt;=Entradas!$E$153,"",E206-AVERAGE(E:E))</f>
        <v>-0.27498845563339214</v>
      </c>
      <c r="K206" s="79">
        <f>IF($C206&lt;=Entradas!$E$153,"",J206^2)</f>
        <v>7.5618650731638079E-2</v>
      </c>
      <c r="L206" s="79">
        <f>IF($C206&lt;=Entradas!$E$153,"",G206*J206)</f>
        <v>3.7810858300946236E-2</v>
      </c>
      <c r="M206" s="40"/>
    </row>
    <row r="207" spans="2:13">
      <c r="B207" s="39"/>
      <c r="C207" s="75">
        <v>202</v>
      </c>
      <c r="D207" s="110">
        <f>IF($C207&lt;=Entradas!$E$153,"",Observaciones!L207)</f>
        <v>0.81027909226538741</v>
      </c>
      <c r="E207" s="110">
        <f>IF($C207&lt;=Entradas!$E$153,"",Escenario1!BN208)</f>
        <v>0.71165667120463727</v>
      </c>
      <c r="F207" s="79">
        <f>IF($C207&lt;=Entradas!$E$153,"",D207-E207)</f>
        <v>9.8622421060750143E-2</v>
      </c>
      <c r="G207" s="79">
        <f>IF($C207&lt;=Entradas!$E$153,"",D207-AVERAGE(D:D))</f>
        <v>2.7427470753809469E-2</v>
      </c>
      <c r="H207" s="79">
        <f>IF($C207&lt;=Entradas!$E$153,"",F207^2)</f>
        <v>9.7263819358838939E-3</v>
      </c>
      <c r="I207" s="79">
        <f>IF($C207&lt;=Entradas!$E$153,"",G207^2)</f>
        <v>7.5226615195107371E-4</v>
      </c>
      <c r="J207" s="79">
        <f>IF($C207&lt;=Entradas!$E$153,"",E207-AVERAGE(E:E))</f>
        <v>-0.11928246945854792</v>
      </c>
      <c r="K207" s="79">
        <f>IF($C207&lt;=Entradas!$E$153,"",J207^2)</f>
        <v>1.4228307520129418E-2</v>
      </c>
      <c r="L207" s="79">
        <f>IF($C207&lt;=Entradas!$E$153,"",G207*J207)</f>
        <v>-3.2716164425164946E-3</v>
      </c>
      <c r="M207" s="40"/>
    </row>
    <row r="208" spans="2:13">
      <c r="B208" s="39"/>
      <c r="C208" s="75">
        <v>203</v>
      </c>
      <c r="D208" s="110">
        <f>IF($C208&lt;=Entradas!$E$153,"",Observaciones!L208)</f>
        <v>0.71458746562592157</v>
      </c>
      <c r="E208" s="110">
        <f>IF($C208&lt;=Entradas!$E$153,"",Escenario1!BN209)</f>
        <v>0.65854609575734857</v>
      </c>
      <c r="F208" s="79">
        <f>IF($C208&lt;=Entradas!$E$153,"",D208-E208)</f>
        <v>5.6041369868572999E-2</v>
      </c>
      <c r="G208" s="79">
        <f>IF($C208&lt;=Entradas!$E$153,"",D208-AVERAGE(D:D))</f>
        <v>-6.8264155885656375E-2</v>
      </c>
      <c r="H208" s="79">
        <f>IF($C208&lt;=Entradas!$E$153,"",F208^2)</f>
        <v>3.1406351367462017E-3</v>
      </c>
      <c r="I208" s="79">
        <f>IF($C208&lt;=Entradas!$E$153,"",G208^2)</f>
        <v>4.6599949787811939E-3</v>
      </c>
      <c r="J208" s="79">
        <f>IF($C208&lt;=Entradas!$E$153,"",E208-AVERAGE(E:E))</f>
        <v>-0.17239304490583662</v>
      </c>
      <c r="K208" s="79">
        <f>IF($C208&lt;=Entradas!$E$153,"",J208^2)</f>
        <v>2.9719361931905802E-2</v>
      </c>
      <c r="L208" s="79">
        <f>IF($C208&lt;=Entradas!$E$153,"",G208*J208)</f>
        <v>1.1768265691054991E-2</v>
      </c>
      <c r="M208" s="40"/>
    </row>
    <row r="209" spans="2:13">
      <c r="B209" s="39"/>
      <c r="C209" s="75">
        <v>204</v>
      </c>
      <c r="D209" s="110">
        <f>IF($C209&lt;=Entradas!$E$153,"",Observaciones!L209)</f>
        <v>0.65661176177431324</v>
      </c>
      <c r="E209" s="110">
        <f>IF($C209&lt;=Entradas!$E$153,"",Escenario1!BN210)</f>
        <v>0.60751203875420967</v>
      </c>
      <c r="F209" s="79">
        <f>IF($C209&lt;=Entradas!$E$153,"",D209-E209)</f>
        <v>4.9099723020103569E-2</v>
      </c>
      <c r="G209" s="79">
        <f>IF($C209&lt;=Entradas!$E$153,"",D209-AVERAGE(D:D))</f>
        <v>-0.1262398597372647</v>
      </c>
      <c r="H209" s="79">
        <f>IF($C209&lt;=Entradas!$E$153,"",F209^2)</f>
        <v>2.4107828006508882E-3</v>
      </c>
      <c r="I209" s="79">
        <f>IF($C209&lt;=Entradas!$E$153,"",G209^2)</f>
        <v>1.5936502186484267E-2</v>
      </c>
      <c r="J209" s="79">
        <f>IF($C209&lt;=Entradas!$E$153,"",E209-AVERAGE(E:E))</f>
        <v>-0.22342710190897552</v>
      </c>
      <c r="K209" s="79">
        <f>IF($C209&lt;=Entradas!$E$153,"",J209^2)</f>
        <v>4.9919669867443735E-2</v>
      </c>
      <c r="L209" s="79">
        <f>IF($C209&lt;=Entradas!$E$153,"",G209*J209)</f>
        <v>2.8205406006492618E-2</v>
      </c>
      <c r="M209" s="40"/>
    </row>
    <row r="210" spans="2:13">
      <c r="B210" s="39"/>
      <c r="C210" s="75">
        <v>205</v>
      </c>
      <c r="D210" s="110">
        <f>IF($C210&lt;=Entradas!$E$153,"",Observaciones!L210)</f>
        <v>0.59939286502954536</v>
      </c>
      <c r="E210" s="110">
        <f>IF($C210&lt;=Entradas!$E$153,"",Escenario1!BN211)</f>
        <v>0.55714312341438188</v>
      </c>
      <c r="F210" s="79">
        <f>IF($C210&lt;=Entradas!$E$153,"",D210-E210)</f>
        <v>4.2249741615163483E-2</v>
      </c>
      <c r="G210" s="79">
        <f>IF($C210&lt;=Entradas!$E$153,"",D210-AVERAGE(D:D))</f>
        <v>-0.18345875648203258</v>
      </c>
      <c r="H210" s="79">
        <f>IF($C210&lt;=Entradas!$E$153,"",F210^2)</f>
        <v>1.785040666548077E-3</v>
      </c>
      <c r="I210" s="79">
        <f>IF($C210&lt;=Entradas!$E$153,"",G210^2)</f>
        <v>3.3657115329933734E-2</v>
      </c>
      <c r="J210" s="79">
        <f>IF($C210&lt;=Entradas!$E$153,"",E210-AVERAGE(E:E))</f>
        <v>-0.27379601724880331</v>
      </c>
      <c r="K210" s="79">
        <f>IF($C210&lt;=Entradas!$E$153,"",J210^2)</f>
        <v>7.4964259061307006E-2</v>
      </c>
      <c r="L210" s="79">
        <f>IF($C210&lt;=Entradas!$E$153,"",G210*J210)</f>
        <v>5.0230276854198598E-2</v>
      </c>
      <c r="M210" s="40"/>
    </row>
    <row r="211" spans="2:13">
      <c r="B211" s="39"/>
      <c r="C211" s="75">
        <v>206</v>
      </c>
      <c r="D211" s="110">
        <f>IF($C211&lt;=Entradas!$E$153,"",Observaciones!L211)</f>
        <v>0.54378864174426755</v>
      </c>
      <c r="E211" s="110">
        <f>IF($C211&lt;=Entradas!$E$153,"",Escenario1!BN212)</f>
        <v>0.50819659955924579</v>
      </c>
      <c r="F211" s="79">
        <f>IF($C211&lt;=Entradas!$E$153,"",D211-E211)</f>
        <v>3.5592042185021766E-2</v>
      </c>
      <c r="G211" s="79">
        <f>IF($C211&lt;=Entradas!$E$153,"",D211-AVERAGE(D:D))</f>
        <v>-0.23906297976731039</v>
      </c>
      <c r="H211" s="79">
        <f>IF($C211&lt;=Entradas!$E$153,"",F211^2)</f>
        <v>1.2667934669003691E-3</v>
      </c>
      <c r="I211" s="79">
        <f>IF($C211&lt;=Entradas!$E$153,"",G211^2)</f>
        <v>5.7151108295225454E-2</v>
      </c>
      <c r="J211" s="79">
        <f>IF($C211&lt;=Entradas!$E$153,"",E211-AVERAGE(E:E))</f>
        <v>-0.32274254110393941</v>
      </c>
      <c r="K211" s="79">
        <f>IF($C211&lt;=Entradas!$E$153,"",J211^2)</f>
        <v>0.10416274783822801</v>
      </c>
      <c r="L211" s="79">
        <f>IF($C211&lt;=Entradas!$E$153,"",G211*J211)</f>
        <v>7.7155793573981404E-2</v>
      </c>
      <c r="M211" s="40"/>
    </row>
    <row r="212" spans="2:13">
      <c r="B212" s="39"/>
      <c r="C212" s="75">
        <v>207</v>
      </c>
      <c r="D212" s="110">
        <f>IF($C212&lt;=Entradas!$E$153,"",Observaciones!L212)</f>
        <v>0.49100913317253891</v>
      </c>
      <c r="E212" s="110">
        <f>IF($C212&lt;=Entradas!$E$153,"",Escenario1!BN213)</f>
        <v>0.46174065084197863</v>
      </c>
      <c r="F212" s="79">
        <f>IF($C212&lt;=Entradas!$E$153,"",D212-E212)</f>
        <v>2.9268482330560286E-2</v>
      </c>
      <c r="G212" s="79">
        <f>IF($C212&lt;=Entradas!$E$153,"",D212-AVERAGE(D:D))</f>
        <v>-0.29184248833903903</v>
      </c>
      <c r="H212" s="79">
        <f>IF($C212&lt;=Entradas!$E$153,"",F212^2)</f>
        <v>8.5664405793431971E-4</v>
      </c>
      <c r="I212" s="79">
        <f>IF($C212&lt;=Entradas!$E$153,"",G212^2)</f>
        <v>8.5172037999922137E-2</v>
      </c>
      <c r="J212" s="79">
        <f>IF($C212&lt;=Entradas!$E$153,"",E212-AVERAGE(E:E))</f>
        <v>-0.36919848982120657</v>
      </c>
      <c r="K212" s="79">
        <f>IF($C212&lt;=Entradas!$E$153,"",J212^2)</f>
        <v>0.13630752488625958</v>
      </c>
      <c r="L212" s="79">
        <f>IF($C212&lt;=Entradas!$E$153,"",G212*J212)</f>
        <v>0.1077478059604363</v>
      </c>
      <c r="M212" s="40"/>
    </row>
    <row r="213" spans="2:13">
      <c r="B213" s="39"/>
      <c r="C213" s="75">
        <v>208</v>
      </c>
      <c r="D213" s="110">
        <f>IF($C213&lt;=Entradas!$E$153,"",Observaciones!L213)</f>
        <v>0.43979765783059283</v>
      </c>
      <c r="E213" s="110">
        <f>IF($C213&lt;=Entradas!$E$153,"",Escenario1!BN214)</f>
        <v>0.41666588345626332</v>
      </c>
      <c r="F213" s="79">
        <f>IF($C213&lt;=Entradas!$E$153,"",D213-E213)</f>
        <v>2.3131774374329506E-2</v>
      </c>
      <c r="G213" s="79">
        <f>IF($C213&lt;=Entradas!$E$153,"",D213-AVERAGE(D:D))</f>
        <v>-0.34305396368098512</v>
      </c>
      <c r="H213" s="79">
        <f>IF($C213&lt;=Entradas!$E$153,"",F213^2)</f>
        <v>5.3507898570488721E-4</v>
      </c>
      <c r="I213" s="79">
        <f>IF($C213&lt;=Entradas!$E$153,"",G213^2)</f>
        <v>0.11768602199723466</v>
      </c>
      <c r="J213" s="79">
        <f>IF($C213&lt;=Entradas!$E$153,"",E213-AVERAGE(E:E))</f>
        <v>-0.41427325720692187</v>
      </c>
      <c r="K213" s="79">
        <f>IF($C213&lt;=Entradas!$E$153,"",J213^2)</f>
        <v>0.17162233163683244</v>
      </c>
      <c r="L213" s="79">
        <f>IF($C213&lt;=Entradas!$E$153,"",G213*J213)</f>
        <v>0.14211808293186678</v>
      </c>
      <c r="M213" s="40"/>
    </row>
    <row r="214" spans="2:13">
      <c r="B214" s="39"/>
      <c r="C214" s="75">
        <v>209</v>
      </c>
      <c r="D214" s="110">
        <f>IF($C214&lt;=Entradas!$E$153,"",Observaciones!L214)</f>
        <v>0.42374949560197905</v>
      </c>
      <c r="E214" s="110">
        <f>IF($C214&lt;=Entradas!$E$153,"",Escenario1!BN215)</f>
        <v>0.40035057358895443</v>
      </c>
      <c r="F214" s="79">
        <f>IF($C214&lt;=Entradas!$E$153,"",D214-E214)</f>
        <v>2.3398922013024626E-2</v>
      </c>
      <c r="G214" s="79">
        <f>IF($C214&lt;=Entradas!$E$153,"",D214-AVERAGE(D:D))</f>
        <v>-0.35910212590959889</v>
      </c>
      <c r="H214" s="79">
        <f>IF($C214&lt;=Entradas!$E$153,"",F214^2)</f>
        <v>5.4750955137160837E-4</v>
      </c>
      <c r="I214" s="79">
        <f>IF($C214&lt;=Entradas!$E$153,"",G214^2)</f>
        <v>0.12895433683279342</v>
      </c>
      <c r="J214" s="79">
        <f>IF($C214&lt;=Entradas!$E$153,"",E214-AVERAGE(E:E))</f>
        <v>-0.43058856707423077</v>
      </c>
      <c r="K214" s="79">
        <f>IF($C214&lt;=Entradas!$E$153,"",J214^2)</f>
        <v>0.18540651409503933</v>
      </c>
      <c r="L214" s="79">
        <f>IF($C214&lt;=Entradas!$E$153,"",G214*J214)</f>
        <v>0.15462526982872418</v>
      </c>
      <c r="M214" s="40"/>
    </row>
    <row r="215" spans="2:13">
      <c r="B215" s="39"/>
      <c r="C215" s="75">
        <v>210</v>
      </c>
      <c r="D215" s="110">
        <f>IF($C215&lt;=Entradas!$E$153,"",Observaciones!L215)</f>
        <v>0.41714742716992165</v>
      </c>
      <c r="E215" s="110">
        <f>IF($C215&lt;=Entradas!$E$153,"",Escenario1!BN216)</f>
        <v>0.39442159882853672</v>
      </c>
      <c r="F215" s="79">
        <f>IF($C215&lt;=Entradas!$E$153,"",D215-E215)</f>
        <v>2.2725828341384924E-2</v>
      </c>
      <c r="G215" s="79">
        <f>IF($C215&lt;=Entradas!$E$153,"",D215-AVERAGE(D:D))</f>
        <v>-0.3657041943416563</v>
      </c>
      <c r="H215" s="79">
        <f>IF($C215&lt;=Entradas!$E$153,"",F215^2)</f>
        <v>5.1646327380209427E-4</v>
      </c>
      <c r="I215" s="79">
        <f>IF($C215&lt;=Entradas!$E$153,"",G215^2)</f>
        <v>0.13373955775907992</v>
      </c>
      <c r="J215" s="79">
        <f>IF($C215&lt;=Entradas!$E$153,"",E215-AVERAGE(E:E))</f>
        <v>-0.43651754183464847</v>
      </c>
      <c r="K215" s="79">
        <f>IF($C215&lt;=Entradas!$E$153,"",J215^2)</f>
        <v>0.19054756432936407</v>
      </c>
      <c r="L215" s="79">
        <f>IF($C215&lt;=Entradas!$E$153,"",G215*J215)</f>
        <v>0.15963629595264037</v>
      </c>
      <c r="M215" s="40"/>
    </row>
    <row r="216" spans="2:13">
      <c r="B216" s="39"/>
      <c r="C216" s="75">
        <v>211</v>
      </c>
      <c r="D216" s="110">
        <f>IF($C216&lt;=Entradas!$E$153,"",Observaciones!L216)</f>
        <v>0.41215900240862818</v>
      </c>
      <c r="E216" s="110">
        <f>IF($C216&lt;=Entradas!$E$153,"",Escenario1!BN217)</f>
        <v>0.39057503658383258</v>
      </c>
      <c r="F216" s="79">
        <f>IF($C216&lt;=Entradas!$E$153,"",D216-E216)</f>
        <v>2.1583965824795603E-2</v>
      </c>
      <c r="G216" s="79">
        <f>IF($C216&lt;=Entradas!$E$153,"",D216-AVERAGE(D:D))</f>
        <v>-0.37069261910294976</v>
      </c>
      <c r="H216" s="79">
        <f>IF($C216&lt;=Entradas!$E$153,"",F216^2)</f>
        <v>4.6586758072594456E-4</v>
      </c>
      <c r="I216" s="79">
        <f>IF($C216&lt;=Entradas!$E$153,"",G216^2)</f>
        <v>0.13741301785740459</v>
      </c>
      <c r="J216" s="79">
        <f>IF($C216&lt;=Entradas!$E$153,"",E216-AVERAGE(E:E))</f>
        <v>-0.44036410407935261</v>
      </c>
      <c r="K216" s="79">
        <f>IF($C216&lt;=Entradas!$E$153,"",J216^2)</f>
        <v>0.19392054416161089</v>
      </c>
      <c r="L216" s="79">
        <f>IF($C216&lt;=Entradas!$E$153,"",G216*J216)</f>
        <v>0.16323972310009918</v>
      </c>
      <c r="M216" s="40"/>
    </row>
    <row r="217" spans="2:13">
      <c r="B217" s="39"/>
      <c r="C217" s="75">
        <v>212</v>
      </c>
      <c r="D217" s="110">
        <f>IF($C217&lt;=Entradas!$E$153,"",Observaciones!L217)</f>
        <v>0.40748396532594028</v>
      </c>
      <c r="E217" s="110">
        <f>IF($C217&lt;=Entradas!$E$153,"",Escenario1!BN218)</f>
        <v>0.38678202376542187</v>
      </c>
      <c r="F217" s="79">
        <f>IF($C217&lt;=Entradas!$E$153,"",D217-E217)</f>
        <v>2.0701941560518411E-2</v>
      </c>
      <c r="G217" s="79">
        <f>IF($C217&lt;=Entradas!$E$153,"",D217-AVERAGE(D:D))</f>
        <v>-0.37536765618563767</v>
      </c>
      <c r="H217" s="79">
        <f>IF($C217&lt;=Entradas!$E$153,"",F217^2)</f>
        <v>4.2857038437511949E-4</v>
      </c>
      <c r="I217" s="79">
        <f>IF($C217&lt;=Entradas!$E$153,"",G217^2)</f>
        <v>0.1409008773102991</v>
      </c>
      <c r="J217" s="79">
        <f>IF($C217&lt;=Entradas!$E$153,"",E217-AVERAGE(E:E))</f>
        <v>-0.44415711689776333</v>
      </c>
      <c r="K217" s="79">
        <f>IF($C217&lt;=Entradas!$E$153,"",J217^2)</f>
        <v>0.1972755444909334</v>
      </c>
      <c r="L217" s="79">
        <f>IF($C217&lt;=Entradas!$E$153,"",G217*J217)</f>
        <v>0.1667222159480837</v>
      </c>
      <c r="M217" s="40"/>
    </row>
    <row r="218" spans="2:13">
      <c r="B218" s="39"/>
      <c r="C218" s="75">
        <v>213</v>
      </c>
      <c r="D218" s="110">
        <f>IF($C218&lt;=Entradas!$E$153,"",Observaciones!L218)</f>
        <v>0.40290599556483792</v>
      </c>
      <c r="E218" s="110">
        <f>IF($C218&lt;=Entradas!$E$153,"",Escenario1!BN219)</f>
        <v>0.38302482108929187</v>
      </c>
      <c r="F218" s="79">
        <f>IF($C218&lt;=Entradas!$E$153,"",D218-E218)</f>
        <v>1.9881174475546048E-2</v>
      </c>
      <c r="G218" s="79">
        <f>IF($C218&lt;=Entradas!$E$153,"",D218-AVERAGE(D:D))</f>
        <v>-0.37994562594674003</v>
      </c>
      <c r="H218" s="79">
        <f>IF($C218&lt;=Entradas!$E$153,"",F218^2)</f>
        <v>3.9526109852710368E-4</v>
      </c>
      <c r="I218" s="79">
        <f>IF($C218&lt;=Entradas!$E$153,"",G218^2)</f>
        <v>0.14435867867606009</v>
      </c>
      <c r="J218" s="79">
        <f>IF($C218&lt;=Entradas!$E$153,"",E218-AVERAGE(E:E))</f>
        <v>-0.44791431957389333</v>
      </c>
      <c r="K218" s="79">
        <f>IF($C218&lt;=Entradas!$E$153,"",J218^2)</f>
        <v>0.20062723767934385</v>
      </c>
      <c r="L218" s="79">
        <f>IF($C218&lt;=Entradas!$E$153,"",G218*J218)</f>
        <v>0.17018308652101105</v>
      </c>
      <c r="M218" s="40"/>
    </row>
    <row r="219" spans="2:13">
      <c r="B219" s="39"/>
      <c r="C219" s="75">
        <v>214</v>
      </c>
      <c r="D219" s="110">
        <f>IF($C219&lt;=Entradas!$E$153,"",Observaciones!L219)</f>
        <v>0.40111373797668731</v>
      </c>
      <c r="E219" s="110">
        <f>IF($C219&lt;=Entradas!$E$153,"",Escenario1!BN220)</f>
        <v>0.38126320186982393</v>
      </c>
      <c r="F219" s="79">
        <f>IF($C219&lt;=Entradas!$E$153,"",D219-E219)</f>
        <v>1.9850536106863381E-2</v>
      </c>
      <c r="G219" s="79">
        <f>IF($C219&lt;=Entradas!$E$153,"",D219-AVERAGE(D:D))</f>
        <v>-0.38173788353489063</v>
      </c>
      <c r="H219" s="79">
        <f>IF($C219&lt;=Entradas!$E$153,"",F219^2)</f>
        <v>3.9404378372988682E-4</v>
      </c>
      <c r="I219" s="79">
        <f>IF($C219&lt;=Entradas!$E$153,"",G219^2)</f>
        <v>0.14572381172569773</v>
      </c>
      <c r="J219" s="79">
        <f>IF($C219&lt;=Entradas!$E$153,"",E219-AVERAGE(E:E))</f>
        <v>-0.44967593879336126</v>
      </c>
      <c r="K219" s="79">
        <f>IF($C219&lt;=Entradas!$E$153,"",J219^2)</f>
        <v>0.20220844992969078</v>
      </c>
      <c r="L219" s="79">
        <f>IF($C219&lt;=Entradas!$E$153,"",G219*J219)</f>
        <v>0.17165834115154274</v>
      </c>
      <c r="M219" s="40"/>
    </row>
    <row r="220" spans="2:13">
      <c r="B220" s="39"/>
      <c r="C220" s="75">
        <v>215</v>
      </c>
      <c r="D220" s="110">
        <f>IF($C220&lt;=Entradas!$E$153,"",Observaciones!L220)</f>
        <v>0.39437750905630753</v>
      </c>
      <c r="E220" s="110">
        <f>IF($C220&lt;=Entradas!$E$153,"",Escenario1!BN221)</f>
        <v>0.3756170739596208</v>
      </c>
      <c r="F220" s="79">
        <f>IF($C220&lt;=Entradas!$E$153,"",D220-E220)</f>
        <v>1.8760435096686734E-2</v>
      </c>
      <c r="G220" s="79">
        <f>IF($C220&lt;=Entradas!$E$153,"",D220-AVERAGE(D:D))</f>
        <v>-0.38847411245527042</v>
      </c>
      <c r="H220" s="79">
        <f>IF($C220&lt;=Entradas!$E$153,"",F220^2)</f>
        <v>3.5195392501699536E-4</v>
      </c>
      <c r="I220" s="79">
        <f>IF($C220&lt;=Entradas!$E$153,"",G220^2)</f>
        <v>0.15091213604791009</v>
      </c>
      <c r="J220" s="79">
        <f>IF($C220&lt;=Entradas!$E$153,"",E220-AVERAGE(E:E))</f>
        <v>-0.4553220667035644</v>
      </c>
      <c r="K220" s="79">
        <f>IF($C220&lt;=Entradas!$E$153,"",J220^2)</f>
        <v>0.20731818442720515</v>
      </c>
      <c r="L220" s="79">
        <f>IF($C220&lt;=Entradas!$E$153,"",G220*J220)</f>
        <v>0.17688083574396662</v>
      </c>
      <c r="M220" s="40"/>
    </row>
    <row r="221" spans="2:13">
      <c r="B221" s="39"/>
      <c r="C221" s="75">
        <v>216</v>
      </c>
      <c r="D221" s="110">
        <f>IF($C221&lt;=Entradas!$E$153,"",Observaciones!L221)</f>
        <v>0.38958941528297791</v>
      </c>
      <c r="E221" s="110">
        <f>IF($C221&lt;=Entradas!$E$153,"",Escenario1!BN222)</f>
        <v>0.37196586146164123</v>
      </c>
      <c r="F221" s="79">
        <f>IF($C221&lt;=Entradas!$E$153,"",D221-E221)</f>
        <v>1.7623553821336679E-2</v>
      </c>
      <c r="G221" s="79">
        <f>IF($C221&lt;=Entradas!$E$153,"",D221-AVERAGE(D:D))</f>
        <v>-0.39326220622860003</v>
      </c>
      <c r="H221" s="79">
        <f>IF($C221&lt;=Entradas!$E$153,"",F221^2)</f>
        <v>3.1058964929355068E-4</v>
      </c>
      <c r="I221" s="79">
        <f>IF($C221&lt;=Entradas!$E$153,"",G221^2)</f>
        <v>0.15465516284778594</v>
      </c>
      <c r="J221" s="79">
        <f>IF($C221&lt;=Entradas!$E$153,"",E221-AVERAGE(E:E))</f>
        <v>-0.45897327920154396</v>
      </c>
      <c r="K221" s="79">
        <f>IF($C221&lt;=Entradas!$E$153,"",J221^2)</f>
        <v>0.21065647102101842</v>
      </c>
      <c r="L221" s="79">
        <f>IF($C221&lt;=Entradas!$E$153,"",G221*J221)</f>
        <v>0.18049684437877439</v>
      </c>
      <c r="M221" s="40"/>
    </row>
    <row r="222" spans="2:13">
      <c r="B222" s="39"/>
      <c r="C222" s="75">
        <v>217</v>
      </c>
      <c r="D222" s="110">
        <f>IF($C222&lt;=Entradas!$E$153,"",Observaciones!L222)</f>
        <v>0.38516748147923457</v>
      </c>
      <c r="E222" s="110">
        <f>IF($C222&lt;=Entradas!$E$153,"",Escenario1!BN223)</f>
        <v>0.36834911123747421</v>
      </c>
      <c r="F222" s="79">
        <f>IF($C222&lt;=Entradas!$E$153,"",D222-E222)</f>
        <v>1.6818370241760361E-2</v>
      </c>
      <c r="G222" s="79">
        <f>IF($C222&lt;=Entradas!$E$153,"",D222-AVERAGE(D:D))</f>
        <v>-0.39768414003234337</v>
      </c>
      <c r="H222" s="79">
        <f>IF($C222&lt;=Entradas!$E$153,"",F222^2)</f>
        <v>2.8285757758893048E-4</v>
      </c>
      <c r="I222" s="79">
        <f>IF($C222&lt;=Entradas!$E$153,"",G222^2)</f>
        <v>0.15815267523326448</v>
      </c>
      <c r="J222" s="79">
        <f>IF($C222&lt;=Entradas!$E$153,"",E222-AVERAGE(E:E))</f>
        <v>-0.46259002942571098</v>
      </c>
      <c r="K222" s="79">
        <f>IF($C222&lt;=Entradas!$E$153,"",J222^2)</f>
        <v>0.21398953532408016</v>
      </c>
      <c r="L222" s="79">
        <f>IF($C222&lt;=Entradas!$E$153,"",G222*J222)</f>
        <v>0.1839647180397003</v>
      </c>
      <c r="M222" s="40"/>
    </row>
    <row r="223" spans="2:13">
      <c r="B223" s="39"/>
      <c r="C223" s="75">
        <v>218</v>
      </c>
      <c r="D223" s="110">
        <f>IF($C223&lt;=Entradas!$E$153,"",Observaciones!L223)</f>
        <v>0.42500310880191838</v>
      </c>
      <c r="E223" s="110">
        <f>IF($C223&lt;=Entradas!$E$153,"",Escenario1!BN224)</f>
        <v>0.40297305391294264</v>
      </c>
      <c r="F223" s="79">
        <f>IF($C223&lt;=Entradas!$E$153,"",D223-E223)</f>
        <v>2.2030054888975747E-2</v>
      </c>
      <c r="G223" s="79">
        <f>IF($C223&lt;=Entradas!$E$153,"",D223-AVERAGE(D:D))</f>
        <v>-0.35784851270965956</v>
      </c>
      <c r="H223" s="79">
        <f>IF($C223&lt;=Entradas!$E$153,"",F223^2)</f>
        <v>4.8532331841128423E-4</v>
      </c>
      <c r="I223" s="79">
        <f>IF($C223&lt;=Entradas!$E$153,"",G223^2)</f>
        <v>0.12805555804851537</v>
      </c>
      <c r="J223" s="79">
        <f>IF($C223&lt;=Entradas!$E$153,"",E223-AVERAGE(E:E))</f>
        <v>-0.42796608675024256</v>
      </c>
      <c r="K223" s="79">
        <f>IF($C223&lt;=Entradas!$E$153,"",J223^2)</f>
        <v>0.18315497140831613</v>
      </c>
      <c r="L223" s="79">
        <f>IF($C223&lt;=Entradas!$E$153,"",G223*J223)</f>
        <v>0.15314702763374743</v>
      </c>
      <c r="M223" s="40"/>
    </row>
    <row r="224" spans="2:13">
      <c r="B224" s="39"/>
      <c r="C224" s="75">
        <v>219</v>
      </c>
      <c r="D224" s="110">
        <f>IF($C224&lt;=Entradas!$E$153,"",Observaciones!L224)</f>
        <v>0.38391565506039138</v>
      </c>
      <c r="E224" s="110">
        <f>IF($C224&lt;=Entradas!$E$153,"",Escenario1!BN225)</f>
        <v>0.3672013486287542</v>
      </c>
      <c r="F224" s="79">
        <f>IF($C224&lt;=Entradas!$E$153,"",D224-E224)</f>
        <v>1.6714306431637183E-2</v>
      </c>
      <c r="G224" s="79">
        <f>IF($C224&lt;=Entradas!$E$153,"",D224-AVERAGE(D:D))</f>
        <v>-0.39893596645118656</v>
      </c>
      <c r="H224" s="79">
        <f>IF($C224&lt;=Entradas!$E$153,"",F224^2)</f>
        <v>2.7936803949066811E-4</v>
      </c>
      <c r="I224" s="79">
        <f>IF($C224&lt;=Entradas!$E$153,"",G224^2)</f>
        <v>0.15914990532834225</v>
      </c>
      <c r="J224" s="79">
        <f>IF($C224&lt;=Entradas!$E$153,"",E224-AVERAGE(E:E))</f>
        <v>-0.463737792034431</v>
      </c>
      <c r="K224" s="79">
        <f>IF($C224&lt;=Entradas!$E$153,"",J224^2)</f>
        <v>0.21505273976096917</v>
      </c>
      <c r="L224" s="79">
        <f>IF($C224&lt;=Entradas!$E$153,"",G224*J224)</f>
        <v>0.18500168424519509</v>
      </c>
      <c r="M224" s="40"/>
    </row>
    <row r="225" spans="2:13">
      <c r="B225" s="39"/>
      <c r="C225" s="75">
        <v>220</v>
      </c>
      <c r="D225" s="110">
        <f>IF($C225&lt;=Entradas!$E$153,"",Observaciones!L225)</f>
        <v>0.37768353390100906</v>
      </c>
      <c r="E225" s="110">
        <f>IF($C225&lt;=Entradas!$E$153,"",Escenario1!BN226)</f>
        <v>0.3619474138866986</v>
      </c>
      <c r="F225" s="79">
        <f>IF($C225&lt;=Entradas!$E$153,"",D225-E225)</f>
        <v>1.5736120014310462E-2</v>
      </c>
      <c r="G225" s="79">
        <f>IF($C225&lt;=Entradas!$E$153,"",D225-AVERAGE(D:D))</f>
        <v>-0.40516808761056888</v>
      </c>
      <c r="H225" s="79">
        <f>IF($C225&lt;=Entradas!$E$153,"",F225^2)</f>
        <v>2.4762547310478231E-4</v>
      </c>
      <c r="I225" s="79">
        <f>IF($C225&lt;=Entradas!$E$153,"",G225^2)</f>
        <v>0.16416117921800563</v>
      </c>
      <c r="J225" s="79">
        <f>IF($C225&lt;=Entradas!$E$153,"",E225-AVERAGE(E:E))</f>
        <v>-0.46899172677648659</v>
      </c>
      <c r="K225" s="79">
        <f>IF($C225&lt;=Entradas!$E$153,"",J225^2)</f>
        <v>0.21995323978479064</v>
      </c>
      <c r="L225" s="79">
        <f>IF($C225&lt;=Entradas!$E$153,"",G225*J225)</f>
        <v>0.19002048104320751</v>
      </c>
      <c r="M225" s="40"/>
    </row>
    <row r="226" spans="2:13">
      <c r="B226" s="39"/>
      <c r="C226" s="75">
        <v>221</v>
      </c>
      <c r="D226" s="110">
        <f>IF($C226&lt;=Entradas!$E$153,"",Observaciones!L226)</f>
        <v>0.36910072934080601</v>
      </c>
      <c r="E226" s="110">
        <f>IF($C226&lt;=Entradas!$E$153,"",Escenario1!BN227)</f>
        <v>0.35456520012655723</v>
      </c>
      <c r="F226" s="79">
        <f>IF($C226&lt;=Entradas!$E$153,"",D226-E226)</f>
        <v>1.4535529214248777E-2</v>
      </c>
      <c r="G226" s="79">
        <f>IF($C226&lt;=Entradas!$E$153,"",D226-AVERAGE(D:D))</f>
        <v>-0.41375089217077193</v>
      </c>
      <c r="H226" s="79">
        <f>IF($C226&lt;=Entradas!$E$153,"",F226^2)</f>
        <v>2.1128160953827967E-4</v>
      </c>
      <c r="I226" s="79">
        <f>IF($C226&lt;=Entradas!$E$153,"",G226^2)</f>
        <v>0.17118980077210974</v>
      </c>
      <c r="J226" s="79">
        <f>IF($C226&lt;=Entradas!$E$153,"",E226-AVERAGE(E:E))</f>
        <v>-0.47637394053662796</v>
      </c>
      <c r="K226" s="79">
        <f>IF($C226&lt;=Entradas!$E$153,"",J226^2)</f>
        <v>0.22693213122239475</v>
      </c>
      <c r="L226" s="79">
        <f>IF($C226&lt;=Entradas!$E$153,"",G226*J226)</f>
        <v>0.19710014290393607</v>
      </c>
      <c r="M226" s="40"/>
    </row>
    <row r="227" spans="2:13">
      <c r="B227" s="39"/>
      <c r="C227" s="75">
        <v>222</v>
      </c>
      <c r="D227" s="110">
        <f>IF($C227&lt;=Entradas!$E$153,"",Observaciones!L227)</f>
        <v>0.36425583422531727</v>
      </c>
      <c r="E227" s="110">
        <f>IF($C227&lt;=Entradas!$E$153,"",Escenario1!BN228)</f>
        <v>0.35078932372741417</v>
      </c>
      <c r="F227" s="79">
        <f>IF($C227&lt;=Entradas!$E$153,"",D227-E227)</f>
        <v>1.3466510497903095E-2</v>
      </c>
      <c r="G227" s="79">
        <f>IF($C227&lt;=Entradas!$E$153,"",D227-AVERAGE(D:D))</f>
        <v>-0.41859578728626068</v>
      </c>
      <c r="H227" s="79">
        <f>IF($C227&lt;=Entradas!$E$153,"",F227^2)</f>
        <v>1.8134690499013425E-4</v>
      </c>
      <c r="I227" s="79">
        <f>IF($C227&lt;=Entradas!$E$153,"",G227^2)</f>
        <v>0.1752224331338044</v>
      </c>
      <c r="J227" s="79">
        <f>IF($C227&lt;=Entradas!$E$153,"",E227-AVERAGE(E:E))</f>
        <v>-0.48014981693577102</v>
      </c>
      <c r="K227" s="79">
        <f>IF($C227&lt;=Entradas!$E$153,"",J227^2)</f>
        <v>0.23054384670345443</v>
      </c>
      <c r="L227" s="79">
        <f>IF($C227&lt;=Entradas!$E$153,"",G227*J227)</f>
        <v>0.200988690635583</v>
      </c>
      <c r="M227" s="40"/>
    </row>
    <row r="228" spans="2:13">
      <c r="B228" s="39"/>
      <c r="C228" s="75">
        <v>223</v>
      </c>
      <c r="D228" s="110">
        <f>IF($C228&lt;=Entradas!$E$153,"",Observaciones!L228)</f>
        <v>0.36007103413060415</v>
      </c>
      <c r="E228" s="110">
        <f>IF($C228&lt;=Entradas!$E$153,"",Escenario1!BN229)</f>
        <v>0.34737744499319323</v>
      </c>
      <c r="F228" s="79">
        <f>IF($C228&lt;=Entradas!$E$153,"",D228-E228)</f>
        <v>1.2693589137410921E-2</v>
      </c>
      <c r="G228" s="79">
        <f>IF($C228&lt;=Entradas!$E$153,"",D228-AVERAGE(D:D))</f>
        <v>-0.42278058738097379</v>
      </c>
      <c r="H228" s="79">
        <f>IF($C228&lt;=Entradas!$E$153,"",F228^2)</f>
        <v>1.6112720518939654E-4</v>
      </c>
      <c r="I228" s="79">
        <f>IF($C228&lt;=Entradas!$E$153,"",G228^2)</f>
        <v>0.17874342506620122</v>
      </c>
      <c r="J228" s="79">
        <f>IF($C228&lt;=Entradas!$E$153,"",E228-AVERAGE(E:E))</f>
        <v>-0.48356169566999196</v>
      </c>
      <c r="K228" s="79">
        <f>IF($C228&lt;=Entradas!$E$153,"",J228^2)</f>
        <v>0.23383191351923793</v>
      </c>
      <c r="L228" s="79">
        <f>IF($C228&lt;=Entradas!$E$153,"",G228*J228)</f>
        <v>0.2044404977302989</v>
      </c>
      <c r="M228" s="40"/>
    </row>
    <row r="229" spans="2:13">
      <c r="B229" s="39"/>
      <c r="C229" s="75">
        <v>224</v>
      </c>
      <c r="D229" s="110">
        <f>IF($C229&lt;=Entradas!$E$153,"",Observaciones!L229)</f>
        <v>0.35603512149977035</v>
      </c>
      <c r="E229" s="110">
        <f>IF($C229&lt;=Entradas!$E$153,"",Escenario1!BN230)</f>
        <v>0.34399773312730014</v>
      </c>
      <c r="F229" s="79">
        <f>IF($C229&lt;=Entradas!$E$153,"",D229-E229)</f>
        <v>1.2037388372470204E-2</v>
      </c>
      <c r="G229" s="79">
        <f>IF($C229&lt;=Entradas!$E$153,"",D229-AVERAGE(D:D))</f>
        <v>-0.4268165000118076</v>
      </c>
      <c r="H229" s="79">
        <f>IF($C229&lt;=Entradas!$E$153,"",F229^2)</f>
        <v>1.4489871882968086E-4</v>
      </c>
      <c r="I229" s="79">
        <f>IF($C229&lt;=Entradas!$E$153,"",G229^2)</f>
        <v>0.18217232468232936</v>
      </c>
      <c r="J229" s="79">
        <f>IF($C229&lt;=Entradas!$E$153,"",E229-AVERAGE(E:E))</f>
        <v>-0.48694140753588505</v>
      </c>
      <c r="K229" s="79">
        <f>IF($C229&lt;=Entradas!$E$153,"",J229^2)</f>
        <v>0.23711193437302888</v>
      </c>
      <c r="L229" s="79">
        <f>IF($C229&lt;=Entradas!$E$153,"",G229*J229)</f>
        <v>0.2078346272752897</v>
      </c>
      <c r="M229" s="40"/>
    </row>
    <row r="230" spans="2:13">
      <c r="B230" s="39"/>
      <c r="C230" s="75">
        <v>225</v>
      </c>
      <c r="D230" s="110">
        <f>IF($C230&lt;=Entradas!$E$153,"",Observaciones!L230)</f>
        <v>0.35342533516556512</v>
      </c>
      <c r="E230" s="110">
        <f>IF($C230&lt;=Entradas!$E$153,"",Escenario1!BN231)</f>
        <v>0.34139641414130295</v>
      </c>
      <c r="F230" s="79">
        <f>IF($C230&lt;=Entradas!$E$153,"",D230-E230)</f>
        <v>1.2028921024262174E-2</v>
      </c>
      <c r="G230" s="79">
        <f>IF($C230&lt;=Entradas!$E$153,"",D230-AVERAGE(D:D))</f>
        <v>-0.42942628634601282</v>
      </c>
      <c r="H230" s="79">
        <f>IF($C230&lt;=Entradas!$E$153,"",F230^2)</f>
        <v>1.4469494100793654E-4</v>
      </c>
      <c r="I230" s="79">
        <f>IF($C230&lt;=Entradas!$E$153,"",G230^2)</f>
        <v>0.18440693540492781</v>
      </c>
      <c r="J230" s="79">
        <f>IF($C230&lt;=Entradas!$E$153,"",E230-AVERAGE(E:E))</f>
        <v>-0.48954272652188224</v>
      </c>
      <c r="K230" s="79">
        <f>IF($C230&lt;=Entradas!$E$153,"",J230^2)</f>
        <v>0.23965208109047839</v>
      </c>
      <c r="L230" s="79">
        <f>IF($C230&lt;=Entradas!$E$153,"",G230*J230)</f>
        <v>0.21022251505799364</v>
      </c>
      <c r="M230" s="40"/>
    </row>
    <row r="231" spans="2:13">
      <c r="B231" s="39"/>
      <c r="C231" s="75">
        <v>226</v>
      </c>
      <c r="D231" s="110">
        <f>IF($C231&lt;=Entradas!$E$153,"",Observaciones!L231)</f>
        <v>0.34836550095916996</v>
      </c>
      <c r="E231" s="110">
        <f>IF($C231&lt;=Entradas!$E$153,"",Escenario1!BN232)</f>
        <v>0.33733398155429772</v>
      </c>
      <c r="F231" s="79">
        <f>IF($C231&lt;=Entradas!$E$153,"",D231-E231)</f>
        <v>1.1031519404872236E-2</v>
      </c>
      <c r="G231" s="79">
        <f>IF($C231&lt;=Entradas!$E$153,"",D231-AVERAGE(D:D))</f>
        <v>-0.43448612055240798</v>
      </c>
      <c r="H231" s="79">
        <f>IF($C231&lt;=Entradas!$E$153,"",F231^2)</f>
        <v>1.216944203800727E-4</v>
      </c>
      <c r="I231" s="79">
        <f>IF($C231&lt;=Entradas!$E$153,"",G231^2)</f>
        <v>0.18877818895268161</v>
      </c>
      <c r="J231" s="79">
        <f>IF($C231&lt;=Entradas!$E$153,"",E231-AVERAGE(E:E))</f>
        <v>-0.49360515910888747</v>
      </c>
      <c r="K231" s="79">
        <f>IF($C231&lt;=Entradas!$E$153,"",J231^2)</f>
        <v>0.2436460530989101</v>
      </c>
      <c r="L231" s="79">
        <f>IF($C231&lt;=Entradas!$E$153,"",G231*J231)</f>
        <v>0.21446459066587462</v>
      </c>
      <c r="M231" s="40"/>
    </row>
    <row r="232" spans="2:13">
      <c r="B232" s="39"/>
      <c r="C232" s="75">
        <v>227</v>
      </c>
      <c r="D232" s="110">
        <f>IF($C232&lt;=Entradas!$E$153,"",Observaciones!L232)</f>
        <v>0.3442995933948747</v>
      </c>
      <c r="E232" s="110">
        <f>IF($C232&lt;=Entradas!$E$153,"",Escenario1!BN233)</f>
        <v>0.33404934939146197</v>
      </c>
      <c r="F232" s="79">
        <f>IF($C232&lt;=Entradas!$E$153,"",D232-E232)</f>
        <v>1.0250244003412734E-2</v>
      </c>
      <c r="G232" s="79">
        <f>IF($C232&lt;=Entradas!$E$153,"",D232-AVERAGE(D:D))</f>
        <v>-0.43855202811670324</v>
      </c>
      <c r="H232" s="79">
        <f>IF($C232&lt;=Entradas!$E$153,"",F232^2)</f>
        <v>1.0506750212949871E-4</v>
      </c>
      <c r="I232" s="79">
        <f>IF($C232&lt;=Entradas!$E$153,"",G232^2)</f>
        <v>0.19232788136527368</v>
      </c>
      <c r="J232" s="79">
        <f>IF($C232&lt;=Entradas!$E$153,"",E232-AVERAGE(E:E))</f>
        <v>-0.49688979127172322</v>
      </c>
      <c r="K232" s="79">
        <f>IF($C232&lt;=Entradas!$E$153,"",J232^2)</f>
        <v>0.24689946467005666</v>
      </c>
      <c r="L232" s="79">
        <f>IF($C232&lt;=Entradas!$E$153,"",G232*J232)</f>
        <v>0.21791202571269958</v>
      </c>
      <c r="M232" s="40"/>
    </row>
    <row r="233" spans="2:13">
      <c r="B233" s="39"/>
      <c r="C233" s="75">
        <v>228</v>
      </c>
      <c r="D233" s="110">
        <f>IF($C233&lt;=Entradas!$E$153,"",Observaciones!L233)</f>
        <v>0.34043608419363275</v>
      </c>
      <c r="E233" s="110">
        <f>IF($C233&lt;=Entradas!$E$153,"",Escenario1!BN234)</f>
        <v>0.33079570388769358</v>
      </c>
      <c r="F233" s="79">
        <f>IF($C233&lt;=Entradas!$E$153,"",D233-E233)</f>
        <v>9.6403803059391668E-3</v>
      </c>
      <c r="G233" s="79">
        <f>IF($C233&lt;=Entradas!$E$153,"",D233-AVERAGE(D:D))</f>
        <v>-0.4424155373179452</v>
      </c>
      <c r="H233" s="79">
        <f>IF($C233&lt;=Entradas!$E$153,"",F233^2)</f>
        <v>9.2936932443139742E-5</v>
      </c>
      <c r="I233" s="79">
        <f>IF($C233&lt;=Entradas!$E$153,"",G233^2)</f>
        <v>0.19573150766032615</v>
      </c>
      <c r="J233" s="79">
        <f>IF($C233&lt;=Entradas!$E$153,"",E233-AVERAGE(E:E))</f>
        <v>-0.50014343677549156</v>
      </c>
      <c r="K233" s="79">
        <f>IF($C233&lt;=Entradas!$E$153,"",J233^2)</f>
        <v>0.25014345734960014</v>
      </c>
      <c r="L233" s="79">
        <f>IF($C233&lt;=Entradas!$E$153,"",G233*J233)</f>
        <v>0.22127122731707285</v>
      </c>
      <c r="M233" s="40"/>
    </row>
    <row r="234" spans="2:13">
      <c r="B234" s="39"/>
      <c r="C234" s="75">
        <v>229</v>
      </c>
      <c r="D234" s="110">
        <f>IF($C234&lt;=Entradas!$E$153,"",Observaciones!L234)</f>
        <v>0.39599744396811409</v>
      </c>
      <c r="E234" s="110">
        <f>IF($C234&lt;=Entradas!$E$153,"",Escenario1!BN235)</f>
        <v>0.37916356394246142</v>
      </c>
      <c r="F234" s="79">
        <f>IF($C234&lt;=Entradas!$E$153,"",D234-E234)</f>
        <v>1.683388002565267E-2</v>
      </c>
      <c r="G234" s="79">
        <f>IF($C234&lt;=Entradas!$E$153,"",D234-AVERAGE(D:D))</f>
        <v>-0.38685417754346385</v>
      </c>
      <c r="H234" s="79">
        <f>IF($C234&lt;=Entradas!$E$153,"",F234^2)</f>
        <v>2.8337951671806791E-4</v>
      </c>
      <c r="I234" s="79">
        <f>IF($C234&lt;=Entradas!$E$153,"",G234^2)</f>
        <v>0.14965615468282986</v>
      </c>
      <c r="J234" s="79">
        <f>IF($C234&lt;=Entradas!$E$153,"",E234-AVERAGE(E:E))</f>
        <v>-0.45177557672072377</v>
      </c>
      <c r="K234" s="79">
        <f>IF($C234&lt;=Entradas!$E$153,"",J234^2)</f>
        <v>0.20410117172134257</v>
      </c>
      <c r="L234" s="79">
        <f>IF($C234&lt;=Entradas!$E$153,"",G234*J234)</f>
        <v>0.17477126916651964</v>
      </c>
      <c r="M234" s="40"/>
    </row>
    <row r="235" spans="2:13">
      <c r="B235" s="39"/>
      <c r="C235" s="75">
        <v>230</v>
      </c>
      <c r="D235" s="110">
        <f>IF($C235&lt;=Entradas!$E$153,"",Observaciones!L235)</f>
        <v>0.34274757207488749</v>
      </c>
      <c r="E235" s="110">
        <f>IF($C235&lt;=Entradas!$E$153,"",Escenario1!BN236)</f>
        <v>0.33256482624750949</v>
      </c>
      <c r="F235" s="79">
        <f>IF($C235&lt;=Entradas!$E$153,"",D235-E235)</f>
        <v>1.0182745827377992E-2</v>
      </c>
      <c r="G235" s="79">
        <f>IF($C235&lt;=Entradas!$E$153,"",D235-AVERAGE(D:D))</f>
        <v>-0.44010404943669046</v>
      </c>
      <c r="H235" s="79">
        <f>IF($C235&lt;=Entradas!$E$153,"",F235^2)</f>
        <v>1.0368831258498391E-4</v>
      </c>
      <c r="I235" s="79">
        <f>IF($C235&lt;=Entradas!$E$153,"",G235^2)</f>
        <v>0.19369157433057288</v>
      </c>
      <c r="J235" s="79">
        <f>IF($C235&lt;=Entradas!$E$153,"",E235-AVERAGE(E:E))</f>
        <v>-0.4983743144156757</v>
      </c>
      <c r="K235" s="79">
        <f>IF($C235&lt;=Entradas!$E$153,"",J235^2)</f>
        <v>0.24837695726929479</v>
      </c>
      <c r="L235" s="79">
        <f>IF($C235&lt;=Entradas!$E$153,"",G235*J235)</f>
        <v>0.21933655390957324</v>
      </c>
      <c r="M235" s="40"/>
    </row>
    <row r="236" spans="2:13">
      <c r="B236" s="39"/>
      <c r="C236" s="75">
        <v>231</v>
      </c>
      <c r="D236" s="110">
        <f>IF($C236&lt;=Entradas!$E$153,"",Observaciones!L236)</f>
        <v>0.33083235292176916</v>
      </c>
      <c r="E236" s="110">
        <f>IF($C236&lt;=Entradas!$E$153,"",Escenario1!BN237)</f>
        <v>0.32220153793227474</v>
      </c>
      <c r="F236" s="79">
        <f>IF($C236&lt;=Entradas!$E$153,"",D236-E236)</f>
        <v>8.6308149894944175E-3</v>
      </c>
      <c r="G236" s="79">
        <f>IF($C236&lt;=Entradas!$E$153,"",D236-AVERAGE(D:D))</f>
        <v>-0.45201926858980879</v>
      </c>
      <c r="H236" s="79">
        <f>IF($C236&lt;=Entradas!$E$153,"",F236^2)</f>
        <v>7.4490967382881523E-5</v>
      </c>
      <c r="I236" s="79">
        <f>IF($C236&lt;=Entradas!$E$153,"",G236^2)</f>
        <v>0.20432141917646571</v>
      </c>
      <c r="J236" s="79">
        <f>IF($C236&lt;=Entradas!$E$153,"",E236-AVERAGE(E:E))</f>
        <v>-0.50873760273091051</v>
      </c>
      <c r="K236" s="79">
        <f>IF($C236&lt;=Entradas!$E$153,"",J236^2)</f>
        <v>0.25881394843239375</v>
      </c>
      <c r="L236" s="79">
        <f>IF($C236&lt;=Entradas!$E$153,"",G236*J236)</f>
        <v>0.22995919909055887</v>
      </c>
      <c r="M236" s="40"/>
    </row>
    <row r="237" spans="2:13">
      <c r="B237" s="39"/>
      <c r="C237" s="75">
        <v>232</v>
      </c>
      <c r="D237" s="110">
        <f>IF($C237&lt;=Entradas!$E$153,"",Observaciones!L237)</f>
        <v>0.32581173464129509</v>
      </c>
      <c r="E237" s="110">
        <f>IF($C237&lt;=Entradas!$E$153,"",Escenario1!BN238)</f>
        <v>0.31810256739171211</v>
      </c>
      <c r="F237" s="79">
        <f>IF($C237&lt;=Entradas!$E$153,"",D237-E237)</f>
        <v>7.7091672495829822E-3</v>
      </c>
      <c r="G237" s="79">
        <f>IF($C237&lt;=Entradas!$E$153,"",D237-AVERAGE(D:D))</f>
        <v>-0.45703988687028285</v>
      </c>
      <c r="H237" s="79">
        <f>IF($C237&lt;=Entradas!$E$153,"",F237^2)</f>
        <v>5.9431259682042844E-5</v>
      </c>
      <c r="I237" s="79">
        <f>IF($C237&lt;=Entradas!$E$153,"",G237^2)</f>
        <v>0.20888545819040094</v>
      </c>
      <c r="J237" s="79">
        <f>IF($C237&lt;=Entradas!$E$153,"",E237-AVERAGE(E:E))</f>
        <v>-0.51283657327147303</v>
      </c>
      <c r="K237" s="79">
        <f>IF($C237&lt;=Entradas!$E$153,"",J237^2)</f>
        <v>0.2630013508848269</v>
      </c>
      <c r="L237" s="79">
        <f>IF($C237&lt;=Entradas!$E$153,"",G237*J237)</f>
        <v>0.23438676943093756</v>
      </c>
      <c r="M237" s="40"/>
    </row>
    <row r="238" spans="2:13">
      <c r="B238" s="39"/>
      <c r="C238" s="75">
        <v>233</v>
      </c>
      <c r="D238" s="110">
        <f>IF($C238&lt;=Entradas!$E$153,"",Observaciones!L238)</f>
        <v>0.3219704282542864</v>
      </c>
      <c r="E238" s="110">
        <f>IF($C238&lt;=Entradas!$E$153,"",Escenario1!BN239)</f>
        <v>0.31500504672867913</v>
      </c>
      <c r="F238" s="79">
        <f>IF($C238&lt;=Entradas!$E$153,"",D238-E238)</f>
        <v>6.9653815256072726E-3</v>
      </c>
      <c r="G238" s="79">
        <f>IF($C238&lt;=Entradas!$E$153,"",D238-AVERAGE(D:D))</f>
        <v>-0.46088119325729154</v>
      </c>
      <c r="H238" s="79">
        <f>IF($C238&lt;=Entradas!$E$153,"",F238^2)</f>
        <v>4.8516539797271099E-5</v>
      </c>
      <c r="I238" s="79">
        <f>IF($C238&lt;=Entradas!$E$153,"",G238^2)</f>
        <v>0.21241147429826493</v>
      </c>
      <c r="J238" s="79">
        <f>IF($C238&lt;=Entradas!$E$153,"",E238-AVERAGE(E:E))</f>
        <v>-0.51593409393450607</v>
      </c>
      <c r="K238" s="79">
        <f>IF($C238&lt;=Entradas!$E$153,"",J238^2)</f>
        <v>0.26618798928401971</v>
      </c>
      <c r="L238" s="79">
        <f>IF($C238&lt;=Entradas!$E$153,"",G238*J238)</f>
        <v>0.2377843208546547</v>
      </c>
      <c r="M238" s="40"/>
    </row>
    <row r="239" spans="2:13">
      <c r="B239" s="39"/>
      <c r="C239" s="75">
        <v>234</v>
      </c>
      <c r="D239" s="110">
        <f>IF($C239&lt;=Entradas!$E$153,"",Observaciones!L239)</f>
        <v>0.31835963200079653</v>
      </c>
      <c r="E239" s="110">
        <f>IF($C239&lt;=Entradas!$E$153,"",Escenario1!BN240)</f>
        <v>0.31193668117676537</v>
      </c>
      <c r="F239" s="79">
        <f>IF($C239&lt;=Entradas!$E$153,"",D239-E239)</f>
        <v>6.4229508240311595E-3</v>
      </c>
      <c r="G239" s="79">
        <f>IF($C239&lt;=Entradas!$E$153,"",D239-AVERAGE(D:D))</f>
        <v>-0.46449198951078141</v>
      </c>
      <c r="H239" s="79">
        <f>IF($C239&lt;=Entradas!$E$153,"",F239^2)</f>
        <v>4.1254297287922553E-5</v>
      </c>
      <c r="I239" s="79">
        <f>IF($C239&lt;=Entradas!$E$153,"",G239^2)</f>
        <v>0.21575280831968388</v>
      </c>
      <c r="J239" s="79">
        <f>IF($C239&lt;=Entradas!$E$153,"",E239-AVERAGE(E:E))</f>
        <v>-0.51900245948641976</v>
      </c>
      <c r="K239" s="79">
        <f>IF($C239&lt;=Entradas!$E$153,"",J239^2)</f>
        <v>0.26936355295295278</v>
      </c>
      <c r="L239" s="79">
        <f>IF($C239&lt;=Entradas!$E$153,"",G239*J239)</f>
        <v>0.24107248496783584</v>
      </c>
      <c r="M239" s="40"/>
    </row>
    <row r="240" spans="2:13">
      <c r="B240" s="39"/>
      <c r="C240" s="75">
        <v>235</v>
      </c>
      <c r="D240" s="110">
        <f>IF($C240&lt;=Entradas!$E$153,"",Observaciones!L240)</f>
        <v>0.31482148295479162</v>
      </c>
      <c r="E240" s="110">
        <f>IF($C240&lt;=Entradas!$E$153,"",Escenario1!BN241)</f>
        <v>0.30889718131753335</v>
      </c>
      <c r="F240" s="79">
        <f>IF($C240&lt;=Entradas!$E$153,"",D240-E240)</f>
        <v>5.9243016372582669E-3</v>
      </c>
      <c r="G240" s="79">
        <f>IF($C240&lt;=Entradas!$E$153,"",D240-AVERAGE(D:D))</f>
        <v>-0.46803013855678632</v>
      </c>
      <c r="H240" s="79">
        <f>IF($C240&lt;=Entradas!$E$153,"",F240^2)</f>
        <v>3.5097349889220983E-5</v>
      </c>
      <c r="I240" s="79">
        <f>IF($C240&lt;=Entradas!$E$153,"",G240^2)</f>
        <v>0.21905221059748461</v>
      </c>
      <c r="J240" s="79">
        <f>IF($C240&lt;=Entradas!$E$153,"",E240-AVERAGE(E:E))</f>
        <v>-0.52204195934565178</v>
      </c>
      <c r="K240" s="79">
        <f>IF($C240&lt;=Entradas!$E$153,"",J240^2)</f>
        <v>0.27252780731744713</v>
      </c>
      <c r="L240" s="79">
        <f>IF($C240&lt;=Entradas!$E$153,"",G240*J240)</f>
        <v>0.24433137056500162</v>
      </c>
      <c r="M240" s="40"/>
    </row>
    <row r="241" spans="2:13">
      <c r="B241" s="39"/>
      <c r="C241" s="75">
        <v>236</v>
      </c>
      <c r="D241" s="110">
        <f>IF($C241&lt;=Entradas!$E$153,"",Observaciones!L241)</f>
        <v>0.31132936904721575</v>
      </c>
      <c r="E241" s="110">
        <f>IF($C241&lt;=Entradas!$E$153,"",Escenario1!BN242)</f>
        <v>0.30588630117133703</v>
      </c>
      <c r="F241" s="79">
        <f>IF($C241&lt;=Entradas!$E$153,"",D241-E241)</f>
        <v>5.4430678758787265E-3</v>
      </c>
      <c r="G241" s="79">
        <f>IF($C241&lt;=Entradas!$E$153,"",D241-AVERAGE(D:D))</f>
        <v>-0.47152225246436219</v>
      </c>
      <c r="H241" s="79">
        <f>IF($C241&lt;=Entradas!$E$153,"",F241^2)</f>
        <v>2.9626987901422953E-5</v>
      </c>
      <c r="I241" s="79">
        <f>IF($C241&lt;=Entradas!$E$153,"",G241^2)</f>
        <v>0.2223332345690657</v>
      </c>
      <c r="J241" s="79">
        <f>IF($C241&lt;=Entradas!$E$153,"",E241-AVERAGE(E:E))</f>
        <v>-0.52505283949184811</v>
      </c>
      <c r="K241" s="79">
        <f>IF($C241&lt;=Entradas!$E$153,"",J241^2)</f>
        <v>0.27568048425845243</v>
      </c>
      <c r="L241" s="79">
        <f>IF($C241&lt;=Entradas!$E$153,"",G241*J241)</f>
        <v>0.24757409754000545</v>
      </c>
      <c r="M241" s="40"/>
    </row>
    <row r="242" spans="2:13">
      <c r="B242" s="39"/>
      <c r="C242" s="75">
        <v>237</v>
      </c>
      <c r="D242" s="110">
        <f>IF($C242&lt;=Entradas!$E$153,"",Observaciones!L242)</f>
        <v>0.30787846279345032</v>
      </c>
      <c r="E242" s="110">
        <f>IF($C242&lt;=Entradas!$E$153,"",Escenario1!BN243)</f>
        <v>0.30290377614395203</v>
      </c>
      <c r="F242" s="79">
        <f>IF($C242&lt;=Entradas!$E$153,"",D242-E242)</f>
        <v>4.9746866494982944E-3</v>
      </c>
      <c r="G242" s="79">
        <f>IF($C242&lt;=Entradas!$E$153,"",D242-AVERAGE(D:D))</f>
        <v>-0.47497315871812762</v>
      </c>
      <c r="H242" s="79">
        <f>IF($C242&lt;=Entradas!$E$153,"",F242^2)</f>
        <v>2.4747507260696567E-5</v>
      </c>
      <c r="I242" s="79">
        <f>IF($C242&lt;=Entradas!$E$153,"",G242^2)</f>
        <v>0.22559950150267566</v>
      </c>
      <c r="J242" s="79">
        <f>IF($C242&lt;=Entradas!$E$153,"",E242-AVERAGE(E:E))</f>
        <v>-0.52803536451923316</v>
      </c>
      <c r="K242" s="79">
        <f>IF($C242&lt;=Entradas!$E$153,"",J242^2)</f>
        <v>0.27882134618295945</v>
      </c>
      <c r="L242" s="79">
        <f>IF($C242&lt;=Entradas!$E$153,"",G242*J242)</f>
        <v>0.25080262500057809</v>
      </c>
      <c r="M242" s="40"/>
    </row>
    <row r="243" spans="2:13">
      <c r="B243" s="39"/>
      <c r="C243" s="75">
        <v>238</v>
      </c>
      <c r="D243" s="110">
        <f>IF($C243&lt;=Entradas!$E$153,"",Observaciones!L243)</f>
        <v>0.3044675567914828</v>
      </c>
      <c r="E243" s="110">
        <f>IF($C243&lt;=Entradas!$E$153,"",Escenario1!BN244)</f>
        <v>0.29994937169889324</v>
      </c>
      <c r="F243" s="79">
        <f>IF($C243&lt;=Entradas!$E$153,"",D243-E243)</f>
        <v>4.518185092589555E-3</v>
      </c>
      <c r="G243" s="79">
        <f>IF($C243&lt;=Entradas!$E$153,"",D243-AVERAGE(D:D))</f>
        <v>-0.47838406472009515</v>
      </c>
      <c r="H243" s="79">
        <f>IF($C243&lt;=Entradas!$E$153,"",F243^2)</f>
        <v>2.0413996530898486E-5</v>
      </c>
      <c r="I243" s="79">
        <f>IF($C243&lt;=Entradas!$E$153,"",G243^2)</f>
        <v>0.22885131337812017</v>
      </c>
      <c r="J243" s="79">
        <f>IF($C243&lt;=Entradas!$E$153,"",E243-AVERAGE(E:E))</f>
        <v>-0.53098976896429195</v>
      </c>
      <c r="K243" s="79">
        <f>IF($C243&lt;=Entradas!$E$153,"",J243^2)</f>
        <v>0.28195013474475217</v>
      </c>
      <c r="L243" s="79">
        <f>IF($C243&lt;=Entradas!$E$153,"",G243*J243)</f>
        <v>0.25401704400192221</v>
      </c>
      <c r="M243" s="40"/>
    </row>
    <row r="244" spans="2:13">
      <c r="B244" s="39"/>
      <c r="C244" s="75">
        <v>239</v>
      </c>
      <c r="D244" s="110">
        <f>IF($C244&lt;=Entradas!$E$153,"",Observaciones!L244)</f>
        <v>0.30109604950170304</v>
      </c>
      <c r="E244" s="110">
        <f>IF($C244&lt;=Entradas!$E$153,"",Escenario1!BN245)</f>
        <v>0.29702281349944143</v>
      </c>
      <c r="F244" s="79">
        <f>IF($C244&lt;=Entradas!$E$153,"",D244-E244)</f>
        <v>4.0732360022616154E-3</v>
      </c>
      <c r="G244" s="79">
        <f>IF($C244&lt;=Entradas!$E$153,"",D244-AVERAGE(D:D))</f>
        <v>-0.4817555720098749</v>
      </c>
      <c r="H244" s="79">
        <f>IF($C244&lt;=Entradas!$E$153,"",F244^2)</f>
        <v>1.6591251530120186E-5</v>
      </c>
      <c r="I244" s="79">
        <f>IF($C244&lt;=Entradas!$E$153,"",G244^2)</f>
        <v>0.23208843116256175</v>
      </c>
      <c r="J244" s="79">
        <f>IF($C244&lt;=Entradas!$E$153,"",E244-AVERAGE(E:E))</f>
        <v>-0.53391632716374371</v>
      </c>
      <c r="K244" s="79">
        <f>IF($C244&lt;=Entradas!$E$153,"",J244^2)</f>
        <v>0.28506664441202179</v>
      </c>
      <c r="L244" s="79">
        <f>IF($C244&lt;=Entradas!$E$153,"",G244*J244)</f>
        <v>0.25721716559818086</v>
      </c>
      <c r="M244" s="40"/>
    </row>
    <row r="245" spans="2:13">
      <c r="B245" s="39"/>
      <c r="C245" s="75">
        <v>240</v>
      </c>
      <c r="D245" s="110">
        <f>IF($C245&lt;=Entradas!$E$153,"",Observaciones!L245)</f>
        <v>0.29776344500977348</v>
      </c>
      <c r="E245" s="110">
        <f>IF($C245&lt;=Entradas!$E$153,"",Escenario1!BN246)</f>
        <v>0.29412384114188889</v>
      </c>
      <c r="F245" s="79">
        <f>IF($C245&lt;=Entradas!$E$153,"",D245-E245)</f>
        <v>3.6396038678845888E-3</v>
      </c>
      <c r="G245" s="79">
        <f>IF($C245&lt;=Entradas!$E$153,"",D245-AVERAGE(D:D))</f>
        <v>-0.48508817650180447</v>
      </c>
      <c r="H245" s="79">
        <f>IF($C245&lt;=Entradas!$E$153,"",F245^2)</f>
        <v>1.324671631512046E-5</v>
      </c>
      <c r="I245" s="79">
        <f>IF($C245&lt;=Entradas!$E$153,"",G245^2)</f>
        <v>0.23531053898184581</v>
      </c>
      <c r="J245" s="79">
        <f>IF($C245&lt;=Entradas!$E$153,"",E245-AVERAGE(E:E))</f>
        <v>-0.53681529952129625</v>
      </c>
      <c r="K245" s="79">
        <f>IF($C245&lt;=Entradas!$E$153,"",J245^2)</f>
        <v>0.288170665800139</v>
      </c>
      <c r="L245" s="79">
        <f>IF($C245&lt;=Entradas!$E$153,"",G245*J245)</f>
        <v>0.26040275476305558</v>
      </c>
      <c r="M245" s="40"/>
    </row>
    <row r="246" spans="2:13">
      <c r="B246" s="39"/>
      <c r="C246" s="75">
        <v>241</v>
      </c>
      <c r="D246" s="110">
        <f>IF($C246&lt;=Entradas!$E$153,"",Observaciones!L246)</f>
        <v>0.29446926995156664</v>
      </c>
      <c r="E246" s="110">
        <f>IF($C246&lt;=Entradas!$E$153,"",Escenario1!BN247)</f>
        <v>0.29125222152688846</v>
      </c>
      <c r="F246" s="79">
        <f>IF($C246&lt;=Entradas!$E$153,"",D246-E246)</f>
        <v>3.2170484246781816E-3</v>
      </c>
      <c r="G246" s="79">
        <f>IF($C246&lt;=Entradas!$E$153,"",D246-AVERAGE(D:D))</f>
        <v>-0.48838235156001131</v>
      </c>
      <c r="H246" s="79">
        <f>IF($C246&lt;=Entradas!$E$153,"",F246^2)</f>
        <v>1.0349400566724371E-5</v>
      </c>
      <c r="I246" s="79">
        <f>IF($C246&lt;=Entradas!$E$153,"",G246^2)</f>
        <v>0.23851732131528647</v>
      </c>
      <c r="J246" s="79">
        <f>IF($C246&lt;=Entradas!$E$153,"",E246-AVERAGE(E:E))</f>
        <v>-0.53968691913629674</v>
      </c>
      <c r="K246" s="79">
        <f>IF($C246&lt;=Entradas!$E$153,"",J246^2)</f>
        <v>0.29126197068682769</v>
      </c>
      <c r="L246" s="79">
        <f>IF($C246&lt;=Entradas!$E$153,"",G246*J246)</f>
        <v>0.26357356667396226</v>
      </c>
      <c r="M246" s="40"/>
    </row>
    <row r="247" spans="2:13">
      <c r="B247" s="39"/>
      <c r="C247" s="75">
        <v>242</v>
      </c>
      <c r="D247" s="110">
        <f>IF($C247&lt;=Entradas!$E$153,"",Observaciones!L247)</f>
        <v>0.29121305966137612</v>
      </c>
      <c r="E247" s="110">
        <f>IF($C247&lt;=Entradas!$E$153,"",Escenario1!BN248)</f>
        <v>0.28840770906485969</v>
      </c>
      <c r="F247" s="79">
        <f>IF($C247&lt;=Entradas!$E$153,"",D247-E247)</f>
        <v>2.8053505965164316E-3</v>
      </c>
      <c r="G247" s="79">
        <f>IF($C247&lt;=Entradas!$E$153,"",D247-AVERAGE(D:D))</f>
        <v>-0.49163856185020183</v>
      </c>
      <c r="H247" s="79">
        <f>IF($C247&lt;=Entradas!$E$153,"",F247^2)</f>
        <v>7.8699919693750992E-6</v>
      </c>
      <c r="I247" s="79">
        <f>IF($C247&lt;=Entradas!$E$153,"",G247^2)</f>
        <v>0.24170847549813473</v>
      </c>
      <c r="J247" s="79">
        <f>IF($C247&lt;=Entradas!$E$153,"",E247-AVERAGE(E:E))</f>
        <v>-0.54253143159832551</v>
      </c>
      <c r="K247" s="79">
        <f>IF($C247&lt;=Entradas!$E$153,"",J247^2)</f>
        <v>0.29434035427212857</v>
      </c>
      <c r="L247" s="79">
        <f>IF($C247&lt;=Entradas!$E$153,"",G247*J247)</f>
        <v>0.2667293727895319</v>
      </c>
      <c r="M247" s="40"/>
    </row>
    <row r="248" spans="2:13">
      <c r="B248" s="39"/>
      <c r="C248" s="75">
        <v>243</v>
      </c>
      <c r="D248" s="110">
        <f>IF($C248&lt;=Entradas!$E$153,"",Observaciones!L248)</f>
        <v>0.287994355807701</v>
      </c>
      <c r="E248" s="110">
        <f>IF($C248&lt;=Entradas!$E$153,"",Escenario1!BN249)</f>
        <v>0.28559004089321904</v>
      </c>
      <c r="F248" s="79">
        <f>IF($C248&lt;=Entradas!$E$153,"",D248-E248)</f>
        <v>2.4043149144819531E-3</v>
      </c>
      <c r="G248" s="79">
        <f>IF($C248&lt;=Entradas!$E$153,"",D248-AVERAGE(D:D))</f>
        <v>-0.49485726570387695</v>
      </c>
      <c r="H248" s="79">
        <f>IF($C248&lt;=Entradas!$E$153,"",F248^2)</f>
        <v>5.7807302080003616E-6</v>
      </c>
      <c r="I248" s="79">
        <f>IF($C248&lt;=Entradas!$E$153,"",G248^2)</f>
        <v>0.24488371341991746</v>
      </c>
      <c r="J248" s="79">
        <f>IF($C248&lt;=Entradas!$E$153,"",E248-AVERAGE(E:E))</f>
        <v>-0.54534909976996615</v>
      </c>
      <c r="K248" s="79">
        <f>IF($C248&lt;=Entradas!$E$153,"",J248^2)</f>
        <v>0.29740564061991248</v>
      </c>
      <c r="L248" s="79">
        <f>IF($C248&lt;=Entradas!$E$153,"",G248*J248)</f>
        <v>0.26986996436623623</v>
      </c>
      <c r="M248" s="40"/>
    </row>
    <row r="249" spans="2:13">
      <c r="B249" s="39"/>
      <c r="C249" s="75">
        <v>244</v>
      </c>
      <c r="D249" s="110">
        <f>IF($C249&lt;=Entradas!$E$153,"",Observaciones!L249)</f>
        <v>0.284812705936142</v>
      </c>
      <c r="E249" s="110">
        <f>IF($C249&lt;=Entradas!$E$153,"",Escenario1!BN250)</f>
        <v>0.28279897691771633</v>
      </c>
      <c r="F249" s="79">
        <f>IF($C249&lt;=Entradas!$E$153,"",D249-E249)</f>
        <v>2.0137290184256695E-3</v>
      </c>
      <c r="G249" s="79">
        <f>IF($C249&lt;=Entradas!$E$153,"",D249-AVERAGE(D:D))</f>
        <v>-0.49803891557543595</v>
      </c>
      <c r="H249" s="79">
        <f>IF($C249&lt;=Entradas!$E$153,"",F249^2)</f>
        <v>4.0551045596496104E-6</v>
      </c>
      <c r="I249" s="79">
        <f>IF($C249&lt;=Entradas!$E$153,"",G249^2)</f>
        <v>0.24804276142755621</v>
      </c>
      <c r="J249" s="79">
        <f>IF($C249&lt;=Entradas!$E$153,"",E249-AVERAGE(E:E))</f>
        <v>-0.54814016374546881</v>
      </c>
      <c r="K249" s="79">
        <f>IF($C249&lt;=Entradas!$E$153,"",J249^2)</f>
        <v>0.30045763911090934</v>
      </c>
      <c r="L249" s="79">
        <f>IF($C249&lt;=Entradas!$E$153,"",G249*J249)</f>
        <v>0.2729951327351352</v>
      </c>
      <c r="M249" s="40"/>
    </row>
    <row r="250" spans="2:13">
      <c r="B250" s="39"/>
      <c r="C250" s="75">
        <v>245</v>
      </c>
      <c r="D250" s="110">
        <f>IF($C250&lt;=Entradas!$E$153,"",Observaciones!L250)</f>
        <v>0.28166766332964843</v>
      </c>
      <c r="E250" s="110">
        <f>IF($C250&lt;=Entradas!$E$153,"",Escenario1!BN251)</f>
        <v>0.28003426873726373</v>
      </c>
      <c r="F250" s="79">
        <f>IF($C250&lt;=Entradas!$E$153,"",D250-E250)</f>
        <v>1.6333945923847071E-3</v>
      </c>
      <c r="G250" s="79">
        <f>IF($C250&lt;=Entradas!$E$153,"",D250-AVERAGE(D:D))</f>
        <v>-0.50118395818192951</v>
      </c>
      <c r="H250" s="79">
        <f>IF($C250&lt;=Entradas!$E$153,"",F250^2)</f>
        <v>2.6679778944316033E-6</v>
      </c>
      <c r="I250" s="79">
        <f>IF($C250&lt;=Entradas!$E$153,"",G250^2)</f>
        <v>0.25118535993890606</v>
      </c>
      <c r="J250" s="79">
        <f>IF($C250&lt;=Entradas!$E$153,"",E250-AVERAGE(E:E))</f>
        <v>-0.55090487192592152</v>
      </c>
      <c r="K250" s="79">
        <f>IF($C250&lt;=Entradas!$E$153,"",J250^2)</f>
        <v>0.30349617791171601</v>
      </c>
      <c r="L250" s="79">
        <f>IF($C250&lt;=Entradas!$E$153,"",G250*J250)</f>
        <v>0.27610468429354229</v>
      </c>
      <c r="M250" s="40"/>
    </row>
    <row r="251" spans="2:13">
      <c r="B251" s="39"/>
      <c r="C251" s="75">
        <v>246</v>
      </c>
      <c r="D251" s="110">
        <f>IF($C251&lt;=Entradas!$E$153,"",Observaciones!L251)</f>
        <v>0.27855878692230485</v>
      </c>
      <c r="E251" s="110">
        <f>IF($C251&lt;=Entradas!$E$153,"",Escenario1!BN252)</f>
        <v>0.27729567975480229</v>
      </c>
      <c r="F251" s="79">
        <f>IF($C251&lt;=Entradas!$E$153,"",D251-E251)</f>
        <v>1.2631071675025529E-3</v>
      </c>
      <c r="G251" s="79">
        <f>IF($C251&lt;=Entradas!$E$153,"",D251-AVERAGE(D:D))</f>
        <v>-0.5042928345892731</v>
      </c>
      <c r="H251" s="79">
        <f>IF($C251&lt;=Entradas!$E$153,"",F251^2)</f>
        <v>1.5954397165963223E-6</v>
      </c>
      <c r="I251" s="79">
        <f>IF($C251&lt;=Entradas!$E$153,"",G251^2)</f>
        <v>0.25431126301808393</v>
      </c>
      <c r="J251" s="79">
        <f>IF($C251&lt;=Entradas!$E$153,"",E251-AVERAGE(E:E))</f>
        <v>-0.5536434609083829</v>
      </c>
      <c r="K251" s="79">
        <f>IF($C251&lt;=Entradas!$E$153,"",J251^2)</f>
        <v>0.30652108180661208</v>
      </c>
      <c r="L251" s="79">
        <f>IF($C251&lt;=Entradas!$E$153,"",G251*J251)</f>
        <v>0.27919843025330382</v>
      </c>
      <c r="M251" s="40"/>
    </row>
    <row r="252" spans="2:13">
      <c r="B252" s="39"/>
      <c r="C252" s="75">
        <v>247</v>
      </c>
      <c r="D252" s="110">
        <f>IF($C252&lt;=Entradas!$E$153,"",Observaciones!L252)</f>
        <v>0.27548564122286878</v>
      </c>
      <c r="E252" s="110">
        <f>IF($C252&lt;=Entradas!$E$153,"",Escenario1!BN253)</f>
        <v>0.27458297204266019</v>
      </c>
      <c r="F252" s="79">
        <f>IF($C252&lt;=Entradas!$E$153,"",D252-E252)</f>
        <v>9.0266918020859288E-4</v>
      </c>
      <c r="G252" s="79">
        <f>IF($C252&lt;=Entradas!$E$153,"",D252-AVERAGE(D:D))</f>
        <v>-0.50736598028870916</v>
      </c>
      <c r="H252" s="79">
        <f>IF($C252&lt;=Entradas!$E$153,"",F252^2)</f>
        <v>8.1481164889845317E-7</v>
      </c>
      <c r="I252" s="79">
        <f>IF($C252&lt;=Entradas!$E$153,"",G252^2)</f>
        <v>0.25742023795432284</v>
      </c>
      <c r="J252" s="79">
        <f>IF($C252&lt;=Entradas!$E$153,"",E252-AVERAGE(E:E))</f>
        <v>-0.55635616862052495</v>
      </c>
      <c r="K252" s="79">
        <f>IF($C252&lt;=Entradas!$E$153,"",J252^2)</f>
        <v>0.30953218636211</v>
      </c>
      <c r="L252" s="79">
        <f>IF($C252&lt;=Entradas!$E$153,"",G252*J252)</f>
        <v>0.28227619288182298</v>
      </c>
      <c r="M252" s="40"/>
    </row>
    <row r="253" spans="2:13">
      <c r="B253" s="39"/>
      <c r="C253" s="75">
        <v>248</v>
      </c>
      <c r="D253" s="110">
        <f>IF($C253&lt;=Entradas!$E$153,"",Observaciones!L253)</f>
        <v>0.27244779624078225</v>
      </c>
      <c r="E253" s="110">
        <f>IF($C253&lt;=Entradas!$E$153,"",Escenario1!BN254)</f>
        <v>0.27189592150743186</v>
      </c>
      <c r="F253" s="79">
        <f>IF($C253&lt;=Entradas!$E$153,"",D253-E253)</f>
        <v>5.5187473335038817E-4</v>
      </c>
      <c r="G253" s="79">
        <f>IF($C253&lt;=Entradas!$E$153,"",D253-AVERAGE(D:D))</f>
        <v>-0.51040382527079564</v>
      </c>
      <c r="H253" s="79">
        <f>IF($C253&lt;=Entradas!$E$153,"",F253^2)</f>
        <v>3.0456572131056206E-7</v>
      </c>
      <c r="I253" s="79">
        <f>IF($C253&lt;=Entradas!$E$153,"",G253^2)</f>
        <v>0.26051206485106088</v>
      </c>
      <c r="J253" s="79">
        <f>IF($C253&lt;=Entradas!$E$153,"",E253-AVERAGE(E:E))</f>
        <v>-0.55904321915575328</v>
      </c>
      <c r="K253" s="79">
        <f>IF($C253&lt;=Entradas!$E$153,"",J253^2)</f>
        <v>0.31252932088402757</v>
      </c>
      <c r="L253" s="79">
        <f>IF($C253&lt;=Entradas!$E$153,"",G253*J253)</f>
        <v>0.28533779754879623</v>
      </c>
      <c r="M253" s="40"/>
    </row>
    <row r="254" spans="2:13">
      <c r="B254" s="39"/>
      <c r="C254" s="75">
        <v>249</v>
      </c>
      <c r="D254" s="110">
        <f>IF($C254&lt;=Entradas!$E$153,"",Observaciones!L254)</f>
        <v>0.26944482741343478</v>
      </c>
      <c r="E254" s="110">
        <f>IF($C254&lt;=Entradas!$E$153,"",Escenario1!BN255)</f>
        <v>0.26923429012702049</v>
      </c>
      <c r="F254" s="79">
        <f>IF($C254&lt;=Entradas!$E$153,"",D254-E254)</f>
        <v>2.1053728641429181E-4</v>
      </c>
      <c r="G254" s="79">
        <f>IF($C254&lt;=Entradas!$E$153,"",D254-AVERAGE(D:D))</f>
        <v>-0.51340679409814316</v>
      </c>
      <c r="H254" s="79">
        <f>IF($C254&lt;=Entradas!$E$153,"",F254^2)</f>
        <v>4.4325948970693543E-8</v>
      </c>
      <c r="I254" s="79">
        <f>IF($C254&lt;=Entradas!$E$153,"",G254^2)</f>
        <v>0.26358653622613315</v>
      </c>
      <c r="J254" s="79">
        <f>IF($C254&lt;=Entradas!$E$153,"",E254-AVERAGE(E:E))</f>
        <v>-0.5617048505361647</v>
      </c>
      <c r="K254" s="79">
        <f>IF($C254&lt;=Entradas!$E$153,"",J254^2)</f>
        <v>0.31551233911585513</v>
      </c>
      <c r="L254" s="79">
        <f>IF($C254&lt;=Entradas!$E$153,"",G254*J254)</f>
        <v>0.28838308654314898</v>
      </c>
      <c r="M254" s="40"/>
    </row>
    <row r="255" spans="2:13">
      <c r="B255" s="39"/>
      <c r="C255" s="75">
        <v>250</v>
      </c>
      <c r="D255" s="110">
        <f>IF($C255&lt;=Entradas!$E$153,"",Observaciones!L255)</f>
        <v>0.26647631553446643</v>
      </c>
      <c r="E255" s="110">
        <f>IF($C255&lt;=Entradas!$E$153,"",Escenario1!BN256)</f>
        <v>0.26659785889665683</v>
      </c>
      <c r="F255" s="79">
        <f>IF($C255&lt;=Entradas!$E$153,"",D255-E255)</f>
        <v>-1.2154336219039052E-4</v>
      </c>
      <c r="G255" s="79">
        <f>IF($C255&lt;=Entradas!$E$153,"",D255-AVERAGE(D:D))</f>
        <v>-0.51637530597711145</v>
      </c>
      <c r="H255" s="79">
        <f>IF($C255&lt;=Entradas!$E$153,"",F255^2)</f>
        <v>1.4772788892544452E-8</v>
      </c>
      <c r="I255" s="79">
        <f>IF($C255&lt;=Entradas!$E$153,"",G255^2)</f>
        <v>0.26664345662295547</v>
      </c>
      <c r="J255" s="79">
        <f>IF($C255&lt;=Entradas!$E$153,"",E255-AVERAGE(E:E))</f>
        <v>-0.56434128176652831</v>
      </c>
      <c r="K255" s="79">
        <f>IF($C255&lt;=Entradas!$E$153,"",J255^2)</f>
        <v>0.31848108230588812</v>
      </c>
      <c r="L255" s="79">
        <f>IF($C255&lt;=Entradas!$E$153,"",G255*J255)</f>
        <v>0.29141190204770634</v>
      </c>
      <c r="M255" s="40"/>
    </row>
    <row r="256" spans="2:13">
      <c r="B256" s="39"/>
      <c r="C256" s="75">
        <v>251</v>
      </c>
      <c r="D256" s="110">
        <f>IF($C256&lt;=Entradas!$E$153,"",Observaciones!L256)</f>
        <v>0.26354184668306141</v>
      </c>
      <c r="E256" s="110">
        <f>IF($C256&lt;=Entradas!$E$153,"",Escenario1!BN257)</f>
        <v>0.26398638031401023</v>
      </c>
      <c r="F256" s="79">
        <f>IF($C256&lt;=Entradas!$E$153,"",D256-E256)</f>
        <v>-4.4453363094881793E-4</v>
      </c>
      <c r="G256" s="79">
        <f>IF($C256&lt;=Entradas!$E$153,"",D256-AVERAGE(D:D))</f>
        <v>-0.51930977482851648</v>
      </c>
      <c r="H256" s="79">
        <f>IF($C256&lt;=Entradas!$E$153,"",F256^2)</f>
        <v>1.9761014904453984E-7</v>
      </c>
      <c r="I256" s="79">
        <f>IF($C256&lt;=Entradas!$E$153,"",G256^2)</f>
        <v>0.26968264223244448</v>
      </c>
      <c r="J256" s="79">
        <f>IF($C256&lt;=Entradas!$E$153,"",E256-AVERAGE(E:E))</f>
        <v>-0.56695276034917497</v>
      </c>
      <c r="K256" s="79">
        <f>IF($C256&lt;=Entradas!$E$153,"",J256^2)</f>
        <v>0.32143543246754902</v>
      </c>
      <c r="L256" s="79">
        <f>IF($C256&lt;=Entradas!$E$153,"",G256*J256)</f>
        <v>0.29442411031533594</v>
      </c>
      <c r="M256" s="40"/>
    </row>
    <row r="257" spans="2:13">
      <c r="B257" s="39"/>
      <c r="C257" s="75">
        <v>252</v>
      </c>
      <c r="D257" s="110">
        <f>IF($C257&lt;=Entradas!$E$153,"",Observaciones!L257)</f>
        <v>0.2606410121542132</v>
      </c>
      <c r="E257" s="110">
        <f>IF($C257&lt;=Entradas!$E$153,"",Escenario1!BN258)</f>
        <v>0.26139962909228293</v>
      </c>
      <c r="F257" s="79">
        <f>IF($C257&lt;=Entradas!$E$153,"",D257-E257)</f>
        <v>-7.5861693806972275E-4</v>
      </c>
      <c r="G257" s="79">
        <f>IF($C257&lt;=Entradas!$E$153,"",D257-AVERAGE(D:D))</f>
        <v>-0.52221060935736474</v>
      </c>
      <c r="H257" s="79">
        <f>IF($C257&lt;=Entradas!$E$153,"",F257^2)</f>
        <v>5.7549965872628159E-7</v>
      </c>
      <c r="I257" s="79">
        <f>IF($C257&lt;=Entradas!$E$153,"",G257^2)</f>
        <v>0.27270392052539022</v>
      </c>
      <c r="J257" s="79">
        <f>IF($C257&lt;=Entradas!$E$153,"",E257-AVERAGE(E:E))</f>
        <v>-0.56953951157090232</v>
      </c>
      <c r="K257" s="79">
        <f>IF($C257&lt;=Entradas!$E$153,"",J257^2)</f>
        <v>0.32437525524042199</v>
      </c>
      <c r="L257" s="79">
        <f>IF($C257&lt;=Entradas!$E$153,"",G257*J257)</f>
        <v>0.29741957539053682</v>
      </c>
      <c r="M257" s="40"/>
    </row>
    <row r="258" spans="2:13">
      <c r="B258" s="39"/>
      <c r="C258" s="75">
        <v>253</v>
      </c>
      <c r="D258" s="110">
        <f>IF($C258&lt;=Entradas!$E$153,"",Observaciones!L258)</f>
        <v>0.25777340838994822</v>
      </c>
      <c r="E258" s="110">
        <f>IF($C258&lt;=Entradas!$E$153,"",Escenario1!BN259)</f>
        <v>0.2588373813270991</v>
      </c>
      <c r="F258" s="79">
        <f>IF($C258&lt;=Entradas!$E$153,"",D258-E258)</f>
        <v>-1.063972937150881E-3</v>
      </c>
      <c r="G258" s="79">
        <f>IF($C258&lt;=Entradas!$E$153,"",D258-AVERAGE(D:D))</f>
        <v>-0.52507821312162972</v>
      </c>
      <c r="H258" s="79">
        <f>IF($C258&lt;=Entradas!$E$153,"",F258^2)</f>
        <v>1.1320384109894727E-6</v>
      </c>
      <c r="I258" s="79">
        <f>IF($C258&lt;=Entradas!$E$153,"",G258^2)</f>
        <v>0.27570712989500362</v>
      </c>
      <c r="J258" s="79">
        <f>IF($C258&lt;=Entradas!$E$153,"",E258-AVERAGE(E:E))</f>
        <v>-0.57210175933608609</v>
      </c>
      <c r="K258" s="79">
        <f>IF($C258&lt;=Entradas!$E$153,"",J258^2)</f>
        <v>0.32730042303544499</v>
      </c>
      <c r="L258" s="79">
        <f>IF($C258&lt;=Entradas!$E$153,"",G258*J258)</f>
        <v>0.30039816951593273</v>
      </c>
      <c r="M258" s="40"/>
    </row>
    <row r="259" spans="2:13">
      <c r="B259" s="39"/>
      <c r="C259" s="75">
        <v>254</v>
      </c>
      <c r="D259" s="110">
        <f>IF($C259&lt;=Entradas!$E$153,"",Observaciones!L259)</f>
        <v>0.25493863691149066</v>
      </c>
      <c r="E259" s="110">
        <f>IF($C259&lt;=Entradas!$E$153,"",Escenario1!BN260)</f>
        <v>0.25629941879132417</v>
      </c>
      <c r="F259" s="79">
        <f>IF($C259&lt;=Entradas!$E$153,"",D259-E259)</f>
        <v>-1.3607818798335169E-3</v>
      </c>
      <c r="G259" s="79">
        <f>IF($C259&lt;=Entradas!$E$153,"",D259-AVERAGE(D:D))</f>
        <v>-0.52791298460008729</v>
      </c>
      <c r="H259" s="79">
        <f>IF($C259&lt;=Entradas!$E$153,"",F259^2)</f>
        <v>1.8517273244832401E-6</v>
      </c>
      <c r="I259" s="79">
        <f>IF($C259&lt;=Entradas!$E$153,"",G259^2)</f>
        <v>0.27869211930937199</v>
      </c>
      <c r="J259" s="79">
        <f>IF($C259&lt;=Entradas!$E$153,"",E259-AVERAGE(E:E))</f>
        <v>-0.57463972187186108</v>
      </c>
      <c r="K259" s="79">
        <f>IF($C259&lt;=Entradas!$E$153,"",J259^2)</f>
        <v>0.33021080995296986</v>
      </c>
      <c r="L259" s="79">
        <f>IF($C259&lt;=Entradas!$E$153,"",G259*J259)</f>
        <v>0.30335977064313824</v>
      </c>
      <c r="M259" s="40"/>
    </row>
    <row r="260" spans="2:13">
      <c r="B260" s="39"/>
      <c r="C260" s="75">
        <v>255</v>
      </c>
      <c r="D260" s="110">
        <f>IF($C260&lt;=Entradas!$E$153,"",Observaciones!L260)</f>
        <v>0.25213630425235978</v>
      </c>
      <c r="E260" s="110">
        <f>IF($C260&lt;=Entradas!$E$153,"",Escenario1!BN261)</f>
        <v>0.25378552699997275</v>
      </c>
      <c r="F260" s="79">
        <f>IF($C260&lt;=Entradas!$E$153,"",D260-E260)</f>
        <v>-1.6492227476129773E-3</v>
      </c>
      <c r="G260" s="79">
        <f>IF($C260&lt;=Entradas!$E$153,"",D260-AVERAGE(D:D))</f>
        <v>-0.53071531725921817</v>
      </c>
      <c r="H260" s="79">
        <f>IF($C260&lt;=Entradas!$E$153,"",F260^2)</f>
        <v>2.7199356712440983E-6</v>
      </c>
      <c r="I260" s="79">
        <f>IF($C260&lt;=Entradas!$E$153,"",G260^2)</f>
        <v>0.28165874797355261</v>
      </c>
      <c r="J260" s="79">
        <f>IF($C260&lt;=Entradas!$E$153,"",E260-AVERAGE(E:E))</f>
        <v>-0.57715361366321249</v>
      </c>
      <c r="K260" s="79">
        <f>IF($C260&lt;=Entradas!$E$153,"",J260^2)</f>
        <v>0.33310629376450474</v>
      </c>
      <c r="L260" s="79">
        <f>IF($C260&lt;=Entradas!$E$153,"",G260*J260)</f>
        <v>0.30630426318257603</v>
      </c>
      <c r="M260" s="40"/>
    </row>
    <row r="261" spans="2:13">
      <c r="B261" s="39"/>
      <c r="C261" s="75">
        <v>256</v>
      </c>
      <c r="D261" s="110">
        <f>IF($C261&lt;=Entradas!$E$153,"",Observaciones!L261)</f>
        <v>0.24936602189238233</v>
      </c>
      <c r="E261" s="110">
        <f>IF($C261&lt;=Entradas!$E$153,"",Escenario1!BN262)</f>
        <v>0.25129548557077735</v>
      </c>
      <c r="F261" s="79">
        <f>IF($C261&lt;=Entradas!$E$153,"",D261-E261)</f>
        <v>-1.929463678395027E-3</v>
      </c>
      <c r="G261" s="79">
        <f>IF($C261&lt;=Entradas!$E$153,"",D261-AVERAGE(D:D))</f>
        <v>-0.53348559961919562</v>
      </c>
      <c r="H261" s="79">
        <f>IF($C261&lt;=Entradas!$E$153,"",F261^2)</f>
        <v>3.7228300862456682E-6</v>
      </c>
      <c r="I261" s="79">
        <f>IF($C261&lt;=Entradas!$E$153,"",G261^2)</f>
        <v>0.28460688500105269</v>
      </c>
      <c r="J261" s="79">
        <f>IF($C261&lt;=Entradas!$E$153,"",E261-AVERAGE(E:E))</f>
        <v>-0.57964365509240778</v>
      </c>
      <c r="K261" s="79">
        <f>IF($C261&lt;=Entradas!$E$153,"",J261^2)</f>
        <v>0.33598676688888618</v>
      </c>
      <c r="L261" s="79">
        <f>IF($C261&lt;=Entradas!$E$153,"",G261*J261)</f>
        <v>0.30923154290243537</v>
      </c>
      <c r="M261" s="40"/>
    </row>
    <row r="262" spans="2:13">
      <c r="B262" s="39"/>
      <c r="C262" s="75">
        <v>257</v>
      </c>
      <c r="D262" s="110">
        <f>IF($C262&lt;=Entradas!$E$153,"",Observaciones!L262)</f>
        <v>0.24662740619260975</v>
      </c>
      <c r="E262" s="110">
        <f>IF($C262&lt;=Entradas!$E$153,"",Escenario1!BN263)</f>
        <v>0.24882908587976599</v>
      </c>
      <c r="F262" s="79">
        <f>IF($C262&lt;=Entradas!$E$153,"",D262-E262)</f>
        <v>-2.2016796871562327E-3</v>
      </c>
      <c r="G262" s="79">
        <f>IF($C262&lt;=Entradas!$E$153,"",D262-AVERAGE(D:D))</f>
        <v>-0.53622421531896824</v>
      </c>
      <c r="H262" s="79">
        <f>IF($C262&lt;=Entradas!$E$153,"",F262^2)</f>
        <v>4.847393444836367E-6</v>
      </c>
      <c r="I262" s="79">
        <f>IF($C262&lt;=Entradas!$E$153,"",G262^2)</f>
        <v>0.28753640909444322</v>
      </c>
      <c r="J262" s="79">
        <f>IF($C262&lt;=Entradas!$E$153,"",E262-AVERAGE(E:E))</f>
        <v>-0.58211005478341926</v>
      </c>
      <c r="K262" s="79">
        <f>IF($C262&lt;=Entradas!$E$153,"",J262^2)</f>
        <v>0.3388521158799554</v>
      </c>
      <c r="L262" s="79">
        <f>IF($C262&lt;=Entradas!$E$153,"",G262*J262)</f>
        <v>0.3121415073555206</v>
      </c>
      <c r="M262" s="40"/>
    </row>
    <row r="263" spans="2:13">
      <c r="B263" s="39"/>
      <c r="C263" s="75">
        <v>258</v>
      </c>
      <c r="D263" s="110">
        <f>IF($C263&lt;=Entradas!$E$153,"",Observaciones!L263)</f>
        <v>0.24732644543864157</v>
      </c>
      <c r="E263" s="110">
        <f>IF($C263&lt;=Entradas!$E$153,"",Escenario1!BN264)</f>
        <v>0.24882774302840918</v>
      </c>
      <c r="F263" s="79">
        <f>IF($C263&lt;=Entradas!$E$153,"",D263-E263)</f>
        <v>-1.5012975897676084E-3</v>
      </c>
      <c r="G263" s="79">
        <f>IF($C263&lt;=Entradas!$E$153,"",D263-AVERAGE(D:D))</f>
        <v>-0.53552517607293637</v>
      </c>
      <c r="H263" s="79">
        <f>IF($C263&lt;=Entradas!$E$153,"",F263^2)</f>
        <v>2.2538944530420304E-6</v>
      </c>
      <c r="I263" s="79">
        <f>IF($C263&lt;=Entradas!$E$153,"",G263^2)</f>
        <v>0.2867872142079495</v>
      </c>
      <c r="J263" s="79">
        <f>IF($C263&lt;=Entradas!$E$153,"",E263-AVERAGE(E:E))</f>
        <v>-0.58211139763477604</v>
      </c>
      <c r="K263" s="79">
        <f>IF($C263&lt;=Entradas!$E$153,"",J263^2)</f>
        <v>0.33885367925631232</v>
      </c>
      <c r="L263" s="79">
        <f>IF($C263&lt;=Entradas!$E$153,"",G263*J263)</f>
        <v>0.3117353087124265</v>
      </c>
      <c r="M263" s="40"/>
    </row>
    <row r="264" spans="2:13">
      <c r="B264" s="39"/>
      <c r="C264" s="75">
        <v>259</v>
      </c>
      <c r="D264" s="110">
        <f>IF($C264&lt;=Entradas!$E$153,"",Observaciones!L264)</f>
        <v>0.24180890429252677</v>
      </c>
      <c r="E264" s="110">
        <f>IF($C264&lt;=Entradas!$E$153,"",Escenario1!BN265)</f>
        <v>0.24396822865036646</v>
      </c>
      <c r="F264" s="79">
        <f>IF($C264&lt;=Entradas!$E$153,"",D264-E264)</f>
        <v>-2.1593243578396926E-3</v>
      </c>
      <c r="G264" s="79">
        <f>IF($C264&lt;=Entradas!$E$153,"",D264-AVERAGE(D:D))</f>
        <v>-0.54104271721905117</v>
      </c>
      <c r="H264" s="79">
        <f>IF($C264&lt;=Entradas!$E$153,"",F264^2)</f>
        <v>4.6626816823598006E-6</v>
      </c>
      <c r="I264" s="79">
        <f>IF($C264&lt;=Entradas!$E$153,"",G264^2)</f>
        <v>0.29272722185577416</v>
      </c>
      <c r="J264" s="79">
        <f>IF($C264&lt;=Entradas!$E$153,"",E264-AVERAGE(E:E))</f>
        <v>-0.5869709120128187</v>
      </c>
      <c r="K264" s="79">
        <f>IF($C264&lt;=Entradas!$E$153,"",J264^2)</f>
        <v>0.34453485154916014</v>
      </c>
      <c r="L264" s="79">
        <f>IF($C264&lt;=Entradas!$E$153,"",G264*J264)</f>
        <v>0.31757633716396005</v>
      </c>
      <c r="M264" s="40"/>
    </row>
    <row r="265" spans="2:13">
      <c r="B265" s="39"/>
      <c r="C265" s="75">
        <v>260</v>
      </c>
      <c r="D265" s="110">
        <f>IF($C265&lt;=Entradas!$E$153,"",Observaciones!L265)</f>
        <v>0.23869158840083443</v>
      </c>
      <c r="E265" s="110">
        <f>IF($C265&lt;=Entradas!$E$153,"",Escenario1!BN266)</f>
        <v>0.24157327737503295</v>
      </c>
      <c r="F265" s="79">
        <f>IF($C265&lt;=Entradas!$E$153,"",D265-E265)</f>
        <v>-2.8816889741985208E-3</v>
      </c>
      <c r="G265" s="79">
        <f>IF($C265&lt;=Entradas!$E$153,"",D265-AVERAGE(D:D))</f>
        <v>-0.54416003311074346</v>
      </c>
      <c r="H265" s="79">
        <f>IF($C265&lt;=Entradas!$E$153,"",F265^2)</f>
        <v>8.3041313440173227E-6</v>
      </c>
      <c r="I265" s="79">
        <f>IF($C265&lt;=Entradas!$E$153,"",G265^2)</f>
        <v>0.29611014163508542</v>
      </c>
      <c r="J265" s="79">
        <f>IF($C265&lt;=Entradas!$E$153,"",E265-AVERAGE(E:E))</f>
        <v>-0.58936586328815221</v>
      </c>
      <c r="K265" s="79">
        <f>IF($C265&lt;=Entradas!$E$153,"",J265^2)</f>
        <v>0.34735212080938893</v>
      </c>
      <c r="L265" s="79">
        <f>IF($C265&lt;=Entradas!$E$153,"",G265*J265)</f>
        <v>0.32070934768122283</v>
      </c>
      <c r="M265" s="40"/>
    </row>
    <row r="266" spans="2:13">
      <c r="B266" s="39"/>
      <c r="C266" s="75">
        <v>261</v>
      </c>
      <c r="D266" s="110">
        <f>IF($C266&lt;=Entradas!$E$153,"",Observaciones!L266)</f>
        <v>0.23599766829790536</v>
      </c>
      <c r="E266" s="110">
        <f>IF($C266&lt;=Entradas!$E$153,"",Escenario1!BN267)</f>
        <v>0.23920105910081599</v>
      </c>
      <c r="F266" s="79">
        <f>IF($C266&lt;=Entradas!$E$153,"",D266-E266)</f>
        <v>-3.2033908029106273E-3</v>
      </c>
      <c r="G266" s="79">
        <f>IF($C266&lt;=Entradas!$E$153,"",D266-AVERAGE(D:D))</f>
        <v>-0.54685395321367258</v>
      </c>
      <c r="H266" s="79">
        <f>IF($C266&lt;=Entradas!$E$153,"",F266^2)</f>
        <v>1.0261712636172394E-5</v>
      </c>
      <c r="I266" s="79">
        <f>IF($C266&lt;=Entradas!$E$153,"",G266^2)</f>
        <v>0.29904924614542161</v>
      </c>
      <c r="J266" s="79">
        <f>IF($C266&lt;=Entradas!$E$153,"",E266-AVERAGE(E:E))</f>
        <v>-0.59173808156236918</v>
      </c>
      <c r="K266" s="79">
        <f>IF($C266&lt;=Entradas!$E$153,"",J266^2)</f>
        <v>0.35015395717111308</v>
      </c>
      <c r="L266" s="79">
        <f>IF($C266&lt;=Entradas!$E$153,"",G266*J266)</f>
        <v>0.3235943091694562</v>
      </c>
      <c r="M266" s="40"/>
    </row>
    <row r="267" spans="2:13">
      <c r="B267" s="39"/>
      <c r="C267" s="75">
        <v>262</v>
      </c>
      <c r="D267" s="110">
        <f>IF($C267&lt;=Entradas!$E$153,"",Observaciones!L267)</f>
        <v>0.23339881650579791</v>
      </c>
      <c r="E267" s="110">
        <f>IF($C267&lt;=Entradas!$E$153,"",Escenario1!BN268)</f>
        <v>0.23685137402997103</v>
      </c>
      <c r="F267" s="79">
        <f>IF($C267&lt;=Entradas!$E$153,"",D267-E267)</f>
        <v>-3.4525575241731166E-3</v>
      </c>
      <c r="G267" s="79">
        <f>IF($C267&lt;=Entradas!$E$153,"",D267-AVERAGE(D:D))</f>
        <v>-0.54945280500578009</v>
      </c>
      <c r="H267" s="79">
        <f>IF($C267&lt;=Entradas!$E$153,"",F267^2)</f>
        <v>1.19201534577244E-5</v>
      </c>
      <c r="I267" s="79">
        <f>IF($C267&lt;=Entradas!$E$153,"",G267^2)</f>
        <v>0.30189838492871979</v>
      </c>
      <c r="J267" s="79">
        <f>IF($C267&lt;=Entradas!$E$153,"",E267-AVERAGE(E:E))</f>
        <v>-0.59408776663321416</v>
      </c>
      <c r="K267" s="79">
        <f>IF($C267&lt;=Entradas!$E$153,"",J267^2)</f>
        <v>0.35294027446324033</v>
      </c>
      <c r="L267" s="79">
        <f>IF($C267&lt;=Entradas!$E$153,"",G267*J267)</f>
        <v>0.3264231897962388</v>
      </c>
      <c r="M267" s="40"/>
    </row>
    <row r="268" spans="2:13">
      <c r="B268" s="39"/>
      <c r="C268" s="75">
        <v>263</v>
      </c>
      <c r="D268" s="110">
        <f>IF($C268&lt;=Entradas!$E$153,"",Observaciones!L268)</f>
        <v>0.23084025566549299</v>
      </c>
      <c r="E268" s="110">
        <f>IF($C268&lt;=Entradas!$E$153,"",Escenario1!BN269)</f>
        <v>0.23452401466593445</v>
      </c>
      <c r="F268" s="79">
        <f>IF($C268&lt;=Entradas!$E$153,"",D268-E268)</f>
        <v>-3.6837590004414611E-3</v>
      </c>
      <c r="G268" s="79">
        <f>IF($C268&lt;=Entradas!$E$153,"",D268-AVERAGE(D:D))</f>
        <v>-0.55201136584608501</v>
      </c>
      <c r="H268" s="79">
        <f>IF($C268&lt;=Entradas!$E$153,"",F268^2)</f>
        <v>1.3570080373333472E-5</v>
      </c>
      <c r="I268" s="79">
        <f>IF($C268&lt;=Entradas!$E$153,"",G268^2)</f>
        <v>0.30471654802326031</v>
      </c>
      <c r="J268" s="79">
        <f>IF($C268&lt;=Entradas!$E$153,"",E268-AVERAGE(E:E))</f>
        <v>-0.59641512599725077</v>
      </c>
      <c r="K268" s="79">
        <f>IF($C268&lt;=Entradas!$E$153,"",J268^2)</f>
        <v>0.3557110025183165</v>
      </c>
      <c r="L268" s="79">
        <f>IF($C268&lt;=Entradas!$E$153,"",G268*J268)</f>
        <v>0.32922792831300729</v>
      </c>
      <c r="M268" s="40"/>
    </row>
    <row r="269" spans="2:13">
      <c r="B269" s="39"/>
      <c r="C269" s="75">
        <v>264</v>
      </c>
      <c r="D269" s="110">
        <f>IF($C269&lt;=Entradas!$E$153,"",Observaciones!L269)</f>
        <v>0.2283126040221761</v>
      </c>
      <c r="E269" s="110">
        <f>IF($C269&lt;=Entradas!$E$153,"",Escenario1!BN270)</f>
        <v>0.23221877642899602</v>
      </c>
      <c r="F269" s="79">
        <f>IF($C269&lt;=Entradas!$E$153,"",D269-E269)</f>
        <v>-3.9061724068199244E-3</v>
      </c>
      <c r="G269" s="79">
        <f>IF($C269&lt;=Entradas!$E$153,"",D269-AVERAGE(D:D))</f>
        <v>-0.55453901748940182</v>
      </c>
      <c r="H269" s="79">
        <f>IF($C269&lt;=Entradas!$E$153,"",F269^2)</f>
        <v>1.5258182871801361E-5</v>
      </c>
      <c r="I269" s="79">
        <f>IF($C269&lt;=Entradas!$E$153,"",G269^2)</f>
        <v>0.3075135219181111</v>
      </c>
      <c r="J269" s="79">
        <f>IF($C269&lt;=Entradas!$E$153,"",E269-AVERAGE(E:E))</f>
        <v>-0.59872036423418917</v>
      </c>
      <c r="K269" s="79">
        <f>IF($C269&lt;=Entradas!$E$153,"",J269^2)</f>
        <v>0.35846607454872015</v>
      </c>
      <c r="L269" s="79">
        <f>IF($C269&lt;=Entradas!$E$153,"",G269*J269)</f>
        <v>0.33201380253332408</v>
      </c>
      <c r="M269" s="40"/>
    </row>
    <row r="270" spans="2:13">
      <c r="B270" s="39"/>
      <c r="C270" s="75">
        <v>265</v>
      </c>
      <c r="D270" s="110">
        <f>IF($C270&lt;=Entradas!$E$153,"",Observaciones!L270)</f>
        <v>0.22581401625414954</v>
      </c>
      <c r="E270" s="110">
        <f>IF($C270&lt;=Entradas!$E$153,"",Escenario1!BN271)</f>
        <v>0.22993546449873245</v>
      </c>
      <c r="F270" s="79">
        <f>IF($C270&lt;=Entradas!$E$153,"",D270-E270)</f>
        <v>-4.1214482445829093E-3</v>
      </c>
      <c r="G270" s="79">
        <f>IF($C270&lt;=Entradas!$E$153,"",D270-AVERAGE(D:D))</f>
        <v>-0.5570376052574284</v>
      </c>
      <c r="H270" s="79">
        <f>IF($C270&lt;=Entradas!$E$153,"",F270^2)</f>
        <v>1.6986335632775546E-5</v>
      </c>
      <c r="I270" s="79">
        <f>IF($C270&lt;=Entradas!$E$153,"",G270^2)</f>
        <v>0.3102908936709306</v>
      </c>
      <c r="J270" s="79">
        <f>IF($C270&lt;=Entradas!$E$153,"",E270-AVERAGE(E:E))</f>
        <v>-0.60100367616445272</v>
      </c>
      <c r="K270" s="79">
        <f>IF($C270&lt;=Entradas!$E$153,"",J270^2)</f>
        <v>0.36120541876318635</v>
      </c>
      <c r="L270" s="79">
        <f>IF($C270&lt;=Entradas!$E$153,"",G270*J270)</f>
        <v>0.33478164852155773</v>
      </c>
      <c r="M270" s="40"/>
    </row>
    <row r="271" spans="2:13">
      <c r="B271" s="39"/>
      <c r="C271" s="75">
        <v>266</v>
      </c>
      <c r="D271" s="110">
        <f>IF($C271&lt;=Entradas!$E$153,"",Observaciones!L271)</f>
        <v>0.22334390121313674</v>
      </c>
      <c r="E271" s="110">
        <f>IF($C271&lt;=Entradas!$E$153,"",Escenario1!BN272)</f>
        <v>0.22767388245495471</v>
      </c>
      <c r="F271" s="79">
        <f>IF($C271&lt;=Entradas!$E$153,"",D271-E271)</f>
        <v>-4.3299812418179651E-3</v>
      </c>
      <c r="G271" s="79">
        <f>IF($C271&lt;=Entradas!$E$153,"",D271-AVERAGE(D:D))</f>
        <v>-0.5595077202984412</v>
      </c>
      <c r="H271" s="79">
        <f>IF($C271&lt;=Entradas!$E$153,"",F271^2)</f>
        <v>1.8748737554495448E-5</v>
      </c>
      <c r="I271" s="79">
        <f>IF($C271&lt;=Entradas!$E$153,"",G271^2)</f>
        <v>0.31304888907355871</v>
      </c>
      <c r="J271" s="79">
        <f>IF($C271&lt;=Entradas!$E$153,"",E271-AVERAGE(E:E))</f>
        <v>-0.60326525820823051</v>
      </c>
      <c r="K271" s="79">
        <f>IF($C271&lt;=Entradas!$E$153,"",J271^2)</f>
        <v>0.36392897176104305</v>
      </c>
      <c r="L271" s="79">
        <f>IF($C271&lt;=Entradas!$E$153,"",G271*J271)</f>
        <v>0.33753156935533757</v>
      </c>
      <c r="M271" s="40"/>
    </row>
    <row r="272" spans="2:13">
      <c r="B272" s="39"/>
      <c r="C272" s="75">
        <v>267</v>
      </c>
      <c r="D272" s="110">
        <f>IF($C272&lt;=Entradas!$E$153,"",Observaciones!L272)</f>
        <v>0.23452734785205781</v>
      </c>
      <c r="E272" s="110">
        <f>IF($C272&lt;=Entradas!$E$153,"",Escenario1!BN273)</f>
        <v>0.23683906709564279</v>
      </c>
      <c r="F272" s="79">
        <f>IF($C272&lt;=Entradas!$E$153,"",D272-E272)</f>
        <v>-2.3117192435849754E-3</v>
      </c>
      <c r="G272" s="79">
        <f>IF($C272&lt;=Entradas!$E$153,"",D272-AVERAGE(D:D))</f>
        <v>-0.54832427365952019</v>
      </c>
      <c r="H272" s="79">
        <f>IF($C272&lt;=Entradas!$E$153,"",F272^2)</f>
        <v>5.3440458611610907E-6</v>
      </c>
      <c r="I272" s="79">
        <f>IF($C272&lt;=Entradas!$E$153,"",G272^2)</f>
        <v>0.30065950908424038</v>
      </c>
      <c r="J272" s="79">
        <f>IF($C272&lt;=Entradas!$E$153,"",E272-AVERAGE(E:E))</f>
        <v>-0.59410007356754235</v>
      </c>
      <c r="K272" s="79">
        <f>IF($C272&lt;=Entradas!$E$153,"",J272^2)</f>
        <v>0.35295489741295921</v>
      </c>
      <c r="L272" s="79">
        <f>IF($C272&lt;=Entradas!$E$153,"",G272*J272)</f>
        <v>0.32575949131999016</v>
      </c>
      <c r="M272" s="40"/>
    </row>
    <row r="273" spans="2:13">
      <c r="B273" s="39"/>
      <c r="C273" s="75">
        <v>268</v>
      </c>
      <c r="D273" s="110">
        <f>IF($C273&lt;=Entradas!$E$153,"",Observaciones!L273)</f>
        <v>0.33693678225539869</v>
      </c>
      <c r="E273" s="110">
        <f>IF($C273&lt;=Entradas!$E$153,"",Escenario1!BN274)</f>
        <v>0.31117663758901926</v>
      </c>
      <c r="F273" s="79">
        <f>IF($C273&lt;=Entradas!$E$153,"",D273-E273)</f>
        <v>2.5760144666379436E-2</v>
      </c>
      <c r="G273" s="79">
        <f>IF($C273&lt;=Entradas!$E$153,"",D273-AVERAGE(D:D))</f>
        <v>-0.44591483925617925</v>
      </c>
      <c r="H273" s="79">
        <f>IF($C273&lt;=Entradas!$E$153,"",F273^2)</f>
        <v>6.6358505323279692E-4</v>
      </c>
      <c r="I273" s="79">
        <f>IF($C273&lt;=Entradas!$E$153,"",G273^2)</f>
        <v>0.19884004386886417</v>
      </c>
      <c r="J273" s="79">
        <f>IF($C273&lt;=Entradas!$E$153,"",E273-AVERAGE(E:E))</f>
        <v>-0.51976250307416594</v>
      </c>
      <c r="K273" s="79">
        <f>IF($C273&lt;=Entradas!$E$153,"",J273^2)</f>
        <v>0.27015305960192237</v>
      </c>
      <c r="L273" s="79">
        <f>IF($C273&lt;=Entradas!$E$153,"",G273*J273)</f>
        <v>0.23176981300970609</v>
      </c>
      <c r="M273" s="40"/>
    </row>
    <row r="274" spans="2:13">
      <c r="B274" s="39"/>
      <c r="C274" s="75">
        <v>269</v>
      </c>
      <c r="D274" s="110">
        <f>IF($C274&lt;=Entradas!$E$153,"",Observaciones!L274)</f>
        <v>0.24730547159680216</v>
      </c>
      <c r="E274" s="110">
        <f>IF($C274&lt;=Entradas!$E$153,"",Escenario1!BN275)</f>
        <v>0.24835476615575364</v>
      </c>
      <c r="F274" s="79">
        <f>IF($C274&lt;=Entradas!$E$153,"",D274-E274)</f>
        <v>-1.0492945589514746E-3</v>
      </c>
      <c r="G274" s="79">
        <f>IF($C274&lt;=Entradas!$E$153,"",D274-AVERAGE(D:D))</f>
        <v>-0.53554614991477578</v>
      </c>
      <c r="H274" s="79">
        <f>IF($C274&lt;=Entradas!$E$153,"",F274^2)</f>
        <v>1.1010190714451696E-6</v>
      </c>
      <c r="I274" s="79">
        <f>IF($C274&lt;=Entradas!$E$153,"",G274^2)</f>
        <v>0.28680967868853952</v>
      </c>
      <c r="J274" s="79">
        <f>IF($C274&lt;=Entradas!$E$153,"",E274-AVERAGE(E:E))</f>
        <v>-0.5825843745074315</v>
      </c>
      <c r="K274" s="79">
        <f>IF($C274&lt;=Entradas!$E$153,"",J274^2)</f>
        <v>0.33940455342021519</v>
      </c>
      <c r="L274" s="79">
        <f>IF($C274&lt;=Entradas!$E$153,"",G274*J274)</f>
        <v>0.31200081876796276</v>
      </c>
      <c r="M274" s="40"/>
    </row>
    <row r="275" spans="2:13">
      <c r="B275" s="39"/>
      <c r="C275" s="75">
        <v>270</v>
      </c>
      <c r="D275" s="110">
        <f>IF($C275&lt;=Entradas!$E$153,"",Observaciones!L275)</f>
        <v>0.21891900463814945</v>
      </c>
      <c r="E275" s="110">
        <f>IF($C275&lt;=Entradas!$E$153,"",Escenario1!BN276)</f>
        <v>0.22295937316006181</v>
      </c>
      <c r="F275" s="79">
        <f>IF($C275&lt;=Entradas!$E$153,"",D275-E275)</f>
        <v>-4.0403685219123631E-3</v>
      </c>
      <c r="G275" s="79">
        <f>IF($C275&lt;=Entradas!$E$153,"",D275-AVERAGE(D:D))</f>
        <v>-0.56393261687342844</v>
      </c>
      <c r="H275" s="79">
        <f>IF($C275&lt;=Entradas!$E$153,"",F275^2)</f>
        <v>1.6324577792860294E-5</v>
      </c>
      <c r="I275" s="79">
        <f>IF($C275&lt;=Entradas!$E$153,"",G275^2)</f>
        <v>0.31801999637371303</v>
      </c>
      <c r="J275" s="79">
        <f>IF($C275&lt;=Entradas!$E$153,"",E275-AVERAGE(E:E))</f>
        <v>-0.60797976750312333</v>
      </c>
      <c r="K275" s="79">
        <f>IF($C275&lt;=Entradas!$E$153,"",J275^2)</f>
        <v>0.36963939769315191</v>
      </c>
      <c r="L275" s="79">
        <f>IF($C275&lt;=Entradas!$E$153,"",G275*J275)</f>
        <v>0.34285962129413494</v>
      </c>
      <c r="M275" s="40"/>
    </row>
    <row r="276" spans="2:13">
      <c r="B276" s="39"/>
      <c r="C276" s="75">
        <v>271</v>
      </c>
      <c r="D276" s="110">
        <f>IF($C276&lt;=Entradas!$E$153,"",Observaciones!L276)</f>
        <v>0.2122672486179373</v>
      </c>
      <c r="E276" s="110">
        <f>IF($C276&lt;=Entradas!$E$153,"",Escenario1!BN277)</f>
        <v>0.21695657695785567</v>
      </c>
      <c r="F276" s="79">
        <f>IF($C276&lt;=Entradas!$E$153,"",D276-E276)</f>
        <v>-4.6893283399183638E-3</v>
      </c>
      <c r="G276" s="79">
        <f>IF($C276&lt;=Entradas!$E$153,"",D276-AVERAGE(D:D))</f>
        <v>-0.57058437289364061</v>
      </c>
      <c r="H276" s="79">
        <f>IF($C276&lt;=Entradas!$E$153,"",F276^2)</f>
        <v>2.1989800279561517E-5</v>
      </c>
      <c r="I276" s="79">
        <f>IF($C276&lt;=Entradas!$E$153,"",G276^2)</f>
        <v>0.32556652659042912</v>
      </c>
      <c r="J276" s="79">
        <f>IF($C276&lt;=Entradas!$E$153,"",E276-AVERAGE(E:E))</f>
        <v>-0.61398256370532955</v>
      </c>
      <c r="K276" s="79">
        <f>IF($C276&lt;=Entradas!$E$153,"",J276^2)</f>
        <v>0.37697458853416904</v>
      </c>
      <c r="L276" s="79">
        <f>IF($C276&lt;=Entradas!$E$153,"",G276*J276)</f>
        <v>0.3503288560794352</v>
      </c>
      <c r="M276" s="40"/>
    </row>
    <row r="277" spans="2:13">
      <c r="B277" s="39"/>
      <c r="C277" s="75">
        <v>272</v>
      </c>
      <c r="D277" s="110">
        <f>IF($C277&lt;=Entradas!$E$153,"",Observaciones!L277)</f>
        <v>0.20924408417670479</v>
      </c>
      <c r="E277" s="110">
        <f>IF($C277&lt;=Entradas!$E$153,"",Escenario1!BN278)</f>
        <v>0.21463711859369858</v>
      </c>
      <c r="F277" s="79">
        <f>IF($C277&lt;=Entradas!$E$153,"",D277-E277)</f>
        <v>-5.3930344169937916E-3</v>
      </c>
      <c r="G277" s="79">
        <f>IF($C277&lt;=Entradas!$E$153,"",D277-AVERAGE(D:D))</f>
        <v>-0.57360753733487313</v>
      </c>
      <c r="H277" s="79">
        <f>IF($C277&lt;=Entradas!$E$153,"",F277^2)</f>
        <v>2.9084820222879567E-5</v>
      </c>
      <c r="I277" s="79">
        <f>IF($C277&lt;=Entradas!$E$153,"",G277^2)</f>
        <v>0.32902560688737786</v>
      </c>
      <c r="J277" s="79">
        <f>IF($C277&lt;=Entradas!$E$153,"",E277-AVERAGE(E:E))</f>
        <v>-0.61630202206948659</v>
      </c>
      <c r="K277" s="79">
        <f>IF($C277&lt;=Entradas!$E$153,"",J277^2)</f>
        <v>0.37982818240693794</v>
      </c>
      <c r="L277" s="79">
        <f>IF($C277&lt;=Entradas!$E$153,"",G277*J277)</f>
        <v>0.35351548513378084</v>
      </c>
      <c r="M277" s="40"/>
    </row>
    <row r="278" spans="2:13">
      <c r="B278" s="39"/>
      <c r="C278" s="75">
        <v>273</v>
      </c>
      <c r="D278" s="110">
        <f>IF($C278&lt;=Entradas!$E$153,"",Observaciones!L278)</f>
        <v>0.20684478734659503</v>
      </c>
      <c r="E278" s="110">
        <f>IF($C278&lt;=Entradas!$E$153,"",Escenario1!BN279)</f>
        <v>0.21254026194508968</v>
      </c>
      <c r="F278" s="79">
        <f>IF($C278&lt;=Entradas!$E$153,"",D278-E278)</f>
        <v>-5.6954745984946487E-3</v>
      </c>
      <c r="G278" s="79">
        <f>IF($C278&lt;=Entradas!$E$153,"",D278-AVERAGE(D:D))</f>
        <v>-0.57600683416498288</v>
      </c>
      <c r="H278" s="79">
        <f>IF($C278&lt;=Entradas!$E$153,"",F278^2)</f>
        <v>3.243843090209778E-5</v>
      </c>
      <c r="I278" s="79">
        <f>IF($C278&lt;=Entradas!$E$153,"",G278^2)</f>
        <v>0.33178387300476608</v>
      </c>
      <c r="J278" s="79">
        <f>IF($C278&lt;=Entradas!$E$153,"",E278-AVERAGE(E:E))</f>
        <v>-0.61839887871809551</v>
      </c>
      <c r="K278" s="79">
        <f>IF($C278&lt;=Entradas!$E$153,"",J278^2)</f>
        <v>0.38241717319979779</v>
      </c>
      <c r="L278" s="79">
        <f>IF($C278&lt;=Entradas!$E$153,"",G278*J278)</f>
        <v>0.3562019803815854</v>
      </c>
      <c r="M278" s="40"/>
    </row>
    <row r="279" spans="2:13">
      <c r="B279" s="39"/>
      <c r="C279" s="75">
        <v>274</v>
      </c>
      <c r="D279" s="110">
        <f>IF($C279&lt;=Entradas!$E$153,"",Observaciones!L279)</f>
        <v>0.20457050751815087</v>
      </c>
      <c r="E279" s="110">
        <f>IF($C279&lt;=Entradas!$E$153,"",Escenario1!BN280)</f>
        <v>0.21046296366140882</v>
      </c>
      <c r="F279" s="79">
        <f>IF($C279&lt;=Entradas!$E$153,"",D279-E279)</f>
        <v>-5.8924561432579514E-3</v>
      </c>
      <c r="G279" s="79">
        <f>IF($C279&lt;=Entradas!$E$153,"",D279-AVERAGE(D:D))</f>
        <v>-0.57828111399342708</v>
      </c>
      <c r="H279" s="79">
        <f>IF($C279&lt;=Entradas!$E$153,"",F279^2)</f>
        <v>3.4721039400218373E-5</v>
      </c>
      <c r="I279" s="79">
        <f>IF($C279&lt;=Entradas!$E$153,"",G279^2)</f>
        <v>0.33440904680147898</v>
      </c>
      <c r="J279" s="79">
        <f>IF($C279&lt;=Entradas!$E$153,"",E279-AVERAGE(E:E))</f>
        <v>-0.62047617700177637</v>
      </c>
      <c r="K279" s="79">
        <f>IF($C279&lt;=Entradas!$E$153,"",J279^2)</f>
        <v>0.38499068622673971</v>
      </c>
      <c r="L279" s="79">
        <f>IF($C279&lt;=Entradas!$E$153,"",G279*J279)</f>
        <v>0.35880965484297006</v>
      </c>
      <c r="M279" s="40"/>
    </row>
    <row r="280" spans="2:13">
      <c r="B280" s="39"/>
      <c r="C280" s="75">
        <v>275</v>
      </c>
      <c r="D280" s="110">
        <f>IF($C280&lt;=Entradas!$E$153,"",Observaciones!L280)</f>
        <v>0.20233821271095445</v>
      </c>
      <c r="E280" s="110">
        <f>IF($C280&lt;=Entradas!$E$153,"",Escenario1!BN281)</f>
        <v>0.20840506388768057</v>
      </c>
      <c r="F280" s="79">
        <f>IF($C280&lt;=Entradas!$E$153,"",D280-E280)</f>
        <v>-6.066851176726118E-3</v>
      </c>
      <c r="G280" s="79">
        <f>IF($C280&lt;=Entradas!$E$153,"",D280-AVERAGE(D:D))</f>
        <v>-0.58051340880062352</v>
      </c>
      <c r="H280" s="79">
        <f>IF($C280&lt;=Entradas!$E$153,"",F280^2)</f>
        <v>3.6806683200543081E-5</v>
      </c>
      <c r="I280" s="79">
        <f>IF($C280&lt;=Entradas!$E$153,"",G280^2)</f>
        <v>0.33699581779731985</v>
      </c>
      <c r="J280" s="79">
        <f>IF($C280&lt;=Entradas!$E$153,"",E280-AVERAGE(E:E))</f>
        <v>-0.62253407677550465</v>
      </c>
      <c r="K280" s="79">
        <f>IF($C280&lt;=Entradas!$E$153,"",J280^2)</f>
        <v>0.38754867674672994</v>
      </c>
      <c r="L280" s="79">
        <f>IF($C280&lt;=Entradas!$E$153,"",G280*J280)</f>
        <v>0.36138937900349727</v>
      </c>
      <c r="M280" s="40"/>
    </row>
    <row r="281" spans="2:13">
      <c r="B281" s="39"/>
      <c r="C281" s="75">
        <v>276</v>
      </c>
      <c r="D281" s="110">
        <f>IF($C281&lt;=Entradas!$E$153,"",Observaciones!L281)</f>
        <v>0.20013387352288081</v>
      </c>
      <c r="E281" s="110">
        <f>IF($C281&lt;=Entradas!$E$153,"",Escenario1!BN282)</f>
        <v>0.20636638721027278</v>
      </c>
      <c r="F281" s="79">
        <f>IF($C281&lt;=Entradas!$E$153,"",D281-E281)</f>
        <v>-6.2325136873919718E-3</v>
      </c>
      <c r="G281" s="79">
        <f>IF($C281&lt;=Entradas!$E$153,"",D281-AVERAGE(D:D))</f>
        <v>-0.58271774798869713</v>
      </c>
      <c r="H281" s="79">
        <f>IF($C281&lt;=Entradas!$E$153,"",F281^2)</f>
        <v>3.8844226863528271E-5</v>
      </c>
      <c r="I281" s="79">
        <f>IF($C281&lt;=Entradas!$E$153,"",G281^2)</f>
        <v>0.33955997382101877</v>
      </c>
      <c r="J281" s="79">
        <f>IF($C281&lt;=Entradas!$E$153,"",E281-AVERAGE(E:E))</f>
        <v>-0.62457275345291241</v>
      </c>
      <c r="K281" s="79">
        <f>IF($C281&lt;=Entradas!$E$153,"",J281^2)</f>
        <v>0.39009112435575249</v>
      </c>
      <c r="L281" s="79">
        <f>IF($C281&lt;=Entradas!$E$153,"",G281*J281)</f>
        <v>0.36394962834718086</v>
      </c>
      <c r="M281" s="40"/>
    </row>
    <row r="282" spans="2:13">
      <c r="B282" s="39"/>
      <c r="C282" s="75">
        <v>277</v>
      </c>
      <c r="D282" s="110">
        <f>IF($C282&lt;=Entradas!$E$153,"",Observaciones!L282)</f>
        <v>0.19795491370668511</v>
      </c>
      <c r="E282" s="110">
        <f>IF($C282&lt;=Entradas!$E$153,"",Escenario1!BN283)</f>
        <v>0.20434677149057079</v>
      </c>
      <c r="F282" s="79">
        <f>IF($C282&lt;=Entradas!$E$153,"",D282-E282)</f>
        <v>-6.3918577838856794E-3</v>
      </c>
      <c r="G282" s="79">
        <f>IF($C282&lt;=Entradas!$E$153,"",D282-AVERAGE(D:D))</f>
        <v>-0.58489670780489278</v>
      </c>
      <c r="H282" s="79">
        <f>IF($C282&lt;=Entradas!$E$153,"",F282^2)</f>
        <v>4.0855845929419952E-5</v>
      </c>
      <c r="I282" s="79">
        <f>IF($C282&lt;=Entradas!$E$153,"",G282^2)</f>
        <v>0.34210415880100215</v>
      </c>
      <c r="J282" s="79">
        <f>IF($C282&lt;=Entradas!$E$153,"",E282-AVERAGE(E:E))</f>
        <v>-0.62659236917261441</v>
      </c>
      <c r="K282" s="79">
        <f>IF($C282&lt;=Entradas!$E$153,"",J282^2)</f>
        <v>0.39261799710534989</v>
      </c>
      <c r="L282" s="79">
        <f>IF($C282&lt;=Entradas!$E$153,"",G282*J282)</f>
        <v>0.36649181386473018</v>
      </c>
      <c r="M282" s="40"/>
    </row>
    <row r="283" spans="2:13">
      <c r="B283" s="39"/>
      <c r="C283" s="75">
        <v>278</v>
      </c>
      <c r="D283" s="110">
        <f>IF($C283&lt;=Entradas!$E$153,"",Observaciones!L283)</f>
        <v>0.1958006605893694</v>
      </c>
      <c r="E283" s="110">
        <f>IF($C283&lt;=Entradas!$E$153,"",Escenario1!BN284)</f>
        <v>0.20234608538530668</v>
      </c>
      <c r="F283" s="79">
        <f>IF($C283&lt;=Entradas!$E$153,"",D283-E283)</f>
        <v>-6.5454247959372824E-3</v>
      </c>
      <c r="G283" s="79">
        <f>IF($C283&lt;=Entradas!$E$153,"",D283-AVERAGE(D:D))</f>
        <v>-0.58705096092220854</v>
      </c>
      <c r="H283" s="79">
        <f>IF($C283&lt;=Entradas!$E$153,"",F283^2)</f>
        <v>4.2842585759270618E-5</v>
      </c>
      <c r="I283" s="79">
        <f>IF($C283&lt;=Entradas!$E$153,"",G283^2)</f>
        <v>0.34462883071968842</v>
      </c>
      <c r="J283" s="79">
        <f>IF($C283&lt;=Entradas!$E$153,"",E283-AVERAGE(E:E))</f>
        <v>-0.62859305527787845</v>
      </c>
      <c r="K283" s="79">
        <f>IF($C283&lt;=Entradas!$E$153,"",J283^2)</f>
        <v>0.39512922914357795</v>
      </c>
      <c r="L283" s="79">
        <f>IF($C283&lt;=Entradas!$E$153,"",G283*J283)</f>
        <v>0.36901615712990549</v>
      </c>
      <c r="M283" s="40"/>
    </row>
    <row r="284" spans="2:13">
      <c r="B284" s="39"/>
      <c r="C284" s="75">
        <v>279</v>
      </c>
      <c r="D284" s="110">
        <f>IF($C284&lt;=Entradas!$E$153,"",Observaciones!L284)</f>
        <v>0.19367076040979925</v>
      </c>
      <c r="E284" s="110">
        <f>IF($C284&lt;=Entradas!$E$153,"",Escenario1!BN285)</f>
        <v>0.20036413021699614</v>
      </c>
      <c r="F284" s="79">
        <f>IF($C284&lt;=Entradas!$E$153,"",D284-E284)</f>
        <v>-6.6933698071968972E-3</v>
      </c>
      <c r="G284" s="79">
        <f>IF($C284&lt;=Entradas!$E$153,"",D284-AVERAGE(D:D))</f>
        <v>-0.5891808611017787</v>
      </c>
      <c r="H284" s="79">
        <f>IF($C284&lt;=Entradas!$E$153,"",F284^2)</f>
        <v>4.4801199375895032E-5</v>
      </c>
      <c r="I284" s="79">
        <f>IF($C284&lt;=Entradas!$E$153,"",G284^2)</f>
        <v>0.34713408708863341</v>
      </c>
      <c r="J284" s="79">
        <f>IF($C284&lt;=Entradas!$E$153,"",E284-AVERAGE(E:E))</f>
        <v>-0.63057501044618902</v>
      </c>
      <c r="K284" s="79">
        <f>IF($C284&lt;=Entradas!$E$153,"",J284^2)</f>
        <v>0.39762484379921137</v>
      </c>
      <c r="L284" s="79">
        <f>IF($C284&lt;=Entradas!$E$153,"",G284*J284)</f>
        <v>0.37152272764394872</v>
      </c>
      <c r="M284" s="40"/>
    </row>
    <row r="285" spans="2:13">
      <c r="B285" s="39"/>
      <c r="C285" s="75">
        <v>280</v>
      </c>
      <c r="D285" s="110">
        <f>IF($C285&lt;=Entradas!$E$153,"",Observaciones!L285)</f>
        <v>0.19156491532615705</v>
      </c>
      <c r="E285" s="110">
        <f>IF($C285&lt;=Entradas!$E$153,"",Escenario1!BN286)</f>
        <v>0.19840075161854684</v>
      </c>
      <c r="F285" s="79">
        <f>IF($C285&lt;=Entradas!$E$153,"",D285-E285)</f>
        <v>-6.8358362923897908E-3</v>
      </c>
      <c r="G285" s="79">
        <f>IF($C285&lt;=Entradas!$E$153,"",D285-AVERAGE(D:D))</f>
        <v>-0.5912867061854209</v>
      </c>
      <c r="H285" s="79">
        <f>IF($C285&lt;=Entradas!$E$153,"",F285^2)</f>
        <v>4.6728657816353401E-5</v>
      </c>
      <c r="I285" s="79">
        <f>IF($C285&lt;=Entradas!$E$153,"",G285^2)</f>
        <v>0.34961996891160424</v>
      </c>
      <c r="J285" s="79">
        <f>IF($C285&lt;=Entradas!$E$153,"",E285-AVERAGE(E:E))</f>
        <v>-0.63253838904463833</v>
      </c>
      <c r="K285" s="79">
        <f>IF($C285&lt;=Entradas!$E$153,"",J285^2)</f>
        <v>0.40010481361518624</v>
      </c>
      <c r="L285" s="79">
        <f>IF($C285&lt;=Entradas!$E$153,"",G285*J285)</f>
        <v>0.37401154059403652</v>
      </c>
      <c r="M285" s="40"/>
    </row>
    <row r="286" spans="2:13">
      <c r="B286" s="39"/>
      <c r="C286" s="75">
        <v>281</v>
      </c>
      <c r="D286" s="110">
        <f>IF($C286&lt;=Entradas!$E$153,"",Observaciones!L286)</f>
        <v>0.18948283973697028</v>
      </c>
      <c r="E286" s="110">
        <f>IF($C286&lt;=Entradas!$E$153,"",Escenario1!BN287)</f>
        <v>0.19645579480587422</v>
      </c>
      <c r="F286" s="79">
        <f>IF($C286&lt;=Entradas!$E$153,"",D286-E286)</f>
        <v>-6.972955068903941E-3</v>
      </c>
      <c r="G286" s="79">
        <f>IF($C286&lt;=Entradas!$E$153,"",D286-AVERAGE(D:D))</f>
        <v>-0.59336878177460761</v>
      </c>
      <c r="H286" s="79">
        <f>IF($C286&lt;=Entradas!$E$153,"",F286^2)</f>
        <v>4.8622102392953162E-5</v>
      </c>
      <c r="I286" s="79">
        <f>IF($C286&lt;=Entradas!$E$153,"",G286^2)</f>
        <v>0.35208651118468193</v>
      </c>
      <c r="J286" s="79">
        <f>IF($C286&lt;=Entradas!$E$153,"",E286-AVERAGE(E:E))</f>
        <v>-0.63448334585731092</v>
      </c>
      <c r="K286" s="79">
        <f>IF($C286&lt;=Entradas!$E$153,"",J286^2)</f>
        <v>0.40256911617028801</v>
      </c>
      <c r="L286" s="79">
        <f>IF($C286&lt;=Entradas!$E$153,"",G286*J286)</f>
        <v>0.37648260998762961</v>
      </c>
      <c r="M286" s="40"/>
    </row>
    <row r="287" spans="2:13">
      <c r="B287" s="39"/>
      <c r="C287" s="75">
        <v>282</v>
      </c>
      <c r="D287" s="110">
        <f>IF($C287&lt;=Entradas!$E$153,"",Observaciones!L287)</f>
        <v>0.18742425299475879</v>
      </c>
      <c r="E287" s="110">
        <f>IF($C287&lt;=Entradas!$E$153,"",Escenario1!BN288)</f>
        <v>0.19452911730325423</v>
      </c>
      <c r="F287" s="79">
        <f>IF($C287&lt;=Entradas!$E$153,"",D287-E287)</f>
        <v>-7.1048643084954399E-3</v>
      </c>
      <c r="G287" s="79">
        <f>IF($C287&lt;=Entradas!$E$153,"",D287-AVERAGE(D:D))</f>
        <v>-0.59542736851681921</v>
      </c>
      <c r="H287" s="79">
        <f>IF($C287&lt;=Entradas!$E$153,"",F287^2)</f>
        <v>5.0479096842132386E-5</v>
      </c>
      <c r="I287" s="79">
        <f>IF($C287&lt;=Entradas!$E$153,"",G287^2)</f>
        <v>0.35453375117886404</v>
      </c>
      <c r="J287" s="79">
        <f>IF($C287&lt;=Entradas!$E$153,"",E287-AVERAGE(E:E))</f>
        <v>-0.63641002335993102</v>
      </c>
      <c r="K287" s="79">
        <f>IF($C287&lt;=Entradas!$E$153,"",J287^2)</f>
        <v>0.40501771783298796</v>
      </c>
      <c r="L287" s="79">
        <f>IF($C287&lt;=Entradas!$E$153,"",G287*J287)</f>
        <v>0.37893594550693116</v>
      </c>
      <c r="M287" s="40"/>
    </row>
    <row r="288" spans="2:13">
      <c r="B288" s="39"/>
      <c r="C288" s="75">
        <v>283</v>
      </c>
      <c r="D288" s="110">
        <f>IF($C288&lt;=Entradas!$E$153,"",Observaciones!L288)</f>
        <v>0.21911678276306842</v>
      </c>
      <c r="E288" s="110">
        <f>IF($C288&lt;=Entradas!$E$153,"",Escenario1!BN289)</f>
        <v>0.22164440319697856</v>
      </c>
      <c r="F288" s="79">
        <f>IF($C288&lt;=Entradas!$E$153,"",D288-E288)</f>
        <v>-2.5276204339101382E-3</v>
      </c>
      <c r="G288" s="79">
        <f>IF($C288&lt;=Entradas!$E$153,"",D288-AVERAGE(D:D))</f>
        <v>-0.56373483874850949</v>
      </c>
      <c r="H288" s="79">
        <f>IF($C288&lt;=Entradas!$E$153,"",F288^2)</f>
        <v>6.3888650579200757E-6</v>
      </c>
      <c r="I288" s="79">
        <f>IF($C288&lt;=Entradas!$E$153,"",G288^2)</f>
        <v>0.317796968418808</v>
      </c>
      <c r="J288" s="79">
        <f>IF($C288&lt;=Entradas!$E$153,"",E288-AVERAGE(E:E))</f>
        <v>-0.60929473746620666</v>
      </c>
      <c r="K288" s="79">
        <f>IF($C288&lt;=Entradas!$E$153,"",J288^2)</f>
        <v>0.37124007710401369</v>
      </c>
      <c r="L288" s="79">
        <f>IF($C288&lt;=Entradas!$E$153,"",G288*J288)</f>
        <v>0.34348067057582743</v>
      </c>
      <c r="M288" s="40"/>
    </row>
    <row r="289" spans="2:13">
      <c r="B289" s="39"/>
      <c r="C289" s="75">
        <v>284</v>
      </c>
      <c r="D289" s="110">
        <f>IF($C289&lt;=Entradas!$E$153,"",Observaciones!L289)</f>
        <v>0.19101694668892791</v>
      </c>
      <c r="E289" s="110">
        <f>IF($C289&lt;=Entradas!$E$153,"",Escenario1!BN290)</f>
        <v>0.19685440848800534</v>
      </c>
      <c r="F289" s="79">
        <f>IF($C289&lt;=Entradas!$E$153,"",D289-E289)</f>
        <v>-5.8374617990774313E-3</v>
      </c>
      <c r="G289" s="79">
        <f>IF($C289&lt;=Entradas!$E$153,"",D289-AVERAGE(D:D))</f>
        <v>-0.59183467482265006</v>
      </c>
      <c r="H289" s="79">
        <f>IF($C289&lt;=Entradas!$E$153,"",F289^2)</f>
        <v>3.4075960255688321E-5</v>
      </c>
      <c r="I289" s="79">
        <f>IF($C289&lt;=Entradas!$E$153,"",G289^2)</f>
        <v>0.35026828232243196</v>
      </c>
      <c r="J289" s="79">
        <f>IF($C289&lt;=Entradas!$E$153,"",E289-AVERAGE(E:E))</f>
        <v>-0.63408473217517991</v>
      </c>
      <c r="K289" s="79">
        <f>IF($C289&lt;=Entradas!$E$153,"",J289^2)</f>
        <v>0.40206344757766965</v>
      </c>
      <c r="L289" s="79">
        <f>IF($C289&lt;=Entradas!$E$153,"",G289*J289)</f>
        <v>0.37527333127690476</v>
      </c>
      <c r="M289" s="40"/>
    </row>
    <row r="290" spans="2:13">
      <c r="B290" s="39"/>
      <c r="C290" s="75">
        <v>285</v>
      </c>
      <c r="D290" s="110">
        <f>IF($C290&lt;=Entradas!$E$153,"",Observaciones!L290)</f>
        <v>0.44999818528641633</v>
      </c>
      <c r="E290" s="110">
        <f>IF($C290&lt;=Entradas!$E$153,"",Escenario1!BN291)</f>
        <v>0.32146126453889246</v>
      </c>
      <c r="F290" s="79">
        <f>IF($C290&lt;=Entradas!$E$153,"",D290-E290)</f>
        <v>0.12853692074752388</v>
      </c>
      <c r="G290" s="79">
        <f>IF($C290&lt;=Entradas!$E$153,"",D290-AVERAGE(D:D))</f>
        <v>-0.33285343622516161</v>
      </c>
      <c r="H290" s="79">
        <f>IF($C290&lt;=Entradas!$E$153,"",F290^2)</f>
        <v>1.6521739995255233E-2</v>
      </c>
      <c r="I290" s="79">
        <f>IF($C290&lt;=Entradas!$E$153,"",G290^2)</f>
        <v>0.11079141000689773</v>
      </c>
      <c r="J290" s="79">
        <f>IF($C290&lt;=Entradas!$E$153,"",E290-AVERAGE(E:E))</f>
        <v>-0.50947787612429274</v>
      </c>
      <c r="K290" s="79">
        <f>IF($C290&lt;=Entradas!$E$153,"",J290^2)</f>
        <v>0.25956770626012016</v>
      </c>
      <c r="L290" s="79">
        <f>IF($C290&lt;=Entradas!$E$153,"",G290*J290)</f>
        <v>0.16958146174866806</v>
      </c>
      <c r="M290" s="40"/>
    </row>
    <row r="291" spans="2:13">
      <c r="B291" s="39"/>
      <c r="C291" s="75">
        <v>286</v>
      </c>
      <c r="D291" s="110">
        <f>IF($C291&lt;=Entradas!$E$153,"",Observaciones!L291)</f>
        <v>0.36677753778558164</v>
      </c>
      <c r="E291" s="110">
        <f>IF($C291&lt;=Entradas!$E$153,"",Escenario1!BN292)</f>
        <v>0.35479108691889538</v>
      </c>
      <c r="F291" s="79">
        <f>IF($C291&lt;=Entradas!$E$153,"",D291-E291)</f>
        <v>1.198645086668626E-2</v>
      </c>
      <c r="G291" s="79">
        <f>IF($C291&lt;=Entradas!$E$153,"",D291-AVERAGE(D:D))</f>
        <v>-0.4160740837259963</v>
      </c>
      <c r="H291" s="79">
        <f>IF($C291&lt;=Entradas!$E$153,"",F291^2)</f>
        <v>1.4367500437948379E-4</v>
      </c>
      <c r="I291" s="79">
        <f>IF($C291&lt;=Entradas!$E$153,"",G291^2)</f>
        <v>0.17311764314842737</v>
      </c>
      <c r="J291" s="79">
        <f>IF($C291&lt;=Entradas!$E$153,"",E291-AVERAGE(E:E))</f>
        <v>-0.47614805374428981</v>
      </c>
      <c r="K291" s="79">
        <f>IF($C291&lt;=Entradas!$E$153,"",J291^2)</f>
        <v>0.22671696908447511</v>
      </c>
      <c r="L291" s="79">
        <f>IF($C291&lt;=Entradas!$E$153,"",G291*J291)</f>
        <v>0.19811286517957183</v>
      </c>
      <c r="M291" s="40"/>
    </row>
    <row r="292" spans="2:13">
      <c r="B292" s="39"/>
      <c r="C292" s="75">
        <v>287</v>
      </c>
      <c r="D292" s="110">
        <f>IF($C292&lt;=Entradas!$E$153,"",Observaciones!L292)</f>
        <v>1.9397050269185223</v>
      </c>
      <c r="E292" s="110">
        <f>IF($C292&lt;=Entradas!$E$153,"",Escenario1!BN293)</f>
        <v>0.85540582536066523</v>
      </c>
      <c r="F292" s="79">
        <f>IF($C292&lt;=Entradas!$E$153,"",D292-E292)</f>
        <v>1.0842992015578572</v>
      </c>
      <c r="G292" s="79">
        <f>IF($C292&lt;=Entradas!$E$153,"",D292-AVERAGE(D:D))</f>
        <v>1.1568534054069444</v>
      </c>
      <c r="H292" s="79">
        <f>IF($C292&lt;=Entradas!$E$153,"",F292^2)</f>
        <v>1.1757047584990066</v>
      </c>
      <c r="I292" s="79">
        <f>IF($C292&lt;=Entradas!$E$153,"",G292^2)</f>
        <v>1.3383098016016439</v>
      </c>
      <c r="J292" s="79">
        <f>IF($C292&lt;=Entradas!$E$153,"",E292-AVERAGE(E:E))</f>
        <v>2.4466684697480034E-2</v>
      </c>
      <c r="K292" s="79">
        <f>IF($C292&lt;=Entradas!$E$153,"",J292^2)</f>
        <v>5.9861866008590367E-4</v>
      </c>
      <c r="L292" s="79">
        <f>IF($C292&lt;=Entradas!$E$153,"",G292*J292)</f>
        <v>2.8304367511297751E-2</v>
      </c>
      <c r="M292" s="40"/>
    </row>
    <row r="293" spans="2:13">
      <c r="B293" s="39"/>
      <c r="C293" s="75">
        <v>288</v>
      </c>
      <c r="D293" s="110">
        <f>IF($C293&lt;=Entradas!$E$153,"",Observaciones!L293)</f>
        <v>0.74285838297751672</v>
      </c>
      <c r="E293" s="110">
        <f>IF($C293&lt;=Entradas!$E$153,"",Escenario1!BN294)</f>
        <v>0.89505290644560642</v>
      </c>
      <c r="F293" s="79">
        <f>IF($C293&lt;=Entradas!$E$153,"",D293-E293)</f>
        <v>-0.1521945234680897</v>
      </c>
      <c r="G293" s="79">
        <f>IF($C293&lt;=Entradas!$E$153,"",D293-AVERAGE(D:D))</f>
        <v>-3.9993238534061226E-2</v>
      </c>
      <c r="H293" s="79">
        <f>IF($C293&lt;=Entradas!$E$153,"",F293^2)</f>
        <v>2.3163172973678908E-2</v>
      </c>
      <c r="I293" s="79">
        <f>IF($C293&lt;=Entradas!$E$153,"",G293^2)</f>
        <v>1.5994591284423198E-3</v>
      </c>
      <c r="J293" s="79">
        <f>IF($C293&lt;=Entradas!$E$153,"",E293-AVERAGE(E:E))</f>
        <v>6.4113765782421228E-2</v>
      </c>
      <c r="K293" s="79">
        <f>IF($C293&lt;=Entradas!$E$153,"",J293^2)</f>
        <v>4.1105749628031667E-3</v>
      </c>
      <c r="L293" s="79">
        <f>IF($C293&lt;=Entradas!$E$153,"",G293*J293)</f>
        <v>-2.5641171282533045E-3</v>
      </c>
      <c r="M293" s="40"/>
    </row>
    <row r="294" spans="2:13">
      <c r="B294" s="39"/>
      <c r="C294" s="75">
        <v>289</v>
      </c>
      <c r="D294" s="110">
        <f>IF($C294&lt;=Entradas!$E$153,"",Observaciones!L294)</f>
        <v>0.75537260103781378</v>
      </c>
      <c r="E294" s="110">
        <f>IF($C294&lt;=Entradas!$E$153,"",Escenario1!BN295)</f>
        <v>1.1843722754668204</v>
      </c>
      <c r="F294" s="79">
        <f>IF($C294&lt;=Entradas!$E$153,"",D294-E294)</f>
        <v>-0.42899967442900666</v>
      </c>
      <c r="G294" s="79">
        <f>IF($C294&lt;=Entradas!$E$153,"",D294-AVERAGE(D:D))</f>
        <v>-2.747902047376416E-2</v>
      </c>
      <c r="H294" s="79">
        <f>IF($C294&lt;=Entradas!$E$153,"",F294^2)</f>
        <v>0.18404072066019372</v>
      </c>
      <c r="I294" s="79">
        <f>IF($C294&lt;=Entradas!$E$153,"",G294^2)</f>
        <v>7.5509656619754991E-4</v>
      </c>
      <c r="J294" s="79">
        <f>IF($C294&lt;=Entradas!$E$153,"",E294-AVERAGE(E:E))</f>
        <v>0.35343313480363525</v>
      </c>
      <c r="K294" s="79">
        <f>IF($C294&lt;=Entradas!$E$153,"",J294^2)</f>
        <v>0.12491498077712461</v>
      </c>
      <c r="L294" s="79">
        <f>IF($C294&lt;=Entradas!$E$153,"",G294*J294)</f>
        <v>-9.7119963473757415E-3</v>
      </c>
      <c r="M294" s="40"/>
    </row>
    <row r="295" spans="2:13">
      <c r="B295" s="39"/>
      <c r="C295" s="75">
        <v>290</v>
      </c>
      <c r="D295" s="110">
        <f>IF($C295&lt;=Entradas!$E$153,"",Observaciones!L295)</f>
        <v>0.7574578776616846</v>
      </c>
      <c r="E295" s="110">
        <f>IF($C295&lt;=Entradas!$E$153,"",Escenario1!BN296)</f>
        <v>1.0857387156510712</v>
      </c>
      <c r="F295" s="79">
        <f>IF($C295&lt;=Entradas!$E$153,"",D295-E295)</f>
        <v>-0.32828083798938656</v>
      </c>
      <c r="G295" s="79">
        <f>IF($C295&lt;=Entradas!$E$153,"",D295-AVERAGE(D:D))</f>
        <v>-2.5393743849893347E-2</v>
      </c>
      <c r="H295" s="79">
        <f>IF($C295&lt;=Entradas!$E$153,"",F295^2)</f>
        <v>0.10776830859101387</v>
      </c>
      <c r="I295" s="79">
        <f>IF($C295&lt;=Entradas!$E$153,"",G295^2)</f>
        <v>6.4484222671399617E-4</v>
      </c>
      <c r="J295" s="79">
        <f>IF($C295&lt;=Entradas!$E$153,"",E295-AVERAGE(E:E))</f>
        <v>0.25479957498788597</v>
      </c>
      <c r="K295" s="79">
        <f>IF($C295&lt;=Entradas!$E$153,"",J295^2)</f>
        <v>6.4922823414007319E-2</v>
      </c>
      <c r="L295" s="79">
        <f>IF($C295&lt;=Entradas!$E$153,"",G295*J295)</f>
        <v>-6.4703151403040678E-3</v>
      </c>
      <c r="M295" s="40"/>
    </row>
    <row r="296" spans="2:13">
      <c r="B296" s="39"/>
      <c r="C296" s="75">
        <v>291</v>
      </c>
      <c r="D296" s="110">
        <f>IF($C296&lt;=Entradas!$E$153,"",Observaciones!L296)</f>
        <v>0.75864102326628435</v>
      </c>
      <c r="E296" s="110">
        <f>IF($C296&lt;=Entradas!$E$153,"",Escenario1!BN297)</f>
        <v>0.99176098251356393</v>
      </c>
      <c r="F296" s="79">
        <f>IF($C296&lt;=Entradas!$E$153,"",D296-E296)</f>
        <v>-0.23311995924727957</v>
      </c>
      <c r="G296" s="79">
        <f>IF($C296&lt;=Entradas!$E$153,"",D296-AVERAGE(D:D))</f>
        <v>-2.4210598245293591E-2</v>
      </c>
      <c r="H296" s="79">
        <f>IF($C296&lt;=Entradas!$E$153,"",F296^2)</f>
        <v>5.434491539945329E-2</v>
      </c>
      <c r="I296" s="79">
        <f>IF($C296&lt;=Entradas!$E$153,"",G296^2)</f>
        <v>5.8615306739501314E-4</v>
      </c>
      <c r="J296" s="79">
        <f>IF($C296&lt;=Entradas!$E$153,"",E296-AVERAGE(E:E))</f>
        <v>0.16082184185037873</v>
      </c>
      <c r="K296" s="79">
        <f>IF($C296&lt;=Entradas!$E$153,"",J296^2)</f>
        <v>2.5863664816148227E-2</v>
      </c>
      <c r="L296" s="79">
        <f>IF($C296&lt;=Entradas!$E$153,"",G296*J296)</f>
        <v>-3.8935930021076629E-3</v>
      </c>
      <c r="M296" s="40"/>
    </row>
    <row r="297" spans="2:13">
      <c r="B297" s="39"/>
      <c r="C297" s="75">
        <v>292</v>
      </c>
      <c r="D297" s="110">
        <f>IF($C297&lt;=Entradas!$E$153,"",Observaciones!L297)</f>
        <v>0.76419143427946223</v>
      </c>
      <c r="E297" s="110">
        <f>IF($C297&lt;=Entradas!$E$153,"",Escenario1!BN298)</f>
        <v>1.1525339717273584</v>
      </c>
      <c r="F297" s="79">
        <f>IF($C297&lt;=Entradas!$E$153,"",D297-E297)</f>
        <v>-0.38834253744789615</v>
      </c>
      <c r="G297" s="79">
        <f>IF($C297&lt;=Entradas!$E$153,"",D297-AVERAGE(D:D))</f>
        <v>-1.866018723211571E-2</v>
      </c>
      <c r="H297" s="79">
        <f>IF($C297&lt;=Entradas!$E$153,"",F297^2)</f>
        <v>0.15080992639147062</v>
      </c>
      <c r="I297" s="79">
        <f>IF($C297&lt;=Entradas!$E$153,"",G297^2)</f>
        <v>3.4820258753761419E-4</v>
      </c>
      <c r="J297" s="79">
        <f>IF($C297&lt;=Entradas!$E$153,"",E297-AVERAGE(E:E))</f>
        <v>0.32159483106417319</v>
      </c>
      <c r="K297" s="79">
        <f>IF($C297&lt;=Entradas!$E$153,"",J297^2)</f>
        <v>0.1034232353671941</v>
      </c>
      <c r="L297" s="79">
        <f>IF($C297&lt;=Entradas!$E$153,"",G297*J297)</f>
        <v>-6.0010197605380932E-3</v>
      </c>
      <c r="M297" s="40"/>
    </row>
    <row r="298" spans="2:13">
      <c r="B298" s="39"/>
      <c r="C298" s="75">
        <v>293</v>
      </c>
      <c r="D298" s="110">
        <f>IF($C298&lt;=Entradas!$E$153,"",Observaciones!L298)</f>
        <v>0.76682219302289245</v>
      </c>
      <c r="E298" s="110">
        <f>IF($C298&lt;=Entradas!$E$153,"",Escenario1!BN299)</f>
        <v>1.1591239322951983</v>
      </c>
      <c r="F298" s="79">
        <f>IF($C298&lt;=Entradas!$E$153,"",D298-E298)</f>
        <v>-0.39230173927230583</v>
      </c>
      <c r="G298" s="79">
        <f>IF($C298&lt;=Entradas!$E$153,"",D298-AVERAGE(D:D))</f>
        <v>-1.6029428488685493E-2</v>
      </c>
      <c r="H298" s="79">
        <f>IF($C298&lt;=Entradas!$E$153,"",F298^2)</f>
        <v>0.15390065463607622</v>
      </c>
      <c r="I298" s="79">
        <f>IF($C298&lt;=Entradas!$E$153,"",G298^2)</f>
        <v>2.5694257767388211E-4</v>
      </c>
      <c r="J298" s="79">
        <f>IF($C298&lt;=Entradas!$E$153,"",E298-AVERAGE(E:E))</f>
        <v>0.32818479163201308</v>
      </c>
      <c r="K298" s="79">
        <f>IF($C298&lt;=Entradas!$E$153,"",J298^2)</f>
        <v>0.10770525745854785</v>
      </c>
      <c r="L298" s="79">
        <f>IF($C298&lt;=Entradas!$E$153,"",G298*J298)</f>
        <v>-5.2606146485395027E-3</v>
      </c>
      <c r="M298" s="40"/>
    </row>
    <row r="299" spans="2:13">
      <c r="B299" s="39"/>
      <c r="C299" s="75">
        <v>294</v>
      </c>
      <c r="D299" s="110">
        <f>IF($C299&lt;=Entradas!$E$153,"",Observaciones!L299)</f>
        <v>0.76851303474289678</v>
      </c>
      <c r="E299" s="110">
        <f>IF($C299&lt;=Entradas!$E$153,"",Escenario1!BN300)</f>
        <v>1.0618470971975813</v>
      </c>
      <c r="F299" s="79">
        <f>IF($C299&lt;=Entradas!$E$153,"",D299-E299)</f>
        <v>-0.29333406245468452</v>
      </c>
      <c r="G299" s="79">
        <f>IF($C299&lt;=Entradas!$E$153,"",D299-AVERAGE(D:D))</f>
        <v>-1.4338586768681161E-2</v>
      </c>
      <c r="H299" s="79">
        <f>IF($C299&lt;=Entradas!$E$153,"",F299^2)</f>
        <v>8.6044872196168756E-2</v>
      </c>
      <c r="I299" s="79">
        <f>IF($C299&lt;=Entradas!$E$153,"",G299^2)</f>
        <v>2.0559507052299845E-4</v>
      </c>
      <c r="J299" s="79">
        <f>IF($C299&lt;=Entradas!$E$153,"",E299-AVERAGE(E:E))</f>
        <v>0.23090795653439611</v>
      </c>
      <c r="K299" s="79">
        <f>IF($C299&lt;=Entradas!$E$153,"",J299^2)</f>
        <v>5.3318484390890562E-2</v>
      </c>
      <c r="L299" s="79">
        <f>IF($C299&lt;=Entradas!$E$153,"",G299*J299)</f>
        <v>-3.3108937703472965E-3</v>
      </c>
      <c r="M299" s="40"/>
    </row>
    <row r="300" spans="2:13">
      <c r="B300" s="39"/>
      <c r="C300" s="75">
        <v>295</v>
      </c>
      <c r="D300" s="110">
        <f>IF($C300&lt;=Entradas!$E$153,"",Observaciones!L300)</f>
        <v>0.7700187569389555</v>
      </c>
      <c r="E300" s="110">
        <f>IF($C300&lt;=Entradas!$E$153,"",Escenario1!BN301)</f>
        <v>1.0419989187540615</v>
      </c>
      <c r="F300" s="79">
        <f>IF($C300&lt;=Entradas!$E$153,"",D300-E300)</f>
        <v>-0.27198016181510598</v>
      </c>
      <c r="G300" s="79">
        <f>IF($C300&lt;=Entradas!$E$153,"",D300-AVERAGE(D:D))</f>
        <v>-1.2832864572622449E-2</v>
      </c>
      <c r="H300" s="79">
        <f>IF($C300&lt;=Entradas!$E$153,"",F300^2)</f>
        <v>7.3973208420971229E-2</v>
      </c>
      <c r="I300" s="79">
        <f>IF($C300&lt;=Entradas!$E$153,"",G300^2)</f>
        <v>1.6468241313926835E-4</v>
      </c>
      <c r="J300" s="79">
        <f>IF($C300&lt;=Entradas!$E$153,"",E300-AVERAGE(E:E))</f>
        <v>0.21105977809087628</v>
      </c>
      <c r="K300" s="79">
        <f>IF($C300&lt;=Entradas!$E$153,"",J300^2)</f>
        <v>4.4546229927769937E-2</v>
      </c>
      <c r="L300" s="79">
        <f>IF($C300&lt;=Entradas!$E$153,"",G300*J300)</f>
        <v>-2.7085015489679621E-3</v>
      </c>
      <c r="M300" s="40"/>
    </row>
    <row r="301" spans="2:13">
      <c r="B301" s="39"/>
      <c r="C301" s="75">
        <v>296</v>
      </c>
      <c r="D301" s="110">
        <f>IF($C301&lt;=Entradas!$E$153,"",Observaciones!L301)</f>
        <v>0.77153998712831995</v>
      </c>
      <c r="E301" s="110">
        <f>IF($C301&lt;=Entradas!$E$153,"",Escenario1!BN302)</f>
        <v>1.0428538442759392</v>
      </c>
      <c r="F301" s="79">
        <f>IF($C301&lt;=Entradas!$E$153,"",D301-E301)</f>
        <v>-0.27131385714761924</v>
      </c>
      <c r="G301" s="79">
        <f>IF($C301&lt;=Entradas!$E$153,"",D301-AVERAGE(D:D))</f>
        <v>-1.1311634383257996E-2</v>
      </c>
      <c r="H301" s="79">
        <f>IF($C301&lt;=Entradas!$E$153,"",F301^2)</f>
        <v>7.3611209080318735E-2</v>
      </c>
      <c r="I301" s="79">
        <f>IF($C301&lt;=Entradas!$E$153,"",G301^2)</f>
        <v>1.279530724205045E-4</v>
      </c>
      <c r="J301" s="79">
        <f>IF($C301&lt;=Entradas!$E$153,"",E301-AVERAGE(E:E))</f>
        <v>0.211914703612754</v>
      </c>
      <c r="K301" s="79">
        <f>IF($C301&lt;=Entradas!$E$153,"",J301^2)</f>
        <v>4.4907841607281375E-2</v>
      </c>
      <c r="L301" s="79">
        <f>IF($C301&lt;=Entradas!$E$153,"",G301*J301)</f>
        <v>-2.3971016477039556E-3</v>
      </c>
      <c r="M301" s="40"/>
    </row>
    <row r="302" spans="2:13">
      <c r="B302" s="39"/>
      <c r="C302" s="75">
        <v>297</v>
      </c>
      <c r="D302" s="110">
        <f>IF($C302&lt;=Entradas!$E$153,"",Observaciones!L302)</f>
        <v>0.77271498079366774</v>
      </c>
      <c r="E302" s="110">
        <f>IF($C302&lt;=Entradas!$E$153,"",Escenario1!BN303)</f>
        <v>1.0056844327061856</v>
      </c>
      <c r="F302" s="79">
        <f>IF($C302&lt;=Entradas!$E$153,"",D302-E302)</f>
        <v>-0.23296945191251783</v>
      </c>
      <c r="G302" s="79">
        <f>IF($C302&lt;=Entradas!$E$153,"",D302-AVERAGE(D:D))</f>
        <v>-1.0136640717910206E-2</v>
      </c>
      <c r="H302" s="79">
        <f>IF($C302&lt;=Entradas!$E$153,"",F302^2)</f>
        <v>5.4274765524418962E-2</v>
      </c>
      <c r="I302" s="79">
        <f>IF($C302&lt;=Entradas!$E$153,"",G302^2)</f>
        <v>1.0275148504399513E-4</v>
      </c>
      <c r="J302" s="79">
        <f>IF($C302&lt;=Entradas!$E$153,"",E302-AVERAGE(E:E))</f>
        <v>0.17474529204300038</v>
      </c>
      <c r="K302" s="79">
        <f>IF($C302&lt;=Entradas!$E$153,"",J302^2)</f>
        <v>3.0535917091193489E-2</v>
      </c>
      <c r="L302" s="79">
        <f>IF($C302&lt;=Entradas!$E$153,"",G302*J302)</f>
        <v>-1.7713302425861879E-3</v>
      </c>
      <c r="M302" s="40"/>
    </row>
    <row r="303" spans="2:13">
      <c r="B303" s="39"/>
      <c r="C303" s="75">
        <v>298</v>
      </c>
      <c r="D303" s="110">
        <f>IF($C303&lt;=Entradas!$E$153,"",Observaciones!L303)</f>
        <v>0.77538481952852101</v>
      </c>
      <c r="E303" s="110">
        <f>IF($C303&lt;=Entradas!$E$153,"",Escenario1!BN304)</f>
        <v>1.0895847922345785</v>
      </c>
      <c r="F303" s="79">
        <f>IF($C303&lt;=Entradas!$E$153,"",D303-E303)</f>
        <v>-0.31419997270605748</v>
      </c>
      <c r="G303" s="79">
        <f>IF($C303&lt;=Entradas!$E$153,"",D303-AVERAGE(D:D))</f>
        <v>-7.4668019830569365E-3</v>
      </c>
      <c r="H303" s="79">
        <f>IF($C303&lt;=Entradas!$E$153,"",F303^2)</f>
        <v>9.8721622848487262E-2</v>
      </c>
      <c r="I303" s="79">
        <f>IF($C303&lt;=Entradas!$E$153,"",G303^2)</f>
        <v>5.5753131854183001E-5</v>
      </c>
      <c r="J303" s="79">
        <f>IF($C303&lt;=Entradas!$E$153,"",E303-AVERAGE(E:E))</f>
        <v>0.2586456515713933</v>
      </c>
      <c r="K303" s="79">
        <f>IF($C303&lt;=Entradas!$E$153,"",J303^2)</f>
        <v>6.689757307679059E-2</v>
      </c>
      <c r="L303" s="79">
        <f>IF($C303&lt;=Entradas!$E$153,"",G303*J303)</f>
        <v>-1.931255864062333E-3</v>
      </c>
      <c r="M303" s="40"/>
    </row>
    <row r="304" spans="2:13">
      <c r="B304" s="39"/>
      <c r="C304" s="75">
        <v>299</v>
      </c>
      <c r="D304" s="110">
        <f>IF($C304&lt;=Entradas!$E$153,"",Observaciones!L304)</f>
        <v>0.77691719472067522</v>
      </c>
      <c r="E304" s="110">
        <f>IF($C304&lt;=Entradas!$E$153,"",Escenario1!BN305)</f>
        <v>1.0454494161747705</v>
      </c>
      <c r="F304" s="79">
        <f>IF($C304&lt;=Entradas!$E$153,"",D304-E304)</f>
        <v>-0.26853222145409528</v>
      </c>
      <c r="G304" s="79">
        <f>IF($C304&lt;=Entradas!$E$153,"",D304-AVERAGE(D:D))</f>
        <v>-5.9344267909027248E-3</v>
      </c>
      <c r="H304" s="79">
        <f>IF($C304&lt;=Entradas!$E$153,"",F304^2)</f>
        <v>7.2109553959071274E-2</v>
      </c>
      <c r="I304" s="79">
        <f>IF($C304&lt;=Entradas!$E$153,"",G304^2)</f>
        <v>3.5217421336584015E-5</v>
      </c>
      <c r="J304" s="79">
        <f>IF($C304&lt;=Entradas!$E$153,"",E304-AVERAGE(E:E))</f>
        <v>0.2145102755115853</v>
      </c>
      <c r="K304" s="79">
        <f>IF($C304&lt;=Entradas!$E$153,"",J304^2)</f>
        <v>4.601465830005623E-2</v>
      </c>
      <c r="L304" s="79">
        <f>IF($C304&lt;=Entradas!$E$153,"",G304*J304)</f>
        <v>-1.2729955259198765E-3</v>
      </c>
      <c r="M304" s="40"/>
    </row>
    <row r="305" spans="2:13">
      <c r="B305" s="39"/>
      <c r="C305" s="75">
        <v>300</v>
      </c>
      <c r="D305" s="110">
        <f>IF($C305&lt;=Entradas!$E$153,"",Observaciones!L305)</f>
        <v>0.77762875832485023</v>
      </c>
      <c r="E305" s="110">
        <f>IF($C305&lt;=Entradas!$E$153,"",Escenario1!BN306)</f>
        <v>0.95871615104683683</v>
      </c>
      <c r="F305" s="79">
        <f>IF($C305&lt;=Entradas!$E$153,"",D305-E305)</f>
        <v>-0.1810873927219866</v>
      </c>
      <c r="G305" s="79">
        <f>IF($C305&lt;=Entradas!$E$153,"",D305-AVERAGE(D:D))</f>
        <v>-5.2228631867277109E-3</v>
      </c>
      <c r="H305" s="79">
        <f>IF($C305&lt;=Entradas!$E$153,"",F305^2)</f>
        <v>3.2792643802847E-2</v>
      </c>
      <c r="I305" s="79">
        <f>IF($C305&lt;=Entradas!$E$153,"",G305^2)</f>
        <v>2.727829986727554E-5</v>
      </c>
      <c r="J305" s="79">
        <f>IF($C305&lt;=Entradas!$E$153,"",E305-AVERAGE(E:E))</f>
        <v>0.12777701038365163</v>
      </c>
      <c r="K305" s="79">
        <f>IF($C305&lt;=Entradas!$E$153,"",J305^2)</f>
        <v>1.6326964382583818E-2</v>
      </c>
      <c r="L305" s="79">
        <f>IF($C305&lt;=Entradas!$E$153,"",G305*J305)</f>
        <v>-6.6736184364289859E-4</v>
      </c>
      <c r="M305" s="40"/>
    </row>
    <row r="306" spans="2:13">
      <c r="B306" s="39"/>
      <c r="C306" s="75">
        <v>301</v>
      </c>
      <c r="D306" s="110">
        <f>IF($C306&lt;=Entradas!$E$153,"",Observaciones!L306)</f>
        <v>0.77785544160575648</v>
      </c>
      <c r="E306" s="110">
        <f>IF($C306&lt;=Entradas!$E$153,"",Escenario1!BN307)</f>
        <v>0.90594363675255463</v>
      </c>
      <c r="F306" s="79">
        <f>IF($C306&lt;=Entradas!$E$153,"",D306-E306)</f>
        <v>-0.12808819514679814</v>
      </c>
      <c r="G306" s="79">
        <f>IF($C306&lt;=Entradas!$E$153,"",D306-AVERAGE(D:D))</f>
        <v>-4.9961799058214629E-3</v>
      </c>
      <c r="H306" s="79">
        <f>IF($C306&lt;=Entradas!$E$153,"",F306^2)</f>
        <v>1.6406585735964242E-2</v>
      </c>
      <c r="I306" s="79">
        <f>IF($C306&lt;=Entradas!$E$153,"",G306^2)</f>
        <v>2.4961813651334161E-5</v>
      </c>
      <c r="J306" s="79">
        <f>IF($C306&lt;=Entradas!$E$153,"",E306-AVERAGE(E:E))</f>
        <v>7.5004496089369432E-2</v>
      </c>
      <c r="K306" s="79">
        <f>IF($C306&lt;=Entradas!$E$153,"",J306^2)</f>
        <v>5.6256744336202341E-3</v>
      </c>
      <c r="L306" s="79">
        <f>IF($C306&lt;=Entradas!$E$153,"",G306*J306)</f>
        <v>-3.7473595620797202E-4</v>
      </c>
      <c r="M306" s="40"/>
    </row>
    <row r="307" spans="2:13">
      <c r="B307" s="39"/>
      <c r="C307" s="75">
        <v>302</v>
      </c>
      <c r="D307" s="110">
        <f>IF($C307&lt;=Entradas!$E$153,"",Observaciones!L307)</f>
        <v>0.77722087968814724</v>
      </c>
      <c r="E307" s="110">
        <f>IF($C307&lt;=Entradas!$E$153,"",Escenario1!BN308)</f>
        <v>0.81309267851362044</v>
      </c>
      <c r="F307" s="79">
        <f>IF($C307&lt;=Entradas!$E$153,"",D307-E307)</f>
        <v>-3.58717988254732E-2</v>
      </c>
      <c r="G307" s="79">
        <f>IF($C307&lt;=Entradas!$E$153,"",D307-AVERAGE(D:D))</f>
        <v>-5.6307418234307072E-3</v>
      </c>
      <c r="H307" s="79">
        <f>IF($C307&lt;=Entradas!$E$153,"",F307^2)</f>
        <v>1.2867859509752204E-3</v>
      </c>
      <c r="I307" s="79">
        <f>IF($C307&lt;=Entradas!$E$153,"",G307^2)</f>
        <v>3.1705253482131764E-5</v>
      </c>
      <c r="J307" s="79">
        <f>IF($C307&lt;=Entradas!$E$153,"",E307-AVERAGE(E:E))</f>
        <v>-1.7846462149564757E-2</v>
      </c>
      <c r="K307" s="79">
        <f>IF($C307&lt;=Entradas!$E$153,"",J307^2)</f>
        <v>3.1849621125584754E-4</v>
      </c>
      <c r="L307" s="79">
        <f>IF($C307&lt;=Entradas!$E$153,"",G307*J307)</f>
        <v>1.0048882082582736E-4</v>
      </c>
      <c r="M307" s="40"/>
    </row>
    <row r="308" spans="2:13">
      <c r="B308" s="39"/>
      <c r="C308" s="75">
        <v>303</v>
      </c>
      <c r="D308" s="110">
        <f>IF($C308&lt;=Entradas!$E$153,"",Observaciones!L308)</f>
        <v>0.77650100250469534</v>
      </c>
      <c r="E308" s="110">
        <f>IF($C308&lt;=Entradas!$E$153,"",Escenario1!BN309)</f>
        <v>0.80016297462625541</v>
      </c>
      <c r="F308" s="79">
        <f>IF($C308&lt;=Entradas!$E$153,"",D308-E308)</f>
        <v>-2.3661972121560071E-2</v>
      </c>
      <c r="G308" s="79">
        <f>IF($C308&lt;=Entradas!$E$153,"",D308-AVERAGE(D:D))</f>
        <v>-6.3506190068826074E-3</v>
      </c>
      <c r="H308" s="79">
        <f>IF($C308&lt;=Entradas!$E$153,"",F308^2)</f>
        <v>5.5988892468148603E-4</v>
      </c>
      <c r="I308" s="79">
        <f>IF($C308&lt;=Entradas!$E$153,"",G308^2)</f>
        <v>4.0330361770578631E-5</v>
      </c>
      <c r="J308" s="79">
        <f>IF($C308&lt;=Entradas!$E$153,"",E308-AVERAGE(E:E))</f>
        <v>-3.0776166036929786E-2</v>
      </c>
      <c r="K308" s="79">
        <f>IF($C308&lt;=Entradas!$E$153,"",J308^2)</f>
        <v>9.4717239593267047E-4</v>
      </c>
      <c r="L308" s="79">
        <f>IF($C308&lt;=Entradas!$E$153,"",G308*J308)</f>
        <v>1.9544770499310126E-4</v>
      </c>
      <c r="M308" s="40"/>
    </row>
    <row r="309" spans="2:13">
      <c r="B309" s="39"/>
      <c r="C309" s="75">
        <v>304</v>
      </c>
      <c r="D309" s="110">
        <f>IF($C309&lt;=Entradas!$E$153,"",Observaciones!L309)</f>
        <v>0.74865460883835888</v>
      </c>
      <c r="E309" s="110">
        <f>IF($C309&lt;=Entradas!$E$153,"",Escenario1!BN310)</f>
        <v>0.71163910657848428</v>
      </c>
      <c r="F309" s="79">
        <f>IF($C309&lt;=Entradas!$E$153,"",D309-E309)</f>
        <v>3.70155022598746E-2</v>
      </c>
      <c r="G309" s="79">
        <f>IF($C309&lt;=Entradas!$E$153,"",D309-AVERAGE(D:D))</f>
        <v>-3.4197012673219063E-2</v>
      </c>
      <c r="H309" s="79">
        <f>IF($C309&lt;=Entradas!$E$153,"",F309^2)</f>
        <v>1.3701474075507817E-3</v>
      </c>
      <c r="I309" s="79">
        <f>IF($C309&lt;=Entradas!$E$153,"",G309^2)</f>
        <v>1.1694356757723052E-3</v>
      </c>
      <c r="J309" s="79">
        <f>IF($C309&lt;=Entradas!$E$153,"",E309-AVERAGE(E:E))</f>
        <v>-0.11930003408470091</v>
      </c>
      <c r="K309" s="79">
        <f>IF($C309&lt;=Entradas!$E$153,"",J309^2)</f>
        <v>1.4232498132610799E-2</v>
      </c>
      <c r="L309" s="79">
        <f>IF($C309&lt;=Entradas!$E$153,"",G309*J309)</f>
        <v>4.0797047775099834E-3</v>
      </c>
      <c r="M309" s="40"/>
    </row>
    <row r="310" spans="2:13">
      <c r="B310" s="39"/>
      <c r="C310" s="75">
        <v>305</v>
      </c>
      <c r="D310" s="110">
        <f>IF($C310&lt;=Entradas!$E$153,"",Observaciones!L310)</f>
        <v>0.66750801248270686</v>
      </c>
      <c r="E310" s="110">
        <f>IF($C310&lt;=Entradas!$E$153,"",Escenario1!BN311)</f>
        <v>0.63855430104822219</v>
      </c>
      <c r="F310" s="79">
        <f>IF($C310&lt;=Entradas!$E$153,"",D310-E310)</f>
        <v>2.8953711434484664E-2</v>
      </c>
      <c r="G310" s="79">
        <f>IF($C310&lt;=Entradas!$E$153,"",D310-AVERAGE(D:D))</f>
        <v>-0.11534360902887109</v>
      </c>
      <c r="H310" s="79">
        <f>IF($C310&lt;=Entradas!$E$153,"",F310^2)</f>
        <v>8.3831740583140797E-4</v>
      </c>
      <c r="I310" s="79">
        <f>IF($C310&lt;=Entradas!$E$153,"",G310^2)</f>
        <v>1.3304148143805072E-2</v>
      </c>
      <c r="J310" s="79">
        <f>IF($C310&lt;=Entradas!$E$153,"",E310-AVERAGE(E:E))</f>
        <v>-0.192384839614963</v>
      </c>
      <c r="K310" s="79">
        <f>IF($C310&lt;=Entradas!$E$153,"",J310^2)</f>
        <v>3.7011926513675034E-2</v>
      </c>
      <c r="L310" s="79">
        <f>IF($C310&lt;=Entradas!$E$153,"",G310*J310)</f>
        <v>2.2190361723630363E-2</v>
      </c>
      <c r="M310" s="40"/>
    </row>
    <row r="311" spans="2:13">
      <c r="B311" s="39"/>
      <c r="C311" s="75">
        <v>306</v>
      </c>
      <c r="D311" s="110">
        <f>IF($C311&lt;=Entradas!$E$153,"",Observaciones!L311)</f>
        <v>0.65017176661116127</v>
      </c>
      <c r="E311" s="110">
        <f>IF($C311&lt;=Entradas!$E$153,"",Escenario1!BN312)</f>
        <v>0.62168860577863738</v>
      </c>
      <c r="F311" s="79">
        <f>IF($C311&lt;=Entradas!$E$153,"",D311-E311)</f>
        <v>2.8483160832523891E-2</v>
      </c>
      <c r="G311" s="79">
        <f>IF($C311&lt;=Entradas!$E$153,"",D311-AVERAGE(D:D))</f>
        <v>-0.13267985490041667</v>
      </c>
      <c r="H311" s="79">
        <f>IF($C311&lt;=Entradas!$E$153,"",F311^2)</f>
        <v>8.1129045101142308E-4</v>
      </c>
      <c r="I311" s="79">
        <f>IF($C311&lt;=Entradas!$E$153,"",G311^2)</f>
        <v>1.7603943896395621E-2</v>
      </c>
      <c r="J311" s="79">
        <f>IF($C311&lt;=Entradas!$E$153,"",E311-AVERAGE(E:E))</f>
        <v>-0.20925053488454781</v>
      </c>
      <c r="K311" s="79">
        <f>IF($C311&lt;=Entradas!$E$153,"",J311^2)</f>
        <v>4.3785786349469363E-2</v>
      </c>
      <c r="L311" s="79">
        <f>IF($C311&lt;=Entradas!$E$153,"",G311*J311)</f>
        <v>2.7763330606316382E-2</v>
      </c>
      <c r="M311" s="40"/>
    </row>
    <row r="312" spans="2:13">
      <c r="B312" s="39"/>
      <c r="C312" s="75">
        <v>307</v>
      </c>
      <c r="D312" s="110">
        <f>IF($C312&lt;=Entradas!$E$153,"",Observaciones!L312)</f>
        <v>0.55776461986571835</v>
      </c>
      <c r="E312" s="110">
        <f>IF($C312&lt;=Entradas!$E$153,"",Escenario1!BN313)</f>
        <v>0.53882879356746316</v>
      </c>
      <c r="F312" s="79">
        <f>IF($C312&lt;=Entradas!$E$153,"",D312-E312)</f>
        <v>1.8935826298255187E-2</v>
      </c>
      <c r="G312" s="79">
        <f>IF($C312&lt;=Entradas!$E$153,"",D312-AVERAGE(D:D))</f>
        <v>-0.2250870016458596</v>
      </c>
      <c r="H312" s="79">
        <f>IF($C312&lt;=Entradas!$E$153,"",F312^2)</f>
        <v>3.5856551759769277E-4</v>
      </c>
      <c r="I312" s="79">
        <f>IF($C312&lt;=Entradas!$E$153,"",G312^2)</f>
        <v>5.0664158309923199E-2</v>
      </c>
      <c r="J312" s="79">
        <f>IF($C312&lt;=Entradas!$E$153,"",E312-AVERAGE(E:E))</f>
        <v>-0.29211034709572203</v>
      </c>
      <c r="K312" s="79">
        <f>IF($C312&lt;=Entradas!$E$153,"",J312^2)</f>
        <v>8.5328454880383209E-2</v>
      </c>
      <c r="L312" s="79">
        <f>IF($C312&lt;=Entradas!$E$153,"",G312*J312)</f>
        <v>6.5750242177507398E-2</v>
      </c>
      <c r="M312" s="40"/>
    </row>
    <row r="313" spans="2:13">
      <c r="B313" s="39"/>
      <c r="C313" s="75">
        <v>308</v>
      </c>
      <c r="D313" s="110">
        <f>IF($C313&lt;=Entradas!$E$153,"",Observaciones!L313)</f>
        <v>0.55810435637808864</v>
      </c>
      <c r="E313" s="110">
        <f>IF($C313&lt;=Entradas!$E$153,"",Escenario1!BN314)</f>
        <v>0.53763959659748084</v>
      </c>
      <c r="F313" s="79">
        <f>IF($C313&lt;=Entradas!$E$153,"",D313-E313)</f>
        <v>2.04647597806078E-2</v>
      </c>
      <c r="G313" s="79">
        <f>IF($C313&lt;=Entradas!$E$153,"",D313-AVERAGE(D:D))</f>
        <v>-0.2247472651334893</v>
      </c>
      <c r="H313" s="79">
        <f>IF($C313&lt;=Entradas!$E$153,"",F313^2)</f>
        <v>4.1880639287798262E-4</v>
      </c>
      <c r="I313" s="79">
        <f>IF($C313&lt;=Entradas!$E$153,"",G313^2)</f>
        <v>5.0511333184982937E-2</v>
      </c>
      <c r="J313" s="79">
        <f>IF($C313&lt;=Entradas!$E$153,"",E313-AVERAGE(E:E))</f>
        <v>-0.29329954406570435</v>
      </c>
      <c r="K313" s="79">
        <f>IF($C313&lt;=Entradas!$E$153,"",J313^2)</f>
        <v>8.6024622549150054E-2</v>
      </c>
      <c r="L313" s="79">
        <f>IF($C313&lt;=Entradas!$E$153,"",G313*J313)</f>
        <v>6.5918270393666392E-2</v>
      </c>
      <c r="M313" s="40"/>
    </row>
    <row r="314" spans="2:13">
      <c r="B314" s="39"/>
      <c r="C314" s="75">
        <v>309</v>
      </c>
      <c r="D314" s="110">
        <f>IF($C314&lt;=Entradas!$E$153,"",Observaciones!L314)</f>
        <v>0.50517441395611606</v>
      </c>
      <c r="E314" s="110">
        <f>IF($C314&lt;=Entradas!$E$153,"",Escenario1!BN315)</f>
        <v>0.48964566999376824</v>
      </c>
      <c r="F314" s="79">
        <f>IF($C314&lt;=Entradas!$E$153,"",D314-E314)</f>
        <v>1.5528743962347824E-2</v>
      </c>
      <c r="G314" s="79">
        <f>IF($C314&lt;=Entradas!$E$153,"",D314-AVERAGE(D:D))</f>
        <v>-0.27767720755546188</v>
      </c>
      <c r="H314" s="79">
        <f>IF($C314&lt;=Entradas!$E$153,"",F314^2)</f>
        <v>2.41141889048154E-4</v>
      </c>
      <c r="I314" s="79">
        <f>IF($C314&lt;=Entradas!$E$153,"",G314^2)</f>
        <v>7.7104631595799056E-2</v>
      </c>
      <c r="J314" s="79">
        <f>IF($C314&lt;=Entradas!$E$153,"",E314-AVERAGE(E:E))</f>
        <v>-0.34129347066941695</v>
      </c>
      <c r="K314" s="79">
        <f>IF($C314&lt;=Entradas!$E$153,"",J314^2)</f>
        <v>0.11648123312157617</v>
      </c>
      <c r="L314" s="79">
        <f>IF($C314&lt;=Entradas!$E$153,"",G314*J314)</f>
        <v>9.4769417892395638E-2</v>
      </c>
      <c r="M314" s="40"/>
    </row>
    <row r="315" spans="2:13">
      <c r="B315" s="39"/>
      <c r="C315" s="75">
        <v>310</v>
      </c>
      <c r="D315" s="110">
        <f>IF($C315&lt;=Entradas!$E$153,"",Observaciones!L315)</f>
        <v>0.42079796275794423</v>
      </c>
      <c r="E315" s="110">
        <f>IF($C315&lt;=Entradas!$E$153,"",Escenario1!BN316)</f>
        <v>0.41402942201739062</v>
      </c>
      <c r="F315" s="79">
        <f>IF($C315&lt;=Entradas!$E$153,"",D315-E315)</f>
        <v>6.768540740553608E-3</v>
      </c>
      <c r="G315" s="79">
        <f>IF($C315&lt;=Entradas!$E$153,"",D315-AVERAGE(D:D))</f>
        <v>-0.36205365875363371</v>
      </c>
      <c r="H315" s="79">
        <f>IF($C315&lt;=Entradas!$E$153,"",F315^2)</f>
        <v>4.5813143756533983E-5</v>
      </c>
      <c r="I315" s="79">
        <f>IF($C315&lt;=Entradas!$E$153,"",G315^2)</f>
        <v>0.13108285181689264</v>
      </c>
      <c r="J315" s="79">
        <f>IF($C315&lt;=Entradas!$E$153,"",E315-AVERAGE(E:E))</f>
        <v>-0.41690971864579457</v>
      </c>
      <c r="K315" s="79">
        <f>IF($C315&lt;=Entradas!$E$153,"",J315^2)</f>
        <v>0.17381371350131558</v>
      </c>
      <c r="L315" s="79">
        <f>IF($C315&lt;=Entradas!$E$153,"",G315*J315)</f>
        <v>0.15094368900565794</v>
      </c>
      <c r="M315" s="40"/>
    </row>
    <row r="316" spans="2:13">
      <c r="B316" s="39"/>
      <c r="C316" s="75">
        <v>311</v>
      </c>
      <c r="D316" s="110">
        <f>IF($C316&lt;=Entradas!$E$153,"",Observaciones!L316)</f>
        <v>0.40430075593978182</v>
      </c>
      <c r="E316" s="110">
        <f>IF($C316&lt;=Entradas!$E$153,"",Escenario1!BN317)</f>
        <v>0.39819776158967929</v>
      </c>
      <c r="F316" s="79">
        <f>IF($C316&lt;=Entradas!$E$153,"",D316-E316)</f>
        <v>6.1029943501025308E-3</v>
      </c>
      <c r="G316" s="79">
        <f>IF($C316&lt;=Entradas!$E$153,"",D316-AVERAGE(D:D))</f>
        <v>-0.37855086557179612</v>
      </c>
      <c r="H316" s="79">
        <f>IF($C316&lt;=Entradas!$E$153,"",F316^2)</f>
        <v>3.7246540037383412E-5</v>
      </c>
      <c r="I316" s="79">
        <f>IF($C316&lt;=Entradas!$E$153,"",G316^2)</f>
        <v>0.14330075782515606</v>
      </c>
      <c r="J316" s="79">
        <f>IF($C316&lt;=Entradas!$E$153,"",E316-AVERAGE(E:E))</f>
        <v>-0.43274137907350591</v>
      </c>
      <c r="K316" s="79">
        <f>IF($C316&lt;=Entradas!$E$153,"",J316^2)</f>
        <v>0.18726510116243975</v>
      </c>
      <c r="L316" s="79">
        <f>IF($C316&lt;=Entradas!$E$153,"",G316*J316)</f>
        <v>0.16381462361700841</v>
      </c>
      <c r="M316" s="40"/>
    </row>
    <row r="317" spans="2:13">
      <c r="B317" s="39"/>
      <c r="C317" s="75">
        <v>312</v>
      </c>
      <c r="D317" s="110">
        <f>IF($C317&lt;=Entradas!$E$153,"",Observaciones!L317)</f>
        <v>0.32014445134262381</v>
      </c>
      <c r="E317" s="110">
        <f>IF($C317&lt;=Entradas!$E$153,"",Escenario1!BN318)</f>
        <v>0.32287950236487845</v>
      </c>
      <c r="F317" s="79">
        <f>IF($C317&lt;=Entradas!$E$153,"",D317-E317)</f>
        <v>-2.7350510222546309E-3</v>
      </c>
      <c r="G317" s="79">
        <f>IF($C317&lt;=Entradas!$E$153,"",D317-AVERAGE(D:D))</f>
        <v>-0.46270717016895413</v>
      </c>
      <c r="H317" s="79">
        <f>IF($C317&lt;=Entradas!$E$153,"",F317^2)</f>
        <v>7.4805040943361014E-6</v>
      </c>
      <c r="I317" s="79">
        <f>IF($C317&lt;=Entradas!$E$153,"",G317^2)</f>
        <v>0.21409792532576147</v>
      </c>
      <c r="J317" s="79">
        <f>IF($C317&lt;=Entradas!$E$153,"",E317-AVERAGE(E:E))</f>
        <v>-0.50805963829830669</v>
      </c>
      <c r="K317" s="79">
        <f>IF($C317&lt;=Entradas!$E$153,"",J317^2)</f>
        <v>0.25812459606780624</v>
      </c>
      <c r="L317" s="79">
        <f>IF($C317&lt;=Entradas!$E$153,"",G317*J317)</f>
        <v>0.23508283751407189</v>
      </c>
      <c r="M317" s="40"/>
    </row>
    <row r="318" spans="2:13">
      <c r="B318" s="39"/>
      <c r="C318" s="75">
        <v>313</v>
      </c>
      <c r="D318" s="110">
        <f>IF($C318&lt;=Entradas!$E$153,"",Observaciones!L318)</f>
        <v>0.25162603447757631</v>
      </c>
      <c r="E318" s="110">
        <f>IF($C318&lt;=Entradas!$E$153,"",Escenario1!BN319)</f>
        <v>0.26137596200970631</v>
      </c>
      <c r="F318" s="79">
        <f>IF($C318&lt;=Entradas!$E$153,"",D318-E318)</f>
        <v>-9.7499275321299983E-3</v>
      </c>
      <c r="G318" s="79">
        <f>IF($C318&lt;=Entradas!$E$153,"",D318-AVERAGE(D:D))</f>
        <v>-0.53122558703400169</v>
      </c>
      <c r="H318" s="79">
        <f>IF($C318&lt;=Entradas!$E$153,"",F318^2)</f>
        <v>9.5061086881786559E-5</v>
      </c>
      <c r="I318" s="79">
        <f>IF($C318&lt;=Entradas!$E$153,"",G318^2)</f>
        <v>0.28220062431961973</v>
      </c>
      <c r="J318" s="79">
        <f>IF($C318&lt;=Entradas!$E$153,"",E318-AVERAGE(E:E))</f>
        <v>-0.56956317865347894</v>
      </c>
      <c r="K318" s="79">
        <f>IF($C318&lt;=Entradas!$E$153,"",J318^2)</f>
        <v>0.32440221447785478</v>
      </c>
      <c r="L318" s="79">
        <f>IF($C318&lt;=Entradas!$E$153,"",G318*J318)</f>
        <v>0.30256653393314631</v>
      </c>
      <c r="M318" s="40"/>
    </row>
    <row r="319" spans="2:13">
      <c r="B319" s="39"/>
      <c r="C319" s="75">
        <v>314</v>
      </c>
      <c r="D319" s="110">
        <f>IF($C319&lt;=Entradas!$E$153,"",Observaciones!L319)</f>
        <v>0.19421416844071632</v>
      </c>
      <c r="E319" s="110">
        <f>IF($C319&lt;=Entradas!$E$153,"",Escenario1!BN320)</f>
        <v>0.19084184930817025</v>
      </c>
      <c r="F319" s="79">
        <f>IF($C319&lt;=Entradas!$E$153,"",D319-E319)</f>
        <v>3.37231913254607E-3</v>
      </c>
      <c r="G319" s="79">
        <f>IF($C319&lt;=Entradas!$E$153,"",D319-AVERAGE(D:D))</f>
        <v>-0.58863745307086157</v>
      </c>
      <c r="H319" s="79">
        <f>IF($C319&lt;=Entradas!$E$153,"",F319^2)</f>
        <v>1.1372536331736278E-5</v>
      </c>
      <c r="I319" s="79">
        <f>IF($C319&lt;=Entradas!$E$153,"",G319^2)</f>
        <v>0.34649405115775078</v>
      </c>
      <c r="J319" s="79">
        <f>IF($C319&lt;=Entradas!$E$153,"",E319-AVERAGE(E:E))</f>
        <v>-0.64009729135501492</v>
      </c>
      <c r="K319" s="79">
        <f>IF($C319&lt;=Entradas!$E$153,"",J319^2)</f>
        <v>0.40972454240002687</v>
      </c>
      <c r="L319" s="79">
        <f>IF($C319&lt;=Entradas!$E$153,"",G319*J319)</f>
        <v>0.37678523930077318</v>
      </c>
      <c r="M319" s="40"/>
    </row>
    <row r="320" spans="2:13">
      <c r="B320" s="39"/>
      <c r="C320" s="75">
        <v>315</v>
      </c>
      <c r="D320" s="110">
        <f>IF($C320&lt;=Entradas!$E$153,"",Observaciones!L320)</f>
        <v>0.18286000068178032</v>
      </c>
      <c r="E320" s="110">
        <f>IF($C320&lt;=Entradas!$E$153,"",Escenario1!BN321)</f>
        <v>0.15671088772919009</v>
      </c>
      <c r="F320" s="79">
        <f>IF($C320&lt;=Entradas!$E$153,"",D320-E320)</f>
        <v>2.6149112952590231E-2</v>
      </c>
      <c r="G320" s="79">
        <f>IF($C320&lt;=Entradas!$E$153,"",D320-AVERAGE(D:D))</f>
        <v>-0.59999162082979762</v>
      </c>
      <c r="H320" s="79">
        <f>IF($C320&lt;=Entradas!$E$153,"",F320^2)</f>
        <v>6.8377610820732221E-4</v>
      </c>
      <c r="I320" s="79">
        <f>IF($C320&lt;=Entradas!$E$153,"",G320^2)</f>
        <v>0.35998994506596765</v>
      </c>
      <c r="J320" s="79">
        <f>IF($C320&lt;=Entradas!$E$153,"",E320-AVERAGE(E:E))</f>
        <v>-0.67422825293399513</v>
      </c>
      <c r="K320" s="79">
        <f>IF($C320&lt;=Entradas!$E$153,"",J320^2)</f>
        <v>0.45458373705442734</v>
      </c>
      <c r="L320" s="79">
        <f>IF($C320&lt;=Entradas!$E$153,"",G320*J320)</f>
        <v>0.40453130228711048</v>
      </c>
      <c r="M320" s="40"/>
    </row>
    <row r="321" spans="2:13">
      <c r="B321" s="39"/>
      <c r="C321" s="75">
        <v>316</v>
      </c>
      <c r="D321" s="110">
        <f>IF($C321&lt;=Entradas!$E$153,"",Observaciones!L321)</f>
        <v>0.17917145579000948</v>
      </c>
      <c r="E321" s="110">
        <f>IF($C321&lt;=Entradas!$E$153,"",Escenario1!BN322)</f>
        <v>0.14985656137784345</v>
      </c>
      <c r="F321" s="79">
        <f>IF($C321&lt;=Entradas!$E$153,"",D321-E321)</f>
        <v>2.9314894412166032E-2</v>
      </c>
      <c r="G321" s="79">
        <f>IF($C321&lt;=Entradas!$E$153,"",D321-AVERAGE(D:D))</f>
        <v>-0.60368016572156846</v>
      </c>
      <c r="H321" s="79">
        <f>IF($C321&lt;=Entradas!$E$153,"",F321^2)</f>
        <v>8.5936303439644319E-4</v>
      </c>
      <c r="I321" s="79">
        <f>IF($C321&lt;=Entradas!$E$153,"",G321^2)</f>
        <v>0.36442974248562038</v>
      </c>
      <c r="J321" s="79">
        <f>IF($C321&lt;=Entradas!$E$153,"",E321-AVERAGE(E:E))</f>
        <v>-0.68108257928534177</v>
      </c>
      <c r="K321" s="79">
        <f>IF($C321&lt;=Entradas!$E$153,"",J321^2)</f>
        <v>0.46387347980597388</v>
      </c>
      <c r="L321" s="79">
        <f>IF($C321&lt;=Entradas!$E$153,"",G321*J321)</f>
        <v>0.41115604433304842</v>
      </c>
      <c r="M321" s="40"/>
    </row>
    <row r="322" spans="2:13">
      <c r="B322" s="39"/>
      <c r="C322" s="75">
        <v>317</v>
      </c>
      <c r="D322" s="110">
        <f>IF($C322&lt;=Entradas!$E$153,"",Observaciones!L322)</f>
        <v>0.19312815343983047</v>
      </c>
      <c r="E322" s="110">
        <f>IF($C322&lt;=Entradas!$E$153,"",Escenario1!BN323)</f>
        <v>0.16192570940849815</v>
      </c>
      <c r="F322" s="79">
        <f>IF($C322&lt;=Entradas!$E$153,"",D322-E322)</f>
        <v>3.1202444031332321E-2</v>
      </c>
      <c r="G322" s="79">
        <f>IF($C322&lt;=Entradas!$E$153,"",D322-AVERAGE(D:D))</f>
        <v>-0.58972346807174747</v>
      </c>
      <c r="H322" s="79">
        <f>IF($C322&lt;=Entradas!$E$153,"",F322^2)</f>
        <v>9.7359251352842607E-4</v>
      </c>
      <c r="I322" s="79">
        <f>IF($C322&lt;=Entradas!$E$153,"",G322^2)</f>
        <v>0.34777376879456934</v>
      </c>
      <c r="J322" s="79">
        <f>IF($C322&lt;=Entradas!$E$153,"",E322-AVERAGE(E:E))</f>
        <v>-0.66901343125468704</v>
      </c>
      <c r="K322" s="79">
        <f>IF($C322&lt;=Entradas!$E$153,"",J322^2)</f>
        <v>0.44757897119916984</v>
      </c>
      <c r="L322" s="79">
        <f>IF($C322&lt;=Entradas!$E$153,"",G322*J322)</f>
        <v>0.39453292086609365</v>
      </c>
      <c r="M322" s="40"/>
    </row>
    <row r="323" spans="2:13">
      <c r="B323" s="39"/>
      <c r="C323" s="75">
        <v>318</v>
      </c>
      <c r="D323" s="110">
        <f>IF($C323&lt;=Entradas!$E$153,"",Observaciones!L323)</f>
        <v>0.18142173101765863</v>
      </c>
      <c r="E323" s="110">
        <f>IF($C323&lt;=Entradas!$E$153,"",Escenario1!BN324)</f>
        <v>0.15198538855097204</v>
      </c>
      <c r="F323" s="79">
        <f>IF($C323&lt;=Entradas!$E$153,"",D323-E323)</f>
        <v>2.9436342466686582E-2</v>
      </c>
      <c r="G323" s="79">
        <f>IF($C323&lt;=Entradas!$E$153,"",D323-AVERAGE(D:D))</f>
        <v>-0.60142989049391926</v>
      </c>
      <c r="H323" s="79">
        <f>IF($C323&lt;=Entradas!$E$153,"",F323^2)</f>
        <v>8.6649825781605588E-4</v>
      </c>
      <c r="I323" s="79">
        <f>IF($C323&lt;=Entradas!$E$153,"",G323^2)</f>
        <v>0.36171791317952773</v>
      </c>
      <c r="J323" s="79">
        <f>IF($C323&lt;=Entradas!$E$153,"",E323-AVERAGE(E:E))</f>
        <v>-0.67895375211221309</v>
      </c>
      <c r="K323" s="79">
        <f>IF($C323&lt;=Entradas!$E$153,"",J323^2)</f>
        <v>0.4609781975072525</v>
      </c>
      <c r="L323" s="79">
        <f>IF($C323&lt;=Entradas!$E$153,"",G323*J323)</f>
        <v>0.40834308078328391</v>
      </c>
      <c r="M323" s="40"/>
    </row>
    <row r="324" spans="2:13">
      <c r="B324" s="39"/>
      <c r="C324" s="75">
        <v>319</v>
      </c>
      <c r="D324" s="110">
        <f>IF($C324&lt;=Entradas!$E$153,"",Observaciones!L324)</f>
        <v>0.76695282265436371</v>
      </c>
      <c r="E324" s="110">
        <f>IF($C324&lt;=Entradas!$E$153,"",Escenario1!BN325)</f>
        <v>0.48853795765038005</v>
      </c>
      <c r="F324" s="79">
        <f>IF($C324&lt;=Entradas!$E$153,"",D324-E324)</f>
        <v>0.27841486500398366</v>
      </c>
      <c r="G324" s="79">
        <f>IF($C324&lt;=Entradas!$E$153,"",D324-AVERAGE(D:D))</f>
        <v>-1.5898798857214236E-2</v>
      </c>
      <c r="H324" s="79">
        <f>IF($C324&lt;=Entradas!$E$153,"",F324^2)</f>
        <v>7.7514837055186442E-2</v>
      </c>
      <c r="I324" s="79">
        <f>IF($C324&lt;=Entradas!$E$153,"",G324^2)</f>
        <v>2.527718051021567E-4</v>
      </c>
      <c r="J324" s="79">
        <f>IF($C324&lt;=Entradas!$E$153,"",E324-AVERAGE(E:E))</f>
        <v>-0.34240118301280514</v>
      </c>
      <c r="K324" s="79">
        <f>IF($C324&lt;=Entradas!$E$153,"",J324^2)</f>
        <v>0.11723857012856848</v>
      </c>
      <c r="L324" s="79">
        <f>IF($C324&lt;=Entradas!$E$153,"",G324*J324)</f>
        <v>5.4437675371927889E-3</v>
      </c>
      <c r="M324" s="40"/>
    </row>
    <row r="325" spans="2:13">
      <c r="B325" s="39"/>
      <c r="C325" s="75">
        <v>320</v>
      </c>
      <c r="D325" s="110">
        <f>IF($C325&lt;=Entradas!$E$153,"",Observaciones!L325)</f>
        <v>0.76989712989498815</v>
      </c>
      <c r="E325" s="110">
        <f>IF($C325&lt;=Entradas!$E$153,"",Escenario1!BN326)</f>
        <v>0.6942980053432628</v>
      </c>
      <c r="F325" s="79">
        <f>IF($C325&lt;=Entradas!$E$153,"",D325-E325)</f>
        <v>7.559912455172535E-2</v>
      </c>
      <c r="G325" s="79">
        <f>IF($C325&lt;=Entradas!$E$153,"",D325-AVERAGE(D:D))</f>
        <v>-1.2954491616589792E-2</v>
      </c>
      <c r="H325" s="79">
        <f>IF($C325&lt;=Entradas!$E$153,"",F325^2)</f>
        <v>5.7152276329872822E-3</v>
      </c>
      <c r="I325" s="79">
        <f>IF($C325&lt;=Entradas!$E$153,"",G325^2)</f>
        <v>1.6781885304429519E-4</v>
      </c>
      <c r="J325" s="79">
        <f>IF($C325&lt;=Entradas!$E$153,"",E325-AVERAGE(E:E))</f>
        <v>-0.13664113531992239</v>
      </c>
      <c r="K325" s="79">
        <f>IF($C325&lt;=Entradas!$E$153,"",J325^2)</f>
        <v>1.8670799861517342E-2</v>
      </c>
      <c r="L325" s="79">
        <f>IF($C325&lt;=Entradas!$E$153,"",G325*J325)</f>
        <v>1.770116441983246E-3</v>
      </c>
      <c r="M325" s="40"/>
    </row>
    <row r="326" spans="2:13">
      <c r="B326" s="39"/>
      <c r="C326" s="75">
        <v>321</v>
      </c>
      <c r="D326" s="110">
        <f>IF($C326&lt;=Entradas!$E$153,"",Observaciones!L326)</f>
        <v>0.66782310289204905</v>
      </c>
      <c r="E326" s="110">
        <f>IF($C326&lt;=Entradas!$E$153,"",Escenario1!BN327)</f>
        <v>0.62207542020806128</v>
      </c>
      <c r="F326" s="79">
        <f>IF($C326&lt;=Entradas!$E$153,"",D326-E326)</f>
        <v>4.5747682683987767E-2</v>
      </c>
      <c r="G326" s="79">
        <f>IF($C326&lt;=Entradas!$E$153,"",D326-AVERAGE(D:D))</f>
        <v>-0.1150285186195289</v>
      </c>
      <c r="H326" s="79">
        <f>IF($C326&lt;=Entradas!$E$153,"",F326^2)</f>
        <v>2.092850470954834E-3</v>
      </c>
      <c r="I326" s="79">
        <f>IF($C326&lt;=Entradas!$E$153,"",G326^2)</f>
        <v>1.3231560095803306E-2</v>
      </c>
      <c r="J326" s="79">
        <f>IF($C326&lt;=Entradas!$E$153,"",E326-AVERAGE(E:E))</f>
        <v>-0.20886372045512391</v>
      </c>
      <c r="K326" s="79">
        <f>IF($C326&lt;=Entradas!$E$153,"",J326^2)</f>
        <v>4.362405372235615E-2</v>
      </c>
      <c r="L326" s="79">
        <f>IF($C326&lt;=Entradas!$E$153,"",G326*J326)</f>
        <v>2.4025284357316299E-2</v>
      </c>
      <c r="M326" s="40"/>
    </row>
    <row r="327" spans="2:13">
      <c r="B327" s="39"/>
      <c r="C327" s="75">
        <v>322</v>
      </c>
      <c r="D327" s="110">
        <f>IF($C327&lt;=Entradas!$E$153,"",Observaciones!L327)</f>
        <v>0.59222668578517657</v>
      </c>
      <c r="E327" s="110">
        <f>IF($C327&lt;=Entradas!$E$153,"",Escenario1!BN328)</f>
        <v>0.5544545878474032</v>
      </c>
      <c r="F327" s="79">
        <f>IF($C327&lt;=Entradas!$E$153,"",D327-E327)</f>
        <v>3.7772097937773363E-2</v>
      </c>
      <c r="G327" s="79">
        <f>IF($C327&lt;=Entradas!$E$153,"",D327-AVERAGE(D:D))</f>
        <v>-0.19062493572640138</v>
      </c>
      <c r="H327" s="79">
        <f>IF($C327&lt;=Entradas!$E$153,"",F327^2)</f>
        <v>1.4267313826207427E-3</v>
      </c>
      <c r="I327" s="79">
        <f>IF($C327&lt;=Entradas!$E$153,"",G327^2)</f>
        <v>3.6337866120694659E-2</v>
      </c>
      <c r="J327" s="79">
        <f>IF($C327&lt;=Entradas!$E$153,"",E327-AVERAGE(E:E))</f>
        <v>-0.27648455281578199</v>
      </c>
      <c r="K327" s="79">
        <f>IF($C327&lt;=Entradas!$E$153,"",J327^2)</f>
        <v>7.6443707945742942E-2</v>
      </c>
      <c r="L327" s="79">
        <f>IF($C327&lt;=Entradas!$E$153,"",G327*J327)</f>
        <v>5.2704850109851271E-2</v>
      </c>
      <c r="M327" s="40"/>
    </row>
    <row r="328" spans="2:13">
      <c r="B328" s="39"/>
      <c r="C328" s="75">
        <v>323</v>
      </c>
      <c r="D328" s="110">
        <f>IF($C328&lt;=Entradas!$E$153,"",Observaciones!L328)</f>
        <v>0.63014121230304543</v>
      </c>
      <c r="E328" s="110">
        <f>IF($C328&lt;=Entradas!$E$153,"",Escenario1!BN329)</f>
        <v>0.58543015047548974</v>
      </c>
      <c r="F328" s="79">
        <f>IF($C328&lt;=Entradas!$E$153,"",D328-E328)</f>
        <v>4.4711061827555687E-2</v>
      </c>
      <c r="G328" s="79">
        <f>IF($C328&lt;=Entradas!$E$153,"",D328-AVERAGE(D:D))</f>
        <v>-0.15271040920853252</v>
      </c>
      <c r="H328" s="79">
        <f>IF($C328&lt;=Entradas!$E$153,"",F328^2)</f>
        <v>1.9990790497475073E-3</v>
      </c>
      <c r="I328" s="79">
        <f>IF($C328&lt;=Entradas!$E$153,"",G328^2)</f>
        <v>2.3320469080637451E-2</v>
      </c>
      <c r="J328" s="79">
        <f>IF($C328&lt;=Entradas!$E$153,"",E328-AVERAGE(E:E))</f>
        <v>-0.24550899018769545</v>
      </c>
      <c r="K328" s="79">
        <f>IF($C328&lt;=Entradas!$E$153,"",J328^2)</f>
        <v>6.027466426298194E-2</v>
      </c>
      <c r="L328" s="79">
        <f>IF($C328&lt;=Entradas!$E$153,"",G328*J328)</f>
        <v>3.7491778355936568E-2</v>
      </c>
      <c r="M328" s="40"/>
    </row>
    <row r="329" spans="2:13">
      <c r="B329" s="39"/>
      <c r="C329" s="75">
        <v>324</v>
      </c>
      <c r="D329" s="110">
        <f>IF($C329&lt;=Entradas!$E$153,"",Observaciones!L329)</f>
        <v>0.77809072886853958</v>
      </c>
      <c r="E329" s="110">
        <f>IF($C329&lt;=Entradas!$E$153,"",Escenario1!BN330)</f>
        <v>0.91200125135924504</v>
      </c>
      <c r="F329" s="79">
        <f>IF($C329&lt;=Entradas!$E$153,"",D329-E329)</f>
        <v>-0.13391052249070545</v>
      </c>
      <c r="G329" s="79">
        <f>IF($C329&lt;=Entradas!$E$153,"",D329-AVERAGE(D:D))</f>
        <v>-4.7608926430383613E-3</v>
      </c>
      <c r="H329" s="79">
        <f>IF($C329&lt;=Entradas!$E$153,"",F329^2)</f>
        <v>1.793202803373373E-2</v>
      </c>
      <c r="I329" s="79">
        <f>IF($C329&lt;=Entradas!$E$153,"",G329^2)</f>
        <v>2.2666098758536792E-5</v>
      </c>
      <c r="J329" s="79">
        <f>IF($C329&lt;=Entradas!$E$153,"",E329-AVERAGE(E:E))</f>
        <v>8.1062110696059841E-2</v>
      </c>
      <c r="K329" s="79">
        <f>IF($C329&lt;=Entradas!$E$153,"",J329^2)</f>
        <v>6.5710657905002591E-3</v>
      </c>
      <c r="L329" s="79">
        <f>IF($C329&lt;=Entradas!$E$153,"",G329*J329)</f>
        <v>-3.8592800644203257E-4</v>
      </c>
      <c r="M329" s="40"/>
    </row>
    <row r="330" spans="2:13">
      <c r="B330" s="39"/>
      <c r="C330" s="75">
        <v>325</v>
      </c>
      <c r="D330" s="110">
        <f>IF($C330&lt;=Entradas!$E$153,"",Observaciones!L330)</f>
        <v>0.78088174333230731</v>
      </c>
      <c r="E330" s="110">
        <f>IF($C330&lt;=Entradas!$E$153,"",Escenario1!BN331)</f>
        <v>1.02522071816656</v>
      </c>
      <c r="F330" s="79">
        <f>IF($C330&lt;=Entradas!$E$153,"",D330-E330)</f>
        <v>-0.24433897483425271</v>
      </c>
      <c r="G330" s="79">
        <f>IF($C330&lt;=Entradas!$E$153,"",D330-AVERAGE(D:D))</f>
        <v>-1.9698781792706344E-3</v>
      </c>
      <c r="H330" s="79">
        <f>IF($C330&lt;=Entradas!$E$153,"",F330^2)</f>
        <v>5.9701534623053581E-2</v>
      </c>
      <c r="I330" s="79">
        <f>IF($C330&lt;=Entradas!$E$153,"",G330^2)</f>
        <v>3.8804200411665897E-6</v>
      </c>
      <c r="J330" s="79">
        <f>IF($C330&lt;=Entradas!$E$153,"",E330-AVERAGE(E:E))</f>
        <v>0.19428157750337482</v>
      </c>
      <c r="K330" s="79">
        <f>IF($C330&lt;=Entradas!$E$153,"",J330^2)</f>
        <v>3.7745331357199839E-2</v>
      </c>
      <c r="L330" s="79">
        <f>IF($C330&lt;=Entradas!$E$153,"",G330*J330)</f>
        <v>-3.8271104015817463E-4</v>
      </c>
      <c r="M330" s="40"/>
    </row>
    <row r="331" spans="2:13">
      <c r="B331" s="39"/>
      <c r="C331" s="75">
        <v>326</v>
      </c>
      <c r="D331" s="110">
        <f>IF($C331&lt;=Entradas!$E$153,"",Observaciones!L331)</f>
        <v>0.7812522763852241</v>
      </c>
      <c r="E331" s="110">
        <f>IF($C331&lt;=Entradas!$E$153,"",Escenario1!BN332)</f>
        <v>0.92692185311962561</v>
      </c>
      <c r="F331" s="79">
        <f>IF($C331&lt;=Entradas!$E$153,"",D331-E331)</f>
        <v>-0.14566957673440151</v>
      </c>
      <c r="G331" s="79">
        <f>IF($C331&lt;=Entradas!$E$153,"",D331-AVERAGE(D:D))</f>
        <v>-1.5993451263538461E-3</v>
      </c>
      <c r="H331" s="79">
        <f>IF($C331&lt;=Entradas!$E$153,"",F331^2)</f>
        <v>2.1219625585979687E-2</v>
      </c>
      <c r="I331" s="79">
        <f>IF($C331&lt;=Entradas!$E$153,"",G331^2)</f>
        <v>2.5579048331917998E-6</v>
      </c>
      <c r="J331" s="79">
        <f>IF($C331&lt;=Entradas!$E$153,"",E331-AVERAGE(E:E))</f>
        <v>9.5982712456440411E-2</v>
      </c>
      <c r="K331" s="79">
        <f>IF($C331&lt;=Entradas!$E$153,"",J331^2)</f>
        <v>9.2126810904957206E-3</v>
      </c>
      <c r="L331" s="79">
        <f>IF($C331&lt;=Entradas!$E$153,"",G331*J331)</f>
        <v>-1.5350948338143056E-4</v>
      </c>
      <c r="M331" s="40"/>
    </row>
    <row r="332" spans="2:13">
      <c r="B332" s="39"/>
      <c r="C332" s="75">
        <v>327</v>
      </c>
      <c r="D332" s="110">
        <f>IF($C332&lt;=Entradas!$E$153,"",Observaciones!L332)</f>
        <v>0.78073439187382176</v>
      </c>
      <c r="E332" s="110">
        <f>IF($C332&lt;=Entradas!$E$153,"",Escenario1!BN333)</f>
        <v>0.83122217107391216</v>
      </c>
      <c r="F332" s="79">
        <f>IF($C332&lt;=Entradas!$E$153,"",D332-E332)</f>
        <v>-5.0487779200090399E-2</v>
      </c>
      <c r="G332" s="79">
        <f>IF($C332&lt;=Entradas!$E$153,"",D332-AVERAGE(D:D))</f>
        <v>-2.1172296377561795E-3</v>
      </c>
      <c r="H332" s="79">
        <f>IF($C332&lt;=Entradas!$E$153,"",F332^2)</f>
        <v>2.5490158485570809E-3</v>
      </c>
      <c r="I332" s="79">
        <f>IF($C332&lt;=Entradas!$E$153,"",G332^2)</f>
        <v>4.4826613389931627E-6</v>
      </c>
      <c r="J332" s="79">
        <f>IF($C332&lt;=Entradas!$E$153,"",E332-AVERAGE(E:E))</f>
        <v>2.8303041072696988E-4</v>
      </c>
      <c r="K332" s="79">
        <f>IF($C332&lt;=Entradas!$E$153,"",J332^2)</f>
        <v>8.0106213396277265E-8</v>
      </c>
      <c r="L332" s="79">
        <f>IF($C332&lt;=Entradas!$E$153,"",G332*J332)</f>
        <v>-5.9924037397744515E-7</v>
      </c>
      <c r="M332" s="40"/>
    </row>
    <row r="333" spans="2:13">
      <c r="B333" s="39"/>
      <c r="C333" s="75">
        <v>328</v>
      </c>
      <c r="D333" s="110">
        <f>IF($C333&lt;=Entradas!$E$153,"",Observaciones!L333)</f>
        <v>0.77938822021769516</v>
      </c>
      <c r="E333" s="110">
        <f>IF($C333&lt;=Entradas!$E$153,"",Escenario1!BN334)</f>
        <v>0.7404834579387467</v>
      </c>
      <c r="F333" s="79">
        <f>IF($C333&lt;=Entradas!$E$153,"",D333-E333)</f>
        <v>3.8904762278948457E-2</v>
      </c>
      <c r="G333" s="79">
        <f>IF($C333&lt;=Entradas!$E$153,"",D333-AVERAGE(D:D))</f>
        <v>-3.4634012938827841E-3</v>
      </c>
      <c r="H333" s="79">
        <f>IF($C333&lt;=Entradas!$E$153,"",F333^2)</f>
        <v>1.5135805279814908E-3</v>
      </c>
      <c r="I333" s="79">
        <f>IF($C333&lt;=Entradas!$E$153,"",G333^2)</f>
        <v>1.1995148522468942E-5</v>
      </c>
      <c r="J333" s="79">
        <f>IF($C333&lt;=Entradas!$E$153,"",E333-AVERAGE(E:E))</f>
        <v>-9.0455682724438491E-2</v>
      </c>
      <c r="K333" s="79">
        <f>IF($C333&lt;=Entradas!$E$153,"",J333^2)</f>
        <v>8.1822305371442808E-3</v>
      </c>
      <c r="L333" s="79">
        <f>IF($C333&lt;=Entradas!$E$153,"",G333*J333)</f>
        <v>3.1328432858687087E-4</v>
      </c>
      <c r="M333" s="40"/>
    </row>
    <row r="334" spans="2:13">
      <c r="B334" s="39"/>
      <c r="C334" s="75">
        <v>329</v>
      </c>
      <c r="D334" s="110">
        <f>IF($C334&lt;=Entradas!$E$153,"",Observaciones!L334)</f>
        <v>0.78144288434563003</v>
      </c>
      <c r="E334" s="110">
        <f>IF($C334&lt;=Entradas!$E$153,"",Escenario1!BN335)</f>
        <v>0.87980815946093793</v>
      </c>
      <c r="F334" s="79">
        <f>IF($C334&lt;=Entradas!$E$153,"",D334-E334)</f>
        <v>-9.8365275115307904E-2</v>
      </c>
      <c r="G334" s="79">
        <f>IF($C334&lt;=Entradas!$E$153,"",D334-AVERAGE(D:D))</f>
        <v>-1.4087371659479153E-3</v>
      </c>
      <c r="H334" s="79">
        <f>IF($C334&lt;=Entradas!$E$153,"",F334^2)</f>
        <v>9.6757273485102123E-3</v>
      </c>
      <c r="I334" s="79">
        <f>IF($C334&lt;=Entradas!$E$153,"",G334^2)</f>
        <v>1.9845404027229643E-6</v>
      </c>
      <c r="J334" s="79">
        <f>IF($C334&lt;=Entradas!$E$153,"",E334-AVERAGE(E:E))</f>
        <v>4.8869018797752739E-2</v>
      </c>
      <c r="K334" s="79">
        <f>IF($C334&lt;=Entradas!$E$153,"",J334^2)</f>
        <v>2.3881809982551107E-3</v>
      </c>
      <c r="L334" s="79">
        <f>IF($C334&lt;=Entradas!$E$153,"",G334*J334)</f>
        <v>-6.8843603043801599E-5</v>
      </c>
      <c r="M334" s="40"/>
    </row>
    <row r="335" spans="2:13">
      <c r="B335" s="39"/>
      <c r="C335" s="75">
        <v>330</v>
      </c>
      <c r="D335" s="110">
        <f>IF($C335&lt;=Entradas!$E$153,"",Observaciones!L335)</f>
        <v>0.79354449684455419</v>
      </c>
      <c r="E335" s="110">
        <f>IF($C335&lt;=Entradas!$E$153,"",Escenario1!BN336)</f>
        <v>1.1658565770688132</v>
      </c>
      <c r="F335" s="79">
        <f>IF($C335&lt;=Entradas!$E$153,"",D335-E335)</f>
        <v>-0.37231208022425899</v>
      </c>
      <c r="G335" s="79">
        <f>IF($C335&lt;=Entradas!$E$153,"",D335-AVERAGE(D:D))</f>
        <v>1.0692875332976248E-2</v>
      </c>
      <c r="H335" s="79">
        <f>IF($C335&lt;=Entradas!$E$153,"",F335^2)</f>
        <v>0.13861628508091506</v>
      </c>
      <c r="I335" s="79">
        <f>IF($C335&lt;=Entradas!$E$153,"",G335^2)</f>
        <v>1.1433758288657191E-4</v>
      </c>
      <c r="J335" s="79">
        <f>IF($C335&lt;=Entradas!$E$153,"",E335-AVERAGE(E:E))</f>
        <v>0.33491743640562799</v>
      </c>
      <c r="K335" s="79">
        <f>IF($C335&lt;=Entradas!$E$153,"",J335^2)</f>
        <v>0.11216968920851787</v>
      </c>
      <c r="L335" s="79">
        <f>IF($C335&lt;=Entradas!$E$153,"",G335*J335)</f>
        <v>3.5812303943253809E-3</v>
      </c>
      <c r="M335" s="40"/>
    </row>
    <row r="336" spans="2:13">
      <c r="B336" s="39"/>
      <c r="C336" s="75">
        <v>331</v>
      </c>
      <c r="D336" s="110">
        <f>IF($C336&lt;=Entradas!$E$153,"",Observaciones!L336)</f>
        <v>0.79489329753532822</v>
      </c>
      <c r="E336" s="110">
        <f>IF($C336&lt;=Entradas!$E$153,"",Escenario1!BN337)</f>
        <v>1.0713600592568382</v>
      </c>
      <c r="F336" s="79">
        <f>IF($C336&lt;=Entradas!$E$153,"",D336-E336)</f>
        <v>-0.27646676172150997</v>
      </c>
      <c r="G336" s="79">
        <f>IF($C336&lt;=Entradas!$E$153,"",D336-AVERAGE(D:D))</f>
        <v>1.2041676023750281E-2</v>
      </c>
      <c r="H336" s="79">
        <f>IF($C336&lt;=Entradas!$E$153,"",F336^2)</f>
        <v>7.6433870336778176E-2</v>
      </c>
      <c r="I336" s="79">
        <f>IF($C336&lt;=Entradas!$E$153,"",G336^2)</f>
        <v>1.4500196146096238E-4</v>
      </c>
      <c r="J336" s="79">
        <f>IF($C336&lt;=Entradas!$E$153,"",E336-AVERAGE(E:E))</f>
        <v>0.240420918593653</v>
      </c>
      <c r="K336" s="79">
        <f>IF($C336&lt;=Entradas!$E$153,"",J336^2)</f>
        <v>5.7802218097415925E-2</v>
      </c>
      <c r="L336" s="79">
        <f>IF($C336&lt;=Entradas!$E$153,"",G336*J336)</f>
        <v>2.8950708110372092E-3</v>
      </c>
      <c r="M336" s="40"/>
    </row>
    <row r="337" spans="2:13">
      <c r="B337" s="39"/>
      <c r="C337" s="75">
        <v>332</v>
      </c>
      <c r="D337" s="110">
        <f>IF($C337&lt;=Entradas!$E$153,"",Observaciones!L337)</f>
        <v>0.79530006036135426</v>
      </c>
      <c r="E337" s="110">
        <f>IF($C337&lt;=Entradas!$E$153,"",Escenario1!BN338)</f>
        <v>0.97088655430969051</v>
      </c>
      <c r="F337" s="79">
        <f>IF($C337&lt;=Entradas!$E$153,"",D337-E337)</f>
        <v>-0.17558649394833625</v>
      </c>
      <c r="G337" s="79">
        <f>IF($C337&lt;=Entradas!$E$153,"",D337-AVERAGE(D:D))</f>
        <v>1.2448438849776311E-2</v>
      </c>
      <c r="H337" s="79">
        <f>IF($C337&lt;=Entradas!$E$153,"",F337^2)</f>
        <v>3.0830616857069122E-2</v>
      </c>
      <c r="I337" s="79">
        <f>IF($C337&lt;=Entradas!$E$153,"",G337^2)</f>
        <v>1.5496362979662017E-4</v>
      </c>
      <c r="J337" s="79">
        <f>IF($C337&lt;=Entradas!$E$153,"",E337-AVERAGE(E:E))</f>
        <v>0.13994741364650531</v>
      </c>
      <c r="K337" s="79">
        <f>IF($C337&lt;=Entradas!$E$153,"",J337^2)</f>
        <v>1.9585278586346063E-2</v>
      </c>
      <c r="L337" s="79">
        <f>IF($C337&lt;=Entradas!$E$153,"",G337*J337)</f>
        <v>1.7421268209628722E-3</v>
      </c>
      <c r="M337" s="40"/>
    </row>
    <row r="338" spans="2:13">
      <c r="B338" s="39"/>
      <c r="C338" s="75">
        <v>333</v>
      </c>
      <c r="D338" s="110">
        <f>IF($C338&lt;=Entradas!$E$153,"",Observaciones!L338)</f>
        <v>0.79482711141260565</v>
      </c>
      <c r="E338" s="110">
        <f>IF($C338&lt;=Entradas!$E$153,"",Escenario1!BN339)</f>
        <v>0.87554315264526006</v>
      </c>
      <c r="F338" s="79">
        <f>IF($C338&lt;=Entradas!$E$153,"",D338-E338)</f>
        <v>-8.0716041232654412E-2</v>
      </c>
      <c r="G338" s="79">
        <f>IF($C338&lt;=Entradas!$E$153,"",D338-AVERAGE(D:D))</f>
        <v>1.1975489901027703E-2</v>
      </c>
      <c r="H338" s="79">
        <f>IF($C338&lt;=Entradas!$E$153,"",F338^2)</f>
        <v>6.5150793122715671E-3</v>
      </c>
      <c r="I338" s="79">
        <f>IF($C338&lt;=Entradas!$E$153,"",G338^2)</f>
        <v>1.434123583696165E-4</v>
      </c>
      <c r="J338" s="79">
        <f>IF($C338&lt;=Entradas!$E$153,"",E338-AVERAGE(E:E))</f>
        <v>4.4604011982074865E-2</v>
      </c>
      <c r="K338" s="79">
        <f>IF($C338&lt;=Entradas!$E$153,"",J338^2)</f>
        <v>1.989517884897078E-3</v>
      </c>
      <c r="L338" s="79">
        <f>IF($C338&lt;=Entradas!$E$153,"",G338*J338)</f>
        <v>5.3415489503665624E-4</v>
      </c>
      <c r="M338" s="40"/>
    </row>
    <row r="339" spans="2:13">
      <c r="B339" s="39"/>
      <c r="C339" s="75">
        <v>334</v>
      </c>
      <c r="D339" s="110">
        <f>IF($C339&lt;=Entradas!$E$153,"",Observaciones!L339)</f>
        <v>0.7935316066496384</v>
      </c>
      <c r="E339" s="110">
        <f>IF($C339&lt;=Entradas!$E$153,"",Escenario1!BN340)</f>
        <v>0.7848882402083035</v>
      </c>
      <c r="F339" s="79">
        <f>IF($C339&lt;=Entradas!$E$153,"",D339-E339)</f>
        <v>8.6433664413348987E-3</v>
      </c>
      <c r="G339" s="79">
        <f>IF($C339&lt;=Entradas!$E$153,"",D339-AVERAGE(D:D))</f>
        <v>1.0679985138060455E-2</v>
      </c>
      <c r="H339" s="79">
        <f>IF($C339&lt;=Entradas!$E$153,"",F339^2)</f>
        <v>7.4707783439194311E-5</v>
      </c>
      <c r="I339" s="79">
        <f>IF($C339&lt;=Entradas!$E$153,"",G339^2)</f>
        <v>1.1406208254919219E-4</v>
      </c>
      <c r="J339" s="79">
        <f>IF($C339&lt;=Entradas!$E$153,"",E339-AVERAGE(E:E))</f>
        <v>-4.6050900454881694E-2</v>
      </c>
      <c r="K339" s="79">
        <f>IF($C339&lt;=Entradas!$E$153,"",J339^2)</f>
        <v>2.1206854327054229E-3</v>
      </c>
      <c r="L339" s="79">
        <f>IF($C339&lt;=Entradas!$E$153,"",G339*J339)</f>
        <v>-4.918229324524379E-4</v>
      </c>
      <c r="M339" s="40"/>
    </row>
    <row r="340" spans="2:13">
      <c r="B340" s="39"/>
      <c r="C340" s="75">
        <v>335</v>
      </c>
      <c r="D340" s="110">
        <f>IF($C340&lt;=Entradas!$E$153,"",Observaciones!L340)</f>
        <v>0.73236992001678813</v>
      </c>
      <c r="E340" s="110">
        <f>IF($C340&lt;=Entradas!$E$153,"",Escenario1!BN341)</f>
        <v>0.69856295175839533</v>
      </c>
      <c r="F340" s="79">
        <f>IF($C340&lt;=Entradas!$E$153,"",D340-E340)</f>
        <v>3.38069682583928E-2</v>
      </c>
      <c r="G340" s="79">
        <f>IF($C340&lt;=Entradas!$E$153,"",D340-AVERAGE(D:D))</f>
        <v>-5.048170149478981E-2</v>
      </c>
      <c r="H340" s="79">
        <f>IF($C340&lt;=Entradas!$E$153,"",F340^2)</f>
        <v>1.1429111028239782E-3</v>
      </c>
      <c r="I340" s="79">
        <f>IF($C340&lt;=Entradas!$E$153,"",G340^2)</f>
        <v>2.5484021858090638E-3</v>
      </c>
      <c r="J340" s="79">
        <f>IF($C340&lt;=Entradas!$E$153,"",E340-AVERAGE(E:E))</f>
        <v>-0.13237618890478986</v>
      </c>
      <c r="K340" s="79">
        <f>IF($C340&lt;=Entradas!$E$153,"",J340^2)</f>
        <v>1.752345538895661E-2</v>
      </c>
      <c r="L340" s="79">
        <f>IF($C340&lt;=Entradas!$E$153,"",G340*J340)</f>
        <v>6.6825752533095084E-3</v>
      </c>
      <c r="M340" s="40"/>
    </row>
    <row r="341" spans="2:13">
      <c r="B341" s="39"/>
      <c r="C341" s="75">
        <v>336</v>
      </c>
      <c r="D341" s="110">
        <f>IF($C341&lt;=Entradas!$E$153,"",Observaciones!L341)</f>
        <v>0.63986387764554975</v>
      </c>
      <c r="E341" s="110">
        <f>IF($C341&lt;=Entradas!$E$153,"",Escenario1!BN342)</f>
        <v>0.6149432979636652</v>
      </c>
      <c r="F341" s="79">
        <f>IF($C341&lt;=Entradas!$E$153,"",D341-E341)</f>
        <v>2.4920579681884547E-2</v>
      </c>
      <c r="G341" s="79">
        <f>IF($C341&lt;=Entradas!$E$153,"",D341-AVERAGE(D:D))</f>
        <v>-0.14298774386602819</v>
      </c>
      <c r="H341" s="79">
        <f>IF($C341&lt;=Entradas!$E$153,"",F341^2)</f>
        <v>6.2103529168115691E-4</v>
      </c>
      <c r="I341" s="79">
        <f>IF($C341&lt;=Entradas!$E$153,"",G341^2)</f>
        <v>2.0445494895896883E-2</v>
      </c>
      <c r="J341" s="79">
        <f>IF($C341&lt;=Entradas!$E$153,"",E341-AVERAGE(E:E))</f>
        <v>-0.21599584269951999</v>
      </c>
      <c r="K341" s="79">
        <f>IF($C341&lt;=Entradas!$E$153,"",J341^2)</f>
        <v>4.6654204063475785E-2</v>
      </c>
      <c r="L341" s="79">
        <f>IF($C341&lt;=Entradas!$E$153,"",G341*J341)</f>
        <v>3.0884758232045881E-2</v>
      </c>
      <c r="M341" s="40"/>
    </row>
    <row r="342" spans="2:13">
      <c r="B342" s="39"/>
      <c r="C342" s="75">
        <v>337</v>
      </c>
      <c r="D342" s="110">
        <f>IF($C342&lt;=Entradas!$E$153,"",Observaciones!L342)</f>
        <v>0.5485396102150476</v>
      </c>
      <c r="E342" s="110">
        <f>IF($C342&lt;=Entradas!$E$153,"",Escenario1!BN343)</f>
        <v>0.53246104816499673</v>
      </c>
      <c r="F342" s="79">
        <f>IF($C342&lt;=Entradas!$E$153,"",D342-E342)</f>
        <v>1.6078562050050871E-2</v>
      </c>
      <c r="G342" s="79">
        <f>IF($C342&lt;=Entradas!$E$153,"",D342-AVERAGE(D:D))</f>
        <v>-0.23431201129653034</v>
      </c>
      <c r="H342" s="79">
        <f>IF($C342&lt;=Entradas!$E$153,"",F342^2)</f>
        <v>2.5852015759733604E-4</v>
      </c>
      <c r="I342" s="79">
        <f>IF($C342&lt;=Entradas!$E$153,"",G342^2)</f>
        <v>5.4902118637825362E-2</v>
      </c>
      <c r="J342" s="79">
        <f>IF($C342&lt;=Entradas!$E$153,"",E342-AVERAGE(E:E))</f>
        <v>-0.29847809249818846</v>
      </c>
      <c r="K342" s="79">
        <f>IF($C342&lt;=Entradas!$E$153,"",J342^2)</f>
        <v>8.9089171701357148E-2</v>
      </c>
      <c r="L342" s="79">
        <f>IF($C342&lt;=Entradas!$E$153,"",G342*J342)</f>
        <v>6.9937002181202357E-2</v>
      </c>
      <c r="M342" s="40"/>
    </row>
    <row r="343" spans="2:13">
      <c r="B343" s="39"/>
      <c r="C343" s="75">
        <v>338</v>
      </c>
      <c r="D343" s="110">
        <f>IF($C343&lt;=Entradas!$E$153,"",Observaciones!L343)</f>
        <v>0.46035117464305336</v>
      </c>
      <c r="E343" s="110">
        <f>IF($C343&lt;=Entradas!$E$153,"",Escenario1!BN344)</f>
        <v>0.45282357865161788</v>
      </c>
      <c r="F343" s="79">
        <f>IF($C343&lt;=Entradas!$E$153,"",D343-E343)</f>
        <v>7.5275959914354873E-3</v>
      </c>
      <c r="G343" s="79">
        <f>IF($C343&lt;=Entradas!$E$153,"",D343-AVERAGE(D:D))</f>
        <v>-0.32250044686852458</v>
      </c>
      <c r="H343" s="79">
        <f>IF($C343&lt;=Entradas!$E$153,"",F343^2)</f>
        <v>5.6664701410275616E-5</v>
      </c>
      <c r="I343" s="79">
        <f>IF($C343&lt;=Entradas!$E$153,"",G343^2)</f>
        <v>0.10400653823039804</v>
      </c>
      <c r="J343" s="79">
        <f>IF($C343&lt;=Entradas!$E$153,"",E343-AVERAGE(E:E))</f>
        <v>-0.37811556201156732</v>
      </c>
      <c r="K343" s="79">
        <f>IF($C343&lt;=Entradas!$E$153,"",J343^2)</f>
        <v>0.14297137823532341</v>
      </c>
      <c r="L343" s="79">
        <f>IF($C343&lt;=Entradas!$E$153,"",G343*J343)</f>
        <v>0.12194243771667378</v>
      </c>
      <c r="M343" s="40"/>
    </row>
    <row r="344" spans="2:13">
      <c r="B344" s="39"/>
      <c r="C344" s="75">
        <v>339</v>
      </c>
      <c r="D344" s="110">
        <f>IF($C344&lt;=Entradas!$E$153,"",Observaciones!L344)</f>
        <v>0.37511620870975271</v>
      </c>
      <c r="E344" s="110">
        <f>IF($C344&lt;=Entradas!$E$153,"",Escenario1!BN345)</f>
        <v>0.37586754349948176</v>
      </c>
      <c r="F344" s="79">
        <f>IF($C344&lt;=Entradas!$E$153,"",D344-E344)</f>
        <v>-7.5133478972905232E-4</v>
      </c>
      <c r="G344" s="79">
        <f>IF($C344&lt;=Entradas!$E$153,"",D344-AVERAGE(D:D))</f>
        <v>-0.40773541280182524</v>
      </c>
      <c r="H344" s="79">
        <f>IF($C344&lt;=Entradas!$E$153,"",F344^2)</f>
        <v>5.6450396625719927E-7</v>
      </c>
      <c r="I344" s="79">
        <f>IF($C344&lt;=Entradas!$E$153,"",G344^2)</f>
        <v>0.16624816685267482</v>
      </c>
      <c r="J344" s="79">
        <f>IF($C344&lt;=Entradas!$E$153,"",E344-AVERAGE(E:E))</f>
        <v>-0.45507159716370343</v>
      </c>
      <c r="K344" s="79">
        <f>IF($C344&lt;=Entradas!$E$153,"",J344^2)</f>
        <v>0.20709015854512397</v>
      </c>
      <c r="L344" s="79">
        <f>IF($C344&lt;=Entradas!$E$153,"",G344*J344)</f>
        <v>0.18554880552392855</v>
      </c>
      <c r="M344" s="40"/>
    </row>
    <row r="345" spans="2:13">
      <c r="B345" s="39"/>
      <c r="C345" s="75">
        <v>340</v>
      </c>
      <c r="D345" s="110">
        <f>IF($C345&lt;=Entradas!$E$153,"",Observaciones!L345)</f>
        <v>0.29219842692406994</v>
      </c>
      <c r="E345" s="110">
        <f>IF($C345&lt;=Entradas!$E$153,"",Escenario1!BN346)</f>
        <v>0.30103251258426744</v>
      </c>
      <c r="F345" s="79">
        <f>IF($C345&lt;=Entradas!$E$153,"",D345-E345)</f>
        <v>-8.8340856601974993E-3</v>
      </c>
      <c r="G345" s="79">
        <f>IF($C345&lt;=Entradas!$E$153,"",D345-AVERAGE(D:D))</f>
        <v>-0.490653194587508</v>
      </c>
      <c r="H345" s="79">
        <f>IF($C345&lt;=Entradas!$E$153,"",F345^2)</f>
        <v>7.8041069451707088E-5</v>
      </c>
      <c r="I345" s="79">
        <f>IF($C345&lt;=Entradas!$E$153,"",G345^2)</f>
        <v>0.24074055735892699</v>
      </c>
      <c r="J345" s="79">
        <f>IF($C345&lt;=Entradas!$E$153,"",E345-AVERAGE(E:E))</f>
        <v>-0.52990662807891775</v>
      </c>
      <c r="K345" s="79">
        <f>IF($C345&lt;=Entradas!$E$153,"",J345^2)</f>
        <v>0.28080103448196847</v>
      </c>
      <c r="L345" s="79">
        <f>IF($C345&lt;=Entradas!$E$153,"",G345*J345)</f>
        <v>0.26000037990001545</v>
      </c>
      <c r="M345" s="40"/>
    </row>
    <row r="346" spans="2:13">
      <c r="B346" s="39"/>
      <c r="C346" s="75">
        <v>341</v>
      </c>
      <c r="D346" s="110">
        <f>IF($C346&lt;=Entradas!$E$153,"",Observaciones!L346)</f>
        <v>0.21599971272471249</v>
      </c>
      <c r="E346" s="110">
        <f>IF($C346&lt;=Entradas!$E$153,"",Escenario1!BN347)</f>
        <v>0.23218377072278909</v>
      </c>
      <c r="F346" s="79">
        <f>IF($C346&lt;=Entradas!$E$153,"",D346-E346)</f>
        <v>-1.6184057998076595E-2</v>
      </c>
      <c r="G346" s="79">
        <f>IF($C346&lt;=Entradas!$E$153,"",D346-AVERAGE(D:D))</f>
        <v>-0.56685190878686542</v>
      </c>
      <c r="H346" s="79">
        <f>IF($C346&lt;=Entradas!$E$153,"",F346^2)</f>
        <v>2.6192373328510701E-4</v>
      </c>
      <c r="I346" s="79">
        <f>IF($C346&lt;=Entradas!$E$153,"",G346^2)</f>
        <v>0.32132108649531277</v>
      </c>
      <c r="J346" s="79">
        <f>IF($C346&lt;=Entradas!$E$153,"",E346-AVERAGE(E:E))</f>
        <v>-0.59875536994039613</v>
      </c>
      <c r="K346" s="79">
        <f>IF($C346&lt;=Entradas!$E$153,"",J346^2)</f>
        <v>0.35850799303246061</v>
      </c>
      <c r="L346" s="79">
        <f>IF($C346&lt;=Entradas!$E$153,"",G346*J346)</f>
        <v>0.33940562434709931</v>
      </c>
      <c r="M346" s="40"/>
    </row>
    <row r="347" spans="2:13">
      <c r="B347" s="39"/>
      <c r="C347" s="75">
        <v>342</v>
      </c>
      <c r="D347" s="110">
        <f>IF($C347&lt;=Entradas!$E$153,"",Observaciones!L347)</f>
        <v>0.18123362461651843</v>
      </c>
      <c r="E347" s="110">
        <f>IF($C347&lt;=Entradas!$E$153,"",Escenario1!BN348)</f>
        <v>0.16272023165717134</v>
      </c>
      <c r="F347" s="79">
        <f>IF($C347&lt;=Entradas!$E$153,"",D347-E347)</f>
        <v>1.8513392959347091E-2</v>
      </c>
      <c r="G347" s="79">
        <f>IF($C347&lt;=Entradas!$E$153,"",D347-AVERAGE(D:D))</f>
        <v>-0.60161799689505946</v>
      </c>
      <c r="H347" s="79">
        <f>IF($C347&lt;=Entradas!$E$153,"",F347^2)</f>
        <v>3.4274571886720246E-4</v>
      </c>
      <c r="I347" s="79">
        <f>IF($C347&lt;=Entradas!$E$153,"",G347^2)</f>
        <v>0.36194421418802375</v>
      </c>
      <c r="J347" s="79">
        <f>IF($C347&lt;=Entradas!$E$153,"",E347-AVERAGE(E:E))</f>
        <v>-0.66821890900601388</v>
      </c>
      <c r="K347" s="79">
        <f>IF($C347&lt;=Entradas!$E$153,"",J347^2)</f>
        <v>0.44651651035318746</v>
      </c>
      <c r="L347" s="79">
        <f>IF($C347&lt;=Entradas!$E$153,"",G347*J347)</f>
        <v>0.40201252152360006</v>
      </c>
      <c r="M347" s="40"/>
    </row>
    <row r="348" spans="2:13">
      <c r="B348" s="39"/>
      <c r="C348" s="75">
        <v>343</v>
      </c>
      <c r="D348" s="110">
        <f>IF($C348&lt;=Entradas!$E$153,"",Observaciones!L348)</f>
        <v>0.17362348051319917</v>
      </c>
      <c r="E348" s="110">
        <f>IF($C348&lt;=Entradas!$E$153,"",Escenario1!BN349)</f>
        <v>0.12630244650949868</v>
      </c>
      <c r="F348" s="79">
        <f>IF($C348&lt;=Entradas!$E$153,"",D348-E348)</f>
        <v>4.7321034003700496E-2</v>
      </c>
      <c r="G348" s="79">
        <f>IF($C348&lt;=Entradas!$E$153,"",D348-AVERAGE(D:D))</f>
        <v>-0.60922814099837874</v>
      </c>
      <c r="H348" s="79">
        <f>IF($C348&lt;=Entradas!$E$153,"",F348^2)</f>
        <v>2.2392802591793787E-3</v>
      </c>
      <c r="I348" s="79">
        <f>IF($C348&lt;=Entradas!$E$153,"",G348^2)</f>
        <v>0.37115892778434045</v>
      </c>
      <c r="J348" s="79">
        <f>IF($C348&lt;=Entradas!$E$153,"",E348-AVERAGE(E:E))</f>
        <v>-0.70463669415368657</v>
      </c>
      <c r="K348" s="79">
        <f>IF($C348&lt;=Entradas!$E$153,"",J348^2)</f>
        <v>0.49651287074783601</v>
      </c>
      <c r="L348" s="79">
        <f>IF($C348&lt;=Entradas!$E$153,"",G348*J348)</f>
        <v>0.42928450325849365</v>
      </c>
      <c r="M348" s="40"/>
    </row>
    <row r="349" spans="2:13">
      <c r="B349" s="39"/>
      <c r="C349" s="75">
        <v>344</v>
      </c>
      <c r="D349" s="110">
        <f>IF($C349&lt;=Entradas!$E$153,"",Observaciones!L349)</f>
        <v>0.17054388143723909</v>
      </c>
      <c r="E349" s="110">
        <f>IF($C349&lt;=Entradas!$E$153,"",Escenario1!BN350)</f>
        <v>0.1193864017370575</v>
      </c>
      <c r="F349" s="79">
        <f>IF($C349&lt;=Entradas!$E$153,"",D349-E349)</f>
        <v>5.1157479700181585E-2</v>
      </c>
      <c r="G349" s="79">
        <f>IF($C349&lt;=Entradas!$E$153,"",D349-AVERAGE(D:D))</f>
        <v>-0.61230774007433886</v>
      </c>
      <c r="H349" s="79">
        <f>IF($C349&lt;=Entradas!$E$153,"",F349^2)</f>
        <v>2.6170877292744908E-3</v>
      </c>
      <c r="I349" s="79">
        <f>IF($C349&lt;=Entradas!$E$153,"",G349^2)</f>
        <v>0.37492076855494411</v>
      </c>
      <c r="J349" s="79">
        <f>IF($C349&lt;=Entradas!$E$153,"",E349-AVERAGE(E:E))</f>
        <v>-0.71155273892612769</v>
      </c>
      <c r="K349" s="79">
        <f>IF($C349&lt;=Entradas!$E$153,"",J349^2)</f>
        <v>0.50630730027327409</v>
      </c>
      <c r="L349" s="79">
        <f>IF($C349&lt;=Entradas!$E$153,"",G349*J349)</f>
        <v>0.43568924951556331</v>
      </c>
      <c r="M349" s="40"/>
    </row>
    <row r="350" spans="2:13">
      <c r="B350" s="39"/>
      <c r="C350" s="75">
        <v>345</v>
      </c>
      <c r="D350" s="110">
        <f>IF($C350&lt;=Entradas!$E$153,"",Observaciones!L350)</f>
        <v>0.16824011597996574</v>
      </c>
      <c r="E350" s="110">
        <f>IF($C350&lt;=Entradas!$E$153,"",Escenario1!BN351)</f>
        <v>0.11774722279901551</v>
      </c>
      <c r="F350" s="79">
        <f>IF($C350&lt;=Entradas!$E$153,"",D350-E350)</f>
        <v>5.0492893180950238E-2</v>
      </c>
      <c r="G350" s="79">
        <f>IF($C350&lt;=Entradas!$E$153,"",D350-AVERAGE(D:D))</f>
        <v>-0.61461150553161215</v>
      </c>
      <c r="H350" s="79">
        <f>IF($C350&lt;=Entradas!$E$153,"",F350^2)</f>
        <v>2.5495322617828512E-3</v>
      </c>
      <c r="I350" s="79">
        <f>IF($C350&lt;=Entradas!$E$153,"",G350^2)</f>
        <v>0.37774730273183493</v>
      </c>
      <c r="J350" s="79">
        <f>IF($C350&lt;=Entradas!$E$153,"",E350-AVERAGE(E:E))</f>
        <v>-0.71319191786416969</v>
      </c>
      <c r="K350" s="79">
        <f>IF($C350&lt;=Entradas!$E$153,"",J350^2)</f>
        <v>0.50864271170677255</v>
      </c>
      <c r="L350" s="79">
        <f>IF($C350&lt;=Entradas!$E$153,"",G350*J350)</f>
        <v>0.43833595837147521</v>
      </c>
      <c r="M350" s="40"/>
    </row>
    <row r="351" spans="2:13">
      <c r="B351" s="39"/>
      <c r="C351" s="75">
        <v>346</v>
      </c>
      <c r="D351" s="110">
        <f>IF($C351&lt;=Entradas!$E$153,"",Observaciones!L351)</f>
        <v>0.16608881011975146</v>
      </c>
      <c r="E351" s="110">
        <f>IF($C351&lt;=Entradas!$E$153,"",Escenario1!BN352)</f>
        <v>0.11667206147246603</v>
      </c>
      <c r="F351" s="79">
        <f>IF($C351&lt;=Entradas!$E$153,"",D351-E351)</f>
        <v>4.941674864728543E-2</v>
      </c>
      <c r="G351" s="79">
        <f>IF($C351&lt;=Entradas!$E$153,"",D351-AVERAGE(D:D))</f>
        <v>-0.61676281139182643</v>
      </c>
      <c r="H351" s="79">
        <f>IF($C351&lt;=Entradas!$E$153,"",F351^2)</f>
        <v>2.4420150468689862E-3</v>
      </c>
      <c r="I351" s="79">
        <f>IF($C351&lt;=Entradas!$E$153,"",G351^2)</f>
        <v>0.38039636551594963</v>
      </c>
      <c r="J351" s="79">
        <f>IF($C351&lt;=Entradas!$E$153,"",E351-AVERAGE(E:E))</f>
        <v>-0.71426707919071919</v>
      </c>
      <c r="K351" s="79">
        <f>IF($C351&lt;=Entradas!$E$153,"",J351^2)</f>
        <v>0.51017746041564116</v>
      </c>
      <c r="L351" s="79">
        <f>IF($C351&lt;=Entradas!$E$153,"",G351*J351)</f>
        <v>0.44053337184629626</v>
      </c>
      <c r="M351" s="40"/>
    </row>
    <row r="352" spans="2:13">
      <c r="B352" s="39"/>
      <c r="C352" s="75">
        <v>347</v>
      </c>
      <c r="D352" s="110">
        <f>IF($C352&lt;=Entradas!$E$153,"",Observaciones!L352)</f>
        <v>0.24027056372470662</v>
      </c>
      <c r="E352" s="110">
        <f>IF($C352&lt;=Entradas!$E$153,"",Escenario1!BN353)</f>
        <v>0.17557684688926747</v>
      </c>
      <c r="F352" s="79">
        <f>IF($C352&lt;=Entradas!$E$153,"",D352-E352)</f>
        <v>6.4693716835439147E-2</v>
      </c>
      <c r="G352" s="79">
        <f>IF($C352&lt;=Entradas!$E$153,"",D352-AVERAGE(D:D))</f>
        <v>-0.54258105778687127</v>
      </c>
      <c r="H352" s="79">
        <f>IF($C352&lt;=Entradas!$E$153,"",F352^2)</f>
        <v>4.1852769979839827E-3</v>
      </c>
      <c r="I352" s="79">
        <f>IF($C352&lt;=Entradas!$E$153,"",G352^2)</f>
        <v>0.29439420426912016</v>
      </c>
      <c r="J352" s="79">
        <f>IF($C352&lt;=Entradas!$E$153,"",E352-AVERAGE(E:E))</f>
        <v>-0.65536229377391775</v>
      </c>
      <c r="K352" s="79">
        <f>IF($C352&lt;=Entradas!$E$153,"",J352^2)</f>
        <v>0.42949973610061087</v>
      </c>
      <c r="L352" s="79">
        <f>IF($C352&lt;=Entradas!$E$153,"",G352*J352)</f>
        <v>0.35558716658948258</v>
      </c>
      <c r="M352" s="40"/>
    </row>
    <row r="353" spans="2:13">
      <c r="B353" s="39"/>
      <c r="C353" s="75">
        <v>348</v>
      </c>
      <c r="D353" s="110">
        <f>IF($C353&lt;=Entradas!$E$153,"",Observaciones!L353)</f>
        <v>0.17602344000916559</v>
      </c>
      <c r="E353" s="110">
        <f>IF($C353&lt;=Entradas!$E$153,"",Escenario1!BN354)</f>
        <v>0.12636030774394585</v>
      </c>
      <c r="F353" s="79">
        <f>IF($C353&lt;=Entradas!$E$153,"",D353-E353)</f>
        <v>4.9663132265219734E-2</v>
      </c>
      <c r="G353" s="79">
        <f>IF($C353&lt;=Entradas!$E$153,"",D353-AVERAGE(D:D))</f>
        <v>-0.60682818150241236</v>
      </c>
      <c r="H353" s="79">
        <f>IF($C353&lt;=Entradas!$E$153,"",F353^2)</f>
        <v>2.4664267063927094E-3</v>
      </c>
      <c r="I353" s="79">
        <f>IF($C353&lt;=Entradas!$E$153,"",G353^2)</f>
        <v>0.36824044186552474</v>
      </c>
      <c r="J353" s="79">
        <f>IF($C353&lt;=Entradas!$E$153,"",E353-AVERAGE(E:E))</f>
        <v>-0.70457883291923928</v>
      </c>
      <c r="K353" s="79">
        <f>IF($C353&lt;=Entradas!$E$153,"",J353^2)</f>
        <v>0.49643133179783733</v>
      </c>
      <c r="L353" s="79">
        <f>IF($C353&lt;=Entradas!$E$153,"",G353*J353)</f>
        <v>0.42755829190547401</v>
      </c>
      <c r="M353" s="40"/>
    </row>
    <row r="354" spans="2:13">
      <c r="B354" s="39"/>
      <c r="C354" s="75">
        <v>349</v>
      </c>
      <c r="D354" s="110">
        <f>IF($C354&lt;=Entradas!$E$153,"",Observaciones!L354)</f>
        <v>0.16221234771349963</v>
      </c>
      <c r="E354" s="110">
        <f>IF($C354&lt;=Entradas!$E$153,"",Escenario1!BN355)</f>
        <v>0.11493634241020588</v>
      </c>
      <c r="F354" s="79">
        <f>IF($C354&lt;=Entradas!$E$153,"",D354-E354)</f>
        <v>4.7276005303293747E-2</v>
      </c>
      <c r="G354" s="79">
        <f>IF($C354&lt;=Entradas!$E$153,"",D354-AVERAGE(D:D))</f>
        <v>-0.62063927379807837</v>
      </c>
      <c r="H354" s="79">
        <f>IF($C354&lt;=Entradas!$E$153,"",F354^2)</f>
        <v>2.2350206774370586E-3</v>
      </c>
      <c r="I354" s="79">
        <f>IF($C354&lt;=Entradas!$E$153,"",G354^2)</f>
        <v>0.38519310818060609</v>
      </c>
      <c r="J354" s="79">
        <f>IF($C354&lt;=Entradas!$E$153,"",E354-AVERAGE(E:E))</f>
        <v>-0.7160027982529793</v>
      </c>
      <c r="K354" s="79">
        <f>IF($C354&lt;=Entradas!$E$153,"",J354^2)</f>
        <v>0.5126600071060966</v>
      </c>
      <c r="L354" s="79">
        <f>IF($C354&lt;=Entradas!$E$153,"",G354*J354)</f>
        <v>0.44437945674512108</v>
      </c>
      <c r="M354" s="40"/>
    </row>
    <row r="355" spans="2:13">
      <c r="B355" s="39"/>
      <c r="C355" s="75">
        <v>350</v>
      </c>
      <c r="D355" s="110">
        <f>IF($C355&lt;=Entradas!$E$153,"",Observaciones!L355)</f>
        <v>0.64366414137024464</v>
      </c>
      <c r="E355" s="110">
        <f>IF($C355&lt;=Entradas!$E$153,"",Escenario1!BN356)</f>
        <v>0.28744749691859511</v>
      </c>
      <c r="F355" s="79">
        <f>IF($C355&lt;=Entradas!$E$153,"",D355-E355)</f>
        <v>0.35621664445164952</v>
      </c>
      <c r="G355" s="79">
        <f>IF($C355&lt;=Entradas!$E$153,"",D355-AVERAGE(D:D))</f>
        <v>-0.13918748014133331</v>
      </c>
      <c r="H355" s="79">
        <f>IF($C355&lt;=Entradas!$E$153,"",F355^2)</f>
        <v>0.1268902977843929</v>
      </c>
      <c r="I355" s="79">
        <f>IF($C355&lt;=Entradas!$E$153,"",G355^2)</f>
        <v>1.9373154628094053E-2</v>
      </c>
      <c r="J355" s="79">
        <f>IF($C355&lt;=Entradas!$E$153,"",E355-AVERAGE(E:E))</f>
        <v>-0.54349164374459003</v>
      </c>
      <c r="K355" s="79">
        <f>IF($C355&lt;=Entradas!$E$153,"",J355^2)</f>
        <v>0.29538316682019639</v>
      </c>
      <c r="L355" s="79">
        <f>IF($C355&lt;=Entradas!$E$153,"",G355*J355)</f>
        <v>7.5647232370680717E-2</v>
      </c>
      <c r="M355" s="40"/>
    </row>
    <row r="356" spans="2:13">
      <c r="B356" s="39"/>
      <c r="C356" s="75">
        <v>351</v>
      </c>
      <c r="D356" s="110">
        <f>IF($C356&lt;=Entradas!$E$153,"",Observaciones!L356)</f>
        <v>0.32743932773091122</v>
      </c>
      <c r="E356" s="110">
        <f>IF($C356&lt;=Entradas!$E$153,"",Escenario1!BN357)</f>
        <v>0.27042782265805965</v>
      </c>
      <c r="F356" s="79">
        <f>IF($C356&lt;=Entradas!$E$153,"",D356-E356)</f>
        <v>5.7011505072851576E-2</v>
      </c>
      <c r="G356" s="79">
        <f>IF($C356&lt;=Entradas!$E$153,"",D356-AVERAGE(D:D))</f>
        <v>-0.45541229378066672</v>
      </c>
      <c r="H356" s="79">
        <f>IF($C356&lt;=Entradas!$E$153,"",F356^2)</f>
        <v>3.2503117106717811E-3</v>
      </c>
      <c r="I356" s="79">
        <f>IF($C356&lt;=Entradas!$E$153,"",G356^2)</f>
        <v>0.20740035732656828</v>
      </c>
      <c r="J356" s="79">
        <f>IF($C356&lt;=Entradas!$E$153,"",E356-AVERAGE(E:E))</f>
        <v>-0.56051131800512555</v>
      </c>
      <c r="K356" s="79">
        <f>IF($C356&lt;=Entradas!$E$153,"",J356^2)</f>
        <v>0.31417293761184301</v>
      </c>
      <c r="L356" s="79">
        <f>IF($C356&lt;=Entradas!$E$153,"",G356*J356)</f>
        <v>0.25526374502273896</v>
      </c>
      <c r="M356" s="40"/>
    </row>
    <row r="357" spans="2:13">
      <c r="B357" s="39"/>
      <c r="C357" s="75">
        <v>352</v>
      </c>
      <c r="D357" s="110">
        <f>IF($C357&lt;=Entradas!$E$153,"",Observaciones!L357)</f>
        <v>0.26789078907782804</v>
      </c>
      <c r="E357" s="110">
        <f>IF($C357&lt;=Entradas!$E$153,"",Escenario1!BN358)</f>
        <v>0.21846221939994065</v>
      </c>
      <c r="F357" s="79">
        <f>IF($C357&lt;=Entradas!$E$153,"",D357-E357)</f>
        <v>4.9428569677887391E-2</v>
      </c>
      <c r="G357" s="79">
        <f>IF($C357&lt;=Entradas!$E$153,"",D357-AVERAGE(D:D))</f>
        <v>-0.5149608324337499</v>
      </c>
      <c r="H357" s="79">
        <f>IF($C357&lt;=Entradas!$E$153,"",F357^2)</f>
        <v>2.4431835004017689E-3</v>
      </c>
      <c r="I357" s="79">
        <f>IF($C357&lt;=Entradas!$E$153,"",G357^2)</f>
        <v>0.26518465894086063</v>
      </c>
      <c r="J357" s="79">
        <f>IF($C357&lt;=Entradas!$E$153,"",E357-AVERAGE(E:E))</f>
        <v>-0.6124769212632446</v>
      </c>
      <c r="K357" s="79">
        <f>IF($C357&lt;=Entradas!$E$153,"",J357^2)</f>
        <v>0.3751279790801027</v>
      </c>
      <c r="L357" s="79">
        <f>IF($C357&lt;=Entradas!$E$153,"",G357*J357)</f>
        <v>0.31540162522018073</v>
      </c>
      <c r="M357" s="40"/>
    </row>
    <row r="358" spans="2:13">
      <c r="B358" s="39"/>
      <c r="C358" s="75">
        <v>353</v>
      </c>
      <c r="D358" s="110">
        <f>IF($C358&lt;=Entradas!$E$153,"",Observaciones!L358)</f>
        <v>0.84251749354534256</v>
      </c>
      <c r="E358" s="110">
        <f>IF($C358&lt;=Entradas!$E$153,"",Escenario1!BN359)</f>
        <v>0.65104427193176351</v>
      </c>
      <c r="F358" s="79">
        <f>IF($C358&lt;=Entradas!$E$153,"",D358-E358)</f>
        <v>0.19147322161357905</v>
      </c>
      <c r="G358" s="79">
        <f>IF($C358&lt;=Entradas!$E$153,"",D358-AVERAGE(D:D))</f>
        <v>5.9665872033764611E-2</v>
      </c>
      <c r="H358" s="79">
        <f>IF($C358&lt;=Entradas!$E$153,"",F358^2)</f>
        <v>3.6661994595082757E-2</v>
      </c>
      <c r="I358" s="79">
        <f>IF($C358&lt;=Entradas!$E$153,"",G358^2)</f>
        <v>3.5600162855495741E-3</v>
      </c>
      <c r="J358" s="79">
        <f>IF($C358&lt;=Entradas!$E$153,"",E358-AVERAGE(E:E))</f>
        <v>-0.17989486873142169</v>
      </c>
      <c r="K358" s="79">
        <f>IF($C358&lt;=Entradas!$E$153,"",J358^2)</f>
        <v>3.2362163795895439E-2</v>
      </c>
      <c r="L358" s="79">
        <f>IF($C358&lt;=Entradas!$E$153,"",G358*J358)</f>
        <v>-1.073358421725989E-2</v>
      </c>
      <c r="M358" s="40"/>
    </row>
    <row r="359" spans="2:13">
      <c r="B359" s="39"/>
      <c r="C359" s="75">
        <v>354</v>
      </c>
      <c r="D359" s="110">
        <f>IF($C359&lt;=Entradas!$E$153,"",Observaciones!L359)</f>
        <v>0.62015373311605204</v>
      </c>
      <c r="E359" s="110">
        <f>IF($C359&lt;=Entradas!$E$153,"",Escenario1!BN360)</f>
        <v>0.5668981847192518</v>
      </c>
      <c r="F359" s="79">
        <f>IF($C359&lt;=Entradas!$E$153,"",D359-E359)</f>
        <v>5.3255548396800245E-2</v>
      </c>
      <c r="G359" s="79">
        <f>IF($C359&lt;=Entradas!$E$153,"",D359-AVERAGE(D:D))</f>
        <v>-0.1626978883955259</v>
      </c>
      <c r="H359" s="79">
        <f>IF($C359&lt;=Entradas!$E$153,"",F359^2)</f>
        <v>2.8361534350439333E-3</v>
      </c>
      <c r="I359" s="79">
        <f>IF($C359&lt;=Entradas!$E$153,"",G359^2)</f>
        <v>2.6470602888363001E-2</v>
      </c>
      <c r="J359" s="79">
        <f>IF($C359&lt;=Entradas!$E$153,"",E359-AVERAGE(E:E))</f>
        <v>-0.2640409559439334</v>
      </c>
      <c r="K359" s="79">
        <f>IF($C359&lt;=Entradas!$E$153,"",J359^2)</f>
        <v>6.9717626415786174E-2</v>
      </c>
      <c r="L359" s="79">
        <f>IF($C359&lt;=Entradas!$E$153,"",G359*J359)</f>
        <v>4.2958905982014045E-2</v>
      </c>
      <c r="M359" s="40"/>
    </row>
    <row r="360" spans="2:13">
      <c r="B360" s="39"/>
      <c r="C360" s="75">
        <v>355</v>
      </c>
      <c r="D360" s="110">
        <f>IF($C360&lt;=Entradas!$E$153,"",Observaciones!L360)</f>
        <v>0.52904074118082911</v>
      </c>
      <c r="E360" s="110">
        <f>IF($C360&lt;=Entradas!$E$153,"",Escenario1!BN361)</f>
        <v>0.48559245658086514</v>
      </c>
      <c r="F360" s="79">
        <f>IF($C360&lt;=Entradas!$E$153,"",D360-E360)</f>
        <v>4.3448284599963971E-2</v>
      </c>
      <c r="G360" s="79">
        <f>IF($C360&lt;=Entradas!$E$153,"",D360-AVERAGE(D:D))</f>
        <v>-0.25381088033074883</v>
      </c>
      <c r="H360" s="79">
        <f>IF($C360&lt;=Entradas!$E$153,"",F360^2)</f>
        <v>1.8877534346794663E-3</v>
      </c>
      <c r="I360" s="79">
        <f>IF($C360&lt;=Entradas!$E$153,"",G360^2)</f>
        <v>6.4419962974269704E-2</v>
      </c>
      <c r="J360" s="79">
        <f>IF($C360&lt;=Entradas!$E$153,"",E360-AVERAGE(E:E))</f>
        <v>-0.34534668408232005</v>
      </c>
      <c r="K360" s="79">
        <f>IF($C360&lt;=Entradas!$E$153,"",J360^2)</f>
        <v>0.11926433220665378</v>
      </c>
      <c r="L360" s="79">
        <f>IF($C360&lt;=Entradas!$E$153,"",G360*J360)</f>
        <v>8.7652745906238658E-2</v>
      </c>
      <c r="M360" s="40"/>
    </row>
    <row r="361" spans="2:13">
      <c r="B361" s="39"/>
      <c r="C361" s="75">
        <v>356</v>
      </c>
      <c r="D361" s="110">
        <f>IF($C361&lt;=Entradas!$E$153,"",Observaciones!L361)</f>
        <v>0.79576914643851782</v>
      </c>
      <c r="E361" s="110">
        <f>IF($C361&lt;=Entradas!$E$153,"",Escenario1!BN362)</f>
        <v>0.83655286808326479</v>
      </c>
      <c r="F361" s="79">
        <f>IF($C361&lt;=Entradas!$E$153,"",D361-E361)</f>
        <v>-4.0783721644746973E-2</v>
      </c>
      <c r="G361" s="79">
        <f>IF($C361&lt;=Entradas!$E$153,"",D361-AVERAGE(D:D))</f>
        <v>1.2917524926939872E-2</v>
      </c>
      <c r="H361" s="79">
        <f>IF($C361&lt;=Entradas!$E$153,"",F361^2)</f>
        <v>1.6633119511962027E-3</v>
      </c>
      <c r="I361" s="79">
        <f>IF($C361&lt;=Entradas!$E$153,"",G361^2)</f>
        <v>1.6686245023811295E-4</v>
      </c>
      <c r="J361" s="79">
        <f>IF($C361&lt;=Entradas!$E$153,"",E361-AVERAGE(E:E))</f>
        <v>5.613727420079595E-3</v>
      </c>
      <c r="K361" s="79">
        <f>IF($C361&lt;=Entradas!$E$153,"",J361^2)</f>
        <v>3.1513935546953507E-5</v>
      </c>
      <c r="L361" s="79">
        <f>IF($C361&lt;=Entradas!$E$153,"",G361*J361)</f>
        <v>7.2515463881924023E-5</v>
      </c>
      <c r="M361" s="40"/>
    </row>
    <row r="362" spans="2:13">
      <c r="B362" s="39"/>
      <c r="C362" s="75">
        <v>357</v>
      </c>
      <c r="D362" s="110">
        <f>IF($C362&lt;=Entradas!$E$153,"",Observaciones!L362)</f>
        <v>0.79476142854568022</v>
      </c>
      <c r="E362" s="110">
        <f>IF($C362&lt;=Entradas!$E$153,"",Escenario1!BN363)</f>
        <v>0.81019266909489573</v>
      </c>
      <c r="F362" s="79">
        <f>IF($C362&lt;=Entradas!$E$153,"",D362-E362)</f>
        <v>-1.5431240549215519E-2</v>
      </c>
      <c r="G362" s="79">
        <f>IF($C362&lt;=Entradas!$E$153,"",D362-AVERAGE(D:D))</f>
        <v>1.1909807034102271E-2</v>
      </c>
      <c r="H362" s="79">
        <f>IF($C362&lt;=Entradas!$E$153,"",F362^2)</f>
        <v>2.3812318488775327E-4</v>
      </c>
      <c r="I362" s="79">
        <f>IF($C362&lt;=Entradas!$E$153,"",G362^2)</f>
        <v>1.4184350358955193E-4</v>
      </c>
      <c r="J362" s="79">
        <f>IF($C362&lt;=Entradas!$E$153,"",E362-AVERAGE(E:E))</f>
        <v>-2.074647156828946E-2</v>
      </c>
      <c r="K362" s="79">
        <f>IF($C362&lt;=Entradas!$E$153,"",J362^2)</f>
        <v>4.3041608253384291E-4</v>
      </c>
      <c r="L362" s="79">
        <f>IF($C362&lt;=Entradas!$E$153,"",G362*J362)</f>
        <v>-2.4708647301681656E-4</v>
      </c>
      <c r="M362" s="40"/>
    </row>
    <row r="363" spans="2:13">
      <c r="B363" s="39"/>
      <c r="C363" s="75">
        <v>358</v>
      </c>
      <c r="D363" s="110">
        <f>IF($C363&lt;=Entradas!$E$153,"",Observaciones!L363)</f>
        <v>0.76562231624948685</v>
      </c>
      <c r="E363" s="110">
        <f>IF($C363&lt;=Entradas!$E$153,"",Escenario1!BN364)</f>
        <v>0.72050162953907393</v>
      </c>
      <c r="F363" s="79">
        <f>IF($C363&lt;=Entradas!$E$153,"",D363-E363)</f>
        <v>4.5120686710412916E-2</v>
      </c>
      <c r="G363" s="79">
        <f>IF($C363&lt;=Entradas!$E$153,"",D363-AVERAGE(D:D))</f>
        <v>-1.7229305262091099E-2</v>
      </c>
      <c r="H363" s="79">
        <f>IF($C363&lt;=Entradas!$E$153,"",F363^2)</f>
        <v>2.0358763692192327E-3</v>
      </c>
      <c r="I363" s="79">
        <f>IF($C363&lt;=Entradas!$E$153,"",G363^2)</f>
        <v>2.9684895981432004E-4</v>
      </c>
      <c r="J363" s="79">
        <f>IF($C363&lt;=Entradas!$E$153,"",E363-AVERAGE(E:E))</f>
        <v>-0.11043751112411127</v>
      </c>
      <c r="K363" s="79">
        <f>IF($C363&lt;=Entradas!$E$153,"",J363^2)</f>
        <v>1.2196443863288199E-2</v>
      </c>
      <c r="L363" s="79">
        <f>IF($C363&lt;=Entradas!$E$153,"",G363*J363)</f>
        <v>1.9027615915428945E-3</v>
      </c>
      <c r="M363" s="40"/>
    </row>
    <row r="364" spans="2:13">
      <c r="B364" s="39"/>
      <c r="C364" s="75">
        <v>359</v>
      </c>
      <c r="D364" s="110">
        <f>IF($C364&lt;=Entradas!$E$153,"",Observaciones!L364)</f>
        <v>3.5190219695095739</v>
      </c>
      <c r="E364" s="110">
        <f>IF($C364&lt;=Entradas!$E$153,"",Escenario1!BN365)</f>
        <v>1.1829327635680309</v>
      </c>
      <c r="F364" s="79">
        <f>IF($C364&lt;=Entradas!$E$153,"",D364-E364)</f>
        <v>2.3360892059415432</v>
      </c>
      <c r="G364" s="79">
        <f>IF($C364&lt;=Entradas!$E$153,"",D364-AVERAGE(D:D))</f>
        <v>2.7361703479979962</v>
      </c>
      <c r="H364" s="79">
        <f>IF($C364&lt;=Entradas!$E$153,"",F364^2)</f>
        <v>5.4573127781165898</v>
      </c>
      <c r="I364" s="79">
        <f>IF($C364&lt;=Entradas!$E$153,"",G364^2)</f>
        <v>7.4866281732634752</v>
      </c>
      <c r="J364" s="79">
        <f>IF($C364&lt;=Entradas!$E$153,"",E364-AVERAGE(E:E))</f>
        <v>0.3519936229048457</v>
      </c>
      <c r="K364" s="79">
        <f>IF($C364&lt;=Entradas!$E$153,"",J364^2)</f>
        <v>0.12389951056567872</v>
      </c>
      <c r="L364" s="79">
        <f>IF($C364&lt;=Entradas!$E$153,"",G364*J364)</f>
        <v>0.96311451367662715</v>
      </c>
      <c r="M364" s="40"/>
    </row>
    <row r="365" spans="2:13">
      <c r="B365" s="39"/>
      <c r="C365" s="75">
        <v>360</v>
      </c>
      <c r="D365" s="110">
        <f>IF($C365&lt;=Entradas!$E$153,"",Observaciones!L365)</f>
        <v>0.81293431633862812</v>
      </c>
      <c r="E365" s="110">
        <f>IF($C365&lt;=Entradas!$E$153,"",Escenario1!BN366)</f>
        <v>1.1779727815090733</v>
      </c>
      <c r="F365" s="79">
        <f>IF($C365&lt;=Entradas!$E$153,"",D365-E365)</f>
        <v>-0.36503846517044514</v>
      </c>
      <c r="G365" s="79">
        <f>IF($C365&lt;=Entradas!$E$153,"",D365-AVERAGE(D:D))</f>
        <v>3.0082694827050172E-2</v>
      </c>
      <c r="H365" s="79">
        <f>IF($C365&lt;=Entradas!$E$153,"",F365^2)</f>
        <v>0.13325308105399428</v>
      </c>
      <c r="I365" s="79">
        <f>IF($C365&lt;=Entradas!$E$153,"",G365^2)</f>
        <v>9.0496852805743114E-4</v>
      </c>
      <c r="J365" s="79">
        <f>IF($C365&lt;=Entradas!$E$153,"",E365-AVERAGE(E:E))</f>
        <v>0.34703364084588806</v>
      </c>
      <c r="K365" s="79">
        <f>IF($C365&lt;=Entradas!$E$153,"",J365^2)</f>
        <v>0.12043234787875283</v>
      </c>
      <c r="L365" s="79">
        <f>IF($C365&lt;=Entradas!$E$153,"",G365*J365)</f>
        <v>1.0439707112286983E-2</v>
      </c>
      <c r="M365" s="40"/>
    </row>
    <row r="366" spans="2:13">
      <c r="B366" s="39"/>
      <c r="C366" s="75">
        <v>361</v>
      </c>
      <c r="D366" s="110">
        <f>IF($C366&lt;=Entradas!$E$153,"",Observaciones!L366)</f>
        <v>0.81534545370273026</v>
      </c>
      <c r="E366" s="110">
        <f>IF($C366&lt;=Entradas!$E$153,"",Escenario1!BN367)</f>
        <v>1.1611493744641579</v>
      </c>
      <c r="F366" s="79">
        <f>IF($C366&lt;=Entradas!$E$153,"",D366-E366)</f>
        <v>-0.34580392076142763</v>
      </c>
      <c r="G366" s="79">
        <f>IF($C366&lt;=Entradas!$E$153,"",D366-AVERAGE(D:D))</f>
        <v>3.2493832191152316E-2</v>
      </c>
      <c r="H366" s="79">
        <f>IF($C366&lt;=Entradas!$E$153,"",F366^2)</f>
        <v>0.11958035161397572</v>
      </c>
      <c r="I366" s="79">
        <f>IF($C366&lt;=Entradas!$E$153,"",G366^2)</f>
        <v>1.0558491304667665E-3</v>
      </c>
      <c r="J366" s="79">
        <f>IF($C366&lt;=Entradas!$E$153,"",E366-AVERAGE(E:E))</f>
        <v>0.3302102338009727</v>
      </c>
      <c r="K366" s="79">
        <f>IF($C366&lt;=Entradas!$E$153,"",J366^2)</f>
        <v>0.10903879850689305</v>
      </c>
      <c r="L366" s="79">
        <f>IF($C366&lt;=Entradas!$E$153,"",G366*J366)</f>
        <v>1.072979592492998E-2</v>
      </c>
      <c r="M366" s="40"/>
    </row>
    <row r="367" spans="2:13">
      <c r="B367" s="39"/>
      <c r="C367" s="75">
        <v>362</v>
      </c>
      <c r="D367" s="110">
        <f>IF($C367&lt;=Entradas!$E$153,"",Observaciones!L367)</f>
        <v>0.81916599446896288</v>
      </c>
      <c r="E367" s="110">
        <f>IF($C367&lt;=Entradas!$E$153,"",Escenario1!BN368)</f>
        <v>1.1980296498910101</v>
      </c>
      <c r="F367" s="79">
        <f>IF($C367&lt;=Entradas!$E$153,"",D367-E367)</f>
        <v>-0.37886365542204725</v>
      </c>
      <c r="G367" s="79">
        <f>IF($C367&lt;=Entradas!$E$153,"",D367-AVERAGE(D:D))</f>
        <v>3.6314372957384933E-2</v>
      </c>
      <c r="H367" s="79">
        <f>IF($C367&lt;=Entradas!$E$153,"",F367^2)</f>
        <v>0.14353766939975576</v>
      </c>
      <c r="I367" s="79">
        <f>IF($C367&lt;=Entradas!$E$153,"",G367^2)</f>
        <v>1.3187336832880502E-3</v>
      </c>
      <c r="J367" s="79">
        <f>IF($C367&lt;=Entradas!$E$153,"",E367-AVERAGE(E:E))</f>
        <v>0.36709050922782493</v>
      </c>
      <c r="K367" s="79">
        <f>IF($C367&lt;=Entradas!$E$153,"",J367^2)</f>
        <v>0.13475544196514383</v>
      </c>
      <c r="L367" s="79">
        <f>IF($C367&lt;=Entradas!$E$153,"",G367*J367)</f>
        <v>1.333066166121559E-2</v>
      </c>
      <c r="M367" s="40"/>
    </row>
    <row r="368" spans="2:13">
      <c r="B368" s="39"/>
      <c r="C368" s="75">
        <v>363</v>
      </c>
      <c r="D368" s="110">
        <f>IF($C368&lt;=Entradas!$E$153,"",Observaciones!L368)</f>
        <v>0.82199530234862006</v>
      </c>
      <c r="E368" s="110">
        <f>IF($C368&lt;=Entradas!$E$153,"",Escenario1!BN369)</f>
        <v>1.204985025529258</v>
      </c>
      <c r="F368" s="79">
        <f>IF($C368&lt;=Entradas!$E$153,"",D368-E368)</f>
        <v>-0.38298972318063795</v>
      </c>
      <c r="G368" s="79">
        <f>IF($C368&lt;=Entradas!$E$153,"",D368-AVERAGE(D:D))</f>
        <v>3.9143680837042116E-2</v>
      </c>
      <c r="H368" s="79">
        <f>IF($C368&lt;=Entradas!$E$153,"",F368^2)</f>
        <v>0.14668112806198169</v>
      </c>
      <c r="I368" s="79">
        <f>IF($C368&lt;=Entradas!$E$153,"",G368^2)</f>
        <v>1.5322277494722182E-3</v>
      </c>
      <c r="J368" s="79">
        <f>IF($C368&lt;=Entradas!$E$153,"",E368-AVERAGE(E:E))</f>
        <v>0.37404588486607282</v>
      </c>
      <c r="K368" s="79">
        <f>IF($C368&lt;=Entradas!$E$153,"",J368^2)</f>
        <v>0.13991032398524339</v>
      </c>
      <c r="L368" s="79">
        <f>IF($C368&lt;=Entradas!$E$153,"",G368*J368)</f>
        <v>1.4641532735606557E-2</v>
      </c>
      <c r="M368" s="40"/>
    </row>
    <row r="369" spans="2:13">
      <c r="B369" s="39"/>
      <c r="C369" s="75">
        <v>364</v>
      </c>
      <c r="D369" s="110">
        <f>IF($C369&lt;=Entradas!$E$153,"",Observaciones!L369)</f>
        <v>0.82486829513646487</v>
      </c>
      <c r="E369" s="110">
        <f>IF($C369&lt;=Entradas!$E$153,"",Escenario1!BN370)</f>
        <v>1.2118476912045903</v>
      </c>
      <c r="F369" s="79">
        <f>IF($C369&lt;=Entradas!$E$153,"",D369-E369)</f>
        <v>-0.38697939606812548</v>
      </c>
      <c r="G369" s="79">
        <f>IF($C369&lt;=Entradas!$E$153,"",D369-AVERAGE(D:D))</f>
        <v>4.2016673624886924E-2</v>
      </c>
      <c r="H369" s="79">
        <f>IF($C369&lt;=Entradas!$E$153,"",F369^2)</f>
        <v>0.14975305298125113</v>
      </c>
      <c r="I369" s="79">
        <f>IF($C369&lt;=Entradas!$E$153,"",G369^2)</f>
        <v>1.7654008625002686E-3</v>
      </c>
      <c r="J369" s="79">
        <f>IF($C369&lt;=Entradas!$E$153,"",E369-AVERAGE(E:E))</f>
        <v>0.38090855054140516</v>
      </c>
      <c r="K369" s="79">
        <f>IF($C369&lt;=Entradas!$E$153,"",J369^2)</f>
        <v>0.14509132387555421</v>
      </c>
      <c r="L369" s="79">
        <f>IF($C369&lt;=Entradas!$E$153,"",G369*J369)</f>
        <v>1.6004510249026965E-2</v>
      </c>
      <c r="M369" s="40"/>
    </row>
    <row r="370" spans="2:13">
      <c r="B370" s="39"/>
      <c r="C370" s="75">
        <v>365</v>
      </c>
      <c r="D370" s="110">
        <f>IF($C370&lt;=Entradas!$E$153,"",Observaciones!L370)</f>
        <v>0.82741763483772712</v>
      </c>
      <c r="E370" s="110">
        <f>IF($C370&lt;=Entradas!$E$153,"",Escenario1!BN371)</f>
        <v>1.1900811454219828</v>
      </c>
      <c r="F370" s="79">
        <f>IF($C370&lt;=Entradas!$E$153,"",D370-E370)</f>
        <v>-0.36266351058425572</v>
      </c>
      <c r="G370" s="79">
        <f>IF($C370&lt;=Entradas!$E$153,"",D370-AVERAGE(D:D))</f>
        <v>4.4566013326149179E-2</v>
      </c>
      <c r="H370" s="79">
        <f>IF($C370&lt;=Entradas!$E$153,"",F370^2)</f>
        <v>0.13152482190929657</v>
      </c>
      <c r="I370" s="79">
        <f>IF($C370&lt;=Entradas!$E$153,"",G370^2)</f>
        <v>1.9861295437865064E-3</v>
      </c>
      <c r="J370" s="79">
        <f>IF($C370&lt;=Entradas!$E$153,"",E370-AVERAGE(E:E))</f>
        <v>0.35914200475879765</v>
      </c>
      <c r="K370" s="79">
        <f>IF($C370&lt;=Entradas!$E$153,"",J370^2)</f>
        <v>0.12898297958216823</v>
      </c>
      <c r="L370" s="79">
        <f>IF($C370&lt;=Entradas!$E$153,"",G370*J370)</f>
        <v>1.6005527370060509E-2</v>
      </c>
      <c r="M370" s="40"/>
    </row>
    <row r="371" spans="2:13">
      <c r="B371" s="39"/>
      <c r="C371" s="75">
        <v>366</v>
      </c>
      <c r="D371" s="110">
        <f>IF($C371&lt;=Entradas!$E$153,"",Observaciones!L371)</f>
        <v>2.6358852226188021</v>
      </c>
      <c r="E371" s="110">
        <f>IF($C371&lt;=Entradas!$E$153,"",Escenario1!BN372)</f>
        <v>1.342828938115693</v>
      </c>
      <c r="F371" s="79">
        <f>IF($C371&lt;=Entradas!$E$153,"",D371-E371)</f>
        <v>1.2930562845031091</v>
      </c>
      <c r="G371" s="79">
        <f>IF($C371&lt;=Entradas!$E$153,"",D371-AVERAGE(D:D))</f>
        <v>1.8530336011072241</v>
      </c>
      <c r="H371" s="79">
        <f>IF($C371&lt;=Entradas!$E$153,"",F371^2)</f>
        <v>1.6719945548929853</v>
      </c>
      <c r="I371" s="79">
        <f>IF($C371&lt;=Entradas!$E$153,"",G371^2)</f>
        <v>3.4337335268324072</v>
      </c>
      <c r="J371" s="79">
        <f>IF($C371&lt;=Entradas!$E$153,"",E371-AVERAGE(E:E))</f>
        <v>0.51188979745250784</v>
      </c>
      <c r="K371" s="79">
        <f>IF($C371&lt;=Entradas!$E$153,"",J371^2)</f>
        <v>0.26203116473596949</v>
      </c>
      <c r="L371" s="79">
        <f>IF($C371&lt;=Entradas!$E$153,"",G371*J371)</f>
        <v>0.94854899474346821</v>
      </c>
      <c r="M371" s="40"/>
    </row>
    <row r="372" spans="2:13">
      <c r="B372" s="39"/>
      <c r="C372" s="75">
        <v>367</v>
      </c>
      <c r="D372" s="110">
        <f>IF($C372&lt;=Entradas!$E$153,"",Observaciones!L372)</f>
        <v>0.84562130567263949</v>
      </c>
      <c r="E372" s="110">
        <f>IF($C372&lt;=Entradas!$E$153,"",Escenario1!BN373)</f>
        <v>1.2664955948848666</v>
      </c>
      <c r="F372" s="79">
        <f>IF($C372&lt;=Entradas!$E$153,"",D372-E372)</f>
        <v>-0.42087428921222714</v>
      </c>
      <c r="G372" s="79">
        <f>IF($C372&lt;=Entradas!$E$153,"",D372-AVERAGE(D:D))</f>
        <v>6.2769684161061545E-2</v>
      </c>
      <c r="H372" s="79">
        <f>IF($C372&lt;=Entradas!$E$153,"",F372^2)</f>
        <v>0.17713516731989742</v>
      </c>
      <c r="I372" s="79">
        <f>IF($C372&lt;=Entradas!$E$153,"",G372^2)</f>
        <v>3.9400332496794203E-3</v>
      </c>
      <c r="J372" s="79">
        <f>IF($C372&lt;=Entradas!$E$153,"",E372-AVERAGE(E:E))</f>
        <v>0.43555645422168143</v>
      </c>
      <c r="K372" s="79">
        <f>IF($C372&lt;=Entradas!$E$153,"",J372^2)</f>
        <v>0.18970942481416367</v>
      </c>
      <c r="L372" s="79">
        <f>IF($C372&lt;=Entradas!$E$153,"",G372*J372)</f>
        <v>2.7339741065806805E-2</v>
      </c>
      <c r="M372" s="40"/>
    </row>
    <row r="373" spans="2:13">
      <c r="B373" s="39"/>
      <c r="C373" s="75">
        <v>368</v>
      </c>
      <c r="D373" s="110">
        <f>IF($C373&lt;=Entradas!$E$153,"",Observaciones!L373)</f>
        <v>1.2544264455099672</v>
      </c>
      <c r="E373" s="110">
        <f>IF($C373&lt;=Entradas!$E$153,"",Escenario1!BN374)</f>
        <v>1.4244029548304611</v>
      </c>
      <c r="F373" s="79">
        <f>IF($C373&lt;=Entradas!$E$153,"",D373-E373)</f>
        <v>-0.16997650932049391</v>
      </c>
      <c r="G373" s="79">
        <f>IF($C373&lt;=Entradas!$E$153,"",D373-AVERAGE(D:D))</f>
        <v>0.47157482399838924</v>
      </c>
      <c r="H373" s="79">
        <f>IF($C373&lt;=Entradas!$E$153,"",F373^2)</f>
        <v>2.8892013720779951E-2</v>
      </c>
      <c r="I373" s="79">
        <f>IF($C373&lt;=Entradas!$E$153,"",G373^2)</f>
        <v>0.22238281462911177</v>
      </c>
      <c r="J373" s="79">
        <f>IF($C373&lt;=Entradas!$E$153,"",E373-AVERAGE(E:E))</f>
        <v>0.59346381416727589</v>
      </c>
      <c r="K373" s="79">
        <f>IF($C373&lt;=Entradas!$E$153,"",J373^2)</f>
        <v>0.352199298725971</v>
      </c>
      <c r="L373" s="79">
        <f>IF($C373&lt;=Entradas!$E$153,"",G373*J373)</f>
        <v>0.27986259371534589</v>
      </c>
      <c r="M373" s="40"/>
    </row>
    <row r="374" spans="2:13">
      <c r="B374" s="39"/>
      <c r="C374" s="75">
        <v>369</v>
      </c>
      <c r="D374" s="110">
        <f>IF($C374&lt;=Entradas!$E$153,"",Observaciones!L374)</f>
        <v>0.86545968799630535</v>
      </c>
      <c r="E374" s="110">
        <f>IF($C374&lt;=Entradas!$E$153,"",Escenario1!BN375)</f>
        <v>1.3917897986605976</v>
      </c>
      <c r="F374" s="79">
        <f>IF($C374&lt;=Entradas!$E$153,"",D374-E374)</f>
        <v>-0.52633011066429225</v>
      </c>
      <c r="G374" s="79">
        <f>IF($C374&lt;=Entradas!$E$153,"",D374-AVERAGE(D:D))</f>
        <v>8.2608066484727405E-2</v>
      </c>
      <c r="H374" s="79">
        <f>IF($C374&lt;=Entradas!$E$153,"",F374^2)</f>
        <v>0.27702338539188615</v>
      </c>
      <c r="I374" s="79">
        <f>IF($C374&lt;=Entradas!$E$153,"",G374^2)</f>
        <v>6.8240926483451435E-3</v>
      </c>
      <c r="J374" s="79">
        <f>IF($C374&lt;=Entradas!$E$153,"",E374-AVERAGE(E:E))</f>
        <v>0.56085065799741241</v>
      </c>
      <c r="K374" s="79">
        <f>IF($C374&lt;=Entradas!$E$153,"",J374^2)</f>
        <v>0.31455346057613043</v>
      </c>
      <c r="L374" s="79">
        <f>IF($C374&lt;=Entradas!$E$153,"",G374*J374)</f>
        <v>4.6330788443853355E-2</v>
      </c>
      <c r="M374" s="40"/>
    </row>
    <row r="375" spans="2:13">
      <c r="B375" s="39"/>
      <c r="C375" s="75">
        <v>370</v>
      </c>
      <c r="D375" s="110">
        <f>IF($C375&lt;=Entradas!$E$153,"",Observaciones!L375)</f>
        <v>0.87401138708168846</v>
      </c>
      <c r="E375" s="110">
        <f>IF($C375&lt;=Entradas!$E$153,"",Escenario1!BN376)</f>
        <v>1.4671729718940023</v>
      </c>
      <c r="F375" s="79">
        <f>IF($C375&lt;=Entradas!$E$153,"",D375-E375)</f>
        <v>-0.59316158481231385</v>
      </c>
      <c r="G375" s="79">
        <f>IF($C375&lt;=Entradas!$E$153,"",D375-AVERAGE(D:D))</f>
        <v>9.1159765570110518E-2</v>
      </c>
      <c r="H375" s="79">
        <f>IF($C375&lt;=Entradas!$E$153,"",F375^2)</f>
        <v>0.3518406656970558</v>
      </c>
      <c r="I375" s="79">
        <f>IF($C375&lt;=Entradas!$E$153,"",G375^2)</f>
        <v>8.3101028587975068E-3</v>
      </c>
      <c r="J375" s="79">
        <f>IF($C375&lt;=Entradas!$E$153,"",E375-AVERAGE(E:E))</f>
        <v>0.63623383123081712</v>
      </c>
      <c r="K375" s="79">
        <f>IF($C375&lt;=Entradas!$E$153,"",J375^2)</f>
        <v>0.40479348800264386</v>
      </c>
      <c r="L375" s="79">
        <f>IF($C375&lt;=Entradas!$E$153,"",G375*J375)</f>
        <v>5.7998926902774549E-2</v>
      </c>
      <c r="M375" s="40"/>
    </row>
    <row r="376" spans="2:13">
      <c r="B376" s="39"/>
      <c r="C376" s="75">
        <v>371</v>
      </c>
      <c r="D376" s="110">
        <f>IF($C376&lt;=Entradas!$E$153,"",Observaciones!L376)</f>
        <v>1.9049229743664646</v>
      </c>
      <c r="E376" s="110">
        <f>IF($C376&lt;=Entradas!$E$153,"",Escenario1!BN377)</f>
        <v>1.5805772621274994</v>
      </c>
      <c r="F376" s="79">
        <f>IF($C376&lt;=Entradas!$E$153,"",D376-E376)</f>
        <v>0.32434571223896524</v>
      </c>
      <c r="G376" s="79">
        <f>IF($C376&lt;=Entradas!$E$153,"",D376-AVERAGE(D:D))</f>
        <v>1.1220713528548867</v>
      </c>
      <c r="H376" s="79">
        <f>IF($C376&lt;=Entradas!$E$153,"",F376^2)</f>
        <v>0.10520014104780165</v>
      </c>
      <c r="I376" s="79">
        <f>IF($C376&lt;=Entradas!$E$153,"",G376^2)</f>
        <v>1.2590441208975955</v>
      </c>
      <c r="J376" s="79">
        <f>IF($C376&lt;=Entradas!$E$153,"",E376-AVERAGE(E:E))</f>
        <v>0.74963812146431419</v>
      </c>
      <c r="K376" s="79">
        <f>IF($C376&lt;=Entradas!$E$153,"",J376^2)</f>
        <v>0.56195731315254582</v>
      </c>
      <c r="L376" s="79">
        <f>IF($C376&lt;=Entradas!$E$153,"",G376*J376)</f>
        <v>0.84114746110305894</v>
      </c>
      <c r="M376" s="40"/>
    </row>
    <row r="377" spans="2:13">
      <c r="B377" s="39"/>
      <c r="C377" s="75">
        <v>372</v>
      </c>
      <c r="D377" s="110">
        <f>IF($C377&lt;=Entradas!$E$153,"",Observaciones!L377)</f>
        <v>0.89378298074723239</v>
      </c>
      <c r="E377" s="110">
        <f>IF($C377&lt;=Entradas!$E$153,"",Escenario1!BN378)</f>
        <v>1.499270660382874</v>
      </c>
      <c r="F377" s="79">
        <f>IF($C377&lt;=Entradas!$E$153,"",D377-E377)</f>
        <v>-0.60548767963564165</v>
      </c>
      <c r="G377" s="79">
        <f>IF($C377&lt;=Entradas!$E$153,"",D377-AVERAGE(D:D))</f>
        <v>0.11093135923565445</v>
      </c>
      <c r="H377" s="79">
        <f>IF($C377&lt;=Entradas!$E$153,"",F377^2)</f>
        <v>0.36661533019055342</v>
      </c>
      <c r="I377" s="79">
        <f>IF($C377&lt;=Entradas!$E$153,"",G377^2)</f>
        <v>1.2305766461869818E-2</v>
      </c>
      <c r="J377" s="79">
        <f>IF($C377&lt;=Entradas!$E$153,"",E377-AVERAGE(E:E))</f>
        <v>0.66833151971968885</v>
      </c>
      <c r="K377" s="79">
        <f>IF($C377&lt;=Entradas!$E$153,"",J377^2)</f>
        <v>0.44666702025082883</v>
      </c>
      <c r="L377" s="79">
        <f>IF($C377&lt;=Entradas!$E$153,"",G377*J377)</f>
        <v>7.4138923902535681E-2</v>
      </c>
      <c r="M377" s="40"/>
    </row>
    <row r="378" spans="2:13">
      <c r="B378" s="39"/>
      <c r="C378" s="75">
        <v>373</v>
      </c>
      <c r="D378" s="110">
        <f>IF($C378&lt;=Entradas!$E$153,"",Observaciones!L378)</f>
        <v>0.8966474132540414</v>
      </c>
      <c r="E378" s="110">
        <f>IF($C378&lt;=Entradas!$E$153,"",Escenario1!BN379)</f>
        <v>1.3990447613042354</v>
      </c>
      <c r="F378" s="79">
        <f>IF($C378&lt;=Entradas!$E$153,"",D378-E378)</f>
        <v>-0.50239734805019398</v>
      </c>
      <c r="G378" s="79">
        <f>IF($C378&lt;=Entradas!$E$153,"",D378-AVERAGE(D:D))</f>
        <v>0.11379579174246346</v>
      </c>
      <c r="H378" s="79">
        <f>IF($C378&lt;=Entradas!$E$153,"",F378^2)</f>
        <v>0.25240309532786775</v>
      </c>
      <c r="I378" s="79">
        <f>IF($C378&lt;=Entradas!$E$153,"",G378^2)</f>
        <v>1.2949482218294115E-2</v>
      </c>
      <c r="J378" s="79">
        <f>IF($C378&lt;=Entradas!$E$153,"",E378-AVERAGE(E:E))</f>
        <v>0.56810562064105019</v>
      </c>
      <c r="K378" s="79">
        <f>IF($C378&lt;=Entradas!$E$153,"",J378^2)</f>
        <v>0.32274399620395283</v>
      </c>
      <c r="L378" s="79">
        <f>IF($C378&lt;=Entradas!$E$153,"",G378*J378)</f>
        <v>6.4648028894191897E-2</v>
      </c>
      <c r="M378" s="40"/>
    </row>
    <row r="379" spans="2:13">
      <c r="B379" s="39"/>
      <c r="C379" s="75">
        <v>374</v>
      </c>
      <c r="D379" s="110">
        <f>IF($C379&lt;=Entradas!$E$153,"",Observaciones!L379)</f>
        <v>0.89853350491710149</v>
      </c>
      <c r="E379" s="110">
        <f>IF($C379&lt;=Entradas!$E$153,"",Escenario1!BN380)</f>
        <v>1.3021792751123495</v>
      </c>
      <c r="F379" s="79">
        <f>IF($C379&lt;=Entradas!$E$153,"",D379-E379)</f>
        <v>-0.40364577019524805</v>
      </c>
      <c r="G379" s="79">
        <f>IF($C379&lt;=Entradas!$E$153,"",D379-AVERAGE(D:D))</f>
        <v>0.11568188340552354</v>
      </c>
      <c r="H379" s="79">
        <f>IF($C379&lt;=Entradas!$E$153,"",F379^2)</f>
        <v>0.16292990779651501</v>
      </c>
      <c r="I379" s="79">
        <f>IF($C379&lt;=Entradas!$E$153,"",G379^2)</f>
        <v>1.3382298148249143E-2</v>
      </c>
      <c r="J379" s="79">
        <f>IF($C379&lt;=Entradas!$E$153,"",E379-AVERAGE(E:E))</f>
        <v>0.47124013444916435</v>
      </c>
      <c r="K379" s="79">
        <f>IF($C379&lt;=Entradas!$E$153,"",J379^2)</f>
        <v>0.22206726431566648</v>
      </c>
      <c r="L379" s="79">
        <f>IF($C379&lt;=Entradas!$E$153,"",G379*J379)</f>
        <v>5.4513946289351467E-2</v>
      </c>
      <c r="M379" s="40"/>
    </row>
    <row r="380" spans="2:13">
      <c r="B380" s="39"/>
      <c r="C380" s="75">
        <v>375</v>
      </c>
      <c r="D380" s="110">
        <f>IF($C380&lt;=Entradas!$E$153,"",Observaciones!L380)</f>
        <v>0.89951518062780633</v>
      </c>
      <c r="E380" s="110">
        <f>IF($C380&lt;=Entradas!$E$153,"",Escenario1!BN381)</f>
        <v>1.2113346560957572</v>
      </c>
      <c r="F380" s="79">
        <f>IF($C380&lt;=Entradas!$E$153,"",D380-E380)</f>
        <v>-0.31181947546795086</v>
      </c>
      <c r="G380" s="79">
        <f>IF($C380&lt;=Entradas!$E$153,"",D380-AVERAGE(D:D))</f>
        <v>0.11666355911622839</v>
      </c>
      <c r="H380" s="79">
        <f>IF($C380&lt;=Entradas!$E$153,"",F380^2)</f>
        <v>9.7231385281108001E-2</v>
      </c>
      <c r="I380" s="79">
        <f>IF($C380&lt;=Entradas!$E$153,"",G380^2)</f>
        <v>1.3610386025665716E-2</v>
      </c>
      <c r="J380" s="79">
        <f>IF($C380&lt;=Entradas!$E$153,"",E380-AVERAGE(E:E))</f>
        <v>0.380395515432572</v>
      </c>
      <c r="K380" s="79">
        <f>IF($C380&lt;=Entradas!$E$153,"",J380^2)</f>
        <v>0.14470074816121212</v>
      </c>
      <c r="L380" s="79">
        <f>IF($C380&lt;=Entradas!$E$153,"",G380*J380)</f>
        <v>4.4378294702216034E-2</v>
      </c>
      <c r="M380" s="40"/>
    </row>
    <row r="381" spans="2:13">
      <c r="B381" s="39"/>
      <c r="C381" s="75">
        <v>376</v>
      </c>
      <c r="D381" s="110">
        <f>IF($C381&lt;=Entradas!$E$153,"",Observaciones!L381)</f>
        <v>0.90044868298428149</v>
      </c>
      <c r="E381" s="110">
        <f>IF($C381&lt;=Entradas!$E$153,"",Escenario1!BN382)</f>
        <v>1.2085714782765213</v>
      </c>
      <c r="F381" s="79">
        <f>IF($C381&lt;=Entradas!$E$153,"",D381-E381)</f>
        <v>-0.30812279529223985</v>
      </c>
      <c r="G381" s="79">
        <f>IF($C381&lt;=Entradas!$E$153,"",D381-AVERAGE(D:D))</f>
        <v>0.11759706147270355</v>
      </c>
      <c r="H381" s="79">
        <f>IF($C381&lt;=Entradas!$E$153,"",F381^2)</f>
        <v>9.4939656978703546E-2</v>
      </c>
      <c r="I381" s="79">
        <f>IF($C381&lt;=Entradas!$E$153,"",G381^2)</f>
        <v>1.3829068867014816E-2</v>
      </c>
      <c r="J381" s="79">
        <f>IF($C381&lt;=Entradas!$E$153,"",E381-AVERAGE(E:E))</f>
        <v>0.37763233761333614</v>
      </c>
      <c r="K381" s="79">
        <f>IF($C381&lt;=Entradas!$E$153,"",J381^2)</f>
        <v>0.1426061824113127</v>
      </c>
      <c r="L381" s="79">
        <f>IF($C381&lt;=Entradas!$E$153,"",G381*J381)</f>
        <v>4.440845322039623E-2</v>
      </c>
      <c r="M381" s="40"/>
    </row>
    <row r="382" spans="2:13">
      <c r="B382" s="39"/>
      <c r="C382" s="75">
        <v>377</v>
      </c>
      <c r="D382" s="110">
        <f>IF($C382&lt;=Entradas!$E$153,"",Observaciones!L382)</f>
        <v>2.1076306730857404</v>
      </c>
      <c r="E382" s="110">
        <f>IF($C382&lt;=Entradas!$E$153,"",Escenario1!BN383)</f>
        <v>1.5936946338340183</v>
      </c>
      <c r="F382" s="79">
        <f>IF($C382&lt;=Entradas!$E$153,"",D382-E382)</f>
        <v>0.51393603925172204</v>
      </c>
      <c r="G382" s="79">
        <f>IF($C382&lt;=Entradas!$E$153,"",D382-AVERAGE(D:D))</f>
        <v>1.3247790515741624</v>
      </c>
      <c r="H382" s="79">
        <f>IF($C382&lt;=Entradas!$E$153,"",F382^2)</f>
        <v>0.26413025244174759</v>
      </c>
      <c r="I382" s="79">
        <f>IF($C382&lt;=Entradas!$E$153,"",G382^2)</f>
        <v>1.7550395354897372</v>
      </c>
      <c r="J382" s="79">
        <f>IF($C382&lt;=Entradas!$E$153,"",E382-AVERAGE(E:E))</f>
        <v>0.76275549317083313</v>
      </c>
      <c r="K382" s="79">
        <f>IF($C382&lt;=Entradas!$E$153,"",J382^2)</f>
        <v>0.58179594236228083</v>
      </c>
      <c r="L382" s="79">
        <f>IF($C382&lt;=Entradas!$E$153,"",G382*J382)</f>
        <v>1.0104824988258387</v>
      </c>
      <c r="M382" s="40"/>
    </row>
    <row r="383" spans="2:13">
      <c r="B383" s="39"/>
      <c r="C383" s="75">
        <v>378</v>
      </c>
      <c r="D383" s="110">
        <f>IF($C383&lt;=Entradas!$E$153,"",Observaciones!L383)</f>
        <v>0.91922953932504359</v>
      </c>
      <c r="E383" s="110">
        <f>IF($C383&lt;=Entradas!$E$153,"",Escenario1!BN384)</f>
        <v>1.502708015007042</v>
      </c>
      <c r="F383" s="79">
        <f>IF($C383&lt;=Entradas!$E$153,"",D383-E383)</f>
        <v>-0.5834784756819984</v>
      </c>
      <c r="G383" s="79">
        <f>IF($C383&lt;=Entradas!$E$153,"",D383-AVERAGE(D:D))</f>
        <v>0.13637791781346564</v>
      </c>
      <c r="H383" s="79">
        <f>IF($C383&lt;=Entradas!$E$153,"",F383^2)</f>
        <v>0.34044713158418838</v>
      </c>
      <c r="I383" s="79">
        <f>IF($C383&lt;=Entradas!$E$153,"",G383^2)</f>
        <v>1.8598936467136389E-2</v>
      </c>
      <c r="J383" s="79">
        <f>IF($C383&lt;=Entradas!$E$153,"",E383-AVERAGE(E:E))</f>
        <v>0.67176887434385679</v>
      </c>
      <c r="K383" s="79">
        <f>IF($C383&lt;=Entradas!$E$153,"",J383^2)</f>
        <v>0.45127342053721248</v>
      </c>
      <c r="L383" s="79">
        <f>IF($C383&lt;=Entradas!$E$153,"",G383*J383)</f>
        <v>9.1614440334910827E-2</v>
      </c>
      <c r="M383" s="40"/>
    </row>
    <row r="384" spans="2:13">
      <c r="B384" s="39"/>
      <c r="C384" s="75">
        <v>379</v>
      </c>
      <c r="D384" s="110">
        <f>IF($C384&lt;=Entradas!$E$153,"",Observaciones!L384)</f>
        <v>0.92163806911027246</v>
      </c>
      <c r="E384" s="110">
        <f>IF($C384&lt;=Entradas!$E$153,"",Escenario1!BN385)</f>
        <v>1.4147616691071587</v>
      </c>
      <c r="F384" s="79">
        <f>IF($C384&lt;=Entradas!$E$153,"",D384-E384)</f>
        <v>-0.49312359999688626</v>
      </c>
      <c r="G384" s="79">
        <f>IF($C384&lt;=Entradas!$E$153,"",D384-AVERAGE(D:D))</f>
        <v>0.13878644759869452</v>
      </c>
      <c r="H384" s="79">
        <f>IF($C384&lt;=Entradas!$E$153,"",F384^2)</f>
        <v>0.24317088487388908</v>
      </c>
      <c r="I384" s="79">
        <f>IF($C384&lt;=Entradas!$E$153,"",G384^2)</f>
        <v>1.9261678037065178E-2</v>
      </c>
      <c r="J384" s="79">
        <f>IF($C384&lt;=Entradas!$E$153,"",E384-AVERAGE(E:E))</f>
        <v>0.58382252844397353</v>
      </c>
      <c r="K384" s="79">
        <f>IF($C384&lt;=Entradas!$E$153,"",J384^2)</f>
        <v>0.34084874471871429</v>
      </c>
      <c r="L384" s="79">
        <f>IF($C384&lt;=Entradas!$E$153,"",G384*J384)</f>
        <v>8.1026654750826876E-2</v>
      </c>
      <c r="M384" s="40"/>
    </row>
    <row r="385" spans="2:13">
      <c r="B385" s="39"/>
      <c r="C385" s="75">
        <v>380</v>
      </c>
      <c r="D385" s="110">
        <f>IF($C385&lt;=Entradas!$E$153,"",Observaciones!L385)</f>
        <v>0.92322092317354287</v>
      </c>
      <c r="E385" s="110">
        <f>IF($C385&lt;=Entradas!$E$153,"",Escenario1!BN386)</f>
        <v>1.3326634918344433</v>
      </c>
      <c r="F385" s="79">
        <f>IF($C385&lt;=Entradas!$E$153,"",D385-E385)</f>
        <v>-0.40944256866090045</v>
      </c>
      <c r="G385" s="79">
        <f>IF($C385&lt;=Entradas!$E$153,"",D385-AVERAGE(D:D))</f>
        <v>0.14036930166196493</v>
      </c>
      <c r="H385" s="79">
        <f>IF($C385&lt;=Entradas!$E$153,"",F385^2)</f>
        <v>0.16764321703163618</v>
      </c>
      <c r="I385" s="79">
        <f>IF($C385&lt;=Entradas!$E$153,"",G385^2)</f>
        <v>1.9703540849067711E-2</v>
      </c>
      <c r="J385" s="79">
        <f>IF($C385&lt;=Entradas!$E$153,"",E385-AVERAGE(E:E))</f>
        <v>0.50172435117125813</v>
      </c>
      <c r="K385" s="79">
        <f>IF($C385&lt;=Entradas!$E$153,"",J385^2)</f>
        <v>0.25172732455821994</v>
      </c>
      <c r="L385" s="79">
        <f>IF($C385&lt;=Entradas!$E$153,"",G385*J385)</f>
        <v>7.0426696800711966E-2</v>
      </c>
      <c r="M385" s="40"/>
    </row>
    <row r="386" spans="2:13">
      <c r="B386" s="39"/>
      <c r="C386" s="75">
        <v>381</v>
      </c>
      <c r="D386" s="110">
        <f>IF($C386&lt;=Entradas!$E$153,"",Observaciones!L386)</f>
        <v>0.92386977531693359</v>
      </c>
      <c r="E386" s="110">
        <f>IF($C386&lt;=Entradas!$E$153,"",Escenario1!BN387)</f>
        <v>1.2377188593344464</v>
      </c>
      <c r="F386" s="79">
        <f>IF($C386&lt;=Entradas!$E$153,"",D386-E386)</f>
        <v>-0.31384908401751277</v>
      </c>
      <c r="G386" s="79">
        <f>IF($C386&lt;=Entradas!$E$153,"",D386-AVERAGE(D:D))</f>
        <v>0.14101815380535565</v>
      </c>
      <c r="H386" s="79">
        <f>IF($C386&lt;=Entradas!$E$153,"",F386^2)</f>
        <v>9.8501247538631792E-2</v>
      </c>
      <c r="I386" s="79">
        <f>IF($C386&lt;=Entradas!$E$153,"",G386^2)</f>
        <v>1.9886119702670943E-2</v>
      </c>
      <c r="J386" s="79">
        <f>IF($C386&lt;=Entradas!$E$153,"",E386-AVERAGE(E:E))</f>
        <v>0.40677971867126117</v>
      </c>
      <c r="K386" s="79">
        <f>IF($C386&lt;=Entradas!$E$153,"",J386^2)</f>
        <v>0.16546973952227037</v>
      </c>
      <c r="L386" s="79">
        <f>IF($C386&lt;=Entradas!$E$153,"",G386*J386)</f>
        <v>5.7363324932483209E-2</v>
      </c>
      <c r="M386" s="40"/>
    </row>
    <row r="387" spans="2:13">
      <c r="B387" s="39"/>
      <c r="C387" s="75">
        <v>382</v>
      </c>
      <c r="D387" s="110">
        <f>IF($C387&lt;=Entradas!$E$153,"",Observaciones!L387)</f>
        <v>0.9294296188990443</v>
      </c>
      <c r="E387" s="110">
        <f>IF($C387&lt;=Entradas!$E$153,"",Escenario1!BN388)</f>
        <v>1.410364202404959</v>
      </c>
      <c r="F387" s="79">
        <f>IF($C387&lt;=Entradas!$E$153,"",D387-E387)</f>
        <v>-0.48093458350591467</v>
      </c>
      <c r="G387" s="79">
        <f>IF($C387&lt;=Entradas!$E$153,"",D387-AVERAGE(D:D))</f>
        <v>0.14657799738746635</v>
      </c>
      <c r="H387" s="79">
        <f>IF($C387&lt;=Entradas!$E$153,"",F387^2)</f>
        <v>0.2312980736120076</v>
      </c>
      <c r="I387" s="79">
        <f>IF($C387&lt;=Entradas!$E$153,"",G387^2)</f>
        <v>2.1485109318120092E-2</v>
      </c>
      <c r="J387" s="79">
        <f>IF($C387&lt;=Entradas!$E$153,"",E387-AVERAGE(E:E))</f>
        <v>0.57942506174177377</v>
      </c>
      <c r="K387" s="79">
        <f>IF($C387&lt;=Entradas!$E$153,"",J387^2)</f>
        <v>0.33573340217445835</v>
      </c>
      <c r="L387" s="79">
        <f>IF($C387&lt;=Entradas!$E$153,"",G387*J387)</f>
        <v>8.4930965186218246E-2</v>
      </c>
      <c r="M387" s="40"/>
    </row>
    <row r="388" spans="2:13">
      <c r="B388" s="39"/>
      <c r="C388" s="75">
        <v>383</v>
      </c>
      <c r="D388" s="110">
        <f>IF($C388&lt;=Entradas!$E$153,"",Observaciones!L388)</f>
        <v>0.93132490658292566</v>
      </c>
      <c r="E388" s="110">
        <f>IF($C388&lt;=Entradas!$E$153,"",Escenario1!BN389)</f>
        <v>1.3904589736931272</v>
      </c>
      <c r="F388" s="79">
        <f>IF($C388&lt;=Entradas!$E$153,"",D388-E388)</f>
        <v>-0.45913406711020155</v>
      </c>
      <c r="G388" s="79">
        <f>IF($C388&lt;=Entradas!$E$153,"",D388-AVERAGE(D:D))</f>
        <v>0.14847328507134772</v>
      </c>
      <c r="H388" s="79">
        <f>IF($C388&lt;=Entradas!$E$153,"",F388^2)</f>
        <v>0.21080409158115507</v>
      </c>
      <c r="I388" s="79">
        <f>IF($C388&lt;=Entradas!$E$153,"",G388^2)</f>
        <v>2.2044316379877686E-2</v>
      </c>
      <c r="J388" s="79">
        <f>IF($C388&lt;=Entradas!$E$153,"",E388-AVERAGE(E:E))</f>
        <v>0.55951983302994202</v>
      </c>
      <c r="K388" s="79">
        <f>IF($C388&lt;=Entradas!$E$153,"",J388^2)</f>
        <v>0.31306244355385421</v>
      </c>
      <c r="L388" s="79">
        <f>IF($C388&lt;=Entradas!$E$153,"",G388*J388)</f>
        <v>8.3073747672527454E-2</v>
      </c>
      <c r="M388" s="40"/>
    </row>
    <row r="389" spans="2:13">
      <c r="B389" s="39"/>
      <c r="C389" s="75">
        <v>384</v>
      </c>
      <c r="D389" s="110">
        <f>IF($C389&lt;=Entradas!$E$153,"",Observaciones!L389)</f>
        <v>0.9368486446936386</v>
      </c>
      <c r="E389" s="110">
        <f>IF($C389&lt;=Entradas!$E$153,"",Escenario1!BN390)</f>
        <v>1.5317701081611401</v>
      </c>
      <c r="F389" s="79">
        <f>IF($C389&lt;=Entradas!$E$153,"",D389-E389)</f>
        <v>-0.59492146346750152</v>
      </c>
      <c r="G389" s="79">
        <f>IF($C389&lt;=Entradas!$E$153,"",D389-AVERAGE(D:D))</f>
        <v>0.15399702318206065</v>
      </c>
      <c r="H389" s="79">
        <f>IF($C389&lt;=Entradas!$E$153,"",F389^2)</f>
        <v>0.35393154769431373</v>
      </c>
      <c r="I389" s="79">
        <f>IF($C389&lt;=Entradas!$E$153,"",G389^2)</f>
        <v>2.3715083148936125E-2</v>
      </c>
      <c r="J389" s="79">
        <f>IF($C389&lt;=Entradas!$E$153,"",E389-AVERAGE(E:E))</f>
        <v>0.70083096749795493</v>
      </c>
      <c r="K389" s="79">
        <f>IF($C389&lt;=Entradas!$E$153,"",J389^2)</f>
        <v>0.49116404500411953</v>
      </c>
      <c r="L389" s="79">
        <f>IF($C389&lt;=Entradas!$E$153,"",G389*J389)</f>
        <v>0.10792588274848856</v>
      </c>
      <c r="M389" s="40"/>
    </row>
    <row r="390" spans="2:13">
      <c r="B390" s="39"/>
      <c r="C390" s="75">
        <v>385</v>
      </c>
      <c r="D390" s="110">
        <f>IF($C390&lt;=Entradas!$E$153,"",Observaciones!L390)</f>
        <v>0.94068375861574172</v>
      </c>
      <c r="E390" s="110">
        <f>IF($C390&lt;=Entradas!$E$153,"",Escenario1!BN391)</f>
        <v>1.5653133028395552</v>
      </c>
      <c r="F390" s="79">
        <f>IF($C390&lt;=Entradas!$E$153,"",D390-E390)</f>
        <v>-0.62462954422381345</v>
      </c>
      <c r="G390" s="79">
        <f>IF($C390&lt;=Entradas!$E$153,"",D390-AVERAGE(D:D))</f>
        <v>0.15783213710416377</v>
      </c>
      <c r="H390" s="79">
        <f>IF($C390&lt;=Entradas!$E$153,"",F390^2)</f>
        <v>0.39016206751724891</v>
      </c>
      <c r="I390" s="79">
        <f>IF($C390&lt;=Entradas!$E$153,"",G390^2)</f>
        <v>2.4910983502867551E-2</v>
      </c>
      <c r="J390" s="79">
        <f>IF($C390&lt;=Entradas!$E$153,"",E390-AVERAGE(E:E))</f>
        <v>0.73437416217636997</v>
      </c>
      <c r="K390" s="79">
        <f>IF($C390&lt;=Entradas!$E$153,"",J390^2)</f>
        <v>0.53930541007224531</v>
      </c>
      <c r="L390" s="79">
        <f>IF($C390&lt;=Entradas!$E$153,"",G390*J390)</f>
        <v>0.11590784345037623</v>
      </c>
      <c r="M390" s="40"/>
    </row>
    <row r="391" spans="2:13">
      <c r="B391" s="39"/>
      <c r="C391" s="75">
        <v>386</v>
      </c>
      <c r="D391" s="110">
        <f>IF($C391&lt;=Entradas!$E$153,"",Observaciones!L391)</f>
        <v>0.9452542866849678</v>
      </c>
      <c r="E391" s="110">
        <f>IF($C391&lt;=Entradas!$E$153,"",Escenario1!BN392)</f>
        <v>1.5840947262400691</v>
      </c>
      <c r="F391" s="79">
        <f>IF($C391&lt;=Entradas!$E$153,"",D391-E391)</f>
        <v>-0.63884043955510128</v>
      </c>
      <c r="G391" s="79">
        <f>IF($C391&lt;=Entradas!$E$153,"",D391-AVERAGE(D:D))</f>
        <v>0.16240266517338986</v>
      </c>
      <c r="H391" s="79">
        <f>IF($C391&lt;=Entradas!$E$153,"",F391^2)</f>
        <v>0.40811710721095501</v>
      </c>
      <c r="I391" s="79">
        <f>IF($C391&lt;=Entradas!$E$153,"",G391^2)</f>
        <v>2.6374625655420175E-2</v>
      </c>
      <c r="J391" s="79">
        <f>IF($C391&lt;=Entradas!$E$153,"",E391-AVERAGE(E:E))</f>
        <v>0.75315558557688389</v>
      </c>
      <c r="K391" s="79">
        <f>IF($C391&lt;=Entradas!$E$153,"",J391^2)</f>
        <v>0.56724333608565891</v>
      </c>
      <c r="L391" s="79">
        <f>IF($C391&lt;=Entradas!$E$153,"",G391*J391)</f>
        <v>0.12231447438791104</v>
      </c>
      <c r="M391" s="40"/>
    </row>
    <row r="392" spans="2:13">
      <c r="B392" s="39"/>
      <c r="C392" s="75">
        <v>387</v>
      </c>
      <c r="D392" s="110">
        <f>IF($C392&lt;=Entradas!$E$153,"",Observaciones!L392)</f>
        <v>0.94785144308436564</v>
      </c>
      <c r="E392" s="110">
        <f>IF($C392&lt;=Entradas!$E$153,"",Escenario1!BN393)</f>
        <v>1.4847428073564639</v>
      </c>
      <c r="F392" s="79">
        <f>IF($C392&lt;=Entradas!$E$153,"",D392-E392)</f>
        <v>-0.53689136427209827</v>
      </c>
      <c r="G392" s="79">
        <f>IF($C392&lt;=Entradas!$E$153,"",D392-AVERAGE(D:D))</f>
        <v>0.1649998215727877</v>
      </c>
      <c r="H392" s="79">
        <f>IF($C392&lt;=Entradas!$E$153,"",F392^2)</f>
        <v>0.2882523370299549</v>
      </c>
      <c r="I392" s="79">
        <f>IF($C392&lt;=Entradas!$E$153,"",G392^2)</f>
        <v>2.7224941119051778E-2</v>
      </c>
      <c r="J392" s="79">
        <f>IF($C392&lt;=Entradas!$E$153,"",E392-AVERAGE(E:E))</f>
        <v>0.65380366669327872</v>
      </c>
      <c r="K392" s="79">
        <f>IF($C392&lt;=Entradas!$E$153,"",J392^2)</f>
        <v>0.42745923458157586</v>
      </c>
      <c r="L392" s="79">
        <f>IF($C392&lt;=Entradas!$E$153,"",G392*J392)</f>
        <v>0.10787748834802535</v>
      </c>
      <c r="M392" s="40"/>
    </row>
    <row r="393" spans="2:13">
      <c r="B393" s="39"/>
      <c r="C393" s="75">
        <v>388</v>
      </c>
      <c r="D393" s="110">
        <f>IF($C393&lt;=Entradas!$E$153,"",Observaciones!L393)</f>
        <v>2.9003443044225752</v>
      </c>
      <c r="E393" s="110">
        <f>IF($C393&lt;=Entradas!$E$153,"",Escenario1!BN394)</f>
        <v>1.6893127678818574</v>
      </c>
      <c r="F393" s="79">
        <f>IF($C393&lt;=Entradas!$E$153,"",D393-E393)</f>
        <v>1.2110315365407178</v>
      </c>
      <c r="G393" s="79">
        <f>IF($C393&lt;=Entradas!$E$153,"",D393-AVERAGE(D:D))</f>
        <v>2.1174926829109975</v>
      </c>
      <c r="H393" s="79">
        <f>IF($C393&lt;=Entradas!$E$153,"",F393^2)</f>
        <v>1.466597382496172</v>
      </c>
      <c r="I393" s="79">
        <f>IF($C393&lt;=Entradas!$E$153,"",G393^2)</f>
        <v>4.4837752621816138</v>
      </c>
      <c r="J393" s="79">
        <f>IF($C393&lt;=Entradas!$E$153,"",E393-AVERAGE(E:E))</f>
        <v>0.85837362721867216</v>
      </c>
      <c r="K393" s="79">
        <f>IF($C393&lt;=Entradas!$E$153,"",J393^2)</f>
        <v>0.73680528390453992</v>
      </c>
      <c r="L393" s="79">
        <f>IF($C393&lt;=Entradas!$E$153,"",G393*J393)</f>
        <v>1.8175998748393105</v>
      </c>
      <c r="M393" s="40"/>
    </row>
    <row r="394" spans="2:13">
      <c r="B394" s="39"/>
      <c r="C394" s="75">
        <v>389</v>
      </c>
      <c r="D394" s="110">
        <f>IF($C394&lt;=Entradas!$E$153,"",Observaciones!L394)</f>
        <v>0.96642155793051931</v>
      </c>
      <c r="E394" s="110">
        <f>IF($C394&lt;=Entradas!$E$153,"",Escenario1!BN395)</f>
        <v>1.6607030922444244</v>
      </c>
      <c r="F394" s="79">
        <f>IF($C394&lt;=Entradas!$E$153,"",D394-E394)</f>
        <v>-0.69428153431390505</v>
      </c>
      <c r="G394" s="79">
        <f>IF($C394&lt;=Entradas!$E$153,"",D394-AVERAGE(D:D))</f>
        <v>0.18356993641894137</v>
      </c>
      <c r="H394" s="79">
        <f>IF($C394&lt;=Entradas!$E$153,"",F394^2)</f>
        <v>0.48202684888927011</v>
      </c>
      <c r="I394" s="79">
        <f>IF($C394&lt;=Entradas!$E$153,"",G394^2)</f>
        <v>3.369792155685418E-2</v>
      </c>
      <c r="J394" s="79">
        <f>IF($C394&lt;=Entradas!$E$153,"",E394-AVERAGE(E:E))</f>
        <v>0.82976395158123917</v>
      </c>
      <c r="K394" s="79">
        <f>IF($C394&lt;=Entradas!$E$153,"",J394^2)</f>
        <v>0.68850821534371298</v>
      </c>
      <c r="L394" s="79">
        <f>IF($C394&lt;=Entradas!$E$153,"",G394*J394)</f>
        <v>0.15231971583449763</v>
      </c>
      <c r="M394" s="40"/>
    </row>
    <row r="395" spans="2:13">
      <c r="B395" s="39"/>
      <c r="C395" s="75">
        <v>390</v>
      </c>
      <c r="D395" s="110">
        <f>IF($C395&lt;=Entradas!$E$153,"",Observaciones!L395)</f>
        <v>0.96920014808726296</v>
      </c>
      <c r="E395" s="110">
        <f>IF($C395&lt;=Entradas!$E$153,"",Escenario1!BN396)</f>
        <v>1.5582211204280991</v>
      </c>
      <c r="F395" s="79">
        <f>IF($C395&lt;=Entradas!$E$153,"",D395-E395)</f>
        <v>-0.58902097234083617</v>
      </c>
      <c r="G395" s="79">
        <f>IF($C395&lt;=Entradas!$E$153,"",D395-AVERAGE(D:D))</f>
        <v>0.18634852657568501</v>
      </c>
      <c r="H395" s="79">
        <f>IF($C395&lt;=Entradas!$E$153,"",F395^2)</f>
        <v>0.34694570585734408</v>
      </c>
      <c r="I395" s="79">
        <f>IF($C395&lt;=Entradas!$E$153,"",G395^2)</f>
        <v>3.4725773356928787E-2</v>
      </c>
      <c r="J395" s="79">
        <f>IF($C395&lt;=Entradas!$E$153,"",E395-AVERAGE(E:E))</f>
        <v>0.72728197976491393</v>
      </c>
      <c r="K395" s="79">
        <f>IF($C395&lt;=Entradas!$E$153,"",J395^2)</f>
        <v>0.52893907809077267</v>
      </c>
      <c r="L395" s="79">
        <f>IF($C395&lt;=Entradas!$E$153,"",G395*J395)</f>
        <v>0.13552792533423888</v>
      </c>
      <c r="M395" s="40"/>
    </row>
    <row r="396" spans="2:13">
      <c r="B396" s="39"/>
      <c r="C396" s="75">
        <v>391</v>
      </c>
      <c r="D396" s="110">
        <f>IF($C396&lt;=Entradas!$E$153,"",Observaciones!L396)</f>
        <v>0.97217805225851139</v>
      </c>
      <c r="E396" s="110">
        <f>IF($C396&lt;=Entradas!$E$153,"",Escenario1!BN397)</f>
        <v>1.5789338648334614</v>
      </c>
      <c r="F396" s="79">
        <f>IF($C396&lt;=Entradas!$E$153,"",D396-E396)</f>
        <v>-0.60675581257495004</v>
      </c>
      <c r="G396" s="79">
        <f>IF($C396&lt;=Entradas!$E$153,"",D396-AVERAGE(D:D))</f>
        <v>0.18932643074693345</v>
      </c>
      <c r="H396" s="79">
        <f>IF($C396&lt;=Entradas!$E$153,"",F396^2)</f>
        <v>0.36815261609348787</v>
      </c>
      <c r="I396" s="79">
        <f>IF($C396&lt;=Entradas!$E$153,"",G396^2)</f>
        <v>3.584449737937339E-2</v>
      </c>
      <c r="J396" s="79">
        <f>IF($C396&lt;=Entradas!$E$153,"",E396-AVERAGE(E:E))</f>
        <v>0.74799472417027624</v>
      </c>
      <c r="K396" s="79">
        <f>IF($C396&lt;=Entradas!$E$153,"",J396^2)</f>
        <v>0.55949610738656763</v>
      </c>
      <c r="L396" s="79">
        <f>IF($C396&lt;=Entradas!$E$153,"",G396*J396)</f>
        <v>0.1416151713446954</v>
      </c>
      <c r="M396" s="40"/>
    </row>
    <row r="397" spans="2:13">
      <c r="B397" s="39"/>
      <c r="C397" s="75">
        <v>392</v>
      </c>
      <c r="D397" s="110">
        <f>IF($C397&lt;=Entradas!$E$153,"",Observaciones!L397)</f>
        <v>0.97412645915117291</v>
      </c>
      <c r="E397" s="110">
        <f>IF($C397&lt;=Entradas!$E$153,"",Escenario1!BN398)</f>
        <v>1.4810429896605419</v>
      </c>
      <c r="F397" s="79">
        <f>IF($C397&lt;=Entradas!$E$153,"",D397-E397)</f>
        <v>-0.50691653050936902</v>
      </c>
      <c r="G397" s="79">
        <f>IF($C397&lt;=Entradas!$E$153,"",D397-AVERAGE(D:D))</f>
        <v>0.19127483763959496</v>
      </c>
      <c r="H397" s="79">
        <f>IF($C397&lt;=Entradas!$E$153,"",F397^2)</f>
        <v>0.25696436890365604</v>
      </c>
      <c r="I397" s="79">
        <f>IF($C397&lt;=Entradas!$E$153,"",G397^2)</f>
        <v>3.6586063514053413E-2</v>
      </c>
      <c r="J397" s="79">
        <f>IF($C397&lt;=Entradas!$E$153,"",E397-AVERAGE(E:E))</f>
        <v>0.65010384899735674</v>
      </c>
      <c r="K397" s="79">
        <f>IF($C397&lt;=Entradas!$E$153,"",J397^2)</f>
        <v>0.42263501448117802</v>
      </c>
      <c r="L397" s="79">
        <f>IF($C397&lt;=Entradas!$E$153,"",G397*J397)</f>
        <v>0.12434850816584517</v>
      </c>
      <c r="M397" s="40"/>
    </row>
    <row r="398" spans="2:13">
      <c r="B398" s="39"/>
      <c r="C398" s="75">
        <v>393</v>
      </c>
      <c r="D398" s="110">
        <f>IF($C398&lt;=Entradas!$E$153,"",Observaciones!L398)</f>
        <v>0.97511677178961997</v>
      </c>
      <c r="E398" s="110">
        <f>IF($C398&lt;=Entradas!$E$153,"",Escenario1!BN399)</f>
        <v>1.3837274118093605</v>
      </c>
      <c r="F398" s="79">
        <f>IF($C398&lt;=Entradas!$E$153,"",D398-E398)</f>
        <v>-0.40861064001974057</v>
      </c>
      <c r="G398" s="79">
        <f>IF($C398&lt;=Entradas!$E$153,"",D398-AVERAGE(D:D))</f>
        <v>0.19226515027804203</v>
      </c>
      <c r="H398" s="79">
        <f>IF($C398&lt;=Entradas!$E$153,"",F398^2)</f>
        <v>0.16696265513734201</v>
      </c>
      <c r="I398" s="79">
        <f>IF($C398&lt;=Entradas!$E$153,"",G398^2)</f>
        <v>3.6965888011438082E-2</v>
      </c>
      <c r="J398" s="79">
        <f>IF($C398&lt;=Entradas!$E$153,"",E398-AVERAGE(E:E))</f>
        <v>0.55278827114617535</v>
      </c>
      <c r="K398" s="79">
        <f>IF($C398&lt;=Entradas!$E$153,"",J398^2)</f>
        <v>0.30557487271677747</v>
      </c>
      <c r="L398" s="79">
        <f>IF($C398&lt;=Entradas!$E$153,"",G398*J398)</f>
        <v>0.10628192002385844</v>
      </c>
      <c r="M398" s="40"/>
    </row>
    <row r="399" spans="2:13">
      <c r="B399" s="39"/>
      <c r="C399" s="75">
        <v>394</v>
      </c>
      <c r="D399" s="110">
        <f>IF($C399&lt;=Entradas!$E$153,"",Observaciones!L399)</f>
        <v>0.97570962148594531</v>
      </c>
      <c r="E399" s="110">
        <f>IF($C399&lt;=Entradas!$E$153,"",Escenario1!BN400)</f>
        <v>1.3433790077159906</v>
      </c>
      <c r="F399" s="79">
        <f>IF($C399&lt;=Entradas!$E$153,"",D399-E399)</f>
        <v>-0.3676693862300453</v>
      </c>
      <c r="G399" s="79">
        <f>IF($C399&lt;=Entradas!$E$153,"",D399-AVERAGE(D:D))</f>
        <v>0.19285799997436737</v>
      </c>
      <c r="H399" s="79">
        <f>IF($C399&lt;=Entradas!$E$153,"",F399^2)</f>
        <v>0.13518077757077823</v>
      </c>
      <c r="I399" s="79">
        <f>IF($C399&lt;=Entradas!$E$153,"",G399^2)</f>
        <v>3.7194208154113083E-2</v>
      </c>
      <c r="J399" s="79">
        <f>IF($C399&lt;=Entradas!$E$153,"",E399-AVERAGE(E:E))</f>
        <v>0.51243986705280542</v>
      </c>
      <c r="K399" s="79">
        <f>IF($C399&lt;=Entradas!$E$153,"",J399^2)</f>
        <v>0.26259461734509687</v>
      </c>
      <c r="L399" s="79">
        <f>IF($C399&lt;=Entradas!$E$153,"",G399*J399)</f>
        <v>9.8828127866934762E-2</v>
      </c>
      <c r="M399" s="40"/>
    </row>
    <row r="400" spans="2:13">
      <c r="B400" s="39"/>
      <c r="C400" s="75">
        <v>395</v>
      </c>
      <c r="D400" s="110">
        <f>IF($C400&lt;=Entradas!$E$153,"",Observaciones!L400)</f>
        <v>0.97728961166030259</v>
      </c>
      <c r="E400" s="110">
        <f>IF($C400&lt;=Entradas!$E$153,"",Escenario1!BN401)</f>
        <v>1.4065575756494011</v>
      </c>
      <c r="F400" s="79">
        <f>IF($C400&lt;=Entradas!$E$153,"",D400-E400)</f>
        <v>-0.4292679639890985</v>
      </c>
      <c r="G400" s="79">
        <f>IF($C400&lt;=Entradas!$E$153,"",D400-AVERAGE(D:D))</f>
        <v>0.19443799014872465</v>
      </c>
      <c r="H400" s="79">
        <f>IF($C400&lt;=Entradas!$E$153,"",F400^2)</f>
        <v>0.18427098490734597</v>
      </c>
      <c r="I400" s="79">
        <f>IF($C400&lt;=Entradas!$E$153,"",G400^2)</f>
        <v>3.7806132013075547E-2</v>
      </c>
      <c r="J400" s="79">
        <f>IF($C400&lt;=Entradas!$E$153,"",E400-AVERAGE(E:E))</f>
        <v>0.5756184349862159</v>
      </c>
      <c r="K400" s="79">
        <f>IF($C400&lt;=Entradas!$E$153,"",J400^2)</f>
        <v>0.33133658269598049</v>
      </c>
      <c r="L400" s="79">
        <f>IF($C400&lt;=Entradas!$E$153,"",G400*J400)</f>
        <v>0.11192209159127414</v>
      </c>
      <c r="M400" s="40"/>
    </row>
    <row r="401" spans="2:13">
      <c r="B401" s="39"/>
      <c r="C401" s="75">
        <v>396</v>
      </c>
      <c r="D401" s="110">
        <f>IF($C401&lt;=Entradas!$E$153,"",Observaciones!L401)</f>
        <v>0.97843217465731191</v>
      </c>
      <c r="E401" s="110">
        <f>IF($C401&lt;=Entradas!$E$153,"",Escenario1!BN402)</f>
        <v>1.4050453703018129</v>
      </c>
      <c r="F401" s="79">
        <f>IF($C401&lt;=Entradas!$E$153,"",D401-E401)</f>
        <v>-0.42661319564450095</v>
      </c>
      <c r="G401" s="79">
        <f>IF($C401&lt;=Entradas!$E$153,"",D401-AVERAGE(D:D))</f>
        <v>0.19558055314573397</v>
      </c>
      <c r="H401" s="79">
        <f>IF($C401&lt;=Entradas!$E$153,"",F401^2)</f>
        <v>0.18199881869801324</v>
      </c>
      <c r="I401" s="79">
        <f>IF($C401&lt;=Entradas!$E$153,"",G401^2)</f>
        <v>3.8251752768791274E-2</v>
      </c>
      <c r="J401" s="79">
        <f>IF($C401&lt;=Entradas!$E$153,"",E401-AVERAGE(E:E))</f>
        <v>0.57410622963862767</v>
      </c>
      <c r="K401" s="79">
        <f>IF($C401&lt;=Entradas!$E$153,"",J401^2)</f>
        <v>0.32959796290988069</v>
      </c>
      <c r="L401" s="79">
        <f>IF($C401&lt;=Entradas!$E$153,"",G401*J401)</f>
        <v>0.11228401395713457</v>
      </c>
      <c r="M401" s="40"/>
    </row>
    <row r="402" spans="2:13">
      <c r="B402" s="39"/>
      <c r="C402" s="75">
        <v>397</v>
      </c>
      <c r="D402" s="110">
        <f>IF($C402&lt;=Entradas!$E$153,"",Observaciones!L402)</f>
        <v>0.97904930894569686</v>
      </c>
      <c r="E402" s="110">
        <f>IF($C402&lt;=Entradas!$E$153,"",Escenario1!BN403)</f>
        <v>1.3511947482882727</v>
      </c>
      <c r="F402" s="79">
        <f>IF($C402&lt;=Entradas!$E$153,"",D402-E402)</f>
        <v>-0.37214543934257582</v>
      </c>
      <c r="G402" s="79">
        <f>IF($C402&lt;=Entradas!$E$153,"",D402-AVERAGE(D:D))</f>
        <v>0.19619768743411892</v>
      </c>
      <c r="H402" s="79">
        <f>IF($C402&lt;=Entradas!$E$153,"",F402^2)</f>
        <v>0.13849222802347877</v>
      </c>
      <c r="I402" s="79">
        <f>IF($C402&lt;=Entradas!$E$153,"",G402^2)</f>
        <v>3.8493532554496224E-2</v>
      </c>
      <c r="J402" s="79">
        <f>IF($C402&lt;=Entradas!$E$153,"",E402-AVERAGE(E:E))</f>
        <v>0.52025560762508749</v>
      </c>
      <c r="K402" s="79">
        <f>IF($C402&lt;=Entradas!$E$153,"",J402^2)</f>
        <v>0.27066589726534901</v>
      </c>
      <c r="L402" s="79">
        <f>IF($C402&lt;=Entradas!$E$153,"",G402*J402)</f>
        <v>0.10207294709067453</v>
      </c>
      <c r="M402" s="40"/>
    </row>
    <row r="403" spans="2:13">
      <c r="B403" s="39"/>
      <c r="C403" s="75">
        <v>398</v>
      </c>
      <c r="D403" s="110">
        <f>IF($C403&lt;=Entradas!$E$153,"",Observaciones!L403)</f>
        <v>0.97938005489074698</v>
      </c>
      <c r="E403" s="110">
        <f>IF($C403&lt;=Entradas!$E$153,"",Escenario1!BN404)</f>
        <v>1.3213660726497649</v>
      </c>
      <c r="F403" s="79">
        <f>IF($C403&lt;=Entradas!$E$153,"",D403-E403)</f>
        <v>-0.34198601775901794</v>
      </c>
      <c r="G403" s="79">
        <f>IF($C403&lt;=Entradas!$E$153,"",D403-AVERAGE(D:D))</f>
        <v>0.19652843337916903</v>
      </c>
      <c r="H403" s="79">
        <f>IF($C403&lt;=Entradas!$E$153,"",F403^2)</f>
        <v>0.11695443634267133</v>
      </c>
      <c r="I403" s="79">
        <f>IF($C403&lt;=Entradas!$E$153,"",G403^2)</f>
        <v>3.8623425126470483E-2</v>
      </c>
      <c r="J403" s="79">
        <f>IF($C403&lt;=Entradas!$E$153,"",E403-AVERAGE(E:E))</f>
        <v>0.49042693198657972</v>
      </c>
      <c r="K403" s="79">
        <f>IF($C403&lt;=Entradas!$E$153,"",J403^2)</f>
        <v>0.24051857561776929</v>
      </c>
      <c r="L403" s="79">
        <f>IF($C403&lt;=Entradas!$E$153,"",G403*J403)</f>
        <v>9.638283663027479E-2</v>
      </c>
      <c r="M403" s="40"/>
    </row>
    <row r="404" spans="2:13">
      <c r="B404" s="39"/>
      <c r="C404" s="75">
        <v>399</v>
      </c>
      <c r="D404" s="110">
        <f>IF($C404&lt;=Entradas!$E$153,"",Observaciones!L404)</f>
        <v>0.97879863202458151</v>
      </c>
      <c r="E404" s="110">
        <f>IF($C404&lt;=Entradas!$E$153,"",Escenario1!BN405)</f>
        <v>1.2252039487312059</v>
      </c>
      <c r="F404" s="79">
        <f>IF($C404&lt;=Entradas!$E$153,"",D404-E404)</f>
        <v>-0.24640531670662436</v>
      </c>
      <c r="G404" s="79">
        <f>IF($C404&lt;=Entradas!$E$153,"",D404-AVERAGE(D:D))</f>
        <v>0.19594701051300356</v>
      </c>
      <c r="H404" s="79">
        <f>IF($C404&lt;=Entradas!$E$153,"",F404^2)</f>
        <v>6.0715580101291855E-2</v>
      </c>
      <c r="I404" s="79">
        <f>IF($C404&lt;=Entradas!$E$153,"",G404^2)</f>
        <v>3.8395230928983129E-2</v>
      </c>
      <c r="J404" s="79">
        <f>IF($C404&lt;=Entradas!$E$153,"",E404-AVERAGE(E:E))</f>
        <v>0.39426480806802067</v>
      </c>
      <c r="K404" s="79">
        <f>IF($C404&lt;=Entradas!$E$153,"",J404^2)</f>
        <v>0.15544473888091317</v>
      </c>
      <c r="L404" s="79">
        <f>IF($C404&lt;=Entradas!$E$153,"",G404*J404)</f>
        <v>7.7255010491411771E-2</v>
      </c>
      <c r="M404" s="40"/>
    </row>
    <row r="405" spans="2:13">
      <c r="B405" s="39"/>
      <c r="C405" s="75">
        <v>400</v>
      </c>
      <c r="D405" s="110">
        <f>IF($C405&lt;=Entradas!$E$153,"",Observaciones!L405)</f>
        <v>0.97831425306794406</v>
      </c>
      <c r="E405" s="110">
        <f>IF($C405&lt;=Entradas!$E$153,"",Escenario1!BN406)</f>
        <v>1.2330875323783839</v>
      </c>
      <c r="F405" s="79">
        <f>IF($C405&lt;=Entradas!$E$153,"",D405-E405)</f>
        <v>-0.2547732793104398</v>
      </c>
      <c r="G405" s="79">
        <f>IF($C405&lt;=Entradas!$E$153,"",D405-AVERAGE(D:D))</f>
        <v>0.19546263155636612</v>
      </c>
      <c r="H405" s="79">
        <f>IF($C405&lt;=Entradas!$E$153,"",F405^2)</f>
        <v>6.490942385059538E-2</v>
      </c>
      <c r="I405" s="79">
        <f>IF($C405&lt;=Entradas!$E$153,"",G405^2)</f>
        <v>3.8205640334939735E-2</v>
      </c>
      <c r="J405" s="79">
        <f>IF($C405&lt;=Entradas!$E$153,"",E405-AVERAGE(E:E))</f>
        <v>0.40214839171519867</v>
      </c>
      <c r="K405" s="79">
        <f>IF($C405&lt;=Entradas!$E$153,"",J405^2)</f>
        <v>0.16172332895912087</v>
      </c>
      <c r="L405" s="79">
        <f>IF($C405&lt;=Entradas!$E$153,"",G405*J405)</f>
        <v>7.8604982920813068E-2</v>
      </c>
      <c r="M405" s="40"/>
    </row>
    <row r="406" spans="2:13">
      <c r="B406" s="39"/>
      <c r="C406" s="75">
        <v>401</v>
      </c>
      <c r="D406" s="110">
        <f>IF($C406&lt;=Entradas!$E$153,"",Observaciones!L406)</f>
        <v>0.97695186084766872</v>
      </c>
      <c r="E406" s="110">
        <f>IF($C406&lt;=Entradas!$E$153,"",Escenario1!BN407)</f>
        <v>1.1386307493472114</v>
      </c>
      <c r="F406" s="79">
        <f>IF($C406&lt;=Entradas!$E$153,"",D406-E406)</f>
        <v>-0.16167888849954271</v>
      </c>
      <c r="G406" s="79">
        <f>IF($C406&lt;=Entradas!$E$153,"",D406-AVERAGE(D:D))</f>
        <v>0.19410023933609077</v>
      </c>
      <c r="H406" s="79">
        <f>IF($C406&lt;=Entradas!$E$153,"",F406^2)</f>
        <v>2.6140062986447561E-2</v>
      </c>
      <c r="I406" s="79">
        <f>IF($C406&lt;=Entradas!$E$153,"",G406^2)</f>
        <v>3.7674902910327719E-2</v>
      </c>
      <c r="J406" s="79">
        <f>IF($C406&lt;=Entradas!$E$153,"",E406-AVERAGE(E:E))</f>
        <v>0.30769160868402623</v>
      </c>
      <c r="K406" s="79">
        <f>IF($C406&lt;=Entradas!$E$153,"",J406^2)</f>
        <v>9.467412605456392E-2</v>
      </c>
      <c r="L406" s="79">
        <f>IF($C406&lt;=Entradas!$E$153,"",G406*J406)</f>
        <v>5.9723014887276278E-2</v>
      </c>
      <c r="M406" s="40"/>
    </row>
    <row r="407" spans="2:13">
      <c r="B407" s="39"/>
      <c r="C407" s="75">
        <v>402</v>
      </c>
      <c r="D407" s="110">
        <f>IF($C407&lt;=Entradas!$E$153,"",Observaciones!L407)</f>
        <v>0.97474491431754573</v>
      </c>
      <c r="E407" s="110">
        <f>IF($C407&lt;=Entradas!$E$153,"",Escenario1!BN408)</f>
        <v>1.046139821367265</v>
      </c>
      <c r="F407" s="79">
        <f>IF($C407&lt;=Entradas!$E$153,"",D407-E407)</f>
        <v>-7.1394907049719292E-2</v>
      </c>
      <c r="G407" s="79">
        <f>IF($C407&lt;=Entradas!$E$153,"",D407-AVERAGE(D:D))</f>
        <v>0.19189329280596779</v>
      </c>
      <c r="H407" s="79">
        <f>IF($C407&lt;=Entradas!$E$153,"",F407^2)</f>
        <v>5.0972327526380571E-3</v>
      </c>
      <c r="I407" s="79">
        <f>IF($C407&lt;=Entradas!$E$153,"",G407^2)</f>
        <v>3.682303582391689E-2</v>
      </c>
      <c r="J407" s="79">
        <f>IF($C407&lt;=Entradas!$E$153,"",E407-AVERAGE(E:E))</f>
        <v>0.21520068070407983</v>
      </c>
      <c r="K407" s="79">
        <f>IF($C407&lt;=Entradas!$E$153,"",J407^2)</f>
        <v>4.6311332975499317E-2</v>
      </c>
      <c r="L407" s="79">
        <f>IF($C407&lt;=Entradas!$E$153,"",G407*J407)</f>
        <v>4.1295567234391574E-2</v>
      </c>
      <c r="M407" s="40"/>
    </row>
    <row r="408" spans="2:13">
      <c r="B408" s="39"/>
      <c r="C408" s="75">
        <v>403</v>
      </c>
      <c r="D408" s="110">
        <f>IF($C408&lt;=Entradas!$E$153,"",Observaciones!L408)</f>
        <v>0.9863353621729527</v>
      </c>
      <c r="E408" s="110">
        <f>IF($C408&lt;=Entradas!$E$153,"",Escenario1!BN409)</f>
        <v>1.3635017935672951</v>
      </c>
      <c r="F408" s="79">
        <f>IF($C408&lt;=Entradas!$E$153,"",D408-E408)</f>
        <v>-0.37716643139434236</v>
      </c>
      <c r="G408" s="79">
        <f>IF($C408&lt;=Entradas!$E$153,"",D408-AVERAGE(D:D))</f>
        <v>0.20348374066137476</v>
      </c>
      <c r="H408" s="79">
        <f>IF($C408&lt;=Entradas!$E$153,"",F408^2)</f>
        <v>0.14225451697074315</v>
      </c>
      <c r="I408" s="79">
        <f>IF($C408&lt;=Entradas!$E$153,"",G408^2)</f>
        <v>4.1405632713545616E-2</v>
      </c>
      <c r="J408" s="79">
        <f>IF($C408&lt;=Entradas!$E$153,"",E408-AVERAGE(E:E))</f>
        <v>0.53256265290410987</v>
      </c>
      <c r="K408" s="79">
        <f>IF($C408&lt;=Entradas!$E$153,"",J408^2)</f>
        <v>0.28362297926826341</v>
      </c>
      <c r="L408" s="79">
        <f>IF($C408&lt;=Entradas!$E$153,"",G408*J408)</f>
        <v>0.10836784074947363</v>
      </c>
      <c r="M408" s="40"/>
    </row>
    <row r="409" spans="2:13">
      <c r="B409" s="39"/>
      <c r="C409" s="75">
        <v>404</v>
      </c>
      <c r="D409" s="110">
        <f>IF($C409&lt;=Entradas!$E$153,"",Observaciones!L409)</f>
        <v>0.985730905268144</v>
      </c>
      <c r="E409" s="110">
        <f>IF($C409&lt;=Entradas!$E$153,"",Escenario1!BN410)</f>
        <v>1.2641748464453413</v>
      </c>
      <c r="F409" s="79">
        <f>IF($C409&lt;=Entradas!$E$153,"",D409-E409)</f>
        <v>-0.27844394117719728</v>
      </c>
      <c r="G409" s="79">
        <f>IF($C409&lt;=Entradas!$E$153,"",D409-AVERAGE(D:D))</f>
        <v>0.20287928375656605</v>
      </c>
      <c r="H409" s="79">
        <f>IF($C409&lt;=Entradas!$E$153,"",F409^2)</f>
        <v>7.7531028378290498E-2</v>
      </c>
      <c r="I409" s="79">
        <f>IF($C409&lt;=Entradas!$E$153,"",G409^2)</f>
        <v>4.1160003777577246E-2</v>
      </c>
      <c r="J409" s="79">
        <f>IF($C409&lt;=Entradas!$E$153,"",E409-AVERAGE(E:E))</f>
        <v>0.43323570578215609</v>
      </c>
      <c r="K409" s="79">
        <f>IF($C409&lt;=Entradas!$E$153,"",J409^2)</f>
        <v>0.1876931767645629</v>
      </c>
      <c r="L409" s="79">
        <f>IF($C409&lt;=Entradas!$E$153,"",G409*J409)</f>
        <v>8.7894549686854215E-2</v>
      </c>
      <c r="M409" s="40"/>
    </row>
    <row r="410" spans="2:13">
      <c r="B410" s="39"/>
      <c r="C410" s="75">
        <v>405</v>
      </c>
      <c r="D410" s="110">
        <f>IF($C410&lt;=Entradas!$E$153,"",Observaciones!L410)</f>
        <v>0.98485668224762546</v>
      </c>
      <c r="E410" s="110">
        <f>IF($C410&lt;=Entradas!$E$153,"",Escenario1!BN411)</f>
        <v>1.2317773553412259</v>
      </c>
      <c r="F410" s="79">
        <f>IF($C410&lt;=Entradas!$E$153,"",D410-E410)</f>
        <v>-0.24692067309360044</v>
      </c>
      <c r="G410" s="79">
        <f>IF($C410&lt;=Entradas!$E$153,"",D410-AVERAGE(D:D))</f>
        <v>0.20200506073604751</v>
      </c>
      <c r="H410" s="79">
        <f>IF($C410&lt;=Entradas!$E$153,"",F410^2)</f>
        <v>6.0969818800996695E-2</v>
      </c>
      <c r="I410" s="79">
        <f>IF($C410&lt;=Entradas!$E$153,"",G410^2)</f>
        <v>4.0806044562974243E-2</v>
      </c>
      <c r="J410" s="79">
        <f>IF($C410&lt;=Entradas!$E$153,"",E410-AVERAGE(E:E))</f>
        <v>0.40083821467804071</v>
      </c>
      <c r="K410" s="79">
        <f>IF($C410&lt;=Entradas!$E$153,"",J410^2)</f>
        <v>0.16067127434627904</v>
      </c>
      <c r="L410" s="79">
        <f>IF($C410&lt;=Entradas!$E$153,"",G410*J410)</f>
        <v>8.0971347901366467E-2</v>
      </c>
      <c r="M410" s="40"/>
    </row>
    <row r="411" spans="2:13">
      <c r="B411" s="39"/>
      <c r="C411" s="75">
        <v>406</v>
      </c>
      <c r="D411" s="110">
        <f>IF($C411&lt;=Entradas!$E$153,"",Observaciones!L411)</f>
        <v>3.6446997562800254</v>
      </c>
      <c r="E411" s="110">
        <f>IF($C411&lt;=Entradas!$E$153,"",Escenario1!BN412)</f>
        <v>1.6529606185334711</v>
      </c>
      <c r="F411" s="79">
        <f>IF($C411&lt;=Entradas!$E$153,"",D411-E411)</f>
        <v>1.9917391377465543</v>
      </c>
      <c r="G411" s="79">
        <f>IF($C411&lt;=Entradas!$E$153,"",D411-AVERAGE(D:D))</f>
        <v>2.8618481347684472</v>
      </c>
      <c r="H411" s="79">
        <f>IF($C411&lt;=Entradas!$E$153,"",F411^2)</f>
        <v>3.9670247928313875</v>
      </c>
      <c r="I411" s="79">
        <f>IF($C411&lt;=Entradas!$E$153,"",G411^2)</f>
        <v>8.1901747464776413</v>
      </c>
      <c r="J411" s="79">
        <f>IF($C411&lt;=Entradas!$E$153,"",E411-AVERAGE(E:E))</f>
        <v>0.8220214778702859</v>
      </c>
      <c r="K411" s="79">
        <f>IF($C411&lt;=Entradas!$E$153,"",J411^2)</f>
        <v>0.67571931008004893</v>
      </c>
      <c r="L411" s="79">
        <f>IF($C411&lt;=Entradas!$E$153,"",G411*J411)</f>
        <v>2.3525006331826801</v>
      </c>
      <c r="M411" s="40"/>
    </row>
    <row r="412" spans="2:13">
      <c r="B412" s="39"/>
      <c r="C412" s="75">
        <v>407</v>
      </c>
      <c r="D412" s="110">
        <f>IF($C412&lt;=Entradas!$E$153,"",Observaciones!L412)</f>
        <v>1.0010754661941275</v>
      </c>
      <c r="E412" s="110">
        <f>IF($C412&lt;=Entradas!$E$153,"",Escenario1!BN413)</f>
        <v>1.5507185783576316</v>
      </c>
      <c r="F412" s="79">
        <f>IF($C412&lt;=Entradas!$E$153,"",D412-E412)</f>
        <v>-0.54964311216350414</v>
      </c>
      <c r="G412" s="79">
        <f>IF($C412&lt;=Entradas!$E$153,"",D412-AVERAGE(D:D))</f>
        <v>0.21822384468254952</v>
      </c>
      <c r="H412" s="79">
        <f>IF($C412&lt;=Entradas!$E$153,"",F412^2)</f>
        <v>0.30210755074878237</v>
      </c>
      <c r="I412" s="79">
        <f>IF($C412&lt;=Entradas!$E$153,"",G412^2)</f>
        <v>4.7621646388033498E-2</v>
      </c>
      <c r="J412" s="79">
        <f>IF($C412&lt;=Entradas!$E$153,"",E412-AVERAGE(E:E))</f>
        <v>0.71977943769444641</v>
      </c>
      <c r="K412" s="79">
        <f>IF($C412&lt;=Entradas!$E$153,"",J412^2)</f>
        <v>0.51808243892773342</v>
      </c>
      <c r="L412" s="79">
        <f>IF($C412&lt;=Entradas!$E$153,"",G412*J412)</f>
        <v>0.15707303621712571</v>
      </c>
      <c r="M412" s="40"/>
    </row>
    <row r="413" spans="2:13">
      <c r="B413" s="39"/>
      <c r="C413" s="75">
        <v>408</v>
      </c>
      <c r="D413" s="110">
        <f>IF($C413&lt;=Entradas!$E$153,"",Observaciones!L413)</f>
        <v>1.0026552322127062</v>
      </c>
      <c r="E413" s="110">
        <f>IF($C413&lt;=Entradas!$E$153,"",Escenario1!BN414)</f>
        <v>1.5059090563285999</v>
      </c>
      <c r="F413" s="79">
        <f>IF($C413&lt;=Entradas!$E$153,"",D413-E413)</f>
        <v>-0.5032538241158937</v>
      </c>
      <c r="G413" s="79">
        <f>IF($C413&lt;=Entradas!$E$153,"",D413-AVERAGE(D:D))</f>
        <v>0.2198036107011283</v>
      </c>
      <c r="H413" s="79">
        <f>IF($C413&lt;=Entradas!$E$153,"",F413^2)</f>
        <v>0.25326441148727086</v>
      </c>
      <c r="I413" s="79">
        <f>IF($C413&lt;=Entradas!$E$153,"",G413^2)</f>
        <v>4.8313627277253163E-2</v>
      </c>
      <c r="J413" s="79">
        <f>IF($C413&lt;=Entradas!$E$153,"",E413-AVERAGE(E:E))</f>
        <v>0.67496991566541475</v>
      </c>
      <c r="K413" s="79">
        <f>IF($C413&lt;=Entradas!$E$153,"",J413^2)</f>
        <v>0.45558438705337712</v>
      </c>
      <c r="L413" s="79">
        <f>IF($C413&lt;=Entradas!$E$153,"",G413*J413)</f>
        <v>0.14836082457789423</v>
      </c>
      <c r="M413" s="40"/>
    </row>
    <row r="414" spans="2:13">
      <c r="B414" s="39"/>
      <c r="C414" s="75">
        <v>409</v>
      </c>
      <c r="D414" s="110">
        <f>IF($C414&lt;=Entradas!$E$153,"",Observaciones!L414)</f>
        <v>1.003476629582901</v>
      </c>
      <c r="E414" s="110">
        <f>IF($C414&lt;=Entradas!$E$153,"",Escenario1!BN415)</f>
        <v>1.4282175773129775</v>
      </c>
      <c r="F414" s="79">
        <f>IF($C414&lt;=Entradas!$E$153,"",D414-E414)</f>
        <v>-0.42474094773007653</v>
      </c>
      <c r="G414" s="79">
        <f>IF($C414&lt;=Entradas!$E$153,"",D414-AVERAGE(D:D))</f>
        <v>0.22062500807132301</v>
      </c>
      <c r="H414" s="79">
        <f>IF($C414&lt;=Entradas!$E$153,"",F414^2)</f>
        <v>0.18040487267864361</v>
      </c>
      <c r="I414" s="79">
        <f>IF($C414&lt;=Entradas!$E$153,"",G414^2)</f>
        <v>4.8675394186471342E-2</v>
      </c>
      <c r="J414" s="79">
        <f>IF($C414&lt;=Entradas!$E$153,"",E414-AVERAGE(E:E))</f>
        <v>0.5972784366497923</v>
      </c>
      <c r="K414" s="79">
        <f>IF($C414&lt;=Entradas!$E$153,"",J414^2)</f>
        <v>0.35674153088681998</v>
      </c>
      <c r="L414" s="79">
        <f>IF($C414&lt;=Entradas!$E$153,"",G414*J414)</f>
        <v>0.13177455990668763</v>
      </c>
      <c r="M414" s="40"/>
    </row>
    <row r="415" spans="2:13">
      <c r="B415" s="39"/>
      <c r="C415" s="75">
        <v>410</v>
      </c>
      <c r="D415" s="110">
        <f>IF($C415&lt;=Entradas!$E$153,"",Observaciones!L415)</f>
        <v>1.0033584525755335</v>
      </c>
      <c r="E415" s="110">
        <f>IF($C415&lt;=Entradas!$E$153,"",Escenario1!BN416)</f>
        <v>1.3299718884559495</v>
      </c>
      <c r="F415" s="79">
        <f>IF($C415&lt;=Entradas!$E$153,"",D415-E415)</f>
        <v>-0.32661343588041603</v>
      </c>
      <c r="G415" s="79">
        <f>IF($C415&lt;=Entradas!$E$153,"",D415-AVERAGE(D:D))</f>
        <v>0.22050683106395552</v>
      </c>
      <c r="H415" s="79">
        <f>IF($C415&lt;=Entradas!$E$153,"",F415^2)</f>
        <v>0.10667633649761063</v>
      </c>
      <c r="I415" s="79">
        <f>IF($C415&lt;=Entradas!$E$153,"",G415^2)</f>
        <v>4.8623262545867817E-2</v>
      </c>
      <c r="J415" s="79">
        <f>IF($C415&lt;=Entradas!$E$153,"",E415-AVERAGE(E:E))</f>
        <v>0.4990327477927643</v>
      </c>
      <c r="K415" s="79">
        <f>IF($C415&lt;=Entradas!$E$153,"",J415^2)</f>
        <v>0.24903368336959669</v>
      </c>
      <c r="L415" s="79">
        <f>IF($C415&lt;=Entradas!$E$153,"",G415*J415)</f>
        <v>0.11004012981292061</v>
      </c>
      <c r="M415" s="40"/>
    </row>
    <row r="416" spans="2:13">
      <c r="B416" s="39"/>
      <c r="C416" s="75">
        <v>411</v>
      </c>
      <c r="D416" s="110">
        <f>IF($C416&lt;=Entradas!$E$153,"",Observaciones!L416)</f>
        <v>1.0028288469022764</v>
      </c>
      <c r="E416" s="110">
        <f>IF($C416&lt;=Entradas!$E$153,"",Escenario1!BN417)</f>
        <v>1.2852561550454062</v>
      </c>
      <c r="F416" s="79">
        <f>IF($C416&lt;=Entradas!$E$153,"",D416-E416)</f>
        <v>-0.28242730814312988</v>
      </c>
      <c r="G416" s="79">
        <f>IF($C416&lt;=Entradas!$E$153,"",D416-AVERAGE(D:D))</f>
        <v>0.21997722539069842</v>
      </c>
      <c r="H416" s="79">
        <f>IF($C416&lt;=Entradas!$E$153,"",F416^2)</f>
        <v>7.9765184384974444E-2</v>
      </c>
      <c r="I416" s="79">
        <f>IF($C416&lt;=Entradas!$E$153,"",G416^2)</f>
        <v>4.8389979690590133E-2</v>
      </c>
      <c r="J416" s="79">
        <f>IF($C416&lt;=Entradas!$E$153,"",E416-AVERAGE(E:E))</f>
        <v>0.45431701438222105</v>
      </c>
      <c r="K416" s="79">
        <f>IF($C416&lt;=Entradas!$E$153,"",J416^2)</f>
        <v>0.20640394955717525</v>
      </c>
      <c r="L416" s="79">
        <f>IF($C416&lt;=Entradas!$E$153,"",G416*J416)</f>
        <v>9.9939396271587017E-2</v>
      </c>
      <c r="M416" s="40"/>
    </row>
    <row r="417" spans="2:13">
      <c r="B417" s="39"/>
      <c r="C417" s="75">
        <v>412</v>
      </c>
      <c r="D417" s="110">
        <f>IF($C417&lt;=Entradas!$E$153,"",Observaciones!L417)</f>
        <v>2.3314911773290614</v>
      </c>
      <c r="E417" s="110">
        <f>IF($C417&lt;=Entradas!$E$153,"",Escenario1!BN418)</f>
        <v>1.6508110752581076</v>
      </c>
      <c r="F417" s="79">
        <f>IF($C417&lt;=Entradas!$E$153,"",D417-E417)</f>
        <v>0.68068010207095386</v>
      </c>
      <c r="G417" s="79">
        <f>IF($C417&lt;=Entradas!$E$153,"",D417-AVERAGE(D:D))</f>
        <v>1.5486395558174835</v>
      </c>
      <c r="H417" s="79">
        <f>IF($C417&lt;=Entradas!$E$153,"",F417^2)</f>
        <v>0.46332540135532418</v>
      </c>
      <c r="I417" s="79">
        <f>IF($C417&lt;=Entradas!$E$153,"",G417^2)</f>
        <v>2.3982844738425726</v>
      </c>
      <c r="J417" s="79">
        <f>IF($C417&lt;=Entradas!$E$153,"",E417-AVERAGE(E:E))</f>
        <v>0.81987193459492236</v>
      </c>
      <c r="K417" s="79">
        <f>IF($C417&lt;=Entradas!$E$153,"",J417^2)</f>
        <v>0.6721899891364207</v>
      </c>
      <c r="L417" s="79">
        <f>IF($C417&lt;=Entradas!$E$153,"",G417*J417)</f>
        <v>1.2696861086183013</v>
      </c>
      <c r="M417" s="40"/>
    </row>
    <row r="418" spans="2:13">
      <c r="B418" s="39"/>
      <c r="C418" s="75">
        <v>413</v>
      </c>
      <c r="D418" s="110">
        <f>IF($C418&lt;=Entradas!$E$153,"",Observaciones!L418)</f>
        <v>1.0187370675949043</v>
      </c>
      <c r="E418" s="110">
        <f>IF($C418&lt;=Entradas!$E$153,"",Escenario1!BN419)</f>
        <v>1.5881253299108717</v>
      </c>
      <c r="F418" s="79">
        <f>IF($C418&lt;=Entradas!$E$153,"",D418-E418)</f>
        <v>-0.5693882623159674</v>
      </c>
      <c r="G418" s="79">
        <f>IF($C418&lt;=Entradas!$E$153,"",D418-AVERAGE(D:D))</f>
        <v>0.2358854460833264</v>
      </c>
      <c r="H418" s="79">
        <f>IF($C418&lt;=Entradas!$E$153,"",F418^2)</f>
        <v>0.3242029932631969</v>
      </c>
      <c r="I418" s="79">
        <f>IF($C418&lt;=Entradas!$E$153,"",G418^2)</f>
        <v>5.5641943673929883E-2</v>
      </c>
      <c r="J418" s="79">
        <f>IF($C418&lt;=Entradas!$E$153,"",E418-AVERAGE(E:E))</f>
        <v>0.75718618924768655</v>
      </c>
      <c r="K418" s="79">
        <f>IF($C418&lt;=Entradas!$E$153,"",J418^2)</f>
        <v>0.57333092518743334</v>
      </c>
      <c r="L418" s="79">
        <f>IF($C418&lt;=Entradas!$E$153,"",G418*J418)</f>
        <v>0.17860920201882455</v>
      </c>
      <c r="M418" s="40"/>
    </row>
    <row r="419" spans="2:13">
      <c r="B419" s="39"/>
      <c r="C419" s="75">
        <v>414</v>
      </c>
      <c r="D419" s="110">
        <f>IF($C419&lt;=Entradas!$E$153,"",Observaciones!L419)</f>
        <v>1.0307948620481349</v>
      </c>
      <c r="E419" s="110">
        <f>IF($C419&lt;=Entradas!$E$153,"",Escenario1!BN420)</f>
        <v>1.6976167909989033</v>
      </c>
      <c r="F419" s="79">
        <f>IF($C419&lt;=Entradas!$E$153,"",D419-E419)</f>
        <v>-0.66682192895076842</v>
      </c>
      <c r="G419" s="79">
        <f>IF($C419&lt;=Entradas!$E$153,"",D419-AVERAGE(D:D))</f>
        <v>0.24794324053655692</v>
      </c>
      <c r="H419" s="79">
        <f>IF($C419&lt;=Entradas!$E$153,"",F419^2)</f>
        <v>0.44465148492962364</v>
      </c>
      <c r="I419" s="79">
        <f>IF($C419&lt;=Entradas!$E$153,"",G419^2)</f>
        <v>6.1475850527768924E-2</v>
      </c>
      <c r="J419" s="79">
        <f>IF($C419&lt;=Entradas!$E$153,"",E419-AVERAGE(E:E))</f>
        <v>0.86667765033571809</v>
      </c>
      <c r="K419" s="79">
        <f>IF($C419&lt;=Entradas!$E$153,"",J419^2)</f>
        <v>0.7511301495914412</v>
      </c>
      <c r="L419" s="79">
        <f>IF($C419&lt;=Entradas!$E$153,"",G419*J419)</f>
        <v>0.21488686512484692</v>
      </c>
      <c r="M419" s="40"/>
    </row>
    <row r="420" spans="2:13">
      <c r="B420" s="39"/>
      <c r="C420" s="75">
        <v>415</v>
      </c>
      <c r="D420" s="110">
        <f>IF($C420&lt;=Entradas!$E$153,"",Observaciones!L420)</f>
        <v>1.0325484460238321</v>
      </c>
      <c r="E420" s="110">
        <f>IF($C420&lt;=Entradas!$E$153,"",Escenario1!BN421)</f>
        <v>1.5934650300502819</v>
      </c>
      <c r="F420" s="79">
        <f>IF($C420&lt;=Entradas!$E$153,"",D420-E420)</f>
        <v>-0.56091658402644984</v>
      </c>
      <c r="G420" s="79">
        <f>IF($C420&lt;=Entradas!$E$153,"",D420-AVERAGE(D:D))</f>
        <v>0.24969682451225417</v>
      </c>
      <c r="H420" s="79">
        <f>IF($C420&lt;=Entradas!$E$153,"",F420^2)</f>
        <v>0.31462741423590135</v>
      </c>
      <c r="I420" s="79">
        <f>IF($C420&lt;=Entradas!$E$153,"",G420^2)</f>
        <v>6.2348504171503456E-2</v>
      </c>
      <c r="J420" s="79">
        <f>IF($C420&lt;=Entradas!$E$153,"",E420-AVERAGE(E:E))</f>
        <v>0.76252588938709676</v>
      </c>
      <c r="K420" s="79">
        <f>IF($C420&lt;=Entradas!$E$153,"",J420^2)</f>
        <v>0.58144573198558291</v>
      </c>
      <c r="L420" s="79">
        <f>IF($C420&lt;=Entradas!$E$153,"",G420*J420)</f>
        <v>0.19040029318834042</v>
      </c>
      <c r="M420" s="40"/>
    </row>
    <row r="421" spans="2:13">
      <c r="B421" s="39"/>
      <c r="C421" s="75">
        <v>416</v>
      </c>
      <c r="D421" s="110">
        <f>IF($C421&lt;=Entradas!$E$153,"",Observaciones!L421)</f>
        <v>4.7149072951742967</v>
      </c>
      <c r="E421" s="110">
        <f>IF($C421&lt;=Entradas!$E$153,"",Escenario1!BN422)</f>
        <v>1.8285710577680954</v>
      </c>
      <c r="F421" s="79">
        <f>IF($C421&lt;=Entradas!$E$153,"",D421-E421)</f>
        <v>2.8863362374062014</v>
      </c>
      <c r="G421" s="79">
        <f>IF($C421&lt;=Entradas!$E$153,"",D421-AVERAGE(D:D))</f>
        <v>3.9320556736627186</v>
      </c>
      <c r="H421" s="79">
        <f>IF($C421&lt;=Entradas!$E$153,"",F421^2)</f>
        <v>8.3309368753641877</v>
      </c>
      <c r="I421" s="79">
        <f>IF($C421&lt;=Entradas!$E$153,"",G421^2)</f>
        <v>15.461061820783176</v>
      </c>
      <c r="J421" s="79">
        <f>IF($C421&lt;=Entradas!$E$153,"",E421-AVERAGE(E:E))</f>
        <v>0.99763191710491017</v>
      </c>
      <c r="K421" s="79">
        <f>IF($C421&lt;=Entradas!$E$153,"",J421^2)</f>
        <v>0.99526944202641832</v>
      </c>
      <c r="L421" s="79">
        <f>IF($C421&lt;=Entradas!$E$153,"",G421*J421)</f>
        <v>3.922744239879377</v>
      </c>
      <c r="M421" s="40"/>
    </row>
    <row r="422" spans="2:13">
      <c r="B422" s="39"/>
      <c r="C422" s="75">
        <v>417</v>
      </c>
      <c r="D422" s="110">
        <f>IF($C422&lt;=Entradas!$E$153,"",Observaciones!L422)</f>
        <v>1.058524051846675</v>
      </c>
      <c r="E422" s="110">
        <f>IF($C422&lt;=Entradas!$E$153,"",Escenario1!BN423)</f>
        <v>1.9002940075170862</v>
      </c>
      <c r="F422" s="79">
        <f>IF($C422&lt;=Entradas!$E$153,"",D422-E422)</f>
        <v>-0.84176995567041124</v>
      </c>
      <c r="G422" s="79">
        <f>IF($C422&lt;=Entradas!$E$153,"",D422-AVERAGE(D:D))</f>
        <v>0.27567243033509703</v>
      </c>
      <c r="H422" s="79">
        <f>IF($C422&lt;=Entradas!$E$153,"",F422^2)</f>
        <v>0.70857665826936611</v>
      </c>
      <c r="I422" s="79">
        <f>IF($C422&lt;=Entradas!$E$153,"",G422^2)</f>
        <v>7.5995288846858924E-2</v>
      </c>
      <c r="J422" s="79">
        <f>IF($C422&lt;=Entradas!$E$153,"",E422-AVERAGE(E:E))</f>
        <v>1.069354866853901</v>
      </c>
      <c r="K422" s="79">
        <f>IF($C422&lt;=Entradas!$E$153,"",J422^2)</f>
        <v>1.1435198312641244</v>
      </c>
      <c r="L422" s="79">
        <f>IF($C422&lt;=Entradas!$E$153,"",G422*J422)</f>
        <v>0.29479165503627897</v>
      </c>
      <c r="M422" s="40"/>
    </row>
    <row r="423" spans="2:13">
      <c r="B423" s="39"/>
      <c r="C423" s="75">
        <v>418</v>
      </c>
      <c r="D423" s="110">
        <f>IF($C423&lt;=Entradas!$E$153,"",Observaciones!L423)</f>
        <v>1.0640894235756075</v>
      </c>
      <c r="E423" s="110">
        <f>IF($C423&lt;=Entradas!$E$153,"",Escenario1!BN424)</f>
        <v>1.9269445002368404</v>
      </c>
      <c r="F423" s="79">
        <f>IF($C423&lt;=Entradas!$E$153,"",D423-E423)</f>
        <v>-0.86285507666123284</v>
      </c>
      <c r="G423" s="79">
        <f>IF($C423&lt;=Entradas!$E$153,"",D423-AVERAGE(D:D))</f>
        <v>0.2812378020640296</v>
      </c>
      <c r="H423" s="79">
        <f>IF($C423&lt;=Entradas!$E$153,"",F423^2)</f>
        <v>0.744518883320062</v>
      </c>
      <c r="I423" s="79">
        <f>IF($C423&lt;=Entradas!$E$153,"",G423^2)</f>
        <v>7.9094701309806295E-2</v>
      </c>
      <c r="J423" s="79">
        <f>IF($C423&lt;=Entradas!$E$153,"",E423-AVERAGE(E:E))</f>
        <v>1.0960053595736552</v>
      </c>
      <c r="K423" s="79">
        <f>IF($C423&lt;=Entradas!$E$153,"",J423^2)</f>
        <v>1.2012277482141771</v>
      </c>
      <c r="L423" s="79">
        <f>IF($C423&lt;=Entradas!$E$153,"",G423*J423)</f>
        <v>0.30823813837689124</v>
      </c>
      <c r="M423" s="40"/>
    </row>
    <row r="424" spans="2:13">
      <c r="B424" s="39"/>
      <c r="C424" s="75">
        <v>419</v>
      </c>
      <c r="D424" s="110">
        <f>IF($C424&lt;=Entradas!$E$153,"",Observaciones!L424)</f>
        <v>6.6289806653156962</v>
      </c>
      <c r="E424" s="110">
        <f>IF($C424&lt;=Entradas!$E$153,"",Escenario1!BN425)</f>
        <v>2.1043001185887369</v>
      </c>
      <c r="F424" s="79">
        <f>IF($C424&lt;=Entradas!$E$153,"",D424-E424)</f>
        <v>4.5246805467269589</v>
      </c>
      <c r="G424" s="79">
        <f>IF($C424&lt;=Entradas!$E$153,"",D424-AVERAGE(D:D))</f>
        <v>5.846129043804118</v>
      </c>
      <c r="H424" s="79">
        <f>IF($C424&lt;=Entradas!$E$153,"",F424^2)</f>
        <v>20.472734049929372</v>
      </c>
      <c r="I424" s="79">
        <f>IF($C424&lt;=Entradas!$E$153,"",G424^2)</f>
        <v>34.177224796810052</v>
      </c>
      <c r="J424" s="79">
        <f>IF($C424&lt;=Entradas!$E$153,"",E424-AVERAGE(E:E))</f>
        <v>1.2733609779255517</v>
      </c>
      <c r="K424" s="79">
        <f>IF($C424&lt;=Entradas!$E$153,"",J424^2)</f>
        <v>1.6214481801035174</v>
      </c>
      <c r="L424" s="79">
        <f>IF($C424&lt;=Entradas!$E$153,"",G424*J424)</f>
        <v>7.4442325962973825</v>
      </c>
      <c r="M424" s="40"/>
    </row>
    <row r="425" spans="2:13">
      <c r="B425" s="39"/>
      <c r="C425" s="75">
        <v>420</v>
      </c>
      <c r="D425" s="110">
        <f>IF($C425&lt;=Entradas!$E$153,"",Observaciones!L425)</f>
        <v>1.0863569810901652</v>
      </c>
      <c r="E425" s="110">
        <f>IF($C425&lt;=Entradas!$E$153,"",Escenario1!BN426)</f>
        <v>2.1464511198616498</v>
      </c>
      <c r="F425" s="79">
        <f>IF($C425&lt;=Entradas!$E$153,"",D425-E425)</f>
        <v>-1.0600941387714846</v>
      </c>
      <c r="G425" s="79">
        <f>IF($C425&lt;=Entradas!$E$153,"",D425-AVERAGE(D:D))</f>
        <v>0.30350535957858726</v>
      </c>
      <c r="H425" s="79">
        <f>IF($C425&lt;=Entradas!$E$153,"",F425^2)</f>
        <v>1.1237995830576557</v>
      </c>
      <c r="I425" s="79">
        <f>IF($C425&lt;=Entradas!$E$153,"",G425^2)</f>
        <v>9.2115503292927559E-2</v>
      </c>
      <c r="J425" s="79">
        <f>IF($C425&lt;=Entradas!$E$153,"",E425-AVERAGE(E:E))</f>
        <v>1.3155119791984646</v>
      </c>
      <c r="K425" s="79">
        <f>IF($C425&lt;=Entradas!$E$153,"",J425^2)</f>
        <v>1.7305717674146617</v>
      </c>
      <c r="L425" s="79">
        <f>IF($C425&lt;=Entradas!$E$153,"",G425*J425)</f>
        <v>0.399264936276569</v>
      </c>
      <c r="M425" s="40"/>
    </row>
    <row r="426" spans="2:13">
      <c r="B426" s="39"/>
      <c r="C426" s="75">
        <v>421</v>
      </c>
      <c r="D426" s="110">
        <f>IF($C426&lt;=Entradas!$E$153,"",Observaciones!L426)</f>
        <v>1.0910027378169305</v>
      </c>
      <c r="E426" s="110">
        <f>IF($C426&lt;=Entradas!$E$153,"",Escenario1!BN427)</f>
        <v>2.0554773429280568</v>
      </c>
      <c r="F426" s="79">
        <f>IF($C426&lt;=Entradas!$E$153,"",D426-E426)</f>
        <v>-0.96447460511112637</v>
      </c>
      <c r="G426" s="79">
        <f>IF($C426&lt;=Entradas!$E$153,"",D426-AVERAGE(D:D))</f>
        <v>0.30815111630535252</v>
      </c>
      <c r="H426" s="79">
        <f>IF($C426&lt;=Entradas!$E$153,"",F426^2)</f>
        <v>0.93021126390426312</v>
      </c>
      <c r="I426" s="79">
        <f>IF($C426&lt;=Entradas!$E$153,"",G426^2)</f>
        <v>9.4957110480234905E-2</v>
      </c>
      <c r="J426" s="79">
        <f>IF($C426&lt;=Entradas!$E$153,"",E426-AVERAGE(E:E))</f>
        <v>1.2245382022648716</v>
      </c>
      <c r="K426" s="79">
        <f>IF($C426&lt;=Entradas!$E$153,"",J426^2)</f>
        <v>1.4994938088060836</v>
      </c>
      <c r="L426" s="79">
        <f>IF($C426&lt;=Entradas!$E$153,"",G426*J426)</f>
        <v>0.37734281398646974</v>
      </c>
      <c r="M426" s="40"/>
    </row>
    <row r="427" spans="2:13">
      <c r="B427" s="39"/>
      <c r="C427" s="75">
        <v>422</v>
      </c>
      <c r="D427" s="110">
        <f>IF($C427&lt;=Entradas!$E$153,"",Observaciones!L427)</f>
        <v>1.0945781523867031</v>
      </c>
      <c r="E427" s="110">
        <f>IF($C427&lt;=Entradas!$E$153,"",Escenario1!BN428)</f>
        <v>1.9509235292815919</v>
      </c>
      <c r="F427" s="79">
        <f>IF($C427&lt;=Entradas!$E$153,"",D427-E427)</f>
        <v>-0.85634537689488877</v>
      </c>
      <c r="G427" s="79">
        <f>IF($C427&lt;=Entradas!$E$153,"",D427-AVERAGE(D:D))</f>
        <v>0.31172653087512514</v>
      </c>
      <c r="H427" s="79">
        <f>IF($C427&lt;=Entradas!$E$153,"",F427^2)</f>
        <v>0.73332740452924905</v>
      </c>
      <c r="I427" s="79">
        <f>IF($C427&lt;=Entradas!$E$153,"",G427^2)</f>
        <v>9.7173430051440343E-2</v>
      </c>
      <c r="J427" s="79">
        <f>IF($C427&lt;=Entradas!$E$153,"",E427-AVERAGE(E:E))</f>
        <v>1.1199843886184067</v>
      </c>
      <c r="K427" s="79">
        <f>IF($C427&lt;=Entradas!$E$153,"",J427^2)</f>
        <v>1.2543650307489462</v>
      </c>
      <c r="L427" s="79">
        <f>IF($C427&lt;=Entradas!$E$153,"",G427*J427)</f>
        <v>0.3491288480983139</v>
      </c>
      <c r="M427" s="40"/>
    </row>
    <row r="428" spans="2:13">
      <c r="B428" s="39"/>
      <c r="C428" s="75">
        <v>423</v>
      </c>
      <c r="D428" s="110">
        <f>IF($C428&lt;=Entradas!$E$153,"",Observaciones!L428)</f>
        <v>1.0974786707384765</v>
      </c>
      <c r="E428" s="110">
        <f>IF($C428&lt;=Entradas!$E$153,"",Escenario1!BN429)</f>
        <v>1.8859882383740372</v>
      </c>
      <c r="F428" s="79">
        <f>IF($C428&lt;=Entradas!$E$153,"",D428-E428)</f>
        <v>-0.78850956763556068</v>
      </c>
      <c r="G428" s="79">
        <f>IF($C428&lt;=Entradas!$E$153,"",D428-AVERAGE(D:D))</f>
        <v>0.31462704922689855</v>
      </c>
      <c r="H428" s="79">
        <f>IF($C428&lt;=Entradas!$E$153,"",F428^2)</f>
        <v>0.6217473382528188</v>
      </c>
      <c r="I428" s="79">
        <f>IF($C428&lt;=Entradas!$E$153,"",G428^2)</f>
        <v>9.8990180105225242E-2</v>
      </c>
      <c r="J428" s="79">
        <f>IF($C428&lt;=Entradas!$E$153,"",E428-AVERAGE(E:E))</f>
        <v>1.055049097710852</v>
      </c>
      <c r="K428" s="79">
        <f>IF($C428&lt;=Entradas!$E$153,"",J428^2)</f>
        <v>1.1131285985804829</v>
      </c>
      <c r="L428" s="79">
        <f>IF($C428&lt;=Entradas!$E$153,"",G428*J428)</f>
        <v>0.33194698440226711</v>
      </c>
      <c r="M428" s="40"/>
    </row>
    <row r="429" spans="2:13">
      <c r="B429" s="39"/>
      <c r="C429" s="75">
        <v>424</v>
      </c>
      <c r="D429" s="110">
        <f>IF($C429&lt;=Entradas!$E$153,"",Observaciones!L429)</f>
        <v>1.0995152269471415</v>
      </c>
      <c r="E429" s="110">
        <f>IF($C429&lt;=Entradas!$E$153,"",Escenario1!BN430)</f>
        <v>1.8001416678286595</v>
      </c>
      <c r="F429" s="79">
        <f>IF($C429&lt;=Entradas!$E$153,"",D429-E429)</f>
        <v>-0.70062644088151793</v>
      </c>
      <c r="G429" s="79">
        <f>IF($C429&lt;=Entradas!$E$153,"",D429-AVERAGE(D:D))</f>
        <v>0.3166636054355636</v>
      </c>
      <c r="H429" s="79">
        <f>IF($C429&lt;=Entradas!$E$153,"",F429^2)</f>
        <v>0.49087740966230314</v>
      </c>
      <c r="I429" s="79">
        <f>IF($C429&lt;=Entradas!$E$153,"",G429^2)</f>
        <v>0.10027583900745031</v>
      </c>
      <c r="J429" s="79">
        <f>IF($C429&lt;=Entradas!$E$153,"",E429-AVERAGE(E:E))</f>
        <v>0.96920252716547428</v>
      </c>
      <c r="K429" s="79">
        <f>IF($C429&lt;=Entradas!$E$153,"",J429^2)</f>
        <v>0.93935353866394189</v>
      </c>
      <c r="L429" s="79">
        <f>IF($C429&lt;=Entradas!$E$153,"",G429*J429)</f>
        <v>0.30691116664947887</v>
      </c>
      <c r="M429" s="40"/>
    </row>
    <row r="430" spans="2:13">
      <c r="B430" s="39"/>
      <c r="C430" s="75">
        <v>425</v>
      </c>
      <c r="D430" s="110">
        <f>IF($C430&lt;=Entradas!$E$153,"",Observaciones!L430)</f>
        <v>1.1006131964738437</v>
      </c>
      <c r="E430" s="110">
        <f>IF($C430&lt;=Entradas!$E$153,"",Escenario1!BN431)</f>
        <v>1.7050390297680327</v>
      </c>
      <c r="F430" s="79">
        <f>IF($C430&lt;=Entradas!$E$153,"",D430-E430)</f>
        <v>-0.60442583329418897</v>
      </c>
      <c r="G430" s="79">
        <f>IF($C430&lt;=Entradas!$E$153,"",D430-AVERAGE(D:D))</f>
        <v>0.31776157496226576</v>
      </c>
      <c r="H430" s="79">
        <f>IF($C430&lt;=Entradas!$E$153,"",F430^2)</f>
        <v>0.3653305879533747</v>
      </c>
      <c r="I430" s="79">
        <f>IF($C430&lt;=Entradas!$E$153,"",G430^2)</f>
        <v>0.10097241852249964</v>
      </c>
      <c r="J430" s="79">
        <f>IF($C430&lt;=Entradas!$E$153,"",E430-AVERAGE(E:E))</f>
        <v>0.87409988910484748</v>
      </c>
      <c r="K430" s="79">
        <f>IF($C430&lt;=Entradas!$E$153,"",J430^2)</f>
        <v>0.76405061613310665</v>
      </c>
      <c r="L430" s="79">
        <f>IF($C430&lt;=Entradas!$E$153,"",G430*J430)</f>
        <v>0.2777553574362982</v>
      </c>
      <c r="M430" s="40"/>
    </row>
    <row r="431" spans="2:13">
      <c r="B431" s="39"/>
      <c r="C431" s="75">
        <v>426</v>
      </c>
      <c r="D431" s="110">
        <f>IF($C431&lt;=Entradas!$E$153,"",Observaciones!L431)</f>
        <v>1.1017960334111263</v>
      </c>
      <c r="E431" s="110">
        <f>IF($C431&lt;=Entradas!$E$153,"",Escenario1!BN432)</f>
        <v>1.7155219606693655</v>
      </c>
      <c r="F431" s="79">
        <f>IF($C431&lt;=Entradas!$E$153,"",D431-E431)</f>
        <v>-0.61372592725823916</v>
      </c>
      <c r="G431" s="79">
        <f>IF($C431&lt;=Entradas!$E$153,"",D431-AVERAGE(D:D))</f>
        <v>0.31894441189954836</v>
      </c>
      <c r="H431" s="79">
        <f>IF($C431&lt;=Entradas!$E$153,"",F431^2)</f>
        <v>0.37665951378898543</v>
      </c>
      <c r="I431" s="79">
        <f>IF($C431&lt;=Entradas!$E$153,"",G431^2)</f>
        <v>0.10172553788194877</v>
      </c>
      <c r="J431" s="79">
        <f>IF($C431&lt;=Entradas!$E$153,"",E431-AVERAGE(E:E))</f>
        <v>0.88458282000618027</v>
      </c>
      <c r="K431" s="79">
        <f>IF($C431&lt;=Entradas!$E$153,"",J431^2)</f>
        <v>0.78248676545008633</v>
      </c>
      <c r="L431" s="79">
        <f>IF($C431&lt;=Entradas!$E$153,"",G431*J431)</f>
        <v>0.28213274730331522</v>
      </c>
      <c r="M431" s="40"/>
    </row>
    <row r="432" spans="2:13">
      <c r="B432" s="39"/>
      <c r="C432" s="75">
        <v>427</v>
      </c>
      <c r="D432" s="110">
        <f>IF($C432&lt;=Entradas!$E$153,"",Observaciones!L432)</f>
        <v>1.1020847122339488</v>
      </c>
      <c r="E432" s="110">
        <f>IF($C432&lt;=Entradas!$E$153,"",Escenario1!BN433)</f>
        <v>1.6236029938875722</v>
      </c>
      <c r="F432" s="79">
        <f>IF($C432&lt;=Entradas!$E$153,"",D432-E432)</f>
        <v>-0.52151828165362346</v>
      </c>
      <c r="G432" s="79">
        <f>IF($C432&lt;=Entradas!$E$153,"",D432-AVERAGE(D:D))</f>
        <v>0.31923309072237083</v>
      </c>
      <c r="H432" s="79">
        <f>IF($C432&lt;=Entradas!$E$153,"",F432^2)</f>
        <v>0.27198131809894815</v>
      </c>
      <c r="I432" s="79">
        <f>IF($C432&lt;=Entradas!$E$153,"",G432^2)</f>
        <v>0.10190976621215744</v>
      </c>
      <c r="J432" s="79">
        <f>IF($C432&lt;=Entradas!$E$153,"",E432-AVERAGE(E:E))</f>
        <v>0.79266385322438704</v>
      </c>
      <c r="K432" s="79">
        <f>IF($C432&lt;=Entradas!$E$153,"",J432^2)</f>
        <v>0.62831598420853263</v>
      </c>
      <c r="L432" s="79">
        <f>IF($C432&lt;=Entradas!$E$153,"",G432*J432)</f>
        <v>0.25304453176872477</v>
      </c>
      <c r="M432" s="40"/>
    </row>
    <row r="433" spans="2:13">
      <c r="B433" s="39"/>
      <c r="C433" s="75">
        <v>428</v>
      </c>
      <c r="D433" s="110">
        <f>IF($C433&lt;=Entradas!$E$153,"",Observaciones!L433)</f>
        <v>1.102257011718865</v>
      </c>
      <c r="E433" s="110">
        <f>IF($C433&lt;=Entradas!$E$153,"",Escenario1!BN434)</f>
        <v>1.611618470100499</v>
      </c>
      <c r="F433" s="79">
        <f>IF($C433&lt;=Entradas!$E$153,"",D433-E433)</f>
        <v>-0.50936145838163394</v>
      </c>
      <c r="G433" s="79">
        <f>IF($C433&lt;=Entradas!$E$153,"",D433-AVERAGE(D:D))</f>
        <v>0.31940539020728709</v>
      </c>
      <c r="H433" s="79">
        <f>IF($C433&lt;=Entradas!$E$153,"",F433^2)</f>
        <v>0.25944909528466498</v>
      </c>
      <c r="I433" s="79">
        <f>IF($C433&lt;=Entradas!$E$153,"",G433^2)</f>
        <v>0.10201980329346932</v>
      </c>
      <c r="J433" s="79">
        <f>IF($C433&lt;=Entradas!$E$153,"",E433-AVERAGE(E:E))</f>
        <v>0.78067932943731377</v>
      </c>
      <c r="K433" s="79">
        <f>IF($C433&lt;=Entradas!$E$153,"",J433^2)</f>
        <v>0.60946021541069384</v>
      </c>
      <c r="L433" s="79">
        <f>IF($C433&lt;=Entradas!$E$153,"",G433*J433)</f>
        <v>0.24935318584568844</v>
      </c>
      <c r="M433" s="40"/>
    </row>
    <row r="434" spans="2:13">
      <c r="B434" s="39"/>
      <c r="C434" s="75">
        <v>429</v>
      </c>
      <c r="D434" s="110">
        <f>IF($C434&lt;=Entradas!$E$153,"",Observaciones!L434)</f>
        <v>1.1015847950662878</v>
      </c>
      <c r="E434" s="110">
        <f>IF($C434&lt;=Entradas!$E$153,"",Escenario1!BN435)</f>
        <v>1.523142069058689</v>
      </c>
      <c r="F434" s="79">
        <f>IF($C434&lt;=Entradas!$E$153,"",D434-E434)</f>
        <v>-0.42155727399240117</v>
      </c>
      <c r="G434" s="79">
        <f>IF($C434&lt;=Entradas!$E$153,"",D434-AVERAGE(D:D))</f>
        <v>0.31873317355470987</v>
      </c>
      <c r="H434" s="79">
        <f>IF($C434&lt;=Entradas!$E$153,"",F434^2)</f>
        <v>0.17771053525590438</v>
      </c>
      <c r="I434" s="79">
        <f>IF($C434&lt;=Entradas!$E$153,"",G434^2)</f>
        <v>0.1015908359242568</v>
      </c>
      <c r="J434" s="79">
        <f>IF($C434&lt;=Entradas!$E$153,"",E434-AVERAGE(E:E))</f>
        <v>0.69220292839550379</v>
      </c>
      <c r="K434" s="79">
        <f>IF($C434&lt;=Entradas!$E$153,"",J434^2)</f>
        <v>0.47914489407931093</v>
      </c>
      <c r="L434" s="79">
        <f>IF($C434&lt;=Entradas!$E$153,"",G434*J434)</f>
        <v>0.22062803611136253</v>
      </c>
      <c r="M434" s="40"/>
    </row>
    <row r="435" spans="2:13">
      <c r="B435" s="39"/>
      <c r="C435" s="75">
        <v>430</v>
      </c>
      <c r="D435" s="110">
        <f>IF($C435&lt;=Entradas!$E$153,"",Observaciones!L435)</f>
        <v>1.1024636358102891</v>
      </c>
      <c r="E435" s="110">
        <f>IF($C435&lt;=Entradas!$E$153,"",Escenario1!BN436)</f>
        <v>1.6126506497754944</v>
      </c>
      <c r="F435" s="79">
        <f>IF($C435&lt;=Entradas!$E$153,"",D435-E435)</f>
        <v>-0.51018701396520538</v>
      </c>
      <c r="G435" s="79">
        <f>IF($C435&lt;=Entradas!$E$153,"",D435-AVERAGE(D:D))</f>
        <v>0.31961201429871111</v>
      </c>
      <c r="H435" s="79">
        <f>IF($C435&lt;=Entradas!$E$153,"",F435^2)</f>
        <v>0.26029078921873267</v>
      </c>
      <c r="I435" s="79">
        <f>IF($C435&lt;=Entradas!$E$153,"",G435^2)</f>
        <v>0.10215183968407951</v>
      </c>
      <c r="J435" s="79">
        <f>IF($C435&lt;=Entradas!$E$153,"",E435-AVERAGE(E:E))</f>
        <v>0.78171150911230924</v>
      </c>
      <c r="K435" s="79">
        <f>IF($C435&lt;=Entradas!$E$153,"",J435^2)</f>
        <v>0.61107288347864397</v>
      </c>
      <c r="L435" s="79">
        <f>IF($C435&lt;=Entradas!$E$153,"",G435*J435)</f>
        <v>0.24984439002787043</v>
      </c>
      <c r="M435" s="40"/>
    </row>
    <row r="436" spans="2:13">
      <c r="B436" s="39"/>
      <c r="C436" s="75">
        <v>431</v>
      </c>
      <c r="D436" s="110">
        <f>IF($C436&lt;=Entradas!$E$153,"",Observaciones!L436)</f>
        <v>1.1017978614062895</v>
      </c>
      <c r="E436" s="110">
        <f>IF($C436&lt;=Entradas!$E$153,"",Escenario1!BN437)</f>
        <v>1.5257528605645745</v>
      </c>
      <c r="F436" s="79">
        <f>IF($C436&lt;=Entradas!$E$153,"",D436-E436)</f>
        <v>-0.42395499915828494</v>
      </c>
      <c r="G436" s="79">
        <f>IF($C436&lt;=Entradas!$E$153,"",D436-AVERAGE(D:D))</f>
        <v>0.3189462398947116</v>
      </c>
      <c r="H436" s="79">
        <f>IF($C436&lt;=Entradas!$E$153,"",F436^2)</f>
        <v>0.17973784131130138</v>
      </c>
      <c r="I436" s="79">
        <f>IF($C436&lt;=Entradas!$E$153,"",G436^2)</f>
        <v>0.10172670394297492</v>
      </c>
      <c r="J436" s="79">
        <f>IF($C436&lt;=Entradas!$E$153,"",E436-AVERAGE(E:E))</f>
        <v>0.69481371990138929</v>
      </c>
      <c r="K436" s="79">
        <f>IF($C436&lt;=Entradas!$E$153,"",J436^2)</f>
        <v>0.48276610536320624</v>
      </c>
      <c r="L436" s="79">
        <f>IF($C436&lt;=Entradas!$E$153,"",G436*J436)</f>
        <v>0.22160822338980546</v>
      </c>
      <c r="M436" s="40"/>
    </row>
    <row r="437" spans="2:13">
      <c r="B437" s="39"/>
      <c r="C437" s="75">
        <v>432</v>
      </c>
      <c r="D437" s="110">
        <f>IF($C437&lt;=Entradas!$E$153,"",Observaciones!L437)</f>
        <v>9.7231703399355904</v>
      </c>
      <c r="E437" s="110">
        <f>IF($C437&lt;=Entradas!$E$153,"",Escenario1!BN438)</f>
        <v>2.1435610427271206</v>
      </c>
      <c r="F437" s="79">
        <f>IF($C437&lt;=Entradas!$E$153,"",D437-E437)</f>
        <v>7.5796092972084699</v>
      </c>
      <c r="G437" s="79">
        <f>IF($C437&lt;=Entradas!$E$153,"",D437-AVERAGE(D:D))</f>
        <v>8.9403187184240132</v>
      </c>
      <c r="H437" s="79">
        <f>IF($C437&lt;=Entradas!$E$153,"",F437^2)</f>
        <v>57.450477098329074</v>
      </c>
      <c r="I437" s="79">
        <f>IF($C437&lt;=Entradas!$E$153,"",G437^2)</f>
        <v>79.929298787002793</v>
      </c>
      <c r="J437" s="79">
        <f>IF($C437&lt;=Entradas!$E$153,"",E437-AVERAGE(E:E))</f>
        <v>1.3126219020639354</v>
      </c>
      <c r="K437" s="79">
        <f>IF($C437&lt;=Entradas!$E$153,"",J437^2)</f>
        <v>1.7229762577779435</v>
      </c>
      <c r="L437" s="79">
        <f>IF($C437&lt;=Entradas!$E$153,"",G437*J437)</f>
        <v>11.735258161235533</v>
      </c>
      <c r="M437" s="40"/>
    </row>
    <row r="438" spans="2:13">
      <c r="B438" s="39"/>
      <c r="C438" s="75">
        <v>433</v>
      </c>
      <c r="D438" s="110">
        <f>IF($C438&lt;=Entradas!$E$153,"",Observaciones!L438)</f>
        <v>1.1184740636137809</v>
      </c>
      <c r="E438" s="110">
        <f>IF($C438&lt;=Entradas!$E$153,"",Escenario1!BN439)</f>
        <v>2.1000689670455999</v>
      </c>
      <c r="F438" s="79">
        <f>IF($C438&lt;=Entradas!$E$153,"",D438-E438)</f>
        <v>-0.98159490343181899</v>
      </c>
      <c r="G438" s="79">
        <f>IF($C438&lt;=Entradas!$E$153,"",D438-AVERAGE(D:D))</f>
        <v>0.33562244210220293</v>
      </c>
      <c r="H438" s="79">
        <f>IF($C438&lt;=Entradas!$E$153,"",F438^2)</f>
        <v>0.96352855444332208</v>
      </c>
      <c r="I438" s="79">
        <f>IF($C438&lt;=Entradas!$E$153,"",G438^2)</f>
        <v>0.11264242364264657</v>
      </c>
      <c r="J438" s="79">
        <f>IF($C438&lt;=Entradas!$E$153,"",E438-AVERAGE(E:E))</f>
        <v>1.2691298263824147</v>
      </c>
      <c r="K438" s="79">
        <f>IF($C438&lt;=Entradas!$E$153,"",J438^2)</f>
        <v>1.6106905162134579</v>
      </c>
      <c r="L438" s="79">
        <f>IF($C438&lt;=Entradas!$E$153,"",G438*J438)</f>
        <v>0.42594845167521084</v>
      </c>
      <c r="M438" s="40"/>
    </row>
    <row r="439" spans="2:13">
      <c r="B439" s="39"/>
      <c r="C439" s="75">
        <v>434</v>
      </c>
      <c r="D439" s="110">
        <f>IF($C439&lt;=Entradas!$E$153,"",Observaciones!L439)</f>
        <v>1.5032030778697645</v>
      </c>
      <c r="E439" s="110">
        <f>IF($C439&lt;=Entradas!$E$153,"",Escenario1!BN440)</f>
        <v>2.1912949211124459</v>
      </c>
      <c r="F439" s="79">
        <f>IF($C439&lt;=Entradas!$E$153,"",D439-E439)</f>
        <v>-0.68809184324268147</v>
      </c>
      <c r="G439" s="79">
        <f>IF($C439&lt;=Entradas!$E$153,"",D439-AVERAGE(D:D))</f>
        <v>0.72035145635818654</v>
      </c>
      <c r="H439" s="79">
        <f>IF($C439&lt;=Entradas!$E$153,"",F439^2)</f>
        <v>0.47347038473711095</v>
      </c>
      <c r="I439" s="79">
        <f>IF($C439&lt;=Entradas!$E$153,"",G439^2)</f>
        <v>0.51890622067736036</v>
      </c>
      <c r="J439" s="79">
        <f>IF($C439&lt;=Entradas!$E$153,"",E439-AVERAGE(E:E))</f>
        <v>1.3603557804492608</v>
      </c>
      <c r="K439" s="79">
        <f>IF($C439&lt;=Entradas!$E$153,"",J439^2)</f>
        <v>1.8505678494017173</v>
      </c>
      <c r="L439" s="79">
        <f>IF($C439&lt;=Entradas!$E$153,"",G439*J439)</f>
        <v>0.9799342676119025</v>
      </c>
      <c r="M439" s="40"/>
    </row>
    <row r="440" spans="2:13">
      <c r="B440" s="39"/>
      <c r="C440" s="75">
        <v>435</v>
      </c>
      <c r="D440" s="110">
        <f>IF($C440&lt;=Entradas!$E$153,"",Observaciones!L440)</f>
        <v>1.1360225468554859</v>
      </c>
      <c r="E440" s="110">
        <f>IF($C440&lt;=Entradas!$E$153,"",Escenario1!BN441)</f>
        <v>2.20318816337213</v>
      </c>
      <c r="F440" s="79">
        <f>IF($C440&lt;=Entradas!$E$153,"",D440-E440)</f>
        <v>-1.0671656165166441</v>
      </c>
      <c r="G440" s="79">
        <f>IF($C440&lt;=Entradas!$E$153,"",D440-AVERAGE(D:D))</f>
        <v>0.35317092534390793</v>
      </c>
      <c r="H440" s="79">
        <f>IF($C440&lt;=Entradas!$E$153,"",F440^2)</f>
        <v>1.1388424530753491</v>
      </c>
      <c r="I440" s="79">
        <f>IF($C440&lt;=Entradas!$E$153,"",G440^2)</f>
        <v>0.12472970250827219</v>
      </c>
      <c r="J440" s="79">
        <f>IF($C440&lt;=Entradas!$E$153,"",E440-AVERAGE(E:E))</f>
        <v>1.3722490227089448</v>
      </c>
      <c r="K440" s="79">
        <f>IF($C440&lt;=Entradas!$E$153,"",J440^2)</f>
        <v>1.8830673803256541</v>
      </c>
      <c r="L440" s="79">
        <f>IF($C440&lt;=Entradas!$E$153,"",G440*J440)</f>
        <v>0.48463845715239134</v>
      </c>
      <c r="M440" s="40"/>
    </row>
    <row r="441" spans="2:13">
      <c r="B441" s="39"/>
      <c r="C441" s="75">
        <v>436</v>
      </c>
      <c r="D441" s="110">
        <f>IF($C441&lt;=Entradas!$E$153,"",Observaciones!L441)</f>
        <v>3.7541337253690221</v>
      </c>
      <c r="E441" s="110">
        <f>IF($C441&lt;=Entradas!$E$153,"",Escenario1!BN442)</f>
        <v>2.3321208839751586</v>
      </c>
      <c r="F441" s="79">
        <f>IF($C441&lt;=Entradas!$E$153,"",D441-E441)</f>
        <v>1.4220128413938635</v>
      </c>
      <c r="G441" s="79">
        <f>IF($C441&lt;=Entradas!$E$153,"",D441-AVERAGE(D:D))</f>
        <v>2.971282103857444</v>
      </c>
      <c r="H441" s="79">
        <f>IF($C441&lt;=Entradas!$E$153,"",F441^2)</f>
        <v>2.0221205210890494</v>
      </c>
      <c r="I441" s="79">
        <f>IF($C441&lt;=Entradas!$E$153,"",G441^2)</f>
        <v>8.8285173407035185</v>
      </c>
      <c r="J441" s="79">
        <f>IF($C441&lt;=Entradas!$E$153,"",E441-AVERAGE(E:E))</f>
        <v>1.5011817433119734</v>
      </c>
      <c r="K441" s="79">
        <f>IF($C441&lt;=Entradas!$E$153,"",J441^2)</f>
        <v>2.2535466264531756</v>
      </c>
      <c r="L441" s="79">
        <f>IF($C441&lt;=Entradas!$E$153,"",G441*J441)</f>
        <v>4.4604344485403855</v>
      </c>
      <c r="M441" s="40"/>
    </row>
    <row r="442" spans="2:13">
      <c r="B442" s="39"/>
      <c r="C442" s="75">
        <v>437</v>
      </c>
      <c r="D442" s="110">
        <f>IF($C442&lt;=Entradas!$E$153,"",Observaciones!L442)</f>
        <v>1.1569525420194617</v>
      </c>
      <c r="E442" s="110">
        <f>IF($C442&lt;=Entradas!$E$153,"",Escenario1!BN443)</f>
        <v>2.3688301184321294</v>
      </c>
      <c r="F442" s="79">
        <f>IF($C442&lt;=Entradas!$E$153,"",D442-E442)</f>
        <v>-1.2118775764126677</v>
      </c>
      <c r="G442" s="79">
        <f>IF($C442&lt;=Entradas!$E$153,"",D442-AVERAGE(D:D))</f>
        <v>0.37410092050788379</v>
      </c>
      <c r="H442" s="79">
        <f>IF($C442&lt;=Entradas!$E$153,"",F442^2)</f>
        <v>1.4686472602118412</v>
      </c>
      <c r="I442" s="79">
        <f>IF($C442&lt;=Entradas!$E$153,"",G442^2)</f>
        <v>0.139951498724846</v>
      </c>
      <c r="J442" s="79">
        <f>IF($C442&lt;=Entradas!$E$153,"",E442-AVERAGE(E:E))</f>
        <v>1.5378909777689442</v>
      </c>
      <c r="K442" s="79">
        <f>IF($C442&lt;=Entradas!$E$153,"",J442^2)</f>
        <v>2.3651086595031194</v>
      </c>
      <c r="L442" s="79">
        <f>IF($C442&lt;=Entradas!$E$153,"",G442*J442)</f>
        <v>0.57532643042413145</v>
      </c>
      <c r="M442" s="40"/>
    </row>
    <row r="443" spans="2:13">
      <c r="B443" s="39"/>
      <c r="C443" s="75">
        <v>438</v>
      </c>
      <c r="D443" s="110">
        <f>IF($C443&lt;=Entradas!$E$153,"",Observaciones!L443)</f>
        <v>1.1627816753791345</v>
      </c>
      <c r="E443" s="110">
        <f>IF($C443&lt;=Entradas!$E$153,"",Escenario1!BN444)</f>
        <v>2.3632444258284799</v>
      </c>
      <c r="F443" s="79">
        <f>IF($C443&lt;=Entradas!$E$153,"",D443-E443)</f>
        <v>-1.2004627504493455</v>
      </c>
      <c r="G443" s="79">
        <f>IF($C443&lt;=Entradas!$E$153,"",D443-AVERAGE(D:D))</f>
        <v>0.37993005386755652</v>
      </c>
      <c r="H443" s="79">
        <f>IF($C443&lt;=Entradas!$E$153,"",F443^2)</f>
        <v>1.4411108152164076</v>
      </c>
      <c r="I443" s="79">
        <f>IF($C443&lt;=Entradas!$E$153,"",G443^2)</f>
        <v>0.1443468458318044</v>
      </c>
      <c r="J443" s="79">
        <f>IF($C443&lt;=Entradas!$E$153,"",E443-AVERAGE(E:E))</f>
        <v>1.5323052851652947</v>
      </c>
      <c r="K443" s="79">
        <f>IF($C443&lt;=Entradas!$E$153,"",J443^2)</f>
        <v>2.3479594869454954</v>
      </c>
      <c r="L443" s="79">
        <f>IF($C443&lt;=Entradas!$E$153,"",G443*J443)</f>
        <v>0.58216882953439197</v>
      </c>
      <c r="M443" s="40"/>
    </row>
    <row r="444" spans="2:13">
      <c r="B444" s="39"/>
      <c r="C444" s="75">
        <v>439</v>
      </c>
      <c r="D444" s="110">
        <f>IF($C444&lt;=Entradas!$E$153,"",Observaciones!L444)</f>
        <v>1.1692256048646983</v>
      </c>
      <c r="E444" s="110">
        <f>IF($C444&lt;=Entradas!$E$153,"",Escenario1!BN445)</f>
        <v>2.3747028033285407</v>
      </c>
      <c r="F444" s="79">
        <f>IF($C444&lt;=Entradas!$E$153,"",D444-E444)</f>
        <v>-1.2054771984638424</v>
      </c>
      <c r="G444" s="79">
        <f>IF($C444&lt;=Entradas!$E$153,"",D444-AVERAGE(D:D))</f>
        <v>0.38637398335312034</v>
      </c>
      <c r="H444" s="79">
        <f>IF($C444&lt;=Entradas!$E$153,"",F444^2)</f>
        <v>1.453175276016234</v>
      </c>
      <c r="I444" s="79">
        <f>IF($C444&lt;=Entradas!$E$153,"",G444^2)</f>
        <v>0.14928485501215732</v>
      </c>
      <c r="J444" s="79">
        <f>IF($C444&lt;=Entradas!$E$153,"",E444-AVERAGE(E:E))</f>
        <v>1.5437636626653555</v>
      </c>
      <c r="K444" s="79">
        <f>IF($C444&lt;=Entradas!$E$153,"",J444^2)</f>
        <v>2.3832062461659533</v>
      </c>
      <c r="L444" s="79">
        <f>IF($C444&lt;=Entradas!$E$153,"",G444*J444)</f>
        <v>0.59647011569981612</v>
      </c>
      <c r="M444" s="40"/>
    </row>
    <row r="445" spans="2:13">
      <c r="B445" s="39"/>
      <c r="C445" s="75">
        <v>440</v>
      </c>
      <c r="D445" s="110">
        <f>IF($C445&lt;=Entradas!$E$153,"",Observaciones!L445)</f>
        <v>3.325499759288157</v>
      </c>
      <c r="E445" s="110">
        <f>IF($C445&lt;=Entradas!$E$153,"",Escenario1!BN446)</f>
        <v>2.4898410682283383</v>
      </c>
      <c r="F445" s="79">
        <f>IF($C445&lt;=Entradas!$E$153,"",D445-E445)</f>
        <v>0.83565869105981871</v>
      </c>
      <c r="G445" s="79">
        <f>IF($C445&lt;=Entradas!$E$153,"",D445-AVERAGE(D:D))</f>
        <v>2.5426481377765793</v>
      </c>
      <c r="H445" s="79">
        <f>IF($C445&lt;=Entradas!$E$153,"",F445^2)</f>
        <v>0.69832544794380957</v>
      </c>
      <c r="I445" s="79">
        <f>IF($C445&lt;=Entradas!$E$153,"",G445^2)</f>
        <v>6.4650595525387065</v>
      </c>
      <c r="J445" s="79">
        <f>IF($C445&lt;=Entradas!$E$153,"",E445-AVERAGE(E:E))</f>
        <v>1.6589019275651531</v>
      </c>
      <c r="K445" s="79">
        <f>IF($C445&lt;=Entradas!$E$153,"",J445^2)</f>
        <v>2.7519556052793805</v>
      </c>
      <c r="L445" s="79">
        <f>IF($C445&lt;=Entradas!$E$153,"",G445*J445)</f>
        <v>4.218003896877514</v>
      </c>
      <c r="M445" s="40"/>
    </row>
    <row r="446" spans="2:13">
      <c r="B446" s="39"/>
      <c r="C446" s="75">
        <v>441</v>
      </c>
      <c r="D446" s="110">
        <f>IF($C446&lt;=Entradas!$E$153,"",Observaciones!L446)</f>
        <v>1.1861626902123361</v>
      </c>
      <c r="E446" s="110">
        <f>IF($C446&lt;=Entradas!$E$153,"",Escenario1!BN447)</f>
        <v>2.39044536004858</v>
      </c>
      <c r="F446" s="79">
        <f>IF($C446&lt;=Entradas!$E$153,"",D446-E446)</f>
        <v>-1.2042826698362439</v>
      </c>
      <c r="G446" s="79">
        <f>IF($C446&lt;=Entradas!$E$153,"",D446-AVERAGE(D:D))</f>
        <v>0.40331106870075817</v>
      </c>
      <c r="H446" s="79">
        <f>IF($C446&lt;=Entradas!$E$153,"",F446^2)</f>
        <v>1.4502967488679115</v>
      </c>
      <c r="I446" s="79">
        <f>IF($C446&lt;=Entradas!$E$153,"",G446^2)</f>
        <v>0.16265981813654767</v>
      </c>
      <c r="J446" s="79">
        <f>IF($C446&lt;=Entradas!$E$153,"",E446-AVERAGE(E:E))</f>
        <v>1.5595062193853948</v>
      </c>
      <c r="K446" s="79">
        <f>IF($C446&lt;=Entradas!$E$153,"",J446^2)</f>
        <v>2.4320596483017272</v>
      </c>
      <c r="L446" s="79">
        <f>IF($C446&lt;=Entradas!$E$153,"",G446*J446)</f>
        <v>0.62896611998580265</v>
      </c>
      <c r="M446" s="40"/>
    </row>
    <row r="447" spans="2:13">
      <c r="B447" s="39"/>
      <c r="C447" s="75">
        <v>442</v>
      </c>
      <c r="D447" s="110">
        <f>IF($C447&lt;=Entradas!$E$153,"",Observaciones!L447)</f>
        <v>1.1912898391097353</v>
      </c>
      <c r="E447" s="110">
        <f>IF($C447&lt;=Entradas!$E$153,"",Escenario1!BN448)</f>
        <v>2.3524201224146712</v>
      </c>
      <c r="F447" s="79">
        <f>IF($C447&lt;=Entradas!$E$153,"",D447-E447)</f>
        <v>-1.161130283304936</v>
      </c>
      <c r="G447" s="79">
        <f>IF($C447&lt;=Entradas!$E$153,"",D447-AVERAGE(D:D))</f>
        <v>0.40843821759815735</v>
      </c>
      <c r="H447" s="79">
        <f>IF($C447&lt;=Entradas!$E$153,"",F447^2)</f>
        <v>1.3482235348078009</v>
      </c>
      <c r="I447" s="79">
        <f>IF($C447&lt;=Entradas!$E$153,"",G447^2)</f>
        <v>0.16682177759475972</v>
      </c>
      <c r="J447" s="79">
        <f>IF($C447&lt;=Entradas!$E$153,"",E447-AVERAGE(E:E))</f>
        <v>1.5214809817514861</v>
      </c>
      <c r="K447" s="79">
        <f>IF($C447&lt;=Entradas!$E$153,"",J447^2)</f>
        <v>2.314904377831466</v>
      </c>
      <c r="L447" s="79">
        <f>IF($C447&lt;=Entradas!$E$153,"",G447*J447)</f>
        <v>0.62143098029607158</v>
      </c>
      <c r="M447" s="40"/>
    </row>
    <row r="448" spans="2:13">
      <c r="B448" s="39"/>
      <c r="C448" s="75">
        <v>443</v>
      </c>
      <c r="D448" s="110">
        <f>IF($C448&lt;=Entradas!$E$153,"",Observaciones!L448)</f>
        <v>1.1954129007626957</v>
      </c>
      <c r="E448" s="110">
        <f>IF($C448&lt;=Entradas!$E$153,"",Escenario1!BN449)</f>
        <v>2.2549039490328937</v>
      </c>
      <c r="F448" s="79">
        <f>IF($C448&lt;=Entradas!$E$153,"",D448-E448)</f>
        <v>-1.059491048270198</v>
      </c>
      <c r="G448" s="79">
        <f>IF($C448&lt;=Entradas!$E$153,"",D448-AVERAGE(D:D))</f>
        <v>0.41256127925111774</v>
      </c>
      <c r="H448" s="79">
        <f>IF($C448&lt;=Entradas!$E$153,"",F448^2)</f>
        <v>1.122521281364683</v>
      </c>
      <c r="I448" s="79">
        <f>IF($C448&lt;=Entradas!$E$153,"",G448^2)</f>
        <v>0.17020680913731875</v>
      </c>
      <c r="J448" s="79">
        <f>IF($C448&lt;=Entradas!$E$153,"",E448-AVERAGE(E:E))</f>
        <v>1.4239648083697085</v>
      </c>
      <c r="K448" s="79">
        <f>IF($C448&lt;=Entradas!$E$153,"",J448^2)</f>
        <v>2.0276757754753807</v>
      </c>
      <c r="L448" s="79">
        <f>IF($C448&lt;=Entradas!$E$153,"",G448*J448)</f>
        <v>0.58747274294957963</v>
      </c>
      <c r="M448" s="40"/>
    </row>
    <row r="449" spans="2:13">
      <c r="B449" s="39"/>
      <c r="C449" s="75">
        <v>444</v>
      </c>
      <c r="D449" s="110">
        <f>IF($C449&lt;=Entradas!$E$153,"",Observaciones!L449)</f>
        <v>1.1995682751960035</v>
      </c>
      <c r="E449" s="110">
        <f>IF($C449&lt;=Entradas!$E$153,"",Escenario1!BN450)</f>
        <v>2.299081203255259</v>
      </c>
      <c r="F449" s="79">
        <f>IF($C449&lt;=Entradas!$E$153,"",D449-E449)</f>
        <v>-1.0995129280592555</v>
      </c>
      <c r="G449" s="79">
        <f>IF($C449&lt;=Entradas!$E$153,"",D449-AVERAGE(D:D))</f>
        <v>0.41671665368442556</v>
      </c>
      <c r="H449" s="79">
        <f>IF($C449&lt;=Entradas!$E$153,"",F449^2)</f>
        <v>1.2089286789694376</v>
      </c>
      <c r="I449" s="79">
        <f>IF($C449&lt;=Entradas!$E$153,"",G449^2)</f>
        <v>0.17365276945794547</v>
      </c>
      <c r="J449" s="79">
        <f>IF($C449&lt;=Entradas!$E$153,"",E449-AVERAGE(E:E))</f>
        <v>1.4681420625920738</v>
      </c>
      <c r="K449" s="79">
        <f>IF($C449&lt;=Entradas!$E$153,"",J449^2)</f>
        <v>2.155441115952109</v>
      </c>
      <c r="L449" s="79">
        <f>IF($C449&lt;=Entradas!$E$153,"",G449*J449)</f>
        <v>0.61179924745671943</v>
      </c>
      <c r="M449" s="40"/>
    </row>
    <row r="450" spans="2:13">
      <c r="B450" s="39"/>
      <c r="C450" s="75">
        <v>445</v>
      </c>
      <c r="D450" s="110">
        <f>IF($C450&lt;=Entradas!$E$153,"",Observaciones!L450)</f>
        <v>1.2027280058639476</v>
      </c>
      <c r="E450" s="110">
        <f>IF($C450&lt;=Entradas!$E$153,"",Escenario1!BN451)</f>
        <v>2.1660737706615012</v>
      </c>
      <c r="F450" s="79">
        <f>IF($C450&lt;=Entradas!$E$153,"",D450-E450)</f>
        <v>-0.96334576479755363</v>
      </c>
      <c r="G450" s="79">
        <f>IF($C450&lt;=Entradas!$E$153,"",D450-AVERAGE(D:D))</f>
        <v>0.41987638435236962</v>
      </c>
      <c r="H450" s="79">
        <f>IF($C450&lt;=Entradas!$E$153,"",F450^2)</f>
        <v>0.92803506255338353</v>
      </c>
      <c r="I450" s="79">
        <f>IF($C450&lt;=Entradas!$E$153,"",G450^2)</f>
        <v>0.17629617813681883</v>
      </c>
      <c r="J450" s="79">
        <f>IF($C450&lt;=Entradas!$E$153,"",E450-AVERAGE(E:E))</f>
        <v>1.335134629998316</v>
      </c>
      <c r="K450" s="79">
        <f>IF($C450&lt;=Entradas!$E$153,"",J450^2)</f>
        <v>1.7825844802207402</v>
      </c>
      <c r="L450" s="79">
        <f>IF($C450&lt;=Entradas!$E$153,"",G450*J450)</f>
        <v>0.56059150106733169</v>
      </c>
      <c r="M450" s="40"/>
    </row>
    <row r="451" spans="2:13">
      <c r="B451" s="39"/>
      <c r="C451" s="75">
        <v>446</v>
      </c>
      <c r="D451" s="110">
        <f>IF($C451&lt;=Entradas!$E$153,"",Observaciones!L451)</f>
        <v>1.2054292199177374</v>
      </c>
      <c r="E451" s="110">
        <f>IF($C451&lt;=Entradas!$E$153,"",Escenario1!BN452)</f>
        <v>2.1224765837838611</v>
      </c>
      <c r="F451" s="79">
        <f>IF($C451&lt;=Entradas!$E$153,"",D451-E451)</f>
        <v>-0.91704736386612362</v>
      </c>
      <c r="G451" s="79">
        <f>IF($C451&lt;=Entradas!$E$153,"",D451-AVERAGE(D:D))</f>
        <v>0.42257759840615949</v>
      </c>
      <c r="H451" s="79">
        <f>IF($C451&lt;=Entradas!$E$153,"",F451^2)</f>
        <v>0.84097586757380649</v>
      </c>
      <c r="I451" s="79">
        <f>IF($C451&lt;=Entradas!$E$153,"",G451^2)</f>
        <v>0.17857182667471741</v>
      </c>
      <c r="J451" s="79">
        <f>IF($C451&lt;=Entradas!$E$153,"",E451-AVERAGE(E:E))</f>
        <v>1.2915374431206759</v>
      </c>
      <c r="K451" s="79">
        <f>IF($C451&lt;=Entradas!$E$153,"",J451^2)</f>
        <v>1.6680689669826931</v>
      </c>
      <c r="L451" s="79">
        <f>IF($C451&lt;=Entradas!$E$153,"",G451*J451)</f>
        <v>0.54577479096556702</v>
      </c>
      <c r="M451" s="40"/>
    </row>
    <row r="452" spans="2:13">
      <c r="B452" s="39"/>
      <c r="C452" s="75">
        <v>447</v>
      </c>
      <c r="D452" s="110">
        <f>IF($C452&lt;=Entradas!$E$153,"",Observaciones!L452)</f>
        <v>1.2078827697618437</v>
      </c>
      <c r="E452" s="110">
        <f>IF($C452&lt;=Entradas!$E$153,"",Escenario1!BN453)</f>
        <v>2.1001960148798133</v>
      </c>
      <c r="F452" s="79">
        <f>IF($C452&lt;=Entradas!$E$153,"",D452-E452)</f>
        <v>-0.89231324511796961</v>
      </c>
      <c r="G452" s="79">
        <f>IF($C452&lt;=Entradas!$E$153,"",D452-AVERAGE(D:D))</f>
        <v>0.42503114825026578</v>
      </c>
      <c r="H452" s="79">
        <f>IF($C452&lt;=Entradas!$E$153,"",F452^2)</f>
        <v>0.79622292741296175</v>
      </c>
      <c r="I452" s="79">
        <f>IF($C452&lt;=Entradas!$E$153,"",G452^2)</f>
        <v>0.1806514769829394</v>
      </c>
      <c r="J452" s="79">
        <f>IF($C452&lt;=Entradas!$E$153,"",E452-AVERAGE(E:E))</f>
        <v>1.2692568742166281</v>
      </c>
      <c r="K452" s="79">
        <f>IF($C452&lt;=Entradas!$E$153,"",J452^2)</f>
        <v>1.6110130127461655</v>
      </c>
      <c r="L452" s="79">
        <f>IF($C452&lt;=Entradas!$E$153,"",G452*J452)</f>
        <v>0.53947370667283667</v>
      </c>
      <c r="M452" s="40"/>
    </row>
    <row r="453" spans="2:13">
      <c r="B453" s="39"/>
      <c r="C453" s="75">
        <v>448</v>
      </c>
      <c r="D453" s="110">
        <f>IF($C453&lt;=Entradas!$E$153,"",Observaciones!L453)</f>
        <v>1.2094246870896819</v>
      </c>
      <c r="E453" s="110">
        <f>IF($C453&lt;=Entradas!$E$153,"",Escenario1!BN454)</f>
        <v>2.0079987010923692</v>
      </c>
      <c r="F453" s="79">
        <f>IF($C453&lt;=Entradas!$E$153,"",D453-E453)</f>
        <v>-0.79857401400268735</v>
      </c>
      <c r="G453" s="79">
        <f>IF($C453&lt;=Entradas!$E$153,"",D453-AVERAGE(D:D))</f>
        <v>0.42657306557810393</v>
      </c>
      <c r="H453" s="79">
        <f>IF($C453&lt;=Entradas!$E$153,"",F453^2)</f>
        <v>0.6377204558403643</v>
      </c>
      <c r="I453" s="79">
        <f>IF($C453&lt;=Entradas!$E$153,"",G453^2)</f>
        <v>0.18196458027670134</v>
      </c>
      <c r="J453" s="79">
        <f>IF($C453&lt;=Entradas!$E$153,"",E453-AVERAGE(E:E))</f>
        <v>1.177059560429184</v>
      </c>
      <c r="K453" s="79">
        <f>IF($C453&lt;=Entradas!$E$153,"",J453^2)</f>
        <v>1.3854692087977438</v>
      </c>
      <c r="L453" s="79">
        <f>IF($C453&lt;=Entradas!$E$153,"",G453*J453)</f>
        <v>0.50210190506029251</v>
      </c>
      <c r="M453" s="40"/>
    </row>
    <row r="454" spans="2:13">
      <c r="B454" s="39"/>
      <c r="C454" s="75">
        <v>449</v>
      </c>
      <c r="D454" s="110">
        <f>IF($C454&lt;=Entradas!$E$153,"",Observaciones!L454)</f>
        <v>1.2100743922214423</v>
      </c>
      <c r="E454" s="110">
        <f>IF($C454&lt;=Entradas!$E$153,"",Escenario1!BN455)</f>
        <v>1.9163590282059964</v>
      </c>
      <c r="F454" s="79">
        <f>IF($C454&lt;=Entradas!$E$153,"",D454-E454)</f>
        <v>-0.70628463598455404</v>
      </c>
      <c r="G454" s="79">
        <f>IF($C454&lt;=Entradas!$E$153,"",D454-AVERAGE(D:D))</f>
        <v>0.42722277070986436</v>
      </c>
      <c r="H454" s="79">
        <f>IF($C454&lt;=Entradas!$E$153,"",F454^2)</f>
        <v>0.498837987027834</v>
      </c>
      <c r="I454" s="79">
        <f>IF($C454&lt;=Entradas!$E$153,"",G454^2)</f>
        <v>0.18251929581301335</v>
      </c>
      <c r="J454" s="79">
        <f>IF($C454&lt;=Entradas!$E$153,"",E454-AVERAGE(E:E))</f>
        <v>1.0854198875428112</v>
      </c>
      <c r="K454" s="79">
        <f>IF($C454&lt;=Entradas!$E$153,"",J454^2)</f>
        <v>1.1781363322734488</v>
      </c>
      <c r="L454" s="79">
        <f>IF($C454&lt;=Entradas!$E$153,"",G454*J454)</f>
        <v>0.46371609173962919</v>
      </c>
      <c r="M454" s="40"/>
    </row>
    <row r="455" spans="2:13">
      <c r="B455" s="39"/>
      <c r="C455" s="75">
        <v>450</v>
      </c>
      <c r="D455" s="110">
        <f>IF($C455&lt;=Entradas!$E$153,"",Observaciones!L455)</f>
        <v>1.2098880399378018</v>
      </c>
      <c r="E455" s="110">
        <f>IF($C455&lt;=Entradas!$E$153,"",Escenario1!BN456)</f>
        <v>1.8291272964810645</v>
      </c>
      <c r="F455" s="79">
        <f>IF($C455&lt;=Entradas!$E$153,"",D455-E455)</f>
        <v>-0.61923925654326273</v>
      </c>
      <c r="G455" s="79">
        <f>IF($C455&lt;=Entradas!$E$153,"",D455-AVERAGE(D:D))</f>
        <v>0.42703641842622386</v>
      </c>
      <c r="H455" s="79">
        <f>IF($C455&lt;=Entradas!$E$153,"",F455^2)</f>
        <v>0.38345725684425275</v>
      </c>
      <c r="I455" s="79">
        <f>IF($C455&lt;=Entradas!$E$153,"",G455^2)</f>
        <v>0.18236010266229694</v>
      </c>
      <c r="J455" s="79">
        <f>IF($C455&lt;=Entradas!$E$153,"",E455-AVERAGE(E:E))</f>
        <v>0.99818815581787934</v>
      </c>
      <c r="K455" s="79">
        <f>IF($C455&lt;=Entradas!$E$153,"",J455^2)</f>
        <v>0.99637959441509893</v>
      </c>
      <c r="L455" s="79">
        <f>IF($C455&lt;=Entradas!$E$153,"",G455*J455)</f>
        <v>0.42626269497594466</v>
      </c>
      <c r="M455" s="40"/>
    </row>
    <row r="456" spans="2:13">
      <c r="B456" s="39"/>
      <c r="C456" s="75">
        <v>451</v>
      </c>
      <c r="D456" s="110">
        <f>IF($C456&lt;=Entradas!$E$153,"",Observaciones!L456)</f>
        <v>1.208899531122607</v>
      </c>
      <c r="E456" s="110">
        <f>IF($C456&lt;=Entradas!$E$153,"",Escenario1!BN457)</f>
        <v>1.744072683934162</v>
      </c>
      <c r="F456" s="79">
        <f>IF($C456&lt;=Entradas!$E$153,"",D456-E456)</f>
        <v>-0.53517315281155509</v>
      </c>
      <c r="G456" s="79">
        <f>IF($C456&lt;=Entradas!$E$153,"",D456-AVERAGE(D:D))</f>
        <v>0.42604790961102901</v>
      </c>
      <c r="H456" s="79">
        <f>IF($C456&lt;=Entradas!$E$153,"",F456^2)</f>
        <v>0.28641030349026009</v>
      </c>
      <c r="I456" s="79">
        <f>IF($C456&lt;=Entradas!$E$153,"",G456^2)</f>
        <v>0.18151682128392754</v>
      </c>
      <c r="J456" s="79">
        <f>IF($C456&lt;=Entradas!$E$153,"",E456-AVERAGE(E:E))</f>
        <v>0.91313354327097684</v>
      </c>
      <c r="K456" s="79">
        <f>IF($C456&lt;=Entradas!$E$153,"",J456^2)</f>
        <v>0.83381286784660891</v>
      </c>
      <c r="L456" s="79">
        <f>IF($C456&lt;=Entradas!$E$153,"",G456*J456)</f>
        <v>0.38903863730631177</v>
      </c>
      <c r="M456" s="40"/>
    </row>
    <row r="457" spans="2:13">
      <c r="B457" s="39"/>
      <c r="C457" s="75">
        <v>452</v>
      </c>
      <c r="D457" s="110">
        <f>IF($C457&lt;=Entradas!$E$153,"",Observaciones!L457)</f>
        <v>1.2179337536047621</v>
      </c>
      <c r="E457" s="110">
        <f>IF($C457&lt;=Entradas!$E$153,"",Escenario1!BN458)</f>
        <v>2.0142945205656262</v>
      </c>
      <c r="F457" s="79">
        <f>IF($C457&lt;=Entradas!$E$153,"",D457-E457)</f>
        <v>-0.79636076696086411</v>
      </c>
      <c r="G457" s="79">
        <f>IF($C457&lt;=Entradas!$E$153,"",D457-AVERAGE(D:D))</f>
        <v>0.43508213209318414</v>
      </c>
      <c r="H457" s="79">
        <f>IF($C457&lt;=Entradas!$E$153,"",F457^2)</f>
        <v>0.63419047115449567</v>
      </c>
      <c r="I457" s="79">
        <f>IF($C457&lt;=Entradas!$E$153,"",G457^2)</f>
        <v>0.18929646166675093</v>
      </c>
      <c r="J457" s="79">
        <f>IF($C457&lt;=Entradas!$E$153,"",E457-AVERAGE(E:E))</f>
        <v>1.183355379902441</v>
      </c>
      <c r="K457" s="79">
        <f>IF($C457&lt;=Entradas!$E$153,"",J457^2)</f>
        <v>1.4003299551440505</v>
      </c>
      <c r="L457" s="79">
        <f>IF($C457&lt;=Entradas!$E$153,"",G457*J457)</f>
        <v>0.51485678171189397</v>
      </c>
      <c r="M457" s="40"/>
    </row>
    <row r="458" spans="2:13">
      <c r="B458" s="39"/>
      <c r="C458" s="75">
        <v>453</v>
      </c>
      <c r="D458" s="110">
        <f>IF($C458&lt;=Entradas!$E$153,"",Observaciones!L458)</f>
        <v>1.2182991651146349</v>
      </c>
      <c r="E458" s="110">
        <f>IF($C458&lt;=Entradas!$E$153,"",Escenario1!BN459)</f>
        <v>1.9235780525598976</v>
      </c>
      <c r="F458" s="79">
        <f>IF($C458&lt;=Entradas!$E$153,"",D458-E458)</f>
        <v>-0.70527888744526268</v>
      </c>
      <c r="G458" s="79">
        <f>IF($C458&lt;=Entradas!$E$153,"",D458-AVERAGE(D:D))</f>
        <v>0.43544754360305693</v>
      </c>
      <c r="H458" s="79">
        <f>IF($C458&lt;=Entradas!$E$153,"",F458^2)</f>
        <v>0.49741830907602752</v>
      </c>
      <c r="I458" s="79">
        <f>IF($C458&lt;=Entradas!$E$153,"",G458^2)</f>
        <v>0.18961456322993617</v>
      </c>
      <c r="J458" s="79">
        <f>IF($C458&lt;=Entradas!$E$153,"",E458-AVERAGE(E:E))</f>
        <v>1.0926389118967124</v>
      </c>
      <c r="K458" s="79">
        <f>IF($C458&lt;=Entradas!$E$153,"",J458^2)</f>
        <v>1.1938597917908316</v>
      </c>
      <c r="L458" s="79">
        <f>IF($C458&lt;=Entradas!$E$153,"",G458*J458)</f>
        <v>0.47578693023054036</v>
      </c>
      <c r="M458" s="40"/>
    </row>
    <row r="459" spans="2:13">
      <c r="B459" s="39"/>
      <c r="C459" s="75">
        <v>454</v>
      </c>
      <c r="D459" s="110">
        <f>IF($C459&lt;=Entradas!$E$153,"",Observaciones!L459)</f>
        <v>1.218338585899057</v>
      </c>
      <c r="E459" s="110">
        <f>IF($C459&lt;=Entradas!$E$153,"",Escenario1!BN460)</f>
        <v>1.8883175243567287</v>
      </c>
      <c r="F459" s="79">
        <f>IF($C459&lt;=Entradas!$E$153,"",D459-E459)</f>
        <v>-0.66997893845767176</v>
      </c>
      <c r="G459" s="79">
        <f>IF($C459&lt;=Entradas!$E$153,"",D459-AVERAGE(D:D))</f>
        <v>0.43548696438747903</v>
      </c>
      <c r="H459" s="79">
        <f>IF($C459&lt;=Entradas!$E$153,"",F459^2)</f>
        <v>0.44887177797686872</v>
      </c>
      <c r="I459" s="79">
        <f>IF($C459&lt;=Entradas!$E$153,"",G459^2)</f>
        <v>0.18964889615142141</v>
      </c>
      <c r="J459" s="79">
        <f>IF($C459&lt;=Entradas!$E$153,"",E459-AVERAGE(E:E))</f>
        <v>1.0573783836935435</v>
      </c>
      <c r="K459" s="79">
        <f>IF($C459&lt;=Entradas!$E$153,"",J459^2)</f>
        <v>1.1180490463023707</v>
      </c>
      <c r="L459" s="79">
        <f>IF($C459&lt;=Entradas!$E$153,"",G459*J459)</f>
        <v>0.46047450252364031</v>
      </c>
      <c r="M459" s="40"/>
    </row>
    <row r="460" spans="2:13">
      <c r="B460" s="39"/>
      <c r="C460" s="75">
        <v>455</v>
      </c>
      <c r="D460" s="110">
        <f>IF($C460&lt;=Entradas!$E$153,"",Observaciones!L460)</f>
        <v>1.2175628227377493</v>
      </c>
      <c r="E460" s="110">
        <f>IF($C460&lt;=Entradas!$E$153,"",Escenario1!BN461)</f>
        <v>1.8013240439685809</v>
      </c>
      <c r="F460" s="79">
        <f>IF($C460&lt;=Entradas!$E$153,"",D460-E460)</f>
        <v>-0.58376122123083163</v>
      </c>
      <c r="G460" s="79">
        <f>IF($C460&lt;=Entradas!$E$153,"",D460-AVERAGE(D:D))</f>
        <v>0.43471120122617135</v>
      </c>
      <c r="H460" s="79">
        <f>IF($C460&lt;=Entradas!$E$153,"",F460^2)</f>
        <v>0.34077716341291192</v>
      </c>
      <c r="I460" s="79">
        <f>IF($C460&lt;=Entradas!$E$153,"",G460^2)</f>
        <v>0.18897382847150085</v>
      </c>
      <c r="J460" s="79">
        <f>IF($C460&lt;=Entradas!$E$153,"",E460-AVERAGE(E:E))</f>
        <v>0.97038490330539573</v>
      </c>
      <c r="K460" s="79">
        <f>IF($C460&lt;=Entradas!$E$153,"",J460^2)</f>
        <v>0.94164686056302227</v>
      </c>
      <c r="L460" s="79">
        <f>IF($C460&lt;=Entradas!$E$153,"",G460*J460)</f>
        <v>0.42183718696763073</v>
      </c>
      <c r="M460" s="40"/>
    </row>
    <row r="461" spans="2:13">
      <c r="B461" s="39"/>
      <c r="C461" s="75">
        <v>456</v>
      </c>
      <c r="D461" s="110">
        <f>IF($C461&lt;=Entradas!$E$153,"",Observaciones!L461)</f>
        <v>1.2160123734037398</v>
      </c>
      <c r="E461" s="110">
        <f>IF($C461&lt;=Entradas!$E$153,"",Escenario1!BN462)</f>
        <v>1.7172425001843041</v>
      </c>
      <c r="F461" s="79">
        <f>IF($C461&lt;=Entradas!$E$153,"",D461-E461)</f>
        <v>-0.50123012678056433</v>
      </c>
      <c r="G461" s="79">
        <f>IF($C461&lt;=Entradas!$E$153,"",D461-AVERAGE(D:D))</f>
        <v>0.43316075189216185</v>
      </c>
      <c r="H461" s="79">
        <f>IF($C461&lt;=Entradas!$E$153,"",F461^2)</f>
        <v>0.25123163999246062</v>
      </c>
      <c r="I461" s="79">
        <f>IF($C461&lt;=Entradas!$E$153,"",G461^2)</f>
        <v>0.18762823697978301</v>
      </c>
      <c r="J461" s="79">
        <f>IF($C461&lt;=Entradas!$E$153,"",E461-AVERAGE(E:E))</f>
        <v>0.88630335952111894</v>
      </c>
      <c r="K461" s="79">
        <f>IF($C461&lt;=Entradas!$E$153,"",J461^2)</f>
        <v>0.78553364509842183</v>
      </c>
      <c r="L461" s="79">
        <f>IF($C461&lt;=Entradas!$E$153,"",G461*J461)</f>
        <v>0.38391182961471693</v>
      </c>
      <c r="M461" s="40"/>
    </row>
    <row r="462" spans="2:13">
      <c r="B462" s="39"/>
      <c r="C462" s="75">
        <v>457</v>
      </c>
      <c r="D462" s="110">
        <f>IF($C462&lt;=Entradas!$E$153,"",Observaciones!L462)</f>
        <v>1.2137193181452783</v>
      </c>
      <c r="E462" s="110">
        <f>IF($C462&lt;=Entradas!$E$153,"",Escenario1!BN463)</f>
        <v>1.6352529987548987</v>
      </c>
      <c r="F462" s="79">
        <f>IF($C462&lt;=Entradas!$E$153,"",D462-E462)</f>
        <v>-0.42153368060962038</v>
      </c>
      <c r="G462" s="79">
        <f>IF($C462&lt;=Entradas!$E$153,"",D462-AVERAGE(D:D))</f>
        <v>0.43086769663370039</v>
      </c>
      <c r="H462" s="79">
        <f>IF($C462&lt;=Entradas!$E$153,"",F462^2)</f>
        <v>0.17769064388829345</v>
      </c>
      <c r="I462" s="79">
        <f>IF($C462&lt;=Entradas!$E$153,"",G462^2)</f>
        <v>0.18564697200243047</v>
      </c>
      <c r="J462" s="79">
        <f>IF($C462&lt;=Entradas!$E$153,"",E462-AVERAGE(E:E))</f>
        <v>0.80431385809171352</v>
      </c>
      <c r="K462" s="79">
        <f>IF($C462&lt;=Entradas!$E$153,"",J462^2)</f>
        <v>0.64692078231837702</v>
      </c>
      <c r="L462" s="79">
        <f>IF($C462&lt;=Entradas!$E$153,"",G462*J462)</f>
        <v>0.34655285940654157</v>
      </c>
      <c r="M462" s="40"/>
    </row>
    <row r="463" spans="2:13">
      <c r="B463" s="39"/>
      <c r="C463" s="75">
        <v>458</v>
      </c>
      <c r="D463" s="110">
        <f>IF($C463&lt;=Entradas!$E$153,"",Observaciones!L463)</f>
        <v>1.2108727199672047</v>
      </c>
      <c r="E463" s="110">
        <f>IF($C463&lt;=Entradas!$E$153,"",Escenario1!BN464)</f>
        <v>1.571826889078378</v>
      </c>
      <c r="F463" s="79">
        <f>IF($C463&lt;=Entradas!$E$153,"",D463-E463)</f>
        <v>-0.36095416911117328</v>
      </c>
      <c r="G463" s="79">
        <f>IF($C463&lt;=Entradas!$E$153,"",D463-AVERAGE(D:D))</f>
        <v>0.42802109845562675</v>
      </c>
      <c r="H463" s="79">
        <f>IF($C463&lt;=Entradas!$E$153,"",F463^2)</f>
        <v>0.13028791219873748</v>
      </c>
      <c r="I463" s="79">
        <f>IF($C463&lt;=Entradas!$E$153,"",G463^2)</f>
        <v>0.18320206072316134</v>
      </c>
      <c r="J463" s="79">
        <f>IF($C463&lt;=Entradas!$E$153,"",E463-AVERAGE(E:E))</f>
        <v>0.74088774841519278</v>
      </c>
      <c r="K463" s="79">
        <f>IF($C463&lt;=Entradas!$E$153,"",J463^2)</f>
        <v>0.54891465575173404</v>
      </c>
      <c r="L463" s="79">
        <f>IF($C463&lt;=Entradas!$E$153,"",G463*J463)</f>
        <v>0.31711558790898686</v>
      </c>
      <c r="M463" s="40"/>
    </row>
    <row r="464" spans="2:13">
      <c r="B464" s="39"/>
      <c r="C464" s="75">
        <v>459</v>
      </c>
      <c r="D464" s="110">
        <f>IF($C464&lt;=Entradas!$E$153,"",Observaciones!L464)</f>
        <v>1.207365724187226</v>
      </c>
      <c r="E464" s="110">
        <f>IF($C464&lt;=Entradas!$E$153,"",Escenario1!BN465)</f>
        <v>1.4962774835107746</v>
      </c>
      <c r="F464" s="79">
        <f>IF($C464&lt;=Entradas!$E$153,"",D464-E464)</f>
        <v>-0.28891175932354862</v>
      </c>
      <c r="G464" s="79">
        <f>IF($C464&lt;=Entradas!$E$153,"",D464-AVERAGE(D:D))</f>
        <v>0.42451410267564804</v>
      </c>
      <c r="H464" s="79">
        <f>IF($C464&lt;=Entradas!$E$153,"",F464^2)</f>
        <v>8.3470004675428089E-2</v>
      </c>
      <c r="I464" s="79">
        <f>IF($C464&lt;=Entradas!$E$153,"",G464^2)</f>
        <v>0.18021222337051065</v>
      </c>
      <c r="J464" s="79">
        <f>IF($C464&lt;=Entradas!$E$153,"",E464-AVERAGE(E:E))</f>
        <v>0.66533834284758941</v>
      </c>
      <c r="K464" s="79">
        <f>IF($C464&lt;=Entradas!$E$153,"",J464^2)</f>
        <v>0.44267511046317642</v>
      </c>
      <c r="L464" s="79">
        <f>IF($C464&lt;=Entradas!$E$153,"",G464*J464)</f>
        <v>0.28244550958964709</v>
      </c>
      <c r="M464" s="40"/>
    </row>
    <row r="465" spans="2:13">
      <c r="B465" s="39"/>
      <c r="C465" s="75">
        <v>460</v>
      </c>
      <c r="D465" s="110">
        <f>IF($C465&lt;=Entradas!$E$153,"",Observaciones!L465)</f>
        <v>1.2032322861832678</v>
      </c>
      <c r="E465" s="110">
        <f>IF($C465&lt;=Entradas!$E$153,"",Escenario1!BN466)</f>
        <v>1.4231664064401881</v>
      </c>
      <c r="F465" s="79">
        <f>IF($C465&lt;=Entradas!$E$153,"",D465-E465)</f>
        <v>-0.21993412025692027</v>
      </c>
      <c r="G465" s="79">
        <f>IF($C465&lt;=Entradas!$E$153,"",D465-AVERAGE(D:D))</f>
        <v>0.42038066467168989</v>
      </c>
      <c r="H465" s="79">
        <f>IF($C465&lt;=Entradas!$E$153,"",F465^2)</f>
        <v>4.8371017253185468E-2</v>
      </c>
      <c r="I465" s="79">
        <f>IF($C465&lt;=Entradas!$E$153,"",G465^2)</f>
        <v>0.17671990322981176</v>
      </c>
      <c r="J465" s="79">
        <f>IF($C465&lt;=Entradas!$E$153,"",E465-AVERAGE(E:E))</f>
        <v>0.59222726577700291</v>
      </c>
      <c r="K465" s="79">
        <f>IF($C465&lt;=Entradas!$E$153,"",J465^2)</f>
        <v>0.35073313432970482</v>
      </c>
      <c r="L465" s="79">
        <f>IF($C465&lt;=Entradas!$E$153,"",G465*J465)</f>
        <v>0.24896089162403404</v>
      </c>
      <c r="M465" s="40"/>
    </row>
    <row r="466" spans="2:13">
      <c r="B466" s="39"/>
      <c r="C466" s="75">
        <v>461</v>
      </c>
      <c r="D466" s="110">
        <f>IF($C466&lt;=Entradas!$E$153,"",Observaciones!L466)</f>
        <v>1.1985297595762354</v>
      </c>
      <c r="E466" s="110">
        <f>IF($C466&lt;=Entradas!$E$153,"",Escenario1!BN467)</f>
        <v>1.3549750352629104</v>
      </c>
      <c r="F466" s="79">
        <f>IF($C466&lt;=Entradas!$E$153,"",D466-E466)</f>
        <v>-0.15644527568667499</v>
      </c>
      <c r="G466" s="79">
        <f>IF($C466&lt;=Entradas!$E$153,"",D466-AVERAGE(D:D))</f>
        <v>0.41567813806465748</v>
      </c>
      <c r="H466" s="79">
        <f>IF($C466&lt;=Entradas!$E$153,"",F466^2)</f>
        <v>2.4475124284679739E-2</v>
      </c>
      <c r="I466" s="79">
        <f>IF($C466&lt;=Entradas!$E$153,"",G466^2)</f>
        <v>0.17278831446490045</v>
      </c>
      <c r="J466" s="79">
        <f>IF($C466&lt;=Entradas!$E$153,"",E466-AVERAGE(E:E))</f>
        <v>0.52403589459972522</v>
      </c>
      <c r="K466" s="79">
        <f>IF($C466&lt;=Entradas!$E$153,"",J466^2)</f>
        <v>0.27461361882893431</v>
      </c>
      <c r="L466" s="79">
        <f>IF($C466&lt;=Entradas!$E$153,"",G466*J466)</f>
        <v>0.21783026494626087</v>
      </c>
      <c r="M466" s="40"/>
    </row>
    <row r="467" spans="2:13">
      <c r="B467" s="39"/>
      <c r="C467" s="75">
        <v>462</v>
      </c>
      <c r="D467" s="110">
        <f>IF($C467&lt;=Entradas!$E$153,"",Observaciones!L467)</f>
        <v>1.193340523944233</v>
      </c>
      <c r="E467" s="110">
        <f>IF($C467&lt;=Entradas!$E$153,"",Escenario1!BN468)</f>
        <v>1.2944182226637406</v>
      </c>
      <c r="F467" s="79">
        <f>IF($C467&lt;=Entradas!$E$153,"",D467-E467)</f>
        <v>-0.10107769871950767</v>
      </c>
      <c r="G467" s="79">
        <f>IF($C467&lt;=Entradas!$E$153,"",D467-AVERAGE(D:D))</f>
        <v>0.41048890243265501</v>
      </c>
      <c r="H467" s="79">
        <f>IF($C467&lt;=Entradas!$E$153,"",F467^2)</f>
        <v>1.0216701178431563E-2</v>
      </c>
      <c r="I467" s="79">
        <f>IF($C467&lt;=Entradas!$E$153,"",G467^2)</f>
        <v>0.16850113902036576</v>
      </c>
      <c r="J467" s="79">
        <f>IF($C467&lt;=Entradas!$E$153,"",E467-AVERAGE(E:E))</f>
        <v>0.46347908200055543</v>
      </c>
      <c r="K467" s="79">
        <f>IF($C467&lt;=Entradas!$E$153,"",J467^2)</f>
        <v>0.21481285945207759</v>
      </c>
      <c r="L467" s="79">
        <f>IF($C467&lt;=Entradas!$E$153,"",G467*J467)</f>
        <v>0.19025301967090252</v>
      </c>
      <c r="M467" s="40"/>
    </row>
    <row r="468" spans="2:13">
      <c r="B468" s="39"/>
      <c r="C468" s="75">
        <v>463</v>
      </c>
      <c r="D468" s="110">
        <f>IF($C468&lt;=Entradas!$E$153,"",Observaciones!L468)</f>
        <v>1.1878524646815274</v>
      </c>
      <c r="E468" s="110">
        <f>IF($C468&lt;=Entradas!$E$153,"",Escenario1!BN469)</f>
        <v>1.2379554972490698</v>
      </c>
      <c r="F468" s="79">
        <f>IF($C468&lt;=Entradas!$E$153,"",D468-E468)</f>
        <v>-5.0103032567542449E-2</v>
      </c>
      <c r="G468" s="79">
        <f>IF($C468&lt;=Entradas!$E$153,"",D468-AVERAGE(D:D))</f>
        <v>0.40500084316994944</v>
      </c>
      <c r="H468" s="79">
        <f>IF($C468&lt;=Entradas!$E$153,"",F468^2)</f>
        <v>2.5103138724642195E-3</v>
      </c>
      <c r="I468" s="79">
        <f>IF($C468&lt;=Entradas!$E$153,"",G468^2)</f>
        <v>0.16402568296836997</v>
      </c>
      <c r="J468" s="79">
        <f>IF($C468&lt;=Entradas!$E$153,"",E468-AVERAGE(E:E))</f>
        <v>0.40701635658588464</v>
      </c>
      <c r="K468" s="79">
        <f>IF($C468&lt;=Entradas!$E$153,"",J468^2)</f>
        <v>0.16566231452844801</v>
      </c>
      <c r="L468" s="79">
        <f>IF($C468&lt;=Entradas!$E$153,"",G468*J468)</f>
        <v>0.16484196760124409</v>
      </c>
      <c r="M468" s="40"/>
    </row>
    <row r="469" spans="2:13">
      <c r="B469" s="39"/>
      <c r="C469" s="75">
        <v>464</v>
      </c>
      <c r="D469" s="110">
        <f>IF($C469&lt;=Entradas!$E$153,"",Observaciones!L469)</f>
        <v>1.1823204320767975</v>
      </c>
      <c r="E469" s="110">
        <f>IF($C469&lt;=Entradas!$E$153,"",Escenario1!BN470)</f>
        <v>1.2204261471318354</v>
      </c>
      <c r="F469" s="79">
        <f>IF($C469&lt;=Entradas!$E$153,"",D469-E469)</f>
        <v>-3.8105715055037903E-2</v>
      </c>
      <c r="G469" s="79">
        <f>IF($C469&lt;=Entradas!$E$153,"",D469-AVERAGE(D:D))</f>
        <v>0.39946881056521955</v>
      </c>
      <c r="H469" s="79">
        <f>IF($C469&lt;=Entradas!$E$153,"",F469^2)</f>
        <v>1.4520455198557423E-3</v>
      </c>
      <c r="I469" s="79">
        <f>IF($C469&lt;=Entradas!$E$153,"",G469^2)</f>
        <v>0.15957533061439125</v>
      </c>
      <c r="J469" s="79">
        <f>IF($C469&lt;=Entradas!$E$153,"",E469-AVERAGE(E:E))</f>
        <v>0.3894870064686502</v>
      </c>
      <c r="K469" s="79">
        <f>IF($C469&lt;=Entradas!$E$153,"",J469^2)</f>
        <v>0.15170012820791037</v>
      </c>
      <c r="L469" s="79">
        <f>IF($C469&lt;=Entradas!$E$153,"",G469*J469)</f>
        <v>0.15558791120463966</v>
      </c>
      <c r="M469" s="40"/>
    </row>
    <row r="470" spans="2:13">
      <c r="B470" s="39"/>
      <c r="C470" s="75">
        <v>465</v>
      </c>
      <c r="D470" s="110">
        <f>IF($C470&lt;=Entradas!$E$153,"",Observaciones!L470)</f>
        <v>1.1767872708304321</v>
      </c>
      <c r="E470" s="110">
        <f>IF($C470&lt;=Entradas!$E$153,"",Escenario1!BN471)</f>
        <v>1.2095257198510703</v>
      </c>
      <c r="F470" s="79">
        <f>IF($C470&lt;=Entradas!$E$153,"",D470-E470)</f>
        <v>-3.2738449020638161E-2</v>
      </c>
      <c r="G470" s="79">
        <f>IF($C470&lt;=Entradas!$E$153,"",D470-AVERAGE(D:D))</f>
        <v>0.39393564931885416</v>
      </c>
      <c r="H470" s="79">
        <f>IF($C470&lt;=Entradas!$E$153,"",F470^2)</f>
        <v>1.0718060442769237E-3</v>
      </c>
      <c r="I470" s="79">
        <f>IF($C470&lt;=Entradas!$E$153,"",G470^2)</f>
        <v>0.15518529580426724</v>
      </c>
      <c r="J470" s="79">
        <f>IF($C470&lt;=Entradas!$E$153,"",E470-AVERAGE(E:E))</f>
        <v>0.37858657918788508</v>
      </c>
      <c r="K470" s="79">
        <f>IF($C470&lt;=Entradas!$E$153,"",J470^2)</f>
        <v>0.14332779794118478</v>
      </c>
      <c r="L470" s="79">
        <f>IF($C470&lt;=Entradas!$E$153,"",G470*J470)</f>
        <v>0.1491387498957833</v>
      </c>
      <c r="M470" s="40"/>
    </row>
    <row r="471" spans="2:13">
      <c r="B471" s="39"/>
      <c r="C471" s="75">
        <v>466</v>
      </c>
      <c r="D471" s="110">
        <f>IF($C471&lt;=Entradas!$E$153,"",Observaciones!L471)</f>
        <v>1.1712606313970715</v>
      </c>
      <c r="E471" s="110">
        <f>IF($C471&lt;=Entradas!$E$153,"",Escenario1!BN472)</f>
        <v>1.1995487047112399</v>
      </c>
      <c r="F471" s="79">
        <f>IF($C471&lt;=Entradas!$E$153,"",D471-E471)</f>
        <v>-2.8288073314168383E-2</v>
      </c>
      <c r="G471" s="79">
        <f>IF($C471&lt;=Entradas!$E$153,"",D471-AVERAGE(D:D))</f>
        <v>0.38840900988549354</v>
      </c>
      <c r="H471" s="79">
        <f>IF($C471&lt;=Entradas!$E$153,"",F471^2)</f>
        <v>8.002150918277654E-4</v>
      </c>
      <c r="I471" s="79">
        <f>IF($C471&lt;=Entradas!$E$153,"",G471^2)</f>
        <v>0.15086155896022943</v>
      </c>
      <c r="J471" s="79">
        <f>IF($C471&lt;=Entradas!$E$153,"",E471-AVERAGE(E:E))</f>
        <v>0.36860956404805467</v>
      </c>
      <c r="K471" s="79">
        <f>IF($C471&lt;=Entradas!$E$153,"",J471^2)</f>
        <v>0.13587301070769692</v>
      </c>
      <c r="L471" s="79">
        <f>IF($C471&lt;=Entradas!$E$153,"",G471*J471)</f>
        <v>0.14317127580622832</v>
      </c>
      <c r="M471" s="40"/>
    </row>
    <row r="472" spans="2:13">
      <c r="B472" s="39"/>
      <c r="C472" s="75">
        <v>467</v>
      </c>
      <c r="D472" s="110">
        <f>IF($C472&lt;=Entradas!$E$153,"",Observaciones!L472)</f>
        <v>1.1662367206191875</v>
      </c>
      <c r="E472" s="110">
        <f>IF($C472&lt;=Entradas!$E$153,"",Escenario1!BN473)</f>
        <v>1.2405265807671426</v>
      </c>
      <c r="F472" s="79">
        <f>IF($C472&lt;=Entradas!$E$153,"",D472-E472)</f>
        <v>-7.4289860147955133E-2</v>
      </c>
      <c r="G472" s="79">
        <f>IF($C472&lt;=Entradas!$E$153,"",D472-AVERAGE(D:D))</f>
        <v>0.38338509910760954</v>
      </c>
      <c r="H472" s="79">
        <f>IF($C472&lt;=Entradas!$E$153,"",F472^2)</f>
        <v>5.5189833208027323E-3</v>
      </c>
      <c r="I472" s="79">
        <f>IF($C472&lt;=Entradas!$E$153,"",G472^2)</f>
        <v>0.14698413421775158</v>
      </c>
      <c r="J472" s="79">
        <f>IF($C472&lt;=Entradas!$E$153,"",E472-AVERAGE(E:E))</f>
        <v>0.40958744010395742</v>
      </c>
      <c r="K472" s="79">
        <f>IF($C472&lt;=Entradas!$E$153,"",J472^2)</f>
        <v>0.16776187109091292</v>
      </c>
      <c r="L472" s="79">
        <f>IF($C472&lt;=Entradas!$E$153,"",G472*J472)</f>
        <v>0.1570297213174878</v>
      </c>
      <c r="M472" s="40"/>
    </row>
    <row r="473" spans="2:13">
      <c r="B473" s="39"/>
      <c r="C473" s="75">
        <v>468</v>
      </c>
      <c r="D473" s="110">
        <f>IF($C473&lt;=Entradas!$E$153,"",Observaciones!L473)</f>
        <v>1.161234777154752</v>
      </c>
      <c r="E473" s="110">
        <f>IF($C473&lt;=Entradas!$E$153,"",Escenario1!BN474)</f>
        <v>1.2327504010466761</v>
      </c>
      <c r="F473" s="79">
        <f>IF($C473&lt;=Entradas!$E$153,"",D473-E473)</f>
        <v>-7.1515623891924118E-2</v>
      </c>
      <c r="G473" s="79">
        <f>IF($C473&lt;=Entradas!$E$153,"",D473-AVERAGE(D:D))</f>
        <v>0.37838315564317404</v>
      </c>
      <c r="H473" s="79">
        <f>IF($C473&lt;=Entradas!$E$153,"",F473^2)</f>
        <v>5.1144844606511482E-3</v>
      </c>
      <c r="I473" s="79">
        <f>IF($C473&lt;=Entradas!$E$153,"",G473^2)</f>
        <v>0.14317381247448646</v>
      </c>
      <c r="J473" s="79">
        <f>IF($C473&lt;=Entradas!$E$153,"",E473-AVERAGE(E:E))</f>
        <v>0.40181126038349091</v>
      </c>
      <c r="K473" s="79">
        <f>IF($C473&lt;=Entradas!$E$153,"",J473^2)</f>
        <v>0.16145228897096953</v>
      </c>
      <c r="L473" s="79">
        <f>IF($C473&lt;=Entradas!$E$153,"",G473*J473)</f>
        <v>0.15203861267686636</v>
      </c>
      <c r="M473" s="40"/>
    </row>
    <row r="474" spans="2:13">
      <c r="B474" s="39"/>
      <c r="C474" s="75">
        <v>469</v>
      </c>
      <c r="D474" s="110">
        <f>IF($C474&lt;=Entradas!$E$153,"",Observaciones!L474)</f>
        <v>1.1558054586189161</v>
      </c>
      <c r="E474" s="110">
        <f>IF($C474&lt;=Entradas!$E$153,"",Escenario1!BN475)</f>
        <v>1.1778599653436734</v>
      </c>
      <c r="F474" s="79">
        <f>IF($C474&lt;=Entradas!$E$153,"",D474-E474)</f>
        <v>-2.2054506724757283E-2</v>
      </c>
      <c r="G474" s="79">
        <f>IF($C474&lt;=Entradas!$E$153,"",D474-AVERAGE(D:D))</f>
        <v>0.3729538371073382</v>
      </c>
      <c r="H474" s="79">
        <f>IF($C474&lt;=Entradas!$E$153,"",F474^2)</f>
        <v>4.8640126687236423E-4</v>
      </c>
      <c r="I474" s="79">
        <f>IF($C474&lt;=Entradas!$E$153,"",G474^2)</f>
        <v>0.13909456461308695</v>
      </c>
      <c r="J474" s="79">
        <f>IF($C474&lt;=Entradas!$E$153,"",E474-AVERAGE(E:E))</f>
        <v>0.34692082468048824</v>
      </c>
      <c r="K474" s="79">
        <f>IF($C474&lt;=Entradas!$E$153,"",J474^2)</f>
        <v>0.12035405859699005</v>
      </c>
      <c r="L474" s="79">
        <f>IF($C474&lt;=Entradas!$E$153,"",G474*J474)</f>
        <v>0.12938545273703025</v>
      </c>
      <c r="M474" s="40"/>
    </row>
    <row r="475" spans="2:13">
      <c r="B475" s="39"/>
      <c r="C475" s="75">
        <v>470</v>
      </c>
      <c r="D475" s="110">
        <f>IF($C475&lt;=Entradas!$E$153,"",Observaciones!L475)</f>
        <v>1.1503141683699076</v>
      </c>
      <c r="E475" s="110">
        <f>IF($C475&lt;=Entradas!$E$153,"",Escenario1!BN476)</f>
        <v>1.1601064097403557</v>
      </c>
      <c r="F475" s="79">
        <f>IF($C475&lt;=Entradas!$E$153,"",D475-E475)</f>
        <v>-9.7922413704480959E-3</v>
      </c>
      <c r="G475" s="79">
        <f>IF($C475&lt;=Entradas!$E$153,"",D475-AVERAGE(D:D))</f>
        <v>0.36746254685832969</v>
      </c>
      <c r="H475" s="79">
        <f>IF($C475&lt;=Entradas!$E$153,"",F475^2)</f>
        <v>9.5887991057115211E-5</v>
      </c>
      <c r="I475" s="79">
        <f>IF($C475&lt;=Entradas!$E$153,"",G475^2)</f>
        <v>0.13502872334361013</v>
      </c>
      <c r="J475" s="79">
        <f>IF($C475&lt;=Entradas!$E$153,"",E475-AVERAGE(E:E))</f>
        <v>0.32916726907717053</v>
      </c>
      <c r="K475" s="79">
        <f>IF($C475&lt;=Entradas!$E$153,"",J475^2)</f>
        <v>0.10835109103172239</v>
      </c>
      <c r="L475" s="79">
        <f>IF($C475&lt;=Entradas!$E$153,"",G475*J475)</f>
        <v>0.12095664303749819</v>
      </c>
      <c r="M475" s="40"/>
    </row>
    <row r="476" spans="2:13">
      <c r="B476" s="39"/>
      <c r="C476" s="75">
        <v>471</v>
      </c>
      <c r="D476" s="110">
        <f>IF($C476&lt;=Entradas!$E$153,"",Observaciones!L476)</f>
        <v>1.1448220079263092</v>
      </c>
      <c r="E476" s="110">
        <f>IF($C476&lt;=Entradas!$E$153,"",Escenario1!BN477)</f>
        <v>1.1485460821209992</v>
      </c>
      <c r="F476" s="79">
        <f>IF($C476&lt;=Entradas!$E$153,"",D476-E476)</f>
        <v>-3.724074194690008E-3</v>
      </c>
      <c r="G476" s="79">
        <f>IF($C476&lt;=Entradas!$E$153,"",D476-AVERAGE(D:D))</f>
        <v>0.36197038641473123</v>
      </c>
      <c r="H476" s="79">
        <f>IF($C476&lt;=Entradas!$E$153,"",F476^2)</f>
        <v>1.3868728607556031E-5</v>
      </c>
      <c r="I476" s="79">
        <f>IF($C476&lt;=Entradas!$E$153,"",G476^2)</f>
        <v>0.13102256064122983</v>
      </c>
      <c r="J476" s="79">
        <f>IF($C476&lt;=Entradas!$E$153,"",E476-AVERAGE(E:E))</f>
        <v>0.31760694145781398</v>
      </c>
      <c r="K476" s="79">
        <f>IF($C476&lt;=Entradas!$E$153,"",J476^2)</f>
        <v>0.10087416926218729</v>
      </c>
      <c r="L476" s="79">
        <f>IF($C476&lt;=Entradas!$E$153,"",G476*J476)</f>
        <v>0.11496430732748585</v>
      </c>
      <c r="M476" s="40"/>
    </row>
    <row r="477" spans="2:13">
      <c r="B477" s="39"/>
      <c r="C477" s="75">
        <v>472</v>
      </c>
      <c r="D477" s="110">
        <f>IF($C477&lt;=Entradas!$E$153,"",Observaciones!L477)</f>
        <v>1.1393395709688425</v>
      </c>
      <c r="E477" s="110">
        <f>IF($C477&lt;=Entradas!$E$153,"",Escenario1!BN478)</f>
        <v>1.1377049459813102</v>
      </c>
      <c r="F477" s="79">
        <f>IF($C477&lt;=Entradas!$E$153,"",D477-E477)</f>
        <v>1.6346249875323071E-3</v>
      </c>
      <c r="G477" s="79">
        <f>IF($C477&lt;=Entradas!$E$153,"",D477-AVERAGE(D:D))</f>
        <v>0.35648794945726459</v>
      </c>
      <c r="H477" s="79">
        <f>IF($C477&lt;=Entradas!$E$153,"",F477^2)</f>
        <v>2.6719988498649951E-6</v>
      </c>
      <c r="I477" s="79">
        <f>IF($C477&lt;=Entradas!$E$153,"",G477^2)</f>
        <v>0.12708365810824523</v>
      </c>
      <c r="J477" s="79">
        <f>IF($C477&lt;=Entradas!$E$153,"",E477-AVERAGE(E:E))</f>
        <v>0.30676580531812503</v>
      </c>
      <c r="K477" s="79">
        <f>IF($C477&lt;=Entradas!$E$153,"",J477^2)</f>
        <v>9.410525931247779E-2</v>
      </c>
      <c r="L477" s="79">
        <f>IF($C477&lt;=Entradas!$E$153,"",G477*J477)</f>
        <v>0.10935831290146482</v>
      </c>
      <c r="M477" s="40"/>
    </row>
    <row r="478" spans="2:13">
      <c r="B478" s="39"/>
      <c r="C478" s="75">
        <v>473</v>
      </c>
      <c r="D478" s="110">
        <f>IF($C478&lt;=Entradas!$E$153,"",Observaciones!L478)</f>
        <v>1.1339091489597584</v>
      </c>
      <c r="E478" s="110">
        <f>IF($C478&lt;=Entradas!$E$153,"",Escenario1!BN479)</f>
        <v>1.1304100245142705</v>
      </c>
      <c r="F478" s="79">
        <f>IF($C478&lt;=Entradas!$E$153,"",D478-E478)</f>
        <v>3.4991244454878334E-3</v>
      </c>
      <c r="G478" s="79">
        <f>IF($C478&lt;=Entradas!$E$153,"",D478-AVERAGE(D:D))</f>
        <v>0.35105752744818042</v>
      </c>
      <c r="H478" s="79">
        <f>IF($C478&lt;=Entradas!$E$153,"",F478^2)</f>
        <v>1.2243871885010537E-5</v>
      </c>
      <c r="I478" s="79">
        <f>IF($C478&lt;=Entradas!$E$153,"",G478^2)</f>
        <v>0.12324138757802995</v>
      </c>
      <c r="J478" s="79">
        <f>IF($C478&lt;=Entradas!$E$153,"",E478-AVERAGE(E:E))</f>
        <v>0.29947088385108533</v>
      </c>
      <c r="K478" s="79">
        <f>IF($C478&lt;=Entradas!$E$153,"",J478^2)</f>
        <v>8.9682810274550245E-2</v>
      </c>
      <c r="L478" s="79">
        <f>IF($C478&lt;=Entradas!$E$153,"",G478*J478)</f>
        <v>0.10513150802748324</v>
      </c>
      <c r="M478" s="40"/>
    </row>
    <row r="479" spans="2:13">
      <c r="B479" s="39"/>
      <c r="C479" s="75">
        <v>474</v>
      </c>
      <c r="D479" s="110">
        <f>IF($C479&lt;=Entradas!$E$153,"",Observaciones!L479)</f>
        <v>1.1284860295623003</v>
      </c>
      <c r="E479" s="110">
        <f>IF($C479&lt;=Entradas!$E$153,"",Escenario1!BN480)</f>
        <v>1.1190344446652618</v>
      </c>
      <c r="F479" s="79">
        <f>IF($C479&lt;=Entradas!$E$153,"",D479-E479)</f>
        <v>9.4515848970384564E-3</v>
      </c>
      <c r="G479" s="79">
        <f>IF($C479&lt;=Entradas!$E$153,"",D479-AVERAGE(D:D))</f>
        <v>0.34563440805072232</v>
      </c>
      <c r="H479" s="79">
        <f>IF($C479&lt;=Entradas!$E$153,"",F479^2)</f>
        <v>8.933245706592545E-5</v>
      </c>
      <c r="I479" s="79">
        <f>IF($C479&lt;=Entradas!$E$153,"",G479^2)</f>
        <v>0.11946314402857322</v>
      </c>
      <c r="J479" s="79">
        <f>IF($C479&lt;=Entradas!$E$153,"",E479-AVERAGE(E:E))</f>
        <v>0.28809530400207661</v>
      </c>
      <c r="K479" s="79">
        <f>IF($C479&lt;=Entradas!$E$153,"",J479^2)</f>
        <v>8.2998904188048936E-2</v>
      </c>
      <c r="L479" s="79">
        <f>IF($C479&lt;=Entradas!$E$153,"",G479*J479)</f>
        <v>9.9575649860950646E-2</v>
      </c>
      <c r="M479" s="40"/>
    </row>
    <row r="480" spans="2:13">
      <c r="B480" s="39"/>
      <c r="C480" s="75">
        <v>475</v>
      </c>
      <c r="D480" s="110">
        <f>IF($C480&lt;=Entradas!$E$153,"",Observaciones!L480)</f>
        <v>1.1230462125999083</v>
      </c>
      <c r="E480" s="110">
        <f>IF($C480&lt;=Entradas!$E$153,"",Escenario1!BN481)</f>
        <v>1.1051752048098682</v>
      </c>
      <c r="F480" s="79">
        <f>IF($C480&lt;=Entradas!$E$153,"",D480-E480)</f>
        <v>1.7871007790040139E-2</v>
      </c>
      <c r="G480" s="79">
        <f>IF($C480&lt;=Entradas!$E$153,"",D480-AVERAGE(D:D))</f>
        <v>0.34019459108833039</v>
      </c>
      <c r="H480" s="79">
        <f>IF($C480&lt;=Entradas!$E$153,"",F480^2)</f>
        <v>3.1937291943167533E-4</v>
      </c>
      <c r="I480" s="79">
        <f>IF($C480&lt;=Entradas!$E$153,"",G480^2)</f>
        <v>0.11573235980575632</v>
      </c>
      <c r="J480" s="79">
        <f>IF($C480&lt;=Entradas!$E$153,"",E480-AVERAGE(E:E))</f>
        <v>0.274236064146683</v>
      </c>
      <c r="K480" s="79">
        <f>IF($C480&lt;=Entradas!$E$153,"",J480^2)</f>
        <v>7.5205418878663638E-2</v>
      </c>
      <c r="L480" s="79">
        <f>IF($C480&lt;=Entradas!$E$153,"",G480*J480)</f>
        <v>9.3293625704053959E-2</v>
      </c>
      <c r="M480" s="40"/>
    </row>
    <row r="481" spans="2:13">
      <c r="B481" s="39"/>
      <c r="C481" s="75">
        <v>476</v>
      </c>
      <c r="D481" s="110">
        <f>IF($C481&lt;=Entradas!$E$153,"",Observaciones!L481)</f>
        <v>1.1176152016148655</v>
      </c>
      <c r="E481" s="110">
        <f>IF($C481&lt;=Entradas!$E$153,"",Escenario1!BN482)</f>
        <v>1.0944011903218174</v>
      </c>
      <c r="F481" s="79">
        <f>IF($C481&lt;=Entradas!$E$153,"",D481-E481)</f>
        <v>2.321401129304812E-2</v>
      </c>
      <c r="G481" s="79">
        <f>IF($C481&lt;=Entradas!$E$153,"",D481-AVERAGE(D:D))</f>
        <v>0.33476358010328755</v>
      </c>
      <c r="H481" s="79">
        <f>IF($C481&lt;=Entradas!$E$153,"",F481^2)</f>
        <v>5.3889032031376562E-4</v>
      </c>
      <c r="I481" s="79">
        <f>IF($C481&lt;=Entradas!$E$153,"",G481^2)</f>
        <v>0.11206665456357022</v>
      </c>
      <c r="J481" s="79">
        <f>IF($C481&lt;=Entradas!$E$153,"",E481-AVERAGE(E:E))</f>
        <v>0.26346204965863218</v>
      </c>
      <c r="K481" s="79">
        <f>IF($C481&lt;=Entradas!$E$153,"",J481^2)</f>
        <v>6.9412251610327574E-2</v>
      </c>
      <c r="L481" s="79">
        <f>IF($C481&lt;=Entradas!$E$153,"",G481*J481)</f>
        <v>8.8197498965073839E-2</v>
      </c>
      <c r="M481" s="40"/>
    </row>
    <row r="482" spans="2:13">
      <c r="B482" s="39"/>
      <c r="C482" s="75">
        <v>477</v>
      </c>
      <c r="D482" s="110">
        <f>IF($C482&lt;=Entradas!$E$153,"",Observaciones!L482)</f>
        <v>1.1122319856321679</v>
      </c>
      <c r="E482" s="110">
        <f>IF($C482&lt;=Entradas!$E$153,"",Escenario1!BN483)</f>
        <v>1.0869555169013274</v>
      </c>
      <c r="F482" s="79">
        <f>IF($C482&lt;=Entradas!$E$153,"",D482-E482)</f>
        <v>2.527646873084044E-2</v>
      </c>
      <c r="G482" s="79">
        <f>IF($C482&lt;=Entradas!$E$153,"",D482-AVERAGE(D:D))</f>
        <v>0.32938036412058991</v>
      </c>
      <c r="H482" s="79">
        <f>IF($C482&lt;=Entradas!$E$153,"",F482^2)</f>
        <v>6.3889987150115451E-4</v>
      </c>
      <c r="I482" s="79">
        <f>IF($C482&lt;=Entradas!$E$153,"",G482^2)</f>
        <v>0.10849142426821239</v>
      </c>
      <c r="J482" s="79">
        <f>IF($C482&lt;=Entradas!$E$153,"",E482-AVERAGE(E:E))</f>
        <v>0.25601637623814222</v>
      </c>
      <c r="K482" s="79">
        <f>IF($C482&lt;=Entradas!$E$153,"",J482^2)</f>
        <v>6.5544384902109995E-2</v>
      </c>
      <c r="L482" s="79">
        <f>IF($C482&lt;=Entradas!$E$153,"",G482*J482)</f>
        <v>8.4326767226153232E-2</v>
      </c>
      <c r="M482" s="40"/>
    </row>
    <row r="483" spans="2:13">
      <c r="B483" s="39"/>
      <c r="C483" s="75">
        <v>478</v>
      </c>
      <c r="D483" s="110">
        <f>IF($C483&lt;=Entradas!$E$153,"",Observaciones!L483)</f>
        <v>1.106834161542378</v>
      </c>
      <c r="E483" s="110">
        <f>IF($C483&lt;=Entradas!$E$153,"",Escenario1!BN484)</f>
        <v>1.0734978214528239</v>
      </c>
      <c r="F483" s="79">
        <f>IF($C483&lt;=Entradas!$E$153,"",D483-E483)</f>
        <v>3.3336340089554106E-2</v>
      </c>
      <c r="G483" s="79">
        <f>IF($C483&lt;=Entradas!$E$153,"",D483-AVERAGE(D:D))</f>
        <v>0.32398254003080007</v>
      </c>
      <c r="H483" s="79">
        <f>IF($C483&lt;=Entradas!$E$153,"",F483^2)</f>
        <v>1.1113115705664123E-3</v>
      </c>
      <c r="I483" s="79">
        <f>IF($C483&lt;=Entradas!$E$153,"",G483^2)</f>
        <v>0.10496468624480897</v>
      </c>
      <c r="J483" s="79">
        <f>IF($C483&lt;=Entradas!$E$153,"",E483-AVERAGE(E:E))</f>
        <v>0.24255868078963871</v>
      </c>
      <c r="K483" s="79">
        <f>IF($C483&lt;=Entradas!$E$153,"",J483^2)</f>
        <v>5.8834713626409851E-2</v>
      </c>
      <c r="L483" s="79">
        <f>IF($C483&lt;=Entradas!$E$153,"",G483*J483)</f>
        <v>7.8584777508747178E-2</v>
      </c>
      <c r="M483" s="40"/>
    </row>
    <row r="484" spans="2:13">
      <c r="B484" s="39"/>
      <c r="C484" s="75">
        <v>479</v>
      </c>
      <c r="D484" s="110">
        <f>IF($C484&lt;=Entradas!$E$153,"",Observaciones!L484)</f>
        <v>1.1014466417597986</v>
      </c>
      <c r="E484" s="110">
        <f>IF($C484&lt;=Entradas!$E$153,"",Escenario1!BN485)</f>
        <v>1.0629995419371794</v>
      </c>
      <c r="F484" s="79">
        <f>IF($C484&lt;=Entradas!$E$153,"",D484-E484)</f>
        <v>3.844709982261918E-2</v>
      </c>
      <c r="G484" s="79">
        <f>IF($C484&lt;=Entradas!$E$153,"",D484-AVERAGE(D:D))</f>
        <v>0.31859502024822062</v>
      </c>
      <c r="H484" s="79">
        <f>IF($C484&lt;=Entradas!$E$153,"",F484^2)</f>
        <v>1.4781794847704437E-3</v>
      </c>
      <c r="I484" s="79">
        <f>IF($C484&lt;=Entradas!$E$153,"",G484^2)</f>
        <v>0.1015027869269641</v>
      </c>
      <c r="J484" s="79">
        <f>IF($C484&lt;=Entradas!$E$153,"",E484-AVERAGE(E:E))</f>
        <v>0.23206040127399419</v>
      </c>
      <c r="K484" s="79">
        <f>IF($C484&lt;=Entradas!$E$153,"",J484^2)</f>
        <v>5.3852029839447202E-2</v>
      </c>
      <c r="L484" s="79">
        <f>IF($C484&lt;=Entradas!$E$153,"",G484*J484)</f>
        <v>7.3933288242698375E-2</v>
      </c>
      <c r="M484" s="40"/>
    </row>
    <row r="485" spans="2:13">
      <c r="B485" s="39"/>
      <c r="C485" s="75">
        <v>480</v>
      </c>
      <c r="D485" s="110">
        <f>IF($C485&lt;=Entradas!$E$153,"",Observaciones!L485)</f>
        <v>1.096073918615279</v>
      </c>
      <c r="E485" s="110">
        <f>IF($C485&lt;=Entradas!$E$153,"",Escenario1!BN486)</f>
        <v>1.05273347794796</v>
      </c>
      <c r="F485" s="79">
        <f>IF($C485&lt;=Entradas!$E$153,"",D485-E485)</f>
        <v>4.3340440667319013E-2</v>
      </c>
      <c r="G485" s="79">
        <f>IF($C485&lt;=Entradas!$E$153,"",D485-AVERAGE(D:D))</f>
        <v>0.31322229710370109</v>
      </c>
      <c r="H485" s="79">
        <f>IF($C485&lt;=Entradas!$E$153,"",F485^2)</f>
        <v>1.8783937972373997E-3</v>
      </c>
      <c r="I485" s="79">
        <f>IF($C485&lt;=Entradas!$E$153,"",G485^2)</f>
        <v>9.8108207402919187E-2</v>
      </c>
      <c r="J485" s="79">
        <f>IF($C485&lt;=Entradas!$E$153,"",E485-AVERAGE(E:E))</f>
        <v>0.22179433728477482</v>
      </c>
      <c r="K485" s="79">
        <f>IF($C485&lt;=Entradas!$E$153,"",J485^2)</f>
        <v>4.9192728051592458E-2</v>
      </c>
      <c r="L485" s="79">
        <f>IF($C485&lt;=Entradas!$E$153,"",G485*J485)</f>
        <v>6.9470931808930228E-2</v>
      </c>
      <c r="M485" s="40"/>
    </row>
    <row r="486" spans="2:13">
      <c r="B486" s="39"/>
      <c r="C486" s="75">
        <v>481</v>
      </c>
      <c r="D486" s="110">
        <f>IF($C486&lt;=Entradas!$E$153,"",Observaciones!L486)</f>
        <v>1.1026606863314188</v>
      </c>
      <c r="E486" s="110">
        <f>IF($C486&lt;=Entradas!$E$153,"",Escenario1!BN487)</f>
        <v>1.3688410532693061</v>
      </c>
      <c r="F486" s="79">
        <f>IF($C486&lt;=Entradas!$E$153,"",D486-E486)</f>
        <v>-0.26618036693788727</v>
      </c>
      <c r="G486" s="79">
        <f>IF($C486&lt;=Entradas!$E$153,"",D486-AVERAGE(D:D))</f>
        <v>0.31980906481984084</v>
      </c>
      <c r="H486" s="79">
        <f>IF($C486&lt;=Entradas!$E$153,"",F486^2)</f>
        <v>7.0851987743188308E-2</v>
      </c>
      <c r="I486" s="79">
        <f>IF($C486&lt;=Entradas!$E$153,"",G486^2)</f>
        <v>0.10227783794094115</v>
      </c>
      <c r="J486" s="79">
        <f>IF($C486&lt;=Entradas!$E$153,"",E486-AVERAGE(E:E))</f>
        <v>0.53790191260612086</v>
      </c>
      <c r="K486" s="79">
        <f>IF($C486&lt;=Entradas!$E$153,"",J486^2)</f>
        <v>0.28933846758532289</v>
      </c>
      <c r="L486" s="79">
        <f>IF($C486&lt;=Entradas!$E$153,"",G486*J486)</f>
        <v>0.17202590763536726</v>
      </c>
      <c r="M486" s="40"/>
    </row>
    <row r="487" spans="2:13">
      <c r="B487" s="39"/>
      <c r="C487" s="75">
        <v>482</v>
      </c>
      <c r="D487" s="110">
        <f>IF($C487&lt;=Entradas!$E$153,"",Observaciones!L487)</f>
        <v>1.0993777350791443</v>
      </c>
      <c r="E487" s="110">
        <f>IF($C487&lt;=Entradas!$E$153,"",Escenario1!BN488)</f>
        <v>1.2976268727011435</v>
      </c>
      <c r="F487" s="79">
        <f>IF($C487&lt;=Entradas!$E$153,"",D487-E487)</f>
        <v>-0.19824913762199925</v>
      </c>
      <c r="G487" s="79">
        <f>IF($C487&lt;=Entradas!$E$153,"",D487-AVERAGE(D:D))</f>
        <v>0.31652611356756633</v>
      </c>
      <c r="H487" s="79">
        <f>IF($C487&lt;=Entradas!$E$153,"",F487^2)</f>
        <v>3.9302720567866399E-2</v>
      </c>
      <c r="I487" s="79">
        <f>IF($C487&lt;=Entradas!$E$153,"",G487^2)</f>
        <v>0.10018878057018789</v>
      </c>
      <c r="J487" s="79">
        <f>IF($C487&lt;=Entradas!$E$153,"",E487-AVERAGE(E:E))</f>
        <v>0.46668773203795832</v>
      </c>
      <c r="K487" s="79">
        <f>IF($C487&lt;=Entradas!$E$153,"",J487^2)</f>
        <v>0.21779743923473319</v>
      </c>
      <c r="L487" s="79">
        <f>IF($C487&lt;=Entradas!$E$153,"",G487*J487)</f>
        <v>0.14771885407163676</v>
      </c>
      <c r="M487" s="40"/>
    </row>
    <row r="488" spans="2:13">
      <c r="B488" s="39"/>
      <c r="C488" s="75">
        <v>483</v>
      </c>
      <c r="D488" s="110">
        <f>IF($C488&lt;=Entradas!$E$153,"",Observaciones!L488)</f>
        <v>1.0955494752732831</v>
      </c>
      <c r="E488" s="110">
        <f>IF($C488&lt;=Entradas!$E$153,"",Escenario1!BN489)</f>
        <v>1.2308857357966716</v>
      </c>
      <c r="F488" s="79">
        <f>IF($C488&lt;=Entradas!$E$153,"",D488-E488)</f>
        <v>-0.13533626052338854</v>
      </c>
      <c r="G488" s="79">
        <f>IF($C488&lt;=Entradas!$E$153,"",D488-AVERAGE(D:D))</f>
        <v>0.31269785376170511</v>
      </c>
      <c r="H488" s="79">
        <f>IF($C488&lt;=Entradas!$E$153,"",F488^2)</f>
        <v>1.8315903412454496E-2</v>
      </c>
      <c r="I488" s="79">
        <f>IF($C488&lt;=Entradas!$E$153,"",G488^2)</f>
        <v>9.7779947747176715E-2</v>
      </c>
      <c r="J488" s="79">
        <f>IF($C488&lt;=Entradas!$E$153,"",E488-AVERAGE(E:E))</f>
        <v>0.3999465951334864</v>
      </c>
      <c r="K488" s="79">
        <f>IF($C488&lt;=Entradas!$E$153,"",J488^2)</f>
        <v>0.15995727895886888</v>
      </c>
      <c r="L488" s="79">
        <f>IF($C488&lt;=Entradas!$E$153,"",G488*J488)</f>
        <v>0.12506244191754282</v>
      </c>
      <c r="M488" s="40"/>
    </row>
    <row r="489" spans="2:13">
      <c r="B489" s="39"/>
      <c r="C489" s="75">
        <v>484</v>
      </c>
      <c r="D489" s="110">
        <f>IF($C489&lt;=Entradas!$E$153,"",Observaciones!L489)</f>
        <v>1.0911888519390378</v>
      </c>
      <c r="E489" s="110">
        <f>IF($C489&lt;=Entradas!$E$153,"",Escenario1!BN490)</f>
        <v>1.1646996337655842</v>
      </c>
      <c r="F489" s="79">
        <f>IF($C489&lt;=Entradas!$E$153,"",D489-E489)</f>
        <v>-7.3510781826546356E-2</v>
      </c>
      <c r="G489" s="79">
        <f>IF($C489&lt;=Entradas!$E$153,"",D489-AVERAGE(D:D))</f>
        <v>0.30833723042745986</v>
      </c>
      <c r="H489" s="79">
        <f>IF($C489&lt;=Entradas!$E$153,"",F489^2)</f>
        <v>5.4038350447500978E-3</v>
      </c>
      <c r="I489" s="79">
        <f>IF($C489&lt;=Entradas!$E$153,"",G489^2)</f>
        <v>9.5071847667676485E-2</v>
      </c>
      <c r="J489" s="79">
        <f>IF($C489&lt;=Entradas!$E$153,"",E489-AVERAGE(E:E))</f>
        <v>0.33376049310239897</v>
      </c>
      <c r="K489" s="79">
        <f>IF($C489&lt;=Entradas!$E$153,"",J489^2)</f>
        <v>0.11139606675595651</v>
      </c>
      <c r="L489" s="79">
        <f>IF($C489&lt;=Entradas!$E$153,"",G489*J489)</f>
        <v>0.10291078606929702</v>
      </c>
      <c r="M489" s="40"/>
    </row>
    <row r="490" spans="2:13">
      <c r="B490" s="39"/>
      <c r="C490" s="75">
        <v>485</v>
      </c>
      <c r="D490" s="110">
        <f>IF($C490&lt;=Entradas!$E$153,"",Observaciones!L490)</f>
        <v>1.0863378230777889</v>
      </c>
      <c r="E490" s="110">
        <f>IF($C490&lt;=Entradas!$E$153,"",Escenario1!BN491)</f>
        <v>1.1021148201384503</v>
      </c>
      <c r="F490" s="79">
        <f>IF($C490&lt;=Entradas!$E$153,"",D490-E490)</f>
        <v>-1.577699706066138E-2</v>
      </c>
      <c r="G490" s="79">
        <f>IF($C490&lt;=Entradas!$E$153,"",D490-AVERAGE(D:D))</f>
        <v>0.30348620156621098</v>
      </c>
      <c r="H490" s="79">
        <f>IF($C490&lt;=Entradas!$E$153,"",F490^2)</f>
        <v>2.489136362521178E-4</v>
      </c>
      <c r="I490" s="79">
        <f>IF($C490&lt;=Entradas!$E$153,"",G490^2)</f>
        <v>9.2103874541086844E-2</v>
      </c>
      <c r="J490" s="79">
        <f>IF($C490&lt;=Entradas!$E$153,"",E490-AVERAGE(E:E))</f>
        <v>0.27117567947526511</v>
      </c>
      <c r="K490" s="79">
        <f>IF($C490&lt;=Entradas!$E$153,"",J490^2)</f>
        <v>7.3536249138871718E-2</v>
      </c>
      <c r="L490" s="79">
        <f>IF($C490&lt;=Entradas!$E$153,"",G490*J490)</f>
        <v>8.2298076921084526E-2</v>
      </c>
      <c r="M490" s="40"/>
    </row>
    <row r="491" spans="2:13">
      <c r="B491" s="39"/>
      <c r="C491" s="75">
        <v>486</v>
      </c>
      <c r="D491" s="110">
        <f>IF($C491&lt;=Entradas!$E$153,"",Observaciones!L491)</f>
        <v>1.0810243980667649</v>
      </c>
      <c r="E491" s="110">
        <f>IF($C491&lt;=Entradas!$E$153,"",Escenario1!BN492)</f>
        <v>1.0417410865045222</v>
      </c>
      <c r="F491" s="79">
        <f>IF($C491&lt;=Entradas!$E$153,"",D491-E491)</f>
        <v>3.9283311562242629E-2</v>
      </c>
      <c r="G491" s="79">
        <f>IF($C491&lt;=Entradas!$E$153,"",D491-AVERAGE(D:D))</f>
        <v>0.29817277655518692</v>
      </c>
      <c r="H491" s="79">
        <f>IF($C491&lt;=Entradas!$E$153,"",F491^2)</f>
        <v>1.5431785672962255E-3</v>
      </c>
      <c r="I491" s="79">
        <f>IF($C491&lt;=Entradas!$E$153,"",G491^2)</f>
        <v>8.8907004678629428E-2</v>
      </c>
      <c r="J491" s="79">
        <f>IF($C491&lt;=Entradas!$E$153,"",E491-AVERAGE(E:E))</f>
        <v>0.21080194584133705</v>
      </c>
      <c r="K491" s="79">
        <f>IF($C491&lt;=Entradas!$E$153,"",J491^2)</f>
        <v>4.4437460370493995E-2</v>
      </c>
      <c r="L491" s="79">
        <f>IF($C491&lt;=Entradas!$E$153,"",G491*J491)</f>
        <v>6.2855401494747609E-2</v>
      </c>
      <c r="M491" s="40"/>
    </row>
    <row r="492" spans="2:13">
      <c r="B492" s="39"/>
      <c r="C492" s="75">
        <v>487</v>
      </c>
      <c r="D492" s="110">
        <f>IF($C492&lt;=Entradas!$E$153,"",Observaciones!L492)</f>
        <v>1.0755501727424059</v>
      </c>
      <c r="E492" s="110">
        <f>IF($C492&lt;=Entradas!$E$153,"",Escenario1!BN493)</f>
        <v>0.9912882667155799</v>
      </c>
      <c r="F492" s="79">
        <f>IF($C492&lt;=Entradas!$E$153,"",D492-E492)</f>
        <v>8.4261906026826039E-2</v>
      </c>
      <c r="G492" s="79">
        <f>IF($C492&lt;=Entradas!$E$153,"",D492-AVERAGE(D:D))</f>
        <v>0.292698551230828</v>
      </c>
      <c r="H492" s="79">
        <f>IF($C492&lt;=Entradas!$E$153,"",F492^2)</f>
        <v>7.1000688072736622E-3</v>
      </c>
      <c r="I492" s="79">
        <f>IF($C492&lt;=Entradas!$E$153,"",G492^2)</f>
        <v>8.5672441892625642E-2</v>
      </c>
      <c r="J492" s="79">
        <f>IF($C492&lt;=Entradas!$E$153,"",E492-AVERAGE(E:E))</f>
        <v>0.16034912605239471</v>
      </c>
      <c r="K492" s="79">
        <f>IF($C492&lt;=Entradas!$E$153,"",J492^2)</f>
        <v>2.5711842225766769E-2</v>
      </c>
      <c r="L492" s="79">
        <f>IF($C492&lt;=Entradas!$E$153,"",G492*J492)</f>
        <v>4.6933956886665351E-2</v>
      </c>
      <c r="M492" s="40"/>
    </row>
    <row r="493" spans="2:13">
      <c r="B493" s="39"/>
      <c r="C493" s="75">
        <v>488</v>
      </c>
      <c r="D493" s="110">
        <f>IF($C493&lt;=Entradas!$E$153,"",Observaciones!L493)</f>
        <v>1.070068123343253</v>
      </c>
      <c r="E493" s="110">
        <f>IF($C493&lt;=Entradas!$E$153,"",Escenario1!BN494)</f>
        <v>0.9750107662113715</v>
      </c>
      <c r="F493" s="79">
        <f>IF($C493&lt;=Entradas!$E$153,"",D493-E493)</f>
        <v>9.5057357131881459E-2</v>
      </c>
      <c r="G493" s="79">
        <f>IF($C493&lt;=Entradas!$E$153,"",D493-AVERAGE(D:D))</f>
        <v>0.28721650183167502</v>
      </c>
      <c r="H493" s="79">
        <f>IF($C493&lt;=Entradas!$E$153,"",F493^2)</f>
        <v>9.0359011448980543E-3</v>
      </c>
      <c r="I493" s="79">
        <f>IF($C493&lt;=Entradas!$E$153,"",G493^2)</f>
        <v>8.2493318924424575E-2</v>
      </c>
      <c r="J493" s="79">
        <f>IF($C493&lt;=Entradas!$E$153,"",E493-AVERAGE(E:E))</f>
        <v>0.14407162554818631</v>
      </c>
      <c r="K493" s="79">
        <f>IF($C493&lt;=Entradas!$E$153,"",J493^2)</f>
        <v>2.075663328809681E-2</v>
      </c>
      <c r="L493" s="79">
        <f>IF($C493&lt;=Entradas!$E$153,"",G493*J493)</f>
        <v>4.1379748303153052E-2</v>
      </c>
      <c r="M493" s="40"/>
    </row>
    <row r="494" spans="2:13">
      <c r="B494" s="39"/>
      <c r="C494" s="75">
        <v>489</v>
      </c>
      <c r="D494" s="110">
        <f>IF($C494&lt;=Entradas!$E$153,"",Observaciones!L494)</f>
        <v>1.0646038517875838</v>
      </c>
      <c r="E494" s="110">
        <f>IF($C494&lt;=Entradas!$E$153,"",Escenario1!BN495)</f>
        <v>0.96471675630362808</v>
      </c>
      <c r="F494" s="79">
        <f>IF($C494&lt;=Entradas!$E$153,"",D494-E494)</f>
        <v>9.988709548395569E-2</v>
      </c>
      <c r="G494" s="79">
        <f>IF($C494&lt;=Entradas!$E$153,"",D494-AVERAGE(D:D))</f>
        <v>0.28175223027600582</v>
      </c>
      <c r="H494" s="79">
        <f>IF($C494&lt;=Entradas!$E$153,"",F494^2)</f>
        <v>9.9774318442208808E-3</v>
      </c>
      <c r="I494" s="79">
        <f>IF($C494&lt;=Entradas!$E$153,"",G494^2)</f>
        <v>7.9384319265503406E-2</v>
      </c>
      <c r="J494" s="79">
        <f>IF($C494&lt;=Entradas!$E$153,"",E494-AVERAGE(E:E))</f>
        <v>0.13377761564044288</v>
      </c>
      <c r="K494" s="79">
        <f>IF($C494&lt;=Entradas!$E$153,"",J494^2)</f>
        <v>1.7896450446442069E-2</v>
      </c>
      <c r="L494" s="79">
        <f>IF($C494&lt;=Entradas!$E$153,"",G494*J494)</f>
        <v>3.7692141567701058E-2</v>
      </c>
      <c r="M494" s="40"/>
    </row>
    <row r="495" spans="2:13">
      <c r="B495" s="39"/>
      <c r="C495" s="75">
        <v>490</v>
      </c>
      <c r="D495" s="110">
        <f>IF($C495&lt;=Entradas!$E$153,"",Observaciones!L495)</f>
        <v>1.0591618156560973</v>
      </c>
      <c r="E495" s="110">
        <f>IF($C495&lt;=Entradas!$E$153,"",Escenario1!BN496)</f>
        <v>0.9553990899910314</v>
      </c>
      <c r="F495" s="79">
        <f>IF($C495&lt;=Entradas!$E$153,"",D495-E495)</f>
        <v>0.10376272566506595</v>
      </c>
      <c r="G495" s="79">
        <f>IF($C495&lt;=Entradas!$E$153,"",D495-AVERAGE(D:D))</f>
        <v>0.27631019414451941</v>
      </c>
      <c r="H495" s="79">
        <f>IF($C495&lt;=Entradas!$E$153,"",F495^2)</f>
        <v>1.0766703237443736E-2</v>
      </c>
      <c r="I495" s="79">
        <f>IF($C495&lt;=Entradas!$E$153,"",G495^2)</f>
        <v>7.6347323388182009E-2</v>
      </c>
      <c r="J495" s="79">
        <f>IF($C495&lt;=Entradas!$E$153,"",E495-AVERAGE(E:E))</f>
        <v>0.12445994932784621</v>
      </c>
      <c r="K495" s="79">
        <f>IF($C495&lt;=Entradas!$E$153,"",J495^2)</f>
        <v>1.5490278986690045E-2</v>
      </c>
      <c r="L495" s="79">
        <f>IF($C495&lt;=Entradas!$E$153,"",G495*J495)</f>
        <v>3.4389552761994235E-2</v>
      </c>
      <c r="M495" s="40"/>
    </row>
    <row r="496" spans="2:13">
      <c r="B496" s="39"/>
      <c r="C496" s="75">
        <v>491</v>
      </c>
      <c r="D496" s="110">
        <f>IF($C496&lt;=Entradas!$E$153,"",Observaciones!L496)</f>
        <v>1.0537429557814022</v>
      </c>
      <c r="E496" s="110">
        <f>IF($C496&lt;=Entradas!$E$153,"",Escenario1!BN497)</f>
        <v>0.94617037183666997</v>
      </c>
      <c r="F496" s="79">
        <f>IF($C496&lt;=Entradas!$E$153,"",D496-E496)</f>
        <v>0.10757258394473224</v>
      </c>
      <c r="G496" s="79">
        <f>IF($C496&lt;=Entradas!$E$153,"",D496-AVERAGE(D:D))</f>
        <v>0.27089133426982426</v>
      </c>
      <c r="H496" s="79">
        <f>IF($C496&lt;=Entradas!$E$153,"",F496^2)</f>
        <v>1.1571860816546464E-2</v>
      </c>
      <c r="I496" s="79">
        <f>IF($C496&lt;=Entradas!$E$153,"",G496^2)</f>
        <v>7.3382114982485661E-2</v>
      </c>
      <c r="J496" s="79">
        <f>IF($C496&lt;=Entradas!$E$153,"",E496-AVERAGE(E:E))</f>
        <v>0.11523123117348477</v>
      </c>
      <c r="K496" s="79">
        <f>IF($C496&lt;=Entradas!$E$153,"",J496^2)</f>
        <v>1.3278236637757089E-2</v>
      </c>
      <c r="L496" s="79">
        <f>IF($C496&lt;=Entradas!$E$153,"",G496*J496)</f>
        <v>3.1215141962139856E-2</v>
      </c>
      <c r="M496" s="40"/>
    </row>
    <row r="497" spans="2:13">
      <c r="B497" s="39"/>
      <c r="C497" s="75">
        <v>492</v>
      </c>
      <c r="D497" s="110">
        <f>IF($C497&lt;=Entradas!$E$153,"",Observaciones!L497)</f>
        <v>1.0483476214784671</v>
      </c>
      <c r="E497" s="110">
        <f>IF($C497&lt;=Entradas!$E$153,"",Escenario1!BN498)</f>
        <v>0.93702977566583023</v>
      </c>
      <c r="F497" s="79">
        <f>IF($C497&lt;=Entradas!$E$153,"",D497-E497)</f>
        <v>0.11131784581263682</v>
      </c>
      <c r="G497" s="79">
        <f>IF($C497&lt;=Entradas!$E$153,"",D497-AVERAGE(D:D))</f>
        <v>0.26549599996688911</v>
      </c>
      <c r="H497" s="79">
        <f>IF($C497&lt;=Entradas!$E$153,"",F497^2)</f>
        <v>1.2391662796365985E-2</v>
      </c>
      <c r="I497" s="79">
        <f>IF($C497&lt;=Entradas!$E$153,"",G497^2)</f>
        <v>7.0488125998418374E-2</v>
      </c>
      <c r="J497" s="79">
        <f>IF($C497&lt;=Entradas!$E$153,"",E497-AVERAGE(E:E))</f>
        <v>0.10609063500264504</v>
      </c>
      <c r="K497" s="79">
        <f>IF($C497&lt;=Entradas!$E$153,"",J497^2)</f>
        <v>1.1255222835264454E-2</v>
      </c>
      <c r="L497" s="79">
        <f>IF($C497&lt;=Entradas!$E$153,"",G497*J497)</f>
        <v>2.816663922714949E-2</v>
      </c>
      <c r="M497" s="40"/>
    </row>
    <row r="498" spans="2:13">
      <c r="B498" s="39"/>
      <c r="C498" s="75">
        <v>493</v>
      </c>
      <c r="D498" s="110">
        <f>IF($C498&lt;=Entradas!$E$153,"",Observaciones!L498)</f>
        <v>1.0429760561164645</v>
      </c>
      <c r="E498" s="110">
        <f>IF($C498&lt;=Entradas!$E$153,"",Escenario1!BN499)</f>
        <v>0.92797643514332362</v>
      </c>
      <c r="F498" s="79">
        <f>IF($C498&lt;=Entradas!$E$153,"",D498-E498)</f>
        <v>0.11499962097314087</v>
      </c>
      <c r="G498" s="79">
        <f>IF($C498&lt;=Entradas!$E$153,"",D498-AVERAGE(D:D))</f>
        <v>0.26012443460488655</v>
      </c>
      <c r="H498" s="79">
        <f>IF($C498&lt;=Entradas!$E$153,"",F498^2)</f>
        <v>1.3224912823966062E-2</v>
      </c>
      <c r="I498" s="79">
        <f>IF($C498&lt;=Entradas!$E$153,"",G498^2)</f>
        <v>6.7664721478511894E-2</v>
      </c>
      <c r="J498" s="79">
        <f>IF($C498&lt;=Entradas!$E$153,"",E498-AVERAGE(E:E))</f>
        <v>9.7037294480138425E-2</v>
      </c>
      <c r="K498" s="79">
        <f>IF($C498&lt;=Entradas!$E$153,"",J498^2)</f>
        <v>9.4162365200251025E-3</v>
      </c>
      <c r="L498" s="79">
        <f>IF($C498&lt;=Entradas!$E$153,"",G498*J498)</f>
        <v>2.5241771362233885E-2</v>
      </c>
      <c r="M498" s="40"/>
    </row>
    <row r="499" spans="2:13">
      <c r="B499" s="39"/>
      <c r="C499" s="75">
        <v>494</v>
      </c>
      <c r="D499" s="110">
        <f>IF($C499&lt;=Entradas!$E$153,"",Observaciones!L499)</f>
        <v>1.0376399326353729</v>
      </c>
      <c r="E499" s="110">
        <f>IF($C499&lt;=Entradas!$E$153,"",Escenario1!BN500)</f>
        <v>0.9197579869540472</v>
      </c>
      <c r="F499" s="79">
        <f>IF($C499&lt;=Entradas!$E$153,"",D499-E499)</f>
        <v>0.11788194568132571</v>
      </c>
      <c r="G499" s="79">
        <f>IF($C499&lt;=Entradas!$E$153,"",D499-AVERAGE(D:D))</f>
        <v>0.25478831112379496</v>
      </c>
      <c r="H499" s="79">
        <f>IF($C499&lt;=Entradas!$E$153,"",F499^2)</f>
        <v>1.3896153117615025E-2</v>
      </c>
      <c r="I499" s="79">
        <f>IF($C499&lt;=Entradas!$E$153,"",G499^2)</f>
        <v>6.4917083485315746E-2</v>
      </c>
      <c r="J499" s="79">
        <f>IF($C499&lt;=Entradas!$E$153,"",E499-AVERAGE(E:E))</f>
        <v>8.8818846290862008E-2</v>
      </c>
      <c r="K499" s="79">
        <f>IF($C499&lt;=Entradas!$E$153,"",J499^2)</f>
        <v>7.8887874564397727E-3</v>
      </c>
      <c r="L499" s="79">
        <f>IF($C499&lt;=Entradas!$E$153,"",G499*J499)</f>
        <v>2.263000384241267E-2</v>
      </c>
      <c r="M499" s="40"/>
    </row>
    <row r="500" spans="2:13">
      <c r="B500" s="39"/>
      <c r="C500" s="75">
        <v>495</v>
      </c>
      <c r="D500" s="110">
        <f>IF($C500&lt;=Entradas!$E$153,"",Observaciones!L500)</f>
        <v>1.0292233815672795</v>
      </c>
      <c r="E500" s="110">
        <f>IF($C500&lt;=Entradas!$E$153,"",Escenario1!BN501)</f>
        <v>0.91012841708231673</v>
      </c>
      <c r="F500" s="79">
        <f>IF($C500&lt;=Entradas!$E$153,"",D500-E500)</f>
        <v>0.11909496448496282</v>
      </c>
      <c r="G500" s="79">
        <f>IF($C500&lt;=Entradas!$E$153,"",D500-AVERAGE(D:D))</f>
        <v>0.24637176005570161</v>
      </c>
      <c r="H500" s="79">
        <f>IF($C500&lt;=Entradas!$E$153,"",F500^2)</f>
        <v>1.4183610565674555E-2</v>
      </c>
      <c r="I500" s="79">
        <f>IF($C500&lt;=Entradas!$E$153,"",G500^2)</f>
        <v>6.0699044152944207E-2</v>
      </c>
      <c r="J500" s="79">
        <f>IF($C500&lt;=Entradas!$E$153,"",E500-AVERAGE(E:E))</f>
        <v>7.9189276419131538E-2</v>
      </c>
      <c r="K500" s="79">
        <f>IF($C500&lt;=Entradas!$E$153,"",J500^2)</f>
        <v>6.2709414997856221E-3</v>
      </c>
      <c r="L500" s="79">
        <f>IF($C500&lt;=Entradas!$E$153,"",G500*J500)</f>
        <v>1.9510001408918905E-2</v>
      </c>
      <c r="M500" s="40"/>
    </row>
    <row r="501" spans="2:13">
      <c r="B501" s="39"/>
      <c r="C501" s="75">
        <v>496</v>
      </c>
      <c r="D501" s="110">
        <f>IF($C501&lt;=Entradas!$E$153,"",Observaciones!L501)</f>
        <v>1.0170427457086608</v>
      </c>
      <c r="E501" s="110">
        <f>IF($C501&lt;=Entradas!$E$153,"",Escenario1!BN502)</f>
        <v>0.90133207139344051</v>
      </c>
      <c r="F501" s="79">
        <f>IF($C501&lt;=Entradas!$E$153,"",D501-E501)</f>
        <v>0.11571067431522031</v>
      </c>
      <c r="G501" s="79">
        <f>IF($C501&lt;=Entradas!$E$153,"",D501-AVERAGE(D:D))</f>
        <v>0.23419112419708288</v>
      </c>
      <c r="H501" s="79">
        <f>IF($C501&lt;=Entradas!$E$153,"",F501^2)</f>
        <v>1.3388960150482984E-2</v>
      </c>
      <c r="I501" s="79">
        <f>IF($C501&lt;=Entradas!$E$153,"",G501^2)</f>
        <v>5.4845482652693497E-2</v>
      </c>
      <c r="J501" s="79">
        <f>IF($C501&lt;=Entradas!$E$153,"",E501-AVERAGE(E:E))</f>
        <v>7.0392930730255321E-2</v>
      </c>
      <c r="K501" s="79">
        <f>IF($C501&lt;=Entradas!$E$153,"",J501^2)</f>
        <v>4.9551646967945237E-3</v>
      </c>
      <c r="L501" s="79">
        <f>IF($C501&lt;=Entradas!$E$153,"",G501*J501)</f>
        <v>1.6485399583245876E-2</v>
      </c>
      <c r="M501" s="40"/>
    </row>
    <row r="502" spans="2:13">
      <c r="B502" s="39"/>
      <c r="C502" s="75">
        <v>497</v>
      </c>
      <c r="D502" s="110">
        <f>IF($C502&lt;=Entradas!$E$153,"",Observaciones!L502)</f>
        <v>1.0051658836772461</v>
      </c>
      <c r="E502" s="110">
        <f>IF($C502&lt;=Entradas!$E$153,"",Escenario1!BN503)</f>
        <v>0.89261969331736624</v>
      </c>
      <c r="F502" s="79">
        <f>IF($C502&lt;=Entradas!$E$153,"",D502-E502)</f>
        <v>0.11254619035987989</v>
      </c>
      <c r="G502" s="79">
        <f>IF($C502&lt;=Entradas!$E$153,"",D502-AVERAGE(D:D))</f>
        <v>0.22231426216566819</v>
      </c>
      <c r="H502" s="79">
        <f>IF($C502&lt;=Entradas!$E$153,"",F502^2)</f>
        <v>1.2666644964522323E-2</v>
      </c>
      <c r="I502" s="79">
        <f>IF($C502&lt;=Entradas!$E$153,"",G502^2)</f>
        <v>4.9423631162265447E-2</v>
      </c>
      <c r="J502" s="79">
        <f>IF($C502&lt;=Entradas!$E$153,"",E502-AVERAGE(E:E))</f>
        <v>6.1680552654181042E-2</v>
      </c>
      <c r="K502" s="79">
        <f>IF($C502&lt;=Entradas!$E$153,"",J502^2)</f>
        <v>3.8044905757251999E-3</v>
      </c>
      <c r="L502" s="79">
        <f>IF($C502&lt;=Entradas!$E$153,"",G502*J502)</f>
        <v>1.3712466553284905E-2</v>
      </c>
      <c r="M502" s="40"/>
    </row>
    <row r="503" spans="2:13">
      <c r="B503" s="39"/>
      <c r="C503" s="75">
        <v>498</v>
      </c>
      <c r="D503" s="110">
        <f>IF($C503&lt;=Entradas!$E$153,"",Observaciones!L503)</f>
        <v>0.99345973082039685</v>
      </c>
      <c r="E503" s="110">
        <f>IF($C503&lt;=Entradas!$E$153,"",Escenario1!BN504)</f>
        <v>0.88399049775789529</v>
      </c>
      <c r="F503" s="79">
        <f>IF($C503&lt;=Entradas!$E$153,"",D503-E503)</f>
        <v>0.10946923306250156</v>
      </c>
      <c r="G503" s="79">
        <f>IF($C503&lt;=Entradas!$E$153,"",D503-AVERAGE(D:D))</f>
        <v>0.2106081093088189</v>
      </c>
      <c r="H503" s="79">
        <f>IF($C503&lt;=Entradas!$E$153,"",F503^2)</f>
        <v>1.1983512987292284E-2</v>
      </c>
      <c r="I503" s="79">
        <f>IF($C503&lt;=Entradas!$E$153,"",G503^2)</f>
        <v>4.435577570663541E-2</v>
      </c>
      <c r="J503" s="79">
        <f>IF($C503&lt;=Entradas!$E$153,"",E503-AVERAGE(E:E))</f>
        <v>5.3051357094710094E-2</v>
      </c>
      <c r="K503" s="79">
        <f>IF($C503&lt;=Entradas!$E$153,"",J503^2)</f>
        <v>2.8144464895904471E-3</v>
      </c>
      <c r="L503" s="79">
        <f>IF($C503&lt;=Entradas!$E$153,"",G503*J503)</f>
        <v>1.1173046013983889E-2</v>
      </c>
      <c r="M503" s="40"/>
    </row>
    <row r="504" spans="2:13">
      <c r="B504" s="39"/>
      <c r="C504" s="75">
        <v>499</v>
      </c>
      <c r="D504" s="110">
        <f>IF($C504&lt;=Entradas!$E$153,"",Observaciones!L504)</f>
        <v>0.98190066701823331</v>
      </c>
      <c r="E504" s="110">
        <f>IF($C504&lt;=Entradas!$E$153,"",Escenario1!BN505)</f>
        <v>0.87544370057414578</v>
      </c>
      <c r="F504" s="79">
        <f>IF($C504&lt;=Entradas!$E$153,"",D504-E504)</f>
        <v>0.10645696644408753</v>
      </c>
      <c r="G504" s="79">
        <f>IF($C504&lt;=Entradas!$E$153,"",D504-AVERAGE(D:D))</f>
        <v>0.19904904550665536</v>
      </c>
      <c r="H504" s="79">
        <f>IF($C504&lt;=Entradas!$E$153,"",F504^2)</f>
        <v>1.1333085704477578E-2</v>
      </c>
      <c r="I504" s="79">
        <f>IF($C504&lt;=Entradas!$E$153,"",G504^2)</f>
        <v>3.9620522517110561E-2</v>
      </c>
      <c r="J504" s="79">
        <f>IF($C504&lt;=Entradas!$E$153,"",E504-AVERAGE(E:E))</f>
        <v>4.4504559910960584E-2</v>
      </c>
      <c r="K504" s="79">
        <f>IF($C504&lt;=Entradas!$E$153,"",J504^2)</f>
        <v>1.9806558528682799E-3</v>
      </c>
      <c r="L504" s="79">
        <f>IF($C504&lt;=Entradas!$E$153,"",G504*J504)</f>
        <v>8.858590170970463E-3</v>
      </c>
      <c r="M504" s="40"/>
    </row>
    <row r="505" spans="2:13">
      <c r="B505" s="39"/>
      <c r="C505" s="75">
        <v>500</v>
      </c>
      <c r="D505" s="110">
        <f>IF($C505&lt;=Entradas!$E$153,"",Observaciones!L505)</f>
        <v>0.97048325356601384</v>
      </c>
      <c r="E505" s="110">
        <f>IF($C505&lt;=Entradas!$E$153,"",Escenario1!BN506)</f>
        <v>0.86697851380218349</v>
      </c>
      <c r="F505" s="79">
        <f>IF($C505&lt;=Entradas!$E$153,"",D505-E505)</f>
        <v>0.10350473976383034</v>
      </c>
      <c r="G505" s="79">
        <f>IF($C505&lt;=Entradas!$E$153,"",D505-AVERAGE(D:D))</f>
        <v>0.18763163205443589</v>
      </c>
      <c r="H505" s="79">
        <f>IF($C505&lt;=Entradas!$E$153,"",F505^2)</f>
        <v>1.0713231153578242E-2</v>
      </c>
      <c r="I505" s="79">
        <f>IF($C505&lt;=Entradas!$E$153,"",G505^2)</f>
        <v>3.5205629347411213E-2</v>
      </c>
      <c r="J505" s="79">
        <f>IF($C505&lt;=Entradas!$E$153,"",E505-AVERAGE(E:E))</f>
        <v>3.6039373138998299E-2</v>
      </c>
      <c r="K505" s="79">
        <f>IF($C505&lt;=Entradas!$E$153,"",J505^2)</f>
        <v>1.298836416251952E-3</v>
      </c>
      <c r="L505" s="79">
        <f>IF($C505&lt;=Entradas!$E$153,"",G505*J505)</f>
        <v>6.7621264002890487E-3</v>
      </c>
      <c r="M505" s="40"/>
    </row>
    <row r="506" spans="2:13">
      <c r="B506" s="39"/>
      <c r="C506" s="75">
        <v>501</v>
      </c>
      <c r="D506" s="110">
        <f>IF($C506&lt;=Entradas!$E$153,"",Observaciones!L506)</f>
        <v>0.95920508902171719</v>
      </c>
      <c r="E506" s="110">
        <f>IF($C506&lt;=Entradas!$E$153,"",Escenario1!BN507)</f>
        <v>0.85859414452031402</v>
      </c>
      <c r="F506" s="79">
        <f>IF($C506&lt;=Entradas!$E$153,"",D506-E506)</f>
        <v>0.10061094450140318</v>
      </c>
      <c r="G506" s="79">
        <f>IF($C506&lt;=Entradas!$E$153,"",D506-AVERAGE(D:D))</f>
        <v>0.17635346751013925</v>
      </c>
      <c r="H506" s="79">
        <f>IF($C506&lt;=Entradas!$E$153,"",F506^2)</f>
        <v>1.012256215346443E-2</v>
      </c>
      <c r="I506" s="79">
        <f>IF($C506&lt;=Entradas!$E$153,"",G506^2)</f>
        <v>3.1100545502849741E-2</v>
      </c>
      <c r="J506" s="79">
        <f>IF($C506&lt;=Entradas!$E$153,"",E506-AVERAGE(E:E))</f>
        <v>2.7655003857128824E-2</v>
      </c>
      <c r="K506" s="79">
        <f>IF($C506&lt;=Entradas!$E$153,"",J506^2)</f>
        <v>7.6479923833781013E-4</v>
      </c>
      <c r="L506" s="79">
        <f>IF($C506&lt;=Entradas!$E$153,"",G506*J506)</f>
        <v>4.8770558242109434E-3</v>
      </c>
      <c r="M506" s="40"/>
    </row>
    <row r="507" spans="2:13">
      <c r="B507" s="39"/>
      <c r="C507" s="75">
        <v>502</v>
      </c>
      <c r="D507" s="110">
        <f>IF($C507&lt;=Entradas!$E$153,"",Observaciones!L507)</f>
        <v>0.94806429595935371</v>
      </c>
      <c r="E507" s="110">
        <f>IF($C507&lt;=Entradas!$E$153,"",Escenario1!BN508)</f>
        <v>0.85028983685078063</v>
      </c>
      <c r="F507" s="79">
        <f>IF($C507&lt;=Entradas!$E$153,"",D507-E507)</f>
        <v>9.7774459108573075E-2</v>
      </c>
      <c r="G507" s="79">
        <f>IF($C507&lt;=Entradas!$E$153,"",D507-AVERAGE(D:D))</f>
        <v>0.16521267444777576</v>
      </c>
      <c r="H507" s="79">
        <f>IF($C507&lt;=Entradas!$E$153,"",F507^2)</f>
        <v>9.5598448539740283E-3</v>
      </c>
      <c r="I507" s="79">
        <f>IF($C507&lt;=Entradas!$E$153,"",G507^2)</f>
        <v>2.7295227798186741E-2</v>
      </c>
      <c r="J507" s="79">
        <f>IF($C507&lt;=Entradas!$E$153,"",E507-AVERAGE(E:E))</f>
        <v>1.935069618759544E-2</v>
      </c>
      <c r="K507" s="79">
        <f>IF($C507&lt;=Entradas!$E$153,"",J507^2)</f>
        <v>3.7444944294462071E-4</v>
      </c>
      <c r="L507" s="79">
        <f>IF($C507&lt;=Entradas!$E$153,"",G507*J507)</f>
        <v>3.1969802695790209E-3</v>
      </c>
      <c r="M507" s="40"/>
    </row>
    <row r="508" spans="2:13">
      <c r="B508" s="39"/>
      <c r="C508" s="75">
        <v>503</v>
      </c>
      <c r="D508" s="110">
        <f>IF($C508&lt;=Entradas!$E$153,"",Observaciones!L508)</f>
        <v>0.93705910365242417</v>
      </c>
      <c r="E508" s="110">
        <f>IF($C508&lt;=Entradas!$E$153,"",Escenario1!BN509)</f>
        <v>0.84206481471004835</v>
      </c>
      <c r="F508" s="79">
        <f>IF($C508&lt;=Entradas!$E$153,"",D508-E508)</f>
        <v>9.4994288942375826E-2</v>
      </c>
      <c r="G508" s="79">
        <f>IF($C508&lt;=Entradas!$E$153,"",D508-AVERAGE(D:D))</f>
        <v>0.15420748214084623</v>
      </c>
      <c r="H508" s="79">
        <f>IF($C508&lt;=Entradas!$E$153,"",F508^2)</f>
        <v>9.023914931667586E-3</v>
      </c>
      <c r="I508" s="79">
        <f>IF($C508&lt;=Entradas!$E$153,"",G508^2)</f>
        <v>2.377994754821941E-2</v>
      </c>
      <c r="J508" s="79">
        <f>IF($C508&lt;=Entradas!$E$153,"",E508-AVERAGE(E:E))</f>
        <v>1.1125674046863154E-2</v>
      </c>
      <c r="K508" s="79">
        <f>IF($C508&lt;=Entradas!$E$153,"",J508^2)</f>
        <v>1.2378062299704434E-4</v>
      </c>
      <c r="L508" s="79">
        <f>IF($C508&lt;=Entradas!$E$153,"",G508*J508)</f>
        <v>1.7156621818865262E-3</v>
      </c>
      <c r="M508" s="40"/>
    </row>
    <row r="509" spans="2:13">
      <c r="B509" s="39"/>
      <c r="C509" s="75">
        <v>504</v>
      </c>
      <c r="D509" s="110">
        <f>IF($C509&lt;=Entradas!$E$153,"",Observaciones!L509)</f>
        <v>0.92618777855229983</v>
      </c>
      <c r="E509" s="110">
        <f>IF($C509&lt;=Entradas!$E$153,"",Escenario1!BN510)</f>
        <v>0.83391831469272548</v>
      </c>
      <c r="F509" s="79">
        <f>IF($C509&lt;=Entradas!$E$153,"",D509-E509)</f>
        <v>9.2269463859574352E-2</v>
      </c>
      <c r="G509" s="79">
        <f>IF($C509&lt;=Entradas!$E$153,"",D509-AVERAGE(D:D))</f>
        <v>0.14333615704072189</v>
      </c>
      <c r="H509" s="79">
        <f>IF($C509&lt;=Entradas!$E$153,"",F509^2)</f>
        <v>8.5136539609332977E-3</v>
      </c>
      <c r="I509" s="79">
        <f>IF($C509&lt;=Entradas!$E$153,"",G509^2)</f>
        <v>2.0545253915202486E-2</v>
      </c>
      <c r="J509" s="79">
        <f>IF($C509&lt;=Entradas!$E$153,"",E509-AVERAGE(E:E))</f>
        <v>2.979174029540288E-3</v>
      </c>
      <c r="K509" s="79">
        <f>IF($C509&lt;=Entradas!$E$153,"",J509^2)</f>
        <v>8.8754778982873162E-6</v>
      </c>
      <c r="L509" s="79">
        <f>IF($C509&lt;=Entradas!$E$153,"",G509*J509)</f>
        <v>4.2702335654982694E-4</v>
      </c>
      <c r="M509" s="40"/>
    </row>
    <row r="510" spans="2:13">
      <c r="B510" s="39"/>
      <c r="C510" s="75">
        <v>505</v>
      </c>
      <c r="D510" s="110">
        <f>IF($C510&lt;=Entradas!$E$153,"",Observaciones!L510)</f>
        <v>0.91544861248231535</v>
      </c>
      <c r="E510" s="110">
        <f>IF($C510&lt;=Entradas!$E$153,"",Escenario1!BN511)</f>
        <v>0.82584960246843697</v>
      </c>
      <c r="F510" s="79">
        <f>IF($C510&lt;=Entradas!$E$153,"",D510-E510)</f>
        <v>8.9599010013878377E-2</v>
      </c>
      <c r="G510" s="79">
        <f>IF($C510&lt;=Entradas!$E$153,"",D510-AVERAGE(D:D))</f>
        <v>0.13259699097073741</v>
      </c>
      <c r="H510" s="79">
        <f>IF($C510&lt;=Entradas!$E$153,"",F510^2)</f>
        <v>8.0279825954670779E-3</v>
      </c>
      <c r="I510" s="79">
        <f>IF($C510&lt;=Entradas!$E$153,"",G510^2)</f>
        <v>1.7581962014493815E-2</v>
      </c>
      <c r="J510" s="79">
        <f>IF($C510&lt;=Entradas!$E$153,"",E510-AVERAGE(E:E))</f>
        <v>-5.0895381947482221E-3</v>
      </c>
      <c r="K510" s="79">
        <f>IF($C510&lt;=Entradas!$E$153,"",J510^2)</f>
        <v>2.5903399035800993E-5</v>
      </c>
      <c r="L510" s="79">
        <f>IF($C510&lt;=Entradas!$E$153,"",G510*J510)</f>
        <v>-6.7485745005425315E-4</v>
      </c>
      <c r="M510" s="40"/>
    </row>
    <row r="511" spans="2:13">
      <c r="B511" s="39"/>
      <c r="C511" s="75">
        <v>506</v>
      </c>
      <c r="D511" s="110">
        <f>IF($C511&lt;=Entradas!$E$153,"",Observaciones!L511)</f>
        <v>0.90483992041284722</v>
      </c>
      <c r="E511" s="110">
        <f>IF($C511&lt;=Entradas!$E$153,"",Escenario1!BN512)</f>
        <v>0.8178579124848171</v>
      </c>
      <c r="F511" s="79">
        <f>IF($C511&lt;=Entradas!$E$153,"",D511-E511)</f>
        <v>8.6982007928030125E-2</v>
      </c>
      <c r="G511" s="79">
        <f>IF($C511&lt;=Entradas!$E$153,"",D511-AVERAGE(D:D))</f>
        <v>0.12198829890126928</v>
      </c>
      <c r="H511" s="79">
        <f>IF($C511&lt;=Entradas!$E$153,"",F511^2)</f>
        <v>7.5658697031918956E-3</v>
      </c>
      <c r="I511" s="79">
        <f>IF($C511&lt;=Entradas!$E$153,"",G511^2)</f>
        <v>1.4881145068825414E-2</v>
      </c>
      <c r="J511" s="79">
        <f>IF($C511&lt;=Entradas!$E$153,"",E511-AVERAGE(E:E))</f>
        <v>-1.3081228178368098E-2</v>
      </c>
      <c r="K511" s="79">
        <f>IF($C511&lt;=Entradas!$E$153,"",J511^2)</f>
        <v>1.7111853065453154E-4</v>
      </c>
      <c r="L511" s="79">
        <f>IF($C511&lt;=Entradas!$E$153,"",G511*J511)</f>
        <v>-1.5957567730184737E-3</v>
      </c>
      <c r="M511" s="40"/>
    </row>
    <row r="512" spans="2:13">
      <c r="B512" s="39"/>
      <c r="C512" s="75">
        <v>507</v>
      </c>
      <c r="D512" s="110">
        <f>IF($C512&lt;=Entradas!$E$153,"",Observaciones!L512)</f>
        <v>0.894360039830015</v>
      </c>
      <c r="E512" s="110">
        <f>IF($C512&lt;=Entradas!$E$153,"",Escenario1!BN513)</f>
        <v>0.80994250362117814</v>
      </c>
      <c r="F512" s="79">
        <f>IF($C512&lt;=Entradas!$E$153,"",D512-E512)</f>
        <v>8.4417536208836852E-2</v>
      </c>
      <c r="G512" s="79">
        <f>IF($C512&lt;=Entradas!$E$153,"",D512-AVERAGE(D:D))</f>
        <v>0.11150841831843705</v>
      </c>
      <c r="H512" s="79">
        <f>IF($C512&lt;=Entradas!$E$153,"",F512^2)</f>
        <v>7.1263204195702807E-3</v>
      </c>
      <c r="I512" s="79">
        <f>IF($C512&lt;=Entradas!$E$153,"",G512^2)</f>
        <v>1.2434127355879548E-2</v>
      </c>
      <c r="J512" s="79">
        <f>IF($C512&lt;=Entradas!$E$153,"",E512-AVERAGE(E:E))</f>
        <v>-2.0996637042007049E-2</v>
      </c>
      <c r="K512" s="79">
        <f>IF($C512&lt;=Entradas!$E$153,"",J512^2)</f>
        <v>4.408587670737825E-4</v>
      </c>
      <c r="L512" s="79">
        <f>IF($C512&lt;=Entradas!$E$153,"",G512*J512)</f>
        <v>-2.341301786560513E-3</v>
      </c>
      <c r="M512" s="40"/>
    </row>
    <row r="513" spans="2:13">
      <c r="B513" s="39"/>
      <c r="C513" s="75">
        <v>508</v>
      </c>
      <c r="D513" s="110">
        <f>IF($C513&lt;=Entradas!$E$153,"",Observaciones!L513)</f>
        <v>0.88400733037256152</v>
      </c>
      <c r="E513" s="110">
        <f>IF($C513&lt;=Entradas!$E$153,"",Escenario1!BN514)</f>
        <v>0.80210266133206576</v>
      </c>
      <c r="F513" s="79">
        <f>IF($C513&lt;=Entradas!$E$153,"",D513-E513)</f>
        <v>8.1904669040495759E-2</v>
      </c>
      <c r="G513" s="79">
        <f>IF($C513&lt;=Entradas!$E$153,"",D513-AVERAGE(D:D))</f>
        <v>0.10115570886098357</v>
      </c>
      <c r="H513" s="79">
        <f>IF($C513&lt;=Entradas!$E$153,"",F513^2)</f>
        <v>6.7083748106331444E-3</v>
      </c>
      <c r="I513" s="79">
        <f>IF($C513&lt;=Entradas!$E$153,"",G513^2)</f>
        <v>1.023247743516807E-2</v>
      </c>
      <c r="J513" s="79">
        <f>IF($C513&lt;=Entradas!$E$153,"",E513-AVERAGE(E:E))</f>
        <v>-2.8836479331119436E-2</v>
      </c>
      <c r="K513" s="79">
        <f>IF($C513&lt;=Entradas!$E$153,"",J513^2)</f>
        <v>8.3154254021407844E-4</v>
      </c>
      <c r="L513" s="79">
        <f>IF($C513&lt;=Entradas!$E$153,"",G513*J513)</f>
        <v>-2.916974507794488E-3</v>
      </c>
      <c r="M513" s="40"/>
    </row>
    <row r="514" spans="2:13">
      <c r="B514" s="39"/>
      <c r="C514" s="75">
        <v>509</v>
      </c>
      <c r="D514" s="110">
        <f>IF($C514&lt;=Entradas!$E$153,"",Observaciones!L514)</f>
        <v>0.87378017351691417</v>
      </c>
      <c r="E514" s="110">
        <f>IF($C514&lt;=Entradas!$E$153,"",Escenario1!BN515)</f>
        <v>0.79433767669446709</v>
      </c>
      <c r="F514" s="79">
        <f>IF($C514&lt;=Entradas!$E$153,"",D514-E514)</f>
        <v>7.9442496822447084E-2</v>
      </c>
      <c r="G514" s="79">
        <f>IF($C514&lt;=Entradas!$E$153,"",D514-AVERAGE(D:D))</f>
        <v>9.0928552005336227E-2</v>
      </c>
      <c r="H514" s="79">
        <f>IF($C514&lt;=Entradas!$E$153,"",F514^2)</f>
        <v>6.3111103013845154E-3</v>
      </c>
      <c r="I514" s="79">
        <f>IF($C514&lt;=Entradas!$E$153,"",G514^2)</f>
        <v>8.2680015697871347E-3</v>
      </c>
      <c r="J514" s="79">
        <f>IF($C514&lt;=Entradas!$E$153,"",E514-AVERAGE(E:E))</f>
        <v>-3.6601463968718106E-2</v>
      </c>
      <c r="K514" s="79">
        <f>IF($C514&lt;=Entradas!$E$153,"",J514^2)</f>
        <v>1.3396671646533698E-3</v>
      </c>
      <c r="L514" s="79">
        <f>IF($C514&lt;=Entradas!$E$153,"",G514*J514)</f>
        <v>-3.3281181199510245E-3</v>
      </c>
      <c r="M514" s="40"/>
    </row>
    <row r="515" spans="2:13">
      <c r="B515" s="39"/>
      <c r="C515" s="75">
        <v>510</v>
      </c>
      <c r="D515" s="110">
        <f>IF($C515&lt;=Entradas!$E$153,"",Observaciones!L515)</f>
        <v>0.86367697227387175</v>
      </c>
      <c r="E515" s="110">
        <f>IF($C515&lt;=Entradas!$E$153,"",Escenario1!BN516)</f>
        <v>0.78664683821192816</v>
      </c>
      <c r="F515" s="79">
        <f>IF($C515&lt;=Entradas!$E$153,"",D515-E515)</f>
        <v>7.7030134061943589E-2</v>
      </c>
      <c r="G515" s="79">
        <f>IF($C515&lt;=Entradas!$E$153,"",D515-AVERAGE(D:D))</f>
        <v>8.0825350762293802E-2</v>
      </c>
      <c r="H515" s="79">
        <f>IF($C515&lt;=Entradas!$E$153,"",F515^2)</f>
        <v>5.9336415536010018E-3</v>
      </c>
      <c r="I515" s="79">
        <f>IF($C515&lt;=Entradas!$E$153,"",G515^2)</f>
        <v>6.5327373258478273E-3</v>
      </c>
      <c r="J515" s="79">
        <f>IF($C515&lt;=Entradas!$E$153,"",E515-AVERAGE(E:E))</f>
        <v>-4.4292302451257037E-2</v>
      </c>
      <c r="K515" s="79">
        <f>IF($C515&lt;=Entradas!$E$153,"",J515^2)</f>
        <v>1.9618080564336301E-3</v>
      </c>
      <c r="L515" s="79">
        <f>IF($C515&lt;=Entradas!$E$153,"",G515*J515)</f>
        <v>-3.5799408816924558E-3</v>
      </c>
      <c r="M515" s="40"/>
    </row>
    <row r="516" spans="2:13">
      <c r="B516" s="39"/>
      <c r="C516" s="75">
        <v>511</v>
      </c>
      <c r="D516" s="110">
        <f>IF($C516&lt;=Entradas!$E$153,"",Observaciones!L516)</f>
        <v>0.85369615089079409</v>
      </c>
      <c r="E516" s="110">
        <f>IF($C516&lt;=Entradas!$E$153,"",Escenario1!BN517)</f>
        <v>0.77902944480313119</v>
      </c>
      <c r="F516" s="79">
        <f>IF($C516&lt;=Entradas!$E$153,"",D516-E516)</f>
        <v>7.4666706087662904E-2</v>
      </c>
      <c r="G516" s="79">
        <f>IF($C516&lt;=Entradas!$E$153,"",D516-AVERAGE(D:D))</f>
        <v>7.0844529379216148E-2</v>
      </c>
      <c r="H516" s="79">
        <f>IF($C516&lt;=Entradas!$E$153,"",F516^2)</f>
        <v>5.5751169979814368E-3</v>
      </c>
      <c r="I516" s="79">
        <f>IF($C516&lt;=Entradas!$E$153,"",G516^2)</f>
        <v>5.0189473429626203E-3</v>
      </c>
      <c r="J516" s="79">
        <f>IF($C516&lt;=Entradas!$E$153,"",E516-AVERAGE(E:E))</f>
        <v>-5.1909695860054006E-2</v>
      </c>
      <c r="K516" s="79">
        <f>IF($C516&lt;=Entradas!$E$153,"",J516^2)</f>
        <v>2.6946165242833081E-3</v>
      </c>
      <c r="L516" s="79">
        <f>IF($C516&lt;=Entradas!$E$153,"",G516*J516)</f>
        <v>-3.6775179734237708E-3</v>
      </c>
      <c r="M516" s="40"/>
    </row>
    <row r="517" spans="2:13">
      <c r="B517" s="39"/>
      <c r="C517" s="75">
        <v>512</v>
      </c>
      <c r="D517" s="110">
        <f>IF($C517&lt;=Entradas!$E$153,"",Observaciones!L517)</f>
        <v>0.84383615455822991</v>
      </c>
      <c r="E517" s="110">
        <f>IF($C517&lt;=Entradas!$E$153,"",Escenario1!BN518)</f>
        <v>0.77148478008623989</v>
      </c>
      <c r="F517" s="79">
        <f>IF($C517&lt;=Entradas!$E$153,"",D517-E517)</f>
        <v>7.2351374471990026E-2</v>
      </c>
      <c r="G517" s="79">
        <f>IF($C517&lt;=Entradas!$E$153,"",D517-AVERAGE(D:D))</f>
        <v>6.0984533046651968E-2</v>
      </c>
      <c r="H517" s="79">
        <f>IF($C517&lt;=Entradas!$E$153,"",F517^2)</f>
        <v>5.2347213879861297E-3</v>
      </c>
      <c r="I517" s="79">
        <f>IF($C517&lt;=Entradas!$E$153,"",G517^2)</f>
        <v>3.7191132709181859E-3</v>
      </c>
      <c r="J517" s="79">
        <f>IF($C517&lt;=Entradas!$E$153,"",E517-AVERAGE(E:E))</f>
        <v>-5.9454360576945309E-2</v>
      </c>
      <c r="K517" s="79">
        <f>IF($C517&lt;=Entradas!$E$153,"",J517^2)</f>
        <v>3.5348209916134287E-3</v>
      </c>
      <c r="L517" s="79">
        <f>IF($C517&lt;=Entradas!$E$153,"",G517*J517)</f>
        <v>-3.6257964173722831E-3</v>
      </c>
      <c r="M517" s="40"/>
    </row>
    <row r="518" spans="2:13">
      <c r="B518" s="39"/>
      <c r="C518" s="75">
        <v>513</v>
      </c>
      <c r="D518" s="110">
        <f>IF($C518&lt;=Entradas!$E$153,"",Observaciones!L518)</f>
        <v>0.83409544912075329</v>
      </c>
      <c r="E518" s="110">
        <f>IF($C518&lt;=Entradas!$E$153,"",Escenario1!BN519)</f>
        <v>0.76401214440498721</v>
      </c>
      <c r="F518" s="79">
        <f>IF($C518&lt;=Entradas!$E$153,"",D518-E518)</f>
        <v>7.008330471576607E-2</v>
      </c>
      <c r="G518" s="79">
        <f>IF($C518&lt;=Entradas!$E$153,"",D518-AVERAGE(D:D))</f>
        <v>5.1243827609175341E-2</v>
      </c>
      <c r="H518" s="79">
        <f>IF($C518&lt;=Entradas!$E$153,"",F518^2)</f>
        <v>4.911669599882919E-3</v>
      </c>
      <c r="I518" s="79">
        <f>IF($C518&lt;=Entradas!$E$153,"",G518^2)</f>
        <v>2.6259298680388807E-3</v>
      </c>
      <c r="J518" s="79">
        <f>IF($C518&lt;=Entradas!$E$153,"",E518-AVERAGE(E:E))</f>
        <v>-6.6926996258197979E-2</v>
      </c>
      <c r="K518" s="79">
        <f>IF($C518&lt;=Entradas!$E$153,"",J518^2)</f>
        <v>4.4792228281448467E-3</v>
      </c>
      <c r="L518" s="79">
        <f>IF($C518&lt;=Entradas!$E$153,"",G518*J518)</f>
        <v>-3.4295954586550203E-3</v>
      </c>
      <c r="M518" s="40"/>
    </row>
    <row r="519" spans="2:13">
      <c r="B519" s="39"/>
      <c r="C519" s="75">
        <v>514</v>
      </c>
      <c r="D519" s="110">
        <f>IF($C519&lt;=Entradas!$E$153,"",Observaciones!L519)</f>
        <v>0.82447252079192057</v>
      </c>
      <c r="E519" s="110">
        <f>IF($C519&lt;=Entradas!$E$153,"",Escenario1!BN520)</f>
        <v>0.75661086066327154</v>
      </c>
      <c r="F519" s="79">
        <f>IF($C519&lt;=Entradas!$E$153,"",D519-E519)</f>
        <v>6.7861660128649026E-2</v>
      </c>
      <c r="G519" s="79">
        <f>IF($C519&lt;=Entradas!$E$153,"",D519-AVERAGE(D:D))</f>
        <v>4.1620899280342627E-2</v>
      </c>
      <c r="H519" s="79">
        <f>IF($C519&lt;=Entradas!$E$153,"",F519^2)</f>
        <v>4.6052049154162731E-3</v>
      </c>
      <c r="I519" s="79">
        <f>IF($C519&lt;=Entradas!$E$153,"",G519^2)</f>
        <v>1.7322992569044253E-3</v>
      </c>
      <c r="J519" s="79">
        <f>IF($C519&lt;=Entradas!$E$153,"",E519-AVERAGE(E:E))</f>
        <v>-7.4328279999913649E-2</v>
      </c>
      <c r="K519" s="79">
        <f>IF($C519&lt;=Entradas!$E$153,"",J519^2)</f>
        <v>5.5246932077455636E-3</v>
      </c>
      <c r="L519" s="79">
        <f>IF($C519&lt;=Entradas!$E$153,"",G519*J519)</f>
        <v>-3.0936098555575113E-3</v>
      </c>
      <c r="M519" s="40"/>
    </row>
    <row r="520" spans="2:13">
      <c r="B520" s="39"/>
      <c r="C520" s="75">
        <v>515</v>
      </c>
      <c r="D520" s="110">
        <f>IF($C520&lt;=Entradas!$E$153,"",Observaciones!L520)</f>
        <v>0.81496587587328206</v>
      </c>
      <c r="E520" s="110">
        <f>IF($C520&lt;=Entradas!$E$153,"",Escenario1!BN521)</f>
        <v>0.74928024810637261</v>
      </c>
      <c r="F520" s="79">
        <f>IF($C520&lt;=Entradas!$E$153,"",D520-E520)</f>
        <v>6.5685627766909449E-2</v>
      </c>
      <c r="G520" s="79">
        <f>IF($C520&lt;=Entradas!$E$153,"",D520-AVERAGE(D:D))</f>
        <v>3.211425436170412E-2</v>
      </c>
      <c r="H520" s="79">
        <f>IF($C520&lt;=Entradas!$E$153,"",F520^2)</f>
        <v>4.3146016951329854E-3</v>
      </c>
      <c r="I520" s="79">
        <f>IF($C520&lt;=Entradas!$E$153,"",G520^2)</f>
        <v>1.0313253332082321E-3</v>
      </c>
      <c r="J520" s="79">
        <f>IF($C520&lt;=Entradas!$E$153,"",E520-AVERAGE(E:E))</f>
        <v>-8.1658892556812579E-2</v>
      </c>
      <c r="K520" s="79">
        <f>IF($C520&lt;=Entradas!$E$153,"",J520^2)</f>
        <v>6.668174733605061E-3</v>
      </c>
      <c r="L520" s="79">
        <f>IF($C520&lt;=Entradas!$E$153,"",G520*J520)</f>
        <v>-2.6224144464645463E-3</v>
      </c>
      <c r="M520" s="40"/>
    </row>
    <row r="521" spans="2:13">
      <c r="B521" s="39"/>
      <c r="C521" s="75">
        <v>516</v>
      </c>
      <c r="D521" s="110">
        <f>IF($C521&lt;=Entradas!$E$153,"",Observaciones!L521)</f>
        <v>0.8055740404773909</v>
      </c>
      <c r="E521" s="110">
        <f>IF($C521&lt;=Entradas!$E$153,"",Escenario1!BN522)</f>
        <v>0.74201964150836941</v>
      </c>
      <c r="F521" s="79">
        <f>IF($C521&lt;=Entradas!$E$153,"",D521-E521)</f>
        <v>6.3554398969021486E-2</v>
      </c>
      <c r="G521" s="79">
        <f>IF($C521&lt;=Entradas!$E$153,"",D521-AVERAGE(D:D))</f>
        <v>2.2722418965812952E-2</v>
      </c>
      <c r="H521" s="79">
        <f>IF($C521&lt;=Entradas!$E$153,"",F521^2)</f>
        <v>4.0391616283135595E-3</v>
      </c>
      <c r="I521" s="79">
        <f>IF($C521&lt;=Entradas!$E$153,"",G521^2)</f>
        <v>5.1630832365793611E-4</v>
      </c>
      <c r="J521" s="79">
        <f>IF($C521&lt;=Entradas!$E$153,"",E521-AVERAGE(E:E))</f>
        <v>-8.8919499154815784E-2</v>
      </c>
      <c r="K521" s="79">
        <f>IF($C521&lt;=Entradas!$E$153,"",J521^2)</f>
        <v>7.9066773299432853E-3</v>
      </c>
      <c r="L521" s="79">
        <f>IF($C521&lt;=Entradas!$E$153,"",G521*J521)</f>
        <v>-2.0204661140259747E-3</v>
      </c>
      <c r="M521" s="40"/>
    </row>
    <row r="522" spans="2:13">
      <c r="B522" s="39"/>
      <c r="C522" s="75">
        <v>517</v>
      </c>
      <c r="D522" s="110">
        <f>IF($C522&lt;=Entradas!$E$153,"",Observaciones!L522)</f>
        <v>0.79629556025474912</v>
      </c>
      <c r="E522" s="110">
        <f>IF($C522&lt;=Entradas!$E$153,"",Escenario1!BN523)</f>
        <v>0.73482836671795604</v>
      </c>
      <c r="F522" s="79">
        <f>IF($C522&lt;=Entradas!$E$153,"",D522-E522)</f>
        <v>6.1467193536793086E-2</v>
      </c>
      <c r="G522" s="79">
        <f>IF($C522&lt;=Entradas!$E$153,"",D522-AVERAGE(D:D))</f>
        <v>1.344393874317118E-2</v>
      </c>
      <c r="H522" s="79">
        <f>IF($C522&lt;=Entradas!$E$153,"",F522^2)</f>
        <v>3.7782158812895775E-3</v>
      </c>
      <c r="I522" s="79">
        <f>IF($C522&lt;=Entradas!$E$153,"",G522^2)</f>
        <v>1.8073948893013907E-4</v>
      </c>
      <c r="J522" s="79">
        <f>IF($C522&lt;=Entradas!$E$153,"",E522-AVERAGE(E:E))</f>
        <v>-9.6110773945229155E-2</v>
      </c>
      <c r="K522" s="79">
        <f>IF($C522&lt;=Entradas!$E$153,"",J522^2)</f>
        <v>9.2372808683509403E-3</v>
      </c>
      <c r="L522" s="79">
        <f>IF($C522&lt;=Entradas!$E$153,"",G522*J522)</f>
        <v>-1.2921073574784334E-3</v>
      </c>
      <c r="M522" s="40"/>
    </row>
    <row r="523" spans="2:13">
      <c r="B523" s="39"/>
      <c r="C523" s="75">
        <v>518</v>
      </c>
      <c r="D523" s="110">
        <f>IF($C523&lt;=Entradas!$E$153,"",Observaciones!L523)</f>
        <v>0.93958462625145722</v>
      </c>
      <c r="E523" s="110">
        <f>IF($C523&lt;=Entradas!$E$153,"",Escenario1!BN524)</f>
        <v>1.0373572619281461</v>
      </c>
      <c r="F523" s="79">
        <f>IF($C523&lt;=Entradas!$E$153,"",D523-E523)</f>
        <v>-9.7772635676688924E-2</v>
      </c>
      <c r="G523" s="79">
        <f>IF($C523&lt;=Entradas!$E$153,"",D523-AVERAGE(D:D))</f>
        <v>0.15673300473987928</v>
      </c>
      <c r="H523" s="79">
        <f>IF($C523&lt;=Entradas!$E$153,"",F523^2)</f>
        <v>9.5594882871665437E-3</v>
      </c>
      <c r="I523" s="79">
        <f>IF($C523&lt;=Entradas!$E$153,"",G523^2)</f>
        <v>2.4565234774791021E-2</v>
      </c>
      <c r="J523" s="79">
        <f>IF($C523&lt;=Entradas!$E$153,"",E523-AVERAGE(E:E))</f>
        <v>0.20641812126496095</v>
      </c>
      <c r="K523" s="79">
        <f>IF($C523&lt;=Entradas!$E$153,"",J523^2)</f>
        <v>4.2608440786556123E-2</v>
      </c>
      <c r="L523" s="79">
        <f>IF($C523&lt;=Entradas!$E$153,"",G523*J523)</f>
        <v>3.2352532378618098E-2</v>
      </c>
      <c r="M523" s="40"/>
    </row>
    <row r="524" spans="2:13">
      <c r="B524" s="39"/>
      <c r="C524" s="75">
        <v>519</v>
      </c>
      <c r="D524" s="110">
        <f>IF($C524&lt;=Entradas!$E$153,"",Observaciones!L524)</f>
        <v>0.93718541691504798</v>
      </c>
      <c r="E524" s="110">
        <f>IF($C524&lt;=Entradas!$E$153,"",Escenario1!BN525)</f>
        <v>1.0228886792222471</v>
      </c>
      <c r="F524" s="79">
        <f>IF($C524&lt;=Entradas!$E$153,"",D524-E524)</f>
        <v>-8.5703262307199157E-2</v>
      </c>
      <c r="G524" s="79">
        <f>IF($C524&lt;=Entradas!$E$153,"",D524-AVERAGE(D:D))</f>
        <v>0.15433379540347003</v>
      </c>
      <c r="H524" s="79">
        <f>IF($C524&lt;=Entradas!$E$153,"",F524^2)</f>
        <v>7.3450491700965837E-3</v>
      </c>
      <c r="I524" s="79">
        <f>IF($C524&lt;=Entradas!$E$153,"",G524^2)</f>
        <v>2.3818920403640146E-2</v>
      </c>
      <c r="J524" s="79">
        <f>IF($C524&lt;=Entradas!$E$153,"",E524-AVERAGE(E:E))</f>
        <v>0.19194953855906194</v>
      </c>
      <c r="K524" s="79">
        <f>IF($C524&lt;=Entradas!$E$153,"",J524^2)</f>
        <v>3.6844625353036807E-2</v>
      </c>
      <c r="L524" s="79">
        <f>IF($C524&lt;=Entradas!$E$153,"",G524*J524)</f>
        <v>2.9624300811764748E-2</v>
      </c>
      <c r="M524" s="40"/>
    </row>
    <row r="525" spans="2:13">
      <c r="B525" s="39"/>
      <c r="C525" s="75">
        <v>520</v>
      </c>
      <c r="D525" s="110">
        <f>IF($C525&lt;=Entradas!$E$153,"",Observaciones!L525)</f>
        <v>0.93430584829463126</v>
      </c>
      <c r="E525" s="110">
        <f>IF($C525&lt;=Entradas!$E$153,"",Escenario1!BN526)</f>
        <v>0.9653846196462248</v>
      </c>
      <c r="F525" s="79">
        <f>IF($C525&lt;=Entradas!$E$153,"",D525-E525)</f>
        <v>-3.1078771351593537E-2</v>
      </c>
      <c r="G525" s="79">
        <f>IF($C525&lt;=Entradas!$E$153,"",D525-AVERAGE(D:D))</f>
        <v>0.15145422678305331</v>
      </c>
      <c r="H525" s="79">
        <f>IF($C525&lt;=Entradas!$E$153,"",F525^2)</f>
        <v>9.6589002872463114E-4</v>
      </c>
      <c r="I525" s="79">
        <f>IF($C525&lt;=Entradas!$E$153,"",G525^2)</f>
        <v>2.2938382810452542E-2</v>
      </c>
      <c r="J525" s="79">
        <f>IF($C525&lt;=Entradas!$E$153,"",E525-AVERAGE(E:E))</f>
        <v>0.1344454789830396</v>
      </c>
      <c r="K525" s="79">
        <f>IF($C525&lt;=Entradas!$E$153,"",J525^2)</f>
        <v>1.8075586818978945E-2</v>
      </c>
      <c r="L525" s="79">
        <f>IF($C525&lt;=Entradas!$E$153,"",G525*J525)</f>
        <v>2.0362336063853508E-2</v>
      </c>
      <c r="M525" s="40"/>
    </row>
    <row r="526" spans="2:13">
      <c r="B526" s="39"/>
      <c r="C526" s="75">
        <v>521</v>
      </c>
      <c r="D526" s="110">
        <f>IF($C526&lt;=Entradas!$E$153,"",Observaciones!L526)</f>
        <v>0.93099563604460278</v>
      </c>
      <c r="E526" s="110">
        <f>IF($C526&lt;=Entradas!$E$153,"",Escenario1!BN527)</f>
        <v>0.91237593886131774</v>
      </c>
      <c r="F526" s="79">
        <f>IF($C526&lt;=Entradas!$E$153,"",D526-E526)</f>
        <v>1.8619697183285044E-2</v>
      </c>
      <c r="G526" s="79">
        <f>IF($C526&lt;=Entradas!$E$153,"",D526-AVERAGE(D:D))</f>
        <v>0.14814401453302484</v>
      </c>
      <c r="H526" s="79">
        <f>IF($C526&lt;=Entradas!$E$153,"",F526^2)</f>
        <v>3.4669312319723304E-4</v>
      </c>
      <c r="I526" s="79">
        <f>IF($C526&lt;=Entradas!$E$153,"",G526^2)</f>
        <v>2.1946649041961076E-2</v>
      </c>
      <c r="J526" s="79">
        <f>IF($C526&lt;=Entradas!$E$153,"",E526-AVERAGE(E:E))</f>
        <v>8.1436798198132543E-2</v>
      </c>
      <c r="K526" s="79">
        <f>IF($C526&lt;=Entradas!$E$153,"",J526^2)</f>
        <v>6.6319521007633638E-3</v>
      </c>
      <c r="L526" s="79">
        <f>IF($C526&lt;=Entradas!$E$153,"",G526*J526)</f>
        <v>1.2064374215787158E-2</v>
      </c>
      <c r="M526" s="40"/>
    </row>
    <row r="527" spans="2:13">
      <c r="B527" s="39"/>
      <c r="C527" s="75">
        <v>522</v>
      </c>
      <c r="D527" s="110">
        <f>IF($C527&lt;=Entradas!$E$153,"",Observaciones!L527)</f>
        <v>0.9197525447923347</v>
      </c>
      <c r="E527" s="110">
        <f>IF($C527&lt;=Entradas!$E$153,"",Escenario1!BN528)</f>
        <v>0.85996752513936947</v>
      </c>
      <c r="F527" s="79">
        <f>IF($C527&lt;=Entradas!$E$153,"",D527-E527)</f>
        <v>5.9785019652965232E-2</v>
      </c>
      <c r="G527" s="79">
        <f>IF($C527&lt;=Entradas!$E$153,"",D527-AVERAGE(D:D))</f>
        <v>0.13690092328075676</v>
      </c>
      <c r="H527" s="79">
        <f>IF($C527&lt;=Entradas!$E$153,"",F527^2)</f>
        <v>3.5742485749054391E-3</v>
      </c>
      <c r="I527" s="79">
        <f>IF($C527&lt;=Entradas!$E$153,"",G527^2)</f>
        <v>1.8741862795123649E-2</v>
      </c>
      <c r="J527" s="79">
        <f>IF($C527&lt;=Entradas!$E$153,"",E527-AVERAGE(E:E))</f>
        <v>2.9028384476184277E-2</v>
      </c>
      <c r="K527" s="79">
        <f>IF($C527&lt;=Entradas!$E$153,"",J527^2)</f>
        <v>8.4264710529717633E-4</v>
      </c>
      <c r="L527" s="79">
        <f>IF($C527&lt;=Entradas!$E$153,"",G527*J527)</f>
        <v>3.9740126361384144E-3</v>
      </c>
      <c r="M527" s="40"/>
    </row>
    <row r="528" spans="2:13">
      <c r="B528" s="39"/>
      <c r="C528" s="75">
        <v>523</v>
      </c>
      <c r="D528" s="110">
        <f>IF($C528&lt;=Entradas!$E$153,"",Observaciones!L528)</f>
        <v>0.86325164925978148</v>
      </c>
      <c r="E528" s="110">
        <f>IF($C528&lt;=Entradas!$E$153,"",Escenario1!BN529)</f>
        <v>0.81020847157166931</v>
      </c>
      <c r="F528" s="79">
        <f>IF($C528&lt;=Entradas!$E$153,"",D528-E528)</f>
        <v>5.3043177688112175E-2</v>
      </c>
      <c r="G528" s="79">
        <f>IF($C528&lt;=Entradas!$E$153,"",D528-AVERAGE(D:D))</f>
        <v>8.040002774820354E-2</v>
      </c>
      <c r="H528" s="79">
        <f>IF($C528&lt;=Entradas!$E$153,"",F528^2)</f>
        <v>2.8135786992526412E-3</v>
      </c>
      <c r="I528" s="79">
        <f>IF($C528&lt;=Entradas!$E$153,"",G528^2)</f>
        <v>6.464164461911899E-3</v>
      </c>
      <c r="J528" s="79">
        <f>IF($C528&lt;=Entradas!$E$153,"",E528-AVERAGE(E:E))</f>
        <v>-2.0730669091515885E-2</v>
      </c>
      <c r="K528" s="79">
        <f>IF($C528&lt;=Entradas!$E$153,"",J528^2)</f>
        <v>4.2976064098193209E-4</v>
      </c>
      <c r="L528" s="79">
        <f>IF($C528&lt;=Entradas!$E$153,"",G528*J528)</f>
        <v>-1.6667463701967027E-3</v>
      </c>
      <c r="M528" s="40"/>
    </row>
    <row r="529" spans="2:13">
      <c r="B529" s="39"/>
      <c r="C529" s="75">
        <v>524</v>
      </c>
      <c r="D529" s="110">
        <f>IF($C529&lt;=Entradas!$E$153,"",Observaciones!L529)</f>
        <v>0.80809867132944069</v>
      </c>
      <c r="E529" s="110">
        <f>IF($C529&lt;=Entradas!$E$153,"",Escenario1!BN530)</f>
        <v>0.76163862873138755</v>
      </c>
      <c r="F529" s="79">
        <f>IF($C529&lt;=Entradas!$E$153,"",D529-E529)</f>
        <v>4.6460042598053142E-2</v>
      </c>
      <c r="G529" s="79">
        <f>IF($C529&lt;=Entradas!$E$153,"",D529-AVERAGE(D:D))</f>
        <v>2.5247049817862743E-2</v>
      </c>
      <c r="H529" s="79">
        <f>IF($C529&lt;=Entradas!$E$153,"",F529^2)</f>
        <v>2.1585355582129126E-3</v>
      </c>
      <c r="I529" s="79">
        <f>IF($C529&lt;=Entradas!$E$153,"",G529^2)</f>
        <v>6.3741352450564321E-4</v>
      </c>
      <c r="J529" s="79">
        <f>IF($C529&lt;=Entradas!$E$153,"",E529-AVERAGE(E:E))</f>
        <v>-6.9300511931797648E-2</v>
      </c>
      <c r="K529" s="79">
        <f>IF($C529&lt;=Entradas!$E$153,"",J529^2)</f>
        <v>4.8025609540092284E-3</v>
      </c>
      <c r="L529" s="79">
        <f>IF($C529&lt;=Entradas!$E$153,"",G529*J529)</f>
        <v>-1.7496334771454868E-3</v>
      </c>
      <c r="M529" s="40"/>
    </row>
    <row r="530" spans="2:13">
      <c r="B530" s="39"/>
      <c r="C530" s="75">
        <v>525</v>
      </c>
      <c r="D530" s="110">
        <f>IF($C530&lt;=Entradas!$E$153,"",Observaciones!L530)</f>
        <v>0.81481017659428956</v>
      </c>
      <c r="E530" s="110">
        <f>IF($C530&lt;=Entradas!$E$153,"",Escenario1!BN531)</f>
        <v>0.76752102459972249</v>
      </c>
      <c r="F530" s="79">
        <f>IF($C530&lt;=Entradas!$E$153,"",D530-E530)</f>
        <v>4.7289151994567069E-2</v>
      </c>
      <c r="G530" s="79">
        <f>IF($C530&lt;=Entradas!$E$153,"",D530-AVERAGE(D:D))</f>
        <v>3.1958555082711615E-2</v>
      </c>
      <c r="H530" s="79">
        <f>IF($C530&lt;=Entradas!$E$153,"",F530^2)</f>
        <v>2.2362638963652668E-3</v>
      </c>
      <c r="I530" s="79">
        <f>IF($C530&lt;=Entradas!$E$153,"",G530^2)</f>
        <v>1.0213492429747124E-3</v>
      </c>
      <c r="J530" s="79">
        <f>IF($C530&lt;=Entradas!$E$153,"",E530-AVERAGE(E:E))</f>
        <v>-6.3418116063462704E-2</v>
      </c>
      <c r="K530" s="79">
        <f>IF($C530&lt;=Entradas!$E$153,"",J530^2)</f>
        <v>4.0218574450388263E-3</v>
      </c>
      <c r="L530" s="79">
        <f>IF($C530&lt;=Entradas!$E$153,"",G530*J530)</f>
        <v>-2.0267513554559709E-3</v>
      </c>
      <c r="M530" s="40"/>
    </row>
    <row r="531" spans="2:13">
      <c r="B531" s="39"/>
      <c r="C531" s="75">
        <v>526</v>
      </c>
      <c r="D531" s="110">
        <f>IF($C531&lt;=Entradas!$E$153,"",Observaciones!L531)</f>
        <v>0.80834704725331585</v>
      </c>
      <c r="E531" s="110">
        <f>IF($C531&lt;=Entradas!$E$153,"",Escenario1!BN532)</f>
        <v>0.76181880094424925</v>
      </c>
      <c r="F531" s="79">
        <f>IF($C531&lt;=Entradas!$E$153,"",D531-E531)</f>
        <v>4.6528246309066601E-2</v>
      </c>
      <c r="G531" s="79">
        <f>IF($C531&lt;=Entradas!$E$153,"",D531-AVERAGE(D:D))</f>
        <v>2.5495425741737909E-2</v>
      </c>
      <c r="H531" s="79">
        <f>IF($C531&lt;=Entradas!$E$153,"",F531^2)</f>
        <v>2.1648777045971696E-3</v>
      </c>
      <c r="I531" s="79">
        <f>IF($C531&lt;=Entradas!$E$153,"",G531^2)</f>
        <v>6.5001673375247198E-4</v>
      </c>
      <c r="J531" s="79">
        <f>IF($C531&lt;=Entradas!$E$153,"",E531-AVERAGE(E:E))</f>
        <v>-6.9120339718935941E-2</v>
      </c>
      <c r="K531" s="79">
        <f>IF($C531&lt;=Entradas!$E$153,"",J531^2)</f>
        <v>4.7776213628611137E-3</v>
      </c>
      <c r="L531" s="79">
        <f>IF($C531&lt;=Entradas!$E$153,"",G531*J531)</f>
        <v>-1.7622524885478287E-3</v>
      </c>
      <c r="M531" s="40"/>
    </row>
    <row r="532" spans="2:13">
      <c r="B532" s="39"/>
      <c r="C532" s="75">
        <v>527</v>
      </c>
      <c r="D532" s="110">
        <f>IF($C532&lt;=Entradas!$E$153,"",Observaciones!L532)</f>
        <v>0.76639070978628598</v>
      </c>
      <c r="E532" s="110">
        <f>IF($C532&lt;=Entradas!$E$153,"",Escenario1!BN533)</f>
        <v>0.72487863077356884</v>
      </c>
      <c r="F532" s="79">
        <f>IF($C532&lt;=Entradas!$E$153,"",D532-E532)</f>
        <v>4.151207901271714E-2</v>
      </c>
      <c r="G532" s="79">
        <f>IF($C532&lt;=Entradas!$E$153,"",D532-AVERAGE(D:D))</f>
        <v>-1.646091172529196E-2</v>
      </c>
      <c r="H532" s="79">
        <f>IF($C532&lt;=Entradas!$E$153,"",F532^2)</f>
        <v>1.7232527039580709E-3</v>
      </c>
      <c r="I532" s="79">
        <f>IF($C532&lt;=Entradas!$E$153,"",G532^2)</f>
        <v>2.7096161482785433E-4</v>
      </c>
      <c r="J532" s="79">
        <f>IF($C532&lt;=Entradas!$E$153,"",E532-AVERAGE(E:E))</f>
        <v>-0.10606050988961635</v>
      </c>
      <c r="K532" s="79">
        <f>IF($C532&lt;=Entradas!$E$153,"",J532^2)</f>
        <v>1.1248831758045407E-2</v>
      </c>
      <c r="L532" s="79">
        <f>IF($C532&lt;=Entradas!$E$153,"",G532*J532)</f>
        <v>1.7458526908324297E-3</v>
      </c>
      <c r="M532" s="40"/>
    </row>
    <row r="533" spans="2:13">
      <c r="B533" s="39"/>
      <c r="C533" s="75">
        <v>528</v>
      </c>
      <c r="D533" s="110">
        <f>IF($C533&lt;=Entradas!$E$153,"",Observaciones!L533)</f>
        <v>0.71915050650717716</v>
      </c>
      <c r="E533" s="110">
        <f>IF($C533&lt;=Entradas!$E$153,"",Escenario1!BN534)</f>
        <v>0.6785980542847625</v>
      </c>
      <c r="F533" s="79">
        <f>IF($C533&lt;=Entradas!$E$153,"",D533-E533)</f>
        <v>4.0552452222414659E-2</v>
      </c>
      <c r="G533" s="79">
        <f>IF($C533&lt;=Entradas!$E$153,"",D533-AVERAGE(D:D))</f>
        <v>-6.3701115004400788E-2</v>
      </c>
      <c r="H533" s="79">
        <f>IF($C533&lt;=Entradas!$E$153,"",F533^2)</f>
        <v>1.6445013812512236E-3</v>
      </c>
      <c r="I533" s="79">
        <f>IF($C533&lt;=Entradas!$E$153,"",G533^2)</f>
        <v>4.0578320528038949E-3</v>
      </c>
      <c r="J533" s="79">
        <f>IF($C533&lt;=Entradas!$E$153,"",E533-AVERAGE(E:E))</f>
        <v>-0.1523410863784227</v>
      </c>
      <c r="K533" s="79">
        <f>IF($C533&lt;=Entradas!$E$153,"",J533^2)</f>
        <v>2.3207806598958044E-2</v>
      </c>
      <c r="L533" s="79">
        <f>IF($C533&lt;=Entradas!$E$153,"",G533*J533)</f>
        <v>9.704297063287258E-3</v>
      </c>
      <c r="M533" s="40"/>
    </row>
    <row r="534" spans="2:13">
      <c r="B534" s="39"/>
      <c r="C534" s="75">
        <v>529</v>
      </c>
      <c r="D534" s="110">
        <f>IF($C534&lt;=Entradas!$E$153,"",Observaciones!L534)</f>
        <v>0.70450636764795949</v>
      </c>
      <c r="E534" s="110">
        <f>IF($C534&lt;=Entradas!$E$153,"",Escenario1!BN535)</f>
        <v>0.65668202547283805</v>
      </c>
      <c r="F534" s="79">
        <f>IF($C534&lt;=Entradas!$E$153,"",D534-E534)</f>
        <v>4.7824342175121437E-2</v>
      </c>
      <c r="G534" s="79">
        <f>IF($C534&lt;=Entradas!$E$153,"",D534-AVERAGE(D:D))</f>
        <v>-7.8345253863618458E-2</v>
      </c>
      <c r="H534" s="79">
        <f>IF($C534&lt;=Entradas!$E$153,"",F534^2)</f>
        <v>2.2871677044830991E-3</v>
      </c>
      <c r="I534" s="79">
        <f>IF($C534&lt;=Entradas!$E$153,"",G534^2)</f>
        <v>6.137978802954823E-3</v>
      </c>
      <c r="J534" s="79">
        <f>IF($C534&lt;=Entradas!$E$153,"",E534-AVERAGE(E:E))</f>
        <v>-0.17425711519034714</v>
      </c>
      <c r="K534" s="79">
        <f>IF($C534&lt;=Entradas!$E$153,"",J534^2)</f>
        <v>3.0365542194461914E-2</v>
      </c>
      <c r="L534" s="79">
        <f>IF($C534&lt;=Entradas!$E$153,"",G534*J534)</f>
        <v>1.3652217927129551E-2</v>
      </c>
      <c r="M534" s="40"/>
    </row>
    <row r="535" spans="2:13">
      <c r="B535" s="39"/>
      <c r="C535" s="75">
        <v>530</v>
      </c>
      <c r="D535" s="110">
        <f>IF($C535&lt;=Entradas!$E$153,"",Observaciones!L535)</f>
        <v>0.69535301692134754</v>
      </c>
      <c r="E535" s="110">
        <f>IF($C535&lt;=Entradas!$E$153,"",Escenario1!BN536)</f>
        <v>0.64777140602248606</v>
      </c>
      <c r="F535" s="79">
        <f>IF($C535&lt;=Entradas!$E$153,"",D535-E535)</f>
        <v>4.7581610898861482E-2</v>
      </c>
      <c r="G535" s="79">
        <f>IF($C535&lt;=Entradas!$E$153,"",D535-AVERAGE(D:D))</f>
        <v>-8.74986045902304E-2</v>
      </c>
      <c r="H535" s="79">
        <f>IF($C535&lt;=Entradas!$E$153,"",F535^2)</f>
        <v>2.2640096957306536E-3</v>
      </c>
      <c r="I535" s="79">
        <f>IF($C535&lt;=Entradas!$E$153,"",G535^2)</f>
        <v>7.6560058052374882E-3</v>
      </c>
      <c r="J535" s="79">
        <f>IF($C535&lt;=Entradas!$E$153,"",E535-AVERAGE(E:E))</f>
        <v>-0.18316773464069913</v>
      </c>
      <c r="K535" s="79">
        <f>IF($C535&lt;=Entradas!$E$153,"",J535^2)</f>
        <v>3.3550419013405573E-2</v>
      </c>
      <c r="L535" s="79">
        <f>IF($C535&lt;=Entradas!$E$153,"",G535*J535)</f>
        <v>1.6026921187014782E-2</v>
      </c>
      <c r="M535" s="40"/>
    </row>
    <row r="536" spans="2:13">
      <c r="B536" s="39"/>
      <c r="C536" s="75">
        <v>531</v>
      </c>
      <c r="D536" s="110">
        <f>IF($C536&lt;=Entradas!$E$153,"",Observaciones!L536)</f>
        <v>0.6871916699564028</v>
      </c>
      <c r="E536" s="110">
        <f>IF($C536&lt;=Entradas!$E$153,"",Escenario1!BN537)</f>
        <v>0.64134928352254039</v>
      </c>
      <c r="F536" s="79">
        <f>IF($C536&lt;=Entradas!$E$153,"",D536-E536)</f>
        <v>4.5842386433862403E-2</v>
      </c>
      <c r="G536" s="79">
        <f>IF($C536&lt;=Entradas!$E$153,"",D536-AVERAGE(D:D))</f>
        <v>-9.5659951555175149E-2</v>
      </c>
      <c r="H536" s="79">
        <f>IF($C536&lt;=Entradas!$E$153,"",F536^2)</f>
        <v>2.1015243939515719E-3</v>
      </c>
      <c r="I536" s="79">
        <f>IF($C536&lt;=Entradas!$E$153,"",G536^2)</f>
        <v>9.1508263315384572E-3</v>
      </c>
      <c r="J536" s="79">
        <f>IF($C536&lt;=Entradas!$E$153,"",E536-AVERAGE(E:E))</f>
        <v>-0.1895898571406448</v>
      </c>
      <c r="K536" s="79">
        <f>IF($C536&lt;=Entradas!$E$153,"",J536^2)</f>
        <v>3.5944313930610101E-2</v>
      </c>
      <c r="L536" s="79">
        <f>IF($C536&lt;=Entradas!$E$153,"",G536*J536)</f>
        <v>1.8136156549426657E-2</v>
      </c>
      <c r="M536" s="40"/>
    </row>
    <row r="537" spans="2:13">
      <c r="B537" s="39"/>
      <c r="C537" s="75">
        <v>532</v>
      </c>
      <c r="D537" s="110">
        <f>IF($C537&lt;=Entradas!$E$153,"",Observaciones!L537)</f>
        <v>0.67927479432469462</v>
      </c>
      <c r="E537" s="110">
        <f>IF($C537&lt;=Entradas!$E$153,"",Escenario1!BN538)</f>
        <v>0.63514325958122886</v>
      </c>
      <c r="F537" s="79">
        <f>IF($C537&lt;=Entradas!$E$153,"",D537-E537)</f>
        <v>4.4131534743465761E-2</v>
      </c>
      <c r="G537" s="79">
        <f>IF($C537&lt;=Entradas!$E$153,"",D537-AVERAGE(D:D))</f>
        <v>-0.10357682718688332</v>
      </c>
      <c r="H537" s="79">
        <f>IF($C537&lt;=Entradas!$E$153,"",F537^2)</f>
        <v>1.9475923588137256E-3</v>
      </c>
      <c r="I537" s="79">
        <f>IF($C537&lt;=Entradas!$E$153,"",G537^2)</f>
        <v>1.0728159130101493E-2</v>
      </c>
      <c r="J537" s="79">
        <f>IF($C537&lt;=Entradas!$E$153,"",E537-AVERAGE(E:E))</f>
        <v>-0.19579588108195634</v>
      </c>
      <c r="K537" s="79">
        <f>IF($C537&lt;=Entradas!$E$153,"",J537^2)</f>
        <v>3.8336027048659585E-2</v>
      </c>
      <c r="L537" s="79">
        <f>IF($C537&lt;=Entradas!$E$153,"",G537*J537)</f>
        <v>2.0279916138729349E-2</v>
      </c>
      <c r="M537" s="40"/>
    </row>
    <row r="538" spans="2:13">
      <c r="B538" s="39"/>
      <c r="C538" s="75">
        <v>533</v>
      </c>
      <c r="D538" s="110">
        <f>IF($C538&lt;=Entradas!$E$153,"",Observaciones!L538)</f>
        <v>0.67147734005033177</v>
      </c>
      <c r="E538" s="110">
        <f>IF($C538&lt;=Entradas!$E$153,"",Escenario1!BN539)</f>
        <v>0.62899627405015857</v>
      </c>
      <c r="F538" s="79">
        <f>IF($C538&lt;=Entradas!$E$153,"",D538-E538)</f>
        <v>4.2481066000173207E-2</v>
      </c>
      <c r="G538" s="79">
        <f>IF($C538&lt;=Entradas!$E$153,"",D538-AVERAGE(D:D))</f>
        <v>-0.11137428146124617</v>
      </c>
      <c r="H538" s="79">
        <f>IF($C538&lt;=Entradas!$E$153,"",F538^2)</f>
        <v>1.8046409685110721E-3</v>
      </c>
      <c r="I538" s="79">
        <f>IF($C538&lt;=Entradas!$E$153,"",G538^2)</f>
        <v>1.2404230571008883E-2</v>
      </c>
      <c r="J538" s="79">
        <f>IF($C538&lt;=Entradas!$E$153,"",E538-AVERAGE(E:E))</f>
        <v>-0.20194286661302663</v>
      </c>
      <c r="K538" s="79">
        <f>IF($C538&lt;=Entradas!$E$153,"",J538^2)</f>
        <v>4.0780921375886667E-2</v>
      </c>
      <c r="L538" s="79">
        <f>IF($C538&lt;=Entradas!$E$153,"",G538*J538)</f>
        <v>2.2491241665250121E-2</v>
      </c>
      <c r="M538" s="40"/>
    </row>
    <row r="539" spans="2:13">
      <c r="B539" s="39"/>
      <c r="C539" s="75">
        <v>534</v>
      </c>
      <c r="D539" s="110">
        <f>IF($C539&lt;=Entradas!$E$153,"",Observaciones!L539)</f>
        <v>0.66377756290169154</v>
      </c>
      <c r="E539" s="110">
        <f>IF($C539&lt;=Entradas!$E$153,"",Escenario1!BN540)</f>
        <v>0.62290777759777327</v>
      </c>
      <c r="F539" s="79">
        <f>IF($C539&lt;=Entradas!$E$153,"",D539-E539)</f>
        <v>4.0869785303918271E-2</v>
      </c>
      <c r="G539" s="79">
        <f>IF($C539&lt;=Entradas!$E$153,"",D539-AVERAGE(D:D))</f>
        <v>-0.1190740586098864</v>
      </c>
      <c r="H539" s="79">
        <f>IF($C539&lt;=Entradas!$E$153,"",F539^2)</f>
        <v>1.6703393507883739E-3</v>
      </c>
      <c r="I539" s="79">
        <f>IF($C539&lt;=Entradas!$E$153,"",G539^2)</f>
        <v>1.4178631433830661E-2</v>
      </c>
      <c r="J539" s="79">
        <f>IF($C539&lt;=Entradas!$E$153,"",E539-AVERAGE(E:E))</f>
        <v>-0.20803136306541192</v>
      </c>
      <c r="K539" s="79">
        <f>IF($C539&lt;=Entradas!$E$153,"",J539^2)</f>
        <v>4.327704801885323E-2</v>
      </c>
      <c r="L539" s="79">
        <f>IF($C539&lt;=Entradas!$E$153,"",G539*J539)</f>
        <v>2.4771138718345416E-2</v>
      </c>
      <c r="M539" s="40"/>
    </row>
    <row r="540" spans="2:13">
      <c r="B540" s="39"/>
      <c r="C540" s="75">
        <v>535</v>
      </c>
      <c r="D540" s="110">
        <f>IF($C540&lt;=Entradas!$E$153,"",Observaciones!L540)</f>
        <v>0.65617087393195539</v>
      </c>
      <c r="E540" s="110">
        <f>IF($C540&lt;=Entradas!$E$153,"",Escenario1!BN541)</f>
        <v>0.61687721587319011</v>
      </c>
      <c r="F540" s="79">
        <f>IF($C540&lt;=Entradas!$E$153,"",D540-E540)</f>
        <v>3.929365805876528E-2</v>
      </c>
      <c r="G540" s="79">
        <f>IF($C540&lt;=Entradas!$E$153,"",D540-AVERAGE(D:D))</f>
        <v>-0.12668074757962255</v>
      </c>
      <c r="H540" s="79">
        <f>IF($C540&lt;=Entradas!$E$153,"",F540^2)</f>
        <v>1.5439915636391696E-3</v>
      </c>
      <c r="I540" s="79">
        <f>IF($C540&lt;=Entradas!$E$153,"",G540^2)</f>
        <v>1.6048011807332046E-2</v>
      </c>
      <c r="J540" s="79">
        <f>IF($C540&lt;=Entradas!$E$153,"",E540-AVERAGE(E:E))</f>
        <v>-0.21406192478999508</v>
      </c>
      <c r="K540" s="79">
        <f>IF($C540&lt;=Entradas!$E$153,"",J540^2)</f>
        <v>4.5822507644797512E-2</v>
      </c>
      <c r="L540" s="79">
        <f>IF($C540&lt;=Entradas!$E$153,"",G540*J540)</f>
        <v>2.7117524660729517E-2</v>
      </c>
      <c r="M540" s="40"/>
    </row>
    <row r="541" spans="2:13">
      <c r="B541" s="39"/>
      <c r="C541" s="75">
        <v>536</v>
      </c>
      <c r="D541" s="110">
        <f>IF($C541&lt;=Entradas!$E$153,"",Observaciones!L541)</f>
        <v>0.64865554380828405</v>
      </c>
      <c r="E541" s="110">
        <f>IF($C541&lt;=Entradas!$E$153,"",Escenario1!BN542)</f>
        <v>0.61090403550720795</v>
      </c>
      <c r="F541" s="79">
        <f>IF($C541&lt;=Entradas!$E$153,"",D541-E541)</f>
        <v>3.7751508301076098E-2</v>
      </c>
      <c r="G541" s="79">
        <f>IF($C541&lt;=Entradas!$E$153,"",D541-AVERAGE(D:D))</f>
        <v>-0.13419607770329389</v>
      </c>
      <c r="H541" s="79">
        <f>IF($C541&lt;=Entradas!$E$153,"",F541^2)</f>
        <v>1.4251763790062175E-3</v>
      </c>
      <c r="I541" s="79">
        <f>IF($C541&lt;=Entradas!$E$153,"",G541^2)</f>
        <v>1.8008587270948492E-2</v>
      </c>
      <c r="J541" s="79">
        <f>IF($C541&lt;=Entradas!$E$153,"",E541-AVERAGE(E:E))</f>
        <v>-0.22003510515597724</v>
      </c>
      <c r="K541" s="79">
        <f>IF($C541&lt;=Entradas!$E$153,"",J541^2)</f>
        <v>4.8415447501001962E-2</v>
      </c>
      <c r="L541" s="79">
        <f>IF($C541&lt;=Entradas!$E$153,"",G541*J541)</f>
        <v>2.9527848068963965E-2</v>
      </c>
      <c r="M541" s="40"/>
    </row>
    <row r="542" spans="2:13">
      <c r="B542" s="39"/>
      <c r="C542" s="75">
        <v>537</v>
      </c>
      <c r="D542" s="110">
        <f>IF($C542&lt;=Entradas!$E$153,"",Observaciones!L542)</f>
        <v>0.64123033046338151</v>
      </c>
      <c r="E542" s="110">
        <f>IF($C542&lt;=Entradas!$E$153,"",Escenario1!BN543)</f>
        <v>0.6049876836605721</v>
      </c>
      <c r="F542" s="79">
        <f>IF($C542&lt;=Entradas!$E$153,"",D542-E542)</f>
        <v>3.624264680280942E-2</v>
      </c>
      <c r="G542" s="79">
        <f>IF($C542&lt;=Entradas!$E$153,"",D542-AVERAGE(D:D))</f>
        <v>-0.14162129104819643</v>
      </c>
      <c r="H542" s="79">
        <f>IF($C542&lt;=Entradas!$E$153,"",F542^2)</f>
        <v>1.3135294472731919E-3</v>
      </c>
      <c r="I542" s="79">
        <f>IF($C542&lt;=Entradas!$E$153,"",G542^2)</f>
        <v>2.0056590078157962E-2</v>
      </c>
      <c r="J542" s="79">
        <f>IF($C542&lt;=Entradas!$E$153,"",E542-AVERAGE(E:E))</f>
        <v>-0.2259514570026131</v>
      </c>
      <c r="K542" s="79">
        <f>IF($C542&lt;=Entradas!$E$153,"",J542^2)</f>
        <v>5.1054060921603715E-2</v>
      </c>
      <c r="L542" s="79">
        <f>IF($C542&lt;=Entradas!$E$153,"",G542*J542)</f>
        <v>3.199953705493111E-2</v>
      </c>
      <c r="M542" s="40"/>
    </row>
    <row r="543" spans="2:13">
      <c r="B543" s="39"/>
      <c r="C543" s="75">
        <v>538</v>
      </c>
      <c r="D543" s="110">
        <f>IF($C543&lt;=Entradas!$E$153,"",Observaciones!L543)</f>
        <v>0.63389408526191504</v>
      </c>
      <c r="E543" s="110">
        <f>IF($C543&lt;=Entradas!$E$153,"",Escenario1!BN544)</f>
        <v>0.59912762264100494</v>
      </c>
      <c r="F543" s="79">
        <f>IF($C543&lt;=Entradas!$E$153,"",D543-E543)</f>
        <v>3.4766462620910099E-2</v>
      </c>
      <c r="G543" s="79">
        <f>IF($C543&lt;=Entradas!$E$153,"",D543-AVERAGE(D:D))</f>
        <v>-0.1489575362496629</v>
      </c>
      <c r="H543" s="79">
        <f>IF($C543&lt;=Entradas!$E$153,"",F543^2)</f>
        <v>1.2087069231711391E-3</v>
      </c>
      <c r="I543" s="79">
        <f>IF($C543&lt;=Entradas!$E$153,"",G543^2)</f>
        <v>2.2188347605569637E-2</v>
      </c>
      <c r="J543" s="79">
        <f>IF($C543&lt;=Entradas!$E$153,"",E543-AVERAGE(E:E))</f>
        <v>-0.23181151802218025</v>
      </c>
      <c r="K543" s="79">
        <f>IF($C543&lt;=Entradas!$E$153,"",J543^2)</f>
        <v>5.3736579887747597E-2</v>
      </c>
      <c r="L543" s="79">
        <f>IF($C543&lt;=Entradas!$E$153,"",G543*J543)</f>
        <v>3.4530072598878303E-2</v>
      </c>
      <c r="M543" s="40"/>
    </row>
    <row r="544" spans="2:13">
      <c r="B544" s="39"/>
      <c r="C544" s="75">
        <v>539</v>
      </c>
      <c r="D544" s="110">
        <f>IF($C544&lt;=Entradas!$E$153,"",Observaciones!L544)</f>
        <v>0.62664568747690041</v>
      </c>
      <c r="E544" s="110">
        <f>IF($C544&lt;=Entradas!$E$153,"",Escenario1!BN545)</f>
        <v>0.59332331568794983</v>
      </c>
      <c r="F544" s="79">
        <f>IF($C544&lt;=Entradas!$E$153,"",D544-E544)</f>
        <v>3.3322371788950589E-2</v>
      </c>
      <c r="G544" s="79">
        <f>IF($C544&lt;=Entradas!$E$153,"",D544-AVERAGE(D:D))</f>
        <v>-0.15620593403467753</v>
      </c>
      <c r="H544" s="79">
        <f>IF($C544&lt;=Entradas!$E$153,"",F544^2)</f>
        <v>1.11038046164105E-3</v>
      </c>
      <c r="I544" s="79">
        <f>IF($C544&lt;=Entradas!$E$153,"",G544^2)</f>
        <v>2.4400293827646028E-2</v>
      </c>
      <c r="J544" s="79">
        <f>IF($C544&lt;=Entradas!$E$153,"",E544-AVERAGE(E:E))</f>
        <v>-0.23761582497523537</v>
      </c>
      <c r="K544" s="79">
        <f>IF($C544&lt;=Entradas!$E$153,"",J544^2)</f>
        <v>5.6461280278661687E-2</v>
      </c>
      <c r="L544" s="79">
        <f>IF($C544&lt;=Entradas!$E$153,"",G544*J544)</f>
        <v>3.7117001881677096E-2</v>
      </c>
      <c r="M544" s="40"/>
    </row>
    <row r="545" spans="2:13">
      <c r="B545" s="39"/>
      <c r="C545" s="75">
        <v>540</v>
      </c>
      <c r="D545" s="110">
        <f>IF($C545&lt;=Entradas!$E$153,"",Observaciones!L545)</f>
        <v>0.61948403324707491</v>
      </c>
      <c r="E545" s="110">
        <f>IF($C545&lt;=Entradas!$E$153,"",Escenario1!BN546)</f>
        <v>0.58757421884389072</v>
      </c>
      <c r="F545" s="79">
        <f>IF($C545&lt;=Entradas!$E$153,"",D545-E545)</f>
        <v>3.1909814403184189E-2</v>
      </c>
      <c r="G545" s="79">
        <f>IF($C545&lt;=Entradas!$E$153,"",D545-AVERAGE(D:D))</f>
        <v>-0.16336758826450304</v>
      </c>
      <c r="H545" s="79">
        <f>IF($C545&lt;=Entradas!$E$153,"",F545^2)</f>
        <v>1.018236255245661E-3</v>
      </c>
      <c r="I545" s="79">
        <f>IF($C545&lt;=Entradas!$E$153,"",G545^2)</f>
        <v>2.6688968895360193E-2</v>
      </c>
      <c r="J545" s="79">
        <f>IF($C545&lt;=Entradas!$E$153,"",E545-AVERAGE(E:E))</f>
        <v>-0.24336492181929448</v>
      </c>
      <c r="K545" s="79">
        <f>IF($C545&lt;=Entradas!$E$153,"",J545^2)</f>
        <v>5.9226485172111314E-2</v>
      </c>
      <c r="L545" s="79">
        <f>IF($C545&lt;=Entradas!$E$153,"",G545*J545)</f>
        <v>3.9757940345797473E-2</v>
      </c>
      <c r="M545" s="40"/>
    </row>
    <row r="546" spans="2:13">
      <c r="B546" s="39"/>
      <c r="C546" s="75">
        <v>541</v>
      </c>
      <c r="D546" s="110">
        <f>IF($C546&lt;=Entradas!$E$153,"",Observaciones!L546)</f>
        <v>0.61240803357704732</v>
      </c>
      <c r="E546" s="110">
        <f>IF($C546&lt;=Entradas!$E$153,"",Escenario1!BN547)</f>
        <v>0.58187981838447311</v>
      </c>
      <c r="F546" s="79">
        <f>IF($C546&lt;=Entradas!$E$153,"",D546-E546)</f>
        <v>3.0528215192574204E-2</v>
      </c>
      <c r="G546" s="79">
        <f>IF($C546&lt;=Entradas!$E$153,"",D546-AVERAGE(D:D))</f>
        <v>-0.17044358793453063</v>
      </c>
      <c r="H546" s="79">
        <f>IF($C546&lt;=Entradas!$E$153,"",F546^2)</f>
        <v>9.3197192284411848E-4</v>
      </c>
      <c r="I546" s="79">
        <f>IF($C546&lt;=Entradas!$E$153,"",G546^2)</f>
        <v>2.9051016667996074E-2</v>
      </c>
      <c r="J546" s="79">
        <f>IF($C546&lt;=Entradas!$E$153,"",E546-AVERAGE(E:E))</f>
        <v>-0.24905932227871208</v>
      </c>
      <c r="K546" s="79">
        <f>IF($C546&lt;=Entradas!$E$153,"",J546^2)</f>
        <v>6.2030546013931369E-2</v>
      </c>
      <c r="L546" s="79">
        <f>IF($C546&lt;=Entradas!$E$153,"",G546*J546)</f>
        <v>4.2450564497726266E-2</v>
      </c>
      <c r="M546" s="40"/>
    </row>
    <row r="547" spans="2:13">
      <c r="B547" s="39"/>
      <c r="C547" s="75">
        <v>542</v>
      </c>
      <c r="D547" s="110">
        <f>IF($C547&lt;=Entradas!$E$153,"",Observaciones!L547)</f>
        <v>0.6054166138403424</v>
      </c>
      <c r="E547" s="110">
        <f>IF($C547&lt;=Entradas!$E$153,"",Escenario1!BN548)</f>
        <v>0.57623959362951405</v>
      </c>
      <c r="F547" s="79">
        <f>IF($C547&lt;=Entradas!$E$153,"",D547-E547)</f>
        <v>2.9177020210828353E-2</v>
      </c>
      <c r="G547" s="79">
        <f>IF($C547&lt;=Entradas!$E$153,"",D547-AVERAGE(D:D))</f>
        <v>-0.17743500767123555</v>
      </c>
      <c r="H547" s="79">
        <f>IF($C547&lt;=Entradas!$E$153,"",F547^2)</f>
        <v>8.5129850838308618E-4</v>
      </c>
      <c r="I547" s="79">
        <f>IF($C547&lt;=Entradas!$E$153,"",G547^2)</f>
        <v>3.1483181947291418E-2</v>
      </c>
      <c r="J547" s="79">
        <f>IF($C547&lt;=Entradas!$E$153,"",E547-AVERAGE(E:E))</f>
        <v>-0.25469954703367115</v>
      </c>
      <c r="K547" s="79">
        <f>IF($C547&lt;=Entradas!$E$153,"",J547^2)</f>
        <v>6.4871859259157255E-2</v>
      </c>
      <c r="L547" s="79">
        <f>IF($C547&lt;=Entradas!$E$153,"",G547*J547)</f>
        <v>4.5192616081779657E-2</v>
      </c>
      <c r="M547" s="40"/>
    </row>
    <row r="548" spans="2:13">
      <c r="B548" s="39"/>
      <c r="C548" s="75">
        <v>543</v>
      </c>
      <c r="D548" s="110">
        <f>IF($C548&lt;=Entradas!$E$153,"",Observaciones!L548)</f>
        <v>0.59850871353416069</v>
      </c>
      <c r="E548" s="110">
        <f>IF($C548&lt;=Entradas!$E$153,"",Escenario1!BN549)</f>
        <v>0.57065300939027142</v>
      </c>
      <c r="F548" s="79">
        <f>IF($C548&lt;=Entradas!$E$153,"",D548-E548)</f>
        <v>2.7855704143889271E-2</v>
      </c>
      <c r="G548" s="79">
        <f>IF($C548&lt;=Entradas!$E$153,"",D548-AVERAGE(D:D))</f>
        <v>-0.18434290797741726</v>
      </c>
      <c r="H548" s="79">
        <f>IF($C548&lt;=Entradas!$E$153,"",F548^2)</f>
        <v>7.7594025335188984E-4</v>
      </c>
      <c r="I548" s="79">
        <f>IF($C548&lt;=Entradas!$E$153,"",G548^2)</f>
        <v>3.3982307721570529E-2</v>
      </c>
      <c r="J548" s="79">
        <f>IF($C548&lt;=Entradas!$E$153,"",E548-AVERAGE(E:E))</f>
        <v>-0.26028613127291378</v>
      </c>
      <c r="K548" s="79">
        <f>IF($C548&lt;=Entradas!$E$153,"",J548^2)</f>
        <v>6.77488701330205E-2</v>
      </c>
      <c r="L548" s="79">
        <f>IF($C548&lt;=Entradas!$E$153,"",G548*J548)</f>
        <v>4.798190234504069E-2</v>
      </c>
      <c r="M548" s="40"/>
    </row>
    <row r="549" spans="2:13">
      <c r="B549" s="39"/>
      <c r="C549" s="75">
        <v>544</v>
      </c>
      <c r="D549" s="110">
        <f>IF($C549&lt;=Entradas!$E$153,"",Observaciones!L549)</f>
        <v>0.59168328607820797</v>
      </c>
      <c r="E549" s="110">
        <f>IF($C549&lt;=Entradas!$E$153,"",Escenario1!BN550)</f>
        <v>0.56511957441687111</v>
      </c>
      <c r="F549" s="79">
        <f>IF($C549&lt;=Entradas!$E$153,"",D549-E549)</f>
        <v>2.6563711661336864E-2</v>
      </c>
      <c r="G549" s="79">
        <f>IF($C549&lt;=Entradas!$E$153,"",D549-AVERAGE(D:D))</f>
        <v>-0.19116833543336997</v>
      </c>
      <c r="H549" s="79">
        <f>IF($C549&lt;=Entradas!$E$153,"",F549^2)</f>
        <v>7.0563077722664411E-4</v>
      </c>
      <c r="I549" s="79">
        <f>IF($C549&lt;=Entradas!$E$153,"",G549^2)</f>
        <v>3.6545332472365459E-2</v>
      </c>
      <c r="J549" s="79">
        <f>IF($C549&lt;=Entradas!$E$153,"",E549-AVERAGE(E:E))</f>
        <v>-0.26581956624631409</v>
      </c>
      <c r="K549" s="79">
        <f>IF($C549&lt;=Entradas!$E$153,"",J549^2)</f>
        <v>7.066004179937857E-2</v>
      </c>
      <c r="L549" s="79">
        <f>IF($C549&lt;=Entradas!$E$153,"",G549*J549)</f>
        <v>5.0816284004928283E-2</v>
      </c>
      <c r="M549" s="40"/>
    </row>
    <row r="550" spans="2:13">
      <c r="B550" s="39"/>
      <c r="C550" s="75">
        <v>545</v>
      </c>
      <c r="D550" s="110">
        <f>IF($C550&lt;=Entradas!$E$153,"",Observaciones!L550)</f>
        <v>0.58493929862310412</v>
      </c>
      <c r="E550" s="110">
        <f>IF($C550&lt;=Entradas!$E$153,"",Escenario1!BN551)</f>
        <v>0.55963876159480053</v>
      </c>
      <c r="F550" s="79">
        <f>IF($C550&lt;=Entradas!$E$153,"",D550-E550)</f>
        <v>2.5300537028303594E-2</v>
      </c>
      <c r="G550" s="79">
        <f>IF($C550&lt;=Entradas!$E$153,"",D550-AVERAGE(D:D))</f>
        <v>-0.19791232288847382</v>
      </c>
      <c r="H550" s="79">
        <f>IF($C550&lt;=Entradas!$E$153,"",F550^2)</f>
        <v>6.4011717392056127E-4</v>
      </c>
      <c r="I550" s="79">
        <f>IF($C550&lt;=Entradas!$E$153,"",G550^2)</f>
        <v>3.9169287551111522E-2</v>
      </c>
      <c r="J550" s="79">
        <f>IF($C550&lt;=Entradas!$E$153,"",E550-AVERAGE(E:E))</f>
        <v>-0.27130037906838467</v>
      </c>
      <c r="K550" s="79">
        <f>IF($C550&lt;=Entradas!$E$153,"",J550^2)</f>
        <v>7.3603895682649217E-2</v>
      </c>
      <c r="L550" s="79">
        <f>IF($C550&lt;=Entradas!$E$153,"",G550*J550)</f>
        <v>5.3693688221947491E-2</v>
      </c>
      <c r="M550" s="40"/>
    </row>
    <row r="551" spans="2:13">
      <c r="B551" s="39"/>
      <c r="C551" s="75">
        <v>546</v>
      </c>
      <c r="D551" s="110">
        <f>IF($C551&lt;=Entradas!$E$153,"",Observaciones!L551)</f>
        <v>0.57827573186261239</v>
      </c>
      <c r="E551" s="110">
        <f>IF($C551&lt;=Entradas!$E$153,"",Escenario1!BN552)</f>
        <v>0.55421006631123249</v>
      </c>
      <c r="F551" s="79">
        <f>IF($C551&lt;=Entradas!$E$153,"",D551-E551)</f>
        <v>2.40656655513799E-2</v>
      </c>
      <c r="G551" s="79">
        <f>IF($C551&lt;=Entradas!$E$153,"",D551-AVERAGE(D:D))</f>
        <v>-0.20457588964896556</v>
      </c>
      <c r="H551" s="79">
        <f>IF($C551&lt;=Entradas!$E$153,"",F551^2)</f>
        <v>5.7915625843087321E-4</v>
      </c>
      <c r="I551" s="79">
        <f>IF($C551&lt;=Entradas!$E$153,"",G551^2)</f>
        <v>4.1851294625665732E-2</v>
      </c>
      <c r="J551" s="79">
        <f>IF($C551&lt;=Entradas!$E$153,"",E551-AVERAGE(E:E))</f>
        <v>-0.27672907435195271</v>
      </c>
      <c r="K551" s="79">
        <f>IF($C551&lt;=Entradas!$E$153,"",J551^2)</f>
        <v>7.6578980591688564E-2</v>
      </c>
      <c r="L551" s="79">
        <f>IF($C551&lt;=Entradas!$E$153,"",G551*J551)</f>
        <v>5.6612096577285463E-2</v>
      </c>
      <c r="M551" s="40"/>
    </row>
    <row r="552" spans="2:13">
      <c r="B552" s="39"/>
      <c r="C552" s="75">
        <v>547</v>
      </c>
      <c r="D552" s="110">
        <f>IF($C552&lt;=Entradas!$E$153,"",Observaciones!L552)</f>
        <v>0.57169157984870722</v>
      </c>
      <c r="E552" s="110">
        <f>IF($C552&lt;=Entradas!$E$153,"",Escenario1!BN553)</f>
        <v>0.54883301123217509</v>
      </c>
      <c r="F552" s="79">
        <f>IF($C552&lt;=Entradas!$E$153,"",D552-E552)</f>
        <v>2.2858568616532127E-2</v>
      </c>
      <c r="G552" s="79">
        <f>IF($C552&lt;=Entradas!$E$153,"",D552-AVERAGE(D:D))</f>
        <v>-0.21116004166287072</v>
      </c>
      <c r="H552" s="79">
        <f>IF($C552&lt;=Entradas!$E$153,"",F552^2)</f>
        <v>5.2251415919670743E-4</v>
      </c>
      <c r="I552" s="79">
        <f>IF($C552&lt;=Entradas!$E$153,"",G552^2)</f>
        <v>4.4588563195065302E-2</v>
      </c>
      <c r="J552" s="79">
        <f>IF($C552&lt;=Entradas!$E$153,"",E552-AVERAGE(E:E))</f>
        <v>-0.2821061294310101</v>
      </c>
      <c r="K552" s="79">
        <f>IF($C552&lt;=Entradas!$E$153,"",J552^2)</f>
        <v>7.958386826254582E-2</v>
      </c>
      <c r="L552" s="79">
        <f>IF($C552&lt;=Entradas!$E$153,"",G552*J552)</f>
        <v>5.956954204400329E-2</v>
      </c>
      <c r="M552" s="40"/>
    </row>
    <row r="553" spans="2:13">
      <c r="B553" s="39"/>
      <c r="C553" s="75">
        <v>548</v>
      </c>
      <c r="D553" s="110">
        <f>IF($C553&lt;=Entradas!$E$153,"",Observaciones!L553)</f>
        <v>0.56518584980927833</v>
      </c>
      <c r="E553" s="110">
        <f>IF($C553&lt;=Entradas!$E$153,"",Escenario1!BN554)</f>
        <v>0.5435070945417696</v>
      </c>
      <c r="F553" s="79">
        <f>IF($C553&lt;=Entradas!$E$153,"",D553-E553)</f>
        <v>2.1678755267508731E-2</v>
      </c>
      <c r="G553" s="79">
        <f>IF($C553&lt;=Entradas!$E$153,"",D553-AVERAGE(D:D))</f>
        <v>-0.21766577170229962</v>
      </c>
      <c r="H553" s="79">
        <f>IF($C553&lt;=Entradas!$E$153,"",F553^2)</f>
        <v>4.6996842994853757E-4</v>
      </c>
      <c r="I553" s="79">
        <f>IF($C553&lt;=Entradas!$E$153,"",G553^2)</f>
        <v>4.7378388170757617E-2</v>
      </c>
      <c r="J553" s="79">
        <f>IF($C553&lt;=Entradas!$E$153,"",E553-AVERAGE(E:E))</f>
        <v>-0.2874320461214156</v>
      </c>
      <c r="K553" s="79">
        <f>IF($C553&lt;=Entradas!$E$153,"",J553^2)</f>
        <v>8.2617181137543586E-2</v>
      </c>
      <c r="L553" s="79">
        <f>IF($C553&lt;=Entradas!$E$153,"",G553*J553)</f>
        <v>6.2564118130988902E-2</v>
      </c>
      <c r="M553" s="40"/>
    </row>
    <row r="554" spans="2:13">
      <c r="B554" s="39"/>
      <c r="C554" s="75">
        <v>549</v>
      </c>
      <c r="D554" s="110">
        <f>IF($C554&lt;=Entradas!$E$153,"",Observaciones!L554)</f>
        <v>0.5587575619684132</v>
      </c>
      <c r="E554" s="110">
        <f>IF($C554&lt;=Entradas!$E$153,"",Escenario1!BN555)</f>
        <v>0.53823182888021948</v>
      </c>
      <c r="F554" s="79">
        <f>IF($C554&lt;=Entradas!$E$153,"",D554-E554)</f>
        <v>2.0525733088193721E-2</v>
      </c>
      <c r="G554" s="79">
        <f>IF($C554&lt;=Entradas!$E$153,"",D554-AVERAGE(D:D))</f>
        <v>-0.22409405954316475</v>
      </c>
      <c r="H554" s="79">
        <f>IF($C554&lt;=Entradas!$E$153,"",F554^2)</f>
        <v>4.2130571880777054E-4</v>
      </c>
      <c r="I554" s="79">
        <f>IF($C554&lt;=Entradas!$E$153,"",G554^2)</f>
        <v>5.0218147522535464E-2</v>
      </c>
      <c r="J554" s="79">
        <f>IF($C554&lt;=Entradas!$E$153,"",E554-AVERAGE(E:E))</f>
        <v>-0.29270731178296572</v>
      </c>
      <c r="K554" s="79">
        <f>IF($C554&lt;=Entradas!$E$153,"",J554^2)</f>
        <v>8.5677570371210307E-2</v>
      </c>
      <c r="L554" s="79">
        <f>IF($C554&lt;=Entradas!$E$153,"",G554*J554)</f>
        <v>6.559396975541161E-2</v>
      </c>
      <c r="M554" s="40"/>
    </row>
    <row r="555" spans="2:13">
      <c r="B555" s="39"/>
      <c r="C555" s="75">
        <v>550</v>
      </c>
      <c r="D555" s="110">
        <f>IF($C555&lt;=Entradas!$E$153,"",Observaciones!L555)</f>
        <v>0.55240574936921227</v>
      </c>
      <c r="E555" s="110">
        <f>IF($C555&lt;=Entradas!$E$153,"",Escenario1!BN556)</f>
        <v>0.53300674302113271</v>
      </c>
      <c r="F555" s="79">
        <f>IF($C555&lt;=Entradas!$E$153,"",D555-E555)</f>
        <v>1.9399006348079562E-2</v>
      </c>
      <c r="G555" s="79">
        <f>IF($C555&lt;=Entradas!$E$153,"",D555-AVERAGE(D:D))</f>
        <v>-0.23044587214236567</v>
      </c>
      <c r="H555" s="79">
        <f>IF($C555&lt;=Entradas!$E$153,"",F555^2)</f>
        <v>3.7632144729283113E-4</v>
      </c>
      <c r="I555" s="79">
        <f>IF($C555&lt;=Entradas!$E$153,"",G555^2)</f>
        <v>5.310529998745555E-2</v>
      </c>
      <c r="J555" s="79">
        <f>IF($C555&lt;=Entradas!$E$153,"",E555-AVERAGE(E:E))</f>
        <v>-0.29793239764205248</v>
      </c>
      <c r="K555" s="79">
        <f>IF($C555&lt;=Entradas!$E$153,"",J555^2)</f>
        <v>8.8763713564742081E-2</v>
      </c>
      <c r="L555" s="79">
        <f>IF($C555&lt;=Entradas!$E$153,"",G555*J555)</f>
        <v>6.8657291214088867E-2</v>
      </c>
      <c r="M555" s="40"/>
    </row>
    <row r="556" spans="2:13">
      <c r="B556" s="39"/>
      <c r="C556" s="75">
        <v>551</v>
      </c>
      <c r="D556" s="110">
        <f>IF($C556&lt;=Entradas!$E$153,"",Observaciones!L556)</f>
        <v>0.54612945769910159</v>
      </c>
      <c r="E556" s="110">
        <f>IF($C556&lt;=Entradas!$E$153,"",Escenario1!BN557)</f>
        <v>0.52783134274105359</v>
      </c>
      <c r="F556" s="79">
        <f>IF($C556&lt;=Entradas!$E$153,"",D556-E556)</f>
        <v>1.8298114958048006E-2</v>
      </c>
      <c r="G556" s="79">
        <f>IF($C556&lt;=Entradas!$E$153,"",D556-AVERAGE(D:D))</f>
        <v>-0.23672216381247635</v>
      </c>
      <c r="H556" s="79">
        <f>IF($C556&lt;=Entradas!$E$153,"",F556^2)</f>
        <v>3.3482101101794021E-4</v>
      </c>
      <c r="I556" s="79">
        <f>IF($C556&lt;=Entradas!$E$153,"",G556^2)</f>
        <v>5.6037382840060886E-2</v>
      </c>
      <c r="J556" s="79">
        <f>IF($C556&lt;=Entradas!$E$153,"",E556-AVERAGE(E:E))</f>
        <v>-0.30310779792213161</v>
      </c>
      <c r="K556" s="79">
        <f>IF($C556&lt;=Entradas!$E$153,"",J556^2)</f>
        <v>9.1874337161203773E-2</v>
      </c>
      <c r="L556" s="79">
        <f>IF($C556&lt;=Entradas!$E$153,"",G556*J556)</f>
        <v>7.1752333792561823E-2</v>
      </c>
      <c r="M556" s="40"/>
    </row>
    <row r="557" spans="2:13">
      <c r="B557" s="39"/>
      <c r="C557" s="75">
        <v>552</v>
      </c>
      <c r="D557" s="110">
        <f>IF($C557&lt;=Entradas!$E$153,"",Observaciones!L557)</f>
        <v>0.53992774511760677</v>
      </c>
      <c r="E557" s="110">
        <f>IF($C557&lt;=Entradas!$E$153,"",Escenario1!BN558)</f>
        <v>0.52270515880890911</v>
      </c>
      <c r="F557" s="79">
        <f>IF($C557&lt;=Entradas!$E$153,"",D557-E557)</f>
        <v>1.7222586308697663E-2</v>
      </c>
      <c r="G557" s="79">
        <f>IF($C557&lt;=Entradas!$E$153,"",D557-AVERAGE(D:D))</f>
        <v>-0.24292387639397117</v>
      </c>
      <c r="H557" s="79">
        <f>IF($C557&lt;=Entradas!$E$153,"",F557^2)</f>
        <v>2.9661747916054018E-4</v>
      </c>
      <c r="I557" s="79">
        <f>IF($C557&lt;=Entradas!$E$153,"",G557^2)</f>
        <v>5.9012009722273384E-2</v>
      </c>
      <c r="J557" s="79">
        <f>IF($C557&lt;=Entradas!$E$153,"",E557-AVERAGE(E:E))</f>
        <v>-0.30823398185427608</v>
      </c>
      <c r="K557" s="79">
        <f>IF($C557&lt;=Entradas!$E$153,"",J557^2)</f>
        <v>9.5008187569742192E-2</v>
      </c>
      <c r="L557" s="79">
        <f>IF($C557&lt;=Entradas!$E$153,"",G557*J557)</f>
        <v>7.4877393708389722E-2</v>
      </c>
      <c r="M557" s="40"/>
    </row>
    <row r="558" spans="2:13">
      <c r="B558" s="39"/>
      <c r="C558" s="75">
        <v>553</v>
      </c>
      <c r="D558" s="110">
        <f>IF($C558&lt;=Entradas!$E$153,"",Observaciones!L558)</f>
        <v>0.53379968208655049</v>
      </c>
      <c r="E558" s="110">
        <f>IF($C558&lt;=Entradas!$E$153,"",Escenario1!BN559)</f>
        <v>0.51762772176048</v>
      </c>
      <c r="F558" s="79">
        <f>IF($C558&lt;=Entradas!$E$153,"",D558-E558)</f>
        <v>1.6171960326070489E-2</v>
      </c>
      <c r="G558" s="79">
        <f>IF($C558&lt;=Entradas!$E$153,"",D558-AVERAGE(D:D))</f>
        <v>-0.24905193942502746</v>
      </c>
      <c r="H558" s="79">
        <f>IF($C558&lt;=Entradas!$E$153,"",F558^2)</f>
        <v>2.6153230078799795E-4</v>
      </c>
      <c r="I558" s="79">
        <f>IF($C558&lt;=Entradas!$E$153,"",G558^2)</f>
        <v>6.2026868531367546E-2</v>
      </c>
      <c r="J558" s="79">
        <f>IF($C558&lt;=Entradas!$E$153,"",E558-AVERAGE(E:E))</f>
        <v>-0.3133114189027052</v>
      </c>
      <c r="K558" s="79">
        <f>IF($C558&lt;=Entradas!$E$153,"",J558^2)</f>
        <v>9.8164045214826412E-2</v>
      </c>
      <c r="L558" s="79">
        <f>IF($C558&lt;=Entradas!$E$153,"",G558*J558)</f>
        <v>7.8030816521725943E-2</v>
      </c>
      <c r="M558" s="40"/>
    </row>
    <row r="559" spans="2:13">
      <c r="B559" s="39"/>
      <c r="C559" s="75">
        <v>554</v>
      </c>
      <c r="D559" s="110">
        <f>IF($C559&lt;=Entradas!$E$153,"",Observaciones!L559)</f>
        <v>0.52774435120264218</v>
      </c>
      <c r="E559" s="110">
        <f>IF($C559&lt;=Entradas!$E$153,"",Escenario1!BN560)</f>
        <v>0.51259858970644756</v>
      </c>
      <c r="F559" s="79">
        <f>IF($C559&lt;=Entradas!$E$153,"",D559-E559)</f>
        <v>1.5145761496194621E-2</v>
      </c>
      <c r="G559" s="79">
        <f>IF($C559&lt;=Entradas!$E$153,"",D559-AVERAGE(D:D))</f>
        <v>-0.25510727030893576</v>
      </c>
      <c r="H559" s="79">
        <f>IF($C559&lt;=Entradas!$E$153,"",F559^2)</f>
        <v>2.2939409129961151E-4</v>
      </c>
      <c r="I559" s="79">
        <f>IF($C559&lt;=Entradas!$E$153,"",G559^2)</f>
        <v>6.5079719364476415E-2</v>
      </c>
      <c r="J559" s="79">
        <f>IF($C559&lt;=Entradas!$E$153,"",E559-AVERAGE(E:E))</f>
        <v>-0.31834055095673763</v>
      </c>
      <c r="K559" s="79">
        <f>IF($C559&lt;=Entradas!$E$153,"",J559^2)</f>
        <v>0.10134070638343927</v>
      </c>
      <c r="L559" s="79">
        <f>IF($C559&lt;=Entradas!$E$153,"",G559*J559)</f>
        <v>8.1210988983216006E-2</v>
      </c>
      <c r="M559" s="40"/>
    </row>
    <row r="560" spans="2:13">
      <c r="B560" s="39"/>
      <c r="C560" s="75">
        <v>555</v>
      </c>
      <c r="D560" s="110">
        <f>IF($C560&lt;=Entradas!$E$153,"",Observaciones!L560)</f>
        <v>0.55692192037094435</v>
      </c>
      <c r="E560" s="110">
        <f>IF($C560&lt;=Entradas!$E$153,"",Escenario1!BN561)</f>
        <v>0.53793120114558945</v>
      </c>
      <c r="F560" s="79">
        <f>IF($C560&lt;=Entradas!$E$153,"",D560-E560)</f>
        <v>1.8990719225354891E-2</v>
      </c>
      <c r="G560" s="79">
        <f>IF($C560&lt;=Entradas!$E$153,"",D560-AVERAGE(D:D))</f>
        <v>-0.2259297011406336</v>
      </c>
      <c r="H560" s="79">
        <f>IF($C560&lt;=Entradas!$E$153,"",F560^2)</f>
        <v>3.6064741669626388E-4</v>
      </c>
      <c r="I560" s="79">
        <f>IF($C560&lt;=Entradas!$E$153,"",G560^2)</f>
        <v>5.1044229857496015E-2</v>
      </c>
      <c r="J560" s="79">
        <f>IF($C560&lt;=Entradas!$E$153,"",E560-AVERAGE(E:E))</f>
        <v>-0.29300793951759574</v>
      </c>
      <c r="K560" s="79">
        <f>IF($C560&lt;=Entradas!$E$153,"",J560^2)</f>
        <v>8.585365262034704E-2</v>
      </c>
      <c r="L560" s="79">
        <f>IF($C560&lt;=Entradas!$E$153,"",G560*J560)</f>
        <v>6.6199196207043245E-2</v>
      </c>
      <c r="M560" s="40"/>
    </row>
    <row r="561" spans="2:13">
      <c r="B561" s="39"/>
      <c r="C561" s="75">
        <v>556</v>
      </c>
      <c r="D561" s="110">
        <f>IF($C561&lt;=Entradas!$E$153,"",Observaciones!L561)</f>
        <v>0.52168277538037766</v>
      </c>
      <c r="E561" s="110">
        <f>IF($C561&lt;=Entradas!$E$153,"",Escenario1!BN562)</f>
        <v>0.50741290963231833</v>
      </c>
      <c r="F561" s="79">
        <f>IF($C561&lt;=Entradas!$E$153,"",D561-E561)</f>
        <v>1.4269865748059329E-2</v>
      </c>
      <c r="G561" s="79">
        <f>IF($C561&lt;=Entradas!$E$153,"",D561-AVERAGE(D:D))</f>
        <v>-0.26116884613120028</v>
      </c>
      <c r="H561" s="79">
        <f>IF($C561&lt;=Entradas!$E$153,"",F561^2)</f>
        <v>2.0362906846763685E-4</v>
      </c>
      <c r="I561" s="79">
        <f>IF($C561&lt;=Entradas!$E$153,"",G561^2)</f>
        <v>6.8209166189502568E-2</v>
      </c>
      <c r="J561" s="79">
        <f>IF($C561&lt;=Entradas!$E$153,"",E561-AVERAGE(E:E))</f>
        <v>-0.32352623103086686</v>
      </c>
      <c r="K561" s="79">
        <f>IF($C561&lt;=Entradas!$E$153,"",J561^2)</f>
        <v>0.10466922216503784</v>
      </c>
      <c r="L561" s="79">
        <f>IF($C561&lt;=Entradas!$E$153,"",G561*J561)</f>
        <v>8.4494972451507624E-2</v>
      </c>
      <c r="M561" s="40"/>
    </row>
    <row r="562" spans="2:13">
      <c r="B562" s="39"/>
      <c r="C562" s="75">
        <v>557</v>
      </c>
      <c r="D562" s="110">
        <f>IF($C562&lt;=Entradas!$E$153,"",Observaciones!L562)</f>
        <v>0.51097391139091186</v>
      </c>
      <c r="E562" s="110">
        <f>IF($C562&lt;=Entradas!$E$153,"",Escenario1!BN563)</f>
        <v>0.49827195015868608</v>
      </c>
      <c r="F562" s="79">
        <f>IF($C562&lt;=Entradas!$E$153,"",D562-E562)</f>
        <v>1.2701961232225778E-2</v>
      </c>
      <c r="G562" s="79">
        <f>IF($C562&lt;=Entradas!$E$153,"",D562-AVERAGE(D:D))</f>
        <v>-0.27187771012066608</v>
      </c>
      <c r="H562" s="79">
        <f>IF($C562&lt;=Entradas!$E$153,"",F562^2)</f>
        <v>1.613398191449666E-4</v>
      </c>
      <c r="I562" s="79">
        <f>IF($C562&lt;=Entradas!$E$153,"",G562^2)</f>
        <v>7.3917489260456937E-2</v>
      </c>
      <c r="J562" s="79">
        <f>IF($C562&lt;=Entradas!$E$153,"",E562-AVERAGE(E:E))</f>
        <v>-0.33266719050449911</v>
      </c>
      <c r="K562" s="79">
        <f>IF($C562&lt;=Entradas!$E$153,"",J562^2)</f>
        <v>0.1106674596381567</v>
      </c>
      <c r="L562" s="79">
        <f>IF($C562&lt;=Entradas!$E$153,"",G562*J562)</f>
        <v>9.0444793986638614E-2</v>
      </c>
      <c r="M562" s="40"/>
    </row>
    <row r="563" spans="2:13">
      <c r="B563" s="39"/>
      <c r="C563" s="75">
        <v>558</v>
      </c>
      <c r="D563" s="110">
        <f>IF($C563&lt;=Entradas!$E$153,"",Observaciones!L563)</f>
        <v>0.50439306877098888</v>
      </c>
      <c r="E563" s="110">
        <f>IF($C563&lt;=Entradas!$E$153,"",Escenario1!BN564)</f>
        <v>0.49296472771120758</v>
      </c>
      <c r="F563" s="79">
        <f>IF($C563&lt;=Entradas!$E$153,"",D563-E563)</f>
        <v>1.14283410597813E-2</v>
      </c>
      <c r="G563" s="79">
        <f>IF($C563&lt;=Entradas!$E$153,"",D563-AVERAGE(D:D))</f>
        <v>-0.27845855274058906</v>
      </c>
      <c r="H563" s="79">
        <f>IF($C563&lt;=Entradas!$E$153,"",F563^2)</f>
        <v>1.3060697937868315E-4</v>
      </c>
      <c r="I563" s="79">
        <f>IF($C563&lt;=Entradas!$E$153,"",G563^2)</f>
        <v>7.7539165594383425E-2</v>
      </c>
      <c r="J563" s="79">
        <f>IF($C563&lt;=Entradas!$E$153,"",E563-AVERAGE(E:E))</f>
        <v>-0.33797441295197761</v>
      </c>
      <c r="K563" s="79">
        <f>IF($C563&lt;=Entradas!$E$153,"",J563^2)</f>
        <v>0.11422670381023389</v>
      </c>
      <c r="L563" s="79">
        <f>IF($C563&lt;=Entradas!$E$153,"",G563*J563)</f>
        <v>9.4111865893957883E-2</v>
      </c>
      <c r="M563" s="40"/>
    </row>
    <row r="564" spans="2:13">
      <c r="B564" s="39"/>
      <c r="C564" s="75">
        <v>559</v>
      </c>
      <c r="D564" s="110">
        <f>IF($C564&lt;=Entradas!$E$153,"",Observaciones!L564)</f>
        <v>0.49855405674293762</v>
      </c>
      <c r="E564" s="110">
        <f>IF($C564&lt;=Entradas!$E$153,"",Escenario1!BN565)</f>
        <v>0.48817309472317533</v>
      </c>
      <c r="F564" s="79">
        <f>IF($C564&lt;=Entradas!$E$153,"",D564-E564)</f>
        <v>1.0380962019762296E-2</v>
      </c>
      <c r="G564" s="79">
        <f>IF($C564&lt;=Entradas!$E$153,"",D564-AVERAGE(D:D))</f>
        <v>-0.28429756476864032</v>
      </c>
      <c r="H564" s="79">
        <f>IF($C564&lt;=Entradas!$E$153,"",F564^2)</f>
        <v>1.0776437245574729E-4</v>
      </c>
      <c r="I564" s="79">
        <f>IF($C564&lt;=Entradas!$E$153,"",G564^2)</f>
        <v>8.0825105333379235E-2</v>
      </c>
      <c r="J564" s="79">
        <f>IF($C564&lt;=Entradas!$E$153,"",E564-AVERAGE(E:E))</f>
        <v>-0.34276604594000987</v>
      </c>
      <c r="K564" s="79">
        <f>IF($C564&lt;=Entradas!$E$153,"",J564^2)</f>
        <v>0.11748856224934895</v>
      </c>
      <c r="L564" s="79">
        <f>IF($C564&lt;=Entradas!$E$153,"",G564*J564)</f>
        <v>9.7447552146120706E-2</v>
      </c>
      <c r="M564" s="40"/>
    </row>
    <row r="565" spans="2:13">
      <c r="B565" s="39"/>
      <c r="C565" s="75">
        <v>560</v>
      </c>
      <c r="D565" s="110">
        <f>IF($C565&lt;=Entradas!$E$153,"",Observaciones!L565)</f>
        <v>0.49289427782567596</v>
      </c>
      <c r="E565" s="110">
        <f>IF($C565&lt;=Entradas!$E$153,"",Escenario1!BN566)</f>
        <v>0.48342703098320239</v>
      </c>
      <c r="F565" s="79">
        <f>IF($C565&lt;=Entradas!$E$153,"",D565-E565)</f>
        <v>9.4672468424735756E-3</v>
      </c>
      <c r="G565" s="79">
        <f>IF($C565&lt;=Entradas!$E$153,"",D565-AVERAGE(D:D))</f>
        <v>-0.28995734368590198</v>
      </c>
      <c r="H565" s="79">
        <f>IF($C565&lt;=Entradas!$E$153,"",F565^2)</f>
        <v>8.9628762776325884E-5</v>
      </c>
      <c r="I565" s="79">
        <f>IF($C565&lt;=Entradas!$E$153,"",G565^2)</f>
        <v>8.4075261157384285E-2</v>
      </c>
      <c r="J565" s="79">
        <f>IF($C565&lt;=Entradas!$E$153,"",E565-AVERAGE(E:E))</f>
        <v>-0.34751210967998281</v>
      </c>
      <c r="K565" s="79">
        <f>IF($C565&lt;=Entradas!$E$153,"",J565^2)</f>
        <v>0.1207646663742324</v>
      </c>
      <c r="L565" s="79">
        <f>IF($C565&lt;=Entradas!$E$153,"",G565*J565)</f>
        <v>0.10076368822149163</v>
      </c>
      <c r="M565" s="40"/>
    </row>
    <row r="566" spans="2:13">
      <c r="B566" s="39"/>
      <c r="C566" s="75">
        <v>561</v>
      </c>
      <c r="D566" s="110">
        <f>IF($C566&lt;=Entradas!$E$153,"",Observaciones!L566)</f>
        <v>0.48731968041627505</v>
      </c>
      <c r="E566" s="110">
        <f>IF($C566&lt;=Entradas!$E$153,"",Escenario1!BN567)</f>
        <v>0.47872611325201803</v>
      </c>
      <c r="F566" s="79">
        <f>IF($C566&lt;=Entradas!$E$153,"",D566-E566)</f>
        <v>8.5935671642570211E-3</v>
      </c>
      <c r="G566" s="79">
        <f>IF($C566&lt;=Entradas!$E$153,"",D566-AVERAGE(D:D))</f>
        <v>-0.2955319410953029</v>
      </c>
      <c r="H566" s="79">
        <f>IF($C566&lt;=Entradas!$E$153,"",F566^2)</f>
        <v>7.3849396606596459E-5</v>
      </c>
      <c r="I566" s="79">
        <f>IF($C566&lt;=Entradas!$E$153,"",G566^2)</f>
        <v>8.7339128207557584E-2</v>
      </c>
      <c r="J566" s="79">
        <f>IF($C566&lt;=Entradas!$E$153,"",E566-AVERAGE(E:E))</f>
        <v>-0.35221302741116717</v>
      </c>
      <c r="K566" s="79">
        <f>IF($C566&lt;=Entradas!$E$153,"",J566^2)</f>
        <v>0.12405401667813959</v>
      </c>
      <c r="L566" s="79">
        <f>IF($C566&lt;=Entradas!$E$153,"",G566*J566)</f>
        <v>0.10409019966987536</v>
      </c>
      <c r="M566" s="40"/>
    </row>
    <row r="567" spans="2:13">
      <c r="B567" s="39"/>
      <c r="C567" s="75">
        <v>562</v>
      </c>
      <c r="D567" s="110">
        <f>IF($C567&lt;=Entradas!$E$153,"",Observaciones!L567)</f>
        <v>0.48181397074256777</v>
      </c>
      <c r="E567" s="110">
        <f>IF($C567&lt;=Entradas!$E$153,"",Escenario1!BN568)</f>
        <v>0.47406989872848126</v>
      </c>
      <c r="F567" s="79">
        <f>IF($C567&lt;=Entradas!$E$153,"",D567-E567)</f>
        <v>7.7440720140865005E-3</v>
      </c>
      <c r="G567" s="79">
        <f>IF($C567&lt;=Entradas!$E$153,"",D567-AVERAGE(D:D))</f>
        <v>-0.30103765076901018</v>
      </c>
      <c r="H567" s="79">
        <f>IF($C567&lt;=Entradas!$E$153,"",F567^2)</f>
        <v>5.9970651359357751E-5</v>
      </c>
      <c r="I567" s="79">
        <f>IF($C567&lt;=Entradas!$E$153,"",G567^2)</f>
        <v>9.0623667180524531E-2</v>
      </c>
      <c r="J567" s="79">
        <f>IF($C567&lt;=Entradas!$E$153,"",E567-AVERAGE(E:E))</f>
        <v>-0.35686924193470393</v>
      </c>
      <c r="K567" s="79">
        <f>IF($C567&lt;=Entradas!$E$153,"",J567^2)</f>
        <v>0.12735565583905026</v>
      </c>
      <c r="L567" s="79">
        <f>IF($C567&lt;=Entradas!$E$153,"",G567*J567)</f>
        <v>0.1074310782237408</v>
      </c>
      <c r="M567" s="40"/>
    </row>
    <row r="568" spans="2:13">
      <c r="B568" s="39"/>
      <c r="C568" s="75">
        <v>563</v>
      </c>
      <c r="D568" s="110">
        <f>IF($C568&lt;=Entradas!$E$153,"",Observaciones!L568)</f>
        <v>0.47637376680659005</v>
      </c>
      <c r="E568" s="110">
        <f>IF($C568&lt;=Entradas!$E$153,"",Escenario1!BN569)</f>
        <v>0.46945797125639954</v>
      </c>
      <c r="F568" s="79">
        <f>IF($C568&lt;=Entradas!$E$153,"",D568-E568)</f>
        <v>6.9157955501905066E-3</v>
      </c>
      <c r="G568" s="79">
        <f>IF($C568&lt;=Entradas!$E$153,"",D568-AVERAGE(D:D))</f>
        <v>-0.3064778547049879</v>
      </c>
      <c r="H568" s="79">
        <f>IF($C568&lt;=Entradas!$E$153,"",F568^2)</f>
        <v>4.7828228092034813E-5</v>
      </c>
      <c r="I568" s="79">
        <f>IF($C568&lt;=Entradas!$E$153,"",G568^2)</f>
        <v>9.3928675424571673E-2</v>
      </c>
      <c r="J568" s="79">
        <f>IF($C568&lt;=Entradas!$E$153,"",E568-AVERAGE(E:E))</f>
        <v>-0.36148116940678565</v>
      </c>
      <c r="K568" s="79">
        <f>IF($C568&lt;=Entradas!$E$153,"",J568^2)</f>
        <v>0.13066863583569727</v>
      </c>
      <c r="L568" s="79">
        <f>IF($C568&lt;=Entradas!$E$153,"",G568*J568)</f>
        <v>0.11078597331604197</v>
      </c>
      <c r="M568" s="40"/>
    </row>
    <row r="569" spans="2:13">
      <c r="B569" s="39"/>
      <c r="C569" s="75">
        <v>564</v>
      </c>
      <c r="D569" s="110">
        <f>IF($C569&lt;=Entradas!$E$153,"",Observaciones!L569)</f>
        <v>0.47236038479014719</v>
      </c>
      <c r="E569" s="110">
        <f>IF($C569&lt;=Entradas!$E$153,"",Escenario1!BN570)</f>
        <v>0.46570233052053683</v>
      </c>
      <c r="F569" s="79">
        <f>IF($C569&lt;=Entradas!$E$153,"",D569-E569)</f>
        <v>6.6580542696103584E-3</v>
      </c>
      <c r="G569" s="79">
        <f>IF($C569&lt;=Entradas!$E$153,"",D569-AVERAGE(D:D))</f>
        <v>-0.31049123672143075</v>
      </c>
      <c r="H569" s="79">
        <f>IF($C569&lt;=Entradas!$E$153,"",F569^2)</f>
        <v>4.432968665707672E-5</v>
      </c>
      <c r="I569" s="79">
        <f>IF($C569&lt;=Entradas!$E$153,"",G569^2)</f>
        <v>9.6404808080803553E-2</v>
      </c>
      <c r="J569" s="79">
        <f>IF($C569&lt;=Entradas!$E$153,"",E569-AVERAGE(E:E))</f>
        <v>-0.36523681014264836</v>
      </c>
      <c r="K569" s="79">
        <f>IF($C569&lt;=Entradas!$E$153,"",J569^2)</f>
        <v>0.13339792748317697</v>
      </c>
      <c r="L569" s="79">
        <f>IF($C569&lt;=Entradas!$E$153,"",G569*J569)</f>
        <v>0.11340282887738129</v>
      </c>
      <c r="M569" s="40"/>
    </row>
    <row r="570" spans="2:13">
      <c r="B570" s="39"/>
      <c r="C570" s="75">
        <v>565</v>
      </c>
      <c r="D570" s="110">
        <f>IF($C570&lt;=Entradas!$E$153,"",Observaciones!L570)</f>
        <v>0.47823024091191901</v>
      </c>
      <c r="E570" s="110">
        <f>IF($C570&lt;=Entradas!$E$153,"",Escenario1!BN571)</f>
        <v>0.47077915501498468</v>
      </c>
      <c r="F570" s="79">
        <f>IF($C570&lt;=Entradas!$E$153,"",D570-E570)</f>
        <v>7.4510858969343285E-3</v>
      </c>
      <c r="G570" s="79">
        <f>IF($C570&lt;=Entradas!$E$153,"",D570-AVERAGE(D:D))</f>
        <v>-0.30462138059965893</v>
      </c>
      <c r="H570" s="79">
        <f>IF($C570&lt;=Entradas!$E$153,"",F570^2)</f>
        <v>5.5518681043493647E-5</v>
      </c>
      <c r="I570" s="79">
        <f>IF($C570&lt;=Entradas!$E$153,"",G570^2)</f>
        <v>9.2794185518442263E-2</v>
      </c>
      <c r="J570" s="79">
        <f>IF($C570&lt;=Entradas!$E$153,"",E570-AVERAGE(E:E))</f>
        <v>-0.36015998564820051</v>
      </c>
      <c r="K570" s="79">
        <f>IF($C570&lt;=Entradas!$E$153,"",J570^2)</f>
        <v>0.12971521526211199</v>
      </c>
      <c r="L570" s="79">
        <f>IF($C570&lt;=Entradas!$E$153,"",G570*J570)</f>
        <v>0.10971243206490819</v>
      </c>
      <c r="M570" s="40"/>
    </row>
    <row r="571" spans="2:13">
      <c r="B571" s="39"/>
      <c r="C571" s="75">
        <v>566</v>
      </c>
      <c r="D571" s="110">
        <f>IF($C571&lt;=Entradas!$E$153,"",Observaciones!L571)</f>
        <v>0.64535181915131179</v>
      </c>
      <c r="E571" s="110">
        <f>IF($C571&lt;=Entradas!$E$153,"",Escenario1!BN572)</f>
        <v>0.58127370942639633</v>
      </c>
      <c r="F571" s="79">
        <f>IF($C571&lt;=Entradas!$E$153,"",D571-E571)</f>
        <v>6.4078109724915455E-2</v>
      </c>
      <c r="G571" s="79">
        <f>IF($C571&lt;=Entradas!$E$153,"",D571-AVERAGE(D:D))</f>
        <v>-0.13749980236026615</v>
      </c>
      <c r="H571" s="79">
        <f>IF($C571&lt;=Entradas!$E$153,"",F571^2)</f>
        <v>4.1060041459183043E-3</v>
      </c>
      <c r="I571" s="79">
        <f>IF($C571&lt;=Entradas!$E$153,"",G571^2)</f>
        <v>1.8906195649112254E-2</v>
      </c>
      <c r="J571" s="79">
        <f>IF($C571&lt;=Entradas!$E$153,"",E571-AVERAGE(E:E))</f>
        <v>-0.24966543123678886</v>
      </c>
      <c r="K571" s="79">
        <f>IF($C571&lt;=Entradas!$E$153,"",J571^2)</f>
        <v>6.2332827554651749E-2</v>
      </c>
      <c r="L571" s="79">
        <f>IF($C571&lt;=Entradas!$E$153,"",G571*J571)</f>
        <v>3.4328947451249085E-2</v>
      </c>
      <c r="M571" s="40"/>
    </row>
    <row r="572" spans="2:13">
      <c r="B572" s="39"/>
      <c r="C572" s="75">
        <v>567</v>
      </c>
      <c r="D572" s="110">
        <f>IF($C572&lt;=Entradas!$E$153,"",Observaciones!L572)</f>
        <v>0.81027909226538741</v>
      </c>
      <c r="E572" s="110">
        <f>IF($C572&lt;=Entradas!$E$153,"",Escenario1!BN573)</f>
        <v>0.73673392130219106</v>
      </c>
      <c r="F572" s="79">
        <f>IF($C572&lt;=Entradas!$E$153,"",D572-E572)</f>
        <v>7.3545170963196349E-2</v>
      </c>
      <c r="G572" s="79">
        <f>IF($C572&lt;=Entradas!$E$153,"",D572-AVERAGE(D:D))</f>
        <v>2.7427470753809469E-2</v>
      </c>
      <c r="H572" s="79">
        <f>IF($C572&lt;=Entradas!$E$153,"",F572^2)</f>
        <v>5.4088921720057796E-3</v>
      </c>
      <c r="I572" s="79">
        <f>IF($C572&lt;=Entradas!$E$153,"",G572^2)</f>
        <v>7.5226615195107371E-4</v>
      </c>
      <c r="J572" s="79">
        <f>IF($C572&lt;=Entradas!$E$153,"",E572-AVERAGE(E:E))</f>
        <v>-9.420521936099413E-2</v>
      </c>
      <c r="K572" s="79">
        <f>IF($C572&lt;=Entradas!$E$153,"",J572^2)</f>
        <v>8.8746233548530236E-3</v>
      </c>
      <c r="L572" s="79">
        <f>IF($C572&lt;=Entradas!$E$153,"",G572*J572)</f>
        <v>-2.5838108988798722E-3</v>
      </c>
      <c r="M572" s="40"/>
    </row>
    <row r="573" spans="2:13">
      <c r="B573" s="39"/>
      <c r="C573" s="75">
        <v>568</v>
      </c>
      <c r="D573" s="110">
        <f>IF($C573&lt;=Entradas!$E$153,"",Observaciones!L573)</f>
        <v>0.71458746562592157</v>
      </c>
      <c r="E573" s="110">
        <f>IF($C573&lt;=Entradas!$E$153,"",Escenario1!BN574)</f>
        <v>0.6833796190828122</v>
      </c>
      <c r="F573" s="79">
        <f>IF($C573&lt;=Entradas!$E$153,"",D573-E573)</f>
        <v>3.1207846543109374E-2</v>
      </c>
      <c r="G573" s="79">
        <f>IF($C573&lt;=Entradas!$E$153,"",D573-AVERAGE(D:D))</f>
        <v>-6.8264155885656375E-2</v>
      </c>
      <c r="H573" s="79">
        <f>IF($C573&lt;=Entradas!$E$153,"",F573^2)</f>
        <v>9.7392968585826374E-4</v>
      </c>
      <c r="I573" s="79">
        <f>IF($C573&lt;=Entradas!$E$153,"",G573^2)</f>
        <v>4.6599949787811939E-3</v>
      </c>
      <c r="J573" s="79">
        <f>IF($C573&lt;=Entradas!$E$153,"",E573-AVERAGE(E:E))</f>
        <v>-0.147559521580373</v>
      </c>
      <c r="K573" s="79">
        <f>IF($C573&lt;=Entradas!$E$153,"",J573^2)</f>
        <v>2.1773812409028565E-2</v>
      </c>
      <c r="L573" s="79">
        <f>IF($C573&lt;=Entradas!$E$153,"",G573*J573)</f>
        <v>1.0073026183575457E-2</v>
      </c>
      <c r="M573" s="40"/>
    </row>
    <row r="574" spans="2:13">
      <c r="B574" s="39"/>
      <c r="C574" s="75">
        <v>569</v>
      </c>
      <c r="D574" s="110">
        <f>IF($C574&lt;=Entradas!$E$153,"",Observaciones!L574)</f>
        <v>0.65661176177431324</v>
      </c>
      <c r="E574" s="110">
        <f>IF($C574&lt;=Entradas!$E$153,"",Escenario1!BN575)</f>
        <v>0.63210419952909846</v>
      </c>
      <c r="F574" s="79">
        <f>IF($C574&lt;=Entradas!$E$153,"",D574-E574)</f>
        <v>2.4507562245214776E-2</v>
      </c>
      <c r="G574" s="79">
        <f>IF($C574&lt;=Entradas!$E$153,"",D574-AVERAGE(D:D))</f>
        <v>-0.1262398597372647</v>
      </c>
      <c r="H574" s="79">
        <f>IF($C574&lt;=Entradas!$E$153,"",F574^2)</f>
        <v>6.0062060720307672E-4</v>
      </c>
      <c r="I574" s="79">
        <f>IF($C574&lt;=Entradas!$E$153,"",G574^2)</f>
        <v>1.5936502186484267E-2</v>
      </c>
      <c r="J574" s="79">
        <f>IF($C574&lt;=Entradas!$E$153,"",E574-AVERAGE(E:E))</f>
        <v>-0.19883494113408673</v>
      </c>
      <c r="K574" s="79">
        <f>IF($C574&lt;=Entradas!$E$153,"",J574^2)</f>
        <v>3.9535333815795735E-2</v>
      </c>
      <c r="L574" s="79">
        <f>IF($C574&lt;=Entradas!$E$153,"",G574*J574)</f>
        <v>2.5100895079634394E-2</v>
      </c>
      <c r="M574" s="40"/>
    </row>
    <row r="575" spans="2:13">
      <c r="B575" s="39"/>
      <c r="C575" s="75">
        <v>570</v>
      </c>
      <c r="D575" s="110">
        <f>IF($C575&lt;=Entradas!$E$153,"",Observaciones!L575)</f>
        <v>0.59939286502954536</v>
      </c>
      <c r="E575" s="110">
        <f>IF($C575&lt;=Entradas!$E$153,"",Escenario1!BN576)</f>
        <v>0.58149626266647159</v>
      </c>
      <c r="F575" s="79">
        <f>IF($C575&lt;=Entradas!$E$153,"",D575-E575)</f>
        <v>1.7896602363073777E-2</v>
      </c>
      <c r="G575" s="79">
        <f>IF($C575&lt;=Entradas!$E$153,"",D575-AVERAGE(D:D))</f>
        <v>-0.18345875648203258</v>
      </c>
      <c r="H575" s="79">
        <f>IF($C575&lt;=Entradas!$E$153,"",F575^2)</f>
        <v>3.2028837614197792E-4</v>
      </c>
      <c r="I575" s="79">
        <f>IF($C575&lt;=Entradas!$E$153,"",G575^2)</f>
        <v>3.3657115329933734E-2</v>
      </c>
      <c r="J575" s="79">
        <f>IF($C575&lt;=Entradas!$E$153,"",E575-AVERAGE(E:E))</f>
        <v>-0.24944287799671361</v>
      </c>
      <c r="K575" s="79">
        <f>IF($C575&lt;=Entradas!$E$153,"",J575^2)</f>
        <v>6.2221749383283349E-2</v>
      </c>
      <c r="L575" s="79">
        <f>IF($C575&lt;=Entradas!$E$153,"",G575*J575)</f>
        <v>4.5762480210576446E-2</v>
      </c>
      <c r="M575" s="40"/>
    </row>
    <row r="576" spans="2:13">
      <c r="B576" s="39"/>
      <c r="C576" s="75">
        <v>571</v>
      </c>
      <c r="D576" s="110">
        <f>IF($C576&lt;=Entradas!$E$153,"",Observaciones!L576)</f>
        <v>0.54378864174426755</v>
      </c>
      <c r="E576" s="110">
        <f>IF($C576&lt;=Entradas!$E$153,"",Escenario1!BN577)</f>
        <v>0.53231303498622906</v>
      </c>
      <c r="F576" s="79">
        <f>IF($C576&lt;=Entradas!$E$153,"",D576-E576)</f>
        <v>1.1475606758038492E-2</v>
      </c>
      <c r="G576" s="79">
        <f>IF($C576&lt;=Entradas!$E$153,"",D576-AVERAGE(D:D))</f>
        <v>-0.23906297976731039</v>
      </c>
      <c r="H576" s="79">
        <f>IF($C576&lt;=Entradas!$E$153,"",F576^2)</f>
        <v>1.3168955046513871E-4</v>
      </c>
      <c r="I576" s="79">
        <f>IF($C576&lt;=Entradas!$E$153,"",G576^2)</f>
        <v>5.7151108295225454E-2</v>
      </c>
      <c r="J576" s="79">
        <f>IF($C576&lt;=Entradas!$E$153,"",E576-AVERAGE(E:E))</f>
        <v>-0.29862610567695613</v>
      </c>
      <c r="K576" s="79">
        <f>IF($C576&lt;=Entradas!$E$153,"",J576^2)</f>
        <v>8.9177550991784565E-2</v>
      </c>
      <c r="L576" s="79">
        <f>IF($C576&lt;=Entradas!$E$153,"",G576*J576)</f>
        <v>7.1390446659440859E-2</v>
      </c>
      <c r="M576" s="40"/>
    </row>
    <row r="577" spans="2:13">
      <c r="B577" s="39"/>
      <c r="C577" s="75">
        <v>572</v>
      </c>
      <c r="D577" s="110">
        <f>IF($C577&lt;=Entradas!$E$153,"",Observaciones!L577)</f>
        <v>0.49100913317253891</v>
      </c>
      <c r="E577" s="110">
        <f>IF($C577&lt;=Entradas!$E$153,"",Escenario1!BN578)</f>
        <v>0.48562267725340424</v>
      </c>
      <c r="F577" s="79">
        <f>IF($C577&lt;=Entradas!$E$153,"",D577-E577)</f>
        <v>5.3864559191346695E-3</v>
      </c>
      <c r="G577" s="79">
        <f>IF($C577&lt;=Entradas!$E$153,"",D577-AVERAGE(D:D))</f>
        <v>-0.29184248833903903</v>
      </c>
      <c r="H577" s="79">
        <f>IF($C577&lt;=Entradas!$E$153,"",F577^2)</f>
        <v>2.9013907368780916E-5</v>
      </c>
      <c r="I577" s="79">
        <f>IF($C577&lt;=Entradas!$E$153,"",G577^2)</f>
        <v>8.5172037999922137E-2</v>
      </c>
      <c r="J577" s="79">
        <f>IF($C577&lt;=Entradas!$E$153,"",E577-AVERAGE(E:E))</f>
        <v>-0.34531646340978095</v>
      </c>
      <c r="K577" s="79">
        <f>IF($C577&lt;=Entradas!$E$153,"",J577^2)</f>
        <v>0.11924345990183859</v>
      </c>
      <c r="L577" s="79">
        <f>IF($C577&lt;=Entradas!$E$153,"",G577*J577)</f>
        <v>0.10077801594594719</v>
      </c>
      <c r="M577" s="40"/>
    </row>
    <row r="578" spans="2:13">
      <c r="B578" s="39"/>
      <c r="C578" s="75">
        <v>573</v>
      </c>
      <c r="D578" s="110">
        <f>IF($C578&lt;=Entradas!$E$153,"",Observaciones!L578)</f>
        <v>0.43979765783059283</v>
      </c>
      <c r="E578" s="110">
        <f>IF($C578&lt;=Entradas!$E$153,"",Escenario1!BN579)</f>
        <v>0.44031577330356758</v>
      </c>
      <c r="F578" s="79">
        <f>IF($C578&lt;=Entradas!$E$153,"",D578-E578)</f>
        <v>-5.1811547297475613E-4</v>
      </c>
      <c r="G578" s="79">
        <f>IF($C578&lt;=Entradas!$E$153,"",D578-AVERAGE(D:D))</f>
        <v>-0.34305396368098512</v>
      </c>
      <c r="H578" s="79">
        <f>IF($C578&lt;=Entradas!$E$153,"",F578^2)</f>
        <v>2.6844364333585525E-7</v>
      </c>
      <c r="I578" s="79">
        <f>IF($C578&lt;=Entradas!$E$153,"",G578^2)</f>
        <v>0.11768602199723466</v>
      </c>
      <c r="J578" s="79">
        <f>IF($C578&lt;=Entradas!$E$153,"",E578-AVERAGE(E:E))</f>
        <v>-0.39062336735961761</v>
      </c>
      <c r="K578" s="79">
        <f>IF($C578&lt;=Entradas!$E$153,"",J578^2)</f>
        <v>0.15258661512736676</v>
      </c>
      <c r="L578" s="79">
        <f>IF($C578&lt;=Entradas!$E$153,"",G578*J578)</f>
        <v>0.13400489447913036</v>
      </c>
      <c r="M578" s="40"/>
    </row>
    <row r="579" spans="2:13">
      <c r="B579" s="39"/>
      <c r="C579" s="75">
        <v>574</v>
      </c>
      <c r="D579" s="110">
        <f>IF($C579&lt;=Entradas!$E$153,"",Observaciones!L579)</f>
        <v>0.42374949560197905</v>
      </c>
      <c r="E579" s="110">
        <f>IF($C579&lt;=Entradas!$E$153,"",Escenario1!BN580)</f>
        <v>0.42377057690627978</v>
      </c>
      <c r="F579" s="79">
        <f>IF($C579&lt;=Entradas!$E$153,"",D579-E579)</f>
        <v>-2.1081304300729631E-5</v>
      </c>
      <c r="G579" s="79">
        <f>IF($C579&lt;=Entradas!$E$153,"",D579-AVERAGE(D:D))</f>
        <v>-0.35910212590959889</v>
      </c>
      <c r="H579" s="79">
        <f>IF($C579&lt;=Entradas!$E$153,"",F579^2)</f>
        <v>4.4442139101996161E-10</v>
      </c>
      <c r="I579" s="79">
        <f>IF($C579&lt;=Entradas!$E$153,"",G579^2)</f>
        <v>0.12895433683279342</v>
      </c>
      <c r="J579" s="79">
        <f>IF($C579&lt;=Entradas!$E$153,"",E579-AVERAGE(E:E))</f>
        <v>-0.40716856375690541</v>
      </c>
      <c r="K579" s="79">
        <f>IF($C579&lt;=Entradas!$E$153,"",J579^2)</f>
        <v>0.16578623931186115</v>
      </c>
      <c r="L579" s="79">
        <f>IF($C579&lt;=Entradas!$E$153,"",G579*J579)</f>
        <v>0.1462150968486628</v>
      </c>
      <c r="M579" s="40"/>
    </row>
    <row r="580" spans="2:13">
      <c r="B580" s="39"/>
      <c r="C580" s="75">
        <v>575</v>
      </c>
      <c r="D580" s="110">
        <f>IF($C580&lt;=Entradas!$E$153,"",Observaciones!L580)</f>
        <v>0.41714742716992165</v>
      </c>
      <c r="E580" s="110">
        <f>IF($C580&lt;=Entradas!$E$153,"",Escenario1!BN581)</f>
        <v>0.4176139432857196</v>
      </c>
      <c r="F580" s="79">
        <f>IF($C580&lt;=Entradas!$E$153,"",D580-E580)</f>
        <v>-4.6651611579795471E-4</v>
      </c>
      <c r="G580" s="79">
        <f>IF($C580&lt;=Entradas!$E$153,"",D580-AVERAGE(D:D))</f>
        <v>-0.3657041943416563</v>
      </c>
      <c r="H580" s="79">
        <f>IF($C580&lt;=Entradas!$E$153,"",F580^2)</f>
        <v>2.1763728629921069E-7</v>
      </c>
      <c r="I580" s="79">
        <f>IF($C580&lt;=Entradas!$E$153,"",G580^2)</f>
        <v>0.13373955775907992</v>
      </c>
      <c r="J580" s="79">
        <f>IF($C580&lt;=Entradas!$E$153,"",E580-AVERAGE(E:E))</f>
        <v>-0.41332519737746559</v>
      </c>
      <c r="K580" s="79">
        <f>IF($C580&lt;=Entradas!$E$153,"",J580^2)</f>
        <v>0.1708377187871209</v>
      </c>
      <c r="L580" s="79">
        <f>IF($C580&lt;=Entradas!$E$153,"",G580*J580)</f>
        <v>0.15115475830803213</v>
      </c>
      <c r="M580" s="40"/>
    </row>
    <row r="581" spans="2:13">
      <c r="B581" s="39"/>
      <c r="C581" s="75">
        <v>576</v>
      </c>
      <c r="D581" s="110">
        <f>IF($C581&lt;=Entradas!$E$153,"",Observaciones!L581)</f>
        <v>0.41215900240862818</v>
      </c>
      <c r="E581" s="110">
        <f>IF($C581&lt;=Entradas!$E$153,"",Escenario1!BN582)</f>
        <v>0.41354192778194743</v>
      </c>
      <c r="F581" s="79">
        <f>IF($C581&lt;=Entradas!$E$153,"",D581-E581)</f>
        <v>-1.3829253733192437E-3</v>
      </c>
      <c r="G581" s="79">
        <f>IF($C581&lt;=Entradas!$E$153,"",D581-AVERAGE(D:D))</f>
        <v>-0.37069261910294976</v>
      </c>
      <c r="H581" s="79">
        <f>IF($C581&lt;=Entradas!$E$153,"",F581^2)</f>
        <v>1.9124825881701696E-6</v>
      </c>
      <c r="I581" s="79">
        <f>IF($C581&lt;=Entradas!$E$153,"",G581^2)</f>
        <v>0.13741301785740459</v>
      </c>
      <c r="J581" s="79">
        <f>IF($C581&lt;=Entradas!$E$153,"",E581-AVERAGE(E:E))</f>
        <v>-0.41739721288123777</v>
      </c>
      <c r="K581" s="79">
        <f>IF($C581&lt;=Entradas!$E$153,"",J581^2)</f>
        <v>0.17422043332102533</v>
      </c>
      <c r="L581" s="79">
        <f>IF($C581&lt;=Entradas!$E$153,"",G581*J581)</f>
        <v>0.15472606604921751</v>
      </c>
      <c r="M581" s="40"/>
    </row>
    <row r="582" spans="2:13">
      <c r="B582" s="39"/>
      <c r="C582" s="75">
        <v>577</v>
      </c>
      <c r="D582" s="110">
        <f>IF($C582&lt;=Entradas!$E$153,"",Observaciones!L582)</f>
        <v>0.40748396532594028</v>
      </c>
      <c r="E582" s="110">
        <f>IF($C582&lt;=Entradas!$E$153,"",Escenario1!BN583)</f>
        <v>0.40952564489008658</v>
      </c>
      <c r="F582" s="79">
        <f>IF($C582&lt;=Entradas!$E$153,"",D582-E582)</f>
        <v>-2.0416795641463037E-3</v>
      </c>
      <c r="G582" s="79">
        <f>IF($C582&lt;=Entradas!$E$153,"",D582-AVERAGE(D:D))</f>
        <v>-0.37536765618563767</v>
      </c>
      <c r="H582" s="79">
        <f>IF($C582&lt;=Entradas!$E$153,"",F582^2)</f>
        <v>4.1684554426526405E-6</v>
      </c>
      <c r="I582" s="79">
        <f>IF($C582&lt;=Entradas!$E$153,"",G582^2)</f>
        <v>0.1409008773102991</v>
      </c>
      <c r="J582" s="79">
        <f>IF($C582&lt;=Entradas!$E$153,"",E582-AVERAGE(E:E))</f>
        <v>-0.42141349577309861</v>
      </c>
      <c r="K582" s="79">
        <f>IF($C582&lt;=Entradas!$E$153,"",J582^2)</f>
        <v>0.1775893344197034</v>
      </c>
      <c r="L582" s="79">
        <f>IF($C582&lt;=Entradas!$E$153,"",G582*J582)</f>
        <v>0.15818499619334414</v>
      </c>
      <c r="M582" s="40"/>
    </row>
    <row r="583" spans="2:13">
      <c r="B583" s="39"/>
      <c r="C583" s="75">
        <v>578</v>
      </c>
      <c r="D583" s="110">
        <f>IF($C583&lt;=Entradas!$E$153,"",Observaciones!L583)</f>
        <v>0.40290599556483792</v>
      </c>
      <c r="E583" s="110">
        <f>IF($C583&lt;=Entradas!$E$153,"",Escenario1!BN584)</f>
        <v>0.405547334242568</v>
      </c>
      <c r="F583" s="79">
        <f>IF($C583&lt;=Entradas!$E$153,"",D583-E583)</f>
        <v>-2.6413386777300873E-3</v>
      </c>
      <c r="G583" s="79">
        <f>IF($C583&lt;=Entradas!$E$153,"",D583-AVERAGE(D:D))</f>
        <v>-0.37994562594674003</v>
      </c>
      <c r="H583" s="79">
        <f>IF($C583&lt;=Entradas!$E$153,"",F583^2)</f>
        <v>6.9766700104729263E-6</v>
      </c>
      <c r="I583" s="79">
        <f>IF($C583&lt;=Entradas!$E$153,"",G583^2)</f>
        <v>0.14435867867606009</v>
      </c>
      <c r="J583" s="79">
        <f>IF($C583&lt;=Entradas!$E$153,"",E583-AVERAGE(E:E))</f>
        <v>-0.42539180642061719</v>
      </c>
      <c r="K583" s="79">
        <f>IF($C583&lt;=Entradas!$E$153,"",J583^2)</f>
        <v>0.18095818896979585</v>
      </c>
      <c r="L583" s="79">
        <f>IF($C583&lt;=Entradas!$E$153,"",G583*J583)</f>
        <v>0.16162575616309585</v>
      </c>
      <c r="M583" s="40"/>
    </row>
    <row r="584" spans="2:13">
      <c r="B584" s="39"/>
      <c r="C584" s="75">
        <v>579</v>
      </c>
      <c r="D584" s="110">
        <f>IF($C584&lt;=Entradas!$E$153,"",Observaciones!L584)</f>
        <v>0.40111373797668731</v>
      </c>
      <c r="E584" s="110">
        <f>IF($C584&lt;=Entradas!$E$153,"",Escenario1!BN585)</f>
        <v>0.40356674724918196</v>
      </c>
      <c r="F584" s="79">
        <f>IF($C584&lt;=Entradas!$E$153,"",D584-E584)</f>
        <v>-2.453009272494644E-3</v>
      </c>
      <c r="G584" s="79">
        <f>IF($C584&lt;=Entradas!$E$153,"",D584-AVERAGE(D:D))</f>
        <v>-0.38173788353489063</v>
      </c>
      <c r="H584" s="79">
        <f>IF($C584&lt;=Entradas!$E$153,"",F584^2)</f>
        <v>6.0172544909447025E-6</v>
      </c>
      <c r="I584" s="79">
        <f>IF($C584&lt;=Entradas!$E$153,"",G584^2)</f>
        <v>0.14572381172569773</v>
      </c>
      <c r="J584" s="79">
        <f>IF($C584&lt;=Entradas!$E$153,"",E584-AVERAGE(E:E))</f>
        <v>-0.42737239341400324</v>
      </c>
      <c r="K584" s="79">
        <f>IF($C584&lt;=Entradas!$E$153,"",J584^2)</f>
        <v>0.18264716265241357</v>
      </c>
      <c r="L584" s="79">
        <f>IF($C584&lt;=Entradas!$E$153,"",G584*J584)</f>
        <v>0.16314423294310224</v>
      </c>
      <c r="M584" s="40"/>
    </row>
    <row r="585" spans="2:13">
      <c r="B585" s="39"/>
      <c r="C585" s="75">
        <v>580</v>
      </c>
      <c r="D585" s="110">
        <f>IF($C585&lt;=Entradas!$E$153,"",Observaciones!L585)</f>
        <v>0.39437750905630753</v>
      </c>
      <c r="E585" s="110">
        <f>IF($C585&lt;=Entradas!$E$153,"",Escenario1!BN586)</f>
        <v>0.39770375385581502</v>
      </c>
      <c r="F585" s="79">
        <f>IF($C585&lt;=Entradas!$E$153,"",D585-E585)</f>
        <v>-3.326244799507494E-3</v>
      </c>
      <c r="G585" s="79">
        <f>IF($C585&lt;=Entradas!$E$153,"",D585-AVERAGE(D:D))</f>
        <v>-0.38847411245527042</v>
      </c>
      <c r="H585" s="79">
        <f>IF($C585&lt;=Entradas!$E$153,"",F585^2)</f>
        <v>1.1063904466250648E-5</v>
      </c>
      <c r="I585" s="79">
        <f>IF($C585&lt;=Entradas!$E$153,"",G585^2)</f>
        <v>0.15091213604791009</v>
      </c>
      <c r="J585" s="79">
        <f>IF($C585&lt;=Entradas!$E$153,"",E585-AVERAGE(E:E))</f>
        <v>-0.43323538680737017</v>
      </c>
      <c r="K585" s="79">
        <f>IF($C585&lt;=Entradas!$E$153,"",J585^2)</f>
        <v>0.18769290038213166</v>
      </c>
      <c r="L585" s="79">
        <f>IF($C585&lt;=Entradas!$E$153,"",G585*J585)</f>
        <v>0.16830073237420889</v>
      </c>
      <c r="M585" s="40"/>
    </row>
    <row r="586" spans="2:13">
      <c r="B586" s="39"/>
      <c r="C586" s="75">
        <v>581</v>
      </c>
      <c r="D586" s="110">
        <f>IF($C586&lt;=Entradas!$E$153,"",Observaciones!L586)</f>
        <v>0.38958941528297791</v>
      </c>
      <c r="E586" s="110">
        <f>IF($C586&lt;=Entradas!$E$153,"",Escenario1!BN587)</f>
        <v>0.39383777471383252</v>
      </c>
      <c r="F586" s="79">
        <f>IF($C586&lt;=Entradas!$E$153,"",D586-E586)</f>
        <v>-4.2483594308546091E-3</v>
      </c>
      <c r="G586" s="79">
        <f>IF($C586&lt;=Entradas!$E$153,"",D586-AVERAGE(D:D))</f>
        <v>-0.39326220622860003</v>
      </c>
      <c r="H586" s="79">
        <f>IF($C586&lt;=Entradas!$E$153,"",F586^2)</f>
        <v>1.8048557853731298E-5</v>
      </c>
      <c r="I586" s="79">
        <f>IF($C586&lt;=Entradas!$E$153,"",G586^2)</f>
        <v>0.15465516284778594</v>
      </c>
      <c r="J586" s="79">
        <f>IF($C586&lt;=Entradas!$E$153,"",E586-AVERAGE(E:E))</f>
        <v>-0.43710136594935267</v>
      </c>
      <c r="K586" s="79">
        <f>IF($C586&lt;=Entradas!$E$153,"",J586^2)</f>
        <v>0.19105760411478992</v>
      </c>
      <c r="L586" s="79">
        <f>IF($C586&lt;=Entradas!$E$153,"",G586*J586)</f>
        <v>0.17189544751877711</v>
      </c>
      <c r="M586" s="40"/>
    </row>
    <row r="587" spans="2:13">
      <c r="B587" s="39"/>
      <c r="C587" s="75">
        <v>582</v>
      </c>
      <c r="D587" s="110">
        <f>IF($C587&lt;=Entradas!$E$153,"",Observaciones!L587)</f>
        <v>0.38516748147923457</v>
      </c>
      <c r="E587" s="110">
        <f>IF($C587&lt;=Entradas!$E$153,"",Escenario1!BN588)</f>
        <v>0.39000833594366374</v>
      </c>
      <c r="F587" s="79">
        <f>IF($C587&lt;=Entradas!$E$153,"",D587-E587)</f>
        <v>-4.8408544644291673E-3</v>
      </c>
      <c r="G587" s="79">
        <f>IF($C587&lt;=Entradas!$E$153,"",D587-AVERAGE(D:D))</f>
        <v>-0.39768414003234337</v>
      </c>
      <c r="H587" s="79">
        <f>IF($C587&lt;=Entradas!$E$153,"",F587^2)</f>
        <v>2.3433871945783799E-5</v>
      </c>
      <c r="I587" s="79">
        <f>IF($C587&lt;=Entradas!$E$153,"",G587^2)</f>
        <v>0.15815267523326448</v>
      </c>
      <c r="J587" s="79">
        <f>IF($C587&lt;=Entradas!$E$153,"",E587-AVERAGE(E:E))</f>
        <v>-0.44093080471952145</v>
      </c>
      <c r="K587" s="79">
        <f>IF($C587&lt;=Entradas!$E$153,"",J587^2)</f>
        <v>0.19441997455060475</v>
      </c>
      <c r="L587" s="79">
        <f>IF($C587&lt;=Entradas!$E$153,"",G587*J587)</f>
        <v>0.175351187888652</v>
      </c>
      <c r="M587" s="40"/>
    </row>
    <row r="588" spans="2:13">
      <c r="B588" s="39"/>
      <c r="C588" s="75">
        <v>583</v>
      </c>
      <c r="D588" s="110">
        <f>IF($C588&lt;=Entradas!$E$153,"",Observaciones!L588)</f>
        <v>0.42500310880191838</v>
      </c>
      <c r="E588" s="110">
        <f>IF($C588&lt;=Entradas!$E$153,"",Escenario1!BN589)</f>
        <v>0.42442164725654341</v>
      </c>
      <c r="F588" s="79">
        <f>IF($C588&lt;=Entradas!$E$153,"",D588-E588)</f>
        <v>5.8146154537497274E-4</v>
      </c>
      <c r="G588" s="79">
        <f>IF($C588&lt;=Entradas!$E$153,"",D588-AVERAGE(D:D))</f>
        <v>-0.35784851270965956</v>
      </c>
      <c r="H588" s="79">
        <f>IF($C588&lt;=Entradas!$E$153,"",F588^2)</f>
        <v>3.380975287498515E-7</v>
      </c>
      <c r="I588" s="79">
        <f>IF($C588&lt;=Entradas!$E$153,"",G588^2)</f>
        <v>0.12805555804851537</v>
      </c>
      <c r="J588" s="79">
        <f>IF($C588&lt;=Entradas!$E$153,"",E588-AVERAGE(E:E))</f>
        <v>-0.40651749340664178</v>
      </c>
      <c r="K588" s="79">
        <f>IF($C588&lt;=Entradas!$E$153,"",J588^2)</f>
        <v>0.16525647244561906</v>
      </c>
      <c r="L588" s="79">
        <f>IF($C588&lt;=Entradas!$E$153,"",G588*J588)</f>
        <v>0.14547168040602559</v>
      </c>
      <c r="M588" s="40"/>
    </row>
    <row r="589" spans="2:13">
      <c r="B589" s="39"/>
      <c r="C589" s="75">
        <v>584</v>
      </c>
      <c r="D589" s="110">
        <f>IF($C589&lt;=Entradas!$E$153,"",Observaciones!L589)</f>
        <v>0.38391565506039138</v>
      </c>
      <c r="E589" s="110">
        <f>IF($C589&lt;=Entradas!$E$153,"",Escenario1!BN590)</f>
        <v>0.38844123567350924</v>
      </c>
      <c r="F589" s="79">
        <f>IF($C589&lt;=Entradas!$E$153,"",D589-E589)</f>
        <v>-4.5255806131178633E-3</v>
      </c>
      <c r="G589" s="79">
        <f>IF($C589&lt;=Entradas!$E$153,"",D589-AVERAGE(D:D))</f>
        <v>-0.39893596645118656</v>
      </c>
      <c r="H589" s="79">
        <f>IF($C589&lt;=Entradas!$E$153,"",F589^2)</f>
        <v>2.0480879885828254E-5</v>
      </c>
      <c r="I589" s="79">
        <f>IF($C589&lt;=Entradas!$E$153,"",G589^2)</f>
        <v>0.15914990532834225</v>
      </c>
      <c r="J589" s="79">
        <f>IF($C589&lt;=Entradas!$E$153,"",E589-AVERAGE(E:E))</f>
        <v>-0.44249790498967595</v>
      </c>
      <c r="K589" s="79">
        <f>IF($C589&lt;=Entradas!$E$153,"",J589^2)</f>
        <v>0.19580439592025228</v>
      </c>
      <c r="L589" s="79">
        <f>IF($C589&lt;=Entradas!$E$153,"",G589*J589)</f>
        <v>0.17652832937968171</v>
      </c>
      <c r="M589" s="40"/>
    </row>
    <row r="590" spans="2:13">
      <c r="B590" s="39"/>
      <c r="C590" s="75">
        <v>585</v>
      </c>
      <c r="D590" s="110">
        <f>IF($C590&lt;=Entradas!$E$153,"",Observaciones!L590)</f>
        <v>0.37768353390100906</v>
      </c>
      <c r="E590" s="110">
        <f>IF($C590&lt;=Entradas!$E$153,"",Escenario1!BN591)</f>
        <v>0.38298061575373693</v>
      </c>
      <c r="F590" s="79">
        <f>IF($C590&lt;=Entradas!$E$153,"",D590-E590)</f>
        <v>-5.2970818527278696E-3</v>
      </c>
      <c r="G590" s="79">
        <f>IF($C590&lt;=Entradas!$E$153,"",D590-AVERAGE(D:D))</f>
        <v>-0.40516808761056888</v>
      </c>
      <c r="H590" s="79">
        <f>IF($C590&lt;=Entradas!$E$153,"",F590^2)</f>
        <v>2.8059076154498919E-5</v>
      </c>
      <c r="I590" s="79">
        <f>IF($C590&lt;=Entradas!$E$153,"",G590^2)</f>
        <v>0.16416117921800563</v>
      </c>
      <c r="J590" s="79">
        <f>IF($C590&lt;=Entradas!$E$153,"",E590-AVERAGE(E:E))</f>
        <v>-0.44795852490944826</v>
      </c>
      <c r="K590" s="79">
        <f>IF($C590&lt;=Entradas!$E$153,"",J590^2)</f>
        <v>0.20066684003904878</v>
      </c>
      <c r="L590" s="79">
        <f>IF($C590&lt;=Entradas!$E$153,"",G590*J590)</f>
        <v>0.18149849886641253</v>
      </c>
      <c r="M590" s="40"/>
    </row>
    <row r="591" spans="2:13">
      <c r="B591" s="39"/>
      <c r="C591" s="75">
        <v>586</v>
      </c>
      <c r="D591" s="110">
        <f>IF($C591&lt;=Entradas!$E$153,"",Observaciones!L591)</f>
        <v>0.36910072934080601</v>
      </c>
      <c r="E591" s="110">
        <f>IF($C591&lt;=Entradas!$E$153,"",Escenario1!BN592)</f>
        <v>0.37539369305805309</v>
      </c>
      <c r="F591" s="79">
        <f>IF($C591&lt;=Entradas!$E$153,"",D591-E591)</f>
        <v>-6.2929637172470798E-3</v>
      </c>
      <c r="G591" s="79">
        <f>IF($C591&lt;=Entradas!$E$153,"",D591-AVERAGE(D:D))</f>
        <v>-0.41375089217077193</v>
      </c>
      <c r="H591" s="79">
        <f>IF($C591&lt;=Entradas!$E$153,"",F591^2)</f>
        <v>3.9601392346588184E-5</v>
      </c>
      <c r="I591" s="79">
        <f>IF($C591&lt;=Entradas!$E$153,"",G591^2)</f>
        <v>0.17118980077210974</v>
      </c>
      <c r="J591" s="79">
        <f>IF($C591&lt;=Entradas!$E$153,"",E591-AVERAGE(E:E))</f>
        <v>-0.4555454476051321</v>
      </c>
      <c r="K591" s="79">
        <f>IF($C591&lt;=Entradas!$E$153,"",J591^2)</f>
        <v>0.20752165483376017</v>
      </c>
      <c r="L591" s="79">
        <f>IF($C591&lt;=Entradas!$E$153,"",G591*J591)</f>
        <v>0.18848233537095704</v>
      </c>
      <c r="M591" s="40"/>
    </row>
    <row r="592" spans="2:13">
      <c r="B592" s="39"/>
      <c r="C592" s="75">
        <v>587</v>
      </c>
      <c r="D592" s="110">
        <f>IF($C592&lt;=Entradas!$E$153,"",Observaciones!L592)</f>
        <v>0.36425583422531727</v>
      </c>
      <c r="E592" s="110">
        <f>IF($C592&lt;=Entradas!$E$153,"",Escenario1!BN593)</f>
        <v>0.37141508977905358</v>
      </c>
      <c r="F592" s="79">
        <f>IF($C592&lt;=Entradas!$E$153,"",D592-E592)</f>
        <v>-7.1592555537363101E-3</v>
      </c>
      <c r="G592" s="79">
        <f>IF($C592&lt;=Entradas!$E$153,"",D592-AVERAGE(D:D))</f>
        <v>-0.41859578728626068</v>
      </c>
      <c r="H592" s="79">
        <f>IF($C592&lt;=Entradas!$E$153,"",F592^2)</f>
        <v>5.1254940083704201E-5</v>
      </c>
      <c r="I592" s="79">
        <f>IF($C592&lt;=Entradas!$E$153,"",G592^2)</f>
        <v>0.1752224331338044</v>
      </c>
      <c r="J592" s="79">
        <f>IF($C592&lt;=Entradas!$E$153,"",E592-AVERAGE(E:E))</f>
        <v>-0.45952405088413162</v>
      </c>
      <c r="K592" s="79">
        <f>IF($C592&lt;=Entradas!$E$153,"",J592^2)</f>
        <v>0.21116235334096198</v>
      </c>
      <c r="L592" s="79">
        <f>IF($C592&lt;=Entradas!$E$153,"",G592*J592)</f>
        <v>0.19235483185681479</v>
      </c>
      <c r="M592" s="40"/>
    </row>
    <row r="593" spans="2:13">
      <c r="B593" s="39"/>
      <c r="C593" s="75">
        <v>588</v>
      </c>
      <c r="D593" s="110">
        <f>IF($C593&lt;=Entradas!$E$153,"",Observaciones!L593)</f>
        <v>0.36007103413060415</v>
      </c>
      <c r="E593" s="110">
        <f>IF($C593&lt;=Entradas!$E$153,"",Escenario1!BN594)</f>
        <v>0.36780244655667471</v>
      </c>
      <c r="F593" s="79">
        <f>IF($C593&lt;=Entradas!$E$153,"",D593-E593)</f>
        <v>-7.7314124260705608E-3</v>
      </c>
      <c r="G593" s="79">
        <f>IF($C593&lt;=Entradas!$E$153,"",D593-AVERAGE(D:D))</f>
        <v>-0.42278058738097379</v>
      </c>
      <c r="H593" s="79">
        <f>IF($C593&lt;=Entradas!$E$153,"",F593^2)</f>
        <v>5.9774738101998277E-5</v>
      </c>
      <c r="I593" s="79">
        <f>IF($C593&lt;=Entradas!$E$153,"",G593^2)</f>
        <v>0.17874342506620122</v>
      </c>
      <c r="J593" s="79">
        <f>IF($C593&lt;=Entradas!$E$153,"",E593-AVERAGE(E:E))</f>
        <v>-0.46313669410651048</v>
      </c>
      <c r="K593" s="79">
        <f>IF($C593&lt;=Entradas!$E$153,"",J593^2)</f>
        <v>0.21449559742790747</v>
      </c>
      <c r="L593" s="79">
        <f>IF($C593&lt;=Entradas!$E$153,"",G593*J593)</f>
        <v>0.19580520357203288</v>
      </c>
      <c r="M593" s="40"/>
    </row>
    <row r="594" spans="2:13">
      <c r="B594" s="39"/>
      <c r="C594" s="75">
        <v>589</v>
      </c>
      <c r="D594" s="110">
        <f>IF($C594&lt;=Entradas!$E$153,"",Observaciones!L594)</f>
        <v>0.35603512149977035</v>
      </c>
      <c r="E594" s="110">
        <f>IF($C594&lt;=Entradas!$E$153,"",Escenario1!BN595)</f>
        <v>0.36422391361558093</v>
      </c>
      <c r="F594" s="79">
        <f>IF($C594&lt;=Entradas!$E$153,"",D594-E594)</f>
        <v>-8.1887921158105836E-3</v>
      </c>
      <c r="G594" s="79">
        <f>IF($C594&lt;=Entradas!$E$153,"",D594-AVERAGE(D:D))</f>
        <v>-0.4268165000118076</v>
      </c>
      <c r="H594" s="79">
        <f>IF($C594&lt;=Entradas!$E$153,"",F594^2)</f>
        <v>6.7056316315961572E-5</v>
      </c>
      <c r="I594" s="79">
        <f>IF($C594&lt;=Entradas!$E$153,"",G594^2)</f>
        <v>0.18217232468232936</v>
      </c>
      <c r="J594" s="79">
        <f>IF($C594&lt;=Entradas!$E$153,"",E594-AVERAGE(E:E))</f>
        <v>-0.46671522704760426</v>
      </c>
      <c r="K594" s="79">
        <f>IF($C594&lt;=Entradas!$E$153,"",J594^2)</f>
        <v>0.2178231031580968</v>
      </c>
      <c r="L594" s="79">
        <f>IF($C594&lt;=Entradas!$E$153,"",G594*J594)</f>
        <v>0.19920175971067458</v>
      </c>
      <c r="M594" s="40"/>
    </row>
    <row r="595" spans="2:13">
      <c r="B595" s="39"/>
      <c r="C595" s="75">
        <v>590</v>
      </c>
      <c r="D595" s="110">
        <f>IF($C595&lt;=Entradas!$E$153,"",Observaciones!L595)</f>
        <v>0.35342533516556512</v>
      </c>
      <c r="E595" s="110">
        <f>IF($C595&lt;=Entradas!$E$153,"",Escenario1!BN596)</f>
        <v>0.36142569786285883</v>
      </c>
      <c r="F595" s="79">
        <f>IF($C595&lt;=Entradas!$E$153,"",D595-E595)</f>
        <v>-8.0003626972937059E-3</v>
      </c>
      <c r="G595" s="79">
        <f>IF($C595&lt;=Entradas!$E$153,"",D595-AVERAGE(D:D))</f>
        <v>-0.42942628634601282</v>
      </c>
      <c r="H595" s="79">
        <f>IF($C595&lt;=Entradas!$E$153,"",F595^2)</f>
        <v>6.4005803288248617E-5</v>
      </c>
      <c r="I595" s="79">
        <f>IF($C595&lt;=Entradas!$E$153,"",G595^2)</f>
        <v>0.18440693540492781</v>
      </c>
      <c r="J595" s="79">
        <f>IF($C595&lt;=Entradas!$E$153,"",E595-AVERAGE(E:E))</f>
        <v>-0.46951344280032636</v>
      </c>
      <c r="K595" s="79">
        <f>IF($C595&lt;=Entradas!$E$153,"",J595^2)</f>
        <v>0.22044287297021534</v>
      </c>
      <c r="L595" s="79">
        <f>IF($C595&lt;=Entradas!$E$153,"",G595*J595)</f>
        <v>0.20162141413127527</v>
      </c>
      <c r="M595" s="40"/>
    </row>
    <row r="596" spans="2:13">
      <c r="B596" s="39"/>
      <c r="C596" s="75">
        <v>591</v>
      </c>
      <c r="D596" s="110">
        <f>IF($C596&lt;=Entradas!$E$153,"",Observaciones!L596)</f>
        <v>0.34836550095916996</v>
      </c>
      <c r="E596" s="110">
        <f>IF($C596&lt;=Entradas!$E$153,"",Escenario1!BN597)</f>
        <v>0.35716826415145597</v>
      </c>
      <c r="F596" s="79">
        <f>IF($C596&lt;=Entradas!$E$153,"",D596-E596)</f>
        <v>-8.8027631922860117E-3</v>
      </c>
      <c r="G596" s="79">
        <f>IF($C596&lt;=Entradas!$E$153,"",D596-AVERAGE(D:D))</f>
        <v>-0.43448612055240798</v>
      </c>
      <c r="H596" s="79">
        <f>IF($C596&lt;=Entradas!$E$153,"",F596^2)</f>
        <v>7.7488639819465408E-5</v>
      </c>
      <c r="I596" s="79">
        <f>IF($C596&lt;=Entradas!$E$153,"",G596^2)</f>
        <v>0.18877818895268161</v>
      </c>
      <c r="J596" s="79">
        <f>IF($C596&lt;=Entradas!$E$153,"",E596-AVERAGE(E:E))</f>
        <v>-0.47377087651172922</v>
      </c>
      <c r="K596" s="79">
        <f>IF($C596&lt;=Entradas!$E$153,"",J596^2)</f>
        <v>0.22445884343069217</v>
      </c>
      <c r="L596" s="79">
        <f>IF($C596&lt;=Entradas!$E$153,"",G596*J596)</f>
        <v>0.20584687016629519</v>
      </c>
      <c r="M596" s="40"/>
    </row>
    <row r="597" spans="2:13">
      <c r="B597" s="39"/>
      <c r="C597" s="75">
        <v>592</v>
      </c>
      <c r="D597" s="110">
        <f>IF($C597&lt;=Entradas!$E$153,"",Observaciones!L597)</f>
        <v>0.3442995933948747</v>
      </c>
      <c r="E597" s="110">
        <f>IF($C597&lt;=Entradas!$E$153,"",Escenario1!BN598)</f>
        <v>0.35369051780143118</v>
      </c>
      <c r="F597" s="79">
        <f>IF($C597&lt;=Entradas!$E$153,"",D597-E597)</f>
        <v>-9.3909244065564779E-3</v>
      </c>
      <c r="G597" s="79">
        <f>IF($C597&lt;=Entradas!$E$153,"",D597-AVERAGE(D:D))</f>
        <v>-0.43855202811670324</v>
      </c>
      <c r="H597" s="79">
        <f>IF($C597&lt;=Entradas!$E$153,"",F597^2)</f>
        <v>8.818946120965813E-5</v>
      </c>
      <c r="I597" s="79">
        <f>IF($C597&lt;=Entradas!$E$153,"",G597^2)</f>
        <v>0.19232788136527368</v>
      </c>
      <c r="J597" s="79">
        <f>IF($C597&lt;=Entradas!$E$153,"",E597-AVERAGE(E:E))</f>
        <v>-0.47724862286175401</v>
      </c>
      <c r="K597" s="79">
        <f>IF($C597&lt;=Entradas!$E$153,"",J597^2)</f>
        <v>0.22776624802344073</v>
      </c>
      <c r="L597" s="79">
        <f>IF($C597&lt;=Entradas!$E$153,"",G597*J597)</f>
        <v>0.20929835147192585</v>
      </c>
      <c r="M597" s="40"/>
    </row>
    <row r="598" spans="2:13">
      <c r="B598" s="39"/>
      <c r="C598" s="75">
        <v>593</v>
      </c>
      <c r="D598" s="110">
        <f>IF($C598&lt;=Entradas!$E$153,"",Observaciones!L598)</f>
        <v>0.34043608419363275</v>
      </c>
      <c r="E598" s="110">
        <f>IF($C598&lt;=Entradas!$E$153,"",Escenario1!BN599)</f>
        <v>0.350245626297782</v>
      </c>
      <c r="F598" s="79">
        <f>IF($C598&lt;=Entradas!$E$153,"",D598-E598)</f>
        <v>-9.8095421041492492E-3</v>
      </c>
      <c r="G598" s="79">
        <f>IF($C598&lt;=Entradas!$E$153,"",D598-AVERAGE(D:D))</f>
        <v>-0.4424155373179452</v>
      </c>
      <c r="H598" s="79">
        <f>IF($C598&lt;=Entradas!$E$153,"",F598^2)</f>
        <v>9.6227116293076879E-5</v>
      </c>
      <c r="I598" s="79">
        <f>IF($C598&lt;=Entradas!$E$153,"",G598^2)</f>
        <v>0.19573150766032615</v>
      </c>
      <c r="J598" s="79">
        <f>IF($C598&lt;=Entradas!$E$153,"",E598-AVERAGE(E:E))</f>
        <v>-0.4806935143654032</v>
      </c>
      <c r="K598" s="79">
        <f>IF($C598&lt;=Entradas!$E$153,"",J598^2)</f>
        <v>0.23106625475296208</v>
      </c>
      <c r="L598" s="79">
        <f>IF($C598&lt;=Entradas!$E$153,"",G598*J598)</f>
        <v>0.21266627944322125</v>
      </c>
      <c r="M598" s="40"/>
    </row>
    <row r="599" spans="2:13">
      <c r="B599" s="39"/>
      <c r="C599" s="75">
        <v>594</v>
      </c>
      <c r="D599" s="110">
        <f>IF($C599&lt;=Entradas!$E$153,"",Observaciones!L599)</f>
        <v>0.39599744396811409</v>
      </c>
      <c r="E599" s="110">
        <f>IF($C599&lt;=Entradas!$E$153,"",Escenario1!BN600)</f>
        <v>0.39842409007770807</v>
      </c>
      <c r="F599" s="79">
        <f>IF($C599&lt;=Entradas!$E$153,"",D599-E599)</f>
        <v>-2.4266461095939773E-3</v>
      </c>
      <c r="G599" s="79">
        <f>IF($C599&lt;=Entradas!$E$153,"",D599-AVERAGE(D:D))</f>
        <v>-0.38685417754346385</v>
      </c>
      <c r="H599" s="79">
        <f>IF($C599&lt;=Entradas!$E$153,"",F599^2)</f>
        <v>5.8886113412075851E-6</v>
      </c>
      <c r="I599" s="79">
        <f>IF($C599&lt;=Entradas!$E$153,"",G599^2)</f>
        <v>0.14965615468282986</v>
      </c>
      <c r="J599" s="79">
        <f>IF($C599&lt;=Entradas!$E$153,"",E599-AVERAGE(E:E))</f>
        <v>-0.43251505058547712</v>
      </c>
      <c r="K599" s="79">
        <f>IF($C599&lt;=Entradas!$E$153,"",J599^2)</f>
        <v>0.18706926898295784</v>
      </c>
      <c r="L599" s="79">
        <f>IF($C599&lt;=Entradas!$E$153,"",G599*J599)</f>
        <v>0.16732025416941443</v>
      </c>
      <c r="M599" s="40"/>
    </row>
    <row r="600" spans="2:13">
      <c r="B600" s="39"/>
      <c r="C600" s="75">
        <v>595</v>
      </c>
      <c r="D600" s="110">
        <f>IF($C600&lt;=Entradas!$E$153,"",Observaciones!L600)</f>
        <v>0.34274757207488749</v>
      </c>
      <c r="E600" s="110">
        <f>IF($C600&lt;=Entradas!$E$153,"",Escenario1!BN601)</f>
        <v>0.35163762792550296</v>
      </c>
      <c r="F600" s="79">
        <f>IF($C600&lt;=Entradas!$E$153,"",D600-E600)</f>
        <v>-8.8900558506154748E-3</v>
      </c>
      <c r="G600" s="79">
        <f>IF($C600&lt;=Entradas!$E$153,"",D600-AVERAGE(D:D))</f>
        <v>-0.44010404943669046</v>
      </c>
      <c r="H600" s="79">
        <f>IF($C600&lt;=Entradas!$E$153,"",F600^2)</f>
        <v>7.9033093027062426E-5</v>
      </c>
      <c r="I600" s="79">
        <f>IF($C600&lt;=Entradas!$E$153,"",G600^2)</f>
        <v>0.19369157433057288</v>
      </c>
      <c r="J600" s="79">
        <f>IF($C600&lt;=Entradas!$E$153,"",E600-AVERAGE(E:E))</f>
        <v>-0.47930151273768223</v>
      </c>
      <c r="K600" s="79">
        <f>IF($C600&lt;=Entradas!$E$153,"",J600^2)</f>
        <v>0.22972994011263057</v>
      </c>
      <c r="L600" s="79">
        <f>IF($C600&lt;=Entradas!$E$153,"",G600*J600)</f>
        <v>0.21094253665698542</v>
      </c>
      <c r="M600" s="40"/>
    </row>
    <row r="601" spans="2:13">
      <c r="B601" s="39"/>
      <c r="C601" s="75">
        <v>596</v>
      </c>
      <c r="D601" s="110">
        <f>IF($C601&lt;=Entradas!$E$153,"",Observaciones!L601)</f>
        <v>0.33083235292176916</v>
      </c>
      <c r="E601" s="110">
        <f>IF($C601&lt;=Entradas!$E$153,"",Escenario1!BN602)</f>
        <v>0.34108843436381653</v>
      </c>
      <c r="F601" s="79">
        <f>IF($C601&lt;=Entradas!$E$153,"",D601-E601)</f>
        <v>-1.0256081442047371E-2</v>
      </c>
      <c r="G601" s="79">
        <f>IF($C601&lt;=Entradas!$E$153,"",D601-AVERAGE(D:D))</f>
        <v>-0.45201926858980879</v>
      </c>
      <c r="H601" s="79">
        <f>IF($C601&lt;=Entradas!$E$153,"",F601^2)</f>
        <v>1.0518720654590849E-4</v>
      </c>
      <c r="I601" s="79">
        <f>IF($C601&lt;=Entradas!$E$153,"",G601^2)</f>
        <v>0.20432141917646571</v>
      </c>
      <c r="J601" s="79">
        <f>IF($C601&lt;=Entradas!$E$153,"",E601-AVERAGE(E:E))</f>
        <v>-0.48985070629936867</v>
      </c>
      <c r="K601" s="79">
        <f>IF($C601&lt;=Entradas!$E$153,"",J601^2)</f>
        <v>0.23995371446199035</v>
      </c>
      <c r="L601" s="79">
        <f>IF($C601&lt;=Entradas!$E$153,"",G601*J601)</f>
        <v>0.22142195797964187</v>
      </c>
      <c r="M601" s="40"/>
    </row>
    <row r="602" spans="2:13">
      <c r="B602" s="39"/>
      <c r="C602" s="75">
        <v>597</v>
      </c>
      <c r="D602" s="110">
        <f>IF($C602&lt;=Entradas!$E$153,"",Observaciones!L602)</f>
        <v>0.32581173464129509</v>
      </c>
      <c r="E602" s="110">
        <f>IF($C602&lt;=Entradas!$E$153,"",Escenario1!BN603)</f>
        <v>0.33680535978964155</v>
      </c>
      <c r="F602" s="79">
        <f>IF($C602&lt;=Entradas!$E$153,"",D602-E602)</f>
        <v>-1.0993625148346453E-2</v>
      </c>
      <c r="G602" s="79">
        <f>IF($C602&lt;=Entradas!$E$153,"",D602-AVERAGE(D:D))</f>
        <v>-0.45703988687028285</v>
      </c>
      <c r="H602" s="79">
        <f>IF($C602&lt;=Entradas!$E$153,"",F602^2)</f>
        <v>1.2085979390235557E-4</v>
      </c>
      <c r="I602" s="79">
        <f>IF($C602&lt;=Entradas!$E$153,"",G602^2)</f>
        <v>0.20888545819040094</v>
      </c>
      <c r="J602" s="79">
        <f>IF($C602&lt;=Entradas!$E$153,"",E602-AVERAGE(E:E))</f>
        <v>-0.49413378087354365</v>
      </c>
      <c r="K602" s="79">
        <f>IF($C602&lt;=Entradas!$E$153,"",J602^2)</f>
        <v>0.24416819340038326</v>
      </c>
      <c r="L602" s="79">
        <f>IF($C602&lt;=Entradas!$E$153,"",G602*J602)</f>
        <v>0.22583884730922951</v>
      </c>
      <c r="M602" s="40"/>
    </row>
    <row r="603" spans="2:13">
      <c r="B603" s="39"/>
      <c r="C603" s="75">
        <v>598</v>
      </c>
      <c r="D603" s="110">
        <f>IF($C603&lt;=Entradas!$E$153,"",Observaciones!L603)</f>
        <v>0.3219704282542864</v>
      </c>
      <c r="E603" s="110">
        <f>IF($C603&lt;=Entradas!$E$153,"",Escenario1!BN604)</f>
        <v>0.33352551816325321</v>
      </c>
      <c r="F603" s="79">
        <f>IF($C603&lt;=Entradas!$E$153,"",D603-E603)</f>
        <v>-1.1555089908966809E-2</v>
      </c>
      <c r="G603" s="79">
        <f>IF($C603&lt;=Entradas!$E$153,"",D603-AVERAGE(D:D))</f>
        <v>-0.46088119325729154</v>
      </c>
      <c r="H603" s="79">
        <f>IF($C603&lt;=Entradas!$E$153,"",F603^2)</f>
        <v>1.3352010280430658E-4</v>
      </c>
      <c r="I603" s="79">
        <f>IF($C603&lt;=Entradas!$E$153,"",G603^2)</f>
        <v>0.21241147429826493</v>
      </c>
      <c r="J603" s="79">
        <f>IF($C603&lt;=Entradas!$E$153,"",E603-AVERAGE(E:E))</f>
        <v>-0.49741362249993198</v>
      </c>
      <c r="K603" s="79">
        <f>IF($C603&lt;=Entradas!$E$153,"",J603^2)</f>
        <v>0.24742031184850485</v>
      </c>
      <c r="L603" s="79">
        <f>IF($C603&lt;=Entradas!$E$153,"",G603*J603)</f>
        <v>0.22924858388020061</v>
      </c>
      <c r="M603" s="40"/>
    </row>
    <row r="604" spans="2:13">
      <c r="B604" s="39"/>
      <c r="C604" s="75">
        <v>599</v>
      </c>
      <c r="D604" s="110">
        <f>IF($C604&lt;=Entradas!$E$153,"",Observaciones!L604)</f>
        <v>0.31835963200079653</v>
      </c>
      <c r="E604" s="110">
        <f>IF($C604&lt;=Entradas!$E$153,"",Escenario1!BN605)</f>
        <v>0.33027659735383369</v>
      </c>
      <c r="F604" s="79">
        <f>IF($C604&lt;=Entradas!$E$153,"",D604-E604)</f>
        <v>-1.1916965353037157E-2</v>
      </c>
      <c r="G604" s="79">
        <f>IF($C604&lt;=Entradas!$E$153,"",D604-AVERAGE(D:D))</f>
        <v>-0.46449198951078141</v>
      </c>
      <c r="H604" s="79">
        <f>IF($C604&lt;=Entradas!$E$153,"",F604^2)</f>
        <v>1.4201406322548801E-4</v>
      </c>
      <c r="I604" s="79">
        <f>IF($C604&lt;=Entradas!$E$153,"",G604^2)</f>
        <v>0.21575280831968388</v>
      </c>
      <c r="J604" s="79">
        <f>IF($C604&lt;=Entradas!$E$153,"",E604-AVERAGE(E:E))</f>
        <v>-0.50066254330935145</v>
      </c>
      <c r="K604" s="79">
        <f>IF($C604&lt;=Entradas!$E$153,"",J604^2)</f>
        <v>0.25066298227298822</v>
      </c>
      <c r="L604" s="79">
        <f>IF($C604&lt;=Entradas!$E$153,"",G604*J604)</f>
        <v>0.23255374081528843</v>
      </c>
      <c r="M604" s="40"/>
    </row>
    <row r="605" spans="2:13">
      <c r="B605" s="39"/>
      <c r="C605" s="75">
        <v>600</v>
      </c>
      <c r="D605" s="110">
        <f>IF($C605&lt;=Entradas!$E$153,"",Observaciones!L605)</f>
        <v>0.31482148295479162</v>
      </c>
      <c r="E605" s="110">
        <f>IF($C605&lt;=Entradas!$E$153,"",Escenario1!BN606)</f>
        <v>0.32705828992390323</v>
      </c>
      <c r="F605" s="79">
        <f>IF($C605&lt;=Entradas!$E$153,"",D605-E605)</f>
        <v>-1.2236806969111613E-2</v>
      </c>
      <c r="G605" s="79">
        <f>IF($C605&lt;=Entradas!$E$153,"",D605-AVERAGE(D:D))</f>
        <v>-0.46803013855678632</v>
      </c>
      <c r="H605" s="79">
        <f>IF($C605&lt;=Entradas!$E$153,"",F605^2)</f>
        <v>1.4973944479929855E-4</v>
      </c>
      <c r="I605" s="79">
        <f>IF($C605&lt;=Entradas!$E$153,"",G605^2)</f>
        <v>0.21905221059748461</v>
      </c>
      <c r="J605" s="79">
        <f>IF($C605&lt;=Entradas!$E$153,"",E605-AVERAGE(E:E))</f>
        <v>-0.50388085073928202</v>
      </c>
      <c r="K605" s="79">
        <f>IF($C605&lt;=Entradas!$E$153,"",J605^2)</f>
        <v>0.25389591174174259</v>
      </c>
      <c r="L605" s="79">
        <f>IF($C605&lt;=Entradas!$E$153,"",G605*J605)</f>
        <v>0.23583142438761753</v>
      </c>
      <c r="M605" s="40"/>
    </row>
    <row r="606" spans="2:13">
      <c r="B606" s="39"/>
      <c r="C606" s="75">
        <v>601</v>
      </c>
      <c r="D606" s="110">
        <f>IF($C606&lt;=Entradas!$E$153,"",Observaciones!L606)</f>
        <v>0.31132936904721575</v>
      </c>
      <c r="E606" s="110">
        <f>IF($C606&lt;=Entradas!$E$153,"",Escenario1!BN607)</f>
        <v>0.32387033310648661</v>
      </c>
      <c r="F606" s="79">
        <f>IF($C606&lt;=Entradas!$E$153,"",D606-E606)</f>
        <v>-1.2540964059270854E-2</v>
      </c>
      <c r="G606" s="79">
        <f>IF($C606&lt;=Entradas!$E$153,"",D606-AVERAGE(D:D))</f>
        <v>-0.47152225246436219</v>
      </c>
      <c r="H606" s="79">
        <f>IF($C606&lt;=Entradas!$E$153,"",F606^2)</f>
        <v>1.5727577953592329E-4</v>
      </c>
      <c r="I606" s="79">
        <f>IF($C606&lt;=Entradas!$E$153,"",G606^2)</f>
        <v>0.2223332345690657</v>
      </c>
      <c r="J606" s="79">
        <f>IF($C606&lt;=Entradas!$E$153,"",E606-AVERAGE(E:E))</f>
        <v>-0.50706880755669859</v>
      </c>
      <c r="K606" s="79">
        <f>IF($C606&lt;=Entradas!$E$153,"",J606^2)</f>
        <v>0.25711877559697222</v>
      </c>
      <c r="L606" s="79">
        <f>IF($C606&lt;=Entradas!$E$153,"",G606*J606)</f>
        <v>0.23909422629355273</v>
      </c>
      <c r="M606" s="40"/>
    </row>
    <row r="607" spans="2:13">
      <c r="B607" s="39"/>
      <c r="C607" s="75">
        <v>602</v>
      </c>
      <c r="D607" s="110">
        <f>IF($C607&lt;=Entradas!$E$153,"",Observaciones!L607)</f>
        <v>0.30787846279345032</v>
      </c>
      <c r="E607" s="110">
        <f>IF($C607&lt;=Entradas!$E$153,"",Escenario1!BN608)</f>
        <v>0.32071244513512959</v>
      </c>
      <c r="F607" s="79">
        <f>IF($C607&lt;=Entradas!$E$153,"",D607-E607)</f>
        <v>-1.2833982341679262E-2</v>
      </c>
      <c r="G607" s="79">
        <f>IF($C607&lt;=Entradas!$E$153,"",D607-AVERAGE(D:D))</f>
        <v>-0.47497315871812762</v>
      </c>
      <c r="H607" s="79">
        <f>IF($C607&lt;=Entradas!$E$153,"",F607^2)</f>
        <v>1.6471110274653511E-4</v>
      </c>
      <c r="I607" s="79">
        <f>IF($C607&lt;=Entradas!$E$153,"",G607^2)</f>
        <v>0.22559950150267566</v>
      </c>
      <c r="J607" s="79">
        <f>IF($C607&lt;=Entradas!$E$153,"",E607-AVERAGE(E:E))</f>
        <v>-0.51022669552805566</v>
      </c>
      <c r="K607" s="79">
        <f>IF($C607&lt;=Entradas!$E$153,"",J607^2)</f>
        <v>0.26033128082947921</v>
      </c>
      <c r="L607" s="79">
        <f>IF($C607&lt;=Entradas!$E$153,"",G607*J607)</f>
        <v>0.24234398523727296</v>
      </c>
      <c r="M607" s="40"/>
    </row>
    <row r="608" spans="2:13">
      <c r="B608" s="39"/>
      <c r="C608" s="75">
        <v>603</v>
      </c>
      <c r="D608" s="110">
        <f>IF($C608&lt;=Entradas!$E$153,"",Observaciones!L608)</f>
        <v>0.3044675567914828</v>
      </c>
      <c r="E608" s="110">
        <f>IF($C608&lt;=Entradas!$E$153,"",Escenario1!BN609)</f>
        <v>0.3175843752359</v>
      </c>
      <c r="F608" s="79">
        <f>IF($C608&lt;=Entradas!$E$153,"",D608-E608)</f>
        <v>-1.31168184444172E-2</v>
      </c>
      <c r="G608" s="79">
        <f>IF($C608&lt;=Entradas!$E$153,"",D608-AVERAGE(D:D))</f>
        <v>-0.47838406472009515</v>
      </c>
      <c r="H608" s="79">
        <f>IF($C608&lt;=Entradas!$E$153,"",F608^2)</f>
        <v>1.7205092610380324E-4</v>
      </c>
      <c r="I608" s="79">
        <f>IF($C608&lt;=Entradas!$E$153,"",G608^2)</f>
        <v>0.22885131337812017</v>
      </c>
      <c r="J608" s="79">
        <f>IF($C608&lt;=Entradas!$E$153,"",E608-AVERAGE(E:E))</f>
        <v>-0.5133547654272852</v>
      </c>
      <c r="K608" s="79">
        <f>IF($C608&lt;=Entradas!$E$153,"",J608^2)</f>
        <v>0.26353311518690303</v>
      </c>
      <c r="L608" s="79">
        <f>IF($C608&lt;=Entradas!$E$153,"",G608*J608)</f>
        <v>0.24558073932853566</v>
      </c>
      <c r="M608" s="40"/>
    </row>
    <row r="609" spans="2:13">
      <c r="B609" s="39"/>
      <c r="C609" s="75">
        <v>604</v>
      </c>
      <c r="D609" s="110">
        <f>IF($C609&lt;=Entradas!$E$153,"",Observaciones!L609)</f>
        <v>0.30109604950170304</v>
      </c>
      <c r="E609" s="110">
        <f>IF($C609&lt;=Entradas!$E$153,"",Escenario1!BN610)</f>
        <v>0.31448583182520751</v>
      </c>
      <c r="F609" s="79">
        <f>IF($C609&lt;=Entradas!$E$153,"",D609-E609)</f>
        <v>-1.3389782323504462E-2</v>
      </c>
      <c r="G609" s="79">
        <f>IF($C609&lt;=Entradas!$E$153,"",D609-AVERAGE(D:D))</f>
        <v>-0.4817555720098749</v>
      </c>
      <c r="H609" s="79">
        <f>IF($C609&lt;=Entradas!$E$153,"",F609^2)</f>
        <v>1.7928627067083255E-4</v>
      </c>
      <c r="I609" s="79">
        <f>IF($C609&lt;=Entradas!$E$153,"",G609^2)</f>
        <v>0.23208843116256175</v>
      </c>
      <c r="J609" s="79">
        <f>IF($C609&lt;=Entradas!$E$153,"",E609-AVERAGE(E:E))</f>
        <v>-0.51645330883797769</v>
      </c>
      <c r="K609" s="79">
        <f>IF($C609&lt;=Entradas!$E$153,"",J609^2)</f>
        <v>0.26672402020969554</v>
      </c>
      <c r="L609" s="79">
        <f>IF($C609&lt;=Entradas!$E$153,"",G609*J609)</f>
        <v>0.24880425921563251</v>
      </c>
      <c r="M609" s="40"/>
    </row>
    <row r="610" spans="2:13">
      <c r="B610" s="39"/>
      <c r="C610" s="75">
        <v>605</v>
      </c>
      <c r="D610" s="110">
        <f>IF($C610&lt;=Entradas!$E$153,"",Observaciones!L610)</f>
        <v>0.29776344500977348</v>
      </c>
      <c r="E610" s="110">
        <f>IF($C610&lt;=Entradas!$E$153,"",Escenario1!BN611)</f>
        <v>0.31141653772188027</v>
      </c>
      <c r="F610" s="79">
        <f>IF($C610&lt;=Entradas!$E$153,"",D610-E610)</f>
        <v>-1.3653092712106796E-2</v>
      </c>
      <c r="G610" s="79">
        <f>IF($C610&lt;=Entradas!$E$153,"",D610-AVERAGE(D:D))</f>
        <v>-0.48508817650180447</v>
      </c>
      <c r="H610" s="79">
        <f>IF($C610&lt;=Entradas!$E$153,"",F610^2)</f>
        <v>1.8640694060538369E-4</v>
      </c>
      <c r="I610" s="79">
        <f>IF($C610&lt;=Entradas!$E$153,"",G610^2)</f>
        <v>0.23531053898184581</v>
      </c>
      <c r="J610" s="79">
        <f>IF($C610&lt;=Entradas!$E$153,"",E610-AVERAGE(E:E))</f>
        <v>-0.51952260294130492</v>
      </c>
      <c r="K610" s="79">
        <f>IF($C610&lt;=Entradas!$E$153,"",J610^2)</f>
        <v>0.26990373496690878</v>
      </c>
      <c r="L610" s="79">
        <f>IF($C610&lt;=Entradas!$E$153,"",G610*J610)</f>
        <v>0.25201427211226862</v>
      </c>
      <c r="M610" s="40"/>
    </row>
    <row r="611" spans="2:13">
      <c r="B611" s="39"/>
      <c r="C611" s="75">
        <v>606</v>
      </c>
      <c r="D611" s="110">
        <f>IF($C611&lt;=Entradas!$E$153,"",Observaciones!L611)</f>
        <v>0.29446926995156664</v>
      </c>
      <c r="E611" s="110">
        <f>IF($C611&lt;=Entradas!$E$153,"",Escenario1!BN612)</f>
        <v>0.30837624394944235</v>
      </c>
      <c r="F611" s="79">
        <f>IF($C611&lt;=Entradas!$E$153,"",D611-E611)</f>
        <v>-1.3906973997875716E-2</v>
      </c>
      <c r="G611" s="79">
        <f>IF($C611&lt;=Entradas!$E$153,"",D611-AVERAGE(D:D))</f>
        <v>-0.48838235156001131</v>
      </c>
      <c r="H611" s="79">
        <f>IF($C611&lt;=Entradas!$E$153,"",F611^2)</f>
        <v>1.9340392577759126E-4</v>
      </c>
      <c r="I611" s="79">
        <f>IF($C611&lt;=Entradas!$E$153,"",G611^2)</f>
        <v>0.23851732131528647</v>
      </c>
      <c r="J611" s="79">
        <f>IF($C611&lt;=Entradas!$E$153,"",E611-AVERAGE(E:E))</f>
        <v>-0.52256289671374279</v>
      </c>
      <c r="K611" s="79">
        <f>IF($C611&lt;=Entradas!$E$153,"",J611^2)</f>
        <v>0.27307198102185781</v>
      </c>
      <c r="L611" s="79">
        <f>IF($C611&lt;=Entradas!$E$153,"",G611*J611)</f>
        <v>0.25521049633506898</v>
      </c>
      <c r="M611" s="40"/>
    </row>
    <row r="612" spans="2:13">
      <c r="B612" s="39"/>
      <c r="C612" s="75">
        <v>607</v>
      </c>
      <c r="D612" s="110">
        <f>IF($C612&lt;=Entradas!$E$153,"",Observaciones!L612)</f>
        <v>0.29121305966137612</v>
      </c>
      <c r="E612" s="110">
        <f>IF($C612&lt;=Entradas!$E$153,"",Escenario1!BN613)</f>
        <v>0.30536468877619688</v>
      </c>
      <c r="F612" s="79">
        <f>IF($C612&lt;=Entradas!$E$153,"",D612-E612)</f>
        <v>-1.4151629114820763E-2</v>
      </c>
      <c r="G612" s="79">
        <f>IF($C612&lt;=Entradas!$E$153,"",D612-AVERAGE(D:D))</f>
        <v>-0.49163856185020183</v>
      </c>
      <c r="H612" s="79">
        <f>IF($C612&lt;=Entradas!$E$153,"",F612^2)</f>
        <v>2.0026860660344269E-4</v>
      </c>
      <c r="I612" s="79">
        <f>IF($C612&lt;=Entradas!$E$153,"",G612^2)</f>
        <v>0.24170847549813473</v>
      </c>
      <c r="J612" s="79">
        <f>IF($C612&lt;=Entradas!$E$153,"",E612-AVERAGE(E:E))</f>
        <v>-0.52557445188698826</v>
      </c>
      <c r="K612" s="79">
        <f>IF($C612&lt;=Entradas!$E$153,"",J612^2)</f>
        <v>0.27622850447630815</v>
      </c>
      <c r="L612" s="79">
        <f>IF($C612&lt;=Entradas!$E$153,"",G612*J612)</f>
        <v>0.258392667670927</v>
      </c>
      <c r="M612" s="40"/>
    </row>
    <row r="613" spans="2:13">
      <c r="B613" s="39"/>
      <c r="C613" s="75">
        <v>608</v>
      </c>
      <c r="D613" s="110">
        <f>IF($C613&lt;=Entradas!$E$153,"",Observaciones!L613)</f>
        <v>0.287994355807701</v>
      </c>
      <c r="E613" s="110">
        <f>IF($C613&lt;=Entradas!$E$153,"",Escenario1!BN614)</f>
        <v>0.3023815927385094</v>
      </c>
      <c r="F613" s="79">
        <f>IF($C613&lt;=Entradas!$E$153,"",D613-E613)</f>
        <v>-1.43872369308084E-2</v>
      </c>
      <c r="G613" s="79">
        <f>IF($C613&lt;=Entradas!$E$153,"",D613-AVERAGE(D:D))</f>
        <v>-0.49485726570387695</v>
      </c>
      <c r="H613" s="79">
        <f>IF($C613&lt;=Entradas!$E$153,"",F613^2)</f>
        <v>2.0699258650321711E-4</v>
      </c>
      <c r="I613" s="79">
        <f>IF($C613&lt;=Entradas!$E$153,"",G613^2)</f>
        <v>0.24488371341991746</v>
      </c>
      <c r="J613" s="79">
        <f>IF($C613&lt;=Entradas!$E$153,"",E613-AVERAGE(E:E))</f>
        <v>-0.5285575479246758</v>
      </c>
      <c r="K613" s="79">
        <f>IF($C613&lt;=Entradas!$E$153,"",J613^2)</f>
        <v>0.27937308146814593</v>
      </c>
      <c r="L613" s="79">
        <f>IF($C613&lt;=Entradas!$E$153,"",G613*J613)</f>
        <v>0.26156054293315095</v>
      </c>
      <c r="M613" s="40"/>
    </row>
    <row r="614" spans="2:13">
      <c r="B614" s="39"/>
      <c r="C614" s="75">
        <v>609</v>
      </c>
      <c r="D614" s="110">
        <f>IF($C614&lt;=Entradas!$E$153,"",Observaciones!L614)</f>
        <v>0.284812705936142</v>
      </c>
      <c r="E614" s="110">
        <f>IF($C614&lt;=Entradas!$E$153,"",Escenario1!BN615)</f>
        <v>0.29942669993084242</v>
      </c>
      <c r="F614" s="79">
        <f>IF($C614&lt;=Entradas!$E$153,"",D614-E614)</f>
        <v>-1.4613993994700425E-2</v>
      </c>
      <c r="G614" s="79">
        <f>IF($C614&lt;=Entradas!$E$153,"",D614-AVERAGE(D:D))</f>
        <v>-0.49803891557543595</v>
      </c>
      <c r="H614" s="79">
        <f>IF($C614&lt;=Entradas!$E$153,"",F614^2)</f>
        <v>2.1356882047714009E-4</v>
      </c>
      <c r="I614" s="79">
        <f>IF($C614&lt;=Entradas!$E$153,"",G614^2)</f>
        <v>0.24804276142755621</v>
      </c>
      <c r="J614" s="79">
        <f>IF($C614&lt;=Entradas!$E$153,"",E614-AVERAGE(E:E))</f>
        <v>-0.53151244073234283</v>
      </c>
      <c r="K614" s="79">
        <f>IF($C614&lt;=Entradas!$E$153,"",J614^2)</f>
        <v>0.28250547465325226</v>
      </c>
      <c r="L614" s="79">
        <f>IF($C614&lt;=Entradas!$E$153,"",G614*J614)</f>
        <v>0.26471387959718917</v>
      </c>
      <c r="M614" s="40"/>
    </row>
    <row r="615" spans="2:13">
      <c r="B615" s="39"/>
      <c r="C615" s="75">
        <v>610</v>
      </c>
      <c r="D615" s="110">
        <f>IF($C615&lt;=Entradas!$E$153,"",Observaciones!L615)</f>
        <v>0.28166766332964843</v>
      </c>
      <c r="E615" s="110">
        <f>IF($C615&lt;=Entradas!$E$153,"",Escenario1!BN616)</f>
        <v>0.29649974594835937</v>
      </c>
      <c r="F615" s="79">
        <f>IF($C615&lt;=Entradas!$E$153,"",D615-E615)</f>
        <v>-1.483208261871094E-2</v>
      </c>
      <c r="G615" s="79">
        <f>IF($C615&lt;=Entradas!$E$153,"",D615-AVERAGE(D:D))</f>
        <v>-0.50118395818192951</v>
      </c>
      <c r="H615" s="79">
        <f>IF($C615&lt;=Entradas!$E$153,"",F615^2)</f>
        <v>2.1999067480826717E-4</v>
      </c>
      <c r="I615" s="79">
        <f>IF($C615&lt;=Entradas!$E$153,"",G615^2)</f>
        <v>0.25118535993890606</v>
      </c>
      <c r="J615" s="79">
        <f>IF($C615&lt;=Entradas!$E$153,"",E615-AVERAGE(E:E))</f>
        <v>-0.53443939471482582</v>
      </c>
      <c r="K615" s="79">
        <f>IF($C615&lt;=Entradas!$E$153,"",J615^2)</f>
        <v>0.28562546662314942</v>
      </c>
      <c r="L615" s="79">
        <f>IF($C615&lt;=Entradas!$E$153,"",G615*J615)</f>
        <v>0.26785245125153101</v>
      </c>
      <c r="M615" s="40"/>
    </row>
    <row r="616" spans="2:13">
      <c r="B616" s="39"/>
      <c r="C616" s="75">
        <v>611</v>
      </c>
      <c r="D616" s="110">
        <f>IF($C616&lt;=Entradas!$E$153,"",Observaciones!L616)</f>
        <v>0.27855878692230485</v>
      </c>
      <c r="E616" s="110">
        <f>IF($C616&lt;=Entradas!$E$153,"",Escenario1!BN617)</f>
        <v>0.29360047865822325</v>
      </c>
      <c r="F616" s="79">
        <f>IF($C616&lt;=Entradas!$E$153,"",D616-E616)</f>
        <v>-1.5041691735918405E-2</v>
      </c>
      <c r="G616" s="79">
        <f>IF($C616&lt;=Entradas!$E$153,"",D616-AVERAGE(D:D))</f>
        <v>-0.5042928345892731</v>
      </c>
      <c r="H616" s="79">
        <f>IF($C616&lt;=Entradas!$E$153,"",F616^2)</f>
        <v>2.2625249027839606E-4</v>
      </c>
      <c r="I616" s="79">
        <f>IF($C616&lt;=Entradas!$E$153,"",G616^2)</f>
        <v>0.25431126301808393</v>
      </c>
      <c r="J616" s="79">
        <f>IF($C616&lt;=Entradas!$E$153,"",E616-AVERAGE(E:E))</f>
        <v>-0.53733866200496194</v>
      </c>
      <c r="K616" s="79">
        <f>IF($C616&lt;=Entradas!$E$153,"",J616^2)</f>
        <v>0.28873283768528274</v>
      </c>
      <c r="L616" s="79">
        <f>IF($C616&lt;=Entradas!$E$153,"",G616*J616)</f>
        <v>0.2709760369968896</v>
      </c>
      <c r="M616" s="40"/>
    </row>
    <row r="617" spans="2:13">
      <c r="B617" s="39"/>
      <c r="C617" s="75">
        <v>612</v>
      </c>
      <c r="D617" s="110">
        <f>IF($C617&lt;=Entradas!$E$153,"",Observaciones!L617)</f>
        <v>0.27548564122286878</v>
      </c>
      <c r="E617" s="110">
        <f>IF($C617&lt;=Entradas!$E$153,"",Escenario1!BN618)</f>
        <v>0.29072864462928849</v>
      </c>
      <c r="F617" s="79">
        <f>IF($C617&lt;=Entradas!$E$153,"",D617-E617)</f>
        <v>-1.5243003406419708E-2</v>
      </c>
      <c r="G617" s="79">
        <f>IF($C617&lt;=Entradas!$E$153,"",D617-AVERAGE(D:D))</f>
        <v>-0.50736598028870916</v>
      </c>
      <c r="H617" s="79">
        <f>IF($C617&lt;=Entradas!$E$153,"",F617^2)</f>
        <v>2.3234915284812282E-4</v>
      </c>
      <c r="I617" s="79">
        <f>IF($C617&lt;=Entradas!$E$153,"",G617^2)</f>
        <v>0.25742023795432284</v>
      </c>
      <c r="J617" s="79">
        <f>IF($C617&lt;=Entradas!$E$153,"",E617-AVERAGE(E:E))</f>
        <v>-0.5402104960338967</v>
      </c>
      <c r="K617" s="79">
        <f>IF($C617&lt;=Entradas!$E$153,"",J617^2)</f>
        <v>0.29182738002518871</v>
      </c>
      <c r="L617" s="79">
        <f>IF($C617&lt;=Entradas!$E$153,"",G617*J617)</f>
        <v>0.27408442788248782</v>
      </c>
      <c r="M617" s="40"/>
    </row>
    <row r="618" spans="2:13">
      <c r="B618" s="39"/>
      <c r="C618" s="75">
        <v>613</v>
      </c>
      <c r="D618" s="110">
        <f>IF($C618&lt;=Entradas!$E$153,"",Observaciones!L618)</f>
        <v>0.27244779624078225</v>
      </c>
      <c r="E618" s="110">
        <f>IF($C618&lt;=Entradas!$E$153,"",Escenario1!BN619)</f>
        <v>0.28788400484394677</v>
      </c>
      <c r="F618" s="79">
        <f>IF($C618&lt;=Entradas!$E$153,"",D618-E618)</f>
        <v>-1.5436208603164525E-2</v>
      </c>
      <c r="G618" s="79">
        <f>IF($C618&lt;=Entradas!$E$153,"",D618-AVERAGE(D:D))</f>
        <v>-0.51040382527079564</v>
      </c>
      <c r="H618" s="79">
        <f>IF($C618&lt;=Entradas!$E$153,"",F618^2)</f>
        <v>2.3827653604041051E-4</v>
      </c>
      <c r="I618" s="79">
        <f>IF($C618&lt;=Entradas!$E$153,"",G618^2)</f>
        <v>0.26051206485106088</v>
      </c>
      <c r="J618" s="79">
        <f>IF($C618&lt;=Entradas!$E$153,"",E618-AVERAGE(E:E))</f>
        <v>-0.54305513581923837</v>
      </c>
      <c r="K618" s="79">
        <f>IF($C618&lt;=Entradas!$E$153,"",J618^2)</f>
        <v>0.29490888053965142</v>
      </c>
      <c r="L618" s="79">
        <f>IF($C618&lt;=Entradas!$E$153,"",G618*J618)</f>
        <v>0.27717741865509071</v>
      </c>
      <c r="M618" s="40"/>
    </row>
    <row r="619" spans="2:13">
      <c r="B619" s="39"/>
      <c r="C619" s="75">
        <v>614</v>
      </c>
      <c r="D619" s="110">
        <f>IF($C619&lt;=Entradas!$E$153,"",Observaciones!L619)</f>
        <v>0.26944482741343478</v>
      </c>
      <c r="E619" s="110">
        <f>IF($C619&lt;=Entradas!$E$153,"",Escenario1!BN620)</f>
        <v>0.28506630592454252</v>
      </c>
      <c r="F619" s="79">
        <f>IF($C619&lt;=Entradas!$E$153,"",D619-E619)</f>
        <v>-1.5621478511107734E-2</v>
      </c>
      <c r="G619" s="79">
        <f>IF($C619&lt;=Entradas!$E$153,"",D619-AVERAGE(D:D))</f>
        <v>-0.51340679409814316</v>
      </c>
      <c r="H619" s="79">
        <f>IF($C619&lt;=Entradas!$E$153,"",F619^2)</f>
        <v>2.4403059087300071E-4</v>
      </c>
      <c r="I619" s="79">
        <f>IF($C619&lt;=Entradas!$E$153,"",G619^2)</f>
        <v>0.26358653622613315</v>
      </c>
      <c r="J619" s="79">
        <f>IF($C619&lt;=Entradas!$E$153,"",E619-AVERAGE(E:E))</f>
        <v>-0.54587283473864268</v>
      </c>
      <c r="K619" s="79">
        <f>IF($C619&lt;=Entradas!$E$153,"",J619^2)</f>
        <v>0.29797715170560152</v>
      </c>
      <c r="L619" s="79">
        <f>IF($C619&lt;=Entradas!$E$153,"",G619*J619)</f>
        <v>0.28025482206843205</v>
      </c>
      <c r="M619" s="40"/>
    </row>
    <row r="620" spans="2:13">
      <c r="B620" s="39"/>
      <c r="C620" s="75">
        <v>615</v>
      </c>
      <c r="D620" s="110">
        <f>IF($C620&lt;=Entradas!$E$153,"",Observaciones!L620)</f>
        <v>0.26647631553446643</v>
      </c>
      <c r="E620" s="110">
        <f>IF($C620&lt;=Entradas!$E$153,"",Escenario1!BN621)</f>
        <v>0.28227531431345088</v>
      </c>
      <c r="F620" s="79">
        <f>IF($C620&lt;=Entradas!$E$153,"",D620-E620)</f>
        <v>-1.5798998778984441E-2</v>
      </c>
      <c r="G620" s="79">
        <f>IF($C620&lt;=Entradas!$E$153,"",D620-AVERAGE(D:D))</f>
        <v>-0.51637530597711145</v>
      </c>
      <c r="H620" s="79">
        <f>IF($C620&lt;=Entradas!$E$153,"",F620^2)</f>
        <v>2.4960836241835185E-4</v>
      </c>
      <c r="I620" s="79">
        <f>IF($C620&lt;=Entradas!$E$153,"",G620^2)</f>
        <v>0.26664345662295547</v>
      </c>
      <c r="J620" s="79">
        <f>IF($C620&lt;=Entradas!$E$153,"",E620-AVERAGE(E:E))</f>
        <v>-0.54866382634973432</v>
      </c>
      <c r="K620" s="79">
        <f>IF($C620&lt;=Entradas!$E$153,"",J620^2)</f>
        <v>0.30103199434473144</v>
      </c>
      <c r="L620" s="79">
        <f>IF($C620&lt;=Entradas!$E$153,"",G620*J620)</f>
        <v>0.28331645120991683</v>
      </c>
      <c r="M620" s="40"/>
    </row>
    <row r="621" spans="2:13">
      <c r="B621" s="39"/>
      <c r="C621" s="75">
        <v>616</v>
      </c>
      <c r="D621" s="110">
        <f>IF($C621&lt;=Entradas!$E$153,"",Observaciones!L621)</f>
        <v>0.26354184668306141</v>
      </c>
      <c r="E621" s="110">
        <f>IF($C621&lt;=Entradas!$E$153,"",Escenario1!BN622)</f>
        <v>0.27951076689065141</v>
      </c>
      <c r="F621" s="79">
        <f>IF($C621&lt;=Entradas!$E$153,"",D621-E621)</f>
        <v>-1.5968920207589998E-2</v>
      </c>
      <c r="G621" s="79">
        <f>IF($C621&lt;=Entradas!$E$153,"",D621-AVERAGE(D:D))</f>
        <v>-0.51930977482851648</v>
      </c>
      <c r="H621" s="79">
        <f>IF($C621&lt;=Entradas!$E$153,"",F621^2)</f>
        <v>2.5500641259637618E-4</v>
      </c>
      <c r="I621" s="79">
        <f>IF($C621&lt;=Entradas!$E$153,"",G621^2)</f>
        <v>0.26968264223244448</v>
      </c>
      <c r="J621" s="79">
        <f>IF($C621&lt;=Entradas!$E$153,"",E621-AVERAGE(E:E))</f>
        <v>-0.55142837377253384</v>
      </c>
      <c r="K621" s="79">
        <f>IF($C621&lt;=Entradas!$E$153,"",J621^2)</f>
        <v>0.30407325140142127</v>
      </c>
      <c r="L621" s="79">
        <f>IF($C621&lt;=Entradas!$E$153,"",G621*J621)</f>
        <v>0.28636214461786957</v>
      </c>
      <c r="M621" s="40"/>
    </row>
    <row r="622" spans="2:13">
      <c r="B622" s="39"/>
      <c r="C622" s="75">
        <v>617</v>
      </c>
      <c r="D622" s="110">
        <f>IF($C622&lt;=Entradas!$E$153,"",Observaciones!L622)</f>
        <v>0.2606410121542132</v>
      </c>
      <c r="E622" s="110">
        <f>IF($C622&lt;=Entradas!$E$153,"",Escenario1!BN623)</f>
        <v>0.2767724236921863</v>
      </c>
      <c r="F622" s="79">
        <f>IF($C622&lt;=Entradas!$E$153,"",D622-E622)</f>
        <v>-1.6131411537973095E-2</v>
      </c>
      <c r="G622" s="79">
        <f>IF($C622&lt;=Entradas!$E$153,"",D622-AVERAGE(D:D))</f>
        <v>-0.52221060935736474</v>
      </c>
      <c r="H622" s="79">
        <f>IF($C622&lt;=Entradas!$E$153,"",F622^2)</f>
        <v>2.602224382074515E-4</v>
      </c>
      <c r="I622" s="79">
        <f>IF($C622&lt;=Entradas!$E$153,"",G622^2)</f>
        <v>0.27270392052539022</v>
      </c>
      <c r="J622" s="79">
        <f>IF($C622&lt;=Entradas!$E$153,"",E622-AVERAGE(E:E))</f>
        <v>-0.55416671697099895</v>
      </c>
      <c r="K622" s="79">
        <f>IF($C622&lt;=Entradas!$E$153,"",J622^2)</f>
        <v>0.30710075019841526</v>
      </c>
      <c r="L622" s="79">
        <f>IF($C622&lt;=Entradas!$E$153,"",G622*J622)</f>
        <v>0.28939173895499565</v>
      </c>
      <c r="M622" s="40"/>
    </row>
    <row r="623" spans="2:13">
      <c r="B623" s="39"/>
      <c r="C623" s="75">
        <v>618</v>
      </c>
      <c r="D623" s="110">
        <f>IF($C623&lt;=Entradas!$E$153,"",Observaciones!L623)</f>
        <v>0.25777340838994822</v>
      </c>
      <c r="E623" s="110">
        <f>IF($C623&lt;=Entradas!$E$153,"",Escenario1!BN624)</f>
        <v>0.27406004626395941</v>
      </c>
      <c r="F623" s="79">
        <f>IF($C623&lt;=Entradas!$E$153,"",D623-E623)</f>
        <v>-1.6286637874011189E-2</v>
      </c>
      <c r="G623" s="79">
        <f>IF($C623&lt;=Entradas!$E$153,"",D623-AVERAGE(D:D))</f>
        <v>-0.52507821312162972</v>
      </c>
      <c r="H623" s="79">
        <f>IF($C623&lt;=Entradas!$E$153,"",F623^2)</f>
        <v>2.6525457323917572E-4</v>
      </c>
      <c r="I623" s="79">
        <f>IF($C623&lt;=Entradas!$E$153,"",G623^2)</f>
        <v>0.27570712989500362</v>
      </c>
      <c r="J623" s="79">
        <f>IF($C623&lt;=Entradas!$E$153,"",E623-AVERAGE(E:E))</f>
        <v>-0.55687909439922578</v>
      </c>
      <c r="K623" s="79">
        <f>IF($C623&lt;=Entradas!$E$153,"",J623^2)</f>
        <v>0.3101143257789018</v>
      </c>
      <c r="L623" s="79">
        <f>IF($C623&lt;=Entradas!$E$153,"",G623*J623)</f>
        <v>0.29240507981193681</v>
      </c>
      <c r="M623" s="40"/>
    </row>
    <row r="624" spans="2:13">
      <c r="B624" s="39"/>
      <c r="C624" s="75">
        <v>619</v>
      </c>
      <c r="D624" s="110">
        <f>IF($C624&lt;=Entradas!$E$153,"",Observaciones!L624)</f>
        <v>0.25493863691149066</v>
      </c>
      <c r="E624" s="110">
        <f>IF($C624&lt;=Entradas!$E$153,"",Escenario1!BN625)</f>
        <v>0.27137340215701822</v>
      </c>
      <c r="F624" s="79">
        <f>IF($C624&lt;=Entradas!$E$153,"",D624-E624)</f>
        <v>-1.6434765245527561E-2</v>
      </c>
      <c r="G624" s="79">
        <f>IF($C624&lt;=Entradas!$E$153,"",D624-AVERAGE(D:D))</f>
        <v>-0.52791298460008729</v>
      </c>
      <c r="H624" s="79">
        <f>IF($C624&lt;=Entradas!$E$153,"",F624^2)</f>
        <v>2.7010150867560058E-4</v>
      </c>
      <c r="I624" s="79">
        <f>IF($C624&lt;=Entradas!$E$153,"",G624^2)</f>
        <v>0.27869211930937199</v>
      </c>
      <c r="J624" s="79">
        <f>IF($C624&lt;=Entradas!$E$153,"",E624-AVERAGE(E:E))</f>
        <v>-0.55956573850616698</v>
      </c>
      <c r="K624" s="79">
        <f>IF($C624&lt;=Entradas!$E$153,"",J624^2)</f>
        <v>0.31311381570995206</v>
      </c>
      <c r="L624" s="79">
        <f>IF($C624&lt;=Entradas!$E$153,"",G624*J624)</f>
        <v>0.29540201909474262</v>
      </c>
      <c r="M624" s="40"/>
    </row>
    <row r="625" spans="2:13">
      <c r="B625" s="39"/>
      <c r="C625" s="75">
        <v>620</v>
      </c>
      <c r="D625" s="110">
        <f>IF($C625&lt;=Entradas!$E$153,"",Observaciones!L625)</f>
        <v>0.25213630425235978</v>
      </c>
      <c r="E625" s="110">
        <f>IF($C625&lt;=Entradas!$E$153,"",Escenario1!BN626)</f>
        <v>0.26871226293196943</v>
      </c>
      <c r="F625" s="79">
        <f>IF($C625&lt;=Entradas!$E$153,"",D625-E625)</f>
        <v>-1.6575958679609648E-2</v>
      </c>
      <c r="G625" s="79">
        <f>IF($C625&lt;=Entradas!$E$153,"",D625-AVERAGE(D:D))</f>
        <v>-0.53071531725921817</v>
      </c>
      <c r="H625" s="79">
        <f>IF($C625&lt;=Entradas!$E$153,"",F625^2)</f>
        <v>2.7476240614812643E-4</v>
      </c>
      <c r="I625" s="79">
        <f>IF($C625&lt;=Entradas!$E$153,"",G625^2)</f>
        <v>0.28165874797355261</v>
      </c>
      <c r="J625" s="79">
        <f>IF($C625&lt;=Entradas!$E$153,"",E625-AVERAGE(E:E))</f>
        <v>-0.56222687773121582</v>
      </c>
      <c r="K625" s="79">
        <f>IF($C625&lt;=Entradas!$E$153,"",J625^2)</f>
        <v>0.3160990620433915</v>
      </c>
      <c r="L625" s="79">
        <f>IF($C625&lt;=Entradas!$E$153,"",G625*J625)</f>
        <v>0.29838241578678187</v>
      </c>
      <c r="M625" s="40"/>
    </row>
    <row r="626" spans="2:13">
      <c r="B626" s="39"/>
      <c r="C626" s="75">
        <v>621</v>
      </c>
      <c r="D626" s="110">
        <f>IF($C626&lt;=Entradas!$E$153,"",Observaciones!L626)</f>
        <v>0.24936602189238233</v>
      </c>
      <c r="E626" s="110">
        <f>IF($C626&lt;=Entradas!$E$153,"",Escenario1!BN627)</f>
        <v>0.26607639405466965</v>
      </c>
      <c r="F626" s="79">
        <f>IF($C626&lt;=Entradas!$E$153,"",D626-E626)</f>
        <v>-1.6710372162287324E-2</v>
      </c>
      <c r="G626" s="79">
        <f>IF($C626&lt;=Entradas!$E$153,"",D626-AVERAGE(D:D))</f>
        <v>-0.53348559961919562</v>
      </c>
      <c r="H626" s="79">
        <f>IF($C626&lt;=Entradas!$E$153,"",F626^2)</f>
        <v>2.7923653780214714E-4</v>
      </c>
      <c r="I626" s="79">
        <f>IF($C626&lt;=Entradas!$E$153,"",G626^2)</f>
        <v>0.28460688500105269</v>
      </c>
      <c r="J626" s="79">
        <f>IF($C626&lt;=Entradas!$E$153,"",E626-AVERAGE(E:E))</f>
        <v>-0.56486274660851554</v>
      </c>
      <c r="K626" s="79">
        <f>IF($C626&lt;=Entradas!$E$153,"",J626^2)</f>
        <v>0.31906992250611604</v>
      </c>
      <c r="L626" s="79">
        <f>IF($C626&lt;=Entradas!$E$153,"",G626*J626)</f>
        <v>0.30134614107698965</v>
      </c>
      <c r="M626" s="40"/>
    </row>
    <row r="627" spans="2:13">
      <c r="B627" s="39"/>
      <c r="C627" s="75">
        <v>622</v>
      </c>
      <c r="D627" s="110">
        <f>IF($C627&lt;=Entradas!$E$153,"",Observaciones!L627)</f>
        <v>0.24662740619260975</v>
      </c>
      <c r="E627" s="110">
        <f>IF($C627&lt;=Entradas!$E$153,"",Escenario1!BN628)</f>
        <v>0.26346557345366284</v>
      </c>
      <c r="F627" s="79">
        <f>IF($C627&lt;=Entradas!$E$153,"",D627-E627)</f>
        <v>-1.6838167261053083E-2</v>
      </c>
      <c r="G627" s="79">
        <f>IF($C627&lt;=Entradas!$E$153,"",D627-AVERAGE(D:D))</f>
        <v>-0.53622421531896824</v>
      </c>
      <c r="H627" s="79">
        <f>IF($C627&lt;=Entradas!$E$153,"",F627^2)</f>
        <v>2.8352387671119988E-4</v>
      </c>
      <c r="I627" s="79">
        <f>IF($C627&lt;=Entradas!$E$153,"",G627^2)</f>
        <v>0.28753640909444322</v>
      </c>
      <c r="J627" s="79">
        <f>IF($C627&lt;=Entradas!$E$153,"",E627-AVERAGE(E:E))</f>
        <v>-0.56747356720952236</v>
      </c>
      <c r="K627" s="79">
        <f>IF($C627&lt;=Entradas!$E$153,"",J627^2)</f>
        <v>0.32202624948150027</v>
      </c>
      <c r="L627" s="79">
        <f>IF($C627&lt;=Entradas!$E$153,"",G627*J627)</f>
        <v>0.30429306829118191</v>
      </c>
      <c r="M627" s="40"/>
    </row>
    <row r="628" spans="2:13">
      <c r="B628" s="39"/>
      <c r="C628" s="75">
        <v>623</v>
      </c>
      <c r="D628" s="110">
        <f>IF($C628&lt;=Entradas!$E$153,"",Observaciones!L628)</f>
        <v>0.24732644543864157</v>
      </c>
      <c r="E628" s="110">
        <f>IF($C628&lt;=Entradas!$E$153,"",Escenario1!BN629)</f>
        <v>0.26332120284918753</v>
      </c>
      <c r="F628" s="79">
        <f>IF($C628&lt;=Entradas!$E$153,"",D628-E628)</f>
        <v>-1.5994757410545957E-2</v>
      </c>
      <c r="G628" s="79">
        <f>IF($C628&lt;=Entradas!$E$153,"",D628-AVERAGE(D:D))</f>
        <v>-0.53552517607293637</v>
      </c>
      <c r="H628" s="79">
        <f>IF($C628&lt;=Entradas!$E$153,"",F628^2)</f>
        <v>2.5583226462221482E-4</v>
      </c>
      <c r="I628" s="79">
        <f>IF($C628&lt;=Entradas!$E$153,"",G628^2)</f>
        <v>0.2867872142079495</v>
      </c>
      <c r="J628" s="79">
        <f>IF($C628&lt;=Entradas!$E$153,"",E628-AVERAGE(E:E))</f>
        <v>-0.56761793781399761</v>
      </c>
      <c r="K628" s="79">
        <f>IF($C628&lt;=Entradas!$E$153,"",J628^2)</f>
        <v>0.32219012332821528</v>
      </c>
      <c r="L628" s="79">
        <f>IF($C628&lt;=Entradas!$E$153,"",G628*J628)</f>
        <v>0.30397369608999814</v>
      </c>
      <c r="M628" s="40"/>
    </row>
    <row r="629" spans="2:13">
      <c r="B629" s="39"/>
      <c r="C629" s="75">
        <v>624</v>
      </c>
      <c r="D629" s="110">
        <f>IF($C629&lt;=Entradas!$E$153,"",Observaciones!L629)</f>
        <v>0.24180890429252677</v>
      </c>
      <c r="E629" s="110">
        <f>IF($C629&lt;=Entradas!$E$153,"",Escenario1!BN630)</f>
        <v>0.25831993458232194</v>
      </c>
      <c r="F629" s="79">
        <f>IF($C629&lt;=Entradas!$E$153,"",D629-E629)</f>
        <v>-1.651103028979517E-2</v>
      </c>
      <c r="G629" s="79">
        <f>IF($C629&lt;=Entradas!$E$153,"",D629-AVERAGE(D:D))</f>
        <v>-0.54104271721905117</v>
      </c>
      <c r="H629" s="79">
        <f>IF($C629&lt;=Entradas!$E$153,"",F629^2)</f>
        <v>2.7261412123053355E-4</v>
      </c>
      <c r="I629" s="79">
        <f>IF($C629&lt;=Entradas!$E$153,"",G629^2)</f>
        <v>0.29272722185577416</v>
      </c>
      <c r="J629" s="79">
        <f>IF($C629&lt;=Entradas!$E$153,"",E629-AVERAGE(E:E))</f>
        <v>-0.57261920608086325</v>
      </c>
      <c r="K629" s="79">
        <f>IF($C629&lt;=Entradas!$E$153,"",J629^2)</f>
        <v>0.32789275517267813</v>
      </c>
      <c r="L629" s="79">
        <f>IF($C629&lt;=Entradas!$E$153,"",G629*J629)</f>
        <v>0.30981145118980608</v>
      </c>
      <c r="M629" s="40"/>
    </row>
    <row r="630" spans="2:13">
      <c r="B630" s="39"/>
      <c r="C630" s="75">
        <v>625</v>
      </c>
      <c r="D630" s="110">
        <f>IF($C630&lt;=Entradas!$E$153,"",Observaciones!L630)</f>
        <v>0.23869158840083443</v>
      </c>
      <c r="E630" s="110">
        <f>IF($C630&lt;=Entradas!$E$153,"",Escenario1!BN631)</f>
        <v>0.25578459975379586</v>
      </c>
      <c r="F630" s="79">
        <f>IF($C630&lt;=Entradas!$E$153,"",D630-E630)</f>
        <v>-1.7093011352961429E-2</v>
      </c>
      <c r="G630" s="79">
        <f>IF($C630&lt;=Entradas!$E$153,"",D630-AVERAGE(D:D))</f>
        <v>-0.54416003311074346</v>
      </c>
      <c r="H630" s="79">
        <f>IF($C630&lt;=Entradas!$E$153,"",F630^2)</f>
        <v>2.921710371124683E-4</v>
      </c>
      <c r="I630" s="79">
        <f>IF($C630&lt;=Entradas!$E$153,"",G630^2)</f>
        <v>0.29611014163508542</v>
      </c>
      <c r="J630" s="79">
        <f>IF($C630&lt;=Entradas!$E$153,"",E630-AVERAGE(E:E))</f>
        <v>-0.57515454090938933</v>
      </c>
      <c r="K630" s="79">
        <f>IF($C630&lt;=Entradas!$E$153,"",J630^2)</f>
        <v>0.33080274592869041</v>
      </c>
      <c r="L630" s="79">
        <f>IF($C630&lt;=Entradas!$E$153,"",G630*J630)</f>
        <v>0.31297611402504777</v>
      </c>
      <c r="M630" s="40"/>
    </row>
    <row r="631" spans="2:13">
      <c r="B631" s="39"/>
      <c r="C631" s="75">
        <v>626</v>
      </c>
      <c r="D631" s="110">
        <f>IF($C631&lt;=Entradas!$E$153,"",Observaciones!L631)</f>
        <v>0.23599766829790536</v>
      </c>
      <c r="E631" s="110">
        <f>IF($C631&lt;=Entradas!$E$153,"",Escenario1!BN632)</f>
        <v>0.25327335517268129</v>
      </c>
      <c r="F631" s="79">
        <f>IF($C631&lt;=Entradas!$E$153,"",D631-E631)</f>
        <v>-1.7275686874775931E-2</v>
      </c>
      <c r="G631" s="79">
        <f>IF($C631&lt;=Entradas!$E$153,"",D631-AVERAGE(D:D))</f>
        <v>-0.54685395321367258</v>
      </c>
      <c r="H631" s="79">
        <f>IF($C631&lt;=Entradas!$E$153,"",F631^2)</f>
        <v>2.9844935699530539E-4</v>
      </c>
      <c r="I631" s="79">
        <f>IF($C631&lt;=Entradas!$E$153,"",G631^2)</f>
        <v>0.29904924614542161</v>
      </c>
      <c r="J631" s="79">
        <f>IF($C631&lt;=Entradas!$E$153,"",E631-AVERAGE(E:E))</f>
        <v>-0.57766578549050385</v>
      </c>
      <c r="K631" s="79">
        <f>IF($C631&lt;=Entradas!$E$153,"",J631^2)</f>
        <v>0.33369775972636079</v>
      </c>
      <c r="L631" s="79">
        <f>IF($C631&lt;=Entradas!$E$153,"",G631*J631)</f>
        <v>0.31589881843176343</v>
      </c>
      <c r="M631" s="40"/>
    </row>
    <row r="632" spans="2:13">
      <c r="B632" s="39"/>
      <c r="C632" s="75">
        <v>627</v>
      </c>
      <c r="D632" s="110">
        <f>IF($C632&lt;=Entradas!$E$153,"",Observaciones!L632)</f>
        <v>0.23339881650579791</v>
      </c>
      <c r="E632" s="110">
        <f>IF($C632&lt;=Entradas!$E$153,"",Escenario1!BN633)</f>
        <v>0.25078598842473188</v>
      </c>
      <c r="F632" s="79">
        <f>IF($C632&lt;=Entradas!$E$153,"",D632-E632)</f>
        <v>-1.7387171918933964E-2</v>
      </c>
      <c r="G632" s="79">
        <f>IF($C632&lt;=Entradas!$E$153,"",D632-AVERAGE(D:D))</f>
        <v>-0.54945280500578009</v>
      </c>
      <c r="H632" s="79">
        <f>IF($C632&lt;=Entradas!$E$153,"",F632^2)</f>
        <v>3.0231374733856578E-4</v>
      </c>
      <c r="I632" s="79">
        <f>IF($C632&lt;=Entradas!$E$153,"",G632^2)</f>
        <v>0.30189838492871979</v>
      </c>
      <c r="J632" s="79">
        <f>IF($C632&lt;=Entradas!$E$153,"",E632-AVERAGE(E:E))</f>
        <v>-0.58015315223845332</v>
      </c>
      <c r="K632" s="79">
        <f>IF($C632&lt;=Entradas!$E$153,"",J632^2)</f>
        <v>0.336577680052214</v>
      </c>
      <c r="L632" s="79">
        <f>IF($C632&lt;=Entradas!$E$153,"",G632*J632)</f>
        <v>0.31876677683036353</v>
      </c>
      <c r="M632" s="40"/>
    </row>
    <row r="633" spans="2:13">
      <c r="B633" s="39"/>
      <c r="C633" s="75">
        <v>628</v>
      </c>
      <c r="D633" s="110">
        <f>IF($C633&lt;=Entradas!$E$153,"",Observaciones!L633)</f>
        <v>0.23084025566549299</v>
      </c>
      <c r="E633" s="110">
        <f>IF($C633&lt;=Entradas!$E$153,"",Escenario1!BN634)</f>
        <v>0.24832227923647138</v>
      </c>
      <c r="F633" s="79">
        <f>IF($C633&lt;=Entradas!$E$153,"",D633-E633)</f>
        <v>-1.7482023570978389E-2</v>
      </c>
      <c r="G633" s="79">
        <f>IF($C633&lt;=Entradas!$E$153,"",D633-AVERAGE(D:D))</f>
        <v>-0.55201136584608501</v>
      </c>
      <c r="H633" s="79">
        <f>IF($C633&lt;=Entradas!$E$153,"",F633^2)</f>
        <v>3.05621148136244E-4</v>
      </c>
      <c r="I633" s="79">
        <f>IF($C633&lt;=Entradas!$E$153,"",G633^2)</f>
        <v>0.30471654802326031</v>
      </c>
      <c r="J633" s="79">
        <f>IF($C633&lt;=Entradas!$E$153,"",E633-AVERAGE(E:E))</f>
        <v>-0.58261686142671376</v>
      </c>
      <c r="K633" s="79">
        <f>IF($C633&lt;=Entradas!$E$153,"",J633^2)</f>
        <v>0.3394424072187146</v>
      </c>
      <c r="L633" s="79">
        <f>IF($C633&lt;=Entradas!$E$153,"",G633*J633)</f>
        <v>0.32161112944111953</v>
      </c>
      <c r="M633" s="40"/>
    </row>
    <row r="634" spans="2:13">
      <c r="B634" s="39"/>
      <c r="C634" s="75">
        <v>629</v>
      </c>
      <c r="D634" s="110">
        <f>IF($C634&lt;=Entradas!$E$153,"",Observaciones!L634)</f>
        <v>0.2283126040221761</v>
      </c>
      <c r="E634" s="110">
        <f>IF($C634&lt;=Entradas!$E$153,"",Escenario1!BN635)</f>
        <v>0.24588201078243038</v>
      </c>
      <c r="F634" s="79">
        <f>IF($C634&lt;=Entradas!$E$153,"",D634-E634)</f>
        <v>-1.7569406760254286E-2</v>
      </c>
      <c r="G634" s="79">
        <f>IF($C634&lt;=Entradas!$E$153,"",D634-AVERAGE(D:D))</f>
        <v>-0.55453901748940182</v>
      </c>
      <c r="H634" s="79">
        <f>IF($C634&lt;=Entradas!$E$153,"",F634^2)</f>
        <v>3.0868405390726899E-4</v>
      </c>
      <c r="I634" s="79">
        <f>IF($C634&lt;=Entradas!$E$153,"",G634^2)</f>
        <v>0.3075135219181111</v>
      </c>
      <c r="J634" s="79">
        <f>IF($C634&lt;=Entradas!$E$153,"",E634-AVERAGE(E:E))</f>
        <v>-0.58505712988075476</v>
      </c>
      <c r="K634" s="79">
        <f>IF($C634&lt;=Entradas!$E$153,"",J634^2)</f>
        <v>0.34229184522430633</v>
      </c>
      <c r="L634" s="79">
        <f>IF($C634&lt;=Entradas!$E$153,"",G634*J634)</f>
        <v>0.32443700597924308</v>
      </c>
      <c r="M634" s="40"/>
    </row>
    <row r="635" spans="2:13">
      <c r="B635" s="39"/>
      <c r="C635" s="75">
        <v>630</v>
      </c>
      <c r="D635" s="110">
        <f>IF($C635&lt;=Entradas!$E$153,"",Observaciones!L635)</f>
        <v>0.22581401625414954</v>
      </c>
      <c r="E635" s="110">
        <f>IF($C635&lt;=Entradas!$E$153,"",Escenario1!BN636)</f>
        <v>0.24346497725664024</v>
      </c>
      <c r="F635" s="79">
        <f>IF($C635&lt;=Entradas!$E$153,"",D635-E635)</f>
        <v>-1.7650961002490695E-2</v>
      </c>
      <c r="G635" s="79">
        <f>IF($C635&lt;=Entradas!$E$153,"",D635-AVERAGE(D:D))</f>
        <v>-0.5570376052574284</v>
      </c>
      <c r="H635" s="79">
        <f>IF($C635&lt;=Entradas!$E$153,"",F635^2)</f>
        <v>3.115564243114473E-4</v>
      </c>
      <c r="I635" s="79">
        <f>IF($C635&lt;=Entradas!$E$153,"",G635^2)</f>
        <v>0.3102908936709306</v>
      </c>
      <c r="J635" s="79">
        <f>IF($C635&lt;=Entradas!$E$153,"",E635-AVERAGE(E:E))</f>
        <v>-0.58747416340654501</v>
      </c>
      <c r="K635" s="79">
        <f>IF($C635&lt;=Entradas!$E$153,"",J635^2)</f>
        <v>0.34512589267021992</v>
      </c>
      <c r="L635" s="79">
        <f>IF($C635&lt;=Entradas!$E$153,"",G635*J635)</f>
        <v>0.32724520113459299</v>
      </c>
      <c r="M635" s="40"/>
    </row>
    <row r="636" spans="2:13">
      <c r="B636" s="39"/>
      <c r="C636" s="75">
        <v>631</v>
      </c>
      <c r="D636" s="110">
        <f>IF($C636&lt;=Entradas!$E$153,"",Observaciones!L636)</f>
        <v>0.22334390121313674</v>
      </c>
      <c r="E636" s="110">
        <f>IF($C636&lt;=Entradas!$E$153,"",Escenario1!BN637)</f>
        <v>0.24107097223719426</v>
      </c>
      <c r="F636" s="79">
        <f>IF($C636&lt;=Entradas!$E$153,"",D636-E636)</f>
        <v>-1.7727071024057517E-2</v>
      </c>
      <c r="G636" s="79">
        <f>IF($C636&lt;=Entradas!$E$153,"",D636-AVERAGE(D:D))</f>
        <v>-0.5595077202984412</v>
      </c>
      <c r="H636" s="79">
        <f>IF($C636&lt;=Entradas!$E$153,"",F636^2)</f>
        <v>3.1424904709197963E-4</v>
      </c>
      <c r="I636" s="79">
        <f>IF($C636&lt;=Entradas!$E$153,"",G636^2)</f>
        <v>0.31304888907355871</v>
      </c>
      <c r="J636" s="79">
        <f>IF($C636&lt;=Entradas!$E$153,"",E636-AVERAGE(E:E))</f>
        <v>-0.58986816842599099</v>
      </c>
      <c r="K636" s="79">
        <f>IF($C636&lt;=Entradas!$E$153,"",J636^2)</f>
        <v>0.34794445612223329</v>
      </c>
      <c r="L636" s="79">
        <f>IF($C636&lt;=Entradas!$E$153,"",G636*J636)</f>
        <v>0.33003579419264317</v>
      </c>
      <c r="M636" s="40"/>
    </row>
    <row r="637" spans="2:13">
      <c r="B637" s="39"/>
      <c r="C637" s="75">
        <v>632</v>
      </c>
      <c r="D637" s="110">
        <f>IF($C637&lt;=Entradas!$E$153,"",Observaciones!L637)</f>
        <v>0.23452734785205781</v>
      </c>
      <c r="E637" s="110">
        <f>IF($C637&lt;=Entradas!$E$153,"",Escenario1!BN638)</f>
        <v>0.25010502440791482</v>
      </c>
      <c r="F637" s="79">
        <f>IF($C637&lt;=Entradas!$E$153,"",D637-E637)</f>
        <v>-1.5577676555857012E-2</v>
      </c>
      <c r="G637" s="79">
        <f>IF($C637&lt;=Entradas!$E$153,"",D637-AVERAGE(D:D))</f>
        <v>-0.54832427365952019</v>
      </c>
      <c r="H637" s="79">
        <f>IF($C637&lt;=Entradas!$E$153,"",F637^2)</f>
        <v>2.4266400687889718E-4</v>
      </c>
      <c r="I637" s="79">
        <f>IF($C637&lt;=Entradas!$E$153,"",G637^2)</f>
        <v>0.30065950908424038</v>
      </c>
      <c r="J637" s="79">
        <f>IF($C637&lt;=Entradas!$E$153,"",E637-AVERAGE(E:E))</f>
        <v>-0.58083411625527037</v>
      </c>
      <c r="K637" s="79">
        <f>IF($C637&lt;=Entradas!$E$153,"",J637^2)</f>
        <v>0.33736827060604097</v>
      </c>
      <c r="L637" s="79">
        <f>IF($C637&lt;=Entradas!$E$153,"",G637*J637)</f>
        <v>0.31848544491234043</v>
      </c>
      <c r="M637" s="40"/>
    </row>
    <row r="638" spans="2:13">
      <c r="B638" s="39"/>
      <c r="C638" s="75">
        <v>633</v>
      </c>
      <c r="D638" s="110">
        <f>IF($C638&lt;=Entradas!$E$153,"",Observaciones!L638)</f>
        <v>0.33693678225539869</v>
      </c>
      <c r="E638" s="110">
        <f>IF($C638&lt;=Entradas!$E$153,"",Escenario1!BN639)</f>
        <v>0.3243123234215276</v>
      </c>
      <c r="F638" s="79">
        <f>IF($C638&lt;=Entradas!$E$153,"",D638-E638)</f>
        <v>1.2624458833871088E-2</v>
      </c>
      <c r="G638" s="79">
        <f>IF($C638&lt;=Entradas!$E$153,"",D638-AVERAGE(D:D))</f>
        <v>-0.44591483925617925</v>
      </c>
      <c r="H638" s="79">
        <f>IF($C638&lt;=Entradas!$E$153,"",F638^2)</f>
        <v>1.5937696084810575E-4</v>
      </c>
      <c r="I638" s="79">
        <f>IF($C638&lt;=Entradas!$E$153,"",G638^2)</f>
        <v>0.19884004386886417</v>
      </c>
      <c r="J638" s="79">
        <f>IF($C638&lt;=Entradas!$E$153,"",E638-AVERAGE(E:E))</f>
        <v>-0.50662681724165759</v>
      </c>
      <c r="K638" s="79">
        <f>IF($C638&lt;=Entradas!$E$153,"",J638^2)</f>
        <v>0.25667073194841195</v>
      </c>
      <c r="L638" s="79">
        <f>IF($C638&lt;=Entradas!$E$153,"",G638*J638)</f>
        <v>0.22591241577318344</v>
      </c>
      <c r="M638" s="40"/>
    </row>
    <row r="639" spans="2:13">
      <c r="B639" s="39"/>
      <c r="C639" s="75">
        <v>634</v>
      </c>
      <c r="D639" s="110">
        <f>IF($C639&lt;=Entradas!$E$153,"",Observaciones!L639)</f>
        <v>0.24730547159680216</v>
      </c>
      <c r="E639" s="110">
        <f>IF($C639&lt;=Entradas!$E$153,"",Escenario1!BN640)</f>
        <v>0.26136131445280719</v>
      </c>
      <c r="F639" s="79">
        <f>IF($C639&lt;=Entradas!$E$153,"",D639-E639)</f>
        <v>-1.405584285600503E-2</v>
      </c>
      <c r="G639" s="79">
        <f>IF($C639&lt;=Entradas!$E$153,"",D639-AVERAGE(D:D))</f>
        <v>-0.53554614991477578</v>
      </c>
      <c r="H639" s="79">
        <f>IF($C639&lt;=Entradas!$E$153,"",F639^2)</f>
        <v>1.9756671839270764E-4</v>
      </c>
      <c r="I639" s="79">
        <f>IF($C639&lt;=Entradas!$E$153,"",G639^2)</f>
        <v>0.28680967868853952</v>
      </c>
      <c r="J639" s="79">
        <f>IF($C639&lt;=Entradas!$E$153,"",E639-AVERAGE(E:E))</f>
        <v>-0.569577826210378</v>
      </c>
      <c r="K639" s="79">
        <f>IF($C639&lt;=Entradas!$E$153,"",J639^2)</f>
        <v>0.32441890011053959</v>
      </c>
      <c r="L639" s="79">
        <f>IF($C639&lt;=Entradas!$E$153,"",G639*J639)</f>
        <v>0.30503521190379518</v>
      </c>
      <c r="M639" s="40"/>
    </row>
    <row r="640" spans="2:13">
      <c r="B640" s="39"/>
      <c r="C640" s="75">
        <v>635</v>
      </c>
      <c r="D640" s="110">
        <f>IF($C640&lt;=Entradas!$E$153,"",Observaciones!L640)</f>
        <v>0.21891900463814945</v>
      </c>
      <c r="E640" s="110">
        <f>IF($C640&lt;=Entradas!$E$153,"",Escenario1!BN641)</f>
        <v>0.23583805040466738</v>
      </c>
      <c r="F640" s="79">
        <f>IF($C640&lt;=Entradas!$E$153,"",D640-E640)</f>
        <v>-1.6919045766517926E-2</v>
      </c>
      <c r="G640" s="79">
        <f>IF($C640&lt;=Entradas!$E$153,"",D640-AVERAGE(D:D))</f>
        <v>-0.56393261687342844</v>
      </c>
      <c r="H640" s="79">
        <f>IF($C640&lt;=Entradas!$E$153,"",F640^2)</f>
        <v>2.8625410964952817E-4</v>
      </c>
      <c r="I640" s="79">
        <f>IF($C640&lt;=Entradas!$E$153,"",G640^2)</f>
        <v>0.31801999637371303</v>
      </c>
      <c r="J640" s="79">
        <f>IF($C640&lt;=Entradas!$E$153,"",E640-AVERAGE(E:E))</f>
        <v>-0.59510109025851787</v>
      </c>
      <c r="K640" s="79">
        <f>IF($C640&lt;=Entradas!$E$153,"",J640^2)</f>
        <v>0.35414530762687663</v>
      </c>
      <c r="L640" s="79">
        <f>IF($C640&lt;=Entradas!$E$153,"",G640*J640)</f>
        <v>0.33559691513371631</v>
      </c>
      <c r="M640" s="40"/>
    </row>
    <row r="641" spans="2:13">
      <c r="B641" s="39"/>
      <c r="C641" s="75">
        <v>636</v>
      </c>
      <c r="D641" s="110">
        <f>IF($C641&lt;=Entradas!$E$153,"",Observaciones!L641)</f>
        <v>0.2122672486179373</v>
      </c>
      <c r="E641" s="110">
        <f>IF($C641&lt;=Entradas!$E$153,"",Escenario1!BN642)</f>
        <v>0.2297086371913015</v>
      </c>
      <c r="F641" s="79">
        <f>IF($C641&lt;=Entradas!$E$153,"",D641-E641)</f>
        <v>-1.7441388573364192E-2</v>
      </c>
      <c r="G641" s="79">
        <f>IF($C641&lt;=Entradas!$E$153,"",D641-AVERAGE(D:D))</f>
        <v>-0.57058437289364061</v>
      </c>
      <c r="H641" s="79">
        <f>IF($C641&lt;=Entradas!$E$153,"",F641^2)</f>
        <v>3.04202035367079E-4</v>
      </c>
      <c r="I641" s="79">
        <f>IF($C641&lt;=Entradas!$E$153,"",G641^2)</f>
        <v>0.32556652659042912</v>
      </c>
      <c r="J641" s="79">
        <f>IF($C641&lt;=Entradas!$E$153,"",E641-AVERAGE(E:E))</f>
        <v>-0.60123050347188367</v>
      </c>
      <c r="K641" s="79">
        <f>IF($C641&lt;=Entradas!$E$153,"",J641^2)</f>
        <v>0.36147811830505472</v>
      </c>
      <c r="L641" s="79">
        <f>IF($C641&lt;=Entradas!$E$153,"",G641*J641)</f>
        <v>0.34305272978803258</v>
      </c>
      <c r="M641" s="40"/>
    </row>
    <row r="642" spans="2:13">
      <c r="B642" s="39"/>
      <c r="C642" s="75">
        <v>637</v>
      </c>
      <c r="D642" s="110">
        <f>IF($C642&lt;=Entradas!$E$153,"",Observaciones!L642)</f>
        <v>0.20924408417670479</v>
      </c>
      <c r="E642" s="110">
        <f>IF($C642&lt;=Entradas!$E$153,"",Escenario1!BN643)</f>
        <v>0.22726380345985725</v>
      </c>
      <c r="F642" s="79">
        <f>IF($C642&lt;=Entradas!$E$153,"",D642-E642)</f>
        <v>-1.8019719283152463E-2</v>
      </c>
      <c r="G642" s="79">
        <f>IF($C642&lt;=Entradas!$E$153,"",D642-AVERAGE(D:D))</f>
        <v>-0.57360753733487313</v>
      </c>
      <c r="H642" s="79">
        <f>IF($C642&lt;=Entradas!$E$153,"",F642^2)</f>
        <v>3.2471028304361673E-4</v>
      </c>
      <c r="I642" s="79">
        <f>IF($C642&lt;=Entradas!$E$153,"",G642^2)</f>
        <v>0.32902560688737786</v>
      </c>
      <c r="J642" s="79">
        <f>IF($C642&lt;=Entradas!$E$153,"",E642-AVERAGE(E:E))</f>
        <v>-0.60367533720332789</v>
      </c>
      <c r="K642" s="79">
        <f>IF($C642&lt;=Entradas!$E$153,"",J642^2)</f>
        <v>0.36442391274755165</v>
      </c>
      <c r="L642" s="79">
        <f>IF($C642&lt;=Entradas!$E$153,"",G642*J642)</f>
        <v>0.34627272352300004</v>
      </c>
      <c r="M642" s="40"/>
    </row>
    <row r="643" spans="2:13">
      <c r="B643" s="39"/>
      <c r="C643" s="75">
        <v>638</v>
      </c>
      <c r="D643" s="110">
        <f>IF($C643&lt;=Entradas!$E$153,"",Observaciones!L643)</f>
        <v>0.20684478734659503</v>
      </c>
      <c r="E643" s="110">
        <f>IF($C643&lt;=Entradas!$E$153,"",Escenario1!BN644)</f>
        <v>0.22504280080640532</v>
      </c>
      <c r="F643" s="79">
        <f>IF($C643&lt;=Entradas!$E$153,"",D643-E643)</f>
        <v>-1.8198013459810286E-2</v>
      </c>
      <c r="G643" s="79">
        <f>IF($C643&lt;=Entradas!$E$153,"",D643-AVERAGE(D:D))</f>
        <v>-0.57600683416498288</v>
      </c>
      <c r="H643" s="79">
        <f>IF($C643&lt;=Entradas!$E$153,"",F643^2)</f>
        <v>3.3116769388343633E-4</v>
      </c>
      <c r="I643" s="79">
        <f>IF($C643&lt;=Entradas!$E$153,"",G643^2)</f>
        <v>0.33178387300476608</v>
      </c>
      <c r="J643" s="79">
        <f>IF($C643&lt;=Entradas!$E$153,"",E643-AVERAGE(E:E))</f>
        <v>-0.60589633985677982</v>
      </c>
      <c r="K643" s="79">
        <f>IF($C643&lt;=Entradas!$E$153,"",J643^2)</f>
        <v>0.36711037465184243</v>
      </c>
      <c r="L643" s="79">
        <f>IF($C643&lt;=Entradas!$E$153,"",G643*J643)</f>
        <v>0.3490004325530543</v>
      </c>
      <c r="M643" s="40"/>
    </row>
    <row r="644" spans="2:13">
      <c r="B644" s="39"/>
      <c r="C644" s="75">
        <v>639</v>
      </c>
      <c r="D644" s="110">
        <f>IF($C644&lt;=Entradas!$E$153,"",Observaciones!L644)</f>
        <v>0.20457050751815087</v>
      </c>
      <c r="E644" s="110">
        <f>IF($C644&lt;=Entradas!$E$153,"",Escenario1!BN645)</f>
        <v>0.2228425737114316</v>
      </c>
      <c r="F644" s="79">
        <f>IF($C644&lt;=Entradas!$E$153,"",D644-E644)</f>
        <v>-1.8272066193280728E-2</v>
      </c>
      <c r="G644" s="79">
        <f>IF($C644&lt;=Entradas!$E$153,"",D644-AVERAGE(D:D))</f>
        <v>-0.57828111399342708</v>
      </c>
      <c r="H644" s="79">
        <f>IF($C644&lt;=Entradas!$E$153,"",F644^2)</f>
        <v>3.3386840297163249E-4</v>
      </c>
      <c r="I644" s="79">
        <f>IF($C644&lt;=Entradas!$E$153,"",G644^2)</f>
        <v>0.33440904680147898</v>
      </c>
      <c r="J644" s="79">
        <f>IF($C644&lt;=Entradas!$E$153,"",E644-AVERAGE(E:E))</f>
        <v>-0.60809656695175363</v>
      </c>
      <c r="K644" s="79">
        <f>IF($C644&lt;=Entradas!$E$153,"",J644^2)</f>
        <v>0.36978143473850855</v>
      </c>
      <c r="L644" s="79">
        <f>IF($C644&lt;=Entradas!$E$153,"",G644*J644)</f>
        <v>0.35165076015243868</v>
      </c>
      <c r="M644" s="40"/>
    </row>
    <row r="645" spans="2:13">
      <c r="B645" s="39"/>
      <c r="C645" s="75">
        <v>640</v>
      </c>
      <c r="D645" s="110">
        <f>IF($C645&lt;=Entradas!$E$153,"",Observaciones!L645)</f>
        <v>0.20233821271095445</v>
      </c>
      <c r="E645" s="110">
        <f>IF($C645&lt;=Entradas!$E$153,"",Escenario1!BN646)</f>
        <v>0.22066295040096603</v>
      </c>
      <c r="F645" s="79">
        <f>IF($C645&lt;=Entradas!$E$153,"",D645-E645)</f>
        <v>-1.8324737690011583E-2</v>
      </c>
      <c r="G645" s="79">
        <f>IF($C645&lt;=Entradas!$E$153,"",D645-AVERAGE(D:D))</f>
        <v>-0.58051340880062352</v>
      </c>
      <c r="H645" s="79">
        <f>IF($C645&lt;=Entradas!$E$153,"",F645^2)</f>
        <v>3.3579601140773106E-4</v>
      </c>
      <c r="I645" s="79">
        <f>IF($C645&lt;=Entradas!$E$153,"",G645^2)</f>
        <v>0.33699581779731985</v>
      </c>
      <c r="J645" s="79">
        <f>IF($C645&lt;=Entradas!$E$153,"",E645-AVERAGE(E:E))</f>
        <v>-0.61027619026221913</v>
      </c>
      <c r="K645" s="79">
        <f>IF($C645&lt;=Entradas!$E$153,"",J645^2)</f>
        <v>0.37243702840096826</v>
      </c>
      <c r="L645" s="79">
        <f>IF($C645&lt;=Entradas!$E$153,"",G645*J645)</f>
        <v>0.35427351151897873</v>
      </c>
      <c r="M645" s="40"/>
    </row>
    <row r="646" spans="2:13">
      <c r="B646" s="39"/>
      <c r="C646" s="75">
        <v>641</v>
      </c>
      <c r="D646" s="110">
        <f>IF($C646&lt;=Entradas!$E$153,"",Observaciones!L646)</f>
        <v>0.20013387352288081</v>
      </c>
      <c r="E646" s="110">
        <f>IF($C646&lt;=Entradas!$E$153,"",Escenario1!BN647)</f>
        <v>0.21850374353834603</v>
      </c>
      <c r="F646" s="79">
        <f>IF($C646&lt;=Entradas!$E$153,"",D646-E646)</f>
        <v>-1.8369870015465223E-2</v>
      </c>
      <c r="G646" s="79">
        <f>IF($C646&lt;=Entradas!$E$153,"",D646-AVERAGE(D:D))</f>
        <v>-0.58271774798869713</v>
      </c>
      <c r="H646" s="79">
        <f>IF($C646&lt;=Entradas!$E$153,"",F646^2)</f>
        <v>3.3745212438508824E-4</v>
      </c>
      <c r="I646" s="79">
        <f>IF($C646&lt;=Entradas!$E$153,"",G646^2)</f>
        <v>0.33955997382101877</v>
      </c>
      <c r="J646" s="79">
        <f>IF($C646&lt;=Entradas!$E$153,"",E646-AVERAGE(E:E))</f>
        <v>-0.61243539712483919</v>
      </c>
      <c r="K646" s="79">
        <f>IF($C646&lt;=Entradas!$E$153,"",J646^2)</f>
        <v>0.37507711565145946</v>
      </c>
      <c r="L646" s="79">
        <f>IF($C646&lt;=Entradas!$E$153,"",G646*J646)</f>
        <v>0.35687697540114971</v>
      </c>
      <c r="M646" s="40"/>
    </row>
    <row r="647" spans="2:13">
      <c r="B647" s="39"/>
      <c r="C647" s="75">
        <v>642</v>
      </c>
      <c r="D647" s="110">
        <f>IF($C647&lt;=Entradas!$E$153,"",Observaciones!L647)</f>
        <v>0.19795491370668511</v>
      </c>
      <c r="E647" s="110">
        <f>IF($C647&lt;=Entradas!$E$153,"",Escenario1!BN648)</f>
        <v>0.21636477927048367</v>
      </c>
      <c r="F647" s="79">
        <f>IF($C647&lt;=Entradas!$E$153,"",D647-E647)</f>
        <v>-1.8409865563798561E-2</v>
      </c>
      <c r="G647" s="79">
        <f>IF($C647&lt;=Entradas!$E$153,"",D647-AVERAGE(D:D))</f>
        <v>-0.58489670780489278</v>
      </c>
      <c r="H647" s="79">
        <f>IF($C647&lt;=Entradas!$E$153,"",F647^2)</f>
        <v>3.3892315007713608E-4</v>
      </c>
      <c r="I647" s="79">
        <f>IF($C647&lt;=Entradas!$E$153,"",G647^2)</f>
        <v>0.34210415880100215</v>
      </c>
      <c r="J647" s="79">
        <f>IF($C647&lt;=Entradas!$E$153,"",E647-AVERAGE(E:E))</f>
        <v>-0.6145743613927015</v>
      </c>
      <c r="K647" s="79">
        <f>IF($C647&lt;=Entradas!$E$153,"",J647^2)</f>
        <v>0.37770164568124687</v>
      </c>
      <c r="L647" s="79">
        <f>IF($C647&lt;=Entradas!$E$153,"",G647*J647)</f>
        <v>0.35946252067988549</v>
      </c>
      <c r="M647" s="40"/>
    </row>
    <row r="648" spans="2:13">
      <c r="B648" s="39"/>
      <c r="C648" s="75">
        <v>643</v>
      </c>
      <c r="D648" s="110">
        <f>IF($C648&lt;=Entradas!$E$153,"",Observaciones!L648)</f>
        <v>0.1958006605893694</v>
      </c>
      <c r="E648" s="110">
        <f>IF($C648&lt;=Entradas!$E$153,"",Escenario1!BN649)</f>
        <v>0.21424591490841421</v>
      </c>
      <c r="F648" s="79">
        <f>IF($C648&lt;=Entradas!$E$153,"",D648-E648)</f>
        <v>-1.8445254319044813E-2</v>
      </c>
      <c r="G648" s="79">
        <f>IF($C648&lt;=Entradas!$E$153,"",D648-AVERAGE(D:D))</f>
        <v>-0.58705096092220854</v>
      </c>
      <c r="H648" s="79">
        <f>IF($C648&lt;=Entradas!$E$153,"",F648^2)</f>
        <v>3.402274068942413E-4</v>
      </c>
      <c r="I648" s="79">
        <f>IF($C648&lt;=Entradas!$E$153,"",G648^2)</f>
        <v>0.34462883071968842</v>
      </c>
      <c r="J648" s="79">
        <f>IF($C648&lt;=Entradas!$E$153,"",E648-AVERAGE(E:E))</f>
        <v>-0.61669322575477103</v>
      </c>
      <c r="K648" s="79">
        <f>IF($C648&lt;=Entradas!$E$153,"",J648^2)</f>
        <v>0.38031053469182502</v>
      </c>
      <c r="L648" s="79">
        <f>IF($C648&lt;=Entradas!$E$153,"",G648*J648)</f>
        <v>0.36203035077355483</v>
      </c>
      <c r="M648" s="40"/>
    </row>
    <row r="649" spans="2:13">
      <c r="B649" s="39"/>
      <c r="C649" s="75">
        <v>644</v>
      </c>
      <c r="D649" s="110">
        <f>IF($C649&lt;=Entradas!$E$153,"",Observaciones!L649)</f>
        <v>0.19367076040979925</v>
      </c>
      <c r="E649" s="110">
        <f>IF($C649&lt;=Entradas!$E$153,"",Escenario1!BN650)</f>
        <v>0.21214693997762415</v>
      </c>
      <c r="F649" s="79">
        <f>IF($C649&lt;=Entradas!$E$153,"",D649-E649)</f>
        <v>-1.8476179567824907E-2</v>
      </c>
      <c r="G649" s="79">
        <f>IF($C649&lt;=Entradas!$E$153,"",D649-AVERAGE(D:D))</f>
        <v>-0.5891808611017787</v>
      </c>
      <c r="H649" s="79">
        <f>IF($C649&lt;=Entradas!$E$153,"",F649^2)</f>
        <v>3.4136921142251058E-4</v>
      </c>
      <c r="I649" s="79">
        <f>IF($C649&lt;=Entradas!$E$153,"",G649^2)</f>
        <v>0.34713408708863341</v>
      </c>
      <c r="J649" s="79">
        <f>IF($C649&lt;=Entradas!$E$153,"",E649-AVERAGE(E:E))</f>
        <v>-0.61879220068556107</v>
      </c>
      <c r="K649" s="79">
        <f>IF($C649&lt;=Entradas!$E$153,"",J649^2)</f>
        <v>0.38290378762927968</v>
      </c>
      <c r="L649" s="79">
        <f>IF($C649&lt;=Entradas!$E$153,"",G649*J649)</f>
        <v>0.36458052164298355</v>
      </c>
      <c r="M649" s="40"/>
    </row>
    <row r="650" spans="2:13">
      <c r="B650" s="39"/>
      <c r="C650" s="75">
        <v>645</v>
      </c>
      <c r="D650" s="110">
        <f>IF($C650&lt;=Entradas!$E$153,"",Observaciones!L650)</f>
        <v>0.19156491532615705</v>
      </c>
      <c r="E650" s="110">
        <f>IF($C650&lt;=Entradas!$E$153,"",Escenario1!BN651)</f>
        <v>0.21006768879692594</v>
      </c>
      <c r="F650" s="79">
        <f>IF($C650&lt;=Entradas!$E$153,"",D650-E650)</f>
        <v>-1.8502773470768896E-2</v>
      </c>
      <c r="G650" s="79">
        <f>IF($C650&lt;=Entradas!$E$153,"",D650-AVERAGE(D:D))</f>
        <v>-0.5912867061854209</v>
      </c>
      <c r="H650" s="79">
        <f>IF($C650&lt;=Entradas!$E$153,"",F650^2)</f>
        <v>3.4235262611058924E-4</v>
      </c>
      <c r="I650" s="79">
        <f>IF($C650&lt;=Entradas!$E$153,"",G650^2)</f>
        <v>0.34961996891160424</v>
      </c>
      <c r="J650" s="79">
        <f>IF($C650&lt;=Entradas!$E$153,"",E650-AVERAGE(E:E))</f>
        <v>-0.62087145186625925</v>
      </c>
      <c r="K650" s="79">
        <f>IF($C650&lt;=Entradas!$E$153,"",J650^2)</f>
        <v>0.38548135974251668</v>
      </c>
      <c r="L650" s="79">
        <f>IF($C650&lt;=Entradas!$E$153,"",G650*J650)</f>
        <v>0.36711303573856052</v>
      </c>
      <c r="M650" s="40"/>
    </row>
    <row r="651" spans="2:13">
      <c r="B651" s="39"/>
      <c r="C651" s="75">
        <v>646</v>
      </c>
      <c r="D651" s="110">
        <f>IF($C651&lt;=Entradas!$E$153,"",Observaciones!L651)</f>
        <v>0.18948283973697028</v>
      </c>
      <c r="E651" s="110">
        <f>IF($C651&lt;=Entradas!$E$153,"",Escenario1!BN652)</f>
        <v>0.20800799538320761</v>
      </c>
      <c r="F651" s="79">
        <f>IF($C651&lt;=Entradas!$E$153,"",D651-E651)</f>
        <v>-1.8525155646237329E-2</v>
      </c>
      <c r="G651" s="79">
        <f>IF($C651&lt;=Entradas!$E$153,"",D651-AVERAGE(D:D))</f>
        <v>-0.59336878177460761</v>
      </c>
      <c r="H651" s="79">
        <f>IF($C651&lt;=Entradas!$E$153,"",F651^2)</f>
        <v>3.4318139171731881E-4</v>
      </c>
      <c r="I651" s="79">
        <f>IF($C651&lt;=Entradas!$E$153,"",G651^2)</f>
        <v>0.35208651118468193</v>
      </c>
      <c r="J651" s="79">
        <f>IF($C651&lt;=Entradas!$E$153,"",E651-AVERAGE(E:E))</f>
        <v>-0.62293114527997762</v>
      </c>
      <c r="K651" s="79">
        <f>IF($C651&lt;=Entradas!$E$153,"",J651^2)</f>
        <v>0.38804321175982459</v>
      </c>
      <c r="L651" s="79">
        <f>IF($C651&lt;=Entradas!$E$153,"",G651*J651)</f>
        <v>0.36962789480424141</v>
      </c>
      <c r="M651" s="40"/>
    </row>
    <row r="652" spans="2:13">
      <c r="B652" s="39"/>
      <c r="C652" s="75">
        <v>647</v>
      </c>
      <c r="D652" s="110">
        <f>IF($C652&lt;=Entradas!$E$153,"",Observaciones!L652)</f>
        <v>0.18742425299475879</v>
      </c>
      <c r="E652" s="110">
        <f>IF($C652&lt;=Entradas!$E$153,"",Escenario1!BN653)</f>
        <v>0.20596770630977262</v>
      </c>
      <c r="F652" s="79">
        <f>IF($C652&lt;=Entradas!$E$153,"",D652-E652)</f>
        <v>-1.8543453315013836E-2</v>
      </c>
      <c r="G652" s="79">
        <f>IF($C652&lt;=Entradas!$E$153,"",D652-AVERAGE(D:D))</f>
        <v>-0.59542736851681921</v>
      </c>
      <c r="H652" s="79">
        <f>IF($C652&lt;=Entradas!$E$153,"",F652^2)</f>
        <v>3.4385966084609764E-4</v>
      </c>
      <c r="I652" s="79">
        <f>IF($C652&lt;=Entradas!$E$153,"",G652^2)</f>
        <v>0.35453375117886404</v>
      </c>
      <c r="J652" s="79">
        <f>IF($C652&lt;=Entradas!$E$153,"",E652-AVERAGE(E:E))</f>
        <v>-0.62497143435341251</v>
      </c>
      <c r="K652" s="79">
        <f>IF($C652&lt;=Entradas!$E$153,"",J652^2)</f>
        <v>0.3905892937577618</v>
      </c>
      <c r="L652" s="79">
        <f>IF($C652&lt;=Entradas!$E$153,"",G652*J652)</f>
        <v>0.37212509655523446</v>
      </c>
      <c r="M652" s="40"/>
    </row>
    <row r="653" spans="2:13">
      <c r="B653" s="39"/>
      <c r="C653" s="75">
        <v>648</v>
      </c>
      <c r="D653" s="110">
        <f>IF($C653&lt;=Entradas!$E$153,"",Observaciones!L653)</f>
        <v>0.21911678276306842</v>
      </c>
      <c r="E653" s="110">
        <f>IF($C653&lt;=Entradas!$E$153,"",Escenario1!BN654)</f>
        <v>0.23297049447664522</v>
      </c>
      <c r="F653" s="79">
        <f>IF($C653&lt;=Entradas!$E$153,"",D653-E653)</f>
        <v>-1.38537117135768E-2</v>
      </c>
      <c r="G653" s="79">
        <f>IF($C653&lt;=Entradas!$E$153,"",D653-AVERAGE(D:D))</f>
        <v>-0.56373483874850949</v>
      </c>
      <c r="H653" s="79">
        <f>IF($C653&lt;=Entradas!$E$153,"",F653^2)</f>
        <v>1.9192532824289501E-4</v>
      </c>
      <c r="I653" s="79">
        <f>IF($C653&lt;=Entradas!$E$153,"",G653^2)</f>
        <v>0.317796968418808</v>
      </c>
      <c r="J653" s="79">
        <f>IF($C653&lt;=Entradas!$E$153,"",E653-AVERAGE(E:E))</f>
        <v>-0.59796864618654</v>
      </c>
      <c r="K653" s="79">
        <f>IF($C653&lt;=Entradas!$E$153,"",J653^2)</f>
        <v>0.35756650182216343</v>
      </c>
      <c r="L653" s="79">
        <f>IF($C653&lt;=Entradas!$E$153,"",G653*J653)</f>
        <v>0.33709575833463368</v>
      </c>
      <c r="M653" s="40"/>
    </row>
    <row r="654" spans="2:13">
      <c r="B654" s="39"/>
      <c r="C654" s="75">
        <v>649</v>
      </c>
      <c r="D654" s="110">
        <f>IF($C654&lt;=Entradas!$E$153,"",Observaciones!L654)</f>
        <v>0.19101694668892791</v>
      </c>
      <c r="E654" s="110">
        <f>IF($C654&lt;=Entradas!$E$153,"",Escenario1!BN655)</f>
        <v>0.20806903588241282</v>
      </c>
      <c r="F654" s="79">
        <f>IF($C654&lt;=Entradas!$E$153,"",D654-E654)</f>
        <v>-1.7052089193484915E-2</v>
      </c>
      <c r="G654" s="79">
        <f>IF($C654&lt;=Entradas!$E$153,"",D654-AVERAGE(D:D))</f>
        <v>-0.59183467482265006</v>
      </c>
      <c r="H654" s="79">
        <f>IF($C654&lt;=Entradas!$E$153,"",F654^2)</f>
        <v>2.9077374586256505E-4</v>
      </c>
      <c r="I654" s="79">
        <f>IF($C654&lt;=Entradas!$E$153,"",G654^2)</f>
        <v>0.35026828232243196</v>
      </c>
      <c r="J654" s="79">
        <f>IF($C654&lt;=Entradas!$E$153,"",E654-AVERAGE(E:E))</f>
        <v>-0.62287010478077232</v>
      </c>
      <c r="K654" s="79">
        <f>IF($C654&lt;=Entradas!$E$153,"",J654^2)</f>
        <v>0.38796716742961029</v>
      </c>
      <c r="L654" s="79">
        <f>IF($C654&lt;=Entradas!$E$153,"",G654*J654)</f>
        <v>0.36863612591967837</v>
      </c>
      <c r="M654" s="40"/>
    </row>
    <row r="655" spans="2:13">
      <c r="B655" s="39"/>
      <c r="C655" s="75">
        <v>650</v>
      </c>
      <c r="D655" s="110">
        <f>IF($C655&lt;=Entradas!$E$153,"",Observaciones!L655)</f>
        <v>0.44999818528641633</v>
      </c>
      <c r="E655" s="110">
        <f>IF($C655&lt;=Entradas!$E$153,"",Escenario1!BN656)</f>
        <v>0.3325655199381044</v>
      </c>
      <c r="F655" s="79">
        <f>IF($C655&lt;=Entradas!$E$153,"",D655-E655)</f>
        <v>0.11743266534831193</v>
      </c>
      <c r="G655" s="79">
        <f>IF($C655&lt;=Entradas!$E$153,"",D655-AVERAGE(D:D))</f>
        <v>-0.33285343622516161</v>
      </c>
      <c r="H655" s="79">
        <f>IF($C655&lt;=Entradas!$E$153,"",F655^2)</f>
        <v>1.3790430890808621E-2</v>
      </c>
      <c r="I655" s="79">
        <f>IF($C655&lt;=Entradas!$E$153,"",G655^2)</f>
        <v>0.11079141000689773</v>
      </c>
      <c r="J655" s="79">
        <f>IF($C655&lt;=Entradas!$E$153,"",E655-AVERAGE(E:E))</f>
        <v>-0.49837362072508079</v>
      </c>
      <c r="K655" s="79">
        <f>IF($C655&lt;=Entradas!$E$153,"",J655^2)</f>
        <v>0.24837626583462669</v>
      </c>
      <c r="L655" s="79">
        <f>IF($C655&lt;=Entradas!$E$153,"",G655*J655)</f>
        <v>0.16588537218231855</v>
      </c>
      <c r="M655" s="40"/>
    </row>
    <row r="656" spans="2:13">
      <c r="B656" s="39"/>
      <c r="C656" s="75">
        <v>651</v>
      </c>
      <c r="D656" s="110">
        <f>IF($C656&lt;=Entradas!$E$153,"",Observaciones!L656)</f>
        <v>0.36677753778558164</v>
      </c>
      <c r="E656" s="110">
        <f>IF($C656&lt;=Entradas!$E$153,"",Escenario1!BN657)</f>
        <v>0.36578601962130874</v>
      </c>
      <c r="F656" s="79">
        <f>IF($C656&lt;=Entradas!$E$153,"",D656-E656)</f>
        <v>9.9151816427289763E-4</v>
      </c>
      <c r="G656" s="79">
        <f>IF($C656&lt;=Entradas!$E$153,"",D656-AVERAGE(D:D))</f>
        <v>-0.4160740837259963</v>
      </c>
      <c r="H656" s="79">
        <f>IF($C656&lt;=Entradas!$E$153,"",F656^2)</f>
        <v>9.8310827008309678E-7</v>
      </c>
      <c r="I656" s="79">
        <f>IF($C656&lt;=Entradas!$E$153,"",G656^2)</f>
        <v>0.17311764314842737</v>
      </c>
      <c r="J656" s="79">
        <f>IF($C656&lt;=Entradas!$E$153,"",E656-AVERAGE(E:E))</f>
        <v>-0.46515312104187645</v>
      </c>
      <c r="K656" s="79">
        <f>IF($C656&lt;=Entradas!$E$153,"",J656^2)</f>
        <v>0.21636742601499856</v>
      </c>
      <c r="L656" s="79">
        <f>IF($C656&lt;=Entradas!$E$153,"",G656*J656)</f>
        <v>0.19353815862978618</v>
      </c>
      <c r="M656" s="40"/>
    </row>
    <row r="657" spans="2:13">
      <c r="B657" s="39"/>
      <c r="C657" s="75">
        <v>652</v>
      </c>
      <c r="D657" s="110">
        <f>IF($C657&lt;=Entradas!$E$153,"",Observaciones!L657)</f>
        <v>1.9397050269185223</v>
      </c>
      <c r="E657" s="110">
        <f>IF($C657&lt;=Entradas!$E$153,"",Escenario1!BN658)</f>
        <v>0.86629250241696676</v>
      </c>
      <c r="F657" s="79">
        <f>IF($C657&lt;=Entradas!$E$153,"",D657-E657)</f>
        <v>1.0734125245015556</v>
      </c>
      <c r="G657" s="79">
        <f>IF($C657&lt;=Entradas!$E$153,"",D657-AVERAGE(D:D))</f>
        <v>1.1568534054069444</v>
      </c>
      <c r="H657" s="79">
        <f>IF($C657&lt;=Entradas!$E$153,"",F657^2)</f>
        <v>1.1522144477568026</v>
      </c>
      <c r="I657" s="79">
        <f>IF($C657&lt;=Entradas!$E$153,"",G657^2)</f>
        <v>1.3383098016016439</v>
      </c>
      <c r="J657" s="79">
        <f>IF($C657&lt;=Entradas!$E$153,"",E657-AVERAGE(E:E))</f>
        <v>3.5353361753781565E-2</v>
      </c>
      <c r="K657" s="79">
        <f>IF($C657&lt;=Entradas!$E$153,"",J657^2)</f>
        <v>1.2498601872937452E-3</v>
      </c>
      <c r="L657" s="79">
        <f>IF($C657&lt;=Entradas!$E$153,"",G657*J657)</f>
        <v>4.0898656937445828E-2</v>
      </c>
      <c r="M657" s="40"/>
    </row>
    <row r="658" spans="2:13">
      <c r="B658" s="39"/>
      <c r="C658" s="75">
        <v>653</v>
      </c>
      <c r="D658" s="110">
        <f>IF($C658&lt;=Entradas!$E$153,"",Observaciones!L658)</f>
        <v>0.74285838297751672</v>
      </c>
      <c r="E658" s="110">
        <f>IF($C658&lt;=Entradas!$E$153,"",Escenario1!BN659)</f>
        <v>0.90583237109021719</v>
      </c>
      <c r="F658" s="79">
        <f>IF($C658&lt;=Entradas!$E$153,"",D658-E658)</f>
        <v>-0.16297398811270047</v>
      </c>
      <c r="G658" s="79">
        <f>IF($C658&lt;=Entradas!$E$153,"",D658-AVERAGE(D:D))</f>
        <v>-3.9993238534061226E-2</v>
      </c>
      <c r="H658" s="79">
        <f>IF($C658&lt;=Entradas!$E$153,"",F658^2)</f>
        <v>2.6560520801358636E-2</v>
      </c>
      <c r="I658" s="79">
        <f>IF($C658&lt;=Entradas!$E$153,"",G658^2)</f>
        <v>1.5994591284423198E-3</v>
      </c>
      <c r="J658" s="79">
        <f>IF($C658&lt;=Entradas!$E$153,"",E658-AVERAGE(E:E))</f>
        <v>7.4893230427031998E-2</v>
      </c>
      <c r="K658" s="79">
        <f>IF($C658&lt;=Entradas!$E$153,"",J658^2)</f>
        <v>5.6089959637965116E-3</v>
      </c>
      <c r="L658" s="79">
        <f>IF($C658&lt;=Entradas!$E$153,"",G658*J658)</f>
        <v>-2.995222829054703E-3</v>
      </c>
      <c r="M658" s="40"/>
    </row>
    <row r="659" spans="2:13">
      <c r="B659" s="39"/>
      <c r="C659" s="75">
        <v>654</v>
      </c>
      <c r="D659" s="110">
        <f>IF($C659&lt;=Entradas!$E$153,"",Observaciones!L659)</f>
        <v>0.75537260103781378</v>
      </c>
      <c r="E659" s="110">
        <f>IF($C659&lt;=Entradas!$E$153,"",Escenario1!BN660)</f>
        <v>1.195045580975642</v>
      </c>
      <c r="F659" s="79">
        <f>IF($C659&lt;=Entradas!$E$153,"",D659-E659)</f>
        <v>-0.43967297993782817</v>
      </c>
      <c r="G659" s="79">
        <f>IF($C659&lt;=Entradas!$E$153,"",D659-AVERAGE(D:D))</f>
        <v>-2.747902047376416E-2</v>
      </c>
      <c r="H659" s="79">
        <f>IF($C659&lt;=Entradas!$E$153,"",F659^2)</f>
        <v>0.19331232928740985</v>
      </c>
      <c r="I659" s="79">
        <f>IF($C659&lt;=Entradas!$E$153,"",G659^2)</f>
        <v>7.5509656619754991E-4</v>
      </c>
      <c r="J659" s="79">
        <f>IF($C659&lt;=Entradas!$E$153,"",E659-AVERAGE(E:E))</f>
        <v>0.36410644031245676</v>
      </c>
      <c r="K659" s="79">
        <f>IF($C659&lt;=Entradas!$E$153,"",J659^2)</f>
        <v>0.13257349987700864</v>
      </c>
      <c r="L659" s="79">
        <f>IF($C659&lt;=Entradas!$E$153,"",G659*J659)</f>
        <v>-1.0005288327975388E-2</v>
      </c>
      <c r="M659" s="40"/>
    </row>
    <row r="660" spans="2:13">
      <c r="B660" s="39"/>
      <c r="C660" s="75">
        <v>655</v>
      </c>
      <c r="D660" s="110">
        <f>IF($C660&lt;=Entradas!$E$153,"",Observaciones!L660)</f>
        <v>0.7574578776616846</v>
      </c>
      <c r="E660" s="110">
        <f>IF($C660&lt;=Entradas!$E$153,"",Escenario1!BN661)</f>
        <v>1.0963069019625906</v>
      </c>
      <c r="F660" s="79">
        <f>IF($C660&lt;=Entradas!$E$153,"",D660-E660)</f>
        <v>-0.33884902430090602</v>
      </c>
      <c r="G660" s="79">
        <f>IF($C660&lt;=Entradas!$E$153,"",D660-AVERAGE(D:D))</f>
        <v>-2.5393743849893347E-2</v>
      </c>
      <c r="H660" s="79">
        <f>IF($C660&lt;=Entradas!$E$153,"",F660^2)</f>
        <v>0.11481866126967599</v>
      </c>
      <c r="I660" s="79">
        <f>IF($C660&lt;=Entradas!$E$153,"",G660^2)</f>
        <v>6.4484222671399617E-4</v>
      </c>
      <c r="J660" s="79">
        <f>IF($C660&lt;=Entradas!$E$153,"",E660-AVERAGE(E:E))</f>
        <v>0.26536776129940542</v>
      </c>
      <c r="K660" s="79">
        <f>IF($C660&lt;=Entradas!$E$153,"",J660^2)</f>
        <v>7.0420048737058219E-2</v>
      </c>
      <c r="L660" s="79">
        <f>IF($C660&lt;=Entradas!$E$153,"",G660*J660)</f>
        <v>-6.7386809564567423E-3</v>
      </c>
      <c r="M660" s="40"/>
    </row>
    <row r="661" spans="2:13">
      <c r="B661" s="39"/>
      <c r="C661" s="75">
        <v>656</v>
      </c>
      <c r="D661" s="110">
        <f>IF($C661&lt;=Entradas!$E$153,"",Observaciones!L661)</f>
        <v>0.75864102326628435</v>
      </c>
      <c r="E661" s="110">
        <f>IF($C661&lt;=Entradas!$E$153,"",Escenario1!BN662)</f>
        <v>1.0022250848159331</v>
      </c>
      <c r="F661" s="79">
        <f>IF($C661&lt;=Entradas!$E$153,"",D661-E661)</f>
        <v>-0.24358406154964873</v>
      </c>
      <c r="G661" s="79">
        <f>IF($C661&lt;=Entradas!$E$153,"",D661-AVERAGE(D:D))</f>
        <v>-2.4210598245293591E-2</v>
      </c>
      <c r="H661" s="79">
        <f>IF($C661&lt;=Entradas!$E$153,"",F661^2)</f>
        <v>5.9333195041023065E-2</v>
      </c>
      <c r="I661" s="79">
        <f>IF($C661&lt;=Entradas!$E$153,"",G661^2)</f>
        <v>5.8615306739501314E-4</v>
      </c>
      <c r="J661" s="79">
        <f>IF($C661&lt;=Entradas!$E$153,"",E661-AVERAGE(E:E))</f>
        <v>0.17128594415274789</v>
      </c>
      <c r="K661" s="79">
        <f>IF($C661&lt;=Entradas!$E$153,"",J661^2)</f>
        <v>2.933887466429827E-2</v>
      </c>
      <c r="L661" s="79">
        <f>IF($C661&lt;=Entradas!$E$153,"",G661*J661)</f>
        <v>-4.1469351789479745E-3</v>
      </c>
      <c r="M661" s="40"/>
    </row>
    <row r="662" spans="2:13">
      <c r="B662" s="39"/>
      <c r="C662" s="75">
        <v>657</v>
      </c>
      <c r="D662" s="110">
        <f>IF($C662&lt;=Entradas!$E$153,"",Observaciones!L662)</f>
        <v>0.76419143427946223</v>
      </c>
      <c r="E662" s="110">
        <f>IF($C662&lt;=Entradas!$E$153,"",Escenario1!BN663)</f>
        <v>1.1628950150144963</v>
      </c>
      <c r="F662" s="79">
        <f>IF($C662&lt;=Entradas!$E$153,"",D662-E662)</f>
        <v>-0.39870358073503409</v>
      </c>
      <c r="G662" s="79">
        <f>IF($C662&lt;=Entradas!$E$153,"",D662-AVERAGE(D:D))</f>
        <v>-1.866018723211571E-2</v>
      </c>
      <c r="H662" s="79">
        <f>IF($C662&lt;=Entradas!$E$153,"",F662^2)</f>
        <v>0.15896454529093784</v>
      </c>
      <c r="I662" s="79">
        <f>IF($C662&lt;=Entradas!$E$153,"",G662^2)</f>
        <v>3.4820258753761419E-4</v>
      </c>
      <c r="J662" s="79">
        <f>IF($C662&lt;=Entradas!$E$153,"",E662-AVERAGE(E:E))</f>
        <v>0.33195587435131113</v>
      </c>
      <c r="K662" s="79">
        <f>IF($C662&lt;=Entradas!$E$153,"",J662^2)</f>
        <v>0.11019470251634346</v>
      </c>
      <c r="L662" s="79">
        <f>IF($C662&lt;=Entradas!$E$153,"",G662*J662)</f>
        <v>-6.1943587681961426E-3</v>
      </c>
      <c r="M662" s="40"/>
    </row>
    <row r="663" spans="2:13">
      <c r="B663" s="39"/>
      <c r="C663" s="75">
        <v>658</v>
      </c>
      <c r="D663" s="110">
        <f>IF($C663&lt;=Entradas!$E$153,"",Observaciones!L663)</f>
        <v>0.76682219302289245</v>
      </c>
      <c r="E663" s="110">
        <f>IF($C663&lt;=Entradas!$E$153,"",Escenario1!BN664)</f>
        <v>1.1693829286870876</v>
      </c>
      <c r="F663" s="79">
        <f>IF($C663&lt;=Entradas!$E$153,"",D663-E663)</f>
        <v>-0.40256073566419515</v>
      </c>
      <c r="G663" s="79">
        <f>IF($C663&lt;=Entradas!$E$153,"",D663-AVERAGE(D:D))</f>
        <v>-1.6029428488685493E-2</v>
      </c>
      <c r="H663" s="79">
        <f>IF($C663&lt;=Entradas!$E$153,"",F663^2)</f>
        <v>0.16205514589849801</v>
      </c>
      <c r="I663" s="79">
        <f>IF($C663&lt;=Entradas!$E$153,"",G663^2)</f>
        <v>2.5694257767388211E-4</v>
      </c>
      <c r="J663" s="79">
        <f>IF($C663&lt;=Entradas!$E$153,"",E663-AVERAGE(E:E))</f>
        <v>0.3384437880239024</v>
      </c>
      <c r="K663" s="79">
        <f>IF($C663&lt;=Entradas!$E$153,"",J663^2)</f>
        <v>0.11454419765196819</v>
      </c>
      <c r="L663" s="79">
        <f>IF($C663&lt;=Entradas!$E$153,"",G663*J663)</f>
        <v>-5.4250604975689754E-3</v>
      </c>
      <c r="M663" s="40"/>
    </row>
    <row r="664" spans="2:13">
      <c r="B664" s="39"/>
      <c r="C664" s="75">
        <v>659</v>
      </c>
      <c r="D664" s="110">
        <f>IF($C664&lt;=Entradas!$E$153,"",Observaciones!L664)</f>
        <v>0.76851303474289678</v>
      </c>
      <c r="E664" s="110">
        <f>IF($C664&lt;=Entradas!$E$153,"",Escenario1!BN665)</f>
        <v>1.0720050507118757</v>
      </c>
      <c r="F664" s="79">
        <f>IF($C664&lt;=Entradas!$E$153,"",D664-E664)</f>
        <v>-0.3034920159689789</v>
      </c>
      <c r="G664" s="79">
        <f>IF($C664&lt;=Entradas!$E$153,"",D664-AVERAGE(D:D))</f>
        <v>-1.4338586768681161E-2</v>
      </c>
      <c r="H664" s="79">
        <f>IF($C664&lt;=Entradas!$E$153,"",F664^2)</f>
        <v>9.2107403756914938E-2</v>
      </c>
      <c r="I664" s="79">
        <f>IF($C664&lt;=Entradas!$E$153,"",G664^2)</f>
        <v>2.0559507052299845E-4</v>
      </c>
      <c r="J664" s="79">
        <f>IF($C664&lt;=Entradas!$E$153,"",E664-AVERAGE(E:E))</f>
        <v>0.24106591004869049</v>
      </c>
      <c r="K664" s="79">
        <f>IF($C664&lt;=Entradas!$E$153,"",J664^2)</f>
        <v>5.8112772987603332E-2</v>
      </c>
      <c r="L664" s="79">
        <f>IF($C664&lt;=Entradas!$E$153,"",G664*J664)</f>
        <v>-3.4565444682042364E-3</v>
      </c>
      <c r="M664" s="40"/>
    </row>
    <row r="665" spans="2:13">
      <c r="B665" s="39"/>
      <c r="C665" s="75">
        <v>660</v>
      </c>
      <c r="D665" s="110">
        <f>IF($C665&lt;=Entradas!$E$153,"",Observaciones!L665)</f>
        <v>0.7700187569389555</v>
      </c>
      <c r="E665" s="110">
        <f>IF($C665&lt;=Entradas!$E$153,"",Escenario1!BN666)</f>
        <v>1.0520568245052559</v>
      </c>
      <c r="F665" s="79">
        <f>IF($C665&lt;=Entradas!$E$153,"",D665-E665)</f>
        <v>-0.28203806756630045</v>
      </c>
      <c r="G665" s="79">
        <f>IF($C665&lt;=Entradas!$E$153,"",D665-AVERAGE(D:D))</f>
        <v>-1.2832864572622449E-2</v>
      </c>
      <c r="H665" s="79">
        <f>IF($C665&lt;=Entradas!$E$153,"",F665^2)</f>
        <v>7.9545471556533062E-2</v>
      </c>
      <c r="I665" s="79">
        <f>IF($C665&lt;=Entradas!$E$153,"",G665^2)</f>
        <v>1.6468241313926835E-4</v>
      </c>
      <c r="J665" s="79">
        <f>IF($C665&lt;=Entradas!$E$153,"",E665-AVERAGE(E:E))</f>
        <v>0.22111768384207076</v>
      </c>
      <c r="K665" s="79">
        <f>IF($C665&lt;=Entradas!$E$153,"",J665^2)</f>
        <v>4.8893030107681958E-2</v>
      </c>
      <c r="L665" s="79">
        <f>IF($C665&lt;=Entradas!$E$153,"",G665*J665)</f>
        <v>-2.8375732913572412E-3</v>
      </c>
      <c r="M665" s="40"/>
    </row>
    <row r="666" spans="2:13">
      <c r="B666" s="39"/>
      <c r="C666" s="75">
        <v>661</v>
      </c>
      <c r="D666" s="110">
        <f>IF($C666&lt;=Entradas!$E$153,"",Observaciones!L666)</f>
        <v>0.77153998712831995</v>
      </c>
      <c r="E666" s="110">
        <f>IF($C666&lt;=Entradas!$E$153,"",Escenario1!BN667)</f>
        <v>1.0528126868771415</v>
      </c>
      <c r="F666" s="79">
        <f>IF($C666&lt;=Entradas!$E$153,"",D666-E666)</f>
        <v>-0.28127269974882152</v>
      </c>
      <c r="G666" s="79">
        <f>IF($C666&lt;=Entradas!$E$153,"",D666-AVERAGE(D:D))</f>
        <v>-1.1311634383257996E-2</v>
      </c>
      <c r="H666" s="79">
        <f>IF($C666&lt;=Entradas!$E$153,"",F666^2)</f>
        <v>7.9114331623990702E-2</v>
      </c>
      <c r="I666" s="79">
        <f>IF($C666&lt;=Entradas!$E$153,"",G666^2)</f>
        <v>1.279530724205045E-4</v>
      </c>
      <c r="J666" s="79">
        <f>IF($C666&lt;=Entradas!$E$153,"",E666-AVERAGE(E:E))</f>
        <v>0.22187354621395627</v>
      </c>
      <c r="K666" s="79">
        <f>IF($C666&lt;=Entradas!$E$153,"",J666^2)</f>
        <v>4.9227870509556591E-2</v>
      </c>
      <c r="L666" s="79">
        <f>IF($C666&lt;=Entradas!$E$153,"",G666*J666)</f>
        <v>-2.5097524340891696E-3</v>
      </c>
      <c r="M666" s="40"/>
    </row>
    <row r="667" spans="2:13">
      <c r="B667" s="39"/>
      <c r="C667" s="75">
        <v>662</v>
      </c>
      <c r="D667" s="110">
        <f>IF($C667&lt;=Entradas!$E$153,"",Observaciones!L667)</f>
        <v>0.77271498079366774</v>
      </c>
      <c r="E667" s="110">
        <f>IF($C667&lt;=Entradas!$E$153,"",Escenario1!BN668)</f>
        <v>1.0155451869328391</v>
      </c>
      <c r="F667" s="79">
        <f>IF($C667&lt;=Entradas!$E$153,"",D667-E667)</f>
        <v>-0.24283020613917139</v>
      </c>
      <c r="G667" s="79">
        <f>IF($C667&lt;=Entradas!$E$153,"",D667-AVERAGE(D:D))</f>
        <v>-1.0136640717910206E-2</v>
      </c>
      <c r="H667" s="79">
        <f>IF($C667&lt;=Entradas!$E$153,"",F667^2)</f>
        <v>5.8966509013592468E-2</v>
      </c>
      <c r="I667" s="79">
        <f>IF($C667&lt;=Entradas!$E$153,"",G667^2)</f>
        <v>1.0275148504399513E-4</v>
      </c>
      <c r="J667" s="79">
        <f>IF($C667&lt;=Entradas!$E$153,"",E667-AVERAGE(E:E))</f>
        <v>0.18460604626965393</v>
      </c>
      <c r="K667" s="79">
        <f>IF($C667&lt;=Entradas!$E$153,"",J667^2)</f>
        <v>3.407939231931361E-2</v>
      </c>
      <c r="L667" s="79">
        <f>IF($C667&lt;=Entradas!$E$153,"",G667*J667)</f>
        <v>-1.8712851653893896E-3</v>
      </c>
      <c r="M667" s="40"/>
    </row>
    <row r="668" spans="2:13">
      <c r="B668" s="39"/>
      <c r="C668" s="75">
        <v>663</v>
      </c>
      <c r="D668" s="110">
        <f>IF($C668&lt;=Entradas!$E$153,"",Observaciones!L668)</f>
        <v>0.77538481952852101</v>
      </c>
      <c r="E668" s="110">
        <f>IF($C668&lt;=Entradas!$E$153,"",Escenario1!BN669)</f>
        <v>1.0993484236773552</v>
      </c>
      <c r="F668" s="79">
        <f>IF($C668&lt;=Entradas!$E$153,"",D668-E668)</f>
        <v>-0.32396360414883418</v>
      </c>
      <c r="G668" s="79">
        <f>IF($C668&lt;=Entradas!$E$153,"",D668-AVERAGE(D:D))</f>
        <v>-7.4668019830569365E-3</v>
      </c>
      <c r="H668" s="79">
        <f>IF($C668&lt;=Entradas!$E$153,"",F668^2)</f>
        <v>0.10495241681310254</v>
      </c>
      <c r="I668" s="79">
        <f>IF($C668&lt;=Entradas!$E$153,"",G668^2)</f>
        <v>5.5753131854183001E-5</v>
      </c>
      <c r="J668" s="79">
        <f>IF($C668&lt;=Entradas!$E$153,"",E668-AVERAGE(E:E))</f>
        <v>0.26840928301417</v>
      </c>
      <c r="K668" s="79">
        <f>IF($C668&lt;=Entradas!$E$153,"",J668^2)</f>
        <v>7.2043543208180807E-2</v>
      </c>
      <c r="L668" s="79">
        <f>IF($C668&lt;=Entradas!$E$153,"",G668*J668)</f>
        <v>-2.0041589666810952E-3</v>
      </c>
      <c r="M668" s="40"/>
    </row>
    <row r="669" spans="2:13">
      <c r="B669" s="39"/>
      <c r="C669" s="75">
        <v>664</v>
      </c>
      <c r="D669" s="110">
        <f>IF($C669&lt;=Entradas!$E$153,"",Observaciones!L669)</f>
        <v>0.77691719472067522</v>
      </c>
      <c r="E669" s="110">
        <f>IF($C669&lt;=Entradas!$E$153,"",Escenario1!BN670)</f>
        <v>1.0551168800117514</v>
      </c>
      <c r="F669" s="79">
        <f>IF($C669&lt;=Entradas!$E$153,"",D669-E669)</f>
        <v>-0.27819968529107619</v>
      </c>
      <c r="G669" s="79">
        <f>IF($C669&lt;=Entradas!$E$153,"",D669-AVERAGE(D:D))</f>
        <v>-5.9344267909027248E-3</v>
      </c>
      <c r="H669" s="79">
        <f>IF($C669&lt;=Entradas!$E$153,"",F669^2)</f>
        <v>7.7395064896053842E-2</v>
      </c>
      <c r="I669" s="79">
        <f>IF($C669&lt;=Entradas!$E$153,"",G669^2)</f>
        <v>3.5217421336584015E-5</v>
      </c>
      <c r="J669" s="79">
        <f>IF($C669&lt;=Entradas!$E$153,"",E669-AVERAGE(E:E))</f>
        <v>0.22417773934856622</v>
      </c>
      <c r="K669" s="79">
        <f>IF($C669&lt;=Entradas!$E$153,"",J669^2)</f>
        <v>5.0255658819433696E-2</v>
      </c>
      <c r="L669" s="79">
        <f>IF($C669&lt;=Entradas!$E$153,"",G669*J669)</f>
        <v>-1.3303663823141393E-3</v>
      </c>
      <c r="M669" s="40"/>
    </row>
    <row r="670" spans="2:13">
      <c r="B670" s="39"/>
      <c r="C670" s="75">
        <v>665</v>
      </c>
      <c r="D670" s="110">
        <f>IF($C670&lt;=Entradas!$E$153,"",Observaciones!L670)</f>
        <v>0.77762875832485023</v>
      </c>
      <c r="E670" s="110">
        <f>IF($C670&lt;=Entradas!$E$153,"",Escenario1!BN671)</f>
        <v>0.96828839406062661</v>
      </c>
      <c r="F670" s="79">
        <f>IF($C670&lt;=Entradas!$E$153,"",D670-E670)</f>
        <v>-0.19065963573577638</v>
      </c>
      <c r="G670" s="79">
        <f>IF($C670&lt;=Entradas!$E$153,"",D670-AVERAGE(D:D))</f>
        <v>-5.2228631867277109E-3</v>
      </c>
      <c r="H670" s="79">
        <f>IF($C670&lt;=Entradas!$E$153,"",F670^2)</f>
        <v>3.6351096698898938E-2</v>
      </c>
      <c r="I670" s="79">
        <f>IF($C670&lt;=Entradas!$E$153,"",G670^2)</f>
        <v>2.727829986727554E-5</v>
      </c>
      <c r="J670" s="79">
        <f>IF($C670&lt;=Entradas!$E$153,"",E670-AVERAGE(E:E))</f>
        <v>0.13734925339744142</v>
      </c>
      <c r="K670" s="79">
        <f>IF($C670&lt;=Entradas!$E$153,"",J670^2)</f>
        <v>1.8864817408834573E-2</v>
      </c>
      <c r="L670" s="79">
        <f>IF($C670&lt;=Entradas!$E$153,"",G670*J670)</f>
        <v>-7.1735635929403273E-4</v>
      </c>
      <c r="M670" s="40"/>
    </row>
    <row r="671" spans="2:13">
      <c r="B671" s="39"/>
      <c r="C671" s="75">
        <v>666</v>
      </c>
      <c r="D671" s="110">
        <f>IF($C671&lt;=Entradas!$E$153,"",Observaciones!L671)</f>
        <v>0.77785544160575648</v>
      </c>
      <c r="E671" s="110">
        <f>IF($C671&lt;=Entradas!$E$153,"",Escenario1!BN672)</f>
        <v>0.91542159670700007</v>
      </c>
      <c r="F671" s="79">
        <f>IF($C671&lt;=Entradas!$E$153,"",D671-E671)</f>
        <v>-0.13756615510124359</v>
      </c>
      <c r="G671" s="79">
        <f>IF($C671&lt;=Entradas!$E$153,"",D671-AVERAGE(D:D))</f>
        <v>-4.9961799058214629E-3</v>
      </c>
      <c r="H671" s="79">
        <f>IF($C671&lt;=Entradas!$E$153,"",F671^2)</f>
        <v>1.892444702933941E-2</v>
      </c>
      <c r="I671" s="79">
        <f>IF($C671&lt;=Entradas!$E$153,"",G671^2)</f>
        <v>2.4961813651334161E-5</v>
      </c>
      <c r="J671" s="79">
        <f>IF($C671&lt;=Entradas!$E$153,"",E671-AVERAGE(E:E))</f>
        <v>8.448245604381488E-2</v>
      </c>
      <c r="K671" s="79">
        <f>IF($C671&lt;=Entradas!$E$153,"",J671^2)</f>
        <v>7.137285379195113E-3</v>
      </c>
      <c r="L671" s="79">
        <f>IF($C671&lt;=Entradas!$E$153,"",G671*J671)</f>
        <v>-4.220895492805529E-4</v>
      </c>
      <c r="M671" s="40"/>
    </row>
    <row r="672" spans="2:13">
      <c r="B672" s="39"/>
      <c r="C672" s="75">
        <v>667</v>
      </c>
      <c r="D672" s="110">
        <f>IF($C672&lt;=Entradas!$E$153,"",Observaciones!L672)</f>
        <v>0.77722087968814724</v>
      </c>
      <c r="E672" s="110">
        <f>IF($C672&lt;=Entradas!$E$153,"",Escenario1!BN673)</f>
        <v>0.82247728368695727</v>
      </c>
      <c r="F672" s="79">
        <f>IF($C672&lt;=Entradas!$E$153,"",D672-E672)</f>
        <v>-4.5256403998810035E-2</v>
      </c>
      <c r="G672" s="79">
        <f>IF($C672&lt;=Entradas!$E$153,"",D672-AVERAGE(D:D))</f>
        <v>-5.6307418234307072E-3</v>
      </c>
      <c r="H672" s="79">
        <f>IF($C672&lt;=Entradas!$E$153,"",F672^2)</f>
        <v>2.0481421029035088E-3</v>
      </c>
      <c r="I672" s="79">
        <f>IF($C672&lt;=Entradas!$E$153,"",G672^2)</f>
        <v>3.1705253482131764E-5</v>
      </c>
      <c r="J672" s="79">
        <f>IF($C672&lt;=Entradas!$E$153,"",E672-AVERAGE(E:E))</f>
        <v>-8.4618569762279217E-3</v>
      </c>
      <c r="K672" s="79">
        <f>IF($C672&lt;=Entradas!$E$153,"",J672^2)</f>
        <v>7.1603023486137147E-5</v>
      </c>
      <c r="L672" s="79">
        <f>IF($C672&lt;=Entradas!$E$153,"",G672*J672)</f>
        <v>4.7646531979935456E-5</v>
      </c>
      <c r="M672" s="40"/>
    </row>
    <row r="673" spans="2:13">
      <c r="B673" s="39"/>
      <c r="C673" s="75">
        <v>668</v>
      </c>
      <c r="D673" s="110">
        <f>IF($C673&lt;=Entradas!$E$153,"",Observaciones!L673)</f>
        <v>0.77650100250469534</v>
      </c>
      <c r="E673" s="110">
        <f>IF($C673&lt;=Entradas!$E$153,"",Escenario1!BN674)</f>
        <v>0.80945514446574951</v>
      </c>
      <c r="F673" s="79">
        <f>IF($C673&lt;=Entradas!$E$153,"",D673-E673)</f>
        <v>-3.2954141961054173E-2</v>
      </c>
      <c r="G673" s="79">
        <f>IF($C673&lt;=Entradas!$E$153,"",D673-AVERAGE(D:D))</f>
        <v>-6.3506190068826074E-3</v>
      </c>
      <c r="H673" s="79">
        <f>IF($C673&lt;=Entradas!$E$153,"",F673^2)</f>
        <v>1.0859754723893114E-3</v>
      </c>
      <c r="I673" s="79">
        <f>IF($C673&lt;=Entradas!$E$153,"",G673^2)</f>
        <v>4.0330361770578631E-5</v>
      </c>
      <c r="J673" s="79">
        <f>IF($C673&lt;=Entradas!$E$153,"",E673-AVERAGE(E:E))</f>
        <v>-2.1483996197435684E-2</v>
      </c>
      <c r="K673" s="79">
        <f>IF($C673&lt;=Entradas!$E$153,"",J673^2)</f>
        <v>4.6156209261143094E-4</v>
      </c>
      <c r="L673" s="79">
        <f>IF($C673&lt;=Entradas!$E$153,"",G673*J673)</f>
        <v>1.3643667459522872E-4</v>
      </c>
      <c r="M673" s="40"/>
    </row>
    <row r="674" spans="2:13">
      <c r="B674" s="39"/>
      <c r="C674" s="75">
        <v>669</v>
      </c>
      <c r="D674" s="110">
        <f>IF($C674&lt;=Entradas!$E$153,"",Observaciones!L674)</f>
        <v>0.74865460883835888</v>
      </c>
      <c r="E674" s="110">
        <f>IF($C674&lt;=Entradas!$E$153,"",Escenario1!BN675)</f>
        <v>0.72083975092550412</v>
      </c>
      <c r="F674" s="79">
        <f>IF($C674&lt;=Entradas!$E$153,"",D674-E674)</f>
        <v>2.7814857912854762E-2</v>
      </c>
      <c r="G674" s="79">
        <f>IF($C674&lt;=Entradas!$E$153,"",D674-AVERAGE(D:D))</f>
        <v>-3.4197012673219063E-2</v>
      </c>
      <c r="H674" s="79">
        <f>IF($C674&lt;=Entradas!$E$153,"",F674^2)</f>
        <v>7.7366632071229917E-4</v>
      </c>
      <c r="I674" s="79">
        <f>IF($C674&lt;=Entradas!$E$153,"",G674^2)</f>
        <v>1.1694356757723052E-3</v>
      </c>
      <c r="J674" s="79">
        <f>IF($C674&lt;=Entradas!$E$153,"",E674-AVERAGE(E:E))</f>
        <v>-0.11009938973768107</v>
      </c>
      <c r="K674" s="79">
        <f>IF($C674&lt;=Entradas!$E$153,"",J674^2)</f>
        <v>1.2121875620609793E-2</v>
      </c>
      <c r="L674" s="79">
        <f>IF($C674&lt;=Entradas!$E$153,"",G674*J674)</f>
        <v>3.7650702261731645E-3</v>
      </c>
      <c r="M674" s="40"/>
    </row>
    <row r="675" spans="2:13">
      <c r="B675" s="39"/>
      <c r="C675" s="75">
        <v>670</v>
      </c>
      <c r="D675" s="110">
        <f>IF($C675&lt;=Entradas!$E$153,"",Observaciones!L675)</f>
        <v>0.66750801248270686</v>
      </c>
      <c r="E675" s="110">
        <f>IF($C675&lt;=Entradas!$E$153,"",Escenario1!BN676)</f>
        <v>0.64766432134022411</v>
      </c>
      <c r="F675" s="79">
        <f>IF($C675&lt;=Entradas!$E$153,"",D675-E675)</f>
        <v>1.9843691142482744E-2</v>
      </c>
      <c r="G675" s="79">
        <f>IF($C675&lt;=Entradas!$E$153,"",D675-AVERAGE(D:D))</f>
        <v>-0.11534360902887109</v>
      </c>
      <c r="H675" s="79">
        <f>IF($C675&lt;=Entradas!$E$153,"",F675^2)</f>
        <v>3.9377207815824813E-4</v>
      </c>
      <c r="I675" s="79">
        <f>IF($C675&lt;=Entradas!$E$153,"",G675^2)</f>
        <v>1.3304148143805072E-2</v>
      </c>
      <c r="J675" s="79">
        <f>IF($C675&lt;=Entradas!$E$153,"",E675-AVERAGE(E:E))</f>
        <v>-0.18327481932296108</v>
      </c>
      <c r="K675" s="79">
        <f>IF($C675&lt;=Entradas!$E$153,"",J675^2)</f>
        <v>3.3589659397864027E-2</v>
      </c>
      <c r="L675" s="79">
        <f>IF($C675&lt;=Entradas!$E$153,"",G675*J675)</f>
        <v>2.1139579104824609E-2</v>
      </c>
      <c r="M675" s="40"/>
    </row>
    <row r="676" spans="2:13">
      <c r="B676" s="39"/>
      <c r="C676" s="75">
        <v>671</v>
      </c>
      <c r="D676" s="110">
        <f>IF($C676&lt;=Entradas!$E$153,"",Observaciones!L676)</f>
        <v>0.65017176661116127</v>
      </c>
      <c r="E676" s="110">
        <f>IF($C676&lt;=Entradas!$E$153,"",Escenario1!BN677)</f>
        <v>0.63070889448270728</v>
      </c>
      <c r="F676" s="79">
        <f>IF($C676&lt;=Entradas!$E$153,"",D676-E676)</f>
        <v>1.946287212845399E-2</v>
      </c>
      <c r="G676" s="79">
        <f>IF($C676&lt;=Entradas!$E$153,"",D676-AVERAGE(D:D))</f>
        <v>-0.13267985490041667</v>
      </c>
      <c r="H676" s="79">
        <f>IF($C676&lt;=Entradas!$E$153,"",F676^2)</f>
        <v>3.7880339148855114E-4</v>
      </c>
      <c r="I676" s="79">
        <f>IF($C676&lt;=Entradas!$E$153,"",G676^2)</f>
        <v>1.7603943896395621E-2</v>
      </c>
      <c r="J676" s="79">
        <f>IF($C676&lt;=Entradas!$E$153,"",E676-AVERAGE(E:E))</f>
        <v>-0.20023024618047791</v>
      </c>
      <c r="K676" s="79">
        <f>IF($C676&lt;=Entradas!$E$153,"",J676^2)</f>
        <v>4.009215148549479E-2</v>
      </c>
      <c r="L676" s="79">
        <f>IF($C676&lt;=Entradas!$E$153,"",G676*J676)</f>
        <v>2.6566520009900518E-2</v>
      </c>
      <c r="M676" s="40"/>
    </row>
    <row r="677" spans="2:13">
      <c r="B677" s="39"/>
      <c r="C677" s="75">
        <v>672</v>
      </c>
      <c r="D677" s="110">
        <f>IF($C677&lt;=Entradas!$E$153,"",Observaciones!L677)</f>
        <v>0.55776461986571835</v>
      </c>
      <c r="E677" s="110">
        <f>IF($C677&lt;=Entradas!$E$153,"",Escenario1!BN678)</f>
        <v>0.54776023396151607</v>
      </c>
      <c r="F677" s="79">
        <f>IF($C677&lt;=Entradas!$E$153,"",D677-E677)</f>
        <v>1.0004385904202273E-2</v>
      </c>
      <c r="G677" s="79">
        <f>IF($C677&lt;=Entradas!$E$153,"",D677-AVERAGE(D:D))</f>
        <v>-0.2250870016458596</v>
      </c>
      <c r="H677" s="79">
        <f>IF($C677&lt;=Entradas!$E$153,"",F677^2)</f>
        <v>1.0008773732020113E-4</v>
      </c>
      <c r="I677" s="79">
        <f>IF($C677&lt;=Entradas!$E$153,"",G677^2)</f>
        <v>5.0664158309923199E-2</v>
      </c>
      <c r="J677" s="79">
        <f>IF($C677&lt;=Entradas!$E$153,"",E677-AVERAGE(E:E))</f>
        <v>-0.28317890670166912</v>
      </c>
      <c r="K677" s="79">
        <f>IF($C677&lt;=Entradas!$E$153,"",J677^2)</f>
        <v>8.0190293200752619E-2</v>
      </c>
      <c r="L677" s="79">
        <f>IF($C677&lt;=Entradas!$E$153,"",G677*J677)</f>
        <v>6.373989103883132E-2</v>
      </c>
      <c r="M677" s="40"/>
    </row>
    <row r="678" spans="2:13">
      <c r="B678" s="39"/>
      <c r="C678" s="75">
        <v>673</v>
      </c>
      <c r="D678" s="110">
        <f>IF($C678&lt;=Entradas!$E$153,"",Observaciones!L678)</f>
        <v>0.55810435637808864</v>
      </c>
      <c r="E678" s="110">
        <f>IF($C678&lt;=Entradas!$E$153,"",Escenario1!BN679)</f>
        <v>0.54648306375288225</v>
      </c>
      <c r="F678" s="79">
        <f>IF($C678&lt;=Entradas!$E$153,"",D678-E678)</f>
        <v>1.1621292625206392E-2</v>
      </c>
      <c r="G678" s="79">
        <f>IF($C678&lt;=Entradas!$E$153,"",D678-AVERAGE(D:D))</f>
        <v>-0.2247472651334893</v>
      </c>
      <c r="H678" s="79">
        <f>IF($C678&lt;=Entradas!$E$153,"",F678^2)</f>
        <v>1.3505444228067648E-4</v>
      </c>
      <c r="I678" s="79">
        <f>IF($C678&lt;=Entradas!$E$153,"",G678^2)</f>
        <v>5.0511333184982937E-2</v>
      </c>
      <c r="J678" s="79">
        <f>IF($C678&lt;=Entradas!$E$153,"",E678-AVERAGE(E:E))</f>
        <v>-0.28445607691030295</v>
      </c>
      <c r="K678" s="79">
        <f>IF($C678&lt;=Entradas!$E$153,"",J678^2)</f>
        <v>8.0915259691200184E-2</v>
      </c>
      <c r="L678" s="79">
        <f>IF($C678&lt;=Entradas!$E$153,"",G678*J678)</f>
        <v>6.3930725336192082E-2</v>
      </c>
      <c r="M678" s="40"/>
    </row>
    <row r="679" spans="2:13">
      <c r="B679" s="39"/>
      <c r="C679" s="75">
        <v>674</v>
      </c>
      <c r="D679" s="110">
        <f>IF($C679&lt;=Entradas!$E$153,"",Observaciones!L679)</f>
        <v>0.50517441395611606</v>
      </c>
      <c r="E679" s="110">
        <f>IF($C679&lt;=Entradas!$E$153,"",Escenario1!BN680)</f>
        <v>0.49840202979545939</v>
      </c>
      <c r="F679" s="79">
        <f>IF($C679&lt;=Entradas!$E$153,"",D679-E679)</f>
        <v>6.7723841606566748E-3</v>
      </c>
      <c r="G679" s="79">
        <f>IF($C679&lt;=Entradas!$E$153,"",D679-AVERAGE(D:D))</f>
        <v>-0.27767720755546188</v>
      </c>
      <c r="H679" s="79">
        <f>IF($C679&lt;=Entradas!$E$153,"",F679^2)</f>
        <v>4.5865187219513413E-5</v>
      </c>
      <c r="I679" s="79">
        <f>IF($C679&lt;=Entradas!$E$153,"",G679^2)</f>
        <v>7.7104631595799056E-2</v>
      </c>
      <c r="J679" s="79">
        <f>IF($C679&lt;=Entradas!$E$153,"",E679-AVERAGE(E:E))</f>
        <v>-0.3325371108677258</v>
      </c>
      <c r="K679" s="79">
        <f>IF($C679&lt;=Entradas!$E$153,"",J679^2)</f>
        <v>0.11058093010425417</v>
      </c>
      <c r="L679" s="79">
        <f>IF($C679&lt;=Entradas!$E$153,"",G679*J679)</f>
        <v>9.2337976354311138E-2</v>
      </c>
      <c r="M679" s="40"/>
    </row>
    <row r="680" spans="2:13">
      <c r="B680" s="39"/>
      <c r="C680" s="75">
        <v>675</v>
      </c>
      <c r="D680" s="110">
        <f>IF($C680&lt;=Entradas!$E$153,"",Observaciones!L680)</f>
        <v>0.42079796275794423</v>
      </c>
      <c r="E680" s="110">
        <f>IF($C680&lt;=Entradas!$E$153,"",Escenario1!BN681)</f>
        <v>0.42269953216096773</v>
      </c>
      <c r="F680" s="79">
        <f>IF($C680&lt;=Entradas!$E$153,"",D680-E680)</f>
        <v>-1.9015694030234953E-3</v>
      </c>
      <c r="G680" s="79">
        <f>IF($C680&lt;=Entradas!$E$153,"",D680-AVERAGE(D:D))</f>
        <v>-0.36205365875363371</v>
      </c>
      <c r="H680" s="79">
        <f>IF($C680&lt;=Entradas!$E$153,"",F680^2)</f>
        <v>3.6159661945151321E-6</v>
      </c>
      <c r="I680" s="79">
        <f>IF($C680&lt;=Entradas!$E$153,"",G680^2)</f>
        <v>0.13108285181689264</v>
      </c>
      <c r="J680" s="79">
        <f>IF($C680&lt;=Entradas!$E$153,"",E680-AVERAGE(E:E))</f>
        <v>-0.40823960850221747</v>
      </c>
      <c r="K680" s="79">
        <f>IF($C680&lt;=Entradas!$E$153,"",J680^2)</f>
        <v>0.1666595779500438</v>
      </c>
      <c r="L680" s="79">
        <f>IF($C680&lt;=Entradas!$E$153,"",G680*J680)</f>
        <v>0.14780464390637887</v>
      </c>
      <c r="M680" s="40"/>
    </row>
    <row r="681" spans="2:13">
      <c r="B681" s="39"/>
      <c r="C681" s="75">
        <v>676</v>
      </c>
      <c r="D681" s="110">
        <f>IF($C681&lt;=Entradas!$E$153,"",Observaciones!L681)</f>
        <v>0.40430075593978182</v>
      </c>
      <c r="E681" s="110">
        <f>IF($C681&lt;=Entradas!$E$153,"",Escenario1!BN682)</f>
        <v>0.40678247153862057</v>
      </c>
      <c r="F681" s="79">
        <f>IF($C681&lt;=Entradas!$E$153,"",D681-E681)</f>
        <v>-2.4817155988387518E-3</v>
      </c>
      <c r="G681" s="79">
        <f>IF($C681&lt;=Entradas!$E$153,"",D681-AVERAGE(D:D))</f>
        <v>-0.37855086557179612</v>
      </c>
      <c r="H681" s="79">
        <f>IF($C681&lt;=Entradas!$E$153,"",F681^2)</f>
        <v>6.1589123135195841E-6</v>
      </c>
      <c r="I681" s="79">
        <f>IF($C681&lt;=Entradas!$E$153,"",G681^2)</f>
        <v>0.14330075782515606</v>
      </c>
      <c r="J681" s="79">
        <f>IF($C681&lt;=Entradas!$E$153,"",E681-AVERAGE(E:E))</f>
        <v>-0.42415666912456462</v>
      </c>
      <c r="K681" s="79">
        <f>IF($C681&lt;=Entradas!$E$153,"",J681^2)</f>
        <v>0.17990887996284538</v>
      </c>
      <c r="L681" s="79">
        <f>IF($C681&lt;=Entradas!$E$153,"",G681*J681)</f>
        <v>0.16056487423515386</v>
      </c>
      <c r="M681" s="40"/>
    </row>
    <row r="682" spans="2:13">
      <c r="B682" s="39"/>
      <c r="C682" s="75">
        <v>677</v>
      </c>
      <c r="D682" s="110">
        <f>IF($C682&lt;=Entradas!$E$153,"",Observaciones!L682)</f>
        <v>0.32014445134262381</v>
      </c>
      <c r="E682" s="110">
        <f>IF($C682&lt;=Entradas!$E$153,"",Escenario1!BN683)</f>
        <v>0.33137965280882997</v>
      </c>
      <c r="F682" s="79">
        <f>IF($C682&lt;=Entradas!$E$153,"",D682-E682)</f>
        <v>-1.1235201466206157E-2</v>
      </c>
      <c r="G682" s="79">
        <f>IF($C682&lt;=Entradas!$E$153,"",D682-AVERAGE(D:D))</f>
        <v>-0.46270717016895413</v>
      </c>
      <c r="H682" s="79">
        <f>IF($C682&lt;=Entradas!$E$153,"",F682^2)</f>
        <v>1.2622975198624099E-4</v>
      </c>
      <c r="I682" s="79">
        <f>IF($C682&lt;=Entradas!$E$153,"",G682^2)</f>
        <v>0.21409792532576147</v>
      </c>
      <c r="J682" s="79">
        <f>IF($C682&lt;=Entradas!$E$153,"",E682-AVERAGE(E:E))</f>
        <v>-0.49955948785435522</v>
      </c>
      <c r="K682" s="79">
        <f>IF($C682&lt;=Entradas!$E$153,"",J682^2)</f>
        <v>0.24955968190530567</v>
      </c>
      <c r="L682" s="79">
        <f>IF($C682&lt;=Entradas!$E$153,"",G682*J682)</f>
        <v>0.23114975695614071</v>
      </c>
      <c r="M682" s="40"/>
    </row>
    <row r="683" spans="2:13">
      <c r="B683" s="39"/>
      <c r="C683" s="75">
        <v>678</v>
      </c>
      <c r="D683" s="110">
        <f>IF($C683&lt;=Entradas!$E$153,"",Observaciones!L683)</f>
        <v>0.25162603447757631</v>
      </c>
      <c r="E683" s="110">
        <f>IF($C683&lt;=Entradas!$E$153,"",Escenario1!BN684)</f>
        <v>0.26979238579134163</v>
      </c>
      <c r="F683" s="79">
        <f>IF($C683&lt;=Entradas!$E$153,"",D683-E683)</f>
        <v>-1.8166351313765317E-2</v>
      </c>
      <c r="G683" s="79">
        <f>IF($C683&lt;=Entradas!$E$153,"",D683-AVERAGE(D:D))</f>
        <v>-0.53122558703400169</v>
      </c>
      <c r="H683" s="79">
        <f>IF($C683&lt;=Entradas!$E$153,"",F683^2)</f>
        <v>3.3001632005514285E-4</v>
      </c>
      <c r="I683" s="79">
        <f>IF($C683&lt;=Entradas!$E$153,"",G683^2)</f>
        <v>0.28220062431961973</v>
      </c>
      <c r="J683" s="79">
        <f>IF($C683&lt;=Entradas!$E$153,"",E683-AVERAGE(E:E))</f>
        <v>-0.56114675487184362</v>
      </c>
      <c r="K683" s="79">
        <f>IF($C683&lt;=Entradas!$E$153,"",J683^2)</f>
        <v>0.31488568050320098</v>
      </c>
      <c r="L683" s="79">
        <f>IF($C683&lt;=Entradas!$E$153,"",G683*J683)</f>
        <v>0.2980955142690202</v>
      </c>
      <c r="M683" s="40"/>
    </row>
    <row r="684" spans="2:13">
      <c r="B684" s="39"/>
      <c r="C684" s="75">
        <v>679</v>
      </c>
      <c r="D684" s="110">
        <f>IF($C684&lt;=Entradas!$E$153,"",Observaciones!L684)</f>
        <v>0.19421416844071632</v>
      </c>
      <c r="E684" s="110">
        <f>IF($C684&lt;=Entradas!$E$153,"",Escenario1!BN685)</f>
        <v>0.19917537097558591</v>
      </c>
      <c r="F684" s="79">
        <f>IF($C684&lt;=Entradas!$E$153,"",D684-E684)</f>
        <v>-4.961202534869591E-3</v>
      </c>
      <c r="G684" s="79">
        <f>IF($C684&lt;=Entradas!$E$153,"",D684-AVERAGE(D:D))</f>
        <v>-0.58863745307086157</v>
      </c>
      <c r="H684" s="79">
        <f>IF($C684&lt;=Entradas!$E$153,"",F684^2)</f>
        <v>2.4613530591996456E-5</v>
      </c>
      <c r="I684" s="79">
        <f>IF($C684&lt;=Entradas!$E$153,"",G684^2)</f>
        <v>0.34649405115775078</v>
      </c>
      <c r="J684" s="79">
        <f>IF($C684&lt;=Entradas!$E$153,"",E684-AVERAGE(E:E))</f>
        <v>-0.63176376968759929</v>
      </c>
      <c r="K684" s="79">
        <f>IF($C684&lt;=Entradas!$E$153,"",J684^2)</f>
        <v>0.39912546068988597</v>
      </c>
      <c r="L684" s="79">
        <f>IF($C684&lt;=Entradas!$E$153,"",G684*J684)</f>
        <v>0.37187981633135481</v>
      </c>
      <c r="M684" s="40"/>
    </row>
    <row r="685" spans="2:13">
      <c r="B685" s="39"/>
      <c r="C685" s="75">
        <v>680</v>
      </c>
      <c r="D685" s="110">
        <f>IF($C685&lt;=Entradas!$E$153,"",Observaciones!L685)</f>
        <v>0.18286000068178032</v>
      </c>
      <c r="E685" s="110">
        <f>IF($C685&lt;=Entradas!$E$153,"",Escenario1!BN686)</f>
        <v>0.16496232379686462</v>
      </c>
      <c r="F685" s="79">
        <f>IF($C685&lt;=Entradas!$E$153,"",D685-E685)</f>
        <v>1.7897676884915698E-2</v>
      </c>
      <c r="G685" s="79">
        <f>IF($C685&lt;=Entradas!$E$153,"",D685-AVERAGE(D:D))</f>
        <v>-0.59999162082979762</v>
      </c>
      <c r="H685" s="79">
        <f>IF($C685&lt;=Entradas!$E$153,"",F685^2)</f>
        <v>3.2032683787684566E-4</v>
      </c>
      <c r="I685" s="79">
        <f>IF($C685&lt;=Entradas!$E$153,"",G685^2)</f>
        <v>0.35998994506596765</v>
      </c>
      <c r="J685" s="79">
        <f>IF($C685&lt;=Entradas!$E$153,"",E685-AVERAGE(E:E))</f>
        <v>-0.6659768168663206</v>
      </c>
      <c r="K685" s="79">
        <f>IF($C685&lt;=Entradas!$E$153,"",J685^2)</f>
        <v>0.44352512060339672</v>
      </c>
      <c r="L685" s="79">
        <f>IF($C685&lt;=Entradas!$E$153,"",G685*J685)</f>
        <v>0.39958050978669302</v>
      </c>
      <c r="M685" s="40"/>
    </row>
    <row r="686" spans="2:13">
      <c r="B686" s="39"/>
      <c r="C686" s="75">
        <v>681</v>
      </c>
      <c r="D686" s="110">
        <f>IF($C686&lt;=Entradas!$E$153,"",Observaciones!L686)</f>
        <v>0.17917145579000948</v>
      </c>
      <c r="E686" s="110">
        <f>IF($C686&lt;=Entradas!$E$153,"",Escenario1!BN687)</f>
        <v>0.15802672031907647</v>
      </c>
      <c r="F686" s="79">
        <f>IF($C686&lt;=Entradas!$E$153,"",D686-E686)</f>
        <v>2.1144735470933013E-2</v>
      </c>
      <c r="G686" s="79">
        <f>IF($C686&lt;=Entradas!$E$153,"",D686-AVERAGE(D:D))</f>
        <v>-0.60368016572156846</v>
      </c>
      <c r="H686" s="79">
        <f>IF($C686&lt;=Entradas!$E$153,"",F686^2)</f>
        <v>4.4709983813573276E-4</v>
      </c>
      <c r="I686" s="79">
        <f>IF($C686&lt;=Entradas!$E$153,"",G686^2)</f>
        <v>0.36442974248562038</v>
      </c>
      <c r="J686" s="79">
        <f>IF($C686&lt;=Entradas!$E$153,"",E686-AVERAGE(E:E))</f>
        <v>-0.6729124203441087</v>
      </c>
      <c r="K686" s="79">
        <f>IF($C686&lt;=Entradas!$E$153,"",J686^2)</f>
        <v>0.45281112545336644</v>
      </c>
      <c r="L686" s="79">
        <f>IF($C686&lt;=Entradas!$E$153,"",G686*J686)</f>
        <v>0.40622388142943328</v>
      </c>
      <c r="M686" s="40"/>
    </row>
    <row r="687" spans="2:13">
      <c r="B687" s="39"/>
      <c r="C687" s="75">
        <v>682</v>
      </c>
      <c r="D687" s="110">
        <f>IF($C687&lt;=Entradas!$E$153,"",Observaciones!L687)</f>
        <v>0.19312815343983047</v>
      </c>
      <c r="E687" s="110">
        <f>IF($C687&lt;=Entradas!$E$153,"",Escenario1!BN688)</f>
        <v>0.17001539172673982</v>
      </c>
      <c r="F687" s="79">
        <f>IF($C687&lt;=Entradas!$E$153,"",D687-E687)</f>
        <v>2.3112761713090652E-2</v>
      </c>
      <c r="G687" s="79">
        <f>IF($C687&lt;=Entradas!$E$153,"",D687-AVERAGE(D:D))</f>
        <v>-0.58972346807174747</v>
      </c>
      <c r="H687" s="79">
        <f>IF($C687&lt;=Entradas!$E$153,"",F687^2)</f>
        <v>5.3419975400610914E-4</v>
      </c>
      <c r="I687" s="79">
        <f>IF($C687&lt;=Entradas!$E$153,"",G687^2)</f>
        <v>0.34777376879456934</v>
      </c>
      <c r="J687" s="79">
        <f>IF($C687&lt;=Entradas!$E$153,"",E687-AVERAGE(E:E))</f>
        <v>-0.66092374893644534</v>
      </c>
      <c r="K687" s="79">
        <f>IF($C687&lt;=Entradas!$E$153,"",J687^2)</f>
        <v>0.43682020190820542</v>
      </c>
      <c r="L687" s="79">
        <f>IF($C687&lt;=Entradas!$E$153,"",G687*J687)</f>
        <v>0.38976224535378146</v>
      </c>
      <c r="M687" s="40"/>
    </row>
    <row r="688" spans="2:13">
      <c r="B688" s="39"/>
      <c r="C688" s="75">
        <v>683</v>
      </c>
      <c r="D688" s="110">
        <f>IF($C688&lt;=Entradas!$E$153,"",Observaciones!L688)</f>
        <v>0.18142173101765863</v>
      </c>
      <c r="E688" s="110">
        <f>IF($C688&lt;=Entradas!$E$153,"",Escenario1!BN689)</f>
        <v>0.15999538630113247</v>
      </c>
      <c r="F688" s="79">
        <f>IF($C688&lt;=Entradas!$E$153,"",D688-E688)</f>
        <v>2.1426344716526158E-2</v>
      </c>
      <c r="G688" s="79">
        <f>IF($C688&lt;=Entradas!$E$153,"",D688-AVERAGE(D:D))</f>
        <v>-0.60142989049391926</v>
      </c>
      <c r="H688" s="79">
        <f>IF($C688&lt;=Entradas!$E$153,"",F688^2)</f>
        <v>4.5908824791140838E-4</v>
      </c>
      <c r="I688" s="79">
        <f>IF($C688&lt;=Entradas!$E$153,"",G688^2)</f>
        <v>0.36171791317952773</v>
      </c>
      <c r="J688" s="79">
        <f>IF($C688&lt;=Entradas!$E$153,"",E688-AVERAGE(E:E))</f>
        <v>-0.67094375436205267</v>
      </c>
      <c r="K688" s="79">
        <f>IF($C688&lt;=Entradas!$E$153,"",J688^2)</f>
        <v>0.45016552151744649</v>
      </c>
      <c r="L688" s="79">
        <f>IF($C688&lt;=Entradas!$E$153,"",G688*J688)</f>
        <v>0.40352562871354841</v>
      </c>
      <c r="M688" s="40"/>
    </row>
    <row r="689" spans="2:13">
      <c r="B689" s="39"/>
      <c r="C689" s="75">
        <v>684</v>
      </c>
      <c r="D689" s="110">
        <f>IF($C689&lt;=Entradas!$E$153,"",Observaciones!L689)</f>
        <v>0.76695282265436371</v>
      </c>
      <c r="E689" s="110">
        <f>IF($C689&lt;=Entradas!$E$153,"",Escenario1!BN690)</f>
        <v>0.49646905551883119</v>
      </c>
      <c r="F689" s="79">
        <f>IF($C689&lt;=Entradas!$E$153,"",D689-E689)</f>
        <v>0.27048376713553252</v>
      </c>
      <c r="G689" s="79">
        <f>IF($C689&lt;=Entradas!$E$153,"",D689-AVERAGE(D:D))</f>
        <v>-1.5898798857214236E-2</v>
      </c>
      <c r="H689" s="79">
        <f>IF($C689&lt;=Entradas!$E$153,"",F689^2)</f>
        <v>7.3161468283828981E-2</v>
      </c>
      <c r="I689" s="79">
        <f>IF($C689&lt;=Entradas!$E$153,"",G689^2)</f>
        <v>2.527718051021567E-4</v>
      </c>
      <c r="J689" s="79">
        <f>IF($C689&lt;=Entradas!$E$153,"",E689-AVERAGE(E:E))</f>
        <v>-0.334470085144354</v>
      </c>
      <c r="K689" s="79">
        <f>IF($C689&lt;=Entradas!$E$153,"",J689^2)</f>
        <v>0.11187023785647142</v>
      </c>
      <c r="L689" s="79">
        <f>IF($C689&lt;=Entradas!$E$153,"",G689*J689)</f>
        <v>5.3176726074654034E-3</v>
      </c>
      <c r="M689" s="40"/>
    </row>
    <row r="690" spans="2:13">
      <c r="B690" s="39"/>
      <c r="C690" s="75">
        <v>685</v>
      </c>
      <c r="D690" s="110">
        <f>IF($C690&lt;=Entradas!$E$153,"",Observaciones!L690)</f>
        <v>0.76989712989498815</v>
      </c>
      <c r="E690" s="110">
        <f>IF($C690&lt;=Entradas!$E$153,"",Escenario1!BN691)</f>
        <v>0.70215097792948633</v>
      </c>
      <c r="F690" s="79">
        <f>IF($C690&lt;=Entradas!$E$153,"",D690-E690)</f>
        <v>6.7746151965501822E-2</v>
      </c>
      <c r="G690" s="79">
        <f>IF($C690&lt;=Entradas!$E$153,"",D690-AVERAGE(D:D))</f>
        <v>-1.2954491616589792E-2</v>
      </c>
      <c r="H690" s="79">
        <f>IF($C690&lt;=Entradas!$E$153,"",F690^2)</f>
        <v>4.5895411061328663E-3</v>
      </c>
      <c r="I690" s="79">
        <f>IF($C690&lt;=Entradas!$E$153,"",G690^2)</f>
        <v>1.6781885304429519E-4</v>
      </c>
      <c r="J690" s="79">
        <f>IF($C690&lt;=Entradas!$E$153,"",E690-AVERAGE(E:E))</f>
        <v>-0.12878816273369886</v>
      </c>
      <c r="K690" s="79">
        <f>IF($C690&lt;=Entradas!$E$153,"",J690^2)</f>
        <v>1.6586390860321702E-2</v>
      </c>
      <c r="L690" s="79">
        <f>IF($C690&lt;=Entradas!$E$153,"",G690*J690)</f>
        <v>1.6683851744497037E-3</v>
      </c>
      <c r="M690" s="40"/>
    </row>
    <row r="691" spans="2:13">
      <c r="B691" s="39"/>
      <c r="C691" s="75">
        <v>686</v>
      </c>
      <c r="D691" s="110">
        <f>IF($C691&lt;=Entradas!$E$153,"",Observaciones!L691)</f>
        <v>0.66782310289204905</v>
      </c>
      <c r="E691" s="110">
        <f>IF($C691&lt;=Entradas!$E$153,"",Escenario1!BN692)</f>
        <v>0.62985103575076973</v>
      </c>
      <c r="F691" s="79">
        <f>IF($C691&lt;=Entradas!$E$153,"",D691-E691)</f>
        <v>3.797206714127932E-2</v>
      </c>
      <c r="G691" s="79">
        <f>IF($C691&lt;=Entradas!$E$153,"",D691-AVERAGE(D:D))</f>
        <v>-0.1150285186195289</v>
      </c>
      <c r="H691" s="79">
        <f>IF($C691&lt;=Entradas!$E$153,"",F691^2)</f>
        <v>1.4418778829818246E-3</v>
      </c>
      <c r="I691" s="79">
        <f>IF($C691&lt;=Entradas!$E$153,"",G691^2)</f>
        <v>1.3231560095803306E-2</v>
      </c>
      <c r="J691" s="79">
        <f>IF($C691&lt;=Entradas!$E$153,"",E691-AVERAGE(E:E))</f>
        <v>-0.20108810491241547</v>
      </c>
      <c r="K691" s="79">
        <f>IF($C691&lt;=Entradas!$E$153,"",J691^2)</f>
        <v>4.043642593726661E-2</v>
      </c>
      <c r="L691" s="79">
        <f>IF($C691&lt;=Entradas!$E$153,"",G691*J691)</f>
        <v>2.3130866820083563E-2</v>
      </c>
      <c r="M691" s="40"/>
    </row>
    <row r="692" spans="2:13">
      <c r="B692" s="39"/>
      <c r="C692" s="75">
        <v>687</v>
      </c>
      <c r="D692" s="110">
        <f>IF($C692&lt;=Entradas!$E$153,"",Observaciones!L692)</f>
        <v>0.59222668578517657</v>
      </c>
      <c r="E692" s="110">
        <f>IF($C692&lt;=Entradas!$E$153,"",Escenario1!BN693)</f>
        <v>0.56215360826883531</v>
      </c>
      <c r="F692" s="79">
        <f>IF($C692&lt;=Entradas!$E$153,"",D692-E692)</f>
        <v>3.0073077516341251E-2</v>
      </c>
      <c r="G692" s="79">
        <f>IF($C692&lt;=Entradas!$E$153,"",D692-AVERAGE(D:D))</f>
        <v>-0.19062493572640138</v>
      </c>
      <c r="H692" s="79">
        <f>IF($C692&lt;=Entradas!$E$153,"",F692^2)</f>
        <v>9.0438999130386963E-4</v>
      </c>
      <c r="I692" s="79">
        <f>IF($C692&lt;=Entradas!$E$153,"",G692^2)</f>
        <v>3.6337866120694659E-2</v>
      </c>
      <c r="J692" s="79">
        <f>IF($C692&lt;=Entradas!$E$153,"",E692-AVERAGE(E:E))</f>
        <v>-0.26878553239434988</v>
      </c>
      <c r="K692" s="79">
        <f>IF($C692&lt;=Entradas!$E$153,"",J692^2)</f>
        <v>7.2245662424514107E-2</v>
      </c>
      <c r="L692" s="79">
        <f>IF($C692&lt;=Entradas!$E$153,"",G692*J692)</f>
        <v>5.1237224836859524E-2</v>
      </c>
      <c r="M692" s="40"/>
    </row>
    <row r="693" spans="2:13">
      <c r="B693" s="39"/>
      <c r="C693" s="75">
        <v>688</v>
      </c>
      <c r="D693" s="110">
        <f>IF($C693&lt;=Entradas!$E$153,"",Observaciones!L693)</f>
        <v>0.63014121230304543</v>
      </c>
      <c r="E693" s="110">
        <f>IF($C693&lt;=Entradas!$E$153,"",Escenario1!BN694)</f>
        <v>0.59305333017761186</v>
      </c>
      <c r="F693" s="79">
        <f>IF($C693&lt;=Entradas!$E$153,"",D693-E693)</f>
        <v>3.7087882125433569E-2</v>
      </c>
      <c r="G693" s="79">
        <f>IF($C693&lt;=Entradas!$E$153,"",D693-AVERAGE(D:D))</f>
        <v>-0.15271040920853252</v>
      </c>
      <c r="H693" s="79">
        <f>IF($C693&lt;=Entradas!$E$153,"",F693^2)</f>
        <v>1.3755110005500548E-3</v>
      </c>
      <c r="I693" s="79">
        <f>IF($C693&lt;=Entradas!$E$153,"",G693^2)</f>
        <v>2.3320469080637451E-2</v>
      </c>
      <c r="J693" s="79">
        <f>IF($C693&lt;=Entradas!$E$153,"",E693-AVERAGE(E:E))</f>
        <v>-0.23788581048557333</v>
      </c>
      <c r="K693" s="79">
        <f>IF($C693&lt;=Entradas!$E$153,"",J693^2)</f>
        <v>5.6589658830378115E-2</v>
      </c>
      <c r="L693" s="79">
        <f>IF($C693&lt;=Entradas!$E$153,"",G693*J693)</f>
        <v>3.632763946415532E-2</v>
      </c>
      <c r="M693" s="40"/>
    </row>
    <row r="694" spans="2:13">
      <c r="B694" s="39"/>
      <c r="C694" s="75">
        <v>689</v>
      </c>
      <c r="D694" s="110">
        <f>IF($C694&lt;=Entradas!$E$153,"",Observaciones!L694)</f>
        <v>0.77809072886853958</v>
      </c>
      <c r="E694" s="110">
        <f>IF($C694&lt;=Entradas!$E$153,"",Escenario1!BN695)</f>
        <v>0.91954933694659868</v>
      </c>
      <c r="F694" s="79">
        <f>IF($C694&lt;=Entradas!$E$153,"",D694-E694)</f>
        <v>-0.1414586080780591</v>
      </c>
      <c r="G694" s="79">
        <f>IF($C694&lt;=Entradas!$E$153,"",D694-AVERAGE(D:D))</f>
        <v>-4.7608926430383613E-3</v>
      </c>
      <c r="H694" s="79">
        <f>IF($C694&lt;=Entradas!$E$153,"",F694^2)</f>
        <v>2.0010537799381927E-2</v>
      </c>
      <c r="I694" s="79">
        <f>IF($C694&lt;=Entradas!$E$153,"",G694^2)</f>
        <v>2.2666098758536792E-5</v>
      </c>
      <c r="J694" s="79">
        <f>IF($C694&lt;=Entradas!$E$153,"",E694-AVERAGE(E:E))</f>
        <v>8.8610196283413489E-2</v>
      </c>
      <c r="K694" s="79">
        <f>IF($C694&lt;=Entradas!$E$153,"",J694^2)</f>
        <v>7.8517668853850652E-3</v>
      </c>
      <c r="L694" s="79">
        <f>IF($C694&lt;=Entradas!$E$153,"",G694*J694)</f>
        <v>-4.2186363158388846E-4</v>
      </c>
      <c r="M694" s="40"/>
    </row>
    <row r="695" spans="2:13">
      <c r="B695" s="39"/>
      <c r="C695" s="75">
        <v>690</v>
      </c>
      <c r="D695" s="110">
        <f>IF($C695&lt;=Entradas!$E$153,"",Observaciones!L695)</f>
        <v>0.78088174333230731</v>
      </c>
      <c r="E695" s="110">
        <f>IF($C695&lt;=Entradas!$E$153,"",Escenario1!BN696)</f>
        <v>1.0326944479697548</v>
      </c>
      <c r="F695" s="79">
        <f>IF($C695&lt;=Entradas!$E$153,"",D695-E695)</f>
        <v>-0.25181270463744754</v>
      </c>
      <c r="G695" s="79">
        <f>IF($C695&lt;=Entradas!$E$153,"",D695-AVERAGE(D:D))</f>
        <v>-1.9698781792706344E-3</v>
      </c>
      <c r="H695" s="79">
        <f>IF($C695&lt;=Entradas!$E$153,"",F695^2)</f>
        <v>6.3409638216826394E-2</v>
      </c>
      <c r="I695" s="79">
        <f>IF($C695&lt;=Entradas!$E$153,"",G695^2)</f>
        <v>3.8804200411665897E-6</v>
      </c>
      <c r="J695" s="79">
        <f>IF($C695&lt;=Entradas!$E$153,"",E695-AVERAGE(E:E))</f>
        <v>0.20175530730656965</v>
      </c>
      <c r="K695" s="79">
        <f>IF($C695&lt;=Entradas!$E$153,"",J695^2)</f>
        <v>4.0705204026368361E-2</v>
      </c>
      <c r="L695" s="79">
        <f>IF($C695&lt;=Entradas!$E$153,"",G695*J695)</f>
        <v>-3.9743337741525274E-4</v>
      </c>
      <c r="M695" s="40"/>
    </row>
    <row r="696" spans="2:13">
      <c r="B696" s="39"/>
      <c r="C696" s="75">
        <v>691</v>
      </c>
      <c r="D696" s="110">
        <f>IF($C696&lt;=Entradas!$E$153,"",Observaciones!L696)</f>
        <v>0.7812522763852241</v>
      </c>
      <c r="E696" s="110">
        <f>IF($C696&lt;=Entradas!$E$153,"",Escenario1!BN697)</f>
        <v>0.93432195902159232</v>
      </c>
      <c r="F696" s="79">
        <f>IF($C696&lt;=Entradas!$E$153,"",D696-E696)</f>
        <v>-0.15306968263636822</v>
      </c>
      <c r="G696" s="79">
        <f>IF($C696&lt;=Entradas!$E$153,"",D696-AVERAGE(D:D))</f>
        <v>-1.5993451263538461E-3</v>
      </c>
      <c r="H696" s="79">
        <f>IF($C696&lt;=Entradas!$E$153,"",F696^2)</f>
        <v>2.3430327742398487E-2</v>
      </c>
      <c r="I696" s="79">
        <f>IF($C696&lt;=Entradas!$E$153,"",G696^2)</f>
        <v>2.5579048331917998E-6</v>
      </c>
      <c r="J696" s="79">
        <f>IF($C696&lt;=Entradas!$E$153,"",E696-AVERAGE(E:E))</f>
        <v>0.10338281835840712</v>
      </c>
      <c r="K696" s="79">
        <f>IF($C696&lt;=Entradas!$E$153,"",J696^2)</f>
        <v>1.0688007131727401E-2</v>
      </c>
      <c r="L696" s="79">
        <f>IF($C696&lt;=Entradas!$E$153,"",G696*J696)</f>
        <v>-1.6534480669024335E-4</v>
      </c>
      <c r="M696" s="40"/>
    </row>
    <row r="697" spans="2:13">
      <c r="B697" s="39"/>
      <c r="C697" s="75">
        <v>692</v>
      </c>
      <c r="D697" s="110">
        <f>IF($C697&lt;=Entradas!$E$153,"",Observaciones!L697)</f>
        <v>0.78073439187382176</v>
      </c>
      <c r="E697" s="110">
        <f>IF($C697&lt;=Entradas!$E$153,"",Escenario1!BN698)</f>
        <v>0.8385493783305048</v>
      </c>
      <c r="F697" s="79">
        <f>IF($C697&lt;=Entradas!$E$153,"",D697-E697)</f>
        <v>-5.7814986456683037E-2</v>
      </c>
      <c r="G697" s="79">
        <f>IF($C697&lt;=Entradas!$E$153,"",D697-AVERAGE(D:D))</f>
        <v>-2.1172296377561795E-3</v>
      </c>
      <c r="H697" s="79">
        <f>IF($C697&lt;=Entradas!$E$153,"",F697^2)</f>
        <v>3.3425726589864429E-3</v>
      </c>
      <c r="I697" s="79">
        <f>IF($C697&lt;=Entradas!$E$153,"",G697^2)</f>
        <v>4.4826613389931627E-6</v>
      </c>
      <c r="J697" s="79">
        <f>IF($C697&lt;=Entradas!$E$153,"",E697-AVERAGE(E:E))</f>
        <v>7.6102376673196082E-3</v>
      </c>
      <c r="K697" s="79">
        <f>IF($C697&lt;=Entradas!$E$153,"",J697^2)</f>
        <v>5.7915717353090189E-5</v>
      </c>
      <c r="L697" s="79">
        <f>IF($C697&lt;=Entradas!$E$153,"",G697*J697)</f>
        <v>-1.6112620739617525E-5</v>
      </c>
      <c r="M697" s="40"/>
    </row>
    <row r="698" spans="2:13">
      <c r="B698" s="39"/>
      <c r="C698" s="75">
        <v>693</v>
      </c>
      <c r="D698" s="110">
        <f>IF($C698&lt;=Entradas!$E$153,"",Observaciones!L698)</f>
        <v>0.77938822021769516</v>
      </c>
      <c r="E698" s="110">
        <f>IF($C698&lt;=Entradas!$E$153,"",Escenario1!BN699)</f>
        <v>0.74773848465911552</v>
      </c>
      <c r="F698" s="79">
        <f>IF($C698&lt;=Entradas!$E$153,"",D698-E698)</f>
        <v>3.1649735558579639E-2</v>
      </c>
      <c r="G698" s="79">
        <f>IF($C698&lt;=Entradas!$E$153,"",D698-AVERAGE(D:D))</f>
        <v>-3.4634012938827841E-3</v>
      </c>
      <c r="H698" s="79">
        <f>IF($C698&lt;=Entradas!$E$153,"",F698^2)</f>
        <v>1.0017057609280203E-3</v>
      </c>
      <c r="I698" s="79">
        <f>IF($C698&lt;=Entradas!$E$153,"",G698^2)</f>
        <v>1.1995148522468942E-5</v>
      </c>
      <c r="J698" s="79">
        <f>IF($C698&lt;=Entradas!$E$153,"",E698-AVERAGE(E:E))</f>
        <v>-8.3200656004069673E-2</v>
      </c>
      <c r="K698" s="79">
        <f>IF($C698&lt;=Entradas!$E$153,"",J698^2)</f>
        <v>6.9223491595075352E-3</v>
      </c>
      <c r="L698" s="79">
        <f>IF($C698&lt;=Entradas!$E$153,"",G698*J698)</f>
        <v>2.8815725965639132E-4</v>
      </c>
      <c r="M698" s="40"/>
    </row>
    <row r="699" spans="2:13">
      <c r="B699" s="39"/>
      <c r="C699" s="75">
        <v>694</v>
      </c>
      <c r="D699" s="110">
        <f>IF($C699&lt;=Entradas!$E$153,"",Observaciones!L699)</f>
        <v>0.78144288434563003</v>
      </c>
      <c r="E699" s="110">
        <f>IF($C699&lt;=Entradas!$E$153,"",Escenario1!BN700)</f>
        <v>0.88699171668032617</v>
      </c>
      <c r="F699" s="79">
        <f>IF($C699&lt;=Entradas!$E$153,"",D699-E699)</f>
        <v>-0.10554883233469614</v>
      </c>
      <c r="G699" s="79">
        <f>IF($C699&lt;=Entradas!$E$153,"",D699-AVERAGE(D:D))</f>
        <v>-1.4087371659479153E-3</v>
      </c>
      <c r="H699" s="79">
        <f>IF($C699&lt;=Entradas!$E$153,"",F699^2)</f>
        <v>1.1140556007217797E-2</v>
      </c>
      <c r="I699" s="79">
        <f>IF($C699&lt;=Entradas!$E$153,"",G699^2)</f>
        <v>1.9845404027229643E-6</v>
      </c>
      <c r="J699" s="79">
        <f>IF($C699&lt;=Entradas!$E$153,"",E699-AVERAGE(E:E))</f>
        <v>5.6052576017140976E-2</v>
      </c>
      <c r="K699" s="79">
        <f>IF($C699&lt;=Entradas!$E$153,"",J699^2)</f>
        <v>3.1418912781573678E-3</v>
      </c>
      <c r="L699" s="79">
        <f>IF($C699&lt;=Entradas!$E$153,"",G699*J699)</f>
        <v>-7.8963347082467269E-5</v>
      </c>
      <c r="M699" s="40"/>
    </row>
    <row r="700" spans="2:13">
      <c r="B700" s="39"/>
      <c r="C700" s="75">
        <v>695</v>
      </c>
      <c r="D700" s="110">
        <f>IF($C700&lt;=Entradas!$E$153,"",Observaciones!L700)</f>
        <v>0.79354449684455419</v>
      </c>
      <c r="E700" s="110">
        <f>IF($C700&lt;=Entradas!$E$153,"",Escenario1!BN701)</f>
        <v>1.1729693682156885</v>
      </c>
      <c r="F700" s="79">
        <f>IF($C700&lt;=Entradas!$E$153,"",D700-E700)</f>
        <v>-0.37942487137113434</v>
      </c>
      <c r="G700" s="79">
        <f>IF($C700&lt;=Entradas!$E$153,"",D700-AVERAGE(D:D))</f>
        <v>1.0692875332976248E-2</v>
      </c>
      <c r="H700" s="79">
        <f>IF($C700&lt;=Entradas!$E$153,"",F700^2)</f>
        <v>0.14396323301500183</v>
      </c>
      <c r="I700" s="79">
        <f>IF($C700&lt;=Entradas!$E$153,"",G700^2)</f>
        <v>1.1433758288657191E-4</v>
      </c>
      <c r="J700" s="79">
        <f>IF($C700&lt;=Entradas!$E$153,"",E700-AVERAGE(E:E))</f>
        <v>0.34203022755250334</v>
      </c>
      <c r="K700" s="79">
        <f>IF($C700&lt;=Entradas!$E$153,"",J700^2)</f>
        <v>0.11698467655961721</v>
      </c>
      <c r="L700" s="79">
        <f>IF($C700&lt;=Entradas!$E$153,"",G700*J700)</f>
        <v>3.657286583328416E-3</v>
      </c>
      <c r="M700" s="40"/>
    </row>
    <row r="701" spans="2:13">
      <c r="B701" s="39"/>
      <c r="C701" s="75">
        <v>696</v>
      </c>
      <c r="D701" s="110">
        <f>IF($C701&lt;=Entradas!$E$153,"",Observaciones!L701)</f>
        <v>0.79489329753532822</v>
      </c>
      <c r="E701" s="110">
        <f>IF($C701&lt;=Entradas!$E$153,"",Escenario1!BN702)</f>
        <v>1.0784027805885288</v>
      </c>
      <c r="F701" s="79">
        <f>IF($C701&lt;=Entradas!$E$153,"",D701-E701)</f>
        <v>-0.28350948305320056</v>
      </c>
      <c r="G701" s="79">
        <f>IF($C701&lt;=Entradas!$E$153,"",D701-AVERAGE(D:D))</f>
        <v>1.2041676023750281E-2</v>
      </c>
      <c r="H701" s="79">
        <f>IF($C701&lt;=Entradas!$E$153,"",F701^2)</f>
        <v>8.037762698109302E-2</v>
      </c>
      <c r="I701" s="79">
        <f>IF($C701&lt;=Entradas!$E$153,"",G701^2)</f>
        <v>1.4500196146096238E-4</v>
      </c>
      <c r="J701" s="79">
        <f>IF($C701&lt;=Entradas!$E$153,"",E701-AVERAGE(E:E))</f>
        <v>0.24746363992534359</v>
      </c>
      <c r="K701" s="79">
        <f>IF($C701&lt;=Entradas!$E$153,"",J701^2)</f>
        <v>6.1238253085100107E-2</v>
      </c>
      <c r="L701" s="79">
        <f>IF($C701&lt;=Entradas!$E$153,"",G701*J701)</f>
        <v>2.9798769796389826E-3</v>
      </c>
      <c r="M701" s="40"/>
    </row>
    <row r="702" spans="2:13">
      <c r="B702" s="39"/>
      <c r="C702" s="75">
        <v>697</v>
      </c>
      <c r="D702" s="110">
        <f>IF($C702&lt;=Entradas!$E$153,"",Observaciones!L702)</f>
        <v>0.79530006036135426</v>
      </c>
      <c r="E702" s="110">
        <f>IF($C702&lt;=Entradas!$E$153,"",Escenario1!BN703)</f>
        <v>0.9778598960750633</v>
      </c>
      <c r="F702" s="79">
        <f>IF($C702&lt;=Entradas!$E$153,"",D702-E702)</f>
        <v>-0.18255983571370904</v>
      </c>
      <c r="G702" s="79">
        <f>IF($C702&lt;=Entradas!$E$153,"",D702-AVERAGE(D:D))</f>
        <v>1.2448438849776311E-2</v>
      </c>
      <c r="H702" s="79">
        <f>IF($C702&lt;=Entradas!$E$153,"",F702^2)</f>
        <v>3.3328093615816436E-2</v>
      </c>
      <c r="I702" s="79">
        <f>IF($C702&lt;=Entradas!$E$153,"",G702^2)</f>
        <v>1.5496362979662017E-4</v>
      </c>
      <c r="J702" s="79">
        <f>IF($C702&lt;=Entradas!$E$153,"",E702-AVERAGE(E:E))</f>
        <v>0.1469207554118781</v>
      </c>
      <c r="K702" s="79">
        <f>IF($C702&lt;=Entradas!$E$153,"",J702^2)</f>
        <v>2.1585708370796909E-2</v>
      </c>
      <c r="L702" s="79">
        <f>IF($C702&lt;=Entradas!$E$153,"",G702*J702)</f>
        <v>1.8289340395077065E-3</v>
      </c>
      <c r="M702" s="40"/>
    </row>
    <row r="703" spans="2:13">
      <c r="B703" s="39"/>
      <c r="C703" s="75">
        <v>698</v>
      </c>
      <c r="D703" s="110">
        <f>IF($C703&lt;=Entradas!$E$153,"",Observaciones!L703)</f>
        <v>0.79482711141260565</v>
      </c>
      <c r="E703" s="110">
        <f>IF($C703&lt;=Entradas!$E$153,"",Escenario1!BN704)</f>
        <v>0.88244779831044273</v>
      </c>
      <c r="F703" s="79">
        <f>IF($C703&lt;=Entradas!$E$153,"",D703-E703)</f>
        <v>-8.7620686897837086E-2</v>
      </c>
      <c r="G703" s="79">
        <f>IF($C703&lt;=Entradas!$E$153,"",D703-AVERAGE(D:D))</f>
        <v>1.1975489901027703E-2</v>
      </c>
      <c r="H703" s="79">
        <f>IF($C703&lt;=Entradas!$E$153,"",F703^2)</f>
        <v>7.6773847724487991E-3</v>
      </c>
      <c r="I703" s="79">
        <f>IF($C703&lt;=Entradas!$E$153,"",G703^2)</f>
        <v>1.434123583696165E-4</v>
      </c>
      <c r="J703" s="79">
        <f>IF($C703&lt;=Entradas!$E$153,"",E703-AVERAGE(E:E))</f>
        <v>5.1508657647257539E-2</v>
      </c>
      <c r="K703" s="79">
        <f>IF($C703&lt;=Entradas!$E$153,"",J703^2)</f>
        <v>2.6531418126223825E-3</v>
      </c>
      <c r="L703" s="79">
        <f>IF($C703&lt;=Entradas!$E$153,"",G703*J703)</f>
        <v>6.1684140947022598E-4</v>
      </c>
      <c r="M703" s="40"/>
    </row>
    <row r="704" spans="2:13">
      <c r="B704" s="39"/>
      <c r="C704" s="75">
        <v>699</v>
      </c>
      <c r="D704" s="110">
        <f>IF($C704&lt;=Entradas!$E$153,"",Observaciones!L704)</f>
        <v>0.7935316066496384</v>
      </c>
      <c r="E704" s="110">
        <f>IF($C704&lt;=Entradas!$E$153,"",Escenario1!BN705)</f>
        <v>0.79172486650655371</v>
      </c>
      <c r="F704" s="79">
        <f>IF($C704&lt;=Entradas!$E$153,"",D704-E704)</f>
        <v>1.8067401430846841E-3</v>
      </c>
      <c r="G704" s="79">
        <f>IF($C704&lt;=Entradas!$E$153,"",D704-AVERAGE(D:D))</f>
        <v>1.0679985138060455E-2</v>
      </c>
      <c r="H704" s="79">
        <f>IF($C704&lt;=Entradas!$E$153,"",F704^2)</f>
        <v>3.2643099446336648E-6</v>
      </c>
      <c r="I704" s="79">
        <f>IF($C704&lt;=Entradas!$E$153,"",G704^2)</f>
        <v>1.1406208254919219E-4</v>
      </c>
      <c r="J704" s="79">
        <f>IF($C704&lt;=Entradas!$E$153,"",E704-AVERAGE(E:E))</f>
        <v>-3.9214274156631479E-2</v>
      </c>
      <c r="K704" s="79">
        <f>IF($C704&lt;=Entradas!$E$153,"",J704^2)</f>
        <v>1.5377592976314556E-3</v>
      </c>
      <c r="L704" s="79">
        <f>IF($C704&lt;=Entradas!$E$153,"",G704*J704)</f>
        <v>-4.1880786519265238E-4</v>
      </c>
      <c r="M704" s="40"/>
    </row>
    <row r="705" spans="2:13">
      <c r="B705" s="39"/>
      <c r="C705" s="75">
        <v>700</v>
      </c>
      <c r="D705" s="110">
        <f>IF($C705&lt;=Entradas!$E$153,"",Observaciones!L705)</f>
        <v>0.73236992001678813</v>
      </c>
      <c r="E705" s="110">
        <f>IF($C705&lt;=Entradas!$E$153,"",Escenario1!BN706)</f>
        <v>0.70533222875621671</v>
      </c>
      <c r="F705" s="79">
        <f>IF($C705&lt;=Entradas!$E$153,"",D705-E705)</f>
        <v>2.7037691260571428E-2</v>
      </c>
      <c r="G705" s="79">
        <f>IF($C705&lt;=Entradas!$E$153,"",D705-AVERAGE(D:D))</f>
        <v>-5.048170149478981E-2</v>
      </c>
      <c r="H705" s="79">
        <f>IF($C705&lt;=Entradas!$E$153,"",F705^2)</f>
        <v>7.3103674870198063E-4</v>
      </c>
      <c r="I705" s="79">
        <f>IF($C705&lt;=Entradas!$E$153,"",G705^2)</f>
        <v>2.5484021858090638E-3</v>
      </c>
      <c r="J705" s="79">
        <f>IF($C705&lt;=Entradas!$E$153,"",E705-AVERAGE(E:E))</f>
        <v>-0.12560691190696849</v>
      </c>
      <c r="K705" s="79">
        <f>IF($C705&lt;=Entradas!$E$153,"",J705^2)</f>
        <v>1.5777096318804942E-2</v>
      </c>
      <c r="L705" s="79">
        <f>IF($C705&lt;=Entradas!$E$153,"",G705*J705)</f>
        <v>6.3408506325699429E-3</v>
      </c>
      <c r="M705" s="40"/>
    </row>
    <row r="706" spans="2:13">
      <c r="B706" s="39"/>
      <c r="C706" s="75">
        <v>701</v>
      </c>
      <c r="D706" s="110">
        <f>IF($C706&lt;=Entradas!$E$153,"",Observaciones!L706)</f>
        <v>0.63986387764554975</v>
      </c>
      <c r="E706" s="110">
        <f>IF($C706&lt;=Entradas!$E$153,"",Escenario1!BN707)</f>
        <v>0.62164588912632823</v>
      </c>
      <c r="F706" s="79">
        <f>IF($C706&lt;=Entradas!$E$153,"",D706-E706)</f>
        <v>1.8217988519221517E-2</v>
      </c>
      <c r="G706" s="79">
        <f>IF($C706&lt;=Entradas!$E$153,"",D706-AVERAGE(D:D))</f>
        <v>-0.14298774386602819</v>
      </c>
      <c r="H706" s="79">
        <f>IF($C706&lt;=Entradas!$E$153,"",F706^2)</f>
        <v>3.3189510568648703E-4</v>
      </c>
      <c r="I706" s="79">
        <f>IF($C706&lt;=Entradas!$E$153,"",G706^2)</f>
        <v>2.0445494895896883E-2</v>
      </c>
      <c r="J706" s="79">
        <f>IF($C706&lt;=Entradas!$E$153,"",E706-AVERAGE(E:E))</f>
        <v>-0.20929325153685696</v>
      </c>
      <c r="K706" s="79">
        <f>IF($C706&lt;=Entradas!$E$153,"",J706^2)</f>
        <v>4.3803665138870081E-2</v>
      </c>
      <c r="L706" s="79">
        <f>IF($C706&lt;=Entradas!$E$153,"",G706*J706)</f>
        <v>2.9926369843640315E-2</v>
      </c>
      <c r="M706" s="40"/>
    </row>
    <row r="707" spans="2:13">
      <c r="B707" s="39"/>
      <c r="C707" s="75">
        <v>702</v>
      </c>
      <c r="D707" s="110">
        <f>IF($C707&lt;=Entradas!$E$153,"",Observaciones!L707)</f>
        <v>0.5485396102150476</v>
      </c>
      <c r="E707" s="110">
        <f>IF($C707&lt;=Entradas!$E$153,"",Escenario1!BN708)</f>
        <v>0.53909761042030169</v>
      </c>
      <c r="F707" s="79">
        <f>IF($C707&lt;=Entradas!$E$153,"",D707-E707)</f>
        <v>9.4419997947459144E-3</v>
      </c>
      <c r="G707" s="79">
        <f>IF($C707&lt;=Entradas!$E$153,"",D707-AVERAGE(D:D))</f>
        <v>-0.23431201129653034</v>
      </c>
      <c r="H707" s="79">
        <f>IF($C707&lt;=Entradas!$E$153,"",F707^2)</f>
        <v>8.9151360123981892E-5</v>
      </c>
      <c r="I707" s="79">
        <f>IF($C707&lt;=Entradas!$E$153,"",G707^2)</f>
        <v>5.4902118637825362E-2</v>
      </c>
      <c r="J707" s="79">
        <f>IF($C707&lt;=Entradas!$E$153,"",E707-AVERAGE(E:E))</f>
        <v>-0.29184153024288351</v>
      </c>
      <c r="K707" s="79">
        <f>IF($C707&lt;=Entradas!$E$153,"",J707^2)</f>
        <v>8.5171478774507883E-2</v>
      </c>
      <c r="L707" s="79">
        <f>IF($C707&lt;=Entradas!$E$153,"",G707*J707)</f>
        <v>6.8381975931067221E-2</v>
      </c>
      <c r="M707" s="40"/>
    </row>
    <row r="708" spans="2:13">
      <c r="B708" s="39"/>
      <c r="C708" s="75">
        <v>703</v>
      </c>
      <c r="D708" s="110">
        <f>IF($C708&lt;=Entradas!$E$153,"",Observaciones!L708)</f>
        <v>0.46035117464305336</v>
      </c>
      <c r="E708" s="110">
        <f>IF($C708&lt;=Entradas!$E$153,"",Escenario1!BN709)</f>
        <v>0.45939476245302979</v>
      </c>
      <c r="F708" s="79">
        <f>IF($C708&lt;=Entradas!$E$153,"",D708-E708)</f>
        <v>9.5641219002357003E-4</v>
      </c>
      <c r="G708" s="79">
        <f>IF($C708&lt;=Entradas!$E$153,"",D708-AVERAGE(D:D))</f>
        <v>-0.32250044686852458</v>
      </c>
      <c r="H708" s="79">
        <f>IF($C708&lt;=Entradas!$E$153,"",F708^2)</f>
        <v>9.1472427722568142E-7</v>
      </c>
      <c r="I708" s="79">
        <f>IF($C708&lt;=Entradas!$E$153,"",G708^2)</f>
        <v>0.10400653823039804</v>
      </c>
      <c r="J708" s="79">
        <f>IF($C708&lt;=Entradas!$E$153,"",E708-AVERAGE(E:E))</f>
        <v>-0.3715443782101554</v>
      </c>
      <c r="K708" s="79">
        <f>IF($C708&lt;=Entradas!$E$153,"",J708^2)</f>
        <v>0.138045224979571</v>
      </c>
      <c r="L708" s="79">
        <f>IF($C708&lt;=Entradas!$E$153,"",G708*J708)</f>
        <v>0.11982322800426322</v>
      </c>
      <c r="M708" s="40"/>
    </row>
    <row r="709" spans="2:13">
      <c r="B709" s="39"/>
      <c r="C709" s="75">
        <v>704</v>
      </c>
      <c r="D709" s="110">
        <f>IF($C709&lt;=Entradas!$E$153,"",Observaciones!L709)</f>
        <v>0.37511620870975271</v>
      </c>
      <c r="E709" s="110">
        <f>IF($C709&lt;=Entradas!$E$153,"",Escenario1!BN710)</f>
        <v>0.38237399289143709</v>
      </c>
      <c r="F709" s="79">
        <f>IF($C709&lt;=Entradas!$E$153,"",D709-E709)</f>
        <v>-7.2577841816843791E-3</v>
      </c>
      <c r="G709" s="79">
        <f>IF($C709&lt;=Entradas!$E$153,"",D709-AVERAGE(D:D))</f>
        <v>-0.40773541280182524</v>
      </c>
      <c r="H709" s="79">
        <f>IF($C709&lt;=Entradas!$E$153,"",F709^2)</f>
        <v>5.2675431227907989E-5</v>
      </c>
      <c r="I709" s="79">
        <f>IF($C709&lt;=Entradas!$E$153,"",G709^2)</f>
        <v>0.16624816685267482</v>
      </c>
      <c r="J709" s="79">
        <f>IF($C709&lt;=Entradas!$E$153,"",E709-AVERAGE(E:E))</f>
        <v>-0.44856514777174811</v>
      </c>
      <c r="K709" s="79">
        <f>IF($C709&lt;=Entradas!$E$153,"",J709^2)</f>
        <v>0.20121069179549023</v>
      </c>
      <c r="L709" s="79">
        <f>IF($C709&lt;=Entradas!$E$153,"",G709*J709)</f>
        <v>0.18289589569522546</v>
      </c>
      <c r="M709" s="40"/>
    </row>
    <row r="710" spans="2:13">
      <c r="B710" s="39"/>
      <c r="C710" s="75">
        <v>705</v>
      </c>
      <c r="D710" s="110">
        <f>IF($C710&lt;=Entradas!$E$153,"",Observaciones!L710)</f>
        <v>0.29219842692406994</v>
      </c>
      <c r="E710" s="110">
        <f>IF($C710&lt;=Entradas!$E$153,"",Escenario1!BN711)</f>
        <v>0.30747486526526607</v>
      </c>
      <c r="F710" s="79">
        <f>IF($C710&lt;=Entradas!$E$153,"",D710-E710)</f>
        <v>-1.527643834119613E-2</v>
      </c>
      <c r="G710" s="79">
        <f>IF($C710&lt;=Entradas!$E$153,"",D710-AVERAGE(D:D))</f>
        <v>-0.490653194587508</v>
      </c>
      <c r="H710" s="79">
        <f>IF($C710&lt;=Entradas!$E$153,"",F710^2)</f>
        <v>2.3336956839236717E-4</v>
      </c>
      <c r="I710" s="79">
        <f>IF($C710&lt;=Entradas!$E$153,"",G710^2)</f>
        <v>0.24074055735892699</v>
      </c>
      <c r="J710" s="79">
        <f>IF($C710&lt;=Entradas!$E$153,"",E710-AVERAGE(E:E))</f>
        <v>-0.52346427539791907</v>
      </c>
      <c r="K710" s="79">
        <f>IF($C710&lt;=Entradas!$E$153,"",J710^2)</f>
        <v>0.27401484761786843</v>
      </c>
      <c r="L710" s="79">
        <f>IF($C710&lt;=Entradas!$E$153,"",G710*J710)</f>
        <v>0.25683941897642404</v>
      </c>
      <c r="M710" s="40"/>
    </row>
    <row r="711" spans="2:13">
      <c r="B711" s="39"/>
      <c r="C711" s="75">
        <v>706</v>
      </c>
      <c r="D711" s="110">
        <f>IF($C711&lt;=Entradas!$E$153,"",Observaciones!L711)</f>
        <v>0.21599971272471249</v>
      </c>
      <c r="E711" s="110">
        <f>IF($C711&lt;=Entradas!$E$153,"",Escenario1!BN712)</f>
        <v>0.23856265810751526</v>
      </c>
      <c r="F711" s="79">
        <f>IF($C711&lt;=Entradas!$E$153,"",D711-E711)</f>
        <v>-2.2562945382802763E-2</v>
      </c>
      <c r="G711" s="79">
        <f>IF($C711&lt;=Entradas!$E$153,"",D711-AVERAGE(D:D))</f>
        <v>-0.56685190878686542</v>
      </c>
      <c r="H711" s="79">
        <f>IF($C711&lt;=Entradas!$E$153,"",F711^2)</f>
        <v>5.0908650434734054E-4</v>
      </c>
      <c r="I711" s="79">
        <f>IF($C711&lt;=Entradas!$E$153,"",G711^2)</f>
        <v>0.32132108649531277</v>
      </c>
      <c r="J711" s="79">
        <f>IF($C711&lt;=Entradas!$E$153,"",E711-AVERAGE(E:E))</f>
        <v>-0.59237648255566988</v>
      </c>
      <c r="K711" s="79">
        <f>IF($C711&lt;=Entradas!$E$153,"",J711^2)</f>
        <v>0.35090989708502784</v>
      </c>
      <c r="L711" s="79">
        <f>IF($C711&lt;=Entradas!$E$153,"",G711*J711)</f>
        <v>0.33578973985713073</v>
      </c>
      <c r="M711" s="40"/>
    </row>
    <row r="712" spans="2:13">
      <c r="B712" s="39"/>
      <c r="C712" s="75">
        <v>707</v>
      </c>
      <c r="D712" s="110">
        <f>IF($C712&lt;=Entradas!$E$153,"",Observaciones!L712)</f>
        <v>0.18123362461651843</v>
      </c>
      <c r="E712" s="110">
        <f>IF($C712&lt;=Entradas!$E$153,"",Escenario1!BN713)</f>
        <v>0.16903627893158174</v>
      </c>
      <c r="F712" s="79">
        <f>IF($C712&lt;=Entradas!$E$153,"",D712-E712)</f>
        <v>1.2197345684936689E-2</v>
      </c>
      <c r="G712" s="79">
        <f>IF($C712&lt;=Entradas!$E$153,"",D712-AVERAGE(D:D))</f>
        <v>-0.60161799689505946</v>
      </c>
      <c r="H712" s="79">
        <f>IF($C712&lt;=Entradas!$E$153,"",F712^2)</f>
        <v>1.4877524175784367E-4</v>
      </c>
      <c r="I712" s="79">
        <f>IF($C712&lt;=Entradas!$E$153,"",G712^2)</f>
        <v>0.36194421418802375</v>
      </c>
      <c r="J712" s="79">
        <f>IF($C712&lt;=Entradas!$E$153,"",E712-AVERAGE(E:E))</f>
        <v>-0.6619028617316034</v>
      </c>
      <c r="K712" s="79">
        <f>IF($C712&lt;=Entradas!$E$153,"",J712^2)</f>
        <v>0.43811539836848606</v>
      </c>
      <c r="L712" s="79">
        <f>IF($C712&lt;=Entradas!$E$153,"",G712*J712)</f>
        <v>0.39821267381407477</v>
      </c>
      <c r="M712" s="40"/>
    </row>
    <row r="713" spans="2:13">
      <c r="B713" s="39"/>
      <c r="C713" s="75">
        <v>708</v>
      </c>
      <c r="D713" s="110">
        <f>IF($C713&lt;=Entradas!$E$153,"",Observaciones!L713)</f>
        <v>0.17362348051319917</v>
      </c>
      <c r="E713" s="110">
        <f>IF($C713&lt;=Entradas!$E$153,"",Escenario1!BN714)</f>
        <v>0.13255627270730322</v>
      </c>
      <c r="F713" s="79">
        <f>IF($C713&lt;=Entradas!$E$153,"",D713-E713)</f>
        <v>4.1067207805895956E-2</v>
      </c>
      <c r="G713" s="79">
        <f>IF($C713&lt;=Entradas!$E$153,"",D713-AVERAGE(D:D))</f>
        <v>-0.60922814099837874</v>
      </c>
      <c r="H713" s="79">
        <f>IF($C713&lt;=Entradas!$E$153,"",F713^2)</f>
        <v>1.6865155569726416E-3</v>
      </c>
      <c r="I713" s="79">
        <f>IF($C713&lt;=Entradas!$E$153,"",G713^2)</f>
        <v>0.37115892778434045</v>
      </c>
      <c r="J713" s="79">
        <f>IF($C713&lt;=Entradas!$E$153,"",E713-AVERAGE(E:E))</f>
        <v>-0.698382867955882</v>
      </c>
      <c r="K713" s="79">
        <f>IF($C713&lt;=Entradas!$E$153,"",J713^2)</f>
        <v>0.48773863025428293</v>
      </c>
      <c r="L713" s="79">
        <f>IF($C713&lt;=Entradas!$E$153,"",G713*J713)</f>
        <v>0.42547449634987822</v>
      </c>
      <c r="M713" s="40"/>
    </row>
    <row r="714" spans="2:13">
      <c r="B714" s="39"/>
      <c r="C714" s="75">
        <v>709</v>
      </c>
      <c r="D714" s="110">
        <f>IF($C714&lt;=Entradas!$E$153,"",Observaciones!L714)</f>
        <v>0.17054388143723909</v>
      </c>
      <c r="E714" s="110">
        <f>IF($C714&lt;=Entradas!$E$153,"",Escenario1!BN715)</f>
        <v>0.12557861979083834</v>
      </c>
      <c r="F714" s="79">
        <f>IF($C714&lt;=Entradas!$E$153,"",D714-E714)</f>
        <v>4.4965261646400745E-2</v>
      </c>
      <c r="G714" s="79">
        <f>IF($C714&lt;=Entradas!$E$153,"",D714-AVERAGE(D:D))</f>
        <v>-0.61230774007433886</v>
      </c>
      <c r="H714" s="79">
        <f>IF($C714&lt;=Entradas!$E$153,"",F714^2)</f>
        <v>2.0218747549292778E-3</v>
      </c>
      <c r="I714" s="79">
        <f>IF($C714&lt;=Entradas!$E$153,"",G714^2)</f>
        <v>0.37492076855494411</v>
      </c>
      <c r="J714" s="79">
        <f>IF($C714&lt;=Entradas!$E$153,"",E714-AVERAGE(E:E))</f>
        <v>-0.7053605208723468</v>
      </c>
      <c r="K714" s="79">
        <f>IF($C714&lt;=Entradas!$E$153,"",J714^2)</f>
        <v>0.49753346440530838</v>
      </c>
      <c r="L714" s="79">
        <f>IF($C714&lt;=Entradas!$E$153,"",G714*J714)</f>
        <v>0.43189770647300518</v>
      </c>
      <c r="M714" s="40"/>
    </row>
    <row r="715" spans="2:13">
      <c r="B715" s="39"/>
      <c r="C715" s="75">
        <v>710</v>
      </c>
      <c r="D715" s="110">
        <f>IF($C715&lt;=Entradas!$E$153,"",Observaciones!L715)</f>
        <v>0.16824011597996574</v>
      </c>
      <c r="E715" s="110">
        <f>IF($C715&lt;=Entradas!$E$153,"",Escenario1!BN716)</f>
        <v>0.12387843960588392</v>
      </c>
      <c r="F715" s="79">
        <f>IF($C715&lt;=Entradas!$E$153,"",D715-E715)</f>
        <v>4.4361676374081824E-2</v>
      </c>
      <c r="G715" s="79">
        <f>IF($C715&lt;=Entradas!$E$153,"",D715-AVERAGE(D:D))</f>
        <v>-0.61461150553161215</v>
      </c>
      <c r="H715" s="79">
        <f>IF($C715&lt;=Entradas!$E$153,"",F715^2)</f>
        <v>1.9679583307187693E-3</v>
      </c>
      <c r="I715" s="79">
        <f>IF($C715&lt;=Entradas!$E$153,"",G715^2)</f>
        <v>0.37774730273183493</v>
      </c>
      <c r="J715" s="79">
        <f>IF($C715&lt;=Entradas!$E$153,"",E715-AVERAGE(E:E))</f>
        <v>-0.70706070105730123</v>
      </c>
      <c r="K715" s="79">
        <f>IF($C715&lt;=Entradas!$E$153,"",J715^2)</f>
        <v>0.49993483497964231</v>
      </c>
      <c r="L715" s="79">
        <f>IF($C715&lt;=Entradas!$E$153,"",G715*J715)</f>
        <v>0.43456764197906506</v>
      </c>
      <c r="M715" s="40"/>
    </row>
    <row r="716" spans="2:13">
      <c r="B716" s="39"/>
      <c r="C716" s="75">
        <v>711</v>
      </c>
      <c r="D716" s="110">
        <f>IF($C716&lt;=Entradas!$E$153,"",Observaciones!L716)</f>
        <v>0.16608881011975146</v>
      </c>
      <c r="E716" s="110">
        <f>IF($C716&lt;=Entradas!$E$153,"",Escenario1!BN717)</f>
        <v>0.12274287794657665</v>
      </c>
      <c r="F716" s="79">
        <f>IF($C716&lt;=Entradas!$E$153,"",D716-E716)</f>
        <v>4.3345932173174812E-2</v>
      </c>
      <c r="G716" s="79">
        <f>IF($C716&lt;=Entradas!$E$153,"",D716-AVERAGE(D:D))</f>
        <v>-0.61676281139182643</v>
      </c>
      <c r="H716" s="79">
        <f>IF($C716&lt;=Entradas!$E$153,"",F716^2)</f>
        <v>1.8788698359614713E-3</v>
      </c>
      <c r="I716" s="79">
        <f>IF($C716&lt;=Entradas!$E$153,"",G716^2)</f>
        <v>0.38039636551594963</v>
      </c>
      <c r="J716" s="79">
        <f>IF($C716&lt;=Entradas!$E$153,"",E716-AVERAGE(E:E))</f>
        <v>-0.70819626271660852</v>
      </c>
      <c r="K716" s="79">
        <f>IF($C716&lt;=Entradas!$E$153,"",J716^2)</f>
        <v>0.50154194652577155</v>
      </c>
      <c r="L716" s="79">
        <f>IF($C716&lt;=Entradas!$E$153,"",G716*J716)</f>
        <v>0.43678911801027998</v>
      </c>
      <c r="M716" s="40"/>
    </row>
    <row r="717" spans="2:13">
      <c r="B717" s="39"/>
      <c r="C717" s="75">
        <v>712</v>
      </c>
      <c r="D717" s="110">
        <f>IF($C717&lt;=Entradas!$E$153,"",Observaciones!L717)</f>
        <v>0.24027056372470662</v>
      </c>
      <c r="E717" s="110">
        <f>IF($C717&lt;=Entradas!$E$153,"",Escenario1!BN718)</f>
        <v>0.18158785802486316</v>
      </c>
      <c r="F717" s="79">
        <f>IF($C717&lt;=Entradas!$E$153,"",D717-E717)</f>
        <v>5.8682705699843463E-2</v>
      </c>
      <c r="G717" s="79">
        <f>IF($C717&lt;=Entradas!$E$153,"",D717-AVERAGE(D:D))</f>
        <v>-0.54258105778687127</v>
      </c>
      <c r="H717" s="79">
        <f>IF($C717&lt;=Entradas!$E$153,"",F717^2)</f>
        <v>3.4436599482544402E-3</v>
      </c>
      <c r="I717" s="79">
        <f>IF($C717&lt;=Entradas!$E$153,"",G717^2)</f>
        <v>0.29439420426912016</v>
      </c>
      <c r="J717" s="79">
        <f>IF($C717&lt;=Entradas!$E$153,"",E717-AVERAGE(E:E))</f>
        <v>-0.64935128263832209</v>
      </c>
      <c r="K717" s="79">
        <f>IF($C717&lt;=Entradas!$E$153,"",J717^2)</f>
        <v>0.42165708826403409</v>
      </c>
      <c r="L717" s="79">
        <f>IF($C717&lt;=Entradas!$E$153,"",G717*J717)</f>
        <v>0.35232570580916239</v>
      </c>
      <c r="M717" s="40"/>
    </row>
    <row r="718" spans="2:13">
      <c r="B718" s="39"/>
      <c r="C718" s="75">
        <v>713</v>
      </c>
      <c r="D718" s="110">
        <f>IF($C718&lt;=Entradas!$E$153,"",Observaciones!L718)</f>
        <v>0.17602344000916559</v>
      </c>
      <c r="E718" s="110">
        <f>IF($C718&lt;=Entradas!$E$153,"",Escenario1!BN719)</f>
        <v>0.13231210232916818</v>
      </c>
      <c r="F718" s="79">
        <f>IF($C718&lt;=Entradas!$E$153,"",D718-E718)</f>
        <v>4.3711337679997408E-2</v>
      </c>
      <c r="G718" s="79">
        <f>IF($C718&lt;=Entradas!$E$153,"",D718-AVERAGE(D:D))</f>
        <v>-0.60682818150241236</v>
      </c>
      <c r="H718" s="79">
        <f>IF($C718&lt;=Entradas!$E$153,"",F718^2)</f>
        <v>1.9106810417747612E-3</v>
      </c>
      <c r="I718" s="79">
        <f>IF($C718&lt;=Entradas!$E$153,"",G718^2)</f>
        <v>0.36824044186552474</v>
      </c>
      <c r="J718" s="79">
        <f>IF($C718&lt;=Entradas!$E$153,"",E718-AVERAGE(E:E))</f>
        <v>-0.69862703833401696</v>
      </c>
      <c r="K718" s="79">
        <f>IF($C718&lt;=Entradas!$E$153,"",J718^2)</f>
        <v>0.48807973869136001</v>
      </c>
      <c r="L718" s="79">
        <f>IF($C718&lt;=Entradas!$E$153,"",G718*J718)</f>
        <v>0.42394657522064766</v>
      </c>
      <c r="M718" s="40"/>
    </row>
    <row r="719" spans="2:13">
      <c r="B719" s="39"/>
      <c r="C719" s="75">
        <v>714</v>
      </c>
      <c r="D719" s="110">
        <f>IF($C719&lt;=Entradas!$E$153,"",Observaciones!L719)</f>
        <v>0.16221234771349963</v>
      </c>
      <c r="E719" s="110">
        <f>IF($C719&lt;=Entradas!$E$153,"",Escenario1!BN720)</f>
        <v>0.12082950374892557</v>
      </c>
      <c r="F719" s="79">
        <f>IF($C719&lt;=Entradas!$E$153,"",D719-E719)</f>
        <v>4.1382843964574062E-2</v>
      </c>
      <c r="G719" s="79">
        <f>IF($C719&lt;=Entradas!$E$153,"",D719-AVERAGE(D:D))</f>
        <v>-0.62063927379807837</v>
      </c>
      <c r="H719" s="79">
        <f>IF($C719&lt;=Entradas!$E$153,"",F719^2)</f>
        <v>1.7125397745962839E-3</v>
      </c>
      <c r="I719" s="79">
        <f>IF($C719&lt;=Entradas!$E$153,"",G719^2)</f>
        <v>0.38519310818060609</v>
      </c>
      <c r="J719" s="79">
        <f>IF($C719&lt;=Entradas!$E$153,"",E719-AVERAGE(E:E))</f>
        <v>-0.71010963691425966</v>
      </c>
      <c r="K719" s="79">
        <f>IF($C719&lt;=Entradas!$E$153,"",J719^2)</f>
        <v>0.50425569643850165</v>
      </c>
      <c r="L719" s="79">
        <f>IF($C719&lt;=Entradas!$E$153,"",G719*J719)</f>
        <v>0.44072192937148325</v>
      </c>
      <c r="M719" s="40"/>
    </row>
    <row r="720" spans="2:13">
      <c r="B720" s="39"/>
      <c r="C720" s="75">
        <v>715</v>
      </c>
      <c r="D720" s="110">
        <f>IF($C720&lt;=Entradas!$E$153,"",Observaciones!L720)</f>
        <v>0.64366414137024464</v>
      </c>
      <c r="E720" s="110">
        <f>IF($C720&lt;=Entradas!$E$153,"",Escenario1!BN721)</f>
        <v>0.29328260251051635</v>
      </c>
      <c r="F720" s="79">
        <f>IF($C720&lt;=Entradas!$E$153,"",D720-E720)</f>
        <v>0.35038153885972828</v>
      </c>
      <c r="G720" s="79">
        <f>IF($C720&lt;=Entradas!$E$153,"",D720-AVERAGE(D:D))</f>
        <v>-0.13918748014133331</v>
      </c>
      <c r="H720" s="79">
        <f>IF($C720&lt;=Entradas!$E$153,"",F720^2)</f>
        <v>0.12276722277371128</v>
      </c>
      <c r="I720" s="79">
        <f>IF($C720&lt;=Entradas!$E$153,"",G720^2)</f>
        <v>1.9373154628094053E-2</v>
      </c>
      <c r="J720" s="79">
        <f>IF($C720&lt;=Entradas!$E$153,"",E720-AVERAGE(E:E))</f>
        <v>-0.53765653815266878</v>
      </c>
      <c r="K720" s="79">
        <f>IF($C720&lt;=Entradas!$E$153,"",J720^2)</f>
        <v>0.2890745530183122</v>
      </c>
      <c r="L720" s="79">
        <f>IF($C720&lt;=Entradas!$E$153,"",G720*J720)</f>
        <v>7.4835058726982595E-2</v>
      </c>
      <c r="M720" s="40"/>
    </row>
    <row r="721" spans="2:13">
      <c r="B721" s="39"/>
      <c r="C721" s="75">
        <v>716</v>
      </c>
      <c r="D721" s="110">
        <f>IF($C721&lt;=Entradas!$E$153,"",Observaciones!L721)</f>
        <v>0.32743932773091122</v>
      </c>
      <c r="E721" s="110">
        <f>IF($C721&lt;=Entradas!$E$153,"",Escenario1!BN722)</f>
        <v>0.27620544381651213</v>
      </c>
      <c r="F721" s="79">
        <f>IF($C721&lt;=Entradas!$E$153,"",D721-E721)</f>
        <v>5.1233883914399092E-2</v>
      </c>
      <c r="G721" s="79">
        <f>IF($C721&lt;=Entradas!$E$153,"",D721-AVERAGE(D:D))</f>
        <v>-0.45541229378066672</v>
      </c>
      <c r="H721" s="79">
        <f>IF($C721&lt;=Entradas!$E$153,"",F721^2)</f>
        <v>2.6249108609541221E-3</v>
      </c>
      <c r="I721" s="79">
        <f>IF($C721&lt;=Entradas!$E$153,"",G721^2)</f>
        <v>0.20740035732656828</v>
      </c>
      <c r="J721" s="79">
        <f>IF($C721&lt;=Entradas!$E$153,"",E721-AVERAGE(E:E))</f>
        <v>-0.55473369684667306</v>
      </c>
      <c r="K721" s="79">
        <f>IF($C721&lt;=Entradas!$E$153,"",J721^2)</f>
        <v>0.30772947441717657</v>
      </c>
      <c r="L721" s="79">
        <f>IF($C721&lt;=Entradas!$E$153,"",G721*J721)</f>
        <v>0.25263254531837237</v>
      </c>
      <c r="M721" s="40"/>
    </row>
    <row r="722" spans="2:13">
      <c r="B722" s="39"/>
      <c r="C722" s="75">
        <v>717</v>
      </c>
      <c r="D722" s="110">
        <f>IF($C722&lt;=Entradas!$E$153,"",Observaciones!L722)</f>
        <v>0.26789078907782804</v>
      </c>
      <c r="E722" s="110">
        <f>IF($C722&lt;=Entradas!$E$153,"",Escenario1!BN723)</f>
        <v>0.22418292229418088</v>
      </c>
      <c r="F722" s="79">
        <f>IF($C722&lt;=Entradas!$E$153,"",D722-E722)</f>
        <v>4.3707866783647159E-2</v>
      </c>
      <c r="G722" s="79">
        <f>IF($C722&lt;=Entradas!$E$153,"",D722-AVERAGE(D:D))</f>
        <v>-0.5149608324337499</v>
      </c>
      <c r="H722" s="79">
        <f>IF($C722&lt;=Entradas!$E$153,"",F722^2)</f>
        <v>1.9103776187770467E-3</v>
      </c>
      <c r="I722" s="79">
        <f>IF($C722&lt;=Entradas!$E$153,"",G722^2)</f>
        <v>0.26518465894086063</v>
      </c>
      <c r="J722" s="79">
        <f>IF($C722&lt;=Entradas!$E$153,"",E722-AVERAGE(E:E))</f>
        <v>-0.60675621836900429</v>
      </c>
      <c r="K722" s="79">
        <f>IF($C722&lt;=Entradas!$E$153,"",J722^2)</f>
        <v>0.36815310852945482</v>
      </c>
      <c r="L722" s="79">
        <f>IF($C722&lt;=Entradas!$E$153,"",G722*J722)</f>
        <v>0.31245568729565659</v>
      </c>
      <c r="M722" s="40"/>
    </row>
    <row r="723" spans="2:13">
      <c r="B723" s="39"/>
      <c r="C723" s="75">
        <v>718</v>
      </c>
      <c r="D723" s="110">
        <f>IF($C723&lt;=Entradas!$E$153,"",Observaciones!L723)</f>
        <v>0.84251749354534256</v>
      </c>
      <c r="E723" s="110">
        <f>IF($C723&lt;=Entradas!$E$153,"",Escenario1!BN724)</f>
        <v>0.65670861723492935</v>
      </c>
      <c r="F723" s="79">
        <f>IF($C723&lt;=Entradas!$E$153,"",D723-E723)</f>
        <v>0.18580887631041321</v>
      </c>
      <c r="G723" s="79">
        <f>IF($C723&lt;=Entradas!$E$153,"",D723-AVERAGE(D:D))</f>
        <v>5.9665872033764611E-2</v>
      </c>
      <c r="H723" s="79">
        <f>IF($C723&lt;=Entradas!$E$153,"",F723^2)</f>
        <v>3.4524938515738436E-2</v>
      </c>
      <c r="I723" s="79">
        <f>IF($C723&lt;=Entradas!$E$153,"",G723^2)</f>
        <v>3.5600162855495741E-3</v>
      </c>
      <c r="J723" s="79">
        <f>IF($C723&lt;=Entradas!$E$153,"",E723-AVERAGE(E:E))</f>
        <v>-0.17423052342825585</v>
      </c>
      <c r="K723" s="79">
        <f>IF($C723&lt;=Entradas!$E$153,"",J723^2)</f>
        <v>3.0356275294084009E-2</v>
      </c>
      <c r="L723" s="79">
        <f>IF($C723&lt;=Entradas!$E$153,"",G723*J723)</f>
        <v>-1.0395616115246141E-2</v>
      </c>
      <c r="M723" s="40"/>
    </row>
    <row r="724" spans="2:13">
      <c r="B724" s="39"/>
      <c r="C724" s="75">
        <v>719</v>
      </c>
      <c r="D724" s="110">
        <f>IF($C724&lt;=Entradas!$E$153,"",Observaciones!L724)</f>
        <v>0.62015373311605204</v>
      </c>
      <c r="E724" s="110">
        <f>IF($C724&lt;=Entradas!$E$153,"",Escenario1!BN725)</f>
        <v>0.57250672668402458</v>
      </c>
      <c r="F724" s="79">
        <f>IF($C724&lt;=Entradas!$E$153,"",D724-E724)</f>
        <v>4.7647006432027461E-2</v>
      </c>
      <c r="G724" s="79">
        <f>IF($C724&lt;=Entradas!$E$153,"",D724-AVERAGE(D:D))</f>
        <v>-0.1626978883955259</v>
      </c>
      <c r="H724" s="79">
        <f>IF($C724&lt;=Entradas!$E$153,"",F724^2)</f>
        <v>2.2702372219336664E-3</v>
      </c>
      <c r="I724" s="79">
        <f>IF($C724&lt;=Entradas!$E$153,"",G724^2)</f>
        <v>2.6470602888363001E-2</v>
      </c>
      <c r="J724" s="79">
        <f>IF($C724&lt;=Entradas!$E$153,"",E724-AVERAGE(E:E))</f>
        <v>-0.25843241397916061</v>
      </c>
      <c r="K724" s="79">
        <f>IF($C724&lt;=Entradas!$E$153,"",J724^2)</f>
        <v>6.6787312595096252E-2</v>
      </c>
      <c r="L724" s="79">
        <f>IF($C724&lt;=Entradas!$E$153,"",G724*J724)</f>
        <v>4.2046408047367818E-2</v>
      </c>
      <c r="M724" s="40"/>
    </row>
    <row r="725" spans="2:13">
      <c r="B725" s="39"/>
      <c r="C725" s="75">
        <v>720</v>
      </c>
      <c r="D725" s="110">
        <f>IF($C725&lt;=Entradas!$E$153,"",Observaciones!L725)</f>
        <v>0.52904074118082911</v>
      </c>
      <c r="E725" s="110">
        <f>IF($C725&lt;=Entradas!$E$153,"",Escenario1!BN726)</f>
        <v>0.49114574495500291</v>
      </c>
      <c r="F725" s="79">
        <f>IF($C725&lt;=Entradas!$E$153,"",D725-E725)</f>
        <v>3.7894996225826205E-2</v>
      </c>
      <c r="G725" s="79">
        <f>IF($C725&lt;=Entradas!$E$153,"",D725-AVERAGE(D:D))</f>
        <v>-0.25381088033074883</v>
      </c>
      <c r="H725" s="79">
        <f>IF($C725&lt;=Entradas!$E$153,"",F725^2)</f>
        <v>1.4360307389553824E-3</v>
      </c>
      <c r="I725" s="79">
        <f>IF($C725&lt;=Entradas!$E$153,"",G725^2)</f>
        <v>6.4419962974269704E-2</v>
      </c>
      <c r="J725" s="79">
        <f>IF($C725&lt;=Entradas!$E$153,"",E725-AVERAGE(E:E))</f>
        <v>-0.33979339570818229</v>
      </c>
      <c r="K725" s="79">
        <f>IF($C725&lt;=Entradas!$E$153,"",J725^2)</f>
        <v>0.11545955176689736</v>
      </c>
      <c r="L725" s="79">
        <f>IF($C725&lt;=Entradas!$E$153,"",G725*J725)</f>
        <v>8.6243260895268237E-2</v>
      </c>
      <c r="M725" s="40"/>
    </row>
    <row r="726" spans="2:13">
      <c r="B726" s="39"/>
      <c r="C726" s="75">
        <v>721</v>
      </c>
      <c r="D726" s="110">
        <f>IF($C726&lt;=Entradas!$E$153,"",Observaciones!L726)</f>
        <v>0.79576914643851782</v>
      </c>
      <c r="E726" s="110">
        <f>IF($C726&lt;=Entradas!$E$153,"",Escenario1!BN727)</f>
        <v>0.84205144719772185</v>
      </c>
      <c r="F726" s="79">
        <f>IF($C726&lt;=Entradas!$E$153,"",D726-E726)</f>
        <v>-4.6282300759204031E-2</v>
      </c>
      <c r="G726" s="79">
        <f>IF($C726&lt;=Entradas!$E$153,"",D726-AVERAGE(D:D))</f>
        <v>1.2917524926939872E-2</v>
      </c>
      <c r="H726" s="79">
        <f>IF($C726&lt;=Entradas!$E$153,"",F726^2)</f>
        <v>2.1420513635654181E-3</v>
      </c>
      <c r="I726" s="79">
        <f>IF($C726&lt;=Entradas!$E$153,"",G726^2)</f>
        <v>1.6686245023811295E-4</v>
      </c>
      <c r="J726" s="79">
        <f>IF($C726&lt;=Entradas!$E$153,"",E726-AVERAGE(E:E))</f>
        <v>1.1112306534536653E-2</v>
      </c>
      <c r="K726" s="79">
        <f>IF($C726&lt;=Entradas!$E$153,"",J726^2)</f>
        <v>1.23483356517506E-4</v>
      </c>
      <c r="L726" s="79">
        <f>IF($C726&lt;=Entradas!$E$153,"",G726*J726)</f>
        <v>1.4354349665567404E-4</v>
      </c>
      <c r="M726" s="40"/>
    </row>
    <row r="727" spans="2:13">
      <c r="B727" s="39"/>
      <c r="C727" s="75">
        <v>722</v>
      </c>
      <c r="D727" s="110">
        <f>IF($C727&lt;=Entradas!$E$153,"",Observaciones!L727)</f>
        <v>0.79476142854568022</v>
      </c>
      <c r="E727" s="110">
        <f>IF($C727&lt;=Entradas!$E$153,"",Escenario1!BN728)</f>
        <v>0.81563707732054014</v>
      </c>
      <c r="F727" s="79">
        <f>IF($C727&lt;=Entradas!$E$153,"",D727-E727)</f>
        <v>-2.0875648774859923E-2</v>
      </c>
      <c r="G727" s="79">
        <f>IF($C727&lt;=Entradas!$E$153,"",D727-AVERAGE(D:D))</f>
        <v>1.1909807034102271E-2</v>
      </c>
      <c r="H727" s="79">
        <f>IF($C727&lt;=Entradas!$E$153,"",F727^2)</f>
        <v>4.3579271177131062E-4</v>
      </c>
      <c r="I727" s="79">
        <f>IF($C727&lt;=Entradas!$E$153,"",G727^2)</f>
        <v>1.4184350358955193E-4</v>
      </c>
      <c r="J727" s="79">
        <f>IF($C727&lt;=Entradas!$E$153,"",E727-AVERAGE(E:E))</f>
        <v>-1.5302063342645056E-2</v>
      </c>
      <c r="K727" s="79">
        <f>IF($C727&lt;=Entradas!$E$153,"",J727^2)</f>
        <v>2.3415314254232158E-4</v>
      </c>
      <c r="L727" s="79">
        <f>IF($C727&lt;=Entradas!$E$153,"",G727*J727)</f>
        <v>-1.8224462163451261E-4</v>
      </c>
      <c r="M727" s="40"/>
    </row>
    <row r="728" spans="2:13">
      <c r="B728" s="39"/>
      <c r="C728" s="75">
        <v>723</v>
      </c>
      <c r="D728" s="110">
        <f>IF($C728&lt;=Entradas!$E$153,"",Observaciones!L728)</f>
        <v>0.76562231624948685</v>
      </c>
      <c r="E728" s="110">
        <f>IF($C728&lt;=Entradas!$E$153,"",Escenario1!BN729)</f>
        <v>0.72589240047108383</v>
      </c>
      <c r="F728" s="79">
        <f>IF($C728&lt;=Entradas!$E$153,"",D728-E728)</f>
        <v>3.9729915778403013E-2</v>
      </c>
      <c r="G728" s="79">
        <f>IF($C728&lt;=Entradas!$E$153,"",D728-AVERAGE(D:D))</f>
        <v>-1.7229305262091099E-2</v>
      </c>
      <c r="H728" s="79">
        <f>IF($C728&lt;=Entradas!$E$153,"",F728^2)</f>
        <v>1.5784662077589968E-3</v>
      </c>
      <c r="I728" s="79">
        <f>IF($C728&lt;=Entradas!$E$153,"",G728^2)</f>
        <v>2.9684895981432004E-4</v>
      </c>
      <c r="J728" s="79">
        <f>IF($C728&lt;=Entradas!$E$153,"",E728-AVERAGE(E:E))</f>
        <v>-0.10504674019210136</v>
      </c>
      <c r="K728" s="79">
        <f>IF($C728&lt;=Entradas!$E$153,"",J728^2)</f>
        <v>1.1034817624986844E-2</v>
      </c>
      <c r="L728" s="79">
        <f>IF($C728&lt;=Entradas!$E$153,"",G728*J728)</f>
        <v>1.8098823535572886E-3</v>
      </c>
      <c r="M728" s="40"/>
    </row>
    <row r="729" spans="2:13">
      <c r="B729" s="39"/>
      <c r="C729" s="75">
        <v>724</v>
      </c>
      <c r="D729" s="110">
        <f>IF($C729&lt;=Entradas!$E$153,"",Observaciones!L729)</f>
        <v>3.5190219695095739</v>
      </c>
      <c r="E729" s="110">
        <f>IF($C729&lt;=Entradas!$E$153,"",Escenario1!BN730)</f>
        <v>1.1882704256258443</v>
      </c>
      <c r="F729" s="79">
        <f>IF($C729&lt;=Entradas!$E$153,"",D729-E729)</f>
        <v>2.3307515438837294</v>
      </c>
      <c r="G729" s="79">
        <f>IF($C729&lt;=Entradas!$E$153,"",D729-AVERAGE(D:D))</f>
        <v>2.7361703479979962</v>
      </c>
      <c r="H729" s="79">
        <f>IF($C729&lt;=Entradas!$E$153,"",F729^2)</f>
        <v>5.4324027593163882</v>
      </c>
      <c r="I729" s="79">
        <f>IF($C729&lt;=Entradas!$E$153,"",G729^2)</f>
        <v>7.4866281732634752</v>
      </c>
      <c r="J729" s="79">
        <f>IF($C729&lt;=Entradas!$E$153,"",E729-AVERAGE(E:E))</f>
        <v>0.35733128496265909</v>
      </c>
      <c r="K729" s="79">
        <f>IF($C729&lt;=Entradas!$E$153,"",J729^2)</f>
        <v>0.12768564721306508</v>
      </c>
      <c r="L729" s="79">
        <f>IF($C729&lt;=Entradas!$E$153,"",G729*J729)</f>
        <v>0.97771926632685002</v>
      </c>
      <c r="M729" s="40"/>
    </row>
    <row r="730" spans="2:13">
      <c r="B730" s="39"/>
      <c r="C730" s="75">
        <v>725</v>
      </c>
      <c r="D730" s="110">
        <f>IF($C730&lt;=Entradas!$E$153,"",Observaciones!L730)</f>
        <v>0.81293431633862812</v>
      </c>
      <c r="E730" s="110">
        <f>IF($C730&lt;=Entradas!$E$153,"",Escenario1!BN731)</f>
        <v>1.1832578572071977</v>
      </c>
      <c r="F730" s="79">
        <f>IF($C730&lt;=Entradas!$E$153,"",D730-E730)</f>
        <v>-0.37032354086856956</v>
      </c>
      <c r="G730" s="79">
        <f>IF($C730&lt;=Entradas!$E$153,"",D730-AVERAGE(D:D))</f>
        <v>3.0082694827050172E-2</v>
      </c>
      <c r="H730" s="79">
        <f>IF($C730&lt;=Entradas!$E$153,"",F730^2)</f>
        <v>0.13713952492143511</v>
      </c>
      <c r="I730" s="79">
        <f>IF($C730&lt;=Entradas!$E$153,"",G730^2)</f>
        <v>9.0496852805743114E-4</v>
      </c>
      <c r="J730" s="79">
        <f>IF($C730&lt;=Entradas!$E$153,"",E730-AVERAGE(E:E))</f>
        <v>0.35231871654401248</v>
      </c>
      <c r="K730" s="79">
        <f>IF($C730&lt;=Entradas!$E$153,"",J730^2)</f>
        <v>0.12412847802722021</v>
      </c>
      <c r="L730" s="79">
        <f>IF($C730&lt;=Entradas!$E$153,"",G730*J730)</f>
        <v>1.059869643165152E-2</v>
      </c>
      <c r="M730" s="40"/>
    </row>
    <row r="731" spans="2:13">
      <c r="B731" s="39"/>
      <c r="C731" s="75">
        <v>726</v>
      </c>
      <c r="D731" s="110">
        <f>IF($C731&lt;=Entradas!$E$153,"",Observaciones!L731)</f>
        <v>0.81534545370273026</v>
      </c>
      <c r="E731" s="110">
        <f>IF($C731&lt;=Entradas!$E$153,"",Escenario1!BN732)</f>
        <v>1.1663823817864394</v>
      </c>
      <c r="F731" s="79">
        <f>IF($C731&lt;=Entradas!$E$153,"",D731-E731)</f>
        <v>-0.35103692808370912</v>
      </c>
      <c r="G731" s="79">
        <f>IF($C731&lt;=Entradas!$E$153,"",D731-AVERAGE(D:D))</f>
        <v>3.2493832191152316E-2</v>
      </c>
      <c r="H731" s="79">
        <f>IF($C731&lt;=Entradas!$E$153,"",F731^2)</f>
        <v>0.12322692487844716</v>
      </c>
      <c r="I731" s="79">
        <f>IF($C731&lt;=Entradas!$E$153,"",G731^2)</f>
        <v>1.0558491304667665E-3</v>
      </c>
      <c r="J731" s="79">
        <f>IF($C731&lt;=Entradas!$E$153,"",E731-AVERAGE(E:E))</f>
        <v>0.33544324112325419</v>
      </c>
      <c r="K731" s="79">
        <f>IF($C731&lt;=Entradas!$E$153,"",J731^2)</f>
        <v>0.11252216801527365</v>
      </c>
      <c r="L731" s="79">
        <f>IF($C731&lt;=Entradas!$E$153,"",G731*J731)</f>
        <v>1.0899836386715265E-2</v>
      </c>
      <c r="M731" s="40"/>
    </row>
    <row r="732" spans="2:13">
      <c r="B732" s="39"/>
      <c r="C732" s="75">
        <v>727</v>
      </c>
      <c r="D732" s="110">
        <f>IF($C732&lt;=Entradas!$E$153,"",Observaciones!L732)</f>
        <v>0.81916599446896288</v>
      </c>
      <c r="E732" s="110">
        <f>IF($C732&lt;=Entradas!$E$153,"",Escenario1!BN733)</f>
        <v>1.2032111017452625</v>
      </c>
      <c r="F732" s="79">
        <f>IF($C732&lt;=Entradas!$E$153,"",D732-E732)</f>
        <v>-0.38404510727629959</v>
      </c>
      <c r="G732" s="79">
        <f>IF($C732&lt;=Entradas!$E$153,"",D732-AVERAGE(D:D))</f>
        <v>3.6314372957384933E-2</v>
      </c>
      <c r="H732" s="79">
        <f>IF($C732&lt;=Entradas!$E$153,"",F732^2)</f>
        <v>0.14749064442286447</v>
      </c>
      <c r="I732" s="79">
        <f>IF($C732&lt;=Entradas!$E$153,"",G732^2)</f>
        <v>1.3187336832880502E-3</v>
      </c>
      <c r="J732" s="79">
        <f>IF($C732&lt;=Entradas!$E$153,"",E732-AVERAGE(E:E))</f>
        <v>0.37227196108207727</v>
      </c>
      <c r="K732" s="79">
        <f>IF($C732&lt;=Entradas!$E$153,"",J732^2)</f>
        <v>0.13858641300789565</v>
      </c>
      <c r="L732" s="79">
        <f>IF($C732&lt;=Entradas!$E$153,"",G732*J732)</f>
        <v>1.3518822836311643E-2</v>
      </c>
      <c r="M732" s="40"/>
    </row>
    <row r="733" spans="2:13">
      <c r="B733" s="39"/>
      <c r="C733" s="75">
        <v>728</v>
      </c>
      <c r="D733" s="110">
        <f>IF($C733&lt;=Entradas!$E$153,"",Observaciones!L733)</f>
        <v>0.82199530234862006</v>
      </c>
      <c r="E733" s="110">
        <f>IF($C733&lt;=Entradas!$E$153,"",Escenario1!BN734)</f>
        <v>1.2101154296922787</v>
      </c>
      <c r="F733" s="79">
        <f>IF($C733&lt;=Entradas!$E$153,"",D733-E733)</f>
        <v>-0.38812012734365864</v>
      </c>
      <c r="G733" s="79">
        <f>IF($C733&lt;=Entradas!$E$153,"",D733-AVERAGE(D:D))</f>
        <v>3.9143680837042116E-2</v>
      </c>
      <c r="H733" s="79">
        <f>IF($C733&lt;=Entradas!$E$153,"",F733^2)</f>
        <v>0.15063723324925779</v>
      </c>
      <c r="I733" s="79">
        <f>IF($C733&lt;=Entradas!$E$153,"",G733^2)</f>
        <v>1.5322277494722182E-3</v>
      </c>
      <c r="J733" s="79">
        <f>IF($C733&lt;=Entradas!$E$153,"",E733-AVERAGE(E:E))</f>
        <v>0.37917628902909351</v>
      </c>
      <c r="K733" s="79">
        <f>IF($C733&lt;=Entradas!$E$153,"",J733^2)</f>
        <v>0.14377465816187465</v>
      </c>
      <c r="L733" s="79">
        <f>IF($C733&lt;=Entradas!$E$153,"",G733*J733)</f>
        <v>1.484235563872887E-2</v>
      </c>
      <c r="M733" s="40"/>
    </row>
    <row r="734" spans="2:13">
      <c r="B734" s="39"/>
      <c r="C734" s="75">
        <v>729</v>
      </c>
      <c r="D734" s="110">
        <f>IF($C734&lt;=Entradas!$E$153,"",Observaciones!L734)</f>
        <v>0.82486829513646487</v>
      </c>
      <c r="E734" s="110">
        <f>IF($C734&lt;=Entradas!$E$153,"",Escenario1!BN735)</f>
        <v>1.2169275505140407</v>
      </c>
      <c r="F734" s="79">
        <f>IF($C734&lt;=Entradas!$E$153,"",D734-E734)</f>
        <v>-0.3920592553775758</v>
      </c>
      <c r="G734" s="79">
        <f>IF($C734&lt;=Entradas!$E$153,"",D734-AVERAGE(D:D))</f>
        <v>4.2016673624886924E-2</v>
      </c>
      <c r="H734" s="79">
        <f>IF($C734&lt;=Entradas!$E$153,"",F734^2)</f>
        <v>0.1537104597272192</v>
      </c>
      <c r="I734" s="79">
        <f>IF($C734&lt;=Entradas!$E$153,"",G734^2)</f>
        <v>1.7654008625002686E-3</v>
      </c>
      <c r="J734" s="79">
        <f>IF($C734&lt;=Entradas!$E$153,"",E734-AVERAGE(E:E))</f>
        <v>0.38598840985085547</v>
      </c>
      <c r="K734" s="79">
        <f>IF($C734&lt;=Entradas!$E$153,"",J734^2)</f>
        <v>0.14898705253919198</v>
      </c>
      <c r="L734" s="79">
        <f>IF($C734&lt;=Entradas!$E$153,"",G734*J734)</f>
        <v>1.6217949039692484E-2</v>
      </c>
      <c r="M734" s="40"/>
    </row>
    <row r="735" spans="2:13">
      <c r="B735" s="39"/>
      <c r="C735" s="75">
        <v>730</v>
      </c>
      <c r="D735" s="110">
        <f>IF($C735&lt;=Entradas!$E$153,"",Observaciones!L735)</f>
        <v>0.82741763483772712</v>
      </c>
      <c r="E735" s="110">
        <f>IF($C735&lt;=Entradas!$E$153,"",Escenario1!BN736)</f>
        <v>1.1951109577612571</v>
      </c>
      <c r="F735" s="79">
        <f>IF($C735&lt;=Entradas!$E$153,"",D735-E735)</f>
        <v>-0.36769332292352996</v>
      </c>
      <c r="G735" s="79">
        <f>IF($C735&lt;=Entradas!$E$153,"",D735-AVERAGE(D:D))</f>
        <v>4.4566013326149179E-2</v>
      </c>
      <c r="H735" s="79">
        <f>IF($C735&lt;=Entradas!$E$153,"",F735^2)</f>
        <v>0.13519837972254728</v>
      </c>
      <c r="I735" s="79">
        <f>IF($C735&lt;=Entradas!$E$153,"",G735^2)</f>
        <v>1.9861295437865064E-3</v>
      </c>
      <c r="J735" s="79">
        <f>IF($C735&lt;=Entradas!$E$153,"",E735-AVERAGE(E:E))</f>
        <v>0.36417181709807189</v>
      </c>
      <c r="K735" s="79">
        <f>IF($C735&lt;=Entradas!$E$153,"",J735^2)</f>
        <v>0.13262111236851154</v>
      </c>
      <c r="L735" s="79">
        <f>IF($C735&lt;=Entradas!$E$153,"",G735*J735)</f>
        <v>1.6229686053800634E-2</v>
      </c>
      <c r="M735" s="40"/>
    </row>
    <row r="736" spans="2:13" s="2" customFormat="1" ht="14.5" thickBot="1">
      <c r="B736" s="41"/>
      <c r="C736" s="42"/>
      <c r="D736" s="111"/>
      <c r="E736" s="111"/>
      <c r="F736" s="111"/>
      <c r="G736" s="111"/>
      <c r="H736" s="111"/>
      <c r="I736" s="111"/>
      <c r="J736" s="111"/>
      <c r="K736" s="111"/>
      <c r="L736" s="111"/>
      <c r="M736" s="43"/>
    </row>
    <row r="737" spans="4:12" s="2" customFormat="1">
      <c r="D737" s="107"/>
      <c r="E737" s="107"/>
      <c r="F737" s="107"/>
      <c r="G737" s="107"/>
      <c r="H737" s="107"/>
      <c r="I737" s="107"/>
      <c r="J737" s="107"/>
      <c r="K737" s="107"/>
      <c r="L737" s="107"/>
    </row>
    <row r="738" spans="4:12" s="2" customFormat="1">
      <c r="D738" s="107"/>
      <c r="E738" s="107"/>
      <c r="F738" s="107"/>
      <c r="G738" s="107"/>
      <c r="H738" s="107"/>
      <c r="I738" s="107"/>
      <c r="J738" s="107"/>
      <c r="K738" s="107"/>
      <c r="L738" s="107"/>
    </row>
    <row r="739" spans="4:12" s="2" customFormat="1">
      <c r="D739" s="107"/>
      <c r="E739" s="107"/>
      <c r="F739" s="107"/>
      <c r="G739" s="107"/>
      <c r="H739" s="107"/>
      <c r="I739" s="107"/>
      <c r="J739" s="107"/>
      <c r="K739" s="107"/>
      <c r="L739" s="107"/>
    </row>
    <row r="740" spans="4:12" s="2" customFormat="1">
      <c r="D740" s="107"/>
      <c r="E740" s="107"/>
      <c r="F740" s="107"/>
      <c r="G740" s="107"/>
      <c r="H740" s="107"/>
      <c r="I740" s="107"/>
      <c r="J740" s="107"/>
      <c r="K740" s="107"/>
      <c r="L740" s="107"/>
    </row>
    <row r="741" spans="4:12" s="2" customFormat="1">
      <c r="D741" s="107"/>
      <c r="E741" s="107"/>
      <c r="F741" s="107"/>
      <c r="G741" s="107"/>
      <c r="H741" s="107"/>
      <c r="I741" s="107"/>
      <c r="J741" s="107"/>
      <c r="K741" s="107"/>
      <c r="L741" s="107"/>
    </row>
    <row r="742" spans="4:12" s="2" customFormat="1">
      <c r="D742" s="107"/>
      <c r="E742" s="107"/>
      <c r="F742" s="107"/>
      <c r="G742" s="107"/>
      <c r="H742" s="107"/>
      <c r="I742" s="107"/>
      <c r="J742" s="107"/>
      <c r="K742" s="107"/>
      <c r="L742" s="107"/>
    </row>
    <row r="743" spans="4:12" s="2" customFormat="1">
      <c r="D743" s="107"/>
      <c r="E743" s="107"/>
      <c r="F743" s="107"/>
      <c r="G743" s="107"/>
      <c r="H743" s="107"/>
      <c r="I743" s="107"/>
      <c r="J743" s="107"/>
      <c r="K743" s="107"/>
      <c r="L743" s="107"/>
    </row>
    <row r="744" spans="4:12" s="2" customFormat="1">
      <c r="D744" s="107"/>
      <c r="E744" s="107"/>
      <c r="F744" s="107"/>
      <c r="G744" s="107"/>
      <c r="H744" s="107"/>
      <c r="I744" s="107"/>
      <c r="J744" s="107"/>
      <c r="K744" s="107"/>
      <c r="L744" s="107"/>
    </row>
    <row r="745" spans="4:12" s="2" customFormat="1">
      <c r="D745" s="107"/>
      <c r="E745" s="107"/>
      <c r="F745" s="107"/>
      <c r="G745" s="107"/>
      <c r="H745" s="107"/>
      <c r="I745" s="107"/>
      <c r="J745" s="107"/>
      <c r="K745" s="107"/>
      <c r="L745" s="107"/>
    </row>
    <row r="746" spans="4:12" s="2" customFormat="1">
      <c r="D746" s="107"/>
      <c r="E746" s="107"/>
      <c r="F746" s="107"/>
      <c r="G746" s="107"/>
      <c r="H746" s="107"/>
      <c r="I746" s="107"/>
      <c r="J746" s="107"/>
      <c r="K746" s="107"/>
      <c r="L746" s="107"/>
    </row>
    <row r="747" spans="4:12" s="2" customFormat="1">
      <c r="D747" s="107"/>
      <c r="E747" s="107"/>
      <c r="F747" s="107"/>
      <c r="G747" s="107"/>
      <c r="H747" s="107"/>
      <c r="I747" s="107"/>
      <c r="J747" s="107"/>
      <c r="K747" s="107"/>
      <c r="L747" s="107"/>
    </row>
    <row r="748" spans="4:12" s="2" customFormat="1">
      <c r="D748" s="107"/>
      <c r="E748" s="107"/>
      <c r="F748" s="107"/>
      <c r="G748" s="107"/>
      <c r="H748" s="107"/>
      <c r="I748" s="107"/>
      <c r="J748" s="107"/>
      <c r="K748" s="107"/>
      <c r="L748" s="107"/>
    </row>
    <row r="749" spans="4:12" s="2" customFormat="1">
      <c r="D749" s="107"/>
      <c r="E749" s="107"/>
      <c r="F749" s="107"/>
      <c r="G749" s="107"/>
      <c r="H749" s="107"/>
      <c r="I749" s="107"/>
      <c r="J749" s="107"/>
      <c r="K749" s="107"/>
      <c r="L749" s="107"/>
    </row>
    <row r="750" spans="4:12" s="2" customFormat="1">
      <c r="D750" s="107"/>
      <c r="E750" s="107"/>
      <c r="F750" s="107"/>
      <c r="G750" s="107"/>
      <c r="H750" s="107"/>
      <c r="I750" s="107"/>
      <c r="J750" s="107"/>
      <c r="K750" s="107"/>
      <c r="L750" s="107"/>
    </row>
    <row r="751" spans="4:12" s="2" customFormat="1">
      <c r="D751" s="107"/>
      <c r="E751" s="107"/>
      <c r="F751" s="107"/>
      <c r="G751" s="107"/>
      <c r="H751" s="107"/>
      <c r="I751" s="107"/>
      <c r="J751" s="107"/>
      <c r="K751" s="107"/>
      <c r="L751" s="107"/>
    </row>
    <row r="752" spans="4:12" s="2" customFormat="1">
      <c r="D752" s="107"/>
      <c r="E752" s="107"/>
      <c r="F752" s="107"/>
      <c r="G752" s="107"/>
      <c r="H752" s="107"/>
      <c r="I752" s="107"/>
      <c r="J752" s="107"/>
      <c r="K752" s="107"/>
      <c r="L752" s="107"/>
    </row>
    <row r="753" spans="4:12" s="2" customFormat="1">
      <c r="D753" s="107"/>
      <c r="E753" s="107"/>
      <c r="F753" s="107"/>
      <c r="G753" s="107"/>
      <c r="H753" s="107"/>
      <c r="I753" s="107"/>
      <c r="J753" s="107"/>
      <c r="K753" s="107"/>
      <c r="L753" s="107"/>
    </row>
    <row r="754" spans="4:12" s="2" customFormat="1">
      <c r="D754" s="107"/>
      <c r="E754" s="107"/>
      <c r="F754" s="107"/>
      <c r="G754" s="107"/>
      <c r="H754" s="107"/>
      <c r="I754" s="107"/>
      <c r="J754" s="107"/>
      <c r="K754" s="107"/>
      <c r="L754" s="107"/>
    </row>
    <row r="755" spans="4:12" s="2" customFormat="1">
      <c r="D755" s="107"/>
      <c r="E755" s="107"/>
      <c r="F755" s="107"/>
      <c r="G755" s="107"/>
      <c r="H755" s="107"/>
      <c r="I755" s="107"/>
      <c r="J755" s="107"/>
      <c r="K755" s="107"/>
      <c r="L755" s="107"/>
    </row>
    <row r="756" spans="4:12" s="2" customFormat="1">
      <c r="D756" s="107"/>
      <c r="E756" s="107"/>
      <c r="F756" s="107"/>
      <c r="G756" s="107"/>
      <c r="H756" s="107"/>
      <c r="I756" s="107"/>
      <c r="J756" s="107"/>
      <c r="K756" s="107"/>
      <c r="L756" s="107"/>
    </row>
    <row r="757" spans="4:12" s="2" customFormat="1">
      <c r="D757" s="107"/>
      <c r="E757" s="107"/>
      <c r="F757" s="107"/>
      <c r="G757" s="107"/>
      <c r="H757" s="107"/>
      <c r="I757" s="107"/>
      <c r="J757" s="107"/>
      <c r="K757" s="107"/>
      <c r="L757" s="107"/>
    </row>
    <row r="758" spans="4:12" s="2" customFormat="1">
      <c r="D758" s="107"/>
      <c r="E758" s="107"/>
      <c r="F758" s="107"/>
      <c r="G758" s="107"/>
      <c r="H758" s="107"/>
      <c r="I758" s="107"/>
      <c r="J758" s="107"/>
      <c r="K758" s="107"/>
      <c r="L758" s="107"/>
    </row>
    <row r="759" spans="4:12" s="2" customFormat="1">
      <c r="D759" s="107"/>
      <c r="E759" s="107"/>
      <c r="F759" s="107"/>
      <c r="G759" s="107"/>
      <c r="H759" s="107"/>
      <c r="I759" s="107"/>
      <c r="J759" s="107"/>
      <c r="K759" s="107"/>
      <c r="L759" s="107"/>
    </row>
    <row r="760" spans="4:12" s="2" customFormat="1">
      <c r="D760" s="107"/>
      <c r="E760" s="107"/>
      <c r="F760" s="107"/>
      <c r="G760" s="107"/>
      <c r="H760" s="107"/>
      <c r="I760" s="107"/>
      <c r="J760" s="107"/>
      <c r="K760" s="107"/>
      <c r="L760" s="107"/>
    </row>
    <row r="761" spans="4:12" s="2" customFormat="1">
      <c r="D761" s="107"/>
      <c r="E761" s="107"/>
      <c r="F761" s="107"/>
      <c r="G761" s="107"/>
      <c r="H761" s="107"/>
      <c r="I761" s="107"/>
      <c r="J761" s="107"/>
      <c r="K761" s="107"/>
      <c r="L761" s="107"/>
    </row>
    <row r="762" spans="4:12" s="2" customFormat="1">
      <c r="D762" s="107"/>
      <c r="E762" s="107"/>
      <c r="F762" s="107"/>
      <c r="G762" s="107"/>
      <c r="H762" s="107"/>
      <c r="I762" s="107"/>
      <c r="J762" s="107"/>
      <c r="K762" s="107"/>
      <c r="L762" s="107"/>
    </row>
    <row r="763" spans="4:12" s="2" customFormat="1">
      <c r="D763" s="107"/>
      <c r="E763" s="107"/>
      <c r="F763" s="107"/>
      <c r="G763" s="107"/>
      <c r="H763" s="107"/>
      <c r="I763" s="107"/>
      <c r="J763" s="107"/>
      <c r="K763" s="107"/>
      <c r="L763" s="107"/>
    </row>
    <row r="764" spans="4:12" s="2" customFormat="1">
      <c r="D764" s="107"/>
      <c r="E764" s="107"/>
      <c r="F764" s="107"/>
      <c r="G764" s="107"/>
      <c r="H764" s="107"/>
      <c r="I764" s="107"/>
      <c r="J764" s="107"/>
      <c r="K764" s="107"/>
      <c r="L764" s="107"/>
    </row>
    <row r="765" spans="4:12" s="2" customFormat="1">
      <c r="D765" s="107"/>
      <c r="E765" s="107"/>
      <c r="F765" s="107"/>
      <c r="G765" s="107"/>
      <c r="H765" s="107"/>
      <c r="I765" s="107"/>
      <c r="J765" s="107"/>
      <c r="K765" s="107"/>
      <c r="L765" s="107"/>
    </row>
    <row r="766" spans="4:12" s="2" customFormat="1">
      <c r="D766" s="107"/>
      <c r="E766" s="107"/>
      <c r="F766" s="107"/>
      <c r="G766" s="107"/>
      <c r="H766" s="107"/>
      <c r="I766" s="107"/>
      <c r="J766" s="107"/>
      <c r="K766" s="107"/>
      <c r="L766" s="107"/>
    </row>
    <row r="767" spans="4:12" s="2" customFormat="1">
      <c r="D767" s="107"/>
      <c r="E767" s="107"/>
      <c r="F767" s="107"/>
      <c r="G767" s="107"/>
      <c r="H767" s="107"/>
      <c r="I767" s="107"/>
      <c r="J767" s="107"/>
      <c r="K767" s="107"/>
      <c r="L767" s="107"/>
    </row>
    <row r="768" spans="4:12" s="2" customFormat="1">
      <c r="D768" s="107"/>
      <c r="E768" s="107"/>
      <c r="F768" s="107"/>
      <c r="G768" s="107"/>
      <c r="H768" s="107"/>
      <c r="I768" s="107"/>
      <c r="J768" s="107"/>
      <c r="K768" s="107"/>
      <c r="L768" s="107"/>
    </row>
    <row r="769" spans="4:12" s="2" customFormat="1">
      <c r="D769" s="107"/>
      <c r="E769" s="107"/>
      <c r="F769" s="107"/>
      <c r="G769" s="107"/>
      <c r="H769" s="107"/>
      <c r="I769" s="107"/>
      <c r="J769" s="107"/>
      <c r="K769" s="107"/>
      <c r="L769" s="107"/>
    </row>
    <row r="770" spans="4:12" s="2" customFormat="1">
      <c r="D770" s="107"/>
      <c r="E770" s="107"/>
      <c r="F770" s="107"/>
      <c r="G770" s="107"/>
      <c r="H770" s="107"/>
      <c r="I770" s="107"/>
      <c r="J770" s="107"/>
      <c r="K770" s="107"/>
      <c r="L770" s="107"/>
    </row>
    <row r="771" spans="4:12" s="2" customFormat="1">
      <c r="D771" s="107"/>
      <c r="E771" s="107"/>
      <c r="F771" s="107"/>
      <c r="G771" s="107"/>
      <c r="H771" s="107"/>
      <c r="I771" s="107"/>
      <c r="J771" s="107"/>
      <c r="K771" s="107"/>
      <c r="L771" s="107"/>
    </row>
    <row r="772" spans="4:12" s="2" customFormat="1">
      <c r="D772" s="107"/>
      <c r="E772" s="107"/>
      <c r="F772" s="107"/>
      <c r="G772" s="107"/>
      <c r="H772" s="107"/>
      <c r="I772" s="107"/>
      <c r="J772" s="107"/>
      <c r="K772" s="107"/>
      <c r="L772" s="107"/>
    </row>
    <row r="773" spans="4:12" s="2" customFormat="1">
      <c r="D773" s="107"/>
      <c r="E773" s="107"/>
      <c r="F773" s="107"/>
      <c r="G773" s="107"/>
      <c r="H773" s="107"/>
      <c r="I773" s="107"/>
      <c r="J773" s="107"/>
      <c r="K773" s="107"/>
      <c r="L773" s="107"/>
    </row>
    <row r="774" spans="4:12" s="2" customFormat="1">
      <c r="D774" s="107"/>
      <c r="E774" s="107"/>
      <c r="F774" s="107"/>
      <c r="G774" s="107"/>
      <c r="H774" s="107"/>
      <c r="I774" s="107"/>
      <c r="J774" s="107"/>
      <c r="K774" s="107"/>
      <c r="L774" s="107"/>
    </row>
    <row r="775" spans="4:12" s="2" customFormat="1">
      <c r="D775" s="107"/>
      <c r="E775" s="107"/>
      <c r="F775" s="107"/>
      <c r="G775" s="107"/>
      <c r="H775" s="107"/>
      <c r="I775" s="107"/>
      <c r="J775" s="107"/>
      <c r="K775" s="107"/>
      <c r="L775" s="107"/>
    </row>
    <row r="776" spans="4:12" s="2" customFormat="1">
      <c r="D776" s="107"/>
      <c r="E776" s="107"/>
      <c r="F776" s="107"/>
      <c r="G776" s="107"/>
      <c r="H776" s="107"/>
      <c r="I776" s="107"/>
      <c r="J776" s="107"/>
      <c r="K776" s="107"/>
      <c r="L776" s="107"/>
    </row>
    <row r="777" spans="4:12" s="2" customFormat="1">
      <c r="D777" s="107"/>
      <c r="E777" s="107"/>
      <c r="F777" s="107"/>
      <c r="G777" s="107"/>
      <c r="H777" s="107"/>
      <c r="I777" s="107"/>
      <c r="J777" s="107"/>
      <c r="K777" s="107"/>
      <c r="L777" s="107"/>
    </row>
    <row r="778" spans="4:12" s="2" customFormat="1">
      <c r="D778" s="107"/>
      <c r="E778" s="107"/>
      <c r="F778" s="107"/>
      <c r="G778" s="107"/>
      <c r="H778" s="107"/>
      <c r="I778" s="107"/>
      <c r="J778" s="107"/>
      <c r="K778" s="107"/>
      <c r="L778" s="107"/>
    </row>
    <row r="779" spans="4:12" s="2" customFormat="1">
      <c r="D779" s="107"/>
      <c r="E779" s="107"/>
      <c r="F779" s="107"/>
      <c r="G779" s="107"/>
      <c r="H779" s="107"/>
      <c r="I779" s="107"/>
      <c r="J779" s="107"/>
      <c r="K779" s="107"/>
      <c r="L779" s="107"/>
    </row>
    <row r="780" spans="4:12" s="2" customFormat="1">
      <c r="D780" s="107"/>
      <c r="E780" s="107"/>
      <c r="F780" s="107"/>
      <c r="G780" s="107"/>
      <c r="H780" s="107"/>
      <c r="I780" s="107"/>
      <c r="J780" s="107"/>
      <c r="K780" s="107"/>
      <c r="L780" s="107"/>
    </row>
    <row r="781" spans="4:12" s="2" customFormat="1">
      <c r="D781" s="107"/>
      <c r="E781" s="107"/>
      <c r="F781" s="107"/>
      <c r="G781" s="107"/>
      <c r="H781" s="107"/>
      <c r="I781" s="107"/>
      <c r="J781" s="107"/>
      <c r="K781" s="107"/>
      <c r="L781" s="107"/>
    </row>
    <row r="782" spans="4:12" s="2" customFormat="1">
      <c r="D782" s="107"/>
      <c r="E782" s="107"/>
      <c r="F782" s="107"/>
      <c r="G782" s="107"/>
      <c r="H782" s="107"/>
      <c r="I782" s="107"/>
      <c r="J782" s="107"/>
      <c r="K782" s="107"/>
      <c r="L782" s="107"/>
    </row>
    <row r="783" spans="4:12" s="2" customFormat="1">
      <c r="D783" s="107"/>
      <c r="E783" s="107"/>
      <c r="F783" s="107"/>
      <c r="G783" s="107"/>
      <c r="H783" s="107"/>
      <c r="I783" s="107"/>
      <c r="J783" s="107"/>
      <c r="K783" s="107"/>
      <c r="L783" s="107"/>
    </row>
    <row r="784" spans="4:12" s="2" customFormat="1">
      <c r="D784" s="107"/>
      <c r="E784" s="107"/>
      <c r="F784" s="107"/>
      <c r="G784" s="107"/>
      <c r="H784" s="107"/>
      <c r="I784" s="107"/>
      <c r="J784" s="107"/>
      <c r="K784" s="107"/>
      <c r="L784" s="107"/>
    </row>
    <row r="785" spans="4:12" s="2" customFormat="1">
      <c r="D785" s="107"/>
      <c r="E785" s="107"/>
      <c r="F785" s="107"/>
      <c r="G785" s="107"/>
      <c r="H785" s="107"/>
      <c r="I785" s="107"/>
      <c r="J785" s="107"/>
      <c r="K785" s="107"/>
      <c r="L785" s="107"/>
    </row>
    <row r="786" spans="4:12" s="2" customFormat="1">
      <c r="D786" s="107"/>
      <c r="E786" s="107"/>
      <c r="F786" s="107"/>
      <c r="G786" s="107"/>
      <c r="H786" s="107"/>
      <c r="I786" s="107"/>
      <c r="J786" s="107"/>
      <c r="K786" s="107"/>
      <c r="L786" s="107"/>
    </row>
    <row r="787" spans="4:12" s="2" customFormat="1">
      <c r="D787" s="107"/>
      <c r="E787" s="107"/>
      <c r="F787" s="107"/>
      <c r="G787" s="107"/>
      <c r="H787" s="107"/>
      <c r="I787" s="107"/>
      <c r="J787" s="107"/>
      <c r="K787" s="107"/>
      <c r="L787" s="107"/>
    </row>
    <row r="788" spans="4:12" s="2" customFormat="1">
      <c r="D788" s="107"/>
      <c r="E788" s="107"/>
      <c r="F788" s="107"/>
      <c r="G788" s="107"/>
      <c r="H788" s="107"/>
      <c r="I788" s="107"/>
      <c r="J788" s="107"/>
      <c r="K788" s="107"/>
      <c r="L788" s="107"/>
    </row>
    <row r="789" spans="4:12" s="2" customFormat="1">
      <c r="D789" s="107"/>
      <c r="E789" s="107"/>
      <c r="F789" s="107"/>
      <c r="G789" s="107"/>
      <c r="H789" s="107"/>
      <c r="I789" s="107"/>
      <c r="J789" s="107"/>
      <c r="K789" s="107"/>
      <c r="L789" s="107"/>
    </row>
    <row r="790" spans="4:12" s="2" customFormat="1">
      <c r="D790" s="107"/>
      <c r="E790" s="107"/>
      <c r="F790" s="107"/>
      <c r="G790" s="107"/>
      <c r="H790" s="107"/>
      <c r="I790" s="107"/>
      <c r="J790" s="107"/>
      <c r="K790" s="107"/>
      <c r="L790" s="107"/>
    </row>
    <row r="791" spans="4:12" s="2" customFormat="1">
      <c r="D791" s="107"/>
      <c r="E791" s="107"/>
      <c r="F791" s="107"/>
      <c r="G791" s="107"/>
      <c r="H791" s="107"/>
      <c r="I791" s="107"/>
      <c r="J791" s="107"/>
      <c r="K791" s="107"/>
      <c r="L791" s="107"/>
    </row>
    <row r="792" spans="4:12" s="2" customFormat="1">
      <c r="D792" s="107"/>
      <c r="E792" s="107"/>
      <c r="F792" s="107"/>
      <c r="G792" s="107"/>
      <c r="H792" s="107"/>
      <c r="I792" s="107"/>
      <c r="J792" s="107"/>
      <c r="K792" s="107"/>
      <c r="L792" s="107"/>
    </row>
    <row r="793" spans="4:12" s="2" customFormat="1">
      <c r="D793" s="107"/>
      <c r="E793" s="107"/>
      <c r="F793" s="107"/>
      <c r="G793" s="107"/>
      <c r="H793" s="107"/>
      <c r="I793" s="107"/>
      <c r="J793" s="107"/>
      <c r="K793" s="107"/>
      <c r="L793" s="107"/>
    </row>
    <row r="794" spans="4:12" s="2" customFormat="1">
      <c r="D794" s="107"/>
      <c r="E794" s="107"/>
      <c r="F794" s="107"/>
      <c r="G794" s="107"/>
      <c r="H794" s="107"/>
      <c r="I794" s="107"/>
      <c r="J794" s="107"/>
      <c r="K794" s="107"/>
      <c r="L794" s="107"/>
    </row>
    <row r="795" spans="4:12" s="2" customFormat="1">
      <c r="D795" s="107"/>
      <c r="E795" s="107"/>
      <c r="F795" s="107"/>
      <c r="G795" s="107"/>
      <c r="H795" s="107"/>
      <c r="I795" s="107"/>
      <c r="J795" s="107"/>
      <c r="K795" s="107"/>
      <c r="L795" s="107"/>
    </row>
    <row r="796" spans="4:12" s="2" customFormat="1">
      <c r="D796" s="107"/>
      <c r="E796" s="107"/>
      <c r="F796" s="107"/>
      <c r="G796" s="107"/>
      <c r="H796" s="107"/>
      <c r="I796" s="107"/>
      <c r="J796" s="107"/>
      <c r="K796" s="107"/>
      <c r="L796" s="107"/>
    </row>
    <row r="797" spans="4:12" s="2" customFormat="1">
      <c r="D797" s="107"/>
      <c r="E797" s="107"/>
      <c r="F797" s="107"/>
      <c r="G797" s="107"/>
      <c r="H797" s="107"/>
      <c r="I797" s="107"/>
      <c r="J797" s="107"/>
      <c r="K797" s="107"/>
      <c r="L797" s="107"/>
    </row>
    <row r="798" spans="4:12" s="2" customFormat="1">
      <c r="D798" s="107"/>
      <c r="E798" s="107"/>
      <c r="F798" s="107"/>
      <c r="G798" s="107"/>
      <c r="H798" s="107"/>
      <c r="I798" s="107"/>
      <c r="J798" s="107"/>
      <c r="K798" s="107"/>
      <c r="L798" s="107"/>
    </row>
    <row r="799" spans="4:12" s="2" customFormat="1">
      <c r="D799" s="107"/>
      <c r="E799" s="107"/>
      <c r="F799" s="107"/>
      <c r="G799" s="107"/>
      <c r="H799" s="107"/>
      <c r="I799" s="107"/>
      <c r="J799" s="107"/>
      <c r="K799" s="107"/>
      <c r="L799" s="107"/>
    </row>
    <row r="800" spans="4:12" s="2" customFormat="1">
      <c r="D800" s="107"/>
      <c r="E800" s="107"/>
      <c r="F800" s="107"/>
      <c r="G800" s="107"/>
      <c r="H800" s="107"/>
      <c r="I800" s="107"/>
      <c r="J800" s="107"/>
      <c r="K800" s="107"/>
      <c r="L800" s="107"/>
    </row>
    <row r="801" spans="4:12" s="2" customFormat="1">
      <c r="D801" s="107"/>
      <c r="E801" s="107"/>
      <c r="F801" s="107"/>
      <c r="G801" s="107"/>
      <c r="H801" s="107"/>
      <c r="I801" s="107"/>
      <c r="J801" s="107"/>
      <c r="K801" s="107"/>
      <c r="L801" s="107"/>
    </row>
    <row r="802" spans="4:12" s="2" customFormat="1">
      <c r="D802" s="107"/>
      <c r="E802" s="107"/>
      <c r="F802" s="107"/>
      <c r="G802" s="107"/>
      <c r="H802" s="107"/>
      <c r="I802" s="107"/>
      <c r="J802" s="107"/>
      <c r="K802" s="107"/>
      <c r="L802" s="107"/>
    </row>
    <row r="803" spans="4:12" s="2" customFormat="1">
      <c r="D803" s="107"/>
      <c r="E803" s="107"/>
      <c r="F803" s="107"/>
      <c r="G803" s="107"/>
      <c r="H803" s="107"/>
      <c r="I803" s="107"/>
      <c r="J803" s="107"/>
      <c r="K803" s="107"/>
      <c r="L803" s="107"/>
    </row>
    <row r="804" spans="4:12" s="2" customFormat="1">
      <c r="D804" s="107"/>
      <c r="E804" s="107"/>
      <c r="F804" s="107"/>
      <c r="G804" s="107"/>
      <c r="H804" s="107"/>
      <c r="I804" s="107"/>
      <c r="J804" s="107"/>
      <c r="K804" s="107"/>
      <c r="L804" s="107"/>
    </row>
    <row r="805" spans="4:12" s="2" customFormat="1">
      <c r="D805" s="107"/>
      <c r="E805" s="107"/>
      <c r="F805" s="107"/>
      <c r="G805" s="107"/>
      <c r="H805" s="107"/>
      <c r="I805" s="107"/>
      <c r="J805" s="107"/>
      <c r="K805" s="107"/>
      <c r="L805" s="107"/>
    </row>
    <row r="806" spans="4:12" s="2" customFormat="1">
      <c r="D806" s="107"/>
      <c r="E806" s="107"/>
      <c r="F806" s="107"/>
      <c r="G806" s="107"/>
      <c r="H806" s="107"/>
      <c r="I806" s="107"/>
      <c r="J806" s="107"/>
      <c r="K806" s="107"/>
      <c r="L806" s="107"/>
    </row>
    <row r="807" spans="4:12" s="2" customFormat="1">
      <c r="D807" s="107"/>
      <c r="E807" s="107"/>
      <c r="F807" s="107"/>
      <c r="G807" s="107"/>
      <c r="H807" s="107"/>
      <c r="I807" s="107"/>
      <c r="J807" s="107"/>
      <c r="K807" s="107"/>
      <c r="L807" s="107"/>
    </row>
    <row r="808" spans="4:12" s="2" customFormat="1">
      <c r="D808" s="107"/>
      <c r="E808" s="107"/>
      <c r="F808" s="107"/>
      <c r="G808" s="107"/>
      <c r="H808" s="107"/>
      <c r="I808" s="107"/>
      <c r="J808" s="107"/>
      <c r="K808" s="107"/>
      <c r="L808" s="107"/>
    </row>
    <row r="809" spans="4:12" s="2" customFormat="1">
      <c r="D809" s="107"/>
      <c r="E809" s="107"/>
      <c r="F809" s="107"/>
      <c r="G809" s="107"/>
      <c r="H809" s="107"/>
      <c r="I809" s="107"/>
      <c r="J809" s="107"/>
      <c r="K809" s="107"/>
      <c r="L809" s="107"/>
    </row>
    <row r="810" spans="4:12" s="2" customFormat="1">
      <c r="D810" s="107"/>
      <c r="E810" s="107"/>
      <c r="F810" s="107"/>
      <c r="G810" s="107"/>
      <c r="H810" s="107"/>
      <c r="I810" s="107"/>
      <c r="J810" s="107"/>
      <c r="K810" s="107"/>
      <c r="L810" s="107"/>
    </row>
    <row r="811" spans="4:12" s="2" customFormat="1">
      <c r="D811" s="107"/>
      <c r="E811" s="107"/>
      <c r="F811" s="107"/>
      <c r="G811" s="107"/>
      <c r="H811" s="107"/>
      <c r="I811" s="107"/>
      <c r="J811" s="107"/>
      <c r="K811" s="107"/>
      <c r="L811" s="107"/>
    </row>
    <row r="812" spans="4:12" s="2" customFormat="1">
      <c r="D812" s="107"/>
      <c r="E812" s="107"/>
      <c r="F812" s="107"/>
      <c r="G812" s="107"/>
      <c r="H812" s="107"/>
      <c r="I812" s="107"/>
      <c r="J812" s="107"/>
      <c r="K812" s="107"/>
      <c r="L812" s="107"/>
    </row>
    <row r="813" spans="4:12" s="2" customFormat="1">
      <c r="D813" s="107"/>
      <c r="E813" s="107"/>
      <c r="F813" s="107"/>
      <c r="G813" s="107"/>
      <c r="H813" s="107"/>
      <c r="I813" s="107"/>
      <c r="J813" s="107"/>
      <c r="K813" s="107"/>
      <c r="L813" s="107"/>
    </row>
    <row r="814" spans="4:12" s="2" customFormat="1">
      <c r="D814" s="107"/>
      <c r="E814" s="107"/>
      <c r="F814" s="107"/>
      <c r="G814" s="107"/>
      <c r="H814" s="107"/>
      <c r="I814" s="107"/>
      <c r="J814" s="107"/>
      <c r="K814" s="107"/>
      <c r="L814" s="107"/>
    </row>
    <row r="815" spans="4:12" s="2" customFormat="1">
      <c r="D815" s="107"/>
      <c r="E815" s="107"/>
      <c r="F815" s="107"/>
      <c r="G815" s="107"/>
      <c r="H815" s="107"/>
      <c r="I815" s="107"/>
      <c r="J815" s="107"/>
      <c r="K815" s="107"/>
      <c r="L815" s="107"/>
    </row>
    <row r="816" spans="4:12" s="2" customFormat="1">
      <c r="D816" s="107"/>
      <c r="E816" s="107"/>
      <c r="F816" s="107"/>
      <c r="G816" s="107"/>
      <c r="H816" s="107"/>
      <c r="I816" s="107"/>
      <c r="J816" s="107"/>
      <c r="K816" s="107"/>
      <c r="L816" s="107"/>
    </row>
    <row r="817" spans="4:12" s="2" customFormat="1">
      <c r="D817" s="107"/>
      <c r="E817" s="107"/>
      <c r="F817" s="107"/>
      <c r="G817" s="107"/>
      <c r="H817" s="107"/>
      <c r="I817" s="107"/>
      <c r="J817" s="107"/>
      <c r="K817" s="107"/>
      <c r="L817" s="107"/>
    </row>
    <row r="818" spans="4:12" s="2" customFormat="1">
      <c r="D818" s="107"/>
      <c r="E818" s="107"/>
      <c r="F818" s="107"/>
      <c r="G818" s="107"/>
      <c r="H818" s="107"/>
      <c r="I818" s="107"/>
      <c r="J818" s="107"/>
      <c r="K818" s="107"/>
      <c r="L818" s="107"/>
    </row>
    <row r="819" spans="4:12" s="2" customFormat="1">
      <c r="D819" s="107"/>
      <c r="E819" s="107"/>
      <c r="F819" s="107"/>
      <c r="G819" s="107"/>
      <c r="H819" s="107"/>
      <c r="I819" s="107"/>
      <c r="J819" s="107"/>
      <c r="K819" s="107"/>
      <c r="L819" s="107"/>
    </row>
    <row r="820" spans="4:12" s="2" customFormat="1">
      <c r="D820" s="107"/>
      <c r="E820" s="107"/>
      <c r="F820" s="107"/>
      <c r="G820" s="107"/>
      <c r="H820" s="107"/>
      <c r="I820" s="107"/>
      <c r="J820" s="107"/>
      <c r="K820" s="107"/>
      <c r="L820" s="107"/>
    </row>
    <row r="821" spans="4:12" s="2" customFormat="1">
      <c r="D821" s="107"/>
      <c r="E821" s="107"/>
      <c r="F821" s="107"/>
      <c r="G821" s="107"/>
      <c r="H821" s="107"/>
      <c r="I821" s="107"/>
      <c r="J821" s="107"/>
      <c r="K821" s="107"/>
      <c r="L821" s="107"/>
    </row>
    <row r="822" spans="4:12" s="2" customFormat="1">
      <c r="D822" s="107"/>
      <c r="E822" s="107"/>
      <c r="F822" s="107"/>
      <c r="G822" s="107"/>
      <c r="H822" s="107"/>
      <c r="I822" s="107"/>
      <c r="J822" s="107"/>
      <c r="K822" s="107"/>
      <c r="L822" s="107"/>
    </row>
    <row r="823" spans="4:12" s="2" customFormat="1">
      <c r="D823" s="107"/>
      <c r="E823" s="107"/>
      <c r="F823" s="107"/>
      <c r="G823" s="107"/>
      <c r="H823" s="107"/>
      <c r="I823" s="107"/>
      <c r="J823" s="107"/>
      <c r="K823" s="107"/>
      <c r="L823" s="107"/>
    </row>
    <row r="824" spans="4:12" s="2" customFormat="1">
      <c r="D824" s="107"/>
      <c r="E824" s="107"/>
      <c r="F824" s="107"/>
      <c r="G824" s="107"/>
      <c r="H824" s="107"/>
      <c r="I824" s="107"/>
      <c r="J824" s="107"/>
      <c r="K824" s="107"/>
      <c r="L824" s="107"/>
    </row>
    <row r="825" spans="4:12" s="2" customFormat="1">
      <c r="D825" s="107"/>
      <c r="E825" s="107"/>
      <c r="F825" s="107"/>
      <c r="G825" s="107"/>
      <c r="H825" s="107"/>
      <c r="I825" s="107"/>
      <c r="J825" s="107"/>
      <c r="K825" s="107"/>
      <c r="L825" s="107"/>
    </row>
    <row r="826" spans="4:12" s="2" customFormat="1">
      <c r="D826" s="107"/>
      <c r="E826" s="107"/>
      <c r="F826" s="107"/>
      <c r="G826" s="107"/>
      <c r="H826" s="107"/>
      <c r="I826" s="107"/>
      <c r="J826" s="107"/>
      <c r="K826" s="107"/>
      <c r="L826" s="107"/>
    </row>
    <row r="827" spans="4:12" s="2" customFormat="1">
      <c r="D827" s="107"/>
      <c r="E827" s="107"/>
      <c r="F827" s="107"/>
      <c r="G827" s="107"/>
      <c r="H827" s="107"/>
      <c r="I827" s="107"/>
      <c r="J827" s="107"/>
      <c r="K827" s="107"/>
      <c r="L827" s="107"/>
    </row>
    <row r="828" spans="4:12" s="2" customFormat="1">
      <c r="D828" s="107"/>
      <c r="E828" s="107"/>
      <c r="F828" s="107"/>
      <c r="G828" s="107"/>
      <c r="H828" s="107"/>
      <c r="I828" s="107"/>
      <c r="J828" s="107"/>
      <c r="K828" s="107"/>
      <c r="L828" s="107"/>
    </row>
    <row r="829" spans="4:12" s="2" customFormat="1">
      <c r="D829" s="107"/>
      <c r="E829" s="107"/>
      <c r="F829" s="107"/>
      <c r="G829" s="107"/>
      <c r="H829" s="107"/>
      <c r="I829" s="107"/>
      <c r="J829" s="107"/>
      <c r="K829" s="107"/>
      <c r="L829" s="107"/>
    </row>
    <row r="830" spans="4:12" s="2" customFormat="1">
      <c r="D830" s="107"/>
      <c r="E830" s="107"/>
      <c r="F830" s="107"/>
      <c r="G830" s="107"/>
      <c r="H830" s="107"/>
      <c r="I830" s="107"/>
      <c r="J830" s="107"/>
      <c r="K830" s="107"/>
      <c r="L830" s="107"/>
    </row>
    <row r="831" spans="4:12" s="2" customFormat="1">
      <c r="D831" s="107"/>
      <c r="E831" s="107"/>
      <c r="F831" s="107"/>
      <c r="G831" s="107"/>
      <c r="H831" s="107"/>
      <c r="I831" s="107"/>
      <c r="J831" s="107"/>
      <c r="K831" s="107"/>
      <c r="L831" s="107"/>
    </row>
    <row r="832" spans="4:12" s="2" customFormat="1">
      <c r="D832" s="107"/>
      <c r="E832" s="107"/>
      <c r="F832" s="107"/>
      <c r="G832" s="107"/>
      <c r="H832" s="107"/>
      <c r="I832" s="107"/>
      <c r="J832" s="107"/>
      <c r="K832" s="107"/>
      <c r="L832" s="107"/>
    </row>
    <row r="833" spans="4:12" s="2" customFormat="1">
      <c r="D833" s="107"/>
      <c r="E833" s="107"/>
      <c r="F833" s="107"/>
      <c r="G833" s="107"/>
      <c r="H833" s="107"/>
      <c r="I833" s="107"/>
      <c r="J833" s="107"/>
      <c r="K833" s="107"/>
      <c r="L833" s="107"/>
    </row>
    <row r="834" spans="4:12" s="2" customFormat="1">
      <c r="D834" s="107"/>
      <c r="E834" s="107"/>
      <c r="F834" s="107"/>
      <c r="G834" s="107"/>
      <c r="H834" s="107"/>
      <c r="I834" s="107"/>
      <c r="J834" s="107"/>
      <c r="K834" s="107"/>
      <c r="L834" s="107"/>
    </row>
    <row r="835" spans="4:12" s="2" customFormat="1">
      <c r="D835" s="107"/>
      <c r="E835" s="107"/>
      <c r="F835" s="107"/>
      <c r="G835" s="107"/>
      <c r="H835" s="107"/>
      <c r="I835" s="107"/>
      <c r="J835" s="107"/>
      <c r="K835" s="107"/>
      <c r="L835" s="107"/>
    </row>
    <row r="836" spans="4:12" s="2" customFormat="1">
      <c r="D836" s="107"/>
      <c r="E836" s="107"/>
      <c r="F836" s="107"/>
      <c r="G836" s="107"/>
      <c r="H836" s="107"/>
      <c r="I836" s="107"/>
      <c r="J836" s="107"/>
      <c r="K836" s="107"/>
      <c r="L836" s="107"/>
    </row>
    <row r="837" spans="4:12" s="2" customFormat="1">
      <c r="D837" s="107"/>
      <c r="E837" s="107"/>
      <c r="F837" s="107"/>
      <c r="G837" s="107"/>
      <c r="H837" s="107"/>
      <c r="I837" s="107"/>
      <c r="J837" s="107"/>
      <c r="K837" s="107"/>
      <c r="L837" s="107"/>
    </row>
    <row r="838" spans="4:12" s="2" customFormat="1">
      <c r="D838" s="107"/>
      <c r="E838" s="107"/>
      <c r="F838" s="107"/>
      <c r="G838" s="107"/>
      <c r="H838" s="107"/>
      <c r="I838" s="107"/>
      <c r="J838" s="107"/>
      <c r="K838" s="107"/>
      <c r="L838" s="107"/>
    </row>
    <row r="839" spans="4:12" s="2" customFormat="1">
      <c r="D839" s="107"/>
      <c r="E839" s="107"/>
      <c r="F839" s="107"/>
      <c r="G839" s="107"/>
      <c r="H839" s="107"/>
      <c r="I839" s="107"/>
      <c r="J839" s="107"/>
      <c r="K839" s="107"/>
      <c r="L839" s="107"/>
    </row>
    <row r="840" spans="4:12" s="2" customFormat="1">
      <c r="D840" s="107"/>
      <c r="E840" s="107"/>
      <c r="F840" s="107"/>
      <c r="G840" s="107"/>
      <c r="H840" s="107"/>
      <c r="I840" s="107"/>
      <c r="J840" s="107"/>
      <c r="K840" s="107"/>
      <c r="L840" s="107"/>
    </row>
    <row r="841" spans="4:12" s="2" customFormat="1">
      <c r="D841" s="107"/>
      <c r="E841" s="107"/>
      <c r="F841" s="107"/>
      <c r="G841" s="107"/>
      <c r="H841" s="107"/>
      <c r="I841" s="107"/>
      <c r="J841" s="107"/>
      <c r="K841" s="107"/>
      <c r="L841" s="107"/>
    </row>
    <row r="842" spans="4:12" s="2" customFormat="1">
      <c r="D842" s="107"/>
      <c r="E842" s="107"/>
      <c r="F842" s="107"/>
      <c r="G842" s="107"/>
      <c r="H842" s="107"/>
      <c r="I842" s="107"/>
      <c r="J842" s="107"/>
      <c r="K842" s="107"/>
      <c r="L842" s="107"/>
    </row>
    <row r="843" spans="4:12" s="2" customFormat="1">
      <c r="D843" s="107"/>
      <c r="E843" s="107"/>
      <c r="F843" s="107"/>
      <c r="G843" s="107"/>
      <c r="H843" s="107"/>
      <c r="I843" s="107"/>
      <c r="J843" s="107"/>
      <c r="K843" s="107"/>
      <c r="L843" s="107"/>
    </row>
    <row r="844" spans="4:12" s="2" customFormat="1">
      <c r="D844" s="107"/>
      <c r="E844" s="107"/>
      <c r="F844" s="107"/>
      <c r="G844" s="107"/>
      <c r="H844" s="107"/>
      <c r="I844" s="107"/>
      <c r="J844" s="107"/>
      <c r="K844" s="107"/>
      <c r="L844" s="107"/>
    </row>
    <row r="845" spans="4:12" s="2" customFormat="1">
      <c r="D845" s="107"/>
      <c r="E845" s="107"/>
      <c r="F845" s="107"/>
      <c r="G845" s="107"/>
      <c r="H845" s="107"/>
      <c r="I845" s="107"/>
      <c r="J845" s="107"/>
      <c r="K845" s="107"/>
      <c r="L845" s="107"/>
    </row>
    <row r="846" spans="4:12" s="2" customFormat="1">
      <c r="D846" s="107"/>
      <c r="E846" s="107"/>
      <c r="F846" s="107"/>
      <c r="G846" s="107"/>
      <c r="H846" s="107"/>
      <c r="I846" s="107"/>
      <c r="J846" s="107"/>
      <c r="K846" s="107"/>
      <c r="L846" s="107"/>
    </row>
    <row r="847" spans="4:12" s="2" customFormat="1">
      <c r="D847" s="107"/>
      <c r="E847" s="107"/>
      <c r="F847" s="107"/>
      <c r="G847" s="107"/>
      <c r="H847" s="107"/>
      <c r="I847" s="107"/>
      <c r="J847" s="107"/>
      <c r="K847" s="107"/>
      <c r="L847" s="107"/>
    </row>
    <row r="848" spans="4:12" s="2" customFormat="1">
      <c r="D848" s="107"/>
      <c r="E848" s="107"/>
      <c r="F848" s="107"/>
      <c r="G848" s="107"/>
      <c r="H848" s="107"/>
      <c r="I848" s="107"/>
      <c r="J848" s="107"/>
      <c r="K848" s="107"/>
      <c r="L848" s="107"/>
    </row>
    <row r="849" spans="4:12" s="2" customFormat="1">
      <c r="D849" s="107"/>
      <c r="E849" s="107"/>
      <c r="F849" s="107"/>
      <c r="G849" s="107"/>
      <c r="H849" s="107"/>
      <c r="I849" s="107"/>
      <c r="J849" s="107"/>
      <c r="K849" s="107"/>
      <c r="L849" s="107"/>
    </row>
    <row r="850" spans="4:12" s="2" customFormat="1">
      <c r="D850" s="107"/>
      <c r="E850" s="107"/>
      <c r="F850" s="107"/>
      <c r="G850" s="107"/>
      <c r="H850" s="107"/>
      <c r="I850" s="107"/>
      <c r="J850" s="107"/>
      <c r="K850" s="107"/>
      <c r="L850" s="107"/>
    </row>
    <row r="851" spans="4:12" s="2" customFormat="1">
      <c r="D851" s="107"/>
      <c r="E851" s="107"/>
      <c r="F851" s="107"/>
      <c r="G851" s="107"/>
      <c r="H851" s="107"/>
      <c r="I851" s="107"/>
      <c r="J851" s="107"/>
      <c r="K851" s="107"/>
      <c r="L851" s="107"/>
    </row>
    <row r="852" spans="4:12" s="2" customFormat="1">
      <c r="D852" s="107"/>
      <c r="E852" s="107"/>
      <c r="F852" s="107"/>
      <c r="G852" s="107"/>
      <c r="H852" s="107"/>
      <c r="I852" s="107"/>
      <c r="J852" s="107"/>
      <c r="K852" s="107"/>
      <c r="L852" s="107"/>
    </row>
    <row r="853" spans="4:12" s="2" customFormat="1">
      <c r="D853" s="107"/>
      <c r="E853" s="107"/>
      <c r="F853" s="107"/>
      <c r="G853" s="107"/>
      <c r="H853" s="107"/>
      <c r="I853" s="107"/>
      <c r="J853" s="107"/>
      <c r="K853" s="107"/>
      <c r="L853" s="107"/>
    </row>
    <row r="854" spans="4:12" s="2" customFormat="1">
      <c r="D854" s="107"/>
      <c r="E854" s="107"/>
      <c r="F854" s="107"/>
      <c r="G854" s="107"/>
      <c r="H854" s="107"/>
      <c r="I854" s="107"/>
      <c r="J854" s="107"/>
      <c r="K854" s="107"/>
      <c r="L854" s="107"/>
    </row>
    <row r="855" spans="4:12" s="2" customFormat="1">
      <c r="D855" s="107"/>
      <c r="E855" s="107"/>
      <c r="F855" s="107"/>
      <c r="G855" s="107"/>
      <c r="H855" s="107"/>
      <c r="I855" s="107"/>
      <c r="J855" s="107"/>
      <c r="K855" s="107"/>
      <c r="L855" s="107"/>
    </row>
    <row r="856" spans="4:12" s="2" customFormat="1">
      <c r="D856" s="107"/>
      <c r="E856" s="107"/>
      <c r="F856" s="107"/>
      <c r="G856" s="107"/>
      <c r="H856" s="107"/>
      <c r="I856" s="107"/>
      <c r="J856" s="107"/>
      <c r="K856" s="107"/>
      <c r="L856" s="107"/>
    </row>
    <row r="857" spans="4:12" s="2" customFormat="1">
      <c r="D857" s="107"/>
      <c r="E857" s="107"/>
      <c r="F857" s="107"/>
      <c r="G857" s="107"/>
      <c r="H857" s="107"/>
      <c r="I857" s="107"/>
      <c r="J857" s="107"/>
      <c r="K857" s="107"/>
      <c r="L857" s="107"/>
    </row>
    <row r="858" spans="4:12" s="2" customFormat="1">
      <c r="D858" s="107"/>
      <c r="E858" s="107"/>
      <c r="F858" s="107"/>
      <c r="G858" s="107"/>
      <c r="H858" s="107"/>
      <c r="I858" s="107"/>
      <c r="J858" s="107"/>
      <c r="K858" s="107"/>
      <c r="L858" s="107"/>
    </row>
    <row r="859" spans="4:12" s="2" customFormat="1">
      <c r="D859" s="107"/>
      <c r="E859" s="107"/>
      <c r="F859" s="107"/>
      <c r="G859" s="107"/>
      <c r="H859" s="107"/>
      <c r="I859" s="107"/>
      <c r="J859" s="107"/>
      <c r="K859" s="107"/>
      <c r="L859" s="107"/>
    </row>
    <row r="860" spans="4:12" s="2" customFormat="1">
      <c r="D860" s="107"/>
      <c r="E860" s="107"/>
      <c r="F860" s="107"/>
      <c r="G860" s="107"/>
      <c r="H860" s="107"/>
      <c r="I860" s="107"/>
      <c r="J860" s="107"/>
      <c r="K860" s="107"/>
      <c r="L860" s="107"/>
    </row>
    <row r="861" spans="4:12" s="2" customFormat="1">
      <c r="D861" s="107"/>
      <c r="E861" s="107"/>
      <c r="F861" s="107"/>
      <c r="G861" s="107"/>
      <c r="H861" s="107"/>
      <c r="I861" s="107"/>
      <c r="J861" s="107"/>
      <c r="K861" s="107"/>
      <c r="L861" s="107"/>
    </row>
    <row r="862" spans="4:12" s="2" customFormat="1">
      <c r="D862" s="107"/>
      <c r="E862" s="107"/>
      <c r="F862" s="107"/>
      <c r="G862" s="107"/>
      <c r="H862" s="107"/>
      <c r="I862" s="107"/>
      <c r="J862" s="107"/>
      <c r="K862" s="107"/>
      <c r="L862" s="107"/>
    </row>
    <row r="863" spans="4:12" s="2" customFormat="1">
      <c r="D863" s="107"/>
      <c r="E863" s="107"/>
      <c r="F863" s="107"/>
      <c r="G863" s="107"/>
      <c r="H863" s="107"/>
      <c r="I863" s="107"/>
      <c r="J863" s="107"/>
      <c r="K863" s="107"/>
      <c r="L863" s="107"/>
    </row>
    <row r="864" spans="4:12" s="2" customFormat="1">
      <c r="D864" s="107"/>
      <c r="E864" s="107"/>
      <c r="F864" s="107"/>
      <c r="G864" s="107"/>
      <c r="H864" s="107"/>
      <c r="I864" s="107"/>
      <c r="J864" s="107"/>
      <c r="K864" s="107"/>
      <c r="L864" s="107"/>
    </row>
    <row r="865" spans="4:12" s="2" customFormat="1">
      <c r="D865" s="107"/>
      <c r="E865" s="107"/>
      <c r="F865" s="107"/>
      <c r="G865" s="107"/>
      <c r="H865" s="107"/>
      <c r="I865" s="107"/>
      <c r="J865" s="107"/>
      <c r="K865" s="107"/>
      <c r="L865" s="107"/>
    </row>
    <row r="866" spans="4:12" s="2" customFormat="1">
      <c r="D866" s="107"/>
      <c r="E866" s="107"/>
      <c r="F866" s="107"/>
      <c r="G866" s="107"/>
      <c r="H866" s="107"/>
      <c r="I866" s="107"/>
      <c r="J866" s="107"/>
      <c r="K866" s="107"/>
      <c r="L866" s="107"/>
    </row>
    <row r="867" spans="4:12" s="2" customFormat="1">
      <c r="D867" s="107"/>
      <c r="E867" s="107"/>
      <c r="F867" s="107"/>
      <c r="G867" s="107"/>
      <c r="H867" s="107"/>
      <c r="I867" s="107"/>
      <c r="J867" s="107"/>
      <c r="K867" s="107"/>
      <c r="L867" s="107"/>
    </row>
    <row r="868" spans="4:12" s="2" customFormat="1">
      <c r="D868" s="107"/>
      <c r="E868" s="107"/>
      <c r="F868" s="107"/>
      <c r="G868" s="107"/>
      <c r="H868" s="107"/>
      <c r="I868" s="107"/>
      <c r="J868" s="107"/>
      <c r="K868" s="107"/>
      <c r="L868" s="107"/>
    </row>
    <row r="869" spans="4:12" s="2" customFormat="1">
      <c r="D869" s="107"/>
      <c r="E869" s="107"/>
      <c r="F869" s="107"/>
      <c r="G869" s="107"/>
      <c r="H869" s="107"/>
      <c r="I869" s="107"/>
      <c r="J869" s="107"/>
      <c r="K869" s="107"/>
      <c r="L869" s="107"/>
    </row>
    <row r="870" spans="4:12" s="2" customFormat="1">
      <c r="D870" s="107"/>
      <c r="E870" s="107"/>
      <c r="F870" s="107"/>
      <c r="G870" s="107"/>
      <c r="H870" s="107"/>
      <c r="I870" s="107"/>
      <c r="J870" s="107"/>
      <c r="K870" s="107"/>
      <c r="L870" s="107"/>
    </row>
    <row r="871" spans="4:12" s="2" customFormat="1">
      <c r="D871" s="107"/>
      <c r="E871" s="107"/>
      <c r="F871" s="107"/>
      <c r="G871" s="107"/>
      <c r="H871" s="107"/>
      <c r="I871" s="107"/>
      <c r="J871" s="107"/>
      <c r="K871" s="107"/>
      <c r="L871" s="107"/>
    </row>
    <row r="872" spans="4:12" s="2" customFormat="1">
      <c r="D872" s="107"/>
      <c r="E872" s="107"/>
      <c r="F872" s="107"/>
      <c r="G872" s="107"/>
      <c r="H872" s="107"/>
      <c r="I872" s="107"/>
      <c r="J872" s="107"/>
      <c r="K872" s="107"/>
      <c r="L872" s="107"/>
    </row>
    <row r="873" spans="4:12" s="2" customFormat="1">
      <c r="D873" s="107"/>
      <c r="E873" s="107"/>
      <c r="F873" s="107"/>
      <c r="G873" s="107"/>
      <c r="H873" s="107"/>
      <c r="I873" s="107"/>
      <c r="J873" s="107"/>
      <c r="K873" s="107"/>
      <c r="L873" s="107"/>
    </row>
    <row r="874" spans="4:12" s="2" customFormat="1">
      <c r="D874" s="107"/>
      <c r="E874" s="107"/>
      <c r="F874" s="107"/>
      <c r="G874" s="107"/>
      <c r="H874" s="107"/>
      <c r="I874" s="107"/>
      <c r="J874" s="107"/>
      <c r="K874" s="107"/>
      <c r="L874" s="107"/>
    </row>
    <row r="875" spans="4:12" s="2" customFormat="1">
      <c r="D875" s="107"/>
      <c r="E875" s="107"/>
      <c r="F875" s="107"/>
      <c r="G875" s="107"/>
      <c r="H875" s="107"/>
      <c r="I875" s="107"/>
      <c r="J875" s="107"/>
      <c r="K875" s="107"/>
      <c r="L875" s="107"/>
    </row>
    <row r="876" spans="4:12" s="2" customFormat="1">
      <c r="D876" s="107"/>
      <c r="E876" s="107"/>
      <c r="F876" s="107"/>
      <c r="G876" s="107"/>
      <c r="H876" s="107"/>
      <c r="I876" s="107"/>
      <c r="J876" s="107"/>
      <c r="K876" s="107"/>
      <c r="L876" s="107"/>
    </row>
    <row r="877" spans="4:12" s="2" customFormat="1">
      <c r="D877" s="107"/>
      <c r="E877" s="107"/>
      <c r="F877" s="107"/>
      <c r="G877" s="107"/>
      <c r="H877" s="107"/>
      <c r="I877" s="107"/>
      <c r="J877" s="107"/>
      <c r="K877" s="107"/>
      <c r="L877" s="107"/>
    </row>
    <row r="878" spans="4:12" s="2" customFormat="1">
      <c r="D878" s="107"/>
      <c r="E878" s="107"/>
      <c r="F878" s="107"/>
      <c r="G878" s="107"/>
      <c r="H878" s="107"/>
      <c r="I878" s="107"/>
      <c r="J878" s="107"/>
      <c r="K878" s="107"/>
      <c r="L878" s="107"/>
    </row>
    <row r="879" spans="4:12" s="2" customFormat="1">
      <c r="D879" s="107"/>
      <c r="E879" s="107"/>
      <c r="F879" s="107"/>
      <c r="G879" s="107"/>
      <c r="H879" s="107"/>
      <c r="I879" s="107"/>
      <c r="J879" s="107"/>
      <c r="K879" s="107"/>
      <c r="L879" s="107"/>
    </row>
    <row r="880" spans="4:12" s="2" customFormat="1">
      <c r="D880" s="107"/>
      <c r="E880" s="107"/>
      <c r="F880" s="107"/>
      <c r="G880" s="107"/>
      <c r="H880" s="107"/>
      <c r="I880" s="107"/>
      <c r="J880" s="107"/>
      <c r="K880" s="107"/>
      <c r="L880" s="107"/>
    </row>
    <row r="881" spans="4:12" s="2" customFormat="1">
      <c r="D881" s="107"/>
      <c r="E881" s="107"/>
      <c r="F881" s="107"/>
      <c r="G881" s="107"/>
      <c r="H881" s="107"/>
      <c r="I881" s="107"/>
      <c r="J881" s="107"/>
      <c r="K881" s="107"/>
      <c r="L881" s="107"/>
    </row>
    <row r="882" spans="4:12" s="2" customFormat="1">
      <c r="D882" s="107"/>
      <c r="E882" s="107"/>
      <c r="F882" s="107"/>
      <c r="G882" s="107"/>
      <c r="H882" s="107"/>
      <c r="I882" s="107"/>
      <c r="J882" s="107"/>
      <c r="K882" s="107"/>
      <c r="L882" s="107"/>
    </row>
    <row r="883" spans="4:12" s="2" customFormat="1">
      <c r="D883" s="107"/>
      <c r="E883" s="107"/>
      <c r="F883" s="107"/>
      <c r="G883" s="107"/>
      <c r="H883" s="107"/>
      <c r="I883" s="107"/>
      <c r="J883" s="107"/>
      <c r="K883" s="107"/>
      <c r="L883" s="107"/>
    </row>
    <row r="884" spans="4:12" s="2" customFormat="1">
      <c r="D884" s="107"/>
      <c r="E884" s="107"/>
      <c r="F884" s="107"/>
      <c r="G884" s="107"/>
      <c r="H884" s="107"/>
      <c r="I884" s="107"/>
      <c r="J884" s="107"/>
      <c r="K884" s="107"/>
      <c r="L884" s="107"/>
    </row>
    <row r="885" spans="4:12" s="2" customFormat="1">
      <c r="D885" s="107"/>
      <c r="E885" s="107"/>
      <c r="F885" s="107"/>
      <c r="G885" s="107"/>
      <c r="H885" s="107"/>
      <c r="I885" s="107"/>
      <c r="J885" s="107"/>
      <c r="K885" s="107"/>
      <c r="L885" s="107"/>
    </row>
  </sheetData>
  <sheetProtection sheet="1" objects="1" scenarios="1"/>
  <mergeCells count="1">
    <mergeCell ref="C3:L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6630-9139-4717-8D5A-5C7ED2FB2CBA}">
  <sheetPr codeName="Sheet3"/>
  <dimension ref="A1:BB205"/>
  <sheetViews>
    <sheetView zoomScaleNormal="100" workbookViewId="0">
      <selection activeCell="C3" sqref="C3:H3"/>
    </sheetView>
  </sheetViews>
  <sheetFormatPr baseColWidth="10" defaultColWidth="8.81640625" defaultRowHeight="14"/>
  <cols>
    <col min="1" max="1" width="8.81640625" style="2"/>
    <col min="2" max="2" width="2.453125" style="2" customWidth="1"/>
    <col min="3" max="3" width="50.1796875" style="3" bestFit="1" customWidth="1"/>
    <col min="4" max="8" width="16.6328125" style="3" customWidth="1"/>
    <col min="9" max="11" width="2.453125" style="2" customWidth="1"/>
    <col min="12" max="12" width="19.453125" style="2" bestFit="1" customWidth="1"/>
    <col min="13" max="13" width="11.81640625" style="2" bestFit="1" customWidth="1"/>
    <col min="14" max="14" width="10.1796875" style="2" bestFit="1" customWidth="1"/>
    <col min="15" max="15" width="10.453125" style="2" bestFit="1" customWidth="1"/>
    <col min="16" max="18" width="8.81640625" style="2"/>
    <col min="19" max="19" width="2.453125" style="2" customWidth="1"/>
    <col min="20" max="20" width="34.36328125" style="2" bestFit="1" customWidth="1"/>
    <col min="21" max="22" width="8.81640625" style="2"/>
    <col min="23" max="23" width="8.81640625" style="2" customWidth="1"/>
    <col min="24" max="24" width="2.453125" style="2" customWidth="1"/>
    <col min="25" max="54" width="8.81640625" style="2"/>
    <col min="55" max="16384" width="8.81640625" style="3"/>
  </cols>
  <sheetData>
    <row r="1" spans="2:16" s="2" customFormat="1" ht="14.5" thickBot="1"/>
    <row r="2" spans="2:16" s="2" customFormat="1" ht="14.5" thickBot="1">
      <c r="B2" s="4"/>
      <c r="C2" s="5"/>
      <c r="D2" s="5"/>
      <c r="E2" s="5"/>
      <c r="F2" s="5"/>
      <c r="G2" s="5"/>
      <c r="H2" s="5"/>
      <c r="I2" s="7"/>
    </row>
    <row r="3" spans="2:16" s="2" customFormat="1" ht="25.5" thickBot="1">
      <c r="B3" s="11"/>
      <c r="C3" s="208" t="s">
        <v>26</v>
      </c>
      <c r="D3" s="209"/>
      <c r="E3" s="209"/>
      <c r="F3" s="209"/>
      <c r="G3" s="209"/>
      <c r="H3" s="210"/>
      <c r="I3" s="12"/>
    </row>
    <row r="4" spans="2:16" s="2" customFormat="1" ht="14.5" thickBot="1">
      <c r="B4" s="11"/>
      <c r="C4" s="15"/>
      <c r="D4" s="15"/>
      <c r="E4" s="15"/>
      <c r="F4" s="15"/>
      <c r="G4" s="15"/>
      <c r="H4" s="15"/>
      <c r="I4" s="12"/>
    </row>
    <row r="5" spans="2:16" s="2" customFormat="1" ht="25.5" thickBot="1">
      <c r="B5" s="11"/>
      <c r="C5" s="211" t="s">
        <v>349</v>
      </c>
      <c r="D5" s="212"/>
      <c r="E5" s="212"/>
      <c r="F5" s="212"/>
      <c r="G5" s="212"/>
      <c r="H5" s="213"/>
      <c r="I5" s="12"/>
    </row>
    <row r="6" spans="2:16" s="2" customFormat="1">
      <c r="B6" s="11"/>
      <c r="C6" s="15"/>
      <c r="D6" s="15"/>
      <c r="E6" s="46"/>
      <c r="F6" s="46"/>
      <c r="G6" s="15"/>
      <c r="H6" s="15"/>
      <c r="I6" s="12"/>
    </row>
    <row r="7" spans="2:16" s="2" customFormat="1">
      <c r="B7" s="11"/>
      <c r="C7" s="17" t="s">
        <v>73</v>
      </c>
      <c r="D7" s="17"/>
      <c r="E7" s="17"/>
      <c r="F7" s="17"/>
      <c r="G7" s="15"/>
      <c r="H7" s="15"/>
      <c r="I7" s="12"/>
    </row>
    <row r="8" spans="2:16" s="2" customFormat="1">
      <c r="B8" s="11"/>
      <c r="C8" s="15" t="s">
        <v>72</v>
      </c>
      <c r="D8" s="19">
        <v>3400</v>
      </c>
      <c r="E8" s="15"/>
      <c r="F8" s="15"/>
      <c r="G8" s="15"/>
      <c r="H8" s="15"/>
      <c r="I8" s="12"/>
    </row>
    <row r="9" spans="2:16" s="2" customFormat="1">
      <c r="B9" s="11"/>
      <c r="C9" s="15" t="s">
        <v>57</v>
      </c>
      <c r="D9" s="19">
        <v>-13.5</v>
      </c>
      <c r="E9" s="15" t="s">
        <v>76</v>
      </c>
      <c r="F9" s="15" t="s">
        <v>71</v>
      </c>
      <c r="G9" s="15"/>
      <c r="H9" s="15"/>
      <c r="I9" s="12"/>
    </row>
    <row r="10" spans="2:16" s="2" customFormat="1">
      <c r="B10" s="11"/>
      <c r="C10" s="15" t="s">
        <v>114</v>
      </c>
      <c r="D10" s="19">
        <v>0.1</v>
      </c>
      <c r="E10" s="15"/>
      <c r="F10" s="15"/>
      <c r="G10" s="15"/>
      <c r="H10" s="15"/>
      <c r="I10" s="12"/>
    </row>
    <row r="11" spans="2:16" s="2" customFormat="1" ht="14.5" thickBot="1">
      <c r="B11" s="11"/>
      <c r="C11" s="15"/>
      <c r="D11" s="15"/>
      <c r="E11" s="15"/>
      <c r="F11" s="15"/>
      <c r="G11" s="15"/>
      <c r="H11" s="15"/>
      <c r="I11" s="12"/>
    </row>
    <row r="12" spans="2:16" s="2" customFormat="1">
      <c r="B12" s="11"/>
      <c r="C12" s="17" t="s">
        <v>74</v>
      </c>
      <c r="D12" s="17"/>
      <c r="E12" s="17" t="s">
        <v>32</v>
      </c>
      <c r="F12" s="17" t="s">
        <v>75</v>
      </c>
      <c r="G12" s="15"/>
      <c r="H12" s="15"/>
      <c r="I12" s="12"/>
      <c r="K12" s="4"/>
      <c r="L12" s="5"/>
      <c r="M12" s="5"/>
      <c r="N12" s="5"/>
      <c r="O12" s="5"/>
      <c r="P12" s="7"/>
    </row>
    <row r="13" spans="2:16" s="2" customFormat="1">
      <c r="B13" s="11"/>
      <c r="C13" s="15" t="s">
        <v>31</v>
      </c>
      <c r="D13" s="19">
        <v>150</v>
      </c>
      <c r="E13" s="29" t="s">
        <v>63</v>
      </c>
      <c r="F13" s="29">
        <v>150</v>
      </c>
      <c r="G13" s="15"/>
      <c r="H13" s="15"/>
      <c r="I13" s="12"/>
      <c r="K13" s="11"/>
      <c r="L13" s="218" t="s">
        <v>19</v>
      </c>
      <c r="M13" s="218"/>
      <c r="N13" s="218"/>
      <c r="O13" s="218"/>
      <c r="P13" s="12"/>
    </row>
    <row r="14" spans="2:16" s="2" customFormat="1">
      <c r="B14" s="11"/>
      <c r="C14" s="15" t="s">
        <v>115</v>
      </c>
      <c r="D14" s="19">
        <v>0.32500000000000001</v>
      </c>
      <c r="E14" s="29" t="s">
        <v>64</v>
      </c>
      <c r="F14" s="29">
        <v>0.3</v>
      </c>
      <c r="G14" s="15"/>
      <c r="H14" s="15"/>
      <c r="I14" s="12"/>
      <c r="K14" s="11"/>
      <c r="L14" s="228" t="s">
        <v>20</v>
      </c>
      <c r="M14" s="221" t="s">
        <v>130</v>
      </c>
      <c r="N14" s="219" t="s">
        <v>131</v>
      </c>
      <c r="O14" s="221" t="s">
        <v>132</v>
      </c>
      <c r="P14" s="12"/>
    </row>
    <row r="15" spans="2:16" s="2" customFormat="1">
      <c r="B15" s="11"/>
      <c r="C15" s="15" t="s">
        <v>116</v>
      </c>
      <c r="D15" s="19">
        <v>7.4999999999999997E-2</v>
      </c>
      <c r="E15" s="29" t="s">
        <v>64</v>
      </c>
      <c r="F15" s="29">
        <v>0.05</v>
      </c>
      <c r="G15" s="15"/>
      <c r="H15" s="15"/>
      <c r="I15" s="12"/>
      <c r="K15" s="90"/>
      <c r="L15" s="228"/>
      <c r="M15" s="221"/>
      <c r="N15" s="219"/>
      <c r="O15" s="221"/>
      <c r="P15" s="91"/>
    </row>
    <row r="16" spans="2:16" s="2" customFormat="1">
      <c r="B16" s="11"/>
      <c r="C16" s="15" t="s">
        <v>117</v>
      </c>
      <c r="D16" s="19">
        <v>0.3</v>
      </c>
      <c r="E16" s="29" t="s">
        <v>65</v>
      </c>
      <c r="F16" s="29">
        <v>0.3</v>
      </c>
      <c r="G16" s="15"/>
      <c r="H16" s="15"/>
      <c r="I16" s="12"/>
      <c r="K16" s="11"/>
      <c r="L16" s="188" t="s">
        <v>7</v>
      </c>
      <c r="M16" s="82">
        <v>0.1</v>
      </c>
      <c r="N16" s="83">
        <v>0.05</v>
      </c>
      <c r="O16" s="82">
        <v>0.02</v>
      </c>
      <c r="P16" s="12"/>
    </row>
    <row r="17" spans="2:16" s="2" customFormat="1" ht="16">
      <c r="B17" s="11"/>
      <c r="C17" s="15" t="s">
        <v>204</v>
      </c>
      <c r="D17" s="19">
        <v>20</v>
      </c>
      <c r="E17" s="29" t="s">
        <v>69</v>
      </c>
      <c r="F17" s="29">
        <v>20</v>
      </c>
      <c r="G17" s="15"/>
      <c r="H17" s="15"/>
      <c r="I17" s="12"/>
      <c r="K17" s="11"/>
      <c r="L17" s="188" t="s">
        <v>8</v>
      </c>
      <c r="M17" s="84">
        <v>0.12</v>
      </c>
      <c r="N17" s="85">
        <v>0.05</v>
      </c>
      <c r="O17" s="84">
        <v>0.04</v>
      </c>
      <c r="P17" s="12"/>
    </row>
    <row r="18" spans="2:16" s="2" customFormat="1" ht="16">
      <c r="B18" s="11"/>
      <c r="C18" s="15" t="s">
        <v>203</v>
      </c>
      <c r="D18" s="19">
        <v>70</v>
      </c>
      <c r="E18" s="29" t="s">
        <v>70</v>
      </c>
      <c r="F18" s="29">
        <v>70</v>
      </c>
      <c r="G18" s="15"/>
      <c r="H18" s="15"/>
      <c r="I18" s="12"/>
      <c r="K18" s="11"/>
      <c r="L18" s="188" t="s">
        <v>9</v>
      </c>
      <c r="M18" s="82">
        <v>0.18</v>
      </c>
      <c r="N18" s="83">
        <v>0.08</v>
      </c>
      <c r="O18" s="82">
        <v>0.13</v>
      </c>
      <c r="P18" s="12"/>
    </row>
    <row r="19" spans="2:16" s="2" customFormat="1">
      <c r="B19" s="11"/>
      <c r="C19" s="47"/>
      <c r="D19" s="47"/>
      <c r="E19" s="47"/>
      <c r="F19" s="47"/>
      <c r="G19" s="15"/>
      <c r="H19" s="15"/>
      <c r="I19" s="12"/>
      <c r="K19" s="11"/>
      <c r="L19" s="188" t="s">
        <v>10</v>
      </c>
      <c r="M19" s="84">
        <v>0.27</v>
      </c>
      <c r="N19" s="85">
        <v>0.17</v>
      </c>
      <c r="O19" s="84">
        <v>0.2</v>
      </c>
      <c r="P19" s="12"/>
    </row>
    <row r="20" spans="2:16" s="2" customFormat="1">
      <c r="B20" s="11"/>
      <c r="C20" s="17" t="s">
        <v>217</v>
      </c>
      <c r="D20" s="17"/>
      <c r="E20" s="17" t="s">
        <v>32</v>
      </c>
      <c r="F20" s="17" t="s">
        <v>75</v>
      </c>
      <c r="G20" s="15"/>
      <c r="H20" s="15"/>
      <c r="I20" s="12"/>
      <c r="K20" s="11"/>
      <c r="L20" s="188" t="s">
        <v>11</v>
      </c>
      <c r="M20" s="82">
        <v>0.28000000000000003</v>
      </c>
      <c r="N20" s="83">
        <v>0.14000000000000001</v>
      </c>
      <c r="O20" s="82">
        <v>0.3</v>
      </c>
      <c r="P20" s="12"/>
    </row>
    <row r="21" spans="2:16" s="2" customFormat="1" ht="16">
      <c r="B21" s="11"/>
      <c r="C21" s="15" t="s">
        <v>202</v>
      </c>
      <c r="D21" s="19">
        <v>45</v>
      </c>
      <c r="E21" s="47" t="s">
        <v>219</v>
      </c>
      <c r="F21" s="29">
        <v>45</v>
      </c>
      <c r="G21" s="214" t="s">
        <v>98</v>
      </c>
      <c r="H21" s="214"/>
      <c r="I21" s="12"/>
      <c r="K21" s="11"/>
      <c r="L21" s="188" t="s">
        <v>16</v>
      </c>
      <c r="M21" s="84">
        <v>0.36</v>
      </c>
      <c r="N21" s="85">
        <v>0.25</v>
      </c>
      <c r="O21" s="84">
        <v>0.2</v>
      </c>
      <c r="P21" s="12"/>
    </row>
    <row r="22" spans="2:16" s="2" customFormat="1" ht="16">
      <c r="B22" s="11"/>
      <c r="C22" s="15" t="s">
        <v>223</v>
      </c>
      <c r="D22" s="19">
        <v>1</v>
      </c>
      <c r="E22" s="47" t="s">
        <v>218</v>
      </c>
      <c r="F22" s="47">
        <v>1</v>
      </c>
      <c r="G22" s="214"/>
      <c r="H22" s="214"/>
      <c r="I22" s="12"/>
      <c r="K22" s="11"/>
      <c r="L22" s="188" t="s">
        <v>17</v>
      </c>
      <c r="M22" s="82">
        <v>0.31</v>
      </c>
      <c r="N22" s="83">
        <v>0.11</v>
      </c>
      <c r="O22" s="82">
        <v>0.38</v>
      </c>
      <c r="P22" s="12"/>
    </row>
    <row r="23" spans="2:16" s="2" customFormat="1" ht="16">
      <c r="B23" s="11"/>
      <c r="C23" s="15" t="s">
        <v>226</v>
      </c>
      <c r="D23" s="44">
        <v>12</v>
      </c>
      <c r="E23" s="47"/>
      <c r="F23" s="47"/>
      <c r="G23" s="214"/>
      <c r="H23" s="214"/>
      <c r="I23" s="12"/>
      <c r="K23" s="11"/>
      <c r="L23" s="188" t="s">
        <v>12</v>
      </c>
      <c r="M23" s="84">
        <v>0.3</v>
      </c>
      <c r="N23" s="85">
        <v>0.06</v>
      </c>
      <c r="O23" s="84">
        <v>0.33</v>
      </c>
      <c r="P23" s="12"/>
    </row>
    <row r="24" spans="2:16" s="2" customFormat="1" ht="16">
      <c r="B24" s="11"/>
      <c r="C24" s="15" t="s">
        <v>227</v>
      </c>
      <c r="D24" s="44">
        <v>30</v>
      </c>
      <c r="E24" s="47"/>
      <c r="F24" s="47"/>
      <c r="G24" s="214"/>
      <c r="H24" s="214"/>
      <c r="I24" s="12"/>
      <c r="K24" s="11"/>
      <c r="L24" s="188" t="s">
        <v>13</v>
      </c>
      <c r="M24" s="82">
        <v>0.36</v>
      </c>
      <c r="N24" s="83">
        <v>0.22</v>
      </c>
      <c r="O24" s="82">
        <v>0.3</v>
      </c>
      <c r="P24" s="12"/>
    </row>
    <row r="25" spans="2:16" s="2" customFormat="1" ht="16">
      <c r="B25" s="11"/>
      <c r="C25" s="15" t="s">
        <v>364</v>
      </c>
      <c r="D25" s="19">
        <v>0.15</v>
      </c>
      <c r="E25" s="47" t="s">
        <v>64</v>
      </c>
      <c r="F25" s="22">
        <v>0.15</v>
      </c>
      <c r="G25" s="214" t="s">
        <v>366</v>
      </c>
      <c r="H25" s="214"/>
      <c r="I25" s="12"/>
      <c r="K25" s="11"/>
      <c r="L25" s="188" t="s">
        <v>18</v>
      </c>
      <c r="M25" s="84">
        <v>0.38</v>
      </c>
      <c r="N25" s="85">
        <v>0.22</v>
      </c>
      <c r="O25" s="84">
        <v>0.32</v>
      </c>
      <c r="P25" s="12"/>
    </row>
    <row r="26" spans="2:16" s="2" customFormat="1" ht="16">
      <c r="B26" s="11"/>
      <c r="C26" s="15" t="s">
        <v>365</v>
      </c>
      <c r="D26" s="19">
        <v>35</v>
      </c>
      <c r="E26" s="47" t="s">
        <v>218</v>
      </c>
      <c r="F26" s="47">
        <v>35</v>
      </c>
      <c r="G26" s="214"/>
      <c r="H26" s="214"/>
      <c r="I26" s="12"/>
      <c r="K26" s="11"/>
      <c r="L26" s="188" t="s">
        <v>14</v>
      </c>
      <c r="M26" s="82">
        <v>0.41</v>
      </c>
      <c r="N26" s="83">
        <v>0.27</v>
      </c>
      <c r="O26" s="82">
        <v>0.26</v>
      </c>
      <c r="P26" s="12"/>
    </row>
    <row r="27" spans="2:16" s="2" customFormat="1">
      <c r="B27" s="11"/>
      <c r="C27" s="15"/>
      <c r="D27" s="47"/>
      <c r="E27" s="47"/>
      <c r="F27" s="47"/>
      <c r="G27" s="214"/>
      <c r="H27" s="214"/>
      <c r="I27" s="12"/>
      <c r="K27" s="11"/>
      <c r="L27" s="188" t="s">
        <v>15</v>
      </c>
      <c r="M27" s="84">
        <v>0.42</v>
      </c>
      <c r="N27" s="85">
        <v>0.3</v>
      </c>
      <c r="O27" s="84">
        <v>0.22</v>
      </c>
      <c r="P27" s="12"/>
    </row>
    <row r="28" spans="2:16" s="2" customFormat="1" ht="14.5" thickBot="1">
      <c r="B28" s="11"/>
      <c r="C28" s="15"/>
      <c r="D28" s="47"/>
      <c r="E28" s="47"/>
      <c r="F28" s="47"/>
      <c r="G28" s="214"/>
      <c r="H28" s="214"/>
      <c r="I28" s="12"/>
      <c r="K28" s="33"/>
      <c r="L28" s="34"/>
      <c r="M28" s="34"/>
      <c r="N28" s="34"/>
      <c r="O28" s="34"/>
      <c r="P28" s="35"/>
    </row>
    <row r="29" spans="2:16" s="2" customFormat="1">
      <c r="B29" s="11"/>
      <c r="C29" s="15"/>
      <c r="D29" s="47"/>
      <c r="E29" s="47"/>
      <c r="F29" s="47"/>
      <c r="G29" s="214"/>
      <c r="H29" s="214"/>
      <c r="I29" s="12"/>
    </row>
    <row r="30" spans="2:16" s="2" customFormat="1">
      <c r="B30" s="11"/>
      <c r="C30" s="15"/>
      <c r="D30" s="47"/>
      <c r="E30" s="47"/>
      <c r="F30" s="47"/>
      <c r="G30" s="214"/>
      <c r="H30" s="214"/>
      <c r="I30" s="12"/>
    </row>
    <row r="31" spans="2:16" s="2" customFormat="1">
      <c r="B31" s="11"/>
      <c r="C31" s="15"/>
      <c r="D31" s="47"/>
      <c r="E31" s="47"/>
      <c r="F31" s="47"/>
      <c r="G31" s="214"/>
      <c r="H31" s="214"/>
      <c r="I31" s="12"/>
    </row>
    <row r="32" spans="2:16" s="2" customFormat="1">
      <c r="B32" s="11"/>
      <c r="C32" s="15"/>
      <c r="D32" s="22"/>
      <c r="E32" s="22"/>
      <c r="F32" s="22"/>
      <c r="G32" s="214"/>
      <c r="H32" s="214"/>
      <c r="I32" s="12"/>
    </row>
    <row r="33" spans="1:54" s="2" customFormat="1">
      <c r="B33" s="11"/>
      <c r="C33" s="17" t="s">
        <v>30</v>
      </c>
      <c r="D33" s="17"/>
      <c r="E33" s="17" t="s">
        <v>32</v>
      </c>
      <c r="F33" s="17" t="s">
        <v>75</v>
      </c>
      <c r="G33" s="185"/>
      <c r="H33" s="185"/>
      <c r="I33" s="12"/>
    </row>
    <row r="34" spans="1:54" s="2" customFormat="1">
      <c r="B34" s="11"/>
      <c r="C34" s="15" t="s">
        <v>118</v>
      </c>
      <c r="D34" s="19">
        <v>0.5</v>
      </c>
      <c r="E34" s="29" t="s">
        <v>61</v>
      </c>
      <c r="F34" s="29">
        <v>0.3</v>
      </c>
      <c r="G34" s="185"/>
      <c r="H34" s="185"/>
      <c r="I34" s="12"/>
    </row>
    <row r="35" spans="1:54" s="2" customFormat="1">
      <c r="B35" s="11"/>
      <c r="C35" s="15" t="s">
        <v>119</v>
      </c>
      <c r="D35" s="19">
        <v>3.39</v>
      </c>
      <c r="E35" s="47" t="s">
        <v>62</v>
      </c>
      <c r="F35" s="22">
        <f>LíneaBase!W10</f>
        <v>3.3879746972417744</v>
      </c>
      <c r="G35" s="185"/>
      <c r="H35" s="185"/>
      <c r="I35" s="12"/>
    </row>
    <row r="36" spans="1:54" s="2" customFormat="1">
      <c r="B36" s="11"/>
      <c r="C36" s="15"/>
      <c r="D36" s="15"/>
      <c r="E36" s="15"/>
      <c r="F36" s="15"/>
      <c r="G36" s="185"/>
      <c r="H36" s="185"/>
      <c r="I36" s="12"/>
    </row>
    <row r="37" spans="1:54" s="2" customFormat="1">
      <c r="B37" s="11"/>
      <c r="C37" s="17" t="s">
        <v>243</v>
      </c>
      <c r="D37" s="17"/>
      <c r="E37" s="17" t="s">
        <v>244</v>
      </c>
      <c r="F37" s="17" t="s">
        <v>75</v>
      </c>
      <c r="G37" s="185"/>
      <c r="H37" s="185"/>
      <c r="I37" s="12"/>
    </row>
    <row r="38" spans="1:54" s="2" customFormat="1" ht="16">
      <c r="B38" s="11"/>
      <c r="C38" s="15" t="s">
        <v>245</v>
      </c>
      <c r="D38" s="186">
        <v>3</v>
      </c>
      <c r="E38" s="113">
        <f>3*AVERAGE(Observaciones!$H$371:$H$735)</f>
        <v>2.9549364071544844</v>
      </c>
      <c r="F38" s="187" t="s">
        <v>246</v>
      </c>
      <c r="G38" s="15"/>
      <c r="H38" s="15"/>
      <c r="I38" s="12"/>
    </row>
    <row r="39" spans="1:54" s="2" customFormat="1" ht="16">
      <c r="B39" s="11"/>
      <c r="C39" s="15" t="s">
        <v>247</v>
      </c>
      <c r="D39" s="186">
        <v>0.215</v>
      </c>
      <c r="E39" s="113">
        <f>_xlfn.PERCENTILE.INC(Observaciones!$H$371:$H$735,0.1)</f>
        <v>0.21575323471550362</v>
      </c>
      <c r="F39" s="187" t="s">
        <v>248</v>
      </c>
      <c r="G39" s="15"/>
      <c r="H39" s="15"/>
      <c r="I39" s="12"/>
    </row>
    <row r="40" spans="1:54" s="2" customFormat="1" ht="16">
      <c r="B40" s="11"/>
      <c r="C40" s="15" t="s">
        <v>249</v>
      </c>
      <c r="D40" s="186">
        <v>0.01</v>
      </c>
      <c r="E40" s="113">
        <f>_xlfn.PERCENTILE.INC(LíneaBase!N$372:N$736,0.95)</f>
        <v>2.0217912220140286E-2</v>
      </c>
      <c r="F40" s="187" t="s">
        <v>316</v>
      </c>
      <c r="G40" s="15"/>
      <c r="H40" s="15"/>
      <c r="I40" s="12"/>
    </row>
    <row r="41" spans="1:54" s="2" customFormat="1" ht="16">
      <c r="B41" s="11"/>
      <c r="C41" s="15" t="s">
        <v>250</v>
      </c>
      <c r="D41" s="186">
        <v>1.5E-3</v>
      </c>
      <c r="E41" s="113">
        <f>0.5*AVERAGE(LíneaBase!N$372:N$736)</f>
        <v>2.7898929678018681E-3</v>
      </c>
      <c r="F41" s="187" t="s">
        <v>251</v>
      </c>
      <c r="G41" s="15"/>
      <c r="H41" s="15"/>
      <c r="I41" s="12"/>
    </row>
    <row r="42" spans="1:54" s="2" customFormat="1" ht="15" customHeight="1" thickBot="1">
      <c r="B42" s="11"/>
      <c r="C42" s="15"/>
      <c r="D42" s="15"/>
      <c r="E42" s="15"/>
      <c r="F42" s="15"/>
      <c r="G42" s="15"/>
      <c r="H42" s="15"/>
      <c r="I42" s="12"/>
    </row>
    <row r="43" spans="1:54" s="59" customFormat="1" ht="25.5" thickBot="1">
      <c r="A43" s="51"/>
      <c r="B43" s="90"/>
      <c r="C43" s="211" t="s">
        <v>351</v>
      </c>
      <c r="D43" s="212"/>
      <c r="E43" s="212"/>
      <c r="F43" s="212"/>
      <c r="G43" s="212"/>
      <c r="H43" s="213"/>
      <c r="I43" s="91"/>
      <c r="J43" s="2"/>
      <c r="K43" s="2"/>
      <c r="L43" s="2"/>
      <c r="M43" s="2"/>
      <c r="N43" s="2"/>
      <c r="O43" s="2"/>
      <c r="P43" s="2"/>
      <c r="Q43" s="2"/>
      <c r="R43" s="2"/>
      <c r="S43" s="2"/>
      <c r="T43" s="2"/>
      <c r="U43" s="2"/>
      <c r="V43" s="2"/>
      <c r="W43" s="2"/>
      <c r="X43" s="2"/>
      <c r="Y43" s="2"/>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B44" s="11"/>
      <c r="C44" s="15"/>
      <c r="D44" s="15"/>
      <c r="E44" s="15"/>
      <c r="F44" s="15"/>
      <c r="G44" s="15"/>
      <c r="H44" s="15"/>
      <c r="I44" s="12"/>
      <c r="K44" s="4"/>
      <c r="L44" s="5"/>
      <c r="M44" s="5"/>
      <c r="N44" s="5"/>
      <c r="O44" s="5"/>
      <c r="P44" s="5"/>
      <c r="Q44" s="5"/>
      <c r="R44" s="5"/>
      <c r="S44" s="7"/>
    </row>
    <row r="45" spans="1:54">
      <c r="B45" s="11"/>
      <c r="C45" s="58" t="s">
        <v>350</v>
      </c>
      <c r="D45" s="121" t="s">
        <v>456</v>
      </c>
      <c r="E45" s="137" t="s">
        <v>457</v>
      </c>
      <c r="F45" s="137" t="s">
        <v>458</v>
      </c>
      <c r="G45" s="137" t="s">
        <v>459</v>
      </c>
      <c r="H45" s="137" t="s">
        <v>460</v>
      </c>
      <c r="I45" s="12"/>
      <c r="K45" s="11"/>
      <c r="L45" s="218" t="s">
        <v>21</v>
      </c>
      <c r="M45" s="218"/>
      <c r="N45" s="218"/>
      <c r="O45" s="218"/>
      <c r="P45" s="218"/>
      <c r="Q45" s="218"/>
      <c r="R45" s="218"/>
      <c r="S45" s="12"/>
    </row>
    <row r="46" spans="1:54">
      <c r="B46" s="11"/>
      <c r="C46" s="15" t="s">
        <v>111</v>
      </c>
      <c r="D46" s="44">
        <v>80</v>
      </c>
      <c r="E46" s="44">
        <v>62</v>
      </c>
      <c r="F46" s="44">
        <v>49</v>
      </c>
      <c r="G46" s="44">
        <v>75</v>
      </c>
      <c r="H46" s="44">
        <v>67</v>
      </c>
      <c r="I46" s="12"/>
      <c r="K46" s="11"/>
      <c r="L46" s="220" t="s">
        <v>22</v>
      </c>
      <c r="M46" s="221" t="s">
        <v>23</v>
      </c>
      <c r="N46" s="222" t="s">
        <v>3</v>
      </c>
      <c r="O46" s="223"/>
      <c r="P46" s="225" t="s">
        <v>127</v>
      </c>
      <c r="Q46" s="225" t="s">
        <v>128</v>
      </c>
      <c r="R46" s="229" t="s">
        <v>129</v>
      </c>
      <c r="S46" s="12"/>
    </row>
    <row r="47" spans="1:54" ht="15" customHeight="1">
      <c r="B47" s="11"/>
      <c r="C47" s="15" t="s">
        <v>236</v>
      </c>
      <c r="D47" s="19">
        <v>1</v>
      </c>
      <c r="E47" s="19">
        <v>1.25</v>
      </c>
      <c r="F47" s="19">
        <v>1.5</v>
      </c>
      <c r="G47" s="19">
        <v>1.5</v>
      </c>
      <c r="H47" s="19">
        <v>2</v>
      </c>
      <c r="I47" s="12"/>
      <c r="J47" s="51"/>
      <c r="K47" s="90"/>
      <c r="L47" s="220"/>
      <c r="M47" s="221"/>
      <c r="N47" s="81" t="s">
        <v>24</v>
      </c>
      <c r="O47" s="81" t="s">
        <v>25</v>
      </c>
      <c r="P47" s="225"/>
      <c r="Q47" s="225"/>
      <c r="R47" s="230"/>
      <c r="S47" s="12"/>
      <c r="Y47" s="51"/>
    </row>
    <row r="48" spans="1:54">
      <c r="B48" s="11"/>
      <c r="C48" s="15" t="s">
        <v>112</v>
      </c>
      <c r="D48" s="19">
        <v>0.1</v>
      </c>
      <c r="E48" s="19">
        <v>0.05</v>
      </c>
      <c r="F48" s="19">
        <v>8.0000000000000002E-3</v>
      </c>
      <c r="G48" s="19">
        <v>0.05</v>
      </c>
      <c r="H48" s="19">
        <v>8.0000000000000002E-3</v>
      </c>
      <c r="I48" s="12"/>
      <c r="K48" s="11"/>
      <c r="L48" s="224" t="s">
        <v>36</v>
      </c>
      <c r="M48" s="82" t="s">
        <v>78</v>
      </c>
      <c r="N48" s="82">
        <v>77</v>
      </c>
      <c r="O48" s="82">
        <v>85</v>
      </c>
      <c r="P48" s="82">
        <v>1</v>
      </c>
      <c r="Q48" s="82">
        <v>0.21</v>
      </c>
      <c r="R48" s="82">
        <v>0.1</v>
      </c>
      <c r="S48" s="12"/>
    </row>
    <row r="49" spans="2:24">
      <c r="B49" s="11"/>
      <c r="C49" s="15" t="s">
        <v>113</v>
      </c>
      <c r="D49" s="19">
        <v>0.17</v>
      </c>
      <c r="E49" s="19">
        <v>0.12</v>
      </c>
      <c r="F49" s="19">
        <v>0.11</v>
      </c>
      <c r="G49" s="19">
        <v>0.18</v>
      </c>
      <c r="H49" s="19">
        <v>0.18</v>
      </c>
      <c r="I49" s="12"/>
      <c r="K49" s="11"/>
      <c r="L49" s="224"/>
      <c r="M49" s="84" t="s">
        <v>80</v>
      </c>
      <c r="N49" s="84">
        <v>73</v>
      </c>
      <c r="O49" s="84">
        <v>81</v>
      </c>
      <c r="P49" s="84">
        <v>1.5</v>
      </c>
      <c r="Q49" s="84">
        <v>0.18</v>
      </c>
      <c r="R49" s="84">
        <v>4.2000000000000003E-2</v>
      </c>
      <c r="S49" s="12"/>
    </row>
    <row r="50" spans="2:24" ht="16">
      <c r="B50" s="11"/>
      <c r="C50" s="15" t="s">
        <v>252</v>
      </c>
      <c r="D50" s="19">
        <v>1</v>
      </c>
      <c r="E50" s="19">
        <v>0.8</v>
      </c>
      <c r="F50" s="19">
        <v>1.2</v>
      </c>
      <c r="G50" s="19">
        <v>0.7</v>
      </c>
      <c r="H50" s="19">
        <v>0.6</v>
      </c>
      <c r="I50" s="12"/>
      <c r="K50" s="11"/>
      <c r="L50" s="224"/>
      <c r="M50" s="82" t="s">
        <v>79</v>
      </c>
      <c r="N50" s="82">
        <v>61</v>
      </c>
      <c r="O50" s="82">
        <v>73</v>
      </c>
      <c r="P50" s="82">
        <v>2</v>
      </c>
      <c r="Q50" s="82">
        <v>0.16</v>
      </c>
      <c r="R50" s="82">
        <v>1.2999999999999999E-2</v>
      </c>
      <c r="S50" s="12"/>
    </row>
    <row r="51" spans="2:24">
      <c r="B51" s="11"/>
      <c r="C51" s="15"/>
      <c r="D51" s="15"/>
      <c r="E51" s="15"/>
      <c r="F51" s="15"/>
      <c r="G51" s="15"/>
      <c r="H51" s="15"/>
      <c r="I51" s="12"/>
      <c r="K51" s="11"/>
      <c r="L51" s="231" t="s">
        <v>37</v>
      </c>
      <c r="M51" s="84" t="s">
        <v>78</v>
      </c>
      <c r="N51" s="84">
        <v>70</v>
      </c>
      <c r="O51" s="84">
        <v>79</v>
      </c>
      <c r="P51" s="84">
        <v>2</v>
      </c>
      <c r="Q51" s="84">
        <v>0.2</v>
      </c>
      <c r="R51" s="84">
        <v>7.1999999999999995E-2</v>
      </c>
      <c r="S51" s="12"/>
    </row>
    <row r="52" spans="2:24">
      <c r="B52" s="11"/>
      <c r="C52" s="17" t="s">
        <v>103</v>
      </c>
      <c r="D52" s="58" t="str">
        <f>D45</f>
        <v>Pastos degr.</v>
      </c>
      <c r="E52" s="58" t="str">
        <f>E45</f>
        <v>Bosque Tipo 1</v>
      </c>
      <c r="F52" s="58" t="str">
        <f>F45</f>
        <v>Bosque Tipo 2</v>
      </c>
      <c r="G52" s="58" t="str">
        <f>G45</f>
        <v>Pastos recup.</v>
      </c>
      <c r="H52" s="58" t="str">
        <f>H45</f>
        <v>Patos conserv.</v>
      </c>
      <c r="I52" s="12"/>
      <c r="K52" s="11"/>
      <c r="L52" s="232"/>
      <c r="M52" s="82" t="s">
        <v>80</v>
      </c>
      <c r="N52" s="82">
        <v>59</v>
      </c>
      <c r="O52" s="82">
        <v>70</v>
      </c>
      <c r="P52" s="82">
        <v>2.5</v>
      </c>
      <c r="Q52" s="82">
        <v>0.17</v>
      </c>
      <c r="R52" s="82">
        <v>2.4E-2</v>
      </c>
      <c r="S52" s="12"/>
    </row>
    <row r="53" spans="2:24">
      <c r="B53" s="11"/>
      <c r="C53" s="15" t="s">
        <v>99</v>
      </c>
      <c r="D53" s="45">
        <v>50</v>
      </c>
      <c r="E53" s="45">
        <v>150</v>
      </c>
      <c r="F53" s="45">
        <v>200</v>
      </c>
      <c r="G53" s="45">
        <v>100</v>
      </c>
      <c r="H53" s="45">
        <v>125</v>
      </c>
      <c r="I53" s="12"/>
      <c r="K53" s="11"/>
      <c r="L53" s="233"/>
      <c r="M53" s="84" t="s">
        <v>79</v>
      </c>
      <c r="N53" s="84">
        <v>47</v>
      </c>
      <c r="O53" s="84">
        <v>62</v>
      </c>
      <c r="P53" s="84">
        <v>3</v>
      </c>
      <c r="Q53" s="84">
        <v>0.15</v>
      </c>
      <c r="R53" s="84">
        <v>6.0000000000000001E-3</v>
      </c>
      <c r="S53" s="12"/>
    </row>
    <row r="54" spans="2:24">
      <c r="B54" s="11"/>
      <c r="C54" s="15"/>
      <c r="D54" s="15"/>
      <c r="E54" s="15"/>
      <c r="F54" s="15"/>
      <c r="G54" s="15"/>
      <c r="H54" s="15"/>
      <c r="I54" s="12"/>
      <c r="K54" s="11"/>
      <c r="L54" s="224" t="s">
        <v>38</v>
      </c>
      <c r="M54" s="82" t="s">
        <v>78</v>
      </c>
      <c r="N54" s="82">
        <v>74</v>
      </c>
      <c r="O54" s="82">
        <v>82</v>
      </c>
      <c r="P54" s="82">
        <v>1.5</v>
      </c>
      <c r="Q54" s="82">
        <v>0.18</v>
      </c>
      <c r="R54" s="82">
        <v>0.09</v>
      </c>
      <c r="S54" s="12"/>
    </row>
    <row r="55" spans="2:24">
      <c r="B55" s="11"/>
      <c r="C55" s="15"/>
      <c r="D55" s="15"/>
      <c r="E55" s="15"/>
      <c r="F55" s="15"/>
      <c r="G55" s="15"/>
      <c r="H55" s="15"/>
      <c r="I55" s="12"/>
      <c r="K55" s="11"/>
      <c r="L55" s="224"/>
      <c r="M55" s="84" t="s">
        <v>80</v>
      </c>
      <c r="N55" s="84">
        <v>66</v>
      </c>
      <c r="O55" s="84">
        <v>76</v>
      </c>
      <c r="P55" s="84">
        <v>2</v>
      </c>
      <c r="Q55" s="84">
        <v>0.16</v>
      </c>
      <c r="R55" s="84">
        <v>3.5000000000000003E-2</v>
      </c>
      <c r="S55" s="12"/>
    </row>
    <row r="56" spans="2:24">
      <c r="B56" s="11"/>
      <c r="C56" s="15"/>
      <c r="D56" s="15"/>
      <c r="E56" s="15"/>
      <c r="F56" s="15"/>
      <c r="G56" s="15"/>
      <c r="H56" s="15"/>
      <c r="I56" s="12"/>
      <c r="K56" s="11"/>
      <c r="L56" s="224"/>
      <c r="M56" s="82" t="s">
        <v>79</v>
      </c>
      <c r="N56" s="82">
        <v>57</v>
      </c>
      <c r="O56" s="82">
        <v>69</v>
      </c>
      <c r="P56" s="82">
        <v>2.5</v>
      </c>
      <c r="Q56" s="82">
        <v>0.14000000000000001</v>
      </c>
      <c r="R56" s="82">
        <v>1.0999999999999999E-2</v>
      </c>
      <c r="S56" s="12"/>
    </row>
    <row r="57" spans="2:24">
      <c r="B57" s="11"/>
      <c r="C57" s="15"/>
      <c r="D57" s="15"/>
      <c r="E57" s="15"/>
      <c r="F57" s="15"/>
      <c r="G57" s="15"/>
      <c r="H57" s="15"/>
      <c r="I57" s="12"/>
      <c r="K57" s="11"/>
      <c r="L57" s="224" t="s">
        <v>39</v>
      </c>
      <c r="M57" s="84" t="s">
        <v>78</v>
      </c>
      <c r="N57" s="84">
        <v>70</v>
      </c>
      <c r="O57" s="84">
        <v>79</v>
      </c>
      <c r="P57" s="84">
        <v>2.5</v>
      </c>
      <c r="Q57" s="84">
        <v>0.13</v>
      </c>
      <c r="R57" s="84">
        <v>0.08</v>
      </c>
      <c r="S57" s="12"/>
    </row>
    <row r="58" spans="2:24">
      <c r="B58" s="11"/>
      <c r="C58" s="15"/>
      <c r="D58" s="15"/>
      <c r="E58" s="15"/>
      <c r="F58" s="15"/>
      <c r="G58" s="15"/>
      <c r="H58" s="15"/>
      <c r="I58" s="12"/>
      <c r="K58" s="11"/>
      <c r="L58" s="224"/>
      <c r="M58" s="82" t="s">
        <v>80</v>
      </c>
      <c r="N58" s="82">
        <v>58</v>
      </c>
      <c r="O58" s="82">
        <v>70</v>
      </c>
      <c r="P58" s="82">
        <v>3</v>
      </c>
      <c r="Q58" s="82">
        <v>0.12</v>
      </c>
      <c r="R58" s="82">
        <v>2.9000000000000001E-2</v>
      </c>
      <c r="S58" s="12"/>
    </row>
    <row r="59" spans="2:24">
      <c r="B59" s="11"/>
      <c r="C59" s="15"/>
      <c r="D59" s="15"/>
      <c r="E59" s="15"/>
      <c r="F59" s="15"/>
      <c r="G59" s="15"/>
      <c r="H59" s="15"/>
      <c r="I59" s="12"/>
      <c r="K59" s="11"/>
      <c r="L59" s="224"/>
      <c r="M59" s="84" t="s">
        <v>79</v>
      </c>
      <c r="N59" s="84">
        <v>51</v>
      </c>
      <c r="O59" s="84">
        <v>66</v>
      </c>
      <c r="P59" s="84">
        <v>3.5</v>
      </c>
      <c r="Q59" s="84">
        <v>0.11</v>
      </c>
      <c r="R59" s="84">
        <v>8.0000000000000002E-3</v>
      </c>
      <c r="S59" s="12"/>
    </row>
    <row r="60" spans="2:24" ht="14.5" thickBot="1">
      <c r="B60" s="11"/>
      <c r="C60" s="15"/>
      <c r="D60" s="15"/>
      <c r="E60" s="15"/>
      <c r="F60" s="15"/>
      <c r="G60" s="15"/>
      <c r="H60" s="15"/>
      <c r="I60" s="12"/>
      <c r="K60" s="33"/>
      <c r="L60" s="34"/>
      <c r="M60" s="34"/>
      <c r="N60" s="34"/>
      <c r="O60" s="34"/>
      <c r="P60" s="34"/>
      <c r="Q60" s="34"/>
      <c r="R60" s="34"/>
      <c r="S60" s="35"/>
    </row>
    <row r="61" spans="2:24" ht="25.5" thickBot="1">
      <c r="B61" s="11"/>
      <c r="C61" s="211" t="s">
        <v>327</v>
      </c>
      <c r="D61" s="212"/>
      <c r="E61" s="212"/>
      <c r="F61" s="212"/>
      <c r="G61" s="212"/>
      <c r="H61" s="213"/>
      <c r="I61" s="12"/>
    </row>
    <row r="62" spans="2:24">
      <c r="B62" s="11"/>
      <c r="C62" s="15"/>
      <c r="D62" s="15"/>
      <c r="E62" s="15"/>
      <c r="F62" s="15"/>
      <c r="G62" s="15"/>
      <c r="H62" s="15"/>
      <c r="I62" s="12"/>
      <c r="K62" s="4"/>
      <c r="L62" s="5"/>
      <c r="M62" s="5"/>
      <c r="N62" s="5"/>
      <c r="O62" s="5"/>
      <c r="P62" s="5"/>
      <c r="Q62" s="5"/>
      <c r="R62" s="5"/>
      <c r="S62" s="5"/>
      <c r="T62" s="5"/>
      <c r="U62" s="5"/>
      <c r="V62" s="5"/>
      <c r="W62" s="5"/>
      <c r="X62" s="7"/>
    </row>
    <row r="63" spans="2:24">
      <c r="B63" s="11"/>
      <c r="C63" s="17" t="s">
        <v>319</v>
      </c>
      <c r="D63" s="58"/>
      <c r="E63" s="17" t="s">
        <v>320</v>
      </c>
      <c r="F63" s="17" t="s">
        <v>321</v>
      </c>
      <c r="G63" s="15"/>
      <c r="H63" s="15"/>
      <c r="I63" s="12"/>
      <c r="K63" s="11"/>
      <c r="L63" s="15"/>
      <c r="M63" s="15"/>
      <c r="N63" s="15"/>
      <c r="O63" s="15"/>
      <c r="P63" s="15"/>
      <c r="Q63" s="15"/>
      <c r="R63" s="15"/>
      <c r="S63" s="15"/>
      <c r="T63" s="15"/>
      <c r="U63" s="15"/>
      <c r="V63" s="15"/>
      <c r="W63" s="15"/>
      <c r="X63" s="12"/>
    </row>
    <row r="64" spans="2:24">
      <c r="B64" s="11"/>
      <c r="C64" s="15" t="s">
        <v>322</v>
      </c>
      <c r="D64" s="15"/>
      <c r="E64" s="45">
        <v>10</v>
      </c>
      <c r="F64" s="45">
        <v>10</v>
      </c>
      <c r="G64" s="15"/>
      <c r="H64" s="15"/>
      <c r="I64" s="12"/>
      <c r="K64" s="11"/>
      <c r="L64" s="15"/>
      <c r="M64" s="15"/>
      <c r="N64" s="15"/>
      <c r="O64" s="15"/>
      <c r="P64" s="15"/>
      <c r="Q64" s="15"/>
      <c r="R64" s="15"/>
      <c r="S64" s="15"/>
      <c r="T64" s="15"/>
      <c r="U64" s="15"/>
      <c r="V64" s="15"/>
      <c r="W64" s="15"/>
      <c r="X64" s="12"/>
    </row>
    <row r="65" spans="2:24">
      <c r="B65" s="11"/>
      <c r="C65" s="15" t="s">
        <v>323</v>
      </c>
      <c r="D65" s="15"/>
      <c r="E65" s="45">
        <v>20</v>
      </c>
      <c r="F65" s="45">
        <v>20</v>
      </c>
      <c r="G65" s="215" t="s">
        <v>448</v>
      </c>
      <c r="H65" s="216"/>
      <c r="I65" s="12"/>
      <c r="K65" s="11"/>
      <c r="L65" s="15"/>
      <c r="M65" s="15"/>
      <c r="N65" s="15"/>
      <c r="O65" s="15"/>
      <c r="P65" s="15"/>
      <c r="Q65" s="15"/>
      <c r="R65" s="15"/>
      <c r="S65" s="15"/>
      <c r="T65" s="15"/>
      <c r="U65" s="15"/>
      <c r="V65" s="15"/>
      <c r="W65" s="15"/>
      <c r="X65" s="12"/>
    </row>
    <row r="66" spans="2:24">
      <c r="B66" s="11"/>
      <c r="C66" s="15" t="s">
        <v>324</v>
      </c>
      <c r="D66" s="15"/>
      <c r="E66" s="45">
        <v>15</v>
      </c>
      <c r="F66" s="45">
        <v>15</v>
      </c>
      <c r="G66" s="15"/>
      <c r="H66" s="15"/>
      <c r="I66" s="12"/>
      <c r="K66" s="11"/>
      <c r="L66" s="15"/>
      <c r="M66" s="15"/>
      <c r="N66" s="15"/>
      <c r="O66" s="15"/>
      <c r="P66" s="15"/>
      <c r="Q66" s="15"/>
      <c r="R66" s="15"/>
      <c r="S66" s="15"/>
      <c r="T66" s="15"/>
      <c r="U66" s="15"/>
      <c r="V66" s="15"/>
      <c r="W66" s="15"/>
      <c r="X66" s="12"/>
    </row>
    <row r="67" spans="2:24">
      <c r="B67" s="11"/>
      <c r="C67" s="15" t="s">
        <v>325</v>
      </c>
      <c r="D67" s="15"/>
      <c r="E67" s="45">
        <v>15</v>
      </c>
      <c r="F67" s="45">
        <v>15</v>
      </c>
      <c r="G67" s="15"/>
      <c r="H67" s="15"/>
      <c r="I67" s="12"/>
      <c r="K67" s="11"/>
      <c r="L67" s="15"/>
      <c r="M67" s="15"/>
      <c r="N67" s="15"/>
      <c r="O67" s="15"/>
      <c r="P67" s="15"/>
      <c r="Q67" s="15"/>
      <c r="R67" s="15"/>
      <c r="S67" s="15"/>
      <c r="T67" s="15"/>
      <c r="U67" s="15"/>
      <c r="V67" s="15"/>
      <c r="W67" s="15"/>
      <c r="X67" s="12"/>
    </row>
    <row r="68" spans="2:24" s="2" customFormat="1">
      <c r="B68" s="11"/>
      <c r="C68" s="15"/>
      <c r="D68" s="15"/>
      <c r="E68" s="16"/>
      <c r="F68" s="16"/>
      <c r="G68" s="15"/>
      <c r="H68" s="15"/>
      <c r="I68" s="12"/>
      <c r="K68" s="11"/>
      <c r="L68" s="15"/>
      <c r="M68" s="15"/>
      <c r="N68" s="15"/>
      <c r="O68" s="15"/>
      <c r="P68" s="15"/>
      <c r="Q68" s="15"/>
      <c r="R68" s="15"/>
      <c r="S68" s="15"/>
      <c r="T68" s="15"/>
      <c r="U68" s="15"/>
      <c r="V68" s="15"/>
      <c r="W68" s="15"/>
      <c r="X68" s="12"/>
    </row>
    <row r="69" spans="2:24" s="2" customFormat="1">
      <c r="B69" s="11"/>
      <c r="C69" s="17" t="s">
        <v>326</v>
      </c>
      <c r="D69" s="58"/>
      <c r="E69" s="17" t="s">
        <v>320</v>
      </c>
      <c r="F69" s="17" t="s">
        <v>321</v>
      </c>
      <c r="G69" s="15"/>
      <c r="H69" s="15"/>
      <c r="I69" s="12"/>
      <c r="K69" s="11"/>
      <c r="L69" s="15"/>
      <c r="M69" s="15"/>
      <c r="N69" s="15"/>
      <c r="O69" s="15"/>
      <c r="P69" s="15"/>
      <c r="Q69" s="15"/>
      <c r="R69" s="15"/>
      <c r="S69" s="15"/>
      <c r="T69" s="15"/>
      <c r="U69" s="15"/>
      <c r="V69" s="15"/>
      <c r="W69" s="15"/>
      <c r="X69" s="12"/>
    </row>
    <row r="70" spans="2:24" s="2" customFormat="1" ht="16.5">
      <c r="B70" s="11"/>
      <c r="C70" s="15" t="s">
        <v>229</v>
      </c>
      <c r="D70" s="15"/>
      <c r="E70" s="45">
        <v>1</v>
      </c>
      <c r="F70" s="45">
        <v>1</v>
      </c>
      <c r="G70" s="15"/>
      <c r="H70" s="15"/>
      <c r="I70" s="12"/>
      <c r="K70" s="11"/>
      <c r="L70" s="15"/>
      <c r="M70" s="15"/>
      <c r="N70" s="15"/>
      <c r="O70" s="15"/>
      <c r="P70" s="15"/>
      <c r="Q70" s="15"/>
      <c r="R70" s="15"/>
      <c r="S70" s="15"/>
      <c r="T70" s="15"/>
      <c r="U70" s="15"/>
      <c r="V70" s="15"/>
      <c r="W70" s="15"/>
      <c r="X70" s="12"/>
    </row>
    <row r="71" spans="2:24" s="2" customFormat="1" ht="16.5">
      <c r="B71" s="11"/>
      <c r="C71" s="15" t="s">
        <v>205</v>
      </c>
      <c r="D71" s="15"/>
      <c r="E71" s="45">
        <v>3</v>
      </c>
      <c r="F71" s="45">
        <v>3</v>
      </c>
      <c r="G71" s="15"/>
      <c r="H71" s="15"/>
      <c r="I71" s="12"/>
      <c r="K71" s="11"/>
      <c r="L71" s="15"/>
      <c r="M71" s="15"/>
      <c r="N71" s="15"/>
      <c r="O71" s="15"/>
      <c r="P71" s="15"/>
      <c r="Q71" s="15"/>
      <c r="R71" s="15"/>
      <c r="S71" s="15"/>
      <c r="T71" s="15"/>
      <c r="U71" s="15"/>
      <c r="V71" s="15"/>
      <c r="W71" s="15"/>
      <c r="X71" s="12"/>
    </row>
    <row r="72" spans="2:24" s="2" customFormat="1" ht="14.5" thickBot="1">
      <c r="B72" s="11"/>
      <c r="C72" s="15"/>
      <c r="D72" s="15"/>
      <c r="E72" s="46"/>
      <c r="F72" s="46"/>
      <c r="G72" s="15"/>
      <c r="H72" s="15"/>
      <c r="I72" s="12"/>
      <c r="K72" s="33"/>
      <c r="L72" s="34"/>
      <c r="M72" s="34"/>
      <c r="N72" s="34"/>
      <c r="O72" s="34"/>
      <c r="P72" s="34"/>
      <c r="Q72" s="34"/>
      <c r="R72" s="34"/>
      <c r="S72" s="34"/>
      <c r="T72" s="34"/>
      <c r="U72" s="34"/>
      <c r="V72" s="34"/>
      <c r="W72" s="34"/>
      <c r="X72" s="35"/>
    </row>
    <row r="73" spans="2:24" s="2" customFormat="1" ht="25.5" thickBot="1">
      <c r="B73" s="11"/>
      <c r="C73" s="211" t="s">
        <v>348</v>
      </c>
      <c r="D73" s="212"/>
      <c r="E73" s="212"/>
      <c r="F73" s="212"/>
      <c r="G73" s="212"/>
      <c r="H73" s="213"/>
      <c r="I73" s="12"/>
    </row>
    <row r="74" spans="2:24" s="2" customFormat="1">
      <c r="B74" s="11"/>
      <c r="C74" s="15"/>
      <c r="D74" s="15"/>
      <c r="E74" s="15"/>
      <c r="F74" s="15"/>
      <c r="G74" s="15"/>
      <c r="H74" s="15"/>
      <c r="I74" s="12"/>
    </row>
    <row r="75" spans="2:24" s="2" customFormat="1">
      <c r="B75" s="11"/>
      <c r="C75" s="17" t="s">
        <v>352</v>
      </c>
      <c r="D75" s="58"/>
      <c r="E75" s="17" t="s">
        <v>353</v>
      </c>
      <c r="F75" s="17" t="s">
        <v>354</v>
      </c>
      <c r="G75" s="15"/>
      <c r="H75" s="15"/>
      <c r="I75" s="12"/>
    </row>
    <row r="76" spans="2:24" s="2" customFormat="1" ht="16">
      <c r="B76" s="11"/>
      <c r="C76" s="15" t="s">
        <v>355</v>
      </c>
      <c r="D76" s="15"/>
      <c r="E76" s="45">
        <v>0.15</v>
      </c>
      <c r="F76" s="45">
        <v>0.3</v>
      </c>
      <c r="G76" s="217" t="s">
        <v>449</v>
      </c>
      <c r="H76" s="214"/>
      <c r="I76" s="12"/>
    </row>
    <row r="77" spans="2:24" s="2" customFormat="1" ht="16">
      <c r="B77" s="11"/>
      <c r="C77" s="15" t="s">
        <v>356</v>
      </c>
      <c r="D77" s="15"/>
      <c r="E77" s="45">
        <v>3</v>
      </c>
      <c r="F77" s="45">
        <v>3</v>
      </c>
      <c r="G77" s="217"/>
      <c r="H77" s="214"/>
      <c r="I77" s="12"/>
    </row>
    <row r="78" spans="2:24" s="2" customFormat="1" ht="16">
      <c r="B78" s="11"/>
      <c r="C78" s="15" t="s">
        <v>357</v>
      </c>
      <c r="D78" s="15"/>
      <c r="E78" s="45">
        <v>0</v>
      </c>
      <c r="F78" s="45">
        <v>0</v>
      </c>
      <c r="G78" s="15"/>
      <c r="H78" s="15"/>
      <c r="I78" s="12"/>
    </row>
    <row r="79" spans="2:24" s="2" customFormat="1" ht="16">
      <c r="B79" s="11"/>
      <c r="C79" s="15" t="s">
        <v>358</v>
      </c>
      <c r="D79" s="15"/>
      <c r="E79" s="45">
        <v>0.39</v>
      </c>
      <c r="F79" s="45">
        <v>0.39</v>
      </c>
      <c r="G79" s="15"/>
      <c r="H79" s="15"/>
      <c r="I79" s="12"/>
    </row>
    <row r="80" spans="2:24" s="2" customFormat="1" ht="16">
      <c r="B80" s="11"/>
      <c r="C80" s="15" t="s">
        <v>359</v>
      </c>
      <c r="D80" s="15"/>
      <c r="E80" s="45">
        <v>0.27500000000000002</v>
      </c>
      <c r="F80" s="45">
        <v>0.27500000000000002</v>
      </c>
      <c r="G80" s="15"/>
      <c r="H80" s="15"/>
      <c r="I80" s="12"/>
    </row>
    <row r="81" spans="2:24" s="2" customFormat="1" ht="16">
      <c r="B81" s="11"/>
      <c r="C81" s="15" t="s">
        <v>360</v>
      </c>
      <c r="D81" s="15"/>
      <c r="E81" s="19">
        <v>0.2</v>
      </c>
      <c r="F81" s="19">
        <v>0.2</v>
      </c>
      <c r="G81" s="15"/>
      <c r="H81" s="15"/>
      <c r="I81" s="12"/>
    </row>
    <row r="82" spans="2:24" s="2" customFormat="1" ht="16">
      <c r="B82" s="11"/>
      <c r="C82" s="15" t="s">
        <v>463</v>
      </c>
      <c r="D82" s="15"/>
      <c r="E82" s="19">
        <v>0.4</v>
      </c>
      <c r="F82" s="19">
        <v>0.4</v>
      </c>
      <c r="G82" s="15"/>
      <c r="H82" s="15"/>
      <c r="I82" s="12"/>
    </row>
    <row r="83" spans="2:24" s="2" customFormat="1" ht="17.5">
      <c r="B83" s="11"/>
      <c r="C83" s="15" t="s">
        <v>361</v>
      </c>
      <c r="D83" s="15"/>
      <c r="E83" s="19">
        <v>0</v>
      </c>
      <c r="F83" s="19">
        <v>0</v>
      </c>
      <c r="G83" s="15"/>
      <c r="H83" s="15"/>
      <c r="I83" s="12"/>
    </row>
    <row r="84" spans="2:24" s="2" customFormat="1">
      <c r="B84" s="11"/>
      <c r="C84" s="15"/>
      <c r="D84" s="16"/>
      <c r="E84" s="16"/>
      <c r="F84" s="16"/>
      <c r="G84" s="15"/>
      <c r="H84" s="15"/>
      <c r="I84" s="12"/>
    </row>
    <row r="85" spans="2:24" s="2" customFormat="1">
      <c r="B85" s="11"/>
      <c r="C85" s="17" t="s">
        <v>362</v>
      </c>
      <c r="D85" s="17"/>
      <c r="E85" s="17" t="s">
        <v>353</v>
      </c>
      <c r="F85" s="17" t="s">
        <v>354</v>
      </c>
      <c r="G85" s="15"/>
      <c r="H85" s="15"/>
      <c r="I85" s="12"/>
    </row>
    <row r="86" spans="2:24" s="2" customFormat="1">
      <c r="B86" s="11"/>
      <c r="C86" s="15" t="s">
        <v>363</v>
      </c>
      <c r="D86" s="15"/>
      <c r="E86" s="45">
        <v>600</v>
      </c>
      <c r="F86" s="45">
        <v>300</v>
      </c>
      <c r="G86" s="15"/>
      <c r="H86" s="15"/>
      <c r="I86" s="12"/>
    </row>
    <row r="87" spans="2:24" s="2" customFormat="1" ht="14.5" thickBot="1">
      <c r="B87" s="11"/>
      <c r="C87" s="15"/>
      <c r="D87" s="15"/>
      <c r="E87" s="15"/>
      <c r="F87" s="15"/>
      <c r="G87" s="15"/>
      <c r="H87" s="15"/>
      <c r="I87" s="12"/>
    </row>
    <row r="88" spans="2:24" s="2" customFormat="1" ht="25.5" thickBot="1">
      <c r="B88" s="11"/>
      <c r="C88" s="211" t="s">
        <v>318</v>
      </c>
      <c r="D88" s="212"/>
      <c r="E88" s="212"/>
      <c r="F88" s="212"/>
      <c r="G88" s="212"/>
      <c r="H88" s="213"/>
      <c r="I88" s="12"/>
      <c r="K88" s="168"/>
      <c r="L88" s="168"/>
      <c r="M88" s="168"/>
      <c r="N88" s="168"/>
      <c r="O88" s="168"/>
      <c r="P88" s="168"/>
      <c r="Q88" s="168"/>
      <c r="R88" s="168"/>
      <c r="S88" s="168"/>
      <c r="T88" s="168"/>
      <c r="U88" s="168"/>
      <c r="V88" s="168"/>
      <c r="W88" s="168"/>
      <c r="X88" s="168"/>
    </row>
    <row r="89" spans="2:24" s="2" customFormat="1">
      <c r="B89" s="11"/>
      <c r="C89" s="15"/>
      <c r="D89" s="15"/>
      <c r="E89" s="15"/>
      <c r="F89" s="15"/>
      <c r="G89" s="15"/>
      <c r="H89" s="15"/>
      <c r="I89" s="12"/>
      <c r="K89" s="4"/>
      <c r="L89" s="5"/>
      <c r="M89" s="5"/>
      <c r="N89" s="5"/>
      <c r="O89" s="5"/>
      <c r="P89" s="5"/>
      <c r="Q89" s="5"/>
      <c r="R89" s="5"/>
      <c r="S89" s="5"/>
      <c r="T89" s="5"/>
      <c r="U89" s="5"/>
      <c r="V89" s="5"/>
      <c r="W89" s="5"/>
      <c r="X89" s="7"/>
    </row>
    <row r="90" spans="2:24" s="2" customFormat="1" ht="17">
      <c r="B90" s="11"/>
      <c r="C90" s="17" t="s">
        <v>95</v>
      </c>
      <c r="D90" s="17"/>
      <c r="E90" s="17" t="s">
        <v>81</v>
      </c>
      <c r="F90" s="17" t="s">
        <v>82</v>
      </c>
      <c r="G90" s="15"/>
      <c r="H90" s="15"/>
      <c r="I90" s="12"/>
      <c r="K90" s="11"/>
      <c r="L90" s="15"/>
      <c r="M90" s="15"/>
      <c r="N90" s="15"/>
      <c r="O90" s="15"/>
      <c r="P90" s="15"/>
      <c r="Q90" s="15"/>
      <c r="R90" s="15"/>
      <c r="S90" s="15"/>
      <c r="T90" s="218" t="s">
        <v>224</v>
      </c>
      <c r="U90" s="218"/>
      <c r="V90" s="218"/>
      <c r="W90" s="15"/>
      <c r="X90" s="12"/>
    </row>
    <row r="91" spans="2:24" s="2" customFormat="1">
      <c r="B91" s="11"/>
      <c r="C91" s="15" t="s">
        <v>122</v>
      </c>
      <c r="D91" s="15"/>
      <c r="E91" s="45">
        <v>0</v>
      </c>
      <c r="F91" s="45">
        <v>25</v>
      </c>
      <c r="G91" s="215" t="s">
        <v>447</v>
      </c>
      <c r="H91" s="216"/>
      <c r="I91" s="12"/>
      <c r="K91" s="11"/>
      <c r="L91" s="15"/>
      <c r="M91" s="15"/>
      <c r="N91" s="15"/>
      <c r="O91" s="15"/>
      <c r="P91" s="15"/>
      <c r="Q91" s="15"/>
      <c r="R91" s="15"/>
      <c r="S91" s="15"/>
      <c r="T91" s="226" t="s">
        <v>225</v>
      </c>
      <c r="U91" s="227" t="s">
        <v>84</v>
      </c>
      <c r="V91" s="227" t="s">
        <v>221</v>
      </c>
      <c r="W91" s="15"/>
      <c r="X91" s="12"/>
    </row>
    <row r="92" spans="2:24" s="2" customFormat="1">
      <c r="B92" s="11"/>
      <c r="C92" s="15" t="s">
        <v>123</v>
      </c>
      <c r="D92" s="15"/>
      <c r="E92" s="45">
        <v>20</v>
      </c>
      <c r="F92" s="45">
        <v>25</v>
      </c>
      <c r="G92" s="15"/>
      <c r="H92" s="15"/>
      <c r="I92" s="12"/>
      <c r="K92" s="11"/>
      <c r="L92" s="15"/>
      <c r="M92" s="15"/>
      <c r="N92" s="15"/>
      <c r="O92" s="15"/>
      <c r="P92" s="15"/>
      <c r="Q92" s="15"/>
      <c r="R92" s="15"/>
      <c r="S92" s="15"/>
      <c r="T92" s="226"/>
      <c r="U92" s="227"/>
      <c r="V92" s="227"/>
      <c r="W92" s="15"/>
      <c r="X92" s="12"/>
    </row>
    <row r="93" spans="2:24" s="2" customFormat="1">
      <c r="B93" s="11"/>
      <c r="C93" s="15" t="s">
        <v>124</v>
      </c>
      <c r="D93" s="15"/>
      <c r="E93" s="45">
        <v>30</v>
      </c>
      <c r="F93" s="45">
        <v>25</v>
      </c>
      <c r="G93" s="15"/>
      <c r="H93" s="15"/>
      <c r="I93" s="12"/>
      <c r="K93" s="11"/>
      <c r="L93" s="15"/>
      <c r="M93" s="15"/>
      <c r="N93" s="15"/>
      <c r="O93" s="15"/>
      <c r="P93" s="15"/>
      <c r="Q93" s="15"/>
      <c r="R93" s="15"/>
      <c r="S93" s="15"/>
      <c r="T93" s="92" t="s">
        <v>83</v>
      </c>
      <c r="U93" s="97">
        <v>0.02</v>
      </c>
      <c r="V93" s="95">
        <v>0.25</v>
      </c>
      <c r="W93" s="15"/>
      <c r="X93" s="12"/>
    </row>
    <row r="94" spans="2:24" s="2" customFormat="1">
      <c r="B94" s="11"/>
      <c r="C94" s="15" t="s">
        <v>214</v>
      </c>
      <c r="D94" s="15"/>
      <c r="E94" s="45">
        <v>2.5000000000000001E-2</v>
      </c>
      <c r="F94" s="45">
        <v>1.2999999999999999E-2</v>
      </c>
      <c r="G94" s="15"/>
      <c r="H94" s="15"/>
      <c r="I94" s="12"/>
      <c r="K94" s="11"/>
      <c r="L94" s="15"/>
      <c r="M94" s="15"/>
      <c r="N94" s="15"/>
      <c r="O94" s="15"/>
      <c r="P94" s="15"/>
      <c r="Q94" s="15"/>
      <c r="R94" s="15"/>
      <c r="S94" s="15"/>
      <c r="T94" s="92" t="s">
        <v>85</v>
      </c>
      <c r="U94" s="98">
        <v>1.7000000000000001E-2</v>
      </c>
      <c r="V94" s="96">
        <v>0.2</v>
      </c>
      <c r="W94" s="15"/>
      <c r="X94" s="12"/>
    </row>
    <row r="95" spans="2:24" s="2" customFormat="1" ht="16">
      <c r="B95" s="11"/>
      <c r="C95" s="15" t="s">
        <v>234</v>
      </c>
      <c r="D95" s="15"/>
      <c r="E95" s="45">
        <v>3300</v>
      </c>
      <c r="F95" s="45">
        <v>3300</v>
      </c>
      <c r="G95" s="15"/>
      <c r="H95" s="15"/>
      <c r="I95" s="12"/>
      <c r="K95" s="11"/>
      <c r="L95" s="15"/>
      <c r="M95" s="15"/>
      <c r="N95" s="15"/>
      <c r="O95" s="15"/>
      <c r="P95" s="15"/>
      <c r="Q95" s="15"/>
      <c r="R95" s="15"/>
      <c r="S95" s="15"/>
      <c r="T95" s="92" t="s">
        <v>86</v>
      </c>
      <c r="U95" s="97">
        <v>1.4999999999999999E-2</v>
      </c>
      <c r="V95" s="95">
        <v>0.15</v>
      </c>
      <c r="W95" s="15"/>
      <c r="X95" s="12"/>
    </row>
    <row r="96" spans="2:24" s="2" customFormat="1" ht="16">
      <c r="B96" s="11"/>
      <c r="C96" s="15" t="s">
        <v>233</v>
      </c>
      <c r="D96" s="15"/>
      <c r="E96" s="45">
        <v>3250</v>
      </c>
      <c r="F96" s="45">
        <v>3250</v>
      </c>
      <c r="G96" s="15"/>
      <c r="H96" s="15"/>
      <c r="I96" s="12"/>
      <c r="K96" s="11"/>
      <c r="L96" s="15"/>
      <c r="M96" s="15"/>
      <c r="N96" s="15"/>
      <c r="O96" s="15"/>
      <c r="P96" s="15"/>
      <c r="Q96" s="15"/>
      <c r="R96" s="15"/>
      <c r="S96" s="15"/>
      <c r="T96" s="92" t="s">
        <v>87</v>
      </c>
      <c r="U96" s="98">
        <v>1.2E-2</v>
      </c>
      <c r="V96" s="96">
        <v>0.1</v>
      </c>
      <c r="W96" s="15"/>
      <c r="X96" s="12"/>
    </row>
    <row r="97" spans="2:24" s="2" customFormat="1" ht="16">
      <c r="B97" s="11"/>
      <c r="C97" s="15" t="s">
        <v>230</v>
      </c>
      <c r="D97" s="15"/>
      <c r="E97" s="45">
        <v>3000</v>
      </c>
      <c r="F97" s="45">
        <v>3000</v>
      </c>
      <c r="G97" s="15"/>
      <c r="H97" s="15"/>
      <c r="I97" s="12"/>
      <c r="K97" s="11"/>
      <c r="L97" s="15"/>
      <c r="M97" s="15"/>
      <c r="N97" s="15"/>
      <c r="O97" s="15"/>
      <c r="P97" s="15"/>
      <c r="Q97" s="15"/>
      <c r="R97" s="15"/>
      <c r="S97" s="15"/>
      <c r="T97" s="92" t="s">
        <v>215</v>
      </c>
      <c r="U97" s="97">
        <v>1.4E-2</v>
      </c>
      <c r="V97" s="95">
        <v>0.05</v>
      </c>
      <c r="W97" s="15"/>
      <c r="X97" s="12"/>
    </row>
    <row r="98" spans="2:24" s="2" customFormat="1" ht="16">
      <c r="B98" s="11"/>
      <c r="C98" s="15" t="s">
        <v>209</v>
      </c>
      <c r="D98" s="15"/>
      <c r="E98" s="45">
        <v>30</v>
      </c>
      <c r="F98" s="45">
        <v>30</v>
      </c>
      <c r="G98" s="15"/>
      <c r="H98" s="15"/>
      <c r="I98" s="12"/>
      <c r="K98" s="11"/>
      <c r="L98" s="15"/>
      <c r="M98" s="15"/>
      <c r="N98" s="15"/>
      <c r="O98" s="15"/>
      <c r="P98" s="15"/>
      <c r="Q98" s="15"/>
      <c r="R98" s="15"/>
      <c r="S98" s="15"/>
      <c r="T98" s="92" t="s">
        <v>88</v>
      </c>
      <c r="U98" s="98">
        <v>1.2999999999999999E-2</v>
      </c>
      <c r="V98" s="96">
        <v>0</v>
      </c>
      <c r="W98" s="15"/>
      <c r="X98" s="12"/>
    </row>
    <row r="99" spans="2:24" s="2" customFormat="1" ht="16">
      <c r="B99" s="11"/>
      <c r="C99" s="15" t="s">
        <v>220</v>
      </c>
      <c r="D99" s="15"/>
      <c r="E99" s="94">
        <v>0.25</v>
      </c>
      <c r="F99" s="94">
        <v>0</v>
      </c>
      <c r="G99" s="15"/>
      <c r="H99" s="15"/>
      <c r="I99" s="12"/>
      <c r="K99" s="11"/>
      <c r="L99" s="15"/>
      <c r="M99" s="15"/>
      <c r="N99" s="15"/>
      <c r="O99" s="15"/>
      <c r="P99" s="15"/>
      <c r="Q99" s="15"/>
      <c r="R99" s="15"/>
      <c r="S99" s="15"/>
      <c r="T99" s="92" t="s">
        <v>89</v>
      </c>
      <c r="U99" s="97">
        <v>0.01</v>
      </c>
      <c r="V99" s="95">
        <v>0.1</v>
      </c>
      <c r="W99" s="15"/>
      <c r="X99" s="12"/>
    </row>
    <row r="100" spans="2:24" s="2" customFormat="1">
      <c r="B100" s="11"/>
      <c r="C100" s="15"/>
      <c r="D100" s="15"/>
      <c r="E100" s="16"/>
      <c r="F100" s="16"/>
      <c r="G100" s="15"/>
      <c r="H100" s="15"/>
      <c r="I100" s="12"/>
      <c r="K100" s="11"/>
      <c r="L100" s="15"/>
      <c r="M100" s="15"/>
      <c r="N100" s="15"/>
      <c r="O100" s="15"/>
      <c r="P100" s="15"/>
      <c r="Q100" s="15"/>
      <c r="R100" s="15"/>
      <c r="S100" s="15"/>
      <c r="T100" s="92" t="s">
        <v>90</v>
      </c>
      <c r="U100" s="98">
        <v>2.5000000000000001E-2</v>
      </c>
      <c r="V100" s="96">
        <v>0.25</v>
      </c>
      <c r="W100" s="15"/>
      <c r="X100" s="12"/>
    </row>
    <row r="101" spans="2:24" s="2" customFormat="1">
      <c r="B101" s="11"/>
      <c r="C101" s="17" t="s">
        <v>102</v>
      </c>
      <c r="D101" s="17"/>
      <c r="E101" s="17" t="s">
        <v>81</v>
      </c>
      <c r="F101" s="17" t="s">
        <v>82</v>
      </c>
      <c r="G101" s="15"/>
      <c r="H101" s="15"/>
      <c r="I101" s="12"/>
      <c r="K101" s="11"/>
      <c r="L101" s="15"/>
      <c r="M101" s="15"/>
      <c r="N101" s="15"/>
      <c r="O101" s="15"/>
      <c r="P101" s="15"/>
      <c r="Q101" s="15"/>
      <c r="R101" s="15"/>
      <c r="S101" s="15"/>
      <c r="T101" s="92" t="s">
        <v>91</v>
      </c>
      <c r="U101" s="97">
        <v>3.5000000000000003E-2</v>
      </c>
      <c r="V101" s="95">
        <v>0.35</v>
      </c>
      <c r="W101" s="15"/>
      <c r="X101" s="12"/>
    </row>
    <row r="102" spans="2:24" s="2" customFormat="1" ht="16.5">
      <c r="B102" s="11"/>
      <c r="C102" s="15" t="s">
        <v>229</v>
      </c>
      <c r="D102" s="15"/>
      <c r="E102" s="45">
        <v>1</v>
      </c>
      <c r="F102" s="45">
        <v>1</v>
      </c>
      <c r="G102" s="15"/>
      <c r="H102" s="15"/>
      <c r="I102" s="12"/>
      <c r="K102" s="11"/>
      <c r="L102" s="15"/>
      <c r="M102" s="15"/>
      <c r="N102" s="15"/>
      <c r="O102" s="15"/>
      <c r="P102" s="15"/>
      <c r="Q102" s="15"/>
      <c r="R102" s="15"/>
      <c r="S102" s="15"/>
      <c r="T102" s="92" t="s">
        <v>92</v>
      </c>
      <c r="U102" s="98">
        <v>0.04</v>
      </c>
      <c r="V102" s="96">
        <v>0.45</v>
      </c>
      <c r="W102" s="15"/>
      <c r="X102" s="12"/>
    </row>
    <row r="103" spans="2:24" s="2" customFormat="1" ht="16.5">
      <c r="B103" s="11"/>
      <c r="C103" s="15" t="s">
        <v>205</v>
      </c>
      <c r="D103" s="15"/>
      <c r="E103" s="45">
        <v>6</v>
      </c>
      <c r="F103" s="45">
        <v>6</v>
      </c>
      <c r="G103" s="15"/>
      <c r="H103" s="15"/>
      <c r="I103" s="12"/>
      <c r="K103" s="11"/>
      <c r="L103" s="15"/>
      <c r="M103" s="15"/>
      <c r="N103" s="15"/>
      <c r="O103" s="15"/>
      <c r="P103" s="15"/>
      <c r="Q103" s="15"/>
      <c r="R103" s="15"/>
      <c r="S103" s="15"/>
      <c r="T103" s="92" t="s">
        <v>93</v>
      </c>
      <c r="U103" s="97">
        <v>1.0999999999999999E-2</v>
      </c>
      <c r="V103" s="95">
        <v>0.05</v>
      </c>
      <c r="W103" s="15"/>
      <c r="X103" s="12"/>
    </row>
    <row r="104" spans="2:24" s="2" customFormat="1" ht="16.5">
      <c r="B104" s="11"/>
      <c r="C104" s="15" t="s">
        <v>231</v>
      </c>
      <c r="D104" s="15"/>
      <c r="E104" s="45">
        <v>0</v>
      </c>
      <c r="F104" s="45">
        <v>2</v>
      </c>
      <c r="G104" s="15"/>
      <c r="H104" s="15"/>
      <c r="I104" s="12"/>
      <c r="K104" s="11"/>
      <c r="L104" s="15"/>
      <c r="M104" s="15"/>
      <c r="N104" s="15"/>
      <c r="O104" s="15"/>
      <c r="P104" s="15"/>
      <c r="Q104" s="15"/>
      <c r="R104" s="15"/>
      <c r="S104" s="15"/>
      <c r="T104" s="92" t="s">
        <v>94</v>
      </c>
      <c r="U104" s="98">
        <v>1.2999999999999999E-2</v>
      </c>
      <c r="V104" s="96">
        <v>0</v>
      </c>
      <c r="W104" s="15"/>
      <c r="X104" s="12"/>
    </row>
    <row r="105" spans="2:24" s="2" customFormat="1" ht="14.5" thickBot="1">
      <c r="B105" s="11"/>
      <c r="C105" s="15"/>
      <c r="D105" s="15"/>
      <c r="E105" s="15"/>
      <c r="F105" s="15"/>
      <c r="G105" s="15"/>
      <c r="H105" s="15"/>
      <c r="I105" s="12"/>
      <c r="K105" s="33"/>
      <c r="L105" s="34"/>
      <c r="M105" s="34"/>
      <c r="N105" s="34"/>
      <c r="O105" s="34"/>
      <c r="P105" s="34"/>
      <c r="Q105" s="34"/>
      <c r="R105" s="34"/>
      <c r="S105" s="34"/>
      <c r="T105" s="34"/>
      <c r="U105" s="34"/>
      <c r="V105" s="34"/>
      <c r="W105" s="34"/>
      <c r="X105" s="35"/>
    </row>
    <row r="106" spans="2:24" s="2" customFormat="1" ht="25.5" thickBot="1">
      <c r="B106" s="11"/>
      <c r="C106" s="211" t="s">
        <v>408</v>
      </c>
      <c r="D106" s="212"/>
      <c r="E106" s="212"/>
      <c r="F106" s="212"/>
      <c r="G106" s="212"/>
      <c r="H106" s="213"/>
      <c r="I106" s="12"/>
      <c r="K106" s="168"/>
      <c r="L106" s="168"/>
      <c r="M106" s="168"/>
      <c r="N106" s="168"/>
      <c r="O106" s="168"/>
      <c r="P106" s="168"/>
      <c r="Q106" s="168"/>
      <c r="R106" s="168"/>
      <c r="S106" s="168"/>
      <c r="T106" s="168"/>
      <c r="U106" s="168"/>
      <c r="V106" s="168"/>
      <c r="W106" s="168"/>
      <c r="X106" s="168"/>
    </row>
    <row r="107" spans="2:24" s="2" customFormat="1">
      <c r="B107" s="11"/>
      <c r="C107" s="15"/>
      <c r="D107" s="15"/>
      <c r="E107" s="15"/>
      <c r="F107" s="15"/>
      <c r="G107" s="15"/>
      <c r="H107" s="15"/>
      <c r="I107" s="12"/>
      <c r="K107" s="168"/>
      <c r="L107" s="168"/>
      <c r="M107" s="168"/>
      <c r="N107" s="168"/>
      <c r="O107" s="168"/>
      <c r="P107" s="168"/>
      <c r="Q107" s="168"/>
      <c r="R107" s="168"/>
      <c r="S107" s="168"/>
      <c r="T107" s="168"/>
      <c r="U107" s="168"/>
      <c r="V107" s="168"/>
      <c r="W107" s="168"/>
      <c r="X107" s="168"/>
    </row>
    <row r="108" spans="2:24" s="2" customFormat="1">
      <c r="B108" s="11"/>
      <c r="C108" s="17" t="s">
        <v>400</v>
      </c>
      <c r="D108" s="58"/>
      <c r="E108" s="17" t="s">
        <v>401</v>
      </c>
      <c r="F108" s="17" t="s">
        <v>402</v>
      </c>
      <c r="G108" s="15"/>
      <c r="H108" s="15"/>
      <c r="I108" s="12"/>
      <c r="K108" s="168"/>
      <c r="L108" s="168"/>
      <c r="M108" s="168"/>
      <c r="N108" s="168"/>
      <c r="O108" s="168"/>
      <c r="P108" s="168"/>
      <c r="Q108" s="168"/>
      <c r="R108" s="168"/>
      <c r="S108" s="168"/>
      <c r="T108" s="168"/>
      <c r="U108" s="168"/>
      <c r="V108" s="168"/>
      <c r="W108" s="168"/>
      <c r="X108" s="168"/>
    </row>
    <row r="109" spans="2:24" s="2" customFormat="1" ht="16">
      <c r="B109" s="11"/>
      <c r="C109" s="15" t="s">
        <v>403</v>
      </c>
      <c r="D109" s="15"/>
      <c r="E109" s="45">
        <v>1</v>
      </c>
      <c r="F109" s="45">
        <v>4</v>
      </c>
      <c r="G109" s="217" t="s">
        <v>450</v>
      </c>
      <c r="H109" s="214"/>
      <c r="I109" s="12"/>
      <c r="K109" s="168"/>
      <c r="L109" s="168"/>
      <c r="M109" s="168"/>
      <c r="N109" s="168"/>
      <c r="O109" s="168"/>
      <c r="P109" s="168"/>
      <c r="Q109" s="168"/>
      <c r="R109" s="168"/>
      <c r="S109" s="168"/>
      <c r="T109" s="168"/>
      <c r="U109" s="168"/>
      <c r="V109" s="168"/>
      <c r="W109" s="168"/>
      <c r="X109" s="168"/>
    </row>
    <row r="110" spans="2:24" s="2" customFormat="1" ht="16">
      <c r="B110" s="11"/>
      <c r="C110" s="15" t="s">
        <v>404</v>
      </c>
      <c r="D110" s="15"/>
      <c r="E110" s="45">
        <v>4</v>
      </c>
      <c r="F110" s="45">
        <v>4</v>
      </c>
      <c r="G110" s="217"/>
      <c r="H110" s="214"/>
      <c r="I110" s="12"/>
      <c r="K110" s="168"/>
      <c r="L110" s="168"/>
      <c r="M110" s="168"/>
      <c r="N110" s="168"/>
      <c r="O110" s="168"/>
      <c r="P110" s="168"/>
      <c r="Q110" s="168"/>
      <c r="R110" s="168"/>
      <c r="S110" s="168"/>
      <c r="T110" s="168"/>
      <c r="U110" s="168"/>
      <c r="V110" s="168"/>
      <c r="W110" s="168"/>
      <c r="X110" s="168"/>
    </row>
    <row r="111" spans="2:24" s="2" customFormat="1" ht="16">
      <c r="B111" s="11"/>
      <c r="C111" s="15" t="s">
        <v>405</v>
      </c>
      <c r="D111" s="15"/>
      <c r="E111" s="45">
        <v>0</v>
      </c>
      <c r="F111" s="45">
        <v>0</v>
      </c>
      <c r="G111" s="15"/>
      <c r="H111" s="15"/>
      <c r="I111" s="12"/>
      <c r="K111" s="168"/>
      <c r="L111" s="168"/>
      <c r="M111" s="168"/>
      <c r="N111" s="168"/>
      <c r="O111" s="168"/>
      <c r="P111" s="168"/>
      <c r="Q111" s="168"/>
      <c r="R111" s="168"/>
      <c r="S111" s="168"/>
      <c r="T111" s="168"/>
      <c r="U111" s="168"/>
      <c r="V111" s="168"/>
      <c r="W111" s="168"/>
      <c r="X111" s="168"/>
    </row>
    <row r="112" spans="2:24" s="2" customFormat="1" ht="17.5">
      <c r="B112" s="11"/>
      <c r="C112" s="15" t="s">
        <v>361</v>
      </c>
      <c r="D112" s="15"/>
      <c r="E112" s="19">
        <v>0</v>
      </c>
      <c r="F112" s="19">
        <v>0</v>
      </c>
      <c r="G112" s="15"/>
      <c r="H112" s="15"/>
      <c r="I112" s="12"/>
      <c r="K112" s="168"/>
      <c r="L112" s="168"/>
      <c r="M112" s="168"/>
      <c r="N112" s="168"/>
      <c r="O112" s="168"/>
      <c r="P112" s="168"/>
      <c r="Q112" s="168"/>
      <c r="R112" s="168"/>
      <c r="S112" s="168"/>
      <c r="T112" s="168"/>
      <c r="U112" s="168"/>
      <c r="V112" s="168"/>
      <c r="W112" s="168"/>
      <c r="X112" s="168"/>
    </row>
    <row r="113" spans="2:24" s="2" customFormat="1" ht="17.5">
      <c r="B113" s="11"/>
      <c r="C113" s="15" t="s">
        <v>406</v>
      </c>
      <c r="D113" s="15"/>
      <c r="E113" s="19">
        <v>1</v>
      </c>
      <c r="F113" s="19">
        <v>1</v>
      </c>
      <c r="G113" s="15"/>
      <c r="H113" s="15"/>
      <c r="I113" s="12"/>
      <c r="K113" s="168"/>
      <c r="L113" s="168"/>
      <c r="M113" s="168"/>
      <c r="N113" s="168"/>
      <c r="O113" s="168"/>
      <c r="P113" s="168"/>
      <c r="Q113" s="168"/>
      <c r="R113" s="168"/>
      <c r="S113" s="168"/>
      <c r="T113" s="168"/>
      <c r="U113" s="168"/>
      <c r="V113" s="168"/>
      <c r="W113" s="168"/>
      <c r="X113" s="168"/>
    </row>
    <row r="114" spans="2:24" s="2" customFormat="1">
      <c r="B114" s="11"/>
      <c r="C114" s="15"/>
      <c r="D114" s="16"/>
      <c r="E114" s="16"/>
      <c r="F114" s="16"/>
      <c r="G114" s="15"/>
      <c r="H114" s="15"/>
      <c r="I114" s="12"/>
      <c r="K114" s="168"/>
      <c r="L114" s="168"/>
      <c r="M114" s="168"/>
      <c r="N114" s="168"/>
      <c r="O114" s="168"/>
      <c r="P114" s="168"/>
      <c r="Q114" s="168"/>
      <c r="R114" s="168"/>
      <c r="S114" s="168"/>
      <c r="T114" s="168"/>
      <c r="U114" s="168"/>
      <c r="V114" s="168"/>
      <c r="W114" s="168"/>
      <c r="X114" s="168"/>
    </row>
    <row r="115" spans="2:24" s="2" customFormat="1">
      <c r="B115" s="11"/>
      <c r="C115" s="17" t="s">
        <v>407</v>
      </c>
      <c r="D115" s="17"/>
      <c r="E115" s="17" t="s">
        <v>401</v>
      </c>
      <c r="F115" s="17" t="s">
        <v>402</v>
      </c>
      <c r="G115" s="15"/>
      <c r="H115" s="15"/>
      <c r="I115" s="12"/>
      <c r="K115" s="168"/>
      <c r="L115" s="168"/>
      <c r="M115" s="168"/>
      <c r="N115" s="168"/>
      <c r="O115" s="168"/>
      <c r="P115" s="168"/>
      <c r="Q115" s="168"/>
      <c r="R115" s="168"/>
      <c r="S115" s="168"/>
      <c r="T115" s="168"/>
      <c r="U115" s="168"/>
      <c r="V115" s="168"/>
      <c r="W115" s="168"/>
      <c r="X115" s="168"/>
    </row>
    <row r="116" spans="2:24" s="2" customFormat="1" ht="16.5">
      <c r="B116" s="11"/>
      <c r="C116" s="15" t="s">
        <v>229</v>
      </c>
      <c r="D116" s="15"/>
      <c r="E116" s="45">
        <v>0.25</v>
      </c>
      <c r="F116" s="45">
        <v>0.25</v>
      </c>
      <c r="G116" s="15"/>
      <c r="H116" s="15"/>
      <c r="I116" s="12"/>
      <c r="K116" s="168"/>
      <c r="L116" s="168"/>
      <c r="M116" s="168"/>
      <c r="N116" s="168"/>
      <c r="O116" s="168"/>
      <c r="P116" s="168"/>
      <c r="Q116" s="168"/>
      <c r="R116" s="168"/>
      <c r="S116" s="168"/>
      <c r="T116" s="168"/>
      <c r="U116" s="168"/>
      <c r="V116" s="168"/>
      <c r="W116" s="168"/>
      <c r="X116" s="168"/>
    </row>
    <row r="117" spans="2:24" s="2" customFormat="1" ht="16.5">
      <c r="B117" s="11"/>
      <c r="C117" s="15" t="s">
        <v>205</v>
      </c>
      <c r="D117" s="15"/>
      <c r="E117" s="45">
        <v>1</v>
      </c>
      <c r="F117" s="45">
        <v>1</v>
      </c>
      <c r="G117" s="15"/>
      <c r="H117" s="15"/>
      <c r="I117" s="12"/>
      <c r="K117" s="168"/>
      <c r="L117" s="168"/>
      <c r="M117" s="168"/>
      <c r="N117" s="168"/>
      <c r="O117" s="168"/>
      <c r="P117" s="168"/>
      <c r="Q117" s="168"/>
      <c r="R117" s="168"/>
      <c r="S117" s="168"/>
      <c r="T117" s="168"/>
      <c r="U117" s="168"/>
      <c r="V117" s="168"/>
      <c r="W117" s="168"/>
      <c r="X117" s="168"/>
    </row>
    <row r="118" spans="2:24" s="2" customFormat="1" ht="14.5" thickBot="1">
      <c r="B118" s="33"/>
      <c r="C118" s="34"/>
      <c r="D118" s="34"/>
      <c r="E118" s="34"/>
      <c r="F118" s="34"/>
      <c r="G118" s="34"/>
      <c r="H118" s="34"/>
      <c r="I118" s="35"/>
      <c r="K118" s="168"/>
      <c r="L118" s="168"/>
      <c r="M118" s="168"/>
      <c r="N118" s="168"/>
      <c r="O118" s="168"/>
      <c r="P118" s="168"/>
      <c r="Q118" s="168"/>
      <c r="R118" s="168"/>
      <c r="S118" s="168"/>
      <c r="T118" s="168"/>
      <c r="U118" s="168"/>
      <c r="V118" s="168"/>
      <c r="W118" s="168"/>
      <c r="X118" s="168"/>
    </row>
    <row r="119" spans="2:24" s="2" customFormat="1" ht="14.5" thickBot="1">
      <c r="B119" s="168"/>
      <c r="C119" s="168"/>
      <c r="D119" s="168"/>
      <c r="E119" s="168"/>
      <c r="F119" s="168"/>
      <c r="G119" s="168"/>
      <c r="H119" s="168"/>
      <c r="I119" s="168"/>
    </row>
    <row r="120" spans="2:24" s="2" customFormat="1" ht="14.5" thickBot="1">
      <c r="B120" s="4"/>
      <c r="C120" s="5"/>
      <c r="D120" s="5"/>
      <c r="E120" s="5"/>
      <c r="F120" s="5"/>
      <c r="G120" s="5"/>
      <c r="H120" s="5"/>
      <c r="I120" s="7"/>
      <c r="K120" s="4"/>
      <c r="L120" s="5"/>
      <c r="M120" s="5"/>
      <c r="N120" s="5"/>
      <c r="O120" s="5"/>
      <c r="P120" s="5"/>
      <c r="Q120" s="5"/>
      <c r="R120" s="5"/>
      <c r="S120" s="5"/>
      <c r="T120" s="5"/>
      <c r="U120" s="5"/>
      <c r="V120" s="5"/>
      <c r="W120" s="5"/>
      <c r="X120" s="7"/>
    </row>
    <row r="121" spans="2:24" s="2" customFormat="1" ht="25.5" thickBot="1">
      <c r="B121" s="11"/>
      <c r="C121" s="208" t="s">
        <v>454</v>
      </c>
      <c r="D121" s="209"/>
      <c r="E121" s="209"/>
      <c r="F121" s="209"/>
      <c r="G121" s="209"/>
      <c r="H121" s="210"/>
      <c r="I121" s="12"/>
      <c r="K121" s="11"/>
      <c r="L121" s="15"/>
      <c r="M121" s="15"/>
      <c r="N121" s="15"/>
      <c r="O121" s="15"/>
      <c r="P121" s="15"/>
      <c r="Q121" s="15"/>
      <c r="R121" s="15"/>
      <c r="S121" s="15"/>
      <c r="T121" s="15"/>
      <c r="U121" s="15"/>
      <c r="V121" s="15"/>
      <c r="W121" s="15"/>
      <c r="X121" s="12"/>
    </row>
    <row r="122" spans="2:24" s="2" customFormat="1">
      <c r="B122" s="11"/>
      <c r="C122" s="15"/>
      <c r="D122" s="16"/>
      <c r="E122" s="16"/>
      <c r="F122" s="16"/>
      <c r="G122" s="15"/>
      <c r="H122" s="15"/>
      <c r="I122" s="12"/>
      <c r="K122" s="11"/>
      <c r="L122" s="15"/>
      <c r="M122" s="15"/>
      <c r="N122" s="15"/>
      <c r="O122" s="15"/>
      <c r="P122" s="15"/>
      <c r="Q122" s="15"/>
      <c r="R122" s="15"/>
      <c r="S122" s="15"/>
      <c r="T122" s="15"/>
      <c r="U122" s="15"/>
      <c r="V122" s="15"/>
      <c r="W122" s="15"/>
      <c r="X122" s="12"/>
    </row>
    <row r="123" spans="2:24" s="2" customFormat="1">
      <c r="B123" s="11"/>
      <c r="C123" s="17" t="s">
        <v>97</v>
      </c>
      <c r="D123" s="18" t="s">
        <v>46</v>
      </c>
      <c r="E123" s="18" t="s">
        <v>49</v>
      </c>
      <c r="F123" s="18" t="s">
        <v>48</v>
      </c>
      <c r="G123" s="15"/>
      <c r="H123" s="15"/>
      <c r="I123" s="12"/>
      <c r="K123" s="11"/>
      <c r="L123" s="15"/>
      <c r="M123" s="15"/>
      <c r="N123" s="15"/>
      <c r="O123" s="15"/>
      <c r="P123" s="15"/>
      <c r="Q123" s="15"/>
      <c r="R123" s="15"/>
      <c r="S123" s="15"/>
      <c r="T123" s="15"/>
      <c r="U123" s="15"/>
      <c r="V123" s="15"/>
      <c r="W123" s="15"/>
      <c r="X123" s="12"/>
    </row>
    <row r="124" spans="2:24" s="2" customFormat="1">
      <c r="B124" s="11"/>
      <c r="C124" s="15" t="s">
        <v>96</v>
      </c>
      <c r="D124" s="16"/>
      <c r="E124" s="19">
        <v>60</v>
      </c>
      <c r="F124" s="16"/>
      <c r="G124" s="15"/>
      <c r="H124" s="15"/>
      <c r="I124" s="12"/>
      <c r="K124" s="11"/>
      <c r="L124" s="15"/>
      <c r="M124" s="15"/>
      <c r="N124" s="15"/>
      <c r="O124" s="15"/>
      <c r="P124" s="15"/>
      <c r="Q124" s="15"/>
      <c r="R124" s="15"/>
      <c r="S124" s="15"/>
      <c r="T124" s="15"/>
      <c r="U124" s="15"/>
      <c r="V124" s="15"/>
      <c r="W124" s="15"/>
      <c r="X124" s="12"/>
    </row>
    <row r="125" spans="2:24" s="2" customFormat="1">
      <c r="B125" s="11"/>
      <c r="C125" s="138" t="s">
        <v>42</v>
      </c>
      <c r="D125" s="21">
        <f>1-SUM(EvaluaciónLB!H:H)/SUM(EvaluaciónLB!I:I)</f>
        <v>0.96542345041307176</v>
      </c>
      <c r="E125" s="19">
        <v>0.5</v>
      </c>
      <c r="F125" s="23" t="str">
        <f>IF(D125&gt;=E125,"SI","NO")</f>
        <v>SI</v>
      </c>
      <c r="G125" s="15"/>
      <c r="H125" s="15"/>
      <c r="I125" s="12"/>
      <c r="K125" s="11"/>
      <c r="L125" s="15"/>
      <c r="M125" s="15"/>
      <c r="N125" s="15"/>
      <c r="O125" s="15"/>
      <c r="P125" s="15"/>
      <c r="Q125" s="15"/>
      <c r="R125" s="15"/>
      <c r="S125" s="15"/>
      <c r="T125" s="15"/>
      <c r="U125" s="15"/>
      <c r="V125" s="15"/>
      <c r="W125" s="15"/>
      <c r="X125" s="12"/>
    </row>
    <row r="126" spans="2:24" s="2" customFormat="1">
      <c r="B126" s="11"/>
      <c r="C126" s="15" t="s">
        <v>120</v>
      </c>
      <c r="D126" s="20">
        <f>SQRT(SUM(EvaluaciónLB!H:H)/COUNT(EvaluaciónLB!C:C))</f>
        <v>0.16221628343421624</v>
      </c>
      <c r="E126" s="19">
        <v>0.4</v>
      </c>
      <c r="F126" s="23" t="str">
        <f>IF(D126&lt;=E126,"SI","NO")</f>
        <v>SI</v>
      </c>
      <c r="G126" s="15"/>
      <c r="H126" s="15"/>
      <c r="I126" s="12"/>
      <c r="K126" s="11"/>
      <c r="L126" s="15"/>
      <c r="M126" s="15"/>
      <c r="N126" s="15"/>
      <c r="O126" s="15"/>
      <c r="P126" s="15"/>
      <c r="Q126" s="15"/>
      <c r="R126" s="15"/>
      <c r="S126" s="15"/>
      <c r="T126" s="15"/>
      <c r="U126" s="15"/>
      <c r="V126" s="15"/>
      <c r="W126" s="15"/>
      <c r="X126" s="12"/>
    </row>
    <row r="127" spans="2:24" s="2" customFormat="1">
      <c r="B127" s="11"/>
      <c r="C127" s="138" t="s">
        <v>43</v>
      </c>
      <c r="D127" s="21">
        <f>SQRT(SUM(EvaluaciónLB!H:H))/SQRT(SUM(EvaluaciónLB!I:I))</f>
        <v>0.18594770659227897</v>
      </c>
      <c r="E127" s="19">
        <v>0.7</v>
      </c>
      <c r="F127" s="23" t="str">
        <f>IF(D127&lt;=E127,"SI","NO")</f>
        <v>SI</v>
      </c>
      <c r="G127" s="15"/>
      <c r="H127" s="15"/>
      <c r="I127" s="12"/>
      <c r="K127" s="11"/>
      <c r="L127" s="15"/>
      <c r="M127" s="15"/>
      <c r="N127" s="15"/>
      <c r="O127" s="15"/>
      <c r="P127" s="15"/>
      <c r="Q127" s="15"/>
      <c r="R127" s="15"/>
      <c r="S127" s="15"/>
      <c r="T127" s="15"/>
      <c r="U127" s="15"/>
      <c r="V127" s="15"/>
      <c r="W127" s="15"/>
      <c r="X127" s="12"/>
    </row>
    <row r="128" spans="2:24" s="2" customFormat="1">
      <c r="B128" s="11"/>
      <c r="C128" s="138" t="s">
        <v>121</v>
      </c>
      <c r="D128" s="24">
        <f>SUM(EvaluaciónLB!F:F)/SUM(EvaluaciónLB!D:D)</f>
        <v>1.1607806746722007E-2</v>
      </c>
      <c r="E128" s="87">
        <v>0.25</v>
      </c>
      <c r="F128" s="23" t="str">
        <f>IF(ABS(D128)&lt;=ABS(E128),"SI","NO")</f>
        <v>SI</v>
      </c>
      <c r="G128" s="15"/>
      <c r="H128" s="15"/>
      <c r="I128" s="12"/>
      <c r="K128" s="11"/>
      <c r="L128" s="15"/>
      <c r="M128" s="15"/>
      <c r="N128" s="15"/>
      <c r="O128" s="15"/>
      <c r="P128" s="15"/>
      <c r="Q128" s="15"/>
      <c r="R128" s="15"/>
      <c r="S128" s="15"/>
      <c r="T128" s="15"/>
      <c r="U128" s="15"/>
      <c r="V128" s="15"/>
      <c r="W128" s="15"/>
      <c r="X128" s="12"/>
    </row>
    <row r="129" spans="2:24" s="2" customFormat="1">
      <c r="B129" s="11"/>
      <c r="C129" s="138" t="s">
        <v>44</v>
      </c>
      <c r="D129" s="21">
        <f>1-SQRT((SUM(EvaluaciónLB!L:L)/SQRT(SUM(EvaluaciónLB!I:I)*SUM(EvaluaciónLB!K:K))-1)^2+(STDEV(EvaluaciónLB!E:E)/STDEV(EvaluaciónLB!D:D)-1)^2+(AVERAGE(EvaluaciónLB!E:E)/AVERAGE(EvaluaciónLB!D:D)-1)^2)</f>
        <v>0.85380549463937117</v>
      </c>
      <c r="E129" s="19">
        <v>0.5</v>
      </c>
      <c r="F129" s="23" t="str">
        <f>IF(D129&gt;=E129,"SI","NO")</f>
        <v>SI</v>
      </c>
      <c r="G129" s="15"/>
      <c r="H129" s="15"/>
      <c r="I129" s="12"/>
      <c r="K129" s="11"/>
      <c r="L129" s="15"/>
      <c r="M129" s="15"/>
      <c r="N129" s="15"/>
      <c r="O129" s="15"/>
      <c r="P129" s="15"/>
      <c r="Q129" s="15"/>
      <c r="R129" s="15"/>
      <c r="S129" s="15"/>
      <c r="T129" s="15"/>
      <c r="U129" s="15"/>
      <c r="V129" s="15"/>
      <c r="W129" s="15"/>
      <c r="X129" s="12"/>
    </row>
    <row r="130" spans="2:24" s="2" customFormat="1">
      <c r="B130" s="11"/>
      <c r="C130" s="138" t="s">
        <v>45</v>
      </c>
      <c r="D130" s="20">
        <f>SQRT((D125-1)^2+D126^2+D127^2+D128^2+(D129-1)^2)</f>
        <v>0.28912589741250044</v>
      </c>
      <c r="E130" s="99">
        <f>SQRT((E125-1)^2+E126^2+E127^2+E128^2+(E129-1)^2)</f>
        <v>1.1011357772772621</v>
      </c>
      <c r="F130" s="23" t="str">
        <f>IF(D130&lt;=E130,"SI","NO")</f>
        <v>SI</v>
      </c>
      <c r="G130" s="15"/>
      <c r="H130" s="15"/>
      <c r="I130" s="12"/>
      <c r="K130" s="11"/>
      <c r="L130" s="15"/>
      <c r="M130" s="15"/>
      <c r="N130" s="15"/>
      <c r="O130" s="15"/>
      <c r="P130" s="15"/>
      <c r="Q130" s="15"/>
      <c r="R130" s="15"/>
      <c r="S130" s="15"/>
      <c r="T130" s="15"/>
      <c r="U130" s="15"/>
      <c r="V130" s="15"/>
      <c r="W130" s="15"/>
      <c r="X130" s="12"/>
    </row>
    <row r="131" spans="2:24" s="2" customFormat="1">
      <c r="B131" s="11"/>
      <c r="C131" s="15"/>
      <c r="D131" s="15"/>
      <c r="E131" s="15"/>
      <c r="F131" s="15"/>
      <c r="G131" s="15"/>
      <c r="H131" s="15"/>
      <c r="I131" s="12"/>
      <c r="K131" s="11"/>
      <c r="L131" s="15"/>
      <c r="M131" s="15"/>
      <c r="N131" s="15"/>
      <c r="O131" s="15"/>
      <c r="P131" s="15"/>
      <c r="Q131" s="15"/>
      <c r="R131" s="15"/>
      <c r="S131" s="15"/>
      <c r="T131" s="15"/>
      <c r="U131" s="15"/>
      <c r="V131" s="15"/>
      <c r="W131" s="15"/>
      <c r="X131" s="12"/>
    </row>
    <row r="132" spans="2:24" s="2" customFormat="1">
      <c r="B132" s="11"/>
      <c r="C132" s="15"/>
      <c r="D132" s="15"/>
      <c r="E132" s="15"/>
      <c r="F132" s="15"/>
      <c r="G132" s="15"/>
      <c r="H132" s="15"/>
      <c r="I132" s="12"/>
      <c r="K132" s="11"/>
      <c r="L132" s="15"/>
      <c r="M132" s="15"/>
      <c r="N132" s="15"/>
      <c r="O132" s="15"/>
      <c r="P132" s="15"/>
      <c r="Q132" s="15"/>
      <c r="R132" s="15"/>
      <c r="S132" s="15"/>
      <c r="T132" s="15"/>
      <c r="U132" s="15"/>
      <c r="V132" s="15"/>
      <c r="W132" s="15"/>
      <c r="X132" s="12"/>
    </row>
    <row r="133" spans="2:24">
      <c r="B133" s="11"/>
      <c r="C133" s="15"/>
      <c r="D133" s="15"/>
      <c r="E133" s="15"/>
      <c r="F133" s="15"/>
      <c r="G133" s="15"/>
      <c r="H133" s="15"/>
      <c r="I133" s="12"/>
      <c r="K133" s="11"/>
      <c r="L133" s="15"/>
      <c r="M133" s="15"/>
      <c r="N133" s="15"/>
      <c r="O133" s="15"/>
      <c r="P133" s="15"/>
      <c r="Q133" s="15"/>
      <c r="R133" s="15"/>
      <c r="S133" s="15"/>
      <c r="T133" s="15"/>
      <c r="U133" s="15"/>
      <c r="V133" s="15"/>
      <c r="W133" s="15"/>
      <c r="X133" s="12"/>
    </row>
    <row r="134" spans="2:24">
      <c r="B134" s="11"/>
      <c r="C134" s="15"/>
      <c r="D134" s="15"/>
      <c r="E134" s="15"/>
      <c r="F134" s="15"/>
      <c r="G134" s="15"/>
      <c r="H134" s="15"/>
      <c r="I134" s="12"/>
      <c r="K134" s="11"/>
      <c r="L134" s="15"/>
      <c r="M134" s="15"/>
      <c r="N134" s="15"/>
      <c r="O134" s="15"/>
      <c r="P134" s="15"/>
      <c r="Q134" s="15"/>
      <c r="R134" s="15"/>
      <c r="S134" s="15"/>
      <c r="T134" s="15"/>
      <c r="U134" s="15"/>
      <c r="V134" s="15"/>
      <c r="W134" s="15"/>
      <c r="X134" s="12"/>
    </row>
    <row r="135" spans="2:24" ht="17" customHeight="1">
      <c r="B135" s="11"/>
      <c r="C135" s="15"/>
      <c r="D135" s="15"/>
      <c r="E135" s="15"/>
      <c r="F135" s="15"/>
      <c r="G135" s="15"/>
      <c r="H135" s="15"/>
      <c r="I135" s="12"/>
      <c r="K135" s="11"/>
      <c r="L135" s="15"/>
      <c r="M135" s="15"/>
      <c r="N135" s="15"/>
      <c r="O135" s="15"/>
      <c r="P135" s="15"/>
      <c r="Q135" s="15"/>
      <c r="R135" s="15"/>
      <c r="S135" s="15"/>
      <c r="T135" s="15"/>
      <c r="U135" s="15"/>
      <c r="V135" s="15"/>
      <c r="W135" s="15"/>
      <c r="X135" s="12"/>
    </row>
    <row r="136" spans="2:24">
      <c r="B136" s="11"/>
      <c r="C136" s="15"/>
      <c r="D136" s="15"/>
      <c r="E136" s="15"/>
      <c r="F136" s="15"/>
      <c r="G136" s="15"/>
      <c r="H136" s="15"/>
      <c r="I136" s="12"/>
      <c r="K136" s="11"/>
      <c r="L136" s="15"/>
      <c r="M136" s="15"/>
      <c r="N136" s="15"/>
      <c r="O136" s="15"/>
      <c r="P136" s="15"/>
      <c r="Q136" s="15"/>
      <c r="R136" s="15"/>
      <c r="S136" s="15"/>
      <c r="T136" s="15"/>
      <c r="U136" s="15"/>
      <c r="V136" s="15"/>
      <c r="W136" s="15"/>
      <c r="X136" s="12"/>
    </row>
    <row r="137" spans="2:24">
      <c r="B137" s="11"/>
      <c r="C137" s="15"/>
      <c r="D137" s="15"/>
      <c r="E137" s="15"/>
      <c r="F137" s="15"/>
      <c r="G137" s="15"/>
      <c r="H137" s="15"/>
      <c r="I137" s="12"/>
      <c r="K137" s="11"/>
      <c r="L137" s="15"/>
      <c r="M137" s="15"/>
      <c r="N137" s="15"/>
      <c r="O137" s="15"/>
      <c r="P137" s="15"/>
      <c r="Q137" s="15"/>
      <c r="R137" s="15"/>
      <c r="S137" s="15"/>
      <c r="T137" s="15"/>
      <c r="U137" s="15"/>
      <c r="V137" s="15"/>
      <c r="W137" s="15"/>
      <c r="X137" s="12"/>
    </row>
    <row r="138" spans="2:24">
      <c r="B138" s="11"/>
      <c r="C138" s="15"/>
      <c r="D138" s="15"/>
      <c r="E138" s="15"/>
      <c r="F138" s="15"/>
      <c r="G138" s="15"/>
      <c r="H138" s="15"/>
      <c r="I138" s="12"/>
      <c r="K138" s="11"/>
      <c r="L138" s="15"/>
      <c r="M138" s="15"/>
      <c r="N138" s="15"/>
      <c r="O138" s="15"/>
      <c r="P138" s="15"/>
      <c r="Q138" s="15"/>
      <c r="R138" s="15"/>
      <c r="S138" s="15"/>
      <c r="T138" s="15"/>
      <c r="U138" s="15"/>
      <c r="V138" s="15"/>
      <c r="W138" s="15"/>
      <c r="X138" s="12"/>
    </row>
    <row r="139" spans="2:24">
      <c r="B139" s="11"/>
      <c r="C139" s="15"/>
      <c r="D139" s="15"/>
      <c r="E139" s="15"/>
      <c r="F139" s="15"/>
      <c r="G139" s="15"/>
      <c r="H139" s="15"/>
      <c r="I139" s="12"/>
      <c r="K139" s="11"/>
      <c r="L139" s="15"/>
      <c r="M139" s="15"/>
      <c r="N139" s="15"/>
      <c r="O139" s="15"/>
      <c r="P139" s="15"/>
      <c r="Q139" s="15"/>
      <c r="R139" s="15"/>
      <c r="S139" s="15"/>
      <c r="T139" s="15"/>
      <c r="U139" s="15"/>
      <c r="V139" s="15"/>
      <c r="W139" s="15"/>
      <c r="X139" s="12"/>
    </row>
    <row r="140" spans="2:24">
      <c r="B140" s="11"/>
      <c r="C140" s="15"/>
      <c r="D140" s="15"/>
      <c r="E140" s="15"/>
      <c r="F140" s="15"/>
      <c r="G140" s="15"/>
      <c r="H140" s="15"/>
      <c r="I140" s="12"/>
      <c r="K140" s="11"/>
      <c r="L140" s="15"/>
      <c r="M140" s="15"/>
      <c r="N140" s="15"/>
      <c r="O140" s="15"/>
      <c r="P140" s="15"/>
      <c r="Q140" s="15"/>
      <c r="R140" s="15"/>
      <c r="S140" s="15"/>
      <c r="T140" s="15"/>
      <c r="U140" s="15"/>
      <c r="V140" s="15"/>
      <c r="W140" s="15"/>
      <c r="X140" s="12"/>
    </row>
    <row r="141" spans="2:24">
      <c r="B141" s="11"/>
      <c r="C141" s="15"/>
      <c r="D141" s="15"/>
      <c r="E141" s="15"/>
      <c r="F141" s="15"/>
      <c r="G141" s="15"/>
      <c r="H141" s="15"/>
      <c r="I141" s="12"/>
      <c r="K141" s="11"/>
      <c r="L141" s="15"/>
      <c r="M141" s="32"/>
      <c r="N141" s="32"/>
      <c r="O141" s="15"/>
      <c r="P141" s="15"/>
      <c r="Q141" s="15"/>
      <c r="R141" s="15"/>
      <c r="S141" s="15"/>
      <c r="T141" s="15"/>
      <c r="U141" s="15"/>
      <c r="V141" s="15"/>
      <c r="W141" s="15"/>
      <c r="X141" s="12"/>
    </row>
    <row r="142" spans="2:24">
      <c r="B142" s="11"/>
      <c r="C142" s="15"/>
      <c r="D142" s="15"/>
      <c r="E142" s="15"/>
      <c r="F142" s="15"/>
      <c r="G142" s="15"/>
      <c r="H142" s="15"/>
      <c r="I142" s="12"/>
      <c r="K142" s="11"/>
      <c r="L142" s="15"/>
      <c r="M142" s="15"/>
      <c r="N142" s="15"/>
      <c r="O142" s="15"/>
      <c r="P142" s="15"/>
      <c r="Q142" s="15"/>
      <c r="R142" s="15"/>
      <c r="S142" s="15"/>
      <c r="T142" s="15"/>
      <c r="U142" s="15"/>
      <c r="V142" s="15"/>
      <c r="W142" s="15"/>
      <c r="X142" s="12"/>
    </row>
    <row r="143" spans="2:24">
      <c r="B143" s="11"/>
      <c r="C143" s="15"/>
      <c r="D143" s="15"/>
      <c r="E143" s="15"/>
      <c r="F143" s="15"/>
      <c r="G143" s="15"/>
      <c r="H143" s="15"/>
      <c r="I143" s="12"/>
      <c r="K143" s="11"/>
      <c r="L143" s="15"/>
      <c r="M143" s="15"/>
      <c r="N143" s="15"/>
      <c r="O143" s="15"/>
      <c r="P143" s="15"/>
      <c r="Q143" s="15"/>
      <c r="R143" s="15"/>
      <c r="S143" s="15"/>
      <c r="T143" s="15"/>
      <c r="U143" s="15"/>
      <c r="V143" s="15"/>
      <c r="W143" s="15"/>
      <c r="X143" s="12"/>
    </row>
    <row r="144" spans="2:24">
      <c r="B144" s="11"/>
      <c r="C144" s="15"/>
      <c r="D144" s="15"/>
      <c r="E144" s="15"/>
      <c r="F144" s="15"/>
      <c r="G144" s="15"/>
      <c r="H144" s="15"/>
      <c r="I144" s="12"/>
      <c r="K144" s="11"/>
      <c r="L144" s="15"/>
      <c r="M144" s="15"/>
      <c r="N144" s="15"/>
      <c r="O144" s="15"/>
      <c r="P144" s="15"/>
      <c r="Q144" s="15"/>
      <c r="R144" s="15"/>
      <c r="S144" s="15"/>
      <c r="T144" s="15"/>
      <c r="U144" s="15"/>
      <c r="V144" s="15"/>
      <c r="W144" s="15"/>
      <c r="X144" s="12"/>
    </row>
    <row r="145" spans="2:24">
      <c r="B145" s="11"/>
      <c r="C145" s="15"/>
      <c r="D145" s="15"/>
      <c r="E145" s="15"/>
      <c r="F145" s="15"/>
      <c r="G145" s="15"/>
      <c r="H145" s="15"/>
      <c r="I145" s="12"/>
      <c r="K145" s="11"/>
      <c r="L145" s="15"/>
      <c r="M145" s="15"/>
      <c r="N145" s="15"/>
      <c r="O145" s="15"/>
      <c r="P145" s="15"/>
      <c r="Q145" s="15"/>
      <c r="R145" s="15"/>
      <c r="S145" s="15"/>
      <c r="T145" s="15"/>
      <c r="U145" s="15"/>
      <c r="V145" s="15"/>
      <c r="W145" s="15"/>
      <c r="X145" s="12"/>
    </row>
    <row r="146" spans="2:24">
      <c r="B146" s="11"/>
      <c r="C146" s="15"/>
      <c r="D146" s="15"/>
      <c r="E146" s="15"/>
      <c r="F146" s="15"/>
      <c r="G146" s="15"/>
      <c r="H146" s="15"/>
      <c r="I146" s="12"/>
      <c r="K146" s="11"/>
      <c r="L146" s="15"/>
      <c r="M146" s="15">
        <f>E124</f>
        <v>60</v>
      </c>
      <c r="N146" s="15">
        <v>0</v>
      </c>
      <c r="O146" s="15"/>
      <c r="P146" s="15"/>
      <c r="Q146" s="15"/>
      <c r="R146" s="15"/>
      <c r="S146" s="15"/>
      <c r="T146" s="15"/>
      <c r="U146" s="15"/>
      <c r="V146" s="15"/>
      <c r="W146" s="15"/>
      <c r="X146" s="12"/>
    </row>
    <row r="147" spans="2:24">
      <c r="B147" s="11"/>
      <c r="C147" s="15"/>
      <c r="D147" s="15"/>
      <c r="E147" s="15"/>
      <c r="F147" s="15"/>
      <c r="G147" s="15"/>
      <c r="H147" s="15"/>
      <c r="I147" s="12"/>
      <c r="K147" s="11"/>
      <c r="L147" s="15"/>
      <c r="M147" s="15">
        <f>E124</f>
        <v>60</v>
      </c>
      <c r="N147" s="15">
        <f>MAX(MAX(Observaciones!H:H),MAX(LíneaBase!L:L))</f>
        <v>10.925654140199494</v>
      </c>
      <c r="O147" s="15"/>
      <c r="P147" s="15"/>
      <c r="Q147" s="15"/>
      <c r="R147" s="15"/>
      <c r="S147" s="15"/>
      <c r="T147" s="15"/>
      <c r="U147" s="15"/>
      <c r="V147" s="15"/>
      <c r="W147" s="15"/>
      <c r="X147" s="12"/>
    </row>
    <row r="148" spans="2:24">
      <c r="B148" s="11"/>
      <c r="C148" s="15"/>
      <c r="D148" s="15"/>
      <c r="E148" s="15"/>
      <c r="F148" s="15"/>
      <c r="G148" s="15"/>
      <c r="H148" s="15"/>
      <c r="I148" s="12"/>
      <c r="K148" s="11"/>
      <c r="L148" s="15"/>
      <c r="M148" s="15"/>
      <c r="N148" s="15"/>
      <c r="O148" s="15"/>
      <c r="P148" s="15"/>
      <c r="Q148" s="15"/>
      <c r="R148" s="15"/>
      <c r="S148" s="15"/>
      <c r="T148" s="15"/>
      <c r="U148" s="15"/>
      <c r="V148" s="15"/>
      <c r="W148" s="15"/>
      <c r="X148" s="12"/>
    </row>
    <row r="149" spans="2:24" ht="14.5" thickBot="1">
      <c r="B149" s="11"/>
      <c r="C149" s="15"/>
      <c r="D149" s="15"/>
      <c r="E149" s="15"/>
      <c r="F149" s="15"/>
      <c r="G149" s="15"/>
      <c r="H149" s="15"/>
      <c r="I149" s="12"/>
      <c r="K149" s="11"/>
      <c r="L149" s="15"/>
      <c r="M149" s="15"/>
      <c r="N149" s="15"/>
      <c r="O149" s="15"/>
      <c r="P149" s="15"/>
      <c r="Q149" s="15"/>
      <c r="R149" s="15"/>
      <c r="S149" s="15"/>
      <c r="T149" s="15"/>
      <c r="U149" s="15"/>
      <c r="V149" s="15"/>
      <c r="W149" s="15"/>
      <c r="X149" s="12"/>
    </row>
    <row r="150" spans="2:24" ht="25.5" thickBot="1">
      <c r="B150" s="11"/>
      <c r="C150" s="208" t="s">
        <v>317</v>
      </c>
      <c r="D150" s="209"/>
      <c r="E150" s="209"/>
      <c r="F150" s="209"/>
      <c r="G150" s="209"/>
      <c r="H150" s="210"/>
      <c r="I150" s="12"/>
      <c r="K150" s="11"/>
      <c r="L150" s="15"/>
      <c r="M150" s="15"/>
      <c r="N150" s="15"/>
      <c r="O150" s="15"/>
      <c r="P150" s="15"/>
      <c r="Q150" s="15"/>
      <c r="R150" s="15"/>
      <c r="S150" s="15"/>
      <c r="T150" s="15"/>
      <c r="U150" s="15"/>
      <c r="V150" s="15"/>
      <c r="W150" s="15"/>
      <c r="X150" s="12"/>
    </row>
    <row r="151" spans="2:24">
      <c r="B151" s="11"/>
      <c r="C151" s="15"/>
      <c r="D151" s="16"/>
      <c r="E151" s="16"/>
      <c r="F151" s="16"/>
      <c r="G151" s="15"/>
      <c r="H151" s="15"/>
      <c r="I151" s="12"/>
      <c r="K151" s="11"/>
      <c r="L151" s="15"/>
      <c r="M151" s="15"/>
      <c r="N151" s="15"/>
      <c r="O151" s="15"/>
      <c r="P151" s="15"/>
      <c r="Q151" s="15"/>
      <c r="R151" s="15"/>
      <c r="S151" s="15"/>
      <c r="T151" s="15"/>
      <c r="U151" s="15"/>
      <c r="V151" s="15"/>
      <c r="W151" s="15"/>
      <c r="X151" s="12"/>
    </row>
    <row r="152" spans="2:24">
      <c r="B152" s="11"/>
      <c r="C152" s="17" t="s">
        <v>97</v>
      </c>
      <c r="D152" s="18" t="s">
        <v>46</v>
      </c>
      <c r="E152" s="18" t="s">
        <v>49</v>
      </c>
      <c r="F152" s="18" t="s">
        <v>48</v>
      </c>
      <c r="G152" s="15"/>
      <c r="H152" s="15"/>
      <c r="I152" s="12"/>
      <c r="K152" s="11"/>
      <c r="L152" s="15"/>
      <c r="M152" s="15"/>
      <c r="N152" s="15"/>
      <c r="O152" s="15"/>
      <c r="P152" s="15"/>
      <c r="Q152" s="15"/>
      <c r="R152" s="15"/>
      <c r="S152" s="15"/>
      <c r="T152" s="15"/>
      <c r="U152" s="15"/>
      <c r="V152" s="15"/>
      <c r="W152" s="15"/>
      <c r="X152" s="12"/>
    </row>
    <row r="153" spans="2:24">
      <c r="B153" s="11"/>
      <c r="C153" s="15" t="s">
        <v>96</v>
      </c>
      <c r="D153" s="16"/>
      <c r="E153" s="19">
        <v>60</v>
      </c>
      <c r="F153" s="16"/>
      <c r="G153" s="15"/>
      <c r="H153" s="15"/>
      <c r="I153" s="12"/>
      <c r="K153" s="11"/>
      <c r="L153" s="15"/>
      <c r="M153" s="15"/>
      <c r="N153" s="15"/>
      <c r="O153" s="15"/>
      <c r="P153" s="15"/>
      <c r="Q153" s="15"/>
      <c r="R153" s="15"/>
      <c r="S153" s="15"/>
      <c r="T153" s="15"/>
      <c r="U153" s="15"/>
      <c r="V153" s="15"/>
      <c r="W153" s="15"/>
      <c r="X153" s="12"/>
    </row>
    <row r="154" spans="2:24">
      <c r="B154" s="11"/>
      <c r="C154" s="138" t="s">
        <v>42</v>
      </c>
      <c r="D154" s="21">
        <f>1-SUM(EvaluaciónE1!H:H)/SUM(EvaluaciónE1!I:I)</f>
        <v>0.3534598443409237</v>
      </c>
      <c r="E154" s="19">
        <v>0.5</v>
      </c>
      <c r="F154" s="23" t="str">
        <f>IF(D154&gt;=E154,"SI","NO")</f>
        <v>NO</v>
      </c>
      <c r="G154" s="15"/>
      <c r="H154" s="15"/>
      <c r="I154" s="12"/>
      <c r="K154" s="11"/>
      <c r="L154" s="15"/>
      <c r="M154" s="15"/>
      <c r="N154" s="15"/>
      <c r="O154" s="15"/>
      <c r="P154" s="15"/>
      <c r="Q154" s="15"/>
      <c r="R154" s="15"/>
      <c r="S154" s="15"/>
      <c r="T154" s="15"/>
      <c r="U154" s="15"/>
      <c r="V154" s="15"/>
      <c r="W154" s="15"/>
      <c r="X154" s="12"/>
    </row>
    <row r="155" spans="2:24">
      <c r="B155" s="11"/>
      <c r="C155" s="15" t="s">
        <v>120</v>
      </c>
      <c r="D155" s="20">
        <f>SQRT(SUM(EvaluaciónE1!H:H)/COUNT(EvaluaciónE1!C:C))</f>
        <v>0.5632119733435873</v>
      </c>
      <c r="E155" s="19">
        <v>0.4</v>
      </c>
      <c r="F155" s="23" t="str">
        <f>IF(D155&lt;=E155,"SI","NO")</f>
        <v>NO</v>
      </c>
      <c r="G155" s="15"/>
      <c r="H155" s="15"/>
      <c r="I155" s="12"/>
      <c r="K155" s="11"/>
      <c r="L155" s="15"/>
      <c r="M155" s="15"/>
      <c r="N155" s="15"/>
      <c r="O155" s="15"/>
      <c r="P155" s="15"/>
      <c r="Q155" s="15"/>
      <c r="R155" s="15"/>
      <c r="S155" s="15"/>
      <c r="T155" s="15"/>
      <c r="U155" s="15"/>
      <c r="V155" s="15"/>
      <c r="W155" s="15"/>
      <c r="X155" s="12"/>
    </row>
    <row r="156" spans="2:24">
      <c r="B156" s="11"/>
      <c r="C156" s="138" t="s">
        <v>43</v>
      </c>
      <c r="D156" s="21">
        <f>SQRT(SUM(EvaluaciónE1!H:H))/SQRT(SUM(EvaluaciónE1!I:I))</f>
        <v>0.80407720752367828</v>
      </c>
      <c r="E156" s="19">
        <v>0.7</v>
      </c>
      <c r="F156" s="23" t="str">
        <f>IF(D156&lt;=E156,"SI","NO")</f>
        <v>NO</v>
      </c>
      <c r="G156" s="15"/>
      <c r="H156" s="15"/>
      <c r="I156" s="12"/>
      <c r="K156" s="11"/>
      <c r="L156" s="15"/>
      <c r="M156" s="15"/>
      <c r="N156" s="15"/>
      <c r="O156" s="15"/>
      <c r="P156" s="15"/>
      <c r="Q156" s="15"/>
      <c r="R156" s="15"/>
      <c r="S156" s="15"/>
      <c r="T156" s="15"/>
      <c r="U156" s="15"/>
      <c r="V156" s="15"/>
      <c r="W156" s="15"/>
      <c r="X156" s="12"/>
    </row>
    <row r="157" spans="2:24">
      <c r="B157" s="11"/>
      <c r="C157" s="138" t="s">
        <v>121</v>
      </c>
      <c r="D157" s="24">
        <f>SUM(EvaluaciónE1!F:F)/SUM(EvaluaciónE1!D:D)</f>
        <v>-6.1426096376675024E-2</v>
      </c>
      <c r="E157" s="87">
        <v>0.25</v>
      </c>
      <c r="F157" s="23" t="str">
        <f>IF(ABS(D157)&lt;=ABS(E157),"SI","NO")</f>
        <v>SI</v>
      </c>
      <c r="G157" s="15"/>
      <c r="H157" s="15"/>
      <c r="I157" s="12"/>
      <c r="K157" s="11"/>
      <c r="L157" s="15"/>
      <c r="M157" s="15"/>
      <c r="N157" s="15"/>
      <c r="O157" s="15"/>
      <c r="P157" s="15"/>
      <c r="Q157" s="15"/>
      <c r="R157" s="15"/>
      <c r="S157" s="15"/>
      <c r="T157" s="15"/>
      <c r="U157" s="15"/>
      <c r="V157" s="15"/>
      <c r="W157" s="15"/>
      <c r="X157" s="12"/>
    </row>
    <row r="158" spans="2:24">
      <c r="B158" s="11"/>
      <c r="C158" s="138" t="s">
        <v>44</v>
      </c>
      <c r="D158" s="21">
        <f>1-SQRT((SUM(EvaluaciónE1!L:L)/SQRT(SUM(EvaluaciónE1!I:I)*SUM(EvaluaciónE1!K:K))-1)^2+(STDEV(EvaluaciónE1!E:E)/STDEV(EvaluaciónE1!D:D)-1)^2+(AVERAGE(EvaluaciónE1!E:E)/AVERAGE(EvaluaciónE1!D:D)-1)^2)</f>
        <v>0.54001080107059052</v>
      </c>
      <c r="E158" s="19">
        <v>0.5</v>
      </c>
      <c r="F158" s="23" t="str">
        <f>IF(D158&gt;=E158,"SI","NO")</f>
        <v>SI</v>
      </c>
      <c r="G158" s="15"/>
      <c r="H158" s="15"/>
      <c r="I158" s="12"/>
      <c r="K158" s="11"/>
      <c r="L158" s="15"/>
      <c r="M158" s="15"/>
      <c r="N158" s="15"/>
      <c r="O158" s="15"/>
      <c r="P158" s="15"/>
      <c r="Q158" s="15"/>
      <c r="R158" s="15"/>
      <c r="S158" s="15"/>
      <c r="T158" s="15"/>
      <c r="U158" s="15"/>
      <c r="V158" s="15"/>
      <c r="W158" s="15"/>
      <c r="X158" s="12"/>
    </row>
    <row r="159" spans="2:24">
      <c r="B159" s="11"/>
      <c r="C159" s="138" t="s">
        <v>45</v>
      </c>
      <c r="D159" s="20">
        <f>SQRT((D154-1)^2+D155^2+D156^2+D157^2+(D158-1)^2)</f>
        <v>1.2637742218862169</v>
      </c>
      <c r="E159" s="99">
        <f>SQRT((E154-1)^2+E155^2+E156^2+E157^2+(E158-1)^2)</f>
        <v>1.1011357772772621</v>
      </c>
      <c r="F159" s="23" t="str">
        <f>IF(D159&lt;=E159,"SI","NO")</f>
        <v>NO</v>
      </c>
      <c r="G159" s="15"/>
      <c r="H159" s="15"/>
      <c r="I159" s="12"/>
      <c r="K159" s="11"/>
      <c r="L159" s="15"/>
      <c r="M159" s="15"/>
      <c r="N159" s="15"/>
      <c r="O159" s="15"/>
      <c r="P159" s="15"/>
      <c r="Q159" s="15"/>
      <c r="R159" s="15"/>
      <c r="S159" s="15"/>
      <c r="T159" s="15"/>
      <c r="U159" s="15"/>
      <c r="V159" s="15"/>
      <c r="W159" s="15"/>
      <c r="X159" s="12"/>
    </row>
    <row r="160" spans="2:24">
      <c r="B160" s="11"/>
      <c r="C160" s="15"/>
      <c r="D160" s="15"/>
      <c r="E160" s="15"/>
      <c r="F160" s="15"/>
      <c r="G160" s="15"/>
      <c r="H160" s="15"/>
      <c r="I160" s="12"/>
      <c r="K160" s="11"/>
      <c r="L160" s="15"/>
      <c r="M160" s="15"/>
      <c r="N160" s="15"/>
      <c r="O160" s="15"/>
      <c r="P160" s="15"/>
      <c r="Q160" s="15"/>
      <c r="R160" s="15"/>
      <c r="S160" s="15"/>
      <c r="T160" s="15"/>
      <c r="U160" s="15"/>
      <c r="V160" s="15"/>
      <c r="W160" s="15"/>
      <c r="X160" s="12"/>
    </row>
    <row r="161" spans="2:24">
      <c r="B161" s="11"/>
      <c r="C161" s="15"/>
      <c r="D161" s="15"/>
      <c r="E161" s="15"/>
      <c r="F161" s="15"/>
      <c r="G161" s="15"/>
      <c r="H161" s="15"/>
      <c r="I161" s="12"/>
      <c r="K161" s="11"/>
      <c r="L161" s="15"/>
      <c r="M161" s="15"/>
      <c r="N161" s="15"/>
      <c r="O161" s="15"/>
      <c r="P161" s="15"/>
      <c r="Q161" s="15"/>
      <c r="R161" s="15"/>
      <c r="S161" s="15"/>
      <c r="T161" s="15"/>
      <c r="U161" s="15"/>
      <c r="V161" s="15"/>
      <c r="W161" s="15"/>
      <c r="X161" s="12"/>
    </row>
    <row r="162" spans="2:24">
      <c r="B162" s="11"/>
      <c r="C162" s="15"/>
      <c r="D162" s="15"/>
      <c r="E162" s="15"/>
      <c r="F162" s="15"/>
      <c r="G162" s="15"/>
      <c r="H162" s="15"/>
      <c r="I162" s="12"/>
      <c r="K162" s="11"/>
      <c r="L162" s="15"/>
      <c r="M162" s="15"/>
      <c r="N162" s="15"/>
      <c r="O162" s="15"/>
      <c r="P162" s="15"/>
      <c r="Q162" s="15"/>
      <c r="R162" s="15"/>
      <c r="S162" s="15"/>
      <c r="T162" s="15"/>
      <c r="U162" s="15"/>
      <c r="V162" s="15"/>
      <c r="W162" s="15"/>
      <c r="X162" s="12"/>
    </row>
    <row r="163" spans="2:24">
      <c r="B163" s="11"/>
      <c r="C163" s="15"/>
      <c r="D163" s="15"/>
      <c r="E163" s="15"/>
      <c r="F163" s="15"/>
      <c r="G163" s="15"/>
      <c r="H163" s="15"/>
      <c r="I163" s="12"/>
      <c r="K163" s="11"/>
      <c r="L163" s="15"/>
      <c r="M163" s="15"/>
      <c r="N163" s="15"/>
      <c r="O163" s="15"/>
      <c r="P163" s="15"/>
      <c r="Q163" s="15"/>
      <c r="R163" s="15"/>
      <c r="S163" s="15"/>
      <c r="T163" s="15"/>
      <c r="U163" s="15"/>
      <c r="V163" s="15"/>
      <c r="W163" s="15"/>
      <c r="X163" s="12"/>
    </row>
    <row r="164" spans="2:24">
      <c r="B164" s="11"/>
      <c r="C164" s="15"/>
      <c r="D164" s="15"/>
      <c r="E164" s="15"/>
      <c r="F164" s="15"/>
      <c r="G164" s="15"/>
      <c r="H164" s="15"/>
      <c r="I164" s="12"/>
      <c r="K164" s="11"/>
      <c r="L164" s="15"/>
      <c r="M164" s="15"/>
      <c r="N164" s="15"/>
      <c r="O164" s="15"/>
      <c r="P164" s="15"/>
      <c r="Q164" s="15"/>
      <c r="R164" s="15"/>
      <c r="S164" s="15"/>
      <c r="T164" s="15"/>
      <c r="U164" s="15"/>
      <c r="V164" s="15"/>
      <c r="W164" s="15"/>
      <c r="X164" s="12"/>
    </row>
    <row r="165" spans="2:24">
      <c r="B165" s="11"/>
      <c r="C165" s="15"/>
      <c r="D165" s="15"/>
      <c r="E165" s="15"/>
      <c r="F165" s="15"/>
      <c r="G165" s="15"/>
      <c r="H165" s="15"/>
      <c r="I165" s="12"/>
      <c r="K165" s="11"/>
      <c r="L165" s="15"/>
      <c r="M165" s="15"/>
      <c r="N165" s="15"/>
      <c r="O165" s="15"/>
      <c r="P165" s="15"/>
      <c r="Q165" s="15"/>
      <c r="R165" s="15"/>
      <c r="S165" s="15"/>
      <c r="T165" s="15"/>
      <c r="U165" s="15"/>
      <c r="V165" s="15"/>
      <c r="W165" s="15"/>
      <c r="X165" s="12"/>
    </row>
    <row r="166" spans="2:24">
      <c r="B166" s="11"/>
      <c r="C166" s="15"/>
      <c r="D166" s="15"/>
      <c r="E166" s="15"/>
      <c r="F166" s="15"/>
      <c r="G166" s="15"/>
      <c r="H166" s="15"/>
      <c r="I166" s="12"/>
      <c r="K166" s="11"/>
      <c r="L166" s="15"/>
      <c r="M166" s="15"/>
      <c r="N166" s="15"/>
      <c r="O166" s="15"/>
      <c r="P166" s="15"/>
      <c r="Q166" s="15"/>
      <c r="R166" s="15"/>
      <c r="S166" s="15"/>
      <c r="T166" s="15"/>
      <c r="U166" s="15"/>
      <c r="V166" s="15"/>
      <c r="W166" s="15"/>
      <c r="X166" s="12"/>
    </row>
    <row r="167" spans="2:24">
      <c r="B167" s="11"/>
      <c r="C167" s="15"/>
      <c r="D167" s="15"/>
      <c r="E167" s="15"/>
      <c r="F167" s="15"/>
      <c r="G167" s="15"/>
      <c r="H167" s="15"/>
      <c r="I167" s="12"/>
      <c r="K167" s="11"/>
      <c r="L167" s="15"/>
      <c r="M167" s="15"/>
      <c r="N167" s="15"/>
      <c r="O167" s="15"/>
      <c r="P167" s="15"/>
      <c r="Q167" s="15"/>
      <c r="R167" s="15"/>
      <c r="S167" s="15"/>
      <c r="T167" s="15"/>
      <c r="U167" s="15"/>
      <c r="V167" s="15"/>
      <c r="W167" s="15"/>
      <c r="X167" s="12"/>
    </row>
    <row r="168" spans="2:24">
      <c r="B168" s="11"/>
      <c r="C168" s="15"/>
      <c r="D168" s="15"/>
      <c r="E168" s="15"/>
      <c r="F168" s="15"/>
      <c r="G168" s="15"/>
      <c r="H168" s="15"/>
      <c r="I168" s="12"/>
      <c r="K168" s="11"/>
      <c r="L168" s="15"/>
      <c r="M168" s="15"/>
      <c r="N168" s="15"/>
      <c r="O168" s="15"/>
      <c r="P168" s="15"/>
      <c r="Q168" s="15"/>
      <c r="R168" s="15"/>
      <c r="S168" s="15"/>
      <c r="T168" s="15"/>
      <c r="U168" s="15"/>
      <c r="V168" s="15"/>
      <c r="W168" s="15"/>
      <c r="X168" s="12"/>
    </row>
    <row r="169" spans="2:24">
      <c r="B169" s="11"/>
      <c r="C169" s="15"/>
      <c r="D169" s="15"/>
      <c r="E169" s="15"/>
      <c r="F169" s="15"/>
      <c r="G169" s="15"/>
      <c r="H169" s="15"/>
      <c r="I169" s="12"/>
      <c r="K169" s="11"/>
      <c r="L169" s="15"/>
      <c r="M169" s="15"/>
      <c r="N169" s="15"/>
      <c r="O169" s="15"/>
      <c r="P169" s="15"/>
      <c r="Q169" s="15"/>
      <c r="R169" s="15"/>
      <c r="S169" s="15"/>
      <c r="T169" s="15"/>
      <c r="U169" s="15"/>
      <c r="V169" s="15"/>
      <c r="W169" s="15"/>
      <c r="X169" s="12"/>
    </row>
    <row r="170" spans="2:24">
      <c r="B170" s="11"/>
      <c r="C170" s="15"/>
      <c r="D170" s="15"/>
      <c r="E170" s="15"/>
      <c r="F170" s="15"/>
      <c r="G170" s="15"/>
      <c r="H170" s="15"/>
      <c r="I170" s="12"/>
      <c r="K170" s="11"/>
      <c r="L170" s="15"/>
      <c r="M170" s="15"/>
      <c r="N170" s="15"/>
      <c r="O170" s="15"/>
      <c r="P170" s="15"/>
      <c r="Q170" s="15"/>
      <c r="R170" s="15"/>
      <c r="S170" s="15"/>
      <c r="T170" s="15"/>
      <c r="U170" s="15"/>
      <c r="V170" s="15"/>
      <c r="W170" s="15"/>
      <c r="X170" s="12"/>
    </row>
    <row r="171" spans="2:24">
      <c r="B171" s="11"/>
      <c r="C171" s="15"/>
      <c r="D171" s="15"/>
      <c r="E171" s="15"/>
      <c r="F171" s="15"/>
      <c r="G171" s="15"/>
      <c r="H171" s="15"/>
      <c r="I171" s="12"/>
      <c r="K171" s="11"/>
      <c r="L171" s="15"/>
      <c r="M171" s="15"/>
      <c r="N171" s="15"/>
      <c r="O171" s="15"/>
      <c r="P171" s="15"/>
      <c r="Q171" s="15"/>
      <c r="R171" s="15"/>
      <c r="S171" s="15"/>
      <c r="T171" s="15"/>
      <c r="U171" s="15"/>
      <c r="V171" s="15"/>
      <c r="W171" s="15"/>
      <c r="X171" s="12"/>
    </row>
    <row r="172" spans="2:24">
      <c r="B172" s="11"/>
      <c r="C172" s="15"/>
      <c r="D172" s="15"/>
      <c r="E172" s="15"/>
      <c r="F172" s="15"/>
      <c r="G172" s="15"/>
      <c r="H172" s="15"/>
      <c r="I172" s="12"/>
      <c r="K172" s="11"/>
      <c r="L172" s="15"/>
      <c r="M172" s="15"/>
      <c r="N172" s="15"/>
      <c r="O172" s="15"/>
      <c r="P172" s="15"/>
      <c r="Q172" s="15"/>
      <c r="R172" s="15"/>
      <c r="S172" s="15"/>
      <c r="T172" s="15"/>
      <c r="U172" s="15"/>
      <c r="V172" s="15"/>
      <c r="W172" s="15"/>
      <c r="X172" s="12"/>
    </row>
    <row r="173" spans="2:24">
      <c r="B173" s="11"/>
      <c r="C173" s="15"/>
      <c r="D173" s="15"/>
      <c r="E173" s="15"/>
      <c r="F173" s="15"/>
      <c r="G173" s="15"/>
      <c r="H173" s="15"/>
      <c r="I173" s="12"/>
      <c r="K173" s="11"/>
      <c r="L173" s="15"/>
      <c r="M173" s="15"/>
      <c r="N173" s="15"/>
      <c r="O173" s="15"/>
      <c r="P173" s="15"/>
      <c r="Q173" s="15"/>
      <c r="R173" s="15"/>
      <c r="S173" s="15"/>
      <c r="T173" s="15"/>
      <c r="U173" s="15"/>
      <c r="V173" s="15"/>
      <c r="W173" s="15"/>
      <c r="X173" s="12"/>
    </row>
    <row r="174" spans="2:24">
      <c r="B174" s="11"/>
      <c r="C174" s="15"/>
      <c r="D174" s="15"/>
      <c r="E174" s="15"/>
      <c r="F174" s="15"/>
      <c r="G174" s="15"/>
      <c r="H174" s="15"/>
      <c r="I174" s="12"/>
      <c r="K174" s="11"/>
      <c r="L174" s="15"/>
      <c r="M174" s="15"/>
      <c r="N174" s="15"/>
      <c r="O174" s="15"/>
      <c r="P174" s="15"/>
      <c r="Q174" s="15"/>
      <c r="R174" s="15"/>
      <c r="S174" s="15"/>
      <c r="T174" s="15"/>
      <c r="U174" s="15"/>
      <c r="V174" s="15"/>
      <c r="W174" s="15"/>
      <c r="X174" s="12"/>
    </row>
    <row r="175" spans="2:24">
      <c r="B175" s="11"/>
      <c r="C175" s="15"/>
      <c r="D175" s="15"/>
      <c r="E175" s="15"/>
      <c r="F175" s="15"/>
      <c r="G175" s="15"/>
      <c r="H175" s="15"/>
      <c r="I175" s="12"/>
      <c r="K175" s="11"/>
      <c r="L175" s="15"/>
      <c r="M175" s="15">
        <f>E153</f>
        <v>60</v>
      </c>
      <c r="N175" s="15">
        <v>0</v>
      </c>
      <c r="O175" s="15"/>
      <c r="P175" s="15"/>
      <c r="Q175" s="15"/>
      <c r="R175" s="15"/>
      <c r="S175" s="15"/>
      <c r="T175" s="15"/>
      <c r="U175" s="15"/>
      <c r="V175" s="15"/>
      <c r="W175" s="15"/>
      <c r="X175" s="12"/>
    </row>
    <row r="176" spans="2:24">
      <c r="B176" s="11"/>
      <c r="C176" s="15"/>
      <c r="D176" s="15"/>
      <c r="E176" s="15"/>
      <c r="F176" s="15"/>
      <c r="G176" s="15"/>
      <c r="H176" s="15"/>
      <c r="I176" s="12"/>
      <c r="K176" s="11"/>
      <c r="L176" s="15"/>
      <c r="M176" s="15">
        <f>E153</f>
        <v>60</v>
      </c>
      <c r="N176" s="15">
        <f>MAX(MAX(Observaciones!L:L),MAX(Escenario1!BN:BN))</f>
        <v>9.7231703399355904</v>
      </c>
      <c r="O176" s="15"/>
      <c r="P176" s="15"/>
      <c r="Q176" s="15"/>
      <c r="R176" s="15"/>
      <c r="S176" s="15"/>
      <c r="T176" s="15"/>
      <c r="U176" s="15"/>
      <c r="V176" s="15"/>
      <c r="W176" s="15"/>
      <c r="X176" s="12"/>
    </row>
    <row r="177" spans="2:24">
      <c r="B177" s="11"/>
      <c r="C177" s="15"/>
      <c r="D177" s="15"/>
      <c r="E177" s="15"/>
      <c r="F177" s="15"/>
      <c r="G177" s="15"/>
      <c r="H177" s="15"/>
      <c r="I177" s="12"/>
      <c r="K177" s="11"/>
      <c r="L177" s="15"/>
      <c r="M177" s="15"/>
      <c r="N177" s="15"/>
      <c r="O177" s="15"/>
      <c r="P177" s="15"/>
      <c r="Q177" s="15"/>
      <c r="R177" s="15"/>
      <c r="S177" s="15"/>
      <c r="T177" s="15"/>
      <c r="U177" s="15"/>
      <c r="V177" s="15"/>
      <c r="W177" s="15"/>
      <c r="X177" s="12"/>
    </row>
    <row r="178" spans="2:24" ht="14.5" thickBot="1">
      <c r="B178" s="33"/>
      <c r="C178" s="34"/>
      <c r="D178" s="34"/>
      <c r="E178" s="34"/>
      <c r="F178" s="34"/>
      <c r="G178" s="34"/>
      <c r="H178" s="34"/>
      <c r="I178" s="35"/>
      <c r="K178" s="33"/>
      <c r="L178" s="34"/>
      <c r="M178" s="34"/>
      <c r="N178" s="34"/>
      <c r="O178" s="34"/>
      <c r="P178" s="34"/>
      <c r="Q178" s="34"/>
      <c r="R178" s="34"/>
      <c r="S178" s="34"/>
      <c r="T178" s="34"/>
      <c r="U178" s="34"/>
      <c r="V178" s="34"/>
      <c r="W178" s="34"/>
      <c r="X178" s="35"/>
    </row>
    <row r="179" spans="2:24">
      <c r="C179" s="2"/>
      <c r="D179" s="2"/>
      <c r="E179" s="2"/>
      <c r="F179" s="2"/>
      <c r="G179" s="2"/>
      <c r="H179" s="2"/>
    </row>
    <row r="180" spans="2:24">
      <c r="C180" s="2"/>
      <c r="D180" s="2"/>
      <c r="E180" s="2"/>
      <c r="F180" s="2"/>
      <c r="G180" s="2"/>
      <c r="H180" s="2"/>
    </row>
    <row r="181" spans="2:24">
      <c r="C181" s="2"/>
      <c r="D181" s="2"/>
      <c r="E181" s="2"/>
      <c r="F181" s="2"/>
      <c r="G181" s="2"/>
      <c r="H181" s="2"/>
    </row>
    <row r="182" spans="2:24">
      <c r="C182" s="2"/>
      <c r="D182" s="2"/>
      <c r="E182" s="2"/>
      <c r="F182" s="2"/>
      <c r="G182" s="2"/>
      <c r="H182" s="2"/>
    </row>
    <row r="183" spans="2:24">
      <c r="C183" s="2"/>
      <c r="D183" s="2"/>
      <c r="E183" s="2"/>
      <c r="F183" s="2"/>
      <c r="G183" s="2"/>
      <c r="H183" s="2"/>
    </row>
    <row r="184" spans="2:24">
      <c r="C184" s="2"/>
      <c r="D184" s="2"/>
      <c r="E184" s="2"/>
      <c r="F184" s="2"/>
      <c r="G184" s="2"/>
      <c r="H184" s="2"/>
    </row>
    <row r="185" spans="2:24">
      <c r="C185" s="2"/>
      <c r="D185" s="2"/>
      <c r="E185" s="2"/>
      <c r="F185" s="2"/>
      <c r="G185" s="2"/>
      <c r="H185" s="2"/>
    </row>
    <row r="186" spans="2:24">
      <c r="C186" s="2"/>
      <c r="D186" s="2"/>
      <c r="E186" s="2"/>
      <c r="F186" s="2"/>
      <c r="G186" s="2"/>
      <c r="H186" s="2"/>
    </row>
    <row r="187" spans="2:24">
      <c r="C187" s="2"/>
      <c r="D187" s="2"/>
      <c r="E187" s="2"/>
      <c r="F187" s="2"/>
      <c r="G187" s="2"/>
      <c r="H187" s="2"/>
    </row>
    <row r="188" spans="2:24">
      <c r="C188" s="2"/>
      <c r="D188" s="2"/>
      <c r="E188" s="2"/>
      <c r="F188" s="2"/>
      <c r="G188" s="2"/>
      <c r="H188" s="2"/>
    </row>
    <row r="189" spans="2:24">
      <c r="C189" s="2"/>
      <c r="D189" s="2"/>
      <c r="E189" s="2"/>
      <c r="F189" s="2"/>
      <c r="G189" s="2"/>
      <c r="H189" s="2"/>
    </row>
    <row r="190" spans="2:24">
      <c r="C190" s="2"/>
      <c r="D190" s="2"/>
      <c r="E190" s="2"/>
      <c r="F190" s="2"/>
      <c r="G190" s="2"/>
      <c r="H190" s="2"/>
    </row>
    <row r="191" spans="2:24">
      <c r="C191" s="2"/>
      <c r="D191" s="2"/>
      <c r="E191" s="2"/>
      <c r="F191" s="2"/>
      <c r="G191" s="2"/>
      <c r="H191" s="2"/>
    </row>
    <row r="192" spans="2:24">
      <c r="C192" s="2"/>
      <c r="D192" s="2"/>
      <c r="E192" s="2"/>
      <c r="F192" s="2"/>
      <c r="G192" s="2"/>
      <c r="H192" s="2"/>
    </row>
    <row r="193" spans="3:8">
      <c r="C193" s="2"/>
      <c r="D193" s="2"/>
      <c r="E193" s="2"/>
      <c r="F193" s="2"/>
      <c r="G193" s="2"/>
      <c r="H193" s="2"/>
    </row>
    <row r="194" spans="3:8">
      <c r="C194" s="2"/>
      <c r="D194" s="2"/>
      <c r="E194" s="2"/>
      <c r="F194" s="2"/>
      <c r="G194" s="2"/>
      <c r="H194" s="2"/>
    </row>
    <row r="195" spans="3:8">
      <c r="C195" s="2"/>
      <c r="D195" s="2"/>
      <c r="E195" s="2"/>
      <c r="F195" s="2"/>
      <c r="G195" s="2"/>
      <c r="H195" s="2"/>
    </row>
    <row r="196" spans="3:8">
      <c r="C196" s="2"/>
      <c r="D196" s="2"/>
      <c r="E196" s="2"/>
      <c r="F196" s="2"/>
      <c r="G196" s="2"/>
      <c r="H196" s="2"/>
    </row>
    <row r="197" spans="3:8">
      <c r="C197" s="2"/>
      <c r="D197" s="2"/>
      <c r="E197" s="2"/>
      <c r="F197" s="2"/>
      <c r="G197" s="2"/>
      <c r="H197" s="2"/>
    </row>
    <row r="198" spans="3:8">
      <c r="C198" s="2"/>
      <c r="D198" s="2"/>
      <c r="E198" s="2"/>
      <c r="F198" s="2"/>
      <c r="G198" s="2"/>
      <c r="H198" s="2"/>
    </row>
    <row r="199" spans="3:8">
      <c r="C199" s="2"/>
      <c r="D199" s="2"/>
      <c r="E199" s="2"/>
      <c r="F199" s="2"/>
      <c r="G199" s="2"/>
      <c r="H199" s="2"/>
    </row>
    <row r="200" spans="3:8">
      <c r="C200" s="2"/>
      <c r="D200" s="2"/>
      <c r="E200" s="2"/>
      <c r="F200" s="2"/>
      <c r="G200" s="2"/>
      <c r="H200" s="2"/>
    </row>
    <row r="201" spans="3:8">
      <c r="C201" s="2"/>
      <c r="D201" s="2"/>
      <c r="E201" s="2"/>
      <c r="F201" s="2"/>
      <c r="G201" s="2"/>
      <c r="H201" s="2"/>
    </row>
    <row r="202" spans="3:8">
      <c r="C202" s="2"/>
      <c r="D202" s="2"/>
      <c r="E202" s="2"/>
      <c r="F202" s="2"/>
      <c r="G202" s="2"/>
      <c r="H202" s="2"/>
    </row>
    <row r="203" spans="3:8">
      <c r="C203" s="2"/>
      <c r="D203" s="2"/>
      <c r="E203" s="2"/>
      <c r="F203" s="2"/>
      <c r="G203" s="2"/>
      <c r="H203" s="2"/>
    </row>
    <row r="204" spans="3:8">
      <c r="C204" s="2"/>
      <c r="D204" s="2"/>
      <c r="E204" s="2"/>
      <c r="F204" s="2"/>
      <c r="G204" s="2"/>
      <c r="H204" s="2"/>
    </row>
    <row r="205" spans="3:8">
      <c r="C205" s="2"/>
      <c r="D205" s="2"/>
      <c r="E205" s="2"/>
      <c r="F205" s="2"/>
      <c r="G205" s="2"/>
      <c r="H205" s="2"/>
    </row>
  </sheetData>
  <sheetProtection sheet="1" objects="1" scenarios="1"/>
  <mergeCells count="35">
    <mergeCell ref="R46:R47"/>
    <mergeCell ref="L13:O13"/>
    <mergeCell ref="L51:L53"/>
    <mergeCell ref="V91:V92"/>
    <mergeCell ref="O14:O15"/>
    <mergeCell ref="L57:L59"/>
    <mergeCell ref="C3:H3"/>
    <mergeCell ref="C121:H121"/>
    <mergeCell ref="T90:V90"/>
    <mergeCell ref="N14:N15"/>
    <mergeCell ref="L46:L47"/>
    <mergeCell ref="M46:M47"/>
    <mergeCell ref="N46:O46"/>
    <mergeCell ref="L54:L56"/>
    <mergeCell ref="P46:P47"/>
    <mergeCell ref="T91:T92"/>
    <mergeCell ref="U91:U92"/>
    <mergeCell ref="L45:R45"/>
    <mergeCell ref="M14:M15"/>
    <mergeCell ref="L48:L50"/>
    <mergeCell ref="Q46:Q47"/>
    <mergeCell ref="L14:L15"/>
    <mergeCell ref="C150:H150"/>
    <mergeCell ref="C61:H61"/>
    <mergeCell ref="C73:H73"/>
    <mergeCell ref="C5:H5"/>
    <mergeCell ref="G21:H24"/>
    <mergeCell ref="C43:H43"/>
    <mergeCell ref="C88:H88"/>
    <mergeCell ref="G25:H32"/>
    <mergeCell ref="C106:H106"/>
    <mergeCell ref="G65:H65"/>
    <mergeCell ref="G91:H91"/>
    <mergeCell ref="G76:H77"/>
    <mergeCell ref="G109:H110"/>
  </mergeCells>
  <conditionalFormatting sqref="F125:H130">
    <cfRule type="containsText" dxfId="71" priority="11" operator="containsText" text="SI">
      <formula>NOT(ISERROR(SEARCH("SI",F125)))</formula>
    </cfRule>
    <cfRule type="containsText" dxfId="70" priority="12" operator="containsText" text="NO">
      <formula>NOT(ISERROR(SEARCH("NO",F125)))</formula>
    </cfRule>
  </conditionalFormatting>
  <conditionalFormatting sqref="D124">
    <cfRule type="containsText" dxfId="69" priority="9" operator="containsText" text="SI">
      <formula>NOT(ISERROR(SEARCH("SI",D124)))</formula>
    </cfRule>
    <cfRule type="containsText" dxfId="68" priority="10" operator="containsText" text="NO">
      <formula>NOT(ISERROR(SEARCH("NO",D124)))</formula>
    </cfRule>
  </conditionalFormatting>
  <conditionalFormatting sqref="F124:H124">
    <cfRule type="containsText" dxfId="67" priority="7" operator="containsText" text="SI">
      <formula>NOT(ISERROR(SEARCH("SI",F124)))</formula>
    </cfRule>
    <cfRule type="containsText" dxfId="66" priority="8" operator="containsText" text="NO">
      <formula>NOT(ISERROR(SEARCH("NO",F124)))</formula>
    </cfRule>
  </conditionalFormatting>
  <conditionalFormatting sqref="F154:H159">
    <cfRule type="containsText" dxfId="65" priority="5" operator="containsText" text="SI">
      <formula>NOT(ISERROR(SEARCH("SI",F154)))</formula>
    </cfRule>
    <cfRule type="containsText" dxfId="64" priority="6" operator="containsText" text="NO">
      <formula>NOT(ISERROR(SEARCH("NO",F154)))</formula>
    </cfRule>
  </conditionalFormatting>
  <conditionalFormatting sqref="D153">
    <cfRule type="containsText" dxfId="63" priority="3" operator="containsText" text="SI">
      <formula>NOT(ISERROR(SEARCH("SI",D153)))</formula>
    </cfRule>
    <cfRule type="containsText" dxfId="62" priority="4" operator="containsText" text="NO">
      <formula>NOT(ISERROR(SEARCH("NO",D153)))</formula>
    </cfRule>
  </conditionalFormatting>
  <conditionalFormatting sqref="F153:H153">
    <cfRule type="containsText" dxfId="61" priority="1" operator="containsText" text="SI">
      <formula>NOT(ISERROR(SEARCH("SI",F153)))</formula>
    </cfRule>
    <cfRule type="containsText" dxfId="60" priority="2" operator="containsText" text="NO">
      <formula>NOT(ISERROR(SEARCH("NO",F153)))</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67D7E-D078-4A9C-814A-93B0870DFDA0}">
  <sheetPr codeName="Sheet4"/>
  <dimension ref="A1:BE885"/>
  <sheetViews>
    <sheetView zoomScaleNormal="100" workbookViewId="0">
      <selection activeCell="C3" sqref="C3:L3"/>
    </sheetView>
  </sheetViews>
  <sheetFormatPr baseColWidth="10" defaultColWidth="8.81640625" defaultRowHeight="14"/>
  <cols>
    <col min="1" max="1" width="8.81640625" style="51"/>
    <col min="2" max="2" width="2.453125" style="51" customWidth="1"/>
    <col min="3" max="3" width="4" style="59" bestFit="1" customWidth="1"/>
    <col min="4" max="4" width="14" style="104" bestFit="1" customWidth="1"/>
    <col min="5" max="5" width="13.453125" style="104" bestFit="1" customWidth="1"/>
    <col min="6" max="6" width="15.453125" style="104" bestFit="1" customWidth="1"/>
    <col min="7" max="7" width="21" style="104" bestFit="1" customWidth="1"/>
    <col min="8" max="8" width="12.81640625" style="104" bestFit="1" customWidth="1"/>
    <col min="9" max="11" width="19.6328125" style="104" customWidth="1"/>
    <col min="12" max="12" width="21.6328125" style="104" bestFit="1" customWidth="1"/>
    <col min="13" max="13" width="2.453125" style="51" customWidth="1"/>
    <col min="14" max="57" width="8.81640625" style="51"/>
    <col min="58" max="16384" width="8.81640625" style="59"/>
  </cols>
  <sheetData>
    <row r="1" spans="2:13" s="51" customFormat="1" ht="14.5" thickBot="1">
      <c r="D1" s="100"/>
      <c r="E1" s="100"/>
      <c r="F1" s="100"/>
      <c r="G1" s="100"/>
      <c r="H1" s="100"/>
      <c r="I1" s="100"/>
      <c r="J1" s="100"/>
      <c r="K1" s="100"/>
      <c r="L1" s="100"/>
    </row>
    <row r="2" spans="2:13" s="51" customFormat="1" ht="14.5" thickBot="1">
      <c r="B2" s="52"/>
      <c r="C2" s="53"/>
      <c r="D2" s="101"/>
      <c r="E2" s="101"/>
      <c r="F2" s="101"/>
      <c r="G2" s="101"/>
      <c r="H2" s="101"/>
      <c r="I2" s="101"/>
      <c r="J2" s="101"/>
      <c r="K2" s="101"/>
      <c r="L2" s="101"/>
      <c r="M2" s="54"/>
    </row>
    <row r="3" spans="2:13" s="51" customFormat="1" ht="27" customHeight="1" thickBot="1">
      <c r="B3" s="55"/>
      <c r="C3" s="234" t="s">
        <v>315</v>
      </c>
      <c r="D3" s="235"/>
      <c r="E3" s="235"/>
      <c r="F3" s="235"/>
      <c r="G3" s="235"/>
      <c r="H3" s="235"/>
      <c r="I3" s="235"/>
      <c r="J3" s="235"/>
      <c r="K3" s="235"/>
      <c r="L3" s="236"/>
      <c r="M3" s="56"/>
    </row>
    <row r="4" spans="2:13" s="51" customFormat="1">
      <c r="B4" s="55"/>
      <c r="C4" s="57"/>
      <c r="D4" s="102"/>
      <c r="E4" s="102"/>
      <c r="F4" s="102"/>
      <c r="G4" s="102"/>
      <c r="H4" s="102"/>
      <c r="I4" s="102"/>
      <c r="J4" s="102"/>
      <c r="K4" s="102"/>
      <c r="L4" s="102"/>
      <c r="M4" s="56"/>
    </row>
    <row r="5" spans="2:13" ht="75.5">
      <c r="B5" s="55"/>
      <c r="C5" s="58" t="s">
        <v>33</v>
      </c>
      <c r="D5" s="128" t="s">
        <v>138</v>
      </c>
      <c r="E5" s="128" t="s">
        <v>139</v>
      </c>
      <c r="F5" s="128" t="s">
        <v>140</v>
      </c>
      <c r="G5" s="128" t="s">
        <v>141</v>
      </c>
      <c r="H5" s="128" t="s">
        <v>142</v>
      </c>
      <c r="I5" s="128" t="s">
        <v>369</v>
      </c>
      <c r="J5" s="128" t="s">
        <v>368</v>
      </c>
      <c r="K5" s="128" t="s">
        <v>409</v>
      </c>
      <c r="L5" s="128" t="s">
        <v>367</v>
      </c>
      <c r="M5" s="56"/>
    </row>
    <row r="6" spans="2:13">
      <c r="B6" s="55"/>
      <c r="C6" s="60">
        <v>1</v>
      </c>
      <c r="D6" s="127">
        <v>19.8</v>
      </c>
      <c r="E6" s="127">
        <v>8</v>
      </c>
      <c r="F6" s="127">
        <v>20.100000000000001</v>
      </c>
      <c r="G6" s="127">
        <f>ETo!$I6*((1-Constantes!$D$19)*ETo!$K6+ETo!$L6)</f>
        <v>4.2488824786158528</v>
      </c>
      <c r="H6" s="127">
        <v>3.5956025883777398</v>
      </c>
      <c r="I6" s="127">
        <v>0</v>
      </c>
      <c r="J6" s="127">
        <v>0</v>
      </c>
      <c r="K6" s="127">
        <v>0</v>
      </c>
      <c r="L6" s="127">
        <v>2.6358852226188021</v>
      </c>
      <c r="M6" s="56"/>
    </row>
    <row r="7" spans="2:13">
      <c r="B7" s="55"/>
      <c r="C7" s="60">
        <v>2</v>
      </c>
      <c r="D7" s="127">
        <v>20</v>
      </c>
      <c r="E7" s="127">
        <v>7.5</v>
      </c>
      <c r="F7" s="127">
        <v>0.8</v>
      </c>
      <c r="G7" s="127">
        <f>ETo!$I7*((1-Constantes!$D$19)*ETo!$K7+ETo!$L7)</f>
        <v>4.2356624229335118</v>
      </c>
      <c r="H7" s="127">
        <v>1.2058495533566642</v>
      </c>
      <c r="I7" s="127">
        <v>0</v>
      </c>
      <c r="J7" s="127">
        <v>0</v>
      </c>
      <c r="K7" s="127">
        <v>0</v>
      </c>
      <c r="L7" s="127">
        <v>0.84562130567263949</v>
      </c>
      <c r="M7" s="56"/>
    </row>
    <row r="8" spans="2:13">
      <c r="B8" s="55"/>
      <c r="C8" s="60">
        <v>3</v>
      </c>
      <c r="D8" s="127">
        <v>21</v>
      </c>
      <c r="E8" s="127">
        <v>8.1</v>
      </c>
      <c r="F8" s="127">
        <v>15.5</v>
      </c>
      <c r="G8" s="127">
        <f>ETo!$I8*((1-Constantes!$D$19)*ETo!$K8+ETo!$L8)</f>
        <v>4.3063015215622107</v>
      </c>
      <c r="H8" s="127">
        <v>2.5752731916512372</v>
      </c>
      <c r="I8" s="127">
        <v>0</v>
      </c>
      <c r="J8" s="127">
        <v>0</v>
      </c>
      <c r="K8" s="127">
        <v>0</v>
      </c>
      <c r="L8" s="127">
        <v>1.2544264455099672</v>
      </c>
      <c r="M8" s="56"/>
    </row>
    <row r="9" spans="2:13">
      <c r="B9" s="55"/>
      <c r="C9" s="60">
        <v>4</v>
      </c>
      <c r="D9" s="127">
        <v>19.5</v>
      </c>
      <c r="E9" s="127">
        <v>8.9</v>
      </c>
      <c r="F9" s="127">
        <v>2.2999999999999998</v>
      </c>
      <c r="G9" s="127">
        <f>ETo!$I9*((1-Constantes!$D$19)*ETo!$K9+ETo!$L9)</f>
        <v>4.2754028217310243</v>
      </c>
      <c r="H9" s="127">
        <v>1.342278116725431</v>
      </c>
      <c r="I9" s="127">
        <v>0</v>
      </c>
      <c r="J9" s="127">
        <v>0</v>
      </c>
      <c r="K9" s="127">
        <v>0</v>
      </c>
      <c r="L9" s="127">
        <v>0.86545968799630535</v>
      </c>
      <c r="M9" s="56"/>
    </row>
    <row r="10" spans="2:13">
      <c r="B10" s="55"/>
      <c r="C10" s="60">
        <v>5</v>
      </c>
      <c r="D10" s="127">
        <v>20.6</v>
      </c>
      <c r="E10" s="127">
        <v>6.9</v>
      </c>
      <c r="F10" s="127">
        <v>9.6</v>
      </c>
      <c r="G10" s="127">
        <f>ETo!$I10*((1-Constantes!$D$19)*ETo!$K10+ETo!$L10)</f>
        <v>4.2356685425994405</v>
      </c>
      <c r="H10" s="127">
        <v>1.6960917506784017</v>
      </c>
      <c r="I10" s="127">
        <v>0</v>
      </c>
      <c r="J10" s="127">
        <v>0</v>
      </c>
      <c r="K10" s="127">
        <v>0</v>
      </c>
      <c r="L10" s="127">
        <v>0.87401138708168846</v>
      </c>
      <c r="M10" s="56"/>
    </row>
    <row r="11" spans="2:13">
      <c r="B11" s="55"/>
      <c r="C11" s="60">
        <v>6</v>
      </c>
      <c r="D11" s="127">
        <v>18.5</v>
      </c>
      <c r="E11" s="127">
        <v>8.4</v>
      </c>
      <c r="F11" s="127">
        <v>17.100000000000001</v>
      </c>
      <c r="G11" s="127">
        <f>ETo!$I11*((1-Constantes!$D$19)*ETo!$K11+ETo!$L11)</f>
        <v>4.209161848578475</v>
      </c>
      <c r="H11" s="127">
        <v>3.0895402328869666</v>
      </c>
      <c r="I11" s="127">
        <v>0</v>
      </c>
      <c r="J11" s="127">
        <v>0</v>
      </c>
      <c r="K11" s="127">
        <v>0</v>
      </c>
      <c r="L11" s="127">
        <v>1.9049229743664646</v>
      </c>
      <c r="M11" s="56"/>
    </row>
    <row r="12" spans="2:13">
      <c r="B12" s="55"/>
      <c r="C12" s="60">
        <v>7</v>
      </c>
      <c r="D12" s="127">
        <v>19.2</v>
      </c>
      <c r="E12" s="127">
        <v>8.4</v>
      </c>
      <c r="F12" s="127">
        <v>0.7</v>
      </c>
      <c r="G12" s="127">
        <f>ETo!$I12*((1-Constantes!$D$19)*ETo!$K12+ETo!$L12)</f>
        <v>4.2400117375482669</v>
      </c>
      <c r="H12" s="127">
        <v>1.4514309807432555</v>
      </c>
      <c r="I12" s="127">
        <v>0</v>
      </c>
      <c r="J12" s="127">
        <v>0</v>
      </c>
      <c r="K12" s="127">
        <v>5.5224609817910317E-2</v>
      </c>
      <c r="L12" s="127">
        <v>0.89378298074723239</v>
      </c>
      <c r="M12" s="56"/>
    </row>
    <row r="13" spans="2:13">
      <c r="B13" s="55"/>
      <c r="C13" s="60">
        <v>8</v>
      </c>
      <c r="D13" s="127">
        <v>19</v>
      </c>
      <c r="E13" s="127">
        <v>9.4</v>
      </c>
      <c r="F13" s="127">
        <v>0</v>
      </c>
      <c r="G13" s="127">
        <f>ETo!$I13*((1-Constantes!$D$19)*ETo!$K13+ETo!$L13)</f>
        <v>4.2752545901473065</v>
      </c>
      <c r="H13" s="127">
        <v>1.3407784172268926</v>
      </c>
      <c r="I13" s="127">
        <v>0</v>
      </c>
      <c r="J13" s="127">
        <v>0</v>
      </c>
      <c r="K13" s="127">
        <v>28.741965391781282</v>
      </c>
      <c r="L13" s="127">
        <v>0.8966474132540414</v>
      </c>
      <c r="M13" s="56"/>
    </row>
    <row r="14" spans="2:13">
      <c r="B14" s="55"/>
      <c r="C14" s="60">
        <v>9</v>
      </c>
      <c r="D14" s="127">
        <v>20.399999999999999</v>
      </c>
      <c r="E14" s="127">
        <v>7.8</v>
      </c>
      <c r="F14" s="127">
        <v>0</v>
      </c>
      <c r="G14" s="127">
        <f>ETo!$I14*((1-Constantes!$D$19)*ETo!$K14+ETo!$L14)</f>
        <v>4.2663337670477102</v>
      </c>
      <c r="H14" s="127">
        <v>1.2339445056609823</v>
      </c>
      <c r="I14" s="127">
        <v>0</v>
      </c>
      <c r="J14" s="127">
        <v>0</v>
      </c>
      <c r="K14" s="127">
        <v>0</v>
      </c>
      <c r="L14" s="127">
        <v>0.89853350491710149</v>
      </c>
      <c r="M14" s="56"/>
    </row>
    <row r="15" spans="2:13">
      <c r="B15" s="55"/>
      <c r="C15" s="60">
        <v>10</v>
      </c>
      <c r="D15" s="127">
        <v>20.5</v>
      </c>
      <c r="E15" s="127">
        <v>7.8</v>
      </c>
      <c r="F15" s="127">
        <v>0.1</v>
      </c>
      <c r="G15" s="127">
        <f>ETo!$I15*((1-Constantes!$D$19)*ETo!$K15+ETo!$L15)</f>
        <v>4.2706250302405886</v>
      </c>
      <c r="H15" s="127">
        <v>1.1339854884349567</v>
      </c>
      <c r="I15" s="127">
        <v>0</v>
      </c>
      <c r="J15" s="127">
        <v>0</v>
      </c>
      <c r="K15" s="127">
        <v>0</v>
      </c>
      <c r="L15" s="127">
        <v>0.89951518062780633</v>
      </c>
      <c r="M15" s="56"/>
    </row>
    <row r="16" spans="2:13">
      <c r="B16" s="55"/>
      <c r="C16" s="60">
        <v>11</v>
      </c>
      <c r="D16" s="127">
        <v>19.5</v>
      </c>
      <c r="E16" s="127">
        <v>7</v>
      </c>
      <c r="F16" s="127">
        <v>2.9</v>
      </c>
      <c r="G16" s="127">
        <f>ETo!$I16*((1-Constantes!$D$19)*ETo!$K16+ETo!$L16)</f>
        <v>4.1910320269815351</v>
      </c>
      <c r="H16" s="127">
        <v>1.1340431599414478</v>
      </c>
      <c r="I16" s="127">
        <v>0</v>
      </c>
      <c r="J16" s="127">
        <v>0</v>
      </c>
      <c r="K16" s="127">
        <v>506.44223431713607</v>
      </c>
      <c r="L16" s="127">
        <v>0.90044868298428149</v>
      </c>
      <c r="M16" s="56"/>
    </row>
    <row r="17" spans="2:13">
      <c r="B17" s="55"/>
      <c r="C17" s="60">
        <v>12</v>
      </c>
      <c r="D17" s="127">
        <v>15.5</v>
      </c>
      <c r="E17" s="127">
        <v>9.1999999999999993</v>
      </c>
      <c r="F17" s="127">
        <v>17.7</v>
      </c>
      <c r="G17" s="127">
        <f>ETo!$I17*((1-Constantes!$D$19)*ETo!$K17+ETo!$L17)</f>
        <v>4.111397427642137</v>
      </c>
      <c r="H17" s="127">
        <v>3.2357969162921236</v>
      </c>
      <c r="I17" s="127">
        <v>0</v>
      </c>
      <c r="J17" s="127">
        <v>0</v>
      </c>
      <c r="K17" s="127">
        <v>0</v>
      </c>
      <c r="L17" s="127">
        <v>2.1076306730857404</v>
      </c>
      <c r="M17" s="56"/>
    </row>
    <row r="18" spans="2:13">
      <c r="B18" s="55"/>
      <c r="C18" s="60">
        <v>13</v>
      </c>
      <c r="D18" s="127">
        <v>21.2</v>
      </c>
      <c r="E18" s="127">
        <v>6.5</v>
      </c>
      <c r="F18" s="127">
        <v>0.4</v>
      </c>
      <c r="G18" s="127">
        <f>ETo!$I18*((1-Constantes!$D$19)*ETo!$K18+ETo!$L18)</f>
        <v>4.2435635545740835</v>
      </c>
      <c r="H18" s="127">
        <v>1.4458934562639241</v>
      </c>
      <c r="I18" s="127">
        <v>0</v>
      </c>
      <c r="J18" s="127">
        <v>0</v>
      </c>
      <c r="K18" s="127">
        <v>0</v>
      </c>
      <c r="L18" s="127">
        <v>0.91922953932504359</v>
      </c>
      <c r="M18" s="56"/>
    </row>
    <row r="19" spans="2:13">
      <c r="B19" s="55"/>
      <c r="C19" s="60">
        <v>14</v>
      </c>
      <c r="D19" s="127">
        <v>18</v>
      </c>
      <c r="E19" s="127">
        <v>9.5</v>
      </c>
      <c r="F19" s="127">
        <v>0.4</v>
      </c>
      <c r="G19" s="127">
        <f>ETo!$I19*((1-Constantes!$D$19)*ETo!$K19+ETo!$L19)</f>
        <v>4.2344596882080481</v>
      </c>
      <c r="H19" s="127">
        <v>1.3495059526051145</v>
      </c>
      <c r="I19" s="127">
        <v>0</v>
      </c>
      <c r="J19" s="127">
        <v>0</v>
      </c>
      <c r="K19" s="127">
        <v>0</v>
      </c>
      <c r="L19" s="127">
        <v>0.92163806911027246</v>
      </c>
      <c r="M19" s="56"/>
    </row>
    <row r="20" spans="2:13">
      <c r="B20" s="55"/>
      <c r="C20" s="60">
        <v>15</v>
      </c>
      <c r="D20" s="127">
        <v>18.2</v>
      </c>
      <c r="E20" s="127">
        <v>9.1999999999999993</v>
      </c>
      <c r="F20" s="127">
        <v>0.5</v>
      </c>
      <c r="G20" s="127">
        <f>ETo!$I20*((1-Constantes!$D$19)*ETo!$K20+ETo!$L20)</f>
        <v>4.2297193394396455</v>
      </c>
      <c r="H20" s="127">
        <v>1.2597898866800317</v>
      </c>
      <c r="I20" s="127">
        <v>0</v>
      </c>
      <c r="J20" s="127">
        <v>0</v>
      </c>
      <c r="K20" s="127">
        <v>45.968421531225083</v>
      </c>
      <c r="L20" s="127">
        <v>0.92322092317354287</v>
      </c>
      <c r="M20" s="56"/>
    </row>
    <row r="21" spans="2:13">
      <c r="B21" s="55"/>
      <c r="C21" s="60">
        <v>16</v>
      </c>
      <c r="D21" s="127">
        <v>21</v>
      </c>
      <c r="E21" s="127">
        <v>7</v>
      </c>
      <c r="F21" s="127">
        <v>0</v>
      </c>
      <c r="G21" s="127">
        <f>ETo!$I21*((1-Constantes!$D$19)*ETo!$K21+ETo!$L21)</f>
        <v>4.2558086355340761</v>
      </c>
      <c r="H21" s="127">
        <v>1.1555650692802824</v>
      </c>
      <c r="I21" s="127">
        <v>0</v>
      </c>
      <c r="J21" s="127">
        <v>0</v>
      </c>
      <c r="K21" s="127">
        <v>59.605670222384049</v>
      </c>
      <c r="L21" s="127">
        <v>0.92386977531693359</v>
      </c>
      <c r="M21" s="56"/>
    </row>
    <row r="22" spans="2:13">
      <c r="B22" s="55"/>
      <c r="C22" s="60">
        <v>17</v>
      </c>
      <c r="D22" s="127">
        <v>20</v>
      </c>
      <c r="E22" s="127">
        <v>7.2</v>
      </c>
      <c r="F22" s="127">
        <v>8.8000000000000007</v>
      </c>
      <c r="G22" s="127">
        <f>ETo!$I22*((1-Constantes!$D$19)*ETo!$K22+ETo!$L22)</f>
        <v>4.2200730389591046</v>
      </c>
      <c r="H22" s="127">
        <v>1.5449266705292974</v>
      </c>
      <c r="I22" s="127">
        <v>0</v>
      </c>
      <c r="J22" s="127">
        <v>0</v>
      </c>
      <c r="K22" s="127">
        <v>0</v>
      </c>
      <c r="L22" s="127">
        <v>0.9294296188990443</v>
      </c>
      <c r="M22" s="56"/>
    </row>
    <row r="23" spans="2:13">
      <c r="B23" s="55"/>
      <c r="C23" s="60">
        <v>18</v>
      </c>
      <c r="D23" s="127">
        <v>15.2</v>
      </c>
      <c r="E23" s="127">
        <v>8.5</v>
      </c>
      <c r="F23" s="127">
        <v>2.5</v>
      </c>
      <c r="G23" s="127">
        <f>ETo!$I23*((1-Constantes!$D$19)*ETo!$K23+ETo!$L23)</f>
        <v>4.0651509616303576</v>
      </c>
      <c r="H23" s="127">
        <v>1.3293722147809401</v>
      </c>
      <c r="I23" s="127">
        <v>0</v>
      </c>
      <c r="J23" s="127">
        <v>0</v>
      </c>
      <c r="K23" s="127">
        <v>5.2866259044669099E-3</v>
      </c>
      <c r="L23" s="127">
        <v>0.93132490658292566</v>
      </c>
      <c r="M23" s="56"/>
    </row>
    <row r="24" spans="2:13">
      <c r="B24" s="55"/>
      <c r="C24" s="60">
        <v>19</v>
      </c>
      <c r="D24" s="127">
        <v>21.2</v>
      </c>
      <c r="E24" s="127">
        <v>4.5</v>
      </c>
      <c r="F24" s="127">
        <v>7.9</v>
      </c>
      <c r="G24" s="127">
        <f>ETo!$I24*((1-Constantes!$D$19)*ETo!$K24+ETo!$L24)</f>
        <v>4.1528383603144396</v>
      </c>
      <c r="H24" s="127">
        <v>1.6131532015776715</v>
      </c>
      <c r="I24" s="127">
        <v>0</v>
      </c>
      <c r="J24" s="127">
        <v>0</v>
      </c>
      <c r="K24" s="127">
        <v>0</v>
      </c>
      <c r="L24" s="127">
        <v>0.9368486446936386</v>
      </c>
      <c r="M24" s="56"/>
    </row>
    <row r="25" spans="2:13">
      <c r="B25" s="55"/>
      <c r="C25" s="60">
        <v>20</v>
      </c>
      <c r="D25" s="127">
        <v>18</v>
      </c>
      <c r="E25" s="127">
        <v>6.5</v>
      </c>
      <c r="F25" s="127">
        <v>5</v>
      </c>
      <c r="G25" s="127">
        <f>ETo!$I25*((1-Constantes!$D$19)*ETo!$K25+ETo!$L25)</f>
        <v>4.0992699869697011</v>
      </c>
      <c r="H25" s="127">
        <v>1.5184124805995169</v>
      </c>
      <c r="I25" s="127">
        <v>0</v>
      </c>
      <c r="J25" s="127">
        <v>0</v>
      </c>
      <c r="K25" s="127">
        <v>62.043936092893496</v>
      </c>
      <c r="L25" s="127">
        <v>0.94068375861574172</v>
      </c>
      <c r="M25" s="56"/>
    </row>
    <row r="26" spans="2:13">
      <c r="B26" s="55"/>
      <c r="C26" s="60">
        <v>21</v>
      </c>
      <c r="D26" s="127">
        <v>21</v>
      </c>
      <c r="E26" s="127">
        <v>8</v>
      </c>
      <c r="F26" s="127">
        <v>6.2</v>
      </c>
      <c r="G26" s="127">
        <f>ETo!$I26*((1-Constantes!$D$19)*ETo!$K26+ETo!$L26)</f>
        <v>4.2969975510207226</v>
      </c>
      <c r="H26" s="127">
        <v>1.5696137436765665</v>
      </c>
      <c r="I26" s="127">
        <v>0</v>
      </c>
      <c r="J26" s="127">
        <v>0</v>
      </c>
      <c r="K26" s="127">
        <v>300.83094288980993</v>
      </c>
      <c r="L26" s="127">
        <v>0.9452542866849678</v>
      </c>
      <c r="M26" s="56"/>
    </row>
    <row r="27" spans="2:13">
      <c r="B27" s="55"/>
      <c r="C27" s="60">
        <v>22</v>
      </c>
      <c r="D27" s="127">
        <v>19.2</v>
      </c>
      <c r="E27" s="127">
        <v>7.5</v>
      </c>
      <c r="F27" s="127">
        <v>0.1</v>
      </c>
      <c r="G27" s="127">
        <f>ETo!$I27*((1-Constantes!$D$19)*ETo!$K27+ETo!$L27)</f>
        <v>4.1947726528956641</v>
      </c>
      <c r="H27" s="127">
        <v>1.4291947825224085</v>
      </c>
      <c r="I27" s="127">
        <v>0</v>
      </c>
      <c r="J27" s="127">
        <v>0</v>
      </c>
      <c r="K27" s="127">
        <v>0</v>
      </c>
      <c r="L27" s="127">
        <v>0.94785144308436564</v>
      </c>
      <c r="M27" s="56"/>
    </row>
    <row r="28" spans="2:13">
      <c r="B28" s="55"/>
      <c r="C28" s="60">
        <v>23</v>
      </c>
      <c r="D28" s="127">
        <v>17.7</v>
      </c>
      <c r="E28" s="127">
        <v>7.6</v>
      </c>
      <c r="F28" s="127">
        <v>19.7</v>
      </c>
      <c r="G28" s="127">
        <f>ETo!$I28*((1-Constantes!$D$19)*ETo!$K28+ETo!$L28)</f>
        <v>4.1321680484225629</v>
      </c>
      <c r="H28" s="127">
        <v>3.8448020243048981</v>
      </c>
      <c r="I28" s="127">
        <v>0</v>
      </c>
      <c r="J28" s="127">
        <v>0</v>
      </c>
      <c r="K28" s="127">
        <v>5.4432146480880519</v>
      </c>
      <c r="L28" s="127">
        <v>2.9003443044225752</v>
      </c>
      <c r="M28" s="56"/>
    </row>
    <row r="29" spans="2:13">
      <c r="B29" s="55"/>
      <c r="C29" s="60">
        <v>24</v>
      </c>
      <c r="D29" s="127">
        <v>16.399999999999999</v>
      </c>
      <c r="E29" s="127">
        <v>6.7</v>
      </c>
      <c r="F29" s="127">
        <v>2.4</v>
      </c>
      <c r="G29" s="127">
        <f>ETo!$I29*((1-Constantes!$D$19)*ETo!$K29+ETo!$L29)</f>
        <v>4.0341938673256417</v>
      </c>
      <c r="H29" s="127">
        <v>1.6175923816307491</v>
      </c>
      <c r="I29" s="127">
        <v>0</v>
      </c>
      <c r="J29" s="127">
        <v>0</v>
      </c>
      <c r="K29" s="127">
        <v>0</v>
      </c>
      <c r="L29" s="127">
        <v>0.96642155793051931</v>
      </c>
      <c r="M29" s="56"/>
    </row>
    <row r="30" spans="2:13">
      <c r="B30" s="55"/>
      <c r="C30" s="60">
        <v>25</v>
      </c>
      <c r="D30" s="127">
        <v>21.1</v>
      </c>
      <c r="E30" s="127">
        <v>6</v>
      </c>
      <c r="F30" s="127">
        <v>0</v>
      </c>
      <c r="G30" s="127">
        <f>ETo!$I30*((1-Constantes!$D$19)*ETo!$K30+ETo!$L30)</f>
        <v>4.2094228082688856</v>
      </c>
      <c r="H30" s="127">
        <v>1.5048036971785259</v>
      </c>
      <c r="I30" s="127">
        <v>0</v>
      </c>
      <c r="J30" s="127">
        <v>0</v>
      </c>
      <c r="K30" s="127">
        <v>0</v>
      </c>
      <c r="L30" s="127">
        <v>0.96920014808726296</v>
      </c>
      <c r="M30" s="56"/>
    </row>
    <row r="31" spans="2:13">
      <c r="B31" s="55"/>
      <c r="C31" s="60">
        <v>26</v>
      </c>
      <c r="D31" s="127">
        <v>21.8</v>
      </c>
      <c r="E31" s="127">
        <v>5.4</v>
      </c>
      <c r="F31" s="127">
        <v>4</v>
      </c>
      <c r="G31" s="127">
        <f>ETo!$I31*((1-Constantes!$D$19)*ETo!$K31+ETo!$L31)</f>
        <v>4.2126290364780026</v>
      </c>
      <c r="H31" s="127">
        <v>1.5319344256860985</v>
      </c>
      <c r="I31" s="127">
        <v>0</v>
      </c>
      <c r="J31" s="127">
        <v>0</v>
      </c>
      <c r="K31" s="127">
        <v>0</v>
      </c>
      <c r="L31" s="127">
        <v>0.97217805225851139</v>
      </c>
      <c r="M31" s="56"/>
    </row>
    <row r="32" spans="2:13">
      <c r="B32" s="55"/>
      <c r="C32" s="60">
        <v>27</v>
      </c>
      <c r="D32" s="127">
        <v>23.3</v>
      </c>
      <c r="E32" s="127">
        <v>5</v>
      </c>
      <c r="F32" s="127">
        <v>0.1</v>
      </c>
      <c r="G32" s="127">
        <f>ETo!$I32*((1-Constantes!$D$19)*ETo!$K32+ETo!$L32)</f>
        <v>4.2597583959558296</v>
      </c>
      <c r="H32" s="127">
        <v>1.424381885699505</v>
      </c>
      <c r="I32" s="127">
        <v>0</v>
      </c>
      <c r="J32" s="127">
        <v>0</v>
      </c>
      <c r="K32" s="127">
        <v>0</v>
      </c>
      <c r="L32" s="127">
        <v>0.97412645915117291</v>
      </c>
      <c r="M32" s="56"/>
    </row>
    <row r="33" spans="2:13">
      <c r="B33" s="55"/>
      <c r="C33" s="60">
        <v>28</v>
      </c>
      <c r="D33" s="127">
        <v>22.7</v>
      </c>
      <c r="E33" s="127">
        <v>4.8</v>
      </c>
      <c r="F33" s="127">
        <v>0</v>
      </c>
      <c r="G33" s="127">
        <f>ETo!$I33*((1-Constantes!$D$19)*ETo!$K33+ETo!$L33)</f>
        <v>4.2230971005749174</v>
      </c>
      <c r="H33" s="127">
        <v>1.3175786744990317</v>
      </c>
      <c r="I33" s="127">
        <v>0</v>
      </c>
      <c r="J33" s="127">
        <v>0</v>
      </c>
      <c r="K33" s="127">
        <v>0</v>
      </c>
      <c r="L33" s="127">
        <v>0.97511677178961997</v>
      </c>
      <c r="M33" s="56"/>
    </row>
    <row r="34" spans="2:13">
      <c r="B34" s="55"/>
      <c r="C34" s="60">
        <v>29</v>
      </c>
      <c r="D34" s="127">
        <v>18</v>
      </c>
      <c r="E34" s="127">
        <v>5.0999999999999996</v>
      </c>
      <c r="F34" s="127">
        <v>1.7</v>
      </c>
      <c r="G34" s="127">
        <f>ETo!$I34*((1-Constantes!$D$19)*ETo!$K34+ETo!$L34)</f>
        <v>4.0278653439015057</v>
      </c>
      <c r="H34" s="127">
        <v>1.2754658649863604</v>
      </c>
      <c r="I34" s="127">
        <v>0</v>
      </c>
      <c r="J34" s="127">
        <v>0</v>
      </c>
      <c r="K34" s="127">
        <v>0</v>
      </c>
      <c r="L34" s="127">
        <v>0.97570962148594531</v>
      </c>
      <c r="M34" s="56"/>
    </row>
    <row r="35" spans="2:13">
      <c r="B35" s="55"/>
      <c r="C35" s="60">
        <v>30</v>
      </c>
      <c r="D35" s="127">
        <v>22.1</v>
      </c>
      <c r="E35" s="127">
        <v>5</v>
      </c>
      <c r="F35" s="127">
        <v>5.2</v>
      </c>
      <c r="G35" s="127">
        <f>ETo!$I35*((1-Constantes!$D$19)*ETo!$K35+ETo!$L35)</f>
        <v>4.2022632056480216</v>
      </c>
      <c r="H35" s="127">
        <v>1.3562422040366251</v>
      </c>
      <c r="I35" s="127">
        <v>0</v>
      </c>
      <c r="J35" s="127">
        <v>0</v>
      </c>
      <c r="K35" s="127">
        <v>0</v>
      </c>
      <c r="L35" s="127">
        <v>0.97728961166030259</v>
      </c>
      <c r="M35" s="56"/>
    </row>
    <row r="36" spans="2:13">
      <c r="B36" s="55"/>
      <c r="C36" s="60">
        <v>31</v>
      </c>
      <c r="D36" s="127">
        <v>21.2</v>
      </c>
      <c r="E36" s="127">
        <v>5</v>
      </c>
      <c r="F36" s="127">
        <v>3.1</v>
      </c>
      <c r="G36" s="127">
        <f>ETo!$I36*((1-Constantes!$D$19)*ETo!$K36+ETo!$L36)</f>
        <v>4.1608759988889137</v>
      </c>
      <c r="H36" s="127">
        <v>1.3527754041930637</v>
      </c>
      <c r="I36" s="127">
        <v>0</v>
      </c>
      <c r="J36" s="127">
        <v>0</v>
      </c>
      <c r="K36" s="127">
        <v>0</v>
      </c>
      <c r="L36" s="127">
        <v>0.97843217465731191</v>
      </c>
      <c r="M36" s="56"/>
    </row>
    <row r="37" spans="2:13">
      <c r="B37" s="55"/>
      <c r="C37" s="60">
        <v>32</v>
      </c>
      <c r="D37" s="127">
        <v>21</v>
      </c>
      <c r="E37" s="127">
        <v>6.9</v>
      </c>
      <c r="F37" s="127">
        <v>1.4</v>
      </c>
      <c r="G37" s="127">
        <f>ETo!$I37*((1-Constantes!$D$19)*ETo!$K37+ETo!$L37)</f>
        <v>4.2336692829590499</v>
      </c>
      <c r="H37" s="127">
        <v>1.2954507144270362</v>
      </c>
      <c r="I37" s="127">
        <v>0</v>
      </c>
      <c r="J37" s="127">
        <v>0</v>
      </c>
      <c r="K37" s="127">
        <v>338.0710502155946</v>
      </c>
      <c r="L37" s="127">
        <v>0.97904930894569686</v>
      </c>
      <c r="M37" s="56"/>
    </row>
    <row r="38" spans="2:13">
      <c r="B38" s="55"/>
      <c r="C38" s="60">
        <v>33</v>
      </c>
      <c r="D38" s="127">
        <v>20.8</v>
      </c>
      <c r="E38" s="127">
        <v>9.4</v>
      </c>
      <c r="F38" s="127">
        <v>2.2000000000000002</v>
      </c>
      <c r="G38" s="127">
        <f>ETo!$I38*((1-Constantes!$D$19)*ETo!$K38+ETo!$L38)</f>
        <v>4.3326621722800782</v>
      </c>
      <c r="H38" s="127">
        <v>1.2655579471481655</v>
      </c>
      <c r="I38" s="127">
        <v>0</v>
      </c>
      <c r="J38" s="127">
        <v>0</v>
      </c>
      <c r="K38" s="127">
        <v>0</v>
      </c>
      <c r="L38" s="127">
        <v>0.97938005489074698</v>
      </c>
      <c r="M38" s="56"/>
    </row>
    <row r="39" spans="2:13">
      <c r="B39" s="55"/>
      <c r="C39" s="60">
        <v>34</v>
      </c>
      <c r="D39" s="127">
        <v>21.2</v>
      </c>
      <c r="E39" s="127">
        <v>10.4</v>
      </c>
      <c r="F39" s="127">
        <v>0</v>
      </c>
      <c r="G39" s="127">
        <f>ETo!$I39*((1-Constantes!$D$19)*ETo!$K39+ETo!$L39)</f>
        <v>4.3919268323791956</v>
      </c>
      <c r="H39" s="127">
        <v>1.1606371170349079</v>
      </c>
      <c r="I39" s="127">
        <v>0</v>
      </c>
      <c r="J39" s="127">
        <v>0</v>
      </c>
      <c r="K39" s="127">
        <v>0</v>
      </c>
      <c r="L39" s="127">
        <v>0.97879863202458151</v>
      </c>
      <c r="M39" s="56"/>
    </row>
    <row r="40" spans="2:13">
      <c r="B40" s="55"/>
      <c r="C40" s="60">
        <v>35</v>
      </c>
      <c r="D40" s="127">
        <v>21.5</v>
      </c>
      <c r="E40" s="127">
        <v>7</v>
      </c>
      <c r="F40" s="127">
        <v>3.3</v>
      </c>
      <c r="G40" s="127">
        <f>ETo!$I40*((1-Constantes!$D$19)*ETo!$K40+ETo!$L40)</f>
        <v>4.2532182225287558</v>
      </c>
      <c r="H40" s="127">
        <v>1.1739087389155642</v>
      </c>
      <c r="I40" s="127">
        <v>0</v>
      </c>
      <c r="J40" s="127">
        <v>0</v>
      </c>
      <c r="K40" s="127">
        <v>0</v>
      </c>
      <c r="L40" s="127">
        <v>0.97831425306794406</v>
      </c>
      <c r="M40" s="56"/>
    </row>
    <row r="41" spans="2:13">
      <c r="B41" s="55"/>
      <c r="C41" s="60">
        <v>36</v>
      </c>
      <c r="D41" s="127">
        <v>23.5</v>
      </c>
      <c r="E41" s="127">
        <v>8.9</v>
      </c>
      <c r="F41" s="127">
        <v>0</v>
      </c>
      <c r="G41" s="127">
        <f>ETo!$I41*((1-Constantes!$D$19)*ETo!$K41+ETo!$L41)</f>
        <v>4.4219422425903252</v>
      </c>
      <c r="H41" s="127">
        <v>1.0713822106249293</v>
      </c>
      <c r="I41" s="127">
        <v>0</v>
      </c>
      <c r="J41" s="127">
        <v>0</v>
      </c>
      <c r="K41" s="127">
        <v>0</v>
      </c>
      <c r="L41" s="127">
        <v>0.97695186084766872</v>
      </c>
      <c r="M41" s="56"/>
    </row>
    <row r="42" spans="2:13">
      <c r="B42" s="55"/>
      <c r="C42" s="60">
        <v>37</v>
      </c>
      <c r="D42" s="127">
        <v>24.5</v>
      </c>
      <c r="E42" s="127">
        <v>9.4</v>
      </c>
      <c r="F42" s="127">
        <v>0</v>
      </c>
      <c r="G42" s="127">
        <f>ETo!$I42*((1-Constantes!$D$19)*ETo!$K42+ETo!$L42)</f>
        <v>4.48508907581542</v>
      </c>
      <c r="H42" s="127">
        <v>0.97117967790813964</v>
      </c>
      <c r="I42" s="127">
        <v>0</v>
      </c>
      <c r="J42" s="127">
        <v>0</v>
      </c>
      <c r="K42" s="127">
        <v>0</v>
      </c>
      <c r="L42" s="127">
        <v>0.97474491431754573</v>
      </c>
      <c r="M42" s="56"/>
    </row>
    <row r="43" spans="2:13">
      <c r="B43" s="55"/>
      <c r="C43" s="60">
        <v>38</v>
      </c>
      <c r="D43" s="127">
        <v>25</v>
      </c>
      <c r="E43" s="127">
        <v>6.7</v>
      </c>
      <c r="F43" s="127">
        <v>13.5</v>
      </c>
      <c r="G43" s="127">
        <f>ETo!$I43*((1-Constantes!$D$19)*ETo!$K43+ETo!$L43)</f>
        <v>4.3852894620833638</v>
      </c>
      <c r="H43" s="127">
        <v>2.1270987011681908</v>
      </c>
      <c r="I43" s="127">
        <v>0</v>
      </c>
      <c r="J43" s="127">
        <v>0</v>
      </c>
      <c r="K43" s="127">
        <v>0</v>
      </c>
      <c r="L43" s="127">
        <v>0.9863353621729527</v>
      </c>
      <c r="M43" s="56"/>
    </row>
    <row r="44" spans="2:13">
      <c r="B44" s="55"/>
      <c r="C44" s="60">
        <v>39</v>
      </c>
      <c r="D44" s="127">
        <v>24.5</v>
      </c>
      <c r="E44" s="127">
        <v>8.1999999999999993</v>
      </c>
      <c r="F44" s="127">
        <v>0</v>
      </c>
      <c r="G44" s="127">
        <f>ETo!$I44*((1-Constantes!$D$19)*ETo!$K44+ETo!$L44)</f>
        <v>4.4259892798530256</v>
      </c>
      <c r="H44" s="127">
        <v>1.2004187285257604</v>
      </c>
      <c r="I44" s="127">
        <v>0</v>
      </c>
      <c r="J44" s="127">
        <v>0</v>
      </c>
      <c r="K44" s="127">
        <v>0</v>
      </c>
      <c r="L44" s="127">
        <v>0.985730905268144</v>
      </c>
      <c r="M44" s="56"/>
    </row>
    <row r="45" spans="2:13">
      <c r="B45" s="55"/>
      <c r="C45" s="60">
        <v>40</v>
      </c>
      <c r="D45" s="127">
        <v>18.8</v>
      </c>
      <c r="E45" s="127">
        <v>8.1</v>
      </c>
      <c r="F45" s="127">
        <v>2</v>
      </c>
      <c r="G45" s="127">
        <f>ETo!$I45*((1-Constantes!$D$19)*ETo!$K45+ETo!$L45)</f>
        <v>4.168450537636839</v>
      </c>
      <c r="H45" s="127">
        <v>1.1689217641251128</v>
      </c>
      <c r="I45" s="127">
        <v>0</v>
      </c>
      <c r="J45" s="127">
        <v>0</v>
      </c>
      <c r="K45" s="127">
        <v>6.2178808977914031</v>
      </c>
      <c r="L45" s="127">
        <v>0.98485668224762546</v>
      </c>
      <c r="M45" s="56"/>
    </row>
    <row r="46" spans="2:13">
      <c r="B46" s="55"/>
      <c r="C46" s="60">
        <v>41</v>
      </c>
      <c r="D46" s="127">
        <v>19</v>
      </c>
      <c r="E46" s="127">
        <v>9.8000000000000007</v>
      </c>
      <c r="F46" s="127">
        <v>21.8</v>
      </c>
      <c r="G46" s="127">
        <f>ETo!$I46*((1-Constantes!$D$19)*ETo!$K46+ETo!$L46)</f>
        <v>4.2480995645578474</v>
      </c>
      <c r="H46" s="127">
        <v>4.4032537348740508</v>
      </c>
      <c r="I46" s="127">
        <v>0</v>
      </c>
      <c r="J46" s="127">
        <v>0</v>
      </c>
      <c r="K46" s="127">
        <v>300.83094288980993</v>
      </c>
      <c r="L46" s="127">
        <v>3.6446997562800254</v>
      </c>
      <c r="M46" s="56"/>
    </row>
    <row r="47" spans="2:13">
      <c r="B47" s="55"/>
      <c r="C47" s="60">
        <v>42</v>
      </c>
      <c r="D47" s="127">
        <v>19.2</v>
      </c>
      <c r="E47" s="127">
        <v>6.5</v>
      </c>
      <c r="F47" s="127">
        <v>0</v>
      </c>
      <c r="G47" s="127">
        <f>ETo!$I47*((1-Constantes!$D$19)*ETo!$K47+ETo!$L47)</f>
        <v>4.1089194186077282</v>
      </c>
      <c r="H47" s="127">
        <v>1.4997265502264259</v>
      </c>
      <c r="I47" s="127">
        <v>0</v>
      </c>
      <c r="J47" s="127">
        <v>0</v>
      </c>
      <c r="K47" s="127">
        <v>0</v>
      </c>
      <c r="L47" s="127">
        <v>1.0010754661941275</v>
      </c>
      <c r="M47" s="56"/>
    </row>
    <row r="48" spans="2:13">
      <c r="B48" s="55"/>
      <c r="C48" s="60">
        <v>43</v>
      </c>
      <c r="D48" s="127">
        <v>21.3</v>
      </c>
      <c r="E48" s="127">
        <v>8.6</v>
      </c>
      <c r="F48" s="127">
        <v>1.9</v>
      </c>
      <c r="G48" s="127">
        <f>ETo!$I48*((1-Constantes!$D$19)*ETo!$K48+ETo!$L48)</f>
        <v>4.288541793645777</v>
      </c>
      <c r="H48" s="127">
        <v>1.4533256023375341</v>
      </c>
      <c r="I48" s="127">
        <v>0</v>
      </c>
      <c r="J48" s="127">
        <v>0</v>
      </c>
      <c r="K48" s="127">
        <v>0</v>
      </c>
      <c r="L48" s="127">
        <v>1.0026552322127062</v>
      </c>
      <c r="M48" s="56"/>
    </row>
    <row r="49" spans="2:13">
      <c r="B49" s="55"/>
      <c r="C49" s="60">
        <v>44</v>
      </c>
      <c r="D49" s="127">
        <v>21.2</v>
      </c>
      <c r="E49" s="127">
        <v>10.4</v>
      </c>
      <c r="F49" s="127">
        <v>0.8</v>
      </c>
      <c r="G49" s="127">
        <f>ETo!$I49*((1-Constantes!$D$19)*ETo!$K49+ETo!$L49)</f>
        <v>4.3586687983610162</v>
      </c>
      <c r="H49" s="127">
        <v>1.3697479345123544</v>
      </c>
      <c r="I49" s="127">
        <v>0</v>
      </c>
      <c r="J49" s="127">
        <v>0</v>
      </c>
      <c r="K49" s="127">
        <v>3.4255179115241083</v>
      </c>
      <c r="L49" s="127">
        <v>1.003476629582901</v>
      </c>
      <c r="M49" s="56"/>
    </row>
    <row r="50" spans="2:13">
      <c r="B50" s="55"/>
      <c r="C50" s="60">
        <v>45</v>
      </c>
      <c r="D50" s="127">
        <v>19.8</v>
      </c>
      <c r="E50" s="127">
        <v>10</v>
      </c>
      <c r="F50" s="127">
        <v>0</v>
      </c>
      <c r="G50" s="127">
        <f>ETo!$I50*((1-Constantes!$D$19)*ETo!$K50+ETo!$L50)</f>
        <v>4.2756427877182128</v>
      </c>
      <c r="H50" s="127">
        <v>1.2630436644665124</v>
      </c>
      <c r="I50" s="127">
        <v>0</v>
      </c>
      <c r="J50" s="127">
        <v>0</v>
      </c>
      <c r="K50" s="127">
        <v>39.792677602929452</v>
      </c>
      <c r="L50" s="127">
        <v>1.0033584525755335</v>
      </c>
      <c r="M50" s="56"/>
    </row>
    <row r="51" spans="2:13">
      <c r="B51" s="55"/>
      <c r="C51" s="60">
        <v>46</v>
      </c>
      <c r="D51" s="127">
        <v>20.5</v>
      </c>
      <c r="E51" s="127">
        <v>10</v>
      </c>
      <c r="F51" s="127">
        <v>1.7</v>
      </c>
      <c r="G51" s="127">
        <f>ETo!$I51*((1-Constantes!$D$19)*ETo!$K51+ETo!$L51)</f>
        <v>4.3015724044423695</v>
      </c>
      <c r="H51" s="127">
        <v>1.2173372095634136</v>
      </c>
      <c r="I51" s="127">
        <v>0</v>
      </c>
      <c r="J51" s="127">
        <v>0</v>
      </c>
      <c r="K51" s="127">
        <v>134.4068951621245</v>
      </c>
      <c r="L51" s="127">
        <v>1.0028288469022764</v>
      </c>
      <c r="M51" s="56"/>
    </row>
    <row r="52" spans="2:13">
      <c r="B52" s="55"/>
      <c r="C52" s="60">
        <v>47</v>
      </c>
      <c r="D52" s="127">
        <v>20.7</v>
      </c>
      <c r="E52" s="127">
        <v>9.1</v>
      </c>
      <c r="F52" s="127">
        <v>18.100000000000001</v>
      </c>
      <c r="G52" s="127">
        <f>ETo!$I52*((1-Constantes!$D$19)*ETo!$K52+ETo!$L52)</f>
        <v>4.2662340807506807</v>
      </c>
      <c r="H52" s="127">
        <v>3.3952154230607219</v>
      </c>
      <c r="I52" s="127">
        <v>0</v>
      </c>
      <c r="J52" s="127">
        <v>0</v>
      </c>
      <c r="K52" s="127">
        <v>0</v>
      </c>
      <c r="L52" s="127">
        <v>2.3314911773290614</v>
      </c>
      <c r="M52" s="56"/>
    </row>
    <row r="53" spans="2:13">
      <c r="B53" s="55"/>
      <c r="C53" s="60">
        <v>48</v>
      </c>
      <c r="D53" s="127">
        <v>21.8</v>
      </c>
      <c r="E53" s="127">
        <v>8.1</v>
      </c>
      <c r="F53" s="127">
        <v>1.4</v>
      </c>
      <c r="G53" s="127">
        <f>ETo!$I53*((1-Constantes!$D$19)*ETo!$K53+ETo!$L53)</f>
        <v>4.2655384620621728</v>
      </c>
      <c r="H53" s="127">
        <v>1.5414560032866587</v>
      </c>
      <c r="I53" s="127">
        <v>0</v>
      </c>
      <c r="J53" s="127">
        <v>0</v>
      </c>
      <c r="K53" s="127">
        <v>9.8238347283588343</v>
      </c>
      <c r="L53" s="127">
        <v>1.0187370675949043</v>
      </c>
      <c r="M53" s="56"/>
    </row>
    <row r="54" spans="2:13">
      <c r="B54" s="55"/>
      <c r="C54" s="60">
        <v>49</v>
      </c>
      <c r="D54" s="127">
        <v>23.8</v>
      </c>
      <c r="E54" s="127">
        <v>8</v>
      </c>
      <c r="F54" s="127">
        <v>12.5</v>
      </c>
      <c r="G54" s="127">
        <f>ETo!$I54*((1-Constantes!$D$19)*ETo!$K54+ETo!$L54)</f>
        <v>4.3428985179672717</v>
      </c>
      <c r="H54" s="127">
        <v>2.3116266113290607</v>
      </c>
      <c r="I54" s="127">
        <v>0</v>
      </c>
      <c r="J54" s="127">
        <v>0</v>
      </c>
      <c r="K54" s="127">
        <v>0</v>
      </c>
      <c r="L54" s="127">
        <v>1.0307948620481349</v>
      </c>
      <c r="M54" s="56"/>
    </row>
    <row r="55" spans="2:13">
      <c r="B55" s="55"/>
      <c r="C55" s="60">
        <v>50</v>
      </c>
      <c r="D55" s="127">
        <v>21.7</v>
      </c>
      <c r="E55" s="127">
        <v>7.5</v>
      </c>
      <c r="F55" s="127">
        <v>0</v>
      </c>
      <c r="G55" s="127">
        <f>ETo!$I55*((1-Constantes!$D$19)*ETo!$K55+ETo!$L55)</f>
        <v>4.2243443772128231</v>
      </c>
      <c r="H55" s="127">
        <v>1.5438254277009555</v>
      </c>
      <c r="I55" s="127">
        <v>0</v>
      </c>
      <c r="J55" s="127">
        <v>0</v>
      </c>
      <c r="K55" s="127">
        <v>0</v>
      </c>
      <c r="L55" s="127">
        <v>1.0325484460238321</v>
      </c>
      <c r="M55" s="56"/>
    </row>
    <row r="56" spans="2:13">
      <c r="B56" s="55"/>
      <c r="C56" s="60">
        <v>51</v>
      </c>
      <c r="D56" s="127">
        <v>20</v>
      </c>
      <c r="E56" s="127">
        <v>6</v>
      </c>
      <c r="F56" s="127">
        <v>24</v>
      </c>
      <c r="G56" s="127">
        <f>ETo!$I56*((1-Constantes!$D$19)*ETo!$K56+ETo!$L56)</f>
        <v>4.0799958131706378</v>
      </c>
      <c r="H56" s="127">
        <v>5.268308813292637</v>
      </c>
      <c r="I56" s="127">
        <v>0</v>
      </c>
      <c r="J56" s="127">
        <v>0</v>
      </c>
      <c r="K56" s="127">
        <v>0</v>
      </c>
      <c r="L56" s="127">
        <v>4.7149072951742967</v>
      </c>
      <c r="M56" s="56"/>
    </row>
    <row r="57" spans="2:13">
      <c r="B57" s="55"/>
      <c r="C57" s="60">
        <v>52</v>
      </c>
      <c r="D57" s="127">
        <v>17.399999999999999</v>
      </c>
      <c r="E57" s="127">
        <v>5</v>
      </c>
      <c r="F57" s="127">
        <v>12.1</v>
      </c>
      <c r="G57" s="127">
        <f>ETo!$I57*((1-Constantes!$D$19)*ETo!$K57+ETo!$L57)</f>
        <v>3.9184926714917032</v>
      </c>
      <c r="H57" s="127">
        <v>2.4614053137426222</v>
      </c>
      <c r="I57" s="127">
        <v>0</v>
      </c>
      <c r="J57" s="127">
        <v>0</v>
      </c>
      <c r="K57" s="127">
        <v>0</v>
      </c>
      <c r="L57" s="127">
        <v>1.058524051846675</v>
      </c>
      <c r="M57" s="56"/>
    </row>
    <row r="58" spans="2:13">
      <c r="B58" s="55"/>
      <c r="C58" s="60">
        <v>53</v>
      </c>
      <c r="D58" s="127">
        <v>16.399999999999999</v>
      </c>
      <c r="E58" s="127">
        <v>5</v>
      </c>
      <c r="F58" s="127">
        <v>6.8</v>
      </c>
      <c r="G58" s="127">
        <f>ETo!$I58*((1-Constantes!$D$19)*ETo!$K58+ETo!$L58)</f>
        <v>3.86943800679532</v>
      </c>
      <c r="H58" s="127">
        <v>1.956252497450039</v>
      </c>
      <c r="I58" s="127">
        <v>0</v>
      </c>
      <c r="J58" s="127">
        <v>0</v>
      </c>
      <c r="K58" s="127">
        <v>16.741517492921258</v>
      </c>
      <c r="L58" s="127">
        <v>1.0640894235756075</v>
      </c>
      <c r="M58" s="56"/>
    </row>
    <row r="59" spans="2:13">
      <c r="B59" s="55"/>
      <c r="C59" s="60">
        <v>54</v>
      </c>
      <c r="D59" s="127">
        <v>20.5</v>
      </c>
      <c r="E59" s="127">
        <v>8</v>
      </c>
      <c r="F59" s="127">
        <v>27.7</v>
      </c>
      <c r="G59" s="127">
        <f>ETo!$I59*((1-Constantes!$D$19)*ETo!$K59+ETo!$L59)</f>
        <v>4.1697045698528425</v>
      </c>
      <c r="H59" s="127">
        <v>6.8407540069502977</v>
      </c>
      <c r="I59" s="127">
        <v>0</v>
      </c>
      <c r="J59" s="127">
        <v>0</v>
      </c>
      <c r="K59" s="127">
        <v>265.59205535887259</v>
      </c>
      <c r="L59" s="127">
        <v>6.6289806653156962</v>
      </c>
      <c r="M59" s="56"/>
    </row>
    <row r="60" spans="2:13">
      <c r="B60" s="55"/>
      <c r="C60" s="60">
        <v>55</v>
      </c>
      <c r="D60" s="127">
        <v>21.5</v>
      </c>
      <c r="E60" s="127">
        <v>7.5</v>
      </c>
      <c r="F60" s="127">
        <v>9</v>
      </c>
      <c r="G60" s="127">
        <f>ETo!$I60*((1-Constantes!$D$19)*ETo!$K60+ETo!$L60)</f>
        <v>4.1845658022054586</v>
      </c>
      <c r="H60" s="127">
        <v>2.3428761560723417</v>
      </c>
      <c r="I60" s="127">
        <v>0</v>
      </c>
      <c r="J60" s="127">
        <v>0</v>
      </c>
      <c r="K60" s="127">
        <v>0</v>
      </c>
      <c r="L60" s="127">
        <v>1.0863569810901652</v>
      </c>
      <c r="M60" s="56"/>
    </row>
    <row r="61" spans="2:13">
      <c r="B61" s="55"/>
      <c r="C61" s="60">
        <v>56</v>
      </c>
      <c r="D61" s="127">
        <v>19.8</v>
      </c>
      <c r="E61" s="127">
        <v>8.5</v>
      </c>
      <c r="F61" s="127">
        <v>0.5</v>
      </c>
      <c r="G61" s="127">
        <f>ETo!$I61*((1-Constantes!$D$19)*ETo!$K61+ETo!$L61)</f>
        <v>4.1474469226212953</v>
      </c>
      <c r="H61" s="127">
        <v>2.0279643365142075</v>
      </c>
      <c r="I61" s="127">
        <v>0</v>
      </c>
      <c r="J61" s="127">
        <v>0</v>
      </c>
      <c r="K61" s="127">
        <v>0.31269447813933815</v>
      </c>
      <c r="L61" s="127">
        <v>1.0910027378169305</v>
      </c>
      <c r="M61" s="56"/>
    </row>
    <row r="62" spans="2:13">
      <c r="B62" s="55"/>
      <c r="C62" s="60">
        <v>57</v>
      </c>
      <c r="D62" s="127">
        <v>21.2</v>
      </c>
      <c r="E62" s="127">
        <v>9.5</v>
      </c>
      <c r="F62" s="127">
        <v>0</v>
      </c>
      <c r="G62" s="127">
        <f>ETo!$I62*((1-Constantes!$D$19)*ETo!$K62+ETo!$L62)</f>
        <v>4.2434752150694761</v>
      </c>
      <c r="H62" s="127">
        <v>1.9122849593360747</v>
      </c>
      <c r="I62" s="127">
        <v>0</v>
      </c>
      <c r="J62" s="127">
        <v>0</v>
      </c>
      <c r="K62" s="127">
        <v>0</v>
      </c>
      <c r="L62" s="127">
        <v>1.0945781523867031</v>
      </c>
      <c r="M62" s="56"/>
    </row>
    <row r="63" spans="2:13">
      <c r="B63" s="55"/>
      <c r="C63" s="60">
        <v>58</v>
      </c>
      <c r="D63" s="127">
        <v>17</v>
      </c>
      <c r="E63" s="127">
        <v>8.8000000000000007</v>
      </c>
      <c r="F63" s="127">
        <v>1.1000000000000001</v>
      </c>
      <c r="G63" s="127">
        <f>ETo!$I63*((1-Constantes!$D$19)*ETo!$K63+ETo!$L63)</f>
        <v>4.0255661683871482</v>
      </c>
      <c r="H63" s="127">
        <v>1.8414231349023102</v>
      </c>
      <c r="I63" s="127">
        <v>0</v>
      </c>
      <c r="J63" s="127">
        <v>0</v>
      </c>
      <c r="K63" s="127">
        <v>0</v>
      </c>
      <c r="L63" s="127">
        <v>1.0974786707384765</v>
      </c>
      <c r="M63" s="56"/>
    </row>
    <row r="64" spans="2:13">
      <c r="B64" s="55"/>
      <c r="C64" s="60">
        <v>59</v>
      </c>
      <c r="D64" s="127">
        <v>20.5</v>
      </c>
      <c r="E64" s="127">
        <v>8.4</v>
      </c>
      <c r="F64" s="127">
        <v>0.4</v>
      </c>
      <c r="G64" s="127">
        <f>ETo!$I64*((1-Constantes!$D$19)*ETo!$K64+ETo!$L64)</f>
        <v>4.1507568890001725</v>
      </c>
      <c r="H64" s="127">
        <v>1.7468009173253582</v>
      </c>
      <c r="I64" s="127">
        <v>0</v>
      </c>
      <c r="J64" s="127">
        <v>0</v>
      </c>
      <c r="K64" s="127">
        <v>0</v>
      </c>
      <c r="L64" s="127">
        <v>1.0995152269471415</v>
      </c>
      <c r="M64" s="56"/>
    </row>
    <row r="65" spans="2:13">
      <c r="B65" s="55"/>
      <c r="C65" s="60">
        <v>60</v>
      </c>
      <c r="D65" s="127">
        <v>20.6</v>
      </c>
      <c r="E65" s="127">
        <v>8.4</v>
      </c>
      <c r="F65" s="127">
        <v>0</v>
      </c>
      <c r="G65" s="127">
        <f>ETo!$I65*((1-Constantes!$D$19)*ETo!$K65+ETo!$L65)</f>
        <v>4.1469928071408235</v>
      </c>
      <c r="H65" s="127">
        <v>1.6416058517647789</v>
      </c>
      <c r="I65" s="127">
        <v>0</v>
      </c>
      <c r="J65" s="127">
        <v>0</v>
      </c>
      <c r="K65" s="127">
        <v>0</v>
      </c>
      <c r="L65" s="127">
        <v>1.1006131964738437</v>
      </c>
      <c r="M65" s="56"/>
    </row>
    <row r="66" spans="2:13">
      <c r="B66" s="55"/>
      <c r="C66" s="60">
        <v>61</v>
      </c>
      <c r="D66" s="127">
        <v>22</v>
      </c>
      <c r="E66" s="127">
        <v>6.2</v>
      </c>
      <c r="F66" s="127">
        <v>3.4</v>
      </c>
      <c r="G66" s="127">
        <f>ETo!$I66*((1-Constantes!$D$19)*ETo!$K66+ETo!$L66)</f>
        <v>4.1045063034168434</v>
      </c>
      <c r="H66" s="127">
        <v>1.6562901632511569</v>
      </c>
      <c r="I66" s="127">
        <v>0</v>
      </c>
      <c r="J66" s="127">
        <v>0</v>
      </c>
      <c r="K66" s="127">
        <v>0</v>
      </c>
      <c r="L66" s="127">
        <v>1.1017960334111263</v>
      </c>
      <c r="M66" s="56"/>
    </row>
    <row r="67" spans="2:13">
      <c r="B67" s="55"/>
      <c r="C67" s="60">
        <v>62</v>
      </c>
      <c r="D67" s="127">
        <v>21.2</v>
      </c>
      <c r="E67" s="127">
        <v>7</v>
      </c>
      <c r="F67" s="127">
        <v>0</v>
      </c>
      <c r="G67" s="127">
        <f>ETo!$I67*((1-Constantes!$D$19)*ETo!$K67+ETo!$L67)</f>
        <v>4.0959702655406396</v>
      </c>
      <c r="H67" s="127">
        <v>1.554571674700465</v>
      </c>
      <c r="I67" s="127">
        <v>0</v>
      </c>
      <c r="J67" s="127">
        <v>0</v>
      </c>
      <c r="K67" s="127">
        <v>0</v>
      </c>
      <c r="L67" s="127">
        <v>1.1020847122339488</v>
      </c>
      <c r="M67" s="56"/>
    </row>
    <row r="68" spans="2:13">
      <c r="B68" s="55"/>
      <c r="C68" s="60">
        <v>63</v>
      </c>
      <c r="D68" s="127">
        <v>19.8</v>
      </c>
      <c r="E68" s="127">
        <v>10</v>
      </c>
      <c r="F68" s="127">
        <v>2.6</v>
      </c>
      <c r="G68" s="127">
        <f>ETo!$I68*((1-Constantes!$D$19)*ETo!$K68+ETo!$L68)</f>
        <v>4.1552648537102446</v>
      </c>
      <c r="H68" s="127">
        <v>1.5436649264345652</v>
      </c>
      <c r="I68" s="127">
        <v>0</v>
      </c>
      <c r="J68" s="127">
        <v>0</v>
      </c>
      <c r="K68" s="127">
        <v>285.48171270647629</v>
      </c>
      <c r="L68" s="127">
        <v>1.102257011718865</v>
      </c>
      <c r="M68" s="56"/>
    </row>
    <row r="69" spans="2:13">
      <c r="B69" s="55"/>
      <c r="C69" s="60">
        <v>64</v>
      </c>
      <c r="D69" s="127">
        <v>19.5</v>
      </c>
      <c r="E69" s="127">
        <v>8.5</v>
      </c>
      <c r="F69" s="127">
        <v>0</v>
      </c>
      <c r="G69" s="127">
        <f>ETo!$I69*((1-Constantes!$D$19)*ETo!$K69+ETo!$L69)</f>
        <v>4.0695840709926925</v>
      </c>
      <c r="H69" s="127">
        <v>1.4457732217530124</v>
      </c>
      <c r="I69" s="127">
        <v>0</v>
      </c>
      <c r="J69" s="127">
        <v>0</v>
      </c>
      <c r="K69" s="127">
        <v>0</v>
      </c>
      <c r="L69" s="127">
        <v>1.1015847950662878</v>
      </c>
      <c r="M69" s="56"/>
    </row>
    <row r="70" spans="2:13">
      <c r="B70" s="55"/>
      <c r="C70" s="60">
        <v>65</v>
      </c>
      <c r="D70" s="127">
        <v>21.2</v>
      </c>
      <c r="E70" s="127">
        <v>5</v>
      </c>
      <c r="F70" s="127">
        <v>5.8</v>
      </c>
      <c r="G70" s="127">
        <f>ETo!$I70*((1-Constantes!$D$19)*ETo!$K70+ETo!$L70)</f>
        <v>3.9840202268561473</v>
      </c>
      <c r="H70" s="127">
        <v>1.5679672147681845</v>
      </c>
      <c r="I70" s="127">
        <v>0</v>
      </c>
      <c r="J70" s="127">
        <v>0</v>
      </c>
      <c r="K70" s="127">
        <v>0</v>
      </c>
      <c r="L70" s="127">
        <v>1.1024636358102891</v>
      </c>
      <c r="M70" s="56"/>
    </row>
    <row r="71" spans="2:13">
      <c r="B71" s="55"/>
      <c r="C71" s="60">
        <v>66</v>
      </c>
      <c r="D71" s="127">
        <v>17.7</v>
      </c>
      <c r="E71" s="127">
        <v>7.5</v>
      </c>
      <c r="F71" s="127">
        <v>0</v>
      </c>
      <c r="G71" s="127">
        <f>ETo!$I71*((1-Constantes!$D$19)*ETo!$K71+ETo!$L71)</f>
        <v>3.9323290304187295</v>
      </c>
      <c r="H71" s="127">
        <v>1.4531277378914504</v>
      </c>
      <c r="I71" s="127">
        <v>0</v>
      </c>
      <c r="J71" s="127">
        <v>0</v>
      </c>
      <c r="K71" s="127">
        <v>0</v>
      </c>
      <c r="L71" s="127">
        <v>1.1017978614062895</v>
      </c>
      <c r="M71" s="56"/>
    </row>
    <row r="72" spans="2:13">
      <c r="B72" s="55"/>
      <c r="C72" s="60">
        <v>67</v>
      </c>
      <c r="D72" s="127">
        <v>21.5</v>
      </c>
      <c r="E72" s="127">
        <v>7.2</v>
      </c>
      <c r="F72" s="127">
        <v>33.9</v>
      </c>
      <c r="G72" s="127">
        <f>ETo!$I72*((1-Constantes!$D$19)*ETo!$K72+ETo!$L72)</f>
        <v>4.0702611004925551</v>
      </c>
      <c r="H72" s="127">
        <v>9.3468132740992171</v>
      </c>
      <c r="I72" s="127">
        <v>0</v>
      </c>
      <c r="J72" s="127">
        <v>0</v>
      </c>
      <c r="K72" s="127">
        <v>0</v>
      </c>
      <c r="L72" s="127">
        <v>9.7231703399355904</v>
      </c>
      <c r="M72" s="56"/>
    </row>
    <row r="73" spans="2:13">
      <c r="B73" s="55"/>
      <c r="C73" s="60">
        <v>68</v>
      </c>
      <c r="D73" s="127">
        <v>18.7</v>
      </c>
      <c r="E73" s="127">
        <v>7.5</v>
      </c>
      <c r="F73" s="127">
        <v>2</v>
      </c>
      <c r="G73" s="127">
        <f>ETo!$I73*((1-Constantes!$D$19)*ETo!$K73+ETo!$L73)</f>
        <v>3.9548069945423174</v>
      </c>
      <c r="H73" s="127">
        <v>2.056557924933486</v>
      </c>
      <c r="I73" s="127">
        <v>0</v>
      </c>
      <c r="J73" s="127">
        <v>0</v>
      </c>
      <c r="K73" s="127">
        <v>0</v>
      </c>
      <c r="L73" s="127">
        <v>1.1184740636137809</v>
      </c>
      <c r="M73" s="56"/>
    </row>
    <row r="74" spans="2:13">
      <c r="B74" s="55"/>
      <c r="C74" s="60">
        <v>69</v>
      </c>
      <c r="D74" s="127">
        <v>21.8</v>
      </c>
      <c r="E74" s="127">
        <v>7.6</v>
      </c>
      <c r="F74" s="127">
        <v>13.1</v>
      </c>
      <c r="G74" s="127">
        <f>ETo!$I74*((1-Constantes!$D$19)*ETo!$K74+ETo!$L74)</f>
        <v>4.0789345359185596</v>
      </c>
      <c r="H74" s="127">
        <v>2.9018501764971205</v>
      </c>
      <c r="I74" s="127">
        <v>0</v>
      </c>
      <c r="J74" s="127">
        <v>0</v>
      </c>
      <c r="K74" s="127">
        <v>0</v>
      </c>
      <c r="L74" s="127">
        <v>1.5032030778697645</v>
      </c>
      <c r="M74" s="56"/>
    </row>
    <row r="75" spans="2:13">
      <c r="B75" s="55"/>
      <c r="C75" s="60">
        <v>70</v>
      </c>
      <c r="D75" s="127">
        <v>20.2</v>
      </c>
      <c r="E75" s="127">
        <v>6.8</v>
      </c>
      <c r="F75" s="127">
        <v>5.4</v>
      </c>
      <c r="G75" s="127">
        <f>ETo!$I75*((1-Constantes!$D$19)*ETo!$K75+ETo!$L75)</f>
        <v>3.9674591250458451</v>
      </c>
      <c r="H75" s="127">
        <v>2.1734552594877981</v>
      </c>
      <c r="I75" s="127">
        <v>0</v>
      </c>
      <c r="J75" s="127">
        <v>0</v>
      </c>
      <c r="K75" s="127">
        <v>214.33512376174872</v>
      </c>
      <c r="L75" s="127">
        <v>1.1360225468554859</v>
      </c>
      <c r="M75" s="56"/>
    </row>
    <row r="76" spans="2:13">
      <c r="B76" s="55"/>
      <c r="C76" s="60">
        <v>71</v>
      </c>
      <c r="D76" s="127">
        <v>20</v>
      </c>
      <c r="E76" s="127">
        <v>8</v>
      </c>
      <c r="F76" s="127">
        <v>20.100000000000001</v>
      </c>
      <c r="G76" s="127">
        <f>ETo!$I76*((1-Constantes!$D$19)*ETo!$K76+ETo!$L76)</f>
        <v>3.998343730856508</v>
      </c>
      <c r="H76" s="127">
        <v>4.6054455786262913</v>
      </c>
      <c r="I76" s="127">
        <v>0</v>
      </c>
      <c r="J76" s="127">
        <v>0</v>
      </c>
      <c r="K76" s="127">
        <v>4.0469119425200182</v>
      </c>
      <c r="L76" s="127">
        <v>3.7541337253690221</v>
      </c>
      <c r="M76" s="56"/>
    </row>
    <row r="77" spans="2:13">
      <c r="B77" s="55"/>
      <c r="C77" s="60">
        <v>72</v>
      </c>
      <c r="D77" s="127">
        <v>20.6</v>
      </c>
      <c r="E77" s="127">
        <v>7.5</v>
      </c>
      <c r="F77" s="127">
        <v>8.5</v>
      </c>
      <c r="G77" s="127">
        <f>ETo!$I77*((1-Constantes!$D$19)*ETo!$K77+ETo!$L77)</f>
        <v>3.9912292131257829</v>
      </c>
      <c r="H77" s="127">
        <v>2.5096134060582695</v>
      </c>
      <c r="I77" s="127">
        <v>0</v>
      </c>
      <c r="J77" s="127">
        <v>0</v>
      </c>
      <c r="K77" s="127">
        <v>0</v>
      </c>
      <c r="L77" s="127">
        <v>1.1569525420194617</v>
      </c>
      <c r="M77" s="56"/>
    </row>
    <row r="78" spans="2:13">
      <c r="B78" s="55"/>
      <c r="C78" s="60">
        <v>73</v>
      </c>
      <c r="D78" s="127">
        <v>16.600000000000001</v>
      </c>
      <c r="E78" s="127">
        <v>8</v>
      </c>
      <c r="F78" s="127">
        <v>3.4</v>
      </c>
      <c r="G78" s="127">
        <f>ETo!$I78*((1-Constantes!$D$19)*ETo!$K78+ETo!$L78)</f>
        <v>3.8342218584254351</v>
      </c>
      <c r="H78" s="127">
        <v>2.3328614266619714</v>
      </c>
      <c r="I78" s="127">
        <v>0</v>
      </c>
      <c r="J78" s="127">
        <v>0</v>
      </c>
      <c r="K78" s="127">
        <v>0</v>
      </c>
      <c r="L78" s="127">
        <v>1.1627816753791345</v>
      </c>
      <c r="M78" s="56"/>
    </row>
    <row r="79" spans="2:13">
      <c r="B79" s="55"/>
      <c r="C79" s="60">
        <v>74</v>
      </c>
      <c r="D79" s="127">
        <v>16.399999999999999</v>
      </c>
      <c r="E79" s="127">
        <v>9</v>
      </c>
      <c r="F79" s="127">
        <v>5.6</v>
      </c>
      <c r="G79" s="127">
        <f>ETo!$I79*((1-Constantes!$D$19)*ETo!$K79+ETo!$L79)</f>
        <v>3.8558802161581553</v>
      </c>
      <c r="H79" s="127">
        <v>2.3593596997005997</v>
      </c>
      <c r="I79" s="127">
        <v>0</v>
      </c>
      <c r="J79" s="127">
        <v>0</v>
      </c>
      <c r="K79" s="127">
        <v>0</v>
      </c>
      <c r="L79" s="127">
        <v>1.1692256048646983</v>
      </c>
      <c r="M79" s="56"/>
    </row>
    <row r="80" spans="2:13">
      <c r="B80" s="55"/>
      <c r="C80" s="60">
        <v>75</v>
      </c>
      <c r="D80" s="127">
        <v>17.600000000000001</v>
      </c>
      <c r="E80" s="127">
        <v>9</v>
      </c>
      <c r="F80" s="127">
        <v>18.3</v>
      </c>
      <c r="G80" s="127">
        <f>ETo!$I80*((1-Constantes!$D$19)*ETo!$K80+ETo!$L80)</f>
        <v>3.8936438990683766</v>
      </c>
      <c r="H80" s="127">
        <v>4.3023523663830732</v>
      </c>
      <c r="I80" s="127">
        <v>0</v>
      </c>
      <c r="J80" s="127">
        <v>0</v>
      </c>
      <c r="K80" s="127">
        <v>0</v>
      </c>
      <c r="L80" s="127">
        <v>3.325499759288157</v>
      </c>
      <c r="M80" s="56"/>
    </row>
    <row r="81" spans="2:13">
      <c r="B81" s="55"/>
      <c r="C81" s="60">
        <v>76</v>
      </c>
      <c r="D81" s="127">
        <v>17.600000000000001</v>
      </c>
      <c r="E81" s="127">
        <v>9.3000000000000007</v>
      </c>
      <c r="F81" s="127">
        <v>0.2</v>
      </c>
      <c r="G81" s="127">
        <f>ETo!$I81*((1-Constantes!$D$19)*ETo!$K81+ETo!$L81)</f>
        <v>3.8937926583255318</v>
      </c>
      <c r="H81" s="127">
        <v>2.3562536234519964</v>
      </c>
      <c r="I81" s="127">
        <v>0</v>
      </c>
      <c r="J81" s="127">
        <v>0</v>
      </c>
      <c r="K81" s="127">
        <v>0</v>
      </c>
      <c r="L81" s="127">
        <v>1.1861626902123361</v>
      </c>
      <c r="M81" s="56"/>
    </row>
    <row r="82" spans="2:13">
      <c r="B82" s="55"/>
      <c r="C82" s="60">
        <v>77</v>
      </c>
      <c r="D82" s="127">
        <v>20.2</v>
      </c>
      <c r="E82" s="127">
        <v>9.6999999999999993</v>
      </c>
      <c r="F82" s="127">
        <v>2.2000000000000002</v>
      </c>
      <c r="G82" s="127">
        <f>ETo!$I82*((1-Constantes!$D$19)*ETo!$K82+ETo!$L82)</f>
        <v>4.0048457535301605</v>
      </c>
      <c r="H82" s="127">
        <v>2.3163146530564633</v>
      </c>
      <c r="I82" s="127">
        <v>0</v>
      </c>
      <c r="J82" s="127">
        <v>0</v>
      </c>
      <c r="K82" s="127">
        <v>9.8238347283588343</v>
      </c>
      <c r="L82" s="127">
        <v>1.1912898391097353</v>
      </c>
      <c r="M82" s="56"/>
    </row>
    <row r="83" spans="2:13">
      <c r="B83" s="55"/>
      <c r="C83" s="60">
        <v>78</v>
      </c>
      <c r="D83" s="127">
        <v>21.3</v>
      </c>
      <c r="E83" s="127">
        <v>9.8000000000000007</v>
      </c>
      <c r="F83" s="127">
        <v>0.2</v>
      </c>
      <c r="G83" s="127">
        <f>ETo!$I83*((1-Constantes!$D$19)*ETo!$K83+ETo!$L83)</f>
        <v>4.0411547898899194</v>
      </c>
      <c r="H83" s="127">
        <v>2.2086844197465547</v>
      </c>
      <c r="I83" s="127">
        <v>0</v>
      </c>
      <c r="J83" s="127">
        <v>0</v>
      </c>
      <c r="K83" s="127">
        <v>400.56127797327457</v>
      </c>
      <c r="L83" s="127">
        <v>1.1954129007626957</v>
      </c>
      <c r="M83" s="56"/>
    </row>
    <row r="84" spans="2:13">
      <c r="B84" s="55"/>
      <c r="C84" s="60">
        <v>79</v>
      </c>
      <c r="D84" s="127">
        <v>20.6</v>
      </c>
      <c r="E84" s="127">
        <v>8.8000000000000007</v>
      </c>
      <c r="F84" s="127">
        <v>3.6</v>
      </c>
      <c r="G84" s="127">
        <f>ETo!$I84*((1-Constantes!$D$19)*ETo!$K84+ETo!$L84)</f>
        <v>3.9578091074791084</v>
      </c>
      <c r="H84" s="127">
        <v>2.2216181054241204</v>
      </c>
      <c r="I84" s="127">
        <v>0</v>
      </c>
      <c r="J84" s="127">
        <v>0</v>
      </c>
      <c r="K84" s="127">
        <v>343.55264240530244</v>
      </c>
      <c r="L84" s="127">
        <v>1.1995682751960035</v>
      </c>
      <c r="M84" s="56"/>
    </row>
    <row r="85" spans="2:13">
      <c r="B85" s="55"/>
      <c r="C85" s="60">
        <v>80</v>
      </c>
      <c r="D85" s="127">
        <v>17.5</v>
      </c>
      <c r="E85" s="127">
        <v>8.6999999999999993</v>
      </c>
      <c r="F85" s="127">
        <v>0</v>
      </c>
      <c r="G85" s="127">
        <f>ETo!$I85*((1-Constantes!$D$19)*ETo!$K85+ETo!$L85)</f>
        <v>3.8136252460090012</v>
      </c>
      <c r="H85" s="127">
        <v>2.1135830543938239</v>
      </c>
      <c r="I85" s="127">
        <v>0</v>
      </c>
      <c r="J85" s="127">
        <v>0</v>
      </c>
      <c r="K85" s="127">
        <v>0</v>
      </c>
      <c r="L85" s="127">
        <v>1.2027280058639476</v>
      </c>
      <c r="M85" s="56"/>
    </row>
    <row r="86" spans="2:13">
      <c r="B86" s="55"/>
      <c r="C86" s="60">
        <v>81</v>
      </c>
      <c r="D86" s="127">
        <v>21.8</v>
      </c>
      <c r="E86" s="127">
        <v>4.8</v>
      </c>
      <c r="F86" s="127">
        <v>1.7</v>
      </c>
      <c r="G86" s="127">
        <f>ETo!$I86*((1-Constantes!$D$19)*ETo!$K86+ETo!$L86)</f>
        <v>3.8164060250902287</v>
      </c>
      <c r="H86" s="127">
        <v>2.0667826046999278</v>
      </c>
      <c r="I86" s="127">
        <v>0</v>
      </c>
      <c r="J86" s="127">
        <v>0</v>
      </c>
      <c r="K86" s="127">
        <v>0</v>
      </c>
      <c r="L86" s="127">
        <v>1.2054292199177374</v>
      </c>
      <c r="M86" s="56"/>
    </row>
    <row r="87" spans="2:13">
      <c r="B87" s="55"/>
      <c r="C87" s="60">
        <v>82</v>
      </c>
      <c r="D87" s="127">
        <v>17.8</v>
      </c>
      <c r="E87" s="127">
        <v>5.7</v>
      </c>
      <c r="F87" s="127">
        <v>2.2999999999999998</v>
      </c>
      <c r="G87" s="127">
        <f>ETo!$I87*((1-Constantes!$D$19)*ETo!$K87+ETo!$L87)</f>
        <v>3.6772870521697634</v>
      </c>
      <c r="H87" s="127">
        <v>2.0440356159383235</v>
      </c>
      <c r="I87" s="127">
        <v>0</v>
      </c>
      <c r="J87" s="127">
        <v>0</v>
      </c>
      <c r="K87" s="127">
        <v>5.4432146480880519</v>
      </c>
      <c r="L87" s="127">
        <v>1.2078827697618437</v>
      </c>
      <c r="M87" s="56"/>
    </row>
    <row r="88" spans="2:13">
      <c r="B88" s="55"/>
      <c r="C88" s="60">
        <v>83</v>
      </c>
      <c r="D88" s="127">
        <v>22.5</v>
      </c>
      <c r="E88" s="127">
        <v>3.7</v>
      </c>
      <c r="F88" s="127">
        <v>0</v>
      </c>
      <c r="G88" s="127">
        <f>ETo!$I88*((1-Constantes!$D$19)*ETo!$K88+ETo!$L88)</f>
        <v>3.7724882908933872</v>
      </c>
      <c r="H88" s="127">
        <v>1.9418248897828101</v>
      </c>
      <c r="I88" s="127">
        <v>0</v>
      </c>
      <c r="J88" s="127">
        <v>0</v>
      </c>
      <c r="K88" s="127">
        <v>0</v>
      </c>
      <c r="L88" s="127">
        <v>1.2094246870896819</v>
      </c>
      <c r="M88" s="56"/>
    </row>
    <row r="89" spans="2:13">
      <c r="B89" s="55"/>
      <c r="C89" s="60">
        <v>84</v>
      </c>
      <c r="D89" s="127">
        <v>22.5</v>
      </c>
      <c r="E89" s="127">
        <v>7.8</v>
      </c>
      <c r="F89" s="127">
        <v>0</v>
      </c>
      <c r="G89" s="127">
        <f>ETo!$I89*((1-Constantes!$D$19)*ETo!$K89+ETo!$L89)</f>
        <v>3.9236443746274121</v>
      </c>
      <c r="H89" s="127">
        <v>1.8402693663725844</v>
      </c>
      <c r="I89" s="127">
        <v>0</v>
      </c>
      <c r="J89" s="127">
        <v>0</v>
      </c>
      <c r="K89" s="127">
        <v>0</v>
      </c>
      <c r="L89" s="127">
        <v>1.2100743922214423</v>
      </c>
      <c r="M89" s="56"/>
    </row>
    <row r="90" spans="2:13">
      <c r="B90" s="55"/>
      <c r="C90" s="60">
        <v>85</v>
      </c>
      <c r="D90" s="127">
        <v>21.7</v>
      </c>
      <c r="E90" s="127">
        <v>6.4</v>
      </c>
      <c r="F90" s="127">
        <v>0</v>
      </c>
      <c r="G90" s="127">
        <f>ETo!$I90*((1-Constantes!$D$19)*ETo!$K90+ETo!$L90)</f>
        <v>3.8201061255062783</v>
      </c>
      <c r="H90" s="127">
        <v>1.7436099901210342</v>
      </c>
      <c r="I90" s="127">
        <v>0</v>
      </c>
      <c r="J90" s="127">
        <v>0</v>
      </c>
      <c r="K90" s="127">
        <v>0</v>
      </c>
      <c r="L90" s="127">
        <v>1.2098880399378018</v>
      </c>
      <c r="M90" s="56"/>
    </row>
    <row r="91" spans="2:13">
      <c r="B91" s="55"/>
      <c r="C91" s="60">
        <v>86</v>
      </c>
      <c r="D91" s="127">
        <v>21.9</v>
      </c>
      <c r="E91" s="127">
        <v>7.4</v>
      </c>
      <c r="F91" s="127">
        <v>0</v>
      </c>
      <c r="G91" s="127">
        <f>ETo!$I91*((1-Constantes!$D$19)*ETo!$K91+ETo!$L91)</f>
        <v>3.8532942912669204</v>
      </c>
      <c r="H91" s="127">
        <v>1.649395639465888</v>
      </c>
      <c r="I91" s="127">
        <v>0</v>
      </c>
      <c r="J91" s="127">
        <v>0</v>
      </c>
      <c r="K91" s="127">
        <v>0</v>
      </c>
      <c r="L91" s="127">
        <v>1.208899531122607</v>
      </c>
      <c r="M91" s="56"/>
    </row>
    <row r="92" spans="2:13">
      <c r="B92" s="55"/>
      <c r="C92" s="60">
        <v>87</v>
      </c>
      <c r="D92" s="127">
        <v>21.4</v>
      </c>
      <c r="E92" s="127">
        <v>5.2</v>
      </c>
      <c r="F92" s="127">
        <v>11.7</v>
      </c>
      <c r="G92" s="127">
        <f>ETo!$I92*((1-Constantes!$D$19)*ETo!$K92+ETo!$L92)</f>
        <v>3.7302297657911159</v>
      </c>
      <c r="H92" s="127">
        <v>2.4745970659183545</v>
      </c>
      <c r="I92" s="127">
        <v>0</v>
      </c>
      <c r="J92" s="127">
        <v>0</v>
      </c>
      <c r="K92" s="127">
        <v>0</v>
      </c>
      <c r="L92" s="127">
        <v>1.2179337536047621</v>
      </c>
      <c r="M92" s="56"/>
    </row>
    <row r="93" spans="2:13">
      <c r="B93" s="55"/>
      <c r="C93" s="60">
        <v>88</v>
      </c>
      <c r="D93" s="127">
        <v>22.2</v>
      </c>
      <c r="E93" s="127">
        <v>6</v>
      </c>
      <c r="F93" s="127">
        <v>0</v>
      </c>
      <c r="G93" s="127">
        <f>ETo!$I93*((1-Constantes!$D$19)*ETo!$K93+ETo!$L93)</f>
        <v>3.7786385520291255</v>
      </c>
      <c r="H93" s="127">
        <v>1.84026242571557</v>
      </c>
      <c r="I93" s="127">
        <v>0</v>
      </c>
      <c r="J93" s="127">
        <v>0</v>
      </c>
      <c r="K93" s="127">
        <v>0</v>
      </c>
      <c r="L93" s="127">
        <v>1.2182991651146349</v>
      </c>
      <c r="M93" s="56"/>
    </row>
    <row r="94" spans="2:13">
      <c r="B94" s="55"/>
      <c r="C94" s="60">
        <v>89</v>
      </c>
      <c r="D94" s="127">
        <v>20.3</v>
      </c>
      <c r="E94" s="127">
        <v>5.5</v>
      </c>
      <c r="F94" s="127">
        <v>1.7</v>
      </c>
      <c r="G94" s="127">
        <f>ETo!$I94*((1-Constantes!$D$19)*ETo!$K94+ETo!$L94)</f>
        <v>3.6680650078344463</v>
      </c>
      <c r="H94" s="127">
        <v>1.8029017356293684</v>
      </c>
      <c r="I94" s="127">
        <v>0</v>
      </c>
      <c r="J94" s="127">
        <v>0</v>
      </c>
      <c r="K94" s="127">
        <v>0</v>
      </c>
      <c r="L94" s="127">
        <v>1.218338585899057</v>
      </c>
      <c r="M94" s="56"/>
    </row>
    <row r="95" spans="2:13">
      <c r="B95" s="55"/>
      <c r="C95" s="60">
        <v>90</v>
      </c>
      <c r="D95" s="127">
        <v>22</v>
      </c>
      <c r="E95" s="127">
        <v>7</v>
      </c>
      <c r="F95" s="127">
        <v>0</v>
      </c>
      <c r="G95" s="127">
        <f>ETo!$I95*((1-Constantes!$D$19)*ETo!$K95+ETo!$L95)</f>
        <v>3.7788399416855518</v>
      </c>
      <c r="H95" s="127">
        <v>1.7067722329624782</v>
      </c>
      <c r="I95" s="127">
        <v>0</v>
      </c>
      <c r="J95" s="127">
        <v>0</v>
      </c>
      <c r="K95" s="127">
        <v>0</v>
      </c>
      <c r="L95" s="127">
        <v>1.2175628227377493</v>
      </c>
      <c r="M95" s="56"/>
    </row>
    <row r="96" spans="2:13">
      <c r="B96" s="55"/>
      <c r="C96" s="60">
        <v>91</v>
      </c>
      <c r="D96" s="127">
        <v>22.3</v>
      </c>
      <c r="E96" s="127">
        <v>6.7</v>
      </c>
      <c r="F96" s="127">
        <v>0</v>
      </c>
      <c r="G96" s="127">
        <f>ETo!$I96*((1-Constantes!$D$19)*ETo!$K96+ETo!$L96)</f>
        <v>3.7627010146753448</v>
      </c>
      <c r="H96" s="127">
        <v>1.6139090188549681</v>
      </c>
      <c r="I96" s="127">
        <v>0</v>
      </c>
      <c r="J96" s="127">
        <v>0</v>
      </c>
      <c r="K96" s="127">
        <v>0</v>
      </c>
      <c r="L96" s="127">
        <v>1.2160123734037398</v>
      </c>
      <c r="M96" s="56"/>
    </row>
    <row r="97" spans="2:13">
      <c r="B97" s="55"/>
      <c r="C97" s="60">
        <v>92</v>
      </c>
      <c r="D97" s="127">
        <v>22.4</v>
      </c>
      <c r="E97" s="127">
        <v>7.8</v>
      </c>
      <c r="F97" s="127">
        <v>0</v>
      </c>
      <c r="G97" s="127">
        <f>ETo!$I97*((1-Constantes!$D$19)*ETo!$K97+ETo!$L97)</f>
        <v>3.7935565749358915</v>
      </c>
      <c r="H97" s="127">
        <v>1.5234173601148857</v>
      </c>
      <c r="I97" s="127">
        <v>0</v>
      </c>
      <c r="J97" s="127">
        <v>0</v>
      </c>
      <c r="K97" s="127">
        <v>0</v>
      </c>
      <c r="L97" s="127">
        <v>1.2137193181452783</v>
      </c>
      <c r="M97" s="56"/>
    </row>
    <row r="98" spans="2:13">
      <c r="B98" s="55"/>
      <c r="C98" s="60">
        <v>93</v>
      </c>
      <c r="D98" s="127">
        <v>22</v>
      </c>
      <c r="E98" s="127">
        <v>6.8</v>
      </c>
      <c r="F98" s="127">
        <v>0.5</v>
      </c>
      <c r="G98" s="127">
        <f>ETo!$I98*((1-Constantes!$D$19)*ETo!$K98+ETo!$L98)</f>
        <v>3.7220021783445802</v>
      </c>
      <c r="H98" s="127">
        <v>1.4539643504233009</v>
      </c>
      <c r="I98" s="127">
        <v>0</v>
      </c>
      <c r="J98" s="127">
        <v>0</v>
      </c>
      <c r="K98" s="127">
        <v>0</v>
      </c>
      <c r="L98" s="127">
        <v>1.2108727199672047</v>
      </c>
      <c r="M98" s="56"/>
    </row>
    <row r="99" spans="2:13">
      <c r="B99" s="55"/>
      <c r="C99" s="60">
        <v>94</v>
      </c>
      <c r="D99" s="127">
        <v>20.5</v>
      </c>
      <c r="E99" s="127">
        <v>7</v>
      </c>
      <c r="F99" s="127">
        <v>0</v>
      </c>
      <c r="G99" s="127">
        <f>ETo!$I99*((1-Constantes!$D$19)*ETo!$K99+ETo!$L99)</f>
        <v>3.6547166236325244</v>
      </c>
      <c r="H99" s="127">
        <v>1.3707006453922901</v>
      </c>
      <c r="I99" s="127">
        <v>0</v>
      </c>
      <c r="J99" s="127">
        <v>0</v>
      </c>
      <c r="K99" s="127">
        <v>0</v>
      </c>
      <c r="L99" s="127">
        <v>1.207365724187226</v>
      </c>
      <c r="M99" s="56"/>
    </row>
    <row r="100" spans="2:13">
      <c r="B100" s="55"/>
      <c r="C100" s="60">
        <v>95</v>
      </c>
      <c r="D100" s="127">
        <v>22.6</v>
      </c>
      <c r="E100" s="127">
        <v>5</v>
      </c>
      <c r="F100" s="127">
        <v>0</v>
      </c>
      <c r="G100" s="127">
        <f>ETo!$I100*((1-Constantes!$D$19)*ETo!$K100+ETo!$L100)</f>
        <v>3.6419132890926575</v>
      </c>
      <c r="H100" s="127">
        <v>1.2902200528905174</v>
      </c>
      <c r="I100" s="127">
        <v>0</v>
      </c>
      <c r="J100" s="127">
        <v>0</v>
      </c>
      <c r="K100" s="127">
        <v>0</v>
      </c>
      <c r="L100" s="127">
        <v>1.2032322861832678</v>
      </c>
      <c r="M100" s="56"/>
    </row>
    <row r="101" spans="2:13">
      <c r="B101" s="55"/>
      <c r="C101" s="60">
        <v>96</v>
      </c>
      <c r="D101" s="127">
        <v>16.8</v>
      </c>
      <c r="E101" s="127">
        <v>6.5</v>
      </c>
      <c r="F101" s="127">
        <v>0</v>
      </c>
      <c r="G101" s="127">
        <f>ETo!$I101*((1-Constantes!$D$19)*ETo!$K101+ETo!$L101)</f>
        <v>3.4598293847137378</v>
      </c>
      <c r="H101" s="127">
        <v>1.2152595052007524</v>
      </c>
      <c r="I101" s="127">
        <v>0</v>
      </c>
      <c r="J101" s="127">
        <v>0</v>
      </c>
      <c r="K101" s="127">
        <v>0</v>
      </c>
      <c r="L101" s="127">
        <v>1.1985297595762354</v>
      </c>
      <c r="M101" s="56"/>
    </row>
    <row r="102" spans="2:13">
      <c r="B102" s="55"/>
      <c r="C102" s="60">
        <v>97</v>
      </c>
      <c r="D102" s="127">
        <v>22.2</v>
      </c>
      <c r="E102" s="127">
        <v>2.1</v>
      </c>
      <c r="F102" s="127">
        <v>0.2</v>
      </c>
      <c r="G102" s="127">
        <f>ETo!$I102*((1-Constantes!$D$19)*ETo!$K102+ETo!$L102)</f>
        <v>3.4816494913213631</v>
      </c>
      <c r="H102" s="127">
        <v>1.1490388729876222</v>
      </c>
      <c r="I102" s="127">
        <v>0</v>
      </c>
      <c r="J102" s="127">
        <v>0</v>
      </c>
      <c r="K102" s="127">
        <v>0</v>
      </c>
      <c r="L102" s="127">
        <v>1.193340523944233</v>
      </c>
      <c r="M102" s="56"/>
    </row>
    <row r="103" spans="2:13">
      <c r="B103" s="55"/>
      <c r="C103" s="60">
        <v>98</v>
      </c>
      <c r="D103" s="127">
        <v>19.3</v>
      </c>
      <c r="E103" s="127">
        <v>5.4</v>
      </c>
      <c r="F103" s="127">
        <v>0</v>
      </c>
      <c r="G103" s="127">
        <f>ETo!$I103*((1-Constantes!$D$19)*ETo!$K103+ETo!$L103)</f>
        <v>3.4802138860153877</v>
      </c>
      <c r="H103" s="127">
        <v>1.0807753160336795</v>
      </c>
      <c r="I103" s="127">
        <v>0</v>
      </c>
      <c r="J103" s="127">
        <v>0</v>
      </c>
      <c r="K103" s="127">
        <v>0</v>
      </c>
      <c r="L103" s="127">
        <v>1.1878524646815274</v>
      </c>
      <c r="M103" s="56"/>
    </row>
    <row r="104" spans="2:13">
      <c r="B104" s="55"/>
      <c r="C104" s="60">
        <v>99</v>
      </c>
      <c r="D104" s="127">
        <v>19.2</v>
      </c>
      <c r="E104" s="127">
        <v>3.8</v>
      </c>
      <c r="F104" s="127">
        <v>0</v>
      </c>
      <c r="G104" s="127">
        <f>ETo!$I104*((1-Constantes!$D$19)*ETo!$K104+ETo!$L104)</f>
        <v>3.3990348939855464</v>
      </c>
      <c r="H104" s="127">
        <v>1.0606774656290725</v>
      </c>
      <c r="I104" s="127">
        <v>0</v>
      </c>
      <c r="J104" s="127">
        <v>0</v>
      </c>
      <c r="K104" s="127">
        <v>0</v>
      </c>
      <c r="L104" s="127">
        <v>1.1823204320767975</v>
      </c>
      <c r="M104" s="56"/>
    </row>
    <row r="105" spans="2:13">
      <c r="B105" s="55"/>
      <c r="C105" s="60">
        <v>100</v>
      </c>
      <c r="D105" s="127">
        <v>18.3</v>
      </c>
      <c r="E105" s="127">
        <v>7.8</v>
      </c>
      <c r="F105" s="127">
        <v>0</v>
      </c>
      <c r="G105" s="127">
        <f>ETo!$I105*((1-Constantes!$D$19)*ETo!$K105+ETo!$L105)</f>
        <v>3.4992500286786012</v>
      </c>
      <c r="H105" s="127">
        <v>1.0486584730463187</v>
      </c>
      <c r="I105" s="127">
        <v>0</v>
      </c>
      <c r="J105" s="127">
        <v>0</v>
      </c>
      <c r="K105" s="127">
        <v>0</v>
      </c>
      <c r="L105" s="127">
        <v>1.1767872708304321</v>
      </c>
      <c r="M105" s="56"/>
    </row>
    <row r="106" spans="2:13">
      <c r="B106" s="55"/>
      <c r="C106" s="60">
        <v>101</v>
      </c>
      <c r="D106" s="127">
        <v>22.6</v>
      </c>
      <c r="E106" s="127">
        <v>4.5</v>
      </c>
      <c r="F106" s="127">
        <v>0</v>
      </c>
      <c r="G106" s="127">
        <f>ETo!$I106*((1-Constantes!$D$19)*ETo!$K106+ETo!$L106)</f>
        <v>3.5196099670235221</v>
      </c>
      <c r="H106" s="127">
        <v>1.0380656222792037</v>
      </c>
      <c r="I106" s="127">
        <v>0</v>
      </c>
      <c r="J106" s="127">
        <v>0</v>
      </c>
      <c r="K106" s="127">
        <v>0</v>
      </c>
      <c r="L106" s="127">
        <v>1.1712606313970715</v>
      </c>
      <c r="M106" s="56"/>
    </row>
    <row r="107" spans="2:13">
      <c r="B107" s="55"/>
      <c r="C107" s="60">
        <v>102</v>
      </c>
      <c r="D107" s="127">
        <v>23</v>
      </c>
      <c r="E107" s="127">
        <v>4</v>
      </c>
      <c r="F107" s="127">
        <v>3.5</v>
      </c>
      <c r="G107" s="127">
        <f>ETo!$I107*((1-Constantes!$D$19)*ETo!$K107+ETo!$L107)</f>
        <v>3.4982285083722817</v>
      </c>
      <c r="H107" s="127">
        <v>1.0887431899739624</v>
      </c>
      <c r="I107" s="127">
        <v>0</v>
      </c>
      <c r="J107" s="127">
        <v>0</v>
      </c>
      <c r="K107" s="127">
        <v>0</v>
      </c>
      <c r="L107" s="127">
        <v>1.1662367206191875</v>
      </c>
      <c r="M107" s="56"/>
    </row>
    <row r="108" spans="2:13">
      <c r="B108" s="55"/>
      <c r="C108" s="60">
        <v>103</v>
      </c>
      <c r="D108" s="127">
        <v>17.5</v>
      </c>
      <c r="E108" s="127">
        <v>3.8</v>
      </c>
      <c r="F108" s="127">
        <v>1.8</v>
      </c>
      <c r="G108" s="127">
        <f>ETo!$I108*((1-Constantes!$D$19)*ETo!$K108+ETo!$L108)</f>
        <v>3.2685015114826248</v>
      </c>
      <c r="H108" s="127">
        <v>1.0833773615611493</v>
      </c>
      <c r="I108" s="127">
        <v>0</v>
      </c>
      <c r="J108" s="127">
        <v>0</v>
      </c>
      <c r="K108" s="127">
        <v>0</v>
      </c>
      <c r="L108" s="127">
        <v>1.161234777154752</v>
      </c>
      <c r="M108" s="56"/>
    </row>
    <row r="109" spans="2:13">
      <c r="B109" s="55"/>
      <c r="C109" s="60">
        <v>104</v>
      </c>
      <c r="D109" s="127">
        <v>22.3</v>
      </c>
      <c r="E109" s="127">
        <v>4.5</v>
      </c>
      <c r="F109" s="127">
        <v>0</v>
      </c>
      <c r="G109" s="127">
        <f>ETo!$I109*((1-Constantes!$D$19)*ETo!$K109+ETo!$L109)</f>
        <v>3.4552480303423629</v>
      </c>
      <c r="H109" s="127">
        <v>1.0185363626944253</v>
      </c>
      <c r="I109" s="127">
        <v>0</v>
      </c>
      <c r="J109" s="127">
        <v>0</v>
      </c>
      <c r="K109" s="127">
        <v>0</v>
      </c>
      <c r="L109" s="127">
        <v>1.1558054586189161</v>
      </c>
      <c r="M109" s="56"/>
    </row>
    <row r="110" spans="2:13">
      <c r="B110" s="55"/>
      <c r="C110" s="60">
        <v>105</v>
      </c>
      <c r="D110" s="127">
        <v>21.3</v>
      </c>
      <c r="E110" s="127">
        <v>1.3</v>
      </c>
      <c r="F110" s="127">
        <v>0</v>
      </c>
      <c r="G110" s="127">
        <f>ETo!$I110*((1-Constantes!$D$19)*ETo!$K110+ETo!$L110)</f>
        <v>3.2824240173078825</v>
      </c>
      <c r="H110" s="127">
        <v>0.99951233700667741</v>
      </c>
      <c r="I110" s="127">
        <v>0</v>
      </c>
      <c r="J110" s="127">
        <v>0</v>
      </c>
      <c r="K110" s="127">
        <v>0</v>
      </c>
      <c r="L110" s="127">
        <v>1.1503141683699076</v>
      </c>
      <c r="M110" s="56"/>
    </row>
    <row r="111" spans="2:13">
      <c r="B111" s="55"/>
      <c r="C111" s="60">
        <v>106</v>
      </c>
      <c r="D111" s="127">
        <v>22.2</v>
      </c>
      <c r="E111" s="127">
        <v>2.7</v>
      </c>
      <c r="F111" s="127">
        <v>0</v>
      </c>
      <c r="G111" s="127">
        <f>ETo!$I111*((1-Constantes!$D$19)*ETo!$K111+ETo!$L111)</f>
        <v>3.3494710887433254</v>
      </c>
      <c r="H111" s="127">
        <v>0.98817244421426786</v>
      </c>
      <c r="I111" s="127">
        <v>0</v>
      </c>
      <c r="J111" s="127">
        <v>0</v>
      </c>
      <c r="K111" s="127">
        <v>0</v>
      </c>
      <c r="L111" s="127">
        <v>1.1448220079263092</v>
      </c>
      <c r="M111" s="56"/>
    </row>
    <row r="112" spans="2:13">
      <c r="B112" s="55"/>
      <c r="C112" s="60">
        <v>107</v>
      </c>
      <c r="D112" s="127">
        <v>21.7</v>
      </c>
      <c r="E112" s="127">
        <v>2.4</v>
      </c>
      <c r="F112" s="127">
        <v>0</v>
      </c>
      <c r="G112" s="127">
        <f>ETo!$I112*((1-Constantes!$D$19)*ETo!$K112+ETo!$L112)</f>
        <v>3.302541631076823</v>
      </c>
      <c r="H112" s="127">
        <v>0.97818825841460821</v>
      </c>
      <c r="I112" s="127">
        <v>0</v>
      </c>
      <c r="J112" s="127">
        <v>0</v>
      </c>
      <c r="K112" s="127">
        <v>0</v>
      </c>
      <c r="L112" s="127">
        <v>1.1393395709688425</v>
      </c>
      <c r="M112" s="56"/>
    </row>
    <row r="113" spans="2:13">
      <c r="B113" s="55"/>
      <c r="C113" s="60">
        <v>108</v>
      </c>
      <c r="D113" s="127">
        <v>22</v>
      </c>
      <c r="E113" s="127">
        <v>4</v>
      </c>
      <c r="F113" s="127">
        <v>0.7</v>
      </c>
      <c r="G113" s="127">
        <f>ETo!$I113*((1-Constantes!$D$19)*ETo!$K113+ETo!$L113)</f>
        <v>3.3540897417475404</v>
      </c>
      <c r="H113" s="127">
        <v>0.97327778332761328</v>
      </c>
      <c r="I113" s="127">
        <v>0</v>
      </c>
      <c r="J113" s="127">
        <v>0</v>
      </c>
      <c r="K113" s="127">
        <v>0</v>
      </c>
      <c r="L113" s="127">
        <v>1.1339091489597584</v>
      </c>
      <c r="M113" s="56"/>
    </row>
    <row r="114" spans="2:13">
      <c r="B114" s="55"/>
      <c r="C114" s="60">
        <v>109</v>
      </c>
      <c r="D114" s="127">
        <v>22.2</v>
      </c>
      <c r="E114" s="127">
        <v>5</v>
      </c>
      <c r="F114" s="127">
        <v>0.5</v>
      </c>
      <c r="G114" s="127">
        <f>ETo!$I114*((1-Constantes!$D$19)*ETo!$K114+ETo!$L114)</f>
        <v>3.3797491335333278</v>
      </c>
      <c r="H114" s="127">
        <v>0.96315680945707449</v>
      </c>
      <c r="I114" s="127">
        <v>0</v>
      </c>
      <c r="J114" s="127">
        <v>0</v>
      </c>
      <c r="K114" s="127">
        <v>0</v>
      </c>
      <c r="L114" s="127">
        <v>1.1284860295623003</v>
      </c>
      <c r="M114" s="56"/>
    </row>
    <row r="115" spans="2:13">
      <c r="B115" s="55"/>
      <c r="C115" s="60">
        <v>110</v>
      </c>
      <c r="D115" s="127">
        <v>21.5</v>
      </c>
      <c r="E115" s="127">
        <v>7.5</v>
      </c>
      <c r="F115" s="127">
        <v>0</v>
      </c>
      <c r="G115" s="127">
        <f>ETo!$I115*((1-Constantes!$D$19)*ETo!$K115+ETo!$L115)</f>
        <v>3.4269863324572247</v>
      </c>
      <c r="H115" s="127">
        <v>0.95020567447289872</v>
      </c>
      <c r="I115" s="127">
        <v>0</v>
      </c>
      <c r="J115" s="127">
        <v>0</v>
      </c>
      <c r="K115" s="127">
        <v>0</v>
      </c>
      <c r="L115" s="127">
        <v>1.1230462125999083</v>
      </c>
      <c r="M115" s="56"/>
    </row>
    <row r="116" spans="2:13">
      <c r="B116" s="55"/>
      <c r="C116" s="60">
        <v>111</v>
      </c>
      <c r="D116" s="127">
        <v>21.9</v>
      </c>
      <c r="E116" s="127">
        <v>3</v>
      </c>
      <c r="F116" s="127">
        <v>0</v>
      </c>
      <c r="G116" s="127">
        <f>ETo!$I116*((1-Constantes!$D$19)*ETo!$K116+ETo!$L116)</f>
        <v>3.2604596598053446</v>
      </c>
      <c r="H116" s="127">
        <v>0.94026877902682371</v>
      </c>
      <c r="I116" s="127">
        <v>0</v>
      </c>
      <c r="J116" s="127">
        <v>0</v>
      </c>
      <c r="K116" s="127">
        <v>0</v>
      </c>
      <c r="L116" s="127">
        <v>1.1176152016148655</v>
      </c>
      <c r="M116" s="56"/>
    </row>
    <row r="117" spans="2:13">
      <c r="B117" s="55"/>
      <c r="C117" s="60">
        <v>112</v>
      </c>
      <c r="D117" s="127">
        <v>21</v>
      </c>
      <c r="E117" s="127">
        <v>2.6</v>
      </c>
      <c r="F117" s="127">
        <v>0.6</v>
      </c>
      <c r="G117" s="127">
        <f>ETo!$I117*((1-Constantes!$D$19)*ETo!$K117+ETo!$L117)</f>
        <v>3.1962204143830615</v>
      </c>
      <c r="H117" s="127">
        <v>0.93499643131339782</v>
      </c>
      <c r="I117" s="127">
        <v>0</v>
      </c>
      <c r="J117" s="127">
        <v>0</v>
      </c>
      <c r="K117" s="127">
        <v>0</v>
      </c>
      <c r="L117" s="127">
        <v>1.1122319856321679</v>
      </c>
      <c r="M117" s="56"/>
    </row>
    <row r="118" spans="2:13">
      <c r="B118" s="55"/>
      <c r="C118" s="60">
        <v>113</v>
      </c>
      <c r="D118" s="127">
        <v>19.5</v>
      </c>
      <c r="E118" s="127">
        <v>2.2000000000000002</v>
      </c>
      <c r="F118" s="127">
        <v>0</v>
      </c>
      <c r="G118" s="127">
        <f>ETo!$I118*((1-Constantes!$D$19)*ETo!$K118+ETo!$L118)</f>
        <v>3.1114051266028322</v>
      </c>
      <c r="H118" s="127">
        <v>0.92239879973718275</v>
      </c>
      <c r="I118" s="127">
        <v>0</v>
      </c>
      <c r="J118" s="127">
        <v>0</v>
      </c>
      <c r="K118" s="127">
        <v>0</v>
      </c>
      <c r="L118" s="127">
        <v>1.106834161542378</v>
      </c>
      <c r="M118" s="56"/>
    </row>
    <row r="119" spans="2:13">
      <c r="B119" s="55"/>
      <c r="C119" s="60">
        <v>114</v>
      </c>
      <c r="D119" s="127">
        <v>17.8</v>
      </c>
      <c r="E119" s="127">
        <v>6</v>
      </c>
      <c r="F119" s="127">
        <v>0</v>
      </c>
      <c r="G119" s="127">
        <f>ETo!$I119*((1-Constantes!$D$19)*ETo!$K119+ETo!$L119)</f>
        <v>3.1679137514616551</v>
      </c>
      <c r="H119" s="127">
        <v>0.91274850860403167</v>
      </c>
      <c r="I119" s="127">
        <v>0</v>
      </c>
      <c r="J119" s="127">
        <v>0</v>
      </c>
      <c r="K119" s="127">
        <v>39.792677602929452</v>
      </c>
      <c r="L119" s="127">
        <v>1.1014466417597986</v>
      </c>
      <c r="M119" s="56"/>
    </row>
    <row r="120" spans="2:13">
      <c r="B120" s="55"/>
      <c r="C120" s="60">
        <v>115</v>
      </c>
      <c r="D120" s="127">
        <v>18.600000000000001</v>
      </c>
      <c r="E120" s="127">
        <v>4.5999999999999996</v>
      </c>
      <c r="F120" s="127">
        <v>0</v>
      </c>
      <c r="G120" s="127">
        <f>ETo!$I120*((1-Constantes!$D$19)*ETo!$K120+ETo!$L120)</f>
        <v>3.1291827919107824</v>
      </c>
      <c r="H120" s="127">
        <v>0.90366177768538103</v>
      </c>
      <c r="I120" s="127">
        <v>0</v>
      </c>
      <c r="J120" s="127">
        <v>0</v>
      </c>
      <c r="K120" s="127">
        <v>0</v>
      </c>
      <c r="L120" s="127">
        <v>1.096073918615279</v>
      </c>
      <c r="M120" s="56"/>
    </row>
    <row r="121" spans="2:13">
      <c r="B121" s="55"/>
      <c r="C121" s="60">
        <v>116</v>
      </c>
      <c r="D121" s="127">
        <v>19.8</v>
      </c>
      <c r="E121" s="127">
        <v>4</v>
      </c>
      <c r="F121" s="127">
        <v>12.5</v>
      </c>
      <c r="G121" s="127">
        <f>ETo!$I121*((1-Constantes!$D$19)*ETo!$K121+ETo!$L121)</f>
        <v>3.1325432531927802</v>
      </c>
      <c r="H121" s="127">
        <v>1.9000128438682864</v>
      </c>
      <c r="I121" s="127">
        <v>0</v>
      </c>
      <c r="J121" s="127">
        <v>0</v>
      </c>
      <c r="K121" s="127">
        <v>0</v>
      </c>
      <c r="L121" s="127">
        <v>1.1026606863314188</v>
      </c>
      <c r="M121" s="56"/>
    </row>
    <row r="122" spans="2:13">
      <c r="B122" s="55"/>
      <c r="C122" s="60">
        <v>117</v>
      </c>
      <c r="D122" s="127">
        <v>21.7</v>
      </c>
      <c r="E122" s="127">
        <v>6.5</v>
      </c>
      <c r="F122" s="127">
        <v>0</v>
      </c>
      <c r="G122" s="127">
        <f>ETo!$I122*((1-Constantes!$D$19)*ETo!$K122+ETo!$L122)</f>
        <v>3.2687907625330737</v>
      </c>
      <c r="H122" s="127">
        <v>1.1708370253172318</v>
      </c>
      <c r="I122" s="127">
        <v>0</v>
      </c>
      <c r="J122" s="127">
        <v>0</v>
      </c>
      <c r="K122" s="127">
        <v>0</v>
      </c>
      <c r="L122" s="127">
        <v>1.0993777350791443</v>
      </c>
      <c r="M122" s="56"/>
    </row>
    <row r="123" spans="2:13">
      <c r="B123" s="55"/>
      <c r="C123" s="60">
        <v>118</v>
      </c>
      <c r="D123" s="127">
        <v>20.8</v>
      </c>
      <c r="E123" s="127">
        <v>3.6</v>
      </c>
      <c r="F123" s="127">
        <v>0</v>
      </c>
      <c r="G123" s="127">
        <f>ETo!$I123*((1-Constantes!$D$19)*ETo!$K123+ETo!$L123)</f>
        <v>3.118070788022302</v>
      </c>
      <c r="H123" s="127">
        <v>1.100456065246725</v>
      </c>
      <c r="I123" s="127">
        <v>0</v>
      </c>
      <c r="J123" s="127">
        <v>0</v>
      </c>
      <c r="K123" s="127">
        <v>8.846492705771368</v>
      </c>
      <c r="L123" s="127">
        <v>1.0955494752732831</v>
      </c>
      <c r="M123" s="56"/>
    </row>
    <row r="124" spans="2:13">
      <c r="B124" s="55"/>
      <c r="C124" s="60">
        <v>119</v>
      </c>
      <c r="D124" s="127">
        <v>21.7</v>
      </c>
      <c r="E124" s="127">
        <v>6</v>
      </c>
      <c r="F124" s="127">
        <v>0</v>
      </c>
      <c r="G124" s="127">
        <f>ETo!$I124*((1-Constantes!$D$19)*ETo!$K124+ETo!$L124)</f>
        <v>3.2147489884553475</v>
      </c>
      <c r="H124" s="127">
        <v>1.0306468915308535</v>
      </c>
      <c r="I124" s="127">
        <v>0</v>
      </c>
      <c r="J124" s="127">
        <v>0</v>
      </c>
      <c r="K124" s="127">
        <v>0</v>
      </c>
      <c r="L124" s="127">
        <v>1.0911888519390378</v>
      </c>
      <c r="M124" s="56"/>
    </row>
    <row r="125" spans="2:13">
      <c r="B125" s="55"/>
      <c r="C125" s="60">
        <v>120</v>
      </c>
      <c r="D125" s="127">
        <v>21</v>
      </c>
      <c r="E125" s="127">
        <v>4.2</v>
      </c>
      <c r="F125" s="127">
        <v>0</v>
      </c>
      <c r="G125" s="127">
        <f>ETo!$I125*((1-Constantes!$D$19)*ETo!$K125+ETo!$L125)</f>
        <v>3.1103273303826326</v>
      </c>
      <c r="H125" s="127">
        <v>0.96475238973979693</v>
      </c>
      <c r="I125" s="127">
        <v>0</v>
      </c>
      <c r="J125" s="127">
        <v>0</v>
      </c>
      <c r="K125" s="127">
        <v>0</v>
      </c>
      <c r="L125" s="127">
        <v>1.0863378230777889</v>
      </c>
      <c r="M125" s="56"/>
    </row>
    <row r="126" spans="2:13">
      <c r="B126" s="55"/>
      <c r="C126" s="60">
        <v>121</v>
      </c>
      <c r="D126" s="127">
        <v>22</v>
      </c>
      <c r="E126" s="127">
        <v>3.1</v>
      </c>
      <c r="F126" s="127">
        <v>0</v>
      </c>
      <c r="G126" s="127">
        <f>ETo!$I126*((1-Constantes!$D$19)*ETo!$K126+ETo!$L126)</f>
        <v>3.0892849943198666</v>
      </c>
      <c r="H126" s="127">
        <v>0.901247931503947</v>
      </c>
      <c r="I126" s="127">
        <v>0</v>
      </c>
      <c r="J126" s="127">
        <v>0</v>
      </c>
      <c r="K126" s="127">
        <v>0</v>
      </c>
      <c r="L126" s="127">
        <v>1.0810243980667649</v>
      </c>
      <c r="M126" s="56"/>
    </row>
    <row r="127" spans="2:13">
      <c r="B127" s="55"/>
      <c r="C127" s="60">
        <v>122</v>
      </c>
      <c r="D127" s="127">
        <v>22.8</v>
      </c>
      <c r="E127" s="127">
        <v>3.5</v>
      </c>
      <c r="F127" s="127">
        <v>0</v>
      </c>
      <c r="G127" s="127">
        <f>ETo!$I127*((1-Constantes!$D$19)*ETo!$K127+ETo!$L127)</f>
        <v>3.1126859866813632</v>
      </c>
      <c r="H127" s="127">
        <v>0.85138058655227067</v>
      </c>
      <c r="I127" s="127">
        <v>0</v>
      </c>
      <c r="J127" s="127">
        <v>0</v>
      </c>
      <c r="K127" s="127">
        <v>0</v>
      </c>
      <c r="L127" s="127">
        <v>1.0755501727424059</v>
      </c>
      <c r="M127" s="56"/>
    </row>
    <row r="128" spans="2:13">
      <c r="B128" s="55"/>
      <c r="C128" s="60">
        <v>123</v>
      </c>
      <c r="D128" s="127">
        <v>23.4</v>
      </c>
      <c r="E128" s="127">
        <v>3.1</v>
      </c>
      <c r="F128" s="127">
        <v>0</v>
      </c>
      <c r="G128" s="127">
        <f>ETo!$I128*((1-Constantes!$D$19)*ETo!$K128+ETo!$L128)</f>
        <v>3.1018807540681603</v>
      </c>
      <c r="H128" s="127">
        <v>0.83619047623077258</v>
      </c>
      <c r="I128" s="127">
        <v>0</v>
      </c>
      <c r="J128" s="127">
        <v>0</v>
      </c>
      <c r="K128" s="127">
        <v>0</v>
      </c>
      <c r="L128" s="127">
        <v>1.070068123343253</v>
      </c>
      <c r="M128" s="56"/>
    </row>
    <row r="129" spans="2:13">
      <c r="B129" s="55"/>
      <c r="C129" s="60">
        <v>124</v>
      </c>
      <c r="D129" s="127">
        <v>18.2</v>
      </c>
      <c r="E129" s="127">
        <v>5.6</v>
      </c>
      <c r="F129" s="127">
        <v>0</v>
      </c>
      <c r="G129" s="127">
        <f>ETo!$I129*((1-Constantes!$D$19)*ETo!$K129+ETo!$L129)</f>
        <v>2.9933666659219713</v>
      </c>
      <c r="H129" s="127">
        <v>0.82682271707983279</v>
      </c>
      <c r="I129" s="127">
        <v>0</v>
      </c>
      <c r="J129" s="127">
        <v>0</v>
      </c>
      <c r="K129" s="127">
        <v>0</v>
      </c>
      <c r="L129" s="127">
        <v>1.0646038517875838</v>
      </c>
      <c r="M129" s="56"/>
    </row>
    <row r="130" spans="2:13">
      <c r="B130" s="55"/>
      <c r="C130" s="60">
        <v>125</v>
      </c>
      <c r="D130" s="127">
        <v>19.600000000000001</v>
      </c>
      <c r="E130" s="127">
        <v>5.3</v>
      </c>
      <c r="F130" s="127">
        <v>0</v>
      </c>
      <c r="G130" s="127">
        <f>ETo!$I130*((1-Constantes!$D$19)*ETo!$K130+ETo!$L130)</f>
        <v>3.0131913904867651</v>
      </c>
      <c r="H130" s="127">
        <v>0.81848856428509997</v>
      </c>
      <c r="I130" s="127">
        <v>0</v>
      </c>
      <c r="J130" s="127">
        <v>0</v>
      </c>
      <c r="K130" s="127">
        <v>0</v>
      </c>
      <c r="L130" s="127">
        <v>1.0591618156560973</v>
      </c>
      <c r="M130" s="56"/>
    </row>
    <row r="131" spans="2:13">
      <c r="B131" s="55"/>
      <c r="C131" s="60">
        <v>126</v>
      </c>
      <c r="D131" s="127">
        <v>20.5</v>
      </c>
      <c r="E131" s="127">
        <v>1.8</v>
      </c>
      <c r="F131" s="127">
        <v>0</v>
      </c>
      <c r="G131" s="127">
        <f>ETo!$I131*((1-Constantes!$D$19)*ETo!$K131+ETo!$L131)</f>
        <v>2.9099125135250934</v>
      </c>
      <c r="H131" s="127">
        <v>0.81039272634569748</v>
      </c>
      <c r="I131" s="127">
        <v>0</v>
      </c>
      <c r="J131" s="127">
        <v>0</v>
      </c>
      <c r="K131" s="127">
        <v>0</v>
      </c>
      <c r="L131" s="127">
        <v>1.0537429557814022</v>
      </c>
      <c r="M131" s="56"/>
    </row>
    <row r="132" spans="2:13">
      <c r="B132" s="55"/>
      <c r="C132" s="60">
        <v>127</v>
      </c>
      <c r="D132" s="127">
        <v>20.8</v>
      </c>
      <c r="E132" s="127">
        <v>4</v>
      </c>
      <c r="F132" s="127">
        <v>0</v>
      </c>
      <c r="G132" s="127">
        <f>ETo!$I132*((1-Constantes!$D$19)*ETo!$K132+ETo!$L132)</f>
        <v>2.9760217296466398</v>
      </c>
      <c r="H132" s="127">
        <v>0.8024025772934188</v>
      </c>
      <c r="I132" s="127">
        <v>0</v>
      </c>
      <c r="J132" s="127">
        <v>0</v>
      </c>
      <c r="K132" s="127">
        <v>0</v>
      </c>
      <c r="L132" s="127">
        <v>1.0483476214784671</v>
      </c>
      <c r="M132" s="56"/>
    </row>
    <row r="133" spans="2:13">
      <c r="B133" s="55"/>
      <c r="C133" s="60">
        <v>128</v>
      </c>
      <c r="D133" s="127">
        <v>18.7</v>
      </c>
      <c r="E133" s="127">
        <v>3.6</v>
      </c>
      <c r="F133" s="127">
        <v>0</v>
      </c>
      <c r="G133" s="127">
        <f>ETo!$I133*((1-Constantes!$D$19)*ETo!$K133+ETo!$L133)</f>
        <v>2.8772195633614901</v>
      </c>
      <c r="H133" s="127">
        <v>0.79449545793141441</v>
      </c>
      <c r="I133" s="127">
        <v>0</v>
      </c>
      <c r="J133" s="127">
        <v>0</v>
      </c>
      <c r="K133" s="127">
        <v>0</v>
      </c>
      <c r="L133" s="127">
        <v>1.0429760561164645</v>
      </c>
      <c r="M133" s="56"/>
    </row>
    <row r="134" spans="2:13">
      <c r="B134" s="55"/>
      <c r="C134" s="60">
        <v>129</v>
      </c>
      <c r="D134" s="127">
        <v>21.7</v>
      </c>
      <c r="E134" s="127">
        <v>1.8</v>
      </c>
      <c r="F134" s="127">
        <v>0.2</v>
      </c>
      <c r="G134" s="127">
        <f>ETo!$I134*((1-Constantes!$D$19)*ETo!$K134+ETo!$L134)</f>
        <v>2.900248401042878</v>
      </c>
      <c r="H134" s="127">
        <v>0.78802950980983999</v>
      </c>
      <c r="I134" s="127">
        <v>0</v>
      </c>
      <c r="J134" s="127">
        <v>0</v>
      </c>
      <c r="K134" s="127">
        <v>0</v>
      </c>
      <c r="L134" s="127">
        <v>1.0376399326353729</v>
      </c>
      <c r="M134" s="56"/>
    </row>
    <row r="135" spans="2:13">
      <c r="B135" s="55"/>
      <c r="C135" s="60">
        <v>130</v>
      </c>
      <c r="D135" s="127">
        <v>21.7</v>
      </c>
      <c r="E135" s="127">
        <v>2.8</v>
      </c>
      <c r="F135" s="127">
        <v>0</v>
      </c>
      <c r="G135" s="127">
        <f>ETo!$I135*((1-Constantes!$D$19)*ETo!$K135+ETo!$L135)</f>
        <v>2.9167133091689674</v>
      </c>
      <c r="H135" s="127">
        <v>0.77914181847214359</v>
      </c>
      <c r="I135" s="127">
        <v>0</v>
      </c>
      <c r="J135" s="127">
        <v>0</v>
      </c>
      <c r="K135" s="127">
        <v>0</v>
      </c>
      <c r="L135" s="127">
        <v>1.0292233815672795</v>
      </c>
      <c r="M135" s="56"/>
    </row>
    <row r="136" spans="2:13">
      <c r="B136" s="55"/>
      <c r="C136" s="60">
        <v>131</v>
      </c>
      <c r="D136" s="127">
        <v>21.7</v>
      </c>
      <c r="E136" s="127">
        <v>2.6</v>
      </c>
      <c r="F136" s="127">
        <v>0</v>
      </c>
      <c r="G136" s="127">
        <f>ETo!$I136*((1-Constantes!$D$19)*ETo!$K136+ETo!$L136)</f>
        <v>2.8941319007276514</v>
      </c>
      <c r="H136" s="127">
        <v>0.77127839394867781</v>
      </c>
      <c r="I136" s="127">
        <v>0</v>
      </c>
      <c r="J136" s="127">
        <v>0</v>
      </c>
      <c r="K136" s="127">
        <v>0</v>
      </c>
      <c r="L136" s="127">
        <v>1.0170427457086608</v>
      </c>
      <c r="M136" s="56"/>
    </row>
    <row r="137" spans="2:13">
      <c r="B137" s="55"/>
      <c r="C137" s="60">
        <v>132</v>
      </c>
      <c r="D137" s="127">
        <v>21.8</v>
      </c>
      <c r="E137" s="127">
        <v>0.5</v>
      </c>
      <c r="F137" s="127">
        <v>0</v>
      </c>
      <c r="G137" s="127">
        <f>ETo!$I137*((1-Constantes!$D$19)*ETo!$K137+ETo!$L137)</f>
        <v>2.8139144599211203</v>
      </c>
      <c r="H137" s="127">
        <v>0.76364788122921512</v>
      </c>
      <c r="I137" s="127">
        <v>0</v>
      </c>
      <c r="J137" s="127">
        <v>0</v>
      </c>
      <c r="K137" s="127">
        <v>0</v>
      </c>
      <c r="L137" s="127">
        <v>1.0051658836772461</v>
      </c>
      <c r="M137" s="56"/>
    </row>
    <row r="138" spans="2:13">
      <c r="B138" s="55"/>
      <c r="C138" s="60">
        <v>133</v>
      </c>
      <c r="D138" s="127">
        <v>20.8</v>
      </c>
      <c r="E138" s="127">
        <v>0.2</v>
      </c>
      <c r="F138" s="127">
        <v>0</v>
      </c>
      <c r="G138" s="127">
        <f>ETo!$I138*((1-Constantes!$D$19)*ETo!$K138+ETo!$L138)</f>
        <v>2.757210358879179</v>
      </c>
      <c r="H138" s="127">
        <v>0.75611834551966217</v>
      </c>
      <c r="I138" s="127">
        <v>0</v>
      </c>
      <c r="J138" s="127">
        <v>0</v>
      </c>
      <c r="K138" s="127">
        <v>0</v>
      </c>
      <c r="L138" s="127">
        <v>0.99345973082039685</v>
      </c>
      <c r="M138" s="56"/>
    </row>
    <row r="139" spans="2:13">
      <c r="B139" s="55"/>
      <c r="C139" s="60">
        <v>134</v>
      </c>
      <c r="D139" s="127">
        <v>22</v>
      </c>
      <c r="E139" s="127">
        <v>-1</v>
      </c>
      <c r="F139" s="127">
        <v>0</v>
      </c>
      <c r="G139" s="127">
        <f>ETo!$I139*((1-Constantes!$D$19)*ETo!$K139+ETo!$L139)</f>
        <v>2.7423016509029448</v>
      </c>
      <c r="H139" s="127">
        <v>0.74866727990726833</v>
      </c>
      <c r="I139" s="127">
        <v>0</v>
      </c>
      <c r="J139" s="127">
        <v>0</v>
      </c>
      <c r="K139" s="127">
        <v>0</v>
      </c>
      <c r="L139" s="127">
        <v>0.98190066701823331</v>
      </c>
      <c r="M139" s="56"/>
    </row>
    <row r="140" spans="2:13">
      <c r="B140" s="55"/>
      <c r="C140" s="60">
        <v>135</v>
      </c>
      <c r="D140" s="127">
        <v>22</v>
      </c>
      <c r="E140" s="127">
        <v>0.5</v>
      </c>
      <c r="F140" s="127">
        <v>0</v>
      </c>
      <c r="G140" s="127">
        <f>ETo!$I140*((1-Constantes!$D$19)*ETo!$K140+ETo!$L140)</f>
        <v>2.7749157752972358</v>
      </c>
      <c r="H140" s="127">
        <v>0.74129034159143758</v>
      </c>
      <c r="I140" s="127">
        <v>0</v>
      </c>
      <c r="J140" s="127">
        <v>0</v>
      </c>
      <c r="K140" s="127">
        <v>0</v>
      </c>
      <c r="L140" s="127">
        <v>0.97048325356601384</v>
      </c>
      <c r="M140" s="56"/>
    </row>
    <row r="141" spans="2:13">
      <c r="B141" s="55"/>
      <c r="C141" s="60">
        <v>136</v>
      </c>
      <c r="D141" s="127">
        <v>21.5</v>
      </c>
      <c r="E141" s="127">
        <v>-1</v>
      </c>
      <c r="F141" s="127">
        <v>0</v>
      </c>
      <c r="G141" s="127">
        <f>ETo!$I141*((1-Constantes!$D$19)*ETo!$K141+ETo!$L141)</f>
        <v>2.697545315156844</v>
      </c>
      <c r="H141" s="127">
        <v>0.73398620784927993</v>
      </c>
      <c r="I141" s="127">
        <v>0</v>
      </c>
      <c r="J141" s="127">
        <v>0</v>
      </c>
      <c r="K141" s="127">
        <v>0</v>
      </c>
      <c r="L141" s="127">
        <v>0.95920508902171719</v>
      </c>
      <c r="M141" s="56"/>
    </row>
    <row r="142" spans="2:13">
      <c r="B142" s="55"/>
      <c r="C142" s="60">
        <v>137</v>
      </c>
      <c r="D142" s="127">
        <v>21.3</v>
      </c>
      <c r="E142" s="127">
        <v>0.5</v>
      </c>
      <c r="F142" s="127">
        <v>0</v>
      </c>
      <c r="G142" s="127">
        <f>ETo!$I142*((1-Constantes!$D$19)*ETo!$K142+ETo!$L142)</f>
        <v>2.7239297086523706</v>
      </c>
      <c r="H142" s="127">
        <v>0.7267540630310938</v>
      </c>
      <c r="I142" s="127">
        <v>0</v>
      </c>
      <c r="J142" s="127">
        <v>0</v>
      </c>
      <c r="K142" s="127">
        <v>0</v>
      </c>
      <c r="L142" s="127">
        <v>0.94806429595935371</v>
      </c>
      <c r="M142" s="56"/>
    </row>
    <row r="143" spans="2:13">
      <c r="B143" s="55"/>
      <c r="C143" s="60">
        <v>138</v>
      </c>
      <c r="D143" s="127">
        <v>22</v>
      </c>
      <c r="E143" s="127">
        <v>0.5</v>
      </c>
      <c r="F143" s="127">
        <v>0</v>
      </c>
      <c r="G143" s="127">
        <f>ETo!$I143*((1-Constantes!$D$19)*ETo!$K143+ETo!$L143)</f>
        <v>2.7316702919686935</v>
      </c>
      <c r="H143" s="127">
        <v>0.71959318150316576</v>
      </c>
      <c r="I143" s="127">
        <v>0</v>
      </c>
      <c r="J143" s="127">
        <v>0</v>
      </c>
      <c r="K143" s="127">
        <v>0</v>
      </c>
      <c r="L143" s="127">
        <v>0.93705910365242417</v>
      </c>
      <c r="M143" s="56"/>
    </row>
    <row r="144" spans="2:13">
      <c r="B144" s="55"/>
      <c r="C144" s="60">
        <v>139</v>
      </c>
      <c r="D144" s="127">
        <v>20.5</v>
      </c>
      <c r="E144" s="127">
        <v>0</v>
      </c>
      <c r="F144" s="127">
        <v>0</v>
      </c>
      <c r="G144" s="127">
        <f>ETo!$I144*((1-Constantes!$D$19)*ETo!$K144+ETo!$L144)</f>
        <v>2.6559548522337555</v>
      </c>
      <c r="H144" s="127">
        <v>0.71250285838495209</v>
      </c>
      <c r="I144" s="127">
        <v>0</v>
      </c>
      <c r="J144" s="127">
        <v>0</v>
      </c>
      <c r="K144" s="127">
        <v>0</v>
      </c>
      <c r="L144" s="127">
        <v>0.92618777855229983</v>
      </c>
      <c r="M144" s="56"/>
    </row>
    <row r="145" spans="2:13">
      <c r="B145" s="55"/>
      <c r="C145" s="60">
        <v>140</v>
      </c>
      <c r="D145" s="127">
        <v>21.8</v>
      </c>
      <c r="E145" s="127">
        <v>1.5</v>
      </c>
      <c r="F145" s="127">
        <v>0</v>
      </c>
      <c r="G145" s="127">
        <f>ETo!$I145*((1-Constantes!$D$19)*ETo!$K145+ETo!$L145)</f>
        <v>2.7289466081032372</v>
      </c>
      <c r="H145" s="127">
        <v>0.70548239799855084</v>
      </c>
      <c r="I145" s="127">
        <v>0</v>
      </c>
      <c r="J145" s="127">
        <v>0</v>
      </c>
      <c r="K145" s="127">
        <v>0</v>
      </c>
      <c r="L145" s="127">
        <v>0.91544861248231535</v>
      </c>
      <c r="M145" s="56"/>
    </row>
    <row r="146" spans="2:13">
      <c r="B146" s="55"/>
      <c r="C146" s="60">
        <v>141</v>
      </c>
      <c r="D146" s="127">
        <v>22.5</v>
      </c>
      <c r="E146" s="127">
        <v>1.5</v>
      </c>
      <c r="F146" s="127">
        <v>0</v>
      </c>
      <c r="G146" s="127">
        <f>ETo!$I146*((1-Constantes!$D$19)*ETo!$K146+ETo!$L146)</f>
        <v>2.7371765140178614</v>
      </c>
      <c r="H146" s="127">
        <v>0.69853111189530581</v>
      </c>
      <c r="I146" s="127">
        <v>0</v>
      </c>
      <c r="J146" s="127">
        <v>0</v>
      </c>
      <c r="K146" s="127">
        <v>0</v>
      </c>
      <c r="L146" s="127">
        <v>0.90483992041284722</v>
      </c>
      <c r="M146" s="56"/>
    </row>
    <row r="147" spans="2:13">
      <c r="B147" s="55"/>
      <c r="C147" s="60">
        <v>142</v>
      </c>
      <c r="D147" s="127">
        <v>22.2</v>
      </c>
      <c r="E147" s="127">
        <v>0</v>
      </c>
      <c r="F147" s="127">
        <v>0</v>
      </c>
      <c r="G147" s="127">
        <f>ETo!$I147*((1-Constantes!$D$19)*ETo!$K147+ETo!$L147)</f>
        <v>2.6686638437830261</v>
      </c>
      <c r="H147" s="127">
        <v>0.69164831847216357</v>
      </c>
      <c r="I147" s="127">
        <v>0</v>
      </c>
      <c r="J147" s="127">
        <v>0</v>
      </c>
      <c r="K147" s="127">
        <v>0</v>
      </c>
      <c r="L147" s="127">
        <v>0.894360039830015</v>
      </c>
      <c r="M147" s="56"/>
    </row>
    <row r="148" spans="2:13">
      <c r="B148" s="55"/>
      <c r="C148" s="60">
        <v>143</v>
      </c>
      <c r="D148" s="127">
        <v>21</v>
      </c>
      <c r="E148" s="127">
        <v>-0.5</v>
      </c>
      <c r="F148" s="127">
        <v>0</v>
      </c>
      <c r="G148" s="127">
        <f>ETo!$I148*((1-Constantes!$D$19)*ETo!$K148+ETo!$L148)</f>
        <v>2.6043947666847176</v>
      </c>
      <c r="H148" s="127">
        <v>0.68483334285238129</v>
      </c>
      <c r="I148" s="127">
        <v>0</v>
      </c>
      <c r="J148" s="127">
        <v>0</v>
      </c>
      <c r="K148" s="127">
        <v>0</v>
      </c>
      <c r="L148" s="127">
        <v>0.88400733037256152</v>
      </c>
      <c r="M148" s="56"/>
    </row>
    <row r="149" spans="2:13">
      <c r="B149" s="55"/>
      <c r="C149" s="60">
        <v>144</v>
      </c>
      <c r="D149" s="127">
        <v>20.8</v>
      </c>
      <c r="E149" s="127">
        <v>-0.8</v>
      </c>
      <c r="F149" s="127">
        <v>0</v>
      </c>
      <c r="G149" s="127">
        <f>ETo!$I149*((1-Constantes!$D$19)*ETo!$K149+ETo!$L149)</f>
        <v>2.5772198137127917</v>
      </c>
      <c r="H149" s="127">
        <v>0.67808551681064921</v>
      </c>
      <c r="I149" s="127">
        <v>0</v>
      </c>
      <c r="J149" s="127">
        <v>0</v>
      </c>
      <c r="K149" s="127">
        <v>0</v>
      </c>
      <c r="L149" s="127">
        <v>0.87378017351691417</v>
      </c>
      <c r="M149" s="56"/>
    </row>
    <row r="150" spans="2:13">
      <c r="B150" s="55"/>
      <c r="C150" s="60">
        <v>145</v>
      </c>
      <c r="D150" s="127">
        <v>20.399999999999999</v>
      </c>
      <c r="E150" s="127">
        <v>-1.4</v>
      </c>
      <c r="F150" s="127">
        <v>0</v>
      </c>
      <c r="G150" s="127">
        <f>ETo!$I150*((1-Constantes!$D$19)*ETo!$K150+ETo!$L150)</f>
        <v>2.5356051929730321</v>
      </c>
      <c r="H150" s="127">
        <v>0.67140417870612457</v>
      </c>
      <c r="I150" s="127">
        <v>0</v>
      </c>
      <c r="J150" s="127">
        <v>0</v>
      </c>
      <c r="K150" s="127">
        <v>0</v>
      </c>
      <c r="L150" s="127">
        <v>0.86367697227387175</v>
      </c>
      <c r="M150" s="56"/>
    </row>
    <row r="151" spans="2:13">
      <c r="B151" s="55"/>
      <c r="C151" s="60">
        <v>146</v>
      </c>
      <c r="D151" s="127">
        <v>22</v>
      </c>
      <c r="E151" s="127">
        <v>-1</v>
      </c>
      <c r="F151" s="127">
        <v>0</v>
      </c>
      <c r="G151" s="127">
        <f>ETo!$I151*((1-Constantes!$D$19)*ETo!$K151+ETo!$L151)</f>
        <v>2.5839158402550106</v>
      </c>
      <c r="H151" s="127">
        <v>0.6647886734173164</v>
      </c>
      <c r="I151" s="127">
        <v>0</v>
      </c>
      <c r="J151" s="127">
        <v>0</v>
      </c>
      <c r="K151" s="127">
        <v>0</v>
      </c>
      <c r="L151" s="127">
        <v>0.85369615089079409</v>
      </c>
      <c r="M151" s="56"/>
    </row>
    <row r="152" spans="2:13">
      <c r="B152" s="55"/>
      <c r="C152" s="60">
        <v>147</v>
      </c>
      <c r="D152" s="127">
        <v>21.2</v>
      </c>
      <c r="E152" s="127">
        <v>0.5</v>
      </c>
      <c r="F152" s="127">
        <v>0</v>
      </c>
      <c r="G152" s="127">
        <f>ETo!$I152*((1-Constantes!$D$19)*ETo!$K152+ETo!$L152)</f>
        <v>2.5936155878308074</v>
      </c>
      <c r="H152" s="127">
        <v>0.65823835227780969</v>
      </c>
      <c r="I152" s="127">
        <v>0</v>
      </c>
      <c r="J152" s="127">
        <v>0</v>
      </c>
      <c r="K152" s="127">
        <v>0</v>
      </c>
      <c r="L152" s="127">
        <v>0.84383615455822991</v>
      </c>
      <c r="M152" s="56"/>
    </row>
    <row r="153" spans="2:13">
      <c r="B153" s="55"/>
      <c r="C153" s="60">
        <v>148</v>
      </c>
      <c r="D153" s="127">
        <v>21</v>
      </c>
      <c r="E153" s="127">
        <v>-0.8</v>
      </c>
      <c r="F153" s="127">
        <v>0</v>
      </c>
      <c r="G153" s="127">
        <f>ETo!$I153*((1-Constantes!$D$19)*ETo!$K153+ETo!$L153)</f>
        <v>2.5381326079713058</v>
      </c>
      <c r="H153" s="127">
        <v>0.65175257301265566</v>
      </c>
      <c r="I153" s="127">
        <v>0</v>
      </c>
      <c r="J153" s="127">
        <v>0</v>
      </c>
      <c r="K153" s="127">
        <v>0</v>
      </c>
      <c r="L153" s="127">
        <v>0.83409544912075329</v>
      </c>
      <c r="M153" s="56"/>
    </row>
    <row r="154" spans="2:13">
      <c r="B154" s="55"/>
      <c r="C154" s="60">
        <v>149</v>
      </c>
      <c r="D154" s="127">
        <v>20.6</v>
      </c>
      <c r="E154" s="127">
        <v>-0.5</v>
      </c>
      <c r="F154" s="127">
        <v>0</v>
      </c>
      <c r="G154" s="127">
        <f>ETo!$I154*((1-Constantes!$D$19)*ETo!$K154+ETo!$L154)</f>
        <v>2.5247697706787764</v>
      </c>
      <c r="H154" s="127">
        <v>0.64533069967539336</v>
      </c>
      <c r="I154" s="127">
        <v>0</v>
      </c>
      <c r="J154" s="127">
        <v>0</v>
      </c>
      <c r="K154" s="127">
        <v>0</v>
      </c>
      <c r="L154" s="127">
        <v>0.82447252079192057</v>
      </c>
      <c r="M154" s="56"/>
    </row>
    <row r="155" spans="2:13">
      <c r="B155" s="55"/>
      <c r="C155" s="60">
        <v>150</v>
      </c>
      <c r="D155" s="127">
        <v>21.7</v>
      </c>
      <c r="E155" s="127">
        <v>-3</v>
      </c>
      <c r="F155" s="127">
        <v>0</v>
      </c>
      <c r="G155" s="127">
        <f>ETo!$I155*((1-Constantes!$D$19)*ETo!$K155+ETo!$L155)</f>
        <v>2.4737421117507834</v>
      </c>
      <c r="H155" s="127">
        <v>0.63897210258569426</v>
      </c>
      <c r="I155" s="127">
        <v>0</v>
      </c>
      <c r="J155" s="127">
        <v>0</v>
      </c>
      <c r="K155" s="127">
        <v>0</v>
      </c>
      <c r="L155" s="127">
        <v>0.81496587587328206</v>
      </c>
      <c r="M155" s="56"/>
    </row>
    <row r="156" spans="2:13">
      <c r="B156" s="55"/>
      <c r="C156" s="60">
        <v>151</v>
      </c>
      <c r="D156" s="127">
        <v>22</v>
      </c>
      <c r="E156" s="127">
        <v>-2.5</v>
      </c>
      <c r="F156" s="127">
        <v>0</v>
      </c>
      <c r="G156" s="127">
        <f>ETo!$I156*((1-Constantes!$D$19)*ETo!$K156+ETo!$L156)</f>
        <v>2.4875140123387354</v>
      </c>
      <c r="H156" s="127">
        <v>0.63267615826761969</v>
      </c>
      <c r="I156" s="127">
        <v>0</v>
      </c>
      <c r="J156" s="127">
        <v>0</v>
      </c>
      <c r="K156" s="127">
        <v>0</v>
      </c>
      <c r="L156" s="127">
        <v>0.8055740404773909</v>
      </c>
      <c r="M156" s="56"/>
    </row>
    <row r="157" spans="2:13">
      <c r="B157" s="55"/>
      <c r="C157" s="60">
        <v>152</v>
      </c>
      <c r="D157" s="127">
        <v>22.2</v>
      </c>
      <c r="E157" s="127">
        <v>-2.4</v>
      </c>
      <c r="F157" s="127">
        <v>0</v>
      </c>
      <c r="G157" s="127">
        <f>ETo!$I157*((1-Constantes!$D$19)*ETo!$K157+ETo!$L157)</f>
        <v>2.486999328476565</v>
      </c>
      <c r="H157" s="127">
        <v>0.62644224938848836</v>
      </c>
      <c r="I157" s="127">
        <v>0</v>
      </c>
      <c r="J157" s="127">
        <v>0</v>
      </c>
      <c r="K157" s="127">
        <v>0</v>
      </c>
      <c r="L157" s="127">
        <v>0.79629556025474912</v>
      </c>
      <c r="M157" s="56"/>
    </row>
    <row r="158" spans="2:13">
      <c r="B158" s="55"/>
      <c r="C158" s="60">
        <v>153</v>
      </c>
      <c r="D158" s="127">
        <v>19</v>
      </c>
      <c r="E158" s="127">
        <v>0</v>
      </c>
      <c r="F158" s="127">
        <v>11.6</v>
      </c>
      <c r="G158" s="127">
        <f>ETo!$I158*((1-Constantes!$D$19)*ETo!$K158+ETo!$L158)</f>
        <v>2.4549255300321318</v>
      </c>
      <c r="H158" s="127">
        <v>1.4767519172164114</v>
      </c>
      <c r="I158" s="127">
        <v>0</v>
      </c>
      <c r="J158" s="127">
        <v>0</v>
      </c>
      <c r="K158" s="127">
        <v>0</v>
      </c>
      <c r="L158" s="127">
        <v>0.93958462625145722</v>
      </c>
      <c r="M158" s="56"/>
    </row>
    <row r="159" spans="2:13">
      <c r="B159" s="55"/>
      <c r="C159" s="60">
        <v>154</v>
      </c>
      <c r="D159" s="127">
        <v>11.6</v>
      </c>
      <c r="E159" s="127">
        <v>3.5</v>
      </c>
      <c r="F159" s="127">
        <v>1.3</v>
      </c>
      <c r="G159" s="127">
        <f>ETo!$I159*((1-Constantes!$D$19)*ETo!$K159+ETo!$L159)</f>
        <v>2.3349863105211797</v>
      </c>
      <c r="H159" s="127">
        <v>0.94472018161146487</v>
      </c>
      <c r="I159" s="127">
        <v>0</v>
      </c>
      <c r="J159" s="127">
        <v>0</v>
      </c>
      <c r="K159" s="127">
        <v>214.33512376174872</v>
      </c>
      <c r="L159" s="127">
        <v>0.93718541691504798</v>
      </c>
      <c r="M159" s="56"/>
    </row>
    <row r="160" spans="2:13">
      <c r="B160" s="55"/>
      <c r="C160" s="60">
        <v>155</v>
      </c>
      <c r="D160" s="127">
        <v>18.8</v>
      </c>
      <c r="E160" s="127">
        <v>6.5</v>
      </c>
      <c r="F160" s="127">
        <v>0</v>
      </c>
      <c r="G160" s="127">
        <f>ETo!$I160*((1-Constantes!$D$19)*ETo!$K160+ETo!$L160)</f>
        <v>2.6223805106150184</v>
      </c>
      <c r="H160" s="127">
        <v>0.88377610078853419</v>
      </c>
      <c r="I160" s="127">
        <v>0</v>
      </c>
      <c r="J160" s="127">
        <v>0</v>
      </c>
      <c r="K160" s="127">
        <v>0</v>
      </c>
      <c r="L160" s="127">
        <v>0.93430584829463126</v>
      </c>
      <c r="M160" s="56"/>
    </row>
    <row r="161" spans="2:13">
      <c r="B161" s="55"/>
      <c r="C161" s="60">
        <v>156</v>
      </c>
      <c r="D161" s="127">
        <v>18.899999999999999</v>
      </c>
      <c r="E161" s="127">
        <v>0.6</v>
      </c>
      <c r="F161" s="127">
        <v>0</v>
      </c>
      <c r="G161" s="127">
        <f>ETo!$I161*((1-Constantes!$D$19)*ETo!$K161+ETo!$L161)</f>
        <v>2.4451304645330847</v>
      </c>
      <c r="H161" s="127">
        <v>0.82771851848180744</v>
      </c>
      <c r="I161" s="127">
        <v>0</v>
      </c>
      <c r="J161" s="127">
        <v>0</v>
      </c>
      <c r="K161" s="127">
        <v>0</v>
      </c>
      <c r="L161" s="127">
        <v>0.93099563604460278</v>
      </c>
      <c r="M161" s="56"/>
    </row>
    <row r="162" spans="2:13">
      <c r="B162" s="55"/>
      <c r="C162" s="60">
        <v>157</v>
      </c>
      <c r="D162" s="127">
        <v>20.6</v>
      </c>
      <c r="E162" s="127">
        <v>1.5</v>
      </c>
      <c r="F162" s="127">
        <v>0</v>
      </c>
      <c r="G162" s="127">
        <f>ETo!$I162*((1-Constantes!$D$19)*ETo!$K162+ETo!$L162)</f>
        <v>2.5127884433137568</v>
      </c>
      <c r="H162" s="127">
        <v>0.77229829002998884</v>
      </c>
      <c r="I162" s="127">
        <v>0</v>
      </c>
      <c r="J162" s="127">
        <v>0</v>
      </c>
      <c r="K162" s="127">
        <v>0</v>
      </c>
      <c r="L162" s="127">
        <v>0.9197525447923347</v>
      </c>
      <c r="M162" s="56"/>
    </row>
    <row r="163" spans="2:13">
      <c r="B163" s="55"/>
      <c r="C163" s="60">
        <v>158</v>
      </c>
      <c r="D163" s="127">
        <v>21.4</v>
      </c>
      <c r="E163" s="127">
        <v>-1.4</v>
      </c>
      <c r="F163" s="127">
        <v>0</v>
      </c>
      <c r="G163" s="127">
        <f>ETo!$I163*((1-Constantes!$D$19)*ETo!$K163+ETo!$L163)</f>
        <v>2.4452517678504488</v>
      </c>
      <c r="H163" s="127">
        <v>0.71974881770565036</v>
      </c>
      <c r="I163" s="127">
        <v>0</v>
      </c>
      <c r="J163" s="127">
        <v>0</v>
      </c>
      <c r="K163" s="127">
        <v>0</v>
      </c>
      <c r="L163" s="127">
        <v>0.86325164925978148</v>
      </c>
      <c r="M163" s="56"/>
    </row>
    <row r="164" spans="2:13">
      <c r="B164" s="55"/>
      <c r="C164" s="60">
        <v>159</v>
      </c>
      <c r="D164" s="127">
        <v>20.2</v>
      </c>
      <c r="E164" s="127">
        <v>0.8</v>
      </c>
      <c r="F164" s="127">
        <v>0</v>
      </c>
      <c r="G164" s="127">
        <f>ETo!$I164*((1-Constantes!$D$19)*ETo!$K164+ETo!$L164)</f>
        <v>2.4673826589887082</v>
      </c>
      <c r="H164" s="127">
        <v>0.6684789463114138</v>
      </c>
      <c r="I164" s="127">
        <v>0</v>
      </c>
      <c r="J164" s="127">
        <v>0</v>
      </c>
      <c r="K164" s="127">
        <v>0</v>
      </c>
      <c r="L164" s="127">
        <v>0.80809867132944069</v>
      </c>
      <c r="M164" s="56"/>
    </row>
    <row r="165" spans="2:13">
      <c r="B165" s="55"/>
      <c r="C165" s="60">
        <v>160</v>
      </c>
      <c r="D165" s="127">
        <v>15</v>
      </c>
      <c r="E165" s="127">
        <v>1.6</v>
      </c>
      <c r="F165" s="127">
        <v>1.7</v>
      </c>
      <c r="G165" s="127">
        <f>ETo!$I165*((1-Constantes!$D$19)*ETo!$K165+ETo!$L165)</f>
        <v>2.3365203381372397</v>
      </c>
      <c r="H165" s="127">
        <v>0.67890355415465209</v>
      </c>
      <c r="I165" s="127">
        <v>0</v>
      </c>
      <c r="J165" s="127">
        <v>0</v>
      </c>
      <c r="K165" s="127">
        <v>0</v>
      </c>
      <c r="L165" s="127">
        <v>0.81481017659428956</v>
      </c>
      <c r="M165" s="56"/>
    </row>
    <row r="166" spans="2:13">
      <c r="B166" s="55"/>
      <c r="C166" s="60">
        <v>161</v>
      </c>
      <c r="D166" s="127">
        <v>14.5</v>
      </c>
      <c r="E166" s="127">
        <v>0.5</v>
      </c>
      <c r="F166" s="127">
        <v>1.3</v>
      </c>
      <c r="G166" s="127">
        <f>ETo!$I166*((1-Constantes!$D$19)*ETo!$K166+ETo!$L166)</f>
        <v>2.2864219040821494</v>
      </c>
      <c r="H166" s="127">
        <v>0.67604261583468173</v>
      </c>
      <c r="I166" s="127">
        <v>0</v>
      </c>
      <c r="J166" s="127">
        <v>0</v>
      </c>
      <c r="K166" s="127">
        <v>0</v>
      </c>
      <c r="L166" s="127">
        <v>0.80834704725331585</v>
      </c>
      <c r="M166" s="56"/>
    </row>
    <row r="167" spans="2:13">
      <c r="B167" s="55"/>
      <c r="C167" s="60">
        <v>162</v>
      </c>
      <c r="D167" s="127">
        <v>17.2</v>
      </c>
      <c r="E167" s="127">
        <v>1</v>
      </c>
      <c r="F167" s="127">
        <v>0.3</v>
      </c>
      <c r="G167" s="127">
        <f>ETo!$I167*((1-Constantes!$D$19)*ETo!$K167+ETo!$L167)</f>
        <v>2.3708828758287606</v>
      </c>
      <c r="H167" s="127">
        <v>0.63767204069798034</v>
      </c>
      <c r="I167" s="127">
        <v>0</v>
      </c>
      <c r="J167" s="127">
        <v>0</v>
      </c>
      <c r="K167" s="127">
        <v>0</v>
      </c>
      <c r="L167" s="127">
        <v>0.76639070978628598</v>
      </c>
      <c r="M167" s="56"/>
    </row>
    <row r="168" spans="2:13">
      <c r="B168" s="55"/>
      <c r="C168" s="60">
        <v>163</v>
      </c>
      <c r="D168" s="127">
        <v>19.3</v>
      </c>
      <c r="E168" s="127">
        <v>2.4</v>
      </c>
      <c r="F168" s="127">
        <v>0</v>
      </c>
      <c r="G168" s="127">
        <f>ETo!$I168*((1-Constantes!$D$19)*ETo!$K168+ETo!$L168)</f>
        <v>2.4653293804885732</v>
      </c>
      <c r="H168" s="127">
        <v>0.58867937610803378</v>
      </c>
      <c r="I168" s="127">
        <v>0</v>
      </c>
      <c r="J168" s="127">
        <v>0</v>
      </c>
      <c r="K168" s="127">
        <v>0</v>
      </c>
      <c r="L168" s="127">
        <v>0.71915050650717716</v>
      </c>
      <c r="M168" s="56"/>
    </row>
    <row r="169" spans="2:13">
      <c r="B169" s="55"/>
      <c r="C169" s="60">
        <v>164</v>
      </c>
      <c r="D169" s="127">
        <v>16.600000000000001</v>
      </c>
      <c r="E169" s="127">
        <v>0.5</v>
      </c>
      <c r="F169" s="127">
        <v>0</v>
      </c>
      <c r="G169" s="127">
        <f>ETo!$I169*((1-Constantes!$D$19)*ETo!$K169+ETo!$L169)</f>
        <v>2.3311242056241626</v>
      </c>
      <c r="H169" s="127">
        <v>0.56071894970316749</v>
      </c>
      <c r="I169" s="127">
        <v>0</v>
      </c>
      <c r="J169" s="127">
        <v>0</v>
      </c>
      <c r="K169" s="127">
        <v>0</v>
      </c>
      <c r="L169" s="127">
        <v>0.70450636764795949</v>
      </c>
      <c r="M169" s="56"/>
    </row>
    <row r="170" spans="2:13">
      <c r="B170" s="55"/>
      <c r="C170" s="60">
        <v>165</v>
      </c>
      <c r="D170" s="127">
        <v>20</v>
      </c>
      <c r="E170" s="127">
        <v>-0.5</v>
      </c>
      <c r="F170" s="127">
        <v>0</v>
      </c>
      <c r="G170" s="127">
        <f>ETo!$I170*((1-Constantes!$D$19)*ETo!$K170+ETo!$L170)</f>
        <v>2.3945445359408759</v>
      </c>
      <c r="H170" s="127">
        <v>0.551516898593992</v>
      </c>
      <c r="I170" s="127">
        <v>0</v>
      </c>
      <c r="J170" s="127">
        <v>0</v>
      </c>
      <c r="K170" s="127">
        <v>0</v>
      </c>
      <c r="L170" s="127">
        <v>0.69535301692134754</v>
      </c>
      <c r="M170" s="56"/>
    </row>
    <row r="171" spans="2:13">
      <c r="B171" s="55"/>
      <c r="C171" s="60">
        <v>166</v>
      </c>
      <c r="D171" s="127">
        <v>17.8</v>
      </c>
      <c r="E171" s="127">
        <v>-1.5</v>
      </c>
      <c r="F171" s="127">
        <v>0</v>
      </c>
      <c r="G171" s="127">
        <f>ETo!$I171*((1-Constantes!$D$19)*ETo!$K171+ETo!$L171)</f>
        <v>2.3017285418733526</v>
      </c>
      <c r="H171" s="127">
        <v>0.54547249783773333</v>
      </c>
      <c r="I171" s="127">
        <v>0</v>
      </c>
      <c r="J171" s="127">
        <v>0</v>
      </c>
      <c r="K171" s="127">
        <v>0</v>
      </c>
      <c r="L171" s="127">
        <v>0.6871916699564028</v>
      </c>
      <c r="M171" s="56"/>
    </row>
    <row r="172" spans="2:13">
      <c r="B172" s="55"/>
      <c r="C172" s="60">
        <v>167</v>
      </c>
      <c r="D172" s="127">
        <v>20.5</v>
      </c>
      <c r="E172" s="127">
        <v>-0.8</v>
      </c>
      <c r="F172" s="127">
        <v>0</v>
      </c>
      <c r="G172" s="127">
        <f>ETo!$I172*((1-Constantes!$D$19)*ETo!$K172+ETo!$L172)</f>
        <v>2.3936722399723354</v>
      </c>
      <c r="H172" s="127">
        <v>0.53999657746221608</v>
      </c>
      <c r="I172" s="127">
        <v>0</v>
      </c>
      <c r="J172" s="127">
        <v>0</v>
      </c>
      <c r="K172" s="127">
        <v>0</v>
      </c>
      <c r="L172" s="127">
        <v>0.67927479432469462</v>
      </c>
      <c r="M172" s="56"/>
    </row>
    <row r="173" spans="2:13">
      <c r="B173" s="55"/>
      <c r="C173" s="60">
        <v>168</v>
      </c>
      <c r="D173" s="127">
        <v>19</v>
      </c>
      <c r="E173" s="127">
        <v>-1.4</v>
      </c>
      <c r="F173" s="127">
        <v>0</v>
      </c>
      <c r="G173" s="127">
        <f>ETo!$I173*((1-Constantes!$D$19)*ETo!$K173+ETo!$L173)</f>
        <v>2.3323721021739772</v>
      </c>
      <c r="H173" s="127">
        <v>0.53465906152514808</v>
      </c>
      <c r="I173" s="127">
        <v>0</v>
      </c>
      <c r="J173" s="127">
        <v>0</v>
      </c>
      <c r="K173" s="127">
        <v>0</v>
      </c>
      <c r="L173" s="127">
        <v>0.67147734005033177</v>
      </c>
      <c r="M173" s="56"/>
    </row>
    <row r="174" spans="2:13">
      <c r="B174" s="55"/>
      <c r="C174" s="60">
        <v>169</v>
      </c>
      <c r="D174" s="127">
        <v>19.600000000000001</v>
      </c>
      <c r="E174" s="127">
        <v>-2.5</v>
      </c>
      <c r="F174" s="127">
        <v>0</v>
      </c>
      <c r="G174" s="127">
        <f>ETo!$I174*((1-Constantes!$D$19)*ETo!$K174+ETo!$L174)</f>
        <v>2.3163998484727317</v>
      </c>
      <c r="H174" s="127">
        <v>0.52938815054281418</v>
      </c>
      <c r="I174" s="127">
        <v>0</v>
      </c>
      <c r="J174" s="127">
        <v>0</v>
      </c>
      <c r="K174" s="127">
        <v>0</v>
      </c>
      <c r="L174" s="127">
        <v>0.66377756290169154</v>
      </c>
      <c r="M174" s="56"/>
    </row>
    <row r="175" spans="2:13">
      <c r="B175" s="55"/>
      <c r="C175" s="60">
        <v>170</v>
      </c>
      <c r="D175" s="127">
        <v>20.3</v>
      </c>
      <c r="E175" s="127">
        <v>-3</v>
      </c>
      <c r="F175" s="127">
        <v>0</v>
      </c>
      <c r="G175" s="127">
        <f>ETo!$I175*((1-Constantes!$D$19)*ETo!$K175+ETo!$L175)</f>
        <v>2.3203007934073701</v>
      </c>
      <c r="H175" s="127">
        <v>0.52417150039064964</v>
      </c>
      <c r="I175" s="127">
        <v>0</v>
      </c>
      <c r="J175" s="127">
        <v>0</v>
      </c>
      <c r="K175" s="127">
        <v>0</v>
      </c>
      <c r="L175" s="127">
        <v>0.65617087393195539</v>
      </c>
      <c r="M175" s="56"/>
    </row>
    <row r="176" spans="2:13">
      <c r="B176" s="55"/>
      <c r="C176" s="60">
        <v>171</v>
      </c>
      <c r="D176" s="127">
        <v>21.5</v>
      </c>
      <c r="E176" s="127">
        <v>-3.2</v>
      </c>
      <c r="F176" s="127">
        <v>0</v>
      </c>
      <c r="G176" s="127">
        <f>ETo!$I176*((1-Constantes!$D$19)*ETo!$K176+ETo!$L176)</f>
        <v>2.3468791979197858</v>
      </c>
      <c r="H176" s="127">
        <v>0.5190066369848354</v>
      </c>
      <c r="I176" s="127">
        <v>0</v>
      </c>
      <c r="J176" s="127">
        <v>0</v>
      </c>
      <c r="K176" s="127">
        <v>0</v>
      </c>
      <c r="L176" s="127">
        <v>0.64865554380828405</v>
      </c>
      <c r="M176" s="56"/>
    </row>
    <row r="177" spans="2:13">
      <c r="B177" s="55"/>
      <c r="C177" s="60">
        <v>172</v>
      </c>
      <c r="D177" s="127">
        <v>21</v>
      </c>
      <c r="E177" s="127">
        <v>-3.3</v>
      </c>
      <c r="F177" s="127">
        <v>0</v>
      </c>
      <c r="G177" s="127">
        <f>ETo!$I177*((1-Constantes!$D$19)*ETo!$K177+ETo!$L177)</f>
        <v>2.3294175636403578</v>
      </c>
      <c r="H177" s="127">
        <v>0.51389272823484788</v>
      </c>
      <c r="I177" s="127">
        <v>0</v>
      </c>
      <c r="J177" s="127">
        <v>0</v>
      </c>
      <c r="K177" s="127">
        <v>0</v>
      </c>
      <c r="L177" s="127">
        <v>0.64123033046338151</v>
      </c>
      <c r="M177" s="56"/>
    </row>
    <row r="178" spans="2:13">
      <c r="B178" s="55"/>
      <c r="C178" s="60">
        <v>173</v>
      </c>
      <c r="D178" s="127">
        <v>20.8</v>
      </c>
      <c r="E178" s="127">
        <v>-3</v>
      </c>
      <c r="F178" s="127">
        <v>0</v>
      </c>
      <c r="G178" s="127">
        <f>ETo!$I178*((1-Constantes!$D$19)*ETo!$K178+ETo!$L178)</f>
        <v>2.3318628434621678</v>
      </c>
      <c r="H178" s="127">
        <v>0.50882921867013697</v>
      </c>
      <c r="I178" s="127">
        <v>0</v>
      </c>
      <c r="J178" s="127">
        <v>0</v>
      </c>
      <c r="K178" s="127">
        <v>0</v>
      </c>
      <c r="L178" s="127">
        <v>0.63389408526191504</v>
      </c>
      <c r="M178" s="56"/>
    </row>
    <row r="179" spans="2:13">
      <c r="B179" s="55"/>
      <c r="C179" s="60">
        <v>174</v>
      </c>
      <c r="D179" s="127">
        <v>22</v>
      </c>
      <c r="E179" s="127">
        <v>-2</v>
      </c>
      <c r="F179" s="127">
        <v>0</v>
      </c>
      <c r="G179" s="127">
        <f>ETo!$I179*((1-Constantes!$D$19)*ETo!$K179+ETo!$L179)</f>
        <v>2.3934114254449868</v>
      </c>
      <c r="H179" s="127">
        <v>0.5038156028341626</v>
      </c>
      <c r="I179" s="127">
        <v>0</v>
      </c>
      <c r="J179" s="127">
        <v>0</v>
      </c>
      <c r="K179" s="127">
        <v>0</v>
      </c>
      <c r="L179" s="127">
        <v>0.62664568747690041</v>
      </c>
      <c r="M179" s="56"/>
    </row>
    <row r="180" spans="2:13">
      <c r="B180" s="55"/>
      <c r="C180" s="60">
        <v>175</v>
      </c>
      <c r="D180" s="127">
        <v>20.8</v>
      </c>
      <c r="E180" s="127">
        <v>-2.8</v>
      </c>
      <c r="F180" s="127">
        <v>0</v>
      </c>
      <c r="G180" s="127">
        <f>ETo!$I180*((1-Constantes!$D$19)*ETo!$K180+ETo!$L180)</f>
        <v>2.338085706244561</v>
      </c>
      <c r="H180" s="127">
        <v>0.49885138764170955</v>
      </c>
      <c r="I180" s="127">
        <v>0</v>
      </c>
      <c r="J180" s="127">
        <v>0</v>
      </c>
      <c r="K180" s="127">
        <v>0</v>
      </c>
      <c r="L180" s="127">
        <v>0.61948403324707491</v>
      </c>
      <c r="M180" s="56"/>
    </row>
    <row r="181" spans="2:13">
      <c r="B181" s="55"/>
      <c r="C181" s="60">
        <v>176</v>
      </c>
      <c r="D181" s="127">
        <v>20.8</v>
      </c>
      <c r="E181" s="127">
        <v>-2.8</v>
      </c>
      <c r="F181" s="127">
        <v>0</v>
      </c>
      <c r="G181" s="127">
        <f>ETo!$I181*((1-Constantes!$D$19)*ETo!$K181+ETo!$L181)</f>
        <v>2.3390831309592994</v>
      </c>
      <c r="H181" s="127">
        <v>0.49393608609247464</v>
      </c>
      <c r="I181" s="127">
        <v>0</v>
      </c>
      <c r="J181" s="127">
        <v>0</v>
      </c>
      <c r="K181" s="127">
        <v>0</v>
      </c>
      <c r="L181" s="127">
        <v>0.61240803357704732</v>
      </c>
      <c r="M181" s="56"/>
    </row>
    <row r="182" spans="2:13">
      <c r="B182" s="55"/>
      <c r="C182" s="60">
        <v>177</v>
      </c>
      <c r="D182" s="127">
        <v>21.2</v>
      </c>
      <c r="E182" s="127">
        <v>0.2</v>
      </c>
      <c r="F182" s="127">
        <v>0</v>
      </c>
      <c r="G182" s="127">
        <f>ETo!$I182*((1-Constantes!$D$19)*ETo!$K182+ETo!$L182)</f>
        <v>2.435976451026201</v>
      </c>
      <c r="H182" s="127">
        <v>0.48906921618819305</v>
      </c>
      <c r="I182" s="127">
        <v>0</v>
      </c>
      <c r="J182" s="127">
        <v>0</v>
      </c>
      <c r="K182" s="127">
        <v>0</v>
      </c>
      <c r="L182" s="127">
        <v>0.6054166138403424</v>
      </c>
      <c r="M182" s="56"/>
    </row>
    <row r="183" spans="2:13">
      <c r="B183" s="55"/>
      <c r="C183" s="60">
        <v>178</v>
      </c>
      <c r="D183" s="127">
        <v>18.600000000000001</v>
      </c>
      <c r="E183" s="127">
        <v>-0.5</v>
      </c>
      <c r="F183" s="127">
        <v>0</v>
      </c>
      <c r="G183" s="127">
        <f>ETo!$I183*((1-Constantes!$D$19)*ETo!$K183+ETo!$L183)</f>
        <v>2.3451902231736863</v>
      </c>
      <c r="H183" s="127">
        <v>0.48425030071361308</v>
      </c>
      <c r="I183" s="127">
        <v>0</v>
      </c>
      <c r="J183" s="127">
        <v>0</v>
      </c>
      <c r="K183" s="127">
        <v>0</v>
      </c>
      <c r="L183" s="127">
        <v>0.59850871353416069</v>
      </c>
      <c r="M183" s="56"/>
    </row>
    <row r="184" spans="2:13">
      <c r="B184" s="55"/>
      <c r="C184" s="60">
        <v>179</v>
      </c>
      <c r="D184" s="127">
        <v>21.5</v>
      </c>
      <c r="E184" s="127">
        <v>0.4</v>
      </c>
      <c r="F184" s="127">
        <v>0</v>
      </c>
      <c r="G184" s="127">
        <f>ETo!$I184*((1-Constantes!$D$19)*ETo!$K184+ETo!$L184)</f>
        <v>2.4545406855860108</v>
      </c>
      <c r="H184" s="127">
        <v>0.47947886716120219</v>
      </c>
      <c r="I184" s="127">
        <v>0</v>
      </c>
      <c r="J184" s="127">
        <v>0</v>
      </c>
      <c r="K184" s="127">
        <v>0</v>
      </c>
      <c r="L184" s="127">
        <v>0.59168328607820797</v>
      </c>
      <c r="M184" s="56"/>
    </row>
    <row r="185" spans="2:13">
      <c r="B185" s="55"/>
      <c r="C185" s="60">
        <v>180</v>
      </c>
      <c r="D185" s="127">
        <v>21.5</v>
      </c>
      <c r="E185" s="127">
        <v>1.2</v>
      </c>
      <c r="F185" s="127">
        <v>0</v>
      </c>
      <c r="G185" s="127">
        <f>ETo!$I185*((1-Constantes!$D$19)*ETo!$K185+ETo!$L185)</f>
        <v>2.4802527756061354</v>
      </c>
      <c r="H185" s="127">
        <v>0.47475444768008696</v>
      </c>
      <c r="I185" s="127">
        <v>0</v>
      </c>
      <c r="J185" s="127">
        <v>0</v>
      </c>
      <c r="K185" s="127">
        <v>0</v>
      </c>
      <c r="L185" s="127">
        <v>0.58493929862310412</v>
      </c>
      <c r="M185" s="56"/>
    </row>
    <row r="186" spans="2:13">
      <c r="B186" s="55"/>
      <c r="C186" s="60">
        <v>181</v>
      </c>
      <c r="D186" s="127">
        <v>20.5</v>
      </c>
      <c r="E186" s="127">
        <v>-1</v>
      </c>
      <c r="F186" s="127">
        <v>0</v>
      </c>
      <c r="G186" s="127">
        <f>ETo!$I186*((1-Constantes!$D$19)*ETo!$K186+ETo!$L186)</f>
        <v>2.392754921604793</v>
      </c>
      <c r="H186" s="127">
        <v>0.4700765790293942</v>
      </c>
      <c r="I186" s="127">
        <v>0</v>
      </c>
      <c r="J186" s="127">
        <v>0</v>
      </c>
      <c r="K186" s="127">
        <v>0</v>
      </c>
      <c r="L186" s="127">
        <v>0.57827573186261239</v>
      </c>
      <c r="M186" s="56"/>
    </row>
    <row r="187" spans="2:13">
      <c r="B187" s="55"/>
      <c r="C187" s="60">
        <v>182</v>
      </c>
      <c r="D187" s="127">
        <v>23.1</v>
      </c>
      <c r="E187" s="127">
        <v>-1.6</v>
      </c>
      <c r="F187" s="127">
        <v>0</v>
      </c>
      <c r="G187" s="127">
        <f>ETo!$I187*((1-Constantes!$D$19)*ETo!$K187+ETo!$L187)</f>
        <v>2.4531242878368142</v>
      </c>
      <c r="H187" s="127">
        <v>0.46544480253269932</v>
      </c>
      <c r="I187" s="127">
        <v>0</v>
      </c>
      <c r="J187" s="127">
        <v>0</v>
      </c>
      <c r="K187" s="127">
        <v>0</v>
      </c>
      <c r="L187" s="127">
        <v>0.57169157984870722</v>
      </c>
      <c r="M187" s="56"/>
    </row>
    <row r="188" spans="2:13">
      <c r="B188" s="55"/>
      <c r="C188" s="60">
        <v>183</v>
      </c>
      <c r="D188" s="127">
        <v>23.5</v>
      </c>
      <c r="E188" s="127">
        <v>-1.7</v>
      </c>
      <c r="F188" s="127">
        <v>0</v>
      </c>
      <c r="G188" s="127">
        <f>ETo!$I188*((1-Constantes!$D$19)*ETo!$K188+ETo!$L188)</f>
        <v>2.4659072305021623</v>
      </c>
      <c r="H188" s="127">
        <v>0.46085866403302972</v>
      </c>
      <c r="I188" s="127">
        <v>0</v>
      </c>
      <c r="J188" s="127">
        <v>0</v>
      </c>
      <c r="K188" s="127">
        <v>0</v>
      </c>
      <c r="L188" s="127">
        <v>0.56518584980927833</v>
      </c>
      <c r="M188" s="56"/>
    </row>
    <row r="189" spans="2:13">
      <c r="B189" s="55"/>
      <c r="C189" s="60">
        <v>184</v>
      </c>
      <c r="D189" s="127">
        <v>22</v>
      </c>
      <c r="E189" s="127">
        <v>-2</v>
      </c>
      <c r="F189" s="127">
        <v>0</v>
      </c>
      <c r="G189" s="127">
        <f>ETo!$I189*((1-Constantes!$D$19)*ETo!$K189+ETo!$L189)</f>
        <v>2.4192956749824468</v>
      </c>
      <c r="H189" s="127">
        <v>0.45631771384833053</v>
      </c>
      <c r="I189" s="127">
        <v>0</v>
      </c>
      <c r="J189" s="127">
        <v>0</v>
      </c>
      <c r="K189" s="127">
        <v>0</v>
      </c>
      <c r="L189" s="127">
        <v>0.5587575619684132</v>
      </c>
      <c r="M189" s="56"/>
    </row>
    <row r="190" spans="2:13">
      <c r="B190" s="55"/>
      <c r="C190" s="60">
        <v>185</v>
      </c>
      <c r="D190" s="127">
        <v>21.2</v>
      </c>
      <c r="E190" s="127">
        <v>2.1</v>
      </c>
      <c r="F190" s="127">
        <v>0</v>
      </c>
      <c r="G190" s="127">
        <f>ETo!$I190*((1-Constantes!$D$19)*ETo!$K190+ETo!$L190)</f>
        <v>2.518899963286704</v>
      </c>
      <c r="H190" s="127">
        <v>0.4518215067273712</v>
      </c>
      <c r="I190" s="127">
        <v>0</v>
      </c>
      <c r="J190" s="127">
        <v>0</v>
      </c>
      <c r="K190" s="127">
        <v>0</v>
      </c>
      <c r="L190" s="127">
        <v>0.55240574936921227</v>
      </c>
      <c r="M190" s="56"/>
    </row>
    <row r="191" spans="2:13">
      <c r="B191" s="55"/>
      <c r="C191" s="60">
        <v>186</v>
      </c>
      <c r="D191" s="127">
        <v>22.7</v>
      </c>
      <c r="E191" s="127">
        <v>0.2</v>
      </c>
      <c r="F191" s="127">
        <v>0</v>
      </c>
      <c r="G191" s="127">
        <f>ETo!$I191*((1-Constantes!$D$19)*ETo!$K191+ETo!$L191)</f>
        <v>2.5129620911696451</v>
      </c>
      <c r="H191" s="127">
        <v>0.44736960180608781</v>
      </c>
      <c r="I191" s="127">
        <v>0</v>
      </c>
      <c r="J191" s="127">
        <v>0</v>
      </c>
      <c r="K191" s="127">
        <v>0</v>
      </c>
      <c r="L191" s="127">
        <v>0.54612945769910159</v>
      </c>
      <c r="M191" s="56"/>
    </row>
    <row r="192" spans="2:13">
      <c r="B192" s="55"/>
      <c r="C192" s="60">
        <v>187</v>
      </c>
      <c r="D192" s="127">
        <v>22.2</v>
      </c>
      <c r="E192" s="127">
        <v>1.2</v>
      </c>
      <c r="F192" s="127">
        <v>0</v>
      </c>
      <c r="G192" s="127">
        <f>ETo!$I192*((1-Constantes!$D$19)*ETo!$K192+ETo!$L192)</f>
        <v>2.533526824825874</v>
      </c>
      <c r="H192" s="127">
        <v>0.44296156256435493</v>
      </c>
      <c r="I192" s="127">
        <v>0</v>
      </c>
      <c r="J192" s="127">
        <v>0</v>
      </c>
      <c r="K192" s="127">
        <v>0</v>
      </c>
      <c r="L192" s="127">
        <v>0.53992774511760677</v>
      </c>
      <c r="M192" s="56"/>
    </row>
    <row r="193" spans="2:13">
      <c r="B193" s="55"/>
      <c r="C193" s="60">
        <v>188</v>
      </c>
      <c r="D193" s="127">
        <v>23.5</v>
      </c>
      <c r="E193" s="127">
        <v>-4</v>
      </c>
      <c r="F193" s="127">
        <v>0</v>
      </c>
      <c r="G193" s="127">
        <f>ETo!$I193*((1-Constantes!$D$19)*ETo!$K193+ETo!$L193)</f>
        <v>2.4276615118042058</v>
      </c>
      <c r="H193" s="127">
        <v>0.43859695678318411</v>
      </c>
      <c r="I193" s="127">
        <v>0</v>
      </c>
      <c r="J193" s="127">
        <v>0</v>
      </c>
      <c r="K193" s="127">
        <v>0</v>
      </c>
      <c r="L193" s="127">
        <v>0.53379968208655049</v>
      </c>
      <c r="M193" s="56"/>
    </row>
    <row r="194" spans="2:13">
      <c r="B194" s="55"/>
      <c r="C194" s="60">
        <v>189</v>
      </c>
      <c r="D194" s="127">
        <v>20.8</v>
      </c>
      <c r="E194" s="127">
        <v>-4.2</v>
      </c>
      <c r="F194" s="127">
        <v>0</v>
      </c>
      <c r="G194" s="127">
        <f>ETo!$I194*((1-Constantes!$D$19)*ETo!$K194+ETo!$L194)</f>
        <v>2.3519339645372019</v>
      </c>
      <c r="H194" s="127">
        <v>0.43427535650234311</v>
      </c>
      <c r="I194" s="127">
        <v>0</v>
      </c>
      <c r="J194" s="127">
        <v>0</v>
      </c>
      <c r="K194" s="127">
        <v>0</v>
      </c>
      <c r="L194" s="127">
        <v>0.52774435120264218</v>
      </c>
      <c r="M194" s="56"/>
    </row>
    <row r="195" spans="2:13">
      <c r="B195" s="55"/>
      <c r="C195" s="60">
        <v>190</v>
      </c>
      <c r="D195" s="127">
        <v>19</v>
      </c>
      <c r="E195" s="127">
        <v>-4.5999999999999996</v>
      </c>
      <c r="F195" s="127">
        <v>2.2000000000000002</v>
      </c>
      <c r="G195" s="127">
        <f>ETo!$I195*((1-Constantes!$D$19)*ETo!$K195+ETo!$L195)</f>
        <v>2.2967748046185164</v>
      </c>
      <c r="H195" s="127">
        <v>0.46673150141145658</v>
      </c>
      <c r="I195" s="127">
        <v>0</v>
      </c>
      <c r="J195" s="127">
        <v>0</v>
      </c>
      <c r="K195" s="127">
        <v>0</v>
      </c>
      <c r="L195" s="127">
        <v>0.55692192037094435</v>
      </c>
      <c r="M195" s="56"/>
    </row>
    <row r="196" spans="2:13">
      <c r="B196" s="55"/>
      <c r="C196" s="60">
        <v>191</v>
      </c>
      <c r="D196" s="127">
        <v>18.600000000000001</v>
      </c>
      <c r="E196" s="127">
        <v>0.5</v>
      </c>
      <c r="F196" s="127">
        <v>0</v>
      </c>
      <c r="G196" s="127">
        <f>ETo!$I196*((1-Constantes!$D$19)*ETo!$K196+ETo!$L196)</f>
        <v>2.4374338897749892</v>
      </c>
      <c r="H196" s="127">
        <v>0.43185517980568139</v>
      </c>
      <c r="I196" s="127">
        <v>0</v>
      </c>
      <c r="J196" s="127">
        <v>0</v>
      </c>
      <c r="K196" s="127">
        <v>0</v>
      </c>
      <c r="L196" s="127">
        <v>0.52168277538037766</v>
      </c>
      <c r="M196" s="56"/>
    </row>
    <row r="197" spans="2:13">
      <c r="B197" s="55"/>
      <c r="C197" s="60">
        <v>192</v>
      </c>
      <c r="D197" s="127">
        <v>18.8</v>
      </c>
      <c r="E197" s="127">
        <v>3.1</v>
      </c>
      <c r="F197" s="127">
        <v>0</v>
      </c>
      <c r="G197" s="127">
        <f>ETo!$I197*((1-Constantes!$D$19)*ETo!$K197+ETo!$L197)</f>
        <v>2.5264615148208835</v>
      </c>
      <c r="H197" s="127">
        <v>0.4225758698378323</v>
      </c>
      <c r="I197" s="127">
        <v>0</v>
      </c>
      <c r="J197" s="127">
        <v>0</v>
      </c>
      <c r="K197" s="127">
        <v>0</v>
      </c>
      <c r="L197" s="127">
        <v>0.51097391139091186</v>
      </c>
      <c r="M197" s="56"/>
    </row>
    <row r="198" spans="2:13">
      <c r="B198" s="55"/>
      <c r="C198" s="60">
        <v>193</v>
      </c>
      <c r="D198" s="127">
        <v>19.5</v>
      </c>
      <c r="E198" s="127">
        <v>2.1</v>
      </c>
      <c r="F198" s="127">
        <v>0</v>
      </c>
      <c r="G198" s="127">
        <f>ETo!$I198*((1-Constantes!$D$19)*ETo!$K198+ETo!$L198)</f>
        <v>2.5261862618367199</v>
      </c>
      <c r="H198" s="127">
        <v>0.41757844212331774</v>
      </c>
      <c r="I198" s="127">
        <v>0</v>
      </c>
      <c r="J198" s="127">
        <v>0</v>
      </c>
      <c r="K198" s="127">
        <v>0</v>
      </c>
      <c r="L198" s="127">
        <v>0.50439306877098888</v>
      </c>
      <c r="M198" s="56"/>
    </row>
    <row r="199" spans="2:13">
      <c r="B199" s="55"/>
      <c r="C199" s="60">
        <v>194</v>
      </c>
      <c r="D199" s="127">
        <v>18.2</v>
      </c>
      <c r="E199" s="127">
        <v>-0.2</v>
      </c>
      <c r="F199" s="127">
        <v>0</v>
      </c>
      <c r="G199" s="127">
        <f>ETo!$I199*((1-Constantes!$D$19)*ETo!$K199+ETo!$L199)</f>
        <v>2.430382972700353</v>
      </c>
      <c r="H199" s="127">
        <v>0.41332560331019036</v>
      </c>
      <c r="I199" s="127">
        <v>0</v>
      </c>
      <c r="J199" s="127">
        <v>0</v>
      </c>
      <c r="K199" s="127">
        <v>0</v>
      </c>
      <c r="L199" s="127">
        <v>0.49855405674293762</v>
      </c>
      <c r="M199" s="56"/>
    </row>
    <row r="200" spans="2:13">
      <c r="B200" s="55"/>
      <c r="C200" s="60">
        <v>195</v>
      </c>
      <c r="D200" s="127">
        <v>17.8</v>
      </c>
      <c r="E200" s="127">
        <v>-1.5</v>
      </c>
      <c r="F200" s="127">
        <v>0</v>
      </c>
      <c r="G200" s="127">
        <f>ETo!$I200*((1-Constantes!$D$19)*ETo!$K200+ETo!$L200)</f>
        <v>2.3902587780755238</v>
      </c>
      <c r="H200" s="127">
        <v>0.40923005223454412</v>
      </c>
      <c r="I200" s="127">
        <v>0</v>
      </c>
      <c r="J200" s="127">
        <v>0</v>
      </c>
      <c r="K200" s="127">
        <v>0</v>
      </c>
      <c r="L200" s="127">
        <v>0.49289427782567596</v>
      </c>
      <c r="M200" s="56"/>
    </row>
    <row r="201" spans="2:13">
      <c r="B201" s="55"/>
      <c r="C201" s="60">
        <v>196</v>
      </c>
      <c r="D201" s="127">
        <v>21.2</v>
      </c>
      <c r="E201" s="127">
        <v>-1.8</v>
      </c>
      <c r="F201" s="127">
        <v>0</v>
      </c>
      <c r="G201" s="127">
        <f>ETo!$I201*((1-Constantes!$D$19)*ETo!$K201+ETo!$L201)</f>
        <v>2.4893534264694219</v>
      </c>
      <c r="H201" s="127">
        <v>0.40519400191415422</v>
      </c>
      <c r="I201" s="127">
        <v>0</v>
      </c>
      <c r="J201" s="127">
        <v>0</v>
      </c>
      <c r="K201" s="127">
        <v>0</v>
      </c>
      <c r="L201" s="127">
        <v>0.48731968041627505</v>
      </c>
      <c r="M201" s="56"/>
    </row>
    <row r="202" spans="2:13">
      <c r="B202" s="55"/>
      <c r="C202" s="60">
        <v>197</v>
      </c>
      <c r="D202" s="127">
        <v>19</v>
      </c>
      <c r="E202" s="127">
        <v>-1</v>
      </c>
      <c r="F202" s="127">
        <v>0</v>
      </c>
      <c r="G202" s="127">
        <f>ETo!$I202*((1-Constantes!$D$19)*ETo!$K202+ETo!$L202)</f>
        <v>2.4582065789312035</v>
      </c>
      <c r="H202" s="127">
        <v>0.40120089682811094</v>
      </c>
      <c r="I202" s="127">
        <v>0</v>
      </c>
      <c r="J202" s="127">
        <v>0</v>
      </c>
      <c r="K202" s="127">
        <v>0</v>
      </c>
      <c r="L202" s="127">
        <v>0.48181397074256777</v>
      </c>
      <c r="M202" s="56"/>
    </row>
    <row r="203" spans="2:13">
      <c r="B203" s="55"/>
      <c r="C203" s="60">
        <v>198</v>
      </c>
      <c r="D203" s="127">
        <v>19.8</v>
      </c>
      <c r="E203" s="127">
        <v>-2.7</v>
      </c>
      <c r="F203" s="127">
        <v>0</v>
      </c>
      <c r="G203" s="127">
        <f>ETo!$I203*((1-Constantes!$D$19)*ETo!$K203+ETo!$L203)</f>
        <v>2.4419065630285375</v>
      </c>
      <c r="H203" s="127">
        <v>0.39724766394876837</v>
      </c>
      <c r="I203" s="127">
        <v>0</v>
      </c>
      <c r="J203" s="127">
        <v>0</v>
      </c>
      <c r="K203" s="127">
        <v>0</v>
      </c>
      <c r="L203" s="127">
        <v>0.47637376680659005</v>
      </c>
      <c r="M203" s="56"/>
    </row>
    <row r="204" spans="2:13">
      <c r="B204" s="55"/>
      <c r="C204" s="60">
        <v>199</v>
      </c>
      <c r="D204" s="127">
        <v>20.2</v>
      </c>
      <c r="E204" s="127">
        <v>-1.7</v>
      </c>
      <c r="F204" s="127">
        <v>0.2</v>
      </c>
      <c r="G204" s="127">
        <f>ETo!$I204*((1-Constantes!$D$19)*ETo!$K204+ETo!$L204)</f>
        <v>2.493245313577745</v>
      </c>
      <c r="H204" s="127">
        <v>0.39469601753775185</v>
      </c>
      <c r="I204" s="127">
        <v>0</v>
      </c>
      <c r="J204" s="127">
        <v>0</v>
      </c>
      <c r="K204" s="127">
        <v>0</v>
      </c>
      <c r="L204" s="127">
        <v>0.47236038479014719</v>
      </c>
      <c r="M204" s="56"/>
    </row>
    <row r="205" spans="2:13">
      <c r="B205" s="55"/>
      <c r="C205" s="60">
        <v>200</v>
      </c>
      <c r="D205" s="127">
        <v>14.5</v>
      </c>
      <c r="E205" s="127">
        <v>3.8</v>
      </c>
      <c r="F205" s="127">
        <v>1.6</v>
      </c>
      <c r="G205" s="127">
        <f>ETo!$I205*((1-Constantes!$D$19)*ETo!$K205+ETo!$L205)</f>
        <v>2.4980752559414756</v>
      </c>
      <c r="H205" s="127">
        <v>0.40370887175651904</v>
      </c>
      <c r="I205" s="127">
        <v>0</v>
      </c>
      <c r="J205" s="127">
        <v>0</v>
      </c>
      <c r="K205" s="127">
        <v>1.8698277389861999</v>
      </c>
      <c r="L205" s="127">
        <v>0.47823024091191901</v>
      </c>
      <c r="M205" s="56"/>
    </row>
    <row r="206" spans="2:13">
      <c r="B206" s="55"/>
      <c r="C206" s="60">
        <v>201</v>
      </c>
      <c r="D206" s="127">
        <v>13.8</v>
      </c>
      <c r="E206" s="127">
        <v>2.4</v>
      </c>
      <c r="F206" s="127">
        <v>5.0999999999999996</v>
      </c>
      <c r="G206" s="127">
        <f>ETo!$I206*((1-Constantes!$D$19)*ETo!$K206+ETo!$L206)</f>
        <v>2.4470842700112385</v>
      </c>
      <c r="H206" s="127">
        <v>0.53627056947260843</v>
      </c>
      <c r="I206" s="127">
        <v>0</v>
      </c>
      <c r="J206" s="127">
        <v>0</v>
      </c>
      <c r="K206" s="127">
        <v>0</v>
      </c>
      <c r="L206" s="127">
        <v>0.64535181915131179</v>
      </c>
      <c r="M206" s="56"/>
    </row>
    <row r="207" spans="2:13">
      <c r="B207" s="55"/>
      <c r="C207" s="60">
        <v>202</v>
      </c>
      <c r="D207" s="127">
        <v>9.4</v>
      </c>
      <c r="E207" s="127">
        <v>4.5</v>
      </c>
      <c r="F207" s="127">
        <v>6.7</v>
      </c>
      <c r="G207" s="127">
        <f>ETo!$I207*((1-Constantes!$D$19)*ETo!$K207+ETo!$L207)</f>
        <v>2.3904587126430354</v>
      </c>
      <c r="H207" s="127">
        <v>0.76278442032947424</v>
      </c>
      <c r="I207" s="127">
        <v>0</v>
      </c>
      <c r="J207" s="127">
        <v>0</v>
      </c>
      <c r="K207" s="127">
        <v>45.968421531225083</v>
      </c>
      <c r="L207" s="127">
        <v>0.81027909226538741</v>
      </c>
      <c r="M207" s="56"/>
    </row>
    <row r="208" spans="2:13">
      <c r="B208" s="55"/>
      <c r="C208" s="60">
        <v>203</v>
      </c>
      <c r="D208" s="127">
        <v>15.5</v>
      </c>
      <c r="E208" s="127">
        <v>3.7</v>
      </c>
      <c r="F208" s="127">
        <v>0</v>
      </c>
      <c r="G208" s="127">
        <f>ETo!$I208*((1-Constantes!$D$19)*ETo!$K208+ETo!$L208)</f>
        <v>2.5591604037520312</v>
      </c>
      <c r="H208" s="127">
        <v>0.65258167712238535</v>
      </c>
      <c r="I208" s="127">
        <v>0</v>
      </c>
      <c r="J208" s="127">
        <v>0</v>
      </c>
      <c r="K208" s="127">
        <v>0</v>
      </c>
      <c r="L208" s="127">
        <v>0.71458746562592157</v>
      </c>
      <c r="M208" s="56"/>
    </row>
    <row r="209" spans="2:13">
      <c r="B209" s="55"/>
      <c r="C209" s="60">
        <v>204</v>
      </c>
      <c r="D209" s="127">
        <v>17.600000000000001</v>
      </c>
      <c r="E209" s="127">
        <v>0.4</v>
      </c>
      <c r="F209" s="127">
        <v>0</v>
      </c>
      <c r="G209" s="127">
        <f>ETo!$I209*((1-Constantes!$D$19)*ETo!$K209+ETo!$L209)</f>
        <v>2.5351793926110946</v>
      </c>
      <c r="H209" s="127">
        <v>0.59731516684897612</v>
      </c>
      <c r="I209" s="127">
        <v>0</v>
      </c>
      <c r="J209" s="127">
        <v>0</v>
      </c>
      <c r="K209" s="127">
        <v>0</v>
      </c>
      <c r="L209" s="127">
        <v>0.65661176177431324</v>
      </c>
      <c r="M209" s="56"/>
    </row>
    <row r="210" spans="2:13">
      <c r="B210" s="55"/>
      <c r="C210" s="60">
        <v>205</v>
      </c>
      <c r="D210" s="127">
        <v>20.6</v>
      </c>
      <c r="E210" s="127">
        <v>-0.9</v>
      </c>
      <c r="F210" s="127">
        <v>0</v>
      </c>
      <c r="G210" s="127">
        <f>ETo!$I210*((1-Constantes!$D$19)*ETo!$K210+ETo!$L210)</f>
        <v>2.5988607369229908</v>
      </c>
      <c r="H210" s="127">
        <v>0.54277851294565549</v>
      </c>
      <c r="I210" s="127">
        <v>0</v>
      </c>
      <c r="J210" s="127">
        <v>0</v>
      </c>
      <c r="K210" s="127">
        <v>0</v>
      </c>
      <c r="L210" s="127">
        <v>0.59939286502954536</v>
      </c>
      <c r="M210" s="56"/>
    </row>
    <row r="211" spans="2:13">
      <c r="B211" s="55"/>
      <c r="C211" s="60">
        <v>206</v>
      </c>
      <c r="D211" s="127">
        <v>21.2</v>
      </c>
      <c r="E211" s="127">
        <v>-1.5</v>
      </c>
      <c r="F211" s="127">
        <v>0</v>
      </c>
      <c r="G211" s="127">
        <f>ETo!$I211*((1-Constantes!$D$19)*ETo!$K211+ETo!$L211)</f>
        <v>2.6116466061112749</v>
      </c>
      <c r="H211" s="127">
        <v>0.48979587905881394</v>
      </c>
      <c r="I211" s="127">
        <v>0</v>
      </c>
      <c r="J211" s="127">
        <v>0</v>
      </c>
      <c r="K211" s="127">
        <v>0</v>
      </c>
      <c r="L211" s="127">
        <v>0.54378864174426755</v>
      </c>
      <c r="M211" s="56"/>
    </row>
    <row r="212" spans="2:13">
      <c r="B212" s="55"/>
      <c r="C212" s="60">
        <v>207</v>
      </c>
      <c r="D212" s="127">
        <v>20.8</v>
      </c>
      <c r="E212" s="127">
        <v>-3.5</v>
      </c>
      <c r="F212" s="127">
        <v>0</v>
      </c>
      <c r="G212" s="127">
        <f>ETo!$I212*((1-Constantes!$D$19)*ETo!$K212+ETo!$L212)</f>
        <v>2.5515362998372089</v>
      </c>
      <c r="H212" s="127">
        <v>0.43952996938800232</v>
      </c>
      <c r="I212" s="127">
        <v>0</v>
      </c>
      <c r="J212" s="127">
        <v>0</v>
      </c>
      <c r="K212" s="127">
        <v>0</v>
      </c>
      <c r="L212" s="127">
        <v>0.49100913317253891</v>
      </c>
      <c r="M212" s="56"/>
    </row>
    <row r="213" spans="2:13">
      <c r="B213" s="55"/>
      <c r="C213" s="60">
        <v>208</v>
      </c>
      <c r="D213" s="127">
        <v>21.1</v>
      </c>
      <c r="E213" s="127">
        <v>-4</v>
      </c>
      <c r="F213" s="127">
        <v>0</v>
      </c>
      <c r="G213" s="127">
        <f>ETo!$I213*((1-Constantes!$D$19)*ETo!$K213+ETo!$L213)</f>
        <v>2.5584351387585538</v>
      </c>
      <c r="H213" s="127">
        <v>0.3907724027209234</v>
      </c>
      <c r="I213" s="127">
        <v>0</v>
      </c>
      <c r="J213" s="127">
        <v>0</v>
      </c>
      <c r="K213" s="127">
        <v>0</v>
      </c>
      <c r="L213" s="127">
        <v>0.43979765783059283</v>
      </c>
      <c r="M213" s="56"/>
    </row>
    <row r="214" spans="2:13">
      <c r="B214" s="55"/>
      <c r="C214" s="60">
        <v>209</v>
      </c>
      <c r="D214" s="127">
        <v>21.2</v>
      </c>
      <c r="E214" s="127">
        <v>-3</v>
      </c>
      <c r="F214" s="127">
        <v>0</v>
      </c>
      <c r="G214" s="127">
        <f>ETo!$I214*((1-Constantes!$D$19)*ETo!$K214+ETo!$L214)</f>
        <v>2.6054355343606921</v>
      </c>
      <c r="H214" s="127">
        <v>0.36139144171613563</v>
      </c>
      <c r="I214" s="127">
        <v>0</v>
      </c>
      <c r="J214" s="127">
        <v>0</v>
      </c>
      <c r="K214" s="127">
        <v>0</v>
      </c>
      <c r="L214" s="127">
        <v>0.42374949560197905</v>
      </c>
      <c r="M214" s="56"/>
    </row>
    <row r="215" spans="2:13">
      <c r="B215" s="55"/>
      <c r="C215" s="60">
        <v>210</v>
      </c>
      <c r="D215" s="127">
        <v>22</v>
      </c>
      <c r="E215" s="127">
        <v>-3.3</v>
      </c>
      <c r="F215" s="127">
        <v>0</v>
      </c>
      <c r="G215" s="127">
        <f>ETo!$I215*((1-Constantes!$D$19)*ETo!$K215+ETo!$L215)</f>
        <v>2.6345521529102429</v>
      </c>
      <c r="H215" s="127">
        <v>0.35359411380808009</v>
      </c>
      <c r="I215" s="127">
        <v>0</v>
      </c>
      <c r="J215" s="127">
        <v>0</v>
      </c>
      <c r="K215" s="127">
        <v>0</v>
      </c>
      <c r="L215" s="127">
        <v>0.41714742716992165</v>
      </c>
      <c r="M215" s="56"/>
    </row>
    <row r="216" spans="2:13">
      <c r="B216" s="55"/>
      <c r="C216" s="60">
        <v>211</v>
      </c>
      <c r="D216" s="127">
        <v>24</v>
      </c>
      <c r="E216" s="127">
        <v>-0.5</v>
      </c>
      <c r="F216" s="127">
        <v>0</v>
      </c>
      <c r="G216" s="127">
        <f>ETo!$I216*((1-Constantes!$D$19)*ETo!$K216+ETo!$L216)</f>
        <v>2.7991626514538632</v>
      </c>
      <c r="H216" s="127">
        <v>0.3494070854999124</v>
      </c>
      <c r="I216" s="127">
        <v>0</v>
      </c>
      <c r="J216" s="127">
        <v>0</v>
      </c>
      <c r="K216" s="127">
        <v>0</v>
      </c>
      <c r="L216" s="127">
        <v>0.41215900240862818</v>
      </c>
      <c r="M216" s="56"/>
    </row>
    <row r="217" spans="2:13">
      <c r="B217" s="55"/>
      <c r="C217" s="60">
        <v>212</v>
      </c>
      <c r="D217" s="127">
        <v>20.100000000000001</v>
      </c>
      <c r="E217" s="127">
        <v>-0.3</v>
      </c>
      <c r="F217" s="127">
        <v>0</v>
      </c>
      <c r="G217" s="127">
        <f>ETo!$I217*((1-Constantes!$D$19)*ETo!$K217+ETo!$L217)</f>
        <v>2.6971916123987216</v>
      </c>
      <c r="H217" s="127">
        <v>0.34584764413041885</v>
      </c>
      <c r="I217" s="127">
        <v>0</v>
      </c>
      <c r="J217" s="127">
        <v>0</v>
      </c>
      <c r="K217" s="127">
        <v>0</v>
      </c>
      <c r="L217" s="127">
        <v>0.40748396532594028</v>
      </c>
      <c r="M217" s="56"/>
    </row>
    <row r="218" spans="2:13">
      <c r="B218" s="55"/>
      <c r="C218" s="60">
        <v>213</v>
      </c>
      <c r="D218" s="127">
        <v>21</v>
      </c>
      <c r="E218" s="127">
        <v>2.9</v>
      </c>
      <c r="F218" s="127">
        <v>0</v>
      </c>
      <c r="G218" s="127">
        <f>ETo!$I218*((1-Constantes!$D$19)*ETo!$K218+ETo!$L218)</f>
        <v>2.8420829597613548</v>
      </c>
      <c r="H218" s="127">
        <v>0.3424205684233429</v>
      </c>
      <c r="I218" s="127">
        <v>0</v>
      </c>
      <c r="J218" s="127">
        <v>0</v>
      </c>
      <c r="K218" s="127">
        <v>0</v>
      </c>
      <c r="L218" s="127">
        <v>0.40290599556483792</v>
      </c>
      <c r="M218" s="56"/>
    </row>
    <row r="219" spans="2:13">
      <c r="B219" s="55"/>
      <c r="C219" s="60">
        <v>214</v>
      </c>
      <c r="D219" s="127">
        <v>19.8</v>
      </c>
      <c r="E219" s="127">
        <v>3</v>
      </c>
      <c r="F219" s="127">
        <v>0.4</v>
      </c>
      <c r="G219" s="127">
        <f>ETo!$I219*((1-Constantes!$D$19)*ETo!$K219+ETo!$L219)</f>
        <v>2.8222281617491181</v>
      </c>
      <c r="H219" s="127">
        <v>0.34176849874473908</v>
      </c>
      <c r="I219" s="127">
        <v>0</v>
      </c>
      <c r="J219" s="127">
        <v>0</v>
      </c>
      <c r="K219" s="127">
        <v>0</v>
      </c>
      <c r="L219" s="127">
        <v>0.40111373797668731</v>
      </c>
      <c r="M219" s="56"/>
    </row>
    <row r="220" spans="2:13">
      <c r="B220" s="55"/>
      <c r="C220" s="60">
        <v>215</v>
      </c>
      <c r="D220" s="127">
        <v>21.6</v>
      </c>
      <c r="E220" s="127">
        <v>1.2</v>
      </c>
      <c r="F220" s="127">
        <v>0</v>
      </c>
      <c r="G220" s="127">
        <f>ETo!$I220*((1-Constantes!$D$19)*ETo!$K220+ETo!$L220)</f>
        <v>2.8377424915441565</v>
      </c>
      <c r="H220" s="127">
        <v>0.33615438869858794</v>
      </c>
      <c r="I220" s="127">
        <v>0</v>
      </c>
      <c r="J220" s="127">
        <v>0</v>
      </c>
      <c r="K220" s="127">
        <v>0</v>
      </c>
      <c r="L220" s="127">
        <v>0.39437750905630753</v>
      </c>
      <c r="M220" s="56"/>
    </row>
    <row r="221" spans="2:13">
      <c r="B221" s="55"/>
      <c r="C221" s="60">
        <v>216</v>
      </c>
      <c r="D221" s="127">
        <v>21.8</v>
      </c>
      <c r="E221" s="127">
        <v>1</v>
      </c>
      <c r="F221" s="127">
        <v>0</v>
      </c>
      <c r="G221" s="127">
        <f>ETo!$I221*((1-Constantes!$D$19)*ETo!$K221+ETo!$L221)</f>
        <v>2.8534617094698262</v>
      </c>
      <c r="H221" s="127">
        <v>0.33246938960163064</v>
      </c>
      <c r="I221" s="127">
        <v>0</v>
      </c>
      <c r="J221" s="127">
        <v>0</v>
      </c>
      <c r="K221" s="127">
        <v>0</v>
      </c>
      <c r="L221" s="127">
        <v>0.38958941528297791</v>
      </c>
      <c r="M221" s="56"/>
    </row>
    <row r="222" spans="2:13">
      <c r="B222" s="55"/>
      <c r="C222" s="60">
        <v>217</v>
      </c>
      <c r="D222" s="127">
        <v>20.6</v>
      </c>
      <c r="E222" s="127">
        <v>5</v>
      </c>
      <c r="F222" s="127">
        <v>0</v>
      </c>
      <c r="G222" s="127">
        <f>ETo!$I222*((1-Constantes!$D$19)*ETo!$K222+ETo!$L222)</f>
        <v>2.9609077310269818</v>
      </c>
      <c r="H222" s="127">
        <v>0.32913163014044072</v>
      </c>
      <c r="I222" s="127">
        <v>0</v>
      </c>
      <c r="J222" s="127">
        <v>0</v>
      </c>
      <c r="K222" s="127">
        <v>0</v>
      </c>
      <c r="L222" s="127">
        <v>0.38516748147923457</v>
      </c>
      <c r="M222" s="56"/>
    </row>
    <row r="223" spans="2:13">
      <c r="B223" s="55"/>
      <c r="C223" s="60">
        <v>218</v>
      </c>
      <c r="D223" s="127">
        <v>11.6</v>
      </c>
      <c r="E223" s="127">
        <v>1.2</v>
      </c>
      <c r="F223" s="127">
        <v>2.6</v>
      </c>
      <c r="G223" s="127">
        <f>ETo!$I223*((1-Constantes!$D$19)*ETo!$K223+ETo!$L223)</f>
        <v>2.5634399633777334</v>
      </c>
      <c r="H223" s="127">
        <v>0.37177130520181545</v>
      </c>
      <c r="I223" s="127">
        <v>0</v>
      </c>
      <c r="J223" s="127">
        <v>0</v>
      </c>
      <c r="K223" s="127">
        <v>0</v>
      </c>
      <c r="L223" s="127">
        <v>0.42500310880191838</v>
      </c>
      <c r="M223" s="56"/>
    </row>
    <row r="224" spans="2:13">
      <c r="B224" s="55"/>
      <c r="C224" s="60">
        <v>219</v>
      </c>
      <c r="D224" s="127">
        <v>17.5</v>
      </c>
      <c r="E224" s="127">
        <v>5.2</v>
      </c>
      <c r="F224" s="127">
        <v>0</v>
      </c>
      <c r="G224" s="127">
        <f>ETo!$I224*((1-Constantes!$D$19)*ETo!$K224+ETo!$L224)</f>
        <v>2.8984574272055048</v>
      </c>
      <c r="H224" s="127">
        <v>0.33028100075596389</v>
      </c>
      <c r="I224" s="127">
        <v>0</v>
      </c>
      <c r="J224" s="127">
        <v>0</v>
      </c>
      <c r="K224" s="127">
        <v>0</v>
      </c>
      <c r="L224" s="127">
        <v>0.38391565506039138</v>
      </c>
      <c r="M224" s="56"/>
    </row>
    <row r="225" spans="2:13">
      <c r="B225" s="55"/>
      <c r="C225" s="60">
        <v>220</v>
      </c>
      <c r="D225" s="127">
        <v>19.600000000000001</v>
      </c>
      <c r="E225" s="127">
        <v>0.7</v>
      </c>
      <c r="F225" s="127">
        <v>0.6</v>
      </c>
      <c r="G225" s="127">
        <f>ETo!$I225*((1-Constantes!$D$19)*ETo!$K225+ETo!$L225)</f>
        <v>2.8359833973919355</v>
      </c>
      <c r="H225" s="127">
        <v>0.32483740497761687</v>
      </c>
      <c r="I225" s="127">
        <v>0</v>
      </c>
      <c r="J225" s="127">
        <v>0</v>
      </c>
      <c r="K225" s="127">
        <v>0</v>
      </c>
      <c r="L225" s="127">
        <v>0.37768353390100906</v>
      </c>
      <c r="M225" s="56"/>
    </row>
    <row r="226" spans="2:13">
      <c r="B226" s="55"/>
      <c r="C226" s="60">
        <v>221</v>
      </c>
      <c r="D226" s="127">
        <v>21.2</v>
      </c>
      <c r="E226" s="127">
        <v>3.2</v>
      </c>
      <c r="F226" s="127">
        <v>0</v>
      </c>
      <c r="G226" s="127">
        <f>ETo!$I226*((1-Constantes!$D$19)*ETo!$K226+ETo!$L226)</f>
        <v>2.9879785998245687</v>
      </c>
      <c r="H226" s="127">
        <v>0.31722606311903995</v>
      </c>
      <c r="I226" s="127">
        <v>0</v>
      </c>
      <c r="J226" s="127">
        <v>0</v>
      </c>
      <c r="K226" s="127">
        <v>0</v>
      </c>
      <c r="L226" s="127">
        <v>0.36910072934080601</v>
      </c>
      <c r="M226" s="56"/>
    </row>
    <row r="227" spans="2:13">
      <c r="B227" s="55"/>
      <c r="C227" s="60">
        <v>222</v>
      </c>
      <c r="D227" s="127">
        <v>20.2</v>
      </c>
      <c r="E227" s="127">
        <v>4.8</v>
      </c>
      <c r="F227" s="127">
        <v>0</v>
      </c>
      <c r="G227" s="127">
        <f>ETo!$I227*((1-Constantes!$D$19)*ETo!$K227+ETo!$L227)</f>
        <v>3.0251026668768954</v>
      </c>
      <c r="H227" s="127">
        <v>0.31336847349689817</v>
      </c>
      <c r="I227" s="127">
        <v>0</v>
      </c>
      <c r="J227" s="127">
        <v>0</v>
      </c>
      <c r="K227" s="127">
        <v>0</v>
      </c>
      <c r="L227" s="127">
        <v>0.36425583422531727</v>
      </c>
      <c r="M227" s="56"/>
    </row>
    <row r="228" spans="2:13">
      <c r="B228" s="55"/>
      <c r="C228" s="60">
        <v>223</v>
      </c>
      <c r="D228" s="127">
        <v>21.2</v>
      </c>
      <c r="E228" s="127">
        <v>0.5</v>
      </c>
      <c r="F228" s="127">
        <v>0</v>
      </c>
      <c r="G228" s="127">
        <f>ETo!$I228*((1-Constantes!$D$19)*ETo!$K228+ETo!$L228)</f>
        <v>2.9315218158616569</v>
      </c>
      <c r="H228" s="127">
        <v>0.3101593328685569</v>
      </c>
      <c r="I228" s="127">
        <v>0</v>
      </c>
      <c r="J228" s="127">
        <v>0</v>
      </c>
      <c r="K228" s="127">
        <v>0</v>
      </c>
      <c r="L228" s="127">
        <v>0.36007103413060415</v>
      </c>
      <c r="M228" s="56"/>
    </row>
    <row r="229" spans="2:13">
      <c r="B229" s="55"/>
      <c r="C229" s="60">
        <v>224</v>
      </c>
      <c r="D229" s="127">
        <v>19.8</v>
      </c>
      <c r="E229" s="127">
        <v>1.1000000000000001</v>
      </c>
      <c r="F229" s="127">
        <v>0</v>
      </c>
      <c r="G229" s="127">
        <f>ETo!$I229*((1-Constantes!$D$19)*ETo!$K229+ETo!$L229)</f>
        <v>2.9214703807293878</v>
      </c>
      <c r="H229" s="127">
        <v>0.30708310671443972</v>
      </c>
      <c r="I229" s="127">
        <v>0</v>
      </c>
      <c r="J229" s="127">
        <v>0</v>
      </c>
      <c r="K229" s="127">
        <v>0</v>
      </c>
      <c r="L229" s="127">
        <v>0.35603512149977035</v>
      </c>
      <c r="M229" s="56"/>
    </row>
    <row r="230" spans="2:13">
      <c r="B230" s="55"/>
      <c r="C230" s="60">
        <v>225</v>
      </c>
      <c r="D230" s="127">
        <v>20.100000000000001</v>
      </c>
      <c r="E230" s="127">
        <v>0.2</v>
      </c>
      <c r="F230" s="127">
        <v>0.2</v>
      </c>
      <c r="G230" s="127">
        <f>ETo!$I230*((1-Constantes!$D$19)*ETo!$K230+ETo!$L230)</f>
        <v>2.9180240548772223</v>
      </c>
      <c r="H230" s="127">
        <v>0.30541654655466866</v>
      </c>
      <c r="I230" s="127">
        <v>0</v>
      </c>
      <c r="J230" s="127">
        <v>0</v>
      </c>
      <c r="K230" s="127">
        <v>0</v>
      </c>
      <c r="L230" s="127">
        <v>0.35342533516556512</v>
      </c>
      <c r="M230" s="56"/>
    </row>
    <row r="231" spans="2:13">
      <c r="B231" s="55"/>
      <c r="C231" s="60">
        <v>226</v>
      </c>
      <c r="D231" s="127">
        <v>21</v>
      </c>
      <c r="E231" s="127">
        <v>-1</v>
      </c>
      <c r="F231" s="127">
        <v>0</v>
      </c>
      <c r="G231" s="127">
        <f>ETo!$I231*((1-Constantes!$D$19)*ETo!$K231+ETo!$L231)</f>
        <v>2.9246176015025909</v>
      </c>
      <c r="H231" s="127">
        <v>0.30128362436071976</v>
      </c>
      <c r="I231" s="127">
        <v>0</v>
      </c>
      <c r="J231" s="127">
        <v>0</v>
      </c>
      <c r="K231" s="127">
        <v>0</v>
      </c>
      <c r="L231" s="127">
        <v>0.34836550095916996</v>
      </c>
      <c r="M231" s="56"/>
    </row>
    <row r="232" spans="2:13">
      <c r="B232" s="55"/>
      <c r="C232" s="60">
        <v>227</v>
      </c>
      <c r="D232" s="127">
        <v>21.5</v>
      </c>
      <c r="E232" s="127">
        <v>-0.7</v>
      </c>
      <c r="F232" s="127">
        <v>0</v>
      </c>
      <c r="G232" s="127">
        <f>ETo!$I232*((1-Constantes!$D$19)*ETo!$K232+ETo!$L232)</f>
        <v>2.9685670418686545</v>
      </c>
      <c r="H232" s="127">
        <v>0.29812856227339773</v>
      </c>
      <c r="I232" s="127">
        <v>0</v>
      </c>
      <c r="J232" s="127">
        <v>0</v>
      </c>
      <c r="K232" s="127">
        <v>0</v>
      </c>
      <c r="L232" s="127">
        <v>0.3442995933948747</v>
      </c>
      <c r="M232" s="56"/>
    </row>
    <row r="233" spans="2:13">
      <c r="B233" s="55"/>
      <c r="C233" s="60">
        <v>228</v>
      </c>
      <c r="D233" s="127">
        <v>19.8</v>
      </c>
      <c r="E233" s="127">
        <v>1</v>
      </c>
      <c r="F233" s="127">
        <v>0</v>
      </c>
      <c r="G233" s="127">
        <f>ETo!$I233*((1-Constantes!$D$19)*ETo!$K233+ETo!$L233)</f>
        <v>2.9855406044935635</v>
      </c>
      <c r="H233" s="127">
        <v>0.29516009291076828</v>
      </c>
      <c r="I233" s="127">
        <v>0</v>
      </c>
      <c r="J233" s="127">
        <v>0</v>
      </c>
      <c r="K233" s="127">
        <v>0</v>
      </c>
      <c r="L233" s="127">
        <v>0.34043608419363275</v>
      </c>
      <c r="M233" s="56"/>
    </row>
    <row r="234" spans="2:13">
      <c r="B234" s="55"/>
      <c r="C234" s="60">
        <v>229</v>
      </c>
      <c r="D234" s="127">
        <v>21.2</v>
      </c>
      <c r="E234" s="127">
        <v>1.3</v>
      </c>
      <c r="F234" s="127">
        <v>3.3</v>
      </c>
      <c r="G234" s="127">
        <f>ETo!$I234*((1-Constantes!$D$19)*ETo!$K234+ETo!$L234)</f>
        <v>3.0611421102374341</v>
      </c>
      <c r="H234" s="127">
        <v>0.35366515771315216</v>
      </c>
      <c r="I234" s="127">
        <v>0</v>
      </c>
      <c r="J234" s="127">
        <v>0</v>
      </c>
      <c r="K234" s="127">
        <v>0</v>
      </c>
      <c r="L234" s="127">
        <v>0.39599744396811409</v>
      </c>
      <c r="M234" s="56"/>
    </row>
    <row r="235" spans="2:13">
      <c r="B235" s="55"/>
      <c r="C235" s="60">
        <v>230</v>
      </c>
      <c r="D235" s="127">
        <v>21.2</v>
      </c>
      <c r="E235" s="127">
        <v>1.2</v>
      </c>
      <c r="F235" s="127">
        <v>0</v>
      </c>
      <c r="G235" s="127">
        <f>ETo!$I235*((1-Constantes!$D$19)*ETo!$K235+ETo!$L235)</f>
        <v>3.075060401031136</v>
      </c>
      <c r="H235" s="127">
        <v>0.2995578058563349</v>
      </c>
      <c r="I235" s="127">
        <v>0</v>
      </c>
      <c r="J235" s="127">
        <v>0</v>
      </c>
      <c r="K235" s="127">
        <v>0</v>
      </c>
      <c r="L235" s="127">
        <v>0.34274757207488749</v>
      </c>
      <c r="M235" s="56"/>
    </row>
    <row r="236" spans="2:13">
      <c r="B236" s="55"/>
      <c r="C236" s="60">
        <v>231</v>
      </c>
      <c r="D236" s="127">
        <v>21.7</v>
      </c>
      <c r="E236" s="127">
        <v>0.9</v>
      </c>
      <c r="F236" s="127">
        <v>0</v>
      </c>
      <c r="G236" s="127">
        <f>ETo!$I236*((1-Constantes!$D$19)*ETo!$K236+ETo!$L236)</f>
        <v>3.0994468988309913</v>
      </c>
      <c r="H236" s="127">
        <v>0.2882060622414469</v>
      </c>
      <c r="I236" s="127">
        <v>0</v>
      </c>
      <c r="J236" s="127">
        <v>0</v>
      </c>
      <c r="K236" s="127">
        <v>0</v>
      </c>
      <c r="L236" s="127">
        <v>0.33083235292176916</v>
      </c>
      <c r="M236" s="56"/>
    </row>
    <row r="237" spans="2:13">
      <c r="B237" s="55"/>
      <c r="C237" s="60">
        <v>232</v>
      </c>
      <c r="D237" s="127">
        <v>20.9</v>
      </c>
      <c r="E237" s="127">
        <v>4.7</v>
      </c>
      <c r="F237" s="127">
        <v>0</v>
      </c>
      <c r="G237" s="127">
        <f>ETo!$I237*((1-Constantes!$D$19)*ETo!$K237+ETo!$L237)</f>
        <v>3.2225263343142583</v>
      </c>
      <c r="H237" s="127">
        <v>0.28397241266212792</v>
      </c>
      <c r="I237" s="127">
        <v>0</v>
      </c>
      <c r="J237" s="127">
        <v>0</v>
      </c>
      <c r="K237" s="127">
        <v>0</v>
      </c>
      <c r="L237" s="127">
        <v>0.32581173464129509</v>
      </c>
      <c r="M237" s="56"/>
    </row>
    <row r="238" spans="2:13">
      <c r="B238" s="55"/>
      <c r="C238" s="60">
        <v>233</v>
      </c>
      <c r="D238" s="127">
        <v>20.100000000000001</v>
      </c>
      <c r="E238" s="127">
        <v>3.3</v>
      </c>
      <c r="F238" s="127">
        <v>0</v>
      </c>
      <c r="G238" s="127">
        <f>ETo!$I238*((1-Constantes!$D$19)*ETo!$K238+ETo!$L238)</f>
        <v>3.16263764547337</v>
      </c>
      <c r="H238" s="127">
        <v>0.28094306841741629</v>
      </c>
      <c r="I238" s="127">
        <v>0</v>
      </c>
      <c r="J238" s="127">
        <v>0</v>
      </c>
      <c r="K238" s="127">
        <v>0</v>
      </c>
      <c r="L238" s="127">
        <v>0.3219704282542864</v>
      </c>
      <c r="M238" s="56"/>
    </row>
    <row r="239" spans="2:13">
      <c r="B239" s="55"/>
      <c r="C239" s="60">
        <v>234</v>
      </c>
      <c r="D239" s="127">
        <v>21.8</v>
      </c>
      <c r="E239" s="127">
        <v>6.5</v>
      </c>
      <c r="F239" s="127">
        <v>0</v>
      </c>
      <c r="G239" s="127">
        <f>ETo!$I239*((1-Constantes!$D$19)*ETo!$K239+ETo!$L239)</f>
        <v>3.3553192455129048</v>
      </c>
      <c r="H239" s="127">
        <v>0.27813648896908444</v>
      </c>
      <c r="I239" s="127">
        <v>0</v>
      </c>
      <c r="J239" s="127">
        <v>0</v>
      </c>
      <c r="K239" s="127">
        <v>0</v>
      </c>
      <c r="L239" s="127">
        <v>0.31835963200079653</v>
      </c>
      <c r="M239" s="56"/>
    </row>
    <row r="240" spans="2:13">
      <c r="B240" s="55"/>
      <c r="C240" s="60">
        <v>235</v>
      </c>
      <c r="D240" s="127">
        <v>23</v>
      </c>
      <c r="E240" s="127">
        <v>1.2</v>
      </c>
      <c r="F240" s="127">
        <v>0</v>
      </c>
      <c r="G240" s="127">
        <f>ETo!$I240*((1-Constantes!$D$19)*ETo!$K240+ETo!$L240)</f>
        <v>3.2264798362725386</v>
      </c>
      <c r="H240" s="127">
        <v>0.27538957518040313</v>
      </c>
      <c r="I240" s="127">
        <v>0</v>
      </c>
      <c r="J240" s="127">
        <v>0</v>
      </c>
      <c r="K240" s="127">
        <v>0</v>
      </c>
      <c r="L240" s="127">
        <v>0.31482148295479162</v>
      </c>
      <c r="M240" s="56"/>
    </row>
    <row r="241" spans="2:13">
      <c r="B241" s="55"/>
      <c r="C241" s="60">
        <v>236</v>
      </c>
      <c r="D241" s="127">
        <v>23</v>
      </c>
      <c r="E241" s="127">
        <v>1.8</v>
      </c>
      <c r="F241" s="127">
        <v>0</v>
      </c>
      <c r="G241" s="127">
        <f>ETo!$I241*((1-Constantes!$D$19)*ETo!$K241+ETo!$L241)</f>
        <v>3.2658064911590858</v>
      </c>
      <c r="H241" s="127">
        <v>0.27267503930212456</v>
      </c>
      <c r="I241" s="127">
        <v>0</v>
      </c>
      <c r="J241" s="127">
        <v>0</v>
      </c>
      <c r="K241" s="127">
        <v>0</v>
      </c>
      <c r="L241" s="127">
        <v>0.31132936904721575</v>
      </c>
      <c r="M241" s="56"/>
    </row>
    <row r="242" spans="2:13">
      <c r="B242" s="55"/>
      <c r="C242" s="60">
        <v>237</v>
      </c>
      <c r="D242" s="127">
        <v>18.2</v>
      </c>
      <c r="E242" s="127">
        <v>0.8</v>
      </c>
      <c r="F242" s="127">
        <v>0</v>
      </c>
      <c r="G242" s="127">
        <f>ETo!$I242*((1-Constantes!$D$19)*ETo!$K242+ETo!$L242)</f>
        <v>3.075397185378272</v>
      </c>
      <c r="H242" s="127">
        <v>0.26998813183201165</v>
      </c>
      <c r="I242" s="127">
        <v>0</v>
      </c>
      <c r="J242" s="127">
        <v>0</v>
      </c>
      <c r="K242" s="127">
        <v>0</v>
      </c>
      <c r="L242" s="127">
        <v>0.30787846279345032</v>
      </c>
      <c r="M242" s="56"/>
    </row>
    <row r="243" spans="2:13">
      <c r="B243" s="55"/>
      <c r="C243" s="60">
        <v>238</v>
      </c>
      <c r="D243" s="127">
        <v>19.8</v>
      </c>
      <c r="E243" s="127">
        <v>3.2</v>
      </c>
      <c r="F243" s="127">
        <v>0</v>
      </c>
      <c r="G243" s="127">
        <f>ETo!$I243*((1-Constantes!$D$19)*ETo!$K243+ETo!$L243)</f>
        <v>3.2362670079758282</v>
      </c>
      <c r="H243" s="127">
        <v>0.26732784536402548</v>
      </c>
      <c r="I243" s="127">
        <v>0</v>
      </c>
      <c r="J243" s="127">
        <v>0</v>
      </c>
      <c r="K243" s="127">
        <v>0</v>
      </c>
      <c r="L243" s="127">
        <v>0.3044675567914828</v>
      </c>
      <c r="M243" s="56"/>
    </row>
    <row r="244" spans="2:13">
      <c r="B244" s="55"/>
      <c r="C244" s="60">
        <v>239</v>
      </c>
      <c r="D244" s="127">
        <v>20.5</v>
      </c>
      <c r="E244" s="127">
        <v>4</v>
      </c>
      <c r="F244" s="127">
        <v>0</v>
      </c>
      <c r="G244" s="127">
        <f>ETo!$I244*((1-Constantes!$D$19)*ETo!$K244+ETo!$L244)</f>
        <v>3.3083070034484288</v>
      </c>
      <c r="H244" s="127">
        <v>0.26469379560256001</v>
      </c>
      <c r="I244" s="127">
        <v>0</v>
      </c>
      <c r="J244" s="127">
        <v>0</v>
      </c>
      <c r="K244" s="127">
        <v>0</v>
      </c>
      <c r="L244" s="127">
        <v>0.30109604950170304</v>
      </c>
      <c r="M244" s="56"/>
    </row>
    <row r="245" spans="2:13">
      <c r="B245" s="55"/>
      <c r="C245" s="60">
        <v>240</v>
      </c>
      <c r="D245" s="127">
        <v>19.2</v>
      </c>
      <c r="E245" s="127">
        <v>0.8</v>
      </c>
      <c r="F245" s="127">
        <v>0</v>
      </c>
      <c r="G245" s="127">
        <f>ETo!$I245*((1-Constantes!$D$19)*ETo!$K245+ETo!$L245)</f>
        <v>3.1619114160019071</v>
      </c>
      <c r="H245" s="127">
        <v>0.26208570378810392</v>
      </c>
      <c r="I245" s="127">
        <v>0</v>
      </c>
      <c r="J245" s="127">
        <v>0</v>
      </c>
      <c r="K245" s="127">
        <v>0</v>
      </c>
      <c r="L245" s="127">
        <v>0.29776344500977348</v>
      </c>
      <c r="M245" s="56"/>
    </row>
    <row r="246" spans="2:13">
      <c r="B246" s="55"/>
      <c r="C246" s="60">
        <v>241</v>
      </c>
      <c r="D246" s="127">
        <v>20</v>
      </c>
      <c r="E246" s="127">
        <v>-1</v>
      </c>
      <c r="F246" s="127">
        <v>0</v>
      </c>
      <c r="G246" s="127">
        <f>ETo!$I246*((1-Constantes!$D$19)*ETo!$K246+ETo!$L246)</f>
        <v>3.142248663647214</v>
      </c>
      <c r="H246" s="127">
        <v>0.25950331079177474</v>
      </c>
      <c r="I246" s="127">
        <v>0</v>
      </c>
      <c r="J246" s="127">
        <v>0</v>
      </c>
      <c r="K246" s="127">
        <v>0</v>
      </c>
      <c r="L246" s="127">
        <v>0.29446926995156664</v>
      </c>
      <c r="M246" s="56"/>
    </row>
    <row r="247" spans="2:13">
      <c r="B247" s="55"/>
      <c r="C247" s="60">
        <v>242</v>
      </c>
      <c r="D247" s="127">
        <v>22.6</v>
      </c>
      <c r="E247" s="127">
        <v>0.4</v>
      </c>
      <c r="F247" s="127">
        <v>0</v>
      </c>
      <c r="G247" s="127">
        <f>ETo!$I247*((1-Constantes!$D$19)*ETo!$K247+ETo!$L247)</f>
        <v>3.3057509019918894</v>
      </c>
      <c r="H247" s="127">
        <v>0.25694636283960831</v>
      </c>
      <c r="I247" s="127">
        <v>0</v>
      </c>
      <c r="J247" s="127">
        <v>0</v>
      </c>
      <c r="K247" s="127">
        <v>0</v>
      </c>
      <c r="L247" s="127">
        <v>0.29121305966137612</v>
      </c>
      <c r="M247" s="56"/>
    </row>
    <row r="248" spans="2:13">
      <c r="B248" s="55"/>
      <c r="C248" s="60">
        <v>243</v>
      </c>
      <c r="D248" s="127">
        <v>21.6</v>
      </c>
      <c r="E248" s="127">
        <v>0.4</v>
      </c>
      <c r="F248" s="127">
        <v>0</v>
      </c>
      <c r="G248" s="127">
        <f>ETo!$I248*((1-Constantes!$D$19)*ETo!$K248+ETo!$L248)</f>
        <v>3.2859478911151392</v>
      </c>
      <c r="H248" s="127">
        <v>0.25441460912303321</v>
      </c>
      <c r="I248" s="127">
        <v>0</v>
      </c>
      <c r="J248" s="127">
        <v>0</v>
      </c>
      <c r="K248" s="127">
        <v>0</v>
      </c>
      <c r="L248" s="127">
        <v>0.287994355807701</v>
      </c>
      <c r="M248" s="56"/>
    </row>
    <row r="249" spans="2:13">
      <c r="B249" s="55"/>
      <c r="C249" s="60">
        <v>244</v>
      </c>
      <c r="D249" s="127">
        <v>21</v>
      </c>
      <c r="E249" s="127">
        <v>2.8</v>
      </c>
      <c r="F249" s="127">
        <v>0</v>
      </c>
      <c r="G249" s="127">
        <f>ETo!$I249*((1-Constantes!$D$19)*ETo!$K249+ETo!$L249)</f>
        <v>3.3698157027958091</v>
      </c>
      <c r="H249" s="127">
        <v>0.25190780138189772</v>
      </c>
      <c r="I249" s="127">
        <v>0</v>
      </c>
      <c r="J249" s="127">
        <v>0</v>
      </c>
      <c r="K249" s="127">
        <v>0</v>
      </c>
      <c r="L249" s="127">
        <v>0.284812705936142</v>
      </c>
      <c r="M249" s="56"/>
    </row>
    <row r="250" spans="2:13">
      <c r="B250" s="55"/>
      <c r="C250" s="60">
        <v>245</v>
      </c>
      <c r="D250" s="127">
        <v>22</v>
      </c>
      <c r="E250" s="127">
        <v>1.2</v>
      </c>
      <c r="F250" s="127">
        <v>0</v>
      </c>
      <c r="G250" s="127">
        <f>ETo!$I250*((1-Constantes!$D$19)*ETo!$K250+ETo!$L250)</f>
        <v>3.3645115697556052</v>
      </c>
      <c r="H250" s="127">
        <v>0.24942569381501734</v>
      </c>
      <c r="I250" s="127">
        <v>0</v>
      </c>
      <c r="J250" s="127">
        <v>0</v>
      </c>
      <c r="K250" s="127">
        <v>0</v>
      </c>
      <c r="L250" s="127">
        <v>0.28166766332964843</v>
      </c>
      <c r="M250" s="56"/>
    </row>
    <row r="251" spans="2:13">
      <c r="B251" s="55"/>
      <c r="C251" s="60">
        <v>246</v>
      </c>
      <c r="D251" s="127">
        <v>22.2</v>
      </c>
      <c r="E251" s="127">
        <v>1.4</v>
      </c>
      <c r="F251" s="127">
        <v>0</v>
      </c>
      <c r="G251" s="127">
        <f>ETo!$I251*((1-Constantes!$D$19)*ETo!$K251+ETo!$L251)</f>
        <v>3.3964575831687265</v>
      </c>
      <c r="H251" s="127">
        <v>0.24696804304526951</v>
      </c>
      <c r="I251" s="127">
        <v>0</v>
      </c>
      <c r="J251" s="127">
        <v>0</v>
      </c>
      <c r="K251" s="127">
        <v>0</v>
      </c>
      <c r="L251" s="127">
        <v>0.27855878692230485</v>
      </c>
      <c r="M251" s="56"/>
    </row>
    <row r="252" spans="2:13">
      <c r="B252" s="55"/>
      <c r="C252" s="60">
        <v>247</v>
      </c>
      <c r="D252" s="127">
        <v>22</v>
      </c>
      <c r="E252" s="127">
        <v>-1.2</v>
      </c>
      <c r="F252" s="127">
        <v>0</v>
      </c>
      <c r="G252" s="127">
        <f>ETo!$I252*((1-Constantes!$D$19)*ETo!$K252+ETo!$L252)</f>
        <v>3.3078734075266469</v>
      </c>
      <c r="H252" s="127">
        <v>0.24453460809393668</v>
      </c>
      <c r="I252" s="127">
        <v>0</v>
      </c>
      <c r="J252" s="127">
        <v>0</v>
      </c>
      <c r="K252" s="127">
        <v>0</v>
      </c>
      <c r="L252" s="127">
        <v>0.27548564122286878</v>
      </c>
      <c r="M252" s="56"/>
    </row>
    <row r="253" spans="2:13">
      <c r="B253" s="55"/>
      <c r="C253" s="60">
        <v>248</v>
      </c>
      <c r="D253" s="127">
        <v>23</v>
      </c>
      <c r="E253" s="127">
        <v>-0.5</v>
      </c>
      <c r="F253" s="127">
        <v>0</v>
      </c>
      <c r="G253" s="127">
        <f>ETo!$I253*((1-Constantes!$D$19)*ETo!$K253+ETo!$L253)</f>
        <v>3.3884120213927349</v>
      </c>
      <c r="H253" s="127">
        <v>0.24212515035678067</v>
      </c>
      <c r="I253" s="127">
        <v>0</v>
      </c>
      <c r="J253" s="127">
        <v>0</v>
      </c>
      <c r="K253" s="127">
        <v>0</v>
      </c>
      <c r="L253" s="127">
        <v>0.27244779624078225</v>
      </c>
      <c r="M253" s="56"/>
    </row>
    <row r="254" spans="2:13">
      <c r="B254" s="55"/>
      <c r="C254" s="60">
        <v>249</v>
      </c>
      <c r="D254" s="127">
        <v>22.2</v>
      </c>
      <c r="E254" s="127">
        <v>-2.8</v>
      </c>
      <c r="F254" s="127">
        <v>0</v>
      </c>
      <c r="G254" s="127">
        <f>ETo!$I254*((1-Constantes!$D$19)*ETo!$K254+ETo!$L254)</f>
        <v>3.2872100192264475</v>
      </c>
      <c r="H254" s="127">
        <v>0.23973943358059746</v>
      </c>
      <c r="I254" s="127">
        <v>0</v>
      </c>
      <c r="J254" s="127">
        <v>0</v>
      </c>
      <c r="K254" s="127">
        <v>0</v>
      </c>
      <c r="L254" s="127">
        <v>0.26944482741343478</v>
      </c>
      <c r="M254" s="56"/>
    </row>
    <row r="255" spans="2:13">
      <c r="B255" s="55"/>
      <c r="C255" s="60">
        <v>250</v>
      </c>
      <c r="D255" s="127">
        <v>24.2</v>
      </c>
      <c r="E255" s="127">
        <v>1.2</v>
      </c>
      <c r="F255" s="127">
        <v>0</v>
      </c>
      <c r="G255" s="127">
        <f>ETo!$I255*((1-Constantes!$D$19)*ETo!$K255+ETo!$L255)</f>
        <v>3.5320524953137724</v>
      </c>
      <c r="H255" s="127">
        <v>0.23737722384004351</v>
      </c>
      <c r="I255" s="127">
        <v>0</v>
      </c>
      <c r="J255" s="127">
        <v>0</v>
      </c>
      <c r="K255" s="127">
        <v>0</v>
      </c>
      <c r="L255" s="127">
        <v>0.26647631553446643</v>
      </c>
      <c r="M255" s="56"/>
    </row>
    <row r="256" spans="2:13">
      <c r="B256" s="55"/>
      <c r="C256" s="60">
        <v>251</v>
      </c>
      <c r="D256" s="127">
        <v>22.2</v>
      </c>
      <c r="E256" s="127">
        <v>3.5</v>
      </c>
      <c r="F256" s="127">
        <v>0</v>
      </c>
      <c r="G256" s="127">
        <f>ETo!$I256*((1-Constantes!$D$19)*ETo!$K256+ETo!$L256)</f>
        <v>3.5602034530682802</v>
      </c>
      <c r="H256" s="127">
        <v>0.23503828951469777</v>
      </c>
      <c r="I256" s="127">
        <v>0</v>
      </c>
      <c r="J256" s="127">
        <v>0</v>
      </c>
      <c r="K256" s="127">
        <v>0</v>
      </c>
      <c r="L256" s="127">
        <v>0.26354184668306141</v>
      </c>
      <c r="M256" s="56"/>
    </row>
    <row r="257" spans="2:13">
      <c r="B257" s="55"/>
      <c r="C257" s="60">
        <v>252</v>
      </c>
      <c r="D257" s="127">
        <v>22.8</v>
      </c>
      <c r="E257" s="127">
        <v>3.5</v>
      </c>
      <c r="F257" s="127">
        <v>0</v>
      </c>
      <c r="G257" s="127">
        <f>ETo!$I257*((1-Constantes!$D$19)*ETo!$K257+ETo!$L257)</f>
        <v>3.5999008015983898</v>
      </c>
      <c r="H257" s="127">
        <v>0.23272240126635049</v>
      </c>
      <c r="I257" s="127">
        <v>0</v>
      </c>
      <c r="J257" s="127">
        <v>0</v>
      </c>
      <c r="K257" s="127">
        <v>0</v>
      </c>
      <c r="L257" s="127">
        <v>0.2606410121542132</v>
      </c>
      <c r="M257" s="56"/>
    </row>
    <row r="258" spans="2:13">
      <c r="B258" s="55"/>
      <c r="C258" s="60">
        <v>253</v>
      </c>
      <c r="D258" s="127">
        <v>21.3</v>
      </c>
      <c r="E258" s="127">
        <v>4.5</v>
      </c>
      <c r="F258" s="127">
        <v>0</v>
      </c>
      <c r="G258" s="127">
        <f>ETo!$I258*((1-Constantes!$D$19)*ETo!$K258+ETo!$L258)</f>
        <v>3.5968842741492408</v>
      </c>
      <c r="H258" s="127">
        <v>0.23042933201651578</v>
      </c>
      <c r="I258" s="127">
        <v>0</v>
      </c>
      <c r="J258" s="127">
        <v>0</v>
      </c>
      <c r="K258" s="127">
        <v>0</v>
      </c>
      <c r="L258" s="127">
        <v>0.25777340838994822</v>
      </c>
      <c r="M258" s="56"/>
    </row>
    <row r="259" spans="2:13">
      <c r="B259" s="55"/>
      <c r="C259" s="60">
        <v>254</v>
      </c>
      <c r="D259" s="127">
        <v>22.2</v>
      </c>
      <c r="E259" s="127">
        <v>2.5</v>
      </c>
      <c r="F259" s="127">
        <v>0</v>
      </c>
      <c r="G259" s="127">
        <f>ETo!$I259*((1-Constantes!$D$19)*ETo!$K259+ETo!$L259)</f>
        <v>3.5701904961221786</v>
      </c>
      <c r="H259" s="127">
        <v>0.22815885692416618</v>
      </c>
      <c r="I259" s="127">
        <v>0</v>
      </c>
      <c r="J259" s="127">
        <v>0</v>
      </c>
      <c r="K259" s="127">
        <v>0</v>
      </c>
      <c r="L259" s="127">
        <v>0.25493863691149066</v>
      </c>
      <c r="M259" s="56"/>
    </row>
    <row r="260" spans="2:13">
      <c r="B260" s="55"/>
      <c r="C260" s="60">
        <v>255</v>
      </c>
      <c r="D260" s="127">
        <v>23.5</v>
      </c>
      <c r="E260" s="127">
        <v>2.8</v>
      </c>
      <c r="F260" s="127">
        <v>0</v>
      </c>
      <c r="G260" s="127">
        <f>ETo!$I260*((1-Constantes!$D$19)*ETo!$K260+ETo!$L260)</f>
        <v>3.6485755405643667</v>
      </c>
      <c r="H260" s="127">
        <v>0.22591075336368649</v>
      </c>
      <c r="I260" s="127">
        <v>0</v>
      </c>
      <c r="J260" s="127">
        <v>0</v>
      </c>
      <c r="K260" s="127">
        <v>0</v>
      </c>
      <c r="L260" s="127">
        <v>0.25213630425235978</v>
      </c>
      <c r="M260" s="56"/>
    </row>
    <row r="261" spans="2:13">
      <c r="B261" s="55"/>
      <c r="C261" s="60">
        <v>256</v>
      </c>
      <c r="D261" s="127">
        <v>21.8</v>
      </c>
      <c r="E261" s="127">
        <v>2.7</v>
      </c>
      <c r="F261" s="127">
        <v>0</v>
      </c>
      <c r="G261" s="127">
        <f>ETo!$I261*((1-Constantes!$D$19)*ETo!$K261+ETo!$L261)</f>
        <v>3.5937567155413812</v>
      </c>
      <c r="H261" s="127">
        <v>0.22368480090304474</v>
      </c>
      <c r="I261" s="127">
        <v>0</v>
      </c>
      <c r="J261" s="127">
        <v>0</v>
      </c>
      <c r="K261" s="127">
        <v>0</v>
      </c>
      <c r="L261" s="127">
        <v>0.24936602189238233</v>
      </c>
      <c r="M261" s="56"/>
    </row>
    <row r="262" spans="2:13">
      <c r="B262" s="55"/>
      <c r="C262" s="60">
        <v>257</v>
      </c>
      <c r="D262" s="127">
        <v>18.600000000000001</v>
      </c>
      <c r="E262" s="127">
        <v>5.2</v>
      </c>
      <c r="F262" s="127">
        <v>0</v>
      </c>
      <c r="G262" s="127">
        <f>ETo!$I262*((1-Constantes!$D$19)*ETo!$K262+ETo!$L262)</f>
        <v>3.5815971489727825</v>
      </c>
      <c r="H262" s="127">
        <v>0.2214807812821783</v>
      </c>
      <c r="I262" s="127">
        <v>0</v>
      </c>
      <c r="J262" s="127">
        <v>0</v>
      </c>
      <c r="K262" s="127">
        <v>0</v>
      </c>
      <c r="L262" s="127">
        <v>0.24662740619260975</v>
      </c>
      <c r="M262" s="56"/>
    </row>
    <row r="263" spans="2:13">
      <c r="B263" s="55"/>
      <c r="C263" s="60">
        <v>258</v>
      </c>
      <c r="D263" s="127">
        <v>20</v>
      </c>
      <c r="E263" s="127">
        <v>3.5</v>
      </c>
      <c r="F263" s="127">
        <v>0.5</v>
      </c>
      <c r="G263" s="127">
        <f>ETo!$I263*((1-Constantes!$D$19)*ETo!$K263+ETo!$L263)</f>
        <v>3.5848326058343072</v>
      </c>
      <c r="H263" s="127">
        <v>0.22270484549910824</v>
      </c>
      <c r="I263" s="127">
        <v>0</v>
      </c>
      <c r="J263" s="127">
        <v>0</v>
      </c>
      <c r="K263" s="127">
        <v>0</v>
      </c>
      <c r="L263" s="127">
        <v>0.24732644543864157</v>
      </c>
      <c r="M263" s="56"/>
    </row>
    <row r="264" spans="2:13">
      <c r="B264" s="55"/>
      <c r="C264" s="60">
        <v>259</v>
      </c>
      <c r="D264" s="127">
        <v>22.5</v>
      </c>
      <c r="E264" s="127">
        <v>5.2</v>
      </c>
      <c r="F264" s="127">
        <v>0</v>
      </c>
      <c r="G264" s="127">
        <f>ETo!$I264*((1-Constantes!$D$19)*ETo!$K264+ETo!$L264)</f>
        <v>3.7664414592248701</v>
      </c>
      <c r="H264" s="127">
        <v>0.21770291830396379</v>
      </c>
      <c r="I264" s="127">
        <v>0</v>
      </c>
      <c r="J264" s="127">
        <v>0</v>
      </c>
      <c r="K264" s="127">
        <v>0</v>
      </c>
      <c r="L264" s="127">
        <v>0.24180890429252677</v>
      </c>
      <c r="M264" s="56"/>
    </row>
    <row r="265" spans="2:13">
      <c r="B265" s="55"/>
      <c r="C265" s="60">
        <v>260</v>
      </c>
      <c r="D265" s="127">
        <v>23</v>
      </c>
      <c r="E265" s="127">
        <v>4.8</v>
      </c>
      <c r="F265" s="127">
        <v>0</v>
      </c>
      <c r="G265" s="127">
        <f>ETo!$I265*((1-Constantes!$D$19)*ETo!$K265+ETo!$L265)</f>
        <v>3.7856460326149723</v>
      </c>
      <c r="H265" s="127">
        <v>0.21509196284851936</v>
      </c>
      <c r="I265" s="127">
        <v>0</v>
      </c>
      <c r="J265" s="127">
        <v>0</v>
      </c>
      <c r="K265" s="127">
        <v>0</v>
      </c>
      <c r="L265" s="127">
        <v>0.23869158840083443</v>
      </c>
      <c r="M265" s="56"/>
    </row>
    <row r="266" spans="2:13">
      <c r="B266" s="55"/>
      <c r="C266" s="60">
        <v>261</v>
      </c>
      <c r="D266" s="127">
        <v>23.3</v>
      </c>
      <c r="E266" s="127">
        <v>3.2</v>
      </c>
      <c r="F266" s="127">
        <v>0</v>
      </c>
      <c r="G266" s="127">
        <f>ETo!$I266*((1-Constantes!$D$19)*ETo!$K266+ETo!$L266)</f>
        <v>3.7485597097446646</v>
      </c>
      <c r="H266" s="127">
        <v>0.21289530463026463</v>
      </c>
      <c r="I266" s="127">
        <v>0</v>
      </c>
      <c r="J266" s="127">
        <v>0</v>
      </c>
      <c r="K266" s="127">
        <v>0</v>
      </c>
      <c r="L266" s="127">
        <v>0.23599766829790536</v>
      </c>
      <c r="M266" s="56"/>
    </row>
    <row r="267" spans="2:13">
      <c r="B267" s="55"/>
      <c r="C267" s="60">
        <v>262</v>
      </c>
      <c r="D267" s="127">
        <v>24.7</v>
      </c>
      <c r="E267" s="127">
        <v>4.2</v>
      </c>
      <c r="F267" s="127">
        <v>0</v>
      </c>
      <c r="G267" s="127">
        <f>ETo!$I267*((1-Constantes!$D$19)*ETo!$K267+ETo!$L267)</f>
        <v>3.8596994149209189</v>
      </c>
      <c r="H267" s="127">
        <v>0.21078476863253254</v>
      </c>
      <c r="I267" s="127">
        <v>0</v>
      </c>
      <c r="J267" s="127">
        <v>0</v>
      </c>
      <c r="K267" s="127">
        <v>0</v>
      </c>
      <c r="L267" s="127">
        <v>0.23339881650579791</v>
      </c>
      <c r="M267" s="56"/>
    </row>
    <row r="268" spans="2:13">
      <c r="B268" s="55"/>
      <c r="C268" s="60">
        <v>263</v>
      </c>
      <c r="D268" s="127">
        <v>25.2</v>
      </c>
      <c r="E268" s="127">
        <v>5.6</v>
      </c>
      <c r="F268" s="127">
        <v>0</v>
      </c>
      <c r="G268" s="127">
        <f>ETo!$I268*((1-Constantes!$D$19)*ETo!$K268+ETo!$L268)</f>
        <v>3.9513115831819263</v>
      </c>
      <c r="H268" s="127">
        <v>0.20870572749525815</v>
      </c>
      <c r="I268" s="127">
        <v>0</v>
      </c>
      <c r="J268" s="127">
        <v>0</v>
      </c>
      <c r="K268" s="127">
        <v>0</v>
      </c>
      <c r="L268" s="127">
        <v>0.23084025566549299</v>
      </c>
      <c r="M268" s="56"/>
    </row>
    <row r="269" spans="2:13">
      <c r="B269" s="55"/>
      <c r="C269" s="60">
        <v>264</v>
      </c>
      <c r="D269" s="127">
        <v>23.9</v>
      </c>
      <c r="E269" s="127">
        <v>4.7</v>
      </c>
      <c r="F269" s="127">
        <v>0</v>
      </c>
      <c r="G269" s="127">
        <f>ETo!$I269*((1-Constantes!$D$19)*ETo!$K269+ETo!$L269)</f>
        <v>3.8766327729824859</v>
      </c>
      <c r="H269" s="127">
        <v>0.20664894703919839</v>
      </c>
      <c r="I269" s="127">
        <v>0</v>
      </c>
      <c r="J269" s="127">
        <v>0</v>
      </c>
      <c r="K269" s="127">
        <v>0</v>
      </c>
      <c r="L269" s="127">
        <v>0.2283126040221761</v>
      </c>
      <c r="M269" s="56"/>
    </row>
    <row r="270" spans="2:13">
      <c r="B270" s="55"/>
      <c r="C270" s="60">
        <v>265</v>
      </c>
      <c r="D270" s="127">
        <v>23.2</v>
      </c>
      <c r="E270" s="127">
        <v>3.5</v>
      </c>
      <c r="F270" s="127">
        <v>0</v>
      </c>
      <c r="G270" s="127">
        <f>ETo!$I270*((1-Constantes!$D$19)*ETo!$K270+ETo!$L270)</f>
        <v>3.8136108614765041</v>
      </c>
      <c r="H270" s="127">
        <v>0.204612727133172</v>
      </c>
      <c r="I270" s="127">
        <v>0</v>
      </c>
      <c r="J270" s="127">
        <v>0</v>
      </c>
      <c r="K270" s="127">
        <v>0</v>
      </c>
      <c r="L270" s="127">
        <v>0.22581401625414954</v>
      </c>
      <c r="M270" s="56"/>
    </row>
    <row r="271" spans="2:13">
      <c r="B271" s="55"/>
      <c r="C271" s="60">
        <v>266</v>
      </c>
      <c r="D271" s="127">
        <v>22.8</v>
      </c>
      <c r="E271" s="127">
        <v>1.2</v>
      </c>
      <c r="F271" s="127">
        <v>0</v>
      </c>
      <c r="G271" s="127">
        <f>ETo!$I271*((1-Constantes!$D$19)*ETo!$K271+ETo!$L271)</f>
        <v>3.7175349598058065</v>
      </c>
      <c r="H271" s="127">
        <v>0.20259661947209576</v>
      </c>
      <c r="I271" s="127">
        <v>0</v>
      </c>
      <c r="J271" s="127">
        <v>0</v>
      </c>
      <c r="K271" s="127">
        <v>0</v>
      </c>
      <c r="L271" s="127">
        <v>0.22334390121313674</v>
      </c>
      <c r="M271" s="56"/>
    </row>
    <row r="272" spans="2:13">
      <c r="B272" s="55"/>
      <c r="C272" s="60">
        <v>267</v>
      </c>
      <c r="D272" s="127">
        <v>18.8</v>
      </c>
      <c r="E272" s="127">
        <v>6.5</v>
      </c>
      <c r="F272" s="127">
        <v>2</v>
      </c>
      <c r="G272" s="127">
        <f>ETo!$I272*((1-Constantes!$D$19)*ETo!$K272+ETo!$L272)</f>
        <v>3.7835632137366155</v>
      </c>
      <c r="H272" s="127">
        <v>0.21422585354190035</v>
      </c>
      <c r="I272" s="127">
        <v>0</v>
      </c>
      <c r="J272" s="127">
        <v>0</v>
      </c>
      <c r="K272" s="127">
        <v>0</v>
      </c>
      <c r="L272" s="127">
        <v>0.23452734785205781</v>
      </c>
      <c r="M272" s="56"/>
    </row>
    <row r="273" spans="2:13">
      <c r="B273" s="55"/>
      <c r="C273" s="60">
        <v>268</v>
      </c>
      <c r="D273" s="127">
        <v>20.5</v>
      </c>
      <c r="E273" s="127">
        <v>4.7</v>
      </c>
      <c r="F273" s="127">
        <v>4.5</v>
      </c>
      <c r="G273" s="127">
        <f>ETo!$I273*((1-Constantes!$D$19)*ETo!$K273+ETo!$L273)</f>
        <v>3.7924504547151034</v>
      </c>
      <c r="H273" s="127">
        <v>0.30181865919995365</v>
      </c>
      <c r="I273" s="127">
        <v>0</v>
      </c>
      <c r="J273" s="127">
        <v>0</v>
      </c>
      <c r="K273" s="127">
        <v>0</v>
      </c>
      <c r="L273" s="127">
        <v>0.33693678225539869</v>
      </c>
      <c r="M273" s="56"/>
    </row>
    <row r="274" spans="2:13">
      <c r="B274" s="55"/>
      <c r="C274" s="60">
        <v>269</v>
      </c>
      <c r="D274" s="127">
        <v>20</v>
      </c>
      <c r="E274" s="127">
        <v>4.4000000000000004</v>
      </c>
      <c r="F274" s="127">
        <v>0</v>
      </c>
      <c r="G274" s="127">
        <f>ETo!$I274*((1-Constantes!$D$19)*ETo!$K274+ETo!$L274)</f>
        <v>3.7723644130734062</v>
      </c>
      <c r="H274" s="127">
        <v>0.23342816843066405</v>
      </c>
      <c r="I274" s="127">
        <v>0</v>
      </c>
      <c r="J274" s="127">
        <v>0</v>
      </c>
      <c r="K274" s="127">
        <v>0</v>
      </c>
      <c r="L274" s="127">
        <v>0.24730547159680216</v>
      </c>
      <c r="M274" s="56"/>
    </row>
    <row r="275" spans="2:13">
      <c r="B275" s="55"/>
      <c r="C275" s="60">
        <v>270</v>
      </c>
      <c r="D275" s="127">
        <v>19.5</v>
      </c>
      <c r="E275" s="127">
        <v>3.5</v>
      </c>
      <c r="F275" s="127">
        <v>0</v>
      </c>
      <c r="G275" s="127">
        <f>ETo!$I275*((1-Constantes!$D$19)*ETo!$K275+ETo!$L275)</f>
        <v>3.7271946543140699</v>
      </c>
      <c r="H275" s="127">
        <v>0.20082898696949908</v>
      </c>
      <c r="I275" s="127">
        <v>0</v>
      </c>
      <c r="J275" s="127">
        <v>0</v>
      </c>
      <c r="K275" s="127">
        <v>0</v>
      </c>
      <c r="L275" s="127">
        <v>0.21891900463814945</v>
      </c>
      <c r="M275" s="56"/>
    </row>
    <row r="276" spans="2:13">
      <c r="B276" s="55"/>
      <c r="C276" s="60">
        <v>271</v>
      </c>
      <c r="D276" s="127">
        <v>21.2</v>
      </c>
      <c r="E276" s="127">
        <v>3.5</v>
      </c>
      <c r="F276" s="127">
        <v>0</v>
      </c>
      <c r="G276" s="127">
        <f>ETo!$I276*((1-Constantes!$D$19)*ETo!$K276+ETo!$L276)</f>
        <v>3.8091858332944852</v>
      </c>
      <c r="H276" s="127">
        <v>0.19382244005931062</v>
      </c>
      <c r="I276" s="127">
        <v>0</v>
      </c>
      <c r="J276" s="127">
        <v>0</v>
      </c>
      <c r="K276" s="127">
        <v>0</v>
      </c>
      <c r="L276" s="127">
        <v>0.2122672486179373</v>
      </c>
      <c r="M276" s="56"/>
    </row>
    <row r="277" spans="2:13">
      <c r="B277" s="55"/>
      <c r="C277" s="60">
        <v>272</v>
      </c>
      <c r="D277" s="127">
        <v>23.2</v>
      </c>
      <c r="E277" s="127">
        <v>3.5</v>
      </c>
      <c r="F277" s="127">
        <v>0</v>
      </c>
      <c r="G277" s="127">
        <f>ETo!$I277*((1-Constantes!$D$19)*ETo!$K277+ETo!$L277)</f>
        <v>3.9037938456254855</v>
      </c>
      <c r="H277" s="127">
        <v>0.19107837815627893</v>
      </c>
      <c r="I277" s="127">
        <v>0</v>
      </c>
      <c r="J277" s="127">
        <v>0</v>
      </c>
      <c r="K277" s="127">
        <v>0</v>
      </c>
      <c r="L277" s="127">
        <v>0.20924408417670479</v>
      </c>
      <c r="M277" s="56"/>
    </row>
    <row r="278" spans="2:13">
      <c r="B278" s="55"/>
      <c r="C278" s="60">
        <v>273</v>
      </c>
      <c r="D278" s="127">
        <v>25.6</v>
      </c>
      <c r="E278" s="127">
        <v>3.5</v>
      </c>
      <c r="F278" s="127">
        <v>0</v>
      </c>
      <c r="G278" s="127">
        <f>ETo!$I278*((1-Constantes!$D$19)*ETo!$K278+ETo!$L278)</f>
        <v>4.0153508862961127</v>
      </c>
      <c r="H278" s="127">
        <v>0.18905719948747957</v>
      </c>
      <c r="I278" s="127">
        <v>0</v>
      </c>
      <c r="J278" s="127">
        <v>0</v>
      </c>
      <c r="K278" s="127">
        <v>0</v>
      </c>
      <c r="L278" s="127">
        <v>0.20684478734659503</v>
      </c>
      <c r="M278" s="56"/>
    </row>
    <row r="279" spans="2:13">
      <c r="B279" s="55"/>
      <c r="C279" s="60">
        <v>274</v>
      </c>
      <c r="D279" s="127">
        <v>23.2</v>
      </c>
      <c r="E279" s="127">
        <v>3.5</v>
      </c>
      <c r="F279" s="127">
        <v>0</v>
      </c>
      <c r="G279" s="127">
        <f>ETo!$I279*((1-Constantes!$D$19)*ETo!$K279+ETo!$L279)</f>
        <v>3.927185033014287</v>
      </c>
      <c r="H279" s="127">
        <v>0.18717140199451726</v>
      </c>
      <c r="I279" s="127">
        <v>0</v>
      </c>
      <c r="J279" s="127">
        <v>0</v>
      </c>
      <c r="K279" s="127">
        <v>0</v>
      </c>
      <c r="L279" s="127">
        <v>0.20457050751815087</v>
      </c>
      <c r="M279" s="56"/>
    </row>
    <row r="280" spans="2:13">
      <c r="B280" s="55"/>
      <c r="C280" s="60">
        <v>275</v>
      </c>
      <c r="D280" s="127">
        <v>24.5</v>
      </c>
      <c r="E280" s="127">
        <v>4.5</v>
      </c>
      <c r="F280" s="127">
        <v>0</v>
      </c>
      <c r="G280" s="127">
        <f>ETo!$I280*((1-Constantes!$D$19)*ETo!$K280+ETo!$L280)</f>
        <v>4.0345183175993178</v>
      </c>
      <c r="H280" s="127">
        <v>0.18532334572105638</v>
      </c>
      <c r="I280" s="127">
        <v>0</v>
      </c>
      <c r="J280" s="127">
        <v>0</v>
      </c>
      <c r="K280" s="127">
        <v>0</v>
      </c>
      <c r="L280" s="127">
        <v>0.20233821271095445</v>
      </c>
      <c r="M280" s="56"/>
    </row>
    <row r="281" spans="2:13">
      <c r="B281" s="55"/>
      <c r="C281" s="60">
        <v>276</v>
      </c>
      <c r="D281" s="127">
        <v>22.6</v>
      </c>
      <c r="E281" s="127">
        <v>5.5</v>
      </c>
      <c r="F281" s="127">
        <v>0</v>
      </c>
      <c r="G281" s="127">
        <f>ETo!$I281*((1-Constantes!$D$19)*ETo!$K281+ETo!$L281)</f>
        <v>4.0080695398097923</v>
      </c>
      <c r="H281" s="127">
        <v>0.18349667812756082</v>
      </c>
      <c r="I281" s="127">
        <v>0</v>
      </c>
      <c r="J281" s="127">
        <v>0</v>
      </c>
      <c r="K281" s="127">
        <v>0</v>
      </c>
      <c r="L281" s="127">
        <v>0.20013387352288081</v>
      </c>
      <c r="M281" s="56"/>
    </row>
    <row r="282" spans="2:13">
      <c r="B282" s="55"/>
      <c r="C282" s="60">
        <v>277</v>
      </c>
      <c r="D282" s="127">
        <v>13.5</v>
      </c>
      <c r="E282" s="127">
        <v>4.8</v>
      </c>
      <c r="F282" s="127">
        <v>0</v>
      </c>
      <c r="G282" s="127">
        <f>ETo!$I282*((1-Constantes!$D$19)*ETo!$K282+ETo!$L282)</f>
        <v>3.6084840175054107</v>
      </c>
      <c r="H282" s="127">
        <v>0.18168853669317106</v>
      </c>
      <c r="I282" s="127">
        <v>0</v>
      </c>
      <c r="J282" s="127">
        <v>0</v>
      </c>
      <c r="K282" s="127">
        <v>0</v>
      </c>
      <c r="L282" s="127">
        <v>0.19795491370668511</v>
      </c>
      <c r="M282" s="56"/>
    </row>
    <row r="283" spans="2:13">
      <c r="B283" s="55"/>
      <c r="C283" s="60">
        <v>278</v>
      </c>
      <c r="D283" s="127">
        <v>21.5</v>
      </c>
      <c r="E283" s="127">
        <v>7.5</v>
      </c>
      <c r="F283" s="127">
        <v>0</v>
      </c>
      <c r="G283" s="127">
        <f>ETo!$I283*((1-Constantes!$D$19)*ETo!$K283+ETo!$L283)</f>
        <v>4.0674213974861138</v>
      </c>
      <c r="H283" s="127">
        <v>0.17989829884973521</v>
      </c>
      <c r="I283" s="127">
        <v>0</v>
      </c>
      <c r="J283" s="127">
        <v>0</v>
      </c>
      <c r="K283" s="127">
        <v>0</v>
      </c>
      <c r="L283" s="127">
        <v>0.1958006605893694</v>
      </c>
      <c r="M283" s="56"/>
    </row>
    <row r="284" spans="2:13">
      <c r="B284" s="55"/>
      <c r="C284" s="60">
        <v>279</v>
      </c>
      <c r="D284" s="127">
        <v>20</v>
      </c>
      <c r="E284" s="127">
        <v>7</v>
      </c>
      <c r="F284" s="127">
        <v>0</v>
      </c>
      <c r="G284" s="127">
        <f>ETo!$I284*((1-Constantes!$D$19)*ETo!$K284+ETo!$L284)</f>
        <v>3.9935323221971601</v>
      </c>
      <c r="H284" s="127">
        <v>0.17812571517269227</v>
      </c>
      <c r="I284" s="127">
        <v>0</v>
      </c>
      <c r="J284" s="127">
        <v>0</v>
      </c>
      <c r="K284" s="127">
        <v>0</v>
      </c>
      <c r="L284" s="127">
        <v>0.19367076040979925</v>
      </c>
      <c r="M284" s="56"/>
    </row>
    <row r="285" spans="2:13">
      <c r="B285" s="55"/>
      <c r="C285" s="60">
        <v>280</v>
      </c>
      <c r="D285" s="127">
        <v>20</v>
      </c>
      <c r="E285" s="127">
        <v>5.4</v>
      </c>
      <c r="F285" s="127">
        <v>0</v>
      </c>
      <c r="G285" s="127">
        <f>ETo!$I285*((1-Constantes!$D$19)*ETo!$K285+ETo!$L285)</f>
        <v>3.935974676860063</v>
      </c>
      <c r="H285" s="127">
        <v>0.17637059959529314</v>
      </c>
      <c r="I285" s="127">
        <v>0</v>
      </c>
      <c r="J285" s="127">
        <v>0</v>
      </c>
      <c r="K285" s="127">
        <v>0</v>
      </c>
      <c r="L285" s="127">
        <v>0.19156491532615705</v>
      </c>
      <c r="M285" s="56"/>
    </row>
    <row r="286" spans="2:13">
      <c r="B286" s="55"/>
      <c r="C286" s="60">
        <v>281</v>
      </c>
      <c r="D286" s="127">
        <v>16</v>
      </c>
      <c r="E286" s="127">
        <v>3.8</v>
      </c>
      <c r="F286" s="127">
        <v>0</v>
      </c>
      <c r="G286" s="127">
        <f>ETo!$I286*((1-Constantes!$D$19)*ETo!$K286+ETo!$L286)</f>
        <v>3.7088600703743593</v>
      </c>
      <c r="H286" s="127">
        <v>0.17463277798969981</v>
      </c>
      <c r="I286" s="127">
        <v>0</v>
      </c>
      <c r="J286" s="127">
        <v>0</v>
      </c>
      <c r="K286" s="127">
        <v>0</v>
      </c>
      <c r="L286" s="127">
        <v>0.18948283973697028</v>
      </c>
      <c r="M286" s="56"/>
    </row>
    <row r="287" spans="2:13">
      <c r="B287" s="55"/>
      <c r="C287" s="60">
        <v>282</v>
      </c>
      <c r="D287" s="127">
        <v>23</v>
      </c>
      <c r="E287" s="127">
        <v>3.6</v>
      </c>
      <c r="F287" s="127">
        <v>0</v>
      </c>
      <c r="G287" s="127">
        <f>ETo!$I287*((1-Constantes!$D$19)*ETo!$K287+ETo!$L287)</f>
        <v>4.0055986490724358</v>
      </c>
      <c r="H287" s="127">
        <v>0.17291207962067556</v>
      </c>
      <c r="I287" s="127">
        <v>0</v>
      </c>
      <c r="J287" s="127">
        <v>0</v>
      </c>
      <c r="K287" s="127">
        <v>0</v>
      </c>
      <c r="L287" s="127">
        <v>0.18742425299475879</v>
      </c>
      <c r="M287" s="56"/>
    </row>
    <row r="288" spans="2:13">
      <c r="B288" s="55"/>
      <c r="C288" s="60">
        <v>283</v>
      </c>
      <c r="D288" s="127">
        <v>22.2</v>
      </c>
      <c r="E288" s="127">
        <v>2.8</v>
      </c>
      <c r="F288" s="127">
        <v>3</v>
      </c>
      <c r="G288" s="127">
        <f>ETo!$I288*((1-Constantes!$D$19)*ETo!$K288+ETo!$L288)</f>
        <v>3.9467756418910867</v>
      </c>
      <c r="H288" s="127">
        <v>0.20755797699425474</v>
      </c>
      <c r="I288" s="127">
        <v>0</v>
      </c>
      <c r="J288" s="127">
        <v>0</v>
      </c>
      <c r="K288" s="127">
        <v>0</v>
      </c>
      <c r="L288" s="127">
        <v>0.21911678276306842</v>
      </c>
      <c r="M288" s="56"/>
    </row>
    <row r="289" spans="2:13">
      <c r="B289" s="55"/>
      <c r="C289" s="60">
        <v>284</v>
      </c>
      <c r="D289" s="127">
        <v>19.8</v>
      </c>
      <c r="E289" s="127">
        <v>7</v>
      </c>
      <c r="F289" s="127">
        <v>0.3</v>
      </c>
      <c r="G289" s="127">
        <f>ETo!$I289*((1-Constantes!$D$19)*ETo!$K289+ETo!$L289)</f>
        <v>4.0320157048950671</v>
      </c>
      <c r="H289" s="127">
        <v>0.17759692549910291</v>
      </c>
      <c r="I289" s="127">
        <v>0</v>
      </c>
      <c r="J289" s="127">
        <v>0</v>
      </c>
      <c r="K289" s="127">
        <v>0</v>
      </c>
      <c r="L289" s="127">
        <v>0.19101694668892791</v>
      </c>
      <c r="M289" s="56"/>
    </row>
    <row r="290" spans="2:13">
      <c r="B290" s="55"/>
      <c r="C290" s="60">
        <v>285</v>
      </c>
      <c r="D290" s="127">
        <v>19.5</v>
      </c>
      <c r="E290" s="127">
        <v>8</v>
      </c>
      <c r="F290" s="127">
        <v>6.3</v>
      </c>
      <c r="G290" s="127">
        <f>ETo!$I290*((1-Constantes!$D$19)*ETo!$K290+ETo!$L290)</f>
        <v>4.0704200670470048</v>
      </c>
      <c r="H290" s="127">
        <v>0.35656894370068726</v>
      </c>
      <c r="I290" s="127">
        <v>0</v>
      </c>
      <c r="J290" s="127">
        <v>0</v>
      </c>
      <c r="K290" s="127">
        <v>0</v>
      </c>
      <c r="L290" s="127">
        <v>0.44999818528641633</v>
      </c>
      <c r="M290" s="56"/>
    </row>
    <row r="291" spans="2:13">
      <c r="B291" s="55"/>
      <c r="C291" s="60">
        <v>286</v>
      </c>
      <c r="D291" s="127">
        <v>15</v>
      </c>
      <c r="E291" s="127">
        <v>7.8</v>
      </c>
      <c r="F291" s="127">
        <v>3.3</v>
      </c>
      <c r="G291" s="127">
        <f>ETo!$I291*((1-Constantes!$D$19)*ETo!$K291+ETo!$L291)</f>
        <v>3.8781490920878836</v>
      </c>
      <c r="H291" s="127">
        <v>0.36197495685391301</v>
      </c>
      <c r="I291" s="127">
        <v>0</v>
      </c>
      <c r="J291" s="127">
        <v>0</v>
      </c>
      <c r="K291" s="127">
        <v>0</v>
      </c>
      <c r="L291" s="127">
        <v>0.36677753778558164</v>
      </c>
      <c r="M291" s="56"/>
    </row>
    <row r="292" spans="2:13">
      <c r="B292" s="55"/>
      <c r="C292" s="60">
        <v>287</v>
      </c>
      <c r="D292" s="127">
        <v>20</v>
      </c>
      <c r="E292" s="127">
        <v>6.2</v>
      </c>
      <c r="F292" s="127">
        <v>20</v>
      </c>
      <c r="G292" s="127">
        <f>ETo!$I292*((1-Constantes!$D$19)*ETo!$K292+ETo!$L292)</f>
        <v>4.0312374427179289</v>
      </c>
      <c r="H292" s="127">
        <v>3.1693932735117767</v>
      </c>
      <c r="I292" s="127">
        <v>0</v>
      </c>
      <c r="J292" s="127">
        <v>0</v>
      </c>
      <c r="K292" s="127">
        <v>0</v>
      </c>
      <c r="L292" s="127">
        <v>1.9397050269185223</v>
      </c>
      <c r="M292" s="56"/>
    </row>
    <row r="293" spans="2:13">
      <c r="B293" s="55"/>
      <c r="C293" s="60">
        <v>288</v>
      </c>
      <c r="D293" s="127">
        <v>20.5</v>
      </c>
      <c r="E293" s="127">
        <v>7.4</v>
      </c>
      <c r="F293" s="127">
        <v>4.2</v>
      </c>
      <c r="G293" s="127">
        <f>ETo!$I293*((1-Constantes!$D$19)*ETo!$K293+ETo!$L293)</f>
        <v>4.1117983544047689</v>
      </c>
      <c r="H293" s="127">
        <v>0.93817436103621699</v>
      </c>
      <c r="I293" s="127">
        <v>0</v>
      </c>
      <c r="J293" s="127">
        <v>0</v>
      </c>
      <c r="K293" s="127">
        <v>0</v>
      </c>
      <c r="L293" s="127">
        <v>0.74285838297751672</v>
      </c>
      <c r="M293" s="56"/>
    </row>
    <row r="294" spans="2:13">
      <c r="B294" s="55"/>
      <c r="C294" s="60">
        <v>289</v>
      </c>
      <c r="D294" s="127">
        <v>21.6</v>
      </c>
      <c r="E294" s="127">
        <v>8</v>
      </c>
      <c r="F294" s="127">
        <v>12.6</v>
      </c>
      <c r="G294" s="127">
        <f>ETo!$I294*((1-Constantes!$D$19)*ETo!$K294+ETo!$L294)</f>
        <v>4.1923952266934394</v>
      </c>
      <c r="H294" s="127">
        <v>1.9162861432839533</v>
      </c>
      <c r="I294" s="127">
        <v>0</v>
      </c>
      <c r="J294" s="127">
        <v>0</v>
      </c>
      <c r="K294" s="127">
        <v>0</v>
      </c>
      <c r="L294" s="127">
        <v>0.75537260103781378</v>
      </c>
      <c r="M294" s="56"/>
    </row>
    <row r="295" spans="2:13">
      <c r="B295" s="55"/>
      <c r="C295" s="60">
        <v>290</v>
      </c>
      <c r="D295" s="127">
        <v>23</v>
      </c>
      <c r="E295" s="127">
        <v>6.6</v>
      </c>
      <c r="F295" s="127">
        <v>0</v>
      </c>
      <c r="G295" s="127">
        <f>ETo!$I295*((1-Constantes!$D$19)*ETo!$K295+ETo!$L295)</f>
        <v>4.1998129096316292</v>
      </c>
      <c r="H295" s="127">
        <v>1.1379667132872107</v>
      </c>
      <c r="I295" s="127">
        <v>0</v>
      </c>
      <c r="J295" s="127">
        <v>0</v>
      </c>
      <c r="K295" s="127">
        <v>0</v>
      </c>
      <c r="L295" s="127">
        <v>0.7574578776616846</v>
      </c>
      <c r="M295" s="56"/>
    </row>
    <row r="296" spans="2:13">
      <c r="B296" s="55"/>
      <c r="C296" s="60">
        <v>291</v>
      </c>
      <c r="D296" s="127">
        <v>19.8</v>
      </c>
      <c r="E296" s="127">
        <v>7.1</v>
      </c>
      <c r="F296" s="127">
        <v>0</v>
      </c>
      <c r="G296" s="127">
        <f>ETo!$I296*((1-Constantes!$D$19)*ETo!$K296+ETo!$L296)</f>
        <v>4.0906692763937986</v>
      </c>
      <c r="H296" s="127">
        <v>1.0348205459506223</v>
      </c>
      <c r="I296" s="127">
        <v>0</v>
      </c>
      <c r="J296" s="127">
        <v>0</v>
      </c>
      <c r="K296" s="127">
        <v>0</v>
      </c>
      <c r="L296" s="127">
        <v>0.75864102326628435</v>
      </c>
      <c r="M296" s="56"/>
    </row>
    <row r="297" spans="2:13">
      <c r="B297" s="55"/>
      <c r="C297" s="60">
        <v>292</v>
      </c>
      <c r="D297" s="127">
        <v>21.2</v>
      </c>
      <c r="E297" s="127">
        <v>6.3</v>
      </c>
      <c r="F297" s="127">
        <v>8.4</v>
      </c>
      <c r="G297" s="127">
        <f>ETo!$I297*((1-Constantes!$D$19)*ETo!$K297+ETo!$L297)</f>
        <v>4.1232627450985131</v>
      </c>
      <c r="H297" s="127">
        <v>1.3775360399882048</v>
      </c>
      <c r="I297" s="127">
        <v>0</v>
      </c>
      <c r="J297" s="127">
        <v>0</v>
      </c>
      <c r="K297" s="127">
        <v>0</v>
      </c>
      <c r="L297" s="127">
        <v>0.76419143427946223</v>
      </c>
      <c r="M297" s="56"/>
    </row>
    <row r="298" spans="2:13">
      <c r="B298" s="55"/>
      <c r="C298" s="60">
        <v>293</v>
      </c>
      <c r="D298" s="127">
        <v>17</v>
      </c>
      <c r="E298" s="127">
        <v>8.4</v>
      </c>
      <c r="F298" s="127">
        <v>3.4</v>
      </c>
      <c r="G298" s="127">
        <f>ETo!$I298*((1-Constantes!$D$19)*ETo!$K298+ETo!$L298)</f>
        <v>4.0391280505885989</v>
      </c>
      <c r="H298" s="127">
        <v>1.2260342853661697</v>
      </c>
      <c r="I298" s="127">
        <v>0</v>
      </c>
      <c r="J298" s="127">
        <v>0</v>
      </c>
      <c r="K298" s="127">
        <v>0</v>
      </c>
      <c r="L298" s="127">
        <v>0.76682219302289245</v>
      </c>
      <c r="M298" s="56"/>
    </row>
    <row r="299" spans="2:13">
      <c r="B299" s="55"/>
      <c r="C299" s="60">
        <v>294</v>
      </c>
      <c r="D299" s="127">
        <v>21.8</v>
      </c>
      <c r="E299" s="127">
        <v>5.5</v>
      </c>
      <c r="F299" s="127">
        <v>0</v>
      </c>
      <c r="G299" s="127">
        <f>ETo!$I299*((1-Constantes!$D$19)*ETo!$K299+ETo!$L299)</f>
        <v>4.1273833721718969</v>
      </c>
      <c r="H299" s="127">
        <v>1.1191601365119377</v>
      </c>
      <c r="I299" s="127">
        <v>0</v>
      </c>
      <c r="J299" s="127">
        <v>0</v>
      </c>
      <c r="K299" s="127">
        <v>0</v>
      </c>
      <c r="L299" s="127">
        <v>0.76851303474289678</v>
      </c>
      <c r="M299" s="56"/>
    </row>
    <row r="300" spans="2:13">
      <c r="B300" s="55"/>
      <c r="C300" s="60">
        <v>295</v>
      </c>
      <c r="D300" s="127">
        <v>22.5</v>
      </c>
      <c r="E300" s="127">
        <v>5.6</v>
      </c>
      <c r="F300" s="127">
        <v>2.5</v>
      </c>
      <c r="G300" s="127">
        <f>ETo!$I300*((1-Constantes!$D$19)*ETo!$K300+ETo!$L300)</f>
        <v>4.1680149142272098</v>
      </c>
      <c r="H300" s="127">
        <v>1.1003688193512919</v>
      </c>
      <c r="I300" s="127">
        <v>0</v>
      </c>
      <c r="J300" s="127">
        <v>0</v>
      </c>
      <c r="K300" s="127">
        <v>0</v>
      </c>
      <c r="L300" s="127">
        <v>0.7700187569389555</v>
      </c>
      <c r="M300" s="56"/>
    </row>
    <row r="301" spans="2:13">
      <c r="B301" s="55"/>
      <c r="C301" s="60">
        <v>296</v>
      </c>
      <c r="D301" s="127">
        <v>20.8</v>
      </c>
      <c r="E301" s="127">
        <v>8.4</v>
      </c>
      <c r="F301" s="127">
        <v>3.2</v>
      </c>
      <c r="G301" s="127">
        <f>ETo!$I301*((1-Constantes!$D$19)*ETo!$K301+ETo!$L301)</f>
        <v>4.2215087510305596</v>
      </c>
      <c r="H301" s="127">
        <v>1.1051303607601723</v>
      </c>
      <c r="I301" s="127">
        <v>0</v>
      </c>
      <c r="J301" s="127">
        <v>0</v>
      </c>
      <c r="K301" s="127">
        <v>0</v>
      </c>
      <c r="L301" s="127">
        <v>0.77153998712831995</v>
      </c>
      <c r="M301" s="56"/>
    </row>
    <row r="302" spans="2:13">
      <c r="B302" s="55"/>
      <c r="C302" s="60">
        <v>297</v>
      </c>
      <c r="D302" s="127">
        <v>14</v>
      </c>
      <c r="E302" s="127">
        <v>8.6</v>
      </c>
      <c r="F302" s="127">
        <v>1.8</v>
      </c>
      <c r="G302" s="127">
        <f>ETo!$I302*((1-Constantes!$D$19)*ETo!$K302+ETo!$L302)</f>
        <v>3.9407586027658663</v>
      </c>
      <c r="H302" s="127">
        <v>1.0666982580066742</v>
      </c>
      <c r="I302" s="127">
        <v>0</v>
      </c>
      <c r="J302" s="127">
        <v>0</v>
      </c>
      <c r="K302" s="127">
        <v>0</v>
      </c>
      <c r="L302" s="127">
        <v>0.77271498079366774</v>
      </c>
      <c r="M302" s="56"/>
    </row>
    <row r="303" spans="2:13">
      <c r="B303" s="55"/>
      <c r="C303" s="60">
        <v>298</v>
      </c>
      <c r="D303" s="127">
        <v>13.4</v>
      </c>
      <c r="E303" s="127">
        <v>9.5</v>
      </c>
      <c r="F303" s="127">
        <v>5.8</v>
      </c>
      <c r="G303" s="127">
        <f>ETo!$I303*((1-Constantes!$D$19)*ETo!$K303+ETo!$L303)</f>
        <v>3.9588412632367103</v>
      </c>
      <c r="H303" s="127">
        <v>1.1834646752837472</v>
      </c>
      <c r="I303" s="127">
        <v>0</v>
      </c>
      <c r="J303" s="127">
        <v>0</v>
      </c>
      <c r="K303" s="127">
        <v>0</v>
      </c>
      <c r="L303" s="127">
        <v>0.77538481952852101</v>
      </c>
      <c r="M303" s="56"/>
    </row>
    <row r="304" spans="2:13">
      <c r="B304" s="55"/>
      <c r="C304" s="60">
        <v>299</v>
      </c>
      <c r="D304" s="127">
        <v>17</v>
      </c>
      <c r="E304" s="127">
        <v>8.8000000000000007</v>
      </c>
      <c r="F304" s="127">
        <v>1.7</v>
      </c>
      <c r="G304" s="127">
        <f>ETo!$I304*((1-Constantes!$D$19)*ETo!$K304+ETo!$L304)</f>
        <v>4.0897736866914771</v>
      </c>
      <c r="H304" s="127">
        <v>1.1184221062144395</v>
      </c>
      <c r="I304" s="127">
        <v>0</v>
      </c>
      <c r="J304" s="127">
        <v>0</v>
      </c>
      <c r="K304" s="127">
        <v>0</v>
      </c>
      <c r="L304" s="127">
        <v>0.77691719472067522</v>
      </c>
      <c r="M304" s="56"/>
    </row>
    <row r="305" spans="2:13">
      <c r="B305" s="55"/>
      <c r="C305" s="60">
        <v>300</v>
      </c>
      <c r="D305" s="127">
        <v>20</v>
      </c>
      <c r="E305" s="127">
        <v>8.6999999999999993</v>
      </c>
      <c r="F305" s="127">
        <v>0.3</v>
      </c>
      <c r="G305" s="127">
        <f>ETo!$I305*((1-Constantes!$D$19)*ETo!$K305+ETo!$L305)</f>
        <v>4.2207573967999856</v>
      </c>
      <c r="H305" s="127">
        <v>1.0236528970178127</v>
      </c>
      <c r="I305" s="127">
        <v>0</v>
      </c>
      <c r="J305" s="127">
        <v>0</v>
      </c>
      <c r="K305" s="127">
        <v>0</v>
      </c>
      <c r="L305" s="127">
        <v>0.77762875832485023</v>
      </c>
      <c r="M305" s="56"/>
    </row>
    <row r="306" spans="2:13">
      <c r="B306" s="55"/>
      <c r="C306" s="60">
        <v>301</v>
      </c>
      <c r="D306" s="127">
        <v>22.3</v>
      </c>
      <c r="E306" s="127">
        <v>9.1999999999999993</v>
      </c>
      <c r="F306" s="127">
        <v>1.4</v>
      </c>
      <c r="G306" s="127">
        <f>ETo!$I306*((1-Constantes!$D$19)*ETo!$K306+ETo!$L306)</f>
        <v>4.3475602454165516</v>
      </c>
      <c r="H306" s="127">
        <v>0.96742474825156077</v>
      </c>
      <c r="I306" s="127">
        <v>0</v>
      </c>
      <c r="J306" s="127">
        <v>0</v>
      </c>
      <c r="K306" s="127">
        <v>0</v>
      </c>
      <c r="L306" s="127">
        <v>0.77785544160575648</v>
      </c>
      <c r="M306" s="56"/>
    </row>
    <row r="307" spans="2:13">
      <c r="B307" s="55"/>
      <c r="C307" s="60">
        <v>302</v>
      </c>
      <c r="D307" s="127">
        <v>23.2</v>
      </c>
      <c r="E307" s="127">
        <v>8</v>
      </c>
      <c r="F307" s="127">
        <v>0</v>
      </c>
      <c r="G307" s="127">
        <f>ETo!$I307*((1-Constantes!$D$19)*ETo!$K307+ETo!$L307)</f>
        <v>4.3389960407886194</v>
      </c>
      <c r="H307" s="127">
        <v>0.86553152601627414</v>
      </c>
      <c r="I307" s="127">
        <v>0</v>
      </c>
      <c r="J307" s="127">
        <v>0</v>
      </c>
      <c r="K307" s="127">
        <v>0</v>
      </c>
      <c r="L307" s="127">
        <v>0.77722087968814724</v>
      </c>
      <c r="M307" s="56"/>
    </row>
    <row r="308" spans="2:13">
      <c r="B308" s="55"/>
      <c r="C308" s="60">
        <v>303</v>
      </c>
      <c r="D308" s="127">
        <v>21.8</v>
      </c>
      <c r="E308" s="127">
        <v>6.5</v>
      </c>
      <c r="F308" s="127">
        <v>2.5</v>
      </c>
      <c r="G308" s="127">
        <f>ETo!$I308*((1-Constantes!$D$19)*ETo!$K308+ETo!$L308)</f>
        <v>4.2166137780151312</v>
      </c>
      <c r="H308" s="127">
        <v>0.85428203570419292</v>
      </c>
      <c r="I308" s="127">
        <v>0</v>
      </c>
      <c r="J308" s="127">
        <v>0</v>
      </c>
      <c r="K308" s="127">
        <v>0</v>
      </c>
      <c r="L308" s="127">
        <v>0.77650100250469534</v>
      </c>
      <c r="M308" s="56"/>
    </row>
    <row r="309" spans="2:13">
      <c r="B309" s="55"/>
      <c r="C309" s="60">
        <v>304</v>
      </c>
      <c r="D309" s="127">
        <v>20.8</v>
      </c>
      <c r="E309" s="127">
        <v>9</v>
      </c>
      <c r="F309" s="127">
        <v>0</v>
      </c>
      <c r="G309" s="127">
        <f>ETo!$I309*((1-Constantes!$D$19)*ETo!$K309+ETo!$L309)</f>
        <v>4.2861703884606843</v>
      </c>
      <c r="H309" s="127">
        <v>0.75705876225588364</v>
      </c>
      <c r="I309" s="127">
        <v>0</v>
      </c>
      <c r="J309" s="127">
        <v>0</v>
      </c>
      <c r="K309" s="127">
        <v>0</v>
      </c>
      <c r="L309" s="127">
        <v>0.74865460883835888</v>
      </c>
      <c r="M309" s="56"/>
    </row>
    <row r="310" spans="2:13">
      <c r="B310" s="55"/>
      <c r="C310" s="60">
        <v>305</v>
      </c>
      <c r="D310" s="127">
        <v>21</v>
      </c>
      <c r="E310" s="127">
        <v>8</v>
      </c>
      <c r="F310" s="127">
        <v>0.4</v>
      </c>
      <c r="G310" s="127">
        <f>ETo!$I310*((1-Constantes!$D$19)*ETo!$K310+ETo!$L310)</f>
        <v>4.255017109363699</v>
      </c>
      <c r="H310" s="127">
        <v>0.67726039705570662</v>
      </c>
      <c r="I310" s="127">
        <v>0</v>
      </c>
      <c r="J310" s="127">
        <v>0</v>
      </c>
      <c r="K310" s="127">
        <v>0</v>
      </c>
      <c r="L310" s="127">
        <v>0.66750801248270686</v>
      </c>
      <c r="M310" s="56"/>
    </row>
    <row r="311" spans="2:13">
      <c r="B311" s="55"/>
      <c r="C311" s="60">
        <v>306</v>
      </c>
      <c r="D311" s="127">
        <v>19.2</v>
      </c>
      <c r="E311" s="127">
        <v>10</v>
      </c>
      <c r="F311" s="127">
        <v>2.2000000000000002</v>
      </c>
      <c r="G311" s="127">
        <f>ETo!$I311*((1-Constantes!$D$19)*ETo!$K311+ETo!$L311)</f>
        <v>4.2673873609936095</v>
      </c>
      <c r="H311" s="127">
        <v>0.66125457776348462</v>
      </c>
      <c r="I311" s="127">
        <v>0</v>
      </c>
      <c r="J311" s="127">
        <v>0</v>
      </c>
      <c r="K311" s="127">
        <v>0</v>
      </c>
      <c r="L311" s="127">
        <v>0.65017176661116127</v>
      </c>
      <c r="M311" s="56"/>
    </row>
    <row r="312" spans="2:13">
      <c r="B312" s="55"/>
      <c r="C312" s="60">
        <v>307</v>
      </c>
      <c r="D312" s="127">
        <v>21.2</v>
      </c>
      <c r="E312" s="127">
        <v>8.8000000000000007</v>
      </c>
      <c r="F312" s="127">
        <v>0</v>
      </c>
      <c r="G312" s="127">
        <f>ETo!$I312*((1-Constantes!$D$19)*ETo!$K312+ETo!$L312)</f>
        <v>4.3058632169196178</v>
      </c>
      <c r="H312" s="127">
        <v>0.57017707433682929</v>
      </c>
      <c r="I312" s="127">
        <v>0</v>
      </c>
      <c r="J312" s="127">
        <v>0</v>
      </c>
      <c r="K312" s="127">
        <v>0</v>
      </c>
      <c r="L312" s="127">
        <v>0.55776461986571835</v>
      </c>
      <c r="M312" s="56"/>
    </row>
    <row r="313" spans="2:13">
      <c r="B313" s="55"/>
      <c r="C313" s="60">
        <v>308</v>
      </c>
      <c r="D313" s="127">
        <v>23.5</v>
      </c>
      <c r="E313" s="127">
        <v>5</v>
      </c>
      <c r="F313" s="127">
        <v>2.6</v>
      </c>
      <c r="G313" s="127">
        <f>ETo!$I313*((1-Constantes!$D$19)*ETo!$K313+ETo!$L313)</f>
        <v>4.2433724731095666</v>
      </c>
      <c r="H313" s="127">
        <v>0.57178055737785349</v>
      </c>
      <c r="I313" s="127">
        <v>0</v>
      </c>
      <c r="J313" s="127">
        <v>0</v>
      </c>
      <c r="K313" s="127">
        <v>0</v>
      </c>
      <c r="L313" s="127">
        <v>0.55810435637808864</v>
      </c>
      <c r="M313" s="56"/>
    </row>
    <row r="314" spans="2:13">
      <c r="B314" s="55"/>
      <c r="C314" s="60">
        <v>309</v>
      </c>
      <c r="D314" s="127">
        <v>26.2</v>
      </c>
      <c r="E314" s="127">
        <v>5</v>
      </c>
      <c r="F314" s="127">
        <v>1.1000000000000001</v>
      </c>
      <c r="G314" s="127">
        <f>ETo!$I314*((1-Constantes!$D$19)*ETo!$K314+ETo!$L314)</f>
        <v>4.364864690114425</v>
      </c>
      <c r="H314" s="127">
        <v>0.52016842296232813</v>
      </c>
      <c r="I314" s="127">
        <v>0</v>
      </c>
      <c r="J314" s="127">
        <v>0</v>
      </c>
      <c r="K314" s="127">
        <v>0</v>
      </c>
      <c r="L314" s="127">
        <v>0.50517441395611606</v>
      </c>
      <c r="M314" s="56"/>
    </row>
    <row r="315" spans="2:13">
      <c r="B315" s="55"/>
      <c r="C315" s="60">
        <v>310</v>
      </c>
      <c r="D315" s="127">
        <v>21.2</v>
      </c>
      <c r="E315" s="127">
        <v>8.8000000000000007</v>
      </c>
      <c r="F315" s="127">
        <v>0.1</v>
      </c>
      <c r="G315" s="127">
        <f>ETo!$I315*((1-Constantes!$D$19)*ETo!$K315+ETo!$L315)</f>
        <v>4.3150857798830771</v>
      </c>
      <c r="H315" s="127">
        <v>0.43705193757466165</v>
      </c>
      <c r="I315" s="127">
        <v>0</v>
      </c>
      <c r="J315" s="127">
        <v>0</v>
      </c>
      <c r="K315" s="127">
        <v>0</v>
      </c>
      <c r="L315" s="127">
        <v>0.42079796275794423</v>
      </c>
      <c r="M315" s="56"/>
    </row>
    <row r="316" spans="2:13">
      <c r="B316" s="55"/>
      <c r="C316" s="60">
        <v>311</v>
      </c>
      <c r="D316" s="127">
        <v>21.5</v>
      </c>
      <c r="E316" s="127">
        <v>8</v>
      </c>
      <c r="F316" s="127">
        <v>2</v>
      </c>
      <c r="G316" s="127">
        <f>ETo!$I316*((1-Constantes!$D$19)*ETo!$K316+ETo!$L316)</f>
        <v>4.2958436663318276</v>
      </c>
      <c r="H316" s="127">
        <v>0.42177802858705143</v>
      </c>
      <c r="I316" s="127">
        <v>0</v>
      </c>
      <c r="J316" s="127">
        <v>0</v>
      </c>
      <c r="K316" s="127">
        <v>0</v>
      </c>
      <c r="L316" s="127">
        <v>0.40430075593978182</v>
      </c>
      <c r="M316" s="56"/>
    </row>
    <row r="317" spans="2:13">
      <c r="B317" s="55"/>
      <c r="C317" s="60">
        <v>312</v>
      </c>
      <c r="D317" s="127">
        <v>21.5</v>
      </c>
      <c r="E317" s="127">
        <v>8</v>
      </c>
      <c r="F317" s="127">
        <v>0</v>
      </c>
      <c r="G317" s="127">
        <f>ETo!$I317*((1-Constantes!$D$19)*ETo!$K317+ETo!$L317)</f>
        <v>4.2983802245136884</v>
      </c>
      <c r="H317" s="127">
        <v>0.33882326794785461</v>
      </c>
      <c r="I317" s="127">
        <v>0</v>
      </c>
      <c r="J317" s="127">
        <v>0</v>
      </c>
      <c r="K317" s="127">
        <v>0</v>
      </c>
      <c r="L317" s="127">
        <v>0.32014445134262381</v>
      </c>
      <c r="M317" s="56"/>
    </row>
    <row r="318" spans="2:13">
      <c r="B318" s="55"/>
      <c r="C318" s="60">
        <v>313</v>
      </c>
      <c r="D318" s="127">
        <v>24.2</v>
      </c>
      <c r="E318" s="127">
        <v>6.3</v>
      </c>
      <c r="F318" s="127">
        <v>0.4</v>
      </c>
      <c r="G318" s="127">
        <f>ETo!$I318*((1-Constantes!$D$19)*ETo!$K318+ETo!$L318)</f>
        <v>4.3447200565663993</v>
      </c>
      <c r="H318" s="127">
        <v>0.27151315814143218</v>
      </c>
      <c r="I318" s="127">
        <v>0</v>
      </c>
      <c r="J318" s="127">
        <v>0</v>
      </c>
      <c r="K318" s="127">
        <v>0</v>
      </c>
      <c r="L318" s="127">
        <v>0.25162603447757631</v>
      </c>
      <c r="M318" s="56"/>
    </row>
    <row r="319" spans="2:13">
      <c r="B319" s="55"/>
      <c r="C319" s="60">
        <v>314</v>
      </c>
      <c r="D319" s="127">
        <v>24.5</v>
      </c>
      <c r="E319" s="127">
        <v>4.5999999999999996</v>
      </c>
      <c r="F319" s="127">
        <v>0</v>
      </c>
      <c r="G319" s="127">
        <f>ETo!$I319*((1-Constantes!$D$19)*ETo!$K319+ETo!$L319)</f>
        <v>4.2853826915625106</v>
      </c>
      <c r="H319" s="127">
        <v>0.19383269744930406</v>
      </c>
      <c r="I319" s="127">
        <v>0</v>
      </c>
      <c r="J319" s="127">
        <v>0</v>
      </c>
      <c r="K319" s="127">
        <v>0</v>
      </c>
      <c r="L319" s="127">
        <v>0.19421416844071632</v>
      </c>
      <c r="M319" s="56"/>
    </row>
    <row r="320" spans="2:13">
      <c r="B320" s="55"/>
      <c r="C320" s="60">
        <v>315</v>
      </c>
      <c r="D320" s="127">
        <v>19.399999999999999</v>
      </c>
      <c r="E320" s="127">
        <v>6.6</v>
      </c>
      <c r="F320" s="127">
        <v>0</v>
      </c>
      <c r="G320" s="127">
        <f>ETo!$I320*((1-Constantes!$D$19)*ETo!$K320+ETo!$L320)</f>
        <v>4.1511334757002016</v>
      </c>
      <c r="H320" s="127">
        <v>0.13597640525342611</v>
      </c>
      <c r="I320" s="127">
        <v>0</v>
      </c>
      <c r="J320" s="127">
        <v>0</v>
      </c>
      <c r="K320" s="127">
        <v>0</v>
      </c>
      <c r="L320" s="127">
        <v>0.18286000068178032</v>
      </c>
      <c r="M320" s="56"/>
    </row>
    <row r="321" spans="2:13">
      <c r="B321" s="55"/>
      <c r="C321" s="60">
        <v>316</v>
      </c>
      <c r="D321" s="127">
        <v>21.5</v>
      </c>
      <c r="E321" s="127">
        <v>7.2</v>
      </c>
      <c r="F321" s="127">
        <v>0</v>
      </c>
      <c r="G321" s="127">
        <f>ETo!$I321*((1-Constantes!$D$19)*ETo!$K321+ETo!$L321)</f>
        <v>4.271755272203742</v>
      </c>
      <c r="H321" s="127">
        <v>0.12535305504518732</v>
      </c>
      <c r="I321" s="127">
        <v>0</v>
      </c>
      <c r="J321" s="127">
        <v>0</v>
      </c>
      <c r="K321" s="127">
        <v>0</v>
      </c>
      <c r="L321" s="127">
        <v>0.17917145579000948</v>
      </c>
      <c r="M321" s="56"/>
    </row>
    <row r="322" spans="2:13">
      <c r="B322" s="55"/>
      <c r="C322" s="60">
        <v>317</v>
      </c>
      <c r="D322" s="127">
        <v>24.6</v>
      </c>
      <c r="E322" s="127">
        <v>7</v>
      </c>
      <c r="F322" s="127">
        <v>2.4</v>
      </c>
      <c r="G322" s="127">
        <f>ETo!$I322*((1-Constantes!$D$19)*ETo!$K322+ETo!$L322)</f>
        <v>4.4012410315970909</v>
      </c>
      <c r="H322" s="127">
        <v>0.13892800672441252</v>
      </c>
      <c r="I322" s="127">
        <v>0</v>
      </c>
      <c r="J322" s="127">
        <v>0</v>
      </c>
      <c r="K322" s="127">
        <v>0</v>
      </c>
      <c r="L322" s="127">
        <v>0.19312815343983047</v>
      </c>
      <c r="M322" s="56"/>
    </row>
    <row r="323" spans="2:13">
      <c r="B323" s="55"/>
      <c r="C323" s="60">
        <v>318</v>
      </c>
      <c r="D323" s="127">
        <v>20.5</v>
      </c>
      <c r="E323" s="127">
        <v>10.8</v>
      </c>
      <c r="F323" s="127">
        <v>0.6</v>
      </c>
      <c r="G323" s="127">
        <f>ETo!$I323*((1-Constantes!$D$19)*ETo!$K323+ETo!$L323)</f>
        <v>4.3896906764121919</v>
      </c>
      <c r="H323" s="127">
        <v>0.12791483154701255</v>
      </c>
      <c r="I323" s="127">
        <v>0</v>
      </c>
      <c r="J323" s="127">
        <v>0</v>
      </c>
      <c r="K323" s="127">
        <v>0</v>
      </c>
      <c r="L323" s="127">
        <v>0.18142173101765863</v>
      </c>
      <c r="M323" s="56"/>
    </row>
    <row r="324" spans="2:13">
      <c r="B324" s="55"/>
      <c r="C324" s="60">
        <v>319</v>
      </c>
      <c r="D324" s="127">
        <v>23.5</v>
      </c>
      <c r="E324" s="127">
        <v>7.1</v>
      </c>
      <c r="F324" s="127">
        <v>13.5</v>
      </c>
      <c r="G324" s="127">
        <f>ETo!$I324*((1-Constantes!$D$19)*ETo!$K324+ETo!$L324)</f>
        <v>4.3603724852983738</v>
      </c>
      <c r="H324" s="127">
        <v>1.3048685997153773</v>
      </c>
      <c r="I324" s="127">
        <v>0</v>
      </c>
      <c r="J324" s="127">
        <v>0</v>
      </c>
      <c r="K324" s="127">
        <v>0</v>
      </c>
      <c r="L324" s="127">
        <v>0.76695282265436371</v>
      </c>
      <c r="M324" s="56"/>
    </row>
    <row r="325" spans="2:13">
      <c r="B325" s="55"/>
      <c r="C325" s="60">
        <v>320</v>
      </c>
      <c r="D325" s="127">
        <v>23.5</v>
      </c>
      <c r="E325" s="127">
        <v>6.5</v>
      </c>
      <c r="F325" s="127">
        <v>9.5</v>
      </c>
      <c r="G325" s="127">
        <f>ETo!$I325*((1-Constantes!$D$19)*ETo!$K325+ETo!$L325)</f>
        <v>4.335333943962798</v>
      </c>
      <c r="H325" s="127">
        <v>0.97794050343412853</v>
      </c>
      <c r="I325" s="127">
        <v>0</v>
      </c>
      <c r="J325" s="127">
        <v>0</v>
      </c>
      <c r="K325" s="127">
        <v>0</v>
      </c>
      <c r="L325" s="127">
        <v>0.76989712989498815</v>
      </c>
      <c r="M325" s="56"/>
    </row>
    <row r="326" spans="2:13">
      <c r="B326" s="55"/>
      <c r="C326" s="60">
        <v>321</v>
      </c>
      <c r="D326" s="127">
        <v>24</v>
      </c>
      <c r="E326" s="127">
        <v>7.4</v>
      </c>
      <c r="F326" s="127">
        <v>0.5</v>
      </c>
      <c r="G326" s="127">
        <f>ETo!$I326*((1-Constantes!$D$19)*ETo!$K326+ETo!$L326)</f>
        <v>4.3983633472063284</v>
      </c>
      <c r="H326" s="127">
        <v>0.63648235015696397</v>
      </c>
      <c r="I326" s="127">
        <v>0</v>
      </c>
      <c r="J326" s="127">
        <v>0</v>
      </c>
      <c r="K326" s="127">
        <v>0</v>
      </c>
      <c r="L326" s="127">
        <v>0.66782310289204905</v>
      </c>
      <c r="M326" s="56"/>
    </row>
    <row r="327" spans="2:13">
      <c r="B327" s="55"/>
      <c r="C327" s="60">
        <v>322</v>
      </c>
      <c r="D327" s="127">
        <v>21.8</v>
      </c>
      <c r="E327" s="127">
        <v>10.8</v>
      </c>
      <c r="F327" s="127">
        <v>0.6</v>
      </c>
      <c r="G327" s="127">
        <f>ETo!$I327*((1-Constantes!$D$19)*ETo!$K327+ETo!$L327)</f>
        <v>4.4525368123414397</v>
      </c>
      <c r="H327" s="127">
        <v>0.56377497132283116</v>
      </c>
      <c r="I327" s="127">
        <v>0</v>
      </c>
      <c r="J327" s="127">
        <v>0</v>
      </c>
      <c r="K327" s="127">
        <v>0</v>
      </c>
      <c r="L327" s="127">
        <v>0.59222668578517657</v>
      </c>
      <c r="M327" s="56"/>
    </row>
    <row r="328" spans="2:13">
      <c r="B328" s="55"/>
      <c r="C328" s="60">
        <v>323</v>
      </c>
      <c r="D328" s="127">
        <v>20</v>
      </c>
      <c r="E328" s="127">
        <v>7.5</v>
      </c>
      <c r="F328" s="127">
        <v>3.7</v>
      </c>
      <c r="G328" s="127">
        <f>ETo!$I328*((1-Constantes!$D$19)*ETo!$K328+ETo!$L328)</f>
        <v>4.2286526002299869</v>
      </c>
      <c r="H328" s="127">
        <v>0.60286052532240753</v>
      </c>
      <c r="I328" s="127">
        <v>0</v>
      </c>
      <c r="J328" s="127">
        <v>0</v>
      </c>
      <c r="K328" s="127">
        <v>0</v>
      </c>
      <c r="L328" s="127">
        <v>0.63014121230304543</v>
      </c>
      <c r="M328" s="56"/>
    </row>
    <row r="329" spans="2:13">
      <c r="B329" s="55"/>
      <c r="C329" s="60">
        <v>324</v>
      </c>
      <c r="D329" s="127">
        <v>20</v>
      </c>
      <c r="E329" s="127">
        <v>8.1999999999999993</v>
      </c>
      <c r="F329" s="127">
        <v>13.6</v>
      </c>
      <c r="G329" s="127">
        <f>ETo!$I329*((1-Constantes!$D$19)*ETo!$K329+ETo!$L329)</f>
        <v>4.2604585069314558</v>
      </c>
      <c r="H329" s="127">
        <v>1.7854315916865511</v>
      </c>
      <c r="I329" s="127">
        <v>0</v>
      </c>
      <c r="J329" s="127">
        <v>0</v>
      </c>
      <c r="K329" s="127">
        <v>0</v>
      </c>
      <c r="L329" s="127">
        <v>0.77809072886853958</v>
      </c>
      <c r="M329" s="56"/>
    </row>
    <row r="330" spans="2:13">
      <c r="B330" s="55"/>
      <c r="C330" s="60">
        <v>325</v>
      </c>
      <c r="D330" s="127">
        <v>23.1</v>
      </c>
      <c r="E330" s="127">
        <v>7.5</v>
      </c>
      <c r="F330" s="127">
        <v>6.9</v>
      </c>
      <c r="G330" s="127">
        <f>ETo!$I330*((1-Constantes!$D$19)*ETo!$K330+ETo!$L330)</f>
        <v>4.3671834794612518</v>
      </c>
      <c r="H330" s="127">
        <v>1.1417879082143905</v>
      </c>
      <c r="I330" s="127">
        <v>0</v>
      </c>
      <c r="J330" s="127">
        <v>0</v>
      </c>
      <c r="K330" s="127">
        <v>0</v>
      </c>
      <c r="L330" s="127">
        <v>0.78088174333230731</v>
      </c>
      <c r="M330" s="56"/>
    </row>
    <row r="331" spans="2:13">
      <c r="B331" s="55"/>
      <c r="C331" s="60">
        <v>326</v>
      </c>
      <c r="D331" s="127">
        <v>23.6</v>
      </c>
      <c r="E331" s="127">
        <v>7.5</v>
      </c>
      <c r="F331" s="127">
        <v>0</v>
      </c>
      <c r="G331" s="127">
        <f>ETo!$I331*((1-Constantes!$D$19)*ETo!$K331+ETo!$L331)</f>
        <v>4.3900472228168903</v>
      </c>
      <c r="H331" s="127">
        <v>0.97196464164670626</v>
      </c>
      <c r="I331" s="127">
        <v>0</v>
      </c>
      <c r="J331" s="127">
        <v>0</v>
      </c>
      <c r="K331" s="127">
        <v>0</v>
      </c>
      <c r="L331" s="127">
        <v>0.7812522763852241</v>
      </c>
      <c r="M331" s="56"/>
    </row>
    <row r="332" spans="2:13">
      <c r="B332" s="55"/>
      <c r="C332" s="60">
        <v>327</v>
      </c>
      <c r="D332" s="127">
        <v>26.4</v>
      </c>
      <c r="E332" s="127">
        <v>5.5</v>
      </c>
      <c r="F332" s="127">
        <v>0</v>
      </c>
      <c r="G332" s="127">
        <f>ETo!$I332*((1-Constantes!$D$19)*ETo!$K332+ETo!$L332)</f>
        <v>4.4260948509762299</v>
      </c>
      <c r="H332" s="127">
        <v>0.86769651009169035</v>
      </c>
      <c r="I332" s="127">
        <v>0</v>
      </c>
      <c r="J332" s="127">
        <v>0</v>
      </c>
      <c r="K332" s="127">
        <v>0</v>
      </c>
      <c r="L332" s="127">
        <v>0.78073439187382176</v>
      </c>
      <c r="M332" s="56"/>
    </row>
    <row r="333" spans="2:13">
      <c r="B333" s="55"/>
      <c r="C333" s="60">
        <v>328</v>
      </c>
      <c r="D333" s="127">
        <v>20.6</v>
      </c>
      <c r="E333" s="127">
        <v>8.6999999999999993</v>
      </c>
      <c r="F333" s="127">
        <v>0</v>
      </c>
      <c r="G333" s="127">
        <f>ETo!$I333*((1-Constantes!$D$19)*ETo!$K333+ETo!$L333)</f>
        <v>4.3119286813071245</v>
      </c>
      <c r="H333" s="127">
        <v>0.76886436106209854</v>
      </c>
      <c r="I333" s="127">
        <v>0</v>
      </c>
      <c r="J333" s="127">
        <v>0</v>
      </c>
      <c r="K333" s="127">
        <v>0</v>
      </c>
      <c r="L333" s="127">
        <v>0.77938822021769516</v>
      </c>
      <c r="M333" s="56"/>
    </row>
    <row r="334" spans="2:13">
      <c r="B334" s="55"/>
      <c r="C334" s="60">
        <v>329</v>
      </c>
      <c r="D334" s="127">
        <v>23.5</v>
      </c>
      <c r="E334" s="127">
        <v>7</v>
      </c>
      <c r="F334" s="127">
        <v>7.6</v>
      </c>
      <c r="G334" s="127">
        <f>ETo!$I334*((1-Constantes!$D$19)*ETo!$K334+ETo!$L334)</f>
        <v>4.365445918682509</v>
      </c>
      <c r="H334" s="127">
        <v>1.0313193279471664</v>
      </c>
      <c r="I334" s="127">
        <v>0</v>
      </c>
      <c r="J334" s="127">
        <v>0</v>
      </c>
      <c r="K334" s="127">
        <v>0</v>
      </c>
      <c r="L334" s="127">
        <v>0.78144288434563003</v>
      </c>
      <c r="M334" s="56"/>
    </row>
    <row r="335" spans="2:13">
      <c r="B335" s="55"/>
      <c r="C335" s="60">
        <v>330</v>
      </c>
      <c r="D335" s="127">
        <v>22</v>
      </c>
      <c r="E335" s="127">
        <v>10</v>
      </c>
      <c r="F335" s="127">
        <v>12.8</v>
      </c>
      <c r="G335" s="127">
        <f>ETo!$I335*((1-Constantes!$D$19)*ETo!$K335+ETo!$L335)</f>
        <v>4.4322011348143739</v>
      </c>
      <c r="H335" s="127">
        <v>1.9351068582041395</v>
      </c>
      <c r="I335" s="127">
        <v>0</v>
      </c>
      <c r="J335" s="127">
        <v>0</v>
      </c>
      <c r="K335" s="127">
        <v>0</v>
      </c>
      <c r="L335" s="127">
        <v>0.79354449684455419</v>
      </c>
      <c r="M335" s="56"/>
    </row>
    <row r="336" spans="2:13">
      <c r="B336" s="55"/>
      <c r="C336" s="60">
        <v>331</v>
      </c>
      <c r="D336" s="127">
        <v>22.4</v>
      </c>
      <c r="E336" s="127">
        <v>9</v>
      </c>
      <c r="F336" s="127">
        <v>0.3</v>
      </c>
      <c r="G336" s="127">
        <f>ETo!$I336*((1-Constantes!$D$19)*ETo!$K336+ETo!$L336)</f>
        <v>4.4061106706250763</v>
      </c>
      <c r="H336" s="127">
        <v>1.1306968057497018</v>
      </c>
      <c r="I336" s="127">
        <v>0</v>
      </c>
      <c r="J336" s="127">
        <v>0</v>
      </c>
      <c r="K336" s="127">
        <v>0</v>
      </c>
      <c r="L336" s="127">
        <v>0.79489329753532822</v>
      </c>
      <c r="M336" s="56"/>
    </row>
    <row r="337" spans="2:13">
      <c r="B337" s="55"/>
      <c r="C337" s="60">
        <v>332</v>
      </c>
      <c r="D337" s="127">
        <v>22.5</v>
      </c>
      <c r="E337" s="127">
        <v>9</v>
      </c>
      <c r="F337" s="127">
        <v>0</v>
      </c>
      <c r="G337" s="127">
        <f>ETo!$I337*((1-Constantes!$D$19)*ETo!$K337+ETo!$L337)</f>
        <v>4.4108968811515901</v>
      </c>
      <c r="H337" s="127">
        <v>1.0211805291160685</v>
      </c>
      <c r="I337" s="127">
        <v>0</v>
      </c>
      <c r="J337" s="127">
        <v>0</v>
      </c>
      <c r="K337" s="127">
        <v>0</v>
      </c>
      <c r="L337" s="127">
        <v>0.79530006036135426</v>
      </c>
      <c r="M337" s="56"/>
    </row>
    <row r="338" spans="2:13">
      <c r="B338" s="55"/>
      <c r="C338" s="60">
        <v>333</v>
      </c>
      <c r="D338" s="127">
        <v>23.5</v>
      </c>
      <c r="E338" s="127">
        <v>5.4</v>
      </c>
      <c r="F338" s="127">
        <v>0</v>
      </c>
      <c r="G338" s="127">
        <f>ETo!$I338*((1-Constantes!$D$19)*ETo!$K338+ETo!$L338)</f>
        <v>4.2963876753329053</v>
      </c>
      <c r="H338" s="127">
        <v>0.9172855282013781</v>
      </c>
      <c r="I338" s="127">
        <v>0</v>
      </c>
      <c r="J338" s="127">
        <v>0</v>
      </c>
      <c r="K338" s="127">
        <v>0</v>
      </c>
      <c r="L338" s="127">
        <v>0.79482711141260565</v>
      </c>
      <c r="M338" s="56"/>
    </row>
    <row r="339" spans="2:13">
      <c r="B339" s="55"/>
      <c r="C339" s="60">
        <v>334</v>
      </c>
      <c r="D339" s="127">
        <v>21.5</v>
      </c>
      <c r="E339" s="127">
        <v>5.2</v>
      </c>
      <c r="F339" s="127">
        <v>0</v>
      </c>
      <c r="G339" s="127">
        <f>ETo!$I339*((1-Constantes!$D$19)*ETo!$K339+ETo!$L339)</f>
        <v>4.1995576341354903</v>
      </c>
      <c r="H339" s="127">
        <v>0.81852382973480409</v>
      </c>
      <c r="I339" s="127">
        <v>0</v>
      </c>
      <c r="J339" s="127">
        <v>0</v>
      </c>
      <c r="K339" s="127">
        <v>0</v>
      </c>
      <c r="L339" s="127">
        <v>0.7935316066496384</v>
      </c>
      <c r="M339" s="56"/>
    </row>
    <row r="340" spans="2:13">
      <c r="B340" s="55"/>
      <c r="C340" s="60">
        <v>335</v>
      </c>
      <c r="D340" s="127">
        <v>22.8</v>
      </c>
      <c r="E340" s="127">
        <v>2</v>
      </c>
      <c r="F340" s="127">
        <v>0</v>
      </c>
      <c r="G340" s="127">
        <f>ETo!$I340*((1-Constantes!$D$19)*ETo!$K340+ETo!$L340)</f>
        <v>4.1159101638838118</v>
      </c>
      <c r="H340" s="127">
        <v>0.72449970081980919</v>
      </c>
      <c r="I340" s="127">
        <v>0</v>
      </c>
      <c r="J340" s="127">
        <v>0</v>
      </c>
      <c r="K340" s="127">
        <v>0</v>
      </c>
      <c r="L340" s="127">
        <v>0.73236992001678813</v>
      </c>
      <c r="M340" s="56"/>
    </row>
    <row r="341" spans="2:13">
      <c r="B341" s="55"/>
      <c r="C341" s="60">
        <v>336</v>
      </c>
      <c r="D341" s="127">
        <v>21.6</v>
      </c>
      <c r="E341" s="127">
        <v>3.5</v>
      </c>
      <c r="F341" s="127">
        <v>0</v>
      </c>
      <c r="G341" s="127">
        <f>ETo!$I341*((1-Constantes!$D$19)*ETo!$K341+ETo!$L341)</f>
        <v>4.1293220213639765</v>
      </c>
      <c r="H341" s="127">
        <v>0.63342916912613545</v>
      </c>
      <c r="I341" s="127">
        <v>0</v>
      </c>
      <c r="J341" s="127">
        <v>0</v>
      </c>
      <c r="K341" s="127">
        <v>0</v>
      </c>
      <c r="L341" s="127">
        <v>0.63986387764554975</v>
      </c>
      <c r="M341" s="56"/>
    </row>
    <row r="342" spans="2:13">
      <c r="B342" s="55"/>
      <c r="C342" s="60">
        <v>337</v>
      </c>
      <c r="D342" s="127">
        <v>22</v>
      </c>
      <c r="E342" s="127">
        <v>5.6</v>
      </c>
      <c r="F342" s="127">
        <v>0</v>
      </c>
      <c r="G342" s="127">
        <f>ETo!$I342*((1-Constantes!$D$19)*ETo!$K342+ETo!$L342)</f>
        <v>4.2397954382649541</v>
      </c>
      <c r="H342" s="127">
        <v>0.54358868353579615</v>
      </c>
      <c r="I342" s="127">
        <v>0</v>
      </c>
      <c r="J342" s="127">
        <v>0</v>
      </c>
      <c r="K342" s="127">
        <v>0</v>
      </c>
      <c r="L342" s="127">
        <v>0.5485396102150476</v>
      </c>
      <c r="M342" s="56"/>
    </row>
    <row r="343" spans="2:13">
      <c r="B343" s="55"/>
      <c r="C343" s="60">
        <v>338</v>
      </c>
      <c r="D343" s="127">
        <v>23.5</v>
      </c>
      <c r="E343" s="127">
        <v>4</v>
      </c>
      <c r="F343" s="127">
        <v>0</v>
      </c>
      <c r="G343" s="127">
        <f>ETo!$I343*((1-Constantes!$D$19)*ETo!$K343+ETo!$L343)</f>
        <v>4.2354886681342423</v>
      </c>
      <c r="H343" s="127">
        <v>0.45685603354325571</v>
      </c>
      <c r="I343" s="127">
        <v>0</v>
      </c>
      <c r="J343" s="127">
        <v>0</v>
      </c>
      <c r="K343" s="127">
        <v>0</v>
      </c>
      <c r="L343" s="127">
        <v>0.46035117464305336</v>
      </c>
      <c r="M343" s="56"/>
    </row>
    <row r="344" spans="2:13">
      <c r="B344" s="55"/>
      <c r="C344" s="60">
        <v>339</v>
      </c>
      <c r="D344" s="127">
        <v>25</v>
      </c>
      <c r="E344" s="127">
        <v>2.5</v>
      </c>
      <c r="F344" s="127">
        <v>0</v>
      </c>
      <c r="G344" s="127">
        <f>ETo!$I344*((1-Constantes!$D$19)*ETo!$K344+ETo!$L344)</f>
        <v>4.2355678082253814</v>
      </c>
      <c r="H344" s="127">
        <v>0.37305223474391563</v>
      </c>
      <c r="I344" s="127">
        <v>0</v>
      </c>
      <c r="J344" s="127">
        <v>0</v>
      </c>
      <c r="K344" s="127">
        <v>0</v>
      </c>
      <c r="L344" s="127">
        <v>0.37511620870975271</v>
      </c>
      <c r="M344" s="56"/>
    </row>
    <row r="345" spans="2:13">
      <c r="B345" s="55"/>
      <c r="C345" s="60">
        <v>340</v>
      </c>
      <c r="D345" s="127">
        <v>22.2</v>
      </c>
      <c r="E345" s="127">
        <v>6</v>
      </c>
      <c r="F345" s="127">
        <v>0</v>
      </c>
      <c r="G345" s="127">
        <f>ETo!$I345*((1-Constantes!$D$19)*ETo!$K345+ETo!$L345)</f>
        <v>4.2665189617086394</v>
      </c>
      <c r="H345" s="127">
        <v>0.29156133348238034</v>
      </c>
      <c r="I345" s="127">
        <v>0</v>
      </c>
      <c r="J345" s="127">
        <v>0</v>
      </c>
      <c r="K345" s="127">
        <v>0</v>
      </c>
      <c r="L345" s="127">
        <v>0.29219842692406994</v>
      </c>
      <c r="M345" s="56"/>
    </row>
    <row r="346" spans="2:13">
      <c r="B346" s="55"/>
      <c r="C346" s="60">
        <v>341</v>
      </c>
      <c r="D346" s="127">
        <v>23.5</v>
      </c>
      <c r="E346" s="127">
        <v>4</v>
      </c>
      <c r="F346" s="127">
        <v>0.1</v>
      </c>
      <c r="G346" s="127">
        <f>ETo!$I346*((1-Constantes!$D$19)*ETo!$K346+ETo!$L346)</f>
        <v>4.235657843238533</v>
      </c>
      <c r="H346" s="127">
        <v>0.21674514251598001</v>
      </c>
      <c r="I346" s="127">
        <v>0</v>
      </c>
      <c r="J346" s="127">
        <v>0</v>
      </c>
      <c r="K346" s="127">
        <v>0</v>
      </c>
      <c r="L346" s="127">
        <v>0.21599971272471249</v>
      </c>
      <c r="M346" s="56"/>
    </row>
    <row r="347" spans="2:13">
      <c r="B347" s="55"/>
      <c r="C347" s="60">
        <v>342</v>
      </c>
      <c r="D347" s="127">
        <v>21.2</v>
      </c>
      <c r="E347" s="127">
        <v>6.2</v>
      </c>
      <c r="F347" s="127">
        <v>0</v>
      </c>
      <c r="G347" s="127">
        <f>ETo!$I347*((1-Constantes!$D$19)*ETo!$K347+ETo!$L347)</f>
        <v>4.2312617335567397</v>
      </c>
      <c r="H347" s="127">
        <v>0.1411210851867275</v>
      </c>
      <c r="I347" s="127">
        <v>0</v>
      </c>
      <c r="J347" s="127">
        <v>0</v>
      </c>
      <c r="K347" s="127">
        <v>0</v>
      </c>
      <c r="L347" s="127">
        <v>0.18123362461651843</v>
      </c>
      <c r="M347" s="56"/>
    </row>
    <row r="348" spans="2:13">
      <c r="B348" s="55"/>
      <c r="C348" s="60">
        <v>343</v>
      </c>
      <c r="D348" s="127">
        <v>23.2</v>
      </c>
      <c r="E348" s="127">
        <v>7</v>
      </c>
      <c r="F348" s="127">
        <v>0</v>
      </c>
      <c r="G348" s="127">
        <f>ETo!$I348*((1-Constantes!$D$19)*ETo!$K348+ETo!$L348)</f>
        <v>4.3548793840279822</v>
      </c>
      <c r="H348" s="127">
        <v>0.10316907938270582</v>
      </c>
      <c r="I348" s="127">
        <v>0</v>
      </c>
      <c r="J348" s="127">
        <v>0</v>
      </c>
      <c r="K348" s="127">
        <v>0</v>
      </c>
      <c r="L348" s="127">
        <v>0.17362348051319917</v>
      </c>
      <c r="M348" s="56"/>
    </row>
    <row r="349" spans="2:13">
      <c r="B349" s="55"/>
      <c r="C349" s="60">
        <v>344</v>
      </c>
      <c r="D349" s="127">
        <v>24.5</v>
      </c>
      <c r="E349" s="127">
        <v>-1</v>
      </c>
      <c r="F349" s="127">
        <v>0</v>
      </c>
      <c r="G349" s="127">
        <f>ETo!$I349*((1-Constantes!$D$19)*ETo!$K349+ETo!$L349)</f>
        <v>4.0590837987461033</v>
      </c>
      <c r="H349" s="127">
        <v>9.6085647761876919E-2</v>
      </c>
      <c r="I349" s="127">
        <v>0</v>
      </c>
      <c r="J349" s="127">
        <v>0</v>
      </c>
      <c r="K349" s="127">
        <v>0</v>
      </c>
      <c r="L349" s="127">
        <v>0.17054388143723909</v>
      </c>
      <c r="M349" s="56"/>
    </row>
    <row r="350" spans="2:13">
      <c r="B350" s="55"/>
      <c r="C350" s="60">
        <v>345</v>
      </c>
      <c r="D350" s="127">
        <v>24.2</v>
      </c>
      <c r="E350" s="127">
        <v>4.5</v>
      </c>
      <c r="F350" s="127">
        <v>0</v>
      </c>
      <c r="G350" s="127">
        <f>ETo!$I350*((1-Constantes!$D$19)*ETo!$K350+ETo!$L350)</f>
        <v>4.2886197935879755</v>
      </c>
      <c r="H350" s="127">
        <v>9.4132176843521556E-2</v>
      </c>
      <c r="I350" s="127">
        <v>0</v>
      </c>
      <c r="J350" s="127">
        <v>0</v>
      </c>
      <c r="K350" s="127">
        <v>0</v>
      </c>
      <c r="L350" s="127">
        <v>0.16824011597996574</v>
      </c>
      <c r="M350" s="56"/>
    </row>
    <row r="351" spans="2:13">
      <c r="B351" s="55"/>
      <c r="C351" s="60">
        <v>346</v>
      </c>
      <c r="D351" s="127">
        <v>24.4</v>
      </c>
      <c r="E351" s="127">
        <v>2.5</v>
      </c>
      <c r="F351" s="127">
        <v>0</v>
      </c>
      <c r="G351" s="127">
        <f>ETo!$I351*((1-Constantes!$D$19)*ETo!$K351+ETo!$L351)</f>
        <v>4.2091482452628179</v>
      </c>
      <c r="H351" s="127">
        <v>9.3037619303150826E-2</v>
      </c>
      <c r="I351" s="127">
        <v>0</v>
      </c>
      <c r="J351" s="127">
        <v>0</v>
      </c>
      <c r="K351" s="127">
        <v>0</v>
      </c>
      <c r="L351" s="127">
        <v>0.16608881011975146</v>
      </c>
      <c r="M351" s="56"/>
    </row>
    <row r="352" spans="2:13">
      <c r="B352" s="55"/>
      <c r="C352" s="60">
        <v>347</v>
      </c>
      <c r="D352" s="127">
        <v>21.5</v>
      </c>
      <c r="E352" s="127">
        <v>2.5</v>
      </c>
      <c r="F352" s="127">
        <v>4.0999999999999996</v>
      </c>
      <c r="G352" s="127">
        <f>ETo!$I352*((1-Constantes!$D$19)*ETo!$K352+ETo!$L352)</f>
        <v>4.0811014236991001</v>
      </c>
      <c r="H352" s="127">
        <v>0.16368499597931857</v>
      </c>
      <c r="I352" s="127">
        <v>0</v>
      </c>
      <c r="J352" s="127">
        <v>0</v>
      </c>
      <c r="K352" s="127">
        <v>0</v>
      </c>
      <c r="L352" s="127">
        <v>0.24027056372470662</v>
      </c>
      <c r="M352" s="56"/>
    </row>
    <row r="353" spans="2:13">
      <c r="B353" s="55"/>
      <c r="C353" s="60">
        <v>348</v>
      </c>
      <c r="D353" s="127">
        <v>22.5</v>
      </c>
      <c r="E353" s="127">
        <v>8</v>
      </c>
      <c r="F353" s="127">
        <v>0.4</v>
      </c>
      <c r="G353" s="127">
        <f>ETo!$I353*((1-Constantes!$D$19)*ETo!$K353+ETo!$L353)</f>
        <v>4.3680210251473408</v>
      </c>
      <c r="H353" s="127">
        <v>0.10578593914603057</v>
      </c>
      <c r="I353" s="127">
        <v>0</v>
      </c>
      <c r="J353" s="127">
        <v>0</v>
      </c>
      <c r="K353" s="127">
        <v>0</v>
      </c>
      <c r="L353" s="127">
        <v>0.17602344000916559</v>
      </c>
      <c r="M353" s="56"/>
    </row>
    <row r="354" spans="2:13">
      <c r="B354" s="55"/>
      <c r="C354" s="60">
        <v>349</v>
      </c>
      <c r="D354" s="127">
        <v>20.5</v>
      </c>
      <c r="E354" s="127">
        <v>8</v>
      </c>
      <c r="F354" s="127">
        <v>0</v>
      </c>
      <c r="G354" s="127">
        <f>ETo!$I354*((1-Constantes!$D$19)*ETo!$K354+ETo!$L354)</f>
        <v>4.2796775901430086</v>
      </c>
      <c r="H354" s="127">
        <v>9.2705432096798518E-2</v>
      </c>
      <c r="I354" s="127">
        <v>0</v>
      </c>
      <c r="J354" s="127">
        <v>0</v>
      </c>
      <c r="K354" s="127">
        <v>22.348143596588173</v>
      </c>
      <c r="L354" s="127">
        <v>0.16221234771349963</v>
      </c>
      <c r="M354" s="56"/>
    </row>
    <row r="355" spans="2:13">
      <c r="B355" s="55"/>
      <c r="C355" s="60">
        <v>350</v>
      </c>
      <c r="D355" s="127">
        <v>21.2</v>
      </c>
      <c r="E355" s="127">
        <v>8.6</v>
      </c>
      <c r="F355" s="127">
        <v>8</v>
      </c>
      <c r="G355" s="127">
        <f>ETo!$I355*((1-Constantes!$D$19)*ETo!$K355+ETo!$L355)</f>
        <v>4.3370420549243764</v>
      </c>
      <c r="H355" s="127">
        <v>0.41871149003078056</v>
      </c>
      <c r="I355" s="127">
        <v>0</v>
      </c>
      <c r="J355" s="127">
        <v>0</v>
      </c>
      <c r="K355" s="127">
        <v>0</v>
      </c>
      <c r="L355" s="127">
        <v>0.64366414137024464</v>
      </c>
      <c r="M355" s="56"/>
    </row>
    <row r="356" spans="2:13">
      <c r="B356" s="55"/>
      <c r="C356" s="60">
        <v>351</v>
      </c>
      <c r="D356" s="127">
        <v>21</v>
      </c>
      <c r="E356" s="127">
        <v>5.5</v>
      </c>
      <c r="F356" s="127">
        <v>1.8</v>
      </c>
      <c r="G356" s="127">
        <f>ETo!$I356*((1-Constantes!$D$19)*ETo!$K356+ETo!$L356)</f>
        <v>4.1913501732588365</v>
      </c>
      <c r="H356" s="127">
        <v>0.27114265053946274</v>
      </c>
      <c r="I356" s="127">
        <v>0</v>
      </c>
      <c r="J356" s="127">
        <v>0</v>
      </c>
      <c r="K356" s="127">
        <v>0</v>
      </c>
      <c r="L356" s="127">
        <v>0.32743932773091122</v>
      </c>
      <c r="M356" s="56"/>
    </row>
    <row r="357" spans="2:13">
      <c r="B357" s="55"/>
      <c r="C357" s="60">
        <v>352</v>
      </c>
      <c r="D357" s="127">
        <v>16.8</v>
      </c>
      <c r="E357" s="127">
        <v>9</v>
      </c>
      <c r="F357" s="127">
        <v>0.6</v>
      </c>
      <c r="G357" s="127">
        <f>ETo!$I357*((1-Constantes!$D$19)*ETo!$K357+ETo!$L357)</f>
        <v>4.1604320399323784</v>
      </c>
      <c r="H357" s="127">
        <v>0.21506529338924849</v>
      </c>
      <c r="I357" s="127">
        <v>0</v>
      </c>
      <c r="J357" s="127">
        <v>0</v>
      </c>
      <c r="K357" s="127">
        <v>0</v>
      </c>
      <c r="L357" s="127">
        <v>0.26789078907782804</v>
      </c>
      <c r="M357" s="56"/>
    </row>
    <row r="358" spans="2:13">
      <c r="B358" s="55"/>
      <c r="C358" s="60">
        <v>353</v>
      </c>
      <c r="D358" s="127">
        <v>18.8</v>
      </c>
      <c r="E358" s="127">
        <v>7</v>
      </c>
      <c r="F358" s="127">
        <v>17.2</v>
      </c>
      <c r="G358" s="127">
        <f>ETo!$I358*((1-Constantes!$D$19)*ETo!$K358+ETo!$L358)</f>
        <v>4.1604135687988872</v>
      </c>
      <c r="H358" s="127">
        <v>2.2448826668454513</v>
      </c>
      <c r="I358" s="127">
        <v>0</v>
      </c>
      <c r="J358" s="127">
        <v>0</v>
      </c>
      <c r="K358" s="127">
        <v>0</v>
      </c>
      <c r="L358" s="127">
        <v>0.84251749354534256</v>
      </c>
      <c r="M358" s="56"/>
    </row>
    <row r="359" spans="2:13">
      <c r="B359" s="55"/>
      <c r="C359" s="60">
        <v>354</v>
      </c>
      <c r="D359" s="127">
        <v>20.100000000000001</v>
      </c>
      <c r="E359" s="127">
        <v>7.5</v>
      </c>
      <c r="F359" s="127">
        <v>0</v>
      </c>
      <c r="G359" s="127">
        <f>ETo!$I359*((1-Constantes!$D$19)*ETo!$K359+ETo!$L359)</f>
        <v>4.2398415479190623</v>
      </c>
      <c r="H359" s="127">
        <v>0.58121582898816548</v>
      </c>
      <c r="I359" s="127">
        <v>0</v>
      </c>
      <c r="J359" s="127">
        <v>0</v>
      </c>
      <c r="K359" s="127">
        <v>0</v>
      </c>
      <c r="L359" s="127">
        <v>0.62015373311605204</v>
      </c>
      <c r="M359" s="56"/>
    </row>
    <row r="360" spans="2:13">
      <c r="B360" s="55"/>
      <c r="C360" s="60">
        <v>355</v>
      </c>
      <c r="D360" s="127">
        <v>20.6</v>
      </c>
      <c r="E360" s="127">
        <v>7</v>
      </c>
      <c r="F360" s="127">
        <v>0</v>
      </c>
      <c r="G360" s="127">
        <f>ETo!$I360*((1-Constantes!$D$19)*ETo!$K360+ETo!$L360)</f>
        <v>4.2398339091058226</v>
      </c>
      <c r="H360" s="127">
        <v>0.49274741358436686</v>
      </c>
      <c r="I360" s="127">
        <v>0</v>
      </c>
      <c r="J360" s="127">
        <v>0</v>
      </c>
      <c r="K360" s="127">
        <v>0</v>
      </c>
      <c r="L360" s="127">
        <v>0.52904074118082911</v>
      </c>
      <c r="M360" s="56"/>
    </row>
    <row r="361" spans="2:13">
      <c r="B361" s="55"/>
      <c r="C361" s="60">
        <v>356</v>
      </c>
      <c r="D361" s="127">
        <v>21.5</v>
      </c>
      <c r="E361" s="127">
        <v>6.5</v>
      </c>
      <c r="F361" s="127">
        <v>14.4</v>
      </c>
      <c r="G361" s="127">
        <f>ETo!$I361*((1-Constantes!$D$19)*ETo!$K361+ETo!$L361)</f>
        <v>4.2574862770702984</v>
      </c>
      <c r="H361" s="127">
        <v>1.8462634579632737</v>
      </c>
      <c r="I361" s="127">
        <v>0</v>
      </c>
      <c r="J361" s="127">
        <v>0</v>
      </c>
      <c r="K361" s="127">
        <v>0</v>
      </c>
      <c r="L361" s="127">
        <v>0.79576914643851782</v>
      </c>
      <c r="M361" s="56"/>
    </row>
    <row r="362" spans="2:13">
      <c r="B362" s="55"/>
      <c r="C362" s="60">
        <v>357</v>
      </c>
      <c r="D362" s="127">
        <v>23.5</v>
      </c>
      <c r="E362" s="127">
        <v>7.5</v>
      </c>
      <c r="F362" s="127">
        <v>2.2000000000000002</v>
      </c>
      <c r="G362" s="127">
        <f>ETo!$I362*((1-Constantes!$D$19)*ETo!$K362+ETo!$L362)</f>
        <v>4.3899602968195639</v>
      </c>
      <c r="H362" s="127">
        <v>0.838320232762649</v>
      </c>
      <c r="I362" s="127">
        <v>0</v>
      </c>
      <c r="J362" s="127">
        <v>0</v>
      </c>
      <c r="K362" s="127">
        <v>0</v>
      </c>
      <c r="L362" s="127">
        <v>0.79476142854568022</v>
      </c>
      <c r="M362" s="56"/>
    </row>
    <row r="363" spans="2:13">
      <c r="B363" s="55"/>
      <c r="C363" s="60">
        <v>358</v>
      </c>
      <c r="D363" s="127">
        <v>21.5</v>
      </c>
      <c r="E363" s="127">
        <v>6.2</v>
      </c>
      <c r="F363" s="127">
        <v>0</v>
      </c>
      <c r="G363" s="127">
        <f>ETo!$I363*((1-Constantes!$D$19)*ETo!$K363+ETo!$L363)</f>
        <v>4.2442609920368355</v>
      </c>
      <c r="H363" s="127">
        <v>0.74095895842834647</v>
      </c>
      <c r="I363" s="127">
        <v>0</v>
      </c>
      <c r="J363" s="127">
        <v>0</v>
      </c>
      <c r="K363" s="127">
        <v>0</v>
      </c>
      <c r="L363" s="127">
        <v>0.76562231624948685</v>
      </c>
      <c r="M363" s="56"/>
    </row>
    <row r="364" spans="2:13">
      <c r="B364" s="55"/>
      <c r="C364" s="60">
        <v>359</v>
      </c>
      <c r="D364" s="127">
        <v>20.8</v>
      </c>
      <c r="E364" s="127">
        <v>7</v>
      </c>
      <c r="F364" s="127">
        <v>23</v>
      </c>
      <c r="G364" s="127">
        <f>ETo!$I364*((1-Constantes!$D$19)*ETo!$K364+ETo!$L364)</f>
        <v>4.2486906787699699</v>
      </c>
      <c r="H364" s="127">
        <v>4.4030202170012602</v>
      </c>
      <c r="I364" s="127">
        <v>0</v>
      </c>
      <c r="J364" s="127">
        <v>0</v>
      </c>
      <c r="K364" s="127">
        <v>0</v>
      </c>
      <c r="L364" s="127">
        <v>3.5190219695095739</v>
      </c>
      <c r="M364" s="56"/>
    </row>
    <row r="365" spans="2:13">
      <c r="B365" s="55"/>
      <c r="C365" s="60">
        <v>360</v>
      </c>
      <c r="D365" s="127">
        <v>20</v>
      </c>
      <c r="E365" s="127">
        <v>6.8</v>
      </c>
      <c r="F365" s="127">
        <v>3.8</v>
      </c>
      <c r="G365" s="127">
        <f>ETo!$I365*((1-Constantes!$D$19)*ETo!$K365+ETo!$L365)</f>
        <v>4.2045781823701418</v>
      </c>
      <c r="H365" s="127">
        <v>1.2398845191109809</v>
      </c>
      <c r="I365" s="127">
        <v>0</v>
      </c>
      <c r="J365" s="127">
        <v>0</v>
      </c>
      <c r="K365" s="127">
        <v>0</v>
      </c>
      <c r="L365" s="127">
        <v>0.81293431633862812</v>
      </c>
      <c r="M365" s="56"/>
    </row>
    <row r="366" spans="2:13">
      <c r="B366" s="55"/>
      <c r="C366" s="60">
        <v>361</v>
      </c>
      <c r="D366" s="127">
        <v>21</v>
      </c>
      <c r="E366" s="127">
        <v>9</v>
      </c>
      <c r="F366" s="127">
        <v>2.8</v>
      </c>
      <c r="G366" s="127">
        <f>ETo!$I366*((1-Constantes!$D$19)*ETo!$K366+ETo!$L366)</f>
        <v>4.3458602396389781</v>
      </c>
      <c r="H366" s="127">
        <v>1.2234656020381622</v>
      </c>
      <c r="I366" s="127">
        <v>0</v>
      </c>
      <c r="J366" s="127">
        <v>0</v>
      </c>
      <c r="K366" s="127">
        <v>0</v>
      </c>
      <c r="L366" s="127">
        <v>0.81534545370273026</v>
      </c>
      <c r="M366" s="56"/>
    </row>
    <row r="367" spans="2:13">
      <c r="B367" s="55"/>
      <c r="C367" s="60">
        <v>362</v>
      </c>
      <c r="D367" s="127">
        <v>22.5</v>
      </c>
      <c r="E367" s="127">
        <v>8.5</v>
      </c>
      <c r="F367" s="127">
        <v>6.3</v>
      </c>
      <c r="G367" s="127">
        <f>ETo!$I367*((1-Constantes!$D$19)*ETo!$K367+ETo!$L367)</f>
        <v>4.3900651411328715</v>
      </c>
      <c r="H367" s="127">
        <v>1.2967261567784383</v>
      </c>
      <c r="I367" s="127">
        <v>0</v>
      </c>
      <c r="J367" s="127">
        <v>0</v>
      </c>
      <c r="K367" s="127">
        <v>0</v>
      </c>
      <c r="L367" s="127">
        <v>0.81916599446896288</v>
      </c>
      <c r="M367" s="56"/>
    </row>
    <row r="368" spans="2:13">
      <c r="B368" s="55"/>
      <c r="C368" s="60">
        <v>363</v>
      </c>
      <c r="D368" s="127">
        <v>18.5</v>
      </c>
      <c r="E368" s="127">
        <v>8.4</v>
      </c>
      <c r="F368" s="127">
        <v>3.9</v>
      </c>
      <c r="G368" s="127">
        <f>ETo!$I368*((1-Constantes!$D$19)*ETo!$K368+ETo!$L368)</f>
        <v>4.2090750918459827</v>
      </c>
      <c r="H368" s="127">
        <v>1.2688106132196546</v>
      </c>
      <c r="I368" s="127">
        <v>0</v>
      </c>
      <c r="J368" s="127">
        <v>0</v>
      </c>
      <c r="K368" s="127">
        <v>0</v>
      </c>
      <c r="L368" s="127">
        <v>0.82199530234862006</v>
      </c>
      <c r="M368" s="56"/>
    </row>
    <row r="369" spans="2:13">
      <c r="B369" s="55"/>
      <c r="C369" s="60">
        <v>364</v>
      </c>
      <c r="D369" s="127">
        <v>19.2</v>
      </c>
      <c r="E369" s="127">
        <v>7.8</v>
      </c>
      <c r="F369" s="127">
        <v>4.0999999999999996</v>
      </c>
      <c r="G369" s="127">
        <f>ETo!$I369*((1-Constantes!$D$19)*ETo!$K369+ETo!$L369)</f>
        <v>4.2135189994709945</v>
      </c>
      <c r="H369" s="127">
        <v>1.2762538381371709</v>
      </c>
      <c r="I369" s="127">
        <v>0</v>
      </c>
      <c r="J369" s="127">
        <v>0</v>
      </c>
      <c r="K369" s="127">
        <v>0</v>
      </c>
      <c r="L369" s="127">
        <v>0.82486829513646487</v>
      </c>
      <c r="M369" s="56"/>
    </row>
    <row r="370" spans="2:13">
      <c r="B370" s="55"/>
      <c r="C370" s="60">
        <v>365</v>
      </c>
      <c r="D370" s="127">
        <v>16.600000000000001</v>
      </c>
      <c r="E370" s="127">
        <v>6.5</v>
      </c>
      <c r="F370" s="127">
        <v>2.5</v>
      </c>
      <c r="G370" s="127">
        <f>ETo!$I370*((1-Constantes!$D$19)*ETo!$K370+ETo!$L370)</f>
        <v>4.0413602841194747</v>
      </c>
      <c r="H370" s="127">
        <v>1.2543410695170669</v>
      </c>
      <c r="I370" s="127">
        <v>0</v>
      </c>
      <c r="J370" s="127">
        <v>0</v>
      </c>
      <c r="K370" s="127">
        <v>0</v>
      </c>
      <c r="L370" s="127">
        <v>0.82741763483772712</v>
      </c>
      <c r="M370" s="56"/>
    </row>
    <row r="371" spans="2:13">
      <c r="B371" s="55"/>
      <c r="C371" s="75">
        <v>366</v>
      </c>
      <c r="D371" s="127">
        <f>D6</f>
        <v>19.8</v>
      </c>
      <c r="E371" s="127">
        <f t="shared" ref="E371:H371" si="0">E6</f>
        <v>8</v>
      </c>
      <c r="F371" s="127">
        <f t="shared" si="0"/>
        <v>20.100000000000001</v>
      </c>
      <c r="G371" s="127">
        <f>G6</f>
        <v>4.2488824786158528</v>
      </c>
      <c r="H371" s="127">
        <f t="shared" si="0"/>
        <v>3.5956025883777398</v>
      </c>
      <c r="I371" s="127">
        <f>I6</f>
        <v>0</v>
      </c>
      <c r="J371" s="127">
        <f>J6</f>
        <v>0</v>
      </c>
      <c r="K371" s="127">
        <f>K6</f>
        <v>0</v>
      </c>
      <c r="L371" s="127">
        <f t="shared" ref="L371" si="1">L6</f>
        <v>2.6358852226188021</v>
      </c>
      <c r="M371" s="56"/>
    </row>
    <row r="372" spans="2:13">
      <c r="B372" s="55"/>
      <c r="C372" s="75">
        <v>367</v>
      </c>
      <c r="D372" s="127">
        <f t="shared" ref="D372:K387" si="2">D7</f>
        <v>20</v>
      </c>
      <c r="E372" s="127">
        <f t="shared" si="2"/>
        <v>7.5</v>
      </c>
      <c r="F372" s="127">
        <f t="shared" si="2"/>
        <v>0.8</v>
      </c>
      <c r="G372" s="127">
        <f t="shared" si="2"/>
        <v>4.2356624229335118</v>
      </c>
      <c r="H372" s="127">
        <f t="shared" si="2"/>
        <v>1.2058495533566642</v>
      </c>
      <c r="I372" s="127">
        <f t="shared" si="2"/>
        <v>0</v>
      </c>
      <c r="J372" s="127">
        <f t="shared" si="2"/>
        <v>0</v>
      </c>
      <c r="K372" s="127">
        <f t="shared" si="2"/>
        <v>0</v>
      </c>
      <c r="L372" s="127">
        <f t="shared" ref="L372" si="3">L7</f>
        <v>0.84562130567263949</v>
      </c>
      <c r="M372" s="56"/>
    </row>
    <row r="373" spans="2:13">
      <c r="B373" s="55"/>
      <c r="C373" s="75">
        <v>368</v>
      </c>
      <c r="D373" s="127">
        <f t="shared" ref="D373:H373" si="4">D8</f>
        <v>21</v>
      </c>
      <c r="E373" s="127">
        <f t="shared" si="4"/>
        <v>8.1</v>
      </c>
      <c r="F373" s="127">
        <f t="shared" si="4"/>
        <v>15.5</v>
      </c>
      <c r="G373" s="127">
        <f t="shared" si="2"/>
        <v>4.3063015215622107</v>
      </c>
      <c r="H373" s="127">
        <f t="shared" si="4"/>
        <v>2.5752731916512372</v>
      </c>
      <c r="I373" s="127">
        <f t="shared" si="2"/>
        <v>0</v>
      </c>
      <c r="J373" s="127">
        <f t="shared" si="2"/>
        <v>0</v>
      </c>
      <c r="K373" s="127">
        <f t="shared" si="2"/>
        <v>0</v>
      </c>
      <c r="L373" s="127">
        <f t="shared" ref="L373" si="5">L8</f>
        <v>1.2544264455099672</v>
      </c>
      <c r="M373" s="56"/>
    </row>
    <row r="374" spans="2:13">
      <c r="B374" s="55"/>
      <c r="C374" s="75">
        <v>369</v>
      </c>
      <c r="D374" s="127">
        <f t="shared" ref="D374:H374" si="6">D9</f>
        <v>19.5</v>
      </c>
      <c r="E374" s="127">
        <f t="shared" si="6"/>
        <v>8.9</v>
      </c>
      <c r="F374" s="127">
        <f t="shared" si="6"/>
        <v>2.2999999999999998</v>
      </c>
      <c r="G374" s="127">
        <f t="shared" si="2"/>
        <v>4.2754028217310243</v>
      </c>
      <c r="H374" s="127">
        <f t="shared" si="6"/>
        <v>1.342278116725431</v>
      </c>
      <c r="I374" s="127">
        <f t="shared" si="2"/>
        <v>0</v>
      </c>
      <c r="J374" s="127">
        <f t="shared" si="2"/>
        <v>0</v>
      </c>
      <c r="K374" s="127">
        <f t="shared" si="2"/>
        <v>0</v>
      </c>
      <c r="L374" s="127">
        <f t="shared" ref="L374" si="7">L9</f>
        <v>0.86545968799630535</v>
      </c>
      <c r="M374" s="56"/>
    </row>
    <row r="375" spans="2:13">
      <c r="B375" s="55"/>
      <c r="C375" s="75">
        <v>370</v>
      </c>
      <c r="D375" s="127">
        <f t="shared" ref="D375:H375" si="8">D10</f>
        <v>20.6</v>
      </c>
      <c r="E375" s="127">
        <f t="shared" si="8"/>
        <v>6.9</v>
      </c>
      <c r="F375" s="127">
        <f t="shared" si="8"/>
        <v>9.6</v>
      </c>
      <c r="G375" s="127">
        <f t="shared" si="2"/>
        <v>4.2356685425994405</v>
      </c>
      <c r="H375" s="127">
        <f t="shared" si="8"/>
        <v>1.6960917506784017</v>
      </c>
      <c r="I375" s="127">
        <f t="shared" si="2"/>
        <v>0</v>
      </c>
      <c r="J375" s="127">
        <f t="shared" si="2"/>
        <v>0</v>
      </c>
      <c r="K375" s="127">
        <f t="shared" si="2"/>
        <v>0</v>
      </c>
      <c r="L375" s="127">
        <f t="shared" ref="L375" si="9">L10</f>
        <v>0.87401138708168846</v>
      </c>
      <c r="M375" s="56"/>
    </row>
    <row r="376" spans="2:13">
      <c r="B376" s="55"/>
      <c r="C376" s="75">
        <v>371</v>
      </c>
      <c r="D376" s="127">
        <f t="shared" ref="D376:H376" si="10">D11</f>
        <v>18.5</v>
      </c>
      <c r="E376" s="127">
        <f t="shared" si="10"/>
        <v>8.4</v>
      </c>
      <c r="F376" s="127">
        <f t="shared" si="10"/>
        <v>17.100000000000001</v>
      </c>
      <c r="G376" s="127">
        <f t="shared" si="2"/>
        <v>4.209161848578475</v>
      </c>
      <c r="H376" s="127">
        <f t="shared" si="10"/>
        <v>3.0895402328869666</v>
      </c>
      <c r="I376" s="127">
        <f t="shared" si="2"/>
        <v>0</v>
      </c>
      <c r="J376" s="127">
        <f t="shared" si="2"/>
        <v>0</v>
      </c>
      <c r="K376" s="127">
        <f t="shared" si="2"/>
        <v>0</v>
      </c>
      <c r="L376" s="127">
        <f t="shared" ref="L376" si="11">L11</f>
        <v>1.9049229743664646</v>
      </c>
      <c r="M376" s="56"/>
    </row>
    <row r="377" spans="2:13">
      <c r="B377" s="55"/>
      <c r="C377" s="75">
        <v>372</v>
      </c>
      <c r="D377" s="127">
        <f t="shared" ref="D377:H377" si="12">D12</f>
        <v>19.2</v>
      </c>
      <c r="E377" s="127">
        <f t="shared" si="12"/>
        <v>8.4</v>
      </c>
      <c r="F377" s="127">
        <f t="shared" si="12"/>
        <v>0.7</v>
      </c>
      <c r="G377" s="127">
        <f t="shared" si="2"/>
        <v>4.2400117375482669</v>
      </c>
      <c r="H377" s="127">
        <f t="shared" si="12"/>
        <v>1.4514309807432555</v>
      </c>
      <c r="I377" s="127">
        <f t="shared" si="2"/>
        <v>0</v>
      </c>
      <c r="J377" s="127">
        <f t="shared" si="2"/>
        <v>0</v>
      </c>
      <c r="K377" s="127">
        <f t="shared" si="2"/>
        <v>5.5224609817910317E-2</v>
      </c>
      <c r="L377" s="127">
        <f t="shared" ref="L377" si="13">L12</f>
        <v>0.89378298074723239</v>
      </c>
      <c r="M377" s="56"/>
    </row>
    <row r="378" spans="2:13">
      <c r="B378" s="55"/>
      <c r="C378" s="75">
        <v>373</v>
      </c>
      <c r="D378" s="127">
        <f t="shared" ref="D378:H378" si="14">D13</f>
        <v>19</v>
      </c>
      <c r="E378" s="127">
        <f t="shared" si="14"/>
        <v>9.4</v>
      </c>
      <c r="F378" s="127">
        <f t="shared" si="14"/>
        <v>0</v>
      </c>
      <c r="G378" s="127">
        <f t="shared" si="2"/>
        <v>4.2752545901473065</v>
      </c>
      <c r="H378" s="127">
        <f t="shared" si="14"/>
        <v>1.3407784172268926</v>
      </c>
      <c r="I378" s="127">
        <f t="shared" si="2"/>
        <v>0</v>
      </c>
      <c r="J378" s="127">
        <f t="shared" si="2"/>
        <v>0</v>
      </c>
      <c r="K378" s="127">
        <f t="shared" si="2"/>
        <v>28.741965391781282</v>
      </c>
      <c r="L378" s="127">
        <f t="shared" ref="L378" si="15">L13</f>
        <v>0.8966474132540414</v>
      </c>
      <c r="M378" s="56"/>
    </row>
    <row r="379" spans="2:13">
      <c r="B379" s="55"/>
      <c r="C379" s="75">
        <v>374</v>
      </c>
      <c r="D379" s="127">
        <f t="shared" ref="D379:H379" si="16">D14</f>
        <v>20.399999999999999</v>
      </c>
      <c r="E379" s="127">
        <f t="shared" si="16"/>
        <v>7.8</v>
      </c>
      <c r="F379" s="127">
        <f t="shared" si="16"/>
        <v>0</v>
      </c>
      <c r="G379" s="127">
        <f t="shared" si="2"/>
        <v>4.2663337670477102</v>
      </c>
      <c r="H379" s="127">
        <f t="shared" si="16"/>
        <v>1.2339445056609823</v>
      </c>
      <c r="I379" s="127">
        <f t="shared" si="2"/>
        <v>0</v>
      </c>
      <c r="J379" s="127">
        <f t="shared" si="2"/>
        <v>0</v>
      </c>
      <c r="K379" s="127">
        <f t="shared" si="2"/>
        <v>0</v>
      </c>
      <c r="L379" s="127">
        <f t="shared" ref="L379" si="17">L14</f>
        <v>0.89853350491710149</v>
      </c>
      <c r="M379" s="56"/>
    </row>
    <row r="380" spans="2:13">
      <c r="B380" s="55"/>
      <c r="C380" s="75">
        <v>375</v>
      </c>
      <c r="D380" s="127">
        <f t="shared" ref="D380:H380" si="18">D15</f>
        <v>20.5</v>
      </c>
      <c r="E380" s="127">
        <f t="shared" si="18"/>
        <v>7.8</v>
      </c>
      <c r="F380" s="127">
        <f t="shared" si="18"/>
        <v>0.1</v>
      </c>
      <c r="G380" s="127">
        <f t="shared" si="2"/>
        <v>4.2706250302405886</v>
      </c>
      <c r="H380" s="127">
        <f t="shared" si="18"/>
        <v>1.1339854884349567</v>
      </c>
      <c r="I380" s="127">
        <f t="shared" si="2"/>
        <v>0</v>
      </c>
      <c r="J380" s="127">
        <f t="shared" si="2"/>
        <v>0</v>
      </c>
      <c r="K380" s="127">
        <f t="shared" si="2"/>
        <v>0</v>
      </c>
      <c r="L380" s="127">
        <f t="shared" ref="L380" si="19">L15</f>
        <v>0.89951518062780633</v>
      </c>
      <c r="M380" s="56"/>
    </row>
    <row r="381" spans="2:13">
      <c r="B381" s="55"/>
      <c r="C381" s="75">
        <v>376</v>
      </c>
      <c r="D381" s="127">
        <f t="shared" ref="D381:H381" si="20">D16</f>
        <v>19.5</v>
      </c>
      <c r="E381" s="127">
        <f t="shared" si="20"/>
        <v>7</v>
      </c>
      <c r="F381" s="127">
        <f t="shared" si="20"/>
        <v>2.9</v>
      </c>
      <c r="G381" s="127">
        <f t="shared" si="2"/>
        <v>4.1910320269815351</v>
      </c>
      <c r="H381" s="127">
        <f t="shared" si="20"/>
        <v>1.1340431599414478</v>
      </c>
      <c r="I381" s="127">
        <f t="shared" si="2"/>
        <v>0</v>
      </c>
      <c r="J381" s="127">
        <f t="shared" si="2"/>
        <v>0</v>
      </c>
      <c r="K381" s="127">
        <f t="shared" si="2"/>
        <v>506.44223431713607</v>
      </c>
      <c r="L381" s="127">
        <f t="shared" ref="L381" si="21">L16</f>
        <v>0.90044868298428149</v>
      </c>
      <c r="M381" s="56"/>
    </row>
    <row r="382" spans="2:13">
      <c r="B382" s="55"/>
      <c r="C382" s="75">
        <v>377</v>
      </c>
      <c r="D382" s="127">
        <f t="shared" ref="D382:H382" si="22">D17</f>
        <v>15.5</v>
      </c>
      <c r="E382" s="127">
        <f t="shared" si="22"/>
        <v>9.1999999999999993</v>
      </c>
      <c r="F382" s="127">
        <f t="shared" si="22"/>
        <v>17.7</v>
      </c>
      <c r="G382" s="127">
        <f t="shared" si="2"/>
        <v>4.111397427642137</v>
      </c>
      <c r="H382" s="127">
        <f t="shared" si="22"/>
        <v>3.2357969162921236</v>
      </c>
      <c r="I382" s="127">
        <f t="shared" si="2"/>
        <v>0</v>
      </c>
      <c r="J382" s="127">
        <f t="shared" si="2"/>
        <v>0</v>
      </c>
      <c r="K382" s="127">
        <f t="shared" si="2"/>
        <v>0</v>
      </c>
      <c r="L382" s="127">
        <f t="shared" ref="L382" si="23">L17</f>
        <v>2.1076306730857404</v>
      </c>
      <c r="M382" s="56"/>
    </row>
    <row r="383" spans="2:13">
      <c r="B383" s="55"/>
      <c r="C383" s="75">
        <v>378</v>
      </c>
      <c r="D383" s="127">
        <f t="shared" ref="D383:H383" si="24">D18</f>
        <v>21.2</v>
      </c>
      <c r="E383" s="127">
        <f t="shared" si="24"/>
        <v>6.5</v>
      </c>
      <c r="F383" s="127">
        <f t="shared" si="24"/>
        <v>0.4</v>
      </c>
      <c r="G383" s="127">
        <f t="shared" si="2"/>
        <v>4.2435635545740835</v>
      </c>
      <c r="H383" s="127">
        <f t="shared" si="24"/>
        <v>1.4458934562639241</v>
      </c>
      <c r="I383" s="127">
        <f t="shared" si="2"/>
        <v>0</v>
      </c>
      <c r="J383" s="127">
        <f t="shared" si="2"/>
        <v>0</v>
      </c>
      <c r="K383" s="127">
        <f t="shared" si="2"/>
        <v>0</v>
      </c>
      <c r="L383" s="127">
        <f t="shared" ref="L383" si="25">L18</f>
        <v>0.91922953932504359</v>
      </c>
      <c r="M383" s="56"/>
    </row>
    <row r="384" spans="2:13">
      <c r="B384" s="55"/>
      <c r="C384" s="75">
        <v>379</v>
      </c>
      <c r="D384" s="127">
        <f t="shared" ref="D384:H384" si="26">D19</f>
        <v>18</v>
      </c>
      <c r="E384" s="127">
        <f t="shared" si="26"/>
        <v>9.5</v>
      </c>
      <c r="F384" s="127">
        <f t="shared" si="26"/>
        <v>0.4</v>
      </c>
      <c r="G384" s="127">
        <f t="shared" si="2"/>
        <v>4.2344596882080481</v>
      </c>
      <c r="H384" s="127">
        <f t="shared" si="26"/>
        <v>1.3495059526051145</v>
      </c>
      <c r="I384" s="127">
        <f t="shared" si="2"/>
        <v>0</v>
      </c>
      <c r="J384" s="127">
        <f t="shared" si="2"/>
        <v>0</v>
      </c>
      <c r="K384" s="127">
        <f t="shared" si="2"/>
        <v>0</v>
      </c>
      <c r="L384" s="127">
        <f t="shared" ref="L384" si="27">L19</f>
        <v>0.92163806911027246</v>
      </c>
      <c r="M384" s="56"/>
    </row>
    <row r="385" spans="2:13">
      <c r="B385" s="55"/>
      <c r="C385" s="75">
        <v>380</v>
      </c>
      <c r="D385" s="127">
        <f t="shared" ref="D385:H385" si="28">D20</f>
        <v>18.2</v>
      </c>
      <c r="E385" s="127">
        <f t="shared" si="28"/>
        <v>9.1999999999999993</v>
      </c>
      <c r="F385" s="127">
        <f t="shared" si="28"/>
        <v>0.5</v>
      </c>
      <c r="G385" s="127">
        <f t="shared" si="2"/>
        <v>4.2297193394396455</v>
      </c>
      <c r="H385" s="127">
        <f t="shared" si="28"/>
        <v>1.2597898866800317</v>
      </c>
      <c r="I385" s="127">
        <f t="shared" si="2"/>
        <v>0</v>
      </c>
      <c r="J385" s="127">
        <f t="shared" si="2"/>
        <v>0</v>
      </c>
      <c r="K385" s="127">
        <f t="shared" si="2"/>
        <v>45.968421531225083</v>
      </c>
      <c r="L385" s="127">
        <f t="shared" ref="L385" si="29">L20</f>
        <v>0.92322092317354287</v>
      </c>
      <c r="M385" s="56"/>
    </row>
    <row r="386" spans="2:13">
      <c r="B386" s="55"/>
      <c r="C386" s="75">
        <v>381</v>
      </c>
      <c r="D386" s="127">
        <f t="shared" ref="D386:H386" si="30">D21</f>
        <v>21</v>
      </c>
      <c r="E386" s="127">
        <f t="shared" si="30"/>
        <v>7</v>
      </c>
      <c r="F386" s="127">
        <f t="shared" si="30"/>
        <v>0</v>
      </c>
      <c r="G386" s="127">
        <f t="shared" si="2"/>
        <v>4.2558086355340761</v>
      </c>
      <c r="H386" s="127">
        <f t="shared" si="30"/>
        <v>1.1555650692802824</v>
      </c>
      <c r="I386" s="127">
        <f t="shared" si="2"/>
        <v>0</v>
      </c>
      <c r="J386" s="127">
        <f t="shared" si="2"/>
        <v>0</v>
      </c>
      <c r="K386" s="127">
        <f t="shared" si="2"/>
        <v>59.605670222384049</v>
      </c>
      <c r="L386" s="127">
        <f t="shared" ref="L386" si="31">L21</f>
        <v>0.92386977531693359</v>
      </c>
      <c r="M386" s="56"/>
    </row>
    <row r="387" spans="2:13">
      <c r="B387" s="55"/>
      <c r="C387" s="75">
        <v>382</v>
      </c>
      <c r="D387" s="127">
        <f t="shared" ref="D387:H387" si="32">D22</f>
        <v>20</v>
      </c>
      <c r="E387" s="127">
        <f t="shared" si="32"/>
        <v>7.2</v>
      </c>
      <c r="F387" s="127">
        <f t="shared" si="32"/>
        <v>8.8000000000000007</v>
      </c>
      <c r="G387" s="127">
        <f t="shared" si="2"/>
        <v>4.2200730389591046</v>
      </c>
      <c r="H387" s="127">
        <f t="shared" si="32"/>
        <v>1.5449266705292974</v>
      </c>
      <c r="I387" s="127">
        <f t="shared" si="2"/>
        <v>0</v>
      </c>
      <c r="J387" s="127">
        <f t="shared" si="2"/>
        <v>0</v>
      </c>
      <c r="K387" s="127">
        <f t="shared" si="2"/>
        <v>0</v>
      </c>
      <c r="L387" s="127">
        <f t="shared" ref="L387" si="33">L22</f>
        <v>0.9294296188990443</v>
      </c>
      <c r="M387" s="56"/>
    </row>
    <row r="388" spans="2:13">
      <c r="B388" s="55"/>
      <c r="C388" s="75">
        <v>383</v>
      </c>
      <c r="D388" s="127">
        <f t="shared" ref="D388:K403" si="34">D23</f>
        <v>15.2</v>
      </c>
      <c r="E388" s="127">
        <f t="shared" si="34"/>
        <v>8.5</v>
      </c>
      <c r="F388" s="127">
        <f t="shared" si="34"/>
        <v>2.5</v>
      </c>
      <c r="G388" s="127">
        <f t="shared" si="34"/>
        <v>4.0651509616303576</v>
      </c>
      <c r="H388" s="127">
        <f t="shared" si="34"/>
        <v>1.3293722147809401</v>
      </c>
      <c r="I388" s="127">
        <f t="shared" si="34"/>
        <v>0</v>
      </c>
      <c r="J388" s="127">
        <f t="shared" si="34"/>
        <v>0</v>
      </c>
      <c r="K388" s="127">
        <f t="shared" si="34"/>
        <v>5.2866259044669099E-3</v>
      </c>
      <c r="L388" s="127">
        <f t="shared" ref="L388" si="35">L23</f>
        <v>0.93132490658292566</v>
      </c>
      <c r="M388" s="56"/>
    </row>
    <row r="389" spans="2:13">
      <c r="B389" s="55"/>
      <c r="C389" s="75">
        <v>384</v>
      </c>
      <c r="D389" s="127">
        <f t="shared" ref="D389:H389" si="36">D24</f>
        <v>21.2</v>
      </c>
      <c r="E389" s="127">
        <f t="shared" si="36"/>
        <v>4.5</v>
      </c>
      <c r="F389" s="127">
        <f t="shared" si="36"/>
        <v>7.9</v>
      </c>
      <c r="G389" s="127">
        <f t="shared" si="34"/>
        <v>4.1528383603144396</v>
      </c>
      <c r="H389" s="127">
        <f t="shared" si="36"/>
        <v>1.6131532015776715</v>
      </c>
      <c r="I389" s="127">
        <f t="shared" si="34"/>
        <v>0</v>
      </c>
      <c r="J389" s="127">
        <f t="shared" si="34"/>
        <v>0</v>
      </c>
      <c r="K389" s="127">
        <f t="shared" si="34"/>
        <v>0</v>
      </c>
      <c r="L389" s="127">
        <f t="shared" ref="L389" si="37">L24</f>
        <v>0.9368486446936386</v>
      </c>
      <c r="M389" s="56"/>
    </row>
    <row r="390" spans="2:13">
      <c r="B390" s="55"/>
      <c r="C390" s="75">
        <v>385</v>
      </c>
      <c r="D390" s="127">
        <f t="shared" ref="D390:H390" si="38">D25</f>
        <v>18</v>
      </c>
      <c r="E390" s="127">
        <f t="shared" si="38"/>
        <v>6.5</v>
      </c>
      <c r="F390" s="127">
        <f t="shared" si="38"/>
        <v>5</v>
      </c>
      <c r="G390" s="127">
        <f t="shared" si="34"/>
        <v>4.0992699869697011</v>
      </c>
      <c r="H390" s="127">
        <f t="shared" si="38"/>
        <v>1.5184124805995169</v>
      </c>
      <c r="I390" s="127">
        <f t="shared" si="34"/>
        <v>0</v>
      </c>
      <c r="J390" s="127">
        <f t="shared" si="34"/>
        <v>0</v>
      </c>
      <c r="K390" s="127">
        <f t="shared" si="34"/>
        <v>62.043936092893496</v>
      </c>
      <c r="L390" s="127">
        <f t="shared" ref="L390" si="39">L25</f>
        <v>0.94068375861574172</v>
      </c>
      <c r="M390" s="56"/>
    </row>
    <row r="391" spans="2:13">
      <c r="B391" s="55"/>
      <c r="C391" s="75">
        <v>386</v>
      </c>
      <c r="D391" s="127">
        <f t="shared" ref="D391:H391" si="40">D26</f>
        <v>21</v>
      </c>
      <c r="E391" s="127">
        <f t="shared" si="40"/>
        <v>8</v>
      </c>
      <c r="F391" s="127">
        <f t="shared" si="40"/>
        <v>6.2</v>
      </c>
      <c r="G391" s="127">
        <f t="shared" si="34"/>
        <v>4.2969975510207226</v>
      </c>
      <c r="H391" s="127">
        <f t="shared" si="40"/>
        <v>1.5696137436765665</v>
      </c>
      <c r="I391" s="127">
        <f t="shared" si="34"/>
        <v>0</v>
      </c>
      <c r="J391" s="127">
        <f t="shared" si="34"/>
        <v>0</v>
      </c>
      <c r="K391" s="127">
        <f t="shared" si="34"/>
        <v>300.83094288980993</v>
      </c>
      <c r="L391" s="127">
        <f t="shared" ref="L391" si="41">L26</f>
        <v>0.9452542866849678</v>
      </c>
      <c r="M391" s="56"/>
    </row>
    <row r="392" spans="2:13">
      <c r="B392" s="55"/>
      <c r="C392" s="75">
        <v>387</v>
      </c>
      <c r="D392" s="127">
        <f t="shared" ref="D392:H392" si="42">D27</f>
        <v>19.2</v>
      </c>
      <c r="E392" s="127">
        <f t="shared" si="42"/>
        <v>7.5</v>
      </c>
      <c r="F392" s="127">
        <f t="shared" si="42"/>
        <v>0.1</v>
      </c>
      <c r="G392" s="127">
        <f t="shared" si="34"/>
        <v>4.1947726528956641</v>
      </c>
      <c r="H392" s="127">
        <f t="shared" si="42"/>
        <v>1.4291947825224085</v>
      </c>
      <c r="I392" s="127">
        <f t="shared" si="34"/>
        <v>0</v>
      </c>
      <c r="J392" s="127">
        <f t="shared" si="34"/>
        <v>0</v>
      </c>
      <c r="K392" s="127">
        <f t="shared" si="34"/>
        <v>0</v>
      </c>
      <c r="L392" s="127">
        <f t="shared" ref="L392" si="43">L27</f>
        <v>0.94785144308436564</v>
      </c>
      <c r="M392" s="56"/>
    </row>
    <row r="393" spans="2:13">
      <c r="B393" s="55"/>
      <c r="C393" s="75">
        <v>388</v>
      </c>
      <c r="D393" s="127">
        <f t="shared" ref="D393:H393" si="44">D28</f>
        <v>17.7</v>
      </c>
      <c r="E393" s="127">
        <f t="shared" si="44"/>
        <v>7.6</v>
      </c>
      <c r="F393" s="127">
        <f t="shared" si="44"/>
        <v>19.7</v>
      </c>
      <c r="G393" s="127">
        <f t="shared" si="34"/>
        <v>4.1321680484225629</v>
      </c>
      <c r="H393" s="127">
        <f t="shared" si="44"/>
        <v>3.8448020243048981</v>
      </c>
      <c r="I393" s="127">
        <f t="shared" si="34"/>
        <v>0</v>
      </c>
      <c r="J393" s="127">
        <f t="shared" si="34"/>
        <v>0</v>
      </c>
      <c r="K393" s="127">
        <f t="shared" si="34"/>
        <v>5.4432146480880519</v>
      </c>
      <c r="L393" s="127">
        <f t="shared" ref="L393" si="45">L28</f>
        <v>2.9003443044225752</v>
      </c>
      <c r="M393" s="56"/>
    </row>
    <row r="394" spans="2:13">
      <c r="B394" s="55"/>
      <c r="C394" s="75">
        <v>389</v>
      </c>
      <c r="D394" s="127">
        <f t="shared" ref="D394:H394" si="46">D29</f>
        <v>16.399999999999999</v>
      </c>
      <c r="E394" s="127">
        <f t="shared" si="46"/>
        <v>6.7</v>
      </c>
      <c r="F394" s="127">
        <f t="shared" si="46"/>
        <v>2.4</v>
      </c>
      <c r="G394" s="127">
        <f t="shared" si="34"/>
        <v>4.0341938673256417</v>
      </c>
      <c r="H394" s="127">
        <f t="shared" si="46"/>
        <v>1.6175923816307491</v>
      </c>
      <c r="I394" s="127">
        <f t="shared" si="34"/>
        <v>0</v>
      </c>
      <c r="J394" s="127">
        <f t="shared" si="34"/>
        <v>0</v>
      </c>
      <c r="K394" s="127">
        <f t="shared" si="34"/>
        <v>0</v>
      </c>
      <c r="L394" s="127">
        <f t="shared" ref="L394" si="47">L29</f>
        <v>0.96642155793051931</v>
      </c>
      <c r="M394" s="56"/>
    </row>
    <row r="395" spans="2:13">
      <c r="B395" s="55"/>
      <c r="C395" s="75">
        <v>390</v>
      </c>
      <c r="D395" s="127">
        <f t="shared" ref="D395:H395" si="48">D30</f>
        <v>21.1</v>
      </c>
      <c r="E395" s="127">
        <f t="shared" si="48"/>
        <v>6</v>
      </c>
      <c r="F395" s="127">
        <f t="shared" si="48"/>
        <v>0</v>
      </c>
      <c r="G395" s="127">
        <f t="shared" si="34"/>
        <v>4.2094228082688856</v>
      </c>
      <c r="H395" s="127">
        <f t="shared" si="48"/>
        <v>1.5048036971785259</v>
      </c>
      <c r="I395" s="127">
        <f t="shared" si="34"/>
        <v>0</v>
      </c>
      <c r="J395" s="127">
        <f t="shared" si="34"/>
        <v>0</v>
      </c>
      <c r="K395" s="127">
        <f t="shared" si="34"/>
        <v>0</v>
      </c>
      <c r="L395" s="127">
        <f t="shared" ref="L395" si="49">L30</f>
        <v>0.96920014808726296</v>
      </c>
      <c r="M395" s="56"/>
    </row>
    <row r="396" spans="2:13">
      <c r="B396" s="55"/>
      <c r="C396" s="75">
        <v>391</v>
      </c>
      <c r="D396" s="127">
        <f t="shared" ref="D396:H396" si="50">D31</f>
        <v>21.8</v>
      </c>
      <c r="E396" s="127">
        <f t="shared" si="50"/>
        <v>5.4</v>
      </c>
      <c r="F396" s="127">
        <f t="shared" si="50"/>
        <v>4</v>
      </c>
      <c r="G396" s="127">
        <f t="shared" si="34"/>
        <v>4.2126290364780026</v>
      </c>
      <c r="H396" s="127">
        <f t="shared" si="50"/>
        <v>1.5319344256860985</v>
      </c>
      <c r="I396" s="127">
        <f t="shared" si="34"/>
        <v>0</v>
      </c>
      <c r="J396" s="127">
        <f t="shared" si="34"/>
        <v>0</v>
      </c>
      <c r="K396" s="127">
        <f t="shared" si="34"/>
        <v>0</v>
      </c>
      <c r="L396" s="127">
        <f t="shared" ref="L396" si="51">L31</f>
        <v>0.97217805225851139</v>
      </c>
      <c r="M396" s="56"/>
    </row>
    <row r="397" spans="2:13">
      <c r="B397" s="55"/>
      <c r="C397" s="75">
        <v>392</v>
      </c>
      <c r="D397" s="127">
        <f t="shared" ref="D397:H397" si="52">D32</f>
        <v>23.3</v>
      </c>
      <c r="E397" s="127">
        <f t="shared" si="52"/>
        <v>5</v>
      </c>
      <c r="F397" s="127">
        <f t="shared" si="52"/>
        <v>0.1</v>
      </c>
      <c r="G397" s="127">
        <f t="shared" si="34"/>
        <v>4.2597583959558296</v>
      </c>
      <c r="H397" s="127">
        <f t="shared" si="52"/>
        <v>1.424381885699505</v>
      </c>
      <c r="I397" s="127">
        <f t="shared" si="34"/>
        <v>0</v>
      </c>
      <c r="J397" s="127">
        <f t="shared" si="34"/>
        <v>0</v>
      </c>
      <c r="K397" s="127">
        <f t="shared" si="34"/>
        <v>0</v>
      </c>
      <c r="L397" s="127">
        <f t="shared" ref="L397" si="53">L32</f>
        <v>0.97412645915117291</v>
      </c>
      <c r="M397" s="56"/>
    </row>
    <row r="398" spans="2:13">
      <c r="B398" s="55"/>
      <c r="C398" s="75">
        <v>393</v>
      </c>
      <c r="D398" s="127">
        <f t="shared" ref="D398:H398" si="54">D33</f>
        <v>22.7</v>
      </c>
      <c r="E398" s="127">
        <f t="shared" si="54"/>
        <v>4.8</v>
      </c>
      <c r="F398" s="127">
        <f t="shared" si="54"/>
        <v>0</v>
      </c>
      <c r="G398" s="127">
        <f t="shared" si="34"/>
        <v>4.2230971005749174</v>
      </c>
      <c r="H398" s="127">
        <f t="shared" si="54"/>
        <v>1.3175786744990317</v>
      </c>
      <c r="I398" s="127">
        <f t="shared" si="34"/>
        <v>0</v>
      </c>
      <c r="J398" s="127">
        <f t="shared" si="34"/>
        <v>0</v>
      </c>
      <c r="K398" s="127">
        <f t="shared" si="34"/>
        <v>0</v>
      </c>
      <c r="L398" s="127">
        <f t="shared" ref="L398" si="55">L33</f>
        <v>0.97511677178961997</v>
      </c>
      <c r="M398" s="56"/>
    </row>
    <row r="399" spans="2:13">
      <c r="B399" s="55"/>
      <c r="C399" s="75">
        <v>394</v>
      </c>
      <c r="D399" s="127">
        <f t="shared" ref="D399:H399" si="56">D34</f>
        <v>18</v>
      </c>
      <c r="E399" s="127">
        <f t="shared" si="56"/>
        <v>5.0999999999999996</v>
      </c>
      <c r="F399" s="127">
        <f t="shared" si="56"/>
        <v>1.7</v>
      </c>
      <c r="G399" s="127">
        <f t="shared" si="34"/>
        <v>4.0278653439015057</v>
      </c>
      <c r="H399" s="127">
        <f t="shared" si="56"/>
        <v>1.2754658649863604</v>
      </c>
      <c r="I399" s="127">
        <f t="shared" si="34"/>
        <v>0</v>
      </c>
      <c r="J399" s="127">
        <f t="shared" si="34"/>
        <v>0</v>
      </c>
      <c r="K399" s="127">
        <f t="shared" si="34"/>
        <v>0</v>
      </c>
      <c r="L399" s="127">
        <f t="shared" ref="L399" si="57">L34</f>
        <v>0.97570962148594531</v>
      </c>
      <c r="M399" s="56"/>
    </row>
    <row r="400" spans="2:13">
      <c r="B400" s="55"/>
      <c r="C400" s="75">
        <v>395</v>
      </c>
      <c r="D400" s="127">
        <f t="shared" ref="D400:H400" si="58">D35</f>
        <v>22.1</v>
      </c>
      <c r="E400" s="127">
        <f t="shared" si="58"/>
        <v>5</v>
      </c>
      <c r="F400" s="127">
        <f t="shared" si="58"/>
        <v>5.2</v>
      </c>
      <c r="G400" s="127">
        <f t="shared" si="34"/>
        <v>4.2022632056480216</v>
      </c>
      <c r="H400" s="127">
        <f t="shared" si="58"/>
        <v>1.3562422040366251</v>
      </c>
      <c r="I400" s="127">
        <f t="shared" si="34"/>
        <v>0</v>
      </c>
      <c r="J400" s="127">
        <f t="shared" si="34"/>
        <v>0</v>
      </c>
      <c r="K400" s="127">
        <f t="shared" si="34"/>
        <v>0</v>
      </c>
      <c r="L400" s="127">
        <f t="shared" ref="L400" si="59">L35</f>
        <v>0.97728961166030259</v>
      </c>
      <c r="M400" s="56"/>
    </row>
    <row r="401" spans="2:13">
      <c r="B401" s="55"/>
      <c r="C401" s="75">
        <v>396</v>
      </c>
      <c r="D401" s="127">
        <f t="shared" ref="D401:H401" si="60">D36</f>
        <v>21.2</v>
      </c>
      <c r="E401" s="127">
        <f t="shared" si="60"/>
        <v>5</v>
      </c>
      <c r="F401" s="127">
        <f t="shared" si="60"/>
        <v>3.1</v>
      </c>
      <c r="G401" s="127">
        <f t="shared" si="34"/>
        <v>4.1608759988889137</v>
      </c>
      <c r="H401" s="127">
        <f t="shared" si="60"/>
        <v>1.3527754041930637</v>
      </c>
      <c r="I401" s="127">
        <f t="shared" si="34"/>
        <v>0</v>
      </c>
      <c r="J401" s="127">
        <f t="shared" si="34"/>
        <v>0</v>
      </c>
      <c r="K401" s="127">
        <f t="shared" si="34"/>
        <v>0</v>
      </c>
      <c r="L401" s="127">
        <f t="shared" ref="L401" si="61">L36</f>
        <v>0.97843217465731191</v>
      </c>
      <c r="M401" s="56"/>
    </row>
    <row r="402" spans="2:13">
      <c r="B402" s="55"/>
      <c r="C402" s="75">
        <v>397</v>
      </c>
      <c r="D402" s="127">
        <f t="shared" ref="D402:H402" si="62">D37</f>
        <v>21</v>
      </c>
      <c r="E402" s="127">
        <f t="shared" si="62"/>
        <v>6.9</v>
      </c>
      <c r="F402" s="127">
        <f t="shared" si="62"/>
        <v>1.4</v>
      </c>
      <c r="G402" s="127">
        <f t="shared" si="34"/>
        <v>4.2336692829590499</v>
      </c>
      <c r="H402" s="127">
        <f t="shared" si="62"/>
        <v>1.2954507144270362</v>
      </c>
      <c r="I402" s="127">
        <f t="shared" si="34"/>
        <v>0</v>
      </c>
      <c r="J402" s="127">
        <f t="shared" si="34"/>
        <v>0</v>
      </c>
      <c r="K402" s="127">
        <f t="shared" si="34"/>
        <v>338.0710502155946</v>
      </c>
      <c r="L402" s="127">
        <f t="shared" ref="L402" si="63">L37</f>
        <v>0.97904930894569686</v>
      </c>
      <c r="M402" s="56"/>
    </row>
    <row r="403" spans="2:13">
      <c r="B403" s="55"/>
      <c r="C403" s="75">
        <v>398</v>
      </c>
      <c r="D403" s="127">
        <f t="shared" ref="D403:H403" si="64">D38</f>
        <v>20.8</v>
      </c>
      <c r="E403" s="127">
        <f t="shared" si="64"/>
        <v>9.4</v>
      </c>
      <c r="F403" s="127">
        <f t="shared" si="64"/>
        <v>2.2000000000000002</v>
      </c>
      <c r="G403" s="127">
        <f t="shared" si="34"/>
        <v>4.3326621722800782</v>
      </c>
      <c r="H403" s="127">
        <f t="shared" si="64"/>
        <v>1.2655579471481655</v>
      </c>
      <c r="I403" s="127">
        <f t="shared" si="34"/>
        <v>0</v>
      </c>
      <c r="J403" s="127">
        <f t="shared" si="34"/>
        <v>0</v>
      </c>
      <c r="K403" s="127">
        <f t="shared" si="34"/>
        <v>0</v>
      </c>
      <c r="L403" s="127">
        <f t="shared" ref="L403" si="65">L38</f>
        <v>0.97938005489074698</v>
      </c>
      <c r="M403" s="56"/>
    </row>
    <row r="404" spans="2:13">
      <c r="B404" s="55"/>
      <c r="C404" s="75">
        <v>399</v>
      </c>
      <c r="D404" s="127">
        <f t="shared" ref="D404:K419" si="66">D39</f>
        <v>21.2</v>
      </c>
      <c r="E404" s="127">
        <f t="shared" si="66"/>
        <v>10.4</v>
      </c>
      <c r="F404" s="127">
        <f t="shared" si="66"/>
        <v>0</v>
      </c>
      <c r="G404" s="127">
        <f t="shared" si="66"/>
        <v>4.3919268323791956</v>
      </c>
      <c r="H404" s="127">
        <f t="shared" si="66"/>
        <v>1.1606371170349079</v>
      </c>
      <c r="I404" s="127">
        <f t="shared" si="66"/>
        <v>0</v>
      </c>
      <c r="J404" s="127">
        <f t="shared" si="66"/>
        <v>0</v>
      </c>
      <c r="K404" s="127">
        <f t="shared" si="66"/>
        <v>0</v>
      </c>
      <c r="L404" s="127">
        <f t="shared" ref="L404" si="67">L39</f>
        <v>0.97879863202458151</v>
      </c>
      <c r="M404" s="56"/>
    </row>
    <row r="405" spans="2:13">
      <c r="B405" s="55"/>
      <c r="C405" s="75">
        <v>400</v>
      </c>
      <c r="D405" s="127">
        <f t="shared" ref="D405:H405" si="68">D40</f>
        <v>21.5</v>
      </c>
      <c r="E405" s="127">
        <f t="shared" si="68"/>
        <v>7</v>
      </c>
      <c r="F405" s="127">
        <f t="shared" si="68"/>
        <v>3.3</v>
      </c>
      <c r="G405" s="127">
        <f t="shared" si="66"/>
        <v>4.2532182225287558</v>
      </c>
      <c r="H405" s="127">
        <f t="shared" si="68"/>
        <v>1.1739087389155642</v>
      </c>
      <c r="I405" s="127">
        <f t="shared" si="66"/>
        <v>0</v>
      </c>
      <c r="J405" s="127">
        <f t="shared" si="66"/>
        <v>0</v>
      </c>
      <c r="K405" s="127">
        <f t="shared" si="66"/>
        <v>0</v>
      </c>
      <c r="L405" s="127">
        <f t="shared" ref="L405" si="69">L40</f>
        <v>0.97831425306794406</v>
      </c>
      <c r="M405" s="56"/>
    </row>
    <row r="406" spans="2:13">
      <c r="B406" s="55"/>
      <c r="C406" s="75">
        <v>401</v>
      </c>
      <c r="D406" s="127">
        <f t="shared" ref="D406:H406" si="70">D41</f>
        <v>23.5</v>
      </c>
      <c r="E406" s="127">
        <f t="shared" si="70"/>
        <v>8.9</v>
      </c>
      <c r="F406" s="127">
        <f t="shared" si="70"/>
        <v>0</v>
      </c>
      <c r="G406" s="127">
        <f t="shared" si="66"/>
        <v>4.4219422425903252</v>
      </c>
      <c r="H406" s="127">
        <f t="shared" si="70"/>
        <v>1.0713822106249293</v>
      </c>
      <c r="I406" s="127">
        <f t="shared" si="66"/>
        <v>0</v>
      </c>
      <c r="J406" s="127">
        <f t="shared" si="66"/>
        <v>0</v>
      </c>
      <c r="K406" s="127">
        <f t="shared" si="66"/>
        <v>0</v>
      </c>
      <c r="L406" s="127">
        <f t="shared" ref="L406" si="71">L41</f>
        <v>0.97695186084766872</v>
      </c>
      <c r="M406" s="56"/>
    </row>
    <row r="407" spans="2:13">
      <c r="B407" s="55"/>
      <c r="C407" s="75">
        <v>402</v>
      </c>
      <c r="D407" s="127">
        <f t="shared" ref="D407:H407" si="72">D42</f>
        <v>24.5</v>
      </c>
      <c r="E407" s="127">
        <f t="shared" si="72"/>
        <v>9.4</v>
      </c>
      <c r="F407" s="127">
        <f t="shared" si="72"/>
        <v>0</v>
      </c>
      <c r="G407" s="127">
        <f t="shared" si="66"/>
        <v>4.48508907581542</v>
      </c>
      <c r="H407" s="127">
        <f t="shared" si="72"/>
        <v>0.97117967790813964</v>
      </c>
      <c r="I407" s="127">
        <f t="shared" si="66"/>
        <v>0</v>
      </c>
      <c r="J407" s="127">
        <f t="shared" si="66"/>
        <v>0</v>
      </c>
      <c r="K407" s="127">
        <f t="shared" si="66"/>
        <v>0</v>
      </c>
      <c r="L407" s="127">
        <f t="shared" ref="L407" si="73">L42</f>
        <v>0.97474491431754573</v>
      </c>
      <c r="M407" s="56"/>
    </row>
    <row r="408" spans="2:13">
      <c r="B408" s="55"/>
      <c r="C408" s="75">
        <v>403</v>
      </c>
      <c r="D408" s="127">
        <f t="shared" ref="D408:H408" si="74">D43</f>
        <v>25</v>
      </c>
      <c r="E408" s="127">
        <f t="shared" si="74"/>
        <v>6.7</v>
      </c>
      <c r="F408" s="127">
        <f t="shared" si="74"/>
        <v>13.5</v>
      </c>
      <c r="G408" s="127">
        <f t="shared" si="66"/>
        <v>4.3852894620833638</v>
      </c>
      <c r="H408" s="127">
        <f t="shared" si="74"/>
        <v>2.1270987011681908</v>
      </c>
      <c r="I408" s="127">
        <f t="shared" si="66"/>
        <v>0</v>
      </c>
      <c r="J408" s="127">
        <f t="shared" si="66"/>
        <v>0</v>
      </c>
      <c r="K408" s="127">
        <f t="shared" si="66"/>
        <v>0</v>
      </c>
      <c r="L408" s="127">
        <f t="shared" ref="L408" si="75">L43</f>
        <v>0.9863353621729527</v>
      </c>
      <c r="M408" s="56"/>
    </row>
    <row r="409" spans="2:13">
      <c r="B409" s="55"/>
      <c r="C409" s="75">
        <v>404</v>
      </c>
      <c r="D409" s="127">
        <f t="shared" ref="D409:H409" si="76">D44</f>
        <v>24.5</v>
      </c>
      <c r="E409" s="127">
        <f t="shared" si="76"/>
        <v>8.1999999999999993</v>
      </c>
      <c r="F409" s="127">
        <f t="shared" si="76"/>
        <v>0</v>
      </c>
      <c r="G409" s="127">
        <f t="shared" si="66"/>
        <v>4.4259892798530256</v>
      </c>
      <c r="H409" s="127">
        <f t="shared" si="76"/>
        <v>1.2004187285257604</v>
      </c>
      <c r="I409" s="127">
        <f t="shared" si="66"/>
        <v>0</v>
      </c>
      <c r="J409" s="127">
        <f t="shared" si="66"/>
        <v>0</v>
      </c>
      <c r="K409" s="127">
        <f t="shared" si="66"/>
        <v>0</v>
      </c>
      <c r="L409" s="127">
        <f t="shared" ref="L409" si="77">L44</f>
        <v>0.985730905268144</v>
      </c>
      <c r="M409" s="56"/>
    </row>
    <row r="410" spans="2:13">
      <c r="B410" s="55"/>
      <c r="C410" s="75">
        <v>405</v>
      </c>
      <c r="D410" s="127">
        <f t="shared" ref="D410:H410" si="78">D45</f>
        <v>18.8</v>
      </c>
      <c r="E410" s="127">
        <f t="shared" si="78"/>
        <v>8.1</v>
      </c>
      <c r="F410" s="127">
        <f t="shared" si="78"/>
        <v>2</v>
      </c>
      <c r="G410" s="127">
        <f t="shared" si="66"/>
        <v>4.168450537636839</v>
      </c>
      <c r="H410" s="127">
        <f t="shared" si="78"/>
        <v>1.1689217641251128</v>
      </c>
      <c r="I410" s="127">
        <f t="shared" si="66"/>
        <v>0</v>
      </c>
      <c r="J410" s="127">
        <f t="shared" si="66"/>
        <v>0</v>
      </c>
      <c r="K410" s="127">
        <f t="shared" si="66"/>
        <v>6.2178808977914031</v>
      </c>
      <c r="L410" s="127">
        <f t="shared" ref="L410" si="79">L45</f>
        <v>0.98485668224762546</v>
      </c>
      <c r="M410" s="56"/>
    </row>
    <row r="411" spans="2:13">
      <c r="B411" s="55"/>
      <c r="C411" s="75">
        <v>406</v>
      </c>
      <c r="D411" s="127">
        <f t="shared" ref="D411:H411" si="80">D46</f>
        <v>19</v>
      </c>
      <c r="E411" s="127">
        <f t="shared" si="80"/>
        <v>9.8000000000000007</v>
      </c>
      <c r="F411" s="127">
        <f t="shared" si="80"/>
        <v>21.8</v>
      </c>
      <c r="G411" s="127">
        <f t="shared" si="66"/>
        <v>4.2480995645578474</v>
      </c>
      <c r="H411" s="127">
        <f t="shared" si="80"/>
        <v>4.4032537348740508</v>
      </c>
      <c r="I411" s="127">
        <f t="shared" si="66"/>
        <v>0</v>
      </c>
      <c r="J411" s="127">
        <f t="shared" si="66"/>
        <v>0</v>
      </c>
      <c r="K411" s="127">
        <f t="shared" si="66"/>
        <v>300.83094288980993</v>
      </c>
      <c r="L411" s="127">
        <f t="shared" ref="L411" si="81">L46</f>
        <v>3.6446997562800254</v>
      </c>
      <c r="M411" s="56"/>
    </row>
    <row r="412" spans="2:13">
      <c r="B412" s="55"/>
      <c r="C412" s="75">
        <v>407</v>
      </c>
      <c r="D412" s="127">
        <f t="shared" ref="D412:H412" si="82">D47</f>
        <v>19.2</v>
      </c>
      <c r="E412" s="127">
        <f t="shared" si="82"/>
        <v>6.5</v>
      </c>
      <c r="F412" s="127">
        <f t="shared" si="82"/>
        <v>0</v>
      </c>
      <c r="G412" s="127">
        <f t="shared" si="66"/>
        <v>4.1089194186077282</v>
      </c>
      <c r="H412" s="127">
        <f t="shared" si="82"/>
        <v>1.4997265502264259</v>
      </c>
      <c r="I412" s="127">
        <f t="shared" si="66"/>
        <v>0</v>
      </c>
      <c r="J412" s="127">
        <f t="shared" si="66"/>
        <v>0</v>
      </c>
      <c r="K412" s="127">
        <f t="shared" si="66"/>
        <v>0</v>
      </c>
      <c r="L412" s="127">
        <f t="shared" ref="L412" si="83">L47</f>
        <v>1.0010754661941275</v>
      </c>
      <c r="M412" s="56"/>
    </row>
    <row r="413" spans="2:13">
      <c r="B413" s="55"/>
      <c r="C413" s="75">
        <v>408</v>
      </c>
      <c r="D413" s="127">
        <f t="shared" ref="D413:H413" si="84">D48</f>
        <v>21.3</v>
      </c>
      <c r="E413" s="127">
        <f t="shared" si="84"/>
        <v>8.6</v>
      </c>
      <c r="F413" s="127">
        <f t="shared" si="84"/>
        <v>1.9</v>
      </c>
      <c r="G413" s="127">
        <f t="shared" si="66"/>
        <v>4.288541793645777</v>
      </c>
      <c r="H413" s="127">
        <f t="shared" si="84"/>
        <v>1.4533256023375341</v>
      </c>
      <c r="I413" s="127">
        <f t="shared" si="66"/>
        <v>0</v>
      </c>
      <c r="J413" s="127">
        <f t="shared" si="66"/>
        <v>0</v>
      </c>
      <c r="K413" s="127">
        <f t="shared" si="66"/>
        <v>0</v>
      </c>
      <c r="L413" s="127">
        <f t="shared" ref="L413" si="85">L48</f>
        <v>1.0026552322127062</v>
      </c>
      <c r="M413" s="56"/>
    </row>
    <row r="414" spans="2:13">
      <c r="B414" s="55"/>
      <c r="C414" s="75">
        <v>409</v>
      </c>
      <c r="D414" s="127">
        <f t="shared" ref="D414:H414" si="86">D49</f>
        <v>21.2</v>
      </c>
      <c r="E414" s="127">
        <f t="shared" si="86"/>
        <v>10.4</v>
      </c>
      <c r="F414" s="127">
        <f t="shared" si="86"/>
        <v>0.8</v>
      </c>
      <c r="G414" s="127">
        <f t="shared" si="66"/>
        <v>4.3586687983610162</v>
      </c>
      <c r="H414" s="127">
        <f t="shared" si="86"/>
        <v>1.3697479345123544</v>
      </c>
      <c r="I414" s="127">
        <f t="shared" si="66"/>
        <v>0</v>
      </c>
      <c r="J414" s="127">
        <f t="shared" si="66"/>
        <v>0</v>
      </c>
      <c r="K414" s="127">
        <f t="shared" si="66"/>
        <v>3.4255179115241083</v>
      </c>
      <c r="L414" s="127">
        <f t="shared" ref="L414" si="87">L49</f>
        <v>1.003476629582901</v>
      </c>
      <c r="M414" s="56"/>
    </row>
    <row r="415" spans="2:13">
      <c r="B415" s="55"/>
      <c r="C415" s="75">
        <v>410</v>
      </c>
      <c r="D415" s="127">
        <f t="shared" ref="D415:H415" si="88">D50</f>
        <v>19.8</v>
      </c>
      <c r="E415" s="127">
        <f t="shared" si="88"/>
        <v>10</v>
      </c>
      <c r="F415" s="127">
        <f t="shared" si="88"/>
        <v>0</v>
      </c>
      <c r="G415" s="127">
        <f t="shared" si="66"/>
        <v>4.2756427877182128</v>
      </c>
      <c r="H415" s="127">
        <f t="shared" si="88"/>
        <v>1.2630436644665124</v>
      </c>
      <c r="I415" s="127">
        <f t="shared" si="66"/>
        <v>0</v>
      </c>
      <c r="J415" s="127">
        <f t="shared" si="66"/>
        <v>0</v>
      </c>
      <c r="K415" s="127">
        <f t="shared" si="66"/>
        <v>39.792677602929452</v>
      </c>
      <c r="L415" s="127">
        <f t="shared" ref="L415" si="89">L50</f>
        <v>1.0033584525755335</v>
      </c>
      <c r="M415" s="56"/>
    </row>
    <row r="416" spans="2:13">
      <c r="B416" s="55"/>
      <c r="C416" s="75">
        <v>411</v>
      </c>
      <c r="D416" s="127">
        <f t="shared" ref="D416:H416" si="90">D51</f>
        <v>20.5</v>
      </c>
      <c r="E416" s="127">
        <f t="shared" si="90"/>
        <v>10</v>
      </c>
      <c r="F416" s="127">
        <f t="shared" si="90"/>
        <v>1.7</v>
      </c>
      <c r="G416" s="127">
        <f t="shared" si="66"/>
        <v>4.3015724044423695</v>
      </c>
      <c r="H416" s="127">
        <f t="shared" si="90"/>
        <v>1.2173372095634136</v>
      </c>
      <c r="I416" s="127">
        <f t="shared" si="66"/>
        <v>0</v>
      </c>
      <c r="J416" s="127">
        <f t="shared" si="66"/>
        <v>0</v>
      </c>
      <c r="K416" s="127">
        <f t="shared" si="66"/>
        <v>134.4068951621245</v>
      </c>
      <c r="L416" s="127">
        <f t="shared" ref="L416" si="91">L51</f>
        <v>1.0028288469022764</v>
      </c>
      <c r="M416" s="56"/>
    </row>
    <row r="417" spans="2:13">
      <c r="B417" s="55"/>
      <c r="C417" s="75">
        <v>412</v>
      </c>
      <c r="D417" s="127">
        <f t="shared" ref="D417:H417" si="92">D52</f>
        <v>20.7</v>
      </c>
      <c r="E417" s="127">
        <f t="shared" si="92"/>
        <v>9.1</v>
      </c>
      <c r="F417" s="127">
        <f t="shared" si="92"/>
        <v>18.100000000000001</v>
      </c>
      <c r="G417" s="127">
        <f t="shared" si="66"/>
        <v>4.2662340807506807</v>
      </c>
      <c r="H417" s="127">
        <f t="shared" si="92"/>
        <v>3.3952154230607219</v>
      </c>
      <c r="I417" s="127">
        <f t="shared" si="66"/>
        <v>0</v>
      </c>
      <c r="J417" s="127">
        <f t="shared" si="66"/>
        <v>0</v>
      </c>
      <c r="K417" s="127">
        <f t="shared" si="66"/>
        <v>0</v>
      </c>
      <c r="L417" s="127">
        <f t="shared" ref="L417" si="93">L52</f>
        <v>2.3314911773290614</v>
      </c>
      <c r="M417" s="56"/>
    </row>
    <row r="418" spans="2:13">
      <c r="B418" s="55"/>
      <c r="C418" s="75">
        <v>413</v>
      </c>
      <c r="D418" s="127">
        <f t="shared" ref="D418:H418" si="94">D53</f>
        <v>21.8</v>
      </c>
      <c r="E418" s="127">
        <f t="shared" si="94"/>
        <v>8.1</v>
      </c>
      <c r="F418" s="127">
        <f t="shared" si="94"/>
        <v>1.4</v>
      </c>
      <c r="G418" s="127">
        <f t="shared" si="66"/>
        <v>4.2655384620621728</v>
      </c>
      <c r="H418" s="127">
        <f t="shared" si="94"/>
        <v>1.5414560032866587</v>
      </c>
      <c r="I418" s="127">
        <f t="shared" si="66"/>
        <v>0</v>
      </c>
      <c r="J418" s="127">
        <f t="shared" si="66"/>
        <v>0</v>
      </c>
      <c r="K418" s="127">
        <f t="shared" si="66"/>
        <v>9.8238347283588343</v>
      </c>
      <c r="L418" s="127">
        <f t="shared" ref="L418" si="95">L53</f>
        <v>1.0187370675949043</v>
      </c>
      <c r="M418" s="56"/>
    </row>
    <row r="419" spans="2:13">
      <c r="B419" s="55"/>
      <c r="C419" s="75">
        <v>414</v>
      </c>
      <c r="D419" s="127">
        <f t="shared" ref="D419:H419" si="96">D54</f>
        <v>23.8</v>
      </c>
      <c r="E419" s="127">
        <f t="shared" si="96"/>
        <v>8</v>
      </c>
      <c r="F419" s="127">
        <f t="shared" si="96"/>
        <v>12.5</v>
      </c>
      <c r="G419" s="127">
        <f t="shared" si="66"/>
        <v>4.3428985179672717</v>
      </c>
      <c r="H419" s="127">
        <f t="shared" si="96"/>
        <v>2.3116266113290607</v>
      </c>
      <c r="I419" s="127">
        <f t="shared" si="66"/>
        <v>0</v>
      </c>
      <c r="J419" s="127">
        <f t="shared" si="66"/>
        <v>0</v>
      </c>
      <c r="K419" s="127">
        <f t="shared" si="66"/>
        <v>0</v>
      </c>
      <c r="L419" s="127">
        <f t="shared" ref="L419" si="97">L54</f>
        <v>1.0307948620481349</v>
      </c>
      <c r="M419" s="56"/>
    </row>
    <row r="420" spans="2:13">
      <c r="B420" s="55"/>
      <c r="C420" s="75">
        <v>415</v>
      </c>
      <c r="D420" s="127">
        <f t="shared" ref="D420:K435" si="98">D55</f>
        <v>21.7</v>
      </c>
      <c r="E420" s="127">
        <f t="shared" si="98"/>
        <v>7.5</v>
      </c>
      <c r="F420" s="127">
        <f t="shared" si="98"/>
        <v>0</v>
      </c>
      <c r="G420" s="127">
        <f t="shared" si="98"/>
        <v>4.2243443772128231</v>
      </c>
      <c r="H420" s="127">
        <f t="shared" si="98"/>
        <v>1.5438254277009555</v>
      </c>
      <c r="I420" s="127">
        <f t="shared" si="98"/>
        <v>0</v>
      </c>
      <c r="J420" s="127">
        <f t="shared" si="98"/>
        <v>0</v>
      </c>
      <c r="K420" s="127">
        <f t="shared" si="98"/>
        <v>0</v>
      </c>
      <c r="L420" s="127">
        <f t="shared" ref="L420" si="99">L55</f>
        <v>1.0325484460238321</v>
      </c>
      <c r="M420" s="56"/>
    </row>
    <row r="421" spans="2:13">
      <c r="B421" s="55"/>
      <c r="C421" s="75">
        <v>416</v>
      </c>
      <c r="D421" s="127">
        <f t="shared" ref="D421:H421" si="100">D56</f>
        <v>20</v>
      </c>
      <c r="E421" s="127">
        <f t="shared" si="100"/>
        <v>6</v>
      </c>
      <c r="F421" s="127">
        <f t="shared" si="100"/>
        <v>24</v>
      </c>
      <c r="G421" s="127">
        <f t="shared" si="98"/>
        <v>4.0799958131706378</v>
      </c>
      <c r="H421" s="127">
        <f t="shared" si="100"/>
        <v>5.268308813292637</v>
      </c>
      <c r="I421" s="127">
        <f t="shared" si="98"/>
        <v>0</v>
      </c>
      <c r="J421" s="127">
        <f t="shared" si="98"/>
        <v>0</v>
      </c>
      <c r="K421" s="127">
        <f t="shared" si="98"/>
        <v>0</v>
      </c>
      <c r="L421" s="127">
        <f t="shared" ref="L421" si="101">L56</f>
        <v>4.7149072951742967</v>
      </c>
      <c r="M421" s="56"/>
    </row>
    <row r="422" spans="2:13">
      <c r="B422" s="55"/>
      <c r="C422" s="75">
        <v>417</v>
      </c>
      <c r="D422" s="127">
        <f t="shared" ref="D422:H422" si="102">D57</f>
        <v>17.399999999999999</v>
      </c>
      <c r="E422" s="127">
        <f t="shared" si="102"/>
        <v>5</v>
      </c>
      <c r="F422" s="127">
        <f t="shared" si="102"/>
        <v>12.1</v>
      </c>
      <c r="G422" s="127">
        <f t="shared" si="98"/>
        <v>3.9184926714917032</v>
      </c>
      <c r="H422" s="127">
        <f t="shared" si="102"/>
        <v>2.4614053137426222</v>
      </c>
      <c r="I422" s="127">
        <f t="shared" si="98"/>
        <v>0</v>
      </c>
      <c r="J422" s="127">
        <f t="shared" si="98"/>
        <v>0</v>
      </c>
      <c r="K422" s="127">
        <f t="shared" si="98"/>
        <v>0</v>
      </c>
      <c r="L422" s="127">
        <f t="shared" ref="L422" si="103">L57</f>
        <v>1.058524051846675</v>
      </c>
      <c r="M422" s="56"/>
    </row>
    <row r="423" spans="2:13">
      <c r="B423" s="55"/>
      <c r="C423" s="75">
        <v>418</v>
      </c>
      <c r="D423" s="127">
        <f t="shared" ref="D423:H423" si="104">D58</f>
        <v>16.399999999999999</v>
      </c>
      <c r="E423" s="127">
        <f t="shared" si="104"/>
        <v>5</v>
      </c>
      <c r="F423" s="127">
        <f t="shared" si="104"/>
        <v>6.8</v>
      </c>
      <c r="G423" s="127">
        <f t="shared" si="98"/>
        <v>3.86943800679532</v>
      </c>
      <c r="H423" s="127">
        <f t="shared" si="104"/>
        <v>1.956252497450039</v>
      </c>
      <c r="I423" s="127">
        <f t="shared" si="98"/>
        <v>0</v>
      </c>
      <c r="J423" s="127">
        <f t="shared" si="98"/>
        <v>0</v>
      </c>
      <c r="K423" s="127">
        <f t="shared" si="98"/>
        <v>16.741517492921258</v>
      </c>
      <c r="L423" s="127">
        <f t="shared" ref="L423" si="105">L58</f>
        <v>1.0640894235756075</v>
      </c>
      <c r="M423" s="56"/>
    </row>
    <row r="424" spans="2:13">
      <c r="B424" s="55"/>
      <c r="C424" s="75">
        <v>419</v>
      </c>
      <c r="D424" s="127">
        <f t="shared" ref="D424:H424" si="106">D59</f>
        <v>20.5</v>
      </c>
      <c r="E424" s="127">
        <f t="shared" si="106"/>
        <v>8</v>
      </c>
      <c r="F424" s="127">
        <f t="shared" si="106"/>
        <v>27.7</v>
      </c>
      <c r="G424" s="127">
        <f t="shared" si="98"/>
        <v>4.1697045698528425</v>
      </c>
      <c r="H424" s="127">
        <f t="shared" si="106"/>
        <v>6.8407540069502977</v>
      </c>
      <c r="I424" s="127">
        <f t="shared" si="98"/>
        <v>0</v>
      </c>
      <c r="J424" s="127">
        <f t="shared" si="98"/>
        <v>0</v>
      </c>
      <c r="K424" s="127">
        <f t="shared" si="98"/>
        <v>265.59205535887259</v>
      </c>
      <c r="L424" s="127">
        <f t="shared" ref="L424" si="107">L59</f>
        <v>6.6289806653156962</v>
      </c>
      <c r="M424" s="56"/>
    </row>
    <row r="425" spans="2:13">
      <c r="B425" s="55"/>
      <c r="C425" s="75">
        <v>420</v>
      </c>
      <c r="D425" s="127">
        <f t="shared" ref="D425:H425" si="108">D60</f>
        <v>21.5</v>
      </c>
      <c r="E425" s="127">
        <f t="shared" si="108"/>
        <v>7.5</v>
      </c>
      <c r="F425" s="127">
        <f t="shared" si="108"/>
        <v>9</v>
      </c>
      <c r="G425" s="127">
        <f t="shared" si="98"/>
        <v>4.1845658022054586</v>
      </c>
      <c r="H425" s="127">
        <f t="shared" si="108"/>
        <v>2.3428761560723417</v>
      </c>
      <c r="I425" s="127">
        <f t="shared" si="98"/>
        <v>0</v>
      </c>
      <c r="J425" s="127">
        <f t="shared" si="98"/>
        <v>0</v>
      </c>
      <c r="K425" s="127">
        <f t="shared" si="98"/>
        <v>0</v>
      </c>
      <c r="L425" s="127">
        <f t="shared" ref="L425" si="109">L60</f>
        <v>1.0863569810901652</v>
      </c>
      <c r="M425" s="56"/>
    </row>
    <row r="426" spans="2:13">
      <c r="B426" s="55"/>
      <c r="C426" s="75">
        <v>421</v>
      </c>
      <c r="D426" s="127">
        <f t="shared" ref="D426:H426" si="110">D61</f>
        <v>19.8</v>
      </c>
      <c r="E426" s="127">
        <f t="shared" si="110"/>
        <v>8.5</v>
      </c>
      <c r="F426" s="127">
        <f t="shared" si="110"/>
        <v>0.5</v>
      </c>
      <c r="G426" s="127">
        <f t="shared" si="98"/>
        <v>4.1474469226212953</v>
      </c>
      <c r="H426" s="127">
        <f t="shared" si="110"/>
        <v>2.0279643365142075</v>
      </c>
      <c r="I426" s="127">
        <f t="shared" si="98"/>
        <v>0</v>
      </c>
      <c r="J426" s="127">
        <f t="shared" si="98"/>
        <v>0</v>
      </c>
      <c r="K426" s="127">
        <f t="shared" si="98"/>
        <v>0.31269447813933815</v>
      </c>
      <c r="L426" s="127">
        <f t="shared" ref="L426" si="111">L61</f>
        <v>1.0910027378169305</v>
      </c>
      <c r="M426" s="56"/>
    </row>
    <row r="427" spans="2:13">
      <c r="B427" s="55"/>
      <c r="C427" s="75">
        <v>422</v>
      </c>
      <c r="D427" s="127">
        <f t="shared" ref="D427:H427" si="112">D62</f>
        <v>21.2</v>
      </c>
      <c r="E427" s="127">
        <f t="shared" si="112"/>
        <v>9.5</v>
      </c>
      <c r="F427" s="127">
        <f t="shared" si="112"/>
        <v>0</v>
      </c>
      <c r="G427" s="127">
        <f t="shared" si="98"/>
        <v>4.2434752150694761</v>
      </c>
      <c r="H427" s="127">
        <f t="shared" si="112"/>
        <v>1.9122849593360747</v>
      </c>
      <c r="I427" s="127">
        <f t="shared" si="98"/>
        <v>0</v>
      </c>
      <c r="J427" s="127">
        <f t="shared" si="98"/>
        <v>0</v>
      </c>
      <c r="K427" s="127">
        <f t="shared" si="98"/>
        <v>0</v>
      </c>
      <c r="L427" s="127">
        <f t="shared" ref="L427" si="113">L62</f>
        <v>1.0945781523867031</v>
      </c>
      <c r="M427" s="56"/>
    </row>
    <row r="428" spans="2:13">
      <c r="B428" s="55"/>
      <c r="C428" s="75">
        <v>423</v>
      </c>
      <c r="D428" s="127">
        <f t="shared" ref="D428:H428" si="114">D63</f>
        <v>17</v>
      </c>
      <c r="E428" s="127">
        <f t="shared" si="114"/>
        <v>8.8000000000000007</v>
      </c>
      <c r="F428" s="127">
        <f t="shared" si="114"/>
        <v>1.1000000000000001</v>
      </c>
      <c r="G428" s="127">
        <f t="shared" si="98"/>
        <v>4.0255661683871482</v>
      </c>
      <c r="H428" s="127">
        <f t="shared" si="114"/>
        <v>1.8414231349023102</v>
      </c>
      <c r="I428" s="127">
        <f t="shared" si="98"/>
        <v>0</v>
      </c>
      <c r="J428" s="127">
        <f t="shared" si="98"/>
        <v>0</v>
      </c>
      <c r="K428" s="127">
        <f t="shared" si="98"/>
        <v>0</v>
      </c>
      <c r="L428" s="127">
        <f t="shared" ref="L428" si="115">L63</f>
        <v>1.0974786707384765</v>
      </c>
      <c r="M428" s="56"/>
    </row>
    <row r="429" spans="2:13">
      <c r="B429" s="55"/>
      <c r="C429" s="75">
        <v>424</v>
      </c>
      <c r="D429" s="127">
        <f t="shared" ref="D429:H429" si="116">D64</f>
        <v>20.5</v>
      </c>
      <c r="E429" s="127">
        <f t="shared" si="116"/>
        <v>8.4</v>
      </c>
      <c r="F429" s="127">
        <f t="shared" si="116"/>
        <v>0.4</v>
      </c>
      <c r="G429" s="127">
        <f t="shared" si="98"/>
        <v>4.1507568890001725</v>
      </c>
      <c r="H429" s="127">
        <f t="shared" si="116"/>
        <v>1.7468009173253582</v>
      </c>
      <c r="I429" s="127">
        <f t="shared" si="98"/>
        <v>0</v>
      </c>
      <c r="J429" s="127">
        <f t="shared" si="98"/>
        <v>0</v>
      </c>
      <c r="K429" s="127">
        <f t="shared" si="98"/>
        <v>0</v>
      </c>
      <c r="L429" s="127">
        <f t="shared" ref="L429" si="117">L64</f>
        <v>1.0995152269471415</v>
      </c>
      <c r="M429" s="56"/>
    </row>
    <row r="430" spans="2:13">
      <c r="B430" s="55"/>
      <c r="C430" s="75">
        <v>425</v>
      </c>
      <c r="D430" s="127">
        <f t="shared" ref="D430:H430" si="118">D65</f>
        <v>20.6</v>
      </c>
      <c r="E430" s="127">
        <f t="shared" si="118"/>
        <v>8.4</v>
      </c>
      <c r="F430" s="127">
        <f t="shared" si="118"/>
        <v>0</v>
      </c>
      <c r="G430" s="127">
        <f t="shared" si="98"/>
        <v>4.1469928071408235</v>
      </c>
      <c r="H430" s="127">
        <f t="shared" si="118"/>
        <v>1.6416058517647789</v>
      </c>
      <c r="I430" s="127">
        <f t="shared" si="98"/>
        <v>0</v>
      </c>
      <c r="J430" s="127">
        <f t="shared" si="98"/>
        <v>0</v>
      </c>
      <c r="K430" s="127">
        <f t="shared" si="98"/>
        <v>0</v>
      </c>
      <c r="L430" s="127">
        <f t="shared" ref="L430" si="119">L65</f>
        <v>1.1006131964738437</v>
      </c>
      <c r="M430" s="56"/>
    </row>
    <row r="431" spans="2:13">
      <c r="B431" s="55"/>
      <c r="C431" s="75">
        <v>426</v>
      </c>
      <c r="D431" s="127">
        <f t="shared" ref="D431:H431" si="120">D66</f>
        <v>22</v>
      </c>
      <c r="E431" s="127">
        <f t="shared" si="120"/>
        <v>6.2</v>
      </c>
      <c r="F431" s="127">
        <f t="shared" si="120"/>
        <v>3.4</v>
      </c>
      <c r="G431" s="127">
        <f t="shared" si="98"/>
        <v>4.1045063034168434</v>
      </c>
      <c r="H431" s="127">
        <f t="shared" si="120"/>
        <v>1.6562901632511569</v>
      </c>
      <c r="I431" s="127">
        <f t="shared" si="98"/>
        <v>0</v>
      </c>
      <c r="J431" s="127">
        <f t="shared" si="98"/>
        <v>0</v>
      </c>
      <c r="K431" s="127">
        <f t="shared" si="98"/>
        <v>0</v>
      </c>
      <c r="L431" s="127">
        <f t="shared" ref="L431" si="121">L66</f>
        <v>1.1017960334111263</v>
      </c>
      <c r="M431" s="56"/>
    </row>
    <row r="432" spans="2:13">
      <c r="B432" s="55"/>
      <c r="C432" s="75">
        <v>427</v>
      </c>
      <c r="D432" s="127">
        <f t="shared" ref="D432:H432" si="122">D67</f>
        <v>21.2</v>
      </c>
      <c r="E432" s="127">
        <f t="shared" si="122"/>
        <v>7</v>
      </c>
      <c r="F432" s="127">
        <f t="shared" si="122"/>
        <v>0</v>
      </c>
      <c r="G432" s="127">
        <f t="shared" si="98"/>
        <v>4.0959702655406396</v>
      </c>
      <c r="H432" s="127">
        <f t="shared" si="122"/>
        <v>1.554571674700465</v>
      </c>
      <c r="I432" s="127">
        <f t="shared" si="98"/>
        <v>0</v>
      </c>
      <c r="J432" s="127">
        <f t="shared" si="98"/>
        <v>0</v>
      </c>
      <c r="K432" s="127">
        <f t="shared" si="98"/>
        <v>0</v>
      </c>
      <c r="L432" s="127">
        <f t="shared" ref="L432" si="123">L67</f>
        <v>1.1020847122339488</v>
      </c>
      <c r="M432" s="56"/>
    </row>
    <row r="433" spans="2:13">
      <c r="B433" s="55"/>
      <c r="C433" s="75">
        <v>428</v>
      </c>
      <c r="D433" s="127">
        <f t="shared" ref="D433:H433" si="124">D68</f>
        <v>19.8</v>
      </c>
      <c r="E433" s="127">
        <f t="shared" si="124"/>
        <v>10</v>
      </c>
      <c r="F433" s="127">
        <f t="shared" si="124"/>
        <v>2.6</v>
      </c>
      <c r="G433" s="127">
        <f t="shared" si="98"/>
        <v>4.1552648537102446</v>
      </c>
      <c r="H433" s="127">
        <f t="shared" si="124"/>
        <v>1.5436649264345652</v>
      </c>
      <c r="I433" s="127">
        <f t="shared" si="98"/>
        <v>0</v>
      </c>
      <c r="J433" s="127">
        <f t="shared" si="98"/>
        <v>0</v>
      </c>
      <c r="K433" s="127">
        <f t="shared" si="98"/>
        <v>285.48171270647629</v>
      </c>
      <c r="L433" s="127">
        <f t="shared" ref="L433" si="125">L68</f>
        <v>1.102257011718865</v>
      </c>
      <c r="M433" s="56"/>
    </row>
    <row r="434" spans="2:13">
      <c r="B434" s="55"/>
      <c r="C434" s="75">
        <v>429</v>
      </c>
      <c r="D434" s="127">
        <f t="shared" ref="D434:H434" si="126">D69</f>
        <v>19.5</v>
      </c>
      <c r="E434" s="127">
        <f t="shared" si="126"/>
        <v>8.5</v>
      </c>
      <c r="F434" s="127">
        <f t="shared" si="126"/>
        <v>0</v>
      </c>
      <c r="G434" s="127">
        <f t="shared" si="98"/>
        <v>4.0695840709926925</v>
      </c>
      <c r="H434" s="127">
        <f t="shared" si="126"/>
        <v>1.4457732217530124</v>
      </c>
      <c r="I434" s="127">
        <f t="shared" si="98"/>
        <v>0</v>
      </c>
      <c r="J434" s="127">
        <f t="shared" si="98"/>
        <v>0</v>
      </c>
      <c r="K434" s="127">
        <f t="shared" si="98"/>
        <v>0</v>
      </c>
      <c r="L434" s="127">
        <f t="shared" ref="L434" si="127">L69</f>
        <v>1.1015847950662878</v>
      </c>
      <c r="M434" s="56"/>
    </row>
    <row r="435" spans="2:13">
      <c r="B435" s="55"/>
      <c r="C435" s="75">
        <v>430</v>
      </c>
      <c r="D435" s="127">
        <f t="shared" ref="D435:H435" si="128">D70</f>
        <v>21.2</v>
      </c>
      <c r="E435" s="127">
        <f t="shared" si="128"/>
        <v>5</v>
      </c>
      <c r="F435" s="127">
        <f t="shared" si="128"/>
        <v>5.8</v>
      </c>
      <c r="G435" s="127">
        <f t="shared" si="98"/>
        <v>3.9840202268561473</v>
      </c>
      <c r="H435" s="127">
        <f t="shared" si="128"/>
        <v>1.5679672147681845</v>
      </c>
      <c r="I435" s="127">
        <f t="shared" si="98"/>
        <v>0</v>
      </c>
      <c r="J435" s="127">
        <f t="shared" si="98"/>
        <v>0</v>
      </c>
      <c r="K435" s="127">
        <f t="shared" si="98"/>
        <v>0</v>
      </c>
      <c r="L435" s="127">
        <f t="shared" ref="L435" si="129">L70</f>
        <v>1.1024636358102891</v>
      </c>
      <c r="M435" s="56"/>
    </row>
    <row r="436" spans="2:13">
      <c r="B436" s="55"/>
      <c r="C436" s="75">
        <v>431</v>
      </c>
      <c r="D436" s="127">
        <f t="shared" ref="D436:K451" si="130">D71</f>
        <v>17.7</v>
      </c>
      <c r="E436" s="127">
        <f t="shared" si="130"/>
        <v>7.5</v>
      </c>
      <c r="F436" s="127">
        <f t="shared" si="130"/>
        <v>0</v>
      </c>
      <c r="G436" s="127">
        <f t="shared" si="130"/>
        <v>3.9323290304187295</v>
      </c>
      <c r="H436" s="127">
        <f t="shared" si="130"/>
        <v>1.4531277378914504</v>
      </c>
      <c r="I436" s="127">
        <f t="shared" si="130"/>
        <v>0</v>
      </c>
      <c r="J436" s="127">
        <f t="shared" si="130"/>
        <v>0</v>
      </c>
      <c r="K436" s="127">
        <f t="shared" si="130"/>
        <v>0</v>
      </c>
      <c r="L436" s="127">
        <f t="shared" ref="L436" si="131">L71</f>
        <v>1.1017978614062895</v>
      </c>
      <c r="M436" s="56"/>
    </row>
    <row r="437" spans="2:13">
      <c r="B437" s="55"/>
      <c r="C437" s="75">
        <v>432</v>
      </c>
      <c r="D437" s="127">
        <f t="shared" ref="D437:H437" si="132">D72</f>
        <v>21.5</v>
      </c>
      <c r="E437" s="127">
        <f t="shared" si="132"/>
        <v>7.2</v>
      </c>
      <c r="F437" s="127">
        <f t="shared" si="132"/>
        <v>33.9</v>
      </c>
      <c r="G437" s="127">
        <f t="shared" si="130"/>
        <v>4.0702611004925551</v>
      </c>
      <c r="H437" s="127">
        <f t="shared" si="132"/>
        <v>9.3468132740992171</v>
      </c>
      <c r="I437" s="127">
        <f t="shared" si="130"/>
        <v>0</v>
      </c>
      <c r="J437" s="127">
        <f t="shared" si="130"/>
        <v>0</v>
      </c>
      <c r="K437" s="127">
        <f t="shared" si="130"/>
        <v>0</v>
      </c>
      <c r="L437" s="127">
        <f t="shared" ref="L437" si="133">L72</f>
        <v>9.7231703399355904</v>
      </c>
      <c r="M437" s="56"/>
    </row>
    <row r="438" spans="2:13">
      <c r="B438" s="55"/>
      <c r="C438" s="75">
        <v>433</v>
      </c>
      <c r="D438" s="127">
        <f t="shared" ref="D438:H438" si="134">D73</f>
        <v>18.7</v>
      </c>
      <c r="E438" s="127">
        <f t="shared" si="134"/>
        <v>7.5</v>
      </c>
      <c r="F438" s="127">
        <f t="shared" si="134"/>
        <v>2</v>
      </c>
      <c r="G438" s="127">
        <f t="shared" si="130"/>
        <v>3.9548069945423174</v>
      </c>
      <c r="H438" s="127">
        <f t="shared" si="134"/>
        <v>2.056557924933486</v>
      </c>
      <c r="I438" s="127">
        <f t="shared" si="130"/>
        <v>0</v>
      </c>
      <c r="J438" s="127">
        <f t="shared" si="130"/>
        <v>0</v>
      </c>
      <c r="K438" s="127">
        <f t="shared" si="130"/>
        <v>0</v>
      </c>
      <c r="L438" s="127">
        <f t="shared" ref="L438" si="135">L73</f>
        <v>1.1184740636137809</v>
      </c>
      <c r="M438" s="56"/>
    </row>
    <row r="439" spans="2:13">
      <c r="B439" s="55"/>
      <c r="C439" s="75">
        <v>434</v>
      </c>
      <c r="D439" s="127">
        <f t="shared" ref="D439:H439" si="136">D74</f>
        <v>21.8</v>
      </c>
      <c r="E439" s="127">
        <f t="shared" si="136"/>
        <v>7.6</v>
      </c>
      <c r="F439" s="127">
        <f t="shared" si="136"/>
        <v>13.1</v>
      </c>
      <c r="G439" s="127">
        <f t="shared" si="130"/>
        <v>4.0789345359185596</v>
      </c>
      <c r="H439" s="127">
        <f t="shared" si="136"/>
        <v>2.9018501764971205</v>
      </c>
      <c r="I439" s="127">
        <f t="shared" si="130"/>
        <v>0</v>
      </c>
      <c r="J439" s="127">
        <f t="shared" si="130"/>
        <v>0</v>
      </c>
      <c r="K439" s="127">
        <f t="shared" si="130"/>
        <v>0</v>
      </c>
      <c r="L439" s="127">
        <f t="shared" ref="L439" si="137">L74</f>
        <v>1.5032030778697645</v>
      </c>
      <c r="M439" s="56"/>
    </row>
    <row r="440" spans="2:13">
      <c r="B440" s="55"/>
      <c r="C440" s="75">
        <v>435</v>
      </c>
      <c r="D440" s="127">
        <f t="shared" ref="D440:H440" si="138">D75</f>
        <v>20.2</v>
      </c>
      <c r="E440" s="127">
        <f t="shared" si="138"/>
        <v>6.8</v>
      </c>
      <c r="F440" s="127">
        <f t="shared" si="138"/>
        <v>5.4</v>
      </c>
      <c r="G440" s="127">
        <f t="shared" si="130"/>
        <v>3.9674591250458451</v>
      </c>
      <c r="H440" s="127">
        <f t="shared" si="138"/>
        <v>2.1734552594877981</v>
      </c>
      <c r="I440" s="127">
        <f t="shared" si="130"/>
        <v>0</v>
      </c>
      <c r="J440" s="127">
        <f t="shared" si="130"/>
        <v>0</v>
      </c>
      <c r="K440" s="127">
        <f t="shared" si="130"/>
        <v>214.33512376174872</v>
      </c>
      <c r="L440" s="127">
        <f t="shared" ref="L440" si="139">L75</f>
        <v>1.1360225468554859</v>
      </c>
      <c r="M440" s="56"/>
    </row>
    <row r="441" spans="2:13">
      <c r="B441" s="55"/>
      <c r="C441" s="75">
        <v>436</v>
      </c>
      <c r="D441" s="127">
        <f t="shared" ref="D441:H441" si="140">D76</f>
        <v>20</v>
      </c>
      <c r="E441" s="127">
        <f t="shared" si="140"/>
        <v>8</v>
      </c>
      <c r="F441" s="127">
        <f t="shared" si="140"/>
        <v>20.100000000000001</v>
      </c>
      <c r="G441" s="127">
        <f t="shared" si="130"/>
        <v>3.998343730856508</v>
      </c>
      <c r="H441" s="127">
        <f t="shared" si="140"/>
        <v>4.6054455786262913</v>
      </c>
      <c r="I441" s="127">
        <f t="shared" si="130"/>
        <v>0</v>
      </c>
      <c r="J441" s="127">
        <f t="shared" si="130"/>
        <v>0</v>
      </c>
      <c r="K441" s="127">
        <f t="shared" si="130"/>
        <v>4.0469119425200182</v>
      </c>
      <c r="L441" s="127">
        <f t="shared" ref="L441" si="141">L76</f>
        <v>3.7541337253690221</v>
      </c>
      <c r="M441" s="56"/>
    </row>
    <row r="442" spans="2:13">
      <c r="B442" s="55"/>
      <c r="C442" s="75">
        <v>437</v>
      </c>
      <c r="D442" s="127">
        <f t="shared" ref="D442:H442" si="142">D77</f>
        <v>20.6</v>
      </c>
      <c r="E442" s="127">
        <f t="shared" si="142"/>
        <v>7.5</v>
      </c>
      <c r="F442" s="127">
        <f t="shared" si="142"/>
        <v>8.5</v>
      </c>
      <c r="G442" s="127">
        <f t="shared" si="130"/>
        <v>3.9912292131257829</v>
      </c>
      <c r="H442" s="127">
        <f t="shared" si="142"/>
        <v>2.5096134060582695</v>
      </c>
      <c r="I442" s="127">
        <f t="shared" si="130"/>
        <v>0</v>
      </c>
      <c r="J442" s="127">
        <f t="shared" si="130"/>
        <v>0</v>
      </c>
      <c r="K442" s="127">
        <f t="shared" si="130"/>
        <v>0</v>
      </c>
      <c r="L442" s="127">
        <f t="shared" ref="L442" si="143">L77</f>
        <v>1.1569525420194617</v>
      </c>
      <c r="M442" s="56"/>
    </row>
    <row r="443" spans="2:13">
      <c r="B443" s="55"/>
      <c r="C443" s="75">
        <v>438</v>
      </c>
      <c r="D443" s="127">
        <f t="shared" ref="D443:H443" si="144">D78</f>
        <v>16.600000000000001</v>
      </c>
      <c r="E443" s="127">
        <f t="shared" si="144"/>
        <v>8</v>
      </c>
      <c r="F443" s="127">
        <f t="shared" si="144"/>
        <v>3.4</v>
      </c>
      <c r="G443" s="127">
        <f t="shared" si="130"/>
        <v>3.8342218584254351</v>
      </c>
      <c r="H443" s="127">
        <f t="shared" si="144"/>
        <v>2.3328614266619714</v>
      </c>
      <c r="I443" s="127">
        <f t="shared" si="130"/>
        <v>0</v>
      </c>
      <c r="J443" s="127">
        <f t="shared" si="130"/>
        <v>0</v>
      </c>
      <c r="K443" s="127">
        <f t="shared" si="130"/>
        <v>0</v>
      </c>
      <c r="L443" s="127">
        <f t="shared" ref="L443" si="145">L78</f>
        <v>1.1627816753791345</v>
      </c>
      <c r="M443" s="56"/>
    </row>
    <row r="444" spans="2:13">
      <c r="B444" s="55"/>
      <c r="C444" s="75">
        <v>439</v>
      </c>
      <c r="D444" s="127">
        <f t="shared" ref="D444:H444" si="146">D79</f>
        <v>16.399999999999999</v>
      </c>
      <c r="E444" s="127">
        <f t="shared" si="146"/>
        <v>9</v>
      </c>
      <c r="F444" s="127">
        <f t="shared" si="146"/>
        <v>5.6</v>
      </c>
      <c r="G444" s="127">
        <f t="shared" si="130"/>
        <v>3.8558802161581553</v>
      </c>
      <c r="H444" s="127">
        <f t="shared" si="146"/>
        <v>2.3593596997005997</v>
      </c>
      <c r="I444" s="127">
        <f t="shared" si="130"/>
        <v>0</v>
      </c>
      <c r="J444" s="127">
        <f t="shared" si="130"/>
        <v>0</v>
      </c>
      <c r="K444" s="127">
        <f t="shared" si="130"/>
        <v>0</v>
      </c>
      <c r="L444" s="127">
        <f t="shared" ref="L444" si="147">L79</f>
        <v>1.1692256048646983</v>
      </c>
      <c r="M444" s="56"/>
    </row>
    <row r="445" spans="2:13">
      <c r="B445" s="55"/>
      <c r="C445" s="75">
        <v>440</v>
      </c>
      <c r="D445" s="127">
        <f t="shared" ref="D445:H445" si="148">D80</f>
        <v>17.600000000000001</v>
      </c>
      <c r="E445" s="127">
        <f t="shared" si="148"/>
        <v>9</v>
      </c>
      <c r="F445" s="127">
        <f t="shared" si="148"/>
        <v>18.3</v>
      </c>
      <c r="G445" s="127">
        <f t="shared" si="130"/>
        <v>3.8936438990683766</v>
      </c>
      <c r="H445" s="127">
        <f t="shared" si="148"/>
        <v>4.3023523663830732</v>
      </c>
      <c r="I445" s="127">
        <f t="shared" si="130"/>
        <v>0</v>
      </c>
      <c r="J445" s="127">
        <f t="shared" si="130"/>
        <v>0</v>
      </c>
      <c r="K445" s="127">
        <f t="shared" si="130"/>
        <v>0</v>
      </c>
      <c r="L445" s="127">
        <f t="shared" ref="L445" si="149">L80</f>
        <v>3.325499759288157</v>
      </c>
      <c r="M445" s="56"/>
    </row>
    <row r="446" spans="2:13">
      <c r="B446" s="55"/>
      <c r="C446" s="75">
        <v>441</v>
      </c>
      <c r="D446" s="127">
        <f t="shared" ref="D446:H446" si="150">D81</f>
        <v>17.600000000000001</v>
      </c>
      <c r="E446" s="127">
        <f t="shared" si="150"/>
        <v>9.3000000000000007</v>
      </c>
      <c r="F446" s="127">
        <f t="shared" si="150"/>
        <v>0.2</v>
      </c>
      <c r="G446" s="127">
        <f t="shared" si="130"/>
        <v>3.8937926583255318</v>
      </c>
      <c r="H446" s="127">
        <f t="shared" si="150"/>
        <v>2.3562536234519964</v>
      </c>
      <c r="I446" s="127">
        <f t="shared" si="130"/>
        <v>0</v>
      </c>
      <c r="J446" s="127">
        <f t="shared" si="130"/>
        <v>0</v>
      </c>
      <c r="K446" s="127">
        <f t="shared" si="130"/>
        <v>0</v>
      </c>
      <c r="L446" s="127">
        <f t="shared" ref="L446" si="151">L81</f>
        <v>1.1861626902123361</v>
      </c>
      <c r="M446" s="56"/>
    </row>
    <row r="447" spans="2:13">
      <c r="B447" s="55"/>
      <c r="C447" s="75">
        <v>442</v>
      </c>
      <c r="D447" s="127">
        <f t="shared" ref="D447:H447" si="152">D82</f>
        <v>20.2</v>
      </c>
      <c r="E447" s="127">
        <f t="shared" si="152"/>
        <v>9.6999999999999993</v>
      </c>
      <c r="F447" s="127">
        <f t="shared" si="152"/>
        <v>2.2000000000000002</v>
      </c>
      <c r="G447" s="127">
        <f t="shared" si="130"/>
        <v>4.0048457535301605</v>
      </c>
      <c r="H447" s="127">
        <f t="shared" si="152"/>
        <v>2.3163146530564633</v>
      </c>
      <c r="I447" s="127">
        <f t="shared" si="130"/>
        <v>0</v>
      </c>
      <c r="J447" s="127">
        <f t="shared" si="130"/>
        <v>0</v>
      </c>
      <c r="K447" s="127">
        <f t="shared" si="130"/>
        <v>9.8238347283588343</v>
      </c>
      <c r="L447" s="127">
        <f t="shared" ref="L447" si="153">L82</f>
        <v>1.1912898391097353</v>
      </c>
      <c r="M447" s="56"/>
    </row>
    <row r="448" spans="2:13">
      <c r="B448" s="55"/>
      <c r="C448" s="75">
        <v>443</v>
      </c>
      <c r="D448" s="127">
        <f t="shared" ref="D448:H448" si="154">D83</f>
        <v>21.3</v>
      </c>
      <c r="E448" s="127">
        <f t="shared" si="154"/>
        <v>9.8000000000000007</v>
      </c>
      <c r="F448" s="127">
        <f t="shared" si="154"/>
        <v>0.2</v>
      </c>
      <c r="G448" s="127">
        <f t="shared" si="130"/>
        <v>4.0411547898899194</v>
      </c>
      <c r="H448" s="127">
        <f t="shared" si="154"/>
        <v>2.2086844197465547</v>
      </c>
      <c r="I448" s="127">
        <f t="shared" si="130"/>
        <v>0</v>
      </c>
      <c r="J448" s="127">
        <f t="shared" si="130"/>
        <v>0</v>
      </c>
      <c r="K448" s="127">
        <f t="shared" si="130"/>
        <v>400.56127797327457</v>
      </c>
      <c r="L448" s="127">
        <f t="shared" ref="L448" si="155">L83</f>
        <v>1.1954129007626957</v>
      </c>
      <c r="M448" s="56"/>
    </row>
    <row r="449" spans="2:13">
      <c r="B449" s="55"/>
      <c r="C449" s="75">
        <v>444</v>
      </c>
      <c r="D449" s="127">
        <f t="shared" ref="D449:H449" si="156">D84</f>
        <v>20.6</v>
      </c>
      <c r="E449" s="127">
        <f t="shared" si="156"/>
        <v>8.8000000000000007</v>
      </c>
      <c r="F449" s="127">
        <f t="shared" si="156"/>
        <v>3.6</v>
      </c>
      <c r="G449" s="127">
        <f t="shared" si="130"/>
        <v>3.9578091074791084</v>
      </c>
      <c r="H449" s="127">
        <f t="shared" si="156"/>
        <v>2.2216181054241204</v>
      </c>
      <c r="I449" s="127">
        <f t="shared" si="130"/>
        <v>0</v>
      </c>
      <c r="J449" s="127">
        <f t="shared" si="130"/>
        <v>0</v>
      </c>
      <c r="K449" s="127">
        <f t="shared" si="130"/>
        <v>343.55264240530244</v>
      </c>
      <c r="L449" s="127">
        <f t="shared" ref="L449" si="157">L84</f>
        <v>1.1995682751960035</v>
      </c>
      <c r="M449" s="56"/>
    </row>
    <row r="450" spans="2:13">
      <c r="B450" s="55"/>
      <c r="C450" s="75">
        <v>445</v>
      </c>
      <c r="D450" s="127">
        <f t="shared" ref="D450:H450" si="158">D85</f>
        <v>17.5</v>
      </c>
      <c r="E450" s="127">
        <f t="shared" si="158"/>
        <v>8.6999999999999993</v>
      </c>
      <c r="F450" s="127">
        <f t="shared" si="158"/>
        <v>0</v>
      </c>
      <c r="G450" s="127">
        <f t="shared" si="130"/>
        <v>3.8136252460090012</v>
      </c>
      <c r="H450" s="127">
        <f t="shared" si="158"/>
        <v>2.1135830543938239</v>
      </c>
      <c r="I450" s="127">
        <f t="shared" si="130"/>
        <v>0</v>
      </c>
      <c r="J450" s="127">
        <f t="shared" si="130"/>
        <v>0</v>
      </c>
      <c r="K450" s="127">
        <f t="shared" si="130"/>
        <v>0</v>
      </c>
      <c r="L450" s="127">
        <f t="shared" ref="L450" si="159">L85</f>
        <v>1.2027280058639476</v>
      </c>
      <c r="M450" s="56"/>
    </row>
    <row r="451" spans="2:13">
      <c r="B451" s="55"/>
      <c r="C451" s="75">
        <v>446</v>
      </c>
      <c r="D451" s="127">
        <f t="shared" ref="D451:H451" si="160">D86</f>
        <v>21.8</v>
      </c>
      <c r="E451" s="127">
        <f t="shared" si="160"/>
        <v>4.8</v>
      </c>
      <c r="F451" s="127">
        <f t="shared" si="160"/>
        <v>1.7</v>
      </c>
      <c r="G451" s="127">
        <f t="shared" si="130"/>
        <v>3.8164060250902287</v>
      </c>
      <c r="H451" s="127">
        <f t="shared" si="160"/>
        <v>2.0667826046999278</v>
      </c>
      <c r="I451" s="127">
        <f t="shared" si="130"/>
        <v>0</v>
      </c>
      <c r="J451" s="127">
        <f t="shared" si="130"/>
        <v>0</v>
      </c>
      <c r="K451" s="127">
        <f t="shared" si="130"/>
        <v>0</v>
      </c>
      <c r="L451" s="127">
        <f t="shared" ref="L451" si="161">L86</f>
        <v>1.2054292199177374</v>
      </c>
      <c r="M451" s="56"/>
    </row>
    <row r="452" spans="2:13">
      <c r="B452" s="55"/>
      <c r="C452" s="75">
        <v>447</v>
      </c>
      <c r="D452" s="127">
        <f t="shared" ref="D452:K467" si="162">D87</f>
        <v>17.8</v>
      </c>
      <c r="E452" s="127">
        <f t="shared" si="162"/>
        <v>5.7</v>
      </c>
      <c r="F452" s="127">
        <f t="shared" si="162"/>
        <v>2.2999999999999998</v>
      </c>
      <c r="G452" s="127">
        <f t="shared" si="162"/>
        <v>3.6772870521697634</v>
      </c>
      <c r="H452" s="127">
        <f t="shared" si="162"/>
        <v>2.0440356159383235</v>
      </c>
      <c r="I452" s="127">
        <f t="shared" si="162"/>
        <v>0</v>
      </c>
      <c r="J452" s="127">
        <f t="shared" si="162"/>
        <v>0</v>
      </c>
      <c r="K452" s="127">
        <f t="shared" si="162"/>
        <v>5.4432146480880519</v>
      </c>
      <c r="L452" s="127">
        <f t="shared" ref="L452" si="163">L87</f>
        <v>1.2078827697618437</v>
      </c>
      <c r="M452" s="56"/>
    </row>
    <row r="453" spans="2:13">
      <c r="B453" s="55"/>
      <c r="C453" s="75">
        <v>448</v>
      </c>
      <c r="D453" s="127">
        <f t="shared" ref="D453:H453" si="164">D88</f>
        <v>22.5</v>
      </c>
      <c r="E453" s="127">
        <f t="shared" si="164"/>
        <v>3.7</v>
      </c>
      <c r="F453" s="127">
        <f t="shared" si="164"/>
        <v>0</v>
      </c>
      <c r="G453" s="127">
        <f t="shared" si="162"/>
        <v>3.7724882908933872</v>
      </c>
      <c r="H453" s="127">
        <f t="shared" si="164"/>
        <v>1.9418248897828101</v>
      </c>
      <c r="I453" s="127">
        <f t="shared" si="162"/>
        <v>0</v>
      </c>
      <c r="J453" s="127">
        <f t="shared" si="162"/>
        <v>0</v>
      </c>
      <c r="K453" s="127">
        <f t="shared" si="162"/>
        <v>0</v>
      </c>
      <c r="L453" s="127">
        <f t="shared" ref="L453" si="165">L88</f>
        <v>1.2094246870896819</v>
      </c>
      <c r="M453" s="56"/>
    </row>
    <row r="454" spans="2:13">
      <c r="B454" s="55"/>
      <c r="C454" s="75">
        <v>449</v>
      </c>
      <c r="D454" s="127">
        <f t="shared" ref="D454:H454" si="166">D89</f>
        <v>22.5</v>
      </c>
      <c r="E454" s="127">
        <f t="shared" si="166"/>
        <v>7.8</v>
      </c>
      <c r="F454" s="127">
        <f t="shared" si="166"/>
        <v>0</v>
      </c>
      <c r="G454" s="127">
        <f t="shared" si="162"/>
        <v>3.9236443746274121</v>
      </c>
      <c r="H454" s="127">
        <f t="shared" si="166"/>
        <v>1.8402693663725844</v>
      </c>
      <c r="I454" s="127">
        <f t="shared" si="162"/>
        <v>0</v>
      </c>
      <c r="J454" s="127">
        <f t="shared" si="162"/>
        <v>0</v>
      </c>
      <c r="K454" s="127">
        <f t="shared" si="162"/>
        <v>0</v>
      </c>
      <c r="L454" s="127">
        <f t="shared" ref="L454" si="167">L89</f>
        <v>1.2100743922214423</v>
      </c>
      <c r="M454" s="56"/>
    </row>
    <row r="455" spans="2:13">
      <c r="B455" s="55"/>
      <c r="C455" s="75">
        <v>450</v>
      </c>
      <c r="D455" s="127">
        <f t="shared" ref="D455:H455" si="168">D90</f>
        <v>21.7</v>
      </c>
      <c r="E455" s="127">
        <f t="shared" si="168"/>
        <v>6.4</v>
      </c>
      <c r="F455" s="127">
        <f t="shared" si="168"/>
        <v>0</v>
      </c>
      <c r="G455" s="127">
        <f t="shared" si="162"/>
        <v>3.8201061255062783</v>
      </c>
      <c r="H455" s="127">
        <f t="shared" si="168"/>
        <v>1.7436099901210342</v>
      </c>
      <c r="I455" s="127">
        <f t="shared" si="162"/>
        <v>0</v>
      </c>
      <c r="J455" s="127">
        <f t="shared" si="162"/>
        <v>0</v>
      </c>
      <c r="K455" s="127">
        <f t="shared" si="162"/>
        <v>0</v>
      </c>
      <c r="L455" s="127">
        <f t="shared" ref="L455" si="169">L90</f>
        <v>1.2098880399378018</v>
      </c>
      <c r="M455" s="56"/>
    </row>
    <row r="456" spans="2:13">
      <c r="B456" s="55"/>
      <c r="C456" s="75">
        <v>451</v>
      </c>
      <c r="D456" s="127">
        <f t="shared" ref="D456:H456" si="170">D91</f>
        <v>21.9</v>
      </c>
      <c r="E456" s="127">
        <f t="shared" si="170"/>
        <v>7.4</v>
      </c>
      <c r="F456" s="127">
        <f t="shared" si="170"/>
        <v>0</v>
      </c>
      <c r="G456" s="127">
        <f t="shared" si="162"/>
        <v>3.8532942912669204</v>
      </c>
      <c r="H456" s="127">
        <f t="shared" si="170"/>
        <v>1.649395639465888</v>
      </c>
      <c r="I456" s="127">
        <f t="shared" si="162"/>
        <v>0</v>
      </c>
      <c r="J456" s="127">
        <f t="shared" si="162"/>
        <v>0</v>
      </c>
      <c r="K456" s="127">
        <f t="shared" si="162"/>
        <v>0</v>
      </c>
      <c r="L456" s="127">
        <f t="shared" ref="L456" si="171">L91</f>
        <v>1.208899531122607</v>
      </c>
      <c r="M456" s="56"/>
    </row>
    <row r="457" spans="2:13">
      <c r="B457" s="55"/>
      <c r="C457" s="75">
        <v>452</v>
      </c>
      <c r="D457" s="127">
        <f t="shared" ref="D457:H457" si="172">D92</f>
        <v>21.4</v>
      </c>
      <c r="E457" s="127">
        <f t="shared" si="172"/>
        <v>5.2</v>
      </c>
      <c r="F457" s="127">
        <f t="shared" si="172"/>
        <v>11.7</v>
      </c>
      <c r="G457" s="127">
        <f t="shared" si="162"/>
        <v>3.7302297657911159</v>
      </c>
      <c r="H457" s="127">
        <f t="shared" si="172"/>
        <v>2.4745970659183545</v>
      </c>
      <c r="I457" s="127">
        <f t="shared" si="162"/>
        <v>0</v>
      </c>
      <c r="J457" s="127">
        <f t="shared" si="162"/>
        <v>0</v>
      </c>
      <c r="K457" s="127">
        <f t="shared" si="162"/>
        <v>0</v>
      </c>
      <c r="L457" s="127">
        <f t="shared" ref="L457" si="173">L92</f>
        <v>1.2179337536047621</v>
      </c>
      <c r="M457" s="56"/>
    </row>
    <row r="458" spans="2:13">
      <c r="B458" s="55"/>
      <c r="C458" s="75">
        <v>453</v>
      </c>
      <c r="D458" s="127">
        <f t="shared" ref="D458:H458" si="174">D93</f>
        <v>22.2</v>
      </c>
      <c r="E458" s="127">
        <f t="shared" si="174"/>
        <v>6</v>
      </c>
      <c r="F458" s="127">
        <f t="shared" si="174"/>
        <v>0</v>
      </c>
      <c r="G458" s="127">
        <f t="shared" si="162"/>
        <v>3.7786385520291255</v>
      </c>
      <c r="H458" s="127">
        <f t="shared" si="174"/>
        <v>1.84026242571557</v>
      </c>
      <c r="I458" s="127">
        <f t="shared" si="162"/>
        <v>0</v>
      </c>
      <c r="J458" s="127">
        <f t="shared" si="162"/>
        <v>0</v>
      </c>
      <c r="K458" s="127">
        <f t="shared" si="162"/>
        <v>0</v>
      </c>
      <c r="L458" s="127">
        <f t="shared" ref="L458" si="175">L93</f>
        <v>1.2182991651146349</v>
      </c>
      <c r="M458" s="56"/>
    </row>
    <row r="459" spans="2:13">
      <c r="B459" s="55"/>
      <c r="C459" s="75">
        <v>454</v>
      </c>
      <c r="D459" s="127">
        <f t="shared" ref="D459:H459" si="176">D94</f>
        <v>20.3</v>
      </c>
      <c r="E459" s="127">
        <f t="shared" si="176"/>
        <v>5.5</v>
      </c>
      <c r="F459" s="127">
        <f t="shared" si="176"/>
        <v>1.7</v>
      </c>
      <c r="G459" s="127">
        <f t="shared" si="162"/>
        <v>3.6680650078344463</v>
      </c>
      <c r="H459" s="127">
        <f t="shared" si="176"/>
        <v>1.8029017356293684</v>
      </c>
      <c r="I459" s="127">
        <f t="shared" si="162"/>
        <v>0</v>
      </c>
      <c r="J459" s="127">
        <f t="shared" si="162"/>
        <v>0</v>
      </c>
      <c r="K459" s="127">
        <f t="shared" si="162"/>
        <v>0</v>
      </c>
      <c r="L459" s="127">
        <f t="shared" ref="L459" si="177">L94</f>
        <v>1.218338585899057</v>
      </c>
      <c r="M459" s="56"/>
    </row>
    <row r="460" spans="2:13">
      <c r="B460" s="55"/>
      <c r="C460" s="75">
        <v>455</v>
      </c>
      <c r="D460" s="127">
        <f t="shared" ref="D460:H460" si="178">D95</f>
        <v>22</v>
      </c>
      <c r="E460" s="127">
        <f t="shared" si="178"/>
        <v>7</v>
      </c>
      <c r="F460" s="127">
        <f t="shared" si="178"/>
        <v>0</v>
      </c>
      <c r="G460" s="127">
        <f t="shared" si="162"/>
        <v>3.7788399416855518</v>
      </c>
      <c r="H460" s="127">
        <f t="shared" si="178"/>
        <v>1.7067722329624782</v>
      </c>
      <c r="I460" s="127">
        <f t="shared" si="162"/>
        <v>0</v>
      </c>
      <c r="J460" s="127">
        <f t="shared" si="162"/>
        <v>0</v>
      </c>
      <c r="K460" s="127">
        <f t="shared" si="162"/>
        <v>0</v>
      </c>
      <c r="L460" s="127">
        <f t="shared" ref="L460" si="179">L95</f>
        <v>1.2175628227377493</v>
      </c>
      <c r="M460" s="56"/>
    </row>
    <row r="461" spans="2:13">
      <c r="B461" s="55"/>
      <c r="C461" s="75">
        <v>456</v>
      </c>
      <c r="D461" s="127">
        <f t="shared" ref="D461:H461" si="180">D96</f>
        <v>22.3</v>
      </c>
      <c r="E461" s="127">
        <f t="shared" si="180"/>
        <v>6.7</v>
      </c>
      <c r="F461" s="127">
        <f t="shared" si="180"/>
        <v>0</v>
      </c>
      <c r="G461" s="127">
        <f t="shared" si="162"/>
        <v>3.7627010146753448</v>
      </c>
      <c r="H461" s="127">
        <f t="shared" si="180"/>
        <v>1.6139090188549681</v>
      </c>
      <c r="I461" s="127">
        <f t="shared" si="162"/>
        <v>0</v>
      </c>
      <c r="J461" s="127">
        <f t="shared" si="162"/>
        <v>0</v>
      </c>
      <c r="K461" s="127">
        <f t="shared" si="162"/>
        <v>0</v>
      </c>
      <c r="L461" s="127">
        <f t="shared" ref="L461" si="181">L96</f>
        <v>1.2160123734037398</v>
      </c>
      <c r="M461" s="56"/>
    </row>
    <row r="462" spans="2:13">
      <c r="B462" s="55"/>
      <c r="C462" s="75">
        <v>457</v>
      </c>
      <c r="D462" s="127">
        <f t="shared" ref="D462:H462" si="182">D97</f>
        <v>22.4</v>
      </c>
      <c r="E462" s="127">
        <f t="shared" si="182"/>
        <v>7.8</v>
      </c>
      <c r="F462" s="127">
        <f t="shared" si="182"/>
        <v>0</v>
      </c>
      <c r="G462" s="127">
        <f t="shared" si="162"/>
        <v>3.7935565749358915</v>
      </c>
      <c r="H462" s="127">
        <f t="shared" si="182"/>
        <v>1.5234173601148857</v>
      </c>
      <c r="I462" s="127">
        <f t="shared" si="162"/>
        <v>0</v>
      </c>
      <c r="J462" s="127">
        <f t="shared" si="162"/>
        <v>0</v>
      </c>
      <c r="K462" s="127">
        <f t="shared" si="162"/>
        <v>0</v>
      </c>
      <c r="L462" s="127">
        <f t="shared" ref="L462" si="183">L97</f>
        <v>1.2137193181452783</v>
      </c>
      <c r="M462" s="56"/>
    </row>
    <row r="463" spans="2:13">
      <c r="B463" s="55"/>
      <c r="C463" s="75">
        <v>458</v>
      </c>
      <c r="D463" s="127">
        <f t="shared" ref="D463:H463" si="184">D98</f>
        <v>22</v>
      </c>
      <c r="E463" s="127">
        <f t="shared" si="184"/>
        <v>6.8</v>
      </c>
      <c r="F463" s="127">
        <f t="shared" si="184"/>
        <v>0.5</v>
      </c>
      <c r="G463" s="127">
        <f t="shared" si="162"/>
        <v>3.7220021783445802</v>
      </c>
      <c r="H463" s="127">
        <f t="shared" si="184"/>
        <v>1.4539643504233009</v>
      </c>
      <c r="I463" s="127">
        <f t="shared" si="162"/>
        <v>0</v>
      </c>
      <c r="J463" s="127">
        <f t="shared" si="162"/>
        <v>0</v>
      </c>
      <c r="K463" s="127">
        <f t="shared" si="162"/>
        <v>0</v>
      </c>
      <c r="L463" s="127">
        <f t="shared" ref="L463" si="185">L98</f>
        <v>1.2108727199672047</v>
      </c>
      <c r="M463" s="56"/>
    </row>
    <row r="464" spans="2:13">
      <c r="B464" s="55"/>
      <c r="C464" s="75">
        <v>459</v>
      </c>
      <c r="D464" s="127">
        <f t="shared" ref="D464:H464" si="186">D99</f>
        <v>20.5</v>
      </c>
      <c r="E464" s="127">
        <f t="shared" si="186"/>
        <v>7</v>
      </c>
      <c r="F464" s="127">
        <f t="shared" si="186"/>
        <v>0</v>
      </c>
      <c r="G464" s="127">
        <f t="shared" si="162"/>
        <v>3.6547166236325244</v>
      </c>
      <c r="H464" s="127">
        <f t="shared" si="186"/>
        <v>1.3707006453922901</v>
      </c>
      <c r="I464" s="127">
        <f t="shared" si="162"/>
        <v>0</v>
      </c>
      <c r="J464" s="127">
        <f t="shared" si="162"/>
        <v>0</v>
      </c>
      <c r="K464" s="127">
        <f t="shared" si="162"/>
        <v>0</v>
      </c>
      <c r="L464" s="127">
        <f t="shared" ref="L464" si="187">L99</f>
        <v>1.207365724187226</v>
      </c>
      <c r="M464" s="56"/>
    </row>
    <row r="465" spans="2:13">
      <c r="B465" s="55"/>
      <c r="C465" s="75">
        <v>460</v>
      </c>
      <c r="D465" s="127">
        <f t="shared" ref="D465:H465" si="188">D100</f>
        <v>22.6</v>
      </c>
      <c r="E465" s="127">
        <f t="shared" si="188"/>
        <v>5</v>
      </c>
      <c r="F465" s="127">
        <f t="shared" si="188"/>
        <v>0</v>
      </c>
      <c r="G465" s="127">
        <f t="shared" si="162"/>
        <v>3.6419132890926575</v>
      </c>
      <c r="H465" s="127">
        <f t="shared" si="188"/>
        <v>1.2902200528905174</v>
      </c>
      <c r="I465" s="127">
        <f t="shared" si="162"/>
        <v>0</v>
      </c>
      <c r="J465" s="127">
        <f t="shared" si="162"/>
        <v>0</v>
      </c>
      <c r="K465" s="127">
        <f t="shared" si="162"/>
        <v>0</v>
      </c>
      <c r="L465" s="127">
        <f t="shared" ref="L465" si="189">L100</f>
        <v>1.2032322861832678</v>
      </c>
      <c r="M465" s="56"/>
    </row>
    <row r="466" spans="2:13">
      <c r="B466" s="55"/>
      <c r="C466" s="75">
        <v>461</v>
      </c>
      <c r="D466" s="127">
        <f t="shared" ref="D466:H466" si="190">D101</f>
        <v>16.8</v>
      </c>
      <c r="E466" s="127">
        <f t="shared" si="190"/>
        <v>6.5</v>
      </c>
      <c r="F466" s="127">
        <f t="shared" si="190"/>
        <v>0</v>
      </c>
      <c r="G466" s="127">
        <f t="shared" si="162"/>
        <v>3.4598293847137378</v>
      </c>
      <c r="H466" s="127">
        <f t="shared" si="190"/>
        <v>1.2152595052007524</v>
      </c>
      <c r="I466" s="127">
        <f t="shared" si="162"/>
        <v>0</v>
      </c>
      <c r="J466" s="127">
        <f t="shared" si="162"/>
        <v>0</v>
      </c>
      <c r="K466" s="127">
        <f t="shared" si="162"/>
        <v>0</v>
      </c>
      <c r="L466" s="127">
        <f t="shared" ref="L466" si="191">L101</f>
        <v>1.1985297595762354</v>
      </c>
      <c r="M466" s="56"/>
    </row>
    <row r="467" spans="2:13">
      <c r="B467" s="55"/>
      <c r="C467" s="75">
        <v>462</v>
      </c>
      <c r="D467" s="127">
        <f t="shared" ref="D467:H467" si="192">D102</f>
        <v>22.2</v>
      </c>
      <c r="E467" s="127">
        <f t="shared" si="192"/>
        <v>2.1</v>
      </c>
      <c r="F467" s="127">
        <f t="shared" si="192"/>
        <v>0.2</v>
      </c>
      <c r="G467" s="127">
        <f t="shared" si="162"/>
        <v>3.4816494913213631</v>
      </c>
      <c r="H467" s="127">
        <f t="shared" si="192"/>
        <v>1.1490388729876222</v>
      </c>
      <c r="I467" s="127">
        <f t="shared" si="162"/>
        <v>0</v>
      </c>
      <c r="J467" s="127">
        <f t="shared" si="162"/>
        <v>0</v>
      </c>
      <c r="K467" s="127">
        <f t="shared" si="162"/>
        <v>0</v>
      </c>
      <c r="L467" s="127">
        <f t="shared" ref="L467" si="193">L102</f>
        <v>1.193340523944233</v>
      </c>
      <c r="M467" s="56"/>
    </row>
    <row r="468" spans="2:13">
      <c r="B468" s="55"/>
      <c r="C468" s="75">
        <v>463</v>
      </c>
      <c r="D468" s="127">
        <f t="shared" ref="D468:K483" si="194">D103</f>
        <v>19.3</v>
      </c>
      <c r="E468" s="127">
        <f t="shared" si="194"/>
        <v>5.4</v>
      </c>
      <c r="F468" s="127">
        <f t="shared" si="194"/>
        <v>0</v>
      </c>
      <c r="G468" s="127">
        <f t="shared" si="194"/>
        <v>3.4802138860153877</v>
      </c>
      <c r="H468" s="127">
        <f t="shared" si="194"/>
        <v>1.0807753160336795</v>
      </c>
      <c r="I468" s="127">
        <f t="shared" si="194"/>
        <v>0</v>
      </c>
      <c r="J468" s="127">
        <f t="shared" si="194"/>
        <v>0</v>
      </c>
      <c r="K468" s="127">
        <f t="shared" si="194"/>
        <v>0</v>
      </c>
      <c r="L468" s="127">
        <f t="shared" ref="L468" si="195">L103</f>
        <v>1.1878524646815274</v>
      </c>
      <c r="M468" s="56"/>
    </row>
    <row r="469" spans="2:13">
      <c r="B469" s="55"/>
      <c r="C469" s="75">
        <v>464</v>
      </c>
      <c r="D469" s="127">
        <f t="shared" ref="D469:H469" si="196">D104</f>
        <v>19.2</v>
      </c>
      <c r="E469" s="127">
        <f t="shared" si="196"/>
        <v>3.8</v>
      </c>
      <c r="F469" s="127">
        <f t="shared" si="196"/>
        <v>0</v>
      </c>
      <c r="G469" s="127">
        <f t="shared" si="194"/>
        <v>3.3990348939855464</v>
      </c>
      <c r="H469" s="127">
        <f t="shared" si="196"/>
        <v>1.0606774656290725</v>
      </c>
      <c r="I469" s="127">
        <f t="shared" si="194"/>
        <v>0</v>
      </c>
      <c r="J469" s="127">
        <f t="shared" si="194"/>
        <v>0</v>
      </c>
      <c r="K469" s="127">
        <f t="shared" si="194"/>
        <v>0</v>
      </c>
      <c r="L469" s="127">
        <f t="shared" ref="L469" si="197">L104</f>
        <v>1.1823204320767975</v>
      </c>
      <c r="M469" s="56"/>
    </row>
    <row r="470" spans="2:13">
      <c r="B470" s="55"/>
      <c r="C470" s="75">
        <v>465</v>
      </c>
      <c r="D470" s="127">
        <f t="shared" ref="D470:H470" si="198">D105</f>
        <v>18.3</v>
      </c>
      <c r="E470" s="127">
        <f t="shared" si="198"/>
        <v>7.8</v>
      </c>
      <c r="F470" s="127">
        <f t="shared" si="198"/>
        <v>0</v>
      </c>
      <c r="G470" s="127">
        <f t="shared" si="194"/>
        <v>3.4992500286786012</v>
      </c>
      <c r="H470" s="127">
        <f t="shared" si="198"/>
        <v>1.0486584730463187</v>
      </c>
      <c r="I470" s="127">
        <f t="shared" si="194"/>
        <v>0</v>
      </c>
      <c r="J470" s="127">
        <f t="shared" si="194"/>
        <v>0</v>
      </c>
      <c r="K470" s="127">
        <f t="shared" si="194"/>
        <v>0</v>
      </c>
      <c r="L470" s="127">
        <f t="shared" ref="L470" si="199">L105</f>
        <v>1.1767872708304321</v>
      </c>
      <c r="M470" s="56"/>
    </row>
    <row r="471" spans="2:13">
      <c r="B471" s="55"/>
      <c r="C471" s="75">
        <v>466</v>
      </c>
      <c r="D471" s="127">
        <f t="shared" ref="D471:H471" si="200">D106</f>
        <v>22.6</v>
      </c>
      <c r="E471" s="127">
        <f t="shared" si="200"/>
        <v>4.5</v>
      </c>
      <c r="F471" s="127">
        <f t="shared" si="200"/>
        <v>0</v>
      </c>
      <c r="G471" s="127">
        <f t="shared" si="194"/>
        <v>3.5196099670235221</v>
      </c>
      <c r="H471" s="127">
        <f t="shared" si="200"/>
        <v>1.0380656222792037</v>
      </c>
      <c r="I471" s="127">
        <f t="shared" si="194"/>
        <v>0</v>
      </c>
      <c r="J471" s="127">
        <f t="shared" si="194"/>
        <v>0</v>
      </c>
      <c r="K471" s="127">
        <f t="shared" si="194"/>
        <v>0</v>
      </c>
      <c r="L471" s="127">
        <f t="shared" ref="L471" si="201">L106</f>
        <v>1.1712606313970715</v>
      </c>
      <c r="M471" s="56"/>
    </row>
    <row r="472" spans="2:13">
      <c r="B472" s="55"/>
      <c r="C472" s="75">
        <v>467</v>
      </c>
      <c r="D472" s="127">
        <f t="shared" ref="D472:H472" si="202">D107</f>
        <v>23</v>
      </c>
      <c r="E472" s="127">
        <f t="shared" si="202"/>
        <v>4</v>
      </c>
      <c r="F472" s="127">
        <f t="shared" si="202"/>
        <v>3.5</v>
      </c>
      <c r="G472" s="127">
        <f t="shared" si="194"/>
        <v>3.4982285083722817</v>
      </c>
      <c r="H472" s="127">
        <f t="shared" si="202"/>
        <v>1.0887431899739624</v>
      </c>
      <c r="I472" s="127">
        <f t="shared" si="194"/>
        <v>0</v>
      </c>
      <c r="J472" s="127">
        <f t="shared" si="194"/>
        <v>0</v>
      </c>
      <c r="K472" s="127">
        <f t="shared" si="194"/>
        <v>0</v>
      </c>
      <c r="L472" s="127">
        <f t="shared" ref="L472" si="203">L107</f>
        <v>1.1662367206191875</v>
      </c>
      <c r="M472" s="56"/>
    </row>
    <row r="473" spans="2:13">
      <c r="B473" s="55"/>
      <c r="C473" s="75">
        <v>468</v>
      </c>
      <c r="D473" s="127">
        <f t="shared" ref="D473:H473" si="204">D108</f>
        <v>17.5</v>
      </c>
      <c r="E473" s="127">
        <f t="shared" si="204"/>
        <v>3.8</v>
      </c>
      <c r="F473" s="127">
        <f t="shared" si="204"/>
        <v>1.8</v>
      </c>
      <c r="G473" s="127">
        <f t="shared" si="194"/>
        <v>3.2685015114826248</v>
      </c>
      <c r="H473" s="127">
        <f t="shared" si="204"/>
        <v>1.0833773615611493</v>
      </c>
      <c r="I473" s="127">
        <f t="shared" si="194"/>
        <v>0</v>
      </c>
      <c r="J473" s="127">
        <f t="shared" si="194"/>
        <v>0</v>
      </c>
      <c r="K473" s="127">
        <f t="shared" si="194"/>
        <v>0</v>
      </c>
      <c r="L473" s="127">
        <f t="shared" ref="L473" si="205">L108</f>
        <v>1.161234777154752</v>
      </c>
      <c r="M473" s="56"/>
    </row>
    <row r="474" spans="2:13">
      <c r="B474" s="55"/>
      <c r="C474" s="75">
        <v>469</v>
      </c>
      <c r="D474" s="127">
        <f t="shared" ref="D474:H474" si="206">D109</f>
        <v>22.3</v>
      </c>
      <c r="E474" s="127">
        <f t="shared" si="206"/>
        <v>4.5</v>
      </c>
      <c r="F474" s="127">
        <f t="shared" si="206"/>
        <v>0</v>
      </c>
      <c r="G474" s="127">
        <f t="shared" si="194"/>
        <v>3.4552480303423629</v>
      </c>
      <c r="H474" s="127">
        <f t="shared" si="206"/>
        <v>1.0185363626944253</v>
      </c>
      <c r="I474" s="127">
        <f t="shared" si="194"/>
        <v>0</v>
      </c>
      <c r="J474" s="127">
        <f t="shared" si="194"/>
        <v>0</v>
      </c>
      <c r="K474" s="127">
        <f t="shared" si="194"/>
        <v>0</v>
      </c>
      <c r="L474" s="127">
        <f t="shared" ref="L474" si="207">L109</f>
        <v>1.1558054586189161</v>
      </c>
      <c r="M474" s="56"/>
    </row>
    <row r="475" spans="2:13">
      <c r="B475" s="55"/>
      <c r="C475" s="75">
        <v>470</v>
      </c>
      <c r="D475" s="127">
        <f t="shared" ref="D475:H475" si="208">D110</f>
        <v>21.3</v>
      </c>
      <c r="E475" s="127">
        <f t="shared" si="208"/>
        <v>1.3</v>
      </c>
      <c r="F475" s="127">
        <f t="shared" si="208"/>
        <v>0</v>
      </c>
      <c r="G475" s="127">
        <f t="shared" si="194"/>
        <v>3.2824240173078825</v>
      </c>
      <c r="H475" s="127">
        <f t="shared" si="208"/>
        <v>0.99951233700667741</v>
      </c>
      <c r="I475" s="127">
        <f t="shared" si="194"/>
        <v>0</v>
      </c>
      <c r="J475" s="127">
        <f t="shared" si="194"/>
        <v>0</v>
      </c>
      <c r="K475" s="127">
        <f t="shared" si="194"/>
        <v>0</v>
      </c>
      <c r="L475" s="127">
        <f t="shared" ref="L475" si="209">L110</f>
        <v>1.1503141683699076</v>
      </c>
      <c r="M475" s="56"/>
    </row>
    <row r="476" spans="2:13">
      <c r="B476" s="55"/>
      <c r="C476" s="75">
        <v>471</v>
      </c>
      <c r="D476" s="127">
        <f t="shared" ref="D476:H476" si="210">D111</f>
        <v>22.2</v>
      </c>
      <c r="E476" s="127">
        <f t="shared" si="210"/>
        <v>2.7</v>
      </c>
      <c r="F476" s="127">
        <f t="shared" si="210"/>
        <v>0</v>
      </c>
      <c r="G476" s="127">
        <f t="shared" si="194"/>
        <v>3.3494710887433254</v>
      </c>
      <c r="H476" s="127">
        <f t="shared" si="210"/>
        <v>0.98817244421426786</v>
      </c>
      <c r="I476" s="127">
        <f t="shared" si="194"/>
        <v>0</v>
      </c>
      <c r="J476" s="127">
        <f t="shared" si="194"/>
        <v>0</v>
      </c>
      <c r="K476" s="127">
        <f t="shared" si="194"/>
        <v>0</v>
      </c>
      <c r="L476" s="127">
        <f t="shared" ref="L476" si="211">L111</f>
        <v>1.1448220079263092</v>
      </c>
      <c r="M476" s="56"/>
    </row>
    <row r="477" spans="2:13">
      <c r="B477" s="55"/>
      <c r="C477" s="75">
        <v>472</v>
      </c>
      <c r="D477" s="127">
        <f t="shared" ref="D477:H477" si="212">D112</f>
        <v>21.7</v>
      </c>
      <c r="E477" s="127">
        <f t="shared" si="212"/>
        <v>2.4</v>
      </c>
      <c r="F477" s="127">
        <f t="shared" si="212"/>
        <v>0</v>
      </c>
      <c r="G477" s="127">
        <f t="shared" si="194"/>
        <v>3.302541631076823</v>
      </c>
      <c r="H477" s="127">
        <f t="shared" si="212"/>
        <v>0.97818825841460821</v>
      </c>
      <c r="I477" s="127">
        <f t="shared" si="194"/>
        <v>0</v>
      </c>
      <c r="J477" s="127">
        <f t="shared" si="194"/>
        <v>0</v>
      </c>
      <c r="K477" s="127">
        <f t="shared" si="194"/>
        <v>0</v>
      </c>
      <c r="L477" s="127">
        <f t="shared" ref="L477" si="213">L112</f>
        <v>1.1393395709688425</v>
      </c>
      <c r="M477" s="56"/>
    </row>
    <row r="478" spans="2:13">
      <c r="B478" s="55"/>
      <c r="C478" s="75">
        <v>473</v>
      </c>
      <c r="D478" s="127">
        <f t="shared" ref="D478:H478" si="214">D113</f>
        <v>22</v>
      </c>
      <c r="E478" s="127">
        <f t="shared" si="214"/>
        <v>4</v>
      </c>
      <c r="F478" s="127">
        <f t="shared" si="214"/>
        <v>0.7</v>
      </c>
      <c r="G478" s="127">
        <f t="shared" si="194"/>
        <v>3.3540897417475404</v>
      </c>
      <c r="H478" s="127">
        <f t="shared" si="214"/>
        <v>0.97327778332761328</v>
      </c>
      <c r="I478" s="127">
        <f t="shared" si="194"/>
        <v>0</v>
      </c>
      <c r="J478" s="127">
        <f t="shared" si="194"/>
        <v>0</v>
      </c>
      <c r="K478" s="127">
        <f t="shared" si="194"/>
        <v>0</v>
      </c>
      <c r="L478" s="127">
        <f t="shared" ref="L478" si="215">L113</f>
        <v>1.1339091489597584</v>
      </c>
      <c r="M478" s="56"/>
    </row>
    <row r="479" spans="2:13">
      <c r="B479" s="55"/>
      <c r="C479" s="75">
        <v>474</v>
      </c>
      <c r="D479" s="127">
        <f t="shared" ref="D479:H479" si="216">D114</f>
        <v>22.2</v>
      </c>
      <c r="E479" s="127">
        <f t="shared" si="216"/>
        <v>5</v>
      </c>
      <c r="F479" s="127">
        <f t="shared" si="216"/>
        <v>0.5</v>
      </c>
      <c r="G479" s="127">
        <f t="shared" si="194"/>
        <v>3.3797491335333278</v>
      </c>
      <c r="H479" s="127">
        <f t="shared" si="216"/>
        <v>0.96315680945707449</v>
      </c>
      <c r="I479" s="127">
        <f t="shared" si="194"/>
        <v>0</v>
      </c>
      <c r="J479" s="127">
        <f t="shared" si="194"/>
        <v>0</v>
      </c>
      <c r="K479" s="127">
        <f t="shared" si="194"/>
        <v>0</v>
      </c>
      <c r="L479" s="127">
        <f t="shared" ref="L479" si="217">L114</f>
        <v>1.1284860295623003</v>
      </c>
      <c r="M479" s="56"/>
    </row>
    <row r="480" spans="2:13">
      <c r="B480" s="55"/>
      <c r="C480" s="75">
        <v>475</v>
      </c>
      <c r="D480" s="127">
        <f t="shared" ref="D480:H480" si="218">D115</f>
        <v>21.5</v>
      </c>
      <c r="E480" s="127">
        <f t="shared" si="218"/>
        <v>7.5</v>
      </c>
      <c r="F480" s="127">
        <f t="shared" si="218"/>
        <v>0</v>
      </c>
      <c r="G480" s="127">
        <f t="shared" si="194"/>
        <v>3.4269863324572247</v>
      </c>
      <c r="H480" s="127">
        <f t="shared" si="218"/>
        <v>0.95020567447289872</v>
      </c>
      <c r="I480" s="127">
        <f t="shared" si="194"/>
        <v>0</v>
      </c>
      <c r="J480" s="127">
        <f t="shared" si="194"/>
        <v>0</v>
      </c>
      <c r="K480" s="127">
        <f t="shared" si="194"/>
        <v>0</v>
      </c>
      <c r="L480" s="127">
        <f t="shared" ref="L480" si="219">L115</f>
        <v>1.1230462125999083</v>
      </c>
      <c r="M480" s="56"/>
    </row>
    <row r="481" spans="2:13">
      <c r="B481" s="55"/>
      <c r="C481" s="75">
        <v>476</v>
      </c>
      <c r="D481" s="127">
        <f t="shared" ref="D481:H481" si="220">D116</f>
        <v>21.9</v>
      </c>
      <c r="E481" s="127">
        <f t="shared" si="220"/>
        <v>3</v>
      </c>
      <c r="F481" s="127">
        <f t="shared" si="220"/>
        <v>0</v>
      </c>
      <c r="G481" s="127">
        <f t="shared" si="194"/>
        <v>3.2604596598053446</v>
      </c>
      <c r="H481" s="127">
        <f t="shared" si="220"/>
        <v>0.94026877902682371</v>
      </c>
      <c r="I481" s="127">
        <f t="shared" si="194"/>
        <v>0</v>
      </c>
      <c r="J481" s="127">
        <f t="shared" si="194"/>
        <v>0</v>
      </c>
      <c r="K481" s="127">
        <f t="shared" si="194"/>
        <v>0</v>
      </c>
      <c r="L481" s="127">
        <f t="shared" ref="L481" si="221">L116</f>
        <v>1.1176152016148655</v>
      </c>
      <c r="M481" s="56"/>
    </row>
    <row r="482" spans="2:13">
      <c r="B482" s="55"/>
      <c r="C482" s="75">
        <v>477</v>
      </c>
      <c r="D482" s="127">
        <f t="shared" ref="D482:H482" si="222">D117</f>
        <v>21</v>
      </c>
      <c r="E482" s="127">
        <f t="shared" si="222"/>
        <v>2.6</v>
      </c>
      <c r="F482" s="127">
        <f t="shared" si="222"/>
        <v>0.6</v>
      </c>
      <c r="G482" s="127">
        <f t="shared" si="194"/>
        <v>3.1962204143830615</v>
      </c>
      <c r="H482" s="127">
        <f t="shared" si="222"/>
        <v>0.93499643131339782</v>
      </c>
      <c r="I482" s="127">
        <f t="shared" si="194"/>
        <v>0</v>
      </c>
      <c r="J482" s="127">
        <f t="shared" si="194"/>
        <v>0</v>
      </c>
      <c r="K482" s="127">
        <f t="shared" si="194"/>
        <v>0</v>
      </c>
      <c r="L482" s="127">
        <f t="shared" ref="L482" si="223">L117</f>
        <v>1.1122319856321679</v>
      </c>
      <c r="M482" s="56"/>
    </row>
    <row r="483" spans="2:13">
      <c r="B483" s="55"/>
      <c r="C483" s="75">
        <v>478</v>
      </c>
      <c r="D483" s="127">
        <f t="shared" ref="D483:H483" si="224">D118</f>
        <v>19.5</v>
      </c>
      <c r="E483" s="127">
        <f t="shared" si="224"/>
        <v>2.2000000000000002</v>
      </c>
      <c r="F483" s="127">
        <f t="shared" si="224"/>
        <v>0</v>
      </c>
      <c r="G483" s="127">
        <f t="shared" si="194"/>
        <v>3.1114051266028322</v>
      </c>
      <c r="H483" s="127">
        <f t="shared" si="224"/>
        <v>0.92239879973718275</v>
      </c>
      <c r="I483" s="127">
        <f t="shared" si="194"/>
        <v>0</v>
      </c>
      <c r="J483" s="127">
        <f t="shared" si="194"/>
        <v>0</v>
      </c>
      <c r="K483" s="127">
        <f t="shared" si="194"/>
        <v>0</v>
      </c>
      <c r="L483" s="127">
        <f t="shared" ref="L483" si="225">L118</f>
        <v>1.106834161542378</v>
      </c>
      <c r="M483" s="56"/>
    </row>
    <row r="484" spans="2:13">
      <c r="B484" s="55"/>
      <c r="C484" s="75">
        <v>479</v>
      </c>
      <c r="D484" s="127">
        <f t="shared" ref="D484:K499" si="226">D119</f>
        <v>17.8</v>
      </c>
      <c r="E484" s="127">
        <f t="shared" si="226"/>
        <v>6</v>
      </c>
      <c r="F484" s="127">
        <f t="shared" si="226"/>
        <v>0</v>
      </c>
      <c r="G484" s="127">
        <f t="shared" si="226"/>
        <v>3.1679137514616551</v>
      </c>
      <c r="H484" s="127">
        <f t="shared" si="226"/>
        <v>0.91274850860403167</v>
      </c>
      <c r="I484" s="127">
        <f t="shared" si="226"/>
        <v>0</v>
      </c>
      <c r="J484" s="127">
        <f t="shared" si="226"/>
        <v>0</v>
      </c>
      <c r="K484" s="127">
        <f t="shared" si="226"/>
        <v>39.792677602929452</v>
      </c>
      <c r="L484" s="127">
        <f t="shared" ref="L484" si="227">L119</f>
        <v>1.1014466417597986</v>
      </c>
      <c r="M484" s="56"/>
    </row>
    <row r="485" spans="2:13">
      <c r="B485" s="55"/>
      <c r="C485" s="75">
        <v>480</v>
      </c>
      <c r="D485" s="127">
        <f t="shared" ref="D485:H485" si="228">D120</f>
        <v>18.600000000000001</v>
      </c>
      <c r="E485" s="127">
        <f t="shared" si="228"/>
        <v>4.5999999999999996</v>
      </c>
      <c r="F485" s="127">
        <f t="shared" si="228"/>
        <v>0</v>
      </c>
      <c r="G485" s="127">
        <f t="shared" si="226"/>
        <v>3.1291827919107824</v>
      </c>
      <c r="H485" s="127">
        <f t="shared" si="228"/>
        <v>0.90366177768538103</v>
      </c>
      <c r="I485" s="127">
        <f t="shared" si="226"/>
        <v>0</v>
      </c>
      <c r="J485" s="127">
        <f t="shared" si="226"/>
        <v>0</v>
      </c>
      <c r="K485" s="127">
        <f t="shared" si="226"/>
        <v>0</v>
      </c>
      <c r="L485" s="127">
        <f t="shared" ref="L485" si="229">L120</f>
        <v>1.096073918615279</v>
      </c>
      <c r="M485" s="56"/>
    </row>
    <row r="486" spans="2:13">
      <c r="B486" s="55"/>
      <c r="C486" s="75">
        <v>481</v>
      </c>
      <c r="D486" s="127">
        <f t="shared" ref="D486:H486" si="230">D121</f>
        <v>19.8</v>
      </c>
      <c r="E486" s="127">
        <f t="shared" si="230"/>
        <v>4</v>
      </c>
      <c r="F486" s="127">
        <f t="shared" si="230"/>
        <v>12.5</v>
      </c>
      <c r="G486" s="127">
        <f t="shared" si="226"/>
        <v>3.1325432531927802</v>
      </c>
      <c r="H486" s="127">
        <f t="shared" si="230"/>
        <v>1.9000128438682864</v>
      </c>
      <c r="I486" s="127">
        <f t="shared" si="226"/>
        <v>0</v>
      </c>
      <c r="J486" s="127">
        <f t="shared" si="226"/>
        <v>0</v>
      </c>
      <c r="K486" s="127">
        <f t="shared" si="226"/>
        <v>0</v>
      </c>
      <c r="L486" s="127">
        <f t="shared" ref="L486" si="231">L121</f>
        <v>1.1026606863314188</v>
      </c>
      <c r="M486" s="56"/>
    </row>
    <row r="487" spans="2:13">
      <c r="B487" s="55"/>
      <c r="C487" s="75">
        <v>482</v>
      </c>
      <c r="D487" s="127">
        <f t="shared" ref="D487:H487" si="232">D122</f>
        <v>21.7</v>
      </c>
      <c r="E487" s="127">
        <f t="shared" si="232"/>
        <v>6.5</v>
      </c>
      <c r="F487" s="127">
        <f t="shared" si="232"/>
        <v>0</v>
      </c>
      <c r="G487" s="127">
        <f t="shared" si="226"/>
        <v>3.2687907625330737</v>
      </c>
      <c r="H487" s="127">
        <f t="shared" si="232"/>
        <v>1.1708370253172318</v>
      </c>
      <c r="I487" s="127">
        <f t="shared" si="226"/>
        <v>0</v>
      </c>
      <c r="J487" s="127">
        <f t="shared" si="226"/>
        <v>0</v>
      </c>
      <c r="K487" s="127">
        <f t="shared" si="226"/>
        <v>0</v>
      </c>
      <c r="L487" s="127">
        <f t="shared" ref="L487" si="233">L122</f>
        <v>1.0993777350791443</v>
      </c>
      <c r="M487" s="56"/>
    </row>
    <row r="488" spans="2:13">
      <c r="B488" s="55"/>
      <c r="C488" s="75">
        <v>483</v>
      </c>
      <c r="D488" s="127">
        <f t="shared" ref="D488:H488" si="234">D123</f>
        <v>20.8</v>
      </c>
      <c r="E488" s="127">
        <f t="shared" si="234"/>
        <v>3.6</v>
      </c>
      <c r="F488" s="127">
        <f t="shared" si="234"/>
        <v>0</v>
      </c>
      <c r="G488" s="127">
        <f t="shared" si="226"/>
        <v>3.118070788022302</v>
      </c>
      <c r="H488" s="127">
        <f t="shared" si="234"/>
        <v>1.100456065246725</v>
      </c>
      <c r="I488" s="127">
        <f t="shared" si="226"/>
        <v>0</v>
      </c>
      <c r="J488" s="127">
        <f t="shared" si="226"/>
        <v>0</v>
      </c>
      <c r="K488" s="127">
        <f t="shared" si="226"/>
        <v>8.846492705771368</v>
      </c>
      <c r="L488" s="127">
        <f t="shared" ref="L488" si="235">L123</f>
        <v>1.0955494752732831</v>
      </c>
      <c r="M488" s="56"/>
    </row>
    <row r="489" spans="2:13">
      <c r="B489" s="55"/>
      <c r="C489" s="75">
        <v>484</v>
      </c>
      <c r="D489" s="127">
        <f t="shared" ref="D489:H489" si="236">D124</f>
        <v>21.7</v>
      </c>
      <c r="E489" s="127">
        <f t="shared" si="236"/>
        <v>6</v>
      </c>
      <c r="F489" s="127">
        <f t="shared" si="236"/>
        <v>0</v>
      </c>
      <c r="G489" s="127">
        <f t="shared" si="226"/>
        <v>3.2147489884553475</v>
      </c>
      <c r="H489" s="127">
        <f t="shared" si="236"/>
        <v>1.0306468915308535</v>
      </c>
      <c r="I489" s="127">
        <f t="shared" si="226"/>
        <v>0</v>
      </c>
      <c r="J489" s="127">
        <f t="shared" si="226"/>
        <v>0</v>
      </c>
      <c r="K489" s="127">
        <f t="shared" si="226"/>
        <v>0</v>
      </c>
      <c r="L489" s="127">
        <f t="shared" ref="L489" si="237">L124</f>
        <v>1.0911888519390378</v>
      </c>
      <c r="M489" s="56"/>
    </row>
    <row r="490" spans="2:13">
      <c r="B490" s="55"/>
      <c r="C490" s="75">
        <v>485</v>
      </c>
      <c r="D490" s="127">
        <f t="shared" ref="D490:H490" si="238">D125</f>
        <v>21</v>
      </c>
      <c r="E490" s="127">
        <f t="shared" si="238"/>
        <v>4.2</v>
      </c>
      <c r="F490" s="127">
        <f t="shared" si="238"/>
        <v>0</v>
      </c>
      <c r="G490" s="127">
        <f t="shared" si="226"/>
        <v>3.1103273303826326</v>
      </c>
      <c r="H490" s="127">
        <f t="shared" si="238"/>
        <v>0.96475238973979693</v>
      </c>
      <c r="I490" s="127">
        <f t="shared" si="226"/>
        <v>0</v>
      </c>
      <c r="J490" s="127">
        <f t="shared" si="226"/>
        <v>0</v>
      </c>
      <c r="K490" s="127">
        <f t="shared" si="226"/>
        <v>0</v>
      </c>
      <c r="L490" s="127">
        <f t="shared" ref="L490" si="239">L125</f>
        <v>1.0863378230777889</v>
      </c>
      <c r="M490" s="56"/>
    </row>
    <row r="491" spans="2:13">
      <c r="B491" s="55"/>
      <c r="C491" s="75">
        <v>486</v>
      </c>
      <c r="D491" s="127">
        <f t="shared" ref="D491:H491" si="240">D126</f>
        <v>22</v>
      </c>
      <c r="E491" s="127">
        <f t="shared" si="240"/>
        <v>3.1</v>
      </c>
      <c r="F491" s="127">
        <f t="shared" si="240"/>
        <v>0</v>
      </c>
      <c r="G491" s="127">
        <f t="shared" si="226"/>
        <v>3.0892849943198666</v>
      </c>
      <c r="H491" s="127">
        <f t="shared" si="240"/>
        <v>0.901247931503947</v>
      </c>
      <c r="I491" s="127">
        <f t="shared" si="226"/>
        <v>0</v>
      </c>
      <c r="J491" s="127">
        <f t="shared" si="226"/>
        <v>0</v>
      </c>
      <c r="K491" s="127">
        <f t="shared" si="226"/>
        <v>0</v>
      </c>
      <c r="L491" s="127">
        <f t="shared" ref="L491" si="241">L126</f>
        <v>1.0810243980667649</v>
      </c>
      <c r="M491" s="56"/>
    </row>
    <row r="492" spans="2:13">
      <c r="B492" s="55"/>
      <c r="C492" s="75">
        <v>487</v>
      </c>
      <c r="D492" s="127">
        <f t="shared" ref="D492:H492" si="242">D127</f>
        <v>22.8</v>
      </c>
      <c r="E492" s="127">
        <f t="shared" si="242"/>
        <v>3.5</v>
      </c>
      <c r="F492" s="127">
        <f t="shared" si="242"/>
        <v>0</v>
      </c>
      <c r="G492" s="127">
        <f t="shared" si="226"/>
        <v>3.1126859866813632</v>
      </c>
      <c r="H492" s="127">
        <f t="shared" si="242"/>
        <v>0.85138058655227067</v>
      </c>
      <c r="I492" s="127">
        <f t="shared" si="226"/>
        <v>0</v>
      </c>
      <c r="J492" s="127">
        <f t="shared" si="226"/>
        <v>0</v>
      </c>
      <c r="K492" s="127">
        <f t="shared" si="226"/>
        <v>0</v>
      </c>
      <c r="L492" s="127">
        <f t="shared" ref="L492" si="243">L127</f>
        <v>1.0755501727424059</v>
      </c>
      <c r="M492" s="56"/>
    </row>
    <row r="493" spans="2:13">
      <c r="B493" s="55"/>
      <c r="C493" s="75">
        <v>488</v>
      </c>
      <c r="D493" s="127">
        <f t="shared" ref="D493:H493" si="244">D128</f>
        <v>23.4</v>
      </c>
      <c r="E493" s="127">
        <f t="shared" si="244"/>
        <v>3.1</v>
      </c>
      <c r="F493" s="127">
        <f t="shared" si="244"/>
        <v>0</v>
      </c>
      <c r="G493" s="127">
        <f t="shared" si="226"/>
        <v>3.1018807540681603</v>
      </c>
      <c r="H493" s="127">
        <f t="shared" si="244"/>
        <v>0.83619047623077258</v>
      </c>
      <c r="I493" s="127">
        <f t="shared" si="226"/>
        <v>0</v>
      </c>
      <c r="J493" s="127">
        <f t="shared" si="226"/>
        <v>0</v>
      </c>
      <c r="K493" s="127">
        <f t="shared" si="226"/>
        <v>0</v>
      </c>
      <c r="L493" s="127">
        <f t="shared" ref="L493" si="245">L128</f>
        <v>1.070068123343253</v>
      </c>
      <c r="M493" s="56"/>
    </row>
    <row r="494" spans="2:13">
      <c r="B494" s="55"/>
      <c r="C494" s="75">
        <v>489</v>
      </c>
      <c r="D494" s="127">
        <f t="shared" ref="D494:H494" si="246">D129</f>
        <v>18.2</v>
      </c>
      <c r="E494" s="127">
        <f t="shared" si="246"/>
        <v>5.6</v>
      </c>
      <c r="F494" s="127">
        <f t="shared" si="246"/>
        <v>0</v>
      </c>
      <c r="G494" s="127">
        <f t="shared" si="226"/>
        <v>2.9933666659219713</v>
      </c>
      <c r="H494" s="127">
        <f t="shared" si="246"/>
        <v>0.82682271707983279</v>
      </c>
      <c r="I494" s="127">
        <f t="shared" si="226"/>
        <v>0</v>
      </c>
      <c r="J494" s="127">
        <f t="shared" si="226"/>
        <v>0</v>
      </c>
      <c r="K494" s="127">
        <f t="shared" si="226"/>
        <v>0</v>
      </c>
      <c r="L494" s="127">
        <f t="shared" ref="L494" si="247">L129</f>
        <v>1.0646038517875838</v>
      </c>
      <c r="M494" s="56"/>
    </row>
    <row r="495" spans="2:13">
      <c r="B495" s="55"/>
      <c r="C495" s="75">
        <v>490</v>
      </c>
      <c r="D495" s="127">
        <f t="shared" ref="D495:H495" si="248">D130</f>
        <v>19.600000000000001</v>
      </c>
      <c r="E495" s="127">
        <f t="shared" si="248"/>
        <v>5.3</v>
      </c>
      <c r="F495" s="127">
        <f t="shared" si="248"/>
        <v>0</v>
      </c>
      <c r="G495" s="127">
        <f t="shared" si="226"/>
        <v>3.0131913904867651</v>
      </c>
      <c r="H495" s="127">
        <f t="shared" si="248"/>
        <v>0.81848856428509997</v>
      </c>
      <c r="I495" s="127">
        <f t="shared" si="226"/>
        <v>0</v>
      </c>
      <c r="J495" s="127">
        <f t="shared" si="226"/>
        <v>0</v>
      </c>
      <c r="K495" s="127">
        <f t="shared" si="226"/>
        <v>0</v>
      </c>
      <c r="L495" s="127">
        <f t="shared" ref="L495" si="249">L130</f>
        <v>1.0591618156560973</v>
      </c>
      <c r="M495" s="56"/>
    </row>
    <row r="496" spans="2:13">
      <c r="B496" s="55"/>
      <c r="C496" s="75">
        <v>491</v>
      </c>
      <c r="D496" s="127">
        <f t="shared" ref="D496:H496" si="250">D131</f>
        <v>20.5</v>
      </c>
      <c r="E496" s="127">
        <f t="shared" si="250"/>
        <v>1.8</v>
      </c>
      <c r="F496" s="127">
        <f t="shared" si="250"/>
        <v>0</v>
      </c>
      <c r="G496" s="127">
        <f t="shared" si="226"/>
        <v>2.9099125135250934</v>
      </c>
      <c r="H496" s="127">
        <f t="shared" si="250"/>
        <v>0.81039272634569748</v>
      </c>
      <c r="I496" s="127">
        <f t="shared" si="226"/>
        <v>0</v>
      </c>
      <c r="J496" s="127">
        <f t="shared" si="226"/>
        <v>0</v>
      </c>
      <c r="K496" s="127">
        <f t="shared" si="226"/>
        <v>0</v>
      </c>
      <c r="L496" s="127">
        <f t="shared" ref="L496" si="251">L131</f>
        <v>1.0537429557814022</v>
      </c>
      <c r="M496" s="56"/>
    </row>
    <row r="497" spans="2:13">
      <c r="B497" s="55"/>
      <c r="C497" s="75">
        <v>492</v>
      </c>
      <c r="D497" s="127">
        <f t="shared" ref="D497:H497" si="252">D132</f>
        <v>20.8</v>
      </c>
      <c r="E497" s="127">
        <f t="shared" si="252"/>
        <v>4</v>
      </c>
      <c r="F497" s="127">
        <f t="shared" si="252"/>
        <v>0</v>
      </c>
      <c r="G497" s="127">
        <f t="shared" si="226"/>
        <v>2.9760217296466398</v>
      </c>
      <c r="H497" s="127">
        <f t="shared" si="252"/>
        <v>0.8024025772934188</v>
      </c>
      <c r="I497" s="127">
        <f t="shared" si="226"/>
        <v>0</v>
      </c>
      <c r="J497" s="127">
        <f t="shared" si="226"/>
        <v>0</v>
      </c>
      <c r="K497" s="127">
        <f t="shared" si="226"/>
        <v>0</v>
      </c>
      <c r="L497" s="127">
        <f t="shared" ref="L497" si="253">L132</f>
        <v>1.0483476214784671</v>
      </c>
      <c r="M497" s="56"/>
    </row>
    <row r="498" spans="2:13">
      <c r="B498" s="55"/>
      <c r="C498" s="75">
        <v>493</v>
      </c>
      <c r="D498" s="127">
        <f t="shared" ref="D498:H498" si="254">D133</f>
        <v>18.7</v>
      </c>
      <c r="E498" s="127">
        <f t="shared" si="254"/>
        <v>3.6</v>
      </c>
      <c r="F498" s="127">
        <f t="shared" si="254"/>
        <v>0</v>
      </c>
      <c r="G498" s="127">
        <f t="shared" si="226"/>
        <v>2.8772195633614901</v>
      </c>
      <c r="H498" s="127">
        <f t="shared" si="254"/>
        <v>0.79449545793141441</v>
      </c>
      <c r="I498" s="127">
        <f t="shared" si="226"/>
        <v>0</v>
      </c>
      <c r="J498" s="127">
        <f t="shared" si="226"/>
        <v>0</v>
      </c>
      <c r="K498" s="127">
        <f t="shared" si="226"/>
        <v>0</v>
      </c>
      <c r="L498" s="127">
        <f t="shared" ref="L498" si="255">L133</f>
        <v>1.0429760561164645</v>
      </c>
      <c r="M498" s="56"/>
    </row>
    <row r="499" spans="2:13">
      <c r="B499" s="55"/>
      <c r="C499" s="75">
        <v>494</v>
      </c>
      <c r="D499" s="127">
        <f t="shared" ref="D499:H499" si="256">D134</f>
        <v>21.7</v>
      </c>
      <c r="E499" s="127">
        <f t="shared" si="256"/>
        <v>1.8</v>
      </c>
      <c r="F499" s="127">
        <f t="shared" si="256"/>
        <v>0.2</v>
      </c>
      <c r="G499" s="127">
        <f t="shared" si="226"/>
        <v>2.900248401042878</v>
      </c>
      <c r="H499" s="127">
        <f t="shared" si="256"/>
        <v>0.78802950980983999</v>
      </c>
      <c r="I499" s="127">
        <f t="shared" si="226"/>
        <v>0</v>
      </c>
      <c r="J499" s="127">
        <f t="shared" si="226"/>
        <v>0</v>
      </c>
      <c r="K499" s="127">
        <f t="shared" si="226"/>
        <v>0</v>
      </c>
      <c r="L499" s="127">
        <f t="shared" ref="L499" si="257">L134</f>
        <v>1.0376399326353729</v>
      </c>
      <c r="M499" s="56"/>
    </row>
    <row r="500" spans="2:13">
      <c r="B500" s="55"/>
      <c r="C500" s="75">
        <v>495</v>
      </c>
      <c r="D500" s="127">
        <f t="shared" ref="D500:K515" si="258">D135</f>
        <v>21.7</v>
      </c>
      <c r="E500" s="127">
        <f t="shared" si="258"/>
        <v>2.8</v>
      </c>
      <c r="F500" s="127">
        <f t="shared" si="258"/>
        <v>0</v>
      </c>
      <c r="G500" s="127">
        <f t="shared" si="258"/>
        <v>2.9167133091689674</v>
      </c>
      <c r="H500" s="127">
        <f t="shared" si="258"/>
        <v>0.77914181847214359</v>
      </c>
      <c r="I500" s="127">
        <f t="shared" si="258"/>
        <v>0</v>
      </c>
      <c r="J500" s="127">
        <f t="shared" si="258"/>
        <v>0</v>
      </c>
      <c r="K500" s="127">
        <f t="shared" si="258"/>
        <v>0</v>
      </c>
      <c r="L500" s="127">
        <f t="shared" ref="L500" si="259">L135</f>
        <v>1.0292233815672795</v>
      </c>
      <c r="M500" s="56"/>
    </row>
    <row r="501" spans="2:13">
      <c r="B501" s="55"/>
      <c r="C501" s="75">
        <v>496</v>
      </c>
      <c r="D501" s="127">
        <f t="shared" ref="D501:H501" si="260">D136</f>
        <v>21.7</v>
      </c>
      <c r="E501" s="127">
        <f t="shared" si="260"/>
        <v>2.6</v>
      </c>
      <c r="F501" s="127">
        <f t="shared" si="260"/>
        <v>0</v>
      </c>
      <c r="G501" s="127">
        <f t="shared" si="258"/>
        <v>2.8941319007276514</v>
      </c>
      <c r="H501" s="127">
        <f t="shared" si="260"/>
        <v>0.77127839394867781</v>
      </c>
      <c r="I501" s="127">
        <f t="shared" si="258"/>
        <v>0</v>
      </c>
      <c r="J501" s="127">
        <f t="shared" si="258"/>
        <v>0</v>
      </c>
      <c r="K501" s="127">
        <f t="shared" si="258"/>
        <v>0</v>
      </c>
      <c r="L501" s="127">
        <f t="shared" ref="L501" si="261">L136</f>
        <v>1.0170427457086608</v>
      </c>
      <c r="M501" s="56"/>
    </row>
    <row r="502" spans="2:13">
      <c r="B502" s="55"/>
      <c r="C502" s="75">
        <v>497</v>
      </c>
      <c r="D502" s="127">
        <f t="shared" ref="D502:H502" si="262">D137</f>
        <v>21.8</v>
      </c>
      <c r="E502" s="127">
        <f t="shared" si="262"/>
        <v>0.5</v>
      </c>
      <c r="F502" s="127">
        <f t="shared" si="262"/>
        <v>0</v>
      </c>
      <c r="G502" s="127">
        <f t="shared" si="258"/>
        <v>2.8139144599211203</v>
      </c>
      <c r="H502" s="127">
        <f t="shared" si="262"/>
        <v>0.76364788122921512</v>
      </c>
      <c r="I502" s="127">
        <f t="shared" si="258"/>
        <v>0</v>
      </c>
      <c r="J502" s="127">
        <f t="shared" si="258"/>
        <v>0</v>
      </c>
      <c r="K502" s="127">
        <f t="shared" si="258"/>
        <v>0</v>
      </c>
      <c r="L502" s="127">
        <f t="shared" ref="L502" si="263">L137</f>
        <v>1.0051658836772461</v>
      </c>
      <c r="M502" s="56"/>
    </row>
    <row r="503" spans="2:13">
      <c r="B503" s="55"/>
      <c r="C503" s="75">
        <v>498</v>
      </c>
      <c r="D503" s="127">
        <f t="shared" ref="D503:H503" si="264">D138</f>
        <v>20.8</v>
      </c>
      <c r="E503" s="127">
        <f t="shared" si="264"/>
        <v>0.2</v>
      </c>
      <c r="F503" s="127">
        <f t="shared" si="264"/>
        <v>0</v>
      </c>
      <c r="G503" s="127">
        <f t="shared" si="258"/>
        <v>2.757210358879179</v>
      </c>
      <c r="H503" s="127">
        <f t="shared" si="264"/>
        <v>0.75611834551966217</v>
      </c>
      <c r="I503" s="127">
        <f t="shared" si="258"/>
        <v>0</v>
      </c>
      <c r="J503" s="127">
        <f t="shared" si="258"/>
        <v>0</v>
      </c>
      <c r="K503" s="127">
        <f t="shared" si="258"/>
        <v>0</v>
      </c>
      <c r="L503" s="127">
        <f t="shared" ref="L503" si="265">L138</f>
        <v>0.99345973082039685</v>
      </c>
      <c r="M503" s="56"/>
    </row>
    <row r="504" spans="2:13">
      <c r="B504" s="55"/>
      <c r="C504" s="75">
        <v>499</v>
      </c>
      <c r="D504" s="127">
        <f t="shared" ref="D504:H504" si="266">D139</f>
        <v>22</v>
      </c>
      <c r="E504" s="127">
        <f t="shared" si="266"/>
        <v>-1</v>
      </c>
      <c r="F504" s="127">
        <f t="shared" si="266"/>
        <v>0</v>
      </c>
      <c r="G504" s="127">
        <f t="shared" si="258"/>
        <v>2.7423016509029448</v>
      </c>
      <c r="H504" s="127">
        <f t="shared" si="266"/>
        <v>0.74866727990726833</v>
      </c>
      <c r="I504" s="127">
        <f t="shared" si="258"/>
        <v>0</v>
      </c>
      <c r="J504" s="127">
        <f t="shared" si="258"/>
        <v>0</v>
      </c>
      <c r="K504" s="127">
        <f t="shared" si="258"/>
        <v>0</v>
      </c>
      <c r="L504" s="127">
        <f t="shared" ref="L504" si="267">L139</f>
        <v>0.98190066701823331</v>
      </c>
      <c r="M504" s="56"/>
    </row>
    <row r="505" spans="2:13">
      <c r="B505" s="55"/>
      <c r="C505" s="75">
        <v>500</v>
      </c>
      <c r="D505" s="127">
        <f t="shared" ref="D505:H505" si="268">D140</f>
        <v>22</v>
      </c>
      <c r="E505" s="127">
        <f t="shared" si="268"/>
        <v>0.5</v>
      </c>
      <c r="F505" s="127">
        <f t="shared" si="268"/>
        <v>0</v>
      </c>
      <c r="G505" s="127">
        <f t="shared" si="258"/>
        <v>2.7749157752972358</v>
      </c>
      <c r="H505" s="127">
        <f t="shared" si="268"/>
        <v>0.74129034159143758</v>
      </c>
      <c r="I505" s="127">
        <f t="shared" si="258"/>
        <v>0</v>
      </c>
      <c r="J505" s="127">
        <f t="shared" si="258"/>
        <v>0</v>
      </c>
      <c r="K505" s="127">
        <f t="shared" si="258"/>
        <v>0</v>
      </c>
      <c r="L505" s="127">
        <f t="shared" ref="L505" si="269">L140</f>
        <v>0.97048325356601384</v>
      </c>
      <c r="M505" s="56"/>
    </row>
    <row r="506" spans="2:13">
      <c r="B506" s="55"/>
      <c r="C506" s="75">
        <v>501</v>
      </c>
      <c r="D506" s="127">
        <f t="shared" ref="D506:H506" si="270">D141</f>
        <v>21.5</v>
      </c>
      <c r="E506" s="127">
        <f t="shared" si="270"/>
        <v>-1</v>
      </c>
      <c r="F506" s="127">
        <f t="shared" si="270"/>
        <v>0</v>
      </c>
      <c r="G506" s="127">
        <f t="shared" si="258"/>
        <v>2.697545315156844</v>
      </c>
      <c r="H506" s="127">
        <f t="shared" si="270"/>
        <v>0.73398620784927993</v>
      </c>
      <c r="I506" s="127">
        <f t="shared" si="258"/>
        <v>0</v>
      </c>
      <c r="J506" s="127">
        <f t="shared" si="258"/>
        <v>0</v>
      </c>
      <c r="K506" s="127">
        <f t="shared" si="258"/>
        <v>0</v>
      </c>
      <c r="L506" s="127">
        <f t="shared" ref="L506" si="271">L141</f>
        <v>0.95920508902171719</v>
      </c>
      <c r="M506" s="56"/>
    </row>
    <row r="507" spans="2:13">
      <c r="B507" s="55"/>
      <c r="C507" s="75">
        <v>502</v>
      </c>
      <c r="D507" s="127">
        <f t="shared" ref="D507:H507" si="272">D142</f>
        <v>21.3</v>
      </c>
      <c r="E507" s="127">
        <f t="shared" si="272"/>
        <v>0.5</v>
      </c>
      <c r="F507" s="127">
        <f t="shared" si="272"/>
        <v>0</v>
      </c>
      <c r="G507" s="127">
        <f t="shared" si="258"/>
        <v>2.7239297086523706</v>
      </c>
      <c r="H507" s="127">
        <f t="shared" si="272"/>
        <v>0.7267540630310938</v>
      </c>
      <c r="I507" s="127">
        <f t="shared" si="258"/>
        <v>0</v>
      </c>
      <c r="J507" s="127">
        <f t="shared" si="258"/>
        <v>0</v>
      </c>
      <c r="K507" s="127">
        <f t="shared" si="258"/>
        <v>0</v>
      </c>
      <c r="L507" s="127">
        <f t="shared" ref="L507" si="273">L142</f>
        <v>0.94806429595935371</v>
      </c>
      <c r="M507" s="56"/>
    </row>
    <row r="508" spans="2:13">
      <c r="B508" s="55"/>
      <c r="C508" s="75">
        <v>503</v>
      </c>
      <c r="D508" s="127">
        <f t="shared" ref="D508:H508" si="274">D143</f>
        <v>22</v>
      </c>
      <c r="E508" s="127">
        <f t="shared" si="274"/>
        <v>0.5</v>
      </c>
      <c r="F508" s="127">
        <f t="shared" si="274"/>
        <v>0</v>
      </c>
      <c r="G508" s="127">
        <f t="shared" si="258"/>
        <v>2.7316702919686935</v>
      </c>
      <c r="H508" s="127">
        <f t="shared" si="274"/>
        <v>0.71959318150316576</v>
      </c>
      <c r="I508" s="127">
        <f t="shared" si="258"/>
        <v>0</v>
      </c>
      <c r="J508" s="127">
        <f t="shared" si="258"/>
        <v>0</v>
      </c>
      <c r="K508" s="127">
        <f t="shared" si="258"/>
        <v>0</v>
      </c>
      <c r="L508" s="127">
        <f t="shared" ref="L508" si="275">L143</f>
        <v>0.93705910365242417</v>
      </c>
      <c r="M508" s="56"/>
    </row>
    <row r="509" spans="2:13">
      <c r="B509" s="55"/>
      <c r="C509" s="75">
        <v>504</v>
      </c>
      <c r="D509" s="127">
        <f t="shared" ref="D509:H509" si="276">D144</f>
        <v>20.5</v>
      </c>
      <c r="E509" s="127">
        <f t="shared" si="276"/>
        <v>0</v>
      </c>
      <c r="F509" s="127">
        <f t="shared" si="276"/>
        <v>0</v>
      </c>
      <c r="G509" s="127">
        <f t="shared" si="258"/>
        <v>2.6559548522337555</v>
      </c>
      <c r="H509" s="127">
        <f t="shared" si="276"/>
        <v>0.71250285838495209</v>
      </c>
      <c r="I509" s="127">
        <f t="shared" si="258"/>
        <v>0</v>
      </c>
      <c r="J509" s="127">
        <f t="shared" si="258"/>
        <v>0</v>
      </c>
      <c r="K509" s="127">
        <f t="shared" si="258"/>
        <v>0</v>
      </c>
      <c r="L509" s="127">
        <f t="shared" ref="L509" si="277">L144</f>
        <v>0.92618777855229983</v>
      </c>
      <c r="M509" s="56"/>
    </row>
    <row r="510" spans="2:13">
      <c r="B510" s="55"/>
      <c r="C510" s="75">
        <v>505</v>
      </c>
      <c r="D510" s="127">
        <f t="shared" ref="D510:H510" si="278">D145</f>
        <v>21.8</v>
      </c>
      <c r="E510" s="127">
        <f t="shared" si="278"/>
        <v>1.5</v>
      </c>
      <c r="F510" s="127">
        <f t="shared" si="278"/>
        <v>0</v>
      </c>
      <c r="G510" s="127">
        <f t="shared" si="258"/>
        <v>2.7289466081032372</v>
      </c>
      <c r="H510" s="127">
        <f t="shared" si="278"/>
        <v>0.70548239799855084</v>
      </c>
      <c r="I510" s="127">
        <f t="shared" si="258"/>
        <v>0</v>
      </c>
      <c r="J510" s="127">
        <f t="shared" si="258"/>
        <v>0</v>
      </c>
      <c r="K510" s="127">
        <f t="shared" si="258"/>
        <v>0</v>
      </c>
      <c r="L510" s="127">
        <f t="shared" ref="L510" si="279">L145</f>
        <v>0.91544861248231535</v>
      </c>
      <c r="M510" s="56"/>
    </row>
    <row r="511" spans="2:13">
      <c r="B511" s="55"/>
      <c r="C511" s="75">
        <v>506</v>
      </c>
      <c r="D511" s="127">
        <f t="shared" ref="D511:H511" si="280">D146</f>
        <v>22.5</v>
      </c>
      <c r="E511" s="127">
        <f t="shared" si="280"/>
        <v>1.5</v>
      </c>
      <c r="F511" s="127">
        <f t="shared" si="280"/>
        <v>0</v>
      </c>
      <c r="G511" s="127">
        <f t="shared" si="258"/>
        <v>2.7371765140178614</v>
      </c>
      <c r="H511" s="127">
        <f t="shared" si="280"/>
        <v>0.69853111189530581</v>
      </c>
      <c r="I511" s="127">
        <f t="shared" si="258"/>
        <v>0</v>
      </c>
      <c r="J511" s="127">
        <f t="shared" si="258"/>
        <v>0</v>
      </c>
      <c r="K511" s="127">
        <f t="shared" si="258"/>
        <v>0</v>
      </c>
      <c r="L511" s="127">
        <f t="shared" ref="L511" si="281">L146</f>
        <v>0.90483992041284722</v>
      </c>
      <c r="M511" s="56"/>
    </row>
    <row r="512" spans="2:13">
      <c r="B512" s="55"/>
      <c r="C512" s="75">
        <v>507</v>
      </c>
      <c r="D512" s="127">
        <f t="shared" ref="D512:H512" si="282">D147</f>
        <v>22.2</v>
      </c>
      <c r="E512" s="127">
        <f t="shared" si="282"/>
        <v>0</v>
      </c>
      <c r="F512" s="127">
        <f t="shared" si="282"/>
        <v>0</v>
      </c>
      <c r="G512" s="127">
        <f t="shared" si="258"/>
        <v>2.6686638437830261</v>
      </c>
      <c r="H512" s="127">
        <f t="shared" si="282"/>
        <v>0.69164831847216357</v>
      </c>
      <c r="I512" s="127">
        <f t="shared" si="258"/>
        <v>0</v>
      </c>
      <c r="J512" s="127">
        <f t="shared" si="258"/>
        <v>0</v>
      </c>
      <c r="K512" s="127">
        <f t="shared" si="258"/>
        <v>0</v>
      </c>
      <c r="L512" s="127">
        <f t="shared" ref="L512" si="283">L147</f>
        <v>0.894360039830015</v>
      </c>
      <c r="M512" s="56"/>
    </row>
    <row r="513" spans="2:13">
      <c r="B513" s="55"/>
      <c r="C513" s="75">
        <v>508</v>
      </c>
      <c r="D513" s="127">
        <f t="shared" ref="D513:H513" si="284">D148</f>
        <v>21</v>
      </c>
      <c r="E513" s="127">
        <f t="shared" si="284"/>
        <v>-0.5</v>
      </c>
      <c r="F513" s="127">
        <f t="shared" si="284"/>
        <v>0</v>
      </c>
      <c r="G513" s="127">
        <f t="shared" si="258"/>
        <v>2.6043947666847176</v>
      </c>
      <c r="H513" s="127">
        <f t="shared" si="284"/>
        <v>0.68483334285238129</v>
      </c>
      <c r="I513" s="127">
        <f t="shared" si="258"/>
        <v>0</v>
      </c>
      <c r="J513" s="127">
        <f t="shared" si="258"/>
        <v>0</v>
      </c>
      <c r="K513" s="127">
        <f t="shared" si="258"/>
        <v>0</v>
      </c>
      <c r="L513" s="127">
        <f t="shared" ref="L513" si="285">L148</f>
        <v>0.88400733037256152</v>
      </c>
      <c r="M513" s="56"/>
    </row>
    <row r="514" spans="2:13">
      <c r="B514" s="55"/>
      <c r="C514" s="75">
        <v>509</v>
      </c>
      <c r="D514" s="127">
        <f t="shared" ref="D514:H514" si="286">D149</f>
        <v>20.8</v>
      </c>
      <c r="E514" s="127">
        <f t="shared" si="286"/>
        <v>-0.8</v>
      </c>
      <c r="F514" s="127">
        <f t="shared" si="286"/>
        <v>0</v>
      </c>
      <c r="G514" s="127">
        <f t="shared" si="258"/>
        <v>2.5772198137127917</v>
      </c>
      <c r="H514" s="127">
        <f t="shared" si="286"/>
        <v>0.67808551681064921</v>
      </c>
      <c r="I514" s="127">
        <f t="shared" si="258"/>
        <v>0</v>
      </c>
      <c r="J514" s="127">
        <f t="shared" si="258"/>
        <v>0</v>
      </c>
      <c r="K514" s="127">
        <f t="shared" si="258"/>
        <v>0</v>
      </c>
      <c r="L514" s="127">
        <f t="shared" ref="L514" si="287">L149</f>
        <v>0.87378017351691417</v>
      </c>
      <c r="M514" s="56"/>
    </row>
    <row r="515" spans="2:13">
      <c r="B515" s="55"/>
      <c r="C515" s="75">
        <v>510</v>
      </c>
      <c r="D515" s="127">
        <f t="shared" ref="D515:H515" si="288">D150</f>
        <v>20.399999999999999</v>
      </c>
      <c r="E515" s="127">
        <f t="shared" si="288"/>
        <v>-1.4</v>
      </c>
      <c r="F515" s="127">
        <f t="shared" si="288"/>
        <v>0</v>
      </c>
      <c r="G515" s="127">
        <f t="shared" si="258"/>
        <v>2.5356051929730321</v>
      </c>
      <c r="H515" s="127">
        <f t="shared" si="288"/>
        <v>0.67140417870612457</v>
      </c>
      <c r="I515" s="127">
        <f t="shared" si="258"/>
        <v>0</v>
      </c>
      <c r="J515" s="127">
        <f t="shared" si="258"/>
        <v>0</v>
      </c>
      <c r="K515" s="127">
        <f t="shared" si="258"/>
        <v>0</v>
      </c>
      <c r="L515" s="127">
        <f t="shared" ref="L515" si="289">L150</f>
        <v>0.86367697227387175</v>
      </c>
      <c r="M515" s="56"/>
    </row>
    <row r="516" spans="2:13">
      <c r="B516" s="55"/>
      <c r="C516" s="75">
        <v>511</v>
      </c>
      <c r="D516" s="127">
        <f t="shared" ref="D516:K531" si="290">D151</f>
        <v>22</v>
      </c>
      <c r="E516" s="127">
        <f t="shared" si="290"/>
        <v>-1</v>
      </c>
      <c r="F516" s="127">
        <f t="shared" si="290"/>
        <v>0</v>
      </c>
      <c r="G516" s="127">
        <f t="shared" si="290"/>
        <v>2.5839158402550106</v>
      </c>
      <c r="H516" s="127">
        <f t="shared" si="290"/>
        <v>0.6647886734173164</v>
      </c>
      <c r="I516" s="127">
        <f t="shared" si="290"/>
        <v>0</v>
      </c>
      <c r="J516" s="127">
        <f t="shared" si="290"/>
        <v>0</v>
      </c>
      <c r="K516" s="127">
        <f t="shared" si="290"/>
        <v>0</v>
      </c>
      <c r="L516" s="127">
        <f t="shared" ref="L516" si="291">L151</f>
        <v>0.85369615089079409</v>
      </c>
      <c r="M516" s="56"/>
    </row>
    <row r="517" spans="2:13">
      <c r="B517" s="55"/>
      <c r="C517" s="75">
        <v>512</v>
      </c>
      <c r="D517" s="127">
        <f t="shared" ref="D517:H517" si="292">D152</f>
        <v>21.2</v>
      </c>
      <c r="E517" s="127">
        <f t="shared" si="292"/>
        <v>0.5</v>
      </c>
      <c r="F517" s="127">
        <f t="shared" si="292"/>
        <v>0</v>
      </c>
      <c r="G517" s="127">
        <f t="shared" si="290"/>
        <v>2.5936155878308074</v>
      </c>
      <c r="H517" s="127">
        <f t="shared" si="292"/>
        <v>0.65823835227780969</v>
      </c>
      <c r="I517" s="127">
        <f t="shared" si="290"/>
        <v>0</v>
      </c>
      <c r="J517" s="127">
        <f t="shared" si="290"/>
        <v>0</v>
      </c>
      <c r="K517" s="127">
        <f t="shared" si="290"/>
        <v>0</v>
      </c>
      <c r="L517" s="127">
        <f t="shared" ref="L517" si="293">L152</f>
        <v>0.84383615455822991</v>
      </c>
      <c r="M517" s="56"/>
    </row>
    <row r="518" spans="2:13">
      <c r="B518" s="55"/>
      <c r="C518" s="75">
        <v>513</v>
      </c>
      <c r="D518" s="127">
        <f t="shared" ref="D518:H518" si="294">D153</f>
        <v>21</v>
      </c>
      <c r="E518" s="127">
        <f t="shared" si="294"/>
        <v>-0.8</v>
      </c>
      <c r="F518" s="127">
        <f t="shared" si="294"/>
        <v>0</v>
      </c>
      <c r="G518" s="127">
        <f t="shared" si="290"/>
        <v>2.5381326079713058</v>
      </c>
      <c r="H518" s="127">
        <f t="shared" si="294"/>
        <v>0.65175257301265566</v>
      </c>
      <c r="I518" s="127">
        <f t="shared" si="290"/>
        <v>0</v>
      </c>
      <c r="J518" s="127">
        <f t="shared" si="290"/>
        <v>0</v>
      </c>
      <c r="K518" s="127">
        <f t="shared" si="290"/>
        <v>0</v>
      </c>
      <c r="L518" s="127">
        <f t="shared" ref="L518" si="295">L153</f>
        <v>0.83409544912075329</v>
      </c>
      <c r="M518" s="56"/>
    </row>
    <row r="519" spans="2:13">
      <c r="B519" s="55"/>
      <c r="C519" s="75">
        <v>514</v>
      </c>
      <c r="D519" s="127">
        <f t="shared" ref="D519:H519" si="296">D154</f>
        <v>20.6</v>
      </c>
      <c r="E519" s="127">
        <f t="shared" si="296"/>
        <v>-0.5</v>
      </c>
      <c r="F519" s="127">
        <f t="shared" si="296"/>
        <v>0</v>
      </c>
      <c r="G519" s="127">
        <f t="shared" si="290"/>
        <v>2.5247697706787764</v>
      </c>
      <c r="H519" s="127">
        <f t="shared" si="296"/>
        <v>0.64533069967539336</v>
      </c>
      <c r="I519" s="127">
        <f t="shared" si="290"/>
        <v>0</v>
      </c>
      <c r="J519" s="127">
        <f t="shared" si="290"/>
        <v>0</v>
      </c>
      <c r="K519" s="127">
        <f t="shared" si="290"/>
        <v>0</v>
      </c>
      <c r="L519" s="127">
        <f t="shared" ref="L519" si="297">L154</f>
        <v>0.82447252079192057</v>
      </c>
      <c r="M519" s="56"/>
    </row>
    <row r="520" spans="2:13">
      <c r="B520" s="55"/>
      <c r="C520" s="75">
        <v>515</v>
      </c>
      <c r="D520" s="127">
        <f t="shared" ref="D520:H520" si="298">D155</f>
        <v>21.7</v>
      </c>
      <c r="E520" s="127">
        <f t="shared" si="298"/>
        <v>-3</v>
      </c>
      <c r="F520" s="127">
        <f t="shared" si="298"/>
        <v>0</v>
      </c>
      <c r="G520" s="127">
        <f t="shared" si="290"/>
        <v>2.4737421117507834</v>
      </c>
      <c r="H520" s="127">
        <f t="shared" si="298"/>
        <v>0.63897210258569426</v>
      </c>
      <c r="I520" s="127">
        <f t="shared" si="290"/>
        <v>0</v>
      </c>
      <c r="J520" s="127">
        <f t="shared" si="290"/>
        <v>0</v>
      </c>
      <c r="K520" s="127">
        <f t="shared" si="290"/>
        <v>0</v>
      </c>
      <c r="L520" s="127">
        <f t="shared" ref="L520" si="299">L155</f>
        <v>0.81496587587328206</v>
      </c>
      <c r="M520" s="56"/>
    </row>
    <row r="521" spans="2:13">
      <c r="B521" s="55"/>
      <c r="C521" s="75">
        <v>516</v>
      </c>
      <c r="D521" s="127">
        <f t="shared" ref="D521:H521" si="300">D156</f>
        <v>22</v>
      </c>
      <c r="E521" s="127">
        <f t="shared" si="300"/>
        <v>-2.5</v>
      </c>
      <c r="F521" s="127">
        <f t="shared" si="300"/>
        <v>0</v>
      </c>
      <c r="G521" s="127">
        <f t="shared" si="290"/>
        <v>2.4875140123387354</v>
      </c>
      <c r="H521" s="127">
        <f t="shared" si="300"/>
        <v>0.63267615826761969</v>
      </c>
      <c r="I521" s="127">
        <f t="shared" si="290"/>
        <v>0</v>
      </c>
      <c r="J521" s="127">
        <f t="shared" si="290"/>
        <v>0</v>
      </c>
      <c r="K521" s="127">
        <f t="shared" si="290"/>
        <v>0</v>
      </c>
      <c r="L521" s="127">
        <f t="shared" ref="L521" si="301">L156</f>
        <v>0.8055740404773909</v>
      </c>
      <c r="M521" s="56"/>
    </row>
    <row r="522" spans="2:13">
      <c r="B522" s="55"/>
      <c r="C522" s="75">
        <v>517</v>
      </c>
      <c r="D522" s="127">
        <f t="shared" ref="D522:H522" si="302">D157</f>
        <v>22.2</v>
      </c>
      <c r="E522" s="127">
        <f t="shared" si="302"/>
        <v>-2.4</v>
      </c>
      <c r="F522" s="127">
        <f t="shared" si="302"/>
        <v>0</v>
      </c>
      <c r="G522" s="127">
        <f t="shared" si="290"/>
        <v>2.486999328476565</v>
      </c>
      <c r="H522" s="127">
        <f t="shared" si="302"/>
        <v>0.62644224938848836</v>
      </c>
      <c r="I522" s="127">
        <f t="shared" si="290"/>
        <v>0</v>
      </c>
      <c r="J522" s="127">
        <f t="shared" si="290"/>
        <v>0</v>
      </c>
      <c r="K522" s="127">
        <f t="shared" si="290"/>
        <v>0</v>
      </c>
      <c r="L522" s="127">
        <f t="shared" ref="L522" si="303">L157</f>
        <v>0.79629556025474912</v>
      </c>
      <c r="M522" s="56"/>
    </row>
    <row r="523" spans="2:13">
      <c r="B523" s="55"/>
      <c r="C523" s="75">
        <v>518</v>
      </c>
      <c r="D523" s="127">
        <f t="shared" ref="D523:H523" si="304">D158</f>
        <v>19</v>
      </c>
      <c r="E523" s="127">
        <f t="shared" si="304"/>
        <v>0</v>
      </c>
      <c r="F523" s="127">
        <f t="shared" si="304"/>
        <v>11.6</v>
      </c>
      <c r="G523" s="127">
        <f t="shared" si="290"/>
        <v>2.4549255300321318</v>
      </c>
      <c r="H523" s="127">
        <f t="shared" si="304"/>
        <v>1.4767519172164114</v>
      </c>
      <c r="I523" s="127">
        <f t="shared" si="290"/>
        <v>0</v>
      </c>
      <c r="J523" s="127">
        <f t="shared" si="290"/>
        <v>0</v>
      </c>
      <c r="K523" s="127">
        <f t="shared" si="290"/>
        <v>0</v>
      </c>
      <c r="L523" s="127">
        <f t="shared" ref="L523" si="305">L158</f>
        <v>0.93958462625145722</v>
      </c>
      <c r="M523" s="56"/>
    </row>
    <row r="524" spans="2:13">
      <c r="B524" s="55"/>
      <c r="C524" s="75">
        <v>519</v>
      </c>
      <c r="D524" s="127">
        <f t="shared" ref="D524:H524" si="306">D159</f>
        <v>11.6</v>
      </c>
      <c r="E524" s="127">
        <f t="shared" si="306"/>
        <v>3.5</v>
      </c>
      <c r="F524" s="127">
        <f t="shared" si="306"/>
        <v>1.3</v>
      </c>
      <c r="G524" s="127">
        <f t="shared" si="290"/>
        <v>2.3349863105211797</v>
      </c>
      <c r="H524" s="127">
        <f t="shared" si="306"/>
        <v>0.94472018161146487</v>
      </c>
      <c r="I524" s="127">
        <f t="shared" si="290"/>
        <v>0</v>
      </c>
      <c r="J524" s="127">
        <f t="shared" si="290"/>
        <v>0</v>
      </c>
      <c r="K524" s="127">
        <f t="shared" si="290"/>
        <v>214.33512376174872</v>
      </c>
      <c r="L524" s="127">
        <f t="shared" ref="L524" si="307">L159</f>
        <v>0.93718541691504798</v>
      </c>
      <c r="M524" s="56"/>
    </row>
    <row r="525" spans="2:13">
      <c r="B525" s="55"/>
      <c r="C525" s="75">
        <v>520</v>
      </c>
      <c r="D525" s="127">
        <f t="shared" ref="D525:H525" si="308">D160</f>
        <v>18.8</v>
      </c>
      <c r="E525" s="127">
        <f t="shared" si="308"/>
        <v>6.5</v>
      </c>
      <c r="F525" s="127">
        <f t="shared" si="308"/>
        <v>0</v>
      </c>
      <c r="G525" s="127">
        <f t="shared" si="290"/>
        <v>2.6223805106150184</v>
      </c>
      <c r="H525" s="127">
        <f t="shared" si="308"/>
        <v>0.88377610078853419</v>
      </c>
      <c r="I525" s="127">
        <f t="shared" si="290"/>
        <v>0</v>
      </c>
      <c r="J525" s="127">
        <f t="shared" si="290"/>
        <v>0</v>
      </c>
      <c r="K525" s="127">
        <f t="shared" si="290"/>
        <v>0</v>
      </c>
      <c r="L525" s="127">
        <f t="shared" ref="L525" si="309">L160</f>
        <v>0.93430584829463126</v>
      </c>
      <c r="M525" s="56"/>
    </row>
    <row r="526" spans="2:13">
      <c r="B526" s="55"/>
      <c r="C526" s="75">
        <v>521</v>
      </c>
      <c r="D526" s="127">
        <f t="shared" ref="D526:H526" si="310">D161</f>
        <v>18.899999999999999</v>
      </c>
      <c r="E526" s="127">
        <f t="shared" si="310"/>
        <v>0.6</v>
      </c>
      <c r="F526" s="127">
        <f t="shared" si="310"/>
        <v>0</v>
      </c>
      <c r="G526" s="127">
        <f t="shared" si="290"/>
        <v>2.4451304645330847</v>
      </c>
      <c r="H526" s="127">
        <f t="shared" si="310"/>
        <v>0.82771851848180744</v>
      </c>
      <c r="I526" s="127">
        <f t="shared" si="290"/>
        <v>0</v>
      </c>
      <c r="J526" s="127">
        <f t="shared" si="290"/>
        <v>0</v>
      </c>
      <c r="K526" s="127">
        <f t="shared" si="290"/>
        <v>0</v>
      </c>
      <c r="L526" s="127">
        <f t="shared" ref="L526" si="311">L161</f>
        <v>0.93099563604460278</v>
      </c>
      <c r="M526" s="56"/>
    </row>
    <row r="527" spans="2:13">
      <c r="B527" s="55"/>
      <c r="C527" s="75">
        <v>522</v>
      </c>
      <c r="D527" s="127">
        <f t="shared" ref="D527:H527" si="312">D162</f>
        <v>20.6</v>
      </c>
      <c r="E527" s="127">
        <f t="shared" si="312"/>
        <v>1.5</v>
      </c>
      <c r="F527" s="127">
        <f t="shared" si="312"/>
        <v>0</v>
      </c>
      <c r="G527" s="127">
        <f t="shared" si="290"/>
        <v>2.5127884433137568</v>
      </c>
      <c r="H527" s="127">
        <f t="shared" si="312"/>
        <v>0.77229829002998884</v>
      </c>
      <c r="I527" s="127">
        <f t="shared" si="290"/>
        <v>0</v>
      </c>
      <c r="J527" s="127">
        <f t="shared" si="290"/>
        <v>0</v>
      </c>
      <c r="K527" s="127">
        <f t="shared" si="290"/>
        <v>0</v>
      </c>
      <c r="L527" s="127">
        <f t="shared" ref="L527" si="313">L162</f>
        <v>0.9197525447923347</v>
      </c>
      <c r="M527" s="56"/>
    </row>
    <row r="528" spans="2:13">
      <c r="B528" s="55"/>
      <c r="C528" s="75">
        <v>523</v>
      </c>
      <c r="D528" s="127">
        <f t="shared" ref="D528:H528" si="314">D163</f>
        <v>21.4</v>
      </c>
      <c r="E528" s="127">
        <f t="shared" si="314"/>
        <v>-1.4</v>
      </c>
      <c r="F528" s="127">
        <f t="shared" si="314"/>
        <v>0</v>
      </c>
      <c r="G528" s="127">
        <f t="shared" si="290"/>
        <v>2.4452517678504488</v>
      </c>
      <c r="H528" s="127">
        <f t="shared" si="314"/>
        <v>0.71974881770565036</v>
      </c>
      <c r="I528" s="127">
        <f t="shared" si="290"/>
        <v>0</v>
      </c>
      <c r="J528" s="127">
        <f t="shared" si="290"/>
        <v>0</v>
      </c>
      <c r="K528" s="127">
        <f t="shared" si="290"/>
        <v>0</v>
      </c>
      <c r="L528" s="127">
        <f t="shared" ref="L528" si="315">L163</f>
        <v>0.86325164925978148</v>
      </c>
      <c r="M528" s="56"/>
    </row>
    <row r="529" spans="2:13">
      <c r="B529" s="55"/>
      <c r="C529" s="75">
        <v>524</v>
      </c>
      <c r="D529" s="127">
        <f t="shared" ref="D529:H529" si="316">D164</f>
        <v>20.2</v>
      </c>
      <c r="E529" s="127">
        <f t="shared" si="316"/>
        <v>0.8</v>
      </c>
      <c r="F529" s="127">
        <f t="shared" si="316"/>
        <v>0</v>
      </c>
      <c r="G529" s="127">
        <f t="shared" si="290"/>
        <v>2.4673826589887082</v>
      </c>
      <c r="H529" s="127">
        <f t="shared" si="316"/>
        <v>0.6684789463114138</v>
      </c>
      <c r="I529" s="127">
        <f t="shared" si="290"/>
        <v>0</v>
      </c>
      <c r="J529" s="127">
        <f t="shared" si="290"/>
        <v>0</v>
      </c>
      <c r="K529" s="127">
        <f t="shared" si="290"/>
        <v>0</v>
      </c>
      <c r="L529" s="127">
        <f t="shared" ref="L529" si="317">L164</f>
        <v>0.80809867132944069</v>
      </c>
      <c r="M529" s="56"/>
    </row>
    <row r="530" spans="2:13">
      <c r="B530" s="55"/>
      <c r="C530" s="75">
        <v>525</v>
      </c>
      <c r="D530" s="127">
        <f t="shared" ref="D530:H530" si="318">D165</f>
        <v>15</v>
      </c>
      <c r="E530" s="127">
        <f t="shared" si="318"/>
        <v>1.6</v>
      </c>
      <c r="F530" s="127">
        <f t="shared" si="318"/>
        <v>1.7</v>
      </c>
      <c r="G530" s="127">
        <f t="shared" si="290"/>
        <v>2.3365203381372397</v>
      </c>
      <c r="H530" s="127">
        <f t="shared" si="318"/>
        <v>0.67890355415465209</v>
      </c>
      <c r="I530" s="127">
        <f t="shared" si="290"/>
        <v>0</v>
      </c>
      <c r="J530" s="127">
        <f t="shared" si="290"/>
        <v>0</v>
      </c>
      <c r="K530" s="127">
        <f t="shared" si="290"/>
        <v>0</v>
      </c>
      <c r="L530" s="127">
        <f t="shared" ref="L530" si="319">L165</f>
        <v>0.81481017659428956</v>
      </c>
      <c r="M530" s="56"/>
    </row>
    <row r="531" spans="2:13">
      <c r="B531" s="55"/>
      <c r="C531" s="75">
        <v>526</v>
      </c>
      <c r="D531" s="127">
        <f t="shared" ref="D531:H531" si="320">D166</f>
        <v>14.5</v>
      </c>
      <c r="E531" s="127">
        <f t="shared" si="320"/>
        <v>0.5</v>
      </c>
      <c r="F531" s="127">
        <f t="shared" si="320"/>
        <v>1.3</v>
      </c>
      <c r="G531" s="127">
        <f t="shared" si="290"/>
        <v>2.2864219040821494</v>
      </c>
      <c r="H531" s="127">
        <f t="shared" si="320"/>
        <v>0.67604261583468173</v>
      </c>
      <c r="I531" s="127">
        <f t="shared" si="290"/>
        <v>0</v>
      </c>
      <c r="J531" s="127">
        <f t="shared" si="290"/>
        <v>0</v>
      </c>
      <c r="K531" s="127">
        <f t="shared" si="290"/>
        <v>0</v>
      </c>
      <c r="L531" s="127">
        <f t="shared" ref="L531" si="321">L166</f>
        <v>0.80834704725331585</v>
      </c>
      <c r="M531" s="56"/>
    </row>
    <row r="532" spans="2:13">
      <c r="B532" s="55"/>
      <c r="C532" s="75">
        <v>527</v>
      </c>
      <c r="D532" s="127">
        <f t="shared" ref="D532:K547" si="322">D167</f>
        <v>17.2</v>
      </c>
      <c r="E532" s="127">
        <f t="shared" si="322"/>
        <v>1</v>
      </c>
      <c r="F532" s="127">
        <f t="shared" si="322"/>
        <v>0.3</v>
      </c>
      <c r="G532" s="127">
        <f t="shared" si="322"/>
        <v>2.3708828758287606</v>
      </c>
      <c r="H532" s="127">
        <f t="shared" si="322"/>
        <v>0.63767204069798034</v>
      </c>
      <c r="I532" s="127">
        <f t="shared" si="322"/>
        <v>0</v>
      </c>
      <c r="J532" s="127">
        <f t="shared" si="322"/>
        <v>0</v>
      </c>
      <c r="K532" s="127">
        <f t="shared" si="322"/>
        <v>0</v>
      </c>
      <c r="L532" s="127">
        <f t="shared" ref="L532" si="323">L167</f>
        <v>0.76639070978628598</v>
      </c>
      <c r="M532" s="56"/>
    </row>
    <row r="533" spans="2:13">
      <c r="B533" s="55"/>
      <c r="C533" s="75">
        <v>528</v>
      </c>
      <c r="D533" s="127">
        <f t="shared" ref="D533:H533" si="324">D168</f>
        <v>19.3</v>
      </c>
      <c r="E533" s="127">
        <f t="shared" si="324"/>
        <v>2.4</v>
      </c>
      <c r="F533" s="127">
        <f t="shared" si="324"/>
        <v>0</v>
      </c>
      <c r="G533" s="127">
        <f t="shared" si="322"/>
        <v>2.4653293804885732</v>
      </c>
      <c r="H533" s="127">
        <f t="shared" si="324"/>
        <v>0.58867937610803378</v>
      </c>
      <c r="I533" s="127">
        <f t="shared" si="322"/>
        <v>0</v>
      </c>
      <c r="J533" s="127">
        <f t="shared" si="322"/>
        <v>0</v>
      </c>
      <c r="K533" s="127">
        <f t="shared" si="322"/>
        <v>0</v>
      </c>
      <c r="L533" s="127">
        <f t="shared" ref="L533" si="325">L168</f>
        <v>0.71915050650717716</v>
      </c>
      <c r="M533" s="56"/>
    </row>
    <row r="534" spans="2:13">
      <c r="B534" s="55"/>
      <c r="C534" s="75">
        <v>529</v>
      </c>
      <c r="D534" s="127">
        <f t="shared" ref="D534:H534" si="326">D169</f>
        <v>16.600000000000001</v>
      </c>
      <c r="E534" s="127">
        <f t="shared" si="326"/>
        <v>0.5</v>
      </c>
      <c r="F534" s="127">
        <f t="shared" si="326"/>
        <v>0</v>
      </c>
      <c r="G534" s="127">
        <f t="shared" si="322"/>
        <v>2.3311242056241626</v>
      </c>
      <c r="H534" s="127">
        <f t="shared" si="326"/>
        <v>0.56071894970316749</v>
      </c>
      <c r="I534" s="127">
        <f t="shared" si="322"/>
        <v>0</v>
      </c>
      <c r="J534" s="127">
        <f t="shared" si="322"/>
        <v>0</v>
      </c>
      <c r="K534" s="127">
        <f t="shared" si="322"/>
        <v>0</v>
      </c>
      <c r="L534" s="127">
        <f t="shared" ref="L534" si="327">L169</f>
        <v>0.70450636764795949</v>
      </c>
      <c r="M534" s="56"/>
    </row>
    <row r="535" spans="2:13">
      <c r="B535" s="55"/>
      <c r="C535" s="75">
        <v>530</v>
      </c>
      <c r="D535" s="127">
        <f t="shared" ref="D535:H535" si="328">D170</f>
        <v>20</v>
      </c>
      <c r="E535" s="127">
        <f t="shared" si="328"/>
        <v>-0.5</v>
      </c>
      <c r="F535" s="127">
        <f t="shared" si="328"/>
        <v>0</v>
      </c>
      <c r="G535" s="127">
        <f t="shared" si="322"/>
        <v>2.3945445359408759</v>
      </c>
      <c r="H535" s="127">
        <f t="shared" si="328"/>
        <v>0.551516898593992</v>
      </c>
      <c r="I535" s="127">
        <f t="shared" si="322"/>
        <v>0</v>
      </c>
      <c r="J535" s="127">
        <f t="shared" si="322"/>
        <v>0</v>
      </c>
      <c r="K535" s="127">
        <f t="shared" si="322"/>
        <v>0</v>
      </c>
      <c r="L535" s="127">
        <f t="shared" ref="L535" si="329">L170</f>
        <v>0.69535301692134754</v>
      </c>
      <c r="M535" s="56"/>
    </row>
    <row r="536" spans="2:13">
      <c r="B536" s="55"/>
      <c r="C536" s="75">
        <v>531</v>
      </c>
      <c r="D536" s="127">
        <f t="shared" ref="D536:H536" si="330">D171</f>
        <v>17.8</v>
      </c>
      <c r="E536" s="127">
        <f t="shared" si="330"/>
        <v>-1.5</v>
      </c>
      <c r="F536" s="127">
        <f t="shared" si="330"/>
        <v>0</v>
      </c>
      <c r="G536" s="127">
        <f t="shared" si="322"/>
        <v>2.3017285418733526</v>
      </c>
      <c r="H536" s="127">
        <f t="shared" si="330"/>
        <v>0.54547249783773333</v>
      </c>
      <c r="I536" s="127">
        <f t="shared" si="322"/>
        <v>0</v>
      </c>
      <c r="J536" s="127">
        <f t="shared" si="322"/>
        <v>0</v>
      </c>
      <c r="K536" s="127">
        <f t="shared" si="322"/>
        <v>0</v>
      </c>
      <c r="L536" s="127">
        <f t="shared" ref="L536" si="331">L171</f>
        <v>0.6871916699564028</v>
      </c>
      <c r="M536" s="56"/>
    </row>
    <row r="537" spans="2:13">
      <c r="B537" s="55"/>
      <c r="C537" s="75">
        <v>532</v>
      </c>
      <c r="D537" s="127">
        <f t="shared" ref="D537:H537" si="332">D172</f>
        <v>20.5</v>
      </c>
      <c r="E537" s="127">
        <f t="shared" si="332"/>
        <v>-0.8</v>
      </c>
      <c r="F537" s="127">
        <f t="shared" si="332"/>
        <v>0</v>
      </c>
      <c r="G537" s="127">
        <f t="shared" si="322"/>
        <v>2.3936722399723354</v>
      </c>
      <c r="H537" s="127">
        <f t="shared" si="332"/>
        <v>0.53999657746221608</v>
      </c>
      <c r="I537" s="127">
        <f t="shared" si="322"/>
        <v>0</v>
      </c>
      <c r="J537" s="127">
        <f t="shared" si="322"/>
        <v>0</v>
      </c>
      <c r="K537" s="127">
        <f t="shared" si="322"/>
        <v>0</v>
      </c>
      <c r="L537" s="127">
        <f t="shared" ref="L537" si="333">L172</f>
        <v>0.67927479432469462</v>
      </c>
      <c r="M537" s="56"/>
    </row>
    <row r="538" spans="2:13">
      <c r="B538" s="55"/>
      <c r="C538" s="75">
        <v>533</v>
      </c>
      <c r="D538" s="127">
        <f t="shared" ref="D538:H538" si="334">D173</f>
        <v>19</v>
      </c>
      <c r="E538" s="127">
        <f t="shared" si="334"/>
        <v>-1.4</v>
      </c>
      <c r="F538" s="127">
        <f t="shared" si="334"/>
        <v>0</v>
      </c>
      <c r="G538" s="127">
        <f t="shared" si="322"/>
        <v>2.3323721021739772</v>
      </c>
      <c r="H538" s="127">
        <f t="shared" si="334"/>
        <v>0.53465906152514808</v>
      </c>
      <c r="I538" s="127">
        <f t="shared" si="322"/>
        <v>0</v>
      </c>
      <c r="J538" s="127">
        <f t="shared" si="322"/>
        <v>0</v>
      </c>
      <c r="K538" s="127">
        <f t="shared" si="322"/>
        <v>0</v>
      </c>
      <c r="L538" s="127">
        <f t="shared" ref="L538" si="335">L173</f>
        <v>0.67147734005033177</v>
      </c>
      <c r="M538" s="56"/>
    </row>
    <row r="539" spans="2:13">
      <c r="B539" s="55"/>
      <c r="C539" s="75">
        <v>534</v>
      </c>
      <c r="D539" s="127">
        <f t="shared" ref="D539:H539" si="336">D174</f>
        <v>19.600000000000001</v>
      </c>
      <c r="E539" s="127">
        <f t="shared" si="336"/>
        <v>-2.5</v>
      </c>
      <c r="F539" s="127">
        <f t="shared" si="336"/>
        <v>0</v>
      </c>
      <c r="G539" s="127">
        <f t="shared" si="322"/>
        <v>2.3163998484727317</v>
      </c>
      <c r="H539" s="127">
        <f t="shared" si="336"/>
        <v>0.52938815054281418</v>
      </c>
      <c r="I539" s="127">
        <f t="shared" si="322"/>
        <v>0</v>
      </c>
      <c r="J539" s="127">
        <f t="shared" si="322"/>
        <v>0</v>
      </c>
      <c r="K539" s="127">
        <f t="shared" si="322"/>
        <v>0</v>
      </c>
      <c r="L539" s="127">
        <f t="shared" ref="L539" si="337">L174</f>
        <v>0.66377756290169154</v>
      </c>
      <c r="M539" s="56"/>
    </row>
    <row r="540" spans="2:13">
      <c r="B540" s="55"/>
      <c r="C540" s="75">
        <v>535</v>
      </c>
      <c r="D540" s="127">
        <f t="shared" ref="D540:H540" si="338">D175</f>
        <v>20.3</v>
      </c>
      <c r="E540" s="127">
        <f t="shared" si="338"/>
        <v>-3</v>
      </c>
      <c r="F540" s="127">
        <f t="shared" si="338"/>
        <v>0</v>
      </c>
      <c r="G540" s="127">
        <f t="shared" si="322"/>
        <v>2.3203007934073701</v>
      </c>
      <c r="H540" s="127">
        <f t="shared" si="338"/>
        <v>0.52417150039064964</v>
      </c>
      <c r="I540" s="127">
        <f t="shared" si="322"/>
        <v>0</v>
      </c>
      <c r="J540" s="127">
        <f t="shared" si="322"/>
        <v>0</v>
      </c>
      <c r="K540" s="127">
        <f t="shared" si="322"/>
        <v>0</v>
      </c>
      <c r="L540" s="127">
        <f t="shared" ref="L540" si="339">L175</f>
        <v>0.65617087393195539</v>
      </c>
      <c r="M540" s="56"/>
    </row>
    <row r="541" spans="2:13">
      <c r="B541" s="55"/>
      <c r="C541" s="75">
        <v>536</v>
      </c>
      <c r="D541" s="127">
        <f t="shared" ref="D541:H541" si="340">D176</f>
        <v>21.5</v>
      </c>
      <c r="E541" s="127">
        <f t="shared" si="340"/>
        <v>-3.2</v>
      </c>
      <c r="F541" s="127">
        <f t="shared" si="340"/>
        <v>0</v>
      </c>
      <c r="G541" s="127">
        <f t="shared" si="322"/>
        <v>2.3468791979197858</v>
      </c>
      <c r="H541" s="127">
        <f t="shared" si="340"/>
        <v>0.5190066369848354</v>
      </c>
      <c r="I541" s="127">
        <f t="shared" si="322"/>
        <v>0</v>
      </c>
      <c r="J541" s="127">
        <f t="shared" si="322"/>
        <v>0</v>
      </c>
      <c r="K541" s="127">
        <f t="shared" si="322"/>
        <v>0</v>
      </c>
      <c r="L541" s="127">
        <f t="shared" ref="L541" si="341">L176</f>
        <v>0.64865554380828405</v>
      </c>
      <c r="M541" s="56"/>
    </row>
    <row r="542" spans="2:13">
      <c r="B542" s="55"/>
      <c r="C542" s="75">
        <v>537</v>
      </c>
      <c r="D542" s="127">
        <f t="shared" ref="D542:H542" si="342">D177</f>
        <v>21</v>
      </c>
      <c r="E542" s="127">
        <f t="shared" si="342"/>
        <v>-3.3</v>
      </c>
      <c r="F542" s="127">
        <f t="shared" si="342"/>
        <v>0</v>
      </c>
      <c r="G542" s="127">
        <f t="shared" si="322"/>
        <v>2.3294175636403578</v>
      </c>
      <c r="H542" s="127">
        <f t="shared" si="342"/>
        <v>0.51389272823484788</v>
      </c>
      <c r="I542" s="127">
        <f t="shared" si="322"/>
        <v>0</v>
      </c>
      <c r="J542" s="127">
        <f t="shared" si="322"/>
        <v>0</v>
      </c>
      <c r="K542" s="127">
        <f t="shared" si="322"/>
        <v>0</v>
      </c>
      <c r="L542" s="127">
        <f t="shared" ref="L542" si="343">L177</f>
        <v>0.64123033046338151</v>
      </c>
      <c r="M542" s="56"/>
    </row>
    <row r="543" spans="2:13">
      <c r="B543" s="55"/>
      <c r="C543" s="75">
        <v>538</v>
      </c>
      <c r="D543" s="127">
        <f t="shared" ref="D543:H543" si="344">D178</f>
        <v>20.8</v>
      </c>
      <c r="E543" s="127">
        <f t="shared" si="344"/>
        <v>-3</v>
      </c>
      <c r="F543" s="127">
        <f t="shared" si="344"/>
        <v>0</v>
      </c>
      <c r="G543" s="127">
        <f t="shared" si="322"/>
        <v>2.3318628434621678</v>
      </c>
      <c r="H543" s="127">
        <f t="shared" si="344"/>
        <v>0.50882921867013697</v>
      </c>
      <c r="I543" s="127">
        <f t="shared" si="322"/>
        <v>0</v>
      </c>
      <c r="J543" s="127">
        <f t="shared" si="322"/>
        <v>0</v>
      </c>
      <c r="K543" s="127">
        <f t="shared" si="322"/>
        <v>0</v>
      </c>
      <c r="L543" s="127">
        <f t="shared" ref="L543" si="345">L178</f>
        <v>0.63389408526191504</v>
      </c>
      <c r="M543" s="56"/>
    </row>
    <row r="544" spans="2:13">
      <c r="B544" s="55"/>
      <c r="C544" s="75">
        <v>539</v>
      </c>
      <c r="D544" s="127">
        <f t="shared" ref="D544:H544" si="346">D179</f>
        <v>22</v>
      </c>
      <c r="E544" s="127">
        <f t="shared" si="346"/>
        <v>-2</v>
      </c>
      <c r="F544" s="127">
        <f t="shared" si="346"/>
        <v>0</v>
      </c>
      <c r="G544" s="127">
        <f t="shared" si="322"/>
        <v>2.3934114254449868</v>
      </c>
      <c r="H544" s="127">
        <f t="shared" si="346"/>
        <v>0.5038156028341626</v>
      </c>
      <c r="I544" s="127">
        <f t="shared" si="322"/>
        <v>0</v>
      </c>
      <c r="J544" s="127">
        <f t="shared" si="322"/>
        <v>0</v>
      </c>
      <c r="K544" s="127">
        <f t="shared" si="322"/>
        <v>0</v>
      </c>
      <c r="L544" s="127">
        <f t="shared" ref="L544" si="347">L179</f>
        <v>0.62664568747690041</v>
      </c>
      <c r="M544" s="56"/>
    </row>
    <row r="545" spans="2:13">
      <c r="B545" s="55"/>
      <c r="C545" s="75">
        <v>540</v>
      </c>
      <c r="D545" s="127">
        <f t="shared" ref="D545:H545" si="348">D180</f>
        <v>20.8</v>
      </c>
      <c r="E545" s="127">
        <f t="shared" si="348"/>
        <v>-2.8</v>
      </c>
      <c r="F545" s="127">
        <f t="shared" si="348"/>
        <v>0</v>
      </c>
      <c r="G545" s="127">
        <f t="shared" si="322"/>
        <v>2.338085706244561</v>
      </c>
      <c r="H545" s="127">
        <f t="shared" si="348"/>
        <v>0.49885138764170955</v>
      </c>
      <c r="I545" s="127">
        <f t="shared" si="322"/>
        <v>0</v>
      </c>
      <c r="J545" s="127">
        <f t="shared" si="322"/>
        <v>0</v>
      </c>
      <c r="K545" s="127">
        <f t="shared" si="322"/>
        <v>0</v>
      </c>
      <c r="L545" s="127">
        <f t="shared" ref="L545" si="349">L180</f>
        <v>0.61948403324707491</v>
      </c>
      <c r="M545" s="56"/>
    </row>
    <row r="546" spans="2:13">
      <c r="B546" s="55"/>
      <c r="C546" s="75">
        <v>541</v>
      </c>
      <c r="D546" s="127">
        <f t="shared" ref="D546:H546" si="350">D181</f>
        <v>20.8</v>
      </c>
      <c r="E546" s="127">
        <f t="shared" si="350"/>
        <v>-2.8</v>
      </c>
      <c r="F546" s="127">
        <f t="shared" si="350"/>
        <v>0</v>
      </c>
      <c r="G546" s="127">
        <f t="shared" si="322"/>
        <v>2.3390831309592994</v>
      </c>
      <c r="H546" s="127">
        <f t="shared" si="350"/>
        <v>0.49393608609247464</v>
      </c>
      <c r="I546" s="127">
        <f t="shared" si="322"/>
        <v>0</v>
      </c>
      <c r="J546" s="127">
        <f t="shared" si="322"/>
        <v>0</v>
      </c>
      <c r="K546" s="127">
        <f t="shared" si="322"/>
        <v>0</v>
      </c>
      <c r="L546" s="127">
        <f t="shared" ref="L546" si="351">L181</f>
        <v>0.61240803357704732</v>
      </c>
      <c r="M546" s="56"/>
    </row>
    <row r="547" spans="2:13">
      <c r="B547" s="55"/>
      <c r="C547" s="75">
        <v>542</v>
      </c>
      <c r="D547" s="127">
        <f t="shared" ref="D547:H547" si="352">D182</f>
        <v>21.2</v>
      </c>
      <c r="E547" s="127">
        <f t="shared" si="352"/>
        <v>0.2</v>
      </c>
      <c r="F547" s="127">
        <f t="shared" si="352"/>
        <v>0</v>
      </c>
      <c r="G547" s="127">
        <f t="shared" si="322"/>
        <v>2.435976451026201</v>
      </c>
      <c r="H547" s="127">
        <f t="shared" si="352"/>
        <v>0.48906921618819305</v>
      </c>
      <c r="I547" s="127">
        <f t="shared" si="322"/>
        <v>0</v>
      </c>
      <c r="J547" s="127">
        <f t="shared" si="322"/>
        <v>0</v>
      </c>
      <c r="K547" s="127">
        <f t="shared" si="322"/>
        <v>0</v>
      </c>
      <c r="L547" s="127">
        <f t="shared" ref="L547" si="353">L182</f>
        <v>0.6054166138403424</v>
      </c>
      <c r="M547" s="56"/>
    </row>
    <row r="548" spans="2:13">
      <c r="B548" s="55"/>
      <c r="C548" s="75">
        <v>543</v>
      </c>
      <c r="D548" s="127">
        <f t="shared" ref="D548:K563" si="354">D183</f>
        <v>18.600000000000001</v>
      </c>
      <c r="E548" s="127">
        <f t="shared" si="354"/>
        <v>-0.5</v>
      </c>
      <c r="F548" s="127">
        <f t="shared" si="354"/>
        <v>0</v>
      </c>
      <c r="G548" s="127">
        <f t="shared" si="354"/>
        <v>2.3451902231736863</v>
      </c>
      <c r="H548" s="127">
        <f t="shared" si="354"/>
        <v>0.48425030071361308</v>
      </c>
      <c r="I548" s="127">
        <f t="shared" si="354"/>
        <v>0</v>
      </c>
      <c r="J548" s="127">
        <f t="shared" si="354"/>
        <v>0</v>
      </c>
      <c r="K548" s="127">
        <f t="shared" si="354"/>
        <v>0</v>
      </c>
      <c r="L548" s="127">
        <f t="shared" ref="L548" si="355">L183</f>
        <v>0.59850871353416069</v>
      </c>
      <c r="M548" s="56"/>
    </row>
    <row r="549" spans="2:13">
      <c r="B549" s="55"/>
      <c r="C549" s="75">
        <v>544</v>
      </c>
      <c r="D549" s="127">
        <f t="shared" ref="D549:H549" si="356">D184</f>
        <v>21.5</v>
      </c>
      <c r="E549" s="127">
        <f t="shared" si="356"/>
        <v>0.4</v>
      </c>
      <c r="F549" s="127">
        <f t="shared" si="356"/>
        <v>0</v>
      </c>
      <c r="G549" s="127">
        <f t="shared" si="354"/>
        <v>2.4545406855860108</v>
      </c>
      <c r="H549" s="127">
        <f t="shared" si="356"/>
        <v>0.47947886716120219</v>
      </c>
      <c r="I549" s="127">
        <f t="shared" si="354"/>
        <v>0</v>
      </c>
      <c r="J549" s="127">
        <f t="shared" si="354"/>
        <v>0</v>
      </c>
      <c r="K549" s="127">
        <f t="shared" si="354"/>
        <v>0</v>
      </c>
      <c r="L549" s="127">
        <f t="shared" ref="L549" si="357">L184</f>
        <v>0.59168328607820797</v>
      </c>
      <c r="M549" s="56"/>
    </row>
    <row r="550" spans="2:13">
      <c r="B550" s="55"/>
      <c r="C550" s="75">
        <v>545</v>
      </c>
      <c r="D550" s="127">
        <f t="shared" ref="D550:H550" si="358">D185</f>
        <v>21.5</v>
      </c>
      <c r="E550" s="127">
        <f t="shared" si="358"/>
        <v>1.2</v>
      </c>
      <c r="F550" s="127">
        <f t="shared" si="358"/>
        <v>0</v>
      </c>
      <c r="G550" s="127">
        <f t="shared" si="354"/>
        <v>2.4802527756061354</v>
      </c>
      <c r="H550" s="127">
        <f t="shared" si="358"/>
        <v>0.47475444768008696</v>
      </c>
      <c r="I550" s="127">
        <f t="shared" si="354"/>
        <v>0</v>
      </c>
      <c r="J550" s="127">
        <f t="shared" si="354"/>
        <v>0</v>
      </c>
      <c r="K550" s="127">
        <f t="shared" si="354"/>
        <v>0</v>
      </c>
      <c r="L550" s="127">
        <f t="shared" ref="L550" si="359">L185</f>
        <v>0.58493929862310412</v>
      </c>
      <c r="M550" s="56"/>
    </row>
    <row r="551" spans="2:13">
      <c r="B551" s="55"/>
      <c r="C551" s="75">
        <v>546</v>
      </c>
      <c r="D551" s="127">
        <f t="shared" ref="D551:H551" si="360">D186</f>
        <v>20.5</v>
      </c>
      <c r="E551" s="127">
        <f t="shared" si="360"/>
        <v>-1</v>
      </c>
      <c r="F551" s="127">
        <f t="shared" si="360"/>
        <v>0</v>
      </c>
      <c r="G551" s="127">
        <f t="shared" si="354"/>
        <v>2.392754921604793</v>
      </c>
      <c r="H551" s="127">
        <f t="shared" si="360"/>
        <v>0.4700765790293942</v>
      </c>
      <c r="I551" s="127">
        <f t="shared" si="354"/>
        <v>0</v>
      </c>
      <c r="J551" s="127">
        <f t="shared" si="354"/>
        <v>0</v>
      </c>
      <c r="K551" s="127">
        <f t="shared" si="354"/>
        <v>0</v>
      </c>
      <c r="L551" s="127">
        <f t="shared" ref="L551" si="361">L186</f>
        <v>0.57827573186261239</v>
      </c>
      <c r="M551" s="56"/>
    </row>
    <row r="552" spans="2:13">
      <c r="B552" s="55"/>
      <c r="C552" s="75">
        <v>547</v>
      </c>
      <c r="D552" s="127">
        <f t="shared" ref="D552:H552" si="362">D187</f>
        <v>23.1</v>
      </c>
      <c r="E552" s="127">
        <f t="shared" si="362"/>
        <v>-1.6</v>
      </c>
      <c r="F552" s="127">
        <f t="shared" si="362"/>
        <v>0</v>
      </c>
      <c r="G552" s="127">
        <f t="shared" si="354"/>
        <v>2.4531242878368142</v>
      </c>
      <c r="H552" s="127">
        <f t="shared" si="362"/>
        <v>0.46544480253269932</v>
      </c>
      <c r="I552" s="127">
        <f t="shared" si="354"/>
        <v>0</v>
      </c>
      <c r="J552" s="127">
        <f t="shared" si="354"/>
        <v>0</v>
      </c>
      <c r="K552" s="127">
        <f t="shared" si="354"/>
        <v>0</v>
      </c>
      <c r="L552" s="127">
        <f t="shared" ref="L552" si="363">L187</f>
        <v>0.57169157984870722</v>
      </c>
      <c r="M552" s="56"/>
    </row>
    <row r="553" spans="2:13">
      <c r="B553" s="55"/>
      <c r="C553" s="75">
        <v>548</v>
      </c>
      <c r="D553" s="127">
        <f t="shared" ref="D553:H553" si="364">D188</f>
        <v>23.5</v>
      </c>
      <c r="E553" s="127">
        <f t="shared" si="364"/>
        <v>-1.7</v>
      </c>
      <c r="F553" s="127">
        <f t="shared" si="364"/>
        <v>0</v>
      </c>
      <c r="G553" s="127">
        <f t="shared" si="354"/>
        <v>2.4659072305021623</v>
      </c>
      <c r="H553" s="127">
        <f t="shared" si="364"/>
        <v>0.46085866403302972</v>
      </c>
      <c r="I553" s="127">
        <f t="shared" si="354"/>
        <v>0</v>
      </c>
      <c r="J553" s="127">
        <f t="shared" si="354"/>
        <v>0</v>
      </c>
      <c r="K553" s="127">
        <f t="shared" si="354"/>
        <v>0</v>
      </c>
      <c r="L553" s="127">
        <f t="shared" ref="L553" si="365">L188</f>
        <v>0.56518584980927833</v>
      </c>
      <c r="M553" s="56"/>
    </row>
    <row r="554" spans="2:13">
      <c r="B554" s="55"/>
      <c r="C554" s="75">
        <v>549</v>
      </c>
      <c r="D554" s="127">
        <f t="shared" ref="D554:H554" si="366">D189</f>
        <v>22</v>
      </c>
      <c r="E554" s="127">
        <f t="shared" si="366"/>
        <v>-2</v>
      </c>
      <c r="F554" s="127">
        <f t="shared" si="366"/>
        <v>0</v>
      </c>
      <c r="G554" s="127">
        <f t="shared" si="354"/>
        <v>2.4192956749824468</v>
      </c>
      <c r="H554" s="127">
        <f t="shared" si="366"/>
        <v>0.45631771384833053</v>
      </c>
      <c r="I554" s="127">
        <f t="shared" si="354"/>
        <v>0</v>
      </c>
      <c r="J554" s="127">
        <f t="shared" si="354"/>
        <v>0</v>
      </c>
      <c r="K554" s="127">
        <f t="shared" si="354"/>
        <v>0</v>
      </c>
      <c r="L554" s="127">
        <f t="shared" ref="L554" si="367">L189</f>
        <v>0.5587575619684132</v>
      </c>
      <c r="M554" s="56"/>
    </row>
    <row r="555" spans="2:13">
      <c r="B555" s="55"/>
      <c r="C555" s="75">
        <v>550</v>
      </c>
      <c r="D555" s="127">
        <f t="shared" ref="D555:H555" si="368">D190</f>
        <v>21.2</v>
      </c>
      <c r="E555" s="127">
        <f t="shared" si="368"/>
        <v>2.1</v>
      </c>
      <c r="F555" s="127">
        <f t="shared" si="368"/>
        <v>0</v>
      </c>
      <c r="G555" s="127">
        <f t="shared" si="354"/>
        <v>2.518899963286704</v>
      </c>
      <c r="H555" s="127">
        <f t="shared" si="368"/>
        <v>0.4518215067273712</v>
      </c>
      <c r="I555" s="127">
        <f t="shared" si="354"/>
        <v>0</v>
      </c>
      <c r="J555" s="127">
        <f t="shared" si="354"/>
        <v>0</v>
      </c>
      <c r="K555" s="127">
        <f t="shared" si="354"/>
        <v>0</v>
      </c>
      <c r="L555" s="127">
        <f t="shared" ref="L555" si="369">L190</f>
        <v>0.55240574936921227</v>
      </c>
      <c r="M555" s="56"/>
    </row>
    <row r="556" spans="2:13">
      <c r="B556" s="55"/>
      <c r="C556" s="75">
        <v>551</v>
      </c>
      <c r="D556" s="127">
        <f t="shared" ref="D556:H556" si="370">D191</f>
        <v>22.7</v>
      </c>
      <c r="E556" s="127">
        <f t="shared" si="370"/>
        <v>0.2</v>
      </c>
      <c r="F556" s="127">
        <f t="shared" si="370"/>
        <v>0</v>
      </c>
      <c r="G556" s="127">
        <f t="shared" si="354"/>
        <v>2.5129620911696451</v>
      </c>
      <c r="H556" s="127">
        <f t="shared" si="370"/>
        <v>0.44736960180608781</v>
      </c>
      <c r="I556" s="127">
        <f t="shared" si="354"/>
        <v>0</v>
      </c>
      <c r="J556" s="127">
        <f t="shared" si="354"/>
        <v>0</v>
      </c>
      <c r="K556" s="127">
        <f t="shared" si="354"/>
        <v>0</v>
      </c>
      <c r="L556" s="127">
        <f t="shared" ref="L556" si="371">L191</f>
        <v>0.54612945769910159</v>
      </c>
      <c r="M556" s="56"/>
    </row>
    <row r="557" spans="2:13">
      <c r="B557" s="55"/>
      <c r="C557" s="75">
        <v>552</v>
      </c>
      <c r="D557" s="127">
        <f t="shared" ref="D557:H557" si="372">D192</f>
        <v>22.2</v>
      </c>
      <c r="E557" s="127">
        <f t="shared" si="372"/>
        <v>1.2</v>
      </c>
      <c r="F557" s="127">
        <f t="shared" si="372"/>
        <v>0</v>
      </c>
      <c r="G557" s="127">
        <f t="shared" si="354"/>
        <v>2.533526824825874</v>
      </c>
      <c r="H557" s="127">
        <f t="shared" si="372"/>
        <v>0.44296156256435493</v>
      </c>
      <c r="I557" s="127">
        <f t="shared" si="354"/>
        <v>0</v>
      </c>
      <c r="J557" s="127">
        <f t="shared" si="354"/>
        <v>0</v>
      </c>
      <c r="K557" s="127">
        <f t="shared" si="354"/>
        <v>0</v>
      </c>
      <c r="L557" s="127">
        <f t="shared" ref="L557" si="373">L192</f>
        <v>0.53992774511760677</v>
      </c>
      <c r="M557" s="56"/>
    </row>
    <row r="558" spans="2:13">
      <c r="B558" s="55"/>
      <c r="C558" s="75">
        <v>553</v>
      </c>
      <c r="D558" s="127">
        <f t="shared" ref="D558:H558" si="374">D193</f>
        <v>23.5</v>
      </c>
      <c r="E558" s="127">
        <f t="shared" si="374"/>
        <v>-4</v>
      </c>
      <c r="F558" s="127">
        <f t="shared" si="374"/>
        <v>0</v>
      </c>
      <c r="G558" s="127">
        <f t="shared" si="354"/>
        <v>2.4276615118042058</v>
      </c>
      <c r="H558" s="127">
        <f t="shared" si="374"/>
        <v>0.43859695678318411</v>
      </c>
      <c r="I558" s="127">
        <f t="shared" si="354"/>
        <v>0</v>
      </c>
      <c r="J558" s="127">
        <f t="shared" si="354"/>
        <v>0</v>
      </c>
      <c r="K558" s="127">
        <f t="shared" si="354"/>
        <v>0</v>
      </c>
      <c r="L558" s="127">
        <f t="shared" ref="L558" si="375">L193</f>
        <v>0.53379968208655049</v>
      </c>
      <c r="M558" s="56"/>
    </row>
    <row r="559" spans="2:13">
      <c r="B559" s="55"/>
      <c r="C559" s="75">
        <v>554</v>
      </c>
      <c r="D559" s="127">
        <f t="shared" ref="D559:H559" si="376">D194</f>
        <v>20.8</v>
      </c>
      <c r="E559" s="127">
        <f t="shared" si="376"/>
        <v>-4.2</v>
      </c>
      <c r="F559" s="127">
        <f t="shared" si="376"/>
        <v>0</v>
      </c>
      <c r="G559" s="127">
        <f t="shared" si="354"/>
        <v>2.3519339645372019</v>
      </c>
      <c r="H559" s="127">
        <f t="shared" si="376"/>
        <v>0.43427535650234311</v>
      </c>
      <c r="I559" s="127">
        <f t="shared" si="354"/>
        <v>0</v>
      </c>
      <c r="J559" s="127">
        <f t="shared" si="354"/>
        <v>0</v>
      </c>
      <c r="K559" s="127">
        <f t="shared" si="354"/>
        <v>0</v>
      </c>
      <c r="L559" s="127">
        <f t="shared" ref="L559" si="377">L194</f>
        <v>0.52774435120264218</v>
      </c>
      <c r="M559" s="56"/>
    </row>
    <row r="560" spans="2:13">
      <c r="B560" s="55"/>
      <c r="C560" s="75">
        <v>555</v>
      </c>
      <c r="D560" s="127">
        <f t="shared" ref="D560:H560" si="378">D195</f>
        <v>19</v>
      </c>
      <c r="E560" s="127">
        <f t="shared" si="378"/>
        <v>-4.5999999999999996</v>
      </c>
      <c r="F560" s="127">
        <f t="shared" si="378"/>
        <v>2.2000000000000002</v>
      </c>
      <c r="G560" s="127">
        <f t="shared" si="354"/>
        <v>2.2967748046185164</v>
      </c>
      <c r="H560" s="127">
        <f t="shared" si="378"/>
        <v>0.46673150141145658</v>
      </c>
      <c r="I560" s="127">
        <f t="shared" si="354"/>
        <v>0</v>
      </c>
      <c r="J560" s="127">
        <f t="shared" si="354"/>
        <v>0</v>
      </c>
      <c r="K560" s="127">
        <f t="shared" si="354"/>
        <v>0</v>
      </c>
      <c r="L560" s="127">
        <f t="shared" ref="L560" si="379">L195</f>
        <v>0.55692192037094435</v>
      </c>
      <c r="M560" s="56"/>
    </row>
    <row r="561" spans="2:13">
      <c r="B561" s="55"/>
      <c r="C561" s="75">
        <v>556</v>
      </c>
      <c r="D561" s="127">
        <f t="shared" ref="D561:H561" si="380">D196</f>
        <v>18.600000000000001</v>
      </c>
      <c r="E561" s="127">
        <f t="shared" si="380"/>
        <v>0.5</v>
      </c>
      <c r="F561" s="127">
        <f t="shared" si="380"/>
        <v>0</v>
      </c>
      <c r="G561" s="127">
        <f t="shared" si="354"/>
        <v>2.4374338897749892</v>
      </c>
      <c r="H561" s="127">
        <f t="shared" si="380"/>
        <v>0.43185517980568139</v>
      </c>
      <c r="I561" s="127">
        <f t="shared" si="354"/>
        <v>0</v>
      </c>
      <c r="J561" s="127">
        <f t="shared" si="354"/>
        <v>0</v>
      </c>
      <c r="K561" s="127">
        <f t="shared" si="354"/>
        <v>0</v>
      </c>
      <c r="L561" s="127">
        <f t="shared" ref="L561" si="381">L196</f>
        <v>0.52168277538037766</v>
      </c>
      <c r="M561" s="56"/>
    </row>
    <row r="562" spans="2:13">
      <c r="B562" s="55"/>
      <c r="C562" s="75">
        <v>557</v>
      </c>
      <c r="D562" s="127">
        <f t="shared" ref="D562:H562" si="382">D197</f>
        <v>18.8</v>
      </c>
      <c r="E562" s="127">
        <f t="shared" si="382"/>
        <v>3.1</v>
      </c>
      <c r="F562" s="127">
        <f t="shared" si="382"/>
        <v>0</v>
      </c>
      <c r="G562" s="127">
        <f t="shared" si="354"/>
        <v>2.5264615148208835</v>
      </c>
      <c r="H562" s="127">
        <f t="shared" si="382"/>
        <v>0.4225758698378323</v>
      </c>
      <c r="I562" s="127">
        <f t="shared" si="354"/>
        <v>0</v>
      </c>
      <c r="J562" s="127">
        <f t="shared" si="354"/>
        <v>0</v>
      </c>
      <c r="K562" s="127">
        <f t="shared" si="354"/>
        <v>0</v>
      </c>
      <c r="L562" s="127">
        <f t="shared" ref="L562" si="383">L197</f>
        <v>0.51097391139091186</v>
      </c>
      <c r="M562" s="56"/>
    </row>
    <row r="563" spans="2:13">
      <c r="B563" s="55"/>
      <c r="C563" s="75">
        <v>558</v>
      </c>
      <c r="D563" s="127">
        <f t="shared" ref="D563:H563" si="384">D198</f>
        <v>19.5</v>
      </c>
      <c r="E563" s="127">
        <f t="shared" si="384"/>
        <v>2.1</v>
      </c>
      <c r="F563" s="127">
        <f t="shared" si="384"/>
        <v>0</v>
      </c>
      <c r="G563" s="127">
        <f t="shared" si="354"/>
        <v>2.5261862618367199</v>
      </c>
      <c r="H563" s="127">
        <f t="shared" si="384"/>
        <v>0.41757844212331774</v>
      </c>
      <c r="I563" s="127">
        <f t="shared" si="354"/>
        <v>0</v>
      </c>
      <c r="J563" s="127">
        <f t="shared" si="354"/>
        <v>0</v>
      </c>
      <c r="K563" s="127">
        <f t="shared" si="354"/>
        <v>0</v>
      </c>
      <c r="L563" s="127">
        <f t="shared" ref="L563" si="385">L198</f>
        <v>0.50439306877098888</v>
      </c>
      <c r="M563" s="56"/>
    </row>
    <row r="564" spans="2:13">
      <c r="B564" s="55"/>
      <c r="C564" s="75">
        <v>559</v>
      </c>
      <c r="D564" s="127">
        <f t="shared" ref="D564:K579" si="386">D199</f>
        <v>18.2</v>
      </c>
      <c r="E564" s="127">
        <f t="shared" si="386"/>
        <v>-0.2</v>
      </c>
      <c r="F564" s="127">
        <f t="shared" si="386"/>
        <v>0</v>
      </c>
      <c r="G564" s="127">
        <f t="shared" si="386"/>
        <v>2.430382972700353</v>
      </c>
      <c r="H564" s="127">
        <f t="shared" si="386"/>
        <v>0.41332560331019036</v>
      </c>
      <c r="I564" s="127">
        <f t="shared" si="386"/>
        <v>0</v>
      </c>
      <c r="J564" s="127">
        <f t="shared" si="386"/>
        <v>0</v>
      </c>
      <c r="K564" s="127">
        <f t="shared" si="386"/>
        <v>0</v>
      </c>
      <c r="L564" s="127">
        <f t="shared" ref="L564" si="387">L199</f>
        <v>0.49855405674293762</v>
      </c>
      <c r="M564" s="56"/>
    </row>
    <row r="565" spans="2:13">
      <c r="B565" s="55"/>
      <c r="C565" s="75">
        <v>560</v>
      </c>
      <c r="D565" s="127">
        <f t="shared" ref="D565:H565" si="388">D200</f>
        <v>17.8</v>
      </c>
      <c r="E565" s="127">
        <f t="shared" si="388"/>
        <v>-1.5</v>
      </c>
      <c r="F565" s="127">
        <f t="shared" si="388"/>
        <v>0</v>
      </c>
      <c r="G565" s="127">
        <f t="shared" si="386"/>
        <v>2.3902587780755238</v>
      </c>
      <c r="H565" s="127">
        <f t="shared" si="388"/>
        <v>0.40923005223454412</v>
      </c>
      <c r="I565" s="127">
        <f t="shared" si="386"/>
        <v>0</v>
      </c>
      <c r="J565" s="127">
        <f t="shared" si="386"/>
        <v>0</v>
      </c>
      <c r="K565" s="127">
        <f t="shared" si="386"/>
        <v>0</v>
      </c>
      <c r="L565" s="127">
        <f t="shared" ref="L565" si="389">L200</f>
        <v>0.49289427782567596</v>
      </c>
      <c r="M565" s="56"/>
    </row>
    <row r="566" spans="2:13">
      <c r="B566" s="55"/>
      <c r="C566" s="75">
        <v>561</v>
      </c>
      <c r="D566" s="127">
        <f t="shared" ref="D566:H566" si="390">D201</f>
        <v>21.2</v>
      </c>
      <c r="E566" s="127">
        <f t="shared" si="390"/>
        <v>-1.8</v>
      </c>
      <c r="F566" s="127">
        <f t="shared" si="390"/>
        <v>0</v>
      </c>
      <c r="G566" s="127">
        <f t="shared" si="386"/>
        <v>2.4893534264694219</v>
      </c>
      <c r="H566" s="127">
        <f t="shared" si="390"/>
        <v>0.40519400191415422</v>
      </c>
      <c r="I566" s="127">
        <f t="shared" si="386"/>
        <v>0</v>
      </c>
      <c r="J566" s="127">
        <f t="shared" si="386"/>
        <v>0</v>
      </c>
      <c r="K566" s="127">
        <f t="shared" si="386"/>
        <v>0</v>
      </c>
      <c r="L566" s="127">
        <f t="shared" ref="L566" si="391">L201</f>
        <v>0.48731968041627505</v>
      </c>
      <c r="M566" s="56"/>
    </row>
    <row r="567" spans="2:13">
      <c r="B567" s="55"/>
      <c r="C567" s="75">
        <v>562</v>
      </c>
      <c r="D567" s="127">
        <f t="shared" ref="D567:H567" si="392">D202</f>
        <v>19</v>
      </c>
      <c r="E567" s="127">
        <f t="shared" si="392"/>
        <v>-1</v>
      </c>
      <c r="F567" s="127">
        <f t="shared" si="392"/>
        <v>0</v>
      </c>
      <c r="G567" s="127">
        <f t="shared" si="386"/>
        <v>2.4582065789312035</v>
      </c>
      <c r="H567" s="127">
        <f t="shared" si="392"/>
        <v>0.40120089682811094</v>
      </c>
      <c r="I567" s="127">
        <f t="shared" si="386"/>
        <v>0</v>
      </c>
      <c r="J567" s="127">
        <f t="shared" si="386"/>
        <v>0</v>
      </c>
      <c r="K567" s="127">
        <f t="shared" si="386"/>
        <v>0</v>
      </c>
      <c r="L567" s="127">
        <f t="shared" ref="L567" si="393">L202</f>
        <v>0.48181397074256777</v>
      </c>
      <c r="M567" s="56"/>
    </row>
    <row r="568" spans="2:13">
      <c r="B568" s="55"/>
      <c r="C568" s="75">
        <v>563</v>
      </c>
      <c r="D568" s="127">
        <f t="shared" ref="D568:H568" si="394">D203</f>
        <v>19.8</v>
      </c>
      <c r="E568" s="127">
        <f t="shared" si="394"/>
        <v>-2.7</v>
      </c>
      <c r="F568" s="127">
        <f t="shared" si="394"/>
        <v>0</v>
      </c>
      <c r="G568" s="127">
        <f t="shared" si="386"/>
        <v>2.4419065630285375</v>
      </c>
      <c r="H568" s="127">
        <f t="shared" si="394"/>
        <v>0.39724766394876837</v>
      </c>
      <c r="I568" s="127">
        <f t="shared" si="386"/>
        <v>0</v>
      </c>
      <c r="J568" s="127">
        <f t="shared" si="386"/>
        <v>0</v>
      </c>
      <c r="K568" s="127">
        <f t="shared" si="386"/>
        <v>0</v>
      </c>
      <c r="L568" s="127">
        <f t="shared" ref="L568" si="395">L203</f>
        <v>0.47637376680659005</v>
      </c>
      <c r="M568" s="56"/>
    </row>
    <row r="569" spans="2:13">
      <c r="B569" s="55"/>
      <c r="C569" s="75">
        <v>564</v>
      </c>
      <c r="D569" s="127">
        <f t="shared" ref="D569:H569" si="396">D204</f>
        <v>20.2</v>
      </c>
      <c r="E569" s="127">
        <f t="shared" si="396"/>
        <v>-1.7</v>
      </c>
      <c r="F569" s="127">
        <f t="shared" si="396"/>
        <v>0.2</v>
      </c>
      <c r="G569" s="127">
        <f t="shared" si="386"/>
        <v>2.493245313577745</v>
      </c>
      <c r="H569" s="127">
        <f t="shared" si="396"/>
        <v>0.39469601753775185</v>
      </c>
      <c r="I569" s="127">
        <f t="shared" si="386"/>
        <v>0</v>
      </c>
      <c r="J569" s="127">
        <f t="shared" si="386"/>
        <v>0</v>
      </c>
      <c r="K569" s="127">
        <f t="shared" si="386"/>
        <v>0</v>
      </c>
      <c r="L569" s="127">
        <f t="shared" ref="L569" si="397">L204</f>
        <v>0.47236038479014719</v>
      </c>
      <c r="M569" s="56"/>
    </row>
    <row r="570" spans="2:13">
      <c r="B570" s="55"/>
      <c r="C570" s="75">
        <v>565</v>
      </c>
      <c r="D570" s="127">
        <f t="shared" ref="D570:H570" si="398">D205</f>
        <v>14.5</v>
      </c>
      <c r="E570" s="127">
        <f t="shared" si="398"/>
        <v>3.8</v>
      </c>
      <c r="F570" s="127">
        <f t="shared" si="398"/>
        <v>1.6</v>
      </c>
      <c r="G570" s="127">
        <f t="shared" si="386"/>
        <v>2.4980752559414756</v>
      </c>
      <c r="H570" s="127">
        <f t="shared" si="398"/>
        <v>0.40370887175651904</v>
      </c>
      <c r="I570" s="127">
        <f t="shared" si="386"/>
        <v>0</v>
      </c>
      <c r="J570" s="127">
        <f t="shared" si="386"/>
        <v>0</v>
      </c>
      <c r="K570" s="127">
        <f t="shared" si="386"/>
        <v>1.8698277389861999</v>
      </c>
      <c r="L570" s="127">
        <f t="shared" ref="L570" si="399">L205</f>
        <v>0.47823024091191901</v>
      </c>
      <c r="M570" s="56"/>
    </row>
    <row r="571" spans="2:13">
      <c r="B571" s="55"/>
      <c r="C571" s="75">
        <v>566</v>
      </c>
      <c r="D571" s="127">
        <f t="shared" ref="D571:H571" si="400">D206</f>
        <v>13.8</v>
      </c>
      <c r="E571" s="127">
        <f t="shared" si="400"/>
        <v>2.4</v>
      </c>
      <c r="F571" s="127">
        <f t="shared" si="400"/>
        <v>5.0999999999999996</v>
      </c>
      <c r="G571" s="127">
        <f t="shared" si="386"/>
        <v>2.4470842700112385</v>
      </c>
      <c r="H571" s="127">
        <f t="shared" si="400"/>
        <v>0.53627056947260843</v>
      </c>
      <c r="I571" s="127">
        <f t="shared" si="386"/>
        <v>0</v>
      </c>
      <c r="J571" s="127">
        <f t="shared" si="386"/>
        <v>0</v>
      </c>
      <c r="K571" s="127">
        <f t="shared" si="386"/>
        <v>0</v>
      </c>
      <c r="L571" s="127">
        <f t="shared" ref="L571" si="401">L206</f>
        <v>0.64535181915131179</v>
      </c>
      <c r="M571" s="56"/>
    </row>
    <row r="572" spans="2:13">
      <c r="B572" s="55"/>
      <c r="C572" s="75">
        <v>567</v>
      </c>
      <c r="D572" s="127">
        <f t="shared" ref="D572:H572" si="402">D207</f>
        <v>9.4</v>
      </c>
      <c r="E572" s="127">
        <f t="shared" si="402"/>
        <v>4.5</v>
      </c>
      <c r="F572" s="127">
        <f t="shared" si="402"/>
        <v>6.7</v>
      </c>
      <c r="G572" s="127">
        <f t="shared" si="386"/>
        <v>2.3904587126430354</v>
      </c>
      <c r="H572" s="127">
        <f t="shared" si="402"/>
        <v>0.76278442032947424</v>
      </c>
      <c r="I572" s="127">
        <f t="shared" si="386"/>
        <v>0</v>
      </c>
      <c r="J572" s="127">
        <f t="shared" si="386"/>
        <v>0</v>
      </c>
      <c r="K572" s="127">
        <f t="shared" si="386"/>
        <v>45.968421531225083</v>
      </c>
      <c r="L572" s="127">
        <f t="shared" ref="L572" si="403">L207</f>
        <v>0.81027909226538741</v>
      </c>
      <c r="M572" s="56"/>
    </row>
    <row r="573" spans="2:13">
      <c r="B573" s="55"/>
      <c r="C573" s="75">
        <v>568</v>
      </c>
      <c r="D573" s="127">
        <f t="shared" ref="D573:H573" si="404">D208</f>
        <v>15.5</v>
      </c>
      <c r="E573" s="127">
        <f t="shared" si="404"/>
        <v>3.7</v>
      </c>
      <c r="F573" s="127">
        <f t="shared" si="404"/>
        <v>0</v>
      </c>
      <c r="G573" s="127">
        <f t="shared" si="386"/>
        <v>2.5591604037520312</v>
      </c>
      <c r="H573" s="127">
        <f t="shared" si="404"/>
        <v>0.65258167712238535</v>
      </c>
      <c r="I573" s="127">
        <f t="shared" si="386"/>
        <v>0</v>
      </c>
      <c r="J573" s="127">
        <f t="shared" si="386"/>
        <v>0</v>
      </c>
      <c r="K573" s="127">
        <f t="shared" si="386"/>
        <v>0</v>
      </c>
      <c r="L573" s="127">
        <f t="shared" ref="L573" si="405">L208</f>
        <v>0.71458746562592157</v>
      </c>
      <c r="M573" s="56"/>
    </row>
    <row r="574" spans="2:13">
      <c r="B574" s="55"/>
      <c r="C574" s="75">
        <v>569</v>
      </c>
      <c r="D574" s="127">
        <f t="shared" ref="D574:H574" si="406">D209</f>
        <v>17.600000000000001</v>
      </c>
      <c r="E574" s="127">
        <f t="shared" si="406"/>
        <v>0.4</v>
      </c>
      <c r="F574" s="127">
        <f t="shared" si="406"/>
        <v>0</v>
      </c>
      <c r="G574" s="127">
        <f t="shared" si="386"/>
        <v>2.5351793926110946</v>
      </c>
      <c r="H574" s="127">
        <f t="shared" si="406"/>
        <v>0.59731516684897612</v>
      </c>
      <c r="I574" s="127">
        <f t="shared" si="386"/>
        <v>0</v>
      </c>
      <c r="J574" s="127">
        <f t="shared" si="386"/>
        <v>0</v>
      </c>
      <c r="K574" s="127">
        <f t="shared" si="386"/>
        <v>0</v>
      </c>
      <c r="L574" s="127">
        <f t="shared" ref="L574" si="407">L209</f>
        <v>0.65661176177431324</v>
      </c>
      <c r="M574" s="56"/>
    </row>
    <row r="575" spans="2:13">
      <c r="B575" s="55"/>
      <c r="C575" s="75">
        <v>570</v>
      </c>
      <c r="D575" s="127">
        <f t="shared" ref="D575:H575" si="408">D210</f>
        <v>20.6</v>
      </c>
      <c r="E575" s="127">
        <f t="shared" si="408"/>
        <v>-0.9</v>
      </c>
      <c r="F575" s="127">
        <f t="shared" si="408"/>
        <v>0</v>
      </c>
      <c r="G575" s="127">
        <f t="shared" si="386"/>
        <v>2.5988607369229908</v>
      </c>
      <c r="H575" s="127">
        <f t="shared" si="408"/>
        <v>0.54277851294565549</v>
      </c>
      <c r="I575" s="127">
        <f t="shared" si="386"/>
        <v>0</v>
      </c>
      <c r="J575" s="127">
        <f t="shared" si="386"/>
        <v>0</v>
      </c>
      <c r="K575" s="127">
        <f t="shared" si="386"/>
        <v>0</v>
      </c>
      <c r="L575" s="127">
        <f t="shared" ref="L575" si="409">L210</f>
        <v>0.59939286502954536</v>
      </c>
      <c r="M575" s="56"/>
    </row>
    <row r="576" spans="2:13">
      <c r="B576" s="55"/>
      <c r="C576" s="75">
        <v>571</v>
      </c>
      <c r="D576" s="127">
        <f t="shared" ref="D576:H576" si="410">D211</f>
        <v>21.2</v>
      </c>
      <c r="E576" s="127">
        <f t="shared" si="410"/>
        <v>-1.5</v>
      </c>
      <c r="F576" s="127">
        <f t="shared" si="410"/>
        <v>0</v>
      </c>
      <c r="G576" s="127">
        <f t="shared" si="386"/>
        <v>2.6116466061112749</v>
      </c>
      <c r="H576" s="127">
        <f t="shared" si="410"/>
        <v>0.48979587905881394</v>
      </c>
      <c r="I576" s="127">
        <f t="shared" si="386"/>
        <v>0</v>
      </c>
      <c r="J576" s="127">
        <f t="shared" si="386"/>
        <v>0</v>
      </c>
      <c r="K576" s="127">
        <f t="shared" si="386"/>
        <v>0</v>
      </c>
      <c r="L576" s="127">
        <f t="shared" ref="L576" si="411">L211</f>
        <v>0.54378864174426755</v>
      </c>
      <c r="M576" s="56"/>
    </row>
    <row r="577" spans="2:13">
      <c r="B577" s="55"/>
      <c r="C577" s="75">
        <v>572</v>
      </c>
      <c r="D577" s="127">
        <f t="shared" ref="D577:H577" si="412">D212</f>
        <v>20.8</v>
      </c>
      <c r="E577" s="127">
        <f t="shared" si="412"/>
        <v>-3.5</v>
      </c>
      <c r="F577" s="127">
        <f t="shared" si="412"/>
        <v>0</v>
      </c>
      <c r="G577" s="127">
        <f t="shared" si="386"/>
        <v>2.5515362998372089</v>
      </c>
      <c r="H577" s="127">
        <f t="shared" si="412"/>
        <v>0.43952996938800232</v>
      </c>
      <c r="I577" s="127">
        <f t="shared" si="386"/>
        <v>0</v>
      </c>
      <c r="J577" s="127">
        <f t="shared" si="386"/>
        <v>0</v>
      </c>
      <c r="K577" s="127">
        <f t="shared" si="386"/>
        <v>0</v>
      </c>
      <c r="L577" s="127">
        <f t="shared" ref="L577" si="413">L212</f>
        <v>0.49100913317253891</v>
      </c>
      <c r="M577" s="56"/>
    </row>
    <row r="578" spans="2:13">
      <c r="B578" s="55"/>
      <c r="C578" s="75">
        <v>573</v>
      </c>
      <c r="D578" s="127">
        <f t="shared" ref="D578:H578" si="414">D213</f>
        <v>21.1</v>
      </c>
      <c r="E578" s="127">
        <f t="shared" si="414"/>
        <v>-4</v>
      </c>
      <c r="F578" s="127">
        <f t="shared" si="414"/>
        <v>0</v>
      </c>
      <c r="G578" s="127">
        <f t="shared" si="386"/>
        <v>2.5584351387585538</v>
      </c>
      <c r="H578" s="127">
        <f t="shared" si="414"/>
        <v>0.3907724027209234</v>
      </c>
      <c r="I578" s="127">
        <f t="shared" si="386"/>
        <v>0</v>
      </c>
      <c r="J578" s="127">
        <f t="shared" si="386"/>
        <v>0</v>
      </c>
      <c r="K578" s="127">
        <f t="shared" si="386"/>
        <v>0</v>
      </c>
      <c r="L578" s="127">
        <f t="shared" ref="L578" si="415">L213</f>
        <v>0.43979765783059283</v>
      </c>
      <c r="M578" s="56"/>
    </row>
    <row r="579" spans="2:13">
      <c r="B579" s="55"/>
      <c r="C579" s="75">
        <v>574</v>
      </c>
      <c r="D579" s="127">
        <f t="shared" ref="D579:H579" si="416">D214</f>
        <v>21.2</v>
      </c>
      <c r="E579" s="127">
        <f t="shared" si="416"/>
        <v>-3</v>
      </c>
      <c r="F579" s="127">
        <f t="shared" si="416"/>
        <v>0</v>
      </c>
      <c r="G579" s="127">
        <f t="shared" si="386"/>
        <v>2.6054355343606921</v>
      </c>
      <c r="H579" s="127">
        <f t="shared" si="416"/>
        <v>0.36139144171613563</v>
      </c>
      <c r="I579" s="127">
        <f t="shared" si="386"/>
        <v>0</v>
      </c>
      <c r="J579" s="127">
        <f t="shared" si="386"/>
        <v>0</v>
      </c>
      <c r="K579" s="127">
        <f t="shared" si="386"/>
        <v>0</v>
      </c>
      <c r="L579" s="127">
        <f t="shared" ref="L579" si="417">L214</f>
        <v>0.42374949560197905</v>
      </c>
      <c r="M579" s="56"/>
    </row>
    <row r="580" spans="2:13">
      <c r="B580" s="55"/>
      <c r="C580" s="75">
        <v>575</v>
      </c>
      <c r="D580" s="127">
        <f t="shared" ref="D580:K595" si="418">D215</f>
        <v>22</v>
      </c>
      <c r="E580" s="127">
        <f t="shared" si="418"/>
        <v>-3.3</v>
      </c>
      <c r="F580" s="127">
        <f t="shared" si="418"/>
        <v>0</v>
      </c>
      <c r="G580" s="127">
        <f t="shared" si="418"/>
        <v>2.6345521529102429</v>
      </c>
      <c r="H580" s="127">
        <f t="shared" si="418"/>
        <v>0.35359411380808009</v>
      </c>
      <c r="I580" s="127">
        <f t="shared" si="418"/>
        <v>0</v>
      </c>
      <c r="J580" s="127">
        <f t="shared" si="418"/>
        <v>0</v>
      </c>
      <c r="K580" s="127">
        <f t="shared" si="418"/>
        <v>0</v>
      </c>
      <c r="L580" s="127">
        <f t="shared" ref="L580" si="419">L215</f>
        <v>0.41714742716992165</v>
      </c>
      <c r="M580" s="56"/>
    </row>
    <row r="581" spans="2:13">
      <c r="B581" s="55"/>
      <c r="C581" s="75">
        <v>576</v>
      </c>
      <c r="D581" s="127">
        <f t="shared" ref="D581:H581" si="420">D216</f>
        <v>24</v>
      </c>
      <c r="E581" s="127">
        <f t="shared" si="420"/>
        <v>-0.5</v>
      </c>
      <c r="F581" s="127">
        <f t="shared" si="420"/>
        <v>0</v>
      </c>
      <c r="G581" s="127">
        <f t="shared" si="418"/>
        <v>2.7991626514538632</v>
      </c>
      <c r="H581" s="127">
        <f t="shared" si="420"/>
        <v>0.3494070854999124</v>
      </c>
      <c r="I581" s="127">
        <f t="shared" si="418"/>
        <v>0</v>
      </c>
      <c r="J581" s="127">
        <f t="shared" si="418"/>
        <v>0</v>
      </c>
      <c r="K581" s="127">
        <f t="shared" si="418"/>
        <v>0</v>
      </c>
      <c r="L581" s="127">
        <f t="shared" ref="L581" si="421">L216</f>
        <v>0.41215900240862818</v>
      </c>
      <c r="M581" s="56"/>
    </row>
    <row r="582" spans="2:13">
      <c r="B582" s="55"/>
      <c r="C582" s="75">
        <v>577</v>
      </c>
      <c r="D582" s="127">
        <f t="shared" ref="D582:H582" si="422">D217</f>
        <v>20.100000000000001</v>
      </c>
      <c r="E582" s="127">
        <f t="shared" si="422"/>
        <v>-0.3</v>
      </c>
      <c r="F582" s="127">
        <f t="shared" si="422"/>
        <v>0</v>
      </c>
      <c r="G582" s="127">
        <f t="shared" si="418"/>
        <v>2.6971916123987216</v>
      </c>
      <c r="H582" s="127">
        <f t="shared" si="422"/>
        <v>0.34584764413041885</v>
      </c>
      <c r="I582" s="127">
        <f t="shared" si="418"/>
        <v>0</v>
      </c>
      <c r="J582" s="127">
        <f t="shared" si="418"/>
        <v>0</v>
      </c>
      <c r="K582" s="127">
        <f t="shared" si="418"/>
        <v>0</v>
      </c>
      <c r="L582" s="127">
        <f t="shared" ref="L582" si="423">L217</f>
        <v>0.40748396532594028</v>
      </c>
      <c r="M582" s="56"/>
    </row>
    <row r="583" spans="2:13">
      <c r="B583" s="55"/>
      <c r="C583" s="75">
        <v>578</v>
      </c>
      <c r="D583" s="127">
        <f t="shared" ref="D583:H583" si="424">D218</f>
        <v>21</v>
      </c>
      <c r="E583" s="127">
        <f t="shared" si="424"/>
        <v>2.9</v>
      </c>
      <c r="F583" s="127">
        <f t="shared" si="424"/>
        <v>0</v>
      </c>
      <c r="G583" s="127">
        <f t="shared" si="418"/>
        <v>2.8420829597613548</v>
      </c>
      <c r="H583" s="127">
        <f t="shared" si="424"/>
        <v>0.3424205684233429</v>
      </c>
      <c r="I583" s="127">
        <f t="shared" si="418"/>
        <v>0</v>
      </c>
      <c r="J583" s="127">
        <f t="shared" si="418"/>
        <v>0</v>
      </c>
      <c r="K583" s="127">
        <f t="shared" si="418"/>
        <v>0</v>
      </c>
      <c r="L583" s="127">
        <f t="shared" ref="L583" si="425">L218</f>
        <v>0.40290599556483792</v>
      </c>
      <c r="M583" s="56"/>
    </row>
    <row r="584" spans="2:13">
      <c r="B584" s="55"/>
      <c r="C584" s="75">
        <v>579</v>
      </c>
      <c r="D584" s="127">
        <f t="shared" ref="D584:H584" si="426">D219</f>
        <v>19.8</v>
      </c>
      <c r="E584" s="127">
        <f t="shared" si="426"/>
        <v>3</v>
      </c>
      <c r="F584" s="127">
        <f t="shared" si="426"/>
        <v>0.4</v>
      </c>
      <c r="G584" s="127">
        <f t="shared" si="418"/>
        <v>2.8222281617491181</v>
      </c>
      <c r="H584" s="127">
        <f t="shared" si="426"/>
        <v>0.34176849874473908</v>
      </c>
      <c r="I584" s="127">
        <f t="shared" si="418"/>
        <v>0</v>
      </c>
      <c r="J584" s="127">
        <f t="shared" si="418"/>
        <v>0</v>
      </c>
      <c r="K584" s="127">
        <f t="shared" si="418"/>
        <v>0</v>
      </c>
      <c r="L584" s="127">
        <f t="shared" ref="L584" si="427">L219</f>
        <v>0.40111373797668731</v>
      </c>
      <c r="M584" s="56"/>
    </row>
    <row r="585" spans="2:13">
      <c r="B585" s="55"/>
      <c r="C585" s="75">
        <v>580</v>
      </c>
      <c r="D585" s="127">
        <f t="shared" ref="D585:H585" si="428">D220</f>
        <v>21.6</v>
      </c>
      <c r="E585" s="127">
        <f t="shared" si="428"/>
        <v>1.2</v>
      </c>
      <c r="F585" s="127">
        <f t="shared" si="428"/>
        <v>0</v>
      </c>
      <c r="G585" s="127">
        <f t="shared" si="418"/>
        <v>2.8377424915441565</v>
      </c>
      <c r="H585" s="127">
        <f t="shared" si="428"/>
        <v>0.33615438869858794</v>
      </c>
      <c r="I585" s="127">
        <f t="shared" si="418"/>
        <v>0</v>
      </c>
      <c r="J585" s="127">
        <f t="shared" si="418"/>
        <v>0</v>
      </c>
      <c r="K585" s="127">
        <f t="shared" si="418"/>
        <v>0</v>
      </c>
      <c r="L585" s="127">
        <f t="shared" ref="L585" si="429">L220</f>
        <v>0.39437750905630753</v>
      </c>
      <c r="M585" s="56"/>
    </row>
    <row r="586" spans="2:13">
      <c r="B586" s="55"/>
      <c r="C586" s="75">
        <v>581</v>
      </c>
      <c r="D586" s="127">
        <f t="shared" ref="D586:H586" si="430">D221</f>
        <v>21.8</v>
      </c>
      <c r="E586" s="127">
        <f t="shared" si="430"/>
        <v>1</v>
      </c>
      <c r="F586" s="127">
        <f t="shared" si="430"/>
        <v>0</v>
      </c>
      <c r="G586" s="127">
        <f t="shared" si="418"/>
        <v>2.8534617094698262</v>
      </c>
      <c r="H586" s="127">
        <f t="shared" si="430"/>
        <v>0.33246938960163064</v>
      </c>
      <c r="I586" s="127">
        <f t="shared" si="418"/>
        <v>0</v>
      </c>
      <c r="J586" s="127">
        <f t="shared" si="418"/>
        <v>0</v>
      </c>
      <c r="K586" s="127">
        <f t="shared" si="418"/>
        <v>0</v>
      </c>
      <c r="L586" s="127">
        <f t="shared" ref="L586" si="431">L221</f>
        <v>0.38958941528297791</v>
      </c>
      <c r="M586" s="56"/>
    </row>
    <row r="587" spans="2:13">
      <c r="B587" s="55"/>
      <c r="C587" s="75">
        <v>582</v>
      </c>
      <c r="D587" s="127">
        <f t="shared" ref="D587:H587" si="432">D222</f>
        <v>20.6</v>
      </c>
      <c r="E587" s="127">
        <f t="shared" si="432"/>
        <v>5</v>
      </c>
      <c r="F587" s="127">
        <f t="shared" si="432"/>
        <v>0</v>
      </c>
      <c r="G587" s="127">
        <f t="shared" si="418"/>
        <v>2.9609077310269818</v>
      </c>
      <c r="H587" s="127">
        <f t="shared" si="432"/>
        <v>0.32913163014044072</v>
      </c>
      <c r="I587" s="127">
        <f t="shared" si="418"/>
        <v>0</v>
      </c>
      <c r="J587" s="127">
        <f t="shared" si="418"/>
        <v>0</v>
      </c>
      <c r="K587" s="127">
        <f t="shared" si="418"/>
        <v>0</v>
      </c>
      <c r="L587" s="127">
        <f t="shared" ref="L587" si="433">L222</f>
        <v>0.38516748147923457</v>
      </c>
      <c r="M587" s="56"/>
    </row>
    <row r="588" spans="2:13">
      <c r="B588" s="55"/>
      <c r="C588" s="75">
        <v>583</v>
      </c>
      <c r="D588" s="127">
        <f t="shared" ref="D588:H588" si="434">D223</f>
        <v>11.6</v>
      </c>
      <c r="E588" s="127">
        <f t="shared" si="434"/>
        <v>1.2</v>
      </c>
      <c r="F588" s="127">
        <f t="shared" si="434"/>
        <v>2.6</v>
      </c>
      <c r="G588" s="127">
        <f t="shared" si="418"/>
        <v>2.5634399633777334</v>
      </c>
      <c r="H588" s="127">
        <f t="shared" si="434"/>
        <v>0.37177130520181545</v>
      </c>
      <c r="I588" s="127">
        <f t="shared" si="418"/>
        <v>0</v>
      </c>
      <c r="J588" s="127">
        <f t="shared" si="418"/>
        <v>0</v>
      </c>
      <c r="K588" s="127">
        <f t="shared" si="418"/>
        <v>0</v>
      </c>
      <c r="L588" s="127">
        <f t="shared" ref="L588" si="435">L223</f>
        <v>0.42500310880191838</v>
      </c>
      <c r="M588" s="56"/>
    </row>
    <row r="589" spans="2:13">
      <c r="B589" s="55"/>
      <c r="C589" s="75">
        <v>584</v>
      </c>
      <c r="D589" s="127">
        <f t="shared" ref="D589:H589" si="436">D224</f>
        <v>17.5</v>
      </c>
      <c r="E589" s="127">
        <f t="shared" si="436"/>
        <v>5.2</v>
      </c>
      <c r="F589" s="127">
        <f t="shared" si="436"/>
        <v>0</v>
      </c>
      <c r="G589" s="127">
        <f t="shared" si="418"/>
        <v>2.8984574272055048</v>
      </c>
      <c r="H589" s="127">
        <f t="shared" si="436"/>
        <v>0.33028100075596389</v>
      </c>
      <c r="I589" s="127">
        <f t="shared" si="418"/>
        <v>0</v>
      </c>
      <c r="J589" s="127">
        <f t="shared" si="418"/>
        <v>0</v>
      </c>
      <c r="K589" s="127">
        <f t="shared" si="418"/>
        <v>0</v>
      </c>
      <c r="L589" s="127">
        <f t="shared" ref="L589" si="437">L224</f>
        <v>0.38391565506039138</v>
      </c>
      <c r="M589" s="56"/>
    </row>
    <row r="590" spans="2:13">
      <c r="B590" s="55"/>
      <c r="C590" s="75">
        <v>585</v>
      </c>
      <c r="D590" s="127">
        <f t="shared" ref="D590:H590" si="438">D225</f>
        <v>19.600000000000001</v>
      </c>
      <c r="E590" s="127">
        <f t="shared" si="438"/>
        <v>0.7</v>
      </c>
      <c r="F590" s="127">
        <f t="shared" si="438"/>
        <v>0.6</v>
      </c>
      <c r="G590" s="127">
        <f t="shared" si="418"/>
        <v>2.8359833973919355</v>
      </c>
      <c r="H590" s="127">
        <f t="shared" si="438"/>
        <v>0.32483740497761687</v>
      </c>
      <c r="I590" s="127">
        <f t="shared" si="418"/>
        <v>0</v>
      </c>
      <c r="J590" s="127">
        <f t="shared" si="418"/>
        <v>0</v>
      </c>
      <c r="K590" s="127">
        <f t="shared" si="418"/>
        <v>0</v>
      </c>
      <c r="L590" s="127">
        <f t="shared" ref="L590" si="439">L225</f>
        <v>0.37768353390100906</v>
      </c>
      <c r="M590" s="56"/>
    </row>
    <row r="591" spans="2:13">
      <c r="B591" s="55"/>
      <c r="C591" s="75">
        <v>586</v>
      </c>
      <c r="D591" s="127">
        <f t="shared" ref="D591:H591" si="440">D226</f>
        <v>21.2</v>
      </c>
      <c r="E591" s="127">
        <f t="shared" si="440"/>
        <v>3.2</v>
      </c>
      <c r="F591" s="127">
        <f t="shared" si="440"/>
        <v>0</v>
      </c>
      <c r="G591" s="127">
        <f t="shared" si="418"/>
        <v>2.9879785998245687</v>
      </c>
      <c r="H591" s="127">
        <f t="shared" si="440"/>
        <v>0.31722606311903995</v>
      </c>
      <c r="I591" s="127">
        <f t="shared" si="418"/>
        <v>0</v>
      </c>
      <c r="J591" s="127">
        <f t="shared" si="418"/>
        <v>0</v>
      </c>
      <c r="K591" s="127">
        <f t="shared" si="418"/>
        <v>0</v>
      </c>
      <c r="L591" s="127">
        <f t="shared" ref="L591" si="441">L226</f>
        <v>0.36910072934080601</v>
      </c>
      <c r="M591" s="56"/>
    </row>
    <row r="592" spans="2:13">
      <c r="B592" s="55"/>
      <c r="C592" s="75">
        <v>587</v>
      </c>
      <c r="D592" s="127">
        <f t="shared" ref="D592:H592" si="442">D227</f>
        <v>20.2</v>
      </c>
      <c r="E592" s="127">
        <f t="shared" si="442"/>
        <v>4.8</v>
      </c>
      <c r="F592" s="127">
        <f t="shared" si="442"/>
        <v>0</v>
      </c>
      <c r="G592" s="127">
        <f t="shared" si="418"/>
        <v>3.0251026668768954</v>
      </c>
      <c r="H592" s="127">
        <f t="shared" si="442"/>
        <v>0.31336847349689817</v>
      </c>
      <c r="I592" s="127">
        <f t="shared" si="418"/>
        <v>0</v>
      </c>
      <c r="J592" s="127">
        <f t="shared" si="418"/>
        <v>0</v>
      </c>
      <c r="K592" s="127">
        <f t="shared" si="418"/>
        <v>0</v>
      </c>
      <c r="L592" s="127">
        <f t="shared" ref="L592" si="443">L227</f>
        <v>0.36425583422531727</v>
      </c>
      <c r="M592" s="56"/>
    </row>
    <row r="593" spans="2:13">
      <c r="B593" s="55"/>
      <c r="C593" s="75">
        <v>588</v>
      </c>
      <c r="D593" s="127">
        <f t="shared" ref="D593:H593" si="444">D228</f>
        <v>21.2</v>
      </c>
      <c r="E593" s="127">
        <f t="shared" si="444"/>
        <v>0.5</v>
      </c>
      <c r="F593" s="127">
        <f t="shared" si="444"/>
        <v>0</v>
      </c>
      <c r="G593" s="127">
        <f t="shared" si="418"/>
        <v>2.9315218158616569</v>
      </c>
      <c r="H593" s="127">
        <f t="shared" si="444"/>
        <v>0.3101593328685569</v>
      </c>
      <c r="I593" s="127">
        <f t="shared" si="418"/>
        <v>0</v>
      </c>
      <c r="J593" s="127">
        <f t="shared" si="418"/>
        <v>0</v>
      </c>
      <c r="K593" s="127">
        <f t="shared" si="418"/>
        <v>0</v>
      </c>
      <c r="L593" s="127">
        <f t="shared" ref="L593" si="445">L228</f>
        <v>0.36007103413060415</v>
      </c>
      <c r="M593" s="56"/>
    </row>
    <row r="594" spans="2:13">
      <c r="B594" s="55"/>
      <c r="C594" s="75">
        <v>589</v>
      </c>
      <c r="D594" s="127">
        <f t="shared" ref="D594:H594" si="446">D229</f>
        <v>19.8</v>
      </c>
      <c r="E594" s="127">
        <f t="shared" si="446"/>
        <v>1.1000000000000001</v>
      </c>
      <c r="F594" s="127">
        <f t="shared" si="446"/>
        <v>0</v>
      </c>
      <c r="G594" s="127">
        <f t="shared" si="418"/>
        <v>2.9214703807293878</v>
      </c>
      <c r="H594" s="127">
        <f t="shared" si="446"/>
        <v>0.30708310671443972</v>
      </c>
      <c r="I594" s="127">
        <f t="shared" si="418"/>
        <v>0</v>
      </c>
      <c r="J594" s="127">
        <f t="shared" si="418"/>
        <v>0</v>
      </c>
      <c r="K594" s="127">
        <f t="shared" si="418"/>
        <v>0</v>
      </c>
      <c r="L594" s="127">
        <f t="shared" ref="L594" si="447">L229</f>
        <v>0.35603512149977035</v>
      </c>
      <c r="M594" s="56"/>
    </row>
    <row r="595" spans="2:13">
      <c r="B595" s="55"/>
      <c r="C595" s="75">
        <v>590</v>
      </c>
      <c r="D595" s="127">
        <f t="shared" ref="D595:H595" si="448">D230</f>
        <v>20.100000000000001</v>
      </c>
      <c r="E595" s="127">
        <f t="shared" si="448"/>
        <v>0.2</v>
      </c>
      <c r="F595" s="127">
        <f t="shared" si="448"/>
        <v>0.2</v>
      </c>
      <c r="G595" s="127">
        <f t="shared" si="418"/>
        <v>2.9180240548772223</v>
      </c>
      <c r="H595" s="127">
        <f t="shared" si="448"/>
        <v>0.30541654655466866</v>
      </c>
      <c r="I595" s="127">
        <f t="shared" si="418"/>
        <v>0</v>
      </c>
      <c r="J595" s="127">
        <f t="shared" si="418"/>
        <v>0</v>
      </c>
      <c r="K595" s="127">
        <f t="shared" si="418"/>
        <v>0</v>
      </c>
      <c r="L595" s="127">
        <f t="shared" ref="L595" si="449">L230</f>
        <v>0.35342533516556512</v>
      </c>
      <c r="M595" s="56"/>
    </row>
    <row r="596" spans="2:13">
      <c r="B596" s="55"/>
      <c r="C596" s="75">
        <v>591</v>
      </c>
      <c r="D596" s="127">
        <f t="shared" ref="D596:K611" si="450">D231</f>
        <v>21</v>
      </c>
      <c r="E596" s="127">
        <f t="shared" si="450"/>
        <v>-1</v>
      </c>
      <c r="F596" s="127">
        <f t="shared" si="450"/>
        <v>0</v>
      </c>
      <c r="G596" s="127">
        <f t="shared" si="450"/>
        <v>2.9246176015025909</v>
      </c>
      <c r="H596" s="127">
        <f t="shared" si="450"/>
        <v>0.30128362436071976</v>
      </c>
      <c r="I596" s="127">
        <f t="shared" si="450"/>
        <v>0</v>
      </c>
      <c r="J596" s="127">
        <f t="shared" si="450"/>
        <v>0</v>
      </c>
      <c r="K596" s="127">
        <f t="shared" si="450"/>
        <v>0</v>
      </c>
      <c r="L596" s="127">
        <f t="shared" ref="L596" si="451">L231</f>
        <v>0.34836550095916996</v>
      </c>
      <c r="M596" s="56"/>
    </row>
    <row r="597" spans="2:13">
      <c r="B597" s="55"/>
      <c r="C597" s="75">
        <v>592</v>
      </c>
      <c r="D597" s="127">
        <f t="shared" ref="D597:H597" si="452">D232</f>
        <v>21.5</v>
      </c>
      <c r="E597" s="127">
        <f t="shared" si="452"/>
        <v>-0.7</v>
      </c>
      <c r="F597" s="127">
        <f t="shared" si="452"/>
        <v>0</v>
      </c>
      <c r="G597" s="127">
        <f t="shared" si="450"/>
        <v>2.9685670418686545</v>
      </c>
      <c r="H597" s="127">
        <f t="shared" si="452"/>
        <v>0.29812856227339773</v>
      </c>
      <c r="I597" s="127">
        <f t="shared" si="450"/>
        <v>0</v>
      </c>
      <c r="J597" s="127">
        <f t="shared" si="450"/>
        <v>0</v>
      </c>
      <c r="K597" s="127">
        <f t="shared" si="450"/>
        <v>0</v>
      </c>
      <c r="L597" s="127">
        <f t="shared" ref="L597" si="453">L232</f>
        <v>0.3442995933948747</v>
      </c>
      <c r="M597" s="56"/>
    </row>
    <row r="598" spans="2:13">
      <c r="B598" s="55"/>
      <c r="C598" s="75">
        <v>593</v>
      </c>
      <c r="D598" s="127">
        <f t="shared" ref="D598:H598" si="454">D233</f>
        <v>19.8</v>
      </c>
      <c r="E598" s="127">
        <f t="shared" si="454"/>
        <v>1</v>
      </c>
      <c r="F598" s="127">
        <f t="shared" si="454"/>
        <v>0</v>
      </c>
      <c r="G598" s="127">
        <f t="shared" si="450"/>
        <v>2.9855406044935635</v>
      </c>
      <c r="H598" s="127">
        <f t="shared" si="454"/>
        <v>0.29516009291076828</v>
      </c>
      <c r="I598" s="127">
        <f t="shared" si="450"/>
        <v>0</v>
      </c>
      <c r="J598" s="127">
        <f t="shared" si="450"/>
        <v>0</v>
      </c>
      <c r="K598" s="127">
        <f t="shared" si="450"/>
        <v>0</v>
      </c>
      <c r="L598" s="127">
        <f t="shared" ref="L598" si="455">L233</f>
        <v>0.34043608419363275</v>
      </c>
      <c r="M598" s="56"/>
    </row>
    <row r="599" spans="2:13">
      <c r="B599" s="55"/>
      <c r="C599" s="75">
        <v>594</v>
      </c>
      <c r="D599" s="127">
        <f t="shared" ref="D599:H599" si="456">D234</f>
        <v>21.2</v>
      </c>
      <c r="E599" s="127">
        <f t="shared" si="456"/>
        <v>1.3</v>
      </c>
      <c r="F599" s="127">
        <f t="shared" si="456"/>
        <v>3.3</v>
      </c>
      <c r="G599" s="127">
        <f t="shared" si="450"/>
        <v>3.0611421102374341</v>
      </c>
      <c r="H599" s="127">
        <f t="shared" si="456"/>
        <v>0.35366515771315216</v>
      </c>
      <c r="I599" s="127">
        <f t="shared" si="450"/>
        <v>0</v>
      </c>
      <c r="J599" s="127">
        <f t="shared" si="450"/>
        <v>0</v>
      </c>
      <c r="K599" s="127">
        <f t="shared" si="450"/>
        <v>0</v>
      </c>
      <c r="L599" s="127">
        <f t="shared" ref="L599" si="457">L234</f>
        <v>0.39599744396811409</v>
      </c>
      <c r="M599" s="56"/>
    </row>
    <row r="600" spans="2:13">
      <c r="B600" s="55"/>
      <c r="C600" s="75">
        <v>595</v>
      </c>
      <c r="D600" s="127">
        <f t="shared" ref="D600:H600" si="458">D235</f>
        <v>21.2</v>
      </c>
      <c r="E600" s="127">
        <f t="shared" si="458"/>
        <v>1.2</v>
      </c>
      <c r="F600" s="127">
        <f t="shared" si="458"/>
        <v>0</v>
      </c>
      <c r="G600" s="127">
        <f t="shared" si="450"/>
        <v>3.075060401031136</v>
      </c>
      <c r="H600" s="127">
        <f t="shared" si="458"/>
        <v>0.2995578058563349</v>
      </c>
      <c r="I600" s="127">
        <f t="shared" si="450"/>
        <v>0</v>
      </c>
      <c r="J600" s="127">
        <f t="shared" si="450"/>
        <v>0</v>
      </c>
      <c r="K600" s="127">
        <f t="shared" si="450"/>
        <v>0</v>
      </c>
      <c r="L600" s="127">
        <f t="shared" ref="L600" si="459">L235</f>
        <v>0.34274757207488749</v>
      </c>
      <c r="M600" s="56"/>
    </row>
    <row r="601" spans="2:13">
      <c r="B601" s="55"/>
      <c r="C601" s="75">
        <v>596</v>
      </c>
      <c r="D601" s="127">
        <f t="shared" ref="D601:H601" si="460">D236</f>
        <v>21.7</v>
      </c>
      <c r="E601" s="127">
        <f t="shared" si="460"/>
        <v>0.9</v>
      </c>
      <c r="F601" s="127">
        <f t="shared" si="460"/>
        <v>0</v>
      </c>
      <c r="G601" s="127">
        <f t="shared" si="450"/>
        <v>3.0994468988309913</v>
      </c>
      <c r="H601" s="127">
        <f t="shared" si="460"/>
        <v>0.2882060622414469</v>
      </c>
      <c r="I601" s="127">
        <f t="shared" si="450"/>
        <v>0</v>
      </c>
      <c r="J601" s="127">
        <f t="shared" si="450"/>
        <v>0</v>
      </c>
      <c r="K601" s="127">
        <f t="shared" si="450"/>
        <v>0</v>
      </c>
      <c r="L601" s="127">
        <f t="shared" ref="L601" si="461">L236</f>
        <v>0.33083235292176916</v>
      </c>
      <c r="M601" s="56"/>
    </row>
    <row r="602" spans="2:13">
      <c r="B602" s="55"/>
      <c r="C602" s="75">
        <v>597</v>
      </c>
      <c r="D602" s="127">
        <f t="shared" ref="D602:H602" si="462">D237</f>
        <v>20.9</v>
      </c>
      <c r="E602" s="127">
        <f t="shared" si="462"/>
        <v>4.7</v>
      </c>
      <c r="F602" s="127">
        <f t="shared" si="462"/>
        <v>0</v>
      </c>
      <c r="G602" s="127">
        <f t="shared" si="450"/>
        <v>3.2225263343142583</v>
      </c>
      <c r="H602" s="127">
        <f t="shared" si="462"/>
        <v>0.28397241266212792</v>
      </c>
      <c r="I602" s="127">
        <f t="shared" si="450"/>
        <v>0</v>
      </c>
      <c r="J602" s="127">
        <f t="shared" si="450"/>
        <v>0</v>
      </c>
      <c r="K602" s="127">
        <f t="shared" si="450"/>
        <v>0</v>
      </c>
      <c r="L602" s="127">
        <f t="shared" ref="L602" si="463">L237</f>
        <v>0.32581173464129509</v>
      </c>
      <c r="M602" s="56"/>
    </row>
    <row r="603" spans="2:13">
      <c r="B603" s="55"/>
      <c r="C603" s="75">
        <v>598</v>
      </c>
      <c r="D603" s="127">
        <f t="shared" ref="D603:H603" si="464">D238</f>
        <v>20.100000000000001</v>
      </c>
      <c r="E603" s="127">
        <f t="shared" si="464"/>
        <v>3.3</v>
      </c>
      <c r="F603" s="127">
        <f t="shared" si="464"/>
        <v>0</v>
      </c>
      <c r="G603" s="127">
        <f t="shared" si="450"/>
        <v>3.16263764547337</v>
      </c>
      <c r="H603" s="127">
        <f t="shared" si="464"/>
        <v>0.28094306841741629</v>
      </c>
      <c r="I603" s="127">
        <f t="shared" si="450"/>
        <v>0</v>
      </c>
      <c r="J603" s="127">
        <f t="shared" si="450"/>
        <v>0</v>
      </c>
      <c r="K603" s="127">
        <f t="shared" si="450"/>
        <v>0</v>
      </c>
      <c r="L603" s="127">
        <f t="shared" ref="L603" si="465">L238</f>
        <v>0.3219704282542864</v>
      </c>
      <c r="M603" s="56"/>
    </row>
    <row r="604" spans="2:13">
      <c r="B604" s="55"/>
      <c r="C604" s="75">
        <v>599</v>
      </c>
      <c r="D604" s="127">
        <f t="shared" ref="D604:H604" si="466">D239</f>
        <v>21.8</v>
      </c>
      <c r="E604" s="127">
        <f t="shared" si="466"/>
        <v>6.5</v>
      </c>
      <c r="F604" s="127">
        <f t="shared" si="466"/>
        <v>0</v>
      </c>
      <c r="G604" s="127">
        <f t="shared" si="450"/>
        <v>3.3553192455129048</v>
      </c>
      <c r="H604" s="127">
        <f t="shared" si="466"/>
        <v>0.27813648896908444</v>
      </c>
      <c r="I604" s="127">
        <f t="shared" si="450"/>
        <v>0</v>
      </c>
      <c r="J604" s="127">
        <f t="shared" si="450"/>
        <v>0</v>
      </c>
      <c r="K604" s="127">
        <f t="shared" si="450"/>
        <v>0</v>
      </c>
      <c r="L604" s="127">
        <f t="shared" ref="L604" si="467">L239</f>
        <v>0.31835963200079653</v>
      </c>
      <c r="M604" s="56"/>
    </row>
    <row r="605" spans="2:13">
      <c r="B605" s="55"/>
      <c r="C605" s="75">
        <v>600</v>
      </c>
      <c r="D605" s="127">
        <f t="shared" ref="D605:H605" si="468">D240</f>
        <v>23</v>
      </c>
      <c r="E605" s="127">
        <f t="shared" si="468"/>
        <v>1.2</v>
      </c>
      <c r="F605" s="127">
        <f t="shared" si="468"/>
        <v>0</v>
      </c>
      <c r="G605" s="127">
        <f t="shared" si="450"/>
        <v>3.2264798362725386</v>
      </c>
      <c r="H605" s="127">
        <f t="shared" si="468"/>
        <v>0.27538957518040313</v>
      </c>
      <c r="I605" s="127">
        <f t="shared" si="450"/>
        <v>0</v>
      </c>
      <c r="J605" s="127">
        <f t="shared" si="450"/>
        <v>0</v>
      </c>
      <c r="K605" s="127">
        <f t="shared" si="450"/>
        <v>0</v>
      </c>
      <c r="L605" s="127">
        <f t="shared" ref="L605" si="469">L240</f>
        <v>0.31482148295479162</v>
      </c>
      <c r="M605" s="56"/>
    </row>
    <row r="606" spans="2:13">
      <c r="B606" s="55"/>
      <c r="C606" s="75">
        <v>601</v>
      </c>
      <c r="D606" s="127">
        <f t="shared" ref="D606:H606" si="470">D241</f>
        <v>23</v>
      </c>
      <c r="E606" s="127">
        <f t="shared" si="470"/>
        <v>1.8</v>
      </c>
      <c r="F606" s="127">
        <f t="shared" si="470"/>
        <v>0</v>
      </c>
      <c r="G606" s="127">
        <f t="shared" si="450"/>
        <v>3.2658064911590858</v>
      </c>
      <c r="H606" s="127">
        <f t="shared" si="470"/>
        <v>0.27267503930212456</v>
      </c>
      <c r="I606" s="127">
        <f t="shared" si="450"/>
        <v>0</v>
      </c>
      <c r="J606" s="127">
        <f t="shared" si="450"/>
        <v>0</v>
      </c>
      <c r="K606" s="127">
        <f t="shared" si="450"/>
        <v>0</v>
      </c>
      <c r="L606" s="127">
        <f t="shared" ref="L606" si="471">L241</f>
        <v>0.31132936904721575</v>
      </c>
      <c r="M606" s="56"/>
    </row>
    <row r="607" spans="2:13">
      <c r="B607" s="55"/>
      <c r="C607" s="75">
        <v>602</v>
      </c>
      <c r="D607" s="127">
        <f t="shared" ref="D607:H607" si="472">D242</f>
        <v>18.2</v>
      </c>
      <c r="E607" s="127">
        <f t="shared" si="472"/>
        <v>0.8</v>
      </c>
      <c r="F607" s="127">
        <f t="shared" si="472"/>
        <v>0</v>
      </c>
      <c r="G607" s="127">
        <f t="shared" si="450"/>
        <v>3.075397185378272</v>
      </c>
      <c r="H607" s="127">
        <f t="shared" si="472"/>
        <v>0.26998813183201165</v>
      </c>
      <c r="I607" s="127">
        <f t="shared" si="450"/>
        <v>0</v>
      </c>
      <c r="J607" s="127">
        <f t="shared" si="450"/>
        <v>0</v>
      </c>
      <c r="K607" s="127">
        <f t="shared" si="450"/>
        <v>0</v>
      </c>
      <c r="L607" s="127">
        <f t="shared" ref="L607" si="473">L242</f>
        <v>0.30787846279345032</v>
      </c>
      <c r="M607" s="56"/>
    </row>
    <row r="608" spans="2:13">
      <c r="B608" s="55"/>
      <c r="C608" s="75">
        <v>603</v>
      </c>
      <c r="D608" s="127">
        <f t="shared" ref="D608:H608" si="474">D243</f>
        <v>19.8</v>
      </c>
      <c r="E608" s="127">
        <f t="shared" si="474"/>
        <v>3.2</v>
      </c>
      <c r="F608" s="127">
        <f t="shared" si="474"/>
        <v>0</v>
      </c>
      <c r="G608" s="127">
        <f t="shared" si="450"/>
        <v>3.2362670079758282</v>
      </c>
      <c r="H608" s="127">
        <f t="shared" si="474"/>
        <v>0.26732784536402548</v>
      </c>
      <c r="I608" s="127">
        <f t="shared" si="450"/>
        <v>0</v>
      </c>
      <c r="J608" s="127">
        <f t="shared" si="450"/>
        <v>0</v>
      </c>
      <c r="K608" s="127">
        <f t="shared" si="450"/>
        <v>0</v>
      </c>
      <c r="L608" s="127">
        <f t="shared" ref="L608" si="475">L243</f>
        <v>0.3044675567914828</v>
      </c>
      <c r="M608" s="56"/>
    </row>
    <row r="609" spans="2:13">
      <c r="B609" s="55"/>
      <c r="C609" s="75">
        <v>604</v>
      </c>
      <c r="D609" s="127">
        <f t="shared" ref="D609:H609" si="476">D244</f>
        <v>20.5</v>
      </c>
      <c r="E609" s="127">
        <f t="shared" si="476"/>
        <v>4</v>
      </c>
      <c r="F609" s="127">
        <f t="shared" si="476"/>
        <v>0</v>
      </c>
      <c r="G609" s="127">
        <f t="shared" si="450"/>
        <v>3.3083070034484288</v>
      </c>
      <c r="H609" s="127">
        <f t="shared" si="476"/>
        <v>0.26469379560256001</v>
      </c>
      <c r="I609" s="127">
        <f t="shared" si="450"/>
        <v>0</v>
      </c>
      <c r="J609" s="127">
        <f t="shared" si="450"/>
        <v>0</v>
      </c>
      <c r="K609" s="127">
        <f t="shared" si="450"/>
        <v>0</v>
      </c>
      <c r="L609" s="127">
        <f t="shared" ref="L609" si="477">L244</f>
        <v>0.30109604950170304</v>
      </c>
      <c r="M609" s="56"/>
    </row>
    <row r="610" spans="2:13">
      <c r="B610" s="55"/>
      <c r="C610" s="75">
        <v>605</v>
      </c>
      <c r="D610" s="127">
        <f t="shared" ref="D610:H610" si="478">D245</f>
        <v>19.2</v>
      </c>
      <c r="E610" s="127">
        <f t="shared" si="478"/>
        <v>0.8</v>
      </c>
      <c r="F610" s="127">
        <f t="shared" si="478"/>
        <v>0</v>
      </c>
      <c r="G610" s="127">
        <f t="shared" si="450"/>
        <v>3.1619114160019071</v>
      </c>
      <c r="H610" s="127">
        <f t="shared" si="478"/>
        <v>0.26208570378810392</v>
      </c>
      <c r="I610" s="127">
        <f t="shared" si="450"/>
        <v>0</v>
      </c>
      <c r="J610" s="127">
        <f t="shared" si="450"/>
        <v>0</v>
      </c>
      <c r="K610" s="127">
        <f t="shared" si="450"/>
        <v>0</v>
      </c>
      <c r="L610" s="127">
        <f t="shared" ref="L610" si="479">L245</f>
        <v>0.29776344500977348</v>
      </c>
      <c r="M610" s="56"/>
    </row>
    <row r="611" spans="2:13">
      <c r="B611" s="55"/>
      <c r="C611" s="75">
        <v>606</v>
      </c>
      <c r="D611" s="127">
        <f t="shared" ref="D611:H611" si="480">D246</f>
        <v>20</v>
      </c>
      <c r="E611" s="127">
        <f t="shared" si="480"/>
        <v>-1</v>
      </c>
      <c r="F611" s="127">
        <f t="shared" si="480"/>
        <v>0</v>
      </c>
      <c r="G611" s="127">
        <f t="shared" si="450"/>
        <v>3.142248663647214</v>
      </c>
      <c r="H611" s="127">
        <f t="shared" si="480"/>
        <v>0.25950331079177474</v>
      </c>
      <c r="I611" s="127">
        <f t="shared" si="450"/>
        <v>0</v>
      </c>
      <c r="J611" s="127">
        <f t="shared" si="450"/>
        <v>0</v>
      </c>
      <c r="K611" s="127">
        <f t="shared" si="450"/>
        <v>0</v>
      </c>
      <c r="L611" s="127">
        <f t="shared" ref="L611" si="481">L246</f>
        <v>0.29446926995156664</v>
      </c>
      <c r="M611" s="56"/>
    </row>
    <row r="612" spans="2:13">
      <c r="B612" s="55"/>
      <c r="C612" s="75">
        <v>607</v>
      </c>
      <c r="D612" s="127">
        <f t="shared" ref="D612:K627" si="482">D247</f>
        <v>22.6</v>
      </c>
      <c r="E612" s="127">
        <f t="shared" si="482"/>
        <v>0.4</v>
      </c>
      <c r="F612" s="127">
        <f t="shared" si="482"/>
        <v>0</v>
      </c>
      <c r="G612" s="127">
        <f t="shared" si="482"/>
        <v>3.3057509019918894</v>
      </c>
      <c r="H612" s="127">
        <f t="shared" si="482"/>
        <v>0.25694636283960831</v>
      </c>
      <c r="I612" s="127">
        <f t="shared" si="482"/>
        <v>0</v>
      </c>
      <c r="J612" s="127">
        <f t="shared" si="482"/>
        <v>0</v>
      </c>
      <c r="K612" s="127">
        <f t="shared" si="482"/>
        <v>0</v>
      </c>
      <c r="L612" s="127">
        <f t="shared" ref="L612" si="483">L247</f>
        <v>0.29121305966137612</v>
      </c>
      <c r="M612" s="56"/>
    </row>
    <row r="613" spans="2:13">
      <c r="B613" s="55"/>
      <c r="C613" s="75">
        <v>608</v>
      </c>
      <c r="D613" s="127">
        <f t="shared" ref="D613:H613" si="484">D248</f>
        <v>21.6</v>
      </c>
      <c r="E613" s="127">
        <f t="shared" si="484"/>
        <v>0.4</v>
      </c>
      <c r="F613" s="127">
        <f t="shared" si="484"/>
        <v>0</v>
      </c>
      <c r="G613" s="127">
        <f t="shared" si="482"/>
        <v>3.2859478911151392</v>
      </c>
      <c r="H613" s="127">
        <f t="shared" si="484"/>
        <v>0.25441460912303321</v>
      </c>
      <c r="I613" s="127">
        <f t="shared" si="482"/>
        <v>0</v>
      </c>
      <c r="J613" s="127">
        <f t="shared" si="482"/>
        <v>0</v>
      </c>
      <c r="K613" s="127">
        <f t="shared" si="482"/>
        <v>0</v>
      </c>
      <c r="L613" s="127">
        <f t="shared" ref="L613" si="485">L248</f>
        <v>0.287994355807701</v>
      </c>
      <c r="M613" s="56"/>
    </row>
    <row r="614" spans="2:13">
      <c r="B614" s="55"/>
      <c r="C614" s="75">
        <v>609</v>
      </c>
      <c r="D614" s="127">
        <f t="shared" ref="D614:H614" si="486">D249</f>
        <v>21</v>
      </c>
      <c r="E614" s="127">
        <f t="shared" si="486"/>
        <v>2.8</v>
      </c>
      <c r="F614" s="127">
        <f t="shared" si="486"/>
        <v>0</v>
      </c>
      <c r="G614" s="127">
        <f t="shared" si="482"/>
        <v>3.3698157027958091</v>
      </c>
      <c r="H614" s="127">
        <f t="shared" si="486"/>
        <v>0.25190780138189772</v>
      </c>
      <c r="I614" s="127">
        <f t="shared" si="482"/>
        <v>0</v>
      </c>
      <c r="J614" s="127">
        <f t="shared" si="482"/>
        <v>0</v>
      </c>
      <c r="K614" s="127">
        <f t="shared" si="482"/>
        <v>0</v>
      </c>
      <c r="L614" s="127">
        <f t="shared" ref="L614" si="487">L249</f>
        <v>0.284812705936142</v>
      </c>
      <c r="M614" s="56"/>
    </row>
    <row r="615" spans="2:13">
      <c r="B615" s="55"/>
      <c r="C615" s="75">
        <v>610</v>
      </c>
      <c r="D615" s="127">
        <f t="shared" ref="D615:H615" si="488">D250</f>
        <v>22</v>
      </c>
      <c r="E615" s="127">
        <f t="shared" si="488"/>
        <v>1.2</v>
      </c>
      <c r="F615" s="127">
        <f t="shared" si="488"/>
        <v>0</v>
      </c>
      <c r="G615" s="127">
        <f t="shared" si="482"/>
        <v>3.3645115697556052</v>
      </c>
      <c r="H615" s="127">
        <f t="shared" si="488"/>
        <v>0.24942569381501734</v>
      </c>
      <c r="I615" s="127">
        <f t="shared" si="482"/>
        <v>0</v>
      </c>
      <c r="J615" s="127">
        <f t="shared" si="482"/>
        <v>0</v>
      </c>
      <c r="K615" s="127">
        <f t="shared" si="482"/>
        <v>0</v>
      </c>
      <c r="L615" s="127">
        <f t="shared" ref="L615" si="489">L250</f>
        <v>0.28166766332964843</v>
      </c>
      <c r="M615" s="56"/>
    </row>
    <row r="616" spans="2:13">
      <c r="B616" s="55"/>
      <c r="C616" s="75">
        <v>611</v>
      </c>
      <c r="D616" s="127">
        <f t="shared" ref="D616:H616" si="490">D251</f>
        <v>22.2</v>
      </c>
      <c r="E616" s="127">
        <f t="shared" si="490"/>
        <v>1.4</v>
      </c>
      <c r="F616" s="127">
        <f t="shared" si="490"/>
        <v>0</v>
      </c>
      <c r="G616" s="127">
        <f t="shared" si="482"/>
        <v>3.3964575831687265</v>
      </c>
      <c r="H616" s="127">
        <f t="shared" si="490"/>
        <v>0.24696804304526951</v>
      </c>
      <c r="I616" s="127">
        <f t="shared" si="482"/>
        <v>0</v>
      </c>
      <c r="J616" s="127">
        <f t="shared" si="482"/>
        <v>0</v>
      </c>
      <c r="K616" s="127">
        <f t="shared" si="482"/>
        <v>0</v>
      </c>
      <c r="L616" s="127">
        <f t="shared" ref="L616" si="491">L251</f>
        <v>0.27855878692230485</v>
      </c>
      <c r="M616" s="56"/>
    </row>
    <row r="617" spans="2:13">
      <c r="B617" s="55"/>
      <c r="C617" s="75">
        <v>612</v>
      </c>
      <c r="D617" s="127">
        <f t="shared" ref="D617:H617" si="492">D252</f>
        <v>22</v>
      </c>
      <c r="E617" s="127">
        <f t="shared" si="492"/>
        <v>-1.2</v>
      </c>
      <c r="F617" s="127">
        <f t="shared" si="492"/>
        <v>0</v>
      </c>
      <c r="G617" s="127">
        <f t="shared" si="482"/>
        <v>3.3078734075266469</v>
      </c>
      <c r="H617" s="127">
        <f t="shared" si="492"/>
        <v>0.24453460809393668</v>
      </c>
      <c r="I617" s="127">
        <f t="shared" si="482"/>
        <v>0</v>
      </c>
      <c r="J617" s="127">
        <f t="shared" si="482"/>
        <v>0</v>
      </c>
      <c r="K617" s="127">
        <f t="shared" si="482"/>
        <v>0</v>
      </c>
      <c r="L617" s="127">
        <f t="shared" ref="L617" si="493">L252</f>
        <v>0.27548564122286878</v>
      </c>
      <c r="M617" s="56"/>
    </row>
    <row r="618" spans="2:13">
      <c r="B618" s="55"/>
      <c r="C618" s="75">
        <v>613</v>
      </c>
      <c r="D618" s="127">
        <f t="shared" ref="D618:H618" si="494">D253</f>
        <v>23</v>
      </c>
      <c r="E618" s="127">
        <f t="shared" si="494"/>
        <v>-0.5</v>
      </c>
      <c r="F618" s="127">
        <f t="shared" si="494"/>
        <v>0</v>
      </c>
      <c r="G618" s="127">
        <f t="shared" si="482"/>
        <v>3.3884120213927349</v>
      </c>
      <c r="H618" s="127">
        <f t="shared" si="494"/>
        <v>0.24212515035678067</v>
      </c>
      <c r="I618" s="127">
        <f t="shared" si="482"/>
        <v>0</v>
      </c>
      <c r="J618" s="127">
        <f t="shared" si="482"/>
        <v>0</v>
      </c>
      <c r="K618" s="127">
        <f t="shared" si="482"/>
        <v>0</v>
      </c>
      <c r="L618" s="127">
        <f t="shared" ref="L618" si="495">L253</f>
        <v>0.27244779624078225</v>
      </c>
      <c r="M618" s="56"/>
    </row>
    <row r="619" spans="2:13">
      <c r="B619" s="55"/>
      <c r="C619" s="75">
        <v>614</v>
      </c>
      <c r="D619" s="127">
        <f t="shared" ref="D619:H619" si="496">D254</f>
        <v>22.2</v>
      </c>
      <c r="E619" s="127">
        <f t="shared" si="496"/>
        <v>-2.8</v>
      </c>
      <c r="F619" s="127">
        <f t="shared" si="496"/>
        <v>0</v>
      </c>
      <c r="G619" s="127">
        <f t="shared" si="482"/>
        <v>3.2872100192264475</v>
      </c>
      <c r="H619" s="127">
        <f t="shared" si="496"/>
        <v>0.23973943358059746</v>
      </c>
      <c r="I619" s="127">
        <f t="shared" si="482"/>
        <v>0</v>
      </c>
      <c r="J619" s="127">
        <f t="shared" si="482"/>
        <v>0</v>
      </c>
      <c r="K619" s="127">
        <f t="shared" si="482"/>
        <v>0</v>
      </c>
      <c r="L619" s="127">
        <f t="shared" ref="L619" si="497">L254</f>
        <v>0.26944482741343478</v>
      </c>
      <c r="M619" s="56"/>
    </row>
    <row r="620" spans="2:13">
      <c r="B620" s="55"/>
      <c r="C620" s="75">
        <v>615</v>
      </c>
      <c r="D620" s="127">
        <f t="shared" ref="D620:H620" si="498">D255</f>
        <v>24.2</v>
      </c>
      <c r="E620" s="127">
        <f t="shared" si="498"/>
        <v>1.2</v>
      </c>
      <c r="F620" s="127">
        <f t="shared" si="498"/>
        <v>0</v>
      </c>
      <c r="G620" s="127">
        <f t="shared" si="482"/>
        <v>3.5320524953137724</v>
      </c>
      <c r="H620" s="127">
        <f t="shared" si="498"/>
        <v>0.23737722384004351</v>
      </c>
      <c r="I620" s="127">
        <f t="shared" si="482"/>
        <v>0</v>
      </c>
      <c r="J620" s="127">
        <f t="shared" si="482"/>
        <v>0</v>
      </c>
      <c r="K620" s="127">
        <f t="shared" si="482"/>
        <v>0</v>
      </c>
      <c r="L620" s="127">
        <f t="shared" ref="L620" si="499">L255</f>
        <v>0.26647631553446643</v>
      </c>
      <c r="M620" s="56"/>
    </row>
    <row r="621" spans="2:13">
      <c r="B621" s="55"/>
      <c r="C621" s="75">
        <v>616</v>
      </c>
      <c r="D621" s="127">
        <f t="shared" ref="D621:H621" si="500">D256</f>
        <v>22.2</v>
      </c>
      <c r="E621" s="127">
        <f t="shared" si="500"/>
        <v>3.5</v>
      </c>
      <c r="F621" s="127">
        <f t="shared" si="500"/>
        <v>0</v>
      </c>
      <c r="G621" s="127">
        <f t="shared" si="482"/>
        <v>3.5602034530682802</v>
      </c>
      <c r="H621" s="127">
        <f t="shared" si="500"/>
        <v>0.23503828951469777</v>
      </c>
      <c r="I621" s="127">
        <f t="shared" si="482"/>
        <v>0</v>
      </c>
      <c r="J621" s="127">
        <f t="shared" si="482"/>
        <v>0</v>
      </c>
      <c r="K621" s="127">
        <f t="shared" si="482"/>
        <v>0</v>
      </c>
      <c r="L621" s="127">
        <f t="shared" ref="L621" si="501">L256</f>
        <v>0.26354184668306141</v>
      </c>
      <c r="M621" s="56"/>
    </row>
    <row r="622" spans="2:13">
      <c r="B622" s="55"/>
      <c r="C622" s="75">
        <v>617</v>
      </c>
      <c r="D622" s="127">
        <f t="shared" ref="D622:H622" si="502">D257</f>
        <v>22.8</v>
      </c>
      <c r="E622" s="127">
        <f t="shared" si="502"/>
        <v>3.5</v>
      </c>
      <c r="F622" s="127">
        <f t="shared" si="502"/>
        <v>0</v>
      </c>
      <c r="G622" s="127">
        <f t="shared" si="482"/>
        <v>3.5999008015983898</v>
      </c>
      <c r="H622" s="127">
        <f t="shared" si="502"/>
        <v>0.23272240126635049</v>
      </c>
      <c r="I622" s="127">
        <f t="shared" si="482"/>
        <v>0</v>
      </c>
      <c r="J622" s="127">
        <f t="shared" si="482"/>
        <v>0</v>
      </c>
      <c r="K622" s="127">
        <f t="shared" si="482"/>
        <v>0</v>
      </c>
      <c r="L622" s="127">
        <f t="shared" ref="L622" si="503">L257</f>
        <v>0.2606410121542132</v>
      </c>
      <c r="M622" s="56"/>
    </row>
    <row r="623" spans="2:13">
      <c r="B623" s="55"/>
      <c r="C623" s="75">
        <v>618</v>
      </c>
      <c r="D623" s="127">
        <f t="shared" ref="D623:H623" si="504">D258</f>
        <v>21.3</v>
      </c>
      <c r="E623" s="127">
        <f t="shared" si="504"/>
        <v>4.5</v>
      </c>
      <c r="F623" s="127">
        <f t="shared" si="504"/>
        <v>0</v>
      </c>
      <c r="G623" s="127">
        <f t="shared" si="482"/>
        <v>3.5968842741492408</v>
      </c>
      <c r="H623" s="127">
        <f t="shared" si="504"/>
        <v>0.23042933201651578</v>
      </c>
      <c r="I623" s="127">
        <f t="shared" si="482"/>
        <v>0</v>
      </c>
      <c r="J623" s="127">
        <f t="shared" si="482"/>
        <v>0</v>
      </c>
      <c r="K623" s="127">
        <f t="shared" si="482"/>
        <v>0</v>
      </c>
      <c r="L623" s="127">
        <f t="shared" ref="L623" si="505">L258</f>
        <v>0.25777340838994822</v>
      </c>
      <c r="M623" s="56"/>
    </row>
    <row r="624" spans="2:13">
      <c r="B624" s="55"/>
      <c r="C624" s="75">
        <v>619</v>
      </c>
      <c r="D624" s="127">
        <f t="shared" ref="D624:H624" si="506">D259</f>
        <v>22.2</v>
      </c>
      <c r="E624" s="127">
        <f t="shared" si="506"/>
        <v>2.5</v>
      </c>
      <c r="F624" s="127">
        <f t="shared" si="506"/>
        <v>0</v>
      </c>
      <c r="G624" s="127">
        <f t="shared" si="482"/>
        <v>3.5701904961221786</v>
      </c>
      <c r="H624" s="127">
        <f t="shared" si="506"/>
        <v>0.22815885692416618</v>
      </c>
      <c r="I624" s="127">
        <f t="shared" si="482"/>
        <v>0</v>
      </c>
      <c r="J624" s="127">
        <f t="shared" si="482"/>
        <v>0</v>
      </c>
      <c r="K624" s="127">
        <f t="shared" si="482"/>
        <v>0</v>
      </c>
      <c r="L624" s="127">
        <f t="shared" ref="L624" si="507">L259</f>
        <v>0.25493863691149066</v>
      </c>
      <c r="M624" s="56"/>
    </row>
    <row r="625" spans="2:13">
      <c r="B625" s="55"/>
      <c r="C625" s="75">
        <v>620</v>
      </c>
      <c r="D625" s="127">
        <f t="shared" ref="D625:H625" si="508">D260</f>
        <v>23.5</v>
      </c>
      <c r="E625" s="127">
        <f t="shared" si="508"/>
        <v>2.8</v>
      </c>
      <c r="F625" s="127">
        <f t="shared" si="508"/>
        <v>0</v>
      </c>
      <c r="G625" s="127">
        <f t="shared" si="482"/>
        <v>3.6485755405643667</v>
      </c>
      <c r="H625" s="127">
        <f t="shared" si="508"/>
        <v>0.22591075336368649</v>
      </c>
      <c r="I625" s="127">
        <f t="shared" si="482"/>
        <v>0</v>
      </c>
      <c r="J625" s="127">
        <f t="shared" si="482"/>
        <v>0</v>
      </c>
      <c r="K625" s="127">
        <f t="shared" si="482"/>
        <v>0</v>
      </c>
      <c r="L625" s="127">
        <f t="shared" ref="L625" si="509">L260</f>
        <v>0.25213630425235978</v>
      </c>
      <c r="M625" s="56"/>
    </row>
    <row r="626" spans="2:13">
      <c r="B626" s="55"/>
      <c r="C626" s="75">
        <v>621</v>
      </c>
      <c r="D626" s="127">
        <f t="shared" ref="D626:H626" si="510">D261</f>
        <v>21.8</v>
      </c>
      <c r="E626" s="127">
        <f t="shared" si="510"/>
        <v>2.7</v>
      </c>
      <c r="F626" s="127">
        <f t="shared" si="510"/>
        <v>0</v>
      </c>
      <c r="G626" s="127">
        <f t="shared" si="482"/>
        <v>3.5937567155413812</v>
      </c>
      <c r="H626" s="127">
        <f t="shared" si="510"/>
        <v>0.22368480090304474</v>
      </c>
      <c r="I626" s="127">
        <f t="shared" si="482"/>
        <v>0</v>
      </c>
      <c r="J626" s="127">
        <f t="shared" si="482"/>
        <v>0</v>
      </c>
      <c r="K626" s="127">
        <f t="shared" si="482"/>
        <v>0</v>
      </c>
      <c r="L626" s="127">
        <f t="shared" ref="L626" si="511">L261</f>
        <v>0.24936602189238233</v>
      </c>
      <c r="M626" s="56"/>
    </row>
    <row r="627" spans="2:13">
      <c r="B627" s="55"/>
      <c r="C627" s="75">
        <v>622</v>
      </c>
      <c r="D627" s="127">
        <f t="shared" ref="D627:H627" si="512">D262</f>
        <v>18.600000000000001</v>
      </c>
      <c r="E627" s="127">
        <f t="shared" si="512"/>
        <v>5.2</v>
      </c>
      <c r="F627" s="127">
        <f t="shared" si="512"/>
        <v>0</v>
      </c>
      <c r="G627" s="127">
        <f t="shared" si="482"/>
        <v>3.5815971489727825</v>
      </c>
      <c r="H627" s="127">
        <f t="shared" si="512"/>
        <v>0.2214807812821783</v>
      </c>
      <c r="I627" s="127">
        <f t="shared" si="482"/>
        <v>0</v>
      </c>
      <c r="J627" s="127">
        <f t="shared" si="482"/>
        <v>0</v>
      </c>
      <c r="K627" s="127">
        <f t="shared" si="482"/>
        <v>0</v>
      </c>
      <c r="L627" s="127">
        <f t="shared" ref="L627" si="513">L262</f>
        <v>0.24662740619260975</v>
      </c>
      <c r="M627" s="56"/>
    </row>
    <row r="628" spans="2:13">
      <c r="B628" s="55"/>
      <c r="C628" s="75">
        <v>623</v>
      </c>
      <c r="D628" s="127">
        <f t="shared" ref="D628:K643" si="514">D263</f>
        <v>20</v>
      </c>
      <c r="E628" s="127">
        <f t="shared" si="514"/>
        <v>3.5</v>
      </c>
      <c r="F628" s="127">
        <f t="shared" si="514"/>
        <v>0.5</v>
      </c>
      <c r="G628" s="127">
        <f t="shared" si="514"/>
        <v>3.5848326058343072</v>
      </c>
      <c r="H628" s="127">
        <f t="shared" si="514"/>
        <v>0.22270484549910824</v>
      </c>
      <c r="I628" s="127">
        <f t="shared" si="514"/>
        <v>0</v>
      </c>
      <c r="J628" s="127">
        <f t="shared" si="514"/>
        <v>0</v>
      </c>
      <c r="K628" s="127">
        <f t="shared" si="514"/>
        <v>0</v>
      </c>
      <c r="L628" s="127">
        <f t="shared" ref="L628" si="515">L263</f>
        <v>0.24732644543864157</v>
      </c>
      <c r="M628" s="56"/>
    </row>
    <row r="629" spans="2:13">
      <c r="B629" s="55"/>
      <c r="C629" s="75">
        <v>624</v>
      </c>
      <c r="D629" s="127">
        <f t="shared" ref="D629:H629" si="516">D264</f>
        <v>22.5</v>
      </c>
      <c r="E629" s="127">
        <f t="shared" si="516"/>
        <v>5.2</v>
      </c>
      <c r="F629" s="127">
        <f t="shared" si="516"/>
        <v>0</v>
      </c>
      <c r="G629" s="127">
        <f t="shared" si="514"/>
        <v>3.7664414592248701</v>
      </c>
      <c r="H629" s="127">
        <f t="shared" si="516"/>
        <v>0.21770291830396379</v>
      </c>
      <c r="I629" s="127">
        <f t="shared" si="514"/>
        <v>0</v>
      </c>
      <c r="J629" s="127">
        <f t="shared" si="514"/>
        <v>0</v>
      </c>
      <c r="K629" s="127">
        <f t="shared" si="514"/>
        <v>0</v>
      </c>
      <c r="L629" s="127">
        <f t="shared" ref="L629" si="517">L264</f>
        <v>0.24180890429252677</v>
      </c>
      <c r="M629" s="56"/>
    </row>
    <row r="630" spans="2:13">
      <c r="B630" s="55"/>
      <c r="C630" s="75">
        <v>625</v>
      </c>
      <c r="D630" s="127">
        <f t="shared" ref="D630:H630" si="518">D265</f>
        <v>23</v>
      </c>
      <c r="E630" s="127">
        <f t="shared" si="518"/>
        <v>4.8</v>
      </c>
      <c r="F630" s="127">
        <f t="shared" si="518"/>
        <v>0</v>
      </c>
      <c r="G630" s="127">
        <f t="shared" si="514"/>
        <v>3.7856460326149723</v>
      </c>
      <c r="H630" s="127">
        <f t="shared" si="518"/>
        <v>0.21509196284851936</v>
      </c>
      <c r="I630" s="127">
        <f t="shared" si="514"/>
        <v>0</v>
      </c>
      <c r="J630" s="127">
        <f t="shared" si="514"/>
        <v>0</v>
      </c>
      <c r="K630" s="127">
        <f t="shared" si="514"/>
        <v>0</v>
      </c>
      <c r="L630" s="127">
        <f t="shared" ref="L630" si="519">L265</f>
        <v>0.23869158840083443</v>
      </c>
      <c r="M630" s="56"/>
    </row>
    <row r="631" spans="2:13">
      <c r="B631" s="55"/>
      <c r="C631" s="75">
        <v>626</v>
      </c>
      <c r="D631" s="127">
        <f t="shared" ref="D631:H631" si="520">D266</f>
        <v>23.3</v>
      </c>
      <c r="E631" s="127">
        <f t="shared" si="520"/>
        <v>3.2</v>
      </c>
      <c r="F631" s="127">
        <f t="shared" si="520"/>
        <v>0</v>
      </c>
      <c r="G631" s="127">
        <f t="shared" si="514"/>
        <v>3.7485597097446646</v>
      </c>
      <c r="H631" s="127">
        <f t="shared" si="520"/>
        <v>0.21289530463026463</v>
      </c>
      <c r="I631" s="127">
        <f t="shared" si="514"/>
        <v>0</v>
      </c>
      <c r="J631" s="127">
        <f t="shared" si="514"/>
        <v>0</v>
      </c>
      <c r="K631" s="127">
        <f t="shared" si="514"/>
        <v>0</v>
      </c>
      <c r="L631" s="127">
        <f t="shared" ref="L631" si="521">L266</f>
        <v>0.23599766829790536</v>
      </c>
      <c r="M631" s="56"/>
    </row>
    <row r="632" spans="2:13">
      <c r="B632" s="55"/>
      <c r="C632" s="75">
        <v>627</v>
      </c>
      <c r="D632" s="127">
        <f t="shared" ref="D632:H632" si="522">D267</f>
        <v>24.7</v>
      </c>
      <c r="E632" s="127">
        <f t="shared" si="522"/>
        <v>4.2</v>
      </c>
      <c r="F632" s="127">
        <f t="shared" si="522"/>
        <v>0</v>
      </c>
      <c r="G632" s="127">
        <f t="shared" si="514"/>
        <v>3.8596994149209189</v>
      </c>
      <c r="H632" s="127">
        <f t="shared" si="522"/>
        <v>0.21078476863253254</v>
      </c>
      <c r="I632" s="127">
        <f t="shared" si="514"/>
        <v>0</v>
      </c>
      <c r="J632" s="127">
        <f t="shared" si="514"/>
        <v>0</v>
      </c>
      <c r="K632" s="127">
        <f t="shared" si="514"/>
        <v>0</v>
      </c>
      <c r="L632" s="127">
        <f t="shared" ref="L632" si="523">L267</f>
        <v>0.23339881650579791</v>
      </c>
      <c r="M632" s="56"/>
    </row>
    <row r="633" spans="2:13">
      <c r="B633" s="55"/>
      <c r="C633" s="75">
        <v>628</v>
      </c>
      <c r="D633" s="127">
        <f t="shared" ref="D633:H633" si="524">D268</f>
        <v>25.2</v>
      </c>
      <c r="E633" s="127">
        <f t="shared" si="524"/>
        <v>5.6</v>
      </c>
      <c r="F633" s="127">
        <f t="shared" si="524"/>
        <v>0</v>
      </c>
      <c r="G633" s="127">
        <f t="shared" si="514"/>
        <v>3.9513115831819263</v>
      </c>
      <c r="H633" s="127">
        <f t="shared" si="524"/>
        <v>0.20870572749525815</v>
      </c>
      <c r="I633" s="127">
        <f t="shared" si="514"/>
        <v>0</v>
      </c>
      <c r="J633" s="127">
        <f t="shared" si="514"/>
        <v>0</v>
      </c>
      <c r="K633" s="127">
        <f t="shared" si="514"/>
        <v>0</v>
      </c>
      <c r="L633" s="127">
        <f t="shared" ref="L633" si="525">L268</f>
        <v>0.23084025566549299</v>
      </c>
      <c r="M633" s="56"/>
    </row>
    <row r="634" spans="2:13">
      <c r="B634" s="55"/>
      <c r="C634" s="75">
        <v>629</v>
      </c>
      <c r="D634" s="127">
        <f t="shared" ref="D634:H634" si="526">D269</f>
        <v>23.9</v>
      </c>
      <c r="E634" s="127">
        <f t="shared" si="526"/>
        <v>4.7</v>
      </c>
      <c r="F634" s="127">
        <f t="shared" si="526"/>
        <v>0</v>
      </c>
      <c r="G634" s="127">
        <f t="shared" si="514"/>
        <v>3.8766327729824859</v>
      </c>
      <c r="H634" s="127">
        <f t="shared" si="526"/>
        <v>0.20664894703919839</v>
      </c>
      <c r="I634" s="127">
        <f t="shared" si="514"/>
        <v>0</v>
      </c>
      <c r="J634" s="127">
        <f t="shared" si="514"/>
        <v>0</v>
      </c>
      <c r="K634" s="127">
        <f t="shared" si="514"/>
        <v>0</v>
      </c>
      <c r="L634" s="127">
        <f t="shared" ref="L634" si="527">L269</f>
        <v>0.2283126040221761</v>
      </c>
      <c r="M634" s="56"/>
    </row>
    <row r="635" spans="2:13">
      <c r="B635" s="55"/>
      <c r="C635" s="75">
        <v>630</v>
      </c>
      <c r="D635" s="127">
        <f t="shared" ref="D635:H635" si="528">D270</f>
        <v>23.2</v>
      </c>
      <c r="E635" s="127">
        <f t="shared" si="528"/>
        <v>3.5</v>
      </c>
      <c r="F635" s="127">
        <f t="shared" si="528"/>
        <v>0</v>
      </c>
      <c r="G635" s="127">
        <f t="shared" si="514"/>
        <v>3.8136108614765041</v>
      </c>
      <c r="H635" s="127">
        <f t="shared" si="528"/>
        <v>0.204612727133172</v>
      </c>
      <c r="I635" s="127">
        <f t="shared" si="514"/>
        <v>0</v>
      </c>
      <c r="J635" s="127">
        <f t="shared" si="514"/>
        <v>0</v>
      </c>
      <c r="K635" s="127">
        <f t="shared" si="514"/>
        <v>0</v>
      </c>
      <c r="L635" s="127">
        <f t="shared" ref="L635" si="529">L270</f>
        <v>0.22581401625414954</v>
      </c>
      <c r="M635" s="56"/>
    </row>
    <row r="636" spans="2:13">
      <c r="B636" s="55"/>
      <c r="C636" s="75">
        <v>631</v>
      </c>
      <c r="D636" s="127">
        <f t="shared" ref="D636:H636" si="530">D271</f>
        <v>22.8</v>
      </c>
      <c r="E636" s="127">
        <f t="shared" si="530"/>
        <v>1.2</v>
      </c>
      <c r="F636" s="127">
        <f t="shared" si="530"/>
        <v>0</v>
      </c>
      <c r="G636" s="127">
        <f t="shared" si="514"/>
        <v>3.7175349598058065</v>
      </c>
      <c r="H636" s="127">
        <f t="shared" si="530"/>
        <v>0.20259661947209576</v>
      </c>
      <c r="I636" s="127">
        <f t="shared" si="514"/>
        <v>0</v>
      </c>
      <c r="J636" s="127">
        <f t="shared" si="514"/>
        <v>0</v>
      </c>
      <c r="K636" s="127">
        <f t="shared" si="514"/>
        <v>0</v>
      </c>
      <c r="L636" s="127">
        <f t="shared" ref="L636" si="531">L271</f>
        <v>0.22334390121313674</v>
      </c>
      <c r="M636" s="56"/>
    </row>
    <row r="637" spans="2:13">
      <c r="B637" s="55"/>
      <c r="C637" s="75">
        <v>632</v>
      </c>
      <c r="D637" s="127">
        <f t="shared" ref="D637:H637" si="532">D272</f>
        <v>18.8</v>
      </c>
      <c r="E637" s="127">
        <f t="shared" si="532"/>
        <v>6.5</v>
      </c>
      <c r="F637" s="127">
        <f t="shared" si="532"/>
        <v>2</v>
      </c>
      <c r="G637" s="127">
        <f t="shared" si="514"/>
        <v>3.7835632137366155</v>
      </c>
      <c r="H637" s="127">
        <f t="shared" si="532"/>
        <v>0.21422585354190035</v>
      </c>
      <c r="I637" s="127">
        <f t="shared" si="514"/>
        <v>0</v>
      </c>
      <c r="J637" s="127">
        <f t="shared" si="514"/>
        <v>0</v>
      </c>
      <c r="K637" s="127">
        <f t="shared" si="514"/>
        <v>0</v>
      </c>
      <c r="L637" s="127">
        <f t="shared" ref="L637" si="533">L272</f>
        <v>0.23452734785205781</v>
      </c>
      <c r="M637" s="56"/>
    </row>
    <row r="638" spans="2:13">
      <c r="B638" s="55"/>
      <c r="C638" s="75">
        <v>633</v>
      </c>
      <c r="D638" s="127">
        <f t="shared" ref="D638:H638" si="534">D273</f>
        <v>20.5</v>
      </c>
      <c r="E638" s="127">
        <f t="shared" si="534"/>
        <v>4.7</v>
      </c>
      <c r="F638" s="127">
        <f t="shared" si="534"/>
        <v>4.5</v>
      </c>
      <c r="G638" s="127">
        <f t="shared" si="514"/>
        <v>3.7924504547151034</v>
      </c>
      <c r="H638" s="127">
        <f t="shared" si="534"/>
        <v>0.30181865919995365</v>
      </c>
      <c r="I638" s="127">
        <f t="shared" si="514"/>
        <v>0</v>
      </c>
      <c r="J638" s="127">
        <f t="shared" si="514"/>
        <v>0</v>
      </c>
      <c r="K638" s="127">
        <f t="shared" si="514"/>
        <v>0</v>
      </c>
      <c r="L638" s="127">
        <f t="shared" ref="L638" si="535">L273</f>
        <v>0.33693678225539869</v>
      </c>
      <c r="M638" s="56"/>
    </row>
    <row r="639" spans="2:13">
      <c r="B639" s="55"/>
      <c r="C639" s="75">
        <v>634</v>
      </c>
      <c r="D639" s="127">
        <f t="shared" ref="D639:H639" si="536">D274</f>
        <v>20</v>
      </c>
      <c r="E639" s="127">
        <f t="shared" si="536"/>
        <v>4.4000000000000004</v>
      </c>
      <c r="F639" s="127">
        <f t="shared" si="536"/>
        <v>0</v>
      </c>
      <c r="G639" s="127">
        <f t="shared" si="514"/>
        <v>3.7723644130734062</v>
      </c>
      <c r="H639" s="127">
        <f t="shared" si="536"/>
        <v>0.23342816843066405</v>
      </c>
      <c r="I639" s="127">
        <f t="shared" si="514"/>
        <v>0</v>
      </c>
      <c r="J639" s="127">
        <f t="shared" si="514"/>
        <v>0</v>
      </c>
      <c r="K639" s="127">
        <f t="shared" si="514"/>
        <v>0</v>
      </c>
      <c r="L639" s="127">
        <f t="shared" ref="L639" si="537">L274</f>
        <v>0.24730547159680216</v>
      </c>
      <c r="M639" s="56"/>
    </row>
    <row r="640" spans="2:13">
      <c r="B640" s="55"/>
      <c r="C640" s="75">
        <v>635</v>
      </c>
      <c r="D640" s="127">
        <f t="shared" ref="D640:H640" si="538">D275</f>
        <v>19.5</v>
      </c>
      <c r="E640" s="127">
        <f t="shared" si="538"/>
        <v>3.5</v>
      </c>
      <c r="F640" s="127">
        <f t="shared" si="538"/>
        <v>0</v>
      </c>
      <c r="G640" s="127">
        <f t="shared" si="514"/>
        <v>3.7271946543140699</v>
      </c>
      <c r="H640" s="127">
        <f t="shared" si="538"/>
        <v>0.20082898696949908</v>
      </c>
      <c r="I640" s="127">
        <f t="shared" si="514"/>
        <v>0</v>
      </c>
      <c r="J640" s="127">
        <f t="shared" si="514"/>
        <v>0</v>
      </c>
      <c r="K640" s="127">
        <f t="shared" si="514"/>
        <v>0</v>
      </c>
      <c r="L640" s="127">
        <f t="shared" ref="L640" si="539">L275</f>
        <v>0.21891900463814945</v>
      </c>
      <c r="M640" s="56"/>
    </row>
    <row r="641" spans="2:13">
      <c r="B641" s="55"/>
      <c r="C641" s="75">
        <v>636</v>
      </c>
      <c r="D641" s="127">
        <f t="shared" ref="D641:H641" si="540">D276</f>
        <v>21.2</v>
      </c>
      <c r="E641" s="127">
        <f t="shared" si="540"/>
        <v>3.5</v>
      </c>
      <c r="F641" s="127">
        <f t="shared" si="540"/>
        <v>0</v>
      </c>
      <c r="G641" s="127">
        <f t="shared" si="514"/>
        <v>3.8091858332944852</v>
      </c>
      <c r="H641" s="127">
        <f t="shared" si="540"/>
        <v>0.19382244005931062</v>
      </c>
      <c r="I641" s="127">
        <f t="shared" si="514"/>
        <v>0</v>
      </c>
      <c r="J641" s="127">
        <f t="shared" si="514"/>
        <v>0</v>
      </c>
      <c r="K641" s="127">
        <f t="shared" si="514"/>
        <v>0</v>
      </c>
      <c r="L641" s="127">
        <f t="shared" ref="L641" si="541">L276</f>
        <v>0.2122672486179373</v>
      </c>
      <c r="M641" s="56"/>
    </row>
    <row r="642" spans="2:13">
      <c r="B642" s="55"/>
      <c r="C642" s="75">
        <v>637</v>
      </c>
      <c r="D642" s="127">
        <f t="shared" ref="D642:H642" si="542">D277</f>
        <v>23.2</v>
      </c>
      <c r="E642" s="127">
        <f t="shared" si="542"/>
        <v>3.5</v>
      </c>
      <c r="F642" s="127">
        <f t="shared" si="542"/>
        <v>0</v>
      </c>
      <c r="G642" s="127">
        <f t="shared" si="514"/>
        <v>3.9037938456254855</v>
      </c>
      <c r="H642" s="127">
        <f t="shared" si="542"/>
        <v>0.19107837815627893</v>
      </c>
      <c r="I642" s="127">
        <f t="shared" si="514"/>
        <v>0</v>
      </c>
      <c r="J642" s="127">
        <f t="shared" si="514"/>
        <v>0</v>
      </c>
      <c r="K642" s="127">
        <f t="shared" si="514"/>
        <v>0</v>
      </c>
      <c r="L642" s="127">
        <f t="shared" ref="L642" si="543">L277</f>
        <v>0.20924408417670479</v>
      </c>
      <c r="M642" s="56"/>
    </row>
    <row r="643" spans="2:13">
      <c r="B643" s="55"/>
      <c r="C643" s="75">
        <v>638</v>
      </c>
      <c r="D643" s="127">
        <f t="shared" ref="D643:H643" si="544">D278</f>
        <v>25.6</v>
      </c>
      <c r="E643" s="127">
        <f t="shared" si="544"/>
        <v>3.5</v>
      </c>
      <c r="F643" s="127">
        <f t="shared" si="544"/>
        <v>0</v>
      </c>
      <c r="G643" s="127">
        <f t="shared" si="514"/>
        <v>4.0153508862961127</v>
      </c>
      <c r="H643" s="127">
        <f t="shared" si="544"/>
        <v>0.18905719948747957</v>
      </c>
      <c r="I643" s="127">
        <f t="shared" si="514"/>
        <v>0</v>
      </c>
      <c r="J643" s="127">
        <f t="shared" si="514"/>
        <v>0</v>
      </c>
      <c r="K643" s="127">
        <f t="shared" si="514"/>
        <v>0</v>
      </c>
      <c r="L643" s="127">
        <f t="shared" ref="L643" si="545">L278</f>
        <v>0.20684478734659503</v>
      </c>
      <c r="M643" s="56"/>
    </row>
    <row r="644" spans="2:13">
      <c r="B644" s="55"/>
      <c r="C644" s="75">
        <v>639</v>
      </c>
      <c r="D644" s="127">
        <f t="shared" ref="D644:K659" si="546">D279</f>
        <v>23.2</v>
      </c>
      <c r="E644" s="127">
        <f t="shared" si="546"/>
        <v>3.5</v>
      </c>
      <c r="F644" s="127">
        <f t="shared" si="546"/>
        <v>0</v>
      </c>
      <c r="G644" s="127">
        <f t="shared" si="546"/>
        <v>3.927185033014287</v>
      </c>
      <c r="H644" s="127">
        <f t="shared" si="546"/>
        <v>0.18717140199451726</v>
      </c>
      <c r="I644" s="127">
        <f t="shared" si="546"/>
        <v>0</v>
      </c>
      <c r="J644" s="127">
        <f t="shared" si="546"/>
        <v>0</v>
      </c>
      <c r="K644" s="127">
        <f t="shared" si="546"/>
        <v>0</v>
      </c>
      <c r="L644" s="127">
        <f t="shared" ref="L644" si="547">L279</f>
        <v>0.20457050751815087</v>
      </c>
      <c r="M644" s="56"/>
    </row>
    <row r="645" spans="2:13">
      <c r="B645" s="55"/>
      <c r="C645" s="75">
        <v>640</v>
      </c>
      <c r="D645" s="127">
        <f t="shared" ref="D645:H645" si="548">D280</f>
        <v>24.5</v>
      </c>
      <c r="E645" s="127">
        <f t="shared" si="548"/>
        <v>4.5</v>
      </c>
      <c r="F645" s="127">
        <f t="shared" si="548"/>
        <v>0</v>
      </c>
      <c r="G645" s="127">
        <f t="shared" si="546"/>
        <v>4.0345183175993178</v>
      </c>
      <c r="H645" s="127">
        <f t="shared" si="548"/>
        <v>0.18532334572105638</v>
      </c>
      <c r="I645" s="127">
        <f t="shared" si="546"/>
        <v>0</v>
      </c>
      <c r="J645" s="127">
        <f t="shared" si="546"/>
        <v>0</v>
      </c>
      <c r="K645" s="127">
        <f t="shared" si="546"/>
        <v>0</v>
      </c>
      <c r="L645" s="127">
        <f t="shared" ref="L645" si="549">L280</f>
        <v>0.20233821271095445</v>
      </c>
      <c r="M645" s="56"/>
    </row>
    <row r="646" spans="2:13">
      <c r="B646" s="55"/>
      <c r="C646" s="75">
        <v>641</v>
      </c>
      <c r="D646" s="127">
        <f t="shared" ref="D646:H646" si="550">D281</f>
        <v>22.6</v>
      </c>
      <c r="E646" s="127">
        <f t="shared" si="550"/>
        <v>5.5</v>
      </c>
      <c r="F646" s="127">
        <f t="shared" si="550"/>
        <v>0</v>
      </c>
      <c r="G646" s="127">
        <f t="shared" si="546"/>
        <v>4.0080695398097923</v>
      </c>
      <c r="H646" s="127">
        <f t="shared" si="550"/>
        <v>0.18349667812756082</v>
      </c>
      <c r="I646" s="127">
        <f t="shared" si="546"/>
        <v>0</v>
      </c>
      <c r="J646" s="127">
        <f t="shared" si="546"/>
        <v>0</v>
      </c>
      <c r="K646" s="127">
        <f t="shared" si="546"/>
        <v>0</v>
      </c>
      <c r="L646" s="127">
        <f t="shared" ref="L646" si="551">L281</f>
        <v>0.20013387352288081</v>
      </c>
      <c r="M646" s="56"/>
    </row>
    <row r="647" spans="2:13">
      <c r="B647" s="55"/>
      <c r="C647" s="75">
        <v>642</v>
      </c>
      <c r="D647" s="127">
        <f t="shared" ref="D647:H647" si="552">D282</f>
        <v>13.5</v>
      </c>
      <c r="E647" s="127">
        <f t="shared" si="552"/>
        <v>4.8</v>
      </c>
      <c r="F647" s="127">
        <f t="shared" si="552"/>
        <v>0</v>
      </c>
      <c r="G647" s="127">
        <f t="shared" si="546"/>
        <v>3.6084840175054107</v>
      </c>
      <c r="H647" s="127">
        <f t="shared" si="552"/>
        <v>0.18168853669317106</v>
      </c>
      <c r="I647" s="127">
        <f t="shared" si="546"/>
        <v>0</v>
      </c>
      <c r="J647" s="127">
        <f t="shared" si="546"/>
        <v>0</v>
      </c>
      <c r="K647" s="127">
        <f t="shared" si="546"/>
        <v>0</v>
      </c>
      <c r="L647" s="127">
        <f t="shared" ref="L647" si="553">L282</f>
        <v>0.19795491370668511</v>
      </c>
      <c r="M647" s="56"/>
    </row>
    <row r="648" spans="2:13">
      <c r="B648" s="55"/>
      <c r="C648" s="75">
        <v>643</v>
      </c>
      <c r="D648" s="127">
        <f t="shared" ref="D648:H648" si="554">D283</f>
        <v>21.5</v>
      </c>
      <c r="E648" s="127">
        <f t="shared" si="554"/>
        <v>7.5</v>
      </c>
      <c r="F648" s="127">
        <f t="shared" si="554"/>
        <v>0</v>
      </c>
      <c r="G648" s="127">
        <f t="shared" si="546"/>
        <v>4.0674213974861138</v>
      </c>
      <c r="H648" s="127">
        <f t="shared" si="554"/>
        <v>0.17989829884973521</v>
      </c>
      <c r="I648" s="127">
        <f t="shared" si="546"/>
        <v>0</v>
      </c>
      <c r="J648" s="127">
        <f t="shared" si="546"/>
        <v>0</v>
      </c>
      <c r="K648" s="127">
        <f t="shared" si="546"/>
        <v>0</v>
      </c>
      <c r="L648" s="127">
        <f t="shared" ref="L648" si="555">L283</f>
        <v>0.1958006605893694</v>
      </c>
      <c r="M648" s="56"/>
    </row>
    <row r="649" spans="2:13">
      <c r="B649" s="55"/>
      <c r="C649" s="75">
        <v>644</v>
      </c>
      <c r="D649" s="127">
        <f t="shared" ref="D649:H649" si="556">D284</f>
        <v>20</v>
      </c>
      <c r="E649" s="127">
        <f t="shared" si="556"/>
        <v>7</v>
      </c>
      <c r="F649" s="127">
        <f t="shared" si="556"/>
        <v>0</v>
      </c>
      <c r="G649" s="127">
        <f t="shared" si="546"/>
        <v>3.9935323221971601</v>
      </c>
      <c r="H649" s="127">
        <f t="shared" si="556"/>
        <v>0.17812571517269227</v>
      </c>
      <c r="I649" s="127">
        <f t="shared" si="546"/>
        <v>0</v>
      </c>
      <c r="J649" s="127">
        <f t="shared" si="546"/>
        <v>0</v>
      </c>
      <c r="K649" s="127">
        <f t="shared" si="546"/>
        <v>0</v>
      </c>
      <c r="L649" s="127">
        <f t="shared" ref="L649" si="557">L284</f>
        <v>0.19367076040979925</v>
      </c>
      <c r="M649" s="56"/>
    </row>
    <row r="650" spans="2:13">
      <c r="B650" s="55"/>
      <c r="C650" s="75">
        <v>645</v>
      </c>
      <c r="D650" s="127">
        <f t="shared" ref="D650:H650" si="558">D285</f>
        <v>20</v>
      </c>
      <c r="E650" s="127">
        <f t="shared" si="558"/>
        <v>5.4</v>
      </c>
      <c r="F650" s="127">
        <f t="shared" si="558"/>
        <v>0</v>
      </c>
      <c r="G650" s="127">
        <f t="shared" si="546"/>
        <v>3.935974676860063</v>
      </c>
      <c r="H650" s="127">
        <f t="shared" si="558"/>
        <v>0.17637059959529314</v>
      </c>
      <c r="I650" s="127">
        <f t="shared" si="546"/>
        <v>0</v>
      </c>
      <c r="J650" s="127">
        <f t="shared" si="546"/>
        <v>0</v>
      </c>
      <c r="K650" s="127">
        <f t="shared" si="546"/>
        <v>0</v>
      </c>
      <c r="L650" s="127">
        <f t="shared" ref="L650" si="559">L285</f>
        <v>0.19156491532615705</v>
      </c>
      <c r="M650" s="56"/>
    </row>
    <row r="651" spans="2:13">
      <c r="B651" s="55"/>
      <c r="C651" s="75">
        <v>646</v>
      </c>
      <c r="D651" s="127">
        <f t="shared" ref="D651:H651" si="560">D286</f>
        <v>16</v>
      </c>
      <c r="E651" s="127">
        <f t="shared" si="560"/>
        <v>3.8</v>
      </c>
      <c r="F651" s="127">
        <f t="shared" si="560"/>
        <v>0</v>
      </c>
      <c r="G651" s="127">
        <f t="shared" si="546"/>
        <v>3.7088600703743593</v>
      </c>
      <c r="H651" s="127">
        <f t="shared" si="560"/>
        <v>0.17463277798969981</v>
      </c>
      <c r="I651" s="127">
        <f t="shared" si="546"/>
        <v>0</v>
      </c>
      <c r="J651" s="127">
        <f t="shared" si="546"/>
        <v>0</v>
      </c>
      <c r="K651" s="127">
        <f t="shared" si="546"/>
        <v>0</v>
      </c>
      <c r="L651" s="127">
        <f t="shared" ref="L651" si="561">L286</f>
        <v>0.18948283973697028</v>
      </c>
      <c r="M651" s="56"/>
    </row>
    <row r="652" spans="2:13">
      <c r="B652" s="55"/>
      <c r="C652" s="75">
        <v>647</v>
      </c>
      <c r="D652" s="127">
        <f t="shared" ref="D652:H652" si="562">D287</f>
        <v>23</v>
      </c>
      <c r="E652" s="127">
        <f t="shared" si="562"/>
        <v>3.6</v>
      </c>
      <c r="F652" s="127">
        <f t="shared" si="562"/>
        <v>0</v>
      </c>
      <c r="G652" s="127">
        <f t="shared" si="546"/>
        <v>4.0055986490724358</v>
      </c>
      <c r="H652" s="127">
        <f t="shared" si="562"/>
        <v>0.17291207962067556</v>
      </c>
      <c r="I652" s="127">
        <f t="shared" si="546"/>
        <v>0</v>
      </c>
      <c r="J652" s="127">
        <f t="shared" si="546"/>
        <v>0</v>
      </c>
      <c r="K652" s="127">
        <f t="shared" si="546"/>
        <v>0</v>
      </c>
      <c r="L652" s="127">
        <f t="shared" ref="L652" si="563">L287</f>
        <v>0.18742425299475879</v>
      </c>
      <c r="M652" s="56"/>
    </row>
    <row r="653" spans="2:13">
      <c r="B653" s="55"/>
      <c r="C653" s="75">
        <v>648</v>
      </c>
      <c r="D653" s="127">
        <f t="shared" ref="D653:H653" si="564">D288</f>
        <v>22.2</v>
      </c>
      <c r="E653" s="127">
        <f t="shared" si="564"/>
        <v>2.8</v>
      </c>
      <c r="F653" s="127">
        <f t="shared" si="564"/>
        <v>3</v>
      </c>
      <c r="G653" s="127">
        <f t="shared" si="546"/>
        <v>3.9467756418910867</v>
      </c>
      <c r="H653" s="127">
        <f t="shared" si="564"/>
        <v>0.20755797699425474</v>
      </c>
      <c r="I653" s="127">
        <f t="shared" si="546"/>
        <v>0</v>
      </c>
      <c r="J653" s="127">
        <f t="shared" si="546"/>
        <v>0</v>
      </c>
      <c r="K653" s="127">
        <f t="shared" si="546"/>
        <v>0</v>
      </c>
      <c r="L653" s="127">
        <f t="shared" ref="L653" si="565">L288</f>
        <v>0.21911678276306842</v>
      </c>
      <c r="M653" s="56"/>
    </row>
    <row r="654" spans="2:13">
      <c r="B654" s="55"/>
      <c r="C654" s="75">
        <v>649</v>
      </c>
      <c r="D654" s="127">
        <f t="shared" ref="D654:H654" si="566">D289</f>
        <v>19.8</v>
      </c>
      <c r="E654" s="127">
        <f t="shared" si="566"/>
        <v>7</v>
      </c>
      <c r="F654" s="127">
        <f t="shared" si="566"/>
        <v>0.3</v>
      </c>
      <c r="G654" s="127">
        <f t="shared" si="546"/>
        <v>4.0320157048950671</v>
      </c>
      <c r="H654" s="127">
        <f t="shared" si="566"/>
        <v>0.17759692549910291</v>
      </c>
      <c r="I654" s="127">
        <f t="shared" si="546"/>
        <v>0</v>
      </c>
      <c r="J654" s="127">
        <f t="shared" si="546"/>
        <v>0</v>
      </c>
      <c r="K654" s="127">
        <f t="shared" si="546"/>
        <v>0</v>
      </c>
      <c r="L654" s="127">
        <f t="shared" ref="L654" si="567">L289</f>
        <v>0.19101694668892791</v>
      </c>
      <c r="M654" s="56"/>
    </row>
    <row r="655" spans="2:13">
      <c r="B655" s="55"/>
      <c r="C655" s="75">
        <v>650</v>
      </c>
      <c r="D655" s="127">
        <f t="shared" ref="D655:H655" si="568">D290</f>
        <v>19.5</v>
      </c>
      <c r="E655" s="127">
        <f t="shared" si="568"/>
        <v>8</v>
      </c>
      <c r="F655" s="127">
        <f t="shared" si="568"/>
        <v>6.3</v>
      </c>
      <c r="G655" s="127">
        <f t="shared" si="546"/>
        <v>4.0704200670470048</v>
      </c>
      <c r="H655" s="127">
        <f t="shared" si="568"/>
        <v>0.35656894370068726</v>
      </c>
      <c r="I655" s="127">
        <f t="shared" si="546"/>
        <v>0</v>
      </c>
      <c r="J655" s="127">
        <f t="shared" si="546"/>
        <v>0</v>
      </c>
      <c r="K655" s="127">
        <f t="shared" si="546"/>
        <v>0</v>
      </c>
      <c r="L655" s="127">
        <f t="shared" ref="L655" si="569">L290</f>
        <v>0.44999818528641633</v>
      </c>
      <c r="M655" s="56"/>
    </row>
    <row r="656" spans="2:13">
      <c r="B656" s="55"/>
      <c r="C656" s="75">
        <v>651</v>
      </c>
      <c r="D656" s="127">
        <f t="shared" ref="D656:H656" si="570">D291</f>
        <v>15</v>
      </c>
      <c r="E656" s="127">
        <f t="shared" si="570"/>
        <v>7.8</v>
      </c>
      <c r="F656" s="127">
        <f t="shared" si="570"/>
        <v>3.3</v>
      </c>
      <c r="G656" s="127">
        <f t="shared" si="546"/>
        <v>3.8781490920878836</v>
      </c>
      <c r="H656" s="127">
        <f t="shared" si="570"/>
        <v>0.36197495685391301</v>
      </c>
      <c r="I656" s="127">
        <f t="shared" si="546"/>
        <v>0</v>
      </c>
      <c r="J656" s="127">
        <f t="shared" si="546"/>
        <v>0</v>
      </c>
      <c r="K656" s="127">
        <f t="shared" si="546"/>
        <v>0</v>
      </c>
      <c r="L656" s="127">
        <f t="shared" ref="L656" si="571">L291</f>
        <v>0.36677753778558164</v>
      </c>
      <c r="M656" s="56"/>
    </row>
    <row r="657" spans="2:13">
      <c r="B657" s="55"/>
      <c r="C657" s="75">
        <v>652</v>
      </c>
      <c r="D657" s="127">
        <f t="shared" ref="D657:H657" si="572">D292</f>
        <v>20</v>
      </c>
      <c r="E657" s="127">
        <f t="shared" si="572"/>
        <v>6.2</v>
      </c>
      <c r="F657" s="127">
        <f t="shared" si="572"/>
        <v>20</v>
      </c>
      <c r="G657" s="127">
        <f t="shared" si="546"/>
        <v>4.0312374427179289</v>
      </c>
      <c r="H657" s="127">
        <f t="shared" si="572"/>
        <v>3.1693932735117767</v>
      </c>
      <c r="I657" s="127">
        <f t="shared" si="546"/>
        <v>0</v>
      </c>
      <c r="J657" s="127">
        <f t="shared" si="546"/>
        <v>0</v>
      </c>
      <c r="K657" s="127">
        <f t="shared" si="546"/>
        <v>0</v>
      </c>
      <c r="L657" s="127">
        <f t="shared" ref="L657" si="573">L292</f>
        <v>1.9397050269185223</v>
      </c>
      <c r="M657" s="56"/>
    </row>
    <row r="658" spans="2:13">
      <c r="B658" s="55"/>
      <c r="C658" s="75">
        <v>653</v>
      </c>
      <c r="D658" s="127">
        <f t="shared" ref="D658:H658" si="574">D293</f>
        <v>20.5</v>
      </c>
      <c r="E658" s="127">
        <f t="shared" si="574"/>
        <v>7.4</v>
      </c>
      <c r="F658" s="127">
        <f t="shared" si="574"/>
        <v>4.2</v>
      </c>
      <c r="G658" s="127">
        <f t="shared" si="546"/>
        <v>4.1117983544047689</v>
      </c>
      <c r="H658" s="127">
        <f t="shared" si="574"/>
        <v>0.93817436103621699</v>
      </c>
      <c r="I658" s="127">
        <f t="shared" si="546"/>
        <v>0</v>
      </c>
      <c r="J658" s="127">
        <f t="shared" si="546"/>
        <v>0</v>
      </c>
      <c r="K658" s="127">
        <f t="shared" si="546"/>
        <v>0</v>
      </c>
      <c r="L658" s="127">
        <f t="shared" ref="L658" si="575">L293</f>
        <v>0.74285838297751672</v>
      </c>
      <c r="M658" s="56"/>
    </row>
    <row r="659" spans="2:13">
      <c r="B659" s="55"/>
      <c r="C659" s="75">
        <v>654</v>
      </c>
      <c r="D659" s="127">
        <f t="shared" ref="D659:H659" si="576">D294</f>
        <v>21.6</v>
      </c>
      <c r="E659" s="127">
        <f t="shared" si="576"/>
        <v>8</v>
      </c>
      <c r="F659" s="127">
        <f t="shared" si="576"/>
        <v>12.6</v>
      </c>
      <c r="G659" s="127">
        <f t="shared" si="546"/>
        <v>4.1923952266934394</v>
      </c>
      <c r="H659" s="127">
        <f t="shared" si="576"/>
        <v>1.9162861432839533</v>
      </c>
      <c r="I659" s="127">
        <f t="shared" si="546"/>
        <v>0</v>
      </c>
      <c r="J659" s="127">
        <f t="shared" si="546"/>
        <v>0</v>
      </c>
      <c r="K659" s="127">
        <f t="shared" si="546"/>
        <v>0</v>
      </c>
      <c r="L659" s="127">
        <f t="shared" ref="L659" si="577">L294</f>
        <v>0.75537260103781378</v>
      </c>
      <c r="M659" s="56"/>
    </row>
    <row r="660" spans="2:13">
      <c r="B660" s="55"/>
      <c r="C660" s="75">
        <v>655</v>
      </c>
      <c r="D660" s="127">
        <f t="shared" ref="D660:K675" si="578">D295</f>
        <v>23</v>
      </c>
      <c r="E660" s="127">
        <f t="shared" si="578"/>
        <v>6.6</v>
      </c>
      <c r="F660" s="127">
        <f t="shared" si="578"/>
        <v>0</v>
      </c>
      <c r="G660" s="127">
        <f t="shared" si="578"/>
        <v>4.1998129096316292</v>
      </c>
      <c r="H660" s="127">
        <f t="shared" si="578"/>
        <v>1.1379667132872107</v>
      </c>
      <c r="I660" s="127">
        <f t="shared" si="578"/>
        <v>0</v>
      </c>
      <c r="J660" s="127">
        <f t="shared" si="578"/>
        <v>0</v>
      </c>
      <c r="K660" s="127">
        <f t="shared" si="578"/>
        <v>0</v>
      </c>
      <c r="L660" s="127">
        <f t="shared" ref="L660" si="579">L295</f>
        <v>0.7574578776616846</v>
      </c>
      <c r="M660" s="56"/>
    </row>
    <row r="661" spans="2:13">
      <c r="B661" s="55"/>
      <c r="C661" s="75">
        <v>656</v>
      </c>
      <c r="D661" s="127">
        <f t="shared" ref="D661:H661" si="580">D296</f>
        <v>19.8</v>
      </c>
      <c r="E661" s="127">
        <f t="shared" si="580"/>
        <v>7.1</v>
      </c>
      <c r="F661" s="127">
        <f t="shared" si="580"/>
        <v>0</v>
      </c>
      <c r="G661" s="127">
        <f t="shared" si="578"/>
        <v>4.0906692763937986</v>
      </c>
      <c r="H661" s="127">
        <f t="shared" si="580"/>
        <v>1.0348205459506223</v>
      </c>
      <c r="I661" s="127">
        <f t="shared" si="578"/>
        <v>0</v>
      </c>
      <c r="J661" s="127">
        <f t="shared" si="578"/>
        <v>0</v>
      </c>
      <c r="K661" s="127">
        <f t="shared" si="578"/>
        <v>0</v>
      </c>
      <c r="L661" s="127">
        <f t="shared" ref="L661" si="581">L296</f>
        <v>0.75864102326628435</v>
      </c>
      <c r="M661" s="56"/>
    </row>
    <row r="662" spans="2:13">
      <c r="B662" s="55"/>
      <c r="C662" s="75">
        <v>657</v>
      </c>
      <c r="D662" s="127">
        <f t="shared" ref="D662:H662" si="582">D297</f>
        <v>21.2</v>
      </c>
      <c r="E662" s="127">
        <f t="shared" si="582"/>
        <v>6.3</v>
      </c>
      <c r="F662" s="127">
        <f t="shared" si="582"/>
        <v>8.4</v>
      </c>
      <c r="G662" s="127">
        <f t="shared" si="578"/>
        <v>4.1232627450985131</v>
      </c>
      <c r="H662" s="127">
        <f t="shared" si="582"/>
        <v>1.3775360399882048</v>
      </c>
      <c r="I662" s="127">
        <f t="shared" si="578"/>
        <v>0</v>
      </c>
      <c r="J662" s="127">
        <f t="shared" si="578"/>
        <v>0</v>
      </c>
      <c r="K662" s="127">
        <f t="shared" si="578"/>
        <v>0</v>
      </c>
      <c r="L662" s="127">
        <f t="shared" ref="L662" si="583">L297</f>
        <v>0.76419143427946223</v>
      </c>
      <c r="M662" s="56"/>
    </row>
    <row r="663" spans="2:13">
      <c r="B663" s="55"/>
      <c r="C663" s="75">
        <v>658</v>
      </c>
      <c r="D663" s="127">
        <f t="shared" ref="D663:H663" si="584">D298</f>
        <v>17</v>
      </c>
      <c r="E663" s="127">
        <f t="shared" si="584"/>
        <v>8.4</v>
      </c>
      <c r="F663" s="127">
        <f t="shared" si="584"/>
        <v>3.4</v>
      </c>
      <c r="G663" s="127">
        <f t="shared" si="578"/>
        <v>4.0391280505885989</v>
      </c>
      <c r="H663" s="127">
        <f t="shared" si="584"/>
        <v>1.2260342853661697</v>
      </c>
      <c r="I663" s="127">
        <f t="shared" si="578"/>
        <v>0</v>
      </c>
      <c r="J663" s="127">
        <f t="shared" si="578"/>
        <v>0</v>
      </c>
      <c r="K663" s="127">
        <f t="shared" si="578"/>
        <v>0</v>
      </c>
      <c r="L663" s="127">
        <f t="shared" ref="L663" si="585">L298</f>
        <v>0.76682219302289245</v>
      </c>
      <c r="M663" s="56"/>
    </row>
    <row r="664" spans="2:13">
      <c r="B664" s="55"/>
      <c r="C664" s="75">
        <v>659</v>
      </c>
      <c r="D664" s="127">
        <f t="shared" ref="D664:H664" si="586">D299</f>
        <v>21.8</v>
      </c>
      <c r="E664" s="127">
        <f t="shared" si="586"/>
        <v>5.5</v>
      </c>
      <c r="F664" s="127">
        <f t="shared" si="586"/>
        <v>0</v>
      </c>
      <c r="G664" s="127">
        <f t="shared" si="578"/>
        <v>4.1273833721718969</v>
      </c>
      <c r="H664" s="127">
        <f t="shared" si="586"/>
        <v>1.1191601365119377</v>
      </c>
      <c r="I664" s="127">
        <f t="shared" si="578"/>
        <v>0</v>
      </c>
      <c r="J664" s="127">
        <f t="shared" si="578"/>
        <v>0</v>
      </c>
      <c r="K664" s="127">
        <f t="shared" si="578"/>
        <v>0</v>
      </c>
      <c r="L664" s="127">
        <f t="shared" ref="L664" si="587">L299</f>
        <v>0.76851303474289678</v>
      </c>
      <c r="M664" s="56"/>
    </row>
    <row r="665" spans="2:13">
      <c r="B665" s="55"/>
      <c r="C665" s="75">
        <v>660</v>
      </c>
      <c r="D665" s="127">
        <f t="shared" ref="D665:H665" si="588">D300</f>
        <v>22.5</v>
      </c>
      <c r="E665" s="127">
        <f t="shared" si="588"/>
        <v>5.6</v>
      </c>
      <c r="F665" s="127">
        <f t="shared" si="588"/>
        <v>2.5</v>
      </c>
      <c r="G665" s="127">
        <f t="shared" si="578"/>
        <v>4.1680149142272098</v>
      </c>
      <c r="H665" s="127">
        <f t="shared" si="588"/>
        <v>1.1003688193512919</v>
      </c>
      <c r="I665" s="127">
        <f t="shared" si="578"/>
        <v>0</v>
      </c>
      <c r="J665" s="127">
        <f t="shared" si="578"/>
        <v>0</v>
      </c>
      <c r="K665" s="127">
        <f t="shared" si="578"/>
        <v>0</v>
      </c>
      <c r="L665" s="127">
        <f t="shared" ref="L665" si="589">L300</f>
        <v>0.7700187569389555</v>
      </c>
      <c r="M665" s="56"/>
    </row>
    <row r="666" spans="2:13">
      <c r="B666" s="55"/>
      <c r="C666" s="75">
        <v>661</v>
      </c>
      <c r="D666" s="127">
        <f t="shared" ref="D666:H666" si="590">D301</f>
        <v>20.8</v>
      </c>
      <c r="E666" s="127">
        <f t="shared" si="590"/>
        <v>8.4</v>
      </c>
      <c r="F666" s="127">
        <f t="shared" si="590"/>
        <v>3.2</v>
      </c>
      <c r="G666" s="127">
        <f t="shared" si="578"/>
        <v>4.2215087510305596</v>
      </c>
      <c r="H666" s="127">
        <f t="shared" si="590"/>
        <v>1.1051303607601723</v>
      </c>
      <c r="I666" s="127">
        <f t="shared" si="578"/>
        <v>0</v>
      </c>
      <c r="J666" s="127">
        <f t="shared" si="578"/>
        <v>0</v>
      </c>
      <c r="K666" s="127">
        <f t="shared" si="578"/>
        <v>0</v>
      </c>
      <c r="L666" s="127">
        <f t="shared" ref="L666" si="591">L301</f>
        <v>0.77153998712831995</v>
      </c>
      <c r="M666" s="56"/>
    </row>
    <row r="667" spans="2:13">
      <c r="B667" s="55"/>
      <c r="C667" s="75">
        <v>662</v>
      </c>
      <c r="D667" s="127">
        <f t="shared" ref="D667:H667" si="592">D302</f>
        <v>14</v>
      </c>
      <c r="E667" s="127">
        <f t="shared" si="592"/>
        <v>8.6</v>
      </c>
      <c r="F667" s="127">
        <f t="shared" si="592"/>
        <v>1.8</v>
      </c>
      <c r="G667" s="127">
        <f t="shared" si="578"/>
        <v>3.9407586027658663</v>
      </c>
      <c r="H667" s="127">
        <f t="shared" si="592"/>
        <v>1.0666982580066742</v>
      </c>
      <c r="I667" s="127">
        <f t="shared" si="578"/>
        <v>0</v>
      </c>
      <c r="J667" s="127">
        <f t="shared" si="578"/>
        <v>0</v>
      </c>
      <c r="K667" s="127">
        <f t="shared" si="578"/>
        <v>0</v>
      </c>
      <c r="L667" s="127">
        <f t="shared" ref="L667" si="593">L302</f>
        <v>0.77271498079366774</v>
      </c>
      <c r="M667" s="56"/>
    </row>
    <row r="668" spans="2:13">
      <c r="B668" s="55"/>
      <c r="C668" s="75">
        <v>663</v>
      </c>
      <c r="D668" s="127">
        <f t="shared" ref="D668:H668" si="594">D303</f>
        <v>13.4</v>
      </c>
      <c r="E668" s="127">
        <f t="shared" si="594"/>
        <v>9.5</v>
      </c>
      <c r="F668" s="127">
        <f t="shared" si="594"/>
        <v>5.8</v>
      </c>
      <c r="G668" s="127">
        <f t="shared" si="578"/>
        <v>3.9588412632367103</v>
      </c>
      <c r="H668" s="127">
        <f t="shared" si="594"/>
        <v>1.1834646752837472</v>
      </c>
      <c r="I668" s="127">
        <f t="shared" si="578"/>
        <v>0</v>
      </c>
      <c r="J668" s="127">
        <f t="shared" si="578"/>
        <v>0</v>
      </c>
      <c r="K668" s="127">
        <f t="shared" si="578"/>
        <v>0</v>
      </c>
      <c r="L668" s="127">
        <f t="shared" ref="L668" si="595">L303</f>
        <v>0.77538481952852101</v>
      </c>
      <c r="M668" s="56"/>
    </row>
    <row r="669" spans="2:13">
      <c r="B669" s="55"/>
      <c r="C669" s="75">
        <v>664</v>
      </c>
      <c r="D669" s="127">
        <f t="shared" ref="D669:H669" si="596">D304</f>
        <v>17</v>
      </c>
      <c r="E669" s="127">
        <f t="shared" si="596"/>
        <v>8.8000000000000007</v>
      </c>
      <c r="F669" s="127">
        <f t="shared" si="596"/>
        <v>1.7</v>
      </c>
      <c r="G669" s="127">
        <f t="shared" si="578"/>
        <v>4.0897736866914771</v>
      </c>
      <c r="H669" s="127">
        <f t="shared" si="596"/>
        <v>1.1184221062144395</v>
      </c>
      <c r="I669" s="127">
        <f t="shared" si="578"/>
        <v>0</v>
      </c>
      <c r="J669" s="127">
        <f t="shared" si="578"/>
        <v>0</v>
      </c>
      <c r="K669" s="127">
        <f t="shared" si="578"/>
        <v>0</v>
      </c>
      <c r="L669" s="127">
        <f t="shared" ref="L669" si="597">L304</f>
        <v>0.77691719472067522</v>
      </c>
      <c r="M669" s="56"/>
    </row>
    <row r="670" spans="2:13">
      <c r="B670" s="55"/>
      <c r="C670" s="75">
        <v>665</v>
      </c>
      <c r="D670" s="127">
        <f t="shared" ref="D670:H670" si="598">D305</f>
        <v>20</v>
      </c>
      <c r="E670" s="127">
        <f t="shared" si="598"/>
        <v>8.6999999999999993</v>
      </c>
      <c r="F670" s="127">
        <f t="shared" si="598"/>
        <v>0.3</v>
      </c>
      <c r="G670" s="127">
        <f t="shared" si="578"/>
        <v>4.2207573967999856</v>
      </c>
      <c r="H670" s="127">
        <f t="shared" si="598"/>
        <v>1.0236528970178127</v>
      </c>
      <c r="I670" s="127">
        <f t="shared" si="578"/>
        <v>0</v>
      </c>
      <c r="J670" s="127">
        <f t="shared" si="578"/>
        <v>0</v>
      </c>
      <c r="K670" s="127">
        <f t="shared" si="578"/>
        <v>0</v>
      </c>
      <c r="L670" s="127">
        <f t="shared" ref="L670" si="599">L305</f>
        <v>0.77762875832485023</v>
      </c>
      <c r="M670" s="56"/>
    </row>
    <row r="671" spans="2:13">
      <c r="B671" s="55"/>
      <c r="C671" s="75">
        <v>666</v>
      </c>
      <c r="D671" s="127">
        <f t="shared" ref="D671:H671" si="600">D306</f>
        <v>22.3</v>
      </c>
      <c r="E671" s="127">
        <f t="shared" si="600"/>
        <v>9.1999999999999993</v>
      </c>
      <c r="F671" s="127">
        <f t="shared" si="600"/>
        <v>1.4</v>
      </c>
      <c r="G671" s="127">
        <f t="shared" si="578"/>
        <v>4.3475602454165516</v>
      </c>
      <c r="H671" s="127">
        <f t="shared" si="600"/>
        <v>0.96742474825156077</v>
      </c>
      <c r="I671" s="127">
        <f t="shared" si="578"/>
        <v>0</v>
      </c>
      <c r="J671" s="127">
        <f t="shared" si="578"/>
        <v>0</v>
      </c>
      <c r="K671" s="127">
        <f t="shared" si="578"/>
        <v>0</v>
      </c>
      <c r="L671" s="127">
        <f t="shared" ref="L671" si="601">L306</f>
        <v>0.77785544160575648</v>
      </c>
      <c r="M671" s="56"/>
    </row>
    <row r="672" spans="2:13">
      <c r="B672" s="55"/>
      <c r="C672" s="75">
        <v>667</v>
      </c>
      <c r="D672" s="127">
        <f t="shared" ref="D672:H672" si="602">D307</f>
        <v>23.2</v>
      </c>
      <c r="E672" s="127">
        <f t="shared" si="602"/>
        <v>8</v>
      </c>
      <c r="F672" s="127">
        <f t="shared" si="602"/>
        <v>0</v>
      </c>
      <c r="G672" s="127">
        <f t="shared" si="578"/>
        <v>4.3389960407886194</v>
      </c>
      <c r="H672" s="127">
        <f t="shared" si="602"/>
        <v>0.86553152601627414</v>
      </c>
      <c r="I672" s="127">
        <f t="shared" si="578"/>
        <v>0</v>
      </c>
      <c r="J672" s="127">
        <f t="shared" si="578"/>
        <v>0</v>
      </c>
      <c r="K672" s="127">
        <f t="shared" si="578"/>
        <v>0</v>
      </c>
      <c r="L672" s="127">
        <f t="shared" ref="L672" si="603">L307</f>
        <v>0.77722087968814724</v>
      </c>
      <c r="M672" s="56"/>
    </row>
    <row r="673" spans="2:13">
      <c r="B673" s="55"/>
      <c r="C673" s="75">
        <v>668</v>
      </c>
      <c r="D673" s="127">
        <f t="shared" ref="D673:H673" si="604">D308</f>
        <v>21.8</v>
      </c>
      <c r="E673" s="127">
        <f t="shared" si="604"/>
        <v>6.5</v>
      </c>
      <c r="F673" s="127">
        <f t="shared" si="604"/>
        <v>2.5</v>
      </c>
      <c r="G673" s="127">
        <f t="shared" si="578"/>
        <v>4.2166137780151312</v>
      </c>
      <c r="H673" s="127">
        <f t="shared" si="604"/>
        <v>0.85428203570419292</v>
      </c>
      <c r="I673" s="127">
        <f t="shared" si="578"/>
        <v>0</v>
      </c>
      <c r="J673" s="127">
        <f t="shared" si="578"/>
        <v>0</v>
      </c>
      <c r="K673" s="127">
        <f t="shared" si="578"/>
        <v>0</v>
      </c>
      <c r="L673" s="127">
        <f t="shared" ref="L673" si="605">L308</f>
        <v>0.77650100250469534</v>
      </c>
      <c r="M673" s="56"/>
    </row>
    <row r="674" spans="2:13">
      <c r="B674" s="55"/>
      <c r="C674" s="75">
        <v>669</v>
      </c>
      <c r="D674" s="127">
        <f t="shared" ref="D674:H674" si="606">D309</f>
        <v>20.8</v>
      </c>
      <c r="E674" s="127">
        <f t="shared" si="606"/>
        <v>9</v>
      </c>
      <c r="F674" s="127">
        <f t="shared" si="606"/>
        <v>0</v>
      </c>
      <c r="G674" s="127">
        <f t="shared" si="578"/>
        <v>4.2861703884606843</v>
      </c>
      <c r="H674" s="127">
        <f t="shared" si="606"/>
        <v>0.75705876225588364</v>
      </c>
      <c r="I674" s="127">
        <f t="shared" si="578"/>
        <v>0</v>
      </c>
      <c r="J674" s="127">
        <f t="shared" si="578"/>
        <v>0</v>
      </c>
      <c r="K674" s="127">
        <f t="shared" si="578"/>
        <v>0</v>
      </c>
      <c r="L674" s="127">
        <f t="shared" ref="L674" si="607">L309</f>
        <v>0.74865460883835888</v>
      </c>
      <c r="M674" s="56"/>
    </row>
    <row r="675" spans="2:13">
      <c r="B675" s="55"/>
      <c r="C675" s="75">
        <v>670</v>
      </c>
      <c r="D675" s="127">
        <f t="shared" ref="D675:H675" si="608">D310</f>
        <v>21</v>
      </c>
      <c r="E675" s="127">
        <f t="shared" si="608"/>
        <v>8</v>
      </c>
      <c r="F675" s="127">
        <f t="shared" si="608"/>
        <v>0.4</v>
      </c>
      <c r="G675" s="127">
        <f t="shared" si="578"/>
        <v>4.255017109363699</v>
      </c>
      <c r="H675" s="127">
        <f t="shared" si="608"/>
        <v>0.67726039705570662</v>
      </c>
      <c r="I675" s="127">
        <f t="shared" si="578"/>
        <v>0</v>
      </c>
      <c r="J675" s="127">
        <f t="shared" si="578"/>
        <v>0</v>
      </c>
      <c r="K675" s="127">
        <f t="shared" si="578"/>
        <v>0</v>
      </c>
      <c r="L675" s="127">
        <f t="shared" ref="L675" si="609">L310</f>
        <v>0.66750801248270686</v>
      </c>
      <c r="M675" s="56"/>
    </row>
    <row r="676" spans="2:13">
      <c r="B676" s="55"/>
      <c r="C676" s="75">
        <v>671</v>
      </c>
      <c r="D676" s="127">
        <f t="shared" ref="D676:K691" si="610">D311</f>
        <v>19.2</v>
      </c>
      <c r="E676" s="127">
        <f t="shared" si="610"/>
        <v>10</v>
      </c>
      <c r="F676" s="127">
        <f t="shared" si="610"/>
        <v>2.2000000000000002</v>
      </c>
      <c r="G676" s="127">
        <f t="shared" si="610"/>
        <v>4.2673873609936095</v>
      </c>
      <c r="H676" s="127">
        <f t="shared" si="610"/>
        <v>0.66125457776348462</v>
      </c>
      <c r="I676" s="127">
        <f t="shared" si="610"/>
        <v>0</v>
      </c>
      <c r="J676" s="127">
        <f t="shared" si="610"/>
        <v>0</v>
      </c>
      <c r="K676" s="127">
        <f t="shared" si="610"/>
        <v>0</v>
      </c>
      <c r="L676" s="127">
        <f t="shared" ref="L676" si="611">L311</f>
        <v>0.65017176661116127</v>
      </c>
      <c r="M676" s="56"/>
    </row>
    <row r="677" spans="2:13">
      <c r="B677" s="55"/>
      <c r="C677" s="75">
        <v>672</v>
      </c>
      <c r="D677" s="127">
        <f t="shared" ref="D677:H677" si="612">D312</f>
        <v>21.2</v>
      </c>
      <c r="E677" s="127">
        <f t="shared" si="612"/>
        <v>8.8000000000000007</v>
      </c>
      <c r="F677" s="127">
        <f t="shared" si="612"/>
        <v>0</v>
      </c>
      <c r="G677" s="127">
        <f t="shared" si="610"/>
        <v>4.3058632169196178</v>
      </c>
      <c r="H677" s="127">
        <f t="shared" si="612"/>
        <v>0.57017707433682929</v>
      </c>
      <c r="I677" s="127">
        <f t="shared" si="610"/>
        <v>0</v>
      </c>
      <c r="J677" s="127">
        <f t="shared" si="610"/>
        <v>0</v>
      </c>
      <c r="K677" s="127">
        <f t="shared" si="610"/>
        <v>0</v>
      </c>
      <c r="L677" s="127">
        <f t="shared" ref="L677" si="613">L312</f>
        <v>0.55776461986571835</v>
      </c>
      <c r="M677" s="56"/>
    </row>
    <row r="678" spans="2:13">
      <c r="B678" s="55"/>
      <c r="C678" s="75">
        <v>673</v>
      </c>
      <c r="D678" s="127">
        <f t="shared" ref="D678:H678" si="614">D313</f>
        <v>23.5</v>
      </c>
      <c r="E678" s="127">
        <f t="shared" si="614"/>
        <v>5</v>
      </c>
      <c r="F678" s="127">
        <f t="shared" si="614"/>
        <v>2.6</v>
      </c>
      <c r="G678" s="127">
        <f t="shared" si="610"/>
        <v>4.2433724731095666</v>
      </c>
      <c r="H678" s="127">
        <f t="shared" si="614"/>
        <v>0.57178055737785349</v>
      </c>
      <c r="I678" s="127">
        <f t="shared" si="610"/>
        <v>0</v>
      </c>
      <c r="J678" s="127">
        <f t="shared" si="610"/>
        <v>0</v>
      </c>
      <c r="K678" s="127">
        <f t="shared" si="610"/>
        <v>0</v>
      </c>
      <c r="L678" s="127">
        <f t="shared" ref="L678" si="615">L313</f>
        <v>0.55810435637808864</v>
      </c>
      <c r="M678" s="56"/>
    </row>
    <row r="679" spans="2:13">
      <c r="B679" s="55"/>
      <c r="C679" s="75">
        <v>674</v>
      </c>
      <c r="D679" s="127">
        <f t="shared" ref="D679:H679" si="616">D314</f>
        <v>26.2</v>
      </c>
      <c r="E679" s="127">
        <f t="shared" si="616"/>
        <v>5</v>
      </c>
      <c r="F679" s="127">
        <f t="shared" si="616"/>
        <v>1.1000000000000001</v>
      </c>
      <c r="G679" s="127">
        <f t="shared" si="610"/>
        <v>4.364864690114425</v>
      </c>
      <c r="H679" s="127">
        <f t="shared" si="616"/>
        <v>0.52016842296232813</v>
      </c>
      <c r="I679" s="127">
        <f t="shared" si="610"/>
        <v>0</v>
      </c>
      <c r="J679" s="127">
        <f t="shared" si="610"/>
        <v>0</v>
      </c>
      <c r="K679" s="127">
        <f t="shared" si="610"/>
        <v>0</v>
      </c>
      <c r="L679" s="127">
        <f t="shared" ref="L679" si="617">L314</f>
        <v>0.50517441395611606</v>
      </c>
      <c r="M679" s="56"/>
    </row>
    <row r="680" spans="2:13">
      <c r="B680" s="55"/>
      <c r="C680" s="75">
        <v>675</v>
      </c>
      <c r="D680" s="127">
        <f t="shared" ref="D680:H680" si="618">D315</f>
        <v>21.2</v>
      </c>
      <c r="E680" s="127">
        <f t="shared" si="618"/>
        <v>8.8000000000000007</v>
      </c>
      <c r="F680" s="127">
        <f t="shared" si="618"/>
        <v>0.1</v>
      </c>
      <c r="G680" s="127">
        <f t="shared" si="610"/>
        <v>4.3150857798830771</v>
      </c>
      <c r="H680" s="127">
        <f t="shared" si="618"/>
        <v>0.43705193757466165</v>
      </c>
      <c r="I680" s="127">
        <f t="shared" si="610"/>
        <v>0</v>
      </c>
      <c r="J680" s="127">
        <f t="shared" si="610"/>
        <v>0</v>
      </c>
      <c r="K680" s="127">
        <f t="shared" si="610"/>
        <v>0</v>
      </c>
      <c r="L680" s="127">
        <f t="shared" ref="L680" si="619">L315</f>
        <v>0.42079796275794423</v>
      </c>
      <c r="M680" s="56"/>
    </row>
    <row r="681" spans="2:13">
      <c r="B681" s="55"/>
      <c r="C681" s="75">
        <v>676</v>
      </c>
      <c r="D681" s="127">
        <f t="shared" ref="D681:H681" si="620">D316</f>
        <v>21.5</v>
      </c>
      <c r="E681" s="127">
        <f t="shared" si="620"/>
        <v>8</v>
      </c>
      <c r="F681" s="127">
        <f t="shared" si="620"/>
        <v>2</v>
      </c>
      <c r="G681" s="127">
        <f t="shared" si="610"/>
        <v>4.2958436663318276</v>
      </c>
      <c r="H681" s="127">
        <f t="shared" si="620"/>
        <v>0.42177802858705143</v>
      </c>
      <c r="I681" s="127">
        <f t="shared" si="610"/>
        <v>0</v>
      </c>
      <c r="J681" s="127">
        <f t="shared" si="610"/>
        <v>0</v>
      </c>
      <c r="K681" s="127">
        <f t="shared" si="610"/>
        <v>0</v>
      </c>
      <c r="L681" s="127">
        <f t="shared" ref="L681" si="621">L316</f>
        <v>0.40430075593978182</v>
      </c>
      <c r="M681" s="56"/>
    </row>
    <row r="682" spans="2:13">
      <c r="B682" s="55"/>
      <c r="C682" s="75">
        <v>677</v>
      </c>
      <c r="D682" s="127">
        <f t="shared" ref="D682:H682" si="622">D317</f>
        <v>21.5</v>
      </c>
      <c r="E682" s="127">
        <f t="shared" si="622"/>
        <v>8</v>
      </c>
      <c r="F682" s="127">
        <f t="shared" si="622"/>
        <v>0</v>
      </c>
      <c r="G682" s="127">
        <f t="shared" si="610"/>
        <v>4.2983802245136884</v>
      </c>
      <c r="H682" s="127">
        <f t="shared" si="622"/>
        <v>0.33882326794785461</v>
      </c>
      <c r="I682" s="127">
        <f t="shared" si="610"/>
        <v>0</v>
      </c>
      <c r="J682" s="127">
        <f t="shared" si="610"/>
        <v>0</v>
      </c>
      <c r="K682" s="127">
        <f t="shared" si="610"/>
        <v>0</v>
      </c>
      <c r="L682" s="127">
        <f t="shared" ref="L682" si="623">L317</f>
        <v>0.32014445134262381</v>
      </c>
      <c r="M682" s="56"/>
    </row>
    <row r="683" spans="2:13">
      <c r="B683" s="55"/>
      <c r="C683" s="75">
        <v>678</v>
      </c>
      <c r="D683" s="127">
        <f t="shared" ref="D683:H683" si="624">D318</f>
        <v>24.2</v>
      </c>
      <c r="E683" s="127">
        <f t="shared" si="624"/>
        <v>6.3</v>
      </c>
      <c r="F683" s="127">
        <f t="shared" si="624"/>
        <v>0.4</v>
      </c>
      <c r="G683" s="127">
        <f t="shared" si="610"/>
        <v>4.3447200565663993</v>
      </c>
      <c r="H683" s="127">
        <f t="shared" si="624"/>
        <v>0.27151315814143218</v>
      </c>
      <c r="I683" s="127">
        <f t="shared" si="610"/>
        <v>0</v>
      </c>
      <c r="J683" s="127">
        <f t="shared" si="610"/>
        <v>0</v>
      </c>
      <c r="K683" s="127">
        <f t="shared" si="610"/>
        <v>0</v>
      </c>
      <c r="L683" s="127">
        <f t="shared" ref="L683" si="625">L318</f>
        <v>0.25162603447757631</v>
      </c>
      <c r="M683" s="56"/>
    </row>
    <row r="684" spans="2:13">
      <c r="B684" s="55"/>
      <c r="C684" s="75">
        <v>679</v>
      </c>
      <c r="D684" s="127">
        <f t="shared" ref="D684:H684" si="626">D319</f>
        <v>24.5</v>
      </c>
      <c r="E684" s="127">
        <f t="shared" si="626"/>
        <v>4.5999999999999996</v>
      </c>
      <c r="F684" s="127">
        <f t="shared" si="626"/>
        <v>0</v>
      </c>
      <c r="G684" s="127">
        <f t="shared" si="610"/>
        <v>4.2853826915625106</v>
      </c>
      <c r="H684" s="127">
        <f t="shared" si="626"/>
        <v>0.19383269744930406</v>
      </c>
      <c r="I684" s="127">
        <f t="shared" si="610"/>
        <v>0</v>
      </c>
      <c r="J684" s="127">
        <f t="shared" si="610"/>
        <v>0</v>
      </c>
      <c r="K684" s="127">
        <f t="shared" si="610"/>
        <v>0</v>
      </c>
      <c r="L684" s="127">
        <f t="shared" ref="L684" si="627">L319</f>
        <v>0.19421416844071632</v>
      </c>
      <c r="M684" s="56"/>
    </row>
    <row r="685" spans="2:13">
      <c r="B685" s="55"/>
      <c r="C685" s="75">
        <v>680</v>
      </c>
      <c r="D685" s="127">
        <f t="shared" ref="D685:H685" si="628">D320</f>
        <v>19.399999999999999</v>
      </c>
      <c r="E685" s="127">
        <f t="shared" si="628"/>
        <v>6.6</v>
      </c>
      <c r="F685" s="127">
        <f t="shared" si="628"/>
        <v>0</v>
      </c>
      <c r="G685" s="127">
        <f t="shared" si="610"/>
        <v>4.1511334757002016</v>
      </c>
      <c r="H685" s="127">
        <f t="shared" si="628"/>
        <v>0.13597640525342611</v>
      </c>
      <c r="I685" s="127">
        <f t="shared" si="610"/>
        <v>0</v>
      </c>
      <c r="J685" s="127">
        <f t="shared" si="610"/>
        <v>0</v>
      </c>
      <c r="K685" s="127">
        <f t="shared" si="610"/>
        <v>0</v>
      </c>
      <c r="L685" s="127">
        <f t="shared" ref="L685" si="629">L320</f>
        <v>0.18286000068178032</v>
      </c>
      <c r="M685" s="56"/>
    </row>
    <row r="686" spans="2:13">
      <c r="B686" s="55"/>
      <c r="C686" s="75">
        <v>681</v>
      </c>
      <c r="D686" s="127">
        <f t="shared" ref="D686:H686" si="630">D321</f>
        <v>21.5</v>
      </c>
      <c r="E686" s="127">
        <f t="shared" si="630"/>
        <v>7.2</v>
      </c>
      <c r="F686" s="127">
        <f t="shared" si="630"/>
        <v>0</v>
      </c>
      <c r="G686" s="127">
        <f t="shared" si="610"/>
        <v>4.271755272203742</v>
      </c>
      <c r="H686" s="127">
        <f t="shared" si="630"/>
        <v>0.12535305504518732</v>
      </c>
      <c r="I686" s="127">
        <f t="shared" si="610"/>
        <v>0</v>
      </c>
      <c r="J686" s="127">
        <f t="shared" si="610"/>
        <v>0</v>
      </c>
      <c r="K686" s="127">
        <f t="shared" si="610"/>
        <v>0</v>
      </c>
      <c r="L686" s="127">
        <f t="shared" ref="L686" si="631">L321</f>
        <v>0.17917145579000948</v>
      </c>
      <c r="M686" s="56"/>
    </row>
    <row r="687" spans="2:13">
      <c r="B687" s="55"/>
      <c r="C687" s="75">
        <v>682</v>
      </c>
      <c r="D687" s="127">
        <f t="shared" ref="D687:H687" si="632">D322</f>
        <v>24.6</v>
      </c>
      <c r="E687" s="127">
        <f t="shared" si="632"/>
        <v>7</v>
      </c>
      <c r="F687" s="127">
        <f t="shared" si="632"/>
        <v>2.4</v>
      </c>
      <c r="G687" s="127">
        <f t="shared" si="610"/>
        <v>4.4012410315970909</v>
      </c>
      <c r="H687" s="127">
        <f t="shared" si="632"/>
        <v>0.13892800672441252</v>
      </c>
      <c r="I687" s="127">
        <f t="shared" si="610"/>
        <v>0</v>
      </c>
      <c r="J687" s="127">
        <f t="shared" si="610"/>
        <v>0</v>
      </c>
      <c r="K687" s="127">
        <f t="shared" si="610"/>
        <v>0</v>
      </c>
      <c r="L687" s="127">
        <f t="shared" ref="L687" si="633">L322</f>
        <v>0.19312815343983047</v>
      </c>
      <c r="M687" s="56"/>
    </row>
    <row r="688" spans="2:13">
      <c r="B688" s="55"/>
      <c r="C688" s="75">
        <v>683</v>
      </c>
      <c r="D688" s="127">
        <f t="shared" ref="D688:H688" si="634">D323</f>
        <v>20.5</v>
      </c>
      <c r="E688" s="127">
        <f t="shared" si="634"/>
        <v>10.8</v>
      </c>
      <c r="F688" s="127">
        <f t="shared" si="634"/>
        <v>0.6</v>
      </c>
      <c r="G688" s="127">
        <f t="shared" si="610"/>
        <v>4.3896906764121919</v>
      </c>
      <c r="H688" s="127">
        <f t="shared" si="634"/>
        <v>0.12791483154701255</v>
      </c>
      <c r="I688" s="127">
        <f t="shared" si="610"/>
        <v>0</v>
      </c>
      <c r="J688" s="127">
        <f t="shared" si="610"/>
        <v>0</v>
      </c>
      <c r="K688" s="127">
        <f t="shared" si="610"/>
        <v>0</v>
      </c>
      <c r="L688" s="127">
        <f t="shared" ref="L688" si="635">L323</f>
        <v>0.18142173101765863</v>
      </c>
      <c r="M688" s="56"/>
    </row>
    <row r="689" spans="2:13">
      <c r="B689" s="55"/>
      <c r="C689" s="75">
        <v>684</v>
      </c>
      <c r="D689" s="127">
        <f t="shared" ref="D689:H689" si="636">D324</f>
        <v>23.5</v>
      </c>
      <c r="E689" s="127">
        <f t="shared" si="636"/>
        <v>7.1</v>
      </c>
      <c r="F689" s="127">
        <f t="shared" si="636"/>
        <v>13.5</v>
      </c>
      <c r="G689" s="127">
        <f t="shared" si="610"/>
        <v>4.3603724852983738</v>
      </c>
      <c r="H689" s="127">
        <f t="shared" si="636"/>
        <v>1.3048685997153773</v>
      </c>
      <c r="I689" s="127">
        <f t="shared" si="610"/>
        <v>0</v>
      </c>
      <c r="J689" s="127">
        <f t="shared" si="610"/>
        <v>0</v>
      </c>
      <c r="K689" s="127">
        <f t="shared" si="610"/>
        <v>0</v>
      </c>
      <c r="L689" s="127">
        <f t="shared" ref="L689" si="637">L324</f>
        <v>0.76695282265436371</v>
      </c>
      <c r="M689" s="56"/>
    </row>
    <row r="690" spans="2:13">
      <c r="B690" s="55"/>
      <c r="C690" s="75">
        <v>685</v>
      </c>
      <c r="D690" s="127">
        <f t="shared" ref="D690:H690" si="638">D325</f>
        <v>23.5</v>
      </c>
      <c r="E690" s="127">
        <f t="shared" si="638"/>
        <v>6.5</v>
      </c>
      <c r="F690" s="127">
        <f t="shared" si="638"/>
        <v>9.5</v>
      </c>
      <c r="G690" s="127">
        <f t="shared" si="610"/>
        <v>4.335333943962798</v>
      </c>
      <c r="H690" s="127">
        <f t="shared" si="638"/>
        <v>0.97794050343412853</v>
      </c>
      <c r="I690" s="127">
        <f t="shared" si="610"/>
        <v>0</v>
      </c>
      <c r="J690" s="127">
        <f t="shared" si="610"/>
        <v>0</v>
      </c>
      <c r="K690" s="127">
        <f t="shared" si="610"/>
        <v>0</v>
      </c>
      <c r="L690" s="127">
        <f t="shared" ref="L690" si="639">L325</f>
        <v>0.76989712989498815</v>
      </c>
      <c r="M690" s="56"/>
    </row>
    <row r="691" spans="2:13">
      <c r="B691" s="55"/>
      <c r="C691" s="75">
        <v>686</v>
      </c>
      <c r="D691" s="127">
        <f t="shared" ref="D691:H691" si="640">D326</f>
        <v>24</v>
      </c>
      <c r="E691" s="127">
        <f t="shared" si="640"/>
        <v>7.4</v>
      </c>
      <c r="F691" s="127">
        <f t="shared" si="640"/>
        <v>0.5</v>
      </c>
      <c r="G691" s="127">
        <f t="shared" si="610"/>
        <v>4.3983633472063284</v>
      </c>
      <c r="H691" s="127">
        <f t="shared" si="640"/>
        <v>0.63648235015696397</v>
      </c>
      <c r="I691" s="127">
        <f t="shared" si="610"/>
        <v>0</v>
      </c>
      <c r="J691" s="127">
        <f t="shared" si="610"/>
        <v>0</v>
      </c>
      <c r="K691" s="127">
        <f t="shared" si="610"/>
        <v>0</v>
      </c>
      <c r="L691" s="127">
        <f t="shared" ref="L691" si="641">L326</f>
        <v>0.66782310289204905</v>
      </c>
      <c r="M691" s="56"/>
    </row>
    <row r="692" spans="2:13">
      <c r="B692" s="55"/>
      <c r="C692" s="75">
        <v>687</v>
      </c>
      <c r="D692" s="127">
        <f t="shared" ref="D692:K707" si="642">D327</f>
        <v>21.8</v>
      </c>
      <c r="E692" s="127">
        <f t="shared" si="642"/>
        <v>10.8</v>
      </c>
      <c r="F692" s="127">
        <f t="shared" si="642"/>
        <v>0.6</v>
      </c>
      <c r="G692" s="127">
        <f t="shared" si="642"/>
        <v>4.4525368123414397</v>
      </c>
      <c r="H692" s="127">
        <f t="shared" si="642"/>
        <v>0.56377497132283116</v>
      </c>
      <c r="I692" s="127">
        <f t="shared" si="642"/>
        <v>0</v>
      </c>
      <c r="J692" s="127">
        <f t="shared" si="642"/>
        <v>0</v>
      </c>
      <c r="K692" s="127">
        <f t="shared" si="642"/>
        <v>0</v>
      </c>
      <c r="L692" s="127">
        <f t="shared" ref="L692" si="643">L327</f>
        <v>0.59222668578517657</v>
      </c>
      <c r="M692" s="56"/>
    </row>
    <row r="693" spans="2:13">
      <c r="B693" s="55"/>
      <c r="C693" s="75">
        <v>688</v>
      </c>
      <c r="D693" s="127">
        <f t="shared" ref="D693:H693" si="644">D328</f>
        <v>20</v>
      </c>
      <c r="E693" s="127">
        <f t="shared" si="644"/>
        <v>7.5</v>
      </c>
      <c r="F693" s="127">
        <f t="shared" si="644"/>
        <v>3.7</v>
      </c>
      <c r="G693" s="127">
        <f t="shared" si="642"/>
        <v>4.2286526002299869</v>
      </c>
      <c r="H693" s="127">
        <f t="shared" si="644"/>
        <v>0.60286052532240753</v>
      </c>
      <c r="I693" s="127">
        <f t="shared" si="642"/>
        <v>0</v>
      </c>
      <c r="J693" s="127">
        <f t="shared" si="642"/>
        <v>0</v>
      </c>
      <c r="K693" s="127">
        <f t="shared" si="642"/>
        <v>0</v>
      </c>
      <c r="L693" s="127">
        <f t="shared" ref="L693" si="645">L328</f>
        <v>0.63014121230304543</v>
      </c>
      <c r="M693" s="56"/>
    </row>
    <row r="694" spans="2:13">
      <c r="B694" s="55"/>
      <c r="C694" s="75">
        <v>689</v>
      </c>
      <c r="D694" s="127">
        <f t="shared" ref="D694:H694" si="646">D329</f>
        <v>20</v>
      </c>
      <c r="E694" s="127">
        <f t="shared" si="646"/>
        <v>8.1999999999999993</v>
      </c>
      <c r="F694" s="127">
        <f t="shared" si="646"/>
        <v>13.6</v>
      </c>
      <c r="G694" s="127">
        <f t="shared" si="642"/>
        <v>4.2604585069314558</v>
      </c>
      <c r="H694" s="127">
        <f t="shared" si="646"/>
        <v>1.7854315916865511</v>
      </c>
      <c r="I694" s="127">
        <f t="shared" si="642"/>
        <v>0</v>
      </c>
      <c r="J694" s="127">
        <f t="shared" si="642"/>
        <v>0</v>
      </c>
      <c r="K694" s="127">
        <f t="shared" si="642"/>
        <v>0</v>
      </c>
      <c r="L694" s="127">
        <f t="shared" ref="L694" si="647">L329</f>
        <v>0.77809072886853958</v>
      </c>
      <c r="M694" s="56"/>
    </row>
    <row r="695" spans="2:13">
      <c r="B695" s="55"/>
      <c r="C695" s="75">
        <v>690</v>
      </c>
      <c r="D695" s="127">
        <f t="shared" ref="D695:H695" si="648">D330</f>
        <v>23.1</v>
      </c>
      <c r="E695" s="127">
        <f t="shared" si="648"/>
        <v>7.5</v>
      </c>
      <c r="F695" s="127">
        <f t="shared" si="648"/>
        <v>6.9</v>
      </c>
      <c r="G695" s="127">
        <f t="shared" si="642"/>
        <v>4.3671834794612518</v>
      </c>
      <c r="H695" s="127">
        <f t="shared" si="648"/>
        <v>1.1417879082143905</v>
      </c>
      <c r="I695" s="127">
        <f t="shared" si="642"/>
        <v>0</v>
      </c>
      <c r="J695" s="127">
        <f t="shared" si="642"/>
        <v>0</v>
      </c>
      <c r="K695" s="127">
        <f t="shared" si="642"/>
        <v>0</v>
      </c>
      <c r="L695" s="127">
        <f t="shared" ref="L695" si="649">L330</f>
        <v>0.78088174333230731</v>
      </c>
      <c r="M695" s="56"/>
    </row>
    <row r="696" spans="2:13">
      <c r="B696" s="55"/>
      <c r="C696" s="75">
        <v>691</v>
      </c>
      <c r="D696" s="127">
        <f t="shared" ref="D696:H696" si="650">D331</f>
        <v>23.6</v>
      </c>
      <c r="E696" s="127">
        <f t="shared" si="650"/>
        <v>7.5</v>
      </c>
      <c r="F696" s="127">
        <f t="shared" si="650"/>
        <v>0</v>
      </c>
      <c r="G696" s="127">
        <f t="shared" si="642"/>
        <v>4.3900472228168903</v>
      </c>
      <c r="H696" s="127">
        <f t="shared" si="650"/>
        <v>0.97196464164670626</v>
      </c>
      <c r="I696" s="127">
        <f t="shared" si="642"/>
        <v>0</v>
      </c>
      <c r="J696" s="127">
        <f t="shared" si="642"/>
        <v>0</v>
      </c>
      <c r="K696" s="127">
        <f t="shared" si="642"/>
        <v>0</v>
      </c>
      <c r="L696" s="127">
        <f t="shared" ref="L696" si="651">L331</f>
        <v>0.7812522763852241</v>
      </c>
      <c r="M696" s="56"/>
    </row>
    <row r="697" spans="2:13">
      <c r="B697" s="55"/>
      <c r="C697" s="75">
        <v>692</v>
      </c>
      <c r="D697" s="127">
        <f t="shared" ref="D697:H697" si="652">D332</f>
        <v>26.4</v>
      </c>
      <c r="E697" s="127">
        <f t="shared" si="652"/>
        <v>5.5</v>
      </c>
      <c r="F697" s="127">
        <f t="shared" si="652"/>
        <v>0</v>
      </c>
      <c r="G697" s="127">
        <f t="shared" si="642"/>
        <v>4.4260948509762299</v>
      </c>
      <c r="H697" s="127">
        <f t="shared" si="652"/>
        <v>0.86769651009169035</v>
      </c>
      <c r="I697" s="127">
        <f t="shared" si="642"/>
        <v>0</v>
      </c>
      <c r="J697" s="127">
        <f t="shared" si="642"/>
        <v>0</v>
      </c>
      <c r="K697" s="127">
        <f t="shared" si="642"/>
        <v>0</v>
      </c>
      <c r="L697" s="127">
        <f t="shared" ref="L697" si="653">L332</f>
        <v>0.78073439187382176</v>
      </c>
      <c r="M697" s="56"/>
    </row>
    <row r="698" spans="2:13">
      <c r="B698" s="55"/>
      <c r="C698" s="75">
        <v>693</v>
      </c>
      <c r="D698" s="127">
        <f t="shared" ref="D698:H698" si="654">D333</f>
        <v>20.6</v>
      </c>
      <c r="E698" s="127">
        <f t="shared" si="654"/>
        <v>8.6999999999999993</v>
      </c>
      <c r="F698" s="127">
        <f t="shared" si="654"/>
        <v>0</v>
      </c>
      <c r="G698" s="127">
        <f t="shared" si="642"/>
        <v>4.3119286813071245</v>
      </c>
      <c r="H698" s="127">
        <f t="shared" si="654"/>
        <v>0.76886436106209854</v>
      </c>
      <c r="I698" s="127">
        <f t="shared" si="642"/>
        <v>0</v>
      </c>
      <c r="J698" s="127">
        <f t="shared" si="642"/>
        <v>0</v>
      </c>
      <c r="K698" s="127">
        <f t="shared" si="642"/>
        <v>0</v>
      </c>
      <c r="L698" s="127">
        <f t="shared" ref="L698" si="655">L333</f>
        <v>0.77938822021769516</v>
      </c>
      <c r="M698" s="56"/>
    </row>
    <row r="699" spans="2:13">
      <c r="B699" s="55"/>
      <c r="C699" s="75">
        <v>694</v>
      </c>
      <c r="D699" s="127">
        <f t="shared" ref="D699:H699" si="656">D334</f>
        <v>23.5</v>
      </c>
      <c r="E699" s="127">
        <f t="shared" si="656"/>
        <v>7</v>
      </c>
      <c r="F699" s="127">
        <f t="shared" si="656"/>
        <v>7.6</v>
      </c>
      <c r="G699" s="127">
        <f t="shared" si="642"/>
        <v>4.365445918682509</v>
      </c>
      <c r="H699" s="127">
        <f t="shared" si="656"/>
        <v>1.0313193279471664</v>
      </c>
      <c r="I699" s="127">
        <f t="shared" si="642"/>
        <v>0</v>
      </c>
      <c r="J699" s="127">
        <f t="shared" si="642"/>
        <v>0</v>
      </c>
      <c r="K699" s="127">
        <f t="shared" si="642"/>
        <v>0</v>
      </c>
      <c r="L699" s="127">
        <f t="shared" ref="L699" si="657">L334</f>
        <v>0.78144288434563003</v>
      </c>
      <c r="M699" s="56"/>
    </row>
    <row r="700" spans="2:13">
      <c r="B700" s="55"/>
      <c r="C700" s="75">
        <v>695</v>
      </c>
      <c r="D700" s="127">
        <f t="shared" ref="D700:H700" si="658">D335</f>
        <v>22</v>
      </c>
      <c r="E700" s="127">
        <f t="shared" si="658"/>
        <v>10</v>
      </c>
      <c r="F700" s="127">
        <f t="shared" si="658"/>
        <v>12.8</v>
      </c>
      <c r="G700" s="127">
        <f t="shared" si="642"/>
        <v>4.4322011348143739</v>
      </c>
      <c r="H700" s="127">
        <f t="shared" si="658"/>
        <v>1.9351068582041395</v>
      </c>
      <c r="I700" s="127">
        <f t="shared" si="642"/>
        <v>0</v>
      </c>
      <c r="J700" s="127">
        <f t="shared" si="642"/>
        <v>0</v>
      </c>
      <c r="K700" s="127">
        <f t="shared" si="642"/>
        <v>0</v>
      </c>
      <c r="L700" s="127">
        <f t="shared" ref="L700" si="659">L335</f>
        <v>0.79354449684455419</v>
      </c>
      <c r="M700" s="56"/>
    </row>
    <row r="701" spans="2:13">
      <c r="B701" s="55"/>
      <c r="C701" s="75">
        <v>696</v>
      </c>
      <c r="D701" s="127">
        <f t="shared" ref="D701:H701" si="660">D336</f>
        <v>22.4</v>
      </c>
      <c r="E701" s="127">
        <f t="shared" si="660"/>
        <v>9</v>
      </c>
      <c r="F701" s="127">
        <f t="shared" si="660"/>
        <v>0.3</v>
      </c>
      <c r="G701" s="127">
        <f t="shared" si="642"/>
        <v>4.4061106706250763</v>
      </c>
      <c r="H701" s="127">
        <f t="shared" si="660"/>
        <v>1.1306968057497018</v>
      </c>
      <c r="I701" s="127">
        <f t="shared" si="642"/>
        <v>0</v>
      </c>
      <c r="J701" s="127">
        <f t="shared" si="642"/>
        <v>0</v>
      </c>
      <c r="K701" s="127">
        <f t="shared" si="642"/>
        <v>0</v>
      </c>
      <c r="L701" s="127">
        <f t="shared" ref="L701" si="661">L336</f>
        <v>0.79489329753532822</v>
      </c>
      <c r="M701" s="56"/>
    </row>
    <row r="702" spans="2:13">
      <c r="B702" s="55"/>
      <c r="C702" s="75">
        <v>697</v>
      </c>
      <c r="D702" s="127">
        <f t="shared" ref="D702:H702" si="662">D337</f>
        <v>22.5</v>
      </c>
      <c r="E702" s="127">
        <f t="shared" si="662"/>
        <v>9</v>
      </c>
      <c r="F702" s="127">
        <f t="shared" si="662"/>
        <v>0</v>
      </c>
      <c r="G702" s="127">
        <f t="shared" si="642"/>
        <v>4.4108968811515901</v>
      </c>
      <c r="H702" s="127">
        <f t="shared" si="662"/>
        <v>1.0211805291160685</v>
      </c>
      <c r="I702" s="127">
        <f t="shared" si="642"/>
        <v>0</v>
      </c>
      <c r="J702" s="127">
        <f t="shared" si="642"/>
        <v>0</v>
      </c>
      <c r="K702" s="127">
        <f t="shared" si="642"/>
        <v>0</v>
      </c>
      <c r="L702" s="127">
        <f t="shared" ref="L702" si="663">L337</f>
        <v>0.79530006036135426</v>
      </c>
      <c r="M702" s="56"/>
    </row>
    <row r="703" spans="2:13">
      <c r="B703" s="55"/>
      <c r="C703" s="75">
        <v>698</v>
      </c>
      <c r="D703" s="127">
        <f t="shared" ref="D703:H703" si="664">D338</f>
        <v>23.5</v>
      </c>
      <c r="E703" s="127">
        <f t="shared" si="664"/>
        <v>5.4</v>
      </c>
      <c r="F703" s="127">
        <f t="shared" si="664"/>
        <v>0</v>
      </c>
      <c r="G703" s="127">
        <f t="shared" si="642"/>
        <v>4.2963876753329053</v>
      </c>
      <c r="H703" s="127">
        <f t="shared" si="664"/>
        <v>0.9172855282013781</v>
      </c>
      <c r="I703" s="127">
        <f t="shared" si="642"/>
        <v>0</v>
      </c>
      <c r="J703" s="127">
        <f t="shared" si="642"/>
        <v>0</v>
      </c>
      <c r="K703" s="127">
        <f t="shared" si="642"/>
        <v>0</v>
      </c>
      <c r="L703" s="127">
        <f t="shared" ref="L703" si="665">L338</f>
        <v>0.79482711141260565</v>
      </c>
      <c r="M703" s="56"/>
    </row>
    <row r="704" spans="2:13">
      <c r="B704" s="55"/>
      <c r="C704" s="75">
        <v>699</v>
      </c>
      <c r="D704" s="127">
        <f t="shared" ref="D704:H704" si="666">D339</f>
        <v>21.5</v>
      </c>
      <c r="E704" s="127">
        <f t="shared" si="666"/>
        <v>5.2</v>
      </c>
      <c r="F704" s="127">
        <f t="shared" si="666"/>
        <v>0</v>
      </c>
      <c r="G704" s="127">
        <f t="shared" si="642"/>
        <v>4.1995576341354903</v>
      </c>
      <c r="H704" s="127">
        <f t="shared" si="666"/>
        <v>0.81852382973480409</v>
      </c>
      <c r="I704" s="127">
        <f t="shared" si="642"/>
        <v>0</v>
      </c>
      <c r="J704" s="127">
        <f t="shared" si="642"/>
        <v>0</v>
      </c>
      <c r="K704" s="127">
        <f t="shared" si="642"/>
        <v>0</v>
      </c>
      <c r="L704" s="127">
        <f t="shared" ref="L704" si="667">L339</f>
        <v>0.7935316066496384</v>
      </c>
      <c r="M704" s="56"/>
    </row>
    <row r="705" spans="2:13">
      <c r="B705" s="55"/>
      <c r="C705" s="75">
        <v>700</v>
      </c>
      <c r="D705" s="127">
        <f t="shared" ref="D705:H705" si="668">D340</f>
        <v>22.8</v>
      </c>
      <c r="E705" s="127">
        <f t="shared" si="668"/>
        <v>2</v>
      </c>
      <c r="F705" s="127">
        <f t="shared" si="668"/>
        <v>0</v>
      </c>
      <c r="G705" s="127">
        <f t="shared" si="642"/>
        <v>4.1159101638838118</v>
      </c>
      <c r="H705" s="127">
        <f t="shared" si="668"/>
        <v>0.72449970081980919</v>
      </c>
      <c r="I705" s="127">
        <f t="shared" si="642"/>
        <v>0</v>
      </c>
      <c r="J705" s="127">
        <f t="shared" si="642"/>
        <v>0</v>
      </c>
      <c r="K705" s="127">
        <f t="shared" si="642"/>
        <v>0</v>
      </c>
      <c r="L705" s="127">
        <f t="shared" ref="L705" si="669">L340</f>
        <v>0.73236992001678813</v>
      </c>
      <c r="M705" s="56"/>
    </row>
    <row r="706" spans="2:13">
      <c r="B706" s="55"/>
      <c r="C706" s="75">
        <v>701</v>
      </c>
      <c r="D706" s="127">
        <f t="shared" ref="D706:H706" si="670">D341</f>
        <v>21.6</v>
      </c>
      <c r="E706" s="127">
        <f t="shared" si="670"/>
        <v>3.5</v>
      </c>
      <c r="F706" s="127">
        <f t="shared" si="670"/>
        <v>0</v>
      </c>
      <c r="G706" s="127">
        <f t="shared" si="642"/>
        <v>4.1293220213639765</v>
      </c>
      <c r="H706" s="127">
        <f t="shared" si="670"/>
        <v>0.63342916912613545</v>
      </c>
      <c r="I706" s="127">
        <f t="shared" si="642"/>
        <v>0</v>
      </c>
      <c r="J706" s="127">
        <f t="shared" si="642"/>
        <v>0</v>
      </c>
      <c r="K706" s="127">
        <f t="shared" si="642"/>
        <v>0</v>
      </c>
      <c r="L706" s="127">
        <f t="shared" ref="L706" si="671">L341</f>
        <v>0.63986387764554975</v>
      </c>
      <c r="M706" s="56"/>
    </row>
    <row r="707" spans="2:13">
      <c r="B707" s="55"/>
      <c r="C707" s="75">
        <v>702</v>
      </c>
      <c r="D707" s="127">
        <f t="shared" ref="D707:H707" si="672">D342</f>
        <v>22</v>
      </c>
      <c r="E707" s="127">
        <f t="shared" si="672"/>
        <v>5.6</v>
      </c>
      <c r="F707" s="127">
        <f t="shared" si="672"/>
        <v>0</v>
      </c>
      <c r="G707" s="127">
        <f t="shared" si="642"/>
        <v>4.2397954382649541</v>
      </c>
      <c r="H707" s="127">
        <f t="shared" si="672"/>
        <v>0.54358868353579615</v>
      </c>
      <c r="I707" s="127">
        <f t="shared" si="642"/>
        <v>0</v>
      </c>
      <c r="J707" s="127">
        <f t="shared" si="642"/>
        <v>0</v>
      </c>
      <c r="K707" s="127">
        <f t="shared" si="642"/>
        <v>0</v>
      </c>
      <c r="L707" s="127">
        <f t="shared" ref="L707" si="673">L342</f>
        <v>0.5485396102150476</v>
      </c>
      <c r="M707" s="56"/>
    </row>
    <row r="708" spans="2:13">
      <c r="B708" s="55"/>
      <c r="C708" s="75">
        <v>703</v>
      </c>
      <c r="D708" s="127">
        <f t="shared" ref="D708:K723" si="674">D343</f>
        <v>23.5</v>
      </c>
      <c r="E708" s="127">
        <f t="shared" si="674"/>
        <v>4</v>
      </c>
      <c r="F708" s="127">
        <f t="shared" si="674"/>
        <v>0</v>
      </c>
      <c r="G708" s="127">
        <f t="shared" si="674"/>
        <v>4.2354886681342423</v>
      </c>
      <c r="H708" s="127">
        <f t="shared" si="674"/>
        <v>0.45685603354325571</v>
      </c>
      <c r="I708" s="127">
        <f t="shared" si="674"/>
        <v>0</v>
      </c>
      <c r="J708" s="127">
        <f t="shared" si="674"/>
        <v>0</v>
      </c>
      <c r="K708" s="127">
        <f t="shared" si="674"/>
        <v>0</v>
      </c>
      <c r="L708" s="127">
        <f t="shared" ref="L708" si="675">L343</f>
        <v>0.46035117464305336</v>
      </c>
      <c r="M708" s="56"/>
    </row>
    <row r="709" spans="2:13">
      <c r="B709" s="55"/>
      <c r="C709" s="75">
        <v>704</v>
      </c>
      <c r="D709" s="127">
        <f t="shared" ref="D709:H709" si="676">D344</f>
        <v>25</v>
      </c>
      <c r="E709" s="127">
        <f t="shared" si="676"/>
        <v>2.5</v>
      </c>
      <c r="F709" s="127">
        <f t="shared" si="676"/>
        <v>0</v>
      </c>
      <c r="G709" s="127">
        <f t="shared" si="674"/>
        <v>4.2355678082253814</v>
      </c>
      <c r="H709" s="127">
        <f t="shared" si="676"/>
        <v>0.37305223474391563</v>
      </c>
      <c r="I709" s="127">
        <f t="shared" si="674"/>
        <v>0</v>
      </c>
      <c r="J709" s="127">
        <f t="shared" si="674"/>
        <v>0</v>
      </c>
      <c r="K709" s="127">
        <f t="shared" si="674"/>
        <v>0</v>
      </c>
      <c r="L709" s="127">
        <f t="shared" ref="L709" si="677">L344</f>
        <v>0.37511620870975271</v>
      </c>
      <c r="M709" s="56"/>
    </row>
    <row r="710" spans="2:13">
      <c r="B710" s="55"/>
      <c r="C710" s="75">
        <v>705</v>
      </c>
      <c r="D710" s="127">
        <f t="shared" ref="D710:H710" si="678">D345</f>
        <v>22.2</v>
      </c>
      <c r="E710" s="127">
        <f t="shared" si="678"/>
        <v>6</v>
      </c>
      <c r="F710" s="127">
        <f t="shared" si="678"/>
        <v>0</v>
      </c>
      <c r="G710" s="127">
        <f t="shared" si="674"/>
        <v>4.2665189617086394</v>
      </c>
      <c r="H710" s="127">
        <f t="shared" si="678"/>
        <v>0.29156133348238034</v>
      </c>
      <c r="I710" s="127">
        <f t="shared" si="674"/>
        <v>0</v>
      </c>
      <c r="J710" s="127">
        <f t="shared" si="674"/>
        <v>0</v>
      </c>
      <c r="K710" s="127">
        <f t="shared" si="674"/>
        <v>0</v>
      </c>
      <c r="L710" s="127">
        <f t="shared" ref="L710" si="679">L345</f>
        <v>0.29219842692406994</v>
      </c>
      <c r="M710" s="56"/>
    </row>
    <row r="711" spans="2:13">
      <c r="B711" s="55"/>
      <c r="C711" s="75">
        <v>706</v>
      </c>
      <c r="D711" s="127">
        <f t="shared" ref="D711:H711" si="680">D346</f>
        <v>23.5</v>
      </c>
      <c r="E711" s="127">
        <f t="shared" si="680"/>
        <v>4</v>
      </c>
      <c r="F711" s="127">
        <f t="shared" si="680"/>
        <v>0.1</v>
      </c>
      <c r="G711" s="127">
        <f t="shared" si="674"/>
        <v>4.235657843238533</v>
      </c>
      <c r="H711" s="127">
        <f t="shared" si="680"/>
        <v>0.21674514251598001</v>
      </c>
      <c r="I711" s="127">
        <f t="shared" si="674"/>
        <v>0</v>
      </c>
      <c r="J711" s="127">
        <f t="shared" si="674"/>
        <v>0</v>
      </c>
      <c r="K711" s="127">
        <f t="shared" si="674"/>
        <v>0</v>
      </c>
      <c r="L711" s="127">
        <f t="shared" ref="L711" si="681">L346</f>
        <v>0.21599971272471249</v>
      </c>
      <c r="M711" s="56"/>
    </row>
    <row r="712" spans="2:13">
      <c r="B712" s="55"/>
      <c r="C712" s="75">
        <v>707</v>
      </c>
      <c r="D712" s="127">
        <f t="shared" ref="D712:H712" si="682">D347</f>
        <v>21.2</v>
      </c>
      <c r="E712" s="127">
        <f t="shared" si="682"/>
        <v>6.2</v>
      </c>
      <c r="F712" s="127">
        <f t="shared" si="682"/>
        <v>0</v>
      </c>
      <c r="G712" s="127">
        <f t="shared" si="674"/>
        <v>4.2312617335567397</v>
      </c>
      <c r="H712" s="127">
        <f t="shared" si="682"/>
        <v>0.1411210851867275</v>
      </c>
      <c r="I712" s="127">
        <f t="shared" si="674"/>
        <v>0</v>
      </c>
      <c r="J712" s="127">
        <f t="shared" si="674"/>
        <v>0</v>
      </c>
      <c r="K712" s="127">
        <f t="shared" si="674"/>
        <v>0</v>
      </c>
      <c r="L712" s="127">
        <f t="shared" ref="L712" si="683">L347</f>
        <v>0.18123362461651843</v>
      </c>
      <c r="M712" s="56"/>
    </row>
    <row r="713" spans="2:13">
      <c r="B713" s="55"/>
      <c r="C713" s="75">
        <v>708</v>
      </c>
      <c r="D713" s="127">
        <f t="shared" ref="D713:H713" si="684">D348</f>
        <v>23.2</v>
      </c>
      <c r="E713" s="127">
        <f t="shared" si="684"/>
        <v>7</v>
      </c>
      <c r="F713" s="127">
        <f t="shared" si="684"/>
        <v>0</v>
      </c>
      <c r="G713" s="127">
        <f t="shared" si="674"/>
        <v>4.3548793840279822</v>
      </c>
      <c r="H713" s="127">
        <f t="shared" si="684"/>
        <v>0.10316907938270582</v>
      </c>
      <c r="I713" s="127">
        <f t="shared" si="674"/>
        <v>0</v>
      </c>
      <c r="J713" s="127">
        <f t="shared" si="674"/>
        <v>0</v>
      </c>
      <c r="K713" s="127">
        <f t="shared" si="674"/>
        <v>0</v>
      </c>
      <c r="L713" s="127">
        <f t="shared" ref="L713" si="685">L348</f>
        <v>0.17362348051319917</v>
      </c>
      <c r="M713" s="56"/>
    </row>
    <row r="714" spans="2:13">
      <c r="B714" s="55"/>
      <c r="C714" s="75">
        <v>709</v>
      </c>
      <c r="D714" s="127">
        <f t="shared" ref="D714:H714" si="686">D349</f>
        <v>24.5</v>
      </c>
      <c r="E714" s="127">
        <f t="shared" si="686"/>
        <v>-1</v>
      </c>
      <c r="F714" s="127">
        <f t="shared" si="686"/>
        <v>0</v>
      </c>
      <c r="G714" s="127">
        <f t="shared" si="674"/>
        <v>4.0590837987461033</v>
      </c>
      <c r="H714" s="127">
        <f t="shared" si="686"/>
        <v>9.6085647761876919E-2</v>
      </c>
      <c r="I714" s="127">
        <f t="shared" si="674"/>
        <v>0</v>
      </c>
      <c r="J714" s="127">
        <f t="shared" si="674"/>
        <v>0</v>
      </c>
      <c r="K714" s="127">
        <f t="shared" si="674"/>
        <v>0</v>
      </c>
      <c r="L714" s="127">
        <f t="shared" ref="L714" si="687">L349</f>
        <v>0.17054388143723909</v>
      </c>
      <c r="M714" s="56"/>
    </row>
    <row r="715" spans="2:13">
      <c r="B715" s="55"/>
      <c r="C715" s="75">
        <v>710</v>
      </c>
      <c r="D715" s="127">
        <f t="shared" ref="D715:H715" si="688">D350</f>
        <v>24.2</v>
      </c>
      <c r="E715" s="127">
        <f t="shared" si="688"/>
        <v>4.5</v>
      </c>
      <c r="F715" s="127">
        <f t="shared" si="688"/>
        <v>0</v>
      </c>
      <c r="G715" s="127">
        <f t="shared" si="674"/>
        <v>4.2886197935879755</v>
      </c>
      <c r="H715" s="127">
        <f t="shared" si="688"/>
        <v>9.4132176843521556E-2</v>
      </c>
      <c r="I715" s="127">
        <f t="shared" si="674"/>
        <v>0</v>
      </c>
      <c r="J715" s="127">
        <f t="shared" si="674"/>
        <v>0</v>
      </c>
      <c r="K715" s="127">
        <f t="shared" si="674"/>
        <v>0</v>
      </c>
      <c r="L715" s="127">
        <f t="shared" ref="L715" si="689">L350</f>
        <v>0.16824011597996574</v>
      </c>
      <c r="M715" s="56"/>
    </row>
    <row r="716" spans="2:13">
      <c r="B716" s="55"/>
      <c r="C716" s="75">
        <v>711</v>
      </c>
      <c r="D716" s="127">
        <f t="shared" ref="D716:H716" si="690">D351</f>
        <v>24.4</v>
      </c>
      <c r="E716" s="127">
        <f t="shared" si="690"/>
        <v>2.5</v>
      </c>
      <c r="F716" s="127">
        <f t="shared" si="690"/>
        <v>0</v>
      </c>
      <c r="G716" s="127">
        <f t="shared" si="674"/>
        <v>4.2091482452628179</v>
      </c>
      <c r="H716" s="127">
        <f t="shared" si="690"/>
        <v>9.3037619303150826E-2</v>
      </c>
      <c r="I716" s="127">
        <f t="shared" si="674"/>
        <v>0</v>
      </c>
      <c r="J716" s="127">
        <f t="shared" si="674"/>
        <v>0</v>
      </c>
      <c r="K716" s="127">
        <f t="shared" si="674"/>
        <v>0</v>
      </c>
      <c r="L716" s="127">
        <f t="shared" ref="L716" si="691">L351</f>
        <v>0.16608881011975146</v>
      </c>
      <c r="M716" s="56"/>
    </row>
    <row r="717" spans="2:13">
      <c r="B717" s="55"/>
      <c r="C717" s="75">
        <v>712</v>
      </c>
      <c r="D717" s="127">
        <f t="shared" ref="D717:H717" si="692">D352</f>
        <v>21.5</v>
      </c>
      <c r="E717" s="127">
        <f t="shared" si="692"/>
        <v>2.5</v>
      </c>
      <c r="F717" s="127">
        <f t="shared" si="692"/>
        <v>4.0999999999999996</v>
      </c>
      <c r="G717" s="127">
        <f t="shared" si="674"/>
        <v>4.0811014236991001</v>
      </c>
      <c r="H717" s="127">
        <f t="shared" si="692"/>
        <v>0.16368499597931857</v>
      </c>
      <c r="I717" s="127">
        <f t="shared" si="674"/>
        <v>0</v>
      </c>
      <c r="J717" s="127">
        <f t="shared" si="674"/>
        <v>0</v>
      </c>
      <c r="K717" s="127">
        <f t="shared" si="674"/>
        <v>0</v>
      </c>
      <c r="L717" s="127">
        <f t="shared" ref="L717" si="693">L352</f>
        <v>0.24027056372470662</v>
      </c>
      <c r="M717" s="56"/>
    </row>
    <row r="718" spans="2:13">
      <c r="B718" s="55"/>
      <c r="C718" s="75">
        <v>713</v>
      </c>
      <c r="D718" s="127">
        <f t="shared" ref="D718:H718" si="694">D353</f>
        <v>22.5</v>
      </c>
      <c r="E718" s="127">
        <f t="shared" si="694"/>
        <v>8</v>
      </c>
      <c r="F718" s="127">
        <f t="shared" si="694"/>
        <v>0.4</v>
      </c>
      <c r="G718" s="127">
        <f t="shared" si="674"/>
        <v>4.3680210251473408</v>
      </c>
      <c r="H718" s="127">
        <f t="shared" si="694"/>
        <v>0.10578593914603057</v>
      </c>
      <c r="I718" s="127">
        <f t="shared" si="674"/>
        <v>0</v>
      </c>
      <c r="J718" s="127">
        <f t="shared" si="674"/>
        <v>0</v>
      </c>
      <c r="K718" s="127">
        <f t="shared" si="674"/>
        <v>0</v>
      </c>
      <c r="L718" s="127">
        <f t="shared" ref="L718" si="695">L353</f>
        <v>0.17602344000916559</v>
      </c>
      <c r="M718" s="56"/>
    </row>
    <row r="719" spans="2:13">
      <c r="B719" s="55"/>
      <c r="C719" s="75">
        <v>714</v>
      </c>
      <c r="D719" s="127">
        <f t="shared" ref="D719:H719" si="696">D354</f>
        <v>20.5</v>
      </c>
      <c r="E719" s="127">
        <f t="shared" si="696"/>
        <v>8</v>
      </c>
      <c r="F719" s="127">
        <f t="shared" si="696"/>
        <v>0</v>
      </c>
      <c r="G719" s="127">
        <f t="shared" si="674"/>
        <v>4.2796775901430086</v>
      </c>
      <c r="H719" s="127">
        <f t="shared" si="696"/>
        <v>9.2705432096798518E-2</v>
      </c>
      <c r="I719" s="127">
        <f t="shared" si="674"/>
        <v>0</v>
      </c>
      <c r="J719" s="127">
        <f t="shared" si="674"/>
        <v>0</v>
      </c>
      <c r="K719" s="127">
        <f t="shared" si="674"/>
        <v>22.348143596588173</v>
      </c>
      <c r="L719" s="127">
        <f t="shared" ref="L719" si="697">L354</f>
        <v>0.16221234771349963</v>
      </c>
      <c r="M719" s="56"/>
    </row>
    <row r="720" spans="2:13">
      <c r="B720" s="55"/>
      <c r="C720" s="75">
        <v>715</v>
      </c>
      <c r="D720" s="127">
        <f t="shared" ref="D720:H720" si="698">D355</f>
        <v>21.2</v>
      </c>
      <c r="E720" s="127">
        <f t="shared" si="698"/>
        <v>8.6</v>
      </c>
      <c r="F720" s="127">
        <f t="shared" si="698"/>
        <v>8</v>
      </c>
      <c r="G720" s="127">
        <f t="shared" si="674"/>
        <v>4.3370420549243764</v>
      </c>
      <c r="H720" s="127">
        <f t="shared" si="698"/>
        <v>0.41871149003078056</v>
      </c>
      <c r="I720" s="127">
        <f t="shared" si="674"/>
        <v>0</v>
      </c>
      <c r="J720" s="127">
        <f t="shared" si="674"/>
        <v>0</v>
      </c>
      <c r="K720" s="127">
        <f t="shared" si="674"/>
        <v>0</v>
      </c>
      <c r="L720" s="127">
        <f t="shared" ref="L720" si="699">L355</f>
        <v>0.64366414137024464</v>
      </c>
      <c r="M720" s="56"/>
    </row>
    <row r="721" spans="2:13">
      <c r="B721" s="55"/>
      <c r="C721" s="75">
        <v>716</v>
      </c>
      <c r="D721" s="127">
        <f t="shared" ref="D721:H721" si="700">D356</f>
        <v>21</v>
      </c>
      <c r="E721" s="127">
        <f t="shared" si="700"/>
        <v>5.5</v>
      </c>
      <c r="F721" s="127">
        <f t="shared" si="700"/>
        <v>1.8</v>
      </c>
      <c r="G721" s="127">
        <f t="shared" si="674"/>
        <v>4.1913501732588365</v>
      </c>
      <c r="H721" s="127">
        <f t="shared" si="700"/>
        <v>0.27114265053946274</v>
      </c>
      <c r="I721" s="127">
        <f t="shared" si="674"/>
        <v>0</v>
      </c>
      <c r="J721" s="127">
        <f t="shared" si="674"/>
        <v>0</v>
      </c>
      <c r="K721" s="127">
        <f t="shared" si="674"/>
        <v>0</v>
      </c>
      <c r="L721" s="127">
        <f t="shared" ref="L721" si="701">L356</f>
        <v>0.32743932773091122</v>
      </c>
      <c r="M721" s="56"/>
    </row>
    <row r="722" spans="2:13">
      <c r="B722" s="55"/>
      <c r="C722" s="75">
        <v>717</v>
      </c>
      <c r="D722" s="127">
        <f t="shared" ref="D722:H722" si="702">D357</f>
        <v>16.8</v>
      </c>
      <c r="E722" s="127">
        <f t="shared" si="702"/>
        <v>9</v>
      </c>
      <c r="F722" s="127">
        <f t="shared" si="702"/>
        <v>0.6</v>
      </c>
      <c r="G722" s="127">
        <f t="shared" si="674"/>
        <v>4.1604320399323784</v>
      </c>
      <c r="H722" s="127">
        <f t="shared" si="702"/>
        <v>0.21506529338924849</v>
      </c>
      <c r="I722" s="127">
        <f t="shared" si="674"/>
        <v>0</v>
      </c>
      <c r="J722" s="127">
        <f t="shared" si="674"/>
        <v>0</v>
      </c>
      <c r="K722" s="127">
        <f t="shared" si="674"/>
        <v>0</v>
      </c>
      <c r="L722" s="127">
        <f t="shared" ref="L722" si="703">L357</f>
        <v>0.26789078907782804</v>
      </c>
      <c r="M722" s="56"/>
    </row>
    <row r="723" spans="2:13">
      <c r="B723" s="55"/>
      <c r="C723" s="75">
        <v>718</v>
      </c>
      <c r="D723" s="127">
        <f t="shared" ref="D723:H723" si="704">D358</f>
        <v>18.8</v>
      </c>
      <c r="E723" s="127">
        <f t="shared" si="704"/>
        <v>7</v>
      </c>
      <c r="F723" s="127">
        <f t="shared" si="704"/>
        <v>17.2</v>
      </c>
      <c r="G723" s="127">
        <f t="shared" si="674"/>
        <v>4.1604135687988872</v>
      </c>
      <c r="H723" s="127">
        <f t="shared" si="704"/>
        <v>2.2448826668454513</v>
      </c>
      <c r="I723" s="127">
        <f t="shared" si="674"/>
        <v>0</v>
      </c>
      <c r="J723" s="127">
        <f t="shared" si="674"/>
        <v>0</v>
      </c>
      <c r="K723" s="127">
        <f t="shared" si="674"/>
        <v>0</v>
      </c>
      <c r="L723" s="127">
        <f t="shared" ref="L723" si="705">L358</f>
        <v>0.84251749354534256</v>
      </c>
      <c r="M723" s="56"/>
    </row>
    <row r="724" spans="2:13">
      <c r="B724" s="55"/>
      <c r="C724" s="75">
        <v>719</v>
      </c>
      <c r="D724" s="127">
        <f t="shared" ref="D724:K735" si="706">D359</f>
        <v>20.100000000000001</v>
      </c>
      <c r="E724" s="127">
        <f t="shared" si="706"/>
        <v>7.5</v>
      </c>
      <c r="F724" s="127">
        <f t="shared" si="706"/>
        <v>0</v>
      </c>
      <c r="G724" s="127">
        <f t="shared" si="706"/>
        <v>4.2398415479190623</v>
      </c>
      <c r="H724" s="127">
        <f t="shared" si="706"/>
        <v>0.58121582898816548</v>
      </c>
      <c r="I724" s="127">
        <f t="shared" si="706"/>
        <v>0</v>
      </c>
      <c r="J724" s="127">
        <f t="shared" si="706"/>
        <v>0</v>
      </c>
      <c r="K724" s="127">
        <f t="shared" si="706"/>
        <v>0</v>
      </c>
      <c r="L724" s="127">
        <f t="shared" ref="L724" si="707">L359</f>
        <v>0.62015373311605204</v>
      </c>
      <c r="M724" s="56"/>
    </row>
    <row r="725" spans="2:13">
      <c r="B725" s="55"/>
      <c r="C725" s="75">
        <v>720</v>
      </c>
      <c r="D725" s="127">
        <f t="shared" ref="D725:H725" si="708">D360</f>
        <v>20.6</v>
      </c>
      <c r="E725" s="127">
        <f t="shared" si="708"/>
        <v>7</v>
      </c>
      <c r="F725" s="127">
        <f t="shared" si="708"/>
        <v>0</v>
      </c>
      <c r="G725" s="127">
        <f t="shared" si="706"/>
        <v>4.2398339091058226</v>
      </c>
      <c r="H725" s="127">
        <f t="shared" si="708"/>
        <v>0.49274741358436686</v>
      </c>
      <c r="I725" s="127">
        <f t="shared" si="706"/>
        <v>0</v>
      </c>
      <c r="J725" s="127">
        <f t="shared" si="706"/>
        <v>0</v>
      </c>
      <c r="K725" s="127">
        <f t="shared" si="706"/>
        <v>0</v>
      </c>
      <c r="L725" s="127">
        <f t="shared" ref="L725" si="709">L360</f>
        <v>0.52904074118082911</v>
      </c>
      <c r="M725" s="56"/>
    </row>
    <row r="726" spans="2:13">
      <c r="B726" s="55"/>
      <c r="C726" s="75">
        <v>721</v>
      </c>
      <c r="D726" s="127">
        <f t="shared" ref="D726:H726" si="710">D361</f>
        <v>21.5</v>
      </c>
      <c r="E726" s="127">
        <f t="shared" si="710"/>
        <v>6.5</v>
      </c>
      <c r="F726" s="127">
        <f t="shared" si="710"/>
        <v>14.4</v>
      </c>
      <c r="G726" s="127">
        <f t="shared" si="706"/>
        <v>4.2574862770702984</v>
      </c>
      <c r="H726" s="127">
        <f t="shared" si="710"/>
        <v>1.8462634579632737</v>
      </c>
      <c r="I726" s="127">
        <f t="shared" si="706"/>
        <v>0</v>
      </c>
      <c r="J726" s="127">
        <f t="shared" si="706"/>
        <v>0</v>
      </c>
      <c r="K726" s="127">
        <f t="shared" si="706"/>
        <v>0</v>
      </c>
      <c r="L726" s="127">
        <f t="shared" ref="L726" si="711">L361</f>
        <v>0.79576914643851782</v>
      </c>
      <c r="M726" s="56"/>
    </row>
    <row r="727" spans="2:13">
      <c r="B727" s="55"/>
      <c r="C727" s="75">
        <v>722</v>
      </c>
      <c r="D727" s="127">
        <f t="shared" ref="D727:H727" si="712">D362</f>
        <v>23.5</v>
      </c>
      <c r="E727" s="127">
        <f t="shared" si="712"/>
        <v>7.5</v>
      </c>
      <c r="F727" s="127">
        <f t="shared" si="712"/>
        <v>2.2000000000000002</v>
      </c>
      <c r="G727" s="127">
        <f t="shared" si="706"/>
        <v>4.3899602968195639</v>
      </c>
      <c r="H727" s="127">
        <f t="shared" si="712"/>
        <v>0.838320232762649</v>
      </c>
      <c r="I727" s="127">
        <f t="shared" si="706"/>
        <v>0</v>
      </c>
      <c r="J727" s="127">
        <f t="shared" si="706"/>
        <v>0</v>
      </c>
      <c r="K727" s="127">
        <f t="shared" si="706"/>
        <v>0</v>
      </c>
      <c r="L727" s="127">
        <f t="shared" ref="L727" si="713">L362</f>
        <v>0.79476142854568022</v>
      </c>
      <c r="M727" s="56"/>
    </row>
    <row r="728" spans="2:13">
      <c r="B728" s="55"/>
      <c r="C728" s="75">
        <v>723</v>
      </c>
      <c r="D728" s="127">
        <f t="shared" ref="D728:H728" si="714">D363</f>
        <v>21.5</v>
      </c>
      <c r="E728" s="127">
        <f t="shared" si="714"/>
        <v>6.2</v>
      </c>
      <c r="F728" s="127">
        <f t="shared" si="714"/>
        <v>0</v>
      </c>
      <c r="G728" s="127">
        <f t="shared" si="706"/>
        <v>4.2442609920368355</v>
      </c>
      <c r="H728" s="127">
        <f t="shared" si="714"/>
        <v>0.74095895842834647</v>
      </c>
      <c r="I728" s="127">
        <f t="shared" si="706"/>
        <v>0</v>
      </c>
      <c r="J728" s="127">
        <f t="shared" si="706"/>
        <v>0</v>
      </c>
      <c r="K728" s="127">
        <f t="shared" si="706"/>
        <v>0</v>
      </c>
      <c r="L728" s="127">
        <f t="shared" ref="L728" si="715">L363</f>
        <v>0.76562231624948685</v>
      </c>
      <c r="M728" s="56"/>
    </row>
    <row r="729" spans="2:13">
      <c r="B729" s="55"/>
      <c r="C729" s="75">
        <v>724</v>
      </c>
      <c r="D729" s="127">
        <f t="shared" ref="D729:H729" si="716">D364</f>
        <v>20.8</v>
      </c>
      <c r="E729" s="127">
        <f t="shared" si="716"/>
        <v>7</v>
      </c>
      <c r="F729" s="127">
        <f t="shared" si="716"/>
        <v>23</v>
      </c>
      <c r="G729" s="127">
        <f t="shared" si="706"/>
        <v>4.2486906787699699</v>
      </c>
      <c r="H729" s="127">
        <f t="shared" si="716"/>
        <v>4.4030202170012602</v>
      </c>
      <c r="I729" s="127">
        <f t="shared" si="706"/>
        <v>0</v>
      </c>
      <c r="J729" s="127">
        <f t="shared" si="706"/>
        <v>0</v>
      </c>
      <c r="K729" s="127">
        <f t="shared" si="706"/>
        <v>0</v>
      </c>
      <c r="L729" s="127">
        <f t="shared" ref="L729" si="717">L364</f>
        <v>3.5190219695095739</v>
      </c>
      <c r="M729" s="56"/>
    </row>
    <row r="730" spans="2:13">
      <c r="B730" s="55"/>
      <c r="C730" s="75">
        <v>725</v>
      </c>
      <c r="D730" s="127">
        <f t="shared" ref="D730:H730" si="718">D365</f>
        <v>20</v>
      </c>
      <c r="E730" s="127">
        <f t="shared" si="718"/>
        <v>6.8</v>
      </c>
      <c r="F730" s="127">
        <f t="shared" si="718"/>
        <v>3.8</v>
      </c>
      <c r="G730" s="127">
        <f t="shared" si="706"/>
        <v>4.2045781823701418</v>
      </c>
      <c r="H730" s="127">
        <f t="shared" si="718"/>
        <v>1.2398845191109809</v>
      </c>
      <c r="I730" s="127">
        <f t="shared" si="706"/>
        <v>0</v>
      </c>
      <c r="J730" s="127">
        <f t="shared" si="706"/>
        <v>0</v>
      </c>
      <c r="K730" s="127">
        <f t="shared" si="706"/>
        <v>0</v>
      </c>
      <c r="L730" s="127">
        <f t="shared" ref="L730" si="719">L365</f>
        <v>0.81293431633862812</v>
      </c>
      <c r="M730" s="56"/>
    </row>
    <row r="731" spans="2:13">
      <c r="B731" s="55"/>
      <c r="C731" s="75">
        <v>726</v>
      </c>
      <c r="D731" s="127">
        <f t="shared" ref="D731:H731" si="720">D366</f>
        <v>21</v>
      </c>
      <c r="E731" s="127">
        <f t="shared" si="720"/>
        <v>9</v>
      </c>
      <c r="F731" s="127">
        <f t="shared" si="720"/>
        <v>2.8</v>
      </c>
      <c r="G731" s="127">
        <f t="shared" si="706"/>
        <v>4.3458602396389781</v>
      </c>
      <c r="H731" s="127">
        <f t="shared" si="720"/>
        <v>1.2234656020381622</v>
      </c>
      <c r="I731" s="127">
        <f t="shared" si="706"/>
        <v>0</v>
      </c>
      <c r="J731" s="127">
        <f t="shared" si="706"/>
        <v>0</v>
      </c>
      <c r="K731" s="127">
        <f t="shared" si="706"/>
        <v>0</v>
      </c>
      <c r="L731" s="127">
        <f t="shared" ref="L731" si="721">L366</f>
        <v>0.81534545370273026</v>
      </c>
      <c r="M731" s="56"/>
    </row>
    <row r="732" spans="2:13">
      <c r="B732" s="55"/>
      <c r="C732" s="75">
        <v>727</v>
      </c>
      <c r="D732" s="127">
        <f t="shared" ref="D732:H732" si="722">D367</f>
        <v>22.5</v>
      </c>
      <c r="E732" s="127">
        <f t="shared" si="722"/>
        <v>8.5</v>
      </c>
      <c r="F732" s="127">
        <f t="shared" si="722"/>
        <v>6.3</v>
      </c>
      <c r="G732" s="127">
        <f t="shared" si="706"/>
        <v>4.3900651411328715</v>
      </c>
      <c r="H732" s="127">
        <f t="shared" si="722"/>
        <v>1.2967261567784383</v>
      </c>
      <c r="I732" s="127">
        <f t="shared" si="706"/>
        <v>0</v>
      </c>
      <c r="J732" s="127">
        <f t="shared" si="706"/>
        <v>0</v>
      </c>
      <c r="K732" s="127">
        <f t="shared" si="706"/>
        <v>0</v>
      </c>
      <c r="L732" s="127">
        <f t="shared" ref="L732" si="723">L367</f>
        <v>0.81916599446896288</v>
      </c>
      <c r="M732" s="56"/>
    </row>
    <row r="733" spans="2:13">
      <c r="B733" s="55"/>
      <c r="C733" s="75">
        <v>728</v>
      </c>
      <c r="D733" s="127">
        <f t="shared" ref="D733:H733" si="724">D368</f>
        <v>18.5</v>
      </c>
      <c r="E733" s="127">
        <f t="shared" si="724"/>
        <v>8.4</v>
      </c>
      <c r="F733" s="127">
        <f t="shared" si="724"/>
        <v>3.9</v>
      </c>
      <c r="G733" s="127">
        <f t="shared" si="706"/>
        <v>4.2090750918459827</v>
      </c>
      <c r="H733" s="127">
        <f t="shared" si="724"/>
        <v>1.2688106132196546</v>
      </c>
      <c r="I733" s="127">
        <f t="shared" si="706"/>
        <v>0</v>
      </c>
      <c r="J733" s="127">
        <f t="shared" si="706"/>
        <v>0</v>
      </c>
      <c r="K733" s="127">
        <f t="shared" si="706"/>
        <v>0</v>
      </c>
      <c r="L733" s="127">
        <f t="shared" ref="L733" si="725">L368</f>
        <v>0.82199530234862006</v>
      </c>
      <c r="M733" s="56"/>
    </row>
    <row r="734" spans="2:13">
      <c r="B734" s="55"/>
      <c r="C734" s="75">
        <v>729</v>
      </c>
      <c r="D734" s="127">
        <f t="shared" ref="D734:H734" si="726">D369</f>
        <v>19.2</v>
      </c>
      <c r="E734" s="127">
        <f t="shared" si="726"/>
        <v>7.8</v>
      </c>
      <c r="F734" s="127">
        <f t="shared" si="726"/>
        <v>4.0999999999999996</v>
      </c>
      <c r="G734" s="127">
        <f t="shared" si="706"/>
        <v>4.2135189994709945</v>
      </c>
      <c r="H734" s="127">
        <f t="shared" si="726"/>
        <v>1.2762538381371709</v>
      </c>
      <c r="I734" s="127">
        <f t="shared" si="706"/>
        <v>0</v>
      </c>
      <c r="J734" s="127">
        <f t="shared" si="706"/>
        <v>0</v>
      </c>
      <c r="K734" s="127">
        <f t="shared" si="706"/>
        <v>0</v>
      </c>
      <c r="L734" s="127">
        <f t="shared" ref="L734" si="727">L369</f>
        <v>0.82486829513646487</v>
      </c>
      <c r="M734" s="56"/>
    </row>
    <row r="735" spans="2:13">
      <c r="B735" s="55"/>
      <c r="C735" s="75">
        <v>730</v>
      </c>
      <c r="D735" s="127">
        <f t="shared" ref="D735:H735" si="728">D370</f>
        <v>16.600000000000001</v>
      </c>
      <c r="E735" s="127">
        <f t="shared" si="728"/>
        <v>6.5</v>
      </c>
      <c r="F735" s="127">
        <f t="shared" si="728"/>
        <v>2.5</v>
      </c>
      <c r="G735" s="127">
        <f t="shared" si="706"/>
        <v>4.0413602841194747</v>
      </c>
      <c r="H735" s="127">
        <f t="shared" si="728"/>
        <v>1.2543410695170669</v>
      </c>
      <c r="I735" s="127">
        <f t="shared" si="706"/>
        <v>0</v>
      </c>
      <c r="J735" s="127">
        <f t="shared" si="706"/>
        <v>0</v>
      </c>
      <c r="K735" s="127">
        <f t="shared" si="706"/>
        <v>0</v>
      </c>
      <c r="L735" s="127">
        <f t="shared" ref="L735" si="729">L370</f>
        <v>0.82741763483772712</v>
      </c>
      <c r="M735" s="56"/>
    </row>
    <row r="736" spans="2:13" s="51" customFormat="1" ht="14.5" thickBot="1">
      <c r="B736" s="61"/>
      <c r="C736" s="62"/>
      <c r="D736" s="103"/>
      <c r="E736" s="103"/>
      <c r="F736" s="103"/>
      <c r="G736" s="103"/>
      <c r="H736" s="103"/>
      <c r="I736" s="103"/>
      <c r="J736" s="103"/>
      <c r="K736" s="103"/>
      <c r="L736" s="103"/>
      <c r="M736" s="63"/>
    </row>
    <row r="737" spans="4:12" s="51" customFormat="1">
      <c r="D737" s="100"/>
      <c r="E737" s="100"/>
      <c r="F737" s="100"/>
      <c r="G737" s="100"/>
      <c r="H737" s="100"/>
      <c r="I737" s="100"/>
      <c r="J737" s="100"/>
      <c r="K737" s="100"/>
      <c r="L737" s="100"/>
    </row>
    <row r="738" spans="4:12" s="51" customFormat="1">
      <c r="D738" s="100"/>
      <c r="E738" s="100"/>
      <c r="F738" s="100"/>
      <c r="G738" s="100"/>
      <c r="H738" s="100"/>
      <c r="I738" s="100"/>
      <c r="J738" s="100"/>
      <c r="K738" s="100"/>
      <c r="L738" s="100"/>
    </row>
    <row r="739" spans="4:12" s="51" customFormat="1">
      <c r="D739" s="100"/>
      <c r="E739" s="100"/>
      <c r="F739" s="100"/>
      <c r="G739" s="100"/>
      <c r="H739" s="100"/>
      <c r="I739" s="100"/>
      <c r="J739" s="100"/>
      <c r="K739" s="100"/>
      <c r="L739" s="100"/>
    </row>
    <row r="740" spans="4:12" s="51" customFormat="1">
      <c r="D740" s="100"/>
      <c r="E740" s="100"/>
      <c r="F740" s="100"/>
      <c r="G740" s="100"/>
      <c r="H740" s="100"/>
      <c r="I740" s="100"/>
      <c r="J740" s="100"/>
      <c r="K740" s="100"/>
      <c r="L740" s="100"/>
    </row>
    <row r="741" spans="4:12" s="51" customFormat="1">
      <c r="D741" s="100"/>
      <c r="E741" s="100"/>
      <c r="F741" s="100"/>
      <c r="G741" s="100"/>
      <c r="H741" s="100"/>
      <c r="I741" s="100"/>
      <c r="J741" s="100"/>
      <c r="K741" s="100"/>
      <c r="L741" s="100"/>
    </row>
    <row r="742" spans="4:12" s="51" customFormat="1">
      <c r="D742" s="100"/>
      <c r="E742" s="100"/>
      <c r="F742" s="100"/>
      <c r="G742" s="100"/>
      <c r="H742" s="100"/>
      <c r="I742" s="100"/>
      <c r="J742" s="100"/>
      <c r="K742" s="100"/>
      <c r="L742" s="100"/>
    </row>
    <row r="743" spans="4:12" s="51" customFormat="1">
      <c r="D743" s="100"/>
      <c r="E743" s="100"/>
      <c r="F743" s="100"/>
      <c r="G743" s="100"/>
      <c r="H743" s="100"/>
      <c r="I743" s="100"/>
      <c r="J743" s="100"/>
      <c r="K743" s="100"/>
      <c r="L743" s="100"/>
    </row>
    <row r="744" spans="4:12" s="51" customFormat="1">
      <c r="D744" s="100"/>
      <c r="E744" s="100"/>
      <c r="F744" s="100"/>
      <c r="G744" s="100"/>
      <c r="H744" s="100"/>
      <c r="I744" s="100"/>
      <c r="J744" s="100"/>
      <c r="K744" s="100"/>
      <c r="L744" s="100"/>
    </row>
    <row r="745" spans="4:12" s="51" customFormat="1">
      <c r="D745" s="100"/>
      <c r="E745" s="100"/>
      <c r="F745" s="100"/>
      <c r="G745" s="100"/>
      <c r="H745" s="100"/>
      <c r="I745" s="100"/>
      <c r="J745" s="100"/>
      <c r="K745" s="100"/>
      <c r="L745" s="100"/>
    </row>
    <row r="746" spans="4:12" s="51" customFormat="1">
      <c r="D746" s="100"/>
      <c r="E746" s="100"/>
      <c r="F746" s="100"/>
      <c r="G746" s="100"/>
      <c r="H746" s="100"/>
      <c r="I746" s="100"/>
      <c r="J746" s="100"/>
      <c r="K746" s="100"/>
      <c r="L746" s="100"/>
    </row>
    <row r="747" spans="4:12" s="51" customFormat="1">
      <c r="D747" s="100"/>
      <c r="E747" s="100"/>
      <c r="F747" s="100"/>
      <c r="G747" s="100"/>
      <c r="H747" s="100"/>
      <c r="I747" s="100"/>
      <c r="J747" s="100"/>
      <c r="K747" s="100"/>
      <c r="L747" s="100"/>
    </row>
    <row r="748" spans="4:12" s="51" customFormat="1">
      <c r="D748" s="100"/>
      <c r="E748" s="100"/>
      <c r="F748" s="100"/>
      <c r="G748" s="100"/>
      <c r="H748" s="100"/>
      <c r="I748" s="100"/>
      <c r="J748" s="100"/>
      <c r="K748" s="100"/>
      <c r="L748" s="100"/>
    </row>
    <row r="749" spans="4:12" s="51" customFormat="1">
      <c r="D749" s="100"/>
      <c r="E749" s="100"/>
      <c r="F749" s="100"/>
      <c r="G749" s="100"/>
      <c r="H749" s="100"/>
      <c r="I749" s="100"/>
      <c r="J749" s="100"/>
      <c r="K749" s="100"/>
      <c r="L749" s="100"/>
    </row>
    <row r="750" spans="4:12" s="51" customFormat="1">
      <c r="D750" s="100"/>
      <c r="E750" s="100"/>
      <c r="F750" s="100"/>
      <c r="G750" s="100"/>
      <c r="H750" s="100"/>
      <c r="I750" s="100"/>
      <c r="J750" s="100"/>
      <c r="K750" s="100"/>
      <c r="L750" s="100"/>
    </row>
    <row r="751" spans="4:12" s="51" customFormat="1">
      <c r="D751" s="100"/>
      <c r="E751" s="100"/>
      <c r="F751" s="100"/>
      <c r="G751" s="100"/>
      <c r="H751" s="100"/>
      <c r="I751" s="100"/>
      <c r="J751" s="100"/>
      <c r="K751" s="100"/>
      <c r="L751" s="100"/>
    </row>
    <row r="752" spans="4:12" s="51" customFormat="1">
      <c r="D752" s="100"/>
      <c r="E752" s="100"/>
      <c r="F752" s="100"/>
      <c r="G752" s="100"/>
      <c r="H752" s="100"/>
      <c r="I752" s="100"/>
      <c r="J752" s="100"/>
      <c r="K752" s="100"/>
      <c r="L752" s="100"/>
    </row>
    <row r="753" spans="4:12" s="51" customFormat="1">
      <c r="D753" s="100"/>
      <c r="E753" s="100"/>
      <c r="F753" s="100"/>
      <c r="G753" s="100"/>
      <c r="H753" s="100"/>
      <c r="I753" s="100"/>
      <c r="J753" s="100"/>
      <c r="K753" s="100"/>
      <c r="L753" s="100"/>
    </row>
    <row r="754" spans="4:12" s="51" customFormat="1">
      <c r="D754" s="100"/>
      <c r="E754" s="100"/>
      <c r="F754" s="100"/>
      <c r="G754" s="100"/>
      <c r="H754" s="100"/>
      <c r="I754" s="100"/>
      <c r="J754" s="100"/>
      <c r="K754" s="100"/>
      <c r="L754" s="100"/>
    </row>
    <row r="755" spans="4:12" s="51" customFormat="1">
      <c r="D755" s="100"/>
      <c r="E755" s="100"/>
      <c r="F755" s="100"/>
      <c r="G755" s="100"/>
      <c r="H755" s="100"/>
      <c r="I755" s="100"/>
      <c r="J755" s="100"/>
      <c r="K755" s="100"/>
      <c r="L755" s="100"/>
    </row>
    <row r="756" spans="4:12" s="51" customFormat="1">
      <c r="D756" s="100"/>
      <c r="E756" s="100"/>
      <c r="F756" s="100"/>
      <c r="G756" s="100"/>
      <c r="H756" s="100"/>
      <c r="I756" s="100"/>
      <c r="J756" s="100"/>
      <c r="K756" s="100"/>
      <c r="L756" s="100"/>
    </row>
    <row r="757" spans="4:12" s="51" customFormat="1">
      <c r="D757" s="100"/>
      <c r="E757" s="100"/>
      <c r="F757" s="100"/>
      <c r="G757" s="100"/>
      <c r="H757" s="100"/>
      <c r="I757" s="100"/>
      <c r="J757" s="100"/>
      <c r="K757" s="100"/>
      <c r="L757" s="100"/>
    </row>
    <row r="758" spans="4:12" s="51" customFormat="1">
      <c r="D758" s="100"/>
      <c r="E758" s="100"/>
      <c r="F758" s="100"/>
      <c r="G758" s="100"/>
      <c r="H758" s="100"/>
      <c r="I758" s="100"/>
      <c r="J758" s="100"/>
      <c r="K758" s="100"/>
      <c r="L758" s="100"/>
    </row>
    <row r="759" spans="4:12" s="51" customFormat="1">
      <c r="D759" s="100"/>
      <c r="E759" s="100"/>
      <c r="F759" s="100"/>
      <c r="G759" s="100"/>
      <c r="H759" s="100"/>
      <c r="I759" s="100"/>
      <c r="J759" s="100"/>
      <c r="K759" s="100"/>
      <c r="L759" s="100"/>
    </row>
    <row r="760" spans="4:12" s="51" customFormat="1">
      <c r="D760" s="100"/>
      <c r="E760" s="100"/>
      <c r="F760" s="100"/>
      <c r="G760" s="100"/>
      <c r="H760" s="100"/>
      <c r="I760" s="100"/>
      <c r="J760" s="100"/>
      <c r="K760" s="100"/>
      <c r="L760" s="100"/>
    </row>
    <row r="761" spans="4:12" s="51" customFormat="1">
      <c r="D761" s="100"/>
      <c r="E761" s="100"/>
      <c r="F761" s="100"/>
      <c r="G761" s="100"/>
      <c r="H761" s="100"/>
      <c r="I761" s="100"/>
      <c r="J761" s="100"/>
      <c r="K761" s="100"/>
      <c r="L761" s="100"/>
    </row>
    <row r="762" spans="4:12" s="51" customFormat="1">
      <c r="D762" s="100"/>
      <c r="E762" s="100"/>
      <c r="F762" s="100"/>
      <c r="G762" s="100"/>
      <c r="H762" s="100"/>
      <c r="I762" s="100"/>
      <c r="J762" s="100"/>
      <c r="K762" s="100"/>
      <c r="L762" s="100"/>
    </row>
    <row r="763" spans="4:12" s="51" customFormat="1">
      <c r="D763" s="100"/>
      <c r="E763" s="100"/>
      <c r="F763" s="100"/>
      <c r="G763" s="100"/>
      <c r="H763" s="100"/>
      <c r="I763" s="100"/>
      <c r="J763" s="100"/>
      <c r="K763" s="100"/>
      <c r="L763" s="100"/>
    </row>
    <row r="764" spans="4:12" s="51" customFormat="1">
      <c r="D764" s="100"/>
      <c r="E764" s="100"/>
      <c r="F764" s="100"/>
      <c r="G764" s="100"/>
      <c r="H764" s="100"/>
      <c r="I764" s="100"/>
      <c r="J764" s="100"/>
      <c r="K764" s="100"/>
      <c r="L764" s="100"/>
    </row>
    <row r="765" spans="4:12" s="51" customFormat="1">
      <c r="D765" s="100"/>
      <c r="E765" s="100"/>
      <c r="F765" s="100"/>
      <c r="G765" s="100"/>
      <c r="H765" s="100"/>
      <c r="I765" s="100"/>
      <c r="J765" s="100"/>
      <c r="K765" s="100"/>
      <c r="L765" s="100"/>
    </row>
    <row r="766" spans="4:12" s="51" customFormat="1">
      <c r="D766" s="100"/>
      <c r="E766" s="100"/>
      <c r="F766" s="100"/>
      <c r="G766" s="100"/>
      <c r="H766" s="100"/>
      <c r="I766" s="100"/>
      <c r="J766" s="100"/>
      <c r="K766" s="100"/>
      <c r="L766" s="100"/>
    </row>
    <row r="767" spans="4:12" s="51" customFormat="1">
      <c r="D767" s="100"/>
      <c r="E767" s="100"/>
      <c r="F767" s="100"/>
      <c r="G767" s="100"/>
      <c r="H767" s="100"/>
      <c r="I767" s="100"/>
      <c r="J767" s="100"/>
      <c r="K767" s="100"/>
      <c r="L767" s="100"/>
    </row>
    <row r="768" spans="4:12" s="51" customFormat="1">
      <c r="D768" s="100"/>
      <c r="E768" s="100"/>
      <c r="F768" s="100"/>
      <c r="G768" s="100"/>
      <c r="H768" s="100"/>
      <c r="I768" s="100"/>
      <c r="J768" s="100"/>
      <c r="K768" s="100"/>
      <c r="L768" s="100"/>
    </row>
    <row r="769" spans="4:12" s="51" customFormat="1">
      <c r="D769" s="100"/>
      <c r="E769" s="100"/>
      <c r="F769" s="100"/>
      <c r="G769" s="100"/>
      <c r="H769" s="100"/>
      <c r="I769" s="100"/>
      <c r="J769" s="100"/>
      <c r="K769" s="100"/>
      <c r="L769" s="100"/>
    </row>
    <row r="770" spans="4:12" s="51" customFormat="1">
      <c r="D770" s="100"/>
      <c r="E770" s="100"/>
      <c r="F770" s="100"/>
      <c r="G770" s="100"/>
      <c r="H770" s="100"/>
      <c r="I770" s="100"/>
      <c r="J770" s="100"/>
      <c r="K770" s="100"/>
      <c r="L770" s="100"/>
    </row>
    <row r="771" spans="4:12" s="51" customFormat="1">
      <c r="D771" s="100"/>
      <c r="E771" s="100"/>
      <c r="F771" s="100"/>
      <c r="G771" s="100"/>
      <c r="H771" s="100"/>
      <c r="I771" s="100"/>
      <c r="J771" s="100"/>
      <c r="K771" s="100"/>
      <c r="L771" s="100"/>
    </row>
    <row r="772" spans="4:12" s="51" customFormat="1">
      <c r="D772" s="100"/>
      <c r="E772" s="100"/>
      <c r="F772" s="100"/>
      <c r="G772" s="100"/>
      <c r="H772" s="100"/>
      <c r="I772" s="100"/>
      <c r="J772" s="100"/>
      <c r="K772" s="100"/>
      <c r="L772" s="100"/>
    </row>
    <row r="773" spans="4:12" s="51" customFormat="1">
      <c r="D773" s="100"/>
      <c r="E773" s="100"/>
      <c r="F773" s="100"/>
      <c r="G773" s="100"/>
      <c r="H773" s="100"/>
      <c r="I773" s="100"/>
      <c r="J773" s="100"/>
      <c r="K773" s="100"/>
      <c r="L773" s="100"/>
    </row>
    <row r="774" spans="4:12" s="51" customFormat="1">
      <c r="D774" s="100"/>
      <c r="E774" s="100"/>
      <c r="F774" s="100"/>
      <c r="G774" s="100"/>
      <c r="H774" s="100"/>
      <c r="I774" s="100"/>
      <c r="J774" s="100"/>
      <c r="K774" s="100"/>
      <c r="L774" s="100"/>
    </row>
    <row r="775" spans="4:12" s="51" customFormat="1">
      <c r="D775" s="100"/>
      <c r="E775" s="100"/>
      <c r="F775" s="100"/>
      <c r="G775" s="100"/>
      <c r="H775" s="100"/>
      <c r="I775" s="100"/>
      <c r="J775" s="100"/>
      <c r="K775" s="100"/>
      <c r="L775" s="100"/>
    </row>
    <row r="776" spans="4:12" s="51" customFormat="1">
      <c r="D776" s="100"/>
      <c r="E776" s="100"/>
      <c r="F776" s="100"/>
      <c r="G776" s="100"/>
      <c r="H776" s="100"/>
      <c r="I776" s="100"/>
      <c r="J776" s="100"/>
      <c r="K776" s="100"/>
      <c r="L776" s="100"/>
    </row>
    <row r="777" spans="4:12" s="51" customFormat="1">
      <c r="D777" s="100"/>
      <c r="E777" s="100"/>
      <c r="F777" s="100"/>
      <c r="G777" s="100"/>
      <c r="H777" s="100"/>
      <c r="I777" s="100"/>
      <c r="J777" s="100"/>
      <c r="K777" s="100"/>
      <c r="L777" s="100"/>
    </row>
    <row r="778" spans="4:12" s="51" customFormat="1">
      <c r="D778" s="100"/>
      <c r="E778" s="100"/>
      <c r="F778" s="100"/>
      <c r="G778" s="100"/>
      <c r="H778" s="100"/>
      <c r="I778" s="100"/>
      <c r="J778" s="100"/>
      <c r="K778" s="100"/>
      <c r="L778" s="100"/>
    </row>
    <row r="779" spans="4:12" s="51" customFormat="1">
      <c r="D779" s="100"/>
      <c r="E779" s="100"/>
      <c r="F779" s="100"/>
      <c r="G779" s="100"/>
      <c r="H779" s="100"/>
      <c r="I779" s="100"/>
      <c r="J779" s="100"/>
      <c r="K779" s="100"/>
      <c r="L779" s="100"/>
    </row>
    <row r="780" spans="4:12" s="51" customFormat="1">
      <c r="D780" s="100"/>
      <c r="E780" s="100"/>
      <c r="F780" s="100"/>
      <c r="G780" s="100"/>
      <c r="H780" s="100"/>
      <c r="I780" s="100"/>
      <c r="J780" s="100"/>
      <c r="K780" s="100"/>
      <c r="L780" s="100"/>
    </row>
    <row r="781" spans="4:12" s="51" customFormat="1">
      <c r="D781" s="100"/>
      <c r="E781" s="100"/>
      <c r="F781" s="100"/>
      <c r="G781" s="100"/>
      <c r="H781" s="100"/>
      <c r="I781" s="100"/>
      <c r="J781" s="100"/>
      <c r="K781" s="100"/>
      <c r="L781" s="100"/>
    </row>
    <row r="782" spans="4:12" s="51" customFormat="1">
      <c r="D782" s="100"/>
      <c r="E782" s="100"/>
      <c r="F782" s="100"/>
      <c r="G782" s="100"/>
      <c r="H782" s="100"/>
      <c r="I782" s="100"/>
      <c r="J782" s="100"/>
      <c r="K782" s="100"/>
      <c r="L782" s="100"/>
    </row>
    <row r="783" spans="4:12" s="51" customFormat="1">
      <c r="D783" s="100"/>
      <c r="E783" s="100"/>
      <c r="F783" s="100"/>
      <c r="G783" s="100"/>
      <c r="H783" s="100"/>
      <c r="I783" s="100"/>
      <c r="J783" s="100"/>
      <c r="K783" s="100"/>
      <c r="L783" s="100"/>
    </row>
    <row r="784" spans="4:12" s="51" customFormat="1">
      <c r="D784" s="100"/>
      <c r="E784" s="100"/>
      <c r="F784" s="100"/>
      <c r="G784" s="100"/>
      <c r="H784" s="100"/>
      <c r="I784" s="100"/>
      <c r="J784" s="100"/>
      <c r="K784" s="100"/>
      <c r="L784" s="100"/>
    </row>
    <row r="785" spans="4:12" s="51" customFormat="1">
      <c r="D785" s="100"/>
      <c r="E785" s="100"/>
      <c r="F785" s="100"/>
      <c r="G785" s="100"/>
      <c r="H785" s="100"/>
      <c r="I785" s="100"/>
      <c r="J785" s="100"/>
      <c r="K785" s="100"/>
      <c r="L785" s="100"/>
    </row>
    <row r="786" spans="4:12" s="51" customFormat="1">
      <c r="D786" s="100"/>
      <c r="E786" s="100"/>
      <c r="F786" s="100"/>
      <c r="G786" s="100"/>
      <c r="H786" s="100"/>
      <c r="I786" s="100"/>
      <c r="J786" s="100"/>
      <c r="K786" s="100"/>
      <c r="L786" s="100"/>
    </row>
    <row r="787" spans="4:12" s="51" customFormat="1">
      <c r="D787" s="100"/>
      <c r="E787" s="100"/>
      <c r="F787" s="100"/>
      <c r="G787" s="100"/>
      <c r="H787" s="100"/>
      <c r="I787" s="100"/>
      <c r="J787" s="100"/>
      <c r="K787" s="100"/>
      <c r="L787" s="100"/>
    </row>
    <row r="788" spans="4:12" s="51" customFormat="1">
      <c r="D788" s="100"/>
      <c r="E788" s="100"/>
      <c r="F788" s="100"/>
      <c r="G788" s="100"/>
      <c r="H788" s="100"/>
      <c r="I788" s="100"/>
      <c r="J788" s="100"/>
      <c r="K788" s="100"/>
      <c r="L788" s="100"/>
    </row>
    <row r="789" spans="4:12" s="51" customFormat="1">
      <c r="D789" s="100"/>
      <c r="E789" s="100"/>
      <c r="F789" s="100"/>
      <c r="G789" s="100"/>
      <c r="H789" s="100"/>
      <c r="I789" s="100"/>
      <c r="J789" s="100"/>
      <c r="K789" s="100"/>
      <c r="L789" s="100"/>
    </row>
    <row r="790" spans="4:12" s="51" customFormat="1">
      <c r="D790" s="100"/>
      <c r="E790" s="100"/>
      <c r="F790" s="100"/>
      <c r="G790" s="100"/>
      <c r="H790" s="100"/>
      <c r="I790" s="100"/>
      <c r="J790" s="100"/>
      <c r="K790" s="100"/>
      <c r="L790" s="100"/>
    </row>
    <row r="791" spans="4:12" s="51" customFormat="1">
      <c r="D791" s="100"/>
      <c r="E791" s="100"/>
      <c r="F791" s="100"/>
      <c r="G791" s="100"/>
      <c r="H791" s="100"/>
      <c r="I791" s="100"/>
      <c r="J791" s="100"/>
      <c r="K791" s="100"/>
      <c r="L791" s="100"/>
    </row>
    <row r="792" spans="4:12" s="51" customFormat="1">
      <c r="D792" s="100"/>
      <c r="E792" s="100"/>
      <c r="F792" s="100"/>
      <c r="G792" s="100"/>
      <c r="H792" s="100"/>
      <c r="I792" s="100"/>
      <c r="J792" s="100"/>
      <c r="K792" s="100"/>
      <c r="L792" s="100"/>
    </row>
    <row r="793" spans="4:12" s="51" customFormat="1">
      <c r="D793" s="100"/>
      <c r="E793" s="100"/>
      <c r="F793" s="100"/>
      <c r="G793" s="100"/>
      <c r="H793" s="100"/>
      <c r="I793" s="100"/>
      <c r="J793" s="100"/>
      <c r="K793" s="100"/>
      <c r="L793" s="100"/>
    </row>
    <row r="794" spans="4:12" s="51" customFormat="1">
      <c r="D794" s="100"/>
      <c r="E794" s="100"/>
      <c r="F794" s="100"/>
      <c r="G794" s="100"/>
      <c r="H794" s="100"/>
      <c r="I794" s="100"/>
      <c r="J794" s="100"/>
      <c r="K794" s="100"/>
      <c r="L794" s="100"/>
    </row>
    <row r="795" spans="4:12" s="51" customFormat="1">
      <c r="D795" s="100"/>
      <c r="E795" s="100"/>
      <c r="F795" s="100"/>
      <c r="G795" s="100"/>
      <c r="H795" s="100"/>
      <c r="I795" s="100"/>
      <c r="J795" s="100"/>
      <c r="K795" s="100"/>
      <c r="L795" s="100"/>
    </row>
    <row r="796" spans="4:12" s="51" customFormat="1">
      <c r="D796" s="100"/>
      <c r="E796" s="100"/>
      <c r="F796" s="100"/>
      <c r="G796" s="100"/>
      <c r="H796" s="100"/>
      <c r="I796" s="100"/>
      <c r="J796" s="100"/>
      <c r="K796" s="100"/>
      <c r="L796" s="100"/>
    </row>
    <row r="797" spans="4:12" s="51" customFormat="1">
      <c r="D797" s="100"/>
      <c r="E797" s="100"/>
      <c r="F797" s="100"/>
      <c r="G797" s="100"/>
      <c r="H797" s="100"/>
      <c r="I797" s="100"/>
      <c r="J797" s="100"/>
      <c r="K797" s="100"/>
      <c r="L797" s="100"/>
    </row>
    <row r="798" spans="4:12" s="51" customFormat="1">
      <c r="D798" s="100"/>
      <c r="E798" s="100"/>
      <c r="F798" s="100"/>
      <c r="G798" s="100"/>
      <c r="H798" s="100"/>
      <c r="I798" s="100"/>
      <c r="J798" s="100"/>
      <c r="K798" s="100"/>
      <c r="L798" s="100"/>
    </row>
    <row r="799" spans="4:12" s="51" customFormat="1">
      <c r="D799" s="100"/>
      <c r="E799" s="100"/>
      <c r="F799" s="100"/>
      <c r="G799" s="100"/>
      <c r="H799" s="100"/>
      <c r="I799" s="100"/>
      <c r="J799" s="100"/>
      <c r="K799" s="100"/>
      <c r="L799" s="100"/>
    </row>
    <row r="800" spans="4:12" s="51" customFormat="1">
      <c r="D800" s="100"/>
      <c r="E800" s="100"/>
      <c r="F800" s="100"/>
      <c r="G800" s="100"/>
      <c r="H800" s="100"/>
      <c r="I800" s="100"/>
      <c r="J800" s="100"/>
      <c r="K800" s="100"/>
      <c r="L800" s="100"/>
    </row>
    <row r="801" spans="4:12" s="51" customFormat="1">
      <c r="D801" s="100"/>
      <c r="E801" s="100"/>
      <c r="F801" s="100"/>
      <c r="G801" s="100"/>
      <c r="H801" s="100"/>
      <c r="I801" s="100"/>
      <c r="J801" s="100"/>
      <c r="K801" s="100"/>
      <c r="L801" s="100"/>
    </row>
    <row r="802" spans="4:12" s="51" customFormat="1">
      <c r="D802" s="100"/>
      <c r="E802" s="100"/>
      <c r="F802" s="100"/>
      <c r="G802" s="100"/>
      <c r="H802" s="100"/>
      <c r="I802" s="100"/>
      <c r="J802" s="100"/>
      <c r="K802" s="100"/>
      <c r="L802" s="100"/>
    </row>
    <row r="803" spans="4:12" s="51" customFormat="1">
      <c r="D803" s="100"/>
      <c r="E803" s="100"/>
      <c r="F803" s="100"/>
      <c r="G803" s="100"/>
      <c r="H803" s="100"/>
      <c r="I803" s="100"/>
      <c r="J803" s="100"/>
      <c r="K803" s="100"/>
      <c r="L803" s="100"/>
    </row>
    <row r="804" spans="4:12" s="51" customFormat="1">
      <c r="D804" s="100"/>
      <c r="E804" s="100"/>
      <c r="F804" s="100"/>
      <c r="G804" s="100"/>
      <c r="H804" s="100"/>
      <c r="I804" s="100"/>
      <c r="J804" s="100"/>
      <c r="K804" s="100"/>
      <c r="L804" s="100"/>
    </row>
    <row r="805" spans="4:12" s="51" customFormat="1">
      <c r="D805" s="100"/>
      <c r="E805" s="100"/>
      <c r="F805" s="100"/>
      <c r="G805" s="100"/>
      <c r="H805" s="100"/>
      <c r="I805" s="100"/>
      <c r="J805" s="100"/>
      <c r="K805" s="100"/>
      <c r="L805" s="100"/>
    </row>
    <row r="806" spans="4:12" s="51" customFormat="1">
      <c r="D806" s="100"/>
      <c r="E806" s="100"/>
      <c r="F806" s="100"/>
      <c r="G806" s="100"/>
      <c r="H806" s="100"/>
      <c r="I806" s="100"/>
      <c r="J806" s="100"/>
      <c r="K806" s="100"/>
      <c r="L806" s="100"/>
    </row>
    <row r="807" spans="4:12" s="51" customFormat="1">
      <c r="D807" s="100"/>
      <c r="E807" s="100"/>
      <c r="F807" s="100"/>
      <c r="G807" s="100"/>
      <c r="H807" s="100"/>
      <c r="I807" s="100"/>
      <c r="J807" s="100"/>
      <c r="K807" s="100"/>
      <c r="L807" s="100"/>
    </row>
    <row r="808" spans="4:12" s="51" customFormat="1">
      <c r="D808" s="100"/>
      <c r="E808" s="100"/>
      <c r="F808" s="100"/>
      <c r="G808" s="100"/>
      <c r="H808" s="100"/>
      <c r="I808" s="100"/>
      <c r="J808" s="100"/>
      <c r="K808" s="100"/>
      <c r="L808" s="100"/>
    </row>
    <row r="809" spans="4:12" s="51" customFormat="1">
      <c r="D809" s="100"/>
      <c r="E809" s="100"/>
      <c r="F809" s="100"/>
      <c r="G809" s="100"/>
      <c r="H809" s="100"/>
      <c r="I809" s="100"/>
      <c r="J809" s="100"/>
      <c r="K809" s="100"/>
      <c r="L809" s="100"/>
    </row>
    <row r="810" spans="4:12" s="51" customFormat="1">
      <c r="D810" s="100"/>
      <c r="E810" s="100"/>
      <c r="F810" s="100"/>
      <c r="G810" s="100"/>
      <c r="H810" s="100"/>
      <c r="I810" s="100"/>
      <c r="J810" s="100"/>
      <c r="K810" s="100"/>
      <c r="L810" s="100"/>
    </row>
    <row r="811" spans="4:12" s="51" customFormat="1">
      <c r="D811" s="100"/>
      <c r="E811" s="100"/>
      <c r="F811" s="100"/>
      <c r="G811" s="100"/>
      <c r="H811" s="100"/>
      <c r="I811" s="100"/>
      <c r="J811" s="100"/>
      <c r="K811" s="100"/>
      <c r="L811" s="100"/>
    </row>
    <row r="812" spans="4:12" s="51" customFormat="1">
      <c r="D812" s="100"/>
      <c r="E812" s="100"/>
      <c r="F812" s="100"/>
      <c r="G812" s="100"/>
      <c r="H812" s="100"/>
      <c r="I812" s="100"/>
      <c r="J812" s="100"/>
      <c r="K812" s="100"/>
      <c r="L812" s="100"/>
    </row>
    <row r="813" spans="4:12" s="51" customFormat="1">
      <c r="D813" s="100"/>
      <c r="E813" s="100"/>
      <c r="F813" s="100"/>
      <c r="G813" s="100"/>
      <c r="H813" s="100"/>
      <c r="I813" s="100"/>
      <c r="J813" s="100"/>
      <c r="K813" s="100"/>
      <c r="L813" s="100"/>
    </row>
    <row r="814" spans="4:12" s="51" customFormat="1">
      <c r="D814" s="100"/>
      <c r="E814" s="100"/>
      <c r="F814" s="100"/>
      <c r="G814" s="100"/>
      <c r="H814" s="100"/>
      <c r="I814" s="100"/>
      <c r="J814" s="100"/>
      <c r="K814" s="100"/>
      <c r="L814" s="100"/>
    </row>
    <row r="815" spans="4:12" s="51" customFormat="1">
      <c r="D815" s="100"/>
      <c r="E815" s="100"/>
      <c r="F815" s="100"/>
      <c r="G815" s="100"/>
      <c r="H815" s="100"/>
      <c r="I815" s="100"/>
      <c r="J815" s="100"/>
      <c r="K815" s="100"/>
      <c r="L815" s="100"/>
    </row>
    <row r="816" spans="4:12" s="51" customFormat="1">
      <c r="D816" s="100"/>
      <c r="E816" s="100"/>
      <c r="F816" s="100"/>
      <c r="G816" s="100"/>
      <c r="H816" s="100"/>
      <c r="I816" s="100"/>
      <c r="J816" s="100"/>
      <c r="K816" s="100"/>
      <c r="L816" s="100"/>
    </row>
    <row r="817" spans="4:12" s="51" customFormat="1">
      <c r="D817" s="100"/>
      <c r="E817" s="100"/>
      <c r="F817" s="100"/>
      <c r="G817" s="100"/>
      <c r="H817" s="100"/>
      <c r="I817" s="100"/>
      <c r="J817" s="100"/>
      <c r="K817" s="100"/>
      <c r="L817" s="100"/>
    </row>
    <row r="818" spans="4:12" s="51" customFormat="1">
      <c r="D818" s="100"/>
      <c r="E818" s="100"/>
      <c r="F818" s="100"/>
      <c r="G818" s="100"/>
      <c r="H818" s="100"/>
      <c r="I818" s="100"/>
      <c r="J818" s="100"/>
      <c r="K818" s="100"/>
      <c r="L818" s="100"/>
    </row>
    <row r="819" spans="4:12" s="51" customFormat="1">
      <c r="D819" s="100"/>
      <c r="E819" s="100"/>
      <c r="F819" s="100"/>
      <c r="G819" s="100"/>
      <c r="H819" s="100"/>
      <c r="I819" s="100"/>
      <c r="J819" s="100"/>
      <c r="K819" s="100"/>
      <c r="L819" s="100"/>
    </row>
    <row r="820" spans="4:12" s="51" customFormat="1">
      <c r="D820" s="100"/>
      <c r="E820" s="100"/>
      <c r="F820" s="100"/>
      <c r="G820" s="100"/>
      <c r="H820" s="100"/>
      <c r="I820" s="100"/>
      <c r="J820" s="100"/>
      <c r="K820" s="100"/>
      <c r="L820" s="100"/>
    </row>
    <row r="821" spans="4:12" s="51" customFormat="1">
      <c r="D821" s="100"/>
      <c r="E821" s="100"/>
      <c r="F821" s="100"/>
      <c r="G821" s="100"/>
      <c r="H821" s="100"/>
      <c r="I821" s="100"/>
      <c r="J821" s="100"/>
      <c r="K821" s="100"/>
      <c r="L821" s="100"/>
    </row>
    <row r="822" spans="4:12" s="51" customFormat="1">
      <c r="D822" s="100"/>
      <c r="E822" s="100"/>
      <c r="F822" s="100"/>
      <c r="G822" s="100"/>
      <c r="H822" s="100"/>
      <c r="I822" s="100"/>
      <c r="J822" s="100"/>
      <c r="K822" s="100"/>
      <c r="L822" s="100"/>
    </row>
    <row r="823" spans="4:12" s="51" customFormat="1">
      <c r="D823" s="100"/>
      <c r="E823" s="100"/>
      <c r="F823" s="100"/>
      <c r="G823" s="100"/>
      <c r="H823" s="100"/>
      <c r="I823" s="100"/>
      <c r="J823" s="100"/>
      <c r="K823" s="100"/>
      <c r="L823" s="100"/>
    </row>
    <row r="824" spans="4:12" s="51" customFormat="1">
      <c r="D824" s="100"/>
      <c r="E824" s="100"/>
      <c r="F824" s="100"/>
      <c r="G824" s="100"/>
      <c r="H824" s="100"/>
      <c r="I824" s="100"/>
      <c r="J824" s="100"/>
      <c r="K824" s="100"/>
      <c r="L824" s="100"/>
    </row>
    <row r="825" spans="4:12" s="51" customFormat="1">
      <c r="D825" s="100"/>
      <c r="E825" s="100"/>
      <c r="F825" s="100"/>
      <c r="G825" s="100"/>
      <c r="H825" s="100"/>
      <c r="I825" s="100"/>
      <c r="J825" s="100"/>
      <c r="K825" s="100"/>
      <c r="L825" s="100"/>
    </row>
    <row r="826" spans="4:12" s="51" customFormat="1">
      <c r="D826" s="100"/>
      <c r="E826" s="100"/>
      <c r="F826" s="100"/>
      <c r="G826" s="100"/>
      <c r="H826" s="100"/>
      <c r="I826" s="100"/>
      <c r="J826" s="100"/>
      <c r="K826" s="100"/>
      <c r="L826" s="100"/>
    </row>
    <row r="827" spans="4:12" s="51" customFormat="1">
      <c r="D827" s="100"/>
      <c r="E827" s="100"/>
      <c r="F827" s="100"/>
      <c r="G827" s="100"/>
      <c r="H827" s="100"/>
      <c r="I827" s="100"/>
      <c r="J827" s="100"/>
      <c r="K827" s="100"/>
      <c r="L827" s="100"/>
    </row>
    <row r="828" spans="4:12" s="51" customFormat="1">
      <c r="D828" s="100"/>
      <c r="E828" s="100"/>
      <c r="F828" s="100"/>
      <c r="G828" s="100"/>
      <c r="H828" s="100"/>
      <c r="I828" s="100"/>
      <c r="J828" s="100"/>
      <c r="K828" s="100"/>
      <c r="L828" s="100"/>
    </row>
    <row r="829" spans="4:12" s="51" customFormat="1">
      <c r="D829" s="100"/>
      <c r="E829" s="100"/>
      <c r="F829" s="100"/>
      <c r="G829" s="100"/>
      <c r="H829" s="100"/>
      <c r="I829" s="100"/>
      <c r="J829" s="100"/>
      <c r="K829" s="100"/>
      <c r="L829" s="100"/>
    </row>
    <row r="830" spans="4:12" s="51" customFormat="1">
      <c r="D830" s="100"/>
      <c r="E830" s="100"/>
      <c r="F830" s="100"/>
      <c r="G830" s="100"/>
      <c r="H830" s="100"/>
      <c r="I830" s="100"/>
      <c r="J830" s="100"/>
      <c r="K830" s="100"/>
      <c r="L830" s="100"/>
    </row>
    <row r="831" spans="4:12" s="51" customFormat="1">
      <c r="D831" s="100"/>
      <c r="E831" s="100"/>
      <c r="F831" s="100"/>
      <c r="G831" s="100"/>
      <c r="H831" s="100"/>
      <c r="I831" s="100"/>
      <c r="J831" s="100"/>
      <c r="K831" s="100"/>
      <c r="L831" s="100"/>
    </row>
    <row r="832" spans="4:12" s="51" customFormat="1">
      <c r="D832" s="100"/>
      <c r="E832" s="100"/>
      <c r="F832" s="100"/>
      <c r="G832" s="100"/>
      <c r="H832" s="100"/>
      <c r="I832" s="100"/>
      <c r="J832" s="100"/>
      <c r="K832" s="100"/>
      <c r="L832" s="100"/>
    </row>
    <row r="833" spans="4:12" s="51" customFormat="1">
      <c r="D833" s="100"/>
      <c r="E833" s="100"/>
      <c r="F833" s="100"/>
      <c r="G833" s="100"/>
      <c r="H833" s="100"/>
      <c r="I833" s="100"/>
      <c r="J833" s="100"/>
      <c r="K833" s="100"/>
      <c r="L833" s="100"/>
    </row>
    <row r="834" spans="4:12" s="51" customFormat="1">
      <c r="D834" s="100"/>
      <c r="E834" s="100"/>
      <c r="F834" s="100"/>
      <c r="G834" s="100"/>
      <c r="H834" s="100"/>
      <c r="I834" s="100"/>
      <c r="J834" s="100"/>
      <c r="K834" s="100"/>
      <c r="L834" s="100"/>
    </row>
    <row r="835" spans="4:12" s="51" customFormat="1">
      <c r="D835" s="100"/>
      <c r="E835" s="100"/>
      <c r="F835" s="100"/>
      <c r="G835" s="100"/>
      <c r="H835" s="100"/>
      <c r="I835" s="100"/>
      <c r="J835" s="100"/>
      <c r="K835" s="100"/>
      <c r="L835" s="100"/>
    </row>
    <row r="836" spans="4:12" s="51" customFormat="1">
      <c r="D836" s="100"/>
      <c r="E836" s="100"/>
      <c r="F836" s="100"/>
      <c r="G836" s="100"/>
      <c r="H836" s="100"/>
      <c r="I836" s="100"/>
      <c r="J836" s="100"/>
      <c r="K836" s="100"/>
      <c r="L836" s="100"/>
    </row>
    <row r="837" spans="4:12" s="51" customFormat="1">
      <c r="D837" s="100"/>
      <c r="E837" s="100"/>
      <c r="F837" s="100"/>
      <c r="G837" s="100"/>
      <c r="H837" s="100"/>
      <c r="I837" s="100"/>
      <c r="J837" s="100"/>
      <c r="K837" s="100"/>
      <c r="L837" s="100"/>
    </row>
    <row r="838" spans="4:12" s="51" customFormat="1">
      <c r="D838" s="100"/>
      <c r="E838" s="100"/>
      <c r="F838" s="100"/>
      <c r="G838" s="100"/>
      <c r="H838" s="100"/>
      <c r="I838" s="100"/>
      <c r="J838" s="100"/>
      <c r="K838" s="100"/>
      <c r="L838" s="100"/>
    </row>
    <row r="839" spans="4:12" s="51" customFormat="1">
      <c r="D839" s="100"/>
      <c r="E839" s="100"/>
      <c r="F839" s="100"/>
      <c r="G839" s="100"/>
      <c r="H839" s="100"/>
      <c r="I839" s="100"/>
      <c r="J839" s="100"/>
      <c r="K839" s="100"/>
      <c r="L839" s="100"/>
    </row>
    <row r="840" spans="4:12" s="51" customFormat="1">
      <c r="D840" s="100"/>
      <c r="E840" s="100"/>
      <c r="F840" s="100"/>
      <c r="G840" s="100"/>
      <c r="H840" s="100"/>
      <c r="I840" s="100"/>
      <c r="J840" s="100"/>
      <c r="K840" s="100"/>
      <c r="L840" s="100"/>
    </row>
    <row r="841" spans="4:12" s="51" customFormat="1">
      <c r="D841" s="100"/>
      <c r="E841" s="100"/>
      <c r="F841" s="100"/>
      <c r="G841" s="100"/>
      <c r="H841" s="100"/>
      <c r="I841" s="100"/>
      <c r="J841" s="100"/>
      <c r="K841" s="100"/>
      <c r="L841" s="100"/>
    </row>
    <row r="842" spans="4:12" s="51" customFormat="1">
      <c r="D842" s="100"/>
      <c r="E842" s="100"/>
      <c r="F842" s="100"/>
      <c r="G842" s="100"/>
      <c r="H842" s="100"/>
      <c r="I842" s="100"/>
      <c r="J842" s="100"/>
      <c r="K842" s="100"/>
      <c r="L842" s="100"/>
    </row>
    <row r="843" spans="4:12" s="51" customFormat="1">
      <c r="D843" s="100"/>
      <c r="E843" s="100"/>
      <c r="F843" s="100"/>
      <c r="G843" s="100"/>
      <c r="H843" s="100"/>
      <c r="I843" s="100"/>
      <c r="J843" s="100"/>
      <c r="K843" s="100"/>
      <c r="L843" s="100"/>
    </row>
    <row r="844" spans="4:12" s="51" customFormat="1">
      <c r="D844" s="100"/>
      <c r="E844" s="100"/>
      <c r="F844" s="100"/>
      <c r="G844" s="100"/>
      <c r="H844" s="100"/>
      <c r="I844" s="100"/>
      <c r="J844" s="100"/>
      <c r="K844" s="100"/>
      <c r="L844" s="100"/>
    </row>
    <row r="845" spans="4:12" s="51" customFormat="1">
      <c r="D845" s="100"/>
      <c r="E845" s="100"/>
      <c r="F845" s="100"/>
      <c r="G845" s="100"/>
      <c r="H845" s="100"/>
      <c r="I845" s="100"/>
      <c r="J845" s="100"/>
      <c r="K845" s="100"/>
      <c r="L845" s="100"/>
    </row>
    <row r="846" spans="4:12" s="51" customFormat="1">
      <c r="D846" s="100"/>
      <c r="E846" s="100"/>
      <c r="F846" s="100"/>
      <c r="G846" s="100"/>
      <c r="H846" s="100"/>
      <c r="I846" s="100"/>
      <c r="J846" s="100"/>
      <c r="K846" s="100"/>
      <c r="L846" s="100"/>
    </row>
    <row r="847" spans="4:12" s="51" customFormat="1">
      <c r="D847" s="100"/>
      <c r="E847" s="100"/>
      <c r="F847" s="100"/>
      <c r="G847" s="100"/>
      <c r="H847" s="100"/>
      <c r="I847" s="100"/>
      <c r="J847" s="100"/>
      <c r="K847" s="100"/>
      <c r="L847" s="100"/>
    </row>
    <row r="848" spans="4:12" s="51" customFormat="1">
      <c r="D848" s="100"/>
      <c r="E848" s="100"/>
      <c r="F848" s="100"/>
      <c r="G848" s="100"/>
      <c r="H848" s="100"/>
      <c r="I848" s="100"/>
      <c r="J848" s="100"/>
      <c r="K848" s="100"/>
      <c r="L848" s="100"/>
    </row>
    <row r="849" spans="4:12" s="51" customFormat="1">
      <c r="D849" s="100"/>
      <c r="E849" s="100"/>
      <c r="F849" s="100"/>
      <c r="G849" s="100"/>
      <c r="H849" s="100"/>
      <c r="I849" s="100"/>
      <c r="J849" s="100"/>
      <c r="K849" s="100"/>
      <c r="L849" s="100"/>
    </row>
    <row r="850" spans="4:12" s="51" customFormat="1">
      <c r="D850" s="100"/>
      <c r="E850" s="100"/>
      <c r="F850" s="100"/>
      <c r="G850" s="100"/>
      <c r="H850" s="100"/>
      <c r="I850" s="100"/>
      <c r="J850" s="100"/>
      <c r="K850" s="100"/>
      <c r="L850" s="100"/>
    </row>
    <row r="851" spans="4:12" s="51" customFormat="1">
      <c r="D851" s="100"/>
      <c r="E851" s="100"/>
      <c r="F851" s="100"/>
      <c r="G851" s="100"/>
      <c r="H851" s="100"/>
      <c r="I851" s="100"/>
      <c r="J851" s="100"/>
      <c r="K851" s="100"/>
      <c r="L851" s="100"/>
    </row>
    <row r="852" spans="4:12" s="51" customFormat="1">
      <c r="D852" s="100"/>
      <c r="E852" s="100"/>
      <c r="F852" s="100"/>
      <c r="G852" s="100"/>
      <c r="H852" s="100"/>
      <c r="I852" s="100"/>
      <c r="J852" s="100"/>
      <c r="K852" s="100"/>
      <c r="L852" s="100"/>
    </row>
    <row r="853" spans="4:12" s="51" customFormat="1">
      <c r="D853" s="100"/>
      <c r="E853" s="100"/>
      <c r="F853" s="100"/>
      <c r="G853" s="100"/>
      <c r="H853" s="100"/>
      <c r="I853" s="100"/>
      <c r="J853" s="100"/>
      <c r="K853" s="100"/>
      <c r="L853" s="100"/>
    </row>
    <row r="854" spans="4:12" s="51" customFormat="1">
      <c r="D854" s="100"/>
      <c r="E854" s="100"/>
      <c r="F854" s="100"/>
      <c r="G854" s="100"/>
      <c r="H854" s="100"/>
      <c r="I854" s="100"/>
      <c r="J854" s="100"/>
      <c r="K854" s="100"/>
      <c r="L854" s="100"/>
    </row>
    <row r="855" spans="4:12" s="51" customFormat="1">
      <c r="D855" s="100"/>
      <c r="E855" s="100"/>
      <c r="F855" s="100"/>
      <c r="G855" s="100"/>
      <c r="H855" s="100"/>
      <c r="I855" s="100"/>
      <c r="J855" s="100"/>
      <c r="K855" s="100"/>
      <c r="L855" s="100"/>
    </row>
    <row r="856" spans="4:12" s="51" customFormat="1">
      <c r="D856" s="100"/>
      <c r="E856" s="100"/>
      <c r="F856" s="100"/>
      <c r="G856" s="100"/>
      <c r="H856" s="100"/>
      <c r="I856" s="100"/>
      <c r="J856" s="100"/>
      <c r="K856" s="100"/>
      <c r="L856" s="100"/>
    </row>
    <row r="857" spans="4:12" s="51" customFormat="1">
      <c r="D857" s="100"/>
      <c r="E857" s="100"/>
      <c r="F857" s="100"/>
      <c r="G857" s="100"/>
      <c r="H857" s="100"/>
      <c r="I857" s="100"/>
      <c r="J857" s="100"/>
      <c r="K857" s="100"/>
      <c r="L857" s="100"/>
    </row>
    <row r="858" spans="4:12" s="51" customFormat="1">
      <c r="D858" s="100"/>
      <c r="E858" s="100"/>
      <c r="F858" s="100"/>
      <c r="G858" s="100"/>
      <c r="H858" s="100"/>
      <c r="I858" s="100"/>
      <c r="J858" s="100"/>
      <c r="K858" s="100"/>
      <c r="L858" s="100"/>
    </row>
    <row r="859" spans="4:12" s="51" customFormat="1">
      <c r="D859" s="100"/>
      <c r="E859" s="100"/>
      <c r="F859" s="100"/>
      <c r="G859" s="100"/>
      <c r="H859" s="100"/>
      <c r="I859" s="100"/>
      <c r="J859" s="100"/>
      <c r="K859" s="100"/>
      <c r="L859" s="100"/>
    </row>
    <row r="860" spans="4:12" s="51" customFormat="1">
      <c r="D860" s="100"/>
      <c r="E860" s="100"/>
      <c r="F860" s="100"/>
      <c r="G860" s="100"/>
      <c r="H860" s="100"/>
      <c r="I860" s="100"/>
      <c r="J860" s="100"/>
      <c r="K860" s="100"/>
      <c r="L860" s="100"/>
    </row>
    <row r="861" spans="4:12" s="51" customFormat="1">
      <c r="D861" s="100"/>
      <c r="E861" s="100"/>
      <c r="F861" s="100"/>
      <c r="G861" s="100"/>
      <c r="H861" s="100"/>
      <c r="I861" s="100"/>
      <c r="J861" s="100"/>
      <c r="K861" s="100"/>
      <c r="L861" s="100"/>
    </row>
    <row r="862" spans="4:12" s="51" customFormat="1">
      <c r="D862" s="100"/>
      <c r="E862" s="100"/>
      <c r="F862" s="100"/>
      <c r="G862" s="100"/>
      <c r="H862" s="100"/>
      <c r="I862" s="100"/>
      <c r="J862" s="100"/>
      <c r="K862" s="100"/>
      <c r="L862" s="100"/>
    </row>
    <row r="863" spans="4:12" s="51" customFormat="1">
      <c r="D863" s="100"/>
      <c r="E863" s="100"/>
      <c r="F863" s="100"/>
      <c r="G863" s="100"/>
      <c r="H863" s="100"/>
      <c r="I863" s="100"/>
      <c r="J863" s="100"/>
      <c r="K863" s="100"/>
      <c r="L863" s="100"/>
    </row>
    <row r="864" spans="4:12" s="51" customFormat="1">
      <c r="D864" s="100"/>
      <c r="E864" s="100"/>
      <c r="F864" s="100"/>
      <c r="G864" s="100"/>
      <c r="H864" s="100"/>
      <c r="I864" s="100"/>
      <c r="J864" s="100"/>
      <c r="K864" s="100"/>
      <c r="L864" s="100"/>
    </row>
    <row r="865" spans="4:12" s="51" customFormat="1">
      <c r="D865" s="100"/>
      <c r="E865" s="100"/>
      <c r="F865" s="100"/>
      <c r="G865" s="100"/>
      <c r="H865" s="100"/>
      <c r="I865" s="100"/>
      <c r="J865" s="100"/>
      <c r="K865" s="100"/>
      <c r="L865" s="100"/>
    </row>
    <row r="866" spans="4:12" s="51" customFormat="1">
      <c r="D866" s="100"/>
      <c r="E866" s="100"/>
      <c r="F866" s="100"/>
      <c r="G866" s="100"/>
      <c r="H866" s="100"/>
      <c r="I866" s="100"/>
      <c r="J866" s="100"/>
      <c r="K866" s="100"/>
      <c r="L866" s="100"/>
    </row>
    <row r="867" spans="4:12" s="51" customFormat="1">
      <c r="D867" s="100"/>
      <c r="E867" s="100"/>
      <c r="F867" s="100"/>
      <c r="G867" s="100"/>
      <c r="H867" s="100"/>
      <c r="I867" s="100"/>
      <c r="J867" s="100"/>
      <c r="K867" s="100"/>
      <c r="L867" s="100"/>
    </row>
    <row r="868" spans="4:12" s="51" customFormat="1">
      <c r="D868" s="100"/>
      <c r="E868" s="100"/>
      <c r="F868" s="100"/>
      <c r="G868" s="100"/>
      <c r="H868" s="100"/>
      <c r="I868" s="100"/>
      <c r="J868" s="100"/>
      <c r="K868" s="100"/>
      <c r="L868" s="100"/>
    </row>
    <row r="869" spans="4:12" s="51" customFormat="1">
      <c r="D869" s="100"/>
      <c r="E869" s="100"/>
      <c r="F869" s="100"/>
      <c r="G869" s="100"/>
      <c r="H869" s="100"/>
      <c r="I869" s="100"/>
      <c r="J869" s="100"/>
      <c r="K869" s="100"/>
      <c r="L869" s="100"/>
    </row>
    <row r="870" spans="4:12" s="51" customFormat="1">
      <c r="D870" s="100"/>
      <c r="E870" s="100"/>
      <c r="F870" s="100"/>
      <c r="G870" s="100"/>
      <c r="H870" s="100"/>
      <c r="I870" s="100"/>
      <c r="J870" s="100"/>
      <c r="K870" s="100"/>
      <c r="L870" s="100"/>
    </row>
    <row r="871" spans="4:12" s="51" customFormat="1">
      <c r="D871" s="100"/>
      <c r="E871" s="100"/>
      <c r="F871" s="100"/>
      <c r="G871" s="100"/>
      <c r="H871" s="100"/>
      <c r="I871" s="100"/>
      <c r="J871" s="100"/>
      <c r="K871" s="100"/>
      <c r="L871" s="100"/>
    </row>
    <row r="872" spans="4:12" s="51" customFormat="1">
      <c r="D872" s="100"/>
      <c r="E872" s="100"/>
      <c r="F872" s="100"/>
      <c r="G872" s="100"/>
      <c r="H872" s="100"/>
      <c r="I872" s="100"/>
      <c r="J872" s="100"/>
      <c r="K872" s="100"/>
      <c r="L872" s="100"/>
    </row>
    <row r="873" spans="4:12" s="51" customFormat="1">
      <c r="D873" s="100"/>
      <c r="E873" s="100"/>
      <c r="F873" s="100"/>
      <c r="G873" s="100"/>
      <c r="H873" s="100"/>
      <c r="I873" s="100"/>
      <c r="J873" s="100"/>
      <c r="K873" s="100"/>
      <c r="L873" s="100"/>
    </row>
    <row r="874" spans="4:12" s="51" customFormat="1">
      <c r="D874" s="100"/>
      <c r="E874" s="100"/>
      <c r="F874" s="100"/>
      <c r="G874" s="100"/>
      <c r="H874" s="100"/>
      <c r="I874" s="100"/>
      <c r="J874" s="100"/>
      <c r="K874" s="100"/>
      <c r="L874" s="100"/>
    </row>
    <row r="875" spans="4:12" s="51" customFormat="1">
      <c r="D875" s="100"/>
      <c r="E875" s="100"/>
      <c r="F875" s="100"/>
      <c r="G875" s="100"/>
      <c r="H875" s="100"/>
      <c r="I875" s="100"/>
      <c r="J875" s="100"/>
      <c r="K875" s="100"/>
      <c r="L875" s="100"/>
    </row>
    <row r="876" spans="4:12" s="51" customFormat="1">
      <c r="D876" s="100"/>
      <c r="E876" s="100"/>
      <c r="F876" s="100"/>
      <c r="G876" s="100"/>
      <c r="H876" s="100"/>
      <c r="I876" s="100"/>
      <c r="J876" s="100"/>
      <c r="K876" s="100"/>
      <c r="L876" s="100"/>
    </row>
    <row r="877" spans="4:12" s="51" customFormat="1">
      <c r="D877" s="100"/>
      <c r="E877" s="100"/>
      <c r="F877" s="100"/>
      <c r="G877" s="100"/>
      <c r="H877" s="100"/>
      <c r="I877" s="100"/>
      <c r="J877" s="100"/>
      <c r="K877" s="100"/>
      <c r="L877" s="100"/>
    </row>
    <row r="878" spans="4:12" s="51" customFormat="1">
      <c r="D878" s="100"/>
      <c r="E878" s="100"/>
      <c r="F878" s="100"/>
      <c r="G878" s="100"/>
      <c r="H878" s="100"/>
      <c r="I878" s="100"/>
      <c r="J878" s="100"/>
      <c r="K878" s="100"/>
      <c r="L878" s="100"/>
    </row>
    <row r="879" spans="4:12" s="51" customFormat="1">
      <c r="D879" s="100"/>
      <c r="E879" s="100"/>
      <c r="F879" s="100"/>
      <c r="G879" s="100"/>
      <c r="H879" s="100"/>
      <c r="I879" s="100"/>
      <c r="J879" s="100"/>
      <c r="K879" s="100"/>
      <c r="L879" s="100"/>
    </row>
    <row r="880" spans="4:12" s="51" customFormat="1">
      <c r="D880" s="100"/>
      <c r="E880" s="100"/>
      <c r="F880" s="100"/>
      <c r="G880" s="100"/>
      <c r="H880" s="100"/>
      <c r="I880" s="100"/>
      <c r="J880" s="100"/>
      <c r="K880" s="100"/>
      <c r="L880" s="100"/>
    </row>
    <row r="881" spans="4:12" s="51" customFormat="1">
      <c r="D881" s="100"/>
      <c r="E881" s="100"/>
      <c r="F881" s="100"/>
      <c r="G881" s="100"/>
      <c r="H881" s="100"/>
      <c r="I881" s="100"/>
      <c r="J881" s="100"/>
      <c r="K881" s="100"/>
      <c r="L881" s="100"/>
    </row>
    <row r="882" spans="4:12" s="51" customFormat="1">
      <c r="D882" s="100"/>
      <c r="E882" s="100"/>
      <c r="F882" s="100"/>
      <c r="G882" s="100"/>
      <c r="H882" s="100"/>
      <c r="I882" s="100"/>
      <c r="J882" s="100"/>
      <c r="K882" s="100"/>
      <c r="L882" s="100"/>
    </row>
    <row r="883" spans="4:12" s="51" customFormat="1">
      <c r="D883" s="100"/>
      <c r="E883" s="100"/>
      <c r="F883" s="100"/>
      <c r="G883" s="100"/>
      <c r="H883" s="100"/>
      <c r="I883" s="100"/>
      <c r="J883" s="100"/>
      <c r="K883" s="100"/>
      <c r="L883" s="100"/>
    </row>
    <row r="884" spans="4:12" s="51" customFormat="1">
      <c r="D884" s="100"/>
      <c r="E884" s="100"/>
      <c r="F884" s="100"/>
      <c r="G884" s="100"/>
      <c r="H884" s="100"/>
      <c r="I884" s="100"/>
      <c r="J884" s="100"/>
      <c r="K884" s="100"/>
      <c r="L884" s="100"/>
    </row>
    <row r="885" spans="4:12" s="51" customFormat="1">
      <c r="D885" s="100"/>
      <c r="E885" s="100"/>
      <c r="F885" s="100"/>
      <c r="G885" s="100"/>
      <c r="H885" s="100"/>
      <c r="I885" s="100"/>
      <c r="J885" s="100"/>
      <c r="K885" s="100"/>
      <c r="L885" s="100"/>
    </row>
  </sheetData>
  <sheetProtection sheet="1" objects="1" scenarios="1"/>
  <mergeCells count="1">
    <mergeCell ref="C3:L3"/>
  </mergeCells>
  <pageMargins left="0.7" right="0.7" top="0.75" bottom="0.75" header="0.3" footer="0.3"/>
  <ignoredErrors>
    <ignoredError sqref="G6:G2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3B4A-EA76-4FAB-9F05-C817AED3EA45}">
  <sheetPr codeName="Sheet2"/>
  <dimension ref="B1:U245"/>
  <sheetViews>
    <sheetView zoomScaleNormal="100" workbookViewId="0">
      <selection activeCell="C3" sqref="C3:F3"/>
    </sheetView>
  </sheetViews>
  <sheetFormatPr baseColWidth="10" defaultColWidth="8.81640625" defaultRowHeight="14"/>
  <cols>
    <col min="1" max="1" width="8.81640625" style="2"/>
    <col min="2" max="2" width="2.453125" style="2" customWidth="1"/>
    <col min="3" max="3" width="58.1796875" style="3" bestFit="1" customWidth="1"/>
    <col min="4" max="4" width="11" style="3" bestFit="1" customWidth="1"/>
    <col min="5" max="5" width="12.1796875" style="3" bestFit="1" customWidth="1"/>
    <col min="6" max="6" width="13.81640625" style="3" bestFit="1" customWidth="1"/>
    <col min="7" max="9" width="2.453125" style="2" customWidth="1"/>
    <col min="10" max="10" width="69.1796875" style="2" bestFit="1" customWidth="1"/>
    <col min="11" max="11" width="11" style="2" customWidth="1"/>
    <col min="12" max="12" width="11.6328125" style="2" customWidth="1"/>
    <col min="13" max="13" width="11.6328125" style="2" bestFit="1" customWidth="1"/>
    <col min="14" max="16" width="2.453125" style="2" customWidth="1"/>
    <col min="17" max="17" width="64.1796875" style="2" bestFit="1" customWidth="1"/>
    <col min="18" max="18" width="16.6328125" style="2" bestFit="1" customWidth="1"/>
    <col min="19" max="20" width="13.36328125" style="2" customWidth="1"/>
    <col min="21" max="22" width="2.453125" style="2" customWidth="1"/>
    <col min="23" max="16384" width="8.81640625" style="2"/>
  </cols>
  <sheetData>
    <row r="1" spans="2:21" ht="14.5" thickBot="1">
      <c r="D1" s="2"/>
      <c r="E1" s="2"/>
      <c r="F1" s="2"/>
    </row>
    <row r="2" spans="2:21" ht="14.5" thickBot="1">
      <c r="B2" s="4"/>
      <c r="C2" s="5"/>
      <c r="D2" s="6"/>
      <c r="E2" s="6"/>
      <c r="F2" s="6"/>
      <c r="G2" s="7"/>
      <c r="I2" s="4"/>
      <c r="J2" s="5"/>
      <c r="K2" s="157"/>
      <c r="L2" s="157"/>
      <c r="M2" s="157"/>
      <c r="N2" s="7"/>
      <c r="P2" s="4"/>
      <c r="Q2" s="5"/>
      <c r="R2" s="157"/>
      <c r="S2" s="6"/>
      <c r="T2" s="6"/>
      <c r="U2" s="7"/>
    </row>
    <row r="3" spans="2:21" ht="25.5" thickBot="1">
      <c r="B3" s="11"/>
      <c r="C3" s="237" t="s">
        <v>47</v>
      </c>
      <c r="D3" s="238"/>
      <c r="E3" s="238"/>
      <c r="F3" s="239"/>
      <c r="G3" s="12"/>
      <c r="I3" s="11"/>
      <c r="J3" s="237" t="s">
        <v>59</v>
      </c>
      <c r="K3" s="238"/>
      <c r="L3" s="238"/>
      <c r="M3" s="239"/>
      <c r="N3" s="12"/>
      <c r="P3" s="11"/>
      <c r="Q3" s="237" t="s">
        <v>60</v>
      </c>
      <c r="R3" s="238"/>
      <c r="S3" s="238"/>
      <c r="T3" s="239"/>
      <c r="U3" s="12"/>
    </row>
    <row r="4" spans="2:21">
      <c r="B4" s="11"/>
      <c r="C4" s="32"/>
      <c r="D4" s="16"/>
      <c r="E4" s="16"/>
      <c r="F4" s="16"/>
      <c r="G4" s="12"/>
      <c r="I4" s="11"/>
      <c r="J4" s="32"/>
      <c r="K4" s="32"/>
      <c r="L4" s="32"/>
      <c r="M4" s="32"/>
      <c r="N4" s="12"/>
      <c r="P4" s="11"/>
      <c r="Q4" s="32"/>
      <c r="R4" s="32"/>
      <c r="S4" s="32"/>
      <c r="T4" s="32"/>
      <c r="U4" s="12"/>
    </row>
    <row r="5" spans="2:21">
      <c r="B5" s="11"/>
      <c r="C5" s="118" t="s">
        <v>47</v>
      </c>
      <c r="D5" s="18" t="s">
        <v>27</v>
      </c>
      <c r="E5" s="18" t="s">
        <v>28</v>
      </c>
      <c r="F5" s="18" t="s">
        <v>29</v>
      </c>
      <c r="G5" s="12"/>
      <c r="I5" s="11"/>
      <c r="J5" s="118" t="s">
        <v>134</v>
      </c>
      <c r="K5" s="18" t="s">
        <v>27</v>
      </c>
      <c r="L5" s="18" t="s">
        <v>28</v>
      </c>
      <c r="M5" s="18" t="s">
        <v>29</v>
      </c>
      <c r="N5" s="12"/>
      <c r="P5" s="11"/>
      <c r="Q5" s="118" t="s">
        <v>445</v>
      </c>
      <c r="R5" s="18"/>
      <c r="S5" s="18" t="str">
        <f>E5</f>
        <v>Escenario 1</v>
      </c>
      <c r="T5" s="18" t="str">
        <f>F5</f>
        <v>Escenario 2</v>
      </c>
      <c r="U5" s="12"/>
    </row>
    <row r="6" spans="2:21">
      <c r="B6" s="11"/>
      <c r="C6" s="32" t="str">
        <f>_xlfn.CONCAT("Área de ",Entradas!D$45," (ha)")</f>
        <v>Área de Pastos degr. (ha)</v>
      </c>
      <c r="D6" s="119">
        <v>200</v>
      </c>
      <c r="E6" s="119">
        <v>170</v>
      </c>
      <c r="F6" s="119">
        <v>35</v>
      </c>
      <c r="G6" s="12"/>
      <c r="I6" s="11"/>
      <c r="J6" s="32" t="s">
        <v>50</v>
      </c>
      <c r="K6" s="27">
        <f>SUM(Observaciones!$F$371:$F$735)</f>
        <v>785.99999999999989</v>
      </c>
      <c r="L6" s="27">
        <f>SUM(Observaciones!$F$371:$F$735)</f>
        <v>785.99999999999989</v>
      </c>
      <c r="M6" s="27">
        <f>SUM(Observaciones!$F$371:$F$735)</f>
        <v>785.99999999999989</v>
      </c>
      <c r="N6" s="12"/>
      <c r="P6" s="11"/>
      <c r="Q6" s="15" t="s">
        <v>104</v>
      </c>
      <c r="R6" s="145"/>
      <c r="S6" s="30">
        <f>(MAX(0,E$6-$D$6)*Entradas!$D53+MAX(0,E$7-$D$7)*Entradas!$E53+MAX(0,E$8-$D$8)*Entradas!$F53+MAX(0,E$9-$D$9)*Entradas!$G53+MAX(0,E$10-$D$10)*Entradas!$H53)</f>
        <v>0</v>
      </c>
      <c r="T6" s="30">
        <f>(MAX(0,F$6-$D$6)*Entradas!$D53+MAX(0,F$7-$D$7)*Entradas!$E53+MAX(0,F$8-$D$8)*Entradas!$F53+MAX(0,F$9-$D$9)*Entradas!$G53+MAX(0,F$10-$D$10)*Entradas!$H53)</f>
        <v>29375</v>
      </c>
      <c r="U6" s="12"/>
    </row>
    <row r="7" spans="2:21">
      <c r="B7" s="11"/>
      <c r="C7" s="32" t="str">
        <f>_xlfn.CONCAT("Área de ",Entradas!E$45," (ha)")</f>
        <v>Área de Bosque Tipo 1 (ha)</v>
      </c>
      <c r="D7" s="119">
        <v>25</v>
      </c>
      <c r="E7" s="119">
        <v>25</v>
      </c>
      <c r="F7" s="119">
        <v>5</v>
      </c>
      <c r="G7" s="12"/>
      <c r="I7" s="11"/>
      <c r="J7" s="32" t="s">
        <v>55</v>
      </c>
      <c r="K7" s="28">
        <f>SUM(LíneaBase!E$372:E$736)</f>
        <v>423.24283683616937</v>
      </c>
      <c r="L7" s="28">
        <f>SUM(Escenario1!BH$372:BH$736)</f>
        <v>461.00169950012241</v>
      </c>
      <c r="M7" s="28">
        <f>SUM(Escenario2!BH$372:BH$736)</f>
        <v>566.91585758388294</v>
      </c>
      <c r="N7" s="12"/>
      <c r="P7" s="11"/>
      <c r="Q7" s="32"/>
      <c r="R7" s="32"/>
      <c r="S7" s="32"/>
      <c r="T7" s="32"/>
      <c r="U7" s="12"/>
    </row>
    <row r="8" spans="2:21">
      <c r="B8" s="11"/>
      <c r="C8" s="32" t="str">
        <f>_xlfn.CONCAT("Área de ",Entradas!F$45," (ha)")</f>
        <v>Área de Bosque Tipo 2 (ha)</v>
      </c>
      <c r="D8" s="119">
        <v>0</v>
      </c>
      <c r="E8" s="119">
        <v>0</v>
      </c>
      <c r="F8" s="119">
        <v>100</v>
      </c>
      <c r="G8" s="12"/>
      <c r="I8" s="11"/>
      <c r="J8" s="32" t="s">
        <v>53</v>
      </c>
      <c r="K8" s="27">
        <f>SUM(LíneaBase!F$372:F$736)</f>
        <v>68.172928409256855</v>
      </c>
      <c r="L8" s="27">
        <f>SUM(Escenario1!BI$372:BI$736)</f>
        <v>3.5446491998551023E-2</v>
      </c>
      <c r="M8" s="27">
        <f>SUM(Escenario2!BI$372:BI$736)</f>
        <v>0</v>
      </c>
      <c r="N8" s="12"/>
      <c r="P8" s="11"/>
      <c r="Q8" s="118" t="s">
        <v>326</v>
      </c>
      <c r="R8" s="18"/>
      <c r="S8" s="18" t="str">
        <f>Entradas!E63</f>
        <v>Zanjas 1</v>
      </c>
      <c r="T8" s="18" t="str">
        <f>Entradas!F63</f>
        <v>Zanjas 2</v>
      </c>
      <c r="U8" s="12"/>
    </row>
    <row r="9" spans="2:21" ht="16.5">
      <c r="B9" s="11"/>
      <c r="C9" s="32" t="str">
        <f>_xlfn.CONCAT("Área de ",Entradas!G$45," (ha)")</f>
        <v>Área de Pastos recup. (ha)</v>
      </c>
      <c r="D9" s="119">
        <v>25</v>
      </c>
      <c r="E9" s="119">
        <v>25</v>
      </c>
      <c r="F9" s="119">
        <v>5</v>
      </c>
      <c r="G9" s="12"/>
      <c r="I9" s="11"/>
      <c r="J9" s="32" t="s">
        <v>54</v>
      </c>
      <c r="K9" s="28">
        <f>SUM(LíneaBase!G$372:G$736)</f>
        <v>160.85172436361347</v>
      </c>
      <c r="L9" s="28">
        <f>SUM(Escenario1!BJ$372:BJ$736)</f>
        <v>204.89309407374617</v>
      </c>
      <c r="M9" s="28">
        <f>SUM(Escenario2!BJ$372:BJ$736)</f>
        <v>195.82132767979914</v>
      </c>
      <c r="N9" s="12"/>
      <c r="P9" s="11"/>
      <c r="Q9" s="32" t="s">
        <v>330</v>
      </c>
      <c r="R9" s="166"/>
      <c r="S9" s="105">
        <f>Constantes!E30</f>
        <v>1286.7647058823529</v>
      </c>
      <c r="T9" s="105">
        <f>Constantes!F30</f>
        <v>0</v>
      </c>
      <c r="U9" s="12"/>
    </row>
    <row r="10" spans="2:21">
      <c r="B10" s="11"/>
      <c r="C10" s="32" t="str">
        <f>_xlfn.CONCAT("Área de ",Entradas!H$45," (ha)")</f>
        <v>Área de Patos conserv. (ha)</v>
      </c>
      <c r="D10" s="119">
        <v>0</v>
      </c>
      <c r="E10" s="119">
        <v>0</v>
      </c>
      <c r="F10" s="119">
        <v>75</v>
      </c>
      <c r="G10" s="12"/>
      <c r="I10" s="11"/>
      <c r="J10" s="32" t="s">
        <v>51</v>
      </c>
      <c r="K10" s="27">
        <f>SUM(LíneaBase!L$372:L$736)</f>
        <v>362.57996808865352</v>
      </c>
      <c r="L10" s="27">
        <f>SUM(Escenario1!BN$372:BN$736)</f>
        <v>328.39566990159983</v>
      </c>
      <c r="M10" s="27">
        <f>SUM(Escenario2!BN$372:BN$736)</f>
        <v>259.44781870751461</v>
      </c>
      <c r="N10" s="12"/>
      <c r="P10" s="11"/>
      <c r="Q10" s="32" t="s">
        <v>331</v>
      </c>
      <c r="R10" s="166"/>
      <c r="S10" s="161">
        <f>Constantes!E$29*Entradas!E$70</f>
        <v>10000</v>
      </c>
      <c r="T10" s="161">
        <f>Constantes!F$28*Entradas!F$70</f>
        <v>0</v>
      </c>
      <c r="U10" s="12"/>
    </row>
    <row r="11" spans="2:21" ht="16">
      <c r="B11" s="11"/>
      <c r="C11" s="32" t="s">
        <v>329</v>
      </c>
      <c r="D11" s="32"/>
      <c r="E11" s="119">
        <v>50</v>
      </c>
      <c r="F11" s="119">
        <v>0</v>
      </c>
      <c r="G11" s="12"/>
      <c r="I11" s="11"/>
      <c r="J11" s="32" t="s">
        <v>52</v>
      </c>
      <c r="K11" s="28">
        <f>SUM(LíneaBase!K$372:K$736)</f>
        <v>160.67452928843645</v>
      </c>
      <c r="L11" s="28">
        <f>SUM(Escenario1!BM$372:BM$736)</f>
        <v>205.98765330634268</v>
      </c>
      <c r="M11" s="28">
        <f>SUM(Escenario2!BM$372:BM$736)</f>
        <v>191.21498696466469</v>
      </c>
      <c r="N11" s="12"/>
      <c r="P11" s="11"/>
      <c r="Q11" s="32" t="s">
        <v>332</v>
      </c>
      <c r="R11" s="166"/>
      <c r="S11" s="167">
        <f>S9*Entradas!E$71</f>
        <v>3860.2941176470586</v>
      </c>
      <c r="T11" s="167">
        <f>T9*Entradas!F$71</f>
        <v>0</v>
      </c>
      <c r="U11" s="12"/>
    </row>
    <row r="12" spans="2:21">
      <c r="B12" s="11"/>
      <c r="C12" s="122" t="s">
        <v>399</v>
      </c>
      <c r="D12" s="32"/>
      <c r="E12" s="23" t="str">
        <f>IF(E11&lt;=E13,"SI","NO")</f>
        <v>SI</v>
      </c>
      <c r="F12" s="23" t="str">
        <f>IF(F11&lt;=F13,"SI","NO")</f>
        <v>SI</v>
      </c>
      <c r="G12" s="12"/>
      <c r="I12" s="11"/>
      <c r="J12" s="32" t="s">
        <v>135</v>
      </c>
      <c r="K12" s="27">
        <f>D16*SUM(LíneaBase!N$372:N$736)</f>
        <v>509.15546662384094</v>
      </c>
      <c r="L12" s="27">
        <f>E16*SUM(Escenario1!BP$372:BP$736)</f>
        <v>2.7033960585266369E-2</v>
      </c>
      <c r="M12" s="27">
        <f>F16*SUM(Escenario2!BP$372:BP$736)</f>
        <v>0</v>
      </c>
      <c r="N12" s="12"/>
      <c r="P12" s="11"/>
      <c r="Q12" s="32"/>
      <c r="R12" s="32"/>
      <c r="S12" s="32"/>
      <c r="T12" s="32"/>
      <c r="U12" s="12"/>
    </row>
    <row r="13" spans="2:21" ht="17.5">
      <c r="B13" s="11"/>
      <c r="C13" s="32" t="s">
        <v>370</v>
      </c>
      <c r="D13" s="32"/>
      <c r="E13" s="105">
        <f>SUM(E6:E10)</f>
        <v>220</v>
      </c>
      <c r="F13" s="105">
        <f>SUM(F6:F10)</f>
        <v>220</v>
      </c>
      <c r="G13" s="12"/>
      <c r="I13" s="11"/>
      <c r="J13" s="32" t="s">
        <v>136</v>
      </c>
      <c r="K13" s="28">
        <f>AVERAGE(LíneaBase!O$372:O$736)</f>
        <v>117.93812422547852</v>
      </c>
      <c r="L13" s="28">
        <f>AVERAGE(Escenario1!BQ$372:BQ$736)</f>
        <v>1.2886129525867415E-2</v>
      </c>
      <c r="M13" s="28">
        <f>AVERAGE(Escenario2!BQ$372:BQ$736)</f>
        <v>0</v>
      </c>
      <c r="N13" s="12"/>
      <c r="P13" s="11"/>
      <c r="Q13" s="118" t="s">
        <v>461</v>
      </c>
      <c r="R13" s="18"/>
      <c r="S13" s="18" t="str">
        <f>Entradas!E75</f>
        <v>Humedal 1</v>
      </c>
      <c r="T13" s="18" t="str">
        <f>Entradas!F75</f>
        <v>Humedal 2</v>
      </c>
      <c r="U13" s="12"/>
    </row>
    <row r="14" spans="2:21" ht="16">
      <c r="B14" s="11"/>
      <c r="C14" s="32" t="s">
        <v>371</v>
      </c>
      <c r="D14" s="32"/>
      <c r="E14" s="119">
        <v>30</v>
      </c>
      <c r="F14" s="119">
        <v>30</v>
      </c>
      <c r="G14" s="12"/>
      <c r="I14" s="11"/>
      <c r="J14" s="32"/>
      <c r="K14" s="32"/>
      <c r="L14" s="32"/>
      <c r="M14" s="32"/>
      <c r="N14" s="12"/>
      <c r="P14" s="11"/>
      <c r="Q14" s="32" t="s">
        <v>439</v>
      </c>
      <c r="R14" s="166"/>
      <c r="S14" s="161">
        <f>E$14*Entradas!E$86</f>
        <v>18000</v>
      </c>
      <c r="T14" s="161">
        <f>F$14*Entradas!F$86</f>
        <v>9000</v>
      </c>
      <c r="U14" s="12"/>
    </row>
    <row r="15" spans="2:21">
      <c r="B15" s="11"/>
      <c r="C15" s="122" t="s">
        <v>328</v>
      </c>
      <c r="D15" s="32"/>
      <c r="E15" s="23" t="str">
        <f>IF(D16=E16,"SI","NO")</f>
        <v>SI</v>
      </c>
      <c r="F15" s="23" t="str">
        <f>IF(D16=F16,"SI","NO")</f>
        <v>SI</v>
      </c>
      <c r="G15" s="12"/>
      <c r="I15" s="11"/>
      <c r="J15" s="118" t="s">
        <v>254</v>
      </c>
      <c r="K15" s="18" t="s">
        <v>27</v>
      </c>
      <c r="L15" s="18" t="s">
        <v>28</v>
      </c>
      <c r="M15" s="18" t="s">
        <v>29</v>
      </c>
      <c r="N15" s="12"/>
      <c r="P15" s="11"/>
      <c r="Q15" s="32"/>
      <c r="R15" s="32"/>
      <c r="S15" s="32"/>
      <c r="T15" s="32"/>
      <c r="U15" s="12"/>
    </row>
    <row r="16" spans="2:21" ht="16">
      <c r="B16" s="11"/>
      <c r="C16" s="32" t="s">
        <v>397</v>
      </c>
      <c r="D16" s="106">
        <f>SUM(D6:D10)</f>
        <v>250</v>
      </c>
      <c r="E16" s="106">
        <f>SUM(E6:E10)+E14</f>
        <v>250</v>
      </c>
      <c r="F16" s="106">
        <f>SUM(F6:F10)+F14</f>
        <v>250</v>
      </c>
      <c r="G16" s="12"/>
      <c r="I16" s="11"/>
      <c r="J16" s="32" t="s">
        <v>255</v>
      </c>
      <c r="K16" s="158">
        <f>COUNTIF(LíneaBase!L$372:L$736,"&gt;"&amp;Entradas!$D$38)</f>
        <v>15</v>
      </c>
      <c r="L16" s="158">
        <f>COUNTIF(Escenario1!BN$372:BN$736,"&gt;"&amp;Entradas!$D$38)</f>
        <v>0</v>
      </c>
      <c r="M16" s="158">
        <f>COUNTIF(Escenario2!BN$372:BN$736,"&gt;"&amp;Entradas!$D$38)</f>
        <v>0</v>
      </c>
      <c r="N16" s="12"/>
      <c r="P16" s="11"/>
      <c r="Q16" s="118" t="s">
        <v>443</v>
      </c>
      <c r="R16" s="18"/>
      <c r="S16" s="18" t="str">
        <f>Entradas!E90</f>
        <v>Amuna 1</v>
      </c>
      <c r="T16" s="18" t="str">
        <f>Entradas!F90</f>
        <v>Amuna 2</v>
      </c>
      <c r="U16" s="12"/>
    </row>
    <row r="17" spans="2:21" ht="17.5">
      <c r="B17" s="11"/>
      <c r="C17" s="32" t="s">
        <v>398</v>
      </c>
      <c r="D17" s="32"/>
      <c r="E17" s="119">
        <v>20000</v>
      </c>
      <c r="F17" s="119">
        <v>0</v>
      </c>
      <c r="G17" s="12"/>
      <c r="I17" s="11"/>
      <c r="J17" s="32" t="s">
        <v>256</v>
      </c>
      <c r="K17" s="159">
        <f>SUMIF(LíneaBase!L$372:L$736,"&gt;"&amp;Entradas!$D$38)-K16*Entradas!$D$38</f>
        <v>31.595710863861953</v>
      </c>
      <c r="L17" s="159">
        <f>SUMIF(Escenario1!BN$372:BN$736,"&gt;"&amp;Entradas!$D$38)-L16*Entradas!$D$38</f>
        <v>0</v>
      </c>
      <c r="M17" s="159">
        <f>SUMIF(Escenario2!BN$372:BN$736,"&gt;"&amp;Entradas!$D$38)-M16*Entradas!$D$38</f>
        <v>0</v>
      </c>
      <c r="N17" s="12"/>
      <c r="P17" s="11"/>
      <c r="Q17" s="15" t="s">
        <v>206</v>
      </c>
      <c r="R17" s="145"/>
      <c r="S17" s="21">
        <f>IF(Entradas!E91&gt;0,E30*Entradas!E97,0)</f>
        <v>0</v>
      </c>
      <c r="T17" s="21">
        <f>IF(Entradas!F91&gt;0,F30*Entradas!F97,0)</f>
        <v>187.5</v>
      </c>
      <c r="U17" s="12"/>
    </row>
    <row r="18" spans="2:21">
      <c r="B18" s="11"/>
      <c r="C18" s="32" t="s">
        <v>396</v>
      </c>
      <c r="D18" s="32"/>
      <c r="E18" s="172">
        <f>E17/10000</f>
        <v>2</v>
      </c>
      <c r="F18" s="172">
        <f>F17/10000</f>
        <v>0</v>
      </c>
      <c r="G18" s="12"/>
      <c r="I18" s="11"/>
      <c r="J18" s="32" t="s">
        <v>257</v>
      </c>
      <c r="K18" s="158">
        <f>MAX(LíneaBase!L$372:L$736)</f>
        <v>10.925654140199494</v>
      </c>
      <c r="L18" s="158">
        <f>MAX(Escenario1!BN$372:BN$736)</f>
        <v>2.4898410682283383</v>
      </c>
      <c r="M18" s="158">
        <f>MAX(Escenario2!BN$372:BN$736)</f>
        <v>1.253255608579374</v>
      </c>
      <c r="N18" s="12"/>
      <c r="P18" s="11"/>
      <c r="Q18" s="15" t="s">
        <v>109</v>
      </c>
      <c r="R18" s="145"/>
      <c r="S18" s="31">
        <f>(Entradas!E$91/100*Entradas!E$97)*Entradas!E$102</f>
        <v>0</v>
      </c>
      <c r="T18" s="31">
        <f>(Entradas!F$91/100*Entradas!F$97)*Entradas!F$102</f>
        <v>750</v>
      </c>
      <c r="U18" s="12"/>
    </row>
    <row r="19" spans="2:21">
      <c r="B19" s="11"/>
      <c r="C19" s="32" t="s">
        <v>100</v>
      </c>
      <c r="D19" s="32"/>
      <c r="E19" s="106">
        <f>E16+E18</f>
        <v>252</v>
      </c>
      <c r="F19" s="106">
        <f>F16+F18</f>
        <v>250</v>
      </c>
      <c r="G19" s="12"/>
      <c r="I19" s="11"/>
      <c r="J19" s="32" t="s">
        <v>258</v>
      </c>
      <c r="K19" s="159">
        <f>COUNTIF(LíneaBase!L$372:L$736,"&lt;"&amp;Entradas!$D$39)</f>
        <v>50</v>
      </c>
      <c r="L19" s="159">
        <f>COUNTIF(Escenario1!BN$372:BN$736,"&lt;"&amp;Entradas!$D$39)</f>
        <v>19</v>
      </c>
      <c r="M19" s="159">
        <f>COUNTIF(Escenario2!BN$372:BN$736,"&lt;"&amp;Entradas!$D$39)</f>
        <v>36</v>
      </c>
      <c r="N19" s="12"/>
      <c r="P19" s="11"/>
      <c r="Q19" s="15" t="s">
        <v>107</v>
      </c>
      <c r="R19" s="145"/>
      <c r="S19" s="30">
        <f>S17*Entradas!E$103</f>
        <v>0</v>
      </c>
      <c r="T19" s="30">
        <f>T17*Entradas!F$103</f>
        <v>1125</v>
      </c>
      <c r="U19" s="12"/>
    </row>
    <row r="20" spans="2:21">
      <c r="B20" s="11"/>
      <c r="C20" s="15"/>
      <c r="D20" s="16"/>
      <c r="E20" s="16"/>
      <c r="F20" s="16"/>
      <c r="G20" s="12"/>
      <c r="I20" s="11"/>
      <c r="J20" s="32" t="s">
        <v>259</v>
      </c>
      <c r="K20" s="158">
        <f>SUMIF(LíneaBase!L$372:L$736,"&lt;"&amp;Entradas!$D$39)+COUNTIF(LíneaBase!L$372:L$736,"&gt;="&amp;Entradas!$D$39)*Entradas!$D$39</f>
        <v>75.957947007591486</v>
      </c>
      <c r="L20" s="158">
        <f>SUMIF(Escenario1!BN$372:BN$736,"&lt;"&amp;Entradas!$D$39)+COUNTIF(Escenario1!BN$372:BN$736,"&gt;="&amp;Entradas!$D$39)*Entradas!$D$39</f>
        <v>77.609202427462904</v>
      </c>
      <c r="M20" s="158">
        <f>SUMIF(Escenario2!BN$372:BN$736,"&lt;"&amp;Entradas!$D$39)+COUNTIF(Escenario2!BN$372:BN$736,"&gt;="&amp;Entradas!$D$39)*Entradas!$D$39</f>
        <v>76.529996371460996</v>
      </c>
      <c r="N20" s="12"/>
      <c r="P20" s="11"/>
      <c r="Q20" s="15" t="s">
        <v>108</v>
      </c>
      <c r="R20" s="145"/>
      <c r="S20" s="31">
        <f>IF(Entradas!E91&gt;0,Entradas!E$104*Entradas!E$97*E$31,0)</f>
        <v>0</v>
      </c>
      <c r="T20" s="31">
        <f>IF(Entradas!F91&gt;0,Entradas!F$104*Entradas!F$97*F$31,0)</f>
        <v>4500</v>
      </c>
      <c r="U20" s="12"/>
    </row>
    <row r="21" spans="2:21">
      <c r="B21" s="11"/>
      <c r="C21" s="118" t="s">
        <v>101</v>
      </c>
      <c r="D21" s="18" t="s">
        <v>27</v>
      </c>
      <c r="E21" s="18" t="s">
        <v>28</v>
      </c>
      <c r="F21" s="18" t="s">
        <v>29</v>
      </c>
      <c r="G21" s="12"/>
      <c r="I21" s="11"/>
      <c r="J21" s="32" t="s">
        <v>260</v>
      </c>
      <c r="K21" s="159">
        <f>MIN(LíneaBase!L$372:L$736)</f>
        <v>8.3528509192621558E-2</v>
      </c>
      <c r="L21" s="159">
        <f>MIN(Escenario1!BN$372:BN$736)</f>
        <v>0.12082950374892557</v>
      </c>
      <c r="M21" s="159">
        <f>MIN(Escenario2!BN$372:BN$736)</f>
        <v>0.1014275362901761</v>
      </c>
      <c r="N21" s="12"/>
      <c r="P21" s="11"/>
      <c r="Q21" s="32"/>
      <c r="R21" s="32"/>
      <c r="S21" s="32"/>
      <c r="T21" s="32"/>
      <c r="U21" s="12"/>
    </row>
    <row r="22" spans="2:21">
      <c r="B22" s="11"/>
      <c r="C22" s="32" t="s">
        <v>111</v>
      </c>
      <c r="D22" s="105">
        <f>(D$6*Entradas!$D46+D$7*Entradas!$E46+D$8*Entradas!$F46+D$9*Entradas!$G46+D$10*Entradas!$H46)/D$16</f>
        <v>77.7</v>
      </c>
      <c r="E22" s="105">
        <f>(E$6*Entradas!$D46+E$7*Entradas!$E46+E$8*Entradas!$F46+E$9*Entradas!$G46+E$10*Entradas!$H46)/E$16</f>
        <v>68.099999999999994</v>
      </c>
      <c r="F22" s="105">
        <f>(F$6*Entradas!$D46+F$7*Entradas!$E46+F$8*Entradas!$F46+F$9*Entradas!$G46+F$10*Entradas!$H46)/F$16</f>
        <v>53.64</v>
      </c>
      <c r="G22" s="12"/>
      <c r="I22" s="11"/>
      <c r="J22" s="32" t="s">
        <v>261</v>
      </c>
      <c r="K22" s="158">
        <f>COUNTIF(LíneaBase!N$372:N$736,"&gt;"&amp;Entradas!$D$40)</f>
        <v>27</v>
      </c>
      <c r="L22" s="158">
        <f>COUNTIF(Escenario1!BP$372:BP$736,"&gt;"&amp;Entradas!$D$40)</f>
        <v>0</v>
      </c>
      <c r="M22" s="158">
        <f>COUNTIF(Escenario2!BP$372:BP$736,"&gt;"&amp;Entradas!$D$40)</f>
        <v>0</v>
      </c>
      <c r="N22" s="12"/>
      <c r="P22" s="11"/>
      <c r="Q22" s="118" t="s">
        <v>444</v>
      </c>
      <c r="R22" s="18"/>
      <c r="S22" s="18" t="str">
        <f>Entradas!E108</f>
        <v>Qochas 1</v>
      </c>
      <c r="T22" s="18" t="str">
        <f>Entradas!F108</f>
        <v>Qochas 2</v>
      </c>
      <c r="U22" s="12"/>
    </row>
    <row r="23" spans="2:21" ht="16.5">
      <c r="B23" s="11"/>
      <c r="C23" s="32" t="s">
        <v>236</v>
      </c>
      <c r="D23" s="106">
        <f>(D$6*Entradas!$D47+D$7*Entradas!$E47+D$8*Entradas!$F47+D$9*Entradas!$G47+D$10*Entradas!$H47)/D$16</f>
        <v>1.075</v>
      </c>
      <c r="E23" s="106">
        <f>(E$6*Entradas!$D47+E$7*Entradas!$E47+E$8*Entradas!$F47+E$9*Entradas!$G47+E$10*Entradas!$H47)/E$16</f>
        <v>0.95499999999999996</v>
      </c>
      <c r="F23" s="106">
        <f>(F$6*Entradas!$D47+F$7*Entradas!$E47+F$8*Entradas!$F47+F$9*Entradas!$G47+F$10*Entradas!$H47)/F$16</f>
        <v>1.395</v>
      </c>
      <c r="G23" s="12"/>
      <c r="I23" s="11"/>
      <c r="J23" s="32" t="s">
        <v>262</v>
      </c>
      <c r="K23" s="159">
        <f>D16*SUMIF(LíneaBase!N$372:N$736,"&gt;"&amp;Entradas!$D$40)-K22*Entradas!$D$40</f>
        <v>499.72747562031196</v>
      </c>
      <c r="L23" s="159">
        <f>E16*SUMIF(Escenario1!BP$372:BP$736,"&gt;"&amp;Entradas!$D$40)-L22*Entradas!$D$40</f>
        <v>0</v>
      </c>
      <c r="M23" s="159">
        <f>F16*SUMIF(Escenario2!BP$372:BP$736,"&gt;"&amp;Entradas!$D$40)-M22*Entradas!$D$40</f>
        <v>0</v>
      </c>
      <c r="N23" s="12"/>
      <c r="P23" s="11"/>
      <c r="Q23" s="32" t="s">
        <v>440</v>
      </c>
      <c r="R23" s="166"/>
      <c r="S23" s="158">
        <f>Escenarios!E$17*Entradas!E$109/3</f>
        <v>6666.666666666667</v>
      </c>
      <c r="T23" s="158">
        <f>Escenarios!F$17*Entradas!F$109/3</f>
        <v>0</v>
      </c>
      <c r="U23" s="12"/>
    </row>
    <row r="24" spans="2:21">
      <c r="B24" s="11"/>
      <c r="C24" s="32" t="s">
        <v>112</v>
      </c>
      <c r="D24" s="105">
        <f>(D$6*Entradas!$D48+D$7*Entradas!$E48+D$8*Entradas!$F48+D$9*Entradas!$G48+D$10*Entradas!$H48)/D$16</f>
        <v>0.09</v>
      </c>
      <c r="E24" s="105">
        <f>(E$6*Entradas!$D48+E$7*Entradas!$E48+E$8*Entradas!$F48+E$9*Entradas!$G48+E$10*Entradas!$H48)/E$16</f>
        <v>7.8E-2</v>
      </c>
      <c r="F24" s="105">
        <f>(F$6*Entradas!$D48+F$7*Entradas!$E48+F$8*Entradas!$F48+F$9*Entradas!$G48+F$10*Entradas!$H48)/F$16</f>
        <v>2.1599999999999998E-2</v>
      </c>
      <c r="G24" s="12"/>
      <c r="I24" s="11"/>
      <c r="J24" s="32" t="s">
        <v>263</v>
      </c>
      <c r="K24" s="158">
        <f>D16*MAX(LíneaBase!N$372:N$736)</f>
        <v>119.89587261397001</v>
      </c>
      <c r="L24" s="158">
        <f>E16*MAX(Escenario1!BP$372:BP$736)</f>
        <v>2.7033960585266369E-2</v>
      </c>
      <c r="M24" s="158">
        <f>F16*MAX(Escenario2!BP$372:BP$736)</f>
        <v>0</v>
      </c>
      <c r="N24" s="12"/>
      <c r="P24" s="11"/>
      <c r="Q24" s="32" t="s">
        <v>441</v>
      </c>
      <c r="R24" s="166"/>
      <c r="S24" s="167">
        <f>E$17*Entradas!E$116</f>
        <v>5000</v>
      </c>
      <c r="T24" s="167">
        <f>F$17*Entradas!F$116</f>
        <v>0</v>
      </c>
      <c r="U24" s="12"/>
    </row>
    <row r="25" spans="2:21">
      <c r="B25" s="11"/>
      <c r="C25" s="32" t="s">
        <v>113</v>
      </c>
      <c r="D25" s="106">
        <f>(D$6*Entradas!$D49+D$7*Entradas!$E49+D$8*Entradas!$F49+D$9*Entradas!$G49+D$10*Entradas!$H49)/D$16</f>
        <v>0.16600000000000001</v>
      </c>
      <c r="E25" s="106">
        <f>(E$6*Entradas!$D49+E$7*Entradas!$E49+E$8*Entradas!$F49+E$9*Entradas!$G49+E$10*Entradas!$H49)/E$16</f>
        <v>0.14560000000000003</v>
      </c>
      <c r="F25" s="106">
        <f>(F$6*Entradas!$D49+F$7*Entradas!$E49+F$8*Entradas!$F49+F$9*Entradas!$G49+F$10*Entradas!$H49)/F$16</f>
        <v>0.1278</v>
      </c>
      <c r="G25" s="12"/>
      <c r="I25" s="11"/>
      <c r="J25" s="32" t="s">
        <v>264</v>
      </c>
      <c r="K25" s="159">
        <f>COUNTIF(LíneaBase!N$372:N$736,"&lt;"&amp;Entradas!$D$41)</f>
        <v>329</v>
      </c>
      <c r="L25" s="159">
        <f>COUNTIF(Escenario1!BP$372:BP$736,"&lt;"&amp;Entradas!$D$41)</f>
        <v>365</v>
      </c>
      <c r="M25" s="159">
        <f>COUNTIF(Escenario2!BP$372:BP$736,"&lt;"&amp;Entradas!$D$41)</f>
        <v>365</v>
      </c>
      <c r="N25" s="12"/>
      <c r="P25" s="11"/>
      <c r="Q25" s="32" t="s">
        <v>442</v>
      </c>
      <c r="R25" s="166"/>
      <c r="S25" s="161">
        <f>S$23*Entradas!E$117</f>
        <v>6666.666666666667</v>
      </c>
      <c r="T25" s="161">
        <f>T$23*Entradas!F$117</f>
        <v>0</v>
      </c>
      <c r="U25" s="12"/>
    </row>
    <row r="26" spans="2:21" ht="16">
      <c r="B26" s="11"/>
      <c r="C26" s="32" t="s">
        <v>252</v>
      </c>
      <c r="D26" s="105">
        <f>(D$6*Entradas!$D50+D$7*Entradas!$E50+D$8*Entradas!$F50+D$9*Entradas!$G50+D$10*Entradas!$H50)/D$16</f>
        <v>0.95</v>
      </c>
      <c r="E26" s="105">
        <f>(E$6*Entradas!$D50+E$7*Entradas!$E50+E$8*Entradas!$F50+E$9*Entradas!$G50+E$10*Entradas!$H50)/E$16</f>
        <v>0.83</v>
      </c>
      <c r="F26" s="105">
        <f>(F$6*Entradas!$D50+F$7*Entradas!$E50+F$8*Entradas!$F50+F$9*Entradas!$G50+F$10*Entradas!$H50)/F$16</f>
        <v>0.83</v>
      </c>
      <c r="G26" s="12"/>
      <c r="I26" s="11"/>
      <c r="J26" s="32" t="s">
        <v>265</v>
      </c>
      <c r="K26" s="158">
        <f>D16*(SUMIF(LíneaBase!N$372:N$736,"&lt;"&amp;Entradas!$D$41)+COUNTIF(LíneaBase!N$372:N$736,"&gt;="&amp;Entradas!$D$41)*Entradas!$D$41)</f>
        <v>15.194417402933908</v>
      </c>
      <c r="L26" s="158">
        <f>E16*(SUMIF(Escenario1!BP$372:BP$736,"&lt;"&amp;Entradas!$D$41)+COUNTIF(Escenario1!BP$372:BP$736,"&gt;="&amp;Entradas!$D$41)*Entradas!$D$41)</f>
        <v>2.7033960585266369E-2</v>
      </c>
      <c r="M26" s="158">
        <f>F16*(SUMIF(Escenario2!BP$372:BP$736,"&lt;"&amp;Entradas!$D$41)+COUNTIF(Escenario2!BP$372:BP$736,"&gt;="&amp;Entradas!$D$41)*Entradas!$D$41)</f>
        <v>0</v>
      </c>
      <c r="N26" s="12"/>
      <c r="P26" s="11"/>
      <c r="Q26" s="32"/>
      <c r="R26" s="32"/>
      <c r="S26" s="32"/>
      <c r="T26" s="32"/>
      <c r="U26" s="12"/>
    </row>
    <row r="27" spans="2:21">
      <c r="B27" s="11"/>
      <c r="C27" s="15"/>
      <c r="D27" s="16"/>
      <c r="E27" s="16"/>
      <c r="F27" s="16"/>
      <c r="G27" s="12"/>
      <c r="I27" s="11"/>
      <c r="J27" s="32" t="s">
        <v>266</v>
      </c>
      <c r="K27" s="159">
        <f>D16*MIN(LíneaBase!N$372:N$736)</f>
        <v>0</v>
      </c>
      <c r="L27" s="159">
        <f>E16*MIN(Escenario1!BP$372:BP$736)</f>
        <v>0</v>
      </c>
      <c r="M27" s="159">
        <f>F16*MIN(Escenario2!BP$372:BP$736)</f>
        <v>0</v>
      </c>
      <c r="N27" s="12"/>
      <c r="P27" s="11"/>
      <c r="Q27" s="118" t="s">
        <v>446</v>
      </c>
      <c r="R27" s="18"/>
      <c r="S27" s="18" t="s">
        <v>28</v>
      </c>
      <c r="T27" s="18" t="s">
        <v>29</v>
      </c>
      <c r="U27" s="12"/>
    </row>
    <row r="28" spans="2:21">
      <c r="B28" s="11"/>
      <c r="C28" s="17" t="s">
        <v>95</v>
      </c>
      <c r="D28" s="58"/>
      <c r="E28" s="18" t="s">
        <v>28</v>
      </c>
      <c r="F28" s="18" t="s">
        <v>29</v>
      </c>
      <c r="G28" s="12"/>
      <c r="I28" s="11"/>
      <c r="J28" s="32"/>
      <c r="K28" s="32"/>
      <c r="L28" s="32"/>
      <c r="M28" s="32"/>
      <c r="N28" s="12"/>
      <c r="P28" s="11"/>
      <c r="Q28" s="32" t="s">
        <v>253</v>
      </c>
      <c r="R28" s="32"/>
      <c r="S28" s="160">
        <v>0</v>
      </c>
      <c r="T28" s="160">
        <v>0</v>
      </c>
      <c r="U28" s="12"/>
    </row>
    <row r="29" spans="2:21">
      <c r="B29" s="11"/>
      <c r="C29" s="15" t="s">
        <v>125</v>
      </c>
      <c r="D29" s="15"/>
      <c r="E29" s="116">
        <f>(Entradas!E$91-Entradas!E$92)/2/Entradas!E$93</f>
        <v>-0.33333333333333331</v>
      </c>
      <c r="F29" s="116">
        <f>(Entradas!F$91-Entradas!F$92)/2/Entradas!F$93</f>
        <v>0</v>
      </c>
      <c r="G29" s="12"/>
      <c r="I29" s="11"/>
      <c r="J29" s="118" t="s">
        <v>479</v>
      </c>
      <c r="K29" s="18" t="s">
        <v>27</v>
      </c>
      <c r="L29" s="18" t="s">
        <v>28</v>
      </c>
      <c r="M29" s="18" t="s">
        <v>29</v>
      </c>
      <c r="N29" s="12"/>
      <c r="P29" s="11"/>
      <c r="Q29" s="32" t="s">
        <v>106</v>
      </c>
      <c r="R29" s="32"/>
      <c r="S29" s="161">
        <f>SUM(S6,S10:S11,S14,S18:S20,S24:S25)</f>
        <v>43526.960784313727</v>
      </c>
      <c r="T29" s="161">
        <f>SUM(T6,T10:T11,T14,T18:T20,T24:T25)</f>
        <v>44750</v>
      </c>
      <c r="U29" s="12"/>
    </row>
    <row r="30" spans="2:21" ht="16">
      <c r="B30" s="11"/>
      <c r="C30" s="15" t="s">
        <v>212</v>
      </c>
      <c r="D30" s="15"/>
      <c r="E30" s="117">
        <f>(Entradas!E$92+E29*Entradas!E$93)/100*Entradas!E$93/100</f>
        <v>0.03</v>
      </c>
      <c r="F30" s="117">
        <f>(Entradas!F$92+F29*Entradas!F$93)/100*Entradas!F$93/100</f>
        <v>6.25E-2</v>
      </c>
      <c r="G30" s="12"/>
      <c r="I30" s="11"/>
      <c r="J30" s="32" t="s">
        <v>480</v>
      </c>
      <c r="K30" s="193">
        <f>Gráficos!AQ20</f>
        <v>0.45301873698820255</v>
      </c>
      <c r="L30" s="32"/>
      <c r="M30" s="32"/>
      <c r="N30" s="12"/>
      <c r="P30" s="11"/>
      <c r="Q30" s="32"/>
      <c r="R30" s="32"/>
      <c r="S30" s="32"/>
      <c r="T30" s="32"/>
      <c r="U30" s="12"/>
    </row>
    <row r="31" spans="2:21" ht="16">
      <c r="B31" s="11"/>
      <c r="C31" s="15" t="s">
        <v>232</v>
      </c>
      <c r="D31" s="15"/>
      <c r="E31" s="116">
        <f>Entradas!E$92/100+2*Entradas!E$93/100*SQRT(1+E29^2)</f>
        <v>0.83245553203367595</v>
      </c>
      <c r="F31" s="116">
        <f>Entradas!F$92/100+2*Entradas!F$93/100*SQRT(1+F29^2)</f>
        <v>0.75</v>
      </c>
      <c r="G31" s="12"/>
      <c r="I31" s="11"/>
      <c r="J31" s="32" t="s">
        <v>481</v>
      </c>
      <c r="K31" s="194">
        <f>COUNTIF(Observaciones!F$372:F$736,"=0")/COUNT(Observaciones!F$372:F$736)</f>
        <v>0.60439560439560436</v>
      </c>
      <c r="L31" s="195"/>
      <c r="M31" s="195"/>
      <c r="N31" s="12"/>
      <c r="P31" s="11"/>
      <c r="Q31" s="32"/>
      <c r="R31" s="32"/>
      <c r="S31" s="32"/>
      <c r="T31" s="32"/>
      <c r="U31" s="12"/>
    </row>
    <row r="32" spans="2:21" ht="16">
      <c r="B32" s="11"/>
      <c r="C32" s="15" t="s">
        <v>126</v>
      </c>
      <c r="D32" s="15"/>
      <c r="E32" s="117">
        <f>E30/E31</f>
        <v>3.6037961002806318E-2</v>
      </c>
      <c r="F32" s="117">
        <f>F30/F31</f>
        <v>8.3333333333333329E-2</v>
      </c>
      <c r="G32" s="12"/>
      <c r="I32" s="11"/>
      <c r="J32" s="32" t="s">
        <v>482</v>
      </c>
      <c r="K32" s="193">
        <f>K10/K6</f>
        <v>0.46129766932398675</v>
      </c>
      <c r="L32" s="193">
        <f>L10/L6</f>
        <v>0.41780619580356221</v>
      </c>
      <c r="M32" s="193">
        <f>M10/M6</f>
        <v>0.33008628334289397</v>
      </c>
      <c r="N32" s="12"/>
      <c r="P32" s="11"/>
      <c r="Q32" s="32"/>
      <c r="R32" s="32"/>
      <c r="S32" s="32"/>
      <c r="T32" s="32"/>
      <c r="U32" s="12"/>
    </row>
    <row r="33" spans="2:21" ht="16">
      <c r="B33" s="11"/>
      <c r="C33" s="15" t="s">
        <v>211</v>
      </c>
      <c r="D33" s="15"/>
      <c r="E33" s="21">
        <f>(Entradas!E$95-Entradas!E$96)/Entradas!E$97</f>
        <v>1.6666666666666666E-2</v>
      </c>
      <c r="F33" s="21">
        <f>(Entradas!F$95-Entradas!F$96)/Entradas!F$97</f>
        <v>1.6666666666666666E-2</v>
      </c>
      <c r="G33" s="12"/>
      <c r="I33" s="11"/>
      <c r="J33" s="32" t="s">
        <v>483</v>
      </c>
      <c r="K33" s="194">
        <f>K11/K10</f>
        <v>0.44314232287965322</v>
      </c>
      <c r="L33" s="194">
        <f>L11/L10</f>
        <v>0.62725447436034898</v>
      </c>
      <c r="M33" s="194">
        <f>M11/M10</f>
        <v>0.73700749506099572</v>
      </c>
      <c r="N33" s="12"/>
      <c r="P33" s="11"/>
      <c r="Q33" s="32"/>
      <c r="R33" s="32"/>
      <c r="S33" s="32"/>
      <c r="T33" s="32"/>
      <c r="U33" s="12"/>
    </row>
    <row r="34" spans="2:21" ht="16.5">
      <c r="B34" s="11"/>
      <c r="C34" s="15" t="s">
        <v>213</v>
      </c>
      <c r="D34" s="15"/>
      <c r="E34" s="20">
        <f>(23+1/Entradas!E$94+0.00155/Escenarios!E$33)/(1+(23+0.00155/Escenarios!E$33)*Entradas!E$94/SQRT(E$32))</f>
        <v>15.612569624417418</v>
      </c>
      <c r="F34" s="20">
        <f>(23+1/Entradas!F$94+0.00155/Escenarios!F$33)/(1+(23+0.00155/Escenarios!F$33)*Entradas!F$94/SQRT(F$32))</f>
        <v>49.028582655364175</v>
      </c>
      <c r="G34" s="12"/>
      <c r="I34" s="11"/>
      <c r="J34" s="32" t="s">
        <v>484</v>
      </c>
      <c r="K34" s="193">
        <f>K11/K6</f>
        <v>0.2044205207232016</v>
      </c>
      <c r="L34" s="193">
        <f>L11/L6</f>
        <v>0.26207080573326047</v>
      </c>
      <c r="M34" s="193">
        <f>M11/M6</f>
        <v>0.24327606484054035</v>
      </c>
      <c r="N34" s="12"/>
      <c r="P34" s="11"/>
      <c r="Q34" s="32"/>
      <c r="R34" s="32"/>
      <c r="S34" s="32"/>
      <c r="T34" s="32"/>
      <c r="U34" s="12"/>
    </row>
    <row r="35" spans="2:21" ht="16">
      <c r="B35" s="11"/>
      <c r="C35" s="15" t="s">
        <v>133</v>
      </c>
      <c r="D35" s="15"/>
      <c r="E35" s="21">
        <f>E34*SQRT(E32*E33)</f>
        <v>0.38262986842978847</v>
      </c>
      <c r="F35" s="21">
        <f>F34*SQRT(F32*F33)</f>
        <v>1.8271873942976904</v>
      </c>
      <c r="G35" s="12"/>
      <c r="I35" s="11"/>
      <c r="J35" s="32" t="s">
        <v>485</v>
      </c>
      <c r="K35" s="194">
        <f>K6/K7</f>
        <v>1.8570899058221937</v>
      </c>
      <c r="L35" s="194">
        <f>L6/L7</f>
        <v>1.704982868506304</v>
      </c>
      <c r="M35" s="194">
        <f>M6/M7</f>
        <v>1.38644913435624</v>
      </c>
      <c r="N35" s="12"/>
      <c r="P35" s="11"/>
      <c r="Q35" s="32"/>
      <c r="R35" s="32"/>
      <c r="S35" s="32"/>
      <c r="T35" s="32"/>
      <c r="U35" s="12"/>
    </row>
    <row r="36" spans="2:21" ht="16">
      <c r="B36" s="11"/>
      <c r="C36" s="15" t="s">
        <v>210</v>
      </c>
      <c r="D36" s="15"/>
      <c r="E36" s="20">
        <f>E35*E30*1000</f>
        <v>11.478896052893653</v>
      </c>
      <c r="F36" s="20">
        <f>F35*F30*1000</f>
        <v>114.19921214360565</v>
      </c>
      <c r="G36" s="12"/>
      <c r="I36" s="11"/>
      <c r="J36" s="32" t="s">
        <v>486</v>
      </c>
      <c r="K36" s="196">
        <f>ABS((LOG(_xlfn.PERCENTILE.INC(LíneaBase!L$372:L$736,0.33))-LOG(_xlfn.PERCENTILE.INC(LíneaBase!L$372:L$736,0.66)))/0.33)</f>
        <v>1.1637162997191706</v>
      </c>
      <c r="L36" s="196">
        <f>ABS((LOG(_xlfn.PERCENTILE.INC(Escenario1!BN$372:BN$736,0.33))-LOG(_xlfn.PERCENTILE.INC(Escenario1!BN$372:BN$736,0.66)))/0.33)</f>
        <v>0.96842038720976553</v>
      </c>
      <c r="M36" s="196">
        <f>ABS((LOG(_xlfn.PERCENTILE.INC(Escenario2!BN$372:BN$736,0.33))-LOG(_xlfn.PERCENTILE.INC(Escenario2!BN$372:BN$736,0.66)))/0.33)</f>
        <v>1.0540056429956297</v>
      </c>
      <c r="N36" s="12"/>
      <c r="P36" s="11"/>
      <c r="Q36" s="32"/>
      <c r="R36" s="32"/>
      <c r="S36" s="32"/>
      <c r="T36" s="32"/>
      <c r="U36" s="12"/>
    </row>
    <row r="37" spans="2:21" ht="16">
      <c r="B37" s="11"/>
      <c r="C37" s="15" t="s">
        <v>207</v>
      </c>
      <c r="D37" s="15"/>
      <c r="E37" s="21">
        <f>E36*60*60*24/(E16*10000)</f>
        <v>0.39671064758800462</v>
      </c>
      <c r="F37" s="21">
        <f>F36*60*60*24/(F16*10000)</f>
        <v>3.9467247716830118</v>
      </c>
      <c r="G37" s="12"/>
      <c r="I37" s="11"/>
      <c r="J37" s="32" t="s">
        <v>487</v>
      </c>
      <c r="K37" s="197">
        <f>Gráficos!BC$736/Escenarios!K$10</f>
        <v>0.41353621626269027</v>
      </c>
      <c r="L37" s="197">
        <f>Gráficos!BD$736/Escenarios!L$10</f>
        <v>6.1570666318334848E-2</v>
      </c>
      <c r="M37" s="197">
        <f>Gráficos!BE$736/Escenarios!M$10</f>
        <v>4.0357492014787652E-2</v>
      </c>
      <c r="N37" s="12"/>
      <c r="P37" s="11"/>
      <c r="Q37" s="32"/>
      <c r="R37" s="32"/>
      <c r="S37" s="32"/>
      <c r="T37" s="32"/>
      <c r="U37" s="12"/>
    </row>
    <row r="38" spans="2:21" ht="16">
      <c r="B38" s="11"/>
      <c r="C38" s="15" t="s">
        <v>208</v>
      </c>
      <c r="D38" s="15"/>
      <c r="E38" s="93">
        <f>Entradas!E$98*60*60*24/(E16*10000)</f>
        <v>1.0367999999999999</v>
      </c>
      <c r="F38" s="93">
        <f>Entradas!F$98*60*60*24/(F16*10000)</f>
        <v>1.0367999999999999</v>
      </c>
      <c r="G38" s="12"/>
      <c r="I38" s="11"/>
      <c r="J38" s="32" t="s">
        <v>488</v>
      </c>
      <c r="K38" s="193">
        <f>Gráficos!AS20</f>
        <v>0.31753723167517112</v>
      </c>
      <c r="L38" s="193">
        <f>Gráficos!AU20</f>
        <v>0.26337368929656302</v>
      </c>
      <c r="M38" s="193">
        <f>Gráficos!AW20</f>
        <v>0.21741466284687391</v>
      </c>
      <c r="N38" s="12"/>
      <c r="P38" s="11"/>
      <c r="Q38" s="32"/>
      <c r="R38" s="32"/>
      <c r="S38" s="32"/>
      <c r="T38" s="32"/>
      <c r="U38" s="12"/>
    </row>
    <row r="39" spans="2:21" ht="14.5" thickBot="1">
      <c r="B39" s="33"/>
      <c r="C39" s="34"/>
      <c r="D39" s="34"/>
      <c r="E39" s="34"/>
      <c r="F39" s="34"/>
      <c r="G39" s="35"/>
      <c r="I39" s="11"/>
      <c r="J39" s="32" t="s">
        <v>489</v>
      </c>
      <c r="K39" s="194">
        <f>COUNTIF(LíneaBase!L$372:L$736,"=0")/COUNT(LíneaBase!L$372:L$736)</f>
        <v>0</v>
      </c>
      <c r="L39" s="194">
        <f>COUNTIF(Escenario1!BN$372:BN$736,"=0")/COUNT(Escenario1!BN$372:BN$736)</f>
        <v>0</v>
      </c>
      <c r="M39" s="194">
        <f>COUNTIF(Escenario2!BN$372:BN$736,"=0")/COUNT(Escenario2!BN$372:BN$736)</f>
        <v>0</v>
      </c>
      <c r="N39" s="12"/>
      <c r="P39" s="11"/>
      <c r="Q39" s="32"/>
      <c r="R39" s="32"/>
      <c r="S39" s="32"/>
      <c r="T39" s="32"/>
      <c r="U39" s="12"/>
    </row>
    <row r="40" spans="2:21">
      <c r="C40" s="2"/>
      <c r="D40" s="2"/>
      <c r="E40" s="2"/>
      <c r="F40" s="2"/>
      <c r="I40" s="11"/>
      <c r="J40" s="32" t="s">
        <v>490</v>
      </c>
      <c r="K40" s="193">
        <f>K18/K21</f>
        <v>130.80149814483468</v>
      </c>
      <c r="L40" s="193">
        <f>L18/L21</f>
        <v>20.606234330003016</v>
      </c>
      <c r="M40" s="193">
        <f>M18/M21</f>
        <v>12.356167313321203</v>
      </c>
      <c r="N40" s="12"/>
      <c r="P40" s="11"/>
      <c r="Q40" s="32"/>
      <c r="R40" s="32"/>
      <c r="S40" s="32"/>
      <c r="T40" s="32"/>
      <c r="U40" s="12"/>
    </row>
    <row r="41" spans="2:21">
      <c r="C41" s="2"/>
      <c r="D41" s="2"/>
      <c r="E41" s="2"/>
      <c r="F41" s="2"/>
      <c r="I41" s="11"/>
      <c r="J41" s="32" t="s">
        <v>491</v>
      </c>
      <c r="K41" s="197">
        <f>STDEV(LíneaBase!L$372:L$736)/AVERAGE(LíneaBase!L$372:L$736)</f>
        <v>1.1243821472527977</v>
      </c>
      <c r="L41" s="197">
        <f>STDEV(Escenario1!BN$372:BN$736)/AVERAGE(Escenario1!BN$372:BN$736)</f>
        <v>0.63494318505371694</v>
      </c>
      <c r="M41" s="197">
        <f>STDEV(Escenario2!BN$372:BN$736)/AVERAGE(Escenario2!BN$372:BN$736)</f>
        <v>0.51367927439781047</v>
      </c>
      <c r="N41" s="12"/>
      <c r="P41" s="11"/>
      <c r="Q41" s="32"/>
      <c r="R41" s="32"/>
      <c r="S41" s="32"/>
      <c r="T41" s="32"/>
      <c r="U41" s="12"/>
    </row>
    <row r="42" spans="2:21" ht="14.5" thickBot="1">
      <c r="C42" s="2"/>
      <c r="D42" s="2"/>
      <c r="E42" s="2"/>
      <c r="F42" s="2"/>
      <c r="I42" s="11"/>
      <c r="J42" s="32"/>
      <c r="K42" s="32"/>
      <c r="L42" s="32"/>
      <c r="M42" s="32"/>
      <c r="N42" s="12"/>
      <c r="P42" s="11"/>
      <c r="Q42" s="32"/>
      <c r="R42" s="32"/>
      <c r="S42" s="32"/>
      <c r="T42" s="32"/>
      <c r="U42" s="12"/>
    </row>
    <row r="43" spans="2:21" ht="25.5" thickBot="1">
      <c r="C43" s="2"/>
      <c r="D43" s="2"/>
      <c r="E43" s="2"/>
      <c r="F43" s="2"/>
      <c r="I43" s="11"/>
      <c r="J43" s="237" t="s">
        <v>492</v>
      </c>
      <c r="K43" s="238"/>
      <c r="L43" s="238"/>
      <c r="M43" s="239"/>
      <c r="N43" s="12"/>
      <c r="P43" s="11"/>
      <c r="Q43" s="237" t="s">
        <v>493</v>
      </c>
      <c r="R43" s="238"/>
      <c r="S43" s="238"/>
      <c r="T43" s="239"/>
      <c r="U43" s="12"/>
    </row>
    <row r="44" spans="2:21">
      <c r="C44" s="2"/>
      <c r="D44" s="2"/>
      <c r="E44" s="2"/>
      <c r="F44" s="2"/>
      <c r="I44" s="11"/>
      <c r="J44" s="32"/>
      <c r="K44" s="32"/>
      <c r="L44" s="32"/>
      <c r="M44" s="32"/>
      <c r="N44" s="12"/>
      <c r="P44" s="11"/>
      <c r="Q44" s="32"/>
      <c r="R44" s="32"/>
      <c r="S44" s="32"/>
      <c r="T44" s="32"/>
      <c r="U44" s="12"/>
    </row>
    <row r="45" spans="2:21">
      <c r="C45" s="2"/>
      <c r="D45" s="2"/>
      <c r="E45" s="2"/>
      <c r="F45" s="2"/>
      <c r="I45" s="11"/>
      <c r="J45" s="118" t="s">
        <v>56</v>
      </c>
      <c r="K45" s="18" t="s">
        <v>267</v>
      </c>
      <c r="L45" s="18" t="s">
        <v>28</v>
      </c>
      <c r="M45" s="18" t="s">
        <v>29</v>
      </c>
      <c r="N45" s="12"/>
      <c r="P45" s="11"/>
      <c r="Q45" s="118" t="s">
        <v>137</v>
      </c>
      <c r="R45" s="18" t="s">
        <v>267</v>
      </c>
      <c r="S45" s="18" t="s">
        <v>28</v>
      </c>
      <c r="T45" s="18" t="s">
        <v>29</v>
      </c>
      <c r="U45" s="12"/>
    </row>
    <row r="46" spans="2:21" ht="16.5">
      <c r="C46" s="2"/>
      <c r="D46" s="2"/>
      <c r="E46" s="2"/>
      <c r="F46" s="2"/>
      <c r="I46" s="11"/>
      <c r="J46" s="32" t="s">
        <v>268</v>
      </c>
      <c r="K46" s="32" t="s">
        <v>269</v>
      </c>
      <c r="L46" s="143">
        <f t="shared" ref="L46:M50" si="0">0.01*(L7-$K7)*E$16</f>
        <v>94.397156659882597</v>
      </c>
      <c r="M46" s="143">
        <f t="shared" si="0"/>
        <v>359.18255186928394</v>
      </c>
      <c r="N46" s="12"/>
      <c r="P46" s="11"/>
      <c r="Q46" s="134"/>
      <c r="R46" s="163"/>
      <c r="S46" s="163"/>
      <c r="T46" s="163"/>
      <c r="U46" s="12"/>
    </row>
    <row r="47" spans="2:21" ht="16.5">
      <c r="C47" s="2"/>
      <c r="D47" s="2"/>
      <c r="E47" s="2"/>
      <c r="F47" s="2"/>
      <c r="I47" s="11"/>
      <c r="J47" s="32" t="s">
        <v>270</v>
      </c>
      <c r="K47" s="32" t="s">
        <v>269</v>
      </c>
      <c r="L47" s="144">
        <f t="shared" si="0"/>
        <v>-170.34370479314575</v>
      </c>
      <c r="M47" s="144">
        <f t="shared" si="0"/>
        <v>-170.43232102314215</v>
      </c>
      <c r="N47" s="12"/>
      <c r="P47" s="11"/>
      <c r="Q47" s="32" t="s">
        <v>271</v>
      </c>
      <c r="R47" s="32" t="s">
        <v>272</v>
      </c>
      <c r="S47" s="164">
        <f t="shared" ref="S47:T52" si="1">IFERROR(S$29/L47,"-")</f>
        <v>-255.52432851668937</v>
      </c>
      <c r="T47" s="164">
        <f t="shared" si="1"/>
        <v>-262.56756776740502</v>
      </c>
      <c r="U47" s="12"/>
    </row>
    <row r="48" spans="2:21" ht="16.5">
      <c r="C48" s="2"/>
      <c r="D48" s="2"/>
      <c r="E48" s="2"/>
      <c r="F48" s="2"/>
      <c r="I48" s="11"/>
      <c r="J48" s="32" t="s">
        <v>273</v>
      </c>
      <c r="K48" s="32" t="s">
        <v>269</v>
      </c>
      <c r="L48" s="143">
        <f t="shared" si="0"/>
        <v>110.10342427533175</v>
      </c>
      <c r="M48" s="143">
        <f t="shared" si="0"/>
        <v>87.424008290464172</v>
      </c>
      <c r="N48" s="12"/>
      <c r="P48" s="11"/>
      <c r="Q48" s="32" t="s">
        <v>274</v>
      </c>
      <c r="R48" s="32" t="s">
        <v>272</v>
      </c>
      <c r="S48" s="165">
        <f t="shared" si="1"/>
        <v>395.32794797977755</v>
      </c>
      <c r="T48" s="165">
        <f t="shared" si="1"/>
        <v>511.87312129774693</v>
      </c>
      <c r="U48" s="12"/>
    </row>
    <row r="49" spans="3:21" ht="16.5">
      <c r="C49" s="2"/>
      <c r="D49" s="2"/>
      <c r="E49" s="2"/>
      <c r="F49" s="2"/>
      <c r="I49" s="11"/>
      <c r="J49" s="32" t="s">
        <v>275</v>
      </c>
      <c r="K49" s="32" t="s">
        <v>269</v>
      </c>
      <c r="L49" s="144">
        <f t="shared" si="0"/>
        <v>-85.460745467634212</v>
      </c>
      <c r="M49" s="144">
        <f t="shared" si="0"/>
        <v>-257.83037345284725</v>
      </c>
      <c r="N49" s="12"/>
      <c r="P49" s="11"/>
      <c r="Q49" s="32" t="s">
        <v>276</v>
      </c>
      <c r="R49" s="32" t="s">
        <v>272</v>
      </c>
      <c r="S49" s="165">
        <f t="shared" si="1"/>
        <v>-509.32109878211048</v>
      </c>
      <c r="T49" s="165">
        <f t="shared" si="1"/>
        <v>-173.56372486573622</v>
      </c>
      <c r="U49" s="12"/>
    </row>
    <row r="50" spans="3:21" ht="16.5">
      <c r="C50" s="2"/>
      <c r="D50" s="2"/>
      <c r="E50" s="2"/>
      <c r="F50" s="2"/>
      <c r="I50" s="11"/>
      <c r="J50" s="32" t="s">
        <v>277</v>
      </c>
      <c r="K50" s="32" t="s">
        <v>269</v>
      </c>
      <c r="L50" s="143">
        <f t="shared" si="0"/>
        <v>113.2828100447656</v>
      </c>
      <c r="M50" s="143">
        <f t="shared" si="0"/>
        <v>76.351144190570608</v>
      </c>
      <c r="N50" s="12"/>
      <c r="P50" s="11"/>
      <c r="Q50" s="32" t="s">
        <v>278</v>
      </c>
      <c r="R50" s="32" t="s">
        <v>272</v>
      </c>
      <c r="S50" s="165">
        <f t="shared" si="1"/>
        <v>384.23270721403645</v>
      </c>
      <c r="T50" s="165">
        <f t="shared" si="1"/>
        <v>586.10778495087231</v>
      </c>
      <c r="U50" s="12"/>
    </row>
    <row r="51" spans="3:21">
      <c r="C51" s="2"/>
      <c r="D51" s="2"/>
      <c r="E51" s="2"/>
      <c r="F51" s="2"/>
      <c r="I51" s="11"/>
      <c r="J51" s="32" t="s">
        <v>279</v>
      </c>
      <c r="K51" s="32" t="s">
        <v>280</v>
      </c>
      <c r="L51" s="144">
        <f>(L12-$K12)</f>
        <v>-509.12843266325569</v>
      </c>
      <c r="M51" s="144">
        <f>(M12-$K12)</f>
        <v>-509.15546662384094</v>
      </c>
      <c r="N51" s="12"/>
      <c r="P51" s="11"/>
      <c r="Q51" s="32" t="s">
        <v>281</v>
      </c>
      <c r="R51" s="32" t="s">
        <v>282</v>
      </c>
      <c r="S51" s="164">
        <f t="shared" si="1"/>
        <v>-85.493085814563102</v>
      </c>
      <c r="T51" s="164">
        <f t="shared" si="1"/>
        <v>-87.890640351428971</v>
      </c>
      <c r="U51" s="12"/>
    </row>
    <row r="52" spans="3:21" ht="16.5">
      <c r="C52" s="2"/>
      <c r="D52" s="2"/>
      <c r="E52" s="2"/>
      <c r="F52" s="2"/>
      <c r="I52" s="11"/>
      <c r="J52" s="32" t="s">
        <v>283</v>
      </c>
      <c r="K52" s="32" t="s">
        <v>284</v>
      </c>
      <c r="L52" s="143">
        <f>(L13-$K13)</f>
        <v>-117.92523809595265</v>
      </c>
      <c r="M52" s="143">
        <f>(M13-$K13)</f>
        <v>-117.93812422547852</v>
      </c>
      <c r="N52" s="12"/>
      <c r="P52" s="11"/>
      <c r="Q52" s="32" t="s">
        <v>285</v>
      </c>
      <c r="R52" s="32" t="s">
        <v>286</v>
      </c>
      <c r="S52" s="164">
        <f t="shared" si="1"/>
        <v>-369.10640577971094</v>
      </c>
      <c r="T52" s="164">
        <f t="shared" si="1"/>
        <v>-379.43625349208776</v>
      </c>
      <c r="U52" s="12"/>
    </row>
    <row r="53" spans="3:21">
      <c r="C53" s="2"/>
      <c r="D53" s="2"/>
      <c r="E53" s="2"/>
      <c r="F53" s="2"/>
      <c r="I53" s="11"/>
      <c r="J53" s="32"/>
      <c r="K53" s="32"/>
      <c r="L53" s="32"/>
      <c r="M53" s="32"/>
      <c r="N53" s="12"/>
      <c r="P53" s="11"/>
      <c r="Q53" s="32"/>
      <c r="R53" s="32"/>
      <c r="S53" s="32"/>
      <c r="T53" s="32"/>
      <c r="U53" s="12"/>
    </row>
    <row r="54" spans="3:21">
      <c r="C54" s="2"/>
      <c r="D54" s="2"/>
      <c r="E54" s="2"/>
      <c r="F54" s="2"/>
      <c r="I54" s="11"/>
      <c r="J54" s="118" t="s">
        <v>287</v>
      </c>
      <c r="K54" s="18" t="s">
        <v>267</v>
      </c>
      <c r="L54" s="18" t="s">
        <v>28</v>
      </c>
      <c r="M54" s="18" t="s">
        <v>29</v>
      </c>
      <c r="N54" s="12"/>
      <c r="P54" s="11"/>
      <c r="Q54" s="118" t="s">
        <v>288</v>
      </c>
      <c r="R54" s="18" t="s">
        <v>267</v>
      </c>
      <c r="S54" s="18" t="s">
        <v>28</v>
      </c>
      <c r="T54" s="18" t="s">
        <v>29</v>
      </c>
      <c r="U54" s="12"/>
    </row>
    <row r="55" spans="3:21">
      <c r="C55" s="2"/>
      <c r="D55" s="2"/>
      <c r="E55" s="2"/>
      <c r="F55" s="2"/>
      <c r="I55" s="11"/>
      <c r="J55" s="32" t="s">
        <v>289</v>
      </c>
      <c r="K55" s="32" t="s">
        <v>290</v>
      </c>
      <c r="L55" s="162">
        <f>L16-$K16</f>
        <v>-15</v>
      </c>
      <c r="M55" s="162">
        <f>M16-$K16</f>
        <v>-15</v>
      </c>
      <c r="N55" s="12"/>
      <c r="P55" s="11"/>
      <c r="Q55" s="32" t="s">
        <v>291</v>
      </c>
      <c r="R55" s="32" t="s">
        <v>292</v>
      </c>
      <c r="S55" s="164">
        <f t="shared" ref="S55:S66" si="2">IFERROR(S$29/L55,"-")</f>
        <v>-2901.7973856209151</v>
      </c>
      <c r="T55" s="164">
        <f t="shared" ref="T55:T66" si="3">IFERROR(T$29/M55,"-")</f>
        <v>-2983.3333333333335</v>
      </c>
      <c r="U55" s="12"/>
    </row>
    <row r="56" spans="3:21" ht="16.5">
      <c r="C56" s="2"/>
      <c r="D56" s="2"/>
      <c r="E56" s="2"/>
      <c r="F56" s="2"/>
      <c r="I56" s="11"/>
      <c r="J56" s="32" t="s">
        <v>293</v>
      </c>
      <c r="K56" s="32" t="s">
        <v>269</v>
      </c>
      <c r="L56" s="162">
        <f>0.01*(L17-$K17)*E$16</f>
        <v>-78.98927715965489</v>
      </c>
      <c r="M56" s="162">
        <f>0.01*(M17-$K17)*F$16</f>
        <v>-78.98927715965489</v>
      </c>
      <c r="N56" s="12"/>
      <c r="P56" s="11"/>
      <c r="Q56" s="32" t="s">
        <v>294</v>
      </c>
      <c r="R56" s="32" t="s">
        <v>272</v>
      </c>
      <c r="S56" s="164">
        <f t="shared" si="2"/>
        <v>-551.04898220977589</v>
      </c>
      <c r="T56" s="164">
        <f t="shared" si="3"/>
        <v>-566.53259289296068</v>
      </c>
      <c r="U56" s="12"/>
    </row>
    <row r="57" spans="3:21" ht="16.5">
      <c r="C57" s="2"/>
      <c r="D57" s="2"/>
      <c r="E57" s="2"/>
      <c r="F57" s="2"/>
      <c r="I57" s="11"/>
      <c r="J57" s="32" t="s">
        <v>295</v>
      </c>
      <c r="K57" s="32" t="s">
        <v>269</v>
      </c>
      <c r="L57" s="162">
        <f>0.01*(L18-$K18)*E$16</f>
        <v>-21.089532679927888</v>
      </c>
      <c r="M57" s="162">
        <f>0.01*(M18-$K18)*F$16</f>
        <v>-24.180996329050302</v>
      </c>
      <c r="N57" s="12"/>
      <c r="P57" s="11"/>
      <c r="Q57" s="32" t="s">
        <v>296</v>
      </c>
      <c r="R57" s="32" t="s">
        <v>272</v>
      </c>
      <c r="S57" s="164">
        <f t="shared" si="2"/>
        <v>-2063.913005798408</v>
      </c>
      <c r="T57" s="164">
        <f t="shared" si="3"/>
        <v>-1850.6268059037225</v>
      </c>
      <c r="U57" s="12"/>
    </row>
    <row r="58" spans="3:21">
      <c r="C58" s="2"/>
      <c r="D58" s="2"/>
      <c r="E58" s="2"/>
      <c r="F58" s="2"/>
      <c r="I58" s="11"/>
      <c r="J58" s="32" t="s">
        <v>297</v>
      </c>
      <c r="K58" s="32" t="s">
        <v>290</v>
      </c>
      <c r="L58" s="162">
        <f>L19-$K19</f>
        <v>-31</v>
      </c>
      <c r="M58" s="162">
        <f>M19-$K19</f>
        <v>-14</v>
      </c>
      <c r="N58" s="12"/>
      <c r="P58" s="11"/>
      <c r="Q58" s="32" t="s">
        <v>298</v>
      </c>
      <c r="R58" s="32" t="s">
        <v>292</v>
      </c>
      <c r="S58" s="164">
        <f t="shared" si="2"/>
        <v>-1404.0955091714106</v>
      </c>
      <c r="T58" s="164">
        <f t="shared" si="3"/>
        <v>-3196.4285714285716</v>
      </c>
      <c r="U58" s="12"/>
    </row>
    <row r="59" spans="3:21" ht="16.5">
      <c r="C59" s="2"/>
      <c r="D59" s="2"/>
      <c r="E59" s="2"/>
      <c r="F59" s="2"/>
      <c r="I59" s="11"/>
      <c r="J59" s="32" t="s">
        <v>299</v>
      </c>
      <c r="K59" s="32" t="s">
        <v>269</v>
      </c>
      <c r="L59" s="162">
        <f t="shared" ref="L59:M61" si="4">0.01*(L20-$K20)*E$16</f>
        <v>4.128138549678547</v>
      </c>
      <c r="M59" s="162">
        <f t="shared" si="4"/>
        <v>1.4301234096737758</v>
      </c>
      <c r="N59" s="12"/>
      <c r="P59" s="11"/>
      <c r="Q59" s="32" t="s">
        <v>300</v>
      </c>
      <c r="R59" s="32" t="s">
        <v>272</v>
      </c>
      <c r="S59" s="165">
        <f t="shared" si="2"/>
        <v>10543.96800410275</v>
      </c>
      <c r="T59" s="165">
        <f t="shared" si="3"/>
        <v>31291.005865156687</v>
      </c>
      <c r="U59" s="12"/>
    </row>
    <row r="60" spans="3:21" ht="16.5">
      <c r="C60" s="2"/>
      <c r="D60" s="2"/>
      <c r="E60" s="2"/>
      <c r="F60" s="2"/>
      <c r="I60" s="11"/>
      <c r="J60" s="32" t="s">
        <v>301</v>
      </c>
      <c r="K60" s="32" t="s">
        <v>269</v>
      </c>
      <c r="L60" s="162">
        <f t="shared" si="4"/>
        <v>9.3252486390760017E-2</v>
      </c>
      <c r="M60" s="162">
        <f t="shared" si="4"/>
        <v>4.4747567743886364E-2</v>
      </c>
      <c r="N60" s="12"/>
      <c r="P60" s="11"/>
      <c r="Q60" s="32" t="s">
        <v>302</v>
      </c>
      <c r="R60" s="32" t="s">
        <v>272</v>
      </c>
      <c r="S60" s="165">
        <f t="shared" si="2"/>
        <v>466764.61367390014</v>
      </c>
      <c r="T60" s="165">
        <f t="shared" si="3"/>
        <v>1000054.3550462353</v>
      </c>
      <c r="U60" s="12"/>
    </row>
    <row r="61" spans="3:21">
      <c r="C61" s="2"/>
      <c r="D61" s="2"/>
      <c r="E61" s="2"/>
      <c r="F61" s="2"/>
      <c r="I61" s="11"/>
      <c r="J61" s="32" t="s">
        <v>303</v>
      </c>
      <c r="K61" s="32" t="s">
        <v>290</v>
      </c>
      <c r="L61" s="162">
        <f t="shared" si="4"/>
        <v>-67.5</v>
      </c>
      <c r="M61" s="162">
        <f t="shared" si="4"/>
        <v>-67.5</v>
      </c>
      <c r="N61" s="12"/>
      <c r="P61" s="11"/>
      <c r="Q61" s="32" t="s">
        <v>304</v>
      </c>
      <c r="R61" s="32" t="s">
        <v>292</v>
      </c>
      <c r="S61" s="164">
        <f t="shared" si="2"/>
        <v>-644.84386347131453</v>
      </c>
      <c r="T61" s="164">
        <f t="shared" si="3"/>
        <v>-662.96296296296293</v>
      </c>
      <c r="U61" s="12"/>
    </row>
    <row r="62" spans="3:21">
      <c r="C62" s="2"/>
      <c r="D62" s="2"/>
      <c r="E62" s="2"/>
      <c r="F62" s="2"/>
      <c r="I62" s="11"/>
      <c r="J62" s="32" t="s">
        <v>305</v>
      </c>
      <c r="K62" s="32" t="s">
        <v>280</v>
      </c>
      <c r="L62" s="162">
        <f>(L23-$K23)</f>
        <v>-499.72747562031196</v>
      </c>
      <c r="M62" s="162">
        <f>(M23-$K23)</f>
        <v>-499.72747562031196</v>
      </c>
      <c r="N62" s="12"/>
      <c r="P62" s="11"/>
      <c r="Q62" s="32" t="s">
        <v>306</v>
      </c>
      <c r="R62" s="32" t="s">
        <v>282</v>
      </c>
      <c r="S62" s="164">
        <f t="shared" si="2"/>
        <v>-87.101396076498872</v>
      </c>
      <c r="T62" s="164">
        <f t="shared" si="3"/>
        <v>-89.548808466958519</v>
      </c>
      <c r="U62" s="12"/>
    </row>
    <row r="63" spans="3:21">
      <c r="C63" s="2"/>
      <c r="D63" s="2"/>
      <c r="E63" s="2"/>
      <c r="F63" s="2"/>
      <c r="I63" s="11"/>
      <c r="J63" s="32" t="s">
        <v>307</v>
      </c>
      <c r="K63" s="32" t="s">
        <v>280</v>
      </c>
      <c r="L63" s="162">
        <f>(L24-$K24)</f>
        <v>-119.86883865338474</v>
      </c>
      <c r="M63" s="162">
        <f>(M24-$K24)</f>
        <v>-119.89587261397001</v>
      </c>
      <c r="N63" s="12"/>
      <c r="P63" s="11"/>
      <c r="Q63" s="32" t="s">
        <v>308</v>
      </c>
      <c r="R63" s="32" t="s">
        <v>282</v>
      </c>
      <c r="S63" s="164">
        <f t="shared" si="2"/>
        <v>-363.12156915257356</v>
      </c>
      <c r="T63" s="164">
        <f t="shared" si="3"/>
        <v>-373.24053801319786</v>
      </c>
      <c r="U63" s="12"/>
    </row>
    <row r="64" spans="3:21">
      <c r="C64" s="2"/>
      <c r="D64" s="2"/>
      <c r="E64" s="2"/>
      <c r="F64" s="2"/>
      <c r="I64" s="11"/>
      <c r="J64" s="32" t="s">
        <v>309</v>
      </c>
      <c r="K64" s="32" t="s">
        <v>290</v>
      </c>
      <c r="L64" s="162">
        <f>L25-$K25</f>
        <v>36</v>
      </c>
      <c r="M64" s="162">
        <f>M25-$K25</f>
        <v>36</v>
      </c>
      <c r="N64" s="12"/>
      <c r="P64" s="11"/>
      <c r="Q64" s="32" t="s">
        <v>310</v>
      </c>
      <c r="R64" s="32" t="s">
        <v>292</v>
      </c>
      <c r="S64" s="165">
        <f t="shared" si="2"/>
        <v>1209.0822440087147</v>
      </c>
      <c r="T64" s="165">
        <f t="shared" si="3"/>
        <v>1243.0555555555557</v>
      </c>
      <c r="U64" s="12"/>
    </row>
    <row r="65" spans="3:21">
      <c r="C65" s="2"/>
      <c r="D65" s="2"/>
      <c r="E65" s="2"/>
      <c r="F65" s="2"/>
      <c r="I65" s="11"/>
      <c r="J65" s="32" t="s">
        <v>311</v>
      </c>
      <c r="K65" s="32" t="s">
        <v>280</v>
      </c>
      <c r="L65" s="162">
        <f>(L26-$K26)</f>
        <v>-15.167383442348642</v>
      </c>
      <c r="M65" s="162">
        <f>(M26-$K26)</f>
        <v>-15.194417402933908</v>
      </c>
      <c r="N65" s="12"/>
      <c r="P65" s="11"/>
      <c r="Q65" s="32" t="s">
        <v>312</v>
      </c>
      <c r="R65" s="32" t="s">
        <v>282</v>
      </c>
      <c r="S65" s="164">
        <f t="shared" si="2"/>
        <v>-2869.7738769353386</v>
      </c>
      <c r="T65" s="164">
        <f t="shared" si="3"/>
        <v>-2945.1606345472101</v>
      </c>
      <c r="U65" s="12"/>
    </row>
    <row r="66" spans="3:21">
      <c r="C66" s="2"/>
      <c r="D66" s="2"/>
      <c r="E66" s="2"/>
      <c r="F66" s="2"/>
      <c r="I66" s="11"/>
      <c r="J66" s="32" t="s">
        <v>313</v>
      </c>
      <c r="K66" s="32" t="s">
        <v>280</v>
      </c>
      <c r="L66" s="162">
        <f>(L27-$K27)</f>
        <v>0</v>
      </c>
      <c r="M66" s="162">
        <f>(M27-$K27)</f>
        <v>0</v>
      </c>
      <c r="N66" s="12"/>
      <c r="P66" s="11"/>
      <c r="Q66" s="32" t="s">
        <v>314</v>
      </c>
      <c r="R66" s="32" t="s">
        <v>282</v>
      </c>
      <c r="S66" s="164" t="str">
        <f t="shared" si="2"/>
        <v>-</v>
      </c>
      <c r="T66" s="164" t="str">
        <f t="shared" si="3"/>
        <v>-</v>
      </c>
      <c r="U66" s="12"/>
    </row>
    <row r="67" spans="3:21">
      <c r="C67" s="2"/>
      <c r="D67" s="2"/>
      <c r="E67" s="2"/>
      <c r="F67" s="2"/>
      <c r="I67" s="11"/>
      <c r="J67" s="32"/>
      <c r="K67" s="32"/>
      <c r="L67" s="32"/>
      <c r="M67" s="32"/>
      <c r="N67" s="12"/>
      <c r="P67" s="11"/>
      <c r="Q67" s="32"/>
      <c r="R67" s="32"/>
      <c r="S67" s="32"/>
      <c r="T67" s="32"/>
      <c r="U67" s="12"/>
    </row>
    <row r="68" spans="3:21">
      <c r="C68" s="2"/>
      <c r="D68" s="2"/>
      <c r="E68" s="2"/>
      <c r="F68" s="2"/>
      <c r="I68" s="11"/>
      <c r="J68" s="118" t="s">
        <v>494</v>
      </c>
      <c r="K68" s="18" t="s">
        <v>267</v>
      </c>
      <c r="L68" s="18" t="s">
        <v>28</v>
      </c>
      <c r="M68" s="18" t="s">
        <v>29</v>
      </c>
      <c r="N68" s="12"/>
      <c r="P68" s="11"/>
      <c r="Q68" s="118" t="s">
        <v>495</v>
      </c>
      <c r="R68" s="18" t="s">
        <v>267</v>
      </c>
      <c r="S68" s="18" t="s">
        <v>28</v>
      </c>
      <c r="T68" s="18" t="s">
        <v>29</v>
      </c>
      <c r="U68" s="12"/>
    </row>
    <row r="69" spans="3:21">
      <c r="C69" s="2"/>
      <c r="D69" s="2"/>
      <c r="E69" s="2"/>
      <c r="F69" s="2"/>
      <c r="I69" s="11"/>
      <c r="J69" s="32" t="s">
        <v>496</v>
      </c>
      <c r="K69" s="32" t="s">
        <v>497</v>
      </c>
      <c r="L69" s="198">
        <f>L32-$K32</f>
        <v>-4.349147352042454E-2</v>
      </c>
      <c r="M69" s="198">
        <f t="shared" ref="L69:M77" si="5">M32-$K32</f>
        <v>-0.13121138598109278</v>
      </c>
      <c r="N69" s="12"/>
      <c r="P69" s="11"/>
      <c r="Q69" s="32" t="s">
        <v>498</v>
      </c>
      <c r="R69" s="32" t="s">
        <v>499</v>
      </c>
      <c r="S69" s="165">
        <f t="shared" ref="S69:S78" si="6">IFERROR(S$29/L69,"-")</f>
        <v>-1000815.9591068471</v>
      </c>
      <c r="T69" s="165">
        <f t="shared" ref="T69:T78" si="7">IFERROR(T$29/M69,"-")</f>
        <v>-341052.71936117159</v>
      </c>
      <c r="U69" s="12"/>
    </row>
    <row r="70" spans="3:21">
      <c r="C70" s="2"/>
      <c r="D70" s="2"/>
      <c r="E70" s="2"/>
      <c r="F70" s="2"/>
      <c r="I70" s="11"/>
      <c r="J70" s="32" t="s">
        <v>500</v>
      </c>
      <c r="K70" s="32" t="s">
        <v>497</v>
      </c>
      <c r="L70" s="198">
        <f t="shared" si="5"/>
        <v>0.18411215148069576</v>
      </c>
      <c r="M70" s="198">
        <f t="shared" si="5"/>
        <v>0.2938651721813425</v>
      </c>
      <c r="N70" s="12"/>
      <c r="P70" s="11"/>
      <c r="Q70" s="32" t="s">
        <v>501</v>
      </c>
      <c r="R70" s="32" t="s">
        <v>499</v>
      </c>
      <c r="S70" s="165">
        <f t="shared" si="6"/>
        <v>236415.46977890565</v>
      </c>
      <c r="T70" s="165">
        <f t="shared" si="7"/>
        <v>152280.71999081617</v>
      </c>
      <c r="U70" s="12"/>
    </row>
    <row r="71" spans="3:21">
      <c r="C71" s="2"/>
      <c r="D71" s="2"/>
      <c r="E71" s="2"/>
      <c r="F71" s="2"/>
      <c r="I71" s="11"/>
      <c r="J71" s="32" t="s">
        <v>502</v>
      </c>
      <c r="K71" s="32" t="s">
        <v>497</v>
      </c>
      <c r="L71" s="198">
        <f t="shared" si="5"/>
        <v>5.7650285010058866E-2</v>
      </c>
      <c r="M71" s="198">
        <f t="shared" si="5"/>
        <v>3.8855544117338742E-2</v>
      </c>
      <c r="N71" s="12"/>
      <c r="P71" s="11"/>
      <c r="Q71" s="32" t="s">
        <v>503</v>
      </c>
      <c r="R71" s="32" t="s">
        <v>499</v>
      </c>
      <c r="S71" s="165">
        <f t="shared" si="6"/>
        <v>755017.26967558113</v>
      </c>
      <c r="T71" s="165">
        <f t="shared" si="7"/>
        <v>1151701.7974284638</v>
      </c>
      <c r="U71" s="12"/>
    </row>
    <row r="72" spans="3:21">
      <c r="C72" s="2"/>
      <c r="D72" s="2"/>
      <c r="E72" s="2"/>
      <c r="F72" s="2"/>
      <c r="I72" s="11"/>
      <c r="J72" s="32" t="s">
        <v>504</v>
      </c>
      <c r="K72" s="32" t="s">
        <v>497</v>
      </c>
      <c r="L72" s="198">
        <f t="shared" si="5"/>
        <v>-0.1521070373158897</v>
      </c>
      <c r="M72" s="198">
        <f t="shared" si="5"/>
        <v>-0.47064077146595373</v>
      </c>
      <c r="N72" s="12"/>
      <c r="P72" s="11"/>
      <c r="Q72" s="32" t="s">
        <v>505</v>
      </c>
      <c r="R72" s="32" t="s">
        <v>499</v>
      </c>
      <c r="S72" s="165">
        <f t="shared" si="6"/>
        <v>-286160.07222544681</v>
      </c>
      <c r="T72" s="165">
        <f t="shared" si="7"/>
        <v>-95083.134979174298</v>
      </c>
      <c r="U72" s="12"/>
    </row>
    <row r="73" spans="3:21">
      <c r="C73" s="2"/>
      <c r="D73" s="2"/>
      <c r="E73" s="2"/>
      <c r="F73" s="2"/>
      <c r="I73" s="11"/>
      <c r="J73" s="32" t="s">
        <v>506</v>
      </c>
      <c r="K73" s="32" t="s">
        <v>507</v>
      </c>
      <c r="L73" s="199">
        <f t="shared" si="5"/>
        <v>-0.19529591250940503</v>
      </c>
      <c r="M73" s="199">
        <f t="shared" si="5"/>
        <v>-0.10971065672354086</v>
      </c>
      <c r="N73" s="12"/>
      <c r="P73" s="11"/>
      <c r="Q73" s="32" t="s">
        <v>508</v>
      </c>
      <c r="R73" s="32" t="s">
        <v>509</v>
      </c>
      <c r="S73" s="164">
        <f t="shared" si="6"/>
        <v>-222876.96770006674</v>
      </c>
      <c r="T73" s="164">
        <f t="shared" si="7"/>
        <v>-407891.09587380581</v>
      </c>
      <c r="U73" s="12"/>
    </row>
    <row r="74" spans="3:21">
      <c r="C74" s="2"/>
      <c r="D74" s="2"/>
      <c r="E74" s="2"/>
      <c r="F74" s="2"/>
      <c r="I74" s="11"/>
      <c r="J74" s="32" t="s">
        <v>510</v>
      </c>
      <c r="K74" s="32" t="s">
        <v>507</v>
      </c>
      <c r="L74" s="199">
        <f t="shared" si="5"/>
        <v>-0.35196554994435542</v>
      </c>
      <c r="M74" s="199">
        <f t="shared" si="5"/>
        <v>-0.3731787242479026</v>
      </c>
      <c r="N74" s="12"/>
      <c r="P74" s="11"/>
      <c r="Q74" s="32" t="s">
        <v>511</v>
      </c>
      <c r="R74" s="32" t="s">
        <v>509</v>
      </c>
      <c r="S74" s="164">
        <f t="shared" si="6"/>
        <v>-123668.24193786918</v>
      </c>
      <c r="T74" s="164">
        <f t="shared" si="7"/>
        <v>-119915.73230812745</v>
      </c>
      <c r="U74" s="12"/>
    </row>
    <row r="75" spans="3:21">
      <c r="C75" s="2"/>
      <c r="D75" s="2"/>
      <c r="E75" s="2"/>
      <c r="F75" s="2"/>
      <c r="I75" s="11"/>
      <c r="J75" s="32" t="s">
        <v>512</v>
      </c>
      <c r="K75" s="32" t="s">
        <v>497</v>
      </c>
      <c r="L75" s="198">
        <f t="shared" si="5"/>
        <v>-5.4163542378608098E-2</v>
      </c>
      <c r="M75" s="198">
        <f t="shared" si="5"/>
        <v>-0.1001225688282972</v>
      </c>
      <c r="N75" s="12"/>
      <c r="P75" s="11"/>
      <c r="Q75" s="32" t="s">
        <v>513</v>
      </c>
      <c r="R75" s="32" t="s">
        <v>499</v>
      </c>
      <c r="S75" s="164">
        <f t="shared" si="6"/>
        <v>-803621.01282180368</v>
      </c>
      <c r="T75" s="164">
        <f t="shared" si="7"/>
        <v>-446952.17595488322</v>
      </c>
      <c r="U75" s="12"/>
    </row>
    <row r="76" spans="3:21">
      <c r="C76" s="2"/>
      <c r="D76" s="2"/>
      <c r="E76" s="2"/>
      <c r="F76" s="2"/>
      <c r="I76" s="11"/>
      <c r="J76" s="32" t="s">
        <v>514</v>
      </c>
      <c r="K76" s="32" t="s">
        <v>497</v>
      </c>
      <c r="L76" s="198">
        <f t="shared" si="5"/>
        <v>0</v>
      </c>
      <c r="M76" s="198">
        <f t="shared" si="5"/>
        <v>0</v>
      </c>
      <c r="N76" s="12"/>
      <c r="P76" s="11"/>
      <c r="Q76" s="32" t="s">
        <v>515</v>
      </c>
      <c r="R76" s="32" t="s">
        <v>499</v>
      </c>
      <c r="S76" s="164" t="str">
        <f t="shared" si="6"/>
        <v>-</v>
      </c>
      <c r="T76" s="164" t="str">
        <f t="shared" si="7"/>
        <v>-</v>
      </c>
      <c r="U76" s="12"/>
    </row>
    <row r="77" spans="3:21">
      <c r="C77" s="2"/>
      <c r="D77" s="2"/>
      <c r="E77" s="2"/>
      <c r="F77" s="2"/>
      <c r="I77" s="11"/>
      <c r="J77" s="32" t="s">
        <v>516</v>
      </c>
      <c r="K77" s="32" t="s">
        <v>497</v>
      </c>
      <c r="L77" s="198">
        <f t="shared" si="5"/>
        <v>-110.19526381483166</v>
      </c>
      <c r="M77" s="198">
        <f t="shared" si="5"/>
        <v>-118.44533083151347</v>
      </c>
      <c r="N77" s="12"/>
      <c r="P77" s="11"/>
      <c r="Q77" s="32" t="s">
        <v>517</v>
      </c>
      <c r="R77" s="32" t="s">
        <v>499</v>
      </c>
      <c r="S77" s="164">
        <f t="shared" si="6"/>
        <v>-394.99847159906017</v>
      </c>
      <c r="T77" s="164">
        <f t="shared" si="7"/>
        <v>-377.81143153423358</v>
      </c>
      <c r="U77" s="12"/>
    </row>
    <row r="78" spans="3:21">
      <c r="C78" s="2"/>
      <c r="D78" s="2"/>
      <c r="E78" s="2"/>
      <c r="F78" s="2"/>
      <c r="I78" s="11"/>
      <c r="J78" s="32" t="s">
        <v>518</v>
      </c>
      <c r="K78" s="32" t="s">
        <v>507</v>
      </c>
      <c r="L78" s="199">
        <f>L41-$K41</f>
        <v>-0.48943896219908078</v>
      </c>
      <c r="M78" s="199">
        <f>M41-$K41</f>
        <v>-0.61070287285498726</v>
      </c>
      <c r="N78" s="12"/>
      <c r="P78" s="11"/>
      <c r="Q78" s="32" t="s">
        <v>519</v>
      </c>
      <c r="R78" s="32" t="s">
        <v>509</v>
      </c>
      <c r="S78" s="164">
        <f t="shared" si="6"/>
        <v>-88932.357548210479</v>
      </c>
      <c r="T78" s="164">
        <f t="shared" si="7"/>
        <v>-73276.223166918004</v>
      </c>
      <c r="U78" s="12"/>
    </row>
    <row r="79" spans="3:21" ht="14.5" thickBot="1">
      <c r="C79" s="2"/>
      <c r="D79" s="2"/>
      <c r="E79" s="2"/>
      <c r="F79" s="2"/>
      <c r="I79" s="33"/>
      <c r="J79" s="34"/>
      <c r="K79" s="34"/>
      <c r="L79" s="34"/>
      <c r="M79" s="34"/>
      <c r="N79" s="35"/>
      <c r="P79" s="33"/>
      <c r="Q79" s="34"/>
      <c r="R79" s="34"/>
      <c r="S79" s="34"/>
      <c r="T79" s="34"/>
      <c r="U79" s="35"/>
    </row>
    <row r="80" spans="3:21">
      <c r="C80" s="2"/>
      <c r="D80" s="2"/>
      <c r="E80" s="2"/>
      <c r="F80" s="2"/>
    </row>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sheetData>
  <sheetProtection sheet="1" objects="1" scenarios="1"/>
  <mergeCells count="5">
    <mergeCell ref="J43:M43"/>
    <mergeCell ref="Q43:T43"/>
    <mergeCell ref="C3:F3"/>
    <mergeCell ref="J3:M3"/>
    <mergeCell ref="Q3:T3"/>
  </mergeCells>
  <conditionalFormatting sqref="L46:M52">
    <cfRule type="cellIs" dxfId="59" priority="69" operator="greaterThan">
      <formula>0</formula>
    </cfRule>
    <cfRule type="cellIs" dxfId="58" priority="70" operator="lessThan">
      <formula>0</formula>
    </cfRule>
  </conditionalFormatting>
  <conditionalFormatting sqref="T2">
    <cfRule type="containsText" dxfId="57" priority="67" operator="containsText" text="SI">
      <formula>NOT(ISERROR(SEARCH("SI",T2)))</formula>
    </cfRule>
    <cfRule type="containsText" dxfId="56" priority="68" operator="containsText" text="NO">
      <formula>NOT(ISERROR(SEARCH("NO",T2)))</formula>
    </cfRule>
  </conditionalFormatting>
  <conditionalFormatting sqref="L55:M61">
    <cfRule type="cellIs" dxfId="55" priority="63" operator="greaterThan">
      <formula>0</formula>
    </cfRule>
    <cfRule type="cellIs" dxfId="54" priority="64" operator="lessThan">
      <formula>0</formula>
    </cfRule>
  </conditionalFormatting>
  <conditionalFormatting sqref="L64:M64">
    <cfRule type="cellIs" dxfId="53" priority="61" operator="greaterThan">
      <formula>0</formula>
    </cfRule>
    <cfRule type="cellIs" dxfId="52" priority="62" operator="lessThan">
      <formula>0</formula>
    </cfRule>
  </conditionalFormatting>
  <conditionalFormatting sqref="L62:M62">
    <cfRule type="cellIs" dxfId="51" priority="59" operator="greaterThan">
      <formula>0</formula>
    </cfRule>
    <cfRule type="cellIs" dxfId="50" priority="60" operator="lessThan">
      <formula>0</formula>
    </cfRule>
  </conditionalFormatting>
  <conditionalFormatting sqref="L63:M63">
    <cfRule type="cellIs" dxfId="49" priority="57" operator="greaterThan">
      <formula>0</formula>
    </cfRule>
    <cfRule type="cellIs" dxfId="48" priority="58" operator="lessThan">
      <formula>0</formula>
    </cfRule>
  </conditionalFormatting>
  <conditionalFormatting sqref="L65:M65">
    <cfRule type="cellIs" dxfId="47" priority="55" operator="greaterThan">
      <formula>0</formula>
    </cfRule>
    <cfRule type="cellIs" dxfId="46" priority="56" operator="lessThan">
      <formula>0</formula>
    </cfRule>
  </conditionalFormatting>
  <conditionalFormatting sqref="L66:M66">
    <cfRule type="cellIs" dxfId="45" priority="53" operator="greaterThan">
      <formula>0</formula>
    </cfRule>
    <cfRule type="cellIs" dxfId="44" priority="54" operator="lessThan">
      <formula>0</formula>
    </cfRule>
  </conditionalFormatting>
  <conditionalFormatting sqref="S66:T66">
    <cfRule type="cellIs" dxfId="43" priority="51" operator="lessThan">
      <formula>0</formula>
    </cfRule>
    <cfRule type="cellIs" dxfId="42" priority="52" operator="greaterThan">
      <formula>0</formula>
    </cfRule>
  </conditionalFormatting>
  <conditionalFormatting sqref="S55:T58">
    <cfRule type="cellIs" dxfId="41" priority="49" operator="lessThan">
      <formula>0</formula>
    </cfRule>
    <cfRule type="cellIs" dxfId="40" priority="50" operator="greaterThan">
      <formula>0</formula>
    </cfRule>
  </conditionalFormatting>
  <conditionalFormatting sqref="S61:T63 S65:T65">
    <cfRule type="cellIs" dxfId="39" priority="47" operator="lessThan">
      <formula>0</formula>
    </cfRule>
    <cfRule type="cellIs" dxfId="38" priority="48" operator="greaterThan">
      <formula>0</formula>
    </cfRule>
  </conditionalFormatting>
  <conditionalFormatting sqref="S59:T60">
    <cfRule type="cellIs" dxfId="37" priority="45" operator="greaterThan">
      <formula>0</formula>
    </cfRule>
    <cfRule type="cellIs" dxfId="36" priority="46" operator="lessThan">
      <formula>0</formula>
    </cfRule>
  </conditionalFormatting>
  <conditionalFormatting sqref="S64:T64">
    <cfRule type="cellIs" dxfId="35" priority="43" operator="greaterThan">
      <formula>0</formula>
    </cfRule>
    <cfRule type="cellIs" dxfId="34" priority="44" operator="lessThan">
      <formula>0</formula>
    </cfRule>
  </conditionalFormatting>
  <conditionalFormatting sqref="S47:T47">
    <cfRule type="cellIs" dxfId="33" priority="35" operator="lessThan">
      <formula>0</formula>
    </cfRule>
    <cfRule type="cellIs" dxfId="32" priority="36" operator="greaterThan">
      <formula>0</formula>
    </cfRule>
  </conditionalFormatting>
  <conditionalFormatting sqref="S51:T52">
    <cfRule type="cellIs" dxfId="31" priority="33" operator="lessThan">
      <formula>0</formula>
    </cfRule>
    <cfRule type="cellIs" dxfId="30" priority="34" operator="greaterThan">
      <formula>0</formula>
    </cfRule>
  </conditionalFormatting>
  <conditionalFormatting sqref="S48:T50">
    <cfRule type="cellIs" dxfId="29" priority="31" operator="greaterThan">
      <formula>0</formula>
    </cfRule>
    <cfRule type="cellIs" dxfId="28" priority="32" operator="lessThan">
      <formula>0</formula>
    </cfRule>
  </conditionalFormatting>
  <conditionalFormatting sqref="E15">
    <cfRule type="containsText" dxfId="27" priority="29" operator="containsText" text="SI">
      <formula>NOT(ISERROR(SEARCH("SI",E15)))</formula>
    </cfRule>
    <cfRule type="containsText" dxfId="26" priority="30" operator="containsText" text="NO">
      <formula>NOT(ISERROR(SEARCH("NO",E15)))</formula>
    </cfRule>
  </conditionalFormatting>
  <conditionalFormatting sqref="F15">
    <cfRule type="containsText" dxfId="25" priority="27" operator="containsText" text="SI">
      <formula>NOT(ISERROR(SEARCH("SI",F15)))</formula>
    </cfRule>
    <cfRule type="containsText" dxfId="24" priority="28" operator="containsText" text="NO">
      <formula>NOT(ISERROR(SEARCH("NO",F15)))</formula>
    </cfRule>
  </conditionalFormatting>
  <conditionalFormatting sqref="E12:F12">
    <cfRule type="containsText" dxfId="23" priority="25" operator="containsText" text="SI">
      <formula>NOT(ISERROR(SEARCH("SI",E12)))</formula>
    </cfRule>
    <cfRule type="containsText" dxfId="22" priority="26" operator="containsText" text="NO">
      <formula>NOT(ISERROR(SEARCH("NO",E12)))</formula>
    </cfRule>
  </conditionalFormatting>
  <conditionalFormatting sqref="L69:M78">
    <cfRule type="cellIs" dxfId="21" priority="21" operator="greaterThan">
      <formula>0</formula>
    </cfRule>
    <cfRule type="cellIs" dxfId="20" priority="22" operator="lessThan">
      <formula>0</formula>
    </cfRule>
  </conditionalFormatting>
  <conditionalFormatting sqref="S69:T69">
    <cfRule type="cellIs" dxfId="19" priority="19" operator="greaterThan">
      <formula>0</formula>
    </cfRule>
    <cfRule type="cellIs" dxfId="18" priority="20" operator="lessThan">
      <formula>0</formula>
    </cfRule>
  </conditionalFormatting>
  <conditionalFormatting sqref="S70:T70">
    <cfRule type="cellIs" dxfId="17" priority="17" operator="greaterThan">
      <formula>0</formula>
    </cfRule>
    <cfRule type="cellIs" dxfId="16" priority="18" operator="lessThan">
      <formula>0</formula>
    </cfRule>
  </conditionalFormatting>
  <conditionalFormatting sqref="S71:T71">
    <cfRule type="cellIs" dxfId="15" priority="15" operator="greaterThan">
      <formula>0</formula>
    </cfRule>
    <cfRule type="cellIs" dxfId="14" priority="16" operator="lessThan">
      <formula>0</formula>
    </cfRule>
  </conditionalFormatting>
  <conditionalFormatting sqref="S75:T75">
    <cfRule type="cellIs" dxfId="13" priority="13" operator="lessThan">
      <formula>0</formula>
    </cfRule>
    <cfRule type="cellIs" dxfId="12" priority="14" operator="greaterThan">
      <formula>0</formula>
    </cfRule>
  </conditionalFormatting>
  <conditionalFormatting sqref="S76:T76">
    <cfRule type="cellIs" dxfId="11" priority="11" operator="lessThan">
      <formula>0</formula>
    </cfRule>
    <cfRule type="cellIs" dxfId="10" priority="12" operator="greaterThan">
      <formula>0</formula>
    </cfRule>
  </conditionalFormatting>
  <conditionalFormatting sqref="S77:T77">
    <cfRule type="cellIs" dxfId="9" priority="9" operator="lessThan">
      <formula>0</formula>
    </cfRule>
    <cfRule type="cellIs" dxfId="8" priority="10" operator="greaterThan">
      <formula>0</formula>
    </cfRule>
  </conditionalFormatting>
  <conditionalFormatting sqref="S78:T78">
    <cfRule type="cellIs" dxfId="7" priority="7" operator="lessThan">
      <formula>0</formula>
    </cfRule>
    <cfRule type="cellIs" dxfId="6" priority="8" operator="greaterThan">
      <formula>0</formula>
    </cfRule>
  </conditionalFormatting>
  <conditionalFormatting sqref="S72:T72">
    <cfRule type="cellIs" dxfId="5" priority="5" operator="greaterThan">
      <formula>0</formula>
    </cfRule>
    <cfRule type="cellIs" dxfId="4" priority="6" operator="lessThan">
      <formula>0</formula>
    </cfRule>
  </conditionalFormatting>
  <conditionalFormatting sqref="S74:T74">
    <cfRule type="cellIs" dxfId="3" priority="3" operator="lessThan">
      <formula>0</formula>
    </cfRule>
    <cfRule type="cellIs" dxfId="2" priority="4" operator="greaterThan">
      <formula>0</formula>
    </cfRule>
  </conditionalFormatting>
  <conditionalFormatting sqref="S73:T73">
    <cfRule type="cellIs" dxfId="1" priority="1" operator="lessThan">
      <formula>0</formula>
    </cfRule>
    <cfRule type="cellIs" dxfId="0" priority="2" operator="greater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0405-E477-44E1-80A5-188E266FA182}">
  <sheetPr codeName="Sheet5"/>
  <dimension ref="A1:AN76"/>
  <sheetViews>
    <sheetView zoomScaleNormal="100" workbookViewId="0">
      <selection activeCell="C3" sqref="C3:F3"/>
    </sheetView>
  </sheetViews>
  <sheetFormatPr baseColWidth="10" defaultColWidth="8.81640625" defaultRowHeight="14"/>
  <cols>
    <col min="1" max="1" width="8.81640625" style="2"/>
    <col min="2" max="2" width="2.453125" style="2" customWidth="1"/>
    <col min="3" max="3" width="51" style="3" bestFit="1" customWidth="1"/>
    <col min="4" max="4" width="7.36328125" style="3" customWidth="1"/>
    <col min="5" max="5" width="11.453125" style="3" bestFit="1" customWidth="1"/>
    <col min="6" max="6" width="9.1796875" style="3" bestFit="1" customWidth="1"/>
    <col min="7" max="7" width="2.453125" style="3" customWidth="1"/>
    <col min="8" max="40" width="8.81640625" style="2"/>
    <col min="41" max="16384" width="8.81640625" style="3"/>
  </cols>
  <sheetData>
    <row r="1" spans="2:7" ht="14.5" thickBot="1">
      <c r="D1" s="2"/>
      <c r="E1" s="2"/>
      <c r="F1" s="2"/>
      <c r="G1" s="2"/>
    </row>
    <row r="2" spans="2:7" ht="14.5" thickBot="1">
      <c r="B2" s="36"/>
      <c r="C2" s="37"/>
      <c r="D2" s="37"/>
      <c r="E2" s="37"/>
      <c r="F2" s="37"/>
      <c r="G2" s="38"/>
    </row>
    <row r="3" spans="2:7" ht="25.5" thickBot="1">
      <c r="B3" s="39"/>
      <c r="C3" s="208" t="s">
        <v>58</v>
      </c>
      <c r="D3" s="209"/>
      <c r="E3" s="209"/>
      <c r="F3" s="210"/>
      <c r="G3" s="40"/>
    </row>
    <row r="4" spans="2:7">
      <c r="B4" s="39"/>
      <c r="C4" s="15"/>
      <c r="D4" s="15"/>
      <c r="E4" s="15"/>
      <c r="F4" s="15"/>
      <c r="G4" s="40"/>
    </row>
    <row r="5" spans="2:7">
      <c r="B5" s="39"/>
      <c r="C5" s="118" t="s">
        <v>68</v>
      </c>
      <c r="D5" s="17"/>
      <c r="E5" s="15"/>
      <c r="F5" s="15"/>
      <c r="G5" s="40"/>
    </row>
    <row r="6" spans="2:7" ht="15.75" customHeight="1">
      <c r="B6" s="39"/>
      <c r="C6" s="48" t="s">
        <v>152</v>
      </c>
      <c r="D6" s="49">
        <f>101.3-0.01152*Entradas!D8+0.000000544*Entradas!D8^2</f>
        <v>68.420639999999992</v>
      </c>
      <c r="E6" s="15"/>
      <c r="F6" s="15"/>
      <c r="G6" s="40"/>
    </row>
    <row r="7" spans="2:7">
      <c r="B7" s="39"/>
      <c r="C7" s="50" t="s">
        <v>0</v>
      </c>
      <c r="D7" s="49">
        <f>0.00000076*Entradas!D9^4+0.00607*Entradas!D9^2-14.639</f>
        <v>-13.5074990525</v>
      </c>
      <c r="E7" s="15"/>
      <c r="F7" s="15"/>
      <c r="G7" s="40"/>
    </row>
    <row r="8" spans="2:7">
      <c r="B8" s="39"/>
      <c r="C8" s="50" t="s">
        <v>1</v>
      </c>
      <c r="D8" s="49">
        <f>-0.0000383*Entradas!D9^3+0.805*Entradas!D9</f>
        <v>-10.773267637500002</v>
      </c>
      <c r="E8" s="15"/>
      <c r="F8" s="15"/>
      <c r="G8" s="40"/>
    </row>
    <row r="9" spans="2:7">
      <c r="B9" s="39"/>
      <c r="C9" s="50" t="s">
        <v>4</v>
      </c>
      <c r="D9" s="49">
        <f>-0.0042*Entradas!D9^2+29.913</f>
        <v>29.147549999999999</v>
      </c>
      <c r="E9" s="15"/>
      <c r="F9" s="15"/>
      <c r="G9" s="40"/>
    </row>
    <row r="10" spans="2:7">
      <c r="B10" s="39"/>
      <c r="C10" s="15"/>
      <c r="D10" s="15"/>
      <c r="E10" s="15"/>
      <c r="F10" s="15"/>
      <c r="G10" s="40"/>
    </row>
    <row r="11" spans="2:7">
      <c r="B11" s="39"/>
      <c r="C11" s="118" t="s">
        <v>67</v>
      </c>
      <c r="D11" s="17"/>
      <c r="E11" s="15"/>
      <c r="F11" s="15"/>
      <c r="G11" s="40"/>
    </row>
    <row r="12" spans="2:7">
      <c r="B12" s="39"/>
      <c r="C12" s="50" t="s">
        <v>153</v>
      </c>
      <c r="D12" s="49">
        <f>Entradas!D34</f>
        <v>0.5</v>
      </c>
      <c r="E12" s="15"/>
      <c r="F12" s="15"/>
      <c r="G12" s="40"/>
    </row>
    <row r="13" spans="2:7">
      <c r="B13" s="39"/>
      <c r="C13" s="50" t="s">
        <v>154</v>
      </c>
      <c r="D13" s="49">
        <f>Entradas!D13*Entradas!D14</f>
        <v>48.75</v>
      </c>
      <c r="E13" s="15"/>
      <c r="F13" s="15"/>
      <c r="G13" s="40"/>
    </row>
    <row r="14" spans="2:7">
      <c r="B14" s="39"/>
      <c r="C14" s="50" t="s">
        <v>155</v>
      </c>
      <c r="D14" s="49">
        <f>Entradas!D13*Entradas!D15</f>
        <v>11.25</v>
      </c>
      <c r="E14" s="15"/>
      <c r="F14" s="15"/>
      <c r="G14" s="40"/>
    </row>
    <row r="15" spans="2:7">
      <c r="B15" s="39"/>
      <c r="C15" s="15"/>
      <c r="D15" s="15"/>
      <c r="E15" s="15"/>
      <c r="F15" s="15"/>
      <c r="G15" s="40"/>
    </row>
    <row r="16" spans="2:7">
      <c r="B16" s="39"/>
      <c r="C16" s="118" t="s">
        <v>35</v>
      </c>
      <c r="D16" s="17" t="s">
        <v>105</v>
      </c>
      <c r="E16" s="17" t="s">
        <v>333</v>
      </c>
      <c r="F16" s="17" t="s">
        <v>334</v>
      </c>
      <c r="G16" s="40"/>
    </row>
    <row r="17" spans="2:7">
      <c r="B17" s="39"/>
      <c r="C17" s="131" t="s">
        <v>156</v>
      </c>
      <c r="D17" s="49">
        <f>IF(Escenarios!D23&lt;3,0.35*EXP(0.35*Escenarios!D23),1)</f>
        <v>0.50988395187530311</v>
      </c>
      <c r="E17" s="49">
        <f>IF(Escenarios!E23&lt;3,0.35*EXP(0.35*Escenarios!E23),1)</f>
        <v>0.4889123130521032</v>
      </c>
      <c r="F17" s="49">
        <f>IF(Escenarios!F23&lt;3,0.35*EXP(0.35*Escenarios!F23),1)</f>
        <v>0.57031175760904584</v>
      </c>
      <c r="G17" s="40"/>
    </row>
    <row r="18" spans="2:7">
      <c r="B18" s="39"/>
      <c r="C18" s="50" t="s">
        <v>157</v>
      </c>
      <c r="D18" s="49">
        <f>25400/Escenarios!D22-254</f>
        <v>72.8983268983269</v>
      </c>
      <c r="E18" s="49">
        <f>25400/Escenarios!E22-254</f>
        <v>118.9809104258444</v>
      </c>
      <c r="F18" s="49">
        <f>25400/Escenarios!F22-254</f>
        <v>219.52721849366145</v>
      </c>
      <c r="G18" s="40"/>
    </row>
    <row r="19" spans="2:7">
      <c r="B19" s="39"/>
      <c r="C19" s="50" t="s">
        <v>158</v>
      </c>
      <c r="D19" s="49">
        <f>Escenarios!D25</f>
        <v>0.16600000000000001</v>
      </c>
      <c r="E19" s="49">
        <f>Escenarios!E25</f>
        <v>0.14560000000000003</v>
      </c>
      <c r="F19" s="49">
        <f>Escenarios!F25</f>
        <v>0.1278</v>
      </c>
      <c r="G19" s="40"/>
    </row>
    <row r="20" spans="2:7">
      <c r="B20" s="39"/>
      <c r="C20" s="15"/>
      <c r="D20" s="15"/>
      <c r="E20" s="15"/>
      <c r="F20" s="15"/>
      <c r="G20" s="40"/>
    </row>
    <row r="21" spans="2:7">
      <c r="B21" s="39"/>
      <c r="C21" s="118" t="s">
        <v>77</v>
      </c>
      <c r="D21" s="17"/>
      <c r="E21" s="17" t="s">
        <v>333</v>
      </c>
      <c r="F21" s="17" t="s">
        <v>334</v>
      </c>
      <c r="G21" s="40"/>
    </row>
    <row r="22" spans="2:7" ht="16">
      <c r="B22" s="39"/>
      <c r="C22" s="50" t="s">
        <v>159</v>
      </c>
      <c r="D22" s="49">
        <f>LN(2)/Entradas!D17</f>
        <v>3.4657359027997263E-2</v>
      </c>
      <c r="E22" s="15"/>
      <c r="F22" s="15"/>
      <c r="G22" s="40"/>
    </row>
    <row r="23" spans="2:7" ht="16">
      <c r="B23" s="39"/>
      <c r="C23" s="50" t="s">
        <v>160</v>
      </c>
      <c r="D23" s="49">
        <f>LN(2)/Entradas!D18</f>
        <v>9.9021025794277899E-3</v>
      </c>
      <c r="E23" s="15"/>
      <c r="F23" s="15"/>
      <c r="G23" s="40"/>
    </row>
    <row r="24" spans="2:7" ht="16">
      <c r="B24" s="39"/>
      <c r="C24" s="50" t="s">
        <v>228</v>
      </c>
      <c r="D24" s="49">
        <f>LN(2)/Entradas!D21</f>
        <v>1.5403270679109895E-2</v>
      </c>
      <c r="E24" s="15"/>
      <c r="F24" s="15"/>
      <c r="G24" s="40"/>
    </row>
    <row r="25" spans="2:7">
      <c r="B25" s="39"/>
      <c r="C25" s="15"/>
      <c r="D25" s="15"/>
      <c r="E25" s="15"/>
      <c r="F25" s="15"/>
      <c r="G25" s="40"/>
    </row>
    <row r="26" spans="2:7">
      <c r="B26" s="39"/>
      <c r="C26" s="118" t="s">
        <v>335</v>
      </c>
      <c r="D26" s="32"/>
      <c r="E26" s="17" t="s">
        <v>333</v>
      </c>
      <c r="F26" s="17" t="s">
        <v>334</v>
      </c>
      <c r="G26" s="40"/>
    </row>
    <row r="27" spans="2:7">
      <c r="B27" s="39"/>
      <c r="C27" s="50" t="s">
        <v>336</v>
      </c>
      <c r="D27" s="32"/>
      <c r="E27" s="49">
        <f>IF(E30=0,0,Entradas!E$65)/100</f>
        <v>0.2</v>
      </c>
      <c r="F27" s="49">
        <f>IF(F30=0,0,Entradas!F$65)/100</f>
        <v>0</v>
      </c>
      <c r="G27" s="40"/>
    </row>
    <row r="28" spans="2:7" ht="16">
      <c r="B28" s="39"/>
      <c r="C28" s="50" t="s">
        <v>337</v>
      </c>
      <c r="D28" s="32"/>
      <c r="E28" s="49">
        <f>Escenarios!E$11*10000/Entradas!E$64</f>
        <v>50000</v>
      </c>
      <c r="F28" s="49">
        <f>Escenarios!F$11*10000/Entradas!F$64</f>
        <v>0</v>
      </c>
      <c r="G28" s="40"/>
    </row>
    <row r="29" spans="2:7" ht="17.5">
      <c r="B29" s="39"/>
      <c r="C29" s="50" t="s">
        <v>338</v>
      </c>
      <c r="D29" s="32"/>
      <c r="E29" s="49">
        <f>E27*E28</f>
        <v>10000</v>
      </c>
      <c r="F29" s="49">
        <f>F27*F28</f>
        <v>0</v>
      </c>
      <c r="G29" s="40"/>
    </row>
    <row r="30" spans="2:7" ht="17.5">
      <c r="B30" s="39"/>
      <c r="C30" s="50" t="s">
        <v>339</v>
      </c>
      <c r="D30" s="32"/>
      <c r="E30" s="49">
        <f>IF(Entradas!E$65&gt;0,Escenarios!E$11*10000/(Entradas!E$64+Entradas!E$65/100)*Entradas!E$67/100*(Entradas!E$65/100+Entradas!E$66/100)/2,0)</f>
        <v>1286.7647058823529</v>
      </c>
      <c r="F30" s="49">
        <f>IF(Entradas!F$65&gt;0,Escenarios!F$11*10000/(Entradas!F$64+Entradas!F$65/100)*Entradas!F$67/100*(Entradas!F$65/100+Entradas!F$66/100)/2,0)</f>
        <v>0</v>
      </c>
      <c r="G30" s="40"/>
    </row>
    <row r="31" spans="2:7">
      <c r="B31" s="39"/>
      <c r="C31" s="32"/>
      <c r="D31" s="32"/>
      <c r="E31" s="32"/>
      <c r="F31" s="32"/>
      <c r="G31" s="40"/>
    </row>
    <row r="32" spans="2:7">
      <c r="B32" s="39"/>
      <c r="C32" s="118" t="s">
        <v>438</v>
      </c>
      <c r="D32" s="32"/>
      <c r="E32" s="17" t="s">
        <v>333</v>
      </c>
      <c r="F32" s="17" t="s">
        <v>334</v>
      </c>
      <c r="G32" s="40"/>
    </row>
    <row r="33" spans="2:7" ht="16">
      <c r="B33" s="39"/>
      <c r="C33" s="50" t="s">
        <v>372</v>
      </c>
      <c r="D33" s="32"/>
      <c r="E33" s="49">
        <f>1000*Entradas!E$76+0.5*Entradas!$D$13</f>
        <v>225</v>
      </c>
      <c r="F33" s="49">
        <f>1000*Entradas!F$76+0.5*Entradas!$D$13</f>
        <v>375</v>
      </c>
      <c r="G33" s="40"/>
    </row>
    <row r="34" spans="2:7" ht="16">
      <c r="B34" s="39"/>
      <c r="C34" s="50" t="s">
        <v>373</v>
      </c>
      <c r="D34" s="32"/>
      <c r="E34" s="49">
        <f>Entradas!$D$13*Entradas!E79</f>
        <v>58.5</v>
      </c>
      <c r="F34" s="49">
        <f>Entradas!$D$13*Entradas!F79</f>
        <v>58.5</v>
      </c>
      <c r="G34" s="40"/>
    </row>
    <row r="35" spans="2:7" ht="16">
      <c r="B35" s="39"/>
      <c r="C35" s="50" t="s">
        <v>374</v>
      </c>
      <c r="D35" s="32"/>
      <c r="E35" s="49">
        <f>Entradas!$D$13*Entradas!E80</f>
        <v>41.25</v>
      </c>
      <c r="F35" s="49">
        <f>Entradas!$D$13*Entradas!F80</f>
        <v>41.25</v>
      </c>
      <c r="G35" s="40"/>
    </row>
    <row r="36" spans="2:7" ht="17.5">
      <c r="B36" s="39"/>
      <c r="C36" s="50" t="s">
        <v>375</v>
      </c>
      <c r="D36" s="32"/>
      <c r="E36" s="49">
        <f>-Entradas!E$77*Constantes!E34^2</f>
        <v>-10266.75</v>
      </c>
      <c r="F36" s="49">
        <f>-Entradas!F$77*Constantes!F34^2</f>
        <v>-10266.75</v>
      </c>
      <c r="G36" s="40"/>
    </row>
    <row r="37" spans="2:7">
      <c r="B37" s="39"/>
      <c r="C37" s="32"/>
      <c r="D37" s="32"/>
      <c r="E37" s="32"/>
      <c r="F37" s="32"/>
      <c r="G37" s="40"/>
    </row>
    <row r="38" spans="2:7">
      <c r="B38" s="39"/>
      <c r="C38" s="118" t="s">
        <v>408</v>
      </c>
      <c r="D38" s="32"/>
      <c r="E38" s="17" t="s">
        <v>333</v>
      </c>
      <c r="F38" s="17" t="s">
        <v>334</v>
      </c>
      <c r="G38" s="40"/>
    </row>
    <row r="39" spans="2:7" ht="17.5">
      <c r="B39" s="39"/>
      <c r="C39" s="50" t="s">
        <v>410</v>
      </c>
      <c r="D39" s="32"/>
      <c r="E39" s="49">
        <f>0.001*Entradas!E$110*Escenarios!E$17</f>
        <v>80</v>
      </c>
      <c r="F39" s="49">
        <f>0.001*Entradas!F$110*Escenarios!F$17</f>
        <v>0</v>
      </c>
      <c r="G39" s="40"/>
    </row>
    <row r="40" spans="2:7" ht="17.5">
      <c r="B40" s="39"/>
      <c r="C40" s="50" t="s">
        <v>411</v>
      </c>
      <c r="D40" s="32"/>
      <c r="E40" s="49">
        <f>Escenarios!E$17*Entradas!E$109/3</f>
        <v>6666.666666666667</v>
      </c>
      <c r="F40" s="49">
        <f>Escenarios!F$17*Entradas!F$109/3</f>
        <v>0</v>
      </c>
      <c r="G40" s="40"/>
    </row>
    <row r="41" spans="2:7">
      <c r="B41" s="39"/>
      <c r="C41" s="32"/>
      <c r="D41" s="32"/>
      <c r="E41" s="32"/>
      <c r="F41" s="32"/>
      <c r="G41" s="40"/>
    </row>
    <row r="42" spans="2:7" s="2" customFormat="1">
      <c r="B42" s="39"/>
      <c r="C42" s="118" t="s">
        <v>376</v>
      </c>
      <c r="D42" s="32"/>
      <c r="E42" s="17" t="s">
        <v>333</v>
      </c>
      <c r="F42" s="17" t="s">
        <v>334</v>
      </c>
      <c r="G42" s="40"/>
    </row>
    <row r="43" spans="2:7" s="2" customFormat="1" ht="16.5">
      <c r="B43" s="39"/>
      <c r="C43" s="50" t="s">
        <v>377</v>
      </c>
      <c r="D43" s="32"/>
      <c r="E43" s="49">
        <f>10000*Escenarios!E$13*Entradas!E$83/PI()</f>
        <v>0</v>
      </c>
      <c r="F43" s="49">
        <f>10000*Escenarios!F$13*Entradas!F$83/PI()</f>
        <v>0</v>
      </c>
      <c r="G43" s="40"/>
    </row>
    <row r="44" spans="2:7" s="2" customFormat="1" ht="17.5">
      <c r="B44" s="39"/>
      <c r="C44" s="50" t="s">
        <v>378</v>
      </c>
      <c r="D44" s="32"/>
      <c r="E44" s="49">
        <f>10*Entradas!$D$26/(Entradas!$D$25)</f>
        <v>2333.3333333333335</v>
      </c>
      <c r="F44" s="49">
        <f>10*Entradas!$D$26/(Entradas!$D$25)</f>
        <v>2333.3333333333335</v>
      </c>
      <c r="G44" s="40"/>
    </row>
    <row r="45" spans="2:7" s="2" customFormat="1" ht="16.5">
      <c r="B45" s="39"/>
      <c r="C45" s="50" t="s">
        <v>379</v>
      </c>
      <c r="D45" s="32"/>
      <c r="E45" s="49">
        <f>MAX(E43:E44)</f>
        <v>2333.3333333333335</v>
      </c>
      <c r="F45" s="49">
        <f>MAX(F43:F44)</f>
        <v>2333.3333333333335</v>
      </c>
      <c r="G45" s="40"/>
    </row>
    <row r="46" spans="2:7" s="2" customFormat="1">
      <c r="B46" s="39"/>
      <c r="C46" s="15"/>
      <c r="D46" s="15"/>
      <c r="E46" s="15"/>
      <c r="F46" s="15"/>
      <c r="G46" s="40"/>
    </row>
    <row r="47" spans="2:7" s="2" customFormat="1">
      <c r="B47" s="39"/>
      <c r="C47" s="118" t="s">
        <v>34</v>
      </c>
      <c r="D47" s="17" t="s">
        <v>105</v>
      </c>
      <c r="E47" s="17" t="s">
        <v>333</v>
      </c>
      <c r="F47" s="17" t="s">
        <v>334</v>
      </c>
      <c r="G47" s="40"/>
    </row>
    <row r="48" spans="2:7" s="2" customFormat="1">
      <c r="B48" s="39"/>
      <c r="C48" s="50" t="s">
        <v>161</v>
      </c>
      <c r="D48" s="49">
        <f>Entradas!D16*Entradas!D35*0.1317</f>
        <v>0.1339389</v>
      </c>
      <c r="E48" s="15"/>
      <c r="F48" s="15"/>
      <c r="G48" s="40"/>
    </row>
    <row r="49" spans="2:7" s="2" customFormat="1">
      <c r="B49" s="39"/>
      <c r="C49" s="50" t="s">
        <v>162</v>
      </c>
      <c r="D49" s="49">
        <f>ATAN(Entradas!D10)</f>
        <v>9.9668652491162038E-2</v>
      </c>
      <c r="E49" s="15"/>
      <c r="F49" s="15"/>
      <c r="G49" s="40"/>
    </row>
    <row r="50" spans="2:7" s="2" customFormat="1">
      <c r="B50" s="39"/>
      <c r="C50" s="131" t="s">
        <v>163</v>
      </c>
      <c r="D50" s="49">
        <f>65.41*(SIN(D49))^2+4.56*SIN(D49)+0.065</f>
        <v>1.1663607211119928</v>
      </c>
      <c r="E50" s="15"/>
      <c r="F50" s="15"/>
      <c r="G50" s="40"/>
    </row>
    <row r="51" spans="2:7" s="2" customFormat="1">
      <c r="B51" s="39"/>
      <c r="C51" s="131" t="s">
        <v>164</v>
      </c>
      <c r="D51" s="120">
        <f>$D$48*$D$50*Escenarios!D24</f>
        <v>1.4059896479005239E-2</v>
      </c>
      <c r="E51" s="120">
        <f>$D$48*$D$50*Escenarios!E24</f>
        <v>1.2185243615137875E-2</v>
      </c>
      <c r="F51" s="120">
        <f>$D$48*$D$50*Escenarios!F24</f>
        <v>3.3743751549612571E-3</v>
      </c>
      <c r="G51" s="40"/>
    </row>
    <row r="52" spans="2:7" s="2" customFormat="1" ht="14.5" thickBot="1">
      <c r="B52" s="41"/>
      <c r="C52" s="42"/>
      <c r="D52" s="42"/>
      <c r="E52" s="42"/>
      <c r="F52" s="42"/>
      <c r="G52" s="43"/>
    </row>
    <row r="53" spans="2:7" s="2" customFormat="1"/>
    <row r="54" spans="2:7" s="2" customFormat="1"/>
    <row r="55" spans="2:7" s="2" customFormat="1"/>
    <row r="56" spans="2:7" s="2" customFormat="1"/>
    <row r="57" spans="2:7" s="2" customFormat="1"/>
    <row r="58" spans="2:7" s="2" customFormat="1"/>
    <row r="59" spans="2:7" s="2" customFormat="1"/>
    <row r="60" spans="2:7" s="2" customFormat="1"/>
    <row r="61" spans="2:7" s="2" customFormat="1"/>
    <row r="62" spans="2:7" s="2" customFormat="1"/>
    <row r="63" spans="2:7" s="2" customFormat="1"/>
    <row r="64" spans="2:7" s="2" customFormat="1"/>
    <row r="65" spans="3:7" s="2" customFormat="1"/>
    <row r="66" spans="3:7" s="2" customFormat="1"/>
    <row r="67" spans="3:7">
      <c r="C67" s="2"/>
      <c r="D67" s="2"/>
      <c r="E67" s="2"/>
      <c r="F67" s="2"/>
      <c r="G67" s="2"/>
    </row>
    <row r="68" spans="3:7">
      <c r="C68" s="2"/>
      <c r="D68" s="2"/>
      <c r="E68" s="2"/>
      <c r="F68" s="2"/>
      <c r="G68" s="2"/>
    </row>
    <row r="69" spans="3:7">
      <c r="C69" s="2"/>
      <c r="D69" s="2"/>
      <c r="E69" s="2"/>
      <c r="F69" s="2"/>
      <c r="G69" s="2"/>
    </row>
    <row r="70" spans="3:7">
      <c r="C70" s="2"/>
      <c r="D70" s="2"/>
      <c r="E70" s="2"/>
      <c r="F70" s="2"/>
      <c r="G70" s="2"/>
    </row>
    <row r="71" spans="3:7">
      <c r="C71" s="2"/>
      <c r="D71" s="2"/>
      <c r="E71" s="2"/>
      <c r="F71" s="2"/>
      <c r="G71" s="2"/>
    </row>
    <row r="72" spans="3:7">
      <c r="C72" s="2"/>
      <c r="D72" s="2"/>
      <c r="E72" s="2"/>
      <c r="F72" s="2"/>
      <c r="G72" s="2"/>
    </row>
    <row r="73" spans="3:7">
      <c r="C73" s="2"/>
      <c r="D73" s="2"/>
      <c r="E73" s="2"/>
      <c r="F73" s="2"/>
      <c r="G73" s="2"/>
    </row>
    <row r="74" spans="3:7">
      <c r="C74" s="2"/>
      <c r="D74" s="2"/>
      <c r="E74" s="2"/>
      <c r="F74" s="2"/>
      <c r="G74" s="2"/>
    </row>
    <row r="75" spans="3:7">
      <c r="C75" s="2"/>
      <c r="D75" s="2"/>
      <c r="E75" s="2"/>
      <c r="F75" s="2"/>
      <c r="G75" s="2"/>
    </row>
    <row r="76" spans="3:7">
      <c r="C76" s="2"/>
      <c r="D76" s="2"/>
      <c r="E76" s="2"/>
      <c r="F76" s="2"/>
      <c r="G76" s="2"/>
    </row>
  </sheetData>
  <sheetProtection sheet="1" objects="1" scenarios="1"/>
  <mergeCells count="1">
    <mergeCell ref="C3:F3"/>
  </mergeCell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7F9CE-8F2A-4099-A4EA-C32732BE1028}">
  <sheetPr codeName="Sheet6"/>
  <dimension ref="A1:BA865"/>
  <sheetViews>
    <sheetView zoomScaleNormal="100" workbookViewId="0">
      <selection activeCell="C3" sqref="C3:M3"/>
    </sheetView>
  </sheetViews>
  <sheetFormatPr baseColWidth="10" defaultColWidth="8.81640625" defaultRowHeight="14"/>
  <cols>
    <col min="1" max="1" width="8.81640625" style="2"/>
    <col min="2" max="2" width="2.453125" style="2" customWidth="1"/>
    <col min="3" max="3" width="8.81640625" style="3"/>
    <col min="4" max="4" width="14.1796875" style="3" bestFit="1" customWidth="1"/>
    <col min="5" max="5" width="12.1796875" style="112" bestFit="1" customWidth="1"/>
    <col min="6" max="6" width="13.453125" style="112" bestFit="1" customWidth="1"/>
    <col min="7" max="7" width="16" style="112" bestFit="1" customWidth="1"/>
    <col min="8" max="8" width="13.453125" style="112" customWidth="1"/>
    <col min="9" max="9" width="14.1796875" style="112" customWidth="1"/>
    <col min="10" max="10" width="12.81640625" style="112" bestFit="1" customWidth="1"/>
    <col min="11" max="12" width="13.36328125" style="112" bestFit="1" customWidth="1"/>
    <col min="13" max="13" width="19.81640625" style="112" bestFit="1" customWidth="1"/>
    <col min="14" max="14" width="2.453125" style="2" customWidth="1"/>
    <col min="15" max="53" width="8.81640625" style="2"/>
    <col min="54" max="16384" width="8.81640625" style="3"/>
  </cols>
  <sheetData>
    <row r="1" spans="2:14" s="2" customFormat="1" ht="14.5" thickBot="1">
      <c r="E1" s="107"/>
      <c r="F1" s="107"/>
      <c r="G1" s="107"/>
      <c r="H1" s="107"/>
      <c r="I1" s="107"/>
      <c r="J1" s="107"/>
      <c r="K1" s="107"/>
      <c r="L1" s="107"/>
      <c r="M1" s="107"/>
    </row>
    <row r="2" spans="2:14" s="2" customFormat="1" ht="14.5" thickBot="1">
      <c r="B2" s="4"/>
      <c r="C2" s="5"/>
      <c r="D2" s="5"/>
      <c r="E2" s="139"/>
      <c r="F2" s="139"/>
      <c r="G2" s="139"/>
      <c r="H2" s="139"/>
      <c r="I2" s="139"/>
      <c r="J2" s="139"/>
      <c r="K2" s="139"/>
      <c r="L2" s="139"/>
      <c r="M2" s="139"/>
      <c r="N2" s="7"/>
    </row>
    <row r="3" spans="2:14" s="2" customFormat="1" ht="25.5" thickBot="1">
      <c r="B3" s="11"/>
      <c r="C3" s="208" t="s">
        <v>66</v>
      </c>
      <c r="D3" s="209"/>
      <c r="E3" s="209"/>
      <c r="F3" s="209"/>
      <c r="G3" s="209"/>
      <c r="H3" s="209"/>
      <c r="I3" s="209"/>
      <c r="J3" s="209"/>
      <c r="K3" s="209"/>
      <c r="L3" s="209"/>
      <c r="M3" s="210"/>
      <c r="N3" s="12"/>
    </row>
    <row r="4" spans="2:14" s="2" customFormat="1">
      <c r="B4" s="11"/>
      <c r="C4" s="15"/>
      <c r="D4" s="15"/>
      <c r="E4" s="109"/>
      <c r="F4" s="109"/>
      <c r="G4" s="109"/>
      <c r="H4" s="109"/>
      <c r="I4" s="109"/>
      <c r="J4" s="109"/>
      <c r="K4" s="109"/>
      <c r="L4" s="109"/>
      <c r="M4" s="109"/>
      <c r="N4" s="12"/>
    </row>
    <row r="5" spans="2:14" ht="98">
      <c r="B5" s="11"/>
      <c r="C5" s="129" t="s">
        <v>33</v>
      </c>
      <c r="D5" s="130" t="s">
        <v>143</v>
      </c>
      <c r="E5" s="133" t="s">
        <v>144</v>
      </c>
      <c r="F5" s="133" t="s">
        <v>145</v>
      </c>
      <c r="G5" s="133" t="s">
        <v>146</v>
      </c>
      <c r="H5" s="133" t="s">
        <v>147</v>
      </c>
      <c r="I5" s="133" t="s">
        <v>148</v>
      </c>
      <c r="J5" s="133" t="s">
        <v>149</v>
      </c>
      <c r="K5" s="133" t="s">
        <v>150</v>
      </c>
      <c r="L5" s="133" t="s">
        <v>151</v>
      </c>
      <c r="M5" s="133" t="s">
        <v>424</v>
      </c>
      <c r="N5" s="12"/>
    </row>
    <row r="6" spans="2:14">
      <c r="B6" s="11"/>
      <c r="C6" s="64">
        <v>1</v>
      </c>
      <c r="D6" s="64">
        <f>(Observaciones!D6+Observaciones!E6)/2</f>
        <v>13.9</v>
      </c>
      <c r="E6" s="140">
        <f>EXP((16.78*D6-116.9)/(D6+237.3))</f>
        <v>1.589063588132779</v>
      </c>
      <c r="F6" s="140">
        <f>4098*E6/((D6+237.3)^2)</f>
        <v>0.10319863673742037</v>
      </c>
      <c r="G6" s="140">
        <f>2.501-0.002361*D6</f>
        <v>2.4681820999999999</v>
      </c>
      <c r="H6" s="140">
        <f>0.001013*Constantes!$D$6/(0.622*G6)</f>
        <v>4.5147010147716632E-2</v>
      </c>
      <c r="I6" s="140">
        <f>IF(D6&gt;0,1.26*F6/(G6*(F6+H6)),0)</f>
        <v>0.35513420222442993</v>
      </c>
      <c r="J6" s="140">
        <f>0.409*SIN(2*PI()*(C6-82)/365)</f>
        <v>-0.4026497910516057</v>
      </c>
      <c r="K6" s="140">
        <f>(Constantes!$D$12/0.8)*(Constantes!$D$7*J6^2+Constantes!$D$8*J6+Constantes!$D$9)</f>
        <v>19.559672270770729</v>
      </c>
      <c r="L6" s="140">
        <f>(Constantes!$D$12/0.8)*(0.00376*D6^2-0.0516*D6-6.967)</f>
        <v>-4.3486064999999998</v>
      </c>
      <c r="M6" s="140">
        <f>IF(D6&gt;0,I6*(0.94*K6+L6),0)</f>
        <v>4.9851911910269076</v>
      </c>
      <c r="N6" s="12"/>
    </row>
    <row r="7" spans="2:14">
      <c r="B7" s="11"/>
      <c r="C7" s="65">
        <v>2</v>
      </c>
      <c r="D7" s="65">
        <f>(Observaciones!D7+Observaciones!E7)/2</f>
        <v>13.75</v>
      </c>
      <c r="E7" s="141">
        <f t="shared" ref="E7:E70" si="0">EXP((16.78*D7-116.9)/(D7+237.3))</f>
        <v>1.5736468149943981</v>
      </c>
      <c r="F7" s="141">
        <f>4098*E7/((D7+237.3)^2)</f>
        <v>0.10231958493462359</v>
      </c>
      <c r="G7" s="141">
        <f t="shared" ref="G7:G70" si="1">2.501-0.002361*D7</f>
        <v>2.4685362500000001</v>
      </c>
      <c r="H7" s="141">
        <f>0.001013*Constantes!$D$6/(0.622*G7)</f>
        <v>4.5140533105443567E-2</v>
      </c>
      <c r="I7" s="141">
        <f>IF(D7&gt;0,1.26*F7/(G7*(F7+H7)),0)</f>
        <v>0.35417281924860555</v>
      </c>
      <c r="J7" s="141">
        <f t="shared" ref="J7:J70" si="2">0.409*SIN(2*PI()*(C7-82)/365)</f>
        <v>-0.40135434634108819</v>
      </c>
      <c r="K7" s="141">
        <f>(Constantes!$D$12/0.8)*(Constantes!$D$7*J7^2+Constantes!$D$8*J7+Constantes!$D$9)</f>
        <v>19.559742562804303</v>
      </c>
      <c r="L7" s="141">
        <f>(Constantes!$D$12/0.8)*(0.00376*D7^2-0.0516*D7-6.967)</f>
        <v>-4.353515625</v>
      </c>
      <c r="M7" s="140">
        <f t="shared" ref="M7:M70" si="3">IF(D7&gt;0,I7*(0.94*K7+L7),0)</f>
        <v>4.9699805146615192</v>
      </c>
      <c r="N7" s="12"/>
    </row>
    <row r="8" spans="2:14">
      <c r="B8" s="11"/>
      <c r="C8" s="65">
        <v>3</v>
      </c>
      <c r="D8" s="65">
        <f>(Observaciones!D8+Observaciones!E8)/2</f>
        <v>14.55</v>
      </c>
      <c r="E8" s="141">
        <f t="shared" si="0"/>
        <v>1.6574115820276645</v>
      </c>
      <c r="F8" s="141">
        <f t="shared" ref="F8:F70" si="4">4098*E8/((D8+237.3)^2)</f>
        <v>0.10708247809803828</v>
      </c>
      <c r="G8" s="141">
        <f t="shared" si="1"/>
        <v>2.46664745</v>
      </c>
      <c r="H8" s="141">
        <f>0.001013*Constantes!$D$6/(0.622*G8)</f>
        <v>4.5175098822943884E-2</v>
      </c>
      <c r="I8" s="141">
        <f t="shared" ref="I8:I70" si="5">IF(D8&gt;0,1.26*F8/(G8*(F8+H8)),0)</f>
        <v>0.35925511691610273</v>
      </c>
      <c r="J8" s="141">
        <f t="shared" si="2"/>
        <v>-0.39993997167581363</v>
      </c>
      <c r="K8" s="141">
        <f>(Constantes!$D$12/0.8)*(Constantes!$D$7*J8^2+Constantes!$D$8*J8+Constantes!$D$9)</f>
        <v>19.55978695171903</v>
      </c>
      <c r="L8" s="141">
        <f>(Constantes!$D$12/0.8)*(0.00376*D8^2-0.0516*D8-6.967)</f>
        <v>-4.3261116249999993</v>
      </c>
      <c r="M8" s="140">
        <f t="shared" si="3"/>
        <v>5.0511585976707609</v>
      </c>
      <c r="N8" s="12"/>
    </row>
    <row r="9" spans="2:14">
      <c r="B9" s="11"/>
      <c r="C9" s="65">
        <v>4</v>
      </c>
      <c r="D9" s="65">
        <f>(Observaciones!D9+Observaciones!E9)/2</f>
        <v>14.2</v>
      </c>
      <c r="E9" s="141">
        <f t="shared" si="0"/>
        <v>1.6202951919544792</v>
      </c>
      <c r="F9" s="141">
        <f t="shared" si="4"/>
        <v>0.10497602372452294</v>
      </c>
      <c r="G9" s="141">
        <f t="shared" si="1"/>
        <v>2.4674738000000001</v>
      </c>
      <c r="H9" s="141">
        <f>0.001013*Constantes!$D$6/(0.622*G9)</f>
        <v>4.5159969810059396E-2</v>
      </c>
      <c r="I9" s="141">
        <f t="shared" si="5"/>
        <v>0.3570452760428372</v>
      </c>
      <c r="J9" s="141">
        <f t="shared" si="2"/>
        <v>-0.39840708616551995</v>
      </c>
      <c r="K9" s="141">
        <f>(Constantes!$D$12/0.8)*(Constantes!$D$7*J9^2+Constantes!$D$8*J9+Constantes!$D$9)</f>
        <v>19.559796919776371</v>
      </c>
      <c r="L9" s="141">
        <f>(Constantes!$D$12/0.8)*(0.00376*D9^2-0.0516*D9-6.967)</f>
        <v>-4.3384710000000002</v>
      </c>
      <c r="M9" s="140">
        <f t="shared" si="3"/>
        <v>5.015678529330744</v>
      </c>
      <c r="N9" s="12"/>
    </row>
    <row r="10" spans="2:14">
      <c r="B10" s="11"/>
      <c r="C10" s="65">
        <v>5</v>
      </c>
      <c r="D10" s="65">
        <f>(Observaciones!D10+Observaciones!E10)/2</f>
        <v>13.75</v>
      </c>
      <c r="E10" s="141">
        <f t="shared" si="0"/>
        <v>1.5736468149943981</v>
      </c>
      <c r="F10" s="141">
        <f t="shared" si="4"/>
        <v>0.10231958493462359</v>
      </c>
      <c r="G10" s="141">
        <f t="shared" si="1"/>
        <v>2.4685362500000001</v>
      </c>
      <c r="H10" s="141">
        <f>0.001013*Constantes!$D$6/(0.622*G10)</f>
        <v>4.5140533105443567E-2</v>
      </c>
      <c r="I10" s="141">
        <f t="shared" si="5"/>
        <v>0.35417281924860555</v>
      </c>
      <c r="J10" s="141">
        <f t="shared" si="2"/>
        <v>-0.39675614403726639</v>
      </c>
      <c r="K10" s="141">
        <f>(Constantes!$D$12/0.8)*(Constantes!$D$7*J10^2+Constantes!$D$8*J10+Constantes!$D$9)</f>
        <v>19.55976328073784</v>
      </c>
      <c r="L10" s="141">
        <f>(Constantes!$D$12/0.8)*(0.00376*D10^2-0.0516*D10-6.967)</f>
        <v>-4.353515625</v>
      </c>
      <c r="M10" s="140">
        <f t="shared" si="3"/>
        <v>4.9699874121267129</v>
      </c>
      <c r="N10" s="12"/>
    </row>
    <row r="11" spans="2:14">
      <c r="B11" s="11"/>
      <c r="C11" s="65">
        <v>6</v>
      </c>
      <c r="D11" s="65">
        <f>(Observaciones!D11+Observaciones!E11)/2</f>
        <v>13.45</v>
      </c>
      <c r="E11" s="141">
        <f t="shared" si="0"/>
        <v>1.5432065279848868</v>
      </c>
      <c r="F11" s="141">
        <f t="shared" si="4"/>
        <v>0.1005805769400801</v>
      </c>
      <c r="G11" s="141">
        <f t="shared" si="1"/>
        <v>2.46924455</v>
      </c>
      <c r="H11" s="141">
        <f>0.001013*Constantes!$D$6/(0.622*G11)</f>
        <v>4.5127584594694167E-2</v>
      </c>
      <c r="I11" s="141">
        <f t="shared" si="5"/>
        <v>0.35223838816895903</v>
      </c>
      <c r="J11" s="141">
        <f t="shared" si="2"/>
        <v>-0.39498763450083563</v>
      </c>
      <c r="K11" s="141">
        <f>(Constantes!$D$12/0.8)*(Constantes!$D$7*J11^2+Constantes!$D$8*J11+Constantes!$D$9)</f>
        <v>19.559676193471102</v>
      </c>
      <c r="L11" s="141">
        <f>(Constantes!$D$12/0.8)*(0.00376*D11^2-0.0516*D11-6.967)</f>
        <v>-4.3630166249999993</v>
      </c>
      <c r="M11" s="140">
        <f t="shared" si="3"/>
        <v>4.9394667430209482</v>
      </c>
      <c r="N11" s="12"/>
    </row>
    <row r="12" spans="2:14">
      <c r="B12" s="11"/>
      <c r="C12" s="65">
        <v>7</v>
      </c>
      <c r="D12" s="65">
        <f>(Observaciones!D12+Observaciones!E12)/2</f>
        <v>13.8</v>
      </c>
      <c r="E12" s="141">
        <f t="shared" si="0"/>
        <v>1.5787710916071758</v>
      </c>
      <c r="F12" s="141">
        <f t="shared" si="4"/>
        <v>0.10261189172112961</v>
      </c>
      <c r="G12" s="141">
        <f t="shared" si="1"/>
        <v>2.4684181999999999</v>
      </c>
      <c r="H12" s="141">
        <f>0.001013*Constantes!$D$6/(0.622*G12)</f>
        <v>4.5142691913028568E-2</v>
      </c>
      <c r="I12" s="141">
        <f t="shared" si="5"/>
        <v>0.35449371277278185</v>
      </c>
      <c r="J12" s="141">
        <f t="shared" si="2"/>
        <v>-0.39310208160377097</v>
      </c>
      <c r="K12" s="141">
        <f>(Constantes!$D$12/0.8)*(Constantes!$D$7*J12^2+Constantes!$D$8*J12+Constantes!$D$9)</f>
        <v>19.559525176541626</v>
      </c>
      <c r="L12" s="141">
        <f>(Constantes!$D$12/0.8)*(0.00376*D12^2-0.0516*D12-6.967)</f>
        <v>-4.3518910000000002</v>
      </c>
      <c r="M12" s="140">
        <f t="shared" si="3"/>
        <v>4.9749869797381914</v>
      </c>
      <c r="N12" s="12"/>
    </row>
    <row r="13" spans="2:14">
      <c r="B13" s="11"/>
      <c r="C13" s="65">
        <v>8</v>
      </c>
      <c r="D13" s="65">
        <f>(Observaciones!D13+Observaciones!E13)/2</f>
        <v>14.2</v>
      </c>
      <c r="E13" s="141">
        <f t="shared" si="0"/>
        <v>1.6202951919544792</v>
      </c>
      <c r="F13" s="141">
        <f t="shared" si="4"/>
        <v>0.10497602372452294</v>
      </c>
      <c r="G13" s="141">
        <f t="shared" si="1"/>
        <v>2.4674738000000001</v>
      </c>
      <c r="H13" s="141">
        <f>0.001013*Constantes!$D$6/(0.622*G13)</f>
        <v>4.5159969810059396E-2</v>
      </c>
      <c r="I13" s="141">
        <f t="shared" si="5"/>
        <v>0.3570452760428372</v>
      </c>
      <c r="J13" s="141">
        <f t="shared" si="2"/>
        <v>-0.39110004407608939</v>
      </c>
      <c r="K13" s="141">
        <f>(Constantes!$D$12/0.8)*(Constantes!$D$7*J13^2+Constantes!$D$8*J13+Constantes!$D$9)</f>
        <v>19.559299123771726</v>
      </c>
      <c r="L13" s="141">
        <f>(Constantes!$D$12/0.8)*(0.00376*D13^2-0.0516*D13-6.967)</f>
        <v>-4.3384710000000002</v>
      </c>
      <c r="M13" s="140">
        <f t="shared" si="3"/>
        <v>5.0155114577615656</v>
      </c>
      <c r="N13" s="12"/>
    </row>
    <row r="14" spans="2:14">
      <c r="B14" s="11"/>
      <c r="C14" s="65">
        <v>9</v>
      </c>
      <c r="D14" s="65">
        <f>(Observaciones!D14+Observaciones!E14)/2</f>
        <v>14.1</v>
      </c>
      <c r="E14" s="141">
        <f t="shared" si="0"/>
        <v>1.6098253520131185</v>
      </c>
      <c r="F14" s="141">
        <f t="shared" si="4"/>
        <v>0.10438069155687195</v>
      </c>
      <c r="G14" s="141">
        <f t="shared" si="1"/>
        <v>2.4677099</v>
      </c>
      <c r="H14" s="141">
        <f>0.001013*Constantes!$D$6/(0.622*G14)</f>
        <v>4.5155649095994843E-2</v>
      </c>
      <c r="I14" s="141">
        <f t="shared" si="5"/>
        <v>0.35640998531823892</v>
      </c>
      <c r="J14" s="141">
        <f t="shared" si="2"/>
        <v>-0.38898211516471776</v>
      </c>
      <c r="K14" s="141">
        <f>(Constantes!$D$12/0.8)*(Constantes!$D$7*J14^2+Constantes!$D$8*J14+Constantes!$D$9)</f>
        <v>19.558986320747618</v>
      </c>
      <c r="L14" s="141">
        <f>(Constantes!$D$12/0.8)*(0.00376*D14^2-0.0516*D14-6.967)</f>
        <v>-4.3418964999999998</v>
      </c>
      <c r="M14" s="140">
        <f t="shared" si="3"/>
        <v>5.0052616779539427</v>
      </c>
      <c r="N14" s="12"/>
    </row>
    <row r="15" spans="2:14">
      <c r="B15" s="11"/>
      <c r="C15" s="65">
        <v>10</v>
      </c>
      <c r="D15" s="65">
        <f>(Observaciones!D15+Observaciones!E15)/2</f>
        <v>14.15</v>
      </c>
      <c r="E15" s="141">
        <f t="shared" si="0"/>
        <v>1.6150528288927855</v>
      </c>
      <c r="F15" s="141">
        <f t="shared" si="4"/>
        <v>0.10467799774317721</v>
      </c>
      <c r="G15" s="141">
        <f t="shared" si="1"/>
        <v>2.4675918499999998</v>
      </c>
      <c r="H15" s="141">
        <f>0.001013*Constantes!$D$6/(0.622*G15)</f>
        <v>4.5157809349675282E-2</v>
      </c>
      <c r="I15" s="141">
        <f t="shared" si="5"/>
        <v>0.35672784756039339</v>
      </c>
      <c r="J15" s="141">
        <f t="shared" si="2"/>
        <v>-0.38674892245770132</v>
      </c>
      <c r="K15" s="141">
        <f>(Constantes!$D$12/0.8)*(Constantes!$D$7*J15^2+Constantes!$D$8*J15+Constantes!$D$9)</f>
        <v>19.558574462253958</v>
      </c>
      <c r="L15" s="141">
        <f>(Constantes!$D$12/0.8)*(0.00376*D15^2-0.0516*D15-6.967)</f>
        <v>-4.3401896249999998</v>
      </c>
      <c r="M15" s="140">
        <f t="shared" si="3"/>
        <v>5.0101963761831598</v>
      </c>
      <c r="N15" s="12"/>
    </row>
    <row r="16" spans="2:14">
      <c r="B16" s="11"/>
      <c r="C16" s="65">
        <v>11</v>
      </c>
      <c r="D16" s="65">
        <f>(Observaciones!D16+Observaciones!E16)/2</f>
        <v>13.25</v>
      </c>
      <c r="E16" s="141">
        <f t="shared" si="0"/>
        <v>1.5232012546387372</v>
      </c>
      <c r="F16" s="141">
        <f t="shared" si="4"/>
        <v>9.943526343834895E-2</v>
      </c>
      <c r="G16" s="141">
        <f t="shared" si="1"/>
        <v>2.4697167499999999</v>
      </c>
      <c r="H16" s="141">
        <f>0.001013*Constantes!$D$6/(0.622*G16)</f>
        <v>4.5118956380367316E-2</v>
      </c>
      <c r="I16" s="141">
        <f t="shared" si="5"/>
        <v>0.35094014605756357</v>
      </c>
      <c r="J16" s="141">
        <f t="shared" si="2"/>
        <v>-0.3844011276982352</v>
      </c>
      <c r="K16" s="141">
        <f>(Constantes!$D$12/0.8)*(Constantes!$D$7*J16^2+Constantes!$D$8*J16+Constantes!$D$9)</f>
        <v>19.558050670614112</v>
      </c>
      <c r="L16" s="141">
        <f>(Constantes!$D$12/0.8)*(0.00376*D16^2-0.0516*D16-6.967)</f>
        <v>-4.3691156249999992</v>
      </c>
      <c r="M16" s="140">
        <f t="shared" si="3"/>
        <v>4.9185847738298687</v>
      </c>
      <c r="N16" s="12"/>
    </row>
    <row r="17" spans="2:14">
      <c r="B17" s="11"/>
      <c r="C17" s="65">
        <v>12</v>
      </c>
      <c r="D17" s="65">
        <f>(Observaciones!D17+Observaciones!E17)/2</f>
        <v>12.35</v>
      </c>
      <c r="E17" s="141">
        <f t="shared" si="0"/>
        <v>1.4359671208266067</v>
      </c>
      <c r="F17" s="141">
        <f t="shared" si="4"/>
        <v>9.4417676614232629E-2</v>
      </c>
      <c r="G17" s="141">
        <f t="shared" si="1"/>
        <v>2.47184165</v>
      </c>
      <c r="H17" s="141">
        <f>0.001013*Constantes!$D$6/(0.622*G17)</f>
        <v>4.5080170210382423E-2</v>
      </c>
      <c r="I17" s="141">
        <f t="shared" si="5"/>
        <v>0.34501319460891361</v>
      </c>
      <c r="J17" s="141">
        <f t="shared" si="2"/>
        <v>-0.38193942658857638</v>
      </c>
      <c r="K17" s="141">
        <f>(Constantes!$D$12/0.8)*(Constantes!$D$7*J17^2+Constantes!$D$8*J17+Constantes!$D$9)</f>
        <v>19.557401514913341</v>
      </c>
      <c r="L17" s="141">
        <f>(Constantes!$D$12/0.8)*(0.00376*D17^2-0.0516*D17-6.967)</f>
        <v>-4.3942346249999993</v>
      </c>
      <c r="M17" s="140">
        <f t="shared" si="3"/>
        <v>4.8266389545825392</v>
      </c>
      <c r="N17" s="12"/>
    </row>
    <row r="18" spans="2:14">
      <c r="B18" s="11"/>
      <c r="C18" s="65">
        <v>13</v>
      </c>
      <c r="D18" s="65">
        <f>(Observaciones!D18+Observaciones!E18)/2</f>
        <v>13.85</v>
      </c>
      <c r="E18" s="141">
        <f t="shared" si="0"/>
        <v>1.5839100041391287</v>
      </c>
      <c r="F18" s="141">
        <f t="shared" si="4"/>
        <v>0.10290490852509908</v>
      </c>
      <c r="G18" s="141">
        <f t="shared" si="1"/>
        <v>2.4683001499999997</v>
      </c>
      <c r="H18" s="141">
        <f>0.001013*Constantes!$D$6/(0.622*G18)</f>
        <v>4.5144850927109709E-2</v>
      </c>
      <c r="I18" s="141">
        <f t="shared" si="5"/>
        <v>0.35481417383138586</v>
      </c>
      <c r="J18" s="141">
        <f t="shared" si="2"/>
        <v>-0.3793645485838914</v>
      </c>
      <c r="K18" s="141">
        <f>(Constantes!$D$12/0.8)*(Constantes!$D$7*J18^2+Constantes!$D$8*J18+Constantes!$D$9)</f>
        <v>19.556613031080939</v>
      </c>
      <c r="L18" s="141">
        <f>(Constantes!$D$12/0.8)*(0.00376*D18^2-0.0516*D18-6.967)</f>
        <v>-4.3502546249999998</v>
      </c>
      <c r="M18" s="140">
        <f t="shared" si="3"/>
        <v>4.9790936851037726</v>
      </c>
      <c r="N18" s="12"/>
    </row>
    <row r="19" spans="2:14">
      <c r="B19" s="11"/>
      <c r="C19" s="65">
        <v>14</v>
      </c>
      <c r="D19" s="65">
        <f>(Observaciones!D19+Observaciones!E19)/2</f>
        <v>13.75</v>
      </c>
      <c r="E19" s="141">
        <f t="shared" si="0"/>
        <v>1.5736468149943981</v>
      </c>
      <c r="F19" s="141">
        <f t="shared" si="4"/>
        <v>0.10231958493462359</v>
      </c>
      <c r="G19" s="141">
        <f t="shared" si="1"/>
        <v>2.4685362500000001</v>
      </c>
      <c r="H19" s="141">
        <f>0.001013*Constantes!$D$6/(0.622*G19)</f>
        <v>4.5140533105443567E-2</v>
      </c>
      <c r="I19" s="141">
        <f t="shared" si="5"/>
        <v>0.35417281924860555</v>
      </c>
      <c r="J19" s="141">
        <f t="shared" si="2"/>
        <v>-0.37667725667610352</v>
      </c>
      <c r="K19" s="141">
        <f>(Constantes!$D$12/0.8)*(Constantes!$D$7*J19^2+Constantes!$D$8*J19+Constantes!$D$9)</f>
        <v>19.55567074280625</v>
      </c>
      <c r="L19" s="141">
        <f>(Constantes!$D$12/0.8)*(0.00376*D19^2-0.0516*D19-6.967)</f>
        <v>-4.353515625</v>
      </c>
      <c r="M19" s="140">
        <f t="shared" si="3"/>
        <v>4.9686249143714267</v>
      </c>
      <c r="N19" s="12"/>
    </row>
    <row r="20" spans="2:14">
      <c r="B20" s="11"/>
      <c r="C20" s="65">
        <v>15</v>
      </c>
      <c r="D20" s="65">
        <f>(Observaciones!D20+Observaciones!E20)/2</f>
        <v>13.7</v>
      </c>
      <c r="E20" s="141">
        <f t="shared" si="0"/>
        <v>1.568537138827782</v>
      </c>
      <c r="F20" s="141">
        <f t="shared" si="4"/>
        <v>0.10202798677665831</v>
      </c>
      <c r="G20" s="141">
        <f t="shared" si="1"/>
        <v>2.4686542999999999</v>
      </c>
      <c r="H20" s="141">
        <f>0.001013*Constantes!$D$6/(0.622*G20)</f>
        <v>4.5138374504325104E-2</v>
      </c>
      <c r="I20" s="141">
        <f t="shared" si="5"/>
        <v>0.35385149346393019</v>
      </c>
      <c r="J20" s="141">
        <f t="shared" si="2"/>
        <v>-0.37387834716780144</v>
      </c>
      <c r="K20" s="141">
        <f>(Constantes!$D$12/0.8)*(Constantes!$D$7*J20^2+Constantes!$D$8*J20+Constantes!$D$9)</f>
        <v>19.554559683262529</v>
      </c>
      <c r="L20" s="141">
        <f>(Constantes!$D$12/0.8)*(0.00376*D20^2-0.0516*D20-6.967)</f>
        <v>-4.3551285000000002</v>
      </c>
      <c r="M20" s="140">
        <f t="shared" si="3"/>
        <v>4.9631768151225577</v>
      </c>
      <c r="N20" s="12"/>
    </row>
    <row r="21" spans="2:14">
      <c r="B21" s="11"/>
      <c r="C21" s="65">
        <v>16</v>
      </c>
      <c r="D21" s="65">
        <f>(Observaciones!D21+Observaciones!E21)/2</f>
        <v>14</v>
      </c>
      <c r="E21" s="141">
        <f t="shared" si="0"/>
        <v>1.5994149130233961</v>
      </c>
      <c r="F21" s="141">
        <f t="shared" si="4"/>
        <v>0.10378823296050949</v>
      </c>
      <c r="G21" s="141">
        <f t="shared" si="1"/>
        <v>2.467946</v>
      </c>
      <c r="H21" s="141">
        <f>0.001013*Constantes!$D$6/(0.622*G21)</f>
        <v>4.5151329208626335E-2</v>
      </c>
      <c r="I21" s="141">
        <f t="shared" si="5"/>
        <v>0.35577296023920879</v>
      </c>
      <c r="J21" s="141">
        <f t="shared" si="2"/>
        <v>-0.37096864943627805</v>
      </c>
      <c r="K21" s="141">
        <f>(Constantes!$D$12/0.8)*(Constantes!$D$7*J21^2+Constantes!$D$8*J21+Constantes!$D$9)</f>
        <v>19.553264417611551</v>
      </c>
      <c r="L21" s="141">
        <f>(Constantes!$D$12/0.8)*(0.00376*D21^2-0.0516*D21-6.967)</f>
        <v>-4.3452749999999991</v>
      </c>
      <c r="M21" s="140">
        <f t="shared" si="3"/>
        <v>4.9932000485386032</v>
      </c>
      <c r="N21" s="12"/>
    </row>
    <row r="22" spans="2:14">
      <c r="B22" s="11"/>
      <c r="C22" s="65">
        <v>17</v>
      </c>
      <c r="D22" s="65">
        <f>(Observaciones!D22+Observaciones!E22)/2</f>
        <v>13.6</v>
      </c>
      <c r="E22" s="141">
        <f t="shared" si="0"/>
        <v>1.5583614462879349</v>
      </c>
      <c r="F22" s="141">
        <f t="shared" si="4"/>
        <v>0.10144691080047988</v>
      </c>
      <c r="G22" s="141">
        <f t="shared" si="1"/>
        <v>2.4688903999999998</v>
      </c>
      <c r="H22" s="141">
        <f>0.001013*Constantes!$D$6/(0.622*G22)</f>
        <v>4.5134057921369271E-2</v>
      </c>
      <c r="I22" s="141">
        <f t="shared" si="5"/>
        <v>0.3532075459589159</v>
      </c>
      <c r="J22" s="141">
        <f t="shared" si="2"/>
        <v>-0.36794902568776749</v>
      </c>
      <c r="K22" s="141">
        <f>(Constantes!$D$12/0.8)*(Constantes!$D$7*J22^2+Constantes!$D$8*J22+Constantes!$D$9)</f>
        <v>19.55176906626081</v>
      </c>
      <c r="L22" s="141">
        <f>(Constantes!$D$12/0.8)*(0.00376*D22^2-0.0516*D22-6.967)</f>
        <v>-4.3583189999999998</v>
      </c>
      <c r="M22" s="140">
        <f t="shared" si="3"/>
        <v>4.9520912702903441</v>
      </c>
      <c r="N22" s="12"/>
    </row>
    <row r="23" spans="2:14">
      <c r="B23" s="11"/>
      <c r="C23" s="65">
        <v>18</v>
      </c>
      <c r="D23" s="65">
        <f>(Observaciones!D23+Observaciones!E23)/2</f>
        <v>11.85</v>
      </c>
      <c r="E23" s="141">
        <f t="shared" si="0"/>
        <v>1.3894253255114986</v>
      </c>
      <c r="F23" s="141">
        <f t="shared" si="4"/>
        <v>9.172450604898108E-2</v>
      </c>
      <c r="G23" s="141">
        <f t="shared" si="1"/>
        <v>2.4730221499999998</v>
      </c>
      <c r="H23" s="141">
        <f>0.001013*Constantes!$D$6/(0.622*G23)</f>
        <v>4.5058651138693818E-2</v>
      </c>
      <c r="I23" s="141">
        <f t="shared" si="5"/>
        <v>0.34166091279937238</v>
      </c>
      <c r="J23" s="141">
        <f t="shared" si="2"/>
        <v>-0.36482037070195533</v>
      </c>
      <c r="K23" s="141">
        <f>(Constantes!$D$12/0.8)*(Constantes!$D$7*J23^2+Constantes!$D$8*J23+Constantes!$D$9)</f>
        <v>19.550057328844371</v>
      </c>
      <c r="L23" s="141">
        <f>(Constantes!$D$12/0.8)*(0.00376*D23^2-0.0516*D23-6.967)</f>
        <v>-4.4065446249999995</v>
      </c>
      <c r="M23" s="140">
        <f t="shared" si="3"/>
        <v>4.7731769474491781</v>
      </c>
      <c r="N23" s="12"/>
    </row>
    <row r="24" spans="2:14">
      <c r="B24" s="11"/>
      <c r="C24" s="65">
        <v>19</v>
      </c>
      <c r="D24" s="65">
        <f>(Observaciones!D24+Observaciones!E24)/2</f>
        <v>12.85</v>
      </c>
      <c r="E24" s="141">
        <f t="shared" si="0"/>
        <v>1.4838724736816862</v>
      </c>
      <c r="F24" s="141">
        <f t="shared" si="4"/>
        <v>9.717790188805045E-2</v>
      </c>
      <c r="G24" s="141">
        <f t="shared" si="1"/>
        <v>2.4706611499999998</v>
      </c>
      <c r="H24" s="141">
        <f>0.001013*Constantes!$D$6/(0.622*G24)</f>
        <v>4.5101709846011272E-2</v>
      </c>
      <c r="I24" s="141">
        <f t="shared" si="5"/>
        <v>0.34832304299622313</v>
      </c>
      <c r="J24" s="141">
        <f t="shared" si="2"/>
        <v>-0.36158361156683566</v>
      </c>
      <c r="K24" s="141">
        <f>(Constantes!$D$12/0.8)*(Constantes!$D$7*J24^2+Constantes!$D$8*J24+Constantes!$D$9)</f>
        <v>19.548112508897347</v>
      </c>
      <c r="L24" s="141">
        <f>(Constantes!$D$12/0.8)*(0.00376*D24^2-0.0516*D24-6.967)</f>
        <v>-4.380749625</v>
      </c>
      <c r="M24" s="140">
        <f t="shared" si="3"/>
        <v>4.874598511911195</v>
      </c>
      <c r="N24" s="12"/>
    </row>
    <row r="25" spans="2:14">
      <c r="B25" s="11"/>
      <c r="C25" s="65">
        <v>20</v>
      </c>
      <c r="D25" s="65">
        <f>(Observaciones!D25+Observaciones!E25)/2</f>
        <v>12.25</v>
      </c>
      <c r="E25" s="141">
        <f t="shared" si="0"/>
        <v>1.4265507491669478</v>
      </c>
      <c r="F25" s="141">
        <f t="shared" si="4"/>
        <v>9.387372076527814E-2</v>
      </c>
      <c r="G25" s="141">
        <f t="shared" si="1"/>
        <v>2.47207775</v>
      </c>
      <c r="H25" s="141">
        <f>0.001013*Constantes!$D$6/(0.622*G25)</f>
        <v>4.5075864751872197E-2</v>
      </c>
      <c r="I25" s="141">
        <f t="shared" si="5"/>
        <v>0.34434612138705856</v>
      </c>
      <c r="J25" s="141">
        <f t="shared" si="2"/>
        <v>-0.3582397074039953</v>
      </c>
      <c r="K25" s="141">
        <f>(Constantes!$D$12/0.8)*(Constantes!$D$7*J25^2+Constantes!$D$8*J25+Constantes!$D$9)</f>
        <v>19.545917539193209</v>
      </c>
      <c r="L25" s="141">
        <f>(Constantes!$D$12/0.8)*(0.00376*D25^2-0.0516*D25-6.967)</f>
        <v>-4.3967906249999995</v>
      </c>
      <c r="M25" s="140">
        <f t="shared" si="3"/>
        <v>4.8127094416883827</v>
      </c>
      <c r="N25" s="12"/>
    </row>
    <row r="26" spans="2:14">
      <c r="B26" s="11"/>
      <c r="C26" s="65">
        <v>21</v>
      </c>
      <c r="D26" s="65">
        <f>(Observaciones!D26+Observaciones!E26)/2</f>
        <v>14.5</v>
      </c>
      <c r="E26" s="141">
        <f t="shared" si="0"/>
        <v>1.6520640028566567</v>
      </c>
      <c r="F26" s="141">
        <f t="shared" si="4"/>
        <v>0.10677937410937641</v>
      </c>
      <c r="G26" s="141">
        <f t="shared" si="1"/>
        <v>2.4667654999999997</v>
      </c>
      <c r="H26" s="141">
        <f>0.001013*Constantes!$D$6/(0.622*G26)</f>
        <v>4.5172936914803029E-2</v>
      </c>
      <c r="I26" s="141">
        <f t="shared" si="5"/>
        <v>0.35894072909367275</v>
      </c>
      <c r="J26" s="141">
        <f t="shared" si="2"/>
        <v>-0.35478964908440508</v>
      </c>
      <c r="K26" s="141">
        <f>(Constantes!$D$12/0.8)*(Constantes!$D$7*J26^2+Constantes!$D$8*J26+Constantes!$D$9)</f>
        <v>19.543455007712261</v>
      </c>
      <c r="L26" s="141">
        <f>(Constantes!$D$12/0.8)*(0.00376*D26^2-0.0516*D26-6.967)</f>
        <v>-4.3279125000000001</v>
      </c>
      <c r="M26" s="140">
        <f t="shared" si="3"/>
        <v>5.0405814019053503</v>
      </c>
      <c r="N26" s="12"/>
    </row>
    <row r="27" spans="2:14">
      <c r="B27" s="11"/>
      <c r="C27" s="65">
        <v>22</v>
      </c>
      <c r="D27" s="65">
        <f>(Observaciones!D27+Observaciones!E27)/2</f>
        <v>13.35</v>
      </c>
      <c r="E27" s="141">
        <f t="shared" si="0"/>
        <v>1.5331752529723204</v>
      </c>
      <c r="F27" s="141">
        <f t="shared" si="4"/>
        <v>0.1000065250127139</v>
      </c>
      <c r="G27" s="141">
        <f t="shared" si="1"/>
        <v>2.4694806499999999</v>
      </c>
      <c r="H27" s="141">
        <f>0.001013*Constantes!$D$6/(0.622*G27)</f>
        <v>4.5123270075071269E-2</v>
      </c>
      <c r="I27" s="141">
        <f t="shared" si="5"/>
        <v>0.35159012797989159</v>
      </c>
      <c r="J27" s="141">
        <f t="shared" si="2"/>
        <v>-0.35123445893480337</v>
      </c>
      <c r="K27" s="141">
        <f>(Constantes!$D$12/0.8)*(Constantes!$D$7*J27^2+Constantes!$D$8*J27+Constantes!$D$9)</f>
        <v>19.540707184208742</v>
      </c>
      <c r="L27" s="141">
        <f>(Constantes!$D$12/0.8)*(0.00376*D27^2-0.0516*D27-6.967)</f>
        <v>-4.3660896249999999</v>
      </c>
      <c r="M27" s="140">
        <f t="shared" si="3"/>
        <v>4.9230265453052979</v>
      </c>
      <c r="N27" s="12"/>
    </row>
    <row r="28" spans="2:14">
      <c r="B28" s="11"/>
      <c r="C28" s="65">
        <v>23</v>
      </c>
      <c r="D28" s="65">
        <f>(Observaciones!D28+Observaciones!E28)/2</f>
        <v>12.649999999999999</v>
      </c>
      <c r="E28" s="141">
        <f t="shared" si="0"/>
        <v>1.4645445530759134</v>
      </c>
      <c r="F28" s="141">
        <f t="shared" si="4"/>
        <v>9.606567968532842E-2</v>
      </c>
      <c r="G28" s="141">
        <f t="shared" si="1"/>
        <v>2.4711333499999997</v>
      </c>
      <c r="H28" s="141">
        <f>0.001013*Constantes!$D$6/(0.622*G28)</f>
        <v>4.5093091522200757E-2</v>
      </c>
      <c r="I28" s="141">
        <f t="shared" si="5"/>
        <v>0.34700421800471326</v>
      </c>
      <c r="J28" s="141">
        <f t="shared" si="2"/>
        <v>-0.34757519043475887</v>
      </c>
      <c r="K28" s="141">
        <f>(Constantes!$D$12/0.8)*(Constantes!$D$7*J28^2+Constantes!$D$8*J28+Constantes!$D$9)</f>
        <v>19.537656047343415</v>
      </c>
      <c r="L28" s="141">
        <f>(Constantes!$D$12/0.8)*(0.00376*D28^2-0.0516*D28-6.967)</f>
        <v>-4.386284625</v>
      </c>
      <c r="M28" s="140">
        <f t="shared" si="3"/>
        <v>4.8508108486080284</v>
      </c>
      <c r="N28" s="12"/>
    </row>
    <row r="29" spans="2:14">
      <c r="B29" s="11"/>
      <c r="C29" s="65">
        <v>24</v>
      </c>
      <c r="D29" s="65">
        <f>(Observaciones!D29+Observaciones!E29)/2</f>
        <v>11.549999999999999</v>
      </c>
      <c r="E29" s="141">
        <f t="shared" si="0"/>
        <v>1.3621409164490859</v>
      </c>
      <c r="F29" s="141">
        <f t="shared" si="4"/>
        <v>9.0140238435898606E-2</v>
      </c>
      <c r="G29" s="141">
        <f t="shared" si="1"/>
        <v>2.4737304499999997</v>
      </c>
      <c r="H29" s="141">
        <f>0.001013*Constantes!$D$6/(0.622*G29)</f>
        <v>4.5045749554124839E-2</v>
      </c>
      <c r="I29" s="141">
        <f t="shared" si="5"/>
        <v>0.33962933384576244</v>
      </c>
      <c r="J29" s="141">
        <f t="shared" si="2"/>
        <v>-0.34381292790450158</v>
      </c>
      <c r="K29" s="141">
        <f>(Constantes!$D$12/0.8)*(Constantes!$D$7*J29^2+Constantes!$D$8*J29+Constantes!$D$9)</f>
        <v>19.534283312347554</v>
      </c>
      <c r="L29" s="141">
        <f>(Constantes!$D$12/0.8)*(0.00376*D29^2-0.0516*D29-6.967)</f>
        <v>-4.4133666250000001</v>
      </c>
      <c r="M29" s="140">
        <f t="shared" si="3"/>
        <v>4.7374419239495031</v>
      </c>
      <c r="N29" s="12"/>
    </row>
    <row r="30" spans="2:14">
      <c r="B30" s="11"/>
      <c r="C30" s="65">
        <v>25</v>
      </c>
      <c r="D30" s="65">
        <f>(Observaciones!D30+Observaciones!E30)/2</f>
        <v>13.55</v>
      </c>
      <c r="E30" s="141">
        <f t="shared" si="0"/>
        <v>1.5532953593153362</v>
      </c>
      <c r="F30" s="141">
        <f t="shared" si="4"/>
        <v>0.10115743021423786</v>
      </c>
      <c r="G30" s="141">
        <f t="shared" si="1"/>
        <v>2.46900845</v>
      </c>
      <c r="H30" s="141">
        <f>0.001013*Constantes!$D$6/(0.622*G30)</f>
        <v>4.5131899939472676E-2</v>
      </c>
      <c r="I30" s="141">
        <f t="shared" si="5"/>
        <v>0.35288492467431798</v>
      </c>
      <c r="J30" s="141">
        <f t="shared" si="2"/>
        <v>-0.3399487861836154</v>
      </c>
      <c r="K30" s="141">
        <f>(Constantes!$D$12/0.8)*(Constantes!$D$7*J30^2+Constantes!$D$8*J30+Constantes!$D$9)</f>
        <v>19.53057045918376</v>
      </c>
      <c r="L30" s="141">
        <f>(Constantes!$D$12/0.8)*(0.00376*D30^2-0.0516*D30-6.967)</f>
        <v>-4.3598966250000002</v>
      </c>
      <c r="M30" s="140">
        <f t="shared" si="3"/>
        <v>4.9399794601144507</v>
      </c>
      <c r="N30" s="12"/>
    </row>
    <row r="31" spans="2:14">
      <c r="B31" s="11"/>
      <c r="C31" s="65">
        <v>26</v>
      </c>
      <c r="D31" s="65">
        <f>(Observaciones!D31+Observaciones!E31)/2</f>
        <v>13.600000000000001</v>
      </c>
      <c r="E31" s="141">
        <f t="shared" si="0"/>
        <v>1.5583614462879352</v>
      </c>
      <c r="F31" s="141">
        <f t="shared" si="4"/>
        <v>0.10144691080047989</v>
      </c>
      <c r="G31" s="141">
        <f t="shared" si="1"/>
        <v>2.4688903999999998</v>
      </c>
      <c r="H31" s="141">
        <f>0.001013*Constantes!$D$6/(0.622*G31)</f>
        <v>4.5134057921369271E-2</v>
      </c>
      <c r="I31" s="141">
        <f t="shared" si="5"/>
        <v>0.35320754595891579</v>
      </c>
      <c r="J31" s="141">
        <f t="shared" si="2"/>
        <v>-0.33598391030068736</v>
      </c>
      <c r="K31" s="141">
        <f>(Constantes!$D$12/0.8)*(Constantes!$D$7*J31^2+Constantes!$D$8*J31+Constantes!$D$9)</f>
        <v>19.526498761168291</v>
      </c>
      <c r="L31" s="141">
        <f>(Constantes!$D$12/0.8)*(0.00376*D31^2-0.0516*D31-6.967)</f>
        <v>-4.3583189999999998</v>
      </c>
      <c r="M31" s="140">
        <f t="shared" si="3"/>
        <v>4.943701147589822</v>
      </c>
      <c r="N31" s="12"/>
    </row>
    <row r="32" spans="2:14">
      <c r="B32" s="11"/>
      <c r="C32" s="65">
        <v>27</v>
      </c>
      <c r="D32" s="65">
        <f>(Observaciones!D32+Observaciones!E32)/2</f>
        <v>14.15</v>
      </c>
      <c r="E32" s="141">
        <f t="shared" si="0"/>
        <v>1.6150528288927855</v>
      </c>
      <c r="F32" s="141">
        <f t="shared" si="4"/>
        <v>0.10467799774317721</v>
      </c>
      <c r="G32" s="141">
        <f t="shared" si="1"/>
        <v>2.4675918499999998</v>
      </c>
      <c r="H32" s="141">
        <f>0.001013*Constantes!$D$6/(0.622*G32)</f>
        <v>4.5157809349675282E-2</v>
      </c>
      <c r="I32" s="141">
        <f t="shared" si="5"/>
        <v>0.35672784756039339</v>
      </c>
      <c r="J32" s="141">
        <f t="shared" si="2"/>
        <v>-0.33191947513401066</v>
      </c>
      <c r="K32" s="141">
        <f>(Constantes!$D$12/0.8)*(Constantes!$D$7*J32^2+Constantes!$D$8*J32+Constantes!$D$9)</f>
        <v>19.52204931401894</v>
      </c>
      <c r="L32" s="141">
        <f>(Constantes!$D$12/0.8)*(0.00376*D32^2-0.0516*D32-6.967)</f>
        <v>-4.3401896249999998</v>
      </c>
      <c r="M32" s="140">
        <f t="shared" si="3"/>
        <v>4.9979486109221591</v>
      </c>
      <c r="N32" s="12"/>
    </row>
    <row r="33" spans="2:14">
      <c r="B33" s="11"/>
      <c r="C33" s="65">
        <v>28</v>
      </c>
      <c r="D33" s="65">
        <f>(Observaciones!D33+Observaciones!E33)/2</f>
        <v>13.75</v>
      </c>
      <c r="E33" s="141">
        <f t="shared" si="0"/>
        <v>1.5736468149943981</v>
      </c>
      <c r="F33" s="141">
        <f t="shared" si="4"/>
        <v>0.10231958493462359</v>
      </c>
      <c r="G33" s="141">
        <f t="shared" si="1"/>
        <v>2.4685362500000001</v>
      </c>
      <c r="H33" s="141">
        <f>0.001013*Constantes!$D$6/(0.622*G33)</f>
        <v>4.5140533105443567E-2</v>
      </c>
      <c r="I33" s="141">
        <f t="shared" si="5"/>
        <v>0.35417281924860555</v>
      </c>
      <c r="J33" s="141">
        <f t="shared" si="2"/>
        <v>-0.32775668506344269</v>
      </c>
      <c r="K33" s="141">
        <f>(Constantes!$D$12/0.8)*(Constantes!$D$7*J33^2+Constantes!$D$8*J33+Constantes!$D$9)</f>
        <v>19.517203065292133</v>
      </c>
      <c r="L33" s="141">
        <f>(Constantes!$D$12/0.8)*(0.00376*D33^2-0.0516*D33-6.967)</f>
        <v>-4.353515625</v>
      </c>
      <c r="M33" s="140">
        <f t="shared" si="3"/>
        <v>4.9558181609240135</v>
      </c>
      <c r="N33" s="12"/>
    </row>
    <row r="34" spans="2:14">
      <c r="B34" s="11"/>
      <c r="C34" s="65">
        <v>29</v>
      </c>
      <c r="D34" s="65">
        <f>(Observaciones!D34+Observaciones!E34)/2</f>
        <v>11.55</v>
      </c>
      <c r="E34" s="141">
        <f t="shared" si="0"/>
        <v>1.3621409164490859</v>
      </c>
      <c r="F34" s="141">
        <f t="shared" si="4"/>
        <v>9.0140238435898606E-2</v>
      </c>
      <c r="G34" s="141">
        <f t="shared" si="1"/>
        <v>2.4737304499999997</v>
      </c>
      <c r="H34" s="141">
        <f>0.001013*Constantes!$D$6/(0.622*G34)</f>
        <v>4.5045749554124839E-2</v>
      </c>
      <c r="I34" s="141">
        <f t="shared" si="5"/>
        <v>0.33962933384576244</v>
      </c>
      <c r="J34" s="141">
        <f t="shared" si="2"/>
        <v>-0.32349677361352186</v>
      </c>
      <c r="K34" s="141">
        <f>(Constantes!$D$12/0.8)*(Constantes!$D$7*J34^2+Constantes!$D$8*J34+Constantes!$D$9)</f>
        <v>19.511940844172109</v>
      </c>
      <c r="L34" s="141">
        <f>(Constantes!$D$12/0.8)*(0.00376*D34^2-0.0516*D34-6.967)</f>
        <v>-4.4133666250000001</v>
      </c>
      <c r="M34" s="140">
        <f t="shared" si="3"/>
        <v>4.7303090558215795</v>
      </c>
      <c r="N34" s="12"/>
    </row>
    <row r="35" spans="2:14">
      <c r="B35" s="11"/>
      <c r="C35" s="65">
        <v>30</v>
      </c>
      <c r="D35" s="65">
        <f>(Observaciones!D35+Observaciones!E35)/2</f>
        <v>13.55</v>
      </c>
      <c r="E35" s="141">
        <f t="shared" si="0"/>
        <v>1.5532953593153362</v>
      </c>
      <c r="F35" s="141">
        <f t="shared" si="4"/>
        <v>0.10115743021423786</v>
      </c>
      <c r="G35" s="141">
        <f t="shared" si="1"/>
        <v>2.46900845</v>
      </c>
      <c r="H35" s="141">
        <f>0.001013*Constantes!$D$6/(0.622*G35)</f>
        <v>4.5131899939472676E-2</v>
      </c>
      <c r="I35" s="141">
        <f t="shared" si="5"/>
        <v>0.35288492467431798</v>
      </c>
      <c r="J35" s="141">
        <f t="shared" si="2"/>
        <v>-0.31914100308794713</v>
      </c>
      <c r="K35" s="141">
        <f>(Constantes!$D$12/0.8)*(Constantes!$D$7*J35^2+Constantes!$D$8*J35+Constantes!$D$9)</f>
        <v>19.506243391574898</v>
      </c>
      <c r="L35" s="141">
        <f>(Constantes!$D$12/0.8)*(0.00376*D35^2-0.0516*D35-6.967)</f>
        <v>-4.3598966250000002</v>
      </c>
      <c r="M35" s="140">
        <f t="shared" si="3"/>
        <v>4.9319098840189932</v>
      </c>
      <c r="N35" s="12"/>
    </row>
    <row r="36" spans="2:14">
      <c r="B36" s="11"/>
      <c r="C36" s="65">
        <v>31</v>
      </c>
      <c r="D36" s="65">
        <f>(Observaciones!D36+Observaciones!E36)/2</f>
        <v>13.1</v>
      </c>
      <c r="E36" s="141">
        <f t="shared" si="0"/>
        <v>1.5083470419027751</v>
      </c>
      <c r="F36" s="141">
        <f t="shared" si="4"/>
        <v>9.8583579016665535E-2</v>
      </c>
      <c r="G36" s="141">
        <f t="shared" si="1"/>
        <v>2.4700709000000001</v>
      </c>
      <c r="H36" s="141">
        <f>0.001013*Constantes!$D$6/(0.622*G36)</f>
        <v>4.5112487384516987E-2</v>
      </c>
      <c r="I36" s="141">
        <f t="shared" si="5"/>
        <v>0.34996194939764519</v>
      </c>
      <c r="J36" s="141">
        <f t="shared" si="2"/>
        <v>-0.31469066419553055</v>
      </c>
      <c r="K36" s="141">
        <f>(Constantes!$D$12/0.8)*(Constantes!$D$7*J36^2+Constantes!$D$8*J36+Constantes!$D$9)</f>
        <v>19.500091390529125</v>
      </c>
      <c r="L36" s="141">
        <f>(Constantes!$D$12/0.8)*(0.00376*D36^2-0.0516*D36-6.967)</f>
        <v>-4.3735664999999999</v>
      </c>
      <c r="M36" s="140">
        <f t="shared" si="3"/>
        <v>4.8842507385138658</v>
      </c>
      <c r="N36" s="12"/>
    </row>
    <row r="37" spans="2:14">
      <c r="B37" s="11"/>
      <c r="C37" s="65">
        <v>32</v>
      </c>
      <c r="D37" s="65">
        <f>(Observaciones!D37+Observaciones!E37)/2</f>
        <v>13.95</v>
      </c>
      <c r="E37" s="141">
        <f t="shared" si="0"/>
        <v>1.5942318792002568</v>
      </c>
      <c r="F37" s="141">
        <f t="shared" si="4"/>
        <v>0.10349307775094918</v>
      </c>
      <c r="G37" s="141">
        <f t="shared" si="1"/>
        <v>2.4680640499999997</v>
      </c>
      <c r="H37" s="141">
        <f>0.001013*Constantes!$D$6/(0.622*G37)</f>
        <v>4.514916957487896E-2</v>
      </c>
      <c r="I37" s="141">
        <f t="shared" si="5"/>
        <v>0.35545379775699454</v>
      </c>
      <c r="J37" s="141">
        <f t="shared" si="2"/>
        <v>-0.31014707566773203</v>
      </c>
      <c r="K37" s="141">
        <f>(Constantes!$D$12/0.8)*(Constantes!$D$7*J37^2+Constantes!$D$8*J37+Constantes!$D$9)</f>
        <v>19.493465496795437</v>
      </c>
      <c r="L37" s="141">
        <f>(Constantes!$D$12/0.8)*(0.00376*D37^2-0.0516*D37-6.967)</f>
        <v>-4.3469466250000002</v>
      </c>
      <c r="M37" s="140">
        <f t="shared" si="3"/>
        <v>4.9681460752408224</v>
      </c>
      <c r="N37" s="12"/>
    </row>
    <row r="38" spans="2:14">
      <c r="B38" s="11"/>
      <c r="C38" s="65">
        <v>33</v>
      </c>
      <c r="D38" s="65">
        <f>(Observaciones!D38+Observaciones!E38)/2</f>
        <v>15.100000000000001</v>
      </c>
      <c r="E38" s="141">
        <f t="shared" si="0"/>
        <v>1.7172446826168704</v>
      </c>
      <c r="F38" s="141">
        <f t="shared" si="4"/>
        <v>0.11046518728234204</v>
      </c>
      <c r="G38" s="141">
        <f t="shared" si="1"/>
        <v>2.4653489</v>
      </c>
      <c r="H38" s="141">
        <f>0.001013*Constantes!$D$6/(0.622*G38)</f>
        <v>4.5198893477151461E-2</v>
      </c>
      <c r="I38" s="141">
        <f t="shared" si="5"/>
        <v>0.36268465146207884</v>
      </c>
      <c r="J38" s="141">
        <f t="shared" si="2"/>
        <v>-0.30551158386789107</v>
      </c>
      <c r="K38" s="141">
        <f>(Constantes!$D$12/0.8)*(Constantes!$D$7*J38^2+Constantes!$D$8*J38+Constantes!$D$9)</f>
        <v>19.486346369685965</v>
      </c>
      <c r="L38" s="141">
        <f>(Constantes!$D$12/0.8)*(0.00376*D38^2-0.0516*D38-6.967)</f>
        <v>-4.3055265</v>
      </c>
      <c r="M38" s="140">
        <f t="shared" si="3"/>
        <v>5.0818064388641213</v>
      </c>
      <c r="N38" s="12"/>
    </row>
    <row r="39" spans="2:14">
      <c r="B39" s="11"/>
      <c r="C39" s="65">
        <v>34</v>
      </c>
      <c r="D39" s="65">
        <f>(Observaciones!D39+Observaciones!E39)/2</f>
        <v>15.8</v>
      </c>
      <c r="E39" s="141">
        <f t="shared" si="0"/>
        <v>1.7961296162943761</v>
      </c>
      <c r="F39" s="141">
        <f t="shared" si="4"/>
        <v>0.11490140460696453</v>
      </c>
      <c r="G39" s="141">
        <f t="shared" si="1"/>
        <v>2.4636961999999998</v>
      </c>
      <c r="H39" s="141">
        <f>0.001013*Constantes!$D$6/(0.622*G39)</f>
        <v>4.5229213859692821E-2</v>
      </c>
      <c r="I39" s="141">
        <f t="shared" si="5"/>
        <v>0.36697319935543615</v>
      </c>
      <c r="J39" s="141">
        <f t="shared" si="2"/>
        <v>-0.30078556239227006</v>
      </c>
      <c r="K39" s="141">
        <f>(Constantes!$D$12/0.8)*(Constantes!$D$7*J39^2+Constantes!$D$8*J39+Constantes!$D$9)</f>
        <v>19.478714703044947</v>
      </c>
      <c r="L39" s="141">
        <f>(Constantes!$D$12/0.8)*(0.00376*D39^2-0.0516*D39-6.967)</f>
        <v>-4.2772709999999998</v>
      </c>
      <c r="M39" s="140">
        <f t="shared" si="3"/>
        <v>5.149632455293462</v>
      </c>
      <c r="N39" s="12"/>
    </row>
    <row r="40" spans="2:14">
      <c r="B40" s="11"/>
      <c r="C40" s="65">
        <v>35</v>
      </c>
      <c r="D40" s="65">
        <f>(Observaciones!D40+Observaciones!E40)/2</f>
        <v>14.25</v>
      </c>
      <c r="E40" s="141">
        <f t="shared" si="0"/>
        <v>1.6255524772300411</v>
      </c>
      <c r="F40" s="141">
        <f t="shared" si="4"/>
        <v>0.10527477090559632</v>
      </c>
      <c r="G40" s="141">
        <f t="shared" si="1"/>
        <v>2.4673557499999998</v>
      </c>
      <c r="H40" s="141">
        <f>0.001013*Constantes!$D$6/(0.622*G40)</f>
        <v>4.5162130477176848E-2</v>
      </c>
      <c r="I40" s="141">
        <f t="shared" si="5"/>
        <v>0.35736227060066839</v>
      </c>
      <c r="J40" s="141">
        <f t="shared" si="2"/>
        <v>-0.29597041166302818</v>
      </c>
      <c r="K40" s="141">
        <f>(Constantes!$D$12/0.8)*(Constantes!$D$7*J40^2+Constantes!$D$8*J40+Constantes!$D$9)</f>
        <v>19.470551256351442</v>
      </c>
      <c r="L40" s="141">
        <f>(Constantes!$D$12/0.8)*(0.00376*D40^2-0.0516*D40-6.967)</f>
        <v>-4.3367406249999991</v>
      </c>
      <c r="M40" s="140">
        <f t="shared" si="3"/>
        <v>4.990770505651299</v>
      </c>
      <c r="N40" s="12"/>
    </row>
    <row r="41" spans="2:14">
      <c r="B41" s="11"/>
      <c r="C41" s="65">
        <v>36</v>
      </c>
      <c r="D41" s="65">
        <f>(Observaciones!D41+Observaciones!E41)/2</f>
        <v>16.2</v>
      </c>
      <c r="E41" s="141">
        <f t="shared" si="0"/>
        <v>1.8426179820822144</v>
      </c>
      <c r="F41" s="141">
        <f t="shared" si="4"/>
        <v>0.11750364312754244</v>
      </c>
      <c r="G41" s="141">
        <f t="shared" si="1"/>
        <v>2.4627517999999999</v>
      </c>
      <c r="H41" s="141">
        <f>0.001013*Constantes!$D$6/(0.622*G41)</f>
        <v>4.5246558063671921E-2</v>
      </c>
      <c r="I41" s="141">
        <f t="shared" si="5"/>
        <v>0.36938537600029586</v>
      </c>
      <c r="J41" s="141">
        <f t="shared" si="2"/>
        <v>-0.29106755851324578</v>
      </c>
      <c r="K41" s="141">
        <f>(Constantes!$D$12/0.8)*(Constantes!$D$7*J41^2+Constantes!$D$8*J41+Constantes!$D$9)</f>
        <v>19.461836885904763</v>
      </c>
      <c r="L41" s="141">
        <f>(Constantes!$D$12/0.8)*(0.00376*D41^2-0.0516*D41-6.967)</f>
        <v>-4.2600910000000001</v>
      </c>
      <c r="M41" s="140">
        <f t="shared" si="3"/>
        <v>5.1839675437804997</v>
      </c>
      <c r="N41" s="12"/>
    </row>
    <row r="42" spans="2:14">
      <c r="B42" s="11"/>
      <c r="C42" s="65">
        <v>37</v>
      </c>
      <c r="D42" s="65">
        <f>(Observaciones!D42+Observaciones!E42)/2</f>
        <v>16.95</v>
      </c>
      <c r="E42" s="141">
        <f t="shared" si="0"/>
        <v>1.9326323570211814</v>
      </c>
      <c r="F42" s="141">
        <f t="shared" si="4"/>
        <v>0.12251782469422456</v>
      </c>
      <c r="G42" s="141">
        <f t="shared" si="1"/>
        <v>2.46098105</v>
      </c>
      <c r="H42" s="141">
        <f>0.001013*Constantes!$D$6/(0.622*G42)</f>
        <v>4.5279114325204789E-2</v>
      </c>
      <c r="I42" s="141">
        <f t="shared" si="5"/>
        <v>0.37383289911709017</v>
      </c>
      <c r="J42" s="141">
        <f t="shared" si="2"/>
        <v>-0.28607845576412366</v>
      </c>
      <c r="K42" s="141">
        <f>(Constantes!$D$12/0.8)*(Constantes!$D$7*J42^2+Constantes!$D$8*J42+Constantes!$D$9)</f>
        <v>19.452552576053279</v>
      </c>
      <c r="L42" s="141">
        <f>(Constantes!$D$12/0.8)*(0.00376*D42^2-0.0516*D42-6.967)</f>
        <v>-4.2258516249999998</v>
      </c>
      <c r="M42" s="140">
        <f t="shared" si="3"/>
        <v>5.2559215130371832</v>
      </c>
      <c r="N42" s="12"/>
    </row>
    <row r="43" spans="2:14">
      <c r="B43" s="11"/>
      <c r="C43" s="65">
        <v>38</v>
      </c>
      <c r="D43" s="65">
        <f>(Observaciones!D43+Observaciones!E43)/2</f>
        <v>15.85</v>
      </c>
      <c r="E43" s="141">
        <f t="shared" si="0"/>
        <v>1.8018838624902389</v>
      </c>
      <c r="F43" s="141">
        <f t="shared" si="4"/>
        <v>0.11522398374570866</v>
      </c>
      <c r="G43" s="141">
        <f t="shared" si="1"/>
        <v>2.46357815</v>
      </c>
      <c r="H43" s="141">
        <f>0.001013*Constantes!$D$6/(0.622*G43)</f>
        <v>4.5231381157976466E-2</v>
      </c>
      <c r="I43" s="141">
        <f t="shared" si="5"/>
        <v>0.36727624993356689</v>
      </c>
      <c r="J43" s="141">
        <f t="shared" si="2"/>
        <v>-0.28100458179447974</v>
      </c>
      <c r="K43" s="141">
        <f>(Constantes!$D$12/0.8)*(Constantes!$D$7*J43^2+Constantes!$D$8*J43+Constantes!$D$9)</f>
        <v>19.44267947042696</v>
      </c>
      <c r="L43" s="141">
        <f>(Constantes!$D$12/0.8)*(0.00376*D43^2-0.0516*D43-6.967)</f>
        <v>-4.2751646249999995</v>
      </c>
      <c r="M43" s="140">
        <f t="shared" si="3"/>
        <v>5.1422179089665923</v>
      </c>
      <c r="N43" s="12"/>
    </row>
    <row r="44" spans="2:14">
      <c r="B44" s="11"/>
      <c r="C44" s="65">
        <v>39</v>
      </c>
      <c r="D44" s="65">
        <f>(Observaciones!D44+Observaciones!E44)/2</f>
        <v>16.350000000000001</v>
      </c>
      <c r="E44" s="141">
        <f t="shared" si="0"/>
        <v>1.8603210189575405</v>
      </c>
      <c r="F44" s="141">
        <f t="shared" si="4"/>
        <v>0.11849229571827896</v>
      </c>
      <c r="G44" s="141">
        <f t="shared" si="1"/>
        <v>2.4623976499999998</v>
      </c>
      <c r="H44" s="141">
        <f>0.001013*Constantes!$D$6/(0.622*G44)</f>
        <v>4.5253065570100968E-2</v>
      </c>
      <c r="I44" s="141">
        <f t="shared" si="5"/>
        <v>0.37028273686798835</v>
      </c>
      <c r="J44" s="141">
        <f t="shared" si="2"/>
        <v>-0.2758474401026747</v>
      </c>
      <c r="K44" s="141">
        <f>(Constantes!$D$12/0.8)*(Constantes!$D$7*J44^2+Constantes!$D$8*J44+Constantes!$D$9)</f>
        <v>19.432198903134118</v>
      </c>
      <c r="L44" s="141">
        <f>(Constantes!$D$12/0.8)*(0.00376*D44^2-0.0516*D44-6.967)</f>
        <v>-4.2534546249999998</v>
      </c>
      <c r="M44" s="140">
        <f t="shared" si="3"/>
        <v>5.1887025059338816</v>
      </c>
      <c r="N44" s="12"/>
    </row>
    <row r="45" spans="2:14">
      <c r="B45" s="11"/>
      <c r="C45" s="65">
        <v>40</v>
      </c>
      <c r="D45" s="65">
        <f>(Observaciones!D45+Observaciones!E45)/2</f>
        <v>13.45</v>
      </c>
      <c r="E45" s="141">
        <f t="shared" si="0"/>
        <v>1.5432065279848868</v>
      </c>
      <c r="F45" s="141">
        <f t="shared" si="4"/>
        <v>0.1005805769400801</v>
      </c>
      <c r="G45" s="141">
        <f t="shared" si="1"/>
        <v>2.46924455</v>
      </c>
      <c r="H45" s="141">
        <f>0.001013*Constantes!$D$6/(0.622*G45)</f>
        <v>4.5127584594694167E-2</v>
      </c>
      <c r="I45" s="141">
        <f t="shared" si="5"/>
        <v>0.35223838816895903</v>
      </c>
      <c r="J45" s="141">
        <f t="shared" si="2"/>
        <v>-0.27060855886109181</v>
      </c>
      <c r="K45" s="141">
        <f>(Constantes!$D$12/0.8)*(Constantes!$D$7*J45^2+Constantes!$D$8*J45+Constantes!$D$9)</f>
        <v>19.421092429882737</v>
      </c>
      <c r="L45" s="141">
        <f>(Constantes!$D$12/0.8)*(0.00376*D45^2-0.0516*D45-6.967)</f>
        <v>-4.3630166249999993</v>
      </c>
      <c r="M45" s="140">
        <f t="shared" si="3"/>
        <v>4.8935810927989589</v>
      </c>
      <c r="N45" s="12"/>
    </row>
    <row r="46" spans="2:14">
      <c r="B46" s="11"/>
      <c r="C46" s="65">
        <v>41</v>
      </c>
      <c r="D46" s="65">
        <f>(Observaciones!D46+Observaciones!E46)/2</f>
        <v>14.4</v>
      </c>
      <c r="E46" s="141">
        <f t="shared" si="0"/>
        <v>1.6414142277133972</v>
      </c>
      <c r="F46" s="141">
        <f t="shared" si="4"/>
        <v>0.10617535372371334</v>
      </c>
      <c r="G46" s="141">
        <f t="shared" si="1"/>
        <v>2.4670015999999997</v>
      </c>
      <c r="H46" s="141">
        <f>0.001013*Constantes!$D$6/(0.622*G46)</f>
        <v>4.5168613719226022E-2</v>
      </c>
      <c r="I46" s="141">
        <f t="shared" si="5"/>
        <v>0.3583106491514223</v>
      </c>
      <c r="J46" s="141">
        <f t="shared" si="2"/>
        <v>-0.26528949046330735</v>
      </c>
      <c r="K46" s="141">
        <f>(Constantes!$D$12/0.8)*(Constantes!$D$7*J46^2+Constantes!$D$8*J46+Constantes!$D$9)</f>
        <v>19.409341858986831</v>
      </c>
      <c r="L46" s="141">
        <f>(Constantes!$D$12/0.8)*(0.00376*D46^2-0.0516*D46-6.967)</f>
        <v>-4.3314789999999999</v>
      </c>
      <c r="M46" s="140">
        <f t="shared" si="3"/>
        <v>4.9852843959539648</v>
      </c>
      <c r="N46" s="12"/>
    </row>
    <row r="47" spans="2:14">
      <c r="B47" s="11"/>
      <c r="C47" s="65">
        <v>42</v>
      </c>
      <c r="D47" s="65">
        <f>(Observaciones!D47+Observaciones!E47)/2</f>
        <v>12.85</v>
      </c>
      <c r="E47" s="141">
        <f t="shared" si="0"/>
        <v>1.4838724736816862</v>
      </c>
      <c r="F47" s="141">
        <f t="shared" si="4"/>
        <v>9.717790188805045E-2</v>
      </c>
      <c r="G47" s="141">
        <f t="shared" si="1"/>
        <v>2.4706611499999998</v>
      </c>
      <c r="H47" s="141">
        <f>0.001013*Constantes!$D$6/(0.622*G47)</f>
        <v>4.5101709846011272E-2</v>
      </c>
      <c r="I47" s="141">
        <f t="shared" si="5"/>
        <v>0.34832304299622313</v>
      </c>
      <c r="J47" s="141">
        <f t="shared" si="2"/>
        <v>-0.25989181106408255</v>
      </c>
      <c r="K47" s="141">
        <f>(Constantes!$D$12/0.8)*(Constantes!$D$7*J47^2+Constantes!$D$8*J47+Constantes!$D$9)</f>
        <v>19.396929282218398</v>
      </c>
      <c r="L47" s="141">
        <f>(Constantes!$D$12/0.8)*(0.00376*D47^2-0.0516*D47-6.967)</f>
        <v>-4.380749625</v>
      </c>
      <c r="M47" s="140">
        <f t="shared" si="3"/>
        <v>4.8250975464384034</v>
      </c>
      <c r="N47" s="12"/>
    </row>
    <row r="48" spans="2:14">
      <c r="B48" s="11"/>
      <c r="C48" s="65">
        <v>43</v>
      </c>
      <c r="D48" s="65">
        <f>(Observaciones!D48+Observaciones!E48)/2</f>
        <v>14.95</v>
      </c>
      <c r="E48" s="141">
        <f t="shared" si="0"/>
        <v>1.7007416492954901</v>
      </c>
      <c r="F48" s="141">
        <f t="shared" si="4"/>
        <v>0.10953374874986048</v>
      </c>
      <c r="G48" s="141">
        <f t="shared" si="1"/>
        <v>2.4657030500000001</v>
      </c>
      <c r="H48" s="141">
        <f>0.001013*Constantes!$D$6/(0.622*G48)</f>
        <v>4.5192401540450108E-2</v>
      </c>
      <c r="I48" s="141">
        <f t="shared" si="5"/>
        <v>0.36175455161738501</v>
      </c>
      <c r="J48" s="141">
        <f t="shared" si="2"/>
        <v>-0.25441712011231477</v>
      </c>
      <c r="K48" s="141">
        <f>(Constantes!$D$12/0.8)*(Constantes!$D$7*J48^2+Constantes!$D$8*J48+Constantes!$D$9)</f>
        <v>19.383837105465599</v>
      </c>
      <c r="L48" s="141">
        <f>(Constantes!$D$12/0.8)*(0.00376*D48^2-0.0516*D48-6.967)</f>
        <v>-4.3112816249999995</v>
      </c>
      <c r="M48" s="140">
        <f t="shared" si="3"/>
        <v>5.0318340715212635</v>
      </c>
      <c r="N48" s="12"/>
    </row>
    <row r="49" spans="2:14">
      <c r="B49" s="11"/>
      <c r="C49" s="65">
        <v>44</v>
      </c>
      <c r="D49" s="65">
        <f>(Observaciones!D49+Observaciones!E49)/2</f>
        <v>15.8</v>
      </c>
      <c r="E49" s="141">
        <f t="shared" si="0"/>
        <v>1.7961296162943761</v>
      </c>
      <c r="F49" s="141">
        <f t="shared" si="4"/>
        <v>0.11490140460696453</v>
      </c>
      <c r="G49" s="141">
        <f t="shared" si="1"/>
        <v>2.4636961999999998</v>
      </c>
      <c r="H49" s="141">
        <f>0.001013*Constantes!$D$6/(0.622*G49)</f>
        <v>4.5229213859692821E-2</v>
      </c>
      <c r="I49" s="141">
        <f t="shared" si="5"/>
        <v>0.36697319935543615</v>
      </c>
      <c r="J49" s="141">
        <f t="shared" si="2"/>
        <v>-0.24886703987708655</v>
      </c>
      <c r="K49" s="141">
        <f>(Constantes!$D$12/0.8)*(Constantes!$D$7*J49^2+Constantes!$D$8*J49+Constantes!$D$9)</f>
        <v>19.370048079158099</v>
      </c>
      <c r="L49" s="141">
        <f>(Constantes!$D$12/0.8)*(0.00376*D49^2-0.0516*D49-6.967)</f>
        <v>-4.2772709999999998</v>
      </c>
      <c r="M49" s="140">
        <f t="shared" si="3"/>
        <v>5.1121473809804066</v>
      </c>
      <c r="N49" s="12"/>
    </row>
    <row r="50" spans="2:14">
      <c r="B50" s="11"/>
      <c r="C50" s="65">
        <v>45</v>
      </c>
      <c r="D50" s="65">
        <f>(Observaciones!D50+Observaciones!E50)/2</f>
        <v>14.9</v>
      </c>
      <c r="E50" s="141">
        <f t="shared" si="0"/>
        <v>1.6952716301356707</v>
      </c>
      <c r="F50" s="141">
        <f t="shared" si="4"/>
        <v>0.10922475617100802</v>
      </c>
      <c r="G50" s="141">
        <f t="shared" si="1"/>
        <v>2.4658210999999999</v>
      </c>
      <c r="H50" s="141">
        <f>0.001013*Constantes!$D$6/(0.622*G50)</f>
        <v>4.5190237975947463E-2</v>
      </c>
      <c r="I50" s="141">
        <f t="shared" si="5"/>
        <v>0.36144364658766281</v>
      </c>
      <c r="J50" s="141">
        <f t="shared" si="2"/>
        <v>-0.2432432149669522</v>
      </c>
      <c r="K50" s="141">
        <f>(Constantes!$D$12/0.8)*(Constantes!$D$7*J50^2+Constantes!$D$8*J50+Constantes!$D$9)</f>
        <v>19.355545328420625</v>
      </c>
      <c r="L50" s="141">
        <f>(Constantes!$D$12/0.8)*(0.00376*D50^2-0.0516*D50-6.967)</f>
        <v>-4.3131765</v>
      </c>
      <c r="M50" s="140">
        <f t="shared" si="3"/>
        <v>5.0172123095491097</v>
      </c>
      <c r="N50" s="12"/>
    </row>
    <row r="51" spans="2:14">
      <c r="B51" s="11"/>
      <c r="C51" s="65">
        <v>46</v>
      </c>
      <c r="D51" s="65">
        <f>(Observaciones!D51+Observaciones!E51)/2</f>
        <v>15.25</v>
      </c>
      <c r="E51" s="141">
        <f t="shared" si="0"/>
        <v>1.7338879625062771</v>
      </c>
      <c r="F51" s="141">
        <f t="shared" si="4"/>
        <v>0.11140334723771557</v>
      </c>
      <c r="G51" s="141">
        <f t="shared" si="1"/>
        <v>2.4649947499999998</v>
      </c>
      <c r="H51" s="141">
        <f>0.001013*Constantes!$D$6/(0.622*G51)</f>
        <v>4.5205387279268053E-2</v>
      </c>
      <c r="I51" s="141">
        <f t="shared" si="5"/>
        <v>0.36361082673457973</v>
      </c>
      <c r="J51" s="141">
        <f t="shared" si="2"/>
        <v>-0.23754731184260455</v>
      </c>
      <c r="K51" s="141">
        <f>(Constantes!$D$12/0.8)*(Constantes!$D$7*J51^2+Constantes!$D$8*J51+Constantes!$D$9)</f>
        <v>19.340312382916125</v>
      </c>
      <c r="L51" s="141">
        <f>(Constantes!$D$12/0.8)*(0.00376*D51^2-0.0516*D51-6.967)</f>
        <v>-4.2996656249999994</v>
      </c>
      <c r="M51" s="140">
        <f t="shared" si="3"/>
        <v>5.0470011837772288</v>
      </c>
      <c r="N51" s="12"/>
    </row>
    <row r="52" spans="2:14">
      <c r="B52" s="11"/>
      <c r="C52" s="65">
        <v>47</v>
      </c>
      <c r="D52" s="65">
        <f>(Observaciones!D52+Observaciones!E52)/2</f>
        <v>14.899999999999999</v>
      </c>
      <c r="E52" s="141">
        <f t="shared" si="0"/>
        <v>1.6952716301356705</v>
      </c>
      <c r="F52" s="141">
        <f t="shared" si="4"/>
        <v>0.10922475617100801</v>
      </c>
      <c r="G52" s="141">
        <f t="shared" si="1"/>
        <v>2.4658210999999999</v>
      </c>
      <c r="H52" s="141">
        <f>0.001013*Constantes!$D$6/(0.622*G52)</f>
        <v>4.5190237975947463E-2</v>
      </c>
      <c r="I52" s="141">
        <f t="shared" si="5"/>
        <v>0.36144364658766276</v>
      </c>
      <c r="J52" s="141">
        <f t="shared" si="2"/>
        <v>-0.23178101832306711</v>
      </c>
      <c r="K52" s="141">
        <f>(Constantes!$D$12/0.8)*(Constantes!$D$7*J52^2+Constantes!$D$8*J52+Constantes!$D$9)</f>
        <v>19.324333206340278</v>
      </c>
      <c r="L52" s="141">
        <f>(Constantes!$D$12/0.8)*(0.00376*D52^2-0.0516*D52-6.967)</f>
        <v>-4.3131765</v>
      </c>
      <c r="M52" s="140">
        <f t="shared" si="3"/>
        <v>5.006607771719997</v>
      </c>
      <c r="N52" s="12"/>
    </row>
    <row r="53" spans="2:14">
      <c r="B53" s="11"/>
      <c r="C53" s="65">
        <v>48</v>
      </c>
      <c r="D53" s="65">
        <f>(Observaciones!D53+Observaciones!E53)/2</f>
        <v>14.95</v>
      </c>
      <c r="E53" s="141">
        <f t="shared" si="0"/>
        <v>1.7007416492954901</v>
      </c>
      <c r="F53" s="141">
        <f t="shared" si="4"/>
        <v>0.10953374874986048</v>
      </c>
      <c r="G53" s="141">
        <f t="shared" si="1"/>
        <v>2.4657030500000001</v>
      </c>
      <c r="H53" s="141">
        <f>0.001013*Constantes!$D$6/(0.622*G53)</f>
        <v>4.5192401540450108E-2</v>
      </c>
      <c r="I53" s="141">
        <f t="shared" si="5"/>
        <v>0.36175455161738501</v>
      </c>
      <c r="J53" s="141">
        <f t="shared" si="2"/>
        <v>-0.22594604308555641</v>
      </c>
      <c r="K53" s="141">
        <f>(Constantes!$D$12/0.8)*(Constantes!$D$7*J53^2+Constantes!$D$8*J53+Constantes!$D$9)</f>
        <v>19.307592225529401</v>
      </c>
      <c r="L53" s="141">
        <f>(Constantes!$D$12/0.8)*(0.00376*D53^2-0.0516*D53-6.967)</f>
        <v>-4.3112816249999995</v>
      </c>
      <c r="M53" s="140">
        <f t="shared" si="3"/>
        <v>5.0059070551080893</v>
      </c>
      <c r="N53" s="12"/>
    </row>
    <row r="54" spans="2:14">
      <c r="B54" s="11"/>
      <c r="C54" s="65">
        <v>49</v>
      </c>
      <c r="D54" s="65">
        <f>(Observaciones!D54+Observaciones!E54)/2</f>
        <v>15.9</v>
      </c>
      <c r="E54" s="141">
        <f t="shared" si="0"/>
        <v>1.8076542599824501</v>
      </c>
      <c r="F54" s="141">
        <f t="shared" si="4"/>
        <v>0.11554733155589622</v>
      </c>
      <c r="G54" s="141">
        <f t="shared" si="1"/>
        <v>2.4634600999999998</v>
      </c>
      <c r="H54" s="141">
        <f>0.001013*Constantes!$D$6/(0.622*G54)</f>
        <v>4.5233548663975741E-2</v>
      </c>
      <c r="I54" s="141">
        <f t="shared" si="5"/>
        <v>0.36757886380267918</v>
      </c>
      <c r="J54" s="141">
        <f t="shared" si="2"/>
        <v>-0.22004411515916453</v>
      </c>
      <c r="K54" s="141">
        <f>(Constantes!$D$12/0.8)*(Constantes!$D$7*J54^2+Constantes!$D$8*J54+Constantes!$D$9)</f>
        <v>19.290074359144313</v>
      </c>
      <c r="L54" s="141">
        <f>(Constantes!$D$12/0.8)*(0.00376*D54^2-0.0516*D54-6.967)</f>
        <v>-4.2730464999999995</v>
      </c>
      <c r="M54" s="140">
        <f t="shared" si="3"/>
        <v>5.0945046212212386</v>
      </c>
      <c r="N54" s="12"/>
    </row>
    <row r="55" spans="2:14">
      <c r="B55" s="11"/>
      <c r="C55" s="65">
        <v>50</v>
      </c>
      <c r="D55" s="65">
        <f>(Observaciones!D55+Observaciones!E55)/2</f>
        <v>14.6</v>
      </c>
      <c r="E55" s="141">
        <f t="shared" si="0"/>
        <v>1.6627743376092956</v>
      </c>
      <c r="F55" s="141">
        <f t="shared" si="4"/>
        <v>0.10738631317466246</v>
      </c>
      <c r="G55" s="141">
        <f t="shared" si="1"/>
        <v>2.4665293999999998</v>
      </c>
      <c r="H55" s="141">
        <f>0.001013*Constantes!$D$6/(0.622*G55)</f>
        <v>4.5177260938025939E-2</v>
      </c>
      <c r="I55" s="141">
        <f t="shared" si="5"/>
        <v>0.35956906979682196</v>
      </c>
      <c r="J55" s="141">
        <f t="shared" si="2"/>
        <v>-0.21407698341251005</v>
      </c>
      <c r="K55" s="141">
        <f>(Constantes!$D$12/0.8)*(Constantes!$D$7*J55^2+Constantes!$D$8*J55+Constantes!$D$9)</f>
        <v>19.27176504589303</v>
      </c>
      <c r="L55" s="141">
        <f>(Constantes!$D$12/0.8)*(0.00376*D55^2-0.0516*D55-6.967)</f>
        <v>-4.3242989999999999</v>
      </c>
      <c r="M55" s="140">
        <f t="shared" si="3"/>
        <v>4.9588746240876569</v>
      </c>
      <c r="N55" s="12"/>
    </row>
    <row r="56" spans="2:14">
      <c r="B56" s="11"/>
      <c r="C56" s="65">
        <v>51</v>
      </c>
      <c r="D56" s="65">
        <f>(Observaciones!D56+Observaciones!E56)/2</f>
        <v>13</v>
      </c>
      <c r="E56" s="141">
        <f t="shared" si="0"/>
        <v>1.4985150190445926</v>
      </c>
      <c r="F56" s="141">
        <f t="shared" si="4"/>
        <v>9.8019245431965704E-2</v>
      </c>
      <c r="G56" s="141">
        <f t="shared" si="1"/>
        <v>2.470307</v>
      </c>
      <c r="H56" s="141">
        <f>0.001013*Constantes!$D$6/(0.622*G56)</f>
        <v>4.5108175751075688E-2</v>
      </c>
      <c r="I56" s="141">
        <f t="shared" si="5"/>
        <v>0.3493076722279615</v>
      </c>
      <c r="J56" s="141">
        <f t="shared" si="2"/>
        <v>-0.20804641603551069</v>
      </c>
      <c r="K56" s="141">
        <f>(Constantes!$D$12/0.8)*(Constantes!$D$7*J56^2+Constantes!$D$8*J56+Constantes!$D$9)</f>
        <v>19.252650272255934</v>
      </c>
      <c r="L56" s="141">
        <f>(Constantes!$D$12/0.8)*(0.00376*D56^2-0.0516*D56-6.967)</f>
        <v>-4.3764749999999992</v>
      </c>
      <c r="M56" s="140">
        <f t="shared" si="3"/>
        <v>4.7928562489576363</v>
      </c>
      <c r="N56" s="12"/>
    </row>
    <row r="57" spans="2:14">
      <c r="B57" s="11"/>
      <c r="C57" s="65">
        <v>52</v>
      </c>
      <c r="D57" s="65">
        <f>(Observaciones!D57+Observaciones!E57)/2</f>
        <v>11.2</v>
      </c>
      <c r="E57" s="141">
        <f t="shared" si="0"/>
        <v>1.3309049906437358</v>
      </c>
      <c r="F57" s="141">
        <f t="shared" si="4"/>
        <v>8.8321456330061332E-2</v>
      </c>
      <c r="G57" s="141">
        <f t="shared" si="1"/>
        <v>2.4745567999999998</v>
      </c>
      <c r="H57" s="141">
        <f>0.001013*Constantes!$D$6/(0.622*G57)</f>
        <v>4.5030707040191013E-2</v>
      </c>
      <c r="I57" s="141">
        <f t="shared" si="5"/>
        <v>0.33724015024190968</v>
      </c>
      <c r="J57" s="141">
        <f t="shared" si="2"/>
        <v>-0.20195420001543066</v>
      </c>
      <c r="K57" s="141">
        <f>(Constantes!$D$12/0.8)*(Constantes!$D$7*J57^2+Constantes!$D$8*J57+Constantes!$D$9)</f>
        <v>19.232716599677275</v>
      </c>
      <c r="L57" s="141">
        <f>(Constantes!$D$12/0.8)*(0.00376*D57^2-0.0516*D57-6.967)</f>
        <v>-4.4207910000000004</v>
      </c>
      <c r="M57" s="140">
        <f t="shared" si="3"/>
        <v>4.6060133604690368</v>
      </c>
      <c r="N57" s="12"/>
    </row>
    <row r="58" spans="2:14">
      <c r="B58" s="11"/>
      <c r="C58" s="65">
        <v>53</v>
      </c>
      <c r="D58" s="65">
        <f>(Observaciones!D58+Observaciones!E58)/2</f>
        <v>10.7</v>
      </c>
      <c r="E58" s="141">
        <f t="shared" si="0"/>
        <v>1.2873744557569893</v>
      </c>
      <c r="F58" s="141">
        <f t="shared" si="4"/>
        <v>8.5777518855556414E-2</v>
      </c>
      <c r="G58" s="141">
        <f t="shared" si="1"/>
        <v>2.4757373</v>
      </c>
      <c r="H58" s="141">
        <f>0.001013*Constantes!$D$6/(0.622*G58)</f>
        <v>4.5009235153952935E-2</v>
      </c>
      <c r="I58" s="141">
        <f t="shared" si="5"/>
        <v>0.33379183113820976</v>
      </c>
      <c r="J58" s="141">
        <f t="shared" si="2"/>
        <v>-0.19580214060735746</v>
      </c>
      <c r="K58" s="141">
        <f>(Constantes!$D$12/0.8)*(Constantes!$D$7*J58^2+Constantes!$D$8*J58+Constantes!$D$9)</f>
        <v>19.211951191187786</v>
      </c>
      <c r="L58" s="141">
        <f>(Constantes!$D$12/0.8)*(0.00376*D58^2-0.0516*D58-6.967)</f>
        <v>-4.4303984999999999</v>
      </c>
      <c r="M58" s="140">
        <f t="shared" si="3"/>
        <v>4.5491939977868343</v>
      </c>
      <c r="N58" s="12"/>
    </row>
    <row r="59" spans="2:14">
      <c r="B59" s="11"/>
      <c r="C59" s="65">
        <v>54</v>
      </c>
      <c r="D59" s="65">
        <f>(Observaciones!D59+Observaciones!E59)/2</f>
        <v>14.25</v>
      </c>
      <c r="E59" s="141">
        <f t="shared" si="0"/>
        <v>1.6255524772300411</v>
      </c>
      <c r="F59" s="141">
        <f t="shared" si="4"/>
        <v>0.10527477090559632</v>
      </c>
      <c r="G59" s="141">
        <f t="shared" si="1"/>
        <v>2.4673557499999998</v>
      </c>
      <c r="H59" s="141">
        <f>0.001013*Constantes!$D$6/(0.622*G59)</f>
        <v>4.5162130477176848E-2</v>
      </c>
      <c r="I59" s="141">
        <f t="shared" si="5"/>
        <v>0.35736227060066839</v>
      </c>
      <c r="J59" s="141">
        <f t="shared" si="2"/>
        <v>-0.18959206079926599</v>
      </c>
      <c r="K59" s="141">
        <f>(Constantes!$D$12/0.8)*(Constantes!$D$7*J59^2+Constantes!$D$8*J59+Constantes!$D$9)</f>
        <v>19.190341837423617</v>
      </c>
      <c r="L59" s="141">
        <f>(Constantes!$D$12/0.8)*(0.00376*D59^2-0.0516*D59-6.967)</f>
        <v>-4.3367406249999991</v>
      </c>
      <c r="M59" s="140">
        <f t="shared" si="3"/>
        <v>4.8966424079110613</v>
      </c>
      <c r="N59" s="12"/>
    </row>
    <row r="60" spans="2:14">
      <c r="B60" s="11"/>
      <c r="C60" s="65">
        <v>55</v>
      </c>
      <c r="D60" s="65">
        <f>(Observaciones!D60+Observaciones!E60)/2</f>
        <v>14.5</v>
      </c>
      <c r="E60" s="141">
        <f t="shared" si="0"/>
        <v>1.6520640028566567</v>
      </c>
      <c r="F60" s="141">
        <f t="shared" si="4"/>
        <v>0.10677937410937641</v>
      </c>
      <c r="G60" s="141">
        <f t="shared" si="1"/>
        <v>2.4667654999999997</v>
      </c>
      <c r="H60" s="141">
        <f>0.001013*Constantes!$D$6/(0.622*G60)</f>
        <v>4.5172936914803029E-2</v>
      </c>
      <c r="I60" s="141">
        <f t="shared" si="5"/>
        <v>0.35894072909367275</v>
      </c>
      <c r="J60" s="141">
        <f t="shared" si="2"/>
        <v>-0.18332580077182795</v>
      </c>
      <c r="K60" s="141">
        <f>(Constantes!$D$12/0.8)*(Constantes!$D$7*J60^2+Constantes!$D$8*J60+Constantes!$D$9)</f>
        <v>19.167876982007542</v>
      </c>
      <c r="L60" s="141">
        <f>(Constantes!$D$12/0.8)*(0.00376*D60^2-0.0516*D60-6.967)</f>
        <v>-4.3279125000000001</v>
      </c>
      <c r="M60" s="140">
        <f t="shared" si="3"/>
        <v>4.9138597665500168</v>
      </c>
      <c r="N60" s="12"/>
    </row>
    <row r="61" spans="2:14">
      <c r="B61" s="11"/>
      <c r="C61" s="65">
        <v>56</v>
      </c>
      <c r="D61" s="65">
        <f>(Observaciones!D61+Observaciones!E61)/2</f>
        <v>14.15</v>
      </c>
      <c r="E61" s="141">
        <f t="shared" si="0"/>
        <v>1.6150528288927855</v>
      </c>
      <c r="F61" s="141">
        <f t="shared" si="4"/>
        <v>0.10467799774317721</v>
      </c>
      <c r="G61" s="141">
        <f t="shared" si="1"/>
        <v>2.4675918499999998</v>
      </c>
      <c r="H61" s="141">
        <f>0.001013*Constantes!$D$6/(0.622*G61)</f>
        <v>4.5157809349675282E-2</v>
      </c>
      <c r="I61" s="141">
        <f t="shared" si="5"/>
        <v>0.35672784756039339</v>
      </c>
      <c r="J61" s="141">
        <f t="shared" si="2"/>
        <v>-0.17700521735312635</v>
      </c>
      <c r="K61" s="141">
        <f>(Constantes!$D$12/0.8)*(Constantes!$D$7*J61^2+Constantes!$D$8*J61+Constantes!$D$9)</f>
        <v>19.144545746259197</v>
      </c>
      <c r="L61" s="141">
        <f>(Constantes!$D$12/0.8)*(0.00376*D61^2-0.0516*D61-6.967)</f>
        <v>-4.3401896249999998</v>
      </c>
      <c r="M61" s="140">
        <f t="shared" si="3"/>
        <v>4.8713625378592553</v>
      </c>
      <c r="N61" s="12"/>
    </row>
    <row r="62" spans="2:14">
      <c r="B62" s="11"/>
      <c r="C62" s="65">
        <v>57</v>
      </c>
      <c r="D62" s="65">
        <f>(Observaciones!D62+Observaciones!E62)/2</f>
        <v>15.35</v>
      </c>
      <c r="E62" s="141">
        <f t="shared" si="0"/>
        <v>1.7450618963749391</v>
      </c>
      <c r="F62" s="141">
        <f t="shared" si="4"/>
        <v>0.112032540584853</v>
      </c>
      <c r="G62" s="141">
        <f t="shared" si="1"/>
        <v>2.4647586499999998</v>
      </c>
      <c r="H62" s="141">
        <f>0.001013*Constantes!$D$6/(0.622*G62)</f>
        <v>4.5209717517418001E-2</v>
      </c>
      <c r="I62" s="141">
        <f t="shared" si="5"/>
        <v>0.36422609565334357</v>
      </c>
      <c r="J62" s="141">
        <f t="shared" si="2"/>
        <v>-0.17063218346843756</v>
      </c>
      <c r="K62" s="141">
        <f>(Constantes!$D$12/0.8)*(Constantes!$D$7*J62^2+Constantes!$D$8*J62+Constantes!$D$9)</f>
        <v>19.120337953201695</v>
      </c>
      <c r="L62" s="141">
        <f>(Constantes!$D$12/0.8)*(0.00376*D62^2-0.0516*D62-6.967)</f>
        <v>-4.2956996249999992</v>
      </c>
      <c r="M62" s="140">
        <f t="shared" si="3"/>
        <v>4.9816725753377886</v>
      </c>
      <c r="N62" s="12"/>
    </row>
    <row r="63" spans="2:14">
      <c r="B63" s="11"/>
      <c r="C63" s="65">
        <v>58</v>
      </c>
      <c r="D63" s="65">
        <f>(Observaciones!D63+Observaciones!E63)/2</f>
        <v>12.9</v>
      </c>
      <c r="E63" s="141">
        <f t="shared" si="0"/>
        <v>1.4887393027557323</v>
      </c>
      <c r="F63" s="141">
        <f t="shared" si="4"/>
        <v>9.7457663967834368E-2</v>
      </c>
      <c r="G63" s="141">
        <f t="shared" si="1"/>
        <v>2.4705431</v>
      </c>
      <c r="H63" s="141">
        <f>0.001013*Constantes!$D$6/(0.622*G63)</f>
        <v>4.5103864941725781E-2</v>
      </c>
      <c r="I63" s="141">
        <f t="shared" si="5"/>
        <v>0.34865168081674919</v>
      </c>
      <c r="J63" s="141">
        <f t="shared" si="2"/>
        <v>-0.16420858758524295</v>
      </c>
      <c r="K63" s="141">
        <f>(Constantes!$D$12/0.8)*(Constantes!$D$7*J63^2+Constantes!$D$8*J63+Constantes!$D$9)</f>
        <v>19.095244150832961</v>
      </c>
      <c r="L63" s="141">
        <f>(Constantes!$D$12/0.8)*(0.00376*D63^2-0.0516*D63-6.967)</f>
        <v>-4.3793364999999991</v>
      </c>
      <c r="M63" s="140">
        <f t="shared" si="3"/>
        <v>4.7312705990793242</v>
      </c>
      <c r="N63" s="12"/>
    </row>
    <row r="64" spans="2:14">
      <c r="B64" s="11"/>
      <c r="C64" s="65">
        <v>59</v>
      </c>
      <c r="D64" s="65">
        <f>(Observaciones!D64+Observaciones!E64)/2</f>
        <v>14.45</v>
      </c>
      <c r="E64" s="141">
        <f t="shared" si="0"/>
        <v>1.6467315635702708</v>
      </c>
      <c r="F64" s="141">
        <f t="shared" si="4"/>
        <v>0.10647699979012407</v>
      </c>
      <c r="G64" s="141">
        <f t="shared" si="1"/>
        <v>2.4668835499999999</v>
      </c>
      <c r="H64" s="141">
        <f>0.001013*Constantes!$D$6/(0.622*G64)</f>
        <v>4.5170775213573627E-2</v>
      </c>
      <c r="I64" s="141">
        <f t="shared" si="5"/>
        <v>0.3586259064602611</v>
      </c>
      <c r="J64" s="141">
        <f t="shared" si="2"/>
        <v>-0.15773633315363528</v>
      </c>
      <c r="K64" s="141">
        <f>(Constantes!$D$12/0.8)*(Constantes!$D$7*J64^2+Constantes!$D$8*J64+Constantes!$D$9)</f>
        <v>19.069255634630828</v>
      </c>
      <c r="L64" s="141">
        <f>(Constantes!$D$12/0.8)*(0.00376*D64^2-0.0516*D64-6.967)</f>
        <v>-4.3297016250000002</v>
      </c>
      <c r="M64" s="140">
        <f t="shared" si="3"/>
        <v>4.8756621722743159</v>
      </c>
      <c r="N64" s="12"/>
    </row>
    <row r="65" spans="2:14">
      <c r="B65" s="11"/>
      <c r="C65" s="65">
        <v>60</v>
      </c>
      <c r="D65" s="65">
        <f>(Observaciones!D65+Observaciones!E65)/2</f>
        <v>14.5</v>
      </c>
      <c r="E65" s="141">
        <f t="shared" si="0"/>
        <v>1.6520640028566567</v>
      </c>
      <c r="F65" s="141">
        <f t="shared" si="4"/>
        <v>0.10677937410937641</v>
      </c>
      <c r="G65" s="141">
        <f t="shared" si="1"/>
        <v>2.4667654999999997</v>
      </c>
      <c r="H65" s="141">
        <f>0.001013*Constantes!$D$6/(0.622*G65)</f>
        <v>4.5172936914803029E-2</v>
      </c>
      <c r="I65" s="141">
        <f t="shared" si="5"/>
        <v>0.35894072909367275</v>
      </c>
      <c r="J65" s="141">
        <f t="shared" si="2"/>
        <v>-0.15121733804228529</v>
      </c>
      <c r="K65" s="141">
        <f>(Constantes!$D$12/0.8)*(Constantes!$D$7*J65^2+Constantes!$D$8*J65+Constantes!$D$9)</f>
        <v>19.042364469261916</v>
      </c>
      <c r="L65" s="141">
        <f>(Constantes!$D$12/0.8)*(0.00376*D65^2-0.0516*D65-6.967)</f>
        <v>-4.3279125000000001</v>
      </c>
      <c r="M65" s="140">
        <f t="shared" si="3"/>
        <v>4.8715113068848401</v>
      </c>
      <c r="N65" s="12"/>
    </row>
    <row r="66" spans="2:14">
      <c r="B66" s="11"/>
      <c r="C66" s="65">
        <v>61</v>
      </c>
      <c r="D66" s="65">
        <f>(Observaciones!D66+Observaciones!E66)/2</f>
        <v>14.1</v>
      </c>
      <c r="E66" s="141">
        <f t="shared" si="0"/>
        <v>1.6098253520131185</v>
      </c>
      <c r="F66" s="141">
        <f t="shared" si="4"/>
        <v>0.10438069155687195</v>
      </c>
      <c r="G66" s="141">
        <f t="shared" si="1"/>
        <v>2.4677099</v>
      </c>
      <c r="H66" s="141">
        <f>0.001013*Constantes!$D$6/(0.622*G66)</f>
        <v>4.5155649095994843E-2</v>
      </c>
      <c r="I66" s="141">
        <f t="shared" si="5"/>
        <v>0.35640998531823892</v>
      </c>
      <c r="J66" s="141">
        <f t="shared" si="2"/>
        <v>-0.14465353397013597</v>
      </c>
      <c r="K66" s="141">
        <f>(Constantes!$D$12/0.8)*(Constantes!$D$7*J66^2+Constantes!$D$8*J66+Constantes!$D$9)</f>
        <v>19.014563509465145</v>
      </c>
      <c r="L66" s="141">
        <f>(Constantes!$D$12/0.8)*(0.00376*D66^2-0.0516*D66-6.967)</f>
        <v>-4.3418964999999998</v>
      </c>
      <c r="M66" s="140">
        <f t="shared" si="3"/>
        <v>4.8228662153484079</v>
      </c>
      <c r="N66" s="12"/>
    </row>
    <row r="67" spans="2:14">
      <c r="B67" s="11"/>
      <c r="C67" s="65">
        <v>62</v>
      </c>
      <c r="D67" s="65">
        <f>(Observaciones!D67+Observaciones!E67)/2</f>
        <v>14.1</v>
      </c>
      <c r="E67" s="141">
        <f t="shared" si="0"/>
        <v>1.6098253520131185</v>
      </c>
      <c r="F67" s="141">
        <f t="shared" si="4"/>
        <v>0.10438069155687195</v>
      </c>
      <c r="G67" s="141">
        <f t="shared" si="1"/>
        <v>2.4677099</v>
      </c>
      <c r="H67" s="141">
        <f>0.001013*Constantes!$D$6/(0.622*G67)</f>
        <v>4.5155649095994843E-2</v>
      </c>
      <c r="I67" s="141">
        <f t="shared" si="5"/>
        <v>0.35640998531823892</v>
      </c>
      <c r="J67" s="141">
        <f t="shared" si="2"/>
        <v>-0.13804686593399232</v>
      </c>
      <c r="K67" s="141">
        <f>(Constantes!$D$12/0.8)*(Constantes!$D$7*J67^2+Constantes!$D$8*J67+Constantes!$D$9)</f>
        <v>18.985846420081749</v>
      </c>
      <c r="L67" s="141">
        <f>(Constantes!$D$12/0.8)*(0.00376*D67^2-0.0516*D67-6.967)</f>
        <v>-4.3418964999999998</v>
      </c>
      <c r="M67" s="140">
        <f t="shared" si="3"/>
        <v>4.8132452613872214</v>
      </c>
      <c r="N67" s="12"/>
    </row>
    <row r="68" spans="2:14">
      <c r="B68" s="11"/>
      <c r="C68" s="65">
        <v>63</v>
      </c>
      <c r="D68" s="65">
        <f>(Observaciones!D68+Observaciones!E68)/2</f>
        <v>14.9</v>
      </c>
      <c r="E68" s="141">
        <f t="shared" si="0"/>
        <v>1.6952716301356707</v>
      </c>
      <c r="F68" s="141">
        <f t="shared" si="4"/>
        <v>0.10922475617100802</v>
      </c>
      <c r="G68" s="141">
        <f t="shared" si="1"/>
        <v>2.4658210999999999</v>
      </c>
      <c r="H68" s="141">
        <f>0.001013*Constantes!$D$6/(0.622*G68)</f>
        <v>4.5190237975947463E-2</v>
      </c>
      <c r="I68" s="141">
        <f t="shared" si="5"/>
        <v>0.36144364658766281</v>
      </c>
      <c r="J68" s="141">
        <f t="shared" si="2"/>
        <v>-0.13139929163217703</v>
      </c>
      <c r="K68" s="141">
        <f>(Constantes!$D$12/0.8)*(Constantes!$D$7*J68^2+Constantes!$D$8*J68+Constantes!$D$9)</f>
        <v>18.956207695204657</v>
      </c>
      <c r="L68" s="141">
        <f>(Constantes!$D$12/0.8)*(0.00376*D68^2-0.0516*D68-6.967)</f>
        <v>-4.3131765</v>
      </c>
      <c r="M68" s="140">
        <f t="shared" si="3"/>
        <v>4.881534542202</v>
      </c>
      <c r="N68" s="12"/>
    </row>
    <row r="69" spans="2:14">
      <c r="B69" s="11"/>
      <c r="C69" s="65">
        <v>64</v>
      </c>
      <c r="D69" s="65">
        <f>(Observaciones!D69+Observaciones!E69)/2</f>
        <v>14</v>
      </c>
      <c r="E69" s="141">
        <f t="shared" si="0"/>
        <v>1.5994149130233961</v>
      </c>
      <c r="F69" s="141">
        <f t="shared" si="4"/>
        <v>0.10378823296050949</v>
      </c>
      <c r="G69" s="141">
        <f t="shared" si="1"/>
        <v>2.467946</v>
      </c>
      <c r="H69" s="141">
        <f>0.001013*Constantes!$D$6/(0.622*G69)</f>
        <v>4.5151329208626335E-2</v>
      </c>
      <c r="I69" s="141">
        <f t="shared" si="5"/>
        <v>0.35577296023920879</v>
      </c>
      <c r="J69" s="141">
        <f t="shared" si="2"/>
        <v>-0.12471278088442223</v>
      </c>
      <c r="K69" s="141">
        <f>(Constantes!$D$12/0.8)*(Constantes!$D$7*J69^2+Constantes!$D$8*J69+Constantes!$D$9)</f>
        <v>18.92564267642102</v>
      </c>
      <c r="L69" s="141">
        <f>(Constantes!$D$12/0.8)*(0.00376*D69^2-0.0516*D69-6.967)</f>
        <v>-4.3452749999999991</v>
      </c>
      <c r="M69" s="140">
        <f t="shared" si="3"/>
        <v>4.7833066544511915</v>
      </c>
      <c r="N69" s="12"/>
    </row>
    <row r="70" spans="2:14">
      <c r="B70" s="11"/>
      <c r="C70" s="65">
        <v>65</v>
      </c>
      <c r="D70" s="65">
        <f>(Observaciones!D70+Observaciones!E70)/2</f>
        <v>13.1</v>
      </c>
      <c r="E70" s="141">
        <f t="shared" si="0"/>
        <v>1.5083470419027751</v>
      </c>
      <c r="F70" s="141">
        <f t="shared" si="4"/>
        <v>9.8583579016665535E-2</v>
      </c>
      <c r="G70" s="141">
        <f t="shared" si="1"/>
        <v>2.4700709000000001</v>
      </c>
      <c r="H70" s="141">
        <f>0.001013*Constantes!$D$6/(0.622*G70)</f>
        <v>4.5112487384516987E-2</v>
      </c>
      <c r="I70" s="141">
        <f t="shared" si="5"/>
        <v>0.34996194939764519</v>
      </c>
      <c r="J70" s="141">
        <f t="shared" si="2"/>
        <v>-0.11798931504816906</v>
      </c>
      <c r="K70" s="141">
        <f>(Constantes!$D$12/0.8)*(Constantes!$D$7*J70^2+Constantes!$D$8*J70+Constantes!$D$9)</f>
        <v>18.894147570122875</v>
      </c>
      <c r="L70" s="141">
        <f>(Constantes!$D$12/0.8)*(0.00376*D70^2-0.0516*D70-6.967)</f>
        <v>-4.3735664999999999</v>
      </c>
      <c r="M70" s="140">
        <f t="shared" si="3"/>
        <v>4.6849168947359274</v>
      </c>
      <c r="N70" s="12"/>
    </row>
    <row r="71" spans="2:14">
      <c r="B71" s="11"/>
      <c r="C71" s="65">
        <v>66</v>
      </c>
      <c r="D71" s="65">
        <f>(Observaciones!D71+Observaciones!E71)/2</f>
        <v>12.6</v>
      </c>
      <c r="E71" s="141">
        <f t="shared" ref="E71:E134" si="6">EXP((16.78*D71-116.9)/(D71+237.3))</f>
        <v>1.4597472514986058</v>
      </c>
      <c r="F71" s="141">
        <f t="shared" ref="F71:F134" si="7">4098*E71/((D71+237.3)^2)</f>
        <v>9.5789323919104052E-2</v>
      </c>
      <c r="G71" s="141">
        <f t="shared" ref="G71:G134" si="8">2.501-0.002361*D71</f>
        <v>2.4712513999999999</v>
      </c>
      <c r="H71" s="141">
        <f>0.001013*Constantes!$D$6/(0.622*G71)</f>
        <v>4.5090937455862456E-2</v>
      </c>
      <c r="I71" s="141">
        <f t="shared" ref="I71:I134" si="9">IF(D71&gt;0,1.26*F71/(G71*(F71+H71)),0)</f>
        <v>0.34667344489607588</v>
      </c>
      <c r="J71" s="141">
        <f t="shared" ref="J71:J134" si="10">0.409*SIN(2*PI()*(C71-82)/365)</f>
        <v>-0.11123088643144916</v>
      </c>
      <c r="K71" s="141">
        <f>(Constantes!$D$12/0.8)*(Constantes!$D$7*J71^2+Constantes!$D$8*J71+Constantes!$D$9)</f>
        <v>18.861719463861881</v>
      </c>
      <c r="L71" s="141">
        <f>(Constantes!$D$12/0.8)*(0.00376*D71^2-0.0516*D71-6.967)</f>
        <v>-4.3876390000000001</v>
      </c>
      <c r="M71" s="140">
        <f t="shared" ref="M71:M134" si="11">IF(D71&gt;0,I71*(0.94*K71+L71),0)</f>
        <v>4.625447900317968</v>
      </c>
      <c r="N71" s="12"/>
    </row>
    <row r="72" spans="2:14">
      <c r="B72" s="11"/>
      <c r="C72" s="65">
        <v>67</v>
      </c>
      <c r="D72" s="65">
        <f>(Observaciones!D72+Observaciones!E72)/2</f>
        <v>14.35</v>
      </c>
      <c r="E72" s="141">
        <f t="shared" si="6"/>
        <v>1.6361119589017179</v>
      </c>
      <c r="F72" s="141">
        <f t="shared" si="7"/>
        <v>0.10587443449555982</v>
      </c>
      <c r="G72" s="141">
        <f t="shared" si="8"/>
        <v>2.4671196499999999</v>
      </c>
      <c r="H72" s="141">
        <f>0.001013*Constantes!$D$6/(0.622*G72)</f>
        <v>4.5166452431730474E-2</v>
      </c>
      <c r="I72" s="141">
        <f t="shared" si="9"/>
        <v>0.35799495730755543</v>
      </c>
      <c r="J72" s="141">
        <f t="shared" si="10"/>
        <v>-0.10443949770252046</v>
      </c>
      <c r="K72" s="141">
        <f>(Constantes!$D$12/0.8)*(Constantes!$D$7*J72^2+Constantes!$D$8*J72+Constantes!$D$9)</f>
        <v>18.82835634172524</v>
      </c>
      <c r="L72" s="141">
        <f>(Constantes!$D$12/0.8)*(0.00376*D72^2-0.0516*D72-6.967)</f>
        <v>-4.3332446249999998</v>
      </c>
      <c r="M72" s="140">
        <f t="shared" si="11"/>
        <v>4.7847495027136562</v>
      </c>
      <c r="N72" s="12"/>
    </row>
    <row r="73" spans="2:14">
      <c r="B73" s="11"/>
      <c r="C73" s="65">
        <v>68</v>
      </c>
      <c r="D73" s="65">
        <f>(Observaciones!D73+Observaciones!E73)/2</f>
        <v>13.1</v>
      </c>
      <c r="E73" s="141">
        <f t="shared" si="6"/>
        <v>1.5083470419027751</v>
      </c>
      <c r="F73" s="141">
        <f t="shared" si="7"/>
        <v>9.8583579016665535E-2</v>
      </c>
      <c r="G73" s="141">
        <f t="shared" si="8"/>
        <v>2.4700709000000001</v>
      </c>
      <c r="H73" s="141">
        <f>0.001013*Constantes!$D$6/(0.622*G73)</f>
        <v>4.5112487384516987E-2</v>
      </c>
      <c r="I73" s="141">
        <f t="shared" si="9"/>
        <v>0.34996194939764519</v>
      </c>
      <c r="J73" s="141">
        <f t="shared" si="10"/>
        <v>-9.7617161296433594E-2</v>
      </c>
      <c r="K73" s="141">
        <f>(Constantes!$D$12/0.8)*(Constantes!$D$7*J73^2+Constantes!$D$8*J73+Constantes!$D$9)</f>
        <v>18.794057098711075</v>
      </c>
      <c r="L73" s="141">
        <f>(Constantes!$D$12/0.8)*(0.00376*D73^2-0.0516*D73-6.967)</f>
        <v>-4.3735664999999999</v>
      </c>
      <c r="M73" s="140">
        <f t="shared" si="11"/>
        <v>4.6519907096340081</v>
      </c>
      <c r="N73" s="12"/>
    </row>
    <row r="74" spans="2:14">
      <c r="B74" s="11"/>
      <c r="C74" s="65">
        <v>69</v>
      </c>
      <c r="D74" s="65">
        <f>(Observaciones!D74+Observaciones!E74)/2</f>
        <v>14.7</v>
      </c>
      <c r="E74" s="141">
        <f t="shared" si="6"/>
        <v>1.6735455244634905</v>
      </c>
      <c r="F74" s="141">
        <f t="shared" si="7"/>
        <v>0.10799618227594142</v>
      </c>
      <c r="G74" s="141">
        <f t="shared" si="8"/>
        <v>2.4662932999999998</v>
      </c>
      <c r="H74" s="141">
        <f>0.001013*Constantes!$D$6/(0.622*G74)</f>
        <v>4.5181585789132436E-2</v>
      </c>
      <c r="I74" s="141">
        <f t="shared" si="9"/>
        <v>0.36019567023422705</v>
      </c>
      <c r="J74" s="141">
        <f t="shared" si="10"/>
        <v>-9.0765898818703686E-2</v>
      </c>
      <c r="K74" s="141">
        <f>(Constantes!$D$12/0.8)*(Constantes!$D$7*J74^2+Constantes!$D$8*J74+Constantes!$D$9)</f>
        <v>18.758821554082626</v>
      </c>
      <c r="L74" s="141">
        <f>(Constantes!$D$12/0.8)*(0.00376*D74^2-0.0516*D74-6.967)</f>
        <v>-4.3206384999999994</v>
      </c>
      <c r="M74" s="140">
        <f t="shared" si="11"/>
        <v>4.7951602439811269</v>
      </c>
      <c r="N74" s="12"/>
    </row>
    <row r="75" spans="2:14">
      <c r="B75" s="11"/>
      <c r="C75" s="65">
        <v>70</v>
      </c>
      <c r="D75" s="65">
        <f>(Observaciones!D75+Observaciones!E75)/2</f>
        <v>13.5</v>
      </c>
      <c r="E75" s="141">
        <f t="shared" si="6"/>
        <v>1.5482437315899678</v>
      </c>
      <c r="F75" s="141">
        <f t="shared" si="7"/>
        <v>0.10086865272047608</v>
      </c>
      <c r="G75" s="141">
        <f t="shared" si="8"/>
        <v>2.4691264999999998</v>
      </c>
      <c r="H75" s="141">
        <f>0.001013*Constantes!$D$6/(0.622*G75)</f>
        <v>4.512974216392418E-2</v>
      </c>
      <c r="I75" s="141">
        <f t="shared" si="9"/>
        <v>0.35256187200074002</v>
      </c>
      <c r="J75" s="141">
        <f t="shared" si="10"/>
        <v>-8.3887740446265249E-2</v>
      </c>
      <c r="K75" s="141">
        <f>(Constantes!$D$12/0.8)*(Constantes!$D$7*J75^2+Constantes!$D$8*J75+Constantes!$D$9)</f>
        <v>18.722650463681902</v>
      </c>
      <c r="L75" s="141">
        <f>(Constantes!$D$12/0.8)*(0.00376*D75^2-0.0516*D75-6.967)</f>
        <v>-4.3614625</v>
      </c>
      <c r="M75" s="140">
        <f t="shared" si="11"/>
        <v>4.6671537508527141</v>
      </c>
      <c r="N75" s="12"/>
    </row>
    <row r="76" spans="2:14">
      <c r="B76" s="11"/>
      <c r="C76" s="65">
        <v>71</v>
      </c>
      <c r="D76" s="65">
        <f>(Observaciones!D76+Observaciones!E76)/2</f>
        <v>14</v>
      </c>
      <c r="E76" s="141">
        <f t="shared" si="6"/>
        <v>1.5994149130233961</v>
      </c>
      <c r="F76" s="141">
        <f t="shared" si="7"/>
        <v>0.10378823296050949</v>
      </c>
      <c r="G76" s="141">
        <f t="shared" si="8"/>
        <v>2.467946</v>
      </c>
      <c r="H76" s="141">
        <f>0.001013*Constantes!$D$6/(0.622*G76)</f>
        <v>4.5151329208626335E-2</v>
      </c>
      <c r="I76" s="141">
        <f t="shared" si="9"/>
        <v>0.35577296023920879</v>
      </c>
      <c r="J76" s="141">
        <f t="shared" si="10"/>
        <v>-7.6984724325886864E-2</v>
      </c>
      <c r="K76" s="141">
        <f>(Constantes!$D$12/0.8)*(Constantes!$D$7*J76^2+Constantes!$D$8*J76+Constantes!$D$9)</f>
        <v>18.685545531184623</v>
      </c>
      <c r="L76" s="141">
        <f>(Constantes!$D$12/0.8)*(0.00376*D76^2-0.0516*D76-6.967)</f>
        <v>-4.3452749999999991</v>
      </c>
      <c r="M76" s="140">
        <f t="shared" si="11"/>
        <v>4.7030117866717998</v>
      </c>
      <c r="N76" s="12"/>
    </row>
    <row r="77" spans="2:14">
      <c r="B77" s="11"/>
      <c r="C77" s="65">
        <v>72</v>
      </c>
      <c r="D77" s="65">
        <f>(Observaciones!D77+Observaciones!E77)/2</f>
        <v>14.05</v>
      </c>
      <c r="E77" s="141">
        <f t="shared" si="6"/>
        <v>1.604612725353836</v>
      </c>
      <c r="F77" s="141">
        <f t="shared" si="7"/>
        <v>0.10408410376289531</v>
      </c>
      <c r="G77" s="141">
        <f t="shared" si="8"/>
        <v>2.4678279499999998</v>
      </c>
      <c r="H77" s="141">
        <f>0.001013*Constantes!$D$6/(0.622*G77)</f>
        <v>4.5153489048988422E-2</v>
      </c>
      <c r="I77" s="141">
        <f t="shared" si="9"/>
        <v>0.35609168948623277</v>
      </c>
      <c r="J77" s="141">
        <f t="shared" si="10"/>
        <v>-7.0058895970224327E-2</v>
      </c>
      <c r="K77" s="141">
        <f>(Constantes!$D$12/0.8)*(Constantes!$D$7*J77^2+Constantes!$D$8*J77+Constantes!$D$9)</f>
        <v>18.647509418279455</v>
      </c>
      <c r="L77" s="141">
        <f>(Constantes!$D$12/0.8)*(0.00376*D77^2-0.0516*D77-6.967)</f>
        <v>-4.3435916249999993</v>
      </c>
      <c r="M77" s="140">
        <f t="shared" si="11"/>
        <v>4.6950928652731339</v>
      </c>
      <c r="N77" s="12"/>
    </row>
    <row r="78" spans="2:14">
      <c r="B78" s="11"/>
      <c r="C78" s="65">
        <v>73</v>
      </c>
      <c r="D78" s="65">
        <f>(Observaciones!D78+Observaciones!E78)/2</f>
        <v>12.3</v>
      </c>
      <c r="E78" s="141">
        <f t="shared" si="6"/>
        <v>1.4312521342340263</v>
      </c>
      <c r="F78" s="141">
        <f t="shared" si="7"/>
        <v>9.4145364090413866E-2</v>
      </c>
      <c r="G78" s="141">
        <f t="shared" si="8"/>
        <v>2.4719596999999998</v>
      </c>
      <c r="H78" s="141">
        <f>0.001013*Constantes!$D$6/(0.622*G78)</f>
        <v>4.5078017378322364E-2</v>
      </c>
      <c r="I78" s="141">
        <f t="shared" si="9"/>
        <v>0.34467987000801242</v>
      </c>
      <c r="J78" s="141">
        <f t="shared" si="10"/>
        <v>-6.3112307651690999E-2</v>
      </c>
      <c r="K78" s="141">
        <f>(Constantes!$D$12/0.8)*(Constantes!$D$7*J78^2+Constantes!$D$8*J78+Constantes!$D$9)</f>
        <v>18.608545753755926</v>
      </c>
      <c r="L78" s="141">
        <f>(Constantes!$D$12/0.8)*(0.00376*D78^2-0.0516*D78-6.967)</f>
        <v>-4.3955184999999997</v>
      </c>
      <c r="M78" s="140">
        <f t="shared" si="11"/>
        <v>4.514104918358365</v>
      </c>
      <c r="N78" s="12"/>
    </row>
    <row r="79" spans="2:14">
      <c r="B79" s="11"/>
      <c r="C79" s="65">
        <v>74</v>
      </c>
      <c r="D79" s="65">
        <f>(Observaciones!D79+Observaciones!E79)/2</f>
        <v>12.7</v>
      </c>
      <c r="E79" s="141">
        <f t="shared" si="6"/>
        <v>1.4693556920806219</v>
      </c>
      <c r="F79" s="141">
        <f t="shared" si="7"/>
        <v>9.6342714018342213E-2</v>
      </c>
      <c r="G79" s="141">
        <f t="shared" si="8"/>
        <v>2.4710152999999999</v>
      </c>
      <c r="H79" s="141">
        <f>0.001013*Constantes!$D$6/(0.622*G79)</f>
        <v>4.5095245794355275E-2</v>
      </c>
      <c r="I79" s="141">
        <f t="shared" si="9"/>
        <v>0.34733456468782936</v>
      </c>
      <c r="J79" s="141">
        <f t="shared" si="10"/>
        <v>-5.6147017794325293E-2</v>
      </c>
      <c r="K79" s="141">
        <f>(Constantes!$D$12/0.8)*(Constantes!$D$7*J79^2+Constantes!$D$8*J79+Constantes!$D$9)</f>
        <v>18.568659141486574</v>
      </c>
      <c r="L79" s="141">
        <f>(Constantes!$D$12/0.8)*(0.00376*D79^2-0.0516*D79-6.967)</f>
        <v>-4.3849184999999995</v>
      </c>
      <c r="M79" s="140">
        <f t="shared" si="11"/>
        <v>4.5395311529711169</v>
      </c>
      <c r="N79" s="12"/>
    </row>
    <row r="80" spans="2:14">
      <c r="B80" s="11"/>
      <c r="C80" s="65">
        <v>75</v>
      </c>
      <c r="D80" s="65">
        <f>(Observaciones!D80+Observaciones!E80)/2</f>
        <v>13.3</v>
      </c>
      <c r="E80" s="141">
        <f t="shared" si="6"/>
        <v>1.5281811116551587</v>
      </c>
      <c r="F80" s="141">
        <f t="shared" si="7"/>
        <v>9.9720546117296777E-2</v>
      </c>
      <c r="G80" s="141">
        <f t="shared" si="8"/>
        <v>2.4695986999999997</v>
      </c>
      <c r="H80" s="141">
        <f>0.001013*Constantes!$D$6/(0.622*G80)</f>
        <v>4.5121113124619215E-2</v>
      </c>
      <c r="I80" s="141">
        <f t="shared" si="9"/>
        <v>0.35126535211020804</v>
      </c>
      <c r="J80" s="141">
        <f t="shared" si="10"/>
        <v>-4.9165090363835255E-2</v>
      </c>
      <c r="K80" s="141">
        <f>(Constantes!$D$12/0.8)*(Constantes!$D$7*J80^2+Constantes!$D$8*J80+Constantes!$D$9)</f>
        <v>18.527855167290255</v>
      </c>
      <c r="L80" s="141">
        <f>(Constantes!$D$12/0.8)*(0.00376*D80^2-0.0516*D80-6.967)</f>
        <v>-4.3676084999999993</v>
      </c>
      <c r="M80" s="140">
        <f t="shared" si="11"/>
        <v>4.5835124174020025</v>
      </c>
      <c r="N80" s="12"/>
    </row>
    <row r="81" spans="2:14">
      <c r="B81" s="11"/>
      <c r="C81" s="65">
        <v>76</v>
      </c>
      <c r="D81" s="65">
        <f>(Observaciones!D81+Observaciones!E81)/2</f>
        <v>13.450000000000001</v>
      </c>
      <c r="E81" s="141">
        <f t="shared" si="6"/>
        <v>1.543206527984887</v>
      </c>
      <c r="F81" s="141">
        <f t="shared" si="7"/>
        <v>0.10058057694008013</v>
      </c>
      <c r="G81" s="141">
        <f t="shared" si="8"/>
        <v>2.46924455</v>
      </c>
      <c r="H81" s="141">
        <f>0.001013*Constantes!$D$6/(0.622*G81)</f>
        <v>4.5127584594694167E-2</v>
      </c>
      <c r="I81" s="141">
        <f t="shared" si="9"/>
        <v>0.35223838816895908</v>
      </c>
      <c r="J81" s="141">
        <f t="shared" si="10"/>
        <v>-4.2168594256000849E-2</v>
      </c>
      <c r="K81" s="141">
        <f>(Constantes!$D$12/0.8)*(Constantes!$D$7*J81^2+Constantes!$D$8*J81+Constantes!$D$9)</f>
        <v>18.486140404664809</v>
      </c>
      <c r="L81" s="141">
        <f>(Constantes!$D$12/0.8)*(0.00376*D81^2-0.0516*D81-6.967)</f>
        <v>-4.3630166249999993</v>
      </c>
      <c r="M81" s="140">
        <f t="shared" si="11"/>
        <v>4.5840146580835768</v>
      </c>
      <c r="N81" s="12"/>
    </row>
    <row r="82" spans="2:14">
      <c r="B82" s="11"/>
      <c r="C82" s="65">
        <v>77</v>
      </c>
      <c r="D82" s="65">
        <f>(Observaciones!D82+Observaciones!E82)/2</f>
        <v>14.95</v>
      </c>
      <c r="E82" s="141">
        <f t="shared" si="6"/>
        <v>1.7007416492954901</v>
      </c>
      <c r="F82" s="141">
        <f t="shared" si="7"/>
        <v>0.10953374874986048</v>
      </c>
      <c r="G82" s="141">
        <f t="shared" si="8"/>
        <v>2.4657030500000001</v>
      </c>
      <c r="H82" s="141">
        <f>0.001013*Constantes!$D$6/(0.622*G82)</f>
        <v>4.5192401540450108E-2</v>
      </c>
      <c r="I82" s="141">
        <f t="shared" si="9"/>
        <v>0.36175455161738501</v>
      </c>
      <c r="J82" s="141">
        <f t="shared" si="10"/>
        <v>-3.5159602683615607E-2</v>
      </c>
      <c r="K82" s="141">
        <f>(Constantes!$D$12/0.8)*(Constantes!$D$7*J82^2+Constantes!$D$8*J82+Constantes!$D$9)</f>
        <v>18.443522419378656</v>
      </c>
      <c r="L82" s="141">
        <f>(Constantes!$D$12/0.8)*(0.00376*D82^2-0.0516*D82-6.967)</f>
        <v>-4.3112816249999995</v>
      </c>
      <c r="M82" s="140">
        <f t="shared" si="11"/>
        <v>4.7120807409353169</v>
      </c>
      <c r="N82" s="12"/>
    </row>
    <row r="83" spans="2:14">
      <c r="B83" s="11"/>
      <c r="C83" s="65">
        <v>78</v>
      </c>
      <c r="D83" s="65">
        <f>(Observaciones!D83+Observaciones!E83)/2</f>
        <v>15.55</v>
      </c>
      <c r="E83" s="141">
        <f t="shared" si="6"/>
        <v>1.7675993131821897</v>
      </c>
      <c r="F83" s="141">
        <f t="shared" si="7"/>
        <v>0.11329998758344098</v>
      </c>
      <c r="G83" s="141">
        <f t="shared" si="8"/>
        <v>2.4642864499999999</v>
      </c>
      <c r="H83" s="141">
        <f>0.001013*Constantes!$D$6/(0.622*G83)</f>
        <v>4.5218380482963956E-2</v>
      </c>
      <c r="I83" s="141">
        <f t="shared" si="9"/>
        <v>0.36545139639916813</v>
      </c>
      <c r="J83" s="141">
        <f t="shared" si="10"/>
        <v>-2.8140192562148822E-2</v>
      </c>
      <c r="K83" s="141">
        <f>(Constantes!$D$12/0.8)*(Constantes!$D$7*J83^2+Constantes!$D$8*J83+Constantes!$D$9)</f>
        <v>18.400009772912163</v>
      </c>
      <c r="L83" s="141">
        <f>(Constantes!$D$12/0.8)*(0.00376*D83^2-0.0516*D83-6.967)</f>
        <v>-4.2876266249999997</v>
      </c>
      <c r="M83" s="140">
        <f t="shared" si="11"/>
        <v>4.7539315720084421</v>
      </c>
      <c r="N83" s="12"/>
    </row>
    <row r="84" spans="2:14">
      <c r="B84" s="11"/>
      <c r="C84" s="65">
        <v>79</v>
      </c>
      <c r="D84" s="65">
        <f>(Observaciones!D84+Observaciones!E84)/2</f>
        <v>14.700000000000001</v>
      </c>
      <c r="E84" s="141">
        <f t="shared" si="6"/>
        <v>1.6735455244634907</v>
      </c>
      <c r="F84" s="141">
        <f t="shared" si="7"/>
        <v>0.10799618227594143</v>
      </c>
      <c r="G84" s="141">
        <f t="shared" si="8"/>
        <v>2.4662932999999998</v>
      </c>
      <c r="H84" s="141">
        <f>0.001013*Constantes!$D$6/(0.622*G84)</f>
        <v>4.5181585789132436E-2</v>
      </c>
      <c r="I84" s="141">
        <f t="shared" si="9"/>
        <v>0.36019567023422699</v>
      </c>
      <c r="J84" s="141">
        <f t="shared" si="10"/>
        <v>-2.1112443894310787E-2</v>
      </c>
      <c r="K84" s="141">
        <f>(Constantes!$D$12/0.8)*(Constantes!$D$7*J84^2+Constantes!$D$8*J84+Constantes!$D$9)</f>
        <v>18.355612024741074</v>
      </c>
      <c r="L84" s="141">
        <f>(Constantes!$D$12/0.8)*(0.00376*D84^2-0.0516*D84-6.967)</f>
        <v>-4.3206384999999994</v>
      </c>
      <c r="M84" s="140">
        <f t="shared" si="11"/>
        <v>4.6586399769150795</v>
      </c>
      <c r="N84" s="12"/>
    </row>
    <row r="85" spans="2:14">
      <c r="B85" s="11"/>
      <c r="C85" s="65">
        <v>80</v>
      </c>
      <c r="D85" s="65">
        <f>(Observaciones!D85+Observaciones!E85)/2</f>
        <v>13.1</v>
      </c>
      <c r="E85" s="141">
        <f t="shared" si="6"/>
        <v>1.5083470419027751</v>
      </c>
      <c r="F85" s="141">
        <f t="shared" si="7"/>
        <v>9.8583579016665535E-2</v>
      </c>
      <c r="G85" s="141">
        <f t="shared" si="8"/>
        <v>2.4700709000000001</v>
      </c>
      <c r="H85" s="141">
        <f>0.001013*Constantes!$D$6/(0.622*G85)</f>
        <v>4.5112487384516987E-2</v>
      </c>
      <c r="I85" s="141">
        <f t="shared" si="9"/>
        <v>0.34996194939764519</v>
      </c>
      <c r="J85" s="141">
        <f t="shared" si="10"/>
        <v>-1.4078439153703007E-2</v>
      </c>
      <c r="K85" s="141">
        <f>(Constantes!$D$12/0.8)*(Constantes!$D$7*J85^2+Constantes!$D$8*J85+Constantes!$D$9)</f>
        <v>18.310339733455606</v>
      </c>
      <c r="L85" s="141">
        <f>(Constantes!$D$12/0.8)*(0.00376*D85^2-0.0516*D85-6.967)</f>
        <v>-4.3735664999999999</v>
      </c>
      <c r="M85" s="140">
        <f t="shared" si="11"/>
        <v>4.4928649978578505</v>
      </c>
      <c r="N85" s="12"/>
    </row>
    <row r="86" spans="2:14">
      <c r="B86" s="11"/>
      <c r="C86" s="65">
        <v>81</v>
      </c>
      <c r="D86" s="65">
        <f>(Observaciones!D86+Observaciones!E86)/2</f>
        <v>13.3</v>
      </c>
      <c r="E86" s="141">
        <f t="shared" si="6"/>
        <v>1.5281811116551587</v>
      </c>
      <c r="F86" s="141">
        <f t="shared" si="7"/>
        <v>9.9720546117296777E-2</v>
      </c>
      <c r="G86" s="141">
        <f t="shared" si="8"/>
        <v>2.4695986999999997</v>
      </c>
      <c r="H86" s="141">
        <f>0.001013*Constantes!$D$6/(0.622*G86)</f>
        <v>4.5121113124619215E-2</v>
      </c>
      <c r="I86" s="141">
        <f t="shared" si="9"/>
        <v>0.35126535211020804</v>
      </c>
      <c r="J86" s="141">
        <f t="shared" si="10"/>
        <v>-7.0402626677363855E-3</v>
      </c>
      <c r="K86" s="141">
        <f>(Constantes!$D$12/0.8)*(Constantes!$D$7*J86^2+Constantes!$D$8*J86+Constantes!$D$9)</f>
        <v>18.264204456710146</v>
      </c>
      <c r="L86" s="141">
        <f>(Constantes!$D$12/0.8)*(0.00376*D86^2-0.0516*D86-6.967)</f>
        <v>-4.3676084999999993</v>
      </c>
      <c r="M86" s="140">
        <f t="shared" si="11"/>
        <v>4.4964577392971359</v>
      </c>
      <c r="N86" s="12"/>
    </row>
    <row r="87" spans="2:14">
      <c r="B87" s="11"/>
      <c r="C87" s="65">
        <v>82</v>
      </c>
      <c r="D87" s="65">
        <f>(Observaciones!D87+Observaciones!E87)/2</f>
        <v>11.75</v>
      </c>
      <c r="E87" s="141">
        <f t="shared" si="6"/>
        <v>1.3802776599471762</v>
      </c>
      <c r="F87" s="141">
        <f t="shared" si="7"/>
        <v>9.1193801661548224E-2</v>
      </c>
      <c r="G87" s="141">
        <f t="shared" si="8"/>
        <v>2.4732582499999998</v>
      </c>
      <c r="H87" s="141">
        <f>0.001013*Constantes!$D$6/(0.622*G87)</f>
        <v>4.5054349789437696E-2</v>
      </c>
      <c r="I87" s="141">
        <f t="shared" si="9"/>
        <v>0.34098539738615508</v>
      </c>
      <c r="J87" s="141">
        <f t="shared" si="10"/>
        <v>0</v>
      </c>
      <c r="K87" s="141">
        <f>(Constantes!$D$12/0.8)*(Constantes!$D$7*J87^2+Constantes!$D$8*J87+Constantes!$D$9)</f>
        <v>18.217218750000001</v>
      </c>
      <c r="L87" s="141">
        <f>(Constantes!$D$12/0.8)*(0.00376*D87^2-0.0516*D87-6.967)</f>
        <v>-4.4088656249999998</v>
      </c>
      <c r="M87" s="140">
        <f t="shared" si="11"/>
        <v>4.3357384430921249</v>
      </c>
      <c r="N87" s="12"/>
    </row>
    <row r="88" spans="2:14">
      <c r="B88" s="11"/>
      <c r="C88" s="65">
        <v>83</v>
      </c>
      <c r="D88" s="65">
        <f>(Observaciones!D88+Observaciones!E88)/2</f>
        <v>13.1</v>
      </c>
      <c r="E88" s="141">
        <f t="shared" si="6"/>
        <v>1.5083470419027751</v>
      </c>
      <c r="F88" s="141">
        <f t="shared" si="7"/>
        <v>9.8583579016665535E-2</v>
      </c>
      <c r="G88" s="141">
        <f t="shared" si="8"/>
        <v>2.4700709000000001</v>
      </c>
      <c r="H88" s="141">
        <f>0.001013*Constantes!$D$6/(0.622*G88)</f>
        <v>4.5112487384516987E-2</v>
      </c>
      <c r="I88" s="141">
        <f t="shared" si="9"/>
        <v>0.34996194939764519</v>
      </c>
      <c r="J88" s="141">
        <f t="shared" si="10"/>
        <v>7.0402626677363855E-3</v>
      </c>
      <c r="K88" s="141">
        <f>(Constantes!$D$12/0.8)*(Constantes!$D$7*J88^2+Constantes!$D$8*J88+Constantes!$D$9)</f>
        <v>18.169396164262864</v>
      </c>
      <c r="L88" s="141">
        <f>(Constantes!$D$12/0.8)*(0.00376*D88^2-0.0516*D88-6.967)</f>
        <v>-4.3735664999999999</v>
      </c>
      <c r="M88" s="140">
        <f t="shared" si="11"/>
        <v>4.4464996048018808</v>
      </c>
      <c r="N88" s="12"/>
    </row>
    <row r="89" spans="2:14">
      <c r="B89" s="11"/>
      <c r="C89" s="65">
        <v>84</v>
      </c>
      <c r="D89" s="65">
        <f>(Observaciones!D89+Observaciones!E89)/2</f>
        <v>15.15</v>
      </c>
      <c r="E89" s="141">
        <f t="shared" si="6"/>
        <v>1.7227768098060423</v>
      </c>
      <c r="F89" s="141">
        <f t="shared" si="7"/>
        <v>0.11077715852006502</v>
      </c>
      <c r="G89" s="141">
        <f t="shared" si="8"/>
        <v>2.4652308499999998</v>
      </c>
      <c r="H89" s="141">
        <f>0.001013*Constantes!$D$6/(0.622*G89)</f>
        <v>4.5201057870548941E-2</v>
      </c>
      <c r="I89" s="141">
        <f t="shared" si="9"/>
        <v>0.36299381271709158</v>
      </c>
      <c r="J89" s="141">
        <f t="shared" si="10"/>
        <v>1.4078439153703007E-2</v>
      </c>
      <c r="K89" s="141">
        <f>(Constantes!$D$12/0.8)*(Constantes!$D$7*J89^2+Constantes!$D$8*J89+Constantes!$D$9)</f>
        <v>18.12075124230423</v>
      </c>
      <c r="L89" s="141">
        <f>(Constantes!$D$12/0.8)*(0.00376*D89^2-0.0516*D89-6.967)</f>
        <v>-4.3035846250000001</v>
      </c>
      <c r="M89" s="140">
        <f t="shared" si="11"/>
        <v>4.6208827563980623</v>
      </c>
      <c r="N89" s="12"/>
    </row>
    <row r="90" spans="2:14">
      <c r="B90" s="11"/>
      <c r="C90" s="65">
        <v>85</v>
      </c>
      <c r="D90" s="65">
        <f>(Observaciones!D90+Observaciones!E90)/2</f>
        <v>14.05</v>
      </c>
      <c r="E90" s="141">
        <f t="shared" si="6"/>
        <v>1.604612725353836</v>
      </c>
      <c r="F90" s="141">
        <f t="shared" si="7"/>
        <v>0.10408410376289531</v>
      </c>
      <c r="G90" s="141">
        <f t="shared" si="8"/>
        <v>2.4678279499999998</v>
      </c>
      <c r="H90" s="141">
        <f>0.001013*Constantes!$D$6/(0.622*G90)</f>
        <v>4.5153489048988422E-2</v>
      </c>
      <c r="I90" s="141">
        <f t="shared" si="9"/>
        <v>0.35609168948623277</v>
      </c>
      <c r="J90" s="141">
        <f t="shared" si="10"/>
        <v>2.1112443894310787E-2</v>
      </c>
      <c r="K90" s="141">
        <f>(Constantes!$D$12/0.8)*(Constantes!$D$7*J90^2+Constantes!$D$8*J90+Constantes!$D$9)</f>
        <v>18.071299514047187</v>
      </c>
      <c r="L90" s="141">
        <f>(Constantes!$D$12/0.8)*(0.00376*D90^2-0.0516*D90-6.967)</f>
        <v>-4.3435916249999993</v>
      </c>
      <c r="M90" s="140">
        <f t="shared" si="11"/>
        <v>4.5022203204741702</v>
      </c>
      <c r="N90" s="12"/>
    </row>
    <row r="91" spans="2:14">
      <c r="B91" s="11"/>
      <c r="C91" s="65">
        <v>86</v>
      </c>
      <c r="D91" s="65">
        <f>(Observaciones!D91+Observaciones!E91)/2</f>
        <v>14.649999999999999</v>
      </c>
      <c r="E91" s="141">
        <f t="shared" si="6"/>
        <v>1.6681523061985433</v>
      </c>
      <c r="F91" s="141">
        <f t="shared" si="7"/>
        <v>0.10769088075978796</v>
      </c>
      <c r="G91" s="141">
        <f t="shared" si="8"/>
        <v>2.46641135</v>
      </c>
      <c r="H91" s="141">
        <f>0.001013*Constantes!$D$6/(0.622*G91)</f>
        <v>4.5179423260078871E-2</v>
      </c>
      <c r="I91" s="141">
        <f t="shared" si="9"/>
        <v>0.35988258760990804</v>
      </c>
      <c r="J91" s="141">
        <f t="shared" si="10"/>
        <v>2.8140192562148822E-2</v>
      </c>
      <c r="K91" s="141">
        <f>(Constantes!$D$12/0.8)*(Constantes!$D$7*J91^2+Constantes!$D$8*J91+Constantes!$D$9)</f>
        <v>18.021057490608644</v>
      </c>
      <c r="L91" s="141">
        <f>(Constantes!$D$12/0.8)*(0.00376*D91^2-0.0516*D91-6.967)</f>
        <v>-4.3224746249999999</v>
      </c>
      <c r="M91" s="140">
        <f t="shared" si="11"/>
        <v>4.5407535601927584</v>
      </c>
      <c r="N91" s="12"/>
    </row>
    <row r="92" spans="2:14">
      <c r="B92" s="11"/>
      <c r="C92" s="65">
        <v>87</v>
      </c>
      <c r="D92" s="65">
        <f>(Observaciones!D92+Observaciones!E92)/2</f>
        <v>13.299999999999999</v>
      </c>
      <c r="E92" s="141">
        <f t="shared" si="6"/>
        <v>1.5281811116551585</v>
      </c>
      <c r="F92" s="141">
        <f t="shared" si="7"/>
        <v>9.9720546117296763E-2</v>
      </c>
      <c r="G92" s="141">
        <f t="shared" si="8"/>
        <v>2.4695986999999997</v>
      </c>
      <c r="H92" s="141">
        <f>0.001013*Constantes!$D$6/(0.622*G92)</f>
        <v>4.5121113124619215E-2</v>
      </c>
      <c r="I92" s="141">
        <f t="shared" si="9"/>
        <v>0.3512653521102081</v>
      </c>
      <c r="J92" s="141">
        <f t="shared" si="10"/>
        <v>3.5159602683615607E-2</v>
      </c>
      <c r="K92" s="141">
        <f>(Constantes!$D$12/0.8)*(Constantes!$D$7*J92^2+Constantes!$D$8*J92+Constantes!$D$9)</f>
        <v>17.970042657205216</v>
      </c>
      <c r="L92" s="141">
        <f>(Constantes!$D$12/0.8)*(0.00376*D92^2-0.0516*D92-6.967)</f>
        <v>-4.3676084999999993</v>
      </c>
      <c r="M92" s="140">
        <f t="shared" si="11"/>
        <v>4.3993286221014927</v>
      </c>
      <c r="N92" s="12"/>
    </row>
    <row r="93" spans="2:14">
      <c r="B93" s="11"/>
      <c r="C93" s="65">
        <v>88</v>
      </c>
      <c r="D93" s="65">
        <f>(Observaciones!D93+Observaciones!E93)/2</f>
        <v>14.1</v>
      </c>
      <c r="E93" s="141">
        <f t="shared" si="6"/>
        <v>1.6098253520131185</v>
      </c>
      <c r="F93" s="141">
        <f t="shared" si="7"/>
        <v>0.10438069155687195</v>
      </c>
      <c r="G93" s="141">
        <f t="shared" si="8"/>
        <v>2.4677099</v>
      </c>
      <c r="H93" s="141">
        <f>0.001013*Constantes!$D$6/(0.622*G93)</f>
        <v>4.5155649095994843E-2</v>
      </c>
      <c r="I93" s="141">
        <f t="shared" si="9"/>
        <v>0.35640998531823892</v>
      </c>
      <c r="J93" s="141">
        <f t="shared" si="10"/>
        <v>4.2168594256000849E-2</v>
      </c>
      <c r="K93" s="141">
        <f>(Constantes!$D$12/0.8)*(Constantes!$D$7*J93^2+Constantes!$D$8*J93+Constantes!$D$9)</f>
        <v>17.91827346489351</v>
      </c>
      <c r="L93" s="141">
        <f>(Constantes!$D$12/0.8)*(0.00376*D93^2-0.0516*D93-6.967)</f>
        <v>-4.3418964999999998</v>
      </c>
      <c r="M93" s="140">
        <f t="shared" si="11"/>
        <v>4.4555812197795195</v>
      </c>
      <c r="N93" s="12"/>
    </row>
    <row r="94" spans="2:14">
      <c r="B94" s="11"/>
      <c r="C94" s="65">
        <v>89</v>
      </c>
      <c r="D94" s="65">
        <f>(Observaciones!D94+Observaciones!E94)/2</f>
        <v>12.9</v>
      </c>
      <c r="E94" s="141">
        <f t="shared" si="6"/>
        <v>1.4887393027557323</v>
      </c>
      <c r="F94" s="141">
        <f t="shared" si="7"/>
        <v>9.7457663967834368E-2</v>
      </c>
      <c r="G94" s="141">
        <f t="shared" si="8"/>
        <v>2.4705431</v>
      </c>
      <c r="H94" s="141">
        <f>0.001013*Constantes!$D$6/(0.622*G94)</f>
        <v>4.5103864941725781E-2</v>
      </c>
      <c r="I94" s="141">
        <f t="shared" si="9"/>
        <v>0.34865168081674919</v>
      </c>
      <c r="J94" s="141">
        <f t="shared" si="10"/>
        <v>4.9165090363835255E-2</v>
      </c>
      <c r="K94" s="141">
        <f>(Constantes!$D$12/0.8)*(Constantes!$D$7*J94^2+Constantes!$D$8*J94+Constantes!$D$9)</f>
        <v>17.865769321150918</v>
      </c>
      <c r="L94" s="141">
        <f>(Constantes!$D$12/0.8)*(0.00376*D94^2-0.0516*D94-6.967)</f>
        <v>-4.3793364999999991</v>
      </c>
      <c r="M94" s="140">
        <f t="shared" si="11"/>
        <v>4.328331641142225</v>
      </c>
      <c r="N94" s="12"/>
    </row>
    <row r="95" spans="2:14">
      <c r="B95" s="11"/>
      <c r="C95" s="65">
        <v>90</v>
      </c>
      <c r="D95" s="65">
        <f>(Observaciones!D95+Observaciones!E95)/2</f>
        <v>14.5</v>
      </c>
      <c r="E95" s="141">
        <f t="shared" si="6"/>
        <v>1.6520640028566567</v>
      </c>
      <c r="F95" s="141">
        <f t="shared" si="7"/>
        <v>0.10677937410937641</v>
      </c>
      <c r="G95" s="141">
        <f t="shared" si="8"/>
        <v>2.4667654999999997</v>
      </c>
      <c r="H95" s="141">
        <f>0.001013*Constantes!$D$6/(0.622*G95)</f>
        <v>4.5172936914803029E-2</v>
      </c>
      <c r="I95" s="141">
        <f t="shared" si="9"/>
        <v>0.35894072909367275</v>
      </c>
      <c r="J95" s="141">
        <f t="shared" si="10"/>
        <v>5.6147017794325293E-2</v>
      </c>
      <c r="K95" s="141">
        <f>(Constantes!$D$12/0.8)*(Constantes!$D$7*J95^2+Constantes!$D$8*J95+Constantes!$D$9)</f>
        <v>17.8125505793044</v>
      </c>
      <c r="L95" s="141">
        <f>(Constantes!$D$12/0.8)*(0.00376*D95^2-0.0516*D95-6.967)</f>
        <v>-4.3279125000000001</v>
      </c>
      <c r="M95" s="140">
        <f t="shared" si="11"/>
        <v>4.4565668302326165</v>
      </c>
      <c r="N95" s="12"/>
    </row>
    <row r="96" spans="2:14">
      <c r="B96" s="11"/>
      <c r="C96" s="65">
        <v>91</v>
      </c>
      <c r="D96" s="65">
        <f>(Observaciones!D96+Observaciones!E96)/2</f>
        <v>14.5</v>
      </c>
      <c r="E96" s="141">
        <f t="shared" si="6"/>
        <v>1.6520640028566567</v>
      </c>
      <c r="F96" s="141">
        <f t="shared" si="7"/>
        <v>0.10677937410937641</v>
      </c>
      <c r="G96" s="141">
        <f t="shared" si="8"/>
        <v>2.4667654999999997</v>
      </c>
      <c r="H96" s="141">
        <f>0.001013*Constantes!$D$6/(0.622*G96)</f>
        <v>4.5172936914803029E-2</v>
      </c>
      <c r="I96" s="141">
        <f t="shared" si="9"/>
        <v>0.35894072909367275</v>
      </c>
      <c r="J96" s="141">
        <f t="shared" si="10"/>
        <v>6.3112307651690999E-2</v>
      </c>
      <c r="K96" s="141">
        <f>(Constantes!$D$12/0.8)*(Constantes!$D$7*J96^2+Constantes!$D$8*J96+Constantes!$D$9)</f>
        <v>17.758638526816043</v>
      </c>
      <c r="L96" s="141">
        <f>(Constantes!$D$12/0.8)*(0.00376*D96^2-0.0516*D96-6.967)</f>
        <v>-4.3279125000000001</v>
      </c>
      <c r="M96" s="140">
        <f t="shared" si="11"/>
        <v>4.4383766726911356</v>
      </c>
      <c r="N96" s="12"/>
    </row>
    <row r="97" spans="2:14">
      <c r="B97" s="11"/>
      <c r="C97" s="65">
        <v>92</v>
      </c>
      <c r="D97" s="65">
        <f>(Observaciones!D97+Observaciones!E97)/2</f>
        <v>15.1</v>
      </c>
      <c r="E97" s="141">
        <f t="shared" si="6"/>
        <v>1.7172446826168701</v>
      </c>
      <c r="F97" s="141">
        <f t="shared" si="7"/>
        <v>0.11046518728234203</v>
      </c>
      <c r="G97" s="141">
        <f t="shared" si="8"/>
        <v>2.4653489</v>
      </c>
      <c r="H97" s="141">
        <f>0.001013*Constantes!$D$6/(0.622*G97)</f>
        <v>4.5198893477151461E-2</v>
      </c>
      <c r="I97" s="141">
        <f t="shared" si="9"/>
        <v>0.36268465146207884</v>
      </c>
      <c r="J97" s="141">
        <f t="shared" si="10"/>
        <v>7.0058895970224327E-2</v>
      </c>
      <c r="K97" s="141">
        <f>(Constantes!$D$12/0.8)*(Constantes!$D$7*J97^2+Constantes!$D$8*J97+Constantes!$D$9)</f>
        <v>17.704055372435707</v>
      </c>
      <c r="L97" s="141">
        <f>(Constantes!$D$12/0.8)*(0.00376*D97^2-0.0516*D97-6.967)</f>
        <v>-4.3055265</v>
      </c>
      <c r="M97" s="140">
        <f t="shared" si="11"/>
        <v>4.4741814250709133</v>
      </c>
      <c r="N97" s="12"/>
    </row>
    <row r="98" spans="2:14">
      <c r="B98" s="11"/>
      <c r="C98" s="65">
        <v>93</v>
      </c>
      <c r="D98" s="65">
        <f>(Observaciones!D98+Observaciones!E98)/2</f>
        <v>14.4</v>
      </c>
      <c r="E98" s="141">
        <f t="shared" si="6"/>
        <v>1.6414142277133972</v>
      </c>
      <c r="F98" s="141">
        <f t="shared" si="7"/>
        <v>0.10617535372371334</v>
      </c>
      <c r="G98" s="141">
        <f t="shared" si="8"/>
        <v>2.4670015999999997</v>
      </c>
      <c r="H98" s="141">
        <f>0.001013*Constantes!$D$6/(0.622*G98)</f>
        <v>4.5168613719226022E-2</v>
      </c>
      <c r="I98" s="141">
        <f t="shared" si="9"/>
        <v>0.3583106491514223</v>
      </c>
      <c r="J98" s="141">
        <f t="shared" si="10"/>
        <v>7.6984724325886864E-2</v>
      </c>
      <c r="K98" s="141">
        <f>(Constantes!$D$12/0.8)*(Constantes!$D$7*J98^2+Constantes!$D$8*J98+Constantes!$D$9)</f>
        <v>17.648824232232201</v>
      </c>
      <c r="L98" s="141">
        <f>(Constantes!$D$12/0.8)*(0.00376*D98^2-0.0516*D98-6.967)</f>
        <v>-4.3314789999999999</v>
      </c>
      <c r="M98" s="140">
        <f t="shared" si="11"/>
        <v>4.3923209150900906</v>
      </c>
      <c r="N98" s="12"/>
    </row>
    <row r="99" spans="2:14">
      <c r="B99" s="11"/>
      <c r="C99" s="65">
        <v>94</v>
      </c>
      <c r="D99" s="65">
        <f>(Observaciones!D99+Observaciones!E99)/2</f>
        <v>13.75</v>
      </c>
      <c r="E99" s="141">
        <f t="shared" si="6"/>
        <v>1.5736468149943981</v>
      </c>
      <c r="F99" s="141">
        <f t="shared" si="7"/>
        <v>0.10231958493462359</v>
      </c>
      <c r="G99" s="141">
        <f t="shared" si="8"/>
        <v>2.4685362500000001</v>
      </c>
      <c r="H99" s="141">
        <f>0.001013*Constantes!$D$6/(0.622*G99)</f>
        <v>4.5140533105443567E-2</v>
      </c>
      <c r="I99" s="141">
        <f t="shared" si="9"/>
        <v>0.35417281924860555</v>
      </c>
      <c r="J99" s="141">
        <f t="shared" si="10"/>
        <v>8.3887740446265249E-2</v>
      </c>
      <c r="K99" s="141">
        <f>(Constantes!$D$12/0.8)*(Constantes!$D$7*J99^2+Constantes!$D$8*J99+Constantes!$D$9)</f>
        <v>17.592969114515963</v>
      </c>
      <c r="L99" s="141">
        <f>(Constantes!$D$12/0.8)*(0.00376*D99^2-0.0516*D99-6.967)</f>
        <v>-4.353515625</v>
      </c>
      <c r="M99" s="140">
        <f t="shared" si="11"/>
        <v>4.3151974794781509</v>
      </c>
      <c r="N99" s="12"/>
    </row>
    <row r="100" spans="2:14">
      <c r="B100" s="11"/>
      <c r="C100" s="65">
        <v>95</v>
      </c>
      <c r="D100" s="65">
        <f>(Observaciones!D100+Observaciones!E100)/2</f>
        <v>13.8</v>
      </c>
      <c r="E100" s="141">
        <f t="shared" si="6"/>
        <v>1.5787710916071758</v>
      </c>
      <c r="F100" s="141">
        <f t="shared" si="7"/>
        <v>0.10261189172112961</v>
      </c>
      <c r="G100" s="141">
        <f t="shared" si="8"/>
        <v>2.4684181999999999</v>
      </c>
      <c r="H100" s="141">
        <f>0.001013*Constantes!$D$6/(0.622*G100)</f>
        <v>4.5142691913028568E-2</v>
      </c>
      <c r="I100" s="141">
        <f t="shared" si="9"/>
        <v>0.35449371277278185</v>
      </c>
      <c r="J100" s="141">
        <f t="shared" si="10"/>
        <v>9.0765898818703686E-2</v>
      </c>
      <c r="K100" s="141">
        <f>(Constantes!$D$12/0.8)*(Constantes!$D$7*J100^2+Constantes!$D$8*J100+Constantes!$D$9)</f>
        <v>17.536514903667452</v>
      </c>
      <c r="L100" s="141">
        <f>(Constantes!$D$12/0.8)*(0.00376*D100^2-0.0516*D100-6.967)</f>
        <v>-4.3518910000000002</v>
      </c>
      <c r="M100" s="140">
        <f t="shared" si="11"/>
        <v>4.3008712224860659</v>
      </c>
      <c r="N100" s="12"/>
    </row>
    <row r="101" spans="2:14">
      <c r="B101" s="11"/>
      <c r="C101" s="65">
        <v>96</v>
      </c>
      <c r="D101" s="65">
        <f>(Observaciones!D101+Observaciones!E101)/2</f>
        <v>11.65</v>
      </c>
      <c r="E101" s="141">
        <f t="shared" si="6"/>
        <v>1.3711829440577765</v>
      </c>
      <c r="F101" s="141">
        <f t="shared" si="7"/>
        <v>9.0665715946703279E-2</v>
      </c>
      <c r="G101" s="141">
        <f t="shared" si="8"/>
        <v>2.4734943499999997</v>
      </c>
      <c r="H101" s="141">
        <f>0.001013*Constantes!$D$6/(0.622*G101)</f>
        <v>4.5050049261326407E-2</v>
      </c>
      <c r="I101" s="141">
        <f t="shared" si="9"/>
        <v>0.34030820325039612</v>
      </c>
      <c r="J101" s="141">
        <f t="shared" si="10"/>
        <v>9.7617161296433594E-2</v>
      </c>
      <c r="K101" s="141">
        <f>(Constantes!$D$12/0.8)*(Constantes!$D$7*J101^2+Constantes!$D$8*J101+Constantes!$D$9)</f>
        <v>17.479487342886721</v>
      </c>
      <c r="L101" s="141">
        <f>(Constantes!$D$12/0.8)*(0.00376*D101^2-0.0516*D101-6.967)</f>
        <v>-4.4111396249999997</v>
      </c>
      <c r="M101" s="140">
        <f t="shared" si="11"/>
        <v>4.0903611554416948</v>
      </c>
      <c r="N101" s="12"/>
    </row>
    <row r="102" spans="2:14">
      <c r="B102" s="11"/>
      <c r="C102" s="65">
        <v>97</v>
      </c>
      <c r="D102" s="65">
        <f>(Observaciones!D102+Observaciones!E102)/2</f>
        <v>12.15</v>
      </c>
      <c r="E102" s="141">
        <f t="shared" si="6"/>
        <v>1.4171886499432413</v>
      </c>
      <c r="F102" s="141">
        <f t="shared" si="7"/>
        <v>9.3332436390604984E-2</v>
      </c>
      <c r="G102" s="141">
        <f t="shared" si="8"/>
        <v>2.4723138499999999</v>
      </c>
      <c r="H102" s="141">
        <f>0.001013*Constantes!$D$6/(0.622*G102)</f>
        <v>4.5071560115683744E-2</v>
      </c>
      <c r="I102" s="141">
        <f t="shared" si="9"/>
        <v>0.34367735355446433</v>
      </c>
      <c r="J102" s="141">
        <f t="shared" si="10"/>
        <v>0.10443949770252046</v>
      </c>
      <c r="K102" s="141">
        <f>(Constantes!$D$12/0.8)*(Constantes!$D$7*J102^2+Constantes!$D$8*J102+Constantes!$D$9)</f>
        <v>17.421913015881092</v>
      </c>
      <c r="L102" s="141">
        <f>(Constantes!$D$12/0.8)*(0.00376*D102^2-0.0516*D102-6.967)</f>
        <v>-4.3992996250000003</v>
      </c>
      <c r="M102" s="140">
        <f t="shared" si="11"/>
        <v>4.1163262889916963</v>
      </c>
      <c r="N102" s="12"/>
    </row>
    <row r="103" spans="2:14">
      <c r="B103" s="11"/>
      <c r="C103" s="65">
        <v>98</v>
      </c>
      <c r="D103" s="65">
        <f>(Observaciones!D103+Observaciones!E103)/2</f>
        <v>12.350000000000001</v>
      </c>
      <c r="E103" s="141">
        <f t="shared" si="6"/>
        <v>1.4359671208266069</v>
      </c>
      <c r="F103" s="141">
        <f t="shared" si="7"/>
        <v>9.4417676614232643E-2</v>
      </c>
      <c r="G103" s="141">
        <f t="shared" si="8"/>
        <v>2.47184165</v>
      </c>
      <c r="H103" s="141">
        <f>0.001013*Constantes!$D$6/(0.622*G103)</f>
        <v>4.5080170210382423E-2</v>
      </c>
      <c r="I103" s="141">
        <f t="shared" si="9"/>
        <v>0.34501319460891361</v>
      </c>
      <c r="J103" s="141">
        <f t="shared" si="10"/>
        <v>0.11123088643144916</v>
      </c>
      <c r="K103" s="141">
        <f>(Constantes!$D$12/0.8)*(Constantes!$D$7*J103^2+Constantes!$D$8*J103+Constantes!$D$9)</f>
        <v>17.363819327508921</v>
      </c>
      <c r="L103" s="141">
        <f>(Constantes!$D$12/0.8)*(0.00376*D103^2-0.0516*D103-6.967)</f>
        <v>-4.3942346249999993</v>
      </c>
      <c r="M103" s="140">
        <f t="shared" si="11"/>
        <v>4.1152330443557483</v>
      </c>
      <c r="N103" s="12"/>
    </row>
    <row r="104" spans="2:14">
      <c r="B104" s="11"/>
      <c r="C104" s="65">
        <v>99</v>
      </c>
      <c r="D104" s="65">
        <f>(Observaciones!D104+Observaciones!E104)/2</f>
        <v>11.5</v>
      </c>
      <c r="E104" s="141">
        <f t="shared" si="6"/>
        <v>1.3576395793502862</v>
      </c>
      <c r="F104" s="141">
        <f t="shared" si="7"/>
        <v>8.9878474493928939E-2</v>
      </c>
      <c r="G104" s="141">
        <f t="shared" si="8"/>
        <v>2.4738484999999999</v>
      </c>
      <c r="H104" s="141">
        <f>0.001013*Constantes!$D$6/(0.622*G104)</f>
        <v>4.5043600008291752E-2</v>
      </c>
      <c r="I104" s="141">
        <f t="shared" si="9"/>
        <v>0.33928927202235942</v>
      </c>
      <c r="J104" s="141">
        <f t="shared" si="10"/>
        <v>0.11798931504816906</v>
      </c>
      <c r="K104" s="141">
        <f>(Constantes!$D$12/0.8)*(Constantes!$D$7*J104^2+Constantes!$D$8*J104+Constantes!$D$9)</f>
        <v>17.305234483398838</v>
      </c>
      <c r="L104" s="141">
        <f>(Constantes!$D$12/0.8)*(0.00376*D104^2-0.0516*D104-6.967)</f>
        <v>-4.4144625</v>
      </c>
      <c r="M104" s="140">
        <f t="shared" si="11"/>
        <v>4.0214118174507005</v>
      </c>
      <c r="N104" s="12"/>
    </row>
    <row r="105" spans="2:14">
      <c r="B105" s="11"/>
      <c r="C105" s="65">
        <v>100</v>
      </c>
      <c r="D105" s="65">
        <f>(Observaciones!D105+Observaciones!E105)/2</f>
        <v>13.05</v>
      </c>
      <c r="E105" s="141">
        <f t="shared" si="6"/>
        <v>1.5034239749399432</v>
      </c>
      <c r="F105" s="141">
        <f t="shared" si="7"/>
        <v>9.8301067529686689E-2</v>
      </c>
      <c r="G105" s="141">
        <f t="shared" si="8"/>
        <v>2.4701889499999998</v>
      </c>
      <c r="H105" s="141">
        <f>0.001013*Constantes!$D$6/(0.622*G105)</f>
        <v>4.5110331464770149E-2</v>
      </c>
      <c r="I105" s="141">
        <f t="shared" si="9"/>
        <v>0.34963502523543477</v>
      </c>
      <c r="J105" s="141">
        <f t="shared" si="10"/>
        <v>0.12471278088442223</v>
      </c>
      <c r="K105" s="141">
        <f>(Constantes!$D$12/0.8)*(Constantes!$D$7*J105^2+Constantes!$D$8*J105+Constantes!$D$9)</f>
        <v>17.246187468565054</v>
      </c>
      <c r="L105" s="141">
        <f>(Constantes!$D$12/0.8)*(0.00376*D105^2-0.0516*D105-6.967)</f>
        <v>-4.3750266249999994</v>
      </c>
      <c r="M105" s="140">
        <f t="shared" si="11"/>
        <v>4.1384163749019995</v>
      </c>
      <c r="N105" s="12"/>
    </row>
    <row r="106" spans="2:14">
      <c r="B106" s="11"/>
      <c r="C106" s="65">
        <v>101</v>
      </c>
      <c r="D106" s="65">
        <f>(Observaciones!D106+Observaciones!E106)/2</f>
        <v>13.55</v>
      </c>
      <c r="E106" s="141">
        <f t="shared" si="6"/>
        <v>1.5532953593153362</v>
      </c>
      <c r="F106" s="141">
        <f t="shared" si="7"/>
        <v>0.10115743021423786</v>
      </c>
      <c r="G106" s="141">
        <f t="shared" si="8"/>
        <v>2.46900845</v>
      </c>
      <c r="H106" s="141">
        <f>0.001013*Constantes!$D$6/(0.622*G106)</f>
        <v>4.5131899939472676E-2</v>
      </c>
      <c r="I106" s="141">
        <f t="shared" si="9"/>
        <v>0.35288492467431798</v>
      </c>
      <c r="J106" s="141">
        <f t="shared" si="10"/>
        <v>0.13139929163217703</v>
      </c>
      <c r="K106" s="141">
        <f>(Constantes!$D$12/0.8)*(Constantes!$D$7*J106^2+Constantes!$D$8*J106+Constantes!$D$9)</f>
        <v>17.186708025040463</v>
      </c>
      <c r="L106" s="141">
        <f>(Constantes!$D$12/0.8)*(0.00376*D106^2-0.0516*D106-6.967)</f>
        <v>-4.3598966250000002</v>
      </c>
      <c r="M106" s="140">
        <f t="shared" si="11"/>
        <v>4.1624925647060067</v>
      </c>
      <c r="N106" s="12"/>
    </row>
    <row r="107" spans="2:14">
      <c r="B107" s="11"/>
      <c r="C107" s="65">
        <v>102</v>
      </c>
      <c r="D107" s="65">
        <f>(Observaciones!D107+Observaciones!E107)/2</f>
        <v>13.5</v>
      </c>
      <c r="E107" s="141">
        <f t="shared" si="6"/>
        <v>1.5482437315899678</v>
      </c>
      <c r="F107" s="141">
        <f t="shared" si="7"/>
        <v>0.10086865272047608</v>
      </c>
      <c r="G107" s="141">
        <f t="shared" si="8"/>
        <v>2.4691264999999998</v>
      </c>
      <c r="H107" s="141">
        <f>0.001013*Constantes!$D$6/(0.622*G107)</f>
        <v>4.512974216392418E-2</v>
      </c>
      <c r="I107" s="141">
        <f t="shared" si="9"/>
        <v>0.35256187200074002</v>
      </c>
      <c r="J107" s="141">
        <f t="shared" si="10"/>
        <v>0.13804686593399232</v>
      </c>
      <c r="K107" s="141">
        <f>(Constantes!$D$12/0.8)*(Constantes!$D$7*J107^2+Constantes!$D$8*J107+Constantes!$D$9)</f>
        <v>17.126826628550525</v>
      </c>
      <c r="L107" s="141">
        <f>(Constantes!$D$12/0.8)*(0.00376*D107^2-0.0516*D107-6.967)</f>
        <v>-4.3614625</v>
      </c>
      <c r="M107" s="140">
        <f t="shared" si="11"/>
        <v>4.1382847104772349</v>
      </c>
      <c r="N107" s="12"/>
    </row>
    <row r="108" spans="2:14">
      <c r="B108" s="11"/>
      <c r="C108" s="65">
        <v>103</v>
      </c>
      <c r="D108" s="65">
        <f>(Observaciones!D108+Observaciones!E108)/2</f>
        <v>10.65</v>
      </c>
      <c r="E108" s="141">
        <f t="shared" si="6"/>
        <v>1.2830910256867623</v>
      </c>
      <c r="F108" s="141">
        <f t="shared" si="7"/>
        <v>8.5526597767177456E-2</v>
      </c>
      <c r="G108" s="141">
        <f t="shared" si="8"/>
        <v>2.4758553499999998</v>
      </c>
      <c r="H108" s="141">
        <f>0.001013*Constantes!$D$6/(0.622*G108)</f>
        <v>4.5007089091498233E-2</v>
      </c>
      <c r="I108" s="141">
        <f t="shared" si="9"/>
        <v>0.33344473848536765</v>
      </c>
      <c r="J108" s="141">
        <f t="shared" si="10"/>
        <v>0.14465353397013597</v>
      </c>
      <c r="K108" s="141">
        <f>(Constantes!$D$12/0.8)*(Constantes!$D$7*J108^2+Constantes!$D$8*J108+Constantes!$D$9)</f>
        <v>17.066574464252053</v>
      </c>
      <c r="L108" s="141">
        <f>(Constantes!$D$12/0.8)*(0.00376*D108^2-0.0516*D108-6.967)</f>
        <v>-4.4312946249999996</v>
      </c>
      <c r="M108" s="140">
        <f t="shared" si="11"/>
        <v>3.8717220141444235</v>
      </c>
      <c r="N108" s="12"/>
    </row>
    <row r="109" spans="2:14">
      <c r="B109" s="11"/>
      <c r="C109" s="65">
        <v>104</v>
      </c>
      <c r="D109" s="65">
        <f>(Observaciones!D109+Observaciones!E109)/2</f>
        <v>13.4</v>
      </c>
      <c r="E109" s="141">
        <f t="shared" si="6"/>
        <v>1.5381837134420713</v>
      </c>
      <c r="F109" s="141">
        <f t="shared" si="7"/>
        <v>0.10029320149589299</v>
      </c>
      <c r="G109" s="141">
        <f t="shared" si="8"/>
        <v>2.4693625999999997</v>
      </c>
      <c r="H109" s="141">
        <f>0.001013*Constantes!$D$6/(0.622*G109)</f>
        <v>4.5125427231753057E-2</v>
      </c>
      <c r="I109" s="141">
        <f t="shared" si="9"/>
        <v>0.35191447341494769</v>
      </c>
      <c r="J109" s="141">
        <f t="shared" si="10"/>
        <v>0.15121733804228529</v>
      </c>
      <c r="K109" s="141">
        <f>(Constantes!$D$12/0.8)*(Constantes!$D$7*J109^2+Constantes!$D$8*J109+Constantes!$D$9)</f>
        <v>17.005983401562105</v>
      </c>
      <c r="L109" s="141">
        <f>(Constantes!$D$12/0.8)*(0.00376*D109^2-0.0516*D109-6.967)</f>
        <v>-4.3645589999999999</v>
      </c>
      <c r="M109" s="140">
        <f t="shared" si="11"/>
        <v>4.0896211098707544</v>
      </c>
      <c r="N109" s="12"/>
    </row>
    <row r="110" spans="2:14">
      <c r="B110" s="11"/>
      <c r="C110" s="65">
        <v>105</v>
      </c>
      <c r="D110" s="65">
        <f>(Observaciones!D110+Observaciones!E110)/2</f>
        <v>11.3</v>
      </c>
      <c r="E110" s="141">
        <f t="shared" si="6"/>
        <v>1.3397646526819857</v>
      </c>
      <c r="F110" s="141">
        <f t="shared" si="7"/>
        <v>8.8837887126731518E-2</v>
      </c>
      <c r="G110" s="141">
        <f t="shared" si="8"/>
        <v>2.4743206999999998</v>
      </c>
      <c r="H110" s="141">
        <f>0.001013*Constantes!$D$6/(0.622*G110)</f>
        <v>4.5035003876058806E-2</v>
      </c>
      <c r="I110" s="141">
        <f t="shared" si="9"/>
        <v>0.33792485453988758</v>
      </c>
      <c r="J110" s="141">
        <f t="shared" si="10"/>
        <v>0.15773633315363528</v>
      </c>
      <c r="K110" s="141">
        <f>(Constantes!$D$12/0.8)*(Constantes!$D$7*J110^2+Constantes!$D$8*J110+Constantes!$D$9)</f>
        <v>16.945085968103356</v>
      </c>
      <c r="L110" s="141">
        <f>(Constantes!$D$12/0.8)*(0.00376*D110^2-0.0516*D110-6.967)</f>
        <v>-4.4187285000000003</v>
      </c>
      <c r="M110" s="140">
        <f t="shared" si="11"/>
        <v>3.889397582667228</v>
      </c>
      <c r="N110" s="12"/>
    </row>
    <row r="111" spans="2:14">
      <c r="B111" s="11"/>
      <c r="C111" s="65">
        <v>106</v>
      </c>
      <c r="D111" s="65">
        <f>(Observaciones!D111+Observaciones!E111)/2</f>
        <v>12.45</v>
      </c>
      <c r="E111" s="141">
        <f t="shared" si="6"/>
        <v>1.4454380326538754</v>
      </c>
      <c r="F111" s="141">
        <f t="shared" si="7"/>
        <v>9.4964314589914542E-2</v>
      </c>
      <c r="G111" s="141">
        <f t="shared" si="8"/>
        <v>2.47160555</v>
      </c>
      <c r="H111" s="141">
        <f>0.001013*Constantes!$D$6/(0.622*G111)</f>
        <v>4.5084476491450073E-2</v>
      </c>
      <c r="I111" s="141">
        <f t="shared" si="9"/>
        <v>0.34567857031477189</v>
      </c>
      <c r="J111" s="141">
        <f t="shared" si="10"/>
        <v>0.16420858758524295</v>
      </c>
      <c r="K111" s="141">
        <f>(Constantes!$D$12/0.8)*(Constantes!$D$7*J111^2+Constantes!$D$8*J111+Constantes!$D$9)</f>
        <v>16.883915322793356</v>
      </c>
      <c r="L111" s="141">
        <f>(Constantes!$D$12/0.8)*(0.00376*D111^2-0.0516*D111-6.967)</f>
        <v>-4.3916316249999996</v>
      </c>
      <c r="M111" s="140">
        <f t="shared" si="11"/>
        <v>3.9681303060138071</v>
      </c>
      <c r="N111" s="12"/>
    </row>
    <row r="112" spans="2:14">
      <c r="B112" s="11"/>
      <c r="C112" s="65">
        <v>107</v>
      </c>
      <c r="D112" s="65">
        <f>(Observaciones!D112+Observaciones!E112)/2</f>
        <v>12.049999999999999</v>
      </c>
      <c r="E112" s="141">
        <f t="shared" si="6"/>
        <v>1.4078805564877415</v>
      </c>
      <c r="F112" s="141">
        <f t="shared" si="7"/>
        <v>9.2793812868529585E-2</v>
      </c>
      <c r="G112" s="141">
        <f t="shared" si="8"/>
        <v>2.4725499499999999</v>
      </c>
      <c r="H112" s="141">
        <f>0.001013*Constantes!$D$6/(0.622*G112)</f>
        <v>4.506725630158151E-2</v>
      </c>
      <c r="I112" s="141">
        <f t="shared" si="9"/>
        <v>0.34300689410647989</v>
      </c>
      <c r="J112" s="141">
        <f t="shared" si="10"/>
        <v>0.17063218346843756</v>
      </c>
      <c r="K112" s="141">
        <f>(Constantes!$D$12/0.8)*(Constantes!$D$7*J112^2+Constantes!$D$8*J112+Constantes!$D$9)</f>
        <v>16.822505228106095</v>
      </c>
      <c r="L112" s="141">
        <f>(Constantes!$D$12/0.8)*(0.00376*D112^2-0.0516*D112-6.967)</f>
        <v>-4.4017616249999998</v>
      </c>
      <c r="M112" s="140">
        <f t="shared" si="11"/>
        <v>3.9141865696313878</v>
      </c>
      <c r="N112" s="12"/>
    </row>
    <row r="113" spans="2:14">
      <c r="B113" s="11"/>
      <c r="C113" s="65">
        <v>108</v>
      </c>
      <c r="D113" s="65">
        <f>(Observaciones!D113+Observaciones!E113)/2</f>
        <v>13</v>
      </c>
      <c r="E113" s="141">
        <f t="shared" si="6"/>
        <v>1.4985150190445926</v>
      </c>
      <c r="F113" s="141">
        <f t="shared" si="7"/>
        <v>9.8019245431965704E-2</v>
      </c>
      <c r="G113" s="141">
        <f t="shared" si="8"/>
        <v>2.470307</v>
      </c>
      <c r="H113" s="141">
        <f>0.001013*Constantes!$D$6/(0.622*G113)</f>
        <v>4.5108175751075688E-2</v>
      </c>
      <c r="I113" s="141">
        <f t="shared" si="9"/>
        <v>0.3493076722279615</v>
      </c>
      <c r="J113" s="141">
        <f t="shared" si="10"/>
        <v>0.17700521735312635</v>
      </c>
      <c r="K113" s="141">
        <f>(Constantes!$D$12/0.8)*(Constantes!$D$7*J113^2+Constantes!$D$8*J113+Constantes!$D$9)</f>
        <v>16.760890021535339</v>
      </c>
      <c r="L113" s="141">
        <f>(Constantes!$D$12/0.8)*(0.00376*D113^2-0.0516*D113-6.967)</f>
        <v>-4.3764749999999992</v>
      </c>
      <c r="M113" s="140">
        <f t="shared" si="11"/>
        <v>3.974688734404026</v>
      </c>
      <c r="N113" s="12"/>
    </row>
    <row r="114" spans="2:14">
      <c r="B114" s="11"/>
      <c r="C114" s="65">
        <v>109</v>
      </c>
      <c r="D114" s="65">
        <f>(Observaciones!D114+Observaciones!E114)/2</f>
        <v>13.6</v>
      </c>
      <c r="E114" s="141">
        <f t="shared" si="6"/>
        <v>1.5583614462879349</v>
      </c>
      <c r="F114" s="141">
        <f t="shared" si="7"/>
        <v>0.10144691080047988</v>
      </c>
      <c r="G114" s="141">
        <f t="shared" si="8"/>
        <v>2.4688903999999998</v>
      </c>
      <c r="H114" s="141">
        <f>0.001013*Constantes!$D$6/(0.622*G114)</f>
        <v>4.5134057921369271E-2</v>
      </c>
      <c r="I114" s="141">
        <f t="shared" si="9"/>
        <v>0.3532075459589159</v>
      </c>
      <c r="J114" s="141">
        <f t="shared" si="10"/>
        <v>0.18332580077182795</v>
      </c>
      <c r="K114" s="141">
        <f>(Constantes!$D$12/0.8)*(Constantes!$D$7*J114^2+Constantes!$D$8*J114+Constantes!$D$9)</f>
        <v>16.699104586290161</v>
      </c>
      <c r="L114" s="141">
        <f>(Constantes!$D$12/0.8)*(0.00376*D114^2-0.0516*D114-6.967)</f>
        <v>-4.3583189999999998</v>
      </c>
      <c r="M114" s="140">
        <f t="shared" si="11"/>
        <v>4.0049636071006196</v>
      </c>
      <c r="N114" s="12"/>
    </row>
    <row r="115" spans="2:14">
      <c r="B115" s="11"/>
      <c r="C115" s="65">
        <v>110</v>
      </c>
      <c r="D115" s="65">
        <f>(Observaciones!D115+Observaciones!E115)/2</f>
        <v>14.5</v>
      </c>
      <c r="E115" s="141">
        <f t="shared" si="6"/>
        <v>1.6520640028566567</v>
      </c>
      <c r="F115" s="141">
        <f t="shared" si="7"/>
        <v>0.10677937410937641</v>
      </c>
      <c r="G115" s="141">
        <f t="shared" si="8"/>
        <v>2.4667654999999997</v>
      </c>
      <c r="H115" s="141">
        <f>0.001013*Constantes!$D$6/(0.622*G115)</f>
        <v>4.5172936914803029E-2</v>
      </c>
      <c r="I115" s="141">
        <f t="shared" si="9"/>
        <v>0.35894072909367275</v>
      </c>
      <c r="J115" s="141">
        <f t="shared" si="10"/>
        <v>0.18959206079926599</v>
      </c>
      <c r="K115" s="141">
        <f>(Constantes!$D$12/0.8)*(Constantes!$D$7*J115^2+Constantes!$D$8*J115+Constantes!$D$9)</f>
        <v>16.637184321254036</v>
      </c>
      <c r="L115" s="141">
        <f>(Constantes!$D$12/0.8)*(0.00376*D115^2-0.0516*D115-6.967)</f>
        <v>-4.3279125000000001</v>
      </c>
      <c r="M115" s="140">
        <f t="shared" si="11"/>
        <v>4.0599932179129201</v>
      </c>
      <c r="N115" s="12"/>
    </row>
    <row r="116" spans="2:14">
      <c r="B116" s="11"/>
      <c r="C116" s="65">
        <v>111</v>
      </c>
      <c r="D116" s="65">
        <f>(Observaciones!D116+Observaciones!E116)/2</f>
        <v>12.45</v>
      </c>
      <c r="E116" s="141">
        <f t="shared" si="6"/>
        <v>1.4454380326538754</v>
      </c>
      <c r="F116" s="141">
        <f t="shared" si="7"/>
        <v>9.4964314589914542E-2</v>
      </c>
      <c r="G116" s="141">
        <f t="shared" si="8"/>
        <v>2.47160555</v>
      </c>
      <c r="H116" s="141">
        <f>0.001013*Constantes!$D$6/(0.622*G116)</f>
        <v>4.5084476491450073E-2</v>
      </c>
      <c r="I116" s="141">
        <f t="shared" si="9"/>
        <v>0.34567857031477189</v>
      </c>
      <c r="J116" s="141">
        <f t="shared" si="10"/>
        <v>0.19580214060735746</v>
      </c>
      <c r="K116" s="141">
        <f>(Constantes!$D$12/0.8)*(Constantes!$D$7*J116^2+Constantes!$D$8*J116+Constantes!$D$9)</f>
        <v>16.575165110239702</v>
      </c>
      <c r="L116" s="141">
        <f>(Constantes!$D$12/0.8)*(0.00376*D116^2-0.0516*D116-6.967)</f>
        <v>-4.3916316249999996</v>
      </c>
      <c r="M116" s="140">
        <f t="shared" si="11"/>
        <v>3.8678056738774735</v>
      </c>
      <c r="N116" s="12"/>
    </row>
    <row r="117" spans="2:14">
      <c r="B117" s="11"/>
      <c r="C117" s="65">
        <v>112</v>
      </c>
      <c r="D117" s="65">
        <f>(Observaciones!D117+Observaciones!E117)/2</f>
        <v>11.8</v>
      </c>
      <c r="E117" s="141">
        <f t="shared" si="6"/>
        <v>1.384844857641909</v>
      </c>
      <c r="F117" s="141">
        <f t="shared" si="7"/>
        <v>9.1458825865714591E-2</v>
      </c>
      <c r="G117" s="141">
        <f t="shared" si="8"/>
        <v>2.4731402</v>
      </c>
      <c r="H117" s="141">
        <f>0.001013*Constantes!$D$6/(0.622*G117)</f>
        <v>4.5056500361407952E-2</v>
      </c>
      <c r="I117" s="141">
        <f t="shared" si="9"/>
        <v>0.3413233651453087</v>
      </c>
      <c r="J117" s="141">
        <f t="shared" si="10"/>
        <v>0.20195420001543066</v>
      </c>
      <c r="K117" s="141">
        <f>(Constantes!$D$12/0.8)*(Constantes!$D$7*J117^2+Constantes!$D$8*J117+Constantes!$D$9)</f>
        <v>16.513083290572975</v>
      </c>
      <c r="L117" s="141">
        <f>(Constantes!$D$12/0.8)*(0.00376*D117^2-0.0516*D117-6.967)</f>
        <v>-4.4077109999999999</v>
      </c>
      <c r="M117" s="140">
        <f t="shared" si="11"/>
        <v>3.7936683370953528</v>
      </c>
      <c r="N117" s="12"/>
    </row>
    <row r="118" spans="2:14">
      <c r="B118" s="11"/>
      <c r="C118" s="65">
        <v>113</v>
      </c>
      <c r="D118" s="65">
        <f>(Observaciones!D118+Observaciones!E118)/2</f>
        <v>10.85</v>
      </c>
      <c r="E118" s="141">
        <f t="shared" si="6"/>
        <v>1.3003002567289974</v>
      </c>
      <c r="F118" s="141">
        <f t="shared" si="7"/>
        <v>8.6534052607070783E-2</v>
      </c>
      <c r="G118" s="141">
        <f t="shared" si="8"/>
        <v>2.4753831499999999</v>
      </c>
      <c r="H118" s="141">
        <f>0.001013*Constantes!$D$6/(0.622*G118)</f>
        <v>4.5015674569455051E-2</v>
      </c>
      <c r="I118" s="141">
        <f t="shared" si="9"/>
        <v>0.33483065028999898</v>
      </c>
      <c r="J118" s="141">
        <f t="shared" si="10"/>
        <v>0.20804641603551069</v>
      </c>
      <c r="K118" s="141">
        <f>(Constantes!$D$12/0.8)*(Constantes!$D$7*J118^2+Constantes!$D$8*J118+Constantes!$D$9)</f>
        <v>16.450975621039397</v>
      </c>
      <c r="L118" s="141">
        <f>(Constantes!$D$12/0.8)*(0.00376*D118^2-0.0516*D118-6.967)</f>
        <v>-4.4276396250000003</v>
      </c>
      <c r="M118" s="140">
        <f t="shared" si="11"/>
        <v>3.6952839583031714</v>
      </c>
      <c r="N118" s="12"/>
    </row>
    <row r="119" spans="2:14">
      <c r="B119" s="11"/>
      <c r="C119" s="65">
        <v>114</v>
      </c>
      <c r="D119" s="65">
        <f>(Observaciones!D119+Observaciones!E119)/2</f>
        <v>11.9</v>
      </c>
      <c r="E119" s="141">
        <f t="shared" si="6"/>
        <v>1.3940190963940859</v>
      </c>
      <c r="F119" s="141">
        <f t="shared" si="7"/>
        <v>9.1990843524687727E-2</v>
      </c>
      <c r="G119" s="141">
        <f t="shared" si="8"/>
        <v>2.4729041</v>
      </c>
      <c r="H119" s="141">
        <f>0.001013*Constantes!$D$6/(0.622*G119)</f>
        <v>4.506080212132469E-2</v>
      </c>
      <c r="I119" s="141">
        <f t="shared" si="9"/>
        <v>0.34199803993111727</v>
      </c>
      <c r="J119" s="141">
        <f t="shared" si="10"/>
        <v>0.21407698341251005</v>
      </c>
      <c r="K119" s="141">
        <f>(Constantes!$D$12/0.8)*(Constantes!$D$7*J119^2+Constantes!$D$8*J119+Constantes!$D$9)</f>
        <v>16.388879249228509</v>
      </c>
      <c r="L119" s="141">
        <f>(Constantes!$D$12/0.8)*(0.00376*D119^2-0.0516*D119-6.967)</f>
        <v>-4.4053664999999995</v>
      </c>
      <c r="M119" s="140">
        <f t="shared" si="11"/>
        <v>3.76203999693147</v>
      </c>
      <c r="N119" s="12"/>
    </row>
    <row r="120" spans="2:14">
      <c r="B120" s="11"/>
      <c r="C120" s="65">
        <v>115</v>
      </c>
      <c r="D120" s="65">
        <f>(Observaciones!D120+Observaciones!E120)/2</f>
        <v>11.600000000000001</v>
      </c>
      <c r="E120" s="141">
        <f t="shared" si="6"/>
        <v>1.3666553605146041</v>
      </c>
      <c r="F120" s="141">
        <f t="shared" si="7"/>
        <v>9.0402651818888555E-2</v>
      </c>
      <c r="G120" s="141">
        <f t="shared" si="8"/>
        <v>2.4736123999999999</v>
      </c>
      <c r="H120" s="141">
        <f>0.001013*Constantes!$D$6/(0.622*G120)</f>
        <v>4.5047899305126593E-2</v>
      </c>
      <c r="I120" s="141">
        <f t="shared" si="9"/>
        <v>0.33996897773719958</v>
      </c>
      <c r="J120" s="141">
        <f t="shared" si="10"/>
        <v>0.22004411515916453</v>
      </c>
      <c r="K120" s="141">
        <f>(Constantes!$D$12/0.8)*(Constantes!$D$7*J120^2+Constantes!$D$8*J120+Constantes!$D$9)</f>
        <v>16.326831678311123</v>
      </c>
      <c r="L120" s="141">
        <f>(Constantes!$D$12/0.8)*(0.00376*D120^2-0.0516*D120-6.967)</f>
        <v>-4.4122589999999997</v>
      </c>
      <c r="M120" s="140">
        <f t="shared" si="11"/>
        <v>3.7175481170992346</v>
      </c>
      <c r="N120" s="12"/>
    </row>
    <row r="121" spans="2:14">
      <c r="B121" s="11"/>
      <c r="C121" s="65">
        <v>116</v>
      </c>
      <c r="D121" s="65">
        <f>(Observaciones!D121+Observaciones!E121)/2</f>
        <v>11.9</v>
      </c>
      <c r="E121" s="141">
        <f t="shared" si="6"/>
        <v>1.3940190963940859</v>
      </c>
      <c r="F121" s="141">
        <f t="shared" si="7"/>
        <v>9.1990843524687727E-2</v>
      </c>
      <c r="G121" s="141">
        <f t="shared" si="8"/>
        <v>2.4729041</v>
      </c>
      <c r="H121" s="141">
        <f>0.001013*Constantes!$D$6/(0.622*G121)</f>
        <v>4.506080212132469E-2</v>
      </c>
      <c r="I121" s="141">
        <f t="shared" si="9"/>
        <v>0.34199803993111727</v>
      </c>
      <c r="J121" s="141">
        <f t="shared" si="10"/>
        <v>0.22594604308555641</v>
      </c>
      <c r="K121" s="141">
        <f>(Constantes!$D$12/0.8)*(Constantes!$D$7*J121^2+Constantes!$D$8*J121+Constantes!$D$9)</f>
        <v>16.264870733285896</v>
      </c>
      <c r="L121" s="141">
        <f>(Constantes!$D$12/0.8)*(0.00376*D121^2-0.0516*D121-6.967)</f>
        <v>-4.4053664999999995</v>
      </c>
      <c r="M121" s="140">
        <f t="shared" si="11"/>
        <v>3.7221739677075578</v>
      </c>
      <c r="N121" s="12"/>
    </row>
    <row r="122" spans="2:14">
      <c r="B122" s="11"/>
      <c r="C122" s="65">
        <v>117</v>
      </c>
      <c r="D122" s="65">
        <f>(Observaciones!D122+Observaciones!E122)/2</f>
        <v>14.1</v>
      </c>
      <c r="E122" s="141">
        <f t="shared" si="6"/>
        <v>1.6098253520131185</v>
      </c>
      <c r="F122" s="141">
        <f t="shared" si="7"/>
        <v>0.10438069155687195</v>
      </c>
      <c r="G122" s="141">
        <f t="shared" si="8"/>
        <v>2.4677099</v>
      </c>
      <c r="H122" s="141">
        <f>0.001013*Constantes!$D$6/(0.622*G122)</f>
        <v>4.5155649095994843E-2</v>
      </c>
      <c r="I122" s="141">
        <f t="shared" si="9"/>
        <v>0.35640998531823892</v>
      </c>
      <c r="J122" s="141">
        <f t="shared" si="10"/>
        <v>0.23178101832306711</v>
      </c>
      <c r="K122" s="141">
        <f>(Constantes!$D$12/0.8)*(Constantes!$D$7*J122^2+Constantes!$D$8*J122+Constantes!$D$9)</f>
        <v>16.203034526731908</v>
      </c>
      <c r="L122" s="141">
        <f>(Constantes!$D$12/0.8)*(0.00376*D122^2-0.0516*D122-6.967)</f>
        <v>-4.3418964999999998</v>
      </c>
      <c r="M122" s="140">
        <f t="shared" si="11"/>
        <v>3.8809326320981183</v>
      </c>
      <c r="N122" s="12"/>
    </row>
    <row r="123" spans="2:14">
      <c r="B123" s="11"/>
      <c r="C123" s="65">
        <v>118</v>
      </c>
      <c r="D123" s="65">
        <f>(Observaciones!D123+Observaciones!E123)/2</f>
        <v>12.200000000000001</v>
      </c>
      <c r="E123" s="141">
        <f t="shared" si="6"/>
        <v>1.4218629321922343</v>
      </c>
      <c r="F123" s="141">
        <f t="shared" si="7"/>
        <v>9.3602745308232108E-2</v>
      </c>
      <c r="G123" s="141">
        <f t="shared" si="8"/>
        <v>2.4721957999999997</v>
      </c>
      <c r="H123" s="141">
        <f>0.001013*Constantes!$D$6/(0.622*G123)</f>
        <v>4.5073712331002484E-2</v>
      </c>
      <c r="I123" s="141">
        <f t="shared" si="9"/>
        <v>0.34401194911201238</v>
      </c>
      <c r="J123" s="141">
        <f t="shared" si="10"/>
        <v>0.23754731184260455</v>
      </c>
      <c r="K123" s="141">
        <f>(Constantes!$D$12/0.8)*(Constantes!$D$7*J123^2+Constantes!$D$8*J123+Constantes!$D$9)</f>
        <v>16.141361424104808</v>
      </c>
      <c r="L123" s="141">
        <f>(Constantes!$D$12/0.8)*(0.00376*D123^2-0.0516*D123-6.967)</f>
        <v>-4.3980509999999997</v>
      </c>
      <c r="M123" s="140">
        <f t="shared" si="11"/>
        <v>3.7066698357340435</v>
      </c>
      <c r="N123" s="12"/>
    </row>
    <row r="124" spans="2:14">
      <c r="B124" s="11"/>
      <c r="C124" s="65">
        <v>119</v>
      </c>
      <c r="D124" s="65">
        <f>(Observaciones!D124+Observaciones!E124)/2</f>
        <v>13.85</v>
      </c>
      <c r="E124" s="141">
        <f t="shared" si="6"/>
        <v>1.5839100041391287</v>
      </c>
      <c r="F124" s="141">
        <f t="shared" si="7"/>
        <v>0.10290490852509908</v>
      </c>
      <c r="G124" s="141">
        <f t="shared" si="8"/>
        <v>2.4683001499999997</v>
      </c>
      <c r="H124" s="141">
        <f>0.001013*Constantes!$D$6/(0.622*G124)</f>
        <v>4.5144850927109709E-2</v>
      </c>
      <c r="I124" s="141">
        <f t="shared" si="9"/>
        <v>0.35481417383138586</v>
      </c>
      <c r="J124" s="141">
        <f t="shared" si="10"/>
        <v>0.2432432149669522</v>
      </c>
      <c r="K124" s="141">
        <f>(Constantes!$D$12/0.8)*(Constantes!$D$7*J124^2+Constantes!$D$8*J124+Constantes!$D$9)</f>
        <v>16.079890008614473</v>
      </c>
      <c r="L124" s="141">
        <f>(Constantes!$D$12/0.8)*(0.00376*D124^2-0.0516*D124-6.967)</f>
        <v>-4.3502546249999998</v>
      </c>
      <c r="M124" s="140">
        <f t="shared" si="11"/>
        <v>3.8195185146581938</v>
      </c>
      <c r="N124" s="12"/>
    </row>
    <row r="125" spans="2:14">
      <c r="B125" s="11"/>
      <c r="C125" s="65">
        <v>120</v>
      </c>
      <c r="D125" s="65">
        <f>(Observaciones!D125+Observaciones!E125)/2</f>
        <v>12.6</v>
      </c>
      <c r="E125" s="141">
        <f t="shared" si="6"/>
        <v>1.4597472514986058</v>
      </c>
      <c r="F125" s="141">
        <f t="shared" si="7"/>
        <v>9.5789323919104052E-2</v>
      </c>
      <c r="G125" s="141">
        <f t="shared" si="8"/>
        <v>2.4712513999999999</v>
      </c>
      <c r="H125" s="141">
        <f>0.001013*Constantes!$D$6/(0.622*G125)</f>
        <v>4.5090937455862456E-2</v>
      </c>
      <c r="I125" s="141">
        <f t="shared" si="9"/>
        <v>0.34667344489607588</v>
      </c>
      <c r="J125" s="141">
        <f t="shared" si="10"/>
        <v>0.24886703987708655</v>
      </c>
      <c r="K125" s="141">
        <f>(Constantes!$D$12/0.8)*(Constantes!$D$7*J125^2+Constantes!$D$8*J125+Constantes!$D$9)</f>
        <v>16.018659045722799</v>
      </c>
      <c r="L125" s="141">
        <f>(Constantes!$D$12/0.8)*(0.00376*D125^2-0.0516*D125-6.967)</f>
        <v>-4.3876390000000001</v>
      </c>
      <c r="M125" s="140">
        <f t="shared" si="11"/>
        <v>3.6989711640662519</v>
      </c>
      <c r="N125" s="12"/>
    </row>
    <row r="126" spans="2:14">
      <c r="B126" s="11"/>
      <c r="C126" s="65">
        <v>121</v>
      </c>
      <c r="D126" s="65">
        <f>(Observaciones!D126+Observaciones!E126)/2</f>
        <v>12.55</v>
      </c>
      <c r="E126" s="141">
        <f t="shared" si="6"/>
        <v>1.4549637534474031</v>
      </c>
      <c r="F126" s="141">
        <f t="shared" si="7"/>
        <v>9.551364537557766E-2</v>
      </c>
      <c r="G126" s="141">
        <f t="shared" si="8"/>
        <v>2.4713694500000001</v>
      </c>
      <c r="H126" s="141">
        <f>0.001013*Constantes!$D$6/(0.622*G126)</f>
        <v>4.5088783595310905E-2</v>
      </c>
      <c r="I126" s="141">
        <f t="shared" si="9"/>
        <v>0.34634224568893279</v>
      </c>
      <c r="J126" s="141">
        <f t="shared" si="10"/>
        <v>0.25441712011231477</v>
      </c>
      <c r="K126" s="141">
        <f>(Constantes!$D$12/0.8)*(Constantes!$D$7*J126^2+Constantes!$D$8*J126+Constantes!$D$9)</f>
        <v>15.95770744730066</v>
      </c>
      <c r="L126" s="141">
        <f>(Constantes!$D$12/0.8)*(0.00376*D126^2-0.0516*D126-6.967)</f>
        <v>-4.3889816249999996</v>
      </c>
      <c r="M126" s="140">
        <f t="shared" si="11"/>
        <v>3.6751287870544491</v>
      </c>
      <c r="N126" s="12"/>
    </row>
    <row r="127" spans="2:14">
      <c r="B127" s="11"/>
      <c r="C127" s="65">
        <v>122</v>
      </c>
      <c r="D127" s="65">
        <f>(Observaciones!D127+Observaciones!E127)/2</f>
        <v>13.15</v>
      </c>
      <c r="E127" s="141">
        <f t="shared" si="6"/>
        <v>1.5132842544432668</v>
      </c>
      <c r="F127" s="141">
        <f t="shared" si="7"/>
        <v>9.8866781254448824E-2</v>
      </c>
      <c r="G127" s="141">
        <f t="shared" si="8"/>
        <v>2.4699528499999999</v>
      </c>
      <c r="H127" s="141">
        <f>0.001013*Constantes!$D$6/(0.622*G127)</f>
        <v>4.5114643510345769E-2</v>
      </c>
      <c r="I127" s="141">
        <f t="shared" si="9"/>
        <v>0.35028844443641177</v>
      </c>
      <c r="J127" s="141">
        <f t="shared" si="10"/>
        <v>0.25989181106408255</v>
      </c>
      <c r="K127" s="141">
        <f>(Constantes!$D$12/0.8)*(Constantes!$D$7*J127^2+Constantes!$D$8*J127+Constantes!$D$9)</f>
        <v>15.897074235483466</v>
      </c>
      <c r="L127" s="141">
        <f>(Constantes!$D$12/0.8)*(0.00376*D127^2-0.0516*D127-6.967)</f>
        <v>-4.3720946249999999</v>
      </c>
      <c r="M127" s="140">
        <f t="shared" si="11"/>
        <v>3.7029534956153562</v>
      </c>
      <c r="N127" s="12"/>
    </row>
    <row r="128" spans="2:14">
      <c r="B128" s="11"/>
      <c r="C128" s="65">
        <v>123</v>
      </c>
      <c r="D128" s="65">
        <f>(Observaciones!D128+Observaciones!E128)/2</f>
        <v>13.25</v>
      </c>
      <c r="E128" s="141">
        <f t="shared" si="6"/>
        <v>1.5232012546387372</v>
      </c>
      <c r="F128" s="141">
        <f t="shared" si="7"/>
        <v>9.943526343834895E-2</v>
      </c>
      <c r="G128" s="141">
        <f t="shared" si="8"/>
        <v>2.4697167499999999</v>
      </c>
      <c r="H128" s="141">
        <f>0.001013*Constantes!$D$6/(0.622*G128)</f>
        <v>4.5118956380367316E-2</v>
      </c>
      <c r="I128" s="141">
        <f t="shared" si="9"/>
        <v>0.35094014605756357</v>
      </c>
      <c r="J128" s="141">
        <f t="shared" si="10"/>
        <v>0.26528949046330735</v>
      </c>
      <c r="K128" s="141">
        <f>(Constantes!$D$12/0.8)*(Constantes!$D$7*J128^2+Constantes!$D$8*J128+Constantes!$D$9)</f>
        <v>15.836798506265314</v>
      </c>
      <c r="L128" s="141">
        <f>(Constantes!$D$12/0.8)*(0.00376*D128^2-0.0516*D128-6.967)</f>
        <v>-4.3691156249999992</v>
      </c>
      <c r="M128" s="140">
        <f t="shared" si="11"/>
        <v>3.6910042024406935</v>
      </c>
      <c r="N128" s="12"/>
    </row>
    <row r="129" spans="2:14">
      <c r="B129" s="11"/>
      <c r="C129" s="65">
        <v>124</v>
      </c>
      <c r="D129" s="65">
        <f>(Observaciones!D129+Observaciones!E129)/2</f>
        <v>11.899999999999999</v>
      </c>
      <c r="E129" s="141">
        <f t="shared" si="6"/>
        <v>1.3940190963940857</v>
      </c>
      <c r="F129" s="141">
        <f t="shared" si="7"/>
        <v>9.1990843524687713E-2</v>
      </c>
      <c r="G129" s="141">
        <f t="shared" si="8"/>
        <v>2.4729041</v>
      </c>
      <c r="H129" s="141">
        <f>0.001013*Constantes!$D$6/(0.622*G129)</f>
        <v>4.506080212132469E-2</v>
      </c>
      <c r="I129" s="141">
        <f t="shared" si="9"/>
        <v>0.34199803993111721</v>
      </c>
      <c r="J129" s="141">
        <f t="shared" si="10"/>
        <v>0.27060855886109181</v>
      </c>
      <c r="K129" s="141">
        <f>(Constantes!$D$12/0.8)*(Constantes!$D$7*J129^2+Constantes!$D$8*J129+Constantes!$D$9)</f>
        <v>15.776919392871843</v>
      </c>
      <c r="L129" s="141">
        <f>(Constantes!$D$12/0.8)*(0.00376*D129^2-0.0516*D129-6.967)</f>
        <v>-4.4053664999999995</v>
      </c>
      <c r="M129" s="140">
        <f t="shared" si="11"/>
        <v>3.5653082698243921</v>
      </c>
      <c r="N129" s="12"/>
    </row>
    <row r="130" spans="2:14">
      <c r="B130" s="11"/>
      <c r="C130" s="65">
        <v>125</v>
      </c>
      <c r="D130" s="65">
        <f>(Observaciones!D130+Observaciones!E130)/2</f>
        <v>12.450000000000001</v>
      </c>
      <c r="E130" s="141">
        <f t="shared" si="6"/>
        <v>1.4454380326538756</v>
      </c>
      <c r="F130" s="141">
        <f t="shared" si="7"/>
        <v>9.4964314589914556E-2</v>
      </c>
      <c r="G130" s="141">
        <f t="shared" si="8"/>
        <v>2.47160555</v>
      </c>
      <c r="H130" s="141">
        <f>0.001013*Constantes!$D$6/(0.622*G130)</f>
        <v>4.5084476491450073E-2</v>
      </c>
      <c r="I130" s="141">
        <f t="shared" si="9"/>
        <v>0.34567857031477189</v>
      </c>
      <c r="J130" s="141">
        <f t="shared" si="10"/>
        <v>0.2758474401026747</v>
      </c>
      <c r="K130" s="141">
        <f>(Constantes!$D$12/0.8)*(Constantes!$D$7*J130^2+Constantes!$D$8*J130+Constantes!$D$9)</f>
        <v>15.717476028952412</v>
      </c>
      <c r="L130" s="141">
        <f>(Constantes!$D$12/0.8)*(0.00376*D130^2-0.0516*D130-6.967)</f>
        <v>-4.3916316249999996</v>
      </c>
      <c r="M130" s="140">
        <f t="shared" si="11"/>
        <v>3.5891100226071311</v>
      </c>
      <c r="N130" s="12"/>
    </row>
    <row r="131" spans="2:14">
      <c r="B131" s="11"/>
      <c r="C131" s="65">
        <v>126</v>
      </c>
      <c r="D131" s="65">
        <f>(Observaciones!D131+Observaciones!E131)/2</f>
        <v>11.15</v>
      </c>
      <c r="E131" s="141">
        <f t="shared" si="6"/>
        <v>1.3264944974668198</v>
      </c>
      <c r="F131" s="141">
        <f t="shared" si="7"/>
        <v>8.8064202128366353E-2</v>
      </c>
      <c r="G131" s="141">
        <f t="shared" si="8"/>
        <v>2.47467485</v>
      </c>
      <c r="H131" s="141">
        <f>0.001013*Constantes!$D$6/(0.622*G131)</f>
        <v>4.5028558929716578E-2</v>
      </c>
      <c r="I131" s="141">
        <f t="shared" si="9"/>
        <v>0.33689717588432466</v>
      </c>
      <c r="J131" s="141">
        <f t="shared" si="10"/>
        <v>0.28100458179447974</v>
      </c>
      <c r="K131" s="141">
        <f>(Constantes!$D$12/0.8)*(Constantes!$D$7*J131^2+Constantes!$D$8*J131+Constantes!$D$9)</f>
        <v>15.658507511632344</v>
      </c>
      <c r="L131" s="141">
        <f>(Constantes!$D$12/0.8)*(0.00376*D131^2-0.0516*D131-6.967)</f>
        <v>-4.421804625</v>
      </c>
      <c r="M131" s="140">
        <f t="shared" si="11"/>
        <v>3.46909505120373</v>
      </c>
      <c r="N131" s="12"/>
    </row>
    <row r="132" spans="2:14">
      <c r="B132" s="11"/>
      <c r="C132" s="65">
        <v>127</v>
      </c>
      <c r="D132" s="65">
        <f>(Observaciones!D132+Observaciones!E132)/2</f>
        <v>12.4</v>
      </c>
      <c r="E132" s="141">
        <f t="shared" si="6"/>
        <v>1.440695742444418</v>
      </c>
      <c r="F132" s="141">
        <f t="shared" si="7"/>
        <v>9.4690659669251859E-2</v>
      </c>
      <c r="G132" s="141">
        <f t="shared" si="8"/>
        <v>2.4717235999999998</v>
      </c>
      <c r="H132" s="141">
        <f>0.001013*Constantes!$D$6/(0.622*G132)</f>
        <v>4.508232324808184E-2</v>
      </c>
      <c r="I132" s="141">
        <f t="shared" si="9"/>
        <v>0.34534609482941636</v>
      </c>
      <c r="J132" s="141">
        <f t="shared" si="10"/>
        <v>0.28607845576412366</v>
      </c>
      <c r="K132" s="141">
        <f>(Constantes!$D$12/0.8)*(Constantes!$D$7*J132^2+Constantes!$D$8*J132+Constantes!$D$9)</f>
        <v>15.600052864466267</v>
      </c>
      <c r="L132" s="141">
        <f>(Constantes!$D$12/0.8)*(0.00376*D132^2-0.0516*D132-6.967)</f>
        <v>-4.3929389999999993</v>
      </c>
      <c r="M132" s="140">
        <f t="shared" si="11"/>
        <v>3.5470879672494822</v>
      </c>
      <c r="N132" s="12"/>
    </row>
    <row r="133" spans="2:14">
      <c r="B133" s="11"/>
      <c r="C133" s="65">
        <v>128</v>
      </c>
      <c r="D133" s="65">
        <f>(Observaciones!D133+Observaciones!E133)/2</f>
        <v>11.15</v>
      </c>
      <c r="E133" s="141">
        <f t="shared" si="6"/>
        <v>1.3264944974668198</v>
      </c>
      <c r="F133" s="141">
        <f t="shared" si="7"/>
        <v>8.8064202128366353E-2</v>
      </c>
      <c r="G133" s="141">
        <f t="shared" si="8"/>
        <v>2.47467485</v>
      </c>
      <c r="H133" s="141">
        <f>0.001013*Constantes!$D$6/(0.622*G133)</f>
        <v>4.5028558929716578E-2</v>
      </c>
      <c r="I133" s="141">
        <f t="shared" si="9"/>
        <v>0.33689717588432466</v>
      </c>
      <c r="J133" s="141">
        <f t="shared" si="10"/>
        <v>0.29106755851324578</v>
      </c>
      <c r="K133" s="141">
        <f>(Constantes!$D$12/0.8)*(Constantes!$D$7*J133^2+Constantes!$D$8*J133+Constantes!$D$9)</f>
        <v>15.54215100033365</v>
      </c>
      <c r="L133" s="141">
        <f>(Constantes!$D$12/0.8)*(0.00376*D133^2-0.0516*D133-6.967)</f>
        <v>-4.421804625</v>
      </c>
      <c r="M133" s="140">
        <f t="shared" si="11"/>
        <v>3.4322468819545842</v>
      </c>
      <c r="N133" s="12"/>
    </row>
    <row r="134" spans="2:14">
      <c r="B134" s="11"/>
      <c r="C134" s="65">
        <v>129</v>
      </c>
      <c r="D134" s="65">
        <f>(Observaciones!D134+Observaciones!E134)/2</f>
        <v>11.75</v>
      </c>
      <c r="E134" s="141">
        <f t="shared" si="6"/>
        <v>1.3802776599471762</v>
      </c>
      <c r="F134" s="141">
        <f t="shared" si="7"/>
        <v>9.1193801661548224E-2</v>
      </c>
      <c r="G134" s="141">
        <f t="shared" si="8"/>
        <v>2.4732582499999998</v>
      </c>
      <c r="H134" s="141">
        <f>0.001013*Constantes!$D$6/(0.622*G134)</f>
        <v>4.5054349789437696E-2</v>
      </c>
      <c r="I134" s="141">
        <f t="shared" si="9"/>
        <v>0.34098539738615508</v>
      </c>
      <c r="J134" s="141">
        <f t="shared" si="10"/>
        <v>0.29597041166302818</v>
      </c>
      <c r="K134" s="141">
        <f>(Constantes!$D$12/0.8)*(Constantes!$D$7*J134^2+Constantes!$D$8*J134+Constantes!$D$9)</f>
        <v>15.484840684317874</v>
      </c>
      <c r="L134" s="141">
        <f>(Constantes!$D$12/0.8)*(0.00376*D134^2-0.0516*D134-6.967)</f>
        <v>-4.4088656249999998</v>
      </c>
      <c r="M134" s="140">
        <f t="shared" si="11"/>
        <v>3.4599394837884412</v>
      </c>
      <c r="N134" s="12"/>
    </row>
    <row r="135" spans="2:14">
      <c r="B135" s="11"/>
      <c r="C135" s="65">
        <v>130</v>
      </c>
      <c r="D135" s="65">
        <f>(Observaciones!D135+Observaciones!E135)/2</f>
        <v>12.25</v>
      </c>
      <c r="E135" s="141">
        <f t="shared" ref="E135:E198" si="12">EXP((16.78*D135-116.9)/(D135+237.3))</f>
        <v>1.4265507491669478</v>
      </c>
      <c r="F135" s="141">
        <f t="shared" ref="F135:F198" si="13">4098*E135/((D135+237.3)^2)</f>
        <v>9.387372076527814E-2</v>
      </c>
      <c r="G135" s="141">
        <f t="shared" ref="G135:G198" si="14">2.501-0.002361*D135</f>
        <v>2.47207775</v>
      </c>
      <c r="H135" s="141">
        <f>0.001013*Constantes!$D$6/(0.622*G135)</f>
        <v>4.5075864751872197E-2</v>
      </c>
      <c r="I135" s="141">
        <f t="shared" ref="I135:I198" si="15">IF(D135&gt;0,1.26*F135/(G135*(F135+H135)),0)</f>
        <v>0.34434612138705856</v>
      </c>
      <c r="J135" s="141">
        <f t="shared" ref="J135:J198" si="16">0.409*SIN(2*PI()*(C135-82)/365)</f>
        <v>0.30078556239227006</v>
      </c>
      <c r="K135" s="141">
        <f>(Constantes!$D$12/0.8)*(Constantes!$D$7*J135^2+Constantes!$D$8*J135+Constantes!$D$9)</f>
        <v>15.428160496610097</v>
      </c>
      <c r="L135" s="141">
        <f>(Constantes!$D$12/0.8)*(0.00376*D135^2-0.0516*D135-6.967)</f>
        <v>-4.3967906249999995</v>
      </c>
      <c r="M135" s="140">
        <f t="shared" ref="M135:M198" si="17">IF(D135&gt;0,I135*(0.94*K135+L135),0)</f>
        <v>3.4798517952463079</v>
      </c>
      <c r="N135" s="12"/>
    </row>
    <row r="136" spans="2:14">
      <c r="B136" s="11"/>
      <c r="C136" s="65">
        <v>131</v>
      </c>
      <c r="D136" s="65">
        <f>(Observaciones!D136+Observaciones!E136)/2</f>
        <v>12.15</v>
      </c>
      <c r="E136" s="141">
        <f t="shared" si="12"/>
        <v>1.4171886499432413</v>
      </c>
      <c r="F136" s="141">
        <f t="shared" si="13"/>
        <v>9.3332436390604984E-2</v>
      </c>
      <c r="G136" s="141">
        <f t="shared" si="14"/>
        <v>2.4723138499999999</v>
      </c>
      <c r="H136" s="141">
        <f>0.001013*Constantes!$D$6/(0.622*G136)</f>
        <v>4.5071560115683744E-2</v>
      </c>
      <c r="I136" s="141">
        <f t="shared" si="15"/>
        <v>0.34367735355446433</v>
      </c>
      <c r="J136" s="141">
        <f t="shared" si="16"/>
        <v>0.30551158386789107</v>
      </c>
      <c r="K136" s="141">
        <f>(Constantes!$D$12/0.8)*(Constantes!$D$7*J136^2+Constantes!$D$8*J136+Constantes!$D$9)</f>
        <v>15.372148795479317</v>
      </c>
      <c r="L136" s="141">
        <f>(Constantes!$D$12/0.8)*(0.00376*D136^2-0.0516*D136-6.967)</f>
        <v>-4.3992996250000003</v>
      </c>
      <c r="M136" s="140">
        <f t="shared" si="17"/>
        <v>3.454136198874084</v>
      </c>
      <c r="N136" s="12"/>
    </row>
    <row r="137" spans="2:14">
      <c r="B137" s="11"/>
      <c r="C137" s="65">
        <v>132</v>
      </c>
      <c r="D137" s="65">
        <f>(Observaciones!D137+Observaciones!E137)/2</f>
        <v>11.15</v>
      </c>
      <c r="E137" s="141">
        <f t="shared" si="12"/>
        <v>1.3264944974668198</v>
      </c>
      <c r="F137" s="141">
        <f t="shared" si="13"/>
        <v>8.8064202128366353E-2</v>
      </c>
      <c r="G137" s="141">
        <f t="shared" si="14"/>
        <v>2.47467485</v>
      </c>
      <c r="H137" s="141">
        <f>0.001013*Constantes!$D$6/(0.622*G137)</f>
        <v>4.5028558929716578E-2</v>
      </c>
      <c r="I137" s="141">
        <f t="shared" si="15"/>
        <v>0.33689717588432466</v>
      </c>
      <c r="J137" s="141">
        <f t="shared" si="16"/>
        <v>0.31014707566773203</v>
      </c>
      <c r="K137" s="141">
        <f>(Constantes!$D$12/0.8)*(Constantes!$D$7*J137^2+Constantes!$D$8*J137+Constantes!$D$9)</f>
        <v>15.316843680349885</v>
      </c>
      <c r="L137" s="141">
        <f>(Constantes!$D$12/0.8)*(0.00376*D137^2-0.0516*D137-6.967)</f>
        <v>-4.421804625</v>
      </c>
      <c r="M137" s="140">
        <f t="shared" si="17"/>
        <v>3.3608958061345038</v>
      </c>
      <c r="N137" s="12"/>
    </row>
    <row r="138" spans="2:14">
      <c r="B138" s="11"/>
      <c r="C138" s="65">
        <v>133</v>
      </c>
      <c r="D138" s="65">
        <f>(Observaciones!D138+Observaciones!E138)/2</f>
        <v>10.5</v>
      </c>
      <c r="E138" s="141">
        <f t="shared" si="12"/>
        <v>1.270315807299828</v>
      </c>
      <c r="F138" s="141">
        <f t="shared" si="13"/>
        <v>8.4777587211605721E-2</v>
      </c>
      <c r="G138" s="141">
        <f t="shared" si="14"/>
        <v>2.4762095</v>
      </c>
      <c r="H138" s="141">
        <f>0.001013*Constantes!$D$6/(0.622*G138)</f>
        <v>4.5000652131862245E-2</v>
      </c>
      <c r="I138" s="141">
        <f t="shared" si="15"/>
        <v>0.33240100947604179</v>
      </c>
      <c r="J138" s="141">
        <f t="shared" si="16"/>
        <v>0.31469066419553055</v>
      </c>
      <c r="K138" s="141">
        <f>(Constantes!$D$12/0.8)*(Constantes!$D$7*J138^2+Constantes!$D$8*J138+Constantes!$D$9)</f>
        <v>15.262282955027764</v>
      </c>
      <c r="L138" s="141">
        <f>(Constantes!$D$12/0.8)*(0.00376*D138^2-0.0516*D138-6.967)</f>
        <v>-4.4339124999999999</v>
      </c>
      <c r="M138" s="140">
        <f t="shared" si="17"/>
        <v>3.2949693745621618</v>
      </c>
      <c r="N138" s="12"/>
    </row>
    <row r="139" spans="2:14">
      <c r="B139" s="11"/>
      <c r="C139" s="65">
        <v>134</v>
      </c>
      <c r="D139" s="65">
        <f>(Observaciones!D139+Observaciones!E139)/2</f>
        <v>10.5</v>
      </c>
      <c r="E139" s="141">
        <f t="shared" si="12"/>
        <v>1.270315807299828</v>
      </c>
      <c r="F139" s="141">
        <f t="shared" si="13"/>
        <v>8.4777587211605721E-2</v>
      </c>
      <c r="G139" s="141">
        <f t="shared" si="14"/>
        <v>2.4762095</v>
      </c>
      <c r="H139" s="141">
        <f>0.001013*Constantes!$D$6/(0.622*G139)</f>
        <v>4.5000652131862245E-2</v>
      </c>
      <c r="I139" s="141">
        <f t="shared" si="15"/>
        <v>0.33240100947604179</v>
      </c>
      <c r="J139" s="141">
        <f t="shared" si="16"/>
        <v>0.31914100308794713</v>
      </c>
      <c r="K139" s="141">
        <f>(Constantes!$D$12/0.8)*(Constantes!$D$7*J139^2+Constantes!$D$8*J139+Constantes!$D$9)</f>
        <v>15.208504091116561</v>
      </c>
      <c r="L139" s="141">
        <f>(Constantes!$D$12/0.8)*(0.00376*D139^2-0.0516*D139-6.967)</f>
        <v>-4.4339124999999999</v>
      </c>
      <c r="M139" s="140">
        <f t="shared" si="17"/>
        <v>3.2781657948287561</v>
      </c>
      <c r="N139" s="12"/>
    </row>
    <row r="140" spans="2:14">
      <c r="B140" s="11"/>
      <c r="C140" s="65">
        <v>135</v>
      </c>
      <c r="D140" s="65">
        <f>(Observaciones!D140+Observaciones!E140)/2</f>
        <v>11.25</v>
      </c>
      <c r="E140" s="141">
        <f t="shared" si="12"/>
        <v>1.3353283650298429</v>
      </c>
      <c r="F140" s="141">
        <f t="shared" si="13"/>
        <v>8.8579350899344877E-2</v>
      </c>
      <c r="G140" s="141">
        <f t="shared" si="14"/>
        <v>2.47443875</v>
      </c>
      <c r="H140" s="141">
        <f>0.001013*Constantes!$D$6/(0.622*G140)</f>
        <v>4.5032855355628641E-2</v>
      </c>
      <c r="I140" s="141">
        <f t="shared" si="15"/>
        <v>0.33758270995629469</v>
      </c>
      <c r="J140" s="141">
        <f t="shared" si="16"/>
        <v>0.32349677361352186</v>
      </c>
      <c r="K140" s="141">
        <f>(Constantes!$D$12/0.8)*(Constantes!$D$7*J140^2+Constantes!$D$8*J140+Constantes!$D$9)</f>
        <v>15.155544191664333</v>
      </c>
      <c r="L140" s="141">
        <f>(Constantes!$D$12/0.8)*(0.00376*D140^2-0.0516*D140-6.967)</f>
        <v>-4.4197656250000001</v>
      </c>
      <c r="M140" s="140">
        <f t="shared" si="17"/>
        <v>3.3172382412801849</v>
      </c>
      <c r="N140" s="12"/>
    </row>
    <row r="141" spans="2:14">
      <c r="B141" s="11"/>
      <c r="C141" s="65">
        <v>136</v>
      </c>
      <c r="D141" s="65">
        <f>(Observaciones!D141+Observaciones!E141)/2</f>
        <v>10.25</v>
      </c>
      <c r="E141" s="141">
        <f t="shared" si="12"/>
        <v>1.2492721463078402</v>
      </c>
      <c r="F141" s="141">
        <f t="shared" si="13"/>
        <v>8.3541669468764471E-2</v>
      </c>
      <c r="G141" s="141">
        <f t="shared" si="14"/>
        <v>2.4767997500000001</v>
      </c>
      <c r="H141" s="141">
        <f>0.001013*Constantes!$D$6/(0.622*G141)</f>
        <v>4.4989927956473885E-2</v>
      </c>
      <c r="I141" s="141">
        <f t="shared" si="15"/>
        <v>0.33065332530236252</v>
      </c>
      <c r="J141" s="141">
        <f t="shared" si="16"/>
        <v>0.32775668506344269</v>
      </c>
      <c r="K141" s="141">
        <f>(Constantes!$D$12/0.8)*(Constantes!$D$7*J141^2+Constantes!$D$8*J141+Constantes!$D$9)</f>
        <v>15.103439955081798</v>
      </c>
      <c r="L141" s="141">
        <f>(Constantes!$D$12/0.8)*(0.00376*D141^2-0.0516*D141-6.967)</f>
        <v>-4.4380406250000002</v>
      </c>
      <c r="M141" s="140">
        <f t="shared" si="17"/>
        <v>3.2269095954899947</v>
      </c>
      <c r="N141" s="12"/>
    </row>
    <row r="142" spans="2:14">
      <c r="B142" s="11"/>
      <c r="C142" s="65">
        <v>137</v>
      </c>
      <c r="D142" s="65">
        <f>(Observaciones!D142+Observaciones!E142)/2</f>
        <v>10.9</v>
      </c>
      <c r="E142" s="141">
        <f t="shared" si="12"/>
        <v>1.3046341322396258</v>
      </c>
      <c r="F142" s="141">
        <f t="shared" si="13"/>
        <v>8.6787491598136493E-2</v>
      </c>
      <c r="G142" s="141">
        <f t="shared" si="14"/>
        <v>2.4752651000000001</v>
      </c>
      <c r="H142" s="141">
        <f>0.001013*Constantes!$D$6/(0.622*G142)</f>
        <v>4.5017821450766028E-2</v>
      </c>
      <c r="I142" s="141">
        <f t="shared" si="15"/>
        <v>0.33517610193237696</v>
      </c>
      <c r="J142" s="141">
        <f t="shared" si="16"/>
        <v>0.33191947513401066</v>
      </c>
      <c r="K142" s="141">
        <f>(Constantes!$D$12/0.8)*(Constantes!$D$7*J142^2+Constantes!$D$8*J142+Constantes!$D$9)</f>
        <v>15.052227639372413</v>
      </c>
      <c r="L142" s="141">
        <f>(Constantes!$D$12/0.8)*(0.00376*D142^2-0.0516*D142-6.967)</f>
        <v>-4.4266964999999994</v>
      </c>
      <c r="M142" s="140">
        <f t="shared" si="17"/>
        <v>3.2587152891221152</v>
      </c>
      <c r="N142" s="12"/>
    </row>
    <row r="143" spans="2:14">
      <c r="B143" s="11"/>
      <c r="C143" s="65">
        <v>138</v>
      </c>
      <c r="D143" s="65">
        <f>(Observaciones!D143+Observaciones!E143)/2</f>
        <v>11.25</v>
      </c>
      <c r="E143" s="141">
        <f t="shared" si="12"/>
        <v>1.3353283650298429</v>
      </c>
      <c r="F143" s="141">
        <f t="shared" si="13"/>
        <v>8.8579350899344877E-2</v>
      </c>
      <c r="G143" s="141">
        <f t="shared" si="14"/>
        <v>2.47443875</v>
      </c>
      <c r="H143" s="141">
        <f>0.001013*Constantes!$D$6/(0.622*G143)</f>
        <v>4.5032855355628641E-2</v>
      </c>
      <c r="I143" s="141">
        <f t="shared" si="15"/>
        <v>0.33758270995629469</v>
      </c>
      <c r="J143" s="141">
        <f t="shared" si="16"/>
        <v>0.33598391030068736</v>
      </c>
      <c r="K143" s="141">
        <f>(Constantes!$D$12/0.8)*(Constantes!$D$7*J143^2+Constantes!$D$8*J143+Constantes!$D$9)</f>
        <v>15.001943026714414</v>
      </c>
      <c r="L143" s="141">
        <f>(Constantes!$D$12/0.8)*(0.00376*D143^2-0.0516*D143-6.967)</f>
        <v>-4.4197656250000001</v>
      </c>
      <c r="M143" s="140">
        <f t="shared" si="17"/>
        <v>3.2684963296149214</v>
      </c>
      <c r="N143" s="12"/>
    </row>
    <row r="144" spans="2:14">
      <c r="B144" s="11"/>
      <c r="C144" s="65">
        <v>139</v>
      </c>
      <c r="D144" s="65">
        <f>(Observaciones!D144+Observaciones!E144)/2</f>
        <v>10.25</v>
      </c>
      <c r="E144" s="141">
        <f t="shared" si="12"/>
        <v>1.2492721463078402</v>
      </c>
      <c r="F144" s="141">
        <f t="shared" si="13"/>
        <v>8.3541669468764471E-2</v>
      </c>
      <c r="G144" s="141">
        <f t="shared" si="14"/>
        <v>2.4767997500000001</v>
      </c>
      <c r="H144" s="141">
        <f>0.001013*Constantes!$D$6/(0.622*G144)</f>
        <v>4.4989927956473885E-2</v>
      </c>
      <c r="I144" s="141">
        <f t="shared" si="15"/>
        <v>0.33065332530236252</v>
      </c>
      <c r="J144" s="141">
        <f t="shared" si="16"/>
        <v>0.3399487861836154</v>
      </c>
      <c r="K144" s="141">
        <f>(Constantes!$D$12/0.8)*(Constantes!$D$7*J144^2+Constantes!$D$8*J144+Constantes!$D$9)</f>
        <v>14.95262138843457</v>
      </c>
      <c r="L144" s="141">
        <f>(Constantes!$D$12/0.8)*(0.00376*D144^2-0.0516*D144-6.967)</f>
        <v>-4.4380406250000002</v>
      </c>
      <c r="M144" s="140">
        <f t="shared" si="17"/>
        <v>3.1800330545455062</v>
      </c>
      <c r="N144" s="12"/>
    </row>
    <row r="145" spans="2:14">
      <c r="B145" s="11"/>
      <c r="C145" s="65">
        <v>140</v>
      </c>
      <c r="D145" s="65">
        <f>(Observaciones!D145+Observaciones!E145)/2</f>
        <v>11.65</v>
      </c>
      <c r="E145" s="141">
        <f t="shared" si="12"/>
        <v>1.3711829440577765</v>
      </c>
      <c r="F145" s="141">
        <f t="shared" si="13"/>
        <v>9.0665715946703279E-2</v>
      </c>
      <c r="G145" s="141">
        <f t="shared" si="14"/>
        <v>2.4734943499999997</v>
      </c>
      <c r="H145" s="141">
        <f>0.001013*Constantes!$D$6/(0.622*G145)</f>
        <v>4.5050049261326407E-2</v>
      </c>
      <c r="I145" s="141">
        <f t="shared" si="15"/>
        <v>0.34030820325039612</v>
      </c>
      <c r="J145" s="141">
        <f t="shared" si="16"/>
        <v>0.34381292790450158</v>
      </c>
      <c r="K145" s="141">
        <f>(Constantes!$D$12/0.8)*(Constantes!$D$7*J145^2+Constantes!$D$8*J145+Constantes!$D$9)</f>
        <v>14.904297450412942</v>
      </c>
      <c r="L145" s="141">
        <f>(Constantes!$D$12/0.8)*(0.00376*D145^2-0.0516*D145-6.967)</f>
        <v>-4.4111396249999997</v>
      </c>
      <c r="M145" s="140">
        <f t="shared" si="17"/>
        <v>3.2665844048255424</v>
      </c>
      <c r="N145" s="12"/>
    </row>
    <row r="146" spans="2:14">
      <c r="B146" s="11"/>
      <c r="C146" s="65">
        <v>141</v>
      </c>
      <c r="D146" s="65">
        <f>(Observaciones!D146+Observaciones!E146)/2</f>
        <v>12</v>
      </c>
      <c r="E146" s="141">
        <f t="shared" si="12"/>
        <v>1.4032466788795555</v>
      </c>
      <c r="F146" s="141">
        <f t="shared" si="13"/>
        <v>9.2525495616340561E-2</v>
      </c>
      <c r="G146" s="141">
        <f t="shared" si="14"/>
        <v>2.4726680000000001</v>
      </c>
      <c r="H146" s="141">
        <f>0.001013*Constantes!$D$6/(0.622*G146)</f>
        <v>4.5065104702739119E-2</v>
      </c>
      <c r="I146" s="141">
        <f t="shared" si="15"/>
        <v>0.34267103098752799</v>
      </c>
      <c r="J146" s="141">
        <f t="shared" si="16"/>
        <v>0.34757519043475887</v>
      </c>
      <c r="K146" s="141">
        <f>(Constantes!$D$12/0.8)*(Constantes!$D$7*J146^2+Constantes!$D$8*J146+Constantes!$D$9)</f>
        <v>14.857005358957556</v>
      </c>
      <c r="L146" s="141">
        <f>(Constantes!$D$12/0.8)*(0.00376*D146^2-0.0516*D146-6.967)</f>
        <v>-4.4029749999999996</v>
      </c>
      <c r="M146" s="140">
        <f t="shared" si="17"/>
        <v>3.27682944045443</v>
      </c>
      <c r="N146" s="12"/>
    </row>
    <row r="147" spans="2:14">
      <c r="B147" s="11"/>
      <c r="C147" s="65">
        <v>142</v>
      </c>
      <c r="D147" s="65">
        <f>(Observaciones!D147+Observaciones!E147)/2</f>
        <v>11.1</v>
      </c>
      <c r="E147" s="141">
        <f t="shared" si="12"/>
        <v>1.3220968535067421</v>
      </c>
      <c r="F147" s="141">
        <f t="shared" si="13"/>
        <v>8.7807587005638468E-2</v>
      </c>
      <c r="G147" s="141">
        <f t="shared" si="14"/>
        <v>2.4747928999999997</v>
      </c>
      <c r="H147" s="141">
        <f>0.001013*Constantes!$D$6/(0.622*G147)</f>
        <v>4.5026411024176018E-2</v>
      </c>
      <c r="I147" s="141">
        <f t="shared" si="15"/>
        <v>0.33655378737709518</v>
      </c>
      <c r="J147" s="141">
        <f t="shared" si="16"/>
        <v>0.35123445893480337</v>
      </c>
      <c r="K147" s="141">
        <f>(Constantes!$D$12/0.8)*(Constantes!$D$7*J147^2+Constantes!$D$8*J147+Constantes!$D$9)</f>
        <v>14.810778647187316</v>
      </c>
      <c r="L147" s="141">
        <f>(Constantes!$D$12/0.8)*(0.00376*D147^2-0.0516*D147-6.967)</f>
        <v>-4.4228065000000001</v>
      </c>
      <c r="M147" s="140">
        <f t="shared" si="17"/>
        <v>3.1970339504407845</v>
      </c>
      <c r="N147" s="12"/>
    </row>
    <row r="148" spans="2:14">
      <c r="B148" s="11"/>
      <c r="C148" s="65">
        <v>143</v>
      </c>
      <c r="D148" s="65">
        <f>(Observaciones!D148+Observaciones!E148)/2</f>
        <v>10.25</v>
      </c>
      <c r="E148" s="141">
        <f t="shared" si="12"/>
        <v>1.2492721463078402</v>
      </c>
      <c r="F148" s="141">
        <f t="shared" si="13"/>
        <v>8.3541669468764471E-2</v>
      </c>
      <c r="G148" s="141">
        <f t="shared" si="14"/>
        <v>2.4767997500000001</v>
      </c>
      <c r="H148" s="141">
        <f>0.001013*Constantes!$D$6/(0.622*G148)</f>
        <v>4.4989927956473885E-2</v>
      </c>
      <c r="I148" s="141">
        <f t="shared" si="15"/>
        <v>0.33065332530236252</v>
      </c>
      <c r="J148" s="141">
        <f t="shared" si="16"/>
        <v>0.35478964908440508</v>
      </c>
      <c r="K148" s="141">
        <f>(Constantes!$D$12/0.8)*(Constantes!$D$7*J148^2+Constantes!$D$8*J148+Constantes!$D$9)</f>
        <v>14.765650201961007</v>
      </c>
      <c r="L148" s="141">
        <f>(Constantes!$D$12/0.8)*(0.00376*D148^2-0.0516*D148-6.967)</f>
        <v>-4.4380406250000002</v>
      </c>
      <c r="M148" s="140">
        <f t="shared" si="17"/>
        <v>3.1219197686748879</v>
      </c>
      <c r="N148" s="12"/>
    </row>
    <row r="149" spans="2:14">
      <c r="B149" s="11"/>
      <c r="C149" s="65">
        <v>144</v>
      </c>
      <c r="D149" s="65">
        <f>(Observaciones!D149+Observaciones!E149)/2</f>
        <v>10</v>
      </c>
      <c r="E149" s="141">
        <f t="shared" si="12"/>
        <v>1.2285355953233976</v>
      </c>
      <c r="F149" s="141">
        <f t="shared" si="13"/>
        <v>8.2321156964857062E-2</v>
      </c>
      <c r="G149" s="141">
        <f t="shared" si="14"/>
        <v>2.4773899999999998</v>
      </c>
      <c r="H149" s="141">
        <f>0.001013*Constantes!$D$6/(0.622*G149)</f>
        <v>4.4979208891257547E-2</v>
      </c>
      <c r="I149" s="141">
        <f t="shared" si="15"/>
        <v>0.32889553570326324</v>
      </c>
      <c r="J149" s="141">
        <f t="shared" si="16"/>
        <v>0.3582397074039953</v>
      </c>
      <c r="K149" s="141">
        <f>(Constantes!$D$12/0.8)*(Constantes!$D$7*J149^2+Constantes!$D$8*J149+Constantes!$D$9)</f>
        <v>14.721652231389545</v>
      </c>
      <c r="L149" s="141">
        <f>(Constantes!$D$12/0.8)*(0.00376*D149^2-0.0516*D149-6.967)</f>
        <v>-4.4418749999999996</v>
      </c>
      <c r="M149" s="140">
        <f t="shared" si="17"/>
        <v>3.0904596976032721</v>
      </c>
      <c r="N149" s="12"/>
    </row>
    <row r="150" spans="2:14">
      <c r="B150" s="11"/>
      <c r="C150" s="65">
        <v>145</v>
      </c>
      <c r="D150" s="65">
        <f>(Observaciones!D150+Observaciones!E150)/2</f>
        <v>9.5</v>
      </c>
      <c r="E150" s="141">
        <f t="shared" si="12"/>
        <v>1.187968532240967</v>
      </c>
      <c r="F150" s="141">
        <f t="shared" si="13"/>
        <v>7.9925724231647788E-2</v>
      </c>
      <c r="G150" s="141">
        <f t="shared" si="14"/>
        <v>2.4785705</v>
      </c>
      <c r="H150" s="141">
        <f>0.001013*Constantes!$D$6/(0.622*G150)</f>
        <v>4.4957786076737595E-2</v>
      </c>
      <c r="I150" s="141">
        <f t="shared" si="15"/>
        <v>0.32534995521168669</v>
      </c>
      <c r="J150" s="141">
        <f t="shared" si="16"/>
        <v>0.36158361156683566</v>
      </c>
      <c r="K150" s="141">
        <f>(Constantes!$D$12/0.8)*(Constantes!$D$7*J150^2+Constantes!$D$8*J150+Constantes!$D$9)</f>
        <v>14.678816232968144</v>
      </c>
      <c r="L150" s="141">
        <f>(Constantes!$D$12/0.8)*(0.00376*D150^2-0.0516*D150-6.967)</f>
        <v>-4.4486624999999993</v>
      </c>
      <c r="M150" s="140">
        <f t="shared" si="17"/>
        <v>3.0418349265924491</v>
      </c>
      <c r="N150" s="12"/>
    </row>
    <row r="151" spans="2:14">
      <c r="B151" s="11"/>
      <c r="C151" s="65">
        <v>146</v>
      </c>
      <c r="D151" s="65">
        <f>(Observaciones!D151+Observaciones!E151)/2</f>
        <v>10.5</v>
      </c>
      <c r="E151" s="141">
        <f t="shared" si="12"/>
        <v>1.270315807299828</v>
      </c>
      <c r="F151" s="141">
        <f t="shared" si="13"/>
        <v>8.4777587211605721E-2</v>
      </c>
      <c r="G151" s="141">
        <f t="shared" si="14"/>
        <v>2.4762095</v>
      </c>
      <c r="H151" s="141">
        <f>0.001013*Constantes!$D$6/(0.622*G151)</f>
        <v>4.5000652131862245E-2</v>
      </c>
      <c r="I151" s="141">
        <f t="shared" si="15"/>
        <v>0.33240100947604179</v>
      </c>
      <c r="J151" s="141">
        <f t="shared" si="16"/>
        <v>0.36482037070195533</v>
      </c>
      <c r="K151" s="141">
        <f>(Constantes!$D$12/0.8)*(Constantes!$D$7*J151^2+Constantes!$D$8*J151+Constantes!$D$9)</f>
        <v>14.637172962364211</v>
      </c>
      <c r="L151" s="141">
        <f>(Constantes!$D$12/0.8)*(0.00376*D151^2-0.0516*D151-6.967)</f>
        <v>-4.4339124999999999</v>
      </c>
      <c r="M151" s="140">
        <f t="shared" si="17"/>
        <v>3.0996494135229309</v>
      </c>
      <c r="N151" s="12"/>
    </row>
    <row r="152" spans="2:14">
      <c r="B152" s="11"/>
      <c r="C152" s="65">
        <v>147</v>
      </c>
      <c r="D152" s="65">
        <f>(Observaciones!D152+Observaciones!E152)/2</f>
        <v>10.85</v>
      </c>
      <c r="E152" s="141">
        <f t="shared" si="12"/>
        <v>1.3003002567289974</v>
      </c>
      <c r="F152" s="141">
        <f t="shared" si="13"/>
        <v>8.6534052607070783E-2</v>
      </c>
      <c r="G152" s="141">
        <f t="shared" si="14"/>
        <v>2.4753831499999999</v>
      </c>
      <c r="H152" s="141">
        <f>0.001013*Constantes!$D$6/(0.622*G152)</f>
        <v>4.5015674569455051E-2</v>
      </c>
      <c r="I152" s="141">
        <f t="shared" si="15"/>
        <v>0.33483065028999898</v>
      </c>
      <c r="J152" s="141">
        <f t="shared" si="16"/>
        <v>0.36794902568776749</v>
      </c>
      <c r="K152" s="141">
        <f>(Constantes!$D$12/0.8)*(Constantes!$D$7*J152^2+Constantes!$D$8*J152+Constantes!$D$9)</f>
        <v>14.596752402896209</v>
      </c>
      <c r="L152" s="141">
        <f>(Constantes!$D$12/0.8)*(0.00376*D152^2-0.0516*D152-6.967)</f>
        <v>-4.4276396250000003</v>
      </c>
      <c r="M152" s="140">
        <f t="shared" si="17"/>
        <v>3.1116842383442944</v>
      </c>
      <c r="N152" s="12"/>
    </row>
    <row r="153" spans="2:14">
      <c r="B153" s="11"/>
      <c r="C153" s="65">
        <v>148</v>
      </c>
      <c r="D153" s="65">
        <f>(Observaciones!D153+Observaciones!E153)/2</f>
        <v>10.1</v>
      </c>
      <c r="E153" s="141">
        <f t="shared" si="12"/>
        <v>1.2367936086713311</v>
      </c>
      <c r="F153" s="141">
        <f t="shared" si="13"/>
        <v>8.280752335747088E-2</v>
      </c>
      <c r="G153" s="141">
        <f t="shared" si="14"/>
        <v>2.4771538999999998</v>
      </c>
      <c r="H153" s="141">
        <f>0.001013*Constantes!$D$6/(0.622*G153)</f>
        <v>4.4983495904357233E-2</v>
      </c>
      <c r="I153" s="141">
        <f t="shared" si="15"/>
        <v>0.32959985930480346</v>
      </c>
      <c r="J153" s="141">
        <f t="shared" si="16"/>
        <v>0.37096864943627805</v>
      </c>
      <c r="K153" s="141">
        <f>(Constantes!$D$12/0.8)*(Constantes!$D$7*J153^2+Constantes!$D$8*J153+Constantes!$D$9)</f>
        <v>14.557583735737879</v>
      </c>
      <c r="L153" s="141">
        <f>(Constantes!$D$12/0.8)*(0.00376*D153^2-0.0516*D153-6.967)</f>
        <v>-4.4403764999999993</v>
      </c>
      <c r="M153" s="140">
        <f t="shared" si="17"/>
        <v>3.046739428389718</v>
      </c>
      <c r="N153" s="12"/>
    </row>
    <row r="154" spans="2:14">
      <c r="B154" s="11"/>
      <c r="C154" s="65">
        <v>149</v>
      </c>
      <c r="D154" s="65">
        <f>(Observaciones!D154+Observaciones!E154)/2</f>
        <v>10.050000000000001</v>
      </c>
      <c r="E154" s="141">
        <f t="shared" si="12"/>
        <v>1.2326585212421168</v>
      </c>
      <c r="F154" s="141">
        <f t="shared" si="13"/>
        <v>8.2564034558520752E-2</v>
      </c>
      <c r="G154" s="141">
        <f t="shared" si="14"/>
        <v>2.47727195</v>
      </c>
      <c r="H154" s="141">
        <f>0.001013*Constantes!$D$6/(0.622*G154)</f>
        <v>4.4981352295662379E-2</v>
      </c>
      <c r="I154" s="141">
        <f t="shared" si="15"/>
        <v>0.32924789838088458</v>
      </c>
      <c r="J154" s="141">
        <f t="shared" si="16"/>
        <v>0.37387834716780144</v>
      </c>
      <c r="K154" s="141">
        <f>(Constantes!$D$12/0.8)*(Constantes!$D$7*J154^2+Constantes!$D$8*J154+Constantes!$D$9)</f>
        <v>14.519695310881445</v>
      </c>
      <c r="L154" s="141">
        <f>(Constantes!$D$12/0.8)*(0.00376*D154^2-0.0516*D154-6.967)</f>
        <v>-4.4411316249999997</v>
      </c>
      <c r="M154" s="140">
        <f t="shared" si="17"/>
        <v>3.031511162300057</v>
      </c>
      <c r="N154" s="12"/>
    </row>
    <row r="155" spans="2:14">
      <c r="B155" s="11"/>
      <c r="C155" s="65">
        <v>150</v>
      </c>
      <c r="D155" s="65">
        <f>(Observaciones!D155+Observaciones!E155)/2</f>
        <v>9.35</v>
      </c>
      <c r="E155" s="141">
        <f t="shared" si="12"/>
        <v>1.1760304470729337</v>
      </c>
      <c r="F155" s="141">
        <f t="shared" si="13"/>
        <v>7.921880376620824E-2</v>
      </c>
      <c r="G155" s="141">
        <f t="shared" si="14"/>
        <v>2.4789246499999997</v>
      </c>
      <c r="H155" s="141">
        <f>0.001013*Constantes!$D$6/(0.622*G155)</f>
        <v>4.4951363211105488E-2</v>
      </c>
      <c r="I155" s="141">
        <f t="shared" si="15"/>
        <v>0.32427855867946659</v>
      </c>
      <c r="J155" s="141">
        <f t="shared" si="16"/>
        <v>0.37667725667610352</v>
      </c>
      <c r="K155" s="141">
        <f>(Constantes!$D$12/0.8)*(Constantes!$D$7*J155^2+Constantes!$D$8*J155+Constantes!$D$9)</f>
        <v>14.483114618892564</v>
      </c>
      <c r="L155" s="141">
        <f>(Constantes!$D$12/0.8)*(0.00376*D155^2-0.0516*D155-6.967)</f>
        <v>-4.4504696250000002</v>
      </c>
      <c r="M155" s="140">
        <f t="shared" si="17"/>
        <v>2.9715778463340068</v>
      </c>
      <c r="N155" s="12"/>
    </row>
    <row r="156" spans="2:14">
      <c r="B156" s="11"/>
      <c r="C156" s="65">
        <v>151</v>
      </c>
      <c r="D156" s="65">
        <f>(Observaciones!D156+Observaciones!E156)/2</f>
        <v>9.75</v>
      </c>
      <c r="E156" s="141">
        <f t="shared" si="12"/>
        <v>1.208102321837458</v>
      </c>
      <c r="F156" s="141">
        <f t="shared" si="13"/>
        <v>8.1115893548976525E-2</v>
      </c>
      <c r="G156" s="141">
        <f t="shared" si="14"/>
        <v>2.4779802499999999</v>
      </c>
      <c r="H156" s="141">
        <f>0.001013*Constantes!$D$6/(0.622*G156)</f>
        <v>4.4968494932561519E-2</v>
      </c>
      <c r="I156" s="141">
        <f t="shared" si="15"/>
        <v>0.3271277184414379</v>
      </c>
      <c r="J156" s="141">
        <f t="shared" si="16"/>
        <v>0.3793645485838914</v>
      </c>
      <c r="K156" s="141">
        <f>(Constantes!$D$12/0.8)*(Constantes!$D$7*J156^2+Constantes!$D$8*J156+Constantes!$D$9)</f>
        <v>14.4478682634889</v>
      </c>
      <c r="L156" s="141">
        <f>(Constantes!$D$12/0.8)*(0.00376*D156^2-0.0516*D156-6.967)</f>
        <v>-4.4454156249999999</v>
      </c>
      <c r="M156" s="140">
        <f t="shared" si="17"/>
        <v>2.9885016195647593</v>
      </c>
      <c r="N156" s="12"/>
    </row>
    <row r="157" spans="2:14">
      <c r="B157" s="11"/>
      <c r="C157" s="65">
        <v>152</v>
      </c>
      <c r="D157" s="65">
        <f>(Observaciones!D157+Observaciones!E157)/2</f>
        <v>9.9</v>
      </c>
      <c r="E157" s="141">
        <f t="shared" si="12"/>
        <v>1.2203261059395465</v>
      </c>
      <c r="F157" s="141">
        <f t="shared" si="13"/>
        <v>8.1837230413319473E-2</v>
      </c>
      <c r="G157" s="141">
        <f t="shared" si="14"/>
        <v>2.4776260999999997</v>
      </c>
      <c r="H157" s="141">
        <f>0.001013*Constantes!$D$6/(0.622*G157)</f>
        <v>4.4974922695201085E-2</v>
      </c>
      <c r="I157" s="141">
        <f t="shared" si="15"/>
        <v>0.3281896076316444</v>
      </c>
      <c r="J157" s="141">
        <f t="shared" si="16"/>
        <v>0.38193942658857638</v>
      </c>
      <c r="K157" s="141">
        <f>(Constantes!$D$12/0.8)*(Constantes!$D$7*J157^2+Constantes!$D$8*J157+Constantes!$D$9)</f>
        <v>14.413981934973322</v>
      </c>
      <c r="L157" s="141">
        <f>(Constantes!$D$12/0.8)*(0.00376*D157^2-0.0516*D157-6.967)</f>
        <v>-4.4433264999999995</v>
      </c>
      <c r="M157" s="140">
        <f t="shared" si="17"/>
        <v>2.9884343504953068</v>
      </c>
      <c r="N157" s="12"/>
    </row>
    <row r="158" spans="2:14">
      <c r="B158" s="11"/>
      <c r="C158" s="65">
        <v>153</v>
      </c>
      <c r="D158" s="65">
        <f>(Observaciones!D158+Observaciones!E158)/2</f>
        <v>9.5</v>
      </c>
      <c r="E158" s="141">
        <f t="shared" si="12"/>
        <v>1.187968532240967</v>
      </c>
      <c r="F158" s="141">
        <f t="shared" si="13"/>
        <v>7.9925724231647788E-2</v>
      </c>
      <c r="G158" s="141">
        <f t="shared" si="14"/>
        <v>2.4785705</v>
      </c>
      <c r="H158" s="141">
        <f>0.001013*Constantes!$D$6/(0.622*G158)</f>
        <v>4.4957786076737595E-2</v>
      </c>
      <c r="I158" s="141">
        <f t="shared" si="15"/>
        <v>0.32534995521168669</v>
      </c>
      <c r="J158" s="141">
        <f t="shared" si="16"/>
        <v>0.3844011276982352</v>
      </c>
      <c r="K158" s="141">
        <f>(Constantes!$D$12/0.8)*(Constantes!$D$7*J158^2+Constantes!$D$8*J158+Constantes!$D$9)</f>
        <v>14.381480384551732</v>
      </c>
      <c r="L158" s="141">
        <f>(Constantes!$D$12/0.8)*(0.00376*D158^2-0.0516*D158-6.967)</f>
        <v>-4.4486624999999993</v>
      </c>
      <c r="M158" s="140">
        <f t="shared" si="17"/>
        <v>2.9509010139252472</v>
      </c>
      <c r="N158" s="12"/>
    </row>
    <row r="159" spans="2:14">
      <c r="B159" s="11"/>
      <c r="C159" s="65">
        <v>154</v>
      </c>
      <c r="D159" s="65">
        <f>(Observaciones!D159+Observaciones!E159)/2</f>
        <v>7.55</v>
      </c>
      <c r="E159" s="141">
        <f t="shared" si="12"/>
        <v>1.0407895203605066</v>
      </c>
      <c r="F159" s="141">
        <f t="shared" si="13"/>
        <v>7.1143405147673366E-2</v>
      </c>
      <c r="G159" s="141">
        <f t="shared" si="14"/>
        <v>2.4831744499999999</v>
      </c>
      <c r="H159" s="141">
        <f>0.001013*Constantes!$D$6/(0.622*G159)</f>
        <v>4.4874431723921991E-2</v>
      </c>
      <c r="I159" s="141">
        <f t="shared" si="15"/>
        <v>0.31115243087450783</v>
      </c>
      <c r="J159" s="141">
        <f t="shared" si="16"/>
        <v>0.38674892245770132</v>
      </c>
      <c r="K159" s="141">
        <f>(Constantes!$D$12/0.8)*(Constantes!$D$7*J159^2+Constantes!$D$8*J159+Constantes!$D$9)</f>
        <v>14.35038739956452</v>
      </c>
      <c r="L159" s="141">
        <f>(Constantes!$D$12/0.8)*(0.00376*D159^2-0.0516*D159-6.967)</f>
        <v>-4.4639066249999999</v>
      </c>
      <c r="M159" s="140">
        <f t="shared" si="17"/>
        <v>2.8082930503979129</v>
      </c>
      <c r="N159" s="12"/>
    </row>
    <row r="160" spans="2:14">
      <c r="B160" s="11"/>
      <c r="C160" s="65">
        <v>155</v>
      </c>
      <c r="D160" s="65">
        <f>(Observaciones!D160+Observaciones!E160)/2</f>
        <v>12.65</v>
      </c>
      <c r="E160" s="141">
        <f t="shared" si="12"/>
        <v>1.4645445530759136</v>
      </c>
      <c r="F160" s="141">
        <f t="shared" si="13"/>
        <v>9.6065679685328434E-2</v>
      </c>
      <c r="G160" s="141">
        <f t="shared" si="14"/>
        <v>2.4711333499999997</v>
      </c>
      <c r="H160" s="141">
        <f>0.001013*Constantes!$D$6/(0.622*G160)</f>
        <v>4.5093091522200757E-2</v>
      </c>
      <c r="I160" s="141">
        <f t="shared" si="15"/>
        <v>0.34700421800471326</v>
      </c>
      <c r="J160" s="141">
        <f t="shared" si="16"/>
        <v>0.38898211516471776</v>
      </c>
      <c r="K160" s="141">
        <f>(Constantes!$D$12/0.8)*(Constantes!$D$7*J160^2+Constantes!$D$8*J160+Constantes!$D$9)</f>
        <v>14.320725779659679</v>
      </c>
      <c r="L160" s="141">
        <f>(Constantes!$D$12/0.8)*(0.00376*D160^2-0.0516*D160-6.967)</f>
        <v>-4.386284625</v>
      </c>
      <c r="M160" s="140">
        <f t="shared" si="17"/>
        <v>3.1491318491606775</v>
      </c>
      <c r="N160" s="12"/>
    </row>
    <row r="161" spans="2:14">
      <c r="B161" s="11"/>
      <c r="C161" s="65">
        <v>156</v>
      </c>
      <c r="D161" s="65">
        <f>(Observaciones!D161+Observaciones!E161)/2</f>
        <v>9.75</v>
      </c>
      <c r="E161" s="141">
        <f t="shared" si="12"/>
        <v>1.208102321837458</v>
      </c>
      <c r="F161" s="141">
        <f t="shared" si="13"/>
        <v>8.1115893548976525E-2</v>
      </c>
      <c r="G161" s="141">
        <f t="shared" si="14"/>
        <v>2.4779802499999999</v>
      </c>
      <c r="H161" s="141">
        <f>0.001013*Constantes!$D$6/(0.622*G161)</f>
        <v>4.4968494932561519E-2</v>
      </c>
      <c r="I161" s="141">
        <f t="shared" si="15"/>
        <v>0.3271277184414379</v>
      </c>
      <c r="J161" s="141">
        <f t="shared" si="16"/>
        <v>0.39110004407608939</v>
      </c>
      <c r="K161" s="141">
        <f>(Constantes!$D$12/0.8)*(Constantes!$D$7*J161^2+Constantes!$D$8*J161+Constantes!$D$9)</f>
        <v>14.292517313934528</v>
      </c>
      <c r="L161" s="141">
        <f>(Constantes!$D$12/0.8)*(0.00376*D161^2-0.0516*D161-6.967)</f>
        <v>-4.4454156249999999</v>
      </c>
      <c r="M161" s="140">
        <f t="shared" si="17"/>
        <v>2.9407311939804521</v>
      </c>
      <c r="N161" s="12"/>
    </row>
    <row r="162" spans="2:14">
      <c r="B162" s="11"/>
      <c r="C162" s="65">
        <v>157</v>
      </c>
      <c r="D162" s="65">
        <f>(Observaciones!D162+Observaciones!E162)/2</f>
        <v>11.05</v>
      </c>
      <c r="E162" s="141">
        <f t="shared" si="12"/>
        <v>1.3177120268355451</v>
      </c>
      <c r="F162" s="141">
        <f t="shared" si="13"/>
        <v>8.755160967514751E-2</v>
      </c>
      <c r="G162" s="141">
        <f t="shared" si="14"/>
        <v>2.4749109499999999</v>
      </c>
      <c r="H162" s="141">
        <f>0.001013*Constantes!$D$6/(0.622*G162)</f>
        <v>4.5024263323540002E-2</v>
      </c>
      <c r="I162" s="141">
        <f t="shared" si="15"/>
        <v>0.33620998521975448</v>
      </c>
      <c r="J162" s="141">
        <f t="shared" si="16"/>
        <v>0.39310208160377097</v>
      </c>
      <c r="K162" s="141">
        <f>(Constantes!$D$12/0.8)*(Constantes!$D$7*J162^2+Constantes!$D$8*J162+Constantes!$D$9)</f>
        <v>14.265782759071888</v>
      </c>
      <c r="L162" s="141">
        <f>(Constantes!$D$12/0.8)*(0.00376*D162^2-0.0516*D162-6.967)</f>
        <v>-4.4237966249999996</v>
      </c>
      <c r="M162" s="140">
        <f t="shared" si="17"/>
        <v>3.0211960960347906</v>
      </c>
      <c r="N162" s="12"/>
    </row>
    <row r="163" spans="2:14">
      <c r="B163" s="11"/>
      <c r="C163" s="65">
        <v>158</v>
      </c>
      <c r="D163" s="65">
        <f>(Observaciones!D163+Observaciones!E163)/2</f>
        <v>10</v>
      </c>
      <c r="E163" s="141">
        <f t="shared" si="12"/>
        <v>1.2285355953233976</v>
      </c>
      <c r="F163" s="141">
        <f t="shared" si="13"/>
        <v>8.2321156964857062E-2</v>
      </c>
      <c r="G163" s="141">
        <f t="shared" si="14"/>
        <v>2.4773899999999998</v>
      </c>
      <c r="H163" s="141">
        <f>0.001013*Constantes!$D$6/(0.622*G163)</f>
        <v>4.4979208891257547E-2</v>
      </c>
      <c r="I163" s="141">
        <f t="shared" si="15"/>
        <v>0.32889553570326324</v>
      </c>
      <c r="J163" s="141">
        <f t="shared" si="16"/>
        <v>0.39498763450083563</v>
      </c>
      <c r="K163" s="141">
        <f>(Constantes!$D$12/0.8)*(Constantes!$D$7*J163^2+Constantes!$D$8*J163+Constantes!$D$9)</f>
        <v>14.240541818495435</v>
      </c>
      <c r="L163" s="141">
        <f>(Constantes!$D$12/0.8)*(0.00376*D163^2-0.0516*D163-6.967)</f>
        <v>-4.4418749999999996</v>
      </c>
      <c r="M163" s="140">
        <f t="shared" si="17"/>
        <v>2.9417187346409199</v>
      </c>
      <c r="N163" s="12"/>
    </row>
    <row r="164" spans="2:14">
      <c r="B164" s="11"/>
      <c r="C164" s="65">
        <v>159</v>
      </c>
      <c r="D164" s="65">
        <f>(Observaciones!D164+Observaciones!E164)/2</f>
        <v>10.5</v>
      </c>
      <c r="E164" s="141">
        <f t="shared" si="12"/>
        <v>1.270315807299828</v>
      </c>
      <c r="F164" s="141">
        <f t="shared" si="13"/>
        <v>8.4777587211605721E-2</v>
      </c>
      <c r="G164" s="141">
        <f t="shared" si="14"/>
        <v>2.4762095</v>
      </c>
      <c r="H164" s="141">
        <f>0.001013*Constantes!$D$6/(0.622*G164)</f>
        <v>4.5000652131862245E-2</v>
      </c>
      <c r="I164" s="141">
        <f t="shared" si="15"/>
        <v>0.33240100947604179</v>
      </c>
      <c r="J164" s="141">
        <f t="shared" si="16"/>
        <v>0.39675614403726639</v>
      </c>
      <c r="K164" s="141">
        <f>(Constantes!$D$12/0.8)*(Constantes!$D$7*J164^2+Constantes!$D$8*J164+Constantes!$D$9)</f>
        <v>14.216813122567874</v>
      </c>
      <c r="L164" s="141">
        <f>(Constantes!$D$12/0.8)*(0.00376*D164^2-0.0516*D164-6.967)</f>
        <v>-4.4339124999999999</v>
      </c>
      <c r="M164" s="140">
        <f t="shared" si="17"/>
        <v>2.968305060536931</v>
      </c>
      <c r="N164" s="12"/>
    </row>
    <row r="165" spans="2:14">
      <c r="B165" s="11"/>
      <c r="C165" s="65">
        <v>160</v>
      </c>
      <c r="D165" s="65">
        <f>(Observaciones!D165+Observaciones!E165)/2</f>
        <v>8.3000000000000007</v>
      </c>
      <c r="E165" s="141">
        <f t="shared" si="12"/>
        <v>1.0953778240340981</v>
      </c>
      <c r="F165" s="141">
        <f t="shared" si="13"/>
        <v>7.4418202097829511E-2</v>
      </c>
      <c r="G165" s="141">
        <f t="shared" si="14"/>
        <v>2.4814037</v>
      </c>
      <c r="H165" s="141">
        <f>0.001013*Constantes!$D$6/(0.622*G165)</f>
        <v>4.4906454485867227E-2</v>
      </c>
      <c r="I165" s="141">
        <f t="shared" si="15"/>
        <v>0.31668106733869283</v>
      </c>
      <c r="J165" s="141">
        <f t="shared" si="16"/>
        <v>0.39840708616551995</v>
      </c>
      <c r="K165" s="141">
        <f>(Constantes!$D$12/0.8)*(Constantes!$D$7*J165^2+Constantes!$D$8*J165+Constantes!$D$9)</f>
        <v>14.194614209854281</v>
      </c>
      <c r="L165" s="141">
        <f>(Constantes!$D$12/0.8)*(0.00376*D165^2-0.0516*D165-6.967)</f>
        <v>-4.4601585000000004</v>
      </c>
      <c r="M165" s="140">
        <f t="shared" si="17"/>
        <v>2.8130078894516286</v>
      </c>
      <c r="N165" s="12"/>
    </row>
    <row r="166" spans="2:14">
      <c r="B166" s="11"/>
      <c r="C166" s="65">
        <v>161</v>
      </c>
      <c r="D166" s="65">
        <f>(Observaciones!D166+Observaciones!E166)/2</f>
        <v>7.5</v>
      </c>
      <c r="E166" s="141">
        <f t="shared" si="12"/>
        <v>1.0372370108957141</v>
      </c>
      <c r="F166" s="141">
        <f t="shared" si="13"/>
        <v>7.0929538162582961E-2</v>
      </c>
      <c r="G166" s="141">
        <f t="shared" si="14"/>
        <v>2.4832924999999997</v>
      </c>
      <c r="H166" s="141">
        <f>0.001013*Constantes!$D$6/(0.622*G166)</f>
        <v>4.4872298496899804E-2</v>
      </c>
      <c r="I166" s="141">
        <f t="shared" si="15"/>
        <v>0.31078092343514818</v>
      </c>
      <c r="J166" s="141">
        <f t="shared" si="16"/>
        <v>0.39993997167581363</v>
      </c>
      <c r="K166" s="141">
        <f>(Constantes!$D$12/0.8)*(Constantes!$D$7*J166^2+Constantes!$D$8*J166+Constantes!$D$9)</f>
        <v>14.173961509471891</v>
      </c>
      <c r="L166" s="141">
        <f>(Constantes!$D$12/0.8)*(0.00376*D166^2-0.0516*D166-6.967)</f>
        <v>-4.4640624999999998</v>
      </c>
      <c r="M166" s="140">
        <f t="shared" si="17"/>
        <v>2.7533515698268296</v>
      </c>
      <c r="N166" s="12"/>
    </row>
    <row r="167" spans="2:14">
      <c r="B167" s="11"/>
      <c r="C167" s="65">
        <v>162</v>
      </c>
      <c r="D167" s="65">
        <f>(Observaciones!D167+Observaciones!E167)/2</f>
        <v>9.1</v>
      </c>
      <c r="E167" s="141">
        <f t="shared" si="12"/>
        <v>1.1563680372555176</v>
      </c>
      <c r="F167" s="141">
        <f t="shared" si="13"/>
        <v>7.8052465514333522E-2</v>
      </c>
      <c r="G167" s="141">
        <f t="shared" si="14"/>
        <v>2.4795148999999999</v>
      </c>
      <c r="H167" s="141">
        <f>0.001013*Constantes!$D$6/(0.622*G167)</f>
        <v>4.494066251229728E-2</v>
      </c>
      <c r="I167" s="141">
        <f t="shared" si="15"/>
        <v>0.32248506174818503</v>
      </c>
      <c r="J167" s="141">
        <f t="shared" si="16"/>
        <v>0.40135434634108819</v>
      </c>
      <c r="K167" s="141">
        <f>(Constantes!$D$12/0.8)*(Constantes!$D$7*J167^2+Constantes!$D$8*J167+Constantes!$D$9)</f>
        <v>14.154870324546284</v>
      </c>
      <c r="L167" s="141">
        <f>(Constantes!$D$12/0.8)*(0.00376*D167^2-0.0516*D167-6.967)</f>
        <v>-4.4532464999999997</v>
      </c>
      <c r="M167" s="140">
        <f t="shared" si="17"/>
        <v>2.8547447042775391</v>
      </c>
      <c r="N167" s="12"/>
    </row>
    <row r="168" spans="2:14">
      <c r="B168" s="11"/>
      <c r="C168" s="65">
        <v>163</v>
      </c>
      <c r="D168" s="65">
        <f>(Observaciones!D168+Observaciones!E168)/2</f>
        <v>10.85</v>
      </c>
      <c r="E168" s="141">
        <f t="shared" si="12"/>
        <v>1.3003002567289974</v>
      </c>
      <c r="F168" s="141">
        <f t="shared" si="13"/>
        <v>8.6534052607070783E-2</v>
      </c>
      <c r="G168" s="141">
        <f t="shared" si="14"/>
        <v>2.4753831499999999</v>
      </c>
      <c r="H168" s="141">
        <f>0.001013*Constantes!$D$6/(0.622*G168)</f>
        <v>4.5015674569455051E-2</v>
      </c>
      <c r="I168" s="141">
        <f t="shared" si="15"/>
        <v>0.33483065028999898</v>
      </c>
      <c r="J168" s="141">
        <f t="shared" si="16"/>
        <v>0.4026497910516057</v>
      </c>
      <c r="K168" s="141">
        <f>(Constantes!$D$12/0.8)*(Constantes!$D$7*J168^2+Constantes!$D$8*J168+Constantes!$D$9)</f>
        <v>14.13735481679273</v>
      </c>
      <c r="L168" s="141">
        <f>(Constantes!$D$12/0.8)*(0.00376*D168^2-0.0516*D168-6.967)</f>
        <v>-4.4276396250000003</v>
      </c>
      <c r="M168" s="140">
        <f t="shared" si="17"/>
        <v>2.9670930693974116</v>
      </c>
      <c r="N168" s="12"/>
    </row>
    <row r="169" spans="2:14">
      <c r="B169" s="11"/>
      <c r="C169" s="65">
        <v>164</v>
      </c>
      <c r="D169" s="65">
        <f>(Observaciones!D169+Observaciones!E169)/2</f>
        <v>8.5500000000000007</v>
      </c>
      <c r="E169" s="141">
        <f t="shared" si="12"/>
        <v>1.1141256884066946</v>
      </c>
      <c r="F169" s="141">
        <f t="shared" si="13"/>
        <v>7.553804083049119E-2</v>
      </c>
      <c r="G169" s="141">
        <f t="shared" si="14"/>
        <v>2.4808134499999999</v>
      </c>
      <c r="H169" s="141">
        <f>0.001013*Constantes!$D$6/(0.622*G169)</f>
        <v>4.4917138898578825E-2</v>
      </c>
      <c r="I169" s="141">
        <f t="shared" si="15"/>
        <v>0.31850530773396696</v>
      </c>
      <c r="J169" s="141">
        <f t="shared" si="16"/>
        <v>0.40382592193914041</v>
      </c>
      <c r="K169" s="141">
        <f>(Constantes!$D$12/0.8)*(Constantes!$D$7*J169^2+Constantes!$D$8*J169+Constantes!$D$9)</f>
        <v>14.121427992240122</v>
      </c>
      <c r="L169" s="141">
        <f>(Constantes!$D$12/0.8)*(0.00376*D169^2-0.0516*D169-6.967)</f>
        <v>-4.458321625</v>
      </c>
      <c r="M169" s="140">
        <f t="shared" si="17"/>
        <v>2.8078856810651804</v>
      </c>
      <c r="N169" s="12"/>
    </row>
    <row r="170" spans="2:14">
      <c r="B170" s="11"/>
      <c r="C170" s="65">
        <v>165</v>
      </c>
      <c r="D170" s="65">
        <f>(Observaciones!D170+Observaciones!E170)/2</f>
        <v>9.75</v>
      </c>
      <c r="E170" s="141">
        <f t="shared" si="12"/>
        <v>1.208102321837458</v>
      </c>
      <c r="F170" s="141">
        <f t="shared" si="13"/>
        <v>8.1115893548976525E-2</v>
      </c>
      <c r="G170" s="141">
        <f t="shared" si="14"/>
        <v>2.4779802499999999</v>
      </c>
      <c r="H170" s="141">
        <f>0.001013*Constantes!$D$6/(0.622*G170)</f>
        <v>4.4968494932561519E-2</v>
      </c>
      <c r="I170" s="141">
        <f t="shared" si="15"/>
        <v>0.3271277184414379</v>
      </c>
      <c r="J170" s="141">
        <f t="shared" si="16"/>
        <v>0.40488239049072738</v>
      </c>
      <c r="K170" s="141">
        <f>(Constantes!$D$12/0.8)*(Constantes!$D$7*J170^2+Constantes!$D$8*J170+Constantes!$D$9)</f>
        <v>14.107101688113758</v>
      </c>
      <c r="L170" s="141">
        <f>(Constantes!$D$12/0.8)*(0.00376*D170^2-0.0516*D170-6.967)</f>
        <v>-4.4454156249999999</v>
      </c>
      <c r="M170" s="140">
        <f t="shared" si="17"/>
        <v>2.8837158787806012</v>
      </c>
      <c r="N170" s="12"/>
    </row>
    <row r="171" spans="2:14">
      <c r="B171" s="11"/>
      <c r="C171" s="65">
        <v>166</v>
      </c>
      <c r="D171" s="65">
        <f>(Observaciones!D171+Observaciones!E171)/2</f>
        <v>8.15</v>
      </c>
      <c r="E171" s="141">
        <f t="shared" si="12"/>
        <v>1.0842628845563618</v>
      </c>
      <c r="F171" s="141">
        <f t="shared" si="13"/>
        <v>7.3753132863077983E-2</v>
      </c>
      <c r="G171" s="141">
        <f t="shared" si="14"/>
        <v>2.4817578499999997</v>
      </c>
      <c r="H171" s="141">
        <f>0.001013*Constantes!$D$6/(0.622*G171)</f>
        <v>4.4900046277727111E-2</v>
      </c>
      <c r="I171" s="141">
        <f t="shared" si="15"/>
        <v>0.3155820076579775</v>
      </c>
      <c r="J171" s="141">
        <f t="shared" si="16"/>
        <v>0.40581888365193425</v>
      </c>
      <c r="K171" s="141">
        <f>(Constantes!$D$12/0.8)*(Constantes!$D$7*J171^2+Constantes!$D$8*J171+Constantes!$D$9)</f>
        <v>14.094386560891742</v>
      </c>
      <c r="L171" s="141">
        <f>(Constantes!$D$12/0.8)*(0.00376*D171^2-0.0516*D171-6.967)</f>
        <v>-4.4611196249999994</v>
      </c>
      <c r="M171" s="140">
        <f t="shared" si="17"/>
        <v>2.7732096314782986</v>
      </c>
      <c r="N171" s="12"/>
    </row>
    <row r="172" spans="2:14">
      <c r="B172" s="11"/>
      <c r="C172" s="65">
        <v>167</v>
      </c>
      <c r="D172" s="65">
        <f>(Observaciones!D172+Observaciones!E172)/2</f>
        <v>9.85</v>
      </c>
      <c r="E172" s="141">
        <f t="shared" si="12"/>
        <v>1.2162394815909714</v>
      </c>
      <c r="F172" s="141">
        <f t="shared" si="13"/>
        <v>8.1596178970055111E-2</v>
      </c>
      <c r="G172" s="141">
        <f t="shared" si="14"/>
        <v>2.4777441499999999</v>
      </c>
      <c r="H172" s="141">
        <f>0.001013*Constantes!$D$6/(0.622*G172)</f>
        <v>4.4972779903491057E-2</v>
      </c>
      <c r="I172" s="141">
        <f t="shared" si="15"/>
        <v>0.32783604352575479</v>
      </c>
      <c r="J172" s="141">
        <f t="shared" si="16"/>
        <v>0.40663512391962631</v>
      </c>
      <c r="K172" s="141">
        <f>(Constantes!$D$12/0.8)*(Constantes!$D$7*J172^2+Constantes!$D$8*J172+Constantes!$D$9)</f>
        <v>14.083292075548584</v>
      </c>
      <c r="L172" s="141">
        <f>(Constantes!$D$12/0.8)*(0.00376*D172^2-0.0516*D172-6.967)</f>
        <v>-4.4440346249999996</v>
      </c>
      <c r="M172" s="140">
        <f t="shared" si="17"/>
        <v>2.8830753798820741</v>
      </c>
      <c r="N172" s="12"/>
    </row>
    <row r="173" spans="2:14">
      <c r="B173" s="11"/>
      <c r="C173" s="65">
        <v>168</v>
      </c>
      <c r="D173" s="65">
        <f>(Observaciones!D173+Observaciones!E173)/2</f>
        <v>8.8000000000000007</v>
      </c>
      <c r="E173" s="141">
        <f t="shared" si="12"/>
        <v>1.1331553597220867</v>
      </c>
      <c r="F173" s="141">
        <f t="shared" si="13"/>
        <v>7.6672245735482633E-2</v>
      </c>
      <c r="G173" s="141">
        <f t="shared" si="14"/>
        <v>2.4802231999999997</v>
      </c>
      <c r="H173" s="141">
        <f>0.001013*Constantes!$D$6/(0.622*G173)</f>
        <v>4.4927828396699357E-2</v>
      </c>
      <c r="I173" s="141">
        <f t="shared" si="15"/>
        <v>0.32032005015899595</v>
      </c>
      <c r="J173" s="141">
        <f t="shared" si="16"/>
        <v>0.40733086942419622</v>
      </c>
      <c r="K173" s="141">
        <f>(Constantes!$D$12/0.8)*(Constantes!$D$7*J173^2+Constantes!$D$8*J173+Constantes!$D$9)</f>
        <v>14.073826495998203</v>
      </c>
      <c r="L173" s="141">
        <f>(Constantes!$D$12/0.8)*(0.00376*D173^2-0.0516*D173-6.967)</f>
        <v>-4.4561909999999996</v>
      </c>
      <c r="M173" s="140">
        <f t="shared" si="17"/>
        <v>2.810233755941455</v>
      </c>
      <c r="N173" s="12"/>
    </row>
    <row r="174" spans="2:14">
      <c r="B174" s="11"/>
      <c r="C174" s="65">
        <v>169</v>
      </c>
      <c r="D174" s="65">
        <f>(Observaciones!D174+Observaciones!E174)/2</f>
        <v>8.5500000000000007</v>
      </c>
      <c r="E174" s="141">
        <f t="shared" si="12"/>
        <v>1.1141256884066946</v>
      </c>
      <c r="F174" s="141">
        <f t="shared" si="13"/>
        <v>7.553804083049119E-2</v>
      </c>
      <c r="G174" s="141">
        <f t="shared" si="14"/>
        <v>2.4808134499999999</v>
      </c>
      <c r="H174" s="141">
        <f>0.001013*Constantes!$D$6/(0.622*G174)</f>
        <v>4.4917138898578825E-2</v>
      </c>
      <c r="I174" s="141">
        <f t="shared" si="15"/>
        <v>0.31850530773396696</v>
      </c>
      <c r="J174" s="141">
        <f t="shared" si="16"/>
        <v>0.40790591400123555</v>
      </c>
      <c r="K174" s="141">
        <f>(Constantes!$D$12/0.8)*(Constantes!$D$7*J174^2+Constantes!$D$8*J174+Constantes!$D$9)</f>
        <v>14.065996876747175</v>
      </c>
      <c r="L174" s="141">
        <f>(Constantes!$D$12/0.8)*(0.00376*D174^2-0.0516*D174-6.967)</f>
        <v>-4.458321625</v>
      </c>
      <c r="M174" s="140">
        <f t="shared" si="17"/>
        <v>2.7912898828369492</v>
      </c>
      <c r="N174" s="12"/>
    </row>
    <row r="175" spans="2:14">
      <c r="B175" s="11"/>
      <c r="C175" s="65">
        <v>170</v>
      </c>
      <c r="D175" s="65">
        <f>(Observaciones!D175+Observaciones!E175)/2</f>
        <v>8.65</v>
      </c>
      <c r="E175" s="141">
        <f t="shared" si="12"/>
        <v>1.1217035387262231</v>
      </c>
      <c r="F175" s="141">
        <f t="shared" si="13"/>
        <v>7.5989990506503152E-2</v>
      </c>
      <c r="G175" s="141">
        <f t="shared" si="14"/>
        <v>2.4805773499999999</v>
      </c>
      <c r="H175" s="141">
        <f>0.001013*Constantes!$D$6/(0.622*G175)</f>
        <v>4.4921414087374677E-2</v>
      </c>
      <c r="I175" s="141">
        <f t="shared" si="15"/>
        <v>0.3192323502116553</v>
      </c>
      <c r="J175" s="141">
        <f t="shared" si="16"/>
        <v>0.40836008725262574</v>
      </c>
      <c r="K175" s="141">
        <f>(Constantes!$D$12/0.8)*(Constantes!$D$7*J175^2+Constantes!$D$8*J175+Constantes!$D$9)</f>
        <v>14.059809055767623</v>
      </c>
      <c r="L175" s="141">
        <f>(Constantes!$D$12/0.8)*(0.00376*D175^2-0.0516*D175-6.967)</f>
        <v>-4.4575046250000003</v>
      </c>
      <c r="M175" s="140">
        <f t="shared" si="17"/>
        <v>2.7960654575777499</v>
      </c>
      <c r="N175" s="12"/>
    </row>
    <row r="176" spans="2:14">
      <c r="B176" s="11"/>
      <c r="C176" s="65">
        <v>171</v>
      </c>
      <c r="D176" s="65">
        <f>(Observaciones!D176+Observaciones!E176)/2</f>
        <v>9.15</v>
      </c>
      <c r="E176" s="141">
        <f t="shared" si="12"/>
        <v>1.1602772175252039</v>
      </c>
      <c r="F176" s="141">
        <f t="shared" si="13"/>
        <v>7.8284552595211263E-2</v>
      </c>
      <c r="G176" s="141">
        <f t="shared" si="14"/>
        <v>2.4793968500000001</v>
      </c>
      <c r="H176" s="141">
        <f>0.001013*Constantes!$D$6/(0.622*G176)</f>
        <v>4.4942802244470274E-2</v>
      </c>
      <c r="I176" s="141">
        <f t="shared" si="15"/>
        <v>0.3228445413311169</v>
      </c>
      <c r="J176" s="141">
        <f t="shared" si="16"/>
        <v>0.40869325459703054</v>
      </c>
      <c r="K176" s="141">
        <f>(Constantes!$D$12/0.8)*(Constantes!$D$7*J176^2+Constantes!$D$8*J176+Constantes!$D$9)</f>
        <v>14.055267648597923</v>
      </c>
      <c r="L176" s="141">
        <f>(Constantes!$D$12/0.8)*(0.00376*D176^2-0.0516*D176-6.967)</f>
        <v>-4.4527146249999996</v>
      </c>
      <c r="M176" s="140">
        <f t="shared" si="17"/>
        <v>2.8278718402733398</v>
      </c>
      <c r="N176" s="12"/>
    </row>
    <row r="177" spans="2:14">
      <c r="B177" s="11"/>
      <c r="C177" s="65">
        <v>172</v>
      </c>
      <c r="D177" s="65">
        <f>(Observaciones!D177+Observaciones!E177)/2</f>
        <v>8.85</v>
      </c>
      <c r="E177" s="141">
        <f t="shared" si="12"/>
        <v>1.1369954279192902</v>
      </c>
      <c r="F177" s="141">
        <f t="shared" si="13"/>
        <v>7.6900823791210993E-2</v>
      </c>
      <c r="G177" s="141">
        <f t="shared" si="14"/>
        <v>2.48010515</v>
      </c>
      <c r="H177" s="141">
        <f>0.001013*Constantes!$D$6/(0.622*G177)</f>
        <v>4.4929966906892042E-2</v>
      </c>
      <c r="I177" s="141">
        <f t="shared" si="15"/>
        <v>0.32068184992229182</v>
      </c>
      <c r="J177" s="141">
        <f t="shared" si="16"/>
        <v>0.40890531730977536</v>
      </c>
      <c r="K177" s="141">
        <f>(Constantes!$D$12/0.8)*(Constantes!$D$7*J177^2+Constantes!$D$8*J177+Constantes!$D$9)</f>
        <v>14.052376043677848</v>
      </c>
      <c r="L177" s="141">
        <f>(Constantes!$D$12/0.8)*(0.00376*D177^2-0.0516*D177-6.967)</f>
        <v>-4.455729625</v>
      </c>
      <c r="M177" s="140">
        <f t="shared" si="17"/>
        <v>2.80708980986233</v>
      </c>
      <c r="N177" s="12"/>
    </row>
    <row r="178" spans="2:14">
      <c r="B178" s="11"/>
      <c r="C178" s="65">
        <v>173</v>
      </c>
      <c r="D178" s="65">
        <f>(Observaciones!D178+Observaciones!E178)/2</f>
        <v>8.9</v>
      </c>
      <c r="E178" s="141">
        <f t="shared" si="12"/>
        <v>1.1408469417770644</v>
      </c>
      <c r="F178" s="141">
        <f t="shared" si="13"/>
        <v>7.7129983670597452E-2</v>
      </c>
      <c r="G178" s="141">
        <f t="shared" si="14"/>
        <v>2.4799870999999998</v>
      </c>
      <c r="H178" s="141">
        <f>0.001013*Constantes!$D$6/(0.622*G178)</f>
        <v>4.4932105620675421E-2</v>
      </c>
      <c r="I178" s="141">
        <f t="shared" si="15"/>
        <v>0.3210432649226323</v>
      </c>
      <c r="J178" s="141">
        <f t="shared" si="16"/>
        <v>0.40899621255210172</v>
      </c>
      <c r="K178" s="141">
        <f>(Constantes!$D$12/0.8)*(Constantes!$D$7*J178^2+Constantes!$D$8*J178+Constantes!$D$9)</f>
        <v>14.051136398923472</v>
      </c>
      <c r="L178" s="141">
        <f>(Constantes!$D$12/0.8)*(0.00376*D178^2-0.0516*D178-6.967)</f>
        <v>-4.4552565</v>
      </c>
      <c r="M178" s="140">
        <f t="shared" si="17"/>
        <v>2.8100312502328322</v>
      </c>
      <c r="N178" s="12"/>
    </row>
    <row r="179" spans="2:14">
      <c r="B179" s="11"/>
      <c r="C179" s="65">
        <v>174</v>
      </c>
      <c r="D179" s="65">
        <f>(Observaciones!D179+Observaciones!E179)/2</f>
        <v>10</v>
      </c>
      <c r="E179" s="141">
        <f t="shared" si="12"/>
        <v>1.2285355953233976</v>
      </c>
      <c r="F179" s="141">
        <f t="shared" si="13"/>
        <v>8.2321156964857062E-2</v>
      </c>
      <c r="G179" s="141">
        <f t="shared" si="14"/>
        <v>2.4773899999999998</v>
      </c>
      <c r="H179" s="141">
        <f>0.001013*Constantes!$D$6/(0.622*G179)</f>
        <v>4.4979208891257547E-2</v>
      </c>
      <c r="I179" s="141">
        <f t="shared" si="15"/>
        <v>0.32889553570326324</v>
      </c>
      <c r="J179" s="141">
        <f t="shared" si="16"/>
        <v>0.40896591338978777</v>
      </c>
      <c r="K179" s="141">
        <f>(Constantes!$D$12/0.8)*(Constantes!$D$7*J179^2+Constantes!$D$8*J179+Constantes!$D$9)</f>
        <v>14.051549639545691</v>
      </c>
      <c r="L179" s="141">
        <f>(Constantes!$D$12/0.8)*(0.00376*D179^2-0.0516*D179-6.967)</f>
        <v>-4.4418749999999996</v>
      </c>
      <c r="M179" s="140">
        <f t="shared" si="17"/>
        <v>2.8832895717378806</v>
      </c>
      <c r="N179" s="12"/>
    </row>
    <row r="180" spans="2:14">
      <c r="B180" s="11"/>
      <c r="C180" s="65">
        <v>175</v>
      </c>
      <c r="D180" s="65">
        <f>(Observaciones!D180+Observaciones!E180)/2</f>
        <v>9</v>
      </c>
      <c r="E180" s="141">
        <f t="shared" si="12"/>
        <v>1.1485844230421196</v>
      </c>
      <c r="F180" s="141">
        <f t="shared" si="13"/>
        <v>7.759005371461257E-2</v>
      </c>
      <c r="G180" s="141">
        <f t="shared" si="14"/>
        <v>2.4797509999999998</v>
      </c>
      <c r="H180" s="141">
        <f>0.001013*Constantes!$D$6/(0.622*G180)</f>
        <v>4.493638365913051E-2</v>
      </c>
      <c r="I180" s="141">
        <f t="shared" si="15"/>
        <v>0.32176493751214225</v>
      </c>
      <c r="J180" s="141">
        <f t="shared" si="16"/>
        <v>0.40881442880112911</v>
      </c>
      <c r="K180" s="141">
        <f>(Constantes!$D$12/0.8)*(Constantes!$D$7*J180^2+Constantes!$D$8*J180+Constantes!$D$9)</f>
        <v>14.053615457114885</v>
      </c>
      <c r="L180" s="141">
        <f>(Constantes!$D$12/0.8)*(0.00376*D180^2-0.0516*D180-6.967)</f>
        <v>-4.454275</v>
      </c>
      <c r="M180" s="140">
        <f t="shared" si="17"/>
        <v>2.8174135403786544</v>
      </c>
      <c r="N180" s="12"/>
    </row>
    <row r="181" spans="2:14">
      <c r="B181" s="11"/>
      <c r="C181" s="65">
        <v>176</v>
      </c>
      <c r="D181" s="65">
        <f>(Observaciones!D181+Observaciones!E181)/2</f>
        <v>9</v>
      </c>
      <c r="E181" s="141">
        <f t="shared" si="12"/>
        <v>1.1485844230421196</v>
      </c>
      <c r="F181" s="141">
        <f t="shared" si="13"/>
        <v>7.759005371461257E-2</v>
      </c>
      <c r="G181" s="141">
        <f t="shared" si="14"/>
        <v>2.4797509999999998</v>
      </c>
      <c r="H181" s="141">
        <f>0.001013*Constantes!$D$6/(0.622*G181)</f>
        <v>4.493638365913051E-2</v>
      </c>
      <c r="I181" s="141">
        <f t="shared" si="15"/>
        <v>0.32176493751214225</v>
      </c>
      <c r="J181" s="141">
        <f t="shared" si="16"/>
        <v>0.40854180367427873</v>
      </c>
      <c r="K181" s="141">
        <f>(Constantes!$D$12/0.8)*(Constantes!$D$7*J181^2+Constantes!$D$8*J181+Constantes!$D$9)</f>
        <v>14.057332309872731</v>
      </c>
      <c r="L181" s="141">
        <f>(Constantes!$D$12/0.8)*(0.00376*D181^2-0.0516*D181-6.967)</f>
        <v>-4.454275</v>
      </c>
      <c r="M181" s="140">
        <f t="shared" si="17"/>
        <v>2.818537736100303</v>
      </c>
      <c r="N181" s="12"/>
    </row>
    <row r="182" spans="2:14">
      <c r="B182" s="11"/>
      <c r="C182" s="65">
        <v>177</v>
      </c>
      <c r="D182" s="65">
        <f>(Observaciones!D182+Observaciones!E182)/2</f>
        <v>10.7</v>
      </c>
      <c r="E182" s="141">
        <f t="shared" si="12"/>
        <v>1.2873744557569893</v>
      </c>
      <c r="F182" s="141">
        <f t="shared" si="13"/>
        <v>8.5777518855556414E-2</v>
      </c>
      <c r="G182" s="141">
        <f t="shared" si="14"/>
        <v>2.4757373</v>
      </c>
      <c r="H182" s="141">
        <f>0.001013*Constantes!$D$6/(0.622*G182)</f>
        <v>4.5009235153952935E-2</v>
      </c>
      <c r="I182" s="141">
        <f t="shared" si="15"/>
        <v>0.33379183113820976</v>
      </c>
      <c r="J182" s="141">
        <f t="shared" si="16"/>
        <v>0.40814811879394536</v>
      </c>
      <c r="K182" s="141">
        <f>(Constantes!$D$12/0.8)*(Constantes!$D$7*J182^2+Constantes!$D$8*J182+Constantes!$D$9)</f>
        <v>14.062697424290816</v>
      </c>
      <c r="L182" s="141">
        <f>(Constantes!$D$12/0.8)*(0.00376*D182^2-0.0516*D182-6.967)</f>
        <v>-4.4303984999999999</v>
      </c>
      <c r="M182" s="140">
        <f t="shared" si="17"/>
        <v>2.9335418845698418</v>
      </c>
      <c r="N182" s="12"/>
    </row>
    <row r="183" spans="2:14">
      <c r="B183" s="11"/>
      <c r="C183" s="65">
        <v>178</v>
      </c>
      <c r="D183" s="65">
        <f>(Observaciones!D183+Observaciones!E183)/2</f>
        <v>9.0500000000000007</v>
      </c>
      <c r="E183" s="141">
        <f t="shared" si="12"/>
        <v>1.152470448883921</v>
      </c>
      <c r="F183" s="141">
        <f t="shared" si="13"/>
        <v>7.7820966290941845E-2</v>
      </c>
      <c r="G183" s="141">
        <f t="shared" si="14"/>
        <v>2.4796329500000001</v>
      </c>
      <c r="H183" s="141">
        <f>0.001013*Constantes!$D$6/(0.622*G183)</f>
        <v>4.4938522983860384E-2</v>
      </c>
      <c r="I183" s="141">
        <f t="shared" si="15"/>
        <v>0.32212519355648117</v>
      </c>
      <c r="J183" s="141">
        <f t="shared" si="16"/>
        <v>0.40763349081745559</v>
      </c>
      <c r="K183" s="141">
        <f>(Constantes!$D$12/0.8)*(Constantes!$D$7*J183^2+Constantes!$D$8*J183+Constantes!$D$9)</f>
        <v>14.069706797874339</v>
      </c>
      <c r="L183" s="141">
        <f>(Constantes!$D$12/0.8)*(0.00376*D183^2-0.0516*D183-6.967)</f>
        <v>-4.4537666250000001</v>
      </c>
      <c r="M183" s="140">
        <f t="shared" si="17"/>
        <v>2.8256041678817967</v>
      </c>
      <c r="N183" s="12"/>
    </row>
    <row r="184" spans="2:14">
      <c r="B184" s="11"/>
      <c r="C184" s="65">
        <v>179</v>
      </c>
      <c r="D184" s="65">
        <f>(Observaciones!D184+Observaciones!E184)/2</f>
        <v>10.95</v>
      </c>
      <c r="E184" s="141">
        <f t="shared" si="12"/>
        <v>1.3089806979693788</v>
      </c>
      <c r="F184" s="141">
        <f t="shared" si="13"/>
        <v>8.7041563253404466E-2</v>
      </c>
      <c r="G184" s="141">
        <f t="shared" si="14"/>
        <v>2.4751470499999999</v>
      </c>
      <c r="H184" s="141">
        <f>0.001013*Constantes!$D$6/(0.622*G184)</f>
        <v>4.5019968536864317E-2</v>
      </c>
      <c r="I184" s="141">
        <f t="shared" si="15"/>
        <v>0.33552114198285082</v>
      </c>
      <c r="J184" s="141">
        <f t="shared" si="16"/>
        <v>0.40699807224018525</v>
      </c>
      <c r="K184" s="141">
        <f>(Constantes!$D$12/0.8)*(Constantes!$D$7*J184^2+Constantes!$D$8*J184+Constantes!$D$9)</f>
        <v>14.078355203207654</v>
      </c>
      <c r="L184" s="141">
        <f>(Constantes!$D$12/0.8)*(0.00376*D184^2-0.0516*D184-6.967)</f>
        <v>-4.4257416249999997</v>
      </c>
      <c r="M184" s="140">
        <f t="shared" si="17"/>
        <v>2.9552407819781772</v>
      </c>
      <c r="N184" s="12"/>
    </row>
    <row r="185" spans="2:14">
      <c r="B185" s="11"/>
      <c r="C185" s="65">
        <v>180</v>
      </c>
      <c r="D185" s="65">
        <f>(Observaciones!D185+Observaciones!E185)/2</f>
        <v>11.35</v>
      </c>
      <c r="E185" s="141">
        <f t="shared" si="12"/>
        <v>1.3442138857215939</v>
      </c>
      <c r="F185" s="141">
        <f t="shared" si="13"/>
        <v>8.9097066304630032E-2</v>
      </c>
      <c r="G185" s="141">
        <f t="shared" si="14"/>
        <v>2.4742026500000001</v>
      </c>
      <c r="H185" s="141">
        <f>0.001013*Constantes!$D$6/(0.622*G185)</f>
        <v>4.5037152601510852E-2</v>
      </c>
      <c r="I185" s="141">
        <f t="shared" si="15"/>
        <v>0.33826658351104416</v>
      </c>
      <c r="J185" s="141">
        <f t="shared" si="16"/>
        <v>0.40624205135037245</v>
      </c>
      <c r="K185" s="141">
        <f>(Constantes!$D$12/0.8)*(Constantes!$D$7*J185^2+Constantes!$D$8*J185+Constantes!$D$9)</f>
        <v>14.088636193237081</v>
      </c>
      <c r="L185" s="141">
        <f>(Constantes!$D$12/0.8)*(0.00376*D185^2-0.0516*D185-6.967)</f>
        <v>-4.4176796249999999</v>
      </c>
      <c r="M185" s="140">
        <f t="shared" si="17"/>
        <v>2.985418547736268</v>
      </c>
      <c r="N185" s="12"/>
    </row>
    <row r="186" spans="2:14">
      <c r="B186" s="11"/>
      <c r="C186" s="65">
        <v>181</v>
      </c>
      <c r="D186" s="65">
        <f>(Observaciones!D186+Observaciones!E186)/2</f>
        <v>9.75</v>
      </c>
      <c r="E186" s="141">
        <f t="shared" si="12"/>
        <v>1.208102321837458</v>
      </c>
      <c r="F186" s="141">
        <f t="shared" si="13"/>
        <v>8.1115893548976525E-2</v>
      </c>
      <c r="G186" s="141">
        <f t="shared" si="14"/>
        <v>2.4779802499999999</v>
      </c>
      <c r="H186" s="141">
        <f>0.001013*Constantes!$D$6/(0.622*G186)</f>
        <v>4.4968494932561519E-2</v>
      </c>
      <c r="I186" s="141">
        <f t="shared" si="15"/>
        <v>0.3271277184414379</v>
      </c>
      <c r="J186" s="141">
        <f t="shared" si="16"/>
        <v>0.40536565217332293</v>
      </c>
      <c r="K186" s="141">
        <f>(Constantes!$D$12/0.8)*(Constantes!$D$7*J186^2+Constantes!$D$8*J186+Constantes!$D$9)</f>
        <v>14.100542107785055</v>
      </c>
      <c r="L186" s="141">
        <f>(Constantes!$D$12/0.8)*(0.00376*D186^2-0.0516*D186-6.967)</f>
        <v>-4.4454156249999999</v>
      </c>
      <c r="M186" s="140">
        <f t="shared" si="17"/>
        <v>2.881698807466551</v>
      </c>
      <c r="N186" s="12"/>
    </row>
    <row r="187" spans="2:14">
      <c r="B187" s="11"/>
      <c r="C187" s="65">
        <v>182</v>
      </c>
      <c r="D187" s="65">
        <f>(Observaciones!D187+Observaciones!E187)/2</f>
        <v>10.75</v>
      </c>
      <c r="E187" s="141">
        <f t="shared" si="12"/>
        <v>1.2916704499993741</v>
      </c>
      <c r="F187" s="141">
        <f t="shared" si="13"/>
        <v>8.602906751025155E-2</v>
      </c>
      <c r="G187" s="141">
        <f t="shared" si="14"/>
        <v>2.4756192499999998</v>
      </c>
      <c r="H187" s="141">
        <f>0.001013*Constantes!$D$6/(0.622*G187)</f>
        <v>4.5011381421077787E-2</v>
      </c>
      <c r="I187" s="141">
        <f t="shared" si="15"/>
        <v>0.33413851435416753</v>
      </c>
      <c r="J187" s="141">
        <f t="shared" si="16"/>
        <v>0.40436913440502725</v>
      </c>
      <c r="K187" s="141">
        <f>(Constantes!$D$12/0.8)*(Constantes!$D$7*J187^2+Constantes!$D$8*J187+Constantes!$D$9)</f>
        <v>14.114064081288136</v>
      </c>
      <c r="L187" s="141">
        <f>(Constantes!$D$12/0.8)*(0.00376*D187^2-0.0516*D187-6.967)</f>
        <v>-4.4294906249999997</v>
      </c>
      <c r="M187" s="140">
        <f t="shared" si="17"/>
        <v>2.9530258426206548</v>
      </c>
      <c r="N187" s="12"/>
    </row>
    <row r="188" spans="2:14">
      <c r="B188" s="11"/>
      <c r="C188" s="65">
        <v>183</v>
      </c>
      <c r="D188" s="65">
        <f>(Observaciones!D188+Observaciones!E188)/2</f>
        <v>10.9</v>
      </c>
      <c r="E188" s="141">
        <f t="shared" si="12"/>
        <v>1.3046341322396258</v>
      </c>
      <c r="F188" s="141">
        <f t="shared" si="13"/>
        <v>8.6787491598136493E-2</v>
      </c>
      <c r="G188" s="141">
        <f t="shared" si="14"/>
        <v>2.4752651000000001</v>
      </c>
      <c r="H188" s="141">
        <f>0.001013*Constantes!$D$6/(0.622*G188)</f>
        <v>4.5017821450766028E-2</v>
      </c>
      <c r="I188" s="141">
        <f t="shared" si="15"/>
        <v>0.33517610193237696</v>
      </c>
      <c r="J188" s="141">
        <f t="shared" si="16"/>
        <v>0.40325279333520658</v>
      </c>
      <c r="K188" s="141">
        <f>(Constantes!$D$12/0.8)*(Constantes!$D$7*J188^2+Constantes!$D$8*J188+Constantes!$D$9)</f>
        <v>14.129192051750161</v>
      </c>
      <c r="L188" s="141">
        <f>(Constantes!$D$12/0.8)*(0.00376*D188^2-0.0516*D188-6.967)</f>
        <v>-4.4266964999999994</v>
      </c>
      <c r="M188" s="140">
        <f t="shared" si="17"/>
        <v>2.9678985871302732</v>
      </c>
      <c r="N188" s="12"/>
    </row>
    <row r="189" spans="2:14">
      <c r="B189" s="11"/>
      <c r="C189" s="65">
        <v>184</v>
      </c>
      <c r="D189" s="65">
        <f>(Observaciones!D189+Observaciones!E189)/2</f>
        <v>10</v>
      </c>
      <c r="E189" s="141">
        <f t="shared" si="12"/>
        <v>1.2285355953233976</v>
      </c>
      <c r="F189" s="141">
        <f t="shared" si="13"/>
        <v>8.2321156964857062E-2</v>
      </c>
      <c r="G189" s="141">
        <f t="shared" si="14"/>
        <v>2.4773899999999998</v>
      </c>
      <c r="H189" s="141">
        <f>0.001013*Constantes!$D$6/(0.622*G189)</f>
        <v>4.4979208891257547E-2</v>
      </c>
      <c r="I189" s="141">
        <f t="shared" si="15"/>
        <v>0.32889553570326324</v>
      </c>
      <c r="J189" s="141">
        <f t="shared" si="16"/>
        <v>0.40201695975981272</v>
      </c>
      <c r="K189" s="141">
        <f>(Constantes!$D$12/0.8)*(Constantes!$D$7*J189^2+Constantes!$D$8*J189+Constantes!$D$9)</f>
        <v>14.145914770900381</v>
      </c>
      <c r="L189" s="141">
        <f>(Constantes!$D$12/0.8)*(0.00376*D189^2-0.0516*D189-6.967)</f>
        <v>-4.4418749999999996</v>
      </c>
      <c r="M189" s="140">
        <f t="shared" si="17"/>
        <v>2.9124636659407734</v>
      </c>
      <c r="N189" s="12"/>
    </row>
    <row r="190" spans="2:14">
      <c r="B190" s="11"/>
      <c r="C190" s="65">
        <v>185</v>
      </c>
      <c r="D190" s="65">
        <f>(Observaciones!D190+Observaciones!E190)/2</f>
        <v>11.65</v>
      </c>
      <c r="E190" s="141">
        <f t="shared" si="12"/>
        <v>1.3711829440577765</v>
      </c>
      <c r="F190" s="141">
        <f t="shared" si="13"/>
        <v>9.0665715946703279E-2</v>
      </c>
      <c r="G190" s="141">
        <f t="shared" si="14"/>
        <v>2.4734943499999997</v>
      </c>
      <c r="H190" s="141">
        <f>0.001013*Constantes!$D$6/(0.622*G190)</f>
        <v>4.5050049261326407E-2</v>
      </c>
      <c r="I190" s="141">
        <f t="shared" si="15"/>
        <v>0.34030820325039612</v>
      </c>
      <c r="J190" s="141">
        <f t="shared" si="16"/>
        <v>0.40066199988300538</v>
      </c>
      <c r="K190" s="141">
        <f>(Constantes!$D$12/0.8)*(Constantes!$D$7*J190^2+Constantes!$D$8*J190+Constantes!$D$9)</f>
        <v>14.164219815545065</v>
      </c>
      <c r="L190" s="141">
        <f>(Constantes!$D$12/0.8)*(0.00376*D190^2-0.0516*D190-6.967)</f>
        <v>-4.4111396249999997</v>
      </c>
      <c r="M190" s="140">
        <f t="shared" si="17"/>
        <v>3.0298411840491144</v>
      </c>
      <c r="N190" s="12"/>
    </row>
    <row r="191" spans="2:14">
      <c r="B191" s="11"/>
      <c r="C191" s="65">
        <v>186</v>
      </c>
      <c r="D191" s="65">
        <f>(Observaciones!D191+Observaciones!E191)/2</f>
        <v>11.45</v>
      </c>
      <c r="E191" s="141">
        <f t="shared" si="12"/>
        <v>1.3531513167724236</v>
      </c>
      <c r="F191" s="141">
        <f t="shared" si="13"/>
        <v>8.9617358691077773E-2</v>
      </c>
      <c r="G191" s="141">
        <f t="shared" si="14"/>
        <v>2.4739665500000001</v>
      </c>
      <c r="H191" s="141">
        <f>0.001013*Constantes!$D$6/(0.622*G191)</f>
        <v>4.504145066759796E-2</v>
      </c>
      <c r="I191" s="141">
        <f t="shared" si="15"/>
        <v>0.33894879271912193</v>
      </c>
      <c r="J191" s="141">
        <f t="shared" si="16"/>
        <v>0.39918831520863862</v>
      </c>
      <c r="K191" s="141">
        <f>(Constantes!$D$12/0.8)*(Constantes!$D$7*J191^2+Constantes!$D$8*J191+Constantes!$D$9)</f>
        <v>14.184093600099683</v>
      </c>
      <c r="L191" s="141">
        <f>(Constantes!$D$12/0.8)*(0.00376*D191^2-0.0516*D191-6.967)</f>
        <v>-4.4155466249999993</v>
      </c>
      <c r="M191" s="140">
        <f t="shared" si="17"/>
        <v>3.0225763197359394</v>
      </c>
      <c r="N191" s="12"/>
    </row>
    <row r="192" spans="2:14">
      <c r="B192" s="11"/>
      <c r="C192" s="65">
        <v>187</v>
      </c>
      <c r="D192" s="65">
        <f>(Observaciones!D192+Observaciones!E192)/2</f>
        <v>11.7</v>
      </c>
      <c r="E192" s="141">
        <f t="shared" si="12"/>
        <v>1.3757236996547897</v>
      </c>
      <c r="F192" s="141">
        <f t="shared" si="13"/>
        <v>9.0929432125051668E-2</v>
      </c>
      <c r="G192" s="141">
        <f t="shared" si="14"/>
        <v>2.4733763</v>
      </c>
      <c r="H192" s="141">
        <f>0.001013*Constantes!$D$6/(0.622*G192)</f>
        <v>4.5052199422753639E-2</v>
      </c>
      <c r="I192" s="141">
        <f t="shared" si="15"/>
        <v>0.3406470099449177</v>
      </c>
      <c r="J192" s="141">
        <f t="shared" si="16"/>
        <v>0.39759634242128605</v>
      </c>
      <c r="K192" s="141">
        <f>(Constantes!$D$12/0.8)*(Constantes!$D$7*J192^2+Constantes!$D$8*J192+Constantes!$D$9)</f>
        <v>14.205521390287499</v>
      </c>
      <c r="L192" s="141">
        <f>(Constantes!$D$12/0.8)*(0.00376*D192^2-0.0516*D192-6.967)</f>
        <v>-4.4100085</v>
      </c>
      <c r="M192" s="140">
        <f t="shared" si="17"/>
        <v>3.0464680737747347</v>
      </c>
      <c r="N192" s="12"/>
    </row>
    <row r="193" spans="2:14">
      <c r="B193" s="11"/>
      <c r="C193" s="65">
        <v>188</v>
      </c>
      <c r="D193" s="65">
        <f>(Observaciones!D193+Observaciones!E193)/2</f>
        <v>9.75</v>
      </c>
      <c r="E193" s="141">
        <f t="shared" si="12"/>
        <v>1.208102321837458</v>
      </c>
      <c r="F193" s="141">
        <f t="shared" si="13"/>
        <v>8.1115893548976525E-2</v>
      </c>
      <c r="G193" s="141">
        <f t="shared" si="14"/>
        <v>2.4779802499999999</v>
      </c>
      <c r="H193" s="141">
        <f>0.001013*Constantes!$D$6/(0.622*G193)</f>
        <v>4.4968494932561519E-2</v>
      </c>
      <c r="I193" s="141">
        <f t="shared" si="15"/>
        <v>0.3271277184414379</v>
      </c>
      <c r="J193" s="141">
        <f t="shared" si="16"/>
        <v>0.39588655325684224</v>
      </c>
      <c r="K193" s="141">
        <f>(Constantes!$D$12/0.8)*(Constantes!$D$7*J193^2+Constantes!$D$8*J193+Constantes!$D$9)</f>
        <v>14.228487317989027</v>
      </c>
      <c r="L193" s="141">
        <f>(Constantes!$D$12/0.8)*(0.00376*D193^2-0.0516*D193-6.967)</f>
        <v>-4.4454156249999999</v>
      </c>
      <c r="M193" s="140">
        <f t="shared" si="17"/>
        <v>2.9210419666841148</v>
      </c>
      <c r="N193" s="12"/>
    </row>
    <row r="194" spans="2:14">
      <c r="B194" s="11"/>
      <c r="C194" s="65">
        <v>189</v>
      </c>
      <c r="D194" s="65">
        <f>(Observaciones!D194+Observaciones!E194)/2</f>
        <v>8.3000000000000007</v>
      </c>
      <c r="E194" s="141">
        <f t="shared" si="12"/>
        <v>1.0953778240340981</v>
      </c>
      <c r="F194" s="141">
        <f t="shared" si="13"/>
        <v>7.4418202097829511E-2</v>
      </c>
      <c r="G194" s="141">
        <f t="shared" si="14"/>
        <v>2.4814037</v>
      </c>
      <c r="H194" s="141">
        <f>0.001013*Constantes!$D$6/(0.622*G194)</f>
        <v>4.4906454485867227E-2</v>
      </c>
      <c r="I194" s="141">
        <f t="shared" si="15"/>
        <v>0.31668106733869283</v>
      </c>
      <c r="J194" s="141">
        <f t="shared" si="16"/>
        <v>0.39405945436273682</v>
      </c>
      <c r="K194" s="141">
        <f>(Constantes!$D$12/0.8)*(Constantes!$D$7*J194^2+Constantes!$D$8*J194+Constantes!$D$9)</f>
        <v>14.252974397225529</v>
      </c>
      <c r="L194" s="141">
        <f>(Constantes!$D$12/0.8)*(0.00376*D194^2-0.0516*D194-6.967)</f>
        <v>-4.4601585000000004</v>
      </c>
      <c r="M194" s="140">
        <f t="shared" si="17"/>
        <v>2.8303805618928326</v>
      </c>
      <c r="N194" s="12"/>
    </row>
    <row r="195" spans="2:14">
      <c r="B195" s="11"/>
      <c r="C195" s="65">
        <v>190</v>
      </c>
      <c r="D195" s="65">
        <f>(Observaciones!D195+Observaciones!E195)/2</f>
        <v>7.2</v>
      </c>
      <c r="E195" s="141">
        <f t="shared" si="12"/>
        <v>1.0161453093242518</v>
      </c>
      <c r="F195" s="141">
        <f t="shared" si="13"/>
        <v>6.9657846489614608E-2</v>
      </c>
      <c r="G195" s="141">
        <f t="shared" si="14"/>
        <v>2.4840008</v>
      </c>
      <c r="H195" s="141">
        <f>0.001013*Constantes!$D$6/(0.622*G195)</f>
        <v>4.4859503392717312E-2</v>
      </c>
      <c r="I195" s="141">
        <f t="shared" si="15"/>
        <v>0.30854432891657324</v>
      </c>
      <c r="J195" s="141">
        <f t="shared" si="16"/>
        <v>0.3921155871478042</v>
      </c>
      <c r="K195" s="141">
        <f>(Constantes!$D$12/0.8)*(Constantes!$D$7*J195^2+Constantes!$D$8*J195+Constantes!$D$9)</f>
        <v>14.278964541258452</v>
      </c>
      <c r="L195" s="141">
        <f>(Constantes!$D$12/0.8)*(0.00376*D195^2-0.0516*D195-6.967)</f>
        <v>-4.4647509999999997</v>
      </c>
      <c r="M195" s="140">
        <f t="shared" si="17"/>
        <v>2.7637783190111667</v>
      </c>
      <c r="N195" s="12"/>
    </row>
    <row r="196" spans="2:14">
      <c r="B196" s="11"/>
      <c r="C196" s="65">
        <v>191</v>
      </c>
      <c r="D196" s="65">
        <f>(Observaciones!D196+Observaciones!E196)/2</f>
        <v>9.5500000000000007</v>
      </c>
      <c r="E196" s="141">
        <f t="shared" si="12"/>
        <v>1.1919715122427115</v>
      </c>
      <c r="F196" s="141">
        <f t="shared" si="13"/>
        <v>8.0162557967816087E-2</v>
      </c>
      <c r="G196" s="141">
        <f t="shared" si="14"/>
        <v>2.4784524499999998</v>
      </c>
      <c r="H196" s="141">
        <f>0.001013*Constantes!$D$6/(0.622*G196)</f>
        <v>4.4959927439847613E-2</v>
      </c>
      <c r="I196" s="141">
        <f t="shared" si="15"/>
        <v>0.32570629948063018</v>
      </c>
      <c r="J196" s="141">
        <f t="shared" si="16"/>
        <v>0.39005552762185225</v>
      </c>
      <c r="K196" s="141">
        <f>(Constantes!$D$12/0.8)*(Constantes!$D$7*J196^2+Constantes!$D$8*J196+Constantes!$D$9)</f>
        <v>14.306438580785441</v>
      </c>
      <c r="L196" s="141">
        <f>(Constantes!$D$12/0.8)*(0.00376*D196^2-0.0516*D196-6.967)</f>
        <v>-4.4480366249999994</v>
      </c>
      <c r="M196" s="140">
        <f t="shared" si="17"/>
        <v>2.9313617896778106</v>
      </c>
      <c r="N196" s="12"/>
    </row>
    <row r="197" spans="2:14">
      <c r="B197" s="11"/>
      <c r="C197" s="65">
        <v>192</v>
      </c>
      <c r="D197" s="65">
        <f>(Observaciones!D197+Observaciones!E197)/2</f>
        <v>10.950000000000001</v>
      </c>
      <c r="E197" s="141">
        <f t="shared" si="12"/>
        <v>1.3089806979693788</v>
      </c>
      <c r="F197" s="141">
        <f t="shared" si="13"/>
        <v>8.7041563253404466E-2</v>
      </c>
      <c r="G197" s="141">
        <f t="shared" si="14"/>
        <v>2.4751470499999999</v>
      </c>
      <c r="H197" s="141">
        <f>0.001013*Constantes!$D$6/(0.622*G197)</f>
        <v>4.5019968536864317E-2</v>
      </c>
      <c r="I197" s="141">
        <f t="shared" si="15"/>
        <v>0.33552114198285082</v>
      </c>
      <c r="J197" s="141">
        <f t="shared" si="16"/>
        <v>0.38787988622497815</v>
      </c>
      <c r="K197" s="141">
        <f>(Constantes!$D$12/0.8)*(Constantes!$D$7*J197^2+Constantes!$D$8*J197+Constantes!$D$9)</f>
        <v>14.335376283212305</v>
      </c>
      <c r="L197" s="141">
        <f>(Constantes!$D$12/0.8)*(0.00376*D197^2-0.0516*D197-6.967)</f>
        <v>-4.4257416249999997</v>
      </c>
      <c r="M197" s="140">
        <f t="shared" si="17"/>
        <v>3.0363026278783947</v>
      </c>
      <c r="N197" s="12"/>
    </row>
    <row r="198" spans="2:14">
      <c r="B198" s="11"/>
      <c r="C198" s="65">
        <v>193</v>
      </c>
      <c r="D198" s="65">
        <f>(Observaciones!D198+Observaciones!E198)/2</f>
        <v>10.8</v>
      </c>
      <c r="E198" s="141">
        <f t="shared" si="12"/>
        <v>1.2959790398301012</v>
      </c>
      <c r="F198" s="141">
        <f t="shared" si="13"/>
        <v>8.6281245002912968E-2</v>
      </c>
      <c r="G198" s="141">
        <f t="shared" si="14"/>
        <v>2.4755012000000001</v>
      </c>
      <c r="H198" s="141">
        <f>0.001013*Constantes!$D$6/(0.622*G198)</f>
        <v>4.5013527892902062E-2</v>
      </c>
      <c r="I198" s="141">
        <f t="shared" si="15"/>
        <v>0.33448478758535966</v>
      </c>
      <c r="J198" s="141">
        <f t="shared" si="16"/>
        <v>0.38558930764668203</v>
      </c>
      <c r="K198" s="141">
        <f>(Constantes!$D$12/0.8)*(Constantes!$D$7*J198^2+Constantes!$D$8*J198+Constantes!$D$9)</f>
        <v>14.365756372979126</v>
      </c>
      <c r="L198" s="141">
        <f>(Constantes!$D$12/0.8)*(0.00376*D198^2-0.0516*D198-6.967)</f>
        <v>-4.4285709999999998</v>
      </c>
      <c r="M198" s="140">
        <f t="shared" si="17"/>
        <v>3.035529720542129</v>
      </c>
      <c r="N198" s="12"/>
    </row>
    <row r="199" spans="2:14">
      <c r="B199" s="11"/>
      <c r="C199" s="65">
        <v>194</v>
      </c>
      <c r="D199" s="65">
        <f>(Observaciones!D199+Observaciones!E199)/2</f>
        <v>9</v>
      </c>
      <c r="E199" s="141">
        <f t="shared" ref="E199:E262" si="18">EXP((16.78*D199-116.9)/(D199+237.3))</f>
        <v>1.1485844230421196</v>
      </c>
      <c r="F199" s="141">
        <f t="shared" ref="F199:F262" si="19">4098*E199/((D199+237.3)^2)</f>
        <v>7.759005371461257E-2</v>
      </c>
      <c r="G199" s="141">
        <f t="shared" ref="G199:G262" si="20">2.501-0.002361*D199</f>
        <v>2.4797509999999998</v>
      </c>
      <c r="H199" s="141">
        <f>0.001013*Constantes!$D$6/(0.622*G199)</f>
        <v>4.493638365913051E-2</v>
      </c>
      <c r="I199" s="141">
        <f t="shared" ref="I199:I262" si="21">IF(D199&gt;0,1.26*F199/(G199*(F199+H199)),0)</f>
        <v>0.32176493751214225</v>
      </c>
      <c r="J199" s="141">
        <f t="shared" ref="J199:J262" si="22">0.409*SIN(2*PI()*(C199-82)/365)</f>
        <v>0.38318447063483146</v>
      </c>
      <c r="K199" s="141">
        <f>(Constantes!$D$12/0.8)*(Constantes!$D$7*J199^2+Constantes!$D$8*J199+Constantes!$D$9)</f>
        <v>14.397556552917518</v>
      </c>
      <c r="L199" s="141">
        <f>(Constantes!$D$12/0.8)*(0.00376*D199^2-0.0516*D199-6.967)</f>
        <v>-4.454275</v>
      </c>
      <c r="M199" s="140">
        <f t="shared" ref="M199:M262" si="23">IF(D199&gt;0,I199*(0.94*K199+L199),0)</f>
        <v>2.9214416344655194</v>
      </c>
      <c r="N199" s="12"/>
    </row>
    <row r="200" spans="2:14">
      <c r="B200" s="11"/>
      <c r="C200" s="65">
        <v>195</v>
      </c>
      <c r="D200" s="65">
        <f>(Observaciones!D200+Observaciones!E200)/2</f>
        <v>8.15</v>
      </c>
      <c r="E200" s="141">
        <f t="shared" si="18"/>
        <v>1.0842628845563618</v>
      </c>
      <c r="F200" s="141">
        <f t="shared" si="19"/>
        <v>7.3753132863077983E-2</v>
      </c>
      <c r="G200" s="141">
        <f t="shared" si="20"/>
        <v>2.4817578499999997</v>
      </c>
      <c r="H200" s="141">
        <f>0.001013*Constantes!$D$6/(0.622*G200)</f>
        <v>4.4900046277727111E-2</v>
      </c>
      <c r="I200" s="141">
        <f t="shared" si="21"/>
        <v>0.3155820076579775</v>
      </c>
      <c r="J200" s="141">
        <f t="shared" si="22"/>
        <v>0.38066608779453359</v>
      </c>
      <c r="K200" s="141">
        <f>(Constantes!$D$12/0.8)*(Constantes!$D$7*J200^2+Constantes!$D$8*J200+Constantes!$D$9)</f>
        <v>14.430753526614858</v>
      </c>
      <c r="L200" s="141">
        <f>(Constantes!$D$12/0.8)*(0.00376*D200^2-0.0516*D200-6.967)</f>
        <v>-4.4611196249999994</v>
      </c>
      <c r="M200" s="140">
        <f t="shared" si="23"/>
        <v>2.8729919120898582</v>
      </c>
      <c r="N200" s="12"/>
    </row>
    <row r="201" spans="2:14">
      <c r="B201" s="11"/>
      <c r="C201" s="65">
        <v>196</v>
      </c>
      <c r="D201" s="65">
        <f>(Observaciones!D201+Observaciones!E201)/2</f>
        <v>9.6999999999999993</v>
      </c>
      <c r="E201" s="141">
        <f t="shared" si="18"/>
        <v>1.2040517259211223</v>
      </c>
      <c r="F201" s="141">
        <f t="shared" si="19"/>
        <v>8.0876657096899784E-2</v>
      </c>
      <c r="G201" s="141">
        <f t="shared" si="20"/>
        <v>2.4780983000000001</v>
      </c>
      <c r="H201" s="141">
        <f>0.001013*Constantes!$D$6/(0.622*G201)</f>
        <v>4.4966352753283652E-2</v>
      </c>
      <c r="I201" s="141">
        <f t="shared" si="21"/>
        <v>0.32677295878905227</v>
      </c>
      <c r="J201" s="141">
        <f t="shared" si="22"/>
        <v>0.37803490537697515</v>
      </c>
      <c r="K201" s="141">
        <f>(Constantes!$D$12/0.8)*(Constantes!$D$7*J201^2+Constantes!$D$8*J201+Constantes!$D$9)</f>
        <v>14.465323021760135</v>
      </c>
      <c r="L201" s="141">
        <f>(Constantes!$D$12/0.8)*(0.00376*D201^2-0.0516*D201-6.967)</f>
        <v>-4.4460885000000001</v>
      </c>
      <c r="M201" s="140">
        <f t="shared" si="23"/>
        <v>2.990402325257377</v>
      </c>
      <c r="N201" s="12"/>
    </row>
    <row r="202" spans="2:14">
      <c r="B202" s="11"/>
      <c r="C202" s="65">
        <v>197</v>
      </c>
      <c r="D202" s="65">
        <f>(Observaciones!D202+Observaciones!E202)/2</f>
        <v>9</v>
      </c>
      <c r="E202" s="141">
        <f t="shared" si="18"/>
        <v>1.1485844230421196</v>
      </c>
      <c r="F202" s="141">
        <f t="shared" si="19"/>
        <v>7.759005371461257E-2</v>
      </c>
      <c r="G202" s="141">
        <f t="shared" si="20"/>
        <v>2.4797509999999998</v>
      </c>
      <c r="H202" s="141">
        <f>0.001013*Constantes!$D$6/(0.622*G202)</f>
        <v>4.493638365913051E-2</v>
      </c>
      <c r="I202" s="141">
        <f t="shared" si="21"/>
        <v>0.32176493751214225</v>
      </c>
      <c r="J202" s="141">
        <f t="shared" si="22"/>
        <v>0.37529170305829201</v>
      </c>
      <c r="K202" s="141">
        <f>(Constantes!$D$12/0.8)*(Constantes!$D$7*J202^2+Constantes!$D$8*J202+Constantes!$D$9)</f>
        <v>14.50123981444513</v>
      </c>
      <c r="L202" s="141">
        <f>(Constantes!$D$12/0.8)*(0.00376*D202^2-0.0516*D202-6.967)</f>
        <v>-4.454275</v>
      </c>
      <c r="M202" s="140">
        <f t="shared" si="23"/>
        <v>2.9528015743420171</v>
      </c>
      <c r="N202" s="12"/>
    </row>
    <row r="203" spans="2:14">
      <c r="B203" s="11"/>
      <c r="C203" s="65">
        <v>198</v>
      </c>
      <c r="D203" s="65">
        <f>(Observaciones!D203+Observaciones!E203)/2</f>
        <v>8.5500000000000007</v>
      </c>
      <c r="E203" s="141">
        <f t="shared" si="18"/>
        <v>1.1141256884066946</v>
      </c>
      <c r="F203" s="141">
        <f t="shared" si="19"/>
        <v>7.553804083049119E-2</v>
      </c>
      <c r="G203" s="141">
        <f t="shared" si="20"/>
        <v>2.4808134499999999</v>
      </c>
      <c r="H203" s="141">
        <f>0.001013*Constantes!$D$6/(0.622*G203)</f>
        <v>4.4917138898578825E-2</v>
      </c>
      <c r="I203" s="141">
        <f t="shared" si="21"/>
        <v>0.31850530773396696</v>
      </c>
      <c r="J203" s="141">
        <f t="shared" si="22"/>
        <v>0.37243729370853446</v>
      </c>
      <c r="K203" s="141">
        <f>(Constantes!$D$12/0.8)*(Constantes!$D$7*J203^2+Constantes!$D$8*J203+Constantes!$D$9)</f>
        <v>14.53847775439332</v>
      </c>
      <c r="L203" s="141">
        <f>(Constantes!$D$12/0.8)*(0.00376*D203^2-0.0516*D203-6.967)</f>
        <v>-4.458321625</v>
      </c>
      <c r="M203" s="140">
        <f t="shared" si="23"/>
        <v>2.9327482901300641</v>
      </c>
      <c r="N203" s="12"/>
    </row>
    <row r="204" spans="2:14">
      <c r="B204" s="11"/>
      <c r="C204" s="65">
        <v>199</v>
      </c>
      <c r="D204" s="65">
        <f>(Observaciones!D204+Observaciones!E204)/2</f>
        <v>9.25</v>
      </c>
      <c r="E204" s="141">
        <f t="shared" si="18"/>
        <v>1.1681304715350127</v>
      </c>
      <c r="F204" s="141">
        <f t="shared" si="19"/>
        <v>7.8750495180281335E-2</v>
      </c>
      <c r="G204" s="141">
        <f t="shared" si="20"/>
        <v>2.4791607499999997</v>
      </c>
      <c r="H204" s="141">
        <f>0.001013*Constantes!$D$6/(0.622*G204)</f>
        <v>4.4947082320141017E-2</v>
      </c>
      <c r="I204" s="141">
        <f t="shared" si="21"/>
        <v>0.32356233167857845</v>
      </c>
      <c r="J204" s="141">
        <f t="shared" si="22"/>
        <v>0.36947252315079593</v>
      </c>
      <c r="K204" s="141">
        <f>(Constantes!$D$12/0.8)*(Constantes!$D$7*J204^2+Constantes!$D$8*J204+Constantes!$D$9)</f>
        <v>14.577009791088059</v>
      </c>
      <c r="L204" s="141">
        <f>(Constantes!$D$12/0.8)*(0.00376*D204^2-0.0516*D204-6.967)</f>
        <v>-4.4516156249999996</v>
      </c>
      <c r="M204" s="140">
        <f t="shared" si="23"/>
        <v>2.993201868929773</v>
      </c>
      <c r="N204" s="12"/>
    </row>
    <row r="205" spans="2:14">
      <c r="B205" s="11"/>
      <c r="C205" s="65">
        <v>200</v>
      </c>
      <c r="D205" s="65">
        <f>(Observaciones!D205+Observaciones!E205)/2</f>
        <v>9.15</v>
      </c>
      <c r="E205" s="141">
        <f t="shared" si="18"/>
        <v>1.1602772175252039</v>
      </c>
      <c r="F205" s="141">
        <f t="shared" si="19"/>
        <v>7.8284552595211263E-2</v>
      </c>
      <c r="G205" s="141">
        <f t="shared" si="20"/>
        <v>2.4793968500000001</v>
      </c>
      <c r="H205" s="141">
        <f>0.001013*Constantes!$D$6/(0.622*G205)</f>
        <v>4.4942802244470274E-2</v>
      </c>
      <c r="I205" s="141">
        <f t="shared" si="21"/>
        <v>0.3228445413311169</v>
      </c>
      <c r="J205" s="141">
        <f t="shared" si="22"/>
        <v>0.36639826991057772</v>
      </c>
      <c r="K205" s="141">
        <f>(Constantes!$D$12/0.8)*(Constantes!$D$7*J205^2+Constantes!$D$8*J205+Constantes!$D$9)</f>
        <v>14.616808000770529</v>
      </c>
      <c r="L205" s="141">
        <f>(Constantes!$D$12/0.8)*(0.00376*D205^2-0.0516*D205-6.967)</f>
        <v>-4.4527146249999996</v>
      </c>
      <c r="M205" s="140">
        <f t="shared" si="23"/>
        <v>2.9982846634632545</v>
      </c>
      <c r="N205" s="12"/>
    </row>
    <row r="206" spans="2:14">
      <c r="B206" s="11"/>
      <c r="C206" s="65">
        <v>201</v>
      </c>
      <c r="D206" s="65">
        <f>(Observaciones!D206+Observaciones!E206)/2</f>
        <v>8.1</v>
      </c>
      <c r="E206" s="141">
        <f t="shared" si="18"/>
        <v>1.0805800307855125</v>
      </c>
      <c r="F206" s="141">
        <f t="shared" si="19"/>
        <v>7.3532575031085901E-2</v>
      </c>
      <c r="G206" s="141">
        <f t="shared" si="20"/>
        <v>2.4818758999999999</v>
      </c>
      <c r="H206" s="141">
        <f>0.001013*Constantes!$D$6/(0.622*G206)</f>
        <v>4.4897910614754163E-2</v>
      </c>
      <c r="I206" s="141">
        <f t="shared" si="21"/>
        <v>0.31521490702492766</v>
      </c>
      <c r="J206" s="141">
        <f t="shared" si="22"/>
        <v>0.36321544495546271</v>
      </c>
      <c r="K206" s="141">
        <f>(Constantes!$D$12/0.8)*(Constantes!$D$7*J206^2+Constantes!$D$8*J206+Constantes!$D$9)</f>
        <v>14.657843614276867</v>
      </c>
      <c r="L206" s="141">
        <f>(Constantes!$D$12/0.8)*(0.00376*D206^2-0.0516*D206-6.967)</f>
        <v>-4.4614165000000003</v>
      </c>
      <c r="M206" s="140">
        <f t="shared" si="23"/>
        <v>2.936843576089621</v>
      </c>
      <c r="N206" s="12"/>
    </row>
    <row r="207" spans="2:14">
      <c r="B207" s="11"/>
      <c r="C207" s="65">
        <v>202</v>
      </c>
      <c r="D207" s="65">
        <f>(Observaciones!D207+Observaciones!E207)/2</f>
        <v>6.95</v>
      </c>
      <c r="E207" s="141">
        <f t="shared" si="18"/>
        <v>0.99885837988260118</v>
      </c>
      <c r="F207" s="141">
        <f t="shared" si="19"/>
        <v>6.8613050260539377E-2</v>
      </c>
      <c r="G207" s="141">
        <f t="shared" si="20"/>
        <v>2.4845910499999997</v>
      </c>
      <c r="H207" s="141">
        <f>0.001013*Constantes!$D$6/(0.622*G207)</f>
        <v>4.4848846378607275E-2</v>
      </c>
      <c r="I207" s="141">
        <f t="shared" si="21"/>
        <v>0.30667072251816546</v>
      </c>
      <c r="J207" s="141">
        <f t="shared" si="22"/>
        <v>0.35992499142517609</v>
      </c>
      <c r="K207" s="141">
        <f>(Constantes!$D$12/0.8)*(Constantes!$D$7*J207^2+Constantes!$D$8*J207+Constantes!$D$9)</f>
        <v>14.700087045683157</v>
      </c>
      <c r="L207" s="141">
        <f>(Constantes!$D$12/0.8)*(0.00376*D207^2-0.0516*D207-6.967)</f>
        <v>-4.4650016249999993</v>
      </c>
      <c r="M207" s="140">
        <f t="shared" si="23"/>
        <v>2.8683158620732705</v>
      </c>
      <c r="N207" s="12"/>
    </row>
    <row r="208" spans="2:14">
      <c r="B208" s="11"/>
      <c r="C208" s="65">
        <v>203</v>
      </c>
      <c r="D208" s="65">
        <f>(Observaciones!D208+Observaciones!E208)/2</f>
        <v>9.6</v>
      </c>
      <c r="E208" s="141">
        <f t="shared" si="18"/>
        <v>1.1959863511942588</v>
      </c>
      <c r="F208" s="141">
        <f t="shared" si="19"/>
        <v>8.0399990537899965E-2</v>
      </c>
      <c r="G208" s="141">
        <f t="shared" si="20"/>
        <v>2.4783344</v>
      </c>
      <c r="H208" s="141">
        <f>0.001013*Constantes!$D$6/(0.622*G208)</f>
        <v>4.4962069006955853E-2</v>
      </c>
      <c r="I208" s="141">
        <f t="shared" si="21"/>
        <v>0.32606224862655375</v>
      </c>
      <c r="J208" s="141">
        <f t="shared" si="22"/>
        <v>0.35652788435211263</v>
      </c>
      <c r="K208" s="141">
        <f>(Constantes!$D$12/0.8)*(Constantes!$D$7*J208^2+Constantes!$D$8*J208+Constantes!$D$9)</f>
        <v>14.743507921725856</v>
      </c>
      <c r="L208" s="141">
        <f>(Constantes!$D$12/0.8)*(0.00376*D208^2-0.0516*D208-6.967)</f>
        <v>-4.4473989999999999</v>
      </c>
      <c r="M208" s="140">
        <f t="shared" si="23"/>
        <v>3.0687343463857735</v>
      </c>
      <c r="N208" s="12"/>
    </row>
    <row r="209" spans="2:14">
      <c r="B209" s="11"/>
      <c r="C209" s="65">
        <v>204</v>
      </c>
      <c r="D209" s="65">
        <f>(Observaciones!D209+Observaciones!E209)/2</f>
        <v>9</v>
      </c>
      <c r="E209" s="141">
        <f t="shared" si="18"/>
        <v>1.1485844230421196</v>
      </c>
      <c r="F209" s="141">
        <f t="shared" si="19"/>
        <v>7.759005371461257E-2</v>
      </c>
      <c r="G209" s="141">
        <f t="shared" si="20"/>
        <v>2.4797509999999998</v>
      </c>
      <c r="H209" s="141">
        <f>0.001013*Constantes!$D$6/(0.622*G209)</f>
        <v>4.493638365913051E-2</v>
      </c>
      <c r="I209" s="141">
        <f t="shared" si="21"/>
        <v>0.32176493751214225</v>
      </c>
      <c r="J209" s="141">
        <f t="shared" si="22"/>
        <v>0.35302513037241373</v>
      </c>
      <c r="K209" s="141">
        <f>(Constantes!$D$12/0.8)*(Constantes!$D$7*J209^2+Constantes!$D$8*J209+Constantes!$D$9)</f>
        <v>14.788075111964519</v>
      </c>
      <c r="L209" s="141">
        <f>(Constantes!$D$12/0.8)*(0.00376*D209^2-0.0516*D209-6.967)</f>
        <v>-4.454275</v>
      </c>
      <c r="M209" s="140">
        <f t="shared" si="23"/>
        <v>3.0395575034296636</v>
      </c>
      <c r="N209" s="12"/>
    </row>
    <row r="210" spans="2:14">
      <c r="B210" s="11"/>
      <c r="C210" s="65">
        <v>205</v>
      </c>
      <c r="D210" s="65">
        <f>(Observaciones!D210+Observaciones!E210)/2</f>
        <v>9.8500000000000014</v>
      </c>
      <c r="E210" s="141">
        <f t="shared" si="18"/>
        <v>1.2162394815909716</v>
      </c>
      <c r="F210" s="141">
        <f t="shared" si="19"/>
        <v>8.1596178970055125E-2</v>
      </c>
      <c r="G210" s="141">
        <f t="shared" si="20"/>
        <v>2.4777441499999999</v>
      </c>
      <c r="H210" s="141">
        <f>0.001013*Constantes!$D$6/(0.622*G210)</f>
        <v>4.4972779903491057E-2</v>
      </c>
      <c r="I210" s="141">
        <f t="shared" si="21"/>
        <v>0.32783604352575479</v>
      </c>
      <c r="J210" s="141">
        <f t="shared" si="22"/>
        <v>0.34941776742767922</v>
      </c>
      <c r="K210" s="141">
        <f>(Constantes!$D$12/0.8)*(Constantes!$D$7*J210^2+Constantes!$D$8*J210+Constantes!$D$9)</f>
        <v>14.833756759652744</v>
      </c>
      <c r="L210" s="141">
        <f>(Constantes!$D$12/0.8)*(0.00376*D210^2-0.0516*D210-6.967)</f>
        <v>-4.4440346249999996</v>
      </c>
      <c r="M210" s="140">
        <f t="shared" si="23"/>
        <v>3.1143429903540367</v>
      </c>
      <c r="N210" s="12"/>
    </row>
    <row r="211" spans="2:14">
      <c r="B211" s="11"/>
      <c r="C211" s="65">
        <v>206</v>
      </c>
      <c r="D211" s="65">
        <f>(Observaciones!D211+Observaciones!E211)/2</f>
        <v>9.85</v>
      </c>
      <c r="E211" s="141">
        <f t="shared" si="18"/>
        <v>1.2162394815909714</v>
      </c>
      <c r="F211" s="141">
        <f t="shared" si="19"/>
        <v>8.1596178970055111E-2</v>
      </c>
      <c r="G211" s="141">
        <f t="shared" si="20"/>
        <v>2.4777441499999999</v>
      </c>
      <c r="H211" s="141">
        <f>0.001013*Constantes!$D$6/(0.622*G211)</f>
        <v>4.4972779903491057E-2</v>
      </c>
      <c r="I211" s="141">
        <f t="shared" si="21"/>
        <v>0.32783604352575479</v>
      </c>
      <c r="J211" s="141">
        <f t="shared" si="22"/>
        <v>0.3457068644574029</v>
      </c>
      <c r="K211" s="141">
        <f>(Constantes!$D$12/0.8)*(Constantes!$D$7*J211^2+Constantes!$D$8*J211+Constantes!$D$9)</f>
        <v>14.880520313282606</v>
      </c>
      <c r="L211" s="141">
        <f>(Constantes!$D$12/0.8)*(0.00376*D211^2-0.0516*D211-6.967)</f>
        <v>-4.4440346249999996</v>
      </c>
      <c r="M211" s="140">
        <f t="shared" si="23"/>
        <v>3.1287539220530616</v>
      </c>
      <c r="N211" s="12"/>
    </row>
    <row r="212" spans="2:14">
      <c r="B212" s="11"/>
      <c r="C212" s="65">
        <v>207</v>
      </c>
      <c r="D212" s="65">
        <f>(Observaciones!D212+Observaciones!E212)/2</f>
        <v>8.65</v>
      </c>
      <c r="E212" s="141">
        <f t="shared" si="18"/>
        <v>1.1217035387262231</v>
      </c>
      <c r="F212" s="141">
        <f t="shared" si="19"/>
        <v>7.5989990506503152E-2</v>
      </c>
      <c r="G212" s="141">
        <f t="shared" si="20"/>
        <v>2.4805773499999999</v>
      </c>
      <c r="H212" s="141">
        <f>0.001013*Constantes!$D$6/(0.622*G212)</f>
        <v>4.4921414087374677E-2</v>
      </c>
      <c r="I212" s="141">
        <f t="shared" si="21"/>
        <v>0.3192323502116553</v>
      </c>
      <c r="J212" s="141">
        <f t="shared" si="22"/>
        <v>0.3418935210822226</v>
      </c>
      <c r="K212" s="141">
        <f>(Constantes!$D$12/0.8)*(Constantes!$D$7*J212^2+Constantes!$D$8*J212+Constantes!$D$9)</f>
        <v>14.928332558766982</v>
      </c>
      <c r="L212" s="141">
        <f>(Constantes!$D$12/0.8)*(0.00376*D212^2-0.0516*D212-6.967)</f>
        <v>-4.4575046250000003</v>
      </c>
      <c r="M212" s="140">
        <f t="shared" si="23"/>
        <v>3.0566906087097028</v>
      </c>
      <c r="N212" s="12"/>
    </row>
    <row r="213" spans="2:14">
      <c r="B213" s="11"/>
      <c r="C213" s="65">
        <v>208</v>
      </c>
      <c r="D213" s="65">
        <f>(Observaciones!D213+Observaciones!E213)/2</f>
        <v>8.5500000000000007</v>
      </c>
      <c r="E213" s="141">
        <f t="shared" si="18"/>
        <v>1.1141256884066946</v>
      </c>
      <c r="F213" s="141">
        <f t="shared" si="19"/>
        <v>7.553804083049119E-2</v>
      </c>
      <c r="G213" s="141">
        <f t="shared" si="20"/>
        <v>2.4808134499999999</v>
      </c>
      <c r="H213" s="141">
        <f>0.001013*Constantes!$D$6/(0.622*G213)</f>
        <v>4.4917138898578825E-2</v>
      </c>
      <c r="I213" s="141">
        <f t="shared" si="21"/>
        <v>0.31850530773396696</v>
      </c>
      <c r="J213" s="141">
        <f t="shared" si="22"/>
        <v>0.33797886727807902</v>
      </c>
      <c r="K213" s="141">
        <f>(Constantes!$D$12/0.8)*(Constantes!$D$7*J213^2+Constantes!$D$8*J213+Constantes!$D$9)</f>
        <v>14.977159652223516</v>
      </c>
      <c r="L213" s="141">
        <f>(Constantes!$D$12/0.8)*(0.00376*D213^2-0.0516*D213-6.967)</f>
        <v>-4.458321625</v>
      </c>
      <c r="M213" s="140">
        <f t="shared" si="23"/>
        <v>3.0640874522238475</v>
      </c>
      <c r="N213" s="12"/>
    </row>
    <row r="214" spans="2:14">
      <c r="B214" s="11"/>
      <c r="C214" s="65">
        <v>209</v>
      </c>
      <c r="D214" s="65">
        <f>(Observaciones!D214+Observaciones!E214)/2</f>
        <v>9.1</v>
      </c>
      <c r="E214" s="141">
        <f t="shared" si="18"/>
        <v>1.1563680372555176</v>
      </c>
      <c r="F214" s="141">
        <f t="shared" si="19"/>
        <v>7.8052465514333522E-2</v>
      </c>
      <c r="G214" s="141">
        <f t="shared" si="20"/>
        <v>2.4795148999999999</v>
      </c>
      <c r="H214" s="141">
        <f>0.001013*Constantes!$D$6/(0.622*G214)</f>
        <v>4.494066251229728E-2</v>
      </c>
      <c r="I214" s="141">
        <f t="shared" si="21"/>
        <v>0.32248506174818503</v>
      </c>
      <c r="J214" s="141">
        <f t="shared" si="22"/>
        <v>0.33396406304137966</v>
      </c>
      <c r="K214" s="141">
        <f>(Constantes!$D$12/0.8)*(Constantes!$D$7*J214^2+Constantes!$D$8*J214+Constantes!$D$9)</f>
        <v>15.026967153323373</v>
      </c>
      <c r="L214" s="141">
        <f>(Constantes!$D$12/0.8)*(0.00376*D214^2-0.0516*D214-6.967)</f>
        <v>-4.4532464999999997</v>
      </c>
      <c r="M214" s="140">
        <f t="shared" si="23"/>
        <v>3.1191086119754008</v>
      </c>
      <c r="N214" s="12"/>
    </row>
    <row r="215" spans="2:14">
      <c r="B215" s="11"/>
      <c r="C215" s="65">
        <v>210</v>
      </c>
      <c r="D215" s="65">
        <f>(Observaciones!D215+Observaciones!E215)/2</f>
        <v>9.35</v>
      </c>
      <c r="E215" s="141">
        <f t="shared" si="18"/>
        <v>1.1760304470729337</v>
      </c>
      <c r="F215" s="141">
        <f t="shared" si="19"/>
        <v>7.921880376620824E-2</v>
      </c>
      <c r="G215" s="141">
        <f t="shared" si="20"/>
        <v>2.4789246499999997</v>
      </c>
      <c r="H215" s="141">
        <f>0.001013*Constantes!$D$6/(0.622*G215)</f>
        <v>4.4951363211105488E-2</v>
      </c>
      <c r="I215" s="141">
        <f t="shared" si="21"/>
        <v>0.32427855867946659</v>
      </c>
      <c r="J215" s="141">
        <f t="shared" si="22"/>
        <v>0.32985029804526639</v>
      </c>
      <c r="K215" s="141">
        <f>(Constantes!$D$12/0.8)*(Constantes!$D$7*J215^2+Constantes!$D$8*J215+Constantes!$D$9)</f>
        <v>15.077720059167195</v>
      </c>
      <c r="L215" s="141">
        <f>(Constantes!$D$12/0.8)*(0.00376*D215^2-0.0516*D215-6.967)</f>
        <v>-4.4504696250000002</v>
      </c>
      <c r="M215" s="140">
        <f t="shared" si="23"/>
        <v>3.1528265737799197</v>
      </c>
      <c r="N215" s="12"/>
    </row>
    <row r="216" spans="2:14">
      <c r="B216" s="11"/>
      <c r="C216" s="65">
        <v>211</v>
      </c>
      <c r="D216" s="65">
        <f>(Observaciones!D216+Observaciones!E216)/2</f>
        <v>11.75</v>
      </c>
      <c r="E216" s="141">
        <f t="shared" si="18"/>
        <v>1.3802776599471762</v>
      </c>
      <c r="F216" s="141">
        <f t="shared" si="19"/>
        <v>9.1193801661548224E-2</v>
      </c>
      <c r="G216" s="141">
        <f t="shared" si="20"/>
        <v>2.4732582499999998</v>
      </c>
      <c r="H216" s="141">
        <f>0.001013*Constantes!$D$6/(0.622*G216)</f>
        <v>4.5054349789437696E-2</v>
      </c>
      <c r="I216" s="141">
        <f t="shared" si="21"/>
        <v>0.34098539738615508</v>
      </c>
      <c r="J216" s="141">
        <f t="shared" si="22"/>
        <v>0.32563879128708983</v>
      </c>
      <c r="K216" s="141">
        <f>(Constantes!$D$12/0.8)*(Constantes!$D$7*J216^2+Constantes!$D$8*J216+Constantes!$D$9)</f>
        <v>15.129382838650223</v>
      </c>
      <c r="L216" s="141">
        <f>(Constantes!$D$12/0.8)*(0.00376*D216^2-0.0516*D216-6.967)</f>
        <v>-4.4088656249999998</v>
      </c>
      <c r="M216" s="140">
        <f t="shared" si="23"/>
        <v>3.3460059051149718</v>
      </c>
      <c r="N216" s="12"/>
    </row>
    <row r="217" spans="2:14">
      <c r="B217" s="11"/>
      <c r="C217" s="65">
        <v>212</v>
      </c>
      <c r="D217" s="65">
        <f>(Observaciones!D217+Observaciones!E217)/2</f>
        <v>9.9</v>
      </c>
      <c r="E217" s="141">
        <f t="shared" si="18"/>
        <v>1.2203261059395465</v>
      </c>
      <c r="F217" s="141">
        <f t="shared" si="19"/>
        <v>8.1837230413319473E-2</v>
      </c>
      <c r="G217" s="141">
        <f t="shared" si="20"/>
        <v>2.4776260999999997</v>
      </c>
      <c r="H217" s="141">
        <f>0.001013*Constantes!$D$6/(0.622*G217)</f>
        <v>4.4974922695201085E-2</v>
      </c>
      <c r="I217" s="141">
        <f t="shared" si="21"/>
        <v>0.3281896076316444</v>
      </c>
      <c r="J217" s="141">
        <f t="shared" si="22"/>
        <v>0.32133079072719428</v>
      </c>
      <c r="K217" s="141">
        <f>(Constantes!$D$12/0.8)*(Constantes!$D$7*J217^2+Constantes!$D$8*J217+Constantes!$D$9)</f>
        <v>15.181919467277915</v>
      </c>
      <c r="L217" s="141">
        <f>(Constantes!$D$12/0.8)*(0.00376*D217^2-0.0516*D217-6.967)</f>
        <v>-4.4433264999999995</v>
      </c>
      <c r="M217" s="140">
        <f t="shared" si="23"/>
        <v>3.2253417208632049</v>
      </c>
      <c r="N217" s="12"/>
    </row>
    <row r="218" spans="2:14">
      <c r="B218" s="11"/>
      <c r="C218" s="65">
        <v>213</v>
      </c>
      <c r="D218" s="65">
        <f>(Observaciones!D218+Observaciones!E218)/2</f>
        <v>11.95</v>
      </c>
      <c r="E218" s="141">
        <f t="shared" si="18"/>
        <v>1.3986262031935408</v>
      </c>
      <c r="F218" s="141">
        <f t="shared" si="19"/>
        <v>9.2257839608086131E-2</v>
      </c>
      <c r="G218" s="141">
        <f t="shared" si="20"/>
        <v>2.4727860499999998</v>
      </c>
      <c r="H218" s="141">
        <f>0.001013*Constantes!$D$6/(0.622*G218)</f>
        <v>4.5062953309329995E-2</v>
      </c>
      <c r="I218" s="141">
        <f t="shared" si="21"/>
        <v>0.34233474612907638</v>
      </c>
      <c r="J218" s="141">
        <f t="shared" si="22"/>
        <v>0.3169275729191196</v>
      </c>
      <c r="K218" s="141">
        <f>(Constantes!$D$12/0.8)*(Constantes!$D$7*J218^2+Constantes!$D$8*J218+Constantes!$D$9)</f>
        <v>15.235293462393017</v>
      </c>
      <c r="L218" s="141">
        <f>(Constantes!$D$12/0.8)*(0.00376*D218^2-0.0516*D218-6.967)</f>
        <v>-4.4041766249999998</v>
      </c>
      <c r="M218" s="140">
        <f t="shared" si="23"/>
        <v>3.394933413644285</v>
      </c>
      <c r="N218" s="12"/>
    </row>
    <row r="219" spans="2:14">
      <c r="B219" s="11"/>
      <c r="C219" s="65">
        <v>214</v>
      </c>
      <c r="D219" s="65">
        <f>(Observaciones!D219+Observaciones!E219)/2</f>
        <v>11.4</v>
      </c>
      <c r="E219" s="141">
        <f t="shared" si="18"/>
        <v>1.3486760963347784</v>
      </c>
      <c r="F219" s="141">
        <f t="shared" si="19"/>
        <v>8.9356889727344888E-2</v>
      </c>
      <c r="G219" s="141">
        <f t="shared" si="20"/>
        <v>2.4740845999999999</v>
      </c>
      <c r="H219" s="141">
        <f>0.001013*Constantes!$D$6/(0.622*G219)</f>
        <v>4.5039301532014117E-2</v>
      </c>
      <c r="I219" s="141">
        <f t="shared" si="21"/>
        <v>0.33860789639405336</v>
      </c>
      <c r="J219" s="141">
        <f t="shared" si="22"/>
        <v>0.31243044263133196</v>
      </c>
      <c r="K219" s="141">
        <f>(Constantes!$D$12/0.8)*(Constantes!$D$7*J219^2+Constantes!$D$8*J219+Constantes!$D$9)</f>
        <v>15.289467918774452</v>
      </c>
      <c r="L219" s="141">
        <f>(Constantes!$D$12/0.8)*(0.00376*D219^2-0.0516*D219-6.967)</f>
        <v>-4.4166189999999999</v>
      </c>
      <c r="M219" s="140">
        <f t="shared" si="23"/>
        <v>3.3710044260589394</v>
      </c>
      <c r="N219" s="12"/>
    </row>
    <row r="220" spans="2:14">
      <c r="B220" s="11"/>
      <c r="C220" s="65">
        <v>215</v>
      </c>
      <c r="D220" s="65">
        <f>(Observaciones!D220+Observaciones!E220)/2</f>
        <v>11.4</v>
      </c>
      <c r="E220" s="141">
        <f t="shared" si="18"/>
        <v>1.3486760963347784</v>
      </c>
      <c r="F220" s="141">
        <f t="shared" si="19"/>
        <v>8.9356889727344888E-2</v>
      </c>
      <c r="G220" s="141">
        <f t="shared" si="20"/>
        <v>2.4740845999999999</v>
      </c>
      <c r="H220" s="141">
        <f>0.001013*Constantes!$D$6/(0.622*G220)</f>
        <v>4.5039301532014117E-2</v>
      </c>
      <c r="I220" s="141">
        <f t="shared" si="21"/>
        <v>0.33860789639405336</v>
      </c>
      <c r="J220" s="141">
        <f t="shared" si="22"/>
        <v>0.3078407324605914</v>
      </c>
      <c r="K220" s="141">
        <f>(Constantes!$D$12/0.8)*(Constantes!$D$7*J220^2+Constantes!$D$8*J220+Constantes!$D$9)</f>
        <v>15.344405544568257</v>
      </c>
      <c r="L220" s="141">
        <f>(Constantes!$D$12/0.8)*(0.00376*D220^2-0.0516*D220-6.967)</f>
        <v>-4.4166189999999999</v>
      </c>
      <c r="M220" s="140">
        <f t="shared" si="23"/>
        <v>3.3884906011276876</v>
      </c>
      <c r="N220" s="12"/>
    </row>
    <row r="221" spans="2:14">
      <c r="B221" s="11"/>
      <c r="C221" s="65">
        <v>216</v>
      </c>
      <c r="D221" s="65">
        <f>(Observaciones!D221+Observaciones!E221)/2</f>
        <v>11.4</v>
      </c>
      <c r="E221" s="141">
        <f t="shared" si="18"/>
        <v>1.3486760963347784</v>
      </c>
      <c r="F221" s="141">
        <f t="shared" si="19"/>
        <v>8.9356889727344888E-2</v>
      </c>
      <c r="G221" s="141">
        <f t="shared" si="20"/>
        <v>2.4740845999999999</v>
      </c>
      <c r="H221" s="141">
        <f>0.001013*Constantes!$D$6/(0.622*G221)</f>
        <v>4.5039301532014117E-2</v>
      </c>
      <c r="I221" s="141">
        <f t="shared" si="21"/>
        <v>0.33860789639405336</v>
      </c>
      <c r="J221" s="141">
        <f t="shared" si="22"/>
        <v>0.30315980243707574</v>
      </c>
      <c r="K221" s="141">
        <f>(Constantes!$D$12/0.8)*(Constantes!$D$7*J221^2+Constantes!$D$8*J221+Constantes!$D$9)</f>
        <v>15.400068697510118</v>
      </c>
      <c r="L221" s="141">
        <f>(Constantes!$D$12/0.8)*(0.00376*D221^2-0.0516*D221-6.967)</f>
        <v>-4.4166189999999999</v>
      </c>
      <c r="M221" s="140">
        <f t="shared" si="23"/>
        <v>3.4062077052645336</v>
      </c>
      <c r="N221" s="12"/>
    </row>
    <row r="222" spans="2:14">
      <c r="B222" s="11"/>
      <c r="C222" s="65">
        <v>217</v>
      </c>
      <c r="D222" s="65">
        <f>(Observaciones!D222+Observaciones!E222)/2</f>
        <v>12.8</v>
      </c>
      <c r="E222" s="141">
        <f t="shared" si="18"/>
        <v>1.4790196183138538</v>
      </c>
      <c r="F222" s="141">
        <f t="shared" si="19"/>
        <v>9.6898823770774328E-2</v>
      </c>
      <c r="G222" s="141">
        <f t="shared" si="20"/>
        <v>2.4707792</v>
      </c>
      <c r="H222" s="141">
        <f>0.001013*Constantes!$D$6/(0.622*G222)</f>
        <v>4.5099554956231032E-2</v>
      </c>
      <c r="I222" s="141">
        <f t="shared" si="21"/>
        <v>0.34799397749689576</v>
      </c>
      <c r="J222" s="141">
        <f t="shared" si="22"/>
        <v>0.29838903962137336</v>
      </c>
      <c r="K222" s="141">
        <f>(Constantes!$D$12/0.8)*(Constantes!$D$7*J222^2+Constantes!$D$8*J222+Constantes!$D$9)</f>
        <v>15.456419421399062</v>
      </c>
      <c r="L222" s="141">
        <f>(Constantes!$D$12/0.8)*(0.00376*D222^2-0.0516*D222-6.967)</f>
        <v>-4.3821509999999995</v>
      </c>
      <c r="M222" s="140">
        <f t="shared" si="23"/>
        <v>3.5310542634921527</v>
      </c>
      <c r="N222" s="12"/>
    </row>
    <row r="223" spans="2:14">
      <c r="B223" s="11"/>
      <c r="C223" s="65">
        <v>218</v>
      </c>
      <c r="D223" s="65">
        <f>(Observaciones!D223+Observaciones!E223)/2</f>
        <v>6.3999999999999995</v>
      </c>
      <c r="E223" s="141">
        <f t="shared" si="18"/>
        <v>0.96173610737939708</v>
      </c>
      <c r="F223" s="141">
        <f t="shared" si="19"/>
        <v>6.6361595220328126E-2</v>
      </c>
      <c r="G223" s="141">
        <f t="shared" si="20"/>
        <v>2.4858895999999997</v>
      </c>
      <c r="H223" s="141">
        <f>0.001013*Constantes!$D$6/(0.622*G223)</f>
        <v>4.4825418761602502E-2</v>
      </c>
      <c r="I223" s="141">
        <f t="shared" si="21"/>
        <v>0.30251816528286729</v>
      </c>
      <c r="J223" s="141">
        <f t="shared" si="22"/>
        <v>0.29352985769346845</v>
      </c>
      <c r="K223" s="141">
        <f>(Constantes!$D$12/0.8)*(Constantes!$D$7*J223^2+Constantes!$D$8*J223+Constantes!$D$9)</f>
        <v>15.51341948278143</v>
      </c>
      <c r="L223" s="141">
        <f>(Constantes!$D$12/0.8)*(0.00376*D223^2-0.0516*D223-6.967)</f>
        <v>-4.4645189999999992</v>
      </c>
      <c r="M223" s="140">
        <f t="shared" si="23"/>
        <v>3.0609076304923533</v>
      </c>
      <c r="N223" s="12"/>
    </row>
    <row r="224" spans="2:14">
      <c r="B224" s="11"/>
      <c r="C224" s="65">
        <v>219</v>
      </c>
      <c r="D224" s="65">
        <f>(Observaciones!D224+Observaciones!E224)/2</f>
        <v>11.35</v>
      </c>
      <c r="E224" s="141">
        <f t="shared" si="18"/>
        <v>1.3442138857215939</v>
      </c>
      <c r="F224" s="141">
        <f t="shared" si="19"/>
        <v>8.9097066304630032E-2</v>
      </c>
      <c r="G224" s="141">
        <f t="shared" si="20"/>
        <v>2.4742026500000001</v>
      </c>
      <c r="H224" s="141">
        <f>0.001013*Constantes!$D$6/(0.622*G224)</f>
        <v>4.5037152601510852E-2</v>
      </c>
      <c r="I224" s="141">
        <f t="shared" si="21"/>
        <v>0.33826658351104416</v>
      </c>
      <c r="J224" s="141">
        <f t="shared" si="22"/>
        <v>0.28858369653383575</v>
      </c>
      <c r="K224" s="141">
        <f>(Constantes!$D$12/0.8)*(Constantes!$D$7*J224^2+Constantes!$D$8*J224+Constantes!$D$9)</f>
        <v>15.571030407804152</v>
      </c>
      <c r="L224" s="141">
        <f>(Constantes!$D$12/0.8)*(0.00376*D224^2-0.0516*D224-6.967)</f>
        <v>-4.4176796249999999</v>
      </c>
      <c r="M224" s="140">
        <f t="shared" si="23"/>
        <v>3.4567763085317207</v>
      </c>
      <c r="N224" s="12"/>
    </row>
    <row r="225" spans="2:14">
      <c r="B225" s="11"/>
      <c r="C225" s="65">
        <v>220</v>
      </c>
      <c r="D225" s="65">
        <f>(Observaciones!D225+Observaciones!E225)/2</f>
        <v>10.15</v>
      </c>
      <c r="E225" s="141">
        <f t="shared" si="18"/>
        <v>1.2409408882084079</v>
      </c>
      <c r="F225" s="141">
        <f t="shared" si="19"/>
        <v>8.3051624609049163E-2</v>
      </c>
      <c r="G225" s="141">
        <f t="shared" si="20"/>
        <v>2.47703585</v>
      </c>
      <c r="H225" s="141">
        <f>0.001013*Constantes!$D$6/(0.622*G225)</f>
        <v>4.4985639717371281E-2</v>
      </c>
      <c r="I225" s="141">
        <f t="shared" si="21"/>
        <v>0.32995141784668947</v>
      </c>
      <c r="J225" s="141">
        <f t="shared" si="22"/>
        <v>0.28355202179677386</v>
      </c>
      <c r="K225" s="141">
        <f>(Constantes!$D$12/0.8)*(Constantes!$D$7*J225^2+Constantes!$D$8*J225+Constantes!$D$9)</f>
        <v>15.62921351919611</v>
      </c>
      <c r="L225" s="141">
        <f>(Constantes!$D$12/0.8)*(0.00376*D225^2-0.0516*D225-6.967)</f>
        <v>-4.4396096250000001</v>
      </c>
      <c r="M225" s="140">
        <f t="shared" si="23"/>
        <v>3.3826128004036002</v>
      </c>
      <c r="N225" s="12"/>
    </row>
    <row r="226" spans="2:14">
      <c r="B226" s="11"/>
      <c r="C226" s="65">
        <v>221</v>
      </c>
      <c r="D226" s="65">
        <f>(Observaciones!D226+Observaciones!E226)/2</f>
        <v>12.2</v>
      </c>
      <c r="E226" s="141">
        <f t="shared" si="18"/>
        <v>1.421862932192234</v>
      </c>
      <c r="F226" s="141">
        <f t="shared" si="19"/>
        <v>9.3602745308232094E-2</v>
      </c>
      <c r="G226" s="141">
        <f t="shared" si="20"/>
        <v>2.4721957999999997</v>
      </c>
      <c r="H226" s="141">
        <f>0.001013*Constantes!$D$6/(0.622*G226)</f>
        <v>4.5073712331002484E-2</v>
      </c>
      <c r="I226" s="141">
        <f t="shared" si="21"/>
        <v>0.34401194911201238</v>
      </c>
      <c r="J226" s="141">
        <f t="shared" si="22"/>
        <v>0.27843632447609956</v>
      </c>
      <c r="K226" s="141">
        <f>(Constantes!$D$12/0.8)*(Constantes!$D$7*J226^2+Constantes!$D$8*J226+Constantes!$D$9)</f>
        <v>15.687929973336345</v>
      </c>
      <c r="L226" s="141">
        <f>(Constantes!$D$12/0.8)*(0.00376*D226^2-0.0516*D226-6.967)</f>
        <v>-4.3980509999999997</v>
      </c>
      <c r="M226" s="140">
        <f t="shared" si="23"/>
        <v>3.56004314879655</v>
      </c>
      <c r="N226" s="12"/>
    </row>
    <row r="227" spans="2:14">
      <c r="B227" s="11"/>
      <c r="C227" s="65">
        <v>222</v>
      </c>
      <c r="D227" s="65">
        <f>(Observaciones!D227+Observaciones!E227)/2</f>
        <v>12.5</v>
      </c>
      <c r="E227" s="141">
        <f t="shared" si="18"/>
        <v>1.4501940250881777</v>
      </c>
      <c r="F227" s="141">
        <f t="shared" si="19"/>
        <v>9.5238642712590429E-2</v>
      </c>
      <c r="G227" s="141">
        <f t="shared" si="20"/>
        <v>2.4714874999999998</v>
      </c>
      <c r="H227" s="141">
        <f>0.001013*Constantes!$D$6/(0.622*G227)</f>
        <v>4.5086629940516605E-2</v>
      </c>
      <c r="I227" s="141">
        <f t="shared" si="21"/>
        <v>0.34601062071581223</v>
      </c>
      <c r="J227" s="141">
        <f t="shared" si="22"/>
        <v>0.27323812046333518</v>
      </c>
      <c r="K227" s="141">
        <f>(Constantes!$D$12/0.8)*(Constantes!$D$7*J227^2+Constantes!$D$8*J227+Constantes!$D$9)</f>
        <v>15.747140797367749</v>
      </c>
      <c r="L227" s="141">
        <f>(Constantes!$D$12/0.8)*(0.00376*D227^2-0.0516*D227-6.967)</f>
        <v>-4.3903125000000003</v>
      </c>
      <c r="M227" s="140">
        <f t="shared" si="23"/>
        <v>3.6026625308273252</v>
      </c>
      <c r="N227" s="12"/>
    </row>
    <row r="228" spans="2:14">
      <c r="B228" s="11"/>
      <c r="C228" s="65">
        <v>223</v>
      </c>
      <c r="D228" s="65">
        <f>(Observaciones!D228+Observaciones!E228)/2</f>
        <v>10.85</v>
      </c>
      <c r="E228" s="141">
        <f t="shared" si="18"/>
        <v>1.3003002567289974</v>
      </c>
      <c r="F228" s="141">
        <f t="shared" si="19"/>
        <v>8.6534052607070783E-2</v>
      </c>
      <c r="G228" s="141">
        <f t="shared" si="20"/>
        <v>2.4753831499999999</v>
      </c>
      <c r="H228" s="141">
        <f>0.001013*Constantes!$D$6/(0.622*G228)</f>
        <v>4.5015674569455051E-2</v>
      </c>
      <c r="I228" s="141">
        <f t="shared" si="21"/>
        <v>0.33483065028999898</v>
      </c>
      <c r="J228" s="141">
        <f t="shared" si="22"/>
        <v>0.26795895009851584</v>
      </c>
      <c r="K228" s="141">
        <f>(Constantes!$D$12/0.8)*(Constantes!$D$7*J228^2+Constantes!$D$8*J228+Constantes!$D$9)</f>
        <v>15.806806926314941</v>
      </c>
      <c r="L228" s="141">
        <f>(Constantes!$D$12/0.8)*(0.00376*D228^2-0.0516*D228-6.967)</f>
        <v>-4.4276396250000003</v>
      </c>
      <c r="M228" s="140">
        <f t="shared" si="23"/>
        <v>3.4925377807291844</v>
      </c>
      <c r="N228" s="12"/>
    </row>
    <row r="229" spans="2:14">
      <c r="B229" s="11"/>
      <c r="C229" s="65">
        <v>224</v>
      </c>
      <c r="D229" s="65">
        <f>(Observaciones!D229+Observaciones!E229)/2</f>
        <v>10.450000000000001</v>
      </c>
      <c r="E229" s="141">
        <f t="shared" si="18"/>
        <v>1.2660823210259287</v>
      </c>
      <c r="F229" s="141">
        <f t="shared" si="19"/>
        <v>8.4529163709539321E-2</v>
      </c>
      <c r="G229" s="141">
        <f t="shared" si="20"/>
        <v>2.4763275499999997</v>
      </c>
      <c r="H229" s="141">
        <f>0.001013*Constantes!$D$6/(0.622*G229)</f>
        <v>4.4998506887795414E-2</v>
      </c>
      <c r="I229" s="141">
        <f t="shared" si="21"/>
        <v>0.33205228467683068</v>
      </c>
      <c r="J229" s="141">
        <f t="shared" si="22"/>
        <v>0.26260037771375455</v>
      </c>
      <c r="K229" s="141">
        <f>(Constantes!$D$12/0.8)*(Constantes!$D$7*J229^2+Constantes!$D$8*J229+Constantes!$D$9)</f>
        <v>15.866889240164962</v>
      </c>
      <c r="L229" s="141">
        <f>(Constantes!$D$12/0.8)*(0.00376*D229^2-0.0516*D229-6.967)</f>
        <v>-4.4347616250000002</v>
      </c>
      <c r="M229" s="140">
        <f t="shared" si="23"/>
        <v>3.4799458839579533</v>
      </c>
      <c r="N229" s="12"/>
    </row>
    <row r="230" spans="2:14">
      <c r="B230" s="11"/>
      <c r="C230" s="65">
        <v>225</v>
      </c>
      <c r="D230" s="65">
        <f>(Observaciones!D230+Observaciones!E230)/2</f>
        <v>10.15</v>
      </c>
      <c r="E230" s="141">
        <f t="shared" si="18"/>
        <v>1.2409408882084079</v>
      </c>
      <c r="F230" s="141">
        <f t="shared" si="19"/>
        <v>8.3051624609049163E-2</v>
      </c>
      <c r="G230" s="141">
        <f t="shared" si="20"/>
        <v>2.47703585</v>
      </c>
      <c r="H230" s="141">
        <f>0.001013*Constantes!$D$6/(0.622*G230)</f>
        <v>4.4985639717371281E-2</v>
      </c>
      <c r="I230" s="141">
        <f t="shared" si="21"/>
        <v>0.32995141784668947</v>
      </c>
      <c r="J230" s="141">
        <f t="shared" si="22"/>
        <v>0.25716399116969624</v>
      </c>
      <c r="K230" s="141">
        <f>(Constantes!$D$12/0.8)*(Constantes!$D$7*J230^2+Constantes!$D$8*J230+Constantes!$D$9)</f>
        <v>15.927348600869633</v>
      </c>
      <c r="L230" s="141">
        <f>(Constantes!$D$12/0.8)*(0.00376*D230^2-0.0516*D230-6.967)</f>
        <v>-4.4396096250000001</v>
      </c>
      <c r="M230" s="140">
        <f t="shared" si="23"/>
        <v>3.4750806877371359</v>
      </c>
      <c r="N230" s="12"/>
    </row>
    <row r="231" spans="2:14">
      <c r="B231" s="11"/>
      <c r="C231" s="65">
        <v>226</v>
      </c>
      <c r="D231" s="65">
        <f>(Observaciones!D231+Observaciones!E231)/2</f>
        <v>10</v>
      </c>
      <c r="E231" s="141">
        <f t="shared" si="18"/>
        <v>1.2285355953233976</v>
      </c>
      <c r="F231" s="141">
        <f t="shared" si="19"/>
        <v>8.2321156964857062E-2</v>
      </c>
      <c r="G231" s="141">
        <f t="shared" si="20"/>
        <v>2.4773899999999998</v>
      </c>
      <c r="H231" s="141">
        <f>0.001013*Constantes!$D$6/(0.622*G231)</f>
        <v>4.4979208891257547E-2</v>
      </c>
      <c r="I231" s="141">
        <f t="shared" si="21"/>
        <v>0.32889553570326324</v>
      </c>
      <c r="J231" s="141">
        <f t="shared" si="22"/>
        <v>0.25165140138500097</v>
      </c>
      <c r="K231" s="141">
        <f>(Constantes!$D$12/0.8)*(Constantes!$D$7*J231^2+Constantes!$D$8*J231+Constantes!$D$9)</f>
        <v>15.988145889228447</v>
      </c>
      <c r="L231" s="141">
        <f>(Constantes!$D$12/0.8)*(0.00376*D231^2-0.0516*D231-6.967)</f>
        <v>-4.4418749999999996</v>
      </c>
      <c r="M231" s="140">
        <f t="shared" si="23"/>
        <v>3.4820111610594005</v>
      </c>
      <c r="N231" s="12"/>
    </row>
    <row r="232" spans="2:14">
      <c r="B232" s="11"/>
      <c r="C232" s="65">
        <v>227</v>
      </c>
      <c r="D232" s="65">
        <f>(Observaciones!D232+Observaciones!E232)/2</f>
        <v>10.4</v>
      </c>
      <c r="E232" s="141">
        <f t="shared" si="18"/>
        <v>1.2618612427946017</v>
      </c>
      <c r="F232" s="141">
        <f t="shared" si="19"/>
        <v>8.4281361443687683E-2</v>
      </c>
      <c r="G232" s="141">
        <f t="shared" si="20"/>
        <v>2.4764455999999999</v>
      </c>
      <c r="H232" s="141">
        <f>0.001013*Constantes!$D$6/(0.622*G232)</f>
        <v>4.4996361848252404E-2</v>
      </c>
      <c r="I232" s="141">
        <f t="shared" si="21"/>
        <v>0.33170315327202898</v>
      </c>
      <c r="J232" s="141">
        <f t="shared" si="22"/>
        <v>0.24606424185899331</v>
      </c>
      <c r="K232" s="141">
        <f>(Constantes!$D$12/0.8)*(Constantes!$D$7*J232^2+Constantes!$D$8*J232+Constantes!$D$9)</f>
        <v>16.049242041611144</v>
      </c>
      <c r="L232" s="141">
        <f>(Constantes!$D$12/0.8)*(0.00376*D232^2-0.0516*D232-6.967)</f>
        <v>-4.4355989999999998</v>
      </c>
      <c r="M232" s="140">
        <f t="shared" si="23"/>
        <v>3.5328669663084682</v>
      </c>
      <c r="N232" s="12"/>
    </row>
    <row r="233" spans="2:14">
      <c r="B233" s="11"/>
      <c r="C233" s="65">
        <v>228</v>
      </c>
      <c r="D233" s="65">
        <f>(Observaciones!D233+Observaciones!E233)/2</f>
        <v>10.4</v>
      </c>
      <c r="E233" s="141">
        <f t="shared" si="18"/>
        <v>1.2618612427946017</v>
      </c>
      <c r="F233" s="141">
        <f t="shared" si="19"/>
        <v>8.4281361443687683E-2</v>
      </c>
      <c r="G233" s="141">
        <f t="shared" si="20"/>
        <v>2.4764455999999999</v>
      </c>
      <c r="H233" s="141">
        <f>0.001013*Constantes!$D$6/(0.622*G233)</f>
        <v>4.4996361848252404E-2</v>
      </c>
      <c r="I233" s="141">
        <f t="shared" si="21"/>
        <v>0.33170315327202898</v>
      </c>
      <c r="J233" s="141">
        <f t="shared" si="22"/>
        <v>0.24040416818762153</v>
      </c>
      <c r="K233" s="141">
        <f>(Constantes!$D$12/0.8)*(Constantes!$D$7*J233^2+Constantes!$D$8*J233+Constantes!$D$9)</f>
        <v>16.110598086479239</v>
      </c>
      <c r="L233" s="141">
        <f>(Constantes!$D$12/0.8)*(0.00376*D233^2-0.0516*D233-6.967)</f>
        <v>-4.4355989999999998</v>
      </c>
      <c r="M233" s="140">
        <f t="shared" si="23"/>
        <v>3.5519978402502126</v>
      </c>
      <c r="N233" s="12"/>
    </row>
    <row r="234" spans="2:14">
      <c r="B234" s="11"/>
      <c r="C234" s="65">
        <v>229</v>
      </c>
      <c r="D234" s="65">
        <f>(Observaciones!D234+Observaciones!E234)/2</f>
        <v>11.25</v>
      </c>
      <c r="E234" s="141">
        <f t="shared" si="18"/>
        <v>1.3353283650298429</v>
      </c>
      <c r="F234" s="141">
        <f t="shared" si="19"/>
        <v>8.8579350899344877E-2</v>
      </c>
      <c r="G234" s="141">
        <f t="shared" si="20"/>
        <v>2.47443875</v>
      </c>
      <c r="H234" s="141">
        <f>0.001013*Constantes!$D$6/(0.622*G234)</f>
        <v>4.5032855355628641E-2</v>
      </c>
      <c r="I234" s="141">
        <f t="shared" si="21"/>
        <v>0.33758270995629469</v>
      </c>
      <c r="J234" s="141">
        <f t="shared" si="22"/>
        <v>0.23467285757286874</v>
      </c>
      <c r="K234" s="141">
        <f>(Constantes!$D$12/0.8)*(Constantes!$D$7*J234^2+Constantes!$D$8*J234+Constantes!$D$9)</f>
        <v>16.172175180666216</v>
      </c>
      <c r="L234" s="141">
        <f>(Constantes!$D$12/0.8)*(0.00376*D234^2-0.0516*D234-6.967)</f>
        <v>-4.4197656250000001</v>
      </c>
      <c r="M234" s="140">
        <f t="shared" si="23"/>
        <v>3.6398434629154202</v>
      </c>
      <c r="N234" s="12"/>
    </row>
    <row r="235" spans="2:14">
      <c r="B235" s="11"/>
      <c r="C235" s="65">
        <v>230</v>
      </c>
      <c r="D235" s="65">
        <f>(Observaciones!D235+Observaciones!E235)/2</f>
        <v>11.2</v>
      </c>
      <c r="E235" s="141">
        <f t="shared" si="18"/>
        <v>1.3309049906437358</v>
      </c>
      <c r="F235" s="141">
        <f t="shared" si="19"/>
        <v>8.8321456330061332E-2</v>
      </c>
      <c r="G235" s="141">
        <f t="shared" si="20"/>
        <v>2.4745567999999998</v>
      </c>
      <c r="H235" s="141">
        <f>0.001013*Constantes!$D$6/(0.622*G235)</f>
        <v>4.5030707040191013E-2</v>
      </c>
      <c r="I235" s="141">
        <f t="shared" si="21"/>
        <v>0.33724015024190968</v>
      </c>
      <c r="J235" s="141">
        <f t="shared" si="22"/>
        <v>0.22887200832576216</v>
      </c>
      <c r="K235" s="141">
        <f>(Constantes!$D$12/0.8)*(Constantes!$D$7*J235^2+Constantes!$D$8*J235+Constantes!$D$9)</f>
        <v>16.233934645376173</v>
      </c>
      <c r="L235" s="141">
        <f>(Constantes!$D$12/0.8)*(0.00376*D235^2-0.0516*D235-6.967)</f>
        <v>-4.4207910000000004</v>
      </c>
      <c r="M235" s="140">
        <f t="shared" si="23"/>
        <v>3.6553822642664811</v>
      </c>
      <c r="N235" s="12"/>
    </row>
    <row r="236" spans="2:14">
      <c r="B236" s="11"/>
      <c r="C236" s="65">
        <v>231</v>
      </c>
      <c r="D236" s="65">
        <f>(Observaciones!D236+Observaciones!E236)/2</f>
        <v>11.299999999999999</v>
      </c>
      <c r="E236" s="141">
        <f t="shared" si="18"/>
        <v>1.3397646526819855</v>
      </c>
      <c r="F236" s="141">
        <f t="shared" si="19"/>
        <v>8.8837887126731505E-2</v>
      </c>
      <c r="G236" s="141">
        <f t="shared" si="20"/>
        <v>2.4743206999999998</v>
      </c>
      <c r="H236" s="141">
        <f>0.001013*Constantes!$D$6/(0.622*G236)</f>
        <v>4.5035003876058806E-2</v>
      </c>
      <c r="I236" s="141">
        <f t="shared" si="21"/>
        <v>0.33792485453988752</v>
      </c>
      <c r="J236" s="141">
        <f t="shared" si="22"/>
        <v>0.22300333936312622</v>
      </c>
      <c r="K236" s="141">
        <f>(Constantes!$D$12/0.8)*(Constantes!$D$7*J236^2+Constantes!$D$8*J236+Constantes!$D$9)</f>
        <v>16.295838001861412</v>
      </c>
      <c r="L236" s="141">
        <f>(Constantes!$D$12/0.8)*(0.00376*D236^2-0.0516*D236-6.967)</f>
        <v>-4.4187285000000003</v>
      </c>
      <c r="M236" s="140">
        <f t="shared" si="23"/>
        <v>3.6831643795877582</v>
      </c>
      <c r="N236" s="12"/>
    </row>
    <row r="237" spans="2:14">
      <c r="B237" s="11"/>
      <c r="C237" s="65">
        <v>232</v>
      </c>
      <c r="D237" s="65">
        <f>(Observaciones!D237+Observaciones!E237)/2</f>
        <v>12.799999999999999</v>
      </c>
      <c r="E237" s="141">
        <f t="shared" si="18"/>
        <v>1.4790196183138535</v>
      </c>
      <c r="F237" s="141">
        <f t="shared" si="19"/>
        <v>9.6898823770774314E-2</v>
      </c>
      <c r="G237" s="141">
        <f t="shared" si="20"/>
        <v>2.4707792</v>
      </c>
      <c r="H237" s="141">
        <f>0.001013*Constantes!$D$6/(0.622*G237)</f>
        <v>4.5099554956231032E-2</v>
      </c>
      <c r="I237" s="141">
        <f t="shared" si="21"/>
        <v>0.3479939774968957</v>
      </c>
      <c r="J237" s="141">
        <f t="shared" si="22"/>
        <v>0.21706858969823073</v>
      </c>
      <c r="K237" s="141">
        <f>(Constantes!$D$12/0.8)*(Constantes!$D$7*J237^2+Constantes!$D$8*J237+Constantes!$D$9)</f>
        <v>16.357847006739533</v>
      </c>
      <c r="L237" s="141">
        <f>(Constantes!$D$12/0.8)*(0.00376*D237^2-0.0516*D237-6.967)</f>
        <v>-4.3821509999999995</v>
      </c>
      <c r="M237" s="140">
        <f t="shared" si="23"/>
        <v>3.8259241520893217</v>
      </c>
      <c r="N237" s="12"/>
    </row>
    <row r="238" spans="2:14">
      <c r="B238" s="11"/>
      <c r="C238" s="65">
        <v>233</v>
      </c>
      <c r="D238" s="65">
        <f>(Observaciones!D238+Observaciones!E238)/2</f>
        <v>11.700000000000001</v>
      </c>
      <c r="E238" s="141">
        <f t="shared" si="18"/>
        <v>1.3757236996547897</v>
      </c>
      <c r="F238" s="141">
        <f t="shared" si="19"/>
        <v>9.0929432125051668E-2</v>
      </c>
      <c r="G238" s="141">
        <f t="shared" si="20"/>
        <v>2.4733763</v>
      </c>
      <c r="H238" s="141">
        <f>0.001013*Constantes!$D$6/(0.622*G238)</f>
        <v>4.5052199422753639E-2</v>
      </c>
      <c r="I238" s="141">
        <f t="shared" si="21"/>
        <v>0.3406470099449177</v>
      </c>
      <c r="J238" s="141">
        <f t="shared" si="22"/>
        <v>0.21106951792548378</v>
      </c>
      <c r="K238" s="141">
        <f>(Constantes!$D$12/0.8)*(Constantes!$D$7*J238^2+Constantes!$D$8*J238+Constantes!$D$9)</f>
        <v>16.419923686911332</v>
      </c>
      <c r="L238" s="141">
        <f>(Constantes!$D$12/0.8)*(0.00376*D238^2-0.0516*D238-6.967)</f>
        <v>-4.4100085</v>
      </c>
      <c r="M238" s="140">
        <f t="shared" si="23"/>
        <v>3.7555378236651982</v>
      </c>
      <c r="N238" s="12"/>
    </row>
    <row r="239" spans="2:14">
      <c r="B239" s="11"/>
      <c r="C239" s="65">
        <v>234</v>
      </c>
      <c r="D239" s="65">
        <f>(Observaciones!D239+Observaciones!E239)/2</f>
        <v>14.15</v>
      </c>
      <c r="E239" s="141">
        <f t="shared" si="18"/>
        <v>1.6150528288927855</v>
      </c>
      <c r="F239" s="141">
        <f t="shared" si="19"/>
        <v>0.10467799774317721</v>
      </c>
      <c r="G239" s="141">
        <f t="shared" si="20"/>
        <v>2.4675918499999998</v>
      </c>
      <c r="H239" s="141">
        <f>0.001013*Constantes!$D$6/(0.622*G239)</f>
        <v>4.5157809349675282E-2</v>
      </c>
      <c r="I239" s="141">
        <f t="shared" si="21"/>
        <v>0.35672784756039339</v>
      </c>
      <c r="J239" s="141">
        <f t="shared" si="22"/>
        <v>0.20500790169932229</v>
      </c>
      <c r="K239" s="141">
        <f>(Constantes!$D$12/0.8)*(Constantes!$D$7*J239^2+Constantes!$D$8*J239+Constantes!$D$9)</f>
        <v>16.482030374041141</v>
      </c>
      <c r="L239" s="141">
        <f>(Constantes!$D$12/0.8)*(0.00376*D239^2-0.0516*D239-6.967)</f>
        <v>-4.3401896249999998</v>
      </c>
      <c r="M239" s="140">
        <f t="shared" si="23"/>
        <v>3.9785567627011176</v>
      </c>
      <c r="N239" s="12"/>
    </row>
    <row r="240" spans="2:14">
      <c r="B240" s="11"/>
      <c r="C240" s="65">
        <v>235</v>
      </c>
      <c r="D240" s="65">
        <f>(Observaciones!D240+Observaciones!E240)/2</f>
        <v>12.1</v>
      </c>
      <c r="E240" s="141">
        <f t="shared" si="18"/>
        <v>1.4125278691197247</v>
      </c>
      <c r="F240" s="141">
        <f t="shared" si="19"/>
        <v>9.306279268564735E-2</v>
      </c>
      <c r="G240" s="141">
        <f t="shared" si="20"/>
        <v>2.4724318999999997</v>
      </c>
      <c r="H240" s="141">
        <f>0.001013*Constantes!$D$6/(0.622*G240)</f>
        <v>4.5069408105886576E-2</v>
      </c>
      <c r="I240" s="141">
        <f t="shared" si="21"/>
        <v>0.34334233509165285</v>
      </c>
      <c r="J240" s="141">
        <f t="shared" si="22"/>
        <v>0.19888553720745422</v>
      </c>
      <c r="K240" s="141">
        <f>(Constantes!$D$12/0.8)*(Constantes!$D$7*J240^2+Constantes!$D$8*J240+Constantes!$D$9)</f>
        <v>16.544129738561924</v>
      </c>
      <c r="L240" s="141">
        <f>(Constantes!$D$12/0.8)*(0.00376*D240^2-0.0516*D240-6.967)</f>
        <v>-4.4005364999999994</v>
      </c>
      <c r="M240" s="140">
        <f t="shared" si="23"/>
        <v>3.8285916507412319</v>
      </c>
      <c r="N240" s="12"/>
    </row>
    <row r="241" spans="2:14">
      <c r="B241" s="11"/>
      <c r="C241" s="65">
        <v>236</v>
      </c>
      <c r="D241" s="65">
        <f>(Observaciones!D241+Observaciones!E241)/2</f>
        <v>12.4</v>
      </c>
      <c r="E241" s="141">
        <f t="shared" si="18"/>
        <v>1.440695742444418</v>
      </c>
      <c r="F241" s="141">
        <f t="shared" si="19"/>
        <v>9.4690659669251859E-2</v>
      </c>
      <c r="G241" s="141">
        <f t="shared" si="20"/>
        <v>2.4717235999999998</v>
      </c>
      <c r="H241" s="141">
        <f>0.001013*Constantes!$D$6/(0.622*G241)</f>
        <v>4.508232324808184E-2</v>
      </c>
      <c r="I241" s="141">
        <f t="shared" si="21"/>
        <v>0.34534609482941636</v>
      </c>
      <c r="J241" s="141">
        <f t="shared" si="22"/>
        <v>0.19270423863861028</v>
      </c>
      <c r="K241" s="141">
        <f>(Constantes!$D$12/0.8)*(Constantes!$D$7*J241^2+Constantes!$D$8*J241+Constantes!$D$9)</f>
        <v>16.606184823167897</v>
      </c>
      <c r="L241" s="141">
        <f>(Constantes!$D$12/0.8)*(0.00376*D241^2-0.0516*D241-6.967)</f>
        <v>-4.3929389999999993</v>
      </c>
      <c r="M241" s="140">
        <f t="shared" si="23"/>
        <v>3.8737038855009209</v>
      </c>
      <c r="N241" s="12"/>
    </row>
    <row r="242" spans="2:14">
      <c r="B242" s="11"/>
      <c r="C242" s="65">
        <v>237</v>
      </c>
      <c r="D242" s="65">
        <f>(Observaciones!D242+Observaciones!E242)/2</f>
        <v>9.5</v>
      </c>
      <c r="E242" s="141">
        <f t="shared" si="18"/>
        <v>1.187968532240967</v>
      </c>
      <c r="F242" s="141">
        <f t="shared" si="19"/>
        <v>7.9925724231647788E-2</v>
      </c>
      <c r="G242" s="141">
        <f t="shared" si="20"/>
        <v>2.4785705</v>
      </c>
      <c r="H242" s="141">
        <f>0.001013*Constantes!$D$6/(0.622*G242)</f>
        <v>4.4957786076737595E-2</v>
      </c>
      <c r="I242" s="141">
        <f t="shared" si="21"/>
        <v>0.32534995521168669</v>
      </c>
      <c r="J242" s="141">
        <f t="shared" si="22"/>
        <v>0.18646583764495964</v>
      </c>
      <c r="K242" s="141">
        <f>(Constantes!$D$12/0.8)*(Constantes!$D$7*J242^2+Constantes!$D$8*J242+Constantes!$D$9)</f>
        <v>16.668159075758236</v>
      </c>
      <c r="L242" s="141">
        <f>(Constantes!$D$12/0.8)*(0.00376*D242^2-0.0516*D242-6.967)</f>
        <v>-4.4486624999999993</v>
      </c>
      <c r="M242" s="140">
        <f t="shared" si="23"/>
        <v>3.6502335751067481</v>
      </c>
      <c r="N242" s="12"/>
    </row>
    <row r="243" spans="2:14">
      <c r="B243" s="11"/>
      <c r="C243" s="65">
        <v>238</v>
      </c>
      <c r="D243" s="65">
        <f>(Observaciones!D243+Observaciones!E243)/2</f>
        <v>11.5</v>
      </c>
      <c r="E243" s="141">
        <f t="shared" si="18"/>
        <v>1.3576395793502862</v>
      </c>
      <c r="F243" s="141">
        <f t="shared" si="19"/>
        <v>8.9878474493928939E-2</v>
      </c>
      <c r="G243" s="141">
        <f t="shared" si="20"/>
        <v>2.4738484999999999</v>
      </c>
      <c r="H243" s="141">
        <f>0.001013*Constantes!$D$6/(0.622*G243)</f>
        <v>4.5043600008291752E-2</v>
      </c>
      <c r="I243" s="141">
        <f t="shared" si="21"/>
        <v>0.33928927202235942</v>
      </c>
      <c r="J243" s="141">
        <f t="shared" si="22"/>
        <v>0.18017218279935246</v>
      </c>
      <c r="K243" s="141">
        <f>(Constantes!$D$12/0.8)*(Constantes!$D$7*J243^2+Constantes!$D$8*J243+Constantes!$D$9)</f>
        <v>16.730016381796016</v>
      </c>
      <c r="L243" s="141">
        <f>(Constantes!$D$12/0.8)*(0.00376*D243^2-0.0516*D243-6.967)</f>
        <v>-4.4144625</v>
      </c>
      <c r="M243" s="140">
        <f t="shared" si="23"/>
        <v>3.8379564063606098</v>
      </c>
      <c r="N243" s="12"/>
    </row>
    <row r="244" spans="2:14">
      <c r="B244" s="11"/>
      <c r="C244" s="65">
        <v>239</v>
      </c>
      <c r="D244" s="65">
        <f>(Observaciones!D244+Observaciones!E244)/2</f>
        <v>12.25</v>
      </c>
      <c r="E244" s="141">
        <f t="shared" si="18"/>
        <v>1.4265507491669478</v>
      </c>
      <c r="F244" s="141">
        <f t="shared" si="19"/>
        <v>9.387372076527814E-2</v>
      </c>
      <c r="G244" s="141">
        <f t="shared" si="20"/>
        <v>2.47207775</v>
      </c>
      <c r="H244" s="141">
        <f>0.001013*Constantes!$D$6/(0.622*G244)</f>
        <v>4.5075864751872197E-2</v>
      </c>
      <c r="I244" s="141">
        <f t="shared" si="21"/>
        <v>0.34434612138705856</v>
      </c>
      <c r="J244" s="141">
        <f t="shared" si="22"/>
        <v>0.17382513904754765</v>
      </c>
      <c r="K244" s="141">
        <f>(Constantes!$D$12/0.8)*(Constantes!$D$7*J244^2+Constantes!$D$8*J244+Constantes!$D$9)</f>
        <v>16.791721096047262</v>
      </c>
      <c r="L244" s="141">
        <f>(Constantes!$D$12/0.8)*(0.00376*D244^2-0.0516*D244-6.967)</f>
        <v>-4.3967906249999995</v>
      </c>
      <c r="M244" s="140">
        <f t="shared" si="23"/>
        <v>3.9212163907171633</v>
      </c>
      <c r="N244" s="12"/>
    </row>
    <row r="245" spans="2:14">
      <c r="B245" s="11"/>
      <c r="C245" s="65">
        <v>240</v>
      </c>
      <c r="D245" s="65">
        <f>(Observaciones!D245+Observaciones!E245)/2</f>
        <v>10</v>
      </c>
      <c r="E245" s="141">
        <f t="shared" si="18"/>
        <v>1.2285355953233976</v>
      </c>
      <c r="F245" s="141">
        <f t="shared" si="19"/>
        <v>8.2321156964857062E-2</v>
      </c>
      <c r="G245" s="141">
        <f t="shared" si="20"/>
        <v>2.4773899999999998</v>
      </c>
      <c r="H245" s="141">
        <f>0.001013*Constantes!$D$6/(0.622*G245)</f>
        <v>4.4979208891257547E-2</v>
      </c>
      <c r="I245" s="141">
        <f t="shared" si="21"/>
        <v>0.32889553570326324</v>
      </c>
      <c r="J245" s="141">
        <f t="shared" si="22"/>
        <v>0.16742658715558911</v>
      </c>
      <c r="K245" s="141">
        <f>(Constantes!$D$12/0.8)*(Constantes!$D$7*J245^2+Constantes!$D$8*J245+Constantes!$D$9)</f>
        <v>16.853238073665811</v>
      </c>
      <c r="L245" s="141">
        <f>(Constantes!$D$12/0.8)*(0.00376*D245^2-0.0516*D245-6.967)</f>
        <v>-4.4418749999999996</v>
      </c>
      <c r="M245" s="140">
        <f t="shared" si="23"/>
        <v>3.7494646210466391</v>
      </c>
      <c r="N245" s="12"/>
    </row>
    <row r="246" spans="2:14">
      <c r="B246" s="11"/>
      <c r="C246" s="65">
        <v>241</v>
      </c>
      <c r="D246" s="65">
        <f>(Observaciones!D246+Observaciones!E246)/2</f>
        <v>9.5</v>
      </c>
      <c r="E246" s="141">
        <f t="shared" si="18"/>
        <v>1.187968532240967</v>
      </c>
      <c r="F246" s="141">
        <f t="shared" si="19"/>
        <v>7.9925724231647788E-2</v>
      </c>
      <c r="G246" s="141">
        <f t="shared" si="20"/>
        <v>2.4785705</v>
      </c>
      <c r="H246" s="141">
        <f>0.001013*Constantes!$D$6/(0.622*G246)</f>
        <v>4.4957786076737595E-2</v>
      </c>
      <c r="I246" s="141">
        <f t="shared" si="21"/>
        <v>0.32534995521168669</v>
      </c>
      <c r="J246" s="141">
        <f t="shared" si="22"/>
        <v>0.16097842315249489</v>
      </c>
      <c r="K246" s="141">
        <f>(Constantes!$D$12/0.8)*(Constantes!$D$7*J246^2+Constantes!$D$8*J246+Constantes!$D$9)</f>
        <v>16.914532700590403</v>
      </c>
      <c r="L246" s="141">
        <f>(Constantes!$D$12/0.8)*(0.00376*D246^2-0.0516*D246-6.967)</f>
        <v>-4.4486624999999993</v>
      </c>
      <c r="M246" s="140">
        <f t="shared" si="23"/>
        <v>3.7255817640429654</v>
      </c>
      <c r="N246" s="12"/>
    </row>
    <row r="247" spans="2:14">
      <c r="B247" s="11"/>
      <c r="C247" s="65">
        <v>242</v>
      </c>
      <c r="D247" s="65">
        <f>(Observaciones!D247+Observaciones!E247)/2</f>
        <v>11.5</v>
      </c>
      <c r="E247" s="141">
        <f t="shared" si="18"/>
        <v>1.3576395793502862</v>
      </c>
      <c r="F247" s="141">
        <f t="shared" si="19"/>
        <v>8.9878474493928939E-2</v>
      </c>
      <c r="G247" s="141">
        <f t="shared" si="20"/>
        <v>2.4738484999999999</v>
      </c>
      <c r="H247" s="141">
        <f>0.001013*Constantes!$D$6/(0.622*G247)</f>
        <v>4.5043600008291752E-2</v>
      </c>
      <c r="I247" s="141">
        <f t="shared" si="21"/>
        <v>0.33928927202235942</v>
      </c>
      <c r="J247" s="141">
        <f t="shared" si="22"/>
        <v>0.15448255776842162</v>
      </c>
      <c r="K247" s="141">
        <f>(Constantes!$D$12/0.8)*(Constantes!$D$7*J247^2+Constantes!$D$8*J247+Constantes!$D$9)</f>
        <v>16.975570923221369</v>
      </c>
      <c r="L247" s="141">
        <f>(Constantes!$D$12/0.8)*(0.00376*D247^2-0.0516*D247-6.967)</f>
        <v>-4.4144625</v>
      </c>
      <c r="M247" s="140">
        <f t="shared" si="23"/>
        <v>3.9162715866664821</v>
      </c>
      <c r="N247" s="12"/>
    </row>
    <row r="248" spans="2:14">
      <c r="B248" s="11"/>
      <c r="C248" s="65">
        <v>243</v>
      </c>
      <c r="D248" s="65">
        <f>(Observaciones!D248+Observaciones!E248)/2</f>
        <v>11</v>
      </c>
      <c r="E248" s="141">
        <f t="shared" si="18"/>
        <v>1.3133399855895733</v>
      </c>
      <c r="F248" s="141">
        <f t="shared" si="19"/>
        <v>8.7296268852053341E-2</v>
      </c>
      <c r="G248" s="141">
        <f t="shared" si="20"/>
        <v>2.4750289999999997</v>
      </c>
      <c r="H248" s="141">
        <f>0.001013*Constantes!$D$6/(0.622*G248)</f>
        <v>4.5022115827779208E-2</v>
      </c>
      <c r="I248" s="141">
        <f t="shared" si="21"/>
        <v>0.33586576991782852</v>
      </c>
      <c r="J248" s="141">
        <f t="shared" si="22"/>
        <v>0.14794091586847496</v>
      </c>
      <c r="K248" s="141">
        <f>(Constantes!$D$12/0.8)*(Constantes!$D$7*J248^2+Constantes!$D$8*J248+Constantes!$D$9)</f>
        <v>17.036319277345044</v>
      </c>
      <c r="L248" s="141">
        <f>(Constantes!$D$12/0.8)*(0.00376*D248^2-0.0516*D248-6.967)</f>
        <v>-4.4247749999999995</v>
      </c>
      <c r="M248" s="140">
        <f t="shared" si="23"/>
        <v>3.8924710391241906</v>
      </c>
      <c r="N248" s="12"/>
    </row>
    <row r="249" spans="2:14">
      <c r="B249" s="11"/>
      <c r="C249" s="65">
        <v>244</v>
      </c>
      <c r="D249" s="65">
        <f>(Observaciones!D249+Observaciones!E249)/2</f>
        <v>11.9</v>
      </c>
      <c r="E249" s="141">
        <f t="shared" si="18"/>
        <v>1.3940190963940859</v>
      </c>
      <c r="F249" s="141">
        <f t="shared" si="19"/>
        <v>9.1990843524687727E-2</v>
      </c>
      <c r="G249" s="141">
        <f t="shared" si="20"/>
        <v>2.4729041</v>
      </c>
      <c r="H249" s="141">
        <f>0.001013*Constantes!$D$6/(0.622*G249)</f>
        <v>4.506080212132469E-2</v>
      </c>
      <c r="I249" s="141">
        <f t="shared" si="21"/>
        <v>0.34199803993111727</v>
      </c>
      <c r="J249" s="141">
        <f t="shared" si="22"/>
        <v>0.14135543588232999</v>
      </c>
      <c r="K249" s="141">
        <f>(Constantes!$D$12/0.8)*(Constantes!$D$7*J249^2+Constantes!$D$8*J249+Constantes!$D$9)</f>
        <v>17.09674491627506</v>
      </c>
      <c r="L249" s="141">
        <f>(Constantes!$D$12/0.8)*(0.00376*D249^2-0.0516*D249-6.967)</f>
        <v>-4.4053664999999995</v>
      </c>
      <c r="M249" s="140">
        <f t="shared" si="23"/>
        <v>3.9896033473560562</v>
      </c>
      <c r="N249" s="12"/>
    </row>
    <row r="250" spans="2:14">
      <c r="B250" s="11"/>
      <c r="C250" s="65">
        <v>245</v>
      </c>
      <c r="D250" s="65">
        <f>(Observaciones!D250+Observaciones!E250)/2</f>
        <v>11.6</v>
      </c>
      <c r="E250" s="141">
        <f t="shared" si="18"/>
        <v>1.3666553605146039</v>
      </c>
      <c r="F250" s="141">
        <f t="shared" si="19"/>
        <v>9.0402651818888541E-2</v>
      </c>
      <c r="G250" s="141">
        <f t="shared" si="20"/>
        <v>2.4736123999999999</v>
      </c>
      <c r="H250" s="141">
        <f>0.001013*Constantes!$D$6/(0.622*G250)</f>
        <v>4.5047899305126593E-2</v>
      </c>
      <c r="I250" s="141">
        <f t="shared" si="21"/>
        <v>0.33996897773719964</v>
      </c>
      <c r="J250" s="141">
        <f t="shared" si="22"/>
        <v>0.13472806922983294</v>
      </c>
      <c r="K250" s="141">
        <f>(Constantes!$D$12/0.8)*(Constantes!$D$7*J250^2+Constantes!$D$8*J250+Constantes!$D$9)</f>
        <v>17.156815638180561</v>
      </c>
      <c r="L250" s="141">
        <f>(Constantes!$D$12/0.8)*(0.00376*D250^2-0.0516*D250-6.967)</f>
        <v>-4.4122589999999997</v>
      </c>
      <c r="M250" s="140">
        <f t="shared" si="23"/>
        <v>3.9827867875718161</v>
      </c>
      <c r="N250" s="12"/>
    </row>
    <row r="251" spans="2:14">
      <c r="B251" s="11"/>
      <c r="C251" s="65">
        <v>246</v>
      </c>
      <c r="D251" s="65">
        <f>(Observaciones!D251+Observaciones!E251)/2</f>
        <v>11.799999999999999</v>
      </c>
      <c r="E251" s="141">
        <f t="shared" si="18"/>
        <v>1.384844857641909</v>
      </c>
      <c r="F251" s="141">
        <f t="shared" si="19"/>
        <v>9.1458825865714591E-2</v>
      </c>
      <c r="G251" s="141">
        <f t="shared" si="20"/>
        <v>2.4731402</v>
      </c>
      <c r="H251" s="141">
        <f>0.001013*Constantes!$D$6/(0.622*G251)</f>
        <v>4.5056500361407952E-2</v>
      </c>
      <c r="I251" s="141">
        <f t="shared" si="21"/>
        <v>0.3413233651453087</v>
      </c>
      <c r="J251" s="141">
        <f t="shared" si="22"/>
        <v>0.12806077974275321</v>
      </c>
      <c r="K251" s="141">
        <f>(Constantes!$D$12/0.8)*(Constantes!$D$7*J251^2+Constantes!$D$8*J251+Constantes!$D$9)</f>
        <v>17.216499912572381</v>
      </c>
      <c r="L251" s="141">
        <f>(Constantes!$D$12/0.8)*(0.00376*D251^2-0.0516*D251-6.967)</f>
        <v>-4.4077109999999999</v>
      </c>
      <c r="M251" s="140">
        <f t="shared" si="23"/>
        <v>4.0193553139041365</v>
      </c>
      <c r="N251" s="12"/>
    </row>
    <row r="252" spans="2:14">
      <c r="B252" s="11"/>
      <c r="C252" s="65">
        <v>247</v>
      </c>
      <c r="D252" s="65">
        <f>(Observaciones!D252+Observaciones!E252)/2</f>
        <v>10.4</v>
      </c>
      <c r="E252" s="141">
        <f t="shared" si="18"/>
        <v>1.2618612427946017</v>
      </c>
      <c r="F252" s="141">
        <f t="shared" si="19"/>
        <v>8.4281361443687683E-2</v>
      </c>
      <c r="G252" s="141">
        <f t="shared" si="20"/>
        <v>2.4764455999999999</v>
      </c>
      <c r="H252" s="141">
        <f>0.001013*Constantes!$D$6/(0.622*G252)</f>
        <v>4.4996361848252404E-2</v>
      </c>
      <c r="I252" s="141">
        <f t="shared" si="21"/>
        <v>0.33170315327202898</v>
      </c>
      <c r="J252" s="141">
        <f t="shared" si="22"/>
        <v>0.1213555430828577</v>
      </c>
      <c r="K252" s="141">
        <f>(Constantes!$D$12/0.8)*(Constantes!$D$7*J252^2+Constantes!$D$8*J252+Constantes!$D$9)</f>
        <v>17.275766905919248</v>
      </c>
      <c r="L252" s="141">
        <f>(Constantes!$D$12/0.8)*(0.00376*D252^2-0.0516*D252-6.967)</f>
        <v>-4.4355989999999998</v>
      </c>
      <c r="M252" s="140">
        <f t="shared" si="23"/>
        <v>3.9152986014625606</v>
      </c>
      <c r="N252" s="12"/>
    </row>
    <row r="253" spans="2:14">
      <c r="B253" s="11"/>
      <c r="C253" s="65">
        <v>248</v>
      </c>
      <c r="D253" s="65">
        <f>(Observaciones!D253+Observaciones!E253)/2</f>
        <v>11.25</v>
      </c>
      <c r="E253" s="141">
        <f t="shared" si="18"/>
        <v>1.3353283650298429</v>
      </c>
      <c r="F253" s="141">
        <f t="shared" si="19"/>
        <v>8.8579350899344877E-2</v>
      </c>
      <c r="G253" s="141">
        <f t="shared" si="20"/>
        <v>2.47443875</v>
      </c>
      <c r="H253" s="141">
        <f>0.001013*Constantes!$D$6/(0.622*G253)</f>
        <v>4.5032855355628641E-2</v>
      </c>
      <c r="I253" s="141">
        <f t="shared" si="21"/>
        <v>0.33758270995629469</v>
      </c>
      <c r="J253" s="141">
        <f t="shared" si="22"/>
        <v>0.11461434615647929</v>
      </c>
      <c r="K253" s="141">
        <f>(Constantes!$D$12/0.8)*(Constantes!$D$7*J253^2+Constantes!$D$8*J253+Constantes!$D$9)</f>
        <v>17.334586506367209</v>
      </c>
      <c r="L253" s="141">
        <f>(Constantes!$D$12/0.8)*(0.00376*D253^2-0.0516*D253-6.967)</f>
        <v>-4.4197656250000001</v>
      </c>
      <c r="M253" s="140">
        <f t="shared" si="23"/>
        <v>4.0087088304046086</v>
      </c>
      <c r="N253" s="12"/>
    </row>
    <row r="254" spans="2:14">
      <c r="B254" s="11"/>
      <c r="C254" s="65">
        <v>249</v>
      </c>
      <c r="D254" s="65">
        <f>(Observaciones!D254+Observaciones!E254)/2</f>
        <v>9.6999999999999993</v>
      </c>
      <c r="E254" s="141">
        <f t="shared" si="18"/>
        <v>1.2040517259211223</v>
      </c>
      <c r="F254" s="141">
        <f t="shared" si="19"/>
        <v>8.0876657096899784E-2</v>
      </c>
      <c r="G254" s="141">
        <f t="shared" si="20"/>
        <v>2.4780983000000001</v>
      </c>
      <c r="H254" s="141">
        <f>0.001013*Constantes!$D$6/(0.622*G254)</f>
        <v>4.4966352753283652E-2</v>
      </c>
      <c r="I254" s="141">
        <f t="shared" si="21"/>
        <v>0.32677295878905227</v>
      </c>
      <c r="J254" s="141">
        <f t="shared" si="22"/>
        <v>0.10783918652575487</v>
      </c>
      <c r="K254" s="141">
        <f>(Constantes!$D$12/0.8)*(Constantes!$D$7*J254^2+Constantes!$D$8*J254+Constantes!$D$9)</f>
        <v>17.392929347536338</v>
      </c>
      <c r="L254" s="141">
        <f>(Constantes!$D$12/0.8)*(0.00376*D254^2-0.0516*D254-6.967)</f>
        <v>-4.4460885000000001</v>
      </c>
      <c r="M254" s="140">
        <f t="shared" si="23"/>
        <v>3.8896651516262066</v>
      </c>
      <c r="N254" s="12"/>
    </row>
    <row r="255" spans="2:14">
      <c r="B255" s="11"/>
      <c r="C255" s="65">
        <v>250</v>
      </c>
      <c r="D255" s="65">
        <f>(Observaciones!D255+Observaciones!E255)/2</f>
        <v>12.7</v>
      </c>
      <c r="E255" s="141">
        <f t="shared" si="18"/>
        <v>1.4693556920806219</v>
      </c>
      <c r="F255" s="141">
        <f t="shared" si="19"/>
        <v>9.6342714018342213E-2</v>
      </c>
      <c r="G255" s="141">
        <f t="shared" si="20"/>
        <v>2.4710152999999999</v>
      </c>
      <c r="H255" s="141">
        <f>0.001013*Constantes!$D$6/(0.622*G255)</f>
        <v>4.5095245794355275E-2</v>
      </c>
      <c r="I255" s="141">
        <f t="shared" si="21"/>
        <v>0.34733456468782936</v>
      </c>
      <c r="J255" s="141">
        <f t="shared" si="22"/>
        <v>0.10103207181670262</v>
      </c>
      <c r="K255" s="141">
        <f>(Constantes!$D$12/0.8)*(Constantes!$D$7*J255^2+Constantes!$D$8*J255+Constantes!$D$9)</f>
        <v>17.450766831370213</v>
      </c>
      <c r="L255" s="141">
        <f>(Constantes!$D$12/0.8)*(0.00376*D255^2-0.0516*D255-6.967)</f>
        <v>-4.3849184999999995</v>
      </c>
      <c r="M255" s="140">
        <f t="shared" si="23"/>
        <v>4.1745454724031079</v>
      </c>
      <c r="N255" s="12"/>
    </row>
    <row r="256" spans="2:14">
      <c r="B256" s="11"/>
      <c r="C256" s="65">
        <v>251</v>
      </c>
      <c r="D256" s="65">
        <f>(Observaciones!D256+Observaciones!E256)/2</f>
        <v>12.85</v>
      </c>
      <c r="E256" s="141">
        <f t="shared" si="18"/>
        <v>1.4838724736816862</v>
      </c>
      <c r="F256" s="141">
        <f t="shared" si="19"/>
        <v>9.717790188805045E-2</v>
      </c>
      <c r="G256" s="141">
        <f t="shared" si="20"/>
        <v>2.4706611499999998</v>
      </c>
      <c r="H256" s="141">
        <f>0.001013*Constantes!$D$6/(0.622*G256)</f>
        <v>4.5101709846011272E-2</v>
      </c>
      <c r="I256" s="141">
        <f t="shared" si="21"/>
        <v>0.34832304299622313</v>
      </c>
      <c r="J256" s="141">
        <f t="shared" si="22"/>
        <v>9.4195019124320392E-2</v>
      </c>
      <c r="K256" s="141">
        <f>(Constantes!$D$12/0.8)*(Constantes!$D$7*J256^2+Constantes!$D$8*J256+Constantes!$D$9)</f>
        <v>17.508071150014512</v>
      </c>
      <c r="L256" s="141">
        <f>(Constantes!$D$12/0.8)*(0.00376*D256^2-0.0516*D256-6.967)</f>
        <v>-4.380749625</v>
      </c>
      <c r="M256" s="140">
        <f t="shared" si="23"/>
        <v>4.2066407027848287</v>
      </c>
      <c r="N256" s="12"/>
    </row>
    <row r="257" spans="2:14">
      <c r="B257" s="11"/>
      <c r="C257" s="65">
        <v>252</v>
      </c>
      <c r="D257" s="65">
        <f>(Observaciones!D257+Observaciones!E257)/2</f>
        <v>13.15</v>
      </c>
      <c r="E257" s="141">
        <f t="shared" si="18"/>
        <v>1.5132842544432668</v>
      </c>
      <c r="F257" s="141">
        <f t="shared" si="19"/>
        <v>9.8866781254448824E-2</v>
      </c>
      <c r="G257" s="141">
        <f t="shared" si="20"/>
        <v>2.4699528499999999</v>
      </c>
      <c r="H257" s="141">
        <f>0.001013*Constantes!$D$6/(0.622*G257)</f>
        <v>4.5114643510345769E-2</v>
      </c>
      <c r="I257" s="141">
        <f t="shared" si="21"/>
        <v>0.35028844443641177</v>
      </c>
      <c r="J257" s="141">
        <f t="shared" si="22"/>
        <v>8.7330054414876609E-2</v>
      </c>
      <c r="K257" s="141">
        <f>(Constantes!$D$12/0.8)*(Constantes!$D$7*J257^2+Constantes!$D$8*J257+Constantes!$D$9)</f>
        <v>17.564815306702364</v>
      </c>
      <c r="L257" s="141">
        <f>(Constantes!$D$12/0.8)*(0.00376*D257^2-0.0516*D257-6.967)</f>
        <v>-4.3720946249999999</v>
      </c>
      <c r="M257" s="140">
        <f t="shared" si="23"/>
        <v>4.2520924956417394</v>
      </c>
      <c r="N257" s="12"/>
    </row>
    <row r="258" spans="2:14">
      <c r="B258" s="11"/>
      <c r="C258" s="65">
        <v>253</v>
      </c>
      <c r="D258" s="65">
        <f>(Observaciones!D258+Observaciones!E258)/2</f>
        <v>12.9</v>
      </c>
      <c r="E258" s="141">
        <f t="shared" si="18"/>
        <v>1.4887393027557323</v>
      </c>
      <c r="F258" s="141">
        <f t="shared" si="19"/>
        <v>9.7457663967834368E-2</v>
      </c>
      <c r="G258" s="141">
        <f t="shared" si="20"/>
        <v>2.4705431</v>
      </c>
      <c r="H258" s="141">
        <f>0.001013*Constantes!$D$6/(0.622*G258)</f>
        <v>4.5103864941725781E-2</v>
      </c>
      <c r="I258" s="141">
        <f t="shared" si="21"/>
        <v>0.34865168081674919</v>
      </c>
      <c r="J258" s="141">
        <f t="shared" si="22"/>
        <v>8.0439211925572768E-2</v>
      </c>
      <c r="K258" s="141">
        <f>(Constantes!$D$12/0.8)*(Constantes!$D$7*J258^2+Constantes!$D$8*J258+Constantes!$D$9)</f>
        <v>17.620973135625363</v>
      </c>
      <c r="L258" s="141">
        <f>(Constantes!$D$12/0.8)*(0.00376*D258^2-0.0516*D258-6.967)</f>
        <v>-4.3793364999999991</v>
      </c>
      <c r="M258" s="140">
        <f t="shared" si="23"/>
        <v>4.2481039556936722</v>
      </c>
      <c r="N258" s="12"/>
    </row>
    <row r="259" spans="2:14">
      <c r="B259" s="11"/>
      <c r="C259" s="65">
        <v>254</v>
      </c>
      <c r="D259" s="65">
        <f>(Observaciones!D259+Observaciones!E259)/2</f>
        <v>12.35</v>
      </c>
      <c r="E259" s="141">
        <f t="shared" si="18"/>
        <v>1.4359671208266067</v>
      </c>
      <c r="F259" s="141">
        <f t="shared" si="19"/>
        <v>9.4417676614232629E-2</v>
      </c>
      <c r="G259" s="141">
        <f t="shared" si="20"/>
        <v>2.47184165</v>
      </c>
      <c r="H259" s="141">
        <f>0.001013*Constantes!$D$6/(0.622*G259)</f>
        <v>4.5080170210382423E-2</v>
      </c>
      <c r="I259" s="141">
        <f t="shared" si="21"/>
        <v>0.34501319460891361</v>
      </c>
      <c r="J259" s="141">
        <f t="shared" si="22"/>
        <v>7.3524533561755021E-2</v>
      </c>
      <c r="K259" s="141">
        <f>(Constantes!$D$12/0.8)*(Constantes!$D$7*J259^2+Constantes!$D$8*J259+Constantes!$D$9)</f>
        <v>17.676519320770158</v>
      </c>
      <c r="L259" s="141">
        <f>(Constantes!$D$12/0.8)*(0.00376*D259^2-0.0516*D259-6.967)</f>
        <v>-4.3942346249999993</v>
      </c>
      <c r="M259" s="140">
        <f t="shared" si="23"/>
        <v>4.2166455305672379</v>
      </c>
      <c r="N259" s="12"/>
    </row>
    <row r="260" spans="2:14">
      <c r="B260" s="11"/>
      <c r="C260" s="65">
        <v>255</v>
      </c>
      <c r="D260" s="65">
        <f>(Observaciones!D260+Observaciones!E260)/2</f>
        <v>13.15</v>
      </c>
      <c r="E260" s="141">
        <f t="shared" si="18"/>
        <v>1.5132842544432668</v>
      </c>
      <c r="F260" s="141">
        <f t="shared" si="19"/>
        <v>9.8866781254448824E-2</v>
      </c>
      <c r="G260" s="141">
        <f t="shared" si="20"/>
        <v>2.4699528499999999</v>
      </c>
      <c r="H260" s="141">
        <f>0.001013*Constantes!$D$6/(0.622*G260)</f>
        <v>4.5114643510345769E-2</v>
      </c>
      <c r="I260" s="141">
        <f t="shared" si="21"/>
        <v>0.35028844443641177</v>
      </c>
      <c r="J260" s="141">
        <f t="shared" si="22"/>
        <v>6.6588068291853514E-2</v>
      </c>
      <c r="K260" s="141">
        <f>(Constantes!$D$12/0.8)*(Constantes!$D$7*J260^2+Constantes!$D$8*J260+Constantes!$D$9)</f>
        <v>17.731429413702052</v>
      </c>
      <c r="L260" s="141">
        <f>(Constantes!$D$12/0.8)*(0.00376*D260^2-0.0516*D260-6.967)</f>
        <v>-4.3720946249999999</v>
      </c>
      <c r="M260" s="140">
        <f t="shared" si="23"/>
        <v>4.3069537122220982</v>
      </c>
      <c r="N260" s="12"/>
    </row>
    <row r="261" spans="2:14">
      <c r="B261" s="11"/>
      <c r="C261" s="65">
        <v>256</v>
      </c>
      <c r="D261" s="65">
        <f>(Observaciones!D261+Observaciones!E261)/2</f>
        <v>12.25</v>
      </c>
      <c r="E261" s="141">
        <f t="shared" si="18"/>
        <v>1.4265507491669478</v>
      </c>
      <c r="F261" s="141">
        <f t="shared" si="19"/>
        <v>9.387372076527814E-2</v>
      </c>
      <c r="G261" s="141">
        <f t="shared" si="20"/>
        <v>2.47207775</v>
      </c>
      <c r="H261" s="141">
        <f>0.001013*Constantes!$D$6/(0.622*G261)</f>
        <v>4.5075864751872197E-2</v>
      </c>
      <c r="I261" s="141">
        <f t="shared" si="21"/>
        <v>0.34434612138705856</v>
      </c>
      <c r="J261" s="141">
        <f t="shared" si="22"/>
        <v>5.963187154022892E-2</v>
      </c>
      <c r="K261" s="141">
        <f>(Constantes!$D$12/0.8)*(Constantes!$D$7*J261^2+Constantes!$D$8*J261+Constantes!$D$9)</f>
        <v>17.785679850278015</v>
      </c>
      <c r="L261" s="141">
        <f>(Constantes!$D$12/0.8)*(0.00376*D261^2-0.0516*D261-6.967)</f>
        <v>-4.3967906249999995</v>
      </c>
      <c r="M261" s="140">
        <f t="shared" si="23"/>
        <v>4.2429462820449517</v>
      </c>
      <c r="N261" s="12"/>
    </row>
    <row r="262" spans="2:14">
      <c r="B262" s="11"/>
      <c r="C262" s="65">
        <v>257</v>
      </c>
      <c r="D262" s="65">
        <f>(Observaciones!D262+Observaciones!E262)/2</f>
        <v>11.9</v>
      </c>
      <c r="E262" s="141">
        <f t="shared" si="18"/>
        <v>1.3940190963940859</v>
      </c>
      <c r="F262" s="141">
        <f t="shared" si="19"/>
        <v>9.1990843524687727E-2</v>
      </c>
      <c r="G262" s="141">
        <f t="shared" si="20"/>
        <v>2.4729041</v>
      </c>
      <c r="H262" s="141">
        <f>0.001013*Constantes!$D$6/(0.622*G262)</f>
        <v>4.506080212132469E-2</v>
      </c>
      <c r="I262" s="141">
        <f t="shared" si="21"/>
        <v>0.34199803993111727</v>
      </c>
      <c r="J262" s="141">
        <f t="shared" si="22"/>
        <v>5.2658004578105759E-2</v>
      </c>
      <c r="K262" s="141">
        <f>(Constantes!$D$12/0.8)*(Constantes!$D$7*J262^2+Constantes!$D$8*J262+Constantes!$D$9)</f>
        <v>17.839247966273007</v>
      </c>
      <c r="L262" s="141">
        <f>(Constantes!$D$12/0.8)*(0.00376*D262^2-0.0516*D262-6.967)</f>
        <v>-4.4053664999999995</v>
      </c>
      <c r="M262" s="140">
        <f t="shared" si="23"/>
        <v>4.2283018598336994</v>
      </c>
      <c r="N262" s="12"/>
    </row>
    <row r="263" spans="2:14">
      <c r="B263" s="11"/>
      <c r="C263" s="65">
        <v>258</v>
      </c>
      <c r="D263" s="65">
        <f>(Observaciones!D263+Observaciones!E263)/2</f>
        <v>11.75</v>
      </c>
      <c r="E263" s="141">
        <f t="shared" ref="E263:E326" si="24">EXP((16.78*D263-116.9)/(D263+237.3))</f>
        <v>1.3802776599471762</v>
      </c>
      <c r="F263" s="141">
        <f t="shared" ref="F263:F326" si="25">4098*E263/((D263+237.3)^2)</f>
        <v>9.1193801661548224E-2</v>
      </c>
      <c r="G263" s="141">
        <f t="shared" ref="G263:G326" si="26">2.501-0.002361*D263</f>
        <v>2.4732582499999998</v>
      </c>
      <c r="H263" s="141">
        <f>0.001013*Constantes!$D$6/(0.622*G263)</f>
        <v>4.5054349789437696E-2</v>
      </c>
      <c r="I263" s="141">
        <f t="shared" ref="I263:I326" si="27">IF(D263&gt;0,1.26*F263/(G263*(F263+H263)),0)</f>
        <v>0.34098539738615508</v>
      </c>
      <c r="J263" s="141">
        <f t="shared" ref="J263:J326" si="28">0.409*SIN(2*PI()*(C263-82)/365)</f>
        <v>4.5668533912773299E-2</v>
      </c>
      <c r="K263" s="141">
        <f>(Constantes!$D$12/0.8)*(Constantes!$D$7*J263^2+Constantes!$D$8*J263+Constantes!$D$9)</f>
        <v>17.892112011904764</v>
      </c>
      <c r="L263" s="141">
        <f>(Constantes!$D$12/0.8)*(0.00376*D263^2-0.0516*D263-6.967)</f>
        <v>-4.4088656249999998</v>
      </c>
      <c r="M263" s="140">
        <f t="shared" ref="M263:M326" si="29">IF(D263&gt;0,I263*(0.94*K263+L263),0)</f>
        <v>4.2315331918267436</v>
      </c>
      <c r="N263" s="12"/>
    </row>
    <row r="264" spans="2:14">
      <c r="B264" s="11"/>
      <c r="C264" s="65">
        <v>259</v>
      </c>
      <c r="D264" s="65">
        <f>(Observaciones!D264+Observaciones!E264)/2</f>
        <v>13.85</v>
      </c>
      <c r="E264" s="141">
        <f t="shared" si="24"/>
        <v>1.5839100041391287</v>
      </c>
      <c r="F264" s="141">
        <f t="shared" si="25"/>
        <v>0.10290490852509908</v>
      </c>
      <c r="G264" s="141">
        <f t="shared" si="26"/>
        <v>2.4683001499999997</v>
      </c>
      <c r="H264" s="141">
        <f>0.001013*Constantes!$D$6/(0.622*G264)</f>
        <v>4.5144850927109709E-2</v>
      </c>
      <c r="I264" s="141">
        <f t="shared" si="27"/>
        <v>0.35481417383138586</v>
      </c>
      <c r="J264" s="141">
        <f t="shared" si="28"/>
        <v>3.8665530675234434E-2</v>
      </c>
      <c r="K264" s="141">
        <f>(Constantes!$D$12/0.8)*(Constantes!$D$7*J264^2+Constantes!$D$8*J264+Constantes!$D$9)</f>
        <v>17.944251165243394</v>
      </c>
      <c r="L264" s="141">
        <f>(Constantes!$D$12/0.8)*(0.00376*D264^2-0.0516*D264-6.967)</f>
        <v>-4.3502546249999998</v>
      </c>
      <c r="M264" s="140">
        <f t="shared" si="29"/>
        <v>4.441330172360054</v>
      </c>
      <c r="N264" s="12"/>
    </row>
    <row r="265" spans="2:14">
      <c r="B265" s="11"/>
      <c r="C265" s="65">
        <v>260</v>
      </c>
      <c r="D265" s="65">
        <f>(Observaciones!D265+Observaciones!E265)/2</f>
        <v>13.9</v>
      </c>
      <c r="E265" s="141">
        <f t="shared" si="24"/>
        <v>1.589063588132779</v>
      </c>
      <c r="F265" s="141">
        <f t="shared" si="25"/>
        <v>0.10319863673742037</v>
      </c>
      <c r="G265" s="141">
        <f t="shared" si="26"/>
        <v>2.4681820999999999</v>
      </c>
      <c r="H265" s="141">
        <f>0.001013*Constantes!$D$6/(0.622*G265)</f>
        <v>4.5147010147716632E-2</v>
      </c>
      <c r="I265" s="141">
        <f t="shared" si="27"/>
        <v>0.35513420222442993</v>
      </c>
      <c r="J265" s="141">
        <f t="shared" si="28"/>
        <v>3.165107000648637E-2</v>
      </c>
      <c r="K265" s="141">
        <f>(Constantes!$D$12/0.8)*(Constantes!$D$7*J265^2+Constantes!$D$8*J265+Constantes!$D$9)</f>
        <v>17.995645544493641</v>
      </c>
      <c r="L265" s="141">
        <f>(Constantes!$D$12/0.8)*(0.00376*D265^2-0.0516*D265-6.967)</f>
        <v>-4.3486064999999998</v>
      </c>
      <c r="M265" s="140">
        <f t="shared" si="29"/>
        <v>4.4630781703544544</v>
      </c>
      <c r="N265" s="12"/>
    </row>
    <row r="266" spans="2:14">
      <c r="B266" s="11"/>
      <c r="C266" s="65">
        <v>261</v>
      </c>
      <c r="D266" s="65">
        <f>(Observaciones!D266+Observaciones!E266)/2</f>
        <v>13.25</v>
      </c>
      <c r="E266" s="141">
        <f t="shared" si="24"/>
        <v>1.5232012546387372</v>
      </c>
      <c r="F266" s="141">
        <f t="shared" si="25"/>
        <v>9.943526343834895E-2</v>
      </c>
      <c r="G266" s="141">
        <f t="shared" si="26"/>
        <v>2.4697167499999999</v>
      </c>
      <c r="H266" s="141">
        <f>0.001013*Constantes!$D$6/(0.622*G266)</f>
        <v>4.5118956380367316E-2</v>
      </c>
      <c r="I266" s="141">
        <f t="shared" si="27"/>
        <v>0.35094014605756357</v>
      </c>
      <c r="J266" s="141">
        <f t="shared" si="28"/>
        <v>2.4627230442609345E-2</v>
      </c>
      <c r="K266" s="141">
        <f>(Constantes!$D$12/0.8)*(Constantes!$D$7*J266^2+Constantes!$D$8*J266+Constantes!$D$9)</f>
        <v>18.04627621913891</v>
      </c>
      <c r="L266" s="141">
        <f>(Constantes!$D$12/0.8)*(0.00376*D266^2-0.0516*D266-6.967)</f>
        <v>-4.3691156249999992</v>
      </c>
      <c r="M266" s="140">
        <f t="shared" si="29"/>
        <v>4.4198749678314773</v>
      </c>
      <c r="N266" s="12"/>
    </row>
    <row r="267" spans="2:14">
      <c r="B267" s="11"/>
      <c r="C267" s="65">
        <v>262</v>
      </c>
      <c r="D267" s="65">
        <f>(Observaciones!D267+Observaciones!E267)/2</f>
        <v>14.45</v>
      </c>
      <c r="E267" s="141">
        <f t="shared" si="24"/>
        <v>1.6467315635702708</v>
      </c>
      <c r="F267" s="141">
        <f t="shared" si="25"/>
        <v>0.10647699979012407</v>
      </c>
      <c r="G267" s="141">
        <f t="shared" si="26"/>
        <v>2.4668835499999999</v>
      </c>
      <c r="H267" s="141">
        <f>0.001013*Constantes!$D$6/(0.622*G267)</f>
        <v>4.5170775213573627E-2</v>
      </c>
      <c r="I267" s="141">
        <f t="shared" si="27"/>
        <v>0.3586259064602611</v>
      </c>
      <c r="J267" s="141">
        <f t="shared" si="28"/>
        <v>1.7596093298853012E-2</v>
      </c>
      <c r="K267" s="141">
        <f>(Constantes!$D$12/0.8)*(Constantes!$D$7*J267^2+Constantes!$D$8*J267+Constantes!$D$9)</f>
        <v>18.096125219937498</v>
      </c>
      <c r="L267" s="141">
        <f>(Constantes!$D$12/0.8)*(0.00376*D267^2-0.0516*D267-6.967)</f>
        <v>-4.3297016250000002</v>
      </c>
      <c r="M267" s="140">
        <f t="shared" si="29"/>
        <v>4.5476117818252773</v>
      </c>
      <c r="N267" s="12"/>
    </row>
    <row r="268" spans="2:14">
      <c r="B268" s="11"/>
      <c r="C268" s="65">
        <v>263</v>
      </c>
      <c r="D268" s="65">
        <f>(Observaciones!D268+Observaciones!E268)/2</f>
        <v>15.399999999999999</v>
      </c>
      <c r="E268" s="141">
        <f t="shared" si="24"/>
        <v>1.7506725002961008</v>
      </c>
      <c r="F268" s="141">
        <f t="shared" si="25"/>
        <v>0.11234826761695367</v>
      </c>
      <c r="G268" s="141">
        <f t="shared" si="26"/>
        <v>2.4646406000000001</v>
      </c>
      <c r="H268" s="141">
        <f>0.001013*Constantes!$D$6/(0.622*G268)</f>
        <v>4.5211882947604011E-2</v>
      </c>
      <c r="I268" s="141">
        <f t="shared" si="27"/>
        <v>0.36453307555197856</v>
      </c>
      <c r="J268" s="141">
        <f t="shared" si="28"/>
        <v>1.055974205289743E-2</v>
      </c>
      <c r="K268" s="141">
        <f>(Constantes!$D$12/0.8)*(Constantes!$D$7*J268^2+Constantes!$D$8*J268+Constantes!$D$9)</f>
        <v>18.145175547762914</v>
      </c>
      <c r="L268" s="141">
        <f>(Constantes!$D$12/0.8)*(0.00376*D268^2-0.0516*D268-6.967)</f>
        <v>-4.2936990000000002</v>
      </c>
      <c r="M268" s="140">
        <f t="shared" si="29"/>
        <v>4.6524503479607233</v>
      </c>
      <c r="N268" s="12"/>
    </row>
    <row r="269" spans="2:14">
      <c r="B269" s="11"/>
      <c r="C269" s="65">
        <v>264</v>
      </c>
      <c r="D269" s="65">
        <f>(Observaciones!D269+Observaciones!E269)/2</f>
        <v>14.299999999999999</v>
      </c>
      <c r="E269" s="141">
        <f t="shared" si="24"/>
        <v>1.6308247208216091</v>
      </c>
      <c r="F269" s="141">
        <f t="shared" si="25"/>
        <v>0.10557424069306127</v>
      </c>
      <c r="G269" s="141">
        <f t="shared" si="26"/>
        <v>2.4672377000000001</v>
      </c>
      <c r="H269" s="141">
        <f>0.001013*Constantes!$D$6/(0.622*G269)</f>
        <v>4.5164291351057304E-2</v>
      </c>
      <c r="I269" s="141">
        <f t="shared" si="27"/>
        <v>0.35767883107392273</v>
      </c>
      <c r="J269" s="141">
        <f t="shared" si="28"/>
        <v>3.520261727473677E-3</v>
      </c>
      <c r="K269" s="141">
        <f>(Constantes!$D$12/0.8)*(Constantes!$D$7*J269^2+Constantes!$D$8*J269+Constantes!$D$9)</f>
        <v>18.193411181281434</v>
      </c>
      <c r="L269" s="141">
        <f>(Constantes!$D$12/0.8)*(0.00376*D269^2-0.0516*D269-6.967)</f>
        <v>-4.3349984999999993</v>
      </c>
      <c r="M269" s="140">
        <f t="shared" si="29"/>
        <v>4.5664169657066918</v>
      </c>
      <c r="N269" s="12"/>
    </row>
    <row r="270" spans="2:14">
      <c r="B270" s="11"/>
      <c r="C270" s="65">
        <v>265</v>
      </c>
      <c r="D270" s="65">
        <f>(Observaciones!D270+Observaciones!E270)/2</f>
        <v>13.35</v>
      </c>
      <c r="E270" s="141">
        <f t="shared" si="24"/>
        <v>1.5331752529723204</v>
      </c>
      <c r="F270" s="141">
        <f t="shared" si="25"/>
        <v>0.1000065250127139</v>
      </c>
      <c r="G270" s="141">
        <f t="shared" si="26"/>
        <v>2.4694806499999999</v>
      </c>
      <c r="H270" s="141">
        <f>0.001013*Constantes!$D$6/(0.622*G270)</f>
        <v>4.5123270075071269E-2</v>
      </c>
      <c r="I270" s="141">
        <f t="shared" si="27"/>
        <v>0.35159012797989159</v>
      </c>
      <c r="J270" s="141">
        <f t="shared" si="28"/>
        <v>-3.5202617274733955E-3</v>
      </c>
      <c r="K270" s="141">
        <f>(Constantes!$D$12/0.8)*(Constantes!$D$7*J270^2+Constantes!$D$8*J270+Constantes!$D$9)</f>
        <v>18.240817083461586</v>
      </c>
      <c r="L270" s="141">
        <f>(Constantes!$D$12/0.8)*(0.00376*D270^2-0.0516*D270-6.967)</f>
        <v>-4.3660896249999999</v>
      </c>
      <c r="M270" s="140">
        <f t="shared" si="29"/>
        <v>4.4934197300367016</v>
      </c>
      <c r="N270" s="12"/>
    </row>
    <row r="271" spans="2:14">
      <c r="B271" s="11"/>
      <c r="C271" s="65">
        <v>266</v>
      </c>
      <c r="D271" s="65">
        <f>(Observaciones!D271+Observaciones!E271)/2</f>
        <v>12</v>
      </c>
      <c r="E271" s="141">
        <f t="shared" si="24"/>
        <v>1.4032466788795555</v>
      </c>
      <c r="F271" s="141">
        <f t="shared" si="25"/>
        <v>9.2525495616340561E-2</v>
      </c>
      <c r="G271" s="141">
        <f t="shared" si="26"/>
        <v>2.4726680000000001</v>
      </c>
      <c r="H271" s="141">
        <f>0.001013*Constantes!$D$6/(0.622*G271)</f>
        <v>4.5065104702739119E-2</v>
      </c>
      <c r="I271" s="141">
        <f t="shared" si="27"/>
        <v>0.34267103098752799</v>
      </c>
      <c r="J271" s="141">
        <f t="shared" si="28"/>
        <v>-1.0559742052897147E-2</v>
      </c>
      <c r="K271" s="141">
        <f>(Constantes!$D$12/0.8)*(Constantes!$D$7*J271^2+Constantes!$D$8*J271+Constantes!$D$9)</f>
        <v>18.287379206911446</v>
      </c>
      <c r="L271" s="141">
        <f>(Constantes!$D$12/0.8)*(0.00376*D271^2-0.0516*D271-6.967)</f>
        <v>-4.4029749999999996</v>
      </c>
      <c r="M271" s="140">
        <f t="shared" si="29"/>
        <v>4.3817897990163823</v>
      </c>
      <c r="N271" s="12"/>
    </row>
    <row r="272" spans="2:14">
      <c r="B272" s="11"/>
      <c r="C272" s="65">
        <v>267</v>
      </c>
      <c r="D272" s="65">
        <f>(Observaciones!D272+Observaciones!E272)/2</f>
        <v>12.65</v>
      </c>
      <c r="E272" s="141">
        <f t="shared" si="24"/>
        <v>1.4645445530759136</v>
      </c>
      <c r="F272" s="141">
        <f t="shared" si="25"/>
        <v>9.6065679685328434E-2</v>
      </c>
      <c r="G272" s="141">
        <f t="shared" si="26"/>
        <v>2.4711333499999997</v>
      </c>
      <c r="H272" s="141">
        <f>0.001013*Constantes!$D$6/(0.622*G272)</f>
        <v>4.5093091522200757E-2</v>
      </c>
      <c r="I272" s="141">
        <f t="shared" si="27"/>
        <v>0.34700421800471326</v>
      </c>
      <c r="J272" s="141">
        <f t="shared" si="28"/>
        <v>-1.7596093298852908E-2</v>
      </c>
      <c r="K272" s="141">
        <f>(Constantes!$D$12/0.8)*(Constantes!$D$7*J272^2+Constantes!$D$8*J272+Constantes!$D$9)</f>
        <v>18.333084498041206</v>
      </c>
      <c r="L272" s="141">
        <f>(Constantes!$D$12/0.8)*(0.00376*D272^2-0.0516*D272-6.967)</f>
        <v>-4.386284625</v>
      </c>
      <c r="M272" s="140">
        <f t="shared" si="29"/>
        <v>4.4578989246214711</v>
      </c>
      <c r="N272" s="12"/>
    </row>
    <row r="273" spans="2:14">
      <c r="B273" s="11"/>
      <c r="C273" s="65">
        <v>268</v>
      </c>
      <c r="D273" s="65">
        <f>(Observaciones!D273+Observaciones!E273)/2</f>
        <v>12.6</v>
      </c>
      <c r="E273" s="141">
        <f t="shared" si="24"/>
        <v>1.4597472514986058</v>
      </c>
      <c r="F273" s="141">
        <f t="shared" si="25"/>
        <v>9.5789323919104052E-2</v>
      </c>
      <c r="G273" s="141">
        <f t="shared" si="26"/>
        <v>2.4712513999999999</v>
      </c>
      <c r="H273" s="141">
        <f>0.001013*Constantes!$D$6/(0.622*G273)</f>
        <v>4.5090937455862456E-2</v>
      </c>
      <c r="I273" s="141">
        <f t="shared" si="27"/>
        <v>0.34667344489607588</v>
      </c>
      <c r="J273" s="141">
        <f t="shared" si="28"/>
        <v>-2.4627230442609244E-2</v>
      </c>
      <c r="K273" s="141">
        <f>(Constantes!$D$12/0.8)*(Constantes!$D$7*J273^2+Constantes!$D$8*J273+Constantes!$D$9)</f>
        <v>18.377920900049681</v>
      </c>
      <c r="L273" s="141">
        <f>(Constantes!$D$12/0.8)*(0.00376*D273^2-0.0516*D273-6.967)</f>
        <v>-4.3876390000000001</v>
      </c>
      <c r="M273" s="140">
        <f t="shared" si="29"/>
        <v>4.4677909924505714</v>
      </c>
      <c r="N273" s="12"/>
    </row>
    <row r="274" spans="2:14">
      <c r="B274" s="11"/>
      <c r="C274" s="65">
        <v>269</v>
      </c>
      <c r="D274" s="65">
        <f>(Observaciones!D274+Observaciones!E274)/2</f>
        <v>12.2</v>
      </c>
      <c r="E274" s="141">
        <f t="shared" si="24"/>
        <v>1.421862932192234</v>
      </c>
      <c r="F274" s="141">
        <f t="shared" si="25"/>
        <v>9.3602745308232094E-2</v>
      </c>
      <c r="G274" s="141">
        <f t="shared" si="26"/>
        <v>2.4721957999999997</v>
      </c>
      <c r="H274" s="141">
        <f>0.001013*Constantes!$D$6/(0.622*G274)</f>
        <v>4.5073712331002484E-2</v>
      </c>
      <c r="I274" s="141">
        <f t="shared" si="27"/>
        <v>0.34401194911201238</v>
      </c>
      <c r="J274" s="141">
        <f t="shared" si="28"/>
        <v>-3.1651070006486454E-2</v>
      </c>
      <c r="K274" s="141">
        <f>(Constantes!$D$12/0.8)*(Constantes!$D$7*J274^2+Constantes!$D$8*J274+Constantes!$D$9)</f>
        <v>18.421877354735049</v>
      </c>
      <c r="L274" s="141">
        <f>(Constantes!$D$12/0.8)*(0.00376*D274^2-0.0516*D274-6.967)</f>
        <v>-4.3980509999999997</v>
      </c>
      <c r="M274" s="140">
        <f t="shared" si="29"/>
        <v>4.4441230821945208</v>
      </c>
      <c r="N274" s="12"/>
    </row>
    <row r="275" spans="2:14">
      <c r="B275" s="11"/>
      <c r="C275" s="65">
        <v>270</v>
      </c>
      <c r="D275" s="65">
        <f>(Observaciones!D275+Observaciones!E275)/2</f>
        <v>11.5</v>
      </c>
      <c r="E275" s="141">
        <f t="shared" si="24"/>
        <v>1.3576395793502862</v>
      </c>
      <c r="F275" s="141">
        <f t="shared" si="25"/>
        <v>8.9878474493928939E-2</v>
      </c>
      <c r="G275" s="141">
        <f t="shared" si="26"/>
        <v>2.4738484999999999</v>
      </c>
      <c r="H275" s="141">
        <f>0.001013*Constantes!$D$6/(0.622*G275)</f>
        <v>4.5043600008291752E-2</v>
      </c>
      <c r="I275" s="141">
        <f t="shared" si="27"/>
        <v>0.33928927202235942</v>
      </c>
      <c r="J275" s="141">
        <f t="shared" si="28"/>
        <v>-3.8665530675234525E-2</v>
      </c>
      <c r="K275" s="141">
        <f>(Constantes!$D$12/0.8)*(Constantes!$D$7*J275^2+Constantes!$D$8*J275+Constantes!$D$9)</f>
        <v>18.464943803131227</v>
      </c>
      <c r="L275" s="141">
        <f>(Constantes!$D$12/0.8)*(0.00376*D275^2-0.0516*D275-6.967)</f>
        <v>-4.4144625</v>
      </c>
      <c r="M275" s="140">
        <f t="shared" si="29"/>
        <v>4.3912801324492765</v>
      </c>
      <c r="N275" s="12"/>
    </row>
    <row r="276" spans="2:14">
      <c r="B276" s="11"/>
      <c r="C276" s="65">
        <v>271</v>
      </c>
      <c r="D276" s="65">
        <f>(Observaciones!D276+Observaciones!E276)/2</f>
        <v>12.35</v>
      </c>
      <c r="E276" s="141">
        <f t="shared" si="24"/>
        <v>1.4359671208266067</v>
      </c>
      <c r="F276" s="141">
        <f t="shared" si="25"/>
        <v>9.4417676614232629E-2</v>
      </c>
      <c r="G276" s="141">
        <f t="shared" si="26"/>
        <v>2.47184165</v>
      </c>
      <c r="H276" s="141">
        <f>0.001013*Constantes!$D$6/(0.622*G276)</f>
        <v>4.5080170210382423E-2</v>
      </c>
      <c r="I276" s="141">
        <f t="shared" si="27"/>
        <v>0.34501319460891361</v>
      </c>
      <c r="J276" s="141">
        <f t="shared" si="28"/>
        <v>-4.5668533912773021E-2</v>
      </c>
      <c r="K276" s="141">
        <f>(Constantes!$D$12/0.8)*(Constantes!$D$7*J276^2+Constantes!$D$8*J276+Constantes!$D$9)</f>
        <v>18.507111184972956</v>
      </c>
      <c r="L276" s="141">
        <f>(Constantes!$D$12/0.8)*(0.00376*D276^2-0.0516*D276-6.967)</f>
        <v>-4.3942346249999993</v>
      </c>
      <c r="M276" s="140">
        <f t="shared" si="29"/>
        <v>4.4860167739029322</v>
      </c>
      <c r="N276" s="12"/>
    </row>
    <row r="277" spans="2:14">
      <c r="B277" s="11"/>
      <c r="C277" s="65">
        <v>272</v>
      </c>
      <c r="D277" s="65">
        <f>(Observaciones!D277+Observaciones!E277)/2</f>
        <v>13.35</v>
      </c>
      <c r="E277" s="141">
        <f t="shared" si="24"/>
        <v>1.5331752529723204</v>
      </c>
      <c r="F277" s="141">
        <f t="shared" si="25"/>
        <v>0.1000065250127139</v>
      </c>
      <c r="G277" s="141">
        <f t="shared" si="26"/>
        <v>2.4694806499999999</v>
      </c>
      <c r="H277" s="141">
        <f>0.001013*Constantes!$D$6/(0.622*G277)</f>
        <v>4.5123270075071269E-2</v>
      </c>
      <c r="I277" s="141">
        <f t="shared" si="27"/>
        <v>0.35159012797989159</v>
      </c>
      <c r="J277" s="141">
        <f t="shared" si="28"/>
        <v>-5.2658004578105488E-2</v>
      </c>
      <c r="K277" s="141">
        <f>(Constantes!$D$12/0.8)*(Constantes!$D$7*J277^2+Constantes!$D$8*J277+Constantes!$D$9)</f>
        <v>18.548371436993797</v>
      </c>
      <c r="L277" s="141">
        <f>(Constantes!$D$12/0.8)*(0.00376*D277^2-0.0516*D277-6.967)</f>
        <v>-4.3660896249999999</v>
      </c>
      <c r="M277" s="140">
        <f t="shared" si="29"/>
        <v>4.5950648200847137</v>
      </c>
      <c r="N277" s="12"/>
    </row>
    <row r="278" spans="2:14">
      <c r="B278" s="11"/>
      <c r="C278" s="65">
        <v>273</v>
      </c>
      <c r="D278" s="65">
        <f>(Observaciones!D278+Observaciones!E278)/2</f>
        <v>14.55</v>
      </c>
      <c r="E278" s="141">
        <f t="shared" si="24"/>
        <v>1.6574115820276645</v>
      </c>
      <c r="F278" s="141">
        <f t="shared" si="25"/>
        <v>0.10708247809803828</v>
      </c>
      <c r="G278" s="141">
        <f t="shared" si="26"/>
        <v>2.46664745</v>
      </c>
      <c r="H278" s="141">
        <f>0.001013*Constantes!$D$6/(0.622*G278)</f>
        <v>4.5175098822943884E-2</v>
      </c>
      <c r="I278" s="141">
        <f t="shared" si="27"/>
        <v>0.35925511691610273</v>
      </c>
      <c r="J278" s="141">
        <f t="shared" si="28"/>
        <v>-5.9631871540228636E-2</v>
      </c>
      <c r="K278" s="141">
        <f>(Constantes!$D$12/0.8)*(Constantes!$D$7*J278^2+Constantes!$D$8*J278+Constantes!$D$9)</f>
        <v>18.588717490062894</v>
      </c>
      <c r="L278" s="141">
        <f>(Constantes!$D$12/0.8)*(0.00376*D278^2-0.0516*D278-6.967)</f>
        <v>-4.3261116249999993</v>
      </c>
      <c r="M278" s="140">
        <f t="shared" si="29"/>
        <v>4.7232286250686863</v>
      </c>
      <c r="N278" s="12"/>
    </row>
    <row r="279" spans="2:14">
      <c r="B279" s="11"/>
      <c r="C279" s="65">
        <v>274</v>
      </c>
      <c r="D279" s="65">
        <f>(Observaciones!D279+Observaciones!E279)/2</f>
        <v>13.35</v>
      </c>
      <c r="E279" s="141">
        <f t="shared" si="24"/>
        <v>1.5331752529723204</v>
      </c>
      <c r="F279" s="141">
        <f t="shared" si="25"/>
        <v>0.1000065250127139</v>
      </c>
      <c r="G279" s="141">
        <f t="shared" si="26"/>
        <v>2.4694806499999999</v>
      </c>
      <c r="H279" s="141">
        <f>0.001013*Constantes!$D$6/(0.622*G279)</f>
        <v>4.5123270075071269E-2</v>
      </c>
      <c r="I279" s="141">
        <f t="shared" si="27"/>
        <v>0.35159012797989159</v>
      </c>
      <c r="J279" s="141">
        <f t="shared" si="28"/>
        <v>-6.6588068291853222E-2</v>
      </c>
      <c r="K279" s="141">
        <f>(Constantes!$D$12/0.8)*(Constantes!$D$7*J279^2+Constantes!$D$8*J279+Constantes!$D$9)</f>
        <v>18.628143265167381</v>
      </c>
      <c r="L279" s="141">
        <f>(Constantes!$D$12/0.8)*(0.00376*D279^2-0.0516*D279-6.967)</f>
        <v>-4.3660896249999999</v>
      </c>
      <c r="M279" s="140">
        <f t="shared" si="29"/>
        <v>4.6214289881248511</v>
      </c>
      <c r="N279" s="12"/>
    </row>
    <row r="280" spans="2:14">
      <c r="B280" s="11"/>
      <c r="C280" s="65">
        <v>275</v>
      </c>
      <c r="D280" s="65">
        <f>(Observaciones!D280+Observaciones!E280)/2</f>
        <v>14.5</v>
      </c>
      <c r="E280" s="141">
        <f t="shared" si="24"/>
        <v>1.6520640028566567</v>
      </c>
      <c r="F280" s="141">
        <f t="shared" si="25"/>
        <v>0.10677937410937641</v>
      </c>
      <c r="G280" s="141">
        <f t="shared" si="26"/>
        <v>2.4667654999999997</v>
      </c>
      <c r="H280" s="141">
        <f>0.001013*Constantes!$D$6/(0.622*G280)</f>
        <v>4.5172936914803029E-2</v>
      </c>
      <c r="I280" s="141">
        <f t="shared" si="27"/>
        <v>0.35894072909367275</v>
      </c>
      <c r="J280" s="141">
        <f t="shared" si="28"/>
        <v>-7.352453356175491E-2</v>
      </c>
      <c r="K280" s="141">
        <f>(Constantes!$D$12/0.8)*(Constantes!$D$7*J280^2+Constantes!$D$8*J280+Constantes!$D$9)</f>
        <v>18.66664366824908</v>
      </c>
      <c r="L280" s="141">
        <f>(Constantes!$D$12/0.8)*(0.00376*D280^2-0.0516*D280-6.967)</f>
        <v>-4.3279125000000001</v>
      </c>
      <c r="M280" s="140">
        <f t="shared" si="29"/>
        <v>4.7447414985287075</v>
      </c>
      <c r="N280" s="12"/>
    </row>
    <row r="281" spans="2:14">
      <c r="B281" s="11"/>
      <c r="C281" s="65">
        <v>276</v>
      </c>
      <c r="D281" s="65">
        <f>(Observaciones!D281+Observaciones!E281)/2</f>
        <v>14.05</v>
      </c>
      <c r="E281" s="141">
        <f t="shared" si="24"/>
        <v>1.604612725353836</v>
      </c>
      <c r="F281" s="141">
        <f t="shared" si="25"/>
        <v>0.10408410376289531</v>
      </c>
      <c r="G281" s="141">
        <f t="shared" si="26"/>
        <v>2.4678279499999998</v>
      </c>
      <c r="H281" s="141">
        <f>0.001013*Constantes!$D$6/(0.622*G281)</f>
        <v>4.5153489048988422E-2</v>
      </c>
      <c r="I281" s="141">
        <f t="shared" si="27"/>
        <v>0.35609168948623277</v>
      </c>
      <c r="J281" s="141">
        <f t="shared" si="28"/>
        <v>-8.0439211925572671E-2</v>
      </c>
      <c r="K281" s="141">
        <f>(Constantes!$D$12/0.8)*(Constantes!$D$7*J281^2+Constantes!$D$8*J281+Constantes!$D$9)</f>
        <v>18.704214583905081</v>
      </c>
      <c r="L281" s="141">
        <f>(Constantes!$D$12/0.8)*(0.00376*D281^2-0.0516*D281-6.967)</f>
        <v>-4.3435916249999993</v>
      </c>
      <c r="M281" s="140">
        <f t="shared" si="29"/>
        <v>4.7140735692095461</v>
      </c>
      <c r="N281" s="12"/>
    </row>
    <row r="282" spans="2:14">
      <c r="B282" s="11"/>
      <c r="C282" s="65">
        <v>277</v>
      </c>
      <c r="D282" s="65">
        <f>(Observaciones!D282+Observaciones!E282)/2</f>
        <v>9.15</v>
      </c>
      <c r="E282" s="141">
        <f t="shared" si="24"/>
        <v>1.1602772175252039</v>
      </c>
      <c r="F282" s="141">
        <f t="shared" si="25"/>
        <v>7.8284552595211263E-2</v>
      </c>
      <c r="G282" s="141">
        <f t="shared" si="26"/>
        <v>2.4793968500000001</v>
      </c>
      <c r="H282" s="141">
        <f>0.001013*Constantes!$D$6/(0.622*G282)</f>
        <v>4.4942802244470274E-2</v>
      </c>
      <c r="I282" s="141">
        <f t="shared" si="27"/>
        <v>0.3228445413311169</v>
      </c>
      <c r="J282" s="141">
        <f t="shared" si="28"/>
        <v>-8.7330054414876512E-2</v>
      </c>
      <c r="K282" s="141">
        <f>(Constantes!$D$12/0.8)*(Constantes!$D$7*J282^2+Constantes!$D$8*J282+Constantes!$D$9)</f>
        <v>18.740852867963497</v>
      </c>
      <c r="L282" s="141">
        <f>(Constantes!$D$12/0.8)*(0.00376*D282^2-0.0516*D282-6.967)</f>
        <v>-4.4527146249999996</v>
      </c>
      <c r="M282" s="140">
        <f t="shared" si="29"/>
        <v>4.2498245146264431</v>
      </c>
      <c r="N282" s="12"/>
    </row>
    <row r="283" spans="2:14">
      <c r="B283" s="11"/>
      <c r="C283" s="65">
        <v>278</v>
      </c>
      <c r="D283" s="65">
        <f>(Observaciones!D283+Observaciones!E283)/2</f>
        <v>14.5</v>
      </c>
      <c r="E283" s="141">
        <f t="shared" si="24"/>
        <v>1.6520640028566567</v>
      </c>
      <c r="F283" s="141">
        <f t="shared" si="25"/>
        <v>0.10677937410937641</v>
      </c>
      <c r="G283" s="141">
        <f t="shared" si="26"/>
        <v>2.4667654999999997</v>
      </c>
      <c r="H283" s="141">
        <f>0.001013*Constantes!$D$6/(0.622*G283)</f>
        <v>4.5172936914803029E-2</v>
      </c>
      <c r="I283" s="141">
        <f t="shared" si="27"/>
        <v>0.35894072909367275</v>
      </c>
      <c r="J283" s="141">
        <f t="shared" si="28"/>
        <v>-9.4195019124320281E-2</v>
      </c>
      <c r="K283" s="141">
        <f>(Constantes!$D$12/0.8)*(Constantes!$D$7*J283^2+Constantes!$D$8*J283+Constantes!$D$9)</f>
        <v>18.776556338946683</v>
      </c>
      <c r="L283" s="141">
        <f>(Constantes!$D$12/0.8)*(0.00376*D283^2-0.0516*D283-6.967)</f>
        <v>-4.3279125000000001</v>
      </c>
      <c r="M283" s="140">
        <f t="shared" si="29"/>
        <v>4.7818265046361281</v>
      </c>
      <c r="N283" s="12"/>
    </row>
    <row r="284" spans="2:14">
      <c r="B284" s="11"/>
      <c r="C284" s="65">
        <v>279</v>
      </c>
      <c r="D284" s="65">
        <f>(Observaciones!D284+Observaciones!E284)/2</f>
        <v>13.5</v>
      </c>
      <c r="E284" s="141">
        <f t="shared" si="24"/>
        <v>1.5482437315899678</v>
      </c>
      <c r="F284" s="141">
        <f t="shared" si="25"/>
        <v>0.10086865272047608</v>
      </c>
      <c r="G284" s="141">
        <f t="shared" si="26"/>
        <v>2.4691264999999998</v>
      </c>
      <c r="H284" s="141">
        <f>0.001013*Constantes!$D$6/(0.622*G284)</f>
        <v>4.512974216392418E-2</v>
      </c>
      <c r="I284" s="141">
        <f t="shared" si="27"/>
        <v>0.35256187200074002</v>
      </c>
      <c r="J284" s="141">
        <f t="shared" si="28"/>
        <v>-0.10103207181670253</v>
      </c>
      <c r="K284" s="141">
        <f>(Constantes!$D$12/0.8)*(Constantes!$D$7*J284^2+Constantes!$D$8*J284+Constantes!$D$9)</f>
        <v>18.811323768435788</v>
      </c>
      <c r="L284" s="141">
        <f>(Constantes!$D$12/0.8)*(0.00376*D284^2-0.0516*D284-6.967)</f>
        <v>-4.3614625</v>
      </c>
      <c r="M284" s="140">
        <f t="shared" si="29"/>
        <v>4.6965408075940038</v>
      </c>
      <c r="N284" s="12"/>
    </row>
    <row r="285" spans="2:14">
      <c r="B285" s="11"/>
      <c r="C285" s="65">
        <v>280</v>
      </c>
      <c r="D285" s="65">
        <f>(Observaciones!D285+Observaciones!E285)/2</f>
        <v>12.7</v>
      </c>
      <c r="E285" s="141">
        <f t="shared" si="24"/>
        <v>1.4693556920806219</v>
      </c>
      <c r="F285" s="141">
        <f t="shared" si="25"/>
        <v>9.6342714018342213E-2</v>
      </c>
      <c r="G285" s="141">
        <f t="shared" si="26"/>
        <v>2.4710152999999999</v>
      </c>
      <c r="H285" s="141">
        <f>0.001013*Constantes!$D$6/(0.622*G285)</f>
        <v>4.5095245794355275E-2</v>
      </c>
      <c r="I285" s="141">
        <f t="shared" si="27"/>
        <v>0.34733456468782936</v>
      </c>
      <c r="J285" s="141">
        <f t="shared" si="28"/>
        <v>-0.10783918652575494</v>
      </c>
      <c r="K285" s="141">
        <f>(Constantes!$D$12/0.8)*(Constantes!$D$7*J285^2+Constantes!$D$8*J285+Constantes!$D$9)</f>
        <v>18.845154870351635</v>
      </c>
      <c r="L285" s="141">
        <f>(Constantes!$D$12/0.8)*(0.00376*D285^2-0.0516*D285-6.967)</f>
        <v>-4.3849184999999995</v>
      </c>
      <c r="M285" s="140">
        <f t="shared" si="29"/>
        <v>4.629805485177104</v>
      </c>
      <c r="N285" s="12"/>
    </row>
    <row r="286" spans="2:14">
      <c r="B286" s="11"/>
      <c r="C286" s="65">
        <v>281</v>
      </c>
      <c r="D286" s="65">
        <f>(Observaciones!D286+Observaciones!E286)/2</f>
        <v>9.9</v>
      </c>
      <c r="E286" s="141">
        <f t="shared" si="24"/>
        <v>1.2203261059395465</v>
      </c>
      <c r="F286" s="141">
        <f t="shared" si="25"/>
        <v>8.1837230413319473E-2</v>
      </c>
      <c r="G286" s="141">
        <f t="shared" si="26"/>
        <v>2.4776260999999997</v>
      </c>
      <c r="H286" s="141">
        <f>0.001013*Constantes!$D$6/(0.622*G286)</f>
        <v>4.4974922695201085E-2</v>
      </c>
      <c r="I286" s="141">
        <f t="shared" si="27"/>
        <v>0.3281896076316444</v>
      </c>
      <c r="J286" s="141">
        <f t="shared" si="28"/>
        <v>-0.11461434615647936</v>
      </c>
      <c r="K286" s="141">
        <f>(Constantes!$D$12/0.8)*(Constantes!$D$7*J286^2+Constantes!$D$8*J286+Constantes!$D$9)</f>
        <v>18.878050289168236</v>
      </c>
      <c r="L286" s="141">
        <f>(Constantes!$D$12/0.8)*(0.00376*D286^2-0.0516*D286-6.967)</f>
        <v>-4.4433264999999995</v>
      </c>
      <c r="M286" s="140">
        <f t="shared" si="29"/>
        <v>4.3655915416031315</v>
      </c>
      <c r="N286" s="12"/>
    </row>
    <row r="287" spans="2:14">
      <c r="B287" s="11"/>
      <c r="C287" s="65">
        <v>282</v>
      </c>
      <c r="D287" s="65">
        <f>(Observaciones!D287+Observaciones!E287)/2</f>
        <v>13.3</v>
      </c>
      <c r="E287" s="141">
        <f t="shared" si="24"/>
        <v>1.5281811116551587</v>
      </c>
      <c r="F287" s="141">
        <f t="shared" si="25"/>
        <v>9.9720546117296777E-2</v>
      </c>
      <c r="G287" s="141">
        <f t="shared" si="26"/>
        <v>2.4695986999999997</v>
      </c>
      <c r="H287" s="141">
        <f>0.001013*Constantes!$D$6/(0.622*G287)</f>
        <v>4.5121113124619215E-2</v>
      </c>
      <c r="I287" s="141">
        <f t="shared" si="27"/>
        <v>0.35126535211020804</v>
      </c>
      <c r="J287" s="141">
        <f t="shared" si="28"/>
        <v>-0.12135554308285744</v>
      </c>
      <c r="K287" s="141">
        <f>(Constantes!$D$12/0.8)*(Constantes!$D$7*J287^2+Constantes!$D$8*J287+Constantes!$D$9)</f>
        <v>18.910011587076482</v>
      </c>
      <c r="L287" s="141">
        <f>(Constantes!$D$12/0.8)*(0.00376*D287^2-0.0516*D287-6.967)</f>
        <v>-4.3676084999999993</v>
      </c>
      <c r="M287" s="140">
        <f t="shared" si="29"/>
        <v>4.7096964281979439</v>
      </c>
      <c r="N287" s="12"/>
    </row>
    <row r="288" spans="2:14">
      <c r="B288" s="11"/>
      <c r="C288" s="65">
        <v>283</v>
      </c>
      <c r="D288" s="65">
        <f>(Observaciones!D288+Observaciones!E288)/2</f>
        <v>12.5</v>
      </c>
      <c r="E288" s="141">
        <f t="shared" si="24"/>
        <v>1.4501940250881777</v>
      </c>
      <c r="F288" s="141">
        <f t="shared" si="25"/>
        <v>9.5238642712590429E-2</v>
      </c>
      <c r="G288" s="141">
        <f t="shared" si="26"/>
        <v>2.4714874999999998</v>
      </c>
      <c r="H288" s="141">
        <f>0.001013*Constantes!$D$6/(0.622*G288)</f>
        <v>4.5086629940516605E-2</v>
      </c>
      <c r="I288" s="141">
        <f t="shared" si="27"/>
        <v>0.34601062071581223</v>
      </c>
      <c r="J288" s="141">
        <f t="shared" si="28"/>
        <v>-0.12806077974275312</v>
      </c>
      <c r="K288" s="141">
        <f>(Constantes!$D$12/0.8)*(Constantes!$D$7*J288^2+Constantes!$D$8*J288+Constantes!$D$9)</f>
        <v>18.941041230116905</v>
      </c>
      <c r="L288" s="141">
        <f>(Constantes!$D$12/0.8)*(0.00376*D288^2-0.0516*D288-6.967)</f>
        <v>-4.3903125000000003</v>
      </c>
      <c r="M288" s="140">
        <f t="shared" si="29"/>
        <v>4.6414785937929599</v>
      </c>
      <c r="N288" s="12"/>
    </row>
    <row r="289" spans="2:14">
      <c r="B289" s="11"/>
      <c r="C289" s="65">
        <v>284</v>
      </c>
      <c r="D289" s="65">
        <f>(Observaciones!D289+Observaciones!E289)/2</f>
        <v>13.4</v>
      </c>
      <c r="E289" s="141">
        <f t="shared" si="24"/>
        <v>1.5381837134420713</v>
      </c>
      <c r="F289" s="141">
        <f t="shared" si="25"/>
        <v>0.10029320149589299</v>
      </c>
      <c r="G289" s="141">
        <f t="shared" si="26"/>
        <v>2.4693625999999997</v>
      </c>
      <c r="H289" s="141">
        <f>0.001013*Constantes!$D$6/(0.622*G289)</f>
        <v>4.5125427231753057E-2</v>
      </c>
      <c r="I289" s="141">
        <f t="shared" si="27"/>
        <v>0.35191447341494769</v>
      </c>
      <c r="J289" s="141">
        <f t="shared" si="28"/>
        <v>-0.13472806922983283</v>
      </c>
      <c r="K289" s="141">
        <f>(Constantes!$D$12/0.8)*(Constantes!$D$7*J289^2+Constantes!$D$8*J289+Constantes!$D$9)</f>
        <v>18.971142573301336</v>
      </c>
      <c r="L289" s="141">
        <f>(Constantes!$D$12/0.8)*(0.00376*D289^2-0.0516*D289-6.967)</f>
        <v>-4.3645589999999999</v>
      </c>
      <c r="M289" s="140">
        <f t="shared" si="29"/>
        <v>4.7396949876639702</v>
      </c>
      <c r="N289" s="12"/>
    </row>
    <row r="290" spans="2:14">
      <c r="B290" s="11"/>
      <c r="C290" s="65">
        <v>285</v>
      </c>
      <c r="D290" s="65">
        <f>(Observaciones!D290+Observaciones!E290)/2</f>
        <v>13.75</v>
      </c>
      <c r="E290" s="141">
        <f t="shared" si="24"/>
        <v>1.5736468149943981</v>
      </c>
      <c r="F290" s="141">
        <f t="shared" si="25"/>
        <v>0.10231958493462359</v>
      </c>
      <c r="G290" s="141">
        <f t="shared" si="26"/>
        <v>2.4685362500000001</v>
      </c>
      <c r="H290" s="141">
        <f>0.001013*Constantes!$D$6/(0.622*G290)</f>
        <v>4.5140533105443567E-2</v>
      </c>
      <c r="I290" s="141">
        <f t="shared" si="27"/>
        <v>0.35417281924860555</v>
      </c>
      <c r="J290" s="141">
        <f t="shared" si="28"/>
        <v>-0.14135543588232991</v>
      </c>
      <c r="K290" s="141">
        <f>(Constantes!$D$12/0.8)*(Constantes!$D$7*J290^2+Constantes!$D$8*J290+Constantes!$D$9)</f>
        <v>19.000319844744823</v>
      </c>
      <c r="L290" s="141">
        <f>(Constantes!$D$12/0.8)*(0.00376*D290^2-0.0516*D290-6.967)</f>
        <v>-4.353515625</v>
      </c>
      <c r="M290" s="140">
        <f t="shared" si="29"/>
        <v>4.7837361327270855</v>
      </c>
      <c r="N290" s="12"/>
    </row>
    <row r="291" spans="2:14">
      <c r="B291" s="11"/>
      <c r="C291" s="65">
        <v>286</v>
      </c>
      <c r="D291" s="65">
        <f>(Observaciones!D291+Observaciones!E291)/2</f>
        <v>11.4</v>
      </c>
      <c r="E291" s="141">
        <f t="shared" si="24"/>
        <v>1.3486760963347784</v>
      </c>
      <c r="F291" s="141">
        <f t="shared" si="25"/>
        <v>8.9356889727344888E-2</v>
      </c>
      <c r="G291" s="141">
        <f t="shared" si="26"/>
        <v>2.4740845999999999</v>
      </c>
      <c r="H291" s="141">
        <f>0.001013*Constantes!$D$6/(0.622*G291)</f>
        <v>4.5039301532014117E-2</v>
      </c>
      <c r="I291" s="141">
        <f t="shared" si="27"/>
        <v>0.33860789639405336</v>
      </c>
      <c r="J291" s="141">
        <f t="shared" si="28"/>
        <v>-0.14794091586847485</v>
      </c>
      <c r="K291" s="141">
        <f>(Constantes!$D$12/0.8)*(Constantes!$D$7*J291^2+Constantes!$D$8*J291+Constantes!$D$9)</f>
        <v>19.028578128829981</v>
      </c>
      <c r="L291" s="141">
        <f>(Constantes!$D$12/0.8)*(0.00376*D291^2-0.0516*D291-6.967)</f>
        <v>-4.4166189999999999</v>
      </c>
      <c r="M291" s="140">
        <f t="shared" si="29"/>
        <v>4.5611311341146239</v>
      </c>
      <c r="N291" s="12"/>
    </row>
    <row r="292" spans="2:14">
      <c r="B292" s="11"/>
      <c r="C292" s="65">
        <v>287</v>
      </c>
      <c r="D292" s="65">
        <f>(Observaciones!D292+Observaciones!E292)/2</f>
        <v>13.1</v>
      </c>
      <c r="E292" s="141">
        <f t="shared" si="24"/>
        <v>1.5083470419027751</v>
      </c>
      <c r="F292" s="141">
        <f t="shared" si="25"/>
        <v>9.8583579016665535E-2</v>
      </c>
      <c r="G292" s="141">
        <f t="shared" si="26"/>
        <v>2.4700709000000001</v>
      </c>
      <c r="H292" s="141">
        <f>0.001013*Constantes!$D$6/(0.622*G292)</f>
        <v>4.5112487384516987E-2</v>
      </c>
      <c r="I292" s="141">
        <f t="shared" si="27"/>
        <v>0.34996194939764519</v>
      </c>
      <c r="J292" s="141">
        <f t="shared" si="28"/>
        <v>-0.15448255776842154</v>
      </c>
      <c r="K292" s="141">
        <f>(Constantes!$D$12/0.8)*(Constantes!$D$7*J292^2+Constantes!$D$8*J292+Constantes!$D$9)</f>
        <v>19.055923348427321</v>
      </c>
      <c r="L292" s="141">
        <f>(Constantes!$D$12/0.8)*(0.00376*D292^2-0.0516*D292-6.967)</f>
        <v>-4.3735664999999999</v>
      </c>
      <c r="M292" s="140">
        <f t="shared" si="29"/>
        <v>4.7381353394722279</v>
      </c>
      <c r="N292" s="12"/>
    </row>
    <row r="293" spans="2:14">
      <c r="B293" s="11"/>
      <c r="C293" s="65">
        <v>288</v>
      </c>
      <c r="D293" s="65">
        <f>(Observaciones!D293+Observaciones!E293)/2</f>
        <v>13.95</v>
      </c>
      <c r="E293" s="141">
        <f t="shared" si="24"/>
        <v>1.5942318792002568</v>
      </c>
      <c r="F293" s="141">
        <f t="shared" si="25"/>
        <v>0.10349307775094918</v>
      </c>
      <c r="G293" s="141">
        <f t="shared" si="26"/>
        <v>2.4680640499999997</v>
      </c>
      <c r="H293" s="141">
        <f>0.001013*Constantes!$D$6/(0.622*G293)</f>
        <v>4.514916957487896E-2</v>
      </c>
      <c r="I293" s="141">
        <f t="shared" si="27"/>
        <v>0.35545379775699454</v>
      </c>
      <c r="J293" s="141">
        <f t="shared" si="28"/>
        <v>-0.16097842315249478</v>
      </c>
      <c r="K293" s="141">
        <f>(Constantes!$D$12/0.8)*(Constantes!$D$7*J293^2+Constantes!$D$8*J293+Constantes!$D$9)</f>
        <v>19.082362246196098</v>
      </c>
      <c r="L293" s="141">
        <f>(Constantes!$D$12/0.8)*(0.00376*D293^2-0.0516*D293-6.967)</f>
        <v>-4.3469466250000002</v>
      </c>
      <c r="M293" s="140">
        <f t="shared" si="29"/>
        <v>4.8307855562467896</v>
      </c>
      <c r="N293" s="12"/>
    </row>
    <row r="294" spans="2:14">
      <c r="B294" s="11"/>
      <c r="C294" s="65">
        <v>289</v>
      </c>
      <c r="D294" s="65">
        <f>(Observaciones!D294+Observaciones!E294)/2</f>
        <v>14.8</v>
      </c>
      <c r="E294" s="141">
        <f t="shared" si="24"/>
        <v>1.6843778570488643</v>
      </c>
      <c r="F294" s="141">
        <f t="shared" si="25"/>
        <v>0.10860899280138459</v>
      </c>
      <c r="G294" s="141">
        <f t="shared" si="26"/>
        <v>2.4660571999999998</v>
      </c>
      <c r="H294" s="141">
        <f>0.001013*Constantes!$D$6/(0.622*G294)</f>
        <v>4.5185911468360318E-2</v>
      </c>
      <c r="I294" s="141">
        <f t="shared" si="27"/>
        <v>0.36082052945585191</v>
      </c>
      <c r="J294" s="141">
        <f t="shared" si="28"/>
        <v>-0.16742658715558903</v>
      </c>
      <c r="K294" s="141">
        <f>(Constantes!$D$12/0.8)*(Constantes!$D$7*J294^2+Constantes!$D$8*J294+Constantes!$D$9)</f>
        <v>19.10790236499129</v>
      </c>
      <c r="L294" s="141">
        <f>(Constantes!$D$12/0.8)*(0.00376*D294^2-0.0516*D294-6.967)</f>
        <v>-4.3169310000000003</v>
      </c>
      <c r="M294" s="140">
        <f t="shared" si="29"/>
        <v>4.9232147121948886</v>
      </c>
      <c r="N294" s="12"/>
    </row>
    <row r="295" spans="2:14">
      <c r="B295" s="11"/>
      <c r="C295" s="65">
        <v>290</v>
      </c>
      <c r="D295" s="65">
        <f>(Observaciones!D295+Observaciones!E295)/2</f>
        <v>14.8</v>
      </c>
      <c r="E295" s="141">
        <f t="shared" si="24"/>
        <v>1.6843778570488643</v>
      </c>
      <c r="F295" s="141">
        <f t="shared" si="25"/>
        <v>0.10860899280138459</v>
      </c>
      <c r="G295" s="141">
        <f t="shared" si="26"/>
        <v>2.4660571999999998</v>
      </c>
      <c r="H295" s="141">
        <f>0.001013*Constantes!$D$6/(0.622*G295)</f>
        <v>4.5185911468360318E-2</v>
      </c>
      <c r="I295" s="141">
        <f t="shared" si="27"/>
        <v>0.36082052945585191</v>
      </c>
      <c r="J295" s="141">
        <f t="shared" si="28"/>
        <v>-0.17382513904754754</v>
      </c>
      <c r="K295" s="141">
        <f>(Constantes!$D$12/0.8)*(Constantes!$D$7*J295^2+Constantes!$D$8*J295+Constantes!$D$9)</f>
        <v>19.132552027403367</v>
      </c>
      <c r="L295" s="141">
        <f>(Constantes!$D$12/0.8)*(0.00376*D295^2-0.0516*D295-6.967)</f>
        <v>-4.3169310000000003</v>
      </c>
      <c r="M295" s="140">
        <f t="shared" si="29"/>
        <v>4.9315751701827759</v>
      </c>
      <c r="N295" s="12"/>
    </row>
    <row r="296" spans="2:14">
      <c r="B296" s="11"/>
      <c r="C296" s="65">
        <v>291</v>
      </c>
      <c r="D296" s="65">
        <f>(Observaciones!D296+Observaciones!E296)/2</f>
        <v>13.45</v>
      </c>
      <c r="E296" s="141">
        <f t="shared" si="24"/>
        <v>1.5432065279848868</v>
      </c>
      <c r="F296" s="141">
        <f t="shared" si="25"/>
        <v>0.1005805769400801</v>
      </c>
      <c r="G296" s="141">
        <f t="shared" si="26"/>
        <v>2.46924455</v>
      </c>
      <c r="H296" s="141">
        <f>0.001013*Constantes!$D$6/(0.622*G296)</f>
        <v>4.5127584594694167E-2</v>
      </c>
      <c r="I296" s="141">
        <f t="shared" si="27"/>
        <v>0.35223838816895903</v>
      </c>
      <c r="J296" s="141">
        <f t="shared" si="28"/>
        <v>-0.18017218279935251</v>
      </c>
      <c r="K296" s="141">
        <f>(Constantes!$D$12/0.8)*(Constantes!$D$7*J296^2+Constantes!$D$8*J296+Constantes!$D$9)</f>
        <v>19.156320314458515</v>
      </c>
      <c r="L296" s="141">
        <f>(Constantes!$D$12/0.8)*(0.00376*D296^2-0.0516*D296-6.967)</f>
        <v>-4.3630166249999993</v>
      </c>
      <c r="M296" s="140">
        <f t="shared" si="29"/>
        <v>4.8059139638199921</v>
      </c>
      <c r="N296" s="12"/>
    </row>
    <row r="297" spans="2:14">
      <c r="B297" s="11"/>
      <c r="C297" s="65">
        <v>292</v>
      </c>
      <c r="D297" s="65">
        <f>(Observaciones!D297+Observaciones!E297)/2</f>
        <v>13.75</v>
      </c>
      <c r="E297" s="141">
        <f t="shared" si="24"/>
        <v>1.5736468149943981</v>
      </c>
      <c r="F297" s="141">
        <f t="shared" si="25"/>
        <v>0.10231958493462359</v>
      </c>
      <c r="G297" s="141">
        <f t="shared" si="26"/>
        <v>2.4685362500000001</v>
      </c>
      <c r="H297" s="141">
        <f>0.001013*Constantes!$D$6/(0.622*G297)</f>
        <v>4.5140533105443567E-2</v>
      </c>
      <c r="I297" s="141">
        <f t="shared" si="27"/>
        <v>0.35417281924860555</v>
      </c>
      <c r="J297" s="141">
        <f t="shared" si="28"/>
        <v>-0.18646583764495972</v>
      </c>
      <c r="K297" s="141">
        <f>(Constantes!$D$12/0.8)*(Constantes!$D$7*J297^2+Constantes!$D$8*J297+Constantes!$D$9)</f>
        <v>19.179217043507954</v>
      </c>
      <c r="L297" s="141">
        <f>(Constantes!$D$12/0.8)*(0.00376*D297^2-0.0516*D297-6.967)</f>
        <v>-4.353515625</v>
      </c>
      <c r="M297" s="140">
        <f t="shared" si="29"/>
        <v>4.8432950264542054</v>
      </c>
      <c r="N297" s="12"/>
    </row>
    <row r="298" spans="2:14">
      <c r="B298" s="11"/>
      <c r="C298" s="65">
        <v>293</v>
      </c>
      <c r="D298" s="65">
        <f>(Observaciones!D298+Observaciones!E298)/2</f>
        <v>12.7</v>
      </c>
      <c r="E298" s="141">
        <f t="shared" si="24"/>
        <v>1.4693556920806219</v>
      </c>
      <c r="F298" s="141">
        <f t="shared" si="25"/>
        <v>9.6342714018342213E-2</v>
      </c>
      <c r="G298" s="141">
        <f t="shared" si="26"/>
        <v>2.4710152999999999</v>
      </c>
      <c r="H298" s="141">
        <f>0.001013*Constantes!$D$6/(0.622*G298)</f>
        <v>4.5095245794355275E-2</v>
      </c>
      <c r="I298" s="141">
        <f t="shared" si="27"/>
        <v>0.34733456468782936</v>
      </c>
      <c r="J298" s="141">
        <f t="shared" si="28"/>
        <v>-0.19270423863861033</v>
      </c>
      <c r="K298" s="141">
        <f>(Constantes!$D$12/0.8)*(Constantes!$D$7*J298^2+Constantes!$D$8*J298+Constantes!$D$9)</f>
        <v>19.201252745335921</v>
      </c>
      <c r="L298" s="141">
        <f>(Constantes!$D$12/0.8)*(0.00376*D298^2-0.0516*D298-6.967)</f>
        <v>-4.3849184999999995</v>
      </c>
      <c r="M298" s="140">
        <f t="shared" si="29"/>
        <v>4.7460694795473968</v>
      </c>
      <c r="N298" s="12"/>
    </row>
    <row r="299" spans="2:14">
      <c r="B299" s="11"/>
      <c r="C299" s="65">
        <v>294</v>
      </c>
      <c r="D299" s="65">
        <f>(Observaciones!D299+Observaciones!E299)/2</f>
        <v>13.65</v>
      </c>
      <c r="E299" s="141">
        <f t="shared" si="24"/>
        <v>1.5634420277037249</v>
      </c>
      <c r="F299" s="141">
        <f t="shared" si="25"/>
        <v>0.1017370958602755</v>
      </c>
      <c r="G299" s="141">
        <f t="shared" si="26"/>
        <v>2.4687723500000001</v>
      </c>
      <c r="H299" s="141">
        <f>0.001013*Constantes!$D$6/(0.622*G299)</f>
        <v>4.5136216109643537E-2</v>
      </c>
      <c r="I299" s="141">
        <f t="shared" si="27"/>
        <v>0.35352973562893358</v>
      </c>
      <c r="J299" s="141">
        <f t="shared" si="28"/>
        <v>-0.19888553720745428</v>
      </c>
      <c r="K299" s="141">
        <f>(Constantes!$D$12/0.8)*(Constantes!$D$7*J299^2+Constantes!$D$8*J299+Constantes!$D$9)</f>
        <v>19.22243864051676</v>
      </c>
      <c r="L299" s="141">
        <f>(Constantes!$D$12/0.8)*(0.00376*D299^2-0.0516*D299-6.967)</f>
        <v>-4.3567296249999998</v>
      </c>
      <c r="M299" s="140">
        <f t="shared" si="29"/>
        <v>4.8477279591487781</v>
      </c>
      <c r="N299" s="12"/>
    </row>
    <row r="300" spans="2:14">
      <c r="B300" s="11"/>
      <c r="C300" s="65">
        <v>295</v>
      </c>
      <c r="D300" s="65">
        <f>(Observaciones!D300+Observaciones!E300)/2</f>
        <v>14.05</v>
      </c>
      <c r="E300" s="141">
        <f t="shared" si="24"/>
        <v>1.604612725353836</v>
      </c>
      <c r="F300" s="141">
        <f t="shared" si="25"/>
        <v>0.10408410376289531</v>
      </c>
      <c r="G300" s="141">
        <f t="shared" si="26"/>
        <v>2.4678279499999998</v>
      </c>
      <c r="H300" s="141">
        <f>0.001013*Constantes!$D$6/(0.622*G300)</f>
        <v>4.5153489048988422E-2</v>
      </c>
      <c r="I300" s="141">
        <f t="shared" si="27"/>
        <v>0.35609168948623277</v>
      </c>
      <c r="J300" s="141">
        <f t="shared" si="28"/>
        <v>-0.2050079016993222</v>
      </c>
      <c r="K300" s="141">
        <f>(Constantes!$D$12/0.8)*(Constantes!$D$7*J300^2+Constantes!$D$8*J300+Constantes!$D$9)</f>
        <v>19.242786615052502</v>
      </c>
      <c r="L300" s="141">
        <f>(Constantes!$D$12/0.8)*(0.00376*D300^2-0.0516*D300-6.967)</f>
        <v>-4.3435916249999993</v>
      </c>
      <c r="M300" s="140">
        <f t="shared" si="29"/>
        <v>4.8943477322219842</v>
      </c>
      <c r="N300" s="12"/>
    </row>
    <row r="301" spans="2:14">
      <c r="B301" s="11"/>
      <c r="C301" s="65">
        <v>296</v>
      </c>
      <c r="D301" s="65">
        <f>(Observaciones!D301+Observaciones!E301)/2</f>
        <v>14.600000000000001</v>
      </c>
      <c r="E301" s="141">
        <f t="shared" si="24"/>
        <v>1.662774337609296</v>
      </c>
      <c r="F301" s="141">
        <f t="shared" si="25"/>
        <v>0.10738631317466249</v>
      </c>
      <c r="G301" s="141">
        <f t="shared" si="26"/>
        <v>2.4665293999999998</v>
      </c>
      <c r="H301" s="141">
        <f>0.001013*Constantes!$D$6/(0.622*G301)</f>
        <v>4.5177260938025939E-2</v>
      </c>
      <c r="I301" s="141">
        <f t="shared" si="27"/>
        <v>0.35956906979682202</v>
      </c>
      <c r="J301" s="141">
        <f t="shared" si="28"/>
        <v>-0.2110695179254837</v>
      </c>
      <c r="K301" s="141">
        <f>(Constantes!$D$12/0.8)*(Constantes!$D$7*J301^2+Constantes!$D$8*J301+Constantes!$D$9)</f>
        <v>19.262309195323006</v>
      </c>
      <c r="L301" s="141">
        <f>(Constantes!$D$12/0.8)*(0.00376*D301^2-0.0516*D301-6.967)</f>
        <v>-4.3242989999999999</v>
      </c>
      <c r="M301" s="140">
        <f t="shared" si="29"/>
        <v>4.9556785945776731</v>
      </c>
      <c r="N301" s="12"/>
    </row>
    <row r="302" spans="2:14">
      <c r="B302" s="11"/>
      <c r="C302" s="65">
        <v>297</v>
      </c>
      <c r="D302" s="65">
        <f>(Observaciones!D302+Observaciones!E302)/2</f>
        <v>11.3</v>
      </c>
      <c r="E302" s="141">
        <f t="shared" si="24"/>
        <v>1.3397646526819857</v>
      </c>
      <c r="F302" s="141">
        <f t="shared" si="25"/>
        <v>8.8837887126731518E-2</v>
      </c>
      <c r="G302" s="141">
        <f t="shared" si="26"/>
        <v>2.4743206999999998</v>
      </c>
      <c r="H302" s="141">
        <f>0.001013*Constantes!$D$6/(0.622*G302)</f>
        <v>4.5035003876058806E-2</v>
      </c>
      <c r="I302" s="141">
        <f t="shared" si="27"/>
        <v>0.33792485453988758</v>
      </c>
      <c r="J302" s="141">
        <f t="shared" si="28"/>
        <v>-0.21706858969823065</v>
      </c>
      <c r="K302" s="141">
        <f>(Constantes!$D$12/0.8)*(Constantes!$D$7*J302^2+Constantes!$D$8*J302+Constantes!$D$9)</f>
        <v>19.281019522381676</v>
      </c>
      <c r="L302" s="141">
        <f>(Constantes!$D$12/0.8)*(0.00376*D302^2-0.0516*D302-6.967)</f>
        <v>-4.4187285000000003</v>
      </c>
      <c r="M302" s="140">
        <f t="shared" si="29"/>
        <v>4.6314053888189113</v>
      </c>
      <c r="N302" s="12"/>
    </row>
    <row r="303" spans="2:14">
      <c r="B303" s="11"/>
      <c r="C303" s="65">
        <v>298</v>
      </c>
      <c r="D303" s="65">
        <f>(Observaciones!D303+Observaciones!E303)/2</f>
        <v>11.45</v>
      </c>
      <c r="E303" s="141">
        <f t="shared" si="24"/>
        <v>1.3531513167724236</v>
      </c>
      <c r="F303" s="141">
        <f t="shared" si="25"/>
        <v>8.9617358691077773E-2</v>
      </c>
      <c r="G303" s="141">
        <f t="shared" si="26"/>
        <v>2.4739665500000001</v>
      </c>
      <c r="H303" s="141">
        <f>0.001013*Constantes!$D$6/(0.622*G303)</f>
        <v>4.504145066759796E-2</v>
      </c>
      <c r="I303" s="141">
        <f t="shared" si="27"/>
        <v>0.33894879271912193</v>
      </c>
      <c r="J303" s="141">
        <f t="shared" si="28"/>
        <v>-0.22300333936312614</v>
      </c>
      <c r="K303" s="141">
        <f>(Constantes!$D$12/0.8)*(Constantes!$D$7*J303^2+Constantes!$D$8*J303+Constantes!$D$9)</f>
        <v>19.298931325630409</v>
      </c>
      <c r="L303" s="141">
        <f>(Constantes!$D$12/0.8)*(0.00376*D303^2-0.0516*D303-6.967)</f>
        <v>-4.4155466249999993</v>
      </c>
      <c r="M303" s="140">
        <f t="shared" si="29"/>
        <v>4.652224307437427</v>
      </c>
      <c r="N303" s="12"/>
    </row>
    <row r="304" spans="2:14">
      <c r="B304" s="11"/>
      <c r="C304" s="65">
        <v>299</v>
      </c>
      <c r="D304" s="65">
        <f>(Observaciones!D304+Observaciones!E304)/2</f>
        <v>12.9</v>
      </c>
      <c r="E304" s="141">
        <f t="shared" si="24"/>
        <v>1.4887393027557323</v>
      </c>
      <c r="F304" s="141">
        <f t="shared" si="25"/>
        <v>9.7457663967834368E-2</v>
      </c>
      <c r="G304" s="141">
        <f t="shared" si="26"/>
        <v>2.4705431</v>
      </c>
      <c r="H304" s="141">
        <f>0.001013*Constantes!$D$6/(0.622*G304)</f>
        <v>4.5103864941725781E-2</v>
      </c>
      <c r="I304" s="141">
        <f t="shared" si="27"/>
        <v>0.34865168081674919</v>
      </c>
      <c r="J304" s="141">
        <f t="shared" si="28"/>
        <v>-0.22887200832576207</v>
      </c>
      <c r="K304" s="141">
        <f>(Constantes!$D$12/0.8)*(Constantes!$D$7*J304^2+Constantes!$D$8*J304+Constantes!$D$9)</f>
        <v>19.316058895908128</v>
      </c>
      <c r="L304" s="141">
        <f>(Constantes!$D$12/0.8)*(0.00376*D304^2-0.0516*D304-6.967)</f>
        <v>-4.3793364999999991</v>
      </c>
      <c r="M304" s="140">
        <f t="shared" si="29"/>
        <v>4.8036387851777285</v>
      </c>
      <c r="N304" s="12"/>
    </row>
    <row r="305" spans="2:14">
      <c r="B305" s="11"/>
      <c r="C305" s="65">
        <v>300</v>
      </c>
      <c r="D305" s="65">
        <f>(Observaciones!D305+Observaciones!E305)/2</f>
        <v>14.35</v>
      </c>
      <c r="E305" s="141">
        <f t="shared" si="24"/>
        <v>1.6361119589017179</v>
      </c>
      <c r="F305" s="141">
        <f t="shared" si="25"/>
        <v>0.10587443449555982</v>
      </c>
      <c r="G305" s="141">
        <f t="shared" si="26"/>
        <v>2.4671196499999999</v>
      </c>
      <c r="H305" s="141">
        <f>0.001013*Constantes!$D$6/(0.622*G305)</f>
        <v>4.5166452431730474E-2</v>
      </c>
      <c r="I305" s="141">
        <f t="shared" si="27"/>
        <v>0.35799495730755543</v>
      </c>
      <c r="J305" s="141">
        <f t="shared" si="28"/>
        <v>-0.23467285757286865</v>
      </c>
      <c r="K305" s="141">
        <f>(Constantes!$D$12/0.8)*(Constantes!$D$7*J305^2+Constantes!$D$8*J305+Constantes!$D$9)</f>
        <v>19.332417058028007</v>
      </c>
      <c r="L305" s="141">
        <f>(Constantes!$D$12/0.8)*(0.00376*D305^2-0.0516*D305-6.967)</f>
        <v>-4.3332446249999998</v>
      </c>
      <c r="M305" s="140">
        <f t="shared" si="29"/>
        <v>4.9543736256500877</v>
      </c>
      <c r="N305" s="12"/>
    </row>
    <row r="306" spans="2:14">
      <c r="B306" s="11"/>
      <c r="C306" s="65">
        <v>301</v>
      </c>
      <c r="D306" s="65">
        <f>(Observaciones!D306+Observaciones!E306)/2</f>
        <v>15.75</v>
      </c>
      <c r="E306" s="141">
        <f t="shared" si="24"/>
        <v>1.7903914829906238</v>
      </c>
      <c r="F306" s="141">
        <f t="shared" si="25"/>
        <v>0.11457959266903198</v>
      </c>
      <c r="G306" s="141">
        <f t="shared" si="26"/>
        <v>2.46381425</v>
      </c>
      <c r="H306" s="141">
        <f>0.001013*Constantes!$D$6/(0.622*G306)</f>
        <v>4.5227046769094927E-2</v>
      </c>
      <c r="I306" s="141">
        <f t="shared" si="27"/>
        <v>0.36666971208022214</v>
      </c>
      <c r="J306" s="141">
        <f t="shared" si="28"/>
        <v>-0.24040416818762159</v>
      </c>
      <c r="K306" s="141">
        <f>(Constantes!$D$12/0.8)*(Constantes!$D$7*J306^2+Constantes!$D$8*J306+Constantes!$D$9)</f>
        <v>19.348021142799002</v>
      </c>
      <c r="L306" s="141">
        <f>(Constantes!$D$12/0.8)*(0.00376*D306^2-0.0516*D306-6.967)</f>
        <v>-4.2793656250000005</v>
      </c>
      <c r="M306" s="140">
        <f t="shared" si="29"/>
        <v>5.099559579642281</v>
      </c>
      <c r="N306" s="12"/>
    </row>
    <row r="307" spans="2:14">
      <c r="B307" s="11"/>
      <c r="C307" s="65">
        <v>302</v>
      </c>
      <c r="D307" s="65">
        <f>(Observaciones!D307+Observaciones!E307)/2</f>
        <v>15.6</v>
      </c>
      <c r="E307" s="141">
        <f t="shared" si="24"/>
        <v>1.7732733774914811</v>
      </c>
      <c r="F307" s="141">
        <f t="shared" si="25"/>
        <v>0.11361874538407207</v>
      </c>
      <c r="G307" s="141">
        <f t="shared" si="26"/>
        <v>2.4641683999999997</v>
      </c>
      <c r="H307" s="141">
        <f>0.001013*Constantes!$D$6/(0.622*G307)</f>
        <v>4.522054674311729E-2</v>
      </c>
      <c r="I307" s="141">
        <f t="shared" si="27"/>
        <v>0.36575663025648686</v>
      </c>
      <c r="J307" s="141">
        <f t="shared" si="28"/>
        <v>-0.24606424185899337</v>
      </c>
      <c r="K307" s="141">
        <f>(Constantes!$D$12/0.8)*(Constantes!$D$7*J307^2+Constantes!$D$8*J307+Constantes!$D$9)</f>
        <v>19.362886958567977</v>
      </c>
      <c r="L307" s="141">
        <f>(Constantes!$D$12/0.8)*(0.00376*D307^2-0.0516*D307-6.967)</f>
        <v>-4.2855790000000002</v>
      </c>
      <c r="M307" s="140">
        <f t="shared" si="29"/>
        <v>5.0896990951049483</v>
      </c>
      <c r="N307" s="12"/>
    </row>
    <row r="308" spans="2:14">
      <c r="B308" s="11"/>
      <c r="C308" s="65">
        <v>303</v>
      </c>
      <c r="D308" s="65">
        <f>(Observaciones!D308+Observaciones!E308)/2</f>
        <v>14.15</v>
      </c>
      <c r="E308" s="141">
        <f t="shared" si="24"/>
        <v>1.6150528288927855</v>
      </c>
      <c r="F308" s="141">
        <f t="shared" si="25"/>
        <v>0.10467799774317721</v>
      </c>
      <c r="G308" s="141">
        <f t="shared" si="26"/>
        <v>2.4675918499999998</v>
      </c>
      <c r="H308" s="141">
        <f>0.001013*Constantes!$D$6/(0.622*G308)</f>
        <v>4.5157809349675282E-2</v>
      </c>
      <c r="I308" s="141">
        <f t="shared" si="27"/>
        <v>0.35672784756039339</v>
      </c>
      <c r="J308" s="141">
        <f t="shared" si="28"/>
        <v>-0.25165140138500103</v>
      </c>
      <c r="K308" s="141">
        <f>(Constantes!$D$12/0.8)*(Constantes!$D$7*J308^2+Constantes!$D$8*J308+Constantes!$D$9)</f>
        <v>19.377030762319141</v>
      </c>
      <c r="L308" s="141">
        <f>(Constantes!$D$12/0.8)*(0.00376*D308^2-0.0516*D308-6.967)</f>
        <v>-4.3401896249999998</v>
      </c>
      <c r="M308" s="140">
        <f t="shared" si="29"/>
        <v>4.9493203844662164</v>
      </c>
      <c r="N308" s="12"/>
    </row>
    <row r="309" spans="2:14">
      <c r="B309" s="11"/>
      <c r="C309" s="65">
        <v>304</v>
      </c>
      <c r="D309" s="65">
        <f>(Observaciones!D309+Observaciones!E309)/2</f>
        <v>14.9</v>
      </c>
      <c r="E309" s="141">
        <f t="shared" si="24"/>
        <v>1.6952716301356707</v>
      </c>
      <c r="F309" s="141">
        <f t="shared" si="25"/>
        <v>0.10922475617100802</v>
      </c>
      <c r="G309" s="141">
        <f t="shared" si="26"/>
        <v>2.4658210999999999</v>
      </c>
      <c r="H309" s="141">
        <f>0.001013*Constantes!$D$6/(0.622*G309)</f>
        <v>4.5190237975947463E-2</v>
      </c>
      <c r="I309" s="141">
        <f t="shared" si="27"/>
        <v>0.36144364658766281</v>
      </c>
      <c r="J309" s="141">
        <f t="shared" si="28"/>
        <v>-0.25716399116969629</v>
      </c>
      <c r="K309" s="141">
        <f>(Constantes!$D$12/0.8)*(Constantes!$D$7*J309^2+Constantes!$D$8*J309+Constantes!$D$9)</f>
        <v>19.390469230368165</v>
      </c>
      <c r="L309" s="141">
        <f>(Constantes!$D$12/0.8)*(0.00376*D309^2-0.0516*D309-6.967)</f>
        <v>-4.3131765</v>
      </c>
      <c r="M309" s="140">
        <f t="shared" si="29"/>
        <v>5.0290779506737193</v>
      </c>
      <c r="N309" s="12"/>
    </row>
    <row r="310" spans="2:14">
      <c r="B310" s="11"/>
      <c r="C310" s="65">
        <v>305</v>
      </c>
      <c r="D310" s="65">
        <f>(Observaciones!D310+Observaciones!E310)/2</f>
        <v>14.5</v>
      </c>
      <c r="E310" s="141">
        <f t="shared" si="24"/>
        <v>1.6520640028566567</v>
      </c>
      <c r="F310" s="141">
        <f t="shared" si="25"/>
        <v>0.10677937410937641</v>
      </c>
      <c r="G310" s="141">
        <f t="shared" si="26"/>
        <v>2.4667654999999997</v>
      </c>
      <c r="H310" s="141">
        <f>0.001013*Constantes!$D$6/(0.622*G310)</f>
        <v>4.5172936914803029E-2</v>
      </c>
      <c r="I310" s="141">
        <f t="shared" si="27"/>
        <v>0.35894072909367275</v>
      </c>
      <c r="J310" s="141">
        <f t="shared" si="28"/>
        <v>-0.2626003777137545</v>
      </c>
      <c r="K310" s="141">
        <f>(Constantes!$D$12/0.8)*(Constantes!$D$7*J310^2+Constantes!$D$8*J310+Constantes!$D$9)</f>
        <v>19.403219428688548</v>
      </c>
      <c r="L310" s="141">
        <f>(Constantes!$D$12/0.8)*(0.00376*D310^2-0.0516*D310-6.967)</f>
        <v>-4.3279125000000001</v>
      </c>
      <c r="M310" s="140">
        <f t="shared" si="29"/>
        <v>4.993265316584484</v>
      </c>
      <c r="N310" s="12"/>
    </row>
    <row r="311" spans="2:14">
      <c r="B311" s="11"/>
      <c r="C311" s="65">
        <v>306</v>
      </c>
      <c r="D311" s="65">
        <f>(Observaciones!D311+Observaciones!E311)/2</f>
        <v>14.6</v>
      </c>
      <c r="E311" s="141">
        <f t="shared" si="24"/>
        <v>1.6627743376092956</v>
      </c>
      <c r="F311" s="141">
        <f t="shared" si="25"/>
        <v>0.10738631317466246</v>
      </c>
      <c r="G311" s="141">
        <f t="shared" si="26"/>
        <v>2.4665293999999998</v>
      </c>
      <c r="H311" s="141">
        <f>0.001013*Constantes!$D$6/(0.622*G311)</f>
        <v>4.5177260938025939E-2</v>
      </c>
      <c r="I311" s="141">
        <f t="shared" si="27"/>
        <v>0.35956906979682196</v>
      </c>
      <c r="J311" s="141">
        <f t="shared" si="28"/>
        <v>-0.26795895009851578</v>
      </c>
      <c r="K311" s="141">
        <f>(Constantes!$D$12/0.8)*(Constantes!$D$7*J311^2+Constantes!$D$8*J311+Constantes!$D$9)</f>
        <v>19.415298782908465</v>
      </c>
      <c r="L311" s="141">
        <f>(Constantes!$D$12/0.8)*(0.00376*D311^2-0.0516*D311-6.967)</f>
        <v>-4.3242989999999999</v>
      </c>
      <c r="M311" s="140">
        <f t="shared" si="29"/>
        <v>5.0073882988525718</v>
      </c>
      <c r="N311" s="12"/>
    </row>
    <row r="312" spans="2:14">
      <c r="B312" s="11"/>
      <c r="C312" s="65">
        <v>307</v>
      </c>
      <c r="D312" s="65">
        <f>(Observaciones!D312+Observaciones!E312)/2</f>
        <v>15</v>
      </c>
      <c r="E312" s="141">
        <f t="shared" si="24"/>
        <v>1.7062271396379793</v>
      </c>
      <c r="F312" s="141">
        <f t="shared" si="25"/>
        <v>0.10984348383671551</v>
      </c>
      <c r="G312" s="141">
        <f t="shared" si="26"/>
        <v>2.4655849999999999</v>
      </c>
      <c r="H312" s="141">
        <f>0.001013*Constantes!$D$6/(0.622*G312)</f>
        <v>4.5194565312131819E-2</v>
      </c>
      <c r="I312" s="141">
        <f t="shared" si="27"/>
        <v>0.36206502083102154</v>
      </c>
      <c r="J312" s="141">
        <f t="shared" si="28"/>
        <v>-0.27323812046333507</v>
      </c>
      <c r="K312" s="141">
        <f>(Constantes!$D$12/0.8)*(Constantes!$D$7*J312^2+Constantes!$D$8*J312+Constantes!$D$9)</f>
        <v>19.426725048016468</v>
      </c>
      <c r="L312" s="141">
        <f>(Constantes!$D$12/0.8)*(0.00376*D312^2-0.0516*D312-6.967)</f>
        <v>-4.3093749999999993</v>
      </c>
      <c r="M312" s="140">
        <f t="shared" si="29"/>
        <v>5.0514394034936112</v>
      </c>
      <c r="N312" s="12"/>
    </row>
    <row r="313" spans="2:14">
      <c r="B313" s="11"/>
      <c r="C313" s="65">
        <v>308</v>
      </c>
      <c r="D313" s="65">
        <f>(Observaciones!D313+Observaciones!E313)/2</f>
        <v>14.25</v>
      </c>
      <c r="E313" s="141">
        <f t="shared" si="24"/>
        <v>1.6255524772300411</v>
      </c>
      <c r="F313" s="141">
        <f t="shared" si="25"/>
        <v>0.10527477090559632</v>
      </c>
      <c r="G313" s="141">
        <f t="shared" si="26"/>
        <v>2.4673557499999998</v>
      </c>
      <c r="H313" s="141">
        <f>0.001013*Constantes!$D$6/(0.622*G313)</f>
        <v>4.5162130477176848E-2</v>
      </c>
      <c r="I313" s="141">
        <f t="shared" si="27"/>
        <v>0.35736227060066839</v>
      </c>
      <c r="J313" s="141">
        <f t="shared" si="28"/>
        <v>-0.27843632447609956</v>
      </c>
      <c r="K313" s="141">
        <f>(Constantes!$D$12/0.8)*(Constantes!$D$7*J313^2+Constantes!$D$8*J313+Constantes!$D$9)</f>
        <v>19.437516277814861</v>
      </c>
      <c r="L313" s="141">
        <f>(Constantes!$D$12/0.8)*(0.00376*D313^2-0.0516*D313-6.967)</f>
        <v>-4.3367406249999991</v>
      </c>
      <c r="M313" s="140">
        <f t="shared" si="29"/>
        <v>4.9796733780085676</v>
      </c>
      <c r="N313" s="12"/>
    </row>
    <row r="314" spans="2:14">
      <c r="B314" s="11"/>
      <c r="C314" s="65">
        <v>309</v>
      </c>
      <c r="D314" s="65">
        <f>(Observaciones!D314+Observaciones!E314)/2</f>
        <v>15.6</v>
      </c>
      <c r="E314" s="141">
        <f t="shared" si="24"/>
        <v>1.7732733774914811</v>
      </c>
      <c r="F314" s="141">
        <f t="shared" si="25"/>
        <v>0.11361874538407207</v>
      </c>
      <c r="G314" s="141">
        <f t="shared" si="26"/>
        <v>2.4641683999999997</v>
      </c>
      <c r="H314" s="141">
        <f>0.001013*Constantes!$D$6/(0.622*G314)</f>
        <v>4.522054674311729E-2</v>
      </c>
      <c r="I314" s="141">
        <f t="shared" si="27"/>
        <v>0.36575663025648686</v>
      </c>
      <c r="J314" s="141">
        <f t="shared" si="28"/>
        <v>-0.28355202179677363</v>
      </c>
      <c r="K314" s="141">
        <f>(Constantes!$D$12/0.8)*(Constantes!$D$7*J314^2+Constantes!$D$8*J314+Constantes!$D$9)</f>
        <v>19.447690794159705</v>
      </c>
      <c r="L314" s="141">
        <f>(Constantes!$D$12/0.8)*(0.00376*D314^2-0.0516*D314-6.967)</f>
        <v>-4.2855790000000002</v>
      </c>
      <c r="M314" s="140">
        <f t="shared" si="29"/>
        <v>5.1188556063354715</v>
      </c>
      <c r="N314" s="12"/>
    </row>
    <row r="315" spans="2:14">
      <c r="B315" s="11"/>
      <c r="C315" s="65">
        <v>310</v>
      </c>
      <c r="D315" s="65">
        <f>(Observaciones!D315+Observaciones!E315)/2</f>
        <v>15</v>
      </c>
      <c r="E315" s="141">
        <f t="shared" si="24"/>
        <v>1.7062271396379793</v>
      </c>
      <c r="F315" s="141">
        <f t="shared" si="25"/>
        <v>0.10984348383671551</v>
      </c>
      <c r="G315" s="141">
        <f t="shared" si="26"/>
        <v>2.4655849999999999</v>
      </c>
      <c r="H315" s="141">
        <f>0.001013*Constantes!$D$6/(0.622*G315)</f>
        <v>4.5194565312131819E-2</v>
      </c>
      <c r="I315" s="141">
        <f t="shared" si="27"/>
        <v>0.36206502083102154</v>
      </c>
      <c r="J315" s="141">
        <f t="shared" si="28"/>
        <v>-0.28858369653383553</v>
      </c>
      <c r="K315" s="141">
        <f>(Constantes!$D$12/0.8)*(Constantes!$D$7*J315^2+Constantes!$D$8*J315+Constantes!$D$9)</f>
        <v>19.457267156026766</v>
      </c>
      <c r="L315" s="141">
        <f>(Constantes!$D$12/0.8)*(0.00376*D315^2-0.0516*D315-6.967)</f>
        <v>-4.3093749999999993</v>
      </c>
      <c r="M315" s="140">
        <f t="shared" si="29"/>
        <v>5.0618341387282042</v>
      </c>
      <c r="N315" s="12"/>
    </row>
    <row r="316" spans="2:14">
      <c r="B316" s="11"/>
      <c r="C316" s="65">
        <v>311</v>
      </c>
      <c r="D316" s="65">
        <f>(Observaciones!D316+Observaciones!E316)/2</f>
        <v>14.75</v>
      </c>
      <c r="E316" s="141">
        <f t="shared" si="24"/>
        <v>1.6789540291434102</v>
      </c>
      <c r="F316" s="141">
        <f t="shared" si="25"/>
        <v>0.10830221914763835</v>
      </c>
      <c r="G316" s="141">
        <f t="shared" si="26"/>
        <v>2.46617525</v>
      </c>
      <c r="H316" s="141">
        <f>0.001013*Constantes!$D$6/(0.622*G316)</f>
        <v>4.5183748525216338E-2</v>
      </c>
      <c r="I316" s="141">
        <f t="shared" si="27"/>
        <v>0.36050831755341328</v>
      </c>
      <c r="J316" s="141">
        <f t="shared" si="28"/>
        <v>-0.29352985769346823</v>
      </c>
      <c r="K316" s="141">
        <f>(Constantes!$D$12/0.8)*(Constantes!$D$7*J316^2+Constantes!$D$8*J316+Constantes!$D$9)</f>
        <v>19.46626412844271</v>
      </c>
      <c r="L316" s="141">
        <f>(Constantes!$D$12/0.8)*(0.00376*D316^2-0.0516*D316-6.967)</f>
        <v>-4.3187906250000001</v>
      </c>
      <c r="M316" s="140">
        <f t="shared" si="29"/>
        <v>5.039725180111323</v>
      </c>
      <c r="N316" s="12"/>
    </row>
    <row r="317" spans="2:14">
      <c r="B317" s="11"/>
      <c r="C317" s="65">
        <v>312</v>
      </c>
      <c r="D317" s="65">
        <f>(Observaciones!D317+Observaciones!E317)/2</f>
        <v>14.75</v>
      </c>
      <c r="E317" s="141">
        <f t="shared" si="24"/>
        <v>1.6789540291434102</v>
      </c>
      <c r="F317" s="141">
        <f t="shared" si="25"/>
        <v>0.10830221914763835</v>
      </c>
      <c r="G317" s="141">
        <f t="shared" si="26"/>
        <v>2.46617525</v>
      </c>
      <c r="H317" s="141">
        <f>0.001013*Constantes!$D$6/(0.622*G317)</f>
        <v>4.5183748525216338E-2</v>
      </c>
      <c r="I317" s="141">
        <f t="shared" si="27"/>
        <v>0.36050831755341328</v>
      </c>
      <c r="J317" s="141">
        <f t="shared" si="28"/>
        <v>-0.29838903962137342</v>
      </c>
      <c r="K317" s="141">
        <f>(Constantes!$D$12/0.8)*(Constantes!$D$7*J317^2+Constantes!$D$8*J317+Constantes!$D$9)</f>
        <v>19.474700651321122</v>
      </c>
      <c r="L317" s="141">
        <f>(Constantes!$D$12/0.8)*(0.00376*D317^2-0.0516*D317-6.967)</f>
        <v>-4.3187906250000001</v>
      </c>
      <c r="M317" s="140">
        <f t="shared" si="29"/>
        <v>5.042584130580086</v>
      </c>
      <c r="N317" s="12"/>
    </row>
    <row r="318" spans="2:14">
      <c r="B318" s="11"/>
      <c r="C318" s="65">
        <v>313</v>
      </c>
      <c r="D318" s="65">
        <f>(Observaciones!D318+Observaciones!E318)/2</f>
        <v>15.25</v>
      </c>
      <c r="E318" s="141">
        <f t="shared" si="24"/>
        <v>1.7338879625062771</v>
      </c>
      <c r="F318" s="141">
        <f t="shared" si="25"/>
        <v>0.11140334723771557</v>
      </c>
      <c r="G318" s="141">
        <f t="shared" si="26"/>
        <v>2.4649947499999998</v>
      </c>
      <c r="H318" s="141">
        <f>0.001013*Constantes!$D$6/(0.622*G318)</f>
        <v>4.5205387279268053E-2</v>
      </c>
      <c r="I318" s="141">
        <f t="shared" si="27"/>
        <v>0.36361082673457973</v>
      </c>
      <c r="J318" s="141">
        <f t="shared" si="28"/>
        <v>-0.30315980243707563</v>
      </c>
      <c r="K318" s="141">
        <f>(Constantes!$D$12/0.8)*(Constantes!$D$7*J318^2+Constantes!$D$8*J318+Constantes!$D$9)</f>
        <v>19.482595808242923</v>
      </c>
      <c r="L318" s="141">
        <f>(Constantes!$D$12/0.8)*(0.00376*D318^2-0.0516*D318-6.967)</f>
        <v>-4.2996656249999994</v>
      </c>
      <c r="M318" s="140">
        <f t="shared" si="29"/>
        <v>5.095632830056112</v>
      </c>
      <c r="N318" s="12"/>
    </row>
    <row r="319" spans="2:14">
      <c r="B319" s="11"/>
      <c r="C319" s="65">
        <v>314</v>
      </c>
      <c r="D319" s="65">
        <f>(Observaciones!D319+Observaciones!E319)/2</f>
        <v>14.55</v>
      </c>
      <c r="E319" s="141">
        <f t="shared" si="24"/>
        <v>1.6574115820276645</v>
      </c>
      <c r="F319" s="141">
        <f t="shared" si="25"/>
        <v>0.10708247809803828</v>
      </c>
      <c r="G319" s="141">
        <f t="shared" si="26"/>
        <v>2.46664745</v>
      </c>
      <c r="H319" s="141">
        <f>0.001013*Constantes!$D$6/(0.622*G319)</f>
        <v>4.5175098822943884E-2</v>
      </c>
      <c r="I319" s="141">
        <f t="shared" si="27"/>
        <v>0.35925511691610273</v>
      </c>
      <c r="J319" s="141">
        <f t="shared" si="28"/>
        <v>-0.3078407324605914</v>
      </c>
      <c r="K319" s="141">
        <f>(Constantes!$D$12/0.8)*(Constantes!$D$7*J319^2+Constantes!$D$8*J319+Constantes!$D$9)</f>
        <v>19.48996879522074</v>
      </c>
      <c r="L319" s="141">
        <f>(Constantes!$D$12/0.8)*(0.00376*D319^2-0.0516*D319-6.967)</f>
        <v>-4.3261116249999993</v>
      </c>
      <c r="M319" s="140">
        <f t="shared" si="29"/>
        <v>5.0275810194936419</v>
      </c>
      <c r="N319" s="12"/>
    </row>
    <row r="320" spans="2:14">
      <c r="B320" s="11"/>
      <c r="C320" s="65">
        <v>315</v>
      </c>
      <c r="D320" s="65">
        <f>(Observaciones!D320+Observaciones!E320)/2</f>
        <v>13</v>
      </c>
      <c r="E320" s="141">
        <f t="shared" si="24"/>
        <v>1.4985150190445926</v>
      </c>
      <c r="F320" s="141">
        <f t="shared" si="25"/>
        <v>9.8019245431965704E-2</v>
      </c>
      <c r="G320" s="141">
        <f t="shared" si="26"/>
        <v>2.470307</v>
      </c>
      <c r="H320" s="141">
        <f>0.001013*Constantes!$D$6/(0.622*G320)</f>
        <v>4.5108175751075688E-2</v>
      </c>
      <c r="I320" s="141">
        <f t="shared" si="27"/>
        <v>0.3493076722279615</v>
      </c>
      <c r="J320" s="141">
        <f t="shared" si="28"/>
        <v>-0.31243044263133202</v>
      </c>
      <c r="K320" s="141">
        <f>(Constantes!$D$12/0.8)*(Constantes!$D$7*J320^2+Constantes!$D$8*J320+Constantes!$D$9)</f>
        <v>19.496838889486867</v>
      </c>
      <c r="L320" s="141">
        <f>(Constantes!$D$12/0.8)*(0.00376*D320^2-0.0516*D320-6.967)</f>
        <v>-4.3764749999999992</v>
      </c>
      <c r="M320" s="140">
        <f t="shared" si="29"/>
        <v>4.8730353889789679</v>
      </c>
      <c r="N320" s="12"/>
    </row>
    <row r="321" spans="2:14">
      <c r="B321" s="11"/>
      <c r="C321" s="65">
        <v>316</v>
      </c>
      <c r="D321" s="65">
        <f>(Observaciones!D321+Observaciones!E321)/2</f>
        <v>14.35</v>
      </c>
      <c r="E321" s="141">
        <f t="shared" si="24"/>
        <v>1.6361119589017179</v>
      </c>
      <c r="F321" s="141">
        <f t="shared" si="25"/>
        <v>0.10587443449555982</v>
      </c>
      <c r="G321" s="141">
        <f t="shared" si="26"/>
        <v>2.4671196499999999</v>
      </c>
      <c r="H321" s="141">
        <f>0.001013*Constantes!$D$6/(0.622*G321)</f>
        <v>4.5166452431730474E-2</v>
      </c>
      <c r="I321" s="141">
        <f t="shared" si="27"/>
        <v>0.35799495730755543</v>
      </c>
      <c r="J321" s="141">
        <f t="shared" si="28"/>
        <v>-0.3169275729191196</v>
      </c>
      <c r="K321" s="141">
        <f>(Constantes!$D$12/0.8)*(Constantes!$D$7*J321^2+Constantes!$D$8*J321+Constantes!$D$9)</f>
        <v>19.503225418344233</v>
      </c>
      <c r="L321" s="141">
        <f>(Constantes!$D$12/0.8)*(0.00376*D321^2-0.0516*D321-6.967)</f>
        <v>-4.3332446249999998</v>
      </c>
      <c r="M321" s="140">
        <f t="shared" si="29"/>
        <v>5.0118532454097187</v>
      </c>
      <c r="N321" s="12"/>
    </row>
    <row r="322" spans="2:14">
      <c r="B322" s="11"/>
      <c r="C322" s="65">
        <v>317</v>
      </c>
      <c r="D322" s="65">
        <f>(Observaciones!D322+Observaciones!E322)/2</f>
        <v>15.8</v>
      </c>
      <c r="E322" s="141">
        <f t="shared" si="24"/>
        <v>1.7961296162943761</v>
      </c>
      <c r="F322" s="141">
        <f t="shared" si="25"/>
        <v>0.11490140460696453</v>
      </c>
      <c r="G322" s="141">
        <f t="shared" si="26"/>
        <v>2.4636961999999998</v>
      </c>
      <c r="H322" s="141">
        <f>0.001013*Constantes!$D$6/(0.622*G322)</f>
        <v>4.5229213859692821E-2</v>
      </c>
      <c r="I322" s="141">
        <f t="shared" si="27"/>
        <v>0.36697319935543615</v>
      </c>
      <c r="J322" s="141">
        <f t="shared" si="28"/>
        <v>-0.32133079072719417</v>
      </c>
      <c r="K322" s="141">
        <f>(Constantes!$D$12/0.8)*(Constantes!$D$7*J322^2+Constantes!$D$8*J322+Constantes!$D$9)</f>
        <v>19.509147728119878</v>
      </c>
      <c r="L322" s="141">
        <f>(Constantes!$D$12/0.8)*(0.00376*D322^2-0.0516*D322-6.967)</f>
        <v>-4.2772709999999998</v>
      </c>
      <c r="M322" s="140">
        <f t="shared" si="29"/>
        <v>5.1601304735966043</v>
      </c>
      <c r="N322" s="12"/>
    </row>
    <row r="323" spans="2:14">
      <c r="B323" s="11"/>
      <c r="C323" s="65">
        <v>318</v>
      </c>
      <c r="D323" s="65">
        <f>(Observaciones!D323+Observaciones!E323)/2</f>
        <v>15.65</v>
      </c>
      <c r="E323" s="141">
        <f t="shared" si="24"/>
        <v>1.7789634018098772</v>
      </c>
      <c r="F323" s="141">
        <f t="shared" si="25"/>
        <v>0.11393826452317098</v>
      </c>
      <c r="G323" s="141">
        <f t="shared" si="26"/>
        <v>2.4640503499999999</v>
      </c>
      <c r="H323" s="141">
        <f>0.001013*Constantes!$D$6/(0.622*G323)</f>
        <v>4.5222713210836998E-2</v>
      </c>
      <c r="I323" s="141">
        <f t="shared" si="27"/>
        <v>0.36606142750795007</v>
      </c>
      <c r="J323" s="141">
        <f t="shared" si="28"/>
        <v>-0.32563879128708967</v>
      </c>
      <c r="K323" s="141">
        <f>(Constantes!$D$12/0.8)*(Constantes!$D$7*J323^2+Constantes!$D$8*J323+Constantes!$D$9)</f>
        <v>19.514625153260003</v>
      </c>
      <c r="L323" s="141">
        <f>(Constantes!$D$12/0.8)*(0.00376*D323^2-0.0516*D323-6.967)</f>
        <v>-4.2835196249999994</v>
      </c>
      <c r="M323" s="140">
        <f t="shared" si="29"/>
        <v>5.1469071397459913</v>
      </c>
      <c r="N323" s="12"/>
    </row>
    <row r="324" spans="2:14">
      <c r="B324" s="11"/>
      <c r="C324" s="65">
        <v>319</v>
      </c>
      <c r="D324" s="65">
        <f>(Observaciones!D324+Observaciones!E324)/2</f>
        <v>15.3</v>
      </c>
      <c r="E324" s="141">
        <f t="shared" si="24"/>
        <v>1.7394670630029376</v>
      </c>
      <c r="F324" s="141">
        <f t="shared" si="25"/>
        <v>0.11171756760860506</v>
      </c>
      <c r="G324" s="141">
        <f t="shared" si="26"/>
        <v>2.4648767</v>
      </c>
      <c r="H324" s="141">
        <f>0.001013*Constantes!$D$6/(0.622*G324)</f>
        <v>4.5207552294649268E-2</v>
      </c>
      <c r="I324" s="141">
        <f t="shared" si="27"/>
        <v>0.36391867936217853</v>
      </c>
      <c r="J324" s="141">
        <f t="shared" si="28"/>
        <v>-0.32985029804526633</v>
      </c>
      <c r="K324" s="141">
        <f>(Constantes!$D$12/0.8)*(Constantes!$D$7*J324^2+Constantes!$D$8*J324+Constantes!$D$9)</f>
        <v>19.519676985605692</v>
      </c>
      <c r="L324" s="141">
        <f>(Constantes!$D$12/0.8)*(0.00376*D324^2-0.0516*D324-6.967)</f>
        <v>-4.2976884999999996</v>
      </c>
      <c r="M324" s="140">
        <f t="shared" si="29"/>
        <v>5.1133514427372351</v>
      </c>
      <c r="N324" s="12"/>
    </row>
    <row r="325" spans="2:14">
      <c r="B325" s="11"/>
      <c r="C325" s="65">
        <v>320</v>
      </c>
      <c r="D325" s="65">
        <f>(Observaciones!D325+Observaciones!E325)/2</f>
        <v>15</v>
      </c>
      <c r="E325" s="141">
        <f t="shared" si="24"/>
        <v>1.7062271396379793</v>
      </c>
      <c r="F325" s="141">
        <f t="shared" si="25"/>
        <v>0.10984348383671551</v>
      </c>
      <c r="G325" s="141">
        <f t="shared" si="26"/>
        <v>2.4655849999999999</v>
      </c>
      <c r="H325" s="141">
        <f>0.001013*Constantes!$D$6/(0.622*G325)</f>
        <v>4.5194565312131819E-2</v>
      </c>
      <c r="I325" s="141">
        <f t="shared" si="27"/>
        <v>0.36206502083102154</v>
      </c>
      <c r="J325" s="141">
        <f t="shared" si="28"/>
        <v>-0.33396406304137949</v>
      </c>
      <c r="K325" s="141">
        <f>(Constantes!$D$12/0.8)*(Constantes!$D$7*J325^2+Constantes!$D$8*J325+Constantes!$D$9)</f>
        <v>19.524322443888003</v>
      </c>
      <c r="L325" s="141">
        <f>(Constantes!$D$12/0.8)*(0.00376*D325^2-0.0516*D325-6.967)</f>
        <v>-4.3093749999999993</v>
      </c>
      <c r="M325" s="140">
        <f t="shared" si="29"/>
        <v>5.0846558104727348</v>
      </c>
      <c r="N325" s="12"/>
    </row>
    <row r="326" spans="2:14">
      <c r="B326" s="11"/>
      <c r="C326" s="65">
        <v>321</v>
      </c>
      <c r="D326" s="65">
        <f>(Observaciones!D326+Observaciones!E326)/2</f>
        <v>15.7</v>
      </c>
      <c r="E326" s="141">
        <f t="shared" si="24"/>
        <v>1.7846694242482402</v>
      </c>
      <c r="F326" s="141">
        <f t="shared" si="25"/>
        <v>0.11425854646329872</v>
      </c>
      <c r="G326" s="141">
        <f t="shared" si="26"/>
        <v>2.4639322999999997</v>
      </c>
      <c r="H326" s="141">
        <f>0.001013*Constantes!$D$6/(0.622*G326)</f>
        <v>4.5224879886152931E-2</v>
      </c>
      <c r="I326" s="141">
        <f t="shared" si="27"/>
        <v>0.36636578812418896</v>
      </c>
      <c r="J326" s="141">
        <f t="shared" si="28"/>
        <v>-0.33797886727807891</v>
      </c>
      <c r="K326" s="141">
        <f>(Constantes!$D$12/0.8)*(Constantes!$D$7*J326^2+Constantes!$D$8*J326+Constantes!$D$9)</f>
        <v>19.528580643480812</v>
      </c>
      <c r="L326" s="141">
        <f>(Constantes!$D$12/0.8)*(0.00376*D326^2-0.0516*D326-6.967)</f>
        <v>-4.2814484999999998</v>
      </c>
      <c r="M326" s="140">
        <f t="shared" si="29"/>
        <v>5.1567513540762642</v>
      </c>
      <c r="N326" s="12"/>
    </row>
    <row r="327" spans="2:14">
      <c r="B327" s="11"/>
      <c r="C327" s="65">
        <v>322</v>
      </c>
      <c r="D327" s="65">
        <f>(Observaciones!D327+Observaciones!E327)/2</f>
        <v>16.3</v>
      </c>
      <c r="E327" s="141">
        <f t="shared" ref="E327:E370" si="30">EXP((16.78*D327-116.9)/(D327+237.3))</f>
        <v>1.8544035194307129</v>
      </c>
      <c r="F327" s="141">
        <f t="shared" ref="F327:F370" si="31">4098*E327/((D327+237.3)^2)</f>
        <v>0.11816196335275285</v>
      </c>
      <c r="G327" s="141">
        <f t="shared" ref="G327:G370" si="32">2.501-0.002361*D327</f>
        <v>2.4625157</v>
      </c>
      <c r="H327" s="141">
        <f>0.001013*Constantes!$D$6/(0.622*G327)</f>
        <v>4.5250896193316674E-2</v>
      </c>
      <c r="I327" s="141">
        <f t="shared" ref="I327:I370" si="33">IF(D327&gt;0,1.26*F327/(G327*(F327+H327)),0)</f>
        <v>0.36998405321225664</v>
      </c>
      <c r="J327" s="141">
        <f t="shared" ref="J327:J370" si="34">0.409*SIN(2*PI()*(C327-82)/365)</f>
        <v>-0.34189352108222232</v>
      </c>
      <c r="K327" s="141">
        <f>(Constantes!$D$12/0.8)*(Constantes!$D$7*J327^2+Constantes!$D$8*J327+Constantes!$D$9)</f>
        <v>19.532470566449522</v>
      </c>
      <c r="L327" s="141">
        <f>(Constantes!$D$12/0.8)*(0.00376*D327^2-0.0516*D327-6.967)</f>
        <v>-4.2556785000000001</v>
      </c>
      <c r="M327" s="140">
        <f t="shared" ref="M327:M390" si="35">IF(D327&gt;0,I327*(0.94*K327+L327),0)</f>
        <v>5.2185672910603946</v>
      </c>
      <c r="N327" s="12"/>
    </row>
    <row r="328" spans="2:14">
      <c r="B328" s="11"/>
      <c r="C328" s="65">
        <v>323</v>
      </c>
      <c r="D328" s="65">
        <f>(Observaciones!D328+Observaciones!E328)/2</f>
        <v>13.75</v>
      </c>
      <c r="E328" s="141">
        <f t="shared" si="30"/>
        <v>1.5736468149943981</v>
      </c>
      <c r="F328" s="141">
        <f t="shared" si="31"/>
        <v>0.10231958493462359</v>
      </c>
      <c r="G328" s="141">
        <f t="shared" si="32"/>
        <v>2.4685362500000001</v>
      </c>
      <c r="H328" s="141">
        <f>0.001013*Constantes!$D$6/(0.622*G328)</f>
        <v>4.5140533105443567E-2</v>
      </c>
      <c r="I328" s="141">
        <f t="shared" si="33"/>
        <v>0.35417281924860555</v>
      </c>
      <c r="J328" s="141">
        <f t="shared" si="34"/>
        <v>-0.3457068644574029</v>
      </c>
      <c r="K328" s="141">
        <f>(Constantes!$D$12/0.8)*(Constantes!$D$7*J328^2+Constantes!$D$8*J328+Constantes!$D$9)</f>
        <v>19.536011031933281</v>
      </c>
      <c r="L328" s="141">
        <f>(Constantes!$D$12/0.8)*(0.00376*D328^2-0.0516*D328-6.967)</f>
        <v>-4.353515625</v>
      </c>
      <c r="M328" s="140">
        <f t="shared" si="35"/>
        <v>4.962079755259464</v>
      </c>
      <c r="N328" s="12"/>
    </row>
    <row r="329" spans="2:14">
      <c r="B329" s="11"/>
      <c r="C329" s="65">
        <v>324</v>
      </c>
      <c r="D329" s="65">
        <f>(Observaciones!D329+Observaciones!E329)/2</f>
        <v>14.1</v>
      </c>
      <c r="E329" s="141">
        <f t="shared" si="30"/>
        <v>1.6098253520131185</v>
      </c>
      <c r="F329" s="141">
        <f t="shared" si="31"/>
        <v>0.10438069155687195</v>
      </c>
      <c r="G329" s="141">
        <f t="shared" si="32"/>
        <v>2.4677099</v>
      </c>
      <c r="H329" s="141">
        <f>0.001013*Constantes!$D$6/(0.622*G329)</f>
        <v>4.5155649095994843E-2</v>
      </c>
      <c r="I329" s="141">
        <f t="shared" si="33"/>
        <v>0.35640998531823892</v>
      </c>
      <c r="J329" s="141">
        <f t="shared" si="34"/>
        <v>-0.34941776742767916</v>
      </c>
      <c r="K329" s="141">
        <f>(Constantes!$D$12/0.8)*(Constantes!$D$7*J329^2+Constantes!$D$8*J329+Constantes!$D$9)</f>
        <v>19.53922066689789</v>
      </c>
      <c r="L329" s="141">
        <f>(Constantes!$D$12/0.8)*(0.00376*D329^2-0.0516*D329-6.967)</f>
        <v>-4.3418964999999998</v>
      </c>
      <c r="M329" s="140">
        <f t="shared" si="35"/>
        <v>4.9986396821394603</v>
      </c>
      <c r="N329" s="12"/>
    </row>
    <row r="330" spans="2:14">
      <c r="B330" s="11"/>
      <c r="C330" s="65">
        <v>325</v>
      </c>
      <c r="D330" s="65">
        <f>(Observaciones!D330+Observaciones!E330)/2</f>
        <v>15.3</v>
      </c>
      <c r="E330" s="141">
        <f t="shared" si="30"/>
        <v>1.7394670630029376</v>
      </c>
      <c r="F330" s="141">
        <f t="shared" si="31"/>
        <v>0.11171756760860506</v>
      </c>
      <c r="G330" s="141">
        <f t="shared" si="32"/>
        <v>2.4648767</v>
      </c>
      <c r="H330" s="141">
        <f>0.001013*Constantes!$D$6/(0.622*G330)</f>
        <v>4.5207552294649268E-2</v>
      </c>
      <c r="I330" s="141">
        <f t="shared" si="33"/>
        <v>0.36391867936217853</v>
      </c>
      <c r="J330" s="141">
        <f t="shared" si="34"/>
        <v>-0.35302513037241379</v>
      </c>
      <c r="K330" s="141">
        <f>(Constantes!$D$12/0.8)*(Constantes!$D$7*J330^2+Constantes!$D$8*J330+Constantes!$D$9)</f>
        <v>19.542117877296199</v>
      </c>
      <c r="L330" s="141">
        <f>(Constantes!$D$12/0.8)*(0.00376*D330^2-0.0516*D330-6.967)</f>
        <v>-4.2976884999999996</v>
      </c>
      <c r="M330" s="140">
        <f t="shared" si="35"/>
        <v>5.1210281028248907</v>
      </c>
      <c r="N330" s="12"/>
    </row>
    <row r="331" spans="2:14">
      <c r="B331" s="11"/>
      <c r="C331" s="65">
        <v>326</v>
      </c>
      <c r="D331" s="65">
        <f>(Observaciones!D331+Observaciones!E331)/2</f>
        <v>15.55</v>
      </c>
      <c r="E331" s="141">
        <f t="shared" si="30"/>
        <v>1.7675993131821897</v>
      </c>
      <c r="F331" s="141">
        <f t="shared" si="31"/>
        <v>0.11329998758344098</v>
      </c>
      <c r="G331" s="141">
        <f t="shared" si="32"/>
        <v>2.4642864499999999</v>
      </c>
      <c r="H331" s="141">
        <f>0.001013*Constantes!$D$6/(0.622*G331)</f>
        <v>4.5218380482963956E-2</v>
      </c>
      <c r="I331" s="141">
        <f t="shared" si="33"/>
        <v>0.36545139639916813</v>
      </c>
      <c r="J331" s="141">
        <f t="shared" si="34"/>
        <v>-0.35652788435211252</v>
      </c>
      <c r="K331" s="141">
        <f>(Constantes!$D$12/0.8)*(Constantes!$D$7*J331^2+Constantes!$D$8*J331+Constantes!$D$9)</f>
        <v>19.544720819672055</v>
      </c>
      <c r="L331" s="141">
        <f>(Constantes!$D$12/0.8)*(0.00376*D331^2-0.0516*D331-6.967)</f>
        <v>-4.2876266249999997</v>
      </c>
      <c r="M331" s="140">
        <f t="shared" si="35"/>
        <v>5.147167647489681</v>
      </c>
      <c r="N331" s="12"/>
    </row>
    <row r="332" spans="2:14">
      <c r="B332" s="11"/>
      <c r="C332" s="65">
        <v>327</v>
      </c>
      <c r="D332" s="65">
        <f>(Observaciones!D332+Observaciones!E332)/2</f>
        <v>15.95</v>
      </c>
      <c r="E332" s="141">
        <f t="shared" si="30"/>
        <v>1.8134408472488435</v>
      </c>
      <c r="F332" s="141">
        <f t="shared" si="31"/>
        <v>0.11587144951018026</v>
      </c>
      <c r="G332" s="141">
        <f t="shared" si="32"/>
        <v>2.4633420500000001</v>
      </c>
      <c r="H332" s="141">
        <f>0.001013*Constantes!$D$6/(0.622*G332)</f>
        <v>4.5235716377720475E-2</v>
      </c>
      <c r="I332" s="141">
        <f t="shared" si="33"/>
        <v>0.36788104095514867</v>
      </c>
      <c r="J332" s="141">
        <f t="shared" si="34"/>
        <v>-0.35992499142517603</v>
      </c>
      <c r="K332" s="141">
        <f>(Constantes!$D$12/0.8)*(Constantes!$D$7*J332^2+Constantes!$D$8*J332+Constantes!$D$9)</f>
        <v>19.547047373243551</v>
      </c>
      <c r="L332" s="141">
        <f>(Constantes!$D$12/0.8)*(0.00376*D332^2-0.0516*D332-6.967)</f>
        <v>-4.2709166249999999</v>
      </c>
      <c r="M332" s="140">
        <f t="shared" si="35"/>
        <v>5.1883395933146854</v>
      </c>
      <c r="N332" s="12"/>
    </row>
    <row r="333" spans="2:14">
      <c r="B333" s="11"/>
      <c r="C333" s="65">
        <v>328</v>
      </c>
      <c r="D333" s="65">
        <f>(Observaciones!D333+Observaciones!E333)/2</f>
        <v>14.65</v>
      </c>
      <c r="E333" s="141">
        <f t="shared" si="30"/>
        <v>1.6681523061985435</v>
      </c>
      <c r="F333" s="141">
        <f t="shared" si="31"/>
        <v>0.10769088075978797</v>
      </c>
      <c r="G333" s="141">
        <f t="shared" si="32"/>
        <v>2.46641135</v>
      </c>
      <c r="H333" s="141">
        <f>0.001013*Constantes!$D$6/(0.622*G333)</f>
        <v>4.5179423260078871E-2</v>
      </c>
      <c r="I333" s="141">
        <f t="shared" si="33"/>
        <v>0.35988258760990816</v>
      </c>
      <c r="J333" s="141">
        <f t="shared" si="34"/>
        <v>-0.3632154449554626</v>
      </c>
      <c r="K333" s="141">
        <f>(Constantes!$D$12/0.8)*(Constantes!$D$7*J333^2+Constantes!$D$8*J333+Constantes!$D$9)</f>
        <v>19.549115112500427</v>
      </c>
      <c r="L333" s="141">
        <f>(Constantes!$D$12/0.8)*(0.00376*D333^2-0.0516*D333-6.967)</f>
        <v>-4.3224746249999999</v>
      </c>
      <c r="M333" s="140">
        <f t="shared" si="35"/>
        <v>5.0576796113172096</v>
      </c>
      <c r="N333" s="12"/>
    </row>
    <row r="334" spans="2:14">
      <c r="B334" s="11"/>
      <c r="C334" s="65">
        <v>329</v>
      </c>
      <c r="D334" s="65">
        <f>(Observaciones!D334+Observaciones!E334)/2</f>
        <v>15.25</v>
      </c>
      <c r="E334" s="141">
        <f t="shared" si="30"/>
        <v>1.7338879625062771</v>
      </c>
      <c r="F334" s="141">
        <f t="shared" si="31"/>
        <v>0.11140334723771557</v>
      </c>
      <c r="G334" s="141">
        <f t="shared" si="32"/>
        <v>2.4649947499999998</v>
      </c>
      <c r="H334" s="141">
        <f>0.001013*Constantes!$D$6/(0.622*G334)</f>
        <v>4.5205387279268053E-2</v>
      </c>
      <c r="I334" s="141">
        <f t="shared" si="33"/>
        <v>0.36361082673457973</v>
      </c>
      <c r="J334" s="141">
        <f t="shared" si="34"/>
        <v>-0.36639826991057772</v>
      </c>
      <c r="K334" s="141">
        <f>(Constantes!$D$12/0.8)*(Constantes!$D$7*J334^2+Constantes!$D$8*J334+Constantes!$D$9)</f>
        <v>19.550941280350052</v>
      </c>
      <c r="L334" s="141">
        <f>(Constantes!$D$12/0.8)*(0.00376*D334^2-0.0516*D334-6.967)</f>
        <v>-4.2996656249999994</v>
      </c>
      <c r="M334" s="140">
        <f t="shared" si="35"/>
        <v>5.1189929144555641</v>
      </c>
      <c r="N334" s="12"/>
    </row>
    <row r="335" spans="2:14">
      <c r="B335" s="11"/>
      <c r="C335" s="65">
        <v>330</v>
      </c>
      <c r="D335" s="65">
        <f>(Observaciones!D335+Observaciones!E335)/2</f>
        <v>16</v>
      </c>
      <c r="E335" s="141">
        <f t="shared" si="30"/>
        <v>1.8192436628409498</v>
      </c>
      <c r="F335" s="141">
        <f t="shared" si="31"/>
        <v>0.11619633908323609</v>
      </c>
      <c r="G335" s="141">
        <f t="shared" si="32"/>
        <v>2.4632239999999999</v>
      </c>
      <c r="H335" s="141">
        <f>0.001013*Constantes!$D$6/(0.622*G335)</f>
        <v>4.5237884299240562E-2</v>
      </c>
      <c r="I335" s="141">
        <f t="shared" si="33"/>
        <v>0.36818278138764216</v>
      </c>
      <c r="J335" s="141">
        <f t="shared" si="34"/>
        <v>-0.36947252315079582</v>
      </c>
      <c r="K335" s="141">
        <f>(Constantes!$D$12/0.8)*(Constantes!$D$7*J335^2+Constantes!$D$8*J335+Constantes!$D$9)</f>
        <v>19.552542761845487</v>
      </c>
      <c r="L335" s="141">
        <f>(Constantes!$D$12/0.8)*(0.00376*D335^2-0.0516*D335-6.967)</f>
        <v>-4.2687749999999998</v>
      </c>
      <c r="M335" s="140">
        <f t="shared" si="35"/>
        <v>5.195285550003625</v>
      </c>
      <c r="N335" s="12"/>
    </row>
    <row r="336" spans="2:14">
      <c r="B336" s="11"/>
      <c r="C336" s="65">
        <v>331</v>
      </c>
      <c r="D336" s="65">
        <f>(Observaciones!D336+Observaciones!E336)/2</f>
        <v>15.7</v>
      </c>
      <c r="E336" s="141">
        <f t="shared" si="30"/>
        <v>1.7846694242482402</v>
      </c>
      <c r="F336" s="141">
        <f t="shared" si="31"/>
        <v>0.11425854646329872</v>
      </c>
      <c r="G336" s="141">
        <f t="shared" si="32"/>
        <v>2.4639322999999997</v>
      </c>
      <c r="H336" s="141">
        <f>0.001013*Constantes!$D$6/(0.622*G336)</f>
        <v>4.5224879886152931E-2</v>
      </c>
      <c r="I336" s="141">
        <f t="shared" si="33"/>
        <v>0.36636578812418896</v>
      </c>
      <c r="J336" s="141">
        <f t="shared" si="34"/>
        <v>-0.3724372937085344</v>
      </c>
      <c r="K336" s="141">
        <f>(Constantes!$D$12/0.8)*(Constantes!$D$7*J336^2+Constantes!$D$8*J336+Constantes!$D$9)</f>
        <v>19.553936058528617</v>
      </c>
      <c r="L336" s="141">
        <f>(Constantes!$D$12/0.8)*(0.00376*D336^2-0.0516*D336-6.967)</f>
        <v>-4.2814484999999998</v>
      </c>
      <c r="M336" s="140">
        <f t="shared" si="35"/>
        <v>5.1654833492964372</v>
      </c>
      <c r="N336" s="12"/>
    </row>
    <row r="337" spans="2:14">
      <c r="B337" s="11"/>
      <c r="C337" s="65">
        <v>332</v>
      </c>
      <c r="D337" s="65">
        <f>(Observaciones!D337+Observaciones!E337)/2</f>
        <v>15.75</v>
      </c>
      <c r="E337" s="141">
        <f t="shared" si="30"/>
        <v>1.7903914829906238</v>
      </c>
      <c r="F337" s="141">
        <f t="shared" si="31"/>
        <v>0.11457959266903198</v>
      </c>
      <c r="G337" s="141">
        <f t="shared" si="32"/>
        <v>2.46381425</v>
      </c>
      <c r="H337" s="141">
        <f>0.001013*Constantes!$D$6/(0.622*G337)</f>
        <v>4.5227046769094927E-2</v>
      </c>
      <c r="I337" s="141">
        <f t="shared" si="33"/>
        <v>0.36666971208022214</v>
      </c>
      <c r="J337" s="141">
        <f t="shared" si="34"/>
        <v>-0.37529170305829185</v>
      </c>
      <c r="K337" s="141">
        <f>(Constantes!$D$12/0.8)*(Constantes!$D$7*J337^2+Constantes!$D$8*J337+Constantes!$D$9)</f>
        <v>19.555137263420328</v>
      </c>
      <c r="L337" s="141">
        <f>(Constantes!$D$12/0.8)*(0.00376*D337^2-0.0516*D337-6.967)</f>
        <v>-4.2793656250000005</v>
      </c>
      <c r="M337" s="140">
        <f t="shared" si="35"/>
        <v>5.1709461954587512</v>
      </c>
      <c r="N337" s="12"/>
    </row>
    <row r="338" spans="2:14">
      <c r="B338" s="11"/>
      <c r="C338" s="65">
        <v>333</v>
      </c>
      <c r="D338" s="65">
        <f>(Observaciones!D338+Observaciones!E338)/2</f>
        <v>14.45</v>
      </c>
      <c r="E338" s="141">
        <f t="shared" si="30"/>
        <v>1.6467315635702708</v>
      </c>
      <c r="F338" s="141">
        <f t="shared" si="31"/>
        <v>0.10647699979012407</v>
      </c>
      <c r="G338" s="141">
        <f t="shared" si="32"/>
        <v>2.4668835499999999</v>
      </c>
      <c r="H338" s="141">
        <f>0.001013*Constantes!$D$6/(0.622*G338)</f>
        <v>4.5170775213573627E-2</v>
      </c>
      <c r="I338" s="141">
        <f t="shared" si="33"/>
        <v>0.3586259064602611</v>
      </c>
      <c r="J338" s="141">
        <f t="shared" si="34"/>
        <v>-0.37803490537697515</v>
      </c>
      <c r="K338" s="141">
        <f>(Constantes!$D$12/0.8)*(Constantes!$D$7*J338^2+Constantes!$D$8*J338+Constantes!$D$9)</f>
        <v>19.556162036689063</v>
      </c>
      <c r="L338" s="141">
        <f>(Constantes!$D$12/0.8)*(0.00376*D338^2-0.0516*D338-6.967)</f>
        <v>-4.3297016250000002</v>
      </c>
      <c r="M338" s="140">
        <f t="shared" si="35"/>
        <v>5.0398023870857891</v>
      </c>
      <c r="N338" s="12"/>
    </row>
    <row r="339" spans="2:14">
      <c r="B339" s="11"/>
      <c r="C339" s="65">
        <v>334</v>
      </c>
      <c r="D339" s="65">
        <f>(Observaciones!D339+Observaciones!E339)/2</f>
        <v>13.35</v>
      </c>
      <c r="E339" s="141">
        <f t="shared" si="30"/>
        <v>1.5331752529723204</v>
      </c>
      <c r="F339" s="141">
        <f t="shared" si="31"/>
        <v>0.1000065250127139</v>
      </c>
      <c r="G339" s="141">
        <f t="shared" si="32"/>
        <v>2.4694806499999999</v>
      </c>
      <c r="H339" s="141">
        <f>0.001013*Constantes!$D$6/(0.622*G339)</f>
        <v>4.5123270075071269E-2</v>
      </c>
      <c r="I339" s="141">
        <f t="shared" si="33"/>
        <v>0.35159012797989159</v>
      </c>
      <c r="J339" s="141">
        <f t="shared" si="34"/>
        <v>-0.38066608779453354</v>
      </c>
      <c r="K339" s="141">
        <f>(Constantes!$D$12/0.8)*(Constantes!$D$7*J339^2+Constantes!$D$8*J339+Constantes!$D$9)</f>
        <v>19.557025582028086</v>
      </c>
      <c r="L339" s="141">
        <f>(Constantes!$D$12/0.8)*(0.00376*D339^2-0.0516*D339-6.967)</f>
        <v>-4.3660896249999999</v>
      </c>
      <c r="M339" s="140">
        <f t="shared" si="35"/>
        <v>4.928419689628365</v>
      </c>
      <c r="N339" s="12"/>
    </row>
    <row r="340" spans="2:14">
      <c r="B340" s="11"/>
      <c r="C340" s="65">
        <v>335</v>
      </c>
      <c r="D340" s="65">
        <f>(Observaciones!D340+Observaciones!E340)/2</f>
        <v>12.4</v>
      </c>
      <c r="E340" s="141">
        <f t="shared" si="30"/>
        <v>1.440695742444418</v>
      </c>
      <c r="F340" s="141">
        <f t="shared" si="31"/>
        <v>9.4690659669251859E-2</v>
      </c>
      <c r="G340" s="141">
        <f t="shared" si="32"/>
        <v>2.4717235999999998</v>
      </c>
      <c r="H340" s="141">
        <f>0.001013*Constantes!$D$6/(0.622*G340)</f>
        <v>4.508232324808184E-2</v>
      </c>
      <c r="I340" s="141">
        <f t="shared" si="33"/>
        <v>0.34534609482941636</v>
      </c>
      <c r="J340" s="141">
        <f t="shared" si="34"/>
        <v>-0.38318447063483146</v>
      </c>
      <c r="K340" s="141">
        <f>(Constantes!$D$12/0.8)*(Constantes!$D$7*J340^2+Constantes!$D$8*J340+Constantes!$D$9)</f>
        <v>19.55774262377102</v>
      </c>
      <c r="L340" s="141">
        <f>(Constantes!$D$12/0.8)*(0.00376*D340^2-0.0516*D340-6.967)</f>
        <v>-4.3929389999999993</v>
      </c>
      <c r="M340" s="140">
        <f t="shared" si="35"/>
        <v>4.8318543079964158</v>
      </c>
      <c r="N340" s="12"/>
    </row>
    <row r="341" spans="2:14">
      <c r="B341" s="11"/>
      <c r="C341" s="65">
        <v>336</v>
      </c>
      <c r="D341" s="65">
        <f>(Observaciones!D341+Observaciones!E341)/2</f>
        <v>12.55</v>
      </c>
      <c r="E341" s="141">
        <f t="shared" si="30"/>
        <v>1.4549637534474031</v>
      </c>
      <c r="F341" s="141">
        <f t="shared" si="31"/>
        <v>9.551364537557766E-2</v>
      </c>
      <c r="G341" s="141">
        <f t="shared" si="32"/>
        <v>2.4713694500000001</v>
      </c>
      <c r="H341" s="141">
        <f>0.001013*Constantes!$D$6/(0.622*G341)</f>
        <v>4.5088783595310905E-2</v>
      </c>
      <c r="I341" s="141">
        <f t="shared" si="33"/>
        <v>0.34634224568893279</v>
      </c>
      <c r="J341" s="141">
        <f t="shared" si="34"/>
        <v>-0.38558930764668198</v>
      </c>
      <c r="K341" s="141">
        <f>(Constantes!$D$12/0.8)*(Constantes!$D$7*J341^2+Constantes!$D$8*J341+Constantes!$D$9)</f>
        <v>19.558327384774163</v>
      </c>
      <c r="L341" s="141">
        <f>(Constantes!$D$12/0.8)*(0.00376*D341^2-0.0516*D341-6.967)</f>
        <v>-4.3889816249999996</v>
      </c>
      <c r="M341" s="140">
        <f t="shared" si="35"/>
        <v>4.8473527743703517</v>
      </c>
      <c r="N341" s="12"/>
    </row>
    <row r="342" spans="2:14">
      <c r="B342" s="11"/>
      <c r="C342" s="65">
        <v>337</v>
      </c>
      <c r="D342" s="65">
        <f>(Observaciones!D342+Observaciones!E342)/2</f>
        <v>13.8</v>
      </c>
      <c r="E342" s="141">
        <f t="shared" si="30"/>
        <v>1.5787710916071758</v>
      </c>
      <c r="F342" s="141">
        <f t="shared" si="31"/>
        <v>0.10261189172112961</v>
      </c>
      <c r="G342" s="141">
        <f t="shared" si="32"/>
        <v>2.4684181999999999</v>
      </c>
      <c r="H342" s="141">
        <f>0.001013*Constantes!$D$6/(0.622*G342)</f>
        <v>4.5142691913028568E-2</v>
      </c>
      <c r="I342" s="141">
        <f t="shared" si="33"/>
        <v>0.35449371277278185</v>
      </c>
      <c r="J342" s="141">
        <f t="shared" si="34"/>
        <v>-0.38787988622497815</v>
      </c>
      <c r="K342" s="141">
        <f>(Constantes!$D$12/0.8)*(Constantes!$D$7*J342^2+Constantes!$D$8*J342+Constantes!$D$9)</f>
        <v>19.558793565093229</v>
      </c>
      <c r="L342" s="141">
        <f>(Constantes!$D$12/0.8)*(0.00376*D342^2-0.0516*D342-6.967)</f>
        <v>-4.3518910000000002</v>
      </c>
      <c r="M342" s="140">
        <f t="shared" si="35"/>
        <v>4.974743189179061</v>
      </c>
      <c r="N342" s="12"/>
    </row>
    <row r="343" spans="2:14">
      <c r="B343" s="11"/>
      <c r="C343" s="65">
        <v>338</v>
      </c>
      <c r="D343" s="65">
        <f>(Observaciones!D343+Observaciones!E343)/2</f>
        <v>13.75</v>
      </c>
      <c r="E343" s="141">
        <f t="shared" si="30"/>
        <v>1.5736468149943981</v>
      </c>
      <c r="F343" s="141">
        <f t="shared" si="31"/>
        <v>0.10231958493462359</v>
      </c>
      <c r="G343" s="141">
        <f t="shared" si="32"/>
        <v>2.4685362500000001</v>
      </c>
      <c r="H343" s="141">
        <f>0.001013*Constantes!$D$6/(0.622*G343)</f>
        <v>4.5140533105443567E-2</v>
      </c>
      <c r="I343" s="141">
        <f t="shared" si="33"/>
        <v>0.35417281924860555</v>
      </c>
      <c r="J343" s="141">
        <f t="shared" si="34"/>
        <v>-0.39005552762185219</v>
      </c>
      <c r="K343" s="141">
        <f>(Constantes!$D$12/0.8)*(Constantes!$D$7*J343^2+Constantes!$D$8*J343+Constantes!$D$9)</f>
        <v>19.559154321481053</v>
      </c>
      <c r="L343" s="141">
        <f>(Constantes!$D$12/0.8)*(0.00376*D343^2-0.0516*D343-6.967)</f>
        <v>-4.353515625</v>
      </c>
      <c r="M343" s="140">
        <f t="shared" si="35"/>
        <v>4.9697846759189357</v>
      </c>
      <c r="N343" s="12"/>
    </row>
    <row r="344" spans="2:14">
      <c r="B344" s="11"/>
      <c r="C344" s="65">
        <v>339</v>
      </c>
      <c r="D344" s="65">
        <f>(Observaciones!D344+Observaciones!E344)/2</f>
        <v>13.75</v>
      </c>
      <c r="E344" s="141">
        <f t="shared" si="30"/>
        <v>1.5736468149943981</v>
      </c>
      <c r="F344" s="141">
        <f t="shared" si="31"/>
        <v>0.10231958493462359</v>
      </c>
      <c r="G344" s="141">
        <f t="shared" si="32"/>
        <v>2.4685362500000001</v>
      </c>
      <c r="H344" s="141">
        <f>0.001013*Constantes!$D$6/(0.622*G344)</f>
        <v>4.5140533105443567E-2</v>
      </c>
      <c r="I344" s="141">
        <f t="shared" si="33"/>
        <v>0.35417281924860555</v>
      </c>
      <c r="J344" s="141">
        <f t="shared" si="34"/>
        <v>-0.3921155871478042</v>
      </c>
      <c r="K344" s="141">
        <f>(Constantes!$D$12/0.8)*(Constantes!$D$7*J344^2+Constantes!$D$8*J344+Constantes!$D$9)</f>
        <v>19.559422247731892</v>
      </c>
      <c r="L344" s="141">
        <f>(Constantes!$D$12/0.8)*(0.00376*D344^2-0.0516*D344-6.967)</f>
        <v>-4.353515625</v>
      </c>
      <c r="M344" s="140">
        <f t="shared" si="35"/>
        <v>4.9698738745828095</v>
      </c>
      <c r="N344" s="12"/>
    </row>
    <row r="345" spans="2:14">
      <c r="B345" s="11"/>
      <c r="C345" s="65">
        <v>340</v>
      </c>
      <c r="D345" s="65">
        <f>(Observaciones!D345+Observaciones!E345)/2</f>
        <v>14.1</v>
      </c>
      <c r="E345" s="141">
        <f t="shared" si="30"/>
        <v>1.6098253520131185</v>
      </c>
      <c r="F345" s="141">
        <f t="shared" si="31"/>
        <v>0.10438069155687195</v>
      </c>
      <c r="G345" s="141">
        <f t="shared" si="32"/>
        <v>2.4677099</v>
      </c>
      <c r="H345" s="141">
        <f>0.001013*Constantes!$D$6/(0.622*G345)</f>
        <v>4.5155649095994843E-2</v>
      </c>
      <c r="I345" s="141">
        <f t="shared" si="33"/>
        <v>0.35640998531823892</v>
      </c>
      <c r="J345" s="141">
        <f t="shared" si="34"/>
        <v>-0.39405945436273676</v>
      </c>
      <c r="K345" s="141">
        <f>(Constantes!$D$12/0.8)*(Constantes!$D$7*J345^2+Constantes!$D$8*J345+Constantes!$D$9)</f>
        <v>19.559609355896754</v>
      </c>
      <c r="L345" s="141">
        <f>(Constantes!$D$12/0.8)*(0.00376*D345^2-0.0516*D345-6.967)</f>
        <v>-4.3418964999999998</v>
      </c>
      <c r="M345" s="140">
        <f t="shared" si="35"/>
        <v>5.0054704105453984</v>
      </c>
      <c r="N345" s="12"/>
    </row>
    <row r="346" spans="2:14">
      <c r="B346" s="11"/>
      <c r="C346" s="65">
        <v>341</v>
      </c>
      <c r="D346" s="65">
        <f>(Observaciones!D346+Observaciones!E346)/2</f>
        <v>13.75</v>
      </c>
      <c r="E346" s="141">
        <f t="shared" si="30"/>
        <v>1.5736468149943981</v>
      </c>
      <c r="F346" s="141">
        <f t="shared" si="31"/>
        <v>0.10231958493462359</v>
      </c>
      <c r="G346" s="141">
        <f t="shared" si="32"/>
        <v>2.4685362500000001</v>
      </c>
      <c r="H346" s="141">
        <f>0.001013*Constantes!$D$6/(0.622*G346)</f>
        <v>4.5140533105443567E-2</v>
      </c>
      <c r="I346" s="141">
        <f t="shared" si="33"/>
        <v>0.35417281924860555</v>
      </c>
      <c r="J346" s="141">
        <f t="shared" si="34"/>
        <v>-0.39588655325684219</v>
      </c>
      <c r="K346" s="141">
        <f>(Constantes!$D$12/0.8)*(Constantes!$D$7*J346^2+Constantes!$D$8*J346+Constantes!$D$9)</f>
        <v>19.559727058393225</v>
      </c>
      <c r="L346" s="141">
        <f>(Constantes!$D$12/0.8)*(0.00376*D346^2-0.0516*D346-6.967)</f>
        <v>-4.353515625</v>
      </c>
      <c r="M346" s="140">
        <f t="shared" si="35"/>
        <v>4.9699753528949948</v>
      </c>
      <c r="N346" s="12"/>
    </row>
    <row r="347" spans="2:14">
      <c r="B347" s="11"/>
      <c r="C347" s="65">
        <v>342</v>
      </c>
      <c r="D347" s="65">
        <f>(Observaciones!D347+Observaciones!E347)/2</f>
        <v>13.7</v>
      </c>
      <c r="E347" s="141">
        <f t="shared" si="30"/>
        <v>1.568537138827782</v>
      </c>
      <c r="F347" s="141">
        <f t="shared" si="31"/>
        <v>0.10202798677665831</v>
      </c>
      <c r="G347" s="141">
        <f t="shared" si="32"/>
        <v>2.4686542999999999</v>
      </c>
      <c r="H347" s="141">
        <f>0.001013*Constantes!$D$6/(0.622*G347)</f>
        <v>4.5138374504325104E-2</v>
      </c>
      <c r="I347" s="141">
        <f t="shared" si="33"/>
        <v>0.35385149346393019</v>
      </c>
      <c r="J347" s="141">
        <f t="shared" si="34"/>
        <v>-0.397596342421286</v>
      </c>
      <c r="K347" s="141">
        <f>(Constantes!$D$12/0.8)*(Constantes!$D$7*J347^2+Constantes!$D$8*J347+Constantes!$D$9)</f>
        <v>19.559786151032014</v>
      </c>
      <c r="L347" s="141">
        <f>(Constantes!$D$12/0.8)*(0.00376*D347^2-0.0516*D347-6.967)</f>
        <v>-4.3551285000000002</v>
      </c>
      <c r="M347" s="140">
        <f t="shared" si="35"/>
        <v>4.9649152449427847</v>
      </c>
      <c r="N347" s="12"/>
    </row>
    <row r="348" spans="2:14">
      <c r="B348" s="11"/>
      <c r="C348" s="65">
        <v>343</v>
      </c>
      <c r="D348" s="65">
        <f>(Observaciones!D348+Observaciones!E348)/2</f>
        <v>15.1</v>
      </c>
      <c r="E348" s="141">
        <f t="shared" si="30"/>
        <v>1.7172446826168701</v>
      </c>
      <c r="F348" s="141">
        <f t="shared" si="31"/>
        <v>0.11046518728234203</v>
      </c>
      <c r="G348" s="141">
        <f t="shared" si="32"/>
        <v>2.4653489</v>
      </c>
      <c r="H348" s="141">
        <f>0.001013*Constantes!$D$6/(0.622*G348)</f>
        <v>4.5198893477151461E-2</v>
      </c>
      <c r="I348" s="141">
        <f t="shared" si="33"/>
        <v>0.36268465146207884</v>
      </c>
      <c r="J348" s="141">
        <f t="shared" si="34"/>
        <v>-0.39918831520863857</v>
      </c>
      <c r="K348" s="141">
        <f>(Constantes!$D$12/0.8)*(Constantes!$D$7*J348^2+Constantes!$D$8*J348+Constantes!$D$9)</f>
        <v>19.559796796981402</v>
      </c>
      <c r="L348" s="141">
        <f>(Constantes!$D$12/0.8)*(0.00376*D348^2-0.0516*D348-6.967)</f>
        <v>-4.3055265</v>
      </c>
      <c r="M348" s="140">
        <f t="shared" si="35"/>
        <v>5.1068474209301042</v>
      </c>
      <c r="N348" s="12"/>
    </row>
    <row r="349" spans="2:14">
      <c r="B349" s="11"/>
      <c r="C349" s="65">
        <v>344</v>
      </c>
      <c r="D349" s="65">
        <f>(Observaciones!D349+Observaciones!E349)/2</f>
        <v>11.75</v>
      </c>
      <c r="E349" s="141">
        <f t="shared" si="30"/>
        <v>1.3802776599471762</v>
      </c>
      <c r="F349" s="141">
        <f t="shared" si="31"/>
        <v>9.1193801661548224E-2</v>
      </c>
      <c r="G349" s="141">
        <f t="shared" si="32"/>
        <v>2.4732582499999998</v>
      </c>
      <c r="H349" s="141">
        <f>0.001013*Constantes!$D$6/(0.622*G349)</f>
        <v>4.5054349789437696E-2</v>
      </c>
      <c r="I349" s="141">
        <f t="shared" si="33"/>
        <v>0.34098539738615508</v>
      </c>
      <c r="J349" s="141">
        <f t="shared" si="34"/>
        <v>-0.40066199988300538</v>
      </c>
      <c r="K349" s="141">
        <f>(Constantes!$D$12/0.8)*(Constantes!$D$7*J349^2+Constantes!$D$8*J349+Constantes!$D$9)</f>
        <v>19.55976851168958</v>
      </c>
      <c r="L349" s="141">
        <f>(Constantes!$D$12/0.8)*(0.00376*D349^2-0.0516*D349-6.967)</f>
        <v>-4.4088656249999998</v>
      </c>
      <c r="M349" s="140">
        <f t="shared" si="35"/>
        <v>4.7660609152525097</v>
      </c>
      <c r="N349" s="12"/>
    </row>
    <row r="350" spans="2:14">
      <c r="B350" s="11"/>
      <c r="C350" s="65">
        <v>345</v>
      </c>
      <c r="D350" s="65">
        <f>(Observaciones!D350+Observaciones!E350)/2</f>
        <v>14.35</v>
      </c>
      <c r="E350" s="141">
        <f t="shared" si="30"/>
        <v>1.6361119589017179</v>
      </c>
      <c r="F350" s="141">
        <f t="shared" si="31"/>
        <v>0.10587443449555982</v>
      </c>
      <c r="G350" s="141">
        <f t="shared" si="32"/>
        <v>2.4671196499999999</v>
      </c>
      <c r="H350" s="141">
        <f>0.001013*Constantes!$D$6/(0.622*G350)</f>
        <v>4.5166452431730474E-2</v>
      </c>
      <c r="I350" s="141">
        <f t="shared" si="33"/>
        <v>0.35799495730755543</v>
      </c>
      <c r="J350" s="141">
        <f t="shared" si="34"/>
        <v>-0.40201695975981272</v>
      </c>
      <c r="K350" s="141">
        <f>(Constantes!$D$12/0.8)*(Constantes!$D$7*J350^2+Constantes!$D$8*J350+Constantes!$D$9)</f>
        <v>19.559710148783545</v>
      </c>
      <c r="L350" s="141">
        <f>(Constantes!$D$12/0.8)*(0.00376*D350^2-0.0516*D350-6.967)</f>
        <v>-4.3332446249999998</v>
      </c>
      <c r="M350" s="140">
        <f t="shared" si="35"/>
        <v>5.0308612191521389</v>
      </c>
      <c r="N350" s="12"/>
    </row>
    <row r="351" spans="2:14">
      <c r="B351" s="11"/>
      <c r="C351" s="65">
        <v>346</v>
      </c>
      <c r="D351" s="65">
        <f>(Observaciones!D351+Observaciones!E351)/2</f>
        <v>13.45</v>
      </c>
      <c r="E351" s="141">
        <f t="shared" si="30"/>
        <v>1.5432065279848868</v>
      </c>
      <c r="F351" s="141">
        <f t="shared" si="31"/>
        <v>0.1005805769400801</v>
      </c>
      <c r="G351" s="141">
        <f t="shared" si="32"/>
        <v>2.46924455</v>
      </c>
      <c r="H351" s="141">
        <f>0.001013*Constantes!$D$6/(0.622*G351)</f>
        <v>4.5127584594694167E-2</v>
      </c>
      <c r="I351" s="141">
        <f t="shared" si="33"/>
        <v>0.35223838816895903</v>
      </c>
      <c r="J351" s="141">
        <f t="shared" si="34"/>
        <v>-0.40325279333520658</v>
      </c>
      <c r="K351" s="141">
        <f>(Constantes!$D$12/0.8)*(Constantes!$D$7*J351^2+Constantes!$D$8*J351+Constantes!$D$9)</f>
        <v>19.559629886962234</v>
      </c>
      <c r="L351" s="141">
        <f>(Constantes!$D$12/0.8)*(0.00376*D351^2-0.0516*D351-6.967)</f>
        <v>-4.3630166249999993</v>
      </c>
      <c r="M351" s="140">
        <f t="shared" si="35"/>
        <v>4.9394514107467051</v>
      </c>
      <c r="N351" s="12"/>
    </row>
    <row r="352" spans="2:14">
      <c r="B352" s="11"/>
      <c r="C352" s="65">
        <v>347</v>
      </c>
      <c r="D352" s="65">
        <f>(Observaciones!D352+Observaciones!E352)/2</f>
        <v>12</v>
      </c>
      <c r="E352" s="141">
        <f t="shared" si="30"/>
        <v>1.4032466788795555</v>
      </c>
      <c r="F352" s="141">
        <f t="shared" si="31"/>
        <v>9.2525495616340561E-2</v>
      </c>
      <c r="G352" s="141">
        <f t="shared" si="32"/>
        <v>2.4726680000000001</v>
      </c>
      <c r="H352" s="141">
        <f>0.001013*Constantes!$D$6/(0.622*G352)</f>
        <v>4.5065104702739119E-2</v>
      </c>
      <c r="I352" s="141">
        <f t="shared" si="33"/>
        <v>0.34267103098752799</v>
      </c>
      <c r="J352" s="141">
        <f t="shared" si="34"/>
        <v>-0.4043691344050272</v>
      </c>
      <c r="K352" s="141">
        <f>(Constantes!$D$12/0.8)*(Constantes!$D$7*J352^2+Constantes!$D$8*J352+Constantes!$D$9)</f>
        <v>19.559535217900098</v>
      </c>
      <c r="L352" s="141">
        <f>(Constantes!$D$12/0.8)*(0.00376*D352^2-0.0516*D352-6.967)</f>
        <v>-4.4029749999999996</v>
      </c>
      <c r="M352" s="140">
        <f t="shared" si="35"/>
        <v>4.7915649501670972</v>
      </c>
      <c r="N352" s="12"/>
    </row>
    <row r="353" spans="2:14">
      <c r="B353" s="11"/>
      <c r="C353" s="65">
        <v>348</v>
      </c>
      <c r="D353" s="65">
        <f>(Observaciones!D353+Observaciones!E353)/2</f>
        <v>15.25</v>
      </c>
      <c r="E353" s="141">
        <f t="shared" si="30"/>
        <v>1.7338879625062771</v>
      </c>
      <c r="F353" s="141">
        <f t="shared" si="31"/>
        <v>0.11140334723771557</v>
      </c>
      <c r="G353" s="141">
        <f t="shared" si="32"/>
        <v>2.4649947499999998</v>
      </c>
      <c r="H353" s="141">
        <f>0.001013*Constantes!$D$6/(0.622*G353)</f>
        <v>4.5205387279268053E-2</v>
      </c>
      <c r="I353" s="141">
        <f t="shared" si="33"/>
        <v>0.36361082673457973</v>
      </c>
      <c r="J353" s="141">
        <f t="shared" si="34"/>
        <v>-0.40536565217332288</v>
      </c>
      <c r="K353" s="141">
        <f>(Constantes!$D$12/0.8)*(Constantes!$D$7*J353^2+Constantes!$D$8*J353+Constantes!$D$9)</f>
        <v>19.559432935176233</v>
      </c>
      <c r="L353" s="141">
        <f>(Constantes!$D$12/0.8)*(0.00376*D353^2-0.0516*D353-6.967)</f>
        <v>-4.2996656249999994</v>
      </c>
      <c r="M353" s="140">
        <f t="shared" si="35"/>
        <v>5.1218953126293547</v>
      </c>
      <c r="N353" s="12"/>
    </row>
    <row r="354" spans="2:14">
      <c r="B354" s="11"/>
      <c r="C354" s="65">
        <v>349</v>
      </c>
      <c r="D354" s="65">
        <f>(Observaciones!D354+Observaciones!E354)/2</f>
        <v>14.25</v>
      </c>
      <c r="E354" s="141">
        <f t="shared" si="30"/>
        <v>1.6255524772300411</v>
      </c>
      <c r="F354" s="141">
        <f t="shared" si="31"/>
        <v>0.10527477090559632</v>
      </c>
      <c r="G354" s="141">
        <f t="shared" si="32"/>
        <v>2.4673557499999998</v>
      </c>
      <c r="H354" s="141">
        <f>0.001013*Constantes!$D$6/(0.622*G354)</f>
        <v>4.5162130477176848E-2</v>
      </c>
      <c r="I354" s="141">
        <f t="shared" si="33"/>
        <v>0.35736227060066839</v>
      </c>
      <c r="J354" s="141">
        <f t="shared" si="34"/>
        <v>-0.40624205135037245</v>
      </c>
      <c r="K354" s="141">
        <f>(Constantes!$D$12/0.8)*(Constantes!$D$7*J354^2+Constantes!$D$8*J354+Constantes!$D$9)</f>
        <v>19.559329124242808</v>
      </c>
      <c r="L354" s="141">
        <f>(Constantes!$D$12/0.8)*(0.00376*D354^2-0.0516*D354-6.967)</f>
        <v>-4.3367406249999991</v>
      </c>
      <c r="M354" s="140">
        <f t="shared" si="35"/>
        <v>5.0205928144731198</v>
      </c>
      <c r="N354" s="12"/>
    </row>
    <row r="355" spans="2:14">
      <c r="B355" s="11"/>
      <c r="C355" s="65">
        <v>350</v>
      </c>
      <c r="D355" s="65">
        <f>(Observaciones!D355+Observaciones!E355)/2</f>
        <v>14.899999999999999</v>
      </c>
      <c r="E355" s="141">
        <f t="shared" si="30"/>
        <v>1.6952716301356705</v>
      </c>
      <c r="F355" s="141">
        <f t="shared" si="31"/>
        <v>0.10922475617100801</v>
      </c>
      <c r="G355" s="141">
        <f t="shared" si="32"/>
        <v>2.4658210999999999</v>
      </c>
      <c r="H355" s="141">
        <f>0.001013*Constantes!$D$6/(0.622*G355)</f>
        <v>4.5190237975947463E-2</v>
      </c>
      <c r="I355" s="141">
        <f t="shared" si="33"/>
        <v>0.36144364658766276</v>
      </c>
      <c r="J355" s="141">
        <f t="shared" si="34"/>
        <v>-0.40699807224018525</v>
      </c>
      <c r="K355" s="141">
        <f>(Constantes!$D$12/0.8)*(Constantes!$D$7*J355^2+Constantes!$D$8*J355+Constantes!$D$9)</f>
        <v>19.559229153445248</v>
      </c>
      <c r="L355" s="141">
        <f>(Constantes!$D$12/0.8)*(0.00376*D355^2-0.0516*D355-6.967)</f>
        <v>-4.3131765</v>
      </c>
      <c r="M355" s="140">
        <f t="shared" si="35"/>
        <v>5.0864153205488636</v>
      </c>
      <c r="N355" s="12"/>
    </row>
    <row r="356" spans="2:14">
      <c r="B356" s="11"/>
      <c r="C356" s="65">
        <v>351</v>
      </c>
      <c r="D356" s="65">
        <f>(Observaciones!D356+Observaciones!E356)/2</f>
        <v>13.25</v>
      </c>
      <c r="E356" s="141">
        <f t="shared" si="30"/>
        <v>1.5232012546387372</v>
      </c>
      <c r="F356" s="141">
        <f t="shared" si="31"/>
        <v>9.943526343834895E-2</v>
      </c>
      <c r="G356" s="141">
        <f t="shared" si="32"/>
        <v>2.4697167499999999</v>
      </c>
      <c r="H356" s="141">
        <f>0.001013*Constantes!$D$6/(0.622*G356)</f>
        <v>4.5118956380367316E-2</v>
      </c>
      <c r="I356" s="141">
        <f t="shared" si="33"/>
        <v>0.35094014605756357</v>
      </c>
      <c r="J356" s="141">
        <f t="shared" si="34"/>
        <v>-0.40763349081745553</v>
      </c>
      <c r="K356" s="141">
        <f>(Constantes!$D$12/0.8)*(Constantes!$D$7*J356^2+Constantes!$D$8*J356+Constantes!$D$9)</f>
        <v>19.5591376661054</v>
      </c>
      <c r="L356" s="141">
        <f>(Constantes!$D$12/0.8)*(0.00376*D356^2-0.0516*D356-6.967)</f>
        <v>-4.3691156249999992</v>
      </c>
      <c r="M356" s="140">
        <f t="shared" si="35"/>
        <v>4.9189433559649576</v>
      </c>
      <c r="N356" s="12"/>
    </row>
    <row r="357" spans="2:14">
      <c r="B357" s="11"/>
      <c r="C357" s="65">
        <v>352</v>
      </c>
      <c r="D357" s="65">
        <f>(Observaciones!D357+Observaciones!E357)/2</f>
        <v>12.9</v>
      </c>
      <c r="E357" s="141">
        <f t="shared" si="30"/>
        <v>1.4887393027557323</v>
      </c>
      <c r="F357" s="141">
        <f t="shared" si="31"/>
        <v>9.7457663967834368E-2</v>
      </c>
      <c r="G357" s="141">
        <f t="shared" si="32"/>
        <v>2.4705431</v>
      </c>
      <c r="H357" s="141">
        <f>0.001013*Constantes!$D$6/(0.622*G357)</f>
        <v>4.5103864941725781E-2</v>
      </c>
      <c r="I357" s="141">
        <f t="shared" si="33"/>
        <v>0.34865168081674919</v>
      </c>
      <c r="J357" s="141">
        <f t="shared" si="34"/>
        <v>-0.40814811879394536</v>
      </c>
      <c r="K357" s="141">
        <f>(Constantes!$D$12/0.8)*(Constantes!$D$7*J357^2+Constantes!$D$8*J357+Constantes!$D$9)</f>
        <v>19.559058573677465</v>
      </c>
      <c r="L357" s="141">
        <f>(Constantes!$D$12/0.8)*(0.00376*D357^2-0.0516*D357-6.967)</f>
        <v>-4.3793364999999991</v>
      </c>
      <c r="M357" s="140">
        <f t="shared" si="35"/>
        <v>4.8832776965044031</v>
      </c>
      <c r="N357" s="12"/>
    </row>
    <row r="358" spans="2:14">
      <c r="B358" s="11"/>
      <c r="C358" s="65">
        <v>353</v>
      </c>
      <c r="D358" s="65">
        <f>(Observaciones!D358+Observaciones!E358)/2</f>
        <v>12.9</v>
      </c>
      <c r="E358" s="141">
        <f t="shared" si="30"/>
        <v>1.4887393027557323</v>
      </c>
      <c r="F358" s="141">
        <f t="shared" si="31"/>
        <v>9.7457663967834368E-2</v>
      </c>
      <c r="G358" s="141">
        <f t="shared" si="32"/>
        <v>2.4705431</v>
      </c>
      <c r="H358" s="141">
        <f>0.001013*Constantes!$D$6/(0.622*G358)</f>
        <v>4.5103864941725781E-2</v>
      </c>
      <c r="I358" s="141">
        <f t="shared" si="33"/>
        <v>0.34865168081674919</v>
      </c>
      <c r="J358" s="141">
        <f t="shared" si="34"/>
        <v>-0.40854180367427867</v>
      </c>
      <c r="K358" s="141">
        <f>(Constantes!$D$12/0.8)*(Constantes!$D$7*J358^2+Constantes!$D$8*J358+Constantes!$D$9)</f>
        <v>19.558995049985214</v>
      </c>
      <c r="L358" s="141">
        <f>(Constantes!$D$12/0.8)*(0.00376*D358^2-0.0516*D358-6.967)</f>
        <v>-4.3793364999999991</v>
      </c>
      <c r="M358" s="140">
        <f t="shared" si="35"/>
        <v>4.8832568777208527</v>
      </c>
      <c r="N358" s="12"/>
    </row>
    <row r="359" spans="2:14">
      <c r="B359" s="11"/>
      <c r="C359" s="65">
        <v>354</v>
      </c>
      <c r="D359" s="65">
        <f>(Observaciones!D359+Observaciones!E359)/2</f>
        <v>13.8</v>
      </c>
      <c r="E359" s="141">
        <f t="shared" si="30"/>
        <v>1.5787710916071758</v>
      </c>
      <c r="F359" s="141">
        <f t="shared" si="31"/>
        <v>0.10261189172112961</v>
      </c>
      <c r="G359" s="141">
        <f t="shared" si="32"/>
        <v>2.4684181999999999</v>
      </c>
      <c r="H359" s="141">
        <f>0.001013*Constantes!$D$6/(0.622*G359)</f>
        <v>4.5142691913028568E-2</v>
      </c>
      <c r="I359" s="141">
        <f t="shared" si="33"/>
        <v>0.35449371277278185</v>
      </c>
      <c r="J359" s="141">
        <f t="shared" si="34"/>
        <v>-0.40881442880112911</v>
      </c>
      <c r="K359" s="141">
        <f>(Constantes!$D$12/0.8)*(Constantes!$D$7*J359^2+Constantes!$D$8*J359+Constantes!$D$9)</f>
        <v>19.558949526547703</v>
      </c>
      <c r="L359" s="141">
        <f>(Constantes!$D$12/0.8)*(0.00376*D359^2-0.0516*D359-6.967)</f>
        <v>-4.3518910000000002</v>
      </c>
      <c r="M359" s="140">
        <f t="shared" si="35"/>
        <v>4.9747951592928041</v>
      </c>
      <c r="N359" s="12"/>
    </row>
    <row r="360" spans="2:14">
      <c r="B360" s="11"/>
      <c r="C360" s="65">
        <v>355</v>
      </c>
      <c r="D360" s="65">
        <f>(Observaciones!D360+Observaciones!E360)/2</f>
        <v>13.8</v>
      </c>
      <c r="E360" s="141">
        <f t="shared" si="30"/>
        <v>1.5787710916071758</v>
      </c>
      <c r="F360" s="141">
        <f t="shared" si="31"/>
        <v>0.10261189172112961</v>
      </c>
      <c r="G360" s="141">
        <f t="shared" si="32"/>
        <v>2.4684181999999999</v>
      </c>
      <c r="H360" s="141">
        <f>0.001013*Constantes!$D$6/(0.622*G360)</f>
        <v>4.5142691913028568E-2</v>
      </c>
      <c r="I360" s="141">
        <f t="shared" si="33"/>
        <v>0.35449371277278185</v>
      </c>
      <c r="J360" s="141">
        <f t="shared" si="34"/>
        <v>-0.40896591338978777</v>
      </c>
      <c r="K360" s="141">
        <f>(Constantes!$D$12/0.8)*(Constantes!$D$7*J360^2+Constantes!$D$8*J360+Constantes!$D$9)</f>
        <v>19.558923688999226</v>
      </c>
      <c r="L360" s="141">
        <f>(Constantes!$D$12/0.8)*(0.00376*D360^2-0.0516*D360-6.967)</f>
        <v>-4.3518910000000002</v>
      </c>
      <c r="M360" s="140">
        <f t="shared" si="35"/>
        <v>4.9747865495992238</v>
      </c>
      <c r="N360" s="12"/>
    </row>
    <row r="361" spans="2:14">
      <c r="B361" s="11"/>
      <c r="C361" s="65">
        <v>356</v>
      </c>
      <c r="D361" s="65">
        <f>(Observaciones!D361+Observaciones!E361)/2</f>
        <v>14</v>
      </c>
      <c r="E361" s="141">
        <f t="shared" si="30"/>
        <v>1.5994149130233961</v>
      </c>
      <c r="F361" s="141">
        <f t="shared" si="31"/>
        <v>0.10378823296050949</v>
      </c>
      <c r="G361" s="141">
        <f t="shared" si="32"/>
        <v>2.467946</v>
      </c>
      <c r="H361" s="141">
        <f>0.001013*Constantes!$D$6/(0.622*G361)</f>
        <v>4.5151329208626335E-2</v>
      </c>
      <c r="I361" s="141">
        <f t="shared" si="33"/>
        <v>0.35577296023920879</v>
      </c>
      <c r="J361" s="141">
        <f t="shared" si="34"/>
        <v>-0.40899621255210172</v>
      </c>
      <c r="K361" s="141">
        <f>(Constantes!$D$12/0.8)*(Constantes!$D$7*J361^2+Constantes!$D$8*J361+Constantes!$D$9)</f>
        <v>19.558918474608006</v>
      </c>
      <c r="L361" s="141">
        <f>(Constantes!$D$12/0.8)*(0.00376*D361^2-0.0516*D361-6.967)</f>
        <v>-4.3452749999999991</v>
      </c>
      <c r="M361" s="140">
        <f t="shared" si="35"/>
        <v>4.9950909154978937</v>
      </c>
      <c r="N361" s="12"/>
    </row>
    <row r="362" spans="2:14">
      <c r="B362" s="11"/>
      <c r="C362" s="65">
        <v>357</v>
      </c>
      <c r="D362" s="65">
        <f>(Observaciones!D362+Observaciones!E362)/2</f>
        <v>15.5</v>
      </c>
      <c r="E362" s="141">
        <f t="shared" si="30"/>
        <v>1.7619411708442332</v>
      </c>
      <c r="F362" s="141">
        <f t="shared" si="31"/>
        <v>0.11298198966073125</v>
      </c>
      <c r="G362" s="141">
        <f t="shared" si="32"/>
        <v>2.4644045000000001</v>
      </c>
      <c r="H362" s="141">
        <f>0.001013*Constantes!$D$6/(0.622*G362)</f>
        <v>4.5216214430347179E-2</v>
      </c>
      <c r="I362" s="141">
        <f t="shared" si="33"/>
        <v>0.36514572596976891</v>
      </c>
      <c r="J362" s="141">
        <f t="shared" si="34"/>
        <v>-0.40890531730977536</v>
      </c>
      <c r="K362" s="141">
        <f>(Constantes!$D$12/0.8)*(Constantes!$D$7*J362^2+Constantes!$D$8*J362+Constantes!$D$9)</f>
        <v>19.55893407089669</v>
      </c>
      <c r="L362" s="141">
        <f>(Constantes!$D$12/0.8)*(0.00376*D362^2-0.0516*D362-6.967)</f>
        <v>-4.2896625000000004</v>
      </c>
      <c r="M362" s="140">
        <f t="shared" si="35"/>
        <v>5.1469975819538805</v>
      </c>
      <c r="N362" s="12"/>
    </row>
    <row r="363" spans="2:14">
      <c r="B363" s="11"/>
      <c r="C363" s="65">
        <v>358</v>
      </c>
      <c r="D363" s="65">
        <f>(Observaciones!D363+Observaciones!E363)/2</f>
        <v>13.85</v>
      </c>
      <c r="E363" s="141">
        <f t="shared" si="30"/>
        <v>1.5839100041391287</v>
      </c>
      <c r="F363" s="141">
        <f t="shared" si="31"/>
        <v>0.10290490852509908</v>
      </c>
      <c r="G363" s="141">
        <f t="shared" si="32"/>
        <v>2.4683001499999997</v>
      </c>
      <c r="H363" s="141">
        <f>0.001013*Constantes!$D$6/(0.622*G363)</f>
        <v>4.5144850927109709E-2</v>
      </c>
      <c r="I363" s="141">
        <f t="shared" si="33"/>
        <v>0.35481417383138586</v>
      </c>
      <c r="J363" s="141">
        <f t="shared" si="34"/>
        <v>-0.40869325459703054</v>
      </c>
      <c r="K363" s="141">
        <f>(Constantes!$D$12/0.8)*(Constantes!$D$7*J363^2+Constantes!$D$8*J363+Constantes!$D$9)</f>
        <v>19.558969915366344</v>
      </c>
      <c r="L363" s="141">
        <f>(Constantes!$D$12/0.8)*(0.00376*D363^2-0.0516*D363-6.967)</f>
        <v>-4.3502546249999998</v>
      </c>
      <c r="M363" s="140">
        <f t="shared" si="35"/>
        <v>4.9798797656972811</v>
      </c>
      <c r="N363" s="12"/>
    </row>
    <row r="364" spans="2:14">
      <c r="B364" s="11"/>
      <c r="C364" s="65">
        <v>359</v>
      </c>
      <c r="D364" s="65">
        <f>(Observaciones!D364+Observaciones!E364)/2</f>
        <v>13.9</v>
      </c>
      <c r="E364" s="141">
        <f t="shared" si="30"/>
        <v>1.589063588132779</v>
      </c>
      <c r="F364" s="141">
        <f t="shared" si="31"/>
        <v>0.10319863673742037</v>
      </c>
      <c r="G364" s="141">
        <f t="shared" si="32"/>
        <v>2.4681820999999999</v>
      </c>
      <c r="H364" s="141">
        <f>0.001013*Constantes!$D$6/(0.622*G364)</f>
        <v>4.5147010147716632E-2</v>
      </c>
      <c r="I364" s="141">
        <f t="shared" si="33"/>
        <v>0.35513420222442993</v>
      </c>
      <c r="J364" s="141">
        <f t="shared" si="34"/>
        <v>-0.40836008725262574</v>
      </c>
      <c r="K364" s="141">
        <f>(Constantes!$D$12/0.8)*(Constantes!$D$7*J364^2+Constantes!$D$8*J364+Constantes!$D$9)</f>
        <v>19.559024696324361</v>
      </c>
      <c r="L364" s="141">
        <f>(Constantes!$D$12/0.8)*(0.00376*D364^2-0.0516*D364-6.967)</f>
        <v>-4.3486064999999998</v>
      </c>
      <c r="M364" s="140">
        <f t="shared" si="35"/>
        <v>4.9849750137425799</v>
      </c>
      <c r="N364" s="12"/>
    </row>
    <row r="365" spans="2:14">
      <c r="B365" s="11"/>
      <c r="C365" s="65">
        <v>360</v>
      </c>
      <c r="D365" s="65">
        <f>(Observaciones!D365+Observaciones!E365)/2</f>
        <v>13.4</v>
      </c>
      <c r="E365" s="141">
        <f t="shared" si="30"/>
        <v>1.5381837134420713</v>
      </c>
      <c r="F365" s="141">
        <f t="shared" si="31"/>
        <v>0.10029320149589299</v>
      </c>
      <c r="G365" s="141">
        <f t="shared" si="32"/>
        <v>2.4693625999999997</v>
      </c>
      <c r="H365" s="141">
        <f>0.001013*Constantes!$D$6/(0.622*G365)</f>
        <v>4.5125427231753057E-2</v>
      </c>
      <c r="I365" s="141">
        <f t="shared" si="33"/>
        <v>0.35191447341494769</v>
      </c>
      <c r="J365" s="141">
        <f t="shared" si="34"/>
        <v>-0.40790591400123555</v>
      </c>
      <c r="K365" s="141">
        <f>(Constantes!$D$12/0.8)*(Constantes!$D$7*J365^2+Constantes!$D$8*J365+Constantes!$D$9)</f>
        <v>19.559096354815139</v>
      </c>
      <c r="L365" s="141">
        <f>(Constantes!$D$12/0.8)*(0.00376*D365^2-0.0516*D365-6.967)</f>
        <v>-4.3645589999999999</v>
      </c>
      <c r="M365" s="140">
        <f t="shared" si="35"/>
        <v>4.9341898663529022</v>
      </c>
      <c r="N365" s="12"/>
    </row>
    <row r="366" spans="2:14">
      <c r="B366" s="11"/>
      <c r="C366" s="65">
        <v>361</v>
      </c>
      <c r="D366" s="65">
        <f>(Observaciones!D366+Observaciones!E366)/2</f>
        <v>15</v>
      </c>
      <c r="E366" s="141">
        <f t="shared" si="30"/>
        <v>1.7062271396379793</v>
      </c>
      <c r="F366" s="141">
        <f t="shared" si="31"/>
        <v>0.10984348383671551</v>
      </c>
      <c r="G366" s="141">
        <f t="shared" si="32"/>
        <v>2.4655849999999999</v>
      </c>
      <c r="H366" s="141">
        <f>0.001013*Constantes!$D$6/(0.622*G366)</f>
        <v>4.5194565312131819E-2</v>
      </c>
      <c r="I366" s="141">
        <f t="shared" si="33"/>
        <v>0.36206502083102154</v>
      </c>
      <c r="J366" s="141">
        <f t="shared" si="34"/>
        <v>-0.40733086942419627</v>
      </c>
      <c r="K366" s="141">
        <f>(Constantes!$D$12/0.8)*(Constantes!$D$7*J366^2+Constantes!$D$8*J366+Constantes!$D$9)</f>
        <v>19.559182087651244</v>
      </c>
      <c r="L366" s="141">
        <f>(Constantes!$D$12/0.8)*(0.00376*D366^2-0.0516*D366-6.967)</f>
        <v>-4.3093749999999993</v>
      </c>
      <c r="M366" s="140">
        <f t="shared" si="35"/>
        <v>5.0965199806593162</v>
      </c>
      <c r="N366" s="12"/>
    </row>
    <row r="367" spans="2:14">
      <c r="B367" s="11"/>
      <c r="C367" s="65">
        <v>362</v>
      </c>
      <c r="D367" s="65">
        <f>(Observaciones!D367+Observaciones!E367)/2</f>
        <v>15.5</v>
      </c>
      <c r="E367" s="141">
        <f t="shared" si="30"/>
        <v>1.7619411708442332</v>
      </c>
      <c r="F367" s="141">
        <f t="shared" si="31"/>
        <v>0.11298198966073125</v>
      </c>
      <c r="G367" s="141">
        <f t="shared" si="32"/>
        <v>2.4644045000000001</v>
      </c>
      <c r="H367" s="141">
        <f>0.001013*Constantes!$D$6/(0.622*G367)</f>
        <v>4.5216214430347179E-2</v>
      </c>
      <c r="I367" s="141">
        <f t="shared" si="33"/>
        <v>0.36514572596976891</v>
      </c>
      <c r="J367" s="141">
        <f t="shared" si="34"/>
        <v>-0.40663512391962631</v>
      </c>
      <c r="K367" s="141">
        <f>(Constantes!$D$12/0.8)*(Constantes!$D$7*J367^2+Constantes!$D$8*J367+Constantes!$D$9)</f>
        <v>19.559278351541224</v>
      </c>
      <c r="L367" s="141">
        <f>(Constantes!$D$12/0.8)*(0.00376*D367^2-0.0516*D367-6.967)</f>
        <v>-4.2896625000000004</v>
      </c>
      <c r="M367" s="140">
        <f t="shared" si="35"/>
        <v>5.1471157518034119</v>
      </c>
      <c r="N367" s="12"/>
    </row>
    <row r="368" spans="2:14">
      <c r="B368" s="11"/>
      <c r="C368" s="65">
        <v>363</v>
      </c>
      <c r="D368" s="65">
        <f>(Observaciones!D368+Observaciones!E368)/2</f>
        <v>13.45</v>
      </c>
      <c r="E368" s="141">
        <f t="shared" si="30"/>
        <v>1.5432065279848868</v>
      </c>
      <c r="F368" s="141">
        <f t="shared" si="31"/>
        <v>0.1005805769400801</v>
      </c>
      <c r="G368" s="141">
        <f t="shared" si="32"/>
        <v>2.46924455</v>
      </c>
      <c r="H368" s="141">
        <f>0.001013*Constantes!$D$6/(0.622*G368)</f>
        <v>4.5127584594694167E-2</v>
      </c>
      <c r="I368" s="141">
        <f t="shared" si="33"/>
        <v>0.35223838816895903</v>
      </c>
      <c r="J368" s="141">
        <f t="shared" si="34"/>
        <v>-0.4058188836519343</v>
      </c>
      <c r="K368" s="141">
        <f>(Constantes!$D$12/0.8)*(Constantes!$D$7*J368^2+Constantes!$D$8*J368+Constantes!$D$9)</f>
        <v>19.559380868308946</v>
      </c>
      <c r="L368" s="141">
        <f>(Constantes!$D$12/0.8)*(0.00376*D368^2-0.0516*D368-6.967)</f>
        <v>-4.3630166249999993</v>
      </c>
      <c r="M368" s="140">
        <f t="shared" si="35"/>
        <v>4.9393689596533905</v>
      </c>
      <c r="N368" s="12"/>
    </row>
    <row r="369" spans="2:14">
      <c r="B369" s="11"/>
      <c r="C369" s="65">
        <v>364</v>
      </c>
      <c r="D369" s="65">
        <f>(Observaciones!D369+Observaciones!E369)/2</f>
        <v>13.5</v>
      </c>
      <c r="E369" s="141">
        <f t="shared" si="30"/>
        <v>1.5482437315899678</v>
      </c>
      <c r="F369" s="141">
        <f t="shared" si="31"/>
        <v>0.10086865272047608</v>
      </c>
      <c r="G369" s="141">
        <f t="shared" si="32"/>
        <v>2.4691264999999998</v>
      </c>
      <c r="H369" s="141">
        <f>0.001013*Constantes!$D$6/(0.622*G369)</f>
        <v>4.512974216392418E-2</v>
      </c>
      <c r="I369" s="141">
        <f t="shared" si="33"/>
        <v>0.35256187200074002</v>
      </c>
      <c r="J369" s="141">
        <f t="shared" si="34"/>
        <v>-0.40488239049072738</v>
      </c>
      <c r="K369" s="141">
        <f>(Constantes!$D$12/0.8)*(Constantes!$D$7*J369^2+Constantes!$D$8*J369+Constantes!$D$9)</f>
        <v>19.559484631198</v>
      </c>
      <c r="L369" s="141">
        <f>(Constantes!$D$12/0.8)*(0.00376*D369^2-0.0516*D369-6.967)</f>
        <v>-4.3614625</v>
      </c>
      <c r="M369" s="140">
        <f t="shared" si="35"/>
        <v>4.9444874222671507</v>
      </c>
      <c r="N369" s="12"/>
    </row>
    <row r="370" spans="2:14" ht="18.75" customHeight="1">
      <c r="B370" s="11"/>
      <c r="C370" s="65">
        <v>365</v>
      </c>
      <c r="D370" s="65">
        <f>(Observaciones!D370+Observaciones!E370)/2</f>
        <v>11.55</v>
      </c>
      <c r="E370" s="141">
        <f t="shared" si="30"/>
        <v>1.3621409164490859</v>
      </c>
      <c r="F370" s="141">
        <f t="shared" si="31"/>
        <v>9.0140238435898606E-2</v>
      </c>
      <c r="G370" s="141">
        <f t="shared" si="32"/>
        <v>2.4737304499999997</v>
      </c>
      <c r="H370" s="141">
        <f>0.001013*Constantes!$D$6/(0.622*G370)</f>
        <v>4.5045749554124839E-2</v>
      </c>
      <c r="I370" s="141">
        <f t="shared" si="33"/>
        <v>0.33962933384576244</v>
      </c>
      <c r="J370" s="141">
        <f t="shared" si="34"/>
        <v>-0.40382592193914041</v>
      </c>
      <c r="K370" s="141">
        <f>(Constantes!$D$12/0.8)*(Constantes!$D$7*J370^2+Constantes!$D$8*J370+Constantes!$D$9)</f>
        <v>19.559583912253299</v>
      </c>
      <c r="L370" s="141">
        <f>(Constantes!$D$12/0.8)*(0.00376*D370^2-0.0516*D370-6.967)</f>
        <v>-4.4133666250000001</v>
      </c>
      <c r="M370" s="140">
        <f t="shared" si="35"/>
        <v>4.745519180287876</v>
      </c>
      <c r="N370" s="12"/>
    </row>
    <row r="371" spans="2:14" ht="18.75" customHeight="1">
      <c r="B371" s="11"/>
      <c r="C371" s="75">
        <v>366</v>
      </c>
      <c r="D371" s="65">
        <f>(Observaciones!D371+Observaciones!E371)/2</f>
        <v>13.9</v>
      </c>
      <c r="E371" s="141">
        <f t="shared" ref="E371:E434" si="36">EXP((16.78*D371-116.9)/(D371+237.3))</f>
        <v>1.589063588132779</v>
      </c>
      <c r="F371" s="141">
        <f t="shared" ref="F371:F434" si="37">4098*E371/((D371+237.3)^2)</f>
        <v>0.10319863673742037</v>
      </c>
      <c r="G371" s="141">
        <f t="shared" ref="G371:G434" si="38">2.501-0.002361*D371</f>
        <v>2.4681820999999999</v>
      </c>
      <c r="H371" s="141">
        <f>0.001013*Constantes!$D$6/(0.622*G371)</f>
        <v>4.5147010147716632E-2</v>
      </c>
      <c r="I371" s="141">
        <f t="shared" ref="I371:I434" si="39">IF(D371&gt;0,1.26*F371/(G371*(F371+H371)),0)</f>
        <v>0.35513420222442993</v>
      </c>
      <c r="J371" s="141">
        <f t="shared" ref="J371:J434" si="40">0.409*SIN(2*PI()*(C371-82)/365)</f>
        <v>-0.40264979105160575</v>
      </c>
      <c r="K371" s="141">
        <f>(Constantes!$D$12/0.8)*(Constantes!$D$7*J371^2+Constantes!$D$8*J371+Constantes!$D$9)</f>
        <v>19.559672270770729</v>
      </c>
      <c r="L371" s="141">
        <f>(Constantes!$D$12/0.8)*(0.00376*D371^2-0.0516*D371-6.967)</f>
        <v>-4.3486064999999998</v>
      </c>
      <c r="M371" s="140">
        <f t="shared" si="35"/>
        <v>4.9851911910269076</v>
      </c>
      <c r="N371" s="12"/>
    </row>
    <row r="372" spans="2:14" ht="18.75" customHeight="1">
      <c r="B372" s="11"/>
      <c r="C372" s="75">
        <v>367</v>
      </c>
      <c r="D372" s="65">
        <f>(Observaciones!D372+Observaciones!E372)/2</f>
        <v>13.75</v>
      </c>
      <c r="E372" s="141">
        <f t="shared" si="36"/>
        <v>1.5736468149943981</v>
      </c>
      <c r="F372" s="141">
        <f t="shared" si="37"/>
        <v>0.10231958493462359</v>
      </c>
      <c r="G372" s="141">
        <f t="shared" si="38"/>
        <v>2.4685362500000001</v>
      </c>
      <c r="H372" s="141">
        <f>0.001013*Constantes!$D$6/(0.622*G372)</f>
        <v>4.5140533105443567E-2</v>
      </c>
      <c r="I372" s="141">
        <f t="shared" si="39"/>
        <v>0.35417281924860555</v>
      </c>
      <c r="J372" s="141">
        <f t="shared" si="40"/>
        <v>-0.40135434634108819</v>
      </c>
      <c r="K372" s="141">
        <f>(Constantes!$D$12/0.8)*(Constantes!$D$7*J372^2+Constantes!$D$8*J372+Constantes!$D$9)</f>
        <v>19.559742562804303</v>
      </c>
      <c r="L372" s="141">
        <f>(Constantes!$D$12/0.8)*(0.00376*D372^2-0.0516*D372-6.967)</f>
        <v>-4.353515625</v>
      </c>
      <c r="M372" s="140">
        <f t="shared" si="35"/>
        <v>4.9699805146615192</v>
      </c>
      <c r="N372" s="12"/>
    </row>
    <row r="373" spans="2:14" ht="18.75" customHeight="1">
      <c r="B373" s="11"/>
      <c r="C373" s="75">
        <v>368</v>
      </c>
      <c r="D373" s="65">
        <f>(Observaciones!D373+Observaciones!E373)/2</f>
        <v>14.55</v>
      </c>
      <c r="E373" s="141">
        <f t="shared" si="36"/>
        <v>1.6574115820276645</v>
      </c>
      <c r="F373" s="141">
        <f t="shared" si="37"/>
        <v>0.10708247809803828</v>
      </c>
      <c r="G373" s="141">
        <f t="shared" si="38"/>
        <v>2.46664745</v>
      </c>
      <c r="H373" s="141">
        <f>0.001013*Constantes!$D$6/(0.622*G373)</f>
        <v>4.5175098822943884E-2</v>
      </c>
      <c r="I373" s="141">
        <f t="shared" si="39"/>
        <v>0.35925511691610273</v>
      </c>
      <c r="J373" s="141">
        <f t="shared" si="40"/>
        <v>-0.39993997167581363</v>
      </c>
      <c r="K373" s="141">
        <f>(Constantes!$D$12/0.8)*(Constantes!$D$7*J373^2+Constantes!$D$8*J373+Constantes!$D$9)</f>
        <v>19.55978695171903</v>
      </c>
      <c r="L373" s="141">
        <f>(Constantes!$D$12/0.8)*(0.00376*D373^2-0.0516*D373-6.967)</f>
        <v>-4.3261116249999993</v>
      </c>
      <c r="M373" s="140">
        <f t="shared" si="35"/>
        <v>5.0511585976707609</v>
      </c>
      <c r="N373" s="12"/>
    </row>
    <row r="374" spans="2:14" ht="18.75" customHeight="1">
      <c r="B374" s="11"/>
      <c r="C374" s="75">
        <v>369</v>
      </c>
      <c r="D374" s="65">
        <f>(Observaciones!D374+Observaciones!E374)/2</f>
        <v>14.2</v>
      </c>
      <c r="E374" s="141">
        <f t="shared" si="36"/>
        <v>1.6202951919544792</v>
      </c>
      <c r="F374" s="141">
        <f t="shared" si="37"/>
        <v>0.10497602372452294</v>
      </c>
      <c r="G374" s="141">
        <f t="shared" si="38"/>
        <v>2.4674738000000001</v>
      </c>
      <c r="H374" s="141">
        <f>0.001013*Constantes!$D$6/(0.622*G374)</f>
        <v>4.5159969810059396E-2</v>
      </c>
      <c r="I374" s="141">
        <f t="shared" si="39"/>
        <v>0.3570452760428372</v>
      </c>
      <c r="J374" s="141">
        <f t="shared" si="40"/>
        <v>-0.39840708616552001</v>
      </c>
      <c r="K374" s="141">
        <f>(Constantes!$D$12/0.8)*(Constantes!$D$7*J374^2+Constantes!$D$8*J374+Constantes!$D$9)</f>
        <v>19.559796919776371</v>
      </c>
      <c r="L374" s="141">
        <f>(Constantes!$D$12/0.8)*(0.00376*D374^2-0.0516*D374-6.967)</f>
        <v>-4.3384710000000002</v>
      </c>
      <c r="M374" s="140">
        <f t="shared" si="35"/>
        <v>5.015678529330744</v>
      </c>
      <c r="N374" s="12"/>
    </row>
    <row r="375" spans="2:14" ht="18.75" customHeight="1">
      <c r="B375" s="11"/>
      <c r="C375" s="75">
        <v>370</v>
      </c>
      <c r="D375" s="65">
        <f>(Observaciones!D375+Observaciones!E375)/2</f>
        <v>13.75</v>
      </c>
      <c r="E375" s="141">
        <f t="shared" si="36"/>
        <v>1.5736468149943981</v>
      </c>
      <c r="F375" s="141">
        <f t="shared" si="37"/>
        <v>0.10231958493462359</v>
      </c>
      <c r="G375" s="141">
        <f t="shared" si="38"/>
        <v>2.4685362500000001</v>
      </c>
      <c r="H375" s="141">
        <f>0.001013*Constantes!$D$6/(0.622*G375)</f>
        <v>4.5140533105443567E-2</v>
      </c>
      <c r="I375" s="141">
        <f t="shared" si="39"/>
        <v>0.35417281924860555</v>
      </c>
      <c r="J375" s="141">
        <f t="shared" si="40"/>
        <v>-0.39675614403726633</v>
      </c>
      <c r="K375" s="141">
        <f>(Constantes!$D$12/0.8)*(Constantes!$D$7*J375^2+Constantes!$D$8*J375+Constantes!$D$9)</f>
        <v>19.55976328073784</v>
      </c>
      <c r="L375" s="141">
        <f>(Constantes!$D$12/0.8)*(0.00376*D375^2-0.0516*D375-6.967)</f>
        <v>-4.353515625</v>
      </c>
      <c r="M375" s="140">
        <f t="shared" si="35"/>
        <v>4.9699874121267129</v>
      </c>
      <c r="N375" s="12"/>
    </row>
    <row r="376" spans="2:14" ht="18.75" customHeight="1">
      <c r="B376" s="11"/>
      <c r="C376" s="75">
        <v>371</v>
      </c>
      <c r="D376" s="65">
        <f>(Observaciones!D376+Observaciones!E376)/2</f>
        <v>13.45</v>
      </c>
      <c r="E376" s="141">
        <f t="shared" si="36"/>
        <v>1.5432065279848868</v>
      </c>
      <c r="F376" s="141">
        <f t="shared" si="37"/>
        <v>0.1005805769400801</v>
      </c>
      <c r="G376" s="141">
        <f t="shared" si="38"/>
        <v>2.46924455</v>
      </c>
      <c r="H376" s="141">
        <f>0.001013*Constantes!$D$6/(0.622*G376)</f>
        <v>4.5127584594694167E-2</v>
      </c>
      <c r="I376" s="141">
        <f t="shared" si="39"/>
        <v>0.35223838816895903</v>
      </c>
      <c r="J376" s="141">
        <f t="shared" si="40"/>
        <v>-0.39498763450083568</v>
      </c>
      <c r="K376" s="141">
        <f>(Constantes!$D$12/0.8)*(Constantes!$D$7*J376^2+Constantes!$D$8*J376+Constantes!$D$9)</f>
        <v>19.559676193471102</v>
      </c>
      <c r="L376" s="141">
        <f>(Constantes!$D$12/0.8)*(0.00376*D376^2-0.0516*D376-6.967)</f>
        <v>-4.3630166249999993</v>
      </c>
      <c r="M376" s="140">
        <f t="shared" si="35"/>
        <v>4.9394667430209482</v>
      </c>
      <c r="N376" s="12"/>
    </row>
    <row r="377" spans="2:14" ht="18.75" customHeight="1">
      <c r="B377" s="11"/>
      <c r="C377" s="75">
        <v>372</v>
      </c>
      <c r="D377" s="65">
        <f>(Observaciones!D377+Observaciones!E377)/2</f>
        <v>13.8</v>
      </c>
      <c r="E377" s="141">
        <f t="shared" si="36"/>
        <v>1.5787710916071758</v>
      </c>
      <c r="F377" s="141">
        <f t="shared" si="37"/>
        <v>0.10261189172112961</v>
      </c>
      <c r="G377" s="141">
        <f t="shared" si="38"/>
        <v>2.4684181999999999</v>
      </c>
      <c r="H377" s="141">
        <f>0.001013*Constantes!$D$6/(0.622*G377)</f>
        <v>4.5142691913028568E-2</v>
      </c>
      <c r="I377" s="141">
        <f t="shared" si="39"/>
        <v>0.35449371277278185</v>
      </c>
      <c r="J377" s="141">
        <f t="shared" si="40"/>
        <v>-0.39310208160377097</v>
      </c>
      <c r="K377" s="141">
        <f>(Constantes!$D$12/0.8)*(Constantes!$D$7*J377^2+Constantes!$D$8*J377+Constantes!$D$9)</f>
        <v>19.559525176541626</v>
      </c>
      <c r="L377" s="141">
        <f>(Constantes!$D$12/0.8)*(0.00376*D377^2-0.0516*D377-6.967)</f>
        <v>-4.3518910000000002</v>
      </c>
      <c r="M377" s="140">
        <f t="shared" si="35"/>
        <v>4.9749869797381914</v>
      </c>
      <c r="N377" s="12"/>
    </row>
    <row r="378" spans="2:14" ht="18.75" customHeight="1">
      <c r="B378" s="11"/>
      <c r="C378" s="75">
        <v>373</v>
      </c>
      <c r="D378" s="65">
        <f>(Observaciones!D378+Observaciones!E378)/2</f>
        <v>14.2</v>
      </c>
      <c r="E378" s="141">
        <f t="shared" si="36"/>
        <v>1.6202951919544792</v>
      </c>
      <c r="F378" s="141">
        <f t="shared" si="37"/>
        <v>0.10497602372452294</v>
      </c>
      <c r="G378" s="141">
        <f t="shared" si="38"/>
        <v>2.4674738000000001</v>
      </c>
      <c r="H378" s="141">
        <f>0.001013*Constantes!$D$6/(0.622*G378)</f>
        <v>4.5159969810059396E-2</v>
      </c>
      <c r="I378" s="141">
        <f t="shared" si="39"/>
        <v>0.3570452760428372</v>
      </c>
      <c r="J378" s="141">
        <f t="shared" si="40"/>
        <v>-0.39110004407608945</v>
      </c>
      <c r="K378" s="141">
        <f>(Constantes!$D$12/0.8)*(Constantes!$D$7*J378^2+Constantes!$D$8*J378+Constantes!$D$9)</f>
        <v>19.559299123771726</v>
      </c>
      <c r="L378" s="141">
        <f>(Constantes!$D$12/0.8)*(0.00376*D378^2-0.0516*D378-6.967)</f>
        <v>-4.3384710000000002</v>
      </c>
      <c r="M378" s="140">
        <f t="shared" si="35"/>
        <v>5.0155114577615656</v>
      </c>
      <c r="N378" s="12"/>
    </row>
    <row r="379" spans="2:14" ht="18.75" customHeight="1">
      <c r="B379" s="11"/>
      <c r="C379" s="75">
        <v>374</v>
      </c>
      <c r="D379" s="65">
        <f>(Observaciones!D379+Observaciones!E379)/2</f>
        <v>14.1</v>
      </c>
      <c r="E379" s="141">
        <f t="shared" si="36"/>
        <v>1.6098253520131185</v>
      </c>
      <c r="F379" s="141">
        <f t="shared" si="37"/>
        <v>0.10438069155687195</v>
      </c>
      <c r="G379" s="141">
        <f t="shared" si="38"/>
        <v>2.4677099</v>
      </c>
      <c r="H379" s="141">
        <f>0.001013*Constantes!$D$6/(0.622*G379)</f>
        <v>4.5155649095994843E-2</v>
      </c>
      <c r="I379" s="141">
        <f t="shared" si="39"/>
        <v>0.35640998531823892</v>
      </c>
      <c r="J379" s="141">
        <f t="shared" si="40"/>
        <v>-0.38898211516471781</v>
      </c>
      <c r="K379" s="141">
        <f>(Constantes!$D$12/0.8)*(Constantes!$D$7*J379^2+Constantes!$D$8*J379+Constantes!$D$9)</f>
        <v>19.558986320747621</v>
      </c>
      <c r="L379" s="141">
        <f>(Constantes!$D$12/0.8)*(0.00376*D379^2-0.0516*D379-6.967)</f>
        <v>-4.3418964999999998</v>
      </c>
      <c r="M379" s="140">
        <f t="shared" si="35"/>
        <v>5.0052616779539445</v>
      </c>
      <c r="N379" s="12"/>
    </row>
    <row r="380" spans="2:14" ht="18.75" customHeight="1">
      <c r="B380" s="11"/>
      <c r="C380" s="75">
        <v>375</v>
      </c>
      <c r="D380" s="65">
        <f>(Observaciones!D380+Observaciones!E380)/2</f>
        <v>14.15</v>
      </c>
      <c r="E380" s="141">
        <f t="shared" si="36"/>
        <v>1.6150528288927855</v>
      </c>
      <c r="F380" s="141">
        <f t="shared" si="37"/>
        <v>0.10467799774317721</v>
      </c>
      <c r="G380" s="141">
        <f t="shared" si="38"/>
        <v>2.4675918499999998</v>
      </c>
      <c r="H380" s="141">
        <f>0.001013*Constantes!$D$6/(0.622*G380)</f>
        <v>4.5157809349675282E-2</v>
      </c>
      <c r="I380" s="141">
        <f t="shared" si="39"/>
        <v>0.35672784756039339</v>
      </c>
      <c r="J380" s="141">
        <f t="shared" si="40"/>
        <v>-0.38674892245770137</v>
      </c>
      <c r="K380" s="141">
        <f>(Constantes!$D$12/0.8)*(Constantes!$D$7*J380^2+Constantes!$D$8*J380+Constantes!$D$9)</f>
        <v>19.558574462253958</v>
      </c>
      <c r="L380" s="141">
        <f>(Constantes!$D$12/0.8)*(0.00376*D380^2-0.0516*D380-6.967)</f>
        <v>-4.3401896249999998</v>
      </c>
      <c r="M380" s="140">
        <f t="shared" si="35"/>
        <v>5.0101963761831598</v>
      </c>
      <c r="N380" s="12"/>
    </row>
    <row r="381" spans="2:14" ht="18.75" customHeight="1">
      <c r="B381" s="11"/>
      <c r="C381" s="75">
        <v>376</v>
      </c>
      <c r="D381" s="65">
        <f>(Observaciones!D381+Observaciones!E381)/2</f>
        <v>13.25</v>
      </c>
      <c r="E381" s="141">
        <f t="shared" si="36"/>
        <v>1.5232012546387372</v>
      </c>
      <c r="F381" s="141">
        <f t="shared" si="37"/>
        <v>9.943526343834895E-2</v>
      </c>
      <c r="G381" s="141">
        <f t="shared" si="38"/>
        <v>2.4697167499999999</v>
      </c>
      <c r="H381" s="141">
        <f>0.001013*Constantes!$D$6/(0.622*G381)</f>
        <v>4.5118956380367316E-2</v>
      </c>
      <c r="I381" s="141">
        <f t="shared" si="39"/>
        <v>0.35094014605756357</v>
      </c>
      <c r="J381" s="141">
        <f t="shared" si="40"/>
        <v>-0.38440112769823515</v>
      </c>
      <c r="K381" s="141">
        <f>(Constantes!$D$12/0.8)*(Constantes!$D$7*J381^2+Constantes!$D$8*J381+Constantes!$D$9)</f>
        <v>19.558050670614112</v>
      </c>
      <c r="L381" s="141">
        <f>(Constantes!$D$12/0.8)*(0.00376*D381^2-0.0516*D381-6.967)</f>
        <v>-4.3691156249999992</v>
      </c>
      <c r="M381" s="140">
        <f t="shared" si="35"/>
        <v>4.9185847738298687</v>
      </c>
      <c r="N381" s="12"/>
    </row>
    <row r="382" spans="2:14" ht="18.75" customHeight="1">
      <c r="B382" s="11"/>
      <c r="C382" s="75">
        <v>377</v>
      </c>
      <c r="D382" s="65">
        <f>(Observaciones!D382+Observaciones!E382)/2</f>
        <v>12.35</v>
      </c>
      <c r="E382" s="141">
        <f t="shared" si="36"/>
        <v>1.4359671208266067</v>
      </c>
      <c r="F382" s="141">
        <f t="shared" si="37"/>
        <v>9.4417676614232629E-2</v>
      </c>
      <c r="G382" s="141">
        <f t="shared" si="38"/>
        <v>2.47184165</v>
      </c>
      <c r="H382" s="141">
        <f>0.001013*Constantes!$D$6/(0.622*G382)</f>
        <v>4.5080170210382423E-2</v>
      </c>
      <c r="I382" s="141">
        <f t="shared" si="39"/>
        <v>0.34501319460891361</v>
      </c>
      <c r="J382" s="141">
        <f t="shared" si="40"/>
        <v>-0.38193942658857638</v>
      </c>
      <c r="K382" s="141">
        <f>(Constantes!$D$12/0.8)*(Constantes!$D$7*J382^2+Constantes!$D$8*J382+Constantes!$D$9)</f>
        <v>19.557401514913341</v>
      </c>
      <c r="L382" s="141">
        <f>(Constantes!$D$12/0.8)*(0.00376*D382^2-0.0516*D382-6.967)</f>
        <v>-4.3942346249999993</v>
      </c>
      <c r="M382" s="140">
        <f t="shared" si="35"/>
        <v>4.8266389545825392</v>
      </c>
      <c r="N382" s="12"/>
    </row>
    <row r="383" spans="2:14" ht="18.75" customHeight="1">
      <c r="B383" s="11"/>
      <c r="C383" s="75">
        <v>378</v>
      </c>
      <c r="D383" s="65">
        <f>(Observaciones!D383+Observaciones!E383)/2</f>
        <v>13.85</v>
      </c>
      <c r="E383" s="141">
        <f t="shared" si="36"/>
        <v>1.5839100041391287</v>
      </c>
      <c r="F383" s="141">
        <f t="shared" si="37"/>
        <v>0.10290490852509908</v>
      </c>
      <c r="G383" s="141">
        <f t="shared" si="38"/>
        <v>2.4683001499999997</v>
      </c>
      <c r="H383" s="141">
        <f>0.001013*Constantes!$D$6/(0.622*G383)</f>
        <v>4.5144850927109709E-2</v>
      </c>
      <c r="I383" s="141">
        <f t="shared" si="39"/>
        <v>0.35481417383138586</v>
      </c>
      <c r="J383" s="141">
        <f t="shared" si="40"/>
        <v>-0.37936454858389135</v>
      </c>
      <c r="K383" s="141">
        <f>(Constantes!$D$12/0.8)*(Constantes!$D$7*J383^2+Constantes!$D$8*J383+Constantes!$D$9)</f>
        <v>19.556613031080939</v>
      </c>
      <c r="L383" s="141">
        <f>(Constantes!$D$12/0.8)*(0.00376*D383^2-0.0516*D383-6.967)</f>
        <v>-4.3502546249999998</v>
      </c>
      <c r="M383" s="140">
        <f t="shared" si="35"/>
        <v>4.9790936851037726</v>
      </c>
      <c r="N383" s="12"/>
    </row>
    <row r="384" spans="2:14" ht="18.75" customHeight="1">
      <c r="B384" s="11"/>
      <c r="C384" s="75">
        <v>379</v>
      </c>
      <c r="D384" s="65">
        <f>(Observaciones!D384+Observaciones!E384)/2</f>
        <v>13.75</v>
      </c>
      <c r="E384" s="141">
        <f t="shared" si="36"/>
        <v>1.5736468149943981</v>
      </c>
      <c r="F384" s="141">
        <f t="shared" si="37"/>
        <v>0.10231958493462359</v>
      </c>
      <c r="G384" s="141">
        <f t="shared" si="38"/>
        <v>2.4685362500000001</v>
      </c>
      <c r="H384" s="141">
        <f>0.001013*Constantes!$D$6/(0.622*G384)</f>
        <v>4.5140533105443567E-2</v>
      </c>
      <c r="I384" s="141">
        <f t="shared" si="39"/>
        <v>0.35417281924860555</v>
      </c>
      <c r="J384" s="141">
        <f t="shared" si="40"/>
        <v>-0.37667725667610352</v>
      </c>
      <c r="K384" s="141">
        <f>(Constantes!$D$12/0.8)*(Constantes!$D$7*J384^2+Constantes!$D$8*J384+Constantes!$D$9)</f>
        <v>19.55567074280625</v>
      </c>
      <c r="L384" s="141">
        <f>(Constantes!$D$12/0.8)*(0.00376*D384^2-0.0516*D384-6.967)</f>
        <v>-4.353515625</v>
      </c>
      <c r="M384" s="140">
        <f t="shared" si="35"/>
        <v>4.9686249143714267</v>
      </c>
      <c r="N384" s="12"/>
    </row>
    <row r="385" spans="2:14" ht="18.75" customHeight="1">
      <c r="B385" s="11"/>
      <c r="C385" s="75">
        <v>380</v>
      </c>
      <c r="D385" s="65">
        <f>(Observaciones!D385+Observaciones!E385)/2</f>
        <v>13.7</v>
      </c>
      <c r="E385" s="141">
        <f t="shared" si="36"/>
        <v>1.568537138827782</v>
      </c>
      <c r="F385" s="141">
        <f t="shared" si="37"/>
        <v>0.10202798677665831</v>
      </c>
      <c r="G385" s="141">
        <f t="shared" si="38"/>
        <v>2.4686542999999999</v>
      </c>
      <c r="H385" s="141">
        <f>0.001013*Constantes!$D$6/(0.622*G385)</f>
        <v>4.5138374504325104E-2</v>
      </c>
      <c r="I385" s="141">
        <f t="shared" si="39"/>
        <v>0.35385149346393019</v>
      </c>
      <c r="J385" s="141">
        <f t="shared" si="40"/>
        <v>-0.37387834716780144</v>
      </c>
      <c r="K385" s="141">
        <f>(Constantes!$D$12/0.8)*(Constantes!$D$7*J385^2+Constantes!$D$8*J385+Constantes!$D$9)</f>
        <v>19.554559683262529</v>
      </c>
      <c r="L385" s="141">
        <f>(Constantes!$D$12/0.8)*(0.00376*D385^2-0.0516*D385-6.967)</f>
        <v>-4.3551285000000002</v>
      </c>
      <c r="M385" s="140">
        <f t="shared" si="35"/>
        <v>4.9631768151225577</v>
      </c>
      <c r="N385" s="12"/>
    </row>
    <row r="386" spans="2:14" ht="18.75" customHeight="1">
      <c r="B386" s="11"/>
      <c r="C386" s="75">
        <v>381</v>
      </c>
      <c r="D386" s="65">
        <f>(Observaciones!D386+Observaciones!E386)/2</f>
        <v>14</v>
      </c>
      <c r="E386" s="141">
        <f t="shared" si="36"/>
        <v>1.5994149130233961</v>
      </c>
      <c r="F386" s="141">
        <f t="shared" si="37"/>
        <v>0.10378823296050949</v>
      </c>
      <c r="G386" s="141">
        <f t="shared" si="38"/>
        <v>2.467946</v>
      </c>
      <c r="H386" s="141">
        <f>0.001013*Constantes!$D$6/(0.622*G386)</f>
        <v>4.5151329208626335E-2</v>
      </c>
      <c r="I386" s="141">
        <f t="shared" si="39"/>
        <v>0.35577296023920879</v>
      </c>
      <c r="J386" s="141">
        <f t="shared" si="40"/>
        <v>-0.37096864943627816</v>
      </c>
      <c r="K386" s="141">
        <f>(Constantes!$D$12/0.8)*(Constantes!$D$7*J386^2+Constantes!$D$8*J386+Constantes!$D$9)</f>
        <v>19.553264417611551</v>
      </c>
      <c r="L386" s="141">
        <f>(Constantes!$D$12/0.8)*(0.00376*D386^2-0.0516*D386-6.967)</f>
        <v>-4.3452749999999991</v>
      </c>
      <c r="M386" s="140">
        <f t="shared" si="35"/>
        <v>4.9932000485386032</v>
      </c>
      <c r="N386" s="12"/>
    </row>
    <row r="387" spans="2:14" ht="18.75" customHeight="1">
      <c r="B387" s="11"/>
      <c r="C387" s="75">
        <v>382</v>
      </c>
      <c r="D387" s="65">
        <f>(Observaciones!D387+Observaciones!E387)/2</f>
        <v>13.6</v>
      </c>
      <c r="E387" s="141">
        <f t="shared" si="36"/>
        <v>1.5583614462879349</v>
      </c>
      <c r="F387" s="141">
        <f t="shared" si="37"/>
        <v>0.10144691080047988</v>
      </c>
      <c r="G387" s="141">
        <f t="shared" si="38"/>
        <v>2.4688903999999998</v>
      </c>
      <c r="H387" s="141">
        <f>0.001013*Constantes!$D$6/(0.622*G387)</f>
        <v>4.5134057921369271E-2</v>
      </c>
      <c r="I387" s="141">
        <f t="shared" si="39"/>
        <v>0.3532075459589159</v>
      </c>
      <c r="J387" s="141">
        <f t="shared" si="40"/>
        <v>-0.36794902568776749</v>
      </c>
      <c r="K387" s="141">
        <f>(Constantes!$D$12/0.8)*(Constantes!$D$7*J387^2+Constantes!$D$8*J387+Constantes!$D$9)</f>
        <v>19.55176906626081</v>
      </c>
      <c r="L387" s="141">
        <f>(Constantes!$D$12/0.8)*(0.00376*D387^2-0.0516*D387-6.967)</f>
        <v>-4.3583189999999998</v>
      </c>
      <c r="M387" s="140">
        <f t="shared" si="35"/>
        <v>4.9520912702903441</v>
      </c>
      <c r="N387" s="12"/>
    </row>
    <row r="388" spans="2:14" ht="18.75" customHeight="1">
      <c r="B388" s="11"/>
      <c r="C388" s="75">
        <v>383</v>
      </c>
      <c r="D388" s="65">
        <f>(Observaciones!D388+Observaciones!E388)/2</f>
        <v>11.85</v>
      </c>
      <c r="E388" s="141">
        <f t="shared" si="36"/>
        <v>1.3894253255114986</v>
      </c>
      <c r="F388" s="141">
        <f t="shared" si="37"/>
        <v>9.172450604898108E-2</v>
      </c>
      <c r="G388" s="141">
        <f t="shared" si="38"/>
        <v>2.4730221499999998</v>
      </c>
      <c r="H388" s="141">
        <f>0.001013*Constantes!$D$6/(0.622*G388)</f>
        <v>4.5058651138693818E-2</v>
      </c>
      <c r="I388" s="141">
        <f t="shared" si="39"/>
        <v>0.34166091279937238</v>
      </c>
      <c r="J388" s="141">
        <f t="shared" si="40"/>
        <v>-0.36482037070195539</v>
      </c>
      <c r="K388" s="141">
        <f>(Constantes!$D$12/0.8)*(Constantes!$D$7*J388^2+Constantes!$D$8*J388+Constantes!$D$9)</f>
        <v>19.550057328844371</v>
      </c>
      <c r="L388" s="141">
        <f>(Constantes!$D$12/0.8)*(0.00376*D388^2-0.0516*D388-6.967)</f>
        <v>-4.4065446249999995</v>
      </c>
      <c r="M388" s="140">
        <f t="shared" si="35"/>
        <v>4.7731769474491781</v>
      </c>
      <c r="N388" s="12"/>
    </row>
    <row r="389" spans="2:14" ht="18.75" customHeight="1">
      <c r="B389" s="11"/>
      <c r="C389" s="75">
        <v>384</v>
      </c>
      <c r="D389" s="65">
        <f>(Observaciones!D389+Observaciones!E389)/2</f>
        <v>12.85</v>
      </c>
      <c r="E389" s="141">
        <f t="shared" si="36"/>
        <v>1.4838724736816862</v>
      </c>
      <c r="F389" s="141">
        <f t="shared" si="37"/>
        <v>9.717790188805045E-2</v>
      </c>
      <c r="G389" s="141">
        <f t="shared" si="38"/>
        <v>2.4706611499999998</v>
      </c>
      <c r="H389" s="141">
        <f>0.001013*Constantes!$D$6/(0.622*G389)</f>
        <v>4.5101709846011272E-2</v>
      </c>
      <c r="I389" s="141">
        <f t="shared" si="39"/>
        <v>0.34832304299622313</v>
      </c>
      <c r="J389" s="141">
        <f t="shared" si="40"/>
        <v>-0.36158361156683572</v>
      </c>
      <c r="K389" s="141">
        <f>(Constantes!$D$12/0.8)*(Constantes!$D$7*J389^2+Constantes!$D$8*J389+Constantes!$D$9)</f>
        <v>19.548112508897347</v>
      </c>
      <c r="L389" s="141">
        <f>(Constantes!$D$12/0.8)*(0.00376*D389^2-0.0516*D389-6.967)</f>
        <v>-4.380749625</v>
      </c>
      <c r="M389" s="140">
        <f t="shared" si="35"/>
        <v>4.874598511911195</v>
      </c>
      <c r="N389" s="12"/>
    </row>
    <row r="390" spans="2:14" ht="18.75" customHeight="1">
      <c r="B390" s="11"/>
      <c r="C390" s="75">
        <v>385</v>
      </c>
      <c r="D390" s="65">
        <f>(Observaciones!D390+Observaciones!E390)/2</f>
        <v>12.25</v>
      </c>
      <c r="E390" s="141">
        <f t="shared" si="36"/>
        <v>1.4265507491669478</v>
      </c>
      <c r="F390" s="141">
        <f t="shared" si="37"/>
        <v>9.387372076527814E-2</v>
      </c>
      <c r="G390" s="141">
        <f t="shared" si="38"/>
        <v>2.47207775</v>
      </c>
      <c r="H390" s="141">
        <f>0.001013*Constantes!$D$6/(0.622*G390)</f>
        <v>4.5075864751872197E-2</v>
      </c>
      <c r="I390" s="141">
        <f t="shared" si="39"/>
        <v>0.34434612138705856</v>
      </c>
      <c r="J390" s="141">
        <f t="shared" si="40"/>
        <v>-0.35823970740399547</v>
      </c>
      <c r="K390" s="141">
        <f>(Constantes!$D$12/0.8)*(Constantes!$D$7*J390^2+Constantes!$D$8*J390+Constantes!$D$9)</f>
        <v>19.545917539193209</v>
      </c>
      <c r="L390" s="141">
        <f>(Constantes!$D$12/0.8)*(0.00376*D390^2-0.0516*D390-6.967)</f>
        <v>-4.3967906249999995</v>
      </c>
      <c r="M390" s="140">
        <f t="shared" si="35"/>
        <v>4.8127094416883827</v>
      </c>
      <c r="N390" s="12"/>
    </row>
    <row r="391" spans="2:14" ht="18.75" customHeight="1">
      <c r="B391" s="11"/>
      <c r="C391" s="75">
        <v>386</v>
      </c>
      <c r="D391" s="65">
        <f>(Observaciones!D391+Observaciones!E391)/2</f>
        <v>14.5</v>
      </c>
      <c r="E391" s="141">
        <f t="shared" si="36"/>
        <v>1.6520640028566567</v>
      </c>
      <c r="F391" s="141">
        <f t="shared" si="37"/>
        <v>0.10677937410937641</v>
      </c>
      <c r="G391" s="141">
        <f t="shared" si="38"/>
        <v>2.4667654999999997</v>
      </c>
      <c r="H391" s="141">
        <f>0.001013*Constantes!$D$6/(0.622*G391)</f>
        <v>4.5172936914803029E-2</v>
      </c>
      <c r="I391" s="141">
        <f t="shared" si="39"/>
        <v>0.35894072909367275</v>
      </c>
      <c r="J391" s="141">
        <f t="shared" si="40"/>
        <v>-0.35478964908440519</v>
      </c>
      <c r="K391" s="141">
        <f>(Constantes!$D$12/0.8)*(Constantes!$D$7*J391^2+Constantes!$D$8*J391+Constantes!$D$9)</f>
        <v>19.543455007712261</v>
      </c>
      <c r="L391" s="141">
        <f>(Constantes!$D$12/0.8)*(0.00376*D391^2-0.0516*D391-6.967)</f>
        <v>-4.3279125000000001</v>
      </c>
      <c r="M391" s="140">
        <f t="shared" ref="M391:M454" si="41">IF(D391&gt;0,I391*(0.94*K391+L391),0)</f>
        <v>5.0405814019053503</v>
      </c>
      <c r="N391" s="12"/>
    </row>
    <row r="392" spans="2:14" ht="18.75" customHeight="1">
      <c r="B392" s="11"/>
      <c r="C392" s="75">
        <v>387</v>
      </c>
      <c r="D392" s="65">
        <f>(Observaciones!D392+Observaciones!E392)/2</f>
        <v>13.35</v>
      </c>
      <c r="E392" s="141">
        <f t="shared" si="36"/>
        <v>1.5331752529723204</v>
      </c>
      <c r="F392" s="141">
        <f t="shared" si="37"/>
        <v>0.1000065250127139</v>
      </c>
      <c r="G392" s="141">
        <f t="shared" si="38"/>
        <v>2.4694806499999999</v>
      </c>
      <c r="H392" s="141">
        <f>0.001013*Constantes!$D$6/(0.622*G392)</f>
        <v>4.5123270075071269E-2</v>
      </c>
      <c r="I392" s="141">
        <f t="shared" si="39"/>
        <v>0.35159012797989159</v>
      </c>
      <c r="J392" s="141">
        <f t="shared" si="40"/>
        <v>-0.35123445893480343</v>
      </c>
      <c r="K392" s="141">
        <f>(Constantes!$D$12/0.8)*(Constantes!$D$7*J392^2+Constantes!$D$8*J392+Constantes!$D$9)</f>
        <v>19.540707184208742</v>
      </c>
      <c r="L392" s="141">
        <f>(Constantes!$D$12/0.8)*(0.00376*D392^2-0.0516*D392-6.967)</f>
        <v>-4.3660896249999999</v>
      </c>
      <c r="M392" s="140">
        <f t="shared" si="41"/>
        <v>4.9230265453052979</v>
      </c>
      <c r="N392" s="12"/>
    </row>
    <row r="393" spans="2:14" ht="18.75" customHeight="1">
      <c r="B393" s="11"/>
      <c r="C393" s="75">
        <v>388</v>
      </c>
      <c r="D393" s="65">
        <f>(Observaciones!D393+Observaciones!E393)/2</f>
        <v>12.649999999999999</v>
      </c>
      <c r="E393" s="141">
        <f t="shared" si="36"/>
        <v>1.4645445530759134</v>
      </c>
      <c r="F393" s="141">
        <f t="shared" si="37"/>
        <v>9.606567968532842E-2</v>
      </c>
      <c r="G393" s="141">
        <f t="shared" si="38"/>
        <v>2.4711333499999997</v>
      </c>
      <c r="H393" s="141">
        <f>0.001013*Constantes!$D$6/(0.622*G393)</f>
        <v>4.5093091522200757E-2</v>
      </c>
      <c r="I393" s="141">
        <f t="shared" si="39"/>
        <v>0.34700421800471326</v>
      </c>
      <c r="J393" s="141">
        <f t="shared" si="40"/>
        <v>-0.34757519043475882</v>
      </c>
      <c r="K393" s="141">
        <f>(Constantes!$D$12/0.8)*(Constantes!$D$7*J393^2+Constantes!$D$8*J393+Constantes!$D$9)</f>
        <v>19.537656047343415</v>
      </c>
      <c r="L393" s="141">
        <f>(Constantes!$D$12/0.8)*(0.00376*D393^2-0.0516*D393-6.967)</f>
        <v>-4.386284625</v>
      </c>
      <c r="M393" s="140">
        <f t="shared" si="41"/>
        <v>4.8508108486080284</v>
      </c>
      <c r="N393" s="12"/>
    </row>
    <row r="394" spans="2:14" ht="18.75" customHeight="1">
      <c r="B394" s="11"/>
      <c r="C394" s="75">
        <v>389</v>
      </c>
      <c r="D394" s="65">
        <f>(Observaciones!D394+Observaciones!E394)/2</f>
        <v>11.549999999999999</v>
      </c>
      <c r="E394" s="141">
        <f t="shared" si="36"/>
        <v>1.3621409164490859</v>
      </c>
      <c r="F394" s="141">
        <f t="shared" si="37"/>
        <v>9.0140238435898606E-2</v>
      </c>
      <c r="G394" s="141">
        <f t="shared" si="38"/>
        <v>2.4737304499999997</v>
      </c>
      <c r="H394" s="141">
        <f>0.001013*Constantes!$D$6/(0.622*G394)</f>
        <v>4.5045749554124839E-2</v>
      </c>
      <c r="I394" s="141">
        <f t="shared" si="39"/>
        <v>0.33962933384576244</v>
      </c>
      <c r="J394" s="141">
        <f t="shared" si="40"/>
        <v>-0.34381292790450163</v>
      </c>
      <c r="K394" s="141">
        <f>(Constantes!$D$12/0.8)*(Constantes!$D$7*J394^2+Constantes!$D$8*J394+Constantes!$D$9)</f>
        <v>19.534283312347554</v>
      </c>
      <c r="L394" s="141">
        <f>(Constantes!$D$12/0.8)*(0.00376*D394^2-0.0516*D394-6.967)</f>
        <v>-4.4133666250000001</v>
      </c>
      <c r="M394" s="140">
        <f t="shared" si="41"/>
        <v>4.7374419239495031</v>
      </c>
      <c r="N394" s="12"/>
    </row>
    <row r="395" spans="2:14" ht="18.75" customHeight="1">
      <c r="B395" s="11"/>
      <c r="C395" s="75">
        <v>390</v>
      </c>
      <c r="D395" s="65">
        <f>(Observaciones!D395+Observaciones!E395)/2</f>
        <v>13.55</v>
      </c>
      <c r="E395" s="141">
        <f t="shared" si="36"/>
        <v>1.5532953593153362</v>
      </c>
      <c r="F395" s="141">
        <f t="shared" si="37"/>
        <v>0.10115743021423786</v>
      </c>
      <c r="G395" s="141">
        <f t="shared" si="38"/>
        <v>2.46900845</v>
      </c>
      <c r="H395" s="141">
        <f>0.001013*Constantes!$D$6/(0.622*G395)</f>
        <v>4.5131899939472676E-2</v>
      </c>
      <c r="I395" s="141">
        <f t="shared" si="39"/>
        <v>0.35288492467431798</v>
      </c>
      <c r="J395" s="141">
        <f t="shared" si="40"/>
        <v>-0.3399487861836154</v>
      </c>
      <c r="K395" s="141">
        <f>(Constantes!$D$12/0.8)*(Constantes!$D$7*J395^2+Constantes!$D$8*J395+Constantes!$D$9)</f>
        <v>19.53057045918376</v>
      </c>
      <c r="L395" s="141">
        <f>(Constantes!$D$12/0.8)*(0.00376*D395^2-0.0516*D395-6.967)</f>
        <v>-4.3598966250000002</v>
      </c>
      <c r="M395" s="140">
        <f t="shared" si="41"/>
        <v>4.9399794601144507</v>
      </c>
      <c r="N395" s="12"/>
    </row>
    <row r="396" spans="2:14" ht="18.75" customHeight="1">
      <c r="B396" s="11"/>
      <c r="C396" s="75">
        <v>391</v>
      </c>
      <c r="D396" s="65">
        <f>(Observaciones!D396+Observaciones!E396)/2</f>
        <v>13.600000000000001</v>
      </c>
      <c r="E396" s="141">
        <f t="shared" si="36"/>
        <v>1.5583614462879352</v>
      </c>
      <c r="F396" s="141">
        <f t="shared" si="37"/>
        <v>0.10144691080047989</v>
      </c>
      <c r="G396" s="141">
        <f t="shared" si="38"/>
        <v>2.4688903999999998</v>
      </c>
      <c r="H396" s="141">
        <f>0.001013*Constantes!$D$6/(0.622*G396)</f>
        <v>4.5134057921369271E-2</v>
      </c>
      <c r="I396" s="141">
        <f t="shared" si="39"/>
        <v>0.35320754595891579</v>
      </c>
      <c r="J396" s="141">
        <f t="shared" si="40"/>
        <v>-0.33598391030068753</v>
      </c>
      <c r="K396" s="141">
        <f>(Constantes!$D$12/0.8)*(Constantes!$D$7*J396^2+Constantes!$D$8*J396+Constantes!$D$9)</f>
        <v>19.526498761168291</v>
      </c>
      <c r="L396" s="141">
        <f>(Constantes!$D$12/0.8)*(0.00376*D396^2-0.0516*D396-6.967)</f>
        <v>-4.3583189999999998</v>
      </c>
      <c r="M396" s="140">
        <f t="shared" si="41"/>
        <v>4.943701147589822</v>
      </c>
      <c r="N396" s="12"/>
    </row>
    <row r="397" spans="2:14" ht="18.75" customHeight="1">
      <c r="B397" s="11"/>
      <c r="C397" s="75">
        <v>392</v>
      </c>
      <c r="D397" s="65">
        <f>(Observaciones!D397+Observaciones!E397)/2</f>
        <v>14.15</v>
      </c>
      <c r="E397" s="141">
        <f t="shared" si="36"/>
        <v>1.6150528288927855</v>
      </c>
      <c r="F397" s="141">
        <f t="shared" si="37"/>
        <v>0.10467799774317721</v>
      </c>
      <c r="G397" s="141">
        <f t="shared" si="38"/>
        <v>2.4675918499999998</v>
      </c>
      <c r="H397" s="141">
        <f>0.001013*Constantes!$D$6/(0.622*G397)</f>
        <v>4.5157809349675282E-2</v>
      </c>
      <c r="I397" s="141">
        <f t="shared" si="39"/>
        <v>0.35672784756039339</v>
      </c>
      <c r="J397" s="141">
        <f t="shared" si="40"/>
        <v>-0.33191947513401066</v>
      </c>
      <c r="K397" s="141">
        <f>(Constantes!$D$12/0.8)*(Constantes!$D$7*J397^2+Constantes!$D$8*J397+Constantes!$D$9)</f>
        <v>19.52204931401894</v>
      </c>
      <c r="L397" s="141">
        <f>(Constantes!$D$12/0.8)*(0.00376*D397^2-0.0516*D397-6.967)</f>
        <v>-4.3401896249999998</v>
      </c>
      <c r="M397" s="140">
        <f t="shared" si="41"/>
        <v>4.9979486109221591</v>
      </c>
      <c r="N397" s="12"/>
    </row>
    <row r="398" spans="2:14" ht="18.75" customHeight="1">
      <c r="B398" s="11"/>
      <c r="C398" s="75">
        <v>393</v>
      </c>
      <c r="D398" s="65">
        <f>(Observaciones!D398+Observaciones!E398)/2</f>
        <v>13.75</v>
      </c>
      <c r="E398" s="141">
        <f t="shared" si="36"/>
        <v>1.5736468149943981</v>
      </c>
      <c r="F398" s="141">
        <f t="shared" si="37"/>
        <v>0.10231958493462359</v>
      </c>
      <c r="G398" s="141">
        <f t="shared" si="38"/>
        <v>2.4685362500000001</v>
      </c>
      <c r="H398" s="141">
        <f>0.001013*Constantes!$D$6/(0.622*G398)</f>
        <v>4.5140533105443567E-2</v>
      </c>
      <c r="I398" s="141">
        <f t="shared" si="39"/>
        <v>0.35417281924860555</v>
      </c>
      <c r="J398" s="141">
        <f t="shared" si="40"/>
        <v>-0.32775668506344285</v>
      </c>
      <c r="K398" s="141">
        <f>(Constantes!$D$12/0.8)*(Constantes!$D$7*J398^2+Constantes!$D$8*J398+Constantes!$D$9)</f>
        <v>19.517203065292133</v>
      </c>
      <c r="L398" s="141">
        <f>(Constantes!$D$12/0.8)*(0.00376*D398^2-0.0516*D398-6.967)</f>
        <v>-4.353515625</v>
      </c>
      <c r="M398" s="140">
        <f t="shared" si="41"/>
        <v>4.9558181609240135</v>
      </c>
      <c r="N398" s="12"/>
    </row>
    <row r="399" spans="2:14" ht="18.75" customHeight="1">
      <c r="B399" s="11"/>
      <c r="C399" s="75">
        <v>394</v>
      </c>
      <c r="D399" s="65">
        <f>(Observaciones!D399+Observaciones!E399)/2</f>
        <v>11.55</v>
      </c>
      <c r="E399" s="141">
        <f t="shared" si="36"/>
        <v>1.3621409164490859</v>
      </c>
      <c r="F399" s="141">
        <f t="shared" si="37"/>
        <v>9.0140238435898606E-2</v>
      </c>
      <c r="G399" s="141">
        <f t="shared" si="38"/>
        <v>2.4737304499999997</v>
      </c>
      <c r="H399" s="141">
        <f>0.001013*Constantes!$D$6/(0.622*G399)</f>
        <v>4.5045749554124839E-2</v>
      </c>
      <c r="I399" s="141">
        <f t="shared" si="39"/>
        <v>0.33962933384576244</v>
      </c>
      <c r="J399" s="141">
        <f t="shared" si="40"/>
        <v>-0.32349677361352192</v>
      </c>
      <c r="K399" s="141">
        <f>(Constantes!$D$12/0.8)*(Constantes!$D$7*J399^2+Constantes!$D$8*J399+Constantes!$D$9)</f>
        <v>19.511940844172109</v>
      </c>
      <c r="L399" s="141">
        <f>(Constantes!$D$12/0.8)*(0.00376*D399^2-0.0516*D399-6.967)</f>
        <v>-4.4133666250000001</v>
      </c>
      <c r="M399" s="140">
        <f t="shared" si="41"/>
        <v>4.7303090558215795</v>
      </c>
      <c r="N399" s="12"/>
    </row>
    <row r="400" spans="2:14" ht="18.75" customHeight="1">
      <c r="B400" s="11"/>
      <c r="C400" s="75">
        <v>395</v>
      </c>
      <c r="D400" s="65">
        <f>(Observaciones!D400+Observaciones!E400)/2</f>
        <v>13.55</v>
      </c>
      <c r="E400" s="141">
        <f t="shared" si="36"/>
        <v>1.5532953593153362</v>
      </c>
      <c r="F400" s="141">
        <f t="shared" si="37"/>
        <v>0.10115743021423786</v>
      </c>
      <c r="G400" s="141">
        <f t="shared" si="38"/>
        <v>2.46900845</v>
      </c>
      <c r="H400" s="141">
        <f>0.001013*Constantes!$D$6/(0.622*G400)</f>
        <v>4.5131899939472676E-2</v>
      </c>
      <c r="I400" s="141">
        <f t="shared" si="39"/>
        <v>0.35288492467431798</v>
      </c>
      <c r="J400" s="141">
        <f t="shared" si="40"/>
        <v>-0.31914100308794741</v>
      </c>
      <c r="K400" s="141">
        <f>(Constantes!$D$12/0.8)*(Constantes!$D$7*J400^2+Constantes!$D$8*J400+Constantes!$D$9)</f>
        <v>19.506243391574898</v>
      </c>
      <c r="L400" s="141">
        <f>(Constantes!$D$12/0.8)*(0.00376*D400^2-0.0516*D400-6.967)</f>
        <v>-4.3598966250000002</v>
      </c>
      <c r="M400" s="140">
        <f t="shared" si="41"/>
        <v>4.9319098840189932</v>
      </c>
      <c r="N400" s="12"/>
    </row>
    <row r="401" spans="2:14" ht="18.75" customHeight="1">
      <c r="B401" s="11"/>
      <c r="C401" s="75">
        <v>396</v>
      </c>
      <c r="D401" s="65">
        <f>(Observaciones!D401+Observaciones!E401)/2</f>
        <v>13.1</v>
      </c>
      <c r="E401" s="141">
        <f t="shared" si="36"/>
        <v>1.5083470419027751</v>
      </c>
      <c r="F401" s="141">
        <f t="shared" si="37"/>
        <v>9.8583579016665535E-2</v>
      </c>
      <c r="G401" s="141">
        <f t="shared" si="38"/>
        <v>2.4700709000000001</v>
      </c>
      <c r="H401" s="141">
        <f>0.001013*Constantes!$D$6/(0.622*G401)</f>
        <v>4.5112487384516987E-2</v>
      </c>
      <c r="I401" s="141">
        <f t="shared" si="39"/>
        <v>0.34996194939764519</v>
      </c>
      <c r="J401" s="141">
        <f t="shared" si="40"/>
        <v>-0.31469066419553066</v>
      </c>
      <c r="K401" s="141">
        <f>(Constantes!$D$12/0.8)*(Constantes!$D$7*J401^2+Constantes!$D$8*J401+Constantes!$D$9)</f>
        <v>19.500091390529125</v>
      </c>
      <c r="L401" s="141">
        <f>(Constantes!$D$12/0.8)*(0.00376*D401^2-0.0516*D401-6.967)</f>
        <v>-4.3735664999999999</v>
      </c>
      <c r="M401" s="140">
        <f t="shared" si="41"/>
        <v>4.8842507385138658</v>
      </c>
      <c r="N401" s="12"/>
    </row>
    <row r="402" spans="2:14" ht="18.75" customHeight="1">
      <c r="B402" s="11"/>
      <c r="C402" s="75">
        <v>397</v>
      </c>
      <c r="D402" s="65">
        <f>(Observaciones!D402+Observaciones!E402)/2</f>
        <v>13.95</v>
      </c>
      <c r="E402" s="141">
        <f t="shared" si="36"/>
        <v>1.5942318792002568</v>
      </c>
      <c r="F402" s="141">
        <f t="shared" si="37"/>
        <v>0.10349307775094918</v>
      </c>
      <c r="G402" s="141">
        <f t="shared" si="38"/>
        <v>2.4680640499999997</v>
      </c>
      <c r="H402" s="141">
        <f>0.001013*Constantes!$D$6/(0.622*G402)</f>
        <v>4.514916957487896E-2</v>
      </c>
      <c r="I402" s="141">
        <f t="shared" si="39"/>
        <v>0.35545379775699454</v>
      </c>
      <c r="J402" s="141">
        <f t="shared" si="40"/>
        <v>-0.31014707566773209</v>
      </c>
      <c r="K402" s="141">
        <f>(Constantes!$D$12/0.8)*(Constantes!$D$7*J402^2+Constantes!$D$8*J402+Constantes!$D$9)</f>
        <v>19.493465496795437</v>
      </c>
      <c r="L402" s="141">
        <f>(Constantes!$D$12/0.8)*(0.00376*D402^2-0.0516*D402-6.967)</f>
        <v>-4.3469466250000002</v>
      </c>
      <c r="M402" s="140">
        <f t="shared" si="41"/>
        <v>4.9681460752408224</v>
      </c>
      <c r="N402" s="12"/>
    </row>
    <row r="403" spans="2:14" ht="18.75" customHeight="1">
      <c r="B403" s="11"/>
      <c r="C403" s="75">
        <v>398</v>
      </c>
      <c r="D403" s="65">
        <f>(Observaciones!D403+Observaciones!E403)/2</f>
        <v>15.100000000000001</v>
      </c>
      <c r="E403" s="141">
        <f t="shared" si="36"/>
        <v>1.7172446826168704</v>
      </c>
      <c r="F403" s="141">
        <f t="shared" si="37"/>
        <v>0.11046518728234204</v>
      </c>
      <c r="G403" s="141">
        <f t="shared" si="38"/>
        <v>2.4653489</v>
      </c>
      <c r="H403" s="141">
        <f>0.001013*Constantes!$D$6/(0.622*G403)</f>
        <v>4.5198893477151461E-2</v>
      </c>
      <c r="I403" s="141">
        <f t="shared" si="39"/>
        <v>0.36268465146207884</v>
      </c>
      <c r="J403" s="141">
        <f t="shared" si="40"/>
        <v>-0.30551158386789101</v>
      </c>
      <c r="K403" s="141">
        <f>(Constantes!$D$12/0.8)*(Constantes!$D$7*J403^2+Constantes!$D$8*J403+Constantes!$D$9)</f>
        <v>19.486346369685965</v>
      </c>
      <c r="L403" s="141">
        <f>(Constantes!$D$12/0.8)*(0.00376*D403^2-0.0516*D403-6.967)</f>
        <v>-4.3055265</v>
      </c>
      <c r="M403" s="140">
        <f t="shared" si="41"/>
        <v>5.0818064388641213</v>
      </c>
      <c r="N403" s="12"/>
    </row>
    <row r="404" spans="2:14" ht="18.75" customHeight="1">
      <c r="B404" s="11"/>
      <c r="C404" s="75">
        <v>399</v>
      </c>
      <c r="D404" s="65">
        <f>(Observaciones!D404+Observaciones!E404)/2</f>
        <v>15.8</v>
      </c>
      <c r="E404" s="141">
        <f t="shared" si="36"/>
        <v>1.7961296162943761</v>
      </c>
      <c r="F404" s="141">
        <f t="shared" si="37"/>
        <v>0.11490140460696453</v>
      </c>
      <c r="G404" s="141">
        <f t="shared" si="38"/>
        <v>2.4636961999999998</v>
      </c>
      <c r="H404" s="141">
        <f>0.001013*Constantes!$D$6/(0.622*G404)</f>
        <v>4.5229213859692821E-2</v>
      </c>
      <c r="I404" s="141">
        <f t="shared" si="39"/>
        <v>0.36697319935543615</v>
      </c>
      <c r="J404" s="141">
        <f t="shared" si="40"/>
        <v>-0.30078556239227017</v>
      </c>
      <c r="K404" s="141">
        <f>(Constantes!$D$12/0.8)*(Constantes!$D$7*J404^2+Constantes!$D$8*J404+Constantes!$D$9)</f>
        <v>19.478714703044947</v>
      </c>
      <c r="L404" s="141">
        <f>(Constantes!$D$12/0.8)*(0.00376*D404^2-0.0516*D404-6.967)</f>
        <v>-4.2772709999999998</v>
      </c>
      <c r="M404" s="140">
        <f t="shared" si="41"/>
        <v>5.149632455293462</v>
      </c>
      <c r="N404" s="12"/>
    </row>
    <row r="405" spans="2:14" ht="18.75" customHeight="1">
      <c r="B405" s="11"/>
      <c r="C405" s="75">
        <v>400</v>
      </c>
      <c r="D405" s="65">
        <f>(Observaciones!D405+Observaciones!E405)/2</f>
        <v>14.25</v>
      </c>
      <c r="E405" s="141">
        <f t="shared" si="36"/>
        <v>1.6255524772300411</v>
      </c>
      <c r="F405" s="141">
        <f t="shared" si="37"/>
        <v>0.10527477090559632</v>
      </c>
      <c r="G405" s="141">
        <f t="shared" si="38"/>
        <v>2.4673557499999998</v>
      </c>
      <c r="H405" s="141">
        <f>0.001013*Constantes!$D$6/(0.622*G405)</f>
        <v>4.5162130477176848E-2</v>
      </c>
      <c r="I405" s="141">
        <f t="shared" si="39"/>
        <v>0.35736227060066839</v>
      </c>
      <c r="J405" s="141">
        <f t="shared" si="40"/>
        <v>-0.29597041166302812</v>
      </c>
      <c r="K405" s="141">
        <f>(Constantes!$D$12/0.8)*(Constantes!$D$7*J405^2+Constantes!$D$8*J405+Constantes!$D$9)</f>
        <v>19.470551256351442</v>
      </c>
      <c r="L405" s="141">
        <f>(Constantes!$D$12/0.8)*(0.00376*D405^2-0.0516*D405-6.967)</f>
        <v>-4.3367406249999991</v>
      </c>
      <c r="M405" s="140">
        <f t="shared" si="41"/>
        <v>4.990770505651299</v>
      </c>
      <c r="N405" s="12"/>
    </row>
    <row r="406" spans="2:14" ht="18.75" customHeight="1">
      <c r="B406" s="11"/>
      <c r="C406" s="75">
        <v>401</v>
      </c>
      <c r="D406" s="65">
        <f>(Observaciones!D406+Observaciones!E406)/2</f>
        <v>16.2</v>
      </c>
      <c r="E406" s="141">
        <f t="shared" si="36"/>
        <v>1.8426179820822144</v>
      </c>
      <c r="F406" s="141">
        <f t="shared" si="37"/>
        <v>0.11750364312754244</v>
      </c>
      <c r="G406" s="141">
        <f t="shared" si="38"/>
        <v>2.4627517999999999</v>
      </c>
      <c r="H406" s="141">
        <f>0.001013*Constantes!$D$6/(0.622*G406)</f>
        <v>4.5246558063671921E-2</v>
      </c>
      <c r="I406" s="141">
        <f t="shared" si="39"/>
        <v>0.36938537600029586</v>
      </c>
      <c r="J406" s="141">
        <f t="shared" si="40"/>
        <v>-0.29106755851324601</v>
      </c>
      <c r="K406" s="141">
        <f>(Constantes!$D$12/0.8)*(Constantes!$D$7*J406^2+Constantes!$D$8*J406+Constantes!$D$9)</f>
        <v>19.461836885904763</v>
      </c>
      <c r="L406" s="141">
        <f>(Constantes!$D$12/0.8)*(0.00376*D406^2-0.0516*D406-6.967)</f>
        <v>-4.2600910000000001</v>
      </c>
      <c r="M406" s="140">
        <f t="shared" si="41"/>
        <v>5.1839675437804997</v>
      </c>
      <c r="N406" s="12"/>
    </row>
    <row r="407" spans="2:14" ht="18.75" customHeight="1">
      <c r="B407" s="11"/>
      <c r="C407" s="75">
        <v>402</v>
      </c>
      <c r="D407" s="65">
        <f>(Observaciones!D407+Observaciones!E407)/2</f>
        <v>16.95</v>
      </c>
      <c r="E407" s="141">
        <f t="shared" si="36"/>
        <v>1.9326323570211814</v>
      </c>
      <c r="F407" s="141">
        <f t="shared" si="37"/>
        <v>0.12251782469422456</v>
      </c>
      <c r="G407" s="141">
        <f t="shared" si="38"/>
        <v>2.46098105</v>
      </c>
      <c r="H407" s="141">
        <f>0.001013*Constantes!$D$6/(0.622*G407)</f>
        <v>4.5279114325204789E-2</v>
      </c>
      <c r="I407" s="141">
        <f t="shared" si="39"/>
        <v>0.37383289911709017</v>
      </c>
      <c r="J407" s="141">
        <f t="shared" si="40"/>
        <v>-0.28607845576412366</v>
      </c>
      <c r="K407" s="141">
        <f>(Constantes!$D$12/0.8)*(Constantes!$D$7*J407^2+Constantes!$D$8*J407+Constantes!$D$9)</f>
        <v>19.452552576053279</v>
      </c>
      <c r="L407" s="141">
        <f>(Constantes!$D$12/0.8)*(0.00376*D407^2-0.0516*D407-6.967)</f>
        <v>-4.2258516249999998</v>
      </c>
      <c r="M407" s="140">
        <f t="shared" si="41"/>
        <v>5.2559215130371832</v>
      </c>
      <c r="N407" s="12"/>
    </row>
    <row r="408" spans="2:14" ht="18.75" customHeight="1">
      <c r="B408" s="11"/>
      <c r="C408" s="75">
        <v>403</v>
      </c>
      <c r="D408" s="65">
        <f>(Observaciones!D408+Observaciones!E408)/2</f>
        <v>15.85</v>
      </c>
      <c r="E408" s="141">
        <f t="shared" si="36"/>
        <v>1.8018838624902389</v>
      </c>
      <c r="F408" s="141">
        <f t="shared" si="37"/>
        <v>0.11522398374570866</v>
      </c>
      <c r="G408" s="141">
        <f t="shared" si="38"/>
        <v>2.46357815</v>
      </c>
      <c r="H408" s="141">
        <f>0.001013*Constantes!$D$6/(0.622*G408)</f>
        <v>4.5231381157976466E-2</v>
      </c>
      <c r="I408" s="141">
        <f t="shared" si="39"/>
        <v>0.36727624993356689</v>
      </c>
      <c r="J408" s="141">
        <f t="shared" si="40"/>
        <v>-0.28100458179447996</v>
      </c>
      <c r="K408" s="141">
        <f>(Constantes!$D$12/0.8)*(Constantes!$D$7*J408^2+Constantes!$D$8*J408+Constantes!$D$9)</f>
        <v>19.44267947042696</v>
      </c>
      <c r="L408" s="141">
        <f>(Constantes!$D$12/0.8)*(0.00376*D408^2-0.0516*D408-6.967)</f>
        <v>-4.2751646249999995</v>
      </c>
      <c r="M408" s="140">
        <f t="shared" si="41"/>
        <v>5.1422179089665923</v>
      </c>
      <c r="N408" s="12"/>
    </row>
    <row r="409" spans="2:14" ht="18.75" customHeight="1">
      <c r="B409" s="11"/>
      <c r="C409" s="75">
        <v>404</v>
      </c>
      <c r="D409" s="65">
        <f>(Observaciones!D409+Observaciones!E409)/2</f>
        <v>16.350000000000001</v>
      </c>
      <c r="E409" s="141">
        <f t="shared" si="36"/>
        <v>1.8603210189575405</v>
      </c>
      <c r="F409" s="141">
        <f t="shared" si="37"/>
        <v>0.11849229571827896</v>
      </c>
      <c r="G409" s="141">
        <f t="shared" si="38"/>
        <v>2.4623976499999998</v>
      </c>
      <c r="H409" s="141">
        <f>0.001013*Constantes!$D$6/(0.622*G409)</f>
        <v>4.5253065570100968E-2</v>
      </c>
      <c r="I409" s="141">
        <f t="shared" si="39"/>
        <v>0.37028273686798835</v>
      </c>
      <c r="J409" s="141">
        <f t="shared" si="40"/>
        <v>-0.27584744010267476</v>
      </c>
      <c r="K409" s="141">
        <f>(Constantes!$D$12/0.8)*(Constantes!$D$7*J409^2+Constantes!$D$8*J409+Constantes!$D$9)</f>
        <v>19.432198903134118</v>
      </c>
      <c r="L409" s="141">
        <f>(Constantes!$D$12/0.8)*(0.00376*D409^2-0.0516*D409-6.967)</f>
        <v>-4.2534546249999998</v>
      </c>
      <c r="M409" s="140">
        <f t="shared" si="41"/>
        <v>5.1887025059338816</v>
      </c>
      <c r="N409" s="12"/>
    </row>
    <row r="410" spans="2:14" ht="18.75" customHeight="1">
      <c r="B410" s="11"/>
      <c r="C410" s="75">
        <v>405</v>
      </c>
      <c r="D410" s="65">
        <f>(Observaciones!D410+Observaciones!E410)/2</f>
        <v>13.45</v>
      </c>
      <c r="E410" s="141">
        <f t="shared" si="36"/>
        <v>1.5432065279848868</v>
      </c>
      <c r="F410" s="141">
        <f t="shared" si="37"/>
        <v>0.1005805769400801</v>
      </c>
      <c r="G410" s="141">
        <f t="shared" si="38"/>
        <v>2.46924455</v>
      </c>
      <c r="H410" s="141">
        <f>0.001013*Constantes!$D$6/(0.622*G410)</f>
        <v>4.5127584594694167E-2</v>
      </c>
      <c r="I410" s="141">
        <f t="shared" si="39"/>
        <v>0.35223838816895903</v>
      </c>
      <c r="J410" s="141">
        <f t="shared" si="40"/>
        <v>-0.27060855886109209</v>
      </c>
      <c r="K410" s="141">
        <f>(Constantes!$D$12/0.8)*(Constantes!$D$7*J410^2+Constantes!$D$8*J410+Constantes!$D$9)</f>
        <v>19.421092429882737</v>
      </c>
      <c r="L410" s="141">
        <f>(Constantes!$D$12/0.8)*(0.00376*D410^2-0.0516*D410-6.967)</f>
        <v>-4.3630166249999993</v>
      </c>
      <c r="M410" s="140">
        <f t="shared" si="41"/>
        <v>4.8935810927989589</v>
      </c>
      <c r="N410" s="12"/>
    </row>
    <row r="411" spans="2:14" ht="18.75" customHeight="1">
      <c r="B411" s="11"/>
      <c r="C411" s="75">
        <v>406</v>
      </c>
      <c r="D411" s="65">
        <f>(Observaciones!D411+Observaciones!E411)/2</f>
        <v>14.4</v>
      </c>
      <c r="E411" s="141">
        <f t="shared" si="36"/>
        <v>1.6414142277133972</v>
      </c>
      <c r="F411" s="141">
        <f t="shared" si="37"/>
        <v>0.10617535372371334</v>
      </c>
      <c r="G411" s="141">
        <f t="shared" si="38"/>
        <v>2.4670015999999997</v>
      </c>
      <c r="H411" s="141">
        <f>0.001013*Constantes!$D$6/(0.622*G411)</f>
        <v>4.5168613719226022E-2</v>
      </c>
      <c r="I411" s="141">
        <f t="shared" si="39"/>
        <v>0.3583106491514223</v>
      </c>
      <c r="J411" s="141">
        <f t="shared" si="40"/>
        <v>-0.26528949046330752</v>
      </c>
      <c r="K411" s="141">
        <f>(Constantes!$D$12/0.8)*(Constantes!$D$7*J411^2+Constantes!$D$8*J411+Constantes!$D$9)</f>
        <v>19.409341858986831</v>
      </c>
      <c r="L411" s="141">
        <f>(Constantes!$D$12/0.8)*(0.00376*D411^2-0.0516*D411-6.967)</f>
        <v>-4.3314789999999999</v>
      </c>
      <c r="M411" s="140">
        <f t="shared" si="41"/>
        <v>4.9852843959539648</v>
      </c>
      <c r="N411" s="12"/>
    </row>
    <row r="412" spans="2:14" ht="18.75" customHeight="1">
      <c r="B412" s="11"/>
      <c r="C412" s="75">
        <v>407</v>
      </c>
      <c r="D412" s="65">
        <f>(Observaciones!D412+Observaciones!E412)/2</f>
        <v>12.85</v>
      </c>
      <c r="E412" s="141">
        <f t="shared" si="36"/>
        <v>1.4838724736816862</v>
      </c>
      <c r="F412" s="141">
        <f t="shared" si="37"/>
        <v>9.717790188805045E-2</v>
      </c>
      <c r="G412" s="141">
        <f t="shared" si="38"/>
        <v>2.4706611499999998</v>
      </c>
      <c r="H412" s="141">
        <f>0.001013*Constantes!$D$6/(0.622*G412)</f>
        <v>4.5101709846011272E-2</v>
      </c>
      <c r="I412" s="141">
        <f t="shared" si="39"/>
        <v>0.34832304299622313</v>
      </c>
      <c r="J412" s="141">
        <f t="shared" si="40"/>
        <v>-0.2598918110640826</v>
      </c>
      <c r="K412" s="141">
        <f>(Constantes!$D$12/0.8)*(Constantes!$D$7*J412^2+Constantes!$D$8*J412+Constantes!$D$9)</f>
        <v>19.396929282218398</v>
      </c>
      <c r="L412" s="141">
        <f>(Constantes!$D$12/0.8)*(0.00376*D412^2-0.0516*D412-6.967)</f>
        <v>-4.380749625</v>
      </c>
      <c r="M412" s="140">
        <f t="shared" si="41"/>
        <v>4.8250975464384034</v>
      </c>
      <c r="N412" s="12"/>
    </row>
    <row r="413" spans="2:14" ht="18.75" customHeight="1">
      <c r="B413" s="11"/>
      <c r="C413" s="75">
        <v>408</v>
      </c>
      <c r="D413" s="65">
        <f>(Observaciones!D413+Observaciones!E413)/2</f>
        <v>14.95</v>
      </c>
      <c r="E413" s="141">
        <f t="shared" si="36"/>
        <v>1.7007416492954901</v>
      </c>
      <c r="F413" s="141">
        <f t="shared" si="37"/>
        <v>0.10953374874986048</v>
      </c>
      <c r="G413" s="141">
        <f t="shared" si="38"/>
        <v>2.4657030500000001</v>
      </c>
      <c r="H413" s="141">
        <f>0.001013*Constantes!$D$6/(0.622*G413)</f>
        <v>4.5192401540450108E-2</v>
      </c>
      <c r="I413" s="141">
        <f t="shared" si="39"/>
        <v>0.36175455161738501</v>
      </c>
      <c r="J413" s="141">
        <f t="shared" si="40"/>
        <v>-0.25441712011231504</v>
      </c>
      <c r="K413" s="141">
        <f>(Constantes!$D$12/0.8)*(Constantes!$D$7*J413^2+Constantes!$D$8*J413+Constantes!$D$9)</f>
        <v>19.383837105465599</v>
      </c>
      <c r="L413" s="141">
        <f>(Constantes!$D$12/0.8)*(0.00376*D413^2-0.0516*D413-6.967)</f>
        <v>-4.3112816249999995</v>
      </c>
      <c r="M413" s="140">
        <f t="shared" si="41"/>
        <v>5.0318340715212635</v>
      </c>
      <c r="N413" s="12"/>
    </row>
    <row r="414" spans="2:14" ht="18.75" customHeight="1">
      <c r="B414" s="11"/>
      <c r="C414" s="75">
        <v>409</v>
      </c>
      <c r="D414" s="65">
        <f>(Observaciones!D414+Observaciones!E414)/2</f>
        <v>15.8</v>
      </c>
      <c r="E414" s="141">
        <f t="shared" si="36"/>
        <v>1.7961296162943761</v>
      </c>
      <c r="F414" s="141">
        <f t="shared" si="37"/>
        <v>0.11490140460696453</v>
      </c>
      <c r="G414" s="141">
        <f t="shared" si="38"/>
        <v>2.4636961999999998</v>
      </c>
      <c r="H414" s="141">
        <f>0.001013*Constantes!$D$6/(0.622*G414)</f>
        <v>4.5229213859692821E-2</v>
      </c>
      <c r="I414" s="141">
        <f t="shared" si="39"/>
        <v>0.36697319935543615</v>
      </c>
      <c r="J414" s="141">
        <f t="shared" si="40"/>
        <v>-0.24886703987708669</v>
      </c>
      <c r="K414" s="141">
        <f>(Constantes!$D$12/0.8)*(Constantes!$D$7*J414^2+Constantes!$D$8*J414+Constantes!$D$9)</f>
        <v>19.370048079158099</v>
      </c>
      <c r="L414" s="141">
        <f>(Constantes!$D$12/0.8)*(0.00376*D414^2-0.0516*D414-6.967)</f>
        <v>-4.2772709999999998</v>
      </c>
      <c r="M414" s="140">
        <f t="shared" si="41"/>
        <v>5.1121473809804066</v>
      </c>
      <c r="N414" s="12"/>
    </row>
    <row r="415" spans="2:14" ht="18.75" customHeight="1">
      <c r="B415" s="11"/>
      <c r="C415" s="75">
        <v>410</v>
      </c>
      <c r="D415" s="65">
        <f>(Observaciones!D415+Observaciones!E415)/2</f>
        <v>14.9</v>
      </c>
      <c r="E415" s="141">
        <f t="shared" si="36"/>
        <v>1.6952716301356707</v>
      </c>
      <c r="F415" s="141">
        <f t="shared" si="37"/>
        <v>0.10922475617100802</v>
      </c>
      <c r="G415" s="141">
        <f t="shared" si="38"/>
        <v>2.4658210999999999</v>
      </c>
      <c r="H415" s="141">
        <f>0.001013*Constantes!$D$6/(0.622*G415)</f>
        <v>4.5190237975947463E-2</v>
      </c>
      <c r="I415" s="141">
        <f t="shared" si="39"/>
        <v>0.36144364658766281</v>
      </c>
      <c r="J415" s="141">
        <f t="shared" si="40"/>
        <v>-0.24324321496695248</v>
      </c>
      <c r="K415" s="141">
        <f>(Constantes!$D$12/0.8)*(Constantes!$D$7*J415^2+Constantes!$D$8*J415+Constantes!$D$9)</f>
        <v>19.355545328420625</v>
      </c>
      <c r="L415" s="141">
        <f>(Constantes!$D$12/0.8)*(0.00376*D415^2-0.0516*D415-6.967)</f>
        <v>-4.3131765</v>
      </c>
      <c r="M415" s="140">
        <f t="shared" si="41"/>
        <v>5.0172123095491097</v>
      </c>
      <c r="N415" s="12"/>
    </row>
    <row r="416" spans="2:14" ht="18.75" customHeight="1">
      <c r="B416" s="11"/>
      <c r="C416" s="75">
        <v>411</v>
      </c>
      <c r="D416" s="65">
        <f>(Observaciones!D416+Observaciones!E416)/2</f>
        <v>15.25</v>
      </c>
      <c r="E416" s="141">
        <f t="shared" si="36"/>
        <v>1.7338879625062771</v>
      </c>
      <c r="F416" s="141">
        <f t="shared" si="37"/>
        <v>0.11140334723771557</v>
      </c>
      <c r="G416" s="141">
        <f t="shared" si="38"/>
        <v>2.4649947499999998</v>
      </c>
      <c r="H416" s="141">
        <f>0.001013*Constantes!$D$6/(0.622*G416)</f>
        <v>4.5205387279268053E-2</v>
      </c>
      <c r="I416" s="141">
        <f t="shared" si="39"/>
        <v>0.36361082673457973</v>
      </c>
      <c r="J416" s="141">
        <f t="shared" si="40"/>
        <v>-0.23754731184260469</v>
      </c>
      <c r="K416" s="141">
        <f>(Constantes!$D$12/0.8)*(Constantes!$D$7*J416^2+Constantes!$D$8*J416+Constantes!$D$9)</f>
        <v>19.340312382916125</v>
      </c>
      <c r="L416" s="141">
        <f>(Constantes!$D$12/0.8)*(0.00376*D416^2-0.0516*D416-6.967)</f>
        <v>-4.2996656249999994</v>
      </c>
      <c r="M416" s="140">
        <f t="shared" si="41"/>
        <v>5.0470011837772288</v>
      </c>
      <c r="N416" s="12"/>
    </row>
    <row r="417" spans="2:14" ht="18.75" customHeight="1">
      <c r="B417" s="11"/>
      <c r="C417" s="75">
        <v>412</v>
      </c>
      <c r="D417" s="65">
        <f>(Observaciones!D417+Observaciones!E417)/2</f>
        <v>14.899999999999999</v>
      </c>
      <c r="E417" s="141">
        <f t="shared" si="36"/>
        <v>1.6952716301356705</v>
      </c>
      <c r="F417" s="141">
        <f t="shared" si="37"/>
        <v>0.10922475617100801</v>
      </c>
      <c r="G417" s="141">
        <f t="shared" si="38"/>
        <v>2.4658210999999999</v>
      </c>
      <c r="H417" s="141">
        <f>0.001013*Constantes!$D$6/(0.622*G417)</f>
        <v>4.5190237975947463E-2</v>
      </c>
      <c r="I417" s="141">
        <f t="shared" si="39"/>
        <v>0.36144364658766276</v>
      </c>
      <c r="J417" s="141">
        <f t="shared" si="40"/>
        <v>-0.23178101832306741</v>
      </c>
      <c r="K417" s="141">
        <f>(Constantes!$D$12/0.8)*(Constantes!$D$7*J417^2+Constantes!$D$8*J417+Constantes!$D$9)</f>
        <v>19.324333206340278</v>
      </c>
      <c r="L417" s="141">
        <f>(Constantes!$D$12/0.8)*(0.00376*D417^2-0.0516*D417-6.967)</f>
        <v>-4.3131765</v>
      </c>
      <c r="M417" s="140">
        <f t="shared" si="41"/>
        <v>5.006607771719997</v>
      </c>
      <c r="N417" s="12"/>
    </row>
    <row r="418" spans="2:14" ht="18.75" customHeight="1">
      <c r="B418" s="11"/>
      <c r="C418" s="75">
        <v>413</v>
      </c>
      <c r="D418" s="65">
        <f>(Observaciones!D418+Observaciones!E418)/2</f>
        <v>14.95</v>
      </c>
      <c r="E418" s="141">
        <f t="shared" si="36"/>
        <v>1.7007416492954901</v>
      </c>
      <c r="F418" s="141">
        <f t="shared" si="37"/>
        <v>0.10953374874986048</v>
      </c>
      <c r="G418" s="141">
        <f t="shared" si="38"/>
        <v>2.4657030500000001</v>
      </c>
      <c r="H418" s="141">
        <f>0.001013*Constantes!$D$6/(0.622*G418)</f>
        <v>4.5192401540450108E-2</v>
      </c>
      <c r="I418" s="141">
        <f t="shared" si="39"/>
        <v>0.36175455161738501</v>
      </c>
      <c r="J418" s="141">
        <f t="shared" si="40"/>
        <v>-0.22594604308555669</v>
      </c>
      <c r="K418" s="141">
        <f>(Constantes!$D$12/0.8)*(Constantes!$D$7*J418^2+Constantes!$D$8*J418+Constantes!$D$9)</f>
        <v>19.307592225529401</v>
      </c>
      <c r="L418" s="141">
        <f>(Constantes!$D$12/0.8)*(0.00376*D418^2-0.0516*D418-6.967)</f>
        <v>-4.3112816249999995</v>
      </c>
      <c r="M418" s="140">
        <f t="shared" si="41"/>
        <v>5.0059070551080893</v>
      </c>
      <c r="N418" s="12"/>
    </row>
    <row r="419" spans="2:14" ht="18.75" customHeight="1">
      <c r="B419" s="11"/>
      <c r="C419" s="75">
        <v>414</v>
      </c>
      <c r="D419" s="65">
        <f>(Observaciones!D419+Observaciones!E419)/2</f>
        <v>15.9</v>
      </c>
      <c r="E419" s="141">
        <f t="shared" si="36"/>
        <v>1.8076542599824501</v>
      </c>
      <c r="F419" s="141">
        <f t="shared" si="37"/>
        <v>0.11554733155589622</v>
      </c>
      <c r="G419" s="141">
        <f t="shared" si="38"/>
        <v>2.4634600999999998</v>
      </c>
      <c r="H419" s="141">
        <f>0.001013*Constantes!$D$6/(0.622*G419)</f>
        <v>4.5233548663975741E-2</v>
      </c>
      <c r="I419" s="141">
        <f t="shared" si="39"/>
        <v>0.36757886380267918</v>
      </c>
      <c r="J419" s="141">
        <f t="shared" si="40"/>
        <v>-0.22004411515916436</v>
      </c>
      <c r="K419" s="141">
        <f>(Constantes!$D$12/0.8)*(Constantes!$D$7*J419^2+Constantes!$D$8*J419+Constantes!$D$9)</f>
        <v>19.29007435914431</v>
      </c>
      <c r="L419" s="141">
        <f>(Constantes!$D$12/0.8)*(0.00376*D419^2-0.0516*D419-6.967)</f>
        <v>-4.2730464999999995</v>
      </c>
      <c r="M419" s="140">
        <f t="shared" si="41"/>
        <v>5.0945046212212377</v>
      </c>
      <c r="N419" s="12"/>
    </row>
    <row r="420" spans="2:14" ht="18.75" customHeight="1">
      <c r="B420" s="11"/>
      <c r="C420" s="75">
        <v>415</v>
      </c>
      <c r="D420" s="65">
        <f>(Observaciones!D420+Observaciones!E420)/2</f>
        <v>14.6</v>
      </c>
      <c r="E420" s="141">
        <f t="shared" si="36"/>
        <v>1.6627743376092956</v>
      </c>
      <c r="F420" s="141">
        <f t="shared" si="37"/>
        <v>0.10738631317466246</v>
      </c>
      <c r="G420" s="141">
        <f t="shared" si="38"/>
        <v>2.4665293999999998</v>
      </c>
      <c r="H420" s="141">
        <f>0.001013*Constantes!$D$6/(0.622*G420)</f>
        <v>4.5177260938025939E-2</v>
      </c>
      <c r="I420" s="141">
        <f t="shared" si="39"/>
        <v>0.35956906979682196</v>
      </c>
      <c r="J420" s="141">
        <f t="shared" si="40"/>
        <v>-0.21407698341251005</v>
      </c>
      <c r="K420" s="141">
        <f>(Constantes!$D$12/0.8)*(Constantes!$D$7*J420^2+Constantes!$D$8*J420+Constantes!$D$9)</f>
        <v>19.27176504589303</v>
      </c>
      <c r="L420" s="141">
        <f>(Constantes!$D$12/0.8)*(0.00376*D420^2-0.0516*D420-6.967)</f>
        <v>-4.3242989999999999</v>
      </c>
      <c r="M420" s="140">
        <f t="shared" si="41"/>
        <v>4.9588746240876569</v>
      </c>
      <c r="N420" s="12"/>
    </row>
    <row r="421" spans="2:14" ht="18.75" customHeight="1">
      <c r="B421" s="11"/>
      <c r="C421" s="75">
        <v>416</v>
      </c>
      <c r="D421" s="65">
        <f>(Observaciones!D421+Observaciones!E421)/2</f>
        <v>13</v>
      </c>
      <c r="E421" s="141">
        <f t="shared" si="36"/>
        <v>1.4985150190445926</v>
      </c>
      <c r="F421" s="141">
        <f t="shared" si="37"/>
        <v>9.8019245431965704E-2</v>
      </c>
      <c r="G421" s="141">
        <f t="shared" si="38"/>
        <v>2.470307</v>
      </c>
      <c r="H421" s="141">
        <f>0.001013*Constantes!$D$6/(0.622*G421)</f>
        <v>4.5108175751075688E-2</v>
      </c>
      <c r="I421" s="141">
        <f t="shared" si="39"/>
        <v>0.3493076722279615</v>
      </c>
      <c r="J421" s="141">
        <f t="shared" si="40"/>
        <v>-0.20804641603551061</v>
      </c>
      <c r="K421" s="141">
        <f>(Constantes!$D$12/0.8)*(Constantes!$D$7*J421^2+Constantes!$D$8*J421+Constantes!$D$9)</f>
        <v>19.252650272255934</v>
      </c>
      <c r="L421" s="141">
        <f>(Constantes!$D$12/0.8)*(0.00376*D421^2-0.0516*D421-6.967)</f>
        <v>-4.3764749999999992</v>
      </c>
      <c r="M421" s="140">
        <f t="shared" si="41"/>
        <v>4.7928562489576363</v>
      </c>
      <c r="N421" s="12"/>
    </row>
    <row r="422" spans="2:14" ht="18.75" customHeight="1">
      <c r="B422" s="11"/>
      <c r="C422" s="75">
        <v>417</v>
      </c>
      <c r="D422" s="65">
        <f>(Observaciones!D422+Observaciones!E422)/2</f>
        <v>11.2</v>
      </c>
      <c r="E422" s="141">
        <f t="shared" si="36"/>
        <v>1.3309049906437358</v>
      </c>
      <c r="F422" s="141">
        <f t="shared" si="37"/>
        <v>8.8321456330061332E-2</v>
      </c>
      <c r="G422" s="141">
        <f t="shared" si="38"/>
        <v>2.4745567999999998</v>
      </c>
      <c r="H422" s="141">
        <f>0.001013*Constantes!$D$6/(0.622*G422)</f>
        <v>4.5030707040191013E-2</v>
      </c>
      <c r="I422" s="141">
        <f t="shared" si="39"/>
        <v>0.33724015024190968</v>
      </c>
      <c r="J422" s="141">
        <f t="shared" si="40"/>
        <v>-0.20195420001543074</v>
      </c>
      <c r="K422" s="141">
        <f>(Constantes!$D$12/0.8)*(Constantes!$D$7*J422^2+Constantes!$D$8*J422+Constantes!$D$9)</f>
        <v>19.232716599677278</v>
      </c>
      <c r="L422" s="141">
        <f>(Constantes!$D$12/0.8)*(0.00376*D422^2-0.0516*D422-6.967)</f>
        <v>-4.4207910000000004</v>
      </c>
      <c r="M422" s="140">
        <f t="shared" si="41"/>
        <v>4.6060133604690385</v>
      </c>
      <c r="N422" s="12"/>
    </row>
    <row r="423" spans="2:14" ht="18.75" customHeight="1">
      <c r="B423" s="11"/>
      <c r="C423" s="75">
        <v>418</v>
      </c>
      <c r="D423" s="65">
        <f>(Observaciones!D423+Observaciones!E423)/2</f>
        <v>10.7</v>
      </c>
      <c r="E423" s="141">
        <f t="shared" si="36"/>
        <v>1.2873744557569893</v>
      </c>
      <c r="F423" s="141">
        <f t="shared" si="37"/>
        <v>8.5777518855556414E-2</v>
      </c>
      <c r="G423" s="141">
        <f t="shared" si="38"/>
        <v>2.4757373</v>
      </c>
      <c r="H423" s="141">
        <f>0.001013*Constantes!$D$6/(0.622*G423)</f>
        <v>4.5009235153952935E-2</v>
      </c>
      <c r="I423" s="141">
        <f t="shared" si="39"/>
        <v>0.33379183113820976</v>
      </c>
      <c r="J423" s="141">
        <f t="shared" si="40"/>
        <v>-0.1958021406073574</v>
      </c>
      <c r="K423" s="141">
        <f>(Constantes!$D$12/0.8)*(Constantes!$D$7*J423^2+Constantes!$D$8*J423+Constantes!$D$9)</f>
        <v>19.211951191187786</v>
      </c>
      <c r="L423" s="141">
        <f>(Constantes!$D$12/0.8)*(0.00376*D423^2-0.0516*D423-6.967)</f>
        <v>-4.4303984999999999</v>
      </c>
      <c r="M423" s="140">
        <f t="shared" si="41"/>
        <v>4.5491939977868343</v>
      </c>
      <c r="N423" s="12"/>
    </row>
    <row r="424" spans="2:14" ht="18.75" customHeight="1">
      <c r="B424" s="11"/>
      <c r="C424" s="75">
        <v>419</v>
      </c>
      <c r="D424" s="65">
        <f>(Observaciones!D424+Observaciones!E424)/2</f>
        <v>14.25</v>
      </c>
      <c r="E424" s="141">
        <f t="shared" si="36"/>
        <v>1.6255524772300411</v>
      </c>
      <c r="F424" s="141">
        <f t="shared" si="37"/>
        <v>0.10527477090559632</v>
      </c>
      <c r="G424" s="141">
        <f t="shared" si="38"/>
        <v>2.4673557499999998</v>
      </c>
      <c r="H424" s="141">
        <f>0.001013*Constantes!$D$6/(0.622*G424)</f>
        <v>4.5162130477176848E-2</v>
      </c>
      <c r="I424" s="141">
        <f t="shared" si="39"/>
        <v>0.35736227060066839</v>
      </c>
      <c r="J424" s="141">
        <f t="shared" si="40"/>
        <v>-0.18959206079926613</v>
      </c>
      <c r="K424" s="141">
        <f>(Constantes!$D$12/0.8)*(Constantes!$D$7*J424^2+Constantes!$D$8*J424+Constantes!$D$9)</f>
        <v>19.190341837423617</v>
      </c>
      <c r="L424" s="141">
        <f>(Constantes!$D$12/0.8)*(0.00376*D424^2-0.0516*D424-6.967)</f>
        <v>-4.3367406249999991</v>
      </c>
      <c r="M424" s="140">
        <f t="shared" si="41"/>
        <v>4.8966424079110613</v>
      </c>
      <c r="N424" s="12"/>
    </row>
    <row r="425" spans="2:14" ht="18.75" customHeight="1">
      <c r="B425" s="11"/>
      <c r="C425" s="75">
        <v>420</v>
      </c>
      <c r="D425" s="65">
        <f>(Observaciones!D425+Observaciones!E425)/2</f>
        <v>14.5</v>
      </c>
      <c r="E425" s="141">
        <f t="shared" si="36"/>
        <v>1.6520640028566567</v>
      </c>
      <c r="F425" s="141">
        <f t="shared" si="37"/>
        <v>0.10677937410937641</v>
      </c>
      <c r="G425" s="141">
        <f t="shared" si="38"/>
        <v>2.4667654999999997</v>
      </c>
      <c r="H425" s="141">
        <f>0.001013*Constantes!$D$6/(0.622*G425)</f>
        <v>4.5172936914803029E-2</v>
      </c>
      <c r="I425" s="141">
        <f t="shared" si="39"/>
        <v>0.35894072909367275</v>
      </c>
      <c r="J425" s="141">
        <f t="shared" si="40"/>
        <v>-0.18332580077182795</v>
      </c>
      <c r="K425" s="141">
        <f>(Constantes!$D$12/0.8)*(Constantes!$D$7*J425^2+Constantes!$D$8*J425+Constantes!$D$9)</f>
        <v>19.167876982007542</v>
      </c>
      <c r="L425" s="141">
        <f>(Constantes!$D$12/0.8)*(0.00376*D425^2-0.0516*D425-6.967)</f>
        <v>-4.3279125000000001</v>
      </c>
      <c r="M425" s="140">
        <f t="shared" si="41"/>
        <v>4.9138597665500168</v>
      </c>
      <c r="N425" s="12"/>
    </row>
    <row r="426" spans="2:14" ht="18.75" customHeight="1">
      <c r="B426" s="11"/>
      <c r="C426" s="75">
        <v>421</v>
      </c>
      <c r="D426" s="65">
        <f>(Observaciones!D426+Observaciones!E426)/2</f>
        <v>14.15</v>
      </c>
      <c r="E426" s="141">
        <f t="shared" si="36"/>
        <v>1.6150528288927855</v>
      </c>
      <c r="F426" s="141">
        <f t="shared" si="37"/>
        <v>0.10467799774317721</v>
      </c>
      <c r="G426" s="141">
        <f t="shared" si="38"/>
        <v>2.4675918499999998</v>
      </c>
      <c r="H426" s="141">
        <f>0.001013*Constantes!$D$6/(0.622*G426)</f>
        <v>4.5157809349675282E-2</v>
      </c>
      <c r="I426" s="141">
        <f t="shared" si="39"/>
        <v>0.35672784756039339</v>
      </c>
      <c r="J426" s="141">
        <f t="shared" si="40"/>
        <v>-0.17700521735312655</v>
      </c>
      <c r="K426" s="141">
        <f>(Constantes!$D$12/0.8)*(Constantes!$D$7*J426^2+Constantes!$D$8*J426+Constantes!$D$9)</f>
        <v>19.144545746259201</v>
      </c>
      <c r="L426" s="141">
        <f>(Constantes!$D$12/0.8)*(0.00376*D426^2-0.0516*D426-6.967)</f>
        <v>-4.3401896249999998</v>
      </c>
      <c r="M426" s="140">
        <f t="shared" si="41"/>
        <v>4.8713625378592571</v>
      </c>
      <c r="N426" s="12"/>
    </row>
    <row r="427" spans="2:14" ht="18.75" customHeight="1">
      <c r="B427" s="11"/>
      <c r="C427" s="75">
        <v>422</v>
      </c>
      <c r="D427" s="65">
        <f>(Observaciones!D427+Observaciones!E427)/2</f>
        <v>15.35</v>
      </c>
      <c r="E427" s="141">
        <f t="shared" si="36"/>
        <v>1.7450618963749391</v>
      </c>
      <c r="F427" s="141">
        <f t="shared" si="37"/>
        <v>0.112032540584853</v>
      </c>
      <c r="G427" s="141">
        <f t="shared" si="38"/>
        <v>2.4647586499999998</v>
      </c>
      <c r="H427" s="141">
        <f>0.001013*Constantes!$D$6/(0.622*G427)</f>
        <v>4.5209717517418001E-2</v>
      </c>
      <c r="I427" s="141">
        <f t="shared" si="39"/>
        <v>0.36422609565334357</v>
      </c>
      <c r="J427" s="141">
        <f t="shared" si="40"/>
        <v>-0.17063218346843764</v>
      </c>
      <c r="K427" s="141">
        <f>(Constantes!$D$12/0.8)*(Constantes!$D$7*J427^2+Constantes!$D$8*J427+Constantes!$D$9)</f>
        <v>19.120337953201695</v>
      </c>
      <c r="L427" s="141">
        <f>(Constantes!$D$12/0.8)*(0.00376*D427^2-0.0516*D427-6.967)</f>
        <v>-4.2956996249999992</v>
      </c>
      <c r="M427" s="140">
        <f t="shared" si="41"/>
        <v>4.9816725753377886</v>
      </c>
      <c r="N427" s="12"/>
    </row>
    <row r="428" spans="2:14" ht="18.75" customHeight="1">
      <c r="B428" s="11"/>
      <c r="C428" s="75">
        <v>423</v>
      </c>
      <c r="D428" s="65">
        <f>(Observaciones!D428+Observaciones!E428)/2</f>
        <v>12.9</v>
      </c>
      <c r="E428" s="141">
        <f t="shared" si="36"/>
        <v>1.4887393027557323</v>
      </c>
      <c r="F428" s="141">
        <f t="shared" si="37"/>
        <v>9.7457663967834368E-2</v>
      </c>
      <c r="G428" s="141">
        <f t="shared" si="38"/>
        <v>2.4705431</v>
      </c>
      <c r="H428" s="141">
        <f>0.001013*Constantes!$D$6/(0.622*G428)</f>
        <v>4.5103864941725781E-2</v>
      </c>
      <c r="I428" s="141">
        <f t="shared" si="39"/>
        <v>0.34865168081674919</v>
      </c>
      <c r="J428" s="141">
        <f t="shared" si="40"/>
        <v>-0.16420858758524323</v>
      </c>
      <c r="K428" s="141">
        <f>(Constantes!$D$12/0.8)*(Constantes!$D$7*J428^2+Constantes!$D$8*J428+Constantes!$D$9)</f>
        <v>19.095244150832961</v>
      </c>
      <c r="L428" s="141">
        <f>(Constantes!$D$12/0.8)*(0.00376*D428^2-0.0516*D428-6.967)</f>
        <v>-4.3793364999999991</v>
      </c>
      <c r="M428" s="140">
        <f t="shared" si="41"/>
        <v>4.7312705990793242</v>
      </c>
      <c r="N428" s="12"/>
    </row>
    <row r="429" spans="2:14" ht="18.75" customHeight="1">
      <c r="B429" s="11"/>
      <c r="C429" s="75">
        <v>424</v>
      </c>
      <c r="D429" s="65">
        <f>(Observaciones!D429+Observaciones!E429)/2</f>
        <v>14.45</v>
      </c>
      <c r="E429" s="141">
        <f t="shared" si="36"/>
        <v>1.6467315635702708</v>
      </c>
      <c r="F429" s="141">
        <f t="shared" si="37"/>
        <v>0.10647699979012407</v>
      </c>
      <c r="G429" s="141">
        <f t="shared" si="38"/>
        <v>2.4668835499999999</v>
      </c>
      <c r="H429" s="141">
        <f>0.001013*Constantes!$D$6/(0.622*G429)</f>
        <v>4.5170775213573627E-2</v>
      </c>
      <c r="I429" s="141">
        <f t="shared" si="39"/>
        <v>0.3586259064602611</v>
      </c>
      <c r="J429" s="141">
        <f t="shared" si="40"/>
        <v>-0.15773633315363544</v>
      </c>
      <c r="K429" s="141">
        <f>(Constantes!$D$12/0.8)*(Constantes!$D$7*J429^2+Constantes!$D$8*J429+Constantes!$D$9)</f>
        <v>19.069255634630828</v>
      </c>
      <c r="L429" s="141">
        <f>(Constantes!$D$12/0.8)*(0.00376*D429^2-0.0516*D429-6.967)</f>
        <v>-4.3297016250000002</v>
      </c>
      <c r="M429" s="140">
        <f t="shared" si="41"/>
        <v>4.8756621722743159</v>
      </c>
      <c r="N429" s="12"/>
    </row>
    <row r="430" spans="2:14" ht="18.75" customHeight="1">
      <c r="B430" s="11"/>
      <c r="C430" s="75">
        <v>425</v>
      </c>
      <c r="D430" s="65">
        <f>(Observaciones!D430+Observaciones!E430)/2</f>
        <v>14.5</v>
      </c>
      <c r="E430" s="141">
        <f t="shared" si="36"/>
        <v>1.6520640028566567</v>
      </c>
      <c r="F430" s="141">
        <f t="shared" si="37"/>
        <v>0.10677937410937641</v>
      </c>
      <c r="G430" s="141">
        <f t="shared" si="38"/>
        <v>2.4667654999999997</v>
      </c>
      <c r="H430" s="141">
        <f>0.001013*Constantes!$D$6/(0.622*G430)</f>
        <v>4.5172936914803029E-2</v>
      </c>
      <c r="I430" s="141">
        <f t="shared" si="39"/>
        <v>0.35894072909367275</v>
      </c>
      <c r="J430" s="141">
        <f t="shared" si="40"/>
        <v>-0.15121733804228532</v>
      </c>
      <c r="K430" s="141">
        <f>(Constantes!$D$12/0.8)*(Constantes!$D$7*J430^2+Constantes!$D$8*J430+Constantes!$D$9)</f>
        <v>19.042364469261916</v>
      </c>
      <c r="L430" s="141">
        <f>(Constantes!$D$12/0.8)*(0.00376*D430^2-0.0516*D430-6.967)</f>
        <v>-4.3279125000000001</v>
      </c>
      <c r="M430" s="140">
        <f t="shared" si="41"/>
        <v>4.8715113068848401</v>
      </c>
      <c r="N430" s="12"/>
    </row>
    <row r="431" spans="2:14" ht="18.75" customHeight="1">
      <c r="B431" s="11"/>
      <c r="C431" s="75">
        <v>426</v>
      </c>
      <c r="D431" s="65">
        <f>(Observaciones!D431+Observaciones!E431)/2</f>
        <v>14.1</v>
      </c>
      <c r="E431" s="141">
        <f t="shared" si="36"/>
        <v>1.6098253520131185</v>
      </c>
      <c r="F431" s="141">
        <f t="shared" si="37"/>
        <v>0.10438069155687195</v>
      </c>
      <c r="G431" s="141">
        <f t="shared" si="38"/>
        <v>2.4677099</v>
      </c>
      <c r="H431" s="141">
        <f>0.001013*Constantes!$D$6/(0.622*G431)</f>
        <v>4.5155649095994843E-2</v>
      </c>
      <c r="I431" s="141">
        <f t="shared" si="39"/>
        <v>0.35640998531823892</v>
      </c>
      <c r="J431" s="141">
        <f t="shared" si="40"/>
        <v>-0.14465353397013617</v>
      </c>
      <c r="K431" s="141">
        <f>(Constantes!$D$12/0.8)*(Constantes!$D$7*J431^2+Constantes!$D$8*J431+Constantes!$D$9)</f>
        <v>19.014563509465145</v>
      </c>
      <c r="L431" s="141">
        <f>(Constantes!$D$12/0.8)*(0.00376*D431^2-0.0516*D431-6.967)</f>
        <v>-4.3418964999999998</v>
      </c>
      <c r="M431" s="140">
        <f t="shared" si="41"/>
        <v>4.8228662153484079</v>
      </c>
      <c r="N431" s="12"/>
    </row>
    <row r="432" spans="2:14" ht="18.75" customHeight="1">
      <c r="B432" s="11"/>
      <c r="C432" s="75">
        <v>427</v>
      </c>
      <c r="D432" s="65">
        <f>(Observaciones!D432+Observaciones!E432)/2</f>
        <v>14.1</v>
      </c>
      <c r="E432" s="141">
        <f t="shared" si="36"/>
        <v>1.6098253520131185</v>
      </c>
      <c r="F432" s="141">
        <f t="shared" si="37"/>
        <v>0.10438069155687195</v>
      </c>
      <c r="G432" s="141">
        <f t="shared" si="38"/>
        <v>2.4677099</v>
      </c>
      <c r="H432" s="141">
        <f>0.001013*Constantes!$D$6/(0.622*G432)</f>
        <v>4.5155649095994843E-2</v>
      </c>
      <c r="I432" s="141">
        <f t="shared" si="39"/>
        <v>0.35640998531823892</v>
      </c>
      <c r="J432" s="141">
        <f t="shared" si="40"/>
        <v>-0.1380468659339924</v>
      </c>
      <c r="K432" s="141">
        <f>(Constantes!$D$12/0.8)*(Constantes!$D$7*J432^2+Constantes!$D$8*J432+Constantes!$D$9)</f>
        <v>18.985846420081749</v>
      </c>
      <c r="L432" s="141">
        <f>(Constantes!$D$12/0.8)*(0.00376*D432^2-0.0516*D432-6.967)</f>
        <v>-4.3418964999999998</v>
      </c>
      <c r="M432" s="140">
        <f t="shared" si="41"/>
        <v>4.8132452613872214</v>
      </c>
      <c r="N432" s="12"/>
    </row>
    <row r="433" spans="2:14" ht="18.75" customHeight="1">
      <c r="B433" s="11"/>
      <c r="C433" s="75">
        <v>428</v>
      </c>
      <c r="D433" s="65">
        <f>(Observaciones!D433+Observaciones!E433)/2</f>
        <v>14.9</v>
      </c>
      <c r="E433" s="141">
        <f t="shared" si="36"/>
        <v>1.6952716301356707</v>
      </c>
      <c r="F433" s="141">
        <f t="shared" si="37"/>
        <v>0.10922475617100802</v>
      </c>
      <c r="G433" s="141">
        <f t="shared" si="38"/>
        <v>2.4658210999999999</v>
      </c>
      <c r="H433" s="141">
        <f>0.001013*Constantes!$D$6/(0.622*G433)</f>
        <v>4.5190237975947463E-2</v>
      </c>
      <c r="I433" s="141">
        <f t="shared" si="39"/>
        <v>0.36144364658766281</v>
      </c>
      <c r="J433" s="141">
        <f t="shared" si="40"/>
        <v>-0.13139929163217734</v>
      </c>
      <c r="K433" s="141">
        <f>(Constantes!$D$12/0.8)*(Constantes!$D$7*J433^2+Constantes!$D$8*J433+Constantes!$D$9)</f>
        <v>18.956207695204661</v>
      </c>
      <c r="L433" s="141">
        <f>(Constantes!$D$12/0.8)*(0.00376*D433^2-0.0516*D433-6.967)</f>
        <v>-4.3131765</v>
      </c>
      <c r="M433" s="140">
        <f t="shared" si="41"/>
        <v>4.8815345422020009</v>
      </c>
      <c r="N433" s="12"/>
    </row>
    <row r="434" spans="2:14" ht="18.75" customHeight="1">
      <c r="B434" s="11"/>
      <c r="C434" s="75">
        <v>429</v>
      </c>
      <c r="D434" s="65">
        <f>(Observaciones!D434+Observaciones!E434)/2</f>
        <v>14</v>
      </c>
      <c r="E434" s="141">
        <f t="shared" si="36"/>
        <v>1.5994149130233961</v>
      </c>
      <c r="F434" s="141">
        <f t="shared" si="37"/>
        <v>0.10378823296050949</v>
      </c>
      <c r="G434" s="141">
        <f t="shared" si="38"/>
        <v>2.467946</v>
      </c>
      <c r="H434" s="141">
        <f>0.001013*Constantes!$D$6/(0.622*G434)</f>
        <v>4.5151329208626335E-2</v>
      </c>
      <c r="I434" s="141">
        <f t="shared" si="39"/>
        <v>0.35577296023920879</v>
      </c>
      <c r="J434" s="141">
        <f t="shared" si="40"/>
        <v>-0.12471278088442236</v>
      </c>
      <c r="K434" s="141">
        <f>(Constantes!$D$12/0.8)*(Constantes!$D$7*J434^2+Constantes!$D$8*J434+Constantes!$D$9)</f>
        <v>18.92564267642102</v>
      </c>
      <c r="L434" s="141">
        <f>(Constantes!$D$12/0.8)*(0.00376*D434^2-0.0516*D434-6.967)</f>
        <v>-4.3452749999999991</v>
      </c>
      <c r="M434" s="140">
        <f t="shared" si="41"/>
        <v>4.7833066544511915</v>
      </c>
      <c r="N434" s="12"/>
    </row>
    <row r="435" spans="2:14" ht="18.75" customHeight="1">
      <c r="B435" s="11"/>
      <c r="C435" s="75">
        <v>430</v>
      </c>
      <c r="D435" s="65">
        <f>(Observaciones!D435+Observaciones!E435)/2</f>
        <v>13.1</v>
      </c>
      <c r="E435" s="141">
        <f t="shared" ref="E435:E498" si="42">EXP((16.78*D435-116.9)/(D435+237.3))</f>
        <v>1.5083470419027751</v>
      </c>
      <c r="F435" s="141">
        <f t="shared" ref="F435:F498" si="43">4098*E435/((D435+237.3)^2)</f>
        <v>9.8583579016665535E-2</v>
      </c>
      <c r="G435" s="141">
        <f t="shared" ref="G435:G498" si="44">2.501-0.002361*D435</f>
        <v>2.4700709000000001</v>
      </c>
      <c r="H435" s="141">
        <f>0.001013*Constantes!$D$6/(0.622*G435)</f>
        <v>4.5112487384516987E-2</v>
      </c>
      <c r="I435" s="141">
        <f t="shared" ref="I435:I498" si="45">IF(D435&gt;0,1.26*F435/(G435*(F435+H435)),0)</f>
        <v>0.34996194939764519</v>
      </c>
      <c r="J435" s="141">
        <f t="shared" ref="J435:J498" si="46">0.409*SIN(2*PI()*(C435-82)/365)</f>
        <v>-0.11798931504816941</v>
      </c>
      <c r="K435" s="141">
        <f>(Constantes!$D$12/0.8)*(Constantes!$D$7*J435^2+Constantes!$D$8*J435+Constantes!$D$9)</f>
        <v>18.894147570122879</v>
      </c>
      <c r="L435" s="141">
        <f>(Constantes!$D$12/0.8)*(0.00376*D435^2-0.0516*D435-6.967)</f>
        <v>-4.3735664999999999</v>
      </c>
      <c r="M435" s="140">
        <f t="shared" si="41"/>
        <v>4.6849168947359292</v>
      </c>
      <c r="N435" s="12"/>
    </row>
    <row r="436" spans="2:14" ht="18.75" customHeight="1">
      <c r="B436" s="11"/>
      <c r="C436" s="75">
        <v>431</v>
      </c>
      <c r="D436" s="65">
        <f>(Observaciones!D436+Observaciones!E436)/2</f>
        <v>12.6</v>
      </c>
      <c r="E436" s="141">
        <f t="shared" si="42"/>
        <v>1.4597472514986058</v>
      </c>
      <c r="F436" s="141">
        <f t="shared" si="43"/>
        <v>9.5789323919104052E-2</v>
      </c>
      <c r="G436" s="141">
        <f t="shared" si="44"/>
        <v>2.4712513999999999</v>
      </c>
      <c r="H436" s="141">
        <f>0.001013*Constantes!$D$6/(0.622*G436)</f>
        <v>4.5090937455862456E-2</v>
      </c>
      <c r="I436" s="141">
        <f t="shared" si="45"/>
        <v>0.34667344489607588</v>
      </c>
      <c r="J436" s="141">
        <f t="shared" si="46"/>
        <v>-0.11123088643144903</v>
      </c>
      <c r="K436" s="141">
        <f>(Constantes!$D$12/0.8)*(Constantes!$D$7*J436^2+Constantes!$D$8*J436+Constantes!$D$9)</f>
        <v>18.861719463861881</v>
      </c>
      <c r="L436" s="141">
        <f>(Constantes!$D$12/0.8)*(0.00376*D436^2-0.0516*D436-6.967)</f>
        <v>-4.3876390000000001</v>
      </c>
      <c r="M436" s="140">
        <f t="shared" si="41"/>
        <v>4.625447900317968</v>
      </c>
      <c r="N436" s="12"/>
    </row>
    <row r="437" spans="2:14" ht="18.75" customHeight="1">
      <c r="B437" s="11"/>
      <c r="C437" s="75">
        <v>432</v>
      </c>
      <c r="D437" s="65">
        <f>(Observaciones!D437+Observaciones!E437)/2</f>
        <v>14.35</v>
      </c>
      <c r="E437" s="141">
        <f t="shared" si="42"/>
        <v>1.6361119589017179</v>
      </c>
      <c r="F437" s="141">
        <f t="shared" si="43"/>
        <v>0.10587443449555982</v>
      </c>
      <c r="G437" s="141">
        <f t="shared" si="44"/>
        <v>2.4671196499999999</v>
      </c>
      <c r="H437" s="141">
        <f>0.001013*Constantes!$D$6/(0.622*G437)</f>
        <v>4.5166452431730474E-2</v>
      </c>
      <c r="I437" s="141">
        <f t="shared" si="45"/>
        <v>0.35799495730755543</v>
      </c>
      <c r="J437" s="141">
        <f t="shared" si="46"/>
        <v>-0.10443949770252092</v>
      </c>
      <c r="K437" s="141">
        <f>(Constantes!$D$12/0.8)*(Constantes!$D$7*J437^2+Constantes!$D$8*J437+Constantes!$D$9)</f>
        <v>18.828356341725243</v>
      </c>
      <c r="L437" s="141">
        <f>(Constantes!$D$12/0.8)*(0.00376*D437^2-0.0516*D437-6.967)</f>
        <v>-4.3332446249999998</v>
      </c>
      <c r="M437" s="140">
        <f t="shared" si="41"/>
        <v>4.784749502713658</v>
      </c>
      <c r="N437" s="12"/>
    </row>
    <row r="438" spans="2:14" ht="18.75" customHeight="1">
      <c r="B438" s="11"/>
      <c r="C438" s="75">
        <v>433</v>
      </c>
      <c r="D438" s="65">
        <f>(Observaciones!D438+Observaciones!E438)/2</f>
        <v>13.1</v>
      </c>
      <c r="E438" s="141">
        <f t="shared" si="42"/>
        <v>1.5083470419027751</v>
      </c>
      <c r="F438" s="141">
        <f t="shared" si="43"/>
        <v>9.8583579016665535E-2</v>
      </c>
      <c r="G438" s="141">
        <f t="shared" si="44"/>
        <v>2.4700709000000001</v>
      </c>
      <c r="H438" s="141">
        <f>0.001013*Constantes!$D$6/(0.622*G438)</f>
        <v>4.5112487384516987E-2</v>
      </c>
      <c r="I438" s="141">
        <f t="shared" si="45"/>
        <v>0.34996194939764519</v>
      </c>
      <c r="J438" s="141">
        <f t="shared" si="46"/>
        <v>-9.7617161296433538E-2</v>
      </c>
      <c r="K438" s="141">
        <f>(Constantes!$D$12/0.8)*(Constantes!$D$7*J438^2+Constantes!$D$8*J438+Constantes!$D$9)</f>
        <v>18.794057098711075</v>
      </c>
      <c r="L438" s="141">
        <f>(Constantes!$D$12/0.8)*(0.00376*D438^2-0.0516*D438-6.967)</f>
        <v>-4.3735664999999999</v>
      </c>
      <c r="M438" s="140">
        <f t="shared" si="41"/>
        <v>4.6519907096340081</v>
      </c>
      <c r="N438" s="12"/>
    </row>
    <row r="439" spans="2:14" ht="18.75" customHeight="1">
      <c r="B439" s="11"/>
      <c r="C439" s="75">
        <v>434</v>
      </c>
      <c r="D439" s="65">
        <f>(Observaciones!D439+Observaciones!E439)/2</f>
        <v>14.7</v>
      </c>
      <c r="E439" s="141">
        <f t="shared" si="42"/>
        <v>1.6735455244634905</v>
      </c>
      <c r="F439" s="141">
        <f t="shared" si="43"/>
        <v>0.10799618227594142</v>
      </c>
      <c r="G439" s="141">
        <f t="shared" si="44"/>
        <v>2.4662932999999998</v>
      </c>
      <c r="H439" s="141">
        <f>0.001013*Constantes!$D$6/(0.622*G439)</f>
        <v>4.5181585789132436E-2</v>
      </c>
      <c r="I439" s="141">
        <f t="shared" si="45"/>
        <v>0.36019567023422705</v>
      </c>
      <c r="J439" s="141">
        <f t="shared" si="46"/>
        <v>-9.0765898818704185E-2</v>
      </c>
      <c r="K439" s="141">
        <f>(Constantes!$D$12/0.8)*(Constantes!$D$7*J439^2+Constantes!$D$8*J439+Constantes!$D$9)</f>
        <v>18.758821554082626</v>
      </c>
      <c r="L439" s="141">
        <f>(Constantes!$D$12/0.8)*(0.00376*D439^2-0.0516*D439-6.967)</f>
        <v>-4.3206384999999994</v>
      </c>
      <c r="M439" s="140">
        <f t="shared" si="41"/>
        <v>4.7951602439811269</v>
      </c>
      <c r="N439" s="12"/>
    </row>
    <row r="440" spans="2:14" ht="18.75" customHeight="1">
      <c r="B440" s="11"/>
      <c r="C440" s="75">
        <v>435</v>
      </c>
      <c r="D440" s="65">
        <f>(Observaciones!D440+Observaciones!E440)/2</f>
        <v>13.5</v>
      </c>
      <c r="E440" s="141">
        <f t="shared" si="42"/>
        <v>1.5482437315899678</v>
      </c>
      <c r="F440" s="141">
        <f t="shared" si="43"/>
        <v>0.10086865272047608</v>
      </c>
      <c r="G440" s="141">
        <f t="shared" si="44"/>
        <v>2.4691264999999998</v>
      </c>
      <c r="H440" s="141">
        <f>0.001013*Constantes!$D$6/(0.622*G440)</f>
        <v>4.512974216392418E-2</v>
      </c>
      <c r="I440" s="141">
        <f t="shared" si="45"/>
        <v>0.35256187200074002</v>
      </c>
      <c r="J440" s="141">
        <f t="shared" si="46"/>
        <v>-8.3887740446265277E-2</v>
      </c>
      <c r="K440" s="141">
        <f>(Constantes!$D$12/0.8)*(Constantes!$D$7*J440^2+Constantes!$D$8*J440+Constantes!$D$9)</f>
        <v>18.722650463681902</v>
      </c>
      <c r="L440" s="141">
        <f>(Constantes!$D$12/0.8)*(0.00376*D440^2-0.0516*D440-6.967)</f>
        <v>-4.3614625</v>
      </c>
      <c r="M440" s="140">
        <f t="shared" si="41"/>
        <v>4.6671537508527141</v>
      </c>
      <c r="N440" s="12"/>
    </row>
    <row r="441" spans="2:14" ht="18.75" customHeight="1">
      <c r="B441" s="11"/>
      <c r="C441" s="75">
        <v>436</v>
      </c>
      <c r="D441" s="65">
        <f>(Observaciones!D441+Observaciones!E441)/2</f>
        <v>14</v>
      </c>
      <c r="E441" s="141">
        <f t="shared" si="42"/>
        <v>1.5994149130233961</v>
      </c>
      <c r="F441" s="141">
        <f t="shared" si="43"/>
        <v>0.10378823296050949</v>
      </c>
      <c r="G441" s="141">
        <f t="shared" si="44"/>
        <v>2.467946</v>
      </c>
      <c r="H441" s="141">
        <f>0.001013*Constantes!$D$6/(0.622*G441)</f>
        <v>4.5151329208626335E-2</v>
      </c>
      <c r="I441" s="141">
        <f t="shared" si="45"/>
        <v>0.35577296023920879</v>
      </c>
      <c r="J441" s="141">
        <f t="shared" si="46"/>
        <v>-7.6984724325886753E-2</v>
      </c>
      <c r="K441" s="141">
        <f>(Constantes!$D$12/0.8)*(Constantes!$D$7*J441^2+Constantes!$D$8*J441+Constantes!$D$9)</f>
        <v>18.685545531184623</v>
      </c>
      <c r="L441" s="141">
        <f>(Constantes!$D$12/0.8)*(0.00376*D441^2-0.0516*D441-6.967)</f>
        <v>-4.3452749999999991</v>
      </c>
      <c r="M441" s="140">
        <f t="shared" si="41"/>
        <v>4.7030117866717998</v>
      </c>
      <c r="N441" s="12"/>
    </row>
    <row r="442" spans="2:14" ht="18.75" customHeight="1">
      <c r="B442" s="11"/>
      <c r="C442" s="75">
        <v>437</v>
      </c>
      <c r="D442" s="65">
        <f>(Observaciones!D442+Observaciones!E442)/2</f>
        <v>14.05</v>
      </c>
      <c r="E442" s="141">
        <f t="shared" si="42"/>
        <v>1.604612725353836</v>
      </c>
      <c r="F442" s="141">
        <f t="shared" si="43"/>
        <v>0.10408410376289531</v>
      </c>
      <c r="G442" s="141">
        <f t="shared" si="44"/>
        <v>2.4678279499999998</v>
      </c>
      <c r="H442" s="141">
        <f>0.001013*Constantes!$D$6/(0.622*G442)</f>
        <v>4.5153489048988422E-2</v>
      </c>
      <c r="I442" s="141">
        <f t="shared" si="45"/>
        <v>0.35609168948623277</v>
      </c>
      <c r="J442" s="141">
        <f t="shared" si="46"/>
        <v>-7.0058895970224425E-2</v>
      </c>
      <c r="K442" s="141">
        <f>(Constantes!$D$12/0.8)*(Constantes!$D$7*J442^2+Constantes!$D$8*J442+Constantes!$D$9)</f>
        <v>18.647509418279455</v>
      </c>
      <c r="L442" s="141">
        <f>(Constantes!$D$12/0.8)*(0.00376*D442^2-0.0516*D442-6.967)</f>
        <v>-4.3435916249999993</v>
      </c>
      <c r="M442" s="140">
        <f t="shared" si="41"/>
        <v>4.6950928652731339</v>
      </c>
      <c r="N442" s="12"/>
    </row>
    <row r="443" spans="2:14" ht="18.75" customHeight="1">
      <c r="B443" s="11"/>
      <c r="C443" s="75">
        <v>438</v>
      </c>
      <c r="D443" s="65">
        <f>(Observaciones!D443+Observaciones!E443)/2</f>
        <v>12.3</v>
      </c>
      <c r="E443" s="141">
        <f t="shared" si="42"/>
        <v>1.4312521342340263</v>
      </c>
      <c r="F443" s="141">
        <f t="shared" si="43"/>
        <v>9.4145364090413866E-2</v>
      </c>
      <c r="G443" s="141">
        <f t="shared" si="44"/>
        <v>2.4719596999999998</v>
      </c>
      <c r="H443" s="141">
        <f>0.001013*Constantes!$D$6/(0.622*G443)</f>
        <v>4.5078017378322364E-2</v>
      </c>
      <c r="I443" s="141">
        <f t="shared" si="45"/>
        <v>0.34467987000801242</v>
      </c>
      <c r="J443" s="141">
        <f t="shared" si="46"/>
        <v>-6.311230765169093E-2</v>
      </c>
      <c r="K443" s="141">
        <f>(Constantes!$D$12/0.8)*(Constantes!$D$7*J443^2+Constantes!$D$8*J443+Constantes!$D$9)</f>
        <v>18.608545753755926</v>
      </c>
      <c r="L443" s="141">
        <f>(Constantes!$D$12/0.8)*(0.00376*D443^2-0.0516*D443-6.967)</f>
        <v>-4.3955184999999997</v>
      </c>
      <c r="M443" s="140">
        <f t="shared" si="41"/>
        <v>4.514104918358365</v>
      </c>
      <c r="N443" s="12"/>
    </row>
    <row r="444" spans="2:14" ht="18.75" customHeight="1">
      <c r="B444" s="11"/>
      <c r="C444" s="75">
        <v>439</v>
      </c>
      <c r="D444" s="65">
        <f>(Observaciones!D444+Observaciones!E444)/2</f>
        <v>12.7</v>
      </c>
      <c r="E444" s="141">
        <f t="shared" si="42"/>
        <v>1.4693556920806219</v>
      </c>
      <c r="F444" s="141">
        <f t="shared" si="43"/>
        <v>9.6342714018342213E-2</v>
      </c>
      <c r="G444" s="141">
        <f t="shared" si="44"/>
        <v>2.4710152999999999</v>
      </c>
      <c r="H444" s="141">
        <f>0.001013*Constantes!$D$6/(0.622*G444)</f>
        <v>4.5095245794355275E-2</v>
      </c>
      <c r="I444" s="141">
        <f t="shared" si="45"/>
        <v>0.34733456468782936</v>
      </c>
      <c r="J444" s="141">
        <f t="shared" si="46"/>
        <v>-5.6147017794325453E-2</v>
      </c>
      <c r="K444" s="141">
        <f>(Constantes!$D$12/0.8)*(Constantes!$D$7*J444^2+Constantes!$D$8*J444+Constantes!$D$9)</f>
        <v>18.568659141486574</v>
      </c>
      <c r="L444" s="141">
        <f>(Constantes!$D$12/0.8)*(0.00376*D444^2-0.0516*D444-6.967)</f>
        <v>-4.3849184999999995</v>
      </c>
      <c r="M444" s="140">
        <f t="shared" si="41"/>
        <v>4.5395311529711169</v>
      </c>
      <c r="N444" s="12"/>
    </row>
    <row r="445" spans="2:14" ht="18.75" customHeight="1">
      <c r="B445" s="11"/>
      <c r="C445" s="75">
        <v>440</v>
      </c>
      <c r="D445" s="65">
        <f>(Observaciones!D445+Observaciones!E445)/2</f>
        <v>13.3</v>
      </c>
      <c r="E445" s="141">
        <f t="shared" si="42"/>
        <v>1.5281811116551587</v>
      </c>
      <c r="F445" s="141">
        <f t="shared" si="43"/>
        <v>9.9720546117296777E-2</v>
      </c>
      <c r="G445" s="141">
        <f t="shared" si="44"/>
        <v>2.4695986999999997</v>
      </c>
      <c r="H445" s="141">
        <f>0.001013*Constantes!$D$6/(0.622*G445)</f>
        <v>4.5121113124619215E-2</v>
      </c>
      <c r="I445" s="141">
        <f t="shared" si="45"/>
        <v>0.35126535211020804</v>
      </c>
      <c r="J445" s="141">
        <f t="shared" si="46"/>
        <v>-4.9165090363835269E-2</v>
      </c>
      <c r="K445" s="141">
        <f>(Constantes!$D$12/0.8)*(Constantes!$D$7*J445^2+Constantes!$D$8*J445+Constantes!$D$9)</f>
        <v>18.527855167290255</v>
      </c>
      <c r="L445" s="141">
        <f>(Constantes!$D$12/0.8)*(0.00376*D445^2-0.0516*D445-6.967)</f>
        <v>-4.3676084999999993</v>
      </c>
      <c r="M445" s="140">
        <f t="shared" si="41"/>
        <v>4.5835124174020025</v>
      </c>
      <c r="N445" s="12"/>
    </row>
    <row r="446" spans="2:14" ht="18.75" customHeight="1">
      <c r="B446" s="11"/>
      <c r="C446" s="75">
        <v>441</v>
      </c>
      <c r="D446" s="65">
        <f>(Observaciones!D446+Observaciones!E446)/2</f>
        <v>13.450000000000001</v>
      </c>
      <c r="E446" s="141">
        <f t="shared" si="42"/>
        <v>1.543206527984887</v>
      </c>
      <c r="F446" s="141">
        <f t="shared" si="43"/>
        <v>0.10058057694008013</v>
      </c>
      <c r="G446" s="141">
        <f t="shared" si="44"/>
        <v>2.46924455</v>
      </c>
      <c r="H446" s="141">
        <f>0.001013*Constantes!$D$6/(0.622*G446)</f>
        <v>4.5127584594694167E-2</v>
      </c>
      <c r="I446" s="141">
        <f t="shared" si="45"/>
        <v>0.35223838816895908</v>
      </c>
      <c r="J446" s="141">
        <f t="shared" si="46"/>
        <v>-4.2168594256001092E-2</v>
      </c>
      <c r="K446" s="141">
        <f>(Constantes!$D$12/0.8)*(Constantes!$D$7*J446^2+Constantes!$D$8*J446+Constantes!$D$9)</f>
        <v>18.486140404664813</v>
      </c>
      <c r="L446" s="141">
        <f>(Constantes!$D$12/0.8)*(0.00376*D446^2-0.0516*D446-6.967)</f>
        <v>-4.3630166249999993</v>
      </c>
      <c r="M446" s="140">
        <f t="shared" si="41"/>
        <v>4.5840146580835786</v>
      </c>
      <c r="N446" s="12"/>
    </row>
    <row r="447" spans="2:14" ht="18.75" customHeight="1">
      <c r="B447" s="11"/>
      <c r="C447" s="75">
        <v>442</v>
      </c>
      <c r="D447" s="65">
        <f>(Observaciones!D447+Observaciones!E447)/2</f>
        <v>14.95</v>
      </c>
      <c r="E447" s="141">
        <f t="shared" si="42"/>
        <v>1.7007416492954901</v>
      </c>
      <c r="F447" s="141">
        <f t="shared" si="43"/>
        <v>0.10953374874986048</v>
      </c>
      <c r="G447" s="141">
        <f t="shared" si="44"/>
        <v>2.4657030500000001</v>
      </c>
      <c r="H447" s="141">
        <f>0.001013*Constantes!$D$6/(0.622*G447)</f>
        <v>4.5192401540450108E-2</v>
      </c>
      <c r="I447" s="141">
        <f t="shared" si="45"/>
        <v>0.36175455161738501</v>
      </c>
      <c r="J447" s="141">
        <f t="shared" si="46"/>
        <v>-3.5159602683615697E-2</v>
      </c>
      <c r="K447" s="141">
        <f>(Constantes!$D$12/0.8)*(Constantes!$D$7*J447^2+Constantes!$D$8*J447+Constantes!$D$9)</f>
        <v>18.44352241937866</v>
      </c>
      <c r="L447" s="141">
        <f>(Constantes!$D$12/0.8)*(0.00376*D447^2-0.0516*D447-6.967)</f>
        <v>-4.3112816249999995</v>
      </c>
      <c r="M447" s="140">
        <f t="shared" si="41"/>
        <v>4.7120807409353187</v>
      </c>
      <c r="N447" s="12"/>
    </row>
    <row r="448" spans="2:14" ht="18.75" customHeight="1">
      <c r="B448" s="11"/>
      <c r="C448" s="75">
        <v>443</v>
      </c>
      <c r="D448" s="65">
        <f>(Observaciones!D448+Observaciones!E448)/2</f>
        <v>15.55</v>
      </c>
      <c r="E448" s="141">
        <f t="shared" si="42"/>
        <v>1.7675993131821897</v>
      </c>
      <c r="F448" s="141">
        <f t="shared" si="43"/>
        <v>0.11329998758344098</v>
      </c>
      <c r="G448" s="141">
        <f t="shared" si="44"/>
        <v>2.4642864499999999</v>
      </c>
      <c r="H448" s="141">
        <f>0.001013*Constantes!$D$6/(0.622*G448)</f>
        <v>4.5218380482963956E-2</v>
      </c>
      <c r="I448" s="141">
        <f t="shared" si="45"/>
        <v>0.36545139639916813</v>
      </c>
      <c r="J448" s="141">
        <f t="shared" si="46"/>
        <v>-2.8140192562149141E-2</v>
      </c>
      <c r="K448" s="141">
        <f>(Constantes!$D$12/0.8)*(Constantes!$D$7*J448^2+Constantes!$D$8*J448+Constantes!$D$9)</f>
        <v>18.400009772912163</v>
      </c>
      <c r="L448" s="141">
        <f>(Constantes!$D$12/0.8)*(0.00376*D448^2-0.0516*D448-6.967)</f>
        <v>-4.2876266249999997</v>
      </c>
      <c r="M448" s="140">
        <f t="shared" si="41"/>
        <v>4.7539315720084421</v>
      </c>
      <c r="N448" s="12"/>
    </row>
    <row r="449" spans="2:14" ht="18.75" customHeight="1">
      <c r="B449" s="11"/>
      <c r="C449" s="75">
        <v>444</v>
      </c>
      <c r="D449" s="65">
        <f>(Observaciones!D449+Observaciones!E449)/2</f>
        <v>14.700000000000001</v>
      </c>
      <c r="E449" s="141">
        <f t="shared" si="42"/>
        <v>1.6735455244634907</v>
      </c>
      <c r="F449" s="141">
        <f t="shared" si="43"/>
        <v>0.10799618227594143</v>
      </c>
      <c r="G449" s="141">
        <f t="shared" si="44"/>
        <v>2.4662932999999998</v>
      </c>
      <c r="H449" s="141">
        <f>0.001013*Constantes!$D$6/(0.622*G449)</f>
        <v>4.5181585789132436E-2</v>
      </c>
      <c r="I449" s="141">
        <f t="shared" si="45"/>
        <v>0.36019567023422699</v>
      </c>
      <c r="J449" s="141">
        <f t="shared" si="46"/>
        <v>-2.1112443894310957E-2</v>
      </c>
      <c r="K449" s="141">
        <f>(Constantes!$D$12/0.8)*(Constantes!$D$7*J449^2+Constantes!$D$8*J449+Constantes!$D$9)</f>
        <v>18.355612024741077</v>
      </c>
      <c r="L449" s="141">
        <f>(Constantes!$D$12/0.8)*(0.00376*D449^2-0.0516*D449-6.967)</f>
        <v>-4.3206384999999994</v>
      </c>
      <c r="M449" s="140">
        <f t="shared" si="41"/>
        <v>4.6586399769150812</v>
      </c>
      <c r="N449" s="12"/>
    </row>
    <row r="450" spans="2:14" ht="18.75" customHeight="1">
      <c r="B450" s="11"/>
      <c r="C450" s="75">
        <v>445</v>
      </c>
      <c r="D450" s="65">
        <f>(Observaciones!D450+Observaciones!E450)/2</f>
        <v>13.1</v>
      </c>
      <c r="E450" s="141">
        <f t="shared" si="42"/>
        <v>1.5083470419027751</v>
      </c>
      <c r="F450" s="141">
        <f t="shared" si="43"/>
        <v>9.8583579016665535E-2</v>
      </c>
      <c r="G450" s="141">
        <f t="shared" si="44"/>
        <v>2.4700709000000001</v>
      </c>
      <c r="H450" s="141">
        <f>0.001013*Constantes!$D$6/(0.622*G450)</f>
        <v>4.5112487384516987E-2</v>
      </c>
      <c r="I450" s="141">
        <f t="shared" si="45"/>
        <v>0.34996194939764519</v>
      </c>
      <c r="J450" s="141">
        <f t="shared" si="46"/>
        <v>-1.4078439153703033E-2</v>
      </c>
      <c r="K450" s="141">
        <f>(Constantes!$D$12/0.8)*(Constantes!$D$7*J450^2+Constantes!$D$8*J450+Constantes!$D$9)</f>
        <v>18.310339733455606</v>
      </c>
      <c r="L450" s="141">
        <f>(Constantes!$D$12/0.8)*(0.00376*D450^2-0.0516*D450-6.967)</f>
        <v>-4.3735664999999999</v>
      </c>
      <c r="M450" s="140">
        <f t="shared" si="41"/>
        <v>4.4928649978578505</v>
      </c>
      <c r="N450" s="12"/>
    </row>
    <row r="451" spans="2:14" ht="18.75" customHeight="1">
      <c r="B451" s="11"/>
      <c r="C451" s="75">
        <v>446</v>
      </c>
      <c r="D451" s="65">
        <f>(Observaciones!D451+Observaciones!E451)/2</f>
        <v>13.3</v>
      </c>
      <c r="E451" s="141">
        <f t="shared" si="42"/>
        <v>1.5281811116551587</v>
      </c>
      <c r="F451" s="141">
        <f t="shared" si="43"/>
        <v>9.9720546117296777E-2</v>
      </c>
      <c r="G451" s="141">
        <f t="shared" si="44"/>
        <v>2.4695986999999997</v>
      </c>
      <c r="H451" s="141">
        <f>0.001013*Constantes!$D$6/(0.622*G451)</f>
        <v>4.5121113124619215E-2</v>
      </c>
      <c r="I451" s="141">
        <f t="shared" si="45"/>
        <v>0.35126535211020804</v>
      </c>
      <c r="J451" s="141">
        <f t="shared" si="46"/>
        <v>-7.0402626677366293E-3</v>
      </c>
      <c r="K451" s="141">
        <f>(Constantes!$D$12/0.8)*(Constantes!$D$7*J451^2+Constantes!$D$8*J451+Constantes!$D$9)</f>
        <v>18.264204456710146</v>
      </c>
      <c r="L451" s="141">
        <f>(Constantes!$D$12/0.8)*(0.00376*D451^2-0.0516*D451-6.967)</f>
        <v>-4.3676084999999993</v>
      </c>
      <c r="M451" s="140">
        <f t="shared" si="41"/>
        <v>4.4964577392971359</v>
      </c>
      <c r="N451" s="12"/>
    </row>
    <row r="452" spans="2:14" ht="18.75" customHeight="1">
      <c r="B452" s="11"/>
      <c r="C452" s="75">
        <v>447</v>
      </c>
      <c r="D452" s="65">
        <f>(Observaciones!D452+Observaciones!E452)/2</f>
        <v>11.75</v>
      </c>
      <c r="E452" s="141">
        <f t="shared" si="42"/>
        <v>1.3802776599471762</v>
      </c>
      <c r="F452" s="141">
        <f t="shared" si="43"/>
        <v>9.1193801661548224E-2</v>
      </c>
      <c r="G452" s="141">
        <f t="shared" si="44"/>
        <v>2.4732582499999998</v>
      </c>
      <c r="H452" s="141">
        <f>0.001013*Constantes!$D$6/(0.622*G452)</f>
        <v>4.5054349789437696E-2</v>
      </c>
      <c r="I452" s="141">
        <f t="shared" si="45"/>
        <v>0.34098539738615508</v>
      </c>
      <c r="J452" s="141">
        <f t="shared" si="46"/>
        <v>2.6304783004582606E-16</v>
      </c>
      <c r="K452" s="141">
        <f>(Constantes!$D$12/0.8)*(Constantes!$D$7*J452^2+Constantes!$D$8*J452+Constantes!$D$9)</f>
        <v>18.217218749999997</v>
      </c>
      <c r="L452" s="141">
        <f>(Constantes!$D$12/0.8)*(0.00376*D452^2-0.0516*D452-6.967)</f>
        <v>-4.4088656249999998</v>
      </c>
      <c r="M452" s="140">
        <f t="shared" si="41"/>
        <v>4.335738443092124</v>
      </c>
      <c r="N452" s="12"/>
    </row>
    <row r="453" spans="2:14" ht="18.75" customHeight="1">
      <c r="B453" s="11"/>
      <c r="C453" s="75">
        <v>448</v>
      </c>
      <c r="D453" s="65">
        <f>(Observaciones!D453+Observaciones!E453)/2</f>
        <v>13.1</v>
      </c>
      <c r="E453" s="141">
        <f t="shared" si="42"/>
        <v>1.5083470419027751</v>
      </c>
      <c r="F453" s="141">
        <f t="shared" si="43"/>
        <v>9.8583579016665535E-2</v>
      </c>
      <c r="G453" s="141">
        <f t="shared" si="44"/>
        <v>2.4700709000000001</v>
      </c>
      <c r="H453" s="141">
        <f>0.001013*Constantes!$D$6/(0.622*G453)</f>
        <v>4.5112487384516987E-2</v>
      </c>
      <c r="I453" s="141">
        <f t="shared" si="45"/>
        <v>0.34996194939764519</v>
      </c>
      <c r="J453" s="141">
        <f t="shared" si="46"/>
        <v>7.0402626677360663E-3</v>
      </c>
      <c r="K453" s="141">
        <f>(Constantes!$D$12/0.8)*(Constantes!$D$7*J453^2+Constantes!$D$8*J453+Constantes!$D$9)</f>
        <v>18.169396164262867</v>
      </c>
      <c r="L453" s="141">
        <f>(Constantes!$D$12/0.8)*(0.00376*D453^2-0.0516*D453-6.967)</f>
        <v>-4.3735664999999999</v>
      </c>
      <c r="M453" s="140">
        <f t="shared" si="41"/>
        <v>4.4464996048018817</v>
      </c>
      <c r="N453" s="12"/>
    </row>
    <row r="454" spans="2:14" ht="18.75" customHeight="1">
      <c r="B454" s="11"/>
      <c r="C454" s="75">
        <v>449</v>
      </c>
      <c r="D454" s="65">
        <f>(Observaciones!D454+Observaciones!E454)/2</f>
        <v>15.15</v>
      </c>
      <c r="E454" s="141">
        <f t="shared" si="42"/>
        <v>1.7227768098060423</v>
      </c>
      <c r="F454" s="141">
        <f t="shared" si="43"/>
        <v>0.11077715852006502</v>
      </c>
      <c r="G454" s="141">
        <f t="shared" si="44"/>
        <v>2.4652308499999998</v>
      </c>
      <c r="H454" s="141">
        <f>0.001013*Constantes!$D$6/(0.622*G454)</f>
        <v>4.5201057870548941E-2</v>
      </c>
      <c r="I454" s="141">
        <f t="shared" si="45"/>
        <v>0.36299381271709158</v>
      </c>
      <c r="J454" s="141">
        <f t="shared" si="46"/>
        <v>1.4078439153703198E-2</v>
      </c>
      <c r="K454" s="141">
        <f>(Constantes!$D$12/0.8)*(Constantes!$D$7*J454^2+Constantes!$D$8*J454+Constantes!$D$9)</f>
        <v>18.120751242304227</v>
      </c>
      <c r="L454" s="141">
        <f>(Constantes!$D$12/0.8)*(0.00376*D454^2-0.0516*D454-6.967)</f>
        <v>-4.3035846250000001</v>
      </c>
      <c r="M454" s="140">
        <f t="shared" si="41"/>
        <v>4.6208827563980606</v>
      </c>
      <c r="N454" s="12"/>
    </row>
    <row r="455" spans="2:14" ht="18.75" customHeight="1">
      <c r="B455" s="11"/>
      <c r="C455" s="75">
        <v>450</v>
      </c>
      <c r="D455" s="65">
        <f>(Observaciones!D455+Observaciones!E455)/2</f>
        <v>14.05</v>
      </c>
      <c r="E455" s="141">
        <f t="shared" si="42"/>
        <v>1.604612725353836</v>
      </c>
      <c r="F455" s="141">
        <f t="shared" si="43"/>
        <v>0.10408410376289531</v>
      </c>
      <c r="G455" s="141">
        <f t="shared" si="44"/>
        <v>2.4678279499999998</v>
      </c>
      <c r="H455" s="141">
        <f>0.001013*Constantes!$D$6/(0.622*G455)</f>
        <v>4.5153489048988422E-2</v>
      </c>
      <c r="I455" s="141">
        <f t="shared" si="45"/>
        <v>0.35609168948623277</v>
      </c>
      <c r="J455" s="141">
        <f t="shared" si="46"/>
        <v>2.1112443894310395E-2</v>
      </c>
      <c r="K455" s="141">
        <f>(Constantes!$D$12/0.8)*(Constantes!$D$7*J455^2+Constantes!$D$8*J455+Constantes!$D$9)</f>
        <v>18.071299514047187</v>
      </c>
      <c r="L455" s="141">
        <f>(Constantes!$D$12/0.8)*(0.00376*D455^2-0.0516*D455-6.967)</f>
        <v>-4.3435916249999993</v>
      </c>
      <c r="M455" s="140">
        <f t="shared" ref="M455:M518" si="47">IF(D455&gt;0,I455*(0.94*K455+L455),0)</f>
        <v>4.5022203204741702</v>
      </c>
      <c r="N455" s="12"/>
    </row>
    <row r="456" spans="2:14" ht="18.75" customHeight="1">
      <c r="B456" s="11"/>
      <c r="C456" s="75">
        <v>451</v>
      </c>
      <c r="D456" s="65">
        <f>(Observaciones!D456+Observaciones!E456)/2</f>
        <v>14.649999999999999</v>
      </c>
      <c r="E456" s="141">
        <f t="shared" si="42"/>
        <v>1.6681523061985433</v>
      </c>
      <c r="F456" s="141">
        <f t="shared" si="43"/>
        <v>0.10769088075978796</v>
      </c>
      <c r="G456" s="141">
        <f t="shared" si="44"/>
        <v>2.46641135</v>
      </c>
      <c r="H456" s="141">
        <f>0.001013*Constantes!$D$6/(0.622*G456)</f>
        <v>4.5179423260078871E-2</v>
      </c>
      <c r="I456" s="141">
        <f t="shared" si="45"/>
        <v>0.35988258760990804</v>
      </c>
      <c r="J456" s="141">
        <f t="shared" si="46"/>
        <v>2.814019256214894E-2</v>
      </c>
      <c r="K456" s="141">
        <f>(Constantes!$D$12/0.8)*(Constantes!$D$7*J456^2+Constantes!$D$8*J456+Constantes!$D$9)</f>
        <v>18.021057490608644</v>
      </c>
      <c r="L456" s="141">
        <f>(Constantes!$D$12/0.8)*(0.00376*D456^2-0.0516*D456-6.967)</f>
        <v>-4.3224746249999999</v>
      </c>
      <c r="M456" s="140">
        <f t="shared" si="47"/>
        <v>4.5407535601927584</v>
      </c>
      <c r="N456" s="12"/>
    </row>
    <row r="457" spans="2:14" ht="18.75" customHeight="1">
      <c r="B457" s="11"/>
      <c r="C457" s="75">
        <v>452</v>
      </c>
      <c r="D457" s="65">
        <f>(Observaciones!D457+Observaciones!E457)/2</f>
        <v>13.299999999999999</v>
      </c>
      <c r="E457" s="141">
        <f t="shared" si="42"/>
        <v>1.5281811116551585</v>
      </c>
      <c r="F457" s="141">
        <f t="shared" si="43"/>
        <v>9.9720546117296763E-2</v>
      </c>
      <c r="G457" s="141">
        <f t="shared" si="44"/>
        <v>2.4695986999999997</v>
      </c>
      <c r="H457" s="141">
        <f>0.001013*Constantes!$D$6/(0.622*G457)</f>
        <v>4.5121113124619215E-2</v>
      </c>
      <c r="I457" s="141">
        <f t="shared" si="45"/>
        <v>0.3512653521102081</v>
      </c>
      <c r="J457" s="141">
        <f t="shared" si="46"/>
        <v>3.5159602683615496E-2</v>
      </c>
      <c r="K457" s="141">
        <f>(Constantes!$D$12/0.8)*(Constantes!$D$7*J457^2+Constantes!$D$8*J457+Constantes!$D$9)</f>
        <v>17.970042657205216</v>
      </c>
      <c r="L457" s="141">
        <f>(Constantes!$D$12/0.8)*(0.00376*D457^2-0.0516*D457-6.967)</f>
        <v>-4.3676084999999993</v>
      </c>
      <c r="M457" s="140">
        <f t="shared" si="47"/>
        <v>4.3993286221014927</v>
      </c>
      <c r="N457" s="12"/>
    </row>
    <row r="458" spans="2:14" ht="18.75" customHeight="1">
      <c r="B458" s="11"/>
      <c r="C458" s="75">
        <v>453</v>
      </c>
      <c r="D458" s="65">
        <f>(Observaciones!D458+Observaciones!E458)/2</f>
        <v>14.1</v>
      </c>
      <c r="E458" s="141">
        <f t="shared" si="42"/>
        <v>1.6098253520131185</v>
      </c>
      <c r="F458" s="141">
        <f t="shared" si="43"/>
        <v>0.10438069155687195</v>
      </c>
      <c r="G458" s="141">
        <f t="shared" si="44"/>
        <v>2.4677099</v>
      </c>
      <c r="H458" s="141">
        <f>0.001013*Constantes!$D$6/(0.622*G458)</f>
        <v>4.5155649095994843E-2</v>
      </c>
      <c r="I458" s="141">
        <f t="shared" si="45"/>
        <v>0.35640998531823892</v>
      </c>
      <c r="J458" s="141">
        <f t="shared" si="46"/>
        <v>4.2168594256000898E-2</v>
      </c>
      <c r="K458" s="141">
        <f>(Constantes!$D$12/0.8)*(Constantes!$D$7*J458^2+Constantes!$D$8*J458+Constantes!$D$9)</f>
        <v>17.91827346489351</v>
      </c>
      <c r="L458" s="141">
        <f>(Constantes!$D$12/0.8)*(0.00376*D458^2-0.0516*D458-6.967)</f>
        <v>-4.3418964999999998</v>
      </c>
      <c r="M458" s="140">
        <f t="shared" si="47"/>
        <v>4.4555812197795195</v>
      </c>
      <c r="N458" s="12"/>
    </row>
    <row r="459" spans="2:14" ht="18.75" customHeight="1">
      <c r="B459" s="11"/>
      <c r="C459" s="75">
        <v>454</v>
      </c>
      <c r="D459" s="65">
        <f>(Observaciones!D459+Observaciones!E459)/2</f>
        <v>12.9</v>
      </c>
      <c r="E459" s="141">
        <f t="shared" si="42"/>
        <v>1.4887393027557323</v>
      </c>
      <c r="F459" s="141">
        <f t="shared" si="43"/>
        <v>9.7457663967834368E-2</v>
      </c>
      <c r="G459" s="141">
        <f t="shared" si="44"/>
        <v>2.4705431</v>
      </c>
      <c r="H459" s="141">
        <f>0.001013*Constantes!$D$6/(0.622*G459)</f>
        <v>4.5103864941725781E-2</v>
      </c>
      <c r="I459" s="141">
        <f t="shared" si="45"/>
        <v>0.34865168081674919</v>
      </c>
      <c r="J459" s="141">
        <f t="shared" si="46"/>
        <v>4.9165090363835068E-2</v>
      </c>
      <c r="K459" s="141">
        <f>(Constantes!$D$12/0.8)*(Constantes!$D$7*J459^2+Constantes!$D$8*J459+Constantes!$D$9)</f>
        <v>17.865769321150921</v>
      </c>
      <c r="L459" s="141">
        <f>(Constantes!$D$12/0.8)*(0.00376*D459^2-0.0516*D459-6.967)</f>
        <v>-4.3793364999999991</v>
      </c>
      <c r="M459" s="140">
        <f t="shared" si="47"/>
        <v>4.3283316411422259</v>
      </c>
      <c r="N459" s="12"/>
    </row>
    <row r="460" spans="2:14" ht="18.75" customHeight="1">
      <c r="B460" s="11"/>
      <c r="C460" s="75">
        <v>455</v>
      </c>
      <c r="D460" s="65">
        <f>(Observaciones!D460+Observaciones!E460)/2</f>
        <v>14.5</v>
      </c>
      <c r="E460" s="141">
        <f t="shared" si="42"/>
        <v>1.6520640028566567</v>
      </c>
      <c r="F460" s="141">
        <f t="shared" si="43"/>
        <v>0.10677937410937641</v>
      </c>
      <c r="G460" s="141">
        <f t="shared" si="44"/>
        <v>2.4667654999999997</v>
      </c>
      <c r="H460" s="141">
        <f>0.001013*Constantes!$D$6/(0.622*G460)</f>
        <v>4.5172936914803029E-2</v>
      </c>
      <c r="I460" s="141">
        <f t="shared" si="45"/>
        <v>0.35894072909367275</v>
      </c>
      <c r="J460" s="141">
        <f t="shared" si="46"/>
        <v>5.6147017794325259E-2</v>
      </c>
      <c r="K460" s="141">
        <f>(Constantes!$D$12/0.8)*(Constantes!$D$7*J460^2+Constantes!$D$8*J460+Constantes!$D$9)</f>
        <v>17.8125505793044</v>
      </c>
      <c r="L460" s="141">
        <f>(Constantes!$D$12/0.8)*(0.00376*D460^2-0.0516*D460-6.967)</f>
        <v>-4.3279125000000001</v>
      </c>
      <c r="M460" s="140">
        <f t="shared" si="47"/>
        <v>4.4565668302326165</v>
      </c>
      <c r="N460" s="12"/>
    </row>
    <row r="461" spans="2:14" ht="18.75" customHeight="1">
      <c r="B461" s="11"/>
      <c r="C461" s="75">
        <v>456</v>
      </c>
      <c r="D461" s="65">
        <f>(Observaciones!D461+Observaciones!E461)/2</f>
        <v>14.5</v>
      </c>
      <c r="E461" s="141">
        <f t="shared" si="42"/>
        <v>1.6520640028566567</v>
      </c>
      <c r="F461" s="141">
        <f t="shared" si="43"/>
        <v>0.10677937410937641</v>
      </c>
      <c r="G461" s="141">
        <f t="shared" si="44"/>
        <v>2.4667654999999997</v>
      </c>
      <c r="H461" s="141">
        <f>0.001013*Constantes!$D$6/(0.622*G461)</f>
        <v>4.5172936914803029E-2</v>
      </c>
      <c r="I461" s="141">
        <f t="shared" si="45"/>
        <v>0.35894072909367275</v>
      </c>
      <c r="J461" s="141">
        <f t="shared" si="46"/>
        <v>6.3112307651691096E-2</v>
      </c>
      <c r="K461" s="141">
        <f>(Constantes!$D$12/0.8)*(Constantes!$D$7*J461^2+Constantes!$D$8*J461+Constantes!$D$9)</f>
        <v>17.758638526816043</v>
      </c>
      <c r="L461" s="141">
        <f>(Constantes!$D$12/0.8)*(0.00376*D461^2-0.0516*D461-6.967)</f>
        <v>-4.3279125000000001</v>
      </c>
      <c r="M461" s="140">
        <f t="shared" si="47"/>
        <v>4.4383766726911356</v>
      </c>
      <c r="N461" s="12"/>
    </row>
    <row r="462" spans="2:14" ht="18.75" customHeight="1">
      <c r="B462" s="11"/>
      <c r="C462" s="75">
        <v>457</v>
      </c>
      <c r="D462" s="65">
        <f>(Observaciones!D462+Observaciones!E462)/2</f>
        <v>15.1</v>
      </c>
      <c r="E462" s="141">
        <f t="shared" si="42"/>
        <v>1.7172446826168701</v>
      </c>
      <c r="F462" s="141">
        <f t="shared" si="43"/>
        <v>0.11046518728234203</v>
      </c>
      <c r="G462" s="141">
        <f t="shared" si="44"/>
        <v>2.4653489</v>
      </c>
      <c r="H462" s="141">
        <f>0.001013*Constantes!$D$6/(0.622*G462)</f>
        <v>4.5198893477151461E-2</v>
      </c>
      <c r="I462" s="141">
        <f t="shared" si="45"/>
        <v>0.36268465146207884</v>
      </c>
      <c r="J462" s="141">
        <f t="shared" si="46"/>
        <v>7.0058895970224216E-2</v>
      </c>
      <c r="K462" s="141">
        <f>(Constantes!$D$12/0.8)*(Constantes!$D$7*J462^2+Constantes!$D$8*J462+Constantes!$D$9)</f>
        <v>17.704055372435711</v>
      </c>
      <c r="L462" s="141">
        <f>(Constantes!$D$12/0.8)*(0.00376*D462^2-0.0516*D462-6.967)</f>
        <v>-4.3055265</v>
      </c>
      <c r="M462" s="140">
        <f t="shared" si="47"/>
        <v>4.4741814250709142</v>
      </c>
      <c r="N462" s="12"/>
    </row>
    <row r="463" spans="2:14" ht="18.75" customHeight="1">
      <c r="B463" s="11"/>
      <c r="C463" s="75">
        <v>458</v>
      </c>
      <c r="D463" s="65">
        <f>(Observaciones!D463+Observaciones!E463)/2</f>
        <v>14.4</v>
      </c>
      <c r="E463" s="141">
        <f t="shared" si="42"/>
        <v>1.6414142277133972</v>
      </c>
      <c r="F463" s="141">
        <f t="shared" si="43"/>
        <v>0.10617535372371334</v>
      </c>
      <c r="G463" s="141">
        <f t="shared" si="44"/>
        <v>2.4670015999999997</v>
      </c>
      <c r="H463" s="141">
        <f>0.001013*Constantes!$D$6/(0.622*G463)</f>
        <v>4.5168613719226022E-2</v>
      </c>
      <c r="I463" s="141">
        <f t="shared" si="45"/>
        <v>0.3583106491514223</v>
      </c>
      <c r="J463" s="141">
        <f t="shared" si="46"/>
        <v>7.6984724325886919E-2</v>
      </c>
      <c r="K463" s="141">
        <f>(Constantes!$D$12/0.8)*(Constantes!$D$7*J463^2+Constantes!$D$8*J463+Constantes!$D$9)</f>
        <v>17.648824232232201</v>
      </c>
      <c r="L463" s="141">
        <f>(Constantes!$D$12/0.8)*(0.00376*D463^2-0.0516*D463-6.967)</f>
        <v>-4.3314789999999999</v>
      </c>
      <c r="M463" s="140">
        <f t="shared" si="47"/>
        <v>4.3923209150900906</v>
      </c>
      <c r="N463" s="12"/>
    </row>
    <row r="464" spans="2:14" ht="18.75" customHeight="1">
      <c r="B464" s="11"/>
      <c r="C464" s="75">
        <v>459</v>
      </c>
      <c r="D464" s="65">
        <f>(Observaciones!D464+Observaciones!E464)/2</f>
        <v>13.75</v>
      </c>
      <c r="E464" s="141">
        <f t="shared" si="42"/>
        <v>1.5736468149943981</v>
      </c>
      <c r="F464" s="141">
        <f t="shared" si="43"/>
        <v>0.10231958493462359</v>
      </c>
      <c r="G464" s="141">
        <f t="shared" si="44"/>
        <v>2.4685362500000001</v>
      </c>
      <c r="H464" s="141">
        <f>0.001013*Constantes!$D$6/(0.622*G464)</f>
        <v>4.5140533105443567E-2</v>
      </c>
      <c r="I464" s="141">
        <f t="shared" si="45"/>
        <v>0.35417281924860555</v>
      </c>
      <c r="J464" s="141">
        <f t="shared" si="46"/>
        <v>8.3887740446265083E-2</v>
      </c>
      <c r="K464" s="141">
        <f>(Constantes!$D$12/0.8)*(Constantes!$D$7*J464^2+Constantes!$D$8*J464+Constantes!$D$9)</f>
        <v>17.592969114515967</v>
      </c>
      <c r="L464" s="141">
        <f>(Constantes!$D$12/0.8)*(0.00376*D464^2-0.0516*D464-6.967)</f>
        <v>-4.353515625</v>
      </c>
      <c r="M464" s="140">
        <f t="shared" si="47"/>
        <v>4.3151974794781518</v>
      </c>
      <c r="N464" s="12"/>
    </row>
    <row r="465" spans="2:14" ht="18.75" customHeight="1">
      <c r="B465" s="11"/>
      <c r="C465" s="75">
        <v>460</v>
      </c>
      <c r="D465" s="65">
        <f>(Observaciones!D465+Observaciones!E465)/2</f>
        <v>13.8</v>
      </c>
      <c r="E465" s="141">
        <f t="shared" si="42"/>
        <v>1.5787710916071758</v>
      </c>
      <c r="F465" s="141">
        <f t="shared" si="43"/>
        <v>0.10261189172112961</v>
      </c>
      <c r="G465" s="141">
        <f t="shared" si="44"/>
        <v>2.4684181999999999</v>
      </c>
      <c r="H465" s="141">
        <f>0.001013*Constantes!$D$6/(0.622*G465)</f>
        <v>4.5142691913028568E-2</v>
      </c>
      <c r="I465" s="141">
        <f t="shared" si="45"/>
        <v>0.35449371277278185</v>
      </c>
      <c r="J465" s="141">
        <f t="shared" si="46"/>
        <v>9.0765898818703644E-2</v>
      </c>
      <c r="K465" s="141">
        <f>(Constantes!$D$12/0.8)*(Constantes!$D$7*J465^2+Constantes!$D$8*J465+Constantes!$D$9)</f>
        <v>17.536514903667452</v>
      </c>
      <c r="L465" s="141">
        <f>(Constantes!$D$12/0.8)*(0.00376*D465^2-0.0516*D465-6.967)</f>
        <v>-4.3518910000000002</v>
      </c>
      <c r="M465" s="140">
        <f t="shared" si="47"/>
        <v>4.3008712224860659</v>
      </c>
      <c r="N465" s="12"/>
    </row>
    <row r="466" spans="2:14" ht="18.75" customHeight="1">
      <c r="B466" s="11"/>
      <c r="C466" s="75">
        <v>461</v>
      </c>
      <c r="D466" s="65">
        <f>(Observaciones!D466+Observaciones!E466)/2</f>
        <v>11.65</v>
      </c>
      <c r="E466" s="141">
        <f t="shared" si="42"/>
        <v>1.3711829440577765</v>
      </c>
      <c r="F466" s="141">
        <f t="shared" si="43"/>
        <v>9.0665715946703279E-2</v>
      </c>
      <c r="G466" s="141">
        <f t="shared" si="44"/>
        <v>2.4734943499999997</v>
      </c>
      <c r="H466" s="141">
        <f>0.001013*Constantes!$D$6/(0.622*G466)</f>
        <v>4.5050049261326407E-2</v>
      </c>
      <c r="I466" s="141">
        <f t="shared" si="45"/>
        <v>0.34030820325039612</v>
      </c>
      <c r="J466" s="141">
        <f t="shared" si="46"/>
        <v>9.7617161296433344E-2</v>
      </c>
      <c r="K466" s="141">
        <f>(Constantes!$D$12/0.8)*(Constantes!$D$7*J466^2+Constantes!$D$8*J466+Constantes!$D$9)</f>
        <v>17.479487342886721</v>
      </c>
      <c r="L466" s="141">
        <f>(Constantes!$D$12/0.8)*(0.00376*D466^2-0.0516*D466-6.967)</f>
        <v>-4.4111396249999997</v>
      </c>
      <c r="M466" s="140">
        <f t="shared" si="47"/>
        <v>4.0903611554416948</v>
      </c>
      <c r="N466" s="12"/>
    </row>
    <row r="467" spans="2:14" ht="18.75" customHeight="1">
      <c r="B467" s="11"/>
      <c r="C467" s="75">
        <v>462</v>
      </c>
      <c r="D467" s="65">
        <f>(Observaciones!D467+Observaciones!E467)/2</f>
        <v>12.15</v>
      </c>
      <c r="E467" s="141">
        <f t="shared" si="42"/>
        <v>1.4171886499432413</v>
      </c>
      <c r="F467" s="141">
        <f t="shared" si="43"/>
        <v>9.3332436390604984E-2</v>
      </c>
      <c r="G467" s="141">
        <f t="shared" si="44"/>
        <v>2.4723138499999999</v>
      </c>
      <c r="H467" s="141">
        <f>0.001013*Constantes!$D$6/(0.622*G467)</f>
        <v>4.5071560115683744E-2</v>
      </c>
      <c r="I467" s="141">
        <f t="shared" si="45"/>
        <v>0.34367735355446433</v>
      </c>
      <c r="J467" s="141">
        <f t="shared" si="46"/>
        <v>0.10443949770252038</v>
      </c>
      <c r="K467" s="141">
        <f>(Constantes!$D$12/0.8)*(Constantes!$D$7*J467^2+Constantes!$D$8*J467+Constantes!$D$9)</f>
        <v>17.421913015881092</v>
      </c>
      <c r="L467" s="141">
        <f>(Constantes!$D$12/0.8)*(0.00376*D467^2-0.0516*D467-6.967)</f>
        <v>-4.3992996250000003</v>
      </c>
      <c r="M467" s="140">
        <f t="shared" si="47"/>
        <v>4.1163262889916963</v>
      </c>
      <c r="N467" s="12"/>
    </row>
    <row r="468" spans="2:14" ht="18.75" customHeight="1">
      <c r="B468" s="11"/>
      <c r="C468" s="75">
        <v>463</v>
      </c>
      <c r="D468" s="65">
        <f>(Observaciones!D468+Observaciones!E468)/2</f>
        <v>12.350000000000001</v>
      </c>
      <c r="E468" s="141">
        <f t="shared" si="42"/>
        <v>1.4359671208266069</v>
      </c>
      <c r="F468" s="141">
        <f t="shared" si="43"/>
        <v>9.4417676614232643E-2</v>
      </c>
      <c r="G468" s="141">
        <f t="shared" si="44"/>
        <v>2.47184165</v>
      </c>
      <c r="H468" s="141">
        <f>0.001013*Constantes!$D$6/(0.622*G468)</f>
        <v>4.5080170210382423E-2</v>
      </c>
      <c r="I468" s="141">
        <f t="shared" si="45"/>
        <v>0.34501319460891361</v>
      </c>
      <c r="J468" s="141">
        <f t="shared" si="46"/>
        <v>0.11123088643144884</v>
      </c>
      <c r="K468" s="141">
        <f>(Constantes!$D$12/0.8)*(Constantes!$D$7*J468^2+Constantes!$D$8*J468+Constantes!$D$9)</f>
        <v>17.363819327508921</v>
      </c>
      <c r="L468" s="141">
        <f>(Constantes!$D$12/0.8)*(0.00376*D468^2-0.0516*D468-6.967)</f>
        <v>-4.3942346249999993</v>
      </c>
      <c r="M468" s="140">
        <f t="shared" si="47"/>
        <v>4.1152330443557483</v>
      </c>
      <c r="N468" s="12"/>
    </row>
    <row r="469" spans="2:14" ht="18.75" customHeight="1">
      <c r="B469" s="11"/>
      <c r="C469" s="75">
        <v>464</v>
      </c>
      <c r="D469" s="65">
        <f>(Observaciones!D469+Observaciones!E469)/2</f>
        <v>11.5</v>
      </c>
      <c r="E469" s="141">
        <f t="shared" si="42"/>
        <v>1.3576395793502862</v>
      </c>
      <c r="F469" s="141">
        <f t="shared" si="43"/>
        <v>8.9878474493928939E-2</v>
      </c>
      <c r="G469" s="141">
        <f t="shared" si="44"/>
        <v>2.4738484999999999</v>
      </c>
      <c r="H469" s="141">
        <f>0.001013*Constantes!$D$6/(0.622*G469)</f>
        <v>4.5043600008291752E-2</v>
      </c>
      <c r="I469" s="141">
        <f t="shared" si="45"/>
        <v>0.33928927202235942</v>
      </c>
      <c r="J469" s="141">
        <f t="shared" si="46"/>
        <v>0.11798931504816888</v>
      </c>
      <c r="K469" s="141">
        <f>(Constantes!$D$12/0.8)*(Constantes!$D$7*J469^2+Constantes!$D$8*J469+Constantes!$D$9)</f>
        <v>17.305234483398838</v>
      </c>
      <c r="L469" s="141">
        <f>(Constantes!$D$12/0.8)*(0.00376*D469^2-0.0516*D469-6.967)</f>
        <v>-4.4144625</v>
      </c>
      <c r="M469" s="140">
        <f t="shared" si="47"/>
        <v>4.0214118174507005</v>
      </c>
      <c r="N469" s="12"/>
    </row>
    <row r="470" spans="2:14" ht="18.75" customHeight="1">
      <c r="B470" s="11"/>
      <c r="C470" s="75">
        <v>465</v>
      </c>
      <c r="D470" s="65">
        <f>(Observaciones!D470+Observaciones!E470)/2</f>
        <v>13.05</v>
      </c>
      <c r="E470" s="141">
        <f t="shared" si="42"/>
        <v>1.5034239749399432</v>
      </c>
      <c r="F470" s="141">
        <f t="shared" si="43"/>
        <v>9.8301067529686689E-2</v>
      </c>
      <c r="G470" s="141">
        <f t="shared" si="44"/>
        <v>2.4701889499999998</v>
      </c>
      <c r="H470" s="141">
        <f>0.001013*Constantes!$D$6/(0.622*G470)</f>
        <v>4.5110331464770149E-2</v>
      </c>
      <c r="I470" s="141">
        <f t="shared" si="45"/>
        <v>0.34963502523543477</v>
      </c>
      <c r="J470" s="141">
        <f t="shared" si="46"/>
        <v>0.12471278088442181</v>
      </c>
      <c r="K470" s="141">
        <f>(Constantes!$D$12/0.8)*(Constantes!$D$7*J470^2+Constantes!$D$8*J470+Constantes!$D$9)</f>
        <v>17.246187468565058</v>
      </c>
      <c r="L470" s="141">
        <f>(Constantes!$D$12/0.8)*(0.00376*D470^2-0.0516*D470-6.967)</f>
        <v>-4.3750266249999994</v>
      </c>
      <c r="M470" s="140">
        <f t="shared" si="47"/>
        <v>4.1384163749020013</v>
      </c>
      <c r="N470" s="12"/>
    </row>
    <row r="471" spans="2:14" ht="18.75" customHeight="1">
      <c r="B471" s="11"/>
      <c r="C471" s="75">
        <v>466</v>
      </c>
      <c r="D471" s="65">
        <f>(Observaciones!D471+Observaciones!E471)/2</f>
        <v>13.55</v>
      </c>
      <c r="E471" s="141">
        <f t="shared" si="42"/>
        <v>1.5532953593153362</v>
      </c>
      <c r="F471" s="141">
        <f t="shared" si="43"/>
        <v>0.10115743021423786</v>
      </c>
      <c r="G471" s="141">
        <f t="shared" si="44"/>
        <v>2.46900845</v>
      </c>
      <c r="H471" s="141">
        <f>0.001013*Constantes!$D$6/(0.622*G471)</f>
        <v>4.5131899939472676E-2</v>
      </c>
      <c r="I471" s="141">
        <f t="shared" si="45"/>
        <v>0.35288492467431798</v>
      </c>
      <c r="J471" s="141">
        <f t="shared" si="46"/>
        <v>0.13139929163217681</v>
      </c>
      <c r="K471" s="141">
        <f>(Constantes!$D$12/0.8)*(Constantes!$D$7*J471^2+Constantes!$D$8*J471+Constantes!$D$9)</f>
        <v>17.186708025040463</v>
      </c>
      <c r="L471" s="141">
        <f>(Constantes!$D$12/0.8)*(0.00376*D471^2-0.0516*D471-6.967)</f>
        <v>-4.3598966250000002</v>
      </c>
      <c r="M471" s="140">
        <f t="shared" si="47"/>
        <v>4.1624925647060067</v>
      </c>
      <c r="N471" s="12"/>
    </row>
    <row r="472" spans="2:14" ht="18.75" customHeight="1">
      <c r="B472" s="11"/>
      <c r="C472" s="75">
        <v>467</v>
      </c>
      <c r="D472" s="65">
        <f>(Observaciones!D472+Observaciones!E472)/2</f>
        <v>13.5</v>
      </c>
      <c r="E472" s="141">
        <f t="shared" si="42"/>
        <v>1.5482437315899678</v>
      </c>
      <c r="F472" s="141">
        <f t="shared" si="43"/>
        <v>0.10086865272047608</v>
      </c>
      <c r="G472" s="141">
        <f t="shared" si="44"/>
        <v>2.4691264999999998</v>
      </c>
      <c r="H472" s="141">
        <f>0.001013*Constantes!$D$6/(0.622*G472)</f>
        <v>4.512974216392418E-2</v>
      </c>
      <c r="I472" s="141">
        <f t="shared" si="45"/>
        <v>0.35256187200074002</v>
      </c>
      <c r="J472" s="141">
        <f t="shared" si="46"/>
        <v>0.13804686593399257</v>
      </c>
      <c r="K472" s="141">
        <f>(Constantes!$D$12/0.8)*(Constantes!$D$7*J472^2+Constantes!$D$8*J472+Constantes!$D$9)</f>
        <v>17.126826628550525</v>
      </c>
      <c r="L472" s="141">
        <f>(Constantes!$D$12/0.8)*(0.00376*D472^2-0.0516*D472-6.967)</f>
        <v>-4.3614625</v>
      </c>
      <c r="M472" s="140">
        <f t="shared" si="47"/>
        <v>4.1382847104772349</v>
      </c>
      <c r="N472" s="12"/>
    </row>
    <row r="473" spans="2:14" ht="18.75" customHeight="1">
      <c r="B473" s="11"/>
      <c r="C473" s="75">
        <v>468</v>
      </c>
      <c r="D473" s="65">
        <f>(Observaciones!D473+Observaciones!E473)/2</f>
        <v>10.65</v>
      </c>
      <c r="E473" s="141">
        <f t="shared" si="42"/>
        <v>1.2830910256867623</v>
      </c>
      <c r="F473" s="141">
        <f t="shared" si="43"/>
        <v>8.5526597767177456E-2</v>
      </c>
      <c r="G473" s="141">
        <f t="shared" si="44"/>
        <v>2.4758553499999998</v>
      </c>
      <c r="H473" s="141">
        <f>0.001013*Constantes!$D$6/(0.622*G473)</f>
        <v>4.5007089091498233E-2</v>
      </c>
      <c r="I473" s="141">
        <f t="shared" si="45"/>
        <v>0.33344473848536765</v>
      </c>
      <c r="J473" s="141">
        <f t="shared" si="46"/>
        <v>0.14465353397013597</v>
      </c>
      <c r="K473" s="141">
        <f>(Constantes!$D$12/0.8)*(Constantes!$D$7*J473^2+Constantes!$D$8*J473+Constantes!$D$9)</f>
        <v>17.066574464252053</v>
      </c>
      <c r="L473" s="141">
        <f>(Constantes!$D$12/0.8)*(0.00376*D473^2-0.0516*D473-6.967)</f>
        <v>-4.4312946249999996</v>
      </c>
      <c r="M473" s="140">
        <f t="shared" si="47"/>
        <v>3.8717220141444235</v>
      </c>
      <c r="N473" s="12"/>
    </row>
    <row r="474" spans="2:14" ht="18.75" customHeight="1">
      <c r="B474" s="11"/>
      <c r="C474" s="75">
        <v>469</v>
      </c>
      <c r="D474" s="65">
        <f>(Observaciones!D474+Observaciones!E474)/2</f>
        <v>13.4</v>
      </c>
      <c r="E474" s="141">
        <f t="shared" si="42"/>
        <v>1.5381837134420713</v>
      </c>
      <c r="F474" s="141">
        <f t="shared" si="43"/>
        <v>0.10029320149589299</v>
      </c>
      <c r="G474" s="141">
        <f t="shared" si="44"/>
        <v>2.4693625999999997</v>
      </c>
      <c r="H474" s="141">
        <f>0.001013*Constantes!$D$6/(0.622*G474)</f>
        <v>4.5125427231753057E-2</v>
      </c>
      <c r="I474" s="141">
        <f t="shared" si="45"/>
        <v>0.35191447341494769</v>
      </c>
      <c r="J474" s="141">
        <f t="shared" si="46"/>
        <v>0.15121733804228546</v>
      </c>
      <c r="K474" s="141">
        <f>(Constantes!$D$12/0.8)*(Constantes!$D$7*J474^2+Constantes!$D$8*J474+Constantes!$D$9)</f>
        <v>17.005983401562105</v>
      </c>
      <c r="L474" s="141">
        <f>(Constantes!$D$12/0.8)*(0.00376*D474^2-0.0516*D474-6.967)</f>
        <v>-4.3645589999999999</v>
      </c>
      <c r="M474" s="140">
        <f t="shared" si="47"/>
        <v>4.0896211098707544</v>
      </c>
      <c r="N474" s="12"/>
    </row>
    <row r="475" spans="2:14" ht="18.75" customHeight="1">
      <c r="B475" s="11"/>
      <c r="C475" s="75">
        <v>470</v>
      </c>
      <c r="D475" s="65">
        <f>(Observaciones!D475+Observaciones!E475)/2</f>
        <v>11.3</v>
      </c>
      <c r="E475" s="141">
        <f t="shared" si="42"/>
        <v>1.3397646526819857</v>
      </c>
      <c r="F475" s="141">
        <f t="shared" si="43"/>
        <v>8.8837887126731518E-2</v>
      </c>
      <c r="G475" s="141">
        <f t="shared" si="44"/>
        <v>2.4743206999999998</v>
      </c>
      <c r="H475" s="141">
        <f>0.001013*Constantes!$D$6/(0.622*G475)</f>
        <v>4.5035003876058806E-2</v>
      </c>
      <c r="I475" s="141">
        <f t="shared" si="45"/>
        <v>0.33792485453988758</v>
      </c>
      <c r="J475" s="141">
        <f t="shared" si="46"/>
        <v>0.15773633315363522</v>
      </c>
      <c r="K475" s="141">
        <f>(Constantes!$D$12/0.8)*(Constantes!$D$7*J475^2+Constantes!$D$8*J475+Constantes!$D$9)</f>
        <v>16.945085968103356</v>
      </c>
      <c r="L475" s="141">
        <f>(Constantes!$D$12/0.8)*(0.00376*D475^2-0.0516*D475-6.967)</f>
        <v>-4.4187285000000003</v>
      </c>
      <c r="M475" s="140">
        <f t="shared" si="47"/>
        <v>3.889397582667228</v>
      </c>
      <c r="N475" s="12"/>
    </row>
    <row r="476" spans="2:14" ht="18.75" customHeight="1">
      <c r="B476" s="11"/>
      <c r="C476" s="75">
        <v>471</v>
      </c>
      <c r="D476" s="65">
        <f>(Observaciones!D476+Observaciones!E476)/2</f>
        <v>12.45</v>
      </c>
      <c r="E476" s="141">
        <f t="shared" si="42"/>
        <v>1.4454380326538754</v>
      </c>
      <c r="F476" s="141">
        <f t="shared" si="43"/>
        <v>9.4964314589914542E-2</v>
      </c>
      <c r="G476" s="141">
        <f t="shared" si="44"/>
        <v>2.47160555</v>
      </c>
      <c r="H476" s="141">
        <f>0.001013*Constantes!$D$6/(0.622*G476)</f>
        <v>4.5084476491450073E-2</v>
      </c>
      <c r="I476" s="141">
        <f t="shared" si="45"/>
        <v>0.34567857031477189</v>
      </c>
      <c r="J476" s="141">
        <f t="shared" si="46"/>
        <v>0.16420858758524307</v>
      </c>
      <c r="K476" s="141">
        <f>(Constantes!$D$12/0.8)*(Constantes!$D$7*J476^2+Constantes!$D$8*J476+Constantes!$D$9)</f>
        <v>16.883915322793356</v>
      </c>
      <c r="L476" s="141">
        <f>(Constantes!$D$12/0.8)*(0.00376*D476^2-0.0516*D476-6.967)</f>
        <v>-4.3916316249999996</v>
      </c>
      <c r="M476" s="140">
        <f t="shared" si="47"/>
        <v>3.9681303060138071</v>
      </c>
      <c r="N476" s="12"/>
    </row>
    <row r="477" spans="2:14" ht="18.75" customHeight="1">
      <c r="B477" s="11"/>
      <c r="C477" s="75">
        <v>472</v>
      </c>
      <c r="D477" s="65">
        <f>(Observaciones!D477+Observaciones!E477)/2</f>
        <v>12.049999999999999</v>
      </c>
      <c r="E477" s="141">
        <f t="shared" si="42"/>
        <v>1.4078805564877415</v>
      </c>
      <c r="F477" s="141">
        <f t="shared" si="43"/>
        <v>9.2793812868529585E-2</v>
      </c>
      <c r="G477" s="141">
        <f t="shared" si="44"/>
        <v>2.4725499499999999</v>
      </c>
      <c r="H477" s="141">
        <f>0.001013*Constantes!$D$6/(0.622*G477)</f>
        <v>4.506725630158151E-2</v>
      </c>
      <c r="I477" s="141">
        <f t="shared" si="45"/>
        <v>0.34300689410647989</v>
      </c>
      <c r="J477" s="141">
        <f t="shared" si="46"/>
        <v>0.17063218346843745</v>
      </c>
      <c r="K477" s="141">
        <f>(Constantes!$D$12/0.8)*(Constantes!$D$7*J477^2+Constantes!$D$8*J477+Constantes!$D$9)</f>
        <v>16.822505228106095</v>
      </c>
      <c r="L477" s="141">
        <f>(Constantes!$D$12/0.8)*(0.00376*D477^2-0.0516*D477-6.967)</f>
        <v>-4.4017616249999998</v>
      </c>
      <c r="M477" s="140">
        <f t="shared" si="47"/>
        <v>3.9141865696313878</v>
      </c>
      <c r="N477" s="12"/>
    </row>
    <row r="478" spans="2:14" ht="18.75" customHeight="1">
      <c r="B478" s="11"/>
      <c r="C478" s="75">
        <v>473</v>
      </c>
      <c r="D478" s="65">
        <f>(Observaciones!D478+Observaciones!E478)/2</f>
        <v>13</v>
      </c>
      <c r="E478" s="141">
        <f t="shared" si="42"/>
        <v>1.4985150190445926</v>
      </c>
      <c r="F478" s="141">
        <f t="shared" si="43"/>
        <v>9.8019245431965704E-2</v>
      </c>
      <c r="G478" s="141">
        <f t="shared" si="44"/>
        <v>2.470307</v>
      </c>
      <c r="H478" s="141">
        <f>0.001013*Constantes!$D$6/(0.622*G478)</f>
        <v>4.5108175751075688E-2</v>
      </c>
      <c r="I478" s="141">
        <f t="shared" si="45"/>
        <v>0.3493076722279615</v>
      </c>
      <c r="J478" s="141">
        <f t="shared" si="46"/>
        <v>0.17700521735312635</v>
      </c>
      <c r="K478" s="141">
        <f>(Constantes!$D$12/0.8)*(Constantes!$D$7*J478^2+Constantes!$D$8*J478+Constantes!$D$9)</f>
        <v>16.760890021535339</v>
      </c>
      <c r="L478" s="141">
        <f>(Constantes!$D$12/0.8)*(0.00376*D478^2-0.0516*D478-6.967)</f>
        <v>-4.3764749999999992</v>
      </c>
      <c r="M478" s="140">
        <f t="shared" si="47"/>
        <v>3.974688734404026</v>
      </c>
      <c r="N478" s="12"/>
    </row>
    <row r="479" spans="2:14" ht="18.75" customHeight="1">
      <c r="B479" s="11"/>
      <c r="C479" s="75">
        <v>474</v>
      </c>
      <c r="D479" s="65">
        <f>(Observaciones!D479+Observaciones!E479)/2</f>
        <v>13.6</v>
      </c>
      <c r="E479" s="141">
        <f t="shared" si="42"/>
        <v>1.5583614462879349</v>
      </c>
      <c r="F479" s="141">
        <f t="shared" si="43"/>
        <v>0.10144691080047988</v>
      </c>
      <c r="G479" s="141">
        <f t="shared" si="44"/>
        <v>2.4688903999999998</v>
      </c>
      <c r="H479" s="141">
        <f>0.001013*Constantes!$D$6/(0.622*G479)</f>
        <v>4.5134057921369271E-2</v>
      </c>
      <c r="I479" s="141">
        <f t="shared" si="45"/>
        <v>0.3532075459589159</v>
      </c>
      <c r="J479" s="141">
        <f t="shared" si="46"/>
        <v>0.18332580077182775</v>
      </c>
      <c r="K479" s="141">
        <f>(Constantes!$D$12/0.8)*(Constantes!$D$7*J479^2+Constantes!$D$8*J479+Constantes!$D$9)</f>
        <v>16.699104586290161</v>
      </c>
      <c r="L479" s="141">
        <f>(Constantes!$D$12/0.8)*(0.00376*D479^2-0.0516*D479-6.967)</f>
        <v>-4.3583189999999998</v>
      </c>
      <c r="M479" s="140">
        <f t="shared" si="47"/>
        <v>4.0049636071006196</v>
      </c>
      <c r="N479" s="12"/>
    </row>
    <row r="480" spans="2:14" ht="18.75" customHeight="1">
      <c r="B480" s="11"/>
      <c r="C480" s="75">
        <v>475</v>
      </c>
      <c r="D480" s="65">
        <f>(Observaciones!D480+Observaciones!E480)/2</f>
        <v>14.5</v>
      </c>
      <c r="E480" s="141">
        <f t="shared" si="42"/>
        <v>1.6520640028566567</v>
      </c>
      <c r="F480" s="141">
        <f t="shared" si="43"/>
        <v>0.10677937410937641</v>
      </c>
      <c r="G480" s="141">
        <f t="shared" si="44"/>
        <v>2.4667654999999997</v>
      </c>
      <c r="H480" s="141">
        <f>0.001013*Constantes!$D$6/(0.622*G480)</f>
        <v>4.5172936914803029E-2</v>
      </c>
      <c r="I480" s="141">
        <f t="shared" si="45"/>
        <v>0.35894072909367275</v>
      </c>
      <c r="J480" s="141">
        <f t="shared" si="46"/>
        <v>0.18959206079926597</v>
      </c>
      <c r="K480" s="141">
        <f>(Constantes!$D$12/0.8)*(Constantes!$D$7*J480^2+Constantes!$D$8*J480+Constantes!$D$9)</f>
        <v>16.637184321254036</v>
      </c>
      <c r="L480" s="141">
        <f>(Constantes!$D$12/0.8)*(0.00376*D480^2-0.0516*D480-6.967)</f>
        <v>-4.3279125000000001</v>
      </c>
      <c r="M480" s="140">
        <f t="shared" si="47"/>
        <v>4.0599932179129201</v>
      </c>
      <c r="N480" s="12"/>
    </row>
    <row r="481" spans="2:14" ht="18.75" customHeight="1">
      <c r="B481" s="11"/>
      <c r="C481" s="75">
        <v>476</v>
      </c>
      <c r="D481" s="65">
        <f>(Observaciones!D481+Observaciones!E481)/2</f>
        <v>12.45</v>
      </c>
      <c r="E481" s="141">
        <f t="shared" si="42"/>
        <v>1.4454380326538754</v>
      </c>
      <c r="F481" s="141">
        <f t="shared" si="43"/>
        <v>9.4964314589914542E-2</v>
      </c>
      <c r="G481" s="141">
        <f t="shared" si="44"/>
        <v>2.47160555</v>
      </c>
      <c r="H481" s="141">
        <f>0.001013*Constantes!$D$6/(0.622*G481)</f>
        <v>4.5084476491450073E-2</v>
      </c>
      <c r="I481" s="141">
        <f t="shared" si="45"/>
        <v>0.34567857031477189</v>
      </c>
      <c r="J481" s="141">
        <f t="shared" si="46"/>
        <v>0.19580214060735721</v>
      </c>
      <c r="K481" s="141">
        <f>(Constantes!$D$12/0.8)*(Constantes!$D$7*J481^2+Constantes!$D$8*J481+Constantes!$D$9)</f>
        <v>16.575165110239706</v>
      </c>
      <c r="L481" s="141">
        <f>(Constantes!$D$12/0.8)*(0.00376*D481^2-0.0516*D481-6.967)</f>
        <v>-4.3916316249999996</v>
      </c>
      <c r="M481" s="140">
        <f t="shared" si="47"/>
        <v>3.8678056738774749</v>
      </c>
      <c r="N481" s="12"/>
    </row>
    <row r="482" spans="2:14" ht="18.75" customHeight="1">
      <c r="B482" s="11"/>
      <c r="C482" s="75">
        <v>477</v>
      </c>
      <c r="D482" s="65">
        <f>(Observaciones!D482+Observaciones!E482)/2</f>
        <v>11.8</v>
      </c>
      <c r="E482" s="141">
        <f t="shared" si="42"/>
        <v>1.384844857641909</v>
      </c>
      <c r="F482" s="141">
        <f t="shared" si="43"/>
        <v>9.1458825865714591E-2</v>
      </c>
      <c r="G482" s="141">
        <f t="shared" si="44"/>
        <v>2.4731402</v>
      </c>
      <c r="H482" s="141">
        <f>0.001013*Constantes!$D$6/(0.622*G482)</f>
        <v>4.5056500361407952E-2</v>
      </c>
      <c r="I482" s="141">
        <f t="shared" si="45"/>
        <v>0.3413233651453087</v>
      </c>
      <c r="J482" s="141">
        <f t="shared" si="46"/>
        <v>0.20195420001543057</v>
      </c>
      <c r="K482" s="141">
        <f>(Constantes!$D$12/0.8)*(Constantes!$D$7*J482^2+Constantes!$D$8*J482+Constantes!$D$9)</f>
        <v>16.513083290572975</v>
      </c>
      <c r="L482" s="141">
        <f>(Constantes!$D$12/0.8)*(0.00376*D482^2-0.0516*D482-6.967)</f>
        <v>-4.4077109999999999</v>
      </c>
      <c r="M482" s="140">
        <f t="shared" si="47"/>
        <v>3.7936683370953528</v>
      </c>
      <c r="N482" s="12"/>
    </row>
    <row r="483" spans="2:14" ht="18.75" customHeight="1">
      <c r="B483" s="11"/>
      <c r="C483" s="75">
        <v>478</v>
      </c>
      <c r="D483" s="65">
        <f>(Observaciones!D483+Observaciones!E483)/2</f>
        <v>10.85</v>
      </c>
      <c r="E483" s="141">
        <f t="shared" si="42"/>
        <v>1.3003002567289974</v>
      </c>
      <c r="F483" s="141">
        <f t="shared" si="43"/>
        <v>8.6534052607070783E-2</v>
      </c>
      <c r="G483" s="141">
        <f t="shared" si="44"/>
        <v>2.4753831499999999</v>
      </c>
      <c r="H483" s="141">
        <f>0.001013*Constantes!$D$6/(0.622*G483)</f>
        <v>4.5015674569455051E-2</v>
      </c>
      <c r="I483" s="141">
        <f t="shared" si="45"/>
        <v>0.33483065028999898</v>
      </c>
      <c r="J483" s="141">
        <f t="shared" si="46"/>
        <v>0.20804641603551075</v>
      </c>
      <c r="K483" s="141">
        <f>(Constantes!$D$12/0.8)*(Constantes!$D$7*J483^2+Constantes!$D$8*J483+Constantes!$D$9)</f>
        <v>16.450975621039397</v>
      </c>
      <c r="L483" s="141">
        <f>(Constantes!$D$12/0.8)*(0.00376*D483^2-0.0516*D483-6.967)</f>
        <v>-4.4276396250000003</v>
      </c>
      <c r="M483" s="140">
        <f t="shared" si="47"/>
        <v>3.6952839583031714</v>
      </c>
      <c r="N483" s="12"/>
    </row>
    <row r="484" spans="2:14" ht="18.75" customHeight="1">
      <c r="B484" s="11"/>
      <c r="C484" s="75">
        <v>479</v>
      </c>
      <c r="D484" s="65">
        <f>(Observaciones!D484+Observaciones!E484)/2</f>
        <v>11.9</v>
      </c>
      <c r="E484" s="141">
        <f t="shared" si="42"/>
        <v>1.3940190963940859</v>
      </c>
      <c r="F484" s="141">
        <f t="shared" si="43"/>
        <v>9.1990843524687727E-2</v>
      </c>
      <c r="G484" s="141">
        <f t="shared" si="44"/>
        <v>2.4729041</v>
      </c>
      <c r="H484" s="141">
        <f>0.001013*Constantes!$D$6/(0.622*G484)</f>
        <v>4.506080212132469E-2</v>
      </c>
      <c r="I484" s="141">
        <f t="shared" si="45"/>
        <v>0.34199803993111727</v>
      </c>
      <c r="J484" s="141">
        <f t="shared" si="46"/>
        <v>0.21407698341250986</v>
      </c>
      <c r="K484" s="141">
        <f>(Constantes!$D$12/0.8)*(Constantes!$D$7*J484^2+Constantes!$D$8*J484+Constantes!$D$9)</f>
        <v>16.388879249228509</v>
      </c>
      <c r="L484" s="141">
        <f>(Constantes!$D$12/0.8)*(0.00376*D484^2-0.0516*D484-6.967)</f>
        <v>-4.4053664999999995</v>
      </c>
      <c r="M484" s="140">
        <f t="shared" si="47"/>
        <v>3.76203999693147</v>
      </c>
      <c r="N484" s="12"/>
    </row>
    <row r="485" spans="2:14" ht="18.75" customHeight="1">
      <c r="B485" s="11"/>
      <c r="C485" s="75">
        <v>480</v>
      </c>
      <c r="D485" s="65">
        <f>(Observaciones!D485+Observaciones!E485)/2</f>
        <v>11.600000000000001</v>
      </c>
      <c r="E485" s="141">
        <f t="shared" si="42"/>
        <v>1.3666553605146041</v>
      </c>
      <c r="F485" s="141">
        <f t="shared" si="43"/>
        <v>9.0402651818888555E-2</v>
      </c>
      <c r="G485" s="141">
        <f t="shared" si="44"/>
        <v>2.4736123999999999</v>
      </c>
      <c r="H485" s="141">
        <f>0.001013*Constantes!$D$6/(0.622*G485)</f>
        <v>4.5047899305126593E-2</v>
      </c>
      <c r="I485" s="141">
        <f t="shared" si="45"/>
        <v>0.33996897773719958</v>
      </c>
      <c r="J485" s="141">
        <f t="shared" si="46"/>
        <v>0.2200441151591645</v>
      </c>
      <c r="K485" s="141">
        <f>(Constantes!$D$12/0.8)*(Constantes!$D$7*J485^2+Constantes!$D$8*J485+Constantes!$D$9)</f>
        <v>16.326831678311123</v>
      </c>
      <c r="L485" s="141">
        <f>(Constantes!$D$12/0.8)*(0.00376*D485^2-0.0516*D485-6.967)</f>
        <v>-4.4122589999999997</v>
      </c>
      <c r="M485" s="140">
        <f t="shared" si="47"/>
        <v>3.7175481170992346</v>
      </c>
      <c r="N485" s="12"/>
    </row>
    <row r="486" spans="2:14" ht="18.75" customHeight="1">
      <c r="B486" s="11"/>
      <c r="C486" s="75">
        <v>481</v>
      </c>
      <c r="D486" s="65">
        <f>(Observaciones!D486+Observaciones!E486)/2</f>
        <v>11.9</v>
      </c>
      <c r="E486" s="141">
        <f t="shared" si="42"/>
        <v>1.3940190963940859</v>
      </c>
      <c r="F486" s="141">
        <f t="shared" si="43"/>
        <v>9.1990843524687727E-2</v>
      </c>
      <c r="G486" s="141">
        <f t="shared" si="44"/>
        <v>2.4729041</v>
      </c>
      <c r="H486" s="141">
        <f>0.001013*Constantes!$D$6/(0.622*G486)</f>
        <v>4.506080212132469E-2</v>
      </c>
      <c r="I486" s="141">
        <f t="shared" si="45"/>
        <v>0.34199803993111727</v>
      </c>
      <c r="J486" s="141">
        <f t="shared" si="46"/>
        <v>0.22594604308555619</v>
      </c>
      <c r="K486" s="141">
        <f>(Constantes!$D$12/0.8)*(Constantes!$D$7*J486^2+Constantes!$D$8*J486+Constantes!$D$9)</f>
        <v>16.264870733285896</v>
      </c>
      <c r="L486" s="141">
        <f>(Constantes!$D$12/0.8)*(0.00376*D486^2-0.0516*D486-6.967)</f>
        <v>-4.4053664999999995</v>
      </c>
      <c r="M486" s="140">
        <f t="shared" si="47"/>
        <v>3.7221739677075578</v>
      </c>
      <c r="N486" s="12"/>
    </row>
    <row r="487" spans="2:14" ht="18.75" customHeight="1">
      <c r="B487" s="11"/>
      <c r="C487" s="75">
        <v>482</v>
      </c>
      <c r="D487" s="65">
        <f>(Observaciones!D487+Observaciones!E487)/2</f>
        <v>14.1</v>
      </c>
      <c r="E487" s="141">
        <f t="shared" si="42"/>
        <v>1.6098253520131185</v>
      </c>
      <c r="F487" s="141">
        <f t="shared" si="43"/>
        <v>0.10438069155687195</v>
      </c>
      <c r="G487" s="141">
        <f t="shared" si="44"/>
        <v>2.4677099</v>
      </c>
      <c r="H487" s="141">
        <f>0.001013*Constantes!$D$6/(0.622*G487)</f>
        <v>4.5155649095994843E-2</v>
      </c>
      <c r="I487" s="141">
        <f t="shared" si="45"/>
        <v>0.35640998531823892</v>
      </c>
      <c r="J487" s="141">
        <f t="shared" si="46"/>
        <v>0.23178101832306697</v>
      </c>
      <c r="K487" s="141">
        <f>(Constantes!$D$12/0.8)*(Constantes!$D$7*J487^2+Constantes!$D$8*J487+Constantes!$D$9)</f>
        <v>16.203034526731908</v>
      </c>
      <c r="L487" s="141">
        <f>(Constantes!$D$12/0.8)*(0.00376*D487^2-0.0516*D487-6.967)</f>
        <v>-4.3418964999999998</v>
      </c>
      <c r="M487" s="140">
        <f t="shared" si="47"/>
        <v>3.8809326320981183</v>
      </c>
      <c r="N487" s="12"/>
    </row>
    <row r="488" spans="2:14" ht="18.75" customHeight="1">
      <c r="B488" s="11"/>
      <c r="C488" s="75">
        <v>483</v>
      </c>
      <c r="D488" s="65">
        <f>(Observaciones!D488+Observaciones!E488)/2</f>
        <v>12.200000000000001</v>
      </c>
      <c r="E488" s="141">
        <f t="shared" si="42"/>
        <v>1.4218629321922343</v>
      </c>
      <c r="F488" s="141">
        <f t="shared" si="43"/>
        <v>9.3602745308232108E-2</v>
      </c>
      <c r="G488" s="141">
        <f t="shared" si="44"/>
        <v>2.4721957999999997</v>
      </c>
      <c r="H488" s="141">
        <f>0.001013*Constantes!$D$6/(0.622*G488)</f>
        <v>4.5073712331002484E-2</v>
      </c>
      <c r="I488" s="141">
        <f t="shared" si="45"/>
        <v>0.34401194911201238</v>
      </c>
      <c r="J488" s="141">
        <f t="shared" si="46"/>
        <v>0.23754731184260425</v>
      </c>
      <c r="K488" s="141">
        <f>(Constantes!$D$12/0.8)*(Constantes!$D$7*J488^2+Constantes!$D$8*J488+Constantes!$D$9)</f>
        <v>16.141361424104812</v>
      </c>
      <c r="L488" s="141">
        <f>(Constantes!$D$12/0.8)*(0.00376*D488^2-0.0516*D488-6.967)</f>
        <v>-4.3980509999999997</v>
      </c>
      <c r="M488" s="140">
        <f t="shared" si="47"/>
        <v>3.7066698357340448</v>
      </c>
      <c r="N488" s="12"/>
    </row>
    <row r="489" spans="2:14" ht="18.75" customHeight="1">
      <c r="B489" s="11"/>
      <c r="C489" s="75">
        <v>484</v>
      </c>
      <c r="D489" s="65">
        <f>(Observaciones!D489+Observaciones!E489)/2</f>
        <v>13.85</v>
      </c>
      <c r="E489" s="141">
        <f t="shared" si="42"/>
        <v>1.5839100041391287</v>
      </c>
      <c r="F489" s="141">
        <f t="shared" si="43"/>
        <v>0.10290490852509908</v>
      </c>
      <c r="G489" s="141">
        <f t="shared" si="44"/>
        <v>2.4683001499999997</v>
      </c>
      <c r="H489" s="141">
        <f>0.001013*Constantes!$D$6/(0.622*G489)</f>
        <v>4.5144850927109709E-2</v>
      </c>
      <c r="I489" s="141">
        <f t="shared" si="45"/>
        <v>0.35481417383138586</v>
      </c>
      <c r="J489" s="141">
        <f t="shared" si="46"/>
        <v>0.24324321496695228</v>
      </c>
      <c r="K489" s="141">
        <f>(Constantes!$D$12/0.8)*(Constantes!$D$7*J489^2+Constantes!$D$8*J489+Constantes!$D$9)</f>
        <v>16.079890008614473</v>
      </c>
      <c r="L489" s="141">
        <f>(Constantes!$D$12/0.8)*(0.00376*D489^2-0.0516*D489-6.967)</f>
        <v>-4.3502546249999998</v>
      </c>
      <c r="M489" s="140">
        <f t="shared" si="47"/>
        <v>3.8195185146581938</v>
      </c>
      <c r="N489" s="12"/>
    </row>
    <row r="490" spans="2:14" ht="18.75" customHeight="1">
      <c r="B490" s="11"/>
      <c r="C490" s="75">
        <v>485</v>
      </c>
      <c r="D490" s="65">
        <f>(Observaciones!D490+Observaciones!E490)/2</f>
        <v>12.6</v>
      </c>
      <c r="E490" s="141">
        <f t="shared" si="42"/>
        <v>1.4597472514986058</v>
      </c>
      <c r="F490" s="141">
        <f t="shared" si="43"/>
        <v>9.5789323919104052E-2</v>
      </c>
      <c r="G490" s="141">
        <f t="shared" si="44"/>
        <v>2.4712513999999999</v>
      </c>
      <c r="H490" s="141">
        <f>0.001013*Constantes!$D$6/(0.622*G490)</f>
        <v>4.5090937455862456E-2</v>
      </c>
      <c r="I490" s="141">
        <f t="shared" si="45"/>
        <v>0.34667344489607588</v>
      </c>
      <c r="J490" s="141">
        <f t="shared" si="46"/>
        <v>0.24886703987708622</v>
      </c>
      <c r="K490" s="141">
        <f>(Constantes!$D$12/0.8)*(Constantes!$D$7*J490^2+Constantes!$D$8*J490+Constantes!$D$9)</f>
        <v>16.018659045722806</v>
      </c>
      <c r="L490" s="141">
        <f>(Constantes!$D$12/0.8)*(0.00376*D490^2-0.0516*D490-6.967)</f>
        <v>-4.3876390000000001</v>
      </c>
      <c r="M490" s="140">
        <f t="shared" si="47"/>
        <v>3.6989711640662546</v>
      </c>
      <c r="N490" s="12"/>
    </row>
    <row r="491" spans="2:14" ht="18.75" customHeight="1">
      <c r="B491" s="11"/>
      <c r="C491" s="75">
        <v>486</v>
      </c>
      <c r="D491" s="65">
        <f>(Observaciones!D491+Observaciones!E491)/2</f>
        <v>12.55</v>
      </c>
      <c r="E491" s="141">
        <f t="shared" si="42"/>
        <v>1.4549637534474031</v>
      </c>
      <c r="F491" s="141">
        <f t="shared" si="43"/>
        <v>9.551364537557766E-2</v>
      </c>
      <c r="G491" s="141">
        <f t="shared" si="44"/>
        <v>2.4713694500000001</v>
      </c>
      <c r="H491" s="141">
        <f>0.001013*Constantes!$D$6/(0.622*G491)</f>
        <v>4.5088783595310905E-2</v>
      </c>
      <c r="I491" s="141">
        <f t="shared" si="45"/>
        <v>0.34634224568893279</v>
      </c>
      <c r="J491" s="141">
        <f t="shared" si="46"/>
        <v>0.25441712011231482</v>
      </c>
      <c r="K491" s="141">
        <f>(Constantes!$D$12/0.8)*(Constantes!$D$7*J491^2+Constantes!$D$8*J491+Constantes!$D$9)</f>
        <v>15.957707447300658</v>
      </c>
      <c r="L491" s="141">
        <f>(Constantes!$D$12/0.8)*(0.00376*D491^2-0.0516*D491-6.967)</f>
        <v>-4.3889816249999996</v>
      </c>
      <c r="M491" s="140">
        <f t="shared" si="47"/>
        <v>3.6751287870544487</v>
      </c>
      <c r="N491" s="12"/>
    </row>
    <row r="492" spans="2:14" ht="18.75" customHeight="1">
      <c r="B492" s="11"/>
      <c r="C492" s="75">
        <v>487</v>
      </c>
      <c r="D492" s="65">
        <f>(Observaciones!D492+Observaciones!E492)/2</f>
        <v>13.15</v>
      </c>
      <c r="E492" s="141">
        <f t="shared" si="42"/>
        <v>1.5132842544432668</v>
      </c>
      <c r="F492" s="141">
        <f t="shared" si="43"/>
        <v>9.8866781254448824E-2</v>
      </c>
      <c r="G492" s="141">
        <f t="shared" si="44"/>
        <v>2.4699528499999999</v>
      </c>
      <c r="H492" s="141">
        <f>0.001013*Constantes!$D$6/(0.622*G492)</f>
        <v>4.5114643510345769E-2</v>
      </c>
      <c r="I492" s="141">
        <f t="shared" si="45"/>
        <v>0.35028844443641177</v>
      </c>
      <c r="J492" s="141">
        <f t="shared" si="46"/>
        <v>0.25989181106408216</v>
      </c>
      <c r="K492" s="141">
        <f>(Constantes!$D$12/0.8)*(Constantes!$D$7*J492^2+Constantes!$D$8*J492+Constantes!$D$9)</f>
        <v>15.897074235483471</v>
      </c>
      <c r="L492" s="141">
        <f>(Constantes!$D$12/0.8)*(0.00376*D492^2-0.0516*D492-6.967)</f>
        <v>-4.3720946249999999</v>
      </c>
      <c r="M492" s="140">
        <f t="shared" si="47"/>
        <v>3.7029534956153576</v>
      </c>
      <c r="N492" s="12"/>
    </row>
    <row r="493" spans="2:14" ht="18.75" customHeight="1">
      <c r="B493" s="11"/>
      <c r="C493" s="75">
        <v>488</v>
      </c>
      <c r="D493" s="65">
        <f>(Observaciones!D493+Observaciones!E493)/2</f>
        <v>13.25</v>
      </c>
      <c r="E493" s="141">
        <f t="shared" si="42"/>
        <v>1.5232012546387372</v>
      </c>
      <c r="F493" s="141">
        <f t="shared" si="43"/>
        <v>9.943526343834895E-2</v>
      </c>
      <c r="G493" s="141">
        <f t="shared" si="44"/>
        <v>2.4697167499999999</v>
      </c>
      <c r="H493" s="141">
        <f>0.001013*Constantes!$D$6/(0.622*G493)</f>
        <v>4.5118956380367316E-2</v>
      </c>
      <c r="I493" s="141">
        <f t="shared" si="45"/>
        <v>0.35094014605756357</v>
      </c>
      <c r="J493" s="141">
        <f t="shared" si="46"/>
        <v>0.26528949046330741</v>
      </c>
      <c r="K493" s="141">
        <f>(Constantes!$D$12/0.8)*(Constantes!$D$7*J493^2+Constantes!$D$8*J493+Constantes!$D$9)</f>
        <v>15.836798506265312</v>
      </c>
      <c r="L493" s="141">
        <f>(Constantes!$D$12/0.8)*(0.00376*D493^2-0.0516*D493-6.967)</f>
        <v>-4.3691156249999992</v>
      </c>
      <c r="M493" s="140">
        <f t="shared" si="47"/>
        <v>3.691004202440693</v>
      </c>
      <c r="N493" s="12"/>
    </row>
    <row r="494" spans="2:14" ht="18.75" customHeight="1">
      <c r="B494" s="11"/>
      <c r="C494" s="75">
        <v>489</v>
      </c>
      <c r="D494" s="65">
        <f>(Observaciones!D494+Observaciones!E494)/2</f>
        <v>11.899999999999999</v>
      </c>
      <c r="E494" s="141">
        <f t="shared" si="42"/>
        <v>1.3940190963940857</v>
      </c>
      <c r="F494" s="141">
        <f t="shared" si="43"/>
        <v>9.1990843524687713E-2</v>
      </c>
      <c r="G494" s="141">
        <f t="shared" si="44"/>
        <v>2.4729041</v>
      </c>
      <c r="H494" s="141">
        <f>0.001013*Constantes!$D$6/(0.622*G494)</f>
        <v>4.506080212132469E-2</v>
      </c>
      <c r="I494" s="141">
        <f t="shared" si="45"/>
        <v>0.34199803993111721</v>
      </c>
      <c r="J494" s="141">
        <f t="shared" si="46"/>
        <v>0.27060855886109192</v>
      </c>
      <c r="K494" s="141">
        <f>(Constantes!$D$12/0.8)*(Constantes!$D$7*J494^2+Constantes!$D$8*J494+Constantes!$D$9)</f>
        <v>15.776919392871843</v>
      </c>
      <c r="L494" s="141">
        <f>(Constantes!$D$12/0.8)*(0.00376*D494^2-0.0516*D494-6.967)</f>
        <v>-4.4053664999999995</v>
      </c>
      <c r="M494" s="140">
        <f t="shared" si="47"/>
        <v>3.5653082698243921</v>
      </c>
      <c r="N494" s="12"/>
    </row>
    <row r="495" spans="2:14" ht="18.75" customHeight="1">
      <c r="B495" s="11"/>
      <c r="C495" s="75">
        <v>490</v>
      </c>
      <c r="D495" s="65">
        <f>(Observaciones!D495+Observaciones!E495)/2</f>
        <v>12.450000000000001</v>
      </c>
      <c r="E495" s="141">
        <f t="shared" si="42"/>
        <v>1.4454380326538756</v>
      </c>
      <c r="F495" s="141">
        <f t="shared" si="43"/>
        <v>9.4964314589914556E-2</v>
      </c>
      <c r="G495" s="141">
        <f t="shared" si="44"/>
        <v>2.47160555</v>
      </c>
      <c r="H495" s="141">
        <f>0.001013*Constantes!$D$6/(0.622*G495)</f>
        <v>4.5084476491450073E-2</v>
      </c>
      <c r="I495" s="141">
        <f t="shared" si="45"/>
        <v>0.34567857031477189</v>
      </c>
      <c r="J495" s="141">
        <f t="shared" si="46"/>
        <v>0.27584744010267465</v>
      </c>
      <c r="K495" s="141">
        <f>(Constantes!$D$12/0.8)*(Constantes!$D$7*J495^2+Constantes!$D$8*J495+Constantes!$D$9)</f>
        <v>15.717476028952412</v>
      </c>
      <c r="L495" s="141">
        <f>(Constantes!$D$12/0.8)*(0.00376*D495^2-0.0516*D495-6.967)</f>
        <v>-4.3916316249999996</v>
      </c>
      <c r="M495" s="140">
        <f t="shared" si="47"/>
        <v>3.5891100226071311</v>
      </c>
      <c r="N495" s="12"/>
    </row>
    <row r="496" spans="2:14" ht="18.75" customHeight="1">
      <c r="B496" s="11"/>
      <c r="C496" s="75">
        <v>491</v>
      </c>
      <c r="D496" s="65">
        <f>(Observaciones!D496+Observaciones!E496)/2</f>
        <v>11.15</v>
      </c>
      <c r="E496" s="141">
        <f t="shared" si="42"/>
        <v>1.3264944974668198</v>
      </c>
      <c r="F496" s="141">
        <f t="shared" si="43"/>
        <v>8.8064202128366353E-2</v>
      </c>
      <c r="G496" s="141">
        <f t="shared" si="44"/>
        <v>2.47467485</v>
      </c>
      <c r="H496" s="141">
        <f>0.001013*Constantes!$D$6/(0.622*G496)</f>
        <v>4.5028558929716578E-2</v>
      </c>
      <c r="I496" s="141">
        <f t="shared" si="45"/>
        <v>0.33689717588432466</v>
      </c>
      <c r="J496" s="141">
        <f t="shared" si="46"/>
        <v>0.28100458179447985</v>
      </c>
      <c r="K496" s="141">
        <f>(Constantes!$D$12/0.8)*(Constantes!$D$7*J496^2+Constantes!$D$8*J496+Constantes!$D$9)</f>
        <v>15.658507511632344</v>
      </c>
      <c r="L496" s="141">
        <f>(Constantes!$D$12/0.8)*(0.00376*D496^2-0.0516*D496-6.967)</f>
        <v>-4.421804625</v>
      </c>
      <c r="M496" s="140">
        <f t="shared" si="47"/>
        <v>3.46909505120373</v>
      </c>
      <c r="N496" s="12"/>
    </row>
    <row r="497" spans="2:14" ht="18.75" customHeight="1">
      <c r="B497" s="11"/>
      <c r="C497" s="75">
        <v>492</v>
      </c>
      <c r="D497" s="65">
        <f>(Observaciones!D497+Observaciones!E497)/2</f>
        <v>12.4</v>
      </c>
      <c r="E497" s="141">
        <f t="shared" si="42"/>
        <v>1.440695742444418</v>
      </c>
      <c r="F497" s="141">
        <f t="shared" si="43"/>
        <v>9.4690659669251859E-2</v>
      </c>
      <c r="G497" s="141">
        <f t="shared" si="44"/>
        <v>2.4717235999999998</v>
      </c>
      <c r="H497" s="141">
        <f>0.001013*Constantes!$D$6/(0.622*G497)</f>
        <v>4.508232324808184E-2</v>
      </c>
      <c r="I497" s="141">
        <f t="shared" si="45"/>
        <v>0.34534609482941636</v>
      </c>
      <c r="J497" s="141">
        <f t="shared" si="46"/>
        <v>0.2860784557641235</v>
      </c>
      <c r="K497" s="141">
        <f>(Constantes!$D$12/0.8)*(Constantes!$D$7*J497^2+Constantes!$D$8*J497+Constantes!$D$9)</f>
        <v>15.600052864466267</v>
      </c>
      <c r="L497" s="141">
        <f>(Constantes!$D$12/0.8)*(0.00376*D497^2-0.0516*D497-6.967)</f>
        <v>-4.3929389999999993</v>
      </c>
      <c r="M497" s="140">
        <f t="shared" si="47"/>
        <v>3.5470879672494822</v>
      </c>
      <c r="N497" s="12"/>
    </row>
    <row r="498" spans="2:14" ht="18.75" customHeight="1">
      <c r="B498" s="11"/>
      <c r="C498" s="75">
        <v>493</v>
      </c>
      <c r="D498" s="65">
        <f>(Observaciones!D498+Observaciones!E498)/2</f>
        <v>11.15</v>
      </c>
      <c r="E498" s="141">
        <f t="shared" si="42"/>
        <v>1.3264944974668198</v>
      </c>
      <c r="F498" s="141">
        <f t="shared" si="43"/>
        <v>8.8064202128366353E-2</v>
      </c>
      <c r="G498" s="141">
        <f t="shared" si="44"/>
        <v>2.47467485</v>
      </c>
      <c r="H498" s="141">
        <f>0.001013*Constantes!$D$6/(0.622*G498)</f>
        <v>4.5028558929716578E-2</v>
      </c>
      <c r="I498" s="141">
        <f t="shared" si="45"/>
        <v>0.33689717588432466</v>
      </c>
      <c r="J498" s="141">
        <f t="shared" si="46"/>
        <v>0.29106755851324578</v>
      </c>
      <c r="K498" s="141">
        <f>(Constantes!$D$12/0.8)*(Constantes!$D$7*J498^2+Constantes!$D$8*J498+Constantes!$D$9)</f>
        <v>15.54215100033365</v>
      </c>
      <c r="L498" s="141">
        <f>(Constantes!$D$12/0.8)*(0.00376*D498^2-0.0516*D498-6.967)</f>
        <v>-4.421804625</v>
      </c>
      <c r="M498" s="140">
        <f t="shared" si="47"/>
        <v>3.4322468819545842</v>
      </c>
      <c r="N498" s="12"/>
    </row>
    <row r="499" spans="2:14" ht="18.75" customHeight="1">
      <c r="B499" s="11"/>
      <c r="C499" s="75">
        <v>494</v>
      </c>
      <c r="D499" s="65">
        <f>(Observaciones!D499+Observaciones!E499)/2</f>
        <v>11.75</v>
      </c>
      <c r="E499" s="141">
        <f t="shared" ref="E499:E562" si="48">EXP((16.78*D499-116.9)/(D499+237.3))</f>
        <v>1.3802776599471762</v>
      </c>
      <c r="F499" s="141">
        <f t="shared" ref="F499:F562" si="49">4098*E499/((D499+237.3)^2)</f>
        <v>9.1193801661548224E-2</v>
      </c>
      <c r="G499" s="141">
        <f t="shared" ref="G499:G562" si="50">2.501-0.002361*D499</f>
        <v>2.4732582499999998</v>
      </c>
      <c r="H499" s="141">
        <f>0.001013*Constantes!$D$6/(0.622*G499)</f>
        <v>4.5054349789437696E-2</v>
      </c>
      <c r="I499" s="141">
        <f t="shared" ref="I499:I562" si="51">IF(D499&gt;0,1.26*F499/(G499*(F499+H499)),0)</f>
        <v>0.34098539738615508</v>
      </c>
      <c r="J499" s="141">
        <f t="shared" ref="J499:J562" si="52">0.409*SIN(2*PI()*(C499-82)/365)</f>
        <v>0.29597041166302795</v>
      </c>
      <c r="K499" s="141">
        <f>(Constantes!$D$12/0.8)*(Constantes!$D$7*J499^2+Constantes!$D$8*J499+Constantes!$D$9)</f>
        <v>15.484840684317875</v>
      </c>
      <c r="L499" s="141">
        <f>(Constantes!$D$12/0.8)*(0.00376*D499^2-0.0516*D499-6.967)</f>
        <v>-4.4088656249999998</v>
      </c>
      <c r="M499" s="140">
        <f t="shared" si="47"/>
        <v>3.4599394837884421</v>
      </c>
      <c r="N499" s="12"/>
    </row>
    <row r="500" spans="2:14" ht="18.75" customHeight="1">
      <c r="B500" s="11"/>
      <c r="C500" s="75">
        <v>495</v>
      </c>
      <c r="D500" s="65">
        <f>(Observaciones!D500+Observaciones!E500)/2</f>
        <v>12.25</v>
      </c>
      <c r="E500" s="141">
        <f t="shared" si="48"/>
        <v>1.4265507491669478</v>
      </c>
      <c r="F500" s="141">
        <f t="shared" si="49"/>
        <v>9.387372076527814E-2</v>
      </c>
      <c r="G500" s="141">
        <f t="shared" si="50"/>
        <v>2.47207775</v>
      </c>
      <c r="H500" s="141">
        <f>0.001013*Constantes!$D$6/(0.622*G500)</f>
        <v>4.5075864751872197E-2</v>
      </c>
      <c r="I500" s="141">
        <f t="shared" si="51"/>
        <v>0.34434612138705856</v>
      </c>
      <c r="J500" s="141">
        <f t="shared" si="52"/>
        <v>0.30078556239227006</v>
      </c>
      <c r="K500" s="141">
        <f>(Constantes!$D$12/0.8)*(Constantes!$D$7*J500^2+Constantes!$D$8*J500+Constantes!$D$9)</f>
        <v>15.428160496610097</v>
      </c>
      <c r="L500" s="141">
        <f>(Constantes!$D$12/0.8)*(0.00376*D500^2-0.0516*D500-6.967)</f>
        <v>-4.3967906249999995</v>
      </c>
      <c r="M500" s="140">
        <f t="shared" si="47"/>
        <v>3.4798517952463079</v>
      </c>
      <c r="N500" s="12"/>
    </row>
    <row r="501" spans="2:14" ht="18.75" customHeight="1">
      <c r="B501" s="11"/>
      <c r="C501" s="75">
        <v>496</v>
      </c>
      <c r="D501" s="65">
        <f>(Observaciones!D501+Observaciones!E501)/2</f>
        <v>12.15</v>
      </c>
      <c r="E501" s="141">
        <f t="shared" si="48"/>
        <v>1.4171886499432413</v>
      </c>
      <c r="F501" s="141">
        <f t="shared" si="49"/>
        <v>9.3332436390604984E-2</v>
      </c>
      <c r="G501" s="141">
        <f t="shared" si="50"/>
        <v>2.4723138499999999</v>
      </c>
      <c r="H501" s="141">
        <f>0.001013*Constantes!$D$6/(0.622*G501)</f>
        <v>4.5071560115683744E-2</v>
      </c>
      <c r="I501" s="141">
        <f t="shared" si="51"/>
        <v>0.34367735355446433</v>
      </c>
      <c r="J501" s="141">
        <f t="shared" si="52"/>
        <v>0.3055115838678909</v>
      </c>
      <c r="K501" s="141">
        <f>(Constantes!$D$12/0.8)*(Constantes!$D$7*J501^2+Constantes!$D$8*J501+Constantes!$D$9)</f>
        <v>15.372148795479319</v>
      </c>
      <c r="L501" s="141">
        <f>(Constantes!$D$12/0.8)*(0.00376*D501^2-0.0516*D501-6.967)</f>
        <v>-4.3992996250000003</v>
      </c>
      <c r="M501" s="140">
        <f t="shared" si="47"/>
        <v>3.454136198874084</v>
      </c>
      <c r="N501" s="12"/>
    </row>
    <row r="502" spans="2:14" ht="18.75" customHeight="1">
      <c r="B502" s="11"/>
      <c r="C502" s="75">
        <v>497</v>
      </c>
      <c r="D502" s="65">
        <f>(Observaciones!D502+Observaciones!E502)/2</f>
        <v>11.15</v>
      </c>
      <c r="E502" s="141">
        <f t="shared" si="48"/>
        <v>1.3264944974668198</v>
      </c>
      <c r="F502" s="141">
        <f t="shared" si="49"/>
        <v>8.8064202128366353E-2</v>
      </c>
      <c r="G502" s="141">
        <f t="shared" si="50"/>
        <v>2.47467485</v>
      </c>
      <c r="H502" s="141">
        <f>0.001013*Constantes!$D$6/(0.622*G502)</f>
        <v>4.5028558929716578E-2</v>
      </c>
      <c r="I502" s="141">
        <f t="shared" si="51"/>
        <v>0.33689717588432466</v>
      </c>
      <c r="J502" s="141">
        <f t="shared" si="52"/>
        <v>0.31014707566773192</v>
      </c>
      <c r="K502" s="141">
        <f>(Constantes!$D$12/0.8)*(Constantes!$D$7*J502^2+Constantes!$D$8*J502+Constantes!$D$9)</f>
        <v>15.316843680349887</v>
      </c>
      <c r="L502" s="141">
        <f>(Constantes!$D$12/0.8)*(0.00376*D502^2-0.0516*D502-6.967)</f>
        <v>-4.421804625</v>
      </c>
      <c r="M502" s="140">
        <f t="shared" si="47"/>
        <v>3.3608958061345042</v>
      </c>
      <c r="N502" s="12"/>
    </row>
    <row r="503" spans="2:14" ht="18.75" customHeight="1">
      <c r="B503" s="11"/>
      <c r="C503" s="75">
        <v>498</v>
      </c>
      <c r="D503" s="65">
        <f>(Observaciones!D503+Observaciones!E503)/2</f>
        <v>10.5</v>
      </c>
      <c r="E503" s="141">
        <f t="shared" si="48"/>
        <v>1.270315807299828</v>
      </c>
      <c r="F503" s="141">
        <f t="shared" si="49"/>
        <v>8.4777587211605721E-2</v>
      </c>
      <c r="G503" s="141">
        <f t="shared" si="50"/>
        <v>2.4762095</v>
      </c>
      <c r="H503" s="141">
        <f>0.001013*Constantes!$D$6/(0.622*G503)</f>
        <v>4.5000652131862245E-2</v>
      </c>
      <c r="I503" s="141">
        <f t="shared" si="51"/>
        <v>0.33240100947604179</v>
      </c>
      <c r="J503" s="141">
        <f t="shared" si="52"/>
        <v>0.31469066419553055</v>
      </c>
      <c r="K503" s="141">
        <f>(Constantes!$D$12/0.8)*(Constantes!$D$7*J503^2+Constantes!$D$8*J503+Constantes!$D$9)</f>
        <v>15.262282955027764</v>
      </c>
      <c r="L503" s="141">
        <f>(Constantes!$D$12/0.8)*(0.00376*D503^2-0.0516*D503-6.967)</f>
        <v>-4.4339124999999999</v>
      </c>
      <c r="M503" s="140">
        <f t="shared" si="47"/>
        <v>3.2949693745621618</v>
      </c>
      <c r="N503" s="12"/>
    </row>
    <row r="504" spans="2:14" ht="18.75" customHeight="1">
      <c r="B504" s="11"/>
      <c r="C504" s="75">
        <v>499</v>
      </c>
      <c r="D504" s="65">
        <f>(Observaciones!D504+Observaciones!E504)/2</f>
        <v>10.5</v>
      </c>
      <c r="E504" s="141">
        <f t="shared" si="48"/>
        <v>1.270315807299828</v>
      </c>
      <c r="F504" s="141">
        <f t="shared" si="49"/>
        <v>8.4777587211605721E-2</v>
      </c>
      <c r="G504" s="141">
        <f t="shared" si="50"/>
        <v>2.4762095</v>
      </c>
      <c r="H504" s="141">
        <f>0.001013*Constantes!$D$6/(0.622*G504)</f>
        <v>4.5000652131862245E-2</v>
      </c>
      <c r="I504" s="141">
        <f t="shared" si="51"/>
        <v>0.33240100947604179</v>
      </c>
      <c r="J504" s="141">
        <f t="shared" si="52"/>
        <v>0.31914100308794702</v>
      </c>
      <c r="K504" s="141">
        <f>(Constantes!$D$12/0.8)*(Constantes!$D$7*J504^2+Constantes!$D$8*J504+Constantes!$D$9)</f>
        <v>15.208504091116563</v>
      </c>
      <c r="L504" s="141">
        <f>(Constantes!$D$12/0.8)*(0.00376*D504^2-0.0516*D504-6.967)</f>
        <v>-4.4339124999999999</v>
      </c>
      <c r="M504" s="140">
        <f t="shared" si="47"/>
        <v>3.278165794828757</v>
      </c>
      <c r="N504" s="12"/>
    </row>
    <row r="505" spans="2:14" ht="18.75" customHeight="1">
      <c r="B505" s="11"/>
      <c r="C505" s="75">
        <v>500</v>
      </c>
      <c r="D505" s="65">
        <f>(Observaciones!D505+Observaciones!E505)/2</f>
        <v>11.25</v>
      </c>
      <c r="E505" s="141">
        <f t="shared" si="48"/>
        <v>1.3353283650298429</v>
      </c>
      <c r="F505" s="141">
        <f t="shared" si="49"/>
        <v>8.8579350899344877E-2</v>
      </c>
      <c r="G505" s="141">
        <f t="shared" si="50"/>
        <v>2.47443875</v>
      </c>
      <c r="H505" s="141">
        <f>0.001013*Constantes!$D$6/(0.622*G505)</f>
        <v>4.5032855355628641E-2</v>
      </c>
      <c r="I505" s="141">
        <f t="shared" si="51"/>
        <v>0.33758270995629469</v>
      </c>
      <c r="J505" s="141">
        <f t="shared" si="52"/>
        <v>0.32349677361352203</v>
      </c>
      <c r="K505" s="141">
        <f>(Constantes!$D$12/0.8)*(Constantes!$D$7*J505^2+Constantes!$D$8*J505+Constantes!$D$9)</f>
        <v>15.155544191664331</v>
      </c>
      <c r="L505" s="141">
        <f>(Constantes!$D$12/0.8)*(0.00376*D505^2-0.0516*D505-6.967)</f>
        <v>-4.4197656250000001</v>
      </c>
      <c r="M505" s="140">
        <f t="shared" si="47"/>
        <v>3.317238241280184</v>
      </c>
      <c r="N505" s="12"/>
    </row>
    <row r="506" spans="2:14" ht="18.75" customHeight="1">
      <c r="B506" s="11"/>
      <c r="C506" s="75">
        <v>501</v>
      </c>
      <c r="D506" s="65">
        <f>(Observaciones!D506+Observaciones!E506)/2</f>
        <v>10.25</v>
      </c>
      <c r="E506" s="141">
        <f t="shared" si="48"/>
        <v>1.2492721463078402</v>
      </c>
      <c r="F506" s="141">
        <f t="shared" si="49"/>
        <v>8.3541669468764471E-2</v>
      </c>
      <c r="G506" s="141">
        <f t="shared" si="50"/>
        <v>2.4767997500000001</v>
      </c>
      <c r="H506" s="141">
        <f>0.001013*Constantes!$D$6/(0.622*G506)</f>
        <v>4.4989927956473885E-2</v>
      </c>
      <c r="I506" s="141">
        <f t="shared" si="51"/>
        <v>0.33065332530236252</v>
      </c>
      <c r="J506" s="141">
        <f t="shared" si="52"/>
        <v>0.32775668506344252</v>
      </c>
      <c r="K506" s="141">
        <f>(Constantes!$D$12/0.8)*(Constantes!$D$7*J506^2+Constantes!$D$8*J506+Constantes!$D$9)</f>
        <v>15.1034399550818</v>
      </c>
      <c r="L506" s="141">
        <f>(Constantes!$D$12/0.8)*(0.00376*D506^2-0.0516*D506-6.967)</f>
        <v>-4.4380406250000002</v>
      </c>
      <c r="M506" s="140">
        <f t="shared" si="47"/>
        <v>3.2269095954899947</v>
      </c>
      <c r="N506" s="12"/>
    </row>
    <row r="507" spans="2:14" ht="18.75" customHeight="1">
      <c r="B507" s="11"/>
      <c r="C507" s="75">
        <v>502</v>
      </c>
      <c r="D507" s="65">
        <f>(Observaciones!D507+Observaciones!E507)/2</f>
        <v>10.9</v>
      </c>
      <c r="E507" s="141">
        <f t="shared" si="48"/>
        <v>1.3046341322396258</v>
      </c>
      <c r="F507" s="141">
        <f t="shared" si="49"/>
        <v>8.6787491598136493E-2</v>
      </c>
      <c r="G507" s="141">
        <f t="shared" si="50"/>
        <v>2.4752651000000001</v>
      </c>
      <c r="H507" s="141">
        <f>0.001013*Constantes!$D$6/(0.622*G507)</f>
        <v>4.5017821450766028E-2</v>
      </c>
      <c r="I507" s="141">
        <f t="shared" si="51"/>
        <v>0.33517610193237696</v>
      </c>
      <c r="J507" s="141">
        <f t="shared" si="52"/>
        <v>0.33191947513401077</v>
      </c>
      <c r="K507" s="141">
        <f>(Constantes!$D$12/0.8)*(Constantes!$D$7*J507^2+Constantes!$D$8*J507+Constantes!$D$9)</f>
        <v>15.052227639372411</v>
      </c>
      <c r="L507" s="141">
        <f>(Constantes!$D$12/0.8)*(0.00376*D507^2-0.0516*D507-6.967)</f>
        <v>-4.4266964999999994</v>
      </c>
      <c r="M507" s="140">
        <f t="shared" si="47"/>
        <v>3.2587152891221152</v>
      </c>
      <c r="N507" s="12"/>
    </row>
    <row r="508" spans="2:14" ht="18.75" customHeight="1">
      <c r="B508" s="11"/>
      <c r="C508" s="75">
        <v>503</v>
      </c>
      <c r="D508" s="65">
        <f>(Observaciones!D508+Observaciones!E508)/2</f>
        <v>11.25</v>
      </c>
      <c r="E508" s="141">
        <f t="shared" si="48"/>
        <v>1.3353283650298429</v>
      </c>
      <c r="F508" s="141">
        <f t="shared" si="49"/>
        <v>8.8579350899344877E-2</v>
      </c>
      <c r="G508" s="141">
        <f t="shared" si="50"/>
        <v>2.47443875</v>
      </c>
      <c r="H508" s="141">
        <f>0.001013*Constantes!$D$6/(0.622*G508)</f>
        <v>4.5032855355628641E-2</v>
      </c>
      <c r="I508" s="141">
        <f t="shared" si="51"/>
        <v>0.33758270995629469</v>
      </c>
      <c r="J508" s="141">
        <f t="shared" si="52"/>
        <v>0.33598391030068719</v>
      </c>
      <c r="K508" s="141">
        <f>(Constantes!$D$12/0.8)*(Constantes!$D$7*J508^2+Constantes!$D$8*J508+Constantes!$D$9)</f>
        <v>15.001943026714418</v>
      </c>
      <c r="L508" s="141">
        <f>(Constantes!$D$12/0.8)*(0.00376*D508^2-0.0516*D508-6.967)</f>
        <v>-4.4197656250000001</v>
      </c>
      <c r="M508" s="140">
        <f t="shared" si="47"/>
        <v>3.2684963296149228</v>
      </c>
      <c r="N508" s="12"/>
    </row>
    <row r="509" spans="2:14" ht="18.75" customHeight="1">
      <c r="B509" s="11"/>
      <c r="C509" s="75">
        <v>504</v>
      </c>
      <c r="D509" s="65">
        <f>(Observaciones!D509+Observaciones!E509)/2</f>
        <v>10.25</v>
      </c>
      <c r="E509" s="141">
        <f t="shared" si="48"/>
        <v>1.2492721463078402</v>
      </c>
      <c r="F509" s="141">
        <f t="shared" si="49"/>
        <v>8.3541669468764471E-2</v>
      </c>
      <c r="G509" s="141">
        <f t="shared" si="50"/>
        <v>2.4767997500000001</v>
      </c>
      <c r="H509" s="141">
        <f>0.001013*Constantes!$D$6/(0.622*G509)</f>
        <v>4.4989927956473885E-2</v>
      </c>
      <c r="I509" s="141">
        <f t="shared" si="51"/>
        <v>0.33065332530236252</v>
      </c>
      <c r="J509" s="141">
        <f t="shared" si="52"/>
        <v>0.33994878618361546</v>
      </c>
      <c r="K509" s="141">
        <f>(Constantes!$D$12/0.8)*(Constantes!$D$7*J509^2+Constantes!$D$8*J509+Constantes!$D$9)</f>
        <v>14.95262138843457</v>
      </c>
      <c r="L509" s="141">
        <f>(Constantes!$D$12/0.8)*(0.00376*D509^2-0.0516*D509-6.967)</f>
        <v>-4.4380406250000002</v>
      </c>
      <c r="M509" s="140">
        <f t="shared" si="47"/>
        <v>3.1800330545455062</v>
      </c>
      <c r="N509" s="12"/>
    </row>
    <row r="510" spans="2:14" ht="18.75" customHeight="1">
      <c r="B510" s="11"/>
      <c r="C510" s="75">
        <v>505</v>
      </c>
      <c r="D510" s="65">
        <f>(Observaciones!D510+Observaciones!E510)/2</f>
        <v>11.65</v>
      </c>
      <c r="E510" s="141">
        <f t="shared" si="48"/>
        <v>1.3711829440577765</v>
      </c>
      <c r="F510" s="141">
        <f t="shared" si="49"/>
        <v>9.0665715946703279E-2</v>
      </c>
      <c r="G510" s="141">
        <f t="shared" si="50"/>
        <v>2.4734943499999997</v>
      </c>
      <c r="H510" s="141">
        <f>0.001013*Constantes!$D$6/(0.622*G510)</f>
        <v>4.5050049261326407E-2</v>
      </c>
      <c r="I510" s="141">
        <f t="shared" si="51"/>
        <v>0.34030820325039612</v>
      </c>
      <c r="J510" s="141">
        <f t="shared" si="52"/>
        <v>0.3438129279045013</v>
      </c>
      <c r="K510" s="141">
        <f>(Constantes!$D$12/0.8)*(Constantes!$D$7*J510^2+Constantes!$D$8*J510+Constantes!$D$9)</f>
        <v>14.904297450412948</v>
      </c>
      <c r="L510" s="141">
        <f>(Constantes!$D$12/0.8)*(0.00376*D510^2-0.0516*D510-6.967)</f>
        <v>-4.4111396249999997</v>
      </c>
      <c r="M510" s="140">
        <f t="shared" si="47"/>
        <v>3.266584404825545</v>
      </c>
      <c r="N510" s="12"/>
    </row>
    <row r="511" spans="2:14" ht="18.75" customHeight="1">
      <c r="B511" s="11"/>
      <c r="C511" s="75">
        <v>506</v>
      </c>
      <c r="D511" s="65">
        <f>(Observaciones!D511+Observaciones!E511)/2</f>
        <v>12</v>
      </c>
      <c r="E511" s="141">
        <f t="shared" si="48"/>
        <v>1.4032466788795555</v>
      </c>
      <c r="F511" s="141">
        <f t="shared" si="49"/>
        <v>9.2525495616340561E-2</v>
      </c>
      <c r="G511" s="141">
        <f t="shared" si="50"/>
        <v>2.4726680000000001</v>
      </c>
      <c r="H511" s="141">
        <f>0.001013*Constantes!$D$6/(0.622*G511)</f>
        <v>4.5065104702739119E-2</v>
      </c>
      <c r="I511" s="141">
        <f t="shared" si="51"/>
        <v>0.34267103098752799</v>
      </c>
      <c r="J511" s="141">
        <f t="shared" si="52"/>
        <v>0.34757519043475893</v>
      </c>
      <c r="K511" s="141">
        <f>(Constantes!$D$12/0.8)*(Constantes!$D$7*J511^2+Constantes!$D$8*J511+Constantes!$D$9)</f>
        <v>14.857005358957554</v>
      </c>
      <c r="L511" s="141">
        <f>(Constantes!$D$12/0.8)*(0.00376*D511^2-0.0516*D511-6.967)</f>
        <v>-4.4029749999999996</v>
      </c>
      <c r="M511" s="140">
        <f t="shared" si="47"/>
        <v>3.2768294404544291</v>
      </c>
      <c r="N511" s="12"/>
    </row>
    <row r="512" spans="2:14" ht="18.75" customHeight="1">
      <c r="B512" s="11"/>
      <c r="C512" s="75">
        <v>507</v>
      </c>
      <c r="D512" s="65">
        <f>(Observaciones!D512+Observaciones!E512)/2</f>
        <v>11.1</v>
      </c>
      <c r="E512" s="141">
        <f t="shared" si="48"/>
        <v>1.3220968535067421</v>
      </c>
      <c r="F512" s="141">
        <f t="shared" si="49"/>
        <v>8.7807587005638468E-2</v>
      </c>
      <c r="G512" s="141">
        <f t="shared" si="50"/>
        <v>2.4747928999999997</v>
      </c>
      <c r="H512" s="141">
        <f>0.001013*Constantes!$D$6/(0.622*G512)</f>
        <v>4.5026411024176018E-2</v>
      </c>
      <c r="I512" s="141">
        <f t="shared" si="51"/>
        <v>0.33655378737709518</v>
      </c>
      <c r="J512" s="141">
        <f t="shared" si="52"/>
        <v>0.35123445893480332</v>
      </c>
      <c r="K512" s="141">
        <f>(Constantes!$D$12/0.8)*(Constantes!$D$7*J512^2+Constantes!$D$8*J512+Constantes!$D$9)</f>
        <v>14.810778647187316</v>
      </c>
      <c r="L512" s="141">
        <f>(Constantes!$D$12/0.8)*(0.00376*D512^2-0.0516*D512-6.967)</f>
        <v>-4.4228065000000001</v>
      </c>
      <c r="M512" s="140">
        <f t="shared" si="47"/>
        <v>3.1970339504407845</v>
      </c>
      <c r="N512" s="12"/>
    </row>
    <row r="513" spans="2:14" ht="18.75" customHeight="1">
      <c r="B513" s="11"/>
      <c r="C513" s="75">
        <v>508</v>
      </c>
      <c r="D513" s="65">
        <f>(Observaciones!D513+Observaciones!E513)/2</f>
        <v>10.25</v>
      </c>
      <c r="E513" s="141">
        <f t="shared" si="48"/>
        <v>1.2492721463078402</v>
      </c>
      <c r="F513" s="141">
        <f t="shared" si="49"/>
        <v>8.3541669468764471E-2</v>
      </c>
      <c r="G513" s="141">
        <f t="shared" si="50"/>
        <v>2.4767997500000001</v>
      </c>
      <c r="H513" s="141">
        <f>0.001013*Constantes!$D$6/(0.622*G513)</f>
        <v>4.4989927956473885E-2</v>
      </c>
      <c r="I513" s="141">
        <f t="shared" si="51"/>
        <v>0.33065332530236252</v>
      </c>
      <c r="J513" s="141">
        <f t="shared" si="52"/>
        <v>0.35478964908440508</v>
      </c>
      <c r="K513" s="141">
        <f>(Constantes!$D$12/0.8)*(Constantes!$D$7*J513^2+Constantes!$D$8*J513+Constantes!$D$9)</f>
        <v>14.765650201961007</v>
      </c>
      <c r="L513" s="141">
        <f>(Constantes!$D$12/0.8)*(0.00376*D513^2-0.0516*D513-6.967)</f>
        <v>-4.4380406250000002</v>
      </c>
      <c r="M513" s="140">
        <f t="shared" si="47"/>
        <v>3.1219197686748879</v>
      </c>
      <c r="N513" s="12"/>
    </row>
    <row r="514" spans="2:14" ht="18.75" customHeight="1">
      <c r="B514" s="11"/>
      <c r="C514" s="75">
        <v>509</v>
      </c>
      <c r="D514" s="65">
        <f>(Observaciones!D514+Observaciones!E514)/2</f>
        <v>10</v>
      </c>
      <c r="E514" s="141">
        <f t="shared" si="48"/>
        <v>1.2285355953233976</v>
      </c>
      <c r="F514" s="141">
        <f t="shared" si="49"/>
        <v>8.2321156964857062E-2</v>
      </c>
      <c r="G514" s="141">
        <f t="shared" si="50"/>
        <v>2.4773899999999998</v>
      </c>
      <c r="H514" s="141">
        <f>0.001013*Constantes!$D$6/(0.622*G514)</f>
        <v>4.4979208891257547E-2</v>
      </c>
      <c r="I514" s="141">
        <f t="shared" si="51"/>
        <v>0.32889553570326324</v>
      </c>
      <c r="J514" s="141">
        <f t="shared" si="52"/>
        <v>0.35823970740399541</v>
      </c>
      <c r="K514" s="141">
        <f>(Constantes!$D$12/0.8)*(Constantes!$D$7*J514^2+Constantes!$D$8*J514+Constantes!$D$9)</f>
        <v>14.721652231389545</v>
      </c>
      <c r="L514" s="141">
        <f>(Constantes!$D$12/0.8)*(0.00376*D514^2-0.0516*D514-6.967)</f>
        <v>-4.4418749999999996</v>
      </c>
      <c r="M514" s="140">
        <f t="shared" si="47"/>
        <v>3.0904596976032721</v>
      </c>
      <c r="N514" s="12"/>
    </row>
    <row r="515" spans="2:14" ht="18.75" customHeight="1">
      <c r="B515" s="11"/>
      <c r="C515" s="75">
        <v>510</v>
      </c>
      <c r="D515" s="65">
        <f>(Observaciones!D515+Observaciones!E515)/2</f>
        <v>9.5</v>
      </c>
      <c r="E515" s="141">
        <f t="shared" si="48"/>
        <v>1.187968532240967</v>
      </c>
      <c r="F515" s="141">
        <f t="shared" si="49"/>
        <v>7.9925724231647788E-2</v>
      </c>
      <c r="G515" s="141">
        <f t="shared" si="50"/>
        <v>2.4785705</v>
      </c>
      <c r="H515" s="141">
        <f>0.001013*Constantes!$D$6/(0.622*G515)</f>
        <v>4.4957786076737595E-2</v>
      </c>
      <c r="I515" s="141">
        <f t="shared" si="51"/>
        <v>0.32534995521168669</v>
      </c>
      <c r="J515" s="141">
        <f t="shared" si="52"/>
        <v>0.36158361156683566</v>
      </c>
      <c r="K515" s="141">
        <f>(Constantes!$D$12/0.8)*(Constantes!$D$7*J515^2+Constantes!$D$8*J515+Constantes!$D$9)</f>
        <v>14.678816232968144</v>
      </c>
      <c r="L515" s="141">
        <f>(Constantes!$D$12/0.8)*(0.00376*D515^2-0.0516*D515-6.967)</f>
        <v>-4.4486624999999993</v>
      </c>
      <c r="M515" s="140">
        <f t="shared" si="47"/>
        <v>3.0418349265924491</v>
      </c>
      <c r="N515" s="12"/>
    </row>
    <row r="516" spans="2:14" ht="18.75" customHeight="1">
      <c r="B516" s="11"/>
      <c r="C516" s="75">
        <v>511</v>
      </c>
      <c r="D516" s="65">
        <f>(Observaciones!D516+Observaciones!E516)/2</f>
        <v>10.5</v>
      </c>
      <c r="E516" s="141">
        <f t="shared" si="48"/>
        <v>1.270315807299828</v>
      </c>
      <c r="F516" s="141">
        <f t="shared" si="49"/>
        <v>8.4777587211605721E-2</v>
      </c>
      <c r="G516" s="141">
        <f t="shared" si="50"/>
        <v>2.4762095</v>
      </c>
      <c r="H516" s="141">
        <f>0.001013*Constantes!$D$6/(0.622*G516)</f>
        <v>4.5000652131862245E-2</v>
      </c>
      <c r="I516" s="141">
        <f t="shared" si="51"/>
        <v>0.33240100947604179</v>
      </c>
      <c r="J516" s="141">
        <f t="shared" si="52"/>
        <v>0.36482037070195533</v>
      </c>
      <c r="K516" s="141">
        <f>(Constantes!$D$12/0.8)*(Constantes!$D$7*J516^2+Constantes!$D$8*J516+Constantes!$D$9)</f>
        <v>14.637172962364211</v>
      </c>
      <c r="L516" s="141">
        <f>(Constantes!$D$12/0.8)*(0.00376*D516^2-0.0516*D516-6.967)</f>
        <v>-4.4339124999999999</v>
      </c>
      <c r="M516" s="140">
        <f t="shared" si="47"/>
        <v>3.0996494135229309</v>
      </c>
      <c r="N516" s="12"/>
    </row>
    <row r="517" spans="2:14" ht="18.75" customHeight="1">
      <c r="B517" s="11"/>
      <c r="C517" s="75">
        <v>512</v>
      </c>
      <c r="D517" s="65">
        <f>(Observaciones!D517+Observaciones!E517)/2</f>
        <v>10.85</v>
      </c>
      <c r="E517" s="141">
        <f t="shared" si="48"/>
        <v>1.3003002567289974</v>
      </c>
      <c r="F517" s="141">
        <f t="shared" si="49"/>
        <v>8.6534052607070783E-2</v>
      </c>
      <c r="G517" s="141">
        <f t="shared" si="50"/>
        <v>2.4753831499999999</v>
      </c>
      <c r="H517" s="141">
        <f>0.001013*Constantes!$D$6/(0.622*G517)</f>
        <v>4.5015674569455051E-2</v>
      </c>
      <c r="I517" s="141">
        <f t="shared" si="51"/>
        <v>0.33483065028999898</v>
      </c>
      <c r="J517" s="141">
        <f t="shared" si="52"/>
        <v>0.36794902568776744</v>
      </c>
      <c r="K517" s="141">
        <f>(Constantes!$D$12/0.8)*(Constantes!$D$7*J517^2+Constantes!$D$8*J517+Constantes!$D$9)</f>
        <v>14.596752402896209</v>
      </c>
      <c r="L517" s="141">
        <f>(Constantes!$D$12/0.8)*(0.00376*D517^2-0.0516*D517-6.967)</f>
        <v>-4.4276396250000003</v>
      </c>
      <c r="M517" s="140">
        <f t="shared" si="47"/>
        <v>3.1116842383442944</v>
      </c>
      <c r="N517" s="12"/>
    </row>
    <row r="518" spans="2:14" ht="18.75" customHeight="1">
      <c r="B518" s="11"/>
      <c r="C518" s="75">
        <v>513</v>
      </c>
      <c r="D518" s="65">
        <f>(Observaciones!D518+Observaciones!E518)/2</f>
        <v>10.1</v>
      </c>
      <c r="E518" s="141">
        <f t="shared" si="48"/>
        <v>1.2367936086713311</v>
      </c>
      <c r="F518" s="141">
        <f t="shared" si="49"/>
        <v>8.280752335747088E-2</v>
      </c>
      <c r="G518" s="141">
        <f t="shared" si="50"/>
        <v>2.4771538999999998</v>
      </c>
      <c r="H518" s="141">
        <f>0.001013*Constantes!$D$6/(0.622*G518)</f>
        <v>4.4983495904357233E-2</v>
      </c>
      <c r="I518" s="141">
        <f t="shared" si="51"/>
        <v>0.32959985930480346</v>
      </c>
      <c r="J518" s="141">
        <f t="shared" si="52"/>
        <v>0.37096864943627805</v>
      </c>
      <c r="K518" s="141">
        <f>(Constantes!$D$12/0.8)*(Constantes!$D$7*J518^2+Constantes!$D$8*J518+Constantes!$D$9)</f>
        <v>14.557583735737879</v>
      </c>
      <c r="L518" s="141">
        <f>(Constantes!$D$12/0.8)*(0.00376*D518^2-0.0516*D518-6.967)</f>
        <v>-4.4403764999999993</v>
      </c>
      <c r="M518" s="140">
        <f t="shared" si="47"/>
        <v>3.046739428389718</v>
      </c>
      <c r="N518" s="12"/>
    </row>
    <row r="519" spans="2:14" ht="18.75" customHeight="1">
      <c r="B519" s="11"/>
      <c r="C519" s="75">
        <v>514</v>
      </c>
      <c r="D519" s="65">
        <f>(Observaciones!D519+Observaciones!E519)/2</f>
        <v>10.050000000000001</v>
      </c>
      <c r="E519" s="141">
        <f t="shared" si="48"/>
        <v>1.2326585212421168</v>
      </c>
      <c r="F519" s="141">
        <f t="shared" si="49"/>
        <v>8.2564034558520752E-2</v>
      </c>
      <c r="G519" s="141">
        <f t="shared" si="50"/>
        <v>2.47727195</v>
      </c>
      <c r="H519" s="141">
        <f>0.001013*Constantes!$D$6/(0.622*G519)</f>
        <v>4.4981352295662379E-2</v>
      </c>
      <c r="I519" s="141">
        <f t="shared" si="51"/>
        <v>0.32924789838088458</v>
      </c>
      <c r="J519" s="141">
        <f t="shared" si="52"/>
        <v>0.37387834716780144</v>
      </c>
      <c r="K519" s="141">
        <f>(Constantes!$D$12/0.8)*(Constantes!$D$7*J519^2+Constantes!$D$8*J519+Constantes!$D$9)</f>
        <v>14.519695310881445</v>
      </c>
      <c r="L519" s="141">
        <f>(Constantes!$D$12/0.8)*(0.00376*D519^2-0.0516*D519-6.967)</f>
        <v>-4.4411316249999997</v>
      </c>
      <c r="M519" s="140">
        <f t="shared" ref="M519:M582" si="53">IF(D519&gt;0,I519*(0.94*K519+L519),0)</f>
        <v>3.031511162300057</v>
      </c>
      <c r="N519" s="12"/>
    </row>
    <row r="520" spans="2:14" ht="18.75" customHeight="1">
      <c r="B520" s="11"/>
      <c r="C520" s="75">
        <v>515</v>
      </c>
      <c r="D520" s="65">
        <f>(Observaciones!D520+Observaciones!E520)/2</f>
        <v>9.35</v>
      </c>
      <c r="E520" s="141">
        <f t="shared" si="48"/>
        <v>1.1760304470729337</v>
      </c>
      <c r="F520" s="141">
        <f t="shared" si="49"/>
        <v>7.921880376620824E-2</v>
      </c>
      <c r="G520" s="141">
        <f t="shared" si="50"/>
        <v>2.4789246499999997</v>
      </c>
      <c r="H520" s="141">
        <f>0.001013*Constantes!$D$6/(0.622*G520)</f>
        <v>4.4951363211105488E-2</v>
      </c>
      <c r="I520" s="141">
        <f t="shared" si="51"/>
        <v>0.32427855867946659</v>
      </c>
      <c r="J520" s="141">
        <f t="shared" si="52"/>
        <v>0.37667725667610347</v>
      </c>
      <c r="K520" s="141">
        <f>(Constantes!$D$12/0.8)*(Constantes!$D$7*J520^2+Constantes!$D$8*J520+Constantes!$D$9)</f>
        <v>14.483114618892564</v>
      </c>
      <c r="L520" s="141">
        <f>(Constantes!$D$12/0.8)*(0.00376*D520^2-0.0516*D520-6.967)</f>
        <v>-4.4504696250000002</v>
      </c>
      <c r="M520" s="140">
        <f t="shared" si="53"/>
        <v>2.9715778463340068</v>
      </c>
      <c r="N520" s="12"/>
    </row>
    <row r="521" spans="2:14" ht="18.75" customHeight="1">
      <c r="B521" s="11"/>
      <c r="C521" s="75">
        <v>516</v>
      </c>
      <c r="D521" s="65">
        <f>(Observaciones!D521+Observaciones!E521)/2</f>
        <v>9.75</v>
      </c>
      <c r="E521" s="141">
        <f t="shared" si="48"/>
        <v>1.208102321837458</v>
      </c>
      <c r="F521" s="141">
        <f t="shared" si="49"/>
        <v>8.1115893548976525E-2</v>
      </c>
      <c r="G521" s="141">
        <f t="shared" si="50"/>
        <v>2.4779802499999999</v>
      </c>
      <c r="H521" s="141">
        <f>0.001013*Constantes!$D$6/(0.622*G521)</f>
        <v>4.4968494932561519E-2</v>
      </c>
      <c r="I521" s="141">
        <f t="shared" si="51"/>
        <v>0.3271277184414379</v>
      </c>
      <c r="J521" s="141">
        <f t="shared" si="52"/>
        <v>0.37936454858389129</v>
      </c>
      <c r="K521" s="141">
        <f>(Constantes!$D$12/0.8)*(Constantes!$D$7*J521^2+Constantes!$D$8*J521+Constantes!$D$9)</f>
        <v>14.4478682634889</v>
      </c>
      <c r="L521" s="141">
        <f>(Constantes!$D$12/0.8)*(0.00376*D521^2-0.0516*D521-6.967)</f>
        <v>-4.4454156249999999</v>
      </c>
      <c r="M521" s="140">
        <f t="shared" si="53"/>
        <v>2.9885016195647593</v>
      </c>
      <c r="N521" s="12"/>
    </row>
    <row r="522" spans="2:14" ht="18.75" customHeight="1">
      <c r="B522" s="11"/>
      <c r="C522" s="75">
        <v>517</v>
      </c>
      <c r="D522" s="65">
        <f>(Observaciones!D522+Observaciones!E522)/2</f>
        <v>9.9</v>
      </c>
      <c r="E522" s="141">
        <f t="shared" si="48"/>
        <v>1.2203261059395465</v>
      </c>
      <c r="F522" s="141">
        <f t="shared" si="49"/>
        <v>8.1837230413319473E-2</v>
      </c>
      <c r="G522" s="141">
        <f t="shared" si="50"/>
        <v>2.4776260999999997</v>
      </c>
      <c r="H522" s="141">
        <f>0.001013*Constantes!$D$6/(0.622*G522)</f>
        <v>4.4974922695201085E-2</v>
      </c>
      <c r="I522" s="141">
        <f t="shared" si="51"/>
        <v>0.3281896076316444</v>
      </c>
      <c r="J522" s="141">
        <f t="shared" si="52"/>
        <v>0.38193942658857627</v>
      </c>
      <c r="K522" s="141">
        <f>(Constantes!$D$12/0.8)*(Constantes!$D$7*J522^2+Constantes!$D$8*J522+Constantes!$D$9)</f>
        <v>14.413981934973323</v>
      </c>
      <c r="L522" s="141">
        <f>(Constantes!$D$12/0.8)*(0.00376*D522^2-0.0516*D522-6.967)</f>
        <v>-4.4433264999999995</v>
      </c>
      <c r="M522" s="140">
        <f t="shared" si="53"/>
        <v>2.9884343504953073</v>
      </c>
      <c r="N522" s="12"/>
    </row>
    <row r="523" spans="2:14" ht="18.75" customHeight="1">
      <c r="B523" s="11"/>
      <c r="C523" s="75">
        <v>518</v>
      </c>
      <c r="D523" s="65">
        <f>(Observaciones!D523+Observaciones!E523)/2</f>
        <v>9.5</v>
      </c>
      <c r="E523" s="141">
        <f t="shared" si="48"/>
        <v>1.187968532240967</v>
      </c>
      <c r="F523" s="141">
        <f t="shared" si="49"/>
        <v>7.9925724231647788E-2</v>
      </c>
      <c r="G523" s="141">
        <f t="shared" si="50"/>
        <v>2.4785705</v>
      </c>
      <c r="H523" s="141">
        <f>0.001013*Constantes!$D$6/(0.622*G523)</f>
        <v>4.4957786076737595E-2</v>
      </c>
      <c r="I523" s="141">
        <f t="shared" si="51"/>
        <v>0.32534995521168669</v>
      </c>
      <c r="J523" s="141">
        <f t="shared" si="52"/>
        <v>0.38440112769823509</v>
      </c>
      <c r="K523" s="141">
        <f>(Constantes!$D$12/0.8)*(Constantes!$D$7*J523^2+Constantes!$D$8*J523+Constantes!$D$9)</f>
        <v>14.381480384551732</v>
      </c>
      <c r="L523" s="141">
        <f>(Constantes!$D$12/0.8)*(0.00376*D523^2-0.0516*D523-6.967)</f>
        <v>-4.4486624999999993</v>
      </c>
      <c r="M523" s="140">
        <f t="shared" si="53"/>
        <v>2.9509010139252472</v>
      </c>
      <c r="N523" s="12"/>
    </row>
    <row r="524" spans="2:14" ht="18.75" customHeight="1">
      <c r="B524" s="11"/>
      <c r="C524" s="75">
        <v>519</v>
      </c>
      <c r="D524" s="65">
        <f>(Observaciones!D524+Observaciones!E524)/2</f>
        <v>7.55</v>
      </c>
      <c r="E524" s="141">
        <f t="shared" si="48"/>
        <v>1.0407895203605066</v>
      </c>
      <c r="F524" s="141">
        <f t="shared" si="49"/>
        <v>7.1143405147673366E-2</v>
      </c>
      <c r="G524" s="141">
        <f t="shared" si="50"/>
        <v>2.4831744499999999</v>
      </c>
      <c r="H524" s="141">
        <f>0.001013*Constantes!$D$6/(0.622*G524)</f>
        <v>4.4874431723921991E-2</v>
      </c>
      <c r="I524" s="141">
        <f t="shared" si="51"/>
        <v>0.31115243087450783</v>
      </c>
      <c r="J524" s="141">
        <f t="shared" si="52"/>
        <v>0.38674892245770121</v>
      </c>
      <c r="K524" s="141">
        <f>(Constantes!$D$12/0.8)*(Constantes!$D$7*J524^2+Constantes!$D$8*J524+Constantes!$D$9)</f>
        <v>14.350387399564521</v>
      </c>
      <c r="L524" s="141">
        <f>(Constantes!$D$12/0.8)*(0.00376*D524^2-0.0516*D524-6.967)</f>
        <v>-4.4639066249999999</v>
      </c>
      <c r="M524" s="140">
        <f t="shared" si="53"/>
        <v>2.8082930503979133</v>
      </c>
      <c r="N524" s="12"/>
    </row>
    <row r="525" spans="2:14" ht="18.75" customHeight="1">
      <c r="B525" s="11"/>
      <c r="C525" s="75">
        <v>520</v>
      </c>
      <c r="D525" s="65">
        <f>(Observaciones!D525+Observaciones!E525)/2</f>
        <v>12.65</v>
      </c>
      <c r="E525" s="141">
        <f t="shared" si="48"/>
        <v>1.4645445530759136</v>
      </c>
      <c r="F525" s="141">
        <f t="shared" si="49"/>
        <v>9.6065679685328434E-2</v>
      </c>
      <c r="G525" s="141">
        <f t="shared" si="50"/>
        <v>2.4711333499999997</v>
      </c>
      <c r="H525" s="141">
        <f>0.001013*Constantes!$D$6/(0.622*G525)</f>
        <v>4.5093091522200757E-2</v>
      </c>
      <c r="I525" s="141">
        <f t="shared" si="51"/>
        <v>0.34700421800471326</v>
      </c>
      <c r="J525" s="141">
        <f t="shared" si="52"/>
        <v>0.38898211516471787</v>
      </c>
      <c r="K525" s="141">
        <f>(Constantes!$D$12/0.8)*(Constantes!$D$7*J525^2+Constantes!$D$8*J525+Constantes!$D$9)</f>
        <v>14.320725779659679</v>
      </c>
      <c r="L525" s="141">
        <f>(Constantes!$D$12/0.8)*(0.00376*D525^2-0.0516*D525-6.967)</f>
        <v>-4.386284625</v>
      </c>
      <c r="M525" s="140">
        <f t="shared" si="53"/>
        <v>3.1491318491606775</v>
      </c>
      <c r="N525" s="12"/>
    </row>
    <row r="526" spans="2:14" ht="18.75" customHeight="1">
      <c r="B526" s="11"/>
      <c r="C526" s="75">
        <v>521</v>
      </c>
      <c r="D526" s="65">
        <f>(Observaciones!D526+Observaciones!E526)/2</f>
        <v>9.75</v>
      </c>
      <c r="E526" s="141">
        <f t="shared" si="48"/>
        <v>1.208102321837458</v>
      </c>
      <c r="F526" s="141">
        <f t="shared" si="49"/>
        <v>8.1115893548976525E-2</v>
      </c>
      <c r="G526" s="141">
        <f t="shared" si="50"/>
        <v>2.4779802499999999</v>
      </c>
      <c r="H526" s="141">
        <f>0.001013*Constantes!$D$6/(0.622*G526)</f>
        <v>4.4968494932561519E-2</v>
      </c>
      <c r="I526" s="141">
        <f t="shared" si="51"/>
        <v>0.3271277184414379</v>
      </c>
      <c r="J526" s="141">
        <f t="shared" si="52"/>
        <v>0.39110004407608928</v>
      </c>
      <c r="K526" s="141">
        <f>(Constantes!$D$12/0.8)*(Constantes!$D$7*J526^2+Constantes!$D$8*J526+Constantes!$D$9)</f>
        <v>14.29251731393453</v>
      </c>
      <c r="L526" s="141">
        <f>(Constantes!$D$12/0.8)*(0.00376*D526^2-0.0516*D526-6.967)</f>
        <v>-4.4454156249999999</v>
      </c>
      <c r="M526" s="140">
        <f t="shared" si="53"/>
        <v>2.9407311939804535</v>
      </c>
      <c r="N526" s="12"/>
    </row>
    <row r="527" spans="2:14" ht="18.75" customHeight="1">
      <c r="B527" s="11"/>
      <c r="C527" s="75">
        <v>522</v>
      </c>
      <c r="D527" s="65">
        <f>(Observaciones!D527+Observaciones!E527)/2</f>
        <v>11.05</v>
      </c>
      <c r="E527" s="141">
        <f t="shared" si="48"/>
        <v>1.3177120268355451</v>
      </c>
      <c r="F527" s="141">
        <f t="shared" si="49"/>
        <v>8.755160967514751E-2</v>
      </c>
      <c r="G527" s="141">
        <f t="shared" si="50"/>
        <v>2.4749109499999999</v>
      </c>
      <c r="H527" s="141">
        <f>0.001013*Constantes!$D$6/(0.622*G527)</f>
        <v>4.5024263323540002E-2</v>
      </c>
      <c r="I527" s="141">
        <f t="shared" si="51"/>
        <v>0.33620998521975448</v>
      </c>
      <c r="J527" s="141">
        <f t="shared" si="52"/>
        <v>0.39310208160377103</v>
      </c>
      <c r="K527" s="141">
        <f>(Constantes!$D$12/0.8)*(Constantes!$D$7*J527^2+Constantes!$D$8*J527+Constantes!$D$9)</f>
        <v>14.265782759071888</v>
      </c>
      <c r="L527" s="141">
        <f>(Constantes!$D$12/0.8)*(0.00376*D527^2-0.0516*D527-6.967)</f>
        <v>-4.4237966249999996</v>
      </c>
      <c r="M527" s="140">
        <f t="shared" si="53"/>
        <v>3.0211960960347906</v>
      </c>
      <c r="N527" s="12"/>
    </row>
    <row r="528" spans="2:14" ht="18.75" customHeight="1">
      <c r="B528" s="11"/>
      <c r="C528" s="75">
        <v>523</v>
      </c>
      <c r="D528" s="65">
        <f>(Observaciones!D528+Observaciones!E528)/2</f>
        <v>10</v>
      </c>
      <c r="E528" s="141">
        <f t="shared" si="48"/>
        <v>1.2285355953233976</v>
      </c>
      <c r="F528" s="141">
        <f t="shared" si="49"/>
        <v>8.2321156964857062E-2</v>
      </c>
      <c r="G528" s="141">
        <f t="shared" si="50"/>
        <v>2.4773899999999998</v>
      </c>
      <c r="H528" s="141">
        <f>0.001013*Constantes!$D$6/(0.622*G528)</f>
        <v>4.4979208891257547E-2</v>
      </c>
      <c r="I528" s="141">
        <f t="shared" si="51"/>
        <v>0.32889553570326324</v>
      </c>
      <c r="J528" s="141">
        <f t="shared" si="52"/>
        <v>0.39498763450083563</v>
      </c>
      <c r="K528" s="141">
        <f>(Constantes!$D$12/0.8)*(Constantes!$D$7*J528^2+Constantes!$D$8*J528+Constantes!$D$9)</f>
        <v>14.240541818495435</v>
      </c>
      <c r="L528" s="141">
        <f>(Constantes!$D$12/0.8)*(0.00376*D528^2-0.0516*D528-6.967)</f>
        <v>-4.4418749999999996</v>
      </c>
      <c r="M528" s="140">
        <f t="shared" si="53"/>
        <v>2.9417187346409199</v>
      </c>
      <c r="N528" s="12"/>
    </row>
    <row r="529" spans="2:14" ht="18.75" customHeight="1">
      <c r="B529" s="11"/>
      <c r="C529" s="75">
        <v>524</v>
      </c>
      <c r="D529" s="65">
        <f>(Observaciones!D529+Observaciones!E529)/2</f>
        <v>10.5</v>
      </c>
      <c r="E529" s="141">
        <f t="shared" si="48"/>
        <v>1.270315807299828</v>
      </c>
      <c r="F529" s="141">
        <f t="shared" si="49"/>
        <v>8.4777587211605721E-2</v>
      </c>
      <c r="G529" s="141">
        <f t="shared" si="50"/>
        <v>2.4762095</v>
      </c>
      <c r="H529" s="141">
        <f>0.001013*Constantes!$D$6/(0.622*G529)</f>
        <v>4.5000652131862245E-2</v>
      </c>
      <c r="I529" s="141">
        <f t="shared" si="51"/>
        <v>0.33240100947604179</v>
      </c>
      <c r="J529" s="141">
        <f t="shared" si="52"/>
        <v>0.39675614403726639</v>
      </c>
      <c r="K529" s="141">
        <f>(Constantes!$D$12/0.8)*(Constantes!$D$7*J529^2+Constantes!$D$8*J529+Constantes!$D$9)</f>
        <v>14.216813122567874</v>
      </c>
      <c r="L529" s="141">
        <f>(Constantes!$D$12/0.8)*(0.00376*D529^2-0.0516*D529-6.967)</f>
        <v>-4.4339124999999999</v>
      </c>
      <c r="M529" s="140">
        <f t="shared" si="53"/>
        <v>2.968305060536931</v>
      </c>
      <c r="N529" s="12"/>
    </row>
    <row r="530" spans="2:14" ht="18.75" customHeight="1">
      <c r="B530" s="11"/>
      <c r="C530" s="75">
        <v>525</v>
      </c>
      <c r="D530" s="65">
        <f>(Observaciones!D530+Observaciones!E530)/2</f>
        <v>8.3000000000000007</v>
      </c>
      <c r="E530" s="141">
        <f t="shared" si="48"/>
        <v>1.0953778240340981</v>
      </c>
      <c r="F530" s="141">
        <f t="shared" si="49"/>
        <v>7.4418202097829511E-2</v>
      </c>
      <c r="G530" s="141">
        <f t="shared" si="50"/>
        <v>2.4814037</v>
      </c>
      <c r="H530" s="141">
        <f>0.001013*Constantes!$D$6/(0.622*G530)</f>
        <v>4.4906454485867227E-2</v>
      </c>
      <c r="I530" s="141">
        <f t="shared" si="51"/>
        <v>0.31668106733869283</v>
      </c>
      <c r="J530" s="141">
        <f t="shared" si="52"/>
        <v>0.39840708616551995</v>
      </c>
      <c r="K530" s="141">
        <f>(Constantes!$D$12/0.8)*(Constantes!$D$7*J530^2+Constantes!$D$8*J530+Constantes!$D$9)</f>
        <v>14.194614209854281</v>
      </c>
      <c r="L530" s="141">
        <f>(Constantes!$D$12/0.8)*(0.00376*D530^2-0.0516*D530-6.967)</f>
        <v>-4.4601585000000004</v>
      </c>
      <c r="M530" s="140">
        <f t="shared" si="53"/>
        <v>2.8130078894516286</v>
      </c>
      <c r="N530" s="12"/>
    </row>
    <row r="531" spans="2:14" ht="18.75" customHeight="1">
      <c r="B531" s="11"/>
      <c r="C531" s="75">
        <v>526</v>
      </c>
      <c r="D531" s="65">
        <f>(Observaciones!D531+Observaciones!E531)/2</f>
        <v>7.5</v>
      </c>
      <c r="E531" s="141">
        <f t="shared" si="48"/>
        <v>1.0372370108957141</v>
      </c>
      <c r="F531" s="141">
        <f t="shared" si="49"/>
        <v>7.0929538162582961E-2</v>
      </c>
      <c r="G531" s="141">
        <f t="shared" si="50"/>
        <v>2.4832924999999997</v>
      </c>
      <c r="H531" s="141">
        <f>0.001013*Constantes!$D$6/(0.622*G531)</f>
        <v>4.4872298496899804E-2</v>
      </c>
      <c r="I531" s="141">
        <f t="shared" si="51"/>
        <v>0.31078092343514818</v>
      </c>
      <c r="J531" s="141">
        <f t="shared" si="52"/>
        <v>0.39993997167581363</v>
      </c>
      <c r="K531" s="141">
        <f>(Constantes!$D$12/0.8)*(Constantes!$D$7*J531^2+Constantes!$D$8*J531+Constantes!$D$9)</f>
        <v>14.173961509471891</v>
      </c>
      <c r="L531" s="141">
        <f>(Constantes!$D$12/0.8)*(0.00376*D531^2-0.0516*D531-6.967)</f>
        <v>-4.4640624999999998</v>
      </c>
      <c r="M531" s="140">
        <f t="shared" si="53"/>
        <v>2.7533515698268296</v>
      </c>
      <c r="N531" s="12"/>
    </row>
    <row r="532" spans="2:14" ht="18.75" customHeight="1">
      <c r="B532" s="11"/>
      <c r="C532" s="75">
        <v>527</v>
      </c>
      <c r="D532" s="65">
        <f>(Observaciones!D532+Observaciones!E532)/2</f>
        <v>9.1</v>
      </c>
      <c r="E532" s="141">
        <f t="shared" si="48"/>
        <v>1.1563680372555176</v>
      </c>
      <c r="F532" s="141">
        <f t="shared" si="49"/>
        <v>7.8052465514333522E-2</v>
      </c>
      <c r="G532" s="141">
        <f t="shared" si="50"/>
        <v>2.4795148999999999</v>
      </c>
      <c r="H532" s="141">
        <f>0.001013*Constantes!$D$6/(0.622*G532)</f>
        <v>4.494066251229728E-2</v>
      </c>
      <c r="I532" s="141">
        <f t="shared" si="51"/>
        <v>0.32248506174818503</v>
      </c>
      <c r="J532" s="141">
        <f t="shared" si="52"/>
        <v>0.40135434634108813</v>
      </c>
      <c r="K532" s="141">
        <f>(Constantes!$D$12/0.8)*(Constantes!$D$7*J532^2+Constantes!$D$8*J532+Constantes!$D$9)</f>
        <v>14.154870324546287</v>
      </c>
      <c r="L532" s="141">
        <f>(Constantes!$D$12/0.8)*(0.00376*D532^2-0.0516*D532-6.967)</f>
        <v>-4.4532464999999997</v>
      </c>
      <c r="M532" s="140">
        <f t="shared" si="53"/>
        <v>2.8547447042775405</v>
      </c>
      <c r="N532" s="12"/>
    </row>
    <row r="533" spans="2:14" ht="18.75" customHeight="1">
      <c r="B533" s="11"/>
      <c r="C533" s="75">
        <v>528</v>
      </c>
      <c r="D533" s="65">
        <f>(Observaciones!D533+Observaciones!E533)/2</f>
        <v>10.85</v>
      </c>
      <c r="E533" s="141">
        <f t="shared" si="48"/>
        <v>1.3003002567289974</v>
      </c>
      <c r="F533" s="141">
        <f t="shared" si="49"/>
        <v>8.6534052607070783E-2</v>
      </c>
      <c r="G533" s="141">
        <f t="shared" si="50"/>
        <v>2.4753831499999999</v>
      </c>
      <c r="H533" s="141">
        <f>0.001013*Constantes!$D$6/(0.622*G533)</f>
        <v>4.5015674569455051E-2</v>
      </c>
      <c r="I533" s="141">
        <f t="shared" si="51"/>
        <v>0.33483065028999898</v>
      </c>
      <c r="J533" s="141">
        <f t="shared" si="52"/>
        <v>0.4026497910516057</v>
      </c>
      <c r="K533" s="141">
        <f>(Constantes!$D$12/0.8)*(Constantes!$D$7*J533^2+Constantes!$D$8*J533+Constantes!$D$9)</f>
        <v>14.13735481679273</v>
      </c>
      <c r="L533" s="141">
        <f>(Constantes!$D$12/0.8)*(0.00376*D533^2-0.0516*D533-6.967)</f>
        <v>-4.4276396250000003</v>
      </c>
      <c r="M533" s="140">
        <f t="shared" si="53"/>
        <v>2.9670930693974116</v>
      </c>
      <c r="N533" s="12"/>
    </row>
    <row r="534" spans="2:14" ht="18.75" customHeight="1">
      <c r="B534" s="11"/>
      <c r="C534" s="75">
        <v>529</v>
      </c>
      <c r="D534" s="65">
        <f>(Observaciones!D534+Observaciones!E534)/2</f>
        <v>8.5500000000000007</v>
      </c>
      <c r="E534" s="141">
        <f t="shared" si="48"/>
        <v>1.1141256884066946</v>
      </c>
      <c r="F534" s="141">
        <f t="shared" si="49"/>
        <v>7.553804083049119E-2</v>
      </c>
      <c r="G534" s="141">
        <f t="shared" si="50"/>
        <v>2.4808134499999999</v>
      </c>
      <c r="H534" s="141">
        <f>0.001013*Constantes!$D$6/(0.622*G534)</f>
        <v>4.4917138898578825E-2</v>
      </c>
      <c r="I534" s="141">
        <f t="shared" si="51"/>
        <v>0.31850530773396696</v>
      </c>
      <c r="J534" s="141">
        <f t="shared" si="52"/>
        <v>0.40382592193914035</v>
      </c>
      <c r="K534" s="141">
        <f>(Constantes!$D$12/0.8)*(Constantes!$D$7*J534^2+Constantes!$D$8*J534+Constantes!$D$9)</f>
        <v>14.121427992240122</v>
      </c>
      <c r="L534" s="141">
        <f>(Constantes!$D$12/0.8)*(0.00376*D534^2-0.0516*D534-6.967)</f>
        <v>-4.458321625</v>
      </c>
      <c r="M534" s="140">
        <f t="shared" si="53"/>
        <v>2.8078856810651804</v>
      </c>
      <c r="N534" s="12"/>
    </row>
    <row r="535" spans="2:14" ht="18.75" customHeight="1">
      <c r="B535" s="11"/>
      <c r="C535" s="75">
        <v>530</v>
      </c>
      <c r="D535" s="65">
        <f>(Observaciones!D535+Observaciones!E535)/2</f>
        <v>9.75</v>
      </c>
      <c r="E535" s="141">
        <f t="shared" si="48"/>
        <v>1.208102321837458</v>
      </c>
      <c r="F535" s="141">
        <f t="shared" si="49"/>
        <v>8.1115893548976525E-2</v>
      </c>
      <c r="G535" s="141">
        <f t="shared" si="50"/>
        <v>2.4779802499999999</v>
      </c>
      <c r="H535" s="141">
        <f>0.001013*Constantes!$D$6/(0.622*G535)</f>
        <v>4.4968494932561519E-2</v>
      </c>
      <c r="I535" s="141">
        <f t="shared" si="51"/>
        <v>0.3271277184414379</v>
      </c>
      <c r="J535" s="141">
        <f t="shared" si="52"/>
        <v>0.40488239049072738</v>
      </c>
      <c r="K535" s="141">
        <f>(Constantes!$D$12/0.8)*(Constantes!$D$7*J535^2+Constantes!$D$8*J535+Constantes!$D$9)</f>
        <v>14.107101688113758</v>
      </c>
      <c r="L535" s="141">
        <f>(Constantes!$D$12/0.8)*(0.00376*D535^2-0.0516*D535-6.967)</f>
        <v>-4.4454156249999999</v>
      </c>
      <c r="M535" s="140">
        <f t="shared" si="53"/>
        <v>2.8837158787806012</v>
      </c>
      <c r="N535" s="12"/>
    </row>
    <row r="536" spans="2:14" ht="18.75" customHeight="1">
      <c r="B536" s="11"/>
      <c r="C536" s="75">
        <v>531</v>
      </c>
      <c r="D536" s="65">
        <f>(Observaciones!D536+Observaciones!E536)/2</f>
        <v>8.15</v>
      </c>
      <c r="E536" s="141">
        <f t="shared" si="48"/>
        <v>1.0842628845563618</v>
      </c>
      <c r="F536" s="141">
        <f t="shared" si="49"/>
        <v>7.3753132863077983E-2</v>
      </c>
      <c r="G536" s="141">
        <f t="shared" si="50"/>
        <v>2.4817578499999997</v>
      </c>
      <c r="H536" s="141">
        <f>0.001013*Constantes!$D$6/(0.622*G536)</f>
        <v>4.4900046277727111E-2</v>
      </c>
      <c r="I536" s="141">
        <f t="shared" si="51"/>
        <v>0.3155820076579775</v>
      </c>
      <c r="J536" s="141">
        <f t="shared" si="52"/>
        <v>0.40581888365193425</v>
      </c>
      <c r="K536" s="141">
        <f>(Constantes!$D$12/0.8)*(Constantes!$D$7*J536^2+Constantes!$D$8*J536+Constantes!$D$9)</f>
        <v>14.094386560891742</v>
      </c>
      <c r="L536" s="141">
        <f>(Constantes!$D$12/0.8)*(0.00376*D536^2-0.0516*D536-6.967)</f>
        <v>-4.4611196249999994</v>
      </c>
      <c r="M536" s="140">
        <f t="shared" si="53"/>
        <v>2.7732096314782986</v>
      </c>
      <c r="N536" s="12"/>
    </row>
    <row r="537" spans="2:14" ht="18.75" customHeight="1">
      <c r="B537" s="11"/>
      <c r="C537" s="75">
        <v>532</v>
      </c>
      <c r="D537" s="65">
        <f>(Observaciones!D537+Observaciones!E537)/2</f>
        <v>9.85</v>
      </c>
      <c r="E537" s="141">
        <f t="shared" si="48"/>
        <v>1.2162394815909714</v>
      </c>
      <c r="F537" s="141">
        <f t="shared" si="49"/>
        <v>8.1596178970055111E-2</v>
      </c>
      <c r="G537" s="141">
        <f t="shared" si="50"/>
        <v>2.4777441499999999</v>
      </c>
      <c r="H537" s="141">
        <f>0.001013*Constantes!$D$6/(0.622*G537)</f>
        <v>4.4972779903491057E-2</v>
      </c>
      <c r="I537" s="141">
        <f t="shared" si="51"/>
        <v>0.32783604352575479</v>
      </c>
      <c r="J537" s="141">
        <f t="shared" si="52"/>
        <v>0.40663512391962625</v>
      </c>
      <c r="K537" s="141">
        <f>(Constantes!$D$12/0.8)*(Constantes!$D$7*J537^2+Constantes!$D$8*J537+Constantes!$D$9)</f>
        <v>14.083292075548584</v>
      </c>
      <c r="L537" s="141">
        <f>(Constantes!$D$12/0.8)*(0.00376*D537^2-0.0516*D537-6.967)</f>
        <v>-4.4440346249999996</v>
      </c>
      <c r="M537" s="140">
        <f t="shared" si="53"/>
        <v>2.8830753798820741</v>
      </c>
      <c r="N537" s="12"/>
    </row>
    <row r="538" spans="2:14" ht="18.75" customHeight="1">
      <c r="B538" s="11"/>
      <c r="C538" s="75">
        <v>533</v>
      </c>
      <c r="D538" s="65">
        <f>(Observaciones!D538+Observaciones!E538)/2</f>
        <v>8.8000000000000007</v>
      </c>
      <c r="E538" s="141">
        <f t="shared" si="48"/>
        <v>1.1331553597220867</v>
      </c>
      <c r="F538" s="141">
        <f t="shared" si="49"/>
        <v>7.6672245735482633E-2</v>
      </c>
      <c r="G538" s="141">
        <f t="shared" si="50"/>
        <v>2.4802231999999997</v>
      </c>
      <c r="H538" s="141">
        <f>0.001013*Constantes!$D$6/(0.622*G538)</f>
        <v>4.4927828396699357E-2</v>
      </c>
      <c r="I538" s="141">
        <f t="shared" si="51"/>
        <v>0.32032005015899595</v>
      </c>
      <c r="J538" s="141">
        <f t="shared" si="52"/>
        <v>0.40733086942419622</v>
      </c>
      <c r="K538" s="141">
        <f>(Constantes!$D$12/0.8)*(Constantes!$D$7*J538^2+Constantes!$D$8*J538+Constantes!$D$9)</f>
        <v>14.073826495998203</v>
      </c>
      <c r="L538" s="141">
        <f>(Constantes!$D$12/0.8)*(0.00376*D538^2-0.0516*D538-6.967)</f>
        <v>-4.4561909999999996</v>
      </c>
      <c r="M538" s="140">
        <f t="shared" si="53"/>
        <v>2.810233755941455</v>
      </c>
      <c r="N538" s="12"/>
    </row>
    <row r="539" spans="2:14" ht="18.75" customHeight="1">
      <c r="B539" s="11"/>
      <c r="C539" s="75">
        <v>534</v>
      </c>
      <c r="D539" s="65">
        <f>(Observaciones!D539+Observaciones!E539)/2</f>
        <v>8.5500000000000007</v>
      </c>
      <c r="E539" s="141">
        <f t="shared" si="48"/>
        <v>1.1141256884066946</v>
      </c>
      <c r="F539" s="141">
        <f t="shared" si="49"/>
        <v>7.553804083049119E-2</v>
      </c>
      <c r="G539" s="141">
        <f t="shared" si="50"/>
        <v>2.4808134499999999</v>
      </c>
      <c r="H539" s="141">
        <f>0.001013*Constantes!$D$6/(0.622*G539)</f>
        <v>4.4917138898578825E-2</v>
      </c>
      <c r="I539" s="141">
        <f t="shared" si="51"/>
        <v>0.31850530773396696</v>
      </c>
      <c r="J539" s="141">
        <f t="shared" si="52"/>
        <v>0.40790591400123555</v>
      </c>
      <c r="K539" s="141">
        <f>(Constantes!$D$12/0.8)*(Constantes!$D$7*J539^2+Constantes!$D$8*J539+Constantes!$D$9)</f>
        <v>14.065996876747175</v>
      </c>
      <c r="L539" s="141">
        <f>(Constantes!$D$12/0.8)*(0.00376*D539^2-0.0516*D539-6.967)</f>
        <v>-4.458321625</v>
      </c>
      <c r="M539" s="140">
        <f t="shared" si="53"/>
        <v>2.7912898828369492</v>
      </c>
      <c r="N539" s="12"/>
    </row>
    <row r="540" spans="2:14" ht="18.75" customHeight="1">
      <c r="B540" s="11"/>
      <c r="C540" s="75">
        <v>535</v>
      </c>
      <c r="D540" s="65">
        <f>(Observaciones!D540+Observaciones!E540)/2</f>
        <v>8.65</v>
      </c>
      <c r="E540" s="141">
        <f t="shared" si="48"/>
        <v>1.1217035387262231</v>
      </c>
      <c r="F540" s="141">
        <f t="shared" si="49"/>
        <v>7.5989990506503152E-2</v>
      </c>
      <c r="G540" s="141">
        <f t="shared" si="50"/>
        <v>2.4805773499999999</v>
      </c>
      <c r="H540" s="141">
        <f>0.001013*Constantes!$D$6/(0.622*G540)</f>
        <v>4.4921414087374677E-2</v>
      </c>
      <c r="I540" s="141">
        <f t="shared" si="51"/>
        <v>0.3192323502116553</v>
      </c>
      <c r="J540" s="141">
        <f t="shared" si="52"/>
        <v>0.40836008725262574</v>
      </c>
      <c r="K540" s="141">
        <f>(Constantes!$D$12/0.8)*(Constantes!$D$7*J540^2+Constantes!$D$8*J540+Constantes!$D$9)</f>
        <v>14.059809055767623</v>
      </c>
      <c r="L540" s="141">
        <f>(Constantes!$D$12/0.8)*(0.00376*D540^2-0.0516*D540-6.967)</f>
        <v>-4.4575046250000003</v>
      </c>
      <c r="M540" s="140">
        <f t="shared" si="53"/>
        <v>2.7960654575777499</v>
      </c>
      <c r="N540" s="12"/>
    </row>
    <row r="541" spans="2:14" ht="18.75" customHeight="1">
      <c r="B541" s="11"/>
      <c r="C541" s="75">
        <v>536</v>
      </c>
      <c r="D541" s="65">
        <f>(Observaciones!D541+Observaciones!E541)/2</f>
        <v>9.15</v>
      </c>
      <c r="E541" s="141">
        <f t="shared" si="48"/>
        <v>1.1602772175252039</v>
      </c>
      <c r="F541" s="141">
        <f t="shared" si="49"/>
        <v>7.8284552595211263E-2</v>
      </c>
      <c r="G541" s="141">
        <f t="shared" si="50"/>
        <v>2.4793968500000001</v>
      </c>
      <c r="H541" s="141">
        <f>0.001013*Constantes!$D$6/(0.622*G541)</f>
        <v>4.4942802244470274E-2</v>
      </c>
      <c r="I541" s="141">
        <f t="shared" si="51"/>
        <v>0.3228445413311169</v>
      </c>
      <c r="J541" s="141">
        <f t="shared" si="52"/>
        <v>0.40869325459703054</v>
      </c>
      <c r="K541" s="141">
        <f>(Constantes!$D$12/0.8)*(Constantes!$D$7*J541^2+Constantes!$D$8*J541+Constantes!$D$9)</f>
        <v>14.055267648597923</v>
      </c>
      <c r="L541" s="141">
        <f>(Constantes!$D$12/0.8)*(0.00376*D541^2-0.0516*D541-6.967)</f>
        <v>-4.4527146249999996</v>
      </c>
      <c r="M541" s="140">
        <f t="shared" si="53"/>
        <v>2.8278718402733398</v>
      </c>
      <c r="N541" s="12"/>
    </row>
    <row r="542" spans="2:14" ht="18.75" customHeight="1">
      <c r="B542" s="11"/>
      <c r="C542" s="75">
        <v>537</v>
      </c>
      <c r="D542" s="65">
        <f>(Observaciones!D542+Observaciones!E542)/2</f>
        <v>8.85</v>
      </c>
      <c r="E542" s="141">
        <f t="shared" si="48"/>
        <v>1.1369954279192902</v>
      </c>
      <c r="F542" s="141">
        <f t="shared" si="49"/>
        <v>7.6900823791210993E-2</v>
      </c>
      <c r="G542" s="141">
        <f t="shared" si="50"/>
        <v>2.48010515</v>
      </c>
      <c r="H542" s="141">
        <f>0.001013*Constantes!$D$6/(0.622*G542)</f>
        <v>4.4929966906892042E-2</v>
      </c>
      <c r="I542" s="141">
        <f t="shared" si="51"/>
        <v>0.32068184992229182</v>
      </c>
      <c r="J542" s="141">
        <f t="shared" si="52"/>
        <v>0.40890531730977536</v>
      </c>
      <c r="K542" s="141">
        <f>(Constantes!$D$12/0.8)*(Constantes!$D$7*J542^2+Constantes!$D$8*J542+Constantes!$D$9)</f>
        <v>14.052376043677848</v>
      </c>
      <c r="L542" s="141">
        <f>(Constantes!$D$12/0.8)*(0.00376*D542^2-0.0516*D542-6.967)</f>
        <v>-4.455729625</v>
      </c>
      <c r="M542" s="140">
        <f t="shared" si="53"/>
        <v>2.80708980986233</v>
      </c>
      <c r="N542" s="12"/>
    </row>
    <row r="543" spans="2:14" ht="18.75" customHeight="1">
      <c r="B543" s="11"/>
      <c r="C543" s="75">
        <v>538</v>
      </c>
      <c r="D543" s="65">
        <f>(Observaciones!D543+Observaciones!E543)/2</f>
        <v>8.9</v>
      </c>
      <c r="E543" s="141">
        <f t="shared" si="48"/>
        <v>1.1408469417770644</v>
      </c>
      <c r="F543" s="141">
        <f t="shared" si="49"/>
        <v>7.7129983670597452E-2</v>
      </c>
      <c r="G543" s="141">
        <f t="shared" si="50"/>
        <v>2.4799870999999998</v>
      </c>
      <c r="H543" s="141">
        <f>0.001013*Constantes!$D$6/(0.622*G543)</f>
        <v>4.4932105620675421E-2</v>
      </c>
      <c r="I543" s="141">
        <f t="shared" si="51"/>
        <v>0.3210432649226323</v>
      </c>
      <c r="J543" s="141">
        <f t="shared" si="52"/>
        <v>0.40899621255210172</v>
      </c>
      <c r="K543" s="141">
        <f>(Constantes!$D$12/0.8)*(Constantes!$D$7*J543^2+Constantes!$D$8*J543+Constantes!$D$9)</f>
        <v>14.051136398923472</v>
      </c>
      <c r="L543" s="141">
        <f>(Constantes!$D$12/0.8)*(0.00376*D543^2-0.0516*D543-6.967)</f>
        <v>-4.4552565</v>
      </c>
      <c r="M543" s="140">
        <f t="shared" si="53"/>
        <v>2.8100312502328322</v>
      </c>
      <c r="N543" s="12"/>
    </row>
    <row r="544" spans="2:14" ht="18.75" customHeight="1">
      <c r="B544" s="11"/>
      <c r="C544" s="75">
        <v>539</v>
      </c>
      <c r="D544" s="65">
        <f>(Observaciones!D544+Observaciones!E544)/2</f>
        <v>10</v>
      </c>
      <c r="E544" s="141">
        <f t="shared" si="48"/>
        <v>1.2285355953233976</v>
      </c>
      <c r="F544" s="141">
        <f t="shared" si="49"/>
        <v>8.2321156964857062E-2</v>
      </c>
      <c r="G544" s="141">
        <f t="shared" si="50"/>
        <v>2.4773899999999998</v>
      </c>
      <c r="H544" s="141">
        <f>0.001013*Constantes!$D$6/(0.622*G544)</f>
        <v>4.4979208891257547E-2</v>
      </c>
      <c r="I544" s="141">
        <f t="shared" si="51"/>
        <v>0.32889553570326324</v>
      </c>
      <c r="J544" s="141">
        <f t="shared" si="52"/>
        <v>0.40896591338978777</v>
      </c>
      <c r="K544" s="141">
        <f>(Constantes!$D$12/0.8)*(Constantes!$D$7*J544^2+Constantes!$D$8*J544+Constantes!$D$9)</f>
        <v>14.051549639545691</v>
      </c>
      <c r="L544" s="141">
        <f>(Constantes!$D$12/0.8)*(0.00376*D544^2-0.0516*D544-6.967)</f>
        <v>-4.4418749999999996</v>
      </c>
      <c r="M544" s="140">
        <f t="shared" si="53"/>
        <v>2.8832895717378806</v>
      </c>
      <c r="N544" s="12"/>
    </row>
    <row r="545" spans="2:14" ht="18.75" customHeight="1">
      <c r="B545" s="11"/>
      <c r="C545" s="75">
        <v>540</v>
      </c>
      <c r="D545" s="65">
        <f>(Observaciones!D545+Observaciones!E545)/2</f>
        <v>9</v>
      </c>
      <c r="E545" s="141">
        <f t="shared" si="48"/>
        <v>1.1485844230421196</v>
      </c>
      <c r="F545" s="141">
        <f t="shared" si="49"/>
        <v>7.759005371461257E-2</v>
      </c>
      <c r="G545" s="141">
        <f t="shared" si="50"/>
        <v>2.4797509999999998</v>
      </c>
      <c r="H545" s="141">
        <f>0.001013*Constantes!$D$6/(0.622*G545)</f>
        <v>4.493638365913051E-2</v>
      </c>
      <c r="I545" s="141">
        <f t="shared" si="51"/>
        <v>0.32176493751214225</v>
      </c>
      <c r="J545" s="141">
        <f t="shared" si="52"/>
        <v>0.40881442880112917</v>
      </c>
      <c r="K545" s="141">
        <f>(Constantes!$D$12/0.8)*(Constantes!$D$7*J545^2+Constantes!$D$8*J545+Constantes!$D$9)</f>
        <v>14.053615457114885</v>
      </c>
      <c r="L545" s="141">
        <f>(Constantes!$D$12/0.8)*(0.00376*D545^2-0.0516*D545-6.967)</f>
        <v>-4.454275</v>
      </c>
      <c r="M545" s="140">
        <f t="shared" si="53"/>
        <v>2.8174135403786544</v>
      </c>
      <c r="N545" s="12"/>
    </row>
    <row r="546" spans="2:14" ht="18.75" customHeight="1">
      <c r="B546" s="11"/>
      <c r="C546" s="75">
        <v>541</v>
      </c>
      <c r="D546" s="65">
        <f>(Observaciones!D546+Observaciones!E546)/2</f>
        <v>9</v>
      </c>
      <c r="E546" s="141">
        <f t="shared" si="48"/>
        <v>1.1485844230421196</v>
      </c>
      <c r="F546" s="141">
        <f t="shared" si="49"/>
        <v>7.759005371461257E-2</v>
      </c>
      <c r="G546" s="141">
        <f t="shared" si="50"/>
        <v>2.4797509999999998</v>
      </c>
      <c r="H546" s="141">
        <f>0.001013*Constantes!$D$6/(0.622*G546)</f>
        <v>4.493638365913051E-2</v>
      </c>
      <c r="I546" s="141">
        <f t="shared" si="51"/>
        <v>0.32176493751214225</v>
      </c>
      <c r="J546" s="141">
        <f t="shared" si="52"/>
        <v>0.40854180367427873</v>
      </c>
      <c r="K546" s="141">
        <f>(Constantes!$D$12/0.8)*(Constantes!$D$7*J546^2+Constantes!$D$8*J546+Constantes!$D$9)</f>
        <v>14.057332309872731</v>
      </c>
      <c r="L546" s="141">
        <f>(Constantes!$D$12/0.8)*(0.00376*D546^2-0.0516*D546-6.967)</f>
        <v>-4.454275</v>
      </c>
      <c r="M546" s="140">
        <f t="shared" si="53"/>
        <v>2.818537736100303</v>
      </c>
      <c r="N546" s="12"/>
    </row>
    <row r="547" spans="2:14" ht="18.75" customHeight="1">
      <c r="B547" s="11"/>
      <c r="C547" s="75">
        <v>542</v>
      </c>
      <c r="D547" s="65">
        <f>(Observaciones!D547+Observaciones!E547)/2</f>
        <v>10.7</v>
      </c>
      <c r="E547" s="141">
        <f t="shared" si="48"/>
        <v>1.2873744557569893</v>
      </c>
      <c r="F547" s="141">
        <f t="shared" si="49"/>
        <v>8.5777518855556414E-2</v>
      </c>
      <c r="G547" s="141">
        <f t="shared" si="50"/>
        <v>2.4757373</v>
      </c>
      <c r="H547" s="141">
        <f>0.001013*Constantes!$D$6/(0.622*G547)</f>
        <v>4.5009235153952935E-2</v>
      </c>
      <c r="I547" s="141">
        <f t="shared" si="51"/>
        <v>0.33379183113820976</v>
      </c>
      <c r="J547" s="141">
        <f t="shared" si="52"/>
        <v>0.40814811879394536</v>
      </c>
      <c r="K547" s="141">
        <f>(Constantes!$D$12/0.8)*(Constantes!$D$7*J547^2+Constantes!$D$8*J547+Constantes!$D$9)</f>
        <v>14.062697424290816</v>
      </c>
      <c r="L547" s="141">
        <f>(Constantes!$D$12/0.8)*(0.00376*D547^2-0.0516*D547-6.967)</f>
        <v>-4.4303984999999999</v>
      </c>
      <c r="M547" s="140">
        <f t="shared" si="53"/>
        <v>2.9335418845698418</v>
      </c>
      <c r="N547" s="12"/>
    </row>
    <row r="548" spans="2:14" ht="18.75" customHeight="1">
      <c r="B548" s="11"/>
      <c r="C548" s="75">
        <v>543</v>
      </c>
      <c r="D548" s="65">
        <f>(Observaciones!D548+Observaciones!E548)/2</f>
        <v>9.0500000000000007</v>
      </c>
      <c r="E548" s="141">
        <f t="shared" si="48"/>
        <v>1.152470448883921</v>
      </c>
      <c r="F548" s="141">
        <f t="shared" si="49"/>
        <v>7.7820966290941845E-2</v>
      </c>
      <c r="G548" s="141">
        <f t="shared" si="50"/>
        <v>2.4796329500000001</v>
      </c>
      <c r="H548" s="141">
        <f>0.001013*Constantes!$D$6/(0.622*G548)</f>
        <v>4.4938522983860384E-2</v>
      </c>
      <c r="I548" s="141">
        <f t="shared" si="51"/>
        <v>0.32212519355648117</v>
      </c>
      <c r="J548" s="141">
        <f t="shared" si="52"/>
        <v>0.40763349081745559</v>
      </c>
      <c r="K548" s="141">
        <f>(Constantes!$D$12/0.8)*(Constantes!$D$7*J548^2+Constantes!$D$8*J548+Constantes!$D$9)</f>
        <v>14.069706797874339</v>
      </c>
      <c r="L548" s="141">
        <f>(Constantes!$D$12/0.8)*(0.00376*D548^2-0.0516*D548-6.967)</f>
        <v>-4.4537666250000001</v>
      </c>
      <c r="M548" s="140">
        <f t="shared" si="53"/>
        <v>2.8256041678817967</v>
      </c>
      <c r="N548" s="12"/>
    </row>
    <row r="549" spans="2:14" ht="18.75" customHeight="1">
      <c r="B549" s="11"/>
      <c r="C549" s="75">
        <v>544</v>
      </c>
      <c r="D549" s="65">
        <f>(Observaciones!D549+Observaciones!E549)/2</f>
        <v>10.95</v>
      </c>
      <c r="E549" s="141">
        <f t="shared" si="48"/>
        <v>1.3089806979693788</v>
      </c>
      <c r="F549" s="141">
        <f t="shared" si="49"/>
        <v>8.7041563253404466E-2</v>
      </c>
      <c r="G549" s="141">
        <f t="shared" si="50"/>
        <v>2.4751470499999999</v>
      </c>
      <c r="H549" s="141">
        <f>0.001013*Constantes!$D$6/(0.622*G549)</f>
        <v>4.5019968536864317E-2</v>
      </c>
      <c r="I549" s="141">
        <f t="shared" si="51"/>
        <v>0.33552114198285082</v>
      </c>
      <c r="J549" s="141">
        <f t="shared" si="52"/>
        <v>0.40699807224018525</v>
      </c>
      <c r="K549" s="141">
        <f>(Constantes!$D$12/0.8)*(Constantes!$D$7*J549^2+Constantes!$D$8*J549+Constantes!$D$9)</f>
        <v>14.078355203207654</v>
      </c>
      <c r="L549" s="141">
        <f>(Constantes!$D$12/0.8)*(0.00376*D549^2-0.0516*D549-6.967)</f>
        <v>-4.4257416249999997</v>
      </c>
      <c r="M549" s="140">
        <f t="shared" si="53"/>
        <v>2.9552407819781772</v>
      </c>
      <c r="N549" s="12"/>
    </row>
    <row r="550" spans="2:14" ht="18.75" customHeight="1">
      <c r="B550" s="11"/>
      <c r="C550" s="75">
        <v>545</v>
      </c>
      <c r="D550" s="65">
        <f>(Observaciones!D550+Observaciones!E550)/2</f>
        <v>11.35</v>
      </c>
      <c r="E550" s="141">
        <f t="shared" si="48"/>
        <v>1.3442138857215939</v>
      </c>
      <c r="F550" s="141">
        <f t="shared" si="49"/>
        <v>8.9097066304630032E-2</v>
      </c>
      <c r="G550" s="141">
        <f t="shared" si="50"/>
        <v>2.4742026500000001</v>
      </c>
      <c r="H550" s="141">
        <f>0.001013*Constantes!$D$6/(0.622*G550)</f>
        <v>4.5037152601510852E-2</v>
      </c>
      <c r="I550" s="141">
        <f t="shared" si="51"/>
        <v>0.33826658351104416</v>
      </c>
      <c r="J550" s="141">
        <f t="shared" si="52"/>
        <v>0.40624205135037245</v>
      </c>
      <c r="K550" s="141">
        <f>(Constantes!$D$12/0.8)*(Constantes!$D$7*J550^2+Constantes!$D$8*J550+Constantes!$D$9)</f>
        <v>14.088636193237081</v>
      </c>
      <c r="L550" s="141">
        <f>(Constantes!$D$12/0.8)*(0.00376*D550^2-0.0516*D550-6.967)</f>
        <v>-4.4176796249999999</v>
      </c>
      <c r="M550" s="140">
        <f t="shared" si="53"/>
        <v>2.985418547736268</v>
      </c>
      <c r="N550" s="12"/>
    </row>
    <row r="551" spans="2:14" ht="18.75" customHeight="1">
      <c r="B551" s="11"/>
      <c r="C551" s="75">
        <v>546</v>
      </c>
      <c r="D551" s="65">
        <f>(Observaciones!D551+Observaciones!E551)/2</f>
        <v>9.75</v>
      </c>
      <c r="E551" s="141">
        <f t="shared" si="48"/>
        <v>1.208102321837458</v>
      </c>
      <c r="F551" s="141">
        <f t="shared" si="49"/>
        <v>8.1115893548976525E-2</v>
      </c>
      <c r="G551" s="141">
        <f t="shared" si="50"/>
        <v>2.4779802499999999</v>
      </c>
      <c r="H551" s="141">
        <f>0.001013*Constantes!$D$6/(0.622*G551)</f>
        <v>4.4968494932561519E-2</v>
      </c>
      <c r="I551" s="141">
        <f t="shared" si="51"/>
        <v>0.3271277184414379</v>
      </c>
      <c r="J551" s="141">
        <f t="shared" si="52"/>
        <v>0.40536565217332293</v>
      </c>
      <c r="K551" s="141">
        <f>(Constantes!$D$12/0.8)*(Constantes!$D$7*J551^2+Constantes!$D$8*J551+Constantes!$D$9)</f>
        <v>14.100542107785055</v>
      </c>
      <c r="L551" s="141">
        <f>(Constantes!$D$12/0.8)*(0.00376*D551^2-0.0516*D551-6.967)</f>
        <v>-4.4454156249999999</v>
      </c>
      <c r="M551" s="140">
        <f t="shared" si="53"/>
        <v>2.881698807466551</v>
      </c>
      <c r="N551" s="12"/>
    </row>
    <row r="552" spans="2:14" ht="18.75" customHeight="1">
      <c r="B552" s="11"/>
      <c r="C552" s="75">
        <v>547</v>
      </c>
      <c r="D552" s="65">
        <f>(Observaciones!D552+Observaciones!E552)/2</f>
        <v>10.75</v>
      </c>
      <c r="E552" s="141">
        <f t="shared" si="48"/>
        <v>1.2916704499993741</v>
      </c>
      <c r="F552" s="141">
        <f t="shared" si="49"/>
        <v>8.602906751025155E-2</v>
      </c>
      <c r="G552" s="141">
        <f t="shared" si="50"/>
        <v>2.4756192499999998</v>
      </c>
      <c r="H552" s="141">
        <f>0.001013*Constantes!$D$6/(0.622*G552)</f>
        <v>4.5011381421077787E-2</v>
      </c>
      <c r="I552" s="141">
        <f t="shared" si="51"/>
        <v>0.33413851435416753</v>
      </c>
      <c r="J552" s="141">
        <f t="shared" si="52"/>
        <v>0.40436913440502725</v>
      </c>
      <c r="K552" s="141">
        <f>(Constantes!$D$12/0.8)*(Constantes!$D$7*J552^2+Constantes!$D$8*J552+Constantes!$D$9)</f>
        <v>14.114064081288136</v>
      </c>
      <c r="L552" s="141">
        <f>(Constantes!$D$12/0.8)*(0.00376*D552^2-0.0516*D552-6.967)</f>
        <v>-4.4294906249999997</v>
      </c>
      <c r="M552" s="140">
        <f t="shared" si="53"/>
        <v>2.9530258426206548</v>
      </c>
      <c r="N552" s="12"/>
    </row>
    <row r="553" spans="2:14" ht="18.75" customHeight="1">
      <c r="B553" s="11"/>
      <c r="C553" s="75">
        <v>548</v>
      </c>
      <c r="D553" s="65">
        <f>(Observaciones!D553+Observaciones!E553)/2</f>
        <v>10.9</v>
      </c>
      <c r="E553" s="141">
        <f t="shared" si="48"/>
        <v>1.3046341322396258</v>
      </c>
      <c r="F553" s="141">
        <f t="shared" si="49"/>
        <v>8.6787491598136493E-2</v>
      </c>
      <c r="G553" s="141">
        <f t="shared" si="50"/>
        <v>2.4752651000000001</v>
      </c>
      <c r="H553" s="141">
        <f>0.001013*Constantes!$D$6/(0.622*G553)</f>
        <v>4.5017821450766028E-2</v>
      </c>
      <c r="I553" s="141">
        <f t="shared" si="51"/>
        <v>0.33517610193237696</v>
      </c>
      <c r="J553" s="141">
        <f t="shared" si="52"/>
        <v>0.40325279333520658</v>
      </c>
      <c r="K553" s="141">
        <f>(Constantes!$D$12/0.8)*(Constantes!$D$7*J553^2+Constantes!$D$8*J553+Constantes!$D$9)</f>
        <v>14.129192051750161</v>
      </c>
      <c r="L553" s="141">
        <f>(Constantes!$D$12/0.8)*(0.00376*D553^2-0.0516*D553-6.967)</f>
        <v>-4.4266964999999994</v>
      </c>
      <c r="M553" s="140">
        <f t="shared" si="53"/>
        <v>2.9678985871302732</v>
      </c>
      <c r="N553" s="12"/>
    </row>
    <row r="554" spans="2:14" ht="18.75" customHeight="1">
      <c r="B554" s="11"/>
      <c r="C554" s="75">
        <v>549</v>
      </c>
      <c r="D554" s="65">
        <f>(Observaciones!D554+Observaciones!E554)/2</f>
        <v>10</v>
      </c>
      <c r="E554" s="141">
        <f t="shared" si="48"/>
        <v>1.2285355953233976</v>
      </c>
      <c r="F554" s="141">
        <f t="shared" si="49"/>
        <v>8.2321156964857062E-2</v>
      </c>
      <c r="G554" s="141">
        <f t="shared" si="50"/>
        <v>2.4773899999999998</v>
      </c>
      <c r="H554" s="141">
        <f>0.001013*Constantes!$D$6/(0.622*G554)</f>
        <v>4.4979208891257547E-2</v>
      </c>
      <c r="I554" s="141">
        <f t="shared" si="51"/>
        <v>0.32889553570326324</v>
      </c>
      <c r="J554" s="141">
        <f t="shared" si="52"/>
        <v>0.40201695975981283</v>
      </c>
      <c r="K554" s="141">
        <f>(Constantes!$D$12/0.8)*(Constantes!$D$7*J554^2+Constantes!$D$8*J554+Constantes!$D$9)</f>
        <v>14.145914770900381</v>
      </c>
      <c r="L554" s="141">
        <f>(Constantes!$D$12/0.8)*(0.00376*D554^2-0.0516*D554-6.967)</f>
        <v>-4.4418749999999996</v>
      </c>
      <c r="M554" s="140">
        <f t="shared" si="53"/>
        <v>2.9124636659407734</v>
      </c>
      <c r="N554" s="12"/>
    </row>
    <row r="555" spans="2:14" ht="18.75" customHeight="1">
      <c r="B555" s="11"/>
      <c r="C555" s="75">
        <v>550</v>
      </c>
      <c r="D555" s="65">
        <f>(Observaciones!D555+Observaciones!E555)/2</f>
        <v>11.65</v>
      </c>
      <c r="E555" s="141">
        <f t="shared" si="48"/>
        <v>1.3711829440577765</v>
      </c>
      <c r="F555" s="141">
        <f t="shared" si="49"/>
        <v>9.0665715946703279E-2</v>
      </c>
      <c r="G555" s="141">
        <f t="shared" si="50"/>
        <v>2.4734943499999997</v>
      </c>
      <c r="H555" s="141">
        <f>0.001013*Constantes!$D$6/(0.622*G555)</f>
        <v>4.5050049261326407E-2</v>
      </c>
      <c r="I555" s="141">
        <f t="shared" si="51"/>
        <v>0.34030820325039612</v>
      </c>
      <c r="J555" s="141">
        <f t="shared" si="52"/>
        <v>0.40066199988300538</v>
      </c>
      <c r="K555" s="141">
        <f>(Constantes!$D$12/0.8)*(Constantes!$D$7*J555^2+Constantes!$D$8*J555+Constantes!$D$9)</f>
        <v>14.164219815545065</v>
      </c>
      <c r="L555" s="141">
        <f>(Constantes!$D$12/0.8)*(0.00376*D555^2-0.0516*D555-6.967)</f>
        <v>-4.4111396249999997</v>
      </c>
      <c r="M555" s="140">
        <f t="shared" si="53"/>
        <v>3.0298411840491144</v>
      </c>
      <c r="N555" s="12"/>
    </row>
    <row r="556" spans="2:14" ht="18.75" customHeight="1">
      <c r="B556" s="11"/>
      <c r="C556" s="75">
        <v>551</v>
      </c>
      <c r="D556" s="65">
        <f>(Observaciones!D556+Observaciones!E556)/2</f>
        <v>11.45</v>
      </c>
      <c r="E556" s="141">
        <f t="shared" si="48"/>
        <v>1.3531513167724236</v>
      </c>
      <c r="F556" s="141">
        <f t="shared" si="49"/>
        <v>8.9617358691077773E-2</v>
      </c>
      <c r="G556" s="141">
        <f t="shared" si="50"/>
        <v>2.4739665500000001</v>
      </c>
      <c r="H556" s="141">
        <f>0.001013*Constantes!$D$6/(0.622*G556)</f>
        <v>4.504145066759796E-2</v>
      </c>
      <c r="I556" s="141">
        <f t="shared" si="51"/>
        <v>0.33894879271912193</v>
      </c>
      <c r="J556" s="141">
        <f t="shared" si="52"/>
        <v>0.39918831520863868</v>
      </c>
      <c r="K556" s="141">
        <f>(Constantes!$D$12/0.8)*(Constantes!$D$7*J556^2+Constantes!$D$8*J556+Constantes!$D$9)</f>
        <v>14.184093600099681</v>
      </c>
      <c r="L556" s="141">
        <f>(Constantes!$D$12/0.8)*(0.00376*D556^2-0.0516*D556-6.967)</f>
        <v>-4.4155466249999993</v>
      </c>
      <c r="M556" s="140">
        <f t="shared" si="53"/>
        <v>3.0225763197359385</v>
      </c>
      <c r="N556" s="12"/>
    </row>
    <row r="557" spans="2:14" ht="18.75" customHeight="1">
      <c r="B557" s="11"/>
      <c r="C557" s="75">
        <v>552</v>
      </c>
      <c r="D557" s="65">
        <f>(Observaciones!D557+Observaciones!E557)/2</f>
        <v>11.7</v>
      </c>
      <c r="E557" s="141">
        <f t="shared" si="48"/>
        <v>1.3757236996547897</v>
      </c>
      <c r="F557" s="141">
        <f t="shared" si="49"/>
        <v>9.0929432125051668E-2</v>
      </c>
      <c r="G557" s="141">
        <f t="shared" si="50"/>
        <v>2.4733763</v>
      </c>
      <c r="H557" s="141">
        <f>0.001013*Constantes!$D$6/(0.622*G557)</f>
        <v>4.5052199422753639E-2</v>
      </c>
      <c r="I557" s="141">
        <f t="shared" si="51"/>
        <v>0.3406470099449177</v>
      </c>
      <c r="J557" s="141">
        <f t="shared" si="52"/>
        <v>0.39759634242128605</v>
      </c>
      <c r="K557" s="141">
        <f>(Constantes!$D$12/0.8)*(Constantes!$D$7*J557^2+Constantes!$D$8*J557+Constantes!$D$9)</f>
        <v>14.205521390287499</v>
      </c>
      <c r="L557" s="141">
        <f>(Constantes!$D$12/0.8)*(0.00376*D557^2-0.0516*D557-6.967)</f>
        <v>-4.4100085</v>
      </c>
      <c r="M557" s="140">
        <f t="shared" si="53"/>
        <v>3.0464680737747347</v>
      </c>
      <c r="N557" s="12"/>
    </row>
    <row r="558" spans="2:14" ht="18.75" customHeight="1">
      <c r="B558" s="11"/>
      <c r="C558" s="75">
        <v>553</v>
      </c>
      <c r="D558" s="65">
        <f>(Observaciones!D558+Observaciones!E558)/2</f>
        <v>9.75</v>
      </c>
      <c r="E558" s="141">
        <f t="shared" si="48"/>
        <v>1.208102321837458</v>
      </c>
      <c r="F558" s="141">
        <f t="shared" si="49"/>
        <v>8.1115893548976525E-2</v>
      </c>
      <c r="G558" s="141">
        <f t="shared" si="50"/>
        <v>2.4779802499999999</v>
      </c>
      <c r="H558" s="141">
        <f>0.001013*Constantes!$D$6/(0.622*G558)</f>
        <v>4.4968494932561519E-2</v>
      </c>
      <c r="I558" s="141">
        <f t="shared" si="51"/>
        <v>0.3271277184414379</v>
      </c>
      <c r="J558" s="141">
        <f t="shared" si="52"/>
        <v>0.3958865532568423</v>
      </c>
      <c r="K558" s="141">
        <f>(Constantes!$D$12/0.8)*(Constantes!$D$7*J558^2+Constantes!$D$8*J558+Constantes!$D$9)</f>
        <v>14.228487317989025</v>
      </c>
      <c r="L558" s="141">
        <f>(Constantes!$D$12/0.8)*(0.00376*D558^2-0.0516*D558-6.967)</f>
        <v>-4.4454156249999999</v>
      </c>
      <c r="M558" s="140">
        <f t="shared" si="53"/>
        <v>2.9210419666841134</v>
      </c>
      <c r="N558" s="12"/>
    </row>
    <row r="559" spans="2:14" ht="18.75" customHeight="1">
      <c r="B559" s="11"/>
      <c r="C559" s="75">
        <v>554</v>
      </c>
      <c r="D559" s="65">
        <f>(Observaciones!D559+Observaciones!E559)/2</f>
        <v>8.3000000000000007</v>
      </c>
      <c r="E559" s="141">
        <f t="shared" si="48"/>
        <v>1.0953778240340981</v>
      </c>
      <c r="F559" s="141">
        <f t="shared" si="49"/>
        <v>7.4418202097829511E-2</v>
      </c>
      <c r="G559" s="141">
        <f t="shared" si="50"/>
        <v>2.4814037</v>
      </c>
      <c r="H559" s="141">
        <f>0.001013*Constantes!$D$6/(0.622*G559)</f>
        <v>4.4906454485867227E-2</v>
      </c>
      <c r="I559" s="141">
        <f t="shared" si="51"/>
        <v>0.31668106733869283</v>
      </c>
      <c r="J559" s="141">
        <f t="shared" si="52"/>
        <v>0.39405945436273693</v>
      </c>
      <c r="K559" s="141">
        <f>(Constantes!$D$12/0.8)*(Constantes!$D$7*J559^2+Constantes!$D$8*J559+Constantes!$D$9)</f>
        <v>14.252974397225525</v>
      </c>
      <c r="L559" s="141">
        <f>(Constantes!$D$12/0.8)*(0.00376*D559^2-0.0516*D559-6.967)</f>
        <v>-4.4601585000000004</v>
      </c>
      <c r="M559" s="140">
        <f t="shared" si="53"/>
        <v>2.8303805618928317</v>
      </c>
      <c r="N559" s="12"/>
    </row>
    <row r="560" spans="2:14" ht="18.75" customHeight="1">
      <c r="B560" s="11"/>
      <c r="C560" s="75">
        <v>555</v>
      </c>
      <c r="D560" s="65">
        <f>(Observaciones!D560+Observaciones!E560)/2</f>
        <v>7.2</v>
      </c>
      <c r="E560" s="141">
        <f t="shared" si="48"/>
        <v>1.0161453093242518</v>
      </c>
      <c r="F560" s="141">
        <f t="shared" si="49"/>
        <v>6.9657846489614608E-2</v>
      </c>
      <c r="G560" s="141">
        <f t="shared" si="50"/>
        <v>2.4840008</v>
      </c>
      <c r="H560" s="141">
        <f>0.001013*Constantes!$D$6/(0.622*G560)</f>
        <v>4.4859503392717312E-2</v>
      </c>
      <c r="I560" s="141">
        <f t="shared" si="51"/>
        <v>0.30854432891657324</v>
      </c>
      <c r="J560" s="141">
        <f t="shared" si="52"/>
        <v>0.39211558714780415</v>
      </c>
      <c r="K560" s="141">
        <f>(Constantes!$D$12/0.8)*(Constantes!$D$7*J560^2+Constantes!$D$8*J560+Constantes!$D$9)</f>
        <v>14.278964541258453</v>
      </c>
      <c r="L560" s="141">
        <f>(Constantes!$D$12/0.8)*(0.00376*D560^2-0.0516*D560-6.967)</f>
        <v>-4.4647509999999997</v>
      </c>
      <c r="M560" s="140">
        <f t="shared" si="53"/>
        <v>2.7637783190111671</v>
      </c>
      <c r="N560" s="12"/>
    </row>
    <row r="561" spans="2:14" ht="18.75" customHeight="1">
      <c r="B561" s="11"/>
      <c r="C561" s="75">
        <v>556</v>
      </c>
      <c r="D561" s="65">
        <f>(Observaciones!D561+Observaciones!E561)/2</f>
        <v>9.5500000000000007</v>
      </c>
      <c r="E561" s="141">
        <f t="shared" si="48"/>
        <v>1.1919715122427115</v>
      </c>
      <c r="F561" s="141">
        <f t="shared" si="49"/>
        <v>8.0162557967816087E-2</v>
      </c>
      <c r="G561" s="141">
        <f t="shared" si="50"/>
        <v>2.4784524499999998</v>
      </c>
      <c r="H561" s="141">
        <f>0.001013*Constantes!$D$6/(0.622*G561)</f>
        <v>4.4959927439847613E-2</v>
      </c>
      <c r="I561" s="141">
        <f t="shared" si="51"/>
        <v>0.32570629948063018</v>
      </c>
      <c r="J561" s="141">
        <f t="shared" si="52"/>
        <v>0.39005552762185219</v>
      </c>
      <c r="K561" s="141">
        <f>(Constantes!$D$12/0.8)*(Constantes!$D$7*J561^2+Constantes!$D$8*J561+Constantes!$D$9)</f>
        <v>14.306438580785443</v>
      </c>
      <c r="L561" s="141">
        <f>(Constantes!$D$12/0.8)*(0.00376*D561^2-0.0516*D561-6.967)</f>
        <v>-4.4480366249999994</v>
      </c>
      <c r="M561" s="140">
        <f t="shared" si="53"/>
        <v>2.9313617896778106</v>
      </c>
      <c r="N561" s="12"/>
    </row>
    <row r="562" spans="2:14" ht="18.75" customHeight="1">
      <c r="B562" s="11"/>
      <c r="C562" s="75">
        <v>557</v>
      </c>
      <c r="D562" s="65">
        <f>(Observaciones!D562+Observaciones!E562)/2</f>
        <v>10.950000000000001</v>
      </c>
      <c r="E562" s="141">
        <f t="shared" si="48"/>
        <v>1.3089806979693788</v>
      </c>
      <c r="F562" s="141">
        <f t="shared" si="49"/>
        <v>8.7041563253404466E-2</v>
      </c>
      <c r="G562" s="141">
        <f t="shared" si="50"/>
        <v>2.4751470499999999</v>
      </c>
      <c r="H562" s="141">
        <f>0.001013*Constantes!$D$6/(0.622*G562)</f>
        <v>4.5019968536864317E-2</v>
      </c>
      <c r="I562" s="141">
        <f t="shared" si="51"/>
        <v>0.33552114198285082</v>
      </c>
      <c r="J562" s="141">
        <f t="shared" si="52"/>
        <v>0.38787988622497821</v>
      </c>
      <c r="K562" s="141">
        <f>(Constantes!$D$12/0.8)*(Constantes!$D$7*J562^2+Constantes!$D$8*J562+Constantes!$D$9)</f>
        <v>14.335376283212305</v>
      </c>
      <c r="L562" s="141">
        <f>(Constantes!$D$12/0.8)*(0.00376*D562^2-0.0516*D562-6.967)</f>
        <v>-4.4257416249999997</v>
      </c>
      <c r="M562" s="140">
        <f t="shared" si="53"/>
        <v>3.0363026278783947</v>
      </c>
      <c r="N562" s="12"/>
    </row>
    <row r="563" spans="2:14" ht="18.75" customHeight="1">
      <c r="B563" s="11"/>
      <c r="C563" s="75">
        <v>558</v>
      </c>
      <c r="D563" s="65">
        <f>(Observaciones!D563+Observaciones!E563)/2</f>
        <v>10.8</v>
      </c>
      <c r="E563" s="141">
        <f t="shared" ref="E563:E626" si="54">EXP((16.78*D563-116.9)/(D563+237.3))</f>
        <v>1.2959790398301012</v>
      </c>
      <c r="F563" s="141">
        <f t="shared" ref="F563:F626" si="55">4098*E563/((D563+237.3)^2)</f>
        <v>8.6281245002912968E-2</v>
      </c>
      <c r="G563" s="141">
        <f t="shared" ref="G563:G626" si="56">2.501-0.002361*D563</f>
        <v>2.4755012000000001</v>
      </c>
      <c r="H563" s="141">
        <f>0.001013*Constantes!$D$6/(0.622*G563)</f>
        <v>4.5013527892902062E-2</v>
      </c>
      <c r="I563" s="141">
        <f t="shared" ref="I563:I626" si="57">IF(D563&gt;0,1.26*F563/(G563*(F563+H563)),0)</f>
        <v>0.33448478758535966</v>
      </c>
      <c r="J563" s="141">
        <f t="shared" ref="J563:J626" si="58">0.409*SIN(2*PI()*(C563-82)/365)</f>
        <v>0.3855893076466822</v>
      </c>
      <c r="K563" s="141">
        <f>(Constantes!$D$12/0.8)*(Constantes!$D$7*J563^2+Constantes!$D$8*J563+Constantes!$D$9)</f>
        <v>14.365756372979121</v>
      </c>
      <c r="L563" s="141">
        <f>(Constantes!$D$12/0.8)*(0.00376*D563^2-0.0516*D563-6.967)</f>
        <v>-4.4285709999999998</v>
      </c>
      <c r="M563" s="140">
        <f t="shared" si="53"/>
        <v>3.0355297205421272</v>
      </c>
      <c r="N563" s="12"/>
    </row>
    <row r="564" spans="2:14" ht="18.75" customHeight="1">
      <c r="B564" s="11"/>
      <c r="C564" s="75">
        <v>559</v>
      </c>
      <c r="D564" s="65">
        <f>(Observaciones!D564+Observaciones!E564)/2</f>
        <v>9</v>
      </c>
      <c r="E564" s="141">
        <f t="shared" si="54"/>
        <v>1.1485844230421196</v>
      </c>
      <c r="F564" s="141">
        <f t="shared" si="55"/>
        <v>7.759005371461257E-2</v>
      </c>
      <c r="G564" s="141">
        <f t="shared" si="56"/>
        <v>2.4797509999999998</v>
      </c>
      <c r="H564" s="141">
        <f>0.001013*Constantes!$D$6/(0.622*G564)</f>
        <v>4.493638365913051E-2</v>
      </c>
      <c r="I564" s="141">
        <f t="shared" si="57"/>
        <v>0.32176493751214225</v>
      </c>
      <c r="J564" s="141">
        <f t="shared" si="58"/>
        <v>0.38318447063483141</v>
      </c>
      <c r="K564" s="141">
        <f>(Constantes!$D$12/0.8)*(Constantes!$D$7*J564^2+Constantes!$D$8*J564+Constantes!$D$9)</f>
        <v>14.397556552917521</v>
      </c>
      <c r="L564" s="141">
        <f>(Constantes!$D$12/0.8)*(0.00376*D564^2-0.0516*D564-6.967)</f>
        <v>-4.454275</v>
      </c>
      <c r="M564" s="140">
        <f t="shared" si="53"/>
        <v>2.9214416344655203</v>
      </c>
      <c r="N564" s="12"/>
    </row>
    <row r="565" spans="2:14" ht="18.75" customHeight="1">
      <c r="B565" s="11"/>
      <c r="C565" s="75">
        <v>560</v>
      </c>
      <c r="D565" s="65">
        <f>(Observaciones!D565+Observaciones!E565)/2</f>
        <v>8.15</v>
      </c>
      <c r="E565" s="141">
        <f t="shared" si="54"/>
        <v>1.0842628845563618</v>
      </c>
      <c r="F565" s="141">
        <f t="shared" si="55"/>
        <v>7.3753132863077983E-2</v>
      </c>
      <c r="G565" s="141">
        <f t="shared" si="56"/>
        <v>2.4817578499999997</v>
      </c>
      <c r="H565" s="141">
        <f>0.001013*Constantes!$D$6/(0.622*G565)</f>
        <v>4.4900046277727111E-2</v>
      </c>
      <c r="I565" s="141">
        <f t="shared" si="57"/>
        <v>0.3155820076579775</v>
      </c>
      <c r="J565" s="141">
        <f t="shared" si="58"/>
        <v>0.38066608779453365</v>
      </c>
      <c r="K565" s="141">
        <f>(Constantes!$D$12/0.8)*(Constantes!$D$7*J565^2+Constantes!$D$8*J565+Constantes!$D$9)</f>
        <v>14.430753526614854</v>
      </c>
      <c r="L565" s="141">
        <f>(Constantes!$D$12/0.8)*(0.00376*D565^2-0.0516*D565-6.967)</f>
        <v>-4.4611196249999994</v>
      </c>
      <c r="M565" s="140">
        <f t="shared" si="53"/>
        <v>2.8729919120898582</v>
      </c>
      <c r="N565" s="12"/>
    </row>
    <row r="566" spans="2:14" ht="18.75" customHeight="1">
      <c r="B566" s="11"/>
      <c r="C566" s="75">
        <v>561</v>
      </c>
      <c r="D566" s="65">
        <f>(Observaciones!D566+Observaciones!E566)/2</f>
        <v>9.6999999999999993</v>
      </c>
      <c r="E566" s="141">
        <f t="shared" si="54"/>
        <v>1.2040517259211223</v>
      </c>
      <c r="F566" s="141">
        <f t="shared" si="55"/>
        <v>8.0876657096899784E-2</v>
      </c>
      <c r="G566" s="141">
        <f t="shared" si="56"/>
        <v>2.4780983000000001</v>
      </c>
      <c r="H566" s="141">
        <f>0.001013*Constantes!$D$6/(0.622*G566)</f>
        <v>4.4966352753283652E-2</v>
      </c>
      <c r="I566" s="141">
        <f t="shared" si="57"/>
        <v>0.32677295878905227</v>
      </c>
      <c r="J566" s="141">
        <f t="shared" si="58"/>
        <v>0.37803490537697526</v>
      </c>
      <c r="K566" s="141">
        <f>(Constantes!$D$12/0.8)*(Constantes!$D$7*J566^2+Constantes!$D$8*J566+Constantes!$D$9)</f>
        <v>14.465323021760135</v>
      </c>
      <c r="L566" s="141">
        <f>(Constantes!$D$12/0.8)*(0.00376*D566^2-0.0516*D566-6.967)</f>
        <v>-4.4460885000000001</v>
      </c>
      <c r="M566" s="140">
        <f t="shared" si="53"/>
        <v>2.990402325257377</v>
      </c>
      <c r="N566" s="12"/>
    </row>
    <row r="567" spans="2:14" ht="18.75" customHeight="1">
      <c r="B567" s="11"/>
      <c r="C567" s="75">
        <v>562</v>
      </c>
      <c r="D567" s="65">
        <f>(Observaciones!D567+Observaciones!E567)/2</f>
        <v>9</v>
      </c>
      <c r="E567" s="141">
        <f t="shared" si="54"/>
        <v>1.1485844230421196</v>
      </c>
      <c r="F567" s="141">
        <f t="shared" si="55"/>
        <v>7.759005371461257E-2</v>
      </c>
      <c r="G567" s="141">
        <f t="shared" si="56"/>
        <v>2.4797509999999998</v>
      </c>
      <c r="H567" s="141">
        <f>0.001013*Constantes!$D$6/(0.622*G567)</f>
        <v>4.493638365913051E-2</v>
      </c>
      <c r="I567" s="141">
        <f t="shared" si="57"/>
        <v>0.32176493751214225</v>
      </c>
      <c r="J567" s="141">
        <f t="shared" si="58"/>
        <v>0.37529170305829229</v>
      </c>
      <c r="K567" s="141">
        <f>(Constantes!$D$12/0.8)*(Constantes!$D$7*J567^2+Constantes!$D$8*J567+Constantes!$D$9)</f>
        <v>14.501239814445128</v>
      </c>
      <c r="L567" s="141">
        <f>(Constantes!$D$12/0.8)*(0.00376*D567^2-0.0516*D567-6.967)</f>
        <v>-4.454275</v>
      </c>
      <c r="M567" s="140">
        <f t="shared" si="53"/>
        <v>2.9528015743420171</v>
      </c>
      <c r="N567" s="12"/>
    </row>
    <row r="568" spans="2:14" ht="18.75" customHeight="1">
      <c r="B568" s="11"/>
      <c r="C568" s="75">
        <v>563</v>
      </c>
      <c r="D568" s="65">
        <f>(Observaciones!D568+Observaciones!E568)/2</f>
        <v>8.5500000000000007</v>
      </c>
      <c r="E568" s="141">
        <f t="shared" si="54"/>
        <v>1.1141256884066946</v>
      </c>
      <c r="F568" s="141">
        <f t="shared" si="55"/>
        <v>7.553804083049119E-2</v>
      </c>
      <c r="G568" s="141">
        <f t="shared" si="56"/>
        <v>2.4808134499999999</v>
      </c>
      <c r="H568" s="141">
        <f>0.001013*Constantes!$D$6/(0.622*G568)</f>
        <v>4.4917138898578825E-2</v>
      </c>
      <c r="I568" s="141">
        <f t="shared" si="57"/>
        <v>0.31850530773396696</v>
      </c>
      <c r="J568" s="141">
        <f t="shared" si="58"/>
        <v>0.37243729370853446</v>
      </c>
      <c r="K568" s="141">
        <f>(Constantes!$D$12/0.8)*(Constantes!$D$7*J568^2+Constantes!$D$8*J568+Constantes!$D$9)</f>
        <v>14.53847775439332</v>
      </c>
      <c r="L568" s="141">
        <f>(Constantes!$D$12/0.8)*(0.00376*D568^2-0.0516*D568-6.967)</f>
        <v>-4.458321625</v>
      </c>
      <c r="M568" s="140">
        <f t="shared" si="53"/>
        <v>2.9327482901300641</v>
      </c>
      <c r="N568" s="12"/>
    </row>
    <row r="569" spans="2:14" ht="18.75" customHeight="1">
      <c r="B569" s="11"/>
      <c r="C569" s="75">
        <v>564</v>
      </c>
      <c r="D569" s="65">
        <f>(Observaciones!D569+Observaciones!E569)/2</f>
        <v>9.25</v>
      </c>
      <c r="E569" s="141">
        <f t="shared" si="54"/>
        <v>1.1681304715350127</v>
      </c>
      <c r="F569" s="141">
        <f t="shared" si="55"/>
        <v>7.8750495180281335E-2</v>
      </c>
      <c r="G569" s="141">
        <f t="shared" si="56"/>
        <v>2.4791607499999997</v>
      </c>
      <c r="H569" s="141">
        <f>0.001013*Constantes!$D$6/(0.622*G569)</f>
        <v>4.4947082320141017E-2</v>
      </c>
      <c r="I569" s="141">
        <f t="shared" si="57"/>
        <v>0.32356233167857845</v>
      </c>
      <c r="J569" s="141">
        <f t="shared" si="58"/>
        <v>0.36947252315079576</v>
      </c>
      <c r="K569" s="141">
        <f>(Constantes!$D$12/0.8)*(Constantes!$D$7*J569^2+Constantes!$D$8*J569+Constantes!$D$9)</f>
        <v>14.577009791088065</v>
      </c>
      <c r="L569" s="141">
        <f>(Constantes!$D$12/0.8)*(0.00376*D569^2-0.0516*D569-6.967)</f>
        <v>-4.4516156249999996</v>
      </c>
      <c r="M569" s="140">
        <f t="shared" si="53"/>
        <v>2.9932018689297744</v>
      </c>
      <c r="N569" s="12"/>
    </row>
    <row r="570" spans="2:14" ht="18.75" customHeight="1">
      <c r="B570" s="11"/>
      <c r="C570" s="75">
        <v>565</v>
      </c>
      <c r="D570" s="65">
        <f>(Observaciones!D570+Observaciones!E570)/2</f>
        <v>9.15</v>
      </c>
      <c r="E570" s="141">
        <f t="shared" si="54"/>
        <v>1.1602772175252039</v>
      </c>
      <c r="F570" s="141">
        <f t="shared" si="55"/>
        <v>7.8284552595211263E-2</v>
      </c>
      <c r="G570" s="141">
        <f t="shared" si="56"/>
        <v>2.4793968500000001</v>
      </c>
      <c r="H570" s="141">
        <f>0.001013*Constantes!$D$6/(0.622*G570)</f>
        <v>4.4942802244470274E-2</v>
      </c>
      <c r="I570" s="141">
        <f t="shared" si="57"/>
        <v>0.3228445413311169</v>
      </c>
      <c r="J570" s="141">
        <f t="shared" si="58"/>
        <v>0.36639826991057795</v>
      </c>
      <c r="K570" s="141">
        <f>(Constantes!$D$12/0.8)*(Constantes!$D$7*J570^2+Constantes!$D$8*J570+Constantes!$D$9)</f>
        <v>14.616808000770527</v>
      </c>
      <c r="L570" s="141">
        <f>(Constantes!$D$12/0.8)*(0.00376*D570^2-0.0516*D570-6.967)</f>
        <v>-4.4527146249999996</v>
      </c>
      <c r="M570" s="140">
        <f t="shared" si="53"/>
        <v>2.9982846634632536</v>
      </c>
      <c r="N570" s="12"/>
    </row>
    <row r="571" spans="2:14" ht="18.75" customHeight="1">
      <c r="B571" s="11"/>
      <c r="C571" s="75">
        <v>566</v>
      </c>
      <c r="D571" s="65">
        <f>(Observaciones!D571+Observaciones!E571)/2</f>
        <v>8.1</v>
      </c>
      <c r="E571" s="141">
        <f t="shared" si="54"/>
        <v>1.0805800307855125</v>
      </c>
      <c r="F571" s="141">
        <f t="shared" si="55"/>
        <v>7.3532575031085901E-2</v>
      </c>
      <c r="G571" s="141">
        <f t="shared" si="56"/>
        <v>2.4818758999999999</v>
      </c>
      <c r="H571" s="141">
        <f>0.001013*Constantes!$D$6/(0.622*G571)</f>
        <v>4.4897910614754163E-2</v>
      </c>
      <c r="I571" s="141">
        <f t="shared" si="57"/>
        <v>0.31521490702492766</v>
      </c>
      <c r="J571" s="141">
        <f t="shared" si="58"/>
        <v>0.36321544495546271</v>
      </c>
      <c r="K571" s="141">
        <f>(Constantes!$D$12/0.8)*(Constantes!$D$7*J571^2+Constantes!$D$8*J571+Constantes!$D$9)</f>
        <v>14.657843614276867</v>
      </c>
      <c r="L571" s="141">
        <f>(Constantes!$D$12/0.8)*(0.00376*D571^2-0.0516*D571-6.967)</f>
        <v>-4.4614165000000003</v>
      </c>
      <c r="M571" s="140">
        <f t="shared" si="53"/>
        <v>2.936843576089621</v>
      </c>
      <c r="N571" s="12"/>
    </row>
    <row r="572" spans="2:14" ht="18.75" customHeight="1">
      <c r="B572" s="11"/>
      <c r="C572" s="75">
        <v>567</v>
      </c>
      <c r="D572" s="65">
        <f>(Observaciones!D572+Observaciones!E572)/2</f>
        <v>6.95</v>
      </c>
      <c r="E572" s="141">
        <f t="shared" si="54"/>
        <v>0.99885837988260118</v>
      </c>
      <c r="F572" s="141">
        <f t="shared" si="55"/>
        <v>6.8613050260539377E-2</v>
      </c>
      <c r="G572" s="141">
        <f t="shared" si="56"/>
        <v>2.4845910499999997</v>
      </c>
      <c r="H572" s="141">
        <f>0.001013*Constantes!$D$6/(0.622*G572)</f>
        <v>4.4848846378607275E-2</v>
      </c>
      <c r="I572" s="141">
        <f t="shared" si="57"/>
        <v>0.30667072251816546</v>
      </c>
      <c r="J572" s="141">
        <f t="shared" si="58"/>
        <v>0.35992499142517614</v>
      </c>
      <c r="K572" s="141">
        <f>(Constantes!$D$12/0.8)*(Constantes!$D$7*J572^2+Constantes!$D$8*J572+Constantes!$D$9)</f>
        <v>14.700087045683155</v>
      </c>
      <c r="L572" s="141">
        <f>(Constantes!$D$12/0.8)*(0.00376*D572^2-0.0516*D572-6.967)</f>
        <v>-4.4650016249999993</v>
      </c>
      <c r="M572" s="140">
        <f t="shared" si="53"/>
        <v>2.8683158620732701</v>
      </c>
      <c r="N572" s="12"/>
    </row>
    <row r="573" spans="2:14" ht="18.75" customHeight="1">
      <c r="B573" s="11"/>
      <c r="C573" s="75">
        <v>568</v>
      </c>
      <c r="D573" s="65">
        <f>(Observaciones!D573+Observaciones!E573)/2</f>
        <v>9.6</v>
      </c>
      <c r="E573" s="141">
        <f t="shared" si="54"/>
        <v>1.1959863511942588</v>
      </c>
      <c r="F573" s="141">
        <f t="shared" si="55"/>
        <v>8.0399990537899965E-2</v>
      </c>
      <c r="G573" s="141">
        <f t="shared" si="56"/>
        <v>2.4783344</v>
      </c>
      <c r="H573" s="141">
        <f>0.001013*Constantes!$D$6/(0.622*G573)</f>
        <v>4.4962069006955853E-2</v>
      </c>
      <c r="I573" s="141">
        <f t="shared" si="57"/>
        <v>0.32606224862655375</v>
      </c>
      <c r="J573" s="141">
        <f t="shared" si="58"/>
        <v>0.35652788435211252</v>
      </c>
      <c r="K573" s="141">
        <f>(Constantes!$D$12/0.8)*(Constantes!$D$7*J573^2+Constantes!$D$8*J573+Constantes!$D$9)</f>
        <v>14.743507921725858</v>
      </c>
      <c r="L573" s="141">
        <f>(Constantes!$D$12/0.8)*(0.00376*D573^2-0.0516*D573-6.967)</f>
        <v>-4.4473989999999999</v>
      </c>
      <c r="M573" s="140">
        <f t="shared" si="53"/>
        <v>3.0687343463857748</v>
      </c>
      <c r="N573" s="12"/>
    </row>
    <row r="574" spans="2:14" ht="18.75" customHeight="1">
      <c r="B574" s="11"/>
      <c r="C574" s="75">
        <v>569</v>
      </c>
      <c r="D574" s="65">
        <f>(Observaciones!D574+Observaciones!E574)/2</f>
        <v>9</v>
      </c>
      <c r="E574" s="141">
        <f t="shared" si="54"/>
        <v>1.1485844230421196</v>
      </c>
      <c r="F574" s="141">
        <f t="shared" si="55"/>
        <v>7.759005371461257E-2</v>
      </c>
      <c r="G574" s="141">
        <f t="shared" si="56"/>
        <v>2.4797509999999998</v>
      </c>
      <c r="H574" s="141">
        <f>0.001013*Constantes!$D$6/(0.622*G574)</f>
        <v>4.493638365913051E-2</v>
      </c>
      <c r="I574" s="141">
        <f t="shared" si="57"/>
        <v>0.32176493751214225</v>
      </c>
      <c r="J574" s="141">
        <f t="shared" si="58"/>
        <v>0.35302513037241368</v>
      </c>
      <c r="K574" s="141">
        <f>(Constantes!$D$12/0.8)*(Constantes!$D$7*J574^2+Constantes!$D$8*J574+Constantes!$D$9)</f>
        <v>14.78807511196452</v>
      </c>
      <c r="L574" s="141">
        <f>(Constantes!$D$12/0.8)*(0.00376*D574^2-0.0516*D574-6.967)</f>
        <v>-4.454275</v>
      </c>
      <c r="M574" s="140">
        <f t="shared" si="53"/>
        <v>3.0395575034296645</v>
      </c>
      <c r="N574" s="12"/>
    </row>
    <row r="575" spans="2:14" ht="18.75" customHeight="1">
      <c r="B575" s="11"/>
      <c r="C575" s="75">
        <v>570</v>
      </c>
      <c r="D575" s="65">
        <f>(Observaciones!D575+Observaciones!E575)/2</f>
        <v>9.8500000000000014</v>
      </c>
      <c r="E575" s="141">
        <f t="shared" si="54"/>
        <v>1.2162394815909716</v>
      </c>
      <c r="F575" s="141">
        <f t="shared" si="55"/>
        <v>8.1596178970055125E-2</v>
      </c>
      <c r="G575" s="141">
        <f t="shared" si="56"/>
        <v>2.4777441499999999</v>
      </c>
      <c r="H575" s="141">
        <f>0.001013*Constantes!$D$6/(0.622*G575)</f>
        <v>4.4972779903491057E-2</v>
      </c>
      <c r="I575" s="141">
        <f t="shared" si="57"/>
        <v>0.32783604352575479</v>
      </c>
      <c r="J575" s="141">
        <f t="shared" si="58"/>
        <v>0.34941776742767933</v>
      </c>
      <c r="K575" s="141">
        <f>(Constantes!$D$12/0.8)*(Constantes!$D$7*J575^2+Constantes!$D$8*J575+Constantes!$D$9)</f>
        <v>14.83375675965274</v>
      </c>
      <c r="L575" s="141">
        <f>(Constantes!$D$12/0.8)*(0.00376*D575^2-0.0516*D575-6.967)</f>
        <v>-4.4440346249999996</v>
      </c>
      <c r="M575" s="140">
        <f t="shared" si="53"/>
        <v>3.1143429903540354</v>
      </c>
      <c r="N575" s="12"/>
    </row>
    <row r="576" spans="2:14" ht="18.75" customHeight="1">
      <c r="B576" s="11"/>
      <c r="C576" s="75">
        <v>571</v>
      </c>
      <c r="D576" s="65">
        <f>(Observaciones!D576+Observaciones!E576)/2</f>
        <v>9.85</v>
      </c>
      <c r="E576" s="141">
        <f t="shared" si="54"/>
        <v>1.2162394815909714</v>
      </c>
      <c r="F576" s="141">
        <f t="shared" si="55"/>
        <v>8.1596178970055111E-2</v>
      </c>
      <c r="G576" s="141">
        <f t="shared" si="56"/>
        <v>2.4777441499999999</v>
      </c>
      <c r="H576" s="141">
        <f>0.001013*Constantes!$D$6/(0.622*G576)</f>
        <v>4.4972779903491057E-2</v>
      </c>
      <c r="I576" s="141">
        <f t="shared" si="57"/>
        <v>0.32783604352575479</v>
      </c>
      <c r="J576" s="141">
        <f t="shared" si="58"/>
        <v>0.34570686445740301</v>
      </c>
      <c r="K576" s="141">
        <f>(Constantes!$D$12/0.8)*(Constantes!$D$7*J576^2+Constantes!$D$8*J576+Constantes!$D$9)</f>
        <v>14.880520313282606</v>
      </c>
      <c r="L576" s="141">
        <f>(Constantes!$D$12/0.8)*(0.00376*D576^2-0.0516*D576-6.967)</f>
        <v>-4.4440346249999996</v>
      </c>
      <c r="M576" s="140">
        <f t="shared" si="53"/>
        <v>3.1287539220530616</v>
      </c>
      <c r="N576" s="12"/>
    </row>
    <row r="577" spans="2:14" ht="18.75" customHeight="1">
      <c r="B577" s="11"/>
      <c r="C577" s="75">
        <v>572</v>
      </c>
      <c r="D577" s="65">
        <f>(Observaciones!D577+Observaciones!E577)/2</f>
        <v>8.65</v>
      </c>
      <c r="E577" s="141">
        <f t="shared" si="54"/>
        <v>1.1217035387262231</v>
      </c>
      <c r="F577" s="141">
        <f t="shared" si="55"/>
        <v>7.5989990506503152E-2</v>
      </c>
      <c r="G577" s="141">
        <f t="shared" si="56"/>
        <v>2.4805773499999999</v>
      </c>
      <c r="H577" s="141">
        <f>0.001013*Constantes!$D$6/(0.622*G577)</f>
        <v>4.4921414087374677E-2</v>
      </c>
      <c r="I577" s="141">
        <f t="shared" si="57"/>
        <v>0.3192323502116553</v>
      </c>
      <c r="J577" s="141">
        <f t="shared" si="58"/>
        <v>0.34189352108222237</v>
      </c>
      <c r="K577" s="141">
        <f>(Constantes!$D$12/0.8)*(Constantes!$D$7*J577^2+Constantes!$D$8*J577+Constantes!$D$9)</f>
        <v>14.928332558766986</v>
      </c>
      <c r="L577" s="141">
        <f>(Constantes!$D$12/0.8)*(0.00376*D577^2-0.0516*D577-6.967)</f>
        <v>-4.4575046250000003</v>
      </c>
      <c r="M577" s="140">
        <f t="shared" si="53"/>
        <v>3.0566906087097037</v>
      </c>
      <c r="N577" s="12"/>
    </row>
    <row r="578" spans="2:14" ht="18.75" customHeight="1">
      <c r="B578" s="11"/>
      <c r="C578" s="75">
        <v>573</v>
      </c>
      <c r="D578" s="65">
        <f>(Observaciones!D578+Observaciones!E578)/2</f>
        <v>8.5500000000000007</v>
      </c>
      <c r="E578" s="141">
        <f t="shared" si="54"/>
        <v>1.1141256884066946</v>
      </c>
      <c r="F578" s="141">
        <f t="shared" si="55"/>
        <v>7.553804083049119E-2</v>
      </c>
      <c r="G578" s="141">
        <f t="shared" si="56"/>
        <v>2.4808134499999999</v>
      </c>
      <c r="H578" s="141">
        <f>0.001013*Constantes!$D$6/(0.622*G578)</f>
        <v>4.4917138898578825E-2</v>
      </c>
      <c r="I578" s="141">
        <f t="shared" si="57"/>
        <v>0.31850530773396696</v>
      </c>
      <c r="J578" s="141">
        <f t="shared" si="58"/>
        <v>0.33797886727807902</v>
      </c>
      <c r="K578" s="141">
        <f>(Constantes!$D$12/0.8)*(Constantes!$D$7*J578^2+Constantes!$D$8*J578+Constantes!$D$9)</f>
        <v>14.977159652223516</v>
      </c>
      <c r="L578" s="141">
        <f>(Constantes!$D$12/0.8)*(0.00376*D578^2-0.0516*D578-6.967)</f>
        <v>-4.458321625</v>
      </c>
      <c r="M578" s="140">
        <f t="shared" si="53"/>
        <v>3.0640874522238475</v>
      </c>
      <c r="N578" s="12"/>
    </row>
    <row r="579" spans="2:14" ht="18.75" customHeight="1">
      <c r="B579" s="11"/>
      <c r="C579" s="75">
        <v>574</v>
      </c>
      <c r="D579" s="65">
        <f>(Observaciones!D579+Observaciones!E579)/2</f>
        <v>9.1</v>
      </c>
      <c r="E579" s="141">
        <f t="shared" si="54"/>
        <v>1.1563680372555176</v>
      </c>
      <c r="F579" s="141">
        <f t="shared" si="55"/>
        <v>7.8052465514333522E-2</v>
      </c>
      <c r="G579" s="141">
        <f t="shared" si="56"/>
        <v>2.4795148999999999</v>
      </c>
      <c r="H579" s="141">
        <f>0.001013*Constantes!$D$6/(0.622*G579)</f>
        <v>4.494066251229728E-2</v>
      </c>
      <c r="I579" s="141">
        <f t="shared" si="57"/>
        <v>0.32248506174818503</v>
      </c>
      <c r="J579" s="141">
        <f t="shared" si="58"/>
        <v>0.33396406304137982</v>
      </c>
      <c r="K579" s="141">
        <f>(Constantes!$D$12/0.8)*(Constantes!$D$7*J579^2+Constantes!$D$8*J579+Constantes!$D$9)</f>
        <v>15.026967153323373</v>
      </c>
      <c r="L579" s="141">
        <f>(Constantes!$D$12/0.8)*(0.00376*D579^2-0.0516*D579-6.967)</f>
        <v>-4.4532464999999997</v>
      </c>
      <c r="M579" s="140">
        <f t="shared" si="53"/>
        <v>3.1191086119754008</v>
      </c>
      <c r="N579" s="12"/>
    </row>
    <row r="580" spans="2:14" ht="18.75" customHeight="1">
      <c r="B580" s="11"/>
      <c r="C580" s="75">
        <v>575</v>
      </c>
      <c r="D580" s="65">
        <f>(Observaciones!D580+Observaciones!E580)/2</f>
        <v>9.35</v>
      </c>
      <c r="E580" s="141">
        <f t="shared" si="54"/>
        <v>1.1760304470729337</v>
      </c>
      <c r="F580" s="141">
        <f t="shared" si="55"/>
        <v>7.921880376620824E-2</v>
      </c>
      <c r="G580" s="141">
        <f t="shared" si="56"/>
        <v>2.4789246499999997</v>
      </c>
      <c r="H580" s="141">
        <f>0.001013*Constantes!$D$6/(0.622*G580)</f>
        <v>4.4951363211105488E-2</v>
      </c>
      <c r="I580" s="141">
        <f t="shared" si="57"/>
        <v>0.32427855867946659</v>
      </c>
      <c r="J580" s="141">
        <f t="shared" si="58"/>
        <v>0.32985029804526628</v>
      </c>
      <c r="K580" s="141">
        <f>(Constantes!$D$12/0.8)*(Constantes!$D$7*J580^2+Constantes!$D$8*J580+Constantes!$D$9)</f>
        <v>15.077720059167197</v>
      </c>
      <c r="L580" s="141">
        <f>(Constantes!$D$12/0.8)*(0.00376*D580^2-0.0516*D580-6.967)</f>
        <v>-4.4504696250000002</v>
      </c>
      <c r="M580" s="140">
        <f t="shared" si="53"/>
        <v>3.1528265737799206</v>
      </c>
      <c r="N580" s="12"/>
    </row>
    <row r="581" spans="2:14" ht="18.75" customHeight="1">
      <c r="B581" s="11"/>
      <c r="C581" s="75">
        <v>576</v>
      </c>
      <c r="D581" s="65">
        <f>(Observaciones!D581+Observaciones!E581)/2</f>
        <v>11.75</v>
      </c>
      <c r="E581" s="141">
        <f t="shared" si="54"/>
        <v>1.3802776599471762</v>
      </c>
      <c r="F581" s="141">
        <f t="shared" si="55"/>
        <v>9.1193801661548224E-2</v>
      </c>
      <c r="G581" s="141">
        <f t="shared" si="56"/>
        <v>2.4732582499999998</v>
      </c>
      <c r="H581" s="141">
        <f>0.001013*Constantes!$D$6/(0.622*G581)</f>
        <v>4.5054349789437696E-2</v>
      </c>
      <c r="I581" s="141">
        <f t="shared" si="57"/>
        <v>0.34098539738615508</v>
      </c>
      <c r="J581" s="141">
        <f t="shared" si="58"/>
        <v>0.32563879128708978</v>
      </c>
      <c r="K581" s="141">
        <f>(Constantes!$D$12/0.8)*(Constantes!$D$7*J581^2+Constantes!$D$8*J581+Constantes!$D$9)</f>
        <v>15.129382838650223</v>
      </c>
      <c r="L581" s="141">
        <f>(Constantes!$D$12/0.8)*(0.00376*D581^2-0.0516*D581-6.967)</f>
        <v>-4.4088656249999998</v>
      </c>
      <c r="M581" s="140">
        <f t="shared" si="53"/>
        <v>3.3460059051149718</v>
      </c>
      <c r="N581" s="12"/>
    </row>
    <row r="582" spans="2:14" ht="18.75" customHeight="1">
      <c r="B582" s="11"/>
      <c r="C582" s="75">
        <v>577</v>
      </c>
      <c r="D582" s="65">
        <f>(Observaciones!D582+Observaciones!E582)/2</f>
        <v>9.9</v>
      </c>
      <c r="E582" s="141">
        <f t="shared" si="54"/>
        <v>1.2203261059395465</v>
      </c>
      <c r="F582" s="141">
        <f t="shared" si="55"/>
        <v>8.1837230413319473E-2</v>
      </c>
      <c r="G582" s="141">
        <f t="shared" si="56"/>
        <v>2.4776260999999997</v>
      </c>
      <c r="H582" s="141">
        <f>0.001013*Constantes!$D$6/(0.622*G582)</f>
        <v>4.4974922695201085E-2</v>
      </c>
      <c r="I582" s="141">
        <f t="shared" si="57"/>
        <v>0.3281896076316444</v>
      </c>
      <c r="J582" s="141">
        <f t="shared" si="58"/>
        <v>0.32133079072719434</v>
      </c>
      <c r="K582" s="141">
        <f>(Constantes!$D$12/0.8)*(Constantes!$D$7*J582^2+Constantes!$D$8*J582+Constantes!$D$9)</f>
        <v>15.181919467277915</v>
      </c>
      <c r="L582" s="141">
        <f>(Constantes!$D$12/0.8)*(0.00376*D582^2-0.0516*D582-6.967)</f>
        <v>-4.4433264999999995</v>
      </c>
      <c r="M582" s="140">
        <f t="shared" si="53"/>
        <v>3.2253417208632049</v>
      </c>
      <c r="N582" s="12"/>
    </row>
    <row r="583" spans="2:14" ht="18.75" customHeight="1">
      <c r="B583" s="11"/>
      <c r="C583" s="75">
        <v>578</v>
      </c>
      <c r="D583" s="65">
        <f>(Observaciones!D583+Observaciones!E583)/2</f>
        <v>11.95</v>
      </c>
      <c r="E583" s="141">
        <f t="shared" si="54"/>
        <v>1.3986262031935408</v>
      </c>
      <c r="F583" s="141">
        <f t="shared" si="55"/>
        <v>9.2257839608086131E-2</v>
      </c>
      <c r="G583" s="141">
        <f t="shared" si="56"/>
        <v>2.4727860499999998</v>
      </c>
      <c r="H583" s="141">
        <f>0.001013*Constantes!$D$6/(0.622*G583)</f>
        <v>4.5062953309329995E-2</v>
      </c>
      <c r="I583" s="141">
        <f t="shared" si="57"/>
        <v>0.34233474612907638</v>
      </c>
      <c r="J583" s="141">
        <f t="shared" si="58"/>
        <v>0.31692757291911988</v>
      </c>
      <c r="K583" s="141">
        <f>(Constantes!$D$12/0.8)*(Constantes!$D$7*J583^2+Constantes!$D$8*J583+Constantes!$D$9)</f>
        <v>15.235293462393011</v>
      </c>
      <c r="L583" s="141">
        <f>(Constantes!$D$12/0.8)*(0.00376*D583^2-0.0516*D583-6.967)</f>
        <v>-4.4041766249999998</v>
      </c>
      <c r="M583" s="140">
        <f t="shared" ref="M583:M646" si="59">IF(D583&gt;0,I583*(0.94*K583+L583),0)</f>
        <v>3.3949334136442841</v>
      </c>
      <c r="N583" s="12"/>
    </row>
    <row r="584" spans="2:14" ht="18.75" customHeight="1">
      <c r="B584" s="11"/>
      <c r="C584" s="75">
        <v>579</v>
      </c>
      <c r="D584" s="65">
        <f>(Observaciones!D584+Observaciones!E584)/2</f>
        <v>11.4</v>
      </c>
      <c r="E584" s="141">
        <f t="shared" si="54"/>
        <v>1.3486760963347784</v>
      </c>
      <c r="F584" s="141">
        <f t="shared" si="55"/>
        <v>8.9356889727344888E-2</v>
      </c>
      <c r="G584" s="141">
        <f t="shared" si="56"/>
        <v>2.4740845999999999</v>
      </c>
      <c r="H584" s="141">
        <f>0.001013*Constantes!$D$6/(0.622*G584)</f>
        <v>4.5039301532014117E-2</v>
      </c>
      <c r="I584" s="141">
        <f t="shared" si="57"/>
        <v>0.33860789639405336</v>
      </c>
      <c r="J584" s="141">
        <f t="shared" si="58"/>
        <v>0.31243044263133191</v>
      </c>
      <c r="K584" s="141">
        <f>(Constantes!$D$12/0.8)*(Constantes!$D$7*J584^2+Constantes!$D$8*J584+Constantes!$D$9)</f>
        <v>15.289467918774452</v>
      </c>
      <c r="L584" s="141">
        <f>(Constantes!$D$12/0.8)*(0.00376*D584^2-0.0516*D584-6.967)</f>
        <v>-4.4166189999999999</v>
      </c>
      <c r="M584" s="140">
        <f t="shared" si="59"/>
        <v>3.3710044260589394</v>
      </c>
      <c r="N584" s="12"/>
    </row>
    <row r="585" spans="2:14" ht="18.75" customHeight="1">
      <c r="B585" s="11"/>
      <c r="C585" s="75">
        <v>580</v>
      </c>
      <c r="D585" s="65">
        <f>(Observaciones!D585+Observaciones!E585)/2</f>
        <v>11.4</v>
      </c>
      <c r="E585" s="141">
        <f t="shared" si="54"/>
        <v>1.3486760963347784</v>
      </c>
      <c r="F585" s="141">
        <f t="shared" si="55"/>
        <v>8.9356889727344888E-2</v>
      </c>
      <c r="G585" s="141">
        <f t="shared" si="56"/>
        <v>2.4740845999999999</v>
      </c>
      <c r="H585" s="141">
        <f>0.001013*Constantes!$D$6/(0.622*G585)</f>
        <v>4.5039301532014117E-2</v>
      </c>
      <c r="I585" s="141">
        <f t="shared" si="57"/>
        <v>0.33860789639405336</v>
      </c>
      <c r="J585" s="141">
        <f t="shared" si="58"/>
        <v>0.30784073246059152</v>
      </c>
      <c r="K585" s="141">
        <f>(Constantes!$D$12/0.8)*(Constantes!$D$7*J585^2+Constantes!$D$8*J585+Constantes!$D$9)</f>
        <v>15.344405544568257</v>
      </c>
      <c r="L585" s="141">
        <f>(Constantes!$D$12/0.8)*(0.00376*D585^2-0.0516*D585-6.967)</f>
        <v>-4.4166189999999999</v>
      </c>
      <c r="M585" s="140">
        <f t="shared" si="59"/>
        <v>3.3884906011276876</v>
      </c>
      <c r="N585" s="12"/>
    </row>
    <row r="586" spans="2:14" ht="18.75" customHeight="1">
      <c r="B586" s="11"/>
      <c r="C586" s="75">
        <v>581</v>
      </c>
      <c r="D586" s="65">
        <f>(Observaciones!D586+Observaciones!E586)/2</f>
        <v>11.4</v>
      </c>
      <c r="E586" s="141">
        <f t="shared" si="54"/>
        <v>1.3486760963347784</v>
      </c>
      <c r="F586" s="141">
        <f t="shared" si="55"/>
        <v>8.9356889727344888E-2</v>
      </c>
      <c r="G586" s="141">
        <f t="shared" si="56"/>
        <v>2.4740845999999999</v>
      </c>
      <c r="H586" s="141">
        <f>0.001013*Constantes!$D$6/(0.622*G586)</f>
        <v>4.5039301532014117E-2</v>
      </c>
      <c r="I586" s="141">
        <f t="shared" si="57"/>
        <v>0.33860789639405336</v>
      </c>
      <c r="J586" s="141">
        <f t="shared" si="58"/>
        <v>0.30315980243707591</v>
      </c>
      <c r="K586" s="141">
        <f>(Constantes!$D$12/0.8)*(Constantes!$D$7*J586^2+Constantes!$D$8*J586+Constantes!$D$9)</f>
        <v>15.400068697510116</v>
      </c>
      <c r="L586" s="141">
        <f>(Constantes!$D$12/0.8)*(0.00376*D586^2-0.0516*D586-6.967)</f>
        <v>-4.4166189999999999</v>
      </c>
      <c r="M586" s="140">
        <f t="shared" si="59"/>
        <v>3.4062077052645336</v>
      </c>
      <c r="N586" s="12"/>
    </row>
    <row r="587" spans="2:14" ht="18.75" customHeight="1">
      <c r="B587" s="11"/>
      <c r="C587" s="75">
        <v>582</v>
      </c>
      <c r="D587" s="65">
        <f>(Observaciones!D587+Observaciones!E587)/2</f>
        <v>12.8</v>
      </c>
      <c r="E587" s="141">
        <f t="shared" si="54"/>
        <v>1.4790196183138538</v>
      </c>
      <c r="F587" s="141">
        <f t="shared" si="55"/>
        <v>9.6898823770774328E-2</v>
      </c>
      <c r="G587" s="141">
        <f t="shared" si="56"/>
        <v>2.4707792</v>
      </c>
      <c r="H587" s="141">
        <f>0.001013*Constantes!$D$6/(0.622*G587)</f>
        <v>4.5099554956231032E-2</v>
      </c>
      <c r="I587" s="141">
        <f t="shared" si="57"/>
        <v>0.34799397749689576</v>
      </c>
      <c r="J587" s="141">
        <f t="shared" si="58"/>
        <v>0.29838903962137381</v>
      </c>
      <c r="K587" s="141">
        <f>(Constantes!$D$12/0.8)*(Constantes!$D$7*J587^2+Constantes!$D$8*J587+Constantes!$D$9)</f>
        <v>15.456419421399056</v>
      </c>
      <c r="L587" s="141">
        <f>(Constantes!$D$12/0.8)*(0.00376*D587^2-0.0516*D587-6.967)</f>
        <v>-4.3821509999999995</v>
      </c>
      <c r="M587" s="140">
        <f t="shared" si="59"/>
        <v>3.5310542634921513</v>
      </c>
      <c r="N587" s="12"/>
    </row>
    <row r="588" spans="2:14" ht="18.75" customHeight="1">
      <c r="B588" s="11"/>
      <c r="C588" s="75">
        <v>583</v>
      </c>
      <c r="D588" s="65">
        <f>(Observaciones!D588+Observaciones!E588)/2</f>
        <v>6.3999999999999995</v>
      </c>
      <c r="E588" s="141">
        <f t="shared" si="54"/>
        <v>0.96173610737939708</v>
      </c>
      <c r="F588" s="141">
        <f t="shared" si="55"/>
        <v>6.6361595220328126E-2</v>
      </c>
      <c r="G588" s="141">
        <f t="shared" si="56"/>
        <v>2.4858895999999997</v>
      </c>
      <c r="H588" s="141">
        <f>0.001013*Constantes!$D$6/(0.622*G588)</f>
        <v>4.4825418761602502E-2</v>
      </c>
      <c r="I588" s="141">
        <f t="shared" si="57"/>
        <v>0.30251816528286729</v>
      </c>
      <c r="J588" s="141">
        <f t="shared" si="58"/>
        <v>0.29352985769346851</v>
      </c>
      <c r="K588" s="141">
        <f>(Constantes!$D$12/0.8)*(Constantes!$D$7*J588^2+Constantes!$D$8*J588+Constantes!$D$9)</f>
        <v>15.513419482781428</v>
      </c>
      <c r="L588" s="141">
        <f>(Constantes!$D$12/0.8)*(0.00376*D588^2-0.0516*D588-6.967)</f>
        <v>-4.4645189999999992</v>
      </c>
      <c r="M588" s="140">
        <f t="shared" si="59"/>
        <v>3.0609076304923528</v>
      </c>
      <c r="N588" s="12"/>
    </row>
    <row r="589" spans="2:14" ht="18.75" customHeight="1">
      <c r="B589" s="11"/>
      <c r="C589" s="75">
        <v>584</v>
      </c>
      <c r="D589" s="65">
        <f>(Observaciones!D589+Observaciones!E589)/2</f>
        <v>11.35</v>
      </c>
      <c r="E589" s="141">
        <f t="shared" si="54"/>
        <v>1.3442138857215939</v>
      </c>
      <c r="F589" s="141">
        <f t="shared" si="55"/>
        <v>8.9097066304630032E-2</v>
      </c>
      <c r="G589" s="141">
        <f t="shared" si="56"/>
        <v>2.4742026500000001</v>
      </c>
      <c r="H589" s="141">
        <f>0.001013*Constantes!$D$6/(0.622*G589)</f>
        <v>4.5037152601510852E-2</v>
      </c>
      <c r="I589" s="141">
        <f t="shared" si="57"/>
        <v>0.33826658351104416</v>
      </c>
      <c r="J589" s="141">
        <f t="shared" si="58"/>
        <v>0.28858369653383548</v>
      </c>
      <c r="K589" s="141">
        <f>(Constantes!$D$12/0.8)*(Constantes!$D$7*J589^2+Constantes!$D$8*J589+Constantes!$D$9)</f>
        <v>15.571030407804153</v>
      </c>
      <c r="L589" s="141">
        <f>(Constantes!$D$12/0.8)*(0.00376*D589^2-0.0516*D589-6.967)</f>
        <v>-4.4176796249999999</v>
      </c>
      <c r="M589" s="140">
        <f t="shared" si="59"/>
        <v>3.4567763085317216</v>
      </c>
      <c r="N589" s="12"/>
    </row>
    <row r="590" spans="2:14" ht="18.75" customHeight="1">
      <c r="B590" s="11"/>
      <c r="C590" s="75">
        <v>585</v>
      </c>
      <c r="D590" s="65">
        <f>(Observaciones!D590+Observaciones!E590)/2</f>
        <v>10.15</v>
      </c>
      <c r="E590" s="141">
        <f t="shared" si="54"/>
        <v>1.2409408882084079</v>
      </c>
      <c r="F590" s="141">
        <f t="shared" si="55"/>
        <v>8.3051624609049163E-2</v>
      </c>
      <c r="G590" s="141">
        <f t="shared" si="56"/>
        <v>2.47703585</v>
      </c>
      <c r="H590" s="141">
        <f>0.001013*Constantes!$D$6/(0.622*G590)</f>
        <v>4.4985639717371281E-2</v>
      </c>
      <c r="I590" s="141">
        <f t="shared" si="57"/>
        <v>0.32995141784668947</v>
      </c>
      <c r="J590" s="141">
        <f t="shared" si="58"/>
        <v>0.28355202179677369</v>
      </c>
      <c r="K590" s="141">
        <f>(Constantes!$D$12/0.8)*(Constantes!$D$7*J590^2+Constantes!$D$8*J590+Constantes!$D$9)</f>
        <v>15.62921351919611</v>
      </c>
      <c r="L590" s="141">
        <f>(Constantes!$D$12/0.8)*(0.00376*D590^2-0.0516*D590-6.967)</f>
        <v>-4.4396096250000001</v>
      </c>
      <c r="M590" s="140">
        <f t="shared" si="59"/>
        <v>3.3826128004036002</v>
      </c>
      <c r="N590" s="12"/>
    </row>
    <row r="591" spans="2:14" ht="18.75" customHeight="1">
      <c r="B591" s="11"/>
      <c r="C591" s="75">
        <v>586</v>
      </c>
      <c r="D591" s="65">
        <f>(Observaciones!D591+Observaciones!E591)/2</f>
        <v>12.2</v>
      </c>
      <c r="E591" s="141">
        <f t="shared" si="54"/>
        <v>1.421862932192234</v>
      </c>
      <c r="F591" s="141">
        <f t="shared" si="55"/>
        <v>9.3602745308232094E-2</v>
      </c>
      <c r="G591" s="141">
        <f t="shared" si="56"/>
        <v>2.4721957999999997</v>
      </c>
      <c r="H591" s="141">
        <f>0.001013*Constantes!$D$6/(0.622*G591)</f>
        <v>4.5073712331002484E-2</v>
      </c>
      <c r="I591" s="141">
        <f t="shared" si="57"/>
        <v>0.34401194911201238</v>
      </c>
      <c r="J591" s="141">
        <f t="shared" si="58"/>
        <v>0.27843632447609967</v>
      </c>
      <c r="K591" s="141">
        <f>(Constantes!$D$12/0.8)*(Constantes!$D$7*J591^2+Constantes!$D$8*J591+Constantes!$D$9)</f>
        <v>15.687929973336344</v>
      </c>
      <c r="L591" s="141">
        <f>(Constantes!$D$12/0.8)*(0.00376*D591^2-0.0516*D591-6.967)</f>
        <v>-4.3980509999999997</v>
      </c>
      <c r="M591" s="140">
        <f t="shared" si="59"/>
        <v>3.5600431487965487</v>
      </c>
      <c r="N591" s="12"/>
    </row>
    <row r="592" spans="2:14" ht="18.75" customHeight="1">
      <c r="B592" s="11"/>
      <c r="C592" s="75">
        <v>587</v>
      </c>
      <c r="D592" s="65">
        <f>(Observaciones!D592+Observaciones!E592)/2</f>
        <v>12.5</v>
      </c>
      <c r="E592" s="141">
        <f t="shared" si="54"/>
        <v>1.4501940250881777</v>
      </c>
      <c r="F592" s="141">
        <f t="shared" si="55"/>
        <v>9.5238642712590429E-2</v>
      </c>
      <c r="G592" s="141">
        <f t="shared" si="56"/>
        <v>2.4714874999999998</v>
      </c>
      <c r="H592" s="141">
        <f>0.001013*Constantes!$D$6/(0.622*G592)</f>
        <v>4.5086629940516605E-2</v>
      </c>
      <c r="I592" s="141">
        <f t="shared" si="57"/>
        <v>0.34601062071581223</v>
      </c>
      <c r="J592" s="141">
        <f t="shared" si="58"/>
        <v>0.27323812046333534</v>
      </c>
      <c r="K592" s="141">
        <f>(Constantes!$D$12/0.8)*(Constantes!$D$7*J592^2+Constantes!$D$8*J592+Constantes!$D$9)</f>
        <v>15.747140797367747</v>
      </c>
      <c r="L592" s="141">
        <f>(Constantes!$D$12/0.8)*(0.00376*D592^2-0.0516*D592-6.967)</f>
        <v>-4.3903125000000003</v>
      </c>
      <c r="M592" s="140">
        <f t="shared" si="59"/>
        <v>3.6026625308273248</v>
      </c>
      <c r="N592" s="12"/>
    </row>
    <row r="593" spans="2:14" ht="18.75" customHeight="1">
      <c r="B593" s="11"/>
      <c r="C593" s="75">
        <v>588</v>
      </c>
      <c r="D593" s="65">
        <f>(Observaciones!D593+Observaciones!E593)/2</f>
        <v>10.85</v>
      </c>
      <c r="E593" s="141">
        <f t="shared" si="54"/>
        <v>1.3003002567289974</v>
      </c>
      <c r="F593" s="141">
        <f t="shared" si="55"/>
        <v>8.6534052607070783E-2</v>
      </c>
      <c r="G593" s="141">
        <f t="shared" si="56"/>
        <v>2.4753831499999999</v>
      </c>
      <c r="H593" s="141">
        <f>0.001013*Constantes!$D$6/(0.622*G593)</f>
        <v>4.5015674569455051E-2</v>
      </c>
      <c r="I593" s="141">
        <f t="shared" si="57"/>
        <v>0.33483065028999898</v>
      </c>
      <c r="J593" s="141">
        <f t="shared" si="58"/>
        <v>0.26795895009851561</v>
      </c>
      <c r="K593" s="141">
        <f>(Constantes!$D$12/0.8)*(Constantes!$D$7*J593^2+Constantes!$D$8*J593+Constantes!$D$9)</f>
        <v>15.806806926314943</v>
      </c>
      <c r="L593" s="141">
        <f>(Constantes!$D$12/0.8)*(0.00376*D593^2-0.0516*D593-6.967)</f>
        <v>-4.4276396250000003</v>
      </c>
      <c r="M593" s="140">
        <f t="shared" si="59"/>
        <v>3.4925377807291844</v>
      </c>
      <c r="N593" s="12"/>
    </row>
    <row r="594" spans="2:14" ht="18.75" customHeight="1">
      <c r="B594" s="11"/>
      <c r="C594" s="75">
        <v>589</v>
      </c>
      <c r="D594" s="65">
        <f>(Observaciones!D594+Observaciones!E594)/2</f>
        <v>10.450000000000001</v>
      </c>
      <c r="E594" s="141">
        <f t="shared" si="54"/>
        <v>1.2660823210259287</v>
      </c>
      <c r="F594" s="141">
        <f t="shared" si="55"/>
        <v>8.4529163709539321E-2</v>
      </c>
      <c r="G594" s="141">
        <f t="shared" si="56"/>
        <v>2.4763275499999997</v>
      </c>
      <c r="H594" s="141">
        <f>0.001013*Constantes!$D$6/(0.622*G594)</f>
        <v>4.4998506887795414E-2</v>
      </c>
      <c r="I594" s="141">
        <f t="shared" si="57"/>
        <v>0.33205228467683068</v>
      </c>
      <c r="J594" s="141">
        <f t="shared" si="58"/>
        <v>0.2626003777137545</v>
      </c>
      <c r="K594" s="141">
        <f>(Constantes!$D$12/0.8)*(Constantes!$D$7*J594^2+Constantes!$D$8*J594+Constantes!$D$9)</f>
        <v>15.866889240164962</v>
      </c>
      <c r="L594" s="141">
        <f>(Constantes!$D$12/0.8)*(0.00376*D594^2-0.0516*D594-6.967)</f>
        <v>-4.4347616250000002</v>
      </c>
      <c r="M594" s="140">
        <f t="shared" si="59"/>
        <v>3.4799458839579533</v>
      </c>
      <c r="N594" s="12"/>
    </row>
    <row r="595" spans="2:14" ht="18.75" customHeight="1">
      <c r="B595" s="11"/>
      <c r="C595" s="75">
        <v>590</v>
      </c>
      <c r="D595" s="65">
        <f>(Observaciones!D595+Observaciones!E595)/2</f>
        <v>10.15</v>
      </c>
      <c r="E595" s="141">
        <f t="shared" si="54"/>
        <v>1.2409408882084079</v>
      </c>
      <c r="F595" s="141">
        <f t="shared" si="55"/>
        <v>8.3051624609049163E-2</v>
      </c>
      <c r="G595" s="141">
        <f t="shared" si="56"/>
        <v>2.47703585</v>
      </c>
      <c r="H595" s="141">
        <f>0.001013*Constantes!$D$6/(0.622*G595)</f>
        <v>4.4985639717371281E-2</v>
      </c>
      <c r="I595" s="141">
        <f t="shared" si="57"/>
        <v>0.32995141784668947</v>
      </c>
      <c r="J595" s="141">
        <f t="shared" si="58"/>
        <v>0.25716399116969646</v>
      </c>
      <c r="K595" s="141">
        <f>(Constantes!$D$12/0.8)*(Constantes!$D$7*J595^2+Constantes!$D$8*J595+Constantes!$D$9)</f>
        <v>15.927348600869632</v>
      </c>
      <c r="L595" s="141">
        <f>(Constantes!$D$12/0.8)*(0.00376*D595^2-0.0516*D595-6.967)</f>
        <v>-4.4396096250000001</v>
      </c>
      <c r="M595" s="140">
        <f t="shared" si="59"/>
        <v>3.4750806877371359</v>
      </c>
      <c r="N595" s="12"/>
    </row>
    <row r="596" spans="2:14" ht="18.75" customHeight="1">
      <c r="B596" s="11"/>
      <c r="C596" s="75">
        <v>591</v>
      </c>
      <c r="D596" s="65">
        <f>(Observaciones!D596+Observaciones!E596)/2</f>
        <v>10</v>
      </c>
      <c r="E596" s="141">
        <f t="shared" si="54"/>
        <v>1.2285355953233976</v>
      </c>
      <c r="F596" s="141">
        <f t="shared" si="55"/>
        <v>8.2321156964857062E-2</v>
      </c>
      <c r="G596" s="141">
        <f t="shared" si="56"/>
        <v>2.4773899999999998</v>
      </c>
      <c r="H596" s="141">
        <f>0.001013*Constantes!$D$6/(0.622*G596)</f>
        <v>4.4979208891257547E-2</v>
      </c>
      <c r="I596" s="141">
        <f t="shared" si="57"/>
        <v>0.32889553570326324</v>
      </c>
      <c r="J596" s="141">
        <f t="shared" si="58"/>
        <v>0.25165140138500136</v>
      </c>
      <c r="K596" s="141">
        <f>(Constantes!$D$12/0.8)*(Constantes!$D$7*J596^2+Constantes!$D$8*J596+Constantes!$D$9)</f>
        <v>15.988145889228445</v>
      </c>
      <c r="L596" s="141">
        <f>(Constantes!$D$12/0.8)*(0.00376*D596^2-0.0516*D596-6.967)</f>
        <v>-4.4418749999999996</v>
      </c>
      <c r="M596" s="140">
        <f t="shared" si="59"/>
        <v>3.4820111610594</v>
      </c>
      <c r="N596" s="12"/>
    </row>
    <row r="597" spans="2:14" ht="18.75" customHeight="1">
      <c r="B597" s="11"/>
      <c r="C597" s="75">
        <v>592</v>
      </c>
      <c r="D597" s="65">
        <f>(Observaciones!D597+Observaciones!E597)/2</f>
        <v>10.4</v>
      </c>
      <c r="E597" s="141">
        <f t="shared" si="54"/>
        <v>1.2618612427946017</v>
      </c>
      <c r="F597" s="141">
        <f t="shared" si="55"/>
        <v>8.4281361443687683E-2</v>
      </c>
      <c r="G597" s="141">
        <f t="shared" si="56"/>
        <v>2.4764455999999999</v>
      </c>
      <c r="H597" s="141">
        <f>0.001013*Constantes!$D$6/(0.622*G597)</f>
        <v>4.4996361848252404E-2</v>
      </c>
      <c r="I597" s="141">
        <f t="shared" si="57"/>
        <v>0.33170315327202898</v>
      </c>
      <c r="J597" s="141">
        <f t="shared" si="58"/>
        <v>0.24606424185899323</v>
      </c>
      <c r="K597" s="141">
        <f>(Constantes!$D$12/0.8)*(Constantes!$D$7*J597^2+Constantes!$D$8*J597+Constantes!$D$9)</f>
        <v>16.049242041611144</v>
      </c>
      <c r="L597" s="141">
        <f>(Constantes!$D$12/0.8)*(0.00376*D597^2-0.0516*D597-6.967)</f>
        <v>-4.4355989999999998</v>
      </c>
      <c r="M597" s="140">
        <f t="shared" si="59"/>
        <v>3.5328669663084682</v>
      </c>
      <c r="N597" s="12"/>
    </row>
    <row r="598" spans="2:14" ht="18.75" customHeight="1">
      <c r="B598" s="11"/>
      <c r="C598" s="75">
        <v>593</v>
      </c>
      <c r="D598" s="65">
        <f>(Observaciones!D598+Observaciones!E598)/2</f>
        <v>10.4</v>
      </c>
      <c r="E598" s="141">
        <f t="shared" si="54"/>
        <v>1.2618612427946017</v>
      </c>
      <c r="F598" s="141">
        <f t="shared" si="55"/>
        <v>8.4281361443687683E-2</v>
      </c>
      <c r="G598" s="141">
        <f t="shared" si="56"/>
        <v>2.4764455999999999</v>
      </c>
      <c r="H598" s="141">
        <f>0.001013*Constantes!$D$6/(0.622*G598)</f>
        <v>4.4996361848252404E-2</v>
      </c>
      <c r="I598" s="141">
        <f t="shared" si="57"/>
        <v>0.33170315327202898</v>
      </c>
      <c r="J598" s="141">
        <f t="shared" si="58"/>
        <v>0.24040416818762159</v>
      </c>
      <c r="K598" s="141">
        <f>(Constantes!$D$12/0.8)*(Constantes!$D$7*J598^2+Constantes!$D$8*J598+Constantes!$D$9)</f>
        <v>16.110598086479239</v>
      </c>
      <c r="L598" s="141">
        <f>(Constantes!$D$12/0.8)*(0.00376*D598^2-0.0516*D598-6.967)</f>
        <v>-4.4355989999999998</v>
      </c>
      <c r="M598" s="140">
        <f t="shared" si="59"/>
        <v>3.5519978402502126</v>
      </c>
      <c r="N598" s="12"/>
    </row>
    <row r="599" spans="2:14" ht="18.75" customHeight="1">
      <c r="B599" s="11"/>
      <c r="C599" s="75">
        <v>594</v>
      </c>
      <c r="D599" s="65">
        <f>(Observaciones!D599+Observaciones!E599)/2</f>
        <v>11.25</v>
      </c>
      <c r="E599" s="141">
        <f t="shared" si="54"/>
        <v>1.3353283650298429</v>
      </c>
      <c r="F599" s="141">
        <f t="shared" si="55"/>
        <v>8.8579350899344877E-2</v>
      </c>
      <c r="G599" s="141">
        <f t="shared" si="56"/>
        <v>2.47443875</v>
      </c>
      <c r="H599" s="141">
        <f>0.001013*Constantes!$D$6/(0.622*G599)</f>
        <v>4.5032855355628641E-2</v>
      </c>
      <c r="I599" s="141">
        <f t="shared" si="57"/>
        <v>0.33758270995629469</v>
      </c>
      <c r="J599" s="141">
        <f t="shared" si="58"/>
        <v>0.2346728575728691</v>
      </c>
      <c r="K599" s="141">
        <f>(Constantes!$D$12/0.8)*(Constantes!$D$7*J599^2+Constantes!$D$8*J599+Constantes!$D$9)</f>
        <v>16.172175180666212</v>
      </c>
      <c r="L599" s="141">
        <f>(Constantes!$D$12/0.8)*(0.00376*D599^2-0.0516*D599-6.967)</f>
        <v>-4.4197656250000001</v>
      </c>
      <c r="M599" s="140">
        <f t="shared" si="59"/>
        <v>3.6398434629154188</v>
      </c>
      <c r="N599" s="12"/>
    </row>
    <row r="600" spans="2:14" ht="18.75" customHeight="1">
      <c r="B600" s="11"/>
      <c r="C600" s="75">
        <v>595</v>
      </c>
      <c r="D600" s="65">
        <f>(Observaciones!D600+Observaciones!E600)/2</f>
        <v>11.2</v>
      </c>
      <c r="E600" s="141">
        <f t="shared" si="54"/>
        <v>1.3309049906437358</v>
      </c>
      <c r="F600" s="141">
        <f t="shared" si="55"/>
        <v>8.8321456330061332E-2</v>
      </c>
      <c r="G600" s="141">
        <f t="shared" si="56"/>
        <v>2.4745567999999998</v>
      </c>
      <c r="H600" s="141">
        <f>0.001013*Constantes!$D$6/(0.622*G600)</f>
        <v>4.5030707040191013E-2</v>
      </c>
      <c r="I600" s="141">
        <f t="shared" si="57"/>
        <v>0.33724015024190968</v>
      </c>
      <c r="J600" s="141">
        <f t="shared" si="58"/>
        <v>0.22887200832576213</v>
      </c>
      <c r="K600" s="141">
        <f>(Constantes!$D$12/0.8)*(Constantes!$D$7*J600^2+Constantes!$D$8*J600+Constantes!$D$9)</f>
        <v>16.233934645376173</v>
      </c>
      <c r="L600" s="141">
        <f>(Constantes!$D$12/0.8)*(0.00376*D600^2-0.0516*D600-6.967)</f>
        <v>-4.4207910000000004</v>
      </c>
      <c r="M600" s="140">
        <f t="shared" si="59"/>
        <v>3.6553822642664811</v>
      </c>
      <c r="N600" s="12"/>
    </row>
    <row r="601" spans="2:14" ht="18.75" customHeight="1">
      <c r="B601" s="11"/>
      <c r="C601" s="75">
        <v>596</v>
      </c>
      <c r="D601" s="65">
        <f>(Observaciones!D601+Observaciones!E601)/2</f>
        <v>11.299999999999999</v>
      </c>
      <c r="E601" s="141">
        <f t="shared" si="54"/>
        <v>1.3397646526819855</v>
      </c>
      <c r="F601" s="141">
        <f t="shared" si="55"/>
        <v>8.8837887126731505E-2</v>
      </c>
      <c r="G601" s="141">
        <f t="shared" si="56"/>
        <v>2.4743206999999998</v>
      </c>
      <c r="H601" s="141">
        <f>0.001013*Constantes!$D$6/(0.622*G601)</f>
        <v>4.5035003876058806E-2</v>
      </c>
      <c r="I601" s="141">
        <f t="shared" si="57"/>
        <v>0.33792485453988752</v>
      </c>
      <c r="J601" s="141">
        <f t="shared" si="58"/>
        <v>0.22300333936312633</v>
      </c>
      <c r="K601" s="141">
        <f>(Constantes!$D$12/0.8)*(Constantes!$D$7*J601^2+Constantes!$D$8*J601+Constantes!$D$9)</f>
        <v>16.295838001861412</v>
      </c>
      <c r="L601" s="141">
        <f>(Constantes!$D$12/0.8)*(0.00376*D601^2-0.0516*D601-6.967)</f>
        <v>-4.4187285000000003</v>
      </c>
      <c r="M601" s="140">
        <f t="shared" si="59"/>
        <v>3.6831643795877582</v>
      </c>
      <c r="N601" s="12"/>
    </row>
    <row r="602" spans="2:14" ht="18.75" customHeight="1">
      <c r="B602" s="11"/>
      <c r="C602" s="75">
        <v>597</v>
      </c>
      <c r="D602" s="65">
        <f>(Observaciones!D602+Observaciones!E602)/2</f>
        <v>12.799999999999999</v>
      </c>
      <c r="E602" s="141">
        <f t="shared" si="54"/>
        <v>1.4790196183138535</v>
      </c>
      <c r="F602" s="141">
        <f t="shared" si="55"/>
        <v>9.6898823770774314E-2</v>
      </c>
      <c r="G602" s="141">
        <f t="shared" si="56"/>
        <v>2.4707792</v>
      </c>
      <c r="H602" s="141">
        <f>0.001013*Constantes!$D$6/(0.622*G602)</f>
        <v>4.5099554956231032E-2</v>
      </c>
      <c r="I602" s="141">
        <f t="shared" si="57"/>
        <v>0.3479939774968957</v>
      </c>
      <c r="J602" s="141">
        <f t="shared" si="58"/>
        <v>0.21706858969823095</v>
      </c>
      <c r="K602" s="141">
        <f>(Constantes!$D$12/0.8)*(Constantes!$D$7*J602^2+Constantes!$D$8*J602+Constantes!$D$9)</f>
        <v>16.357847006739533</v>
      </c>
      <c r="L602" s="141">
        <f>(Constantes!$D$12/0.8)*(0.00376*D602^2-0.0516*D602-6.967)</f>
        <v>-4.3821509999999995</v>
      </c>
      <c r="M602" s="140">
        <f t="shared" si="59"/>
        <v>3.8259241520893217</v>
      </c>
      <c r="N602" s="12"/>
    </row>
    <row r="603" spans="2:14" ht="18.75" customHeight="1">
      <c r="B603" s="11"/>
      <c r="C603" s="75">
        <v>598</v>
      </c>
      <c r="D603" s="65">
        <f>(Observaciones!D603+Observaciones!E603)/2</f>
        <v>11.700000000000001</v>
      </c>
      <c r="E603" s="141">
        <f t="shared" si="54"/>
        <v>1.3757236996547897</v>
      </c>
      <c r="F603" s="141">
        <f t="shared" si="55"/>
        <v>9.0929432125051668E-2</v>
      </c>
      <c r="G603" s="141">
        <f t="shared" si="56"/>
        <v>2.4733763</v>
      </c>
      <c r="H603" s="141">
        <f>0.001013*Constantes!$D$6/(0.622*G603)</f>
        <v>4.5052199422753639E-2</v>
      </c>
      <c r="I603" s="141">
        <f t="shared" si="57"/>
        <v>0.3406470099449177</v>
      </c>
      <c r="J603" s="141">
        <f t="shared" si="58"/>
        <v>0.2110695179254842</v>
      </c>
      <c r="K603" s="141">
        <f>(Constantes!$D$12/0.8)*(Constantes!$D$7*J603^2+Constantes!$D$8*J603+Constantes!$D$9)</f>
        <v>16.419923686911325</v>
      </c>
      <c r="L603" s="141">
        <f>(Constantes!$D$12/0.8)*(0.00376*D603^2-0.0516*D603-6.967)</f>
        <v>-4.4100085</v>
      </c>
      <c r="M603" s="140">
        <f t="shared" si="59"/>
        <v>3.755537823665196</v>
      </c>
      <c r="N603" s="12"/>
    </row>
    <row r="604" spans="2:14" ht="18.75" customHeight="1">
      <c r="B604" s="11"/>
      <c r="C604" s="75">
        <v>599</v>
      </c>
      <c r="D604" s="65">
        <f>(Observaciones!D604+Observaciones!E604)/2</f>
        <v>14.15</v>
      </c>
      <c r="E604" s="141">
        <f t="shared" si="54"/>
        <v>1.6150528288927855</v>
      </c>
      <c r="F604" s="141">
        <f t="shared" si="55"/>
        <v>0.10467799774317721</v>
      </c>
      <c r="G604" s="141">
        <f t="shared" si="56"/>
        <v>2.4675918499999998</v>
      </c>
      <c r="H604" s="141">
        <f>0.001013*Constantes!$D$6/(0.622*G604)</f>
        <v>4.5157809349675282E-2</v>
      </c>
      <c r="I604" s="141">
        <f t="shared" si="57"/>
        <v>0.35672784756039339</v>
      </c>
      <c r="J604" s="141">
        <f t="shared" si="58"/>
        <v>0.2050079016993222</v>
      </c>
      <c r="K604" s="141">
        <f>(Constantes!$D$12/0.8)*(Constantes!$D$7*J604^2+Constantes!$D$8*J604+Constantes!$D$9)</f>
        <v>16.482030374041141</v>
      </c>
      <c r="L604" s="141">
        <f>(Constantes!$D$12/0.8)*(0.00376*D604^2-0.0516*D604-6.967)</f>
        <v>-4.3401896249999998</v>
      </c>
      <c r="M604" s="140">
        <f t="shared" si="59"/>
        <v>3.9785567627011176</v>
      </c>
      <c r="N604" s="12"/>
    </row>
    <row r="605" spans="2:14" ht="18.75" customHeight="1">
      <c r="B605" s="11"/>
      <c r="C605" s="75">
        <v>600</v>
      </c>
      <c r="D605" s="65">
        <f>(Observaciones!D605+Observaciones!E605)/2</f>
        <v>12.1</v>
      </c>
      <c r="E605" s="141">
        <f t="shared" si="54"/>
        <v>1.4125278691197247</v>
      </c>
      <c r="F605" s="141">
        <f t="shared" si="55"/>
        <v>9.306279268564735E-2</v>
      </c>
      <c r="G605" s="141">
        <f t="shared" si="56"/>
        <v>2.4724318999999997</v>
      </c>
      <c r="H605" s="141">
        <f>0.001013*Constantes!$D$6/(0.622*G605)</f>
        <v>4.5069408105886576E-2</v>
      </c>
      <c r="I605" s="141">
        <f t="shared" si="57"/>
        <v>0.34334233509165285</v>
      </c>
      <c r="J605" s="141">
        <f t="shared" si="58"/>
        <v>0.19888553720745444</v>
      </c>
      <c r="K605" s="141">
        <f>(Constantes!$D$12/0.8)*(Constantes!$D$7*J605^2+Constantes!$D$8*J605+Constantes!$D$9)</f>
        <v>16.544129738561924</v>
      </c>
      <c r="L605" s="141">
        <f>(Constantes!$D$12/0.8)*(0.00376*D605^2-0.0516*D605-6.967)</f>
        <v>-4.4005364999999994</v>
      </c>
      <c r="M605" s="140">
        <f t="shared" si="59"/>
        <v>3.8285916507412319</v>
      </c>
      <c r="N605" s="12"/>
    </row>
    <row r="606" spans="2:14" ht="18.75" customHeight="1">
      <c r="B606" s="11"/>
      <c r="C606" s="75">
        <v>601</v>
      </c>
      <c r="D606" s="65">
        <f>(Observaciones!D606+Observaciones!E606)/2</f>
        <v>12.4</v>
      </c>
      <c r="E606" s="141">
        <f t="shared" si="54"/>
        <v>1.440695742444418</v>
      </c>
      <c r="F606" s="141">
        <f t="shared" si="55"/>
        <v>9.4690659669251859E-2</v>
      </c>
      <c r="G606" s="141">
        <f t="shared" si="56"/>
        <v>2.4717235999999998</v>
      </c>
      <c r="H606" s="141">
        <f>0.001013*Constantes!$D$6/(0.622*G606)</f>
        <v>4.508232324808184E-2</v>
      </c>
      <c r="I606" s="141">
        <f t="shared" si="57"/>
        <v>0.34534609482941636</v>
      </c>
      <c r="J606" s="141">
        <f t="shared" si="58"/>
        <v>0.19270423863861005</v>
      </c>
      <c r="K606" s="141">
        <f>(Constantes!$D$12/0.8)*(Constantes!$D$7*J606^2+Constantes!$D$8*J606+Constantes!$D$9)</f>
        <v>16.606184823167901</v>
      </c>
      <c r="L606" s="141">
        <f>(Constantes!$D$12/0.8)*(0.00376*D606^2-0.0516*D606-6.967)</f>
        <v>-4.3929389999999993</v>
      </c>
      <c r="M606" s="140">
        <f t="shared" si="59"/>
        <v>3.8737038855009209</v>
      </c>
      <c r="N606" s="12"/>
    </row>
    <row r="607" spans="2:14" ht="18.75" customHeight="1">
      <c r="B607" s="11"/>
      <c r="C607" s="75">
        <v>602</v>
      </c>
      <c r="D607" s="65">
        <f>(Observaciones!D607+Observaciones!E607)/2</f>
        <v>9.5</v>
      </c>
      <c r="E607" s="141">
        <f t="shared" si="54"/>
        <v>1.187968532240967</v>
      </c>
      <c r="F607" s="141">
        <f t="shared" si="55"/>
        <v>7.9925724231647788E-2</v>
      </c>
      <c r="G607" s="141">
        <f t="shared" si="56"/>
        <v>2.4785705</v>
      </c>
      <c r="H607" s="141">
        <f>0.001013*Constantes!$D$6/(0.622*G607)</f>
        <v>4.4957786076737595E-2</v>
      </c>
      <c r="I607" s="141">
        <f t="shared" si="57"/>
        <v>0.32534995521168669</v>
      </c>
      <c r="J607" s="141">
        <f t="shared" si="58"/>
        <v>0.18646583764496022</v>
      </c>
      <c r="K607" s="141">
        <f>(Constantes!$D$12/0.8)*(Constantes!$D$7*J607^2+Constantes!$D$8*J607+Constantes!$D$9)</f>
        <v>16.668159075758233</v>
      </c>
      <c r="L607" s="141">
        <f>(Constantes!$D$12/0.8)*(0.00376*D607^2-0.0516*D607-6.967)</f>
        <v>-4.4486624999999993</v>
      </c>
      <c r="M607" s="140">
        <f t="shared" si="59"/>
        <v>3.6502335751067476</v>
      </c>
      <c r="N607" s="12"/>
    </row>
    <row r="608" spans="2:14" ht="18.75" customHeight="1">
      <c r="B608" s="11"/>
      <c r="C608" s="75">
        <v>603</v>
      </c>
      <c r="D608" s="65">
        <f>(Observaciones!D608+Observaciones!E608)/2</f>
        <v>11.5</v>
      </c>
      <c r="E608" s="141">
        <f t="shared" si="54"/>
        <v>1.3576395793502862</v>
      </c>
      <c r="F608" s="141">
        <f t="shared" si="55"/>
        <v>8.9878474493928939E-2</v>
      </c>
      <c r="G608" s="141">
        <f t="shared" si="56"/>
        <v>2.4738484999999999</v>
      </c>
      <c r="H608" s="141">
        <f>0.001013*Constantes!$D$6/(0.622*G608)</f>
        <v>4.5043600008291752E-2</v>
      </c>
      <c r="I608" s="141">
        <f t="shared" si="57"/>
        <v>0.33928927202235942</v>
      </c>
      <c r="J608" s="141">
        <f t="shared" si="58"/>
        <v>0.18017218279935254</v>
      </c>
      <c r="K608" s="141">
        <f>(Constantes!$D$12/0.8)*(Constantes!$D$7*J608^2+Constantes!$D$8*J608+Constantes!$D$9)</f>
        <v>16.730016381796016</v>
      </c>
      <c r="L608" s="141">
        <f>(Constantes!$D$12/0.8)*(0.00376*D608^2-0.0516*D608-6.967)</f>
        <v>-4.4144625</v>
      </c>
      <c r="M608" s="140">
        <f t="shared" si="59"/>
        <v>3.8379564063606098</v>
      </c>
      <c r="N608" s="12"/>
    </row>
    <row r="609" spans="2:14" ht="18.75" customHeight="1">
      <c r="B609" s="11"/>
      <c r="C609" s="75">
        <v>604</v>
      </c>
      <c r="D609" s="65">
        <f>(Observaciones!D609+Observaciones!E609)/2</f>
        <v>12.25</v>
      </c>
      <c r="E609" s="141">
        <f t="shared" si="54"/>
        <v>1.4265507491669478</v>
      </c>
      <c r="F609" s="141">
        <f t="shared" si="55"/>
        <v>9.387372076527814E-2</v>
      </c>
      <c r="G609" s="141">
        <f t="shared" si="56"/>
        <v>2.47207775</v>
      </c>
      <c r="H609" s="141">
        <f>0.001013*Constantes!$D$6/(0.622*G609)</f>
        <v>4.5075864751872197E-2</v>
      </c>
      <c r="I609" s="141">
        <f t="shared" si="57"/>
        <v>0.34434612138705856</v>
      </c>
      <c r="J609" s="141">
        <f t="shared" si="58"/>
        <v>0.1738251390475479</v>
      </c>
      <c r="K609" s="141">
        <f>(Constantes!$D$12/0.8)*(Constantes!$D$7*J609^2+Constantes!$D$8*J609+Constantes!$D$9)</f>
        <v>16.791721096047262</v>
      </c>
      <c r="L609" s="141">
        <f>(Constantes!$D$12/0.8)*(0.00376*D609^2-0.0516*D609-6.967)</f>
        <v>-4.3967906249999995</v>
      </c>
      <c r="M609" s="140">
        <f t="shared" si="59"/>
        <v>3.9212163907171633</v>
      </c>
      <c r="N609" s="12"/>
    </row>
    <row r="610" spans="2:14" ht="18.75" customHeight="1">
      <c r="B610" s="11"/>
      <c r="C610" s="75">
        <v>605</v>
      </c>
      <c r="D610" s="65">
        <f>(Observaciones!D610+Observaciones!E610)/2</f>
        <v>10</v>
      </c>
      <c r="E610" s="141">
        <f t="shared" si="54"/>
        <v>1.2285355953233976</v>
      </c>
      <c r="F610" s="141">
        <f t="shared" si="55"/>
        <v>8.2321156964857062E-2</v>
      </c>
      <c r="G610" s="141">
        <f t="shared" si="56"/>
        <v>2.4773899999999998</v>
      </c>
      <c r="H610" s="141">
        <f>0.001013*Constantes!$D$6/(0.622*G610)</f>
        <v>4.4979208891257547E-2</v>
      </c>
      <c r="I610" s="141">
        <f t="shared" si="57"/>
        <v>0.32889553570326324</v>
      </c>
      <c r="J610" s="141">
        <f t="shared" si="58"/>
        <v>0.16742658715558903</v>
      </c>
      <c r="K610" s="141">
        <f>(Constantes!$D$12/0.8)*(Constantes!$D$7*J610^2+Constantes!$D$8*J610+Constantes!$D$9)</f>
        <v>16.853238073665814</v>
      </c>
      <c r="L610" s="141">
        <f>(Constantes!$D$12/0.8)*(0.00376*D610^2-0.0516*D610-6.967)</f>
        <v>-4.4418749999999996</v>
      </c>
      <c r="M610" s="140">
        <f t="shared" si="59"/>
        <v>3.7494646210466405</v>
      </c>
      <c r="N610" s="12"/>
    </row>
    <row r="611" spans="2:14" ht="18.75" customHeight="1">
      <c r="B611" s="11"/>
      <c r="C611" s="75">
        <v>606</v>
      </c>
      <c r="D611" s="65">
        <f>(Observaciones!D611+Observaciones!E611)/2</f>
        <v>9.5</v>
      </c>
      <c r="E611" s="141">
        <f t="shared" si="54"/>
        <v>1.187968532240967</v>
      </c>
      <c r="F611" s="141">
        <f t="shared" si="55"/>
        <v>7.9925724231647788E-2</v>
      </c>
      <c r="G611" s="141">
        <f t="shared" si="56"/>
        <v>2.4785705</v>
      </c>
      <c r="H611" s="141">
        <f>0.001013*Constantes!$D$6/(0.622*G611)</f>
        <v>4.4957786076737595E-2</v>
      </c>
      <c r="I611" s="141">
        <f t="shared" si="57"/>
        <v>0.32534995521168669</v>
      </c>
      <c r="J611" s="141">
        <f t="shared" si="58"/>
        <v>0.16097842315249497</v>
      </c>
      <c r="K611" s="141">
        <f>(Constantes!$D$12/0.8)*(Constantes!$D$7*J611^2+Constantes!$D$8*J611+Constantes!$D$9)</f>
        <v>16.914532700590399</v>
      </c>
      <c r="L611" s="141">
        <f>(Constantes!$D$12/0.8)*(0.00376*D611^2-0.0516*D611-6.967)</f>
        <v>-4.4486624999999993</v>
      </c>
      <c r="M611" s="140">
        <f t="shared" si="59"/>
        <v>3.7255817640429645</v>
      </c>
      <c r="N611" s="12"/>
    </row>
    <row r="612" spans="2:14" ht="18.75" customHeight="1">
      <c r="B612" s="11"/>
      <c r="C612" s="75">
        <v>607</v>
      </c>
      <c r="D612" s="65">
        <f>(Observaciones!D612+Observaciones!E612)/2</f>
        <v>11.5</v>
      </c>
      <c r="E612" s="141">
        <f t="shared" si="54"/>
        <v>1.3576395793502862</v>
      </c>
      <c r="F612" s="141">
        <f t="shared" si="55"/>
        <v>8.9878474493928939E-2</v>
      </c>
      <c r="G612" s="141">
        <f t="shared" si="56"/>
        <v>2.4738484999999999</v>
      </c>
      <c r="H612" s="141">
        <f>0.001013*Constantes!$D$6/(0.622*G612)</f>
        <v>4.5043600008291752E-2</v>
      </c>
      <c r="I612" s="141">
        <f t="shared" si="57"/>
        <v>0.33928927202235942</v>
      </c>
      <c r="J612" s="141">
        <f t="shared" si="58"/>
        <v>0.1544825577684219</v>
      </c>
      <c r="K612" s="141">
        <f>(Constantes!$D$12/0.8)*(Constantes!$D$7*J612^2+Constantes!$D$8*J612+Constantes!$D$9)</f>
        <v>16.975570923221365</v>
      </c>
      <c r="L612" s="141">
        <f>(Constantes!$D$12/0.8)*(0.00376*D612^2-0.0516*D612-6.967)</f>
        <v>-4.4144625</v>
      </c>
      <c r="M612" s="140">
        <f t="shared" si="59"/>
        <v>3.9162715866664812</v>
      </c>
      <c r="N612" s="12"/>
    </row>
    <row r="613" spans="2:14" ht="18.75" customHeight="1">
      <c r="B613" s="11"/>
      <c r="C613" s="75">
        <v>608</v>
      </c>
      <c r="D613" s="65">
        <f>(Observaciones!D613+Observaciones!E613)/2</f>
        <v>11</v>
      </c>
      <c r="E613" s="141">
        <f t="shared" si="54"/>
        <v>1.3133399855895733</v>
      </c>
      <c r="F613" s="141">
        <f t="shared" si="55"/>
        <v>8.7296268852053341E-2</v>
      </c>
      <c r="G613" s="141">
        <f t="shared" si="56"/>
        <v>2.4750289999999997</v>
      </c>
      <c r="H613" s="141">
        <f>0.001013*Constantes!$D$6/(0.622*G613)</f>
        <v>4.5022115827779208E-2</v>
      </c>
      <c r="I613" s="141">
        <f t="shared" si="57"/>
        <v>0.33586576991782852</v>
      </c>
      <c r="J613" s="141">
        <f t="shared" si="58"/>
        <v>0.14794091586847471</v>
      </c>
      <c r="K613" s="141">
        <f>(Constantes!$D$12/0.8)*(Constantes!$D$7*J613^2+Constantes!$D$8*J613+Constantes!$D$9)</f>
        <v>17.036319277345044</v>
      </c>
      <c r="L613" s="141">
        <f>(Constantes!$D$12/0.8)*(0.00376*D613^2-0.0516*D613-6.967)</f>
        <v>-4.4247749999999995</v>
      </c>
      <c r="M613" s="140">
        <f t="shared" si="59"/>
        <v>3.8924710391241906</v>
      </c>
      <c r="N613" s="12"/>
    </row>
    <row r="614" spans="2:14" ht="18.75" customHeight="1">
      <c r="B614" s="11"/>
      <c r="C614" s="75">
        <v>609</v>
      </c>
      <c r="D614" s="65">
        <f>(Observaciones!D614+Observaciones!E614)/2</f>
        <v>11.9</v>
      </c>
      <c r="E614" s="141">
        <f t="shared" si="54"/>
        <v>1.3940190963940859</v>
      </c>
      <c r="F614" s="141">
        <f t="shared" si="55"/>
        <v>9.1990843524687727E-2</v>
      </c>
      <c r="G614" s="141">
        <f t="shared" si="56"/>
        <v>2.4729041</v>
      </c>
      <c r="H614" s="141">
        <f>0.001013*Constantes!$D$6/(0.622*G614)</f>
        <v>4.506080212132469E-2</v>
      </c>
      <c r="I614" s="141">
        <f t="shared" si="57"/>
        <v>0.34199803993111727</v>
      </c>
      <c r="J614" s="141">
        <f t="shared" si="58"/>
        <v>0.14135543588232993</v>
      </c>
      <c r="K614" s="141">
        <f>(Constantes!$D$12/0.8)*(Constantes!$D$7*J614^2+Constantes!$D$8*J614+Constantes!$D$9)</f>
        <v>17.09674491627506</v>
      </c>
      <c r="L614" s="141">
        <f>(Constantes!$D$12/0.8)*(0.00376*D614^2-0.0516*D614-6.967)</f>
        <v>-4.4053664999999995</v>
      </c>
      <c r="M614" s="140">
        <f t="shared" si="59"/>
        <v>3.9896033473560562</v>
      </c>
      <c r="N614" s="12"/>
    </row>
    <row r="615" spans="2:14" ht="18.75" customHeight="1">
      <c r="B615" s="11"/>
      <c r="C615" s="75">
        <v>610</v>
      </c>
      <c r="D615" s="65">
        <f>(Observaciones!D615+Observaciones!E615)/2</f>
        <v>11.6</v>
      </c>
      <c r="E615" s="141">
        <f t="shared" si="54"/>
        <v>1.3666553605146039</v>
      </c>
      <c r="F615" s="141">
        <f t="shared" si="55"/>
        <v>9.0402651818888541E-2</v>
      </c>
      <c r="G615" s="141">
        <f t="shared" si="56"/>
        <v>2.4736123999999999</v>
      </c>
      <c r="H615" s="141">
        <f>0.001013*Constantes!$D$6/(0.622*G615)</f>
        <v>4.5047899305126593E-2</v>
      </c>
      <c r="I615" s="141">
        <f t="shared" si="57"/>
        <v>0.33996897773719964</v>
      </c>
      <c r="J615" s="141">
        <f t="shared" si="58"/>
        <v>0.13472806922983305</v>
      </c>
      <c r="K615" s="141">
        <f>(Constantes!$D$12/0.8)*(Constantes!$D$7*J615^2+Constantes!$D$8*J615+Constantes!$D$9)</f>
        <v>17.156815638180561</v>
      </c>
      <c r="L615" s="141">
        <f>(Constantes!$D$12/0.8)*(0.00376*D615^2-0.0516*D615-6.967)</f>
        <v>-4.4122589999999997</v>
      </c>
      <c r="M615" s="140">
        <f t="shared" si="59"/>
        <v>3.9827867875718161</v>
      </c>
      <c r="N615" s="12"/>
    </row>
    <row r="616" spans="2:14" ht="18.75" customHeight="1">
      <c r="B616" s="11"/>
      <c r="C616" s="75">
        <v>611</v>
      </c>
      <c r="D616" s="65">
        <f>(Observaciones!D616+Observaciones!E616)/2</f>
        <v>11.799999999999999</v>
      </c>
      <c r="E616" s="141">
        <f t="shared" si="54"/>
        <v>1.384844857641909</v>
      </c>
      <c r="F616" s="141">
        <f t="shared" si="55"/>
        <v>9.1458825865714591E-2</v>
      </c>
      <c r="G616" s="141">
        <f t="shared" si="56"/>
        <v>2.4731402</v>
      </c>
      <c r="H616" s="141">
        <f>0.001013*Constantes!$D$6/(0.622*G616)</f>
        <v>4.5056500361407952E-2</v>
      </c>
      <c r="I616" s="141">
        <f t="shared" si="57"/>
        <v>0.3413233651453087</v>
      </c>
      <c r="J616" s="141">
        <f t="shared" si="58"/>
        <v>0.12806077974275348</v>
      </c>
      <c r="K616" s="141">
        <f>(Constantes!$D$12/0.8)*(Constantes!$D$7*J616^2+Constantes!$D$8*J616+Constantes!$D$9)</f>
        <v>17.216499912572377</v>
      </c>
      <c r="L616" s="141">
        <f>(Constantes!$D$12/0.8)*(0.00376*D616^2-0.0516*D616-6.967)</f>
        <v>-4.4077109999999999</v>
      </c>
      <c r="M616" s="140">
        <f t="shared" si="59"/>
        <v>4.0193553139041356</v>
      </c>
      <c r="N616" s="12"/>
    </row>
    <row r="617" spans="2:14" ht="18.75" customHeight="1">
      <c r="B617" s="11"/>
      <c r="C617" s="75">
        <v>612</v>
      </c>
      <c r="D617" s="65">
        <f>(Observaciones!D617+Observaciones!E617)/2</f>
        <v>10.4</v>
      </c>
      <c r="E617" s="141">
        <f t="shared" si="54"/>
        <v>1.2618612427946017</v>
      </c>
      <c r="F617" s="141">
        <f t="shared" si="55"/>
        <v>8.4281361443687683E-2</v>
      </c>
      <c r="G617" s="141">
        <f t="shared" si="56"/>
        <v>2.4764455999999999</v>
      </c>
      <c r="H617" s="141">
        <f>0.001013*Constantes!$D$6/(0.622*G617)</f>
        <v>4.4996361848252404E-2</v>
      </c>
      <c r="I617" s="141">
        <f t="shared" si="57"/>
        <v>0.33170315327202898</v>
      </c>
      <c r="J617" s="141">
        <f t="shared" si="58"/>
        <v>0.12135554308285745</v>
      </c>
      <c r="K617" s="141">
        <f>(Constantes!$D$12/0.8)*(Constantes!$D$7*J617^2+Constantes!$D$8*J617+Constantes!$D$9)</f>
        <v>17.275766905919252</v>
      </c>
      <c r="L617" s="141">
        <f>(Constantes!$D$12/0.8)*(0.00376*D617^2-0.0516*D617-6.967)</f>
        <v>-4.4355989999999998</v>
      </c>
      <c r="M617" s="140">
        <f t="shared" si="59"/>
        <v>3.9152986014625619</v>
      </c>
      <c r="N617" s="12"/>
    </row>
    <row r="618" spans="2:14" ht="18.75" customHeight="1">
      <c r="B618" s="11"/>
      <c r="C618" s="75">
        <v>613</v>
      </c>
      <c r="D618" s="65">
        <f>(Observaciones!D618+Observaciones!E618)/2</f>
        <v>11.25</v>
      </c>
      <c r="E618" s="141">
        <f t="shared" si="54"/>
        <v>1.3353283650298429</v>
      </c>
      <c r="F618" s="141">
        <f t="shared" si="55"/>
        <v>8.8579350899344877E-2</v>
      </c>
      <c r="G618" s="141">
        <f t="shared" si="56"/>
        <v>2.47443875</v>
      </c>
      <c r="H618" s="141">
        <f>0.001013*Constantes!$D$6/(0.622*G618)</f>
        <v>4.5032855355628641E-2</v>
      </c>
      <c r="I618" s="141">
        <f t="shared" si="57"/>
        <v>0.33758270995629469</v>
      </c>
      <c r="J618" s="141">
        <f t="shared" si="58"/>
        <v>0.11461434615647954</v>
      </c>
      <c r="K618" s="141">
        <f>(Constantes!$D$12/0.8)*(Constantes!$D$7*J618^2+Constantes!$D$8*J618+Constantes!$D$9)</f>
        <v>17.334586506367206</v>
      </c>
      <c r="L618" s="141">
        <f>(Constantes!$D$12/0.8)*(0.00376*D618^2-0.0516*D618-6.967)</f>
        <v>-4.4197656250000001</v>
      </c>
      <c r="M618" s="140">
        <f t="shared" si="59"/>
        <v>4.0087088304046077</v>
      </c>
      <c r="N618" s="12"/>
    </row>
    <row r="619" spans="2:14" ht="18.75" customHeight="1">
      <c r="B619" s="11"/>
      <c r="C619" s="75">
        <v>614</v>
      </c>
      <c r="D619" s="65">
        <f>(Observaciones!D619+Observaciones!E619)/2</f>
        <v>9.6999999999999993</v>
      </c>
      <c r="E619" s="141">
        <f t="shared" si="54"/>
        <v>1.2040517259211223</v>
      </c>
      <c r="F619" s="141">
        <f t="shared" si="55"/>
        <v>8.0876657096899784E-2</v>
      </c>
      <c r="G619" s="141">
        <f t="shared" si="56"/>
        <v>2.4780983000000001</v>
      </c>
      <c r="H619" s="141">
        <f>0.001013*Constantes!$D$6/(0.622*G619)</f>
        <v>4.4966352753283652E-2</v>
      </c>
      <c r="I619" s="141">
        <f t="shared" si="57"/>
        <v>0.32677295878905227</v>
      </c>
      <c r="J619" s="141">
        <f t="shared" si="58"/>
        <v>0.10783918652575533</v>
      </c>
      <c r="K619" s="141">
        <f>(Constantes!$D$12/0.8)*(Constantes!$D$7*J619^2+Constantes!$D$8*J619+Constantes!$D$9)</f>
        <v>17.392929347536331</v>
      </c>
      <c r="L619" s="141">
        <f>(Constantes!$D$12/0.8)*(0.00376*D619^2-0.0516*D619-6.967)</f>
        <v>-4.4460885000000001</v>
      </c>
      <c r="M619" s="140">
        <f t="shared" si="59"/>
        <v>3.889665151626204</v>
      </c>
      <c r="N619" s="12"/>
    </row>
    <row r="620" spans="2:14" ht="18.75" customHeight="1">
      <c r="B620" s="11"/>
      <c r="C620" s="75">
        <v>615</v>
      </c>
      <c r="D620" s="65">
        <f>(Observaciones!D620+Observaciones!E620)/2</f>
        <v>12.7</v>
      </c>
      <c r="E620" s="141">
        <f t="shared" si="54"/>
        <v>1.4693556920806219</v>
      </c>
      <c r="F620" s="141">
        <f t="shared" si="55"/>
        <v>9.6342714018342213E-2</v>
      </c>
      <c r="G620" s="141">
        <f t="shared" si="56"/>
        <v>2.4710152999999999</v>
      </c>
      <c r="H620" s="141">
        <f>0.001013*Constantes!$D$6/(0.622*G620)</f>
        <v>4.5095245794355275E-2</v>
      </c>
      <c r="I620" s="141">
        <f t="shared" si="57"/>
        <v>0.34733456468782936</v>
      </c>
      <c r="J620" s="141">
        <f t="shared" si="58"/>
        <v>0.10103207181670325</v>
      </c>
      <c r="K620" s="141">
        <f>(Constantes!$D$12/0.8)*(Constantes!$D$7*J620^2+Constantes!$D$8*J620+Constantes!$D$9)</f>
        <v>17.45076683137021</v>
      </c>
      <c r="L620" s="141">
        <f>(Constantes!$D$12/0.8)*(0.00376*D620^2-0.0516*D620-6.967)</f>
        <v>-4.3849184999999995</v>
      </c>
      <c r="M620" s="140">
        <f t="shared" si="59"/>
        <v>4.174545472403107</v>
      </c>
      <c r="N620" s="12"/>
    </row>
    <row r="621" spans="2:14" ht="18.75" customHeight="1">
      <c r="B621" s="11"/>
      <c r="C621" s="75">
        <v>616</v>
      </c>
      <c r="D621" s="65">
        <f>(Observaciones!D621+Observaciones!E621)/2</f>
        <v>12.85</v>
      </c>
      <c r="E621" s="141">
        <f t="shared" si="54"/>
        <v>1.4838724736816862</v>
      </c>
      <c r="F621" s="141">
        <f t="shared" si="55"/>
        <v>9.717790188805045E-2</v>
      </c>
      <c r="G621" s="141">
        <f t="shared" si="56"/>
        <v>2.4706611499999998</v>
      </c>
      <c r="H621" s="141">
        <f>0.001013*Constantes!$D$6/(0.622*G621)</f>
        <v>4.5101709846011272E-2</v>
      </c>
      <c r="I621" s="141">
        <f t="shared" si="57"/>
        <v>0.34832304299622313</v>
      </c>
      <c r="J621" s="141">
        <f t="shared" si="58"/>
        <v>9.4195019124320489E-2</v>
      </c>
      <c r="K621" s="141">
        <f>(Constantes!$D$12/0.8)*(Constantes!$D$7*J621^2+Constantes!$D$8*J621+Constantes!$D$9)</f>
        <v>17.508071150014512</v>
      </c>
      <c r="L621" s="141">
        <f>(Constantes!$D$12/0.8)*(0.00376*D621^2-0.0516*D621-6.967)</f>
        <v>-4.380749625</v>
      </c>
      <c r="M621" s="140">
        <f t="shared" si="59"/>
        <v>4.2066407027848287</v>
      </c>
      <c r="N621" s="12"/>
    </row>
    <row r="622" spans="2:14" ht="18.75" customHeight="1">
      <c r="B622" s="11"/>
      <c r="C622" s="75">
        <v>617</v>
      </c>
      <c r="D622" s="65">
        <f>(Observaciones!D622+Observaciones!E622)/2</f>
        <v>13.15</v>
      </c>
      <c r="E622" s="141">
        <f t="shared" si="54"/>
        <v>1.5132842544432668</v>
      </c>
      <c r="F622" s="141">
        <f t="shared" si="55"/>
        <v>9.8866781254448824E-2</v>
      </c>
      <c r="G622" s="141">
        <f t="shared" si="56"/>
        <v>2.4699528499999999</v>
      </c>
      <c r="H622" s="141">
        <f>0.001013*Constantes!$D$6/(0.622*G622)</f>
        <v>4.5114643510345769E-2</v>
      </c>
      <c r="I622" s="141">
        <f t="shared" si="57"/>
        <v>0.35028844443641177</v>
      </c>
      <c r="J622" s="141">
        <f t="shared" si="58"/>
        <v>8.7330054414876179E-2</v>
      </c>
      <c r="K622" s="141">
        <f>(Constantes!$D$12/0.8)*(Constantes!$D$7*J622^2+Constantes!$D$8*J622+Constantes!$D$9)</f>
        <v>17.564815306702371</v>
      </c>
      <c r="L622" s="141">
        <f>(Constantes!$D$12/0.8)*(0.00376*D622^2-0.0516*D622-6.967)</f>
        <v>-4.3720946249999999</v>
      </c>
      <c r="M622" s="140">
        <f t="shared" si="59"/>
        <v>4.2520924956417421</v>
      </c>
      <c r="N622" s="12"/>
    </row>
    <row r="623" spans="2:14" ht="18.75" customHeight="1">
      <c r="B623" s="11"/>
      <c r="C623" s="75">
        <v>618</v>
      </c>
      <c r="D623" s="65">
        <f>(Observaciones!D623+Observaciones!E623)/2</f>
        <v>12.9</v>
      </c>
      <c r="E623" s="141">
        <f t="shared" si="54"/>
        <v>1.4887393027557323</v>
      </c>
      <c r="F623" s="141">
        <f t="shared" si="55"/>
        <v>9.7457663967834368E-2</v>
      </c>
      <c r="G623" s="141">
        <f t="shared" si="56"/>
        <v>2.4705431</v>
      </c>
      <c r="H623" s="141">
        <f>0.001013*Constantes!$D$6/(0.622*G623)</f>
        <v>4.5103864941725781E-2</v>
      </c>
      <c r="I623" s="141">
        <f t="shared" si="57"/>
        <v>0.34865168081674919</v>
      </c>
      <c r="J623" s="141">
        <f t="shared" si="58"/>
        <v>8.0439211925573226E-2</v>
      </c>
      <c r="K623" s="141">
        <f>(Constantes!$D$12/0.8)*(Constantes!$D$7*J623^2+Constantes!$D$8*J623+Constantes!$D$9)</f>
        <v>17.620973135625356</v>
      </c>
      <c r="L623" s="141">
        <f>(Constantes!$D$12/0.8)*(0.00376*D623^2-0.0516*D623-6.967)</f>
        <v>-4.3793364999999991</v>
      </c>
      <c r="M623" s="140">
        <f t="shared" si="59"/>
        <v>4.2481039556936704</v>
      </c>
      <c r="N623" s="12"/>
    </row>
    <row r="624" spans="2:14" ht="18.75" customHeight="1">
      <c r="B624" s="11"/>
      <c r="C624" s="75">
        <v>619</v>
      </c>
      <c r="D624" s="65">
        <f>(Observaciones!D624+Observaciones!E624)/2</f>
        <v>12.35</v>
      </c>
      <c r="E624" s="141">
        <f t="shared" si="54"/>
        <v>1.4359671208266067</v>
      </c>
      <c r="F624" s="141">
        <f t="shared" si="55"/>
        <v>9.4417676614232629E-2</v>
      </c>
      <c r="G624" s="141">
        <f t="shared" si="56"/>
        <v>2.47184165</v>
      </c>
      <c r="H624" s="141">
        <f>0.001013*Constantes!$D$6/(0.622*G624)</f>
        <v>4.5080170210382423E-2</v>
      </c>
      <c r="I624" s="141">
        <f t="shared" si="57"/>
        <v>0.34501319460891361</v>
      </c>
      <c r="J624" s="141">
        <f t="shared" si="58"/>
        <v>7.3524533561754937E-2</v>
      </c>
      <c r="K624" s="141">
        <f>(Constantes!$D$12/0.8)*(Constantes!$D$7*J624^2+Constantes!$D$8*J624+Constantes!$D$9)</f>
        <v>17.676519320770158</v>
      </c>
      <c r="L624" s="141">
        <f>(Constantes!$D$12/0.8)*(0.00376*D624^2-0.0516*D624-6.967)</f>
        <v>-4.3942346249999993</v>
      </c>
      <c r="M624" s="140">
        <f t="shared" si="59"/>
        <v>4.2166455305672379</v>
      </c>
      <c r="N624" s="12"/>
    </row>
    <row r="625" spans="2:14" ht="18.75" customHeight="1">
      <c r="B625" s="11"/>
      <c r="C625" s="75">
        <v>620</v>
      </c>
      <c r="D625" s="65">
        <f>(Observaciones!D625+Observaciones!E625)/2</f>
        <v>13.15</v>
      </c>
      <c r="E625" s="141">
        <f t="shared" si="54"/>
        <v>1.5132842544432668</v>
      </c>
      <c r="F625" s="141">
        <f t="shared" si="55"/>
        <v>9.8866781254448824E-2</v>
      </c>
      <c r="G625" s="141">
        <f t="shared" si="56"/>
        <v>2.4699528499999999</v>
      </c>
      <c r="H625" s="141">
        <f>0.001013*Constantes!$D$6/(0.622*G625)</f>
        <v>4.5114643510345769E-2</v>
      </c>
      <c r="I625" s="141">
        <f t="shared" si="57"/>
        <v>0.35028844443641177</v>
      </c>
      <c r="J625" s="141">
        <f t="shared" si="58"/>
        <v>6.6588068291853597E-2</v>
      </c>
      <c r="K625" s="141">
        <f>(Constantes!$D$12/0.8)*(Constantes!$D$7*J625^2+Constantes!$D$8*J625+Constantes!$D$9)</f>
        <v>17.731429413702052</v>
      </c>
      <c r="L625" s="141">
        <f>(Constantes!$D$12/0.8)*(0.00376*D625^2-0.0516*D625-6.967)</f>
        <v>-4.3720946249999999</v>
      </c>
      <c r="M625" s="140">
        <f t="shared" si="59"/>
        <v>4.3069537122220982</v>
      </c>
      <c r="N625" s="12"/>
    </row>
    <row r="626" spans="2:14" ht="18.75" customHeight="1">
      <c r="B626" s="11"/>
      <c r="C626" s="75">
        <v>621</v>
      </c>
      <c r="D626" s="65">
        <f>(Observaciones!D626+Observaciones!E626)/2</f>
        <v>12.25</v>
      </c>
      <c r="E626" s="141">
        <f t="shared" si="54"/>
        <v>1.4265507491669478</v>
      </c>
      <c r="F626" s="141">
        <f t="shared" si="55"/>
        <v>9.387372076527814E-2</v>
      </c>
      <c r="G626" s="141">
        <f t="shared" si="56"/>
        <v>2.47207775</v>
      </c>
      <c r="H626" s="141">
        <f>0.001013*Constantes!$D$6/(0.622*G626)</f>
        <v>4.5075864751872197E-2</v>
      </c>
      <c r="I626" s="141">
        <f t="shared" si="57"/>
        <v>0.34434612138705856</v>
      </c>
      <c r="J626" s="141">
        <f t="shared" si="58"/>
        <v>5.9631871540228476E-2</v>
      </c>
      <c r="K626" s="141">
        <f>(Constantes!$D$12/0.8)*(Constantes!$D$7*J626^2+Constantes!$D$8*J626+Constantes!$D$9)</f>
        <v>17.785679850278015</v>
      </c>
      <c r="L626" s="141">
        <f>(Constantes!$D$12/0.8)*(0.00376*D626^2-0.0516*D626-6.967)</f>
        <v>-4.3967906249999995</v>
      </c>
      <c r="M626" s="140">
        <f t="shared" si="59"/>
        <v>4.2429462820449517</v>
      </c>
      <c r="N626" s="12"/>
    </row>
    <row r="627" spans="2:14" ht="18.75" customHeight="1">
      <c r="B627" s="11"/>
      <c r="C627" s="75">
        <v>622</v>
      </c>
      <c r="D627" s="65">
        <f>(Observaciones!D627+Observaciones!E627)/2</f>
        <v>11.9</v>
      </c>
      <c r="E627" s="141">
        <f t="shared" ref="E627:E690" si="60">EXP((16.78*D627-116.9)/(D627+237.3))</f>
        <v>1.3940190963940859</v>
      </c>
      <c r="F627" s="141">
        <f t="shared" ref="F627:F690" si="61">4098*E627/((D627+237.3)^2)</f>
        <v>9.1990843524687727E-2</v>
      </c>
      <c r="G627" s="141">
        <f t="shared" ref="G627:G690" si="62">2.501-0.002361*D627</f>
        <v>2.4729041</v>
      </c>
      <c r="H627" s="141">
        <f>0.001013*Constantes!$D$6/(0.622*G627)</f>
        <v>4.506080212132469E-2</v>
      </c>
      <c r="I627" s="141">
        <f t="shared" ref="I627:I690" si="63">IF(D627&gt;0,1.26*F627/(G627*(F627+H627)),0)</f>
        <v>0.34199803993111727</v>
      </c>
      <c r="J627" s="141">
        <f t="shared" ref="J627:J690" si="64">0.409*SIN(2*PI()*(C627-82)/365)</f>
        <v>5.2658004578105495E-2</v>
      </c>
      <c r="K627" s="141">
        <f>(Constantes!$D$12/0.8)*(Constantes!$D$7*J627^2+Constantes!$D$8*J627+Constantes!$D$9)</f>
        <v>17.83924796627301</v>
      </c>
      <c r="L627" s="141">
        <f>(Constantes!$D$12/0.8)*(0.00376*D627^2-0.0516*D627-6.967)</f>
        <v>-4.4053664999999995</v>
      </c>
      <c r="M627" s="140">
        <f t="shared" si="59"/>
        <v>4.2283018598337003</v>
      </c>
      <c r="N627" s="12"/>
    </row>
    <row r="628" spans="2:14" ht="18.75" customHeight="1">
      <c r="B628" s="11"/>
      <c r="C628" s="75">
        <v>623</v>
      </c>
      <c r="D628" s="65">
        <f>(Observaciones!D628+Observaciones!E628)/2</f>
        <v>11.75</v>
      </c>
      <c r="E628" s="141">
        <f t="shared" si="60"/>
        <v>1.3802776599471762</v>
      </c>
      <c r="F628" s="141">
        <f t="shared" si="61"/>
        <v>9.1193801661548224E-2</v>
      </c>
      <c r="G628" s="141">
        <f t="shared" si="62"/>
        <v>2.4732582499999998</v>
      </c>
      <c r="H628" s="141">
        <f>0.001013*Constantes!$D$6/(0.622*G628)</f>
        <v>4.5054349789437696E-2</v>
      </c>
      <c r="I628" s="141">
        <f t="shared" si="63"/>
        <v>0.34098539738615508</v>
      </c>
      <c r="J628" s="141">
        <f t="shared" si="64"/>
        <v>4.5668533912773222E-2</v>
      </c>
      <c r="K628" s="141">
        <f>(Constantes!$D$12/0.8)*(Constantes!$D$7*J628^2+Constantes!$D$8*J628+Constantes!$D$9)</f>
        <v>17.892112011904764</v>
      </c>
      <c r="L628" s="141">
        <f>(Constantes!$D$12/0.8)*(0.00376*D628^2-0.0516*D628-6.967)</f>
        <v>-4.4088656249999998</v>
      </c>
      <c r="M628" s="140">
        <f t="shared" si="59"/>
        <v>4.2315331918267436</v>
      </c>
      <c r="N628" s="12"/>
    </row>
    <row r="629" spans="2:14" ht="18.75" customHeight="1">
      <c r="B629" s="11"/>
      <c r="C629" s="75">
        <v>624</v>
      </c>
      <c r="D629" s="65">
        <f>(Observaciones!D629+Observaciones!E629)/2</f>
        <v>13.85</v>
      </c>
      <c r="E629" s="141">
        <f t="shared" si="60"/>
        <v>1.5839100041391287</v>
      </c>
      <c r="F629" s="141">
        <f t="shared" si="61"/>
        <v>0.10290490852509908</v>
      </c>
      <c r="G629" s="141">
        <f t="shared" si="62"/>
        <v>2.4683001499999997</v>
      </c>
      <c r="H629" s="141">
        <f>0.001013*Constantes!$D$6/(0.622*G629)</f>
        <v>4.5144850927109709E-2</v>
      </c>
      <c r="I629" s="141">
        <f t="shared" si="63"/>
        <v>0.35481417383138586</v>
      </c>
      <c r="J629" s="141">
        <f t="shared" si="64"/>
        <v>3.8665530675234899E-2</v>
      </c>
      <c r="K629" s="141">
        <f>(Constantes!$D$12/0.8)*(Constantes!$D$7*J629^2+Constantes!$D$8*J629+Constantes!$D$9)</f>
        <v>17.944251165243394</v>
      </c>
      <c r="L629" s="141">
        <f>(Constantes!$D$12/0.8)*(0.00376*D629^2-0.0516*D629-6.967)</f>
        <v>-4.3502546249999998</v>
      </c>
      <c r="M629" s="140">
        <f t="shared" si="59"/>
        <v>4.441330172360054</v>
      </c>
      <c r="N629" s="12"/>
    </row>
    <row r="630" spans="2:14" ht="18.75" customHeight="1">
      <c r="B630" s="11"/>
      <c r="C630" s="75">
        <v>625</v>
      </c>
      <c r="D630" s="65">
        <f>(Observaciones!D630+Observaciones!E630)/2</f>
        <v>13.9</v>
      </c>
      <c r="E630" s="141">
        <f t="shared" si="60"/>
        <v>1.589063588132779</v>
      </c>
      <c r="F630" s="141">
        <f t="shared" si="61"/>
        <v>0.10319863673742037</v>
      </c>
      <c r="G630" s="141">
        <f t="shared" si="62"/>
        <v>2.4681820999999999</v>
      </c>
      <c r="H630" s="141">
        <f>0.001013*Constantes!$D$6/(0.622*G630)</f>
        <v>4.5147010147716632E-2</v>
      </c>
      <c r="I630" s="141">
        <f t="shared" si="63"/>
        <v>0.35513420222442993</v>
      </c>
      <c r="J630" s="141">
        <f t="shared" si="64"/>
        <v>3.1651070006486287E-2</v>
      </c>
      <c r="K630" s="141">
        <f>(Constantes!$D$12/0.8)*(Constantes!$D$7*J630^2+Constantes!$D$8*J630+Constantes!$D$9)</f>
        <v>17.995645544493641</v>
      </c>
      <c r="L630" s="141">
        <f>(Constantes!$D$12/0.8)*(0.00376*D630^2-0.0516*D630-6.967)</f>
        <v>-4.3486064999999998</v>
      </c>
      <c r="M630" s="140">
        <f t="shared" si="59"/>
        <v>4.4630781703544544</v>
      </c>
      <c r="N630" s="12"/>
    </row>
    <row r="631" spans="2:14" ht="18.75" customHeight="1">
      <c r="B631" s="11"/>
      <c r="C631" s="75">
        <v>626</v>
      </c>
      <c r="D631" s="65">
        <f>(Observaciones!D631+Observaciones!E631)/2</f>
        <v>13.25</v>
      </c>
      <c r="E631" s="141">
        <f t="shared" si="60"/>
        <v>1.5232012546387372</v>
      </c>
      <c r="F631" s="141">
        <f t="shared" si="61"/>
        <v>9.943526343834895E-2</v>
      </c>
      <c r="G631" s="141">
        <f t="shared" si="62"/>
        <v>2.4697167499999999</v>
      </c>
      <c r="H631" s="141">
        <f>0.001013*Constantes!$D$6/(0.622*G631)</f>
        <v>4.5118956380367316E-2</v>
      </c>
      <c r="I631" s="141">
        <f t="shared" si="63"/>
        <v>0.35094014605756357</v>
      </c>
      <c r="J631" s="141">
        <f t="shared" si="64"/>
        <v>2.4627230442609446E-2</v>
      </c>
      <c r="K631" s="141">
        <f>(Constantes!$D$12/0.8)*(Constantes!$D$7*J631^2+Constantes!$D$8*J631+Constantes!$D$9)</f>
        <v>18.046276219138907</v>
      </c>
      <c r="L631" s="141">
        <f>(Constantes!$D$12/0.8)*(0.00376*D631^2-0.0516*D631-6.967)</f>
        <v>-4.3691156249999992</v>
      </c>
      <c r="M631" s="140">
        <f t="shared" si="59"/>
        <v>4.4198749678314755</v>
      </c>
      <c r="N631" s="12"/>
    </row>
    <row r="632" spans="2:14" ht="18.75" customHeight="1">
      <c r="B632" s="11"/>
      <c r="C632" s="75">
        <v>627</v>
      </c>
      <c r="D632" s="65">
        <f>(Observaciones!D632+Observaciones!E632)/2</f>
        <v>14.45</v>
      </c>
      <c r="E632" s="141">
        <f t="shared" si="60"/>
        <v>1.6467315635702708</v>
      </c>
      <c r="F632" s="141">
        <f t="shared" si="61"/>
        <v>0.10647699979012407</v>
      </c>
      <c r="G632" s="141">
        <f t="shared" si="62"/>
        <v>2.4668835499999999</v>
      </c>
      <c r="H632" s="141">
        <f>0.001013*Constantes!$D$6/(0.622*G632)</f>
        <v>4.5170775213573627E-2</v>
      </c>
      <c r="I632" s="141">
        <f t="shared" si="63"/>
        <v>0.3586259064602611</v>
      </c>
      <c r="J632" s="141">
        <f t="shared" si="64"/>
        <v>1.7596093298853293E-2</v>
      </c>
      <c r="K632" s="141">
        <f>(Constantes!$D$12/0.8)*(Constantes!$D$7*J632^2+Constantes!$D$8*J632+Constantes!$D$9)</f>
        <v>18.096125219937498</v>
      </c>
      <c r="L632" s="141">
        <f>(Constantes!$D$12/0.8)*(0.00376*D632^2-0.0516*D632-6.967)</f>
        <v>-4.3297016250000002</v>
      </c>
      <c r="M632" s="140">
        <f t="shared" si="59"/>
        <v>4.5476117818252773</v>
      </c>
      <c r="N632" s="12"/>
    </row>
    <row r="633" spans="2:14" ht="18.75" customHeight="1">
      <c r="B633" s="11"/>
      <c r="C633" s="75">
        <v>628</v>
      </c>
      <c r="D633" s="65">
        <f>(Observaciones!D633+Observaciones!E633)/2</f>
        <v>15.399999999999999</v>
      </c>
      <c r="E633" s="141">
        <f t="shared" si="60"/>
        <v>1.7506725002961008</v>
      </c>
      <c r="F633" s="141">
        <f t="shared" si="61"/>
        <v>0.11234826761695367</v>
      </c>
      <c r="G633" s="141">
        <f t="shared" si="62"/>
        <v>2.4646406000000001</v>
      </c>
      <c r="H633" s="141">
        <f>0.001013*Constantes!$D$6/(0.622*G633)</f>
        <v>4.5211882947604011E-2</v>
      </c>
      <c r="I633" s="141">
        <f t="shared" si="63"/>
        <v>0.36453307555197856</v>
      </c>
      <c r="J633" s="141">
        <f t="shared" si="64"/>
        <v>1.0559742052897166E-2</v>
      </c>
      <c r="K633" s="141">
        <f>(Constantes!$D$12/0.8)*(Constantes!$D$7*J633^2+Constantes!$D$8*J633+Constantes!$D$9)</f>
        <v>18.145175547762918</v>
      </c>
      <c r="L633" s="141">
        <f>(Constantes!$D$12/0.8)*(0.00376*D633^2-0.0516*D633-6.967)</f>
        <v>-4.2936990000000002</v>
      </c>
      <c r="M633" s="140">
        <f t="shared" si="59"/>
        <v>4.6524503479607242</v>
      </c>
      <c r="N633" s="12"/>
    </row>
    <row r="634" spans="2:14" ht="18.75" customHeight="1">
      <c r="B634" s="11"/>
      <c r="C634" s="75">
        <v>629</v>
      </c>
      <c r="D634" s="65">
        <f>(Observaciones!D634+Observaciones!E634)/2</f>
        <v>14.299999999999999</v>
      </c>
      <c r="E634" s="141">
        <f t="shared" si="60"/>
        <v>1.6308247208216091</v>
      </c>
      <c r="F634" s="141">
        <f t="shared" si="61"/>
        <v>0.10557424069306127</v>
      </c>
      <c r="G634" s="141">
        <f t="shared" si="62"/>
        <v>2.4672377000000001</v>
      </c>
      <c r="H634" s="141">
        <f>0.001013*Constantes!$D$6/(0.622*G634)</f>
        <v>4.5164291351057304E-2</v>
      </c>
      <c r="I634" s="141">
        <f t="shared" si="63"/>
        <v>0.35767883107392273</v>
      </c>
      <c r="J634" s="141">
        <f t="shared" si="64"/>
        <v>3.5202617274735963E-3</v>
      </c>
      <c r="K634" s="141">
        <f>(Constantes!$D$12/0.8)*(Constantes!$D$7*J634^2+Constantes!$D$8*J634+Constantes!$D$9)</f>
        <v>18.193411181281437</v>
      </c>
      <c r="L634" s="141">
        <f>(Constantes!$D$12/0.8)*(0.00376*D634^2-0.0516*D634-6.967)</f>
        <v>-4.3349984999999993</v>
      </c>
      <c r="M634" s="140">
        <f t="shared" si="59"/>
        <v>4.5664169657066926</v>
      </c>
      <c r="N634" s="12"/>
    </row>
    <row r="635" spans="2:14" ht="18.75" customHeight="1">
      <c r="B635" s="11"/>
      <c r="C635" s="75">
        <v>630</v>
      </c>
      <c r="D635" s="65">
        <f>(Observaciones!D635+Observaciones!E635)/2</f>
        <v>13.35</v>
      </c>
      <c r="E635" s="141">
        <f t="shared" si="60"/>
        <v>1.5331752529723204</v>
      </c>
      <c r="F635" s="141">
        <f t="shared" si="61"/>
        <v>0.1000065250127139</v>
      </c>
      <c r="G635" s="141">
        <f t="shared" si="62"/>
        <v>2.4694806499999999</v>
      </c>
      <c r="H635" s="141">
        <f>0.001013*Constantes!$D$6/(0.622*G635)</f>
        <v>4.5123270075071269E-2</v>
      </c>
      <c r="I635" s="141">
        <f t="shared" si="63"/>
        <v>0.35159012797989159</v>
      </c>
      <c r="J635" s="141">
        <f t="shared" si="64"/>
        <v>-3.5202617274732954E-3</v>
      </c>
      <c r="K635" s="141">
        <f>(Constantes!$D$12/0.8)*(Constantes!$D$7*J635^2+Constantes!$D$8*J635+Constantes!$D$9)</f>
        <v>18.240817083461586</v>
      </c>
      <c r="L635" s="141">
        <f>(Constantes!$D$12/0.8)*(0.00376*D635^2-0.0516*D635-6.967)</f>
        <v>-4.3660896249999999</v>
      </c>
      <c r="M635" s="140">
        <f t="shared" si="59"/>
        <v>4.4934197300367016</v>
      </c>
      <c r="N635" s="12"/>
    </row>
    <row r="636" spans="2:14" ht="18.75" customHeight="1">
      <c r="B636" s="11"/>
      <c r="C636" s="75">
        <v>631</v>
      </c>
      <c r="D636" s="65">
        <f>(Observaciones!D636+Observaciones!E636)/2</f>
        <v>12</v>
      </c>
      <c r="E636" s="141">
        <f t="shared" si="60"/>
        <v>1.4032466788795555</v>
      </c>
      <c r="F636" s="141">
        <f t="shared" si="61"/>
        <v>9.2525495616340561E-2</v>
      </c>
      <c r="G636" s="141">
        <f t="shared" si="62"/>
        <v>2.4726680000000001</v>
      </c>
      <c r="H636" s="141">
        <f>0.001013*Constantes!$D$6/(0.622*G636)</f>
        <v>4.5065104702739119E-2</v>
      </c>
      <c r="I636" s="141">
        <f t="shared" si="63"/>
        <v>0.34267103098752799</v>
      </c>
      <c r="J636" s="141">
        <f t="shared" si="64"/>
        <v>-1.0559742052896866E-2</v>
      </c>
      <c r="K636" s="141">
        <f>(Constantes!$D$12/0.8)*(Constantes!$D$7*J636^2+Constantes!$D$8*J636+Constantes!$D$9)</f>
        <v>18.287379206911446</v>
      </c>
      <c r="L636" s="141">
        <f>(Constantes!$D$12/0.8)*(0.00376*D636^2-0.0516*D636-6.967)</f>
        <v>-4.4029749999999996</v>
      </c>
      <c r="M636" s="140">
        <f t="shared" si="59"/>
        <v>4.3817897990163823</v>
      </c>
      <c r="N636" s="12"/>
    </row>
    <row r="637" spans="2:14" ht="18.75" customHeight="1">
      <c r="B637" s="11"/>
      <c r="C637" s="75">
        <v>632</v>
      </c>
      <c r="D637" s="65">
        <f>(Observaciones!D637+Observaciones!E637)/2</f>
        <v>12.65</v>
      </c>
      <c r="E637" s="141">
        <f t="shared" si="60"/>
        <v>1.4645445530759136</v>
      </c>
      <c r="F637" s="141">
        <f t="shared" si="61"/>
        <v>9.6065679685328434E-2</v>
      </c>
      <c r="G637" s="141">
        <f t="shared" si="62"/>
        <v>2.4711333499999997</v>
      </c>
      <c r="H637" s="141">
        <f>0.001013*Constantes!$D$6/(0.622*G637)</f>
        <v>4.5093091522200757E-2</v>
      </c>
      <c r="I637" s="141">
        <f t="shared" si="63"/>
        <v>0.34700421800471326</v>
      </c>
      <c r="J637" s="141">
        <f t="shared" si="64"/>
        <v>-1.7596093298852991E-2</v>
      </c>
      <c r="K637" s="141">
        <f>(Constantes!$D$12/0.8)*(Constantes!$D$7*J637^2+Constantes!$D$8*J637+Constantes!$D$9)</f>
        <v>18.333084498041206</v>
      </c>
      <c r="L637" s="141">
        <f>(Constantes!$D$12/0.8)*(0.00376*D637^2-0.0516*D637-6.967)</f>
        <v>-4.386284625</v>
      </c>
      <c r="M637" s="140">
        <f t="shared" si="59"/>
        <v>4.4578989246214711</v>
      </c>
      <c r="N637" s="12"/>
    </row>
    <row r="638" spans="2:14" ht="18.75" customHeight="1">
      <c r="B638" s="11"/>
      <c r="C638" s="75">
        <v>633</v>
      </c>
      <c r="D638" s="65">
        <f>(Observaciones!D638+Observaciones!E638)/2</f>
        <v>12.6</v>
      </c>
      <c r="E638" s="141">
        <f t="shared" si="60"/>
        <v>1.4597472514986058</v>
      </c>
      <c r="F638" s="141">
        <f t="shared" si="61"/>
        <v>9.5789323919104052E-2</v>
      </c>
      <c r="G638" s="141">
        <f t="shared" si="62"/>
        <v>2.4712513999999999</v>
      </c>
      <c r="H638" s="141">
        <f>0.001013*Constantes!$D$6/(0.622*G638)</f>
        <v>4.5090937455862456E-2</v>
      </c>
      <c r="I638" s="141">
        <f t="shared" si="63"/>
        <v>0.34667344489607588</v>
      </c>
      <c r="J638" s="141">
        <f t="shared" si="64"/>
        <v>-2.4627230442609144E-2</v>
      </c>
      <c r="K638" s="141">
        <f>(Constantes!$D$12/0.8)*(Constantes!$D$7*J638^2+Constantes!$D$8*J638+Constantes!$D$9)</f>
        <v>18.377920900049681</v>
      </c>
      <c r="L638" s="141">
        <f>(Constantes!$D$12/0.8)*(0.00376*D638^2-0.0516*D638-6.967)</f>
        <v>-4.3876390000000001</v>
      </c>
      <c r="M638" s="140">
        <f t="shared" si="59"/>
        <v>4.4677909924505714</v>
      </c>
      <c r="N638" s="12"/>
    </row>
    <row r="639" spans="2:14" ht="18.75" customHeight="1">
      <c r="B639" s="11"/>
      <c r="C639" s="75">
        <v>634</v>
      </c>
      <c r="D639" s="65">
        <f>(Observaciones!D639+Observaciones!E639)/2</f>
        <v>12.2</v>
      </c>
      <c r="E639" s="141">
        <f t="shared" si="60"/>
        <v>1.421862932192234</v>
      </c>
      <c r="F639" s="141">
        <f t="shared" si="61"/>
        <v>9.3602745308232094E-2</v>
      </c>
      <c r="G639" s="141">
        <f t="shared" si="62"/>
        <v>2.4721957999999997</v>
      </c>
      <c r="H639" s="141">
        <f>0.001013*Constantes!$D$6/(0.622*G639)</f>
        <v>4.5073712331002484E-2</v>
      </c>
      <c r="I639" s="141">
        <f t="shared" si="63"/>
        <v>0.34401194911201238</v>
      </c>
      <c r="J639" s="141">
        <f t="shared" si="64"/>
        <v>-3.1651070006485989E-2</v>
      </c>
      <c r="K639" s="141">
        <f>(Constantes!$D$12/0.8)*(Constantes!$D$7*J639^2+Constantes!$D$8*J639+Constantes!$D$9)</f>
        <v>18.421877354735045</v>
      </c>
      <c r="L639" s="141">
        <f>(Constantes!$D$12/0.8)*(0.00376*D639^2-0.0516*D639-6.967)</f>
        <v>-4.3980509999999997</v>
      </c>
      <c r="M639" s="140">
        <f t="shared" si="59"/>
        <v>4.4441230821945199</v>
      </c>
      <c r="N639" s="12"/>
    </row>
    <row r="640" spans="2:14" ht="18.75" customHeight="1">
      <c r="B640" s="11"/>
      <c r="C640" s="75">
        <v>635</v>
      </c>
      <c r="D640" s="65">
        <f>(Observaciones!D640+Observaciones!E640)/2</f>
        <v>11.5</v>
      </c>
      <c r="E640" s="141">
        <f t="shared" si="60"/>
        <v>1.3576395793502862</v>
      </c>
      <c r="F640" s="141">
        <f t="shared" si="61"/>
        <v>8.9878474493928939E-2</v>
      </c>
      <c r="G640" s="141">
        <f t="shared" si="62"/>
        <v>2.4738484999999999</v>
      </c>
      <c r="H640" s="141">
        <f>0.001013*Constantes!$D$6/(0.622*G640)</f>
        <v>4.5043600008291752E-2</v>
      </c>
      <c r="I640" s="141">
        <f t="shared" si="63"/>
        <v>0.33928927202235942</v>
      </c>
      <c r="J640" s="141">
        <f t="shared" si="64"/>
        <v>-3.8665530675233872E-2</v>
      </c>
      <c r="K640" s="141">
        <f>(Constantes!$D$12/0.8)*(Constantes!$D$7*J640^2+Constantes!$D$8*J640+Constantes!$D$9)</f>
        <v>18.464943803131227</v>
      </c>
      <c r="L640" s="141">
        <f>(Constantes!$D$12/0.8)*(0.00376*D640^2-0.0516*D640-6.967)</f>
        <v>-4.4144625</v>
      </c>
      <c r="M640" s="140">
        <f t="shared" si="59"/>
        <v>4.3912801324492765</v>
      </c>
      <c r="N640" s="12"/>
    </row>
    <row r="641" spans="2:14" ht="18.75" customHeight="1">
      <c r="B641" s="11"/>
      <c r="C641" s="75">
        <v>636</v>
      </c>
      <c r="D641" s="65">
        <f>(Observaciones!D641+Observaciones!E641)/2</f>
        <v>12.35</v>
      </c>
      <c r="E641" s="141">
        <f t="shared" si="60"/>
        <v>1.4359671208266067</v>
      </c>
      <c r="F641" s="141">
        <f t="shared" si="61"/>
        <v>9.4417676614232629E-2</v>
      </c>
      <c r="G641" s="141">
        <f t="shared" si="62"/>
        <v>2.47184165</v>
      </c>
      <c r="H641" s="141">
        <f>0.001013*Constantes!$D$6/(0.622*G641)</f>
        <v>4.5080170210382423E-2</v>
      </c>
      <c r="I641" s="141">
        <f t="shared" si="63"/>
        <v>0.34501319460891361</v>
      </c>
      <c r="J641" s="141">
        <f t="shared" si="64"/>
        <v>-4.5668533912772917E-2</v>
      </c>
      <c r="K641" s="141">
        <f>(Constantes!$D$12/0.8)*(Constantes!$D$7*J641^2+Constantes!$D$8*J641+Constantes!$D$9)</f>
        <v>18.507111184972953</v>
      </c>
      <c r="L641" s="141">
        <f>(Constantes!$D$12/0.8)*(0.00376*D641^2-0.0516*D641-6.967)</f>
        <v>-4.3942346249999993</v>
      </c>
      <c r="M641" s="140">
        <f t="shared" si="59"/>
        <v>4.4860167739029313</v>
      </c>
      <c r="N641" s="12"/>
    </row>
    <row r="642" spans="2:14" ht="18.75" customHeight="1">
      <c r="B642" s="11"/>
      <c r="C642" s="75">
        <v>637</v>
      </c>
      <c r="D642" s="65">
        <f>(Observaciones!D642+Observaciones!E642)/2</f>
        <v>13.35</v>
      </c>
      <c r="E642" s="141">
        <f t="shared" si="60"/>
        <v>1.5331752529723204</v>
      </c>
      <c r="F642" s="141">
        <f t="shared" si="61"/>
        <v>0.1000065250127139</v>
      </c>
      <c r="G642" s="141">
        <f t="shared" si="62"/>
        <v>2.4694806499999999</v>
      </c>
      <c r="H642" s="141">
        <f>0.001013*Constantes!$D$6/(0.622*G642)</f>
        <v>4.5123270075071269E-2</v>
      </c>
      <c r="I642" s="141">
        <f t="shared" si="63"/>
        <v>0.35159012797989159</v>
      </c>
      <c r="J642" s="141">
        <f t="shared" si="64"/>
        <v>-5.2658004578105919E-2</v>
      </c>
      <c r="K642" s="141">
        <f>(Constantes!$D$12/0.8)*(Constantes!$D$7*J642^2+Constantes!$D$8*J642+Constantes!$D$9)</f>
        <v>18.548371436993804</v>
      </c>
      <c r="L642" s="141">
        <f>(Constantes!$D$12/0.8)*(0.00376*D642^2-0.0516*D642-6.967)</f>
        <v>-4.3660896249999999</v>
      </c>
      <c r="M642" s="140">
        <f t="shared" si="59"/>
        <v>4.5950648200847164</v>
      </c>
      <c r="N642" s="12"/>
    </row>
    <row r="643" spans="2:14" ht="18.75" customHeight="1">
      <c r="B643" s="11"/>
      <c r="C643" s="75">
        <v>638</v>
      </c>
      <c r="D643" s="65">
        <f>(Observaciones!D643+Observaciones!E643)/2</f>
        <v>14.55</v>
      </c>
      <c r="E643" s="141">
        <f t="shared" si="60"/>
        <v>1.6574115820276645</v>
      </c>
      <c r="F643" s="141">
        <f t="shared" si="61"/>
        <v>0.10708247809803828</v>
      </c>
      <c r="G643" s="141">
        <f t="shared" si="62"/>
        <v>2.46664745</v>
      </c>
      <c r="H643" s="141">
        <f>0.001013*Constantes!$D$6/(0.622*G643)</f>
        <v>4.5175098822943884E-2</v>
      </c>
      <c r="I643" s="141">
        <f t="shared" si="63"/>
        <v>0.35925511691610273</v>
      </c>
      <c r="J643" s="141">
        <f t="shared" si="64"/>
        <v>-5.9631871540228892E-2</v>
      </c>
      <c r="K643" s="141">
        <f>(Constantes!$D$12/0.8)*(Constantes!$D$7*J643^2+Constantes!$D$8*J643+Constantes!$D$9)</f>
        <v>18.588717490062894</v>
      </c>
      <c r="L643" s="141">
        <f>(Constantes!$D$12/0.8)*(0.00376*D643^2-0.0516*D643-6.967)</f>
        <v>-4.3261116249999993</v>
      </c>
      <c r="M643" s="140">
        <f t="shared" si="59"/>
        <v>4.7232286250686863</v>
      </c>
      <c r="N643" s="12"/>
    </row>
    <row r="644" spans="2:14" ht="18.75" customHeight="1">
      <c r="B644" s="11"/>
      <c r="C644" s="75">
        <v>639</v>
      </c>
      <c r="D644" s="65">
        <f>(Observaciones!D644+Observaciones!E644)/2</f>
        <v>13.35</v>
      </c>
      <c r="E644" s="141">
        <f t="shared" si="60"/>
        <v>1.5331752529723204</v>
      </c>
      <c r="F644" s="141">
        <f t="shared" si="61"/>
        <v>0.1000065250127139</v>
      </c>
      <c r="G644" s="141">
        <f t="shared" si="62"/>
        <v>2.4694806499999999</v>
      </c>
      <c r="H644" s="141">
        <f>0.001013*Constantes!$D$6/(0.622*G644)</f>
        <v>4.5123270075071269E-2</v>
      </c>
      <c r="I644" s="141">
        <f t="shared" si="63"/>
        <v>0.35159012797989159</v>
      </c>
      <c r="J644" s="141">
        <f t="shared" si="64"/>
        <v>-6.6588068291853306E-2</v>
      </c>
      <c r="K644" s="141">
        <f>(Constantes!$D$12/0.8)*(Constantes!$D$7*J644^2+Constantes!$D$8*J644+Constantes!$D$9)</f>
        <v>18.628143265167381</v>
      </c>
      <c r="L644" s="141">
        <f>(Constantes!$D$12/0.8)*(0.00376*D644^2-0.0516*D644-6.967)</f>
        <v>-4.3660896249999999</v>
      </c>
      <c r="M644" s="140">
        <f t="shared" si="59"/>
        <v>4.6214289881248511</v>
      </c>
      <c r="N644" s="12"/>
    </row>
    <row r="645" spans="2:14" ht="18.75" customHeight="1">
      <c r="B645" s="11"/>
      <c r="C645" s="75">
        <v>640</v>
      </c>
      <c r="D645" s="65">
        <f>(Observaciones!D645+Observaciones!E645)/2</f>
        <v>14.5</v>
      </c>
      <c r="E645" s="141">
        <f t="shared" si="60"/>
        <v>1.6520640028566567</v>
      </c>
      <c r="F645" s="141">
        <f t="shared" si="61"/>
        <v>0.10677937410937641</v>
      </c>
      <c r="G645" s="141">
        <f t="shared" si="62"/>
        <v>2.4667654999999997</v>
      </c>
      <c r="H645" s="141">
        <f>0.001013*Constantes!$D$6/(0.622*G645)</f>
        <v>4.5172936914803029E-2</v>
      </c>
      <c r="I645" s="141">
        <f t="shared" si="63"/>
        <v>0.35894072909367275</v>
      </c>
      <c r="J645" s="141">
        <f t="shared" si="64"/>
        <v>-7.3524533561754646E-2</v>
      </c>
      <c r="K645" s="141">
        <f>(Constantes!$D$12/0.8)*(Constantes!$D$7*J645^2+Constantes!$D$8*J645+Constantes!$D$9)</f>
        <v>18.666643668249076</v>
      </c>
      <c r="L645" s="141">
        <f>(Constantes!$D$12/0.8)*(0.00376*D645^2-0.0516*D645-6.967)</f>
        <v>-4.3279125000000001</v>
      </c>
      <c r="M645" s="140">
        <f t="shared" si="59"/>
        <v>4.7447414985287057</v>
      </c>
      <c r="N645" s="12"/>
    </row>
    <row r="646" spans="2:14" ht="18.75" customHeight="1">
      <c r="B646" s="11"/>
      <c r="C646" s="75">
        <v>641</v>
      </c>
      <c r="D646" s="65">
        <f>(Observaciones!D646+Observaciones!E646)/2</f>
        <v>14.05</v>
      </c>
      <c r="E646" s="141">
        <f t="shared" si="60"/>
        <v>1.604612725353836</v>
      </c>
      <c r="F646" s="141">
        <f t="shared" si="61"/>
        <v>0.10408410376289531</v>
      </c>
      <c r="G646" s="141">
        <f t="shared" si="62"/>
        <v>2.4678279499999998</v>
      </c>
      <c r="H646" s="141">
        <f>0.001013*Constantes!$D$6/(0.622*G646)</f>
        <v>4.5153489048988422E-2</v>
      </c>
      <c r="I646" s="141">
        <f t="shared" si="63"/>
        <v>0.35609168948623277</v>
      </c>
      <c r="J646" s="141">
        <f t="shared" si="64"/>
        <v>-8.0439211925572934E-2</v>
      </c>
      <c r="K646" s="141">
        <f>(Constantes!$D$12/0.8)*(Constantes!$D$7*J646^2+Constantes!$D$8*J646+Constantes!$D$9)</f>
        <v>18.704214583905085</v>
      </c>
      <c r="L646" s="141">
        <f>(Constantes!$D$12/0.8)*(0.00376*D646^2-0.0516*D646-6.967)</f>
        <v>-4.3435916249999993</v>
      </c>
      <c r="M646" s="140">
        <f t="shared" si="59"/>
        <v>4.714073569209547</v>
      </c>
      <c r="N646" s="12"/>
    </row>
    <row r="647" spans="2:14" ht="18.75" customHeight="1">
      <c r="B647" s="11"/>
      <c r="C647" s="75">
        <v>642</v>
      </c>
      <c r="D647" s="65">
        <f>(Observaciones!D647+Observaciones!E647)/2</f>
        <v>9.15</v>
      </c>
      <c r="E647" s="141">
        <f t="shared" si="60"/>
        <v>1.1602772175252039</v>
      </c>
      <c r="F647" s="141">
        <f t="shared" si="61"/>
        <v>7.8284552595211263E-2</v>
      </c>
      <c r="G647" s="141">
        <f t="shared" si="62"/>
        <v>2.4793968500000001</v>
      </c>
      <c r="H647" s="141">
        <f>0.001013*Constantes!$D$6/(0.622*G647)</f>
        <v>4.4942802244470274E-2</v>
      </c>
      <c r="I647" s="141">
        <f t="shared" si="63"/>
        <v>0.3228445413311169</v>
      </c>
      <c r="J647" s="141">
        <f t="shared" si="64"/>
        <v>-8.7330054414876596E-2</v>
      </c>
      <c r="K647" s="141">
        <f>(Constantes!$D$12/0.8)*(Constantes!$D$7*J647^2+Constantes!$D$8*J647+Constantes!$D$9)</f>
        <v>18.740852867963497</v>
      </c>
      <c r="L647" s="141">
        <f>(Constantes!$D$12/0.8)*(0.00376*D647^2-0.0516*D647-6.967)</f>
        <v>-4.4527146249999996</v>
      </c>
      <c r="M647" s="140">
        <f t="shared" ref="M647:M710" si="65">IF(D647&gt;0,I647*(0.94*K647+L647),0)</f>
        <v>4.2498245146264431</v>
      </c>
      <c r="N647" s="12"/>
    </row>
    <row r="648" spans="2:14" ht="18.75" customHeight="1">
      <c r="B648" s="11"/>
      <c r="C648" s="75">
        <v>643</v>
      </c>
      <c r="D648" s="65">
        <f>(Observaciones!D648+Observaciones!E648)/2</f>
        <v>14.5</v>
      </c>
      <c r="E648" s="141">
        <f t="shared" si="60"/>
        <v>1.6520640028566567</v>
      </c>
      <c r="F648" s="141">
        <f t="shared" si="61"/>
        <v>0.10677937410937641</v>
      </c>
      <c r="G648" s="141">
        <f t="shared" si="62"/>
        <v>2.4667654999999997</v>
      </c>
      <c r="H648" s="141">
        <f>0.001013*Constantes!$D$6/(0.622*G648)</f>
        <v>4.5172936914803029E-2</v>
      </c>
      <c r="I648" s="141">
        <f t="shared" si="63"/>
        <v>0.35894072909367275</v>
      </c>
      <c r="J648" s="141">
        <f t="shared" si="64"/>
        <v>-9.4195019124320198E-2</v>
      </c>
      <c r="K648" s="141">
        <f>(Constantes!$D$12/0.8)*(Constantes!$D$7*J648^2+Constantes!$D$8*J648+Constantes!$D$9)</f>
        <v>18.77655633894668</v>
      </c>
      <c r="L648" s="141">
        <f>(Constantes!$D$12/0.8)*(0.00376*D648^2-0.0516*D648-6.967)</f>
        <v>-4.3279125000000001</v>
      </c>
      <c r="M648" s="140">
        <f t="shared" si="65"/>
        <v>4.7818265046361264</v>
      </c>
      <c r="N648" s="12"/>
    </row>
    <row r="649" spans="2:14" ht="18.75" customHeight="1">
      <c r="B649" s="11"/>
      <c r="C649" s="75">
        <v>644</v>
      </c>
      <c r="D649" s="65">
        <f>(Observaciones!D649+Observaciones!E649)/2</f>
        <v>13.5</v>
      </c>
      <c r="E649" s="141">
        <f t="shared" si="60"/>
        <v>1.5482437315899678</v>
      </c>
      <c r="F649" s="141">
        <f t="shared" si="61"/>
        <v>0.10086865272047608</v>
      </c>
      <c r="G649" s="141">
        <f t="shared" si="62"/>
        <v>2.4691264999999998</v>
      </c>
      <c r="H649" s="141">
        <f>0.001013*Constantes!$D$6/(0.622*G649)</f>
        <v>4.512974216392418E-2</v>
      </c>
      <c r="I649" s="141">
        <f t="shared" si="63"/>
        <v>0.35256187200074002</v>
      </c>
      <c r="J649" s="141">
        <f t="shared" si="64"/>
        <v>-0.10103207181670225</v>
      </c>
      <c r="K649" s="141">
        <f>(Constantes!$D$12/0.8)*(Constantes!$D$7*J649^2+Constantes!$D$8*J649+Constantes!$D$9)</f>
        <v>18.811323768435784</v>
      </c>
      <c r="L649" s="141">
        <f>(Constantes!$D$12/0.8)*(0.00376*D649^2-0.0516*D649-6.967)</f>
        <v>-4.3614625</v>
      </c>
      <c r="M649" s="140">
        <f t="shared" si="65"/>
        <v>4.6965408075940029</v>
      </c>
      <c r="N649" s="12"/>
    </row>
    <row r="650" spans="2:14" ht="18.75" customHeight="1">
      <c r="B650" s="11"/>
      <c r="C650" s="75">
        <v>645</v>
      </c>
      <c r="D650" s="65">
        <f>(Observaciones!D650+Observaciones!E650)/2</f>
        <v>12.7</v>
      </c>
      <c r="E650" s="141">
        <f t="shared" si="60"/>
        <v>1.4693556920806219</v>
      </c>
      <c r="F650" s="141">
        <f t="shared" si="61"/>
        <v>9.6342714018342213E-2</v>
      </c>
      <c r="G650" s="141">
        <f t="shared" si="62"/>
        <v>2.4710152999999999</v>
      </c>
      <c r="H650" s="141">
        <f>0.001013*Constantes!$D$6/(0.622*G650)</f>
        <v>4.5095245794355275E-2</v>
      </c>
      <c r="I650" s="141">
        <f t="shared" si="63"/>
        <v>0.34733456468782936</v>
      </c>
      <c r="J650" s="141">
        <f t="shared" si="64"/>
        <v>-0.10783918652575504</v>
      </c>
      <c r="K650" s="141">
        <f>(Constantes!$D$12/0.8)*(Constantes!$D$7*J650^2+Constantes!$D$8*J650+Constantes!$D$9)</f>
        <v>18.845154870351639</v>
      </c>
      <c r="L650" s="141">
        <f>(Constantes!$D$12/0.8)*(0.00376*D650^2-0.0516*D650-6.967)</f>
        <v>-4.3849184999999995</v>
      </c>
      <c r="M650" s="140">
        <f t="shared" si="65"/>
        <v>4.6298054851771058</v>
      </c>
      <c r="N650" s="12"/>
    </row>
    <row r="651" spans="2:14" ht="18.75" customHeight="1">
      <c r="B651" s="11"/>
      <c r="C651" s="75">
        <v>646</v>
      </c>
      <c r="D651" s="65">
        <f>(Observaciones!D651+Observaciones!E651)/2</f>
        <v>9.9</v>
      </c>
      <c r="E651" s="141">
        <f t="shared" si="60"/>
        <v>1.2203261059395465</v>
      </c>
      <c r="F651" s="141">
        <f t="shared" si="61"/>
        <v>8.1837230413319473E-2</v>
      </c>
      <c r="G651" s="141">
        <f t="shared" si="62"/>
        <v>2.4776260999999997</v>
      </c>
      <c r="H651" s="141">
        <f>0.001013*Constantes!$D$6/(0.622*G651)</f>
        <v>4.4974922695201085E-2</v>
      </c>
      <c r="I651" s="141">
        <f t="shared" si="63"/>
        <v>0.3281896076316444</v>
      </c>
      <c r="J651" s="141">
        <f t="shared" si="64"/>
        <v>-0.11461434615647928</v>
      </c>
      <c r="K651" s="141">
        <f>(Constantes!$D$12/0.8)*(Constantes!$D$7*J651^2+Constantes!$D$8*J651+Constantes!$D$9)</f>
        <v>18.878050289168232</v>
      </c>
      <c r="L651" s="141">
        <f>(Constantes!$D$12/0.8)*(0.00376*D651^2-0.0516*D651-6.967)</f>
        <v>-4.4433264999999995</v>
      </c>
      <c r="M651" s="140">
        <f t="shared" si="65"/>
        <v>4.3655915416031306</v>
      </c>
      <c r="N651" s="12"/>
    </row>
    <row r="652" spans="2:14" ht="18.75" customHeight="1">
      <c r="B652" s="11"/>
      <c r="C652" s="75">
        <v>647</v>
      </c>
      <c r="D652" s="65">
        <f>(Observaciones!D652+Observaciones!E652)/2</f>
        <v>13.3</v>
      </c>
      <c r="E652" s="141">
        <f t="shared" si="60"/>
        <v>1.5281811116551587</v>
      </c>
      <c r="F652" s="141">
        <f t="shared" si="61"/>
        <v>9.9720546117296777E-2</v>
      </c>
      <c r="G652" s="141">
        <f t="shared" si="62"/>
        <v>2.4695986999999997</v>
      </c>
      <c r="H652" s="141">
        <f>0.001013*Constantes!$D$6/(0.622*G652)</f>
        <v>4.5121113124619215E-2</v>
      </c>
      <c r="I652" s="141">
        <f t="shared" si="63"/>
        <v>0.35126535211020804</v>
      </c>
      <c r="J652" s="141">
        <f t="shared" si="64"/>
        <v>-0.12135554308285716</v>
      </c>
      <c r="K652" s="141">
        <f>(Constantes!$D$12/0.8)*(Constantes!$D$7*J652^2+Constantes!$D$8*J652+Constantes!$D$9)</f>
        <v>18.910011587076482</v>
      </c>
      <c r="L652" s="141">
        <f>(Constantes!$D$12/0.8)*(0.00376*D652^2-0.0516*D652-6.967)</f>
        <v>-4.3676084999999993</v>
      </c>
      <c r="M652" s="140">
        <f t="shared" si="65"/>
        <v>4.7096964281979439</v>
      </c>
      <c r="N652" s="12"/>
    </row>
    <row r="653" spans="2:14" ht="18.75" customHeight="1">
      <c r="B653" s="11"/>
      <c r="C653" s="75">
        <v>648</v>
      </c>
      <c r="D653" s="65">
        <f>(Observaciones!D653+Observaciones!E653)/2</f>
        <v>12.5</v>
      </c>
      <c r="E653" s="141">
        <f t="shared" si="60"/>
        <v>1.4501940250881777</v>
      </c>
      <c r="F653" s="141">
        <f t="shared" si="61"/>
        <v>9.5238642712590429E-2</v>
      </c>
      <c r="G653" s="141">
        <f t="shared" si="62"/>
        <v>2.4714874999999998</v>
      </c>
      <c r="H653" s="141">
        <f>0.001013*Constantes!$D$6/(0.622*G653)</f>
        <v>4.5086629940516605E-2</v>
      </c>
      <c r="I653" s="141">
        <f t="shared" si="63"/>
        <v>0.34601062071581223</v>
      </c>
      <c r="J653" s="141">
        <f t="shared" si="64"/>
        <v>-0.12806077974275318</v>
      </c>
      <c r="K653" s="141">
        <f>(Constantes!$D$12/0.8)*(Constantes!$D$7*J653^2+Constantes!$D$8*J653+Constantes!$D$9)</f>
        <v>18.941041230116905</v>
      </c>
      <c r="L653" s="141">
        <f>(Constantes!$D$12/0.8)*(0.00376*D653^2-0.0516*D653-6.967)</f>
        <v>-4.3903125000000003</v>
      </c>
      <c r="M653" s="140">
        <f t="shared" si="65"/>
        <v>4.6414785937929599</v>
      </c>
      <c r="N653" s="12"/>
    </row>
    <row r="654" spans="2:14" ht="18.75" customHeight="1">
      <c r="B654" s="11"/>
      <c r="C654" s="75">
        <v>649</v>
      </c>
      <c r="D654" s="65">
        <f>(Observaciones!D654+Observaciones!E654)/2</f>
        <v>13.4</v>
      </c>
      <c r="E654" s="141">
        <f t="shared" si="60"/>
        <v>1.5381837134420713</v>
      </c>
      <c r="F654" s="141">
        <f t="shared" si="61"/>
        <v>0.10029320149589299</v>
      </c>
      <c r="G654" s="141">
        <f t="shared" si="62"/>
        <v>2.4693625999999997</v>
      </c>
      <c r="H654" s="141">
        <f>0.001013*Constantes!$D$6/(0.622*G654)</f>
        <v>4.5125427231753057E-2</v>
      </c>
      <c r="I654" s="141">
        <f t="shared" si="63"/>
        <v>0.35191447341494769</v>
      </c>
      <c r="J654" s="141">
        <f t="shared" si="64"/>
        <v>-0.13472806922983274</v>
      </c>
      <c r="K654" s="141">
        <f>(Constantes!$D$12/0.8)*(Constantes!$D$7*J654^2+Constantes!$D$8*J654+Constantes!$D$9)</f>
        <v>18.971142573301336</v>
      </c>
      <c r="L654" s="141">
        <f>(Constantes!$D$12/0.8)*(0.00376*D654^2-0.0516*D654-6.967)</f>
        <v>-4.3645589999999999</v>
      </c>
      <c r="M654" s="140">
        <f t="shared" si="65"/>
        <v>4.7396949876639702</v>
      </c>
      <c r="N654" s="12"/>
    </row>
    <row r="655" spans="2:14" ht="18.75" customHeight="1">
      <c r="B655" s="11"/>
      <c r="C655" s="75">
        <v>650</v>
      </c>
      <c r="D655" s="65">
        <f>(Observaciones!D655+Observaciones!E655)/2</f>
        <v>13.75</v>
      </c>
      <c r="E655" s="141">
        <f t="shared" si="60"/>
        <v>1.5736468149943981</v>
      </c>
      <c r="F655" s="141">
        <f t="shared" si="61"/>
        <v>0.10231958493462359</v>
      </c>
      <c r="G655" s="141">
        <f t="shared" si="62"/>
        <v>2.4685362500000001</v>
      </c>
      <c r="H655" s="141">
        <f>0.001013*Constantes!$D$6/(0.622*G655)</f>
        <v>4.5140533105443567E-2</v>
      </c>
      <c r="I655" s="141">
        <f t="shared" si="63"/>
        <v>0.35417281924860555</v>
      </c>
      <c r="J655" s="141">
        <f t="shared" si="64"/>
        <v>-0.14135543588232963</v>
      </c>
      <c r="K655" s="141">
        <f>(Constantes!$D$12/0.8)*(Constantes!$D$7*J655^2+Constantes!$D$8*J655+Constantes!$D$9)</f>
        <v>19.000319844744823</v>
      </c>
      <c r="L655" s="141">
        <f>(Constantes!$D$12/0.8)*(0.00376*D655^2-0.0516*D655-6.967)</f>
        <v>-4.353515625</v>
      </c>
      <c r="M655" s="140">
        <f t="shared" si="65"/>
        <v>4.7837361327270855</v>
      </c>
      <c r="N655" s="12"/>
    </row>
    <row r="656" spans="2:14" ht="18.75" customHeight="1">
      <c r="B656" s="11"/>
      <c r="C656" s="75">
        <v>651</v>
      </c>
      <c r="D656" s="65">
        <f>(Observaciones!D656+Observaciones!E656)/2</f>
        <v>11.4</v>
      </c>
      <c r="E656" s="141">
        <f t="shared" si="60"/>
        <v>1.3486760963347784</v>
      </c>
      <c r="F656" s="141">
        <f t="shared" si="61"/>
        <v>8.9356889727344888E-2</v>
      </c>
      <c r="G656" s="141">
        <f t="shared" si="62"/>
        <v>2.4740845999999999</v>
      </c>
      <c r="H656" s="141">
        <f>0.001013*Constantes!$D$6/(0.622*G656)</f>
        <v>4.5039301532014117E-2</v>
      </c>
      <c r="I656" s="141">
        <f t="shared" si="63"/>
        <v>0.33860789639405336</v>
      </c>
      <c r="J656" s="141">
        <f t="shared" si="64"/>
        <v>-0.14794091586847444</v>
      </c>
      <c r="K656" s="141">
        <f>(Constantes!$D$12/0.8)*(Constantes!$D$7*J656^2+Constantes!$D$8*J656+Constantes!$D$9)</f>
        <v>19.028578128829977</v>
      </c>
      <c r="L656" s="141">
        <f>(Constantes!$D$12/0.8)*(0.00376*D656^2-0.0516*D656-6.967)</f>
        <v>-4.4166189999999999</v>
      </c>
      <c r="M656" s="140">
        <f t="shared" si="65"/>
        <v>4.5611311341146221</v>
      </c>
      <c r="N656" s="12"/>
    </row>
    <row r="657" spans="2:14" ht="18.75" customHeight="1">
      <c r="B657" s="11"/>
      <c r="C657" s="75">
        <v>652</v>
      </c>
      <c r="D657" s="65">
        <f>(Observaciones!D657+Observaciones!E657)/2</f>
        <v>13.1</v>
      </c>
      <c r="E657" s="141">
        <f t="shared" si="60"/>
        <v>1.5083470419027751</v>
      </c>
      <c r="F657" s="141">
        <f t="shared" si="61"/>
        <v>9.8583579016665535E-2</v>
      </c>
      <c r="G657" s="141">
        <f t="shared" si="62"/>
        <v>2.4700709000000001</v>
      </c>
      <c r="H657" s="141">
        <f>0.001013*Constantes!$D$6/(0.622*G657)</f>
        <v>4.5112487384516987E-2</v>
      </c>
      <c r="I657" s="141">
        <f t="shared" si="63"/>
        <v>0.34996194939764519</v>
      </c>
      <c r="J657" s="141">
        <f t="shared" si="64"/>
        <v>-0.15448255776842162</v>
      </c>
      <c r="K657" s="141">
        <f>(Constantes!$D$12/0.8)*(Constantes!$D$7*J657^2+Constantes!$D$8*J657+Constantes!$D$9)</f>
        <v>19.055923348427321</v>
      </c>
      <c r="L657" s="141">
        <f>(Constantes!$D$12/0.8)*(0.00376*D657^2-0.0516*D657-6.967)</f>
        <v>-4.3735664999999999</v>
      </c>
      <c r="M657" s="140">
        <f t="shared" si="65"/>
        <v>4.7381353394722279</v>
      </c>
      <c r="N657" s="12"/>
    </row>
    <row r="658" spans="2:14" ht="18.75" customHeight="1">
      <c r="B658" s="11"/>
      <c r="C658" s="75">
        <v>653</v>
      </c>
      <c r="D658" s="65">
        <f>(Observaciones!D658+Observaciones!E658)/2</f>
        <v>13.95</v>
      </c>
      <c r="E658" s="141">
        <f t="shared" si="60"/>
        <v>1.5942318792002568</v>
      </c>
      <c r="F658" s="141">
        <f t="shared" si="61"/>
        <v>0.10349307775094918</v>
      </c>
      <c r="G658" s="141">
        <f t="shared" si="62"/>
        <v>2.4680640499999997</v>
      </c>
      <c r="H658" s="141">
        <f>0.001013*Constantes!$D$6/(0.622*G658)</f>
        <v>4.514916957487896E-2</v>
      </c>
      <c r="I658" s="141">
        <f t="shared" si="63"/>
        <v>0.35545379775699454</v>
      </c>
      <c r="J658" s="141">
        <f t="shared" si="64"/>
        <v>-0.16097842315249467</v>
      </c>
      <c r="K658" s="141">
        <f>(Constantes!$D$12/0.8)*(Constantes!$D$7*J658^2+Constantes!$D$8*J658+Constantes!$D$9)</f>
        <v>19.082362246196094</v>
      </c>
      <c r="L658" s="141">
        <f>(Constantes!$D$12/0.8)*(0.00376*D658^2-0.0516*D658-6.967)</f>
        <v>-4.3469466250000002</v>
      </c>
      <c r="M658" s="140">
        <f t="shared" si="65"/>
        <v>4.8307855562467887</v>
      </c>
      <c r="N658" s="12"/>
    </row>
    <row r="659" spans="2:14" ht="18.75" customHeight="1">
      <c r="B659" s="11"/>
      <c r="C659" s="75">
        <v>654</v>
      </c>
      <c r="D659" s="65">
        <f>(Observaciones!D659+Observaciones!E659)/2</f>
        <v>14.8</v>
      </c>
      <c r="E659" s="141">
        <f t="shared" si="60"/>
        <v>1.6843778570488643</v>
      </c>
      <c r="F659" s="141">
        <f t="shared" si="61"/>
        <v>0.10860899280138459</v>
      </c>
      <c r="G659" s="141">
        <f t="shared" si="62"/>
        <v>2.4660571999999998</v>
      </c>
      <c r="H659" s="141">
        <f>0.001013*Constantes!$D$6/(0.622*G659)</f>
        <v>4.5185911468360318E-2</v>
      </c>
      <c r="I659" s="141">
        <f t="shared" si="63"/>
        <v>0.36082052945585191</v>
      </c>
      <c r="J659" s="141">
        <f t="shared" si="64"/>
        <v>-0.16742658715558942</v>
      </c>
      <c r="K659" s="141">
        <f>(Constantes!$D$12/0.8)*(Constantes!$D$7*J659^2+Constantes!$D$8*J659+Constantes!$D$9)</f>
        <v>19.10790236499129</v>
      </c>
      <c r="L659" s="141">
        <f>(Constantes!$D$12/0.8)*(0.00376*D659^2-0.0516*D659-6.967)</f>
        <v>-4.3169310000000003</v>
      </c>
      <c r="M659" s="140">
        <f t="shared" si="65"/>
        <v>4.9232147121948886</v>
      </c>
      <c r="N659" s="12"/>
    </row>
    <row r="660" spans="2:14" ht="18.75" customHeight="1">
      <c r="B660" s="11"/>
      <c r="C660" s="75">
        <v>655</v>
      </c>
      <c r="D660" s="65">
        <f>(Observaciones!D660+Observaciones!E660)/2</f>
        <v>14.8</v>
      </c>
      <c r="E660" s="141">
        <f t="shared" si="60"/>
        <v>1.6843778570488643</v>
      </c>
      <c r="F660" s="141">
        <f t="shared" si="61"/>
        <v>0.10860899280138459</v>
      </c>
      <c r="G660" s="141">
        <f t="shared" si="62"/>
        <v>2.4660571999999998</v>
      </c>
      <c r="H660" s="141">
        <f>0.001013*Constantes!$D$6/(0.622*G660)</f>
        <v>4.5185911468360318E-2</v>
      </c>
      <c r="I660" s="141">
        <f t="shared" si="63"/>
        <v>0.36082052945585191</v>
      </c>
      <c r="J660" s="141">
        <f t="shared" si="64"/>
        <v>-0.17382513904754696</v>
      </c>
      <c r="K660" s="141">
        <f>(Constantes!$D$12/0.8)*(Constantes!$D$7*J660^2+Constantes!$D$8*J660+Constantes!$D$9)</f>
        <v>19.132552027403364</v>
      </c>
      <c r="L660" s="141">
        <f>(Constantes!$D$12/0.8)*(0.00376*D660^2-0.0516*D660-6.967)</f>
        <v>-4.3169310000000003</v>
      </c>
      <c r="M660" s="140">
        <f t="shared" si="65"/>
        <v>4.931575170182775</v>
      </c>
      <c r="N660" s="12"/>
    </row>
    <row r="661" spans="2:14" ht="18.75" customHeight="1">
      <c r="B661" s="11"/>
      <c r="C661" s="75">
        <v>656</v>
      </c>
      <c r="D661" s="65">
        <f>(Observaciones!D661+Observaciones!E661)/2</f>
        <v>13.45</v>
      </c>
      <c r="E661" s="141">
        <f t="shared" si="60"/>
        <v>1.5432065279848868</v>
      </c>
      <c r="F661" s="141">
        <f t="shared" si="61"/>
        <v>0.1005805769400801</v>
      </c>
      <c r="G661" s="141">
        <f t="shared" si="62"/>
        <v>2.46924455</v>
      </c>
      <c r="H661" s="141">
        <f>0.001013*Constantes!$D$6/(0.622*G661)</f>
        <v>4.5127584594694167E-2</v>
      </c>
      <c r="I661" s="141">
        <f t="shared" si="63"/>
        <v>0.35223838816895903</v>
      </c>
      <c r="J661" s="141">
        <f t="shared" si="64"/>
        <v>-0.18017218279935227</v>
      </c>
      <c r="K661" s="141">
        <f>(Constantes!$D$12/0.8)*(Constantes!$D$7*J661^2+Constantes!$D$8*J661+Constantes!$D$9)</f>
        <v>19.156320314458512</v>
      </c>
      <c r="L661" s="141">
        <f>(Constantes!$D$12/0.8)*(0.00376*D661^2-0.0516*D661-6.967)</f>
        <v>-4.3630166249999993</v>
      </c>
      <c r="M661" s="140">
        <f t="shared" si="65"/>
        <v>4.8059139638199913</v>
      </c>
      <c r="N661" s="12"/>
    </row>
    <row r="662" spans="2:14" ht="18.75" customHeight="1">
      <c r="B662" s="11"/>
      <c r="C662" s="75">
        <v>657</v>
      </c>
      <c r="D662" s="65">
        <f>(Observaciones!D662+Observaciones!E662)/2</f>
        <v>13.75</v>
      </c>
      <c r="E662" s="141">
        <f t="shared" si="60"/>
        <v>1.5736468149943981</v>
      </c>
      <c r="F662" s="141">
        <f t="shared" si="61"/>
        <v>0.10231958493462359</v>
      </c>
      <c r="G662" s="141">
        <f t="shared" si="62"/>
        <v>2.4685362500000001</v>
      </c>
      <c r="H662" s="141">
        <f>0.001013*Constantes!$D$6/(0.622*G662)</f>
        <v>4.5140533105443567E-2</v>
      </c>
      <c r="I662" s="141">
        <f t="shared" si="63"/>
        <v>0.35417281924860555</v>
      </c>
      <c r="J662" s="141">
        <f t="shared" si="64"/>
        <v>-0.1864658376449593</v>
      </c>
      <c r="K662" s="141">
        <f>(Constantes!$D$12/0.8)*(Constantes!$D$7*J662^2+Constantes!$D$8*J662+Constantes!$D$9)</f>
        <v>19.179217043507954</v>
      </c>
      <c r="L662" s="141">
        <f>(Constantes!$D$12/0.8)*(0.00376*D662^2-0.0516*D662-6.967)</f>
        <v>-4.353515625</v>
      </c>
      <c r="M662" s="140">
        <f t="shared" si="65"/>
        <v>4.8432950264542054</v>
      </c>
      <c r="N662" s="12"/>
    </row>
    <row r="663" spans="2:14" ht="18.75" customHeight="1">
      <c r="B663" s="11"/>
      <c r="C663" s="75">
        <v>658</v>
      </c>
      <c r="D663" s="65">
        <f>(Observaciones!D663+Observaciones!E663)/2</f>
        <v>12.7</v>
      </c>
      <c r="E663" s="141">
        <f t="shared" si="60"/>
        <v>1.4693556920806219</v>
      </c>
      <c r="F663" s="141">
        <f t="shared" si="61"/>
        <v>9.6342714018342213E-2</v>
      </c>
      <c r="G663" s="141">
        <f t="shared" si="62"/>
        <v>2.4710152999999999</v>
      </c>
      <c r="H663" s="141">
        <f>0.001013*Constantes!$D$6/(0.622*G663)</f>
        <v>4.5095245794355275E-2</v>
      </c>
      <c r="I663" s="141">
        <f t="shared" si="63"/>
        <v>0.34733456468782936</v>
      </c>
      <c r="J663" s="141">
        <f t="shared" si="64"/>
        <v>-0.19270423863861044</v>
      </c>
      <c r="K663" s="141">
        <f>(Constantes!$D$12/0.8)*(Constantes!$D$7*J663^2+Constantes!$D$8*J663+Constantes!$D$9)</f>
        <v>19.201252745335921</v>
      </c>
      <c r="L663" s="141">
        <f>(Constantes!$D$12/0.8)*(0.00376*D663^2-0.0516*D663-6.967)</f>
        <v>-4.3849184999999995</v>
      </c>
      <c r="M663" s="140">
        <f t="shared" si="65"/>
        <v>4.7460694795473968</v>
      </c>
      <c r="N663" s="12"/>
    </row>
    <row r="664" spans="2:14" ht="18.75" customHeight="1">
      <c r="B664" s="11"/>
      <c r="C664" s="75">
        <v>659</v>
      </c>
      <c r="D664" s="65">
        <f>(Observaciones!D664+Observaciones!E664)/2</f>
        <v>13.65</v>
      </c>
      <c r="E664" s="141">
        <f t="shared" si="60"/>
        <v>1.5634420277037249</v>
      </c>
      <c r="F664" s="141">
        <f t="shared" si="61"/>
        <v>0.1017370958602755</v>
      </c>
      <c r="G664" s="141">
        <f t="shared" si="62"/>
        <v>2.4687723500000001</v>
      </c>
      <c r="H664" s="141">
        <f>0.001013*Constantes!$D$6/(0.622*G664)</f>
        <v>4.5136216109643537E-2</v>
      </c>
      <c r="I664" s="141">
        <f t="shared" si="63"/>
        <v>0.35352973562893358</v>
      </c>
      <c r="J664" s="141">
        <f t="shared" si="64"/>
        <v>-0.19888553720745419</v>
      </c>
      <c r="K664" s="141">
        <f>(Constantes!$D$12/0.8)*(Constantes!$D$7*J664^2+Constantes!$D$8*J664+Constantes!$D$9)</f>
        <v>19.22243864051676</v>
      </c>
      <c r="L664" s="141">
        <f>(Constantes!$D$12/0.8)*(0.00376*D664^2-0.0516*D664-6.967)</f>
        <v>-4.3567296249999998</v>
      </c>
      <c r="M664" s="140">
        <f t="shared" si="65"/>
        <v>4.8477279591487781</v>
      </c>
      <c r="N664" s="12"/>
    </row>
    <row r="665" spans="2:14" ht="18.75" customHeight="1">
      <c r="B665" s="11"/>
      <c r="C665" s="75">
        <v>660</v>
      </c>
      <c r="D665" s="65">
        <f>(Observaciones!D665+Observaciones!E665)/2</f>
        <v>14.05</v>
      </c>
      <c r="E665" s="141">
        <f t="shared" si="60"/>
        <v>1.604612725353836</v>
      </c>
      <c r="F665" s="141">
        <f t="shared" si="61"/>
        <v>0.10408410376289531</v>
      </c>
      <c r="G665" s="141">
        <f t="shared" si="62"/>
        <v>2.4678279499999998</v>
      </c>
      <c r="H665" s="141">
        <f>0.001013*Constantes!$D$6/(0.622*G665)</f>
        <v>4.5153489048988422E-2</v>
      </c>
      <c r="I665" s="141">
        <f t="shared" si="63"/>
        <v>0.35609168948623277</v>
      </c>
      <c r="J665" s="141">
        <f t="shared" si="64"/>
        <v>-0.20500790169932193</v>
      </c>
      <c r="K665" s="141">
        <f>(Constantes!$D$12/0.8)*(Constantes!$D$7*J665^2+Constantes!$D$8*J665+Constantes!$D$9)</f>
        <v>19.242786615052502</v>
      </c>
      <c r="L665" s="141">
        <f>(Constantes!$D$12/0.8)*(0.00376*D665^2-0.0516*D665-6.967)</f>
        <v>-4.3435916249999993</v>
      </c>
      <c r="M665" s="140">
        <f t="shared" si="65"/>
        <v>4.8943477322219842</v>
      </c>
      <c r="N665" s="12"/>
    </row>
    <row r="666" spans="2:14" ht="18.75" customHeight="1">
      <c r="B666" s="11"/>
      <c r="C666" s="75">
        <v>661</v>
      </c>
      <c r="D666" s="65">
        <f>(Observaciones!D666+Observaciones!E666)/2</f>
        <v>14.600000000000001</v>
      </c>
      <c r="E666" s="141">
        <f t="shared" si="60"/>
        <v>1.662774337609296</v>
      </c>
      <c r="F666" s="141">
        <f t="shared" si="61"/>
        <v>0.10738631317466249</v>
      </c>
      <c r="G666" s="141">
        <f t="shared" si="62"/>
        <v>2.4665293999999998</v>
      </c>
      <c r="H666" s="141">
        <f>0.001013*Constantes!$D$6/(0.622*G666)</f>
        <v>4.5177260938025939E-2</v>
      </c>
      <c r="I666" s="141">
        <f t="shared" si="63"/>
        <v>0.35956906979682202</v>
      </c>
      <c r="J666" s="141">
        <f t="shared" si="64"/>
        <v>-0.21106951792548392</v>
      </c>
      <c r="K666" s="141">
        <f>(Constantes!$D$12/0.8)*(Constantes!$D$7*J666^2+Constantes!$D$8*J666+Constantes!$D$9)</f>
        <v>19.262309195323009</v>
      </c>
      <c r="L666" s="141">
        <f>(Constantes!$D$12/0.8)*(0.00376*D666^2-0.0516*D666-6.967)</f>
        <v>-4.3242989999999999</v>
      </c>
      <c r="M666" s="140">
        <f t="shared" si="65"/>
        <v>4.955678594577674</v>
      </c>
      <c r="N666" s="12"/>
    </row>
    <row r="667" spans="2:14" ht="18.75" customHeight="1">
      <c r="B667" s="11"/>
      <c r="C667" s="75">
        <v>662</v>
      </c>
      <c r="D667" s="65">
        <f>(Observaciones!D667+Observaciones!E667)/2</f>
        <v>11.3</v>
      </c>
      <c r="E667" s="141">
        <f t="shared" si="60"/>
        <v>1.3397646526819857</v>
      </c>
      <c r="F667" s="141">
        <f t="shared" si="61"/>
        <v>8.8837887126731518E-2</v>
      </c>
      <c r="G667" s="141">
        <f t="shared" si="62"/>
        <v>2.4743206999999998</v>
      </c>
      <c r="H667" s="141">
        <f>0.001013*Constantes!$D$6/(0.622*G667)</f>
        <v>4.5035003876058806E-2</v>
      </c>
      <c r="I667" s="141">
        <f t="shared" si="63"/>
        <v>0.33792485453988758</v>
      </c>
      <c r="J667" s="141">
        <f t="shared" si="64"/>
        <v>-0.21706858969823067</v>
      </c>
      <c r="K667" s="141">
        <f>(Constantes!$D$12/0.8)*(Constantes!$D$7*J667^2+Constantes!$D$8*J667+Constantes!$D$9)</f>
        <v>19.281019522381676</v>
      </c>
      <c r="L667" s="141">
        <f>(Constantes!$D$12/0.8)*(0.00376*D667^2-0.0516*D667-6.967)</f>
        <v>-4.4187285000000003</v>
      </c>
      <c r="M667" s="140">
        <f t="shared" si="65"/>
        <v>4.6314053888189113</v>
      </c>
      <c r="N667" s="12"/>
    </row>
    <row r="668" spans="2:14" ht="18.75" customHeight="1">
      <c r="B668" s="11"/>
      <c r="C668" s="75">
        <v>663</v>
      </c>
      <c r="D668" s="65">
        <f>(Observaciones!D668+Observaciones!E668)/2</f>
        <v>11.45</v>
      </c>
      <c r="E668" s="141">
        <f t="shared" si="60"/>
        <v>1.3531513167724236</v>
      </c>
      <c r="F668" s="141">
        <f t="shared" si="61"/>
        <v>8.9617358691077773E-2</v>
      </c>
      <c r="G668" s="141">
        <f t="shared" si="62"/>
        <v>2.4739665500000001</v>
      </c>
      <c r="H668" s="141">
        <f>0.001013*Constantes!$D$6/(0.622*G668)</f>
        <v>4.504145066759796E-2</v>
      </c>
      <c r="I668" s="141">
        <f t="shared" si="63"/>
        <v>0.33894879271912193</v>
      </c>
      <c r="J668" s="141">
        <f t="shared" si="64"/>
        <v>-0.22300333936312605</v>
      </c>
      <c r="K668" s="141">
        <f>(Constantes!$D$12/0.8)*(Constantes!$D$7*J668^2+Constantes!$D$8*J668+Constantes!$D$9)</f>
        <v>19.298931325630409</v>
      </c>
      <c r="L668" s="141">
        <f>(Constantes!$D$12/0.8)*(0.00376*D668^2-0.0516*D668-6.967)</f>
        <v>-4.4155466249999993</v>
      </c>
      <c r="M668" s="140">
        <f t="shared" si="65"/>
        <v>4.652224307437427</v>
      </c>
      <c r="N668" s="12"/>
    </row>
    <row r="669" spans="2:14" ht="18.75" customHeight="1">
      <c r="B669" s="11"/>
      <c r="C669" s="75">
        <v>664</v>
      </c>
      <c r="D669" s="65">
        <f>(Observaciones!D669+Observaciones!E669)/2</f>
        <v>12.9</v>
      </c>
      <c r="E669" s="141">
        <f t="shared" si="60"/>
        <v>1.4887393027557323</v>
      </c>
      <c r="F669" s="141">
        <f t="shared" si="61"/>
        <v>9.7457663967834368E-2</v>
      </c>
      <c r="G669" s="141">
        <f t="shared" si="62"/>
        <v>2.4705431</v>
      </c>
      <c r="H669" s="141">
        <f>0.001013*Constantes!$D$6/(0.622*G669)</f>
        <v>4.5103864941725781E-2</v>
      </c>
      <c r="I669" s="141">
        <f t="shared" si="63"/>
        <v>0.34865168081674919</v>
      </c>
      <c r="J669" s="141">
        <f t="shared" si="64"/>
        <v>-0.22887200832576185</v>
      </c>
      <c r="K669" s="141">
        <f>(Constantes!$D$12/0.8)*(Constantes!$D$7*J669^2+Constantes!$D$8*J669+Constantes!$D$9)</f>
        <v>19.316058895908128</v>
      </c>
      <c r="L669" s="141">
        <f>(Constantes!$D$12/0.8)*(0.00376*D669^2-0.0516*D669-6.967)</f>
        <v>-4.3793364999999991</v>
      </c>
      <c r="M669" s="140">
        <f t="shared" si="65"/>
        <v>4.8036387851777285</v>
      </c>
      <c r="N669" s="12"/>
    </row>
    <row r="670" spans="2:14" ht="18.75" customHeight="1">
      <c r="B670" s="11"/>
      <c r="C670" s="75">
        <v>665</v>
      </c>
      <c r="D670" s="65">
        <f>(Observaciones!D670+Observaciones!E670)/2</f>
        <v>14.35</v>
      </c>
      <c r="E670" s="141">
        <f t="shared" si="60"/>
        <v>1.6361119589017179</v>
      </c>
      <c r="F670" s="141">
        <f t="shared" si="61"/>
        <v>0.10587443449555982</v>
      </c>
      <c r="G670" s="141">
        <f t="shared" si="62"/>
        <v>2.4671196499999999</v>
      </c>
      <c r="H670" s="141">
        <f>0.001013*Constantes!$D$6/(0.622*G670)</f>
        <v>4.5166452431730474E-2</v>
      </c>
      <c r="I670" s="141">
        <f t="shared" si="63"/>
        <v>0.35799495730755543</v>
      </c>
      <c r="J670" s="141">
        <f t="shared" si="64"/>
        <v>-0.23467285757286888</v>
      </c>
      <c r="K670" s="141">
        <f>(Constantes!$D$12/0.8)*(Constantes!$D$7*J670^2+Constantes!$D$8*J670+Constantes!$D$9)</f>
        <v>19.332417058028007</v>
      </c>
      <c r="L670" s="141">
        <f>(Constantes!$D$12/0.8)*(0.00376*D670^2-0.0516*D670-6.967)</f>
        <v>-4.3332446249999998</v>
      </c>
      <c r="M670" s="140">
        <f t="shared" si="65"/>
        <v>4.9543736256500877</v>
      </c>
      <c r="N670" s="12"/>
    </row>
    <row r="671" spans="2:14" ht="18.75" customHeight="1">
      <c r="B671" s="11"/>
      <c r="C671" s="75">
        <v>666</v>
      </c>
      <c r="D671" s="65">
        <f>(Observaciones!D671+Observaciones!E671)/2</f>
        <v>15.75</v>
      </c>
      <c r="E671" s="141">
        <f t="shared" si="60"/>
        <v>1.7903914829906238</v>
      </c>
      <c r="F671" s="141">
        <f t="shared" si="61"/>
        <v>0.11457959266903198</v>
      </c>
      <c r="G671" s="141">
        <f t="shared" si="62"/>
        <v>2.46381425</v>
      </c>
      <c r="H671" s="141">
        <f>0.001013*Constantes!$D$6/(0.622*G671)</f>
        <v>4.5227046769094927E-2</v>
      </c>
      <c r="I671" s="141">
        <f t="shared" si="63"/>
        <v>0.36666971208022214</v>
      </c>
      <c r="J671" s="141">
        <f t="shared" si="64"/>
        <v>-0.24040416818762136</v>
      </c>
      <c r="K671" s="141">
        <f>(Constantes!$D$12/0.8)*(Constantes!$D$7*J671^2+Constantes!$D$8*J671+Constantes!$D$9)</f>
        <v>19.348021142799002</v>
      </c>
      <c r="L671" s="141">
        <f>(Constantes!$D$12/0.8)*(0.00376*D671^2-0.0516*D671-6.967)</f>
        <v>-4.2793656250000005</v>
      </c>
      <c r="M671" s="140">
        <f t="shared" si="65"/>
        <v>5.099559579642281</v>
      </c>
      <c r="N671" s="12"/>
    </row>
    <row r="672" spans="2:14" ht="18.75" customHeight="1">
      <c r="B672" s="11"/>
      <c r="C672" s="75">
        <v>667</v>
      </c>
      <c r="D672" s="65">
        <f>(Observaciones!D672+Observaciones!E672)/2</f>
        <v>15.6</v>
      </c>
      <c r="E672" s="141">
        <f t="shared" si="60"/>
        <v>1.7732733774914811</v>
      </c>
      <c r="F672" s="141">
        <f t="shared" si="61"/>
        <v>0.11361874538407207</v>
      </c>
      <c r="G672" s="141">
        <f t="shared" si="62"/>
        <v>2.4641683999999997</v>
      </c>
      <c r="H672" s="141">
        <f>0.001013*Constantes!$D$6/(0.622*G672)</f>
        <v>4.522054674311729E-2</v>
      </c>
      <c r="I672" s="141">
        <f t="shared" si="63"/>
        <v>0.36575663025648686</v>
      </c>
      <c r="J672" s="141">
        <f t="shared" si="64"/>
        <v>-0.246064241858993</v>
      </c>
      <c r="K672" s="141">
        <f>(Constantes!$D$12/0.8)*(Constantes!$D$7*J672^2+Constantes!$D$8*J672+Constantes!$D$9)</f>
        <v>19.362886958567973</v>
      </c>
      <c r="L672" s="141">
        <f>(Constantes!$D$12/0.8)*(0.00376*D672^2-0.0516*D672-6.967)</f>
        <v>-4.2855790000000002</v>
      </c>
      <c r="M672" s="140">
        <f t="shared" si="65"/>
        <v>5.0896990951049466</v>
      </c>
      <c r="N672" s="12"/>
    </row>
    <row r="673" spans="2:14" ht="18.75" customHeight="1">
      <c r="B673" s="11"/>
      <c r="C673" s="75">
        <v>668</v>
      </c>
      <c r="D673" s="65">
        <f>(Observaciones!D673+Observaciones!E673)/2</f>
        <v>14.15</v>
      </c>
      <c r="E673" s="141">
        <f t="shared" si="60"/>
        <v>1.6150528288927855</v>
      </c>
      <c r="F673" s="141">
        <f t="shared" si="61"/>
        <v>0.10467799774317721</v>
      </c>
      <c r="G673" s="141">
        <f t="shared" si="62"/>
        <v>2.4675918499999998</v>
      </c>
      <c r="H673" s="141">
        <f>0.001013*Constantes!$D$6/(0.622*G673)</f>
        <v>4.5157809349675282E-2</v>
      </c>
      <c r="I673" s="141">
        <f t="shared" si="63"/>
        <v>0.35672784756039339</v>
      </c>
      <c r="J673" s="141">
        <f t="shared" si="64"/>
        <v>-0.25165140138500053</v>
      </c>
      <c r="K673" s="141">
        <f>(Constantes!$D$12/0.8)*(Constantes!$D$7*J673^2+Constantes!$D$8*J673+Constantes!$D$9)</f>
        <v>19.377030762319141</v>
      </c>
      <c r="L673" s="141">
        <f>(Constantes!$D$12/0.8)*(0.00376*D673^2-0.0516*D673-6.967)</f>
        <v>-4.3401896249999998</v>
      </c>
      <c r="M673" s="140">
        <f t="shared" si="65"/>
        <v>4.9493203844662164</v>
      </c>
      <c r="N673" s="12"/>
    </row>
    <row r="674" spans="2:14" ht="18.75" customHeight="1">
      <c r="B674" s="11"/>
      <c r="C674" s="75">
        <v>669</v>
      </c>
      <c r="D674" s="65">
        <f>(Observaciones!D674+Observaciones!E674)/2</f>
        <v>14.9</v>
      </c>
      <c r="E674" s="141">
        <f t="shared" si="60"/>
        <v>1.6952716301356707</v>
      </c>
      <c r="F674" s="141">
        <f t="shared" si="61"/>
        <v>0.10922475617100802</v>
      </c>
      <c r="G674" s="141">
        <f t="shared" si="62"/>
        <v>2.4658210999999999</v>
      </c>
      <c r="H674" s="141">
        <f>0.001013*Constantes!$D$6/(0.622*G674)</f>
        <v>4.5190237975947463E-2</v>
      </c>
      <c r="I674" s="141">
        <f t="shared" si="63"/>
        <v>0.36144364658766281</v>
      </c>
      <c r="J674" s="141">
        <f t="shared" si="64"/>
        <v>-0.25716399116969618</v>
      </c>
      <c r="K674" s="141">
        <f>(Constantes!$D$12/0.8)*(Constantes!$D$7*J674^2+Constantes!$D$8*J674+Constantes!$D$9)</f>
        <v>19.390469230368165</v>
      </c>
      <c r="L674" s="141">
        <f>(Constantes!$D$12/0.8)*(0.00376*D674^2-0.0516*D674-6.967)</f>
        <v>-4.3131765</v>
      </c>
      <c r="M674" s="140">
        <f t="shared" si="65"/>
        <v>5.0290779506737193</v>
      </c>
      <c r="N674" s="12"/>
    </row>
    <row r="675" spans="2:14" ht="18.75" customHeight="1">
      <c r="B675" s="11"/>
      <c r="C675" s="75">
        <v>670</v>
      </c>
      <c r="D675" s="65">
        <f>(Observaciones!D675+Observaciones!E675)/2</f>
        <v>14.5</v>
      </c>
      <c r="E675" s="141">
        <f t="shared" si="60"/>
        <v>1.6520640028566567</v>
      </c>
      <c r="F675" s="141">
        <f t="shared" si="61"/>
        <v>0.10677937410937641</v>
      </c>
      <c r="G675" s="141">
        <f t="shared" si="62"/>
        <v>2.4667654999999997</v>
      </c>
      <c r="H675" s="141">
        <f>0.001013*Constantes!$D$6/(0.622*G675)</f>
        <v>4.5172936914803029E-2</v>
      </c>
      <c r="I675" s="141">
        <f t="shared" si="63"/>
        <v>0.35894072909367275</v>
      </c>
      <c r="J675" s="141">
        <f t="shared" si="64"/>
        <v>-0.26260037771375483</v>
      </c>
      <c r="K675" s="141">
        <f>(Constantes!$D$12/0.8)*(Constantes!$D$7*J675^2+Constantes!$D$8*J675+Constantes!$D$9)</f>
        <v>19.403219428688551</v>
      </c>
      <c r="L675" s="141">
        <f>(Constantes!$D$12/0.8)*(0.00376*D675^2-0.0516*D675-6.967)</f>
        <v>-4.3279125000000001</v>
      </c>
      <c r="M675" s="140">
        <f t="shared" si="65"/>
        <v>4.9932653165844849</v>
      </c>
      <c r="N675" s="12"/>
    </row>
    <row r="676" spans="2:14" ht="18.75" customHeight="1">
      <c r="B676" s="11"/>
      <c r="C676" s="75">
        <v>671</v>
      </c>
      <c r="D676" s="65">
        <f>(Observaciones!D676+Observaciones!E676)/2</f>
        <v>14.6</v>
      </c>
      <c r="E676" s="141">
        <f t="shared" si="60"/>
        <v>1.6627743376092956</v>
      </c>
      <c r="F676" s="141">
        <f t="shared" si="61"/>
        <v>0.10738631317466246</v>
      </c>
      <c r="G676" s="141">
        <f t="shared" si="62"/>
        <v>2.4665293999999998</v>
      </c>
      <c r="H676" s="141">
        <f>0.001013*Constantes!$D$6/(0.622*G676)</f>
        <v>4.5177260938025939E-2</v>
      </c>
      <c r="I676" s="141">
        <f t="shared" si="63"/>
        <v>0.35956906979682196</v>
      </c>
      <c r="J676" s="141">
        <f t="shared" si="64"/>
        <v>-0.26795895009851539</v>
      </c>
      <c r="K676" s="141">
        <f>(Constantes!$D$12/0.8)*(Constantes!$D$7*J676^2+Constantes!$D$8*J676+Constantes!$D$9)</f>
        <v>19.415298782908465</v>
      </c>
      <c r="L676" s="141">
        <f>(Constantes!$D$12/0.8)*(0.00376*D676^2-0.0516*D676-6.967)</f>
        <v>-4.3242989999999999</v>
      </c>
      <c r="M676" s="140">
        <f t="shared" si="65"/>
        <v>5.0073882988525718</v>
      </c>
      <c r="N676" s="12"/>
    </row>
    <row r="677" spans="2:14" ht="18.75" customHeight="1">
      <c r="B677" s="11"/>
      <c r="C677" s="75">
        <v>672</v>
      </c>
      <c r="D677" s="65">
        <f>(Observaciones!D677+Observaciones!E677)/2</f>
        <v>15</v>
      </c>
      <c r="E677" s="141">
        <f t="shared" si="60"/>
        <v>1.7062271396379793</v>
      </c>
      <c r="F677" s="141">
        <f t="shared" si="61"/>
        <v>0.10984348383671551</v>
      </c>
      <c r="G677" s="141">
        <f t="shared" si="62"/>
        <v>2.4655849999999999</v>
      </c>
      <c r="H677" s="141">
        <f>0.001013*Constantes!$D$6/(0.622*G677)</f>
        <v>4.5194565312131819E-2</v>
      </c>
      <c r="I677" s="141">
        <f t="shared" si="63"/>
        <v>0.36206502083102154</v>
      </c>
      <c r="J677" s="141">
        <f t="shared" si="64"/>
        <v>-0.27323812046333518</v>
      </c>
      <c r="K677" s="141">
        <f>(Constantes!$D$12/0.8)*(Constantes!$D$7*J677^2+Constantes!$D$8*J677+Constantes!$D$9)</f>
        <v>19.426725048016468</v>
      </c>
      <c r="L677" s="141">
        <f>(Constantes!$D$12/0.8)*(0.00376*D677^2-0.0516*D677-6.967)</f>
        <v>-4.3093749999999993</v>
      </c>
      <c r="M677" s="140">
        <f t="shared" si="65"/>
        <v>5.0514394034936112</v>
      </c>
      <c r="N677" s="12"/>
    </row>
    <row r="678" spans="2:14" ht="18.75" customHeight="1">
      <c r="B678" s="11"/>
      <c r="C678" s="75">
        <v>673</v>
      </c>
      <c r="D678" s="65">
        <f>(Observaciones!D678+Observaciones!E678)/2</f>
        <v>14.25</v>
      </c>
      <c r="E678" s="141">
        <f t="shared" si="60"/>
        <v>1.6255524772300411</v>
      </c>
      <c r="F678" s="141">
        <f t="shared" si="61"/>
        <v>0.10527477090559632</v>
      </c>
      <c r="G678" s="141">
        <f t="shared" si="62"/>
        <v>2.4673557499999998</v>
      </c>
      <c r="H678" s="141">
        <f>0.001013*Constantes!$D$6/(0.622*G678)</f>
        <v>4.5162130477176848E-2</v>
      </c>
      <c r="I678" s="141">
        <f t="shared" si="63"/>
        <v>0.35736227060066839</v>
      </c>
      <c r="J678" s="141">
        <f t="shared" si="64"/>
        <v>-0.27843632447609945</v>
      </c>
      <c r="K678" s="141">
        <f>(Constantes!$D$12/0.8)*(Constantes!$D$7*J678^2+Constantes!$D$8*J678+Constantes!$D$9)</f>
        <v>19.437516277814861</v>
      </c>
      <c r="L678" s="141">
        <f>(Constantes!$D$12/0.8)*(0.00376*D678^2-0.0516*D678-6.967)</f>
        <v>-4.3367406249999991</v>
      </c>
      <c r="M678" s="140">
        <f t="shared" si="65"/>
        <v>4.9796733780085676</v>
      </c>
      <c r="N678" s="12"/>
    </row>
    <row r="679" spans="2:14" ht="18.75" customHeight="1">
      <c r="B679" s="11"/>
      <c r="C679" s="75">
        <v>674</v>
      </c>
      <c r="D679" s="65">
        <f>(Observaciones!D679+Observaciones!E679)/2</f>
        <v>15.6</v>
      </c>
      <c r="E679" s="141">
        <f t="shared" si="60"/>
        <v>1.7732733774914811</v>
      </c>
      <c r="F679" s="141">
        <f t="shared" si="61"/>
        <v>0.11361874538407207</v>
      </c>
      <c r="G679" s="141">
        <f t="shared" si="62"/>
        <v>2.4641683999999997</v>
      </c>
      <c r="H679" s="141">
        <f>0.001013*Constantes!$D$6/(0.622*G679)</f>
        <v>4.522054674311729E-2</v>
      </c>
      <c r="I679" s="141">
        <f t="shared" si="63"/>
        <v>0.36575663025648686</v>
      </c>
      <c r="J679" s="141">
        <f t="shared" si="64"/>
        <v>-0.28355202179677397</v>
      </c>
      <c r="K679" s="141">
        <f>(Constantes!$D$12/0.8)*(Constantes!$D$7*J679^2+Constantes!$D$8*J679+Constantes!$D$9)</f>
        <v>19.447690794159708</v>
      </c>
      <c r="L679" s="141">
        <f>(Constantes!$D$12/0.8)*(0.00376*D679^2-0.0516*D679-6.967)</f>
        <v>-4.2855790000000002</v>
      </c>
      <c r="M679" s="140">
        <f t="shared" si="65"/>
        <v>5.1188556063354733</v>
      </c>
      <c r="N679" s="12"/>
    </row>
    <row r="680" spans="2:14" ht="18.75" customHeight="1">
      <c r="B680" s="11"/>
      <c r="C680" s="75">
        <v>675</v>
      </c>
      <c r="D680" s="65">
        <f>(Observaciones!D680+Observaciones!E680)/2</f>
        <v>15</v>
      </c>
      <c r="E680" s="141">
        <f t="shared" si="60"/>
        <v>1.7062271396379793</v>
      </c>
      <c r="F680" s="141">
        <f t="shared" si="61"/>
        <v>0.10984348383671551</v>
      </c>
      <c r="G680" s="141">
        <f t="shared" si="62"/>
        <v>2.4655849999999999</v>
      </c>
      <c r="H680" s="141">
        <f>0.001013*Constantes!$D$6/(0.622*G680)</f>
        <v>4.5194565312131819E-2</v>
      </c>
      <c r="I680" s="141">
        <f t="shared" si="63"/>
        <v>0.36206502083102154</v>
      </c>
      <c r="J680" s="141">
        <f t="shared" si="64"/>
        <v>-0.2885836965338357</v>
      </c>
      <c r="K680" s="141">
        <f>(Constantes!$D$12/0.8)*(Constantes!$D$7*J680^2+Constantes!$D$8*J680+Constantes!$D$9)</f>
        <v>19.45726715602677</v>
      </c>
      <c r="L680" s="141">
        <f>(Constantes!$D$12/0.8)*(0.00376*D680^2-0.0516*D680-6.967)</f>
        <v>-4.3093749999999993</v>
      </c>
      <c r="M680" s="140">
        <f t="shared" si="65"/>
        <v>5.0618341387282051</v>
      </c>
      <c r="N680" s="12"/>
    </row>
    <row r="681" spans="2:14" ht="18.75" customHeight="1">
      <c r="B681" s="11"/>
      <c r="C681" s="75">
        <v>676</v>
      </c>
      <c r="D681" s="65">
        <f>(Observaciones!D681+Observaciones!E681)/2</f>
        <v>14.75</v>
      </c>
      <c r="E681" s="141">
        <f t="shared" si="60"/>
        <v>1.6789540291434102</v>
      </c>
      <c r="F681" s="141">
        <f t="shared" si="61"/>
        <v>0.10830221914763835</v>
      </c>
      <c r="G681" s="141">
        <f t="shared" si="62"/>
        <v>2.46617525</v>
      </c>
      <c r="H681" s="141">
        <f>0.001013*Constantes!$D$6/(0.622*G681)</f>
        <v>4.5183748525216338E-2</v>
      </c>
      <c r="I681" s="141">
        <f t="shared" si="63"/>
        <v>0.36050831755341328</v>
      </c>
      <c r="J681" s="141">
        <f t="shared" si="64"/>
        <v>-0.29352985769346829</v>
      </c>
      <c r="K681" s="141">
        <f>(Constantes!$D$12/0.8)*(Constantes!$D$7*J681^2+Constantes!$D$8*J681+Constantes!$D$9)</f>
        <v>19.46626412844271</v>
      </c>
      <c r="L681" s="141">
        <f>(Constantes!$D$12/0.8)*(0.00376*D681^2-0.0516*D681-6.967)</f>
        <v>-4.3187906250000001</v>
      </c>
      <c r="M681" s="140">
        <f t="shared" si="65"/>
        <v>5.039725180111323</v>
      </c>
      <c r="N681" s="12"/>
    </row>
    <row r="682" spans="2:14" ht="18.75" customHeight="1">
      <c r="B682" s="11"/>
      <c r="C682" s="75">
        <v>677</v>
      </c>
      <c r="D682" s="65">
        <f>(Observaciones!D682+Observaciones!E682)/2</f>
        <v>14.75</v>
      </c>
      <c r="E682" s="141">
        <f t="shared" si="60"/>
        <v>1.6789540291434102</v>
      </c>
      <c r="F682" s="141">
        <f t="shared" si="61"/>
        <v>0.10830221914763835</v>
      </c>
      <c r="G682" s="141">
        <f t="shared" si="62"/>
        <v>2.46617525</v>
      </c>
      <c r="H682" s="141">
        <f>0.001013*Constantes!$D$6/(0.622*G682)</f>
        <v>4.5183748525216338E-2</v>
      </c>
      <c r="I682" s="141">
        <f t="shared" si="63"/>
        <v>0.36050831755341328</v>
      </c>
      <c r="J682" s="141">
        <f t="shared" si="64"/>
        <v>-0.29838903962137309</v>
      </c>
      <c r="K682" s="141">
        <f>(Constantes!$D$12/0.8)*(Constantes!$D$7*J682^2+Constantes!$D$8*J682+Constantes!$D$9)</f>
        <v>19.474700651321118</v>
      </c>
      <c r="L682" s="141">
        <f>(Constantes!$D$12/0.8)*(0.00376*D682^2-0.0516*D682-6.967)</f>
        <v>-4.3187906250000001</v>
      </c>
      <c r="M682" s="140">
        <f t="shared" si="65"/>
        <v>5.0425841305800851</v>
      </c>
      <c r="N682" s="12"/>
    </row>
    <row r="683" spans="2:14" ht="18.75" customHeight="1">
      <c r="B683" s="11"/>
      <c r="C683" s="75">
        <v>678</v>
      </c>
      <c r="D683" s="65">
        <f>(Observaciones!D683+Observaciones!E683)/2</f>
        <v>15.25</v>
      </c>
      <c r="E683" s="141">
        <f t="shared" si="60"/>
        <v>1.7338879625062771</v>
      </c>
      <c r="F683" s="141">
        <f t="shared" si="61"/>
        <v>0.11140334723771557</v>
      </c>
      <c r="G683" s="141">
        <f t="shared" si="62"/>
        <v>2.4649947499999998</v>
      </c>
      <c r="H683" s="141">
        <f>0.001013*Constantes!$D$6/(0.622*G683)</f>
        <v>4.5205387279268053E-2</v>
      </c>
      <c r="I683" s="141">
        <f t="shared" si="63"/>
        <v>0.36361082673457973</v>
      </c>
      <c r="J683" s="141">
        <f t="shared" si="64"/>
        <v>-0.30315980243707569</v>
      </c>
      <c r="K683" s="141">
        <f>(Constantes!$D$12/0.8)*(Constantes!$D$7*J683^2+Constantes!$D$8*J683+Constantes!$D$9)</f>
        <v>19.482595808242923</v>
      </c>
      <c r="L683" s="141">
        <f>(Constantes!$D$12/0.8)*(0.00376*D683^2-0.0516*D683-6.967)</f>
        <v>-4.2996656249999994</v>
      </c>
      <c r="M683" s="140">
        <f t="shared" si="65"/>
        <v>5.095632830056112</v>
      </c>
      <c r="N683" s="12"/>
    </row>
    <row r="684" spans="2:14" ht="18.75" customHeight="1">
      <c r="B684" s="11"/>
      <c r="C684" s="75">
        <v>679</v>
      </c>
      <c r="D684" s="65">
        <f>(Observaciones!D684+Observaciones!E684)/2</f>
        <v>14.55</v>
      </c>
      <c r="E684" s="141">
        <f t="shared" si="60"/>
        <v>1.6574115820276645</v>
      </c>
      <c r="F684" s="141">
        <f t="shared" si="61"/>
        <v>0.10708247809803828</v>
      </c>
      <c r="G684" s="141">
        <f t="shared" si="62"/>
        <v>2.46664745</v>
      </c>
      <c r="H684" s="141">
        <f>0.001013*Constantes!$D$6/(0.622*G684)</f>
        <v>4.5175098822943884E-2</v>
      </c>
      <c r="I684" s="141">
        <f t="shared" si="63"/>
        <v>0.35925511691610273</v>
      </c>
      <c r="J684" s="141">
        <f t="shared" si="64"/>
        <v>-0.30784073246059135</v>
      </c>
      <c r="K684" s="141">
        <f>(Constantes!$D$12/0.8)*(Constantes!$D$7*J684^2+Constantes!$D$8*J684+Constantes!$D$9)</f>
        <v>19.48996879522074</v>
      </c>
      <c r="L684" s="141">
        <f>(Constantes!$D$12/0.8)*(0.00376*D684^2-0.0516*D684-6.967)</f>
        <v>-4.3261116249999993</v>
      </c>
      <c r="M684" s="140">
        <f t="shared" si="65"/>
        <v>5.0275810194936419</v>
      </c>
      <c r="N684" s="12"/>
    </row>
    <row r="685" spans="2:14" ht="18.75" customHeight="1">
      <c r="B685" s="11"/>
      <c r="C685" s="75">
        <v>680</v>
      </c>
      <c r="D685" s="65">
        <f>(Observaciones!D685+Observaciones!E685)/2</f>
        <v>13</v>
      </c>
      <c r="E685" s="141">
        <f t="shared" si="60"/>
        <v>1.4985150190445926</v>
      </c>
      <c r="F685" s="141">
        <f t="shared" si="61"/>
        <v>9.8019245431965704E-2</v>
      </c>
      <c r="G685" s="141">
        <f t="shared" si="62"/>
        <v>2.470307</v>
      </c>
      <c r="H685" s="141">
        <f>0.001013*Constantes!$D$6/(0.622*G685)</f>
        <v>4.5108175751075688E-2</v>
      </c>
      <c r="I685" s="141">
        <f t="shared" si="63"/>
        <v>0.3493076722279615</v>
      </c>
      <c r="J685" s="141">
        <f t="shared" si="64"/>
        <v>-0.31243044263133168</v>
      </c>
      <c r="K685" s="141">
        <f>(Constantes!$D$12/0.8)*(Constantes!$D$7*J685^2+Constantes!$D$8*J685+Constantes!$D$9)</f>
        <v>19.496838889486867</v>
      </c>
      <c r="L685" s="141">
        <f>(Constantes!$D$12/0.8)*(0.00376*D685^2-0.0516*D685-6.967)</f>
        <v>-4.3764749999999992</v>
      </c>
      <c r="M685" s="140">
        <f t="shared" si="65"/>
        <v>4.8730353889789679</v>
      </c>
      <c r="N685" s="12"/>
    </row>
    <row r="686" spans="2:14" ht="18.75" customHeight="1">
      <c r="B686" s="11"/>
      <c r="C686" s="75">
        <v>681</v>
      </c>
      <c r="D686" s="65">
        <f>(Observaciones!D686+Observaciones!E686)/2</f>
        <v>14.35</v>
      </c>
      <c r="E686" s="141">
        <f t="shared" si="60"/>
        <v>1.6361119589017179</v>
      </c>
      <c r="F686" s="141">
        <f t="shared" si="61"/>
        <v>0.10587443449555982</v>
      </c>
      <c r="G686" s="141">
        <f t="shared" si="62"/>
        <v>2.4671196499999999</v>
      </c>
      <c r="H686" s="141">
        <f>0.001013*Constantes!$D$6/(0.622*G686)</f>
        <v>4.5166452431730474E-2</v>
      </c>
      <c r="I686" s="141">
        <f t="shared" si="63"/>
        <v>0.35799495730755543</v>
      </c>
      <c r="J686" s="141">
        <f t="shared" si="64"/>
        <v>-0.31692757291911972</v>
      </c>
      <c r="K686" s="141">
        <f>(Constantes!$D$12/0.8)*(Constantes!$D$7*J686^2+Constantes!$D$8*J686+Constantes!$D$9)</f>
        <v>19.503225418344233</v>
      </c>
      <c r="L686" s="141">
        <f>(Constantes!$D$12/0.8)*(0.00376*D686^2-0.0516*D686-6.967)</f>
        <v>-4.3332446249999998</v>
      </c>
      <c r="M686" s="140">
        <f t="shared" si="65"/>
        <v>5.0118532454097187</v>
      </c>
      <c r="N686" s="12"/>
    </row>
    <row r="687" spans="2:14" ht="18.75" customHeight="1">
      <c r="B687" s="11"/>
      <c r="C687" s="75">
        <v>682</v>
      </c>
      <c r="D687" s="65">
        <f>(Observaciones!D687+Observaciones!E687)/2</f>
        <v>15.8</v>
      </c>
      <c r="E687" s="141">
        <f t="shared" si="60"/>
        <v>1.7961296162943761</v>
      </c>
      <c r="F687" s="141">
        <f t="shared" si="61"/>
        <v>0.11490140460696453</v>
      </c>
      <c r="G687" s="141">
        <f t="shared" si="62"/>
        <v>2.4636961999999998</v>
      </c>
      <c r="H687" s="141">
        <f>0.001013*Constantes!$D$6/(0.622*G687)</f>
        <v>4.5229213859692821E-2</v>
      </c>
      <c r="I687" s="141">
        <f t="shared" si="63"/>
        <v>0.36697319935543615</v>
      </c>
      <c r="J687" s="141">
        <f t="shared" si="64"/>
        <v>-0.32133079072719412</v>
      </c>
      <c r="K687" s="141">
        <f>(Constantes!$D$12/0.8)*(Constantes!$D$7*J687^2+Constantes!$D$8*J687+Constantes!$D$9)</f>
        <v>19.509147728119878</v>
      </c>
      <c r="L687" s="141">
        <f>(Constantes!$D$12/0.8)*(0.00376*D687^2-0.0516*D687-6.967)</f>
        <v>-4.2772709999999998</v>
      </c>
      <c r="M687" s="140">
        <f t="shared" si="65"/>
        <v>5.1601304735966043</v>
      </c>
      <c r="N687" s="12"/>
    </row>
    <row r="688" spans="2:14" ht="18.75" customHeight="1">
      <c r="B688" s="11"/>
      <c r="C688" s="75">
        <v>683</v>
      </c>
      <c r="D688" s="65">
        <f>(Observaciones!D688+Observaciones!E688)/2</f>
        <v>15.65</v>
      </c>
      <c r="E688" s="141">
        <f t="shared" si="60"/>
        <v>1.7789634018098772</v>
      </c>
      <c r="F688" s="141">
        <f t="shared" si="61"/>
        <v>0.11393826452317098</v>
      </c>
      <c r="G688" s="141">
        <f t="shared" si="62"/>
        <v>2.4640503499999999</v>
      </c>
      <c r="H688" s="141">
        <f>0.001013*Constantes!$D$6/(0.622*G688)</f>
        <v>4.5222713210836998E-2</v>
      </c>
      <c r="I688" s="141">
        <f t="shared" si="63"/>
        <v>0.36606142750795007</v>
      </c>
      <c r="J688" s="141">
        <f t="shared" si="64"/>
        <v>-0.32563879128708961</v>
      </c>
      <c r="K688" s="141">
        <f>(Constantes!$D$12/0.8)*(Constantes!$D$7*J688^2+Constantes!$D$8*J688+Constantes!$D$9)</f>
        <v>19.514625153260003</v>
      </c>
      <c r="L688" s="141">
        <f>(Constantes!$D$12/0.8)*(0.00376*D688^2-0.0516*D688-6.967)</f>
        <v>-4.2835196249999994</v>
      </c>
      <c r="M688" s="140">
        <f t="shared" si="65"/>
        <v>5.1469071397459913</v>
      </c>
      <c r="N688" s="12"/>
    </row>
    <row r="689" spans="2:14" ht="18.75" customHeight="1">
      <c r="B689" s="11"/>
      <c r="C689" s="75">
        <v>684</v>
      </c>
      <c r="D689" s="65">
        <f>(Observaciones!D689+Observaciones!E689)/2</f>
        <v>15.3</v>
      </c>
      <c r="E689" s="141">
        <f t="shared" si="60"/>
        <v>1.7394670630029376</v>
      </c>
      <c r="F689" s="141">
        <f t="shared" si="61"/>
        <v>0.11171756760860506</v>
      </c>
      <c r="G689" s="141">
        <f t="shared" si="62"/>
        <v>2.4648767</v>
      </c>
      <c r="H689" s="141">
        <f>0.001013*Constantes!$D$6/(0.622*G689)</f>
        <v>4.5207552294649268E-2</v>
      </c>
      <c r="I689" s="141">
        <f t="shared" si="63"/>
        <v>0.36391867936217853</v>
      </c>
      <c r="J689" s="141">
        <f t="shared" si="64"/>
        <v>-0.32985029804526605</v>
      </c>
      <c r="K689" s="141">
        <f>(Constantes!$D$12/0.8)*(Constantes!$D$7*J689^2+Constantes!$D$8*J689+Constantes!$D$9)</f>
        <v>19.519676985605692</v>
      </c>
      <c r="L689" s="141">
        <f>(Constantes!$D$12/0.8)*(0.00376*D689^2-0.0516*D689-6.967)</f>
        <v>-4.2976884999999996</v>
      </c>
      <c r="M689" s="140">
        <f t="shared" si="65"/>
        <v>5.1133514427372351</v>
      </c>
      <c r="N689" s="12"/>
    </row>
    <row r="690" spans="2:14" ht="18.75" customHeight="1">
      <c r="B690" s="11"/>
      <c r="C690" s="75">
        <v>685</v>
      </c>
      <c r="D690" s="65">
        <f>(Observaciones!D690+Observaciones!E690)/2</f>
        <v>15</v>
      </c>
      <c r="E690" s="141">
        <f t="shared" si="60"/>
        <v>1.7062271396379793</v>
      </c>
      <c r="F690" s="141">
        <f t="shared" si="61"/>
        <v>0.10984348383671551</v>
      </c>
      <c r="G690" s="141">
        <f t="shared" si="62"/>
        <v>2.4655849999999999</v>
      </c>
      <c r="H690" s="141">
        <f>0.001013*Constantes!$D$6/(0.622*G690)</f>
        <v>4.5194565312131819E-2</v>
      </c>
      <c r="I690" s="141">
        <f t="shared" si="63"/>
        <v>0.36206502083102154</v>
      </c>
      <c r="J690" s="141">
        <f t="shared" si="64"/>
        <v>-0.33396406304137966</v>
      </c>
      <c r="K690" s="141">
        <f>(Constantes!$D$12/0.8)*(Constantes!$D$7*J690^2+Constantes!$D$8*J690+Constantes!$D$9)</f>
        <v>19.524322443888003</v>
      </c>
      <c r="L690" s="141">
        <f>(Constantes!$D$12/0.8)*(0.00376*D690^2-0.0516*D690-6.967)</f>
        <v>-4.3093749999999993</v>
      </c>
      <c r="M690" s="140">
        <f t="shared" si="65"/>
        <v>5.0846558104727348</v>
      </c>
      <c r="N690" s="12"/>
    </row>
    <row r="691" spans="2:14" ht="18.75" customHeight="1">
      <c r="B691" s="11"/>
      <c r="C691" s="75">
        <v>686</v>
      </c>
      <c r="D691" s="65">
        <f>(Observaciones!D691+Observaciones!E691)/2</f>
        <v>15.7</v>
      </c>
      <c r="E691" s="141">
        <f t="shared" ref="E691:E735" si="66">EXP((16.78*D691-116.9)/(D691+237.3))</f>
        <v>1.7846694242482402</v>
      </c>
      <c r="F691" s="141">
        <f t="shared" ref="F691:F735" si="67">4098*E691/((D691+237.3)^2)</f>
        <v>0.11425854646329872</v>
      </c>
      <c r="G691" s="141">
        <f t="shared" ref="G691:G735" si="68">2.501-0.002361*D691</f>
        <v>2.4639322999999997</v>
      </c>
      <c r="H691" s="141">
        <f>0.001013*Constantes!$D$6/(0.622*G691)</f>
        <v>4.5224879886152931E-2</v>
      </c>
      <c r="I691" s="141">
        <f t="shared" ref="I691:I735" si="69">IF(D691&gt;0,1.26*F691/(G691*(F691+H691)),0)</f>
        <v>0.36636578812418896</v>
      </c>
      <c r="J691" s="141">
        <f t="shared" ref="J691:J735" si="70">0.409*SIN(2*PI()*(C691-82)/365)</f>
        <v>-0.33797886727807885</v>
      </c>
      <c r="K691" s="141">
        <f>(Constantes!$D$12/0.8)*(Constantes!$D$7*J691^2+Constantes!$D$8*J691+Constantes!$D$9)</f>
        <v>19.528580643480812</v>
      </c>
      <c r="L691" s="141">
        <f>(Constantes!$D$12/0.8)*(0.00376*D691^2-0.0516*D691-6.967)</f>
        <v>-4.2814484999999998</v>
      </c>
      <c r="M691" s="140">
        <f t="shared" si="65"/>
        <v>5.1567513540762642</v>
      </c>
      <c r="N691" s="12"/>
    </row>
    <row r="692" spans="2:14" ht="18.75" customHeight="1">
      <c r="B692" s="11"/>
      <c r="C692" s="75">
        <v>687</v>
      </c>
      <c r="D692" s="65">
        <f>(Observaciones!D692+Observaciones!E692)/2</f>
        <v>16.3</v>
      </c>
      <c r="E692" s="141">
        <f t="shared" si="66"/>
        <v>1.8544035194307129</v>
      </c>
      <c r="F692" s="141">
        <f t="shared" si="67"/>
        <v>0.11816196335275285</v>
      </c>
      <c r="G692" s="141">
        <f t="shared" si="68"/>
        <v>2.4625157</v>
      </c>
      <c r="H692" s="141">
        <f>0.001013*Constantes!$D$6/(0.622*G692)</f>
        <v>4.5250896193316674E-2</v>
      </c>
      <c r="I692" s="141">
        <f t="shared" si="69"/>
        <v>0.36998405321225664</v>
      </c>
      <c r="J692" s="141">
        <f t="shared" si="70"/>
        <v>-0.34189352108222226</v>
      </c>
      <c r="K692" s="141">
        <f>(Constantes!$D$12/0.8)*(Constantes!$D$7*J692^2+Constantes!$D$8*J692+Constantes!$D$9)</f>
        <v>19.532470566449522</v>
      </c>
      <c r="L692" s="141">
        <f>(Constantes!$D$12/0.8)*(0.00376*D692^2-0.0516*D692-6.967)</f>
        <v>-4.2556785000000001</v>
      </c>
      <c r="M692" s="140">
        <f t="shared" si="65"/>
        <v>5.2185672910603946</v>
      </c>
      <c r="N692" s="12"/>
    </row>
    <row r="693" spans="2:14" ht="18.75" customHeight="1">
      <c r="B693" s="11"/>
      <c r="C693" s="75">
        <v>688</v>
      </c>
      <c r="D693" s="65">
        <f>(Observaciones!D693+Observaciones!E693)/2</f>
        <v>13.75</v>
      </c>
      <c r="E693" s="141">
        <f t="shared" si="66"/>
        <v>1.5736468149943981</v>
      </c>
      <c r="F693" s="141">
        <f t="shared" si="67"/>
        <v>0.10231958493462359</v>
      </c>
      <c r="G693" s="141">
        <f t="shared" si="68"/>
        <v>2.4685362500000001</v>
      </c>
      <c r="H693" s="141">
        <f>0.001013*Constantes!$D$6/(0.622*G693)</f>
        <v>4.5140533105443567E-2</v>
      </c>
      <c r="I693" s="141">
        <f t="shared" si="69"/>
        <v>0.35417281924860555</v>
      </c>
      <c r="J693" s="141">
        <f t="shared" si="70"/>
        <v>-0.34570686445740245</v>
      </c>
      <c r="K693" s="141">
        <f>(Constantes!$D$12/0.8)*(Constantes!$D$7*J693^2+Constantes!$D$8*J693+Constantes!$D$9)</f>
        <v>19.536011031933281</v>
      </c>
      <c r="L693" s="141">
        <f>(Constantes!$D$12/0.8)*(0.00376*D693^2-0.0516*D693-6.967)</f>
        <v>-4.353515625</v>
      </c>
      <c r="M693" s="140">
        <f t="shared" si="65"/>
        <v>4.962079755259464</v>
      </c>
      <c r="N693" s="12"/>
    </row>
    <row r="694" spans="2:14" ht="18.75" customHeight="1">
      <c r="B694" s="11"/>
      <c r="C694" s="75">
        <v>689</v>
      </c>
      <c r="D694" s="65">
        <f>(Observaciones!D694+Observaciones!E694)/2</f>
        <v>14.1</v>
      </c>
      <c r="E694" s="141">
        <f t="shared" si="66"/>
        <v>1.6098253520131185</v>
      </c>
      <c r="F694" s="141">
        <f t="shared" si="67"/>
        <v>0.10438069155687195</v>
      </c>
      <c r="G694" s="141">
        <f t="shared" si="68"/>
        <v>2.4677099</v>
      </c>
      <c r="H694" s="141">
        <f>0.001013*Constantes!$D$6/(0.622*G694)</f>
        <v>4.5155649095994843E-2</v>
      </c>
      <c r="I694" s="141">
        <f t="shared" si="69"/>
        <v>0.35640998531823892</v>
      </c>
      <c r="J694" s="141">
        <f t="shared" si="70"/>
        <v>-0.3494177674276791</v>
      </c>
      <c r="K694" s="141">
        <f>(Constantes!$D$12/0.8)*(Constantes!$D$7*J694^2+Constantes!$D$8*J694+Constantes!$D$9)</f>
        <v>19.53922066689789</v>
      </c>
      <c r="L694" s="141">
        <f>(Constantes!$D$12/0.8)*(0.00376*D694^2-0.0516*D694-6.967)</f>
        <v>-4.3418964999999998</v>
      </c>
      <c r="M694" s="140">
        <f t="shared" si="65"/>
        <v>4.9986396821394603</v>
      </c>
      <c r="N694" s="12"/>
    </row>
    <row r="695" spans="2:14" ht="18.75" customHeight="1">
      <c r="B695" s="11"/>
      <c r="C695" s="75">
        <v>690</v>
      </c>
      <c r="D695" s="65">
        <f>(Observaciones!D695+Observaciones!E695)/2</f>
        <v>15.3</v>
      </c>
      <c r="E695" s="141">
        <f t="shared" si="66"/>
        <v>1.7394670630029376</v>
      </c>
      <c r="F695" s="141">
        <f t="shared" si="67"/>
        <v>0.11171756760860506</v>
      </c>
      <c r="G695" s="141">
        <f t="shared" si="68"/>
        <v>2.4648767</v>
      </c>
      <c r="H695" s="141">
        <f>0.001013*Constantes!$D$6/(0.622*G695)</f>
        <v>4.5207552294649268E-2</v>
      </c>
      <c r="I695" s="141">
        <f t="shared" si="69"/>
        <v>0.36391867936217853</v>
      </c>
      <c r="J695" s="141">
        <f t="shared" si="70"/>
        <v>-0.35302513037241356</v>
      </c>
      <c r="K695" s="141">
        <f>(Constantes!$D$12/0.8)*(Constantes!$D$7*J695^2+Constantes!$D$8*J695+Constantes!$D$9)</f>
        <v>19.542117877296196</v>
      </c>
      <c r="L695" s="141">
        <f>(Constantes!$D$12/0.8)*(0.00376*D695^2-0.0516*D695-6.967)</f>
        <v>-4.2976884999999996</v>
      </c>
      <c r="M695" s="140">
        <f t="shared" si="65"/>
        <v>5.1210281028248898</v>
      </c>
      <c r="N695" s="12"/>
    </row>
    <row r="696" spans="2:14" ht="18.75" customHeight="1">
      <c r="B696" s="11"/>
      <c r="C696" s="75">
        <v>691</v>
      </c>
      <c r="D696" s="65">
        <f>(Observaciones!D696+Observaciones!E696)/2</f>
        <v>15.55</v>
      </c>
      <c r="E696" s="141">
        <f t="shared" si="66"/>
        <v>1.7675993131821897</v>
      </c>
      <c r="F696" s="141">
        <f t="shared" si="67"/>
        <v>0.11329998758344098</v>
      </c>
      <c r="G696" s="141">
        <f t="shared" si="68"/>
        <v>2.4642864499999999</v>
      </c>
      <c r="H696" s="141">
        <f>0.001013*Constantes!$D$6/(0.622*G696)</f>
        <v>4.5218380482963956E-2</v>
      </c>
      <c r="I696" s="141">
        <f t="shared" si="69"/>
        <v>0.36545139639916813</v>
      </c>
      <c r="J696" s="141">
        <f t="shared" si="70"/>
        <v>-0.35652788435211269</v>
      </c>
      <c r="K696" s="141">
        <f>(Constantes!$D$12/0.8)*(Constantes!$D$7*J696^2+Constantes!$D$8*J696+Constantes!$D$9)</f>
        <v>19.544720819672055</v>
      </c>
      <c r="L696" s="141">
        <f>(Constantes!$D$12/0.8)*(0.00376*D696^2-0.0516*D696-6.967)</f>
        <v>-4.2876266249999997</v>
      </c>
      <c r="M696" s="140">
        <f t="shared" si="65"/>
        <v>5.147167647489681</v>
      </c>
      <c r="N696" s="12"/>
    </row>
    <row r="697" spans="2:14" ht="18.75" customHeight="1">
      <c r="B697" s="11"/>
      <c r="C697" s="75">
        <v>692</v>
      </c>
      <c r="D697" s="65">
        <f>(Observaciones!D697+Observaciones!E697)/2</f>
        <v>15.95</v>
      </c>
      <c r="E697" s="141">
        <f t="shared" si="66"/>
        <v>1.8134408472488435</v>
      </c>
      <c r="F697" s="141">
        <f t="shared" si="67"/>
        <v>0.11587144951018026</v>
      </c>
      <c r="G697" s="141">
        <f t="shared" si="68"/>
        <v>2.4633420500000001</v>
      </c>
      <c r="H697" s="141">
        <f>0.001013*Constantes!$D$6/(0.622*G697)</f>
        <v>4.5235716377720475E-2</v>
      </c>
      <c r="I697" s="141">
        <f t="shared" si="69"/>
        <v>0.36788104095514867</v>
      </c>
      <c r="J697" s="141">
        <f t="shared" si="70"/>
        <v>-0.35992499142517603</v>
      </c>
      <c r="K697" s="141">
        <f>(Constantes!$D$12/0.8)*(Constantes!$D$7*J697^2+Constantes!$D$8*J697+Constantes!$D$9)</f>
        <v>19.547047373243551</v>
      </c>
      <c r="L697" s="141">
        <f>(Constantes!$D$12/0.8)*(0.00376*D697^2-0.0516*D697-6.967)</f>
        <v>-4.2709166249999999</v>
      </c>
      <c r="M697" s="140">
        <f t="shared" si="65"/>
        <v>5.1883395933146854</v>
      </c>
      <c r="N697" s="12"/>
    </row>
    <row r="698" spans="2:14" ht="18.75" customHeight="1">
      <c r="B698" s="11"/>
      <c r="C698" s="75">
        <v>693</v>
      </c>
      <c r="D698" s="65">
        <f>(Observaciones!D698+Observaciones!E698)/2</f>
        <v>14.65</v>
      </c>
      <c r="E698" s="141">
        <f t="shared" si="66"/>
        <v>1.6681523061985435</v>
      </c>
      <c r="F698" s="141">
        <f t="shared" si="67"/>
        <v>0.10769088075978797</v>
      </c>
      <c r="G698" s="141">
        <f t="shared" si="68"/>
        <v>2.46641135</v>
      </c>
      <c r="H698" s="141">
        <f>0.001013*Constantes!$D$6/(0.622*G698)</f>
        <v>4.5179423260078871E-2</v>
      </c>
      <c r="I698" s="141">
        <f t="shared" si="69"/>
        <v>0.35988258760990816</v>
      </c>
      <c r="J698" s="141">
        <f t="shared" si="70"/>
        <v>-0.36321544495546254</v>
      </c>
      <c r="K698" s="141">
        <f>(Constantes!$D$12/0.8)*(Constantes!$D$7*J698^2+Constantes!$D$8*J698+Constantes!$D$9)</f>
        <v>19.549115112500427</v>
      </c>
      <c r="L698" s="141">
        <f>(Constantes!$D$12/0.8)*(0.00376*D698^2-0.0516*D698-6.967)</f>
        <v>-4.3224746249999999</v>
      </c>
      <c r="M698" s="140">
        <f t="shared" si="65"/>
        <v>5.0576796113172096</v>
      </c>
      <c r="N698" s="12"/>
    </row>
    <row r="699" spans="2:14" ht="18.75" customHeight="1">
      <c r="B699" s="11"/>
      <c r="C699" s="75">
        <v>694</v>
      </c>
      <c r="D699" s="65">
        <f>(Observaciones!D699+Observaciones!E699)/2</f>
        <v>15.25</v>
      </c>
      <c r="E699" s="141">
        <f t="shared" si="66"/>
        <v>1.7338879625062771</v>
      </c>
      <c r="F699" s="141">
        <f t="shared" si="67"/>
        <v>0.11140334723771557</v>
      </c>
      <c r="G699" s="141">
        <f t="shared" si="68"/>
        <v>2.4649947499999998</v>
      </c>
      <c r="H699" s="141">
        <f>0.001013*Constantes!$D$6/(0.622*G699)</f>
        <v>4.5205387279268053E-2</v>
      </c>
      <c r="I699" s="141">
        <f t="shared" si="69"/>
        <v>0.36361082673457973</v>
      </c>
      <c r="J699" s="141">
        <f t="shared" si="70"/>
        <v>-0.36639826991057778</v>
      </c>
      <c r="K699" s="141">
        <f>(Constantes!$D$12/0.8)*(Constantes!$D$7*J699^2+Constantes!$D$8*J699+Constantes!$D$9)</f>
        <v>19.550941280350052</v>
      </c>
      <c r="L699" s="141">
        <f>(Constantes!$D$12/0.8)*(0.00376*D699^2-0.0516*D699-6.967)</f>
        <v>-4.2996656249999994</v>
      </c>
      <c r="M699" s="140">
        <f t="shared" si="65"/>
        <v>5.1189929144555641</v>
      </c>
      <c r="N699" s="12"/>
    </row>
    <row r="700" spans="2:14" ht="18.75" customHeight="1">
      <c r="B700" s="11"/>
      <c r="C700" s="75">
        <v>695</v>
      </c>
      <c r="D700" s="65">
        <f>(Observaciones!D700+Observaciones!E700)/2</f>
        <v>16</v>
      </c>
      <c r="E700" s="141">
        <f t="shared" si="66"/>
        <v>1.8192436628409498</v>
      </c>
      <c r="F700" s="141">
        <f t="shared" si="67"/>
        <v>0.11619633908323609</v>
      </c>
      <c r="G700" s="141">
        <f t="shared" si="68"/>
        <v>2.4632239999999999</v>
      </c>
      <c r="H700" s="141">
        <f>0.001013*Constantes!$D$6/(0.622*G700)</f>
        <v>4.5237884299240562E-2</v>
      </c>
      <c r="I700" s="141">
        <f t="shared" si="69"/>
        <v>0.36818278138764216</v>
      </c>
      <c r="J700" s="141">
        <f t="shared" si="70"/>
        <v>-0.36947252315079593</v>
      </c>
      <c r="K700" s="141">
        <f>(Constantes!$D$12/0.8)*(Constantes!$D$7*J700^2+Constantes!$D$8*J700+Constantes!$D$9)</f>
        <v>19.552542761845487</v>
      </c>
      <c r="L700" s="141">
        <f>(Constantes!$D$12/0.8)*(0.00376*D700^2-0.0516*D700-6.967)</f>
        <v>-4.2687749999999998</v>
      </c>
      <c r="M700" s="140">
        <f t="shared" si="65"/>
        <v>5.195285550003625</v>
      </c>
      <c r="N700" s="12"/>
    </row>
    <row r="701" spans="2:14" ht="18.75" customHeight="1">
      <c r="B701" s="11"/>
      <c r="C701" s="75">
        <v>696</v>
      </c>
      <c r="D701" s="65">
        <f>(Observaciones!D701+Observaciones!E701)/2</f>
        <v>15.7</v>
      </c>
      <c r="E701" s="141">
        <f t="shared" si="66"/>
        <v>1.7846694242482402</v>
      </c>
      <c r="F701" s="141">
        <f t="shared" si="67"/>
        <v>0.11425854646329872</v>
      </c>
      <c r="G701" s="141">
        <f t="shared" si="68"/>
        <v>2.4639322999999997</v>
      </c>
      <c r="H701" s="141">
        <f>0.001013*Constantes!$D$6/(0.622*G701)</f>
        <v>4.5224879886152931E-2</v>
      </c>
      <c r="I701" s="141">
        <f t="shared" si="69"/>
        <v>0.36636578812418896</v>
      </c>
      <c r="J701" s="141">
        <f t="shared" si="70"/>
        <v>-0.37243729370853434</v>
      </c>
      <c r="K701" s="141">
        <f>(Constantes!$D$12/0.8)*(Constantes!$D$7*J701^2+Constantes!$D$8*J701+Constantes!$D$9)</f>
        <v>19.553936058528617</v>
      </c>
      <c r="L701" s="141">
        <f>(Constantes!$D$12/0.8)*(0.00376*D701^2-0.0516*D701-6.967)</f>
        <v>-4.2814484999999998</v>
      </c>
      <c r="M701" s="140">
        <f t="shared" si="65"/>
        <v>5.1654833492964372</v>
      </c>
      <c r="N701" s="12"/>
    </row>
    <row r="702" spans="2:14" ht="18.75" customHeight="1">
      <c r="B702" s="11"/>
      <c r="C702" s="75">
        <v>697</v>
      </c>
      <c r="D702" s="65">
        <f>(Observaciones!D702+Observaciones!E702)/2</f>
        <v>15.75</v>
      </c>
      <c r="E702" s="141">
        <f t="shared" si="66"/>
        <v>1.7903914829906238</v>
      </c>
      <c r="F702" s="141">
        <f t="shared" si="67"/>
        <v>0.11457959266903198</v>
      </c>
      <c r="G702" s="141">
        <f t="shared" si="68"/>
        <v>2.46381425</v>
      </c>
      <c r="H702" s="141">
        <f>0.001013*Constantes!$D$6/(0.622*G702)</f>
        <v>4.5227046769094927E-2</v>
      </c>
      <c r="I702" s="141">
        <f t="shared" si="69"/>
        <v>0.36666971208022214</v>
      </c>
      <c r="J702" s="141">
        <f t="shared" si="70"/>
        <v>-0.37529170305829185</v>
      </c>
      <c r="K702" s="141">
        <f>(Constantes!$D$12/0.8)*(Constantes!$D$7*J702^2+Constantes!$D$8*J702+Constantes!$D$9)</f>
        <v>19.555137263420328</v>
      </c>
      <c r="L702" s="141">
        <f>(Constantes!$D$12/0.8)*(0.00376*D702^2-0.0516*D702-6.967)</f>
        <v>-4.2793656250000005</v>
      </c>
      <c r="M702" s="140">
        <f t="shared" si="65"/>
        <v>5.1709461954587512</v>
      </c>
      <c r="N702" s="12"/>
    </row>
    <row r="703" spans="2:14" ht="18.75" customHeight="1">
      <c r="B703" s="11"/>
      <c r="C703" s="75">
        <v>698</v>
      </c>
      <c r="D703" s="65">
        <f>(Observaciones!D703+Observaciones!E703)/2</f>
        <v>14.45</v>
      </c>
      <c r="E703" s="141">
        <f t="shared" si="66"/>
        <v>1.6467315635702708</v>
      </c>
      <c r="F703" s="141">
        <f t="shared" si="67"/>
        <v>0.10647699979012407</v>
      </c>
      <c r="G703" s="141">
        <f t="shared" si="68"/>
        <v>2.4668835499999999</v>
      </c>
      <c r="H703" s="141">
        <f>0.001013*Constantes!$D$6/(0.622*G703)</f>
        <v>4.5170775213573627E-2</v>
      </c>
      <c r="I703" s="141">
        <f t="shared" si="69"/>
        <v>0.3586259064602611</v>
      </c>
      <c r="J703" s="141">
        <f t="shared" si="70"/>
        <v>-0.37803490537697515</v>
      </c>
      <c r="K703" s="141">
        <f>(Constantes!$D$12/0.8)*(Constantes!$D$7*J703^2+Constantes!$D$8*J703+Constantes!$D$9)</f>
        <v>19.556162036689063</v>
      </c>
      <c r="L703" s="141">
        <f>(Constantes!$D$12/0.8)*(0.00376*D703^2-0.0516*D703-6.967)</f>
        <v>-4.3297016250000002</v>
      </c>
      <c r="M703" s="140">
        <f t="shared" si="65"/>
        <v>5.0398023870857891</v>
      </c>
      <c r="N703" s="12"/>
    </row>
    <row r="704" spans="2:14" ht="18.75" customHeight="1">
      <c r="B704" s="11"/>
      <c r="C704" s="75">
        <v>699</v>
      </c>
      <c r="D704" s="65">
        <f>(Observaciones!D704+Observaciones!E704)/2</f>
        <v>13.35</v>
      </c>
      <c r="E704" s="141">
        <f t="shared" si="66"/>
        <v>1.5331752529723204</v>
      </c>
      <c r="F704" s="141">
        <f t="shared" si="67"/>
        <v>0.1000065250127139</v>
      </c>
      <c r="G704" s="141">
        <f t="shared" si="68"/>
        <v>2.4694806499999999</v>
      </c>
      <c r="H704" s="141">
        <f>0.001013*Constantes!$D$6/(0.622*G704)</f>
        <v>4.5123270075071269E-2</v>
      </c>
      <c r="I704" s="141">
        <f t="shared" si="69"/>
        <v>0.35159012797989159</v>
      </c>
      <c r="J704" s="141">
        <f t="shared" si="70"/>
        <v>-0.38066608779453348</v>
      </c>
      <c r="K704" s="141">
        <f>(Constantes!$D$12/0.8)*(Constantes!$D$7*J704^2+Constantes!$D$8*J704+Constantes!$D$9)</f>
        <v>19.557025582028086</v>
      </c>
      <c r="L704" s="141">
        <f>(Constantes!$D$12/0.8)*(0.00376*D704^2-0.0516*D704-6.967)</f>
        <v>-4.3660896249999999</v>
      </c>
      <c r="M704" s="140">
        <f t="shared" si="65"/>
        <v>4.928419689628365</v>
      </c>
      <c r="N704" s="12"/>
    </row>
    <row r="705" spans="2:14" ht="18.75" customHeight="1">
      <c r="B705" s="11"/>
      <c r="C705" s="75">
        <v>700</v>
      </c>
      <c r="D705" s="65">
        <f>(Observaciones!D705+Observaciones!E705)/2</f>
        <v>12.4</v>
      </c>
      <c r="E705" s="141">
        <f t="shared" si="66"/>
        <v>1.440695742444418</v>
      </c>
      <c r="F705" s="141">
        <f t="shared" si="67"/>
        <v>9.4690659669251859E-2</v>
      </c>
      <c r="G705" s="141">
        <f t="shared" si="68"/>
        <v>2.4717235999999998</v>
      </c>
      <c r="H705" s="141">
        <f>0.001013*Constantes!$D$6/(0.622*G705)</f>
        <v>4.508232324808184E-2</v>
      </c>
      <c r="I705" s="141">
        <f t="shared" si="69"/>
        <v>0.34534609482941636</v>
      </c>
      <c r="J705" s="141">
        <f t="shared" si="70"/>
        <v>-0.38318447063483135</v>
      </c>
      <c r="K705" s="141">
        <f>(Constantes!$D$12/0.8)*(Constantes!$D$7*J705^2+Constantes!$D$8*J705+Constantes!$D$9)</f>
        <v>19.55774262377102</v>
      </c>
      <c r="L705" s="141">
        <f>(Constantes!$D$12/0.8)*(0.00376*D705^2-0.0516*D705-6.967)</f>
        <v>-4.3929389999999993</v>
      </c>
      <c r="M705" s="140">
        <f t="shared" si="65"/>
        <v>4.8318543079964158</v>
      </c>
      <c r="N705" s="12"/>
    </row>
    <row r="706" spans="2:14" ht="18.75" customHeight="1">
      <c r="B706" s="11"/>
      <c r="C706" s="75">
        <v>701</v>
      </c>
      <c r="D706" s="65">
        <f>(Observaciones!D706+Observaciones!E706)/2</f>
        <v>12.55</v>
      </c>
      <c r="E706" s="141">
        <f t="shared" si="66"/>
        <v>1.4549637534474031</v>
      </c>
      <c r="F706" s="141">
        <f t="shared" si="67"/>
        <v>9.551364537557766E-2</v>
      </c>
      <c r="G706" s="141">
        <f t="shared" si="68"/>
        <v>2.4713694500000001</v>
      </c>
      <c r="H706" s="141">
        <f>0.001013*Constantes!$D$6/(0.622*G706)</f>
        <v>4.5088783595310905E-2</v>
      </c>
      <c r="I706" s="141">
        <f t="shared" si="69"/>
        <v>0.34634224568893279</v>
      </c>
      <c r="J706" s="141">
        <f t="shared" si="70"/>
        <v>-0.38558930764668209</v>
      </c>
      <c r="K706" s="141">
        <f>(Constantes!$D$12/0.8)*(Constantes!$D$7*J706^2+Constantes!$D$8*J706+Constantes!$D$9)</f>
        <v>19.558327384774163</v>
      </c>
      <c r="L706" s="141">
        <f>(Constantes!$D$12/0.8)*(0.00376*D706^2-0.0516*D706-6.967)</f>
        <v>-4.3889816249999996</v>
      </c>
      <c r="M706" s="140">
        <f t="shared" si="65"/>
        <v>4.8473527743703517</v>
      </c>
      <c r="N706" s="12"/>
    </row>
    <row r="707" spans="2:14" ht="18.75" customHeight="1">
      <c r="B707" s="11"/>
      <c r="C707" s="75">
        <v>702</v>
      </c>
      <c r="D707" s="65">
        <f>(Observaciones!D707+Observaciones!E707)/2</f>
        <v>13.8</v>
      </c>
      <c r="E707" s="141">
        <f t="shared" si="66"/>
        <v>1.5787710916071758</v>
      </c>
      <c r="F707" s="141">
        <f t="shared" si="67"/>
        <v>0.10261189172112961</v>
      </c>
      <c r="G707" s="141">
        <f t="shared" si="68"/>
        <v>2.4684181999999999</v>
      </c>
      <c r="H707" s="141">
        <f>0.001013*Constantes!$D$6/(0.622*G707)</f>
        <v>4.5142691913028568E-2</v>
      </c>
      <c r="I707" s="141">
        <f t="shared" si="69"/>
        <v>0.35449371277278185</v>
      </c>
      <c r="J707" s="141">
        <f t="shared" si="70"/>
        <v>-0.38787988622497815</v>
      </c>
      <c r="K707" s="141">
        <f>(Constantes!$D$12/0.8)*(Constantes!$D$7*J707^2+Constantes!$D$8*J707+Constantes!$D$9)</f>
        <v>19.558793565093229</v>
      </c>
      <c r="L707" s="141">
        <f>(Constantes!$D$12/0.8)*(0.00376*D707^2-0.0516*D707-6.967)</f>
        <v>-4.3518910000000002</v>
      </c>
      <c r="M707" s="140">
        <f t="shared" si="65"/>
        <v>4.974743189179061</v>
      </c>
      <c r="N707" s="12"/>
    </row>
    <row r="708" spans="2:14" ht="18.75" customHeight="1">
      <c r="B708" s="11"/>
      <c r="C708" s="75">
        <v>703</v>
      </c>
      <c r="D708" s="65">
        <f>(Observaciones!D708+Observaciones!E708)/2</f>
        <v>13.75</v>
      </c>
      <c r="E708" s="141">
        <f t="shared" si="66"/>
        <v>1.5736468149943981</v>
      </c>
      <c r="F708" s="141">
        <f t="shared" si="67"/>
        <v>0.10231958493462359</v>
      </c>
      <c r="G708" s="141">
        <f t="shared" si="68"/>
        <v>2.4685362500000001</v>
      </c>
      <c r="H708" s="141">
        <f>0.001013*Constantes!$D$6/(0.622*G708)</f>
        <v>4.5140533105443567E-2</v>
      </c>
      <c r="I708" s="141">
        <f t="shared" si="69"/>
        <v>0.35417281924860555</v>
      </c>
      <c r="J708" s="141">
        <f t="shared" si="70"/>
        <v>-0.39005552762185214</v>
      </c>
      <c r="K708" s="141">
        <f>(Constantes!$D$12/0.8)*(Constantes!$D$7*J708^2+Constantes!$D$8*J708+Constantes!$D$9)</f>
        <v>19.559154321481053</v>
      </c>
      <c r="L708" s="141">
        <f>(Constantes!$D$12/0.8)*(0.00376*D708^2-0.0516*D708-6.967)</f>
        <v>-4.353515625</v>
      </c>
      <c r="M708" s="140">
        <f t="shared" si="65"/>
        <v>4.9697846759189357</v>
      </c>
      <c r="N708" s="12"/>
    </row>
    <row r="709" spans="2:14" ht="18.75" customHeight="1">
      <c r="B709" s="11"/>
      <c r="C709" s="75">
        <v>704</v>
      </c>
      <c r="D709" s="65">
        <f>(Observaciones!D709+Observaciones!E709)/2</f>
        <v>13.75</v>
      </c>
      <c r="E709" s="141">
        <f t="shared" si="66"/>
        <v>1.5736468149943981</v>
      </c>
      <c r="F709" s="141">
        <f t="shared" si="67"/>
        <v>0.10231958493462359</v>
      </c>
      <c r="G709" s="141">
        <f t="shared" si="68"/>
        <v>2.4685362500000001</v>
      </c>
      <c r="H709" s="141">
        <f>0.001013*Constantes!$D$6/(0.622*G709)</f>
        <v>4.5140533105443567E-2</v>
      </c>
      <c r="I709" s="141">
        <f t="shared" si="69"/>
        <v>0.35417281924860555</v>
      </c>
      <c r="J709" s="141">
        <f t="shared" si="70"/>
        <v>-0.39211558714780409</v>
      </c>
      <c r="K709" s="141">
        <f>(Constantes!$D$12/0.8)*(Constantes!$D$7*J709^2+Constantes!$D$8*J709+Constantes!$D$9)</f>
        <v>19.559422247731892</v>
      </c>
      <c r="L709" s="141">
        <f>(Constantes!$D$12/0.8)*(0.00376*D709^2-0.0516*D709-6.967)</f>
        <v>-4.353515625</v>
      </c>
      <c r="M709" s="140">
        <f t="shared" si="65"/>
        <v>4.9698738745828095</v>
      </c>
      <c r="N709" s="12"/>
    </row>
    <row r="710" spans="2:14" ht="18.75" customHeight="1">
      <c r="B710" s="11"/>
      <c r="C710" s="75">
        <v>705</v>
      </c>
      <c r="D710" s="65">
        <f>(Observaciones!D710+Observaciones!E710)/2</f>
        <v>14.1</v>
      </c>
      <c r="E710" s="141">
        <f t="shared" si="66"/>
        <v>1.6098253520131185</v>
      </c>
      <c r="F710" s="141">
        <f t="shared" si="67"/>
        <v>0.10438069155687195</v>
      </c>
      <c r="G710" s="141">
        <f t="shared" si="68"/>
        <v>2.4677099</v>
      </c>
      <c r="H710" s="141">
        <f>0.001013*Constantes!$D$6/(0.622*G710)</f>
        <v>4.5155649095994843E-2</v>
      </c>
      <c r="I710" s="141">
        <f t="shared" si="69"/>
        <v>0.35640998531823892</v>
      </c>
      <c r="J710" s="141">
        <f t="shared" si="70"/>
        <v>-0.39405945436273682</v>
      </c>
      <c r="K710" s="141">
        <f>(Constantes!$D$12/0.8)*(Constantes!$D$7*J710^2+Constantes!$D$8*J710+Constantes!$D$9)</f>
        <v>19.559609355896754</v>
      </c>
      <c r="L710" s="141">
        <f>(Constantes!$D$12/0.8)*(0.00376*D710^2-0.0516*D710-6.967)</f>
        <v>-4.3418964999999998</v>
      </c>
      <c r="M710" s="140">
        <f t="shared" si="65"/>
        <v>5.0054704105453984</v>
      </c>
      <c r="N710" s="12"/>
    </row>
    <row r="711" spans="2:14" ht="18.75" customHeight="1">
      <c r="B711" s="11"/>
      <c r="C711" s="75">
        <v>706</v>
      </c>
      <c r="D711" s="65">
        <f>(Observaciones!D711+Observaciones!E711)/2</f>
        <v>13.75</v>
      </c>
      <c r="E711" s="141">
        <f t="shared" si="66"/>
        <v>1.5736468149943981</v>
      </c>
      <c r="F711" s="141">
        <f t="shared" si="67"/>
        <v>0.10231958493462359</v>
      </c>
      <c r="G711" s="141">
        <f t="shared" si="68"/>
        <v>2.4685362500000001</v>
      </c>
      <c r="H711" s="141">
        <f>0.001013*Constantes!$D$6/(0.622*G711)</f>
        <v>4.5140533105443567E-2</v>
      </c>
      <c r="I711" s="141">
        <f t="shared" si="69"/>
        <v>0.35417281924860555</v>
      </c>
      <c r="J711" s="141">
        <f t="shared" si="70"/>
        <v>-0.39588655325684219</v>
      </c>
      <c r="K711" s="141">
        <f>(Constantes!$D$12/0.8)*(Constantes!$D$7*J711^2+Constantes!$D$8*J711+Constantes!$D$9)</f>
        <v>19.559727058393225</v>
      </c>
      <c r="L711" s="141">
        <f>(Constantes!$D$12/0.8)*(0.00376*D711^2-0.0516*D711-6.967)</f>
        <v>-4.353515625</v>
      </c>
      <c r="M711" s="140">
        <f t="shared" ref="M711:M735" si="71">IF(D711&gt;0,I711*(0.94*K711+L711),0)</f>
        <v>4.9699753528949948</v>
      </c>
      <c r="N711" s="12"/>
    </row>
    <row r="712" spans="2:14" ht="18.75" customHeight="1">
      <c r="B712" s="11"/>
      <c r="C712" s="75">
        <v>707</v>
      </c>
      <c r="D712" s="65">
        <f>(Observaciones!D712+Observaciones!E712)/2</f>
        <v>13.7</v>
      </c>
      <c r="E712" s="141">
        <f t="shared" si="66"/>
        <v>1.568537138827782</v>
      </c>
      <c r="F712" s="141">
        <f t="shared" si="67"/>
        <v>0.10202798677665831</v>
      </c>
      <c r="G712" s="141">
        <f t="shared" si="68"/>
        <v>2.4686542999999999</v>
      </c>
      <c r="H712" s="141">
        <f>0.001013*Constantes!$D$6/(0.622*G712)</f>
        <v>4.5138374504325104E-2</v>
      </c>
      <c r="I712" s="141">
        <f t="shared" si="69"/>
        <v>0.35385149346393019</v>
      </c>
      <c r="J712" s="141">
        <f t="shared" si="70"/>
        <v>-0.39759634242128594</v>
      </c>
      <c r="K712" s="141">
        <f>(Constantes!$D$12/0.8)*(Constantes!$D$7*J712^2+Constantes!$D$8*J712+Constantes!$D$9)</f>
        <v>19.559786151032014</v>
      </c>
      <c r="L712" s="141">
        <f>(Constantes!$D$12/0.8)*(0.00376*D712^2-0.0516*D712-6.967)</f>
        <v>-4.3551285000000002</v>
      </c>
      <c r="M712" s="140">
        <f t="shared" si="71"/>
        <v>4.9649152449427847</v>
      </c>
      <c r="N712" s="12"/>
    </row>
    <row r="713" spans="2:14" ht="18.75" customHeight="1">
      <c r="B713" s="11"/>
      <c r="C713" s="75">
        <v>708</v>
      </c>
      <c r="D713" s="65">
        <f>(Observaciones!D713+Observaciones!E713)/2</f>
        <v>15.1</v>
      </c>
      <c r="E713" s="141">
        <f t="shared" si="66"/>
        <v>1.7172446826168701</v>
      </c>
      <c r="F713" s="141">
        <f t="shared" si="67"/>
        <v>0.11046518728234203</v>
      </c>
      <c r="G713" s="141">
        <f t="shared" si="68"/>
        <v>2.4653489</v>
      </c>
      <c r="H713" s="141">
        <f>0.001013*Constantes!$D$6/(0.622*G713)</f>
        <v>4.5198893477151461E-2</v>
      </c>
      <c r="I713" s="141">
        <f t="shared" si="69"/>
        <v>0.36268465146207884</v>
      </c>
      <c r="J713" s="141">
        <f t="shared" si="70"/>
        <v>-0.39918831520863846</v>
      </c>
      <c r="K713" s="141">
        <f>(Constantes!$D$12/0.8)*(Constantes!$D$7*J713^2+Constantes!$D$8*J713+Constantes!$D$9)</f>
        <v>19.559796796981402</v>
      </c>
      <c r="L713" s="141">
        <f>(Constantes!$D$12/0.8)*(0.00376*D713^2-0.0516*D713-6.967)</f>
        <v>-4.3055265</v>
      </c>
      <c r="M713" s="140">
        <f t="shared" si="71"/>
        <v>5.1068474209301042</v>
      </c>
      <c r="N713" s="12"/>
    </row>
    <row r="714" spans="2:14" ht="18.75" customHeight="1">
      <c r="B714" s="11"/>
      <c r="C714" s="75">
        <v>709</v>
      </c>
      <c r="D714" s="65">
        <f>(Observaciones!D714+Observaciones!E714)/2</f>
        <v>11.75</v>
      </c>
      <c r="E714" s="141">
        <f t="shared" si="66"/>
        <v>1.3802776599471762</v>
      </c>
      <c r="F714" s="141">
        <f t="shared" si="67"/>
        <v>9.1193801661548224E-2</v>
      </c>
      <c r="G714" s="141">
        <f t="shared" si="68"/>
        <v>2.4732582499999998</v>
      </c>
      <c r="H714" s="141">
        <f>0.001013*Constantes!$D$6/(0.622*G714)</f>
        <v>4.5054349789437696E-2</v>
      </c>
      <c r="I714" s="141">
        <f t="shared" si="69"/>
        <v>0.34098539738615508</v>
      </c>
      <c r="J714" s="141">
        <f t="shared" si="70"/>
        <v>-0.40066199988300538</v>
      </c>
      <c r="K714" s="141">
        <f>(Constantes!$D$12/0.8)*(Constantes!$D$7*J714^2+Constantes!$D$8*J714+Constantes!$D$9)</f>
        <v>19.55976851168958</v>
      </c>
      <c r="L714" s="141">
        <f>(Constantes!$D$12/0.8)*(0.00376*D714^2-0.0516*D714-6.967)</f>
        <v>-4.4088656249999998</v>
      </c>
      <c r="M714" s="140">
        <f t="shared" si="71"/>
        <v>4.7660609152525097</v>
      </c>
      <c r="N714" s="12"/>
    </row>
    <row r="715" spans="2:14" ht="18.75" customHeight="1">
      <c r="B715" s="11"/>
      <c r="C715" s="75">
        <v>710</v>
      </c>
      <c r="D715" s="65">
        <f>(Observaciones!D715+Observaciones!E715)/2</f>
        <v>14.35</v>
      </c>
      <c r="E715" s="141">
        <f t="shared" si="66"/>
        <v>1.6361119589017179</v>
      </c>
      <c r="F715" s="141">
        <f t="shared" si="67"/>
        <v>0.10587443449555982</v>
      </c>
      <c r="G715" s="141">
        <f t="shared" si="68"/>
        <v>2.4671196499999999</v>
      </c>
      <c r="H715" s="141">
        <f>0.001013*Constantes!$D$6/(0.622*G715)</f>
        <v>4.5166452431730474E-2</v>
      </c>
      <c r="I715" s="141">
        <f t="shared" si="69"/>
        <v>0.35799495730755543</v>
      </c>
      <c r="J715" s="141">
        <f t="shared" si="70"/>
        <v>-0.40201695975981261</v>
      </c>
      <c r="K715" s="141">
        <f>(Constantes!$D$12/0.8)*(Constantes!$D$7*J715^2+Constantes!$D$8*J715+Constantes!$D$9)</f>
        <v>19.559710148783545</v>
      </c>
      <c r="L715" s="141">
        <f>(Constantes!$D$12/0.8)*(0.00376*D715^2-0.0516*D715-6.967)</f>
        <v>-4.3332446249999998</v>
      </c>
      <c r="M715" s="140">
        <f t="shared" si="71"/>
        <v>5.0308612191521389</v>
      </c>
      <c r="N715" s="12"/>
    </row>
    <row r="716" spans="2:14" ht="18.75" customHeight="1">
      <c r="B716" s="11"/>
      <c r="C716" s="75">
        <v>711</v>
      </c>
      <c r="D716" s="65">
        <f>(Observaciones!D716+Observaciones!E716)/2</f>
        <v>13.45</v>
      </c>
      <c r="E716" s="141">
        <f t="shared" si="66"/>
        <v>1.5432065279848868</v>
      </c>
      <c r="F716" s="141">
        <f t="shared" si="67"/>
        <v>0.1005805769400801</v>
      </c>
      <c r="G716" s="141">
        <f t="shared" si="68"/>
        <v>2.46924455</v>
      </c>
      <c r="H716" s="141">
        <f>0.001013*Constantes!$D$6/(0.622*G716)</f>
        <v>4.5127584594694167E-2</v>
      </c>
      <c r="I716" s="141">
        <f t="shared" si="69"/>
        <v>0.35223838816895903</v>
      </c>
      <c r="J716" s="141">
        <f t="shared" si="70"/>
        <v>-0.40325279333520658</v>
      </c>
      <c r="K716" s="141">
        <f>(Constantes!$D$12/0.8)*(Constantes!$D$7*J716^2+Constantes!$D$8*J716+Constantes!$D$9)</f>
        <v>19.559629886962234</v>
      </c>
      <c r="L716" s="141">
        <f>(Constantes!$D$12/0.8)*(0.00376*D716^2-0.0516*D716-6.967)</f>
        <v>-4.3630166249999993</v>
      </c>
      <c r="M716" s="140">
        <f t="shared" si="71"/>
        <v>4.9394514107467051</v>
      </c>
      <c r="N716" s="12"/>
    </row>
    <row r="717" spans="2:14" ht="18.75" customHeight="1">
      <c r="B717" s="11"/>
      <c r="C717" s="75">
        <v>712</v>
      </c>
      <c r="D717" s="65">
        <f>(Observaciones!D717+Observaciones!E717)/2</f>
        <v>12</v>
      </c>
      <c r="E717" s="141">
        <f t="shared" si="66"/>
        <v>1.4032466788795555</v>
      </c>
      <c r="F717" s="141">
        <f t="shared" si="67"/>
        <v>9.2525495616340561E-2</v>
      </c>
      <c r="G717" s="141">
        <f t="shared" si="68"/>
        <v>2.4726680000000001</v>
      </c>
      <c r="H717" s="141">
        <f>0.001013*Constantes!$D$6/(0.622*G717)</f>
        <v>4.5065104702739119E-2</v>
      </c>
      <c r="I717" s="141">
        <f t="shared" si="69"/>
        <v>0.34267103098752799</v>
      </c>
      <c r="J717" s="141">
        <f t="shared" si="70"/>
        <v>-0.4043691344050272</v>
      </c>
      <c r="K717" s="141">
        <f>(Constantes!$D$12/0.8)*(Constantes!$D$7*J717^2+Constantes!$D$8*J717+Constantes!$D$9)</f>
        <v>19.559535217900098</v>
      </c>
      <c r="L717" s="141">
        <f>(Constantes!$D$12/0.8)*(0.00376*D717^2-0.0516*D717-6.967)</f>
        <v>-4.4029749999999996</v>
      </c>
      <c r="M717" s="140">
        <f t="shared" si="71"/>
        <v>4.7915649501670972</v>
      </c>
      <c r="N717" s="12"/>
    </row>
    <row r="718" spans="2:14" ht="18.75" customHeight="1">
      <c r="B718" s="11"/>
      <c r="C718" s="75">
        <v>713</v>
      </c>
      <c r="D718" s="65">
        <f>(Observaciones!D718+Observaciones!E718)/2</f>
        <v>15.25</v>
      </c>
      <c r="E718" s="141">
        <f t="shared" si="66"/>
        <v>1.7338879625062771</v>
      </c>
      <c r="F718" s="141">
        <f t="shared" si="67"/>
        <v>0.11140334723771557</v>
      </c>
      <c r="G718" s="141">
        <f t="shared" si="68"/>
        <v>2.4649947499999998</v>
      </c>
      <c r="H718" s="141">
        <f>0.001013*Constantes!$D$6/(0.622*G718)</f>
        <v>4.5205387279268053E-2</v>
      </c>
      <c r="I718" s="141">
        <f t="shared" si="69"/>
        <v>0.36361082673457973</v>
      </c>
      <c r="J718" s="141">
        <f t="shared" si="70"/>
        <v>-0.40536565217332288</v>
      </c>
      <c r="K718" s="141">
        <f>(Constantes!$D$12/0.8)*(Constantes!$D$7*J718^2+Constantes!$D$8*J718+Constantes!$D$9)</f>
        <v>19.559432935176233</v>
      </c>
      <c r="L718" s="141">
        <f>(Constantes!$D$12/0.8)*(0.00376*D718^2-0.0516*D718-6.967)</f>
        <v>-4.2996656249999994</v>
      </c>
      <c r="M718" s="140">
        <f t="shared" si="71"/>
        <v>5.1218953126293547</v>
      </c>
      <c r="N718" s="12"/>
    </row>
    <row r="719" spans="2:14" ht="18.75" customHeight="1">
      <c r="B719" s="11"/>
      <c r="C719" s="75">
        <v>714</v>
      </c>
      <c r="D719" s="65">
        <f>(Observaciones!D719+Observaciones!E719)/2</f>
        <v>14.25</v>
      </c>
      <c r="E719" s="141">
        <f t="shared" si="66"/>
        <v>1.6255524772300411</v>
      </c>
      <c r="F719" s="141">
        <f t="shared" si="67"/>
        <v>0.10527477090559632</v>
      </c>
      <c r="G719" s="141">
        <f t="shared" si="68"/>
        <v>2.4673557499999998</v>
      </c>
      <c r="H719" s="141">
        <f>0.001013*Constantes!$D$6/(0.622*G719)</f>
        <v>4.5162130477176848E-2</v>
      </c>
      <c r="I719" s="141">
        <f t="shared" si="69"/>
        <v>0.35736227060066839</v>
      </c>
      <c r="J719" s="141">
        <f t="shared" si="70"/>
        <v>-0.40624205135037245</v>
      </c>
      <c r="K719" s="141">
        <f>(Constantes!$D$12/0.8)*(Constantes!$D$7*J719^2+Constantes!$D$8*J719+Constantes!$D$9)</f>
        <v>19.559329124242808</v>
      </c>
      <c r="L719" s="141">
        <f>(Constantes!$D$12/0.8)*(0.00376*D719^2-0.0516*D719-6.967)</f>
        <v>-4.3367406249999991</v>
      </c>
      <c r="M719" s="140">
        <f t="shared" si="71"/>
        <v>5.0205928144731198</v>
      </c>
      <c r="N719" s="12"/>
    </row>
    <row r="720" spans="2:14" ht="18.75" customHeight="1">
      <c r="B720" s="11"/>
      <c r="C720" s="75">
        <v>715</v>
      </c>
      <c r="D720" s="65">
        <f>(Observaciones!D720+Observaciones!E720)/2</f>
        <v>14.899999999999999</v>
      </c>
      <c r="E720" s="141">
        <f t="shared" si="66"/>
        <v>1.6952716301356705</v>
      </c>
      <c r="F720" s="141">
        <f t="shared" si="67"/>
        <v>0.10922475617100801</v>
      </c>
      <c r="G720" s="141">
        <f t="shared" si="68"/>
        <v>2.4658210999999999</v>
      </c>
      <c r="H720" s="141">
        <f>0.001013*Constantes!$D$6/(0.622*G720)</f>
        <v>4.5190237975947463E-2</v>
      </c>
      <c r="I720" s="141">
        <f t="shared" si="69"/>
        <v>0.36144364658766276</v>
      </c>
      <c r="J720" s="141">
        <f t="shared" si="70"/>
        <v>-0.40699807224018525</v>
      </c>
      <c r="K720" s="141">
        <f>(Constantes!$D$12/0.8)*(Constantes!$D$7*J720^2+Constantes!$D$8*J720+Constantes!$D$9)</f>
        <v>19.559229153445248</v>
      </c>
      <c r="L720" s="141">
        <f>(Constantes!$D$12/0.8)*(0.00376*D720^2-0.0516*D720-6.967)</f>
        <v>-4.3131765</v>
      </c>
      <c r="M720" s="140">
        <f t="shared" si="71"/>
        <v>5.0864153205488636</v>
      </c>
      <c r="N720" s="12"/>
    </row>
    <row r="721" spans="2:14" ht="18.75" customHeight="1">
      <c r="B721" s="11"/>
      <c r="C721" s="75">
        <v>716</v>
      </c>
      <c r="D721" s="65">
        <f>(Observaciones!D721+Observaciones!E721)/2</f>
        <v>13.25</v>
      </c>
      <c r="E721" s="141">
        <f t="shared" si="66"/>
        <v>1.5232012546387372</v>
      </c>
      <c r="F721" s="141">
        <f t="shared" si="67"/>
        <v>9.943526343834895E-2</v>
      </c>
      <c r="G721" s="141">
        <f t="shared" si="68"/>
        <v>2.4697167499999999</v>
      </c>
      <c r="H721" s="141">
        <f>0.001013*Constantes!$D$6/(0.622*G721)</f>
        <v>4.5118956380367316E-2</v>
      </c>
      <c r="I721" s="141">
        <f t="shared" si="69"/>
        <v>0.35094014605756357</v>
      </c>
      <c r="J721" s="141">
        <f t="shared" si="70"/>
        <v>-0.40763349081745553</v>
      </c>
      <c r="K721" s="141">
        <f>(Constantes!$D$12/0.8)*(Constantes!$D$7*J721^2+Constantes!$D$8*J721+Constantes!$D$9)</f>
        <v>19.5591376661054</v>
      </c>
      <c r="L721" s="141">
        <f>(Constantes!$D$12/0.8)*(0.00376*D721^2-0.0516*D721-6.967)</f>
        <v>-4.3691156249999992</v>
      </c>
      <c r="M721" s="140">
        <f t="shared" si="71"/>
        <v>4.9189433559649576</v>
      </c>
      <c r="N721" s="12"/>
    </row>
    <row r="722" spans="2:14" ht="18.75" customHeight="1">
      <c r="B722" s="11"/>
      <c r="C722" s="75">
        <v>717</v>
      </c>
      <c r="D722" s="65">
        <f>(Observaciones!D722+Observaciones!E722)/2</f>
        <v>12.9</v>
      </c>
      <c r="E722" s="141">
        <f t="shared" si="66"/>
        <v>1.4887393027557323</v>
      </c>
      <c r="F722" s="141">
        <f t="shared" si="67"/>
        <v>9.7457663967834368E-2</v>
      </c>
      <c r="G722" s="141">
        <f t="shared" si="68"/>
        <v>2.4705431</v>
      </c>
      <c r="H722" s="141">
        <f>0.001013*Constantes!$D$6/(0.622*G722)</f>
        <v>4.5103864941725781E-2</v>
      </c>
      <c r="I722" s="141">
        <f t="shared" si="69"/>
        <v>0.34865168081674919</v>
      </c>
      <c r="J722" s="141">
        <f t="shared" si="70"/>
        <v>-0.4081481187939453</v>
      </c>
      <c r="K722" s="141">
        <f>(Constantes!$D$12/0.8)*(Constantes!$D$7*J722^2+Constantes!$D$8*J722+Constantes!$D$9)</f>
        <v>19.559058573677465</v>
      </c>
      <c r="L722" s="141">
        <f>(Constantes!$D$12/0.8)*(0.00376*D722^2-0.0516*D722-6.967)</f>
        <v>-4.3793364999999991</v>
      </c>
      <c r="M722" s="140">
        <f t="shared" si="71"/>
        <v>4.8832776965044031</v>
      </c>
      <c r="N722" s="12"/>
    </row>
    <row r="723" spans="2:14" ht="18.75" customHeight="1">
      <c r="B723" s="11"/>
      <c r="C723" s="75">
        <v>718</v>
      </c>
      <c r="D723" s="65">
        <f>(Observaciones!D723+Observaciones!E723)/2</f>
        <v>12.9</v>
      </c>
      <c r="E723" s="141">
        <f t="shared" si="66"/>
        <v>1.4887393027557323</v>
      </c>
      <c r="F723" s="141">
        <f t="shared" si="67"/>
        <v>9.7457663967834368E-2</v>
      </c>
      <c r="G723" s="141">
        <f t="shared" si="68"/>
        <v>2.4705431</v>
      </c>
      <c r="H723" s="141">
        <f>0.001013*Constantes!$D$6/(0.622*G723)</f>
        <v>4.5103864941725781E-2</v>
      </c>
      <c r="I723" s="141">
        <f t="shared" si="69"/>
        <v>0.34865168081674919</v>
      </c>
      <c r="J723" s="141">
        <f t="shared" si="70"/>
        <v>-0.40854180367427873</v>
      </c>
      <c r="K723" s="141">
        <f>(Constantes!$D$12/0.8)*(Constantes!$D$7*J723^2+Constantes!$D$8*J723+Constantes!$D$9)</f>
        <v>19.558995049985214</v>
      </c>
      <c r="L723" s="141">
        <f>(Constantes!$D$12/0.8)*(0.00376*D723^2-0.0516*D723-6.967)</f>
        <v>-4.3793364999999991</v>
      </c>
      <c r="M723" s="140">
        <f t="shared" si="71"/>
        <v>4.8832568777208527</v>
      </c>
      <c r="N723" s="12"/>
    </row>
    <row r="724" spans="2:14" ht="18.75" customHeight="1">
      <c r="B724" s="11"/>
      <c r="C724" s="75">
        <v>719</v>
      </c>
      <c r="D724" s="65">
        <f>(Observaciones!D724+Observaciones!E724)/2</f>
        <v>13.8</v>
      </c>
      <c r="E724" s="141">
        <f t="shared" si="66"/>
        <v>1.5787710916071758</v>
      </c>
      <c r="F724" s="141">
        <f t="shared" si="67"/>
        <v>0.10261189172112961</v>
      </c>
      <c r="G724" s="141">
        <f t="shared" si="68"/>
        <v>2.4684181999999999</v>
      </c>
      <c r="H724" s="141">
        <f>0.001013*Constantes!$D$6/(0.622*G724)</f>
        <v>4.5142691913028568E-2</v>
      </c>
      <c r="I724" s="141">
        <f t="shared" si="69"/>
        <v>0.35449371277278185</v>
      </c>
      <c r="J724" s="141">
        <f t="shared" si="70"/>
        <v>-0.40881442880112911</v>
      </c>
      <c r="K724" s="141">
        <f>(Constantes!$D$12/0.8)*(Constantes!$D$7*J724^2+Constantes!$D$8*J724+Constantes!$D$9)</f>
        <v>19.558949526547703</v>
      </c>
      <c r="L724" s="141">
        <f>(Constantes!$D$12/0.8)*(0.00376*D724^2-0.0516*D724-6.967)</f>
        <v>-4.3518910000000002</v>
      </c>
      <c r="M724" s="140">
        <f t="shared" si="71"/>
        <v>4.9747951592928041</v>
      </c>
      <c r="N724" s="12"/>
    </row>
    <row r="725" spans="2:14" ht="18.75" customHeight="1">
      <c r="B725" s="11"/>
      <c r="C725" s="75">
        <v>720</v>
      </c>
      <c r="D725" s="65">
        <f>(Observaciones!D725+Observaciones!E725)/2</f>
        <v>13.8</v>
      </c>
      <c r="E725" s="141">
        <f t="shared" si="66"/>
        <v>1.5787710916071758</v>
      </c>
      <c r="F725" s="141">
        <f t="shared" si="67"/>
        <v>0.10261189172112961</v>
      </c>
      <c r="G725" s="141">
        <f t="shared" si="68"/>
        <v>2.4684181999999999</v>
      </c>
      <c r="H725" s="141">
        <f>0.001013*Constantes!$D$6/(0.622*G725)</f>
        <v>4.5142691913028568E-2</v>
      </c>
      <c r="I725" s="141">
        <f t="shared" si="69"/>
        <v>0.35449371277278185</v>
      </c>
      <c r="J725" s="141">
        <f t="shared" si="70"/>
        <v>-0.40896591338978777</v>
      </c>
      <c r="K725" s="141">
        <f>(Constantes!$D$12/0.8)*(Constantes!$D$7*J725^2+Constantes!$D$8*J725+Constantes!$D$9)</f>
        <v>19.558923688999226</v>
      </c>
      <c r="L725" s="141">
        <f>(Constantes!$D$12/0.8)*(0.00376*D725^2-0.0516*D725-6.967)</f>
        <v>-4.3518910000000002</v>
      </c>
      <c r="M725" s="140">
        <f t="shared" si="71"/>
        <v>4.9747865495992238</v>
      </c>
      <c r="N725" s="12"/>
    </row>
    <row r="726" spans="2:14" ht="18.75" customHeight="1">
      <c r="B726" s="11"/>
      <c r="C726" s="75">
        <v>721</v>
      </c>
      <c r="D726" s="65">
        <f>(Observaciones!D726+Observaciones!E726)/2</f>
        <v>14</v>
      </c>
      <c r="E726" s="141">
        <f t="shared" si="66"/>
        <v>1.5994149130233961</v>
      </c>
      <c r="F726" s="141">
        <f t="shared" si="67"/>
        <v>0.10378823296050949</v>
      </c>
      <c r="G726" s="141">
        <f t="shared" si="68"/>
        <v>2.467946</v>
      </c>
      <c r="H726" s="141">
        <f>0.001013*Constantes!$D$6/(0.622*G726)</f>
        <v>4.5151329208626335E-2</v>
      </c>
      <c r="I726" s="141">
        <f t="shared" si="69"/>
        <v>0.35577296023920879</v>
      </c>
      <c r="J726" s="141">
        <f t="shared" si="70"/>
        <v>-0.40899621255210172</v>
      </c>
      <c r="K726" s="141">
        <f>(Constantes!$D$12/0.8)*(Constantes!$D$7*J726^2+Constantes!$D$8*J726+Constantes!$D$9)</f>
        <v>19.558918474608006</v>
      </c>
      <c r="L726" s="141">
        <f>(Constantes!$D$12/0.8)*(0.00376*D726^2-0.0516*D726-6.967)</f>
        <v>-4.3452749999999991</v>
      </c>
      <c r="M726" s="140">
        <f t="shared" si="71"/>
        <v>4.9950909154978937</v>
      </c>
      <c r="N726" s="12"/>
    </row>
    <row r="727" spans="2:14" ht="18.75" customHeight="1">
      <c r="B727" s="11"/>
      <c r="C727" s="75">
        <v>722</v>
      </c>
      <c r="D727" s="65">
        <f>(Observaciones!D727+Observaciones!E727)/2</f>
        <v>15.5</v>
      </c>
      <c r="E727" s="141">
        <f t="shared" si="66"/>
        <v>1.7619411708442332</v>
      </c>
      <c r="F727" s="141">
        <f t="shared" si="67"/>
        <v>0.11298198966073125</v>
      </c>
      <c r="G727" s="141">
        <f t="shared" si="68"/>
        <v>2.4644045000000001</v>
      </c>
      <c r="H727" s="141">
        <f>0.001013*Constantes!$D$6/(0.622*G727)</f>
        <v>4.5216214430347179E-2</v>
      </c>
      <c r="I727" s="141">
        <f t="shared" si="69"/>
        <v>0.36514572596976891</v>
      </c>
      <c r="J727" s="141">
        <f t="shared" si="70"/>
        <v>-0.40890531730977536</v>
      </c>
      <c r="K727" s="141">
        <f>(Constantes!$D$12/0.8)*(Constantes!$D$7*J727^2+Constantes!$D$8*J727+Constantes!$D$9)</f>
        <v>19.55893407089669</v>
      </c>
      <c r="L727" s="141">
        <f>(Constantes!$D$12/0.8)*(0.00376*D727^2-0.0516*D727-6.967)</f>
        <v>-4.2896625000000004</v>
      </c>
      <c r="M727" s="140">
        <f t="shared" si="71"/>
        <v>5.1469975819538805</v>
      </c>
      <c r="N727" s="12"/>
    </row>
    <row r="728" spans="2:14" ht="18.75" customHeight="1">
      <c r="B728" s="11"/>
      <c r="C728" s="75">
        <v>723</v>
      </c>
      <c r="D728" s="65">
        <f>(Observaciones!D728+Observaciones!E728)/2</f>
        <v>13.85</v>
      </c>
      <c r="E728" s="141">
        <f t="shared" si="66"/>
        <v>1.5839100041391287</v>
      </c>
      <c r="F728" s="141">
        <f t="shared" si="67"/>
        <v>0.10290490852509908</v>
      </c>
      <c r="G728" s="141">
        <f t="shared" si="68"/>
        <v>2.4683001499999997</v>
      </c>
      <c r="H728" s="141">
        <f>0.001013*Constantes!$D$6/(0.622*G728)</f>
        <v>4.5144850927109709E-2</v>
      </c>
      <c r="I728" s="141">
        <f t="shared" si="69"/>
        <v>0.35481417383138586</v>
      </c>
      <c r="J728" s="141">
        <f t="shared" si="70"/>
        <v>-0.40869325459703054</v>
      </c>
      <c r="K728" s="141">
        <f>(Constantes!$D$12/0.8)*(Constantes!$D$7*J728^2+Constantes!$D$8*J728+Constantes!$D$9)</f>
        <v>19.558969915366344</v>
      </c>
      <c r="L728" s="141">
        <f>(Constantes!$D$12/0.8)*(0.00376*D728^2-0.0516*D728-6.967)</f>
        <v>-4.3502546249999998</v>
      </c>
      <c r="M728" s="140">
        <f t="shared" si="71"/>
        <v>4.9798797656972811</v>
      </c>
      <c r="N728" s="12"/>
    </row>
    <row r="729" spans="2:14" ht="18.75" customHeight="1">
      <c r="B729" s="11"/>
      <c r="C729" s="75">
        <v>724</v>
      </c>
      <c r="D729" s="65">
        <f>(Observaciones!D729+Observaciones!E729)/2</f>
        <v>13.9</v>
      </c>
      <c r="E729" s="141">
        <f t="shared" si="66"/>
        <v>1.589063588132779</v>
      </c>
      <c r="F729" s="141">
        <f t="shared" si="67"/>
        <v>0.10319863673742037</v>
      </c>
      <c r="G729" s="141">
        <f t="shared" si="68"/>
        <v>2.4681820999999999</v>
      </c>
      <c r="H729" s="141">
        <f>0.001013*Constantes!$D$6/(0.622*G729)</f>
        <v>4.5147010147716632E-2</v>
      </c>
      <c r="I729" s="141">
        <f t="shared" si="69"/>
        <v>0.35513420222442993</v>
      </c>
      <c r="J729" s="141">
        <f t="shared" si="70"/>
        <v>-0.40836008725262579</v>
      </c>
      <c r="K729" s="141">
        <f>(Constantes!$D$12/0.8)*(Constantes!$D$7*J729^2+Constantes!$D$8*J729+Constantes!$D$9)</f>
        <v>19.559024696324361</v>
      </c>
      <c r="L729" s="141">
        <f>(Constantes!$D$12/0.8)*(0.00376*D729^2-0.0516*D729-6.967)</f>
        <v>-4.3486064999999998</v>
      </c>
      <c r="M729" s="140">
        <f t="shared" si="71"/>
        <v>4.9849750137425799</v>
      </c>
      <c r="N729" s="12"/>
    </row>
    <row r="730" spans="2:14" ht="18.75" customHeight="1">
      <c r="B730" s="11"/>
      <c r="C730" s="75">
        <v>725</v>
      </c>
      <c r="D730" s="65">
        <f>(Observaciones!D730+Observaciones!E730)/2</f>
        <v>13.4</v>
      </c>
      <c r="E730" s="141">
        <f t="shared" si="66"/>
        <v>1.5381837134420713</v>
      </c>
      <c r="F730" s="141">
        <f t="shared" si="67"/>
        <v>0.10029320149589299</v>
      </c>
      <c r="G730" s="141">
        <f t="shared" si="68"/>
        <v>2.4693625999999997</v>
      </c>
      <c r="H730" s="141">
        <f>0.001013*Constantes!$D$6/(0.622*G730)</f>
        <v>4.5125427231753057E-2</v>
      </c>
      <c r="I730" s="141">
        <f t="shared" si="69"/>
        <v>0.35191447341494769</v>
      </c>
      <c r="J730" s="141">
        <f t="shared" si="70"/>
        <v>-0.40790591400123555</v>
      </c>
      <c r="K730" s="141">
        <f>(Constantes!$D$12/0.8)*(Constantes!$D$7*J730^2+Constantes!$D$8*J730+Constantes!$D$9)</f>
        <v>19.559096354815139</v>
      </c>
      <c r="L730" s="141">
        <f>(Constantes!$D$12/0.8)*(0.00376*D730^2-0.0516*D730-6.967)</f>
        <v>-4.3645589999999999</v>
      </c>
      <c r="M730" s="140">
        <f t="shared" si="71"/>
        <v>4.9341898663529022</v>
      </c>
      <c r="N730" s="12"/>
    </row>
    <row r="731" spans="2:14" ht="18.75" customHeight="1">
      <c r="B731" s="11"/>
      <c r="C731" s="75">
        <v>726</v>
      </c>
      <c r="D731" s="65">
        <f>(Observaciones!D731+Observaciones!E731)/2</f>
        <v>15</v>
      </c>
      <c r="E731" s="141">
        <f t="shared" si="66"/>
        <v>1.7062271396379793</v>
      </c>
      <c r="F731" s="141">
        <f t="shared" si="67"/>
        <v>0.10984348383671551</v>
      </c>
      <c r="G731" s="141">
        <f t="shared" si="68"/>
        <v>2.4655849999999999</v>
      </c>
      <c r="H731" s="141">
        <f>0.001013*Constantes!$D$6/(0.622*G731)</f>
        <v>4.5194565312131819E-2</v>
      </c>
      <c r="I731" s="141">
        <f t="shared" si="69"/>
        <v>0.36206502083102154</v>
      </c>
      <c r="J731" s="141">
        <f t="shared" si="70"/>
        <v>-0.40733086942419627</v>
      </c>
      <c r="K731" s="141">
        <f>(Constantes!$D$12/0.8)*(Constantes!$D$7*J731^2+Constantes!$D$8*J731+Constantes!$D$9)</f>
        <v>19.559182087651244</v>
      </c>
      <c r="L731" s="141">
        <f>(Constantes!$D$12/0.8)*(0.00376*D731^2-0.0516*D731-6.967)</f>
        <v>-4.3093749999999993</v>
      </c>
      <c r="M731" s="140">
        <f t="shared" si="71"/>
        <v>5.0965199806593162</v>
      </c>
      <c r="N731" s="12"/>
    </row>
    <row r="732" spans="2:14" ht="18.75" customHeight="1">
      <c r="B732" s="11"/>
      <c r="C732" s="75">
        <v>727</v>
      </c>
      <c r="D732" s="65">
        <f>(Observaciones!D732+Observaciones!E732)/2</f>
        <v>15.5</v>
      </c>
      <c r="E732" s="141">
        <f t="shared" si="66"/>
        <v>1.7619411708442332</v>
      </c>
      <c r="F732" s="141">
        <f t="shared" si="67"/>
        <v>0.11298198966073125</v>
      </c>
      <c r="G732" s="141">
        <f t="shared" si="68"/>
        <v>2.4644045000000001</v>
      </c>
      <c r="H732" s="141">
        <f>0.001013*Constantes!$D$6/(0.622*G732)</f>
        <v>4.5216214430347179E-2</v>
      </c>
      <c r="I732" s="141">
        <f t="shared" si="69"/>
        <v>0.36514572596976891</v>
      </c>
      <c r="J732" s="141">
        <f t="shared" si="70"/>
        <v>-0.40663512391962625</v>
      </c>
      <c r="K732" s="141">
        <f>(Constantes!$D$12/0.8)*(Constantes!$D$7*J732^2+Constantes!$D$8*J732+Constantes!$D$9)</f>
        <v>19.559278351541224</v>
      </c>
      <c r="L732" s="141">
        <f>(Constantes!$D$12/0.8)*(0.00376*D732^2-0.0516*D732-6.967)</f>
        <v>-4.2896625000000004</v>
      </c>
      <c r="M732" s="140">
        <f t="shared" si="71"/>
        <v>5.1471157518034119</v>
      </c>
      <c r="N732" s="12"/>
    </row>
    <row r="733" spans="2:14" ht="18.75" customHeight="1">
      <c r="B733" s="11"/>
      <c r="C733" s="75">
        <v>728</v>
      </c>
      <c r="D733" s="65">
        <f>(Observaciones!D733+Observaciones!E733)/2</f>
        <v>13.45</v>
      </c>
      <c r="E733" s="141">
        <f t="shared" si="66"/>
        <v>1.5432065279848868</v>
      </c>
      <c r="F733" s="141">
        <f t="shared" si="67"/>
        <v>0.1005805769400801</v>
      </c>
      <c r="G733" s="141">
        <f t="shared" si="68"/>
        <v>2.46924455</v>
      </c>
      <c r="H733" s="141">
        <f>0.001013*Constantes!$D$6/(0.622*G733)</f>
        <v>4.5127584594694167E-2</v>
      </c>
      <c r="I733" s="141">
        <f t="shared" si="69"/>
        <v>0.35223838816895903</v>
      </c>
      <c r="J733" s="141">
        <f t="shared" si="70"/>
        <v>-0.40581888365193436</v>
      </c>
      <c r="K733" s="141">
        <f>(Constantes!$D$12/0.8)*(Constantes!$D$7*J733^2+Constantes!$D$8*J733+Constantes!$D$9)</f>
        <v>19.559380868308946</v>
      </c>
      <c r="L733" s="141">
        <f>(Constantes!$D$12/0.8)*(0.00376*D733^2-0.0516*D733-6.967)</f>
        <v>-4.3630166249999993</v>
      </c>
      <c r="M733" s="140">
        <f t="shared" si="71"/>
        <v>4.9393689596533905</v>
      </c>
      <c r="N733" s="12"/>
    </row>
    <row r="734" spans="2:14" ht="18.75" customHeight="1">
      <c r="B734" s="11"/>
      <c r="C734" s="75">
        <v>729</v>
      </c>
      <c r="D734" s="65">
        <f>(Observaciones!D734+Observaciones!E734)/2</f>
        <v>13.5</v>
      </c>
      <c r="E734" s="141">
        <f t="shared" si="66"/>
        <v>1.5482437315899678</v>
      </c>
      <c r="F734" s="141">
        <f t="shared" si="67"/>
        <v>0.10086865272047608</v>
      </c>
      <c r="G734" s="141">
        <f t="shared" si="68"/>
        <v>2.4691264999999998</v>
      </c>
      <c r="H734" s="141">
        <f>0.001013*Constantes!$D$6/(0.622*G734)</f>
        <v>4.512974216392418E-2</v>
      </c>
      <c r="I734" s="141">
        <f t="shared" si="69"/>
        <v>0.35256187200074002</v>
      </c>
      <c r="J734" s="141">
        <f t="shared" si="70"/>
        <v>-0.40488239049072744</v>
      </c>
      <c r="K734" s="141">
        <f>(Constantes!$D$12/0.8)*(Constantes!$D$7*J734^2+Constantes!$D$8*J734+Constantes!$D$9)</f>
        <v>19.559484631198</v>
      </c>
      <c r="L734" s="141">
        <f>(Constantes!$D$12/0.8)*(0.00376*D734^2-0.0516*D734-6.967)</f>
        <v>-4.3614625</v>
      </c>
      <c r="M734" s="140">
        <f t="shared" si="71"/>
        <v>4.9444874222671507</v>
      </c>
      <c r="N734" s="12"/>
    </row>
    <row r="735" spans="2:14" ht="18.75" customHeight="1">
      <c r="B735" s="11"/>
      <c r="C735" s="75">
        <v>730</v>
      </c>
      <c r="D735" s="65">
        <f>(Observaciones!D735+Observaciones!E735)/2</f>
        <v>11.55</v>
      </c>
      <c r="E735" s="141">
        <f t="shared" si="66"/>
        <v>1.3621409164490859</v>
      </c>
      <c r="F735" s="141">
        <f t="shared" si="67"/>
        <v>9.0140238435898606E-2</v>
      </c>
      <c r="G735" s="141">
        <f t="shared" si="68"/>
        <v>2.4737304499999997</v>
      </c>
      <c r="H735" s="141">
        <f>0.001013*Constantes!$D$6/(0.622*G735)</f>
        <v>4.5045749554124839E-2</v>
      </c>
      <c r="I735" s="141">
        <f t="shared" si="69"/>
        <v>0.33962933384576244</v>
      </c>
      <c r="J735" s="141">
        <f t="shared" si="70"/>
        <v>-0.40382592193914046</v>
      </c>
      <c r="K735" s="141">
        <f>(Constantes!$D$12/0.8)*(Constantes!$D$7*J735^2+Constantes!$D$8*J735+Constantes!$D$9)</f>
        <v>19.559583912253299</v>
      </c>
      <c r="L735" s="141">
        <f>(Constantes!$D$12/0.8)*(0.00376*D735^2-0.0516*D735-6.967)</f>
        <v>-4.4133666250000001</v>
      </c>
      <c r="M735" s="140">
        <f t="shared" si="71"/>
        <v>4.745519180287876</v>
      </c>
      <c r="N735" s="12"/>
    </row>
    <row r="736" spans="2:14" s="2" customFormat="1" ht="14.5" thickBot="1">
      <c r="B736" s="33"/>
      <c r="C736" s="34"/>
      <c r="D736" s="34"/>
      <c r="E736" s="142"/>
      <c r="F736" s="142"/>
      <c r="G736" s="142"/>
      <c r="H736" s="142"/>
      <c r="I736" s="142"/>
      <c r="J736" s="142"/>
      <c r="K736" s="142"/>
      <c r="L736" s="142"/>
      <c r="M736" s="142"/>
      <c r="N736" s="35"/>
    </row>
    <row r="737" spans="5:13" s="2" customFormat="1">
      <c r="E737" s="107"/>
      <c r="F737" s="107"/>
      <c r="G737" s="107"/>
      <c r="H737" s="107"/>
      <c r="I737" s="107"/>
      <c r="J737" s="107"/>
      <c r="K737" s="107"/>
      <c r="L737" s="107"/>
      <c r="M737" s="107"/>
    </row>
    <row r="738" spans="5:13" s="2" customFormat="1">
      <c r="E738" s="107"/>
      <c r="F738" s="107"/>
      <c r="G738" s="107"/>
      <c r="H738" s="107"/>
      <c r="I738" s="107"/>
      <c r="J738" s="107"/>
      <c r="K738" s="107"/>
      <c r="L738" s="107"/>
      <c r="M738" s="107"/>
    </row>
    <row r="739" spans="5:13" s="2" customFormat="1">
      <c r="E739" s="107"/>
      <c r="F739" s="107"/>
      <c r="G739" s="107"/>
      <c r="H739" s="107"/>
      <c r="I739" s="107"/>
      <c r="J739" s="107"/>
      <c r="K739" s="107"/>
      <c r="L739" s="107"/>
      <c r="M739" s="107"/>
    </row>
    <row r="740" spans="5:13" s="2" customFormat="1">
      <c r="E740" s="107"/>
      <c r="F740" s="107"/>
      <c r="G740" s="107"/>
      <c r="H740" s="107"/>
      <c r="I740" s="107"/>
      <c r="J740" s="107"/>
      <c r="K740" s="107"/>
      <c r="L740" s="107"/>
      <c r="M740" s="107"/>
    </row>
    <row r="741" spans="5:13" s="2" customFormat="1">
      <c r="E741" s="107"/>
      <c r="F741" s="107"/>
      <c r="G741" s="107"/>
      <c r="H741" s="107"/>
      <c r="I741" s="107"/>
      <c r="J741" s="107"/>
      <c r="K741" s="107"/>
      <c r="L741" s="107"/>
      <c r="M741" s="107"/>
    </row>
    <row r="742" spans="5:13" s="2" customFormat="1">
      <c r="E742" s="107"/>
      <c r="F742" s="107"/>
      <c r="G742" s="107"/>
      <c r="H742" s="107"/>
      <c r="I742" s="107"/>
      <c r="J742" s="107"/>
      <c r="K742" s="107"/>
      <c r="L742" s="107"/>
      <c r="M742" s="107"/>
    </row>
    <row r="743" spans="5:13" s="2" customFormat="1">
      <c r="E743" s="107"/>
      <c r="F743" s="107"/>
      <c r="G743" s="107"/>
      <c r="H743" s="107"/>
      <c r="I743" s="107"/>
      <c r="J743" s="107"/>
      <c r="K743" s="107"/>
      <c r="L743" s="107"/>
      <c r="M743" s="107"/>
    </row>
    <row r="744" spans="5:13" s="2" customFormat="1">
      <c r="E744" s="107"/>
      <c r="F744" s="107"/>
      <c r="G744" s="107"/>
      <c r="H744" s="107"/>
      <c r="I744" s="107"/>
      <c r="J744" s="107"/>
      <c r="K744" s="107"/>
      <c r="L744" s="107"/>
      <c r="M744" s="107"/>
    </row>
    <row r="745" spans="5:13" s="2" customFormat="1">
      <c r="E745" s="107"/>
      <c r="F745" s="107"/>
      <c r="G745" s="107"/>
      <c r="H745" s="107"/>
      <c r="I745" s="107"/>
      <c r="J745" s="107"/>
      <c r="K745" s="107"/>
      <c r="L745" s="107"/>
      <c r="M745" s="107"/>
    </row>
    <row r="746" spans="5:13" s="2" customFormat="1">
      <c r="E746" s="107"/>
      <c r="F746" s="107"/>
      <c r="G746" s="107"/>
      <c r="H746" s="107"/>
      <c r="I746" s="107"/>
      <c r="J746" s="107"/>
      <c r="K746" s="107"/>
      <c r="L746" s="107"/>
      <c r="M746" s="107"/>
    </row>
    <row r="747" spans="5:13" s="2" customFormat="1">
      <c r="E747" s="107"/>
      <c r="F747" s="107"/>
      <c r="G747" s="107"/>
      <c r="H747" s="107"/>
      <c r="I747" s="107"/>
      <c r="J747" s="107"/>
      <c r="K747" s="107"/>
      <c r="L747" s="107"/>
      <c r="M747" s="107"/>
    </row>
    <row r="748" spans="5:13" s="2" customFormat="1">
      <c r="E748" s="107"/>
      <c r="F748" s="107"/>
      <c r="G748" s="107"/>
      <c r="H748" s="107"/>
      <c r="I748" s="107"/>
      <c r="J748" s="107"/>
      <c r="K748" s="107"/>
      <c r="L748" s="107"/>
      <c r="M748" s="107"/>
    </row>
    <row r="749" spans="5:13" s="2" customFormat="1">
      <c r="E749" s="107"/>
      <c r="F749" s="107"/>
      <c r="G749" s="107"/>
      <c r="H749" s="107"/>
      <c r="I749" s="107"/>
      <c r="J749" s="107"/>
      <c r="K749" s="107"/>
      <c r="L749" s="107"/>
      <c r="M749" s="107"/>
    </row>
    <row r="750" spans="5:13" s="2" customFormat="1">
      <c r="E750" s="107"/>
      <c r="F750" s="107"/>
      <c r="G750" s="107"/>
      <c r="H750" s="107"/>
      <c r="I750" s="107"/>
      <c r="J750" s="107"/>
      <c r="K750" s="107"/>
      <c r="L750" s="107"/>
      <c r="M750" s="107"/>
    </row>
    <row r="751" spans="5:13" s="2" customFormat="1">
      <c r="E751" s="107"/>
      <c r="F751" s="107"/>
      <c r="G751" s="107"/>
      <c r="H751" s="107"/>
      <c r="I751" s="107"/>
      <c r="J751" s="107"/>
      <c r="K751" s="107"/>
      <c r="L751" s="107"/>
      <c r="M751" s="107"/>
    </row>
    <row r="752" spans="5:13" s="2" customFormat="1">
      <c r="E752" s="107"/>
      <c r="F752" s="107"/>
      <c r="G752" s="107"/>
      <c r="H752" s="107"/>
      <c r="I752" s="107"/>
      <c r="J752" s="107"/>
      <c r="K752" s="107"/>
      <c r="L752" s="107"/>
      <c r="M752" s="107"/>
    </row>
    <row r="753" spans="5:13" s="2" customFormat="1">
      <c r="E753" s="107"/>
      <c r="F753" s="107"/>
      <c r="G753" s="107"/>
      <c r="H753" s="107"/>
      <c r="I753" s="107"/>
      <c r="J753" s="107"/>
      <c r="K753" s="107"/>
      <c r="L753" s="107"/>
      <c r="M753" s="107"/>
    </row>
    <row r="754" spans="5:13" s="2" customFormat="1">
      <c r="E754" s="107"/>
      <c r="F754" s="107"/>
      <c r="G754" s="107"/>
      <c r="H754" s="107"/>
      <c r="I754" s="107"/>
      <c r="J754" s="107"/>
      <c r="K754" s="107"/>
      <c r="L754" s="107"/>
      <c r="M754" s="107"/>
    </row>
    <row r="755" spans="5:13" s="2" customFormat="1">
      <c r="E755" s="107"/>
      <c r="F755" s="107"/>
      <c r="G755" s="107"/>
      <c r="H755" s="107"/>
      <c r="I755" s="107"/>
      <c r="J755" s="107"/>
      <c r="K755" s="107"/>
      <c r="L755" s="107"/>
      <c r="M755" s="107"/>
    </row>
    <row r="756" spans="5:13" s="2" customFormat="1">
      <c r="E756" s="107"/>
      <c r="F756" s="107"/>
      <c r="G756" s="107"/>
      <c r="H756" s="107"/>
      <c r="I756" s="107"/>
      <c r="J756" s="107"/>
      <c r="K756" s="107"/>
      <c r="L756" s="107"/>
      <c r="M756" s="107"/>
    </row>
    <row r="757" spans="5:13" s="2" customFormat="1">
      <c r="E757" s="107"/>
      <c r="F757" s="107"/>
      <c r="G757" s="107"/>
      <c r="H757" s="107"/>
      <c r="I757" s="107"/>
      <c r="J757" s="107"/>
      <c r="K757" s="107"/>
      <c r="L757" s="107"/>
      <c r="M757" s="107"/>
    </row>
    <row r="758" spans="5:13" s="2" customFormat="1">
      <c r="E758" s="107"/>
      <c r="F758" s="107"/>
      <c r="G758" s="107"/>
      <c r="H758" s="107"/>
      <c r="I758" s="107"/>
      <c r="J758" s="107"/>
      <c r="K758" s="107"/>
      <c r="L758" s="107"/>
      <c r="M758" s="107"/>
    </row>
    <row r="759" spans="5:13" s="2" customFormat="1">
      <c r="E759" s="107"/>
      <c r="F759" s="107"/>
      <c r="G759" s="107"/>
      <c r="H759" s="107"/>
      <c r="I759" s="107"/>
      <c r="J759" s="107"/>
      <c r="K759" s="107"/>
      <c r="L759" s="107"/>
      <c r="M759" s="107"/>
    </row>
    <row r="760" spans="5:13" s="2" customFormat="1">
      <c r="E760" s="107"/>
      <c r="F760" s="107"/>
      <c r="G760" s="107"/>
      <c r="H760" s="107"/>
      <c r="I760" s="107"/>
      <c r="J760" s="107"/>
      <c r="K760" s="107"/>
      <c r="L760" s="107"/>
      <c r="M760" s="107"/>
    </row>
    <row r="761" spans="5:13" s="2" customFormat="1">
      <c r="E761" s="107"/>
      <c r="F761" s="107"/>
      <c r="G761" s="107"/>
      <c r="H761" s="107"/>
      <c r="I761" s="107"/>
      <c r="J761" s="107"/>
      <c r="K761" s="107"/>
      <c r="L761" s="107"/>
      <c r="M761" s="107"/>
    </row>
    <row r="762" spans="5:13" s="2" customFormat="1">
      <c r="E762" s="107"/>
      <c r="F762" s="107"/>
      <c r="G762" s="107"/>
      <c r="H762" s="107"/>
      <c r="I762" s="107"/>
      <c r="J762" s="107"/>
      <c r="K762" s="107"/>
      <c r="L762" s="107"/>
      <c r="M762" s="107"/>
    </row>
    <row r="763" spans="5:13" s="2" customFormat="1">
      <c r="E763" s="107"/>
      <c r="F763" s="107"/>
      <c r="G763" s="107"/>
      <c r="H763" s="107"/>
      <c r="I763" s="107"/>
      <c r="J763" s="107"/>
      <c r="K763" s="107"/>
      <c r="L763" s="107"/>
      <c r="M763" s="107"/>
    </row>
    <row r="764" spans="5:13" s="2" customFormat="1">
      <c r="E764" s="107"/>
      <c r="F764" s="107"/>
      <c r="G764" s="107"/>
      <c r="H764" s="107"/>
      <c r="I764" s="107"/>
      <c r="J764" s="107"/>
      <c r="K764" s="107"/>
      <c r="L764" s="107"/>
      <c r="M764" s="107"/>
    </row>
    <row r="765" spans="5:13" s="2" customFormat="1">
      <c r="E765" s="107"/>
      <c r="F765" s="107"/>
      <c r="G765" s="107"/>
      <c r="H765" s="107"/>
      <c r="I765" s="107"/>
      <c r="J765" s="107"/>
      <c r="K765" s="107"/>
      <c r="L765" s="107"/>
      <c r="M765" s="107"/>
    </row>
    <row r="766" spans="5:13" s="2" customFormat="1">
      <c r="E766" s="107"/>
      <c r="F766" s="107"/>
      <c r="G766" s="107"/>
      <c r="H766" s="107"/>
      <c r="I766" s="107"/>
      <c r="J766" s="107"/>
      <c r="K766" s="107"/>
      <c r="L766" s="107"/>
      <c r="M766" s="107"/>
    </row>
    <row r="767" spans="5:13" s="2" customFormat="1">
      <c r="E767" s="107"/>
      <c r="F767" s="107"/>
      <c r="G767" s="107"/>
      <c r="H767" s="107"/>
      <c r="I767" s="107"/>
      <c r="J767" s="107"/>
      <c r="K767" s="107"/>
      <c r="L767" s="107"/>
      <c r="M767" s="107"/>
    </row>
    <row r="768" spans="5:13" s="2" customFormat="1">
      <c r="E768" s="107"/>
      <c r="F768" s="107"/>
      <c r="G768" s="107"/>
      <c r="H768" s="107"/>
      <c r="I768" s="107"/>
      <c r="J768" s="107"/>
      <c r="K768" s="107"/>
      <c r="L768" s="107"/>
      <c r="M768" s="107"/>
    </row>
    <row r="769" spans="5:13" s="2" customFormat="1">
      <c r="E769" s="107"/>
      <c r="F769" s="107"/>
      <c r="G769" s="107"/>
      <c r="H769" s="107"/>
      <c r="I769" s="107"/>
      <c r="J769" s="107"/>
      <c r="K769" s="107"/>
      <c r="L769" s="107"/>
      <c r="M769" s="107"/>
    </row>
    <row r="770" spans="5:13" s="2" customFormat="1">
      <c r="E770" s="107"/>
      <c r="F770" s="107"/>
      <c r="G770" s="107"/>
      <c r="H770" s="107"/>
      <c r="I770" s="107"/>
      <c r="J770" s="107"/>
      <c r="K770" s="107"/>
      <c r="L770" s="107"/>
      <c r="M770" s="107"/>
    </row>
    <row r="771" spans="5:13" s="2" customFormat="1">
      <c r="E771" s="107"/>
      <c r="F771" s="107"/>
      <c r="G771" s="107"/>
      <c r="H771" s="107"/>
      <c r="I771" s="107"/>
      <c r="J771" s="107"/>
      <c r="K771" s="107"/>
      <c r="L771" s="107"/>
      <c r="M771" s="107"/>
    </row>
    <row r="772" spans="5:13" s="2" customFormat="1">
      <c r="E772" s="107"/>
      <c r="F772" s="107"/>
      <c r="G772" s="107"/>
      <c r="H772" s="107"/>
      <c r="I772" s="107"/>
      <c r="J772" s="107"/>
      <c r="K772" s="107"/>
      <c r="L772" s="107"/>
      <c r="M772" s="107"/>
    </row>
    <row r="773" spans="5:13" s="2" customFormat="1">
      <c r="E773" s="107"/>
      <c r="F773" s="107"/>
      <c r="G773" s="107"/>
      <c r="H773" s="107"/>
      <c r="I773" s="107"/>
      <c r="J773" s="107"/>
      <c r="K773" s="107"/>
      <c r="L773" s="107"/>
      <c r="M773" s="107"/>
    </row>
    <row r="774" spans="5:13" s="2" customFormat="1">
      <c r="E774" s="107"/>
      <c r="F774" s="107"/>
      <c r="G774" s="107"/>
      <c r="H774" s="107"/>
      <c r="I774" s="107"/>
      <c r="J774" s="107"/>
      <c r="K774" s="107"/>
      <c r="L774" s="107"/>
      <c r="M774" s="107"/>
    </row>
    <row r="775" spans="5:13" s="2" customFormat="1">
      <c r="E775" s="107"/>
      <c r="F775" s="107"/>
      <c r="G775" s="107"/>
      <c r="H775" s="107"/>
      <c r="I775" s="107"/>
      <c r="J775" s="107"/>
      <c r="K775" s="107"/>
      <c r="L775" s="107"/>
      <c r="M775" s="107"/>
    </row>
    <row r="776" spans="5:13" s="2" customFormat="1">
      <c r="E776" s="107"/>
      <c r="F776" s="107"/>
      <c r="G776" s="107"/>
      <c r="H776" s="107"/>
      <c r="I776" s="107"/>
      <c r="J776" s="107"/>
      <c r="K776" s="107"/>
      <c r="L776" s="107"/>
      <c r="M776" s="107"/>
    </row>
    <row r="777" spans="5:13" s="2" customFormat="1">
      <c r="E777" s="107"/>
      <c r="F777" s="107"/>
      <c r="G777" s="107"/>
      <c r="H777" s="107"/>
      <c r="I777" s="107"/>
      <c r="J777" s="107"/>
      <c r="K777" s="107"/>
      <c r="L777" s="107"/>
      <c r="M777" s="107"/>
    </row>
    <row r="778" spans="5:13" s="2" customFormat="1">
      <c r="E778" s="107"/>
      <c r="F778" s="107"/>
      <c r="G778" s="107"/>
      <c r="H778" s="107"/>
      <c r="I778" s="107"/>
      <c r="J778" s="107"/>
      <c r="K778" s="107"/>
      <c r="L778" s="107"/>
      <c r="M778" s="107"/>
    </row>
    <row r="779" spans="5:13" s="2" customFormat="1">
      <c r="E779" s="107"/>
      <c r="F779" s="107"/>
      <c r="G779" s="107"/>
      <c r="H779" s="107"/>
      <c r="I779" s="107"/>
      <c r="J779" s="107"/>
      <c r="K779" s="107"/>
      <c r="L779" s="107"/>
      <c r="M779" s="107"/>
    </row>
    <row r="780" spans="5:13" s="2" customFormat="1">
      <c r="E780" s="107"/>
      <c r="F780" s="107"/>
      <c r="G780" s="107"/>
      <c r="H780" s="107"/>
      <c r="I780" s="107"/>
      <c r="J780" s="107"/>
      <c r="K780" s="107"/>
      <c r="L780" s="107"/>
      <c r="M780" s="107"/>
    </row>
    <row r="781" spans="5:13" s="2" customFormat="1">
      <c r="E781" s="107"/>
      <c r="F781" s="107"/>
      <c r="G781" s="107"/>
      <c r="H781" s="107"/>
      <c r="I781" s="107"/>
      <c r="J781" s="107"/>
      <c r="K781" s="107"/>
      <c r="L781" s="107"/>
      <c r="M781" s="107"/>
    </row>
    <row r="782" spans="5:13" s="2" customFormat="1">
      <c r="E782" s="107"/>
      <c r="F782" s="107"/>
      <c r="G782" s="107"/>
      <c r="H782" s="107"/>
      <c r="I782" s="107"/>
      <c r="J782" s="107"/>
      <c r="K782" s="107"/>
      <c r="L782" s="107"/>
      <c r="M782" s="107"/>
    </row>
    <row r="783" spans="5:13" s="2" customFormat="1">
      <c r="E783" s="107"/>
      <c r="F783" s="107"/>
      <c r="G783" s="107"/>
      <c r="H783" s="107"/>
      <c r="I783" s="107"/>
      <c r="J783" s="107"/>
      <c r="K783" s="107"/>
      <c r="L783" s="107"/>
      <c r="M783" s="107"/>
    </row>
    <row r="784" spans="5:13" s="2" customFormat="1">
      <c r="E784" s="107"/>
      <c r="F784" s="107"/>
      <c r="G784" s="107"/>
      <c r="H784" s="107"/>
      <c r="I784" s="107"/>
      <c r="J784" s="107"/>
      <c r="K784" s="107"/>
      <c r="L784" s="107"/>
      <c r="M784" s="107"/>
    </row>
    <row r="785" spans="5:13" s="2" customFormat="1">
      <c r="E785" s="107"/>
      <c r="F785" s="107"/>
      <c r="G785" s="107"/>
      <c r="H785" s="107"/>
      <c r="I785" s="107"/>
      <c r="J785" s="107"/>
      <c r="K785" s="107"/>
      <c r="L785" s="107"/>
      <c r="M785" s="107"/>
    </row>
    <row r="786" spans="5:13" s="2" customFormat="1">
      <c r="E786" s="107"/>
      <c r="F786" s="107"/>
      <c r="G786" s="107"/>
      <c r="H786" s="107"/>
      <c r="I786" s="107"/>
      <c r="J786" s="107"/>
      <c r="K786" s="107"/>
      <c r="L786" s="107"/>
      <c r="M786" s="107"/>
    </row>
    <row r="787" spans="5:13" s="2" customFormat="1">
      <c r="E787" s="107"/>
      <c r="F787" s="107"/>
      <c r="G787" s="107"/>
      <c r="H787" s="107"/>
      <c r="I787" s="107"/>
      <c r="J787" s="107"/>
      <c r="K787" s="107"/>
      <c r="L787" s="107"/>
      <c r="M787" s="107"/>
    </row>
    <row r="788" spans="5:13" s="2" customFormat="1">
      <c r="E788" s="107"/>
      <c r="F788" s="107"/>
      <c r="G788" s="107"/>
      <c r="H788" s="107"/>
      <c r="I788" s="107"/>
      <c r="J788" s="107"/>
      <c r="K788" s="107"/>
      <c r="L788" s="107"/>
      <c r="M788" s="107"/>
    </row>
    <row r="789" spans="5:13" s="2" customFormat="1">
      <c r="E789" s="107"/>
      <c r="F789" s="107"/>
      <c r="G789" s="107"/>
      <c r="H789" s="107"/>
      <c r="I789" s="107"/>
      <c r="J789" s="107"/>
      <c r="K789" s="107"/>
      <c r="L789" s="107"/>
      <c r="M789" s="107"/>
    </row>
    <row r="790" spans="5:13" s="2" customFormat="1">
      <c r="E790" s="107"/>
      <c r="F790" s="107"/>
      <c r="G790" s="107"/>
      <c r="H790" s="107"/>
      <c r="I790" s="107"/>
      <c r="J790" s="107"/>
      <c r="K790" s="107"/>
      <c r="L790" s="107"/>
      <c r="M790" s="107"/>
    </row>
    <row r="791" spans="5:13" s="2" customFormat="1">
      <c r="E791" s="107"/>
      <c r="F791" s="107"/>
      <c r="G791" s="107"/>
      <c r="H791" s="107"/>
      <c r="I791" s="107"/>
      <c r="J791" s="107"/>
      <c r="K791" s="107"/>
      <c r="L791" s="107"/>
      <c r="M791" s="107"/>
    </row>
    <row r="792" spans="5:13" s="2" customFormat="1">
      <c r="E792" s="107"/>
      <c r="F792" s="107"/>
      <c r="G792" s="107"/>
      <c r="H792" s="107"/>
      <c r="I792" s="107"/>
      <c r="J792" s="107"/>
      <c r="K792" s="107"/>
      <c r="L792" s="107"/>
      <c r="M792" s="107"/>
    </row>
    <row r="793" spans="5:13" s="2" customFormat="1">
      <c r="E793" s="107"/>
      <c r="F793" s="107"/>
      <c r="G793" s="107"/>
      <c r="H793" s="107"/>
      <c r="I793" s="107"/>
      <c r="J793" s="107"/>
      <c r="K793" s="107"/>
      <c r="L793" s="107"/>
      <c r="M793" s="107"/>
    </row>
    <row r="794" spans="5:13" s="2" customFormat="1">
      <c r="E794" s="107"/>
      <c r="F794" s="107"/>
      <c r="G794" s="107"/>
      <c r="H794" s="107"/>
      <c r="I794" s="107"/>
      <c r="J794" s="107"/>
      <c r="K794" s="107"/>
      <c r="L794" s="107"/>
      <c r="M794" s="107"/>
    </row>
    <row r="795" spans="5:13" s="2" customFormat="1">
      <c r="E795" s="107"/>
      <c r="F795" s="107"/>
      <c r="G795" s="107"/>
      <c r="H795" s="107"/>
      <c r="I795" s="107"/>
      <c r="J795" s="107"/>
      <c r="K795" s="107"/>
      <c r="L795" s="107"/>
      <c r="M795" s="107"/>
    </row>
    <row r="796" spans="5:13" s="2" customFormat="1">
      <c r="E796" s="107"/>
      <c r="F796" s="107"/>
      <c r="G796" s="107"/>
      <c r="H796" s="107"/>
      <c r="I796" s="107"/>
      <c r="J796" s="107"/>
      <c r="K796" s="107"/>
      <c r="L796" s="107"/>
      <c r="M796" s="107"/>
    </row>
    <row r="797" spans="5:13" s="2" customFormat="1">
      <c r="E797" s="107"/>
      <c r="F797" s="107"/>
      <c r="G797" s="107"/>
      <c r="H797" s="107"/>
      <c r="I797" s="107"/>
      <c r="J797" s="107"/>
      <c r="K797" s="107"/>
      <c r="L797" s="107"/>
      <c r="M797" s="107"/>
    </row>
    <row r="798" spans="5:13" s="2" customFormat="1">
      <c r="E798" s="107"/>
      <c r="F798" s="107"/>
      <c r="G798" s="107"/>
      <c r="H798" s="107"/>
      <c r="I798" s="107"/>
      <c r="J798" s="107"/>
      <c r="K798" s="107"/>
      <c r="L798" s="107"/>
      <c r="M798" s="107"/>
    </row>
    <row r="799" spans="5:13" s="2" customFormat="1">
      <c r="E799" s="107"/>
      <c r="F799" s="107"/>
      <c r="G799" s="107"/>
      <c r="H799" s="107"/>
      <c r="I799" s="107"/>
      <c r="J799" s="107"/>
      <c r="K799" s="107"/>
      <c r="L799" s="107"/>
      <c r="M799" s="107"/>
    </row>
    <row r="800" spans="5:13" s="2" customFormat="1">
      <c r="E800" s="107"/>
      <c r="F800" s="107"/>
      <c r="G800" s="107"/>
      <c r="H800" s="107"/>
      <c r="I800" s="107"/>
      <c r="J800" s="107"/>
      <c r="K800" s="107"/>
      <c r="L800" s="107"/>
      <c r="M800" s="107"/>
    </row>
    <row r="801" spans="5:13" s="2" customFormat="1">
      <c r="E801" s="107"/>
      <c r="F801" s="107"/>
      <c r="G801" s="107"/>
      <c r="H801" s="107"/>
      <c r="I801" s="107"/>
      <c r="J801" s="107"/>
      <c r="K801" s="107"/>
      <c r="L801" s="107"/>
      <c r="M801" s="107"/>
    </row>
    <row r="802" spans="5:13" s="2" customFormat="1">
      <c r="E802" s="107"/>
      <c r="F802" s="107"/>
      <c r="G802" s="107"/>
      <c r="H802" s="107"/>
      <c r="I802" s="107"/>
      <c r="J802" s="107"/>
      <c r="K802" s="107"/>
      <c r="L802" s="107"/>
      <c r="M802" s="107"/>
    </row>
    <row r="803" spans="5:13" s="2" customFormat="1">
      <c r="E803" s="107"/>
      <c r="F803" s="107"/>
      <c r="G803" s="107"/>
      <c r="H803" s="107"/>
      <c r="I803" s="107"/>
      <c r="J803" s="107"/>
      <c r="K803" s="107"/>
      <c r="L803" s="107"/>
      <c r="M803" s="107"/>
    </row>
    <row r="804" spans="5:13" s="2" customFormat="1">
      <c r="E804" s="107"/>
      <c r="F804" s="107"/>
      <c r="G804" s="107"/>
      <c r="H804" s="107"/>
      <c r="I804" s="107"/>
      <c r="J804" s="107"/>
      <c r="K804" s="107"/>
      <c r="L804" s="107"/>
      <c r="M804" s="107"/>
    </row>
    <row r="805" spans="5:13" s="2" customFormat="1">
      <c r="E805" s="107"/>
      <c r="F805" s="107"/>
      <c r="G805" s="107"/>
      <c r="H805" s="107"/>
      <c r="I805" s="107"/>
      <c r="J805" s="107"/>
      <c r="K805" s="107"/>
      <c r="L805" s="107"/>
      <c r="M805" s="107"/>
    </row>
    <row r="806" spans="5:13" s="2" customFormat="1">
      <c r="E806" s="107"/>
      <c r="F806" s="107"/>
      <c r="G806" s="107"/>
      <c r="H806" s="107"/>
      <c r="I806" s="107"/>
      <c r="J806" s="107"/>
      <c r="K806" s="107"/>
      <c r="L806" s="107"/>
      <c r="M806" s="107"/>
    </row>
    <row r="807" spans="5:13" s="2" customFormat="1">
      <c r="E807" s="107"/>
      <c r="F807" s="107"/>
      <c r="G807" s="107"/>
      <c r="H807" s="107"/>
      <c r="I807" s="107"/>
      <c r="J807" s="107"/>
      <c r="K807" s="107"/>
      <c r="L807" s="107"/>
      <c r="M807" s="107"/>
    </row>
    <row r="808" spans="5:13" s="2" customFormat="1">
      <c r="E808" s="107"/>
      <c r="F808" s="107"/>
      <c r="G808" s="107"/>
      <c r="H808" s="107"/>
      <c r="I808" s="107"/>
      <c r="J808" s="107"/>
      <c r="K808" s="107"/>
      <c r="L808" s="107"/>
      <c r="M808" s="107"/>
    </row>
    <row r="809" spans="5:13" s="2" customFormat="1">
      <c r="E809" s="107"/>
      <c r="F809" s="107"/>
      <c r="G809" s="107"/>
      <c r="H809" s="107"/>
      <c r="I809" s="107"/>
      <c r="J809" s="107"/>
      <c r="K809" s="107"/>
      <c r="L809" s="107"/>
      <c r="M809" s="107"/>
    </row>
    <row r="810" spans="5:13" s="2" customFormat="1">
      <c r="E810" s="107"/>
      <c r="F810" s="107"/>
      <c r="G810" s="107"/>
      <c r="H810" s="107"/>
      <c r="I810" s="107"/>
      <c r="J810" s="107"/>
      <c r="K810" s="107"/>
      <c r="L810" s="107"/>
      <c r="M810" s="107"/>
    </row>
    <row r="811" spans="5:13" s="2" customFormat="1">
      <c r="E811" s="107"/>
      <c r="F811" s="107"/>
      <c r="G811" s="107"/>
      <c r="H811" s="107"/>
      <c r="I811" s="107"/>
      <c r="J811" s="107"/>
      <c r="K811" s="107"/>
      <c r="L811" s="107"/>
      <c r="M811" s="107"/>
    </row>
    <row r="812" spans="5:13" s="2" customFormat="1">
      <c r="E812" s="107"/>
      <c r="F812" s="107"/>
      <c r="G812" s="107"/>
      <c r="H812" s="107"/>
      <c r="I812" s="107"/>
      <c r="J812" s="107"/>
      <c r="K812" s="107"/>
      <c r="L812" s="107"/>
      <c r="M812" s="107"/>
    </row>
    <row r="813" spans="5:13" s="2" customFormat="1">
      <c r="E813" s="107"/>
      <c r="F813" s="107"/>
      <c r="G813" s="107"/>
      <c r="H813" s="107"/>
      <c r="I813" s="107"/>
      <c r="J813" s="107"/>
      <c r="K813" s="107"/>
      <c r="L813" s="107"/>
      <c r="M813" s="107"/>
    </row>
    <row r="814" spans="5:13" s="2" customFormat="1">
      <c r="E814" s="107"/>
      <c r="F814" s="107"/>
      <c r="G814" s="107"/>
      <c r="H814" s="107"/>
      <c r="I814" s="107"/>
      <c r="J814" s="107"/>
      <c r="K814" s="107"/>
      <c r="L814" s="107"/>
      <c r="M814" s="107"/>
    </row>
    <row r="815" spans="5:13" s="2" customFormat="1">
      <c r="E815" s="107"/>
      <c r="F815" s="107"/>
      <c r="G815" s="107"/>
      <c r="H815" s="107"/>
      <c r="I815" s="107"/>
      <c r="J815" s="107"/>
      <c r="K815" s="107"/>
      <c r="L815" s="107"/>
      <c r="M815" s="107"/>
    </row>
    <row r="816" spans="5:13" s="2" customFormat="1">
      <c r="E816" s="107"/>
      <c r="F816" s="107"/>
      <c r="G816" s="107"/>
      <c r="H816" s="107"/>
      <c r="I816" s="107"/>
      <c r="J816" s="107"/>
      <c r="K816" s="107"/>
      <c r="L816" s="107"/>
      <c r="M816" s="107"/>
    </row>
    <row r="817" spans="5:13" s="2" customFormat="1">
      <c r="E817" s="107"/>
      <c r="F817" s="107"/>
      <c r="G817" s="107"/>
      <c r="H817" s="107"/>
      <c r="I817" s="107"/>
      <c r="J817" s="107"/>
      <c r="K817" s="107"/>
      <c r="L817" s="107"/>
      <c r="M817" s="107"/>
    </row>
    <row r="818" spans="5:13" s="2" customFormat="1">
      <c r="E818" s="107"/>
      <c r="F818" s="107"/>
      <c r="G818" s="107"/>
      <c r="H818" s="107"/>
      <c r="I818" s="107"/>
      <c r="J818" s="107"/>
      <c r="K818" s="107"/>
      <c r="L818" s="107"/>
      <c r="M818" s="107"/>
    </row>
    <row r="819" spans="5:13" s="2" customFormat="1">
      <c r="E819" s="107"/>
      <c r="F819" s="107"/>
      <c r="G819" s="107"/>
      <c r="H819" s="107"/>
      <c r="I819" s="107"/>
      <c r="J819" s="107"/>
      <c r="K819" s="107"/>
      <c r="L819" s="107"/>
      <c r="M819" s="107"/>
    </row>
    <row r="820" spans="5:13" s="2" customFormat="1">
      <c r="E820" s="107"/>
      <c r="F820" s="107"/>
      <c r="G820" s="107"/>
      <c r="H820" s="107"/>
      <c r="I820" s="107"/>
      <c r="J820" s="107"/>
      <c r="K820" s="107"/>
      <c r="L820" s="107"/>
      <c r="M820" s="107"/>
    </row>
    <row r="821" spans="5:13" s="2" customFormat="1">
      <c r="E821" s="107"/>
      <c r="F821" s="107"/>
      <c r="G821" s="107"/>
      <c r="H821" s="107"/>
      <c r="I821" s="107"/>
      <c r="J821" s="107"/>
      <c r="K821" s="107"/>
      <c r="L821" s="107"/>
      <c r="M821" s="107"/>
    </row>
    <row r="822" spans="5:13" s="2" customFormat="1">
      <c r="E822" s="107"/>
      <c r="F822" s="107"/>
      <c r="G822" s="107"/>
      <c r="H822" s="107"/>
      <c r="I822" s="107"/>
      <c r="J822" s="107"/>
      <c r="K822" s="107"/>
      <c r="L822" s="107"/>
      <c r="M822" s="107"/>
    </row>
    <row r="823" spans="5:13" s="2" customFormat="1">
      <c r="E823" s="107"/>
      <c r="F823" s="107"/>
      <c r="G823" s="107"/>
      <c r="H823" s="107"/>
      <c r="I823" s="107"/>
      <c r="J823" s="107"/>
      <c r="K823" s="107"/>
      <c r="L823" s="107"/>
      <c r="M823" s="107"/>
    </row>
    <row r="824" spans="5:13" s="2" customFormat="1">
      <c r="E824" s="107"/>
      <c r="F824" s="107"/>
      <c r="G824" s="107"/>
      <c r="H824" s="107"/>
      <c r="I824" s="107"/>
      <c r="J824" s="107"/>
      <c r="K824" s="107"/>
      <c r="L824" s="107"/>
      <c r="M824" s="107"/>
    </row>
    <row r="825" spans="5:13" s="2" customFormat="1">
      <c r="E825" s="107"/>
      <c r="F825" s="107"/>
      <c r="G825" s="107"/>
      <c r="H825" s="107"/>
      <c r="I825" s="107"/>
      <c r="J825" s="107"/>
      <c r="K825" s="107"/>
      <c r="L825" s="107"/>
      <c r="M825" s="107"/>
    </row>
    <row r="826" spans="5:13" s="2" customFormat="1">
      <c r="E826" s="107"/>
      <c r="F826" s="107"/>
      <c r="G826" s="107"/>
      <c r="H826" s="107"/>
      <c r="I826" s="107"/>
      <c r="J826" s="107"/>
      <c r="K826" s="107"/>
      <c r="L826" s="107"/>
      <c r="M826" s="107"/>
    </row>
    <row r="827" spans="5:13" s="2" customFormat="1">
      <c r="E827" s="107"/>
      <c r="F827" s="107"/>
      <c r="G827" s="107"/>
      <c r="H827" s="107"/>
      <c r="I827" s="107"/>
      <c r="J827" s="107"/>
      <c r="K827" s="107"/>
      <c r="L827" s="107"/>
      <c r="M827" s="107"/>
    </row>
    <row r="828" spans="5:13" s="2" customFormat="1">
      <c r="E828" s="107"/>
      <c r="F828" s="107"/>
      <c r="G828" s="107"/>
      <c r="H828" s="107"/>
      <c r="I828" s="107"/>
      <c r="J828" s="107"/>
      <c r="K828" s="107"/>
      <c r="L828" s="107"/>
      <c r="M828" s="107"/>
    </row>
    <row r="829" spans="5:13" s="2" customFormat="1">
      <c r="E829" s="107"/>
      <c r="F829" s="107"/>
      <c r="G829" s="107"/>
      <c r="H829" s="107"/>
      <c r="I829" s="107"/>
      <c r="J829" s="107"/>
      <c r="K829" s="107"/>
      <c r="L829" s="107"/>
      <c r="M829" s="107"/>
    </row>
    <row r="830" spans="5:13" s="2" customFormat="1">
      <c r="E830" s="107"/>
      <c r="F830" s="107"/>
      <c r="G830" s="107"/>
      <c r="H830" s="107"/>
      <c r="I830" s="107"/>
      <c r="J830" s="107"/>
      <c r="K830" s="107"/>
      <c r="L830" s="107"/>
      <c r="M830" s="107"/>
    </row>
    <row r="831" spans="5:13" s="2" customFormat="1">
      <c r="E831" s="107"/>
      <c r="F831" s="107"/>
      <c r="G831" s="107"/>
      <c r="H831" s="107"/>
      <c r="I831" s="107"/>
      <c r="J831" s="107"/>
      <c r="K831" s="107"/>
      <c r="L831" s="107"/>
      <c r="M831" s="107"/>
    </row>
    <row r="832" spans="5:13" s="2" customFormat="1">
      <c r="E832" s="107"/>
      <c r="F832" s="107"/>
      <c r="G832" s="107"/>
      <c r="H832" s="107"/>
      <c r="I832" s="107"/>
      <c r="J832" s="107"/>
      <c r="K832" s="107"/>
      <c r="L832" s="107"/>
      <c r="M832" s="107"/>
    </row>
    <row r="833" spans="5:13" s="2" customFormat="1">
      <c r="E833" s="107"/>
      <c r="F833" s="107"/>
      <c r="G833" s="107"/>
      <c r="H833" s="107"/>
      <c r="I833" s="107"/>
      <c r="J833" s="107"/>
      <c r="K833" s="107"/>
      <c r="L833" s="107"/>
      <c r="M833" s="107"/>
    </row>
    <row r="834" spans="5:13" s="2" customFormat="1">
      <c r="E834" s="107"/>
      <c r="F834" s="107"/>
      <c r="G834" s="107"/>
      <c r="H834" s="107"/>
      <c r="I834" s="107"/>
      <c r="J834" s="107"/>
      <c r="K834" s="107"/>
      <c r="L834" s="107"/>
      <c r="M834" s="107"/>
    </row>
    <row r="835" spans="5:13" s="2" customFormat="1">
      <c r="E835" s="107"/>
      <c r="F835" s="107"/>
      <c r="G835" s="107"/>
      <c r="H835" s="107"/>
      <c r="I835" s="107"/>
      <c r="J835" s="107"/>
      <c r="K835" s="107"/>
      <c r="L835" s="107"/>
      <c r="M835" s="107"/>
    </row>
    <row r="836" spans="5:13" s="2" customFormat="1">
      <c r="E836" s="107"/>
      <c r="F836" s="107"/>
      <c r="G836" s="107"/>
      <c r="H836" s="107"/>
      <c r="I836" s="107"/>
      <c r="J836" s="107"/>
      <c r="K836" s="107"/>
      <c r="L836" s="107"/>
      <c r="M836" s="107"/>
    </row>
    <row r="837" spans="5:13" s="2" customFormat="1">
      <c r="E837" s="107"/>
      <c r="F837" s="107"/>
      <c r="G837" s="107"/>
      <c r="H837" s="107"/>
      <c r="I837" s="107"/>
      <c r="J837" s="107"/>
      <c r="K837" s="107"/>
      <c r="L837" s="107"/>
      <c r="M837" s="107"/>
    </row>
    <row r="838" spans="5:13" s="2" customFormat="1">
      <c r="E838" s="107"/>
      <c r="F838" s="107"/>
      <c r="G838" s="107"/>
      <c r="H838" s="107"/>
      <c r="I838" s="107"/>
      <c r="J838" s="107"/>
      <c r="K838" s="107"/>
      <c r="L838" s="107"/>
      <c r="M838" s="107"/>
    </row>
    <row r="839" spans="5:13" s="2" customFormat="1">
      <c r="E839" s="107"/>
      <c r="F839" s="107"/>
      <c r="G839" s="107"/>
      <c r="H839" s="107"/>
      <c r="I839" s="107"/>
      <c r="J839" s="107"/>
      <c r="K839" s="107"/>
      <c r="L839" s="107"/>
      <c r="M839" s="107"/>
    </row>
    <row r="840" spans="5:13" s="2" customFormat="1">
      <c r="E840" s="107"/>
      <c r="F840" s="107"/>
      <c r="G840" s="107"/>
      <c r="H840" s="107"/>
      <c r="I840" s="107"/>
      <c r="J840" s="107"/>
      <c r="K840" s="107"/>
      <c r="L840" s="107"/>
      <c r="M840" s="107"/>
    </row>
    <row r="841" spans="5:13" s="2" customFormat="1">
      <c r="E841" s="107"/>
      <c r="F841" s="107"/>
      <c r="G841" s="107"/>
      <c r="H841" s="107"/>
      <c r="I841" s="107"/>
      <c r="J841" s="107"/>
      <c r="K841" s="107"/>
      <c r="L841" s="107"/>
      <c r="M841" s="107"/>
    </row>
    <row r="842" spans="5:13" s="2" customFormat="1">
      <c r="E842" s="107"/>
      <c r="F842" s="107"/>
      <c r="G842" s="107"/>
      <c r="H842" s="107"/>
      <c r="I842" s="107"/>
      <c r="J842" s="107"/>
      <c r="K842" s="107"/>
      <c r="L842" s="107"/>
      <c r="M842" s="107"/>
    </row>
    <row r="843" spans="5:13" s="2" customFormat="1">
      <c r="E843" s="107"/>
      <c r="F843" s="107"/>
      <c r="G843" s="107"/>
      <c r="H843" s="107"/>
      <c r="I843" s="107"/>
      <c r="J843" s="107"/>
      <c r="K843" s="107"/>
      <c r="L843" s="107"/>
      <c r="M843" s="107"/>
    </row>
    <row r="844" spans="5:13" s="2" customFormat="1">
      <c r="E844" s="107"/>
      <c r="F844" s="107"/>
      <c r="G844" s="107"/>
      <c r="H844" s="107"/>
      <c r="I844" s="107"/>
      <c r="J844" s="107"/>
      <c r="K844" s="107"/>
      <c r="L844" s="107"/>
      <c r="M844" s="107"/>
    </row>
    <row r="845" spans="5:13" s="2" customFormat="1">
      <c r="E845" s="107"/>
      <c r="F845" s="107"/>
      <c r="G845" s="107"/>
      <c r="H845" s="107"/>
      <c r="I845" s="107"/>
      <c r="J845" s="107"/>
      <c r="K845" s="107"/>
      <c r="L845" s="107"/>
      <c r="M845" s="107"/>
    </row>
    <row r="846" spans="5:13" s="2" customFormat="1">
      <c r="E846" s="107"/>
      <c r="F846" s="107"/>
      <c r="G846" s="107"/>
      <c r="H846" s="107"/>
      <c r="I846" s="107"/>
      <c r="J846" s="107"/>
      <c r="K846" s="107"/>
      <c r="L846" s="107"/>
      <c r="M846" s="107"/>
    </row>
    <row r="847" spans="5:13" s="2" customFormat="1">
      <c r="E847" s="107"/>
      <c r="F847" s="107"/>
      <c r="G847" s="107"/>
      <c r="H847" s="107"/>
      <c r="I847" s="107"/>
      <c r="J847" s="107"/>
      <c r="K847" s="107"/>
      <c r="L847" s="107"/>
      <c r="M847" s="107"/>
    </row>
    <row r="848" spans="5:13" s="2" customFormat="1">
      <c r="E848" s="107"/>
      <c r="F848" s="107"/>
      <c r="G848" s="107"/>
      <c r="H848" s="107"/>
      <c r="I848" s="107"/>
      <c r="J848" s="107"/>
      <c r="K848" s="107"/>
      <c r="L848" s="107"/>
      <c r="M848" s="107"/>
    </row>
    <row r="849" spans="5:13" s="2" customFormat="1">
      <c r="E849" s="107"/>
      <c r="F849" s="107"/>
      <c r="G849" s="107"/>
      <c r="H849" s="107"/>
      <c r="I849" s="107"/>
      <c r="J849" s="107"/>
      <c r="K849" s="107"/>
      <c r="L849" s="107"/>
      <c r="M849" s="107"/>
    </row>
    <row r="850" spans="5:13" s="2" customFormat="1">
      <c r="E850" s="107"/>
      <c r="F850" s="107"/>
      <c r="G850" s="107"/>
      <c r="H850" s="107"/>
      <c r="I850" s="107"/>
      <c r="J850" s="107"/>
      <c r="K850" s="107"/>
      <c r="L850" s="107"/>
      <c r="M850" s="107"/>
    </row>
    <row r="851" spans="5:13" s="2" customFormat="1">
      <c r="E851" s="107"/>
      <c r="F851" s="107"/>
      <c r="G851" s="107"/>
      <c r="H851" s="107"/>
      <c r="I851" s="107"/>
      <c r="J851" s="107"/>
      <c r="K851" s="107"/>
      <c r="L851" s="107"/>
      <c r="M851" s="107"/>
    </row>
    <row r="852" spans="5:13" s="2" customFormat="1">
      <c r="E852" s="107"/>
      <c r="F852" s="107"/>
      <c r="G852" s="107"/>
      <c r="H852" s="107"/>
      <c r="I852" s="107"/>
      <c r="J852" s="107"/>
      <c r="K852" s="107"/>
      <c r="L852" s="107"/>
      <c r="M852" s="107"/>
    </row>
    <row r="853" spans="5:13" s="2" customFormat="1">
      <c r="E853" s="107"/>
      <c r="F853" s="107"/>
      <c r="G853" s="107"/>
      <c r="H853" s="107"/>
      <c r="I853" s="107"/>
      <c r="J853" s="107"/>
      <c r="K853" s="107"/>
      <c r="L853" s="107"/>
      <c r="M853" s="107"/>
    </row>
    <row r="854" spans="5:13" s="2" customFormat="1">
      <c r="E854" s="107"/>
      <c r="F854" s="107"/>
      <c r="G854" s="107"/>
      <c r="H854" s="107"/>
      <c r="I854" s="107"/>
      <c r="J854" s="107"/>
      <c r="K854" s="107"/>
      <c r="L854" s="107"/>
      <c r="M854" s="107"/>
    </row>
    <row r="855" spans="5:13" s="2" customFormat="1">
      <c r="E855" s="107"/>
      <c r="F855" s="107"/>
      <c r="G855" s="107"/>
      <c r="H855" s="107"/>
      <c r="I855" s="107"/>
      <c r="J855" s="107"/>
      <c r="K855" s="107"/>
      <c r="L855" s="107"/>
      <c r="M855" s="107"/>
    </row>
    <row r="856" spans="5:13" s="2" customFormat="1">
      <c r="E856" s="107"/>
      <c r="F856" s="107"/>
      <c r="G856" s="107"/>
      <c r="H856" s="107"/>
      <c r="I856" s="107"/>
      <c r="J856" s="107"/>
      <c r="K856" s="107"/>
      <c r="L856" s="107"/>
      <c r="M856" s="107"/>
    </row>
    <row r="857" spans="5:13" s="2" customFormat="1">
      <c r="E857" s="107"/>
      <c r="F857" s="107"/>
      <c r="G857" s="107"/>
      <c r="H857" s="107"/>
      <c r="I857" s="107"/>
      <c r="J857" s="107"/>
      <c r="K857" s="107"/>
      <c r="L857" s="107"/>
      <c r="M857" s="107"/>
    </row>
    <row r="858" spans="5:13" s="2" customFormat="1">
      <c r="E858" s="107"/>
      <c r="F858" s="107"/>
      <c r="G858" s="107"/>
      <c r="H858" s="107"/>
      <c r="I858" s="107"/>
      <c r="J858" s="107"/>
      <c r="K858" s="107"/>
      <c r="L858" s="107"/>
      <c r="M858" s="107"/>
    </row>
    <row r="859" spans="5:13" s="2" customFormat="1">
      <c r="E859" s="107"/>
      <c r="F859" s="107"/>
      <c r="G859" s="107"/>
      <c r="H859" s="107"/>
      <c r="I859" s="107"/>
      <c r="J859" s="107"/>
      <c r="K859" s="107"/>
      <c r="L859" s="107"/>
      <c r="M859" s="107"/>
    </row>
    <row r="860" spans="5:13" s="2" customFormat="1">
      <c r="E860" s="107"/>
      <c r="F860" s="107"/>
      <c r="G860" s="107"/>
      <c r="H860" s="107"/>
      <c r="I860" s="107"/>
      <c r="J860" s="107"/>
      <c r="K860" s="107"/>
      <c r="L860" s="107"/>
      <c r="M860" s="107"/>
    </row>
    <row r="861" spans="5:13" s="2" customFormat="1">
      <c r="E861" s="107"/>
      <c r="F861" s="107"/>
      <c r="G861" s="107"/>
      <c r="H861" s="107"/>
      <c r="I861" s="107"/>
      <c r="J861" s="107"/>
      <c r="K861" s="107"/>
      <c r="L861" s="107"/>
      <c r="M861" s="107"/>
    </row>
    <row r="862" spans="5:13" s="2" customFormat="1">
      <c r="E862" s="107"/>
      <c r="F862" s="107"/>
      <c r="G862" s="107"/>
      <c r="H862" s="107"/>
      <c r="I862" s="107"/>
      <c r="J862" s="107"/>
      <c r="K862" s="107"/>
      <c r="L862" s="107"/>
      <c r="M862" s="107"/>
    </row>
    <row r="863" spans="5:13" s="2" customFormat="1">
      <c r="E863" s="107"/>
      <c r="F863" s="107"/>
      <c r="G863" s="107"/>
      <c r="H863" s="107"/>
      <c r="I863" s="107"/>
      <c r="J863" s="107"/>
      <c r="K863" s="107"/>
      <c r="L863" s="107"/>
      <c r="M863" s="107"/>
    </row>
    <row r="864" spans="5:13" s="2" customFormat="1">
      <c r="E864" s="107"/>
      <c r="F864" s="107"/>
      <c r="G864" s="107"/>
      <c r="H864" s="107"/>
      <c r="I864" s="107"/>
      <c r="J864" s="107"/>
      <c r="K864" s="107"/>
      <c r="L864" s="107"/>
      <c r="M864" s="107"/>
    </row>
    <row r="865" spans="5:13" s="2" customFormat="1">
      <c r="E865" s="107"/>
      <c r="F865" s="107"/>
      <c r="G865" s="107"/>
      <c r="H865" s="107"/>
      <c r="I865" s="107"/>
      <c r="J865" s="107"/>
      <c r="K865" s="107"/>
      <c r="L865" s="107"/>
      <c r="M865" s="107"/>
    </row>
  </sheetData>
  <sheetProtection sheet="1" objects="1" scenarios="1"/>
  <mergeCells count="1">
    <mergeCell ref="C3:M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CEEEE-5278-4C72-8188-478CFEDC2B4C}">
  <sheetPr codeName="Sheet7"/>
  <dimension ref="A1:BK884"/>
  <sheetViews>
    <sheetView zoomScaleNormal="100" workbookViewId="0">
      <selection activeCell="C3" sqref="C3:O3"/>
    </sheetView>
  </sheetViews>
  <sheetFormatPr baseColWidth="10" defaultColWidth="8.81640625" defaultRowHeight="14"/>
  <cols>
    <col min="1" max="1" width="8.81640625" style="2"/>
    <col min="2" max="2" width="2.453125" style="2" customWidth="1"/>
    <col min="3" max="3" width="8.453125" style="3" customWidth="1"/>
    <col min="4" max="5" width="19.36328125" style="3" bestFit="1" customWidth="1"/>
    <col min="6" max="6" width="12.1796875" style="3" bestFit="1" customWidth="1"/>
    <col min="7" max="7" width="14.1796875" style="3" bestFit="1" customWidth="1"/>
    <col min="8" max="8" width="10.36328125" style="77" bestFit="1" customWidth="1"/>
    <col min="9" max="9" width="11.6328125" style="3" bestFit="1" customWidth="1"/>
    <col min="10" max="10" width="15.81640625" style="3" bestFit="1" customWidth="1"/>
    <col min="11" max="11" width="14" style="3" bestFit="1" customWidth="1"/>
    <col min="12" max="12" width="11.6328125" style="3" bestFit="1" customWidth="1"/>
    <col min="13" max="13" width="14" style="3" bestFit="1" customWidth="1"/>
    <col min="14" max="14" width="10.1796875" style="3" bestFit="1" customWidth="1"/>
    <col min="15" max="15" width="15.1796875" style="3" customWidth="1"/>
    <col min="16" max="16" width="2.453125" style="2" customWidth="1"/>
    <col min="17" max="17" width="8.81640625" style="3"/>
    <col min="18" max="18" width="8.81640625" style="112"/>
    <col min="19" max="19" width="13" style="112" bestFit="1" customWidth="1"/>
    <col min="20" max="20" width="8.81640625" style="112"/>
    <col min="21" max="22" width="8.81640625" style="3"/>
    <col min="23" max="23" width="9.453125" style="107" bestFit="1" customWidth="1"/>
    <col min="24" max="24" width="2.453125" style="2" customWidth="1"/>
    <col min="25" max="63" width="8.81640625" style="2"/>
    <col min="64" max="16384" width="8.81640625" style="3"/>
  </cols>
  <sheetData>
    <row r="1" spans="1:63" s="2" customFormat="1" ht="14.5" thickBot="1">
      <c r="H1" s="66"/>
      <c r="R1" s="107"/>
      <c r="S1" s="107"/>
      <c r="T1" s="107"/>
      <c r="W1" s="107"/>
    </row>
    <row r="2" spans="1:63" s="2" customFormat="1" ht="14.5" thickBot="1">
      <c r="B2" s="36"/>
      <c r="C2" s="37"/>
      <c r="D2" s="37"/>
      <c r="E2" s="37"/>
      <c r="F2" s="37"/>
      <c r="G2" s="37"/>
      <c r="H2" s="67"/>
      <c r="I2" s="37"/>
      <c r="J2" s="37"/>
      <c r="K2" s="37"/>
      <c r="L2" s="37"/>
      <c r="M2" s="37"/>
      <c r="N2" s="37"/>
      <c r="O2" s="37"/>
      <c r="P2" s="37"/>
      <c r="Q2" s="37"/>
      <c r="R2" s="108"/>
      <c r="S2" s="108"/>
      <c r="T2" s="108"/>
      <c r="U2" s="37"/>
      <c r="V2" s="37"/>
      <c r="W2" s="108"/>
      <c r="X2" s="38"/>
    </row>
    <row r="3" spans="1:63" ht="25.5" thickBot="1">
      <c r="B3" s="39"/>
      <c r="C3" s="237" t="s">
        <v>27</v>
      </c>
      <c r="D3" s="238"/>
      <c r="E3" s="238"/>
      <c r="F3" s="238"/>
      <c r="G3" s="238"/>
      <c r="H3" s="238"/>
      <c r="I3" s="238"/>
      <c r="J3" s="238"/>
      <c r="K3" s="238"/>
      <c r="L3" s="238"/>
      <c r="M3" s="238"/>
      <c r="N3" s="238"/>
      <c r="O3" s="239"/>
      <c r="P3" s="15"/>
      <c r="Q3" s="237" t="s">
        <v>41</v>
      </c>
      <c r="R3" s="238"/>
      <c r="S3" s="238"/>
      <c r="T3" s="238"/>
      <c r="U3" s="238"/>
      <c r="V3" s="238"/>
      <c r="W3" s="239"/>
      <c r="X3" s="40"/>
    </row>
    <row r="4" spans="1:63" s="2" customFormat="1">
      <c r="B4" s="39"/>
      <c r="C4" s="29"/>
      <c r="D4" s="29"/>
      <c r="E4" s="29"/>
      <c r="F4" s="29"/>
      <c r="G4" s="29"/>
      <c r="H4" s="22"/>
      <c r="I4" s="29"/>
      <c r="J4" s="29"/>
      <c r="K4" s="29"/>
      <c r="L4" s="29"/>
      <c r="M4" s="29"/>
      <c r="N4" s="29"/>
      <c r="O4" s="29"/>
      <c r="P4" s="15"/>
      <c r="Q4" s="29"/>
      <c r="R4" s="113"/>
      <c r="S4" s="113"/>
      <c r="T4" s="113"/>
      <c r="U4" s="15"/>
      <c r="V4" s="68"/>
      <c r="W4" s="114"/>
      <c r="X4" s="40"/>
    </row>
    <row r="5" spans="1:63" s="74" customFormat="1" ht="59">
      <c r="A5" s="69"/>
      <c r="B5" s="70"/>
      <c r="C5" s="71" t="s">
        <v>33</v>
      </c>
      <c r="D5" s="132" t="s">
        <v>173</v>
      </c>
      <c r="E5" s="132" t="s">
        <v>174</v>
      </c>
      <c r="F5" s="132" t="s">
        <v>175</v>
      </c>
      <c r="G5" s="132" t="s">
        <v>176</v>
      </c>
      <c r="H5" s="132" t="s">
        <v>177</v>
      </c>
      <c r="I5" s="132" t="s">
        <v>178</v>
      </c>
      <c r="J5" s="132" t="s">
        <v>179</v>
      </c>
      <c r="K5" s="132" t="s">
        <v>180</v>
      </c>
      <c r="L5" s="132" t="s">
        <v>165</v>
      </c>
      <c r="M5" s="132" t="s">
        <v>181</v>
      </c>
      <c r="N5" s="132" t="s">
        <v>182</v>
      </c>
      <c r="O5" s="132" t="s">
        <v>183</v>
      </c>
      <c r="P5" s="72"/>
      <c r="Q5" s="130" t="s">
        <v>33</v>
      </c>
      <c r="R5" s="133" t="s">
        <v>184</v>
      </c>
      <c r="S5" s="133" t="s">
        <v>185</v>
      </c>
      <c r="T5" s="133" t="s">
        <v>186</v>
      </c>
      <c r="U5" s="134"/>
      <c r="V5" s="135" t="s">
        <v>3</v>
      </c>
      <c r="W5" s="136">
        <v>88</v>
      </c>
      <c r="X5" s="73"/>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row>
    <row r="6" spans="1:63" s="2" customFormat="1">
      <c r="B6" s="39"/>
      <c r="C6" s="75">
        <v>0</v>
      </c>
      <c r="D6" s="146"/>
      <c r="E6" s="76"/>
      <c r="F6" s="76"/>
      <c r="G6" s="76"/>
      <c r="H6" s="76">
        <f>Constantes!$D$13</f>
        <v>48.75</v>
      </c>
      <c r="I6" s="76">
        <f>MAX(0,(H6-Constantes!$D$14)*(1-EXP(-Constantes!$D$22)))</f>
        <v>1.2773876653182901</v>
      </c>
      <c r="J6" s="76">
        <f>Constantes!$D$13</f>
        <v>48.75</v>
      </c>
      <c r="K6" s="76">
        <f>MAX(0,(J6-Constantes!$D$13)*(1-EXP(-Constantes!$D$23)))</f>
        <v>0</v>
      </c>
      <c r="L6" s="76"/>
      <c r="M6" s="76"/>
      <c r="N6" s="76"/>
      <c r="O6" s="76"/>
      <c r="P6" s="15"/>
      <c r="Q6" s="75"/>
      <c r="R6" s="76"/>
      <c r="S6" s="76"/>
      <c r="T6" s="76"/>
      <c r="U6" s="15"/>
      <c r="V6" s="32"/>
      <c r="W6" s="115"/>
      <c r="X6" s="40"/>
    </row>
    <row r="7" spans="1:63" s="2" customFormat="1">
      <c r="B7" s="39"/>
      <c r="C7" s="75">
        <v>1</v>
      </c>
      <c r="D7" s="146">
        <f>ETo!$I6*((1-Constantes!$D$19)*ETo!$K6+ETo!$L6)</f>
        <v>4.2488824786158528</v>
      </c>
      <c r="E7" s="76">
        <f>MIN(D7*Constantes!$D$17,0.8*(H6+Observaciones!$F6-F7-G7-Constantes!$D$14))</f>
        <v>2.1664369892503839</v>
      </c>
      <c r="F7" s="76">
        <f>IF(Observaciones!$F6&gt;0.05*Constantes!$D$18,((Observaciones!$F6-0.05*Constantes!$D$18)^2)/(Observaciones!$F6+0.95*Constantes!$D$18),0)</f>
        <v>3.0303239285304056</v>
      </c>
      <c r="G7" s="76">
        <f>MAX(0,H6+Observaciones!$F6-F7-Constantes!$D$13)</f>
        <v>17.069676071469587</v>
      </c>
      <c r="H7" s="76">
        <f>H6+Observaciones!$F6-F7-E7-G7-I6</f>
        <v>45.306175345431328</v>
      </c>
      <c r="I7" s="76">
        <f>MAX(0,(H7-Constantes!$D$14)*(1-EXP(-Constantes!$D$22)))</f>
        <v>1.1600783550445555</v>
      </c>
      <c r="J7" s="76">
        <f t="shared" ref="J7:J70" si="0">J6+G7-K6</f>
        <v>65.819676071469587</v>
      </c>
      <c r="K7" s="76">
        <f>MAX(0,(J7-Constantes!$D$13)*(1-EXP(-Constantes!$D$23)))</f>
        <v>0.16819158401227399</v>
      </c>
      <c r="L7" s="76">
        <f t="shared" ref="L7:L70" si="1">F7+I7+K7</f>
        <v>4.3585938675872358</v>
      </c>
      <c r="M7" s="76">
        <f>0.0526*F7*Observaciones!$F6^1.218</f>
        <v>6.1626513347083041</v>
      </c>
      <c r="N7" s="76">
        <f>M7*Constantes!$D$51</f>
        <v>8.6646239802202221E-2</v>
      </c>
      <c r="O7" s="76">
        <f t="shared" ref="O7:O70" si="2">N7*1000000/(L7/1000*10000)</f>
        <v>1987.9402035263849</v>
      </c>
      <c r="P7" s="15"/>
      <c r="Q7" s="75">
        <v>1</v>
      </c>
      <c r="R7" s="76">
        <f>0.0526*Observaciones!$F6^2.218</f>
        <v>40.876584401228989</v>
      </c>
      <c r="S7" s="76">
        <f>IF(Observaciones!$F6&gt;0.05*$W$7,((Observaciones!$F6-0.05*$W$7)^2)/(Observaciones!$F6+0.95*$W$7),0)</f>
        <v>6.3653050962415536</v>
      </c>
      <c r="T7" s="76">
        <f>0.0526*S7*Observaciones!$F6^1.218</f>
        <v>12.944872189357753</v>
      </c>
      <c r="U7" s="15"/>
      <c r="V7" s="75" t="s">
        <v>2</v>
      </c>
      <c r="W7" s="76">
        <f>25400/W5-254</f>
        <v>34.636363636363626</v>
      </c>
      <c r="X7" s="40"/>
    </row>
    <row r="8" spans="1:63" s="2" customFormat="1">
      <c r="B8" s="39"/>
      <c r="C8" s="75">
        <v>2</v>
      </c>
      <c r="D8" s="146">
        <f>ETo!$I7*((1-Constantes!$D$19)*ETo!$K7+ETo!$L7)</f>
        <v>4.2356624229335118</v>
      </c>
      <c r="E8" s="76">
        <f>MIN(D8*Constantes!$D$17,0.8*(H7+Observaciones!$F7-F8-G8-Constantes!$D$14))</f>
        <v>2.1596962950150607</v>
      </c>
      <c r="F8" s="76">
        <f>IF(Observaciones!$F7&gt;0.05*Constantes!$D$18,((Observaciones!$F7-0.05*Constantes!$D$18)^2)/(Observaciones!$F7+0.95*Constantes!$D$18),0)</f>
        <v>0</v>
      </c>
      <c r="G8" s="76">
        <f>MAX(0,H7+Observaciones!$F7-F8-Constantes!$D$13)</f>
        <v>0</v>
      </c>
      <c r="H8" s="76">
        <f>H7+Observaciones!$F7-F8-E8-G8-I7</f>
        <v>42.786400695371711</v>
      </c>
      <c r="I8" s="76">
        <f>MAX(0,(H8-Constantes!$D$14)*(1-EXP(-Constantes!$D$22)))</f>
        <v>1.0742455801814124</v>
      </c>
      <c r="J8" s="76">
        <f t="shared" si="0"/>
        <v>65.65148448745731</v>
      </c>
      <c r="K8" s="76">
        <f>MAX(0,(J8-Constantes!$D$13)*(1-EXP(-Constantes!$D$23)))</f>
        <v>0.1665343522748868</v>
      </c>
      <c r="L8" s="76">
        <f t="shared" si="1"/>
        <v>1.2407799324562991</v>
      </c>
      <c r="M8" s="76">
        <f>0.0526*F8*Observaciones!$F7^1.218</f>
        <v>0</v>
      </c>
      <c r="N8" s="76">
        <f>M8*Constantes!$D$51</f>
        <v>0</v>
      </c>
      <c r="O8" s="76">
        <f t="shared" si="2"/>
        <v>0</v>
      </c>
      <c r="P8" s="15"/>
      <c r="Q8" s="75">
        <v>2</v>
      </c>
      <c r="R8" s="76">
        <f>0.0526*Observaciones!$F7^2.218</f>
        <v>3.2065597387029521E-2</v>
      </c>
      <c r="S8" s="76">
        <f>IF(Observaciones!$F7&gt;0.05*$W$7,((Observaciones!$F7-0.05*$W$7)^2)/(Observaciones!$F7+0.95*$W$7),0)</f>
        <v>0</v>
      </c>
      <c r="T8" s="76">
        <f>0.0526*S8*Observaciones!$F7^1.218</f>
        <v>0</v>
      </c>
      <c r="U8" s="15"/>
      <c r="V8" s="75" t="s">
        <v>5</v>
      </c>
      <c r="W8" s="76">
        <f>SUM(R372:R736)</f>
        <v>1019.1090894831386</v>
      </c>
      <c r="X8" s="40"/>
    </row>
    <row r="9" spans="1:63" s="2" customFormat="1" ht="16">
      <c r="B9" s="39"/>
      <c r="C9" s="75">
        <v>3</v>
      </c>
      <c r="D9" s="146">
        <f>ETo!$I8*((1-Constantes!$D$19)*ETo!$K8+ETo!$L8)</f>
        <v>4.3063015215622107</v>
      </c>
      <c r="E9" s="76">
        <f>MIN(D9*Constantes!$D$17,0.8*(H8+Observaciones!$F8-F9-G9-Constantes!$D$14))</f>
        <v>2.1957140377807707</v>
      </c>
      <c r="F9" s="76">
        <f>IF(Observaciones!$F8&gt;0.05*Constantes!$D$18,((Observaciones!$F8-0.05*Constantes!$D$18)^2)/(Observaciones!$F8+0.95*Constantes!$D$18),0)</f>
        <v>1.6582578512337645</v>
      </c>
      <c r="G9" s="76">
        <f>MAX(0,H8+Observaciones!$F8-F9-Constantes!$D$13)</f>
        <v>7.8781428441379475</v>
      </c>
      <c r="H9" s="76">
        <f>H8+Observaciones!$F8-F9-E9-G9-I8</f>
        <v>45.480040382037821</v>
      </c>
      <c r="I9" s="76">
        <f>MAX(0,(H9-Constantes!$D$14)*(1-EXP(-Constantes!$D$22)))</f>
        <v>1.1660008364629888</v>
      </c>
      <c r="J9" s="76">
        <f t="shared" si="0"/>
        <v>73.363092979320385</v>
      </c>
      <c r="K9" s="76">
        <f>MAX(0,(J9-Constantes!$D$13)*(1-EXP(-Constantes!$D$23)))</f>
        <v>0.24251866750725479</v>
      </c>
      <c r="L9" s="76">
        <f t="shared" si="1"/>
        <v>3.0667773552040081</v>
      </c>
      <c r="M9" s="76">
        <f>0.0526*F9*Observaciones!$F8^1.218</f>
        <v>2.4573205621764243</v>
      </c>
      <c r="N9" s="76">
        <f>M9*Constantes!$D$51</f>
        <v>3.4549672719931479E-2</v>
      </c>
      <c r="O9" s="76">
        <f t="shared" si="2"/>
        <v>1126.5790997609986</v>
      </c>
      <c r="P9" s="15"/>
      <c r="Q9" s="75">
        <v>3</v>
      </c>
      <c r="R9" s="76">
        <f>0.0526*Observaciones!$F8^2.218</f>
        <v>22.968966307258103</v>
      </c>
      <c r="S9" s="76">
        <f>IF(Observaciones!$F8&gt;0.05*$W$7,((Observaciones!$F8-0.05*$W$7)^2)/(Observaciones!$F8+0.95*$W$7),0)</f>
        <v>3.9162196194264949</v>
      </c>
      <c r="T9" s="76">
        <f>0.0526*S9*Observaciones!$F8^1.218</f>
        <v>5.8033236445438945</v>
      </c>
      <c r="U9" s="15"/>
      <c r="V9" s="75" t="s">
        <v>187</v>
      </c>
      <c r="W9" s="76">
        <f>SUM(T372:T736)</f>
        <v>300.80185968118889</v>
      </c>
      <c r="X9" s="40"/>
    </row>
    <row r="10" spans="1:63" s="2" customFormat="1">
      <c r="B10" s="39"/>
      <c r="C10" s="75">
        <v>4</v>
      </c>
      <c r="D10" s="146">
        <f>ETo!$I9*((1-Constantes!$D$19)*ETo!$K9+ETo!$L9)</f>
        <v>4.2754028217310243</v>
      </c>
      <c r="E10" s="76">
        <f>MIN(D10*Constantes!$D$17,0.8*(H9+Observaciones!$F9-F10-G10-Constantes!$D$14))</f>
        <v>2.1799592866030366</v>
      </c>
      <c r="F10" s="76">
        <f>IF(Observaciones!$F9&gt;0.05*Constantes!$D$18,((Observaciones!$F9-0.05*Constantes!$D$18)^2)/(Observaciones!$F9+0.95*Constantes!$D$18),0)</f>
        <v>0</v>
      </c>
      <c r="G10" s="76">
        <f>MAX(0,H9+Observaciones!$F9-F10-Constantes!$D$13)</f>
        <v>0</v>
      </c>
      <c r="H10" s="76">
        <f>H9+Observaciones!$F9-F10-E10-G10-I9</f>
        <v>44.43408025897179</v>
      </c>
      <c r="I10" s="76">
        <f>MAX(0,(H10-Constantes!$D$14)*(1-EXP(-Constantes!$D$22)))</f>
        <v>1.1303715948731394</v>
      </c>
      <c r="J10" s="76">
        <f t="shared" si="0"/>
        <v>73.120574311813129</v>
      </c>
      <c r="K10" s="76">
        <f>MAX(0,(J10-Constantes!$D$13)*(1-EXP(-Constantes!$D$23)))</f>
        <v>0.24012907331285954</v>
      </c>
      <c r="L10" s="76">
        <f t="shared" si="1"/>
        <v>1.370500668185999</v>
      </c>
      <c r="M10" s="76">
        <f>0.0526*F10*Observaciones!$F9^1.218</f>
        <v>0</v>
      </c>
      <c r="N10" s="76">
        <f>M10*Constantes!$D$51</f>
        <v>0</v>
      </c>
      <c r="O10" s="76">
        <f t="shared" si="2"/>
        <v>0</v>
      </c>
      <c r="P10" s="15"/>
      <c r="Q10" s="75">
        <v>4</v>
      </c>
      <c r="R10" s="76">
        <f>0.0526*Observaciones!$F9^2.218</f>
        <v>0.33365534346892783</v>
      </c>
      <c r="S10" s="76">
        <f>IF(Observaciones!$F9&gt;0.05*$W$7,((Observaciones!$F9-0.05*$W$7)^2)/(Observaciones!$F9+0.95*$W$7),0)</f>
        <v>9.1701390926697667E-3</v>
      </c>
      <c r="T10" s="76">
        <f>0.0526*S10*Observaciones!$F9^1.218</f>
        <v>1.3302895254880757E-3</v>
      </c>
      <c r="U10" s="15"/>
      <c r="V10" s="75" t="s">
        <v>6</v>
      </c>
      <c r="W10" s="76">
        <f>W8/W9</f>
        <v>3.3879746972417744</v>
      </c>
      <c r="X10" s="40"/>
    </row>
    <row r="11" spans="1:63" s="2" customFormat="1">
      <c r="B11" s="39"/>
      <c r="C11" s="75">
        <v>5</v>
      </c>
      <c r="D11" s="146">
        <f>ETo!$I10*((1-Constantes!$D$19)*ETo!$K10+ETo!$L10)</f>
        <v>4.2356685425994405</v>
      </c>
      <c r="E11" s="76">
        <f>MIN(D11*Constantes!$D$17,0.8*(H10+Observaciones!$F10-F11-G11-Constantes!$D$14))</f>
        <v>2.1596994153345084</v>
      </c>
      <c r="F11" s="76">
        <f>IF(Observaciones!$F10&gt;0.05*Constantes!$D$18,((Observaciones!$F10-0.05*Constantes!$D$18)^2)/(Observaciones!$F10+0.95*Constantes!$D$18),0)</f>
        <v>0.44973351298513575</v>
      </c>
      <c r="G11" s="76">
        <f>MAX(0,H10+Observaciones!$F10-F11-Constantes!$D$13)</f>
        <v>4.8343467459866574</v>
      </c>
      <c r="H11" s="76">
        <f>H10+Observaciones!$F10-F11-E11-G11-I10</f>
        <v>45.459928989792353</v>
      </c>
      <c r="I11" s="76">
        <f>MAX(0,(H11-Constantes!$D$14)*(1-EXP(-Constantes!$D$22)))</f>
        <v>1.1653157686126758</v>
      </c>
      <c r="J11" s="76">
        <f t="shared" si="0"/>
        <v>77.714791984486936</v>
      </c>
      <c r="K11" s="76">
        <f>MAX(0,(J11-Constantes!$D$13)*(1-EXP(-Constantes!$D$23)))</f>
        <v>0.28539699429911086</v>
      </c>
      <c r="L11" s="76">
        <f t="shared" si="1"/>
        <v>1.9004462758969225</v>
      </c>
      <c r="M11" s="76">
        <f>0.0526*F11*Observaciones!$F10^1.218</f>
        <v>0.37183250915836752</v>
      </c>
      <c r="N11" s="76">
        <f>M11*Constantes!$D$51</f>
        <v>5.2279265862954149E-3</v>
      </c>
      <c r="O11" s="76">
        <f t="shared" si="2"/>
        <v>275.08941729110842</v>
      </c>
      <c r="P11" s="15"/>
      <c r="Q11" s="75">
        <v>5</v>
      </c>
      <c r="R11" s="76">
        <f>0.0526*Observaciones!$F10^2.218</f>
        <v>7.93712717610686</v>
      </c>
      <c r="S11" s="76">
        <f>IF(Observaciones!$F10&gt;0.05*$W$7,((Observaciones!$F10-0.05*$W$7)^2)/(Observaciones!$F10+0.95*$W$7),0)</f>
        <v>1.4565097558841547</v>
      </c>
      <c r="T11" s="76">
        <f>0.0526*S11*Observaciones!$F10^1.218</f>
        <v>1.2042190797596761</v>
      </c>
      <c r="U11" s="29"/>
      <c r="V11" s="29"/>
      <c r="W11" s="109"/>
      <c r="X11" s="40"/>
    </row>
    <row r="12" spans="1:63" s="2" customFormat="1">
      <c r="B12" s="39"/>
      <c r="C12" s="75">
        <v>6</v>
      </c>
      <c r="D12" s="146">
        <f>ETo!$I11*((1-Constantes!$D$19)*ETo!$K11+ETo!$L11)</f>
        <v>4.209161848578475</v>
      </c>
      <c r="E12" s="76">
        <f>MIN(D12*Constantes!$D$17,0.8*(H11+Observaciones!$F11-F12-G12-Constantes!$D$14))</f>
        <v>2.1461840774359491</v>
      </c>
      <c r="F12" s="76">
        <f>IF(Observaciones!$F11&gt;0.05*Constantes!$D$18,((Observaciones!$F11-0.05*Constantes!$D$18)^2)/(Observaciones!$F11+0.95*Constantes!$D$18),0)</f>
        <v>2.0964924836793162</v>
      </c>
      <c r="G12" s="76">
        <f>MAX(0,H11+Observaciones!$F11-F12-Constantes!$D$13)</f>
        <v>11.713436506113041</v>
      </c>
      <c r="H12" s="76">
        <f>H11+Observaciones!$F11-F12-E12-G12-I11</f>
        <v>45.438500153951374</v>
      </c>
      <c r="I12" s="76">
        <f>MAX(0,(H12-Constantes!$D$14)*(1-EXP(-Constantes!$D$22)))</f>
        <v>1.1645858237970652</v>
      </c>
      <c r="J12" s="76">
        <f t="shared" si="0"/>
        <v>89.142831496300872</v>
      </c>
      <c r="K12" s="76">
        <f>MAX(0,(J12-Constantes!$D$13)*(1-EXP(-Constantes!$D$23)))</f>
        <v>0.39800018955595912</v>
      </c>
      <c r="L12" s="76">
        <f t="shared" si="1"/>
        <v>3.6590784970323407</v>
      </c>
      <c r="M12" s="76">
        <f>0.0526*F12*Observaciones!$F11^1.218</f>
        <v>3.501614373632159</v>
      </c>
      <c r="N12" s="76">
        <f>M12*Constantes!$D$51</f>
        <v>4.9232335602664927E-2</v>
      </c>
      <c r="O12" s="76">
        <f t="shared" si="2"/>
        <v>1345.4845432420848</v>
      </c>
      <c r="P12" s="15"/>
      <c r="Q12" s="75">
        <v>6</v>
      </c>
      <c r="R12" s="76">
        <f>0.0526*Observaciones!$F11^2.218</f>
        <v>28.560849254286634</v>
      </c>
      <c r="S12" s="76">
        <f>IF(Observaciones!$F11&gt;0.05*$W$7,((Observaciones!$F11-0.05*$W$7)^2)/(Observaciones!$F11+0.95*$W$7),0)</f>
        <v>4.7231908669459823</v>
      </c>
      <c r="T12" s="76">
        <f>0.0526*S12*Observaciones!$F11^1.218</f>
        <v>7.8887919502963495</v>
      </c>
      <c r="U12" s="29"/>
      <c r="V12" s="29"/>
      <c r="W12" s="109"/>
      <c r="X12" s="40"/>
    </row>
    <row r="13" spans="1:63" s="2" customFormat="1">
      <c r="B13" s="39"/>
      <c r="C13" s="75">
        <v>7</v>
      </c>
      <c r="D13" s="146">
        <f>ETo!$I12*((1-Constantes!$D$19)*ETo!$K12+ETo!$L12)</f>
        <v>4.2400117375482669</v>
      </c>
      <c r="E13" s="76">
        <f>MIN(D13*Constantes!$D$17,0.8*(H12+Observaciones!$F12-F13-G13-Constantes!$D$14))</f>
        <v>2.1619139407387808</v>
      </c>
      <c r="F13" s="76">
        <f>IF(Observaciones!$F12&gt;0.05*Constantes!$D$18,((Observaciones!$F12-0.05*Constantes!$D$18)^2)/(Observaciones!$F12+0.95*Constantes!$D$18),0)</f>
        <v>0</v>
      </c>
      <c r="G13" s="76">
        <f>MAX(0,H12+Observaciones!$F12-F13-Constantes!$D$13)</f>
        <v>0</v>
      </c>
      <c r="H13" s="76">
        <f>H12+Observaciones!$F12-F13-E13-G13-I12</f>
        <v>42.81200038941553</v>
      </c>
      <c r="I13" s="76">
        <f>MAX(0,(H13-Constantes!$D$14)*(1-EXP(-Constantes!$D$22)))</f>
        <v>1.0751175997389457</v>
      </c>
      <c r="J13" s="76">
        <f t="shared" si="0"/>
        <v>88.744831306744913</v>
      </c>
      <c r="K13" s="76">
        <f>MAX(0,(J13-Constantes!$D$13)*(1-EXP(-Constantes!$D$23)))</f>
        <v>0.39407859889200469</v>
      </c>
      <c r="L13" s="76">
        <f t="shared" si="1"/>
        <v>1.4691961986309505</v>
      </c>
      <c r="M13" s="76">
        <f>0.0526*F13*Observaciones!$F12^1.218</f>
        <v>0</v>
      </c>
      <c r="N13" s="76">
        <f>M13*Constantes!$D$51</f>
        <v>0</v>
      </c>
      <c r="O13" s="76">
        <f t="shared" si="2"/>
        <v>0</v>
      </c>
      <c r="P13" s="15"/>
      <c r="Q13" s="75">
        <v>7</v>
      </c>
      <c r="R13" s="76">
        <f>0.0526*Observaciones!$F12^2.218</f>
        <v>2.3845871367955355E-2</v>
      </c>
      <c r="S13" s="76">
        <f>IF(Observaciones!$F12&gt;0.05*$W$7,((Observaciones!$F12-0.05*$W$7)^2)/(Observaciones!$F12+0.95*$W$7),0)</f>
        <v>0</v>
      </c>
      <c r="T13" s="76">
        <f>0.0526*S13*Observaciones!$F12^1.218</f>
        <v>0</v>
      </c>
      <c r="U13" s="29"/>
      <c r="V13" s="29"/>
      <c r="W13" s="109"/>
      <c r="X13" s="40"/>
    </row>
    <row r="14" spans="1:63" s="2" customFormat="1">
      <c r="B14" s="39"/>
      <c r="C14" s="75">
        <v>8</v>
      </c>
      <c r="D14" s="146">
        <f>ETo!$I13*((1-Constantes!$D$19)*ETo!$K13+ETo!$L13)</f>
        <v>4.2752545901473065</v>
      </c>
      <c r="E14" s="76">
        <f>MIN(D14*Constantes!$D$17,0.8*(H13+Observaciones!$F13-F14-G14-Constantes!$D$14))</f>
        <v>2.1798837056973381</v>
      </c>
      <c r="F14" s="76">
        <f>IF(Observaciones!$F13&gt;0.05*Constantes!$D$18,((Observaciones!$F13-0.05*Constantes!$D$18)^2)/(Observaciones!$F13+0.95*Constantes!$D$18),0)</f>
        <v>0</v>
      </c>
      <c r="G14" s="76">
        <f>MAX(0,H13+Observaciones!$F13-F14-Constantes!$D$13)</f>
        <v>0</v>
      </c>
      <c r="H14" s="76">
        <f>H13+Observaciones!$F13-F14-E14-G14-I13</f>
        <v>39.55699908397925</v>
      </c>
      <c r="I14" s="76">
        <f>MAX(0,(H14-Constantes!$D$14)*(1-EXP(-Constantes!$D$22)))</f>
        <v>0.96424030592136611</v>
      </c>
      <c r="J14" s="76">
        <f t="shared" si="0"/>
        <v>88.350752707852905</v>
      </c>
      <c r="K14" s="76">
        <f>MAX(0,(J14-Constantes!$D$13)*(1-EXP(-Constantes!$D$23)))</f>
        <v>0.39019564859491224</v>
      </c>
      <c r="L14" s="76">
        <f t="shared" si="1"/>
        <v>1.3544359545162783</v>
      </c>
      <c r="M14" s="76">
        <f>0.0526*F14*Observaciones!$F13^1.218</f>
        <v>0</v>
      </c>
      <c r="N14" s="76">
        <f>M14*Constantes!$D$51</f>
        <v>0</v>
      </c>
      <c r="O14" s="76">
        <f t="shared" si="2"/>
        <v>0</v>
      </c>
      <c r="P14" s="15"/>
      <c r="Q14" s="75">
        <v>8</v>
      </c>
      <c r="R14" s="76">
        <f>0.0526*Observaciones!$F13^2.218</f>
        <v>0</v>
      </c>
      <c r="S14" s="76">
        <f>IF(Observaciones!$F13&gt;0.05*$W$7,((Observaciones!$F13-0.05*$W$7)^2)/(Observaciones!$F13+0.95*$W$7),0)</f>
        <v>0</v>
      </c>
      <c r="T14" s="76">
        <f>0.0526*S14*Observaciones!$F13^1.218</f>
        <v>0</v>
      </c>
      <c r="U14" s="29"/>
      <c r="V14" s="29"/>
      <c r="W14" s="109"/>
      <c r="X14" s="40"/>
    </row>
    <row r="15" spans="1:63" s="2" customFormat="1">
      <c r="B15" s="39"/>
      <c r="C15" s="75">
        <v>9</v>
      </c>
      <c r="D15" s="146">
        <f>ETo!$I14*((1-Constantes!$D$19)*ETo!$K14+ETo!$L14)</f>
        <v>4.2663337670477102</v>
      </c>
      <c r="E15" s="76">
        <f>MIN(D15*Constantes!$D$17,0.8*(H14+Observaciones!$F14-F15-G15-Constantes!$D$14))</f>
        <v>2.1753351211613352</v>
      </c>
      <c r="F15" s="76">
        <f>IF(Observaciones!$F14&gt;0.05*Constantes!$D$18,((Observaciones!$F14-0.05*Constantes!$D$18)^2)/(Observaciones!$F14+0.95*Constantes!$D$18),0)</f>
        <v>0</v>
      </c>
      <c r="G15" s="76">
        <f>MAX(0,H14+Observaciones!$F14-F15-Constantes!$D$13)</f>
        <v>0</v>
      </c>
      <c r="H15" s="76">
        <f>H14+Observaciones!$F14-F15-E15-G15-I14</f>
        <v>36.417423656896553</v>
      </c>
      <c r="I15" s="76">
        <f>MAX(0,(H15-Constantes!$D$14)*(1-EXP(-Constantes!$D$22)))</f>
        <v>0.85729484125758371</v>
      </c>
      <c r="J15" s="76">
        <f t="shared" si="0"/>
        <v>87.960557059257994</v>
      </c>
      <c r="K15" s="76">
        <f>MAX(0,(J15-Constantes!$D$13)*(1-EXP(-Constantes!$D$23)))</f>
        <v>0.38635095793194379</v>
      </c>
      <c r="L15" s="76">
        <f t="shared" si="1"/>
        <v>1.2436457991895276</v>
      </c>
      <c r="M15" s="76">
        <f>0.0526*F15*Observaciones!$F14^1.218</f>
        <v>0</v>
      </c>
      <c r="N15" s="76">
        <f>M15*Constantes!$D$51</f>
        <v>0</v>
      </c>
      <c r="O15" s="76">
        <f t="shared" si="2"/>
        <v>0</v>
      </c>
      <c r="P15" s="15"/>
      <c r="Q15" s="75">
        <v>9</v>
      </c>
      <c r="R15" s="76">
        <f>0.0526*Observaciones!$F14^2.218</f>
        <v>0</v>
      </c>
      <c r="S15" s="76">
        <f>IF(Observaciones!$F14&gt;0.05*$W$7,((Observaciones!$F14-0.05*$W$7)^2)/(Observaciones!$F14+0.95*$W$7),0)</f>
        <v>0</v>
      </c>
      <c r="T15" s="76">
        <f>0.0526*S15*Observaciones!$F14^1.218</f>
        <v>0</v>
      </c>
      <c r="U15" s="29"/>
      <c r="V15" s="29"/>
      <c r="W15" s="109"/>
      <c r="X15" s="40"/>
    </row>
    <row r="16" spans="1:63" s="2" customFormat="1">
      <c r="B16" s="39"/>
      <c r="C16" s="75">
        <v>10</v>
      </c>
      <c r="D16" s="146">
        <f>ETo!$I15*((1-Constantes!$D$19)*ETo!$K15+ETo!$L15)</f>
        <v>4.2706250302405886</v>
      </c>
      <c r="E16" s="76">
        <f>MIN(D16*Constantes!$D$17,0.8*(H15+Observaciones!$F15-F16-G16-Constantes!$D$14))</f>
        <v>2.1775231673966573</v>
      </c>
      <c r="F16" s="76">
        <f>IF(Observaciones!$F15&gt;0.05*Constantes!$D$18,((Observaciones!$F15-0.05*Constantes!$D$18)^2)/(Observaciones!$F15+0.95*Constantes!$D$18),0)</f>
        <v>0</v>
      </c>
      <c r="G16" s="76">
        <f>MAX(0,H15+Observaciones!$F15-F16-Constantes!$D$13)</f>
        <v>0</v>
      </c>
      <c r="H16" s="76">
        <f>H15+Observaciones!$F15-F16-E16-G16-I15</f>
        <v>33.482605648242313</v>
      </c>
      <c r="I16" s="76">
        <f>MAX(0,(H16-Constantes!$D$14)*(1-EXP(-Constantes!$D$22)))</f>
        <v>0.75732416594534602</v>
      </c>
      <c r="J16" s="76">
        <f t="shared" si="0"/>
        <v>87.574206101326055</v>
      </c>
      <c r="K16" s="76">
        <f>MAX(0,(J16-Constantes!$D$13)*(1-EXP(-Constantes!$D$23)))</f>
        <v>0.38254414992181163</v>
      </c>
      <c r="L16" s="76">
        <f t="shared" si="1"/>
        <v>1.1398683158671576</v>
      </c>
      <c r="M16" s="76">
        <f>0.0526*F16*Observaciones!$F15^1.218</f>
        <v>0</v>
      </c>
      <c r="N16" s="76">
        <f>M16*Constantes!$D$51</f>
        <v>0</v>
      </c>
      <c r="O16" s="76">
        <f t="shared" si="2"/>
        <v>0</v>
      </c>
      <c r="P16" s="15"/>
      <c r="Q16" s="75">
        <v>10</v>
      </c>
      <c r="R16" s="76">
        <f>0.0526*Observaciones!$F15^2.218</f>
        <v>3.1840930012055863E-4</v>
      </c>
      <c r="S16" s="76">
        <f>IF(Observaciones!$F15&gt;0.05*$W$7,((Observaciones!$F15-0.05*$W$7)^2)/(Observaciones!$F15+0.95*$W$7),0)</f>
        <v>0</v>
      </c>
      <c r="T16" s="76">
        <f>0.0526*S16*Observaciones!$F15^1.218</f>
        <v>0</v>
      </c>
      <c r="U16" s="29"/>
      <c r="V16" s="29"/>
      <c r="W16" s="109"/>
      <c r="X16" s="40"/>
    </row>
    <row r="17" spans="2:24" s="2" customFormat="1">
      <c r="B17" s="39"/>
      <c r="C17" s="75">
        <v>11</v>
      </c>
      <c r="D17" s="146">
        <f>ETo!$I16*((1-Constantes!$D$19)*ETo!$K16+ETo!$L16)</f>
        <v>4.1910320269815351</v>
      </c>
      <c r="E17" s="76">
        <f>MIN(D17*Constantes!$D$17,0.8*(H16+Observaciones!$F16-F17-G17-Constantes!$D$14))</f>
        <v>2.1369399723533071</v>
      </c>
      <c r="F17" s="76">
        <f>IF(Observaciones!$F16&gt;0.05*Constantes!$D$18,((Observaciones!$F16-0.05*Constantes!$D$18)^2)/(Observaciones!$F16+0.95*Constantes!$D$18),0)</f>
        <v>0</v>
      </c>
      <c r="G17" s="76">
        <f>MAX(0,H16+Observaciones!$F16-F17-Constantes!$D$13)</f>
        <v>0</v>
      </c>
      <c r="H17" s="76">
        <f>H16+Observaciones!$F16-F17-E17-G17-I16</f>
        <v>33.488341509943652</v>
      </c>
      <c r="I17" s="76">
        <f>MAX(0,(H17-Constantes!$D$14)*(1-EXP(-Constantes!$D$22)))</f>
        <v>0.75751955045167296</v>
      </c>
      <c r="J17" s="76">
        <f t="shared" si="0"/>
        <v>87.191661951404242</v>
      </c>
      <c r="K17" s="76">
        <f>MAX(0,(J17-Constantes!$D$13)*(1-EXP(-Constantes!$D$23)))</f>
        <v>0.37877485129771421</v>
      </c>
      <c r="L17" s="76">
        <f t="shared" si="1"/>
        <v>1.1362944017493872</v>
      </c>
      <c r="M17" s="76">
        <f>0.0526*F17*Observaciones!$F16^1.218</f>
        <v>0</v>
      </c>
      <c r="N17" s="76">
        <f>M17*Constantes!$D$51</f>
        <v>0</v>
      </c>
      <c r="O17" s="76">
        <f t="shared" si="2"/>
        <v>0</v>
      </c>
      <c r="P17" s="15"/>
      <c r="Q17" s="75">
        <v>11</v>
      </c>
      <c r="R17" s="76">
        <f>0.0526*Observaciones!$F16^2.218</f>
        <v>0.55793615283547093</v>
      </c>
      <c r="S17" s="76">
        <f>IF(Observaciones!$F16&gt;0.05*$W$7,((Observaciones!$F16-0.05*$W$7)^2)/(Observaciones!$F16+0.95*$W$7),0)</f>
        <v>3.8113841217814838E-2</v>
      </c>
      <c r="T17" s="76">
        <f>0.0526*S17*Observaciones!$F16^1.218</f>
        <v>7.3327896340860729E-3</v>
      </c>
      <c r="U17" s="29"/>
      <c r="V17" s="29"/>
      <c r="W17" s="109"/>
      <c r="X17" s="40"/>
    </row>
    <row r="18" spans="2:24" s="2" customFormat="1">
      <c r="B18" s="39"/>
      <c r="C18" s="75">
        <v>12</v>
      </c>
      <c r="D18" s="146">
        <f>ETo!$I17*((1-Constantes!$D$19)*ETo!$K17+ETo!$L17)</f>
        <v>4.111397427642137</v>
      </c>
      <c r="E18" s="76">
        <f>MIN(D18*Constantes!$D$17,0.8*(H17+Observaciones!$F17-F18-G18-Constantes!$D$14))</f>
        <v>2.0963355681361282</v>
      </c>
      <c r="F18" s="76">
        <f>IF(Observaciones!$F17&gt;0.05*Constantes!$D$18,((Observaciones!$F17-0.05*Constantes!$D$18)^2)/(Observaciones!$F17+0.95*Constantes!$D$18),0)</f>
        <v>2.2718531141462104</v>
      </c>
      <c r="G18" s="76">
        <f>MAX(0,H17+Observaciones!$F17-F18-Constantes!$D$13)</f>
        <v>0.1664883957974439</v>
      </c>
      <c r="H18" s="76">
        <f>H17+Observaciones!$F17-F18-E18-G18-I17</f>
        <v>45.896144881412198</v>
      </c>
      <c r="I18" s="76">
        <f>MAX(0,(H18-Constantes!$D$14)*(1-EXP(-Constantes!$D$22)))</f>
        <v>1.1801748832625694</v>
      </c>
      <c r="J18" s="76">
        <f t="shared" si="0"/>
        <v>86.979375495903966</v>
      </c>
      <c r="K18" s="76">
        <f>MAX(0,(J18-Constantes!$D$13)*(1-EXP(-Constantes!$D$23)))</f>
        <v>0.37668314228897565</v>
      </c>
      <c r="L18" s="76">
        <f t="shared" si="1"/>
        <v>3.8287111396977553</v>
      </c>
      <c r="M18" s="76">
        <f>0.0526*F18*Observaciones!$F17^1.218</f>
        <v>3.9572859339367521</v>
      </c>
      <c r="N18" s="76">
        <f>M18*Constantes!$D$51</f>
        <v>5.5639030568974297E-2</v>
      </c>
      <c r="O18" s="76">
        <f t="shared" si="2"/>
        <v>1453.2052311830068</v>
      </c>
      <c r="P18" s="15"/>
      <c r="Q18" s="75">
        <v>12</v>
      </c>
      <c r="R18" s="76">
        <f>0.0526*Observaciones!$F17^2.218</f>
        <v>30.831201451597327</v>
      </c>
      <c r="S18" s="76">
        <f>IF(Observaciones!$F17&gt;0.05*$W$7,((Observaciones!$F17-0.05*$W$7)^2)/(Observaciones!$F17+0.95*$W$7),0)</f>
        <v>5.0387337399867729</v>
      </c>
      <c r="T18" s="76">
        <f>0.0526*S18*Observaciones!$F17^1.218</f>
        <v>8.7768483049995769</v>
      </c>
      <c r="U18" s="29"/>
      <c r="V18" s="29"/>
      <c r="W18" s="109"/>
      <c r="X18" s="40"/>
    </row>
    <row r="19" spans="2:24" s="2" customFormat="1">
      <c r="B19" s="39"/>
      <c r="C19" s="75">
        <v>13</v>
      </c>
      <c r="D19" s="146">
        <f>ETo!$I18*((1-Constantes!$D$19)*ETo!$K18+ETo!$L18)</f>
        <v>4.2435635545740835</v>
      </c>
      <c r="E19" s="76">
        <f>MIN(D19*Constantes!$D$17,0.8*(H18+Observaciones!$F18-F19-G19-Constantes!$D$14))</f>
        <v>2.1637249552402422</v>
      </c>
      <c r="F19" s="76">
        <f>IF(Observaciones!$F18&gt;0.05*Constantes!$D$18,((Observaciones!$F18-0.05*Constantes!$D$18)^2)/(Observaciones!$F18+0.95*Constantes!$D$18),0)</f>
        <v>0</v>
      </c>
      <c r="G19" s="76">
        <f>MAX(0,H18+Observaciones!$F18-F19-Constantes!$D$13)</f>
        <v>0</v>
      </c>
      <c r="H19" s="76">
        <f>H18+Observaciones!$F18-F19-E19-G19-I18</f>
        <v>42.952245042909389</v>
      </c>
      <c r="I19" s="76">
        <f>MAX(0,(H19-Constantes!$D$14)*(1-EXP(-Constantes!$D$22)))</f>
        <v>1.0798948474856096</v>
      </c>
      <c r="J19" s="76">
        <f t="shared" si="0"/>
        <v>86.602692353614984</v>
      </c>
      <c r="K19" s="76">
        <f>MAX(0,(J19-Constantes!$D$13)*(1-EXP(-Constantes!$D$23)))</f>
        <v>0.37297159356906778</v>
      </c>
      <c r="L19" s="76">
        <f t="shared" si="1"/>
        <v>1.4528664410546774</v>
      </c>
      <c r="M19" s="76">
        <f>0.0526*F19*Observaciones!$F18^1.218</f>
        <v>0</v>
      </c>
      <c r="N19" s="76">
        <f>M19*Constantes!$D$51</f>
        <v>0</v>
      </c>
      <c r="O19" s="76">
        <f t="shared" si="2"/>
        <v>0</v>
      </c>
      <c r="P19" s="15"/>
      <c r="Q19" s="75">
        <v>13</v>
      </c>
      <c r="R19" s="76">
        <f>0.0526*Observaciones!$F18^2.218</f>
        <v>6.8921513346888582E-3</v>
      </c>
      <c r="S19" s="76">
        <f>IF(Observaciones!$F18&gt;0.05*$W$7,((Observaciones!$F18-0.05*$W$7)^2)/(Observaciones!$F18+0.95*$W$7),0)</f>
        <v>0</v>
      </c>
      <c r="T19" s="76">
        <f>0.0526*S19*Observaciones!$F18^1.218</f>
        <v>0</v>
      </c>
      <c r="U19" s="29"/>
      <c r="V19" s="29"/>
      <c r="W19" s="109"/>
      <c r="X19" s="40"/>
    </row>
    <row r="20" spans="2:24" s="2" customFormat="1">
      <c r="B20" s="39"/>
      <c r="C20" s="75">
        <v>14</v>
      </c>
      <c r="D20" s="146">
        <f>ETo!$I19*((1-Constantes!$D$19)*ETo!$K19+ETo!$L19)</f>
        <v>4.2344596882080481</v>
      </c>
      <c r="E20" s="76">
        <f>MIN(D20*Constantes!$D$17,0.8*(H19+Observaciones!$F19-F20-G20-Constantes!$D$14))</f>
        <v>2.1590830398801835</v>
      </c>
      <c r="F20" s="76">
        <f>IF(Observaciones!$F19&gt;0.05*Constantes!$D$18,((Observaciones!$F19-0.05*Constantes!$D$18)^2)/(Observaciones!$F19+0.95*Constantes!$D$18),0)</f>
        <v>0</v>
      </c>
      <c r="G20" s="76">
        <f>MAX(0,H19+Observaciones!$F19-F20-Constantes!$D$13)</f>
        <v>0</v>
      </c>
      <c r="H20" s="76">
        <f>H19+Observaciones!$F19-F20-E20-G20-I19</f>
        <v>40.113267155543589</v>
      </c>
      <c r="I20" s="76">
        <f>MAX(0,(H20-Constantes!$D$14)*(1-EXP(-Constantes!$D$22)))</f>
        <v>0.98318883854074413</v>
      </c>
      <c r="J20" s="76">
        <f t="shared" si="0"/>
        <v>86.229720760045922</v>
      </c>
      <c r="K20" s="76">
        <f>MAX(0,(J20-Constantes!$D$13)*(1-EXP(-Constantes!$D$23)))</f>
        <v>0.36929661562271932</v>
      </c>
      <c r="L20" s="76">
        <f t="shared" si="1"/>
        <v>1.3524854541634634</v>
      </c>
      <c r="M20" s="76">
        <f>0.0526*F20*Observaciones!$F19^1.218</f>
        <v>0</v>
      </c>
      <c r="N20" s="76">
        <f>M20*Constantes!$D$51</f>
        <v>0</v>
      </c>
      <c r="O20" s="76">
        <f t="shared" si="2"/>
        <v>0</v>
      </c>
      <c r="P20" s="15"/>
      <c r="Q20" s="75">
        <v>14</v>
      </c>
      <c r="R20" s="76">
        <f>0.0526*Observaciones!$F19^2.218</f>
        <v>6.8921513346888582E-3</v>
      </c>
      <c r="S20" s="76">
        <f>IF(Observaciones!$F19&gt;0.05*$W$7,((Observaciones!$F19-0.05*$W$7)^2)/(Observaciones!$F19+0.95*$W$7),0)</f>
        <v>0</v>
      </c>
      <c r="T20" s="76">
        <f>0.0526*S20*Observaciones!$F19^1.218</f>
        <v>0</v>
      </c>
      <c r="U20" s="29"/>
      <c r="V20" s="29"/>
      <c r="W20" s="109"/>
      <c r="X20" s="40"/>
    </row>
    <row r="21" spans="2:24" s="2" customFormat="1">
      <c r="B21" s="39"/>
      <c r="C21" s="75">
        <v>15</v>
      </c>
      <c r="D21" s="146">
        <f>ETo!$I20*((1-Constantes!$D$19)*ETo!$K20+ETo!$L20)</f>
        <v>4.2297193394396455</v>
      </c>
      <c r="E21" s="76">
        <f>MIN(D21*Constantes!$D$17,0.8*(H20+Observaciones!$F20-F21-G21-Constantes!$D$14))</f>
        <v>2.156666012116883</v>
      </c>
      <c r="F21" s="76">
        <f>IF(Observaciones!$F20&gt;0.05*Constantes!$D$18,((Observaciones!$F20-0.05*Constantes!$D$18)^2)/(Observaciones!$F20+0.95*Constantes!$D$18),0)</f>
        <v>0</v>
      </c>
      <c r="G21" s="76">
        <f>MAX(0,H20+Observaciones!$F20-F21-Constantes!$D$13)</f>
        <v>0</v>
      </c>
      <c r="H21" s="76">
        <f>H20+Observaciones!$F20-F21-E21-G21-I20</f>
        <v>37.473412304885969</v>
      </c>
      <c r="I21" s="76">
        <f>MAX(0,(H21-Constantes!$D$14)*(1-EXP(-Constantes!$D$22)))</f>
        <v>0.89326569122179211</v>
      </c>
      <c r="J21" s="76">
        <f t="shared" si="0"/>
        <v>85.860424144423206</v>
      </c>
      <c r="K21" s="76">
        <f>MAX(0,(J21-Constantes!$D$13)*(1-EXP(-Constantes!$D$23)))</f>
        <v>0.36565784810938778</v>
      </c>
      <c r="L21" s="76">
        <f t="shared" si="1"/>
        <v>1.25892353933118</v>
      </c>
      <c r="M21" s="76">
        <f>0.0526*F21*Observaciones!$F20^1.218</f>
        <v>0</v>
      </c>
      <c r="N21" s="76">
        <f>M21*Constantes!$D$51</f>
        <v>0</v>
      </c>
      <c r="O21" s="76">
        <f t="shared" si="2"/>
        <v>0</v>
      </c>
      <c r="P21" s="15"/>
      <c r="Q21" s="75">
        <v>15</v>
      </c>
      <c r="R21" s="76">
        <f>0.0526*Observaciones!$F20^2.218</f>
        <v>1.1305797794095535E-2</v>
      </c>
      <c r="S21" s="76">
        <f>IF(Observaciones!$F20&gt;0.05*$W$7,((Observaciones!$F20-0.05*$W$7)^2)/(Observaciones!$F20+0.95*$W$7),0)</f>
        <v>0</v>
      </c>
      <c r="T21" s="76">
        <f>0.0526*S21*Observaciones!$F20^1.218</f>
        <v>0</v>
      </c>
      <c r="U21" s="29"/>
      <c r="V21" s="29"/>
      <c r="W21" s="109"/>
      <c r="X21" s="40"/>
    </row>
    <row r="22" spans="2:24" s="2" customFormat="1">
      <c r="B22" s="39"/>
      <c r="C22" s="75">
        <v>16</v>
      </c>
      <c r="D22" s="146">
        <f>ETo!$I21*((1-Constantes!$D$19)*ETo!$K21+ETo!$L21)</f>
        <v>4.2558086355340761</v>
      </c>
      <c r="E22" s="76">
        <f>MIN(D22*Constantes!$D$17,0.8*(H21+Observaciones!$F21-F22-G22-Constantes!$D$14))</f>
        <v>2.1699685255111563</v>
      </c>
      <c r="F22" s="76">
        <f>IF(Observaciones!$F21&gt;0.05*Constantes!$D$18,((Observaciones!$F21-0.05*Constantes!$D$18)^2)/(Observaciones!$F21+0.95*Constantes!$D$18),0)</f>
        <v>0</v>
      </c>
      <c r="G22" s="76">
        <f>MAX(0,H21+Observaciones!$F21-F22-Constantes!$D$13)</f>
        <v>0</v>
      </c>
      <c r="H22" s="76">
        <f>H21+Observaciones!$F21-F22-E22-G22-I21</f>
        <v>34.410178088153017</v>
      </c>
      <c r="I22" s="76">
        <f>MAX(0,(H22-Constantes!$D$14)*(1-EXP(-Constantes!$D$22)))</f>
        <v>0.78892068843684271</v>
      </c>
      <c r="J22" s="76">
        <f t="shared" si="0"/>
        <v>85.494766296313813</v>
      </c>
      <c r="K22" s="76">
        <f>MAX(0,(J22-Constantes!$D$13)*(1-EXP(-Constantes!$D$23)))</f>
        <v>0.36205493423905188</v>
      </c>
      <c r="L22" s="76">
        <f t="shared" si="1"/>
        <v>1.1509756226758947</v>
      </c>
      <c r="M22" s="76">
        <f>0.0526*F22*Observaciones!$F21^1.218</f>
        <v>0</v>
      </c>
      <c r="N22" s="76">
        <f>M22*Constantes!$D$51</f>
        <v>0</v>
      </c>
      <c r="O22" s="76">
        <f t="shared" si="2"/>
        <v>0</v>
      </c>
      <c r="P22" s="15"/>
      <c r="Q22" s="75">
        <v>16</v>
      </c>
      <c r="R22" s="76">
        <f>0.0526*Observaciones!$F21^2.218</f>
        <v>0</v>
      </c>
      <c r="S22" s="76">
        <f>IF(Observaciones!$F21&gt;0.05*$W$7,((Observaciones!$F21-0.05*$W$7)^2)/(Observaciones!$F21+0.95*$W$7),0)</f>
        <v>0</v>
      </c>
      <c r="T22" s="76">
        <f>0.0526*S22*Observaciones!$F21^1.218</f>
        <v>0</v>
      </c>
      <c r="U22" s="29"/>
      <c r="V22" s="29"/>
      <c r="W22" s="109"/>
      <c r="X22" s="40"/>
    </row>
    <row r="23" spans="2:24" s="2" customFormat="1">
      <c r="B23" s="39"/>
      <c r="C23" s="75">
        <v>17</v>
      </c>
      <c r="D23" s="146">
        <f>ETo!$I22*((1-Constantes!$D$19)*ETo!$K22+ETo!$L22)</f>
        <v>4.2200730389591046</v>
      </c>
      <c r="E23" s="76">
        <f>MIN(D23*Constantes!$D$17,0.8*(H22+Observaciones!$F22-F23-G23-Constantes!$D$14))</f>
        <v>2.1517475183068884</v>
      </c>
      <c r="F23" s="76">
        <f>IF(Observaciones!$F22&gt;0.05*Constantes!$D$18,((Observaciones!$F22-0.05*Constantes!$D$18)^2)/(Observaciones!$F22+0.95*Constantes!$D$18),0)</f>
        <v>0.3404705483397929</v>
      </c>
      <c r="G23" s="76">
        <f>MAX(0,H22+Observaciones!$F22-F23-Constantes!$D$13)</f>
        <v>0</v>
      </c>
      <c r="H23" s="76">
        <f>H22+Observaciones!$F22-F23-E23-G23-I22</f>
        <v>39.929039333069483</v>
      </c>
      <c r="I23" s="76">
        <f>MAX(0,(H23-Constantes!$D$14)*(1-EXP(-Constantes!$D$22)))</f>
        <v>0.97691336259309425</v>
      </c>
      <c r="J23" s="76">
        <f t="shared" si="0"/>
        <v>85.132711362074758</v>
      </c>
      <c r="K23" s="76">
        <f>MAX(0,(J23-Constantes!$D$13)*(1-EXP(-Constantes!$D$23)))</f>
        <v>0.35848752073722767</v>
      </c>
      <c r="L23" s="76">
        <f t="shared" si="1"/>
        <v>1.6758714316701147</v>
      </c>
      <c r="M23" s="76">
        <f>0.0526*F23*Observaciones!$F22^1.218</f>
        <v>0.25318920727032407</v>
      </c>
      <c r="N23" s="76">
        <f>M23*Constantes!$D$51</f>
        <v>3.559814043822157E-3</v>
      </c>
      <c r="O23" s="76">
        <f t="shared" si="2"/>
        <v>212.4157006647325</v>
      </c>
      <c r="P23" s="15"/>
      <c r="Q23" s="75">
        <v>17</v>
      </c>
      <c r="R23" s="76">
        <f>0.0526*Observaciones!$F22^2.218</f>
        <v>6.5440756471987749</v>
      </c>
      <c r="S23" s="76">
        <f>IF(Observaciones!$F22&gt;0.05*$W$7,((Observaciones!$F22-0.05*$W$7)^2)/(Observaciones!$F22+0.95*$W$7),0)</f>
        <v>1.197931632400298</v>
      </c>
      <c r="T23" s="76">
        <f>0.0526*S23*Observaciones!$F22^1.218</f>
        <v>0.89083582074998446</v>
      </c>
      <c r="U23" s="29"/>
      <c r="V23" s="29"/>
      <c r="W23" s="109"/>
      <c r="X23" s="40"/>
    </row>
    <row r="24" spans="2:24" s="2" customFormat="1">
      <c r="B24" s="39"/>
      <c r="C24" s="75">
        <v>18</v>
      </c>
      <c r="D24" s="146">
        <f>ETo!$I23*((1-Constantes!$D$19)*ETo!$K23+ETo!$L23)</f>
        <v>4.0651509616303576</v>
      </c>
      <c r="E24" s="76">
        <f>MIN(D24*Constantes!$D$17,0.8*(H23+Observaciones!$F23-F24-G24-Constantes!$D$14))</f>
        <v>2.0727552372857754</v>
      </c>
      <c r="F24" s="76">
        <f>IF(Observaciones!$F23&gt;0.05*Constantes!$D$18,((Observaciones!$F23-0.05*Constantes!$D$18)^2)/(Observaciones!$F23+0.95*Constantes!$D$18),0)</f>
        <v>0</v>
      </c>
      <c r="G24" s="76">
        <f>MAX(0,H23+Observaciones!$F23-F24-Constantes!$D$13)</f>
        <v>0</v>
      </c>
      <c r="H24" s="76">
        <f>H23+Observaciones!$F23-F24-E24-G24-I23</f>
        <v>39.379370733190612</v>
      </c>
      <c r="I24" s="76">
        <f>MAX(0,(H24-Constantes!$D$14)*(1-EXP(-Constantes!$D$22)))</f>
        <v>0.95818963220647979</v>
      </c>
      <c r="J24" s="76">
        <f t="shared" si="0"/>
        <v>84.77422384133753</v>
      </c>
      <c r="K24" s="76">
        <f>MAX(0,(J24-Constantes!$D$13)*(1-EXP(-Constantes!$D$23)))</f>
        <v>0.35495525781032866</v>
      </c>
      <c r="L24" s="76">
        <f t="shared" si="1"/>
        <v>1.3131448900168086</v>
      </c>
      <c r="M24" s="76">
        <f>0.0526*F24*Observaciones!$F23^1.218</f>
        <v>0</v>
      </c>
      <c r="N24" s="76">
        <f>M24*Constantes!$D$51</f>
        <v>0</v>
      </c>
      <c r="O24" s="76">
        <f t="shared" si="2"/>
        <v>0</v>
      </c>
      <c r="P24" s="15"/>
      <c r="Q24" s="75">
        <v>18</v>
      </c>
      <c r="R24" s="76">
        <f>0.0526*Observaciones!$F23^2.218</f>
        <v>0.40143633905347276</v>
      </c>
      <c r="S24" s="76">
        <f>IF(Observaciones!$F23&gt;0.05*$W$7,((Observaciones!$F23-0.05*$W$7)^2)/(Observaciones!$F23+0.95*$W$7),0)</f>
        <v>1.6667444764761515E-2</v>
      </c>
      <c r="T24" s="76">
        <f>0.0526*S24*Observaciones!$F23^1.218</f>
        <v>2.6763672030967324E-3</v>
      </c>
      <c r="U24" s="29"/>
      <c r="V24" s="29"/>
      <c r="W24" s="109"/>
      <c r="X24" s="40"/>
    </row>
    <row r="25" spans="2:24" s="2" customFormat="1">
      <c r="B25" s="39"/>
      <c r="C25" s="75">
        <v>19</v>
      </c>
      <c r="D25" s="146">
        <f>ETo!$I24*((1-Constantes!$D$19)*ETo!$K24+ETo!$L24)</f>
        <v>4.1528383603144396</v>
      </c>
      <c r="E25" s="76">
        <f>MIN(D25*Constantes!$D$17,0.8*(H24+Observaciones!$F24-F25-G25-Constantes!$D$14))</f>
        <v>2.1174656346564804</v>
      </c>
      <c r="F25" s="76">
        <f>IF(Observaciones!$F24&gt;0.05*Constantes!$D$18,((Observaciones!$F24-0.05*Constantes!$D$18)^2)/(Observaciones!$F24+0.95*Constantes!$D$18),0)</f>
        <v>0.23467189307498115</v>
      </c>
      <c r="G25" s="76">
        <f>MAX(0,H24+Observaciones!$F24-F25-Constantes!$D$13)</f>
        <v>0</v>
      </c>
      <c r="H25" s="76">
        <f>H24+Observaciones!$F24-F25-E25-G25-I24</f>
        <v>43.969043573252669</v>
      </c>
      <c r="I25" s="76">
        <f>MAX(0,(H25-Constantes!$D$14)*(1-EXP(-Constantes!$D$22)))</f>
        <v>1.1145307381729235</v>
      </c>
      <c r="J25" s="76">
        <f t="shared" si="0"/>
        <v>84.419268583527199</v>
      </c>
      <c r="K25" s="76">
        <f>MAX(0,(J25-Constantes!$D$13)*(1-EXP(-Constantes!$D$23)))</f>
        <v>0.35145779911136782</v>
      </c>
      <c r="L25" s="76">
        <f t="shared" si="1"/>
        <v>1.7006604303592725</v>
      </c>
      <c r="M25" s="76">
        <f>0.0526*F25*Observaciones!$F24^1.218</f>
        <v>0.15302296691275771</v>
      </c>
      <c r="N25" s="76">
        <f>M25*Constantes!$D$51</f>
        <v>2.1514870737036175E-3</v>
      </c>
      <c r="O25" s="76">
        <f t="shared" si="2"/>
        <v>126.50891590681074</v>
      </c>
      <c r="P25" s="15"/>
      <c r="Q25" s="75">
        <v>19</v>
      </c>
      <c r="R25" s="76">
        <f>0.0526*Observaciones!$F24^2.218</f>
        <v>5.1513686738127191</v>
      </c>
      <c r="S25" s="76">
        <f>IF(Observaciones!$F24&gt;0.05*$W$7,((Observaciones!$F24-0.05*$W$7)^2)/(Observaciones!$F24+0.95*$W$7),0)</f>
        <v>0.93240756681215686</v>
      </c>
      <c r="T25" s="76">
        <f>0.0526*S25*Observaciones!$F24^1.218</f>
        <v>0.6079968520129222</v>
      </c>
      <c r="U25" s="29"/>
      <c r="V25" s="29"/>
      <c r="W25" s="109"/>
      <c r="X25" s="40"/>
    </row>
    <row r="26" spans="2:24" s="2" customFormat="1">
      <c r="B26" s="39"/>
      <c r="C26" s="75">
        <v>20</v>
      </c>
      <c r="D26" s="146">
        <f>ETo!$I25*((1-Constantes!$D$19)*ETo!$K25+ETo!$L25)</f>
        <v>4.0992699869697011</v>
      </c>
      <c r="E26" s="76">
        <f>MIN(D26*Constantes!$D$17,0.8*(H25+Observaciones!$F25-F26-G26-Constantes!$D$14))</f>
        <v>2.0901519807599334</v>
      </c>
      <c r="F26" s="76">
        <f>IF(Observaciones!$F25&gt;0.05*Constantes!$D$18,((Observaciones!$F25-0.05*Constantes!$D$18)^2)/(Observaciones!$F25+0.95*Constantes!$D$18),0)</f>
        <v>2.4729526880843546E-2</v>
      </c>
      <c r="G26" s="76">
        <f>MAX(0,H25+Observaciones!$F25-F26-Constantes!$D$13)</f>
        <v>0.19431404637182936</v>
      </c>
      <c r="H26" s="76">
        <f>H25+Observaciones!$F25-F26-E26-G26-I25</f>
        <v>45.545317281067142</v>
      </c>
      <c r="I26" s="76">
        <f>MAX(0,(H26-Constantes!$D$14)*(1-EXP(-Constantes!$D$22)))</f>
        <v>1.1682244072803296</v>
      </c>
      <c r="J26" s="76">
        <f t="shared" si="0"/>
        <v>84.262124830787656</v>
      </c>
      <c r="K26" s="76">
        <f>MAX(0,(J26-Constantes!$D$13)*(1-EXP(-Constantes!$D$23)))</f>
        <v>0.34990942428689925</v>
      </c>
      <c r="L26" s="76">
        <f t="shared" si="1"/>
        <v>1.5428633584480724</v>
      </c>
      <c r="M26" s="76">
        <f>0.0526*F26*Observaciones!$F25^1.218</f>
        <v>9.2373418719535957E-3</v>
      </c>
      <c r="N26" s="76">
        <f>M26*Constantes!$D$51</f>
        <v>1.2987607046084803E-4</v>
      </c>
      <c r="O26" s="76">
        <f t="shared" si="2"/>
        <v>8.41785954340682</v>
      </c>
      <c r="P26" s="15"/>
      <c r="Q26" s="75">
        <v>20</v>
      </c>
      <c r="R26" s="76">
        <f>0.0526*Observaciones!$F25^2.218</f>
        <v>1.867674605434769</v>
      </c>
      <c r="S26" s="76">
        <f>IF(Observaciones!$F25&gt;0.05*$W$7,((Observaciones!$F25-0.05*$W$7)^2)/(Observaciones!$F25+0.95*$W$7),0)</f>
        <v>0.28178711203654261</v>
      </c>
      <c r="T26" s="76">
        <f>0.0526*S26*Observaciones!$F25^1.218</f>
        <v>0.10525732665789053</v>
      </c>
      <c r="U26" s="29"/>
      <c r="V26" s="29"/>
      <c r="W26" s="109"/>
      <c r="X26" s="40"/>
    </row>
    <row r="27" spans="2:24" s="2" customFormat="1">
      <c r="B27" s="39"/>
      <c r="C27" s="75">
        <v>21</v>
      </c>
      <c r="D27" s="146">
        <f>ETo!$I26*((1-Constantes!$D$19)*ETo!$K26+ETo!$L26)</f>
        <v>4.2969975510207226</v>
      </c>
      <c r="E27" s="76">
        <f>MIN(D27*Constantes!$D$17,0.8*(H26+Observaciones!$F26-F27-G27-Constantes!$D$14))</f>
        <v>2.1909700925129454</v>
      </c>
      <c r="F27" s="76">
        <f>IF(Observaciones!$F26&gt;0.05*Constantes!$D$18,((Observaciones!$F26-0.05*Constantes!$D$18)^2)/(Observaciones!$F26+0.95*Constantes!$D$18),0)</f>
        <v>8.6522960812412994E-2</v>
      </c>
      <c r="G27" s="76">
        <f>MAX(0,H26+Observaciones!$F26-F27-Constantes!$D$13)</f>
        <v>2.9087943202547351</v>
      </c>
      <c r="H27" s="76">
        <f>H26+Observaciones!$F26-F27-E27-G27-I26</f>
        <v>45.390805500206724</v>
      </c>
      <c r="I27" s="76">
        <f>MAX(0,(H27-Constantes!$D$14)*(1-EXP(-Constantes!$D$22)))</f>
        <v>1.162961168799864</v>
      </c>
      <c r="J27" s="76">
        <f t="shared" si="0"/>
        <v>86.821009726755491</v>
      </c>
      <c r="K27" s="76">
        <f>MAX(0,(J27-Constantes!$D$13)*(1-EXP(-Constantes!$D$23)))</f>
        <v>0.37512272664576823</v>
      </c>
      <c r="L27" s="76">
        <f t="shared" si="1"/>
        <v>1.6246068562580451</v>
      </c>
      <c r="M27" s="76">
        <f>0.0526*F27*Observaciones!$F26^1.218</f>
        <v>4.2000087436887899E-2</v>
      </c>
      <c r="N27" s="76">
        <f>M27*Constantes!$D$51</f>
        <v>5.9051688147181234E-4</v>
      </c>
      <c r="O27" s="76">
        <f t="shared" si="2"/>
        <v>36.348294308688878</v>
      </c>
      <c r="P27" s="15"/>
      <c r="Q27" s="75">
        <v>21</v>
      </c>
      <c r="R27" s="76">
        <f>0.0526*Observaciones!$F26^2.218</f>
        <v>3.0096120112355975</v>
      </c>
      <c r="S27" s="76">
        <f>IF(Observaciones!$F26&gt;0.05*$W$7,((Observaciones!$F26-0.05*$W$7)^2)/(Observaciones!$F26+0.95*$W$7),0)</f>
        <v>0.51054547567973141</v>
      </c>
      <c r="T27" s="76">
        <f>0.0526*S27*Observaciones!$F26^1.218</f>
        <v>0.24782964449801789</v>
      </c>
      <c r="U27" s="29"/>
      <c r="V27" s="29"/>
      <c r="W27" s="109"/>
      <c r="X27" s="40"/>
    </row>
    <row r="28" spans="2:24" s="2" customFormat="1">
      <c r="B28" s="39"/>
      <c r="C28" s="75">
        <v>22</v>
      </c>
      <c r="D28" s="146">
        <f>ETo!$I27*((1-Constantes!$D$19)*ETo!$K27+ETo!$L27)</f>
        <v>4.1947726528956641</v>
      </c>
      <c r="E28" s="76">
        <f>MIN(D28*Constantes!$D$17,0.8*(H27+Observaciones!$F27-F28-G28-Constantes!$D$14))</f>
        <v>2.1388472574768902</v>
      </c>
      <c r="F28" s="76">
        <f>IF(Observaciones!$F27&gt;0.05*Constantes!$D$18,((Observaciones!$F27-0.05*Constantes!$D$18)^2)/(Observaciones!$F27+0.95*Constantes!$D$18),0)</f>
        <v>0</v>
      </c>
      <c r="G28" s="76">
        <f>MAX(0,H27+Observaciones!$F27-F28-Constantes!$D$13)</f>
        <v>0</v>
      </c>
      <c r="H28" s="76">
        <f>H27+Observaciones!$F27-F28-E28-G28-I27</f>
        <v>42.188997073929968</v>
      </c>
      <c r="I28" s="76">
        <f>MAX(0,(H28-Constantes!$D$14)*(1-EXP(-Constantes!$D$22)))</f>
        <v>1.0538958197215149</v>
      </c>
      <c r="J28" s="76">
        <f t="shared" si="0"/>
        <v>86.445887000109721</v>
      </c>
      <c r="K28" s="76">
        <f>MAX(0,(J28-Constantes!$D$13)*(1-EXP(-Constantes!$D$23)))</f>
        <v>0.37142655307285499</v>
      </c>
      <c r="L28" s="76">
        <f t="shared" si="1"/>
        <v>1.42532237279437</v>
      </c>
      <c r="M28" s="76">
        <f>0.0526*F28*Observaciones!$F27^1.218</f>
        <v>0</v>
      </c>
      <c r="N28" s="76">
        <f>M28*Constantes!$D$51</f>
        <v>0</v>
      </c>
      <c r="O28" s="76">
        <f t="shared" si="2"/>
        <v>0</v>
      </c>
      <c r="P28" s="15"/>
      <c r="Q28" s="75">
        <v>22</v>
      </c>
      <c r="R28" s="76">
        <f>0.0526*Observaciones!$F27^2.218</f>
        <v>3.1840930012055863E-4</v>
      </c>
      <c r="S28" s="76">
        <f>IF(Observaciones!$F27&gt;0.05*$W$7,((Observaciones!$F27-0.05*$W$7)^2)/(Observaciones!$F27+0.95*$W$7),0)</f>
        <v>0</v>
      </c>
      <c r="T28" s="76">
        <f>0.0526*S28*Observaciones!$F27^1.218</f>
        <v>0</v>
      </c>
      <c r="U28" s="29"/>
      <c r="V28" s="29"/>
      <c r="W28" s="109"/>
      <c r="X28" s="40"/>
    </row>
    <row r="29" spans="2:24" s="2" customFormat="1">
      <c r="B29" s="39"/>
      <c r="C29" s="75">
        <v>23</v>
      </c>
      <c r="D29" s="146">
        <f>ETo!$I28*((1-Constantes!$D$19)*ETo!$K28+ETo!$L28)</f>
        <v>4.1321680484225629</v>
      </c>
      <c r="E29" s="76">
        <f>MIN(D29*Constantes!$D$17,0.8*(H28+Observaciones!$F28-F29-G29-Constantes!$D$14))</f>
        <v>2.1069261743425551</v>
      </c>
      <c r="F29" s="76">
        <f>IF(Observaciones!$F28&gt;0.05*Constantes!$D$18,((Observaciones!$F28-0.05*Constantes!$D$18)^2)/(Observaciones!$F28+0.95*Constantes!$D$18),0)</f>
        <v>2.8977608567010846</v>
      </c>
      <c r="G29" s="76">
        <f>MAX(0,H28+Observaciones!$F28-F29-Constantes!$D$13)</f>
        <v>10.241236217228888</v>
      </c>
      <c r="H29" s="76">
        <f>H28+Observaciones!$F28-F29-E29-G29-I28</f>
        <v>45.589178005935928</v>
      </c>
      <c r="I29" s="76">
        <f>MAX(0,(H29-Constantes!$D$14)*(1-EXP(-Constantes!$D$22)))</f>
        <v>1.1697184645853778</v>
      </c>
      <c r="J29" s="76">
        <f t="shared" si="0"/>
        <v>96.315696664265758</v>
      </c>
      <c r="K29" s="76">
        <f>MAX(0,(J29-Constantes!$D$13)*(1-EXP(-Constantes!$D$23)))</f>
        <v>0.46867613849929579</v>
      </c>
      <c r="L29" s="76">
        <f t="shared" si="1"/>
        <v>4.5361554597857587</v>
      </c>
      <c r="M29" s="76">
        <f>0.0526*F29*Observaciones!$F28^1.218</f>
        <v>5.7505336515858172</v>
      </c>
      <c r="N29" s="76">
        <f>M29*Constantes!$D$51</f>
        <v>8.0851907840332568E-2</v>
      </c>
      <c r="O29" s="76">
        <f t="shared" si="2"/>
        <v>1782.3883805814532</v>
      </c>
      <c r="P29" s="15"/>
      <c r="Q29" s="75">
        <v>23</v>
      </c>
      <c r="R29" s="76">
        <f>0.0526*Observaciones!$F28^2.218</f>
        <v>39.094155293825366</v>
      </c>
      <c r="S29" s="76">
        <f>IF(Observaciones!$F28&gt;0.05*$W$7,((Observaciones!$F28-0.05*$W$7)^2)/(Observaciones!$F28+0.95*$W$7),0)</f>
        <v>6.13740799509831</v>
      </c>
      <c r="T29" s="76">
        <f>0.0526*S29*Observaciones!$F28^1.218</f>
        <v>12.17953204375323</v>
      </c>
      <c r="U29" s="29"/>
      <c r="V29" s="29"/>
      <c r="W29" s="109"/>
      <c r="X29" s="40"/>
    </row>
    <row r="30" spans="2:24" s="2" customFormat="1">
      <c r="B30" s="39"/>
      <c r="C30" s="75">
        <v>24</v>
      </c>
      <c r="D30" s="146">
        <f>ETo!$I29*((1-Constantes!$D$19)*ETo!$K29+ETo!$L29)</f>
        <v>4.0341938673256417</v>
      </c>
      <c r="E30" s="76">
        <f>MIN(D30*Constantes!$D$17,0.8*(H29+Observaciones!$F29-F30-G30-Constantes!$D$14))</f>
        <v>2.0569707117031104</v>
      </c>
      <c r="F30" s="76">
        <f>IF(Observaciones!$F29&gt;0.05*Constantes!$D$18,((Observaciones!$F29-0.05*Constantes!$D$18)^2)/(Observaciones!$F29+0.95*Constantes!$D$18),0)</f>
        <v>0</v>
      </c>
      <c r="G30" s="76">
        <f>MAX(0,H29+Observaciones!$F29-F30-Constantes!$D$13)</f>
        <v>0</v>
      </c>
      <c r="H30" s="76">
        <f>H29+Observaciones!$F29-F30-E30-G30-I29</f>
        <v>44.762488829647438</v>
      </c>
      <c r="I30" s="76">
        <f>MAX(0,(H30-Constantes!$D$14)*(1-EXP(-Constantes!$D$22)))</f>
        <v>1.1415583964028964</v>
      </c>
      <c r="J30" s="76">
        <f t="shared" si="0"/>
        <v>95.847020525766467</v>
      </c>
      <c r="K30" s="76">
        <f>MAX(0,(J30-Constantes!$D$13)*(1-EXP(-Constantes!$D$23)))</f>
        <v>0.46405816087670315</v>
      </c>
      <c r="L30" s="76">
        <f t="shared" si="1"/>
        <v>1.6056165572795995</v>
      </c>
      <c r="M30" s="76">
        <f>0.0526*F30*Observaciones!$F29^1.218</f>
        <v>0</v>
      </c>
      <c r="N30" s="76">
        <f>M30*Constantes!$D$51</f>
        <v>0</v>
      </c>
      <c r="O30" s="76">
        <f t="shared" si="2"/>
        <v>0</v>
      </c>
      <c r="P30" s="15"/>
      <c r="Q30" s="75">
        <v>24</v>
      </c>
      <c r="R30" s="76">
        <f>0.0526*Observaciones!$F29^2.218</f>
        <v>0.36668595716871932</v>
      </c>
      <c r="S30" s="76">
        <f>IF(Observaciones!$F29&gt;0.05*$W$7,((Observaciones!$F29-0.05*$W$7)^2)/(Observaciones!$F29+0.95*$W$7),0)</f>
        <v>1.2646160328663239E-2</v>
      </c>
      <c r="T30" s="76">
        <f>0.0526*S30*Observaciones!$F29^1.218</f>
        <v>1.9321539185937356E-3</v>
      </c>
      <c r="U30" s="29"/>
      <c r="V30" s="29"/>
      <c r="W30" s="109"/>
      <c r="X30" s="40"/>
    </row>
    <row r="31" spans="2:24" s="2" customFormat="1">
      <c r="B31" s="39"/>
      <c r="C31" s="75">
        <v>25</v>
      </c>
      <c r="D31" s="146">
        <f>ETo!$I30*((1-Constantes!$D$19)*ETo!$K30+ETo!$L30)</f>
        <v>4.2094228082688856</v>
      </c>
      <c r="E31" s="76">
        <f>MIN(D31*Constantes!$D$17,0.8*(H30+Observaciones!$F30-F31-G31-Constantes!$D$14))</f>
        <v>2.1463171365941758</v>
      </c>
      <c r="F31" s="76">
        <f>IF(Observaciones!$F30&gt;0.05*Constantes!$D$18,((Observaciones!$F30-0.05*Constantes!$D$18)^2)/(Observaciones!$F30+0.95*Constantes!$D$18),0)</f>
        <v>0</v>
      </c>
      <c r="G31" s="76">
        <f>MAX(0,H30+Observaciones!$F30-F31-Constantes!$D$13)</f>
        <v>0</v>
      </c>
      <c r="H31" s="76">
        <f>H30+Observaciones!$F30-F31-E31-G31-I30</f>
        <v>41.474613296650361</v>
      </c>
      <c r="I31" s="76">
        <f>MAX(0,(H31-Constantes!$D$14)*(1-EXP(-Constantes!$D$22)))</f>
        <v>1.029561285710836</v>
      </c>
      <c r="J31" s="76">
        <f t="shared" si="0"/>
        <v>95.382962364889764</v>
      </c>
      <c r="K31" s="76">
        <f>MAX(0,(J31-Constantes!$D$13)*(1-EXP(-Constantes!$D$23)))</f>
        <v>0.45948568528754247</v>
      </c>
      <c r="L31" s="76">
        <f t="shared" si="1"/>
        <v>1.4890469709983785</v>
      </c>
      <c r="M31" s="76">
        <f>0.0526*F31*Observaciones!$F30^1.218</f>
        <v>0</v>
      </c>
      <c r="N31" s="76">
        <f>M31*Constantes!$D$51</f>
        <v>0</v>
      </c>
      <c r="O31" s="76">
        <f t="shared" si="2"/>
        <v>0</v>
      </c>
      <c r="P31" s="15"/>
      <c r="Q31" s="75">
        <v>25</v>
      </c>
      <c r="R31" s="76">
        <f>0.0526*Observaciones!$F30^2.218</f>
        <v>0</v>
      </c>
      <c r="S31" s="76">
        <f>IF(Observaciones!$F30&gt;0.05*$W$7,((Observaciones!$F30-0.05*$W$7)^2)/(Observaciones!$F30+0.95*$W$7),0)</f>
        <v>0</v>
      </c>
      <c r="T31" s="76">
        <f>0.0526*S31*Observaciones!$F30^1.218</f>
        <v>0</v>
      </c>
      <c r="U31" s="29"/>
      <c r="V31" s="29"/>
      <c r="W31" s="109"/>
      <c r="X31" s="40"/>
    </row>
    <row r="32" spans="2:24" s="2" customFormat="1">
      <c r="B32" s="39"/>
      <c r="C32" s="75">
        <v>26</v>
      </c>
      <c r="D32" s="146">
        <f>ETo!$I31*((1-Constantes!$D$19)*ETo!$K31+ETo!$L31)</f>
        <v>4.2126290364780026</v>
      </c>
      <c r="E32" s="76">
        <f>MIN(D32*Constantes!$D$17,0.8*(H31+Observaciones!$F31-F32-G32-Constantes!$D$14))</f>
        <v>2.1479519409040542</v>
      </c>
      <c r="F32" s="76">
        <f>IF(Observaciones!$F31&gt;0.05*Constantes!$D$18,((Observaciones!$F31-0.05*Constantes!$D$18)^2)/(Observaciones!$F31+0.95*Constantes!$D$18),0)</f>
        <v>1.7212086257149396E-3</v>
      </c>
      <c r="G32" s="76">
        <f>MAX(0,H31+Observaciones!$F31-F32-Constantes!$D$13)</f>
        <v>0</v>
      </c>
      <c r="H32" s="76">
        <f>H31+Observaciones!$F31-F32-E32-G32-I31</f>
        <v>42.295378861409752</v>
      </c>
      <c r="I32" s="76">
        <f>MAX(0,(H32-Constantes!$D$14)*(1-EXP(-Constantes!$D$22)))</f>
        <v>1.0575195739386132</v>
      </c>
      <c r="J32" s="76">
        <f t="shared" si="0"/>
        <v>94.923476679602217</v>
      </c>
      <c r="K32" s="76">
        <f>MAX(0,(J32-Constantes!$D$13)*(1-EXP(-Constantes!$D$23)))</f>
        <v>0.45495826338944051</v>
      </c>
      <c r="L32" s="76">
        <f t="shared" si="1"/>
        <v>1.5141990459537686</v>
      </c>
      <c r="M32" s="76">
        <f>0.0526*F32*Observaciones!$F31^1.218</f>
        <v>4.8992356297688198E-4</v>
      </c>
      <c r="N32" s="76">
        <f>M32*Constantes!$D$51</f>
        <v>6.8882745780803645E-6</v>
      </c>
      <c r="O32" s="76">
        <f t="shared" si="2"/>
        <v>0.45491209339268568</v>
      </c>
      <c r="P32" s="15"/>
      <c r="Q32" s="75">
        <v>26</v>
      </c>
      <c r="R32" s="76">
        <f>0.0526*Observaciones!$F31^2.218</f>
        <v>1.1385570712519109</v>
      </c>
      <c r="S32" s="76">
        <f>IF(Observaciones!$F31&gt;0.05*$W$7,((Observaciones!$F31-0.05*$W$7)^2)/(Observaciones!$F31+0.95*$W$7),0)</f>
        <v>0.13940420338375761</v>
      </c>
      <c r="T32" s="76">
        <f>0.0526*S32*Observaciones!$F31^1.218</f>
        <v>3.9679910381204199E-2</v>
      </c>
      <c r="U32" s="29"/>
      <c r="V32" s="29"/>
      <c r="W32" s="109"/>
      <c r="X32" s="40"/>
    </row>
    <row r="33" spans="2:24" s="2" customFormat="1">
      <c r="B33" s="39"/>
      <c r="C33" s="75">
        <v>27</v>
      </c>
      <c r="D33" s="146">
        <f>ETo!$I32*((1-Constantes!$D$19)*ETo!$K32+ETo!$L32)</f>
        <v>4.2597583959558296</v>
      </c>
      <c r="E33" s="76">
        <f>MIN(D33*Constantes!$D$17,0.8*(H32+Observaciones!$F32-F33-G33-Constantes!$D$14))</f>
        <v>2.1719824449639606</v>
      </c>
      <c r="F33" s="76">
        <f>IF(Observaciones!$F32&gt;0.05*Constantes!$D$18,((Observaciones!$F32-0.05*Constantes!$D$18)^2)/(Observaciones!$F32+0.95*Constantes!$D$18),0)</f>
        <v>0</v>
      </c>
      <c r="G33" s="76">
        <f>MAX(0,H32+Observaciones!$F32-F33-Constantes!$D$13)</f>
        <v>0</v>
      </c>
      <c r="H33" s="76">
        <f>H32+Observaciones!$F32-F33-E33-G33-I32</f>
        <v>39.165876842507181</v>
      </c>
      <c r="I33" s="76">
        <f>MAX(0,(H33-Constantes!$D$14)*(1-EXP(-Constantes!$D$22)))</f>
        <v>0.95091724653768439</v>
      </c>
      <c r="J33" s="76">
        <f t="shared" si="0"/>
        <v>94.468518416212774</v>
      </c>
      <c r="K33" s="76">
        <f>MAX(0,(J33-Constantes!$D$13)*(1-EXP(-Constantes!$D$23)))</f>
        <v>0.45047545125764848</v>
      </c>
      <c r="L33" s="76">
        <f t="shared" si="1"/>
        <v>1.4013926977953328</v>
      </c>
      <c r="M33" s="76">
        <f>0.0526*F33*Observaciones!$F32^1.218</f>
        <v>0</v>
      </c>
      <c r="N33" s="76">
        <f>M33*Constantes!$D$51</f>
        <v>0</v>
      </c>
      <c r="O33" s="76">
        <f t="shared" si="2"/>
        <v>0</v>
      </c>
      <c r="P33" s="15"/>
      <c r="Q33" s="75">
        <v>27</v>
      </c>
      <c r="R33" s="76">
        <f>0.0526*Observaciones!$F32^2.218</f>
        <v>3.1840930012055863E-4</v>
      </c>
      <c r="S33" s="76">
        <f>IF(Observaciones!$F32&gt;0.05*$W$7,((Observaciones!$F32-0.05*$W$7)^2)/(Observaciones!$F32+0.95*$W$7),0)</f>
        <v>0</v>
      </c>
      <c r="T33" s="76">
        <f>0.0526*S33*Observaciones!$F32^1.218</f>
        <v>0</v>
      </c>
      <c r="U33" s="29"/>
      <c r="V33" s="29"/>
      <c r="W33" s="109"/>
      <c r="X33" s="40"/>
    </row>
    <row r="34" spans="2:24" s="2" customFormat="1">
      <c r="B34" s="39"/>
      <c r="C34" s="75">
        <v>28</v>
      </c>
      <c r="D34" s="146">
        <f>ETo!$I33*((1-Constantes!$D$19)*ETo!$K33+ETo!$L33)</f>
        <v>4.2230971005749174</v>
      </c>
      <c r="E34" s="76">
        <f>MIN(D34*Constantes!$D$17,0.8*(H33+Observaciones!$F33-F34-G34-Constantes!$D$14))</f>
        <v>2.1532894387942734</v>
      </c>
      <c r="F34" s="76">
        <f>IF(Observaciones!$F33&gt;0.05*Constantes!$D$18,((Observaciones!$F33-0.05*Constantes!$D$18)^2)/(Observaciones!$F33+0.95*Constantes!$D$18),0)</f>
        <v>0</v>
      </c>
      <c r="G34" s="76">
        <f>MAX(0,H33+Observaciones!$F33-F34-Constantes!$D$13)</f>
        <v>0</v>
      </c>
      <c r="H34" s="76">
        <f>H33+Observaciones!$F33-F34-E34-G34-I33</f>
        <v>36.061670157175222</v>
      </c>
      <c r="I34" s="76">
        <f>MAX(0,(H34-Constantes!$D$14)*(1-EXP(-Constantes!$D$22)))</f>
        <v>0.84517657105924127</v>
      </c>
      <c r="J34" s="76">
        <f t="shared" si="0"/>
        <v>94.018042964955129</v>
      </c>
      <c r="K34" s="76">
        <f>MAX(0,(J34-Constantes!$D$13)*(1-EXP(-Constantes!$D$23)))</f>
        <v>0.44603680934151374</v>
      </c>
      <c r="L34" s="76">
        <f t="shared" si="1"/>
        <v>1.2912133804007551</v>
      </c>
      <c r="M34" s="76">
        <f>0.0526*F34*Observaciones!$F33^1.218</f>
        <v>0</v>
      </c>
      <c r="N34" s="76">
        <f>M34*Constantes!$D$51</f>
        <v>0</v>
      </c>
      <c r="O34" s="76">
        <f t="shared" si="2"/>
        <v>0</v>
      </c>
      <c r="P34" s="15"/>
      <c r="Q34" s="75">
        <v>28</v>
      </c>
      <c r="R34" s="76">
        <f>0.0526*Observaciones!$F33^2.218</f>
        <v>0</v>
      </c>
      <c r="S34" s="76">
        <f>IF(Observaciones!$F33&gt;0.05*$W$7,((Observaciones!$F33-0.05*$W$7)^2)/(Observaciones!$F33+0.95*$W$7),0)</f>
        <v>0</v>
      </c>
      <c r="T34" s="76">
        <f>0.0526*S34*Observaciones!$F33^1.218</f>
        <v>0</v>
      </c>
      <c r="U34" s="29"/>
      <c r="V34" s="29"/>
      <c r="W34" s="109"/>
      <c r="X34" s="40"/>
    </row>
    <row r="35" spans="2:24" s="2" customFormat="1">
      <c r="B35" s="39"/>
      <c r="C35" s="75">
        <v>29</v>
      </c>
      <c r="D35" s="146">
        <f>ETo!$I34*((1-Constantes!$D$19)*ETo!$K34+ETo!$L34)</f>
        <v>4.0278653439015057</v>
      </c>
      <c r="E35" s="76">
        <f>MIN(D35*Constantes!$D$17,0.8*(H34+Observaciones!$F34-F35-G35-Constantes!$D$14))</f>
        <v>2.0537438991700765</v>
      </c>
      <c r="F35" s="76">
        <f>IF(Observaciones!$F34&gt;0.05*Constantes!$D$18,((Observaciones!$F34-0.05*Constantes!$D$18)^2)/(Observaciones!$F34+0.95*Constantes!$D$18),0)</f>
        <v>0</v>
      </c>
      <c r="G35" s="76">
        <f>MAX(0,H34+Observaciones!$F34-F35-Constantes!$D$13)</f>
        <v>0</v>
      </c>
      <c r="H35" s="76">
        <f>H34+Observaciones!$F34-F35-E35-G35-I34</f>
        <v>34.862749686945904</v>
      </c>
      <c r="I35" s="76">
        <f>MAX(0,(H35-Constantes!$D$14)*(1-EXP(-Constantes!$D$22)))</f>
        <v>0.80433693851608035</v>
      </c>
      <c r="J35" s="76">
        <f t="shared" si="0"/>
        <v>93.572006155613622</v>
      </c>
      <c r="K35" s="76">
        <f>MAX(0,(J35-Constantes!$D$13)*(1-EXP(-Constantes!$D$23)))</f>
        <v>0.44164190242138085</v>
      </c>
      <c r="L35" s="76">
        <f t="shared" si="1"/>
        <v>1.2459788409374613</v>
      </c>
      <c r="M35" s="76">
        <f>0.0526*F35*Observaciones!$F34^1.218</f>
        <v>0</v>
      </c>
      <c r="N35" s="76">
        <f>M35*Constantes!$D$51</f>
        <v>0</v>
      </c>
      <c r="O35" s="76">
        <f t="shared" si="2"/>
        <v>0</v>
      </c>
      <c r="P35" s="15"/>
      <c r="Q35" s="75">
        <v>29</v>
      </c>
      <c r="R35" s="76">
        <f>0.0526*Observaciones!$F34^2.218</f>
        <v>0.17065595668433275</v>
      </c>
      <c r="S35" s="76">
        <f>IF(Observaciones!$F34&gt;0.05*$W$7,((Observaciones!$F34-0.05*$W$7)^2)/(Observaciones!$F34+0.95*$W$7),0)</f>
        <v>0</v>
      </c>
      <c r="T35" s="76">
        <f>0.0526*S35*Observaciones!$F34^1.218</f>
        <v>0</v>
      </c>
      <c r="U35" s="29"/>
      <c r="V35" s="29"/>
      <c r="W35" s="109"/>
      <c r="X35" s="40"/>
    </row>
    <row r="36" spans="2:24" s="2" customFormat="1">
      <c r="B36" s="39"/>
      <c r="C36" s="75">
        <v>30</v>
      </c>
      <c r="D36" s="146">
        <f>ETo!$I35*((1-Constantes!$D$19)*ETo!$K35+ETo!$L35)</f>
        <v>4.2022632056480216</v>
      </c>
      <c r="E36" s="76">
        <f>MIN(D36*Constantes!$D$17,0.8*(H35+Observaciones!$F35-F36-G36-Constantes!$D$14))</f>
        <v>2.1426665701159928</v>
      </c>
      <c r="F36" s="76">
        <f>IF(Observaciones!$F35&gt;0.05*Constantes!$D$18,((Observaciones!$F35-0.05*Constantes!$D$18)^2)/(Observaciones!$F35+0.95*Constantes!$D$18),0)</f>
        <v>3.2480515752512616E-2</v>
      </c>
      <c r="G36" s="76">
        <f>MAX(0,H35+Observaciones!$F35-F36-Constantes!$D$13)</f>
        <v>0</v>
      </c>
      <c r="H36" s="76">
        <f>H35+Observaciones!$F35-F36-E36-G36-I35</f>
        <v>37.083265662561324</v>
      </c>
      <c r="I36" s="76">
        <f>MAX(0,(H36-Constantes!$D$14)*(1-EXP(-Constantes!$D$22)))</f>
        <v>0.87997586432656949</v>
      </c>
      <c r="J36" s="76">
        <f t="shared" si="0"/>
        <v>93.130364253192241</v>
      </c>
      <c r="K36" s="76">
        <f>MAX(0,(J36-Constantes!$D$13)*(1-EXP(-Constantes!$D$23)))</f>
        <v>0.43729029956591725</v>
      </c>
      <c r="L36" s="76">
        <f t="shared" si="1"/>
        <v>1.3497466796449995</v>
      </c>
      <c r="M36" s="76">
        <f>0.0526*F36*Observaciones!$F35^1.218</f>
        <v>1.2726258291598944E-2</v>
      </c>
      <c r="N36" s="76">
        <f>M36*Constantes!$D$51</f>
        <v>1.7892987414496321E-4</v>
      </c>
      <c r="O36" s="76">
        <f t="shared" si="2"/>
        <v>13.256552273351325</v>
      </c>
      <c r="P36" s="15"/>
      <c r="Q36" s="75">
        <v>30</v>
      </c>
      <c r="R36" s="76">
        <f>0.0526*Observaciones!$F35^2.218</f>
        <v>2.0374227928075692</v>
      </c>
      <c r="S36" s="76">
        <f>IF(Observaciones!$F35&gt;0.05*$W$7,((Observaciones!$F35-0.05*$W$7)^2)/(Observaciones!$F35+0.95*$W$7),0)</f>
        <v>0.31566536171689474</v>
      </c>
      <c r="T36" s="76">
        <f>0.0526*S36*Observaciones!$F35^1.218</f>
        <v>0.12368150055035526</v>
      </c>
      <c r="U36" s="29"/>
      <c r="V36" s="29"/>
      <c r="W36" s="109"/>
      <c r="X36" s="40"/>
    </row>
    <row r="37" spans="2:24" s="2" customFormat="1">
      <c r="B37" s="39"/>
      <c r="C37" s="75">
        <v>31</v>
      </c>
      <c r="D37" s="146">
        <f>ETo!$I36*((1-Constantes!$D$19)*ETo!$K36+ETo!$L36)</f>
        <v>4.1608759988889137</v>
      </c>
      <c r="E37" s="76">
        <f>MIN(D37*Constantes!$D$17,0.8*(H36+Observaciones!$F36-F37-G37-Constantes!$D$14))</f>
        <v>2.1215638975765785</v>
      </c>
      <c r="F37" s="76">
        <f>IF(Observaciones!$F36&gt;0.05*Constantes!$D$18,((Observaciones!$F36-0.05*Constantes!$D$18)^2)/(Observaciones!$F36+0.95*Constantes!$D$18),0)</f>
        <v>0</v>
      </c>
      <c r="G37" s="76">
        <f>MAX(0,H36+Observaciones!$F36-F37-Constantes!$D$13)</f>
        <v>0</v>
      </c>
      <c r="H37" s="76">
        <f>H36+Observaciones!$F36-F37-E37-G37-I36</f>
        <v>37.181725900658179</v>
      </c>
      <c r="I37" s="76">
        <f>MAX(0,(H37-Constantes!$D$14)*(1-EXP(-Constantes!$D$22)))</f>
        <v>0.88332978149108221</v>
      </c>
      <c r="J37" s="76">
        <f t="shared" si="0"/>
        <v>92.693073953626325</v>
      </c>
      <c r="K37" s="76">
        <f>MAX(0,(J37-Constantes!$D$13)*(1-EXP(-Constantes!$D$23)))</f>
        <v>0.43298157408985954</v>
      </c>
      <c r="L37" s="76">
        <f t="shared" si="1"/>
        <v>1.3163113555809418</v>
      </c>
      <c r="M37" s="76">
        <f>0.0526*F37*Observaciones!$F36^1.218</f>
        <v>0</v>
      </c>
      <c r="N37" s="76">
        <f>M37*Constantes!$D$51</f>
        <v>0</v>
      </c>
      <c r="O37" s="76">
        <f t="shared" si="2"/>
        <v>0</v>
      </c>
      <c r="P37" s="15"/>
      <c r="Q37" s="75">
        <v>31</v>
      </c>
      <c r="R37" s="76">
        <f>0.0526*Observaciones!$F36^2.218</f>
        <v>0.64688336193366625</v>
      </c>
      <c r="S37" s="76">
        <f>IF(Observaciones!$F36&gt;0.05*$W$7,((Observaciones!$F36-0.05*$W$7)^2)/(Observaciones!$F36+0.95*$W$7),0)</f>
        <v>5.1991254547749992E-2</v>
      </c>
      <c r="T37" s="76">
        <f>0.0526*S37*Observaciones!$F36^1.218</f>
        <v>1.0849121784837911E-2</v>
      </c>
      <c r="U37" s="29"/>
      <c r="V37" s="29"/>
      <c r="W37" s="109"/>
      <c r="X37" s="40"/>
    </row>
    <row r="38" spans="2:24" s="2" customFormat="1">
      <c r="B38" s="39"/>
      <c r="C38" s="75">
        <v>32</v>
      </c>
      <c r="D38" s="146">
        <f>ETo!$I37*((1-Constantes!$D$19)*ETo!$K37+ETo!$L37)</f>
        <v>4.2336692829590499</v>
      </c>
      <c r="E38" s="76">
        <f>MIN(D38*Constantes!$D$17,0.8*(H37+Observaciones!$F37-F38-G38-Constantes!$D$14))</f>
        <v>2.1586800249282412</v>
      </c>
      <c r="F38" s="76">
        <f>IF(Observaciones!$F37&gt;0.05*Constantes!$D$18,((Observaciones!$F37-0.05*Constantes!$D$18)^2)/(Observaciones!$F37+0.95*Constantes!$D$18),0)</f>
        <v>0</v>
      </c>
      <c r="G38" s="76">
        <f>MAX(0,H37+Observaciones!$F37-F38-Constantes!$D$13)</f>
        <v>0</v>
      </c>
      <c r="H38" s="76">
        <f>H37+Observaciones!$F37-F38-E38-G38-I37</f>
        <v>35.539716094238855</v>
      </c>
      <c r="I38" s="76">
        <f>MAX(0,(H38-Constantes!$D$14)*(1-EXP(-Constantes!$D$22)))</f>
        <v>0.82739689954303641</v>
      </c>
      <c r="J38" s="76">
        <f t="shared" si="0"/>
        <v>92.260092379536459</v>
      </c>
      <c r="K38" s="76">
        <f>MAX(0,(J38-Constantes!$D$13)*(1-EXP(-Constantes!$D$23)))</f>
        <v>0.42871530351217585</v>
      </c>
      <c r="L38" s="76">
        <f t="shared" si="1"/>
        <v>1.2561122030552123</v>
      </c>
      <c r="M38" s="76">
        <f>0.0526*F38*Observaciones!$F37^1.218</f>
        <v>0</v>
      </c>
      <c r="N38" s="76">
        <f>M38*Constantes!$D$51</f>
        <v>0</v>
      </c>
      <c r="O38" s="76">
        <f t="shared" si="2"/>
        <v>0</v>
      </c>
      <c r="P38" s="15"/>
      <c r="Q38" s="75">
        <v>32</v>
      </c>
      <c r="R38" s="76">
        <f>0.0526*Observaciones!$F37^2.218</f>
        <v>0.11094244358496377</v>
      </c>
      <c r="S38" s="76">
        <f>IF(Observaciones!$F37&gt;0.05*$W$7,((Observaciones!$F37-0.05*$W$7)^2)/(Observaciones!$F37+0.95*$W$7),0)</f>
        <v>0</v>
      </c>
      <c r="T38" s="76">
        <f>0.0526*S38*Observaciones!$F37^1.218</f>
        <v>0</v>
      </c>
      <c r="U38" s="29"/>
      <c r="V38" s="29"/>
      <c r="W38" s="109"/>
      <c r="X38" s="40"/>
    </row>
    <row r="39" spans="2:24" s="2" customFormat="1">
      <c r="B39" s="39"/>
      <c r="C39" s="75">
        <v>33</v>
      </c>
      <c r="D39" s="146">
        <f>ETo!$I38*((1-Constantes!$D$19)*ETo!$K38+ETo!$L38)</f>
        <v>4.3326621722800782</v>
      </c>
      <c r="E39" s="76">
        <f>MIN(D39*Constantes!$D$17,0.8*(H38+Observaciones!$F38-F39-G39-Constantes!$D$14))</f>
        <v>2.2091549105428014</v>
      </c>
      <c r="F39" s="76">
        <f>IF(Observaciones!$F38&gt;0.05*Constantes!$D$18,((Observaciones!$F38-0.05*Constantes!$D$18)^2)/(Observaciones!$F38+0.95*Constantes!$D$18),0)</f>
        <v>0</v>
      </c>
      <c r="G39" s="76">
        <f>MAX(0,H38+Observaciones!$F38-F39-Constantes!$D$13)</f>
        <v>0</v>
      </c>
      <c r="H39" s="76">
        <f>H38+Observaciones!$F38-F39-E39-G39-I38</f>
        <v>34.703164284153019</v>
      </c>
      <c r="I39" s="76">
        <f>MAX(0,(H39-Constantes!$D$14)*(1-EXP(-Constantes!$D$22)))</f>
        <v>0.79890087384694741</v>
      </c>
      <c r="J39" s="76">
        <f t="shared" si="0"/>
        <v>91.831377076024282</v>
      </c>
      <c r="K39" s="76">
        <f>MAX(0,(J39-Constantes!$D$13)*(1-EXP(-Constantes!$D$23)))</f>
        <v>0.42449106951464061</v>
      </c>
      <c r="L39" s="76">
        <f t="shared" si="1"/>
        <v>1.2233919433615881</v>
      </c>
      <c r="M39" s="76">
        <f>0.0526*F39*Observaciones!$F38^1.218</f>
        <v>0</v>
      </c>
      <c r="N39" s="76">
        <f>M39*Constantes!$D$51</f>
        <v>0</v>
      </c>
      <c r="O39" s="76">
        <f t="shared" si="2"/>
        <v>0</v>
      </c>
      <c r="P39" s="15"/>
      <c r="Q39" s="75">
        <v>33</v>
      </c>
      <c r="R39" s="76">
        <f>0.0526*Observaciones!$F38^2.218</f>
        <v>0.30232861200727251</v>
      </c>
      <c r="S39" s="76">
        <f>IF(Observaciones!$F38&gt;0.05*$W$7,((Observaciones!$F38-0.05*$W$7)^2)/(Observaciones!$F38+0.95*$W$7),0)</f>
        <v>6.2440408225724973E-3</v>
      </c>
      <c r="T39" s="76">
        <f>0.0526*S39*Observaciones!$F38^1.218</f>
        <v>8.5806917963867778E-4</v>
      </c>
      <c r="U39" s="29"/>
      <c r="V39" s="29"/>
      <c r="W39" s="109"/>
      <c r="X39" s="40"/>
    </row>
    <row r="40" spans="2:24" s="2" customFormat="1">
      <c r="B40" s="39"/>
      <c r="C40" s="75">
        <v>34</v>
      </c>
      <c r="D40" s="146">
        <f>ETo!$I39*((1-Constantes!$D$19)*ETo!$K39+ETo!$L39)</f>
        <v>4.3919268323791956</v>
      </c>
      <c r="E40" s="76">
        <f>MIN(D40*Constantes!$D$17,0.8*(H39+Observaciones!$F39-F40-G40-Constantes!$D$14))</f>
        <v>2.2393730096406861</v>
      </c>
      <c r="F40" s="76">
        <f>IF(Observaciones!$F39&gt;0.05*Constantes!$D$18,((Observaciones!$F39-0.05*Constantes!$D$18)^2)/(Observaciones!$F39+0.95*Constantes!$D$18),0)</f>
        <v>0</v>
      </c>
      <c r="G40" s="76">
        <f>MAX(0,H39+Observaciones!$F39-F40-Constantes!$D$13)</f>
        <v>0</v>
      </c>
      <c r="H40" s="76">
        <f>H39+Observaciones!$F39-F40-E40-G40-I39</f>
        <v>31.664890400665385</v>
      </c>
      <c r="I40" s="76">
        <f>MAX(0,(H40-Constantes!$D$14)*(1-EXP(-Constantes!$D$22)))</f>
        <v>0.69540611164359267</v>
      </c>
      <c r="J40" s="76">
        <f t="shared" si="0"/>
        <v>91.406886006509637</v>
      </c>
      <c r="K40" s="76">
        <f>MAX(0,(J40-Constantes!$D$13)*(1-EXP(-Constantes!$D$23)))</f>
        <v>0.42030845790081717</v>
      </c>
      <c r="L40" s="76">
        <f t="shared" si="1"/>
        <v>1.11571456954441</v>
      </c>
      <c r="M40" s="76">
        <f>0.0526*F40*Observaciones!$F39^1.218</f>
        <v>0</v>
      </c>
      <c r="N40" s="76">
        <f>M40*Constantes!$D$51</f>
        <v>0</v>
      </c>
      <c r="O40" s="76">
        <f t="shared" si="2"/>
        <v>0</v>
      </c>
      <c r="P40" s="15"/>
      <c r="Q40" s="75">
        <v>34</v>
      </c>
      <c r="R40" s="76">
        <f>0.0526*Observaciones!$F39^2.218</f>
        <v>0</v>
      </c>
      <c r="S40" s="76">
        <f>IF(Observaciones!$F39&gt;0.05*$W$7,((Observaciones!$F39-0.05*$W$7)^2)/(Observaciones!$F39+0.95*$W$7),0)</f>
        <v>0</v>
      </c>
      <c r="T40" s="76">
        <f>0.0526*S40*Observaciones!$F39^1.218</f>
        <v>0</v>
      </c>
      <c r="U40" s="29"/>
      <c r="V40" s="29"/>
      <c r="W40" s="109"/>
      <c r="X40" s="40"/>
    </row>
    <row r="41" spans="2:24" s="2" customFormat="1">
      <c r="B41" s="39"/>
      <c r="C41" s="75">
        <v>35</v>
      </c>
      <c r="D41" s="146">
        <f>ETo!$I40*((1-Constantes!$D$19)*ETo!$K40+ETo!$L40)</f>
        <v>4.2532182225287558</v>
      </c>
      <c r="E41" s="76">
        <f>MIN(D41*Constantes!$D$17,0.8*(H40+Observaciones!$F40-F41-G41-Constantes!$D$14))</f>
        <v>2.1686477154910144</v>
      </c>
      <c r="F41" s="76">
        <f>IF(Observaciones!$F40&gt;0.05*Constantes!$D$18,((Observaciones!$F40-0.05*Constantes!$D$18)^2)/(Observaciones!$F40+0.95*Constantes!$D$18),0)</f>
        <v>0</v>
      </c>
      <c r="G41" s="76">
        <f>MAX(0,H40+Observaciones!$F40-F41-Constantes!$D$13)</f>
        <v>0</v>
      </c>
      <c r="H41" s="76">
        <f>H40+Observaciones!$F40-F41-E41-G41-I40</f>
        <v>32.100836573530778</v>
      </c>
      <c r="I41" s="76">
        <f>MAX(0,(H41-Constantes!$D$14)*(1-EXP(-Constantes!$D$22)))</f>
        <v>0.71025603868255183</v>
      </c>
      <c r="J41" s="76">
        <f t="shared" si="0"/>
        <v>90.986577548608821</v>
      </c>
      <c r="K41" s="76">
        <f>MAX(0,(J41-Constantes!$D$13)*(1-EXP(-Constantes!$D$23)))</f>
        <v>0.41616705855544528</v>
      </c>
      <c r="L41" s="76">
        <f t="shared" si="1"/>
        <v>1.1264230972379972</v>
      </c>
      <c r="M41" s="76">
        <f>0.0526*F41*Observaciones!$F40^1.218</f>
        <v>0</v>
      </c>
      <c r="N41" s="76">
        <f>M41*Constantes!$D$51</f>
        <v>0</v>
      </c>
      <c r="O41" s="76">
        <f t="shared" si="2"/>
        <v>0</v>
      </c>
      <c r="P41" s="15"/>
      <c r="Q41" s="75">
        <v>35</v>
      </c>
      <c r="R41" s="76">
        <f>0.0526*Observaciones!$F40^2.218</f>
        <v>0.74310410909583668</v>
      </c>
      <c r="S41" s="76">
        <f>IF(Observaciones!$F40&gt;0.05*$W$7,((Observaciones!$F40-0.05*$W$7)^2)/(Observaciones!$F40+0.95*$W$7),0)</f>
        <v>6.7925012840267113E-2</v>
      </c>
      <c r="T41" s="76">
        <f>0.0526*S41*Observaciones!$F40^1.218</f>
        <v>1.529556247029999E-2</v>
      </c>
      <c r="U41" s="29"/>
      <c r="V41" s="29"/>
      <c r="W41" s="109"/>
      <c r="X41" s="40"/>
    </row>
    <row r="42" spans="2:24" s="2" customFormat="1">
      <c r="B42" s="39"/>
      <c r="C42" s="75">
        <v>36</v>
      </c>
      <c r="D42" s="146">
        <f>ETo!$I41*((1-Constantes!$D$19)*ETo!$K41+ETo!$L41)</f>
        <v>4.4219422425903252</v>
      </c>
      <c r="E42" s="76">
        <f>MIN(D42*Constantes!$D$17,0.8*(H41+Observaciones!$F41-F42-G42-Constantes!$D$14))</f>
        <v>2.2546773856162954</v>
      </c>
      <c r="F42" s="76">
        <f>IF(Observaciones!$F41&gt;0.05*Constantes!$D$18,((Observaciones!$F41-0.05*Constantes!$D$18)^2)/(Observaciones!$F41+0.95*Constantes!$D$18),0)</f>
        <v>0</v>
      </c>
      <c r="G42" s="76">
        <f>MAX(0,H41+Observaciones!$F41-F42-Constantes!$D$13)</f>
        <v>0</v>
      </c>
      <c r="H42" s="76">
        <f>H41+Observaciones!$F41-F42-E42-G42-I41</f>
        <v>29.135903149231929</v>
      </c>
      <c r="I42" s="76">
        <f>MAX(0,(H42-Constantes!$D$14)*(1-EXP(-Constantes!$D$22)))</f>
        <v>0.60925952175750464</v>
      </c>
      <c r="J42" s="76">
        <f t="shared" si="0"/>
        <v>90.570410490053376</v>
      </c>
      <c r="K42" s="76">
        <f>MAX(0,(J42-Constantes!$D$13)*(1-EXP(-Constantes!$D$23)))</f>
        <v>0.41206646540422781</v>
      </c>
      <c r="L42" s="76">
        <f t="shared" si="1"/>
        <v>1.0213259871617324</v>
      </c>
      <c r="M42" s="76">
        <f>0.0526*F42*Observaciones!$F41^1.218</f>
        <v>0</v>
      </c>
      <c r="N42" s="76">
        <f>M42*Constantes!$D$51</f>
        <v>0</v>
      </c>
      <c r="O42" s="76">
        <f t="shared" si="2"/>
        <v>0</v>
      </c>
      <c r="P42" s="15"/>
      <c r="Q42" s="75">
        <v>36</v>
      </c>
      <c r="R42" s="76">
        <f>0.0526*Observaciones!$F41^2.218</f>
        <v>0</v>
      </c>
      <c r="S42" s="76">
        <f>IF(Observaciones!$F41&gt;0.05*$W$7,((Observaciones!$F41-0.05*$W$7)^2)/(Observaciones!$F41+0.95*$W$7),0)</f>
        <v>0</v>
      </c>
      <c r="T42" s="76">
        <f>0.0526*S42*Observaciones!$F41^1.218</f>
        <v>0</v>
      </c>
      <c r="U42" s="29"/>
      <c r="V42" s="29"/>
      <c r="W42" s="109"/>
      <c r="X42" s="40"/>
    </row>
    <row r="43" spans="2:24" s="2" customFormat="1">
      <c r="B43" s="39"/>
      <c r="C43" s="75">
        <v>37</v>
      </c>
      <c r="D43" s="146">
        <f>ETo!$I42*((1-Constantes!$D$19)*ETo!$K42+ETo!$L42)</f>
        <v>4.48508907581542</v>
      </c>
      <c r="E43" s="76">
        <f>MIN(D43*Constantes!$D$17,0.8*(H42+Observaciones!$F42-F43-G43-Constantes!$D$14))</f>
        <v>2.2868749424895172</v>
      </c>
      <c r="F43" s="76">
        <f>IF(Observaciones!$F42&gt;0.05*Constantes!$D$18,((Observaciones!$F42-0.05*Constantes!$D$18)^2)/(Observaciones!$F42+0.95*Constantes!$D$18),0)</f>
        <v>0</v>
      </c>
      <c r="G43" s="76">
        <f>MAX(0,H42+Observaciones!$F42-F43-Constantes!$D$13)</f>
        <v>0</v>
      </c>
      <c r="H43" s="76">
        <f>H42+Observaciones!$F42-F43-E43-G43-I42</f>
        <v>26.239768684984906</v>
      </c>
      <c r="I43" s="76">
        <f>MAX(0,(H43-Constantes!$D$14)*(1-EXP(-Constantes!$D$22)))</f>
        <v>0.5106065499779755</v>
      </c>
      <c r="J43" s="76">
        <f t="shared" si="0"/>
        <v>90.158344024649153</v>
      </c>
      <c r="K43" s="76">
        <f>MAX(0,(J43-Constantes!$D$13)*(1-EXP(-Constantes!$D$23)))</f>
        <v>0.40800627637401449</v>
      </c>
      <c r="L43" s="76">
        <f t="shared" si="1"/>
        <v>0.91861282635198993</v>
      </c>
      <c r="M43" s="76">
        <f>0.0526*F43*Observaciones!$F42^1.218</f>
        <v>0</v>
      </c>
      <c r="N43" s="76">
        <f>M43*Constantes!$D$51</f>
        <v>0</v>
      </c>
      <c r="O43" s="76">
        <f t="shared" si="2"/>
        <v>0</v>
      </c>
      <c r="P43" s="15"/>
      <c r="Q43" s="75">
        <v>37</v>
      </c>
      <c r="R43" s="76">
        <f>0.0526*Observaciones!$F42^2.218</f>
        <v>0</v>
      </c>
      <c r="S43" s="76">
        <f>IF(Observaciones!$F42&gt;0.05*$W$7,((Observaciones!$F42-0.05*$W$7)^2)/(Observaciones!$F42+0.95*$W$7),0)</f>
        <v>0</v>
      </c>
      <c r="T43" s="76">
        <f>0.0526*S43*Observaciones!$F42^1.218</f>
        <v>0</v>
      </c>
      <c r="U43" s="29"/>
      <c r="V43" s="29"/>
      <c r="W43" s="109"/>
      <c r="X43" s="40"/>
    </row>
    <row r="44" spans="2:24" s="2" customFormat="1">
      <c r="B44" s="39"/>
      <c r="C44" s="75">
        <v>38</v>
      </c>
      <c r="D44" s="146">
        <f>ETo!$I43*((1-Constantes!$D$19)*ETo!$K43+ETo!$L43)</f>
        <v>4.3852894620833638</v>
      </c>
      <c r="E44" s="76">
        <f>MIN(D44*Constantes!$D$17,0.8*(H43+Observaciones!$F43-F44-G44-Constantes!$D$14))</f>
        <v>2.2359887210441878</v>
      </c>
      <c r="F44" s="76">
        <f>IF(Observaciones!$F43&gt;0.05*Constantes!$D$18,((Observaciones!$F43-0.05*Constantes!$D$18)^2)/(Observaciones!$F43+0.95*Constantes!$D$18),0)</f>
        <v>1.1736395297691362</v>
      </c>
      <c r="G44" s="76">
        <f>MAX(0,H43+Observaciones!$F43-F44-Constantes!$D$13)</f>
        <v>0</v>
      </c>
      <c r="H44" s="76">
        <f>H43+Observaciones!$F43-F44-E44-G44-I43</f>
        <v>35.819533884193611</v>
      </c>
      <c r="I44" s="76">
        <f>MAX(0,(H44-Constantes!$D$14)*(1-EXP(-Constantes!$D$22)))</f>
        <v>0.83692852070103185</v>
      </c>
      <c r="J44" s="76">
        <f t="shared" si="0"/>
        <v>89.750337748275143</v>
      </c>
      <c r="K44" s="76">
        <f>MAX(0,(J44-Constantes!$D$13)*(1-EXP(-Constantes!$D$23)))</f>
        <v>0.4039860933533776</v>
      </c>
      <c r="L44" s="76">
        <f t="shared" si="1"/>
        <v>2.4145541438235458</v>
      </c>
      <c r="M44" s="76">
        <f>0.0526*F44*Observaciones!$F43^1.218</f>
        <v>1.4698296465891503</v>
      </c>
      <c r="N44" s="76">
        <f>M44*Constantes!$D$51</f>
        <v>2.0665652672816309E-2</v>
      </c>
      <c r="O44" s="76">
        <f t="shared" si="2"/>
        <v>855.87861948257648</v>
      </c>
      <c r="P44" s="15"/>
      <c r="Q44" s="75">
        <v>38</v>
      </c>
      <c r="R44" s="76">
        <f>0.0526*Observaciones!$F43^2.218</f>
        <v>16.906980146499279</v>
      </c>
      <c r="S44" s="76">
        <f>IF(Observaciones!$F43&gt;0.05*$W$7,((Observaciones!$F43-0.05*$W$7)^2)/(Observaciones!$F43+0.95*$W$7),0)</f>
        <v>2.9844081425480202</v>
      </c>
      <c r="T44" s="76">
        <f>0.0526*S44*Observaciones!$F43^1.218</f>
        <v>3.7375799418600115</v>
      </c>
      <c r="U44" s="29"/>
      <c r="V44" s="29"/>
      <c r="W44" s="109"/>
      <c r="X44" s="40"/>
    </row>
    <row r="45" spans="2:24" s="2" customFormat="1">
      <c r="B45" s="39"/>
      <c r="C45" s="75">
        <v>39</v>
      </c>
      <c r="D45" s="146">
        <f>ETo!$I44*((1-Constantes!$D$19)*ETo!$K44+ETo!$L44)</f>
        <v>4.4259892798530256</v>
      </c>
      <c r="E45" s="76">
        <f>MIN(D45*Constantes!$D$17,0.8*(H44+Observaciones!$F44-F45-G45-Constantes!$D$14))</f>
        <v>2.2567409049691878</v>
      </c>
      <c r="F45" s="76">
        <f>IF(Observaciones!$F44&gt;0.05*Constantes!$D$18,((Observaciones!$F44-0.05*Constantes!$D$18)^2)/(Observaciones!$F44+0.95*Constantes!$D$18),0)</f>
        <v>0</v>
      </c>
      <c r="G45" s="76">
        <f>MAX(0,H44+Observaciones!$F44-F45-Constantes!$D$13)</f>
        <v>0</v>
      </c>
      <c r="H45" s="76">
        <f>H44+Observaciones!$F44-F45-E45-G45-I44</f>
        <v>32.725864458523397</v>
      </c>
      <c r="I45" s="76">
        <f>MAX(0,(H45-Constantes!$D$14)*(1-EXP(-Constantes!$D$22)))</f>
        <v>0.73154678296973985</v>
      </c>
      <c r="J45" s="76">
        <f t="shared" si="0"/>
        <v>89.346351654921762</v>
      </c>
      <c r="K45" s="76">
        <f>MAX(0,(J45-Constantes!$D$13)*(1-EXP(-Constantes!$D$23)))</f>
        <v>0.40000552215357588</v>
      </c>
      <c r="L45" s="76">
        <f t="shared" si="1"/>
        <v>1.1315523051233156</v>
      </c>
      <c r="M45" s="76">
        <f>0.0526*F45*Observaciones!$F44^1.218</f>
        <v>0</v>
      </c>
      <c r="N45" s="76">
        <f>M45*Constantes!$D$51</f>
        <v>0</v>
      </c>
      <c r="O45" s="76">
        <f t="shared" si="2"/>
        <v>0</v>
      </c>
      <c r="P45" s="15"/>
      <c r="Q45" s="75">
        <v>39</v>
      </c>
      <c r="R45" s="76">
        <f>0.0526*Observaciones!$F44^2.218</f>
        <v>0</v>
      </c>
      <c r="S45" s="76">
        <f>IF(Observaciones!$F44&gt;0.05*$W$7,((Observaciones!$F44-0.05*$W$7)^2)/(Observaciones!$F44+0.95*$W$7),0)</f>
        <v>0</v>
      </c>
      <c r="T45" s="76">
        <f>0.0526*S45*Observaciones!$F44^1.218</f>
        <v>0</v>
      </c>
      <c r="U45" s="29"/>
      <c r="V45" s="29"/>
      <c r="W45" s="109"/>
      <c r="X45" s="40"/>
    </row>
    <row r="46" spans="2:24" s="2" customFormat="1">
      <c r="B46" s="39"/>
      <c r="C46" s="75">
        <v>40</v>
      </c>
      <c r="D46" s="146">
        <f>ETo!$I45*((1-Constantes!$D$19)*ETo!$K45+ETo!$L45)</f>
        <v>4.168450537636839</v>
      </c>
      <c r="E46" s="76">
        <f>MIN(D46*Constantes!$D$17,0.8*(H45+Observaciones!$F45-F46-G46-Constantes!$D$14))</f>
        <v>2.1254260333270034</v>
      </c>
      <c r="F46" s="76">
        <f>IF(Observaciones!$F45&gt;0.05*Constantes!$D$18,((Observaciones!$F45-0.05*Constantes!$D$18)^2)/(Observaciones!$F45+0.95*Constantes!$D$18),0)</f>
        <v>0</v>
      </c>
      <c r="G46" s="76">
        <f>MAX(0,H45+Observaciones!$F45-F46-Constantes!$D$13)</f>
        <v>0</v>
      </c>
      <c r="H46" s="76">
        <f>H45+Observaciones!$F45-F46-E46-G46-I45</f>
        <v>31.868891642226654</v>
      </c>
      <c r="I46" s="76">
        <f>MAX(0,(H46-Constantes!$D$14)*(1-EXP(-Constantes!$D$22)))</f>
        <v>0.70235514283505884</v>
      </c>
      <c r="J46" s="76">
        <f t="shared" si="0"/>
        <v>88.946346132768184</v>
      </c>
      <c r="K46" s="76">
        <f>MAX(0,(J46-Constantes!$D$13)*(1-EXP(-Constantes!$D$23)))</f>
        <v>0.39606417246990411</v>
      </c>
      <c r="L46" s="76">
        <f t="shared" si="1"/>
        <v>1.0984193153049628</v>
      </c>
      <c r="M46" s="76">
        <f>0.0526*F46*Observaciones!$F45^1.218</f>
        <v>0</v>
      </c>
      <c r="N46" s="76">
        <f>M46*Constantes!$D$51</f>
        <v>0</v>
      </c>
      <c r="O46" s="76">
        <f t="shared" si="2"/>
        <v>0</v>
      </c>
      <c r="P46" s="15"/>
      <c r="Q46" s="75">
        <v>40</v>
      </c>
      <c r="R46" s="76">
        <f>0.0526*Observaciones!$F45^2.218</f>
        <v>0.24472045674166781</v>
      </c>
      <c r="S46" s="76">
        <f>IF(Observaciones!$F45&gt;0.05*$W$7,((Observaciones!$F45-0.05*$W$7)^2)/(Observaciones!$F45+0.95*$W$7),0)</f>
        <v>2.0605192437462322E-3</v>
      </c>
      <c r="T46" s="76">
        <f>0.0526*S46*Observaciones!$F45^1.218</f>
        <v>2.5212560522728692E-4</v>
      </c>
      <c r="U46" s="29"/>
      <c r="V46" s="29"/>
      <c r="W46" s="109"/>
      <c r="X46" s="40"/>
    </row>
    <row r="47" spans="2:24" s="2" customFormat="1">
      <c r="B47" s="39"/>
      <c r="C47" s="75">
        <v>41</v>
      </c>
      <c r="D47" s="146">
        <f>ETo!$I46*((1-Constantes!$D$19)*ETo!$K46+ETo!$L46)</f>
        <v>4.2480995645578474</v>
      </c>
      <c r="E47" s="76">
        <f>MIN(D47*Constantes!$D$17,0.8*(H46+Observaciones!$F46-F47-G47-Constantes!$D$14))</f>
        <v>2.1660377939365096</v>
      </c>
      <c r="F47" s="76">
        <f>IF(Observaciones!$F46&gt;0.05*Constantes!$D$18,((Observaciones!$F46-0.05*Constantes!$D$18)^2)/(Observaciones!$F46+0.95*Constantes!$D$18),0)</f>
        <v>3.6199309890730915</v>
      </c>
      <c r="G47" s="76">
        <f>MAX(0,H46+Observaciones!$F46-F47-Constantes!$D$13)</f>
        <v>1.2989606531535642</v>
      </c>
      <c r="H47" s="76">
        <f>H46+Observaciones!$F46-F47-E47-G47-I46</f>
        <v>45.881607063228429</v>
      </c>
      <c r="I47" s="76">
        <f>MAX(0,(H47-Constantes!$D$14)*(1-EXP(-Constantes!$D$22)))</f>
        <v>1.1796796718058071</v>
      </c>
      <c r="J47" s="76">
        <f t="shared" si="0"/>
        <v>89.849242613451835</v>
      </c>
      <c r="K47" s="76">
        <f>MAX(0,(J47-Constantes!$D$13)*(1-EXP(-Constantes!$D$23)))</f>
        <v>0.40496062654726706</v>
      </c>
      <c r="L47" s="76">
        <f t="shared" si="1"/>
        <v>5.204571287426166</v>
      </c>
      <c r="M47" s="76">
        <f>0.0526*F47*Observaciones!$F46^1.218</f>
        <v>8.1269211202476086</v>
      </c>
      <c r="N47" s="76">
        <f>M47*Constantes!$D$51</f>
        <v>0.11426366964372266</v>
      </c>
      <c r="O47" s="76">
        <f t="shared" si="2"/>
        <v>2195.4482575687775</v>
      </c>
      <c r="P47" s="15"/>
      <c r="Q47" s="75">
        <v>41</v>
      </c>
      <c r="R47" s="76">
        <f>0.0526*Observaciones!$F46^2.218</f>
        <v>48.942060209485547</v>
      </c>
      <c r="S47" s="76">
        <f>IF(Observaciones!$F46&gt;0.05*$W$7,((Observaciones!$F46-0.05*$W$7)^2)/(Observaciones!$F46+0.95*$W$7),0)</f>
        <v>7.3619462174717709</v>
      </c>
      <c r="T47" s="76">
        <f>0.0526*S47*Observaciones!$F46^1.218</f>
        <v>16.527927295160456</v>
      </c>
      <c r="U47" s="29"/>
      <c r="V47" s="29"/>
      <c r="W47" s="109"/>
      <c r="X47" s="40"/>
    </row>
    <row r="48" spans="2:24" s="2" customFormat="1">
      <c r="B48" s="39"/>
      <c r="C48" s="75">
        <v>42</v>
      </c>
      <c r="D48" s="146">
        <f>ETo!$I47*((1-Constantes!$D$19)*ETo!$K47+ETo!$L47)</f>
        <v>4.1089194186077282</v>
      </c>
      <c r="E48" s="76">
        <f>MIN(D48*Constantes!$D$17,0.8*(H47+Observaciones!$F47-F48-G48-Constantes!$D$14))</f>
        <v>2.0950720710968813</v>
      </c>
      <c r="F48" s="76">
        <f>IF(Observaciones!$F47&gt;0.05*Constantes!$D$18,((Observaciones!$F47-0.05*Constantes!$D$18)^2)/(Observaciones!$F47+0.95*Constantes!$D$18),0)</f>
        <v>0</v>
      </c>
      <c r="G48" s="76">
        <f>MAX(0,H47+Observaciones!$F47-F48-Constantes!$D$13)</f>
        <v>0</v>
      </c>
      <c r="H48" s="76">
        <f>H47+Observaciones!$F47-F48-E48-G48-I47</f>
        <v>42.606855320325742</v>
      </c>
      <c r="I48" s="76">
        <f>MAX(0,(H48-Constantes!$D$14)*(1-EXP(-Constantes!$D$22)))</f>
        <v>1.0681296055827814</v>
      </c>
      <c r="J48" s="76">
        <f t="shared" si="0"/>
        <v>89.444281986904571</v>
      </c>
      <c r="K48" s="76">
        <f>MAX(0,(J48-Constantes!$D$13)*(1-EXP(-Constantes!$D$23)))</f>
        <v>0.40097045303979034</v>
      </c>
      <c r="L48" s="76">
        <f t="shared" si="1"/>
        <v>1.4691000586225718</v>
      </c>
      <c r="M48" s="76">
        <f>0.0526*F48*Observaciones!$F47^1.218</f>
        <v>0</v>
      </c>
      <c r="N48" s="76">
        <f>M48*Constantes!$D$51</f>
        <v>0</v>
      </c>
      <c r="O48" s="76">
        <f t="shared" si="2"/>
        <v>0</v>
      </c>
      <c r="P48" s="15"/>
      <c r="Q48" s="75">
        <v>42</v>
      </c>
      <c r="R48" s="76">
        <f>0.0526*Observaciones!$F47^2.218</f>
        <v>0</v>
      </c>
      <c r="S48" s="76">
        <f>IF(Observaciones!$F47&gt;0.05*$W$7,((Observaciones!$F47-0.05*$W$7)^2)/(Observaciones!$F47+0.95*$W$7),0)</f>
        <v>0</v>
      </c>
      <c r="T48" s="76">
        <f>0.0526*S48*Observaciones!$F47^1.218</f>
        <v>0</v>
      </c>
      <c r="U48" s="29"/>
      <c r="V48" s="29"/>
      <c r="W48" s="109"/>
      <c r="X48" s="40"/>
    </row>
    <row r="49" spans="2:24" s="2" customFormat="1">
      <c r="B49" s="39"/>
      <c r="C49" s="75">
        <v>43</v>
      </c>
      <c r="D49" s="146">
        <f>ETo!$I48*((1-Constantes!$D$19)*ETo!$K48+ETo!$L48)</f>
        <v>4.288541793645777</v>
      </c>
      <c r="E49" s="76">
        <f>MIN(D49*Constantes!$D$17,0.8*(H48+Observaciones!$F48-F49-G49-Constantes!$D$14))</f>
        <v>2.1866586375265094</v>
      </c>
      <c r="F49" s="76">
        <f>IF(Observaciones!$F48&gt;0.05*Constantes!$D$18,((Observaciones!$F48-0.05*Constantes!$D$18)^2)/(Observaciones!$F48+0.95*Constantes!$D$18),0)</f>
        <v>0</v>
      </c>
      <c r="G49" s="76">
        <f>MAX(0,H48+Observaciones!$F48-F49-Constantes!$D$13)</f>
        <v>0</v>
      </c>
      <c r="H49" s="76">
        <f>H48+Observaciones!$F48-F49-E49-G49-I48</f>
        <v>41.252067077216452</v>
      </c>
      <c r="I49" s="76">
        <f>MAX(0,(H49-Constantes!$D$14)*(1-EXP(-Constantes!$D$22)))</f>
        <v>1.0219805444930201</v>
      </c>
      <c r="J49" s="76">
        <f t="shared" si="0"/>
        <v>89.043311533864781</v>
      </c>
      <c r="K49" s="76">
        <f>MAX(0,(J49-Constantes!$D$13)*(1-EXP(-Constantes!$D$23)))</f>
        <v>0.39701959566226802</v>
      </c>
      <c r="L49" s="76">
        <f t="shared" si="1"/>
        <v>1.4190001401552881</v>
      </c>
      <c r="M49" s="76">
        <f>0.0526*F49*Observaciones!$F48^1.218</f>
        <v>0</v>
      </c>
      <c r="N49" s="76">
        <f>M49*Constantes!$D$51</f>
        <v>0</v>
      </c>
      <c r="O49" s="76">
        <f t="shared" si="2"/>
        <v>0</v>
      </c>
      <c r="P49" s="15"/>
      <c r="Q49" s="75">
        <v>43</v>
      </c>
      <c r="R49" s="76">
        <f>0.0526*Observaciones!$F48^2.218</f>
        <v>0.21840432335886875</v>
      </c>
      <c r="S49" s="76">
        <f>IF(Observaciones!$F48&gt;0.05*$W$7,((Observaciones!$F48-0.05*$W$7)^2)/(Observaciones!$F48+0.95*$W$7),0)</f>
        <v>8.1268476854215671E-4</v>
      </c>
      <c r="T49" s="76">
        <f>0.0526*S49*Observaciones!$F48^1.218</f>
        <v>9.3417824725004533E-5</v>
      </c>
      <c r="U49" s="29"/>
      <c r="V49" s="29"/>
      <c r="W49" s="109"/>
      <c r="X49" s="40"/>
    </row>
    <row r="50" spans="2:24" s="2" customFormat="1">
      <c r="B50" s="39"/>
      <c r="C50" s="75">
        <v>44</v>
      </c>
      <c r="D50" s="146">
        <f>ETo!$I49*((1-Constantes!$D$19)*ETo!$K49+ETo!$L49)</f>
        <v>4.3586687983610162</v>
      </c>
      <c r="E50" s="76">
        <f>MIN(D50*Constantes!$D$17,0.8*(H49+Observaciones!$F49-F50-G50-Constantes!$D$14))</f>
        <v>2.2224152718238934</v>
      </c>
      <c r="F50" s="76">
        <f>IF(Observaciones!$F49&gt;0.05*Constantes!$D$18,((Observaciones!$F49-0.05*Constantes!$D$18)^2)/(Observaciones!$F49+0.95*Constantes!$D$18),0)</f>
        <v>0</v>
      </c>
      <c r="G50" s="76">
        <f>MAX(0,H49+Observaciones!$F49-F50-Constantes!$D$13)</f>
        <v>0</v>
      </c>
      <c r="H50" s="76">
        <f>H49+Observaciones!$F49-F50-E50-G50-I49</f>
        <v>38.807671260899539</v>
      </c>
      <c r="I50" s="76">
        <f>MAX(0,(H50-Constantes!$D$14)*(1-EXP(-Constantes!$D$22)))</f>
        <v>0.93871544942851737</v>
      </c>
      <c r="J50" s="76">
        <f t="shared" si="0"/>
        <v>88.646291938202509</v>
      </c>
      <c r="K50" s="76">
        <f>MAX(0,(J50-Constantes!$D$13)*(1-EXP(-Constantes!$D$23)))</f>
        <v>0.39310766702350736</v>
      </c>
      <c r="L50" s="76">
        <f t="shared" si="1"/>
        <v>1.3318231164520247</v>
      </c>
      <c r="M50" s="76">
        <f>0.0526*F50*Observaciones!$F49^1.218</f>
        <v>0</v>
      </c>
      <c r="N50" s="76">
        <f>M50*Constantes!$D$51</f>
        <v>0</v>
      </c>
      <c r="O50" s="76">
        <f t="shared" si="2"/>
        <v>0</v>
      </c>
      <c r="P50" s="15"/>
      <c r="Q50" s="75">
        <v>44</v>
      </c>
      <c r="R50" s="76">
        <f>0.0526*Observaciones!$F49^2.218</f>
        <v>3.2065597387029521E-2</v>
      </c>
      <c r="S50" s="76">
        <f>IF(Observaciones!$F49&gt;0.05*$W$7,((Observaciones!$F49-0.05*$W$7)^2)/(Observaciones!$F49+0.95*$W$7),0)</f>
        <v>0</v>
      </c>
      <c r="T50" s="76">
        <f>0.0526*S50*Observaciones!$F49^1.218</f>
        <v>0</v>
      </c>
      <c r="U50" s="29"/>
      <c r="V50" s="29"/>
      <c r="W50" s="109"/>
      <c r="X50" s="40"/>
    </row>
    <row r="51" spans="2:24" s="2" customFormat="1">
      <c r="B51" s="39"/>
      <c r="C51" s="75">
        <v>45</v>
      </c>
      <c r="D51" s="146">
        <f>ETo!$I50*((1-Constantes!$D$19)*ETo!$K50+ETo!$L50)</f>
        <v>4.2756427877182128</v>
      </c>
      <c r="E51" s="76">
        <f>MIN(D51*Constantes!$D$17,0.8*(H50+Observaciones!$F50-F51-G51-Constantes!$D$14))</f>
        <v>2.1800816414089002</v>
      </c>
      <c r="F51" s="76">
        <f>IF(Observaciones!$F50&gt;0.05*Constantes!$D$18,((Observaciones!$F50-0.05*Constantes!$D$18)^2)/(Observaciones!$F50+0.95*Constantes!$D$18),0)</f>
        <v>0</v>
      </c>
      <c r="G51" s="76">
        <f>MAX(0,H50+Observaciones!$F50-F51-Constantes!$D$13)</f>
        <v>0</v>
      </c>
      <c r="H51" s="76">
        <f>H50+Observaciones!$F50-F51-E51-G51-I50</f>
        <v>35.688874170062128</v>
      </c>
      <c r="I51" s="76">
        <f>MAX(0,(H51-Constantes!$D$14)*(1-EXP(-Constantes!$D$22)))</f>
        <v>0.83247777117608335</v>
      </c>
      <c r="J51" s="76">
        <f t="shared" si="0"/>
        <v>88.253184271178995</v>
      </c>
      <c r="K51" s="76">
        <f>MAX(0,(J51-Constantes!$D$13)*(1-EXP(-Constantes!$D$23)))</f>
        <v>0.38923428354937312</v>
      </c>
      <c r="L51" s="76">
        <f t="shared" si="1"/>
        <v>1.2217120547254565</v>
      </c>
      <c r="M51" s="76">
        <f>0.0526*F51*Observaciones!$F50^1.218</f>
        <v>0</v>
      </c>
      <c r="N51" s="76">
        <f>M51*Constantes!$D$51</f>
        <v>0</v>
      </c>
      <c r="O51" s="76">
        <f t="shared" si="2"/>
        <v>0</v>
      </c>
      <c r="P51" s="15"/>
      <c r="Q51" s="75">
        <v>45</v>
      </c>
      <c r="R51" s="76">
        <f>0.0526*Observaciones!$F50^2.218</f>
        <v>0</v>
      </c>
      <c r="S51" s="76">
        <f>IF(Observaciones!$F50&gt;0.05*$W$7,((Observaciones!$F50-0.05*$W$7)^2)/(Observaciones!$F50+0.95*$W$7),0)</f>
        <v>0</v>
      </c>
      <c r="T51" s="76">
        <f>0.0526*S51*Observaciones!$F50^1.218</f>
        <v>0</v>
      </c>
      <c r="U51" s="29"/>
      <c r="V51" s="29"/>
      <c r="W51" s="109"/>
      <c r="X51" s="40"/>
    </row>
    <row r="52" spans="2:24" s="2" customFormat="1">
      <c r="B52" s="39"/>
      <c r="C52" s="75">
        <v>46</v>
      </c>
      <c r="D52" s="146">
        <f>ETo!$I51*((1-Constantes!$D$19)*ETo!$K51+ETo!$L51)</f>
        <v>4.3015724044423695</v>
      </c>
      <c r="E52" s="76">
        <f>MIN(D52*Constantes!$D$17,0.8*(H51+Observaciones!$F51-F52-G52-Constantes!$D$14))</f>
        <v>2.1933027368548252</v>
      </c>
      <c r="F52" s="76">
        <f>IF(Observaciones!$F51&gt;0.05*Constantes!$D$18,((Observaciones!$F51-0.05*Constantes!$D$18)^2)/(Observaciones!$F51+0.95*Constantes!$D$18),0)</f>
        <v>0</v>
      </c>
      <c r="G52" s="76">
        <f>MAX(0,H51+Observaciones!$F51-F52-Constantes!$D$13)</f>
        <v>0</v>
      </c>
      <c r="H52" s="76">
        <f>H51+Observaciones!$F51-F52-E52-G52-I51</f>
        <v>34.363093662031226</v>
      </c>
      <c r="I52" s="76">
        <f>MAX(0,(H52-Constantes!$D$14)*(1-EXP(-Constantes!$D$22)))</f>
        <v>0.78731682003266756</v>
      </c>
      <c r="J52" s="76">
        <f t="shared" si="0"/>
        <v>87.863949987629624</v>
      </c>
      <c r="K52" s="76">
        <f>MAX(0,(J52-Constantes!$D$13)*(1-EXP(-Constantes!$D$23)))</f>
        <v>0.38539906544517771</v>
      </c>
      <c r="L52" s="76">
        <f t="shared" si="1"/>
        <v>1.1727158854778452</v>
      </c>
      <c r="M52" s="76">
        <f>0.0526*F52*Observaciones!$F51^1.218</f>
        <v>0</v>
      </c>
      <c r="N52" s="76">
        <f>M52*Constantes!$D$51</f>
        <v>0</v>
      </c>
      <c r="O52" s="76">
        <f t="shared" si="2"/>
        <v>0</v>
      </c>
      <c r="P52" s="15"/>
      <c r="Q52" s="75">
        <v>46</v>
      </c>
      <c r="R52" s="76">
        <f>0.0526*Observaciones!$F51^2.218</f>
        <v>0.17065595668433275</v>
      </c>
      <c r="S52" s="76">
        <f>IF(Observaciones!$F51&gt;0.05*$W$7,((Observaciones!$F51-0.05*$W$7)^2)/(Observaciones!$F51+0.95*$W$7),0)</f>
        <v>0</v>
      </c>
      <c r="T52" s="76">
        <f>0.0526*S52*Observaciones!$F51^1.218</f>
        <v>0</v>
      </c>
      <c r="U52" s="29"/>
      <c r="V52" s="29"/>
      <c r="W52" s="109"/>
      <c r="X52" s="40"/>
    </row>
    <row r="53" spans="2:24" s="2" customFormat="1">
      <c r="B53" s="39"/>
      <c r="C53" s="75">
        <v>47</v>
      </c>
      <c r="D53" s="146">
        <f>ETo!$I52*((1-Constantes!$D$19)*ETo!$K52+ETo!$L52)</f>
        <v>4.2662340807506807</v>
      </c>
      <c r="E53" s="76">
        <f>MIN(D53*Constantes!$D$17,0.8*(H52+Observaciones!$F52-F53-G53-Constantes!$D$14))</f>
        <v>2.1752842927182581</v>
      </c>
      <c r="F53" s="76">
        <f>IF(Observaciones!$F52&gt;0.05*Constantes!$D$18,((Observaciones!$F52-0.05*Constantes!$D$18)^2)/(Observaciones!$F52+0.95*Constantes!$D$18),0)</f>
        <v>2.3920009780008371</v>
      </c>
      <c r="G53" s="76">
        <f>MAX(0,H52+Observaciones!$F52-F53-Constantes!$D$13)</f>
        <v>1.3210926840303898</v>
      </c>
      <c r="H53" s="76">
        <f>H52+Observaciones!$F52-F53-E53-G53-I52</f>
        <v>45.787398887249076</v>
      </c>
      <c r="I53" s="76">
        <f>MAX(0,(H53-Constantes!$D$14)*(1-EXP(-Constantes!$D$22)))</f>
        <v>1.1764705954866561</v>
      </c>
      <c r="J53" s="76">
        <f t="shared" si="0"/>
        <v>88.799643606214843</v>
      </c>
      <c r="K53" s="76">
        <f>MAX(0,(J53-Constantes!$D$13)*(1-EXP(-Constantes!$D$23)))</f>
        <v>0.39461867753395452</v>
      </c>
      <c r="L53" s="76">
        <f t="shared" si="1"/>
        <v>3.9630902510214479</v>
      </c>
      <c r="M53" s="76">
        <f>0.0526*F53*Observaciones!$F52^1.218</f>
        <v>4.2815360120362227</v>
      </c>
      <c r="N53" s="76">
        <f>M53*Constantes!$D$51</f>
        <v>6.0197953100362217E-2</v>
      </c>
      <c r="O53" s="76">
        <f t="shared" si="2"/>
        <v>1518.9649815531398</v>
      </c>
      <c r="P53" s="15"/>
      <c r="Q53" s="75">
        <v>47</v>
      </c>
      <c r="R53" s="76">
        <f>0.0526*Observaciones!$F52^2.218</f>
        <v>32.397897212660951</v>
      </c>
      <c r="S53" s="76">
        <f>IF(Observaciones!$F52&gt;0.05*$W$7,((Observaciones!$F52-0.05*$W$7)^2)/(Observaciones!$F52+0.95*$W$7),0)</f>
        <v>5.2528137177856484</v>
      </c>
      <c r="T53" s="76">
        <f>0.0526*S53*Observaciones!$F52^1.218</f>
        <v>9.4022165141477867</v>
      </c>
      <c r="U53" s="29"/>
      <c r="V53" s="29"/>
      <c r="W53" s="109"/>
      <c r="X53" s="40"/>
    </row>
    <row r="54" spans="2:24" s="2" customFormat="1">
      <c r="B54" s="39"/>
      <c r="C54" s="75">
        <v>48</v>
      </c>
      <c r="D54" s="146">
        <f>ETo!$I53*((1-Constantes!$D$19)*ETo!$K53+ETo!$L53)</f>
        <v>4.2655384620621728</v>
      </c>
      <c r="E54" s="76">
        <f>MIN(D54*Constantes!$D$17,0.8*(H53+Observaciones!$F53-F54-G54-Constantes!$D$14))</f>
        <v>2.1749296079123632</v>
      </c>
      <c r="F54" s="76">
        <f>IF(Observaciones!$F53&gt;0.05*Constantes!$D$18,((Observaciones!$F53-0.05*Constantes!$D$18)^2)/(Observaciones!$F53+0.95*Constantes!$D$18),0)</f>
        <v>0</v>
      </c>
      <c r="G54" s="76">
        <f>MAX(0,H53+Observaciones!$F53-F54-Constantes!$D$13)</f>
        <v>0</v>
      </c>
      <c r="H54" s="76">
        <f>H53+Observaciones!$F53-F54-E54-G54-I53</f>
        <v>43.835998683850057</v>
      </c>
      <c r="I54" s="76">
        <f>MAX(0,(H54-Constantes!$D$14)*(1-EXP(-Constantes!$D$22)))</f>
        <v>1.1099987408220826</v>
      </c>
      <c r="J54" s="76">
        <f t="shared" si="0"/>
        <v>88.405024928680888</v>
      </c>
      <c r="K54" s="76">
        <f>MAX(0,(J54-Constantes!$D$13)*(1-EXP(-Constantes!$D$23)))</f>
        <v>0.39073040571336626</v>
      </c>
      <c r="L54" s="76">
        <f t="shared" si="1"/>
        <v>1.5007291465354489</v>
      </c>
      <c r="M54" s="76">
        <f>0.0526*F54*Observaciones!$F53^1.218</f>
        <v>0</v>
      </c>
      <c r="N54" s="76">
        <f>M54*Constantes!$D$51</f>
        <v>0</v>
      </c>
      <c r="O54" s="76">
        <f t="shared" si="2"/>
        <v>0</v>
      </c>
      <c r="P54" s="15"/>
      <c r="Q54" s="75">
        <v>48</v>
      </c>
      <c r="R54" s="76">
        <f>0.0526*Observaciones!$F53^2.218</f>
        <v>0.11094244358496377</v>
      </c>
      <c r="S54" s="76">
        <f>IF(Observaciones!$F53&gt;0.05*$W$7,((Observaciones!$F53-0.05*$W$7)^2)/(Observaciones!$F53+0.95*$W$7),0)</f>
        <v>0</v>
      </c>
      <c r="T54" s="76">
        <f>0.0526*S54*Observaciones!$F53^1.218</f>
        <v>0</v>
      </c>
      <c r="U54" s="29"/>
      <c r="V54" s="29"/>
      <c r="W54" s="109"/>
      <c r="X54" s="40"/>
    </row>
    <row r="55" spans="2:24" s="2" customFormat="1">
      <c r="B55" s="39"/>
      <c r="C55" s="75">
        <v>49</v>
      </c>
      <c r="D55" s="146">
        <f>ETo!$I54*((1-Constantes!$D$19)*ETo!$K54+ETo!$L54)</f>
        <v>4.3428985179672717</v>
      </c>
      <c r="E55" s="76">
        <f>MIN(D55*Constantes!$D$17,0.8*(H54+Observaciones!$F54-F55-G55-Constantes!$D$14))</f>
        <v>2.2143742589345496</v>
      </c>
      <c r="F55" s="76">
        <f>IF(Observaciones!$F54&gt;0.05*Constantes!$D$18,((Observaciones!$F54-0.05*Constantes!$D$18)^2)/(Observaciones!$F54+0.95*Constantes!$D$18),0)</f>
        <v>0.95913437748632913</v>
      </c>
      <c r="G55" s="76">
        <f>MAX(0,H54+Observaciones!$F54-F55-Constantes!$D$13)</f>
        <v>6.6268643063637285</v>
      </c>
      <c r="H55" s="76">
        <f>H54+Observaciones!$F54-F55-E55-G55-I54</f>
        <v>45.425627000243367</v>
      </c>
      <c r="I55" s="76">
        <f>MAX(0,(H55-Constantes!$D$14)*(1-EXP(-Constantes!$D$22)))</f>
        <v>1.1641473169234557</v>
      </c>
      <c r="J55" s="76">
        <f t="shared" si="0"/>
        <v>94.641158829331246</v>
      </c>
      <c r="K55" s="76">
        <f>MAX(0,(J55-Constantes!$D$13)*(1-EXP(-Constantes!$D$23)))</f>
        <v>0.45217651836784761</v>
      </c>
      <c r="L55" s="76">
        <f t="shared" si="1"/>
        <v>2.5754582127776322</v>
      </c>
      <c r="M55" s="76">
        <f>0.0526*F55*Observaciones!$F54^1.218</f>
        <v>1.093708525166837</v>
      </c>
      <c r="N55" s="76">
        <f>M55*Constantes!$D$51</f>
        <v>1.5377428642051225E-2</v>
      </c>
      <c r="O55" s="76">
        <f t="shared" si="2"/>
        <v>597.07544722562841</v>
      </c>
      <c r="P55" s="15"/>
      <c r="Q55" s="75">
        <v>49</v>
      </c>
      <c r="R55" s="76">
        <f>0.0526*Observaciones!$F54^2.218</f>
        <v>14.253848976214318</v>
      </c>
      <c r="S55" s="76">
        <f>IF(Observaciones!$F54&gt;0.05*$W$7,((Observaciones!$F54-0.05*$W$7)^2)/(Observaciones!$F54+0.95*$W$7),0)</f>
        <v>2.5537914433149203</v>
      </c>
      <c r="T55" s="76">
        <f>0.0526*S55*Observaciones!$F54^1.218</f>
        <v>2.9121086039807391</v>
      </c>
      <c r="U55" s="29"/>
      <c r="V55" s="29"/>
      <c r="W55" s="109"/>
      <c r="X55" s="40"/>
    </row>
    <row r="56" spans="2:24" s="2" customFormat="1">
      <c r="B56" s="39"/>
      <c r="C56" s="75">
        <v>50</v>
      </c>
      <c r="D56" s="146">
        <f>ETo!$I55*((1-Constantes!$D$19)*ETo!$K55+ETo!$L55)</f>
        <v>4.2243443772128231</v>
      </c>
      <c r="E56" s="76">
        <f>MIN(D56*Constantes!$D$17,0.8*(H55+Observaciones!$F55-F56-G56-Constantes!$D$14))</f>
        <v>2.1539254051354906</v>
      </c>
      <c r="F56" s="76">
        <f>IF(Observaciones!$F55&gt;0.05*Constantes!$D$18,((Observaciones!$F55-0.05*Constantes!$D$18)^2)/(Observaciones!$F55+0.95*Constantes!$D$18),0)</f>
        <v>0</v>
      </c>
      <c r="G56" s="76">
        <f>MAX(0,H55+Observaciones!$F55-F56-Constantes!$D$13)</f>
        <v>0</v>
      </c>
      <c r="H56" s="76">
        <f>H55+Observaciones!$F55-F56-E56-G56-I55</f>
        <v>42.107554278184423</v>
      </c>
      <c r="I56" s="76">
        <f>MAX(0,(H56-Constantes!$D$14)*(1-EXP(-Constantes!$D$22)))</f>
        <v>1.0511215791157977</v>
      </c>
      <c r="J56" s="76">
        <f t="shared" si="0"/>
        <v>94.188982310963397</v>
      </c>
      <c r="K56" s="76">
        <f>MAX(0,(J56-Constantes!$D$13)*(1-EXP(-Constantes!$D$23)))</f>
        <v>0.44772111543231335</v>
      </c>
      <c r="L56" s="76">
        <f t="shared" si="1"/>
        <v>1.498842694548111</v>
      </c>
      <c r="M56" s="76">
        <f>0.0526*F56*Observaciones!$F55^1.218</f>
        <v>0</v>
      </c>
      <c r="N56" s="76">
        <f>M56*Constantes!$D$51</f>
        <v>0</v>
      </c>
      <c r="O56" s="76">
        <f t="shared" si="2"/>
        <v>0</v>
      </c>
      <c r="P56" s="15"/>
      <c r="Q56" s="75">
        <v>50</v>
      </c>
      <c r="R56" s="76">
        <f>0.0526*Observaciones!$F55^2.218</f>
        <v>0</v>
      </c>
      <c r="S56" s="76">
        <f>IF(Observaciones!$F55&gt;0.05*$W$7,((Observaciones!$F55-0.05*$W$7)^2)/(Observaciones!$F55+0.95*$W$7),0)</f>
        <v>0</v>
      </c>
      <c r="T56" s="76">
        <f>0.0526*S56*Observaciones!$F55^1.218</f>
        <v>0</v>
      </c>
      <c r="U56" s="29"/>
      <c r="V56" s="29"/>
      <c r="W56" s="109"/>
      <c r="X56" s="40"/>
    </row>
    <row r="57" spans="2:24" s="2" customFormat="1">
      <c r="B57" s="39"/>
      <c r="C57" s="75">
        <v>51</v>
      </c>
      <c r="D57" s="146">
        <f>ETo!$I56*((1-Constantes!$D$19)*ETo!$K56+ETo!$L56)</f>
        <v>4.0799958131706378</v>
      </c>
      <c r="E57" s="76">
        <f>MIN(D57*Constantes!$D$17,0.8*(H56+Observaciones!$F56-F57-G57-Constantes!$D$14))</f>
        <v>2.0803243888541356</v>
      </c>
      <c r="F57" s="76">
        <f>IF(Observaciones!$F56&gt;0.05*Constantes!$D$18,((Observaciones!$F56-0.05*Constantes!$D$18)^2)/(Observaciones!$F56+0.95*Constantes!$D$18),0)</f>
        <v>4.4430485506816719</v>
      </c>
      <c r="G57" s="76">
        <f>MAX(0,H56+Observaciones!$F56-F57-Constantes!$D$13)</f>
        <v>12.91450572750275</v>
      </c>
      <c r="H57" s="76">
        <f>H56+Observaciones!$F56-F57-E57-G57-I56</f>
        <v>45.618554032030062</v>
      </c>
      <c r="I57" s="76">
        <f>MAX(0,(H57-Constantes!$D$14)*(1-EXP(-Constantes!$D$22)))</f>
        <v>1.1707191198757436</v>
      </c>
      <c r="J57" s="76">
        <f t="shared" si="0"/>
        <v>106.65576692303382</v>
      </c>
      <c r="K57" s="76">
        <f>MAX(0,(J57-Constantes!$D$13)*(1-EXP(-Constantes!$D$23)))</f>
        <v>0.57055931357179612</v>
      </c>
      <c r="L57" s="76">
        <f t="shared" si="1"/>
        <v>6.1843269841292114</v>
      </c>
      <c r="M57" s="76">
        <f>0.0526*F57*Observaciones!$F56^1.218</f>
        <v>11.2140915040645</v>
      </c>
      <c r="N57" s="76">
        <f>M57*Constantes!$D$51</f>
        <v>0.15766896565323904</v>
      </c>
      <c r="O57" s="76">
        <f t="shared" si="2"/>
        <v>2549.4927104899793</v>
      </c>
      <c r="P57" s="15"/>
      <c r="Q57" s="75">
        <v>51</v>
      </c>
      <c r="R57" s="76">
        <f>0.0526*Observaciones!$F56^2.218</f>
        <v>60.57511931897654</v>
      </c>
      <c r="S57" s="76">
        <f>IF(Observaciones!$F56&gt;0.05*$W$7,((Observaciones!$F56-0.05*$W$7)^2)/(Observaciones!$F56+0.95*$W$7),0)</f>
        <v>8.7141003855957155</v>
      </c>
      <c r="T57" s="76">
        <f>0.0526*S57*Observaciones!$F56^1.218</f>
        <v>21.994069608958327</v>
      </c>
      <c r="U57" s="29"/>
      <c r="V57" s="29"/>
      <c r="W57" s="109"/>
      <c r="X57" s="40"/>
    </row>
    <row r="58" spans="2:24" s="2" customFormat="1">
      <c r="B58" s="39"/>
      <c r="C58" s="75">
        <v>52</v>
      </c>
      <c r="D58" s="146">
        <f>ETo!$I57*((1-Constantes!$D$19)*ETo!$K57+ETo!$L57)</f>
        <v>3.9184926714917032</v>
      </c>
      <c r="E58" s="76">
        <f>MIN(D58*Constantes!$D$17,0.8*(H57+Observaciones!$F57-F58-G58-Constantes!$D$14))</f>
        <v>1.9979765287346036</v>
      </c>
      <c r="F58" s="76">
        <f>IF(Observaciones!$F57&gt;0.05*Constantes!$D$18,((Observaciones!$F57-0.05*Constantes!$D$18)^2)/(Observaciones!$F57+0.95*Constantes!$D$18),0)</f>
        <v>0.87873930703284819</v>
      </c>
      <c r="G58" s="76">
        <f>MAX(0,H57+Observaciones!$F57-F58-Constantes!$D$13)</f>
        <v>8.0898147249972183</v>
      </c>
      <c r="H58" s="76">
        <f>H57+Observaciones!$F57-F58-E58-G58-I57</f>
        <v>45.581304351389655</v>
      </c>
      <c r="I58" s="76">
        <f>MAX(0,(H58-Constantes!$D$14)*(1-EXP(-Constantes!$D$22)))</f>
        <v>1.1694502590067541</v>
      </c>
      <c r="J58" s="76">
        <f t="shared" si="0"/>
        <v>114.17502233445926</v>
      </c>
      <c r="K58" s="76">
        <f>MAX(0,(J58-Constantes!$D$13)*(1-EXP(-Constantes!$D$23)))</f>
        <v>0.64464832808767769</v>
      </c>
      <c r="L58" s="76">
        <f t="shared" si="1"/>
        <v>2.6928378941272801</v>
      </c>
      <c r="M58" s="76">
        <f>0.0526*F58*Observaciones!$F57^1.218</f>
        <v>0.9631155138668388</v>
      </c>
      <c r="N58" s="76">
        <f>M58*Constantes!$D$51</f>
        <v>1.3541304422291688E-2</v>
      </c>
      <c r="O58" s="76">
        <f t="shared" si="2"/>
        <v>502.86370567732524</v>
      </c>
      <c r="P58" s="15"/>
      <c r="Q58" s="75">
        <v>52</v>
      </c>
      <c r="R58" s="76">
        <f>0.0526*Observaciones!$F57^2.218</f>
        <v>13.261837298639376</v>
      </c>
      <c r="S58" s="76">
        <f>IF(Observaciones!$F57&gt;0.05*$W$7,((Observaciones!$F57-0.05*$W$7)^2)/(Observaciones!$F57+0.95*$W$7),0)</f>
        <v>2.388629706824839</v>
      </c>
      <c r="T58" s="76">
        <f>0.0526*S58*Observaciones!$F57^1.218</f>
        <v>2.6179850031907193</v>
      </c>
      <c r="U58" s="29"/>
      <c r="V58" s="29"/>
      <c r="W58" s="109"/>
      <c r="X58" s="40"/>
    </row>
    <row r="59" spans="2:24" s="2" customFormat="1">
      <c r="B59" s="39"/>
      <c r="C59" s="75">
        <v>53</v>
      </c>
      <c r="D59" s="146">
        <f>ETo!$I58*((1-Constantes!$D$19)*ETo!$K58+ETo!$L58)</f>
        <v>3.86943800679532</v>
      </c>
      <c r="E59" s="76">
        <f>MIN(D59*Constantes!$D$17,0.8*(H58+Observaciones!$F58-F59-G59-Constantes!$D$14))</f>
        <v>1.9729643424412937</v>
      </c>
      <c r="F59" s="76">
        <f>IF(Observaciones!$F58&gt;0.05*Constantes!$D$18,((Observaciones!$F58-0.05*Constantes!$D$18)^2)/(Observaciones!$F58+0.95*Constantes!$D$18),0)</f>
        <v>0.13088897392162555</v>
      </c>
      <c r="G59" s="76">
        <f>MAX(0,H58+Observaciones!$F58-F59-Constantes!$D$13)</f>
        <v>3.5004153774680233</v>
      </c>
      <c r="H59" s="76">
        <f>H58+Observaciones!$F58-F59-E59-G59-I58</f>
        <v>45.607585398551954</v>
      </c>
      <c r="I59" s="76">
        <f>MAX(0,(H59-Constantes!$D$14)*(1-EXP(-Constantes!$D$22)))</f>
        <v>1.1703454879528015</v>
      </c>
      <c r="J59" s="76">
        <f t="shared" si="0"/>
        <v>117.0307893838396</v>
      </c>
      <c r="K59" s="76">
        <f>MAX(0,(J59-Constantes!$D$13)*(1-EXP(-Constantes!$D$23)))</f>
        <v>0.67278688101593986</v>
      </c>
      <c r="L59" s="76">
        <f t="shared" si="1"/>
        <v>1.9740213428903668</v>
      </c>
      <c r="M59" s="76">
        <f>0.0526*F59*Observaciones!$F58^1.218</f>
        <v>7.1102465941569645E-2</v>
      </c>
      <c r="N59" s="76">
        <f>M59*Constantes!$D$51</f>
        <v>9.9969331054046494E-4</v>
      </c>
      <c r="O59" s="76">
        <f t="shared" si="2"/>
        <v>50.642477303548887</v>
      </c>
      <c r="P59" s="15"/>
      <c r="Q59" s="75">
        <v>53</v>
      </c>
      <c r="R59" s="76">
        <f>0.0526*Observaciones!$F58^2.218</f>
        <v>3.6939457458974703</v>
      </c>
      <c r="S59" s="76">
        <f>IF(Observaciones!$F58&gt;0.05*$W$7,((Observaciones!$F58-0.05*$W$7)^2)/(Observaciones!$F58+0.95*$W$7),0)</f>
        <v>0.64694020918978012</v>
      </c>
      <c r="T59" s="76">
        <f>0.0526*S59*Observaciones!$F58^1.218</f>
        <v>0.35143559317450113</v>
      </c>
      <c r="U59" s="29"/>
      <c r="V59" s="29"/>
      <c r="W59" s="109"/>
      <c r="X59" s="40"/>
    </row>
    <row r="60" spans="2:24" s="2" customFormat="1">
      <c r="B60" s="39"/>
      <c r="C60" s="75">
        <v>54</v>
      </c>
      <c r="D60" s="146">
        <f>ETo!$I59*((1-Constantes!$D$19)*ETo!$K59+ETo!$L59)</f>
        <v>4.1697045698528425</v>
      </c>
      <c r="E60" s="76">
        <f>MIN(D60*Constantes!$D$17,0.8*(H59+Observaciones!$F59-F60-G60-Constantes!$D$14))</f>
        <v>2.1260654442290781</v>
      </c>
      <c r="F60" s="76">
        <f>IF(Observaciones!$F59&gt;0.05*Constantes!$D$18,((Observaciones!$F59-0.05*Constantes!$D$18)^2)/(Observaciones!$F59+0.95*Constantes!$D$18),0)</f>
        <v>5.9683000974401264</v>
      </c>
      <c r="G60" s="76">
        <f>MAX(0,H59+Observaciones!$F59-F60-Constantes!$D$13)</f>
        <v>18.589285301111829</v>
      </c>
      <c r="H60" s="76">
        <f>H59+Observaciones!$F59-F60-E60-G60-I59</f>
        <v>45.453589067818115</v>
      </c>
      <c r="I60" s="76">
        <f>MAX(0,(H60-Constantes!$D$14)*(1-EXP(-Constantes!$D$22)))</f>
        <v>1.1650998075959031</v>
      </c>
      <c r="J60" s="76">
        <f t="shared" si="0"/>
        <v>134.94728780393547</v>
      </c>
      <c r="K60" s="76">
        <f>MAX(0,(J60-Constantes!$D$13)*(1-EXP(-Constantes!$D$23)))</f>
        <v>0.84932240732659792</v>
      </c>
      <c r="L60" s="76">
        <f t="shared" si="1"/>
        <v>7.9827223123626272</v>
      </c>
      <c r="M60" s="76">
        <f>0.0526*F60*Observaciones!$F59^1.218</f>
        <v>17.938112980983252</v>
      </c>
      <c r="N60" s="76">
        <f>M60*Constantes!$D$51</f>
        <v>0.25220801154132461</v>
      </c>
      <c r="O60" s="76">
        <f t="shared" si="2"/>
        <v>3159.4235859956802</v>
      </c>
      <c r="P60" s="15"/>
      <c r="Q60" s="75">
        <v>54</v>
      </c>
      <c r="R60" s="76">
        <f>0.0526*Observaciones!$F59^2.218</f>
        <v>83.25414631652923</v>
      </c>
      <c r="S60" s="76">
        <f>IF(Observaciones!$F59&gt;0.05*$W$7,((Observaciones!$F59-0.05*$W$7)^2)/(Observaciones!$F59+0.95*$W$7),0)</f>
        <v>11.126994879417444</v>
      </c>
      <c r="T60" s="76">
        <f>0.0526*S60*Observaciones!$F59^1.218</f>
        <v>33.442904684270452</v>
      </c>
      <c r="U60" s="29"/>
      <c r="V60" s="29"/>
      <c r="W60" s="109"/>
      <c r="X60" s="40"/>
    </row>
    <row r="61" spans="2:24" s="2" customFormat="1">
      <c r="B61" s="39"/>
      <c r="C61" s="75">
        <v>55</v>
      </c>
      <c r="D61" s="146">
        <f>ETo!$I60*((1-Constantes!$D$19)*ETo!$K60+ETo!$L60)</f>
        <v>4.1845658022054586</v>
      </c>
      <c r="E61" s="76">
        <f>MIN(D61*Constantes!$D$17,0.8*(H60+Observaciones!$F60-F61-G61-Constantes!$D$14))</f>
        <v>2.1336429481107673</v>
      </c>
      <c r="F61" s="76">
        <f>IF(Observaciones!$F60&gt;0.05*Constantes!$D$18,((Observaciones!$F60-0.05*Constantes!$D$18)^2)/(Observaciones!$F60+0.95*Constantes!$D$18),0)</f>
        <v>0.36646225065642568</v>
      </c>
      <c r="G61" s="76">
        <f>MAX(0,H60+Observaciones!$F60-F61-Constantes!$D$13)</f>
        <v>5.337126817161689</v>
      </c>
      <c r="H61" s="76">
        <f>H60+Observaciones!$F60-F61-E61-G61-I60</f>
        <v>45.45125724429333</v>
      </c>
      <c r="I61" s="76">
        <f>MAX(0,(H61-Constantes!$D$14)*(1-EXP(-Constantes!$D$22)))</f>
        <v>1.1650203771263496</v>
      </c>
      <c r="J61" s="76">
        <f t="shared" si="0"/>
        <v>139.43509221377053</v>
      </c>
      <c r="K61" s="76">
        <f>MAX(0,(J61-Constantes!$D$13)*(1-EXP(-Constantes!$D$23)))</f>
        <v>0.8935418130884345</v>
      </c>
      <c r="L61" s="76">
        <f t="shared" si="1"/>
        <v>2.4250244408712098</v>
      </c>
      <c r="M61" s="76">
        <f>0.0526*F61*Observaciones!$F60^1.218</f>
        <v>0.28008017246192562</v>
      </c>
      <c r="N61" s="76">
        <f>M61*Constantes!$D$51</f>
        <v>3.9378982306366083E-3</v>
      </c>
      <c r="O61" s="76">
        <f t="shared" si="2"/>
        <v>162.38591926198839</v>
      </c>
      <c r="P61" s="15"/>
      <c r="Q61" s="75">
        <v>55</v>
      </c>
      <c r="R61" s="76">
        <f>0.0526*Observaciones!$F60^2.218</f>
        <v>6.8785299103579902</v>
      </c>
      <c r="S61" s="76">
        <f>IF(Observaciones!$F60&gt;0.05*$W$7,((Observaciones!$F60-0.05*$W$7)^2)/(Observaciones!$F60+0.95*$W$7),0)</f>
        <v>1.2606381090435765</v>
      </c>
      <c r="T61" s="76">
        <f>0.0526*S61*Observaciones!$F60^1.218</f>
        <v>0.96348188213259756</v>
      </c>
      <c r="U61" s="29"/>
      <c r="V61" s="29"/>
      <c r="W61" s="109"/>
      <c r="X61" s="40"/>
    </row>
    <row r="62" spans="2:24" s="2" customFormat="1">
      <c r="B62" s="39"/>
      <c r="C62" s="75">
        <v>56</v>
      </c>
      <c r="D62" s="146">
        <f>ETo!$I61*((1-Constantes!$D$19)*ETo!$K61+ETo!$L61)</f>
        <v>4.1474469226212953</v>
      </c>
      <c r="E62" s="76">
        <f>MIN(D62*Constantes!$D$17,0.8*(H61+Observaciones!$F61-F62-G62-Constantes!$D$14))</f>
        <v>2.1147166270992104</v>
      </c>
      <c r="F62" s="76">
        <f>IF(Observaciones!$F61&gt;0.05*Constantes!$D$18,((Observaciones!$F61-0.05*Constantes!$D$18)^2)/(Observaciones!$F61+0.95*Constantes!$D$18),0)</f>
        <v>0</v>
      </c>
      <c r="G62" s="76">
        <f>MAX(0,H61+Observaciones!$F61-F62-Constantes!$D$13)</f>
        <v>0</v>
      </c>
      <c r="H62" s="76">
        <f>H61+Observaciones!$F61-F62-E62-G62-I61</f>
        <v>42.671520240067771</v>
      </c>
      <c r="I62" s="76">
        <f>MAX(0,(H62-Constantes!$D$14)*(1-EXP(-Constantes!$D$22)))</f>
        <v>1.0703323301389751</v>
      </c>
      <c r="J62" s="76">
        <f t="shared" si="0"/>
        <v>138.5415504006821</v>
      </c>
      <c r="K62" s="76">
        <f>MAX(0,(J62-Constantes!$D$13)*(1-EXP(-Constantes!$D$23)))</f>
        <v>0.88473753277899547</v>
      </c>
      <c r="L62" s="76">
        <f t="shared" si="1"/>
        <v>1.9550698629179706</v>
      </c>
      <c r="M62" s="76">
        <f>0.0526*F62*Observaciones!$F61^1.218</f>
        <v>0</v>
      </c>
      <c r="N62" s="76">
        <f>M62*Constantes!$D$51</f>
        <v>0</v>
      </c>
      <c r="O62" s="76">
        <f t="shared" si="2"/>
        <v>0</v>
      </c>
      <c r="P62" s="15"/>
      <c r="Q62" s="75">
        <v>56</v>
      </c>
      <c r="R62" s="76">
        <f>0.0526*Observaciones!$F61^2.218</f>
        <v>1.1305797794095535E-2</v>
      </c>
      <c r="S62" s="76">
        <f>IF(Observaciones!$F61&gt;0.05*$W$7,((Observaciones!$F61-0.05*$W$7)^2)/(Observaciones!$F61+0.95*$W$7),0)</f>
        <v>0</v>
      </c>
      <c r="T62" s="76">
        <f>0.0526*S62*Observaciones!$F61^1.218</f>
        <v>0</v>
      </c>
      <c r="U62" s="29"/>
      <c r="V62" s="29"/>
      <c r="W62" s="109"/>
      <c r="X62" s="40"/>
    </row>
    <row r="63" spans="2:24" s="2" customFormat="1">
      <c r="B63" s="39"/>
      <c r="C63" s="75">
        <v>57</v>
      </c>
      <c r="D63" s="146">
        <f>ETo!$I62*((1-Constantes!$D$19)*ETo!$K62+ETo!$L62)</f>
        <v>4.2434752150694761</v>
      </c>
      <c r="E63" s="76">
        <f>MIN(D63*Constantes!$D$17,0.8*(H62+Observaciones!$F62-F63-G63-Constantes!$D$14))</f>
        <v>2.1636799123445263</v>
      </c>
      <c r="F63" s="76">
        <f>IF(Observaciones!$F62&gt;0.05*Constantes!$D$18,((Observaciones!$F62-0.05*Constantes!$D$18)^2)/(Observaciones!$F62+0.95*Constantes!$D$18),0)</f>
        <v>0</v>
      </c>
      <c r="G63" s="76">
        <f>MAX(0,H62+Observaciones!$F62-F63-Constantes!$D$13)</f>
        <v>0</v>
      </c>
      <c r="H63" s="76">
        <f>H62+Observaciones!$F62-F63-E63-G63-I62</f>
        <v>39.43750799758427</v>
      </c>
      <c r="I63" s="76">
        <f>MAX(0,(H63-Constantes!$D$14)*(1-EXP(-Constantes!$D$22)))</f>
        <v>0.96017000085799464</v>
      </c>
      <c r="J63" s="76">
        <f t="shared" si="0"/>
        <v>137.65681286790311</v>
      </c>
      <c r="K63" s="76">
        <f>MAX(0,(J63-Constantes!$D$13)*(1-EXP(-Constantes!$D$23)))</f>
        <v>0.87602000314046158</v>
      </c>
      <c r="L63" s="76">
        <f t="shared" si="1"/>
        <v>1.8361900039984562</v>
      </c>
      <c r="M63" s="76">
        <f>0.0526*F63*Observaciones!$F62^1.218</f>
        <v>0</v>
      </c>
      <c r="N63" s="76">
        <f>M63*Constantes!$D$51</f>
        <v>0</v>
      </c>
      <c r="O63" s="76">
        <f t="shared" si="2"/>
        <v>0</v>
      </c>
      <c r="P63" s="15"/>
      <c r="Q63" s="75">
        <v>57</v>
      </c>
      <c r="R63" s="76">
        <f>0.0526*Observaciones!$F62^2.218</f>
        <v>0</v>
      </c>
      <c r="S63" s="76">
        <f>IF(Observaciones!$F62&gt;0.05*$W$7,((Observaciones!$F62-0.05*$W$7)^2)/(Observaciones!$F62+0.95*$W$7),0)</f>
        <v>0</v>
      </c>
      <c r="T63" s="76">
        <f>0.0526*S63*Observaciones!$F62^1.218</f>
        <v>0</v>
      </c>
      <c r="U63" s="29"/>
      <c r="V63" s="29"/>
      <c r="W63" s="109"/>
      <c r="X63" s="40"/>
    </row>
    <row r="64" spans="2:24" s="2" customFormat="1">
      <c r="B64" s="39"/>
      <c r="C64" s="75">
        <v>58</v>
      </c>
      <c r="D64" s="146">
        <f>ETo!$I63*((1-Constantes!$D$19)*ETo!$K63+ETo!$L63)</f>
        <v>4.0255661683871482</v>
      </c>
      <c r="E64" s="76">
        <f>MIN(D64*Constantes!$D$17,0.8*(H63+Observaciones!$F63-F64-G64-Constantes!$D$14))</f>
        <v>2.0525715864727609</v>
      </c>
      <c r="F64" s="76">
        <f>IF(Observaciones!$F63&gt;0.05*Constantes!$D$18,((Observaciones!$F63-0.05*Constantes!$D$18)^2)/(Observaciones!$F63+0.95*Constantes!$D$18),0)</f>
        <v>0</v>
      </c>
      <c r="G64" s="76">
        <f>MAX(0,H63+Observaciones!$F63-F64-Constantes!$D$13)</f>
        <v>0</v>
      </c>
      <c r="H64" s="76">
        <f>H63+Observaciones!$F63-F64-E64-G64-I63</f>
        <v>37.52476641025352</v>
      </c>
      <c r="I64" s="76">
        <f>MAX(0,(H64-Constantes!$D$14)*(1-EXP(-Constantes!$D$22)))</f>
        <v>0.89501500057539118</v>
      </c>
      <c r="J64" s="76">
        <f t="shared" si="0"/>
        <v>136.78079286476265</v>
      </c>
      <c r="K64" s="76">
        <f>MAX(0,(J64-Constantes!$D$13)*(1-EXP(-Constantes!$D$23)))</f>
        <v>0.86738836939780983</v>
      </c>
      <c r="L64" s="76">
        <f t="shared" si="1"/>
        <v>1.7624033699732009</v>
      </c>
      <c r="M64" s="76">
        <f>0.0526*F64*Observaciones!$F63^1.218</f>
        <v>0</v>
      </c>
      <c r="N64" s="76">
        <f>M64*Constantes!$D$51</f>
        <v>0</v>
      </c>
      <c r="O64" s="76">
        <f t="shared" si="2"/>
        <v>0</v>
      </c>
      <c r="P64" s="15"/>
      <c r="Q64" s="75">
        <v>58</v>
      </c>
      <c r="R64" s="76">
        <f>0.0526*Observaciones!$F63^2.218</f>
        <v>6.4982246287524456E-2</v>
      </c>
      <c r="S64" s="76">
        <f>IF(Observaciones!$F63&gt;0.05*$W$7,((Observaciones!$F63-0.05*$W$7)^2)/(Observaciones!$F63+0.95*$W$7),0)</f>
        <v>0</v>
      </c>
      <c r="T64" s="76">
        <f>0.0526*S64*Observaciones!$F63^1.218</f>
        <v>0</v>
      </c>
      <c r="U64" s="29"/>
      <c r="V64" s="29"/>
      <c r="W64" s="109"/>
      <c r="X64" s="40"/>
    </row>
    <row r="65" spans="2:24" s="2" customFormat="1">
      <c r="B65" s="39"/>
      <c r="C65" s="75">
        <v>59</v>
      </c>
      <c r="D65" s="146">
        <f>ETo!$I64*((1-Constantes!$D$19)*ETo!$K64+ETo!$L64)</f>
        <v>4.1507568890001725</v>
      </c>
      <c r="E65" s="76">
        <f>MIN(D65*Constantes!$D$17,0.8*(H64+Observaciones!$F64-F65-G65-Constantes!$D$14))</f>
        <v>2.1164043258370469</v>
      </c>
      <c r="F65" s="76">
        <f>IF(Observaciones!$F64&gt;0.05*Constantes!$D$18,((Observaciones!$F64-0.05*Constantes!$D$18)^2)/(Observaciones!$F64+0.95*Constantes!$D$18),0)</f>
        <v>0</v>
      </c>
      <c r="G65" s="76">
        <f>MAX(0,H64+Observaciones!$F64-F65-Constantes!$D$13)</f>
        <v>0</v>
      </c>
      <c r="H65" s="76">
        <f>H64+Observaciones!$F64-F65-E65-G65-I64</f>
        <v>34.913347083841082</v>
      </c>
      <c r="I65" s="76">
        <f>MAX(0,(H65-Constantes!$D$14)*(1-EXP(-Constantes!$D$22)))</f>
        <v>0.80606047160117666</v>
      </c>
      <c r="J65" s="76">
        <f t="shared" si="0"/>
        <v>135.91340449536483</v>
      </c>
      <c r="K65" s="76">
        <f>MAX(0,(J65-Constantes!$D$13)*(1-EXP(-Constantes!$D$23)))</f>
        <v>0.85884178519831944</v>
      </c>
      <c r="L65" s="76">
        <f t="shared" si="1"/>
        <v>1.664902256799496</v>
      </c>
      <c r="M65" s="76">
        <f>0.0526*F65*Observaciones!$F64^1.218</f>
        <v>0</v>
      </c>
      <c r="N65" s="76">
        <f>M65*Constantes!$D$51</f>
        <v>0</v>
      </c>
      <c r="O65" s="76">
        <f t="shared" si="2"/>
        <v>0</v>
      </c>
      <c r="P65" s="15"/>
      <c r="Q65" s="75">
        <v>59</v>
      </c>
      <c r="R65" s="76">
        <f>0.0526*Observaciones!$F64^2.218</f>
        <v>6.8921513346888582E-3</v>
      </c>
      <c r="S65" s="76">
        <f>IF(Observaciones!$F64&gt;0.05*$W$7,((Observaciones!$F64-0.05*$W$7)^2)/(Observaciones!$F64+0.95*$W$7),0)</f>
        <v>0</v>
      </c>
      <c r="T65" s="76">
        <f>0.0526*S65*Observaciones!$F64^1.218</f>
        <v>0</v>
      </c>
      <c r="U65" s="29"/>
      <c r="V65" s="29"/>
      <c r="W65" s="109"/>
      <c r="X65" s="40"/>
    </row>
    <row r="66" spans="2:24" s="2" customFormat="1">
      <c r="B66" s="39"/>
      <c r="C66" s="75">
        <v>60</v>
      </c>
      <c r="D66" s="146">
        <f>ETo!$I65*((1-Constantes!$D$19)*ETo!$K65+ETo!$L65)</f>
        <v>4.1469928071408235</v>
      </c>
      <c r="E66" s="76">
        <f>MIN(D66*Constantes!$D$17,0.8*(H65+Observaciones!$F65-F66-G66-Constantes!$D$14))</f>
        <v>2.1144850809034197</v>
      </c>
      <c r="F66" s="76">
        <f>IF(Observaciones!$F65&gt;0.05*Constantes!$D$18,((Observaciones!$F65-0.05*Constantes!$D$18)^2)/(Observaciones!$F65+0.95*Constantes!$D$18),0)</f>
        <v>0</v>
      </c>
      <c r="G66" s="76">
        <f>MAX(0,H65+Observaciones!$F65-F66-Constantes!$D$13)</f>
        <v>0</v>
      </c>
      <c r="H66" s="76">
        <f>H65+Observaciones!$F65-F66-E66-G66-I65</f>
        <v>31.992801531336482</v>
      </c>
      <c r="I66" s="76">
        <f>MAX(0,(H66-Constantes!$D$14)*(1-EXP(-Constantes!$D$22)))</f>
        <v>0.70657596854065496</v>
      </c>
      <c r="J66" s="76">
        <f t="shared" si="0"/>
        <v>135.05456271016652</v>
      </c>
      <c r="K66" s="76">
        <f>MAX(0,(J66-Constantes!$D$13)*(1-EXP(-Constantes!$D$23)))</f>
        <v>0.85037941252858451</v>
      </c>
      <c r="L66" s="76">
        <f t="shared" si="1"/>
        <v>1.5569553810692396</v>
      </c>
      <c r="M66" s="76">
        <f>0.0526*F66*Observaciones!$F65^1.218</f>
        <v>0</v>
      </c>
      <c r="N66" s="76">
        <f>M66*Constantes!$D$51</f>
        <v>0</v>
      </c>
      <c r="O66" s="76">
        <f t="shared" si="2"/>
        <v>0</v>
      </c>
      <c r="P66" s="15"/>
      <c r="Q66" s="75">
        <v>60</v>
      </c>
      <c r="R66" s="76">
        <f>0.0526*Observaciones!$F65^2.218</f>
        <v>0</v>
      </c>
      <c r="S66" s="76">
        <f>IF(Observaciones!$F65&gt;0.05*$W$7,((Observaciones!$F65-0.05*$W$7)^2)/(Observaciones!$F65+0.95*$W$7),0)</f>
        <v>0</v>
      </c>
      <c r="T66" s="76">
        <f>0.0526*S66*Observaciones!$F65^1.218</f>
        <v>0</v>
      </c>
      <c r="U66" s="29"/>
      <c r="V66" s="29"/>
      <c r="W66" s="109"/>
      <c r="X66" s="40"/>
    </row>
    <row r="67" spans="2:24" s="2" customFormat="1">
      <c r="B67" s="39"/>
      <c r="C67" s="75">
        <v>61</v>
      </c>
      <c r="D67" s="146">
        <f>ETo!$I66*((1-Constantes!$D$19)*ETo!$K66+ETo!$L66)</f>
        <v>4.1045063034168434</v>
      </c>
      <c r="E67" s="76">
        <f>MIN(D67*Constantes!$D$17,0.8*(H66+Observaciones!$F66-F67-G67-Constantes!$D$14))</f>
        <v>2.0928218944832722</v>
      </c>
      <c r="F67" s="76">
        <f>IF(Observaciones!$F66&gt;0.05*Constantes!$D$18,((Observaciones!$F66-0.05*Constantes!$D$18)^2)/(Observaciones!$F66+0.95*Constantes!$D$18),0)</f>
        <v>0</v>
      </c>
      <c r="G67" s="76">
        <f>MAX(0,H66+Observaciones!$F66-F67-Constantes!$D$13)</f>
        <v>0</v>
      </c>
      <c r="H67" s="76">
        <f>H66+Observaciones!$F66-F67-E67-G67-I66</f>
        <v>32.593403668312554</v>
      </c>
      <c r="I67" s="76">
        <f>MAX(0,(H67-Constantes!$D$14)*(1-EXP(-Constantes!$D$22)))</f>
        <v>0.72703468218164269</v>
      </c>
      <c r="J67" s="76">
        <f t="shared" si="0"/>
        <v>134.20418329763794</v>
      </c>
      <c r="K67" s="76">
        <f>MAX(0,(J67-Constantes!$D$13)*(1-EXP(-Constantes!$D$23)))</f>
        <v>0.84200042163234445</v>
      </c>
      <c r="L67" s="76">
        <f t="shared" si="1"/>
        <v>1.5690351038139871</v>
      </c>
      <c r="M67" s="76">
        <f>0.0526*F67*Observaciones!$F66^1.218</f>
        <v>0</v>
      </c>
      <c r="N67" s="76">
        <f>M67*Constantes!$D$51</f>
        <v>0</v>
      </c>
      <c r="O67" s="76">
        <f t="shared" si="2"/>
        <v>0</v>
      </c>
      <c r="P67" s="15"/>
      <c r="Q67" s="75">
        <v>61</v>
      </c>
      <c r="R67" s="76">
        <f>0.0526*Observaciones!$F66^2.218</f>
        <v>0.79397345371627714</v>
      </c>
      <c r="S67" s="76">
        <f>IF(Observaciones!$F66&gt;0.05*$W$7,((Observaciones!$F66-0.05*$W$7)^2)/(Observaciones!$F66+0.95*$W$7),0)</f>
        <v>7.6652401060814793E-2</v>
      </c>
      <c r="T67" s="76">
        <f>0.0526*S67*Observaciones!$F66^1.218</f>
        <v>1.7899991648794227E-2</v>
      </c>
      <c r="U67" s="29"/>
      <c r="V67" s="29"/>
      <c r="W67" s="109"/>
      <c r="X67" s="40"/>
    </row>
    <row r="68" spans="2:24" s="2" customFormat="1">
      <c r="B68" s="39"/>
      <c r="C68" s="75">
        <v>62</v>
      </c>
      <c r="D68" s="146">
        <f>ETo!$I67*((1-Constantes!$D$19)*ETo!$K67+ETo!$L67)</f>
        <v>4.0959702655406396</v>
      </c>
      <c r="E68" s="76">
        <f>MIN(D68*Constantes!$D$17,0.8*(H67+Observaciones!$F67-F68-G68-Constantes!$D$14))</f>
        <v>2.0884695057575962</v>
      </c>
      <c r="F68" s="76">
        <f>IF(Observaciones!$F67&gt;0.05*Constantes!$D$18,((Observaciones!$F67-0.05*Constantes!$D$18)^2)/(Observaciones!$F67+0.95*Constantes!$D$18),0)</f>
        <v>0</v>
      </c>
      <c r="G68" s="76">
        <f>MAX(0,H67+Observaciones!$F67-F68-Constantes!$D$13)</f>
        <v>0</v>
      </c>
      <c r="H68" s="76">
        <f>H67+Observaciones!$F67-F68-E68-G68-I67</f>
        <v>29.777899480373314</v>
      </c>
      <c r="I68" s="76">
        <f>MAX(0,(H68-Constantes!$D$14)*(1-EXP(-Constantes!$D$22)))</f>
        <v>0.63112827361296076</v>
      </c>
      <c r="J68" s="76">
        <f t="shared" si="0"/>
        <v>133.36218287600559</v>
      </c>
      <c r="K68" s="76">
        <f>MAX(0,(J68-Constantes!$D$13)*(1-EXP(-Constantes!$D$23)))</f>
        <v>0.83370399092912517</v>
      </c>
      <c r="L68" s="76">
        <f t="shared" si="1"/>
        <v>1.4648322645420859</v>
      </c>
      <c r="M68" s="76">
        <f>0.0526*F68*Observaciones!$F67^1.218</f>
        <v>0</v>
      </c>
      <c r="N68" s="76">
        <f>M68*Constantes!$D$51</f>
        <v>0</v>
      </c>
      <c r="O68" s="76">
        <f t="shared" si="2"/>
        <v>0</v>
      </c>
      <c r="P68" s="15"/>
      <c r="Q68" s="75">
        <v>62</v>
      </c>
      <c r="R68" s="76">
        <f>0.0526*Observaciones!$F67^2.218</f>
        <v>0</v>
      </c>
      <c r="S68" s="76">
        <f>IF(Observaciones!$F67&gt;0.05*$W$7,((Observaciones!$F67-0.05*$W$7)^2)/(Observaciones!$F67+0.95*$W$7),0)</f>
        <v>0</v>
      </c>
      <c r="T68" s="76">
        <f>0.0526*S68*Observaciones!$F67^1.218</f>
        <v>0</v>
      </c>
      <c r="U68" s="29"/>
      <c r="V68" s="29"/>
      <c r="W68" s="109"/>
      <c r="X68" s="40"/>
    </row>
    <row r="69" spans="2:24" s="2" customFormat="1">
      <c r="B69" s="39"/>
      <c r="C69" s="75">
        <v>63</v>
      </c>
      <c r="D69" s="146">
        <f>ETo!$I68*((1-Constantes!$D$19)*ETo!$K68+ETo!$L68)</f>
        <v>4.1552648537102446</v>
      </c>
      <c r="E69" s="76">
        <f>MIN(D69*Constantes!$D$17,0.8*(H68+Observaciones!$F68-F69-G69-Constantes!$D$14))</f>
        <v>2.1187028646983328</v>
      </c>
      <c r="F69" s="76">
        <f>IF(Observaciones!$F68&gt;0.05*Constantes!$D$18,((Observaciones!$F68-0.05*Constantes!$D$18)^2)/(Observaciones!$F68+0.95*Constantes!$D$18),0)</f>
        <v>0</v>
      </c>
      <c r="G69" s="76">
        <f>MAX(0,H68+Observaciones!$F68-F69-Constantes!$D$13)</f>
        <v>0</v>
      </c>
      <c r="H69" s="76">
        <f>H68+Observaciones!$F68-F69-E69-G69-I68</f>
        <v>29.628068342062022</v>
      </c>
      <c r="I69" s="76">
        <f>MAX(0,(H69-Constantes!$D$14)*(1-EXP(-Constantes!$D$22)))</f>
        <v>0.6260244750007089</v>
      </c>
      <c r="J69" s="76">
        <f t="shared" si="0"/>
        <v>132.52847888507645</v>
      </c>
      <c r="K69" s="76">
        <f>MAX(0,(J69-Constantes!$D$13)*(1-EXP(-Constantes!$D$23)))</f>
        <v>0.8254893069336805</v>
      </c>
      <c r="L69" s="76">
        <f t="shared" si="1"/>
        <v>1.4515137819343895</v>
      </c>
      <c r="M69" s="76">
        <f>0.0526*F69*Observaciones!$F68^1.218</f>
        <v>0</v>
      </c>
      <c r="N69" s="76">
        <f>M69*Constantes!$D$51</f>
        <v>0</v>
      </c>
      <c r="O69" s="76">
        <f t="shared" si="2"/>
        <v>0</v>
      </c>
      <c r="P69" s="15"/>
      <c r="Q69" s="75">
        <v>63</v>
      </c>
      <c r="R69" s="76">
        <f>0.0526*Observaciones!$F68^2.218</f>
        <v>0.43792186533391209</v>
      </c>
      <c r="S69" s="76">
        <f>IF(Observaciones!$F68&gt;0.05*$W$7,((Observaciones!$F68-0.05*$W$7)^2)/(Observaciones!$F68+0.95*$W$7),0)</f>
        <v>2.1229385132854627E-2</v>
      </c>
      <c r="T69" s="76">
        <f>0.0526*S69*Observaciones!$F68^1.218</f>
        <v>3.5756968989506619E-3</v>
      </c>
      <c r="U69" s="29"/>
      <c r="V69" s="29"/>
      <c r="W69" s="109"/>
      <c r="X69" s="40"/>
    </row>
    <row r="70" spans="2:24" s="2" customFormat="1">
      <c r="B70" s="39"/>
      <c r="C70" s="75">
        <v>64</v>
      </c>
      <c r="D70" s="146">
        <f>ETo!$I69*((1-Constantes!$D$19)*ETo!$K69+ETo!$L69)</f>
        <v>4.0695840709926925</v>
      </c>
      <c r="E70" s="76">
        <f>MIN(D70*Constantes!$D$17,0.8*(H69+Observaciones!$F69-F70-G70-Constantes!$D$14))</f>
        <v>2.0750156086065381</v>
      </c>
      <c r="F70" s="76">
        <f>IF(Observaciones!$F69&gt;0.05*Constantes!$D$18,((Observaciones!$F69-0.05*Constantes!$D$18)^2)/(Observaciones!$F69+0.95*Constantes!$D$18),0)</f>
        <v>0</v>
      </c>
      <c r="G70" s="76">
        <f>MAX(0,H69+Observaciones!$F69-F70-Constantes!$D$13)</f>
        <v>0</v>
      </c>
      <c r="H70" s="76">
        <f>H69+Observaciones!$F69-F70-E70-G70-I69</f>
        <v>26.927028258454776</v>
      </c>
      <c r="I70" s="76">
        <f>MAX(0,(H70-Constantes!$D$14)*(1-EXP(-Constantes!$D$22)))</f>
        <v>0.53401713403190409</v>
      </c>
      <c r="J70" s="76">
        <f t="shared" si="0"/>
        <v>131.70298957814276</v>
      </c>
      <c r="K70" s="76">
        <f>MAX(0,(J70-Constantes!$D$13)*(1-EXP(-Constantes!$D$23)))</f>
        <v>0.81735556417622834</v>
      </c>
      <c r="L70" s="76">
        <f t="shared" si="1"/>
        <v>1.3513726982081324</v>
      </c>
      <c r="M70" s="76">
        <f>0.0526*F70*Observaciones!$F69^1.218</f>
        <v>0</v>
      </c>
      <c r="N70" s="76">
        <f>M70*Constantes!$D$51</f>
        <v>0</v>
      </c>
      <c r="O70" s="76">
        <f t="shared" si="2"/>
        <v>0</v>
      </c>
      <c r="P70" s="15"/>
      <c r="Q70" s="75">
        <v>64</v>
      </c>
      <c r="R70" s="76">
        <f>0.0526*Observaciones!$F69^2.218</f>
        <v>0</v>
      </c>
      <c r="S70" s="76">
        <f>IF(Observaciones!$F69&gt;0.05*$W$7,((Observaciones!$F69-0.05*$W$7)^2)/(Observaciones!$F69+0.95*$W$7),0)</f>
        <v>0</v>
      </c>
      <c r="T70" s="76">
        <f>0.0526*S70*Observaciones!$F69^1.218</f>
        <v>0</v>
      </c>
      <c r="U70" s="29"/>
      <c r="V70" s="29"/>
      <c r="W70" s="109"/>
      <c r="X70" s="40"/>
    </row>
    <row r="71" spans="2:24" s="2" customFormat="1">
      <c r="B71" s="39"/>
      <c r="C71" s="75">
        <v>65</v>
      </c>
      <c r="D71" s="146">
        <f>ETo!$I70*((1-Constantes!$D$19)*ETo!$K70+ETo!$L70)</f>
        <v>3.9840202268561473</v>
      </c>
      <c r="E71" s="76">
        <f>MIN(D71*Constantes!$D$17,0.8*(H70+Observaciones!$F70-F71-G71-Constantes!$D$14))</f>
        <v>2.0313879776205539</v>
      </c>
      <c r="F71" s="76">
        <f>IF(Observaciones!$F70&gt;0.05*Constantes!$D$18,((Observaciones!$F70-0.05*Constantes!$D$18)^2)/(Observaciones!$F70+0.95*Constantes!$D$18),0)</f>
        <v>6.1881072774216207E-2</v>
      </c>
      <c r="G71" s="76">
        <f>MAX(0,H70+Observaciones!$F70-F71-Constantes!$D$13)</f>
        <v>0</v>
      </c>
      <c r="H71" s="76">
        <f>H70+Observaciones!$F70-F71-E71-G71-I70</f>
        <v>30.099742074028104</v>
      </c>
      <c r="I71" s="76">
        <f>MAX(0,(H71-Constantes!$D$14)*(1-EXP(-Constantes!$D$22)))</f>
        <v>0.64209141386119206</v>
      </c>
      <c r="J71" s="76">
        <f t="shared" ref="J71:J134" si="3">J70+G71-K70</f>
        <v>130.88563401396652</v>
      </c>
      <c r="K71" s="76">
        <f>MAX(0,(J71-Constantes!$D$13)*(1-EXP(-Constantes!$D$23)))</f>
        <v>0.80930196512347186</v>
      </c>
      <c r="L71" s="76">
        <f t="shared" ref="L71:L134" si="4">F71+I71+K71</f>
        <v>1.5132744517588801</v>
      </c>
      <c r="M71" s="76">
        <f>0.0526*F71*Observaciones!$F70^1.218</f>
        <v>2.7694840886423985E-2</v>
      </c>
      <c r="N71" s="76">
        <f>M71*Constantes!$D$51</f>
        <v>3.8938659586564293E-4</v>
      </c>
      <c r="O71" s="76">
        <f t="shared" ref="O71:O134" si="5">N71*1000000/(L71/1000*10000)</f>
        <v>25.73139296794832</v>
      </c>
      <c r="P71" s="15"/>
      <c r="Q71" s="75">
        <v>65</v>
      </c>
      <c r="R71" s="76">
        <f>0.0526*Observaciones!$F70^2.218</f>
        <v>2.5957868850681649</v>
      </c>
      <c r="S71" s="76">
        <f>IF(Observaciones!$F70&gt;0.05*$W$7,((Observaciones!$F70-0.05*$W$7)^2)/(Observaciones!$F70+0.95*$W$7),0)</f>
        <v>0.42760102492926944</v>
      </c>
      <c r="T71" s="76">
        <f>0.0526*S71*Observaciones!$F70^1.218</f>
        <v>0.19137260906087983</v>
      </c>
      <c r="U71" s="29"/>
      <c r="V71" s="29"/>
      <c r="W71" s="109"/>
      <c r="X71" s="40"/>
    </row>
    <row r="72" spans="2:24" s="2" customFormat="1">
      <c r="B72" s="39"/>
      <c r="C72" s="75">
        <v>66</v>
      </c>
      <c r="D72" s="146">
        <f>ETo!$I71*((1-Constantes!$D$19)*ETo!$K71+ETo!$L71)</f>
        <v>3.9323290304187295</v>
      </c>
      <c r="E72" s="76">
        <f>MIN(D72*Constantes!$D$17,0.8*(H71+Observaciones!$F71-F72-G72-Constantes!$D$14))</f>
        <v>2.0050314661038806</v>
      </c>
      <c r="F72" s="76">
        <f>IF(Observaciones!$F71&gt;0.05*Constantes!$D$18,((Observaciones!$F71-0.05*Constantes!$D$18)^2)/(Observaciones!$F71+0.95*Constantes!$D$18),0)</f>
        <v>0</v>
      </c>
      <c r="G72" s="76">
        <f>MAX(0,H71+Observaciones!$F71-F72-Constantes!$D$13)</f>
        <v>0</v>
      </c>
      <c r="H72" s="76">
        <f>H71+Observaciones!$F71-F72-E72-G72-I71</f>
        <v>27.452619194063033</v>
      </c>
      <c r="I72" s="76">
        <f>MAX(0,(H72-Constantes!$D$14)*(1-EXP(-Constantes!$D$22)))</f>
        <v>0.55192069078254646</v>
      </c>
      <c r="J72" s="76">
        <f t="shared" si="3"/>
        <v>130.07633204884306</v>
      </c>
      <c r="K72" s="76">
        <f>MAX(0,(J72-Constantes!$D$13)*(1-EXP(-Constantes!$D$23)))</f>
        <v>0.8013277201004001</v>
      </c>
      <c r="L72" s="76">
        <f t="shared" si="4"/>
        <v>1.3532484108829466</v>
      </c>
      <c r="M72" s="76">
        <f>0.0526*F72*Observaciones!$F71^1.218</f>
        <v>0</v>
      </c>
      <c r="N72" s="76">
        <f>M72*Constantes!$D$51</f>
        <v>0</v>
      </c>
      <c r="O72" s="76">
        <f t="shared" si="5"/>
        <v>0</v>
      </c>
      <c r="P72" s="15"/>
      <c r="Q72" s="75">
        <v>66</v>
      </c>
      <c r="R72" s="76">
        <f>0.0526*Observaciones!$F71^2.218</f>
        <v>0</v>
      </c>
      <c r="S72" s="76">
        <f>IF(Observaciones!$F71&gt;0.05*$W$7,((Observaciones!$F71-0.05*$W$7)^2)/(Observaciones!$F71+0.95*$W$7),0)</f>
        <v>0</v>
      </c>
      <c r="T72" s="76">
        <f>0.0526*S72*Observaciones!$F71^1.218</f>
        <v>0</v>
      </c>
      <c r="U72" s="29"/>
      <c r="V72" s="29"/>
      <c r="W72" s="109"/>
      <c r="X72" s="40"/>
    </row>
    <row r="73" spans="2:24" s="2" customFormat="1">
      <c r="B73" s="39"/>
      <c r="C73" s="75">
        <v>67</v>
      </c>
      <c r="D73" s="146">
        <f>ETo!$I72*((1-Constantes!$D$19)*ETo!$K72+ETo!$L72)</f>
        <v>4.0702611004925551</v>
      </c>
      <c r="E73" s="76">
        <f>MIN(D73*Constantes!$D$17,0.8*(H72+Observaciones!$F72-F73-G73-Constantes!$D$14))</f>
        <v>2.0753608150834641</v>
      </c>
      <c r="F73" s="76">
        <f>IF(Observaciones!$F72&gt;0.05*Constantes!$D$18,((Observaciones!$F72-0.05*Constantes!$D$18)^2)/(Observaciones!$F72+0.95*Constantes!$D$18),0)</f>
        <v>8.8738712764339649</v>
      </c>
      <c r="G73" s="76">
        <f>MAX(0,H72+Observaciones!$F72-F73-Constantes!$D$13)</f>
        <v>3.7287479176290645</v>
      </c>
      <c r="H73" s="76">
        <f>H72+Observaciones!$F72-F73-E73-G73-I72</f>
        <v>46.122718494133991</v>
      </c>
      <c r="I73" s="76">
        <f>MAX(0,(H73-Constantes!$D$14)*(1-EXP(-Constantes!$D$22)))</f>
        <v>1.187892812280634</v>
      </c>
      <c r="J73" s="76">
        <f t="shared" si="3"/>
        <v>133.00375224637173</v>
      </c>
      <c r="K73" s="76">
        <f>MAX(0,(J73-Constantes!$D$13)*(1-EXP(-Constantes!$D$23)))</f>
        <v>0.83017228856381808</v>
      </c>
      <c r="L73" s="76">
        <f t="shared" si="4"/>
        <v>10.891936377278416</v>
      </c>
      <c r="M73" s="76">
        <f>0.0526*F73*Observaciones!$F72^1.218</f>
        <v>34.110029982938492</v>
      </c>
      <c r="N73" s="76">
        <f>M73*Constantes!$D$51</f>
        <v>0.47958349045588006</v>
      </c>
      <c r="O73" s="76">
        <f t="shared" si="5"/>
        <v>4403.1058743267677</v>
      </c>
      <c r="P73" s="15"/>
      <c r="Q73" s="75">
        <v>67</v>
      </c>
      <c r="R73" s="76">
        <f>0.0526*Observaciones!$F72^2.218</f>
        <v>130.30727857101567</v>
      </c>
      <c r="S73" s="76">
        <f>IF(Observaciones!$F72&gt;0.05*$W$7,((Observaciones!$F72-0.05*$W$7)^2)/(Observaciones!$F72+0.95*$W$7),0)</f>
        <v>15.489843010632969</v>
      </c>
      <c r="T73" s="76">
        <f>0.0526*S73*Observaciones!$F72^1.218</f>
        <v>59.540981953033921</v>
      </c>
      <c r="U73" s="29"/>
      <c r="V73" s="29"/>
      <c r="W73" s="109"/>
      <c r="X73" s="40"/>
    </row>
    <row r="74" spans="2:24" s="2" customFormat="1">
      <c r="B74" s="39"/>
      <c r="C74" s="75">
        <v>68</v>
      </c>
      <c r="D74" s="146">
        <f>ETo!$I73*((1-Constantes!$D$19)*ETo!$K73+ETo!$L73)</f>
        <v>3.9548069945423174</v>
      </c>
      <c r="E74" s="76">
        <f>MIN(D74*Constantes!$D$17,0.8*(H73+Observaciones!$F73-F74-G74-Constantes!$D$14))</f>
        <v>2.0164926192813271</v>
      </c>
      <c r="F74" s="76">
        <f>IF(Observaciones!$F73&gt;0.05*Constantes!$D$18,((Observaciones!$F73-0.05*Constantes!$D$18)^2)/(Observaciones!$F73+0.95*Constantes!$D$18),0)</f>
        <v>0</v>
      </c>
      <c r="G74" s="76">
        <f>MAX(0,H73+Observaciones!$F73-F74-Constantes!$D$13)</f>
        <v>0</v>
      </c>
      <c r="H74" s="76">
        <f>H73+Observaciones!$F73-F74-E74-G74-I73</f>
        <v>44.918333062572025</v>
      </c>
      <c r="I74" s="76">
        <f>MAX(0,(H74-Constantes!$D$14)*(1-EXP(-Constantes!$D$22)))</f>
        <v>1.1468670230921993</v>
      </c>
      <c r="J74" s="76">
        <f t="shared" si="3"/>
        <v>132.1735799578079</v>
      </c>
      <c r="K74" s="76">
        <f>MAX(0,(J74-Constantes!$D$13)*(1-EXP(-Constantes!$D$23)))</f>
        <v>0.82199240327296474</v>
      </c>
      <c r="L74" s="76">
        <f t="shared" si="4"/>
        <v>1.9688594263651642</v>
      </c>
      <c r="M74" s="76">
        <f>0.0526*F74*Observaciones!$F73^1.218</f>
        <v>0</v>
      </c>
      <c r="N74" s="76">
        <f>M74*Constantes!$D$51</f>
        <v>0</v>
      </c>
      <c r="O74" s="76">
        <f t="shared" si="5"/>
        <v>0</v>
      </c>
      <c r="P74" s="15"/>
      <c r="Q74" s="75">
        <v>68</v>
      </c>
      <c r="R74" s="76">
        <f>0.0526*Observaciones!$F73^2.218</f>
        <v>0.24472045674166781</v>
      </c>
      <c r="S74" s="76">
        <f>IF(Observaciones!$F73&gt;0.05*$W$7,((Observaciones!$F73-0.05*$W$7)^2)/(Observaciones!$F73+0.95*$W$7),0)</f>
        <v>2.0605192437462322E-3</v>
      </c>
      <c r="T74" s="76">
        <f>0.0526*S74*Observaciones!$F73^1.218</f>
        <v>2.5212560522728692E-4</v>
      </c>
      <c r="U74" s="29"/>
      <c r="V74" s="29"/>
      <c r="W74" s="109"/>
      <c r="X74" s="40"/>
    </row>
    <row r="75" spans="2:24" s="2" customFormat="1">
      <c r="B75" s="39"/>
      <c r="C75" s="75">
        <v>69</v>
      </c>
      <c r="D75" s="146">
        <f>ETo!$I74*((1-Constantes!$D$19)*ETo!$K74+ETo!$L74)</f>
        <v>4.0789345359185596</v>
      </c>
      <c r="E75" s="76">
        <f>MIN(D75*Constantes!$D$17,0.8*(H74+Observaciones!$F74-F75-G75-Constantes!$D$14))</f>
        <v>2.0797832606148106</v>
      </c>
      <c r="F75" s="76">
        <f>IF(Observaciones!$F74&gt;0.05*Constantes!$D$18,((Observaciones!$F74-0.05*Constantes!$D$18)^2)/(Observaciones!$F74+0.95*Constantes!$D$18),0)</f>
        <v>1.0855483254898153</v>
      </c>
      <c r="G75" s="76">
        <f>MAX(0,H74+Observaciones!$F74-F75-Constantes!$D$13)</f>
        <v>8.1827847370822084</v>
      </c>
      <c r="H75" s="76">
        <f>H74+Observaciones!$F74-F75-E75-G75-I74</f>
        <v>45.523349716292991</v>
      </c>
      <c r="I75" s="76">
        <f>MAX(0,(H75-Constantes!$D$14)*(1-EXP(-Constantes!$D$22)))</f>
        <v>1.1674761113795409</v>
      </c>
      <c r="J75" s="76">
        <f t="shared" si="3"/>
        <v>139.53437229161716</v>
      </c>
      <c r="K75" s="76">
        <f>MAX(0,(J75-Constantes!$D$13)*(1-EXP(-Constantes!$D$23)))</f>
        <v>0.89452004334212964</v>
      </c>
      <c r="L75" s="76">
        <f t="shared" si="4"/>
        <v>3.1475444802114856</v>
      </c>
      <c r="M75" s="76">
        <f>0.0526*F75*Observaciones!$F74^1.218</f>
        <v>1.3106035621920744</v>
      </c>
      <c r="N75" s="76">
        <f>M75*Constantes!$D$51</f>
        <v>1.8426950409436069E-2</v>
      </c>
      <c r="O75" s="76">
        <f t="shared" si="5"/>
        <v>585.43891993538887</v>
      </c>
      <c r="P75" s="15"/>
      <c r="Q75" s="75">
        <v>69</v>
      </c>
      <c r="R75" s="76">
        <f>0.0526*Observaciones!$F74^2.218</f>
        <v>15.815884250910074</v>
      </c>
      <c r="S75" s="76">
        <f>IF(Observaciones!$F74&gt;0.05*$W$7,((Observaciones!$F74-0.05*$W$7)^2)/(Observaciones!$F74+0.95*$W$7),0)</f>
        <v>2.8091910608904982</v>
      </c>
      <c r="T75" s="76">
        <f>0.0526*S75*Observaciones!$F74^1.218</f>
        <v>3.3915908899034655</v>
      </c>
      <c r="U75" s="29"/>
      <c r="V75" s="29"/>
      <c r="W75" s="109"/>
      <c r="X75" s="40"/>
    </row>
    <row r="76" spans="2:24" s="2" customFormat="1">
      <c r="B76" s="39"/>
      <c r="C76" s="75">
        <v>70</v>
      </c>
      <c r="D76" s="146">
        <f>ETo!$I75*((1-Constantes!$D$19)*ETo!$K75+ETo!$L75)</f>
        <v>3.9674591250458451</v>
      </c>
      <c r="E76" s="76">
        <f>MIN(D76*Constantes!$D$17,0.8*(H75+Observaciones!$F75-F76-G76-Constantes!$D$14))</f>
        <v>2.022943737582108</v>
      </c>
      <c r="F76" s="76">
        <f>IF(Observaciones!$F75&gt;0.05*Constantes!$D$18,((Observaciones!$F75-0.05*Constantes!$D$18)^2)/(Observaciones!$F75+0.95*Constantes!$D$18),0)</f>
        <v>4.1261592919964431E-2</v>
      </c>
      <c r="G76" s="76">
        <f>MAX(0,H75+Observaciones!$F75-F76-Constantes!$D$13)</f>
        <v>2.1320881233730233</v>
      </c>
      <c r="H76" s="76">
        <f>H75+Observaciones!$F75-F76-E76-G76-I75</f>
        <v>45.559580151038347</v>
      </c>
      <c r="I76" s="76">
        <f>MAX(0,(H76-Constantes!$D$14)*(1-EXP(-Constantes!$D$22)))</f>
        <v>1.1687102529916165</v>
      </c>
      <c r="J76" s="76">
        <f t="shared" si="3"/>
        <v>140.77194037164804</v>
      </c>
      <c r="K76" s="76">
        <f>MAX(0,(J76-Constantes!$D$13)*(1-EXP(-Constantes!$D$23)))</f>
        <v>0.90671409640042544</v>
      </c>
      <c r="L76" s="76">
        <f t="shared" si="4"/>
        <v>2.1166859423120066</v>
      </c>
      <c r="M76" s="76">
        <f>0.0526*F76*Observaciones!$F75^1.218</f>
        <v>1.6927286065049178E-2</v>
      </c>
      <c r="N76" s="76">
        <f>M76*Constantes!$D$51</f>
        <v>2.3799588974509939E-4</v>
      </c>
      <c r="O76" s="76">
        <f t="shared" si="5"/>
        <v>11.243797910101961</v>
      </c>
      <c r="P76" s="15"/>
      <c r="Q76" s="75">
        <v>70</v>
      </c>
      <c r="R76" s="76">
        <f>0.0526*Observaciones!$F75^2.218</f>
        <v>2.215313037685418</v>
      </c>
      <c r="S76" s="76">
        <f>IF(Observaciones!$F75&gt;0.05*$W$7,((Observaciones!$F75-0.05*$W$7)^2)/(Observaciones!$F75+0.95*$W$7),0)</f>
        <v>0.35127835852292982</v>
      </c>
      <c r="T76" s="76">
        <f>0.0526*S76*Observaciones!$F75^1.218</f>
        <v>0.14410954212825539</v>
      </c>
      <c r="U76" s="29"/>
      <c r="V76" s="29"/>
      <c r="W76" s="109"/>
      <c r="X76" s="40"/>
    </row>
    <row r="77" spans="2:24" s="2" customFormat="1">
      <c r="B77" s="39"/>
      <c r="C77" s="75">
        <v>71</v>
      </c>
      <c r="D77" s="146">
        <f>ETo!$I76*((1-Constantes!$D$19)*ETo!$K76+ETo!$L76)</f>
        <v>3.998343730856508</v>
      </c>
      <c r="E77" s="76">
        <f>MIN(D77*Constantes!$D$17,0.8*(H76+Observaciones!$F76-F77-G77-Constantes!$D$14))</f>
        <v>2.0386913024449598</v>
      </c>
      <c r="F77" s="76">
        <f>IF(Observaciones!$F76&gt;0.05*Constantes!$D$18,((Observaciones!$F76-0.05*Constantes!$D$18)^2)/(Observaciones!$F76+0.95*Constantes!$D$18),0)</f>
        <v>3.0303239285304056</v>
      </c>
      <c r="G77" s="76">
        <f>MAX(0,H76+Observaciones!$F76-F77-Constantes!$D$13)</f>
        <v>13.879256222507934</v>
      </c>
      <c r="H77" s="76">
        <f>H76+Observaciones!$F76-F77-E77-G77-I76</f>
        <v>45.542598444563424</v>
      </c>
      <c r="I77" s="76">
        <f>MAX(0,(H77-Constantes!$D$14)*(1-EXP(-Constantes!$D$22)))</f>
        <v>1.1681317937279598</v>
      </c>
      <c r="J77" s="76">
        <f t="shared" si="3"/>
        <v>153.74448249775554</v>
      </c>
      <c r="K77" s="76">
        <f>MAX(0,(J77-Constantes!$D$13)*(1-EXP(-Constantes!$D$23)))</f>
        <v>1.0345356437877702</v>
      </c>
      <c r="L77" s="76">
        <f t="shared" si="4"/>
        <v>5.2329913660461358</v>
      </c>
      <c r="M77" s="76">
        <f>0.0526*F77*Observaciones!$F76^1.218</f>
        <v>6.1626513347083041</v>
      </c>
      <c r="N77" s="76">
        <f>M77*Constantes!$D$51</f>
        <v>8.6646239802202221E-2</v>
      </c>
      <c r="O77" s="76">
        <f t="shared" si="5"/>
        <v>1655.7688278333444</v>
      </c>
      <c r="P77" s="15"/>
      <c r="Q77" s="75">
        <v>71</v>
      </c>
      <c r="R77" s="76">
        <f>0.0526*Observaciones!$F76^2.218</f>
        <v>40.876584401228989</v>
      </c>
      <c r="S77" s="76">
        <f>IF(Observaciones!$F76&gt;0.05*$W$7,((Observaciones!$F76-0.05*$W$7)^2)/(Observaciones!$F76+0.95*$W$7),0)</f>
        <v>6.3653050962415536</v>
      </c>
      <c r="T77" s="76">
        <f>0.0526*S77*Observaciones!$F76^1.218</f>
        <v>12.944872189357753</v>
      </c>
      <c r="U77" s="29"/>
      <c r="V77" s="29"/>
      <c r="W77" s="109"/>
      <c r="X77" s="40"/>
    </row>
    <row r="78" spans="2:24" s="2" customFormat="1">
      <c r="B78" s="39"/>
      <c r="C78" s="75">
        <v>72</v>
      </c>
      <c r="D78" s="146">
        <f>ETo!$I77*((1-Constantes!$D$19)*ETo!$K77+ETo!$L77)</f>
        <v>3.9912292131257829</v>
      </c>
      <c r="E78" s="76">
        <f>MIN(D78*Constantes!$D$17,0.8*(H77+Observaciones!$F77-F78-G78-Constantes!$D$14))</f>
        <v>2.0350637240287308</v>
      </c>
      <c r="F78" s="76">
        <f>IF(Observaciones!$F77&gt;0.05*Constantes!$D$18,((Observaciones!$F77-0.05*Constantes!$D$18)^2)/(Observaciones!$F77+0.95*Constantes!$D$18),0)</f>
        <v>0.30316145787159327</v>
      </c>
      <c r="G78" s="76">
        <f>MAX(0,H77+Observaciones!$F77-F78-Constantes!$D$13)</f>
        <v>4.9894369866918282</v>
      </c>
      <c r="H78" s="76">
        <f>H77+Observaciones!$F77-F78-E78-G78-I77</f>
        <v>45.54680448224331</v>
      </c>
      <c r="I78" s="76">
        <f>MAX(0,(H78-Constantes!$D$14)*(1-EXP(-Constantes!$D$22)))</f>
        <v>1.1682750668120172</v>
      </c>
      <c r="J78" s="76">
        <f t="shared" si="3"/>
        <v>157.69938384065961</v>
      </c>
      <c r="K78" s="76">
        <f>MAX(0,(J78-Constantes!$D$13)*(1-EXP(-Constantes!$D$23)))</f>
        <v>1.0735042287035139</v>
      </c>
      <c r="L78" s="76">
        <f t="shared" si="4"/>
        <v>2.5449407533871247</v>
      </c>
      <c r="M78" s="76">
        <f>0.0526*F78*Observaciones!$F77^1.218</f>
        <v>0.2161185188859642</v>
      </c>
      <c r="N78" s="76">
        <f>M78*Constantes!$D$51</f>
        <v>3.0386040027325953E-3</v>
      </c>
      <c r="O78" s="76">
        <f t="shared" si="5"/>
        <v>119.39782875842755</v>
      </c>
      <c r="P78" s="15"/>
      <c r="Q78" s="75">
        <v>72</v>
      </c>
      <c r="R78" s="76">
        <f>0.0526*Observaciones!$F77^2.218</f>
        <v>6.0595018358460901</v>
      </c>
      <c r="S78" s="76">
        <f>IF(Observaciones!$F77&gt;0.05*$W$7,((Observaciones!$F77-0.05*$W$7)^2)/(Observaciones!$F77+0.95*$W$7),0)</f>
        <v>1.106358845896666</v>
      </c>
      <c r="T78" s="76">
        <f>0.0526*S78*Observaciones!$F77^1.218</f>
        <v>0.78870393621357715</v>
      </c>
      <c r="U78" s="29"/>
      <c r="V78" s="29"/>
      <c r="W78" s="109"/>
      <c r="X78" s="40"/>
    </row>
    <row r="79" spans="2:24" s="2" customFormat="1">
      <c r="B79" s="39"/>
      <c r="C79" s="75">
        <v>73</v>
      </c>
      <c r="D79" s="146">
        <f>ETo!$I78*((1-Constantes!$D$19)*ETo!$K78+ETo!$L78)</f>
        <v>3.8342218584254351</v>
      </c>
      <c r="E79" s="76">
        <f>MIN(D79*Constantes!$D$17,0.8*(H78+Observaciones!$F78-F79-G79-Constantes!$D$14))</f>
        <v>1.9550081935406298</v>
      </c>
      <c r="F79" s="76">
        <f>IF(Observaciones!$F78&gt;0.05*Constantes!$D$18,((Observaciones!$F78-0.05*Constantes!$D$18)^2)/(Observaciones!$F78+0.95*Constantes!$D$18),0)</f>
        <v>0</v>
      </c>
      <c r="G79" s="76">
        <f>MAX(0,H78+Observaciones!$F78-F79-Constantes!$D$13)</f>
        <v>0.1968044822433086</v>
      </c>
      <c r="H79" s="76">
        <f>H78+Observaciones!$F78-F79-E79-G79-I78</f>
        <v>45.626716739647357</v>
      </c>
      <c r="I79" s="76">
        <f>MAX(0,(H79-Constantes!$D$14)*(1-EXP(-Constantes!$D$22)))</f>
        <v>1.1709971716631018</v>
      </c>
      <c r="J79" s="76">
        <f t="shared" si="3"/>
        <v>156.82268409419939</v>
      </c>
      <c r="K79" s="76">
        <f>MAX(0,(J79-Constantes!$D$13)*(1-EXP(-Constantes!$D$23)))</f>
        <v>1.0648658972880305</v>
      </c>
      <c r="L79" s="76">
        <f t="shared" si="4"/>
        <v>2.2358630689511321</v>
      </c>
      <c r="M79" s="76">
        <f>0.0526*F79*Observaciones!$F78^1.218</f>
        <v>0</v>
      </c>
      <c r="N79" s="76">
        <f>M79*Constantes!$D$51</f>
        <v>0</v>
      </c>
      <c r="O79" s="76">
        <f t="shared" si="5"/>
        <v>0</v>
      </c>
      <c r="P79" s="15"/>
      <c r="Q79" s="75">
        <v>73</v>
      </c>
      <c r="R79" s="76">
        <f>0.0526*Observaciones!$F78^2.218</f>
        <v>0.79397345371627714</v>
      </c>
      <c r="S79" s="76">
        <f>IF(Observaciones!$F78&gt;0.05*$W$7,((Observaciones!$F78-0.05*$W$7)^2)/(Observaciones!$F78+0.95*$W$7),0)</f>
        <v>7.6652401060814793E-2</v>
      </c>
      <c r="T79" s="76">
        <f>0.0526*S79*Observaciones!$F78^1.218</f>
        <v>1.7899991648794227E-2</v>
      </c>
      <c r="U79" s="29"/>
      <c r="V79" s="29"/>
      <c r="W79" s="109"/>
      <c r="X79" s="40"/>
    </row>
    <row r="80" spans="2:24" s="2" customFormat="1">
      <c r="B80" s="39"/>
      <c r="C80" s="75">
        <v>74</v>
      </c>
      <c r="D80" s="146">
        <f>ETo!$I79*((1-Constantes!$D$19)*ETo!$K79+ETo!$L79)</f>
        <v>3.8558802161581553</v>
      </c>
      <c r="E80" s="76">
        <f>MIN(D80*Constantes!$D$17,0.8*(H79+Observaciones!$F79-F80-G80-Constantes!$D$14))</f>
        <v>1.9660514425725182</v>
      </c>
      <c r="F80" s="76">
        <f>IF(Observaciones!$F79&gt;0.05*Constantes!$D$18,((Observaciones!$F79-0.05*Constantes!$D$18)^2)/(Observaciones!$F79+0.95*Constantes!$D$18),0)</f>
        <v>5.1064501538615657E-2</v>
      </c>
      <c r="G80" s="76">
        <f>MAX(0,H79+Observaciones!$F79-F80-Constantes!$D$13)</f>
        <v>2.4256522381087393</v>
      </c>
      <c r="H80" s="76">
        <f>H79+Observaciones!$F79-F80-E80-G80-I79</f>
        <v>45.612951385764376</v>
      </c>
      <c r="I80" s="76">
        <f>MAX(0,(H80-Constantes!$D$14)*(1-EXP(-Constantes!$D$22)))</f>
        <v>1.1705282731761988</v>
      </c>
      <c r="J80" s="76">
        <f t="shared" si="3"/>
        <v>158.1834704350201</v>
      </c>
      <c r="K80" s="76">
        <f>MAX(0,(J80-Constantes!$D$13)*(1-EXP(-Constantes!$D$23)))</f>
        <v>1.0782740492181917</v>
      </c>
      <c r="L80" s="76">
        <f t="shared" si="4"/>
        <v>2.299866823933006</v>
      </c>
      <c r="M80" s="76">
        <f>0.0526*F80*Observaciones!$F79^1.218</f>
        <v>2.1897667547736522E-2</v>
      </c>
      <c r="N80" s="76">
        <f>M80*Constantes!$D$51</f>
        <v>3.0787893885284799E-4</v>
      </c>
      <c r="O80" s="76">
        <f t="shared" si="5"/>
        <v>13.386815951644701</v>
      </c>
      <c r="P80" s="15"/>
      <c r="Q80" s="75">
        <v>74</v>
      </c>
      <c r="R80" s="76">
        <f>0.0526*Observaciones!$F79^2.218</f>
        <v>2.40141261683701</v>
      </c>
      <c r="S80" s="76">
        <f>IF(Observaciones!$F79&gt;0.05*$W$7,((Observaciones!$F79-0.05*$W$7)^2)/(Observaciones!$F79+0.95*$W$7),0)</f>
        <v>0.38859907062598614</v>
      </c>
      <c r="T80" s="76">
        <f>0.0526*S80*Observaciones!$F79^1.218</f>
        <v>0.16664048412363916</v>
      </c>
      <c r="U80" s="29"/>
      <c r="V80" s="29"/>
      <c r="W80" s="109"/>
      <c r="X80" s="40"/>
    </row>
    <row r="81" spans="2:24" s="2" customFormat="1">
      <c r="B81" s="39"/>
      <c r="C81" s="75">
        <v>75</v>
      </c>
      <c r="D81" s="146">
        <f>ETo!$I80*((1-Constantes!$D$19)*ETo!$K80+ETo!$L80)</f>
        <v>3.8936438990683766</v>
      </c>
      <c r="E81" s="76">
        <f>MIN(D81*Constantes!$D$17,0.8*(H80+Observaciones!$F80-F81-G81-Constantes!$D$14))</f>
        <v>1.9853065384521478</v>
      </c>
      <c r="F81" s="76">
        <f>IF(Observaciones!$F80&gt;0.05*Constantes!$D$18,((Observaciones!$F80-0.05*Constantes!$D$18)^2)/(Observaciones!$F80+0.95*Constantes!$D$18),0)</f>
        <v>2.4530338176430289</v>
      </c>
      <c r="G81" s="76">
        <f>MAX(0,H80+Observaciones!$F80-F81-Constantes!$D$13)</f>
        <v>12.709917568121341</v>
      </c>
      <c r="H81" s="76">
        <f>H80+Observaciones!$F80-F81-E81-G81-I80</f>
        <v>45.594165188371655</v>
      </c>
      <c r="I81" s="76">
        <f>MAX(0,(H81-Constantes!$D$14)*(1-EXP(-Constantes!$D$22)))</f>
        <v>1.1698883463274603</v>
      </c>
      <c r="J81" s="76">
        <f t="shared" si="3"/>
        <v>169.81511395392326</v>
      </c>
      <c r="K81" s="76">
        <f>MAX(0,(J81-Constantes!$D$13)*(1-EXP(-Constantes!$D$23)))</f>
        <v>1.1928834032515863</v>
      </c>
      <c r="L81" s="76">
        <f t="shared" si="4"/>
        <v>4.8158055672220756</v>
      </c>
      <c r="M81" s="76">
        <f>0.0526*F81*Observaciones!$F80^1.218</f>
        <v>4.4499456520248639</v>
      </c>
      <c r="N81" s="76">
        <f>M81*Constantes!$D$51</f>
        <v>6.256577520466905E-2</v>
      </c>
      <c r="O81" s="76">
        <f t="shared" si="5"/>
        <v>1299.1756899512693</v>
      </c>
      <c r="P81" s="15"/>
      <c r="Q81" s="75">
        <v>75</v>
      </c>
      <c r="R81" s="76">
        <f>0.0526*Observaciones!$F80^2.218</f>
        <v>33.197261630212672</v>
      </c>
      <c r="S81" s="76">
        <f>IF(Observaciones!$F80&gt;0.05*$W$7,((Observaciones!$F80-0.05*$W$7)^2)/(Observaciones!$F80+0.95*$W$7),0)</f>
        <v>5.3609429851107651</v>
      </c>
      <c r="T81" s="76">
        <f>0.0526*S81*Observaciones!$F80^1.218</f>
        <v>9.7250615771243361</v>
      </c>
      <c r="U81" s="29"/>
      <c r="V81" s="29"/>
      <c r="W81" s="109"/>
      <c r="X81" s="40"/>
    </row>
    <row r="82" spans="2:24" s="2" customFormat="1">
      <c r="B82" s="39"/>
      <c r="C82" s="75">
        <v>76</v>
      </c>
      <c r="D82" s="146">
        <f>ETo!$I81*((1-Constantes!$D$19)*ETo!$K81+ETo!$L81)</f>
        <v>3.8937926583255318</v>
      </c>
      <c r="E82" s="76">
        <f>MIN(D82*Constantes!$D$17,0.8*(H81+Observaciones!$F81-F82-G82-Constantes!$D$14))</f>
        <v>1.9853823884100641</v>
      </c>
      <c r="F82" s="76">
        <f>IF(Observaciones!$F81&gt;0.05*Constantes!$D$18,((Observaciones!$F81-0.05*Constantes!$D$18)^2)/(Observaciones!$F81+0.95*Constantes!$D$18),0)</f>
        <v>0</v>
      </c>
      <c r="G82" s="76">
        <f>MAX(0,H81+Observaciones!$F81-F82-Constantes!$D$13)</f>
        <v>0</v>
      </c>
      <c r="H82" s="76">
        <f>H81+Observaciones!$F81-F82-E82-G82-I81</f>
        <v>42.63889445363413</v>
      </c>
      <c r="I82" s="76">
        <f>MAX(0,(H82-Constantes!$D$14)*(1-EXP(-Constantes!$D$22)))</f>
        <v>1.0692209760813314</v>
      </c>
      <c r="J82" s="76">
        <f t="shared" si="3"/>
        <v>168.62223055067167</v>
      </c>
      <c r="K82" s="76">
        <f>MAX(0,(J82-Constantes!$D$13)*(1-EXP(-Constantes!$D$23)))</f>
        <v>1.1811296389566577</v>
      </c>
      <c r="L82" s="76">
        <f t="shared" si="4"/>
        <v>2.2503506150379891</v>
      </c>
      <c r="M82" s="76">
        <f>0.0526*F82*Observaciones!$F81^1.218</f>
        <v>0</v>
      </c>
      <c r="N82" s="76">
        <f>M82*Constantes!$D$51</f>
        <v>0</v>
      </c>
      <c r="O82" s="76">
        <f t="shared" si="5"/>
        <v>0</v>
      </c>
      <c r="P82" s="15"/>
      <c r="Q82" s="75">
        <v>76</v>
      </c>
      <c r="R82" s="76">
        <f>0.0526*Observaciones!$F81^2.218</f>
        <v>1.4813929535417848E-3</v>
      </c>
      <c r="S82" s="76">
        <f>IF(Observaciones!$F81&gt;0.05*$W$7,((Observaciones!$F81-0.05*$W$7)^2)/(Observaciones!$F81+0.95*$W$7),0)</f>
        <v>0</v>
      </c>
      <c r="T82" s="76">
        <f>0.0526*S82*Observaciones!$F81^1.218</f>
        <v>0</v>
      </c>
      <c r="U82" s="29"/>
      <c r="V82" s="29"/>
      <c r="W82" s="109"/>
      <c r="X82" s="40"/>
    </row>
    <row r="83" spans="2:24" s="2" customFormat="1">
      <c r="B83" s="39"/>
      <c r="C83" s="75">
        <v>77</v>
      </c>
      <c r="D83" s="146">
        <f>ETo!$I82*((1-Constantes!$D$19)*ETo!$K82+ETo!$L82)</f>
        <v>4.0048457535301605</v>
      </c>
      <c r="E83" s="76">
        <f>MIN(D83*Constantes!$D$17,0.8*(H82+Observaciones!$F82-F83-G83-Constantes!$D$14))</f>
        <v>2.0420065794609843</v>
      </c>
      <c r="F83" s="76">
        <f>IF(Observaciones!$F82&gt;0.05*Constantes!$D$18,((Observaciones!$F82-0.05*Constantes!$D$18)^2)/(Observaciones!$F82+0.95*Constantes!$D$18),0)</f>
        <v>0</v>
      </c>
      <c r="G83" s="76">
        <f>MAX(0,H82+Observaciones!$F82-F83-Constantes!$D$13)</f>
        <v>0</v>
      </c>
      <c r="H83" s="76">
        <f>H82+Observaciones!$F82-F83-E83-G83-I82</f>
        <v>41.727666898091819</v>
      </c>
      <c r="I83" s="76">
        <f>MAX(0,(H83-Constantes!$D$14)*(1-EXP(-Constantes!$D$22)))</f>
        <v>1.0381812203547209</v>
      </c>
      <c r="J83" s="76">
        <f t="shared" si="3"/>
        <v>167.44110091171501</v>
      </c>
      <c r="K83" s="76">
        <f>MAX(0,(J83-Constantes!$D$13)*(1-EXP(-Constantes!$D$23)))</f>
        <v>1.1694916873008556</v>
      </c>
      <c r="L83" s="76">
        <f t="shared" si="4"/>
        <v>2.2076729076555766</v>
      </c>
      <c r="M83" s="76">
        <f>0.0526*F83*Observaciones!$F82^1.218</f>
        <v>0</v>
      </c>
      <c r="N83" s="76">
        <f>M83*Constantes!$D$51</f>
        <v>0</v>
      </c>
      <c r="O83" s="76">
        <f t="shared" si="5"/>
        <v>0</v>
      </c>
      <c r="P83" s="15"/>
      <c r="Q83" s="75">
        <v>77</v>
      </c>
      <c r="R83" s="76">
        <f>0.0526*Observaciones!$F82^2.218</f>
        <v>0.30232861200727251</v>
      </c>
      <c r="S83" s="76">
        <f>IF(Observaciones!$F82&gt;0.05*$W$7,((Observaciones!$F82-0.05*$W$7)^2)/(Observaciones!$F82+0.95*$W$7),0)</f>
        <v>6.2440408225724973E-3</v>
      </c>
      <c r="T83" s="76">
        <f>0.0526*S83*Observaciones!$F82^1.218</f>
        <v>8.5806917963867778E-4</v>
      </c>
      <c r="U83" s="29"/>
      <c r="V83" s="29"/>
      <c r="W83" s="109"/>
      <c r="X83" s="40"/>
    </row>
    <row r="84" spans="2:24" s="2" customFormat="1">
      <c r="B84" s="39"/>
      <c r="C84" s="75">
        <v>78</v>
      </c>
      <c r="D84" s="146">
        <f>ETo!$I83*((1-Constantes!$D$19)*ETo!$K83+ETo!$L83)</f>
        <v>4.0411547898899194</v>
      </c>
      <c r="E84" s="76">
        <f>MIN(D84*Constantes!$D$17,0.8*(H83+Observaciones!$F83-F84-G84-Constantes!$D$14))</f>
        <v>2.0605199744088822</v>
      </c>
      <c r="F84" s="76">
        <f>IF(Observaciones!$F83&gt;0.05*Constantes!$D$18,((Observaciones!$F83-0.05*Constantes!$D$18)^2)/(Observaciones!$F83+0.95*Constantes!$D$18),0)</f>
        <v>0</v>
      </c>
      <c r="G84" s="76">
        <f>MAX(0,H83+Observaciones!$F83-F84-Constantes!$D$13)</f>
        <v>0</v>
      </c>
      <c r="H84" s="76">
        <f>H83+Observaciones!$F83-F84-E84-G84-I83</f>
        <v>38.828965703328215</v>
      </c>
      <c r="I84" s="76">
        <f>MAX(0,(H84-Constantes!$D$14)*(1-EXP(-Constantes!$D$22)))</f>
        <v>0.93944081631113652</v>
      </c>
      <c r="J84" s="76">
        <f t="shared" si="3"/>
        <v>166.27160922441416</v>
      </c>
      <c r="K84" s="76">
        <f>MAX(0,(J84-Constantes!$D$13)*(1-EXP(-Constantes!$D$23)))</f>
        <v>1.1579684071546623</v>
      </c>
      <c r="L84" s="76">
        <f t="shared" si="4"/>
        <v>2.0974092234657986</v>
      </c>
      <c r="M84" s="76">
        <f>0.0526*F84*Observaciones!$F83^1.218</f>
        <v>0</v>
      </c>
      <c r="N84" s="76">
        <f>M84*Constantes!$D$51</f>
        <v>0</v>
      </c>
      <c r="O84" s="76">
        <f t="shared" si="5"/>
        <v>0</v>
      </c>
      <c r="P84" s="15"/>
      <c r="Q84" s="75">
        <v>78</v>
      </c>
      <c r="R84" s="76">
        <f>0.0526*Observaciones!$F83^2.218</f>
        <v>1.4813929535417848E-3</v>
      </c>
      <c r="S84" s="76">
        <f>IF(Observaciones!$F83&gt;0.05*$W$7,((Observaciones!$F83-0.05*$W$7)^2)/(Observaciones!$F83+0.95*$W$7),0)</f>
        <v>0</v>
      </c>
      <c r="T84" s="76">
        <f>0.0526*S84*Observaciones!$F83^1.218</f>
        <v>0</v>
      </c>
      <c r="U84" s="29"/>
      <c r="V84" s="29"/>
      <c r="W84" s="109"/>
      <c r="X84" s="40"/>
    </row>
    <row r="85" spans="2:24" s="2" customFormat="1">
      <c r="B85" s="39"/>
      <c r="C85" s="75">
        <v>79</v>
      </c>
      <c r="D85" s="146">
        <f>ETo!$I84*((1-Constantes!$D$19)*ETo!$K84+ETo!$L84)</f>
        <v>3.9578091074791084</v>
      </c>
      <c r="E85" s="76">
        <f>MIN(D85*Constantes!$D$17,0.8*(H84+Observaciones!$F84-F85-G85-Constantes!$D$14))</f>
        <v>2.018023348489514</v>
      </c>
      <c r="F85" s="76">
        <f>IF(Observaciones!$F84&gt;0.05*Constantes!$D$18,((Observaciones!$F84-0.05*Constantes!$D$18)^2)/(Observaciones!$F84+0.95*Constantes!$D$18),0)</f>
        <v>0</v>
      </c>
      <c r="G85" s="76">
        <f>MAX(0,H84+Observaciones!$F84-F85-Constantes!$D$13)</f>
        <v>0</v>
      </c>
      <c r="H85" s="76">
        <f>H84+Observaciones!$F84-F85-E85-G85-I84</f>
        <v>39.471501538527569</v>
      </c>
      <c r="I85" s="76">
        <f>MAX(0,(H85-Constantes!$D$14)*(1-EXP(-Constantes!$D$22)))</f>
        <v>0.96132794565536694</v>
      </c>
      <c r="J85" s="76">
        <f t="shared" si="3"/>
        <v>165.11364081725949</v>
      </c>
      <c r="K85" s="76">
        <f>MAX(0,(J85-Constantes!$D$13)*(1-EXP(-Constantes!$D$23)))</f>
        <v>1.1465586686323808</v>
      </c>
      <c r="L85" s="76">
        <f t="shared" si="4"/>
        <v>2.1078866142877475</v>
      </c>
      <c r="M85" s="76">
        <f>0.0526*F85*Observaciones!$F84^1.218</f>
        <v>0</v>
      </c>
      <c r="N85" s="76">
        <f>M85*Constantes!$D$51</f>
        <v>0</v>
      </c>
      <c r="O85" s="76">
        <f t="shared" si="5"/>
        <v>0</v>
      </c>
      <c r="P85" s="15"/>
      <c r="Q85" s="75">
        <v>79</v>
      </c>
      <c r="R85" s="76">
        <f>0.0526*Observaciones!$F84^2.218</f>
        <v>0.90129028711731973</v>
      </c>
      <c r="S85" s="76">
        <f>IF(Observaciones!$F84&gt;0.05*$W$7,((Observaciones!$F84-0.05*$W$7)^2)/(Observaciones!$F84+0.95*$W$7),0)</f>
        <v>9.5607362379868999E-2</v>
      </c>
      <c r="T85" s="76">
        <f>0.0526*S85*Observaciones!$F84^1.218</f>
        <v>2.3936107524967155E-2</v>
      </c>
      <c r="U85" s="29"/>
      <c r="V85" s="29"/>
      <c r="W85" s="109"/>
      <c r="X85" s="40"/>
    </row>
    <row r="86" spans="2:24" s="2" customFormat="1">
      <c r="B86" s="39"/>
      <c r="C86" s="75">
        <v>80</v>
      </c>
      <c r="D86" s="146">
        <f>ETo!$I85*((1-Constantes!$D$19)*ETo!$K85+ETo!$L85)</f>
        <v>3.8136252460090012</v>
      </c>
      <c r="E86" s="76">
        <f>MIN(D86*Constantes!$D$17,0.8*(H85+Observaciones!$F85-F86-G86-Constantes!$D$14))</f>
        <v>1.9445063114064947</v>
      </c>
      <c r="F86" s="76">
        <f>IF(Observaciones!$F85&gt;0.05*Constantes!$D$18,((Observaciones!$F85-0.05*Constantes!$D$18)^2)/(Observaciones!$F85+0.95*Constantes!$D$18),0)</f>
        <v>0</v>
      </c>
      <c r="G86" s="76">
        <f>MAX(0,H85+Observaciones!$F85-F86-Constantes!$D$13)</f>
        <v>0</v>
      </c>
      <c r="H86" s="76">
        <f>H85+Observaciones!$F85-F86-E86-G86-I85</f>
        <v>36.565667281465707</v>
      </c>
      <c r="I86" s="76">
        <f>MAX(0,(H86-Constantes!$D$14)*(1-EXP(-Constantes!$D$22)))</f>
        <v>0.86234456332389609</v>
      </c>
      <c r="J86" s="76">
        <f t="shared" si="3"/>
        <v>163.9670821486271</v>
      </c>
      <c r="K86" s="76">
        <f>MAX(0,(J86-Constantes!$D$13)*(1-EXP(-Constantes!$D$23)))</f>
        <v>1.1352613529813471</v>
      </c>
      <c r="L86" s="76">
        <f t="shared" si="4"/>
        <v>1.9976059163052433</v>
      </c>
      <c r="M86" s="76">
        <f>0.0526*F86*Observaciones!$F85^1.218</f>
        <v>0</v>
      </c>
      <c r="N86" s="76">
        <f>M86*Constantes!$D$51</f>
        <v>0</v>
      </c>
      <c r="O86" s="76">
        <f t="shared" si="5"/>
        <v>0</v>
      </c>
      <c r="P86" s="15"/>
      <c r="Q86" s="75">
        <v>80</v>
      </c>
      <c r="R86" s="76">
        <f>0.0526*Observaciones!$F85^2.218</f>
        <v>0</v>
      </c>
      <c r="S86" s="76">
        <f>IF(Observaciones!$F85&gt;0.05*$W$7,((Observaciones!$F85-0.05*$W$7)^2)/(Observaciones!$F85+0.95*$W$7),0)</f>
        <v>0</v>
      </c>
      <c r="T86" s="76">
        <f>0.0526*S86*Observaciones!$F85^1.218</f>
        <v>0</v>
      </c>
      <c r="U86" s="29"/>
      <c r="V86" s="29"/>
      <c r="W86" s="109"/>
      <c r="X86" s="40"/>
    </row>
    <row r="87" spans="2:24" s="2" customFormat="1">
      <c r="B87" s="39"/>
      <c r="C87" s="75">
        <v>81</v>
      </c>
      <c r="D87" s="146">
        <f>ETo!$I86*((1-Constantes!$D$19)*ETo!$K86+ETo!$L86)</f>
        <v>3.8164060250902287</v>
      </c>
      <c r="E87" s="76">
        <f>MIN(D87*Constantes!$D$17,0.8*(H86+Observaciones!$F86-F87-G87-Constantes!$D$14))</f>
        <v>1.9459241860337231</v>
      </c>
      <c r="F87" s="76">
        <f>IF(Observaciones!$F86&gt;0.05*Constantes!$D$18,((Observaciones!$F86-0.05*Constantes!$D$18)^2)/(Observaciones!$F86+0.95*Constantes!$D$18),0)</f>
        <v>0</v>
      </c>
      <c r="G87" s="76">
        <f>MAX(0,H86+Observaciones!$F86-F87-Constantes!$D$13)</f>
        <v>0</v>
      </c>
      <c r="H87" s="76">
        <f>H86+Observaciones!$F86-F87-E87-G87-I86</f>
        <v>35.457398532108094</v>
      </c>
      <c r="I87" s="76">
        <f>MAX(0,(H87-Constantes!$D$14)*(1-EXP(-Constantes!$D$22)))</f>
        <v>0.82459286118290553</v>
      </c>
      <c r="J87" s="76">
        <f t="shared" si="3"/>
        <v>162.83182079564574</v>
      </c>
      <c r="K87" s="76">
        <f>MAX(0,(J87-Constantes!$D$13)*(1-EXP(-Constantes!$D$23)))</f>
        <v>1.1240753524722342</v>
      </c>
      <c r="L87" s="76">
        <f t="shared" si="4"/>
        <v>1.9486682136551399</v>
      </c>
      <c r="M87" s="76">
        <f>0.0526*F87*Observaciones!$F86^1.218</f>
        <v>0</v>
      </c>
      <c r="N87" s="76">
        <f>M87*Constantes!$D$51</f>
        <v>0</v>
      </c>
      <c r="O87" s="76">
        <f t="shared" si="5"/>
        <v>0</v>
      </c>
      <c r="P87" s="15"/>
      <c r="Q87" s="75">
        <v>81</v>
      </c>
      <c r="R87" s="76">
        <f>0.0526*Observaciones!$F86^2.218</f>
        <v>0.17065595668433275</v>
      </c>
      <c r="S87" s="76">
        <f>IF(Observaciones!$F86&gt;0.05*$W$7,((Observaciones!$F86-0.05*$W$7)^2)/(Observaciones!$F86+0.95*$W$7),0)</f>
        <v>0</v>
      </c>
      <c r="T87" s="76">
        <f>0.0526*S87*Observaciones!$F86^1.218</f>
        <v>0</v>
      </c>
      <c r="U87" s="29"/>
      <c r="V87" s="29"/>
      <c r="W87" s="109"/>
      <c r="X87" s="40"/>
    </row>
    <row r="88" spans="2:24" s="2" customFormat="1">
      <c r="B88" s="39"/>
      <c r="C88" s="75">
        <v>82</v>
      </c>
      <c r="D88" s="146">
        <f>ETo!$I87*((1-Constantes!$D$19)*ETo!$K87+ETo!$L87)</f>
        <v>3.6772870521697634</v>
      </c>
      <c r="E88" s="76">
        <f>MIN(D88*Constantes!$D$17,0.8*(H87+Observaciones!$F87-F88-G88-Constantes!$D$14))</f>
        <v>1.8749896543402029</v>
      </c>
      <c r="F88" s="76">
        <f>IF(Observaciones!$F87&gt;0.05*Constantes!$D$18,((Observaciones!$F87-0.05*Constantes!$D$18)^2)/(Observaciones!$F87+0.95*Constantes!$D$18),0)</f>
        <v>0</v>
      </c>
      <c r="G88" s="76">
        <f>MAX(0,H87+Observaciones!$F87-F88-Constantes!$D$13)</f>
        <v>0</v>
      </c>
      <c r="H88" s="76">
        <f>H87+Observaciones!$F87-F88-E88-G88-I87</f>
        <v>35.057816016584979</v>
      </c>
      <c r="I88" s="76">
        <f>MAX(0,(H88-Constantes!$D$14)*(1-EXP(-Constantes!$D$22)))</f>
        <v>0.81098161380674338</v>
      </c>
      <c r="J88" s="76">
        <f t="shared" si="3"/>
        <v>161.70774544317351</v>
      </c>
      <c r="K88" s="76">
        <f>MAX(0,(J88-Constantes!$D$13)*(1-EXP(-Constantes!$D$23)))</f>
        <v>1.1129995702904354</v>
      </c>
      <c r="L88" s="76">
        <f t="shared" si="4"/>
        <v>1.9239811840971788</v>
      </c>
      <c r="M88" s="76">
        <f>0.0526*F88*Observaciones!$F87^1.218</f>
        <v>0</v>
      </c>
      <c r="N88" s="76">
        <f>M88*Constantes!$D$51</f>
        <v>0</v>
      </c>
      <c r="O88" s="76">
        <f t="shared" si="5"/>
        <v>0</v>
      </c>
      <c r="P88" s="15"/>
      <c r="Q88" s="75">
        <v>82</v>
      </c>
      <c r="R88" s="76">
        <f>0.0526*Observaciones!$F87^2.218</f>
        <v>0.33365534346892783</v>
      </c>
      <c r="S88" s="76">
        <f>IF(Observaciones!$F87&gt;0.05*$W$7,((Observaciones!$F87-0.05*$W$7)^2)/(Observaciones!$F87+0.95*$W$7),0)</f>
        <v>9.1701390926697667E-3</v>
      </c>
      <c r="T88" s="76">
        <f>0.0526*S88*Observaciones!$F87^1.218</f>
        <v>1.3302895254880757E-3</v>
      </c>
      <c r="U88" s="29"/>
      <c r="V88" s="29"/>
      <c r="W88" s="109"/>
      <c r="X88" s="40"/>
    </row>
    <row r="89" spans="2:24" s="2" customFormat="1">
      <c r="B89" s="39"/>
      <c r="C89" s="75">
        <v>83</v>
      </c>
      <c r="D89" s="146">
        <f>ETo!$I88*((1-Constantes!$D$19)*ETo!$K88+ETo!$L88)</f>
        <v>3.7724882908933872</v>
      </c>
      <c r="E89" s="76">
        <f>MIN(D89*Constantes!$D$17,0.8*(H88+Observaciones!$F88-F89-G89-Constantes!$D$14))</f>
        <v>1.9235312381640284</v>
      </c>
      <c r="F89" s="76">
        <f>IF(Observaciones!$F88&gt;0.05*Constantes!$D$18,((Observaciones!$F88-0.05*Constantes!$D$18)^2)/(Observaciones!$F88+0.95*Constantes!$D$18),0)</f>
        <v>0</v>
      </c>
      <c r="G89" s="76">
        <f>MAX(0,H88+Observaciones!$F88-F89-Constantes!$D$13)</f>
        <v>0</v>
      </c>
      <c r="H89" s="76">
        <f>H88+Observaciones!$F88-F89-E89-G89-I88</f>
        <v>32.323303164614202</v>
      </c>
      <c r="I89" s="76">
        <f>MAX(0,(H89-Constantes!$D$14)*(1-EXP(-Constantes!$D$22)))</f>
        <v>0.71783406746642853</v>
      </c>
      <c r="J89" s="76">
        <f t="shared" si="3"/>
        <v>160.59474587288307</v>
      </c>
      <c r="K89" s="76">
        <f>MAX(0,(J89-Constantes!$D$13)*(1-EXP(-Constantes!$D$23)))</f>
        <v>1.1020329204285195</v>
      </c>
      <c r="L89" s="76">
        <f t="shared" si="4"/>
        <v>1.8198669878949481</v>
      </c>
      <c r="M89" s="76">
        <f>0.0526*F89*Observaciones!$F88^1.218</f>
        <v>0</v>
      </c>
      <c r="N89" s="76">
        <f>M89*Constantes!$D$51</f>
        <v>0</v>
      </c>
      <c r="O89" s="76">
        <f t="shared" si="5"/>
        <v>0</v>
      </c>
      <c r="P89" s="15"/>
      <c r="Q89" s="75">
        <v>83</v>
      </c>
      <c r="R89" s="76">
        <f>0.0526*Observaciones!$F88^2.218</f>
        <v>0</v>
      </c>
      <c r="S89" s="76">
        <f>IF(Observaciones!$F88&gt;0.05*$W$7,((Observaciones!$F88-0.05*$W$7)^2)/(Observaciones!$F88+0.95*$W$7),0)</f>
        <v>0</v>
      </c>
      <c r="T89" s="76">
        <f>0.0526*S89*Observaciones!$F88^1.218</f>
        <v>0</v>
      </c>
      <c r="U89" s="29"/>
      <c r="V89" s="29"/>
      <c r="W89" s="109"/>
      <c r="X89" s="40"/>
    </row>
    <row r="90" spans="2:24" s="2" customFormat="1">
      <c r="B90" s="39"/>
      <c r="C90" s="75">
        <v>84</v>
      </c>
      <c r="D90" s="146">
        <f>ETo!$I89*((1-Constantes!$D$19)*ETo!$K89+ETo!$L89)</f>
        <v>3.9236443746274121</v>
      </c>
      <c r="E90" s="76">
        <f>MIN(D90*Constantes!$D$17,0.8*(H89+Observaciones!$F89-F90-G90-Constantes!$D$14))</f>
        <v>2.0006032994883274</v>
      </c>
      <c r="F90" s="76">
        <f>IF(Observaciones!$F89&gt;0.05*Constantes!$D$18,((Observaciones!$F89-0.05*Constantes!$D$18)^2)/(Observaciones!$F89+0.95*Constantes!$D$18),0)</f>
        <v>0</v>
      </c>
      <c r="G90" s="76">
        <f>MAX(0,H89+Observaciones!$F89-F90-Constantes!$D$13)</f>
        <v>0</v>
      </c>
      <c r="H90" s="76">
        <f>H89+Observaciones!$F89-F90-E90-G90-I89</f>
        <v>29.60486579765945</v>
      </c>
      <c r="I90" s="76">
        <f>MAX(0,(H90-Constantes!$D$14)*(1-EXP(-Constantes!$D$22)))</f>
        <v>0.62523411116007299</v>
      </c>
      <c r="J90" s="76">
        <f t="shared" si="3"/>
        <v>159.49271295245455</v>
      </c>
      <c r="K90" s="76">
        <f>MAX(0,(J90-Constantes!$D$13)*(1-EXP(-Constantes!$D$23)))</f>
        <v>1.0911743275797459</v>
      </c>
      <c r="L90" s="76">
        <f t="shared" si="4"/>
        <v>1.7164084387398189</v>
      </c>
      <c r="M90" s="76">
        <f>0.0526*F90*Observaciones!$F89^1.218</f>
        <v>0</v>
      </c>
      <c r="N90" s="76">
        <f>M90*Constantes!$D$51</f>
        <v>0</v>
      </c>
      <c r="O90" s="76">
        <f t="shared" si="5"/>
        <v>0</v>
      </c>
      <c r="P90" s="15"/>
      <c r="Q90" s="75">
        <v>84</v>
      </c>
      <c r="R90" s="76">
        <f>0.0526*Observaciones!$F89^2.218</f>
        <v>0</v>
      </c>
      <c r="S90" s="76">
        <f>IF(Observaciones!$F89&gt;0.05*$W$7,((Observaciones!$F89-0.05*$W$7)^2)/(Observaciones!$F89+0.95*$W$7),0)</f>
        <v>0</v>
      </c>
      <c r="T90" s="76">
        <f>0.0526*S90*Observaciones!$F89^1.218</f>
        <v>0</v>
      </c>
      <c r="U90" s="29"/>
      <c r="V90" s="29"/>
      <c r="W90" s="109"/>
      <c r="X90" s="40"/>
    </row>
    <row r="91" spans="2:24" s="2" customFormat="1">
      <c r="B91" s="39"/>
      <c r="C91" s="75">
        <v>85</v>
      </c>
      <c r="D91" s="146">
        <f>ETo!$I90*((1-Constantes!$D$19)*ETo!$K90+ETo!$L90)</f>
        <v>3.8201061255062783</v>
      </c>
      <c r="E91" s="76">
        <f>MIN(D91*Constantes!$D$17,0.8*(H90+Observaciones!$F90-F91-G91-Constantes!$D$14))</f>
        <v>1.9478108078561938</v>
      </c>
      <c r="F91" s="76">
        <f>IF(Observaciones!$F90&gt;0.05*Constantes!$D$18,((Observaciones!$F90-0.05*Constantes!$D$18)^2)/(Observaciones!$F90+0.95*Constantes!$D$18),0)</f>
        <v>0</v>
      </c>
      <c r="G91" s="76">
        <f>MAX(0,H90+Observaciones!$F90-F91-Constantes!$D$13)</f>
        <v>0</v>
      </c>
      <c r="H91" s="76">
        <f>H90+Observaciones!$F90-F91-E91-G91-I90</f>
        <v>27.031820878643185</v>
      </c>
      <c r="I91" s="76">
        <f>MAX(0,(H91-Constantes!$D$14)*(1-EXP(-Constantes!$D$22)))</f>
        <v>0.53758675537710565</v>
      </c>
      <c r="J91" s="76">
        <f t="shared" si="3"/>
        <v>158.4015386248748</v>
      </c>
      <c r="K91" s="76">
        <f>MAX(0,(J91-Constantes!$D$13)*(1-EXP(-Constantes!$D$23)))</f>
        <v>1.0804227270326263</v>
      </c>
      <c r="L91" s="76">
        <f t="shared" si="4"/>
        <v>1.618009482409732</v>
      </c>
      <c r="M91" s="76">
        <f>0.0526*F91*Observaciones!$F90^1.218</f>
        <v>0</v>
      </c>
      <c r="N91" s="76">
        <f>M91*Constantes!$D$51</f>
        <v>0</v>
      </c>
      <c r="O91" s="76">
        <f t="shared" si="5"/>
        <v>0</v>
      </c>
      <c r="P91" s="15"/>
      <c r="Q91" s="75">
        <v>85</v>
      </c>
      <c r="R91" s="76">
        <f>0.0526*Observaciones!$F90^2.218</f>
        <v>0</v>
      </c>
      <c r="S91" s="76">
        <f>IF(Observaciones!$F90&gt;0.05*$W$7,((Observaciones!$F90-0.05*$W$7)^2)/(Observaciones!$F90+0.95*$W$7),0)</f>
        <v>0</v>
      </c>
      <c r="T91" s="76">
        <f>0.0526*S91*Observaciones!$F90^1.218</f>
        <v>0</v>
      </c>
      <c r="U91" s="29"/>
      <c r="V91" s="29"/>
      <c r="W91" s="109"/>
      <c r="X91" s="40"/>
    </row>
    <row r="92" spans="2:24" s="2" customFormat="1">
      <c r="B92" s="39"/>
      <c r="C92" s="75">
        <v>86</v>
      </c>
      <c r="D92" s="146">
        <f>ETo!$I91*((1-Constantes!$D$19)*ETo!$K91+ETo!$L91)</f>
        <v>3.8532942912669204</v>
      </c>
      <c r="E92" s="76">
        <f>MIN(D92*Constantes!$D$17,0.8*(H91+Observaciones!$F91-F92-G92-Constantes!$D$14))</f>
        <v>1.9647329209697226</v>
      </c>
      <c r="F92" s="76">
        <f>IF(Observaciones!$F91&gt;0.05*Constantes!$D$18,((Observaciones!$F91-0.05*Constantes!$D$18)^2)/(Observaciones!$F91+0.95*Constantes!$D$18),0)</f>
        <v>0</v>
      </c>
      <c r="G92" s="76">
        <f>MAX(0,H91+Observaciones!$F91-F92-Constantes!$D$13)</f>
        <v>0</v>
      </c>
      <c r="H92" s="76">
        <f>H91+Observaciones!$F91-F92-E92-G92-I91</f>
        <v>24.529501202296355</v>
      </c>
      <c r="I92" s="76">
        <f>MAX(0,(H92-Constantes!$D$14)*(1-EXP(-Constantes!$D$22)))</f>
        <v>0.45234856099714044</v>
      </c>
      <c r="J92" s="76">
        <f t="shared" si="3"/>
        <v>157.32111589784219</v>
      </c>
      <c r="K92" s="76">
        <f>MAX(0,(J92-Constantes!$D$13)*(1-EXP(-Constantes!$D$23)))</f>
        <v>1.0697770645665294</v>
      </c>
      <c r="L92" s="76">
        <f t="shared" si="4"/>
        <v>1.5221256255636699</v>
      </c>
      <c r="M92" s="76">
        <f>0.0526*F92*Observaciones!$F91^1.218</f>
        <v>0</v>
      </c>
      <c r="N92" s="76">
        <f>M92*Constantes!$D$51</f>
        <v>0</v>
      </c>
      <c r="O92" s="76">
        <f t="shared" si="5"/>
        <v>0</v>
      </c>
      <c r="P92" s="15"/>
      <c r="Q92" s="75">
        <v>86</v>
      </c>
      <c r="R92" s="76">
        <f>0.0526*Observaciones!$F91^2.218</f>
        <v>0</v>
      </c>
      <c r="S92" s="76">
        <f>IF(Observaciones!$F91&gt;0.05*$W$7,((Observaciones!$F91-0.05*$W$7)^2)/(Observaciones!$F91+0.95*$W$7),0)</f>
        <v>0</v>
      </c>
      <c r="T92" s="76">
        <f>0.0526*S92*Observaciones!$F91^1.218</f>
        <v>0</v>
      </c>
      <c r="U92" s="29"/>
      <c r="V92" s="29"/>
      <c r="W92" s="109"/>
      <c r="X92" s="40"/>
    </row>
    <row r="93" spans="2:24" s="2" customFormat="1">
      <c r="B93" s="39"/>
      <c r="C93" s="75">
        <v>87</v>
      </c>
      <c r="D93" s="146">
        <f>ETo!$I92*((1-Constantes!$D$19)*ETo!$K92+ETo!$L92)</f>
        <v>3.7302297657911159</v>
      </c>
      <c r="E93" s="76">
        <f>MIN(D93*Constantes!$D$17,0.8*(H92+Observaciones!$F92-F93-G93-Constantes!$D$14))</f>
        <v>1.9019842943844605</v>
      </c>
      <c r="F93" s="76">
        <f>IF(Observaciones!$F92&gt;0.05*Constantes!$D$18,((Observaciones!$F92-0.05*Constantes!$D$18)^2)/(Observaciones!$F92+0.95*Constantes!$D$18),0)</f>
        <v>0.80150264512434788</v>
      </c>
      <c r="G93" s="76">
        <f>MAX(0,H92+Observaciones!$F92-F93-Constantes!$D$13)</f>
        <v>0</v>
      </c>
      <c r="H93" s="76">
        <f>H92+Observaciones!$F92-F93-E93-G93-I92</f>
        <v>33.073665701790404</v>
      </c>
      <c r="I93" s="76">
        <f>MAX(0,(H93-Constantes!$D$14)*(1-EXP(-Constantes!$D$22)))</f>
        <v>0.74339417011991693</v>
      </c>
      <c r="J93" s="76">
        <f t="shared" si="3"/>
        <v>156.25133883327567</v>
      </c>
      <c r="K93" s="76">
        <f>MAX(0,(J93-Constantes!$D$13)*(1-EXP(-Constantes!$D$23)))</f>
        <v>1.0592362963483102</v>
      </c>
      <c r="L93" s="76">
        <f t="shared" si="4"/>
        <v>2.6041331115925752</v>
      </c>
      <c r="M93" s="76">
        <f>0.0526*F93*Observaciones!$F92^1.218</f>
        <v>0.84322035893289871</v>
      </c>
      <c r="N93" s="76">
        <f>M93*Constantes!$D$51</f>
        <v>1.1855590955586196E-2</v>
      </c>
      <c r="O93" s="76">
        <f t="shared" si="5"/>
        <v>455.26055879439389</v>
      </c>
      <c r="P93" s="15"/>
      <c r="Q93" s="75">
        <v>87</v>
      </c>
      <c r="R93" s="76">
        <f>0.0526*Observaciones!$F92^2.218</f>
        <v>12.308977717702129</v>
      </c>
      <c r="S93" s="76">
        <f>IF(Observaciones!$F92&gt;0.05*$W$7,((Observaciones!$F92-0.05*$W$7)^2)/(Observaciones!$F92+0.95*$W$7),0)</f>
        <v>2.227679886606821</v>
      </c>
      <c r="T93" s="76">
        <f>0.0526*S93*Observaciones!$F92^1.218</f>
        <v>2.3436292381552621</v>
      </c>
      <c r="U93" s="29"/>
      <c r="V93" s="29"/>
      <c r="W93" s="109"/>
      <c r="X93" s="40"/>
    </row>
    <row r="94" spans="2:24" s="2" customFormat="1">
      <c r="B94" s="39"/>
      <c r="C94" s="75">
        <v>88</v>
      </c>
      <c r="D94" s="146">
        <f>ETo!$I93*((1-Constantes!$D$19)*ETo!$K93+ETo!$L93)</f>
        <v>3.7786385520291255</v>
      </c>
      <c r="E94" s="76">
        <f>MIN(D94*Constantes!$D$17,0.8*(H93+Observaciones!$F93-F94-G94-Constantes!$D$14))</f>
        <v>1.9266671576169836</v>
      </c>
      <c r="F94" s="76">
        <f>IF(Observaciones!$F93&gt;0.05*Constantes!$D$18,((Observaciones!$F93-0.05*Constantes!$D$18)^2)/(Observaciones!$F93+0.95*Constantes!$D$18),0)</f>
        <v>0</v>
      </c>
      <c r="G94" s="76">
        <f>MAX(0,H93+Observaciones!$F93-F94-Constantes!$D$13)</f>
        <v>0</v>
      </c>
      <c r="H94" s="76">
        <f>H93+Observaciones!$F93-F94-E94-G94-I93</f>
        <v>30.403604374053504</v>
      </c>
      <c r="I94" s="76">
        <f>MAX(0,(H94-Constantes!$D$14)*(1-EXP(-Constantes!$D$22)))</f>
        <v>0.65244207930139719</v>
      </c>
      <c r="J94" s="76">
        <f t="shared" si="3"/>
        <v>155.19210253692737</v>
      </c>
      <c r="K94" s="76">
        <f>MAX(0,(J94-Constantes!$D$13)*(1-EXP(-Constantes!$D$23)))</f>
        <v>1.0487993888299605</v>
      </c>
      <c r="L94" s="76">
        <f t="shared" si="4"/>
        <v>1.7012414681313577</v>
      </c>
      <c r="M94" s="76">
        <f>0.0526*F94*Observaciones!$F93^1.218</f>
        <v>0</v>
      </c>
      <c r="N94" s="76">
        <f>M94*Constantes!$D$51</f>
        <v>0</v>
      </c>
      <c r="O94" s="76">
        <f t="shared" si="5"/>
        <v>0</v>
      </c>
      <c r="P94" s="15"/>
      <c r="Q94" s="75">
        <v>88</v>
      </c>
      <c r="R94" s="76">
        <f>0.0526*Observaciones!$F93^2.218</f>
        <v>0</v>
      </c>
      <c r="S94" s="76">
        <f>IF(Observaciones!$F93&gt;0.05*$W$7,((Observaciones!$F93-0.05*$W$7)^2)/(Observaciones!$F93+0.95*$W$7),0)</f>
        <v>0</v>
      </c>
      <c r="T94" s="76">
        <f>0.0526*S94*Observaciones!$F93^1.218</f>
        <v>0</v>
      </c>
      <c r="U94" s="29"/>
      <c r="V94" s="29"/>
      <c r="W94" s="109"/>
      <c r="X94" s="40"/>
    </row>
    <row r="95" spans="2:24" s="2" customFormat="1">
      <c r="B95" s="39"/>
      <c r="C95" s="75">
        <v>89</v>
      </c>
      <c r="D95" s="146">
        <f>ETo!$I94*((1-Constantes!$D$19)*ETo!$K94+ETo!$L94)</f>
        <v>3.6680650078344463</v>
      </c>
      <c r="E95" s="76">
        <f>MIN(D95*Constantes!$D$17,0.8*(H94+Observaciones!$F94-F95-G95-Constantes!$D$14))</f>
        <v>1.870287481930142</v>
      </c>
      <c r="F95" s="76">
        <f>IF(Observaciones!$F94&gt;0.05*Constantes!$D$18,((Observaciones!$F94-0.05*Constantes!$D$18)^2)/(Observaciones!$F94+0.95*Constantes!$D$18),0)</f>
        <v>0</v>
      </c>
      <c r="G95" s="76">
        <f>MAX(0,H94+Observaciones!$F94-F95-Constantes!$D$13)</f>
        <v>0</v>
      </c>
      <c r="H95" s="76">
        <f>H94+Observaciones!$F94-F95-E95-G95-I94</f>
        <v>29.580874812821964</v>
      </c>
      <c r="I95" s="76">
        <f>MAX(0,(H95-Constantes!$D$14)*(1-EXP(-Constantes!$D$22)))</f>
        <v>0.62441689014379986</v>
      </c>
      <c r="J95" s="76">
        <f t="shared" si="3"/>
        <v>154.1433031480974</v>
      </c>
      <c r="K95" s="76">
        <f>MAX(0,(J95-Constantes!$D$13)*(1-EXP(-Constantes!$D$23)))</f>
        <v>1.0384653186472665</v>
      </c>
      <c r="L95" s="76">
        <f t="shared" si="4"/>
        <v>1.6628822087910664</v>
      </c>
      <c r="M95" s="76">
        <f>0.0526*F95*Observaciones!$F94^1.218</f>
        <v>0</v>
      </c>
      <c r="N95" s="76">
        <f>M95*Constantes!$D$51</f>
        <v>0</v>
      </c>
      <c r="O95" s="76">
        <f t="shared" si="5"/>
        <v>0</v>
      </c>
      <c r="P95" s="15"/>
      <c r="Q95" s="75">
        <v>89</v>
      </c>
      <c r="R95" s="76">
        <f>0.0526*Observaciones!$F94^2.218</f>
        <v>0.17065595668433275</v>
      </c>
      <c r="S95" s="76">
        <f>IF(Observaciones!$F94&gt;0.05*$W$7,((Observaciones!$F94-0.05*$W$7)^2)/(Observaciones!$F94+0.95*$W$7),0)</f>
        <v>0</v>
      </c>
      <c r="T95" s="76">
        <f>0.0526*S95*Observaciones!$F94^1.218</f>
        <v>0</v>
      </c>
      <c r="U95" s="29"/>
      <c r="V95" s="29"/>
      <c r="W95" s="109"/>
      <c r="X95" s="40"/>
    </row>
    <row r="96" spans="2:24" s="2" customFormat="1">
      <c r="B96" s="39"/>
      <c r="C96" s="75">
        <v>90</v>
      </c>
      <c r="D96" s="146">
        <f>ETo!$I95*((1-Constantes!$D$19)*ETo!$K95+ETo!$L95)</f>
        <v>3.7788399416855518</v>
      </c>
      <c r="E96" s="76">
        <f>MIN(D96*Constantes!$D$17,0.8*(H95+Observaciones!$F95-F96-G96-Constantes!$D$14))</f>
        <v>1.9267698429708691</v>
      </c>
      <c r="F96" s="76">
        <f>IF(Observaciones!$F95&gt;0.05*Constantes!$D$18,((Observaciones!$F95-0.05*Constantes!$D$18)^2)/(Observaciones!$F95+0.95*Constantes!$D$18),0)</f>
        <v>0</v>
      </c>
      <c r="G96" s="76">
        <f>MAX(0,H95+Observaciones!$F95-F96-Constantes!$D$13)</f>
        <v>0</v>
      </c>
      <c r="H96" s="76">
        <f>H95+Observaciones!$F95-F96-E96-G96-I95</f>
        <v>27.029688079707295</v>
      </c>
      <c r="I96" s="76">
        <f>MAX(0,(H96-Constantes!$D$14)*(1-EXP(-Constantes!$D$22)))</f>
        <v>0.53751410441568404</v>
      </c>
      <c r="J96" s="76">
        <f t="shared" si="3"/>
        <v>153.10483782945013</v>
      </c>
      <c r="K96" s="76">
        <f>MAX(0,(J96-Constantes!$D$13)*(1-EXP(-Constantes!$D$23)))</f>
        <v>1.0282330725194666</v>
      </c>
      <c r="L96" s="76">
        <f t="shared" si="4"/>
        <v>1.5657471769351505</v>
      </c>
      <c r="M96" s="76">
        <f>0.0526*F96*Observaciones!$F95^1.218</f>
        <v>0</v>
      </c>
      <c r="N96" s="76">
        <f>M96*Constantes!$D$51</f>
        <v>0</v>
      </c>
      <c r="O96" s="76">
        <f t="shared" si="5"/>
        <v>0</v>
      </c>
      <c r="P96" s="15"/>
      <c r="Q96" s="75">
        <v>90</v>
      </c>
      <c r="R96" s="76">
        <f>0.0526*Observaciones!$F95^2.218</f>
        <v>0</v>
      </c>
      <c r="S96" s="76">
        <f>IF(Observaciones!$F95&gt;0.05*$W$7,((Observaciones!$F95-0.05*$W$7)^2)/(Observaciones!$F95+0.95*$W$7),0)</f>
        <v>0</v>
      </c>
      <c r="T96" s="76">
        <f>0.0526*S96*Observaciones!$F95^1.218</f>
        <v>0</v>
      </c>
      <c r="U96" s="29"/>
      <c r="V96" s="29"/>
      <c r="W96" s="109"/>
      <c r="X96" s="40"/>
    </row>
    <row r="97" spans="2:24" s="2" customFormat="1">
      <c r="B97" s="39"/>
      <c r="C97" s="75">
        <v>91</v>
      </c>
      <c r="D97" s="146">
        <f>ETo!$I96*((1-Constantes!$D$19)*ETo!$K96+ETo!$L96)</f>
        <v>3.7627010146753448</v>
      </c>
      <c r="E97" s="76">
        <f>MIN(D97*Constantes!$D$17,0.8*(H96+Observaciones!$F96-F97-G97-Constantes!$D$14))</f>
        <v>1.9185408630878777</v>
      </c>
      <c r="F97" s="76">
        <f>IF(Observaciones!$F96&gt;0.05*Constantes!$D$18,((Observaciones!$F96-0.05*Constantes!$D$18)^2)/(Observaciones!$F96+0.95*Constantes!$D$18),0)</f>
        <v>0</v>
      </c>
      <c r="G97" s="76">
        <f>MAX(0,H96+Observaciones!$F96-F97-Constantes!$D$13)</f>
        <v>0</v>
      </c>
      <c r="H97" s="76">
        <f>H96+Observaciones!$F96-F97-E97-G97-I96</f>
        <v>24.573633112203733</v>
      </c>
      <c r="I97" s="76">
        <f>MAX(0,(H97-Constantes!$D$14)*(1-EXP(-Constantes!$D$22)))</f>
        <v>0.4538518558601437</v>
      </c>
      <c r="J97" s="76">
        <f t="shared" si="3"/>
        <v>152.07660475693066</v>
      </c>
      <c r="K97" s="76">
        <f>MAX(0,(J97-Constantes!$D$13)*(1-EXP(-Constantes!$D$23)))</f>
        <v>1.0181016471498949</v>
      </c>
      <c r="L97" s="76">
        <f t="shared" si="4"/>
        <v>1.4719535030100386</v>
      </c>
      <c r="M97" s="76">
        <f>0.0526*F97*Observaciones!$F96^1.218</f>
        <v>0</v>
      </c>
      <c r="N97" s="76">
        <f>M97*Constantes!$D$51</f>
        <v>0</v>
      </c>
      <c r="O97" s="76">
        <f t="shared" si="5"/>
        <v>0</v>
      </c>
      <c r="P97" s="15"/>
      <c r="Q97" s="75">
        <v>91</v>
      </c>
      <c r="R97" s="76">
        <f>0.0526*Observaciones!$F96^2.218</f>
        <v>0</v>
      </c>
      <c r="S97" s="76">
        <f>IF(Observaciones!$F96&gt;0.05*$W$7,((Observaciones!$F96-0.05*$W$7)^2)/(Observaciones!$F96+0.95*$W$7),0)</f>
        <v>0</v>
      </c>
      <c r="T97" s="76">
        <f>0.0526*S97*Observaciones!$F96^1.218</f>
        <v>0</v>
      </c>
      <c r="U97" s="29"/>
      <c r="V97" s="29"/>
      <c r="W97" s="109"/>
      <c r="X97" s="40"/>
    </row>
    <row r="98" spans="2:24" s="2" customFormat="1">
      <c r="B98" s="39"/>
      <c r="C98" s="75">
        <v>92</v>
      </c>
      <c r="D98" s="146">
        <f>ETo!$I97*((1-Constantes!$D$19)*ETo!$K97+ETo!$L97)</f>
        <v>3.7935565749358915</v>
      </c>
      <c r="E98" s="76">
        <f>MIN(D98*Constantes!$D$17,0.8*(H97+Observaciones!$F97-F98-G98-Constantes!$D$14))</f>
        <v>1.9342736180908517</v>
      </c>
      <c r="F98" s="76">
        <f>IF(Observaciones!$F97&gt;0.05*Constantes!$D$18,((Observaciones!$F97-0.05*Constantes!$D$18)^2)/(Observaciones!$F97+0.95*Constantes!$D$18),0)</f>
        <v>0</v>
      </c>
      <c r="G98" s="76">
        <f>MAX(0,H97+Observaciones!$F97-F98-Constantes!$D$13)</f>
        <v>0</v>
      </c>
      <c r="H98" s="76">
        <f>H97+Observaciones!$F97-F98-E98-G98-I97</f>
        <v>22.185507638252737</v>
      </c>
      <c r="I98" s="76">
        <f>MAX(0,(H98-Constantes!$D$14)*(1-EXP(-Constantes!$D$22)))</f>
        <v>0.37250353522927976</v>
      </c>
      <c r="J98" s="76">
        <f t="shared" si="3"/>
        <v>151.05850310978076</v>
      </c>
      <c r="K98" s="76">
        <f>MAX(0,(J98-Constantes!$D$13)*(1-EXP(-Constantes!$D$23)))</f>
        <v>1.0080700491276071</v>
      </c>
      <c r="L98" s="76">
        <f t="shared" si="4"/>
        <v>1.3805735843568869</v>
      </c>
      <c r="M98" s="76">
        <f>0.0526*F98*Observaciones!$F97^1.218</f>
        <v>0</v>
      </c>
      <c r="N98" s="76">
        <f>M98*Constantes!$D$51</f>
        <v>0</v>
      </c>
      <c r="O98" s="76">
        <f t="shared" si="5"/>
        <v>0</v>
      </c>
      <c r="P98" s="15"/>
      <c r="Q98" s="75">
        <v>92</v>
      </c>
      <c r="R98" s="76">
        <f>0.0526*Observaciones!$F97^2.218</f>
        <v>0</v>
      </c>
      <c r="S98" s="76">
        <f>IF(Observaciones!$F97&gt;0.05*$W$7,((Observaciones!$F97-0.05*$W$7)^2)/(Observaciones!$F97+0.95*$W$7),0)</f>
        <v>0</v>
      </c>
      <c r="T98" s="76">
        <f>0.0526*S98*Observaciones!$F97^1.218</f>
        <v>0</v>
      </c>
      <c r="U98" s="29"/>
      <c r="V98" s="29"/>
      <c r="W98" s="109"/>
      <c r="X98" s="40"/>
    </row>
    <row r="99" spans="2:24" s="2" customFormat="1">
      <c r="B99" s="39"/>
      <c r="C99" s="75">
        <v>93</v>
      </c>
      <c r="D99" s="146">
        <f>ETo!$I98*((1-Constantes!$D$19)*ETo!$K98+ETo!$L98)</f>
        <v>3.7220021783445802</v>
      </c>
      <c r="E99" s="76">
        <f>MIN(D99*Constantes!$D$17,0.8*(H98+Observaciones!$F98-F99-G99-Constantes!$D$14))</f>
        <v>1.8977891795828212</v>
      </c>
      <c r="F99" s="76">
        <f>IF(Observaciones!$F98&gt;0.05*Constantes!$D$18,((Observaciones!$F98-0.05*Constantes!$D$18)^2)/(Observaciones!$F98+0.95*Constantes!$D$18),0)</f>
        <v>0</v>
      </c>
      <c r="G99" s="76">
        <f>MAX(0,H98+Observaciones!$F98-F99-Constantes!$D$13)</f>
        <v>0</v>
      </c>
      <c r="H99" s="76">
        <f>H98+Observaciones!$F98-F99-E99-G99-I98</f>
        <v>20.415214923440633</v>
      </c>
      <c r="I99" s="76">
        <f>MAX(0,(H99-Constantes!$D$14)*(1-EXP(-Constantes!$D$22)))</f>
        <v>0.31220086648517814</v>
      </c>
      <c r="J99" s="76">
        <f t="shared" si="3"/>
        <v>150.05043306065315</v>
      </c>
      <c r="K99" s="76">
        <f>MAX(0,(J99-Constantes!$D$13)*(1-EXP(-Constantes!$D$23)))</f>
        <v>0.99813729482997349</v>
      </c>
      <c r="L99" s="76">
        <f t="shared" si="4"/>
        <v>1.3103381613151517</v>
      </c>
      <c r="M99" s="76">
        <f>0.0526*F99*Observaciones!$F98^1.218</f>
        <v>0</v>
      </c>
      <c r="N99" s="76">
        <f>M99*Constantes!$D$51</f>
        <v>0</v>
      </c>
      <c r="O99" s="76">
        <f t="shared" si="5"/>
        <v>0</v>
      </c>
      <c r="P99" s="15"/>
      <c r="Q99" s="75">
        <v>93</v>
      </c>
      <c r="R99" s="76">
        <f>0.0526*Observaciones!$F98^2.218</f>
        <v>1.1305797794095535E-2</v>
      </c>
      <c r="S99" s="76">
        <f>IF(Observaciones!$F98&gt;0.05*$W$7,((Observaciones!$F98-0.05*$W$7)^2)/(Observaciones!$F98+0.95*$W$7),0)</f>
        <v>0</v>
      </c>
      <c r="T99" s="76">
        <f>0.0526*S99*Observaciones!$F98^1.218</f>
        <v>0</v>
      </c>
      <c r="U99" s="29"/>
      <c r="V99" s="29"/>
      <c r="W99" s="109"/>
      <c r="X99" s="40"/>
    </row>
    <row r="100" spans="2:24" s="2" customFormat="1">
      <c r="B100" s="39"/>
      <c r="C100" s="75">
        <v>94</v>
      </c>
      <c r="D100" s="146">
        <f>ETo!$I99*((1-Constantes!$D$19)*ETo!$K99+ETo!$L99)</f>
        <v>3.6547166236325244</v>
      </c>
      <c r="E100" s="76">
        <f>MIN(D100*Constantes!$D$17,0.8*(H99+Observaciones!$F99-F100-G100-Constantes!$D$14))</f>
        <v>1.8634813550421163</v>
      </c>
      <c r="F100" s="76">
        <f>IF(Observaciones!$F99&gt;0.05*Constantes!$D$18,((Observaciones!$F99-0.05*Constantes!$D$18)^2)/(Observaciones!$F99+0.95*Constantes!$D$18),0)</f>
        <v>0</v>
      </c>
      <c r="G100" s="76">
        <f>MAX(0,H99+Observaciones!$F99-F100-Constantes!$D$13)</f>
        <v>0</v>
      </c>
      <c r="H100" s="76">
        <f>H99+Observaciones!$F99-F100-E100-G100-I99</f>
        <v>18.23953270191334</v>
      </c>
      <c r="I100" s="76">
        <f>MAX(0,(H100-Constantes!$D$14)*(1-EXP(-Constantes!$D$22)))</f>
        <v>0.23808914292701125</v>
      </c>
      <c r="J100" s="76">
        <f t="shared" si="3"/>
        <v>149.05229576582317</v>
      </c>
      <c r="K100" s="76">
        <f>MAX(0,(J100-Constantes!$D$13)*(1-EXP(-Constantes!$D$23)))</f>
        <v>0.98830241032623223</v>
      </c>
      <c r="L100" s="76">
        <f t="shared" si="4"/>
        <v>1.2263915532532434</v>
      </c>
      <c r="M100" s="76">
        <f>0.0526*F100*Observaciones!$F99^1.218</f>
        <v>0</v>
      </c>
      <c r="N100" s="76">
        <f>M100*Constantes!$D$51</f>
        <v>0</v>
      </c>
      <c r="O100" s="76">
        <f t="shared" si="5"/>
        <v>0</v>
      </c>
      <c r="P100" s="15"/>
      <c r="Q100" s="75">
        <v>94</v>
      </c>
      <c r="R100" s="76">
        <f>0.0526*Observaciones!$F99^2.218</f>
        <v>0</v>
      </c>
      <c r="S100" s="76">
        <f>IF(Observaciones!$F99&gt;0.05*$W$7,((Observaciones!$F99-0.05*$W$7)^2)/(Observaciones!$F99+0.95*$W$7),0)</f>
        <v>0</v>
      </c>
      <c r="T100" s="76">
        <f>0.0526*S100*Observaciones!$F99^1.218</f>
        <v>0</v>
      </c>
      <c r="U100" s="29"/>
      <c r="V100" s="29"/>
      <c r="W100" s="109"/>
      <c r="X100" s="40"/>
    </row>
    <row r="101" spans="2:24" s="2" customFormat="1">
      <c r="B101" s="39"/>
      <c r="C101" s="75">
        <v>95</v>
      </c>
      <c r="D101" s="146">
        <f>ETo!$I100*((1-Constantes!$D$19)*ETo!$K100+ETo!$L100)</f>
        <v>3.6419132890926575</v>
      </c>
      <c r="E101" s="76">
        <f>MIN(D101*Constantes!$D$17,0.8*(H100+Observaciones!$F100-F101-G101-Constantes!$D$14))</f>
        <v>1.8569531402297474</v>
      </c>
      <c r="F101" s="76">
        <f>IF(Observaciones!$F100&gt;0.05*Constantes!$D$18,((Observaciones!$F100-0.05*Constantes!$D$18)^2)/(Observaciones!$F100+0.95*Constantes!$D$18),0)</f>
        <v>0</v>
      </c>
      <c r="G101" s="76">
        <f>MAX(0,H100+Observaciones!$F100-F101-Constantes!$D$13)</f>
        <v>0</v>
      </c>
      <c r="H101" s="76">
        <f>H100+Observaciones!$F100-F101-E101-G101-I100</f>
        <v>16.144490418756579</v>
      </c>
      <c r="I101" s="76">
        <f>MAX(0,(H101-Constantes!$D$14)*(1-EXP(-Constantes!$D$22)))</f>
        <v>0.16672431170501884</v>
      </c>
      <c r="J101" s="76">
        <f t="shared" si="3"/>
        <v>148.06399335549693</v>
      </c>
      <c r="K101" s="76">
        <f>MAX(0,(J101-Constantes!$D$13)*(1-EXP(-Constantes!$D$23)))</f>
        <v>0.97856443128199322</v>
      </c>
      <c r="L101" s="76">
        <f t="shared" si="4"/>
        <v>1.145288742987012</v>
      </c>
      <c r="M101" s="76">
        <f>0.0526*F101*Observaciones!$F100^1.218</f>
        <v>0</v>
      </c>
      <c r="N101" s="76">
        <f>M101*Constantes!$D$51</f>
        <v>0</v>
      </c>
      <c r="O101" s="76">
        <f t="shared" si="5"/>
        <v>0</v>
      </c>
      <c r="P101" s="15"/>
      <c r="Q101" s="75">
        <v>95</v>
      </c>
      <c r="R101" s="76">
        <f>0.0526*Observaciones!$F100^2.218</f>
        <v>0</v>
      </c>
      <c r="S101" s="76">
        <f>IF(Observaciones!$F100&gt;0.05*$W$7,((Observaciones!$F100-0.05*$W$7)^2)/(Observaciones!$F100+0.95*$W$7),0)</f>
        <v>0</v>
      </c>
      <c r="T101" s="76">
        <f>0.0526*S101*Observaciones!$F100^1.218</f>
        <v>0</v>
      </c>
      <c r="U101" s="29"/>
      <c r="V101" s="29"/>
      <c r="W101" s="109"/>
      <c r="X101" s="40"/>
    </row>
    <row r="102" spans="2:24" s="2" customFormat="1">
      <c r="B102" s="39"/>
      <c r="C102" s="75">
        <v>96</v>
      </c>
      <c r="D102" s="146">
        <f>ETo!$I101*((1-Constantes!$D$19)*ETo!$K101+ETo!$L101)</f>
        <v>3.4598293847137378</v>
      </c>
      <c r="E102" s="76">
        <f>MIN(D102*Constantes!$D$17,0.8*(H101+Observaciones!$F101-F102-G102-Constantes!$D$14))</f>
        <v>1.7641114794921391</v>
      </c>
      <c r="F102" s="76">
        <f>IF(Observaciones!$F101&gt;0.05*Constantes!$D$18,((Observaciones!$F101-0.05*Constantes!$D$18)^2)/(Observaciones!$F101+0.95*Constantes!$D$18),0)</f>
        <v>0</v>
      </c>
      <c r="G102" s="76">
        <f>MAX(0,H101+Observaciones!$F101-F102-Constantes!$D$13)</f>
        <v>0</v>
      </c>
      <c r="H102" s="76">
        <f>H101+Observaciones!$F101-F102-E102-G102-I101</f>
        <v>14.21365462755942</v>
      </c>
      <c r="I102" s="76">
        <f>MAX(0,(H102-Constantes!$D$14)*(1-EXP(-Constantes!$D$22)))</f>
        <v>0.10095295641354329</v>
      </c>
      <c r="J102" s="76">
        <f t="shared" si="3"/>
        <v>147.08542892421494</v>
      </c>
      <c r="K102" s="76">
        <f>MAX(0,(J102-Constantes!$D$13)*(1-EXP(-Constantes!$D$23)))</f>
        <v>0.96892240286468312</v>
      </c>
      <c r="L102" s="76">
        <f t="shared" si="4"/>
        <v>1.0698753592782264</v>
      </c>
      <c r="M102" s="76">
        <f>0.0526*F102*Observaciones!$F101^1.218</f>
        <v>0</v>
      </c>
      <c r="N102" s="76">
        <f>M102*Constantes!$D$51</f>
        <v>0</v>
      </c>
      <c r="O102" s="76">
        <f t="shared" si="5"/>
        <v>0</v>
      </c>
      <c r="P102" s="15"/>
      <c r="Q102" s="75">
        <v>96</v>
      </c>
      <c r="R102" s="76">
        <f>0.0526*Observaciones!$F101^2.218</f>
        <v>0</v>
      </c>
      <c r="S102" s="76">
        <f>IF(Observaciones!$F101&gt;0.05*$W$7,((Observaciones!$F101-0.05*$W$7)^2)/(Observaciones!$F101+0.95*$W$7),0)</f>
        <v>0</v>
      </c>
      <c r="T102" s="76">
        <f>0.0526*S102*Observaciones!$F101^1.218</f>
        <v>0</v>
      </c>
      <c r="U102" s="29"/>
      <c r="V102" s="29"/>
      <c r="W102" s="109"/>
      <c r="X102" s="40"/>
    </row>
    <row r="103" spans="2:24" s="2" customFormat="1">
      <c r="B103" s="39"/>
      <c r="C103" s="75">
        <v>97</v>
      </c>
      <c r="D103" s="146">
        <f>ETo!$I102*((1-Constantes!$D$19)*ETo!$K102+ETo!$L102)</f>
        <v>3.4816494913213631</v>
      </c>
      <c r="E103" s="76">
        <f>MIN(D103*Constantes!$D$17,0.8*(H102+Observaciones!$F102-F103-G103-Constantes!$D$14))</f>
        <v>1.7752372016795754</v>
      </c>
      <c r="F103" s="76">
        <f>IF(Observaciones!$F102&gt;0.05*Constantes!$D$18,((Observaciones!$F102-0.05*Constantes!$D$18)^2)/(Observaciones!$F102+0.95*Constantes!$D$18),0)</f>
        <v>0</v>
      </c>
      <c r="G103" s="76">
        <f>MAX(0,H102+Observaciones!$F102-F103-Constantes!$D$13)</f>
        <v>0</v>
      </c>
      <c r="H103" s="76">
        <f>H102+Observaciones!$F102-F103-E103-G103-I102</f>
        <v>12.5374644694663</v>
      </c>
      <c r="I103" s="76">
        <f>MAX(0,(H103-Constantes!$D$14)*(1-EXP(-Constantes!$D$22)))</f>
        <v>4.3855766208848221E-2</v>
      </c>
      <c r="J103" s="76">
        <f t="shared" si="3"/>
        <v>146.11650652135026</v>
      </c>
      <c r="K103" s="76">
        <f>MAX(0,(J103-Constantes!$D$13)*(1-EXP(-Constantes!$D$23)))</f>
        <v>0.95937537964992103</v>
      </c>
      <c r="L103" s="76">
        <f t="shared" si="4"/>
        <v>1.0032311458587693</v>
      </c>
      <c r="M103" s="76">
        <f>0.0526*F103*Observaciones!$F102^1.218</f>
        <v>0</v>
      </c>
      <c r="N103" s="76">
        <f>M103*Constantes!$D$51</f>
        <v>0</v>
      </c>
      <c r="O103" s="76">
        <f t="shared" si="5"/>
        <v>0</v>
      </c>
      <c r="P103" s="15"/>
      <c r="Q103" s="75">
        <v>97</v>
      </c>
      <c r="R103" s="76">
        <f>0.0526*Observaciones!$F102^2.218</f>
        <v>1.4813929535417848E-3</v>
      </c>
      <c r="S103" s="76">
        <f>IF(Observaciones!$F102&gt;0.05*$W$7,((Observaciones!$F102-0.05*$W$7)^2)/(Observaciones!$F102+0.95*$W$7),0)</f>
        <v>0</v>
      </c>
      <c r="T103" s="76">
        <f>0.0526*S103*Observaciones!$F102^1.218</f>
        <v>0</v>
      </c>
      <c r="U103" s="29"/>
      <c r="V103" s="29"/>
      <c r="W103" s="109"/>
      <c r="X103" s="40"/>
    </row>
    <row r="104" spans="2:24" s="2" customFormat="1">
      <c r="B104" s="39"/>
      <c r="C104" s="75">
        <v>98</v>
      </c>
      <c r="D104" s="146">
        <f>ETo!$I103*((1-Constantes!$D$19)*ETo!$K103+ETo!$L103)</f>
        <v>3.4802138860153877</v>
      </c>
      <c r="E104" s="76">
        <f>MIN(D104*Constantes!$D$17,0.8*(H103+Observaciones!$F103-F104-G104-Constantes!$D$14))</f>
        <v>1.0299715755730403</v>
      </c>
      <c r="F104" s="76">
        <f>IF(Observaciones!$F103&gt;0.05*Constantes!$D$18,((Observaciones!$F103-0.05*Constantes!$D$18)^2)/(Observaciones!$F103+0.95*Constantes!$D$18),0)</f>
        <v>0</v>
      </c>
      <c r="G104" s="76">
        <f>MAX(0,H103+Observaciones!$F103-F104-Constantes!$D$13)</f>
        <v>0</v>
      </c>
      <c r="H104" s="76">
        <f>H103+Observaciones!$F103-F104-E104-G104-I103</f>
        <v>11.463637127684413</v>
      </c>
      <c r="I104" s="76">
        <f>MAX(0,(H104-Constantes!$D$14)*(1-EXP(-Constantes!$D$22)))</f>
        <v>7.2772648468825956E-3</v>
      </c>
      <c r="J104" s="76">
        <f t="shared" si="3"/>
        <v>145.15713114170035</v>
      </c>
      <c r="K104" s="76">
        <f>MAX(0,(J104-Constantes!$D$13)*(1-EXP(-Constantes!$D$23)))</f>
        <v>0.94992242552881778</v>
      </c>
      <c r="L104" s="76">
        <f t="shared" si="4"/>
        <v>0.95719969037570041</v>
      </c>
      <c r="M104" s="76">
        <f>0.0526*F104*Observaciones!$F103^1.218</f>
        <v>0</v>
      </c>
      <c r="N104" s="76">
        <f>M104*Constantes!$D$51</f>
        <v>0</v>
      </c>
      <c r="O104" s="76">
        <f t="shared" si="5"/>
        <v>0</v>
      </c>
      <c r="P104" s="15"/>
      <c r="Q104" s="75">
        <v>98</v>
      </c>
      <c r="R104" s="76">
        <f>0.0526*Observaciones!$F103^2.218</f>
        <v>0</v>
      </c>
      <c r="S104" s="76">
        <f>IF(Observaciones!$F103&gt;0.05*$W$7,((Observaciones!$F103-0.05*$W$7)^2)/(Observaciones!$F103+0.95*$W$7),0)</f>
        <v>0</v>
      </c>
      <c r="T104" s="76">
        <f>0.0526*S104*Observaciones!$F103^1.218</f>
        <v>0</v>
      </c>
      <c r="U104" s="29"/>
      <c r="V104" s="29"/>
      <c r="W104" s="109"/>
      <c r="X104" s="40"/>
    </row>
    <row r="105" spans="2:24" s="2" customFormat="1">
      <c r="B105" s="39"/>
      <c r="C105" s="75">
        <v>99</v>
      </c>
      <c r="D105" s="146">
        <f>ETo!$I104*((1-Constantes!$D$19)*ETo!$K104+ETo!$L104)</f>
        <v>3.3990348939855464</v>
      </c>
      <c r="E105" s="76">
        <f>MIN(D105*Constantes!$D$17,0.8*(H104+Observaciones!$F104-F105-G105-Constantes!$D$14))</f>
        <v>0.17090970214753015</v>
      </c>
      <c r="F105" s="76">
        <f>IF(Observaciones!$F104&gt;0.05*Constantes!$D$18,((Observaciones!$F104-0.05*Constantes!$D$18)^2)/(Observaciones!$F104+0.95*Constantes!$D$18),0)</f>
        <v>0</v>
      </c>
      <c r="G105" s="76">
        <f>MAX(0,H104+Observaciones!$F104-F105-Constantes!$D$13)</f>
        <v>0</v>
      </c>
      <c r="H105" s="76">
        <f>H104+Observaciones!$F104-F105-E105-G105-I104</f>
        <v>11.285450160690001</v>
      </c>
      <c r="I105" s="76">
        <f>MAX(0,(H105-Constantes!$D$14)*(1-EXP(-Constantes!$D$22)))</f>
        <v>1.2075626133055573E-3</v>
      </c>
      <c r="J105" s="76">
        <f t="shared" si="3"/>
        <v>144.20720871617152</v>
      </c>
      <c r="K105" s="76">
        <f>MAX(0,(J105-Constantes!$D$13)*(1-EXP(-Constantes!$D$23)))</f>
        <v>0.94056261361618787</v>
      </c>
      <c r="L105" s="76">
        <f t="shared" si="4"/>
        <v>0.94177017622949344</v>
      </c>
      <c r="M105" s="76">
        <f>0.0526*F105*Observaciones!$F104^1.218</f>
        <v>0</v>
      </c>
      <c r="N105" s="76">
        <f>M105*Constantes!$D$51</f>
        <v>0</v>
      </c>
      <c r="O105" s="76">
        <f t="shared" si="5"/>
        <v>0</v>
      </c>
      <c r="P105" s="15"/>
      <c r="Q105" s="75">
        <v>99</v>
      </c>
      <c r="R105" s="76">
        <f>0.0526*Observaciones!$F104^2.218</f>
        <v>0</v>
      </c>
      <c r="S105" s="76">
        <f>IF(Observaciones!$F104&gt;0.05*$W$7,((Observaciones!$F104-0.05*$W$7)^2)/(Observaciones!$F104+0.95*$W$7),0)</f>
        <v>0</v>
      </c>
      <c r="T105" s="76">
        <f>0.0526*S105*Observaciones!$F104^1.218</f>
        <v>0</v>
      </c>
      <c r="U105" s="29"/>
      <c r="V105" s="29"/>
      <c r="W105" s="109"/>
      <c r="X105" s="40"/>
    </row>
    <row r="106" spans="2:24" s="2" customFormat="1">
      <c r="B106" s="39"/>
      <c r="C106" s="75">
        <v>100</v>
      </c>
      <c r="D106" s="146">
        <f>ETo!$I105*((1-Constantes!$D$19)*ETo!$K105+ETo!$L105)</f>
        <v>3.4992500286786012</v>
      </c>
      <c r="E106" s="76">
        <f>MIN(D106*Constantes!$D$17,0.8*(H105+Observaciones!$F105-F106-G106-Constantes!$D$14))</f>
        <v>2.8360128552000676E-2</v>
      </c>
      <c r="F106" s="76">
        <f>IF(Observaciones!$F105&gt;0.05*Constantes!$D$18,((Observaciones!$F105-0.05*Constantes!$D$18)^2)/(Observaciones!$F105+0.95*Constantes!$D$18),0)</f>
        <v>0</v>
      </c>
      <c r="G106" s="76">
        <f>MAX(0,H105+Observaciones!$F105-F106-Constantes!$D$13)</f>
        <v>0</v>
      </c>
      <c r="H106" s="76">
        <f>H105+Observaciones!$F105-F106-E106-G106-I105</f>
        <v>11.255882469524694</v>
      </c>
      <c r="I106" s="76">
        <f>MAX(0,(H106-Constantes!$D$14)*(1-EXP(-Constantes!$D$22)))</f>
        <v>2.003785069988099E-4</v>
      </c>
      <c r="J106" s="76">
        <f t="shared" si="3"/>
        <v>143.26664610255534</v>
      </c>
      <c r="K106" s="76">
        <f>MAX(0,(J106-Constantes!$D$13)*(1-EXP(-Constantes!$D$23)))</f>
        <v>0.93129502615966675</v>
      </c>
      <c r="L106" s="76">
        <f t="shared" si="4"/>
        <v>0.93149540466666558</v>
      </c>
      <c r="M106" s="76">
        <f>0.0526*F106*Observaciones!$F105^1.218</f>
        <v>0</v>
      </c>
      <c r="N106" s="76">
        <f>M106*Constantes!$D$51</f>
        <v>0</v>
      </c>
      <c r="O106" s="76">
        <f t="shared" si="5"/>
        <v>0</v>
      </c>
      <c r="P106" s="15"/>
      <c r="Q106" s="75">
        <v>100</v>
      </c>
      <c r="R106" s="76">
        <f>0.0526*Observaciones!$F105^2.218</f>
        <v>0</v>
      </c>
      <c r="S106" s="76">
        <f>IF(Observaciones!$F105&gt;0.05*$W$7,((Observaciones!$F105-0.05*$W$7)^2)/(Observaciones!$F105+0.95*$W$7),0)</f>
        <v>0</v>
      </c>
      <c r="T106" s="76">
        <f>0.0526*S106*Observaciones!$F105^1.218</f>
        <v>0</v>
      </c>
      <c r="U106" s="29"/>
      <c r="V106" s="29"/>
      <c r="W106" s="109"/>
      <c r="X106" s="40"/>
    </row>
    <row r="107" spans="2:24" s="2" customFormat="1">
      <c r="B107" s="39"/>
      <c r="C107" s="75">
        <v>101</v>
      </c>
      <c r="D107" s="146">
        <f>ETo!$I106*((1-Constantes!$D$19)*ETo!$K106+ETo!$L106)</f>
        <v>3.5196099670235221</v>
      </c>
      <c r="E107" s="76">
        <f>MIN(D107*Constantes!$D$17,0.8*(H106+Observaciones!$F106-F107-G107-Constantes!$D$14))</f>
        <v>4.7059756197555206E-3</v>
      </c>
      <c r="F107" s="76">
        <f>IF(Observaciones!$F106&gt;0.05*Constantes!$D$18,((Observaciones!$F106-0.05*Constantes!$D$18)^2)/(Observaciones!$F106+0.95*Constantes!$D$18),0)</f>
        <v>0</v>
      </c>
      <c r="G107" s="76">
        <f>MAX(0,H106+Observaciones!$F106-F107-Constantes!$D$13)</f>
        <v>0</v>
      </c>
      <c r="H107" s="76">
        <f>H106+Observaciones!$F106-F107-E107-G107-I106</f>
        <v>11.25097611539794</v>
      </c>
      <c r="I107" s="76">
        <f>MAX(0,(H107-Constantes!$D$14)*(1-EXP(-Constantes!$D$22)))</f>
        <v>3.3250073846812625E-5</v>
      </c>
      <c r="J107" s="76">
        <f t="shared" si="3"/>
        <v>142.33535107639568</v>
      </c>
      <c r="K107" s="76">
        <f>MAX(0,(J107-Constantes!$D$13)*(1-EXP(-Constantes!$D$23)))</f>
        <v>0.92211875444972213</v>
      </c>
      <c r="L107" s="76">
        <f t="shared" si="4"/>
        <v>0.92215200452356894</v>
      </c>
      <c r="M107" s="76">
        <f>0.0526*F107*Observaciones!$F106^1.218</f>
        <v>0</v>
      </c>
      <c r="N107" s="76">
        <f>M107*Constantes!$D$51</f>
        <v>0</v>
      </c>
      <c r="O107" s="76">
        <f t="shared" si="5"/>
        <v>0</v>
      </c>
      <c r="P107" s="15"/>
      <c r="Q107" s="75">
        <v>101</v>
      </c>
      <c r="R107" s="76">
        <f>0.0526*Observaciones!$F106^2.218</f>
        <v>0</v>
      </c>
      <c r="S107" s="76">
        <f>IF(Observaciones!$F106&gt;0.05*$W$7,((Observaciones!$F106-0.05*$W$7)^2)/(Observaciones!$F106+0.95*$W$7),0)</f>
        <v>0</v>
      </c>
      <c r="T107" s="76">
        <f>0.0526*S107*Observaciones!$F106^1.218</f>
        <v>0</v>
      </c>
      <c r="U107" s="29"/>
      <c r="V107" s="29"/>
      <c r="W107" s="109"/>
      <c r="X107" s="40"/>
    </row>
    <row r="108" spans="2:24" s="2" customFormat="1">
      <c r="B108" s="39"/>
      <c r="C108" s="75">
        <v>102</v>
      </c>
      <c r="D108" s="146">
        <f>ETo!$I107*((1-Constantes!$D$19)*ETo!$K107+ETo!$L107)</f>
        <v>3.4982285083722817</v>
      </c>
      <c r="E108" s="76">
        <f>MIN(D108*Constantes!$D$17,0.8*(H107+Observaciones!$F107-F108-G108-Constantes!$D$14))</f>
        <v>1.7836905764117059</v>
      </c>
      <c r="F108" s="76">
        <f>IF(Observaciones!$F107&gt;0.05*Constantes!$D$18,((Observaciones!$F107-0.05*Constantes!$D$18)^2)/(Observaciones!$F107+0.95*Constantes!$D$18),0)</f>
        <v>0</v>
      </c>
      <c r="G108" s="76">
        <f>MAX(0,H107+Observaciones!$F107-F108-Constantes!$D$13)</f>
        <v>0</v>
      </c>
      <c r="H108" s="76">
        <f>H107+Observaciones!$F107-F108-E108-G108-I107</f>
        <v>12.967252288912388</v>
      </c>
      <c r="I108" s="76">
        <f>MAX(0,(H108-Constantes!$D$14)*(1-EXP(-Constantes!$D$22)))</f>
        <v>5.8495917122567583E-2</v>
      </c>
      <c r="J108" s="76">
        <f t="shared" si="3"/>
        <v>141.41323232194597</v>
      </c>
      <c r="K108" s="76">
        <f>MAX(0,(J108-Constantes!$D$13)*(1-EXP(-Constantes!$D$23)))</f>
        <v>0.91303289873055327</v>
      </c>
      <c r="L108" s="76">
        <f t="shared" si="4"/>
        <v>0.9715288158531209</v>
      </c>
      <c r="M108" s="76">
        <f>0.0526*F108*Observaciones!$F107^1.218</f>
        <v>0</v>
      </c>
      <c r="N108" s="76">
        <f>M108*Constantes!$D$51</f>
        <v>0</v>
      </c>
      <c r="O108" s="76">
        <f t="shared" si="5"/>
        <v>0</v>
      </c>
      <c r="P108" s="15"/>
      <c r="Q108" s="75">
        <v>102</v>
      </c>
      <c r="R108" s="76">
        <f>0.0526*Observaciones!$F107^2.218</f>
        <v>0.84669825852460612</v>
      </c>
      <c r="S108" s="76">
        <f>IF(Observaciones!$F107&gt;0.05*$W$7,((Observaciones!$F107-0.05*$W$7)^2)/(Observaciones!$F107+0.95*$W$7),0)</f>
        <v>8.5881224531493036E-2</v>
      </c>
      <c r="T108" s="76">
        <f>0.0526*S108*Observaciones!$F107^1.218</f>
        <v>2.0775852357364521E-2</v>
      </c>
      <c r="U108" s="29"/>
      <c r="V108" s="29"/>
      <c r="W108" s="109"/>
      <c r="X108" s="40"/>
    </row>
    <row r="109" spans="2:24" s="2" customFormat="1">
      <c r="B109" s="39"/>
      <c r="C109" s="75">
        <v>103</v>
      </c>
      <c r="D109" s="146">
        <f>ETo!$I108*((1-Constantes!$D$19)*ETo!$K108+ETo!$L108)</f>
        <v>3.2685015114826248</v>
      </c>
      <c r="E109" s="76">
        <f>MIN(D109*Constantes!$D$17,0.8*(H108+Observaciones!$F108-F109-G109-Constantes!$D$14))</f>
        <v>1.6665564673851621</v>
      </c>
      <c r="F109" s="76">
        <f>IF(Observaciones!$F108&gt;0.05*Constantes!$D$18,((Observaciones!$F108-0.05*Constantes!$D$18)^2)/(Observaciones!$F108+0.95*Constantes!$D$18),0)</f>
        <v>0</v>
      </c>
      <c r="G109" s="76">
        <f>MAX(0,H108+Observaciones!$F108-F109-Constantes!$D$13)</f>
        <v>0</v>
      </c>
      <c r="H109" s="76">
        <f>H108+Observaciones!$F108-F109-E109-G109-I108</f>
        <v>13.04219990440466</v>
      </c>
      <c r="I109" s="76">
        <f>MAX(0,(H109-Constantes!$D$14)*(1-EXP(-Constantes!$D$22)))</f>
        <v>6.1048908044563491E-2</v>
      </c>
      <c r="J109" s="76">
        <f t="shared" si="3"/>
        <v>140.50019942321541</v>
      </c>
      <c r="K109" s="76">
        <f>MAX(0,(J109-Constantes!$D$13)*(1-EXP(-Constantes!$D$23)))</f>
        <v>0.90403656811186739</v>
      </c>
      <c r="L109" s="76">
        <f t="shared" si="4"/>
        <v>0.96508547615643092</v>
      </c>
      <c r="M109" s="76">
        <f>0.0526*F109*Observaciones!$F108^1.218</f>
        <v>0</v>
      </c>
      <c r="N109" s="76">
        <f>M109*Constantes!$D$51</f>
        <v>0</v>
      </c>
      <c r="O109" s="76">
        <f t="shared" si="5"/>
        <v>0</v>
      </c>
      <c r="P109" s="15"/>
      <c r="Q109" s="75">
        <v>103</v>
      </c>
      <c r="R109" s="76">
        <f>0.0526*Observaciones!$F108^2.218</f>
        <v>0.19372254258423433</v>
      </c>
      <c r="S109" s="76">
        <f>IF(Observaciones!$F108&gt;0.05*$W$7,((Observaciones!$F108-0.05*$W$7)^2)/(Observaciones!$F108+0.95*$W$7),0)</f>
        <v>1.3395249151634377E-4</v>
      </c>
      <c r="T109" s="76">
        <f>0.0526*S109*Observaciones!$F108^1.218</f>
        <v>1.441645402335511E-5</v>
      </c>
      <c r="U109" s="29"/>
      <c r="V109" s="29"/>
      <c r="W109" s="109"/>
      <c r="X109" s="40"/>
    </row>
    <row r="110" spans="2:24" s="2" customFormat="1">
      <c r="B110" s="39"/>
      <c r="C110" s="75">
        <v>104</v>
      </c>
      <c r="D110" s="146">
        <f>ETo!$I109*((1-Constantes!$D$19)*ETo!$K109+ETo!$L109)</f>
        <v>3.4552480303423629</v>
      </c>
      <c r="E110" s="76">
        <f>MIN(D110*Constantes!$D$17,0.8*(H109+Observaciones!$F109-F110-G110-Constantes!$D$14))</f>
        <v>1.4337599235237279</v>
      </c>
      <c r="F110" s="76">
        <f>IF(Observaciones!$F109&gt;0.05*Constantes!$D$18,((Observaciones!$F109-0.05*Constantes!$D$18)^2)/(Observaciones!$F109+0.95*Constantes!$D$18),0)</f>
        <v>0</v>
      </c>
      <c r="G110" s="76">
        <f>MAX(0,H109+Observaciones!$F109-F110-Constantes!$D$13)</f>
        <v>0</v>
      </c>
      <c r="H110" s="76">
        <f>H109+Observaciones!$F109-F110-E110-G110-I109</f>
        <v>11.547391072836367</v>
      </c>
      <c r="I110" s="76">
        <f>MAX(0,(H110-Constantes!$D$14)*(1-EXP(-Constantes!$D$22)))</f>
        <v>1.0130231685785302E-2</v>
      </c>
      <c r="J110" s="76">
        <f t="shared" si="3"/>
        <v>139.59616285510353</v>
      </c>
      <c r="K110" s="76">
        <f>MAX(0,(J110-Constantes!$D$13)*(1-EXP(-Constantes!$D$23)))</f>
        <v>0.89512888048152639</v>
      </c>
      <c r="L110" s="76">
        <f t="shared" si="4"/>
        <v>0.9052591121673117</v>
      </c>
      <c r="M110" s="76">
        <f>0.0526*F110*Observaciones!$F109^1.218</f>
        <v>0</v>
      </c>
      <c r="N110" s="76">
        <f>M110*Constantes!$D$51</f>
        <v>0</v>
      </c>
      <c r="O110" s="76">
        <f t="shared" si="5"/>
        <v>0</v>
      </c>
      <c r="P110" s="15"/>
      <c r="Q110" s="75">
        <v>104</v>
      </c>
      <c r="R110" s="76">
        <f>0.0526*Observaciones!$F109^2.218</f>
        <v>0</v>
      </c>
      <c r="S110" s="76">
        <f>IF(Observaciones!$F109&gt;0.05*$W$7,((Observaciones!$F109-0.05*$W$7)^2)/(Observaciones!$F109+0.95*$W$7),0)</f>
        <v>0</v>
      </c>
      <c r="T110" s="76">
        <f>0.0526*S110*Observaciones!$F109^1.218</f>
        <v>0</v>
      </c>
      <c r="U110" s="29"/>
      <c r="V110" s="29"/>
      <c r="W110" s="109"/>
      <c r="X110" s="40"/>
    </row>
    <row r="111" spans="2:24" s="2" customFormat="1">
      <c r="B111" s="39"/>
      <c r="C111" s="75">
        <v>105</v>
      </c>
      <c r="D111" s="146">
        <f>ETo!$I110*((1-Constantes!$D$19)*ETo!$K110+ETo!$L110)</f>
        <v>3.2824240173078825</v>
      </c>
      <c r="E111" s="76">
        <f>MIN(D111*Constantes!$D$17,0.8*(H110+Observaciones!$F110-F111-G111-Constantes!$D$14))</f>
        <v>0.23791285826909389</v>
      </c>
      <c r="F111" s="76">
        <f>IF(Observaciones!$F110&gt;0.05*Constantes!$D$18,((Observaciones!$F110-0.05*Constantes!$D$18)^2)/(Observaciones!$F110+0.95*Constantes!$D$18),0)</f>
        <v>0</v>
      </c>
      <c r="G111" s="76">
        <f>MAX(0,H110+Observaciones!$F110-F111-Constantes!$D$13)</f>
        <v>0</v>
      </c>
      <c r="H111" s="76">
        <f>H110+Observaciones!$F110-F111-E111-G111-I110</f>
        <v>11.299347982881487</v>
      </c>
      <c r="I111" s="76">
        <f>MAX(0,(H111-Constantes!$D$14)*(1-EXP(-Constantes!$D$22)))</f>
        <v>1.6809734570973347E-3</v>
      </c>
      <c r="J111" s="76">
        <f t="shared" si="3"/>
        <v>138.70103397462199</v>
      </c>
      <c r="K111" s="76">
        <f>MAX(0,(J111-Constantes!$D$13)*(1-EXP(-Constantes!$D$23)))</f>
        <v>0.8863089624190531</v>
      </c>
      <c r="L111" s="76">
        <f t="shared" si="4"/>
        <v>0.88798993587615049</v>
      </c>
      <c r="M111" s="76">
        <f>0.0526*F111*Observaciones!$F110^1.218</f>
        <v>0</v>
      </c>
      <c r="N111" s="76">
        <f>M111*Constantes!$D$51</f>
        <v>0</v>
      </c>
      <c r="O111" s="76">
        <f t="shared" si="5"/>
        <v>0</v>
      </c>
      <c r="P111" s="15"/>
      <c r="Q111" s="75">
        <v>105</v>
      </c>
      <c r="R111" s="76">
        <f>0.0526*Observaciones!$F110^2.218</f>
        <v>0</v>
      </c>
      <c r="S111" s="76">
        <f>IF(Observaciones!$F110&gt;0.05*$W$7,((Observaciones!$F110-0.05*$W$7)^2)/(Observaciones!$F110+0.95*$W$7),0)</f>
        <v>0</v>
      </c>
      <c r="T111" s="76">
        <f>0.0526*S111*Observaciones!$F110^1.218</f>
        <v>0</v>
      </c>
      <c r="U111" s="29"/>
      <c r="V111" s="29"/>
      <c r="W111" s="109"/>
      <c r="X111" s="40"/>
    </row>
    <row r="112" spans="2:24" s="2" customFormat="1">
      <c r="B112" s="39"/>
      <c r="C112" s="75">
        <v>106</v>
      </c>
      <c r="D112" s="146">
        <f>ETo!$I111*((1-Constantes!$D$19)*ETo!$K111+ETo!$L111)</f>
        <v>3.3494710887433254</v>
      </c>
      <c r="E112" s="76">
        <f>MIN(D112*Constantes!$D$17,0.8*(H111+Observaciones!$F111-F112-G112-Constantes!$D$14))</f>
        <v>3.9478386305189878E-2</v>
      </c>
      <c r="F112" s="76">
        <f>IF(Observaciones!$F111&gt;0.05*Constantes!$D$18,((Observaciones!$F111-0.05*Constantes!$D$18)^2)/(Observaciones!$F111+0.95*Constantes!$D$18),0)</f>
        <v>0</v>
      </c>
      <c r="G112" s="76">
        <f>MAX(0,H111+Observaciones!$F111-F112-Constantes!$D$13)</f>
        <v>0</v>
      </c>
      <c r="H112" s="76">
        <f>H111+Observaciones!$F111-F112-E112-G112-I111</f>
        <v>11.258188623119201</v>
      </c>
      <c r="I112" s="76">
        <f>MAX(0,(H112-Constantes!$D$14)*(1-EXP(-Constantes!$D$22)))</f>
        <v>2.7893456449087488E-4</v>
      </c>
      <c r="J112" s="76">
        <f t="shared" si="3"/>
        <v>137.81472501220293</v>
      </c>
      <c r="K112" s="76">
        <f>MAX(0,(J112-Constantes!$D$13)*(1-EXP(-Constantes!$D$23)))</f>
        <v>0.87757594910999015</v>
      </c>
      <c r="L112" s="76">
        <f t="shared" si="4"/>
        <v>0.87785488367448106</v>
      </c>
      <c r="M112" s="76">
        <f>0.0526*F112*Observaciones!$F111^1.218</f>
        <v>0</v>
      </c>
      <c r="N112" s="76">
        <f>M112*Constantes!$D$51</f>
        <v>0</v>
      </c>
      <c r="O112" s="76">
        <f t="shared" si="5"/>
        <v>0</v>
      </c>
      <c r="P112" s="15"/>
      <c r="Q112" s="75">
        <v>106</v>
      </c>
      <c r="R112" s="76">
        <f>0.0526*Observaciones!$F111^2.218</f>
        <v>0</v>
      </c>
      <c r="S112" s="76">
        <f>IF(Observaciones!$F111&gt;0.05*$W$7,((Observaciones!$F111-0.05*$W$7)^2)/(Observaciones!$F111+0.95*$W$7),0)</f>
        <v>0</v>
      </c>
      <c r="T112" s="76">
        <f>0.0526*S112*Observaciones!$F111^1.218</f>
        <v>0</v>
      </c>
      <c r="U112" s="29"/>
      <c r="V112" s="29"/>
      <c r="W112" s="109"/>
      <c r="X112" s="40"/>
    </row>
    <row r="113" spans="2:24" s="2" customFormat="1">
      <c r="B113" s="39"/>
      <c r="C113" s="75">
        <v>107</v>
      </c>
      <c r="D113" s="146">
        <f>ETo!$I112*((1-Constantes!$D$19)*ETo!$K112+ETo!$L112)</f>
        <v>3.302541631076823</v>
      </c>
      <c r="E113" s="76">
        <f>MIN(D113*Constantes!$D$17,0.8*(H112+Observaciones!$F112-F113-G113-Constantes!$D$14))</f>
        <v>6.5508984953609687E-3</v>
      </c>
      <c r="F113" s="76">
        <f>IF(Observaciones!$F112&gt;0.05*Constantes!$D$18,((Observaciones!$F112-0.05*Constantes!$D$18)^2)/(Observaciones!$F112+0.95*Constantes!$D$18),0)</f>
        <v>0</v>
      </c>
      <c r="G113" s="76">
        <f>MAX(0,H112+Observaciones!$F112-F113-Constantes!$D$13)</f>
        <v>0</v>
      </c>
      <c r="H113" s="76">
        <f>H112+Observaciones!$F112-F113-E113-G113-I112</f>
        <v>11.251358790059349</v>
      </c>
      <c r="I113" s="76">
        <f>MAX(0,(H113-Constantes!$D$14)*(1-EXP(-Constantes!$D$22)))</f>
        <v>4.6285377641862255E-5</v>
      </c>
      <c r="J113" s="76">
        <f t="shared" si="3"/>
        <v>136.93714906309293</v>
      </c>
      <c r="K113" s="76">
        <f>MAX(0,(J113-Constantes!$D$13)*(1-EXP(-Constantes!$D$23)))</f>
        <v>0.8689289842611031</v>
      </c>
      <c r="L113" s="76">
        <f t="shared" si="4"/>
        <v>0.86897526963874494</v>
      </c>
      <c r="M113" s="76">
        <f>0.0526*F113*Observaciones!$F112^1.218</f>
        <v>0</v>
      </c>
      <c r="N113" s="76">
        <f>M113*Constantes!$D$51</f>
        <v>0</v>
      </c>
      <c r="O113" s="76">
        <f t="shared" si="5"/>
        <v>0</v>
      </c>
      <c r="P113" s="15"/>
      <c r="Q113" s="75">
        <v>107</v>
      </c>
      <c r="R113" s="76">
        <f>0.0526*Observaciones!$F112^2.218</f>
        <v>0</v>
      </c>
      <c r="S113" s="76">
        <f>IF(Observaciones!$F112&gt;0.05*$W$7,((Observaciones!$F112-0.05*$W$7)^2)/(Observaciones!$F112+0.95*$W$7),0)</f>
        <v>0</v>
      </c>
      <c r="T113" s="76">
        <f>0.0526*S113*Observaciones!$F112^1.218</f>
        <v>0</v>
      </c>
      <c r="U113" s="29"/>
      <c r="V113" s="29"/>
      <c r="W113" s="109"/>
      <c r="X113" s="40"/>
    </row>
    <row r="114" spans="2:24" s="2" customFormat="1">
      <c r="B114" s="39"/>
      <c r="C114" s="75">
        <v>108</v>
      </c>
      <c r="D114" s="146">
        <f>ETo!$I113*((1-Constantes!$D$19)*ETo!$K113+ETo!$L113)</f>
        <v>3.3540897417475404</v>
      </c>
      <c r="E114" s="76">
        <f>MIN(D114*Constantes!$D$17,0.8*(H113+Observaciones!$F113-F114-G114-Constantes!$D$14))</f>
        <v>0.5610870320474789</v>
      </c>
      <c r="F114" s="76">
        <f>IF(Observaciones!$F113&gt;0.05*Constantes!$D$18,((Observaciones!$F113-0.05*Constantes!$D$18)^2)/(Observaciones!$F113+0.95*Constantes!$D$18),0)</f>
        <v>0</v>
      </c>
      <c r="G114" s="76">
        <f>MAX(0,H113+Observaciones!$F113-F114-Constantes!$D$13)</f>
        <v>0</v>
      </c>
      <c r="H114" s="76">
        <f>H113+Observaciones!$F113-F114-E114-G114-I113</f>
        <v>11.390225472634228</v>
      </c>
      <c r="I114" s="76">
        <f>MAX(0,(H114-Constantes!$D$14)*(1-EXP(-Constantes!$D$22)))</f>
        <v>4.7765943761704007E-3</v>
      </c>
      <c r="J114" s="76">
        <f t="shared" si="3"/>
        <v>136.06822007883184</v>
      </c>
      <c r="K114" s="76">
        <f>MAX(0,(J114-Constantes!$D$13)*(1-EXP(-Constantes!$D$23)))</f>
        <v>0.86036722001641897</v>
      </c>
      <c r="L114" s="76">
        <f t="shared" si="4"/>
        <v>0.86514381439258936</v>
      </c>
      <c r="M114" s="76">
        <f>0.0526*F114*Observaciones!$F113^1.218</f>
        <v>0</v>
      </c>
      <c r="N114" s="76">
        <f>M114*Constantes!$D$51</f>
        <v>0</v>
      </c>
      <c r="O114" s="76">
        <f t="shared" si="5"/>
        <v>0</v>
      </c>
      <c r="P114" s="15"/>
      <c r="Q114" s="75">
        <v>108</v>
      </c>
      <c r="R114" s="76">
        <f>0.0526*Observaciones!$F113^2.218</f>
        <v>2.3845871367955355E-2</v>
      </c>
      <c r="S114" s="76">
        <f>IF(Observaciones!$F113&gt;0.05*$W$7,((Observaciones!$F113-0.05*$W$7)^2)/(Observaciones!$F113+0.95*$W$7),0)</f>
        <v>0</v>
      </c>
      <c r="T114" s="76">
        <f>0.0526*S114*Observaciones!$F113^1.218</f>
        <v>0</v>
      </c>
      <c r="U114" s="29"/>
      <c r="V114" s="29"/>
      <c r="W114" s="109"/>
      <c r="X114" s="40"/>
    </row>
    <row r="115" spans="2:24" s="2" customFormat="1">
      <c r="B115" s="39"/>
      <c r="C115" s="75">
        <v>109</v>
      </c>
      <c r="D115" s="146">
        <f>ETo!$I114*((1-Constantes!$D$19)*ETo!$K114+ETo!$L114)</f>
        <v>3.3797491335333278</v>
      </c>
      <c r="E115" s="76">
        <f>MIN(D115*Constantes!$D$17,0.8*(H114+Observaciones!$F114-F115-G115-Constantes!$D$14))</f>
        <v>0.51218037810738226</v>
      </c>
      <c r="F115" s="76">
        <f>IF(Observaciones!$F114&gt;0.05*Constantes!$D$18,((Observaciones!$F114-0.05*Constantes!$D$18)^2)/(Observaciones!$F114+0.95*Constantes!$D$18),0)</f>
        <v>0</v>
      </c>
      <c r="G115" s="76">
        <f>MAX(0,H114+Observaciones!$F114-F115-Constantes!$D$13)</f>
        <v>0</v>
      </c>
      <c r="H115" s="76">
        <f>H114+Observaciones!$F114-F115-E115-G115-I114</f>
        <v>11.373268500150674</v>
      </c>
      <c r="I115" s="76">
        <f>MAX(0,(H115-Constantes!$D$14)*(1-EXP(-Constantes!$D$22)))</f>
        <v>4.1989776430601845E-3</v>
      </c>
      <c r="J115" s="76">
        <f t="shared" si="3"/>
        <v>135.20785285881541</v>
      </c>
      <c r="K115" s="76">
        <f>MAX(0,(J115-Constantes!$D$13)*(1-EXP(-Constantes!$D$23)))</f>
        <v>0.85188981687409082</v>
      </c>
      <c r="L115" s="76">
        <f t="shared" si="4"/>
        <v>0.85608879451715103</v>
      </c>
      <c r="M115" s="76">
        <f>0.0526*F115*Observaciones!$F114^1.218</f>
        <v>0</v>
      </c>
      <c r="N115" s="76">
        <f>M115*Constantes!$D$51</f>
        <v>0</v>
      </c>
      <c r="O115" s="76">
        <f t="shared" si="5"/>
        <v>0</v>
      </c>
      <c r="P115" s="15"/>
      <c r="Q115" s="75">
        <v>109</v>
      </c>
      <c r="R115" s="76">
        <f>0.0526*Observaciones!$F114^2.218</f>
        <v>1.1305797794095535E-2</v>
      </c>
      <c r="S115" s="76">
        <f>IF(Observaciones!$F114&gt;0.05*$W$7,((Observaciones!$F114-0.05*$W$7)^2)/(Observaciones!$F114+0.95*$W$7),0)</f>
        <v>0</v>
      </c>
      <c r="T115" s="76">
        <f>0.0526*S115*Observaciones!$F114^1.218</f>
        <v>0</v>
      </c>
      <c r="U115" s="29"/>
      <c r="V115" s="29"/>
      <c r="W115" s="109"/>
      <c r="X115" s="40"/>
    </row>
    <row r="116" spans="2:24" s="2" customFormat="1">
      <c r="B116" s="39"/>
      <c r="C116" s="75">
        <v>110</v>
      </c>
      <c r="D116" s="146">
        <f>ETo!$I115*((1-Constantes!$D$19)*ETo!$K115+ETo!$L115)</f>
        <v>3.4269863324572247</v>
      </c>
      <c r="E116" s="76">
        <f>MIN(D116*Constantes!$D$17,0.8*(H115+Observaciones!$F115-F116-G116-Constantes!$D$14))</f>
        <v>9.8614800120539317E-2</v>
      </c>
      <c r="F116" s="76">
        <f>IF(Observaciones!$F115&gt;0.05*Constantes!$D$18,((Observaciones!$F115-0.05*Constantes!$D$18)^2)/(Observaciones!$F115+0.95*Constantes!$D$18),0)</f>
        <v>0</v>
      </c>
      <c r="G116" s="76">
        <f>MAX(0,H115+Observaciones!$F115-F116-Constantes!$D$13)</f>
        <v>0</v>
      </c>
      <c r="H116" s="76">
        <f>H115+Observaciones!$F115-F116-E116-G116-I115</f>
        <v>11.270454722387074</v>
      </c>
      <c r="I116" s="76">
        <f>MAX(0,(H116-Constantes!$D$14)*(1-EXP(-Constantes!$D$22)))</f>
        <v>6.9676293532687516E-4</v>
      </c>
      <c r="J116" s="76">
        <f t="shared" si="3"/>
        <v>134.35596304194132</v>
      </c>
      <c r="K116" s="76">
        <f>MAX(0,(J116-Constantes!$D$13)*(1-EXP(-Constantes!$D$23)))</f>
        <v>0.84349594360408431</v>
      </c>
      <c r="L116" s="76">
        <f t="shared" si="4"/>
        <v>0.84419270653941114</v>
      </c>
      <c r="M116" s="76">
        <f>0.0526*F116*Observaciones!$F115^1.218</f>
        <v>0</v>
      </c>
      <c r="N116" s="76">
        <f>M116*Constantes!$D$51</f>
        <v>0</v>
      </c>
      <c r="O116" s="76">
        <f t="shared" si="5"/>
        <v>0</v>
      </c>
      <c r="P116" s="15"/>
      <c r="Q116" s="75">
        <v>110</v>
      </c>
      <c r="R116" s="76">
        <f>0.0526*Observaciones!$F115^2.218</f>
        <v>0</v>
      </c>
      <c r="S116" s="76">
        <f>IF(Observaciones!$F115&gt;0.05*$W$7,((Observaciones!$F115-0.05*$W$7)^2)/(Observaciones!$F115+0.95*$W$7),0)</f>
        <v>0</v>
      </c>
      <c r="T116" s="76">
        <f>0.0526*S116*Observaciones!$F115^1.218</f>
        <v>0</v>
      </c>
      <c r="U116" s="29"/>
      <c r="V116" s="29"/>
      <c r="W116" s="109"/>
      <c r="X116" s="40"/>
    </row>
    <row r="117" spans="2:24" s="2" customFormat="1">
      <c r="B117" s="39"/>
      <c r="C117" s="75">
        <v>111</v>
      </c>
      <c r="D117" s="146">
        <f>ETo!$I116*((1-Constantes!$D$19)*ETo!$K116+ETo!$L116)</f>
        <v>3.2604596598053446</v>
      </c>
      <c r="E117" s="76">
        <f>MIN(D117*Constantes!$D$17,0.8*(H116+Observaciones!$F116-F117-G117-Constantes!$D$14))</f>
        <v>1.6363777909658952E-2</v>
      </c>
      <c r="F117" s="76">
        <f>IF(Observaciones!$F116&gt;0.05*Constantes!$D$18,((Observaciones!$F116-0.05*Constantes!$D$18)^2)/(Observaciones!$F116+0.95*Constantes!$D$18),0)</f>
        <v>0</v>
      </c>
      <c r="G117" s="76">
        <f>MAX(0,H116+Observaciones!$F116-F117-Constantes!$D$13)</f>
        <v>0</v>
      </c>
      <c r="H117" s="76">
        <f>H116+Observaciones!$F116-F117-E117-G117-I116</f>
        <v>11.253394181542088</v>
      </c>
      <c r="I117" s="76">
        <f>MAX(0,(H117-Constantes!$D$14)*(1-EXP(-Constantes!$D$22)))</f>
        <v>1.1561828361905102E-4</v>
      </c>
      <c r="J117" s="76">
        <f t="shared" si="3"/>
        <v>133.51246709833723</v>
      </c>
      <c r="K117" s="76">
        <f>MAX(0,(J117-Constantes!$D$13)*(1-EXP(-Constantes!$D$23)))</f>
        <v>0.83518477716667183</v>
      </c>
      <c r="L117" s="76">
        <f t="shared" si="4"/>
        <v>0.83530039545029089</v>
      </c>
      <c r="M117" s="76">
        <f>0.0526*F117*Observaciones!$F116^1.218</f>
        <v>0</v>
      </c>
      <c r="N117" s="76">
        <f>M117*Constantes!$D$51</f>
        <v>0</v>
      </c>
      <c r="O117" s="76">
        <f t="shared" si="5"/>
        <v>0</v>
      </c>
      <c r="P117" s="15"/>
      <c r="Q117" s="75">
        <v>111</v>
      </c>
      <c r="R117" s="76">
        <f>0.0526*Observaciones!$F116^2.218</f>
        <v>0</v>
      </c>
      <c r="S117" s="76">
        <f>IF(Observaciones!$F116&gt;0.05*$W$7,((Observaciones!$F116-0.05*$W$7)^2)/(Observaciones!$F116+0.95*$W$7),0)</f>
        <v>0</v>
      </c>
      <c r="T117" s="76">
        <f>0.0526*S117*Observaciones!$F116^1.218</f>
        <v>0</v>
      </c>
      <c r="U117" s="29"/>
      <c r="V117" s="29"/>
      <c r="W117" s="109"/>
      <c r="X117" s="40"/>
    </row>
    <row r="118" spans="2:24" s="2" customFormat="1">
      <c r="B118" s="39"/>
      <c r="C118" s="75">
        <v>112</v>
      </c>
      <c r="D118" s="146">
        <f>ETo!$I117*((1-Constantes!$D$19)*ETo!$K117+ETo!$L117)</f>
        <v>3.1962204143830615</v>
      </c>
      <c r="E118" s="76">
        <f>MIN(D118*Constantes!$D$17,0.8*(H117+Observaciones!$F117-F118-G118-Constantes!$D$14))</f>
        <v>0.48271534523367027</v>
      </c>
      <c r="F118" s="76">
        <f>IF(Observaciones!$F117&gt;0.05*Constantes!$D$18,((Observaciones!$F117-0.05*Constantes!$D$18)^2)/(Observaciones!$F117+0.95*Constantes!$D$18),0)</f>
        <v>0</v>
      </c>
      <c r="G118" s="76">
        <f>MAX(0,H117+Observaciones!$F117-F118-Constantes!$D$13)</f>
        <v>0</v>
      </c>
      <c r="H118" s="76">
        <f>H117+Observaciones!$F117-F118-E118-G118-I117</f>
        <v>11.370563218024799</v>
      </c>
      <c r="I118" s="76">
        <f>MAX(0,(H118-Constantes!$D$14)*(1-EXP(-Constantes!$D$22)))</f>
        <v>4.1068258025588741E-3</v>
      </c>
      <c r="J118" s="76">
        <f t="shared" si="3"/>
        <v>132.67728232117057</v>
      </c>
      <c r="K118" s="76">
        <f>MAX(0,(J118-Constantes!$D$13)*(1-EXP(-Constantes!$D$23)))</f>
        <v>0.82695550263173301</v>
      </c>
      <c r="L118" s="76">
        <f t="shared" si="4"/>
        <v>0.83106232843429184</v>
      </c>
      <c r="M118" s="76">
        <f>0.0526*F118*Observaciones!$F117^1.218</f>
        <v>0</v>
      </c>
      <c r="N118" s="76">
        <f>M118*Constantes!$D$51</f>
        <v>0</v>
      </c>
      <c r="O118" s="76">
        <f t="shared" si="5"/>
        <v>0</v>
      </c>
      <c r="P118" s="15"/>
      <c r="Q118" s="75">
        <v>112</v>
      </c>
      <c r="R118" s="76">
        <f>0.0526*Observaciones!$F117^2.218</f>
        <v>1.6940460723560119E-2</v>
      </c>
      <c r="S118" s="76">
        <f>IF(Observaciones!$F117&gt;0.05*$W$7,((Observaciones!$F117-0.05*$W$7)^2)/(Observaciones!$F117+0.95*$W$7),0)</f>
        <v>0</v>
      </c>
      <c r="T118" s="76">
        <f>0.0526*S118*Observaciones!$F117^1.218</f>
        <v>0</v>
      </c>
      <c r="U118" s="29"/>
      <c r="V118" s="29"/>
      <c r="W118" s="109"/>
      <c r="X118" s="40"/>
    </row>
    <row r="119" spans="2:24" s="2" customFormat="1">
      <c r="B119" s="39"/>
      <c r="C119" s="75">
        <v>113</v>
      </c>
      <c r="D119" s="146">
        <f>ETo!$I118*((1-Constantes!$D$19)*ETo!$K118+ETo!$L118)</f>
        <v>3.1114051266028322</v>
      </c>
      <c r="E119" s="76">
        <f>MIN(D119*Constantes!$D$17,0.8*(H118+Observaciones!$F118-F119-G119-Constantes!$D$14))</f>
        <v>9.6450574419839091E-2</v>
      </c>
      <c r="F119" s="76">
        <f>IF(Observaciones!$F118&gt;0.05*Constantes!$D$18,((Observaciones!$F118-0.05*Constantes!$D$18)^2)/(Observaciones!$F118+0.95*Constantes!$D$18),0)</f>
        <v>0</v>
      </c>
      <c r="G119" s="76">
        <f>MAX(0,H118+Observaciones!$F118-F119-Constantes!$D$13)</f>
        <v>0</v>
      </c>
      <c r="H119" s="76">
        <f>H118+Observaciones!$F118-F119-E119-G119-I118</f>
        <v>11.270005817802401</v>
      </c>
      <c r="I119" s="76">
        <f>MAX(0,(H119-Constantes!$D$14)*(1-EXP(-Constantes!$D$22)))</f>
        <v>6.8147159721046208E-4</v>
      </c>
      <c r="J119" s="76">
        <f t="shared" si="3"/>
        <v>131.85032681853883</v>
      </c>
      <c r="K119" s="76">
        <f>MAX(0,(J119-Constantes!$D$13)*(1-EXP(-Constantes!$D$23)))</f>
        <v>0.81880731309884736</v>
      </c>
      <c r="L119" s="76">
        <f t="shared" si="4"/>
        <v>0.81948878469605779</v>
      </c>
      <c r="M119" s="76">
        <f>0.0526*F119*Observaciones!$F118^1.218</f>
        <v>0</v>
      </c>
      <c r="N119" s="76">
        <f>M119*Constantes!$D$51</f>
        <v>0</v>
      </c>
      <c r="O119" s="76">
        <f t="shared" si="5"/>
        <v>0</v>
      </c>
      <c r="P119" s="15"/>
      <c r="Q119" s="75">
        <v>113</v>
      </c>
      <c r="R119" s="76">
        <f>0.0526*Observaciones!$F118^2.218</f>
        <v>0</v>
      </c>
      <c r="S119" s="76">
        <f>IF(Observaciones!$F118&gt;0.05*$W$7,((Observaciones!$F118-0.05*$W$7)^2)/(Observaciones!$F118+0.95*$W$7),0)</f>
        <v>0</v>
      </c>
      <c r="T119" s="76">
        <f>0.0526*S119*Observaciones!$F118^1.218</f>
        <v>0</v>
      </c>
      <c r="U119" s="29"/>
      <c r="V119" s="29"/>
      <c r="W119" s="109"/>
      <c r="X119" s="40"/>
    </row>
    <row r="120" spans="2:24" s="2" customFormat="1">
      <c r="B120" s="39"/>
      <c r="C120" s="75">
        <v>114</v>
      </c>
      <c r="D120" s="146">
        <f>ETo!$I119*((1-Constantes!$D$19)*ETo!$K119+ETo!$L119)</f>
        <v>3.1679137514616551</v>
      </c>
      <c r="E120" s="76">
        <f>MIN(D120*Constantes!$D$17,0.8*(H119+Observaciones!$F119-F120-G120-Constantes!$D$14))</f>
        <v>1.6004654241920945E-2</v>
      </c>
      <c r="F120" s="76">
        <f>IF(Observaciones!$F119&gt;0.05*Constantes!$D$18,((Observaciones!$F119-0.05*Constantes!$D$18)^2)/(Observaciones!$F119+0.95*Constantes!$D$18),0)</f>
        <v>0</v>
      </c>
      <c r="G120" s="76">
        <f>MAX(0,H119+Observaciones!$F119-F120-Constantes!$D$13)</f>
        <v>0</v>
      </c>
      <c r="H120" s="76">
        <f>H119+Observaciones!$F119-F120-E120-G120-I119</f>
        <v>11.253319691963268</v>
      </c>
      <c r="I120" s="76">
        <f>MAX(0,(H120-Constantes!$D$14)*(1-EXP(-Constantes!$D$22)))</f>
        <v>1.1308089510760533E-4</v>
      </c>
      <c r="J120" s="76">
        <f t="shared" si="3"/>
        <v>131.03151950543997</v>
      </c>
      <c r="K120" s="76">
        <f>MAX(0,(J120-Constantes!$D$13)*(1-EXP(-Constantes!$D$23)))</f>
        <v>0.81073940961817659</v>
      </c>
      <c r="L120" s="76">
        <f t="shared" si="4"/>
        <v>0.81085249051328423</v>
      </c>
      <c r="M120" s="76">
        <f>0.0526*F120*Observaciones!$F119^1.218</f>
        <v>0</v>
      </c>
      <c r="N120" s="76">
        <f>M120*Constantes!$D$51</f>
        <v>0</v>
      </c>
      <c r="O120" s="76">
        <f t="shared" si="5"/>
        <v>0</v>
      </c>
      <c r="P120" s="15"/>
      <c r="Q120" s="75">
        <v>114</v>
      </c>
      <c r="R120" s="76">
        <f>0.0526*Observaciones!$F119^2.218</f>
        <v>0</v>
      </c>
      <c r="S120" s="76">
        <f>IF(Observaciones!$F119&gt;0.05*$W$7,((Observaciones!$F119-0.05*$W$7)^2)/(Observaciones!$F119+0.95*$W$7),0)</f>
        <v>0</v>
      </c>
      <c r="T120" s="76">
        <f>0.0526*S120*Observaciones!$F119^1.218</f>
        <v>0</v>
      </c>
      <c r="U120" s="29"/>
      <c r="V120" s="29"/>
      <c r="W120" s="109"/>
      <c r="X120" s="40"/>
    </row>
    <row r="121" spans="2:24" s="2" customFormat="1">
      <c r="B121" s="39"/>
      <c r="C121" s="75">
        <v>115</v>
      </c>
      <c r="D121" s="146">
        <f>ETo!$I120*((1-Constantes!$D$19)*ETo!$K120+ETo!$L120)</f>
        <v>3.1291827919107824</v>
      </c>
      <c r="E121" s="76">
        <f>MIN(D121*Constantes!$D$17,0.8*(H120+Observaciones!$F120-F121-G121-Constantes!$D$14))</f>
        <v>2.6557535706146496E-3</v>
      </c>
      <c r="F121" s="76">
        <f>IF(Observaciones!$F120&gt;0.05*Constantes!$D$18,((Observaciones!$F120-0.05*Constantes!$D$18)^2)/(Observaciones!$F120+0.95*Constantes!$D$18),0)</f>
        <v>0</v>
      </c>
      <c r="G121" s="76">
        <f>MAX(0,H120+Observaciones!$F120-F121-Constantes!$D$13)</f>
        <v>0</v>
      </c>
      <c r="H121" s="76">
        <f>H120+Observaciones!$F120-F121-E121-G121-I120</f>
        <v>11.250550857497545</v>
      </c>
      <c r="I121" s="76">
        <f>MAX(0,(H121-Constantes!$D$14)*(1-EXP(-Constantes!$D$22)))</f>
        <v>1.8764228605671392E-5</v>
      </c>
      <c r="J121" s="76">
        <f t="shared" si="3"/>
        <v>130.22078009582179</v>
      </c>
      <c r="K121" s="76">
        <f>MAX(0,(J121-Constantes!$D$13)*(1-EXP(-Constantes!$D$23)))</f>
        <v>0.80275100111212594</v>
      </c>
      <c r="L121" s="76">
        <f t="shared" si="4"/>
        <v>0.80276976534073163</v>
      </c>
      <c r="M121" s="76">
        <f>0.0526*F121*Observaciones!$F120^1.218</f>
        <v>0</v>
      </c>
      <c r="N121" s="76">
        <f>M121*Constantes!$D$51</f>
        <v>0</v>
      </c>
      <c r="O121" s="76">
        <f t="shared" si="5"/>
        <v>0</v>
      </c>
      <c r="P121" s="15"/>
      <c r="Q121" s="75">
        <v>115</v>
      </c>
      <c r="R121" s="76">
        <f>0.0526*Observaciones!$F120^2.218</f>
        <v>0</v>
      </c>
      <c r="S121" s="76">
        <f>IF(Observaciones!$F120&gt;0.05*$W$7,((Observaciones!$F120-0.05*$W$7)^2)/(Observaciones!$F120+0.95*$W$7),0)</f>
        <v>0</v>
      </c>
      <c r="T121" s="76">
        <f>0.0526*S121*Observaciones!$F120^1.218</f>
        <v>0</v>
      </c>
      <c r="U121" s="29"/>
      <c r="V121" s="29"/>
      <c r="W121" s="109"/>
      <c r="X121" s="40"/>
    </row>
    <row r="122" spans="2:24" s="2" customFormat="1">
      <c r="B122" s="39"/>
      <c r="C122" s="75">
        <v>116</v>
      </c>
      <c r="D122" s="146">
        <f>ETo!$I121*((1-Constantes!$D$19)*ETo!$K121+ETo!$L121)</f>
        <v>3.1325432531927802</v>
      </c>
      <c r="E122" s="76">
        <f>MIN(D122*Constantes!$D$17,0.8*(H121+Observaciones!$F121-F122-G122-Constantes!$D$14))</f>
        <v>1.597233533358253</v>
      </c>
      <c r="F122" s="76">
        <f>IF(Observaciones!$F121&gt;0.05*Constantes!$D$18,((Observaciones!$F121-0.05*Constantes!$D$18)^2)/(Observaciones!$F121+0.95*Constantes!$D$18),0)</f>
        <v>0.95913437748632913</v>
      </c>
      <c r="G122" s="76">
        <f>MAX(0,H121+Observaciones!$F121-F122-Constantes!$D$13)</f>
        <v>0</v>
      </c>
      <c r="H122" s="76">
        <f>H121+Observaciones!$F121-F122-E122-G122-I121</f>
        <v>21.194164182424355</v>
      </c>
      <c r="I122" s="76">
        <f>MAX(0,(H122-Constantes!$D$14)*(1-EXP(-Constantes!$D$22)))</f>
        <v>0.33873473782743491</v>
      </c>
      <c r="J122" s="76">
        <f t="shared" si="3"/>
        <v>129.41802909470968</v>
      </c>
      <c r="K122" s="76">
        <f>MAX(0,(J122-Constantes!$D$13)*(1-EXP(-Constantes!$D$23)))</f>
        <v>0.79484130429777622</v>
      </c>
      <c r="L122" s="76">
        <f t="shared" si="4"/>
        <v>2.0927104196115405</v>
      </c>
      <c r="M122" s="76">
        <f>0.0526*F122*Observaciones!$F121^1.218</f>
        <v>1.093708525166837</v>
      </c>
      <c r="N122" s="76">
        <f>M122*Constantes!$D$51</f>
        <v>1.5377428642051225E-2</v>
      </c>
      <c r="O122" s="76">
        <f t="shared" si="5"/>
        <v>734.80919758146285</v>
      </c>
      <c r="P122" s="15"/>
      <c r="Q122" s="75">
        <v>116</v>
      </c>
      <c r="R122" s="76">
        <f>0.0526*Observaciones!$F121^2.218</f>
        <v>14.253848976214318</v>
      </c>
      <c r="S122" s="76">
        <f>IF(Observaciones!$F121&gt;0.05*$W$7,((Observaciones!$F121-0.05*$W$7)^2)/(Observaciones!$F121+0.95*$W$7),0)</f>
        <v>2.5537914433149203</v>
      </c>
      <c r="T122" s="76">
        <f>0.0526*S122*Observaciones!$F121^1.218</f>
        <v>2.9121086039807391</v>
      </c>
      <c r="U122" s="29"/>
      <c r="V122" s="29"/>
      <c r="W122" s="109"/>
      <c r="X122" s="40"/>
    </row>
    <row r="123" spans="2:24" s="2" customFormat="1">
      <c r="B123" s="39"/>
      <c r="C123" s="75">
        <v>117</v>
      </c>
      <c r="D123" s="146">
        <f>ETo!$I122*((1-Constantes!$D$19)*ETo!$K122+ETo!$L122)</f>
        <v>3.2687907625330737</v>
      </c>
      <c r="E123" s="76">
        <f>MIN(D123*Constantes!$D$17,0.8*(H122+Observaciones!$F122-F123-G123-Constantes!$D$14))</f>
        <v>1.6667039518538491</v>
      </c>
      <c r="F123" s="76">
        <f>IF(Observaciones!$F122&gt;0.05*Constantes!$D$18,((Observaciones!$F122-0.05*Constantes!$D$18)^2)/(Observaciones!$F122+0.95*Constantes!$D$18),0)</f>
        <v>0</v>
      </c>
      <c r="G123" s="76">
        <f>MAX(0,H122+Observaciones!$F122-F123-Constantes!$D$13)</f>
        <v>0</v>
      </c>
      <c r="H123" s="76">
        <f>H122+Observaciones!$F122-F123-E123-G123-I122</f>
        <v>19.188725492743071</v>
      </c>
      <c r="I123" s="76">
        <f>MAX(0,(H123-Constantes!$D$14)*(1-EXP(-Constantes!$D$22)))</f>
        <v>0.27042213394074299</v>
      </c>
      <c r="J123" s="76">
        <f t="shared" si="3"/>
        <v>128.62318779041192</v>
      </c>
      <c r="K123" s="76">
        <f>MAX(0,(J123-Constantes!$D$13)*(1-EXP(-Constantes!$D$23)))</f>
        <v>0.78700954361008124</v>
      </c>
      <c r="L123" s="76">
        <f t="shared" si="4"/>
        <v>1.0574316775508241</v>
      </c>
      <c r="M123" s="76">
        <f>0.0526*F123*Observaciones!$F122^1.218</f>
        <v>0</v>
      </c>
      <c r="N123" s="76">
        <f>M123*Constantes!$D$51</f>
        <v>0</v>
      </c>
      <c r="O123" s="76">
        <f t="shared" si="5"/>
        <v>0</v>
      </c>
      <c r="P123" s="15"/>
      <c r="Q123" s="75">
        <v>117</v>
      </c>
      <c r="R123" s="76">
        <f>0.0526*Observaciones!$F122^2.218</f>
        <v>0</v>
      </c>
      <c r="S123" s="76">
        <f>IF(Observaciones!$F122&gt;0.05*$W$7,((Observaciones!$F122-0.05*$W$7)^2)/(Observaciones!$F122+0.95*$W$7),0)</f>
        <v>0</v>
      </c>
      <c r="T123" s="76">
        <f>0.0526*S123*Observaciones!$F122^1.218</f>
        <v>0</v>
      </c>
      <c r="U123" s="29"/>
      <c r="V123" s="29"/>
      <c r="W123" s="109"/>
      <c r="X123" s="40"/>
    </row>
    <row r="124" spans="2:24" s="2" customFormat="1">
      <c r="B124" s="39"/>
      <c r="C124" s="75">
        <v>118</v>
      </c>
      <c r="D124" s="146">
        <f>ETo!$I123*((1-Constantes!$D$19)*ETo!$K123+ETo!$L123)</f>
        <v>3.118070788022302</v>
      </c>
      <c r="E124" s="76">
        <f>MIN(D124*Constantes!$D$17,0.8*(H123+Observaciones!$F123-F124-G124-Constantes!$D$14))</f>
        <v>1.5898542556237518</v>
      </c>
      <c r="F124" s="76">
        <f>IF(Observaciones!$F123&gt;0.05*Constantes!$D$18,((Observaciones!$F123-0.05*Constantes!$D$18)^2)/(Observaciones!$F123+0.95*Constantes!$D$18),0)</f>
        <v>0</v>
      </c>
      <c r="G124" s="76">
        <f>MAX(0,H123+Observaciones!$F123-F124-Constantes!$D$13)</f>
        <v>0</v>
      </c>
      <c r="H124" s="76">
        <f>H123+Observaciones!$F123-F124-E124-G124-I123</f>
        <v>17.328449103178574</v>
      </c>
      <c r="I124" s="76">
        <f>MAX(0,(H124-Constantes!$D$14)*(1-EXP(-Constantes!$D$22)))</f>
        <v>0.20705429089774219</v>
      </c>
      <c r="J124" s="76">
        <f t="shared" si="3"/>
        <v>127.83617824680184</v>
      </c>
      <c r="K124" s="76">
        <f>MAX(0,(J124-Constantes!$D$13)*(1-EXP(-Constantes!$D$23)))</f>
        <v>0.7792549511258221</v>
      </c>
      <c r="L124" s="76">
        <f t="shared" si="4"/>
        <v>0.98630924202356429</v>
      </c>
      <c r="M124" s="76">
        <f>0.0526*F124*Observaciones!$F123^1.218</f>
        <v>0</v>
      </c>
      <c r="N124" s="76">
        <f>M124*Constantes!$D$51</f>
        <v>0</v>
      </c>
      <c r="O124" s="76">
        <f t="shared" si="5"/>
        <v>0</v>
      </c>
      <c r="P124" s="15"/>
      <c r="Q124" s="75">
        <v>118</v>
      </c>
      <c r="R124" s="76">
        <f>0.0526*Observaciones!$F123^2.218</f>
        <v>0</v>
      </c>
      <c r="S124" s="76">
        <f>IF(Observaciones!$F123&gt;0.05*$W$7,((Observaciones!$F123-0.05*$W$7)^2)/(Observaciones!$F123+0.95*$W$7),0)</f>
        <v>0</v>
      </c>
      <c r="T124" s="76">
        <f>0.0526*S124*Observaciones!$F123^1.218</f>
        <v>0</v>
      </c>
      <c r="U124" s="29"/>
      <c r="V124" s="29"/>
      <c r="W124" s="109"/>
      <c r="X124" s="40"/>
    </row>
    <row r="125" spans="2:24" s="2" customFormat="1">
      <c r="B125" s="39"/>
      <c r="C125" s="75">
        <v>119</v>
      </c>
      <c r="D125" s="146">
        <f>ETo!$I124*((1-Constantes!$D$19)*ETo!$K124+ETo!$L124)</f>
        <v>3.2147489884553475</v>
      </c>
      <c r="E125" s="76">
        <f>MIN(D125*Constantes!$D$17,0.8*(H124+Observaciones!$F124-F125-G125-Constantes!$D$14))</f>
        <v>1.6391489185207457</v>
      </c>
      <c r="F125" s="76">
        <f>IF(Observaciones!$F124&gt;0.05*Constantes!$D$18,((Observaciones!$F124-0.05*Constantes!$D$18)^2)/(Observaciones!$F124+0.95*Constantes!$D$18),0)</f>
        <v>0</v>
      </c>
      <c r="G125" s="76">
        <f>MAX(0,H124+Observaciones!$F124-F125-Constantes!$D$13)</f>
        <v>0</v>
      </c>
      <c r="H125" s="76">
        <f>H124+Observaciones!$F124-F125-E125-G125-I124</f>
        <v>15.482245893760085</v>
      </c>
      <c r="I125" s="76">
        <f>MAX(0,(H125-Constantes!$D$14)*(1-EXP(-Constantes!$D$22)))</f>
        <v>0.1441658320342164</v>
      </c>
      <c r="J125" s="76">
        <f t="shared" si="3"/>
        <v>127.05692329567601</v>
      </c>
      <c r="K125" s="76">
        <f>MAX(0,(J125-Constantes!$D$13)*(1-EXP(-Constantes!$D$23)))</f>
        <v>0.77157676648831042</v>
      </c>
      <c r="L125" s="76">
        <f t="shared" si="4"/>
        <v>0.91574259852252682</v>
      </c>
      <c r="M125" s="76">
        <f>0.0526*F125*Observaciones!$F124^1.218</f>
        <v>0</v>
      </c>
      <c r="N125" s="76">
        <f>M125*Constantes!$D$51</f>
        <v>0</v>
      </c>
      <c r="O125" s="76">
        <f t="shared" si="5"/>
        <v>0</v>
      </c>
      <c r="P125" s="15"/>
      <c r="Q125" s="75">
        <v>119</v>
      </c>
      <c r="R125" s="76">
        <f>0.0526*Observaciones!$F124^2.218</f>
        <v>0</v>
      </c>
      <c r="S125" s="76">
        <f>IF(Observaciones!$F124&gt;0.05*$W$7,((Observaciones!$F124-0.05*$W$7)^2)/(Observaciones!$F124+0.95*$W$7),0)</f>
        <v>0</v>
      </c>
      <c r="T125" s="76">
        <f>0.0526*S125*Observaciones!$F124^1.218</f>
        <v>0</v>
      </c>
      <c r="U125" s="29"/>
      <c r="V125" s="29"/>
      <c r="W125" s="109"/>
      <c r="X125" s="40"/>
    </row>
    <row r="126" spans="2:24" s="2" customFormat="1">
      <c r="B126" s="39"/>
      <c r="C126" s="75">
        <v>120</v>
      </c>
      <c r="D126" s="146">
        <f>ETo!$I125*((1-Constantes!$D$19)*ETo!$K125+ETo!$L125)</f>
        <v>3.1103273303826326</v>
      </c>
      <c r="E126" s="76">
        <f>MIN(D126*Constantes!$D$17,0.8*(H125+Observaciones!$F125-F126-G126-Constantes!$D$14))</f>
        <v>1.5859059908412583</v>
      </c>
      <c r="F126" s="76">
        <f>IF(Observaciones!$F125&gt;0.05*Constantes!$D$18,((Observaciones!$F125-0.05*Constantes!$D$18)^2)/(Observaciones!$F125+0.95*Constantes!$D$18),0)</f>
        <v>0</v>
      </c>
      <c r="G126" s="76">
        <f>MAX(0,H125+Observaciones!$F125-F126-Constantes!$D$13)</f>
        <v>0</v>
      </c>
      <c r="H126" s="76">
        <f>H125+Observaciones!$F125-F126-E126-G126-I125</f>
        <v>13.75217407088461</v>
      </c>
      <c r="I126" s="76">
        <f>MAX(0,(H126-Constantes!$D$14)*(1-EXP(-Constantes!$D$22)))</f>
        <v>8.5233234523393431E-2</v>
      </c>
      <c r="J126" s="76">
        <f t="shared" si="3"/>
        <v>126.28534652918771</v>
      </c>
      <c r="K126" s="76">
        <f>MAX(0,(J126-Constantes!$D$13)*(1-EXP(-Constantes!$D$23)))</f>
        <v>0.76397423683283316</v>
      </c>
      <c r="L126" s="76">
        <f t="shared" si="4"/>
        <v>0.84920747135622654</v>
      </c>
      <c r="M126" s="76">
        <f>0.0526*F126*Observaciones!$F125^1.218</f>
        <v>0</v>
      </c>
      <c r="N126" s="76">
        <f>M126*Constantes!$D$51</f>
        <v>0</v>
      </c>
      <c r="O126" s="76">
        <f t="shared" si="5"/>
        <v>0</v>
      </c>
      <c r="P126" s="15"/>
      <c r="Q126" s="75">
        <v>120</v>
      </c>
      <c r="R126" s="76">
        <f>0.0526*Observaciones!$F125^2.218</f>
        <v>0</v>
      </c>
      <c r="S126" s="76">
        <f>IF(Observaciones!$F125&gt;0.05*$W$7,((Observaciones!$F125-0.05*$W$7)^2)/(Observaciones!$F125+0.95*$W$7),0)</f>
        <v>0</v>
      </c>
      <c r="T126" s="76">
        <f>0.0526*S126*Observaciones!$F125^1.218</f>
        <v>0</v>
      </c>
      <c r="U126" s="29"/>
      <c r="V126" s="29"/>
      <c r="W126" s="109"/>
      <c r="X126" s="40"/>
    </row>
    <row r="127" spans="2:24" s="2" customFormat="1">
      <c r="B127" s="39"/>
      <c r="C127" s="75">
        <v>121</v>
      </c>
      <c r="D127" s="146">
        <f>ETo!$I126*((1-Constantes!$D$19)*ETo!$K126+ETo!$L126)</f>
        <v>3.0892849943198666</v>
      </c>
      <c r="E127" s="76">
        <f>MIN(D127*Constantes!$D$17,0.8*(H126+Observaciones!$F126-F127-G127-Constantes!$D$14))</f>
        <v>1.5751768413728868</v>
      </c>
      <c r="F127" s="76">
        <f>IF(Observaciones!$F126&gt;0.05*Constantes!$D$18,((Observaciones!$F126-0.05*Constantes!$D$18)^2)/(Observaciones!$F126+0.95*Constantes!$D$18),0)</f>
        <v>0</v>
      </c>
      <c r="G127" s="76">
        <f>MAX(0,H126+Observaciones!$F126-F127-Constantes!$D$13)</f>
        <v>0</v>
      </c>
      <c r="H127" s="76">
        <f>H126+Observaciones!$F126-F127-E127-G127-I126</f>
        <v>12.09176399498833</v>
      </c>
      <c r="I127" s="76">
        <f>MAX(0,(H127-Constantes!$D$14)*(1-EXP(-Constantes!$D$22)))</f>
        <v>2.8673571848190398E-2</v>
      </c>
      <c r="J127" s="76">
        <f t="shared" si="3"/>
        <v>125.52137229235487</v>
      </c>
      <c r="K127" s="76">
        <f>MAX(0,(J127-Constantes!$D$13)*(1-EXP(-Constantes!$D$23)))</f>
        <v>0.75644661671283286</v>
      </c>
      <c r="L127" s="76">
        <f t="shared" si="4"/>
        <v>0.78512018856102328</v>
      </c>
      <c r="M127" s="76">
        <f>0.0526*F127*Observaciones!$F126^1.218</f>
        <v>0</v>
      </c>
      <c r="N127" s="76">
        <f>M127*Constantes!$D$51</f>
        <v>0</v>
      </c>
      <c r="O127" s="76">
        <f t="shared" si="5"/>
        <v>0</v>
      </c>
      <c r="P127" s="15"/>
      <c r="Q127" s="75">
        <v>121</v>
      </c>
      <c r="R127" s="76">
        <f>0.0526*Observaciones!$F126^2.218</f>
        <v>0</v>
      </c>
      <c r="S127" s="76">
        <f>IF(Observaciones!$F126&gt;0.05*$W$7,((Observaciones!$F126-0.05*$W$7)^2)/(Observaciones!$F126+0.95*$W$7),0)</f>
        <v>0</v>
      </c>
      <c r="T127" s="76">
        <f>0.0526*S127*Observaciones!$F126^1.218</f>
        <v>0</v>
      </c>
      <c r="U127" s="29"/>
      <c r="V127" s="29"/>
      <c r="W127" s="109"/>
      <c r="X127" s="40"/>
    </row>
    <row r="128" spans="2:24" s="2" customFormat="1">
      <c r="B128" s="39"/>
      <c r="C128" s="75">
        <v>122</v>
      </c>
      <c r="D128" s="146">
        <f>ETo!$I127*((1-Constantes!$D$19)*ETo!$K127+ETo!$L127)</f>
        <v>3.1126859866813632</v>
      </c>
      <c r="E128" s="76">
        <f>MIN(D128*Constantes!$D$17,0.8*(H127+Observaciones!$F127-F128-G128-Constantes!$D$14))</f>
        <v>0.67341119599066424</v>
      </c>
      <c r="F128" s="76">
        <f>IF(Observaciones!$F127&gt;0.05*Constantes!$D$18,((Observaciones!$F127-0.05*Constantes!$D$18)^2)/(Observaciones!$F127+0.95*Constantes!$D$18),0)</f>
        <v>0</v>
      </c>
      <c r="G128" s="76">
        <f>MAX(0,H127+Observaciones!$F127-F128-Constantes!$D$13)</f>
        <v>0</v>
      </c>
      <c r="H128" s="76">
        <f>H127+Observaciones!$F127-F128-E128-G128-I127</f>
        <v>11.389679227149477</v>
      </c>
      <c r="I128" s="76">
        <f>MAX(0,(H128-Constantes!$D$14)*(1-EXP(-Constantes!$D$22)))</f>
        <v>4.757987249651565E-3</v>
      </c>
      <c r="J128" s="76">
        <f t="shared" si="3"/>
        <v>124.76492567564203</v>
      </c>
      <c r="K128" s="76">
        <f>MAX(0,(J128-Constantes!$D$13)*(1-EXP(-Constantes!$D$23)))</f>
        <v>0.74899316802681426</v>
      </c>
      <c r="L128" s="76">
        <f t="shared" si="4"/>
        <v>0.75375115527646586</v>
      </c>
      <c r="M128" s="76">
        <f>0.0526*F128*Observaciones!$F127^1.218</f>
        <v>0</v>
      </c>
      <c r="N128" s="76">
        <f>M128*Constantes!$D$51</f>
        <v>0</v>
      </c>
      <c r="O128" s="76">
        <f t="shared" si="5"/>
        <v>0</v>
      </c>
      <c r="P128" s="15"/>
      <c r="Q128" s="75">
        <v>122</v>
      </c>
      <c r="R128" s="76">
        <f>0.0526*Observaciones!$F127^2.218</f>
        <v>0</v>
      </c>
      <c r="S128" s="76">
        <f>IF(Observaciones!$F127&gt;0.05*$W$7,((Observaciones!$F127-0.05*$W$7)^2)/(Observaciones!$F127+0.95*$W$7),0)</f>
        <v>0</v>
      </c>
      <c r="T128" s="76">
        <f>0.0526*S128*Observaciones!$F127^1.218</f>
        <v>0</v>
      </c>
      <c r="U128" s="29"/>
      <c r="V128" s="29"/>
      <c r="W128" s="109"/>
      <c r="X128" s="40"/>
    </row>
    <row r="129" spans="2:24" s="2" customFormat="1">
      <c r="B129" s="39"/>
      <c r="C129" s="75">
        <v>123</v>
      </c>
      <c r="D129" s="146">
        <f>ETo!$I128*((1-Constantes!$D$19)*ETo!$K128+ETo!$L128)</f>
        <v>3.1018807540681603</v>
      </c>
      <c r="E129" s="76">
        <f>MIN(D129*Constantes!$D$17,0.8*(H128+Observaciones!$F128-F129-G129-Constantes!$D$14))</f>
        <v>0.1117433817195817</v>
      </c>
      <c r="F129" s="76">
        <f>IF(Observaciones!$F128&gt;0.05*Constantes!$D$18,((Observaciones!$F128-0.05*Constantes!$D$18)^2)/(Observaciones!$F128+0.95*Constantes!$D$18),0)</f>
        <v>0</v>
      </c>
      <c r="G129" s="76">
        <f>MAX(0,H128+Observaciones!$F128-F129-Constantes!$D$13)</f>
        <v>0</v>
      </c>
      <c r="H129" s="76">
        <f>H128+Observaciones!$F128-F129-E129-G129-I128</f>
        <v>11.273177858180244</v>
      </c>
      <c r="I129" s="76">
        <f>MAX(0,(H129-Constantes!$D$14)*(1-EXP(-Constantes!$D$22)))</f>
        <v>7.8952293727840015E-4</v>
      </c>
      <c r="J129" s="76">
        <f t="shared" si="3"/>
        <v>124.01593250761522</v>
      </c>
      <c r="K129" s="76">
        <f>MAX(0,(J129-Constantes!$D$13)*(1-EXP(-Constantes!$D$23)))</f>
        <v>0.74161315994597221</v>
      </c>
      <c r="L129" s="76">
        <f t="shared" si="4"/>
        <v>0.74240268288325062</v>
      </c>
      <c r="M129" s="76">
        <f>0.0526*F129*Observaciones!$F128^1.218</f>
        <v>0</v>
      </c>
      <c r="N129" s="76">
        <f>M129*Constantes!$D$51</f>
        <v>0</v>
      </c>
      <c r="O129" s="76">
        <f t="shared" si="5"/>
        <v>0</v>
      </c>
      <c r="P129" s="15"/>
      <c r="Q129" s="75">
        <v>123</v>
      </c>
      <c r="R129" s="76">
        <f>0.0526*Observaciones!$F128^2.218</f>
        <v>0</v>
      </c>
      <c r="S129" s="76">
        <f>IF(Observaciones!$F128&gt;0.05*$W$7,((Observaciones!$F128-0.05*$W$7)^2)/(Observaciones!$F128+0.95*$W$7),0)</f>
        <v>0</v>
      </c>
      <c r="T129" s="76">
        <f>0.0526*S129*Observaciones!$F128^1.218</f>
        <v>0</v>
      </c>
      <c r="U129" s="29"/>
      <c r="V129" s="29"/>
      <c r="W129" s="109"/>
      <c r="X129" s="40"/>
    </row>
    <row r="130" spans="2:24" s="2" customFormat="1">
      <c r="B130" s="39"/>
      <c r="C130" s="75">
        <v>124</v>
      </c>
      <c r="D130" s="146">
        <f>ETo!$I129*((1-Constantes!$D$19)*ETo!$K129+ETo!$L129)</f>
        <v>2.9933666659219713</v>
      </c>
      <c r="E130" s="76">
        <f>MIN(D130*Constantes!$D$17,0.8*(H129+Observaciones!$F129-F130-G130-Constantes!$D$14))</f>
        <v>1.854228654419501E-2</v>
      </c>
      <c r="F130" s="76">
        <f>IF(Observaciones!$F129&gt;0.05*Constantes!$D$18,((Observaciones!$F129-0.05*Constantes!$D$18)^2)/(Observaciones!$F129+0.95*Constantes!$D$18),0)</f>
        <v>0</v>
      </c>
      <c r="G130" s="76">
        <f>MAX(0,H129+Observaciones!$F129-F130-Constantes!$D$13)</f>
        <v>0</v>
      </c>
      <c r="H130" s="76">
        <f>H129+Observaciones!$F129-F130-E130-G130-I129</f>
        <v>11.253846048698771</v>
      </c>
      <c r="I130" s="76">
        <f>MAX(0,(H130-Constantes!$D$14)*(1-EXP(-Constantes!$D$22)))</f>
        <v>1.3101053781394689E-4</v>
      </c>
      <c r="J130" s="76">
        <f t="shared" si="3"/>
        <v>123.27431934766925</v>
      </c>
      <c r="K130" s="76">
        <f>MAX(0,(J130-Constantes!$D$13)*(1-EXP(-Constantes!$D$23)))</f>
        <v>0.73430586884253179</v>
      </c>
      <c r="L130" s="76">
        <f t="shared" si="4"/>
        <v>0.73443687938034574</v>
      </c>
      <c r="M130" s="76">
        <f>0.0526*F130*Observaciones!$F129^1.218</f>
        <v>0</v>
      </c>
      <c r="N130" s="76">
        <f>M130*Constantes!$D$51</f>
        <v>0</v>
      </c>
      <c r="O130" s="76">
        <f t="shared" si="5"/>
        <v>0</v>
      </c>
      <c r="P130" s="15"/>
      <c r="Q130" s="75">
        <v>124</v>
      </c>
      <c r="R130" s="76">
        <f>0.0526*Observaciones!$F129^2.218</f>
        <v>0</v>
      </c>
      <c r="S130" s="76">
        <f>IF(Observaciones!$F129&gt;0.05*$W$7,((Observaciones!$F129-0.05*$W$7)^2)/(Observaciones!$F129+0.95*$W$7),0)</f>
        <v>0</v>
      </c>
      <c r="T130" s="76">
        <f>0.0526*S130*Observaciones!$F129^1.218</f>
        <v>0</v>
      </c>
      <c r="U130" s="29"/>
      <c r="V130" s="29"/>
      <c r="W130" s="109"/>
      <c r="X130" s="40"/>
    </row>
    <row r="131" spans="2:24" s="2" customFormat="1">
      <c r="B131" s="39"/>
      <c r="C131" s="75">
        <v>125</v>
      </c>
      <c r="D131" s="146">
        <f>ETo!$I130*((1-Constantes!$D$19)*ETo!$K130+ETo!$L130)</f>
        <v>3.0131913904867651</v>
      </c>
      <c r="E131" s="76">
        <f>MIN(D131*Constantes!$D$17,0.8*(H130+Observaciones!$F130-F131-G131-Constantes!$D$14))</f>
        <v>3.0768389590164705E-3</v>
      </c>
      <c r="F131" s="76">
        <f>IF(Observaciones!$F130&gt;0.05*Constantes!$D$18,((Observaciones!$F130-0.05*Constantes!$D$18)^2)/(Observaciones!$F130+0.95*Constantes!$D$18),0)</f>
        <v>0</v>
      </c>
      <c r="G131" s="76">
        <f>MAX(0,H130+Observaciones!$F130-F131-Constantes!$D$13)</f>
        <v>0</v>
      </c>
      <c r="H131" s="76">
        <f>H130+Observaciones!$F130-F131-E131-G131-I130</f>
        <v>11.250638199201941</v>
      </c>
      <c r="I131" s="76">
        <f>MAX(0,(H131-Constantes!$D$14)*(1-EXP(-Constantes!$D$22)))</f>
        <v>2.1739407695331894E-5</v>
      </c>
      <c r="J131" s="76">
        <f t="shared" si="3"/>
        <v>122.54001347882672</v>
      </c>
      <c r="K131" s="76">
        <f>MAX(0,(J131-Constantes!$D$13)*(1-EXP(-Constantes!$D$23)))</f>
        <v>0.72707057821879462</v>
      </c>
      <c r="L131" s="76">
        <f t="shared" si="4"/>
        <v>0.72709231762648996</v>
      </c>
      <c r="M131" s="76">
        <f>0.0526*F131*Observaciones!$F130^1.218</f>
        <v>0</v>
      </c>
      <c r="N131" s="76">
        <f>M131*Constantes!$D$51</f>
        <v>0</v>
      </c>
      <c r="O131" s="76">
        <f t="shared" si="5"/>
        <v>0</v>
      </c>
      <c r="P131" s="15"/>
      <c r="Q131" s="75">
        <v>125</v>
      </c>
      <c r="R131" s="76">
        <f>0.0526*Observaciones!$F130^2.218</f>
        <v>0</v>
      </c>
      <c r="S131" s="76">
        <f>IF(Observaciones!$F130&gt;0.05*$W$7,((Observaciones!$F130-0.05*$W$7)^2)/(Observaciones!$F130+0.95*$W$7),0)</f>
        <v>0</v>
      </c>
      <c r="T131" s="76">
        <f>0.0526*S131*Observaciones!$F130^1.218</f>
        <v>0</v>
      </c>
      <c r="U131" s="29"/>
      <c r="V131" s="29"/>
      <c r="W131" s="109"/>
      <c r="X131" s="40"/>
    </row>
    <row r="132" spans="2:24" s="2" customFormat="1">
      <c r="B132" s="39"/>
      <c r="C132" s="75">
        <v>126</v>
      </c>
      <c r="D132" s="146">
        <f>ETo!$I131*((1-Constantes!$D$19)*ETo!$K131+ETo!$L131)</f>
        <v>2.9099125135250934</v>
      </c>
      <c r="E132" s="76">
        <f>MIN(D132*Constantes!$D$17,0.8*(H131+Observaciones!$F131-F132-G132-Constantes!$D$14))</f>
        <v>5.1055936155250945E-4</v>
      </c>
      <c r="F132" s="76">
        <f>IF(Observaciones!$F131&gt;0.05*Constantes!$D$18,((Observaciones!$F131-0.05*Constantes!$D$18)^2)/(Observaciones!$F131+0.95*Constantes!$D$18),0)</f>
        <v>0</v>
      </c>
      <c r="G132" s="76">
        <f>MAX(0,H131+Observaciones!$F131-F132-Constantes!$D$13)</f>
        <v>0</v>
      </c>
      <c r="H132" s="76">
        <f>H131+Observaciones!$F131-F132-E132-G132-I131</f>
        <v>11.250105900432693</v>
      </c>
      <c r="I132" s="76">
        <f>MAX(0,(H132-Constantes!$D$14)*(1-EXP(-Constantes!$D$22)))</f>
        <v>3.6073575059817026E-6</v>
      </c>
      <c r="J132" s="76">
        <f t="shared" si="3"/>
        <v>121.81294290060792</v>
      </c>
      <c r="K132" s="76">
        <f>MAX(0,(J132-Constantes!$D$13)*(1-EXP(-Constantes!$D$23)))</f>
        <v>0.71990657863688512</v>
      </c>
      <c r="L132" s="76">
        <f t="shared" si="4"/>
        <v>0.71991018599439105</v>
      </c>
      <c r="M132" s="76">
        <f>0.0526*F132*Observaciones!$F131^1.218</f>
        <v>0</v>
      </c>
      <c r="N132" s="76">
        <f>M132*Constantes!$D$51</f>
        <v>0</v>
      </c>
      <c r="O132" s="76">
        <f t="shared" si="5"/>
        <v>0</v>
      </c>
      <c r="P132" s="15"/>
      <c r="Q132" s="75">
        <v>126</v>
      </c>
      <c r="R132" s="76">
        <f>0.0526*Observaciones!$F131^2.218</f>
        <v>0</v>
      </c>
      <c r="S132" s="76">
        <f>IF(Observaciones!$F131&gt;0.05*$W$7,((Observaciones!$F131-0.05*$W$7)^2)/(Observaciones!$F131+0.95*$W$7),0)</f>
        <v>0</v>
      </c>
      <c r="T132" s="76">
        <f>0.0526*S132*Observaciones!$F131^1.218</f>
        <v>0</v>
      </c>
      <c r="U132" s="29"/>
      <c r="V132" s="29"/>
      <c r="W132" s="109"/>
      <c r="X132" s="40"/>
    </row>
    <row r="133" spans="2:24" s="2" customFormat="1">
      <c r="B133" s="39"/>
      <c r="C133" s="75">
        <v>127</v>
      </c>
      <c r="D133" s="146">
        <f>ETo!$I132*((1-Constantes!$D$19)*ETo!$K132+ETo!$L132)</f>
        <v>2.9760217296466398</v>
      </c>
      <c r="E133" s="76">
        <f>MIN(D133*Constantes!$D$17,0.8*(H132+Observaciones!$F132-F133-G133-Constantes!$D$14))</f>
        <v>8.4720346154654191E-5</v>
      </c>
      <c r="F133" s="76">
        <f>IF(Observaciones!$F132&gt;0.05*Constantes!$D$18,((Observaciones!$F132-0.05*Constantes!$D$18)^2)/(Observaciones!$F132+0.95*Constantes!$D$18),0)</f>
        <v>0</v>
      </c>
      <c r="G133" s="76">
        <f>MAX(0,H132+Observaciones!$F132-F133-Constantes!$D$13)</f>
        <v>0</v>
      </c>
      <c r="H133" s="76">
        <f>H132+Observaciones!$F132-F133-E133-G133-I132</f>
        <v>11.250017572729032</v>
      </c>
      <c r="I133" s="76">
        <f>MAX(0,(H133-Constantes!$D$14)*(1-EXP(-Constantes!$D$22)))</f>
        <v>5.9859166163585483E-7</v>
      </c>
      <c r="J133" s="76">
        <f t="shared" si="3"/>
        <v>121.09303632197104</v>
      </c>
      <c r="K133" s="76">
        <f>MAX(0,(J133-Constantes!$D$13)*(1-EXP(-Constantes!$D$23)))</f>
        <v>0.7128131676491879</v>
      </c>
      <c r="L133" s="76">
        <f t="shared" si="4"/>
        <v>0.71281376624084958</v>
      </c>
      <c r="M133" s="76">
        <f>0.0526*F133*Observaciones!$F132^1.218</f>
        <v>0</v>
      </c>
      <c r="N133" s="76">
        <f>M133*Constantes!$D$51</f>
        <v>0</v>
      </c>
      <c r="O133" s="76">
        <f t="shared" si="5"/>
        <v>0</v>
      </c>
      <c r="P133" s="15"/>
      <c r="Q133" s="75">
        <v>127</v>
      </c>
      <c r="R133" s="76">
        <f>0.0526*Observaciones!$F132^2.218</f>
        <v>0</v>
      </c>
      <c r="S133" s="76">
        <f>IF(Observaciones!$F132&gt;0.05*$W$7,((Observaciones!$F132-0.05*$W$7)^2)/(Observaciones!$F132+0.95*$W$7),0)</f>
        <v>0</v>
      </c>
      <c r="T133" s="76">
        <f>0.0526*S133*Observaciones!$F132^1.218</f>
        <v>0</v>
      </c>
      <c r="U133" s="29"/>
      <c r="V133" s="29"/>
      <c r="W133" s="109"/>
      <c r="X133" s="40"/>
    </row>
    <row r="134" spans="2:24" s="2" customFormat="1">
      <c r="B134" s="39"/>
      <c r="C134" s="75">
        <v>128</v>
      </c>
      <c r="D134" s="146">
        <f>ETo!$I133*((1-Constantes!$D$19)*ETo!$K133+ETo!$L133)</f>
        <v>2.8772195633614901</v>
      </c>
      <c r="E134" s="76">
        <f>MIN(D134*Constantes!$D$17,0.8*(H133+Observaciones!$F133-F134-G134-Constantes!$D$14))</f>
        <v>1.4058183225529319E-5</v>
      </c>
      <c r="F134" s="76">
        <f>IF(Observaciones!$F133&gt;0.05*Constantes!$D$18,((Observaciones!$F133-0.05*Constantes!$D$18)^2)/(Observaciones!$F133+0.95*Constantes!$D$18),0)</f>
        <v>0</v>
      </c>
      <c r="G134" s="76">
        <f>MAX(0,H133+Observaciones!$F133-F134-Constantes!$D$13)</f>
        <v>0</v>
      </c>
      <c r="H134" s="76">
        <f>H133+Observaciones!$F133-F134-E134-G134-I133</f>
        <v>11.250002915954145</v>
      </c>
      <c r="I134" s="76">
        <f>MAX(0,(H134-Constantes!$D$14)*(1-EXP(-Constantes!$D$22)))</f>
        <v>9.9328102859072979E-8</v>
      </c>
      <c r="J134" s="76">
        <f t="shared" si="3"/>
        <v>120.38022315432185</v>
      </c>
      <c r="K134" s="76">
        <f>MAX(0,(J134-Constantes!$D$13)*(1-EXP(-Constantes!$D$23)))</f>
        <v>0.70578964972947134</v>
      </c>
      <c r="L134" s="76">
        <f t="shared" si="4"/>
        <v>0.70578974905757419</v>
      </c>
      <c r="M134" s="76">
        <f>0.0526*F134*Observaciones!$F133^1.218</f>
        <v>0</v>
      </c>
      <c r="N134" s="76">
        <f>M134*Constantes!$D$51</f>
        <v>0</v>
      </c>
      <c r="O134" s="76">
        <f t="shared" si="5"/>
        <v>0</v>
      </c>
      <c r="P134" s="15"/>
      <c r="Q134" s="75">
        <v>128</v>
      </c>
      <c r="R134" s="76">
        <f>0.0526*Observaciones!$F133^2.218</f>
        <v>0</v>
      </c>
      <c r="S134" s="76">
        <f>IF(Observaciones!$F133&gt;0.05*$W$7,((Observaciones!$F133-0.05*$W$7)^2)/(Observaciones!$F133+0.95*$W$7),0)</f>
        <v>0</v>
      </c>
      <c r="T134" s="76">
        <f>0.0526*S134*Observaciones!$F133^1.218</f>
        <v>0</v>
      </c>
      <c r="U134" s="29"/>
      <c r="V134" s="29"/>
      <c r="W134" s="109"/>
      <c r="X134" s="40"/>
    </row>
    <row r="135" spans="2:24" s="2" customFormat="1">
      <c r="B135" s="39"/>
      <c r="C135" s="75">
        <v>129</v>
      </c>
      <c r="D135" s="146">
        <f>ETo!$I134*((1-Constantes!$D$19)*ETo!$K134+ETo!$L134)</f>
        <v>2.900248401042878</v>
      </c>
      <c r="E135" s="76">
        <f>MIN(D135*Constantes!$D$17,0.8*(H134+Observaciones!$F134-F135-G135-Constantes!$D$14))</f>
        <v>0.1600023327633153</v>
      </c>
      <c r="F135" s="76">
        <f>IF(Observaciones!$F134&gt;0.05*Constantes!$D$18,((Observaciones!$F134-0.05*Constantes!$D$18)^2)/(Observaciones!$F134+0.95*Constantes!$D$18),0)</f>
        <v>0</v>
      </c>
      <c r="G135" s="76">
        <f>MAX(0,H134+Observaciones!$F134-F135-Constantes!$D$13)</f>
        <v>0</v>
      </c>
      <c r="H135" s="76">
        <f>H134+Observaciones!$F134-F135-E135-G135-I134</f>
        <v>11.290000483862725</v>
      </c>
      <c r="I135" s="76">
        <f>MAX(0,(H135-Constantes!$D$14)*(1-EXP(-Constantes!$D$22)))</f>
        <v>1.3625633251468871E-3</v>
      </c>
      <c r="J135" s="76">
        <f t="shared" ref="J135:J198" si="6">J134+G135-K134</f>
        <v>119.67443350459239</v>
      </c>
      <c r="K135" s="76">
        <f>MAX(0,(J135-Constantes!$D$13)*(1-EXP(-Constantes!$D$23)))</f>
        <v>0.69883533620468941</v>
      </c>
      <c r="L135" s="76">
        <f t="shared" ref="L135:L198" si="7">F135+I135+K135</f>
        <v>0.70019789952983624</v>
      </c>
      <c r="M135" s="76">
        <f>0.0526*F135*Observaciones!$F134^1.218</f>
        <v>0</v>
      </c>
      <c r="N135" s="76">
        <f>M135*Constantes!$D$51</f>
        <v>0</v>
      </c>
      <c r="O135" s="76">
        <f t="shared" ref="O135:O198" si="8">N135*1000000/(L135/1000*10000)</f>
        <v>0</v>
      </c>
      <c r="P135" s="15"/>
      <c r="Q135" s="75">
        <v>129</v>
      </c>
      <c r="R135" s="76">
        <f>0.0526*Observaciones!$F134^2.218</f>
        <v>1.4813929535417848E-3</v>
      </c>
      <c r="S135" s="76">
        <f>IF(Observaciones!$F134&gt;0.05*$W$7,((Observaciones!$F134-0.05*$W$7)^2)/(Observaciones!$F134+0.95*$W$7),0)</f>
        <v>0</v>
      </c>
      <c r="T135" s="76">
        <f>0.0526*S135*Observaciones!$F134^1.218</f>
        <v>0</v>
      </c>
      <c r="U135" s="29"/>
      <c r="V135" s="29"/>
      <c r="W135" s="109"/>
      <c r="X135" s="40"/>
    </row>
    <row r="136" spans="2:24" s="2" customFormat="1">
      <c r="B136" s="39"/>
      <c r="C136" s="75">
        <v>130</v>
      </c>
      <c r="D136" s="146">
        <f>ETo!$I135*((1-Constantes!$D$19)*ETo!$K135+ETo!$L135)</f>
        <v>2.9167133091689674</v>
      </c>
      <c r="E136" s="76">
        <f>MIN(D136*Constantes!$D$17,0.8*(H135+Observaciones!$F135-F136-G136-Constantes!$D$14))</f>
        <v>3.2000387090180028E-2</v>
      </c>
      <c r="F136" s="76">
        <f>IF(Observaciones!$F135&gt;0.05*Constantes!$D$18,((Observaciones!$F135-0.05*Constantes!$D$18)^2)/(Observaciones!$F135+0.95*Constantes!$D$18),0)</f>
        <v>0</v>
      </c>
      <c r="G136" s="76">
        <f>MAX(0,H135+Observaciones!$F135-F136-Constantes!$D$13)</f>
        <v>0</v>
      </c>
      <c r="H136" s="76">
        <f>H135+Observaciones!$F135-F136-E136-G136-I135</f>
        <v>11.256637533447398</v>
      </c>
      <c r="I136" s="76">
        <f>MAX(0,(H136-Constantes!$D$14)*(1-EXP(-Constantes!$D$22)))</f>
        <v>2.2609875610249479E-4</v>
      </c>
      <c r="J136" s="76">
        <f t="shared" si="6"/>
        <v>118.97559816838769</v>
      </c>
      <c r="K136" s="76">
        <f>MAX(0,(J136-Constantes!$D$13)*(1-EXP(-Constantes!$D$23)))</f>
        <v>0.69194954518745555</v>
      </c>
      <c r="L136" s="76">
        <f t="shared" si="7"/>
        <v>0.69217564394355802</v>
      </c>
      <c r="M136" s="76">
        <f>0.0526*F136*Observaciones!$F135^1.218</f>
        <v>0</v>
      </c>
      <c r="N136" s="76">
        <f>M136*Constantes!$D$51</f>
        <v>0</v>
      </c>
      <c r="O136" s="76">
        <f t="shared" si="8"/>
        <v>0</v>
      </c>
      <c r="P136" s="15"/>
      <c r="Q136" s="75">
        <v>130</v>
      </c>
      <c r="R136" s="76">
        <f>0.0526*Observaciones!$F135^2.218</f>
        <v>0</v>
      </c>
      <c r="S136" s="76">
        <f>IF(Observaciones!$F135&gt;0.05*$W$7,((Observaciones!$F135-0.05*$W$7)^2)/(Observaciones!$F135+0.95*$W$7),0)</f>
        <v>0</v>
      </c>
      <c r="T136" s="76">
        <f>0.0526*S136*Observaciones!$F135^1.218</f>
        <v>0</v>
      </c>
      <c r="U136" s="29"/>
      <c r="V136" s="29"/>
      <c r="W136" s="109"/>
      <c r="X136" s="40"/>
    </row>
    <row r="137" spans="2:24" s="2" customFormat="1">
      <c r="B137" s="39"/>
      <c r="C137" s="75">
        <v>131</v>
      </c>
      <c r="D137" s="146">
        <f>ETo!$I136*((1-Constantes!$D$19)*ETo!$K136+ETo!$L136)</f>
        <v>2.8941319007276514</v>
      </c>
      <c r="E137" s="76">
        <f>MIN(D137*Constantes!$D$17,0.8*(H136+Observaciones!$F136-F137-G137-Constantes!$D$14))</f>
        <v>5.3100267579182514E-3</v>
      </c>
      <c r="F137" s="76">
        <f>IF(Observaciones!$F136&gt;0.05*Constantes!$D$18,((Observaciones!$F136-0.05*Constantes!$D$18)^2)/(Observaciones!$F136+0.95*Constantes!$D$18),0)</f>
        <v>0</v>
      </c>
      <c r="G137" s="76">
        <f>MAX(0,H136+Observaciones!$F136-F137-Constantes!$D$13)</f>
        <v>0</v>
      </c>
      <c r="H137" s="76">
        <f>H136+Observaciones!$F136-F137-E137-G137-I136</f>
        <v>11.251101407933376</v>
      </c>
      <c r="I137" s="76">
        <f>MAX(0,(H137-Constantes!$D$14)*(1-EXP(-Constantes!$D$22)))</f>
        <v>3.7517997562092731E-5</v>
      </c>
      <c r="J137" s="76">
        <f t="shared" si="6"/>
        <v>118.28364862320024</v>
      </c>
      <c r="K137" s="76">
        <f>MAX(0,(J137-Constantes!$D$13)*(1-EXP(-Constantes!$D$23)))</f>
        <v>0.68513160150918218</v>
      </c>
      <c r="L137" s="76">
        <f t="shared" si="7"/>
        <v>0.68516911950674431</v>
      </c>
      <c r="M137" s="76">
        <f>0.0526*F137*Observaciones!$F136^1.218</f>
        <v>0</v>
      </c>
      <c r="N137" s="76">
        <f>M137*Constantes!$D$51</f>
        <v>0</v>
      </c>
      <c r="O137" s="76">
        <f t="shared" si="8"/>
        <v>0</v>
      </c>
      <c r="P137" s="15"/>
      <c r="Q137" s="75">
        <v>131</v>
      </c>
      <c r="R137" s="76">
        <f>0.0526*Observaciones!$F136^2.218</f>
        <v>0</v>
      </c>
      <c r="S137" s="76">
        <f>IF(Observaciones!$F136&gt;0.05*$W$7,((Observaciones!$F136-0.05*$W$7)^2)/(Observaciones!$F136+0.95*$W$7),0)</f>
        <v>0</v>
      </c>
      <c r="T137" s="76">
        <f>0.0526*S137*Observaciones!$F136^1.218</f>
        <v>0</v>
      </c>
      <c r="U137" s="29"/>
      <c r="V137" s="29"/>
      <c r="W137" s="109"/>
      <c r="X137" s="40"/>
    </row>
    <row r="138" spans="2:24" s="2" customFormat="1">
      <c r="B138" s="39"/>
      <c r="C138" s="75">
        <v>132</v>
      </c>
      <c r="D138" s="146">
        <f>ETo!$I137*((1-Constantes!$D$19)*ETo!$K137+ETo!$L137)</f>
        <v>2.8139144599211203</v>
      </c>
      <c r="E138" s="76">
        <f>MIN(D138*Constantes!$D$17,0.8*(H137+Observaciones!$F137-F138-G138-Constantes!$D$14))</f>
        <v>8.8112634670096674E-4</v>
      </c>
      <c r="F138" s="76">
        <f>IF(Observaciones!$F137&gt;0.05*Constantes!$D$18,((Observaciones!$F137-0.05*Constantes!$D$18)^2)/(Observaciones!$F137+0.95*Constantes!$D$18),0)</f>
        <v>0</v>
      </c>
      <c r="G138" s="76">
        <f>MAX(0,H137+Observaciones!$F137-F138-Constantes!$D$13)</f>
        <v>0</v>
      </c>
      <c r="H138" s="76">
        <f>H137+Observaciones!$F137-F138-E138-G138-I137</f>
        <v>11.250182763589113</v>
      </c>
      <c r="I138" s="76">
        <f>MAX(0,(H138-Constantes!$D$14)*(1-EXP(-Constantes!$D$22)))</f>
        <v>6.225598784043252E-6</v>
      </c>
      <c r="J138" s="76">
        <f t="shared" si="6"/>
        <v>117.59851702169105</v>
      </c>
      <c r="K138" s="76">
        <f>MAX(0,(J138-Constantes!$D$13)*(1-EXP(-Constantes!$D$23)))</f>
        <v>0.67838083665387849</v>
      </c>
      <c r="L138" s="76">
        <f t="shared" si="7"/>
        <v>0.67838706225266254</v>
      </c>
      <c r="M138" s="76">
        <f>0.0526*F138*Observaciones!$F137^1.218</f>
        <v>0</v>
      </c>
      <c r="N138" s="76">
        <f>M138*Constantes!$D$51</f>
        <v>0</v>
      </c>
      <c r="O138" s="76">
        <f t="shared" si="8"/>
        <v>0</v>
      </c>
      <c r="P138" s="15"/>
      <c r="Q138" s="75">
        <v>132</v>
      </c>
      <c r="R138" s="76">
        <f>0.0526*Observaciones!$F137^2.218</f>
        <v>0</v>
      </c>
      <c r="S138" s="76">
        <f>IF(Observaciones!$F137&gt;0.05*$W$7,((Observaciones!$F137-0.05*$W$7)^2)/(Observaciones!$F137+0.95*$W$7),0)</f>
        <v>0</v>
      </c>
      <c r="T138" s="76">
        <f>0.0526*S138*Observaciones!$F137^1.218</f>
        <v>0</v>
      </c>
      <c r="U138" s="29"/>
      <c r="V138" s="29"/>
      <c r="W138" s="109"/>
      <c r="X138" s="40"/>
    </row>
    <row r="139" spans="2:24" s="2" customFormat="1">
      <c r="B139" s="39"/>
      <c r="C139" s="75">
        <v>133</v>
      </c>
      <c r="D139" s="146">
        <f>ETo!$I138*((1-Constantes!$D$19)*ETo!$K138+ETo!$L138)</f>
        <v>2.757210358879179</v>
      </c>
      <c r="E139" s="76">
        <f>MIN(D139*Constantes!$D$17,0.8*(H138+Observaciones!$F138-F139-G139-Constantes!$D$14))</f>
        <v>1.46210871290009E-4</v>
      </c>
      <c r="F139" s="76">
        <f>IF(Observaciones!$F138&gt;0.05*Constantes!$D$18,((Observaciones!$F138-0.05*Constantes!$D$18)^2)/(Observaciones!$F138+0.95*Constantes!$D$18),0)</f>
        <v>0</v>
      </c>
      <c r="G139" s="76">
        <f>MAX(0,H138+Observaciones!$F138-F139-Constantes!$D$13)</f>
        <v>0</v>
      </c>
      <c r="H139" s="76">
        <f>H138+Observaciones!$F138-F139-E139-G139-I138</f>
        <v>11.25003032711904</v>
      </c>
      <c r="I139" s="76">
        <f>MAX(0,(H139-Constantes!$D$14)*(1-EXP(-Constantes!$D$22)))</f>
        <v>1.0330530076373923E-6</v>
      </c>
      <c r="J139" s="76">
        <f t="shared" si="6"/>
        <v>116.92013618503718</v>
      </c>
      <c r="K139" s="76">
        <f>MAX(0,(J139-Constantes!$D$13)*(1-EXP(-Constantes!$D$23)))</f>
        <v>0.67169658869260107</v>
      </c>
      <c r="L139" s="76">
        <f t="shared" si="7"/>
        <v>0.67169762174560865</v>
      </c>
      <c r="M139" s="76">
        <f>0.0526*F139*Observaciones!$F138^1.218</f>
        <v>0</v>
      </c>
      <c r="N139" s="76">
        <f>M139*Constantes!$D$51</f>
        <v>0</v>
      </c>
      <c r="O139" s="76">
        <f t="shared" si="8"/>
        <v>0</v>
      </c>
      <c r="P139" s="15"/>
      <c r="Q139" s="75">
        <v>133</v>
      </c>
      <c r="R139" s="76">
        <f>0.0526*Observaciones!$F138^2.218</f>
        <v>0</v>
      </c>
      <c r="S139" s="76">
        <f>IF(Observaciones!$F138&gt;0.05*$W$7,((Observaciones!$F138-0.05*$W$7)^2)/(Observaciones!$F138+0.95*$W$7),0)</f>
        <v>0</v>
      </c>
      <c r="T139" s="76">
        <f>0.0526*S139*Observaciones!$F138^1.218</f>
        <v>0</v>
      </c>
      <c r="U139" s="29"/>
      <c r="V139" s="29"/>
      <c r="W139" s="109"/>
      <c r="X139" s="40"/>
    </row>
    <row r="140" spans="2:24" s="2" customFormat="1">
      <c r="B140" s="39"/>
      <c r="C140" s="75">
        <v>134</v>
      </c>
      <c r="D140" s="146">
        <f>ETo!$I139*((1-Constantes!$D$19)*ETo!$K139+ETo!$L139)</f>
        <v>2.7423016509029448</v>
      </c>
      <c r="E140" s="76">
        <f>MIN(D140*Constantes!$D$17,0.8*(H139+Observaciones!$F139-F140-G140-Constantes!$D$14))</f>
        <v>2.4261695232041804E-5</v>
      </c>
      <c r="F140" s="76">
        <f>IF(Observaciones!$F139&gt;0.05*Constantes!$D$18,((Observaciones!$F139-0.05*Constantes!$D$18)^2)/(Observaciones!$F139+0.95*Constantes!$D$18),0)</f>
        <v>0</v>
      </c>
      <c r="G140" s="76">
        <f>MAX(0,H139+Observaciones!$F139-F140-Constantes!$D$13)</f>
        <v>0</v>
      </c>
      <c r="H140" s="76">
        <f>H139+Observaciones!$F139-F140-E140-G140-I139</f>
        <v>11.250005032370799</v>
      </c>
      <c r="I140" s="76">
        <f>MAX(0,(H140-Constantes!$D$14)*(1-EXP(-Constantes!$D$22)))</f>
        <v>1.7142102363165175E-7</v>
      </c>
      <c r="J140" s="76">
        <f t="shared" si="6"/>
        <v>116.24843959634458</v>
      </c>
      <c r="K140" s="76">
        <f>MAX(0,(J140-Constantes!$D$13)*(1-EXP(-Constantes!$D$23)))</f>
        <v>0.66507820221854985</v>
      </c>
      <c r="L140" s="76">
        <f t="shared" si="7"/>
        <v>0.66507837363957345</v>
      </c>
      <c r="M140" s="76">
        <f>0.0526*F140*Observaciones!$F139^1.218</f>
        <v>0</v>
      </c>
      <c r="N140" s="76">
        <f>M140*Constantes!$D$51</f>
        <v>0</v>
      </c>
      <c r="O140" s="76">
        <f t="shared" si="8"/>
        <v>0</v>
      </c>
      <c r="P140" s="15"/>
      <c r="Q140" s="75">
        <v>134</v>
      </c>
      <c r="R140" s="76">
        <f>0.0526*Observaciones!$F139^2.218</f>
        <v>0</v>
      </c>
      <c r="S140" s="76">
        <f>IF(Observaciones!$F139&gt;0.05*$W$7,((Observaciones!$F139-0.05*$W$7)^2)/(Observaciones!$F139+0.95*$W$7),0)</f>
        <v>0</v>
      </c>
      <c r="T140" s="76">
        <f>0.0526*S140*Observaciones!$F139^1.218</f>
        <v>0</v>
      </c>
      <c r="U140" s="29"/>
      <c r="V140" s="29"/>
      <c r="W140" s="109"/>
      <c r="X140" s="40"/>
    </row>
    <row r="141" spans="2:24" s="2" customFormat="1">
      <c r="B141" s="39"/>
      <c r="C141" s="75">
        <v>135</v>
      </c>
      <c r="D141" s="146">
        <f>ETo!$I140*((1-Constantes!$D$19)*ETo!$K140+ETo!$L140)</f>
        <v>2.7749157752972358</v>
      </c>
      <c r="E141" s="76">
        <f>MIN(D141*Constantes!$D$17,0.8*(H140+Observaciones!$F140-F141-G141-Constantes!$D$14))</f>
        <v>4.0258966393480476E-6</v>
      </c>
      <c r="F141" s="76">
        <f>IF(Observaciones!$F140&gt;0.05*Constantes!$D$18,((Observaciones!$F140-0.05*Constantes!$D$18)^2)/(Observaciones!$F140+0.95*Constantes!$D$18),0)</f>
        <v>0</v>
      </c>
      <c r="G141" s="76">
        <f>MAX(0,H140+Observaciones!$F140-F141-Constantes!$D$13)</f>
        <v>0</v>
      </c>
      <c r="H141" s="76">
        <f>H140+Observaciones!$F140-F141-E141-G141-I140</f>
        <v>11.250000835053136</v>
      </c>
      <c r="I141" s="76">
        <f>MAX(0,(H141-Constantes!$D$14)*(1-EXP(-Constantes!$D$22)))</f>
        <v>2.8444975354041038E-8</v>
      </c>
      <c r="J141" s="76">
        <f t="shared" si="6"/>
        <v>115.58336139412603</v>
      </c>
      <c r="K141" s="76">
        <f>MAX(0,(J141-Constantes!$D$13)*(1-EXP(-Constantes!$D$23)))</f>
        <v>0.65852502828280435</v>
      </c>
      <c r="L141" s="76">
        <f t="shared" si="7"/>
        <v>0.65852505672777972</v>
      </c>
      <c r="M141" s="76">
        <f>0.0526*F141*Observaciones!$F140^1.218</f>
        <v>0</v>
      </c>
      <c r="N141" s="76">
        <f>M141*Constantes!$D$51</f>
        <v>0</v>
      </c>
      <c r="O141" s="76">
        <f t="shared" si="8"/>
        <v>0</v>
      </c>
      <c r="P141" s="15"/>
      <c r="Q141" s="75">
        <v>135</v>
      </c>
      <c r="R141" s="76">
        <f>0.0526*Observaciones!$F140^2.218</f>
        <v>0</v>
      </c>
      <c r="S141" s="76">
        <f>IF(Observaciones!$F140&gt;0.05*$W$7,((Observaciones!$F140-0.05*$W$7)^2)/(Observaciones!$F140+0.95*$W$7),0)</f>
        <v>0</v>
      </c>
      <c r="T141" s="76">
        <f>0.0526*S141*Observaciones!$F140^1.218</f>
        <v>0</v>
      </c>
      <c r="U141" s="29"/>
      <c r="V141" s="29"/>
      <c r="W141" s="109"/>
      <c r="X141" s="40"/>
    </row>
    <row r="142" spans="2:24" s="2" customFormat="1">
      <c r="B142" s="39"/>
      <c r="C142" s="75">
        <v>136</v>
      </c>
      <c r="D142" s="146">
        <f>ETo!$I141*((1-Constantes!$D$19)*ETo!$K141+ETo!$L141)</f>
        <v>2.697545315156844</v>
      </c>
      <c r="E142" s="76">
        <f>MIN(D142*Constantes!$D$17,0.8*(H141+Observaciones!$F141-F142-G142-Constantes!$D$14))</f>
        <v>6.6804250877794411E-7</v>
      </c>
      <c r="F142" s="76">
        <f>IF(Observaciones!$F141&gt;0.05*Constantes!$D$18,((Observaciones!$F141-0.05*Constantes!$D$18)^2)/(Observaciones!$F141+0.95*Constantes!$D$18),0)</f>
        <v>0</v>
      </c>
      <c r="G142" s="76">
        <f>MAX(0,H141+Observaciones!$F141-F142-Constantes!$D$13)</f>
        <v>0</v>
      </c>
      <c r="H142" s="76">
        <f>H141+Observaciones!$F141-F142-E142-G142-I141</f>
        <v>11.250000138565651</v>
      </c>
      <c r="I142" s="76">
        <f>MAX(0,(H142-Constantes!$D$14)*(1-EXP(-Constantes!$D$22)))</f>
        <v>4.7200547715179575E-9</v>
      </c>
      <c r="J142" s="76">
        <f t="shared" si="6"/>
        <v>114.92483636584322</v>
      </c>
      <c r="K142" s="76">
        <f>MAX(0,(J142-Constantes!$D$13)*(1-EXP(-Constantes!$D$23)))</f>
        <v>0.65203642433069209</v>
      </c>
      <c r="L142" s="76">
        <f t="shared" si="7"/>
        <v>0.65203642905074688</v>
      </c>
      <c r="M142" s="76">
        <f>0.0526*F142*Observaciones!$F141^1.218</f>
        <v>0</v>
      </c>
      <c r="N142" s="76">
        <f>M142*Constantes!$D$51</f>
        <v>0</v>
      </c>
      <c r="O142" s="76">
        <f t="shared" si="8"/>
        <v>0</v>
      </c>
      <c r="P142" s="15"/>
      <c r="Q142" s="75">
        <v>136</v>
      </c>
      <c r="R142" s="76">
        <f>0.0526*Observaciones!$F141^2.218</f>
        <v>0</v>
      </c>
      <c r="S142" s="76">
        <f>IF(Observaciones!$F141&gt;0.05*$W$7,((Observaciones!$F141-0.05*$W$7)^2)/(Observaciones!$F141+0.95*$W$7),0)</f>
        <v>0</v>
      </c>
      <c r="T142" s="76">
        <f>0.0526*S142*Observaciones!$F141^1.218</f>
        <v>0</v>
      </c>
      <c r="U142" s="29"/>
      <c r="V142" s="29"/>
      <c r="W142" s="109"/>
      <c r="X142" s="40"/>
    </row>
    <row r="143" spans="2:24" s="2" customFormat="1">
      <c r="B143" s="39"/>
      <c r="C143" s="75">
        <v>137</v>
      </c>
      <c r="D143" s="146">
        <f>ETo!$I142*((1-Constantes!$D$19)*ETo!$K142+ETo!$L142)</f>
        <v>2.7239297086523706</v>
      </c>
      <c r="E143" s="76">
        <f>MIN(D143*Constantes!$D$17,0.8*(H142+Observaciones!$F142-F143-G143-Constantes!$D$14))</f>
        <v>1.1085252111797672E-7</v>
      </c>
      <c r="F143" s="76">
        <f>IF(Observaciones!$F142&gt;0.05*Constantes!$D$18,((Observaciones!$F142-0.05*Constantes!$D$18)^2)/(Observaciones!$F142+0.95*Constantes!$D$18),0)</f>
        <v>0</v>
      </c>
      <c r="G143" s="76">
        <f>MAX(0,H142+Observaciones!$F142-F143-Constantes!$D$13)</f>
        <v>0</v>
      </c>
      <c r="H143" s="76">
        <f>H142+Observaciones!$F142-F143-E143-G143-I142</f>
        <v>11.250000022993074</v>
      </c>
      <c r="I143" s="76">
        <f>MAX(0,(H143-Constantes!$D$14)*(1-EXP(-Constantes!$D$22)))</f>
        <v>7.8322851353584037E-10</v>
      </c>
      <c r="J143" s="76">
        <f t="shared" si="6"/>
        <v>114.27279994151253</v>
      </c>
      <c r="K143" s="76">
        <f>MAX(0,(J143-Constantes!$D$13)*(1-EXP(-Constantes!$D$23)))</f>
        <v>0.64561175413878513</v>
      </c>
      <c r="L143" s="76">
        <f t="shared" si="7"/>
        <v>0.64561175492201361</v>
      </c>
      <c r="M143" s="76">
        <f>0.0526*F143*Observaciones!$F142^1.218</f>
        <v>0</v>
      </c>
      <c r="N143" s="76">
        <f>M143*Constantes!$D$51</f>
        <v>0</v>
      </c>
      <c r="O143" s="76">
        <f t="shared" si="8"/>
        <v>0</v>
      </c>
      <c r="P143" s="15"/>
      <c r="Q143" s="75">
        <v>137</v>
      </c>
      <c r="R143" s="76">
        <f>0.0526*Observaciones!$F142^2.218</f>
        <v>0</v>
      </c>
      <c r="S143" s="76">
        <f>IF(Observaciones!$F142&gt;0.05*$W$7,((Observaciones!$F142-0.05*$W$7)^2)/(Observaciones!$F142+0.95*$W$7),0)</f>
        <v>0</v>
      </c>
      <c r="T143" s="76">
        <f>0.0526*S143*Observaciones!$F142^1.218</f>
        <v>0</v>
      </c>
      <c r="U143" s="29"/>
      <c r="V143" s="29"/>
      <c r="W143" s="109"/>
      <c r="X143" s="40"/>
    </row>
    <row r="144" spans="2:24" s="2" customFormat="1">
      <c r="B144" s="39"/>
      <c r="C144" s="75">
        <v>138</v>
      </c>
      <c r="D144" s="146">
        <f>ETo!$I143*((1-Constantes!$D$19)*ETo!$K143+ETo!$L143)</f>
        <v>2.7316702919686935</v>
      </c>
      <c r="E144" s="76">
        <f>MIN(D144*Constantes!$D$17,0.8*(H143+Observaciones!$F143-F144-G144-Constantes!$D$14))</f>
        <v>1.8394459289083898E-8</v>
      </c>
      <c r="F144" s="76">
        <f>IF(Observaciones!$F143&gt;0.05*Constantes!$D$18,((Observaciones!$F143-0.05*Constantes!$D$18)^2)/(Observaciones!$F143+0.95*Constantes!$D$18),0)</f>
        <v>0</v>
      </c>
      <c r="G144" s="76">
        <f>MAX(0,H143+Observaciones!$F143-F144-Constantes!$D$13)</f>
        <v>0</v>
      </c>
      <c r="H144" s="76">
        <f>H143+Observaciones!$F143-F144-E144-G144-I143</f>
        <v>11.250000003815387</v>
      </c>
      <c r="I144" s="76">
        <f>MAX(0,(H144-Constantes!$D$14)*(1-EXP(-Constantes!$D$22)))</f>
        <v>1.2996609179000636E-10</v>
      </c>
      <c r="J144" s="76">
        <f t="shared" si="6"/>
        <v>113.62718818737375</v>
      </c>
      <c r="K144" s="76">
        <f>MAX(0,(J144-Constantes!$D$13)*(1-EXP(-Constantes!$D$23)))</f>
        <v>0.6392503877525163</v>
      </c>
      <c r="L144" s="76">
        <f t="shared" si="7"/>
        <v>0.63925038788248234</v>
      </c>
      <c r="M144" s="76">
        <f>0.0526*F144*Observaciones!$F143^1.218</f>
        <v>0</v>
      </c>
      <c r="N144" s="76">
        <f>M144*Constantes!$D$51</f>
        <v>0</v>
      </c>
      <c r="O144" s="76">
        <f t="shared" si="8"/>
        <v>0</v>
      </c>
      <c r="P144" s="15"/>
      <c r="Q144" s="75">
        <v>138</v>
      </c>
      <c r="R144" s="76">
        <f>0.0526*Observaciones!$F143^2.218</f>
        <v>0</v>
      </c>
      <c r="S144" s="76">
        <f>IF(Observaciones!$F143&gt;0.05*$W$7,((Observaciones!$F143-0.05*$W$7)^2)/(Observaciones!$F143+0.95*$W$7),0)</f>
        <v>0</v>
      </c>
      <c r="T144" s="76">
        <f>0.0526*S144*Observaciones!$F143^1.218</f>
        <v>0</v>
      </c>
      <c r="U144" s="29"/>
      <c r="V144" s="29"/>
      <c r="W144" s="109"/>
      <c r="X144" s="40"/>
    </row>
    <row r="145" spans="2:24" s="2" customFormat="1">
      <c r="B145" s="39"/>
      <c r="C145" s="75">
        <v>139</v>
      </c>
      <c r="D145" s="146">
        <f>ETo!$I144*((1-Constantes!$D$19)*ETo!$K144+ETo!$L144)</f>
        <v>2.6559548522337555</v>
      </c>
      <c r="E145" s="76">
        <f>MIN(D145*Constantes!$D$17,0.8*(H144+Observaciones!$F144-F145-G145-Constantes!$D$14))</f>
        <v>3.052309693885036E-9</v>
      </c>
      <c r="F145" s="76">
        <f>IF(Observaciones!$F144&gt;0.05*Constantes!$D$18,((Observaciones!$F144-0.05*Constantes!$D$18)^2)/(Observaciones!$F144+0.95*Constantes!$D$18),0)</f>
        <v>0</v>
      </c>
      <c r="G145" s="76">
        <f>MAX(0,H144+Observaciones!$F144-F145-Constantes!$D$13)</f>
        <v>0</v>
      </c>
      <c r="H145" s="76">
        <f>H144+Observaciones!$F144-F145-E145-G145-I144</f>
        <v>11.250000000633111</v>
      </c>
      <c r="I145" s="76">
        <f>MAX(0,(H145-Constantes!$D$14)*(1-EXP(-Constantes!$D$22)))</f>
        <v>2.1566096478224104E-11</v>
      </c>
      <c r="J145" s="76">
        <f t="shared" si="6"/>
        <v>112.98793779962124</v>
      </c>
      <c r="K145" s="76">
        <f>MAX(0,(J145-Constantes!$D$13)*(1-EXP(-Constantes!$D$23)))</f>
        <v>0.63295170142441082</v>
      </c>
      <c r="L145" s="76">
        <f t="shared" si="7"/>
        <v>0.6329517014459769</v>
      </c>
      <c r="M145" s="76">
        <f>0.0526*F145*Observaciones!$F144^1.218</f>
        <v>0</v>
      </c>
      <c r="N145" s="76">
        <f>M145*Constantes!$D$51</f>
        <v>0</v>
      </c>
      <c r="O145" s="76">
        <f t="shared" si="8"/>
        <v>0</v>
      </c>
      <c r="P145" s="15"/>
      <c r="Q145" s="75">
        <v>139</v>
      </c>
      <c r="R145" s="76">
        <f>0.0526*Observaciones!$F144^2.218</f>
        <v>0</v>
      </c>
      <c r="S145" s="76">
        <f>IF(Observaciones!$F144&gt;0.05*$W$7,((Observaciones!$F144-0.05*$W$7)^2)/(Observaciones!$F144+0.95*$W$7),0)</f>
        <v>0</v>
      </c>
      <c r="T145" s="76">
        <f>0.0526*S145*Observaciones!$F144^1.218</f>
        <v>0</v>
      </c>
      <c r="U145" s="29"/>
      <c r="V145" s="29"/>
      <c r="W145" s="109"/>
      <c r="X145" s="40"/>
    </row>
    <row r="146" spans="2:24" s="2" customFormat="1">
      <c r="B146" s="39"/>
      <c r="C146" s="75">
        <v>140</v>
      </c>
      <c r="D146" s="146">
        <f>ETo!$I145*((1-Constantes!$D$19)*ETo!$K145+ETo!$L145)</f>
        <v>2.7289466081032372</v>
      </c>
      <c r="E146" s="76">
        <f>MIN(D146*Constantes!$D$17,0.8*(H145+Observaciones!$F145-F146-G146-Constantes!$D$14))</f>
        <v>5.0648907290451461E-10</v>
      </c>
      <c r="F146" s="76">
        <f>IF(Observaciones!$F145&gt;0.05*Constantes!$D$18,((Observaciones!$F145-0.05*Constantes!$D$18)^2)/(Observaciones!$F145+0.95*Constantes!$D$18),0)</f>
        <v>0</v>
      </c>
      <c r="G146" s="76">
        <f>MAX(0,H145+Observaciones!$F145-F146-Constantes!$D$13)</f>
        <v>0</v>
      </c>
      <c r="H146" s="76">
        <f>H145+Observaciones!$F145-F146-E146-G146-I145</f>
        <v>11.250000000105056</v>
      </c>
      <c r="I146" s="76">
        <f>MAX(0,(H146-Constantes!$D$14)*(1-EXP(-Constantes!$D$22)))</f>
        <v>3.5785766724240388E-12</v>
      </c>
      <c r="J146" s="76">
        <f t="shared" si="6"/>
        <v>112.35498609819682</v>
      </c>
      <c r="K146" s="76">
        <f>MAX(0,(J146-Constantes!$D$13)*(1-EXP(-Constantes!$D$23)))</f>
        <v>0.62671507755292621</v>
      </c>
      <c r="L146" s="76">
        <f t="shared" si="7"/>
        <v>0.6267150775565048</v>
      </c>
      <c r="M146" s="76">
        <f>0.0526*F146*Observaciones!$F145^1.218</f>
        <v>0</v>
      </c>
      <c r="N146" s="76">
        <f>M146*Constantes!$D$51</f>
        <v>0</v>
      </c>
      <c r="O146" s="76">
        <f t="shared" si="8"/>
        <v>0</v>
      </c>
      <c r="P146" s="15"/>
      <c r="Q146" s="75">
        <v>140</v>
      </c>
      <c r="R146" s="76">
        <f>0.0526*Observaciones!$F145^2.218</f>
        <v>0</v>
      </c>
      <c r="S146" s="76">
        <f>IF(Observaciones!$F145&gt;0.05*$W$7,((Observaciones!$F145-0.05*$W$7)^2)/(Observaciones!$F145+0.95*$W$7),0)</f>
        <v>0</v>
      </c>
      <c r="T146" s="76">
        <f>0.0526*S146*Observaciones!$F145^1.218</f>
        <v>0</v>
      </c>
      <c r="U146" s="29"/>
      <c r="V146" s="29"/>
      <c r="W146" s="109"/>
      <c r="X146" s="40"/>
    </row>
    <row r="147" spans="2:24" s="2" customFormat="1">
      <c r="B147" s="39"/>
      <c r="C147" s="75">
        <v>141</v>
      </c>
      <c r="D147" s="146">
        <f>ETo!$I146*((1-Constantes!$D$19)*ETo!$K146+ETo!$L146)</f>
        <v>2.7371765140178614</v>
      </c>
      <c r="E147" s="76">
        <f>MIN(D147*Constantes!$D$17,0.8*(H146+Observaciones!$F146-F147-G147-Constantes!$D$14))</f>
        <v>8.4044415871176175E-11</v>
      </c>
      <c r="F147" s="76">
        <f>IF(Observaciones!$F146&gt;0.05*Constantes!$D$18,((Observaciones!$F146-0.05*Constantes!$D$18)^2)/(Observaciones!$F146+0.95*Constantes!$D$18),0)</f>
        <v>0</v>
      </c>
      <c r="G147" s="76">
        <f>MAX(0,H146+Observaciones!$F146-F147-Constantes!$D$13)</f>
        <v>0</v>
      </c>
      <c r="H147" s="76">
        <f>H146+Observaciones!$F146-F147-E147-G147-I146</f>
        <v>11.250000000017431</v>
      </c>
      <c r="I147" s="76">
        <f>MAX(0,(H147-Constantes!$D$14)*(1-EXP(-Constantes!$D$22)))</f>
        <v>5.937771239325864E-13</v>
      </c>
      <c r="J147" s="76">
        <f t="shared" si="6"/>
        <v>111.72827102064389</v>
      </c>
      <c r="K147" s="76">
        <f>MAX(0,(J147-Constantes!$D$13)*(1-EXP(-Constantes!$D$23)))</f>
        <v>0.62053990462189546</v>
      </c>
      <c r="L147" s="76">
        <f t="shared" si="7"/>
        <v>0.6205399046224892</v>
      </c>
      <c r="M147" s="76">
        <f>0.0526*F147*Observaciones!$F146^1.218</f>
        <v>0</v>
      </c>
      <c r="N147" s="76">
        <f>M147*Constantes!$D$51</f>
        <v>0</v>
      </c>
      <c r="O147" s="76">
        <f t="shared" si="8"/>
        <v>0</v>
      </c>
      <c r="P147" s="15"/>
      <c r="Q147" s="75">
        <v>141</v>
      </c>
      <c r="R147" s="76">
        <f>0.0526*Observaciones!$F146^2.218</f>
        <v>0</v>
      </c>
      <c r="S147" s="76">
        <f>IF(Observaciones!$F146&gt;0.05*$W$7,((Observaciones!$F146-0.05*$W$7)^2)/(Observaciones!$F146+0.95*$W$7),0)</f>
        <v>0</v>
      </c>
      <c r="T147" s="76">
        <f>0.0526*S147*Observaciones!$F146^1.218</f>
        <v>0</v>
      </c>
      <c r="U147" s="29"/>
      <c r="V147" s="29"/>
      <c r="W147" s="109"/>
      <c r="X147" s="40"/>
    </row>
    <row r="148" spans="2:24" s="2" customFormat="1">
      <c r="B148" s="39"/>
      <c r="C148" s="75">
        <v>142</v>
      </c>
      <c r="D148" s="146">
        <f>ETo!$I147*((1-Constantes!$D$19)*ETo!$K147+ETo!$L147)</f>
        <v>2.6686638437830261</v>
      </c>
      <c r="E148" s="76">
        <f>MIN(D148*Constantes!$D$17,0.8*(H147+Observaciones!$F147-F148-G148-Constantes!$D$14))</f>
        <v>1.3945111732027727E-11</v>
      </c>
      <c r="F148" s="76">
        <f>IF(Observaciones!$F147&gt;0.05*Constantes!$D$18,((Observaciones!$F147-0.05*Constantes!$D$18)^2)/(Observaciones!$F147+0.95*Constantes!$D$18),0)</f>
        <v>0</v>
      </c>
      <c r="G148" s="76">
        <f>MAX(0,H147+Observaciones!$F147-F148-Constantes!$D$13)</f>
        <v>0</v>
      </c>
      <c r="H148" s="76">
        <f>H147+Observaciones!$F147-F148-E148-G148-I147</f>
        <v>11.250000000002894</v>
      </c>
      <c r="I148" s="76">
        <f>MAX(0,(H148-Constantes!$D$14)*(1-EXP(-Constantes!$D$22)))</f>
        <v>9.8569543960683106E-14</v>
      </c>
      <c r="J148" s="76">
        <f t="shared" si="6"/>
        <v>111.10773111602199</v>
      </c>
      <c r="K148" s="76">
        <f>MAX(0,(J148-Constantes!$D$13)*(1-EXP(-Constantes!$D$23)))</f>
        <v>0.61442557714056578</v>
      </c>
      <c r="L148" s="76">
        <f t="shared" si="7"/>
        <v>0.61442557714066437</v>
      </c>
      <c r="M148" s="76">
        <f>0.0526*F148*Observaciones!$F147^1.218</f>
        <v>0</v>
      </c>
      <c r="N148" s="76">
        <f>M148*Constantes!$D$51</f>
        <v>0</v>
      </c>
      <c r="O148" s="76">
        <f t="shared" si="8"/>
        <v>0</v>
      </c>
      <c r="P148" s="15"/>
      <c r="Q148" s="75">
        <v>142</v>
      </c>
      <c r="R148" s="76">
        <f>0.0526*Observaciones!$F147^2.218</f>
        <v>0</v>
      </c>
      <c r="S148" s="76">
        <f>IF(Observaciones!$F147&gt;0.05*$W$7,((Observaciones!$F147-0.05*$W$7)^2)/(Observaciones!$F147+0.95*$W$7),0)</f>
        <v>0</v>
      </c>
      <c r="T148" s="76">
        <f>0.0526*S148*Observaciones!$F147^1.218</f>
        <v>0</v>
      </c>
      <c r="U148" s="29"/>
      <c r="V148" s="29"/>
      <c r="W148" s="109"/>
      <c r="X148" s="40"/>
    </row>
    <row r="149" spans="2:24" s="2" customFormat="1">
      <c r="B149" s="39"/>
      <c r="C149" s="75">
        <v>143</v>
      </c>
      <c r="D149" s="146">
        <f>ETo!$I148*((1-Constantes!$D$19)*ETo!$K148+ETo!$L148)</f>
        <v>2.6043947666847176</v>
      </c>
      <c r="E149" s="76">
        <f>MIN(D149*Constantes!$D$17,0.8*(H148+Observaciones!$F148-F149-G149-Constantes!$D$14))</f>
        <v>2.3149482331064065E-12</v>
      </c>
      <c r="F149" s="76">
        <f>IF(Observaciones!$F148&gt;0.05*Constantes!$D$18,((Observaciones!$F148-0.05*Constantes!$D$18)^2)/(Observaciones!$F148+0.95*Constantes!$D$18),0)</f>
        <v>0</v>
      </c>
      <c r="G149" s="76">
        <f>MAX(0,H148+Observaciones!$F148-F149-Constantes!$D$13)</f>
        <v>0</v>
      </c>
      <c r="H149" s="76">
        <f>H148+Observaciones!$F148-F149-E149-G149-I148</f>
        <v>11.250000000000481</v>
      </c>
      <c r="I149" s="76">
        <f>MAX(0,(H149-Constantes!$D$14)*(1-EXP(-Constantes!$D$22)))</f>
        <v>1.6398002709235802E-14</v>
      </c>
      <c r="J149" s="76">
        <f t="shared" si="6"/>
        <v>110.49330553888143</v>
      </c>
      <c r="K149" s="76">
        <f>MAX(0,(J149-Constantes!$D$13)*(1-EXP(-Constantes!$D$23)))</f>
        <v>0.60837149558422898</v>
      </c>
      <c r="L149" s="76">
        <f t="shared" si="7"/>
        <v>0.60837149558424541</v>
      </c>
      <c r="M149" s="76">
        <f>0.0526*F149*Observaciones!$F148^1.218</f>
        <v>0</v>
      </c>
      <c r="N149" s="76">
        <f>M149*Constantes!$D$51</f>
        <v>0</v>
      </c>
      <c r="O149" s="76">
        <f t="shared" si="8"/>
        <v>0</v>
      </c>
      <c r="P149" s="15"/>
      <c r="Q149" s="75">
        <v>143</v>
      </c>
      <c r="R149" s="76">
        <f>0.0526*Observaciones!$F148^2.218</f>
        <v>0</v>
      </c>
      <c r="S149" s="76">
        <f>IF(Observaciones!$F148&gt;0.05*$W$7,((Observaciones!$F148-0.05*$W$7)^2)/(Observaciones!$F148+0.95*$W$7),0)</f>
        <v>0</v>
      </c>
      <c r="T149" s="76">
        <f>0.0526*S149*Observaciones!$F148^1.218</f>
        <v>0</v>
      </c>
      <c r="U149" s="29"/>
      <c r="V149" s="29"/>
      <c r="W149" s="109"/>
      <c r="X149" s="40"/>
    </row>
    <row r="150" spans="2:24" s="2" customFormat="1">
      <c r="B150" s="39"/>
      <c r="C150" s="75">
        <v>144</v>
      </c>
      <c r="D150" s="146">
        <f>ETo!$I149*((1-Constantes!$D$19)*ETo!$K149+ETo!$L149)</f>
        <v>2.5772198137127917</v>
      </c>
      <c r="E150" s="76">
        <f>MIN(D150*Constantes!$D$17,0.8*(H149+Observaciones!$F149-F150-G150-Constantes!$D$14))</f>
        <v>3.8511416278197432E-13</v>
      </c>
      <c r="F150" s="76">
        <f>IF(Observaciones!$F149&gt;0.05*Constantes!$D$18,((Observaciones!$F149-0.05*Constantes!$D$18)^2)/(Observaciones!$F149+0.95*Constantes!$D$18),0)</f>
        <v>0</v>
      </c>
      <c r="G150" s="76">
        <f>MAX(0,H149+Observaciones!$F149-F150-Constantes!$D$13)</f>
        <v>0</v>
      </c>
      <c r="H150" s="76">
        <f>H149+Observaciones!$F149-F150-E150-G150-I149</f>
        <v>11.25000000000008</v>
      </c>
      <c r="I150" s="76">
        <f>MAX(0,(H150-Constantes!$D$14)*(1-EXP(-Constantes!$D$22)))</f>
        <v>2.7229155790243949E-15</v>
      </c>
      <c r="J150" s="76">
        <f t="shared" si="6"/>
        <v>109.88493404329721</v>
      </c>
      <c r="K150" s="76">
        <f>MAX(0,(J150-Constantes!$D$13)*(1-EXP(-Constantes!$D$23)))</f>
        <v>0.60237706633543675</v>
      </c>
      <c r="L150" s="76">
        <f t="shared" si="7"/>
        <v>0.60237706633543953</v>
      </c>
      <c r="M150" s="76">
        <f>0.0526*F150*Observaciones!$F149^1.218</f>
        <v>0</v>
      </c>
      <c r="N150" s="76">
        <f>M150*Constantes!$D$51</f>
        <v>0</v>
      </c>
      <c r="O150" s="76">
        <f t="shared" si="8"/>
        <v>0</v>
      </c>
      <c r="P150" s="15"/>
      <c r="Q150" s="75">
        <v>144</v>
      </c>
      <c r="R150" s="76">
        <f>0.0526*Observaciones!$F149^2.218</f>
        <v>0</v>
      </c>
      <c r="S150" s="76">
        <f>IF(Observaciones!$F149&gt;0.05*$W$7,((Observaciones!$F149-0.05*$W$7)^2)/(Observaciones!$F149+0.95*$W$7),0)</f>
        <v>0</v>
      </c>
      <c r="T150" s="76">
        <f>0.0526*S150*Observaciones!$F149^1.218</f>
        <v>0</v>
      </c>
      <c r="U150" s="29"/>
      <c r="V150" s="29"/>
      <c r="W150" s="109"/>
      <c r="X150" s="40"/>
    </row>
    <row r="151" spans="2:24" s="2" customFormat="1">
      <c r="B151" s="39"/>
      <c r="C151" s="75">
        <v>145</v>
      </c>
      <c r="D151" s="146">
        <f>ETo!$I150*((1-Constantes!$D$19)*ETo!$K150+ETo!$L150)</f>
        <v>2.5356051929730321</v>
      </c>
      <c r="E151" s="76">
        <f>MIN(D151*Constantes!$D$17,0.8*(H150+Observaciones!$F150-F151-G151-Constantes!$D$14))</f>
        <v>6.3948846218409017E-14</v>
      </c>
      <c r="F151" s="76">
        <f>IF(Observaciones!$F150&gt;0.05*Constantes!$D$18,((Observaciones!$F150-0.05*Constantes!$D$18)^2)/(Observaciones!$F150+0.95*Constantes!$D$18),0)</f>
        <v>0</v>
      </c>
      <c r="G151" s="76">
        <f>MAX(0,H150+Observaciones!$F150-F151-Constantes!$D$13)</f>
        <v>0</v>
      </c>
      <c r="H151" s="76">
        <f>H150+Observaciones!$F150-F151-E151-G151-I150</f>
        <v>11.250000000000012</v>
      </c>
      <c r="I151" s="76">
        <f>MAX(0,(H151-Constantes!$D$14)*(1-EXP(-Constantes!$D$22)))</f>
        <v>4.2356464562601701E-16</v>
      </c>
      <c r="J151" s="76">
        <f t="shared" si="6"/>
        <v>109.28255697696177</v>
      </c>
      <c r="K151" s="76">
        <f>MAX(0,(J151-Constantes!$D$13)*(1-EXP(-Constantes!$D$23)))</f>
        <v>0.59644170162579457</v>
      </c>
      <c r="L151" s="76">
        <f t="shared" si="7"/>
        <v>0.59644170162579502</v>
      </c>
      <c r="M151" s="76">
        <f>0.0526*F151*Observaciones!$F150^1.218</f>
        <v>0</v>
      </c>
      <c r="N151" s="76">
        <f>M151*Constantes!$D$51</f>
        <v>0</v>
      </c>
      <c r="O151" s="76">
        <f t="shared" si="8"/>
        <v>0</v>
      </c>
      <c r="P151" s="15"/>
      <c r="Q151" s="75">
        <v>145</v>
      </c>
      <c r="R151" s="76">
        <f>0.0526*Observaciones!$F150^2.218</f>
        <v>0</v>
      </c>
      <c r="S151" s="76">
        <f>IF(Observaciones!$F150&gt;0.05*$W$7,((Observaciones!$F150-0.05*$W$7)^2)/(Observaciones!$F150+0.95*$W$7),0)</f>
        <v>0</v>
      </c>
      <c r="T151" s="76">
        <f>0.0526*S151*Observaciones!$F150^1.218</f>
        <v>0</v>
      </c>
      <c r="U151" s="29"/>
      <c r="V151" s="29"/>
      <c r="W151" s="109"/>
      <c r="X151" s="40"/>
    </row>
    <row r="152" spans="2:24" s="2" customFormat="1">
      <c r="B152" s="39"/>
      <c r="C152" s="75">
        <v>146</v>
      </c>
      <c r="D152" s="146">
        <f>ETo!$I151*((1-Constantes!$D$19)*ETo!$K151+ETo!$L151)</f>
        <v>2.5839158402550106</v>
      </c>
      <c r="E152" s="76">
        <f>MIN(D152*Constantes!$D$17,0.8*(H151+Observaciones!$F151-F152-G152-Constantes!$D$14))</f>
        <v>9.9475983006414035E-15</v>
      </c>
      <c r="F152" s="76">
        <f>IF(Observaciones!$F151&gt;0.05*Constantes!$D$18,((Observaciones!$F151-0.05*Constantes!$D$18)^2)/(Observaciones!$F151+0.95*Constantes!$D$18),0)</f>
        <v>0</v>
      </c>
      <c r="G152" s="76">
        <f>MAX(0,H151+Observaciones!$F151-F152-Constantes!$D$13)</f>
        <v>0</v>
      </c>
      <c r="H152" s="76">
        <f>H151+Observaciones!$F151-F152-E152-G152-I151</f>
        <v>11.250000000000002</v>
      </c>
      <c r="I152" s="76">
        <f>MAX(0,(H152-Constantes!$D$14)*(1-EXP(-Constantes!$D$22)))</f>
        <v>6.0509235089431002E-17</v>
      </c>
      <c r="J152" s="76">
        <f t="shared" si="6"/>
        <v>108.68611527533598</v>
      </c>
      <c r="K152" s="76">
        <f>MAX(0,(J152-Constantes!$D$13)*(1-EXP(-Constantes!$D$23)))</f>
        <v>0.59056481947833028</v>
      </c>
      <c r="L152" s="76">
        <f t="shared" si="7"/>
        <v>0.59056481947833039</v>
      </c>
      <c r="M152" s="76">
        <f>0.0526*F152*Observaciones!$F151^1.218</f>
        <v>0</v>
      </c>
      <c r="N152" s="76">
        <f>M152*Constantes!$D$51</f>
        <v>0</v>
      </c>
      <c r="O152" s="76">
        <f t="shared" si="8"/>
        <v>0</v>
      </c>
      <c r="P152" s="15"/>
      <c r="Q152" s="75">
        <v>146</v>
      </c>
      <c r="R152" s="76">
        <f>0.0526*Observaciones!$F151^2.218</f>
        <v>0</v>
      </c>
      <c r="S152" s="76">
        <f>IF(Observaciones!$F151&gt;0.05*$W$7,((Observaciones!$F151-0.05*$W$7)^2)/(Observaciones!$F151+0.95*$W$7),0)</f>
        <v>0</v>
      </c>
      <c r="T152" s="76">
        <f>0.0526*S152*Observaciones!$F151^1.218</f>
        <v>0</v>
      </c>
      <c r="U152" s="29"/>
      <c r="V152" s="29"/>
      <c r="W152" s="109"/>
      <c r="X152" s="40"/>
    </row>
    <row r="153" spans="2:24" s="2" customFormat="1">
      <c r="B153" s="39"/>
      <c r="C153" s="75">
        <v>147</v>
      </c>
      <c r="D153" s="146">
        <f>ETo!$I152*((1-Constantes!$D$19)*ETo!$K152+ETo!$L152)</f>
        <v>2.5936155878308074</v>
      </c>
      <c r="E153" s="76">
        <f>MIN(D153*Constantes!$D$17,0.8*(H152+Observaciones!$F152-F153-G153-Constantes!$D$14))</f>
        <v>1.4210854715202005E-15</v>
      </c>
      <c r="F153" s="76">
        <f>IF(Observaciones!$F152&gt;0.05*Constantes!$D$18,((Observaciones!$F152-0.05*Constantes!$D$18)^2)/(Observaciones!$F152+0.95*Constantes!$D$18),0)</f>
        <v>0</v>
      </c>
      <c r="G153" s="76">
        <f>MAX(0,H152+Observaciones!$F152-F153-Constantes!$D$13)</f>
        <v>0</v>
      </c>
      <c r="H153" s="76">
        <f>H152+Observaciones!$F152-F153-E153-G153-I152</f>
        <v>11.25</v>
      </c>
      <c r="I153" s="76">
        <f>MAX(0,(H153-Constantes!$D$14)*(1-EXP(-Constantes!$D$22)))</f>
        <v>0</v>
      </c>
      <c r="J153" s="76">
        <f t="shared" si="6"/>
        <v>108.09555045585765</v>
      </c>
      <c r="K153" s="76">
        <f>MAX(0,(J153-Constantes!$D$13)*(1-EXP(-Constantes!$D$23)))</f>
        <v>0.58474584365042914</v>
      </c>
      <c r="L153" s="76">
        <f t="shared" si="7"/>
        <v>0.58474584365042914</v>
      </c>
      <c r="M153" s="76">
        <f>0.0526*F153*Observaciones!$F152^1.218</f>
        <v>0</v>
      </c>
      <c r="N153" s="76">
        <f>M153*Constantes!$D$51</f>
        <v>0</v>
      </c>
      <c r="O153" s="76">
        <f t="shared" si="8"/>
        <v>0</v>
      </c>
      <c r="P153" s="15"/>
      <c r="Q153" s="75">
        <v>147</v>
      </c>
      <c r="R153" s="76">
        <f>0.0526*Observaciones!$F152^2.218</f>
        <v>0</v>
      </c>
      <c r="S153" s="76">
        <f>IF(Observaciones!$F152&gt;0.05*$W$7,((Observaciones!$F152-0.05*$W$7)^2)/(Observaciones!$F152+0.95*$W$7),0)</f>
        <v>0</v>
      </c>
      <c r="T153" s="76">
        <f>0.0526*S153*Observaciones!$F152^1.218</f>
        <v>0</v>
      </c>
      <c r="U153" s="29"/>
      <c r="V153" s="29"/>
      <c r="W153" s="109"/>
      <c r="X153" s="40"/>
    </row>
    <row r="154" spans="2:24" s="2" customFormat="1">
      <c r="B154" s="39"/>
      <c r="C154" s="75">
        <v>148</v>
      </c>
      <c r="D154" s="146">
        <f>ETo!$I153*((1-Constantes!$D$19)*ETo!$K153+ETo!$L153)</f>
        <v>2.5381326079713058</v>
      </c>
      <c r="E154" s="76">
        <f>MIN(D154*Constantes!$D$17,0.8*(H153+Observaciones!$F153-F154-G154-Constantes!$D$14))</f>
        <v>0</v>
      </c>
      <c r="F154" s="76">
        <f>IF(Observaciones!$F153&gt;0.05*Constantes!$D$18,((Observaciones!$F153-0.05*Constantes!$D$18)^2)/(Observaciones!$F153+0.95*Constantes!$D$18),0)</f>
        <v>0</v>
      </c>
      <c r="G154" s="76">
        <f>MAX(0,H153+Observaciones!$F153-F154-Constantes!$D$13)</f>
        <v>0</v>
      </c>
      <c r="H154" s="76">
        <f>H153+Observaciones!$F153-F154-E154-G154-I153</f>
        <v>11.25</v>
      </c>
      <c r="I154" s="76">
        <f>MAX(0,(H154-Constantes!$D$14)*(1-EXP(-Constantes!$D$22)))</f>
        <v>0</v>
      </c>
      <c r="J154" s="76">
        <f t="shared" si="6"/>
        <v>107.51080461220722</v>
      </c>
      <c r="K154" s="76">
        <f>MAX(0,(J154-Constantes!$D$13)*(1-EXP(-Constantes!$D$23)))</f>
        <v>0.57898420357733249</v>
      </c>
      <c r="L154" s="76">
        <f t="shared" si="7"/>
        <v>0.57898420357733249</v>
      </c>
      <c r="M154" s="76">
        <f>0.0526*F154*Observaciones!$F153^1.218</f>
        <v>0</v>
      </c>
      <c r="N154" s="76">
        <f>M154*Constantes!$D$51</f>
        <v>0</v>
      </c>
      <c r="O154" s="76">
        <f t="shared" si="8"/>
        <v>0</v>
      </c>
      <c r="P154" s="15"/>
      <c r="Q154" s="75">
        <v>148</v>
      </c>
      <c r="R154" s="76">
        <f>0.0526*Observaciones!$F153^2.218</f>
        <v>0</v>
      </c>
      <c r="S154" s="76">
        <f>IF(Observaciones!$F153&gt;0.05*$W$7,((Observaciones!$F153-0.05*$W$7)^2)/(Observaciones!$F153+0.95*$W$7),0)</f>
        <v>0</v>
      </c>
      <c r="T154" s="76">
        <f>0.0526*S154*Observaciones!$F153^1.218</f>
        <v>0</v>
      </c>
      <c r="U154" s="29"/>
      <c r="V154" s="29"/>
      <c r="W154" s="109"/>
      <c r="X154" s="40"/>
    </row>
    <row r="155" spans="2:24" s="2" customFormat="1">
      <c r="B155" s="39"/>
      <c r="C155" s="75">
        <v>149</v>
      </c>
      <c r="D155" s="146">
        <f>ETo!$I154*((1-Constantes!$D$19)*ETo!$K154+ETo!$L154)</f>
        <v>2.5247697706787764</v>
      </c>
      <c r="E155" s="76">
        <f>MIN(D155*Constantes!$D$17,0.8*(H154+Observaciones!$F154-F155-G155-Constantes!$D$14))</f>
        <v>0</v>
      </c>
      <c r="F155" s="76">
        <f>IF(Observaciones!$F154&gt;0.05*Constantes!$D$18,((Observaciones!$F154-0.05*Constantes!$D$18)^2)/(Observaciones!$F154+0.95*Constantes!$D$18),0)</f>
        <v>0</v>
      </c>
      <c r="G155" s="76">
        <f>MAX(0,H154+Observaciones!$F154-F155-Constantes!$D$13)</f>
        <v>0</v>
      </c>
      <c r="H155" s="76">
        <f>H154+Observaciones!$F154-F155-E155-G155-I154</f>
        <v>11.25</v>
      </c>
      <c r="I155" s="76">
        <f>MAX(0,(H155-Constantes!$D$14)*(1-EXP(-Constantes!$D$22)))</f>
        <v>0</v>
      </c>
      <c r="J155" s="76">
        <f t="shared" si="6"/>
        <v>106.93182040862989</v>
      </c>
      <c r="K155" s="76">
        <f>MAX(0,(J155-Constantes!$D$13)*(1-EXP(-Constantes!$D$23)))</f>
        <v>0.57327933431619171</v>
      </c>
      <c r="L155" s="76">
        <f t="shared" si="7"/>
        <v>0.57327933431619171</v>
      </c>
      <c r="M155" s="76">
        <f>0.0526*F155*Observaciones!$F154^1.218</f>
        <v>0</v>
      </c>
      <c r="N155" s="76">
        <f>M155*Constantes!$D$51</f>
        <v>0</v>
      </c>
      <c r="O155" s="76">
        <f t="shared" si="8"/>
        <v>0</v>
      </c>
      <c r="P155" s="15"/>
      <c r="Q155" s="75">
        <v>149</v>
      </c>
      <c r="R155" s="76">
        <f>0.0526*Observaciones!$F154^2.218</f>
        <v>0</v>
      </c>
      <c r="S155" s="76">
        <f>IF(Observaciones!$F154&gt;0.05*$W$7,((Observaciones!$F154-0.05*$W$7)^2)/(Observaciones!$F154+0.95*$W$7),0)</f>
        <v>0</v>
      </c>
      <c r="T155" s="76">
        <f>0.0526*S155*Observaciones!$F154^1.218</f>
        <v>0</v>
      </c>
      <c r="U155" s="29"/>
      <c r="V155" s="29"/>
      <c r="W155" s="109"/>
      <c r="X155" s="40"/>
    </row>
    <row r="156" spans="2:24" s="2" customFormat="1">
      <c r="B156" s="39"/>
      <c r="C156" s="75">
        <v>150</v>
      </c>
      <c r="D156" s="146">
        <f>ETo!$I155*((1-Constantes!$D$19)*ETo!$K155+ETo!$L155)</f>
        <v>2.4737421117507834</v>
      </c>
      <c r="E156" s="76">
        <f>MIN(D156*Constantes!$D$17,0.8*(H155+Observaciones!$F155-F156-G156-Constantes!$D$14))</f>
        <v>0</v>
      </c>
      <c r="F156" s="76">
        <f>IF(Observaciones!$F155&gt;0.05*Constantes!$D$18,((Observaciones!$F155-0.05*Constantes!$D$18)^2)/(Observaciones!$F155+0.95*Constantes!$D$18),0)</f>
        <v>0</v>
      </c>
      <c r="G156" s="76">
        <f>MAX(0,H155+Observaciones!$F155-F156-Constantes!$D$13)</f>
        <v>0</v>
      </c>
      <c r="H156" s="76">
        <f>H155+Observaciones!$F155-F156-E156-G156-I155</f>
        <v>11.25</v>
      </c>
      <c r="I156" s="76">
        <f>MAX(0,(H156-Constantes!$D$14)*(1-EXP(-Constantes!$D$22)))</f>
        <v>0</v>
      </c>
      <c r="J156" s="76">
        <f t="shared" si="6"/>
        <v>106.35854107431369</v>
      </c>
      <c r="K156" s="76">
        <f>MAX(0,(J156-Constantes!$D$13)*(1-EXP(-Constantes!$D$23)))</f>
        <v>0.567630676490675</v>
      </c>
      <c r="L156" s="76">
        <f t="shared" si="7"/>
        <v>0.567630676490675</v>
      </c>
      <c r="M156" s="76">
        <f>0.0526*F156*Observaciones!$F155^1.218</f>
        <v>0</v>
      </c>
      <c r="N156" s="76">
        <f>M156*Constantes!$D$51</f>
        <v>0</v>
      </c>
      <c r="O156" s="76">
        <f t="shared" si="8"/>
        <v>0</v>
      </c>
      <c r="P156" s="15"/>
      <c r="Q156" s="75">
        <v>150</v>
      </c>
      <c r="R156" s="76">
        <f>0.0526*Observaciones!$F155^2.218</f>
        <v>0</v>
      </c>
      <c r="S156" s="76">
        <f>IF(Observaciones!$F155&gt;0.05*$W$7,((Observaciones!$F155-0.05*$W$7)^2)/(Observaciones!$F155+0.95*$W$7),0)</f>
        <v>0</v>
      </c>
      <c r="T156" s="76">
        <f>0.0526*S156*Observaciones!$F155^1.218</f>
        <v>0</v>
      </c>
      <c r="U156" s="29"/>
      <c r="V156" s="29"/>
      <c r="W156" s="109"/>
      <c r="X156" s="40"/>
    </row>
    <row r="157" spans="2:24" s="2" customFormat="1">
      <c r="B157" s="39"/>
      <c r="C157" s="75">
        <v>151</v>
      </c>
      <c r="D157" s="146">
        <f>ETo!$I156*((1-Constantes!$D$19)*ETo!$K156+ETo!$L156)</f>
        <v>2.4875140123387354</v>
      </c>
      <c r="E157" s="76">
        <f>MIN(D157*Constantes!$D$17,0.8*(H156+Observaciones!$F156-F157-G157-Constantes!$D$14))</f>
        <v>0</v>
      </c>
      <c r="F157" s="76">
        <f>IF(Observaciones!$F156&gt;0.05*Constantes!$D$18,((Observaciones!$F156-0.05*Constantes!$D$18)^2)/(Observaciones!$F156+0.95*Constantes!$D$18),0)</f>
        <v>0</v>
      </c>
      <c r="G157" s="76">
        <f>MAX(0,H156+Observaciones!$F156-F157-Constantes!$D$13)</f>
        <v>0</v>
      </c>
      <c r="H157" s="76">
        <f>H156+Observaciones!$F156-F157-E157-G157-I156</f>
        <v>11.25</v>
      </c>
      <c r="I157" s="76">
        <f>MAX(0,(H157-Constantes!$D$14)*(1-EXP(-Constantes!$D$22)))</f>
        <v>0</v>
      </c>
      <c r="J157" s="76">
        <f t="shared" si="6"/>
        <v>105.79091039782301</v>
      </c>
      <c r="K157" s="76">
        <f>MAX(0,(J157-Constantes!$D$13)*(1-EXP(-Constantes!$D$23)))</f>
        <v>0.56203767623611856</v>
      </c>
      <c r="L157" s="76">
        <f t="shared" si="7"/>
        <v>0.56203767623611856</v>
      </c>
      <c r="M157" s="76">
        <f>0.0526*F157*Observaciones!$F156^1.218</f>
        <v>0</v>
      </c>
      <c r="N157" s="76">
        <f>M157*Constantes!$D$51</f>
        <v>0</v>
      </c>
      <c r="O157" s="76">
        <f t="shared" si="8"/>
        <v>0</v>
      </c>
      <c r="P157" s="15"/>
      <c r="Q157" s="75">
        <v>151</v>
      </c>
      <c r="R157" s="76">
        <f>0.0526*Observaciones!$F156^2.218</f>
        <v>0</v>
      </c>
      <c r="S157" s="76">
        <f>IF(Observaciones!$F156&gt;0.05*$W$7,((Observaciones!$F156-0.05*$W$7)^2)/(Observaciones!$F156+0.95*$W$7),0)</f>
        <v>0</v>
      </c>
      <c r="T157" s="76">
        <f>0.0526*S157*Observaciones!$F156^1.218</f>
        <v>0</v>
      </c>
      <c r="U157" s="29"/>
      <c r="V157" s="29"/>
      <c r="W157" s="109"/>
      <c r="X157" s="40"/>
    </row>
    <row r="158" spans="2:24" s="2" customFormat="1">
      <c r="B158" s="39"/>
      <c r="C158" s="75">
        <v>152</v>
      </c>
      <c r="D158" s="146">
        <f>ETo!$I157*((1-Constantes!$D$19)*ETo!$K157+ETo!$L157)</f>
        <v>2.486999328476565</v>
      </c>
      <c r="E158" s="76">
        <f>MIN(D158*Constantes!$D$17,0.8*(H157+Observaciones!$F157-F158-G158-Constantes!$D$14))</f>
        <v>0</v>
      </c>
      <c r="F158" s="76">
        <f>IF(Observaciones!$F157&gt;0.05*Constantes!$D$18,((Observaciones!$F157-0.05*Constantes!$D$18)^2)/(Observaciones!$F157+0.95*Constantes!$D$18),0)</f>
        <v>0</v>
      </c>
      <c r="G158" s="76">
        <f>MAX(0,H157+Observaciones!$F157-F158-Constantes!$D$13)</f>
        <v>0</v>
      </c>
      <c r="H158" s="76">
        <f>H157+Observaciones!$F157-F158-E158-G158-I157</f>
        <v>11.25</v>
      </c>
      <c r="I158" s="76">
        <f>MAX(0,(H158-Constantes!$D$14)*(1-EXP(-Constantes!$D$22)))</f>
        <v>0</v>
      </c>
      <c r="J158" s="76">
        <f t="shared" si="6"/>
        <v>105.2288727215869</v>
      </c>
      <c r="K158" s="76">
        <f>MAX(0,(J158-Constantes!$D$13)*(1-EXP(-Constantes!$D$23)))</f>
        <v>0.55649978514521914</v>
      </c>
      <c r="L158" s="76">
        <f t="shared" si="7"/>
        <v>0.55649978514521914</v>
      </c>
      <c r="M158" s="76">
        <f>0.0526*F158*Observaciones!$F157^1.218</f>
        <v>0</v>
      </c>
      <c r="N158" s="76">
        <f>M158*Constantes!$D$51</f>
        <v>0</v>
      </c>
      <c r="O158" s="76">
        <f t="shared" si="8"/>
        <v>0</v>
      </c>
      <c r="P158" s="15"/>
      <c r="Q158" s="75">
        <v>152</v>
      </c>
      <c r="R158" s="76">
        <f>0.0526*Observaciones!$F157^2.218</f>
        <v>0</v>
      </c>
      <c r="S158" s="76">
        <f>IF(Observaciones!$F157&gt;0.05*$W$7,((Observaciones!$F157-0.05*$W$7)^2)/(Observaciones!$F157+0.95*$W$7),0)</f>
        <v>0</v>
      </c>
      <c r="T158" s="76">
        <f>0.0526*S158*Observaciones!$F157^1.218</f>
        <v>0</v>
      </c>
      <c r="U158" s="29"/>
      <c r="V158" s="29"/>
      <c r="W158" s="109"/>
      <c r="X158" s="40"/>
    </row>
    <row r="159" spans="2:24" s="2" customFormat="1">
      <c r="B159" s="39"/>
      <c r="C159" s="75">
        <v>153</v>
      </c>
      <c r="D159" s="146">
        <f>ETo!$I158*((1-Constantes!$D$19)*ETo!$K158+ETo!$L158)</f>
        <v>2.4549255300321318</v>
      </c>
      <c r="E159" s="76">
        <f>MIN(D159*Constantes!$D$17,0.8*(H158+Observaciones!$F158-F159-G159-Constantes!$D$14))</f>
        <v>1.2517271308123565</v>
      </c>
      <c r="F159" s="76">
        <f>IF(Observaciones!$F158&gt;0.05*Constantes!$D$18,((Observaciones!$F158-0.05*Constantes!$D$18)^2)/(Observaciones!$F158+0.95*Constantes!$D$18),0)</f>
        <v>0.78269247427200483</v>
      </c>
      <c r="G159" s="76">
        <f>MAX(0,H158+Observaciones!$F158-F159-Constantes!$D$13)</f>
        <v>0</v>
      </c>
      <c r="H159" s="76">
        <f>H158+Observaciones!$F158-F159-E159-G159-I158</f>
        <v>20.815580394915642</v>
      </c>
      <c r="I159" s="76">
        <f>MAX(0,(H159-Constantes!$D$14)*(1-EXP(-Constantes!$D$22)))</f>
        <v>0.32583878421535195</v>
      </c>
      <c r="J159" s="76">
        <f t="shared" si="6"/>
        <v>104.67237293644168</v>
      </c>
      <c r="K159" s="76">
        <f>MAX(0,(J159-Constantes!$D$13)*(1-EXP(-Constantes!$D$23)))</f>
        <v>0.55101646021426121</v>
      </c>
      <c r="L159" s="76">
        <f t="shared" si="7"/>
        <v>1.6595477187016181</v>
      </c>
      <c r="M159" s="76">
        <f>0.0526*F159*Observaciones!$F158^1.218</f>
        <v>0.81486700505284226</v>
      </c>
      <c r="N159" s="76">
        <f>M159*Constantes!$D$51</f>
        <v>1.1456945735200001E-2</v>
      </c>
      <c r="O159" s="76">
        <f t="shared" si="8"/>
        <v>690.36554996825168</v>
      </c>
      <c r="P159" s="15"/>
      <c r="Q159" s="75">
        <v>153</v>
      </c>
      <c r="R159" s="76">
        <f>0.0526*Observaciones!$F158^2.218</f>
        <v>12.076846998439398</v>
      </c>
      <c r="S159" s="76">
        <f>IF(Observaciones!$F158&gt;0.05*$W$7,((Observaciones!$F158-0.05*$W$7)^2)/(Observaciones!$F158+0.95*$W$7),0)</f>
        <v>2.1881138522390695</v>
      </c>
      <c r="T159" s="76">
        <f>0.0526*S159*Observaciones!$F158^1.218</f>
        <v>2.2780617421256109</v>
      </c>
      <c r="U159" s="29"/>
      <c r="V159" s="29"/>
      <c r="W159" s="109"/>
      <c r="X159" s="40"/>
    </row>
    <row r="160" spans="2:24" s="2" customFormat="1">
      <c r="B160" s="39"/>
      <c r="C160" s="75">
        <v>154</v>
      </c>
      <c r="D160" s="146">
        <f>ETo!$I159*((1-Constantes!$D$19)*ETo!$K159+ETo!$L159)</f>
        <v>2.3349863105211797</v>
      </c>
      <c r="E160" s="76">
        <f>MIN(D160*Constantes!$D$17,0.8*(H159+Observaciones!$F159-F160-G160-Constantes!$D$14))</f>
        <v>1.1905720475832728</v>
      </c>
      <c r="F160" s="76">
        <f>IF(Observaciones!$F159&gt;0.05*Constantes!$D$18,((Observaciones!$F159-0.05*Constantes!$D$18)^2)/(Observaciones!$F159+0.95*Constantes!$D$18),0)</f>
        <v>0</v>
      </c>
      <c r="G160" s="76">
        <f>MAX(0,H159+Observaciones!$F159-F160-Constantes!$D$13)</f>
        <v>0</v>
      </c>
      <c r="H160" s="76">
        <f>H159+Observaciones!$F159-F160-E160-G160-I159</f>
        <v>20.599169563117016</v>
      </c>
      <c r="I160" s="76">
        <f>MAX(0,(H160-Constantes!$D$14)*(1-EXP(-Constantes!$D$22)))</f>
        <v>0.31846703682386301</v>
      </c>
      <c r="J160" s="76">
        <f t="shared" si="6"/>
        <v>104.12135647622742</v>
      </c>
      <c r="K160" s="76">
        <f>MAX(0,(J160-Constantes!$D$13)*(1-EXP(-Constantes!$D$23)))</f>
        <v>0.54558716378987437</v>
      </c>
      <c r="L160" s="76">
        <f t="shared" si="7"/>
        <v>0.86405420061373739</v>
      </c>
      <c r="M160" s="76">
        <f>0.0526*F160*Observaciones!$F159^1.218</f>
        <v>0</v>
      </c>
      <c r="N160" s="76">
        <f>M160*Constantes!$D$51</f>
        <v>0</v>
      </c>
      <c r="O160" s="76">
        <f t="shared" si="8"/>
        <v>0</v>
      </c>
      <c r="P160" s="15"/>
      <c r="Q160" s="75">
        <v>154</v>
      </c>
      <c r="R160" s="76">
        <f>0.0526*Observaciones!$F159^2.218</f>
        <v>9.412654104711686E-2</v>
      </c>
      <c r="S160" s="76">
        <f>IF(Observaciones!$F159&gt;0.05*$W$7,((Observaciones!$F159-0.05*$W$7)^2)/(Observaciones!$F159+0.95*$W$7),0)</f>
        <v>0</v>
      </c>
      <c r="T160" s="76">
        <f>0.0526*S160*Observaciones!$F159^1.218</f>
        <v>0</v>
      </c>
      <c r="U160" s="29"/>
      <c r="V160" s="29"/>
      <c r="W160" s="109"/>
      <c r="X160" s="40"/>
    </row>
    <row r="161" spans="2:24" s="2" customFormat="1">
      <c r="B161" s="39"/>
      <c r="C161" s="75">
        <v>155</v>
      </c>
      <c r="D161" s="146">
        <f>ETo!$I160*((1-Constantes!$D$19)*ETo!$K160+ETo!$L160)</f>
        <v>2.6223805106150184</v>
      </c>
      <c r="E161" s="76">
        <f>MIN(D161*Constantes!$D$17,0.8*(H160+Observaciones!$F160-F161-G161-Constantes!$D$14))</f>
        <v>1.3371097380731609</v>
      </c>
      <c r="F161" s="76">
        <f>IF(Observaciones!$F160&gt;0.05*Constantes!$D$18,((Observaciones!$F160-0.05*Constantes!$D$18)^2)/(Observaciones!$F160+0.95*Constantes!$D$18),0)</f>
        <v>0</v>
      </c>
      <c r="G161" s="76">
        <f>MAX(0,H160+Observaciones!$F160-F161-Constantes!$D$13)</f>
        <v>0</v>
      </c>
      <c r="H161" s="76">
        <f>H160+Observaciones!$F160-F161-E161-G161-I160</f>
        <v>18.943592788219995</v>
      </c>
      <c r="I161" s="76">
        <f>MAX(0,(H161-Constantes!$D$14)*(1-EXP(-Constantes!$D$22)))</f>
        <v>0.26207201412410591</v>
      </c>
      <c r="J161" s="76">
        <f t="shared" si="6"/>
        <v>103.57576931243754</v>
      </c>
      <c r="K161" s="76">
        <f>MAX(0,(J161-Constantes!$D$13)*(1-EXP(-Constantes!$D$23)))</f>
        <v>0.5402113635163146</v>
      </c>
      <c r="L161" s="76">
        <f t="shared" si="7"/>
        <v>0.80228337764042057</v>
      </c>
      <c r="M161" s="76">
        <f>0.0526*F161*Observaciones!$F160^1.218</f>
        <v>0</v>
      </c>
      <c r="N161" s="76">
        <f>M161*Constantes!$D$51</f>
        <v>0</v>
      </c>
      <c r="O161" s="76">
        <f t="shared" si="8"/>
        <v>0</v>
      </c>
      <c r="P161" s="15"/>
      <c r="Q161" s="75">
        <v>155</v>
      </c>
      <c r="R161" s="76">
        <f>0.0526*Observaciones!$F160^2.218</f>
        <v>0</v>
      </c>
      <c r="S161" s="76">
        <f>IF(Observaciones!$F160&gt;0.05*$W$7,((Observaciones!$F160-0.05*$W$7)^2)/(Observaciones!$F160+0.95*$W$7),0)</f>
        <v>0</v>
      </c>
      <c r="T161" s="76">
        <f>0.0526*S161*Observaciones!$F160^1.218</f>
        <v>0</v>
      </c>
      <c r="U161" s="29"/>
      <c r="V161" s="29"/>
      <c r="W161" s="109"/>
      <c r="X161" s="40"/>
    </row>
    <row r="162" spans="2:24" s="2" customFormat="1">
      <c r="B162" s="39"/>
      <c r="C162" s="75">
        <v>156</v>
      </c>
      <c r="D162" s="146">
        <f>ETo!$I161*((1-Constantes!$D$19)*ETo!$K161+ETo!$L161)</f>
        <v>2.4451304645330847</v>
      </c>
      <c r="E162" s="76">
        <f>MIN(D162*Constantes!$D$17,0.8*(H161+Observaciones!$F161-F162-G162-Constantes!$D$14))</f>
        <v>1.246732784106825</v>
      </c>
      <c r="F162" s="76">
        <f>IF(Observaciones!$F161&gt;0.05*Constantes!$D$18,((Observaciones!$F161-0.05*Constantes!$D$18)^2)/(Observaciones!$F161+0.95*Constantes!$D$18),0)</f>
        <v>0</v>
      </c>
      <c r="G162" s="76">
        <f>MAX(0,H161+Observaciones!$F161-F162-Constantes!$D$13)</f>
        <v>0</v>
      </c>
      <c r="H162" s="76">
        <f>H161+Observaciones!$F161-F162-E162-G162-I161</f>
        <v>17.434787989989065</v>
      </c>
      <c r="I162" s="76">
        <f>MAX(0,(H162-Constantes!$D$14)*(1-EXP(-Constantes!$D$22)))</f>
        <v>0.21067658376055284</v>
      </c>
      <c r="J162" s="76">
        <f t="shared" si="6"/>
        <v>103.03555794892122</v>
      </c>
      <c r="K162" s="76">
        <f>MAX(0,(J162-Constantes!$D$13)*(1-EXP(-Constantes!$D$23)))</f>
        <v>0.53488853228326594</v>
      </c>
      <c r="L162" s="76">
        <f t="shared" si="7"/>
        <v>0.74556511604381881</v>
      </c>
      <c r="M162" s="76">
        <f>0.0526*F162*Observaciones!$F161^1.218</f>
        <v>0</v>
      </c>
      <c r="N162" s="76">
        <f>M162*Constantes!$D$51</f>
        <v>0</v>
      </c>
      <c r="O162" s="76">
        <f t="shared" si="8"/>
        <v>0</v>
      </c>
      <c r="P162" s="15"/>
      <c r="Q162" s="75">
        <v>156</v>
      </c>
      <c r="R162" s="76">
        <f>0.0526*Observaciones!$F161^2.218</f>
        <v>0</v>
      </c>
      <c r="S162" s="76">
        <f>IF(Observaciones!$F161&gt;0.05*$W$7,((Observaciones!$F161-0.05*$W$7)^2)/(Observaciones!$F161+0.95*$W$7),0)</f>
        <v>0</v>
      </c>
      <c r="T162" s="76">
        <f>0.0526*S162*Observaciones!$F161^1.218</f>
        <v>0</v>
      </c>
      <c r="U162" s="29"/>
      <c r="V162" s="29"/>
      <c r="W162" s="109"/>
      <c r="X162" s="40"/>
    </row>
    <row r="163" spans="2:24" s="2" customFormat="1">
      <c r="B163" s="39"/>
      <c r="C163" s="75">
        <v>157</v>
      </c>
      <c r="D163" s="146">
        <f>ETo!$I162*((1-Constantes!$D$19)*ETo!$K162+ETo!$L162)</f>
        <v>2.5127884433137568</v>
      </c>
      <c r="E163" s="76">
        <f>MIN(D163*Constantes!$D$17,0.8*(H162+Observaciones!$F162-F163-G163-Constantes!$D$14))</f>
        <v>1.2812305017034094</v>
      </c>
      <c r="F163" s="76">
        <f>IF(Observaciones!$F162&gt;0.05*Constantes!$D$18,((Observaciones!$F162-0.05*Constantes!$D$18)^2)/(Observaciones!$F162+0.95*Constantes!$D$18),0)</f>
        <v>0</v>
      </c>
      <c r="G163" s="76">
        <f>MAX(0,H162+Observaciones!$F162-F163-Constantes!$D$13)</f>
        <v>0</v>
      </c>
      <c r="H163" s="76">
        <f>H162+Observaciones!$F162-F163-E163-G163-I162</f>
        <v>15.942880904525104</v>
      </c>
      <c r="I163" s="76">
        <f>MAX(0,(H163-Constantes!$D$14)*(1-EXP(-Constantes!$D$22)))</f>
        <v>0.15985675152661621</v>
      </c>
      <c r="J163" s="76">
        <f t="shared" si="6"/>
        <v>102.50066941663796</v>
      </c>
      <c r="K163" s="76">
        <f>MAX(0,(J163-Constantes!$D$13)*(1-EXP(-Constantes!$D$23)))</f>
        <v>0.52961814817415631</v>
      </c>
      <c r="L163" s="76">
        <f t="shared" si="7"/>
        <v>0.68947489970077247</v>
      </c>
      <c r="M163" s="76">
        <f>0.0526*F163*Observaciones!$F162^1.218</f>
        <v>0</v>
      </c>
      <c r="N163" s="76">
        <f>M163*Constantes!$D$51</f>
        <v>0</v>
      </c>
      <c r="O163" s="76">
        <f t="shared" si="8"/>
        <v>0</v>
      </c>
      <c r="P163" s="15"/>
      <c r="Q163" s="75">
        <v>157</v>
      </c>
      <c r="R163" s="76">
        <f>0.0526*Observaciones!$F162^2.218</f>
        <v>0</v>
      </c>
      <c r="S163" s="76">
        <f>IF(Observaciones!$F162&gt;0.05*$W$7,((Observaciones!$F162-0.05*$W$7)^2)/(Observaciones!$F162+0.95*$W$7),0)</f>
        <v>0</v>
      </c>
      <c r="T163" s="76">
        <f>0.0526*S163*Observaciones!$F162^1.218</f>
        <v>0</v>
      </c>
      <c r="U163" s="29"/>
      <c r="V163" s="29"/>
      <c r="W163" s="109"/>
      <c r="X163" s="40"/>
    </row>
    <row r="164" spans="2:24" s="2" customFormat="1">
      <c r="B164" s="39"/>
      <c r="C164" s="75">
        <v>158</v>
      </c>
      <c r="D164" s="146">
        <f>ETo!$I163*((1-Constantes!$D$19)*ETo!$K163+ETo!$L163)</f>
        <v>2.4452517678504488</v>
      </c>
      <c r="E164" s="76">
        <f>MIN(D164*Constantes!$D$17,0.8*(H163+Observaciones!$F163-F164-G164-Constantes!$D$14))</f>
        <v>1.2467946347216581</v>
      </c>
      <c r="F164" s="76">
        <f>IF(Observaciones!$F163&gt;0.05*Constantes!$D$18,((Observaciones!$F163-0.05*Constantes!$D$18)^2)/(Observaciones!$F163+0.95*Constantes!$D$18),0)</f>
        <v>0</v>
      </c>
      <c r="G164" s="76">
        <f>MAX(0,H163+Observaciones!$F163-F164-Constantes!$D$13)</f>
        <v>0</v>
      </c>
      <c r="H164" s="76">
        <f>H163+Observaciones!$F163-F164-E164-G164-I163</f>
        <v>14.53622951827683</v>
      </c>
      <c r="I164" s="76">
        <f>MAX(0,(H164-Constantes!$D$14)*(1-EXP(-Constantes!$D$22)))</f>
        <v>0.11194104138804503</v>
      </c>
      <c r="J164" s="76">
        <f t="shared" si="6"/>
        <v>101.97105126846381</v>
      </c>
      <c r="K164" s="76">
        <f>MAX(0,(J164-Constantes!$D$13)*(1-EXP(-Constantes!$D$23)))</f>
        <v>0.52439969441498147</v>
      </c>
      <c r="L164" s="76">
        <f t="shared" si="7"/>
        <v>0.63634073580302652</v>
      </c>
      <c r="M164" s="76">
        <f>0.0526*F164*Observaciones!$F163^1.218</f>
        <v>0</v>
      </c>
      <c r="N164" s="76">
        <f>M164*Constantes!$D$51</f>
        <v>0</v>
      </c>
      <c r="O164" s="76">
        <f t="shared" si="8"/>
        <v>0</v>
      </c>
      <c r="P164" s="15"/>
      <c r="Q164" s="75">
        <v>158</v>
      </c>
      <c r="R164" s="76">
        <f>0.0526*Observaciones!$F163^2.218</f>
        <v>0</v>
      </c>
      <c r="S164" s="76">
        <f>IF(Observaciones!$F163&gt;0.05*$W$7,((Observaciones!$F163-0.05*$W$7)^2)/(Observaciones!$F163+0.95*$W$7),0)</f>
        <v>0</v>
      </c>
      <c r="T164" s="76">
        <f>0.0526*S164*Observaciones!$F163^1.218</f>
        <v>0</v>
      </c>
      <c r="U164" s="29"/>
      <c r="V164" s="29"/>
      <c r="W164" s="109"/>
      <c r="X164" s="40"/>
    </row>
    <row r="165" spans="2:24" s="2" customFormat="1">
      <c r="B165" s="39"/>
      <c r="C165" s="75">
        <v>159</v>
      </c>
      <c r="D165" s="146">
        <f>ETo!$I164*((1-Constantes!$D$19)*ETo!$K164+ETo!$L164)</f>
        <v>2.4673826589887082</v>
      </c>
      <c r="E165" s="76">
        <f>MIN(D165*Constantes!$D$17,0.8*(H164+Observaciones!$F164-F165-G165-Constantes!$D$14))</f>
        <v>1.2580788209537559</v>
      </c>
      <c r="F165" s="76">
        <f>IF(Observaciones!$F164&gt;0.05*Constantes!$D$18,((Observaciones!$F164-0.05*Constantes!$D$18)^2)/(Observaciones!$F164+0.95*Constantes!$D$18),0)</f>
        <v>0</v>
      </c>
      <c r="G165" s="76">
        <f>MAX(0,H164+Observaciones!$F164-F165-Constantes!$D$13)</f>
        <v>0</v>
      </c>
      <c r="H165" s="76">
        <f>H164+Observaciones!$F164-F165-E165-G165-I164</f>
        <v>13.166209655935029</v>
      </c>
      <c r="I165" s="76">
        <f>MAX(0,(H165-Constantes!$D$14)*(1-EXP(-Constantes!$D$22)))</f>
        <v>6.5273135430805623E-2</v>
      </c>
      <c r="J165" s="76">
        <f t="shared" si="6"/>
        <v>101.44665157404883</v>
      </c>
      <c r="K165" s="76">
        <f>MAX(0,(J165-Constantes!$D$13)*(1-EXP(-Constantes!$D$23)))</f>
        <v>0.5192326593236346</v>
      </c>
      <c r="L165" s="76">
        <f t="shared" si="7"/>
        <v>0.5845057947544402</v>
      </c>
      <c r="M165" s="76">
        <f>0.0526*F165*Observaciones!$F164^1.218</f>
        <v>0</v>
      </c>
      <c r="N165" s="76">
        <f>M165*Constantes!$D$51</f>
        <v>0</v>
      </c>
      <c r="O165" s="76">
        <f t="shared" si="8"/>
        <v>0</v>
      </c>
      <c r="P165" s="15"/>
      <c r="Q165" s="75">
        <v>159</v>
      </c>
      <c r="R165" s="76">
        <f>0.0526*Observaciones!$F164^2.218</f>
        <v>0</v>
      </c>
      <c r="S165" s="76">
        <f>IF(Observaciones!$F164&gt;0.05*$W$7,((Observaciones!$F164-0.05*$W$7)^2)/(Observaciones!$F164+0.95*$W$7),0)</f>
        <v>0</v>
      </c>
      <c r="T165" s="76">
        <f>0.0526*S165*Observaciones!$F164^1.218</f>
        <v>0</v>
      </c>
      <c r="U165" s="29"/>
      <c r="V165" s="29"/>
      <c r="W165" s="109"/>
      <c r="X165" s="40"/>
    </row>
    <row r="166" spans="2:24" s="2" customFormat="1">
      <c r="B166" s="39"/>
      <c r="C166" s="75">
        <v>160</v>
      </c>
      <c r="D166" s="146">
        <f>ETo!$I165*((1-Constantes!$D$19)*ETo!$K165+ETo!$L165)</f>
        <v>2.3365203381372397</v>
      </c>
      <c r="E166" s="76">
        <f>MIN(D166*Constantes!$D$17,0.8*(H165+Observaciones!$F165-F166-G166-Constantes!$D$14))</f>
        <v>1.1913542236464352</v>
      </c>
      <c r="F166" s="76">
        <f>IF(Observaciones!$F165&gt;0.05*Constantes!$D$18,((Observaciones!$F165-0.05*Constantes!$D$18)^2)/(Observaciones!$F165+0.95*Constantes!$D$18),0)</f>
        <v>0</v>
      </c>
      <c r="G166" s="76">
        <f>MAX(0,H165+Observaciones!$F165-F166-Constantes!$D$13)</f>
        <v>0</v>
      </c>
      <c r="H166" s="76">
        <f>H165+Observaciones!$F165-F166-E166-G166-I165</f>
        <v>13.609582296857788</v>
      </c>
      <c r="I166" s="76">
        <f>MAX(0,(H166-Constantes!$D$14)*(1-EXP(-Constantes!$D$22)))</f>
        <v>8.0376035234921012E-2</v>
      </c>
      <c r="J166" s="76">
        <f t="shared" si="6"/>
        <v>100.92741891472519</v>
      </c>
      <c r="K166" s="76">
        <f>MAX(0,(J166-Constantes!$D$13)*(1-EXP(-Constantes!$D$23)))</f>
        <v>0.51411653625973452</v>
      </c>
      <c r="L166" s="76">
        <f t="shared" si="7"/>
        <v>0.59449257149465551</v>
      </c>
      <c r="M166" s="76">
        <f>0.0526*F166*Observaciones!$F165^1.218</f>
        <v>0</v>
      </c>
      <c r="N166" s="76">
        <f>M166*Constantes!$D$51</f>
        <v>0</v>
      </c>
      <c r="O166" s="76">
        <f t="shared" si="8"/>
        <v>0</v>
      </c>
      <c r="P166" s="15"/>
      <c r="Q166" s="75">
        <v>160</v>
      </c>
      <c r="R166" s="76">
        <f>0.0526*Observaciones!$F165^2.218</f>
        <v>0.17065595668433275</v>
      </c>
      <c r="S166" s="76">
        <f>IF(Observaciones!$F165&gt;0.05*$W$7,((Observaciones!$F165-0.05*$W$7)^2)/(Observaciones!$F165+0.95*$W$7),0)</f>
        <v>0</v>
      </c>
      <c r="T166" s="76">
        <f>0.0526*S166*Observaciones!$F165^1.218</f>
        <v>0</v>
      </c>
      <c r="U166" s="29"/>
      <c r="V166" s="29"/>
      <c r="W166" s="109"/>
      <c r="X166" s="40"/>
    </row>
    <row r="167" spans="2:24" s="2" customFormat="1">
      <c r="B167" s="39"/>
      <c r="C167" s="75">
        <v>161</v>
      </c>
      <c r="D167" s="146">
        <f>ETo!$I166*((1-Constantes!$D$19)*ETo!$K166+ETo!$L166)</f>
        <v>2.2864219040821494</v>
      </c>
      <c r="E167" s="76">
        <f>MIN(D167*Constantes!$D$17,0.8*(H166+Observaciones!$F166-F167-G167-Constantes!$D$14))</f>
        <v>1.1658098361076616</v>
      </c>
      <c r="F167" s="76">
        <f>IF(Observaciones!$F166&gt;0.05*Constantes!$D$18,((Observaciones!$F166-0.05*Constantes!$D$18)^2)/(Observaciones!$F166+0.95*Constantes!$D$18),0)</f>
        <v>0</v>
      </c>
      <c r="G167" s="76">
        <f>MAX(0,H166+Observaciones!$F166-F167-Constantes!$D$13)</f>
        <v>0</v>
      </c>
      <c r="H167" s="76">
        <f>H166+Observaciones!$F166-F167-E167-G167-I166</f>
        <v>13.663396425515204</v>
      </c>
      <c r="I167" s="76">
        <f>MAX(0,(H167-Constantes!$D$14)*(1-EXP(-Constantes!$D$22)))</f>
        <v>8.2209142012703282E-2</v>
      </c>
      <c r="J167" s="76">
        <f t="shared" si="6"/>
        <v>100.41330237846546</v>
      </c>
      <c r="K167" s="76">
        <f>MAX(0,(J167-Constantes!$D$13)*(1-EXP(-Constantes!$D$23)))</f>
        <v>0.50905082357494869</v>
      </c>
      <c r="L167" s="76">
        <f t="shared" si="7"/>
        <v>0.59125996558765193</v>
      </c>
      <c r="M167" s="76">
        <f>0.0526*F167*Observaciones!$F166^1.218</f>
        <v>0</v>
      </c>
      <c r="N167" s="76">
        <f>M167*Constantes!$D$51</f>
        <v>0</v>
      </c>
      <c r="O167" s="76">
        <f t="shared" si="8"/>
        <v>0</v>
      </c>
      <c r="P167" s="15"/>
      <c r="Q167" s="75">
        <v>161</v>
      </c>
      <c r="R167" s="76">
        <f>0.0526*Observaciones!$F166^2.218</f>
        <v>9.412654104711686E-2</v>
      </c>
      <c r="S167" s="76">
        <f>IF(Observaciones!$F166&gt;0.05*$W$7,((Observaciones!$F166-0.05*$W$7)^2)/(Observaciones!$F166+0.95*$W$7),0)</f>
        <v>0</v>
      </c>
      <c r="T167" s="76">
        <f>0.0526*S167*Observaciones!$F166^1.218</f>
        <v>0</v>
      </c>
      <c r="U167" s="29"/>
      <c r="V167" s="29"/>
      <c r="W167" s="109"/>
      <c r="X167" s="40"/>
    </row>
    <row r="168" spans="2:24" s="2" customFormat="1">
      <c r="B168" s="39"/>
      <c r="C168" s="75">
        <v>162</v>
      </c>
      <c r="D168" s="146">
        <f>ETo!$I167*((1-Constantes!$D$19)*ETo!$K167+ETo!$L167)</f>
        <v>2.3708828758287606</v>
      </c>
      <c r="E168" s="76">
        <f>MIN(D168*Constantes!$D$17,0.8*(H167+Observaciones!$F167-F168-G168-Constantes!$D$14))</f>
        <v>1.2088751301610521</v>
      </c>
      <c r="F168" s="76">
        <f>IF(Observaciones!$F167&gt;0.05*Constantes!$D$18,((Observaciones!$F167-0.05*Constantes!$D$18)^2)/(Observaciones!$F167+0.95*Constantes!$D$18),0)</f>
        <v>0</v>
      </c>
      <c r="G168" s="76">
        <f>MAX(0,H167+Observaciones!$F167-F168-Constantes!$D$13)</f>
        <v>0</v>
      </c>
      <c r="H168" s="76">
        <f>H167+Observaciones!$F167-F168-E168-G168-I167</f>
        <v>12.67231215334145</v>
      </c>
      <c r="I168" s="76">
        <f>MAX(0,(H168-Constantes!$D$14)*(1-EXP(-Constantes!$D$22)))</f>
        <v>4.8449173357617704E-2</v>
      </c>
      <c r="J168" s="76">
        <f t="shared" si="6"/>
        <v>99.904251554890507</v>
      </c>
      <c r="K168" s="76">
        <f>MAX(0,(J168-Constantes!$D$13)*(1-EXP(-Constantes!$D$23)))</f>
        <v>0.50403502456380478</v>
      </c>
      <c r="L168" s="76">
        <f t="shared" si="7"/>
        <v>0.55248419792142245</v>
      </c>
      <c r="M168" s="76">
        <f>0.0526*F168*Observaciones!$F167^1.218</f>
        <v>0</v>
      </c>
      <c r="N168" s="76">
        <f>M168*Constantes!$D$51</f>
        <v>0</v>
      </c>
      <c r="O168" s="76">
        <f t="shared" si="8"/>
        <v>0</v>
      </c>
      <c r="P168" s="15"/>
      <c r="Q168" s="75">
        <v>162</v>
      </c>
      <c r="R168" s="76">
        <f>0.0526*Observaciones!$F167^2.218</f>
        <v>3.6411677467564265E-3</v>
      </c>
      <c r="S168" s="76">
        <f>IF(Observaciones!$F167&gt;0.05*$W$7,((Observaciones!$F167-0.05*$W$7)^2)/(Observaciones!$F167+0.95*$W$7),0)</f>
        <v>0</v>
      </c>
      <c r="T168" s="76">
        <f>0.0526*S168*Observaciones!$F167^1.218</f>
        <v>0</v>
      </c>
      <c r="U168" s="29"/>
      <c r="V168" s="29"/>
      <c r="W168" s="109"/>
      <c r="X168" s="40"/>
    </row>
    <row r="169" spans="2:24" s="2" customFormat="1">
      <c r="B169" s="39"/>
      <c r="C169" s="75">
        <v>163</v>
      </c>
      <c r="D169" s="146">
        <f>ETo!$I168*((1-Constantes!$D$19)*ETo!$K168+ETo!$L168)</f>
        <v>2.4653293804885732</v>
      </c>
      <c r="E169" s="76">
        <f>MIN(D169*Constantes!$D$17,0.8*(H168+Observaciones!$F168-F169-G169-Constantes!$D$14))</f>
        <v>1.1378497226731596</v>
      </c>
      <c r="F169" s="76">
        <f>IF(Observaciones!$F168&gt;0.05*Constantes!$D$18,((Observaciones!$F168-0.05*Constantes!$D$18)^2)/(Observaciones!$F168+0.95*Constantes!$D$18),0)</f>
        <v>0</v>
      </c>
      <c r="G169" s="76">
        <f>MAX(0,H168+Observaciones!$F168-F169-Constantes!$D$13)</f>
        <v>0</v>
      </c>
      <c r="H169" s="76">
        <f>H168+Observaciones!$F168-F169-E169-G169-I168</f>
        <v>11.486013257310672</v>
      </c>
      <c r="I169" s="76">
        <f>MAX(0,(H169-Constantes!$D$14)*(1-EXP(-Constantes!$D$22)))</f>
        <v>8.0394779664065153E-3</v>
      </c>
      <c r="J169" s="76">
        <f t="shared" si="6"/>
        <v>99.400216530326702</v>
      </c>
      <c r="K169" s="76">
        <f>MAX(0,(J169-Constantes!$D$13)*(1-EXP(-Constantes!$D$23)))</f>
        <v>0.49906864741498802</v>
      </c>
      <c r="L169" s="76">
        <f t="shared" si="7"/>
        <v>0.50710812538139449</v>
      </c>
      <c r="M169" s="76">
        <f>0.0526*F169*Observaciones!$F168^1.218</f>
        <v>0</v>
      </c>
      <c r="N169" s="76">
        <f>M169*Constantes!$D$51</f>
        <v>0</v>
      </c>
      <c r="O169" s="76">
        <f t="shared" si="8"/>
        <v>0</v>
      </c>
      <c r="P169" s="15"/>
      <c r="Q169" s="75">
        <v>163</v>
      </c>
      <c r="R169" s="76">
        <f>0.0526*Observaciones!$F168^2.218</f>
        <v>0</v>
      </c>
      <c r="S169" s="76">
        <f>IF(Observaciones!$F168&gt;0.05*$W$7,((Observaciones!$F168-0.05*$W$7)^2)/(Observaciones!$F168+0.95*$W$7),0)</f>
        <v>0</v>
      </c>
      <c r="T169" s="76">
        <f>0.0526*S169*Observaciones!$F168^1.218</f>
        <v>0</v>
      </c>
      <c r="U169" s="29"/>
      <c r="V169" s="29"/>
      <c r="W169" s="109"/>
      <c r="X169" s="40"/>
    </row>
    <row r="170" spans="2:24" s="2" customFormat="1">
      <c r="B170" s="39"/>
      <c r="C170" s="75">
        <v>164</v>
      </c>
      <c r="D170" s="146">
        <f>ETo!$I169*((1-Constantes!$D$19)*ETo!$K169+ETo!$L169)</f>
        <v>2.3311242056241626</v>
      </c>
      <c r="E170" s="76">
        <f>MIN(D170*Constantes!$D$17,0.8*(H169+Observaciones!$F169-F170-G170-Constantes!$D$14))</f>
        <v>0.1888106058485377</v>
      </c>
      <c r="F170" s="76">
        <f>IF(Observaciones!$F169&gt;0.05*Constantes!$D$18,((Observaciones!$F169-0.05*Constantes!$D$18)^2)/(Observaciones!$F169+0.95*Constantes!$D$18),0)</f>
        <v>0</v>
      </c>
      <c r="G170" s="76">
        <f>MAX(0,H169+Observaciones!$F169-F170-Constantes!$D$13)</f>
        <v>0</v>
      </c>
      <c r="H170" s="76">
        <f>H169+Observaciones!$F169-F170-E170-G170-I169</f>
        <v>11.289163173495728</v>
      </c>
      <c r="I170" s="76">
        <f>MAX(0,(H170-Constantes!$D$14)*(1-EXP(-Constantes!$D$22)))</f>
        <v>1.3340414602176932E-3</v>
      </c>
      <c r="J170" s="76">
        <f t="shared" si="6"/>
        <v>98.901147882911715</v>
      </c>
      <c r="K170" s="76">
        <f>MAX(0,(J170-Constantes!$D$13)*(1-EXP(-Constantes!$D$23)))</f>
        <v>0.49415120516311739</v>
      </c>
      <c r="L170" s="76">
        <f t="shared" si="7"/>
        <v>0.4954852466233351</v>
      </c>
      <c r="M170" s="76">
        <f>0.0526*F170*Observaciones!$F169^1.218</f>
        <v>0</v>
      </c>
      <c r="N170" s="76">
        <f>M170*Constantes!$D$51</f>
        <v>0</v>
      </c>
      <c r="O170" s="76">
        <f t="shared" si="8"/>
        <v>0</v>
      </c>
      <c r="P170" s="15"/>
      <c r="Q170" s="75">
        <v>164</v>
      </c>
      <c r="R170" s="76">
        <f>0.0526*Observaciones!$F169^2.218</f>
        <v>0</v>
      </c>
      <c r="S170" s="76">
        <f>IF(Observaciones!$F169&gt;0.05*$W$7,((Observaciones!$F169-0.05*$W$7)^2)/(Observaciones!$F169+0.95*$W$7),0)</f>
        <v>0</v>
      </c>
      <c r="T170" s="76">
        <f>0.0526*S170*Observaciones!$F169^1.218</f>
        <v>0</v>
      </c>
      <c r="U170" s="29"/>
      <c r="V170" s="29"/>
      <c r="W170" s="109"/>
      <c r="X170" s="40"/>
    </row>
    <row r="171" spans="2:24" s="2" customFormat="1">
      <c r="B171" s="39"/>
      <c r="C171" s="75">
        <v>165</v>
      </c>
      <c r="D171" s="146">
        <f>ETo!$I170*((1-Constantes!$D$19)*ETo!$K170+ETo!$L170)</f>
        <v>2.3945445359408759</v>
      </c>
      <c r="E171" s="76">
        <f>MIN(D171*Constantes!$D$17,0.8*(H170+Observaciones!$F170-F171-G171-Constantes!$D$14))</f>
        <v>3.1330538796582631E-2</v>
      </c>
      <c r="F171" s="76">
        <f>IF(Observaciones!$F170&gt;0.05*Constantes!$D$18,((Observaciones!$F170-0.05*Constantes!$D$18)^2)/(Observaciones!$F170+0.95*Constantes!$D$18),0)</f>
        <v>0</v>
      </c>
      <c r="G171" s="76">
        <f>MAX(0,H170+Observaciones!$F170-F171-Constantes!$D$13)</f>
        <v>0</v>
      </c>
      <c r="H171" s="76">
        <f>H170+Observaciones!$F170-F171-E171-G171-I170</f>
        <v>11.256498593238927</v>
      </c>
      <c r="I171" s="76">
        <f>MAX(0,(H171-Constantes!$D$14)*(1-EXP(-Constantes!$D$22)))</f>
        <v>2.2136594254203114E-4</v>
      </c>
      <c r="J171" s="76">
        <f t="shared" si="6"/>
        <v>98.406996677748594</v>
      </c>
      <c r="K171" s="76">
        <f>MAX(0,(J171-Constantes!$D$13)*(1-EXP(-Constantes!$D$23)))</f>
        <v>0.48928221564099789</v>
      </c>
      <c r="L171" s="76">
        <f t="shared" si="7"/>
        <v>0.4895035815835399</v>
      </c>
      <c r="M171" s="76">
        <f>0.0526*F171*Observaciones!$F170^1.218</f>
        <v>0</v>
      </c>
      <c r="N171" s="76">
        <f>M171*Constantes!$D$51</f>
        <v>0</v>
      </c>
      <c r="O171" s="76">
        <f t="shared" si="8"/>
        <v>0</v>
      </c>
      <c r="P171" s="15"/>
      <c r="Q171" s="75">
        <v>165</v>
      </c>
      <c r="R171" s="76">
        <f>0.0526*Observaciones!$F170^2.218</f>
        <v>0</v>
      </c>
      <c r="S171" s="76">
        <f>IF(Observaciones!$F170&gt;0.05*$W$7,((Observaciones!$F170-0.05*$W$7)^2)/(Observaciones!$F170+0.95*$W$7),0)</f>
        <v>0</v>
      </c>
      <c r="T171" s="76">
        <f>0.0526*S171*Observaciones!$F170^1.218</f>
        <v>0</v>
      </c>
      <c r="U171" s="29"/>
      <c r="V171" s="29"/>
      <c r="W171" s="109"/>
      <c r="X171" s="40"/>
    </row>
    <row r="172" spans="2:24" s="2" customFormat="1">
      <c r="B172" s="39"/>
      <c r="C172" s="75">
        <v>166</v>
      </c>
      <c r="D172" s="146">
        <f>ETo!$I171*((1-Constantes!$D$19)*ETo!$K171+ETo!$L171)</f>
        <v>2.3017285418733526</v>
      </c>
      <c r="E172" s="76">
        <f>MIN(D172*Constantes!$D$17,0.8*(H171+Observaciones!$F171-F172-G172-Constantes!$D$14))</f>
        <v>5.1988745911415897E-3</v>
      </c>
      <c r="F172" s="76">
        <f>IF(Observaciones!$F171&gt;0.05*Constantes!$D$18,((Observaciones!$F171-0.05*Constantes!$D$18)^2)/(Observaciones!$F171+0.95*Constantes!$D$18),0)</f>
        <v>0</v>
      </c>
      <c r="G172" s="76">
        <f>MAX(0,H171+Observaciones!$F171-F172-Constantes!$D$13)</f>
        <v>0</v>
      </c>
      <c r="H172" s="76">
        <f>H171+Observaciones!$F171-F172-E172-G172-I171</f>
        <v>11.251078352705244</v>
      </c>
      <c r="I172" s="76">
        <f>MAX(0,(H172-Constantes!$D$14)*(1-EXP(-Constantes!$D$22)))</f>
        <v>3.673265185444328E-5</v>
      </c>
      <c r="J172" s="76">
        <f t="shared" si="6"/>
        <v>97.917714462107597</v>
      </c>
      <c r="K172" s="76">
        <f>MAX(0,(J172-Constantes!$D$13)*(1-EXP(-Constantes!$D$23)))</f>
        <v>0.48446120143234278</v>
      </c>
      <c r="L172" s="76">
        <f t="shared" si="7"/>
        <v>0.48449793408419722</v>
      </c>
      <c r="M172" s="76">
        <f>0.0526*F172*Observaciones!$F171^1.218</f>
        <v>0</v>
      </c>
      <c r="N172" s="76">
        <f>M172*Constantes!$D$51</f>
        <v>0</v>
      </c>
      <c r="O172" s="76">
        <f t="shared" si="8"/>
        <v>0</v>
      </c>
      <c r="P172" s="15"/>
      <c r="Q172" s="75">
        <v>166</v>
      </c>
      <c r="R172" s="76">
        <f>0.0526*Observaciones!$F171^2.218</f>
        <v>0</v>
      </c>
      <c r="S172" s="76">
        <f>IF(Observaciones!$F171&gt;0.05*$W$7,((Observaciones!$F171-0.05*$W$7)^2)/(Observaciones!$F171+0.95*$W$7),0)</f>
        <v>0</v>
      </c>
      <c r="T172" s="76">
        <f>0.0526*S172*Observaciones!$F171^1.218</f>
        <v>0</v>
      </c>
      <c r="U172" s="29"/>
      <c r="V172" s="29"/>
      <c r="W172" s="109"/>
      <c r="X172" s="40"/>
    </row>
    <row r="173" spans="2:24" s="2" customFormat="1">
      <c r="B173" s="39"/>
      <c r="C173" s="75">
        <v>167</v>
      </c>
      <c r="D173" s="146">
        <f>ETo!$I172*((1-Constantes!$D$19)*ETo!$K172+ETo!$L172)</f>
        <v>2.3936722399723354</v>
      </c>
      <c r="E173" s="76">
        <f>MIN(D173*Constantes!$D$17,0.8*(H172+Observaciones!$F172-F173-G173-Constantes!$D$14))</f>
        <v>8.6268216419540524E-4</v>
      </c>
      <c r="F173" s="76">
        <f>IF(Observaciones!$F172&gt;0.05*Constantes!$D$18,((Observaciones!$F172-0.05*Constantes!$D$18)^2)/(Observaciones!$F172+0.95*Constantes!$D$18),0)</f>
        <v>0</v>
      </c>
      <c r="G173" s="76">
        <f>MAX(0,H172+Observaciones!$F172-F173-Constantes!$D$13)</f>
        <v>0</v>
      </c>
      <c r="H173" s="76">
        <f>H172+Observaciones!$F172-F173-E173-G173-I172</f>
        <v>11.250178937889194</v>
      </c>
      <c r="I173" s="76">
        <f>MAX(0,(H173-Constantes!$D$14)*(1-EXP(-Constantes!$D$22)))</f>
        <v>6.095281400382594E-6</v>
      </c>
      <c r="J173" s="76">
        <f t="shared" si="6"/>
        <v>97.433253260675258</v>
      </c>
      <c r="K173" s="76">
        <f>MAX(0,(J173-Constantes!$D$13)*(1-EXP(-Constantes!$D$23)))</f>
        <v>0.47968768982496174</v>
      </c>
      <c r="L173" s="76">
        <f t="shared" si="7"/>
        <v>0.47969378510636212</v>
      </c>
      <c r="M173" s="76">
        <f>0.0526*F173*Observaciones!$F172^1.218</f>
        <v>0</v>
      </c>
      <c r="N173" s="76">
        <f>M173*Constantes!$D$51</f>
        <v>0</v>
      </c>
      <c r="O173" s="76">
        <f t="shared" si="8"/>
        <v>0</v>
      </c>
      <c r="P173" s="15"/>
      <c r="Q173" s="75">
        <v>167</v>
      </c>
      <c r="R173" s="76">
        <f>0.0526*Observaciones!$F172^2.218</f>
        <v>0</v>
      </c>
      <c r="S173" s="76">
        <f>IF(Observaciones!$F172&gt;0.05*$W$7,((Observaciones!$F172-0.05*$W$7)^2)/(Observaciones!$F172+0.95*$W$7),0)</f>
        <v>0</v>
      </c>
      <c r="T173" s="76">
        <f>0.0526*S173*Observaciones!$F172^1.218</f>
        <v>0</v>
      </c>
      <c r="U173" s="29"/>
      <c r="V173" s="29"/>
      <c r="W173" s="109"/>
      <c r="X173" s="40"/>
    </row>
    <row r="174" spans="2:24" s="2" customFormat="1">
      <c r="B174" s="39"/>
      <c r="C174" s="75">
        <v>168</v>
      </c>
      <c r="D174" s="146">
        <f>ETo!$I173*((1-Constantes!$D$19)*ETo!$K173+ETo!$L173)</f>
        <v>2.3323721021739772</v>
      </c>
      <c r="E174" s="76">
        <f>MIN(D174*Constantes!$D$17,0.8*(H173+Observaciones!$F173-F174-G174-Constantes!$D$14))</f>
        <v>1.4315031135510027E-4</v>
      </c>
      <c r="F174" s="76">
        <f>IF(Observaciones!$F173&gt;0.05*Constantes!$D$18,((Observaciones!$F173-0.05*Constantes!$D$18)^2)/(Observaciones!$F173+0.95*Constantes!$D$18),0)</f>
        <v>0</v>
      </c>
      <c r="G174" s="76">
        <f>MAX(0,H173+Observaciones!$F173-F174-Constantes!$D$13)</f>
        <v>0</v>
      </c>
      <c r="H174" s="76">
        <f>H173+Observaciones!$F173-F174-E174-G174-I173</f>
        <v>11.250029692296438</v>
      </c>
      <c r="I174" s="76">
        <f>MAX(0,(H174-Constantes!$D$14)*(1-EXP(-Constantes!$D$22)))</f>
        <v>1.0114286193455078E-6</v>
      </c>
      <c r="J174" s="76">
        <f t="shared" si="6"/>
        <v>96.953565570850301</v>
      </c>
      <c r="K174" s="76">
        <f>MAX(0,(J174-Constantes!$D$13)*(1-EXP(-Constantes!$D$23)))</f>
        <v>0.47496121276441017</v>
      </c>
      <c r="L174" s="76">
        <f t="shared" si="7"/>
        <v>0.47496222419302953</v>
      </c>
      <c r="M174" s="76">
        <f>0.0526*F174*Observaciones!$F173^1.218</f>
        <v>0</v>
      </c>
      <c r="N174" s="76">
        <f>M174*Constantes!$D$51</f>
        <v>0</v>
      </c>
      <c r="O174" s="76">
        <f t="shared" si="8"/>
        <v>0</v>
      </c>
      <c r="P174" s="15"/>
      <c r="Q174" s="75">
        <v>168</v>
      </c>
      <c r="R174" s="76">
        <f>0.0526*Observaciones!$F173^2.218</f>
        <v>0</v>
      </c>
      <c r="S174" s="76">
        <f>IF(Observaciones!$F173&gt;0.05*$W$7,((Observaciones!$F173-0.05*$W$7)^2)/(Observaciones!$F173+0.95*$W$7),0)</f>
        <v>0</v>
      </c>
      <c r="T174" s="76">
        <f>0.0526*S174*Observaciones!$F173^1.218</f>
        <v>0</v>
      </c>
      <c r="U174" s="29"/>
      <c r="V174" s="29"/>
      <c r="W174" s="109"/>
      <c r="X174" s="40"/>
    </row>
    <row r="175" spans="2:24" s="2" customFormat="1">
      <c r="B175" s="39"/>
      <c r="C175" s="75">
        <v>169</v>
      </c>
      <c r="D175" s="146">
        <f>ETo!$I174*((1-Constantes!$D$19)*ETo!$K174+ETo!$L174)</f>
        <v>2.3163998484727317</v>
      </c>
      <c r="E175" s="76">
        <f>MIN(D175*Constantes!$D$17,0.8*(H174+Observaciones!$F174-F175-G175-Constantes!$D$14))</f>
        <v>2.3753837150763957E-5</v>
      </c>
      <c r="F175" s="76">
        <f>IF(Observaciones!$F174&gt;0.05*Constantes!$D$18,((Observaciones!$F174-0.05*Constantes!$D$18)^2)/(Observaciones!$F174+0.95*Constantes!$D$18),0)</f>
        <v>0</v>
      </c>
      <c r="G175" s="76">
        <f>MAX(0,H174+Observaciones!$F174-F175-Constantes!$D$13)</f>
        <v>0</v>
      </c>
      <c r="H175" s="76">
        <f>H174+Observaciones!$F174-F175-E175-G175-I174</f>
        <v>11.250004927030668</v>
      </c>
      <c r="I175" s="76">
        <f>MAX(0,(H175-Constantes!$D$14)*(1-EXP(-Constantes!$D$22)))</f>
        <v>1.6783275204856322E-7</v>
      </c>
      <c r="J175" s="76">
        <f t="shared" si="6"/>
        <v>96.478604358085889</v>
      </c>
      <c r="K175" s="76">
        <f>MAX(0,(J175-Constantes!$D$13)*(1-EXP(-Constantes!$D$23)))</f>
        <v>0.47028130680809521</v>
      </c>
      <c r="L175" s="76">
        <f t="shared" si="7"/>
        <v>0.47028147464084724</v>
      </c>
      <c r="M175" s="76">
        <f>0.0526*F175*Observaciones!$F174^1.218</f>
        <v>0</v>
      </c>
      <c r="N175" s="76">
        <f>M175*Constantes!$D$51</f>
        <v>0</v>
      </c>
      <c r="O175" s="76">
        <f t="shared" si="8"/>
        <v>0</v>
      </c>
      <c r="P175" s="15"/>
      <c r="Q175" s="75">
        <v>169</v>
      </c>
      <c r="R175" s="76">
        <f>0.0526*Observaciones!$F174^2.218</f>
        <v>0</v>
      </c>
      <c r="S175" s="76">
        <f>IF(Observaciones!$F174&gt;0.05*$W$7,((Observaciones!$F174-0.05*$W$7)^2)/(Observaciones!$F174+0.95*$W$7),0)</f>
        <v>0</v>
      </c>
      <c r="T175" s="76">
        <f>0.0526*S175*Observaciones!$F174^1.218</f>
        <v>0</v>
      </c>
      <c r="U175" s="29"/>
      <c r="V175" s="29"/>
      <c r="W175" s="109"/>
      <c r="X175" s="40"/>
    </row>
    <row r="176" spans="2:24" s="2" customFormat="1">
      <c r="B176" s="39"/>
      <c r="C176" s="75">
        <v>170</v>
      </c>
      <c r="D176" s="146">
        <f>ETo!$I175*((1-Constantes!$D$19)*ETo!$K175+ETo!$L175)</f>
        <v>2.3203007934073701</v>
      </c>
      <c r="E176" s="76">
        <f>MIN(D176*Constantes!$D$17,0.8*(H175+Observaciones!$F175-F176-G176-Constantes!$D$14))</f>
        <v>3.9416245343204537E-6</v>
      </c>
      <c r="F176" s="76">
        <f>IF(Observaciones!$F175&gt;0.05*Constantes!$D$18,((Observaciones!$F175-0.05*Constantes!$D$18)^2)/(Observaciones!$F175+0.95*Constantes!$D$18),0)</f>
        <v>0</v>
      </c>
      <c r="G176" s="76">
        <f>MAX(0,H175+Observaciones!$F175-F176-Constantes!$D$13)</f>
        <v>0</v>
      </c>
      <c r="H176" s="76">
        <f>H175+Observaciones!$F175-F176-E176-G176-I175</f>
        <v>11.250000817573381</v>
      </c>
      <c r="I176" s="76">
        <f>MAX(0,(H176-Constantes!$D$14)*(1-EXP(-Constantes!$D$22)))</f>
        <v>2.7849550745164672E-8</v>
      </c>
      <c r="J176" s="76">
        <f t="shared" si="6"/>
        <v>96.008323051277799</v>
      </c>
      <c r="K176" s="76">
        <f>MAX(0,(J176-Constantes!$D$13)*(1-EXP(-Constantes!$D$23)))</f>
        <v>0.46564751307983465</v>
      </c>
      <c r="L176" s="76">
        <f t="shared" si="7"/>
        <v>0.46564754092938537</v>
      </c>
      <c r="M176" s="76">
        <f>0.0526*F176*Observaciones!$F175^1.218</f>
        <v>0</v>
      </c>
      <c r="N176" s="76">
        <f>M176*Constantes!$D$51</f>
        <v>0</v>
      </c>
      <c r="O176" s="76">
        <f t="shared" si="8"/>
        <v>0</v>
      </c>
      <c r="P176" s="15"/>
      <c r="Q176" s="75">
        <v>170</v>
      </c>
      <c r="R176" s="76">
        <f>0.0526*Observaciones!$F175^2.218</f>
        <v>0</v>
      </c>
      <c r="S176" s="76">
        <f>IF(Observaciones!$F175&gt;0.05*$W$7,((Observaciones!$F175-0.05*$W$7)^2)/(Observaciones!$F175+0.95*$W$7),0)</f>
        <v>0</v>
      </c>
      <c r="T176" s="76">
        <f>0.0526*S176*Observaciones!$F175^1.218</f>
        <v>0</v>
      </c>
      <c r="U176" s="29"/>
      <c r="V176" s="29"/>
      <c r="W176" s="109"/>
      <c r="X176" s="40"/>
    </row>
    <row r="177" spans="2:24" s="2" customFormat="1">
      <c r="B177" s="39"/>
      <c r="C177" s="75">
        <v>171</v>
      </c>
      <c r="D177" s="146">
        <f>ETo!$I176*((1-Constantes!$D$19)*ETo!$K176+ETo!$L176)</f>
        <v>2.3468791979197858</v>
      </c>
      <c r="E177" s="76">
        <f>MIN(D177*Constantes!$D$17,0.8*(H176+Observaciones!$F176-F177-G177-Constantes!$D$14))</f>
        <v>6.5405870515178326E-7</v>
      </c>
      <c r="F177" s="76">
        <f>IF(Observaciones!$F176&gt;0.05*Constantes!$D$18,((Observaciones!$F176-0.05*Constantes!$D$18)^2)/(Observaciones!$F176+0.95*Constantes!$D$18),0)</f>
        <v>0</v>
      </c>
      <c r="G177" s="76">
        <f>MAX(0,H176+Observaciones!$F176-F177-Constantes!$D$13)</f>
        <v>0</v>
      </c>
      <c r="H177" s="76">
        <f>H176+Observaciones!$F176-F177-E177-G177-I176</f>
        <v>11.250000135665125</v>
      </c>
      <c r="I177" s="76">
        <f>MAX(0,(H177-Constantes!$D$14)*(1-EXP(-Constantes!$D$22)))</f>
        <v>4.6212522064929449E-9</v>
      </c>
      <c r="J177" s="76">
        <f t="shared" si="6"/>
        <v>95.542675538197969</v>
      </c>
      <c r="K177" s="76">
        <f>MAX(0,(J177-Constantes!$D$13)*(1-EXP(-Constantes!$D$23)))</f>
        <v>0.46105937722486234</v>
      </c>
      <c r="L177" s="76">
        <f t="shared" si="7"/>
        <v>0.46105938184611456</v>
      </c>
      <c r="M177" s="76">
        <f>0.0526*F177*Observaciones!$F176^1.218</f>
        <v>0</v>
      </c>
      <c r="N177" s="76">
        <f>M177*Constantes!$D$51</f>
        <v>0</v>
      </c>
      <c r="O177" s="76">
        <f t="shared" si="8"/>
        <v>0</v>
      </c>
      <c r="P177" s="15"/>
      <c r="Q177" s="75">
        <v>171</v>
      </c>
      <c r="R177" s="76">
        <f>0.0526*Observaciones!$F176^2.218</f>
        <v>0</v>
      </c>
      <c r="S177" s="76">
        <f>IF(Observaciones!$F176&gt;0.05*$W$7,((Observaciones!$F176-0.05*$W$7)^2)/(Observaciones!$F176+0.95*$W$7),0)</f>
        <v>0</v>
      </c>
      <c r="T177" s="76">
        <f>0.0526*S177*Observaciones!$F176^1.218</f>
        <v>0</v>
      </c>
      <c r="U177" s="29"/>
      <c r="V177" s="29"/>
      <c r="W177" s="109"/>
      <c r="X177" s="40"/>
    </row>
    <row r="178" spans="2:24" s="2" customFormat="1">
      <c r="B178" s="39"/>
      <c r="C178" s="75">
        <v>172</v>
      </c>
      <c r="D178" s="146">
        <f>ETo!$I177*((1-Constantes!$D$19)*ETo!$K177+ETo!$L177)</f>
        <v>2.3294175636403578</v>
      </c>
      <c r="E178" s="76">
        <f>MIN(D178*Constantes!$D$17,0.8*(H177+Observaciones!$F177-F178-G178-Constantes!$D$14))</f>
        <v>1.085321002847195E-7</v>
      </c>
      <c r="F178" s="76">
        <f>IF(Observaciones!$F177&gt;0.05*Constantes!$D$18,((Observaciones!$F177-0.05*Constantes!$D$18)^2)/(Observaciones!$F177+0.95*Constantes!$D$18),0)</f>
        <v>0</v>
      </c>
      <c r="G178" s="76">
        <f>MAX(0,H177+Observaciones!$F177-F178-Constantes!$D$13)</f>
        <v>0</v>
      </c>
      <c r="H178" s="76">
        <f>H177+Observaciones!$F177-F178-E178-G178-I177</f>
        <v>11.250000022511772</v>
      </c>
      <c r="I178" s="76">
        <f>MAX(0,(H178-Constantes!$D$14)*(1-EXP(-Constantes!$D$22)))</f>
        <v>7.6683359679759418E-10</v>
      </c>
      <c r="J178" s="76">
        <f t="shared" si="6"/>
        <v>95.081616160973113</v>
      </c>
      <c r="K178" s="76">
        <f>MAX(0,(J178-Constantes!$D$13)*(1-EXP(-Constantes!$D$23)))</f>
        <v>0.45651644936527791</v>
      </c>
      <c r="L178" s="76">
        <f t="shared" si="7"/>
        <v>0.45651645013211151</v>
      </c>
      <c r="M178" s="76">
        <f>0.0526*F178*Observaciones!$F177^1.218</f>
        <v>0</v>
      </c>
      <c r="N178" s="76">
        <f>M178*Constantes!$D$51</f>
        <v>0</v>
      </c>
      <c r="O178" s="76">
        <f t="shared" si="8"/>
        <v>0</v>
      </c>
      <c r="P178" s="15"/>
      <c r="Q178" s="75">
        <v>172</v>
      </c>
      <c r="R178" s="76">
        <f>0.0526*Observaciones!$F177^2.218</f>
        <v>0</v>
      </c>
      <c r="S178" s="76">
        <f>IF(Observaciones!$F177&gt;0.05*$W$7,((Observaciones!$F177-0.05*$W$7)^2)/(Observaciones!$F177+0.95*$W$7),0)</f>
        <v>0</v>
      </c>
      <c r="T178" s="76">
        <f>0.0526*S178*Observaciones!$F177^1.218</f>
        <v>0</v>
      </c>
      <c r="U178" s="29"/>
      <c r="V178" s="29"/>
      <c r="W178" s="109"/>
      <c r="X178" s="40"/>
    </row>
    <row r="179" spans="2:24" s="2" customFormat="1">
      <c r="B179" s="39"/>
      <c r="C179" s="75">
        <v>173</v>
      </c>
      <c r="D179" s="146">
        <f>ETo!$I178*((1-Constantes!$D$19)*ETo!$K178+ETo!$L178)</f>
        <v>2.3318628434621678</v>
      </c>
      <c r="E179" s="76">
        <f>MIN(D179*Constantes!$D$17,0.8*(H178+Observaciones!$F178-F179-G179-Constantes!$D$14))</f>
        <v>1.8009417601660972E-8</v>
      </c>
      <c r="F179" s="76">
        <f>IF(Observaciones!$F178&gt;0.05*Constantes!$D$18,((Observaciones!$F178-0.05*Constantes!$D$18)^2)/(Observaciones!$F178+0.95*Constantes!$D$18),0)</f>
        <v>0</v>
      </c>
      <c r="G179" s="76">
        <f>MAX(0,H178+Observaciones!$F178-F179-Constantes!$D$13)</f>
        <v>0</v>
      </c>
      <c r="H179" s="76">
        <f>H178+Observaciones!$F178-F179-E179-G179-I178</f>
        <v>11.25000000373552</v>
      </c>
      <c r="I179" s="76">
        <f>MAX(0,(H179-Constantes!$D$14)*(1-EXP(-Constantes!$D$22)))</f>
        <v>1.2724553607115044E-10</v>
      </c>
      <c r="J179" s="76">
        <f t="shared" si="6"/>
        <v>94.625099711607831</v>
      </c>
      <c r="K179" s="76">
        <f>MAX(0,(J179-Constantes!$D$13)*(1-EXP(-Constantes!$D$23)))</f>
        <v>0.45201828405593497</v>
      </c>
      <c r="L179" s="76">
        <f t="shared" si="7"/>
        <v>0.45201828418318052</v>
      </c>
      <c r="M179" s="76">
        <f>0.0526*F179*Observaciones!$F178^1.218</f>
        <v>0</v>
      </c>
      <c r="N179" s="76">
        <f>M179*Constantes!$D$51</f>
        <v>0</v>
      </c>
      <c r="O179" s="76">
        <f t="shared" si="8"/>
        <v>0</v>
      </c>
      <c r="P179" s="15"/>
      <c r="Q179" s="75">
        <v>173</v>
      </c>
      <c r="R179" s="76">
        <f>0.0526*Observaciones!$F178^2.218</f>
        <v>0</v>
      </c>
      <c r="S179" s="76">
        <f>IF(Observaciones!$F178&gt;0.05*$W$7,((Observaciones!$F178-0.05*$W$7)^2)/(Observaciones!$F178+0.95*$W$7),0)</f>
        <v>0</v>
      </c>
      <c r="T179" s="76">
        <f>0.0526*S179*Observaciones!$F178^1.218</f>
        <v>0</v>
      </c>
      <c r="U179" s="29"/>
      <c r="V179" s="29"/>
      <c r="W179" s="109"/>
      <c r="X179" s="40"/>
    </row>
    <row r="180" spans="2:24" s="2" customFormat="1">
      <c r="B180" s="39"/>
      <c r="C180" s="75">
        <v>174</v>
      </c>
      <c r="D180" s="146">
        <f>ETo!$I179*((1-Constantes!$D$19)*ETo!$K179+ETo!$L179)</f>
        <v>2.3934114254449868</v>
      </c>
      <c r="E180" s="76">
        <f>MIN(D180*Constantes!$D$17,0.8*(H179+Observaciones!$F179-F180-G180-Constantes!$D$14))</f>
        <v>2.9884162700000162E-9</v>
      </c>
      <c r="F180" s="76">
        <f>IF(Observaciones!$F179&gt;0.05*Constantes!$D$18,((Observaciones!$F179-0.05*Constantes!$D$18)^2)/(Observaciones!$F179+0.95*Constantes!$D$18),0)</f>
        <v>0</v>
      </c>
      <c r="G180" s="76">
        <f>MAX(0,H179+Observaciones!$F179-F180-Constantes!$D$13)</f>
        <v>0</v>
      </c>
      <c r="H180" s="76">
        <f>H179+Observaciones!$F179-F180-E180-G180-I179</f>
        <v>11.250000000619858</v>
      </c>
      <c r="I180" s="76">
        <f>MAX(0,(H180-Constantes!$D$14)*(1-EXP(-Constantes!$D$22)))</f>
        <v>2.111463707522186E-11</v>
      </c>
      <c r="J180" s="76">
        <f t="shared" si="6"/>
        <v>94.173081427551892</v>
      </c>
      <c r="K180" s="76">
        <f>MAX(0,(J180-Constantes!$D$13)*(1-EXP(-Constantes!$D$23)))</f>
        <v>0.44756444024076447</v>
      </c>
      <c r="L180" s="76">
        <f t="shared" si="7"/>
        <v>0.44756444026187908</v>
      </c>
      <c r="M180" s="76">
        <f>0.0526*F180*Observaciones!$F179^1.218</f>
        <v>0</v>
      </c>
      <c r="N180" s="76">
        <f>M180*Constantes!$D$51</f>
        <v>0</v>
      </c>
      <c r="O180" s="76">
        <f t="shared" si="8"/>
        <v>0</v>
      </c>
      <c r="P180" s="15"/>
      <c r="Q180" s="75">
        <v>174</v>
      </c>
      <c r="R180" s="76">
        <f>0.0526*Observaciones!$F179^2.218</f>
        <v>0</v>
      </c>
      <c r="S180" s="76">
        <f>IF(Observaciones!$F179&gt;0.05*$W$7,((Observaciones!$F179-0.05*$W$7)^2)/(Observaciones!$F179+0.95*$W$7),0)</f>
        <v>0</v>
      </c>
      <c r="T180" s="76">
        <f>0.0526*S180*Observaciones!$F179^1.218</f>
        <v>0</v>
      </c>
      <c r="U180" s="29"/>
      <c r="V180" s="29"/>
      <c r="W180" s="109"/>
      <c r="X180" s="40"/>
    </row>
    <row r="181" spans="2:24" s="2" customFormat="1">
      <c r="B181" s="39"/>
      <c r="C181" s="75">
        <v>175</v>
      </c>
      <c r="D181" s="146">
        <f>ETo!$I180*((1-Constantes!$D$19)*ETo!$K180+ETo!$L180)</f>
        <v>2.338085706244561</v>
      </c>
      <c r="E181" s="76">
        <f>MIN(D181*Constantes!$D$17,0.8*(H180+Observaciones!$F180-F181-G181-Constantes!$D$14))</f>
        <v>4.9588635420150242E-10</v>
      </c>
      <c r="F181" s="76">
        <f>IF(Observaciones!$F180&gt;0.05*Constantes!$D$18,((Observaciones!$F180-0.05*Constantes!$D$18)^2)/(Observaciones!$F180+0.95*Constantes!$D$18),0)</f>
        <v>0</v>
      </c>
      <c r="G181" s="76">
        <f>MAX(0,H180+Observaciones!$F180-F181-Constantes!$D$13)</f>
        <v>0</v>
      </c>
      <c r="H181" s="76">
        <f>H180+Observaciones!$F180-F181-E181-G181-I180</f>
        <v>11.250000000102858</v>
      </c>
      <c r="I181" s="76">
        <f>MAX(0,(H181-Constantes!$D$14)*(1-EXP(-Constantes!$D$22)))</f>
        <v>3.5037267486184127E-12</v>
      </c>
      <c r="J181" s="76">
        <f t="shared" si="6"/>
        <v>93.725516987311124</v>
      </c>
      <c r="K181" s="76">
        <f>MAX(0,(J181-Constantes!$D$13)*(1-EXP(-Constantes!$D$23)))</f>
        <v>0.44315448120952783</v>
      </c>
      <c r="L181" s="76">
        <f t="shared" si="7"/>
        <v>0.44315448121303158</v>
      </c>
      <c r="M181" s="76">
        <f>0.0526*F181*Observaciones!$F180^1.218</f>
        <v>0</v>
      </c>
      <c r="N181" s="76">
        <f>M181*Constantes!$D$51</f>
        <v>0</v>
      </c>
      <c r="O181" s="76">
        <f t="shared" si="8"/>
        <v>0</v>
      </c>
      <c r="P181" s="15"/>
      <c r="Q181" s="75">
        <v>175</v>
      </c>
      <c r="R181" s="76">
        <f>0.0526*Observaciones!$F180^2.218</f>
        <v>0</v>
      </c>
      <c r="S181" s="76">
        <f>IF(Observaciones!$F180&gt;0.05*$W$7,((Observaciones!$F180-0.05*$W$7)^2)/(Observaciones!$F180+0.95*$W$7),0)</f>
        <v>0</v>
      </c>
      <c r="T181" s="76">
        <f>0.0526*S181*Observaciones!$F180^1.218</f>
        <v>0</v>
      </c>
      <c r="U181" s="29"/>
      <c r="V181" s="29"/>
      <c r="W181" s="109"/>
      <c r="X181" s="40"/>
    </row>
    <row r="182" spans="2:24" s="2" customFormat="1">
      <c r="B182" s="39"/>
      <c r="C182" s="75">
        <v>176</v>
      </c>
      <c r="D182" s="146">
        <f>ETo!$I181*((1-Constantes!$D$19)*ETo!$K181+ETo!$L181)</f>
        <v>2.3390831309592994</v>
      </c>
      <c r="E182" s="76">
        <f>MIN(D182*Constantes!$D$17,0.8*(H181+Observaciones!$F181-F182-G182-Constantes!$D$14))</f>
        <v>8.228653314290569E-11</v>
      </c>
      <c r="F182" s="76">
        <f>IF(Observaciones!$F181&gt;0.05*Constantes!$D$18,((Observaciones!$F181-0.05*Constantes!$D$18)^2)/(Observaciones!$F181+0.95*Constantes!$D$18),0)</f>
        <v>0</v>
      </c>
      <c r="G182" s="76">
        <f>MAX(0,H181+Observaciones!$F181-F182-Constantes!$D$13)</f>
        <v>0</v>
      </c>
      <c r="H182" s="76">
        <f>H181+Observaciones!$F181-F182-E182-G182-I181</f>
        <v>11.250000000017069</v>
      </c>
      <c r="I182" s="76">
        <f>MAX(0,(H182-Constantes!$D$14)*(1-EXP(-Constantes!$D$22)))</f>
        <v>5.8143323997434251E-13</v>
      </c>
      <c r="J182" s="76">
        <f t="shared" si="6"/>
        <v>93.282362506101592</v>
      </c>
      <c r="K182" s="76">
        <f>MAX(0,(J182-Constantes!$D$13)*(1-EXP(-Constantes!$D$23)))</f>
        <v>0.43878797455499635</v>
      </c>
      <c r="L182" s="76">
        <f t="shared" si="7"/>
        <v>0.43878797455557778</v>
      </c>
      <c r="M182" s="76">
        <f>0.0526*F182*Observaciones!$F181^1.218</f>
        <v>0</v>
      </c>
      <c r="N182" s="76">
        <f>M182*Constantes!$D$51</f>
        <v>0</v>
      </c>
      <c r="O182" s="76">
        <f t="shared" si="8"/>
        <v>0</v>
      </c>
      <c r="P182" s="15"/>
      <c r="Q182" s="75">
        <v>176</v>
      </c>
      <c r="R182" s="76">
        <f>0.0526*Observaciones!$F181^2.218</f>
        <v>0</v>
      </c>
      <c r="S182" s="76">
        <f>IF(Observaciones!$F181&gt;0.05*$W$7,((Observaciones!$F181-0.05*$W$7)^2)/(Observaciones!$F181+0.95*$W$7),0)</f>
        <v>0</v>
      </c>
      <c r="T182" s="76">
        <f>0.0526*S182*Observaciones!$F181^1.218</f>
        <v>0</v>
      </c>
      <c r="U182" s="29"/>
      <c r="V182" s="29"/>
      <c r="W182" s="109"/>
      <c r="X182" s="40"/>
    </row>
    <row r="183" spans="2:24" s="2" customFormat="1">
      <c r="B183" s="39"/>
      <c r="C183" s="75">
        <v>177</v>
      </c>
      <c r="D183" s="146">
        <f>ETo!$I182*((1-Constantes!$D$19)*ETo!$K182+ETo!$L182)</f>
        <v>2.435976451026201</v>
      </c>
      <c r="E183" s="76">
        <f>MIN(D183*Constantes!$D$17,0.8*(H182+Observaciones!$F182-F183-G183-Constantes!$D$14))</f>
        <v>1.3655210295837607E-11</v>
      </c>
      <c r="F183" s="76">
        <f>IF(Observaciones!$F182&gt;0.05*Constantes!$D$18,((Observaciones!$F182-0.05*Constantes!$D$18)^2)/(Observaciones!$F182+0.95*Constantes!$D$18),0)</f>
        <v>0</v>
      </c>
      <c r="G183" s="76">
        <f>MAX(0,H182+Observaciones!$F182-F183-Constantes!$D$13)</f>
        <v>0</v>
      </c>
      <c r="H183" s="76">
        <f>H182+Observaciones!$F182-F183-E183-G183-I182</f>
        <v>11.250000000002833</v>
      </c>
      <c r="I183" s="76">
        <f>MAX(0,(H183-Constantes!$D$14)*(1-EXP(-Constantes!$D$22)))</f>
        <v>9.6512229967642453E-14</v>
      </c>
      <c r="J183" s="76">
        <f t="shared" si="6"/>
        <v>92.843574531546594</v>
      </c>
      <c r="K183" s="76">
        <f>MAX(0,(J183-Constantes!$D$13)*(1-EXP(-Constantes!$D$23)))</f>
        <v>0.43446449213055283</v>
      </c>
      <c r="L183" s="76">
        <f t="shared" si="7"/>
        <v>0.43446449213064936</v>
      </c>
      <c r="M183" s="76">
        <f>0.0526*F183*Observaciones!$F182^1.218</f>
        <v>0</v>
      </c>
      <c r="N183" s="76">
        <f>M183*Constantes!$D$51</f>
        <v>0</v>
      </c>
      <c r="O183" s="76">
        <f t="shared" si="8"/>
        <v>0</v>
      </c>
      <c r="P183" s="15"/>
      <c r="Q183" s="75">
        <v>177</v>
      </c>
      <c r="R183" s="76">
        <f>0.0526*Observaciones!$F182^2.218</f>
        <v>0</v>
      </c>
      <c r="S183" s="76">
        <f>IF(Observaciones!$F182&gt;0.05*$W$7,((Observaciones!$F182-0.05*$W$7)^2)/(Observaciones!$F182+0.95*$W$7),0)</f>
        <v>0</v>
      </c>
      <c r="T183" s="76">
        <f>0.0526*S183*Observaciones!$F182^1.218</f>
        <v>0</v>
      </c>
      <c r="U183" s="29"/>
      <c r="V183" s="29"/>
      <c r="W183" s="109"/>
      <c r="X183" s="40"/>
    </row>
    <row r="184" spans="2:24" s="2" customFormat="1">
      <c r="B184" s="39"/>
      <c r="C184" s="75">
        <v>178</v>
      </c>
      <c r="D184" s="146">
        <f>ETo!$I183*((1-Constantes!$D$19)*ETo!$K183+ETo!$L183)</f>
        <v>2.3451902231736863</v>
      </c>
      <c r="E184" s="76">
        <f>MIN(D184*Constantes!$D$17,0.8*(H183+Observaciones!$F183-F184-G184-Constantes!$D$14))</f>
        <v>2.2666313270747196E-12</v>
      </c>
      <c r="F184" s="76">
        <f>IF(Observaciones!$F183&gt;0.05*Constantes!$D$18,((Observaciones!$F183-0.05*Constantes!$D$18)^2)/(Observaciones!$F183+0.95*Constantes!$D$18),0)</f>
        <v>0</v>
      </c>
      <c r="G184" s="76">
        <f>MAX(0,H183+Observaciones!$F183-F184-Constantes!$D$13)</f>
        <v>0</v>
      </c>
      <c r="H184" s="76">
        <f>H183+Observaciones!$F183-F184-E184-G184-I183</f>
        <v>11.250000000000471</v>
      </c>
      <c r="I184" s="76">
        <f>MAX(0,(H184-Constantes!$D$14)*(1-EXP(-Constantes!$D$22)))</f>
        <v>1.6034947298699217E-14</v>
      </c>
      <c r="J184" s="76">
        <f t="shared" si="6"/>
        <v>92.409110039416035</v>
      </c>
      <c r="K184" s="76">
        <f>MAX(0,(J184-Constantes!$D$13)*(1-EXP(-Constantes!$D$23)))</f>
        <v>0.43018361000821059</v>
      </c>
      <c r="L184" s="76">
        <f t="shared" si="7"/>
        <v>0.43018361000822664</v>
      </c>
      <c r="M184" s="76">
        <f>0.0526*F184*Observaciones!$F183^1.218</f>
        <v>0</v>
      </c>
      <c r="N184" s="76">
        <f>M184*Constantes!$D$51</f>
        <v>0</v>
      </c>
      <c r="O184" s="76">
        <f t="shared" si="8"/>
        <v>0</v>
      </c>
      <c r="P184" s="15"/>
      <c r="Q184" s="75">
        <v>178</v>
      </c>
      <c r="R184" s="76">
        <f>0.0526*Observaciones!$F183^2.218</f>
        <v>0</v>
      </c>
      <c r="S184" s="76">
        <f>IF(Observaciones!$F183&gt;0.05*$W$7,((Observaciones!$F183-0.05*$W$7)^2)/(Observaciones!$F183+0.95*$W$7),0)</f>
        <v>0</v>
      </c>
      <c r="T184" s="76">
        <f>0.0526*S184*Observaciones!$F183^1.218</f>
        <v>0</v>
      </c>
      <c r="U184" s="29"/>
      <c r="V184" s="29"/>
      <c r="W184" s="109"/>
      <c r="X184" s="40"/>
    </row>
    <row r="185" spans="2:24" s="2" customFormat="1">
      <c r="B185" s="39"/>
      <c r="C185" s="75">
        <v>179</v>
      </c>
      <c r="D185" s="146">
        <f>ETo!$I184*((1-Constantes!$D$19)*ETo!$K184+ETo!$L184)</f>
        <v>2.4545406855860108</v>
      </c>
      <c r="E185" s="76">
        <f>MIN(D185*Constantes!$D$17,0.8*(H184+Observaciones!$F184-F185-G185-Constantes!$D$14))</f>
        <v>3.765876499528531E-13</v>
      </c>
      <c r="F185" s="76">
        <f>IF(Observaciones!$F184&gt;0.05*Constantes!$D$18,((Observaciones!$F184-0.05*Constantes!$D$18)^2)/(Observaciones!$F184+0.95*Constantes!$D$18),0)</f>
        <v>0</v>
      </c>
      <c r="G185" s="76">
        <f>MAX(0,H184+Observaciones!$F184-F185-Constantes!$D$13)</f>
        <v>0</v>
      </c>
      <c r="H185" s="76">
        <f>H184+Observaciones!$F184-F185-E185-G185-I184</f>
        <v>11.250000000000078</v>
      </c>
      <c r="I185" s="76">
        <f>MAX(0,(H185-Constantes!$D$14)*(1-EXP(-Constantes!$D$22)))</f>
        <v>2.6624063439349641E-15</v>
      </c>
      <c r="J185" s="76">
        <f t="shared" si="6"/>
        <v>91.978926429407821</v>
      </c>
      <c r="K185" s="76">
        <f>MAX(0,(J185-Constantes!$D$13)*(1-EXP(-Constantes!$D$23)))</f>
        <v>0.42594490843704652</v>
      </c>
      <c r="L185" s="76">
        <f t="shared" si="7"/>
        <v>0.42594490843704919</v>
      </c>
      <c r="M185" s="76">
        <f>0.0526*F185*Observaciones!$F184^1.218</f>
        <v>0</v>
      </c>
      <c r="N185" s="76">
        <f>M185*Constantes!$D$51</f>
        <v>0</v>
      </c>
      <c r="O185" s="76">
        <f t="shared" si="8"/>
        <v>0</v>
      </c>
      <c r="P185" s="15"/>
      <c r="Q185" s="75">
        <v>179</v>
      </c>
      <c r="R185" s="76">
        <f>0.0526*Observaciones!$F184^2.218</f>
        <v>0</v>
      </c>
      <c r="S185" s="76">
        <f>IF(Observaciones!$F184&gt;0.05*$W$7,((Observaciones!$F184-0.05*$W$7)^2)/(Observaciones!$F184+0.95*$W$7),0)</f>
        <v>0</v>
      </c>
      <c r="T185" s="76">
        <f>0.0526*S185*Observaciones!$F184^1.218</f>
        <v>0</v>
      </c>
      <c r="U185" s="29"/>
      <c r="V185" s="29"/>
      <c r="W185" s="109"/>
      <c r="X185" s="40"/>
    </row>
    <row r="186" spans="2:24" s="2" customFormat="1">
      <c r="B186" s="39"/>
      <c r="C186" s="75">
        <v>180</v>
      </c>
      <c r="D186" s="146">
        <f>ETo!$I185*((1-Constantes!$D$19)*ETo!$K185+ETo!$L185)</f>
        <v>2.4802527756061354</v>
      </c>
      <c r="E186" s="76">
        <f>MIN(D186*Constantes!$D$17,0.8*(H185+Observaciones!$F185-F186-G186-Constantes!$D$14))</f>
        <v>6.2527760746888821E-14</v>
      </c>
      <c r="F186" s="76">
        <f>IF(Observaciones!$F185&gt;0.05*Constantes!$D$18,((Observaciones!$F185-0.05*Constantes!$D$18)^2)/(Observaciones!$F185+0.95*Constantes!$D$18),0)</f>
        <v>0</v>
      </c>
      <c r="G186" s="76">
        <f>MAX(0,H185+Observaciones!$F185-F186-Constantes!$D$13)</f>
        <v>0</v>
      </c>
      <c r="H186" s="76">
        <f>H185+Observaciones!$F185-F186-E186-G186-I185</f>
        <v>11.250000000000014</v>
      </c>
      <c r="I186" s="76">
        <f>MAX(0,(H186-Constantes!$D$14)*(1-EXP(-Constantes!$D$22)))</f>
        <v>4.8407388071544802E-16</v>
      </c>
      <c r="J186" s="76">
        <f t="shared" si="6"/>
        <v>91.552981520970775</v>
      </c>
      <c r="K186" s="76">
        <f>MAX(0,(J186-Constantes!$D$13)*(1-EXP(-Constantes!$D$23)))</f>
        <v>0.42174797180204326</v>
      </c>
      <c r="L186" s="76">
        <f t="shared" si="7"/>
        <v>0.42174797180204376</v>
      </c>
      <c r="M186" s="76">
        <f>0.0526*F186*Observaciones!$F185^1.218</f>
        <v>0</v>
      </c>
      <c r="N186" s="76">
        <f>M186*Constantes!$D$51</f>
        <v>0</v>
      </c>
      <c r="O186" s="76">
        <f t="shared" si="8"/>
        <v>0</v>
      </c>
      <c r="P186" s="15"/>
      <c r="Q186" s="75">
        <v>180</v>
      </c>
      <c r="R186" s="76">
        <f>0.0526*Observaciones!$F185^2.218</f>
        <v>0</v>
      </c>
      <c r="S186" s="76">
        <f>IF(Observaciones!$F185&gt;0.05*$W$7,((Observaciones!$F185-0.05*$W$7)^2)/(Observaciones!$F185+0.95*$W$7),0)</f>
        <v>0</v>
      </c>
      <c r="T186" s="76">
        <f>0.0526*S186*Observaciones!$F185^1.218</f>
        <v>0</v>
      </c>
      <c r="U186" s="29"/>
      <c r="V186" s="29"/>
      <c r="W186" s="109"/>
      <c r="X186" s="40"/>
    </row>
    <row r="187" spans="2:24" s="2" customFormat="1">
      <c r="B187" s="39"/>
      <c r="C187" s="75">
        <v>181</v>
      </c>
      <c r="D187" s="146">
        <f>ETo!$I186*((1-Constantes!$D$19)*ETo!$K186+ETo!$L186)</f>
        <v>2.392754921604793</v>
      </c>
      <c r="E187" s="76">
        <f>MIN(D187*Constantes!$D$17,0.8*(H186+Observaciones!$F186-F187-G187-Constantes!$D$14))</f>
        <v>1.1368683772161604E-14</v>
      </c>
      <c r="F187" s="76">
        <f>IF(Observaciones!$F186&gt;0.05*Constantes!$D$18,((Observaciones!$F186-0.05*Constantes!$D$18)^2)/(Observaciones!$F186+0.95*Constantes!$D$18),0)</f>
        <v>0</v>
      </c>
      <c r="G187" s="76">
        <f>MAX(0,H186+Observaciones!$F186-F187-Constantes!$D$13)</f>
        <v>0</v>
      </c>
      <c r="H187" s="76">
        <f>H186+Observaciones!$F186-F187-E187-G187-I186</f>
        <v>11.250000000000004</v>
      </c>
      <c r="I187" s="76">
        <f>MAX(0,(H187-Constantes!$D$14)*(1-EXP(-Constantes!$D$22)))</f>
        <v>1.21018470178862E-16</v>
      </c>
      <c r="J187" s="76">
        <f t="shared" si="6"/>
        <v>91.131233549168726</v>
      </c>
      <c r="K187" s="76">
        <f>MAX(0,(J187-Constantes!$D$13)*(1-EXP(-Constantes!$D$23)))</f>
        <v>0.41759238858333703</v>
      </c>
      <c r="L187" s="76">
        <f t="shared" si="7"/>
        <v>0.41759238858333714</v>
      </c>
      <c r="M187" s="76">
        <f>0.0526*F187*Observaciones!$F186^1.218</f>
        <v>0</v>
      </c>
      <c r="N187" s="76">
        <f>M187*Constantes!$D$51</f>
        <v>0</v>
      </c>
      <c r="O187" s="76">
        <f t="shared" si="8"/>
        <v>0</v>
      </c>
      <c r="P187" s="15"/>
      <c r="Q187" s="75">
        <v>181</v>
      </c>
      <c r="R187" s="76">
        <f>0.0526*Observaciones!$F186^2.218</f>
        <v>0</v>
      </c>
      <c r="S187" s="76">
        <f>IF(Observaciones!$F186&gt;0.05*$W$7,((Observaciones!$F186-0.05*$W$7)^2)/(Observaciones!$F186+0.95*$W$7),0)</f>
        <v>0</v>
      </c>
      <c r="T187" s="76">
        <f>0.0526*S187*Observaciones!$F186^1.218</f>
        <v>0</v>
      </c>
      <c r="U187" s="29"/>
      <c r="V187" s="29"/>
      <c r="W187" s="109"/>
      <c r="X187" s="40"/>
    </row>
    <row r="188" spans="2:24" s="2" customFormat="1">
      <c r="B188" s="39"/>
      <c r="C188" s="75">
        <v>182</v>
      </c>
      <c r="D188" s="146">
        <f>ETo!$I187*((1-Constantes!$D$19)*ETo!$K187+ETo!$L187)</f>
        <v>2.4531242878368142</v>
      </c>
      <c r="E188" s="76">
        <f>MIN(D188*Constantes!$D$17,0.8*(H187+Observaciones!$F187-F188-G188-Constantes!$D$14))</f>
        <v>2.8421709430404009E-15</v>
      </c>
      <c r="F188" s="76">
        <f>IF(Observaciones!$F187&gt;0.05*Constantes!$D$18,((Observaciones!$F187-0.05*Constantes!$D$18)^2)/(Observaciones!$F187+0.95*Constantes!$D$18),0)</f>
        <v>0</v>
      </c>
      <c r="G188" s="76">
        <f>MAX(0,H187+Observaciones!$F187-F188-Constantes!$D$13)</f>
        <v>0</v>
      </c>
      <c r="H188" s="76">
        <f>H187+Observaciones!$F187-F188-E188-G188-I187</f>
        <v>11.25</v>
      </c>
      <c r="I188" s="76">
        <f>MAX(0,(H188-Constantes!$D$14)*(1-EXP(-Constantes!$D$22)))</f>
        <v>0</v>
      </c>
      <c r="J188" s="76">
        <f t="shared" si="6"/>
        <v>90.713641160585382</v>
      </c>
      <c r="K188" s="76">
        <f>MAX(0,(J188-Constantes!$D$13)*(1-EXP(-Constantes!$D$23)))</f>
        <v>0.4134777513158675</v>
      </c>
      <c r="L188" s="76">
        <f t="shared" si="7"/>
        <v>0.4134777513158675</v>
      </c>
      <c r="M188" s="76">
        <f>0.0526*F188*Observaciones!$F187^1.218</f>
        <v>0</v>
      </c>
      <c r="N188" s="76">
        <f>M188*Constantes!$D$51</f>
        <v>0</v>
      </c>
      <c r="O188" s="76">
        <f t="shared" si="8"/>
        <v>0</v>
      </c>
      <c r="P188" s="15"/>
      <c r="Q188" s="75">
        <v>182</v>
      </c>
      <c r="R188" s="76">
        <f>0.0526*Observaciones!$F187^2.218</f>
        <v>0</v>
      </c>
      <c r="S188" s="76">
        <f>IF(Observaciones!$F187&gt;0.05*$W$7,((Observaciones!$F187-0.05*$W$7)^2)/(Observaciones!$F187+0.95*$W$7),0)</f>
        <v>0</v>
      </c>
      <c r="T188" s="76">
        <f>0.0526*S188*Observaciones!$F187^1.218</f>
        <v>0</v>
      </c>
      <c r="U188" s="29"/>
      <c r="V188" s="29"/>
      <c r="W188" s="109"/>
      <c r="X188" s="40"/>
    </row>
    <row r="189" spans="2:24" s="2" customFormat="1">
      <c r="B189" s="39"/>
      <c r="C189" s="75">
        <v>183</v>
      </c>
      <c r="D189" s="146">
        <f>ETo!$I188*((1-Constantes!$D$19)*ETo!$K188+ETo!$L188)</f>
        <v>2.4659072305021623</v>
      </c>
      <c r="E189" s="76">
        <f>MIN(D189*Constantes!$D$17,0.8*(H188+Observaciones!$F188-F189-G189-Constantes!$D$14))</f>
        <v>0</v>
      </c>
      <c r="F189" s="76">
        <f>IF(Observaciones!$F188&gt;0.05*Constantes!$D$18,((Observaciones!$F188-0.05*Constantes!$D$18)^2)/(Observaciones!$F188+0.95*Constantes!$D$18),0)</f>
        <v>0</v>
      </c>
      <c r="G189" s="76">
        <f>MAX(0,H188+Observaciones!$F188-F189-Constantes!$D$13)</f>
        <v>0</v>
      </c>
      <c r="H189" s="76">
        <f>H188+Observaciones!$F188-F189-E189-G189-I188</f>
        <v>11.25</v>
      </c>
      <c r="I189" s="76">
        <f>MAX(0,(H189-Constantes!$D$14)*(1-EXP(-Constantes!$D$22)))</f>
        <v>0</v>
      </c>
      <c r="J189" s="76">
        <f t="shared" si="6"/>
        <v>90.300163409269516</v>
      </c>
      <c r="K189" s="76">
        <f>MAX(0,(J189-Constantes!$D$13)*(1-EXP(-Constantes!$D$23)))</f>
        <v>0.40940365654942462</v>
      </c>
      <c r="L189" s="76">
        <f t="shared" si="7"/>
        <v>0.40940365654942462</v>
      </c>
      <c r="M189" s="76">
        <f>0.0526*F189*Observaciones!$F188^1.218</f>
        <v>0</v>
      </c>
      <c r="N189" s="76">
        <f>M189*Constantes!$D$51</f>
        <v>0</v>
      </c>
      <c r="O189" s="76">
        <f t="shared" si="8"/>
        <v>0</v>
      </c>
      <c r="P189" s="15"/>
      <c r="Q189" s="75">
        <v>183</v>
      </c>
      <c r="R189" s="76">
        <f>0.0526*Observaciones!$F188^2.218</f>
        <v>0</v>
      </c>
      <c r="S189" s="76">
        <f>IF(Observaciones!$F188&gt;0.05*$W$7,((Observaciones!$F188-0.05*$W$7)^2)/(Observaciones!$F188+0.95*$W$7),0)</f>
        <v>0</v>
      </c>
      <c r="T189" s="76">
        <f>0.0526*S189*Observaciones!$F188^1.218</f>
        <v>0</v>
      </c>
      <c r="U189" s="29"/>
      <c r="V189" s="29"/>
      <c r="W189" s="109"/>
      <c r="X189" s="40"/>
    </row>
    <row r="190" spans="2:24" s="2" customFormat="1">
      <c r="B190" s="39"/>
      <c r="C190" s="75">
        <v>184</v>
      </c>
      <c r="D190" s="146">
        <f>ETo!$I189*((1-Constantes!$D$19)*ETo!$K189+ETo!$L189)</f>
        <v>2.4192956749824468</v>
      </c>
      <c r="E190" s="76">
        <f>MIN(D190*Constantes!$D$17,0.8*(H189+Observaciones!$F189-F190-G190-Constantes!$D$14))</f>
        <v>0</v>
      </c>
      <c r="F190" s="76">
        <f>IF(Observaciones!$F189&gt;0.05*Constantes!$D$18,((Observaciones!$F189-0.05*Constantes!$D$18)^2)/(Observaciones!$F189+0.95*Constantes!$D$18),0)</f>
        <v>0</v>
      </c>
      <c r="G190" s="76">
        <f>MAX(0,H189+Observaciones!$F189-F190-Constantes!$D$13)</f>
        <v>0</v>
      </c>
      <c r="H190" s="76">
        <f>H189+Observaciones!$F189-F190-E190-G190-I189</f>
        <v>11.25</v>
      </c>
      <c r="I190" s="76">
        <f>MAX(0,(H190-Constantes!$D$14)*(1-EXP(-Constantes!$D$22)))</f>
        <v>0</v>
      </c>
      <c r="J190" s="76">
        <f t="shared" si="6"/>
        <v>89.890759752720086</v>
      </c>
      <c r="K190" s="76">
        <f>MAX(0,(J190-Constantes!$D$13)*(1-EXP(-Constantes!$D$23)))</f>
        <v>0.40536970480908929</v>
      </c>
      <c r="L190" s="76">
        <f t="shared" si="7"/>
        <v>0.40536970480908929</v>
      </c>
      <c r="M190" s="76">
        <f>0.0526*F190*Observaciones!$F189^1.218</f>
        <v>0</v>
      </c>
      <c r="N190" s="76">
        <f>M190*Constantes!$D$51</f>
        <v>0</v>
      </c>
      <c r="O190" s="76">
        <f t="shared" si="8"/>
        <v>0</v>
      </c>
      <c r="P190" s="15"/>
      <c r="Q190" s="75">
        <v>184</v>
      </c>
      <c r="R190" s="76">
        <f>0.0526*Observaciones!$F189^2.218</f>
        <v>0</v>
      </c>
      <c r="S190" s="76">
        <f>IF(Observaciones!$F189&gt;0.05*$W$7,((Observaciones!$F189-0.05*$W$7)^2)/(Observaciones!$F189+0.95*$W$7),0)</f>
        <v>0</v>
      </c>
      <c r="T190" s="76">
        <f>0.0526*S190*Observaciones!$F189^1.218</f>
        <v>0</v>
      </c>
      <c r="U190" s="29"/>
      <c r="V190" s="29"/>
      <c r="W190" s="109"/>
      <c r="X190" s="40"/>
    </row>
    <row r="191" spans="2:24" s="2" customFormat="1">
      <c r="B191" s="39"/>
      <c r="C191" s="75">
        <v>185</v>
      </c>
      <c r="D191" s="146">
        <f>ETo!$I190*((1-Constantes!$D$19)*ETo!$K190+ETo!$L190)</f>
        <v>2.518899963286704</v>
      </c>
      <c r="E191" s="76">
        <f>MIN(D191*Constantes!$D$17,0.8*(H190+Observaciones!$F190-F191-G191-Constantes!$D$14))</f>
        <v>0</v>
      </c>
      <c r="F191" s="76">
        <f>IF(Observaciones!$F190&gt;0.05*Constantes!$D$18,((Observaciones!$F190-0.05*Constantes!$D$18)^2)/(Observaciones!$F190+0.95*Constantes!$D$18),0)</f>
        <v>0</v>
      </c>
      <c r="G191" s="76">
        <f>MAX(0,H190+Observaciones!$F190-F191-Constantes!$D$13)</f>
        <v>0</v>
      </c>
      <c r="H191" s="76">
        <f>H190+Observaciones!$F190-F191-E191-G191-I190</f>
        <v>11.25</v>
      </c>
      <c r="I191" s="76">
        <f>MAX(0,(H191-Constantes!$D$14)*(1-EXP(-Constantes!$D$22)))</f>
        <v>0</v>
      </c>
      <c r="J191" s="76">
        <f t="shared" si="6"/>
        <v>89.485390047910997</v>
      </c>
      <c r="K191" s="76">
        <f>MAX(0,(J191-Constantes!$D$13)*(1-EXP(-Constantes!$D$23)))</f>
        <v>0.40137550055606397</v>
      </c>
      <c r="L191" s="76">
        <f t="shared" si="7"/>
        <v>0.40137550055606397</v>
      </c>
      <c r="M191" s="76">
        <f>0.0526*F191*Observaciones!$F190^1.218</f>
        <v>0</v>
      </c>
      <c r="N191" s="76">
        <f>M191*Constantes!$D$51</f>
        <v>0</v>
      </c>
      <c r="O191" s="76">
        <f t="shared" si="8"/>
        <v>0</v>
      </c>
      <c r="P191" s="15"/>
      <c r="Q191" s="75">
        <v>185</v>
      </c>
      <c r="R191" s="76">
        <f>0.0526*Observaciones!$F190^2.218</f>
        <v>0</v>
      </c>
      <c r="S191" s="76">
        <f>IF(Observaciones!$F190&gt;0.05*$W$7,((Observaciones!$F190-0.05*$W$7)^2)/(Observaciones!$F190+0.95*$W$7),0)</f>
        <v>0</v>
      </c>
      <c r="T191" s="76">
        <f>0.0526*S191*Observaciones!$F190^1.218</f>
        <v>0</v>
      </c>
      <c r="U191" s="29"/>
      <c r="V191" s="29"/>
      <c r="W191" s="109"/>
      <c r="X191" s="40"/>
    </row>
    <row r="192" spans="2:24" s="2" customFormat="1">
      <c r="B192" s="39"/>
      <c r="C192" s="75">
        <v>186</v>
      </c>
      <c r="D192" s="146">
        <f>ETo!$I191*((1-Constantes!$D$19)*ETo!$K191+ETo!$L191)</f>
        <v>2.5129620911696451</v>
      </c>
      <c r="E192" s="76">
        <f>MIN(D192*Constantes!$D$17,0.8*(H191+Observaciones!$F191-F192-G192-Constantes!$D$14))</f>
        <v>0</v>
      </c>
      <c r="F192" s="76">
        <f>IF(Observaciones!$F191&gt;0.05*Constantes!$D$18,((Observaciones!$F191-0.05*Constantes!$D$18)^2)/(Observaciones!$F191+0.95*Constantes!$D$18),0)</f>
        <v>0</v>
      </c>
      <c r="G192" s="76">
        <f>MAX(0,H191+Observaciones!$F191-F192-Constantes!$D$13)</f>
        <v>0</v>
      </c>
      <c r="H192" s="76">
        <f>H191+Observaciones!$F191-F192-E192-G192-I191</f>
        <v>11.25</v>
      </c>
      <c r="I192" s="76">
        <f>MAX(0,(H192-Constantes!$D$14)*(1-EXP(-Constantes!$D$22)))</f>
        <v>0</v>
      </c>
      <c r="J192" s="76">
        <f t="shared" si="6"/>
        <v>89.08401454735494</v>
      </c>
      <c r="K192" s="76">
        <f>MAX(0,(J192-Constantes!$D$13)*(1-EXP(-Constantes!$D$23)))</f>
        <v>0.39742065214888905</v>
      </c>
      <c r="L192" s="76">
        <f t="shared" si="7"/>
        <v>0.39742065214888905</v>
      </c>
      <c r="M192" s="76">
        <f>0.0526*F192*Observaciones!$F191^1.218</f>
        <v>0</v>
      </c>
      <c r="N192" s="76">
        <f>M192*Constantes!$D$51</f>
        <v>0</v>
      </c>
      <c r="O192" s="76">
        <f t="shared" si="8"/>
        <v>0</v>
      </c>
      <c r="P192" s="15"/>
      <c r="Q192" s="75">
        <v>186</v>
      </c>
      <c r="R192" s="76">
        <f>0.0526*Observaciones!$F191^2.218</f>
        <v>0</v>
      </c>
      <c r="S192" s="76">
        <f>IF(Observaciones!$F191&gt;0.05*$W$7,((Observaciones!$F191-0.05*$W$7)^2)/(Observaciones!$F191+0.95*$W$7),0)</f>
        <v>0</v>
      </c>
      <c r="T192" s="76">
        <f>0.0526*S192*Observaciones!$F191^1.218</f>
        <v>0</v>
      </c>
      <c r="U192" s="29"/>
      <c r="V192" s="29"/>
      <c r="W192" s="109"/>
      <c r="X192" s="40"/>
    </row>
    <row r="193" spans="2:24" s="2" customFormat="1">
      <c r="B193" s="39"/>
      <c r="C193" s="75">
        <v>187</v>
      </c>
      <c r="D193" s="146">
        <f>ETo!$I192*((1-Constantes!$D$19)*ETo!$K192+ETo!$L192)</f>
        <v>2.533526824825874</v>
      </c>
      <c r="E193" s="76">
        <f>MIN(D193*Constantes!$D$17,0.8*(H192+Observaciones!$F192-F193-G193-Constantes!$D$14))</f>
        <v>0</v>
      </c>
      <c r="F193" s="76">
        <f>IF(Observaciones!$F192&gt;0.05*Constantes!$D$18,((Observaciones!$F192-0.05*Constantes!$D$18)^2)/(Observaciones!$F192+0.95*Constantes!$D$18),0)</f>
        <v>0</v>
      </c>
      <c r="G193" s="76">
        <f>MAX(0,H192+Observaciones!$F192-F193-Constantes!$D$13)</f>
        <v>0</v>
      </c>
      <c r="H193" s="76">
        <f>H192+Observaciones!$F192-F193-E193-G193-I192</f>
        <v>11.25</v>
      </c>
      <c r="I193" s="76">
        <f>MAX(0,(H193-Constantes!$D$14)*(1-EXP(-Constantes!$D$22)))</f>
        <v>0</v>
      </c>
      <c r="J193" s="76">
        <f t="shared" si="6"/>
        <v>88.686593895206045</v>
      </c>
      <c r="K193" s="76">
        <f>MAX(0,(J193-Constantes!$D$13)*(1-EXP(-Constantes!$D$23)))</f>
        <v>0.39350477180504145</v>
      </c>
      <c r="L193" s="76">
        <f t="shared" si="7"/>
        <v>0.39350477180504145</v>
      </c>
      <c r="M193" s="76">
        <f>0.0526*F193*Observaciones!$F192^1.218</f>
        <v>0</v>
      </c>
      <c r="N193" s="76">
        <f>M193*Constantes!$D$51</f>
        <v>0</v>
      </c>
      <c r="O193" s="76">
        <f t="shared" si="8"/>
        <v>0</v>
      </c>
      <c r="P193" s="15"/>
      <c r="Q193" s="75">
        <v>187</v>
      </c>
      <c r="R193" s="76">
        <f>0.0526*Observaciones!$F192^2.218</f>
        <v>0</v>
      </c>
      <c r="S193" s="76">
        <f>IF(Observaciones!$F192&gt;0.05*$W$7,((Observaciones!$F192-0.05*$W$7)^2)/(Observaciones!$F192+0.95*$W$7),0)</f>
        <v>0</v>
      </c>
      <c r="T193" s="76">
        <f>0.0526*S193*Observaciones!$F192^1.218</f>
        <v>0</v>
      </c>
      <c r="U193" s="29"/>
      <c r="V193" s="29"/>
      <c r="W193" s="109"/>
      <c r="X193" s="40"/>
    </row>
    <row r="194" spans="2:24" s="2" customFormat="1">
      <c r="B194" s="39"/>
      <c r="C194" s="75">
        <v>188</v>
      </c>
      <c r="D194" s="146">
        <f>ETo!$I193*((1-Constantes!$D$19)*ETo!$K193+ETo!$L193)</f>
        <v>2.4276615118042058</v>
      </c>
      <c r="E194" s="76">
        <f>MIN(D194*Constantes!$D$17,0.8*(H193+Observaciones!$F193-F194-G194-Constantes!$D$14))</f>
        <v>0</v>
      </c>
      <c r="F194" s="76">
        <f>IF(Observaciones!$F193&gt;0.05*Constantes!$D$18,((Observaciones!$F193-0.05*Constantes!$D$18)^2)/(Observaciones!$F193+0.95*Constantes!$D$18),0)</f>
        <v>0</v>
      </c>
      <c r="G194" s="76">
        <f>MAX(0,H193+Observaciones!$F193-F194-Constantes!$D$13)</f>
        <v>0</v>
      </c>
      <c r="H194" s="76">
        <f>H193+Observaciones!$F193-F194-E194-G194-I193</f>
        <v>11.25</v>
      </c>
      <c r="I194" s="76">
        <f>MAX(0,(H194-Constantes!$D$14)*(1-EXP(-Constantes!$D$22)))</f>
        <v>0</v>
      </c>
      <c r="J194" s="76">
        <f t="shared" si="6"/>
        <v>88.293089123401003</v>
      </c>
      <c r="K194" s="76">
        <f>MAX(0,(J194-Constantes!$D$13)*(1-EXP(-Constantes!$D$23)))</f>
        <v>0.38962747556291188</v>
      </c>
      <c r="L194" s="76">
        <f t="shared" si="7"/>
        <v>0.38962747556291188</v>
      </c>
      <c r="M194" s="76">
        <f>0.0526*F194*Observaciones!$F193^1.218</f>
        <v>0</v>
      </c>
      <c r="N194" s="76">
        <f>M194*Constantes!$D$51</f>
        <v>0</v>
      </c>
      <c r="O194" s="76">
        <f t="shared" si="8"/>
        <v>0</v>
      </c>
      <c r="P194" s="15"/>
      <c r="Q194" s="75">
        <v>188</v>
      </c>
      <c r="R194" s="76">
        <f>0.0526*Observaciones!$F193^2.218</f>
        <v>0</v>
      </c>
      <c r="S194" s="76">
        <f>IF(Observaciones!$F193&gt;0.05*$W$7,((Observaciones!$F193-0.05*$W$7)^2)/(Observaciones!$F193+0.95*$W$7),0)</f>
        <v>0</v>
      </c>
      <c r="T194" s="76">
        <f>0.0526*S194*Observaciones!$F193^1.218</f>
        <v>0</v>
      </c>
      <c r="U194" s="29"/>
      <c r="V194" s="29"/>
      <c r="W194" s="109"/>
      <c r="X194" s="40"/>
    </row>
    <row r="195" spans="2:24" s="2" customFormat="1">
      <c r="B195" s="39"/>
      <c r="C195" s="75">
        <v>189</v>
      </c>
      <c r="D195" s="146">
        <f>ETo!$I194*((1-Constantes!$D$19)*ETo!$K194+ETo!$L194)</f>
        <v>2.3519339645372019</v>
      </c>
      <c r="E195" s="76">
        <f>MIN(D195*Constantes!$D$17,0.8*(H194+Observaciones!$F194-F195-G195-Constantes!$D$14))</f>
        <v>0</v>
      </c>
      <c r="F195" s="76">
        <f>IF(Observaciones!$F194&gt;0.05*Constantes!$D$18,((Observaciones!$F194-0.05*Constantes!$D$18)^2)/(Observaciones!$F194+0.95*Constantes!$D$18),0)</f>
        <v>0</v>
      </c>
      <c r="G195" s="76">
        <f>MAX(0,H194+Observaciones!$F194-F195-Constantes!$D$13)</f>
        <v>0</v>
      </c>
      <c r="H195" s="76">
        <f>H194+Observaciones!$F194-F195-E195-G195-I194</f>
        <v>11.25</v>
      </c>
      <c r="I195" s="76">
        <f>MAX(0,(H195-Constantes!$D$14)*(1-EXP(-Constantes!$D$22)))</f>
        <v>0</v>
      </c>
      <c r="J195" s="76">
        <f t="shared" si="6"/>
        <v>87.903461647838085</v>
      </c>
      <c r="K195" s="76">
        <f>MAX(0,(J195-Constantes!$D$13)*(1-EXP(-Constantes!$D$23)))</f>
        <v>0.38578838324415599</v>
      </c>
      <c r="L195" s="76">
        <f t="shared" si="7"/>
        <v>0.38578838324415599</v>
      </c>
      <c r="M195" s="76">
        <f>0.0526*F195*Observaciones!$F194^1.218</f>
        <v>0</v>
      </c>
      <c r="N195" s="76">
        <f>M195*Constantes!$D$51</f>
        <v>0</v>
      </c>
      <c r="O195" s="76">
        <f t="shared" si="8"/>
        <v>0</v>
      </c>
      <c r="P195" s="15"/>
      <c r="Q195" s="75">
        <v>189</v>
      </c>
      <c r="R195" s="76">
        <f>0.0526*Observaciones!$F194^2.218</f>
        <v>0</v>
      </c>
      <c r="S195" s="76">
        <f>IF(Observaciones!$F194&gt;0.05*$W$7,((Observaciones!$F194-0.05*$W$7)^2)/(Observaciones!$F194+0.95*$W$7),0)</f>
        <v>0</v>
      </c>
      <c r="T195" s="76">
        <f>0.0526*S195*Observaciones!$F194^1.218</f>
        <v>0</v>
      </c>
      <c r="U195" s="29"/>
      <c r="V195" s="29"/>
      <c r="W195" s="109"/>
      <c r="X195" s="40"/>
    </row>
    <row r="196" spans="2:24" s="2" customFormat="1">
      <c r="B196" s="39"/>
      <c r="C196" s="75">
        <v>190</v>
      </c>
      <c r="D196" s="146">
        <f>ETo!$I195*((1-Constantes!$D$19)*ETo!$K195+ETo!$L195)</f>
        <v>2.2967748046185164</v>
      </c>
      <c r="E196" s="76">
        <f>MIN(D196*Constantes!$D$17,0.8*(H195+Observaciones!$F195-F196-G196-Constantes!$D$14))</f>
        <v>1.1710886139465162</v>
      </c>
      <c r="F196" s="76">
        <f>IF(Observaciones!$F195&gt;0.05*Constantes!$D$18,((Observaciones!$F195-0.05*Constantes!$D$18)^2)/(Observaciones!$F195+0.95*Constantes!$D$18),0)</f>
        <v>0</v>
      </c>
      <c r="G196" s="76">
        <f>MAX(0,H195+Observaciones!$F195-F196-Constantes!$D$13)</f>
        <v>0</v>
      </c>
      <c r="H196" s="76">
        <f>H195+Observaciones!$F195-F196-E196-G196-I195</f>
        <v>12.278911386053483</v>
      </c>
      <c r="I196" s="76">
        <f>MAX(0,(H196-Constantes!$D$14)*(1-EXP(-Constantes!$D$22)))</f>
        <v>3.5048499020007062E-2</v>
      </c>
      <c r="J196" s="76">
        <f t="shared" si="6"/>
        <v>87.517673264593924</v>
      </c>
      <c r="K196" s="76">
        <f>MAX(0,(J196-Constantes!$D$13)*(1-EXP(-Constantes!$D$23)))</f>
        <v>0.3819871184164173</v>
      </c>
      <c r="L196" s="76">
        <f t="shared" si="7"/>
        <v>0.41703561743642437</v>
      </c>
      <c r="M196" s="76">
        <f>0.0526*F196*Observaciones!$F195^1.218</f>
        <v>0</v>
      </c>
      <c r="N196" s="76">
        <f>M196*Constantes!$D$51</f>
        <v>0</v>
      </c>
      <c r="O196" s="76">
        <f t="shared" si="8"/>
        <v>0</v>
      </c>
      <c r="P196" s="15"/>
      <c r="Q196" s="75">
        <v>190</v>
      </c>
      <c r="R196" s="76">
        <f>0.0526*Observaciones!$F195^2.218</f>
        <v>0.30232861200727251</v>
      </c>
      <c r="S196" s="76">
        <f>IF(Observaciones!$F195&gt;0.05*$W$7,((Observaciones!$F195-0.05*$W$7)^2)/(Observaciones!$F195+0.95*$W$7),0)</f>
        <v>6.2440408225724973E-3</v>
      </c>
      <c r="T196" s="76">
        <f>0.0526*S196*Observaciones!$F195^1.218</f>
        <v>8.5806917963867778E-4</v>
      </c>
      <c r="U196" s="29"/>
      <c r="V196" s="29"/>
      <c r="W196" s="109"/>
      <c r="X196" s="40"/>
    </row>
    <row r="197" spans="2:24" s="2" customFormat="1">
      <c r="B197" s="39"/>
      <c r="C197" s="75">
        <v>191</v>
      </c>
      <c r="D197" s="146">
        <f>ETo!$I196*((1-Constantes!$D$19)*ETo!$K196+ETo!$L196)</f>
        <v>2.4374338897749892</v>
      </c>
      <c r="E197" s="76">
        <f>MIN(D197*Constantes!$D$17,0.8*(H196+Observaciones!$F196-F197-G197-Constantes!$D$14))</f>
        <v>0.82312910884278667</v>
      </c>
      <c r="F197" s="76">
        <f>IF(Observaciones!$F196&gt;0.05*Constantes!$D$18,((Observaciones!$F196-0.05*Constantes!$D$18)^2)/(Observaciones!$F196+0.95*Constantes!$D$18),0)</f>
        <v>0</v>
      </c>
      <c r="G197" s="76">
        <f>MAX(0,H196+Observaciones!$F196-F197-Constantes!$D$13)</f>
        <v>0</v>
      </c>
      <c r="H197" s="76">
        <f>H196+Observaciones!$F196-F197-E197-G197-I196</f>
        <v>11.420733778190689</v>
      </c>
      <c r="I197" s="76">
        <f>MAX(0,(H197-Constantes!$D$14)*(1-EXP(-Constantes!$D$22)))</f>
        <v>5.8158192617060005E-3</v>
      </c>
      <c r="J197" s="76">
        <f t="shared" si="6"/>
        <v>87.135686146177505</v>
      </c>
      <c r="K197" s="76">
        <f>MAX(0,(J197-Constantes!$D$13)*(1-EXP(-Constantes!$D$23)))</f>
        <v>0.3782233083564171</v>
      </c>
      <c r="L197" s="76">
        <f t="shared" si="7"/>
        <v>0.38403912761812309</v>
      </c>
      <c r="M197" s="76">
        <f>0.0526*F197*Observaciones!$F196^1.218</f>
        <v>0</v>
      </c>
      <c r="N197" s="76">
        <f>M197*Constantes!$D$51</f>
        <v>0</v>
      </c>
      <c r="O197" s="76">
        <f t="shared" si="8"/>
        <v>0</v>
      </c>
      <c r="P197" s="15"/>
      <c r="Q197" s="75">
        <v>191</v>
      </c>
      <c r="R197" s="76">
        <f>0.0526*Observaciones!$F196^2.218</f>
        <v>0</v>
      </c>
      <c r="S197" s="76">
        <f>IF(Observaciones!$F196&gt;0.05*$W$7,((Observaciones!$F196-0.05*$W$7)^2)/(Observaciones!$F196+0.95*$W$7),0)</f>
        <v>0</v>
      </c>
      <c r="T197" s="76">
        <f>0.0526*S197*Observaciones!$F196^1.218</f>
        <v>0</v>
      </c>
      <c r="U197" s="29"/>
      <c r="V197" s="29"/>
      <c r="W197" s="109"/>
      <c r="X197" s="40"/>
    </row>
    <row r="198" spans="2:24" s="2" customFormat="1">
      <c r="B198" s="39"/>
      <c r="C198" s="75">
        <v>192</v>
      </c>
      <c r="D198" s="146">
        <f>ETo!$I197*((1-Constantes!$D$19)*ETo!$K197+ETo!$L197)</f>
        <v>2.5264615148208835</v>
      </c>
      <c r="E198" s="76">
        <f>MIN(D198*Constantes!$D$17,0.8*(H197+Observaciones!$F197-F198-G198-Constantes!$D$14))</f>
        <v>0.13658702255255123</v>
      </c>
      <c r="F198" s="76">
        <f>IF(Observaciones!$F197&gt;0.05*Constantes!$D$18,((Observaciones!$F197-0.05*Constantes!$D$18)^2)/(Observaciones!$F197+0.95*Constantes!$D$18),0)</f>
        <v>0</v>
      </c>
      <c r="G198" s="76">
        <f>MAX(0,H197+Observaciones!$F197-F198-Constantes!$D$13)</f>
        <v>0</v>
      </c>
      <c r="H198" s="76">
        <f>H197+Observaciones!$F197-F198-E198-G198-I197</f>
        <v>11.278330936376433</v>
      </c>
      <c r="I198" s="76">
        <f>MAX(0,(H198-Constantes!$D$14)*(1-EXP(-Constantes!$D$22)))</f>
        <v>9.6505569797793362E-4</v>
      </c>
      <c r="J198" s="76">
        <f t="shared" si="6"/>
        <v>86.757462837821095</v>
      </c>
      <c r="K198" s="76">
        <f>MAX(0,(J198-Constantes!$D$13)*(1-EXP(-Constantes!$D$23)))</f>
        <v>0.37449658401340791</v>
      </c>
      <c r="L198" s="76">
        <f t="shared" si="7"/>
        <v>0.37546163971138585</v>
      </c>
      <c r="M198" s="76">
        <f>0.0526*F198*Observaciones!$F197^1.218</f>
        <v>0</v>
      </c>
      <c r="N198" s="76">
        <f>M198*Constantes!$D$51</f>
        <v>0</v>
      </c>
      <c r="O198" s="76">
        <f t="shared" si="8"/>
        <v>0</v>
      </c>
      <c r="P198" s="15"/>
      <c r="Q198" s="75">
        <v>192</v>
      </c>
      <c r="R198" s="76">
        <f>0.0526*Observaciones!$F197^2.218</f>
        <v>0</v>
      </c>
      <c r="S198" s="76">
        <f>IF(Observaciones!$F197&gt;0.05*$W$7,((Observaciones!$F197-0.05*$W$7)^2)/(Observaciones!$F197+0.95*$W$7),0)</f>
        <v>0</v>
      </c>
      <c r="T198" s="76">
        <f>0.0526*S198*Observaciones!$F197^1.218</f>
        <v>0</v>
      </c>
      <c r="U198" s="29"/>
      <c r="V198" s="29"/>
      <c r="W198" s="109"/>
      <c r="X198" s="40"/>
    </row>
    <row r="199" spans="2:24" s="2" customFormat="1">
      <c r="B199" s="39"/>
      <c r="C199" s="75">
        <v>193</v>
      </c>
      <c r="D199" s="146">
        <f>ETo!$I198*((1-Constantes!$D$19)*ETo!$K198+ETo!$L198)</f>
        <v>2.5261862618367199</v>
      </c>
      <c r="E199" s="76">
        <f>MIN(D199*Constantes!$D$17,0.8*(H198+Observaciones!$F198-F199-G199-Constantes!$D$14))</f>
        <v>2.2664749101146242E-2</v>
      </c>
      <c r="F199" s="76">
        <f>IF(Observaciones!$F198&gt;0.05*Constantes!$D$18,((Observaciones!$F198-0.05*Constantes!$D$18)^2)/(Observaciones!$F198+0.95*Constantes!$D$18),0)</f>
        <v>0</v>
      </c>
      <c r="G199" s="76">
        <f>MAX(0,H198+Observaciones!$F198-F199-Constantes!$D$13)</f>
        <v>0</v>
      </c>
      <c r="H199" s="76">
        <f>H198+Observaciones!$F198-F199-E199-G199-I198</f>
        <v>11.254701131577308</v>
      </c>
      <c r="I199" s="76">
        <f>MAX(0,(H199-Constantes!$D$14)*(1-EXP(-Constantes!$D$22)))</f>
        <v>1.6013779973044165E-4</v>
      </c>
      <c r="J199" s="76">
        <f t="shared" ref="J199:J262" si="9">J198+G199-K198</f>
        <v>86.38296625380768</v>
      </c>
      <c r="K199" s="76">
        <f>MAX(0,(J199-Constantes!$D$13)*(1-EXP(-Constantes!$D$23)))</f>
        <v>0.37080657997298683</v>
      </c>
      <c r="L199" s="76">
        <f t="shared" ref="L199:L262" si="10">F199+I199+K199</f>
        <v>0.37096671777271728</v>
      </c>
      <c r="M199" s="76">
        <f>0.0526*F199*Observaciones!$F198^1.218</f>
        <v>0</v>
      </c>
      <c r="N199" s="76">
        <f>M199*Constantes!$D$51</f>
        <v>0</v>
      </c>
      <c r="O199" s="76">
        <f t="shared" ref="O199:O262" si="11">N199*1000000/(L199/1000*10000)</f>
        <v>0</v>
      </c>
      <c r="P199" s="15"/>
      <c r="Q199" s="75">
        <v>193</v>
      </c>
      <c r="R199" s="76">
        <f>0.0526*Observaciones!$F198^2.218</f>
        <v>0</v>
      </c>
      <c r="S199" s="76">
        <f>IF(Observaciones!$F198&gt;0.05*$W$7,((Observaciones!$F198-0.05*$W$7)^2)/(Observaciones!$F198+0.95*$W$7),0)</f>
        <v>0</v>
      </c>
      <c r="T199" s="76">
        <f>0.0526*S199*Observaciones!$F198^1.218</f>
        <v>0</v>
      </c>
      <c r="U199" s="29"/>
      <c r="V199" s="29"/>
      <c r="W199" s="109"/>
      <c r="X199" s="40"/>
    </row>
    <row r="200" spans="2:24" s="2" customFormat="1">
      <c r="B200" s="39"/>
      <c r="C200" s="75">
        <v>194</v>
      </c>
      <c r="D200" s="146">
        <f>ETo!$I199*((1-Constantes!$D$19)*ETo!$K199+ETo!$L199)</f>
        <v>2.430382972700353</v>
      </c>
      <c r="E200" s="76">
        <f>MIN(D200*Constantes!$D$17,0.8*(H199+Observaciones!$F199-F200-G200-Constantes!$D$14))</f>
        <v>3.7609052618464037E-3</v>
      </c>
      <c r="F200" s="76">
        <f>IF(Observaciones!$F199&gt;0.05*Constantes!$D$18,((Observaciones!$F199-0.05*Constantes!$D$18)^2)/(Observaciones!$F199+0.95*Constantes!$D$18),0)</f>
        <v>0</v>
      </c>
      <c r="G200" s="76">
        <f>MAX(0,H199+Observaciones!$F199-F200-Constantes!$D$13)</f>
        <v>0</v>
      </c>
      <c r="H200" s="76">
        <f>H199+Observaciones!$F199-F200-E200-G200-I199</f>
        <v>11.250780088515732</v>
      </c>
      <c r="I200" s="76">
        <f>MAX(0,(H200-Constantes!$D$14)*(1-EXP(-Constantes!$D$22)))</f>
        <v>2.6572678609410553E-5</v>
      </c>
      <c r="J200" s="76">
        <f t="shared" si="9"/>
        <v>86.012159673834688</v>
      </c>
      <c r="K200" s="76">
        <f>MAX(0,(J200-Constantes!$D$13)*(1-EXP(-Constantes!$D$23)))</f>
        <v>0.36715293442126651</v>
      </c>
      <c r="L200" s="76">
        <f t="shared" si="10"/>
        <v>0.3671795070998759</v>
      </c>
      <c r="M200" s="76">
        <f>0.0526*F200*Observaciones!$F199^1.218</f>
        <v>0</v>
      </c>
      <c r="N200" s="76">
        <f>M200*Constantes!$D$51</f>
        <v>0</v>
      </c>
      <c r="O200" s="76">
        <f t="shared" si="11"/>
        <v>0</v>
      </c>
      <c r="P200" s="15"/>
      <c r="Q200" s="75">
        <v>194</v>
      </c>
      <c r="R200" s="76">
        <f>0.0526*Observaciones!$F199^2.218</f>
        <v>0</v>
      </c>
      <c r="S200" s="76">
        <f>IF(Observaciones!$F199&gt;0.05*$W$7,((Observaciones!$F199-0.05*$W$7)^2)/(Observaciones!$F199+0.95*$W$7),0)</f>
        <v>0</v>
      </c>
      <c r="T200" s="76">
        <f>0.0526*S200*Observaciones!$F199^1.218</f>
        <v>0</v>
      </c>
      <c r="U200" s="29"/>
      <c r="V200" s="29"/>
      <c r="W200" s="109"/>
      <c r="X200" s="40"/>
    </row>
    <row r="201" spans="2:24" s="2" customFormat="1">
      <c r="B201" s="39"/>
      <c r="C201" s="75">
        <v>195</v>
      </c>
      <c r="D201" s="146">
        <f>ETo!$I200*((1-Constantes!$D$19)*ETo!$K200+ETo!$L200)</f>
        <v>2.3902587780755238</v>
      </c>
      <c r="E201" s="76">
        <f>MIN(D201*Constantes!$D$17,0.8*(H200+Observaciones!$F200-F201-G201-Constantes!$D$14))</f>
        <v>6.2407081258584194E-4</v>
      </c>
      <c r="F201" s="76">
        <f>IF(Observaciones!$F200&gt;0.05*Constantes!$D$18,((Observaciones!$F200-0.05*Constantes!$D$18)^2)/(Observaciones!$F200+0.95*Constantes!$D$18),0)</f>
        <v>0</v>
      </c>
      <c r="G201" s="76">
        <f>MAX(0,H200+Observaciones!$F200-F201-Constantes!$D$13)</f>
        <v>0</v>
      </c>
      <c r="H201" s="76">
        <f>H200+Observaciones!$F200-F201-E201-G201-I200</f>
        <v>11.250129445024537</v>
      </c>
      <c r="I201" s="76">
        <f>MAX(0,(H201-Constantes!$D$14)*(1-EXP(-Constantes!$D$22)))</f>
        <v>4.4093727381603142E-6</v>
      </c>
      <c r="J201" s="76">
        <f t="shared" si="9"/>
        <v>85.645006739413418</v>
      </c>
      <c r="K201" s="76">
        <f>MAX(0,(J201-Constantes!$D$13)*(1-EXP(-Constantes!$D$23)))</f>
        <v>0.36353528910939786</v>
      </c>
      <c r="L201" s="76">
        <f t="shared" si="10"/>
        <v>0.36353969848213602</v>
      </c>
      <c r="M201" s="76">
        <f>0.0526*F201*Observaciones!$F200^1.218</f>
        <v>0</v>
      </c>
      <c r="N201" s="76">
        <f>M201*Constantes!$D$51</f>
        <v>0</v>
      </c>
      <c r="O201" s="76">
        <f t="shared" si="11"/>
        <v>0</v>
      </c>
      <c r="P201" s="15"/>
      <c r="Q201" s="75">
        <v>195</v>
      </c>
      <c r="R201" s="76">
        <f>0.0526*Observaciones!$F200^2.218</f>
        <v>0</v>
      </c>
      <c r="S201" s="76">
        <f>IF(Observaciones!$F200&gt;0.05*$W$7,((Observaciones!$F200-0.05*$W$7)^2)/(Observaciones!$F200+0.95*$W$7),0)</f>
        <v>0</v>
      </c>
      <c r="T201" s="76">
        <f>0.0526*S201*Observaciones!$F200^1.218</f>
        <v>0</v>
      </c>
      <c r="U201" s="29"/>
      <c r="V201" s="29"/>
      <c r="W201" s="109"/>
      <c r="X201" s="40"/>
    </row>
    <row r="202" spans="2:24" s="2" customFormat="1">
      <c r="B202" s="39"/>
      <c r="C202" s="75">
        <v>196</v>
      </c>
      <c r="D202" s="146">
        <f>ETo!$I201*((1-Constantes!$D$19)*ETo!$K201+ETo!$L201)</f>
        <v>2.4893534264694219</v>
      </c>
      <c r="E202" s="76">
        <f>MIN(D202*Constantes!$D$17,0.8*(H201+Observaciones!$F201-F202-G202-Constantes!$D$14))</f>
        <v>1.0355601962999118E-4</v>
      </c>
      <c r="F202" s="76">
        <f>IF(Observaciones!$F201&gt;0.05*Constantes!$D$18,((Observaciones!$F201-0.05*Constantes!$D$18)^2)/(Observaciones!$F201+0.95*Constantes!$D$18),0)</f>
        <v>0</v>
      </c>
      <c r="G202" s="76">
        <f>MAX(0,H201+Observaciones!$F201-F202-Constantes!$D$13)</f>
        <v>0</v>
      </c>
      <c r="H202" s="76">
        <f>H201+Observaciones!$F201-F202-E202-G202-I201</f>
        <v>11.250021479632169</v>
      </c>
      <c r="I202" s="76">
        <f>MAX(0,(H202-Constantes!$D$14)*(1-EXP(-Constantes!$D$22)))</f>
        <v>7.3167512501737021E-7</v>
      </c>
      <c r="J202" s="76">
        <f t="shared" si="9"/>
        <v>85.281471450304025</v>
      </c>
      <c r="K202" s="76">
        <f>MAX(0,(J202-Constantes!$D$13)*(1-EXP(-Constantes!$D$23)))</f>
        <v>0.35995328931844317</v>
      </c>
      <c r="L202" s="76">
        <f t="shared" si="10"/>
        <v>0.35995402099356821</v>
      </c>
      <c r="M202" s="76">
        <f>0.0526*F202*Observaciones!$F201^1.218</f>
        <v>0</v>
      </c>
      <c r="N202" s="76">
        <f>M202*Constantes!$D$51</f>
        <v>0</v>
      </c>
      <c r="O202" s="76">
        <f t="shared" si="11"/>
        <v>0</v>
      </c>
      <c r="P202" s="15"/>
      <c r="Q202" s="75">
        <v>196</v>
      </c>
      <c r="R202" s="76">
        <f>0.0526*Observaciones!$F201^2.218</f>
        <v>0</v>
      </c>
      <c r="S202" s="76">
        <f>IF(Observaciones!$F201&gt;0.05*$W$7,((Observaciones!$F201-0.05*$W$7)^2)/(Observaciones!$F201+0.95*$W$7),0)</f>
        <v>0</v>
      </c>
      <c r="T202" s="76">
        <f>0.0526*S202*Observaciones!$F201^1.218</f>
        <v>0</v>
      </c>
      <c r="U202" s="29"/>
      <c r="V202" s="29"/>
      <c r="W202" s="109"/>
      <c r="X202" s="40"/>
    </row>
    <row r="203" spans="2:24" s="2" customFormat="1">
      <c r="B203" s="39"/>
      <c r="C203" s="75">
        <v>197</v>
      </c>
      <c r="D203" s="146">
        <f>ETo!$I202*((1-Constantes!$D$19)*ETo!$K202+ETo!$L202)</f>
        <v>2.4582065789312035</v>
      </c>
      <c r="E203" s="76">
        <f>MIN(D203*Constantes!$D$17,0.8*(H202+Observaciones!$F202-F203-G203-Constantes!$D$14))</f>
        <v>1.7183705735135392E-5</v>
      </c>
      <c r="F203" s="76">
        <f>IF(Observaciones!$F202&gt;0.05*Constantes!$D$18,((Observaciones!$F202-0.05*Constantes!$D$18)^2)/(Observaciones!$F202+0.95*Constantes!$D$18),0)</f>
        <v>0</v>
      </c>
      <c r="G203" s="76">
        <f>MAX(0,H202+Observaciones!$F202-F203-Constantes!$D$13)</f>
        <v>0</v>
      </c>
      <c r="H203" s="76">
        <f>H202+Observaciones!$F202-F203-E203-G203-I202</f>
        <v>11.250003564251308</v>
      </c>
      <c r="I203" s="76">
        <f>MAX(0,(H203-Constantes!$D$14)*(1-EXP(-Constantes!$D$22)))</f>
        <v>1.2141148419576526E-7</v>
      </c>
      <c r="J203" s="76">
        <f t="shared" si="9"/>
        <v>84.921518160985585</v>
      </c>
      <c r="K203" s="76">
        <f>MAX(0,(J203-Constantes!$D$13)*(1-EXP(-Constantes!$D$23)))</f>
        <v>0.35640658382459461</v>
      </c>
      <c r="L203" s="76">
        <f t="shared" si="10"/>
        <v>0.35640670523607881</v>
      </c>
      <c r="M203" s="76">
        <f>0.0526*F203*Observaciones!$F202^1.218</f>
        <v>0</v>
      </c>
      <c r="N203" s="76">
        <f>M203*Constantes!$D$51</f>
        <v>0</v>
      </c>
      <c r="O203" s="76">
        <f t="shared" si="11"/>
        <v>0</v>
      </c>
      <c r="P203" s="15"/>
      <c r="Q203" s="75">
        <v>197</v>
      </c>
      <c r="R203" s="76">
        <f>0.0526*Observaciones!$F202^2.218</f>
        <v>0</v>
      </c>
      <c r="S203" s="76">
        <f>IF(Observaciones!$F202&gt;0.05*$W$7,((Observaciones!$F202-0.05*$W$7)^2)/(Observaciones!$F202+0.95*$W$7),0)</f>
        <v>0</v>
      </c>
      <c r="T203" s="76">
        <f>0.0526*S203*Observaciones!$F202^1.218</f>
        <v>0</v>
      </c>
      <c r="U203" s="29"/>
      <c r="V203" s="29"/>
      <c r="W203" s="109"/>
      <c r="X203" s="40"/>
    </row>
    <row r="204" spans="2:24" s="2" customFormat="1">
      <c r="B204" s="39"/>
      <c r="C204" s="75">
        <v>198</v>
      </c>
      <c r="D204" s="146">
        <f>ETo!$I203*((1-Constantes!$D$19)*ETo!$K203+ETo!$L203)</f>
        <v>2.4419065630285375</v>
      </c>
      <c r="E204" s="76">
        <f>MIN(D204*Constantes!$D$17,0.8*(H203+Observaciones!$F203-F204-G204-Constantes!$D$14))</f>
        <v>2.8514010466551555E-6</v>
      </c>
      <c r="F204" s="76">
        <f>IF(Observaciones!$F203&gt;0.05*Constantes!$D$18,((Observaciones!$F203-0.05*Constantes!$D$18)^2)/(Observaciones!$F203+0.95*Constantes!$D$18),0)</f>
        <v>0</v>
      </c>
      <c r="G204" s="76">
        <f>MAX(0,H203+Observaciones!$F203-F204-Constantes!$D$13)</f>
        <v>0</v>
      </c>
      <c r="H204" s="76">
        <f>H203+Observaciones!$F203-F204-E204-G204-I203</f>
        <v>11.250000591438779</v>
      </c>
      <c r="I204" s="76">
        <f>MAX(0,(H204-Constantes!$D$14)*(1-EXP(-Constantes!$D$22)))</f>
        <v>2.0146576023524847E-8</v>
      </c>
      <c r="J204" s="76">
        <f t="shared" si="9"/>
        <v>84.565111577160991</v>
      </c>
      <c r="K204" s="76">
        <f>MAX(0,(J204-Constantes!$D$13)*(1-EXP(-Constantes!$D$23)))</f>
        <v>0.35289482486473633</v>
      </c>
      <c r="L204" s="76">
        <f t="shared" si="10"/>
        <v>0.35289484501131235</v>
      </c>
      <c r="M204" s="76">
        <f>0.0526*F204*Observaciones!$F203^1.218</f>
        <v>0</v>
      </c>
      <c r="N204" s="76">
        <f>M204*Constantes!$D$51</f>
        <v>0</v>
      </c>
      <c r="O204" s="76">
        <f t="shared" si="11"/>
        <v>0</v>
      </c>
      <c r="P204" s="15"/>
      <c r="Q204" s="75">
        <v>198</v>
      </c>
      <c r="R204" s="76">
        <f>0.0526*Observaciones!$F203^2.218</f>
        <v>0</v>
      </c>
      <c r="S204" s="76">
        <f>IF(Observaciones!$F203&gt;0.05*$W$7,((Observaciones!$F203-0.05*$W$7)^2)/(Observaciones!$F203+0.95*$W$7),0)</f>
        <v>0</v>
      </c>
      <c r="T204" s="76">
        <f>0.0526*S204*Observaciones!$F203^1.218</f>
        <v>0</v>
      </c>
      <c r="U204" s="29"/>
      <c r="V204" s="29"/>
      <c r="W204" s="109"/>
      <c r="X204" s="40"/>
    </row>
    <row r="205" spans="2:24" s="2" customFormat="1">
      <c r="B205" s="39"/>
      <c r="C205" s="75">
        <v>199</v>
      </c>
      <c r="D205" s="146">
        <f>ETo!$I204*((1-Constantes!$D$19)*ETo!$K204+ETo!$L204)</f>
        <v>2.493245313577745</v>
      </c>
      <c r="E205" s="76">
        <f>MIN(D205*Constantes!$D$17,0.8*(H204+Observaciones!$F204-F205-G205-Constantes!$D$14))</f>
        <v>0.1600004731510225</v>
      </c>
      <c r="F205" s="76">
        <f>IF(Observaciones!$F204&gt;0.05*Constantes!$D$18,((Observaciones!$F204-0.05*Constantes!$D$18)^2)/(Observaciones!$F204+0.95*Constantes!$D$18),0)</f>
        <v>0</v>
      </c>
      <c r="G205" s="76">
        <f>MAX(0,H204+Observaciones!$F204-F205-Constantes!$D$13)</f>
        <v>0</v>
      </c>
      <c r="H205" s="76">
        <f>H204+Observaciones!$F204-F205-E205-G205-I204</f>
        <v>11.29000009814118</v>
      </c>
      <c r="I205" s="76">
        <f>MAX(0,(H205-Constantes!$D$14)*(1-EXP(-Constantes!$D$22)))</f>
        <v>1.3625501860550389E-3</v>
      </c>
      <c r="J205" s="76">
        <f t="shared" si="9"/>
        <v>84.212216752296257</v>
      </c>
      <c r="K205" s="76">
        <f>MAX(0,(J205-Constantes!$D$13)*(1-EXP(-Constantes!$D$23)))</f>
        <v>0.34941766810234537</v>
      </c>
      <c r="L205" s="76">
        <f t="shared" si="10"/>
        <v>0.35078021828840039</v>
      </c>
      <c r="M205" s="76">
        <f>0.0526*F205*Observaciones!$F204^1.218</f>
        <v>0</v>
      </c>
      <c r="N205" s="76">
        <f>M205*Constantes!$D$51</f>
        <v>0</v>
      </c>
      <c r="O205" s="76">
        <f t="shared" si="11"/>
        <v>0</v>
      </c>
      <c r="P205" s="15"/>
      <c r="Q205" s="75">
        <v>199</v>
      </c>
      <c r="R205" s="76">
        <f>0.0526*Observaciones!$F204^2.218</f>
        <v>1.4813929535417848E-3</v>
      </c>
      <c r="S205" s="76">
        <f>IF(Observaciones!$F204&gt;0.05*$W$7,((Observaciones!$F204-0.05*$W$7)^2)/(Observaciones!$F204+0.95*$W$7),0)</f>
        <v>0</v>
      </c>
      <c r="T205" s="76">
        <f>0.0526*S205*Observaciones!$F204^1.218</f>
        <v>0</v>
      </c>
      <c r="U205" s="29"/>
      <c r="V205" s="29"/>
      <c r="W205" s="109"/>
      <c r="X205" s="40"/>
    </row>
    <row r="206" spans="2:24" s="2" customFormat="1">
      <c r="B206" s="39"/>
      <c r="C206" s="75">
        <v>200</v>
      </c>
      <c r="D206" s="146">
        <f>ETo!$I205*((1-Constantes!$D$19)*ETo!$K205+ETo!$L205)</f>
        <v>2.4980752559414756</v>
      </c>
      <c r="E206" s="76">
        <f>MIN(D206*Constantes!$D$17,0.8*(H205+Observaciones!$F205-F206-G206-Constantes!$D$14))</f>
        <v>1.2737284835813489</v>
      </c>
      <c r="F206" s="76">
        <f>IF(Observaciones!$F205&gt;0.05*Constantes!$D$18,((Observaciones!$F205-0.05*Constantes!$D$18)^2)/(Observaciones!$F205+0.95*Constantes!$D$18),0)</f>
        <v>0</v>
      </c>
      <c r="G206" s="76">
        <f>MAX(0,H205+Observaciones!$F205-F206-Constantes!$D$13)</f>
        <v>0</v>
      </c>
      <c r="H206" s="76">
        <f>H205+Observaciones!$F205-F206-E206-G206-I205</f>
        <v>11.614909064373775</v>
      </c>
      <c r="I206" s="76">
        <f>MAX(0,(H206-Constantes!$D$14)*(1-EXP(-Constantes!$D$22)))</f>
        <v>1.2430142341170604E-2</v>
      </c>
      <c r="J206" s="76">
        <f t="shared" si="9"/>
        <v>83.862799084193909</v>
      </c>
      <c r="K206" s="76">
        <f>MAX(0,(J206-Constantes!$D$13)*(1-EXP(-Constantes!$D$23)))</f>
        <v>0.34597477259372839</v>
      </c>
      <c r="L206" s="76">
        <f t="shared" si="10"/>
        <v>0.35840491493489901</v>
      </c>
      <c r="M206" s="76">
        <f>0.0526*F206*Observaciones!$F205^1.218</f>
        <v>0</v>
      </c>
      <c r="N206" s="76">
        <f>M206*Constantes!$D$51</f>
        <v>0</v>
      </c>
      <c r="O206" s="76">
        <f t="shared" si="11"/>
        <v>0</v>
      </c>
      <c r="P206" s="15"/>
      <c r="Q206" s="75">
        <v>200</v>
      </c>
      <c r="R206" s="76">
        <f>0.0526*Observaciones!$F205^2.218</f>
        <v>0.14918455586023374</v>
      </c>
      <c r="S206" s="76">
        <f>IF(Observaciones!$F205&gt;0.05*$W$7,((Observaciones!$F205-0.05*$W$7)^2)/(Observaciones!$F205+0.95*$W$7),0)</f>
        <v>0</v>
      </c>
      <c r="T206" s="76">
        <f>0.0526*S206*Observaciones!$F205^1.218</f>
        <v>0</v>
      </c>
      <c r="U206" s="29"/>
      <c r="V206" s="29"/>
      <c r="W206" s="109"/>
      <c r="X206" s="40"/>
    </row>
    <row r="207" spans="2:24" s="2" customFormat="1">
      <c r="B207" s="39"/>
      <c r="C207" s="75">
        <v>201</v>
      </c>
      <c r="D207" s="146">
        <f>ETo!$I206*((1-Constantes!$D$19)*ETo!$K206+ETo!$L206)</f>
        <v>2.4470842700112385</v>
      </c>
      <c r="E207" s="76">
        <f>MIN(D207*Constantes!$D$17,0.8*(H206+Observaciones!$F206-F207-G207-Constantes!$D$14))</f>
        <v>1.2477289981652215</v>
      </c>
      <c r="F207" s="76">
        <f>IF(Observaciones!$F206&gt;0.05*Constantes!$D$18,((Observaciones!$F206-0.05*Constantes!$D$18)^2)/(Observaciones!$F206+0.95*Constantes!$D$18),0)</f>
        <v>2.8475740756648989E-2</v>
      </c>
      <c r="G207" s="76">
        <f>MAX(0,H206+Observaciones!$F206-F207-Constantes!$D$13)</f>
        <v>0</v>
      </c>
      <c r="H207" s="76">
        <f>H206+Observaciones!$F206-F207-E207-G207-I206</f>
        <v>15.426274183110735</v>
      </c>
      <c r="I207" s="76">
        <f>MAX(0,(H207-Constantes!$D$14)*(1-EXP(-Constantes!$D$22)))</f>
        <v>0.1422592300931432</v>
      </c>
      <c r="J207" s="76">
        <f t="shared" si="9"/>
        <v>83.516824311600175</v>
      </c>
      <c r="K207" s="76">
        <f>MAX(0,(J207-Constantes!$D$13)*(1-EXP(-Constantes!$D$23)))</f>
        <v>0.34256580075459164</v>
      </c>
      <c r="L207" s="76">
        <f t="shared" si="10"/>
        <v>0.51330077160438381</v>
      </c>
      <c r="M207" s="76">
        <f>0.0526*F207*Observaciones!$F206^1.218</f>
        <v>1.0896355128454986E-2</v>
      </c>
      <c r="N207" s="76">
        <f>M207*Constantes!$D$51</f>
        <v>1.5320162510455492E-4</v>
      </c>
      <c r="O207" s="76">
        <f t="shared" si="11"/>
        <v>29.84636563582491</v>
      </c>
      <c r="P207" s="15"/>
      <c r="Q207" s="75">
        <v>201</v>
      </c>
      <c r="R207" s="76">
        <f>0.0526*Observaciones!$F206^2.218</f>
        <v>1.9515352253705529</v>
      </c>
      <c r="S207" s="76">
        <f>IF(Observaciones!$F206&gt;0.05*$W$7,((Observaciones!$F206-0.05*$W$7)^2)/(Observaciones!$F206+0.95*$W$7),0)</f>
        <v>0.29850768176925341</v>
      </c>
      <c r="T207" s="76">
        <f>0.0526*S207*Observaciones!$F206^1.218</f>
        <v>0.11422514823851004</v>
      </c>
      <c r="U207" s="29"/>
      <c r="V207" s="29"/>
      <c r="W207" s="109"/>
      <c r="X207" s="40"/>
    </row>
    <row r="208" spans="2:24" s="2" customFormat="1">
      <c r="B208" s="39"/>
      <c r="C208" s="75">
        <v>202</v>
      </c>
      <c r="D208" s="146">
        <f>ETo!$I207*((1-Constantes!$D$19)*ETo!$K207+ETo!$L207)</f>
        <v>2.3904587126430354</v>
      </c>
      <c r="E208" s="76">
        <f>MIN(D208*Constantes!$D$17,0.8*(H207+Observaciones!$F207-F208-G208-Constantes!$D$14))</f>
        <v>1.2188565351971805</v>
      </c>
      <c r="F208" s="76">
        <f>IF(Observaciones!$F207&gt;0.05*Constantes!$D$18,((Observaciones!$F207-0.05*Constantes!$D$18)^2)/(Observaciones!$F207+0.95*Constantes!$D$18),0)</f>
        <v>0.12288501690119562</v>
      </c>
      <c r="G208" s="76">
        <f>MAX(0,H207+Observaciones!$F207-F208-Constantes!$D$13)</f>
        <v>0</v>
      </c>
      <c r="H208" s="76">
        <f>H207+Observaciones!$F207-F208-E208-G208-I207</f>
        <v>20.642273400919215</v>
      </c>
      <c r="I208" s="76">
        <f>MAX(0,(H208-Constantes!$D$14)*(1-EXP(-Constantes!$D$22)))</f>
        <v>0.31993531177683393</v>
      </c>
      <c r="J208" s="76">
        <f t="shared" si="9"/>
        <v>83.17425851084559</v>
      </c>
      <c r="K208" s="76">
        <f>MAX(0,(J208-Constantes!$D$13)*(1-EXP(-Constantes!$D$23)))</f>
        <v>0.33919041832693986</v>
      </c>
      <c r="L208" s="76">
        <f t="shared" si="10"/>
        <v>0.78201074700496942</v>
      </c>
      <c r="M208" s="76">
        <f>0.0526*F208*Observaciones!$F207^1.218</f>
        <v>6.556073101444794E-2</v>
      </c>
      <c r="N208" s="76">
        <f>M208*Constantes!$D$51</f>
        <v>9.2177709115104616E-4</v>
      </c>
      <c r="O208" s="76">
        <f t="shared" si="11"/>
        <v>117.872688410149</v>
      </c>
      <c r="P208" s="15"/>
      <c r="Q208" s="75">
        <v>202</v>
      </c>
      <c r="R208" s="76">
        <f>0.0526*Observaciones!$F207^2.218</f>
        <v>3.5745358455700194</v>
      </c>
      <c r="S208" s="76">
        <f>IF(Observaciones!$F207&gt;0.05*$W$7,((Observaciones!$F207-0.05*$W$7)^2)/(Observaciones!$F207+0.95*$W$7),0)</f>
        <v>0.62323226526715592</v>
      </c>
      <c r="T208" s="76">
        <f>0.0526*S208*Observaciones!$F207^1.218</f>
        <v>0.33250239885272398</v>
      </c>
      <c r="U208" s="29"/>
      <c r="V208" s="29"/>
      <c r="W208" s="109"/>
      <c r="X208" s="40"/>
    </row>
    <row r="209" spans="2:24" s="2" customFormat="1">
      <c r="B209" s="39"/>
      <c r="C209" s="75">
        <v>203</v>
      </c>
      <c r="D209" s="146">
        <f>ETo!$I208*((1-Constantes!$D$19)*ETo!$K208+ETo!$L208)</f>
        <v>2.5591604037520312</v>
      </c>
      <c r="E209" s="76">
        <f>MIN(D209*Constantes!$D$17,0.8*(H208+Observaciones!$F208-F209-G209-Constantes!$D$14))</f>
        <v>1.3048748201478819</v>
      </c>
      <c r="F209" s="76">
        <f>IF(Observaciones!$F208&gt;0.05*Constantes!$D$18,((Observaciones!$F208-0.05*Constantes!$D$18)^2)/(Observaciones!$F208+0.95*Constantes!$D$18),0)</f>
        <v>0</v>
      </c>
      <c r="G209" s="76">
        <f>MAX(0,H208+Observaciones!$F208-F209-Constantes!$D$13)</f>
        <v>0</v>
      </c>
      <c r="H209" s="76">
        <f>H208+Observaciones!$F208-F209-E209-G209-I208</f>
        <v>19.017463268994501</v>
      </c>
      <c r="I209" s="76">
        <f>MAX(0,(H209-Constantes!$D$14)*(1-EXP(-Constantes!$D$22)))</f>
        <v>0.26458831388337223</v>
      </c>
      <c r="J209" s="76">
        <f t="shared" si="9"/>
        <v>82.835068092518654</v>
      </c>
      <c r="K209" s="76">
        <f>MAX(0,(J209-Constantes!$D$13)*(1-EXP(-Constantes!$D$23)))</f>
        <v>0.33584829434630115</v>
      </c>
      <c r="L209" s="76">
        <f t="shared" si="10"/>
        <v>0.60043660822967337</v>
      </c>
      <c r="M209" s="76">
        <f>0.0526*F209*Observaciones!$F208^1.218</f>
        <v>0</v>
      </c>
      <c r="N209" s="76">
        <f>M209*Constantes!$D$51</f>
        <v>0</v>
      </c>
      <c r="O209" s="76">
        <f t="shared" si="11"/>
        <v>0</v>
      </c>
      <c r="P209" s="15"/>
      <c r="Q209" s="75">
        <v>203</v>
      </c>
      <c r="R209" s="76">
        <f>0.0526*Observaciones!$F208^2.218</f>
        <v>0</v>
      </c>
      <c r="S209" s="76">
        <f>IF(Observaciones!$F208&gt;0.05*$W$7,((Observaciones!$F208-0.05*$W$7)^2)/(Observaciones!$F208+0.95*$W$7),0)</f>
        <v>0</v>
      </c>
      <c r="T209" s="76">
        <f>0.0526*S209*Observaciones!$F208^1.218</f>
        <v>0</v>
      </c>
      <c r="U209" s="29"/>
      <c r="V209" s="29"/>
      <c r="W209" s="109"/>
      <c r="X209" s="40"/>
    </row>
    <row r="210" spans="2:24" s="2" customFormat="1">
      <c r="B210" s="39"/>
      <c r="C210" s="75">
        <v>204</v>
      </c>
      <c r="D210" s="146">
        <f>ETo!$I209*((1-Constantes!$D$19)*ETo!$K209+ETo!$L209)</f>
        <v>2.5351793926110946</v>
      </c>
      <c r="E210" s="76">
        <f>MIN(D210*Constantes!$D$17,0.8*(H209+Observaciones!$F209-F210-G210-Constantes!$D$14))</f>
        <v>1.2926472874173756</v>
      </c>
      <c r="F210" s="76">
        <f>IF(Observaciones!$F209&gt;0.05*Constantes!$D$18,((Observaciones!$F209-0.05*Constantes!$D$18)^2)/(Observaciones!$F209+0.95*Constantes!$D$18),0)</f>
        <v>0</v>
      </c>
      <c r="G210" s="76">
        <f>MAX(0,H209+Observaciones!$F209-F210-Constantes!$D$13)</f>
        <v>0</v>
      </c>
      <c r="H210" s="76">
        <f>H209+Observaciones!$F209-F210-E210-G210-I209</f>
        <v>17.460227667693754</v>
      </c>
      <c r="I210" s="76">
        <f>MAX(0,(H210-Constantes!$D$14)*(1-EXP(-Constantes!$D$22)))</f>
        <v>0.2115431525741433</v>
      </c>
      <c r="J210" s="76">
        <f t="shared" si="9"/>
        <v>82.499219798172348</v>
      </c>
      <c r="K210" s="76">
        <f>MAX(0,(J210-Constantes!$D$13)*(1-EXP(-Constantes!$D$23)))</f>
        <v>0.33253910110927548</v>
      </c>
      <c r="L210" s="76">
        <f t="shared" si="10"/>
        <v>0.54408225368341878</v>
      </c>
      <c r="M210" s="76">
        <f>0.0526*F210*Observaciones!$F209^1.218</f>
        <v>0</v>
      </c>
      <c r="N210" s="76">
        <f>M210*Constantes!$D$51</f>
        <v>0</v>
      </c>
      <c r="O210" s="76">
        <f t="shared" si="11"/>
        <v>0</v>
      </c>
      <c r="P210" s="15"/>
      <c r="Q210" s="75">
        <v>204</v>
      </c>
      <c r="R210" s="76">
        <f>0.0526*Observaciones!$F209^2.218</f>
        <v>0</v>
      </c>
      <c r="S210" s="76">
        <f>IF(Observaciones!$F209&gt;0.05*$W$7,((Observaciones!$F209-0.05*$W$7)^2)/(Observaciones!$F209+0.95*$W$7),0)</f>
        <v>0</v>
      </c>
      <c r="T210" s="76">
        <f>0.0526*S210*Observaciones!$F209^1.218</f>
        <v>0</v>
      </c>
      <c r="U210" s="29"/>
      <c r="V210" s="29"/>
      <c r="W210" s="109"/>
      <c r="X210" s="40"/>
    </row>
    <row r="211" spans="2:24" s="2" customFormat="1">
      <c r="B211" s="39"/>
      <c r="C211" s="75">
        <v>205</v>
      </c>
      <c r="D211" s="146">
        <f>ETo!$I210*((1-Constantes!$D$19)*ETo!$K210+ETo!$L210)</f>
        <v>2.5988607369229908</v>
      </c>
      <c r="E211" s="76">
        <f>MIN(D211*Constantes!$D$17,0.8*(H210+Observaciones!$F210-F211-G211-Constantes!$D$14))</f>
        <v>1.3251173829158571</v>
      </c>
      <c r="F211" s="76">
        <f>IF(Observaciones!$F210&gt;0.05*Constantes!$D$18,((Observaciones!$F210-0.05*Constantes!$D$18)^2)/(Observaciones!$F210+0.95*Constantes!$D$18),0)</f>
        <v>0</v>
      </c>
      <c r="G211" s="76">
        <f>MAX(0,H210+Observaciones!$F210-F211-Constantes!$D$13)</f>
        <v>0</v>
      </c>
      <c r="H211" s="76">
        <f>H210+Observaciones!$F210-F211-E211-G211-I210</f>
        <v>15.923567132203756</v>
      </c>
      <c r="I211" s="76">
        <f>MAX(0,(H211-Constantes!$D$14)*(1-EXP(-Constantes!$D$22)))</f>
        <v>0.15919885353904137</v>
      </c>
      <c r="J211" s="76">
        <f t="shared" si="9"/>
        <v>82.166680697063072</v>
      </c>
      <c r="K211" s="76">
        <f>MAX(0,(J211-Constantes!$D$13)*(1-EXP(-Constantes!$D$23)))</f>
        <v>0.32926251414140273</v>
      </c>
      <c r="L211" s="76">
        <f t="shared" si="10"/>
        <v>0.48846136768044413</v>
      </c>
      <c r="M211" s="76">
        <f>0.0526*F211*Observaciones!$F210^1.218</f>
        <v>0</v>
      </c>
      <c r="N211" s="76">
        <f>M211*Constantes!$D$51</f>
        <v>0</v>
      </c>
      <c r="O211" s="76">
        <f t="shared" si="11"/>
        <v>0</v>
      </c>
      <c r="P211" s="15"/>
      <c r="Q211" s="75">
        <v>205</v>
      </c>
      <c r="R211" s="76">
        <f>0.0526*Observaciones!$F210^2.218</f>
        <v>0</v>
      </c>
      <c r="S211" s="76">
        <f>IF(Observaciones!$F210&gt;0.05*$W$7,((Observaciones!$F210-0.05*$W$7)^2)/(Observaciones!$F210+0.95*$W$7),0)</f>
        <v>0</v>
      </c>
      <c r="T211" s="76">
        <f>0.0526*S211*Observaciones!$F210^1.218</f>
        <v>0</v>
      </c>
      <c r="U211" s="29"/>
      <c r="V211" s="29"/>
      <c r="W211" s="109"/>
      <c r="X211" s="40"/>
    </row>
    <row r="212" spans="2:24" s="2" customFormat="1">
      <c r="B212" s="39"/>
      <c r="C212" s="75">
        <v>206</v>
      </c>
      <c r="D212" s="146">
        <f>ETo!$I211*((1-Constantes!$D$19)*ETo!$K211+ETo!$L211)</f>
        <v>2.6116466061112749</v>
      </c>
      <c r="E212" s="76">
        <f>MIN(D212*Constantes!$D$17,0.8*(H211+Observaciones!$F211-F212-G212-Constantes!$D$14))</f>
        <v>1.3316366924257399</v>
      </c>
      <c r="F212" s="76">
        <f>IF(Observaciones!$F211&gt;0.05*Constantes!$D$18,((Observaciones!$F211-0.05*Constantes!$D$18)^2)/(Observaciones!$F211+0.95*Constantes!$D$18),0)</f>
        <v>0</v>
      </c>
      <c r="G212" s="76">
        <f>MAX(0,H211+Observaciones!$F211-F212-Constantes!$D$13)</f>
        <v>0</v>
      </c>
      <c r="H212" s="76">
        <f>H211+Observaciones!$F211-F212-E212-G212-I211</f>
        <v>14.432731586238974</v>
      </c>
      <c r="I212" s="76">
        <f>MAX(0,(H212-Constantes!$D$14)*(1-EXP(-Constantes!$D$22)))</f>
        <v>0.10841552187414882</v>
      </c>
      <c r="J212" s="76">
        <f t="shared" si="9"/>
        <v>81.837418182921667</v>
      </c>
      <c r="K212" s="76">
        <f>MAX(0,(J212-Constantes!$D$13)*(1-EXP(-Constantes!$D$23)))</f>
        <v>0.3260182121653466</v>
      </c>
      <c r="L212" s="76">
        <f t="shared" si="10"/>
        <v>0.43443373403949542</v>
      </c>
      <c r="M212" s="76">
        <f>0.0526*F212*Observaciones!$F211^1.218</f>
        <v>0</v>
      </c>
      <c r="N212" s="76">
        <f>M212*Constantes!$D$51</f>
        <v>0</v>
      </c>
      <c r="O212" s="76">
        <f t="shared" si="11"/>
        <v>0</v>
      </c>
      <c r="P212" s="15"/>
      <c r="Q212" s="75">
        <v>206</v>
      </c>
      <c r="R212" s="76">
        <f>0.0526*Observaciones!$F211^2.218</f>
        <v>0</v>
      </c>
      <c r="S212" s="76">
        <f>IF(Observaciones!$F211&gt;0.05*$W$7,((Observaciones!$F211-0.05*$W$7)^2)/(Observaciones!$F211+0.95*$W$7),0)</f>
        <v>0</v>
      </c>
      <c r="T212" s="76">
        <f>0.0526*S212*Observaciones!$F211^1.218</f>
        <v>0</v>
      </c>
      <c r="U212" s="29"/>
      <c r="V212" s="29"/>
      <c r="W212" s="109"/>
      <c r="X212" s="40"/>
    </row>
    <row r="213" spans="2:24" s="2" customFormat="1">
      <c r="B213" s="39"/>
      <c r="C213" s="75">
        <v>207</v>
      </c>
      <c r="D213" s="146">
        <f>ETo!$I212*((1-Constantes!$D$19)*ETo!$K212+ETo!$L212)</f>
        <v>2.5515362998372089</v>
      </c>
      <c r="E213" s="76">
        <f>MIN(D213*Constantes!$D$17,0.8*(H212+Observaciones!$F212-F213-G213-Constantes!$D$14))</f>
        <v>1.3009874119142844</v>
      </c>
      <c r="F213" s="76">
        <f>IF(Observaciones!$F212&gt;0.05*Constantes!$D$18,((Observaciones!$F212-0.05*Constantes!$D$18)^2)/(Observaciones!$F212+0.95*Constantes!$D$18),0)</f>
        <v>0</v>
      </c>
      <c r="G213" s="76">
        <f>MAX(0,H212+Observaciones!$F212-F213-Constantes!$D$13)</f>
        <v>0</v>
      </c>
      <c r="H213" s="76">
        <f>H212+Observaciones!$F212-F213-E213-G213-I212</f>
        <v>13.023328652450541</v>
      </c>
      <c r="I213" s="76">
        <f>MAX(0,(H213-Constantes!$D$14)*(1-EXP(-Constantes!$D$22)))</f>
        <v>6.0406083925222023E-2</v>
      </c>
      <c r="J213" s="76">
        <f t="shared" si="9"/>
        <v>81.511399970756315</v>
      </c>
      <c r="K213" s="76">
        <f>MAX(0,(J213-Constantes!$D$13)*(1-EXP(-Constantes!$D$23)))</f>
        <v>0.32280587706939307</v>
      </c>
      <c r="L213" s="76">
        <f t="shared" si="10"/>
        <v>0.38321196099461508</v>
      </c>
      <c r="M213" s="76">
        <f>0.0526*F213*Observaciones!$F212^1.218</f>
        <v>0</v>
      </c>
      <c r="N213" s="76">
        <f>M213*Constantes!$D$51</f>
        <v>0</v>
      </c>
      <c r="O213" s="76">
        <f t="shared" si="11"/>
        <v>0</v>
      </c>
      <c r="P213" s="15"/>
      <c r="Q213" s="75">
        <v>207</v>
      </c>
      <c r="R213" s="76">
        <f>0.0526*Observaciones!$F212^2.218</f>
        <v>0</v>
      </c>
      <c r="S213" s="76">
        <f>IF(Observaciones!$F212&gt;0.05*$W$7,((Observaciones!$F212-0.05*$W$7)^2)/(Observaciones!$F212+0.95*$W$7),0)</f>
        <v>0</v>
      </c>
      <c r="T213" s="76">
        <f>0.0526*S213*Observaciones!$F212^1.218</f>
        <v>0</v>
      </c>
      <c r="U213" s="29"/>
      <c r="V213" s="29"/>
      <c r="W213" s="109"/>
      <c r="X213" s="40"/>
    </row>
    <row r="214" spans="2:24" s="2" customFormat="1">
      <c r="B214" s="39"/>
      <c r="C214" s="75">
        <v>208</v>
      </c>
      <c r="D214" s="146">
        <f>ETo!$I213*((1-Constantes!$D$19)*ETo!$K213+ETo!$L213)</f>
        <v>2.5584351387585538</v>
      </c>
      <c r="E214" s="76">
        <f>MIN(D214*Constantes!$D$17,0.8*(H213+Observaciones!$F213-F214-G214-Constantes!$D$14))</f>
        <v>1.3045050191668508</v>
      </c>
      <c r="F214" s="76">
        <f>IF(Observaciones!$F213&gt;0.05*Constantes!$D$18,((Observaciones!$F213-0.05*Constantes!$D$18)^2)/(Observaciones!$F213+0.95*Constantes!$D$18),0)</f>
        <v>0</v>
      </c>
      <c r="G214" s="76">
        <f>MAX(0,H213+Observaciones!$F213-F214-Constantes!$D$13)</f>
        <v>0</v>
      </c>
      <c r="H214" s="76">
        <f>H213+Observaciones!$F213-F214-E214-G214-I213</f>
        <v>11.658417549358468</v>
      </c>
      <c r="I214" s="76">
        <f>MAX(0,(H214-Constantes!$D$14)*(1-EXP(-Constantes!$D$22)))</f>
        <v>1.3912201062667493E-2</v>
      </c>
      <c r="J214" s="76">
        <f t="shared" si="9"/>
        <v>81.188594093686916</v>
      </c>
      <c r="K214" s="76">
        <f>MAX(0,(J214-Constantes!$D$13)*(1-EXP(-Constantes!$D$23)))</f>
        <v>0.31962519387625854</v>
      </c>
      <c r="L214" s="76">
        <f t="shared" si="10"/>
        <v>0.33353739493892604</v>
      </c>
      <c r="M214" s="76">
        <f>0.0526*F214*Observaciones!$F213^1.218</f>
        <v>0</v>
      </c>
      <c r="N214" s="76">
        <f>M214*Constantes!$D$51</f>
        <v>0</v>
      </c>
      <c r="O214" s="76">
        <f t="shared" si="11"/>
        <v>0</v>
      </c>
      <c r="P214" s="15"/>
      <c r="Q214" s="75">
        <v>208</v>
      </c>
      <c r="R214" s="76">
        <f>0.0526*Observaciones!$F213^2.218</f>
        <v>0</v>
      </c>
      <c r="S214" s="76">
        <f>IF(Observaciones!$F213&gt;0.05*$W$7,((Observaciones!$F213-0.05*$W$7)^2)/(Observaciones!$F213+0.95*$W$7),0)</f>
        <v>0</v>
      </c>
      <c r="T214" s="76">
        <f>0.0526*S214*Observaciones!$F213^1.218</f>
        <v>0</v>
      </c>
      <c r="U214" s="29"/>
      <c r="V214" s="29"/>
      <c r="W214" s="109"/>
      <c r="X214" s="40"/>
    </row>
    <row r="215" spans="2:24" s="2" customFormat="1">
      <c r="B215" s="39"/>
      <c r="C215" s="75">
        <v>209</v>
      </c>
      <c r="D215" s="146">
        <f>ETo!$I214*((1-Constantes!$D$19)*ETo!$K214+ETo!$L214)</f>
        <v>2.6054355343606921</v>
      </c>
      <c r="E215" s="76">
        <f>MIN(D215*Constantes!$D$17,0.8*(H214+Observaciones!$F214-F215-G215-Constantes!$D$14))</f>
        <v>0.32673403948677449</v>
      </c>
      <c r="F215" s="76">
        <f>IF(Observaciones!$F214&gt;0.05*Constantes!$D$18,((Observaciones!$F214-0.05*Constantes!$D$18)^2)/(Observaciones!$F214+0.95*Constantes!$D$18),0)</f>
        <v>0</v>
      </c>
      <c r="G215" s="76">
        <f>MAX(0,H214+Observaciones!$F214-F215-Constantes!$D$13)</f>
        <v>0</v>
      </c>
      <c r="H215" s="76">
        <f>H214+Observaciones!$F214-F215-E215-G215-I214</f>
        <v>11.317771308809025</v>
      </c>
      <c r="I215" s="76">
        <f>MAX(0,(H215-Constantes!$D$14)*(1-EXP(-Constantes!$D$22)))</f>
        <v>2.3085395716033429E-3</v>
      </c>
      <c r="J215" s="76">
        <f t="shared" si="9"/>
        <v>80.868968899810653</v>
      </c>
      <c r="K215" s="76">
        <f>MAX(0,(J215-Constantes!$D$13)*(1-EXP(-Constantes!$D$23)))</f>
        <v>0.31647585071220574</v>
      </c>
      <c r="L215" s="76">
        <f t="shared" si="10"/>
        <v>0.31878439028380906</v>
      </c>
      <c r="M215" s="76">
        <f>0.0526*F215*Observaciones!$F214^1.218</f>
        <v>0</v>
      </c>
      <c r="N215" s="76">
        <f>M215*Constantes!$D$51</f>
        <v>0</v>
      </c>
      <c r="O215" s="76">
        <f t="shared" si="11"/>
        <v>0</v>
      </c>
      <c r="P215" s="15"/>
      <c r="Q215" s="75">
        <v>209</v>
      </c>
      <c r="R215" s="76">
        <f>0.0526*Observaciones!$F214^2.218</f>
        <v>0</v>
      </c>
      <c r="S215" s="76">
        <f>IF(Observaciones!$F214&gt;0.05*$W$7,((Observaciones!$F214-0.05*$W$7)^2)/(Observaciones!$F214+0.95*$W$7),0)</f>
        <v>0</v>
      </c>
      <c r="T215" s="76">
        <f>0.0526*S215*Observaciones!$F214^1.218</f>
        <v>0</v>
      </c>
      <c r="U215" s="29"/>
      <c r="V215" s="29"/>
      <c r="W215" s="109"/>
      <c r="X215" s="40"/>
    </row>
    <row r="216" spans="2:24" s="2" customFormat="1">
      <c r="B216" s="39"/>
      <c r="C216" s="75">
        <v>210</v>
      </c>
      <c r="D216" s="146">
        <f>ETo!$I215*((1-Constantes!$D$19)*ETo!$K215+ETo!$L215)</f>
        <v>2.6345521529102429</v>
      </c>
      <c r="E216" s="76">
        <f>MIN(D216*Constantes!$D$17,0.8*(H215+Observaciones!$F215-F216-G216-Constantes!$D$14))</f>
        <v>5.4217047047220038E-2</v>
      </c>
      <c r="F216" s="76">
        <f>IF(Observaciones!$F215&gt;0.05*Constantes!$D$18,((Observaciones!$F215-0.05*Constantes!$D$18)^2)/(Observaciones!$F215+0.95*Constantes!$D$18),0)</f>
        <v>0</v>
      </c>
      <c r="G216" s="76">
        <f>MAX(0,H215+Observaciones!$F215-F216-Constantes!$D$13)</f>
        <v>0</v>
      </c>
      <c r="H216" s="76">
        <f>H215+Observaciones!$F215-F216-E216-G216-I215</f>
        <v>11.261245722190202</v>
      </c>
      <c r="I216" s="76">
        <f>MAX(0,(H216-Constantes!$D$14)*(1-EXP(-Constantes!$D$22)))</f>
        <v>3.830705816895919E-4</v>
      </c>
      <c r="J216" s="76">
        <f t="shared" si="9"/>
        <v>80.552493049098445</v>
      </c>
      <c r="K216" s="76">
        <f>MAX(0,(J216-Constantes!$D$13)*(1-EXP(-Constantes!$D$23)))</f>
        <v>0.31335753877646344</v>
      </c>
      <c r="L216" s="76">
        <f t="shared" si="10"/>
        <v>0.31374060935815301</v>
      </c>
      <c r="M216" s="76">
        <f>0.0526*F216*Observaciones!$F215^1.218</f>
        <v>0</v>
      </c>
      <c r="N216" s="76">
        <f>M216*Constantes!$D$51</f>
        <v>0</v>
      </c>
      <c r="O216" s="76">
        <f t="shared" si="11"/>
        <v>0</v>
      </c>
      <c r="P216" s="15"/>
      <c r="Q216" s="75">
        <v>210</v>
      </c>
      <c r="R216" s="76">
        <f>0.0526*Observaciones!$F215^2.218</f>
        <v>0</v>
      </c>
      <c r="S216" s="76">
        <f>IF(Observaciones!$F215&gt;0.05*$W$7,((Observaciones!$F215-0.05*$W$7)^2)/(Observaciones!$F215+0.95*$W$7),0)</f>
        <v>0</v>
      </c>
      <c r="T216" s="76">
        <f>0.0526*S216*Observaciones!$F215^1.218</f>
        <v>0</v>
      </c>
      <c r="U216" s="29"/>
      <c r="V216" s="29"/>
      <c r="W216" s="109"/>
      <c r="X216" s="40"/>
    </row>
    <row r="217" spans="2:24" s="2" customFormat="1">
      <c r="B217" s="39"/>
      <c r="C217" s="75">
        <v>211</v>
      </c>
      <c r="D217" s="146">
        <f>ETo!$I216*((1-Constantes!$D$19)*ETo!$K216+ETo!$L216)</f>
        <v>2.7991626514538632</v>
      </c>
      <c r="E217" s="76">
        <f>MIN(D217*Constantes!$D$17,0.8*(H216+Observaciones!$F216-F217-G217-Constantes!$D$14))</f>
        <v>8.9965777521612729E-3</v>
      </c>
      <c r="F217" s="76">
        <f>IF(Observaciones!$F216&gt;0.05*Constantes!$D$18,((Observaciones!$F216-0.05*Constantes!$D$18)^2)/(Observaciones!$F216+0.95*Constantes!$D$18),0)</f>
        <v>0</v>
      </c>
      <c r="G217" s="76">
        <f>MAX(0,H216+Observaciones!$F216-F217-Constantes!$D$13)</f>
        <v>0</v>
      </c>
      <c r="H217" s="76">
        <f>H216+Observaciones!$F216-F217-E217-G217-I216</f>
        <v>11.251866073856352</v>
      </c>
      <c r="I217" s="76">
        <f>MAX(0,(H217-Constantes!$D$14)*(1-EXP(-Constantes!$D$22)))</f>
        <v>6.3565326044714223E-5</v>
      </c>
      <c r="J217" s="76">
        <f t="shared" si="9"/>
        <v>80.239135510321987</v>
      </c>
      <c r="K217" s="76">
        <f>MAX(0,(J217-Constantes!$D$13)*(1-EXP(-Constantes!$D$23)))</f>
        <v>0.31026995231094812</v>
      </c>
      <c r="L217" s="76">
        <f t="shared" si="10"/>
        <v>0.31033351763699285</v>
      </c>
      <c r="M217" s="76">
        <f>0.0526*F217*Observaciones!$F216^1.218</f>
        <v>0</v>
      </c>
      <c r="N217" s="76">
        <f>M217*Constantes!$D$51</f>
        <v>0</v>
      </c>
      <c r="O217" s="76">
        <f t="shared" si="11"/>
        <v>0</v>
      </c>
      <c r="P217" s="15"/>
      <c r="Q217" s="75">
        <v>211</v>
      </c>
      <c r="R217" s="76">
        <f>0.0526*Observaciones!$F216^2.218</f>
        <v>0</v>
      </c>
      <c r="S217" s="76">
        <f>IF(Observaciones!$F216&gt;0.05*$W$7,((Observaciones!$F216-0.05*$W$7)^2)/(Observaciones!$F216+0.95*$W$7),0)</f>
        <v>0</v>
      </c>
      <c r="T217" s="76">
        <f>0.0526*S217*Observaciones!$F216^1.218</f>
        <v>0</v>
      </c>
      <c r="U217" s="29"/>
      <c r="V217" s="29"/>
      <c r="W217" s="109"/>
      <c r="X217" s="40"/>
    </row>
    <row r="218" spans="2:24" s="2" customFormat="1">
      <c r="B218" s="39"/>
      <c r="C218" s="75">
        <v>212</v>
      </c>
      <c r="D218" s="146">
        <f>ETo!$I217*((1-Constantes!$D$19)*ETo!$K217+ETo!$L217)</f>
        <v>2.6971916123987216</v>
      </c>
      <c r="E218" s="76">
        <f>MIN(D218*Constantes!$D$17,0.8*(H217+Observaciones!$F217-F218-G218-Constantes!$D$14))</f>
        <v>1.4928590850814773E-3</v>
      </c>
      <c r="F218" s="76">
        <f>IF(Observaciones!$F217&gt;0.05*Constantes!$D$18,((Observaciones!$F217-0.05*Constantes!$D$18)^2)/(Observaciones!$F217+0.95*Constantes!$D$18),0)</f>
        <v>0</v>
      </c>
      <c r="G218" s="76">
        <f>MAX(0,H217+Observaciones!$F217-F218-Constantes!$D$13)</f>
        <v>0</v>
      </c>
      <c r="H218" s="76">
        <f>H217+Observaciones!$F217-F218-E218-G218-I217</f>
        <v>11.250309649445226</v>
      </c>
      <c r="I218" s="76">
        <f>MAX(0,(H218-Constantes!$D$14)*(1-EXP(-Constantes!$D$22)))</f>
        <v>1.0547796850787839E-5</v>
      </c>
      <c r="J218" s="76">
        <f t="shared" si="9"/>
        <v>79.92886555801104</v>
      </c>
      <c r="K218" s="76">
        <f>MAX(0,(J218-Constantes!$D$13)*(1-EXP(-Constantes!$D$23)))</f>
        <v>0.30721278857028328</v>
      </c>
      <c r="L218" s="76">
        <f t="shared" si="10"/>
        <v>0.30722333636713406</v>
      </c>
      <c r="M218" s="76">
        <f>0.0526*F218*Observaciones!$F217^1.218</f>
        <v>0</v>
      </c>
      <c r="N218" s="76">
        <f>M218*Constantes!$D$51</f>
        <v>0</v>
      </c>
      <c r="O218" s="76">
        <f t="shared" si="11"/>
        <v>0</v>
      </c>
      <c r="P218" s="15"/>
      <c r="Q218" s="75">
        <v>212</v>
      </c>
      <c r="R218" s="76">
        <f>0.0526*Observaciones!$F217^2.218</f>
        <v>0</v>
      </c>
      <c r="S218" s="76">
        <f>IF(Observaciones!$F217&gt;0.05*$W$7,((Observaciones!$F217-0.05*$W$7)^2)/(Observaciones!$F217+0.95*$W$7),0)</f>
        <v>0</v>
      </c>
      <c r="T218" s="76">
        <f>0.0526*S218*Observaciones!$F217^1.218</f>
        <v>0</v>
      </c>
      <c r="U218" s="29"/>
      <c r="V218" s="29"/>
      <c r="W218" s="109"/>
      <c r="X218" s="40"/>
    </row>
    <row r="219" spans="2:24" s="2" customFormat="1">
      <c r="B219" s="39"/>
      <c r="C219" s="75">
        <v>213</v>
      </c>
      <c r="D219" s="146">
        <f>ETo!$I218*((1-Constantes!$D$19)*ETo!$K218+ETo!$L218)</f>
        <v>2.8420829597613548</v>
      </c>
      <c r="E219" s="76">
        <f>MIN(D219*Constantes!$D$17,0.8*(H218+Observaciones!$F218-F219-G219-Constantes!$D$14))</f>
        <v>2.4771955618092535E-4</v>
      </c>
      <c r="F219" s="76">
        <f>IF(Observaciones!$F218&gt;0.05*Constantes!$D$18,((Observaciones!$F218-0.05*Constantes!$D$18)^2)/(Observaciones!$F218+0.95*Constantes!$D$18),0)</f>
        <v>0</v>
      </c>
      <c r="G219" s="76">
        <f>MAX(0,H218+Observaciones!$F218-F219-Constantes!$D$13)</f>
        <v>0</v>
      </c>
      <c r="H219" s="76">
        <f>H218+Observaciones!$F218-F219-E219-G219-I218</f>
        <v>11.250051382092193</v>
      </c>
      <c r="I219" s="76">
        <f>MAX(0,(H219-Constantes!$D$14)*(1-EXP(-Constantes!$D$22)))</f>
        <v>1.7502626876314093E-6</v>
      </c>
      <c r="J219" s="76">
        <f t="shared" si="9"/>
        <v>79.621652769440757</v>
      </c>
      <c r="K219" s="76">
        <f>MAX(0,(J219-Constantes!$D$13)*(1-EXP(-Constantes!$D$23)))</f>
        <v>0.30418574779211488</v>
      </c>
      <c r="L219" s="76">
        <f t="shared" si="10"/>
        <v>0.3041874980548025</v>
      </c>
      <c r="M219" s="76">
        <f>0.0526*F219*Observaciones!$F218^1.218</f>
        <v>0</v>
      </c>
      <c r="N219" s="76">
        <f>M219*Constantes!$D$51</f>
        <v>0</v>
      </c>
      <c r="O219" s="76">
        <f t="shared" si="11"/>
        <v>0</v>
      </c>
      <c r="P219" s="15"/>
      <c r="Q219" s="75">
        <v>213</v>
      </c>
      <c r="R219" s="76">
        <f>0.0526*Observaciones!$F218^2.218</f>
        <v>0</v>
      </c>
      <c r="S219" s="76">
        <f>IF(Observaciones!$F218&gt;0.05*$W$7,((Observaciones!$F218-0.05*$W$7)^2)/(Observaciones!$F218+0.95*$W$7),0)</f>
        <v>0</v>
      </c>
      <c r="T219" s="76">
        <f>0.0526*S219*Observaciones!$F218^1.218</f>
        <v>0</v>
      </c>
      <c r="U219" s="29"/>
      <c r="V219" s="29"/>
      <c r="W219" s="109"/>
      <c r="X219" s="40"/>
    </row>
    <row r="220" spans="2:24" s="2" customFormat="1">
      <c r="B220" s="39"/>
      <c r="C220" s="75">
        <v>214</v>
      </c>
      <c r="D220" s="146">
        <f>ETo!$I219*((1-Constantes!$D$19)*ETo!$K219+ETo!$L219)</f>
        <v>2.8222281617491181</v>
      </c>
      <c r="E220" s="76">
        <f>MIN(D220*Constantes!$D$17,0.8*(H219+Observaciones!$F219-F220-G220-Constantes!$D$14))</f>
        <v>0.3200411056737551</v>
      </c>
      <c r="F220" s="76">
        <f>IF(Observaciones!$F219&gt;0.05*Constantes!$D$18,((Observaciones!$F219-0.05*Constantes!$D$18)^2)/(Observaciones!$F219+0.95*Constantes!$D$18),0)</f>
        <v>0</v>
      </c>
      <c r="G220" s="76">
        <f>MAX(0,H219+Observaciones!$F219-F220-Constantes!$D$13)</f>
        <v>0</v>
      </c>
      <c r="H220" s="76">
        <f>H219+Observaciones!$F219-F220-E220-G220-I219</f>
        <v>11.330008526155751</v>
      </c>
      <c r="I220" s="76">
        <f>MAX(0,(H220-Constantes!$D$14)*(1-EXP(-Constantes!$D$22)))</f>
        <v>2.7253841181773988E-3</v>
      </c>
      <c r="J220" s="76">
        <f t="shared" si="9"/>
        <v>79.317467021648639</v>
      </c>
      <c r="K220" s="76">
        <f>MAX(0,(J220-Constantes!$D$13)*(1-EXP(-Constantes!$D$23)))</f>
        <v>0.30118853316771871</v>
      </c>
      <c r="L220" s="76">
        <f t="shared" si="10"/>
        <v>0.30391391728589612</v>
      </c>
      <c r="M220" s="76">
        <f>0.0526*F220*Observaciones!$F219^1.218</f>
        <v>0</v>
      </c>
      <c r="N220" s="76">
        <f>M220*Constantes!$D$51</f>
        <v>0</v>
      </c>
      <c r="O220" s="76">
        <f t="shared" si="11"/>
        <v>0</v>
      </c>
      <c r="P220" s="15"/>
      <c r="Q220" s="75">
        <v>214</v>
      </c>
      <c r="R220" s="76">
        <f>0.0526*Observaciones!$F219^2.218</f>
        <v>6.8921513346888582E-3</v>
      </c>
      <c r="S220" s="76">
        <f>IF(Observaciones!$F219&gt;0.05*$W$7,((Observaciones!$F219-0.05*$W$7)^2)/(Observaciones!$F219+0.95*$W$7),0)</f>
        <v>0</v>
      </c>
      <c r="T220" s="76">
        <f>0.0526*S220*Observaciones!$F219^1.218</f>
        <v>0</v>
      </c>
      <c r="U220" s="29"/>
      <c r="V220" s="29"/>
      <c r="W220" s="109"/>
      <c r="X220" s="40"/>
    </row>
    <row r="221" spans="2:24" s="2" customFormat="1">
      <c r="B221" s="39"/>
      <c r="C221" s="75">
        <v>215</v>
      </c>
      <c r="D221" s="146">
        <f>ETo!$I220*((1-Constantes!$D$19)*ETo!$K220+ETo!$L220)</f>
        <v>2.8377424915441565</v>
      </c>
      <c r="E221" s="76">
        <f>MIN(D221*Constantes!$D$17,0.8*(H220+Observaciones!$F220-F221-G221-Constantes!$D$14))</f>
        <v>6.4006820924601013E-2</v>
      </c>
      <c r="F221" s="76">
        <f>IF(Observaciones!$F220&gt;0.05*Constantes!$D$18,((Observaciones!$F220-0.05*Constantes!$D$18)^2)/(Observaciones!$F220+0.95*Constantes!$D$18),0)</f>
        <v>0</v>
      </c>
      <c r="G221" s="76">
        <f>MAX(0,H220+Observaciones!$F220-F221-Constantes!$D$13)</f>
        <v>0</v>
      </c>
      <c r="H221" s="76">
        <f>H220+Observaciones!$F220-F221-E221-G221-I220</f>
        <v>11.263276321112974</v>
      </c>
      <c r="I221" s="76">
        <f>MAX(0,(H221-Constantes!$D$14)*(1-EXP(-Constantes!$D$22)))</f>
        <v>4.5224023548046842E-4</v>
      </c>
      <c r="J221" s="76">
        <f t="shared" si="9"/>
        <v>79.016278488480921</v>
      </c>
      <c r="K221" s="76">
        <f>MAX(0,(J221-Constantes!$D$13)*(1-EXP(-Constantes!$D$23)))</f>
        <v>0.29822085081289762</v>
      </c>
      <c r="L221" s="76">
        <f t="shared" si="10"/>
        <v>0.29867309104837808</v>
      </c>
      <c r="M221" s="76">
        <f>0.0526*F221*Observaciones!$F220^1.218</f>
        <v>0</v>
      </c>
      <c r="N221" s="76">
        <f>M221*Constantes!$D$51</f>
        <v>0</v>
      </c>
      <c r="O221" s="76">
        <f t="shared" si="11"/>
        <v>0</v>
      </c>
      <c r="P221" s="15"/>
      <c r="Q221" s="75">
        <v>215</v>
      </c>
      <c r="R221" s="76">
        <f>0.0526*Observaciones!$F220^2.218</f>
        <v>0</v>
      </c>
      <c r="S221" s="76">
        <f>IF(Observaciones!$F220&gt;0.05*$W$7,((Observaciones!$F220-0.05*$W$7)^2)/(Observaciones!$F220+0.95*$W$7),0)</f>
        <v>0</v>
      </c>
      <c r="T221" s="76">
        <f>0.0526*S221*Observaciones!$F220^1.218</f>
        <v>0</v>
      </c>
      <c r="U221" s="29"/>
      <c r="V221" s="29"/>
      <c r="W221" s="109"/>
      <c r="X221" s="40"/>
    </row>
    <row r="222" spans="2:24" s="2" customFormat="1">
      <c r="B222" s="39"/>
      <c r="C222" s="75">
        <v>216</v>
      </c>
      <c r="D222" s="146">
        <f>ETo!$I221*((1-Constantes!$D$19)*ETo!$K221+ETo!$L221)</f>
        <v>2.8534617094698262</v>
      </c>
      <c r="E222" s="76">
        <f>MIN(D222*Constantes!$D$17,0.8*(H221+Observaciones!$F221-F222-G222-Constantes!$D$14))</f>
        <v>1.0621056890379066E-2</v>
      </c>
      <c r="F222" s="76">
        <f>IF(Observaciones!$F221&gt;0.05*Constantes!$D$18,((Observaciones!$F221-0.05*Constantes!$D$18)^2)/(Observaciones!$F221+0.95*Constantes!$D$18),0)</f>
        <v>0</v>
      </c>
      <c r="G222" s="76">
        <f>MAX(0,H221+Observaciones!$F221-F222-Constantes!$D$13)</f>
        <v>0</v>
      </c>
      <c r="H222" s="76">
        <f>H221+Observaciones!$F221-F222-E222-G222-I221</f>
        <v>11.252203023987114</v>
      </c>
      <c r="I222" s="76">
        <f>MAX(0,(H222-Constantes!$D$14)*(1-EXP(-Constantes!$D$22)))</f>
        <v>7.5043084467734991E-5</v>
      </c>
      <c r="J222" s="76">
        <f t="shared" si="9"/>
        <v>78.718057637668025</v>
      </c>
      <c r="K222" s="76">
        <f>MAX(0,(J222-Constantes!$D$13)*(1-EXP(-Constantes!$D$23)))</f>
        <v>0.29528240973916547</v>
      </c>
      <c r="L222" s="76">
        <f t="shared" si="10"/>
        <v>0.29535745282363318</v>
      </c>
      <c r="M222" s="76">
        <f>0.0526*F222*Observaciones!$F221^1.218</f>
        <v>0</v>
      </c>
      <c r="N222" s="76">
        <f>M222*Constantes!$D$51</f>
        <v>0</v>
      </c>
      <c r="O222" s="76">
        <f t="shared" si="11"/>
        <v>0</v>
      </c>
      <c r="P222" s="15"/>
      <c r="Q222" s="75">
        <v>216</v>
      </c>
      <c r="R222" s="76">
        <f>0.0526*Observaciones!$F221^2.218</f>
        <v>0</v>
      </c>
      <c r="S222" s="76">
        <f>IF(Observaciones!$F221&gt;0.05*$W$7,((Observaciones!$F221-0.05*$W$7)^2)/(Observaciones!$F221+0.95*$W$7),0)</f>
        <v>0</v>
      </c>
      <c r="T222" s="76">
        <f>0.0526*S222*Observaciones!$F221^1.218</f>
        <v>0</v>
      </c>
      <c r="U222" s="29"/>
      <c r="V222" s="29"/>
      <c r="W222" s="109"/>
      <c r="X222" s="40"/>
    </row>
    <row r="223" spans="2:24" s="2" customFormat="1">
      <c r="B223" s="39"/>
      <c r="C223" s="75">
        <v>217</v>
      </c>
      <c r="D223" s="146">
        <f>ETo!$I222*((1-Constantes!$D$19)*ETo!$K222+ETo!$L222)</f>
        <v>2.9609077310269818</v>
      </c>
      <c r="E223" s="76">
        <f>MIN(D223*Constantes!$D$17,0.8*(H222+Observaciones!$F222-F223-G223-Constantes!$D$14))</f>
        <v>1.7624191896914001E-3</v>
      </c>
      <c r="F223" s="76">
        <f>IF(Observaciones!$F222&gt;0.05*Constantes!$D$18,((Observaciones!$F222-0.05*Constantes!$D$18)^2)/(Observaciones!$F222+0.95*Constantes!$D$18),0)</f>
        <v>0</v>
      </c>
      <c r="G223" s="76">
        <f>MAX(0,H222+Observaciones!$F222-F223-Constantes!$D$13)</f>
        <v>0</v>
      </c>
      <c r="H223" s="76">
        <f>H222+Observaciones!$F222-F223-E223-G223-I222</f>
        <v>11.250365561712954</v>
      </c>
      <c r="I223" s="76">
        <f>MAX(0,(H223-Constantes!$D$14)*(1-EXP(-Constantes!$D$22)))</f>
        <v>1.2452373947730871E-5</v>
      </c>
      <c r="J223" s="76">
        <f t="shared" si="9"/>
        <v>78.422775227928867</v>
      </c>
      <c r="K223" s="76">
        <f>MAX(0,(J223-Constantes!$D$13)*(1-EXP(-Constantes!$D$23)))</f>
        <v>0.29237292182521502</v>
      </c>
      <c r="L223" s="76">
        <f t="shared" si="10"/>
        <v>0.29238537419916277</v>
      </c>
      <c r="M223" s="76">
        <f>0.0526*F223*Observaciones!$F222^1.218</f>
        <v>0</v>
      </c>
      <c r="N223" s="76">
        <f>M223*Constantes!$D$51</f>
        <v>0</v>
      </c>
      <c r="O223" s="76">
        <f t="shared" si="11"/>
        <v>0</v>
      </c>
      <c r="P223" s="15"/>
      <c r="Q223" s="75">
        <v>217</v>
      </c>
      <c r="R223" s="76">
        <f>0.0526*Observaciones!$F222^2.218</f>
        <v>0</v>
      </c>
      <c r="S223" s="76">
        <f>IF(Observaciones!$F222&gt;0.05*$W$7,((Observaciones!$F222-0.05*$W$7)^2)/(Observaciones!$F222+0.95*$W$7),0)</f>
        <v>0</v>
      </c>
      <c r="T223" s="76">
        <f>0.0526*S223*Observaciones!$F222^1.218</f>
        <v>0</v>
      </c>
      <c r="U223" s="29"/>
      <c r="V223" s="29"/>
      <c r="W223" s="109"/>
      <c r="X223" s="40"/>
    </row>
    <row r="224" spans="2:24" s="2" customFormat="1">
      <c r="B224" s="39"/>
      <c r="C224" s="75">
        <v>218</v>
      </c>
      <c r="D224" s="146">
        <f>ETo!$I223*((1-Constantes!$D$19)*ETo!$K223+ETo!$L223)</f>
        <v>2.5634399633777334</v>
      </c>
      <c r="E224" s="76">
        <f>MIN(D224*Constantes!$D$17,0.8*(H223+Observaciones!$F223-F224-G224-Constantes!$D$14))</f>
        <v>1.307056898922121</v>
      </c>
      <c r="F224" s="76">
        <f>IF(Observaciones!$F223&gt;0.05*Constantes!$D$18,((Observaciones!$F223-0.05*Constantes!$D$18)^2)/(Observaciones!$F223+0.95*Constantes!$D$18),0)</f>
        <v>0</v>
      </c>
      <c r="G224" s="76">
        <f>MAX(0,H223+Observaciones!$F223-F224-Constantes!$D$13)</f>
        <v>0</v>
      </c>
      <c r="H224" s="76">
        <f>H223+Observaciones!$F223-F224-E224-G224-I223</f>
        <v>12.543296210416884</v>
      </c>
      <c r="I224" s="76">
        <f>MAX(0,(H224-Constantes!$D$14)*(1-EXP(-Constantes!$D$22)))</f>
        <v>4.4054416714384398E-2</v>
      </c>
      <c r="J224" s="76">
        <f t="shared" si="9"/>
        <v>78.130402306103647</v>
      </c>
      <c r="K224" s="76">
        <f>MAX(0,(J224-Constantes!$D$13)*(1-EXP(-Constantes!$D$23)))</f>
        <v>0.28949210178866663</v>
      </c>
      <c r="L224" s="76">
        <f t="shared" si="10"/>
        <v>0.33354651850305106</v>
      </c>
      <c r="M224" s="76">
        <f>0.0526*F224*Observaciones!$F223^1.218</f>
        <v>0</v>
      </c>
      <c r="N224" s="76">
        <f>M224*Constantes!$D$51</f>
        <v>0</v>
      </c>
      <c r="O224" s="76">
        <f t="shared" si="11"/>
        <v>0</v>
      </c>
      <c r="P224" s="15"/>
      <c r="Q224" s="75">
        <v>218</v>
      </c>
      <c r="R224" s="76">
        <f>0.0526*Observaciones!$F223^2.218</f>
        <v>0.43792186533391209</v>
      </c>
      <c r="S224" s="76">
        <f>IF(Observaciones!$F223&gt;0.05*$W$7,((Observaciones!$F223-0.05*$W$7)^2)/(Observaciones!$F223+0.95*$W$7),0)</f>
        <v>2.1229385132854627E-2</v>
      </c>
      <c r="T224" s="76">
        <f>0.0526*S224*Observaciones!$F223^1.218</f>
        <v>3.5756968989506619E-3</v>
      </c>
      <c r="U224" s="29"/>
      <c r="V224" s="29"/>
      <c r="W224" s="109"/>
      <c r="X224" s="40"/>
    </row>
    <row r="225" spans="2:24" s="2" customFormat="1">
      <c r="B225" s="39"/>
      <c r="C225" s="75">
        <v>219</v>
      </c>
      <c r="D225" s="146">
        <f>ETo!$I224*((1-Constantes!$D$19)*ETo!$K224+ETo!$L224)</f>
        <v>2.8984574272055048</v>
      </c>
      <c r="E225" s="76">
        <f>MIN(D225*Constantes!$D$17,0.8*(H224+Observaciones!$F224-F225-G225-Constantes!$D$14))</f>
        <v>1.034636968333507</v>
      </c>
      <c r="F225" s="76">
        <f>IF(Observaciones!$F224&gt;0.05*Constantes!$D$18,((Observaciones!$F224-0.05*Constantes!$D$18)^2)/(Observaciones!$F224+0.95*Constantes!$D$18),0)</f>
        <v>0</v>
      </c>
      <c r="G225" s="76">
        <f>MAX(0,H224+Observaciones!$F224-F225-Constantes!$D$13)</f>
        <v>0</v>
      </c>
      <c r="H225" s="76">
        <f>H224+Observaciones!$F224-F225-E225-G225-I224</f>
        <v>11.464604825368992</v>
      </c>
      <c r="I225" s="76">
        <f>MAX(0,(H225-Constantes!$D$14)*(1-EXP(-Constantes!$D$22)))</f>
        <v>7.310228182510304E-3</v>
      </c>
      <c r="J225" s="76">
        <f t="shared" si="9"/>
        <v>77.84091020431498</v>
      </c>
      <c r="K225" s="76">
        <f>MAX(0,(J225-Constantes!$D$13)*(1-EXP(-Constantes!$D$23)))</f>
        <v>0.28663966715809625</v>
      </c>
      <c r="L225" s="76">
        <f t="shared" si="10"/>
        <v>0.29394989534060656</v>
      </c>
      <c r="M225" s="76">
        <f>0.0526*F225*Observaciones!$F224^1.218</f>
        <v>0</v>
      </c>
      <c r="N225" s="76">
        <f>M225*Constantes!$D$51</f>
        <v>0</v>
      </c>
      <c r="O225" s="76">
        <f t="shared" si="11"/>
        <v>0</v>
      </c>
      <c r="P225" s="15"/>
      <c r="Q225" s="75">
        <v>219</v>
      </c>
      <c r="R225" s="76">
        <f>0.0526*Observaciones!$F224^2.218</f>
        <v>0</v>
      </c>
      <c r="S225" s="76">
        <f>IF(Observaciones!$F224&gt;0.05*$W$7,((Observaciones!$F224-0.05*$W$7)^2)/(Observaciones!$F224+0.95*$W$7),0)</f>
        <v>0</v>
      </c>
      <c r="T225" s="76">
        <f>0.0526*S225*Observaciones!$F224^1.218</f>
        <v>0</v>
      </c>
      <c r="U225" s="29"/>
      <c r="V225" s="29"/>
      <c r="W225" s="109"/>
      <c r="X225" s="40"/>
    </row>
    <row r="226" spans="2:24" s="2" customFormat="1">
      <c r="B226" s="39"/>
      <c r="C226" s="75">
        <v>220</v>
      </c>
      <c r="D226" s="146">
        <f>ETo!$I225*((1-Constantes!$D$19)*ETo!$K225+ETo!$L225)</f>
        <v>2.8359833973919355</v>
      </c>
      <c r="E226" s="76">
        <f>MIN(D226*Constantes!$D$17,0.8*(H225+Observaciones!$F225-F226-G226-Constantes!$D$14))</f>
        <v>0.65168386029519354</v>
      </c>
      <c r="F226" s="76">
        <f>IF(Observaciones!$F225&gt;0.05*Constantes!$D$18,((Observaciones!$F225-0.05*Constantes!$D$18)^2)/(Observaciones!$F225+0.95*Constantes!$D$18),0)</f>
        <v>0</v>
      </c>
      <c r="G226" s="76">
        <f>MAX(0,H225+Observaciones!$F225-F226-Constantes!$D$13)</f>
        <v>0</v>
      </c>
      <c r="H226" s="76">
        <f>H225+Observaciones!$F225-F226-E226-G226-I225</f>
        <v>11.405610736891289</v>
      </c>
      <c r="I226" s="76">
        <f>MAX(0,(H226-Constantes!$D$14)*(1-EXP(-Constantes!$D$22)))</f>
        <v>5.3006729572272517E-3</v>
      </c>
      <c r="J226" s="76">
        <f t="shared" si="9"/>
        <v>77.554270537156881</v>
      </c>
      <c r="K226" s="76">
        <f>MAX(0,(J226-Constantes!$D$13)*(1-EXP(-Constantes!$D$23)))</f>
        <v>0.28381533824533783</v>
      </c>
      <c r="L226" s="76">
        <f t="shared" si="10"/>
        <v>0.28911601120256508</v>
      </c>
      <c r="M226" s="76">
        <f>0.0526*F226*Observaciones!$F225^1.218</f>
        <v>0</v>
      </c>
      <c r="N226" s="76">
        <f>M226*Constantes!$D$51</f>
        <v>0</v>
      </c>
      <c r="O226" s="76">
        <f t="shared" si="11"/>
        <v>0</v>
      </c>
      <c r="P226" s="15"/>
      <c r="Q226" s="75">
        <v>220</v>
      </c>
      <c r="R226" s="76">
        <f>0.0526*Observaciones!$F225^2.218</f>
        <v>1.6940460723560119E-2</v>
      </c>
      <c r="S226" s="76">
        <f>IF(Observaciones!$F225&gt;0.05*$W$7,((Observaciones!$F225-0.05*$W$7)^2)/(Observaciones!$F225+0.95*$W$7),0)</f>
        <v>0</v>
      </c>
      <c r="T226" s="76">
        <f>0.0526*S226*Observaciones!$F225^1.218</f>
        <v>0</v>
      </c>
      <c r="U226" s="29"/>
      <c r="V226" s="29"/>
      <c r="W226" s="109"/>
      <c r="X226" s="40"/>
    </row>
    <row r="227" spans="2:24" s="2" customFormat="1">
      <c r="B227" s="39"/>
      <c r="C227" s="75">
        <v>221</v>
      </c>
      <c r="D227" s="146">
        <f>ETo!$I226*((1-Constantes!$D$19)*ETo!$K226+ETo!$L226)</f>
        <v>2.9879785998245687</v>
      </c>
      <c r="E227" s="76">
        <f>MIN(D227*Constantes!$D$17,0.8*(H226+Observaciones!$F226-F227-G227-Constantes!$D$14))</f>
        <v>0.12448858951303095</v>
      </c>
      <c r="F227" s="76">
        <f>IF(Observaciones!$F226&gt;0.05*Constantes!$D$18,((Observaciones!$F226-0.05*Constantes!$D$18)^2)/(Observaciones!$F226+0.95*Constantes!$D$18),0)</f>
        <v>0</v>
      </c>
      <c r="G227" s="76">
        <f>MAX(0,H226+Observaciones!$F226-F227-Constantes!$D$13)</f>
        <v>0</v>
      </c>
      <c r="H227" s="76">
        <f>H226+Observaciones!$F226-F227-E227-G227-I226</f>
        <v>11.275821474421029</v>
      </c>
      <c r="I227" s="76">
        <f>MAX(0,(H227-Constantes!$D$14)*(1-EXP(-Constantes!$D$22)))</f>
        <v>8.7957421135345236E-4</v>
      </c>
      <c r="J227" s="76">
        <f t="shared" si="9"/>
        <v>77.270455198911549</v>
      </c>
      <c r="K227" s="76">
        <f>MAX(0,(J227-Constantes!$D$13)*(1-EXP(-Constantes!$D$23)))</f>
        <v>0.28101883811805967</v>
      </c>
      <c r="L227" s="76">
        <f t="shared" si="10"/>
        <v>0.2818984123294131</v>
      </c>
      <c r="M227" s="76">
        <f>0.0526*F227*Observaciones!$F226^1.218</f>
        <v>0</v>
      </c>
      <c r="N227" s="76">
        <f>M227*Constantes!$D$51</f>
        <v>0</v>
      </c>
      <c r="O227" s="76">
        <f t="shared" si="11"/>
        <v>0</v>
      </c>
      <c r="P227" s="15"/>
      <c r="Q227" s="75">
        <v>221</v>
      </c>
      <c r="R227" s="76">
        <f>0.0526*Observaciones!$F226^2.218</f>
        <v>0</v>
      </c>
      <c r="S227" s="76">
        <f>IF(Observaciones!$F226&gt;0.05*$W$7,((Observaciones!$F226-0.05*$W$7)^2)/(Observaciones!$F226+0.95*$W$7),0)</f>
        <v>0</v>
      </c>
      <c r="T227" s="76">
        <f>0.0526*S227*Observaciones!$F226^1.218</f>
        <v>0</v>
      </c>
      <c r="U227" s="29"/>
      <c r="V227" s="29"/>
      <c r="W227" s="109"/>
      <c r="X227" s="40"/>
    </row>
    <row r="228" spans="2:24" s="2" customFormat="1">
      <c r="B228" s="39"/>
      <c r="C228" s="75">
        <v>222</v>
      </c>
      <c r="D228" s="146">
        <f>ETo!$I227*((1-Constantes!$D$19)*ETo!$K227+ETo!$L227)</f>
        <v>3.0251026668768954</v>
      </c>
      <c r="E228" s="76">
        <f>MIN(D228*Constantes!$D$17,0.8*(H227+Observaciones!$F227-F228-G228-Constantes!$D$14))</f>
        <v>2.0657179536823379E-2</v>
      </c>
      <c r="F228" s="76">
        <f>IF(Observaciones!$F227&gt;0.05*Constantes!$D$18,((Observaciones!$F227-0.05*Constantes!$D$18)^2)/(Observaciones!$F227+0.95*Constantes!$D$18),0)</f>
        <v>0</v>
      </c>
      <c r="G228" s="76">
        <f>MAX(0,H227+Observaciones!$F227-F228-Constantes!$D$13)</f>
        <v>0</v>
      </c>
      <c r="H228" s="76">
        <f>H227+Observaciones!$F227-F228-E228-G228-I227</f>
        <v>11.254284720672853</v>
      </c>
      <c r="I228" s="76">
        <f>MAX(0,(H228-Constantes!$D$14)*(1-EXP(-Constantes!$D$22)))</f>
        <v>1.4595331564898312E-4</v>
      </c>
      <c r="J228" s="76">
        <f t="shared" si="9"/>
        <v>76.989436360793491</v>
      </c>
      <c r="K228" s="76">
        <f>MAX(0,(J228-Constantes!$D$13)*(1-EXP(-Constantes!$D$23)))</f>
        <v>0.27824989257260996</v>
      </c>
      <c r="L228" s="76">
        <f t="shared" si="10"/>
        <v>0.27839584588825894</v>
      </c>
      <c r="M228" s="76">
        <f>0.0526*F228*Observaciones!$F227^1.218</f>
        <v>0</v>
      </c>
      <c r="N228" s="76">
        <f>M228*Constantes!$D$51</f>
        <v>0</v>
      </c>
      <c r="O228" s="76">
        <f t="shared" si="11"/>
        <v>0</v>
      </c>
      <c r="P228" s="15"/>
      <c r="Q228" s="75">
        <v>222</v>
      </c>
      <c r="R228" s="76">
        <f>0.0526*Observaciones!$F227^2.218</f>
        <v>0</v>
      </c>
      <c r="S228" s="76">
        <f>IF(Observaciones!$F227&gt;0.05*$W$7,((Observaciones!$F227-0.05*$W$7)^2)/(Observaciones!$F227+0.95*$W$7),0)</f>
        <v>0</v>
      </c>
      <c r="T228" s="76">
        <f>0.0526*S228*Observaciones!$F227^1.218</f>
        <v>0</v>
      </c>
      <c r="U228" s="29"/>
      <c r="V228" s="29"/>
      <c r="W228" s="109"/>
      <c r="X228" s="40"/>
    </row>
    <row r="229" spans="2:24" s="2" customFormat="1">
      <c r="B229" s="39"/>
      <c r="C229" s="75">
        <v>223</v>
      </c>
      <c r="D229" s="146">
        <f>ETo!$I228*((1-Constantes!$D$19)*ETo!$K228+ETo!$L228)</f>
        <v>2.9315218158616569</v>
      </c>
      <c r="E229" s="76">
        <f>MIN(D229*Constantes!$D$17,0.8*(H228+Observaciones!$F228-F229-G229-Constantes!$D$14))</f>
        <v>3.427776538282501E-3</v>
      </c>
      <c r="F229" s="76">
        <f>IF(Observaciones!$F228&gt;0.05*Constantes!$D$18,((Observaciones!$F228-0.05*Constantes!$D$18)^2)/(Observaciones!$F228+0.95*Constantes!$D$18),0)</f>
        <v>0</v>
      </c>
      <c r="G229" s="76">
        <f>MAX(0,H228+Observaciones!$F228-F229-Constantes!$D$13)</f>
        <v>0</v>
      </c>
      <c r="H229" s="76">
        <f>H228+Observaciones!$F228-F229-E229-G229-I228</f>
        <v>11.250710990818922</v>
      </c>
      <c r="I229" s="76">
        <f>MAX(0,(H229-Constantes!$D$14)*(1-EXP(-Constantes!$D$22)))</f>
        <v>2.4218957393206388E-5</v>
      </c>
      <c r="J229" s="76">
        <f t="shared" si="9"/>
        <v>76.711186468220887</v>
      </c>
      <c r="K229" s="76">
        <f>MAX(0,(J229-Constantes!$D$13)*(1-EXP(-Constantes!$D$23)))</f>
        <v>0.2755082301071311</v>
      </c>
      <c r="L229" s="76">
        <f t="shared" si="10"/>
        <v>0.27553244906452429</v>
      </c>
      <c r="M229" s="76">
        <f>0.0526*F229*Observaciones!$F228^1.218</f>
        <v>0</v>
      </c>
      <c r="N229" s="76">
        <f>M229*Constantes!$D$51</f>
        <v>0</v>
      </c>
      <c r="O229" s="76">
        <f t="shared" si="11"/>
        <v>0</v>
      </c>
      <c r="P229" s="15"/>
      <c r="Q229" s="75">
        <v>223</v>
      </c>
      <c r="R229" s="76">
        <f>0.0526*Observaciones!$F228^2.218</f>
        <v>0</v>
      </c>
      <c r="S229" s="76">
        <f>IF(Observaciones!$F228&gt;0.05*$W$7,((Observaciones!$F228-0.05*$W$7)^2)/(Observaciones!$F228+0.95*$W$7),0)</f>
        <v>0</v>
      </c>
      <c r="T229" s="76">
        <f>0.0526*S229*Observaciones!$F228^1.218</f>
        <v>0</v>
      </c>
      <c r="U229" s="29"/>
      <c r="V229" s="29"/>
      <c r="W229" s="109"/>
      <c r="X229" s="40"/>
    </row>
    <row r="230" spans="2:24" s="2" customFormat="1">
      <c r="B230" s="39"/>
      <c r="C230" s="75">
        <v>224</v>
      </c>
      <c r="D230" s="146">
        <f>ETo!$I229*((1-Constantes!$D$19)*ETo!$K229+ETo!$L229)</f>
        <v>2.9214703807293878</v>
      </c>
      <c r="E230" s="76">
        <f>MIN(D230*Constantes!$D$17,0.8*(H229+Observaciones!$F229-F230-G230-Constantes!$D$14))</f>
        <v>5.6879265513742894E-4</v>
      </c>
      <c r="F230" s="76">
        <f>IF(Observaciones!$F229&gt;0.05*Constantes!$D$18,((Observaciones!$F229-0.05*Constantes!$D$18)^2)/(Observaciones!$F229+0.95*Constantes!$D$18),0)</f>
        <v>0</v>
      </c>
      <c r="G230" s="76">
        <f>MAX(0,H229+Observaciones!$F229-F230-Constantes!$D$13)</f>
        <v>0</v>
      </c>
      <c r="H230" s="76">
        <f>H229+Observaciones!$F229-F230-E230-G230-I229</f>
        <v>11.250117979206392</v>
      </c>
      <c r="I230" s="76">
        <f>MAX(0,(H230-Constantes!$D$14)*(1-EXP(-Constantes!$D$22)))</f>
        <v>4.018804880241226E-6</v>
      </c>
      <c r="J230" s="76">
        <f t="shared" si="9"/>
        <v>76.435678238113752</v>
      </c>
      <c r="K230" s="76">
        <f>MAX(0,(J230-Constantes!$D$13)*(1-EXP(-Constantes!$D$23)))</f>
        <v>0.27279358189493758</v>
      </c>
      <c r="L230" s="76">
        <f t="shared" si="10"/>
        <v>0.27279760069981784</v>
      </c>
      <c r="M230" s="76">
        <f>0.0526*F230*Observaciones!$F229^1.218</f>
        <v>0</v>
      </c>
      <c r="N230" s="76">
        <f>M230*Constantes!$D$51</f>
        <v>0</v>
      </c>
      <c r="O230" s="76">
        <f t="shared" si="11"/>
        <v>0</v>
      </c>
      <c r="P230" s="15"/>
      <c r="Q230" s="75">
        <v>224</v>
      </c>
      <c r="R230" s="76">
        <f>0.0526*Observaciones!$F229^2.218</f>
        <v>0</v>
      </c>
      <c r="S230" s="76">
        <f>IF(Observaciones!$F229&gt;0.05*$W$7,((Observaciones!$F229-0.05*$W$7)^2)/(Observaciones!$F229+0.95*$W$7),0)</f>
        <v>0</v>
      </c>
      <c r="T230" s="76">
        <f>0.0526*S230*Observaciones!$F229^1.218</f>
        <v>0</v>
      </c>
      <c r="U230" s="29"/>
      <c r="V230" s="29"/>
      <c r="W230" s="109"/>
      <c r="X230" s="40"/>
    </row>
    <row r="231" spans="2:24" s="2" customFormat="1">
      <c r="B231" s="39"/>
      <c r="C231" s="75">
        <v>225</v>
      </c>
      <c r="D231" s="146">
        <f>ETo!$I230*((1-Constantes!$D$19)*ETo!$K230+ETo!$L230)</f>
        <v>2.9180240548772223</v>
      </c>
      <c r="E231" s="76">
        <f>MIN(D231*Constantes!$D$17,0.8*(H230+Observaciones!$F230-F231-G231-Constantes!$D$14))</f>
        <v>0.16009438336511295</v>
      </c>
      <c r="F231" s="76">
        <f>IF(Observaciones!$F230&gt;0.05*Constantes!$D$18,((Observaciones!$F230-0.05*Constantes!$D$18)^2)/(Observaciones!$F230+0.95*Constantes!$D$18),0)</f>
        <v>0</v>
      </c>
      <c r="G231" s="76">
        <f>MAX(0,H230+Observaciones!$F230-F231-Constantes!$D$13)</f>
        <v>0</v>
      </c>
      <c r="H231" s="76">
        <f>H230+Observaciones!$F230-F231-E231-G231-I230</f>
        <v>11.290019577036398</v>
      </c>
      <c r="I231" s="76">
        <f>MAX(0,(H231-Constantes!$D$14)*(1-EXP(-Constantes!$D$22)))</f>
        <v>1.3632137087346721E-3</v>
      </c>
      <c r="J231" s="76">
        <f t="shared" si="9"/>
        <v>76.162884656218822</v>
      </c>
      <c r="K231" s="76">
        <f>MAX(0,(J231-Constantes!$D$13)*(1-EXP(-Constantes!$D$23)))</f>
        <v>0.27010568175815775</v>
      </c>
      <c r="L231" s="76">
        <f t="shared" si="10"/>
        <v>0.2714688954668924</v>
      </c>
      <c r="M231" s="76">
        <f>0.0526*F231*Observaciones!$F230^1.218</f>
        <v>0</v>
      </c>
      <c r="N231" s="76">
        <f>M231*Constantes!$D$51</f>
        <v>0</v>
      </c>
      <c r="O231" s="76">
        <f t="shared" si="11"/>
        <v>0</v>
      </c>
      <c r="P231" s="15"/>
      <c r="Q231" s="75">
        <v>225</v>
      </c>
      <c r="R231" s="76">
        <f>0.0526*Observaciones!$F230^2.218</f>
        <v>1.4813929535417848E-3</v>
      </c>
      <c r="S231" s="76">
        <f>IF(Observaciones!$F230&gt;0.05*$W$7,((Observaciones!$F230-0.05*$W$7)^2)/(Observaciones!$F230+0.95*$W$7),0)</f>
        <v>0</v>
      </c>
      <c r="T231" s="76">
        <f>0.0526*S231*Observaciones!$F230^1.218</f>
        <v>0</v>
      </c>
      <c r="U231" s="29"/>
      <c r="V231" s="29"/>
      <c r="W231" s="109"/>
      <c r="X231" s="40"/>
    </row>
    <row r="232" spans="2:24" s="2" customFormat="1">
      <c r="B232" s="39"/>
      <c r="C232" s="75">
        <v>226</v>
      </c>
      <c r="D232" s="146">
        <f>ETo!$I231*((1-Constantes!$D$19)*ETo!$K231+ETo!$L231)</f>
        <v>2.9246176015025909</v>
      </c>
      <c r="E232" s="76">
        <f>MIN(D232*Constantes!$D$17,0.8*(H231+Observaciones!$F231-F232-G232-Constantes!$D$14))</f>
        <v>3.2015661629118598E-2</v>
      </c>
      <c r="F232" s="76">
        <f>IF(Observaciones!$F231&gt;0.05*Constantes!$D$18,((Observaciones!$F231-0.05*Constantes!$D$18)^2)/(Observaciones!$F231+0.95*Constantes!$D$18),0)</f>
        <v>0</v>
      </c>
      <c r="G232" s="76">
        <f>MAX(0,H231+Observaciones!$F231-F232-Constantes!$D$13)</f>
        <v>0</v>
      </c>
      <c r="H232" s="76">
        <f>H231+Observaciones!$F231-F232-E232-G232-I231</f>
        <v>11.256640701698545</v>
      </c>
      <c r="I232" s="76">
        <f>MAX(0,(H232-Constantes!$D$14)*(1-EXP(-Constantes!$D$22)))</f>
        <v>2.2620667836747204E-4</v>
      </c>
      <c r="J232" s="76">
        <f t="shared" si="9"/>
        <v>75.892778974460668</v>
      </c>
      <c r="K232" s="76">
        <f>MAX(0,(J232-Constantes!$D$13)*(1-EXP(-Constantes!$D$23)))</f>
        <v>0.26744426614163352</v>
      </c>
      <c r="L232" s="76">
        <f t="shared" si="10"/>
        <v>0.267670472820001</v>
      </c>
      <c r="M232" s="76">
        <f>0.0526*F232*Observaciones!$F231^1.218</f>
        <v>0</v>
      </c>
      <c r="N232" s="76">
        <f>M232*Constantes!$D$51</f>
        <v>0</v>
      </c>
      <c r="O232" s="76">
        <f t="shared" si="11"/>
        <v>0</v>
      </c>
      <c r="P232" s="15"/>
      <c r="Q232" s="75">
        <v>226</v>
      </c>
      <c r="R232" s="76">
        <f>0.0526*Observaciones!$F231^2.218</f>
        <v>0</v>
      </c>
      <c r="S232" s="76">
        <f>IF(Observaciones!$F231&gt;0.05*$W$7,((Observaciones!$F231-0.05*$W$7)^2)/(Observaciones!$F231+0.95*$W$7),0)</f>
        <v>0</v>
      </c>
      <c r="T232" s="76">
        <f>0.0526*S232*Observaciones!$F231^1.218</f>
        <v>0</v>
      </c>
      <c r="U232" s="29"/>
      <c r="V232" s="29"/>
      <c r="W232" s="109"/>
      <c r="X232" s="40"/>
    </row>
    <row r="233" spans="2:24" s="2" customFormat="1">
      <c r="B233" s="39"/>
      <c r="C233" s="75">
        <v>227</v>
      </c>
      <c r="D233" s="146">
        <f>ETo!$I232*((1-Constantes!$D$19)*ETo!$K232+ETo!$L232)</f>
        <v>2.9685670418686545</v>
      </c>
      <c r="E233" s="76">
        <f>MIN(D233*Constantes!$D$17,0.8*(H232+Observaciones!$F232-F233-G233-Constantes!$D$14))</f>
        <v>5.3125613588363768E-3</v>
      </c>
      <c r="F233" s="76">
        <f>IF(Observaciones!$F232&gt;0.05*Constantes!$D$18,((Observaciones!$F232-0.05*Constantes!$D$18)^2)/(Observaciones!$F232+0.95*Constantes!$D$18),0)</f>
        <v>0</v>
      </c>
      <c r="G233" s="76">
        <f>MAX(0,H232+Observaciones!$F232-F233-Constantes!$D$13)</f>
        <v>0</v>
      </c>
      <c r="H233" s="76">
        <f>H232+Observaciones!$F232-F233-E233-G233-I232</f>
        <v>11.25110193366134</v>
      </c>
      <c r="I233" s="76">
        <f>MAX(0,(H233-Constantes!$D$14)*(1-EXP(-Constantes!$D$22)))</f>
        <v>3.7535905786542755E-5</v>
      </c>
      <c r="J233" s="76">
        <f t="shared" si="9"/>
        <v>75.625334708319031</v>
      </c>
      <c r="K233" s="76">
        <f>MAX(0,(J233-Constantes!$D$13)*(1-EXP(-Constantes!$D$23)))</f>
        <v>0.26480907408707866</v>
      </c>
      <c r="L233" s="76">
        <f t="shared" si="10"/>
        <v>0.26484660999286519</v>
      </c>
      <c r="M233" s="76">
        <f>0.0526*F233*Observaciones!$F232^1.218</f>
        <v>0</v>
      </c>
      <c r="N233" s="76">
        <f>M233*Constantes!$D$51</f>
        <v>0</v>
      </c>
      <c r="O233" s="76">
        <f t="shared" si="11"/>
        <v>0</v>
      </c>
      <c r="P233" s="15"/>
      <c r="Q233" s="75">
        <v>227</v>
      </c>
      <c r="R233" s="76">
        <f>0.0526*Observaciones!$F232^2.218</f>
        <v>0</v>
      </c>
      <c r="S233" s="76">
        <f>IF(Observaciones!$F232&gt;0.05*$W$7,((Observaciones!$F232-0.05*$W$7)^2)/(Observaciones!$F232+0.95*$W$7),0)</f>
        <v>0</v>
      </c>
      <c r="T233" s="76">
        <f>0.0526*S233*Observaciones!$F232^1.218</f>
        <v>0</v>
      </c>
      <c r="U233" s="29"/>
      <c r="V233" s="29"/>
      <c r="W233" s="109"/>
      <c r="X233" s="40"/>
    </row>
    <row r="234" spans="2:24" s="2" customFormat="1">
      <c r="B234" s="39"/>
      <c r="C234" s="75">
        <v>228</v>
      </c>
      <c r="D234" s="146">
        <f>ETo!$I233*((1-Constantes!$D$19)*ETo!$K233+ETo!$L233)</f>
        <v>2.9855406044935635</v>
      </c>
      <c r="E234" s="76">
        <f>MIN(D234*Constantes!$D$17,0.8*(H233+Observaciones!$F233-F234-G234-Constantes!$D$14))</f>
        <v>8.8154692907238541E-4</v>
      </c>
      <c r="F234" s="76">
        <f>IF(Observaciones!$F233&gt;0.05*Constantes!$D$18,((Observaciones!$F233-0.05*Constantes!$D$18)^2)/(Observaciones!$F233+0.95*Constantes!$D$18),0)</f>
        <v>0</v>
      </c>
      <c r="G234" s="76">
        <f>MAX(0,H233+Observaciones!$F233-F234-Constantes!$D$13)</f>
        <v>0</v>
      </c>
      <c r="H234" s="76">
        <f>H233+Observaciones!$F233-F234-E234-G234-I233</f>
        <v>11.250182850826482</v>
      </c>
      <c r="I234" s="76">
        <f>MAX(0,(H234-Constantes!$D$14)*(1-EXP(-Constantes!$D$22)))</f>
        <v>6.2285704090975152E-6</v>
      </c>
      <c r="J234" s="76">
        <f t="shared" si="9"/>
        <v>75.360525634231948</v>
      </c>
      <c r="K234" s="76">
        <f>MAX(0,(J234-Constantes!$D$13)*(1-EXP(-Constantes!$D$23)))</f>
        <v>0.26219984720749118</v>
      </c>
      <c r="L234" s="76">
        <f t="shared" si="10"/>
        <v>0.26220607577790028</v>
      </c>
      <c r="M234" s="76">
        <f>0.0526*F234*Observaciones!$F233^1.218</f>
        <v>0</v>
      </c>
      <c r="N234" s="76">
        <f>M234*Constantes!$D$51</f>
        <v>0</v>
      </c>
      <c r="O234" s="76">
        <f t="shared" si="11"/>
        <v>0</v>
      </c>
      <c r="P234" s="15"/>
      <c r="Q234" s="75">
        <v>228</v>
      </c>
      <c r="R234" s="76">
        <f>0.0526*Observaciones!$F233^2.218</f>
        <v>0</v>
      </c>
      <c r="S234" s="76">
        <f>IF(Observaciones!$F233&gt;0.05*$W$7,((Observaciones!$F233-0.05*$W$7)^2)/(Observaciones!$F233+0.95*$W$7),0)</f>
        <v>0</v>
      </c>
      <c r="T234" s="76">
        <f>0.0526*S234*Observaciones!$F233^1.218</f>
        <v>0</v>
      </c>
      <c r="U234" s="29"/>
      <c r="V234" s="29"/>
      <c r="W234" s="109"/>
      <c r="X234" s="40"/>
    </row>
    <row r="235" spans="2:24" s="2" customFormat="1">
      <c r="B235" s="39"/>
      <c r="C235" s="75">
        <v>229</v>
      </c>
      <c r="D235" s="146">
        <f>ETo!$I234*((1-Constantes!$D$19)*ETo!$K234+ETo!$L234)</f>
        <v>3.0611421102374341</v>
      </c>
      <c r="E235" s="76">
        <f>MIN(D235*Constantes!$D$17,0.8*(H234+Observaciones!$F234-F235-G235-Constantes!$D$14))</f>
        <v>1.5608272364197677</v>
      </c>
      <c r="F235" s="76">
        <f>IF(Observaciones!$F234&gt;0.05*Constantes!$D$18,((Observaciones!$F234-0.05*Constantes!$D$18)^2)/(Observaciones!$F234+0.95*Constantes!$D$18),0)</f>
        <v>0</v>
      </c>
      <c r="G235" s="76">
        <f>MAX(0,H234+Observaciones!$F234-F235-Constantes!$D$13)</f>
        <v>0</v>
      </c>
      <c r="H235" s="76">
        <f>H234+Observaciones!$F234-F235-E235-G235-I234</f>
        <v>12.989349385836304</v>
      </c>
      <c r="I235" s="76">
        <f>MAX(0,(H235-Constantes!$D$14)*(1-EXP(-Constantes!$D$22)))</f>
        <v>5.924862536389968E-2</v>
      </c>
      <c r="J235" s="76">
        <f t="shared" si="9"/>
        <v>75.09832578702445</v>
      </c>
      <c r="K235" s="76">
        <f>MAX(0,(J235-Constantes!$D$13)*(1-EXP(-Constantes!$D$23)))</f>
        <v>0.25961632966181764</v>
      </c>
      <c r="L235" s="76">
        <f t="shared" si="10"/>
        <v>0.31886495502571732</v>
      </c>
      <c r="M235" s="76">
        <f>0.0526*F235*Observaciones!$F234^1.218</f>
        <v>0</v>
      </c>
      <c r="N235" s="76">
        <f>M235*Constantes!$D$51</f>
        <v>0</v>
      </c>
      <c r="O235" s="76">
        <f t="shared" si="11"/>
        <v>0</v>
      </c>
      <c r="P235" s="15"/>
      <c r="Q235" s="75">
        <v>229</v>
      </c>
      <c r="R235" s="76">
        <f>0.0526*Observaciones!$F234^2.218</f>
        <v>0.74310410909583668</v>
      </c>
      <c r="S235" s="76">
        <f>IF(Observaciones!$F234&gt;0.05*$W$7,((Observaciones!$F234-0.05*$W$7)^2)/(Observaciones!$F234+0.95*$W$7),0)</f>
        <v>6.7925012840267113E-2</v>
      </c>
      <c r="T235" s="76">
        <f>0.0526*S235*Observaciones!$F234^1.218</f>
        <v>1.529556247029999E-2</v>
      </c>
      <c r="U235" s="29"/>
      <c r="V235" s="29"/>
      <c r="W235" s="109"/>
      <c r="X235" s="40"/>
    </row>
    <row r="236" spans="2:24" s="2" customFormat="1">
      <c r="B236" s="39"/>
      <c r="C236" s="75">
        <v>230</v>
      </c>
      <c r="D236" s="146">
        <f>ETo!$I235*((1-Constantes!$D$19)*ETo!$K235+ETo!$L235)</f>
        <v>3.075060401031136</v>
      </c>
      <c r="E236" s="76">
        <f>MIN(D236*Constantes!$D$17,0.8*(H235+Observaciones!$F235-F236-G236-Constantes!$D$14))</f>
        <v>1.3914795086690432</v>
      </c>
      <c r="F236" s="76">
        <f>IF(Observaciones!$F235&gt;0.05*Constantes!$D$18,((Observaciones!$F235-0.05*Constantes!$D$18)^2)/(Observaciones!$F235+0.95*Constantes!$D$18),0)</f>
        <v>0</v>
      </c>
      <c r="G236" s="76">
        <f>MAX(0,H235+Observaciones!$F235-F236-Constantes!$D$13)</f>
        <v>0</v>
      </c>
      <c r="H236" s="76">
        <f>H235+Observaciones!$F235-F236-E236-G236-I235</f>
        <v>11.538621251803361</v>
      </c>
      <c r="I236" s="76">
        <f>MAX(0,(H236-Constantes!$D$14)*(1-EXP(-Constantes!$D$22)))</f>
        <v>9.8314993867290121E-3</v>
      </c>
      <c r="J236" s="76">
        <f t="shared" si="9"/>
        <v>74.838709457362626</v>
      </c>
      <c r="K236" s="76">
        <f>MAX(0,(J236-Constantes!$D$13)*(1-EXP(-Constantes!$D$23)))</f>
        <v>0.25705826812986754</v>
      </c>
      <c r="L236" s="76">
        <f t="shared" si="10"/>
        <v>0.26688976751659654</v>
      </c>
      <c r="M236" s="76">
        <f>0.0526*F236*Observaciones!$F235^1.218</f>
        <v>0</v>
      </c>
      <c r="N236" s="76">
        <f>M236*Constantes!$D$51</f>
        <v>0</v>
      </c>
      <c r="O236" s="76">
        <f t="shared" si="11"/>
        <v>0</v>
      </c>
      <c r="P236" s="15"/>
      <c r="Q236" s="75">
        <v>230</v>
      </c>
      <c r="R236" s="76">
        <f>0.0526*Observaciones!$F235^2.218</f>
        <v>0</v>
      </c>
      <c r="S236" s="76">
        <f>IF(Observaciones!$F235&gt;0.05*$W$7,((Observaciones!$F235-0.05*$W$7)^2)/(Observaciones!$F235+0.95*$W$7),0)</f>
        <v>0</v>
      </c>
      <c r="T236" s="76">
        <f>0.0526*S236*Observaciones!$F235^1.218</f>
        <v>0</v>
      </c>
      <c r="U236" s="29"/>
      <c r="V236" s="29"/>
      <c r="W236" s="109"/>
      <c r="X236" s="40"/>
    </row>
    <row r="237" spans="2:24" s="2" customFormat="1">
      <c r="B237" s="39"/>
      <c r="C237" s="75">
        <v>231</v>
      </c>
      <c r="D237" s="146">
        <f>ETo!$I236*((1-Constantes!$D$19)*ETo!$K236+ETo!$L236)</f>
        <v>3.0994468988309913</v>
      </c>
      <c r="E237" s="76">
        <f>MIN(D237*Constantes!$D$17,0.8*(H236+Observaciones!$F236-F237-G237-Constantes!$D$14))</f>
        <v>0.23089700144268904</v>
      </c>
      <c r="F237" s="76">
        <f>IF(Observaciones!$F236&gt;0.05*Constantes!$D$18,((Observaciones!$F236-0.05*Constantes!$D$18)^2)/(Observaciones!$F236+0.95*Constantes!$D$18),0)</f>
        <v>0</v>
      </c>
      <c r="G237" s="76">
        <f>MAX(0,H236+Observaciones!$F236-F237-Constantes!$D$13)</f>
        <v>0</v>
      </c>
      <c r="H237" s="76">
        <f>H236+Observaciones!$F236-F237-E237-G237-I236</f>
        <v>11.297892750973944</v>
      </c>
      <c r="I237" s="76">
        <f>MAX(0,(H237-Constantes!$D$14)*(1-EXP(-Constantes!$D$22)))</f>
        <v>1.6314029160606927E-3</v>
      </c>
      <c r="J237" s="76">
        <f t="shared" si="9"/>
        <v>74.581651189232758</v>
      </c>
      <c r="K237" s="76">
        <f>MAX(0,(J237-Constantes!$D$13)*(1-EXP(-Constantes!$D$23)))</f>
        <v>0.25452541178747468</v>
      </c>
      <c r="L237" s="76">
        <f t="shared" si="10"/>
        <v>0.25615681470353535</v>
      </c>
      <c r="M237" s="76">
        <f>0.0526*F237*Observaciones!$F236^1.218</f>
        <v>0</v>
      </c>
      <c r="N237" s="76">
        <f>M237*Constantes!$D$51</f>
        <v>0</v>
      </c>
      <c r="O237" s="76">
        <f t="shared" si="11"/>
        <v>0</v>
      </c>
      <c r="P237" s="15"/>
      <c r="Q237" s="75">
        <v>231</v>
      </c>
      <c r="R237" s="76">
        <f>0.0526*Observaciones!$F236^2.218</f>
        <v>0</v>
      </c>
      <c r="S237" s="76">
        <f>IF(Observaciones!$F236&gt;0.05*$W$7,((Observaciones!$F236-0.05*$W$7)^2)/(Observaciones!$F236+0.95*$W$7),0)</f>
        <v>0</v>
      </c>
      <c r="T237" s="76">
        <f>0.0526*S237*Observaciones!$F236^1.218</f>
        <v>0</v>
      </c>
      <c r="U237" s="29"/>
      <c r="V237" s="29"/>
      <c r="W237" s="109"/>
      <c r="X237" s="40"/>
    </row>
    <row r="238" spans="2:24" s="2" customFormat="1">
      <c r="B238" s="39"/>
      <c r="C238" s="75">
        <v>232</v>
      </c>
      <c r="D238" s="146">
        <f>ETo!$I237*((1-Constantes!$D$19)*ETo!$K237+ETo!$L237)</f>
        <v>3.2225263343142583</v>
      </c>
      <c r="E238" s="76">
        <f>MIN(D238*Constantes!$D$17,0.8*(H237+Observaciones!$F237-F238-G238-Constantes!$D$14))</f>
        <v>3.8314200779154817E-2</v>
      </c>
      <c r="F238" s="76">
        <f>IF(Observaciones!$F237&gt;0.05*Constantes!$D$18,((Observaciones!$F237-0.05*Constantes!$D$18)^2)/(Observaciones!$F237+0.95*Constantes!$D$18),0)</f>
        <v>0</v>
      </c>
      <c r="G238" s="76">
        <f>MAX(0,H237+Observaciones!$F237-F238-Constantes!$D$13)</f>
        <v>0</v>
      </c>
      <c r="H238" s="76">
        <f>H237+Observaciones!$F237-F238-E238-G238-I237</f>
        <v>11.257947147278728</v>
      </c>
      <c r="I238" s="76">
        <f>MAX(0,(H238-Constantes!$D$14)*(1-EXP(-Constantes!$D$22)))</f>
        <v>2.7070901088838481E-4</v>
      </c>
      <c r="J238" s="76">
        <f t="shared" si="9"/>
        <v>74.327125777445289</v>
      </c>
      <c r="K238" s="76">
        <f>MAX(0,(J238-Constantes!$D$13)*(1-EXP(-Constantes!$D$23)))</f>
        <v>0.25201751228190278</v>
      </c>
      <c r="L238" s="76">
        <f t="shared" si="10"/>
        <v>0.25228822129279116</v>
      </c>
      <c r="M238" s="76">
        <f>0.0526*F238*Observaciones!$F237^1.218</f>
        <v>0</v>
      </c>
      <c r="N238" s="76">
        <f>M238*Constantes!$D$51</f>
        <v>0</v>
      </c>
      <c r="O238" s="76">
        <f t="shared" si="11"/>
        <v>0</v>
      </c>
      <c r="P238" s="15"/>
      <c r="Q238" s="75">
        <v>232</v>
      </c>
      <c r="R238" s="76">
        <f>0.0526*Observaciones!$F237^2.218</f>
        <v>0</v>
      </c>
      <c r="S238" s="76">
        <f>IF(Observaciones!$F237&gt;0.05*$W$7,((Observaciones!$F237-0.05*$W$7)^2)/(Observaciones!$F237+0.95*$W$7),0)</f>
        <v>0</v>
      </c>
      <c r="T238" s="76">
        <f>0.0526*S238*Observaciones!$F237^1.218</f>
        <v>0</v>
      </c>
      <c r="U238" s="29"/>
      <c r="V238" s="29"/>
      <c r="W238" s="109"/>
      <c r="X238" s="40"/>
    </row>
    <row r="239" spans="2:24" s="2" customFormat="1">
      <c r="B239" s="39"/>
      <c r="C239" s="75">
        <v>233</v>
      </c>
      <c r="D239" s="146">
        <f>ETo!$I238*((1-Constantes!$D$19)*ETo!$K238+ETo!$L238)</f>
        <v>3.16263764547337</v>
      </c>
      <c r="E239" s="76">
        <f>MIN(D239*Constantes!$D$17,0.8*(H238+Observaciones!$F238-F239-G239-Constantes!$D$14))</f>
        <v>6.3577178229820676E-3</v>
      </c>
      <c r="F239" s="76">
        <f>IF(Observaciones!$F238&gt;0.05*Constantes!$D$18,((Observaciones!$F238-0.05*Constantes!$D$18)^2)/(Observaciones!$F238+0.95*Constantes!$D$18),0)</f>
        <v>0</v>
      </c>
      <c r="G239" s="76">
        <f>MAX(0,H238+Observaciones!$F238-F239-Constantes!$D$13)</f>
        <v>0</v>
      </c>
      <c r="H239" s="76">
        <f>H238+Observaciones!$F238-F239-E239-G239-I238</f>
        <v>11.251318720444857</v>
      </c>
      <c r="I239" s="76">
        <f>MAX(0,(H239-Constantes!$D$14)*(1-EXP(-Constantes!$D$22)))</f>
        <v>4.4920459473691344E-5</v>
      </c>
      <c r="J239" s="76">
        <f t="shared" si="9"/>
        <v>74.075108265163379</v>
      </c>
      <c r="K239" s="76">
        <f>MAX(0,(J239-Constantes!$D$13)*(1-EXP(-Constantes!$D$23)))</f>
        <v>0.24953432370749429</v>
      </c>
      <c r="L239" s="76">
        <f t="shared" si="10"/>
        <v>0.24957924416696797</v>
      </c>
      <c r="M239" s="76">
        <f>0.0526*F239*Observaciones!$F238^1.218</f>
        <v>0</v>
      </c>
      <c r="N239" s="76">
        <f>M239*Constantes!$D$51</f>
        <v>0</v>
      </c>
      <c r="O239" s="76">
        <f t="shared" si="11"/>
        <v>0</v>
      </c>
      <c r="P239" s="15"/>
      <c r="Q239" s="75">
        <v>233</v>
      </c>
      <c r="R239" s="76">
        <f>0.0526*Observaciones!$F238^2.218</f>
        <v>0</v>
      </c>
      <c r="S239" s="76">
        <f>IF(Observaciones!$F238&gt;0.05*$W$7,((Observaciones!$F238-0.05*$W$7)^2)/(Observaciones!$F238+0.95*$W$7),0)</f>
        <v>0</v>
      </c>
      <c r="T239" s="76">
        <f>0.0526*S239*Observaciones!$F238^1.218</f>
        <v>0</v>
      </c>
      <c r="U239" s="29"/>
      <c r="V239" s="29"/>
      <c r="W239" s="109"/>
      <c r="X239" s="40"/>
    </row>
    <row r="240" spans="2:24" s="2" customFormat="1">
      <c r="B240" s="39"/>
      <c r="C240" s="75">
        <v>234</v>
      </c>
      <c r="D240" s="146">
        <f>ETo!$I239*((1-Constantes!$D$19)*ETo!$K239+ETo!$L239)</f>
        <v>3.3553192455129048</v>
      </c>
      <c r="E240" s="76">
        <f>MIN(D240*Constantes!$D$17,0.8*(H239+Observaciones!$F239-F240-G240-Constantes!$D$14))</f>
        <v>1.0549763558856285E-3</v>
      </c>
      <c r="F240" s="76">
        <f>IF(Observaciones!$F239&gt;0.05*Constantes!$D$18,((Observaciones!$F239-0.05*Constantes!$D$18)^2)/(Observaciones!$F239+0.95*Constantes!$D$18),0)</f>
        <v>0</v>
      </c>
      <c r="G240" s="76">
        <f>MAX(0,H239+Observaciones!$F239-F240-Constantes!$D$13)</f>
        <v>0</v>
      </c>
      <c r="H240" s="76">
        <f>H239+Observaciones!$F239-F240-E240-G240-I239</f>
        <v>11.250218823629499</v>
      </c>
      <c r="I240" s="76">
        <f>MAX(0,(H240-Constantes!$D$14)*(1-EXP(-Constantes!$D$22)))</f>
        <v>7.4539361387287485E-6</v>
      </c>
      <c r="J240" s="76">
        <f t="shared" si="9"/>
        <v>73.825573941455886</v>
      </c>
      <c r="K240" s="76">
        <f>MAX(0,(J240-Constantes!$D$13)*(1-EXP(-Constantes!$D$23)))</f>
        <v>0.24707560258155897</v>
      </c>
      <c r="L240" s="76">
        <f t="shared" si="10"/>
        <v>0.24708305651769771</v>
      </c>
      <c r="M240" s="76">
        <f>0.0526*F240*Observaciones!$F239^1.218</f>
        <v>0</v>
      </c>
      <c r="N240" s="76">
        <f>M240*Constantes!$D$51</f>
        <v>0</v>
      </c>
      <c r="O240" s="76">
        <f t="shared" si="11"/>
        <v>0</v>
      </c>
      <c r="P240" s="15"/>
      <c r="Q240" s="75">
        <v>234</v>
      </c>
      <c r="R240" s="76">
        <f>0.0526*Observaciones!$F239^2.218</f>
        <v>0</v>
      </c>
      <c r="S240" s="76">
        <f>IF(Observaciones!$F239&gt;0.05*$W$7,((Observaciones!$F239-0.05*$W$7)^2)/(Observaciones!$F239+0.95*$W$7),0)</f>
        <v>0</v>
      </c>
      <c r="T240" s="76">
        <f>0.0526*S240*Observaciones!$F239^1.218</f>
        <v>0</v>
      </c>
      <c r="U240" s="29"/>
      <c r="V240" s="29"/>
      <c r="W240" s="109"/>
      <c r="X240" s="40"/>
    </row>
    <row r="241" spans="2:24" s="2" customFormat="1">
      <c r="B241" s="39"/>
      <c r="C241" s="75">
        <v>235</v>
      </c>
      <c r="D241" s="146">
        <f>ETo!$I240*((1-Constantes!$D$19)*ETo!$K240+ETo!$L240)</f>
        <v>3.2264798362725386</v>
      </c>
      <c r="E241" s="76">
        <f>MIN(D241*Constantes!$D$17,0.8*(H240+Observaciones!$F240-F241-G241-Constantes!$D$14))</f>
        <v>1.7505890359927891E-4</v>
      </c>
      <c r="F241" s="76">
        <f>IF(Observaciones!$F240&gt;0.05*Constantes!$D$18,((Observaciones!$F240-0.05*Constantes!$D$18)^2)/(Observaciones!$F240+0.95*Constantes!$D$18),0)</f>
        <v>0</v>
      </c>
      <c r="G241" s="76">
        <f>MAX(0,H240+Observaciones!$F240-F241-Constantes!$D$13)</f>
        <v>0</v>
      </c>
      <c r="H241" s="76">
        <f>H240+Observaciones!$F240-F241-E241-G241-I240</f>
        <v>11.250036310789762</v>
      </c>
      <c r="I241" s="76">
        <f>MAX(0,(H241-Constantes!$D$14)*(1-EXP(-Constantes!$D$22)))</f>
        <v>1.2368787989192083E-6</v>
      </c>
      <c r="J241" s="76">
        <f t="shared" si="9"/>
        <v>73.578498338874326</v>
      </c>
      <c r="K241" s="76">
        <f>MAX(0,(J241-Constantes!$D$13)*(1-EXP(-Constantes!$D$23)))</f>
        <v>0.24464110782049922</v>
      </c>
      <c r="L241" s="76">
        <f t="shared" si="10"/>
        <v>0.24464234469929813</v>
      </c>
      <c r="M241" s="76">
        <f>0.0526*F241*Observaciones!$F240^1.218</f>
        <v>0</v>
      </c>
      <c r="N241" s="76">
        <f>M241*Constantes!$D$51</f>
        <v>0</v>
      </c>
      <c r="O241" s="76">
        <f t="shared" si="11"/>
        <v>0</v>
      </c>
      <c r="P241" s="15"/>
      <c r="Q241" s="75">
        <v>235</v>
      </c>
      <c r="R241" s="76">
        <f>0.0526*Observaciones!$F240^2.218</f>
        <v>0</v>
      </c>
      <c r="S241" s="76">
        <f>IF(Observaciones!$F240&gt;0.05*$W$7,((Observaciones!$F240-0.05*$W$7)^2)/(Observaciones!$F240+0.95*$W$7),0)</f>
        <v>0</v>
      </c>
      <c r="T241" s="76">
        <f>0.0526*S241*Observaciones!$F240^1.218</f>
        <v>0</v>
      </c>
      <c r="U241" s="29"/>
      <c r="V241" s="29"/>
      <c r="W241" s="109"/>
      <c r="X241" s="40"/>
    </row>
    <row r="242" spans="2:24" s="2" customFormat="1">
      <c r="B242" s="39"/>
      <c r="C242" s="75">
        <v>236</v>
      </c>
      <c r="D242" s="146">
        <f>ETo!$I241*((1-Constantes!$D$19)*ETo!$K241+ETo!$L241)</f>
        <v>3.2658064911590858</v>
      </c>
      <c r="E242" s="76">
        <f>MIN(D242*Constantes!$D$17,0.8*(H241+Observaciones!$F241-F242-G242-Constantes!$D$14))</f>
        <v>2.904863180930306E-5</v>
      </c>
      <c r="F242" s="76">
        <f>IF(Observaciones!$F241&gt;0.05*Constantes!$D$18,((Observaciones!$F241-0.05*Constantes!$D$18)^2)/(Observaciones!$F241+0.95*Constantes!$D$18),0)</f>
        <v>0</v>
      </c>
      <c r="G242" s="76">
        <f>MAX(0,H241+Observaciones!$F241-F242-Constantes!$D$13)</f>
        <v>0</v>
      </c>
      <c r="H242" s="76">
        <f>H241+Observaciones!$F241-F242-E242-G242-I241</f>
        <v>11.250006025279154</v>
      </c>
      <c r="I242" s="76">
        <f>MAX(0,(H242-Constantes!$D$14)*(1-EXP(-Constantes!$D$22)))</f>
        <v>2.0524312723211021E-7</v>
      </c>
      <c r="J242" s="76">
        <f t="shared" si="9"/>
        <v>73.333857231053827</v>
      </c>
      <c r="K242" s="76">
        <f>MAX(0,(J242-Constantes!$D$13)*(1-EXP(-Constantes!$D$23)))</f>
        <v>0.24223060071617167</v>
      </c>
      <c r="L242" s="76">
        <f t="shared" si="10"/>
        <v>0.24223080595929891</v>
      </c>
      <c r="M242" s="76">
        <f>0.0526*F242*Observaciones!$F241^1.218</f>
        <v>0</v>
      </c>
      <c r="N242" s="76">
        <f>M242*Constantes!$D$51</f>
        <v>0</v>
      </c>
      <c r="O242" s="76">
        <f t="shared" si="11"/>
        <v>0</v>
      </c>
      <c r="P242" s="15"/>
      <c r="Q242" s="75">
        <v>236</v>
      </c>
      <c r="R242" s="76">
        <f>0.0526*Observaciones!$F241^2.218</f>
        <v>0</v>
      </c>
      <c r="S242" s="76">
        <f>IF(Observaciones!$F241&gt;0.05*$W$7,((Observaciones!$F241-0.05*$W$7)^2)/(Observaciones!$F241+0.95*$W$7),0)</f>
        <v>0</v>
      </c>
      <c r="T242" s="76">
        <f>0.0526*S242*Observaciones!$F241^1.218</f>
        <v>0</v>
      </c>
      <c r="U242" s="29"/>
      <c r="V242" s="29"/>
      <c r="W242" s="109"/>
      <c r="X242" s="40"/>
    </row>
    <row r="243" spans="2:24" s="2" customFormat="1">
      <c r="B243" s="39"/>
      <c r="C243" s="75">
        <v>237</v>
      </c>
      <c r="D243" s="146">
        <f>ETo!$I242*((1-Constantes!$D$19)*ETo!$K242+ETo!$L242)</f>
        <v>3.075397185378272</v>
      </c>
      <c r="E243" s="76">
        <f>MIN(D243*Constantes!$D$17,0.8*(H242+Observaciones!$F242-F243-G243-Constantes!$D$14))</f>
        <v>4.8202233230654206E-6</v>
      </c>
      <c r="F243" s="76">
        <f>IF(Observaciones!$F242&gt;0.05*Constantes!$D$18,((Observaciones!$F242-0.05*Constantes!$D$18)^2)/(Observaciones!$F242+0.95*Constantes!$D$18),0)</f>
        <v>0</v>
      </c>
      <c r="G243" s="76">
        <f>MAX(0,H242+Observaciones!$F242-F243-Constantes!$D$13)</f>
        <v>0</v>
      </c>
      <c r="H243" s="76">
        <f>H242+Observaciones!$F242-F243-E243-G243-I242</f>
        <v>11.250000999812704</v>
      </c>
      <c r="I243" s="76">
        <f>MAX(0,(H243-Constantes!$D$14)*(1-EXP(-Constantes!$D$22)))</f>
        <v>3.4057291076931776E-8</v>
      </c>
      <c r="J243" s="76">
        <f t="shared" si="9"/>
        <v>73.091626630337657</v>
      </c>
      <c r="K243" s="76">
        <f>MAX(0,(J243-Constantes!$D$13)*(1-EXP(-Constantes!$D$23)))</f>
        <v>0.23984384491248115</v>
      </c>
      <c r="L243" s="76">
        <f t="shared" si="10"/>
        <v>0.23984387896977222</v>
      </c>
      <c r="M243" s="76">
        <f>0.0526*F243*Observaciones!$F242^1.218</f>
        <v>0</v>
      </c>
      <c r="N243" s="76">
        <f>M243*Constantes!$D$51</f>
        <v>0</v>
      </c>
      <c r="O243" s="76">
        <f t="shared" si="11"/>
        <v>0</v>
      </c>
      <c r="P243" s="15"/>
      <c r="Q243" s="75">
        <v>237</v>
      </c>
      <c r="R243" s="76">
        <f>0.0526*Observaciones!$F242^2.218</f>
        <v>0</v>
      </c>
      <c r="S243" s="76">
        <f>IF(Observaciones!$F242&gt;0.05*$W$7,((Observaciones!$F242-0.05*$W$7)^2)/(Observaciones!$F242+0.95*$W$7),0)</f>
        <v>0</v>
      </c>
      <c r="T243" s="76">
        <f>0.0526*S243*Observaciones!$F242^1.218</f>
        <v>0</v>
      </c>
      <c r="U243" s="29"/>
      <c r="V243" s="29"/>
      <c r="W243" s="109"/>
      <c r="X243" s="40"/>
    </row>
    <row r="244" spans="2:24" s="2" customFormat="1">
      <c r="B244" s="39"/>
      <c r="C244" s="75">
        <v>238</v>
      </c>
      <c r="D244" s="146">
        <f>ETo!$I243*((1-Constantes!$D$19)*ETo!$K243+ETo!$L243)</f>
        <v>3.2362670079758282</v>
      </c>
      <c r="E244" s="76">
        <f>MIN(D244*Constantes!$D$17,0.8*(H243+Observaciones!$F243-F244-G244-Constantes!$D$14))</f>
        <v>7.9985016299133349E-7</v>
      </c>
      <c r="F244" s="76">
        <f>IF(Observaciones!$F243&gt;0.05*Constantes!$D$18,((Observaciones!$F243-0.05*Constantes!$D$18)^2)/(Observaciones!$F243+0.95*Constantes!$D$18),0)</f>
        <v>0</v>
      </c>
      <c r="G244" s="76">
        <f>MAX(0,H243+Observaciones!$F243-F244-Constantes!$D$13)</f>
        <v>0</v>
      </c>
      <c r="H244" s="76">
        <f>H243+Observaciones!$F243-F244-E244-G244-I243</f>
        <v>11.25000016590525</v>
      </c>
      <c r="I244" s="76">
        <f>MAX(0,(H244-Constantes!$D$14)*(1-EXP(-Constantes!$D$22)))</f>
        <v>5.6513418801724843E-9</v>
      </c>
      <c r="J244" s="76">
        <f t="shared" si="9"/>
        <v>72.851782785425172</v>
      </c>
      <c r="K244" s="76">
        <f>MAX(0,(J244-Constantes!$D$13)*(1-EXP(-Constantes!$D$23)))</f>
        <v>0.23748060638220528</v>
      </c>
      <c r="L244" s="76">
        <f t="shared" si="10"/>
        <v>0.23748061203354714</v>
      </c>
      <c r="M244" s="76">
        <f>0.0526*F244*Observaciones!$F243^1.218</f>
        <v>0</v>
      </c>
      <c r="N244" s="76">
        <f>M244*Constantes!$D$51</f>
        <v>0</v>
      </c>
      <c r="O244" s="76">
        <f t="shared" si="11"/>
        <v>0</v>
      </c>
      <c r="P244" s="15"/>
      <c r="Q244" s="75">
        <v>238</v>
      </c>
      <c r="R244" s="76">
        <f>0.0526*Observaciones!$F243^2.218</f>
        <v>0</v>
      </c>
      <c r="S244" s="76">
        <f>IF(Observaciones!$F243&gt;0.05*$W$7,((Observaciones!$F243-0.05*$W$7)^2)/(Observaciones!$F243+0.95*$W$7),0)</f>
        <v>0</v>
      </c>
      <c r="T244" s="76">
        <f>0.0526*S244*Observaciones!$F243^1.218</f>
        <v>0</v>
      </c>
      <c r="U244" s="29"/>
      <c r="V244" s="29"/>
      <c r="W244" s="109"/>
      <c r="X244" s="40"/>
    </row>
    <row r="245" spans="2:24" s="2" customFormat="1">
      <c r="B245" s="39"/>
      <c r="C245" s="75">
        <v>239</v>
      </c>
      <c r="D245" s="146">
        <f>ETo!$I244*((1-Constantes!$D$19)*ETo!$K244+ETo!$L244)</f>
        <v>3.3083070034484288</v>
      </c>
      <c r="E245" s="76">
        <f>MIN(D245*Constantes!$D$17,0.8*(H244+Observaciones!$F244-F245-G245-Constantes!$D$14))</f>
        <v>1.3272420034127209E-7</v>
      </c>
      <c r="F245" s="76">
        <f>IF(Observaciones!$F244&gt;0.05*Constantes!$D$18,((Observaciones!$F244-0.05*Constantes!$D$18)^2)/(Observaciones!$F244+0.95*Constantes!$D$18),0)</f>
        <v>0</v>
      </c>
      <c r="G245" s="76">
        <f>MAX(0,H244+Observaciones!$F244-F245-Constantes!$D$13)</f>
        <v>0</v>
      </c>
      <c r="H245" s="76">
        <f>H244+Observaciones!$F244-F245-E245-G245-I244</f>
        <v>11.250000027529708</v>
      </c>
      <c r="I245" s="76">
        <f>MAX(0,(H245-Constantes!$D$14)*(1-EXP(-Constantes!$D$22)))</f>
        <v>9.3776292801226813E-10</v>
      </c>
      <c r="J245" s="76">
        <f t="shared" si="9"/>
        <v>72.614302179042966</v>
      </c>
      <c r="K245" s="76">
        <f>MAX(0,(J245-Constantes!$D$13)*(1-EXP(-Constantes!$D$23)))</f>
        <v>0.2351406534040478</v>
      </c>
      <c r="L245" s="76">
        <f t="shared" si="10"/>
        <v>0.23514065434181072</v>
      </c>
      <c r="M245" s="76">
        <f>0.0526*F245*Observaciones!$F244^1.218</f>
        <v>0</v>
      </c>
      <c r="N245" s="76">
        <f>M245*Constantes!$D$51</f>
        <v>0</v>
      </c>
      <c r="O245" s="76">
        <f t="shared" si="11"/>
        <v>0</v>
      </c>
      <c r="P245" s="15"/>
      <c r="Q245" s="75">
        <v>239</v>
      </c>
      <c r="R245" s="76">
        <f>0.0526*Observaciones!$F244^2.218</f>
        <v>0</v>
      </c>
      <c r="S245" s="76">
        <f>IF(Observaciones!$F244&gt;0.05*$W$7,((Observaciones!$F244-0.05*$W$7)^2)/(Observaciones!$F244+0.95*$W$7),0)</f>
        <v>0</v>
      </c>
      <c r="T245" s="76">
        <f>0.0526*S245*Observaciones!$F244^1.218</f>
        <v>0</v>
      </c>
      <c r="U245" s="29"/>
      <c r="V245" s="29"/>
      <c r="W245" s="109"/>
      <c r="X245" s="40"/>
    </row>
    <row r="246" spans="2:24" s="2" customFormat="1">
      <c r="B246" s="39"/>
      <c r="C246" s="75">
        <v>240</v>
      </c>
      <c r="D246" s="146">
        <f>ETo!$I245*((1-Constantes!$D$19)*ETo!$K245+ETo!$L245)</f>
        <v>3.1619114160019071</v>
      </c>
      <c r="E246" s="76">
        <f>MIN(D246*Constantes!$D$17,0.8*(H245+Observaciones!$F245-F246-G246-Constantes!$D$14))</f>
        <v>2.2023766632628395E-8</v>
      </c>
      <c r="F246" s="76">
        <f>IF(Observaciones!$F245&gt;0.05*Constantes!$D$18,((Observaciones!$F245-0.05*Constantes!$D$18)^2)/(Observaciones!$F245+0.95*Constantes!$D$18),0)</f>
        <v>0</v>
      </c>
      <c r="G246" s="76">
        <f>MAX(0,H245+Observaciones!$F245-F246-Constantes!$D$13)</f>
        <v>0</v>
      </c>
      <c r="H246" s="76">
        <f>H245+Observaciones!$F245-F246-E246-G246-I245</f>
        <v>11.250000004568179</v>
      </c>
      <c r="I246" s="76">
        <f>MAX(0,(H246-Constantes!$D$14)*(1-EXP(-Constantes!$D$22)))</f>
        <v>1.5560893747314578E-10</v>
      </c>
      <c r="J246" s="76">
        <f t="shared" si="9"/>
        <v>72.379161525638921</v>
      </c>
      <c r="K246" s="76">
        <f>MAX(0,(J246-Constantes!$D$13)*(1-EXP(-Constantes!$D$23)))</f>
        <v>0.23282375653991755</v>
      </c>
      <c r="L246" s="76">
        <f t="shared" si="10"/>
        <v>0.23282375669552649</v>
      </c>
      <c r="M246" s="76">
        <f>0.0526*F246*Observaciones!$F245^1.218</f>
        <v>0</v>
      </c>
      <c r="N246" s="76">
        <f>M246*Constantes!$D$51</f>
        <v>0</v>
      </c>
      <c r="O246" s="76">
        <f t="shared" si="11"/>
        <v>0</v>
      </c>
      <c r="P246" s="15"/>
      <c r="Q246" s="75">
        <v>240</v>
      </c>
      <c r="R246" s="76">
        <f>0.0526*Observaciones!$F245^2.218</f>
        <v>0</v>
      </c>
      <c r="S246" s="76">
        <f>IF(Observaciones!$F245&gt;0.05*$W$7,((Observaciones!$F245-0.05*$W$7)^2)/(Observaciones!$F245+0.95*$W$7),0)</f>
        <v>0</v>
      </c>
      <c r="T246" s="76">
        <f>0.0526*S246*Observaciones!$F245^1.218</f>
        <v>0</v>
      </c>
      <c r="U246" s="29"/>
      <c r="V246" s="29"/>
      <c r="W246" s="109"/>
      <c r="X246" s="40"/>
    </row>
    <row r="247" spans="2:24" s="2" customFormat="1">
      <c r="B247" s="39"/>
      <c r="C247" s="75">
        <v>241</v>
      </c>
      <c r="D247" s="146">
        <f>ETo!$I246*((1-Constantes!$D$19)*ETo!$K246+ETo!$L246)</f>
        <v>3.142248663647214</v>
      </c>
      <c r="E247" s="76">
        <f>MIN(D247*Constantes!$D$17,0.8*(H246+Observaciones!$F246-F247-G247-Constantes!$D$14))</f>
        <v>3.6545429793477525E-9</v>
      </c>
      <c r="F247" s="76">
        <f>IF(Observaciones!$F246&gt;0.05*Constantes!$D$18,((Observaciones!$F246-0.05*Constantes!$D$18)^2)/(Observaciones!$F246+0.95*Constantes!$D$18),0)</f>
        <v>0</v>
      </c>
      <c r="G247" s="76">
        <f>MAX(0,H246+Observaciones!$F246-F247-Constantes!$D$13)</f>
        <v>0</v>
      </c>
      <c r="H247" s="76">
        <f>H246+Observaciones!$F246-F247-E247-G247-I246</f>
        <v>11.250000000758027</v>
      </c>
      <c r="I247" s="76">
        <f>MAX(0,(H247-Constantes!$D$14)*(1-EXP(-Constantes!$D$22)))</f>
        <v>2.582116639894798E-11</v>
      </c>
      <c r="J247" s="76">
        <f t="shared" si="9"/>
        <v>72.146337769099006</v>
      </c>
      <c r="K247" s="76">
        <f>MAX(0,(J247-Constantes!$D$13)*(1-EXP(-Constantes!$D$23)))</f>
        <v>0.23052968861243137</v>
      </c>
      <c r="L247" s="76">
        <f t="shared" si="10"/>
        <v>0.23052968863825254</v>
      </c>
      <c r="M247" s="76">
        <f>0.0526*F247*Observaciones!$F246^1.218</f>
        <v>0</v>
      </c>
      <c r="N247" s="76">
        <f>M247*Constantes!$D$51</f>
        <v>0</v>
      </c>
      <c r="O247" s="76">
        <f t="shared" si="11"/>
        <v>0</v>
      </c>
      <c r="P247" s="15"/>
      <c r="Q247" s="75">
        <v>241</v>
      </c>
      <c r="R247" s="76">
        <f>0.0526*Observaciones!$F246^2.218</f>
        <v>0</v>
      </c>
      <c r="S247" s="76">
        <f>IF(Observaciones!$F246&gt;0.05*$W$7,((Observaciones!$F246-0.05*$W$7)^2)/(Observaciones!$F246+0.95*$W$7),0)</f>
        <v>0</v>
      </c>
      <c r="T247" s="76">
        <f>0.0526*S247*Observaciones!$F246^1.218</f>
        <v>0</v>
      </c>
      <c r="U247" s="29"/>
      <c r="V247" s="29"/>
      <c r="W247" s="109"/>
      <c r="X247" s="40"/>
    </row>
    <row r="248" spans="2:24" s="2" customFormat="1">
      <c r="B248" s="39"/>
      <c r="C248" s="75">
        <v>242</v>
      </c>
      <c r="D248" s="146">
        <f>ETo!$I247*((1-Constantes!$D$19)*ETo!$K247+ETo!$L247)</f>
        <v>3.3057509019918894</v>
      </c>
      <c r="E248" s="76">
        <f>MIN(D248*Constantes!$D$17,0.8*(H247+Observaciones!$F247-F248-G248-Constantes!$D$14))</f>
        <v>6.0642122434728671E-10</v>
      </c>
      <c r="F248" s="76">
        <f>IF(Observaciones!$F247&gt;0.05*Constantes!$D$18,((Observaciones!$F247-0.05*Constantes!$D$18)^2)/(Observaciones!$F247+0.95*Constantes!$D$18),0)</f>
        <v>0</v>
      </c>
      <c r="G248" s="76">
        <f>MAX(0,H247+Observaciones!$F247-F248-Constantes!$D$13)</f>
        <v>0</v>
      </c>
      <c r="H248" s="76">
        <f>H247+Observaciones!$F247-F248-E248-G248-I247</f>
        <v>11.250000000125784</v>
      </c>
      <c r="I248" s="76">
        <f>MAX(0,(H248-Constantes!$D$14)*(1-EXP(-Constantes!$D$22)))</f>
        <v>4.2846589366826093E-12</v>
      </c>
      <c r="J248" s="76">
        <f t="shared" si="9"/>
        <v>71.91580808048657</v>
      </c>
      <c r="K248" s="76">
        <f>MAX(0,(J248-Constantes!$D$13)*(1-EXP(-Constantes!$D$23)))</f>
        <v>0.22825822468263909</v>
      </c>
      <c r="L248" s="76">
        <f t="shared" si="10"/>
        <v>0.22825822468692375</v>
      </c>
      <c r="M248" s="76">
        <f>0.0526*F248*Observaciones!$F247^1.218</f>
        <v>0</v>
      </c>
      <c r="N248" s="76">
        <f>M248*Constantes!$D$51</f>
        <v>0</v>
      </c>
      <c r="O248" s="76">
        <f t="shared" si="11"/>
        <v>0</v>
      </c>
      <c r="P248" s="15"/>
      <c r="Q248" s="75">
        <v>242</v>
      </c>
      <c r="R248" s="76">
        <f>0.0526*Observaciones!$F247^2.218</f>
        <v>0</v>
      </c>
      <c r="S248" s="76">
        <f>IF(Observaciones!$F247&gt;0.05*$W$7,((Observaciones!$F247-0.05*$W$7)^2)/(Observaciones!$F247+0.95*$W$7),0)</f>
        <v>0</v>
      </c>
      <c r="T248" s="76">
        <f>0.0526*S248*Observaciones!$F247^1.218</f>
        <v>0</v>
      </c>
      <c r="U248" s="29"/>
      <c r="V248" s="29"/>
      <c r="W248" s="109"/>
      <c r="X248" s="40"/>
    </row>
    <row r="249" spans="2:24" s="2" customFormat="1">
      <c r="B249" s="39"/>
      <c r="C249" s="75">
        <v>243</v>
      </c>
      <c r="D249" s="146">
        <f>ETo!$I248*((1-Constantes!$D$19)*ETo!$K248+ETo!$L248)</f>
        <v>3.2859478911151392</v>
      </c>
      <c r="E249" s="76">
        <f>MIN(D249*Constantes!$D$17,0.8*(H248+Observaciones!$F248-F249-G249-Constantes!$D$14))</f>
        <v>1.0062706223834539E-10</v>
      </c>
      <c r="F249" s="76">
        <f>IF(Observaciones!$F248&gt;0.05*Constantes!$D$18,((Observaciones!$F248-0.05*Constantes!$D$18)^2)/(Observaciones!$F248+0.95*Constantes!$D$18),0)</f>
        <v>0</v>
      </c>
      <c r="G249" s="76">
        <f>MAX(0,H248+Observaciones!$F248-F249-Constantes!$D$13)</f>
        <v>0</v>
      </c>
      <c r="H249" s="76">
        <f>H248+Observaciones!$F248-F249-E249-G249-I248</f>
        <v>11.250000000020872</v>
      </c>
      <c r="I249" s="76">
        <f>MAX(0,(H249-Constantes!$D$14)*(1-EXP(-Constantes!$D$22)))</f>
        <v>7.1098351230081424E-13</v>
      </c>
      <c r="J249" s="76">
        <f t="shared" si="9"/>
        <v>71.687549855803937</v>
      </c>
      <c r="K249" s="76">
        <f>MAX(0,(J249-Constantes!$D$13)*(1-EXP(-Constantes!$D$23)))</f>
        <v>0.22600914202796768</v>
      </c>
      <c r="L249" s="76">
        <f t="shared" si="10"/>
        <v>0.22600914202867867</v>
      </c>
      <c r="M249" s="76">
        <f>0.0526*F249*Observaciones!$F248^1.218</f>
        <v>0</v>
      </c>
      <c r="N249" s="76">
        <f>M249*Constantes!$D$51</f>
        <v>0</v>
      </c>
      <c r="O249" s="76">
        <f t="shared" si="11"/>
        <v>0</v>
      </c>
      <c r="P249" s="15"/>
      <c r="Q249" s="75">
        <v>243</v>
      </c>
      <c r="R249" s="76">
        <f>0.0526*Observaciones!$F248^2.218</f>
        <v>0</v>
      </c>
      <c r="S249" s="76">
        <f>IF(Observaciones!$F248&gt;0.05*$W$7,((Observaciones!$F248-0.05*$W$7)^2)/(Observaciones!$F248+0.95*$W$7),0)</f>
        <v>0</v>
      </c>
      <c r="T249" s="76">
        <f>0.0526*S249*Observaciones!$F248^1.218</f>
        <v>0</v>
      </c>
      <c r="U249" s="29"/>
      <c r="V249" s="29"/>
      <c r="W249" s="109"/>
      <c r="X249" s="40"/>
    </row>
    <row r="250" spans="2:24" s="2" customFormat="1">
      <c r="B250" s="39"/>
      <c r="C250" s="75">
        <v>244</v>
      </c>
      <c r="D250" s="146">
        <f>ETo!$I249*((1-Constantes!$D$19)*ETo!$K249+ETo!$L249)</f>
        <v>3.3698157027958091</v>
      </c>
      <c r="E250" s="76">
        <f>MIN(D250*Constantes!$D$17,0.8*(H249+Observaciones!$F249-F250-G250-Constantes!$D$14))</f>
        <v>1.6697754290362354E-11</v>
      </c>
      <c r="F250" s="76">
        <f>IF(Observaciones!$F249&gt;0.05*Constantes!$D$18,((Observaciones!$F249-0.05*Constantes!$D$18)^2)/(Observaciones!$F249+0.95*Constantes!$D$18),0)</f>
        <v>0</v>
      </c>
      <c r="G250" s="76">
        <f>MAX(0,H249+Observaciones!$F249-F250-Constantes!$D$13)</f>
        <v>0</v>
      </c>
      <c r="H250" s="76">
        <f>H249+Observaciones!$F249-F250-E250-G250-I249</f>
        <v>11.250000000003464</v>
      </c>
      <c r="I250" s="76">
        <f>MAX(0,(H250-Constantes!$D$14)*(1-EXP(-Constantes!$D$22)))</f>
        <v>1.1799300842439045E-13</v>
      </c>
      <c r="J250" s="76">
        <f t="shared" si="9"/>
        <v>71.461540713775975</v>
      </c>
      <c r="K250" s="76">
        <f>MAX(0,(J250-Constantes!$D$13)*(1-EXP(-Constantes!$D$23)))</f>
        <v>0.22378222012038251</v>
      </c>
      <c r="L250" s="76">
        <f t="shared" si="10"/>
        <v>0.2237822201205005</v>
      </c>
      <c r="M250" s="76">
        <f>0.0526*F250*Observaciones!$F249^1.218</f>
        <v>0</v>
      </c>
      <c r="N250" s="76">
        <f>M250*Constantes!$D$51</f>
        <v>0</v>
      </c>
      <c r="O250" s="76">
        <f t="shared" si="11"/>
        <v>0</v>
      </c>
      <c r="P250" s="15"/>
      <c r="Q250" s="75">
        <v>244</v>
      </c>
      <c r="R250" s="76">
        <f>0.0526*Observaciones!$F249^2.218</f>
        <v>0</v>
      </c>
      <c r="S250" s="76">
        <f>IF(Observaciones!$F249&gt;0.05*$W$7,((Observaciones!$F249-0.05*$W$7)^2)/(Observaciones!$F249+0.95*$W$7),0)</f>
        <v>0</v>
      </c>
      <c r="T250" s="76">
        <f>0.0526*S250*Observaciones!$F249^1.218</f>
        <v>0</v>
      </c>
      <c r="U250" s="29"/>
      <c r="V250" s="29"/>
      <c r="W250" s="109"/>
      <c r="X250" s="40"/>
    </row>
    <row r="251" spans="2:24" s="2" customFormat="1">
      <c r="B251" s="39"/>
      <c r="C251" s="75">
        <v>245</v>
      </c>
      <c r="D251" s="146">
        <f>ETo!$I250*((1-Constantes!$D$19)*ETo!$K250+ETo!$L250)</f>
        <v>3.3645115697556052</v>
      </c>
      <c r="E251" s="76">
        <f>MIN(D251*Constantes!$D$17,0.8*(H250+Observaciones!$F250-F251-G251-Constantes!$D$14))</f>
        <v>2.7711166694643907E-12</v>
      </c>
      <c r="F251" s="76">
        <f>IF(Observaciones!$F250&gt;0.05*Constantes!$D$18,((Observaciones!$F250-0.05*Constantes!$D$18)^2)/(Observaciones!$F250+0.95*Constantes!$D$18),0)</f>
        <v>0</v>
      </c>
      <c r="G251" s="76">
        <f>MAX(0,H250+Observaciones!$F250-F251-Constantes!$D$13)</f>
        <v>0</v>
      </c>
      <c r="H251" s="76">
        <f>H250+Observaciones!$F250-F251-E251-G251-I250</f>
        <v>11.250000000000576</v>
      </c>
      <c r="I251" s="76">
        <f>MAX(0,(H251-Constantes!$D$14)*(1-EXP(-Constantes!$D$22)))</f>
        <v>1.9604992168975644E-14</v>
      </c>
      <c r="J251" s="76">
        <f t="shared" si="9"/>
        <v>71.237758493655591</v>
      </c>
      <c r="K251" s="76">
        <f>MAX(0,(J251-Constantes!$D$13)*(1-EXP(-Constantes!$D$23)))</f>
        <v>0.22157724060476419</v>
      </c>
      <c r="L251" s="76">
        <f t="shared" si="10"/>
        <v>0.22157724060478379</v>
      </c>
      <c r="M251" s="76">
        <f>0.0526*F251*Observaciones!$F250^1.218</f>
        <v>0</v>
      </c>
      <c r="N251" s="76">
        <f>M251*Constantes!$D$51</f>
        <v>0</v>
      </c>
      <c r="O251" s="76">
        <f t="shared" si="11"/>
        <v>0</v>
      </c>
      <c r="P251" s="15"/>
      <c r="Q251" s="75">
        <v>245</v>
      </c>
      <c r="R251" s="76">
        <f>0.0526*Observaciones!$F250^2.218</f>
        <v>0</v>
      </c>
      <c r="S251" s="76">
        <f>IF(Observaciones!$F250&gt;0.05*$W$7,((Observaciones!$F250-0.05*$W$7)^2)/(Observaciones!$F250+0.95*$W$7),0)</f>
        <v>0</v>
      </c>
      <c r="T251" s="76">
        <f>0.0526*S251*Observaciones!$F250^1.218</f>
        <v>0</v>
      </c>
      <c r="U251" s="29"/>
      <c r="V251" s="29"/>
      <c r="W251" s="109"/>
      <c r="X251" s="40"/>
    </row>
    <row r="252" spans="2:24" s="2" customFormat="1">
      <c r="B252" s="39"/>
      <c r="C252" s="75">
        <v>246</v>
      </c>
      <c r="D252" s="146">
        <f>ETo!$I251*((1-Constantes!$D$19)*ETo!$K251+ETo!$L251)</f>
        <v>3.3964575831687265</v>
      </c>
      <c r="E252" s="76">
        <f>MIN(D252*Constantes!$D$17,0.8*(H251+Observaciones!$F251-F252-G252-Constantes!$D$14))</f>
        <v>4.604316927725449E-13</v>
      </c>
      <c r="F252" s="76">
        <f>IF(Observaciones!$F251&gt;0.05*Constantes!$D$18,((Observaciones!$F251-0.05*Constantes!$D$18)^2)/(Observaciones!$F251+0.95*Constantes!$D$18),0)</f>
        <v>0</v>
      </c>
      <c r="G252" s="76">
        <f>MAX(0,H251+Observaciones!$F251-F252-Constantes!$D$13)</f>
        <v>0</v>
      </c>
      <c r="H252" s="76">
        <f>H251+Observaciones!$F251-F252-E252-G252-I251</f>
        <v>11.250000000000096</v>
      </c>
      <c r="I252" s="76">
        <f>MAX(0,(H252-Constantes!$D$14)*(1-EXP(-Constantes!$D$22)))</f>
        <v>3.2674986948292741E-15</v>
      </c>
      <c r="J252" s="76">
        <f t="shared" si="9"/>
        <v>71.016181253050831</v>
      </c>
      <c r="K252" s="76">
        <f>MAX(0,(J252-Constantes!$D$13)*(1-EXP(-Constantes!$D$23)))</f>
        <v>0.21939398727749851</v>
      </c>
      <c r="L252" s="76">
        <f t="shared" si="10"/>
        <v>0.21939398727750178</v>
      </c>
      <c r="M252" s="76">
        <f>0.0526*F252*Observaciones!$F251^1.218</f>
        <v>0</v>
      </c>
      <c r="N252" s="76">
        <f>M252*Constantes!$D$51</f>
        <v>0</v>
      </c>
      <c r="O252" s="76">
        <f t="shared" si="11"/>
        <v>0</v>
      </c>
      <c r="P252" s="15"/>
      <c r="Q252" s="75">
        <v>246</v>
      </c>
      <c r="R252" s="76">
        <f>0.0526*Observaciones!$F251^2.218</f>
        <v>0</v>
      </c>
      <c r="S252" s="76">
        <f>IF(Observaciones!$F251&gt;0.05*$W$7,((Observaciones!$F251-0.05*$W$7)^2)/(Observaciones!$F251+0.95*$W$7),0)</f>
        <v>0</v>
      </c>
      <c r="T252" s="76">
        <f>0.0526*S252*Observaciones!$F251^1.218</f>
        <v>0</v>
      </c>
      <c r="U252" s="29"/>
      <c r="V252" s="29"/>
      <c r="W252" s="109"/>
      <c r="X252" s="40"/>
    </row>
    <row r="253" spans="2:24" s="2" customFormat="1">
      <c r="B253" s="39"/>
      <c r="C253" s="75">
        <v>247</v>
      </c>
      <c r="D253" s="146">
        <f>ETo!$I252*((1-Constantes!$D$19)*ETo!$K252+ETo!$L252)</f>
        <v>3.3078734075266469</v>
      </c>
      <c r="E253" s="76">
        <f>MIN(D253*Constantes!$D$17,0.8*(H252+Observaciones!$F252-F253-G253-Constantes!$D$14))</f>
        <v>7.6738615462090825E-14</v>
      </c>
      <c r="F253" s="76">
        <f>IF(Observaciones!$F252&gt;0.05*Constantes!$D$18,((Observaciones!$F252-0.05*Constantes!$D$18)^2)/(Observaciones!$F252+0.95*Constantes!$D$18),0)</f>
        <v>0</v>
      </c>
      <c r="G253" s="76">
        <f>MAX(0,H252+Observaciones!$F252-F253-Constantes!$D$13)</f>
        <v>0</v>
      </c>
      <c r="H253" s="76">
        <f>H252+Observaciones!$F252-F253-E253-G253-I252</f>
        <v>11.250000000000016</v>
      </c>
      <c r="I253" s="76">
        <f>MAX(0,(H253-Constantes!$D$14)*(1-EXP(-Constantes!$D$22)))</f>
        <v>5.4458311580487902E-16</v>
      </c>
      <c r="J253" s="76">
        <f t="shared" si="9"/>
        <v>70.796787265773332</v>
      </c>
      <c r="K253" s="76">
        <f>MAX(0,(J253-Constantes!$D$13)*(1-EXP(-Constantes!$D$23)))</f>
        <v>0.21723224606527677</v>
      </c>
      <c r="L253" s="76">
        <f t="shared" si="10"/>
        <v>0.21723224606527733</v>
      </c>
      <c r="M253" s="76">
        <f>0.0526*F253*Observaciones!$F252^1.218</f>
        <v>0</v>
      </c>
      <c r="N253" s="76">
        <f>M253*Constantes!$D$51</f>
        <v>0</v>
      </c>
      <c r="O253" s="76">
        <f t="shared" si="11"/>
        <v>0</v>
      </c>
      <c r="P253" s="15"/>
      <c r="Q253" s="75">
        <v>247</v>
      </c>
      <c r="R253" s="76">
        <f>0.0526*Observaciones!$F252^2.218</f>
        <v>0</v>
      </c>
      <c r="S253" s="76">
        <f>IF(Observaciones!$F252&gt;0.05*$W$7,((Observaciones!$F252-0.05*$W$7)^2)/(Observaciones!$F252+0.95*$W$7),0)</f>
        <v>0</v>
      </c>
      <c r="T253" s="76">
        <f>0.0526*S253*Observaciones!$F252^1.218</f>
        <v>0</v>
      </c>
      <c r="U253" s="29"/>
      <c r="V253" s="29"/>
      <c r="W253" s="109"/>
      <c r="X253" s="40"/>
    </row>
    <row r="254" spans="2:24" s="2" customFormat="1">
      <c r="B254" s="39"/>
      <c r="C254" s="75">
        <v>248</v>
      </c>
      <c r="D254" s="146">
        <f>ETo!$I253*((1-Constantes!$D$19)*ETo!$K253+ETo!$L253)</f>
        <v>3.3884120213927349</v>
      </c>
      <c r="E254" s="76">
        <f>MIN(D254*Constantes!$D$17,0.8*(H253+Observaciones!$F253-F254-G254-Constantes!$D$14))</f>
        <v>1.2789769243681804E-14</v>
      </c>
      <c r="F254" s="76">
        <f>IF(Observaciones!$F253&gt;0.05*Constantes!$D$18,((Observaciones!$F253-0.05*Constantes!$D$18)^2)/(Observaciones!$F253+0.95*Constantes!$D$18),0)</f>
        <v>0</v>
      </c>
      <c r="G254" s="76">
        <f>MAX(0,H253+Observaciones!$F253-F254-Constantes!$D$13)</f>
        <v>0</v>
      </c>
      <c r="H254" s="76">
        <f>H253+Observaciones!$F253-F254-E254-G254-I253</f>
        <v>11.250000000000004</v>
      </c>
      <c r="I254" s="76">
        <f>MAX(0,(H254-Constantes!$D$14)*(1-EXP(-Constantes!$D$22)))</f>
        <v>1.21018470178862E-16</v>
      </c>
      <c r="J254" s="76">
        <f t="shared" si="9"/>
        <v>70.579555019708053</v>
      </c>
      <c r="K254" s="76">
        <f>MAX(0,(J254-Constantes!$D$13)*(1-EXP(-Constantes!$D$23)))</f>
        <v>0.21509180500410566</v>
      </c>
      <c r="L254" s="76">
        <f t="shared" si="10"/>
        <v>0.21509180500410577</v>
      </c>
      <c r="M254" s="76">
        <f>0.0526*F254*Observaciones!$F253^1.218</f>
        <v>0</v>
      </c>
      <c r="N254" s="76">
        <f>M254*Constantes!$D$51</f>
        <v>0</v>
      </c>
      <c r="O254" s="76">
        <f t="shared" si="11"/>
        <v>0</v>
      </c>
      <c r="P254" s="15"/>
      <c r="Q254" s="75">
        <v>248</v>
      </c>
      <c r="R254" s="76">
        <f>0.0526*Observaciones!$F253^2.218</f>
        <v>0</v>
      </c>
      <c r="S254" s="76">
        <f>IF(Observaciones!$F253&gt;0.05*$W$7,((Observaciones!$F253-0.05*$W$7)^2)/(Observaciones!$F253+0.95*$W$7),0)</f>
        <v>0</v>
      </c>
      <c r="T254" s="76">
        <f>0.0526*S254*Observaciones!$F253^1.218</f>
        <v>0</v>
      </c>
      <c r="U254" s="29"/>
      <c r="V254" s="29"/>
      <c r="W254" s="109"/>
      <c r="X254" s="40"/>
    </row>
    <row r="255" spans="2:24" s="2" customFormat="1">
      <c r="B255" s="39"/>
      <c r="C255" s="75">
        <v>249</v>
      </c>
      <c r="D255" s="146">
        <f>ETo!$I254*((1-Constantes!$D$19)*ETo!$K254+ETo!$L254)</f>
        <v>3.2872100192264475</v>
      </c>
      <c r="E255" s="76">
        <f>MIN(D255*Constantes!$D$17,0.8*(H254+Observaciones!$F254-F255-G255-Constantes!$D$14))</f>
        <v>2.8421709430404009E-15</v>
      </c>
      <c r="F255" s="76">
        <f>IF(Observaciones!$F254&gt;0.05*Constantes!$D$18,((Observaciones!$F254-0.05*Constantes!$D$18)^2)/(Observaciones!$F254+0.95*Constantes!$D$18),0)</f>
        <v>0</v>
      </c>
      <c r="G255" s="76">
        <f>MAX(0,H254+Observaciones!$F254-F255-Constantes!$D$13)</f>
        <v>0</v>
      </c>
      <c r="H255" s="76">
        <f>H254+Observaciones!$F254-F255-E255-G255-I254</f>
        <v>11.25</v>
      </c>
      <c r="I255" s="76">
        <f>MAX(0,(H255-Constantes!$D$14)*(1-EXP(-Constantes!$D$22)))</f>
        <v>0</v>
      </c>
      <c r="J255" s="76">
        <f t="shared" si="9"/>
        <v>70.364463214703946</v>
      </c>
      <c r="K255" s="76">
        <f>MAX(0,(J255-Constantes!$D$13)*(1-EXP(-Constantes!$D$23)))</f>
        <v>0.21297245421852362</v>
      </c>
      <c r="L255" s="76">
        <f t="shared" si="10"/>
        <v>0.21297245421852362</v>
      </c>
      <c r="M255" s="76">
        <f>0.0526*F255*Observaciones!$F254^1.218</f>
        <v>0</v>
      </c>
      <c r="N255" s="76">
        <f>M255*Constantes!$D$51</f>
        <v>0</v>
      </c>
      <c r="O255" s="76">
        <f t="shared" si="11"/>
        <v>0</v>
      </c>
      <c r="P255" s="15"/>
      <c r="Q255" s="75">
        <v>249</v>
      </c>
      <c r="R255" s="76">
        <f>0.0526*Observaciones!$F254^2.218</f>
        <v>0</v>
      </c>
      <c r="S255" s="76">
        <f>IF(Observaciones!$F254&gt;0.05*$W$7,((Observaciones!$F254-0.05*$W$7)^2)/(Observaciones!$F254+0.95*$W$7),0)</f>
        <v>0</v>
      </c>
      <c r="T255" s="76">
        <f>0.0526*S255*Observaciones!$F254^1.218</f>
        <v>0</v>
      </c>
      <c r="U255" s="29"/>
      <c r="V255" s="29"/>
      <c r="W255" s="109"/>
      <c r="X255" s="40"/>
    </row>
    <row r="256" spans="2:24" s="2" customFormat="1">
      <c r="B256" s="39"/>
      <c r="C256" s="75">
        <v>250</v>
      </c>
      <c r="D256" s="146">
        <f>ETo!$I255*((1-Constantes!$D$19)*ETo!$K255+ETo!$L255)</f>
        <v>3.5320524953137724</v>
      </c>
      <c r="E256" s="76">
        <f>MIN(D256*Constantes!$D$17,0.8*(H255+Observaciones!$F255-F256-G256-Constantes!$D$14))</f>
        <v>0</v>
      </c>
      <c r="F256" s="76">
        <f>IF(Observaciones!$F255&gt;0.05*Constantes!$D$18,((Observaciones!$F255-0.05*Constantes!$D$18)^2)/(Observaciones!$F255+0.95*Constantes!$D$18),0)</f>
        <v>0</v>
      </c>
      <c r="G256" s="76">
        <f>MAX(0,H255+Observaciones!$F255-F256-Constantes!$D$13)</f>
        <v>0</v>
      </c>
      <c r="H256" s="76">
        <f>H255+Observaciones!$F255-F256-E256-G256-I255</f>
        <v>11.25</v>
      </c>
      <c r="I256" s="76">
        <f>MAX(0,(H256-Constantes!$D$14)*(1-EXP(-Constantes!$D$22)))</f>
        <v>0</v>
      </c>
      <c r="J256" s="76">
        <f t="shared" si="9"/>
        <v>70.151490760485416</v>
      </c>
      <c r="K256" s="76">
        <f>MAX(0,(J256-Constantes!$D$13)*(1-EXP(-Constantes!$D$23)))</f>
        <v>0.21087398590102191</v>
      </c>
      <c r="L256" s="76">
        <f t="shared" si="10"/>
        <v>0.21087398590102191</v>
      </c>
      <c r="M256" s="76">
        <f>0.0526*F256*Observaciones!$F255^1.218</f>
        <v>0</v>
      </c>
      <c r="N256" s="76">
        <f>M256*Constantes!$D$51</f>
        <v>0</v>
      </c>
      <c r="O256" s="76">
        <f t="shared" si="11"/>
        <v>0</v>
      </c>
      <c r="P256" s="15"/>
      <c r="Q256" s="75">
        <v>250</v>
      </c>
      <c r="R256" s="76">
        <f>0.0526*Observaciones!$F255^2.218</f>
        <v>0</v>
      </c>
      <c r="S256" s="76">
        <f>IF(Observaciones!$F255&gt;0.05*$W$7,((Observaciones!$F255-0.05*$W$7)^2)/(Observaciones!$F255+0.95*$W$7),0)</f>
        <v>0</v>
      </c>
      <c r="T256" s="76">
        <f>0.0526*S256*Observaciones!$F255^1.218</f>
        <v>0</v>
      </c>
      <c r="U256" s="29"/>
      <c r="V256" s="29"/>
      <c r="W256" s="109"/>
      <c r="X256" s="40"/>
    </row>
    <row r="257" spans="2:24" s="2" customFormat="1">
      <c r="B257" s="39"/>
      <c r="C257" s="75">
        <v>251</v>
      </c>
      <c r="D257" s="146">
        <f>ETo!$I256*((1-Constantes!$D$19)*ETo!$K256+ETo!$L256)</f>
        <v>3.5602034530682802</v>
      </c>
      <c r="E257" s="76">
        <f>MIN(D257*Constantes!$D$17,0.8*(H256+Observaciones!$F256-F257-G257-Constantes!$D$14))</f>
        <v>0</v>
      </c>
      <c r="F257" s="76">
        <f>IF(Observaciones!$F256&gt;0.05*Constantes!$D$18,((Observaciones!$F256-0.05*Constantes!$D$18)^2)/(Observaciones!$F256+0.95*Constantes!$D$18),0)</f>
        <v>0</v>
      </c>
      <c r="G257" s="76">
        <f>MAX(0,H256+Observaciones!$F256-F257-Constantes!$D$13)</f>
        <v>0</v>
      </c>
      <c r="H257" s="76">
        <f>H256+Observaciones!$F256-F257-E257-G257-I256</f>
        <v>11.25</v>
      </c>
      <c r="I257" s="76">
        <f>MAX(0,(H257-Constantes!$D$14)*(1-EXP(-Constantes!$D$22)))</f>
        <v>0</v>
      </c>
      <c r="J257" s="76">
        <f t="shared" si="9"/>
        <v>69.940616774584399</v>
      </c>
      <c r="K257" s="76">
        <f>MAX(0,(J257-Constantes!$D$13)*(1-EXP(-Constantes!$D$23)))</f>
        <v>0.20879619429166885</v>
      </c>
      <c r="L257" s="76">
        <f t="shared" si="10"/>
        <v>0.20879619429166885</v>
      </c>
      <c r="M257" s="76">
        <f>0.0526*F257*Observaciones!$F256^1.218</f>
        <v>0</v>
      </c>
      <c r="N257" s="76">
        <f>M257*Constantes!$D$51</f>
        <v>0</v>
      </c>
      <c r="O257" s="76">
        <f t="shared" si="11"/>
        <v>0</v>
      </c>
      <c r="P257" s="15"/>
      <c r="Q257" s="75">
        <v>251</v>
      </c>
      <c r="R257" s="76">
        <f>0.0526*Observaciones!$F256^2.218</f>
        <v>0</v>
      </c>
      <c r="S257" s="76">
        <f>IF(Observaciones!$F256&gt;0.05*$W$7,((Observaciones!$F256-0.05*$W$7)^2)/(Observaciones!$F256+0.95*$W$7),0)</f>
        <v>0</v>
      </c>
      <c r="T257" s="76">
        <f>0.0526*S257*Observaciones!$F256^1.218</f>
        <v>0</v>
      </c>
      <c r="U257" s="29"/>
      <c r="V257" s="29"/>
      <c r="W257" s="109"/>
      <c r="X257" s="40"/>
    </row>
    <row r="258" spans="2:24" s="2" customFormat="1">
      <c r="B258" s="39"/>
      <c r="C258" s="75">
        <v>252</v>
      </c>
      <c r="D258" s="146">
        <f>ETo!$I257*((1-Constantes!$D$19)*ETo!$K257+ETo!$L257)</f>
        <v>3.5999008015983898</v>
      </c>
      <c r="E258" s="76">
        <f>MIN(D258*Constantes!$D$17,0.8*(H257+Observaciones!$F257-F258-G258-Constantes!$D$14))</f>
        <v>0</v>
      </c>
      <c r="F258" s="76">
        <f>IF(Observaciones!$F257&gt;0.05*Constantes!$D$18,((Observaciones!$F257-0.05*Constantes!$D$18)^2)/(Observaciones!$F257+0.95*Constantes!$D$18),0)</f>
        <v>0</v>
      </c>
      <c r="G258" s="76">
        <f>MAX(0,H257+Observaciones!$F257-F258-Constantes!$D$13)</f>
        <v>0</v>
      </c>
      <c r="H258" s="76">
        <f>H257+Observaciones!$F257-F258-E258-G258-I257</f>
        <v>11.25</v>
      </c>
      <c r="I258" s="76">
        <f>MAX(0,(H258-Constantes!$D$14)*(1-EXP(-Constantes!$D$22)))</f>
        <v>0</v>
      </c>
      <c r="J258" s="76">
        <f t="shared" si="9"/>
        <v>69.731820580292734</v>
      </c>
      <c r="K258" s="76">
        <f>MAX(0,(J258-Constantes!$D$13)*(1-EXP(-Constantes!$D$23)))</f>
        <v>0.20673887565793417</v>
      </c>
      <c r="L258" s="76">
        <f t="shared" si="10"/>
        <v>0.20673887565793417</v>
      </c>
      <c r="M258" s="76">
        <f>0.0526*F258*Observaciones!$F257^1.218</f>
        <v>0</v>
      </c>
      <c r="N258" s="76">
        <f>M258*Constantes!$D$51</f>
        <v>0</v>
      </c>
      <c r="O258" s="76">
        <f t="shared" si="11"/>
        <v>0</v>
      </c>
      <c r="P258" s="15"/>
      <c r="Q258" s="75">
        <v>252</v>
      </c>
      <c r="R258" s="76">
        <f>0.0526*Observaciones!$F257^2.218</f>
        <v>0</v>
      </c>
      <c r="S258" s="76">
        <f>IF(Observaciones!$F257&gt;0.05*$W$7,((Observaciones!$F257-0.05*$W$7)^2)/(Observaciones!$F257+0.95*$W$7),0)</f>
        <v>0</v>
      </c>
      <c r="T258" s="76">
        <f>0.0526*S258*Observaciones!$F257^1.218</f>
        <v>0</v>
      </c>
      <c r="U258" s="29"/>
      <c r="V258" s="29"/>
      <c r="W258" s="109"/>
      <c r="X258" s="40"/>
    </row>
    <row r="259" spans="2:24" s="2" customFormat="1">
      <c r="B259" s="39"/>
      <c r="C259" s="75">
        <v>253</v>
      </c>
      <c r="D259" s="146">
        <f>ETo!$I258*((1-Constantes!$D$19)*ETo!$K258+ETo!$L258)</f>
        <v>3.5968842741492408</v>
      </c>
      <c r="E259" s="76">
        <f>MIN(D259*Constantes!$D$17,0.8*(H258+Observaciones!$F258-F259-G259-Constantes!$D$14))</f>
        <v>0</v>
      </c>
      <c r="F259" s="76">
        <f>IF(Observaciones!$F258&gt;0.05*Constantes!$D$18,((Observaciones!$F258-0.05*Constantes!$D$18)^2)/(Observaciones!$F258+0.95*Constantes!$D$18),0)</f>
        <v>0</v>
      </c>
      <c r="G259" s="76">
        <f>MAX(0,H258+Observaciones!$F258-F259-Constantes!$D$13)</f>
        <v>0</v>
      </c>
      <c r="H259" s="76">
        <f>H258+Observaciones!$F258-F259-E259-G259-I258</f>
        <v>11.25</v>
      </c>
      <c r="I259" s="76">
        <f>MAX(0,(H259-Constantes!$D$14)*(1-EXP(-Constantes!$D$22)))</f>
        <v>0</v>
      </c>
      <c r="J259" s="76">
        <f t="shared" si="9"/>
        <v>69.5250817046348</v>
      </c>
      <c r="K259" s="76">
        <f>MAX(0,(J259-Constantes!$D$13)*(1-EXP(-Constantes!$D$23)))</f>
        <v>0.20470182827471275</v>
      </c>
      <c r="L259" s="76">
        <f t="shared" si="10"/>
        <v>0.20470182827471275</v>
      </c>
      <c r="M259" s="76">
        <f>0.0526*F259*Observaciones!$F258^1.218</f>
        <v>0</v>
      </c>
      <c r="N259" s="76">
        <f>M259*Constantes!$D$51</f>
        <v>0</v>
      </c>
      <c r="O259" s="76">
        <f t="shared" si="11"/>
        <v>0</v>
      </c>
      <c r="P259" s="15"/>
      <c r="Q259" s="75">
        <v>253</v>
      </c>
      <c r="R259" s="76">
        <f>0.0526*Observaciones!$F258^2.218</f>
        <v>0</v>
      </c>
      <c r="S259" s="76">
        <f>IF(Observaciones!$F258&gt;0.05*$W$7,((Observaciones!$F258-0.05*$W$7)^2)/(Observaciones!$F258+0.95*$W$7),0)</f>
        <v>0</v>
      </c>
      <c r="T259" s="76">
        <f>0.0526*S259*Observaciones!$F258^1.218</f>
        <v>0</v>
      </c>
      <c r="U259" s="29"/>
      <c r="V259" s="29"/>
      <c r="W259" s="109"/>
      <c r="X259" s="40"/>
    </row>
    <row r="260" spans="2:24" s="2" customFormat="1">
      <c r="B260" s="39"/>
      <c r="C260" s="75">
        <v>254</v>
      </c>
      <c r="D260" s="146">
        <f>ETo!$I259*((1-Constantes!$D$19)*ETo!$K259+ETo!$L259)</f>
        <v>3.5701904961221786</v>
      </c>
      <c r="E260" s="76">
        <f>MIN(D260*Constantes!$D$17,0.8*(H259+Observaciones!$F259-F260-G260-Constantes!$D$14))</f>
        <v>0</v>
      </c>
      <c r="F260" s="76">
        <f>IF(Observaciones!$F259&gt;0.05*Constantes!$D$18,((Observaciones!$F259-0.05*Constantes!$D$18)^2)/(Observaciones!$F259+0.95*Constantes!$D$18),0)</f>
        <v>0</v>
      </c>
      <c r="G260" s="76">
        <f>MAX(0,H259+Observaciones!$F259-F260-Constantes!$D$13)</f>
        <v>0</v>
      </c>
      <c r="H260" s="76">
        <f>H259+Observaciones!$F259-F260-E260-G260-I259</f>
        <v>11.25</v>
      </c>
      <c r="I260" s="76">
        <f>MAX(0,(H260-Constantes!$D$14)*(1-EXP(-Constantes!$D$22)))</f>
        <v>0</v>
      </c>
      <c r="J260" s="76">
        <f t="shared" si="9"/>
        <v>69.320379876360093</v>
      </c>
      <c r="K260" s="76">
        <f>MAX(0,(J260-Constantes!$D$13)*(1-EXP(-Constantes!$D$23)))</f>
        <v>0.20268485240454515</v>
      </c>
      <c r="L260" s="76">
        <f t="shared" si="10"/>
        <v>0.20268485240454515</v>
      </c>
      <c r="M260" s="76">
        <f>0.0526*F260*Observaciones!$F259^1.218</f>
        <v>0</v>
      </c>
      <c r="N260" s="76">
        <f>M260*Constantes!$D$51</f>
        <v>0</v>
      </c>
      <c r="O260" s="76">
        <f t="shared" si="11"/>
        <v>0</v>
      </c>
      <c r="P260" s="15"/>
      <c r="Q260" s="75">
        <v>254</v>
      </c>
      <c r="R260" s="76">
        <f>0.0526*Observaciones!$F259^2.218</f>
        <v>0</v>
      </c>
      <c r="S260" s="76">
        <f>IF(Observaciones!$F259&gt;0.05*$W$7,((Observaciones!$F259-0.05*$W$7)^2)/(Observaciones!$F259+0.95*$W$7),0)</f>
        <v>0</v>
      </c>
      <c r="T260" s="76">
        <f>0.0526*S260*Observaciones!$F259^1.218</f>
        <v>0</v>
      </c>
      <c r="U260" s="29"/>
      <c r="V260" s="29"/>
      <c r="W260" s="109"/>
      <c r="X260" s="40"/>
    </row>
    <row r="261" spans="2:24" s="2" customFormat="1">
      <c r="B261" s="39"/>
      <c r="C261" s="75">
        <v>255</v>
      </c>
      <c r="D261" s="146">
        <f>ETo!$I260*((1-Constantes!$D$19)*ETo!$K260+ETo!$L260)</f>
        <v>3.6485755405643667</v>
      </c>
      <c r="E261" s="76">
        <f>MIN(D261*Constantes!$D$17,0.8*(H260+Observaciones!$F260-F261-G261-Constantes!$D$14))</f>
        <v>0</v>
      </c>
      <c r="F261" s="76">
        <f>IF(Observaciones!$F260&gt;0.05*Constantes!$D$18,((Observaciones!$F260-0.05*Constantes!$D$18)^2)/(Observaciones!$F260+0.95*Constantes!$D$18),0)</f>
        <v>0</v>
      </c>
      <c r="G261" s="76">
        <f>MAX(0,H260+Observaciones!$F260-F261-Constantes!$D$13)</f>
        <v>0</v>
      </c>
      <c r="H261" s="76">
        <f>H260+Observaciones!$F260-F261-E261-G261-I260</f>
        <v>11.25</v>
      </c>
      <c r="I261" s="76">
        <f>MAX(0,(H261-Constantes!$D$14)*(1-EXP(-Constantes!$D$22)))</f>
        <v>0</v>
      </c>
      <c r="J261" s="76">
        <f t="shared" si="9"/>
        <v>69.117695023955548</v>
      </c>
      <c r="K261" s="76">
        <f>MAX(0,(J261-Constantes!$D$13)*(1-EXP(-Constantes!$D$23)))</f>
        <v>0.20068775027803246</v>
      </c>
      <c r="L261" s="76">
        <f t="shared" si="10"/>
        <v>0.20068775027803246</v>
      </c>
      <c r="M261" s="76">
        <f>0.0526*F261*Observaciones!$F260^1.218</f>
        <v>0</v>
      </c>
      <c r="N261" s="76">
        <f>M261*Constantes!$D$51</f>
        <v>0</v>
      </c>
      <c r="O261" s="76">
        <f t="shared" si="11"/>
        <v>0</v>
      </c>
      <c r="P261" s="15"/>
      <c r="Q261" s="75">
        <v>255</v>
      </c>
      <c r="R261" s="76">
        <f>0.0526*Observaciones!$F260^2.218</f>
        <v>0</v>
      </c>
      <c r="S261" s="76">
        <f>IF(Observaciones!$F260&gt;0.05*$W$7,((Observaciones!$F260-0.05*$W$7)^2)/(Observaciones!$F260+0.95*$W$7),0)</f>
        <v>0</v>
      </c>
      <c r="T261" s="76">
        <f>0.0526*S261*Observaciones!$F260^1.218</f>
        <v>0</v>
      </c>
      <c r="U261" s="29"/>
      <c r="V261" s="29"/>
      <c r="W261" s="109"/>
      <c r="X261" s="40"/>
    </row>
    <row r="262" spans="2:24" s="2" customFormat="1">
      <c r="B262" s="39"/>
      <c r="C262" s="75">
        <v>256</v>
      </c>
      <c r="D262" s="146">
        <f>ETo!$I261*((1-Constantes!$D$19)*ETo!$K261+ETo!$L261)</f>
        <v>3.5937567155413812</v>
      </c>
      <c r="E262" s="76">
        <f>MIN(D262*Constantes!$D$17,0.8*(H261+Observaciones!$F261-F262-G262-Constantes!$D$14))</f>
        <v>0</v>
      </c>
      <c r="F262" s="76">
        <f>IF(Observaciones!$F261&gt;0.05*Constantes!$D$18,((Observaciones!$F261-0.05*Constantes!$D$18)^2)/(Observaciones!$F261+0.95*Constantes!$D$18),0)</f>
        <v>0</v>
      </c>
      <c r="G262" s="76">
        <f>MAX(0,H261+Observaciones!$F261-F262-Constantes!$D$13)</f>
        <v>0</v>
      </c>
      <c r="H262" s="76">
        <f>H261+Observaciones!$F261-F262-E262-G262-I261</f>
        <v>11.25</v>
      </c>
      <c r="I262" s="76">
        <f>MAX(0,(H262-Constantes!$D$14)*(1-EXP(-Constantes!$D$22)))</f>
        <v>0</v>
      </c>
      <c r="J262" s="76">
        <f t="shared" si="9"/>
        <v>68.917007273677513</v>
      </c>
      <c r="K262" s="76">
        <f>MAX(0,(J262-Constantes!$D$13)*(1-EXP(-Constantes!$D$23)))</f>
        <v>0.19871032607444497</v>
      </c>
      <c r="L262" s="76">
        <f t="shared" si="10"/>
        <v>0.19871032607444497</v>
      </c>
      <c r="M262" s="76">
        <f>0.0526*F262*Observaciones!$F261^1.218</f>
        <v>0</v>
      </c>
      <c r="N262" s="76">
        <f>M262*Constantes!$D$51</f>
        <v>0</v>
      </c>
      <c r="O262" s="76">
        <f t="shared" si="11"/>
        <v>0</v>
      </c>
      <c r="P262" s="15"/>
      <c r="Q262" s="75">
        <v>256</v>
      </c>
      <c r="R262" s="76">
        <f>0.0526*Observaciones!$F261^2.218</f>
        <v>0</v>
      </c>
      <c r="S262" s="76">
        <f>IF(Observaciones!$F261&gt;0.05*$W$7,((Observaciones!$F261-0.05*$W$7)^2)/(Observaciones!$F261+0.95*$W$7),0)</f>
        <v>0</v>
      </c>
      <c r="T262" s="76">
        <f>0.0526*S262*Observaciones!$F261^1.218</f>
        <v>0</v>
      </c>
      <c r="U262" s="29"/>
      <c r="V262" s="29"/>
      <c r="W262" s="109"/>
      <c r="X262" s="40"/>
    </row>
    <row r="263" spans="2:24" s="2" customFormat="1">
      <c r="B263" s="39"/>
      <c r="C263" s="75">
        <v>257</v>
      </c>
      <c r="D263" s="146">
        <f>ETo!$I262*((1-Constantes!$D$19)*ETo!$K262+ETo!$L262)</f>
        <v>3.5815971489727825</v>
      </c>
      <c r="E263" s="76">
        <f>MIN(D263*Constantes!$D$17,0.8*(H262+Observaciones!$F262-F263-G263-Constantes!$D$14))</f>
        <v>0</v>
      </c>
      <c r="F263" s="76">
        <f>IF(Observaciones!$F262&gt;0.05*Constantes!$D$18,((Observaciones!$F262-0.05*Constantes!$D$18)^2)/(Observaciones!$F262+0.95*Constantes!$D$18),0)</f>
        <v>0</v>
      </c>
      <c r="G263" s="76">
        <f>MAX(0,H262+Observaciones!$F262-F263-Constantes!$D$13)</f>
        <v>0</v>
      </c>
      <c r="H263" s="76">
        <f>H262+Observaciones!$F262-F263-E263-G263-I262</f>
        <v>11.25</v>
      </c>
      <c r="I263" s="76">
        <f>MAX(0,(H263-Constantes!$D$14)*(1-EXP(-Constantes!$D$22)))</f>
        <v>0</v>
      </c>
      <c r="J263" s="76">
        <f t="shared" ref="J263:J326" si="12">J262+G263-K262</f>
        <v>68.718296947603065</v>
      </c>
      <c r="K263" s="76">
        <f>MAX(0,(J263-Constantes!$D$13)*(1-EXP(-Constantes!$D$23)))</f>
        <v>0.19675238590252114</v>
      </c>
      <c r="L263" s="76">
        <f t="shared" ref="L263:L326" si="13">F263+I263+K263</f>
        <v>0.19675238590252114</v>
      </c>
      <c r="M263" s="76">
        <f>0.0526*F263*Observaciones!$F262^1.218</f>
        <v>0</v>
      </c>
      <c r="N263" s="76">
        <f>M263*Constantes!$D$51</f>
        <v>0</v>
      </c>
      <c r="O263" s="76">
        <f t="shared" ref="O263:O326" si="14">N263*1000000/(L263/1000*10000)</f>
        <v>0</v>
      </c>
      <c r="P263" s="15"/>
      <c r="Q263" s="75">
        <v>257</v>
      </c>
      <c r="R263" s="76">
        <f>0.0526*Observaciones!$F262^2.218</f>
        <v>0</v>
      </c>
      <c r="S263" s="76">
        <f>IF(Observaciones!$F262&gt;0.05*$W$7,((Observaciones!$F262-0.05*$W$7)^2)/(Observaciones!$F262+0.95*$W$7),0)</f>
        <v>0</v>
      </c>
      <c r="T263" s="76">
        <f>0.0526*S263*Observaciones!$F262^1.218</f>
        <v>0</v>
      </c>
      <c r="U263" s="29"/>
      <c r="V263" s="29"/>
      <c r="W263" s="109"/>
      <c r="X263" s="40"/>
    </row>
    <row r="264" spans="2:24" s="2" customFormat="1">
      <c r="B264" s="39"/>
      <c r="C264" s="75">
        <v>258</v>
      </c>
      <c r="D264" s="146">
        <f>ETo!$I263*((1-Constantes!$D$19)*ETo!$K263+ETo!$L263)</f>
        <v>3.5848326058343072</v>
      </c>
      <c r="E264" s="76">
        <f>MIN(D264*Constantes!$D$17,0.8*(H263+Observaciones!$F263-F264-G264-Constantes!$D$14))</f>
        <v>0.4</v>
      </c>
      <c r="F264" s="76">
        <f>IF(Observaciones!$F263&gt;0.05*Constantes!$D$18,((Observaciones!$F263-0.05*Constantes!$D$18)^2)/(Observaciones!$F263+0.95*Constantes!$D$18),0)</f>
        <v>0</v>
      </c>
      <c r="G264" s="76">
        <f>MAX(0,H263+Observaciones!$F263-F264-Constantes!$D$13)</f>
        <v>0</v>
      </c>
      <c r="H264" s="76">
        <f>H263+Observaciones!$F263-F264-E264-G264-I263</f>
        <v>11.35</v>
      </c>
      <c r="I264" s="76">
        <f>MAX(0,(H264-Constantes!$D$14)*(1-EXP(-Constantes!$D$22)))</f>
        <v>3.406367107515428E-3</v>
      </c>
      <c r="J264" s="76">
        <f t="shared" si="12"/>
        <v>68.521544561700537</v>
      </c>
      <c r="K264" s="76">
        <f>MAX(0,(J264-Constantes!$D$13)*(1-EXP(-Constantes!$D$23)))</f>
        <v>0.1948137377814563</v>
      </c>
      <c r="L264" s="76">
        <f t="shared" si="13"/>
        <v>0.19822010488897174</v>
      </c>
      <c r="M264" s="76">
        <f>0.0526*F264*Observaciones!$F263^1.218</f>
        <v>0</v>
      </c>
      <c r="N264" s="76">
        <f>M264*Constantes!$D$51</f>
        <v>0</v>
      </c>
      <c r="O264" s="76">
        <f t="shared" si="14"/>
        <v>0</v>
      </c>
      <c r="P264" s="15"/>
      <c r="Q264" s="75">
        <v>258</v>
      </c>
      <c r="R264" s="76">
        <f>0.0526*Observaciones!$F263^2.218</f>
        <v>1.1305797794095535E-2</v>
      </c>
      <c r="S264" s="76">
        <f>IF(Observaciones!$F263&gt;0.05*$W$7,((Observaciones!$F263-0.05*$W$7)^2)/(Observaciones!$F263+0.95*$W$7),0)</f>
        <v>0</v>
      </c>
      <c r="T264" s="76">
        <f>0.0526*S264*Observaciones!$F263^1.218</f>
        <v>0</v>
      </c>
      <c r="U264" s="29"/>
      <c r="V264" s="29"/>
      <c r="W264" s="109"/>
      <c r="X264" s="40"/>
    </row>
    <row r="265" spans="2:24" s="2" customFormat="1">
      <c r="B265" s="39"/>
      <c r="C265" s="75">
        <v>259</v>
      </c>
      <c r="D265" s="146">
        <f>ETo!$I264*((1-Constantes!$D$19)*ETo!$K264+ETo!$L264)</f>
        <v>3.7664414592248701</v>
      </c>
      <c r="E265" s="76">
        <f>MIN(D265*Constantes!$D$17,0.8*(H264+Observaciones!$F264-F265-G265-Constantes!$D$14))</f>
        <v>7.9999999999999724E-2</v>
      </c>
      <c r="F265" s="76">
        <f>IF(Observaciones!$F264&gt;0.05*Constantes!$D$18,((Observaciones!$F264-0.05*Constantes!$D$18)^2)/(Observaciones!$F264+0.95*Constantes!$D$18),0)</f>
        <v>0</v>
      </c>
      <c r="G265" s="76">
        <f>MAX(0,H264+Observaciones!$F264-F265-Constantes!$D$13)</f>
        <v>0</v>
      </c>
      <c r="H265" s="76">
        <f>H264+Observaciones!$F264-F265-E265-G265-I264</f>
        <v>11.266593632892484</v>
      </c>
      <c r="I265" s="76">
        <f>MAX(0,(H265-Constantes!$D$14)*(1-EXP(-Constantes!$D$22)))</f>
        <v>5.6524005279142461E-4</v>
      </c>
      <c r="J265" s="76">
        <f t="shared" si="12"/>
        <v>68.326730823919078</v>
      </c>
      <c r="K265" s="76">
        <f>MAX(0,(J265-Constantes!$D$13)*(1-EXP(-Constantes!$D$23)))</f>
        <v>0.19289419162207833</v>
      </c>
      <c r="L265" s="76">
        <f t="shared" si="13"/>
        <v>0.19345943167486976</v>
      </c>
      <c r="M265" s="76">
        <f>0.0526*F265*Observaciones!$F264^1.218</f>
        <v>0</v>
      </c>
      <c r="N265" s="76">
        <f>M265*Constantes!$D$51</f>
        <v>0</v>
      </c>
      <c r="O265" s="76">
        <f t="shared" si="14"/>
        <v>0</v>
      </c>
      <c r="P265" s="15"/>
      <c r="Q265" s="75">
        <v>259</v>
      </c>
      <c r="R265" s="76">
        <f>0.0526*Observaciones!$F264^2.218</f>
        <v>0</v>
      </c>
      <c r="S265" s="76">
        <f>IF(Observaciones!$F264&gt;0.05*$W$7,((Observaciones!$F264-0.05*$W$7)^2)/(Observaciones!$F264+0.95*$W$7),0)</f>
        <v>0</v>
      </c>
      <c r="T265" s="76">
        <f>0.0526*S265*Observaciones!$F264^1.218</f>
        <v>0</v>
      </c>
      <c r="U265" s="29"/>
      <c r="V265" s="29"/>
      <c r="W265" s="109"/>
      <c r="X265" s="40"/>
    </row>
    <row r="266" spans="2:24" s="2" customFormat="1">
      <c r="B266" s="39"/>
      <c r="C266" s="75">
        <v>260</v>
      </c>
      <c r="D266" s="146">
        <f>ETo!$I265*((1-Constantes!$D$19)*ETo!$K265+ETo!$L265)</f>
        <v>3.7856460326149723</v>
      </c>
      <c r="E266" s="76">
        <f>MIN(D266*Constantes!$D$17,0.8*(H265+Observaciones!$F265-F266-G266-Constantes!$D$14))</f>
        <v>1.327490631398689E-2</v>
      </c>
      <c r="F266" s="76">
        <f>IF(Observaciones!$F265&gt;0.05*Constantes!$D$18,((Observaciones!$F265-0.05*Constantes!$D$18)^2)/(Observaciones!$F265+0.95*Constantes!$D$18),0)</f>
        <v>0</v>
      </c>
      <c r="G266" s="76">
        <f>MAX(0,H265+Observaciones!$F265-F266-Constantes!$D$13)</f>
        <v>0</v>
      </c>
      <c r="H266" s="76">
        <f>H265+Observaciones!$F265-F266-E266-G266-I265</f>
        <v>11.252753486525705</v>
      </c>
      <c r="I266" s="76">
        <f>MAX(0,(H266-Constantes!$D$14)*(1-EXP(-Constantes!$D$22)))</f>
        <v>9.379385932149447E-5</v>
      </c>
      <c r="J266" s="76">
        <f t="shared" si="12"/>
        <v>68.133836632297005</v>
      </c>
      <c r="K266" s="76">
        <f>MAX(0,(J266-Constantes!$D$13)*(1-EXP(-Constantes!$D$23)))</f>
        <v>0.19099355920820907</v>
      </c>
      <c r="L266" s="76">
        <f t="shared" si="13"/>
        <v>0.19108735306753055</v>
      </c>
      <c r="M266" s="76">
        <f>0.0526*F266*Observaciones!$F265^1.218</f>
        <v>0</v>
      </c>
      <c r="N266" s="76">
        <f>M266*Constantes!$D$51</f>
        <v>0</v>
      </c>
      <c r="O266" s="76">
        <f t="shared" si="14"/>
        <v>0</v>
      </c>
      <c r="P266" s="15"/>
      <c r="Q266" s="75">
        <v>260</v>
      </c>
      <c r="R266" s="76">
        <f>0.0526*Observaciones!$F265^2.218</f>
        <v>0</v>
      </c>
      <c r="S266" s="76">
        <f>IF(Observaciones!$F265&gt;0.05*$W$7,((Observaciones!$F265-0.05*$W$7)^2)/(Observaciones!$F265+0.95*$W$7),0)</f>
        <v>0</v>
      </c>
      <c r="T266" s="76">
        <f>0.0526*S266*Observaciones!$F265^1.218</f>
        <v>0</v>
      </c>
      <c r="U266" s="29"/>
      <c r="V266" s="29"/>
      <c r="W266" s="109"/>
      <c r="X266" s="40"/>
    </row>
    <row r="267" spans="2:24" s="2" customFormat="1">
      <c r="B267" s="39"/>
      <c r="C267" s="75">
        <v>261</v>
      </c>
      <c r="D267" s="146">
        <f>ETo!$I266*((1-Constantes!$D$19)*ETo!$K266+ETo!$L266)</f>
        <v>3.7485597097446646</v>
      </c>
      <c r="E267" s="76">
        <f>MIN(D267*Constantes!$D$17,0.8*(H266+Observaciones!$F266-F267-G267-Constantes!$D$14))</f>
        <v>2.2027892205642276E-3</v>
      </c>
      <c r="F267" s="76">
        <f>IF(Observaciones!$F266&gt;0.05*Constantes!$D$18,((Observaciones!$F266-0.05*Constantes!$D$18)^2)/(Observaciones!$F266+0.95*Constantes!$D$18),0)</f>
        <v>0</v>
      </c>
      <c r="G267" s="76">
        <f>MAX(0,H266+Observaciones!$F266-F267-Constantes!$D$13)</f>
        <v>0</v>
      </c>
      <c r="H267" s="76">
        <f>H266+Observaciones!$F266-F267-E267-G267-I266</f>
        <v>11.250456903445819</v>
      </c>
      <c r="I267" s="76">
        <f>MAX(0,(H267-Constantes!$D$14)*(1-EXP(-Constantes!$D$22)))</f>
        <v>1.5563808691492545E-5</v>
      </c>
      <c r="J267" s="76">
        <f t="shared" si="12"/>
        <v>67.942843073088795</v>
      </c>
      <c r="K267" s="76">
        <f>MAX(0,(J267-Constantes!$D$13)*(1-EXP(-Constantes!$D$23)))</f>
        <v>0.18911165417820897</v>
      </c>
      <c r="L267" s="76">
        <f t="shared" si="13"/>
        <v>0.18912721798690046</v>
      </c>
      <c r="M267" s="76">
        <f>0.0526*F267*Observaciones!$F266^1.218</f>
        <v>0</v>
      </c>
      <c r="N267" s="76">
        <f>M267*Constantes!$D$51</f>
        <v>0</v>
      </c>
      <c r="O267" s="76">
        <f t="shared" si="14"/>
        <v>0</v>
      </c>
      <c r="P267" s="15"/>
      <c r="Q267" s="75">
        <v>261</v>
      </c>
      <c r="R267" s="76">
        <f>0.0526*Observaciones!$F266^2.218</f>
        <v>0</v>
      </c>
      <c r="S267" s="76">
        <f>IF(Observaciones!$F266&gt;0.05*$W$7,((Observaciones!$F266-0.05*$W$7)^2)/(Observaciones!$F266+0.95*$W$7),0)</f>
        <v>0</v>
      </c>
      <c r="T267" s="76">
        <f>0.0526*S267*Observaciones!$F266^1.218</f>
        <v>0</v>
      </c>
      <c r="U267" s="29"/>
      <c r="V267" s="29"/>
      <c r="W267" s="109"/>
      <c r="X267" s="40"/>
    </row>
    <row r="268" spans="2:24" s="2" customFormat="1">
      <c r="B268" s="39"/>
      <c r="C268" s="75">
        <v>262</v>
      </c>
      <c r="D268" s="146">
        <f>ETo!$I267*((1-Constantes!$D$19)*ETo!$K267+ETo!$L267)</f>
        <v>3.8596994149209189</v>
      </c>
      <c r="E268" s="76">
        <f>MIN(D268*Constantes!$D$17,0.8*(H267+Observaciones!$F267-F268-G268-Constantes!$D$14))</f>
        <v>3.6552275665542312E-4</v>
      </c>
      <c r="F268" s="76">
        <f>IF(Observaciones!$F267&gt;0.05*Constantes!$D$18,((Observaciones!$F267-0.05*Constantes!$D$18)^2)/(Observaciones!$F267+0.95*Constantes!$D$18),0)</f>
        <v>0</v>
      </c>
      <c r="G268" s="76">
        <f>MAX(0,H267+Observaciones!$F267-F268-Constantes!$D$13)</f>
        <v>0</v>
      </c>
      <c r="H268" s="76">
        <f>H267+Observaciones!$F267-F268-E268-G268-I267</f>
        <v>11.250075816880472</v>
      </c>
      <c r="I268" s="76">
        <f>MAX(0,(H268-Constantes!$D$14)*(1-EXP(-Constantes!$D$22)))</f>
        <v>2.5826012783266771E-6</v>
      </c>
      <c r="J268" s="76">
        <f t="shared" si="12"/>
        <v>67.75373141891059</v>
      </c>
      <c r="K268" s="76">
        <f>MAX(0,(J268-Constantes!$D$13)*(1-EXP(-Constantes!$D$23)))</f>
        <v>0.18724829200670437</v>
      </c>
      <c r="L268" s="76">
        <f t="shared" si="13"/>
        <v>0.1872508746079827</v>
      </c>
      <c r="M268" s="76">
        <f>0.0526*F268*Observaciones!$F267^1.218</f>
        <v>0</v>
      </c>
      <c r="N268" s="76">
        <f>M268*Constantes!$D$51</f>
        <v>0</v>
      </c>
      <c r="O268" s="76">
        <f t="shared" si="14"/>
        <v>0</v>
      </c>
      <c r="P268" s="15"/>
      <c r="Q268" s="75">
        <v>262</v>
      </c>
      <c r="R268" s="76">
        <f>0.0526*Observaciones!$F267^2.218</f>
        <v>0</v>
      </c>
      <c r="S268" s="76">
        <f>IF(Observaciones!$F267&gt;0.05*$W$7,((Observaciones!$F267-0.05*$W$7)^2)/(Observaciones!$F267+0.95*$W$7),0)</f>
        <v>0</v>
      </c>
      <c r="T268" s="76">
        <f>0.0526*S268*Observaciones!$F267^1.218</f>
        <v>0</v>
      </c>
      <c r="U268" s="29"/>
      <c r="V268" s="29"/>
      <c r="W268" s="109"/>
      <c r="X268" s="40"/>
    </row>
    <row r="269" spans="2:24" s="2" customFormat="1">
      <c r="B269" s="39"/>
      <c r="C269" s="75">
        <v>263</v>
      </c>
      <c r="D269" s="146">
        <f>ETo!$I268*((1-Constantes!$D$19)*ETo!$K268+ETo!$L268)</f>
        <v>3.9513115831819263</v>
      </c>
      <c r="E269" s="76">
        <f>MIN(D269*Constantes!$D$17,0.8*(H268+Observaciones!$F268-F269-G269-Constantes!$D$14))</f>
        <v>6.0653504377228273E-5</v>
      </c>
      <c r="F269" s="76">
        <f>IF(Observaciones!$F268&gt;0.05*Constantes!$D$18,((Observaciones!$F268-0.05*Constantes!$D$18)^2)/(Observaciones!$F268+0.95*Constantes!$D$18),0)</f>
        <v>0</v>
      </c>
      <c r="G269" s="76">
        <f>MAX(0,H268+Observaciones!$F268-F269-Constantes!$D$13)</f>
        <v>0</v>
      </c>
      <c r="H269" s="76">
        <f>H268+Observaciones!$F268-F269-E269-G269-I268</f>
        <v>11.250012580774817</v>
      </c>
      <c r="I269" s="76">
        <f>MAX(0,(H269-Constantes!$D$14)*(1-EXP(-Constantes!$D$22)))</f>
        <v>4.2854737522270467E-7</v>
      </c>
      <c r="J269" s="76">
        <f t="shared" si="12"/>
        <v>67.56648312690389</v>
      </c>
      <c r="K269" s="76">
        <f>MAX(0,(J269-Constantes!$D$13)*(1-EXP(-Constantes!$D$23)))</f>
        <v>0.18540328998649391</v>
      </c>
      <c r="L269" s="76">
        <f t="shared" si="13"/>
        <v>0.18540371853386914</v>
      </c>
      <c r="M269" s="76">
        <f>0.0526*F269*Observaciones!$F268^1.218</f>
        <v>0</v>
      </c>
      <c r="N269" s="76">
        <f>M269*Constantes!$D$51</f>
        <v>0</v>
      </c>
      <c r="O269" s="76">
        <f t="shared" si="14"/>
        <v>0</v>
      </c>
      <c r="P269" s="15"/>
      <c r="Q269" s="75">
        <v>263</v>
      </c>
      <c r="R269" s="76">
        <f>0.0526*Observaciones!$F268^2.218</f>
        <v>0</v>
      </c>
      <c r="S269" s="76">
        <f>IF(Observaciones!$F268&gt;0.05*$W$7,((Observaciones!$F268-0.05*$W$7)^2)/(Observaciones!$F268+0.95*$W$7),0)</f>
        <v>0</v>
      </c>
      <c r="T269" s="76">
        <f>0.0526*S269*Observaciones!$F268^1.218</f>
        <v>0</v>
      </c>
      <c r="U269" s="29"/>
      <c r="V269" s="29"/>
      <c r="W269" s="109"/>
      <c r="X269" s="40"/>
    </row>
    <row r="270" spans="2:24" s="2" customFormat="1">
      <c r="B270" s="39"/>
      <c r="C270" s="75">
        <v>264</v>
      </c>
      <c r="D270" s="146">
        <f>ETo!$I269*((1-Constantes!$D$19)*ETo!$K269+ETo!$L269)</f>
        <v>3.8766327729824859</v>
      </c>
      <c r="E270" s="76">
        <f>MIN(D270*Constantes!$D$17,0.8*(H269+Observaciones!$F269-F270-G270-Constantes!$D$14))</f>
        <v>1.0064619853267232E-5</v>
      </c>
      <c r="F270" s="76">
        <f>IF(Observaciones!$F269&gt;0.05*Constantes!$D$18,((Observaciones!$F269-0.05*Constantes!$D$18)^2)/(Observaciones!$F269+0.95*Constantes!$D$18),0)</f>
        <v>0</v>
      </c>
      <c r="G270" s="76">
        <f>MAX(0,H269+Observaciones!$F269-F270-Constantes!$D$13)</f>
        <v>0</v>
      </c>
      <c r="H270" s="76">
        <f>H269+Observaciones!$F269-F270-E270-G270-I269</f>
        <v>11.250002087607587</v>
      </c>
      <c r="I270" s="76">
        <f>MAX(0,(H270-Constantes!$D$14)*(1-EXP(-Constantes!$D$22)))</f>
        <v>7.1111578185816569E-8</v>
      </c>
      <c r="J270" s="76">
        <f t="shared" si="12"/>
        <v>67.381079836917394</v>
      </c>
      <c r="K270" s="76">
        <f>MAX(0,(J270-Constantes!$D$13)*(1-EXP(-Constantes!$D$23)))</f>
        <v>0.18357646721063375</v>
      </c>
      <c r="L270" s="76">
        <f t="shared" si="13"/>
        <v>0.18357653832221194</v>
      </c>
      <c r="M270" s="76">
        <f>0.0526*F270*Observaciones!$F269^1.218</f>
        <v>0</v>
      </c>
      <c r="N270" s="76">
        <f>M270*Constantes!$D$51</f>
        <v>0</v>
      </c>
      <c r="O270" s="76">
        <f t="shared" si="14"/>
        <v>0</v>
      </c>
      <c r="P270" s="15"/>
      <c r="Q270" s="75">
        <v>264</v>
      </c>
      <c r="R270" s="76">
        <f>0.0526*Observaciones!$F269^2.218</f>
        <v>0</v>
      </c>
      <c r="S270" s="76">
        <f>IF(Observaciones!$F269&gt;0.05*$W$7,((Observaciones!$F269-0.05*$W$7)^2)/(Observaciones!$F269+0.95*$W$7),0)</f>
        <v>0</v>
      </c>
      <c r="T270" s="76">
        <f>0.0526*S270*Observaciones!$F269^1.218</f>
        <v>0</v>
      </c>
      <c r="U270" s="29"/>
      <c r="V270" s="29"/>
      <c r="W270" s="109"/>
      <c r="X270" s="40"/>
    </row>
    <row r="271" spans="2:24" s="2" customFormat="1">
      <c r="B271" s="39"/>
      <c r="C271" s="75">
        <v>265</v>
      </c>
      <c r="D271" s="146">
        <f>ETo!$I270*((1-Constantes!$D$19)*ETo!$K270+ETo!$L270)</f>
        <v>3.8136108614765041</v>
      </c>
      <c r="E271" s="76">
        <f>MIN(D271*Constantes!$D$17,0.8*(H270+Observaciones!$F270-F271-G271-Constantes!$D$14))</f>
        <v>1.670086069793797E-6</v>
      </c>
      <c r="F271" s="76">
        <f>IF(Observaciones!$F270&gt;0.05*Constantes!$D$18,((Observaciones!$F270-0.05*Constantes!$D$18)^2)/(Observaciones!$F270+0.95*Constantes!$D$18),0)</f>
        <v>0</v>
      </c>
      <c r="G271" s="76">
        <f>MAX(0,H270+Observaciones!$F270-F271-Constantes!$D$13)</f>
        <v>0</v>
      </c>
      <c r="H271" s="76">
        <f>H270+Observaciones!$F270-F271-E271-G271-I270</f>
        <v>11.250000346409939</v>
      </c>
      <c r="I271" s="76">
        <f>MAX(0,(H271-Constantes!$D$14)*(1-EXP(-Constantes!$D$22)))</f>
        <v>1.1799994217763935E-8</v>
      </c>
      <c r="J271" s="76">
        <f t="shared" si="12"/>
        <v>67.197503369706766</v>
      </c>
      <c r="K271" s="76">
        <f>MAX(0,(J271-Constantes!$D$13)*(1-EXP(-Constantes!$D$23)))</f>
        <v>0.18176764455469951</v>
      </c>
      <c r="L271" s="76">
        <f t="shared" si="13"/>
        <v>0.18176765635469372</v>
      </c>
      <c r="M271" s="76">
        <f>0.0526*F271*Observaciones!$F270^1.218</f>
        <v>0</v>
      </c>
      <c r="N271" s="76">
        <f>M271*Constantes!$D$51</f>
        <v>0</v>
      </c>
      <c r="O271" s="76">
        <f t="shared" si="14"/>
        <v>0</v>
      </c>
      <c r="P271" s="15"/>
      <c r="Q271" s="75">
        <v>265</v>
      </c>
      <c r="R271" s="76">
        <f>0.0526*Observaciones!$F270^2.218</f>
        <v>0</v>
      </c>
      <c r="S271" s="76">
        <f>IF(Observaciones!$F270&gt;0.05*$W$7,((Observaciones!$F270-0.05*$W$7)^2)/(Observaciones!$F270+0.95*$W$7),0)</f>
        <v>0</v>
      </c>
      <c r="T271" s="76">
        <f>0.0526*S271*Observaciones!$F270^1.218</f>
        <v>0</v>
      </c>
      <c r="U271" s="29"/>
      <c r="V271" s="29"/>
      <c r="W271" s="109"/>
      <c r="X271" s="40"/>
    </row>
    <row r="272" spans="2:24" s="2" customFormat="1">
      <c r="B272" s="39"/>
      <c r="C272" s="75">
        <v>266</v>
      </c>
      <c r="D272" s="146">
        <f>ETo!$I271*((1-Constantes!$D$19)*ETo!$K271+ETo!$L271)</f>
        <v>3.7175349598058065</v>
      </c>
      <c r="E272" s="76">
        <f>MIN(D272*Constantes!$D$17,0.8*(H271+Observaciones!$F271-F272-G272-Constantes!$D$14))</f>
        <v>2.7712795116485725E-7</v>
      </c>
      <c r="F272" s="76">
        <f>IF(Observaciones!$F271&gt;0.05*Constantes!$D$18,((Observaciones!$F271-0.05*Constantes!$D$18)^2)/(Observaciones!$F271+0.95*Constantes!$D$18),0)</f>
        <v>0</v>
      </c>
      <c r="G272" s="76">
        <f>MAX(0,H271+Observaciones!$F271-F272-Constantes!$D$13)</f>
        <v>0</v>
      </c>
      <c r="H272" s="76">
        <f>H271+Observaciones!$F271-F272-E272-G272-I271</f>
        <v>11.250000057481994</v>
      </c>
      <c r="I272" s="76">
        <f>MAX(0,(H272-Constantes!$D$14)*(1-EXP(-Constantes!$D$22)))</f>
        <v>1.9580477457471514E-9</v>
      </c>
      <c r="J272" s="76">
        <f t="shared" si="12"/>
        <v>67.015735725152069</v>
      </c>
      <c r="K272" s="76">
        <f>MAX(0,(J272-Constantes!$D$13)*(1-EXP(-Constantes!$D$23)))</f>
        <v>0.17997664465922214</v>
      </c>
      <c r="L272" s="76">
        <f t="shared" si="13"/>
        <v>0.17997664661726989</v>
      </c>
      <c r="M272" s="76">
        <f>0.0526*F272*Observaciones!$F271^1.218</f>
        <v>0</v>
      </c>
      <c r="N272" s="76">
        <f>M272*Constantes!$D$51</f>
        <v>0</v>
      </c>
      <c r="O272" s="76">
        <f t="shared" si="14"/>
        <v>0</v>
      </c>
      <c r="P272" s="15"/>
      <c r="Q272" s="75">
        <v>266</v>
      </c>
      <c r="R272" s="76">
        <f>0.0526*Observaciones!$F271^2.218</f>
        <v>0</v>
      </c>
      <c r="S272" s="76">
        <f>IF(Observaciones!$F271&gt;0.05*$W$7,((Observaciones!$F271-0.05*$W$7)^2)/(Observaciones!$F271+0.95*$W$7),0)</f>
        <v>0</v>
      </c>
      <c r="T272" s="76">
        <f>0.0526*S272*Observaciones!$F271^1.218</f>
        <v>0</v>
      </c>
      <c r="U272" s="29"/>
      <c r="V272" s="29"/>
      <c r="W272" s="109"/>
      <c r="X272" s="40"/>
    </row>
    <row r="273" spans="2:24" s="2" customFormat="1">
      <c r="B273" s="39"/>
      <c r="C273" s="75">
        <v>267</v>
      </c>
      <c r="D273" s="146">
        <f>ETo!$I272*((1-Constantes!$D$19)*ETo!$K272+ETo!$L272)</f>
        <v>3.7835632137366155</v>
      </c>
      <c r="E273" s="76">
        <f>MIN(D273*Constantes!$D$17,0.8*(H272+Observaciones!$F272-F273-G273-Constantes!$D$14))</f>
        <v>1.6000000459855954</v>
      </c>
      <c r="F273" s="76">
        <f>IF(Observaciones!$F272&gt;0.05*Constantes!$D$18,((Observaciones!$F272-0.05*Constantes!$D$18)^2)/(Observaciones!$F272+0.95*Constantes!$D$18),0)</f>
        <v>0</v>
      </c>
      <c r="G273" s="76">
        <f>MAX(0,H272+Observaciones!$F272-F273-Constantes!$D$13)</f>
        <v>0</v>
      </c>
      <c r="H273" s="76">
        <f>H272+Observaciones!$F272-F273-E273-G273-I272</f>
        <v>11.650000009538351</v>
      </c>
      <c r="I273" s="76">
        <f>MAX(0,(H273-Constantes!$D$14)*(1-EXP(-Constantes!$D$22)))</f>
        <v>1.3625468754973008E-2</v>
      </c>
      <c r="J273" s="76">
        <f t="shared" si="12"/>
        <v>66.835759080492849</v>
      </c>
      <c r="K273" s="76">
        <f>MAX(0,(J273-Constantes!$D$13)*(1-EXP(-Constantes!$D$23)))</f>
        <v>0.17820329191229786</v>
      </c>
      <c r="L273" s="76">
        <f t="shared" si="13"/>
        <v>0.19182876066727086</v>
      </c>
      <c r="M273" s="76">
        <f>0.0526*F273*Observaciones!$F272^1.218</f>
        <v>0</v>
      </c>
      <c r="N273" s="76">
        <f>M273*Constantes!$D$51</f>
        <v>0</v>
      </c>
      <c r="O273" s="76">
        <f t="shared" si="14"/>
        <v>0</v>
      </c>
      <c r="P273" s="15"/>
      <c r="Q273" s="75">
        <v>267</v>
      </c>
      <c r="R273" s="76">
        <f>0.0526*Observaciones!$F272^2.218</f>
        <v>0.24472045674166781</v>
      </c>
      <c r="S273" s="76">
        <f>IF(Observaciones!$F272&gt;0.05*$W$7,((Observaciones!$F272-0.05*$W$7)^2)/(Observaciones!$F272+0.95*$W$7),0)</f>
        <v>2.0605192437462322E-3</v>
      </c>
      <c r="T273" s="76">
        <f>0.0526*S273*Observaciones!$F272^1.218</f>
        <v>2.5212560522728692E-4</v>
      </c>
      <c r="U273" s="29"/>
      <c r="V273" s="29"/>
      <c r="W273" s="109"/>
      <c r="X273" s="40"/>
    </row>
    <row r="274" spans="2:24" s="2" customFormat="1">
      <c r="B274" s="39"/>
      <c r="C274" s="75">
        <v>268</v>
      </c>
      <c r="D274" s="146">
        <f>ETo!$I273*((1-Constantes!$D$19)*ETo!$K273+ETo!$L273)</f>
        <v>3.7924504547151034</v>
      </c>
      <c r="E274" s="76">
        <f>MIN(D274*Constantes!$D$17,0.8*(H273+Observaciones!$F273-F274-G274-Constantes!$D$14))</f>
        <v>1.9337096251414272</v>
      </c>
      <c r="F274" s="76">
        <f>IF(Observaciones!$F273&gt;0.05*Constantes!$D$18,((Observaciones!$F273-0.05*Constantes!$D$18)^2)/(Observaciones!$F273+0.95*Constantes!$D$18),0)</f>
        <v>9.9136846920689532E-3</v>
      </c>
      <c r="G274" s="76">
        <f>MAX(0,H273+Observaciones!$F273-F274-Constantes!$D$13)</f>
        <v>0</v>
      </c>
      <c r="H274" s="76">
        <f>H273+Observaciones!$F273-F274-E274-G274-I273</f>
        <v>14.192751230949883</v>
      </c>
      <c r="I274" s="76">
        <f>MAX(0,(H274-Constantes!$D$14)*(1-EXP(-Constantes!$D$22)))</f>
        <v>0.10024090998708253</v>
      </c>
      <c r="J274" s="76">
        <f t="shared" si="12"/>
        <v>66.657555788580552</v>
      </c>
      <c r="K274" s="76">
        <f>MAX(0,(J274-Constantes!$D$13)*(1-EXP(-Constantes!$D$23)))</f>
        <v>0.17644741243236872</v>
      </c>
      <c r="L274" s="76">
        <f t="shared" si="13"/>
        <v>0.28660200711152017</v>
      </c>
      <c r="M274" s="76">
        <f>0.0526*F274*Observaciones!$F273^1.218</f>
        <v>3.2571194641415027E-3</v>
      </c>
      <c r="N274" s="76">
        <f>M274*Constantes!$D$51</f>
        <v>4.5794762485582542E-5</v>
      </c>
      <c r="O274" s="76">
        <f t="shared" si="14"/>
        <v>15.97852120685368</v>
      </c>
      <c r="P274" s="15"/>
      <c r="Q274" s="75">
        <v>268</v>
      </c>
      <c r="R274" s="76">
        <f>0.0526*Observaciones!$F273^2.218</f>
        <v>1.4784651765617014</v>
      </c>
      <c r="S274" s="76">
        <f>IF(Observaciones!$F273&gt;0.05*$W$7,((Observaciones!$F273-0.05*$W$7)^2)/(Observaciones!$F273+0.95*$W$7),0)</f>
        <v>0.20486361979252987</v>
      </c>
      <c r="T274" s="76">
        <f>0.0526*S274*Observaciones!$F273^1.218</f>
        <v>6.7307495068362658E-2</v>
      </c>
      <c r="U274" s="29"/>
      <c r="V274" s="29"/>
      <c r="W274" s="109"/>
      <c r="X274" s="40"/>
    </row>
    <row r="275" spans="2:24" s="2" customFormat="1">
      <c r="B275" s="39"/>
      <c r="C275" s="75">
        <v>269</v>
      </c>
      <c r="D275" s="146">
        <f>ETo!$I274*((1-Constantes!$D$19)*ETo!$K274+ETo!$L274)</f>
        <v>3.7723644130734062</v>
      </c>
      <c r="E275" s="76">
        <f>MIN(D275*Constantes!$D$17,0.8*(H274+Observaciones!$F274-F275-G275-Constantes!$D$14))</f>
        <v>1.9234680748516266</v>
      </c>
      <c r="F275" s="76">
        <f>IF(Observaciones!$F274&gt;0.05*Constantes!$D$18,((Observaciones!$F274-0.05*Constantes!$D$18)^2)/(Observaciones!$F274+0.95*Constantes!$D$18),0)</f>
        <v>0</v>
      </c>
      <c r="G275" s="76">
        <f>MAX(0,H274+Observaciones!$F274-F275-Constantes!$D$13)</f>
        <v>0</v>
      </c>
      <c r="H275" s="76">
        <f>H274+Observaciones!$F274-F275-E275-G275-I274</f>
        <v>12.169042246111173</v>
      </c>
      <c r="I275" s="76">
        <f>MAX(0,(H275-Constantes!$D$14)*(1-EXP(-Constantes!$D$22)))</f>
        <v>3.1305952775702105E-2</v>
      </c>
      <c r="J275" s="76">
        <f t="shared" si="12"/>
        <v>66.481108376148185</v>
      </c>
      <c r="K275" s="76">
        <f>MAX(0,(J275-Constantes!$D$13)*(1-EXP(-Constantes!$D$23)))</f>
        <v>0.17470883405117324</v>
      </c>
      <c r="L275" s="76">
        <f t="shared" si="13"/>
        <v>0.20601478682687535</v>
      </c>
      <c r="M275" s="76">
        <f>0.0526*F275*Observaciones!$F274^1.218</f>
        <v>0</v>
      </c>
      <c r="N275" s="76">
        <f>M275*Constantes!$D$51</f>
        <v>0</v>
      </c>
      <c r="O275" s="76">
        <f t="shared" si="14"/>
        <v>0</v>
      </c>
      <c r="P275" s="15"/>
      <c r="Q275" s="75">
        <v>269</v>
      </c>
      <c r="R275" s="76">
        <f>0.0526*Observaciones!$F274^2.218</f>
        <v>0</v>
      </c>
      <c r="S275" s="76">
        <f>IF(Observaciones!$F274&gt;0.05*$W$7,((Observaciones!$F274-0.05*$W$7)^2)/(Observaciones!$F274+0.95*$W$7),0)</f>
        <v>0</v>
      </c>
      <c r="T275" s="76">
        <f>0.0526*S275*Observaciones!$F274^1.218</f>
        <v>0</v>
      </c>
      <c r="U275" s="29"/>
      <c r="V275" s="29"/>
      <c r="W275" s="109"/>
      <c r="X275" s="40"/>
    </row>
    <row r="276" spans="2:24" s="2" customFormat="1">
      <c r="B276" s="39"/>
      <c r="C276" s="75">
        <v>270</v>
      </c>
      <c r="D276" s="146">
        <f>ETo!$I275*((1-Constantes!$D$19)*ETo!$K275+ETo!$L275)</f>
        <v>3.7271946543140699</v>
      </c>
      <c r="E276" s="76">
        <f>MIN(D276*Constantes!$D$17,0.8*(H275+Observaciones!$F275-F276-G276-Constantes!$D$14))</f>
        <v>0.73523379688893875</v>
      </c>
      <c r="F276" s="76">
        <f>IF(Observaciones!$F275&gt;0.05*Constantes!$D$18,((Observaciones!$F275-0.05*Constantes!$D$18)^2)/(Observaciones!$F275+0.95*Constantes!$D$18),0)</f>
        <v>0</v>
      </c>
      <c r="G276" s="76">
        <f>MAX(0,H275+Observaciones!$F275-F276-Constantes!$D$13)</f>
        <v>0</v>
      </c>
      <c r="H276" s="76">
        <f>H275+Observaciones!$F275-F276-E276-G276-I275</f>
        <v>11.402502496446534</v>
      </c>
      <c r="I276" s="76">
        <f>MAX(0,(H276-Constantes!$D$14)*(1-EXP(-Constantes!$D$22)))</f>
        <v>5.1947948770946304E-3</v>
      </c>
      <c r="J276" s="76">
        <f t="shared" si="12"/>
        <v>66.306399542097012</v>
      </c>
      <c r="K276" s="76">
        <f>MAX(0,(J276-Constantes!$D$13)*(1-EXP(-Constantes!$D$23)))</f>
        <v>0.17298738629686478</v>
      </c>
      <c r="L276" s="76">
        <f t="shared" si="13"/>
        <v>0.1781821811739594</v>
      </c>
      <c r="M276" s="76">
        <f>0.0526*F276*Observaciones!$F275^1.218</f>
        <v>0</v>
      </c>
      <c r="N276" s="76">
        <f>M276*Constantes!$D$51</f>
        <v>0</v>
      </c>
      <c r="O276" s="76">
        <f t="shared" si="14"/>
        <v>0</v>
      </c>
      <c r="P276" s="15"/>
      <c r="Q276" s="75">
        <v>270</v>
      </c>
      <c r="R276" s="76">
        <f>0.0526*Observaciones!$F275^2.218</f>
        <v>0</v>
      </c>
      <c r="S276" s="76">
        <f>IF(Observaciones!$F275&gt;0.05*$W$7,((Observaciones!$F275-0.05*$W$7)^2)/(Observaciones!$F275+0.95*$W$7),0)</f>
        <v>0</v>
      </c>
      <c r="T276" s="76">
        <f>0.0526*S276*Observaciones!$F275^1.218</f>
        <v>0</v>
      </c>
      <c r="U276" s="29"/>
      <c r="V276" s="29"/>
      <c r="W276" s="109"/>
      <c r="X276" s="40"/>
    </row>
    <row r="277" spans="2:24" s="2" customFormat="1">
      <c r="B277" s="39"/>
      <c r="C277" s="75">
        <v>271</v>
      </c>
      <c r="D277" s="146">
        <f>ETo!$I276*((1-Constantes!$D$19)*ETo!$K276+ETo!$L276)</f>
        <v>3.8091858332944852</v>
      </c>
      <c r="E277" s="76">
        <f>MIN(D277*Constantes!$D$17,0.8*(H276+Observaciones!$F276-F277-G277-Constantes!$D$14))</f>
        <v>0.12200199715722704</v>
      </c>
      <c r="F277" s="76">
        <f>IF(Observaciones!$F276&gt;0.05*Constantes!$D$18,((Observaciones!$F276-0.05*Constantes!$D$18)^2)/(Observaciones!$F276+0.95*Constantes!$D$18),0)</f>
        <v>0</v>
      </c>
      <c r="G277" s="76">
        <f>MAX(0,H276+Observaciones!$F276-F277-Constantes!$D$13)</f>
        <v>0</v>
      </c>
      <c r="H277" s="76">
        <f>H276+Observaciones!$F276-F277-E277-G277-I276</f>
        <v>11.275305704412212</v>
      </c>
      <c r="I277" s="76">
        <f>MAX(0,(H277-Constantes!$D$14)*(1-EXP(-Constantes!$D$22)))</f>
        <v>8.6200519142265875E-4</v>
      </c>
      <c r="J277" s="76">
        <f t="shared" si="12"/>
        <v>66.133412155800144</v>
      </c>
      <c r="K277" s="76">
        <f>MAX(0,(J277-Constantes!$D$13)*(1-EXP(-Constantes!$D$23)))</f>
        <v>0.17128290037729638</v>
      </c>
      <c r="L277" s="76">
        <f t="shared" si="13"/>
        <v>0.17214490556871903</v>
      </c>
      <c r="M277" s="76">
        <f>0.0526*F277*Observaciones!$F276^1.218</f>
        <v>0</v>
      </c>
      <c r="N277" s="76">
        <f>M277*Constantes!$D$51</f>
        <v>0</v>
      </c>
      <c r="O277" s="76">
        <f t="shared" si="14"/>
        <v>0</v>
      </c>
      <c r="P277" s="15"/>
      <c r="Q277" s="75">
        <v>271</v>
      </c>
      <c r="R277" s="76">
        <f>0.0526*Observaciones!$F276^2.218</f>
        <v>0</v>
      </c>
      <c r="S277" s="76">
        <f>IF(Observaciones!$F276&gt;0.05*$W$7,((Observaciones!$F276-0.05*$W$7)^2)/(Observaciones!$F276+0.95*$W$7),0)</f>
        <v>0</v>
      </c>
      <c r="T277" s="76">
        <f>0.0526*S277*Observaciones!$F276^1.218</f>
        <v>0</v>
      </c>
      <c r="U277" s="29"/>
      <c r="V277" s="29"/>
      <c r="W277" s="109"/>
      <c r="X277" s="40"/>
    </row>
    <row r="278" spans="2:24" s="2" customFormat="1">
      <c r="B278" s="39"/>
      <c r="C278" s="75">
        <v>272</v>
      </c>
      <c r="D278" s="146">
        <f>ETo!$I277*((1-Constantes!$D$19)*ETo!$K277+ETo!$L277)</f>
        <v>3.9037938456254855</v>
      </c>
      <c r="E278" s="76">
        <f>MIN(D278*Constantes!$D$17,0.8*(H277+Observaciones!$F277-F278-G278-Constantes!$D$14))</f>
        <v>2.0244563529769267E-2</v>
      </c>
      <c r="F278" s="76">
        <f>IF(Observaciones!$F277&gt;0.05*Constantes!$D$18,((Observaciones!$F277-0.05*Constantes!$D$18)^2)/(Observaciones!$F277+0.95*Constantes!$D$18),0)</f>
        <v>0</v>
      </c>
      <c r="G278" s="76">
        <f>MAX(0,H277+Observaciones!$F277-F278-Constantes!$D$13)</f>
        <v>0</v>
      </c>
      <c r="H278" s="76">
        <f>H277+Observaciones!$F277-F278-E278-G278-I277</f>
        <v>11.254199135691021</v>
      </c>
      <c r="I278" s="76">
        <f>MAX(0,(H278-Constantes!$D$14)*(1-EXP(-Constantes!$D$22)))</f>
        <v>1.4303797697887805E-4</v>
      </c>
      <c r="J278" s="76">
        <f t="shared" si="12"/>
        <v>65.962129255422852</v>
      </c>
      <c r="K278" s="76">
        <f>MAX(0,(J278-Constantes!$D$13)*(1-EXP(-Constantes!$D$23)))</f>
        <v>0.16959520916347048</v>
      </c>
      <c r="L278" s="76">
        <f t="shared" si="13"/>
        <v>0.16973824714044936</v>
      </c>
      <c r="M278" s="76">
        <f>0.0526*F278*Observaciones!$F277^1.218</f>
        <v>0</v>
      </c>
      <c r="N278" s="76">
        <f>M278*Constantes!$D$51</f>
        <v>0</v>
      </c>
      <c r="O278" s="76">
        <f t="shared" si="14"/>
        <v>0</v>
      </c>
      <c r="P278" s="15"/>
      <c r="Q278" s="75">
        <v>272</v>
      </c>
      <c r="R278" s="76">
        <f>0.0526*Observaciones!$F277^2.218</f>
        <v>0</v>
      </c>
      <c r="S278" s="76">
        <f>IF(Observaciones!$F277&gt;0.05*$W$7,((Observaciones!$F277-0.05*$W$7)^2)/(Observaciones!$F277+0.95*$W$7),0)</f>
        <v>0</v>
      </c>
      <c r="T278" s="76">
        <f>0.0526*S278*Observaciones!$F277^1.218</f>
        <v>0</v>
      </c>
      <c r="U278" s="29"/>
      <c r="V278" s="29"/>
      <c r="W278" s="109"/>
      <c r="X278" s="40"/>
    </row>
    <row r="279" spans="2:24" s="2" customFormat="1">
      <c r="B279" s="39"/>
      <c r="C279" s="75">
        <v>273</v>
      </c>
      <c r="D279" s="146">
        <f>ETo!$I278*((1-Constantes!$D$19)*ETo!$K278+ETo!$L278)</f>
        <v>4.0153508862961127</v>
      </c>
      <c r="E279" s="76">
        <f>MIN(D279*Constantes!$D$17,0.8*(H278+Observaciones!$F278-F279-G279-Constantes!$D$14))</f>
        <v>3.3593085528167421E-3</v>
      </c>
      <c r="F279" s="76">
        <f>IF(Observaciones!$F278&gt;0.05*Constantes!$D$18,((Observaciones!$F278-0.05*Constantes!$D$18)^2)/(Observaciones!$F278+0.95*Constantes!$D$18),0)</f>
        <v>0</v>
      </c>
      <c r="G279" s="76">
        <f>MAX(0,H278+Observaciones!$F278-F279-Constantes!$D$13)</f>
        <v>0</v>
      </c>
      <c r="H279" s="76">
        <f>H278+Observaciones!$F278-F279-E279-G279-I278</f>
        <v>11.250696789161225</v>
      </c>
      <c r="I279" s="76">
        <f>MAX(0,(H279-Constantes!$D$14)*(1-EXP(-Constantes!$D$22)))</f>
        <v>2.3735196796695756E-5</v>
      </c>
      <c r="J279" s="76">
        <f t="shared" si="12"/>
        <v>65.792534046259377</v>
      </c>
      <c r="K279" s="76">
        <f>MAX(0,(J279-Constantes!$D$13)*(1-EXP(-Constantes!$D$23)))</f>
        <v>0.16792414717315107</v>
      </c>
      <c r="L279" s="76">
        <f t="shared" si="13"/>
        <v>0.16794788236994776</v>
      </c>
      <c r="M279" s="76">
        <f>0.0526*F279*Observaciones!$F278^1.218</f>
        <v>0</v>
      </c>
      <c r="N279" s="76">
        <f>M279*Constantes!$D$51</f>
        <v>0</v>
      </c>
      <c r="O279" s="76">
        <f t="shared" si="14"/>
        <v>0</v>
      </c>
      <c r="P279" s="15"/>
      <c r="Q279" s="75">
        <v>273</v>
      </c>
      <c r="R279" s="76">
        <f>0.0526*Observaciones!$F278^2.218</f>
        <v>0</v>
      </c>
      <c r="S279" s="76">
        <f>IF(Observaciones!$F278&gt;0.05*$W$7,((Observaciones!$F278-0.05*$W$7)^2)/(Observaciones!$F278+0.95*$W$7),0)</f>
        <v>0</v>
      </c>
      <c r="T279" s="76">
        <f>0.0526*S279*Observaciones!$F278^1.218</f>
        <v>0</v>
      </c>
      <c r="U279" s="29"/>
      <c r="V279" s="29"/>
      <c r="W279" s="109"/>
      <c r="X279" s="40"/>
    </row>
    <row r="280" spans="2:24" s="2" customFormat="1">
      <c r="B280" s="39"/>
      <c r="C280" s="75">
        <v>274</v>
      </c>
      <c r="D280" s="146">
        <f>ETo!$I279*((1-Constantes!$D$19)*ETo!$K279+ETo!$L279)</f>
        <v>3.927185033014287</v>
      </c>
      <c r="E280" s="76">
        <f>MIN(D280*Constantes!$D$17,0.8*(H279+Observaciones!$F279-F280-G280-Constantes!$D$14))</f>
        <v>5.5743132897987378E-4</v>
      </c>
      <c r="F280" s="76">
        <f>IF(Observaciones!$F279&gt;0.05*Constantes!$D$18,((Observaciones!$F279-0.05*Constantes!$D$18)^2)/(Observaciones!$F279+0.95*Constantes!$D$18),0)</f>
        <v>0</v>
      </c>
      <c r="G280" s="76">
        <f>MAX(0,H279+Observaciones!$F279-F280-Constantes!$D$13)</f>
        <v>0</v>
      </c>
      <c r="H280" s="76">
        <f>H279+Observaciones!$F279-F280-E280-G280-I279</f>
        <v>11.250115622635448</v>
      </c>
      <c r="I280" s="76">
        <f>MAX(0,(H280-Constantes!$D$14)*(1-EXP(-Constantes!$D$22)))</f>
        <v>3.9385314227491535E-6</v>
      </c>
      <c r="J280" s="76">
        <f t="shared" si="12"/>
        <v>65.624609899086224</v>
      </c>
      <c r="K280" s="76">
        <f>MAX(0,(J280-Constantes!$D$13)*(1-EXP(-Constantes!$D$23)))</f>
        <v>0.16626955055463824</v>
      </c>
      <c r="L280" s="76">
        <f t="shared" si="13"/>
        <v>0.16627348908606099</v>
      </c>
      <c r="M280" s="76">
        <f>0.0526*F280*Observaciones!$F279^1.218</f>
        <v>0</v>
      </c>
      <c r="N280" s="76">
        <f>M280*Constantes!$D$51</f>
        <v>0</v>
      </c>
      <c r="O280" s="76">
        <f t="shared" si="14"/>
        <v>0</v>
      </c>
      <c r="P280" s="15"/>
      <c r="Q280" s="75">
        <v>274</v>
      </c>
      <c r="R280" s="76">
        <f>0.0526*Observaciones!$F279^2.218</f>
        <v>0</v>
      </c>
      <c r="S280" s="76">
        <f>IF(Observaciones!$F279&gt;0.05*$W$7,((Observaciones!$F279-0.05*$W$7)^2)/(Observaciones!$F279+0.95*$W$7),0)</f>
        <v>0</v>
      </c>
      <c r="T280" s="76">
        <f>0.0526*S280*Observaciones!$F279^1.218</f>
        <v>0</v>
      </c>
      <c r="U280" s="29"/>
      <c r="V280" s="29"/>
      <c r="W280" s="109"/>
      <c r="X280" s="40"/>
    </row>
    <row r="281" spans="2:24" s="2" customFormat="1">
      <c r="B281" s="39"/>
      <c r="C281" s="75">
        <v>275</v>
      </c>
      <c r="D281" s="146">
        <f>ETo!$I280*((1-Constantes!$D$19)*ETo!$K280+ETo!$L280)</f>
        <v>4.0345183175993178</v>
      </c>
      <c r="E281" s="76">
        <f>MIN(D281*Constantes!$D$17,0.8*(H280+Observaciones!$F280-F281-G281-Constantes!$D$14))</f>
        <v>9.2498108358540776E-5</v>
      </c>
      <c r="F281" s="76">
        <f>IF(Observaciones!$F280&gt;0.05*Constantes!$D$18,((Observaciones!$F280-0.05*Constantes!$D$18)^2)/(Observaciones!$F280+0.95*Constantes!$D$18),0)</f>
        <v>0</v>
      </c>
      <c r="G281" s="76">
        <f>MAX(0,H280+Observaciones!$F280-F281-Constantes!$D$13)</f>
        <v>0</v>
      </c>
      <c r="H281" s="76">
        <f>H280+Observaciones!$F280-F281-E281-G281-I280</f>
        <v>11.250019185995667</v>
      </c>
      <c r="I281" s="76">
        <f>MAX(0,(H281-Constantes!$D$14)*(1-EXP(-Constantes!$D$22)))</f>
        <v>6.5354544564523663E-7</v>
      </c>
      <c r="J281" s="76">
        <f t="shared" si="12"/>
        <v>65.458340348531578</v>
      </c>
      <c r="K281" s="76">
        <f>MAX(0,(J281-Constantes!$D$13)*(1-EXP(-Constantes!$D$23)))</f>
        <v>0.16463125707070178</v>
      </c>
      <c r="L281" s="76">
        <f t="shared" si="13"/>
        <v>0.16463191061614743</v>
      </c>
      <c r="M281" s="76">
        <f>0.0526*F281*Observaciones!$F280^1.218</f>
        <v>0</v>
      </c>
      <c r="N281" s="76">
        <f>M281*Constantes!$D$51</f>
        <v>0</v>
      </c>
      <c r="O281" s="76">
        <f t="shared" si="14"/>
        <v>0</v>
      </c>
      <c r="P281" s="15"/>
      <c r="Q281" s="75">
        <v>275</v>
      </c>
      <c r="R281" s="76">
        <f>0.0526*Observaciones!$F280^2.218</f>
        <v>0</v>
      </c>
      <c r="S281" s="76">
        <f>IF(Observaciones!$F280&gt;0.05*$W$7,((Observaciones!$F280-0.05*$W$7)^2)/(Observaciones!$F280+0.95*$W$7),0)</f>
        <v>0</v>
      </c>
      <c r="T281" s="76">
        <f>0.0526*S281*Observaciones!$F280^1.218</f>
        <v>0</v>
      </c>
      <c r="U281" s="29"/>
      <c r="V281" s="29"/>
      <c r="W281" s="109"/>
      <c r="X281" s="40"/>
    </row>
    <row r="282" spans="2:24" s="2" customFormat="1">
      <c r="B282" s="39"/>
      <c r="C282" s="75">
        <v>276</v>
      </c>
      <c r="D282" s="146">
        <f>ETo!$I281*((1-Constantes!$D$19)*ETo!$K281+ETo!$L281)</f>
        <v>4.0080695398097923</v>
      </c>
      <c r="E282" s="76">
        <f>MIN(D282*Constantes!$D$17,0.8*(H281+Observaciones!$F281-F282-G282-Constantes!$D$14))</f>
        <v>1.534879653348753E-5</v>
      </c>
      <c r="F282" s="76">
        <f>IF(Observaciones!$F281&gt;0.05*Constantes!$D$18,((Observaciones!$F281-0.05*Constantes!$D$18)^2)/(Observaciones!$F281+0.95*Constantes!$D$18),0)</f>
        <v>0</v>
      </c>
      <c r="G282" s="76">
        <f>MAX(0,H281+Observaciones!$F281-F282-Constantes!$D$13)</f>
        <v>0</v>
      </c>
      <c r="H282" s="76">
        <f>H281+Observaciones!$F281-F282-E282-G282-I281</f>
        <v>11.250003183653687</v>
      </c>
      <c r="I282" s="76">
        <f>MAX(0,(H282-Constantes!$D$14)*(1-EXP(-Constantes!$D$22)))</f>
        <v>1.0844693202289494E-7</v>
      </c>
      <c r="J282" s="76">
        <f t="shared" si="12"/>
        <v>65.293709091460883</v>
      </c>
      <c r="K282" s="76">
        <f>MAX(0,(J282-Constantes!$D$13)*(1-EXP(-Constantes!$D$23)))</f>
        <v>0.1630091060826738</v>
      </c>
      <c r="L282" s="76">
        <f t="shared" si="13"/>
        <v>0.16300921452960582</v>
      </c>
      <c r="M282" s="76">
        <f>0.0526*F282*Observaciones!$F281^1.218</f>
        <v>0</v>
      </c>
      <c r="N282" s="76">
        <f>M282*Constantes!$D$51</f>
        <v>0</v>
      </c>
      <c r="O282" s="76">
        <f t="shared" si="14"/>
        <v>0</v>
      </c>
      <c r="P282" s="15"/>
      <c r="Q282" s="75">
        <v>276</v>
      </c>
      <c r="R282" s="76">
        <f>0.0526*Observaciones!$F281^2.218</f>
        <v>0</v>
      </c>
      <c r="S282" s="76">
        <f>IF(Observaciones!$F281&gt;0.05*$W$7,((Observaciones!$F281-0.05*$W$7)^2)/(Observaciones!$F281+0.95*$W$7),0)</f>
        <v>0</v>
      </c>
      <c r="T282" s="76">
        <f>0.0526*S282*Observaciones!$F281^1.218</f>
        <v>0</v>
      </c>
      <c r="U282" s="29"/>
      <c r="V282" s="29"/>
      <c r="W282" s="109"/>
      <c r="X282" s="40"/>
    </row>
    <row r="283" spans="2:24" s="2" customFormat="1">
      <c r="B283" s="39"/>
      <c r="C283" s="75">
        <v>277</v>
      </c>
      <c r="D283" s="146">
        <f>ETo!$I282*((1-Constantes!$D$19)*ETo!$K282+ETo!$L282)</f>
        <v>3.6084840175054107</v>
      </c>
      <c r="E283" s="76">
        <f>MIN(D283*Constantes!$D$17,0.8*(H282+Observaciones!$F282-F283-G283-Constantes!$D$14))</f>
        <v>2.5469229498753521E-6</v>
      </c>
      <c r="F283" s="76">
        <f>IF(Observaciones!$F282&gt;0.05*Constantes!$D$18,((Observaciones!$F282-0.05*Constantes!$D$18)^2)/(Observaciones!$F282+0.95*Constantes!$D$18),0)</f>
        <v>0</v>
      </c>
      <c r="G283" s="76">
        <f>MAX(0,H282+Observaciones!$F282-F283-Constantes!$D$13)</f>
        <v>0</v>
      </c>
      <c r="H283" s="76">
        <f>H282+Observaciones!$F282-F283-E283-G283-I282</f>
        <v>11.250000528283806</v>
      </c>
      <c r="I283" s="76">
        <f>MAX(0,(H283-Constantes!$D$14)*(1-EXP(-Constantes!$D$22)))</f>
        <v>1.7995285803068382E-8</v>
      </c>
      <c r="J283" s="76">
        <f t="shared" si="12"/>
        <v>65.130699985378214</v>
      </c>
      <c r="K283" s="76">
        <f>MAX(0,(J283-Constantes!$D$13)*(1-EXP(-Constantes!$D$23)))</f>
        <v>0.16140293853469709</v>
      </c>
      <c r="L283" s="76">
        <f t="shared" si="13"/>
        <v>0.16140295652998288</v>
      </c>
      <c r="M283" s="76">
        <f>0.0526*F283*Observaciones!$F282^1.218</f>
        <v>0</v>
      </c>
      <c r="N283" s="76">
        <f>M283*Constantes!$D$51</f>
        <v>0</v>
      </c>
      <c r="O283" s="76">
        <f t="shared" si="14"/>
        <v>0</v>
      </c>
      <c r="P283" s="15"/>
      <c r="Q283" s="75">
        <v>277</v>
      </c>
      <c r="R283" s="76">
        <f>0.0526*Observaciones!$F282^2.218</f>
        <v>0</v>
      </c>
      <c r="S283" s="76">
        <f>IF(Observaciones!$F282&gt;0.05*$W$7,((Observaciones!$F282-0.05*$W$7)^2)/(Observaciones!$F282+0.95*$W$7),0)</f>
        <v>0</v>
      </c>
      <c r="T283" s="76">
        <f>0.0526*S283*Observaciones!$F282^1.218</f>
        <v>0</v>
      </c>
      <c r="U283" s="29"/>
      <c r="V283" s="29"/>
      <c r="W283" s="109"/>
      <c r="X283" s="40"/>
    </row>
    <row r="284" spans="2:24" s="2" customFormat="1">
      <c r="B284" s="39"/>
      <c r="C284" s="75">
        <v>278</v>
      </c>
      <c r="D284" s="146">
        <f>ETo!$I283*((1-Constantes!$D$19)*ETo!$K283+ETo!$L283)</f>
        <v>4.0674213974861138</v>
      </c>
      <c r="E284" s="76">
        <f>MIN(D284*Constantes!$D$17,0.8*(H283+Observaciones!$F283-F284-G284-Constantes!$D$14))</f>
        <v>4.2262704482709526E-7</v>
      </c>
      <c r="F284" s="76">
        <f>IF(Observaciones!$F283&gt;0.05*Constantes!$D$18,((Observaciones!$F283-0.05*Constantes!$D$18)^2)/(Observaciones!$F283+0.95*Constantes!$D$18),0)</f>
        <v>0</v>
      </c>
      <c r="G284" s="76">
        <f>MAX(0,H283+Observaciones!$F283-F284-Constantes!$D$13)</f>
        <v>0</v>
      </c>
      <c r="H284" s="76">
        <f>H283+Observaciones!$F283-F284-E284-G284-I283</f>
        <v>11.250000087661476</v>
      </c>
      <c r="I284" s="76">
        <f>MAX(0,(H284-Constantes!$D$14)*(1-EXP(-Constantes!$D$22)))</f>
        <v>2.9860716946499727E-9</v>
      </c>
      <c r="J284" s="76">
        <f t="shared" si="12"/>
        <v>64.969297046843522</v>
      </c>
      <c r="K284" s="76">
        <f>MAX(0,(J284-Constantes!$D$13)*(1-EXP(-Constantes!$D$23)))</f>
        <v>0.15981259693812991</v>
      </c>
      <c r="L284" s="76">
        <f t="shared" si="13"/>
        <v>0.1598125999242016</v>
      </c>
      <c r="M284" s="76">
        <f>0.0526*F284*Observaciones!$F283^1.218</f>
        <v>0</v>
      </c>
      <c r="N284" s="76">
        <f>M284*Constantes!$D$51</f>
        <v>0</v>
      </c>
      <c r="O284" s="76">
        <f t="shared" si="14"/>
        <v>0</v>
      </c>
      <c r="P284" s="15"/>
      <c r="Q284" s="75">
        <v>278</v>
      </c>
      <c r="R284" s="76">
        <f>0.0526*Observaciones!$F283^2.218</f>
        <v>0</v>
      </c>
      <c r="S284" s="76">
        <f>IF(Observaciones!$F283&gt;0.05*$W$7,((Observaciones!$F283-0.05*$W$7)^2)/(Observaciones!$F283+0.95*$W$7),0)</f>
        <v>0</v>
      </c>
      <c r="T284" s="76">
        <f>0.0526*S284*Observaciones!$F283^1.218</f>
        <v>0</v>
      </c>
      <c r="U284" s="29"/>
      <c r="V284" s="29"/>
      <c r="W284" s="109"/>
      <c r="X284" s="40"/>
    </row>
    <row r="285" spans="2:24" s="2" customFormat="1">
      <c r="B285" s="39"/>
      <c r="C285" s="75">
        <v>279</v>
      </c>
      <c r="D285" s="146">
        <f>ETo!$I284*((1-Constantes!$D$19)*ETo!$K284+ETo!$L284)</f>
        <v>3.9935323221971601</v>
      </c>
      <c r="E285" s="76">
        <f>MIN(D285*Constantes!$D$17,0.8*(H284+Observaciones!$F284-F285-G285-Constantes!$D$14))</f>
        <v>7.012918104010169E-8</v>
      </c>
      <c r="F285" s="76">
        <f>IF(Observaciones!$F284&gt;0.05*Constantes!$D$18,((Observaciones!$F284-0.05*Constantes!$D$18)^2)/(Observaciones!$F284+0.95*Constantes!$D$18),0)</f>
        <v>0</v>
      </c>
      <c r="G285" s="76">
        <f>MAX(0,H284+Observaciones!$F284-F285-Constantes!$D$13)</f>
        <v>0</v>
      </c>
      <c r="H285" s="76">
        <f>H284+Observaciones!$F284-F285-E285-G285-I284</f>
        <v>11.250000014546224</v>
      </c>
      <c r="I285" s="76">
        <f>MAX(0,(H285-Constantes!$D$14)*(1-EXP(-Constantes!$D$22)))</f>
        <v>4.9549778226339221E-10</v>
      </c>
      <c r="J285" s="76">
        <f t="shared" si="12"/>
        <v>64.809484449905398</v>
      </c>
      <c r="K285" s="76">
        <f>MAX(0,(J285-Constantes!$D$13)*(1-EXP(-Constantes!$D$23)))</f>
        <v>0.15823792535610356</v>
      </c>
      <c r="L285" s="76">
        <f t="shared" si="13"/>
        <v>0.15823792585160135</v>
      </c>
      <c r="M285" s="76">
        <f>0.0526*F285*Observaciones!$F284^1.218</f>
        <v>0</v>
      </c>
      <c r="N285" s="76">
        <f>M285*Constantes!$D$51</f>
        <v>0</v>
      </c>
      <c r="O285" s="76">
        <f t="shared" si="14"/>
        <v>0</v>
      </c>
      <c r="P285" s="15"/>
      <c r="Q285" s="75">
        <v>279</v>
      </c>
      <c r="R285" s="76">
        <f>0.0526*Observaciones!$F284^2.218</f>
        <v>0</v>
      </c>
      <c r="S285" s="76">
        <f>IF(Observaciones!$F284&gt;0.05*$W$7,((Observaciones!$F284-0.05*$W$7)^2)/(Observaciones!$F284+0.95*$W$7),0)</f>
        <v>0</v>
      </c>
      <c r="T285" s="76">
        <f>0.0526*S285*Observaciones!$F284^1.218</f>
        <v>0</v>
      </c>
      <c r="U285" s="29"/>
      <c r="V285" s="29"/>
      <c r="W285" s="109"/>
      <c r="X285" s="40"/>
    </row>
    <row r="286" spans="2:24" s="2" customFormat="1">
      <c r="B286" s="39"/>
      <c r="C286" s="75">
        <v>280</v>
      </c>
      <c r="D286" s="146">
        <f>ETo!$I285*((1-Constantes!$D$19)*ETo!$K285+ETo!$L285)</f>
        <v>3.935974676860063</v>
      </c>
      <c r="E286" s="76">
        <f>MIN(D286*Constantes!$D$17,0.8*(H285+Observaciones!$F285-F286-G286-Constantes!$D$14))</f>
        <v>1.1636979024842732E-8</v>
      </c>
      <c r="F286" s="76">
        <f>IF(Observaciones!$F285&gt;0.05*Constantes!$D$18,((Observaciones!$F285-0.05*Constantes!$D$18)^2)/(Observaciones!$F285+0.95*Constantes!$D$18),0)</f>
        <v>0</v>
      </c>
      <c r="G286" s="76">
        <f>MAX(0,H285+Observaciones!$F285-F286-Constantes!$D$13)</f>
        <v>0</v>
      </c>
      <c r="H286" s="76">
        <f>H285+Observaciones!$F285-F286-E286-G286-I285</f>
        <v>11.250000002413747</v>
      </c>
      <c r="I286" s="76">
        <f>MAX(0,(H286-Constantes!$D$14)*(1-EXP(-Constantes!$D$22)))</f>
        <v>8.2221098314985545E-11</v>
      </c>
      <c r="J286" s="76">
        <f t="shared" si="12"/>
        <v>64.651246524549293</v>
      </c>
      <c r="K286" s="76">
        <f>MAX(0,(J286-Constantes!$D$13)*(1-EXP(-Constantes!$D$23)))</f>
        <v>0.15667876938823241</v>
      </c>
      <c r="L286" s="76">
        <f t="shared" si="13"/>
        <v>0.1566787694704535</v>
      </c>
      <c r="M286" s="76">
        <f>0.0526*F286*Observaciones!$F285^1.218</f>
        <v>0</v>
      </c>
      <c r="N286" s="76">
        <f>M286*Constantes!$D$51</f>
        <v>0</v>
      </c>
      <c r="O286" s="76">
        <f t="shared" si="14"/>
        <v>0</v>
      </c>
      <c r="P286" s="15"/>
      <c r="Q286" s="75">
        <v>280</v>
      </c>
      <c r="R286" s="76">
        <f>0.0526*Observaciones!$F285^2.218</f>
        <v>0</v>
      </c>
      <c r="S286" s="76">
        <f>IF(Observaciones!$F285&gt;0.05*$W$7,((Observaciones!$F285-0.05*$W$7)^2)/(Observaciones!$F285+0.95*$W$7),0)</f>
        <v>0</v>
      </c>
      <c r="T286" s="76">
        <f>0.0526*S286*Observaciones!$F285^1.218</f>
        <v>0</v>
      </c>
      <c r="U286" s="29"/>
      <c r="V286" s="29"/>
      <c r="W286" s="109"/>
      <c r="X286" s="40"/>
    </row>
    <row r="287" spans="2:24" s="2" customFormat="1">
      <c r="B287" s="39"/>
      <c r="C287" s="75">
        <v>281</v>
      </c>
      <c r="D287" s="146">
        <f>ETo!$I286*((1-Constantes!$D$19)*ETo!$K286+ETo!$L286)</f>
        <v>3.7088600703743593</v>
      </c>
      <c r="E287" s="76">
        <f>MIN(D287*Constantes!$D$17,0.8*(H286+Observaciones!$F286-F287-G287-Constantes!$D$14))</f>
        <v>1.9309979393256071E-9</v>
      </c>
      <c r="F287" s="76">
        <f>IF(Observaciones!$F286&gt;0.05*Constantes!$D$18,((Observaciones!$F286-0.05*Constantes!$D$18)^2)/(Observaciones!$F286+0.95*Constantes!$D$18),0)</f>
        <v>0</v>
      </c>
      <c r="G287" s="76">
        <f>MAX(0,H286+Observaciones!$F286-F287-Constantes!$D$13)</f>
        <v>0</v>
      </c>
      <c r="H287" s="76">
        <f>H286+Observaciones!$F286-F287-E287-G287-I286</f>
        <v>11.250000000400529</v>
      </c>
      <c r="I287" s="76">
        <f>MAX(0,(H287-Constantes!$D$14)*(1-EXP(-Constantes!$D$22)))</f>
        <v>1.3643501309494724E-11</v>
      </c>
      <c r="J287" s="76">
        <f t="shared" si="12"/>
        <v>64.494567755161057</v>
      </c>
      <c r="K287" s="76">
        <f>MAX(0,(J287-Constantes!$D$13)*(1-EXP(-Constantes!$D$23)))</f>
        <v>0.1551349761554747</v>
      </c>
      <c r="L287" s="76">
        <f t="shared" si="13"/>
        <v>0.1551349761691182</v>
      </c>
      <c r="M287" s="76">
        <f>0.0526*F287*Observaciones!$F286^1.218</f>
        <v>0</v>
      </c>
      <c r="N287" s="76">
        <f>M287*Constantes!$D$51</f>
        <v>0</v>
      </c>
      <c r="O287" s="76">
        <f t="shared" si="14"/>
        <v>0</v>
      </c>
      <c r="P287" s="15"/>
      <c r="Q287" s="75">
        <v>281</v>
      </c>
      <c r="R287" s="76">
        <f>0.0526*Observaciones!$F286^2.218</f>
        <v>0</v>
      </c>
      <c r="S287" s="76">
        <f>IF(Observaciones!$F286&gt;0.05*$W$7,((Observaciones!$F286-0.05*$W$7)^2)/(Observaciones!$F286+0.95*$W$7),0)</f>
        <v>0</v>
      </c>
      <c r="T287" s="76">
        <f>0.0526*S287*Observaciones!$F286^1.218</f>
        <v>0</v>
      </c>
      <c r="U287" s="29"/>
      <c r="V287" s="29"/>
      <c r="W287" s="109"/>
      <c r="X287" s="40"/>
    </row>
    <row r="288" spans="2:24" s="2" customFormat="1">
      <c r="B288" s="39"/>
      <c r="C288" s="75">
        <v>282</v>
      </c>
      <c r="D288" s="146">
        <f>ETo!$I287*((1-Constantes!$D$19)*ETo!$K287+ETo!$L287)</f>
        <v>4.0055986490724358</v>
      </c>
      <c r="E288" s="76">
        <f>MIN(D288*Constantes!$D$17,0.8*(H287+Observaciones!$F287-F288-G288-Constantes!$D$14))</f>
        <v>3.2042350994743178E-10</v>
      </c>
      <c r="F288" s="76">
        <f>IF(Observaciones!$F287&gt;0.05*Constantes!$D$18,((Observaciones!$F287-0.05*Constantes!$D$18)^2)/(Observaciones!$F287+0.95*Constantes!$D$18),0)</f>
        <v>0</v>
      </c>
      <c r="G288" s="76">
        <f>MAX(0,H287+Observaciones!$F287-F288-Constantes!$D$13)</f>
        <v>0</v>
      </c>
      <c r="H288" s="76">
        <f>H287+Observaciones!$F287-F288-E288-G288-I287</f>
        <v>11.250000000066462</v>
      </c>
      <c r="I288" s="76">
        <f>MAX(0,(H288-Constantes!$D$14)*(1-EXP(-Constantes!$D$22)))</f>
        <v>2.263953030871061E-12</v>
      </c>
      <c r="J288" s="76">
        <f t="shared" si="12"/>
        <v>64.339432779005577</v>
      </c>
      <c r="K288" s="76">
        <f>MAX(0,(J288-Constantes!$D$13)*(1-EXP(-Constantes!$D$23)))</f>
        <v>0.15360639428514222</v>
      </c>
      <c r="L288" s="76">
        <f t="shared" si="13"/>
        <v>0.15360639428740619</v>
      </c>
      <c r="M288" s="76">
        <f>0.0526*F288*Observaciones!$F287^1.218</f>
        <v>0</v>
      </c>
      <c r="N288" s="76">
        <f>M288*Constantes!$D$51</f>
        <v>0</v>
      </c>
      <c r="O288" s="76">
        <f t="shared" si="14"/>
        <v>0</v>
      </c>
      <c r="P288" s="15"/>
      <c r="Q288" s="75">
        <v>282</v>
      </c>
      <c r="R288" s="76">
        <f>0.0526*Observaciones!$F287^2.218</f>
        <v>0</v>
      </c>
      <c r="S288" s="76">
        <f>IF(Observaciones!$F287&gt;0.05*$W$7,((Observaciones!$F287-0.05*$W$7)^2)/(Observaciones!$F287+0.95*$W$7),0)</f>
        <v>0</v>
      </c>
      <c r="T288" s="76">
        <f>0.0526*S288*Observaciones!$F287^1.218</f>
        <v>0</v>
      </c>
      <c r="U288" s="29"/>
      <c r="V288" s="29"/>
      <c r="W288" s="109"/>
      <c r="X288" s="40"/>
    </row>
    <row r="289" spans="2:24" s="2" customFormat="1">
      <c r="B289" s="39"/>
      <c r="C289" s="75">
        <v>283</v>
      </c>
      <c r="D289" s="146">
        <f>ETo!$I288*((1-Constantes!$D$19)*ETo!$K288+ETo!$L288)</f>
        <v>3.9467756418910867</v>
      </c>
      <c r="E289" s="76">
        <f>MIN(D289*Constantes!$D$17,0.8*(H288+Observaciones!$F288-F289-G289-Constantes!$D$14))</f>
        <v>2.0123975614526133</v>
      </c>
      <c r="F289" s="76">
        <f>IF(Observaciones!$F288&gt;0.05*Constantes!$D$18,((Observaciones!$F288-0.05*Constantes!$D$18)^2)/(Observaciones!$F288+0.95*Constantes!$D$18),0)</f>
        <v>0</v>
      </c>
      <c r="G289" s="76">
        <f>MAX(0,H288+Observaciones!$F288-F289-Constantes!$D$13)</f>
        <v>0</v>
      </c>
      <c r="H289" s="76">
        <f>H288+Observaciones!$F288-F289-E289-G289-I288</f>
        <v>12.237602438611585</v>
      </c>
      <c r="I289" s="76">
        <f>MAX(0,(H289-Constantes!$D$14)*(1-EXP(-Constantes!$D$22)))</f>
        <v>3.3641364621885404E-2</v>
      </c>
      <c r="J289" s="76">
        <f t="shared" si="12"/>
        <v>64.185826384720428</v>
      </c>
      <c r="K289" s="76">
        <f>MAX(0,(J289-Constantes!$D$13)*(1-EXP(-Constantes!$D$23)))</f>
        <v>0.15209287389605794</v>
      </c>
      <c r="L289" s="76">
        <f t="shared" si="13"/>
        <v>0.18573423851794335</v>
      </c>
      <c r="M289" s="76">
        <f>0.0526*F289*Observaciones!$F288^1.218</f>
        <v>0</v>
      </c>
      <c r="N289" s="76">
        <f>M289*Constantes!$D$51</f>
        <v>0</v>
      </c>
      <c r="O289" s="76">
        <f t="shared" si="14"/>
        <v>0</v>
      </c>
      <c r="P289" s="15"/>
      <c r="Q289" s="75">
        <v>283</v>
      </c>
      <c r="R289" s="76">
        <f>0.0526*Observaciones!$F288^2.218</f>
        <v>0.6015070018585239</v>
      </c>
      <c r="S289" s="76">
        <f>IF(Observaciones!$F288&gt;0.05*$W$7,((Observaciones!$F288-0.05*$W$7)^2)/(Observaciones!$F288+0.95*$W$7),0)</f>
        <v>4.4793357041742955E-2</v>
      </c>
      <c r="T289" s="76">
        <f>0.0526*S289*Observaciones!$F288^1.218</f>
        <v>8.981172632452402E-3</v>
      </c>
      <c r="U289" s="29"/>
      <c r="V289" s="29"/>
      <c r="W289" s="109"/>
      <c r="X289" s="40"/>
    </row>
    <row r="290" spans="2:24" s="2" customFormat="1">
      <c r="B290" s="39"/>
      <c r="C290" s="75">
        <v>284</v>
      </c>
      <c r="D290" s="146">
        <f>ETo!$I289*((1-Constantes!$D$19)*ETo!$K289+ETo!$L289)</f>
        <v>4.0320157048950671</v>
      </c>
      <c r="E290" s="76">
        <f>MIN(D290*Constantes!$D$17,0.8*(H289+Observaciones!$F289-F290-G290-Constantes!$D$14))</f>
        <v>1.0300819508892687</v>
      </c>
      <c r="F290" s="76">
        <f>IF(Observaciones!$F289&gt;0.05*Constantes!$D$18,((Observaciones!$F289-0.05*Constantes!$D$18)^2)/(Observaciones!$F289+0.95*Constantes!$D$18),0)</f>
        <v>0</v>
      </c>
      <c r="G290" s="76">
        <f>MAX(0,H289+Observaciones!$F289-F290-Constantes!$D$13)</f>
        <v>0</v>
      </c>
      <c r="H290" s="76">
        <f>H289+Observaciones!$F289-F290-E290-G290-I289</f>
        <v>11.473879123100431</v>
      </c>
      <c r="I290" s="76">
        <f>MAX(0,(H290-Constantes!$D$14)*(1-EXP(-Constantes!$D$22)))</f>
        <v>7.6261448098870945E-3</v>
      </c>
      <c r="J290" s="76">
        <f t="shared" si="12"/>
        <v>64.033733510824376</v>
      </c>
      <c r="K290" s="76">
        <f>MAX(0,(J290-Constantes!$D$13)*(1-EXP(-Constantes!$D$23)))</f>
        <v>0.15059426658385991</v>
      </c>
      <c r="L290" s="76">
        <f t="shared" si="13"/>
        <v>0.15822041139374701</v>
      </c>
      <c r="M290" s="76">
        <f>0.0526*F290*Observaciones!$F289^1.218</f>
        <v>0</v>
      </c>
      <c r="N290" s="76">
        <f>M290*Constantes!$D$51</f>
        <v>0</v>
      </c>
      <c r="O290" s="76">
        <f t="shared" si="14"/>
        <v>0</v>
      </c>
      <c r="P290" s="15"/>
      <c r="Q290" s="75">
        <v>284</v>
      </c>
      <c r="R290" s="76">
        <f>0.0526*Observaciones!$F289^2.218</f>
        <v>3.6411677467564265E-3</v>
      </c>
      <c r="S290" s="76">
        <f>IF(Observaciones!$F289&gt;0.05*$W$7,((Observaciones!$F289-0.05*$W$7)^2)/(Observaciones!$F289+0.95*$W$7),0)</f>
        <v>0</v>
      </c>
      <c r="T290" s="76">
        <f>0.0526*S290*Observaciones!$F289^1.218</f>
        <v>0</v>
      </c>
      <c r="U290" s="29"/>
      <c r="V290" s="29"/>
      <c r="W290" s="109"/>
      <c r="X290" s="40"/>
    </row>
    <row r="291" spans="2:24" s="2" customFormat="1">
      <c r="B291" s="39"/>
      <c r="C291" s="75">
        <v>285</v>
      </c>
      <c r="D291" s="146">
        <f>ETo!$I290*((1-Constantes!$D$19)*ETo!$K290+ETo!$L290)</f>
        <v>4.0704200670470048</v>
      </c>
      <c r="E291" s="76">
        <f>MIN(D291*Constantes!$D$17,0.8*(H290+Observaciones!$F290-F291-G291-Constantes!$D$14))</f>
        <v>2.0754418695784631</v>
      </c>
      <c r="F291" s="76">
        <f>IF(Observaciones!$F290&gt;0.05*Constantes!$D$18,((Observaciones!$F290-0.05*Constantes!$D$18)^2)/(Observaciones!$F290+0.95*Constantes!$D$18),0)</f>
        <v>9.3304447328806397E-2</v>
      </c>
      <c r="G291" s="76">
        <f>MAX(0,H290+Observaciones!$F290-F291-Constantes!$D$13)</f>
        <v>0</v>
      </c>
      <c r="H291" s="76">
        <f>H290+Observaciones!$F290-F291-E291-G291-I290</f>
        <v>15.597506661383278</v>
      </c>
      <c r="I291" s="76">
        <f>MAX(0,(H291-Constantes!$D$14)*(1-EXP(-Constantes!$D$22)))</f>
        <v>0.14809203691040265</v>
      </c>
      <c r="J291" s="76">
        <f t="shared" si="12"/>
        <v>63.883139244240517</v>
      </c>
      <c r="K291" s="76">
        <f>MAX(0,(J291-Constantes!$D$13)*(1-EXP(-Constantes!$D$23)))</f>
        <v>0.14911042540644939</v>
      </c>
      <c r="L291" s="76">
        <f t="shared" si="13"/>
        <v>0.39050690964565848</v>
      </c>
      <c r="M291" s="76">
        <f>0.0526*F291*Observaciones!$F290^1.218</f>
        <v>4.6183291089063667E-2</v>
      </c>
      <c r="N291" s="76">
        <f>M291*Constantes!$D$51</f>
        <v>6.493322917720003E-4</v>
      </c>
      <c r="O291" s="76">
        <f t="shared" si="14"/>
        <v>166.2793348166866</v>
      </c>
      <c r="P291" s="15"/>
      <c r="Q291" s="75">
        <v>285</v>
      </c>
      <c r="R291" s="76">
        <f>0.0526*Observaciones!$F290^2.218</f>
        <v>3.1183372517686312</v>
      </c>
      <c r="S291" s="76">
        <f>IF(Observaciones!$F290&gt;0.05*$W$7,((Observaciones!$F290-0.05*$W$7)^2)/(Observaciones!$F290+0.95*$W$7),0)</f>
        <v>0.53229249011857738</v>
      </c>
      <c r="T291" s="76">
        <f>0.0526*S291*Observaciones!$F290^1.218</f>
        <v>0.26347103186880089</v>
      </c>
      <c r="U291" s="29"/>
      <c r="V291" s="29"/>
      <c r="W291" s="109"/>
      <c r="X291" s="40"/>
    </row>
    <row r="292" spans="2:24" s="2" customFormat="1">
      <c r="B292" s="39"/>
      <c r="C292" s="75">
        <v>286</v>
      </c>
      <c r="D292" s="146">
        <f>ETo!$I291*((1-Constantes!$D$19)*ETo!$K291+ETo!$L291)</f>
        <v>3.8781490920878836</v>
      </c>
      <c r="E292" s="76">
        <f>MIN(D292*Constantes!$D$17,0.8*(H291+Observaciones!$F291-F292-G292-Constantes!$D$14))</f>
        <v>1.9774059850353889</v>
      </c>
      <c r="F292" s="76">
        <f>IF(Observaciones!$F291&gt;0.05*Constantes!$D$18,((Observaciones!$F291-0.05*Constantes!$D$18)^2)/(Observaciones!$F291+0.95*Constantes!$D$18),0)</f>
        <v>0</v>
      </c>
      <c r="G292" s="76">
        <f>MAX(0,H291+Observaciones!$F291-F292-Constantes!$D$13)</f>
        <v>0</v>
      </c>
      <c r="H292" s="76">
        <f>H291+Observaciones!$F291-F292-E292-G292-I291</f>
        <v>16.772008639437487</v>
      </c>
      <c r="I292" s="76">
        <f>MAX(0,(H292-Constantes!$D$14)*(1-EXP(-Constantes!$D$22)))</f>
        <v>0.18809988596795946</v>
      </c>
      <c r="J292" s="76">
        <f t="shared" si="12"/>
        <v>63.734028818834069</v>
      </c>
      <c r="K292" s="76">
        <f>MAX(0,(J292-Constantes!$D$13)*(1-EXP(-Constantes!$D$23)))</f>
        <v>0.14764120486958329</v>
      </c>
      <c r="L292" s="76">
        <f t="shared" si="13"/>
        <v>0.33574109083754278</v>
      </c>
      <c r="M292" s="76">
        <f>0.0526*F292*Observaciones!$F291^1.218</f>
        <v>0</v>
      </c>
      <c r="N292" s="76">
        <f>M292*Constantes!$D$51</f>
        <v>0</v>
      </c>
      <c r="O292" s="76">
        <f t="shared" si="14"/>
        <v>0</v>
      </c>
      <c r="P292" s="15"/>
      <c r="Q292" s="75">
        <v>286</v>
      </c>
      <c r="R292" s="76">
        <f>0.0526*Observaciones!$F291^2.218</f>
        <v>0.74310410909583668</v>
      </c>
      <c r="S292" s="76">
        <f>IF(Observaciones!$F291&gt;0.05*$W$7,((Observaciones!$F291-0.05*$W$7)^2)/(Observaciones!$F291+0.95*$W$7),0)</f>
        <v>6.7925012840267113E-2</v>
      </c>
      <c r="T292" s="76">
        <f>0.0526*S292*Observaciones!$F291^1.218</f>
        <v>1.529556247029999E-2</v>
      </c>
      <c r="U292" s="29"/>
      <c r="V292" s="29"/>
      <c r="W292" s="109"/>
      <c r="X292" s="40"/>
    </row>
    <row r="293" spans="2:24" s="2" customFormat="1">
      <c r="B293" s="39"/>
      <c r="C293" s="75">
        <v>287</v>
      </c>
      <c r="D293" s="146">
        <f>ETo!$I292*((1-Constantes!$D$19)*ETo!$K292+ETo!$L292)</f>
        <v>4.0312374427179289</v>
      </c>
      <c r="E293" s="76">
        <f>MIN(D293*Constantes!$D$17,0.8*(H292+Observaciones!$F292-F293-G293-Constantes!$D$14))</f>
        <v>2.0554632782407083</v>
      </c>
      <c r="F293" s="76">
        <f>IF(Observaciones!$F292&gt;0.05*Constantes!$D$18,((Observaciones!$F292-0.05*Constantes!$D$18)^2)/(Observaciones!$F292+0.95*Constantes!$D$18),0)</f>
        <v>2.9969584322462981</v>
      </c>
      <c r="G293" s="76">
        <f>MAX(0,H292+Observaciones!$F292-F293-Constantes!$D$13)</f>
        <v>0</v>
      </c>
      <c r="H293" s="76">
        <f>H292+Observaciones!$F292-F293-E293-G293-I292</f>
        <v>31.531487042982526</v>
      </c>
      <c r="I293" s="76">
        <f>MAX(0,(H293-Constantes!$D$14)*(1-EXP(-Constantes!$D$22)))</f>
        <v>0.69086190354716259</v>
      </c>
      <c r="J293" s="76">
        <f t="shared" si="12"/>
        <v>63.586387613964483</v>
      </c>
      <c r="K293" s="76">
        <f>MAX(0,(J293-Constantes!$D$13)*(1-EXP(-Constantes!$D$23)))</f>
        <v>0.14618646091260801</v>
      </c>
      <c r="L293" s="76">
        <f t="shared" si="13"/>
        <v>3.8340067967060687</v>
      </c>
      <c r="M293" s="76">
        <f>0.0526*F293*Observaciones!$F292^1.218</f>
        <v>6.0578846313100811</v>
      </c>
      <c r="N293" s="76">
        <f>M293*Constantes!$D$51</f>
        <v>8.5173230797976562E-2</v>
      </c>
      <c r="O293" s="76">
        <f t="shared" si="14"/>
        <v>2221.5200784503536</v>
      </c>
      <c r="P293" s="15"/>
      <c r="Q293" s="75">
        <v>287</v>
      </c>
      <c r="R293" s="76">
        <f>0.0526*Observaciones!$F292^2.218</f>
        <v>40.42688457823914</v>
      </c>
      <c r="S293" s="76">
        <f>IF(Observaciones!$F292&gt;0.05*$W$7,((Observaciones!$F292-0.05*$W$7)^2)/(Observaciones!$F292+0.95*$W$7),0)</f>
        <v>6.3080868397003833</v>
      </c>
      <c r="T293" s="76">
        <f>0.0526*S293*Observaciones!$F292^1.218</f>
        <v>12.750814928903834</v>
      </c>
      <c r="U293" s="29"/>
      <c r="V293" s="29"/>
      <c r="W293" s="109"/>
      <c r="X293" s="40"/>
    </row>
    <row r="294" spans="2:24" s="2" customFormat="1">
      <c r="B294" s="39"/>
      <c r="C294" s="75">
        <v>288</v>
      </c>
      <c r="D294" s="146">
        <f>ETo!$I293*((1-Constantes!$D$19)*ETo!$K293+ETo!$L293)</f>
        <v>4.1117983544047689</v>
      </c>
      <c r="E294" s="76">
        <f>MIN(D294*Constantes!$D$17,0.8*(H293+Observaciones!$F293-F294-G294-Constantes!$D$14))</f>
        <v>2.0965399942582716</v>
      </c>
      <c r="F294" s="76">
        <f>IF(Observaciones!$F293&gt;0.05*Constantes!$D$18,((Observaciones!$F293-0.05*Constantes!$D$18)^2)/(Observaciones!$F293+0.95*Constantes!$D$18),0)</f>
        <v>4.1947387033443037E-3</v>
      </c>
      <c r="G294" s="76">
        <f>MAX(0,H293+Observaciones!$F293-F294-Constantes!$D$13)</f>
        <v>0</v>
      </c>
      <c r="H294" s="76">
        <f>H293+Observaciones!$F293-F294-E294-G294-I293</f>
        <v>32.939890406473744</v>
      </c>
      <c r="I294" s="76">
        <f>MAX(0,(H294-Constantes!$D$14)*(1-EXP(-Constantes!$D$22)))</f>
        <v>0.73883729246226859</v>
      </c>
      <c r="J294" s="76">
        <f t="shared" si="12"/>
        <v>63.440201153051873</v>
      </c>
      <c r="K294" s="76">
        <f>MAX(0,(J294-Constantes!$D$13)*(1-EXP(-Constantes!$D$23)))</f>
        <v>0.14474605089433379</v>
      </c>
      <c r="L294" s="76">
        <f t="shared" si="13"/>
        <v>0.88777808205994668</v>
      </c>
      <c r="M294" s="76">
        <f>0.0526*F294*Observaciones!$F293^1.218</f>
        <v>1.2670924203305777E-3</v>
      </c>
      <c r="N294" s="76">
        <f>M294*Constantes!$D$51</f>
        <v>1.7815188259180114E-5</v>
      </c>
      <c r="O294" s="76">
        <f t="shared" si="14"/>
        <v>2.0067163877083818</v>
      </c>
      <c r="P294" s="15"/>
      <c r="Q294" s="75">
        <v>288</v>
      </c>
      <c r="R294" s="76">
        <f>0.0526*Observaciones!$F293^2.218</f>
        <v>1.2686816847842202</v>
      </c>
      <c r="S294" s="76">
        <f>IF(Observaciones!$F293&gt;0.05*$W$7,((Observaciones!$F293-0.05*$W$7)^2)/(Observaciones!$F293+0.95*$W$7),0)</f>
        <v>0.16418262002606004</v>
      </c>
      <c r="T294" s="76">
        <f>0.0526*S294*Observaciones!$F293^1.218</f>
        <v>4.9594162615940303E-2</v>
      </c>
      <c r="U294" s="29"/>
      <c r="V294" s="29"/>
      <c r="W294" s="109"/>
      <c r="X294" s="40"/>
    </row>
    <row r="295" spans="2:24" s="2" customFormat="1">
      <c r="B295" s="39"/>
      <c r="C295" s="75">
        <v>289</v>
      </c>
      <c r="D295" s="146">
        <f>ETo!$I294*((1-Constantes!$D$19)*ETo!$K294+ETo!$L294)</f>
        <v>4.1923952266934394</v>
      </c>
      <c r="E295" s="76">
        <f>MIN(D295*Constantes!$D$17,0.8*(H294+Observaciones!$F294-F295-G295-Constantes!$D$14))</f>
        <v>2.1376350460096081</v>
      </c>
      <c r="F295" s="76">
        <f>IF(Observaciones!$F294&gt;0.05*Constantes!$D$18,((Observaciones!$F294-0.05*Constantes!$D$18)^2)/(Observaciones!$F294+0.95*Constantes!$D$18),0)</f>
        <v>0.97972122025653396</v>
      </c>
      <c r="G295" s="76">
        <f>MAX(0,H294+Observaciones!$F294-F295-Constantes!$D$13)</f>
        <v>0</v>
      </c>
      <c r="H295" s="76">
        <f>H294+Observaciones!$F294-F295-E295-G295-I294</f>
        <v>41.683696847745331</v>
      </c>
      <c r="I295" s="76">
        <f>MAX(0,(H295-Constantes!$D$14)*(1-EXP(-Constantes!$D$22)))</f>
        <v>1.0366834390225603</v>
      </c>
      <c r="J295" s="76">
        <f t="shared" si="12"/>
        <v>63.29545510215754</v>
      </c>
      <c r="K295" s="76">
        <f>MAX(0,(J295-Constantes!$D$13)*(1-EXP(-Constantes!$D$23)))</f>
        <v>0.14331983357904859</v>
      </c>
      <c r="L295" s="76">
        <f t="shared" si="13"/>
        <v>2.1597244928581425</v>
      </c>
      <c r="M295" s="76">
        <f>0.0526*F295*Observaciones!$F294^1.218</f>
        <v>1.128079177294173</v>
      </c>
      <c r="N295" s="76">
        <f>M295*Constantes!$D$51</f>
        <v>1.5860676452877469E-2</v>
      </c>
      <c r="O295" s="76">
        <f t="shared" si="14"/>
        <v>734.38424694104015</v>
      </c>
      <c r="P295" s="15"/>
      <c r="Q295" s="75">
        <v>289</v>
      </c>
      <c r="R295" s="76">
        <f>0.0526*Observaciones!$F294^2.218</f>
        <v>14.508002215349354</v>
      </c>
      <c r="S295" s="76">
        <f>IF(Observaciones!$F294&gt;0.05*$W$7,((Observaciones!$F294-0.05*$W$7)^2)/(Observaciones!$F294+0.95*$W$7),0)</f>
        <v>2.5957269730569106</v>
      </c>
      <c r="T295" s="76">
        <f>0.0526*S295*Observaciones!$F294^1.218</f>
        <v>2.9887946567898225</v>
      </c>
      <c r="U295" s="29"/>
      <c r="V295" s="29"/>
      <c r="W295" s="109"/>
      <c r="X295" s="40"/>
    </row>
    <row r="296" spans="2:24" s="2" customFormat="1">
      <c r="B296" s="39"/>
      <c r="C296" s="75">
        <v>290</v>
      </c>
      <c r="D296" s="146">
        <f>ETo!$I295*((1-Constantes!$D$19)*ETo!$K295+ETo!$L295)</f>
        <v>4.1998129096316292</v>
      </c>
      <c r="E296" s="76">
        <f>MIN(D296*Constantes!$D$17,0.8*(H295+Observaciones!$F295-F296-G296-Constantes!$D$14))</f>
        <v>2.1414172034998904</v>
      </c>
      <c r="F296" s="76">
        <f>IF(Observaciones!$F295&gt;0.05*Constantes!$D$18,((Observaciones!$F295-0.05*Constantes!$D$18)^2)/(Observaciones!$F295+0.95*Constantes!$D$18),0)</f>
        <v>0</v>
      </c>
      <c r="G296" s="76">
        <f>MAX(0,H295+Observaciones!$F295-F296-Constantes!$D$13)</f>
        <v>0</v>
      </c>
      <c r="H296" s="76">
        <f>H295+Observaciones!$F295-F296-E296-G296-I295</f>
        <v>38.505596205222879</v>
      </c>
      <c r="I296" s="76">
        <f>MAX(0,(H296-Constantes!$D$14)*(1-EXP(-Constantes!$D$22)))</f>
        <v>0.92842566409193861</v>
      </c>
      <c r="J296" s="76">
        <f t="shared" si="12"/>
        <v>63.15213526857849</v>
      </c>
      <c r="K296" s="76">
        <f>MAX(0,(J296-Constantes!$D$13)*(1-EXP(-Constantes!$D$23)))</f>
        <v>0.14190766912266942</v>
      </c>
      <c r="L296" s="76">
        <f t="shared" si="13"/>
        <v>1.0703333332146081</v>
      </c>
      <c r="M296" s="76">
        <f>0.0526*F296*Observaciones!$F295^1.218</f>
        <v>0</v>
      </c>
      <c r="N296" s="76">
        <f>M296*Constantes!$D$51</f>
        <v>0</v>
      </c>
      <c r="O296" s="76">
        <f t="shared" si="14"/>
        <v>0</v>
      </c>
      <c r="P296" s="15"/>
      <c r="Q296" s="75">
        <v>290</v>
      </c>
      <c r="R296" s="76">
        <f>0.0526*Observaciones!$F295^2.218</f>
        <v>0</v>
      </c>
      <c r="S296" s="76">
        <f>IF(Observaciones!$F295&gt;0.05*$W$7,((Observaciones!$F295-0.05*$W$7)^2)/(Observaciones!$F295+0.95*$W$7),0)</f>
        <v>0</v>
      </c>
      <c r="T296" s="76">
        <f>0.0526*S296*Observaciones!$F295^1.218</f>
        <v>0</v>
      </c>
      <c r="U296" s="29"/>
      <c r="V296" s="29"/>
      <c r="W296" s="109"/>
      <c r="X296" s="40"/>
    </row>
    <row r="297" spans="2:24" s="2" customFormat="1">
      <c r="B297" s="39"/>
      <c r="C297" s="75">
        <v>291</v>
      </c>
      <c r="D297" s="146">
        <f>ETo!$I296*((1-Constantes!$D$19)*ETo!$K296+ETo!$L296)</f>
        <v>4.0906692763937986</v>
      </c>
      <c r="E297" s="76">
        <f>MIN(D297*Constantes!$D$17,0.8*(H296+Observaciones!$F296-F297-G297-Constantes!$D$14))</f>
        <v>2.0857666164625566</v>
      </c>
      <c r="F297" s="76">
        <f>IF(Observaciones!$F296&gt;0.05*Constantes!$D$18,((Observaciones!$F296-0.05*Constantes!$D$18)^2)/(Observaciones!$F296+0.95*Constantes!$D$18),0)</f>
        <v>0</v>
      </c>
      <c r="G297" s="76">
        <f>MAX(0,H296+Observaciones!$F296-F297-Constantes!$D$13)</f>
        <v>0</v>
      </c>
      <c r="H297" s="76">
        <f>H296+Observaciones!$F296-F297-E297-G297-I296</f>
        <v>35.491403924668383</v>
      </c>
      <c r="I297" s="76">
        <f>MAX(0,(H297-Constantes!$D$14)*(1-EXP(-Constantes!$D$22)))</f>
        <v>0.82575120968986071</v>
      </c>
      <c r="J297" s="76">
        <f t="shared" si="12"/>
        <v>63.010227599455824</v>
      </c>
      <c r="K297" s="76">
        <f>MAX(0,(J297-Constantes!$D$13)*(1-EXP(-Constantes!$D$23)))</f>
        <v>0.14050941905903033</v>
      </c>
      <c r="L297" s="76">
        <f t="shared" si="13"/>
        <v>0.96626062874889107</v>
      </c>
      <c r="M297" s="76">
        <f>0.0526*F297*Observaciones!$F296^1.218</f>
        <v>0</v>
      </c>
      <c r="N297" s="76">
        <f>M297*Constantes!$D$51</f>
        <v>0</v>
      </c>
      <c r="O297" s="76">
        <f t="shared" si="14"/>
        <v>0</v>
      </c>
      <c r="P297" s="15"/>
      <c r="Q297" s="75">
        <v>291</v>
      </c>
      <c r="R297" s="76">
        <f>0.0526*Observaciones!$F296^2.218</f>
        <v>0</v>
      </c>
      <c r="S297" s="76">
        <f>IF(Observaciones!$F296&gt;0.05*$W$7,((Observaciones!$F296-0.05*$W$7)^2)/(Observaciones!$F296+0.95*$W$7),0)</f>
        <v>0</v>
      </c>
      <c r="T297" s="76">
        <f>0.0526*S297*Observaciones!$F296^1.218</f>
        <v>0</v>
      </c>
      <c r="U297" s="29"/>
      <c r="V297" s="29"/>
      <c r="W297" s="109"/>
      <c r="X297" s="40"/>
    </row>
    <row r="298" spans="2:24" s="2" customFormat="1">
      <c r="B298" s="39"/>
      <c r="C298" s="75">
        <v>292</v>
      </c>
      <c r="D298" s="146">
        <f>ETo!$I297*((1-Constantes!$D$19)*ETo!$K297+ETo!$L297)</f>
        <v>4.1232627450985131</v>
      </c>
      <c r="E298" s="76">
        <f>MIN(D298*Constantes!$D$17,0.8*(H297+Observaciones!$F297-F298-G298-Constantes!$D$14))</f>
        <v>2.1023855030910403</v>
      </c>
      <c r="F298" s="76">
        <f>IF(Observaciones!$F297&gt;0.05*Constantes!$D$18,((Observaciones!$F297-0.05*Constantes!$D$18)^2)/(Observaciones!$F297+0.95*Constantes!$D$18),0)</f>
        <v>0.29117614288546745</v>
      </c>
      <c r="G298" s="76">
        <f>MAX(0,H297+Observaciones!$F297-F298-Constantes!$D$13)</f>
        <v>0</v>
      </c>
      <c r="H298" s="76">
        <f>H297+Observaciones!$F297-F298-E298-G298-I297</f>
        <v>40.672091069002008</v>
      </c>
      <c r="I298" s="76">
        <f>MAX(0,(H298-Constantes!$D$14)*(1-EXP(-Constantes!$D$22)))</f>
        <v>1.0022244325177223</v>
      </c>
      <c r="J298" s="76">
        <f t="shared" si="12"/>
        <v>62.869718180396795</v>
      </c>
      <c r="K298" s="76">
        <f>MAX(0,(J298-Constantes!$D$13)*(1-EXP(-Constantes!$D$23)))</f>
        <v>0.13912494628630548</v>
      </c>
      <c r="L298" s="76">
        <f t="shared" si="13"/>
        <v>1.4325255216894952</v>
      </c>
      <c r="M298" s="76">
        <f>0.0526*F298*Observaciones!$F297^1.218</f>
        <v>0.20460380376018719</v>
      </c>
      <c r="N298" s="76">
        <f>M298*Constantes!$D$51</f>
        <v>2.8767083000789347E-3</v>
      </c>
      <c r="O298" s="76">
        <f t="shared" si="14"/>
        <v>200.81375560319483</v>
      </c>
      <c r="P298" s="15"/>
      <c r="Q298" s="75">
        <v>292</v>
      </c>
      <c r="R298" s="76">
        <f>0.0526*Observaciones!$F297^2.218</f>
        <v>5.9025163756688794</v>
      </c>
      <c r="S298" s="76">
        <f>IF(Observaciones!$F297&gt;0.05*$W$7,((Observaciones!$F297-0.05*$W$7)^2)/(Observaciones!$F297+0.95*$W$7),0)</f>
        <v>1.0765073981812185</v>
      </c>
      <c r="T298" s="76">
        <f>0.0526*S298*Observaciones!$F297^1.218</f>
        <v>0.75644077932063547</v>
      </c>
      <c r="U298" s="29"/>
      <c r="V298" s="29"/>
      <c r="W298" s="109"/>
      <c r="X298" s="40"/>
    </row>
    <row r="299" spans="2:24" s="2" customFormat="1">
      <c r="B299" s="39"/>
      <c r="C299" s="75">
        <v>293</v>
      </c>
      <c r="D299" s="146">
        <f>ETo!$I298*((1-Constantes!$D$19)*ETo!$K298+ETo!$L298)</f>
        <v>4.0391280505885989</v>
      </c>
      <c r="E299" s="76">
        <f>MIN(D299*Constantes!$D$17,0.8*(H298+Observaciones!$F298-F299-G299-Constantes!$D$14))</f>
        <v>2.059486572564504</v>
      </c>
      <c r="F299" s="76">
        <f>IF(Observaciones!$F298&gt;0.05*Constantes!$D$18,((Observaciones!$F298-0.05*Constantes!$D$18)^2)/(Observaciones!$F298+0.95*Constantes!$D$18),0)</f>
        <v>0</v>
      </c>
      <c r="G299" s="76">
        <f>MAX(0,H298+Observaciones!$F298-F299-Constantes!$D$13)</f>
        <v>0</v>
      </c>
      <c r="H299" s="76">
        <f>H298+Observaciones!$F298-F299-E299-G299-I298</f>
        <v>41.010380063919783</v>
      </c>
      <c r="I299" s="76">
        <f>MAX(0,(H299-Constantes!$D$14)*(1-EXP(-Constantes!$D$22)))</f>
        <v>1.013747797568946</v>
      </c>
      <c r="J299" s="76">
        <f t="shared" si="12"/>
        <v>62.730593234110486</v>
      </c>
      <c r="K299" s="76">
        <f>MAX(0,(J299-Constantes!$D$13)*(1-EXP(-Constantes!$D$23)))</f>
        <v>0.13775411505356597</v>
      </c>
      <c r="L299" s="76">
        <f t="shared" si="13"/>
        <v>1.1515019126225119</v>
      </c>
      <c r="M299" s="76">
        <f>0.0526*F299*Observaciones!$F298^1.218</f>
        <v>0</v>
      </c>
      <c r="N299" s="76">
        <f>M299*Constantes!$D$51</f>
        <v>0</v>
      </c>
      <c r="O299" s="76">
        <f t="shared" si="14"/>
        <v>0</v>
      </c>
      <c r="P299" s="15"/>
      <c r="Q299" s="75">
        <v>293</v>
      </c>
      <c r="R299" s="76">
        <f>0.0526*Observaciones!$F298^2.218</f>
        <v>0.79397345371627714</v>
      </c>
      <c r="S299" s="76">
        <f>IF(Observaciones!$F298&gt;0.05*$W$7,((Observaciones!$F298-0.05*$W$7)^2)/(Observaciones!$F298+0.95*$W$7),0)</f>
        <v>7.6652401060814793E-2</v>
      </c>
      <c r="T299" s="76">
        <f>0.0526*S299*Observaciones!$F298^1.218</f>
        <v>1.7899991648794227E-2</v>
      </c>
      <c r="U299" s="29"/>
      <c r="V299" s="29"/>
      <c r="W299" s="109"/>
      <c r="X299" s="40"/>
    </row>
    <row r="300" spans="2:24" s="2" customFormat="1">
      <c r="B300" s="39"/>
      <c r="C300" s="75">
        <v>294</v>
      </c>
      <c r="D300" s="146">
        <f>ETo!$I299*((1-Constantes!$D$19)*ETo!$K299+ETo!$L299)</f>
        <v>4.1273833721718969</v>
      </c>
      <c r="E300" s="76">
        <f>MIN(D300*Constantes!$D$17,0.8*(H299+Observaciones!$F299-F300-G300-Constantes!$D$14))</f>
        <v>2.1044865447074219</v>
      </c>
      <c r="F300" s="76">
        <f>IF(Observaciones!$F299&gt;0.05*Constantes!$D$18,((Observaciones!$F299-0.05*Constantes!$D$18)^2)/(Observaciones!$F299+0.95*Constantes!$D$18),0)</f>
        <v>0</v>
      </c>
      <c r="G300" s="76">
        <f>MAX(0,H299+Observaciones!$F299-F300-Constantes!$D$13)</f>
        <v>0</v>
      </c>
      <c r="H300" s="76">
        <f>H299+Observaciones!$F299-F300-E300-G300-I299</f>
        <v>37.892145721643416</v>
      </c>
      <c r="I300" s="76">
        <f>MAX(0,(H300-Constantes!$D$14)*(1-EXP(-Constantes!$D$22)))</f>
        <v>0.90752928859839344</v>
      </c>
      <c r="J300" s="76">
        <f t="shared" si="12"/>
        <v>62.592839119056919</v>
      </c>
      <c r="K300" s="76">
        <f>MAX(0,(J300-Constantes!$D$13)*(1-EXP(-Constantes!$D$23)))</f>
        <v>0.1363967909474692</v>
      </c>
      <c r="L300" s="76">
        <f t="shared" si="13"/>
        <v>1.0439260795458627</v>
      </c>
      <c r="M300" s="76">
        <f>0.0526*F300*Observaciones!$F299^1.218</f>
        <v>0</v>
      </c>
      <c r="N300" s="76">
        <f>M300*Constantes!$D$51</f>
        <v>0</v>
      </c>
      <c r="O300" s="76">
        <f t="shared" si="14"/>
        <v>0</v>
      </c>
      <c r="P300" s="15"/>
      <c r="Q300" s="75">
        <v>294</v>
      </c>
      <c r="R300" s="76">
        <f>0.0526*Observaciones!$F299^2.218</f>
        <v>0</v>
      </c>
      <c r="S300" s="76">
        <f>IF(Observaciones!$F299&gt;0.05*$W$7,((Observaciones!$F299-0.05*$W$7)^2)/(Observaciones!$F299+0.95*$W$7),0)</f>
        <v>0</v>
      </c>
      <c r="T300" s="76">
        <f>0.0526*S300*Observaciones!$F299^1.218</f>
        <v>0</v>
      </c>
      <c r="U300" s="29"/>
      <c r="V300" s="29"/>
      <c r="W300" s="109"/>
      <c r="X300" s="40"/>
    </row>
    <row r="301" spans="2:24" s="2" customFormat="1">
      <c r="B301" s="39"/>
      <c r="C301" s="75">
        <v>295</v>
      </c>
      <c r="D301" s="146">
        <f>ETo!$I300*((1-Constantes!$D$19)*ETo!$K300+ETo!$L300)</f>
        <v>4.1680149142272098</v>
      </c>
      <c r="E301" s="76">
        <f>MIN(D301*Constantes!$D$17,0.8*(H300+Observaciones!$F300-F301-G301-Constantes!$D$14))</f>
        <v>2.1252039159413725</v>
      </c>
      <c r="F301" s="76">
        <f>IF(Observaciones!$F300&gt;0.05*Constantes!$D$18,((Observaciones!$F300-0.05*Constantes!$D$18)^2)/(Observaciones!$F300+0.95*Constantes!$D$18),0)</f>
        <v>0</v>
      </c>
      <c r="G301" s="76">
        <f>MAX(0,H300+Observaciones!$F300-F301-Constantes!$D$13)</f>
        <v>0</v>
      </c>
      <c r="H301" s="76">
        <f>H300+Observaciones!$F300-F301-E301-G301-I300</f>
        <v>37.35941251710365</v>
      </c>
      <c r="I301" s="76">
        <f>MAX(0,(H301-Constantes!$D$14)*(1-EXP(-Constantes!$D$22)))</f>
        <v>0.88938243994813782</v>
      </c>
      <c r="J301" s="76">
        <f t="shared" si="12"/>
        <v>62.456442328109446</v>
      </c>
      <c r="K301" s="76">
        <f>MAX(0,(J301-Constantes!$D$13)*(1-EXP(-Constantes!$D$23)))</f>
        <v>0.13505284087907923</v>
      </c>
      <c r="L301" s="76">
        <f t="shared" si="13"/>
        <v>1.024435280827217</v>
      </c>
      <c r="M301" s="76">
        <f>0.0526*F301*Observaciones!$F300^1.218</f>
        <v>0</v>
      </c>
      <c r="N301" s="76">
        <f>M301*Constantes!$D$51</f>
        <v>0</v>
      </c>
      <c r="O301" s="76">
        <f t="shared" si="14"/>
        <v>0</v>
      </c>
      <c r="P301" s="15"/>
      <c r="Q301" s="75">
        <v>295</v>
      </c>
      <c r="R301" s="76">
        <f>0.0526*Observaciones!$F300^2.218</f>
        <v>0.40143633905347276</v>
      </c>
      <c r="S301" s="76">
        <f>IF(Observaciones!$F300&gt;0.05*$W$7,((Observaciones!$F300-0.05*$W$7)^2)/(Observaciones!$F300+0.95*$W$7),0)</f>
        <v>1.6667444764761515E-2</v>
      </c>
      <c r="T301" s="76">
        <f>0.0526*S301*Observaciones!$F300^1.218</f>
        <v>2.6763672030967324E-3</v>
      </c>
      <c r="U301" s="29"/>
      <c r="V301" s="29"/>
      <c r="W301" s="109"/>
      <c r="X301" s="40"/>
    </row>
    <row r="302" spans="2:24" s="2" customFormat="1">
      <c r="B302" s="39"/>
      <c r="C302" s="75">
        <v>296</v>
      </c>
      <c r="D302" s="146">
        <f>ETo!$I301*((1-Constantes!$D$19)*ETo!$K301+ETo!$L301)</f>
        <v>4.2215087510305596</v>
      </c>
      <c r="E302" s="76">
        <f>MIN(D302*Constantes!$D$17,0.8*(H301+Observaciones!$F301-F302-G302-Constantes!$D$14))</f>
        <v>2.1524795648516366</v>
      </c>
      <c r="F302" s="76">
        <f>IF(Observaciones!$F301&gt;0.05*Constantes!$D$18,((Observaciones!$F301-0.05*Constantes!$D$18)^2)/(Observaciones!$F301+0.95*Constantes!$D$18),0)</f>
        <v>0</v>
      </c>
      <c r="G302" s="76">
        <f>MAX(0,H301+Observaciones!$F301-F302-Constantes!$D$13)</f>
        <v>0</v>
      </c>
      <c r="H302" s="76">
        <f>H301+Observaciones!$F301-F302-E302-G302-I301</f>
        <v>37.517550512303877</v>
      </c>
      <c r="I302" s="76">
        <f>MAX(0,(H302-Constantes!$D$14)*(1-EXP(-Constantes!$D$22)))</f>
        <v>0.89476920060112275</v>
      </c>
      <c r="J302" s="76">
        <f t="shared" si="12"/>
        <v>62.32138948723037</v>
      </c>
      <c r="K302" s="76">
        <f>MAX(0,(J302-Constantes!$D$13)*(1-EXP(-Constantes!$D$23)))</f>
        <v>0.13372213307081712</v>
      </c>
      <c r="L302" s="76">
        <f t="shared" si="13"/>
        <v>1.0284913336719399</v>
      </c>
      <c r="M302" s="76">
        <f>0.0526*F302*Observaciones!$F301^1.218</f>
        <v>0</v>
      </c>
      <c r="N302" s="76">
        <f>M302*Constantes!$D$51</f>
        <v>0</v>
      </c>
      <c r="O302" s="76">
        <f t="shared" si="14"/>
        <v>0</v>
      </c>
      <c r="P302" s="15"/>
      <c r="Q302" s="75">
        <v>296</v>
      </c>
      <c r="R302" s="76">
        <f>0.0526*Observaciones!$F301^2.218</f>
        <v>0.69407818724181081</v>
      </c>
      <c r="S302" s="76">
        <f>IF(Observaciones!$F301&gt;0.05*$W$7,((Observaciones!$F301-0.05*$W$7)^2)/(Observaciones!$F301+0.95*$W$7),0)</f>
        <v>5.9703226397170815E-2</v>
      </c>
      <c r="T302" s="76">
        <f>0.0526*S302*Observaciones!$F301^1.218</f>
        <v>1.2949595984448673E-2</v>
      </c>
      <c r="U302" s="29"/>
      <c r="V302" s="29"/>
      <c r="W302" s="109"/>
      <c r="X302" s="40"/>
    </row>
    <row r="303" spans="2:24" s="2" customFormat="1">
      <c r="B303" s="39"/>
      <c r="C303" s="75">
        <v>297</v>
      </c>
      <c r="D303" s="146">
        <f>ETo!$I302*((1-Constantes!$D$19)*ETo!$K302+ETo!$L302)</f>
        <v>3.9407586027658663</v>
      </c>
      <c r="E303" s="76">
        <f>MIN(D303*Constantes!$D$17,0.8*(H302+Observaciones!$F302-F303-G303-Constantes!$D$14))</f>
        <v>2.0093295697648577</v>
      </c>
      <c r="F303" s="76">
        <f>IF(Observaciones!$F302&gt;0.05*Constantes!$D$18,((Observaciones!$F302-0.05*Constantes!$D$18)^2)/(Observaciones!$F302+0.95*Constantes!$D$18),0)</f>
        <v>0</v>
      </c>
      <c r="G303" s="76">
        <f>MAX(0,H302+Observaciones!$F302-F303-Constantes!$D$13)</f>
        <v>0</v>
      </c>
      <c r="H303" s="76">
        <f>H302+Observaciones!$F302-F303-E303-G303-I302</f>
        <v>36.413451741937891</v>
      </c>
      <c r="I303" s="76">
        <f>MAX(0,(H303-Constantes!$D$14)*(1-EXP(-Constantes!$D$22)))</f>
        <v>0.85715954325289334</v>
      </c>
      <c r="J303" s="76">
        <f t="shared" si="12"/>
        <v>62.187667354159551</v>
      </c>
      <c r="K303" s="76">
        <f>MAX(0,(J303-Constantes!$D$13)*(1-EXP(-Constantes!$D$23)))</f>
        <v>0.13240453704353969</v>
      </c>
      <c r="L303" s="76">
        <f t="shared" si="13"/>
        <v>0.98956408029643306</v>
      </c>
      <c r="M303" s="76">
        <f>0.0526*F303*Observaciones!$F302^1.218</f>
        <v>0</v>
      </c>
      <c r="N303" s="76">
        <f>M303*Constantes!$D$51</f>
        <v>0</v>
      </c>
      <c r="O303" s="76">
        <f t="shared" si="14"/>
        <v>0</v>
      </c>
      <c r="P303" s="15"/>
      <c r="Q303" s="75">
        <v>297</v>
      </c>
      <c r="R303" s="76">
        <f>0.0526*Observaciones!$F302^2.218</f>
        <v>0.19372254258423433</v>
      </c>
      <c r="S303" s="76">
        <f>IF(Observaciones!$F302&gt;0.05*$W$7,((Observaciones!$F302-0.05*$W$7)^2)/(Observaciones!$F302+0.95*$W$7),0)</f>
        <v>1.3395249151634377E-4</v>
      </c>
      <c r="T303" s="76">
        <f>0.0526*S303*Observaciones!$F302^1.218</f>
        <v>1.441645402335511E-5</v>
      </c>
      <c r="U303" s="29"/>
      <c r="V303" s="29"/>
      <c r="W303" s="109"/>
      <c r="X303" s="40"/>
    </row>
    <row r="304" spans="2:24" s="2" customFormat="1">
      <c r="B304" s="39"/>
      <c r="C304" s="75">
        <v>298</v>
      </c>
      <c r="D304" s="146">
        <f>ETo!$I303*((1-Constantes!$D$19)*ETo!$K303+ETo!$L303)</f>
        <v>3.9588412632367103</v>
      </c>
      <c r="E304" s="76">
        <f>MIN(D304*Constantes!$D$17,0.8*(H303+Observaciones!$F303-F304-G304-Constantes!$D$14))</f>
        <v>2.0185496281461508</v>
      </c>
      <c r="F304" s="76">
        <f>IF(Observaciones!$F303&gt;0.05*Constantes!$D$18,((Observaciones!$F303-0.05*Constantes!$D$18)^2)/(Observaciones!$F303+0.95*Constantes!$D$18),0)</f>
        <v>6.1881072774216207E-2</v>
      </c>
      <c r="G304" s="76">
        <f>MAX(0,H303+Observaciones!$F303-F304-Constantes!$D$13)</f>
        <v>0</v>
      </c>
      <c r="H304" s="76">
        <f>H303+Observaciones!$F303-F304-E304-G304-I303</f>
        <v>39.27586149776463</v>
      </c>
      <c r="I304" s="76">
        <f>MAX(0,(H304-Constantes!$D$14)*(1-EXP(-Constantes!$D$22)))</f>
        <v>0.95466372765768837</v>
      </c>
      <c r="J304" s="76">
        <f t="shared" si="12"/>
        <v>62.055262817116009</v>
      </c>
      <c r="K304" s="76">
        <f>MAX(0,(J304-Constantes!$D$13)*(1-EXP(-Constantes!$D$23)))</f>
        <v>0.13109992360374592</v>
      </c>
      <c r="L304" s="76">
        <f t="shared" si="13"/>
        <v>1.1476447240356507</v>
      </c>
      <c r="M304" s="76">
        <f>0.0526*F304*Observaciones!$F303^1.218</f>
        <v>2.7694840886423985E-2</v>
      </c>
      <c r="N304" s="76">
        <f>M304*Constantes!$D$51</f>
        <v>3.8938659586564293E-4</v>
      </c>
      <c r="O304" s="76">
        <f t="shared" si="14"/>
        <v>33.929193217251004</v>
      </c>
      <c r="P304" s="15"/>
      <c r="Q304" s="75">
        <v>298</v>
      </c>
      <c r="R304" s="76">
        <f>0.0526*Observaciones!$F303^2.218</f>
        <v>2.5957868850681649</v>
      </c>
      <c r="S304" s="76">
        <f>IF(Observaciones!$F303&gt;0.05*$W$7,((Observaciones!$F303-0.05*$W$7)^2)/(Observaciones!$F303+0.95*$W$7),0)</f>
        <v>0.42760102492926944</v>
      </c>
      <c r="T304" s="76">
        <f>0.0526*S304*Observaciones!$F303^1.218</f>
        <v>0.19137260906087983</v>
      </c>
      <c r="U304" s="29"/>
      <c r="V304" s="29"/>
      <c r="W304" s="109"/>
      <c r="X304" s="40"/>
    </row>
    <row r="305" spans="2:24" s="2" customFormat="1">
      <c r="B305" s="39"/>
      <c r="C305" s="75">
        <v>299</v>
      </c>
      <c r="D305" s="146">
        <f>ETo!$I304*((1-Constantes!$D$19)*ETo!$K304+ETo!$L304)</f>
        <v>4.0897736866914771</v>
      </c>
      <c r="E305" s="76">
        <f>MIN(D305*Constantes!$D$17,0.8*(H304+Observaciones!$F304-F305-G305-Constantes!$D$14))</f>
        <v>2.0853099696458779</v>
      </c>
      <c r="F305" s="76">
        <f>IF(Observaciones!$F304&gt;0.05*Constantes!$D$18,((Observaciones!$F304-0.05*Constantes!$D$18)^2)/(Observaciones!$F304+0.95*Constantes!$D$18),0)</f>
        <v>0</v>
      </c>
      <c r="G305" s="76">
        <f>MAX(0,H304+Observaciones!$F304-F305-Constantes!$D$13)</f>
        <v>0</v>
      </c>
      <c r="H305" s="76">
        <f>H304+Observaciones!$F304-F305-E305-G305-I304</f>
        <v>37.935887800461067</v>
      </c>
      <c r="I305" s="76">
        <f>MAX(0,(H305-Constantes!$D$14)*(1-EXP(-Constantes!$D$22)))</f>
        <v>0.9090193043833813</v>
      </c>
      <c r="J305" s="76">
        <f t="shared" si="12"/>
        <v>61.924162893512261</v>
      </c>
      <c r="K305" s="76">
        <f>MAX(0,(J305-Constantes!$D$13)*(1-EXP(-Constantes!$D$23)))</f>
        <v>0.12980816483090918</v>
      </c>
      <c r="L305" s="76">
        <f t="shared" si="13"/>
        <v>1.0388274692142905</v>
      </c>
      <c r="M305" s="76">
        <f>0.0526*F305*Observaciones!$F304^1.218</f>
        <v>0</v>
      </c>
      <c r="N305" s="76">
        <f>M305*Constantes!$D$51</f>
        <v>0</v>
      </c>
      <c r="O305" s="76">
        <f t="shared" si="14"/>
        <v>0</v>
      </c>
      <c r="P305" s="15"/>
      <c r="Q305" s="75">
        <v>299</v>
      </c>
      <c r="R305" s="76">
        <f>0.0526*Observaciones!$F304^2.218</f>
        <v>0.17065595668433275</v>
      </c>
      <c r="S305" s="76">
        <f>IF(Observaciones!$F304&gt;0.05*$W$7,((Observaciones!$F304-0.05*$W$7)^2)/(Observaciones!$F304+0.95*$W$7),0)</f>
        <v>0</v>
      </c>
      <c r="T305" s="76">
        <f>0.0526*S305*Observaciones!$F304^1.218</f>
        <v>0</v>
      </c>
      <c r="U305" s="29"/>
      <c r="V305" s="29"/>
      <c r="W305" s="109"/>
      <c r="X305" s="40"/>
    </row>
    <row r="306" spans="2:24" s="2" customFormat="1">
      <c r="B306" s="39"/>
      <c r="C306" s="75">
        <v>300</v>
      </c>
      <c r="D306" s="146">
        <f>ETo!$I305*((1-Constantes!$D$19)*ETo!$K305+ETo!$L305)</f>
        <v>4.2207573967999856</v>
      </c>
      <c r="E306" s="76">
        <f>MIN(D306*Constantes!$D$17,0.8*(H305+Observaciones!$F305-F306-G306-Constantes!$D$14))</f>
        <v>2.1520964613872935</v>
      </c>
      <c r="F306" s="76">
        <f>IF(Observaciones!$F305&gt;0.05*Constantes!$D$18,((Observaciones!$F305-0.05*Constantes!$D$18)^2)/(Observaciones!$F305+0.95*Constantes!$D$18),0)</f>
        <v>0</v>
      </c>
      <c r="G306" s="76">
        <f>MAX(0,H305+Observaciones!$F305-F306-Constantes!$D$13)</f>
        <v>0</v>
      </c>
      <c r="H306" s="76">
        <f>H305+Observaciones!$F305-F306-E306-G306-I305</f>
        <v>35.174772034690392</v>
      </c>
      <c r="I306" s="76">
        <f>MAX(0,(H306-Constantes!$D$14)*(1-EXP(-Constantes!$D$22)))</f>
        <v>0.81496556513774598</v>
      </c>
      <c r="J306" s="76">
        <f t="shared" si="12"/>
        <v>61.794354728681348</v>
      </c>
      <c r="K306" s="76">
        <f>MAX(0,(J306-Constantes!$D$13)*(1-EXP(-Constantes!$D$23)))</f>
        <v>0.12852913406493413</v>
      </c>
      <c r="L306" s="76">
        <f t="shared" si="13"/>
        <v>0.94349469920268014</v>
      </c>
      <c r="M306" s="76">
        <f>0.0526*F306*Observaciones!$F305^1.218</f>
        <v>0</v>
      </c>
      <c r="N306" s="76">
        <f>M306*Constantes!$D$51</f>
        <v>0</v>
      </c>
      <c r="O306" s="76">
        <f t="shared" si="14"/>
        <v>0</v>
      </c>
      <c r="P306" s="15"/>
      <c r="Q306" s="75">
        <v>300</v>
      </c>
      <c r="R306" s="76">
        <f>0.0526*Observaciones!$F305^2.218</f>
        <v>3.6411677467564265E-3</v>
      </c>
      <c r="S306" s="76">
        <f>IF(Observaciones!$F305&gt;0.05*$W$7,((Observaciones!$F305-0.05*$W$7)^2)/(Observaciones!$F305+0.95*$W$7),0)</f>
        <v>0</v>
      </c>
      <c r="T306" s="76">
        <f>0.0526*S306*Observaciones!$F305^1.218</f>
        <v>0</v>
      </c>
      <c r="U306" s="29"/>
      <c r="V306" s="29"/>
      <c r="W306" s="109"/>
      <c r="X306" s="40"/>
    </row>
    <row r="307" spans="2:24" s="2" customFormat="1">
      <c r="B307" s="39"/>
      <c r="C307" s="75">
        <v>301</v>
      </c>
      <c r="D307" s="146">
        <f>ETo!$I306*((1-Constantes!$D$19)*ETo!$K306+ETo!$L306)</f>
        <v>4.3475602454165516</v>
      </c>
      <c r="E307" s="76">
        <f>MIN(D307*Constantes!$D$17,0.8*(H306+Observaciones!$F306-F307-G307-Constantes!$D$14))</f>
        <v>2.2167511989489541</v>
      </c>
      <c r="F307" s="76">
        <f>IF(Observaciones!$F306&gt;0.05*Constantes!$D$18,((Observaciones!$F306-0.05*Constantes!$D$18)^2)/(Observaciones!$F306+0.95*Constantes!$D$18),0)</f>
        <v>0</v>
      </c>
      <c r="G307" s="76">
        <f>MAX(0,H306+Observaciones!$F306-F307-Constantes!$D$13)</f>
        <v>0</v>
      </c>
      <c r="H307" s="76">
        <f>H306+Observaciones!$F306-F307-E307-G307-I306</f>
        <v>33.543055270603688</v>
      </c>
      <c r="I307" s="76">
        <f>MAX(0,(H307-Constantes!$D$14)*(1-EXP(-Constantes!$D$22)))</f>
        <v>0.75938330199808124</v>
      </c>
      <c r="J307" s="76">
        <f t="shared" si="12"/>
        <v>61.665825594616415</v>
      </c>
      <c r="K307" s="76">
        <f>MAX(0,(J307-Constantes!$D$13)*(1-EXP(-Constantes!$D$23)))</f>
        <v>0.12726270589373767</v>
      </c>
      <c r="L307" s="76">
        <f t="shared" si="13"/>
        <v>0.88664600789181891</v>
      </c>
      <c r="M307" s="76">
        <f>0.0526*F307*Observaciones!$F306^1.218</f>
        <v>0</v>
      </c>
      <c r="N307" s="76">
        <f>M307*Constantes!$D$51</f>
        <v>0</v>
      </c>
      <c r="O307" s="76">
        <f t="shared" si="14"/>
        <v>0</v>
      </c>
      <c r="P307" s="15"/>
      <c r="Q307" s="75">
        <v>301</v>
      </c>
      <c r="R307" s="76">
        <f>0.0526*Observaciones!$F306^2.218</f>
        <v>0.11094244358496377</v>
      </c>
      <c r="S307" s="76">
        <f>IF(Observaciones!$F306&gt;0.05*$W$7,((Observaciones!$F306-0.05*$W$7)^2)/(Observaciones!$F306+0.95*$W$7),0)</f>
        <v>0</v>
      </c>
      <c r="T307" s="76">
        <f>0.0526*S307*Observaciones!$F306^1.218</f>
        <v>0</v>
      </c>
      <c r="U307" s="29"/>
      <c r="V307" s="29"/>
      <c r="W307" s="109"/>
      <c r="X307" s="40"/>
    </row>
    <row r="308" spans="2:24" s="2" customFormat="1">
      <c r="B308" s="39"/>
      <c r="C308" s="75">
        <v>302</v>
      </c>
      <c r="D308" s="146">
        <f>ETo!$I307*((1-Constantes!$D$19)*ETo!$K307+ETo!$L307)</f>
        <v>4.3389960407886194</v>
      </c>
      <c r="E308" s="76">
        <f>MIN(D308*Constantes!$D$17,0.8*(H307+Observaciones!$F307-F308-G308-Constantes!$D$14))</f>
        <v>2.2123844484485953</v>
      </c>
      <c r="F308" s="76">
        <f>IF(Observaciones!$F307&gt;0.05*Constantes!$D$18,((Observaciones!$F307-0.05*Constantes!$D$18)^2)/(Observaciones!$F307+0.95*Constantes!$D$18),0)</f>
        <v>0</v>
      </c>
      <c r="G308" s="76">
        <f>MAX(0,H307+Observaciones!$F307-F308-Constantes!$D$13)</f>
        <v>0</v>
      </c>
      <c r="H308" s="76">
        <f>H307+Observaciones!$F307-F308-E308-G308-I307</f>
        <v>30.571287520157011</v>
      </c>
      <c r="I308" s="76">
        <f>MAX(0,(H308-Constantes!$D$14)*(1-EXP(-Constantes!$D$22)))</f>
        <v>0.65815398283511406</v>
      </c>
      <c r="J308" s="76">
        <f t="shared" si="12"/>
        <v>61.53856288872268</v>
      </c>
      <c r="K308" s="76">
        <f>MAX(0,(J308-Constantes!$D$13)*(1-EXP(-Constantes!$D$23)))</f>
        <v>0.12600875614095172</v>
      </c>
      <c r="L308" s="76">
        <f t="shared" si="13"/>
        <v>0.78416273897606581</v>
      </c>
      <c r="M308" s="76">
        <f>0.0526*F308*Observaciones!$F307^1.218</f>
        <v>0</v>
      </c>
      <c r="N308" s="76">
        <f>M308*Constantes!$D$51</f>
        <v>0</v>
      </c>
      <c r="O308" s="76">
        <f t="shared" si="14"/>
        <v>0</v>
      </c>
      <c r="P308" s="15"/>
      <c r="Q308" s="75">
        <v>302</v>
      </c>
      <c r="R308" s="76">
        <f>0.0526*Observaciones!$F307^2.218</f>
        <v>0</v>
      </c>
      <c r="S308" s="76">
        <f>IF(Observaciones!$F307&gt;0.05*$W$7,((Observaciones!$F307-0.05*$W$7)^2)/(Observaciones!$F307+0.95*$W$7),0)</f>
        <v>0</v>
      </c>
      <c r="T308" s="76">
        <f>0.0526*S308*Observaciones!$F307^1.218</f>
        <v>0</v>
      </c>
      <c r="U308" s="29"/>
      <c r="V308" s="29"/>
      <c r="W308" s="109"/>
      <c r="X308" s="40"/>
    </row>
    <row r="309" spans="2:24" s="2" customFormat="1">
      <c r="B309" s="39"/>
      <c r="C309" s="75">
        <v>303</v>
      </c>
      <c r="D309" s="146">
        <f>ETo!$I308*((1-Constantes!$D$19)*ETo!$K308+ETo!$L308)</f>
        <v>4.2166137780151312</v>
      </c>
      <c r="E309" s="76">
        <f>MIN(D309*Constantes!$D$17,0.8*(H308+Observaciones!$F308-F309-G309-Constantes!$D$14))</f>
        <v>2.1499836966662071</v>
      </c>
      <c r="F309" s="76">
        <f>IF(Observaciones!$F308&gt;0.05*Constantes!$D$18,((Observaciones!$F308-0.05*Constantes!$D$18)^2)/(Observaciones!$F308+0.95*Constantes!$D$18),0)</f>
        <v>0</v>
      </c>
      <c r="G309" s="76">
        <f>MAX(0,H308+Observaciones!$F308-F309-Constantes!$D$13)</f>
        <v>0</v>
      </c>
      <c r="H309" s="76">
        <f>H308+Observaciones!$F308-F309-E309-G309-I308</f>
        <v>30.263149840655693</v>
      </c>
      <c r="I309" s="76">
        <f>MAX(0,(H309-Constantes!$D$14)*(1-EXP(-Constantes!$D$22)))</f>
        <v>0.64765768227471987</v>
      </c>
      <c r="J309" s="76">
        <f t="shared" si="12"/>
        <v>61.412554132581725</v>
      </c>
      <c r="K309" s="76">
        <f>MAX(0,(J309-Constantes!$D$13)*(1-EXP(-Constantes!$D$23)))</f>
        <v>0.12476716185374749</v>
      </c>
      <c r="L309" s="76">
        <f t="shared" si="13"/>
        <v>0.77242484412846735</v>
      </c>
      <c r="M309" s="76">
        <f>0.0526*F309*Observaciones!$F308^1.218</f>
        <v>0</v>
      </c>
      <c r="N309" s="76">
        <f>M309*Constantes!$D$51</f>
        <v>0</v>
      </c>
      <c r="O309" s="76">
        <f t="shared" si="14"/>
        <v>0</v>
      </c>
      <c r="P309" s="15"/>
      <c r="Q309" s="75">
        <v>303</v>
      </c>
      <c r="R309" s="76">
        <f>0.0526*Observaciones!$F308^2.218</f>
        <v>0.40143633905347276</v>
      </c>
      <c r="S309" s="76">
        <f>IF(Observaciones!$F308&gt;0.05*$W$7,((Observaciones!$F308-0.05*$W$7)^2)/(Observaciones!$F308+0.95*$W$7),0)</f>
        <v>1.6667444764761515E-2</v>
      </c>
      <c r="T309" s="76">
        <f>0.0526*S309*Observaciones!$F308^1.218</f>
        <v>2.6763672030967324E-3</v>
      </c>
      <c r="U309" s="29"/>
      <c r="V309" s="29"/>
      <c r="W309" s="109"/>
      <c r="X309" s="40"/>
    </row>
    <row r="310" spans="2:24" s="2" customFormat="1">
      <c r="B310" s="39"/>
      <c r="C310" s="75">
        <v>304</v>
      </c>
      <c r="D310" s="146">
        <f>ETo!$I309*((1-Constantes!$D$19)*ETo!$K309+ETo!$L309)</f>
        <v>4.2861703884606843</v>
      </c>
      <c r="E310" s="76">
        <f>MIN(D310*Constantes!$D$17,0.8*(H309+Observaciones!$F309-F310-G310-Constantes!$D$14))</f>
        <v>2.185449496079237</v>
      </c>
      <c r="F310" s="76">
        <f>IF(Observaciones!$F309&gt;0.05*Constantes!$D$18,((Observaciones!$F309-0.05*Constantes!$D$18)^2)/(Observaciones!$F309+0.95*Constantes!$D$18),0)</f>
        <v>0</v>
      </c>
      <c r="G310" s="76">
        <f>MAX(0,H309+Observaciones!$F309-F310-Constantes!$D$13)</f>
        <v>0</v>
      </c>
      <c r="H310" s="76">
        <f>H309+Observaciones!$F309-F310-E310-G310-I309</f>
        <v>27.430042662301737</v>
      </c>
      <c r="I310" s="76">
        <f>MAX(0,(H310-Constantes!$D$14)*(1-EXP(-Constantes!$D$22)))</f>
        <v>0.55115165123061194</v>
      </c>
      <c r="J310" s="76">
        <f t="shared" si="12"/>
        <v>61.287786970727979</v>
      </c>
      <c r="K310" s="76">
        <f>MAX(0,(J310-Constantes!$D$13)*(1-EXP(-Constantes!$D$23)))</f>
        <v>0.12353780129077983</v>
      </c>
      <c r="L310" s="76">
        <f t="shared" si="13"/>
        <v>0.67468945252139179</v>
      </c>
      <c r="M310" s="76">
        <f>0.0526*F310*Observaciones!$F309^1.218</f>
        <v>0</v>
      </c>
      <c r="N310" s="76">
        <f>M310*Constantes!$D$51</f>
        <v>0</v>
      </c>
      <c r="O310" s="76">
        <f t="shared" si="14"/>
        <v>0</v>
      </c>
      <c r="P310" s="15"/>
      <c r="Q310" s="75">
        <v>304</v>
      </c>
      <c r="R310" s="76">
        <f>0.0526*Observaciones!$F309^2.218</f>
        <v>0</v>
      </c>
      <c r="S310" s="76">
        <f>IF(Observaciones!$F309&gt;0.05*$W$7,((Observaciones!$F309-0.05*$W$7)^2)/(Observaciones!$F309+0.95*$W$7),0)</f>
        <v>0</v>
      </c>
      <c r="T310" s="76">
        <f>0.0526*S310*Observaciones!$F309^1.218</f>
        <v>0</v>
      </c>
      <c r="U310" s="29"/>
      <c r="V310" s="29"/>
      <c r="W310" s="109"/>
      <c r="X310" s="40"/>
    </row>
    <row r="311" spans="2:24" s="2" customFormat="1">
      <c r="B311" s="39"/>
      <c r="C311" s="75">
        <v>305</v>
      </c>
      <c r="D311" s="146">
        <f>ETo!$I310*((1-Constantes!$D$19)*ETo!$K310+ETo!$L310)</f>
        <v>4.255017109363699</v>
      </c>
      <c r="E311" s="76">
        <f>MIN(D311*Constantes!$D$17,0.8*(H310+Observaciones!$F310-F311-G311-Constantes!$D$14))</f>
        <v>2.1695649390193918</v>
      </c>
      <c r="F311" s="76">
        <f>IF(Observaciones!$F310&gt;0.05*Constantes!$D$18,((Observaciones!$F310-0.05*Constantes!$D$18)^2)/(Observaciones!$F310+0.95*Constantes!$D$18),0)</f>
        <v>0</v>
      </c>
      <c r="G311" s="76">
        <f>MAX(0,H310+Observaciones!$F310-F311-Constantes!$D$13)</f>
        <v>0</v>
      </c>
      <c r="H311" s="76">
        <f>H310+Observaciones!$F310-F311-E311-G311-I310</f>
        <v>25.109326072051733</v>
      </c>
      <c r="I311" s="76">
        <f>MAX(0,(H311-Constantes!$D$14)*(1-EXP(-Constantes!$D$22)))</f>
        <v>0.47209952464168187</v>
      </c>
      <c r="J311" s="76">
        <f t="shared" si="12"/>
        <v>61.164249169437198</v>
      </c>
      <c r="K311" s="76">
        <f>MAX(0,(J311-Constantes!$D$13)*(1-EXP(-Constantes!$D$23)))</f>
        <v>0.12232055391024996</v>
      </c>
      <c r="L311" s="76">
        <f t="shared" si="13"/>
        <v>0.5944200785519318</v>
      </c>
      <c r="M311" s="76">
        <f>0.0526*F311*Observaciones!$F310^1.218</f>
        <v>0</v>
      </c>
      <c r="N311" s="76">
        <f>M311*Constantes!$D$51</f>
        <v>0</v>
      </c>
      <c r="O311" s="76">
        <f t="shared" si="14"/>
        <v>0</v>
      </c>
      <c r="P311" s="15"/>
      <c r="Q311" s="75">
        <v>305</v>
      </c>
      <c r="R311" s="76">
        <f>0.0526*Observaciones!$F310^2.218</f>
        <v>6.8921513346888582E-3</v>
      </c>
      <c r="S311" s="76">
        <f>IF(Observaciones!$F310&gt;0.05*$W$7,((Observaciones!$F310-0.05*$W$7)^2)/(Observaciones!$F310+0.95*$W$7),0)</f>
        <v>0</v>
      </c>
      <c r="T311" s="76">
        <f>0.0526*S311*Observaciones!$F310^1.218</f>
        <v>0</v>
      </c>
      <c r="U311" s="29"/>
      <c r="V311" s="29"/>
      <c r="W311" s="109"/>
      <c r="X311" s="40"/>
    </row>
    <row r="312" spans="2:24" s="2" customFormat="1">
      <c r="B312" s="39"/>
      <c r="C312" s="75">
        <v>306</v>
      </c>
      <c r="D312" s="146">
        <f>ETo!$I311*((1-Constantes!$D$19)*ETo!$K311+ETo!$L311)</f>
        <v>4.2673873609936095</v>
      </c>
      <c r="E312" s="76">
        <f>MIN(D312*Constantes!$D$17,0.8*(H311+Observaciones!$F311-F312-G312-Constantes!$D$14))</f>
        <v>2.1758723318061421</v>
      </c>
      <c r="F312" s="76">
        <f>IF(Observaciones!$F311&gt;0.05*Constantes!$D$18,((Observaciones!$F311-0.05*Constantes!$D$18)^2)/(Observaciones!$F311+0.95*Constantes!$D$18),0)</f>
        <v>0</v>
      </c>
      <c r="G312" s="76">
        <f>MAX(0,H311+Observaciones!$F311-F312-Constantes!$D$13)</f>
        <v>0</v>
      </c>
      <c r="H312" s="76">
        <f>H311+Observaciones!$F311-F312-E312-G312-I311</f>
        <v>24.661354215603907</v>
      </c>
      <c r="I312" s="76">
        <f>MAX(0,(H312-Constantes!$D$14)*(1-EXP(-Constantes!$D$22)))</f>
        <v>0.45683995867271687</v>
      </c>
      <c r="J312" s="76">
        <f t="shared" si="12"/>
        <v>61.041928615526949</v>
      </c>
      <c r="K312" s="76">
        <f>MAX(0,(J312-Constantes!$D$13)*(1-EXP(-Constantes!$D$23)))</f>
        <v>0.12111530035808619</v>
      </c>
      <c r="L312" s="76">
        <f t="shared" si="13"/>
        <v>0.57795525903080303</v>
      </c>
      <c r="M312" s="76">
        <f>0.0526*F312*Observaciones!$F311^1.218</f>
        <v>0</v>
      </c>
      <c r="N312" s="76">
        <f>M312*Constantes!$D$51</f>
        <v>0</v>
      </c>
      <c r="O312" s="76">
        <f t="shared" si="14"/>
        <v>0</v>
      </c>
      <c r="P312" s="15"/>
      <c r="Q312" s="75">
        <v>306</v>
      </c>
      <c r="R312" s="76">
        <f>0.0526*Observaciones!$F311^2.218</f>
        <v>0.30232861200727251</v>
      </c>
      <c r="S312" s="76">
        <f>IF(Observaciones!$F311&gt;0.05*$W$7,((Observaciones!$F311-0.05*$W$7)^2)/(Observaciones!$F311+0.95*$W$7),0)</f>
        <v>6.2440408225724973E-3</v>
      </c>
      <c r="T312" s="76">
        <f>0.0526*S312*Observaciones!$F311^1.218</f>
        <v>8.5806917963867778E-4</v>
      </c>
      <c r="U312" s="29"/>
      <c r="V312" s="29"/>
      <c r="W312" s="109"/>
      <c r="X312" s="40"/>
    </row>
    <row r="313" spans="2:24" s="2" customFormat="1">
      <c r="B313" s="39"/>
      <c r="C313" s="75">
        <v>307</v>
      </c>
      <c r="D313" s="146">
        <f>ETo!$I312*((1-Constantes!$D$19)*ETo!$K312+ETo!$L312)</f>
        <v>4.3058632169196178</v>
      </c>
      <c r="E313" s="76">
        <f>MIN(D313*Constantes!$D$17,0.8*(H312+Observaciones!$F312-F313-G313-Constantes!$D$14))</f>
        <v>2.1954905532774802</v>
      </c>
      <c r="F313" s="76">
        <f>IF(Observaciones!$F312&gt;0.05*Constantes!$D$18,((Observaciones!$F312-0.05*Constantes!$D$18)^2)/(Observaciones!$F312+0.95*Constantes!$D$18),0)</f>
        <v>0</v>
      </c>
      <c r="G313" s="76">
        <f>MAX(0,H312+Observaciones!$F312-F313-Constantes!$D$13)</f>
        <v>0</v>
      </c>
      <c r="H313" s="76">
        <f>H312+Observaciones!$F312-F313-E313-G313-I312</f>
        <v>22.00902370365371</v>
      </c>
      <c r="I313" s="76">
        <f>MAX(0,(H313-Constantes!$D$14)*(1-EXP(-Constantes!$D$22)))</f>
        <v>0.36649184453104944</v>
      </c>
      <c r="J313" s="76">
        <f t="shared" si="12"/>
        <v>60.920813315168864</v>
      </c>
      <c r="K313" s="76">
        <f>MAX(0,(J313-Constantes!$D$13)*(1-EXP(-Constantes!$D$23)))</f>
        <v>0.11992192245624093</v>
      </c>
      <c r="L313" s="76">
        <f t="shared" si="13"/>
        <v>0.48641376698729039</v>
      </c>
      <c r="M313" s="76">
        <f>0.0526*F313*Observaciones!$F312^1.218</f>
        <v>0</v>
      </c>
      <c r="N313" s="76">
        <f>M313*Constantes!$D$51</f>
        <v>0</v>
      </c>
      <c r="O313" s="76">
        <f t="shared" si="14"/>
        <v>0</v>
      </c>
      <c r="P313" s="15"/>
      <c r="Q313" s="75">
        <v>307</v>
      </c>
      <c r="R313" s="76">
        <f>0.0526*Observaciones!$F312^2.218</f>
        <v>0</v>
      </c>
      <c r="S313" s="76">
        <f>IF(Observaciones!$F312&gt;0.05*$W$7,((Observaciones!$F312-0.05*$W$7)^2)/(Observaciones!$F312+0.95*$W$7),0)</f>
        <v>0</v>
      </c>
      <c r="T313" s="76">
        <f>0.0526*S313*Observaciones!$F312^1.218</f>
        <v>0</v>
      </c>
      <c r="U313" s="29"/>
      <c r="V313" s="29"/>
      <c r="W313" s="109"/>
      <c r="X313" s="40"/>
    </row>
    <row r="314" spans="2:24" s="2" customFormat="1">
      <c r="B314" s="39"/>
      <c r="C314" s="75">
        <v>308</v>
      </c>
      <c r="D314" s="146">
        <f>ETo!$I313*((1-Constantes!$D$19)*ETo!$K313+ETo!$L313)</f>
        <v>4.2433724731095666</v>
      </c>
      <c r="E314" s="76">
        <f>MIN(D314*Constantes!$D$17,0.8*(H313+Observaciones!$F313-F314-G314-Constantes!$D$14))</f>
        <v>2.1636275258679842</v>
      </c>
      <c r="F314" s="76">
        <f>IF(Observaciones!$F313&gt;0.05*Constantes!$D$18,((Observaciones!$F313-0.05*Constantes!$D$18)^2)/(Observaciones!$F313+0.95*Constantes!$D$18),0)</f>
        <v>0</v>
      </c>
      <c r="G314" s="76">
        <f>MAX(0,H313+Observaciones!$F313-F314-Constantes!$D$13)</f>
        <v>0</v>
      </c>
      <c r="H314" s="76">
        <f>H313+Observaciones!$F313-F314-E314-G314-I313</f>
        <v>22.078904333254677</v>
      </c>
      <c r="I314" s="76">
        <f>MAX(0,(H314-Constantes!$D$14)*(1-EXP(-Constantes!$D$22)))</f>
        <v>0.36887223531230146</v>
      </c>
      <c r="J314" s="76">
        <f t="shared" si="12"/>
        <v>60.800891392712622</v>
      </c>
      <c r="K314" s="76">
        <f>MAX(0,(J314-Constantes!$D$13)*(1-EXP(-Constantes!$D$23)))</f>
        <v>0.11874030319110299</v>
      </c>
      <c r="L314" s="76">
        <f t="shared" si="13"/>
        <v>0.48761253850340447</v>
      </c>
      <c r="M314" s="76">
        <f>0.0526*F314*Observaciones!$F313^1.218</f>
        <v>0</v>
      </c>
      <c r="N314" s="76">
        <f>M314*Constantes!$D$51</f>
        <v>0</v>
      </c>
      <c r="O314" s="76">
        <f t="shared" si="14"/>
        <v>0</v>
      </c>
      <c r="P314" s="15"/>
      <c r="Q314" s="75">
        <v>308</v>
      </c>
      <c r="R314" s="76">
        <f>0.0526*Observaciones!$F313^2.218</f>
        <v>0.43792186533391209</v>
      </c>
      <c r="S314" s="76">
        <f>IF(Observaciones!$F313&gt;0.05*$W$7,((Observaciones!$F313-0.05*$W$7)^2)/(Observaciones!$F313+0.95*$W$7),0)</f>
        <v>2.1229385132854627E-2</v>
      </c>
      <c r="T314" s="76">
        <f>0.0526*S314*Observaciones!$F313^1.218</f>
        <v>3.5756968989506619E-3</v>
      </c>
      <c r="U314" s="29"/>
      <c r="V314" s="29"/>
      <c r="W314" s="109"/>
      <c r="X314" s="40"/>
    </row>
    <row r="315" spans="2:24" s="2" customFormat="1">
      <c r="B315" s="39"/>
      <c r="C315" s="75">
        <v>309</v>
      </c>
      <c r="D315" s="146">
        <f>ETo!$I314*((1-Constantes!$D$19)*ETo!$K314+ETo!$L314)</f>
        <v>4.364864690114425</v>
      </c>
      <c r="E315" s="76">
        <f>MIN(D315*Constantes!$D$17,0.8*(H314+Observaciones!$F314-F315-G315-Constantes!$D$14))</f>
        <v>2.2255744575965135</v>
      </c>
      <c r="F315" s="76">
        <f>IF(Observaciones!$F314&gt;0.05*Constantes!$D$18,((Observaciones!$F314-0.05*Constantes!$D$18)^2)/(Observaciones!$F314+0.95*Constantes!$D$18),0)</f>
        <v>0</v>
      </c>
      <c r="G315" s="76">
        <f>MAX(0,H314+Observaciones!$F314-F315-Constantes!$D$13)</f>
        <v>0</v>
      </c>
      <c r="H315" s="76">
        <f>H314+Observaciones!$F314-F315-E315-G315-I314</f>
        <v>20.58445764034586</v>
      </c>
      <c r="I315" s="76">
        <f>MAX(0,(H315-Constantes!$D$14)*(1-EXP(-Constantes!$D$22)))</f>
        <v>0.3179658947257033</v>
      </c>
      <c r="J315" s="76">
        <f t="shared" si="12"/>
        <v>60.682151089521518</v>
      </c>
      <c r="K315" s="76">
        <f>MAX(0,(J315-Constantes!$D$13)*(1-EXP(-Constantes!$D$23)))</f>
        <v>0.11757032670202426</v>
      </c>
      <c r="L315" s="76">
        <f t="shared" si="13"/>
        <v>0.43553622142772758</v>
      </c>
      <c r="M315" s="76">
        <f>0.0526*F315*Observaciones!$F314^1.218</f>
        <v>0</v>
      </c>
      <c r="N315" s="76">
        <f>M315*Constantes!$D$51</f>
        <v>0</v>
      </c>
      <c r="O315" s="76">
        <f t="shared" si="14"/>
        <v>0</v>
      </c>
      <c r="P315" s="15"/>
      <c r="Q315" s="75">
        <v>309</v>
      </c>
      <c r="R315" s="76">
        <f>0.0526*Observaciones!$F314^2.218</f>
        <v>6.4982246287524456E-2</v>
      </c>
      <c r="S315" s="76">
        <f>IF(Observaciones!$F314&gt;0.05*$W$7,((Observaciones!$F314-0.05*$W$7)^2)/(Observaciones!$F314+0.95*$W$7),0)</f>
        <v>0</v>
      </c>
      <c r="T315" s="76">
        <f>0.0526*S315*Observaciones!$F314^1.218</f>
        <v>0</v>
      </c>
      <c r="U315" s="29"/>
      <c r="V315" s="29"/>
      <c r="W315" s="109"/>
      <c r="X315" s="40"/>
    </row>
    <row r="316" spans="2:24" s="2" customFormat="1">
      <c r="B316" s="39"/>
      <c r="C316" s="75">
        <v>310</v>
      </c>
      <c r="D316" s="146">
        <f>ETo!$I315*((1-Constantes!$D$19)*ETo!$K315+ETo!$L315)</f>
        <v>4.3150857798830771</v>
      </c>
      <c r="E316" s="76">
        <f>MIN(D316*Constantes!$D$17,0.8*(H315+Observaciones!$F315-F316-G316-Constantes!$D$14))</f>
        <v>2.2001929901277077</v>
      </c>
      <c r="F316" s="76">
        <f>IF(Observaciones!$F315&gt;0.05*Constantes!$D$18,((Observaciones!$F315-0.05*Constantes!$D$18)^2)/(Observaciones!$F315+0.95*Constantes!$D$18),0)</f>
        <v>0</v>
      </c>
      <c r="G316" s="76">
        <f>MAX(0,H315+Observaciones!$F315-F316-Constantes!$D$13)</f>
        <v>0</v>
      </c>
      <c r="H316" s="76">
        <f>H315+Observaciones!$F315-F316-E316-G316-I315</f>
        <v>18.166298755492452</v>
      </c>
      <c r="I316" s="76">
        <f>MAX(0,(H316-Constantes!$D$14)*(1-EXP(-Constantes!$D$22)))</f>
        <v>0.23559452586459462</v>
      </c>
      <c r="J316" s="76">
        <f t="shared" si="12"/>
        <v>60.564580762819496</v>
      </c>
      <c r="K316" s="76">
        <f>MAX(0,(J316-Constantes!$D$13)*(1-EXP(-Constantes!$D$23)))</f>
        <v>0.11641187826995912</v>
      </c>
      <c r="L316" s="76">
        <f t="shared" si="13"/>
        <v>0.35200640413455375</v>
      </c>
      <c r="M316" s="76">
        <f>0.0526*F316*Observaciones!$F315^1.218</f>
        <v>0</v>
      </c>
      <c r="N316" s="76">
        <f>M316*Constantes!$D$51</f>
        <v>0</v>
      </c>
      <c r="O316" s="76">
        <f t="shared" si="14"/>
        <v>0</v>
      </c>
      <c r="P316" s="15"/>
      <c r="Q316" s="75">
        <v>310</v>
      </c>
      <c r="R316" s="76">
        <f>0.0526*Observaciones!$F315^2.218</f>
        <v>3.1840930012055863E-4</v>
      </c>
      <c r="S316" s="76">
        <f>IF(Observaciones!$F315&gt;0.05*$W$7,((Observaciones!$F315-0.05*$W$7)^2)/(Observaciones!$F315+0.95*$W$7),0)</f>
        <v>0</v>
      </c>
      <c r="T316" s="76">
        <f>0.0526*S316*Observaciones!$F315^1.218</f>
        <v>0</v>
      </c>
      <c r="U316" s="29"/>
      <c r="V316" s="29"/>
      <c r="W316" s="109"/>
      <c r="X316" s="40"/>
    </row>
    <row r="317" spans="2:24" s="2" customFormat="1">
      <c r="B317" s="39"/>
      <c r="C317" s="75">
        <v>311</v>
      </c>
      <c r="D317" s="146">
        <f>ETo!$I316*((1-Constantes!$D$19)*ETo!$K316+ETo!$L316)</f>
        <v>4.2958436663318276</v>
      </c>
      <c r="E317" s="76">
        <f>MIN(D317*Constantes!$D$17,0.8*(H316+Observaciones!$F316-F317-G317-Constantes!$D$14))</f>
        <v>2.1903817452277634</v>
      </c>
      <c r="F317" s="76">
        <f>IF(Observaciones!$F316&gt;0.05*Constantes!$D$18,((Observaciones!$F316-0.05*Constantes!$D$18)^2)/(Observaciones!$F316+0.95*Constantes!$D$18),0)</f>
        <v>0</v>
      </c>
      <c r="G317" s="76">
        <f>MAX(0,H316+Observaciones!$F316-F317-Constantes!$D$13)</f>
        <v>0</v>
      </c>
      <c r="H317" s="76">
        <f>H316+Observaciones!$F316-F317-E317-G317-I316</f>
        <v>17.740322484400092</v>
      </c>
      <c r="I317" s="76">
        <f>MAX(0,(H317-Constantes!$D$14)*(1-EXP(-Constantes!$D$22)))</f>
        <v>0.22108421028028366</v>
      </c>
      <c r="J317" s="76">
        <f t="shared" si="12"/>
        <v>60.448168884549538</v>
      </c>
      <c r="K317" s="76">
        <f>MAX(0,(J317-Constantes!$D$13)*(1-EXP(-Constantes!$D$23)))</f>
        <v>0.11526484430621604</v>
      </c>
      <c r="L317" s="76">
        <f t="shared" si="13"/>
        <v>0.33634905458649972</v>
      </c>
      <c r="M317" s="76">
        <f>0.0526*F317*Observaciones!$F316^1.218</f>
        <v>0</v>
      </c>
      <c r="N317" s="76">
        <f>M317*Constantes!$D$51</f>
        <v>0</v>
      </c>
      <c r="O317" s="76">
        <f t="shared" si="14"/>
        <v>0</v>
      </c>
      <c r="P317" s="15"/>
      <c r="Q317" s="75">
        <v>311</v>
      </c>
      <c r="R317" s="76">
        <f>0.0526*Observaciones!$F316^2.218</f>
        <v>0.24472045674166781</v>
      </c>
      <c r="S317" s="76">
        <f>IF(Observaciones!$F316&gt;0.05*$W$7,((Observaciones!$F316-0.05*$W$7)^2)/(Observaciones!$F316+0.95*$W$7),0)</f>
        <v>2.0605192437462322E-3</v>
      </c>
      <c r="T317" s="76">
        <f>0.0526*S317*Observaciones!$F316^1.218</f>
        <v>2.5212560522728692E-4</v>
      </c>
      <c r="U317" s="29"/>
      <c r="V317" s="29"/>
      <c r="W317" s="109"/>
      <c r="X317" s="40"/>
    </row>
    <row r="318" spans="2:24" s="2" customFormat="1">
      <c r="B318" s="39"/>
      <c r="C318" s="75">
        <v>312</v>
      </c>
      <c r="D318" s="146">
        <f>ETo!$I317*((1-Constantes!$D$19)*ETo!$K317+ETo!$L317)</f>
        <v>4.2983802245136884</v>
      </c>
      <c r="E318" s="76">
        <f>MIN(D318*Constantes!$D$17,0.8*(H317+Observaciones!$F317-F318-G318-Constantes!$D$14))</f>
        <v>2.191675095537692</v>
      </c>
      <c r="F318" s="76">
        <f>IF(Observaciones!$F317&gt;0.05*Constantes!$D$18,((Observaciones!$F317-0.05*Constantes!$D$18)^2)/(Observaciones!$F317+0.95*Constantes!$D$18),0)</f>
        <v>0</v>
      </c>
      <c r="G318" s="76">
        <f>MAX(0,H317+Observaciones!$F317-F318-Constantes!$D$13)</f>
        <v>0</v>
      </c>
      <c r="H318" s="76">
        <f>H317+Observaciones!$F317-F318-E318-G318-I317</f>
        <v>15.327563178582118</v>
      </c>
      <c r="I318" s="76">
        <f>MAX(0,(H318-Constantes!$D$14)*(1-EXP(-Constantes!$D$22)))</f>
        <v>0.13889677090338232</v>
      </c>
      <c r="J318" s="76">
        <f t="shared" si="12"/>
        <v>60.332904040243321</v>
      </c>
      <c r="K318" s="76">
        <f>MAX(0,(J318-Constantes!$D$13)*(1-EXP(-Constantes!$D$23)))</f>
        <v>0.11412911234131989</v>
      </c>
      <c r="L318" s="76">
        <f t="shared" si="13"/>
        <v>0.25302588324470221</v>
      </c>
      <c r="M318" s="76">
        <f>0.0526*F318*Observaciones!$F317^1.218</f>
        <v>0</v>
      </c>
      <c r="N318" s="76">
        <f>M318*Constantes!$D$51</f>
        <v>0</v>
      </c>
      <c r="O318" s="76">
        <f t="shared" si="14"/>
        <v>0</v>
      </c>
      <c r="P318" s="15"/>
      <c r="Q318" s="75">
        <v>312</v>
      </c>
      <c r="R318" s="76">
        <f>0.0526*Observaciones!$F317^2.218</f>
        <v>0</v>
      </c>
      <c r="S318" s="76">
        <f>IF(Observaciones!$F317&gt;0.05*$W$7,((Observaciones!$F317-0.05*$W$7)^2)/(Observaciones!$F317+0.95*$W$7),0)</f>
        <v>0</v>
      </c>
      <c r="T318" s="76">
        <f>0.0526*S318*Observaciones!$F317^1.218</f>
        <v>0</v>
      </c>
      <c r="U318" s="29"/>
      <c r="V318" s="29"/>
      <c r="W318" s="109"/>
      <c r="X318" s="40"/>
    </row>
    <row r="319" spans="2:24" s="2" customFormat="1">
      <c r="B319" s="39"/>
      <c r="C319" s="75">
        <v>313</v>
      </c>
      <c r="D319" s="146">
        <f>ETo!$I318*((1-Constantes!$D$19)*ETo!$K318+ETo!$L318)</f>
        <v>4.3447200565663993</v>
      </c>
      <c r="E319" s="76">
        <f>MIN(D319*Constantes!$D$17,0.8*(H318+Observaciones!$F318-F319-G319-Constantes!$D$14))</f>
        <v>2.2153030322339662</v>
      </c>
      <c r="F319" s="76">
        <f>IF(Observaciones!$F318&gt;0.05*Constantes!$D$18,((Observaciones!$F318-0.05*Constantes!$D$18)^2)/(Observaciones!$F318+0.95*Constantes!$D$18),0)</f>
        <v>0</v>
      </c>
      <c r="G319" s="76">
        <f>MAX(0,H318+Observaciones!$F318-F319-Constantes!$D$13)</f>
        <v>0</v>
      </c>
      <c r="H319" s="76">
        <f>H318+Observaciones!$F318-F319-E319-G319-I318</f>
        <v>13.373363375444768</v>
      </c>
      <c r="I319" s="76">
        <f>MAX(0,(H319-Constantes!$D$14)*(1-EXP(-Constantes!$D$22)))</f>
        <v>7.2329551594180155E-2</v>
      </c>
      <c r="J319" s="76">
        <f t="shared" si="12"/>
        <v>60.218774927902004</v>
      </c>
      <c r="K319" s="76">
        <f>MAX(0,(J319-Constantes!$D$13)*(1-EXP(-Constantes!$D$23)))</f>
        <v>0.11300457101398419</v>
      </c>
      <c r="L319" s="76">
        <f t="shared" si="13"/>
        <v>0.18533412260816434</v>
      </c>
      <c r="M319" s="76">
        <f>0.0526*F319*Observaciones!$F318^1.218</f>
        <v>0</v>
      </c>
      <c r="N319" s="76">
        <f>M319*Constantes!$D$51</f>
        <v>0</v>
      </c>
      <c r="O319" s="76">
        <f t="shared" si="14"/>
        <v>0</v>
      </c>
      <c r="P319" s="15"/>
      <c r="Q319" s="75">
        <v>313</v>
      </c>
      <c r="R319" s="76">
        <f>0.0526*Observaciones!$F318^2.218</f>
        <v>6.8921513346888582E-3</v>
      </c>
      <c r="S319" s="76">
        <f>IF(Observaciones!$F318&gt;0.05*$W$7,((Observaciones!$F318-0.05*$W$7)^2)/(Observaciones!$F318+0.95*$W$7),0)</f>
        <v>0</v>
      </c>
      <c r="T319" s="76">
        <f>0.0526*S319*Observaciones!$F318^1.218</f>
        <v>0</v>
      </c>
      <c r="U319" s="29"/>
      <c r="V319" s="29"/>
      <c r="W319" s="109"/>
      <c r="X319" s="40"/>
    </row>
    <row r="320" spans="2:24" s="2" customFormat="1">
      <c r="B320" s="39"/>
      <c r="C320" s="75">
        <v>314</v>
      </c>
      <c r="D320" s="146">
        <f>ETo!$I319*((1-Constantes!$D$19)*ETo!$K319+ETo!$L319)</f>
        <v>4.2853826915625106</v>
      </c>
      <c r="E320" s="76">
        <f>MIN(D320*Constantes!$D$17,0.8*(H319+Observaciones!$F319-F320-G320-Constantes!$D$14))</f>
        <v>1.6986907003558145</v>
      </c>
      <c r="F320" s="76">
        <f>IF(Observaciones!$F319&gt;0.05*Constantes!$D$18,((Observaciones!$F319-0.05*Constantes!$D$18)^2)/(Observaciones!$F319+0.95*Constantes!$D$18),0)</f>
        <v>0</v>
      </c>
      <c r="G320" s="76">
        <f>MAX(0,H319+Observaciones!$F319-F320-Constantes!$D$13)</f>
        <v>0</v>
      </c>
      <c r="H320" s="76">
        <f>H319+Observaciones!$F319-F320-E320-G320-I319</f>
        <v>11.602343123494773</v>
      </c>
      <c r="I320" s="76">
        <f>MAX(0,(H320-Constantes!$D$14)*(1-EXP(-Constantes!$D$22)))</f>
        <v>1.2002100264318451E-2</v>
      </c>
      <c r="J320" s="76">
        <f t="shared" si="12"/>
        <v>60.105770356888023</v>
      </c>
      <c r="K320" s="76">
        <f>MAX(0,(J320-Constantes!$D$13)*(1-EXP(-Constantes!$D$23)))</f>
        <v>0.1118911100601916</v>
      </c>
      <c r="L320" s="76">
        <f t="shared" si="13"/>
        <v>0.12389321032451006</v>
      </c>
      <c r="M320" s="76">
        <f>0.0526*F320*Observaciones!$F319^1.218</f>
        <v>0</v>
      </c>
      <c r="N320" s="76">
        <f>M320*Constantes!$D$51</f>
        <v>0</v>
      </c>
      <c r="O320" s="76">
        <f t="shared" si="14"/>
        <v>0</v>
      </c>
      <c r="P320" s="15"/>
      <c r="Q320" s="75">
        <v>314</v>
      </c>
      <c r="R320" s="76">
        <f>0.0526*Observaciones!$F319^2.218</f>
        <v>0</v>
      </c>
      <c r="S320" s="76">
        <f>IF(Observaciones!$F319&gt;0.05*$W$7,((Observaciones!$F319-0.05*$W$7)^2)/(Observaciones!$F319+0.95*$W$7),0)</f>
        <v>0</v>
      </c>
      <c r="T320" s="76">
        <f>0.0526*S320*Observaciones!$F319^1.218</f>
        <v>0</v>
      </c>
      <c r="U320" s="29"/>
      <c r="V320" s="29"/>
      <c r="W320" s="109"/>
      <c r="X320" s="40"/>
    </row>
    <row r="321" spans="2:24" s="2" customFormat="1">
      <c r="B321" s="39"/>
      <c r="C321" s="75">
        <v>315</v>
      </c>
      <c r="D321" s="146">
        <f>ETo!$I320*((1-Constantes!$D$19)*ETo!$K320+ETo!$L320)</f>
        <v>4.1511334757002016</v>
      </c>
      <c r="E321" s="76">
        <f>MIN(D321*Constantes!$D$17,0.8*(H320+Observaciones!$F320-F321-G321-Constantes!$D$14))</f>
        <v>0.28187449879581833</v>
      </c>
      <c r="F321" s="76">
        <f>IF(Observaciones!$F320&gt;0.05*Constantes!$D$18,((Observaciones!$F320-0.05*Constantes!$D$18)^2)/(Observaciones!$F320+0.95*Constantes!$D$18),0)</f>
        <v>0</v>
      </c>
      <c r="G321" s="76">
        <f>MAX(0,H320+Observaciones!$F320-F321-Constantes!$D$13)</f>
        <v>0</v>
      </c>
      <c r="H321" s="76">
        <f>H320+Observaciones!$F320-F321-E321-G321-I320</f>
        <v>11.308466524434635</v>
      </c>
      <c r="I321" s="76">
        <f>MAX(0,(H321-Constantes!$D$14)*(1-EXP(-Constantes!$D$22)))</f>
        <v>1.9915844572488978E-3</v>
      </c>
      <c r="J321" s="76">
        <f t="shared" si="12"/>
        <v>59.993879246827831</v>
      </c>
      <c r="K321" s="76">
        <f>MAX(0,(J321-Constantes!$D$13)*(1-EXP(-Constantes!$D$23)))</f>
        <v>0.11078862030238244</v>
      </c>
      <c r="L321" s="76">
        <f t="shared" si="13"/>
        <v>0.11278020475963134</v>
      </c>
      <c r="M321" s="76">
        <f>0.0526*F321*Observaciones!$F320^1.218</f>
        <v>0</v>
      </c>
      <c r="N321" s="76">
        <f>M321*Constantes!$D$51</f>
        <v>0</v>
      </c>
      <c r="O321" s="76">
        <f t="shared" si="14"/>
        <v>0</v>
      </c>
      <c r="P321" s="15"/>
      <c r="Q321" s="75">
        <v>315</v>
      </c>
      <c r="R321" s="76">
        <f>0.0526*Observaciones!$F320^2.218</f>
        <v>0</v>
      </c>
      <c r="S321" s="76">
        <f>IF(Observaciones!$F320&gt;0.05*$W$7,((Observaciones!$F320-0.05*$W$7)^2)/(Observaciones!$F320+0.95*$W$7),0)</f>
        <v>0</v>
      </c>
      <c r="T321" s="76">
        <f>0.0526*S321*Observaciones!$F320^1.218</f>
        <v>0</v>
      </c>
      <c r="U321" s="29"/>
      <c r="V321" s="29"/>
      <c r="W321" s="109"/>
      <c r="X321" s="40"/>
    </row>
    <row r="322" spans="2:24" s="2" customFormat="1">
      <c r="B322" s="39"/>
      <c r="C322" s="75">
        <v>316</v>
      </c>
      <c r="D322" s="146">
        <f>ETo!$I321*((1-Constantes!$D$19)*ETo!$K321+ETo!$L321)</f>
        <v>4.271755272203742</v>
      </c>
      <c r="E322" s="76">
        <f>MIN(D322*Constantes!$D$17,0.8*(H321+Observaciones!$F321-F322-G322-Constantes!$D$14))</f>
        <v>4.6773219547708328E-2</v>
      </c>
      <c r="F322" s="76">
        <f>IF(Observaciones!$F321&gt;0.05*Constantes!$D$18,((Observaciones!$F321-0.05*Constantes!$D$18)^2)/(Observaciones!$F321+0.95*Constantes!$D$18),0)</f>
        <v>0</v>
      </c>
      <c r="G322" s="76">
        <f>MAX(0,H321+Observaciones!$F321-F322-Constantes!$D$13)</f>
        <v>0</v>
      </c>
      <c r="H322" s="76">
        <f>H321+Observaciones!$F321-F322-E322-G322-I321</f>
        <v>11.259701720429678</v>
      </c>
      <c r="I322" s="76">
        <f>MAX(0,(H322-Constantes!$D$14)*(1-EXP(-Constantes!$D$22)))</f>
        <v>3.3047621357966785E-4</v>
      </c>
      <c r="J322" s="76">
        <f t="shared" si="12"/>
        <v>59.883090626525451</v>
      </c>
      <c r="K322" s="76">
        <f>MAX(0,(J322-Constantes!$D$13)*(1-EXP(-Constantes!$D$23)))</f>
        <v>0.1096969936387496</v>
      </c>
      <c r="L322" s="76">
        <f t="shared" si="13"/>
        <v>0.11002746985232927</v>
      </c>
      <c r="M322" s="76">
        <f>0.0526*F322*Observaciones!$F321^1.218</f>
        <v>0</v>
      </c>
      <c r="N322" s="76">
        <f>M322*Constantes!$D$51</f>
        <v>0</v>
      </c>
      <c r="O322" s="76">
        <f t="shared" si="14"/>
        <v>0</v>
      </c>
      <c r="P322" s="15"/>
      <c r="Q322" s="75">
        <v>316</v>
      </c>
      <c r="R322" s="76">
        <f>0.0526*Observaciones!$F321^2.218</f>
        <v>0</v>
      </c>
      <c r="S322" s="76">
        <f>IF(Observaciones!$F321&gt;0.05*$W$7,((Observaciones!$F321-0.05*$W$7)^2)/(Observaciones!$F321+0.95*$W$7),0)</f>
        <v>0</v>
      </c>
      <c r="T322" s="76">
        <f>0.0526*S322*Observaciones!$F321^1.218</f>
        <v>0</v>
      </c>
      <c r="U322" s="29"/>
      <c r="V322" s="29"/>
      <c r="W322" s="109"/>
      <c r="X322" s="40"/>
    </row>
    <row r="323" spans="2:24" s="2" customFormat="1">
      <c r="B323" s="39"/>
      <c r="C323" s="75">
        <v>317</v>
      </c>
      <c r="D323" s="146">
        <f>ETo!$I322*((1-Constantes!$D$19)*ETo!$K322+ETo!$L322)</f>
        <v>4.4012410315970909</v>
      </c>
      <c r="E323" s="76">
        <f>MIN(D323*Constantes!$D$17,0.8*(H322+Observaciones!$F322-F323-G323-Constantes!$D$14))</f>
        <v>1.9277613763437431</v>
      </c>
      <c r="F323" s="76">
        <f>IF(Observaciones!$F322&gt;0.05*Constantes!$D$18,((Observaciones!$F322-0.05*Constantes!$D$18)^2)/(Observaciones!$F322+0.95*Constantes!$D$18),0)</f>
        <v>0</v>
      </c>
      <c r="G323" s="76">
        <f>MAX(0,H322+Observaciones!$F322-F323-Constantes!$D$13)</f>
        <v>0</v>
      </c>
      <c r="H323" s="76">
        <f>H322+Observaciones!$F322-F323-E323-G323-I322</f>
        <v>11.731609867872354</v>
      </c>
      <c r="I323" s="76">
        <f>MAX(0,(H323-Constantes!$D$14)*(1-EXP(-Constantes!$D$22)))</f>
        <v>1.6405400125752444E-2</v>
      </c>
      <c r="J323" s="76">
        <f t="shared" si="12"/>
        <v>59.773393632886702</v>
      </c>
      <c r="K323" s="76">
        <f>MAX(0,(J323-Constantes!$D$13)*(1-EXP(-Constantes!$D$23)))</f>
        <v>0.10861612303263873</v>
      </c>
      <c r="L323" s="76">
        <f t="shared" si="13"/>
        <v>0.12502152315839118</v>
      </c>
      <c r="M323" s="76">
        <f>0.0526*F323*Observaciones!$F322^1.218</f>
        <v>0</v>
      </c>
      <c r="N323" s="76">
        <f>M323*Constantes!$D$51</f>
        <v>0</v>
      </c>
      <c r="O323" s="76">
        <f t="shared" si="14"/>
        <v>0</v>
      </c>
      <c r="P323" s="15"/>
      <c r="Q323" s="75">
        <v>317</v>
      </c>
      <c r="R323" s="76">
        <f>0.0526*Observaciones!$F322^2.218</f>
        <v>0.36668595716871932</v>
      </c>
      <c r="S323" s="76">
        <f>IF(Observaciones!$F322&gt;0.05*$W$7,((Observaciones!$F322-0.05*$W$7)^2)/(Observaciones!$F322+0.95*$W$7),0)</f>
        <v>1.2646160328663239E-2</v>
      </c>
      <c r="T323" s="76">
        <f>0.0526*S323*Observaciones!$F322^1.218</f>
        <v>1.9321539185937356E-3</v>
      </c>
      <c r="U323" s="29"/>
      <c r="V323" s="29"/>
      <c r="W323" s="109"/>
      <c r="X323" s="40"/>
    </row>
    <row r="324" spans="2:24" s="2" customFormat="1">
      <c r="B324" s="39"/>
      <c r="C324" s="75">
        <v>318</v>
      </c>
      <c r="D324" s="146">
        <f>ETo!$I323*((1-Constantes!$D$19)*ETo!$K323+ETo!$L323)</f>
        <v>4.3896906764121919</v>
      </c>
      <c r="E324" s="76">
        <f>MIN(D324*Constantes!$D$17,0.8*(H323+Observaciones!$F323-F324-G324-Constantes!$D$14))</f>
        <v>0.86528789429788311</v>
      </c>
      <c r="F324" s="76">
        <f>IF(Observaciones!$F323&gt;0.05*Constantes!$D$18,((Observaciones!$F323-0.05*Constantes!$D$18)^2)/(Observaciones!$F323+0.95*Constantes!$D$18),0)</f>
        <v>0</v>
      </c>
      <c r="G324" s="76">
        <f>MAX(0,H323+Observaciones!$F323-F324-Constantes!$D$13)</f>
        <v>0</v>
      </c>
      <c r="H324" s="76">
        <f>H323+Observaciones!$F323-F324-E324-G324-I323</f>
        <v>11.44991657344872</v>
      </c>
      <c r="I324" s="76">
        <f>MAX(0,(H324-Constantes!$D$14)*(1-EXP(-Constantes!$D$22)))</f>
        <v>6.8098924004291305E-3</v>
      </c>
      <c r="J324" s="76">
        <f t="shared" si="12"/>
        <v>59.664777509854062</v>
      </c>
      <c r="K324" s="76">
        <f>MAX(0,(J324-Constantes!$D$13)*(1-EXP(-Constantes!$D$23)))</f>
        <v>0.10754590250205318</v>
      </c>
      <c r="L324" s="76">
        <f t="shared" si="13"/>
        <v>0.11435579490248231</v>
      </c>
      <c r="M324" s="76">
        <f>0.0526*F324*Observaciones!$F323^1.218</f>
        <v>0</v>
      </c>
      <c r="N324" s="76">
        <f>M324*Constantes!$D$51</f>
        <v>0</v>
      </c>
      <c r="O324" s="76">
        <f t="shared" si="14"/>
        <v>0</v>
      </c>
      <c r="P324" s="15"/>
      <c r="Q324" s="75">
        <v>318</v>
      </c>
      <c r="R324" s="76">
        <f>0.0526*Observaciones!$F323^2.218</f>
        <v>1.6940460723560119E-2</v>
      </c>
      <c r="S324" s="76">
        <f>IF(Observaciones!$F323&gt;0.05*$W$7,((Observaciones!$F323-0.05*$W$7)^2)/(Observaciones!$F323+0.95*$W$7),0)</f>
        <v>0</v>
      </c>
      <c r="T324" s="76">
        <f>0.0526*S324*Observaciones!$F323^1.218</f>
        <v>0</v>
      </c>
      <c r="U324" s="29"/>
      <c r="V324" s="29"/>
      <c r="W324" s="109"/>
      <c r="X324" s="40"/>
    </row>
    <row r="325" spans="2:24" s="2" customFormat="1">
      <c r="B325" s="39"/>
      <c r="C325" s="75">
        <v>319</v>
      </c>
      <c r="D325" s="146">
        <f>ETo!$I324*((1-Constantes!$D$19)*ETo!$K324+ETo!$L324)</f>
        <v>4.3603724852983738</v>
      </c>
      <c r="E325" s="76">
        <f>MIN(D325*Constantes!$D$17,0.8*(H324+Observaciones!$F324-F325-G325-Constantes!$D$14))</f>
        <v>2.2232839544522718</v>
      </c>
      <c r="F325" s="76">
        <f>IF(Observaciones!$F324&gt;0.05*Constantes!$D$18,((Observaciones!$F324-0.05*Constantes!$D$18)^2)/(Observaciones!$F324+0.95*Constantes!$D$18),0)</f>
        <v>1.1736395297691362</v>
      </c>
      <c r="G325" s="76">
        <f>MAX(0,H324+Observaciones!$F324-F325-Constantes!$D$13)</f>
        <v>0</v>
      </c>
      <c r="H325" s="76">
        <f>H324+Observaciones!$F324-F325-E325-G325-I324</f>
        <v>21.546183196826881</v>
      </c>
      <c r="I325" s="76">
        <f>MAX(0,(H325-Constantes!$D$14)*(1-EXP(-Constantes!$D$22)))</f>
        <v>0.35072579774624257</v>
      </c>
      <c r="J325" s="76">
        <f t="shared" si="12"/>
        <v>59.557231607352008</v>
      </c>
      <c r="K325" s="76">
        <f>MAX(0,(J325-Constantes!$D$13)*(1-EXP(-Constantes!$D$23)))</f>
        <v>0.10648622710926216</v>
      </c>
      <c r="L325" s="76">
        <f t="shared" si="13"/>
        <v>1.6308515546246409</v>
      </c>
      <c r="M325" s="76">
        <f>0.0526*F325*Observaciones!$F324^1.218</f>
        <v>1.4698296465891503</v>
      </c>
      <c r="N325" s="76">
        <f>M325*Constantes!$D$51</f>
        <v>2.0665652672816309E-2</v>
      </c>
      <c r="O325" s="76">
        <f t="shared" si="14"/>
        <v>1267.1694498628201</v>
      </c>
      <c r="P325" s="15"/>
      <c r="Q325" s="75">
        <v>319</v>
      </c>
      <c r="R325" s="76">
        <f>0.0526*Observaciones!$F324^2.218</f>
        <v>16.906980146499279</v>
      </c>
      <c r="S325" s="76">
        <f>IF(Observaciones!$F324&gt;0.05*$W$7,((Observaciones!$F324-0.05*$W$7)^2)/(Observaciones!$F324+0.95*$W$7),0)</f>
        <v>2.9844081425480202</v>
      </c>
      <c r="T325" s="76">
        <f>0.0526*S325*Observaciones!$F324^1.218</f>
        <v>3.7375799418600115</v>
      </c>
      <c r="U325" s="29"/>
      <c r="V325" s="29"/>
      <c r="W325" s="109"/>
      <c r="X325" s="40"/>
    </row>
    <row r="326" spans="2:24" s="2" customFormat="1">
      <c r="B326" s="39"/>
      <c r="C326" s="75">
        <v>320</v>
      </c>
      <c r="D326" s="146">
        <f>ETo!$I325*((1-Constantes!$D$19)*ETo!$K325+ETo!$L325)</f>
        <v>4.335333943962798</v>
      </c>
      <c r="E326" s="76">
        <f>MIN(D326*Constantes!$D$17,0.8*(H325+Observaciones!$F325-F326-G326-Constantes!$D$14))</f>
        <v>2.2105172040468952</v>
      </c>
      <c r="F326" s="76">
        <f>IF(Observaciones!$F325&gt;0.05*Constantes!$D$18,((Observaciones!$F325-0.05*Constantes!$D$18)^2)/(Observaciones!$F325+0.95*Constantes!$D$18),0)</f>
        <v>0.43530819004692789</v>
      </c>
      <c r="G326" s="76">
        <f>MAX(0,H325+Observaciones!$F325-F326-Constantes!$D$13)</f>
        <v>0</v>
      </c>
      <c r="H326" s="76">
        <f>H325+Observaciones!$F325-F326-E326-G326-I325</f>
        <v>28.049632004986815</v>
      </c>
      <c r="I326" s="76">
        <f>MAX(0,(H326-Constantes!$D$14)*(1-EXP(-Constantes!$D$22)))</f>
        <v>0.57225713880150753</v>
      </c>
      <c r="J326" s="76">
        <f t="shared" si="12"/>
        <v>59.450745380242743</v>
      </c>
      <c r="K326" s="76">
        <f>MAX(0,(J326-Constantes!$D$13)*(1-EXP(-Constantes!$D$23)))</f>
        <v>0.1054369929505113</v>
      </c>
      <c r="L326" s="76">
        <f t="shared" si="13"/>
        <v>1.1130023217989466</v>
      </c>
      <c r="M326" s="76">
        <f>0.0526*F326*Observaciones!$F325^1.218</f>
        <v>0.35534477472007892</v>
      </c>
      <c r="N326" s="76">
        <f>M326*Constantes!$D$51</f>
        <v>4.9961107469197472E-3</v>
      </c>
      <c r="O326" s="76">
        <f t="shared" si="14"/>
        <v>448.88592315284012</v>
      </c>
      <c r="P326" s="15"/>
      <c r="Q326" s="75">
        <v>320</v>
      </c>
      <c r="R326" s="76">
        <f>0.0526*Observaciones!$F325^2.218</f>
        <v>7.7549089059795255</v>
      </c>
      <c r="S326" s="76">
        <f>IF(Observaciones!$F325&gt;0.05*$W$7,((Observaciones!$F325-0.05*$W$7)^2)/(Observaciones!$F325+0.95*$W$7),0)</f>
        <v>1.4230702891277449</v>
      </c>
      <c r="T326" s="76">
        <f>0.0526*S326*Observaciones!$F325^1.218</f>
        <v>1.1616611009464852</v>
      </c>
      <c r="U326" s="29"/>
      <c r="V326" s="29"/>
      <c r="W326" s="109"/>
      <c r="X326" s="40"/>
    </row>
    <row r="327" spans="2:24" s="2" customFormat="1">
      <c r="B327" s="39"/>
      <c r="C327" s="75">
        <v>321</v>
      </c>
      <c r="D327" s="146">
        <f>ETo!$I326*((1-Constantes!$D$19)*ETo!$K326+ETo!$L326)</f>
        <v>4.3983633472063284</v>
      </c>
      <c r="E327" s="76">
        <f>MIN(D327*Constantes!$D$17,0.8*(H326+Observaciones!$F326-F327-G327-Constantes!$D$14))</f>
        <v>2.2426548852570485</v>
      </c>
      <c r="F327" s="76">
        <f>IF(Observaciones!$F326&gt;0.05*Constantes!$D$18,((Observaciones!$F326-0.05*Constantes!$D$18)^2)/(Observaciones!$F326+0.95*Constantes!$D$18),0)</f>
        <v>0</v>
      </c>
      <c r="G327" s="76">
        <f>MAX(0,H326+Observaciones!$F326-F327-Constantes!$D$13)</f>
        <v>0</v>
      </c>
      <c r="H327" s="76">
        <f>H326+Observaciones!$F326-F327-E327-G327-I326</f>
        <v>25.734719980928258</v>
      </c>
      <c r="I327" s="76">
        <f>MAX(0,(H327-Constantes!$D$14)*(1-EXP(-Constantes!$D$22)))</f>
        <v>0.49340273704605692</v>
      </c>
      <c r="J327" s="76">
        <f t="shared" ref="J327:J390" si="15">J326+G327-K326</f>
        <v>59.345308387292235</v>
      </c>
      <c r="K327" s="76">
        <f>MAX(0,(J327-Constantes!$D$13)*(1-EXP(-Constantes!$D$23)))</f>
        <v>0.10439809714583478</v>
      </c>
      <c r="L327" s="76">
        <f t="shared" ref="L327:L390" si="16">F327+I327+K327</f>
        <v>0.59780083419189167</v>
      </c>
      <c r="M327" s="76">
        <f>0.0526*F327*Observaciones!$F326^1.218</f>
        <v>0</v>
      </c>
      <c r="N327" s="76">
        <f>M327*Constantes!$D$51</f>
        <v>0</v>
      </c>
      <c r="O327" s="76">
        <f t="shared" ref="O327:O390" si="17">N327*1000000/(L327/1000*10000)</f>
        <v>0</v>
      </c>
      <c r="P327" s="15"/>
      <c r="Q327" s="75">
        <v>321</v>
      </c>
      <c r="R327" s="76">
        <f>0.0526*Observaciones!$F326^2.218</f>
        <v>1.1305797794095535E-2</v>
      </c>
      <c r="S327" s="76">
        <f>IF(Observaciones!$F326&gt;0.05*$W$7,((Observaciones!$F326-0.05*$W$7)^2)/(Observaciones!$F326+0.95*$W$7),0)</f>
        <v>0</v>
      </c>
      <c r="T327" s="76">
        <f>0.0526*S327*Observaciones!$F326^1.218</f>
        <v>0</v>
      </c>
      <c r="U327" s="29"/>
      <c r="V327" s="29"/>
      <c r="W327" s="109"/>
      <c r="X327" s="40"/>
    </row>
    <row r="328" spans="2:24" s="2" customFormat="1">
      <c r="B328" s="39"/>
      <c r="C328" s="75">
        <v>322</v>
      </c>
      <c r="D328" s="146">
        <f>ETo!$I327*((1-Constantes!$D$19)*ETo!$K327+ETo!$L327)</f>
        <v>4.4525368123414397</v>
      </c>
      <c r="E328" s="76">
        <f>MIN(D328*Constantes!$D$17,0.8*(H327+Observaciones!$F327-F328-G328-Constantes!$D$14))</f>
        <v>2.2702770657469182</v>
      </c>
      <c r="F328" s="76">
        <f>IF(Observaciones!$F327&gt;0.05*Constantes!$D$18,((Observaciones!$F327-0.05*Constantes!$D$18)^2)/(Observaciones!$F327+0.95*Constantes!$D$18),0)</f>
        <v>0</v>
      </c>
      <c r="G328" s="76">
        <f>MAX(0,H327+Observaciones!$F327-F328-Constantes!$D$13)</f>
        <v>0</v>
      </c>
      <c r="H328" s="76">
        <f>H327+Observaciones!$F327-F328-E328-G328-I327</f>
        <v>23.571040178135284</v>
      </c>
      <c r="I328" s="76">
        <f>MAX(0,(H328-Constantes!$D$14)*(1-EXP(-Constantes!$D$22)))</f>
        <v>0.41969985993176212</v>
      </c>
      <c r="J328" s="76">
        <f t="shared" si="15"/>
        <v>59.240910290146402</v>
      </c>
      <c r="K328" s="76">
        <f>MAX(0,(J328-Constantes!$D$13)*(1-EXP(-Constantes!$D$23)))</f>
        <v>0.10336943782896743</v>
      </c>
      <c r="L328" s="76">
        <f t="shared" si="16"/>
        <v>0.52306929776072952</v>
      </c>
      <c r="M328" s="76">
        <f>0.0526*F328*Observaciones!$F327^1.218</f>
        <v>0</v>
      </c>
      <c r="N328" s="76">
        <f>M328*Constantes!$D$51</f>
        <v>0</v>
      </c>
      <c r="O328" s="76">
        <f t="shared" si="17"/>
        <v>0</v>
      </c>
      <c r="P328" s="15"/>
      <c r="Q328" s="75">
        <v>322</v>
      </c>
      <c r="R328" s="76">
        <f>0.0526*Observaciones!$F327^2.218</f>
        <v>1.6940460723560119E-2</v>
      </c>
      <c r="S328" s="76">
        <f>IF(Observaciones!$F327&gt;0.05*$W$7,((Observaciones!$F327-0.05*$W$7)^2)/(Observaciones!$F327+0.95*$W$7),0)</f>
        <v>0</v>
      </c>
      <c r="T328" s="76">
        <f>0.0526*S328*Observaciones!$F327^1.218</f>
        <v>0</v>
      </c>
      <c r="U328" s="29"/>
      <c r="V328" s="29"/>
      <c r="W328" s="109"/>
      <c r="X328" s="40"/>
    </row>
    <row r="329" spans="2:24" s="2" customFormat="1">
      <c r="B329" s="39"/>
      <c r="C329" s="75">
        <v>323</v>
      </c>
      <c r="D329" s="146">
        <f>ETo!$I328*((1-Constantes!$D$19)*ETo!$K328+ETo!$L328)</f>
        <v>4.2286526002299869</v>
      </c>
      <c r="E329" s="76">
        <f>MIN(D329*Constantes!$D$17,0.8*(H328+Observaciones!$F328-F329-G329-Constantes!$D$14))</f>
        <v>2.1561220989130421</v>
      </c>
      <c r="F329" s="76">
        <f>IF(Observaciones!$F328&gt;0.05*Constantes!$D$18,((Observaciones!$F328-0.05*Constantes!$D$18)^2)/(Observaciones!$F328+0.95*Constantes!$D$18),0)</f>
        <v>4.1591051526695666E-5</v>
      </c>
      <c r="G329" s="76">
        <f>MAX(0,H328+Observaciones!$F328-F329-Constantes!$D$13)</f>
        <v>0</v>
      </c>
      <c r="H329" s="76">
        <f>H328+Observaciones!$F328-F329-E329-G329-I328</f>
        <v>24.695176628238954</v>
      </c>
      <c r="I329" s="76">
        <f>MAX(0,(H329-Constantes!$D$14)*(1-EXP(-Constantes!$D$22)))</f>
        <v>0.45799207421168525</v>
      </c>
      <c r="J329" s="76">
        <f t="shared" si="15"/>
        <v>59.137540852317436</v>
      </c>
      <c r="K329" s="76">
        <f>MAX(0,(J329-Constantes!$D$13)*(1-EXP(-Constantes!$D$23)))</f>
        <v>0.10235091413735672</v>
      </c>
      <c r="L329" s="76">
        <f t="shared" si="16"/>
        <v>0.56038457940056863</v>
      </c>
      <c r="M329" s="76">
        <f>0.0526*F329*Observaciones!$F328^1.218</f>
        <v>1.0766024024932859E-5</v>
      </c>
      <c r="N329" s="76">
        <f>M329*Constantes!$D$51</f>
        <v>1.5136918328103932E-7</v>
      </c>
      <c r="O329" s="76">
        <f t="shared" si="17"/>
        <v>2.7011661070858815E-2</v>
      </c>
      <c r="P329" s="15"/>
      <c r="Q329" s="75">
        <v>323</v>
      </c>
      <c r="R329" s="76">
        <f>0.0526*Observaciones!$F328^2.218</f>
        <v>0.95776104306195564</v>
      </c>
      <c r="S329" s="76">
        <f>IF(Observaciones!$F328&gt;0.05*$W$7,((Observaciones!$F328-0.05*$W$7)^2)/(Observaciones!$F328+0.95*$W$7),0)</f>
        <v>0.10582673876477437</v>
      </c>
      <c r="T329" s="76">
        <f>0.0526*S329*Observaciones!$F328^1.218</f>
        <v>2.7393710190052805E-2</v>
      </c>
      <c r="U329" s="29"/>
      <c r="V329" s="29"/>
      <c r="W329" s="109"/>
      <c r="X329" s="40"/>
    </row>
    <row r="330" spans="2:24" s="2" customFormat="1">
      <c r="B330" s="39"/>
      <c r="C330" s="75">
        <v>324</v>
      </c>
      <c r="D330" s="146">
        <f>ETo!$I329*((1-Constantes!$D$19)*ETo!$K329+ETo!$L329)</f>
        <v>4.2604585069314558</v>
      </c>
      <c r="E330" s="76">
        <f>MIN(D330*Constantes!$D$17,0.8*(H329+Observaciones!$F329-F330-G330-Constantes!$D$14))</f>
        <v>2.1723394203149642</v>
      </c>
      <c r="F330" s="76">
        <f>IF(Observaciones!$F329&gt;0.05*Constantes!$D$18,((Observaciones!$F329-0.05*Constantes!$D$18)^2)/(Observaciones!$F329+0.95*Constantes!$D$18),0)</f>
        <v>1.1961329040984696</v>
      </c>
      <c r="G330" s="76">
        <f>MAX(0,H329+Observaciones!$F329-F330-Constantes!$D$13)</f>
        <v>0</v>
      </c>
      <c r="H330" s="76">
        <f>H329+Observaciones!$F329-F330-E330-G330-I329</f>
        <v>34.468712229613836</v>
      </c>
      <c r="I330" s="76">
        <f>MAX(0,(H330-Constantes!$D$14)*(1-EXP(-Constantes!$D$22)))</f>
        <v>0.79091457617823058</v>
      </c>
      <c r="J330" s="76">
        <f t="shared" si="15"/>
        <v>59.035189938180082</v>
      </c>
      <c r="K330" s="76">
        <f>MAX(0,(J330-Constantes!$D$13)*(1-EXP(-Constantes!$D$23)))</f>
        <v>0.10134242620227292</v>
      </c>
      <c r="L330" s="76">
        <f t="shared" si="16"/>
        <v>2.088389906478973</v>
      </c>
      <c r="M330" s="76">
        <f>0.0526*F330*Observaciones!$F329^1.218</f>
        <v>1.5115258261127704</v>
      </c>
      <c r="N330" s="76">
        <f>M330*Constantes!$D$51</f>
        <v>2.1251896640488425E-2</v>
      </c>
      <c r="O330" s="76">
        <f t="shared" si="17"/>
        <v>1017.6211144555444</v>
      </c>
      <c r="P330" s="15"/>
      <c r="Q330" s="75">
        <v>324</v>
      </c>
      <c r="R330" s="76">
        <f>0.0526*Observaciones!$F329^2.218</f>
        <v>17.186009317775095</v>
      </c>
      <c r="S330" s="76">
        <f>IF(Observaciones!$F329&gt;0.05*$W$7,((Observaciones!$F329-0.05*$W$7)^2)/(Observaciones!$F329+0.95*$W$7),0)</f>
        <v>3.0288166090580324</v>
      </c>
      <c r="T330" s="76">
        <f>0.0526*S330*Observaciones!$F329^1.218</f>
        <v>3.8274463577281841</v>
      </c>
      <c r="U330" s="29"/>
      <c r="V330" s="29"/>
      <c r="W330" s="109"/>
      <c r="X330" s="40"/>
    </row>
    <row r="331" spans="2:24" s="2" customFormat="1">
      <c r="B331" s="39"/>
      <c r="C331" s="75">
        <v>325</v>
      </c>
      <c r="D331" s="146">
        <f>ETo!$I330*((1-Constantes!$D$19)*ETo!$K330+ETo!$L330)</f>
        <v>4.3671834794612518</v>
      </c>
      <c r="E331" s="76">
        <f>MIN(D331*Constantes!$D$17,0.8*(H330+Observaciones!$F330-F331-G331-Constantes!$D$14))</f>
        <v>2.2267567710722398</v>
      </c>
      <c r="F331" s="76">
        <f>IF(Observaciones!$F330&gt;0.05*Constantes!$D$18,((Observaciones!$F330-0.05*Constantes!$D$18)^2)/(Observaciones!$F330+0.95*Constantes!$D$18),0)</f>
        <v>0.13913453809349113</v>
      </c>
      <c r="G331" s="76">
        <f>MAX(0,H330+Observaciones!$F330-F331-Constantes!$D$13)</f>
        <v>0</v>
      </c>
      <c r="H331" s="76">
        <f>H330+Observaciones!$F330-F331-E331-G331-I330</f>
        <v>38.21190634426987</v>
      </c>
      <c r="I331" s="76">
        <f>MAX(0,(H331-Constantes!$D$14)*(1-EXP(-Constantes!$D$22)))</f>
        <v>0.91842150927032751</v>
      </c>
      <c r="J331" s="76">
        <f t="shared" si="15"/>
        <v>58.93384751197781</v>
      </c>
      <c r="K331" s="76">
        <f>MAX(0,(J331-Constantes!$D$13)*(1-EXP(-Constantes!$D$23)))</f>
        <v>0.10034387513901659</v>
      </c>
      <c r="L331" s="76">
        <f t="shared" si="16"/>
        <v>1.1578999225028352</v>
      </c>
      <c r="M331" s="76">
        <f>0.0526*F331*Observaciones!$F330^1.218</f>
        <v>7.6937644728829843E-2</v>
      </c>
      <c r="N331" s="76">
        <f>M331*Constantes!$D$51</f>
        <v>1.0817353202258308E-3</v>
      </c>
      <c r="O331" s="76">
        <f t="shared" si="17"/>
        <v>93.422177444111725</v>
      </c>
      <c r="P331" s="15"/>
      <c r="Q331" s="75">
        <v>325</v>
      </c>
      <c r="R331" s="76">
        <f>0.0526*Observaciones!$F330^2.218</f>
        <v>3.8155137890507769</v>
      </c>
      <c r="S331" s="76">
        <f>IF(Observaciones!$F330&gt;0.05*$W$7,((Observaciones!$F330-0.05*$W$7)^2)/(Observaciones!$F330+0.95*$W$7),0)</f>
        <v>0.67103148649911282</v>
      </c>
      <c r="T331" s="76">
        <f>0.0526*S331*Observaciones!$F330^1.218</f>
        <v>0.37106230284414565</v>
      </c>
      <c r="U331" s="29"/>
      <c r="V331" s="29"/>
      <c r="W331" s="109"/>
      <c r="X331" s="40"/>
    </row>
    <row r="332" spans="2:24" s="2" customFormat="1">
      <c r="B332" s="39"/>
      <c r="C332" s="75">
        <v>326</v>
      </c>
      <c r="D332" s="146">
        <f>ETo!$I331*((1-Constantes!$D$19)*ETo!$K331+ETo!$L331)</f>
        <v>4.3900472228168903</v>
      </c>
      <c r="E332" s="76">
        <f>MIN(D332*Constantes!$D$17,0.8*(H331+Observaciones!$F331-F332-G332-Constantes!$D$14))</f>
        <v>2.2384146268890754</v>
      </c>
      <c r="F332" s="76">
        <f>IF(Observaciones!$F331&gt;0.05*Constantes!$D$18,((Observaciones!$F331-0.05*Constantes!$D$18)^2)/(Observaciones!$F331+0.95*Constantes!$D$18),0)</f>
        <v>0</v>
      </c>
      <c r="G332" s="76">
        <f>MAX(0,H331+Observaciones!$F331-F332-Constantes!$D$13)</f>
        <v>0</v>
      </c>
      <c r="H332" s="76">
        <f>H331+Observaciones!$F331-F332-E332-G332-I331</f>
        <v>35.055070208110472</v>
      </c>
      <c r="I332" s="76">
        <f>MAX(0,(H332-Constantes!$D$14)*(1-EXP(-Constantes!$D$22)))</f>
        <v>0.81088808149003244</v>
      </c>
      <c r="J332" s="76">
        <f t="shared" si="15"/>
        <v>58.833503636838792</v>
      </c>
      <c r="K332" s="76">
        <f>MAX(0,(J332-Constantes!$D$13)*(1-EXP(-Constantes!$D$23)))</f>
        <v>9.9355163037222832E-2</v>
      </c>
      <c r="L332" s="76">
        <f t="shared" si="16"/>
        <v>0.91024324452725525</v>
      </c>
      <c r="M332" s="76">
        <f>0.0526*F332*Observaciones!$F331^1.218</f>
        <v>0</v>
      </c>
      <c r="N332" s="76">
        <f>M332*Constantes!$D$51</f>
        <v>0</v>
      </c>
      <c r="O332" s="76">
        <f t="shared" si="17"/>
        <v>0</v>
      </c>
      <c r="P332" s="15"/>
      <c r="Q332" s="75">
        <v>326</v>
      </c>
      <c r="R332" s="76">
        <f>0.0526*Observaciones!$F331^2.218</f>
        <v>0</v>
      </c>
      <c r="S332" s="76">
        <f>IF(Observaciones!$F331&gt;0.05*$W$7,((Observaciones!$F331-0.05*$W$7)^2)/(Observaciones!$F331+0.95*$W$7),0)</f>
        <v>0</v>
      </c>
      <c r="T332" s="76">
        <f>0.0526*S332*Observaciones!$F331^1.218</f>
        <v>0</v>
      </c>
      <c r="U332" s="29"/>
      <c r="V332" s="29"/>
      <c r="W332" s="109"/>
      <c r="X332" s="40"/>
    </row>
    <row r="333" spans="2:24" s="2" customFormat="1">
      <c r="B333" s="39"/>
      <c r="C333" s="75">
        <v>327</v>
      </c>
      <c r="D333" s="146">
        <f>ETo!$I332*((1-Constantes!$D$19)*ETo!$K332+ETo!$L332)</f>
        <v>4.4260948509762299</v>
      </c>
      <c r="E333" s="76">
        <f>MIN(D333*Constantes!$D$17,0.8*(H332+Observaciones!$F332-F333-G333-Constantes!$D$14))</f>
        <v>2.2567947339906911</v>
      </c>
      <c r="F333" s="76">
        <f>IF(Observaciones!$F332&gt;0.05*Constantes!$D$18,((Observaciones!$F332-0.05*Constantes!$D$18)^2)/(Observaciones!$F332+0.95*Constantes!$D$18),0)</f>
        <v>0</v>
      </c>
      <c r="G333" s="76">
        <f>MAX(0,H332+Observaciones!$F332-F333-Constantes!$D$13)</f>
        <v>0</v>
      </c>
      <c r="H333" s="76">
        <f>H332+Observaciones!$F332-F333-E333-G333-I332</f>
        <v>31.987387392629753</v>
      </c>
      <c r="I333" s="76">
        <f>MAX(0,(H333-Constantes!$D$14)*(1-EXP(-Constantes!$D$22)))</f>
        <v>0.7063915431005936</v>
      </c>
      <c r="J333" s="76">
        <f t="shared" si="15"/>
        <v>58.734148473801568</v>
      </c>
      <c r="K333" s="76">
        <f>MAX(0,(J333-Constantes!$D$13)*(1-EXP(-Constantes!$D$23)))</f>
        <v>9.8376192951260932E-2</v>
      </c>
      <c r="L333" s="76">
        <f t="shared" si="16"/>
        <v>0.80476773605185459</v>
      </c>
      <c r="M333" s="76">
        <f>0.0526*F333*Observaciones!$F332^1.218</f>
        <v>0</v>
      </c>
      <c r="N333" s="76">
        <f>M333*Constantes!$D$51</f>
        <v>0</v>
      </c>
      <c r="O333" s="76">
        <f t="shared" si="17"/>
        <v>0</v>
      </c>
      <c r="P333" s="15"/>
      <c r="Q333" s="75">
        <v>327</v>
      </c>
      <c r="R333" s="76">
        <f>0.0526*Observaciones!$F332^2.218</f>
        <v>0</v>
      </c>
      <c r="S333" s="76">
        <f>IF(Observaciones!$F332&gt;0.05*$W$7,((Observaciones!$F332-0.05*$W$7)^2)/(Observaciones!$F332+0.95*$W$7),0)</f>
        <v>0</v>
      </c>
      <c r="T333" s="76">
        <f>0.0526*S333*Observaciones!$F332^1.218</f>
        <v>0</v>
      </c>
      <c r="U333" s="29"/>
      <c r="V333" s="29"/>
      <c r="W333" s="109"/>
      <c r="X333" s="40"/>
    </row>
    <row r="334" spans="2:24" s="2" customFormat="1">
      <c r="B334" s="39"/>
      <c r="C334" s="75">
        <v>328</v>
      </c>
      <c r="D334" s="146">
        <f>ETo!$I333*((1-Constantes!$D$19)*ETo!$K333+ETo!$L333)</f>
        <v>4.3119286813071245</v>
      </c>
      <c r="E334" s="76">
        <f>MIN(D334*Constantes!$D$17,0.8*(H333+Observaciones!$F333-F334-G334-Constantes!$D$14))</f>
        <v>2.1985832362293412</v>
      </c>
      <c r="F334" s="76">
        <f>IF(Observaciones!$F333&gt;0.05*Constantes!$D$18,((Observaciones!$F333-0.05*Constantes!$D$18)^2)/(Observaciones!$F333+0.95*Constantes!$D$18),0)</f>
        <v>0</v>
      </c>
      <c r="G334" s="76">
        <f>MAX(0,H333+Observaciones!$F333-F334-Constantes!$D$13)</f>
        <v>0</v>
      </c>
      <c r="H334" s="76">
        <f>H333+Observaciones!$F333-F334-E334-G334-I333</f>
        <v>29.082412613299816</v>
      </c>
      <c r="I334" s="76">
        <f>MAX(0,(H334-Constantes!$D$14)*(1-EXP(-Constantes!$D$22)))</f>
        <v>0.60743743773587944</v>
      </c>
      <c r="J334" s="76">
        <f t="shared" si="15"/>
        <v>58.635772280850304</v>
      </c>
      <c r="K334" s="76">
        <f>MAX(0,(J334-Constantes!$D$13)*(1-EXP(-Constantes!$D$23)))</f>
        <v>9.7406868890728499E-2</v>
      </c>
      <c r="L334" s="76">
        <f t="shared" si="16"/>
        <v>0.70484430662660791</v>
      </c>
      <c r="M334" s="76">
        <f>0.0526*F334*Observaciones!$F333^1.218</f>
        <v>0</v>
      </c>
      <c r="N334" s="76">
        <f>M334*Constantes!$D$51</f>
        <v>0</v>
      </c>
      <c r="O334" s="76">
        <f t="shared" si="17"/>
        <v>0</v>
      </c>
      <c r="P334" s="15"/>
      <c r="Q334" s="75">
        <v>328</v>
      </c>
      <c r="R334" s="76">
        <f>0.0526*Observaciones!$F333^2.218</f>
        <v>0</v>
      </c>
      <c r="S334" s="76">
        <f>IF(Observaciones!$F333&gt;0.05*$W$7,((Observaciones!$F333-0.05*$W$7)^2)/(Observaciones!$F333+0.95*$W$7),0)</f>
        <v>0</v>
      </c>
      <c r="T334" s="76">
        <f>0.0526*S334*Observaciones!$F333^1.218</f>
        <v>0</v>
      </c>
      <c r="U334" s="29"/>
      <c r="V334" s="29"/>
      <c r="W334" s="109"/>
      <c r="X334" s="40"/>
    </row>
    <row r="335" spans="2:24" s="2" customFormat="1">
      <c r="B335" s="39"/>
      <c r="C335" s="75">
        <v>329</v>
      </c>
      <c r="D335" s="146">
        <f>ETo!$I334*((1-Constantes!$D$19)*ETo!$K334+ETo!$L334)</f>
        <v>4.365445918682509</v>
      </c>
      <c r="E335" s="76">
        <f>MIN(D335*Constantes!$D$17,0.8*(H334+Observaciones!$F334-F335-G335-Constantes!$D$14))</f>
        <v>2.2258708167157506</v>
      </c>
      <c r="F335" s="76">
        <f>IF(Observaciones!$F334&gt;0.05*Constantes!$D$18,((Observaciones!$F334-0.05*Constantes!$D$18)^2)/(Observaciones!$F334+0.95*Constantes!$D$18),0)</f>
        <v>0.20353926528528929</v>
      </c>
      <c r="G335" s="76">
        <f>MAX(0,H334+Observaciones!$F334-F335-Constantes!$D$13)</f>
        <v>0</v>
      </c>
      <c r="H335" s="76">
        <f>H334+Observaciones!$F334-F335-E335-G335-I334</f>
        <v>33.645565093562901</v>
      </c>
      <c r="I335" s="76">
        <f>MAX(0,(H335-Constantes!$D$14)*(1-EXP(-Constantes!$D$22)))</f>
        <v>0.7628751628893361</v>
      </c>
      <c r="J335" s="76">
        <f t="shared" si="15"/>
        <v>58.538365411959575</v>
      </c>
      <c r="K335" s="76">
        <f>MAX(0,(J335-Constantes!$D$13)*(1-EXP(-Constantes!$D$23)))</f>
        <v>9.644709581103951E-2</v>
      </c>
      <c r="L335" s="76">
        <f t="shared" si="16"/>
        <v>1.0628615239856649</v>
      </c>
      <c r="M335" s="76">
        <f>0.0526*F335*Observaciones!$F334^1.218</f>
        <v>0.12660909429942238</v>
      </c>
      <c r="N335" s="76">
        <f>M335*Constantes!$D$51</f>
        <v>1.7801107591504911E-3</v>
      </c>
      <c r="O335" s="76">
        <f t="shared" si="17"/>
        <v>167.48284879813747</v>
      </c>
      <c r="P335" s="15"/>
      <c r="Q335" s="75">
        <v>329</v>
      </c>
      <c r="R335" s="76">
        <f>0.0526*Observaciones!$F334^2.218</f>
        <v>4.72748644015644</v>
      </c>
      <c r="S335" s="76">
        <f>IF(Observaciones!$F334&gt;0.05*$W$7,((Observaciones!$F334-0.05*$W$7)^2)/(Observaciones!$F334+0.95*$W$7),0)</f>
        <v>0.85016527070729775</v>
      </c>
      <c r="T335" s="76">
        <f>0.0526*S335*Observaciones!$F334^1.218</f>
        <v>0.52883484067903708</v>
      </c>
      <c r="U335" s="29"/>
      <c r="V335" s="29"/>
      <c r="W335" s="109"/>
      <c r="X335" s="40"/>
    </row>
    <row r="336" spans="2:24" s="2" customFormat="1">
      <c r="B336" s="39"/>
      <c r="C336" s="75">
        <v>330</v>
      </c>
      <c r="D336" s="146">
        <f>ETo!$I335*((1-Constantes!$D$19)*ETo!$K335+ETo!$L335)</f>
        <v>4.4322011348143739</v>
      </c>
      <c r="E336" s="76">
        <f>MIN(D336*Constantes!$D$17,0.8*(H335+Observaciones!$F335-F336-G336-Constantes!$D$14))</f>
        <v>2.2599082301253559</v>
      </c>
      <c r="F336" s="76">
        <f>IF(Observaciones!$F335&gt;0.05*Constantes!$D$18,((Observaciones!$F335-0.05*Constantes!$D$18)^2)/(Observaciones!$F335+0.95*Constantes!$D$18),0)</f>
        <v>1.0214755994453435</v>
      </c>
      <c r="G336" s="76">
        <f>MAX(0,H335+Observaciones!$F335-F336-Constantes!$D$13)</f>
        <v>0</v>
      </c>
      <c r="H336" s="76">
        <f>H335+Observaciones!$F335-F336-E336-G336-I335</f>
        <v>42.401306101102868</v>
      </c>
      <c r="I336" s="76">
        <f>MAX(0,(H336-Constantes!$D$14)*(1-EXP(-Constantes!$D$22)))</f>
        <v>1.0611278445894186</v>
      </c>
      <c r="J336" s="76">
        <f t="shared" si="15"/>
        <v>58.441918316148538</v>
      </c>
      <c r="K336" s="76">
        <f>MAX(0,(J336-Constantes!$D$13)*(1-EXP(-Constantes!$D$23)))</f>
        <v>9.5496779604104881E-2</v>
      </c>
      <c r="L336" s="76">
        <f t="shared" si="16"/>
        <v>2.1781002236388671</v>
      </c>
      <c r="M336" s="76">
        <f>0.0526*F336*Observaciones!$F335^1.218</f>
        <v>1.1989345734453372</v>
      </c>
      <c r="N336" s="76">
        <f>M336*Constantes!$D$51</f>
        <v>1.6856895987741743E-2</v>
      </c>
      <c r="O336" s="76">
        <f t="shared" si="17"/>
        <v>773.92655327768091</v>
      </c>
      <c r="P336" s="15"/>
      <c r="Q336" s="75">
        <v>330</v>
      </c>
      <c r="R336" s="76">
        <f>0.0526*Observaciones!$F335^2.218</f>
        <v>15.023719165130638</v>
      </c>
      <c r="S336" s="76">
        <f>IF(Observaciones!$F335&gt;0.05*$W$7,((Observaciones!$F335-0.05*$W$7)^2)/(Observaciones!$F335+0.95*$W$7),0)</f>
        <v>2.6803602911260813</v>
      </c>
      <c r="T336" s="76">
        <f>0.0526*S336*Observaciones!$F335^1.218</f>
        <v>3.1460140840035975</v>
      </c>
      <c r="U336" s="29"/>
      <c r="V336" s="29"/>
      <c r="W336" s="109"/>
      <c r="X336" s="40"/>
    </row>
    <row r="337" spans="2:24" s="2" customFormat="1">
      <c r="B337" s="39"/>
      <c r="C337" s="75">
        <v>331</v>
      </c>
      <c r="D337" s="146">
        <f>ETo!$I336*((1-Constantes!$D$19)*ETo!$K336+ETo!$L336)</f>
        <v>4.4061106706250763</v>
      </c>
      <c r="E337" s="76">
        <f>MIN(D337*Constantes!$D$17,0.8*(H336+Observaciones!$F336-F337-G337-Constantes!$D$14))</f>
        <v>2.2466051211382561</v>
      </c>
      <c r="F337" s="76">
        <f>IF(Observaciones!$F336&gt;0.05*Constantes!$D$18,((Observaciones!$F336-0.05*Constantes!$D$18)^2)/(Observaciones!$F336+0.95*Constantes!$D$18),0)</f>
        <v>0</v>
      </c>
      <c r="G337" s="76">
        <f>MAX(0,H336+Observaciones!$F336-F337-Constantes!$D$13)</f>
        <v>0</v>
      </c>
      <c r="H337" s="76">
        <f>H336+Observaciones!$F336-F337-E337-G337-I336</f>
        <v>39.393573135375185</v>
      </c>
      <c r="I337" s="76">
        <f>MAX(0,(H337-Constantes!$D$14)*(1-EXP(-Constantes!$D$22)))</f>
        <v>0.95867341816297214</v>
      </c>
      <c r="J337" s="76">
        <f t="shared" si="15"/>
        <v>58.346421536544433</v>
      </c>
      <c r="K337" s="76">
        <f>MAX(0,(J337-Constantes!$D$13)*(1-EXP(-Constantes!$D$23)))</f>
        <v>9.4555827089104844E-2</v>
      </c>
      <c r="L337" s="76">
        <f t="shared" si="16"/>
        <v>1.0532292452520771</v>
      </c>
      <c r="M337" s="76">
        <f>0.0526*F337*Observaciones!$F336^1.218</f>
        <v>0</v>
      </c>
      <c r="N337" s="76">
        <f>M337*Constantes!$D$51</f>
        <v>0</v>
      </c>
      <c r="O337" s="76">
        <f t="shared" si="17"/>
        <v>0</v>
      </c>
      <c r="P337" s="15"/>
      <c r="Q337" s="75">
        <v>331</v>
      </c>
      <c r="R337" s="76">
        <f>0.0526*Observaciones!$F336^2.218</f>
        <v>3.6411677467564265E-3</v>
      </c>
      <c r="S337" s="76">
        <f>IF(Observaciones!$F336&gt;0.05*$W$7,((Observaciones!$F336-0.05*$W$7)^2)/(Observaciones!$F336+0.95*$W$7),0)</f>
        <v>0</v>
      </c>
      <c r="T337" s="76">
        <f>0.0526*S337*Observaciones!$F336^1.218</f>
        <v>0</v>
      </c>
      <c r="U337" s="29"/>
      <c r="V337" s="29"/>
      <c r="W337" s="109"/>
      <c r="X337" s="40"/>
    </row>
    <row r="338" spans="2:24" s="2" customFormat="1">
      <c r="B338" s="39"/>
      <c r="C338" s="75">
        <v>332</v>
      </c>
      <c r="D338" s="146">
        <f>ETo!$I337*((1-Constantes!$D$19)*ETo!$K337+ETo!$L337)</f>
        <v>4.4108968811515901</v>
      </c>
      <c r="E338" s="76">
        <f>MIN(D338*Constantes!$D$17,0.8*(H337+Observaciones!$F337-F338-G338-Constantes!$D$14))</f>
        <v>2.2490455330760217</v>
      </c>
      <c r="F338" s="76">
        <f>IF(Observaciones!$F337&gt;0.05*Constantes!$D$18,((Observaciones!$F337-0.05*Constantes!$D$18)^2)/(Observaciones!$F337+0.95*Constantes!$D$18),0)</f>
        <v>0</v>
      </c>
      <c r="G338" s="76">
        <f>MAX(0,H337+Observaciones!$F337-F338-Constantes!$D$13)</f>
        <v>0</v>
      </c>
      <c r="H338" s="76">
        <f>H337+Observaciones!$F337-F338-E338-G338-I337</f>
        <v>36.18585418413619</v>
      </c>
      <c r="I338" s="76">
        <f>MAX(0,(H338-Constantes!$D$14)*(1-EXP(-Constantes!$D$22)))</f>
        <v>0.84940673490642771</v>
      </c>
      <c r="J338" s="76">
        <f t="shared" si="15"/>
        <v>58.25186570945533</v>
      </c>
      <c r="K338" s="76">
        <f>MAX(0,(J338-Constantes!$D$13)*(1-EXP(-Constantes!$D$23)))</f>
        <v>9.3624146003352532E-2</v>
      </c>
      <c r="L338" s="76">
        <f t="shared" si="16"/>
        <v>0.94303088090978027</v>
      </c>
      <c r="M338" s="76">
        <f>0.0526*F338*Observaciones!$F337^1.218</f>
        <v>0</v>
      </c>
      <c r="N338" s="76">
        <f>M338*Constantes!$D$51</f>
        <v>0</v>
      </c>
      <c r="O338" s="76">
        <f t="shared" si="17"/>
        <v>0</v>
      </c>
      <c r="P338" s="15"/>
      <c r="Q338" s="75">
        <v>332</v>
      </c>
      <c r="R338" s="76">
        <f>0.0526*Observaciones!$F337^2.218</f>
        <v>0</v>
      </c>
      <c r="S338" s="76">
        <f>IF(Observaciones!$F337&gt;0.05*$W$7,((Observaciones!$F337-0.05*$W$7)^2)/(Observaciones!$F337+0.95*$W$7),0)</f>
        <v>0</v>
      </c>
      <c r="T338" s="76">
        <f>0.0526*S338*Observaciones!$F337^1.218</f>
        <v>0</v>
      </c>
      <c r="U338" s="29"/>
      <c r="V338" s="29"/>
      <c r="W338" s="109"/>
      <c r="X338" s="40"/>
    </row>
    <row r="339" spans="2:24" s="2" customFormat="1">
      <c r="B339" s="39"/>
      <c r="C339" s="75">
        <v>333</v>
      </c>
      <c r="D339" s="146">
        <f>ETo!$I338*((1-Constantes!$D$19)*ETo!$K338+ETo!$L338)</f>
        <v>4.2963876753329053</v>
      </c>
      <c r="E339" s="76">
        <f>MIN(D339*Constantes!$D$17,0.8*(H338+Observaciones!$F338-F339-G339-Constantes!$D$14))</f>
        <v>2.1906591266870885</v>
      </c>
      <c r="F339" s="76">
        <f>IF(Observaciones!$F338&gt;0.05*Constantes!$D$18,((Observaciones!$F338-0.05*Constantes!$D$18)^2)/(Observaciones!$F338+0.95*Constantes!$D$18),0)</f>
        <v>0</v>
      </c>
      <c r="G339" s="76">
        <f>MAX(0,H338+Observaciones!$F338-F339-Constantes!$D$13)</f>
        <v>0</v>
      </c>
      <c r="H339" s="76">
        <f>H338+Observaciones!$F338-F339-E339-G339-I338</f>
        <v>33.145788322542671</v>
      </c>
      <c r="I339" s="76">
        <f>MAX(0,(H339-Constantes!$D$14)*(1-EXP(-Constantes!$D$22)))</f>
        <v>0.74585093135030023</v>
      </c>
      <c r="J339" s="76">
        <f t="shared" si="15"/>
        <v>58.15824156345198</v>
      </c>
      <c r="K339" s="76">
        <f>MAX(0,(J339-Constantes!$D$13)*(1-EXP(-Constantes!$D$23)))</f>
        <v>9.2701644993247304E-2</v>
      </c>
      <c r="L339" s="76">
        <f t="shared" si="16"/>
        <v>0.83855257634354752</v>
      </c>
      <c r="M339" s="76">
        <f>0.0526*F339*Observaciones!$F338^1.218</f>
        <v>0</v>
      </c>
      <c r="N339" s="76">
        <f>M339*Constantes!$D$51</f>
        <v>0</v>
      </c>
      <c r="O339" s="76">
        <f t="shared" si="17"/>
        <v>0</v>
      </c>
      <c r="P339" s="15"/>
      <c r="Q339" s="75">
        <v>333</v>
      </c>
      <c r="R339" s="76">
        <f>0.0526*Observaciones!$F338^2.218</f>
        <v>0</v>
      </c>
      <c r="S339" s="76">
        <f>IF(Observaciones!$F338&gt;0.05*$W$7,((Observaciones!$F338-0.05*$W$7)^2)/(Observaciones!$F338+0.95*$W$7),0)</f>
        <v>0</v>
      </c>
      <c r="T339" s="76">
        <f>0.0526*S339*Observaciones!$F338^1.218</f>
        <v>0</v>
      </c>
      <c r="U339" s="29"/>
      <c r="V339" s="29"/>
      <c r="W339" s="109"/>
      <c r="X339" s="40"/>
    </row>
    <row r="340" spans="2:24" s="2" customFormat="1">
      <c r="B340" s="39"/>
      <c r="C340" s="75">
        <v>334</v>
      </c>
      <c r="D340" s="146">
        <f>ETo!$I339*((1-Constantes!$D$19)*ETo!$K339+ETo!$L339)</f>
        <v>4.1995576341354903</v>
      </c>
      <c r="E340" s="76">
        <f>MIN(D340*Constantes!$D$17,0.8*(H339+Observaciones!$F339-F340-G340-Constantes!$D$14))</f>
        <v>2.1412870426211019</v>
      </c>
      <c r="F340" s="76">
        <f>IF(Observaciones!$F339&gt;0.05*Constantes!$D$18,((Observaciones!$F339-0.05*Constantes!$D$18)^2)/(Observaciones!$F339+0.95*Constantes!$D$18),0)</f>
        <v>0</v>
      </c>
      <c r="G340" s="76">
        <f>MAX(0,H339+Observaciones!$F339-F340-Constantes!$D$13)</f>
        <v>0</v>
      </c>
      <c r="H340" s="76">
        <f>H339+Observaciones!$F339-F340-E340-G340-I339</f>
        <v>30.258650348571269</v>
      </c>
      <c r="I340" s="76">
        <f>MAX(0,(H340-Constantes!$D$14)*(1-EXP(-Constantes!$D$22)))</f>
        <v>0.64750441305635076</v>
      </c>
      <c r="J340" s="76">
        <f t="shared" si="15"/>
        <v>58.065539918458732</v>
      </c>
      <c r="K340" s="76">
        <f>MAX(0,(J340-Constantes!$D$13)*(1-EXP(-Constantes!$D$23)))</f>
        <v>9.1788233605317224E-2</v>
      </c>
      <c r="L340" s="76">
        <f t="shared" si="16"/>
        <v>0.73929264666166794</v>
      </c>
      <c r="M340" s="76">
        <f>0.0526*F340*Observaciones!$F339^1.218</f>
        <v>0</v>
      </c>
      <c r="N340" s="76">
        <f>M340*Constantes!$D$51</f>
        <v>0</v>
      </c>
      <c r="O340" s="76">
        <f t="shared" si="17"/>
        <v>0</v>
      </c>
      <c r="P340" s="15"/>
      <c r="Q340" s="75">
        <v>334</v>
      </c>
      <c r="R340" s="76">
        <f>0.0526*Observaciones!$F339^2.218</f>
        <v>0</v>
      </c>
      <c r="S340" s="76">
        <f>IF(Observaciones!$F339&gt;0.05*$W$7,((Observaciones!$F339-0.05*$W$7)^2)/(Observaciones!$F339+0.95*$W$7),0)</f>
        <v>0</v>
      </c>
      <c r="T340" s="76">
        <f>0.0526*S340*Observaciones!$F339^1.218</f>
        <v>0</v>
      </c>
      <c r="U340" s="29"/>
      <c r="V340" s="29"/>
      <c r="W340" s="109"/>
      <c r="X340" s="40"/>
    </row>
    <row r="341" spans="2:24" s="2" customFormat="1">
      <c r="B341" s="39"/>
      <c r="C341" s="75">
        <v>335</v>
      </c>
      <c r="D341" s="146">
        <f>ETo!$I340*((1-Constantes!$D$19)*ETo!$K340+ETo!$L340)</f>
        <v>4.1159101638838118</v>
      </c>
      <c r="E341" s="76">
        <f>MIN(D341*Constantes!$D$17,0.8*(H340+Observaciones!$F340-F341-G341-Constantes!$D$14))</f>
        <v>2.0986365399248044</v>
      </c>
      <c r="F341" s="76">
        <f>IF(Observaciones!$F340&gt;0.05*Constantes!$D$18,((Observaciones!$F340-0.05*Constantes!$D$18)^2)/(Observaciones!$F340+0.95*Constantes!$D$18),0)</f>
        <v>0</v>
      </c>
      <c r="G341" s="76">
        <f>MAX(0,H340+Observaciones!$F340-F341-Constantes!$D$13)</f>
        <v>0</v>
      </c>
      <c r="H341" s="76">
        <f>H340+Observaciones!$F340-F341-E341-G341-I340</f>
        <v>27.512509395590115</v>
      </c>
      <c r="I341" s="76">
        <f>MAX(0,(H341-Constantes!$D$14)*(1-EXP(-Constantes!$D$22)))</f>
        <v>0.55396077090798967</v>
      </c>
      <c r="J341" s="76">
        <f t="shared" si="15"/>
        <v>57.973751684853418</v>
      </c>
      <c r="K341" s="76">
        <f>MAX(0,(J341-Constantes!$D$13)*(1-EXP(-Constantes!$D$23)))</f>
        <v>9.0883822277350104E-2</v>
      </c>
      <c r="L341" s="76">
        <f t="shared" si="16"/>
        <v>0.64484459318533982</v>
      </c>
      <c r="M341" s="76">
        <f>0.0526*F341*Observaciones!$F340^1.218</f>
        <v>0</v>
      </c>
      <c r="N341" s="76">
        <f>M341*Constantes!$D$51</f>
        <v>0</v>
      </c>
      <c r="O341" s="76">
        <f t="shared" si="17"/>
        <v>0</v>
      </c>
      <c r="P341" s="15"/>
      <c r="Q341" s="75">
        <v>335</v>
      </c>
      <c r="R341" s="76">
        <f>0.0526*Observaciones!$F340^2.218</f>
        <v>0</v>
      </c>
      <c r="S341" s="76">
        <f>IF(Observaciones!$F340&gt;0.05*$W$7,((Observaciones!$F340-0.05*$W$7)^2)/(Observaciones!$F340+0.95*$W$7),0)</f>
        <v>0</v>
      </c>
      <c r="T341" s="76">
        <f>0.0526*S341*Observaciones!$F340^1.218</f>
        <v>0</v>
      </c>
      <c r="U341" s="29"/>
      <c r="V341" s="29"/>
      <c r="W341" s="109"/>
      <c r="X341" s="40"/>
    </row>
    <row r="342" spans="2:24" s="2" customFormat="1">
      <c r="B342" s="39"/>
      <c r="C342" s="75">
        <v>336</v>
      </c>
      <c r="D342" s="146">
        <f>ETo!$I341*((1-Constantes!$D$19)*ETo!$K341+ETo!$L341)</f>
        <v>4.1293220213639765</v>
      </c>
      <c r="E342" s="76">
        <f>MIN(D342*Constantes!$D$17,0.8*(H341+Observaciones!$F341-F342-G342-Constantes!$D$14))</f>
        <v>2.1054750308187793</v>
      </c>
      <c r="F342" s="76">
        <f>IF(Observaciones!$F341&gt;0.05*Constantes!$D$18,((Observaciones!$F341-0.05*Constantes!$D$18)^2)/(Observaciones!$F341+0.95*Constantes!$D$18),0)</f>
        <v>0</v>
      </c>
      <c r="G342" s="76">
        <f>MAX(0,H341+Observaciones!$F341-F342-Constantes!$D$13)</f>
        <v>0</v>
      </c>
      <c r="H342" s="76">
        <f>H341+Observaciones!$F341-F342-E342-G342-I341</f>
        <v>24.853073593863346</v>
      </c>
      <c r="I342" s="76">
        <f>MAX(0,(H342-Constantes!$D$14)*(1-EXP(-Constantes!$D$22)))</f>
        <v>0.46337062451247946</v>
      </c>
      <c r="J342" s="76">
        <f t="shared" si="15"/>
        <v>57.88286786257607</v>
      </c>
      <c r="K342" s="76">
        <f>MAX(0,(J342-Constantes!$D$13)*(1-EXP(-Constantes!$D$23)))</f>
        <v>8.9988322329611417E-2</v>
      </c>
      <c r="L342" s="76">
        <f t="shared" si="16"/>
        <v>0.55335894684209086</v>
      </c>
      <c r="M342" s="76">
        <f>0.0526*F342*Observaciones!$F341^1.218</f>
        <v>0</v>
      </c>
      <c r="N342" s="76">
        <f>M342*Constantes!$D$51</f>
        <v>0</v>
      </c>
      <c r="O342" s="76">
        <f t="shared" si="17"/>
        <v>0</v>
      </c>
      <c r="P342" s="15"/>
      <c r="Q342" s="75">
        <v>336</v>
      </c>
      <c r="R342" s="76">
        <f>0.0526*Observaciones!$F341^2.218</f>
        <v>0</v>
      </c>
      <c r="S342" s="76">
        <f>IF(Observaciones!$F341&gt;0.05*$W$7,((Observaciones!$F341-0.05*$W$7)^2)/(Observaciones!$F341+0.95*$W$7),0)</f>
        <v>0</v>
      </c>
      <c r="T342" s="76">
        <f>0.0526*S342*Observaciones!$F341^1.218</f>
        <v>0</v>
      </c>
      <c r="U342" s="29"/>
      <c r="V342" s="29"/>
      <c r="W342" s="109"/>
      <c r="X342" s="40"/>
    </row>
    <row r="343" spans="2:24" s="2" customFormat="1">
      <c r="B343" s="39"/>
      <c r="C343" s="75">
        <v>337</v>
      </c>
      <c r="D343" s="146">
        <f>ETo!$I342*((1-Constantes!$D$19)*ETo!$K342+ETo!$L342)</f>
        <v>4.2397954382649541</v>
      </c>
      <c r="E343" s="76">
        <f>MIN(D343*Constantes!$D$17,0.8*(H342+Observaciones!$F342-F343-G343-Constantes!$D$14))</f>
        <v>2.1618036532054177</v>
      </c>
      <c r="F343" s="76">
        <f>IF(Observaciones!$F342&gt;0.05*Constantes!$D$18,((Observaciones!$F342-0.05*Constantes!$D$18)^2)/(Observaciones!$F342+0.95*Constantes!$D$18),0)</f>
        <v>0</v>
      </c>
      <c r="G343" s="76">
        <f>MAX(0,H342+Observaciones!$F342-F343-Constantes!$D$13)</f>
        <v>0</v>
      </c>
      <c r="H343" s="76">
        <f>H342+Observaciones!$F342-F343-E343-G343-I342</f>
        <v>22.22789931614545</v>
      </c>
      <c r="I343" s="76">
        <f>MAX(0,(H343-Constantes!$D$14)*(1-EXP(-Constantes!$D$22)))</f>
        <v>0.37394755140134106</v>
      </c>
      <c r="J343" s="76">
        <f t="shared" si="15"/>
        <v>57.79287954024646</v>
      </c>
      <c r="K343" s="76">
        <f>MAX(0,(J343-Constantes!$D$13)*(1-EXP(-Constantes!$D$23)))</f>
        <v>8.9101645956149278E-2</v>
      </c>
      <c r="L343" s="76">
        <f t="shared" si="16"/>
        <v>0.46304919735749034</v>
      </c>
      <c r="M343" s="76">
        <f>0.0526*F343*Observaciones!$F342^1.218</f>
        <v>0</v>
      </c>
      <c r="N343" s="76">
        <f>M343*Constantes!$D$51</f>
        <v>0</v>
      </c>
      <c r="O343" s="76">
        <f t="shared" si="17"/>
        <v>0</v>
      </c>
      <c r="P343" s="15"/>
      <c r="Q343" s="75">
        <v>337</v>
      </c>
      <c r="R343" s="76">
        <f>0.0526*Observaciones!$F342^2.218</f>
        <v>0</v>
      </c>
      <c r="S343" s="76">
        <f>IF(Observaciones!$F342&gt;0.05*$W$7,((Observaciones!$F342-0.05*$W$7)^2)/(Observaciones!$F342+0.95*$W$7),0)</f>
        <v>0</v>
      </c>
      <c r="T343" s="76">
        <f>0.0526*S343*Observaciones!$F342^1.218</f>
        <v>0</v>
      </c>
      <c r="U343" s="29"/>
      <c r="V343" s="29"/>
      <c r="W343" s="109"/>
      <c r="X343" s="40"/>
    </row>
    <row r="344" spans="2:24" s="2" customFormat="1">
      <c r="B344" s="39"/>
      <c r="C344" s="75">
        <v>338</v>
      </c>
      <c r="D344" s="146">
        <f>ETo!$I343*((1-Constantes!$D$19)*ETo!$K343+ETo!$L343)</f>
        <v>4.2354886681342423</v>
      </c>
      <c r="E344" s="76">
        <f>MIN(D344*Constantes!$D$17,0.8*(H343+Observaciones!$F343-F344-G344-Constantes!$D$14))</f>
        <v>2.1596077002313518</v>
      </c>
      <c r="F344" s="76">
        <f>IF(Observaciones!$F343&gt;0.05*Constantes!$D$18,((Observaciones!$F343-0.05*Constantes!$D$18)^2)/(Observaciones!$F343+0.95*Constantes!$D$18),0)</f>
        <v>0</v>
      </c>
      <c r="G344" s="76">
        <f>MAX(0,H343+Observaciones!$F343-F344-Constantes!$D$13)</f>
        <v>0</v>
      </c>
      <c r="H344" s="76">
        <f>H343+Observaciones!$F343-F344-E344-G344-I343</f>
        <v>19.694344064512759</v>
      </c>
      <c r="I344" s="76">
        <f>MAX(0,(H344-Constantes!$D$14)*(1-EXP(-Constantes!$D$22)))</f>
        <v>0.28764535865899499</v>
      </c>
      <c r="J344" s="76">
        <f t="shared" si="15"/>
        <v>57.703777894290312</v>
      </c>
      <c r="K344" s="76">
        <f>MAX(0,(J344-Constantes!$D$13)*(1-EXP(-Constantes!$D$23)))</f>
        <v>8.8223706216184708E-2</v>
      </c>
      <c r="L344" s="76">
        <f t="shared" si="16"/>
        <v>0.37586906487517968</v>
      </c>
      <c r="M344" s="76">
        <f>0.0526*F344*Observaciones!$F343^1.218</f>
        <v>0</v>
      </c>
      <c r="N344" s="76">
        <f>M344*Constantes!$D$51</f>
        <v>0</v>
      </c>
      <c r="O344" s="76">
        <f t="shared" si="17"/>
        <v>0</v>
      </c>
      <c r="P344" s="15"/>
      <c r="Q344" s="75">
        <v>338</v>
      </c>
      <c r="R344" s="76">
        <f>0.0526*Observaciones!$F343^2.218</f>
        <v>0</v>
      </c>
      <c r="S344" s="76">
        <f>IF(Observaciones!$F343&gt;0.05*$W$7,((Observaciones!$F343-0.05*$W$7)^2)/(Observaciones!$F343+0.95*$W$7),0)</f>
        <v>0</v>
      </c>
      <c r="T344" s="76">
        <f>0.0526*S344*Observaciones!$F343^1.218</f>
        <v>0</v>
      </c>
      <c r="U344" s="29"/>
      <c r="V344" s="29"/>
      <c r="W344" s="109"/>
      <c r="X344" s="40"/>
    </row>
    <row r="345" spans="2:24" s="2" customFormat="1">
      <c r="B345" s="39"/>
      <c r="C345" s="75">
        <v>339</v>
      </c>
      <c r="D345" s="146">
        <f>ETo!$I344*((1-Constantes!$D$19)*ETo!$K344+ETo!$L344)</f>
        <v>4.2355678082253814</v>
      </c>
      <c r="E345" s="76">
        <f>MIN(D345*Constantes!$D$17,0.8*(H344+Observaciones!$F344-F345-G345-Constantes!$D$14))</f>
        <v>2.1596480524937736</v>
      </c>
      <c r="F345" s="76">
        <f>IF(Observaciones!$F344&gt;0.05*Constantes!$D$18,((Observaciones!$F344-0.05*Constantes!$D$18)^2)/(Observaciones!$F344+0.95*Constantes!$D$18),0)</f>
        <v>0</v>
      </c>
      <c r="G345" s="76">
        <f>MAX(0,H344+Observaciones!$F344-F345-Constantes!$D$13)</f>
        <v>0</v>
      </c>
      <c r="H345" s="76">
        <f>H344+Observaciones!$F344-F345-E345-G345-I344</f>
        <v>17.247050653359988</v>
      </c>
      <c r="I345" s="76">
        <f>MAX(0,(H345-Constantes!$D$14)*(1-EXP(-Constantes!$D$22)))</f>
        <v>0.20428156087709443</v>
      </c>
      <c r="J345" s="76">
        <f t="shared" si="15"/>
        <v>57.615554188074128</v>
      </c>
      <c r="K345" s="76">
        <f>MAX(0,(J345-Constantes!$D$13)*(1-EXP(-Constantes!$D$23)))</f>
        <v>8.7354417025586967E-2</v>
      </c>
      <c r="L345" s="76">
        <f t="shared" si="16"/>
        <v>0.29163597790268136</v>
      </c>
      <c r="M345" s="76">
        <f>0.0526*F345*Observaciones!$F344^1.218</f>
        <v>0</v>
      </c>
      <c r="N345" s="76">
        <f>M345*Constantes!$D$51</f>
        <v>0</v>
      </c>
      <c r="O345" s="76">
        <f t="shared" si="17"/>
        <v>0</v>
      </c>
      <c r="P345" s="15"/>
      <c r="Q345" s="75">
        <v>339</v>
      </c>
      <c r="R345" s="76">
        <f>0.0526*Observaciones!$F344^2.218</f>
        <v>0</v>
      </c>
      <c r="S345" s="76">
        <f>IF(Observaciones!$F344&gt;0.05*$W$7,((Observaciones!$F344-0.05*$W$7)^2)/(Observaciones!$F344+0.95*$W$7),0)</f>
        <v>0</v>
      </c>
      <c r="T345" s="76">
        <f>0.0526*S345*Observaciones!$F344^1.218</f>
        <v>0</v>
      </c>
      <c r="U345" s="29"/>
      <c r="V345" s="29"/>
      <c r="W345" s="109"/>
      <c r="X345" s="40"/>
    </row>
    <row r="346" spans="2:24" s="2" customFormat="1">
      <c r="B346" s="39"/>
      <c r="C346" s="75">
        <v>340</v>
      </c>
      <c r="D346" s="146">
        <f>ETo!$I345*((1-Constantes!$D$19)*ETo!$K345+ETo!$L345)</f>
        <v>4.2665189617086394</v>
      </c>
      <c r="E346" s="76">
        <f>MIN(D346*Constantes!$D$17,0.8*(H345+Observaciones!$F345-F346-G346-Constantes!$D$14))</f>
        <v>2.1754295489469162</v>
      </c>
      <c r="F346" s="76">
        <f>IF(Observaciones!$F345&gt;0.05*Constantes!$D$18,((Observaciones!$F345-0.05*Constantes!$D$18)^2)/(Observaciones!$F345+0.95*Constantes!$D$18),0)</f>
        <v>0</v>
      </c>
      <c r="G346" s="76">
        <f>MAX(0,H345+Observaciones!$F345-F346-Constantes!$D$13)</f>
        <v>0</v>
      </c>
      <c r="H346" s="76">
        <f>H345+Observaciones!$F345-F346-E346-G346-I345</f>
        <v>14.867339543535978</v>
      </c>
      <c r="I346" s="76">
        <f>MAX(0,(H346-Constantes!$D$14)*(1-EXP(-Constantes!$D$22)))</f>
        <v>0.12321986437815872</v>
      </c>
      <c r="J346" s="76">
        <f t="shared" si="15"/>
        <v>57.528199771048541</v>
      </c>
      <c r="K346" s="76">
        <f>MAX(0,(J346-Constantes!$D$13)*(1-EXP(-Constantes!$D$23)))</f>
        <v>8.6493693148432735E-2</v>
      </c>
      <c r="L346" s="76">
        <f t="shared" si="16"/>
        <v>0.20971355752659146</v>
      </c>
      <c r="M346" s="76">
        <f>0.0526*F346*Observaciones!$F345^1.218</f>
        <v>0</v>
      </c>
      <c r="N346" s="76">
        <f>M346*Constantes!$D$51</f>
        <v>0</v>
      </c>
      <c r="O346" s="76">
        <f t="shared" si="17"/>
        <v>0</v>
      </c>
      <c r="P346" s="15"/>
      <c r="Q346" s="75">
        <v>340</v>
      </c>
      <c r="R346" s="76">
        <f>0.0526*Observaciones!$F345^2.218</f>
        <v>0</v>
      </c>
      <c r="S346" s="76">
        <f>IF(Observaciones!$F345&gt;0.05*$W$7,((Observaciones!$F345-0.05*$W$7)^2)/(Observaciones!$F345+0.95*$W$7),0)</f>
        <v>0</v>
      </c>
      <c r="T346" s="76">
        <f>0.0526*S346*Observaciones!$F345^1.218</f>
        <v>0</v>
      </c>
      <c r="U346" s="29"/>
      <c r="V346" s="29"/>
      <c r="W346" s="109"/>
      <c r="X346" s="40"/>
    </row>
    <row r="347" spans="2:24" s="2" customFormat="1">
      <c r="B347" s="39"/>
      <c r="C347" s="75">
        <v>341</v>
      </c>
      <c r="D347" s="146">
        <f>ETo!$I346*((1-Constantes!$D$19)*ETo!$K346+ETo!$L346)</f>
        <v>4.235657843238533</v>
      </c>
      <c r="E347" s="76">
        <f>MIN(D347*Constantes!$D$17,0.8*(H346+Observaciones!$F346-F347-G347-Constantes!$D$14))</f>
        <v>2.1596939599020861</v>
      </c>
      <c r="F347" s="76">
        <f>IF(Observaciones!$F346&gt;0.05*Constantes!$D$18,((Observaciones!$F346-0.05*Constantes!$D$18)^2)/(Observaciones!$F346+0.95*Constantes!$D$18),0)</f>
        <v>0</v>
      </c>
      <c r="G347" s="76">
        <f>MAX(0,H346+Observaciones!$F346-F347-Constantes!$D$13)</f>
        <v>0</v>
      </c>
      <c r="H347" s="76">
        <f>H346+Observaciones!$F346-F347-E347-G347-I346</f>
        <v>12.684425719255733</v>
      </c>
      <c r="I347" s="76">
        <f>MAX(0,(H347-Constantes!$D$14)*(1-EXP(-Constantes!$D$22)))</f>
        <v>4.8861805882469064E-2</v>
      </c>
      <c r="J347" s="76">
        <f t="shared" si="15"/>
        <v>57.441706077900108</v>
      </c>
      <c r="K347" s="76">
        <f>MAX(0,(J347-Constantes!$D$13)*(1-EXP(-Constantes!$D$23)))</f>
        <v>8.5641450188648535E-2</v>
      </c>
      <c r="L347" s="76">
        <f t="shared" si="16"/>
        <v>0.1345032560711176</v>
      </c>
      <c r="M347" s="76">
        <f>0.0526*F347*Observaciones!$F346^1.218</f>
        <v>0</v>
      </c>
      <c r="N347" s="76">
        <f>M347*Constantes!$D$51</f>
        <v>0</v>
      </c>
      <c r="O347" s="76">
        <f t="shared" si="17"/>
        <v>0</v>
      </c>
      <c r="P347" s="15"/>
      <c r="Q347" s="75">
        <v>341</v>
      </c>
      <c r="R347" s="76">
        <f>0.0526*Observaciones!$F346^2.218</f>
        <v>3.1840930012055863E-4</v>
      </c>
      <c r="S347" s="76">
        <f>IF(Observaciones!$F346&gt;0.05*$W$7,((Observaciones!$F346-0.05*$W$7)^2)/(Observaciones!$F346+0.95*$W$7),0)</f>
        <v>0</v>
      </c>
      <c r="T347" s="76">
        <f>0.0526*S347*Observaciones!$F346^1.218</f>
        <v>0</v>
      </c>
      <c r="U347" s="29"/>
      <c r="V347" s="29"/>
      <c r="W347" s="109"/>
      <c r="X347" s="40"/>
    </row>
    <row r="348" spans="2:24" s="2" customFormat="1">
      <c r="B348" s="39"/>
      <c r="C348" s="75">
        <v>342</v>
      </c>
      <c r="D348" s="146">
        <f>ETo!$I347*((1-Constantes!$D$19)*ETo!$K347+ETo!$L347)</f>
        <v>4.2312617335567397</v>
      </c>
      <c r="E348" s="76">
        <f>MIN(D348*Constantes!$D$17,0.8*(H347+Observaciones!$F347-F348-G348-Constantes!$D$14))</f>
        <v>1.1475405754045866</v>
      </c>
      <c r="F348" s="76">
        <f>IF(Observaciones!$F347&gt;0.05*Constantes!$D$18,((Observaciones!$F347-0.05*Constantes!$D$18)^2)/(Observaciones!$F347+0.95*Constantes!$D$18),0)</f>
        <v>0</v>
      </c>
      <c r="G348" s="76">
        <f>MAX(0,H347+Observaciones!$F347-F348-Constantes!$D$13)</f>
        <v>0</v>
      </c>
      <c r="H348" s="76">
        <f>H347+Observaciones!$F347-F348-E348-G348-I347</f>
        <v>11.488023337968677</v>
      </c>
      <c r="I348" s="76">
        <f>MAX(0,(H348-Constantes!$D$14)*(1-EXP(-Constantes!$D$22)))</f>
        <v>8.1079486927753269E-3</v>
      </c>
      <c r="J348" s="76">
        <f t="shared" si="15"/>
        <v>57.356064627711461</v>
      </c>
      <c r="K348" s="76">
        <f>MAX(0,(J348-Constantes!$D$13)*(1-EXP(-Constantes!$D$23)))</f>
        <v>8.4797604581735589E-2</v>
      </c>
      <c r="L348" s="76">
        <f t="shared" si="16"/>
        <v>9.2905553274510916E-2</v>
      </c>
      <c r="M348" s="76">
        <f>0.0526*F348*Observaciones!$F347^1.218</f>
        <v>0</v>
      </c>
      <c r="N348" s="76">
        <f>M348*Constantes!$D$51</f>
        <v>0</v>
      </c>
      <c r="O348" s="76">
        <f t="shared" si="17"/>
        <v>0</v>
      </c>
      <c r="P348" s="15"/>
      <c r="Q348" s="75">
        <v>342</v>
      </c>
      <c r="R348" s="76">
        <f>0.0526*Observaciones!$F347^2.218</f>
        <v>0</v>
      </c>
      <c r="S348" s="76">
        <f>IF(Observaciones!$F347&gt;0.05*$W$7,((Observaciones!$F347-0.05*$W$7)^2)/(Observaciones!$F347+0.95*$W$7),0)</f>
        <v>0</v>
      </c>
      <c r="T348" s="76">
        <f>0.0526*S348*Observaciones!$F347^1.218</f>
        <v>0</v>
      </c>
      <c r="U348" s="29"/>
      <c r="V348" s="29"/>
      <c r="W348" s="109"/>
      <c r="X348" s="40"/>
    </row>
    <row r="349" spans="2:24" s="2" customFormat="1">
      <c r="B349" s="39"/>
      <c r="C349" s="75">
        <v>343</v>
      </c>
      <c r="D349" s="146">
        <f>ETo!$I348*((1-Constantes!$D$19)*ETo!$K348+ETo!$L348)</f>
        <v>4.3548793840279822</v>
      </c>
      <c r="E349" s="76">
        <f>MIN(D349*Constantes!$D$17,0.8*(H348+Observaciones!$F348-F349-G349-Constantes!$D$14))</f>
        <v>0.19041867037494173</v>
      </c>
      <c r="F349" s="76">
        <f>IF(Observaciones!$F348&gt;0.05*Constantes!$D$18,((Observaciones!$F348-0.05*Constantes!$D$18)^2)/(Observaciones!$F348+0.95*Constantes!$D$18),0)</f>
        <v>0</v>
      </c>
      <c r="G349" s="76">
        <f>MAX(0,H348+Observaciones!$F348-F349-Constantes!$D$13)</f>
        <v>0</v>
      </c>
      <c r="H349" s="76">
        <f>H348+Observaciones!$F348-F349-E349-G349-I348</f>
        <v>11.28949671890096</v>
      </c>
      <c r="I349" s="76">
        <f>MAX(0,(H349-Constantes!$D$14)*(1-EXP(-Constantes!$D$22)))</f>
        <v>1.3454032411901302E-3</v>
      </c>
      <c r="J349" s="76">
        <f t="shared" si="15"/>
        <v>57.271267023129724</v>
      </c>
      <c r="K349" s="76">
        <f>MAX(0,(J349-Constantes!$D$13)*(1-EXP(-Constantes!$D$23)))</f>
        <v>8.3962073586575883E-2</v>
      </c>
      <c r="L349" s="76">
        <f t="shared" si="16"/>
        <v>8.5307476827766016E-2</v>
      </c>
      <c r="M349" s="76">
        <f>0.0526*F349*Observaciones!$F348^1.218</f>
        <v>0</v>
      </c>
      <c r="N349" s="76">
        <f>M349*Constantes!$D$51</f>
        <v>0</v>
      </c>
      <c r="O349" s="76">
        <f t="shared" si="17"/>
        <v>0</v>
      </c>
      <c r="P349" s="15"/>
      <c r="Q349" s="75">
        <v>343</v>
      </c>
      <c r="R349" s="76">
        <f>0.0526*Observaciones!$F348^2.218</f>
        <v>0</v>
      </c>
      <c r="S349" s="76">
        <f>IF(Observaciones!$F348&gt;0.05*$W$7,((Observaciones!$F348-0.05*$W$7)^2)/(Observaciones!$F348+0.95*$W$7),0)</f>
        <v>0</v>
      </c>
      <c r="T349" s="76">
        <f>0.0526*S349*Observaciones!$F348^1.218</f>
        <v>0</v>
      </c>
      <c r="U349" s="29"/>
      <c r="V349" s="29"/>
      <c r="W349" s="109"/>
      <c r="X349" s="40"/>
    </row>
    <row r="350" spans="2:24" s="2" customFormat="1">
      <c r="B350" s="39"/>
      <c r="C350" s="75">
        <v>344</v>
      </c>
      <c r="D350" s="146">
        <f>ETo!$I349*((1-Constantes!$D$19)*ETo!$K349+ETo!$L349)</f>
        <v>4.0590837987461033</v>
      </c>
      <c r="E350" s="76">
        <f>MIN(D350*Constantes!$D$17,0.8*(H349+Observaciones!$F349-F350-G350-Constantes!$D$14))</f>
        <v>3.1597375120767879E-2</v>
      </c>
      <c r="F350" s="76">
        <f>IF(Observaciones!$F349&gt;0.05*Constantes!$D$18,((Observaciones!$F349-0.05*Constantes!$D$18)^2)/(Observaciones!$F349+0.95*Constantes!$D$18),0)</f>
        <v>0</v>
      </c>
      <c r="G350" s="76">
        <f>MAX(0,H349+Observaciones!$F349-F350-Constantes!$D$13)</f>
        <v>0</v>
      </c>
      <c r="H350" s="76">
        <f>H349+Observaciones!$F349-F350-E350-G350-I349</f>
        <v>11.256553940539002</v>
      </c>
      <c r="I350" s="76">
        <f>MAX(0,(H350-Constantes!$D$14)*(1-EXP(-Constantes!$D$22)))</f>
        <v>2.232512747666707E-4</v>
      </c>
      <c r="J350" s="76">
        <f t="shared" si="15"/>
        <v>57.187304949543147</v>
      </c>
      <c r="K350" s="76">
        <f>MAX(0,(J350-Constantes!$D$13)*(1-EXP(-Constantes!$D$23)))</f>
        <v>8.3134775277319467E-2</v>
      </c>
      <c r="L350" s="76">
        <f t="shared" si="16"/>
        <v>8.3358026552086142E-2</v>
      </c>
      <c r="M350" s="76">
        <f>0.0526*F350*Observaciones!$F349^1.218</f>
        <v>0</v>
      </c>
      <c r="N350" s="76">
        <f>M350*Constantes!$D$51</f>
        <v>0</v>
      </c>
      <c r="O350" s="76">
        <f t="shared" si="17"/>
        <v>0</v>
      </c>
      <c r="P350" s="15"/>
      <c r="Q350" s="75">
        <v>344</v>
      </c>
      <c r="R350" s="76">
        <f>0.0526*Observaciones!$F349^2.218</f>
        <v>0</v>
      </c>
      <c r="S350" s="76">
        <f>IF(Observaciones!$F349&gt;0.05*$W$7,((Observaciones!$F349-0.05*$W$7)^2)/(Observaciones!$F349+0.95*$W$7),0)</f>
        <v>0</v>
      </c>
      <c r="T350" s="76">
        <f>0.0526*S350*Observaciones!$F349^1.218</f>
        <v>0</v>
      </c>
      <c r="U350" s="29"/>
      <c r="V350" s="29"/>
      <c r="W350" s="109"/>
      <c r="X350" s="40"/>
    </row>
    <row r="351" spans="2:24" s="2" customFormat="1">
      <c r="B351" s="39"/>
      <c r="C351" s="75">
        <v>345</v>
      </c>
      <c r="D351" s="146">
        <f>ETo!$I350*((1-Constantes!$D$19)*ETo!$K350+ETo!$L350)</f>
        <v>4.2886197935879755</v>
      </c>
      <c r="E351" s="76">
        <f>MIN(D351*Constantes!$D$17,0.8*(H350+Observaciones!$F350-F351-G351-Constantes!$D$14))</f>
        <v>5.2431524312012813E-3</v>
      </c>
      <c r="F351" s="76">
        <f>IF(Observaciones!$F350&gt;0.05*Constantes!$D$18,((Observaciones!$F350-0.05*Constantes!$D$18)^2)/(Observaciones!$F350+0.95*Constantes!$D$18),0)</f>
        <v>0</v>
      </c>
      <c r="G351" s="76">
        <f>MAX(0,H350+Observaciones!$F350-F351-Constantes!$D$13)</f>
        <v>0</v>
      </c>
      <c r="H351" s="76">
        <f>H350+Observaciones!$F350-F351-E351-G351-I350</f>
        <v>11.251087536833033</v>
      </c>
      <c r="I351" s="76">
        <f>MAX(0,(H351-Constantes!$D$14)*(1-EXP(-Constantes!$D$22)))</f>
        <v>3.7045496962557967E-5</v>
      </c>
      <c r="J351" s="76">
        <f t="shared" si="15"/>
        <v>57.104170174265825</v>
      </c>
      <c r="K351" s="76">
        <f>MAX(0,(J351-Constantes!$D$13)*(1-EXP(-Constantes!$D$23)))</f>
        <v>8.2315628535351237E-2</v>
      </c>
      <c r="L351" s="76">
        <f t="shared" si="16"/>
        <v>8.2352674032313791E-2</v>
      </c>
      <c r="M351" s="76">
        <f>0.0526*F351*Observaciones!$F350^1.218</f>
        <v>0</v>
      </c>
      <c r="N351" s="76">
        <f>M351*Constantes!$D$51</f>
        <v>0</v>
      </c>
      <c r="O351" s="76">
        <f t="shared" si="17"/>
        <v>0</v>
      </c>
      <c r="P351" s="15"/>
      <c r="Q351" s="75">
        <v>345</v>
      </c>
      <c r="R351" s="76">
        <f>0.0526*Observaciones!$F350^2.218</f>
        <v>0</v>
      </c>
      <c r="S351" s="76">
        <f>IF(Observaciones!$F350&gt;0.05*$W$7,((Observaciones!$F350-0.05*$W$7)^2)/(Observaciones!$F350+0.95*$W$7),0)</f>
        <v>0</v>
      </c>
      <c r="T351" s="76">
        <f>0.0526*S351*Observaciones!$F350^1.218</f>
        <v>0</v>
      </c>
      <c r="U351" s="29"/>
      <c r="V351" s="29"/>
      <c r="W351" s="109"/>
      <c r="X351" s="40"/>
    </row>
    <row r="352" spans="2:24" s="2" customFormat="1">
      <c r="B352" s="39"/>
      <c r="C352" s="75">
        <v>346</v>
      </c>
      <c r="D352" s="146">
        <f>ETo!$I351*((1-Constantes!$D$19)*ETo!$K351+ETo!$L351)</f>
        <v>4.2091482452628179</v>
      </c>
      <c r="E352" s="76">
        <f>MIN(D352*Constantes!$D$17,0.8*(H351+Observaciones!$F351-F352-G352-Constantes!$D$14))</f>
        <v>8.7002946642655843E-4</v>
      </c>
      <c r="F352" s="76">
        <f>IF(Observaciones!$F351&gt;0.05*Constantes!$D$18,((Observaciones!$F351-0.05*Constantes!$D$18)^2)/(Observaciones!$F351+0.95*Constantes!$D$18),0)</f>
        <v>0</v>
      </c>
      <c r="G352" s="76">
        <f>MAX(0,H351+Observaciones!$F351-F352-Constantes!$D$13)</f>
        <v>0</v>
      </c>
      <c r="H352" s="76">
        <f>H351+Observaciones!$F351-F352-E352-G352-I351</f>
        <v>11.250180461869643</v>
      </c>
      <c r="I352" s="76">
        <f>MAX(0,(H352-Constantes!$D$14)*(1-EXP(-Constantes!$D$22)))</f>
        <v>6.1471937691356362E-6</v>
      </c>
      <c r="J352" s="76">
        <f t="shared" si="15"/>
        <v>57.021854545730477</v>
      </c>
      <c r="K352" s="76">
        <f>MAX(0,(J352-Constantes!$D$13)*(1-EXP(-Constantes!$D$23)))</f>
        <v>8.1504553041337247E-2</v>
      </c>
      <c r="L352" s="76">
        <f t="shared" si="16"/>
        <v>8.1510700235106384E-2</v>
      </c>
      <c r="M352" s="76">
        <f>0.0526*F352*Observaciones!$F351^1.218</f>
        <v>0</v>
      </c>
      <c r="N352" s="76">
        <f>M352*Constantes!$D$51</f>
        <v>0</v>
      </c>
      <c r="O352" s="76">
        <f t="shared" si="17"/>
        <v>0</v>
      </c>
      <c r="P352" s="15"/>
      <c r="Q352" s="75">
        <v>346</v>
      </c>
      <c r="R352" s="76">
        <f>0.0526*Observaciones!$F351^2.218</f>
        <v>0</v>
      </c>
      <c r="S352" s="76">
        <f>IF(Observaciones!$F351&gt;0.05*$W$7,((Observaciones!$F351-0.05*$W$7)^2)/(Observaciones!$F351+0.95*$W$7),0)</f>
        <v>0</v>
      </c>
      <c r="T352" s="76">
        <f>0.0526*S352*Observaciones!$F351^1.218</f>
        <v>0</v>
      </c>
      <c r="U352" s="29"/>
      <c r="V352" s="29"/>
      <c r="W352" s="109"/>
      <c r="X352" s="40"/>
    </row>
    <row r="353" spans="2:24" s="2" customFormat="1">
      <c r="B353" s="39"/>
      <c r="C353" s="75">
        <v>347</v>
      </c>
      <c r="D353" s="146">
        <f>ETo!$I352*((1-Constantes!$D$19)*ETo!$K352+ETo!$L352)</f>
        <v>4.0811014236991001</v>
      </c>
      <c r="E353" s="76">
        <f>MIN(D353*Constantes!$D$17,0.8*(H352+Observaciones!$F352-F353-G353-Constantes!$D$14))</f>
        <v>2.0808881219196231</v>
      </c>
      <c r="F353" s="76">
        <f>IF(Observaciones!$F352&gt;0.05*Constantes!$D$18,((Observaciones!$F352-0.05*Constantes!$D$18)^2)/(Observaciones!$F352+0.95*Constantes!$D$18),0)</f>
        <v>2.8233333877980072E-3</v>
      </c>
      <c r="G353" s="76">
        <f>MAX(0,H352+Observaciones!$F352-F353-Constantes!$D$13)</f>
        <v>0</v>
      </c>
      <c r="H353" s="76">
        <f>H352+Observaciones!$F352-F353-E353-G353-I352</f>
        <v>13.266462859368453</v>
      </c>
      <c r="I353" s="76">
        <f>MAX(0,(H353-Constantes!$D$14)*(1-EXP(-Constantes!$D$22)))</f>
        <v>6.8688127576792296E-2</v>
      </c>
      <c r="J353" s="76">
        <f t="shared" si="15"/>
        <v>56.940349992689143</v>
      </c>
      <c r="K353" s="76">
        <f>MAX(0,(J353-Constantes!$D$13)*(1-EXP(-Constantes!$D$23)))</f>
        <v>8.0701469267348891E-2</v>
      </c>
      <c r="L353" s="76">
        <f t="shared" si="16"/>
        <v>0.15221293023193921</v>
      </c>
      <c r="M353" s="76">
        <f>0.0526*F353*Observaciones!$F352^1.218</f>
        <v>8.2816838149954539E-4</v>
      </c>
      <c r="N353" s="76">
        <f>M353*Constantes!$D$51</f>
        <v>1.1643961711068925E-5</v>
      </c>
      <c r="O353" s="76">
        <f t="shared" si="17"/>
        <v>7.6497848726294642</v>
      </c>
      <c r="P353" s="15"/>
      <c r="Q353" s="75">
        <v>347</v>
      </c>
      <c r="R353" s="76">
        <f>0.0526*Observaciones!$F352^2.218</f>
        <v>1.2026529983397987</v>
      </c>
      <c r="S353" s="76">
        <f>IF(Observaciones!$F352&gt;0.05*$W$7,((Observaciones!$F352-0.05*$W$7)^2)/(Observaciones!$F352+0.95*$W$7),0)</f>
        <v>0.15155665486705905</v>
      </c>
      <c r="T353" s="76">
        <f>0.0526*S353*Observaciones!$F352^1.218</f>
        <v>4.4456113510785045E-2</v>
      </c>
      <c r="U353" s="29"/>
      <c r="V353" s="29"/>
      <c r="W353" s="109"/>
      <c r="X353" s="40"/>
    </row>
    <row r="354" spans="2:24" s="2" customFormat="1">
      <c r="B354" s="39"/>
      <c r="C354" s="75">
        <v>348</v>
      </c>
      <c r="D354" s="146">
        <f>ETo!$I353*((1-Constantes!$D$19)*ETo!$K353+ETo!$L353)</f>
        <v>4.3680210251473408</v>
      </c>
      <c r="E354" s="76">
        <f>MIN(D354*Constantes!$D$17,0.8*(H353+Observaciones!$F353-F354-G354-Constantes!$D$14))</f>
        <v>1.9331702874947625</v>
      </c>
      <c r="F354" s="76">
        <f>IF(Observaciones!$F353&gt;0.05*Constantes!$D$18,((Observaciones!$F353-0.05*Constantes!$D$18)^2)/(Observaciones!$F353+0.95*Constantes!$D$18),0)</f>
        <v>0</v>
      </c>
      <c r="G354" s="76">
        <f>MAX(0,H353+Observaciones!$F353-F354-Constantes!$D$13)</f>
        <v>0</v>
      </c>
      <c r="H354" s="76">
        <f>H353+Observaciones!$F353-F354-E354-G354-I353</f>
        <v>11.664604444296899</v>
      </c>
      <c r="I354" s="76">
        <f>MAX(0,(H354-Constantes!$D$14)*(1-EXP(-Constantes!$D$22)))</f>
        <v>1.4122949416826729E-2</v>
      </c>
      <c r="J354" s="76">
        <f t="shared" si="15"/>
        <v>56.859648523421797</v>
      </c>
      <c r="K354" s="76">
        <f>MAX(0,(J354-Constantes!$D$13)*(1-EXP(-Constantes!$D$23)))</f>
        <v>7.9906298469065301E-2</v>
      </c>
      <c r="L354" s="76">
        <f t="shared" si="16"/>
        <v>9.4029247885892037E-2</v>
      </c>
      <c r="M354" s="76">
        <f>0.0526*F354*Observaciones!$F353^1.218</f>
        <v>0</v>
      </c>
      <c r="N354" s="76">
        <f>M354*Constantes!$D$51</f>
        <v>0</v>
      </c>
      <c r="O354" s="76">
        <f t="shared" si="17"/>
        <v>0</v>
      </c>
      <c r="P354" s="15"/>
      <c r="Q354" s="75">
        <v>348</v>
      </c>
      <c r="R354" s="76">
        <f>0.0526*Observaciones!$F353^2.218</f>
        <v>6.8921513346888582E-3</v>
      </c>
      <c r="S354" s="76">
        <f>IF(Observaciones!$F353&gt;0.05*$W$7,((Observaciones!$F353-0.05*$W$7)^2)/(Observaciones!$F353+0.95*$W$7),0)</f>
        <v>0</v>
      </c>
      <c r="T354" s="76">
        <f>0.0526*S354*Observaciones!$F353^1.218</f>
        <v>0</v>
      </c>
      <c r="U354" s="29"/>
      <c r="V354" s="29"/>
      <c r="W354" s="109"/>
      <c r="X354" s="40"/>
    </row>
    <row r="355" spans="2:24" s="2" customFormat="1">
      <c r="B355" s="39"/>
      <c r="C355" s="75">
        <v>349</v>
      </c>
      <c r="D355" s="146">
        <f>ETo!$I354*((1-Constantes!$D$19)*ETo!$K354+ETo!$L354)</f>
        <v>4.2796775901430086</v>
      </c>
      <c r="E355" s="76">
        <f>MIN(D355*Constantes!$D$17,0.8*(H354+Observaciones!$F354-F355-G355-Constantes!$D$14))</f>
        <v>0.33168355543751887</v>
      </c>
      <c r="F355" s="76">
        <f>IF(Observaciones!$F354&gt;0.05*Constantes!$D$18,((Observaciones!$F354-0.05*Constantes!$D$18)^2)/(Observaciones!$F354+0.95*Constantes!$D$18),0)</f>
        <v>0</v>
      </c>
      <c r="G355" s="76">
        <f>MAX(0,H354+Observaciones!$F354-F355-Constantes!$D$13)</f>
        <v>0</v>
      </c>
      <c r="H355" s="76">
        <f>H354+Observaciones!$F354-F355-E355-G355-I354</f>
        <v>11.318797939442554</v>
      </c>
      <c r="I355" s="76">
        <f>MAX(0,(H355-Constantes!$D$14)*(1-EXP(-Constantes!$D$22)))</f>
        <v>2.3435103798195495E-3</v>
      </c>
      <c r="J355" s="76">
        <f t="shared" si="15"/>
        <v>56.779742224952734</v>
      </c>
      <c r="K355" s="76">
        <f>MAX(0,(J355-Constantes!$D$13)*(1-EXP(-Constantes!$D$23)))</f>
        <v>7.9118962678052129E-2</v>
      </c>
      <c r="L355" s="76">
        <f t="shared" si="16"/>
        <v>8.1462473057871673E-2</v>
      </c>
      <c r="M355" s="76">
        <f>0.0526*F355*Observaciones!$F354^1.218</f>
        <v>0</v>
      </c>
      <c r="N355" s="76">
        <f>M355*Constantes!$D$51</f>
        <v>0</v>
      </c>
      <c r="O355" s="76">
        <f t="shared" si="17"/>
        <v>0</v>
      </c>
      <c r="P355" s="15"/>
      <c r="Q355" s="75">
        <v>349</v>
      </c>
      <c r="R355" s="76">
        <f>0.0526*Observaciones!$F354^2.218</f>
        <v>0</v>
      </c>
      <c r="S355" s="76">
        <f>IF(Observaciones!$F354&gt;0.05*$W$7,((Observaciones!$F354-0.05*$W$7)^2)/(Observaciones!$F354+0.95*$W$7),0)</f>
        <v>0</v>
      </c>
      <c r="T355" s="76">
        <f>0.0526*S355*Observaciones!$F354^1.218</f>
        <v>0</v>
      </c>
      <c r="U355" s="29"/>
      <c r="V355" s="29"/>
      <c r="W355" s="109"/>
      <c r="X355" s="40"/>
    </row>
    <row r="356" spans="2:24" s="2" customFormat="1">
      <c r="B356" s="39"/>
      <c r="C356" s="75">
        <v>350</v>
      </c>
      <c r="D356" s="146">
        <f>ETo!$I355*((1-Constantes!$D$19)*ETo!$K355+ETo!$L355)</f>
        <v>4.3370420549243764</v>
      </c>
      <c r="E356" s="76">
        <f>MIN(D356*Constantes!$D$17,0.8*(H355+Observaciones!$F355-F356-G356-Constantes!$D$14))</f>
        <v>2.2113881424142265</v>
      </c>
      <c r="F356" s="76">
        <f>IF(Observaciones!$F355&gt;0.05*Constantes!$D$18,((Observaciones!$F355-0.05*Constantes!$D$18)^2)/(Observaciones!$F355+0.95*Constantes!$D$18),0)</f>
        <v>0.24551347968856085</v>
      </c>
      <c r="G356" s="76">
        <f>MAX(0,H355+Observaciones!$F355-F356-Constantes!$D$13)</f>
        <v>0</v>
      </c>
      <c r="H356" s="76">
        <f>H355+Observaciones!$F355-F356-E356-G356-I355</f>
        <v>16.859552806959947</v>
      </c>
      <c r="I356" s="76">
        <f>MAX(0,(H356-Constantes!$D$14)*(1-EXP(-Constantes!$D$22)))</f>
        <v>0.19108196169499272</v>
      </c>
      <c r="J356" s="76">
        <f t="shared" si="15"/>
        <v>56.700623262274682</v>
      </c>
      <c r="K356" s="76">
        <f>MAX(0,(J356-Constantes!$D$13)*(1-EXP(-Constantes!$D$23)))</f>
        <v>7.8339384694116554E-2</v>
      </c>
      <c r="L356" s="76">
        <f t="shared" si="16"/>
        <v>0.51493482607767005</v>
      </c>
      <c r="M356" s="76">
        <f>0.0526*F356*Observaciones!$F355^1.218</f>
        <v>0.16256411720054476</v>
      </c>
      <c r="N356" s="76">
        <f>M356*Constantes!$D$51</f>
        <v>2.2856346590405343E-3</v>
      </c>
      <c r="O356" s="76">
        <f t="shared" si="17"/>
        <v>443.86872732041263</v>
      </c>
      <c r="P356" s="15"/>
      <c r="Q356" s="75">
        <v>350</v>
      </c>
      <c r="R356" s="76">
        <f>0.0526*Observaciones!$F355^2.218</f>
        <v>5.2971141920764859</v>
      </c>
      <c r="S356" s="76">
        <f>IF(Observaciones!$F355&gt;0.05*$W$7,((Observaciones!$F355-0.05*$W$7)^2)/(Observaciones!$F355+0.95*$W$7),0)</f>
        <v>0.96053147319399168</v>
      </c>
      <c r="T356" s="76">
        <f>0.0526*S356*Observaciones!$F355^1.218</f>
        <v>0.63600561232400366</v>
      </c>
      <c r="U356" s="29"/>
      <c r="V356" s="29"/>
      <c r="W356" s="109"/>
      <c r="X356" s="40"/>
    </row>
    <row r="357" spans="2:24" s="2" customFormat="1">
      <c r="B357" s="39"/>
      <c r="C357" s="75">
        <v>351</v>
      </c>
      <c r="D357" s="146">
        <f>ETo!$I356*((1-Constantes!$D$19)*ETo!$K356+ETo!$L356)</f>
        <v>4.1913501732588365</v>
      </c>
      <c r="E357" s="76">
        <f>MIN(D357*Constantes!$D$17,0.8*(H356+Observaciones!$F356-F357-G357-Constantes!$D$14))</f>
        <v>2.1371021900344518</v>
      </c>
      <c r="F357" s="76">
        <f>IF(Observaciones!$F356&gt;0.05*Constantes!$D$18,((Observaciones!$F356-0.05*Constantes!$D$18)^2)/(Observaciones!$F356+0.95*Constantes!$D$18),0)</f>
        <v>0</v>
      </c>
      <c r="G357" s="76">
        <f>MAX(0,H356+Observaciones!$F356-F357-Constantes!$D$13)</f>
        <v>0</v>
      </c>
      <c r="H357" s="76">
        <f>H356+Observaciones!$F356-F357-E357-G357-I356</f>
        <v>16.331368655230502</v>
      </c>
      <c r="I357" s="76">
        <f>MAX(0,(H357-Constantes!$D$14)*(1-EXP(-Constantes!$D$22)))</f>
        <v>0.17309007048337147</v>
      </c>
      <c r="J357" s="76">
        <f t="shared" si="15"/>
        <v>56.622283877580564</v>
      </c>
      <c r="K357" s="76">
        <f>MAX(0,(J357-Constantes!$D$13)*(1-EXP(-Constantes!$D$23)))</f>
        <v>7.7567488077737695E-2</v>
      </c>
      <c r="L357" s="76">
        <f t="shared" si="16"/>
        <v>0.25065755856110916</v>
      </c>
      <c r="M357" s="76">
        <f>0.0526*F357*Observaciones!$F356^1.218</f>
        <v>0</v>
      </c>
      <c r="N357" s="76">
        <f>M357*Constantes!$D$51</f>
        <v>0</v>
      </c>
      <c r="O357" s="76">
        <f t="shared" si="17"/>
        <v>0</v>
      </c>
      <c r="P357" s="15"/>
      <c r="Q357" s="75">
        <v>351</v>
      </c>
      <c r="R357" s="76">
        <f>0.0526*Observaciones!$F356^2.218</f>
        <v>0.19372254258423433</v>
      </c>
      <c r="S357" s="76">
        <f>IF(Observaciones!$F356&gt;0.05*$W$7,((Observaciones!$F356-0.05*$W$7)^2)/(Observaciones!$F356+0.95*$W$7),0)</f>
        <v>1.3395249151634377E-4</v>
      </c>
      <c r="T357" s="76">
        <f>0.0526*S357*Observaciones!$F356^1.218</f>
        <v>1.441645402335511E-5</v>
      </c>
      <c r="U357" s="29"/>
      <c r="V357" s="29"/>
      <c r="W357" s="109"/>
      <c r="X357" s="40"/>
    </row>
    <row r="358" spans="2:24" s="2" customFormat="1">
      <c r="B358" s="39"/>
      <c r="C358" s="75">
        <v>352</v>
      </c>
      <c r="D358" s="146">
        <f>ETo!$I357*((1-Constantes!$D$19)*ETo!$K357+ETo!$L357)</f>
        <v>4.1604320399323784</v>
      </c>
      <c r="E358" s="76">
        <f>MIN(D358*Constantes!$D$17,0.8*(H357+Observaciones!$F357-F358-G358-Constantes!$D$14))</f>
        <v>2.1213375300293498</v>
      </c>
      <c r="F358" s="76">
        <f>IF(Observaciones!$F357&gt;0.05*Constantes!$D$18,((Observaciones!$F357-0.05*Constantes!$D$18)^2)/(Observaciones!$F357+0.95*Constantes!$D$18),0)</f>
        <v>0</v>
      </c>
      <c r="G358" s="76">
        <f>MAX(0,H357+Observaciones!$F357-F358-Constantes!$D$13)</f>
        <v>0</v>
      </c>
      <c r="H358" s="76">
        <f>H357+Observaciones!$F357-F358-E358-G358-I357</f>
        <v>14.636941054717781</v>
      </c>
      <c r="I358" s="76">
        <f>MAX(0,(H358-Constantes!$D$14)*(1-EXP(-Constantes!$D$22)))</f>
        <v>0.11537164603884301</v>
      </c>
      <c r="J358" s="76">
        <f t="shared" si="15"/>
        <v>56.544716389502824</v>
      </c>
      <c r="K358" s="76">
        <f>MAX(0,(J358-Constantes!$D$13)*(1-EXP(-Constantes!$D$23)))</f>
        <v>7.6803197142571458E-2</v>
      </c>
      <c r="L358" s="76">
        <f t="shared" si="16"/>
        <v>0.19217484318141448</v>
      </c>
      <c r="M358" s="76">
        <f>0.0526*F358*Observaciones!$F357^1.218</f>
        <v>0</v>
      </c>
      <c r="N358" s="76">
        <f>M358*Constantes!$D$51</f>
        <v>0</v>
      </c>
      <c r="O358" s="76">
        <f t="shared" si="17"/>
        <v>0</v>
      </c>
      <c r="P358" s="15"/>
      <c r="Q358" s="75">
        <v>352</v>
      </c>
      <c r="R358" s="76">
        <f>0.0526*Observaciones!$F357^2.218</f>
        <v>1.6940460723560119E-2</v>
      </c>
      <c r="S358" s="76">
        <f>IF(Observaciones!$F357&gt;0.05*$W$7,((Observaciones!$F357-0.05*$W$7)^2)/(Observaciones!$F357+0.95*$W$7),0)</f>
        <v>0</v>
      </c>
      <c r="T358" s="76">
        <f>0.0526*S358*Observaciones!$F357^1.218</f>
        <v>0</v>
      </c>
      <c r="U358" s="29"/>
      <c r="V358" s="29"/>
      <c r="W358" s="109"/>
      <c r="X358" s="40"/>
    </row>
    <row r="359" spans="2:24" s="2" customFormat="1">
      <c r="B359" s="39"/>
      <c r="C359" s="75">
        <v>353</v>
      </c>
      <c r="D359" s="146">
        <f>ETo!$I358*((1-Constantes!$D$19)*ETo!$K358+ETo!$L358)</f>
        <v>4.1604135687988872</v>
      </c>
      <c r="E359" s="76">
        <f>MIN(D359*Constantes!$D$17,0.8*(H358+Observaciones!$F358-F359-G359-Constantes!$D$14))</f>
        <v>2.12132811189481</v>
      </c>
      <c r="F359" s="76">
        <f>IF(Observaciones!$F358&gt;0.05*Constantes!$D$18,((Observaciones!$F358-0.05*Constantes!$D$18)^2)/(Observaciones!$F358+0.95*Constantes!$D$18),0)</f>
        <v>2.1253099411596037</v>
      </c>
      <c r="G359" s="76">
        <f>MAX(0,H358+Observaciones!$F358-F359-Constantes!$D$13)</f>
        <v>0</v>
      </c>
      <c r="H359" s="76">
        <f>H358+Observaciones!$F358-F359-E359-G359-I358</f>
        <v>27.474931355624523</v>
      </c>
      <c r="I359" s="76">
        <f>MAX(0,(H359-Constantes!$D$14)*(1-EXP(-Constantes!$D$22)))</f>
        <v>0.55268072491495279</v>
      </c>
      <c r="J359" s="76">
        <f t="shared" si="15"/>
        <v>56.46791319236025</v>
      </c>
      <c r="K359" s="76">
        <f>MAX(0,(J359-Constantes!$D$13)*(1-EXP(-Constantes!$D$23)))</f>
        <v>7.6046436948029317E-2</v>
      </c>
      <c r="L359" s="76">
        <f t="shared" si="16"/>
        <v>2.7540371030225859</v>
      </c>
      <c r="M359" s="76">
        <f>0.0526*F359*Observaciones!$F358^1.218</f>
        <v>3.5750462626281574</v>
      </c>
      <c r="N359" s="76">
        <f>M359*Constantes!$D$51</f>
        <v>5.0264780360206471E-2</v>
      </c>
      <c r="O359" s="76">
        <f t="shared" si="17"/>
        <v>1825.1308344771512</v>
      </c>
      <c r="P359" s="15"/>
      <c r="Q359" s="75">
        <v>353</v>
      </c>
      <c r="R359" s="76">
        <f>0.0526*Observaciones!$F358^2.218</f>
        <v>28.932625085098845</v>
      </c>
      <c r="S359" s="76">
        <f>IF(Observaciones!$F358&gt;0.05*$W$7,((Observaciones!$F358-0.05*$W$7)^2)/(Observaciones!$F358+0.95*$W$7),0)</f>
        <v>4.7753082397961304</v>
      </c>
      <c r="T359" s="76">
        <f>0.0526*S359*Observaciones!$F358^1.218</f>
        <v>8.0326862190584158</v>
      </c>
      <c r="U359" s="29"/>
      <c r="V359" s="29"/>
      <c r="W359" s="109"/>
      <c r="X359" s="40"/>
    </row>
    <row r="360" spans="2:24" s="2" customFormat="1">
      <c r="B360" s="39"/>
      <c r="C360" s="75">
        <v>354</v>
      </c>
      <c r="D360" s="146">
        <f>ETo!$I359*((1-Constantes!$D$19)*ETo!$K359+ETo!$L359)</f>
        <v>4.2398415479190623</v>
      </c>
      <c r="E360" s="76">
        <f>MIN(D360*Constantes!$D$17,0.8*(H359+Observaciones!$F359-F360-G360-Constantes!$D$14))</f>
        <v>2.1618271637780739</v>
      </c>
      <c r="F360" s="76">
        <f>IF(Observaciones!$F359&gt;0.05*Constantes!$D$18,((Observaciones!$F359-0.05*Constantes!$D$18)^2)/(Observaciones!$F359+0.95*Constantes!$D$18),0)</f>
        <v>0</v>
      </c>
      <c r="G360" s="76">
        <f>MAX(0,H359+Observaciones!$F359-F360-Constantes!$D$13)</f>
        <v>0</v>
      </c>
      <c r="H360" s="76">
        <f>H359+Observaciones!$F359-F360-E360-G360-I359</f>
        <v>24.760423466931496</v>
      </c>
      <c r="I360" s="76">
        <f>MAX(0,(H360-Constantes!$D$14)*(1-EXP(-Constantes!$D$22)))</f>
        <v>0.46021462106360161</v>
      </c>
      <c r="J360" s="76">
        <f t="shared" si="15"/>
        <v>56.391866755412224</v>
      </c>
      <c r="K360" s="76">
        <f>MAX(0,(J360-Constantes!$D$13)*(1-EXP(-Constantes!$D$23)))</f>
        <v>7.5297133291930302E-2</v>
      </c>
      <c r="L360" s="76">
        <f t="shared" si="16"/>
        <v>0.53551175435553189</v>
      </c>
      <c r="M360" s="76">
        <f>0.0526*F360*Observaciones!$F359^1.218</f>
        <v>0</v>
      </c>
      <c r="N360" s="76">
        <f>M360*Constantes!$D$51</f>
        <v>0</v>
      </c>
      <c r="O360" s="76">
        <f t="shared" si="17"/>
        <v>0</v>
      </c>
      <c r="P360" s="15"/>
      <c r="Q360" s="75">
        <v>354</v>
      </c>
      <c r="R360" s="76">
        <f>0.0526*Observaciones!$F359^2.218</f>
        <v>0</v>
      </c>
      <c r="S360" s="76">
        <f>IF(Observaciones!$F359&gt;0.05*$W$7,((Observaciones!$F359-0.05*$W$7)^2)/(Observaciones!$F359+0.95*$W$7),0)</f>
        <v>0</v>
      </c>
      <c r="T360" s="76">
        <f>0.0526*S360*Observaciones!$F359^1.218</f>
        <v>0</v>
      </c>
      <c r="U360" s="29"/>
      <c r="V360" s="29"/>
      <c r="W360" s="109"/>
      <c r="X360" s="40"/>
    </row>
    <row r="361" spans="2:24" s="2" customFormat="1">
      <c r="B361" s="39"/>
      <c r="C361" s="75">
        <v>355</v>
      </c>
      <c r="D361" s="146">
        <f>ETo!$I360*((1-Constantes!$D$19)*ETo!$K360+ETo!$L360)</f>
        <v>4.2398339091058226</v>
      </c>
      <c r="E361" s="76">
        <f>MIN(D361*Constantes!$D$17,0.8*(H360+Observaciones!$F360-F361-G361-Constantes!$D$14))</f>
        <v>2.1618232688697914</v>
      </c>
      <c r="F361" s="76">
        <f>IF(Observaciones!$F360&gt;0.05*Constantes!$D$18,((Observaciones!$F360-0.05*Constantes!$D$18)^2)/(Observaciones!$F360+0.95*Constantes!$D$18),0)</f>
        <v>0</v>
      </c>
      <c r="G361" s="76">
        <f>MAX(0,H360+Observaciones!$F360-F361-Constantes!$D$13)</f>
        <v>0</v>
      </c>
      <c r="H361" s="76">
        <f>H360+Observaciones!$F360-F361-E361-G361-I360</f>
        <v>22.1383855769981</v>
      </c>
      <c r="I361" s="76">
        <f>MAX(0,(H361-Constantes!$D$14)*(1-EXP(-Constantes!$D$22)))</f>
        <v>0.37089838483431853</v>
      </c>
      <c r="J361" s="76">
        <f t="shared" si="15"/>
        <v>56.316569622120291</v>
      </c>
      <c r="K361" s="76">
        <f>MAX(0,(J361-Constantes!$D$13)*(1-EXP(-Constantes!$D$23)))</f>
        <v>7.4555212703225002E-2</v>
      </c>
      <c r="L361" s="76">
        <f t="shared" si="16"/>
        <v>0.44545359753754354</v>
      </c>
      <c r="M361" s="76">
        <f>0.0526*F361*Observaciones!$F360^1.218</f>
        <v>0</v>
      </c>
      <c r="N361" s="76">
        <f>M361*Constantes!$D$51</f>
        <v>0</v>
      </c>
      <c r="O361" s="76">
        <f t="shared" si="17"/>
        <v>0</v>
      </c>
      <c r="P361" s="15"/>
      <c r="Q361" s="75">
        <v>355</v>
      </c>
      <c r="R361" s="76">
        <f>0.0526*Observaciones!$F360^2.218</f>
        <v>0</v>
      </c>
      <c r="S361" s="76">
        <f>IF(Observaciones!$F360&gt;0.05*$W$7,((Observaciones!$F360-0.05*$W$7)^2)/(Observaciones!$F360+0.95*$W$7),0)</f>
        <v>0</v>
      </c>
      <c r="T361" s="76">
        <f>0.0526*S361*Observaciones!$F360^1.218</f>
        <v>0</v>
      </c>
      <c r="U361" s="29"/>
      <c r="V361" s="29"/>
      <c r="W361" s="109"/>
      <c r="X361" s="40"/>
    </row>
    <row r="362" spans="2:24" s="2" customFormat="1">
      <c r="B362" s="39"/>
      <c r="C362" s="75">
        <v>356</v>
      </c>
      <c r="D362" s="146">
        <f>ETo!$I361*((1-Constantes!$D$19)*ETo!$K361+ETo!$L361)</f>
        <v>4.2574862770702984</v>
      </c>
      <c r="E362" s="76">
        <f>MIN(D362*Constantes!$D$17,0.8*(H361+Observaciones!$F361-F362-G362-Constantes!$D$14))</f>
        <v>2.1708239280074753</v>
      </c>
      <c r="F362" s="76">
        <f>IF(Observaciones!$F361&gt;0.05*Constantes!$D$18,((Observaciones!$F361-0.05*Constantes!$D$18)^2)/(Observaciones!$F361+0.95*Constantes!$D$18),0)</f>
        <v>1.3827508485621649</v>
      </c>
      <c r="G362" s="76">
        <f>MAX(0,H361+Observaciones!$F361-F362-Constantes!$D$13)</f>
        <v>0</v>
      </c>
      <c r="H362" s="76">
        <f>H361+Observaciones!$F361-F362-E362-G362-I361</f>
        <v>32.613912415594143</v>
      </c>
      <c r="I362" s="76">
        <f>MAX(0,(H362-Constantes!$D$14)*(1-EXP(-Constantes!$D$22)))</f>
        <v>0.72773328540320614</v>
      </c>
      <c r="J362" s="76">
        <f t="shared" si="15"/>
        <v>56.242014409417067</v>
      </c>
      <c r="K362" s="76">
        <f>MAX(0,(J362-Constantes!$D$13)*(1-EXP(-Constantes!$D$23)))</f>
        <v>7.3820602434791965E-2</v>
      </c>
      <c r="L362" s="76">
        <f t="shared" si="16"/>
        <v>2.1843047364001626</v>
      </c>
      <c r="M362" s="76">
        <f>0.0526*F362*Observaciones!$F361^1.218</f>
        <v>1.8733339041578174</v>
      </c>
      <c r="N362" s="76">
        <f>M362*Constantes!$D$51</f>
        <v>2.6338880763069634E-2</v>
      </c>
      <c r="O362" s="76">
        <f t="shared" si="17"/>
        <v>1205.8244586548558</v>
      </c>
      <c r="P362" s="15"/>
      <c r="Q362" s="75">
        <v>356</v>
      </c>
      <c r="R362" s="76">
        <f>0.0526*Observaciones!$F361^2.218</f>
        <v>19.508943529431356</v>
      </c>
      <c r="S362" s="76">
        <f>IF(Observaciones!$F361&gt;0.05*$W$7,((Observaciones!$F361-0.05*$W$7)^2)/(Observaciones!$F361+0.95*$W$7),0)</f>
        <v>3.3925456641945551</v>
      </c>
      <c r="T362" s="76">
        <f>0.0526*S362*Observaciones!$F361^1.218</f>
        <v>4.5961792905408876</v>
      </c>
      <c r="U362" s="29"/>
      <c r="V362" s="29"/>
      <c r="W362" s="109"/>
      <c r="X362" s="40"/>
    </row>
    <row r="363" spans="2:24" s="2" customFormat="1">
      <c r="B363" s="39"/>
      <c r="C363" s="75">
        <v>357</v>
      </c>
      <c r="D363" s="146">
        <f>ETo!$I362*((1-Constantes!$D$19)*ETo!$K362+ETo!$L362)</f>
        <v>4.3899602968195639</v>
      </c>
      <c r="E363" s="76">
        <f>MIN(D363*Constantes!$D$17,0.8*(H362+Observaciones!$F362-F363-G363-Constantes!$D$14))</f>
        <v>2.2383703047180377</v>
      </c>
      <c r="F363" s="76">
        <f>IF(Observaciones!$F362&gt;0.05*Constantes!$D$18,((Observaciones!$F362-0.05*Constantes!$D$18)^2)/(Observaciones!$F362+0.95*Constantes!$D$18),0)</f>
        <v>0</v>
      </c>
      <c r="G363" s="76">
        <f>MAX(0,H362+Observaciones!$F362-F363-Constantes!$D$13)</f>
        <v>0</v>
      </c>
      <c r="H363" s="76">
        <f>H362+Observaciones!$F362-F363-E363-G363-I362</f>
        <v>31.847808825472899</v>
      </c>
      <c r="I363" s="76">
        <f>MAX(0,(H363-Constantes!$D$14)*(1-EXP(-Constantes!$D$22)))</f>
        <v>0.70163698469982128</v>
      </c>
      <c r="J363" s="76">
        <f t="shared" si="15"/>
        <v>56.168193806982273</v>
      </c>
      <c r="K363" s="76">
        <f>MAX(0,(J363-Constantes!$D$13)*(1-EXP(-Constantes!$D$23)))</f>
        <v>7.3093230456304309E-2</v>
      </c>
      <c r="L363" s="76">
        <f t="shared" si="16"/>
        <v>0.77473021515612561</v>
      </c>
      <c r="M363" s="76">
        <f>0.0526*F363*Observaciones!$F362^1.218</f>
        <v>0</v>
      </c>
      <c r="N363" s="76">
        <f>M363*Constantes!$D$51</f>
        <v>0</v>
      </c>
      <c r="O363" s="76">
        <f t="shared" si="17"/>
        <v>0</v>
      </c>
      <c r="P363" s="15"/>
      <c r="Q363" s="75">
        <v>357</v>
      </c>
      <c r="R363" s="76">
        <f>0.0526*Observaciones!$F362^2.218</f>
        <v>0.30232861200727251</v>
      </c>
      <c r="S363" s="76">
        <f>IF(Observaciones!$F362&gt;0.05*$W$7,((Observaciones!$F362-0.05*$W$7)^2)/(Observaciones!$F362+0.95*$W$7),0)</f>
        <v>6.2440408225724973E-3</v>
      </c>
      <c r="T363" s="76">
        <f>0.0526*S363*Observaciones!$F362^1.218</f>
        <v>8.5806917963867778E-4</v>
      </c>
      <c r="U363" s="29"/>
      <c r="V363" s="29"/>
      <c r="W363" s="109"/>
      <c r="X363" s="40"/>
    </row>
    <row r="364" spans="2:24" s="2" customFormat="1">
      <c r="B364" s="39"/>
      <c r="C364" s="75">
        <v>358</v>
      </c>
      <c r="D364" s="146">
        <f>ETo!$I363*((1-Constantes!$D$19)*ETo!$K363+ETo!$L363)</f>
        <v>4.2442609920368355</v>
      </c>
      <c r="E364" s="76">
        <f>MIN(D364*Constantes!$D$17,0.8*(H363+Observaciones!$F363-F364-G364-Constantes!$D$14))</f>
        <v>2.1640805674099362</v>
      </c>
      <c r="F364" s="76">
        <f>IF(Observaciones!$F363&gt;0.05*Constantes!$D$18,((Observaciones!$F363-0.05*Constantes!$D$18)^2)/(Observaciones!$F363+0.95*Constantes!$D$18),0)</f>
        <v>0</v>
      </c>
      <c r="G364" s="76">
        <f>MAX(0,H363+Observaciones!$F363-F364-Constantes!$D$13)</f>
        <v>0</v>
      </c>
      <c r="H364" s="76">
        <f>H363+Observaciones!$F363-F364-E364-G364-I363</f>
        <v>28.982091273363142</v>
      </c>
      <c r="I364" s="76">
        <f>MAX(0,(H364-Constantes!$D$14)*(1-EXP(-Constantes!$D$22)))</f>
        <v>0.60402012461045784</v>
      </c>
      <c r="J364" s="76">
        <f t="shared" si="15"/>
        <v>56.095100576525972</v>
      </c>
      <c r="K364" s="76">
        <f>MAX(0,(J364-Constantes!$D$13)*(1-EXP(-Constantes!$D$23)))</f>
        <v>7.2373025447167255E-2</v>
      </c>
      <c r="L364" s="76">
        <f t="shared" si="16"/>
        <v>0.67639315005762513</v>
      </c>
      <c r="M364" s="76">
        <f>0.0526*F364*Observaciones!$F363^1.218</f>
        <v>0</v>
      </c>
      <c r="N364" s="76">
        <f>M364*Constantes!$D$51</f>
        <v>0</v>
      </c>
      <c r="O364" s="76">
        <f t="shared" si="17"/>
        <v>0</v>
      </c>
      <c r="P364" s="15"/>
      <c r="Q364" s="75">
        <v>358</v>
      </c>
      <c r="R364" s="76">
        <f>0.0526*Observaciones!$F363^2.218</f>
        <v>0</v>
      </c>
      <c r="S364" s="76">
        <f>IF(Observaciones!$F363&gt;0.05*$W$7,((Observaciones!$F363-0.05*$W$7)^2)/(Observaciones!$F363+0.95*$W$7),0)</f>
        <v>0</v>
      </c>
      <c r="T364" s="76">
        <f>0.0526*S364*Observaciones!$F363^1.218</f>
        <v>0</v>
      </c>
      <c r="U364" s="29"/>
      <c r="V364" s="29"/>
      <c r="W364" s="109"/>
      <c r="X364" s="40"/>
    </row>
    <row r="365" spans="2:24" s="2" customFormat="1">
      <c r="B365" s="39"/>
      <c r="C365" s="75">
        <v>359</v>
      </c>
      <c r="D365" s="146">
        <f>ETo!$I364*((1-Constantes!$D$19)*ETo!$K364+ETo!$L364)</f>
        <v>4.2486906787699699</v>
      </c>
      <c r="E365" s="76">
        <f>MIN(D365*Constantes!$D$17,0.8*(H364+Observaciones!$F364-F365-G365-Constantes!$D$14))</f>
        <v>2.166339193586996</v>
      </c>
      <c r="F365" s="76">
        <f>IF(Observaciones!$F364&gt;0.05*Constantes!$D$18,((Observaciones!$F364-0.05*Constantes!$D$18)^2)/(Observaciones!$F364+0.95*Constantes!$D$18),0)</f>
        <v>4.0607632937147491</v>
      </c>
      <c r="G365" s="76">
        <f>MAX(0,H364+Observaciones!$F364-F365-Constantes!$D$13)</f>
        <v>0</v>
      </c>
      <c r="H365" s="76">
        <f>H364+Observaciones!$F364-F365-E365-G365-I364</f>
        <v>45.150968661450932</v>
      </c>
      <c r="I365" s="76">
        <f>MAX(0,(H365-Constantes!$D$14)*(1-EXP(-Constantes!$D$22)))</f>
        <v>1.1547914456127819</v>
      </c>
      <c r="J365" s="76">
        <f t="shared" si="15"/>
        <v>56.022727551078802</v>
      </c>
      <c r="K365" s="76">
        <f>MAX(0,(J365-Constantes!$D$13)*(1-EXP(-Constantes!$D$23)))</f>
        <v>7.1659916789524616E-2</v>
      </c>
      <c r="L365" s="76">
        <f t="shared" si="16"/>
        <v>5.2872146561170554</v>
      </c>
      <c r="M365" s="76">
        <f>0.0526*F365*Observaciones!$F364^1.218</f>
        <v>9.7314582362282849</v>
      </c>
      <c r="N365" s="76">
        <f>M365*Constantes!$D$51</f>
        <v>0.13682329539113258</v>
      </c>
      <c r="O365" s="76">
        <f t="shared" si="17"/>
        <v>2587.8142706544841</v>
      </c>
      <c r="P365" s="15"/>
      <c r="Q365" s="75">
        <v>359</v>
      </c>
      <c r="R365" s="76">
        <f>0.0526*Observaciones!$F364^2.218</f>
        <v>55.118588118564972</v>
      </c>
      <c r="S365" s="76">
        <f>IF(Observaciones!$F364&gt;0.05*$W$7,((Observaciones!$F364-0.05*$W$7)^2)/(Observaciones!$F364+0.95*$W$7),0)</f>
        <v>8.0912125154299339</v>
      </c>
      <c r="T365" s="76">
        <f>0.0526*S365*Observaciones!$F364^1.218</f>
        <v>19.390270000772201</v>
      </c>
      <c r="U365" s="29"/>
      <c r="V365" s="29"/>
      <c r="W365" s="109"/>
      <c r="X365" s="40"/>
    </row>
    <row r="366" spans="2:24" s="2" customFormat="1">
      <c r="B366" s="39"/>
      <c r="C366" s="75">
        <v>360</v>
      </c>
      <c r="D366" s="146">
        <f>ETo!$I365*((1-Constantes!$D$19)*ETo!$K365+ETo!$L365)</f>
        <v>4.2045781823701418</v>
      </c>
      <c r="E366" s="76">
        <f>MIN(D366*Constantes!$D$17,0.8*(H365+Observaciones!$F365-F366-G366-Constantes!$D$14))</f>
        <v>2.1438469395955666</v>
      </c>
      <c r="F366" s="76">
        <f>IF(Observaciones!$F365&gt;0.05*Constantes!$D$18,((Observaciones!$F365-0.05*Constantes!$D$18)^2)/(Observaciones!$F365+0.95*Constantes!$D$18),0)</f>
        <v>3.2922405527558433E-4</v>
      </c>
      <c r="G366" s="76">
        <f>MAX(0,H365+Observaciones!$F365-F366-Constantes!$D$13)</f>
        <v>0.20063943739565104</v>
      </c>
      <c r="H366" s="76">
        <f>H365+Observaciones!$F365-F366-E366-G366-I365</f>
        <v>45.451361614791651</v>
      </c>
      <c r="I366" s="76">
        <f>MAX(0,(H366-Constantes!$D$14)*(1-EXP(-Constantes!$D$22)))</f>
        <v>1.1650239323686744</v>
      </c>
      <c r="J366" s="76">
        <f t="shared" si="15"/>
        <v>56.151707071684932</v>
      </c>
      <c r="K366" s="76">
        <f>MAX(0,(J366-Constantes!$D$13)*(1-EXP(-Constantes!$D$23)))</f>
        <v>7.2930782726585194E-2</v>
      </c>
      <c r="L366" s="76">
        <f t="shared" si="16"/>
        <v>1.2382839391505354</v>
      </c>
      <c r="M366" s="76">
        <f>0.0526*F366*Observaciones!$F365^1.218</f>
        <v>8.8034666824685128E-5</v>
      </c>
      <c r="N366" s="76">
        <f>M366*Constantes!$D$51</f>
        <v>1.2377583021187898E-6</v>
      </c>
      <c r="O366" s="76">
        <f t="shared" si="17"/>
        <v>9.9957551171009601E-2</v>
      </c>
      <c r="P366" s="15"/>
      <c r="Q366" s="75">
        <v>360</v>
      </c>
      <c r="R366" s="76">
        <f>0.0526*Observaciones!$F365^2.218</f>
        <v>1.0161217826375908</v>
      </c>
      <c r="S366" s="76">
        <f>IF(Observaciones!$F365&gt;0.05*$W$7,((Observaciones!$F365-0.05*$W$7)^2)/(Observaciones!$F365+0.95*$W$7),0)</f>
        <v>0.11653532226287651</v>
      </c>
      <c r="T366" s="76">
        <f>0.0526*S366*Observaciones!$F365^1.218</f>
        <v>3.1161599841578999E-2</v>
      </c>
      <c r="U366" s="29"/>
      <c r="V366" s="29"/>
      <c r="W366" s="109"/>
      <c r="X366" s="40"/>
    </row>
    <row r="367" spans="2:24" s="2" customFormat="1">
      <c r="B367" s="39"/>
      <c r="C367" s="75">
        <v>361</v>
      </c>
      <c r="D367" s="146">
        <f>ETo!$I366*((1-Constantes!$D$19)*ETo!$K366+ETo!$L366)</f>
        <v>4.3458602396389781</v>
      </c>
      <c r="E367" s="76">
        <f>MIN(D367*Constantes!$D$17,0.8*(H366+Observaciones!$F366-F367-G367-Constantes!$D$14))</f>
        <v>2.215884393284874</v>
      </c>
      <c r="F367" s="76">
        <f>IF(Observaciones!$F366&gt;0.05*Constantes!$D$18,((Observaciones!$F366-0.05*Constantes!$D$18)^2)/(Observaciones!$F366+0.95*Constantes!$D$18),0)</f>
        <v>0</v>
      </c>
      <c r="G367" s="76">
        <f>MAX(0,H366+Observaciones!$F366-F367-Constantes!$D$13)</f>
        <v>0</v>
      </c>
      <c r="H367" s="76">
        <f>H366+Observaciones!$F366-F367-E367-G367-I366</f>
        <v>44.870453289138098</v>
      </c>
      <c r="I367" s="76">
        <f>MAX(0,(H367-Constantes!$D$14)*(1-EXP(-Constantes!$D$22)))</f>
        <v>1.1452360622387932</v>
      </c>
      <c r="J367" s="76">
        <f t="shared" si="15"/>
        <v>56.078776288958345</v>
      </c>
      <c r="K367" s="76">
        <f>MAX(0,(J367-Constantes!$D$13)*(1-EXP(-Constantes!$D$23)))</f>
        <v>7.2212178353621037E-2</v>
      </c>
      <c r="L367" s="76">
        <f t="shared" si="16"/>
        <v>1.2174482405924141</v>
      </c>
      <c r="M367" s="76">
        <f>0.0526*F367*Observaciones!$F366^1.218</f>
        <v>0</v>
      </c>
      <c r="N367" s="76">
        <f>M367*Constantes!$D$51</f>
        <v>0</v>
      </c>
      <c r="O367" s="76">
        <f t="shared" si="17"/>
        <v>0</v>
      </c>
      <c r="P367" s="15"/>
      <c r="Q367" s="75">
        <v>361</v>
      </c>
      <c r="R367" s="76">
        <f>0.0526*Observaciones!$F366^2.218</f>
        <v>0.51615751836785251</v>
      </c>
      <c r="S367" s="76">
        <f>IF(Observaciones!$F366&gt;0.05*$W$7,((Observaciones!$F366-0.05*$W$7)^2)/(Observaciones!$F366+0.95*$W$7),0)</f>
        <v>3.1957062669984396E-2</v>
      </c>
      <c r="T367" s="76">
        <f>0.0526*S367*Observaciones!$F366^1.218</f>
        <v>5.8910279150232447E-3</v>
      </c>
      <c r="U367" s="29"/>
      <c r="V367" s="29"/>
      <c r="W367" s="109"/>
      <c r="X367" s="40"/>
    </row>
    <row r="368" spans="2:24" s="2" customFormat="1">
      <c r="B368" s="39"/>
      <c r="C368" s="75">
        <v>362</v>
      </c>
      <c r="D368" s="146">
        <f>ETo!$I367*((1-Constantes!$D$19)*ETo!$K367+ETo!$L367)</f>
        <v>4.3900651411328715</v>
      </c>
      <c r="E368" s="76">
        <f>MIN(D368*Constantes!$D$17,0.8*(H367+Observaciones!$F367-F368-G368-Constantes!$D$14))</f>
        <v>2.238423763150839</v>
      </c>
      <c r="F368" s="76">
        <f>IF(Observaciones!$F367&gt;0.05*Constantes!$D$18,((Observaciones!$F367-0.05*Constantes!$D$18)^2)/(Observaciones!$F367+0.95*Constantes!$D$18),0)</f>
        <v>9.3304447328806397E-2</v>
      </c>
      <c r="G368" s="76">
        <f>MAX(0,H367+Observaciones!$F367-F368-Constantes!$D$13)</f>
        <v>2.32714884180929</v>
      </c>
      <c r="H368" s="76">
        <f>H367+Observaciones!$F367-F368-E368-G368-I367</f>
        <v>45.366340174610364</v>
      </c>
      <c r="I368" s="76">
        <f>MAX(0,(H368-Constantes!$D$14)*(1-EXP(-Constantes!$D$22)))</f>
        <v>1.1621277899960032</v>
      </c>
      <c r="J368" s="76">
        <f t="shared" si="15"/>
        <v>58.333712952414011</v>
      </c>
      <c r="K368" s="76">
        <f>MAX(0,(J368-Constantes!$D$13)*(1-EXP(-Constantes!$D$23)))</f>
        <v>9.4430606382718871E-2</v>
      </c>
      <c r="L368" s="76">
        <f t="shared" si="16"/>
        <v>1.3498628437075286</v>
      </c>
      <c r="M368" s="76">
        <f>0.0526*F368*Observaciones!$F367^1.218</f>
        <v>4.6183291089063667E-2</v>
      </c>
      <c r="N368" s="76">
        <f>M368*Constantes!$D$51</f>
        <v>6.493322917720003E-4</v>
      </c>
      <c r="O368" s="76">
        <f t="shared" si="17"/>
        <v>48.103575470567549</v>
      </c>
      <c r="P368" s="15"/>
      <c r="Q368" s="75">
        <v>362</v>
      </c>
      <c r="R368" s="76">
        <f>0.0526*Observaciones!$F367^2.218</f>
        <v>3.1183372517686312</v>
      </c>
      <c r="S368" s="76">
        <f>IF(Observaciones!$F367&gt;0.05*$W$7,((Observaciones!$F367-0.05*$W$7)^2)/(Observaciones!$F367+0.95*$W$7),0)</f>
        <v>0.53229249011857738</v>
      </c>
      <c r="T368" s="76">
        <f>0.0526*S368*Observaciones!$F367^1.218</f>
        <v>0.26347103186880089</v>
      </c>
      <c r="U368" s="29"/>
      <c r="V368" s="29"/>
      <c r="W368" s="109"/>
      <c r="X368" s="40"/>
    </row>
    <row r="369" spans="2:24" s="2" customFormat="1">
      <c r="B369" s="39"/>
      <c r="C369" s="75">
        <v>363</v>
      </c>
      <c r="D369" s="146">
        <f>ETo!$I368*((1-Constantes!$D$19)*ETo!$K368+ETo!$L368)</f>
        <v>4.2090750918459827</v>
      </c>
      <c r="E369" s="76">
        <f>MIN(D369*Constantes!$D$17,0.8*(H368+Observaciones!$F368-F369-G369-Constantes!$D$14))</f>
        <v>2.1461398415703341</v>
      </c>
      <c r="F369" s="76">
        <f>IF(Observaciones!$F368&gt;0.05*Constantes!$D$18,((Observaciones!$F368-0.05*Constantes!$D$18)^2)/(Observaciones!$F368+0.95*Constantes!$D$18),0)</f>
        <v>8.8946872877963725E-4</v>
      </c>
      <c r="G369" s="76">
        <f>MAX(0,H368+Observaciones!$F368-F369-Constantes!$D$13)</f>
        <v>0.51545070588158381</v>
      </c>
      <c r="H369" s="76">
        <f>H368+Observaciones!$F368-F369-E369-G369-I368</f>
        <v>45.441732368433662</v>
      </c>
      <c r="I369" s="76">
        <f>MAX(0,(H369-Constantes!$D$14)*(1-EXP(-Constantes!$D$22)))</f>
        <v>1.1646959248880342</v>
      </c>
      <c r="J369" s="76">
        <f t="shared" si="15"/>
        <v>58.754733051912879</v>
      </c>
      <c r="K369" s="76">
        <f>MAX(0,(J369-Constantes!$D$13)*(1-EXP(-Constantes!$D$23)))</f>
        <v>9.8579017702256203E-2</v>
      </c>
      <c r="L369" s="76">
        <f t="shared" si="16"/>
        <v>1.2641644113190702</v>
      </c>
      <c r="M369" s="76">
        <f>0.0526*F369*Observaciones!$F368^1.218</f>
        <v>2.4548961207897317E-4</v>
      </c>
      <c r="N369" s="76">
        <f>M369*Constantes!$D$51</f>
        <v>3.4515585325015168E-6</v>
      </c>
      <c r="O369" s="76">
        <f t="shared" si="17"/>
        <v>0.2730308258638644</v>
      </c>
      <c r="P369" s="15"/>
      <c r="Q369" s="75">
        <v>363</v>
      </c>
      <c r="R369" s="76">
        <f>0.0526*Observaciones!$F368^2.218</f>
        <v>1.0763835266267017</v>
      </c>
      <c r="S369" s="76">
        <f>IF(Observaciones!$F368&gt;0.05*$W$7,((Observaciones!$F368-0.05*$W$7)^2)/(Observaciones!$F368+0.95*$W$7),0)</f>
        <v>0.12772912526524982</v>
      </c>
      <c r="T369" s="76">
        <f>0.0526*S369*Observaciones!$F368^1.218</f>
        <v>3.5252699052808555E-2</v>
      </c>
      <c r="U369" s="29"/>
      <c r="V369" s="29"/>
      <c r="W369" s="109"/>
      <c r="X369" s="40"/>
    </row>
    <row r="370" spans="2:24" s="2" customFormat="1">
      <c r="B370" s="39"/>
      <c r="C370" s="75">
        <v>364</v>
      </c>
      <c r="D370" s="146">
        <f>ETo!$I369*((1-Constantes!$D$19)*ETo!$K369+ETo!$L369)</f>
        <v>4.2135189994709945</v>
      </c>
      <c r="E370" s="76">
        <f>MIN(D370*Constantes!$D$17,0.8*(H369+Observaciones!$F369-F370-G370-Constantes!$D$14))</f>
        <v>2.1484057187519441</v>
      </c>
      <c r="F370" s="76">
        <f>IF(Observaciones!$F369&gt;0.05*Constantes!$D$18,((Observaciones!$F369-0.05*Constantes!$D$18)^2)/(Observaciones!$F369+0.95*Constantes!$D$18),0)</f>
        <v>2.8233333877980072E-3</v>
      </c>
      <c r="G370" s="76">
        <f>MAX(0,H369+Observaciones!$F369-F370-Constantes!$D$13)</f>
        <v>0.78890903504586873</v>
      </c>
      <c r="H370" s="76">
        <f>H369+Observaciones!$F369-F370-E370-G370-I369</f>
        <v>45.436898356360018</v>
      </c>
      <c r="I370" s="76">
        <f>MAX(0,(H370-Constantes!$D$14)*(1-EXP(-Constantes!$D$22)))</f>
        <v>1.1645312606907843</v>
      </c>
      <c r="J370" s="76">
        <f t="shared" si="15"/>
        <v>59.445063069256491</v>
      </c>
      <c r="K370" s="76">
        <f>MAX(0,(J370-Constantes!$D$13)*(1-EXP(-Constantes!$D$23)))</f>
        <v>0.10538100378694273</v>
      </c>
      <c r="L370" s="76">
        <f t="shared" si="16"/>
        <v>1.272735597865525</v>
      </c>
      <c r="M370" s="76">
        <f>0.0526*F370*Observaciones!$F369^1.218</f>
        <v>8.2816838149954539E-4</v>
      </c>
      <c r="N370" s="76">
        <f>M370*Constantes!$D$51</f>
        <v>1.1643961711068925E-5</v>
      </c>
      <c r="O370" s="76">
        <f t="shared" si="17"/>
        <v>0.91487672149633747</v>
      </c>
      <c r="P370" s="15"/>
      <c r="Q370" s="75">
        <v>364</v>
      </c>
      <c r="R370" s="76">
        <f>0.0526*Observaciones!$F369^2.218</f>
        <v>1.2026529983397987</v>
      </c>
      <c r="S370" s="76">
        <f>IF(Observaciones!$F369&gt;0.05*$W$7,((Observaciones!$F369-0.05*$W$7)^2)/(Observaciones!$F369+0.95*$W$7),0)</f>
        <v>0.15155665486705905</v>
      </c>
      <c r="T370" s="76">
        <f>0.0526*S370*Observaciones!$F369^1.218</f>
        <v>4.4456113510785045E-2</v>
      </c>
      <c r="U370" s="29"/>
      <c r="V370" s="29"/>
      <c r="W370" s="109"/>
      <c r="X370" s="40"/>
    </row>
    <row r="371" spans="2:24" s="2" customFormat="1">
      <c r="B371" s="39"/>
      <c r="C371" s="75">
        <v>365</v>
      </c>
      <c r="D371" s="146">
        <f>ETo!$I370*((1-Constantes!$D$19)*ETo!$K370+ETo!$L370)</f>
        <v>4.0413602841194747</v>
      </c>
      <c r="E371" s="76">
        <f>MIN(D371*Constantes!$D$17,0.8*(H370+Observaciones!$F370-F371-G371-Constantes!$D$14))</f>
        <v>2.0606247526187356</v>
      </c>
      <c r="F371" s="76">
        <f>IF(Observaciones!$F370&gt;0.05*Constantes!$D$18,((Observaciones!$F370-0.05*Constantes!$D$18)^2)/(Observaciones!$F370+0.95*Constantes!$D$18),0)</f>
        <v>0</v>
      </c>
      <c r="G371" s="76">
        <f>MAX(0,H370+Observaciones!$F370-F371-Constantes!$D$13)</f>
        <v>0</v>
      </c>
      <c r="H371" s="76">
        <f>H370+Observaciones!$F370-F371-E371-G371-I370</f>
        <v>44.711742343050496</v>
      </c>
      <c r="I371" s="76">
        <f>MAX(0,(H371-Constantes!$D$14)*(1-EXP(-Constantes!$D$22)))</f>
        <v>1.1398297847752383</v>
      </c>
      <c r="J371" s="76">
        <f t="shared" si="15"/>
        <v>59.339682065469546</v>
      </c>
      <c r="K371" s="76">
        <f>MAX(0,(J371-Constantes!$D$13)*(1-EXP(-Constantes!$D$23)))</f>
        <v>0.10434265965683037</v>
      </c>
      <c r="L371" s="76">
        <f t="shared" si="16"/>
        <v>1.2441724444320688</v>
      </c>
      <c r="M371" s="76">
        <f>0.0526*F371*Observaciones!$F370^1.218</f>
        <v>0</v>
      </c>
      <c r="N371" s="76">
        <f>M371*Constantes!$D$51</f>
        <v>0</v>
      </c>
      <c r="O371" s="76">
        <f t="shared" si="17"/>
        <v>0</v>
      </c>
      <c r="P371" s="15"/>
      <c r="Q371" s="75">
        <v>365</v>
      </c>
      <c r="R371" s="76">
        <f>0.0526*Observaciones!$F370^2.218</f>
        <v>0.40143633905347276</v>
      </c>
      <c r="S371" s="76">
        <f>IF(Observaciones!$F370&gt;0.05*$W$7,((Observaciones!$F370-0.05*$W$7)^2)/(Observaciones!$F370+0.95*$W$7),0)</f>
        <v>1.6667444764761515E-2</v>
      </c>
      <c r="T371" s="76">
        <f>0.0526*S371*Observaciones!$F370^1.218</f>
        <v>2.6763672030967324E-3</v>
      </c>
      <c r="U371" s="29"/>
      <c r="V371" s="29"/>
      <c r="W371" s="109"/>
      <c r="X371" s="40"/>
    </row>
    <row r="372" spans="2:24" s="2" customFormat="1">
      <c r="B372" s="39"/>
      <c r="C372" s="75">
        <v>366</v>
      </c>
      <c r="D372" s="146">
        <f>ETo!$I371*((1-Constantes!$D$19)*ETo!$K371+ETo!$L371)</f>
        <v>4.2488824786158528</v>
      </c>
      <c r="E372" s="76">
        <f>MIN(D372*Constantes!$D$17,0.8*(H371+Observaciones!$F371-F372-G372-Constantes!$D$14))</f>
        <v>2.1664369892503839</v>
      </c>
      <c r="F372" s="76">
        <f>IF(Observaciones!$F371&gt;0.05*Constantes!$D$18,((Observaciones!$F371-0.05*Constantes!$D$18)^2)/(Observaciones!$F371+0.95*Constantes!$D$18),0)</f>
        <v>3.0303239285304056</v>
      </c>
      <c r="G372" s="76">
        <f>MAX(0,H371+Observaciones!$F371-F372-Constantes!$D$13)</f>
        <v>13.03141841452009</v>
      </c>
      <c r="H372" s="76">
        <f>H371+Observaciones!$F371-F372-E372-G372-I371</f>
        <v>45.443733225974377</v>
      </c>
      <c r="I372" s="76">
        <f>MAX(0,(H372-Constantes!$D$14)*(1-EXP(-Constantes!$D$22)))</f>
        <v>1.1647640814411693</v>
      </c>
      <c r="J372" s="76">
        <f t="shared" si="15"/>
        <v>72.266757820332799</v>
      </c>
      <c r="K372" s="76">
        <f>MAX(0,(J372-Constantes!$D$13)*(1-EXP(-Constantes!$D$23)))</f>
        <v>0.23171621605905957</v>
      </c>
      <c r="L372" s="76">
        <f t="shared" si="16"/>
        <v>4.4268042260306348</v>
      </c>
      <c r="M372" s="76">
        <f>0.0526*F372*Observaciones!$F371^1.218</f>
        <v>6.1626513347083041</v>
      </c>
      <c r="N372" s="76">
        <f>M372*Constantes!$D$51</f>
        <v>8.6646239802202221E-2</v>
      </c>
      <c r="O372" s="76">
        <f t="shared" si="17"/>
        <v>1957.3090513626571</v>
      </c>
      <c r="P372" s="15"/>
      <c r="Q372" s="75">
        <v>366</v>
      </c>
      <c r="R372" s="76">
        <f>0.0526*Observaciones!$F371^2.218</f>
        <v>40.876584401228989</v>
      </c>
      <c r="S372" s="76">
        <f>IF(Observaciones!$F371&gt;0.05*$W$7,((Observaciones!$F371-0.05*$W$7)^2)/(Observaciones!$F371+0.95*$W$7),0)</f>
        <v>6.3653050962415536</v>
      </c>
      <c r="T372" s="76">
        <f>0.0526*S372*Observaciones!$F371^1.218</f>
        <v>12.944872189357753</v>
      </c>
      <c r="U372" s="29"/>
      <c r="V372" s="29"/>
      <c r="W372" s="109"/>
      <c r="X372" s="40"/>
    </row>
    <row r="373" spans="2:24" s="2" customFormat="1">
      <c r="B373" s="39"/>
      <c r="C373" s="75">
        <v>367</v>
      </c>
      <c r="D373" s="146">
        <f>ETo!$I372*((1-Constantes!$D$19)*ETo!$K372+ETo!$L372)</f>
        <v>4.2356624229335118</v>
      </c>
      <c r="E373" s="76">
        <f>MIN(D373*Constantes!$D$17,0.8*(H372+Observaciones!$F372-F373-G373-Constantes!$D$14))</f>
        <v>2.1596962950150607</v>
      </c>
      <c r="F373" s="76">
        <f>IF(Observaciones!$F372&gt;0.05*Constantes!$D$18,((Observaciones!$F372-0.05*Constantes!$D$18)^2)/(Observaciones!$F372+0.95*Constantes!$D$18),0)</f>
        <v>0</v>
      </c>
      <c r="G373" s="76">
        <f>MAX(0,H372+Observaciones!$F372-F373-Constantes!$D$13)</f>
        <v>0</v>
      </c>
      <c r="H373" s="76">
        <f>H372+Observaciones!$F372-F373-E373-G373-I372</f>
        <v>42.919272849518144</v>
      </c>
      <c r="I373" s="76">
        <f>MAX(0,(H373-Constantes!$D$14)*(1-EXP(-Constantes!$D$22)))</f>
        <v>1.0787716935353038</v>
      </c>
      <c r="J373" s="76">
        <f t="shared" si="15"/>
        <v>72.035041604273744</v>
      </c>
      <c r="K373" s="76">
        <f>MAX(0,(J373-Constantes!$D$13)*(1-EXP(-Constantes!$D$23)))</f>
        <v>0.22943306099172689</v>
      </c>
      <c r="L373" s="76">
        <f t="shared" si="16"/>
        <v>1.3082047545270306</v>
      </c>
      <c r="M373" s="76">
        <f>0.0526*F373*Observaciones!$F372^1.218</f>
        <v>0</v>
      </c>
      <c r="N373" s="76">
        <f>M373*Constantes!$D$51</f>
        <v>0</v>
      </c>
      <c r="O373" s="76">
        <f t="shared" si="17"/>
        <v>0</v>
      </c>
      <c r="P373" s="15"/>
      <c r="Q373" s="75">
        <v>367</v>
      </c>
      <c r="R373" s="76">
        <f>0.0526*Observaciones!$F372^2.218</f>
        <v>3.2065597387029521E-2</v>
      </c>
      <c r="S373" s="76">
        <f>IF(Observaciones!$F372&gt;0.05*$W$7,((Observaciones!$F372-0.05*$W$7)^2)/(Observaciones!$F372+0.95*$W$7),0)</f>
        <v>0</v>
      </c>
      <c r="T373" s="76">
        <f>0.0526*S373*Observaciones!$F372^1.218</f>
        <v>0</v>
      </c>
      <c r="U373" s="29"/>
      <c r="V373" s="29"/>
      <c r="W373" s="109"/>
      <c r="X373" s="40"/>
    </row>
    <row r="374" spans="2:24" s="2" customFormat="1">
      <c r="B374" s="39"/>
      <c r="C374" s="75">
        <v>368</v>
      </c>
      <c r="D374" s="146">
        <f>ETo!$I373*((1-Constantes!$D$19)*ETo!$K373+ETo!$L373)</f>
        <v>4.3063015215622107</v>
      </c>
      <c r="E374" s="76">
        <f>MIN(D374*Constantes!$D$17,0.8*(H373+Observaciones!$F373-F374-G374-Constantes!$D$14))</f>
        <v>2.1957140377807707</v>
      </c>
      <c r="F374" s="76">
        <f>IF(Observaciones!$F373&gt;0.05*Constantes!$D$18,((Observaciones!$F373-0.05*Constantes!$D$18)^2)/(Observaciones!$F373+0.95*Constantes!$D$18),0)</f>
        <v>1.6582578512337645</v>
      </c>
      <c r="G374" s="76">
        <f>MAX(0,H373+Observaciones!$F373-F374-Constantes!$D$13)</f>
        <v>8.0110149982843808</v>
      </c>
      <c r="H374" s="76">
        <f>H373+Observaciones!$F373-F374-E374-G374-I373</f>
        <v>45.475514268683931</v>
      </c>
      <c r="I374" s="76">
        <f>MAX(0,(H374-Constantes!$D$14)*(1-EXP(-Constantes!$D$22)))</f>
        <v>1.165846660426453</v>
      </c>
      <c r="J374" s="76">
        <f t="shared" si="15"/>
        <v>79.8166235415664</v>
      </c>
      <c r="K374" s="76">
        <f>MAX(0,(J374-Constantes!$D$13)*(1-EXP(-Constantes!$D$23)))</f>
        <v>0.3061068412482888</v>
      </c>
      <c r="L374" s="76">
        <f t="shared" si="16"/>
        <v>3.1302113529085061</v>
      </c>
      <c r="M374" s="76">
        <f>0.0526*F374*Observaciones!$F373^1.218</f>
        <v>2.4573205621764243</v>
      </c>
      <c r="N374" s="76">
        <f>M374*Constantes!$D$51</f>
        <v>3.4549672719931479E-2</v>
      </c>
      <c r="O374" s="76">
        <f t="shared" si="17"/>
        <v>1103.7488790598395</v>
      </c>
      <c r="P374" s="15"/>
      <c r="Q374" s="75">
        <v>368</v>
      </c>
      <c r="R374" s="76">
        <f>0.0526*Observaciones!$F373^2.218</f>
        <v>22.968966307258103</v>
      </c>
      <c r="S374" s="76">
        <f>IF(Observaciones!$F373&gt;0.05*$W$7,((Observaciones!$F373-0.05*$W$7)^2)/(Observaciones!$F373+0.95*$W$7),0)</f>
        <v>3.9162196194264949</v>
      </c>
      <c r="T374" s="76">
        <f>0.0526*S374*Observaciones!$F373^1.218</f>
        <v>5.8033236445438945</v>
      </c>
      <c r="U374" s="29"/>
      <c r="V374" s="29"/>
      <c r="W374" s="109"/>
      <c r="X374" s="40"/>
    </row>
    <row r="375" spans="2:24" s="2" customFormat="1">
      <c r="B375" s="39"/>
      <c r="C375" s="75">
        <v>369</v>
      </c>
      <c r="D375" s="146">
        <f>ETo!$I374*((1-Constantes!$D$19)*ETo!$K374+ETo!$L374)</f>
        <v>4.2754028217310243</v>
      </c>
      <c r="E375" s="76">
        <f>MIN(D375*Constantes!$D$17,0.8*(H374+Observaciones!$F374-F375-G375-Constantes!$D$14))</f>
        <v>2.1799592866030366</v>
      </c>
      <c r="F375" s="76">
        <f>IF(Observaciones!$F374&gt;0.05*Constantes!$D$18,((Observaciones!$F374-0.05*Constantes!$D$18)^2)/(Observaciones!$F374+0.95*Constantes!$D$18),0)</f>
        <v>0</v>
      </c>
      <c r="G375" s="76">
        <f>MAX(0,H374+Observaciones!$F374-F375-Constantes!$D$13)</f>
        <v>0</v>
      </c>
      <c r="H375" s="76">
        <f>H374+Observaciones!$F374-F375-E375-G375-I374</f>
        <v>44.429708321654438</v>
      </c>
      <c r="I375" s="76">
        <f>MAX(0,(H375-Constantes!$D$14)*(1-EXP(-Constantes!$D$22)))</f>
        <v>1.1302226706384</v>
      </c>
      <c r="J375" s="76">
        <f t="shared" si="15"/>
        <v>79.510516700318107</v>
      </c>
      <c r="K375" s="76">
        <f>MAX(0,(J375-Constantes!$D$13)*(1-EXP(-Constantes!$D$23)))</f>
        <v>0.30309069763250007</v>
      </c>
      <c r="L375" s="76">
        <f t="shared" si="16"/>
        <v>1.4333133682709001</v>
      </c>
      <c r="M375" s="76">
        <f>0.0526*F375*Observaciones!$F374^1.218</f>
        <v>0</v>
      </c>
      <c r="N375" s="76">
        <f>M375*Constantes!$D$51</f>
        <v>0</v>
      </c>
      <c r="O375" s="76">
        <f t="shared" si="17"/>
        <v>0</v>
      </c>
      <c r="P375" s="15"/>
      <c r="Q375" s="75">
        <v>369</v>
      </c>
      <c r="R375" s="76">
        <f>0.0526*Observaciones!$F374^2.218</f>
        <v>0.33365534346892783</v>
      </c>
      <c r="S375" s="76">
        <f>IF(Observaciones!$F374&gt;0.05*$W$7,((Observaciones!$F374-0.05*$W$7)^2)/(Observaciones!$F374+0.95*$W$7),0)</f>
        <v>9.1701390926697667E-3</v>
      </c>
      <c r="T375" s="76">
        <f>0.0526*S375*Observaciones!$F374^1.218</f>
        <v>1.3302895254880757E-3</v>
      </c>
      <c r="U375" s="29"/>
      <c r="V375" s="29"/>
      <c r="W375" s="109"/>
      <c r="X375" s="40"/>
    </row>
    <row r="376" spans="2:24" s="2" customFormat="1">
      <c r="B376" s="39"/>
      <c r="C376" s="75">
        <v>370</v>
      </c>
      <c r="D376" s="146">
        <f>ETo!$I375*((1-Constantes!$D$19)*ETo!$K375+ETo!$L375)</f>
        <v>4.2356685425994405</v>
      </c>
      <c r="E376" s="76">
        <f>MIN(D376*Constantes!$D$17,0.8*(H375+Observaciones!$F375-F376-G376-Constantes!$D$14))</f>
        <v>2.1596994153345084</v>
      </c>
      <c r="F376" s="76">
        <f>IF(Observaciones!$F375&gt;0.05*Constantes!$D$18,((Observaciones!$F375-0.05*Constantes!$D$18)^2)/(Observaciones!$F375+0.95*Constantes!$D$18),0)</f>
        <v>0.44973351298513575</v>
      </c>
      <c r="G376" s="76">
        <f>MAX(0,H375+Observaciones!$F375-F376-Constantes!$D$13)</f>
        <v>4.8299748086693057</v>
      </c>
      <c r="H376" s="76">
        <f>H375+Observaciones!$F375-F376-E376-G376-I375</f>
        <v>45.460077914027089</v>
      </c>
      <c r="I376" s="76">
        <f>MAX(0,(H376-Constantes!$D$14)*(1-EXP(-Constantes!$D$22)))</f>
        <v>1.165320841518823</v>
      </c>
      <c r="J376" s="76">
        <f t="shared" si="15"/>
        <v>84.037400811354914</v>
      </c>
      <c r="K376" s="76">
        <f>MAX(0,(J376-Constantes!$D$13)*(1-EXP(-Constantes!$D$23)))</f>
        <v>0.34769516499833719</v>
      </c>
      <c r="L376" s="76">
        <f t="shared" si="16"/>
        <v>1.9627495195022959</v>
      </c>
      <c r="M376" s="76">
        <f>0.0526*F376*Observaciones!$F375^1.218</f>
        <v>0.37183250915836752</v>
      </c>
      <c r="N376" s="76">
        <f>M376*Constantes!$D$51</f>
        <v>5.2279265862954149E-3</v>
      </c>
      <c r="O376" s="76">
        <f t="shared" si="17"/>
        <v>266.35729798171531</v>
      </c>
      <c r="P376" s="15"/>
      <c r="Q376" s="75">
        <v>370</v>
      </c>
      <c r="R376" s="76">
        <f>0.0526*Observaciones!$F375^2.218</f>
        <v>7.93712717610686</v>
      </c>
      <c r="S376" s="76">
        <f>IF(Observaciones!$F375&gt;0.05*$W$7,((Observaciones!$F375-0.05*$W$7)^2)/(Observaciones!$F375+0.95*$W$7),0)</f>
        <v>1.4565097558841547</v>
      </c>
      <c r="T376" s="76">
        <f>0.0526*S376*Observaciones!$F375^1.218</f>
        <v>1.2042190797596761</v>
      </c>
      <c r="U376" s="29"/>
      <c r="V376" s="29"/>
      <c r="W376" s="109"/>
      <c r="X376" s="40"/>
    </row>
    <row r="377" spans="2:24" s="2" customFormat="1">
      <c r="B377" s="39"/>
      <c r="C377" s="75">
        <v>371</v>
      </c>
      <c r="D377" s="146">
        <f>ETo!$I376*((1-Constantes!$D$19)*ETo!$K376+ETo!$L376)</f>
        <v>4.209161848578475</v>
      </c>
      <c r="E377" s="76">
        <f>MIN(D377*Constantes!$D$17,0.8*(H376+Observaciones!$F376-F377-G377-Constantes!$D$14))</f>
        <v>2.1461840774359491</v>
      </c>
      <c r="F377" s="76">
        <f>IF(Observaciones!$F376&gt;0.05*Constantes!$D$18,((Observaciones!$F376-0.05*Constantes!$D$18)^2)/(Observaciones!$F376+0.95*Constantes!$D$18),0)</f>
        <v>2.0964924836793162</v>
      </c>
      <c r="G377" s="76">
        <f>MAX(0,H376+Observaciones!$F376-F377-Constantes!$D$13)</f>
        <v>11.713585430347777</v>
      </c>
      <c r="H377" s="76">
        <f>H376+Observaciones!$F376-F377-E377-G377-I376</f>
        <v>45.438495081045232</v>
      </c>
      <c r="I377" s="76">
        <f>MAX(0,(H377-Constantes!$D$14)*(1-EXP(-Constantes!$D$22)))</f>
        <v>1.164585650995259</v>
      </c>
      <c r="J377" s="76">
        <f t="shared" si="15"/>
        <v>95.403291076704349</v>
      </c>
      <c r="K377" s="76">
        <f>MAX(0,(J377-Constantes!$D$13)*(1-EXP(-Constantes!$D$23)))</f>
        <v>0.45968598892697349</v>
      </c>
      <c r="L377" s="76">
        <f t="shared" si="16"/>
        <v>3.7207641236015485</v>
      </c>
      <c r="M377" s="76">
        <f>0.0526*F377*Observaciones!$F376^1.218</f>
        <v>3.501614373632159</v>
      </c>
      <c r="N377" s="76">
        <f>M377*Constantes!$D$51</f>
        <v>4.9232335602664927E-2</v>
      </c>
      <c r="O377" s="76">
        <f t="shared" si="17"/>
        <v>1323.1780883494982</v>
      </c>
      <c r="P377" s="15"/>
      <c r="Q377" s="75">
        <v>371</v>
      </c>
      <c r="R377" s="76">
        <f>0.0526*Observaciones!$F376^2.218</f>
        <v>28.560849254286634</v>
      </c>
      <c r="S377" s="76">
        <f>IF(Observaciones!$F376&gt;0.05*$W$7,((Observaciones!$F376-0.05*$W$7)^2)/(Observaciones!$F376+0.95*$W$7),0)</f>
        <v>4.7231908669459823</v>
      </c>
      <c r="T377" s="76">
        <f>0.0526*S377*Observaciones!$F376^1.218</f>
        <v>7.8887919502963495</v>
      </c>
      <c r="U377" s="29"/>
      <c r="V377" s="29"/>
      <c r="W377" s="109"/>
      <c r="X377" s="40"/>
    </row>
    <row r="378" spans="2:24" s="2" customFormat="1">
      <c r="B378" s="39"/>
      <c r="C378" s="75">
        <v>372</v>
      </c>
      <c r="D378" s="146">
        <f>ETo!$I377*((1-Constantes!$D$19)*ETo!$K377+ETo!$L377)</f>
        <v>4.2400117375482669</v>
      </c>
      <c r="E378" s="76">
        <f>MIN(D378*Constantes!$D$17,0.8*(H377+Observaciones!$F377-F378-G378-Constantes!$D$14))</f>
        <v>2.1619139407387808</v>
      </c>
      <c r="F378" s="76">
        <f>IF(Observaciones!$F377&gt;0.05*Constantes!$D$18,((Observaciones!$F377-0.05*Constantes!$D$18)^2)/(Observaciones!$F377+0.95*Constantes!$D$18),0)</f>
        <v>0</v>
      </c>
      <c r="G378" s="76">
        <f>MAX(0,H377+Observaciones!$F377-F378-Constantes!$D$13)</f>
        <v>0</v>
      </c>
      <c r="H378" s="76">
        <f>H377+Observaciones!$F377-F378-E378-G378-I377</f>
        <v>42.811995489311201</v>
      </c>
      <c r="I378" s="76">
        <f>MAX(0,(H378-Constantes!$D$14)*(1-EXP(-Constantes!$D$22)))</f>
        <v>1.0751174328234037</v>
      </c>
      <c r="J378" s="76">
        <f t="shared" si="15"/>
        <v>94.943605087777371</v>
      </c>
      <c r="K378" s="76">
        <f>MAX(0,(J378-Constantes!$D$13)*(1-EXP(-Constantes!$D$23)))</f>
        <v>0.45515659338940362</v>
      </c>
      <c r="L378" s="76">
        <f t="shared" si="16"/>
        <v>1.5302740262128074</v>
      </c>
      <c r="M378" s="76">
        <f>0.0526*F378*Observaciones!$F377^1.218</f>
        <v>0</v>
      </c>
      <c r="N378" s="76">
        <f>M378*Constantes!$D$51</f>
        <v>0</v>
      </c>
      <c r="O378" s="76">
        <f t="shared" si="17"/>
        <v>0</v>
      </c>
      <c r="P378" s="15"/>
      <c r="Q378" s="75">
        <v>372</v>
      </c>
      <c r="R378" s="76">
        <f>0.0526*Observaciones!$F377^2.218</f>
        <v>2.3845871367955355E-2</v>
      </c>
      <c r="S378" s="76">
        <f>IF(Observaciones!$F377&gt;0.05*$W$7,((Observaciones!$F377-0.05*$W$7)^2)/(Observaciones!$F377+0.95*$W$7),0)</f>
        <v>0</v>
      </c>
      <c r="T378" s="76">
        <f>0.0526*S378*Observaciones!$F377^1.218</f>
        <v>0</v>
      </c>
      <c r="U378" s="29"/>
      <c r="V378" s="29"/>
      <c r="W378" s="109"/>
      <c r="X378" s="40"/>
    </row>
    <row r="379" spans="2:24" s="2" customFormat="1">
      <c r="B379" s="39"/>
      <c r="C379" s="75">
        <v>373</v>
      </c>
      <c r="D379" s="146">
        <f>ETo!$I378*((1-Constantes!$D$19)*ETo!$K378+ETo!$L378)</f>
        <v>4.2752545901473065</v>
      </c>
      <c r="E379" s="76">
        <f>MIN(D379*Constantes!$D$17,0.8*(H378+Observaciones!$F378-F379-G379-Constantes!$D$14))</f>
        <v>2.1798837056973381</v>
      </c>
      <c r="F379" s="76">
        <f>IF(Observaciones!$F378&gt;0.05*Constantes!$D$18,((Observaciones!$F378-0.05*Constantes!$D$18)^2)/(Observaciones!$F378+0.95*Constantes!$D$18),0)</f>
        <v>0</v>
      </c>
      <c r="G379" s="76">
        <f>MAX(0,H378+Observaciones!$F378-F379-Constantes!$D$13)</f>
        <v>0</v>
      </c>
      <c r="H379" s="76">
        <f>H378+Observaciones!$F378-F379-E379-G379-I378</f>
        <v>39.556994350790461</v>
      </c>
      <c r="I379" s="76">
        <f>MAX(0,(H379-Constantes!$D$14)*(1-EXP(-Constantes!$D$22)))</f>
        <v>0.96424014469158004</v>
      </c>
      <c r="J379" s="76">
        <f t="shared" si="15"/>
        <v>94.488448494387967</v>
      </c>
      <c r="K379" s="76">
        <f>MAX(0,(J379-Constantes!$D$13)*(1-EXP(-Constantes!$D$23)))</f>
        <v>0.45067182706488346</v>
      </c>
      <c r="L379" s="76">
        <f t="shared" si="16"/>
        <v>1.4149119717564635</v>
      </c>
      <c r="M379" s="76">
        <f>0.0526*F379*Observaciones!$F378^1.218</f>
        <v>0</v>
      </c>
      <c r="N379" s="76">
        <f>M379*Constantes!$D$51</f>
        <v>0</v>
      </c>
      <c r="O379" s="76">
        <f t="shared" si="17"/>
        <v>0</v>
      </c>
      <c r="P379" s="15"/>
      <c r="Q379" s="75">
        <v>373</v>
      </c>
      <c r="R379" s="76">
        <f>0.0526*Observaciones!$F378^2.218</f>
        <v>0</v>
      </c>
      <c r="S379" s="76">
        <f>IF(Observaciones!$F378&gt;0.05*$W$7,((Observaciones!$F378-0.05*$W$7)^2)/(Observaciones!$F378+0.95*$W$7),0)</f>
        <v>0</v>
      </c>
      <c r="T379" s="76">
        <f>0.0526*S379*Observaciones!$F378^1.218</f>
        <v>0</v>
      </c>
      <c r="U379" s="29"/>
      <c r="V379" s="29"/>
      <c r="W379" s="109"/>
      <c r="X379" s="40"/>
    </row>
    <row r="380" spans="2:24" s="2" customFormat="1">
      <c r="B380" s="39"/>
      <c r="C380" s="75">
        <v>374</v>
      </c>
      <c r="D380" s="146">
        <f>ETo!$I379*((1-Constantes!$D$19)*ETo!$K379+ETo!$L379)</f>
        <v>4.2663337670477111</v>
      </c>
      <c r="E380" s="76">
        <f>MIN(D380*Constantes!$D$17,0.8*(H379+Observaciones!$F379-F380-G380-Constantes!$D$14))</f>
        <v>2.1753351211613356</v>
      </c>
      <c r="F380" s="76">
        <f>IF(Observaciones!$F379&gt;0.05*Constantes!$D$18,((Observaciones!$F379-0.05*Constantes!$D$18)^2)/(Observaciones!$F379+0.95*Constantes!$D$18),0)</f>
        <v>0</v>
      </c>
      <c r="G380" s="76">
        <f>MAX(0,H379+Observaciones!$F379-F380-Constantes!$D$13)</f>
        <v>0</v>
      </c>
      <c r="H380" s="76">
        <f>H379+Observaciones!$F379-F380-E380-G380-I379</f>
        <v>36.417419084937542</v>
      </c>
      <c r="I380" s="76">
        <f>MAX(0,(H380-Constantes!$D$14)*(1-EXP(-Constantes!$D$22)))</f>
        <v>0.85729468551987575</v>
      </c>
      <c r="J380" s="76">
        <f t="shared" si="15"/>
        <v>94.037776667323087</v>
      </c>
      <c r="K380" s="76">
        <f>MAX(0,(J380-Constantes!$D$13)*(1-EXP(-Constantes!$D$23)))</f>
        <v>0.44623125021114696</v>
      </c>
      <c r="L380" s="76">
        <f t="shared" si="16"/>
        <v>1.3035259357310227</v>
      </c>
      <c r="M380" s="76">
        <f>0.0526*F380*Observaciones!$F379^1.218</f>
        <v>0</v>
      </c>
      <c r="N380" s="76">
        <f>M380*Constantes!$D$51</f>
        <v>0</v>
      </c>
      <c r="O380" s="76">
        <f t="shared" si="17"/>
        <v>0</v>
      </c>
      <c r="P380" s="15"/>
      <c r="Q380" s="75">
        <v>374</v>
      </c>
      <c r="R380" s="76">
        <f>0.0526*Observaciones!$F379^2.218</f>
        <v>0</v>
      </c>
      <c r="S380" s="76">
        <f>IF(Observaciones!$F379&gt;0.05*$W$7,((Observaciones!$F379-0.05*$W$7)^2)/(Observaciones!$F379+0.95*$W$7),0)</f>
        <v>0</v>
      </c>
      <c r="T380" s="76">
        <f>0.0526*S380*Observaciones!$F379^1.218</f>
        <v>0</v>
      </c>
      <c r="U380" s="29"/>
      <c r="V380" s="29"/>
      <c r="W380" s="109"/>
      <c r="X380" s="40"/>
    </row>
    <row r="381" spans="2:24" s="2" customFormat="1">
      <c r="B381" s="39"/>
      <c r="C381" s="75">
        <v>375</v>
      </c>
      <c r="D381" s="146">
        <f>ETo!$I380*((1-Constantes!$D$19)*ETo!$K380+ETo!$L380)</f>
        <v>4.2706250302405886</v>
      </c>
      <c r="E381" s="76">
        <f>MIN(D381*Constantes!$D$17,0.8*(H380+Observaciones!$F380-F381-G381-Constantes!$D$14))</f>
        <v>2.1775231673966573</v>
      </c>
      <c r="F381" s="76">
        <f>IF(Observaciones!$F380&gt;0.05*Constantes!$D$18,((Observaciones!$F380-0.05*Constantes!$D$18)^2)/(Observaciones!$F380+0.95*Constantes!$D$18),0)</f>
        <v>0</v>
      </c>
      <c r="G381" s="76">
        <f>MAX(0,H380+Observaciones!$F380-F381-Constantes!$D$13)</f>
        <v>0</v>
      </c>
      <c r="H381" s="76">
        <f>H380+Observaciones!$F380-F381-E381-G381-I380</f>
        <v>33.482601232021011</v>
      </c>
      <c r="I381" s="76">
        <f>MAX(0,(H381-Constantes!$D$14)*(1-EXP(-Constantes!$D$22)))</f>
        <v>0.75732401551263617</v>
      </c>
      <c r="J381" s="76">
        <f t="shared" si="15"/>
        <v>93.591545417111945</v>
      </c>
      <c r="K381" s="76">
        <f>MAX(0,(J381-Constantes!$D$13)*(1-EXP(-Constantes!$D$23)))</f>
        <v>0.44183442741881335</v>
      </c>
      <c r="L381" s="76">
        <f t="shared" si="16"/>
        <v>1.1991584429314495</v>
      </c>
      <c r="M381" s="76">
        <f>0.0526*F381*Observaciones!$F380^1.218</f>
        <v>0</v>
      </c>
      <c r="N381" s="76">
        <f>M381*Constantes!$D$51</f>
        <v>0</v>
      </c>
      <c r="O381" s="76">
        <f t="shared" si="17"/>
        <v>0</v>
      </c>
      <c r="P381" s="15"/>
      <c r="Q381" s="75">
        <v>375</v>
      </c>
      <c r="R381" s="76">
        <f>0.0526*Observaciones!$F380^2.218</f>
        <v>3.1840930012055863E-4</v>
      </c>
      <c r="S381" s="76">
        <f>IF(Observaciones!$F380&gt;0.05*$W$7,((Observaciones!$F380-0.05*$W$7)^2)/(Observaciones!$F380+0.95*$W$7),0)</f>
        <v>0</v>
      </c>
      <c r="T381" s="76">
        <f>0.0526*S381*Observaciones!$F380^1.218</f>
        <v>0</v>
      </c>
      <c r="U381" s="29"/>
      <c r="V381" s="29"/>
      <c r="W381" s="109"/>
      <c r="X381" s="40"/>
    </row>
    <row r="382" spans="2:24" s="2" customFormat="1">
      <c r="B382" s="39"/>
      <c r="C382" s="75">
        <v>376</v>
      </c>
      <c r="D382" s="146">
        <f>ETo!$I381*((1-Constantes!$D$19)*ETo!$K381+ETo!$L381)</f>
        <v>4.1910320269815351</v>
      </c>
      <c r="E382" s="76">
        <f>MIN(D382*Constantes!$D$17,0.8*(H381+Observaciones!$F381-F382-G382-Constantes!$D$14))</f>
        <v>2.1369399723533071</v>
      </c>
      <c r="F382" s="76">
        <f>IF(Observaciones!$F381&gt;0.05*Constantes!$D$18,((Observaciones!$F381-0.05*Constantes!$D$18)^2)/(Observaciones!$F381+0.95*Constantes!$D$18),0)</f>
        <v>0</v>
      </c>
      <c r="G382" s="76">
        <f>MAX(0,H381+Observaciones!$F381-F382-Constantes!$D$13)</f>
        <v>0</v>
      </c>
      <c r="H382" s="76">
        <f>H381+Observaciones!$F381-F382-E382-G382-I381</f>
        <v>33.488337244155062</v>
      </c>
      <c r="I382" s="76">
        <f>MAX(0,(H382-Constantes!$D$14)*(1-EXP(-Constantes!$D$22)))</f>
        <v>0.75751940514325355</v>
      </c>
      <c r="J382" s="76">
        <f t="shared" si="15"/>
        <v>93.149710989693133</v>
      </c>
      <c r="K382" s="76">
        <f>MAX(0,(J382-Constantes!$D$13)*(1-EXP(-Constantes!$D$23)))</f>
        <v>0.43748092756869417</v>
      </c>
      <c r="L382" s="76">
        <f t="shared" si="16"/>
        <v>1.1950003327119476</v>
      </c>
      <c r="M382" s="76">
        <f>0.0526*F382*Observaciones!$F381^1.218</f>
        <v>0</v>
      </c>
      <c r="N382" s="76">
        <f>M382*Constantes!$D$51</f>
        <v>0</v>
      </c>
      <c r="O382" s="76">
        <f t="shared" si="17"/>
        <v>0</v>
      </c>
      <c r="P382" s="15"/>
      <c r="Q382" s="75">
        <v>376</v>
      </c>
      <c r="R382" s="76">
        <f>0.0526*Observaciones!$F381^2.218</f>
        <v>0.55793615283547093</v>
      </c>
      <c r="S382" s="76">
        <f>IF(Observaciones!$F381&gt;0.05*$W$7,((Observaciones!$F381-0.05*$W$7)^2)/(Observaciones!$F381+0.95*$W$7),0)</f>
        <v>3.8113841217814838E-2</v>
      </c>
      <c r="T382" s="76">
        <f>0.0526*S382*Observaciones!$F381^1.218</f>
        <v>7.3327896340860729E-3</v>
      </c>
      <c r="U382" s="29"/>
      <c r="V382" s="29"/>
      <c r="W382" s="109"/>
      <c r="X382" s="40"/>
    </row>
    <row r="383" spans="2:24" s="2" customFormat="1">
      <c r="B383" s="39"/>
      <c r="C383" s="75">
        <v>377</v>
      </c>
      <c r="D383" s="146">
        <f>ETo!$I382*((1-Constantes!$D$19)*ETo!$K382+ETo!$L382)</f>
        <v>4.111397427642137</v>
      </c>
      <c r="E383" s="76">
        <f>MIN(D383*Constantes!$D$17,0.8*(H382+Observaciones!$F382-F383-G383-Constantes!$D$14))</f>
        <v>2.0963355681361282</v>
      </c>
      <c r="F383" s="76">
        <f>IF(Observaciones!$F382&gt;0.05*Constantes!$D$18,((Observaciones!$F382-0.05*Constantes!$D$18)^2)/(Observaciones!$F382+0.95*Constantes!$D$18),0)</f>
        <v>2.2718531141462104</v>
      </c>
      <c r="G383" s="76">
        <f>MAX(0,H382+Observaciones!$F382-F383-Constantes!$D$13)</f>
        <v>0.16648413000885398</v>
      </c>
      <c r="H383" s="76">
        <f>H382+Observaciones!$F382-F383-E383-G383-I382</f>
        <v>45.896145026720617</v>
      </c>
      <c r="I383" s="76">
        <f>MAX(0,(H383-Constantes!$D$14)*(1-EXP(-Constantes!$D$22)))</f>
        <v>1.1801748882123075</v>
      </c>
      <c r="J383" s="76">
        <f t="shared" si="15"/>
        <v>92.878714192133287</v>
      </c>
      <c r="K383" s="76">
        <f>MAX(0,(J383-Constantes!$D$13)*(1-EXP(-Constantes!$D$23)))</f>
        <v>0.43481073157592859</v>
      </c>
      <c r="L383" s="76">
        <f t="shared" si="16"/>
        <v>3.8868387339344466</v>
      </c>
      <c r="M383" s="76">
        <f>0.0526*F383*Observaciones!$F382^1.218</f>
        <v>3.9572859339367521</v>
      </c>
      <c r="N383" s="76">
        <f>M383*Constantes!$D$51</f>
        <v>5.5639030568974297E-2</v>
      </c>
      <c r="O383" s="76">
        <f t="shared" si="17"/>
        <v>1431.4725764980162</v>
      </c>
      <c r="P383" s="15"/>
      <c r="Q383" s="75">
        <v>377</v>
      </c>
      <c r="R383" s="76">
        <f>0.0526*Observaciones!$F382^2.218</f>
        <v>30.831201451597327</v>
      </c>
      <c r="S383" s="76">
        <f>IF(Observaciones!$F382&gt;0.05*$W$7,((Observaciones!$F382-0.05*$W$7)^2)/(Observaciones!$F382+0.95*$W$7),0)</f>
        <v>5.0387337399867729</v>
      </c>
      <c r="T383" s="76">
        <f>0.0526*S383*Observaciones!$F382^1.218</f>
        <v>8.7768483049995769</v>
      </c>
      <c r="U383" s="29"/>
      <c r="V383" s="29"/>
      <c r="W383" s="109"/>
      <c r="X383" s="40"/>
    </row>
    <row r="384" spans="2:24" s="2" customFormat="1">
      <c r="B384" s="39"/>
      <c r="C384" s="75">
        <v>378</v>
      </c>
      <c r="D384" s="146">
        <f>ETo!$I383*((1-Constantes!$D$19)*ETo!$K383+ETo!$L383)</f>
        <v>4.2435635545740835</v>
      </c>
      <c r="E384" s="76">
        <f>MIN(D384*Constantes!$D$17,0.8*(H383+Observaciones!$F383-F384-G384-Constantes!$D$14))</f>
        <v>2.1637249552402422</v>
      </c>
      <c r="F384" s="76">
        <f>IF(Observaciones!$F383&gt;0.05*Constantes!$D$18,((Observaciones!$F383-0.05*Constantes!$D$18)^2)/(Observaciones!$F383+0.95*Constantes!$D$18),0)</f>
        <v>0</v>
      </c>
      <c r="G384" s="76">
        <f>MAX(0,H383+Observaciones!$F383-F384-Constantes!$D$13)</f>
        <v>0</v>
      </c>
      <c r="H384" s="76">
        <f>H383+Observaciones!$F383-F384-E384-G384-I383</f>
        <v>42.952245183268069</v>
      </c>
      <c r="I384" s="76">
        <f>MAX(0,(H384-Constantes!$D$14)*(1-EXP(-Constantes!$D$22)))</f>
        <v>1.0798948522667413</v>
      </c>
      <c r="J384" s="76">
        <f t="shared" si="15"/>
        <v>92.443903460557365</v>
      </c>
      <c r="K384" s="76">
        <f>MAX(0,(J384-Constantes!$D$13)*(1-EXP(-Constantes!$D$23)))</f>
        <v>0.43052643787386341</v>
      </c>
      <c r="L384" s="76">
        <f t="shared" si="16"/>
        <v>1.5104212901406047</v>
      </c>
      <c r="M384" s="76">
        <f>0.0526*F384*Observaciones!$F383^1.218</f>
        <v>0</v>
      </c>
      <c r="N384" s="76">
        <f>M384*Constantes!$D$51</f>
        <v>0</v>
      </c>
      <c r="O384" s="76">
        <f t="shared" si="17"/>
        <v>0</v>
      </c>
      <c r="P384" s="15"/>
      <c r="Q384" s="75">
        <v>378</v>
      </c>
      <c r="R384" s="76">
        <f>0.0526*Observaciones!$F383^2.218</f>
        <v>6.8921513346888582E-3</v>
      </c>
      <c r="S384" s="76">
        <f>IF(Observaciones!$F383&gt;0.05*$W$7,((Observaciones!$F383-0.05*$W$7)^2)/(Observaciones!$F383+0.95*$W$7),0)</f>
        <v>0</v>
      </c>
      <c r="T384" s="76">
        <f>0.0526*S384*Observaciones!$F383^1.218</f>
        <v>0</v>
      </c>
      <c r="U384" s="29"/>
      <c r="V384" s="29"/>
      <c r="W384" s="109"/>
      <c r="X384" s="40"/>
    </row>
    <row r="385" spans="2:24" s="2" customFormat="1">
      <c r="B385" s="39"/>
      <c r="C385" s="75">
        <v>379</v>
      </c>
      <c r="D385" s="146">
        <f>ETo!$I384*((1-Constantes!$D$19)*ETo!$K384+ETo!$L384)</f>
        <v>4.2344596882080481</v>
      </c>
      <c r="E385" s="76">
        <f>MIN(D385*Constantes!$D$17,0.8*(H384+Observaciones!$F384-F385-G385-Constantes!$D$14))</f>
        <v>2.1590830398801835</v>
      </c>
      <c r="F385" s="76">
        <f>IF(Observaciones!$F384&gt;0.05*Constantes!$D$18,((Observaciones!$F384-0.05*Constantes!$D$18)^2)/(Observaciones!$F384+0.95*Constantes!$D$18),0)</f>
        <v>0</v>
      </c>
      <c r="G385" s="76">
        <f>MAX(0,H384+Observaciones!$F384-F385-Constantes!$D$13)</f>
        <v>0</v>
      </c>
      <c r="H385" s="76">
        <f>H384+Observaciones!$F384-F385-E385-G385-I384</f>
        <v>40.11326729112114</v>
      </c>
      <c r="I385" s="76">
        <f>MAX(0,(H385-Constantes!$D$14)*(1-EXP(-Constantes!$D$22)))</f>
        <v>0.98318884315901323</v>
      </c>
      <c r="J385" s="76">
        <f t="shared" si="15"/>
        <v>92.0133770226835</v>
      </c>
      <c r="K385" s="76">
        <f>MAX(0,(J385-Constantes!$D$13)*(1-EXP(-Constantes!$D$23)))</f>
        <v>0.42628435833808381</v>
      </c>
      <c r="L385" s="76">
        <f t="shared" si="16"/>
        <v>1.409473201497097</v>
      </c>
      <c r="M385" s="76">
        <f>0.0526*F385*Observaciones!$F384^1.218</f>
        <v>0</v>
      </c>
      <c r="N385" s="76">
        <f>M385*Constantes!$D$51</f>
        <v>0</v>
      </c>
      <c r="O385" s="76">
        <f t="shared" si="17"/>
        <v>0</v>
      </c>
      <c r="P385" s="15"/>
      <c r="Q385" s="75">
        <v>379</v>
      </c>
      <c r="R385" s="76">
        <f>0.0526*Observaciones!$F384^2.218</f>
        <v>6.8921513346888582E-3</v>
      </c>
      <c r="S385" s="76">
        <f>IF(Observaciones!$F384&gt;0.05*$W$7,((Observaciones!$F384-0.05*$W$7)^2)/(Observaciones!$F384+0.95*$W$7),0)</f>
        <v>0</v>
      </c>
      <c r="T385" s="76">
        <f>0.0526*S385*Observaciones!$F384^1.218</f>
        <v>0</v>
      </c>
      <c r="U385" s="29"/>
      <c r="V385" s="29"/>
      <c r="W385" s="109"/>
      <c r="X385" s="40"/>
    </row>
    <row r="386" spans="2:24" s="2" customFormat="1">
      <c r="B386" s="39"/>
      <c r="C386" s="75">
        <v>380</v>
      </c>
      <c r="D386" s="146">
        <f>ETo!$I385*((1-Constantes!$D$19)*ETo!$K385+ETo!$L385)</f>
        <v>4.2297193394396455</v>
      </c>
      <c r="E386" s="76">
        <f>MIN(D386*Constantes!$D$17,0.8*(H385+Observaciones!$F385-F386-G386-Constantes!$D$14))</f>
        <v>2.156666012116883</v>
      </c>
      <c r="F386" s="76">
        <f>IF(Observaciones!$F385&gt;0.05*Constantes!$D$18,((Observaciones!$F385-0.05*Constantes!$D$18)^2)/(Observaciones!$F385+0.95*Constantes!$D$18),0)</f>
        <v>0</v>
      </c>
      <c r="G386" s="76">
        <f>MAX(0,H385+Observaciones!$F385-F386-Constantes!$D$13)</f>
        <v>0</v>
      </c>
      <c r="H386" s="76">
        <f>H385+Observaciones!$F385-F386-E386-G386-I385</f>
        <v>37.473412435845248</v>
      </c>
      <c r="I386" s="76">
        <f>MAX(0,(H386-Constantes!$D$14)*(1-EXP(-Constantes!$D$22)))</f>
        <v>0.89326569568274594</v>
      </c>
      <c r="J386" s="76">
        <f t="shared" si="15"/>
        <v>91.58709266434542</v>
      </c>
      <c r="K386" s="76">
        <f>MAX(0,(J386-Constantes!$D$13)*(1-EXP(-Constantes!$D$23)))</f>
        <v>0.42208407702235501</v>
      </c>
      <c r="L386" s="76">
        <f t="shared" si="16"/>
        <v>1.3153497727051009</v>
      </c>
      <c r="M386" s="76">
        <f>0.0526*F386*Observaciones!$F385^1.218</f>
        <v>0</v>
      </c>
      <c r="N386" s="76">
        <f>M386*Constantes!$D$51</f>
        <v>0</v>
      </c>
      <c r="O386" s="76">
        <f t="shared" si="17"/>
        <v>0</v>
      </c>
      <c r="P386" s="15"/>
      <c r="Q386" s="75">
        <v>380</v>
      </c>
      <c r="R386" s="76">
        <f>0.0526*Observaciones!$F385^2.218</f>
        <v>1.1305797794095535E-2</v>
      </c>
      <c r="S386" s="76">
        <f>IF(Observaciones!$F385&gt;0.05*$W$7,((Observaciones!$F385-0.05*$W$7)^2)/(Observaciones!$F385+0.95*$W$7),0)</f>
        <v>0</v>
      </c>
      <c r="T386" s="76">
        <f>0.0526*S386*Observaciones!$F385^1.218</f>
        <v>0</v>
      </c>
      <c r="U386" s="29"/>
      <c r="V386" s="29"/>
      <c r="W386" s="109"/>
      <c r="X386" s="40"/>
    </row>
    <row r="387" spans="2:24" s="2" customFormat="1">
      <c r="B387" s="39"/>
      <c r="C387" s="75">
        <v>381</v>
      </c>
      <c r="D387" s="146">
        <f>ETo!$I386*((1-Constantes!$D$19)*ETo!$K386+ETo!$L386)</f>
        <v>4.2558086355340761</v>
      </c>
      <c r="E387" s="76">
        <f>MIN(D387*Constantes!$D$17,0.8*(H386+Observaciones!$F386-F387-G387-Constantes!$D$14))</f>
        <v>2.1699685255111563</v>
      </c>
      <c r="F387" s="76">
        <f>IF(Observaciones!$F386&gt;0.05*Constantes!$D$18,((Observaciones!$F386-0.05*Constantes!$D$18)^2)/(Observaciones!$F386+0.95*Constantes!$D$18),0)</f>
        <v>0</v>
      </c>
      <c r="G387" s="76">
        <f>MAX(0,H386+Observaciones!$F386-F387-Constantes!$D$13)</f>
        <v>0</v>
      </c>
      <c r="H387" s="76">
        <f>H386+Observaciones!$F386-F387-E387-G387-I386</f>
        <v>34.410178214651346</v>
      </c>
      <c r="I387" s="76">
        <f>MAX(0,(H387-Constantes!$D$14)*(1-EXP(-Constantes!$D$22)))</f>
        <v>0.78892069274584009</v>
      </c>
      <c r="J387" s="76">
        <f t="shared" si="15"/>
        <v>91.165008587323058</v>
      </c>
      <c r="K387" s="76">
        <f>MAX(0,(J387-Constantes!$D$13)*(1-EXP(-Constantes!$D$23)))</f>
        <v>0.41792518207885898</v>
      </c>
      <c r="L387" s="76">
        <f t="shared" si="16"/>
        <v>1.2068458748246991</v>
      </c>
      <c r="M387" s="76">
        <f>0.0526*F387*Observaciones!$F386^1.218</f>
        <v>0</v>
      </c>
      <c r="N387" s="76">
        <f>M387*Constantes!$D$51</f>
        <v>0</v>
      </c>
      <c r="O387" s="76">
        <f t="shared" si="17"/>
        <v>0</v>
      </c>
      <c r="P387" s="15"/>
      <c r="Q387" s="75">
        <v>381</v>
      </c>
      <c r="R387" s="76">
        <f>0.0526*Observaciones!$F386^2.218</f>
        <v>0</v>
      </c>
      <c r="S387" s="76">
        <f>IF(Observaciones!$F386&gt;0.05*$W$7,((Observaciones!$F386-0.05*$W$7)^2)/(Observaciones!$F386+0.95*$W$7),0)</f>
        <v>0</v>
      </c>
      <c r="T387" s="76">
        <f>0.0526*S387*Observaciones!$F386^1.218</f>
        <v>0</v>
      </c>
      <c r="U387" s="29"/>
      <c r="V387" s="29"/>
      <c r="W387" s="109"/>
      <c r="X387" s="40"/>
    </row>
    <row r="388" spans="2:24" s="2" customFormat="1">
      <c r="B388" s="39"/>
      <c r="C388" s="75">
        <v>382</v>
      </c>
      <c r="D388" s="146">
        <f>ETo!$I387*((1-Constantes!$D$19)*ETo!$K387+ETo!$L387)</f>
        <v>4.2200730389591046</v>
      </c>
      <c r="E388" s="76">
        <f>MIN(D388*Constantes!$D$17,0.8*(H387+Observaciones!$F387-F388-G388-Constantes!$D$14))</f>
        <v>2.1517475183068884</v>
      </c>
      <c r="F388" s="76">
        <f>IF(Observaciones!$F387&gt;0.05*Constantes!$D$18,((Observaciones!$F387-0.05*Constantes!$D$18)^2)/(Observaciones!$F387+0.95*Constantes!$D$18),0)</f>
        <v>0.3404705483397929</v>
      </c>
      <c r="G388" s="76">
        <f>MAX(0,H387+Observaciones!$F387-F388-Constantes!$D$13)</f>
        <v>0</v>
      </c>
      <c r="H388" s="76">
        <f>H387+Observaciones!$F387-F388-E388-G388-I387</f>
        <v>39.929039455258824</v>
      </c>
      <c r="I388" s="76">
        <f>MAX(0,(H388-Constantes!$D$14)*(1-EXP(-Constantes!$D$22)))</f>
        <v>0.97691336675531182</v>
      </c>
      <c r="J388" s="76">
        <f t="shared" si="15"/>
        <v>90.747083405244197</v>
      </c>
      <c r="K388" s="76">
        <f>MAX(0,(J388-Constantes!$D$13)*(1-EXP(-Constantes!$D$23)))</f>
        <v>0.4138072657178129</v>
      </c>
      <c r="L388" s="76">
        <f t="shared" si="16"/>
        <v>1.7311911808129177</v>
      </c>
      <c r="M388" s="76">
        <f>0.0526*F388*Observaciones!$F387^1.218</f>
        <v>0.25318920727032407</v>
      </c>
      <c r="N388" s="76">
        <f>M388*Constantes!$D$51</f>
        <v>3.559814043822157E-3</v>
      </c>
      <c r="O388" s="76">
        <f t="shared" si="17"/>
        <v>205.62801401001656</v>
      </c>
      <c r="P388" s="15"/>
      <c r="Q388" s="75">
        <v>382</v>
      </c>
      <c r="R388" s="76">
        <f>0.0526*Observaciones!$F387^2.218</f>
        <v>6.5440756471987749</v>
      </c>
      <c r="S388" s="76">
        <f>IF(Observaciones!$F387&gt;0.05*$W$7,((Observaciones!$F387-0.05*$W$7)^2)/(Observaciones!$F387+0.95*$W$7),0)</f>
        <v>1.197931632400298</v>
      </c>
      <c r="T388" s="76">
        <f>0.0526*S388*Observaciones!$F387^1.218</f>
        <v>0.89083582074998446</v>
      </c>
      <c r="U388" s="29"/>
      <c r="V388" s="29"/>
      <c r="W388" s="109"/>
      <c r="X388" s="40"/>
    </row>
    <row r="389" spans="2:24" s="2" customFormat="1">
      <c r="B389" s="39"/>
      <c r="C389" s="75">
        <v>383</v>
      </c>
      <c r="D389" s="146">
        <f>ETo!$I388*((1-Constantes!$D$19)*ETo!$K388+ETo!$L388)</f>
        <v>4.0651509616303576</v>
      </c>
      <c r="E389" s="76">
        <f>MIN(D389*Constantes!$D$17,0.8*(H388+Observaciones!$F388-F389-G389-Constantes!$D$14))</f>
        <v>2.0727552372857754</v>
      </c>
      <c r="F389" s="76">
        <f>IF(Observaciones!$F388&gt;0.05*Constantes!$D$18,((Observaciones!$F388-0.05*Constantes!$D$18)^2)/(Observaciones!$F388+0.95*Constantes!$D$18),0)</f>
        <v>0</v>
      </c>
      <c r="G389" s="76">
        <f>MAX(0,H388+Observaciones!$F388-F389-Constantes!$D$13)</f>
        <v>0</v>
      </c>
      <c r="H389" s="76">
        <f>H388+Observaciones!$F388-F389-E389-G389-I388</f>
        <v>39.379370851217736</v>
      </c>
      <c r="I389" s="76">
        <f>MAX(0,(H389-Constantes!$D$14)*(1-EXP(-Constantes!$D$22)))</f>
        <v>0.95818963622691689</v>
      </c>
      <c r="J389" s="76">
        <f t="shared" si="15"/>
        <v>90.33327613952639</v>
      </c>
      <c r="K389" s="76">
        <f>MAX(0,(J389-Constantes!$D$13)*(1-EXP(-Constantes!$D$23)))</f>
        <v>0.40972992416748349</v>
      </c>
      <c r="L389" s="76">
        <f t="shared" si="16"/>
        <v>1.3679195603944003</v>
      </c>
      <c r="M389" s="76">
        <f>0.0526*F389*Observaciones!$F388^1.218</f>
        <v>0</v>
      </c>
      <c r="N389" s="76">
        <f>M389*Constantes!$D$51</f>
        <v>0</v>
      </c>
      <c r="O389" s="76">
        <f t="shared" si="17"/>
        <v>0</v>
      </c>
      <c r="P389" s="15"/>
      <c r="Q389" s="75">
        <v>383</v>
      </c>
      <c r="R389" s="76">
        <f>0.0526*Observaciones!$F388^2.218</f>
        <v>0.40143633905347276</v>
      </c>
      <c r="S389" s="76">
        <f>IF(Observaciones!$F388&gt;0.05*$W$7,((Observaciones!$F388-0.05*$W$7)^2)/(Observaciones!$F388+0.95*$W$7),0)</f>
        <v>1.6667444764761515E-2</v>
      </c>
      <c r="T389" s="76">
        <f>0.0526*S389*Observaciones!$F388^1.218</f>
        <v>2.6763672030967324E-3</v>
      </c>
      <c r="U389" s="29"/>
      <c r="V389" s="29"/>
      <c r="W389" s="109"/>
      <c r="X389" s="40"/>
    </row>
    <row r="390" spans="2:24" s="2" customFormat="1">
      <c r="B390" s="39"/>
      <c r="C390" s="75">
        <v>384</v>
      </c>
      <c r="D390" s="146">
        <f>ETo!$I389*((1-Constantes!$D$19)*ETo!$K389+ETo!$L389)</f>
        <v>4.1528383603144396</v>
      </c>
      <c r="E390" s="76">
        <f>MIN(D390*Constantes!$D$17,0.8*(H389+Observaciones!$F389-F390-G390-Constantes!$D$14))</f>
        <v>2.1174656346564804</v>
      </c>
      <c r="F390" s="76">
        <f>IF(Observaciones!$F389&gt;0.05*Constantes!$D$18,((Observaciones!$F389-0.05*Constantes!$D$18)^2)/(Observaciones!$F389+0.95*Constantes!$D$18),0)</f>
        <v>0.23467189307498115</v>
      </c>
      <c r="G390" s="76">
        <f>MAX(0,H389+Observaciones!$F389-F390-Constantes!$D$13)</f>
        <v>0</v>
      </c>
      <c r="H390" s="76">
        <f>H389+Observaciones!$F389-F390-E390-G390-I389</f>
        <v>43.969043687259351</v>
      </c>
      <c r="I390" s="76">
        <f>MAX(0,(H390-Constantes!$D$14)*(1-EXP(-Constantes!$D$22)))</f>
        <v>1.1145307420564095</v>
      </c>
      <c r="J390" s="76">
        <f t="shared" si="15"/>
        <v>89.923546215358911</v>
      </c>
      <c r="K390" s="76">
        <f>MAX(0,(J390-Constantes!$D$13)*(1-EXP(-Constantes!$D$23)))</f>
        <v>0.40569275763459661</v>
      </c>
      <c r="L390" s="76">
        <f t="shared" si="16"/>
        <v>1.7548953927659872</v>
      </c>
      <c r="M390" s="76">
        <f>0.0526*F390*Observaciones!$F389^1.218</f>
        <v>0.15302296691275771</v>
      </c>
      <c r="N390" s="76">
        <f>M390*Constantes!$D$51</f>
        <v>2.1514870737036175E-3</v>
      </c>
      <c r="O390" s="76">
        <f t="shared" si="17"/>
        <v>122.59916360670027</v>
      </c>
      <c r="P390" s="15"/>
      <c r="Q390" s="75">
        <v>384</v>
      </c>
      <c r="R390" s="76">
        <f>0.0526*Observaciones!$F389^2.218</f>
        <v>5.1513686738127191</v>
      </c>
      <c r="S390" s="76">
        <f>IF(Observaciones!$F389&gt;0.05*$W$7,((Observaciones!$F389-0.05*$W$7)^2)/(Observaciones!$F389+0.95*$W$7),0)</f>
        <v>0.93240756681215686</v>
      </c>
      <c r="T390" s="76">
        <f>0.0526*S390*Observaciones!$F389^1.218</f>
        <v>0.6079968520129222</v>
      </c>
      <c r="U390" s="29"/>
      <c r="V390" s="29"/>
      <c r="W390" s="109"/>
      <c r="X390" s="40"/>
    </row>
    <row r="391" spans="2:24" s="2" customFormat="1">
      <c r="B391" s="39"/>
      <c r="C391" s="75">
        <v>385</v>
      </c>
      <c r="D391" s="146">
        <f>ETo!$I390*((1-Constantes!$D$19)*ETo!$K390+ETo!$L390)</f>
        <v>4.0992699869697011</v>
      </c>
      <c r="E391" s="76">
        <f>MIN(D391*Constantes!$D$17,0.8*(H390+Observaciones!$F390-F391-G391-Constantes!$D$14))</f>
        <v>2.0901519807599334</v>
      </c>
      <c r="F391" s="76">
        <f>IF(Observaciones!$F390&gt;0.05*Constantes!$D$18,((Observaciones!$F390-0.05*Constantes!$D$18)^2)/(Observaciones!$F390+0.95*Constantes!$D$18),0)</f>
        <v>2.4729526880843546E-2</v>
      </c>
      <c r="G391" s="76">
        <f>MAX(0,H390+Observaciones!$F390-F391-Constantes!$D$13)</f>
        <v>0.19431416037851079</v>
      </c>
      <c r="H391" s="76">
        <f>H390+Observaciones!$F390-F391-E391-G391-I390</f>
        <v>45.545317277183656</v>
      </c>
      <c r="I391" s="76">
        <f>MAX(0,(H391-Constantes!$D$14)*(1-EXP(-Constantes!$D$22)))</f>
        <v>1.1682244071480439</v>
      </c>
      <c r="J391" s="76">
        <f t="shared" ref="J391:J454" si="18">J390+G391-K390</f>
        <v>89.712167618102825</v>
      </c>
      <c r="K391" s="76">
        <f>MAX(0,(J391-Constantes!$D$13)*(1-EXP(-Constantes!$D$23)))</f>
        <v>0.40360999396937303</v>
      </c>
      <c r="L391" s="76">
        <f t="shared" ref="L391:L454" si="19">F391+I391+K391</f>
        <v>1.5965639279982606</v>
      </c>
      <c r="M391" s="76">
        <f>0.0526*F391*Observaciones!$F390^1.218</f>
        <v>9.2373418719535957E-3</v>
      </c>
      <c r="N391" s="76">
        <f>M391*Constantes!$D$51</f>
        <v>1.2987607046084803E-4</v>
      </c>
      <c r="O391" s="76">
        <f t="shared" ref="O391:O454" si="20">N391*1000000/(L391/1000*10000)</f>
        <v>8.1347240898573983</v>
      </c>
      <c r="P391" s="15"/>
      <c r="Q391" s="75">
        <v>385</v>
      </c>
      <c r="R391" s="76">
        <f>0.0526*Observaciones!$F390^2.218</f>
        <v>1.867674605434769</v>
      </c>
      <c r="S391" s="76">
        <f>IF(Observaciones!$F390&gt;0.05*$W$7,((Observaciones!$F390-0.05*$W$7)^2)/(Observaciones!$F390+0.95*$W$7),0)</f>
        <v>0.28178711203654261</v>
      </c>
      <c r="T391" s="76">
        <f>0.0526*S391*Observaciones!$F390^1.218</f>
        <v>0.10525732665789053</v>
      </c>
      <c r="U391" s="29"/>
      <c r="V391" s="29"/>
      <c r="W391" s="109"/>
      <c r="X391" s="40"/>
    </row>
    <row r="392" spans="2:24" s="2" customFormat="1">
      <c r="B392" s="39"/>
      <c r="C392" s="75">
        <v>386</v>
      </c>
      <c r="D392" s="146">
        <f>ETo!$I391*((1-Constantes!$D$19)*ETo!$K391+ETo!$L391)</f>
        <v>4.2969975510207226</v>
      </c>
      <c r="E392" s="76">
        <f>MIN(D392*Constantes!$D$17,0.8*(H391+Observaciones!$F391-F392-G392-Constantes!$D$14))</f>
        <v>2.1909700925129454</v>
      </c>
      <c r="F392" s="76">
        <f>IF(Observaciones!$F391&gt;0.05*Constantes!$D$18,((Observaciones!$F391-0.05*Constantes!$D$18)^2)/(Observaciones!$F391+0.95*Constantes!$D$18),0)</f>
        <v>8.6522960812412994E-2</v>
      </c>
      <c r="G392" s="76">
        <f>MAX(0,H391+Observaciones!$F391-F392-Constantes!$D$13)</f>
        <v>2.9087943163712495</v>
      </c>
      <c r="H392" s="76">
        <f>H391+Observaciones!$F391-F392-E392-G392-I391</f>
        <v>45.390805500339006</v>
      </c>
      <c r="I392" s="76">
        <f>MAX(0,(H392-Constantes!$D$14)*(1-EXP(-Constantes!$D$22)))</f>
        <v>1.1629611688043699</v>
      </c>
      <c r="J392" s="76">
        <f t="shared" si="18"/>
        <v>92.217351940504713</v>
      </c>
      <c r="K392" s="76">
        <f>MAX(0,(J392-Constantes!$D$13)*(1-EXP(-Constantes!$D$23)))</f>
        <v>0.4282941717864166</v>
      </c>
      <c r="L392" s="76">
        <f t="shared" si="19"/>
        <v>1.6777783014031995</v>
      </c>
      <c r="M392" s="76">
        <f>0.0526*F392*Observaciones!$F391^1.218</f>
        <v>4.2000087436887899E-2</v>
      </c>
      <c r="N392" s="76">
        <f>M392*Constantes!$D$51</f>
        <v>5.9051688147181234E-4</v>
      </c>
      <c r="O392" s="76">
        <f t="shared" si="20"/>
        <v>35.196359434255235</v>
      </c>
      <c r="P392" s="15"/>
      <c r="Q392" s="75">
        <v>386</v>
      </c>
      <c r="R392" s="76">
        <f>0.0526*Observaciones!$F391^2.218</f>
        <v>3.0096120112355975</v>
      </c>
      <c r="S392" s="76">
        <f>IF(Observaciones!$F391&gt;0.05*$W$7,((Observaciones!$F391-0.05*$W$7)^2)/(Observaciones!$F391+0.95*$W$7),0)</f>
        <v>0.51054547567973141</v>
      </c>
      <c r="T392" s="76">
        <f>0.0526*S392*Observaciones!$F391^1.218</f>
        <v>0.24782964449801789</v>
      </c>
      <c r="U392" s="29"/>
      <c r="V392" s="29"/>
      <c r="W392" s="109"/>
      <c r="X392" s="40"/>
    </row>
    <row r="393" spans="2:24" s="2" customFormat="1">
      <c r="B393" s="39"/>
      <c r="C393" s="75">
        <v>387</v>
      </c>
      <c r="D393" s="146">
        <f>ETo!$I392*((1-Constantes!$D$19)*ETo!$K392+ETo!$L392)</f>
        <v>4.1947726528956641</v>
      </c>
      <c r="E393" s="76">
        <f>MIN(D393*Constantes!$D$17,0.8*(H392+Observaciones!$F392-F393-G393-Constantes!$D$14))</f>
        <v>2.1388472574768902</v>
      </c>
      <c r="F393" s="76">
        <f>IF(Observaciones!$F392&gt;0.05*Constantes!$D$18,((Observaciones!$F392-0.05*Constantes!$D$18)^2)/(Observaciones!$F392+0.95*Constantes!$D$18),0)</f>
        <v>0</v>
      </c>
      <c r="G393" s="76">
        <f>MAX(0,H392+Observaciones!$F392-F393-Constantes!$D$13)</f>
        <v>0</v>
      </c>
      <c r="H393" s="76">
        <f>H392+Observaciones!$F392-F393-E393-G393-I392</f>
        <v>42.188997074057745</v>
      </c>
      <c r="I393" s="76">
        <f>MAX(0,(H393-Constantes!$D$14)*(1-EXP(-Constantes!$D$22)))</f>
        <v>1.0538958197258674</v>
      </c>
      <c r="J393" s="76">
        <f t="shared" si="18"/>
        <v>91.789057768718294</v>
      </c>
      <c r="K393" s="76">
        <f>MAX(0,(J393-Constantes!$D$13)*(1-EXP(-Constantes!$D$23)))</f>
        <v>0.424074087300081</v>
      </c>
      <c r="L393" s="76">
        <f t="shared" si="19"/>
        <v>1.4779699070259484</v>
      </c>
      <c r="M393" s="76">
        <f>0.0526*F393*Observaciones!$F392^1.218</f>
        <v>0</v>
      </c>
      <c r="N393" s="76">
        <f>M393*Constantes!$D$51</f>
        <v>0</v>
      </c>
      <c r="O393" s="76">
        <f t="shared" si="20"/>
        <v>0</v>
      </c>
      <c r="P393" s="15"/>
      <c r="Q393" s="75">
        <v>387</v>
      </c>
      <c r="R393" s="76">
        <f>0.0526*Observaciones!$F392^2.218</f>
        <v>3.1840930012055863E-4</v>
      </c>
      <c r="S393" s="76">
        <f>IF(Observaciones!$F392&gt;0.05*$W$7,((Observaciones!$F392-0.05*$W$7)^2)/(Observaciones!$F392+0.95*$W$7),0)</f>
        <v>0</v>
      </c>
      <c r="T393" s="76">
        <f>0.0526*S393*Observaciones!$F392^1.218</f>
        <v>0</v>
      </c>
      <c r="U393" s="29"/>
      <c r="V393" s="29"/>
      <c r="W393" s="109"/>
      <c r="X393" s="40"/>
    </row>
    <row r="394" spans="2:24" s="2" customFormat="1">
      <c r="B394" s="39"/>
      <c r="C394" s="75">
        <v>388</v>
      </c>
      <c r="D394" s="146">
        <f>ETo!$I393*((1-Constantes!$D$19)*ETo!$K393+ETo!$L393)</f>
        <v>4.1321680484225629</v>
      </c>
      <c r="E394" s="76">
        <f>MIN(D394*Constantes!$D$17,0.8*(H393+Observaciones!$F393-F394-G394-Constantes!$D$14))</f>
        <v>2.1069261743425551</v>
      </c>
      <c r="F394" s="76">
        <f>IF(Observaciones!$F393&gt;0.05*Constantes!$D$18,((Observaciones!$F393-0.05*Constantes!$D$18)^2)/(Observaciones!$F393+0.95*Constantes!$D$18),0)</f>
        <v>2.8977608567010846</v>
      </c>
      <c r="G394" s="76">
        <f>MAX(0,H393+Observaciones!$F393-F394-Constantes!$D$13)</f>
        <v>10.241236217356658</v>
      </c>
      <c r="H394" s="76">
        <f>H393+Observaciones!$F393-F394-E394-G394-I393</f>
        <v>45.589178005931579</v>
      </c>
      <c r="I394" s="76">
        <f>MAX(0,(H394-Constantes!$D$14)*(1-EXP(-Constantes!$D$22)))</f>
        <v>1.1697184645852297</v>
      </c>
      <c r="J394" s="76">
        <f t="shared" si="18"/>
        <v>101.60621989877487</v>
      </c>
      <c r="K394" s="76">
        <f>MAX(0,(J394-Constantes!$D$13)*(1-EXP(-Constantes!$D$23)))</f>
        <v>0.52080492403337408</v>
      </c>
      <c r="L394" s="76">
        <f t="shared" si="19"/>
        <v>4.5882842453196888</v>
      </c>
      <c r="M394" s="76">
        <f>0.0526*F394*Observaciones!$F393^1.218</f>
        <v>5.7505336515858172</v>
      </c>
      <c r="N394" s="76">
        <f>M394*Constantes!$D$51</f>
        <v>8.0851907840332568E-2</v>
      </c>
      <c r="O394" s="76">
        <f t="shared" si="20"/>
        <v>1762.138165760025</v>
      </c>
      <c r="P394" s="15"/>
      <c r="Q394" s="75">
        <v>388</v>
      </c>
      <c r="R394" s="76">
        <f>0.0526*Observaciones!$F393^2.218</f>
        <v>39.094155293825366</v>
      </c>
      <c r="S394" s="76">
        <f>IF(Observaciones!$F393&gt;0.05*$W$7,((Observaciones!$F393-0.05*$W$7)^2)/(Observaciones!$F393+0.95*$W$7),0)</f>
        <v>6.13740799509831</v>
      </c>
      <c r="T394" s="76">
        <f>0.0526*S394*Observaciones!$F393^1.218</f>
        <v>12.17953204375323</v>
      </c>
      <c r="U394" s="29"/>
      <c r="V394" s="29"/>
      <c r="W394" s="109"/>
      <c r="X394" s="40"/>
    </row>
    <row r="395" spans="2:24" s="2" customFormat="1">
      <c r="B395" s="39"/>
      <c r="C395" s="75">
        <v>389</v>
      </c>
      <c r="D395" s="146">
        <f>ETo!$I394*((1-Constantes!$D$19)*ETo!$K394+ETo!$L394)</f>
        <v>4.0341938673256417</v>
      </c>
      <c r="E395" s="76">
        <f>MIN(D395*Constantes!$D$17,0.8*(H394+Observaciones!$F394-F395-G395-Constantes!$D$14))</f>
        <v>2.0569707117031104</v>
      </c>
      <c r="F395" s="76">
        <f>IF(Observaciones!$F394&gt;0.05*Constantes!$D$18,((Observaciones!$F394-0.05*Constantes!$D$18)^2)/(Observaciones!$F394+0.95*Constantes!$D$18),0)</f>
        <v>0</v>
      </c>
      <c r="G395" s="76">
        <f>MAX(0,H394+Observaciones!$F394-F395-Constantes!$D$13)</f>
        <v>0</v>
      </c>
      <c r="H395" s="76">
        <f>H394+Observaciones!$F394-F395-E395-G395-I394</f>
        <v>44.762488829643239</v>
      </c>
      <c r="I395" s="76">
        <f>MAX(0,(H395-Constantes!$D$14)*(1-EXP(-Constantes!$D$22)))</f>
        <v>1.1415583964027534</v>
      </c>
      <c r="J395" s="76">
        <f t="shared" si="18"/>
        <v>101.0854149747415</v>
      </c>
      <c r="K395" s="76">
        <f>MAX(0,(J395-Constantes!$D$13)*(1-EXP(-Constantes!$D$23)))</f>
        <v>0.51567330907080478</v>
      </c>
      <c r="L395" s="76">
        <f t="shared" si="19"/>
        <v>1.6572317054735581</v>
      </c>
      <c r="M395" s="76">
        <f>0.0526*F395*Observaciones!$F394^1.218</f>
        <v>0</v>
      </c>
      <c r="N395" s="76">
        <f>M395*Constantes!$D$51</f>
        <v>0</v>
      </c>
      <c r="O395" s="76">
        <f t="shared" si="20"/>
        <v>0</v>
      </c>
      <c r="P395" s="15"/>
      <c r="Q395" s="75">
        <v>389</v>
      </c>
      <c r="R395" s="76">
        <f>0.0526*Observaciones!$F394^2.218</f>
        <v>0.36668595716871932</v>
      </c>
      <c r="S395" s="76">
        <f>IF(Observaciones!$F394&gt;0.05*$W$7,((Observaciones!$F394-0.05*$W$7)^2)/(Observaciones!$F394+0.95*$W$7),0)</f>
        <v>1.2646160328663239E-2</v>
      </c>
      <c r="T395" s="76">
        <f>0.0526*S395*Observaciones!$F394^1.218</f>
        <v>1.9321539185937356E-3</v>
      </c>
      <c r="U395" s="29"/>
      <c r="V395" s="29"/>
      <c r="W395" s="109"/>
      <c r="X395" s="40"/>
    </row>
    <row r="396" spans="2:24" s="2" customFormat="1">
      <c r="B396" s="39"/>
      <c r="C396" s="75">
        <v>390</v>
      </c>
      <c r="D396" s="146">
        <f>ETo!$I395*((1-Constantes!$D$19)*ETo!$K395+ETo!$L395)</f>
        <v>4.2094228082688856</v>
      </c>
      <c r="E396" s="76">
        <f>MIN(D396*Constantes!$D$17,0.8*(H395+Observaciones!$F395-F396-G396-Constantes!$D$14))</f>
        <v>2.1463171365941758</v>
      </c>
      <c r="F396" s="76">
        <f>IF(Observaciones!$F395&gt;0.05*Constantes!$D$18,((Observaciones!$F395-0.05*Constantes!$D$18)^2)/(Observaciones!$F395+0.95*Constantes!$D$18),0)</f>
        <v>0</v>
      </c>
      <c r="G396" s="76">
        <f>MAX(0,H395+Observaciones!$F395-F396-Constantes!$D$13)</f>
        <v>0</v>
      </c>
      <c r="H396" s="76">
        <f>H395+Observaciones!$F395-F396-E396-G396-I395</f>
        <v>41.474613296646311</v>
      </c>
      <c r="I396" s="76">
        <f>MAX(0,(H396-Constantes!$D$14)*(1-EXP(-Constantes!$D$22)))</f>
        <v>1.0295612857106979</v>
      </c>
      <c r="J396" s="76">
        <f t="shared" si="18"/>
        <v>100.56974166567069</v>
      </c>
      <c r="K396" s="76">
        <f>MAX(0,(J396-Constantes!$D$13)*(1-EXP(-Constantes!$D$23)))</f>
        <v>0.51059225713271705</v>
      </c>
      <c r="L396" s="76">
        <f t="shared" si="19"/>
        <v>1.540153542843415</v>
      </c>
      <c r="M396" s="76">
        <f>0.0526*F396*Observaciones!$F395^1.218</f>
        <v>0</v>
      </c>
      <c r="N396" s="76">
        <f>M396*Constantes!$D$51</f>
        <v>0</v>
      </c>
      <c r="O396" s="76">
        <f t="shared" si="20"/>
        <v>0</v>
      </c>
      <c r="P396" s="15"/>
      <c r="Q396" s="75">
        <v>390</v>
      </c>
      <c r="R396" s="76">
        <f>0.0526*Observaciones!$F395^2.218</f>
        <v>0</v>
      </c>
      <c r="S396" s="76">
        <f>IF(Observaciones!$F395&gt;0.05*$W$7,((Observaciones!$F395-0.05*$W$7)^2)/(Observaciones!$F395+0.95*$W$7),0)</f>
        <v>0</v>
      </c>
      <c r="T396" s="76">
        <f>0.0526*S396*Observaciones!$F395^1.218</f>
        <v>0</v>
      </c>
      <c r="U396" s="29"/>
      <c r="V396" s="29"/>
      <c r="W396" s="109"/>
      <c r="X396" s="40"/>
    </row>
    <row r="397" spans="2:24" s="2" customFormat="1">
      <c r="B397" s="39"/>
      <c r="C397" s="75">
        <v>391</v>
      </c>
      <c r="D397" s="146">
        <f>ETo!$I396*((1-Constantes!$D$19)*ETo!$K396+ETo!$L396)</f>
        <v>4.2126290364780026</v>
      </c>
      <c r="E397" s="76">
        <f>MIN(D397*Constantes!$D$17,0.8*(H396+Observaciones!$F396-F397-G397-Constantes!$D$14))</f>
        <v>2.1479519409040542</v>
      </c>
      <c r="F397" s="76">
        <f>IF(Observaciones!$F396&gt;0.05*Constantes!$D$18,((Observaciones!$F396-0.05*Constantes!$D$18)^2)/(Observaciones!$F396+0.95*Constantes!$D$18),0)</f>
        <v>1.7212086257149396E-3</v>
      </c>
      <c r="G397" s="76">
        <f>MAX(0,H396+Observaciones!$F396-F397-Constantes!$D$13)</f>
        <v>0</v>
      </c>
      <c r="H397" s="76">
        <f>H396+Observaciones!$F396-F397-E397-G397-I396</f>
        <v>42.295378861405837</v>
      </c>
      <c r="I397" s="76">
        <f>MAX(0,(H397-Constantes!$D$14)*(1-EXP(-Constantes!$D$22)))</f>
        <v>1.05751957393848</v>
      </c>
      <c r="J397" s="76">
        <f t="shared" si="18"/>
        <v>100.05914940853798</v>
      </c>
      <c r="K397" s="76">
        <f>MAX(0,(J397-Constantes!$D$13)*(1-EXP(-Constantes!$D$23)))</f>
        <v>0.50556127000958773</v>
      </c>
      <c r="L397" s="76">
        <f t="shared" si="19"/>
        <v>1.5648020525737827</v>
      </c>
      <c r="M397" s="76">
        <f>0.0526*F397*Observaciones!$F396^1.218</f>
        <v>4.8992356297688198E-4</v>
      </c>
      <c r="N397" s="76">
        <f>M397*Constantes!$D$51</f>
        <v>6.8882745780803645E-6</v>
      </c>
      <c r="O397" s="76">
        <f t="shared" si="20"/>
        <v>0.44020101882858259</v>
      </c>
      <c r="P397" s="15"/>
      <c r="Q397" s="75">
        <v>391</v>
      </c>
      <c r="R397" s="76">
        <f>0.0526*Observaciones!$F396^2.218</f>
        <v>1.1385570712519109</v>
      </c>
      <c r="S397" s="76">
        <f>IF(Observaciones!$F396&gt;0.05*$W$7,((Observaciones!$F396-0.05*$W$7)^2)/(Observaciones!$F396+0.95*$W$7),0)</f>
        <v>0.13940420338375761</v>
      </c>
      <c r="T397" s="76">
        <f>0.0526*S397*Observaciones!$F396^1.218</f>
        <v>3.9679910381204199E-2</v>
      </c>
      <c r="U397" s="29"/>
      <c r="V397" s="29"/>
      <c r="W397" s="109"/>
      <c r="X397" s="40"/>
    </row>
    <row r="398" spans="2:24" s="2" customFormat="1">
      <c r="B398" s="39"/>
      <c r="C398" s="75">
        <v>392</v>
      </c>
      <c r="D398" s="146">
        <f>ETo!$I397*((1-Constantes!$D$19)*ETo!$K397+ETo!$L397)</f>
        <v>4.2597583959558296</v>
      </c>
      <c r="E398" s="76">
        <f>MIN(D398*Constantes!$D$17,0.8*(H397+Observaciones!$F397-F398-G398-Constantes!$D$14))</f>
        <v>2.1719824449639606</v>
      </c>
      <c r="F398" s="76">
        <f>IF(Observaciones!$F397&gt;0.05*Constantes!$D$18,((Observaciones!$F397-0.05*Constantes!$D$18)^2)/(Observaciones!$F397+0.95*Constantes!$D$18),0)</f>
        <v>0</v>
      </c>
      <c r="G398" s="76">
        <f>MAX(0,H397+Observaciones!$F397-F398-Constantes!$D$13)</f>
        <v>0</v>
      </c>
      <c r="H398" s="76">
        <f>H397+Observaciones!$F397-F398-E398-G398-I397</f>
        <v>39.165876842503401</v>
      </c>
      <c r="I398" s="76">
        <f>MAX(0,(H398-Constantes!$D$14)*(1-EXP(-Constantes!$D$22)))</f>
        <v>0.9509172465375556</v>
      </c>
      <c r="J398" s="76">
        <f t="shared" si="18"/>
        <v>99.553588138528383</v>
      </c>
      <c r="K398" s="76">
        <f>MAX(0,(J398-Constantes!$D$13)*(1-EXP(-Constantes!$D$23)))</f>
        <v>0.50057985440087016</v>
      </c>
      <c r="L398" s="76">
        <f t="shared" si="19"/>
        <v>1.4514971009384259</v>
      </c>
      <c r="M398" s="76">
        <f>0.0526*F398*Observaciones!$F397^1.218</f>
        <v>0</v>
      </c>
      <c r="N398" s="76">
        <f>M398*Constantes!$D$51</f>
        <v>0</v>
      </c>
      <c r="O398" s="76">
        <f t="shared" si="20"/>
        <v>0</v>
      </c>
      <c r="P398" s="15"/>
      <c r="Q398" s="75">
        <v>392</v>
      </c>
      <c r="R398" s="76">
        <f>0.0526*Observaciones!$F397^2.218</f>
        <v>3.1840930012055863E-4</v>
      </c>
      <c r="S398" s="76">
        <f>IF(Observaciones!$F397&gt;0.05*$W$7,((Observaciones!$F397-0.05*$W$7)^2)/(Observaciones!$F397+0.95*$W$7),0)</f>
        <v>0</v>
      </c>
      <c r="T398" s="76">
        <f>0.0526*S398*Observaciones!$F397^1.218</f>
        <v>0</v>
      </c>
      <c r="U398" s="29"/>
      <c r="V398" s="29"/>
      <c r="W398" s="109"/>
      <c r="X398" s="40"/>
    </row>
    <row r="399" spans="2:24" s="2" customFormat="1">
      <c r="B399" s="39"/>
      <c r="C399" s="75">
        <v>393</v>
      </c>
      <c r="D399" s="146">
        <f>ETo!$I398*((1-Constantes!$D$19)*ETo!$K398+ETo!$L398)</f>
        <v>4.2230971005749174</v>
      </c>
      <c r="E399" s="76">
        <f>MIN(D399*Constantes!$D$17,0.8*(H398+Observaciones!$F398-F399-G399-Constantes!$D$14))</f>
        <v>2.1532894387942734</v>
      </c>
      <c r="F399" s="76">
        <f>IF(Observaciones!$F398&gt;0.05*Constantes!$D$18,((Observaciones!$F398-0.05*Constantes!$D$18)^2)/(Observaciones!$F398+0.95*Constantes!$D$18),0)</f>
        <v>0</v>
      </c>
      <c r="G399" s="76">
        <f>MAX(0,H398+Observaciones!$F398-F399-Constantes!$D$13)</f>
        <v>0</v>
      </c>
      <c r="H399" s="76">
        <f>H398+Observaciones!$F398-F399-E399-G399-I398</f>
        <v>36.061670157171569</v>
      </c>
      <c r="I399" s="76">
        <f>MAX(0,(H399-Constantes!$D$14)*(1-EXP(-Constantes!$D$22)))</f>
        <v>0.84517657105911681</v>
      </c>
      <c r="J399" s="76">
        <f t="shared" si="18"/>
        <v>99.053008284127515</v>
      </c>
      <c r="K399" s="76">
        <f>MAX(0,(J399-Constantes!$D$13)*(1-EXP(-Constantes!$D$23)))</f>
        <v>0.4956475218666262</v>
      </c>
      <c r="L399" s="76">
        <f t="shared" si="19"/>
        <v>1.3408240929257431</v>
      </c>
      <c r="M399" s="76">
        <f>0.0526*F399*Observaciones!$F398^1.218</f>
        <v>0</v>
      </c>
      <c r="N399" s="76">
        <f>M399*Constantes!$D$51</f>
        <v>0</v>
      </c>
      <c r="O399" s="76">
        <f t="shared" si="20"/>
        <v>0</v>
      </c>
      <c r="P399" s="15"/>
      <c r="Q399" s="75">
        <v>393</v>
      </c>
      <c r="R399" s="76">
        <f>0.0526*Observaciones!$F398^2.218</f>
        <v>0</v>
      </c>
      <c r="S399" s="76">
        <f>IF(Observaciones!$F398&gt;0.05*$W$7,((Observaciones!$F398-0.05*$W$7)^2)/(Observaciones!$F398+0.95*$W$7),0)</f>
        <v>0</v>
      </c>
      <c r="T399" s="76">
        <f>0.0526*S399*Observaciones!$F398^1.218</f>
        <v>0</v>
      </c>
      <c r="U399" s="29"/>
      <c r="V399" s="29"/>
      <c r="W399" s="109"/>
      <c r="X399" s="40"/>
    </row>
    <row r="400" spans="2:24" s="2" customFormat="1">
      <c r="B400" s="39"/>
      <c r="C400" s="75">
        <v>394</v>
      </c>
      <c r="D400" s="146">
        <f>ETo!$I399*((1-Constantes!$D$19)*ETo!$K399+ETo!$L399)</f>
        <v>4.0278653439015057</v>
      </c>
      <c r="E400" s="76">
        <f>MIN(D400*Constantes!$D$17,0.8*(H399+Observaciones!$F399-F400-G400-Constantes!$D$14))</f>
        <v>2.0537438991700765</v>
      </c>
      <c r="F400" s="76">
        <f>IF(Observaciones!$F399&gt;0.05*Constantes!$D$18,((Observaciones!$F399-0.05*Constantes!$D$18)^2)/(Observaciones!$F399+0.95*Constantes!$D$18),0)</f>
        <v>0</v>
      </c>
      <c r="G400" s="76">
        <f>MAX(0,H399+Observaciones!$F399-F400-Constantes!$D$13)</f>
        <v>0</v>
      </c>
      <c r="H400" s="76">
        <f>H399+Observaciones!$F399-F400-E400-G400-I399</f>
        <v>34.862749686942379</v>
      </c>
      <c r="I400" s="76">
        <f>MAX(0,(H400-Constantes!$D$14)*(1-EXP(-Constantes!$D$22)))</f>
        <v>0.80433693851596022</v>
      </c>
      <c r="J400" s="76">
        <f t="shared" si="18"/>
        <v>98.557360762260885</v>
      </c>
      <c r="K400" s="76">
        <f>MAX(0,(J400-Constantes!$D$13)*(1-EXP(-Constantes!$D$23)))</f>
        <v>0.49076378877963217</v>
      </c>
      <c r="L400" s="76">
        <f t="shared" si="19"/>
        <v>1.2951007272955923</v>
      </c>
      <c r="M400" s="76">
        <f>0.0526*F400*Observaciones!$F399^1.218</f>
        <v>0</v>
      </c>
      <c r="N400" s="76">
        <f>M400*Constantes!$D$51</f>
        <v>0</v>
      </c>
      <c r="O400" s="76">
        <f t="shared" si="20"/>
        <v>0</v>
      </c>
      <c r="P400" s="15"/>
      <c r="Q400" s="75">
        <v>394</v>
      </c>
      <c r="R400" s="76">
        <f>0.0526*Observaciones!$F399^2.218</f>
        <v>0.17065595668433275</v>
      </c>
      <c r="S400" s="76">
        <f>IF(Observaciones!$F399&gt;0.05*$W$7,((Observaciones!$F399-0.05*$W$7)^2)/(Observaciones!$F399+0.95*$W$7),0)</f>
        <v>0</v>
      </c>
      <c r="T400" s="76">
        <f>0.0526*S400*Observaciones!$F399^1.218</f>
        <v>0</v>
      </c>
      <c r="U400" s="29"/>
      <c r="V400" s="29"/>
      <c r="W400" s="109"/>
      <c r="X400" s="40"/>
    </row>
    <row r="401" spans="2:24" s="2" customFormat="1">
      <c r="B401" s="39"/>
      <c r="C401" s="75">
        <v>395</v>
      </c>
      <c r="D401" s="146">
        <f>ETo!$I400*((1-Constantes!$D$19)*ETo!$K400+ETo!$L400)</f>
        <v>4.2022632056480216</v>
      </c>
      <c r="E401" s="76">
        <f>MIN(D401*Constantes!$D$17,0.8*(H400+Observaciones!$F400-F401-G401-Constantes!$D$14))</f>
        <v>2.1426665701159928</v>
      </c>
      <c r="F401" s="76">
        <f>IF(Observaciones!$F400&gt;0.05*Constantes!$D$18,((Observaciones!$F400-0.05*Constantes!$D$18)^2)/(Observaciones!$F400+0.95*Constantes!$D$18),0)</f>
        <v>3.2480515752512616E-2</v>
      </c>
      <c r="G401" s="76">
        <f>MAX(0,H400+Observaciones!$F400-F401-Constantes!$D$13)</f>
        <v>0</v>
      </c>
      <c r="H401" s="76">
        <f>H400+Observaciones!$F400-F401-E401-G401-I400</f>
        <v>37.08326566255792</v>
      </c>
      <c r="I401" s="76">
        <f>MAX(0,(H401-Constantes!$D$14)*(1-EXP(-Constantes!$D$22)))</f>
        <v>0.87997586432645358</v>
      </c>
      <c r="J401" s="76">
        <f t="shared" si="18"/>
        <v>98.066596973481253</v>
      </c>
      <c r="K401" s="76">
        <f>MAX(0,(J401-Constantes!$D$13)*(1-EXP(-Constantes!$D$23)))</f>
        <v>0.48592817627795887</v>
      </c>
      <c r="L401" s="76">
        <f t="shared" si="19"/>
        <v>1.398384556356925</v>
      </c>
      <c r="M401" s="76">
        <f>0.0526*F401*Observaciones!$F400^1.218</f>
        <v>1.2726258291598944E-2</v>
      </c>
      <c r="N401" s="76">
        <f>M401*Constantes!$D$51</f>
        <v>1.7892987414496321E-4</v>
      </c>
      <c r="O401" s="76">
        <f t="shared" si="20"/>
        <v>12.795469839220177</v>
      </c>
      <c r="P401" s="15"/>
      <c r="Q401" s="75">
        <v>395</v>
      </c>
      <c r="R401" s="76">
        <f>0.0526*Observaciones!$F400^2.218</f>
        <v>2.0374227928075692</v>
      </c>
      <c r="S401" s="76">
        <f>IF(Observaciones!$F400&gt;0.05*$W$7,((Observaciones!$F400-0.05*$W$7)^2)/(Observaciones!$F400+0.95*$W$7),0)</f>
        <v>0.31566536171689474</v>
      </c>
      <c r="T401" s="76">
        <f>0.0526*S401*Observaciones!$F400^1.218</f>
        <v>0.12368150055035526</v>
      </c>
      <c r="U401" s="29"/>
      <c r="V401" s="29"/>
      <c r="W401" s="109"/>
      <c r="X401" s="40"/>
    </row>
    <row r="402" spans="2:24" s="2" customFormat="1">
      <c r="B402" s="39"/>
      <c r="C402" s="75">
        <v>396</v>
      </c>
      <c r="D402" s="146">
        <f>ETo!$I401*((1-Constantes!$D$19)*ETo!$K401+ETo!$L401)</f>
        <v>4.1608759988889137</v>
      </c>
      <c r="E402" s="76">
        <f>MIN(D402*Constantes!$D$17,0.8*(H401+Observaciones!$F401-F402-G402-Constantes!$D$14))</f>
        <v>2.1215638975765785</v>
      </c>
      <c r="F402" s="76">
        <f>IF(Observaciones!$F401&gt;0.05*Constantes!$D$18,((Observaciones!$F401-0.05*Constantes!$D$18)^2)/(Observaciones!$F401+0.95*Constantes!$D$18),0)</f>
        <v>0</v>
      </c>
      <c r="G402" s="76">
        <f>MAX(0,H401+Observaciones!$F401-F402-Constantes!$D$13)</f>
        <v>0</v>
      </c>
      <c r="H402" s="76">
        <f>H401+Observaciones!$F401-F402-E402-G402-I401</f>
        <v>37.181725900654889</v>
      </c>
      <c r="I402" s="76">
        <f>MAX(0,(H402-Constantes!$D$14)*(1-EXP(-Constantes!$D$22)))</f>
        <v>0.88332978149097019</v>
      </c>
      <c r="J402" s="76">
        <f t="shared" si="18"/>
        <v>97.580668797203288</v>
      </c>
      <c r="K402" s="76">
        <f>MAX(0,(J402-Constantes!$D$13)*(1-EXP(-Constantes!$D$23)))</f>
        <v>0.48114021021801767</v>
      </c>
      <c r="L402" s="76">
        <f t="shared" si="19"/>
        <v>1.364469991708988</v>
      </c>
      <c r="M402" s="76">
        <f>0.0526*F402*Observaciones!$F401^1.218</f>
        <v>0</v>
      </c>
      <c r="N402" s="76">
        <f>M402*Constantes!$D$51</f>
        <v>0</v>
      </c>
      <c r="O402" s="76">
        <f t="shared" si="20"/>
        <v>0</v>
      </c>
      <c r="P402" s="15"/>
      <c r="Q402" s="75">
        <v>396</v>
      </c>
      <c r="R402" s="76">
        <f>0.0526*Observaciones!$F401^2.218</f>
        <v>0.64688336193366625</v>
      </c>
      <c r="S402" s="76">
        <f>IF(Observaciones!$F401&gt;0.05*$W$7,((Observaciones!$F401-0.05*$W$7)^2)/(Observaciones!$F401+0.95*$W$7),0)</f>
        <v>5.1991254547749992E-2</v>
      </c>
      <c r="T402" s="76">
        <f>0.0526*S402*Observaciones!$F401^1.218</f>
        <v>1.0849121784837911E-2</v>
      </c>
      <c r="U402" s="29"/>
      <c r="V402" s="29"/>
      <c r="W402" s="109"/>
      <c r="X402" s="40"/>
    </row>
    <row r="403" spans="2:24" s="2" customFormat="1">
      <c r="B403" s="39"/>
      <c r="C403" s="75">
        <v>397</v>
      </c>
      <c r="D403" s="146">
        <f>ETo!$I402*((1-Constantes!$D$19)*ETo!$K402+ETo!$L402)</f>
        <v>4.2336692829590499</v>
      </c>
      <c r="E403" s="76">
        <f>MIN(D403*Constantes!$D$17,0.8*(H402+Observaciones!$F402-F403-G403-Constantes!$D$14))</f>
        <v>2.1586800249282412</v>
      </c>
      <c r="F403" s="76">
        <f>IF(Observaciones!$F402&gt;0.05*Constantes!$D$18,((Observaciones!$F402-0.05*Constantes!$D$18)^2)/(Observaciones!$F402+0.95*Constantes!$D$18),0)</f>
        <v>0</v>
      </c>
      <c r="G403" s="76">
        <f>MAX(0,H402+Observaciones!$F402-F403-Constantes!$D$13)</f>
        <v>0</v>
      </c>
      <c r="H403" s="76">
        <f>H402+Observaciones!$F402-F403-E403-G403-I402</f>
        <v>35.539716094235672</v>
      </c>
      <c r="I403" s="76">
        <f>MAX(0,(H403-Constantes!$D$14)*(1-EXP(-Constantes!$D$22)))</f>
        <v>0.82739689954292794</v>
      </c>
      <c r="J403" s="76">
        <f t="shared" si="18"/>
        <v>97.099528586985272</v>
      </c>
      <c r="K403" s="76">
        <f>MAX(0,(J403-Constantes!$D$13)*(1-EXP(-Constantes!$D$23)))</f>
        <v>0.47639942112806988</v>
      </c>
      <c r="L403" s="76">
        <f t="shared" si="19"/>
        <v>1.3037963206709979</v>
      </c>
      <c r="M403" s="76">
        <f>0.0526*F403*Observaciones!$F402^1.218</f>
        <v>0</v>
      </c>
      <c r="N403" s="76">
        <f>M403*Constantes!$D$51</f>
        <v>0</v>
      </c>
      <c r="O403" s="76">
        <f t="shared" si="20"/>
        <v>0</v>
      </c>
      <c r="P403" s="15"/>
      <c r="Q403" s="75">
        <v>397</v>
      </c>
      <c r="R403" s="76">
        <f>0.0526*Observaciones!$F402^2.218</f>
        <v>0.11094244358496377</v>
      </c>
      <c r="S403" s="76">
        <f>IF(Observaciones!$F402&gt;0.05*$W$7,((Observaciones!$F402-0.05*$W$7)^2)/(Observaciones!$F402+0.95*$W$7),0)</f>
        <v>0</v>
      </c>
      <c r="T403" s="76">
        <f>0.0526*S403*Observaciones!$F402^1.218</f>
        <v>0</v>
      </c>
      <c r="U403" s="29"/>
      <c r="V403" s="29"/>
      <c r="W403" s="109"/>
      <c r="X403" s="40"/>
    </row>
    <row r="404" spans="2:24" s="2" customFormat="1">
      <c r="B404" s="39"/>
      <c r="C404" s="75">
        <v>398</v>
      </c>
      <c r="D404" s="146">
        <f>ETo!$I403*((1-Constantes!$D$19)*ETo!$K403+ETo!$L403)</f>
        <v>4.3326621722800782</v>
      </c>
      <c r="E404" s="76">
        <f>MIN(D404*Constantes!$D$17,0.8*(H403+Observaciones!$F403-F404-G404-Constantes!$D$14))</f>
        <v>2.2091549105428014</v>
      </c>
      <c r="F404" s="76">
        <f>IF(Observaciones!$F403&gt;0.05*Constantes!$D$18,((Observaciones!$F403-0.05*Constantes!$D$18)^2)/(Observaciones!$F403+0.95*Constantes!$D$18),0)</f>
        <v>0</v>
      </c>
      <c r="G404" s="76">
        <f>MAX(0,H403+Observaciones!$F403-F404-Constantes!$D$13)</f>
        <v>0</v>
      </c>
      <c r="H404" s="76">
        <f>H403+Observaciones!$F403-F404-E404-G404-I403</f>
        <v>34.703164284149949</v>
      </c>
      <c r="I404" s="76">
        <f>MAX(0,(H404-Constantes!$D$14)*(1-EXP(-Constantes!$D$22)))</f>
        <v>0.79890087384684283</v>
      </c>
      <c r="J404" s="76">
        <f t="shared" si="18"/>
        <v>96.623129165857208</v>
      </c>
      <c r="K404" s="76">
        <f>MAX(0,(J404-Constantes!$D$13)*(1-EXP(-Constantes!$D$23)))</f>
        <v>0.47170534416219334</v>
      </c>
      <c r="L404" s="76">
        <f t="shared" si="19"/>
        <v>1.2706062180090361</v>
      </c>
      <c r="M404" s="76">
        <f>0.0526*F404*Observaciones!$F403^1.218</f>
        <v>0</v>
      </c>
      <c r="N404" s="76">
        <f>M404*Constantes!$D$51</f>
        <v>0</v>
      </c>
      <c r="O404" s="76">
        <f t="shared" si="20"/>
        <v>0</v>
      </c>
      <c r="P404" s="15"/>
      <c r="Q404" s="75">
        <v>398</v>
      </c>
      <c r="R404" s="76">
        <f>0.0526*Observaciones!$F403^2.218</f>
        <v>0.30232861200727251</v>
      </c>
      <c r="S404" s="76">
        <f>IF(Observaciones!$F403&gt;0.05*$W$7,((Observaciones!$F403-0.05*$W$7)^2)/(Observaciones!$F403+0.95*$W$7),0)</f>
        <v>6.2440408225724973E-3</v>
      </c>
      <c r="T404" s="76">
        <f>0.0526*S404*Observaciones!$F403^1.218</f>
        <v>8.5806917963867778E-4</v>
      </c>
      <c r="U404" s="29"/>
      <c r="V404" s="29"/>
      <c r="W404" s="109"/>
      <c r="X404" s="40"/>
    </row>
    <row r="405" spans="2:24" s="2" customFormat="1">
      <c r="B405" s="39"/>
      <c r="C405" s="75">
        <v>399</v>
      </c>
      <c r="D405" s="146">
        <f>ETo!$I404*((1-Constantes!$D$19)*ETo!$K404+ETo!$L404)</f>
        <v>4.3919268323791956</v>
      </c>
      <c r="E405" s="76">
        <f>MIN(D405*Constantes!$D$17,0.8*(H404+Observaciones!$F404-F405-G405-Constantes!$D$14))</f>
        <v>2.2393730096406861</v>
      </c>
      <c r="F405" s="76">
        <f>IF(Observaciones!$F404&gt;0.05*Constantes!$D$18,((Observaciones!$F404-0.05*Constantes!$D$18)^2)/(Observaciones!$F404+0.95*Constantes!$D$18),0)</f>
        <v>0</v>
      </c>
      <c r="G405" s="76">
        <f>MAX(0,H404+Observaciones!$F404-F405-Constantes!$D$13)</f>
        <v>0</v>
      </c>
      <c r="H405" s="76">
        <f>H404+Observaciones!$F404-F405-E405-G405-I404</f>
        <v>31.664890400662419</v>
      </c>
      <c r="I405" s="76">
        <f>MAX(0,(H405-Constantes!$D$14)*(1-EXP(-Constantes!$D$22)))</f>
        <v>0.69540611164349164</v>
      </c>
      <c r="J405" s="76">
        <f t="shared" si="18"/>
        <v>96.151423821695019</v>
      </c>
      <c r="K405" s="76">
        <f>MAX(0,(J405-Constantes!$D$13)*(1-EXP(-Constantes!$D$23)))</f>
        <v>0.46705751905470355</v>
      </c>
      <c r="L405" s="76">
        <f t="shared" si="19"/>
        <v>1.1624636306981952</v>
      </c>
      <c r="M405" s="76">
        <f>0.0526*F405*Observaciones!$F404^1.218</f>
        <v>0</v>
      </c>
      <c r="N405" s="76">
        <f>M405*Constantes!$D$51</f>
        <v>0</v>
      </c>
      <c r="O405" s="76">
        <f t="shared" si="20"/>
        <v>0</v>
      </c>
      <c r="P405" s="15"/>
      <c r="Q405" s="75">
        <v>399</v>
      </c>
      <c r="R405" s="76">
        <f>0.0526*Observaciones!$F404^2.218</f>
        <v>0</v>
      </c>
      <c r="S405" s="76">
        <f>IF(Observaciones!$F404&gt;0.05*$W$7,((Observaciones!$F404-0.05*$W$7)^2)/(Observaciones!$F404+0.95*$W$7),0)</f>
        <v>0</v>
      </c>
      <c r="T405" s="76">
        <f>0.0526*S405*Observaciones!$F404^1.218</f>
        <v>0</v>
      </c>
      <c r="U405" s="29"/>
      <c r="V405" s="29"/>
      <c r="W405" s="109"/>
      <c r="X405" s="40"/>
    </row>
    <row r="406" spans="2:24" s="2" customFormat="1">
      <c r="B406" s="39"/>
      <c r="C406" s="75">
        <v>400</v>
      </c>
      <c r="D406" s="146">
        <f>ETo!$I405*((1-Constantes!$D$19)*ETo!$K405+ETo!$L405)</f>
        <v>4.2532182225287558</v>
      </c>
      <c r="E406" s="76">
        <f>MIN(D406*Constantes!$D$17,0.8*(H405+Observaciones!$F405-F406-G406-Constantes!$D$14))</f>
        <v>2.1686477154910144</v>
      </c>
      <c r="F406" s="76">
        <f>IF(Observaciones!$F405&gt;0.05*Constantes!$D$18,((Observaciones!$F405-0.05*Constantes!$D$18)^2)/(Observaciones!$F405+0.95*Constantes!$D$18),0)</f>
        <v>0</v>
      </c>
      <c r="G406" s="76">
        <f>MAX(0,H405+Observaciones!$F405-F406-Constantes!$D$13)</f>
        <v>0</v>
      </c>
      <c r="H406" s="76">
        <f>H405+Observaciones!$F405-F406-E406-G406-I405</f>
        <v>32.100836573527914</v>
      </c>
      <c r="I406" s="76">
        <f>MAX(0,(H406-Constantes!$D$14)*(1-EXP(-Constantes!$D$22)))</f>
        <v>0.71025603868245435</v>
      </c>
      <c r="J406" s="76">
        <f t="shared" si="18"/>
        <v>95.684366302640314</v>
      </c>
      <c r="K406" s="76">
        <f>MAX(0,(J406-Constantes!$D$13)*(1-EXP(-Constantes!$D$23)))</f>
        <v>0.46245549007502351</v>
      </c>
      <c r="L406" s="76">
        <f t="shared" si="19"/>
        <v>1.1727115287574779</v>
      </c>
      <c r="M406" s="76">
        <f>0.0526*F406*Observaciones!$F405^1.218</f>
        <v>0</v>
      </c>
      <c r="N406" s="76">
        <f>M406*Constantes!$D$51</f>
        <v>0</v>
      </c>
      <c r="O406" s="76">
        <f t="shared" si="20"/>
        <v>0</v>
      </c>
      <c r="P406" s="15"/>
      <c r="Q406" s="75">
        <v>400</v>
      </c>
      <c r="R406" s="76">
        <f>0.0526*Observaciones!$F405^2.218</f>
        <v>0.74310410909583668</v>
      </c>
      <c r="S406" s="76">
        <f>IF(Observaciones!$F405&gt;0.05*$W$7,((Observaciones!$F405-0.05*$W$7)^2)/(Observaciones!$F405+0.95*$W$7),0)</f>
        <v>6.7925012840267113E-2</v>
      </c>
      <c r="T406" s="76">
        <f>0.0526*S406*Observaciones!$F405^1.218</f>
        <v>1.529556247029999E-2</v>
      </c>
      <c r="U406" s="29"/>
      <c r="V406" s="29"/>
      <c r="W406" s="109"/>
      <c r="X406" s="40"/>
    </row>
    <row r="407" spans="2:24" s="2" customFormat="1">
      <c r="B407" s="39"/>
      <c r="C407" s="75">
        <v>401</v>
      </c>
      <c r="D407" s="146">
        <f>ETo!$I406*((1-Constantes!$D$19)*ETo!$K406+ETo!$L406)</f>
        <v>4.4219422425903252</v>
      </c>
      <c r="E407" s="76">
        <f>MIN(D407*Constantes!$D$17,0.8*(H406+Observaciones!$F406-F407-G407-Constantes!$D$14))</f>
        <v>2.2546773856162954</v>
      </c>
      <c r="F407" s="76">
        <f>IF(Observaciones!$F406&gt;0.05*Constantes!$D$18,((Observaciones!$F406-0.05*Constantes!$D$18)^2)/(Observaciones!$F406+0.95*Constantes!$D$18),0)</f>
        <v>0</v>
      </c>
      <c r="G407" s="76">
        <f>MAX(0,H406+Observaciones!$F406-F407-Constantes!$D$13)</f>
        <v>0</v>
      </c>
      <c r="H407" s="76">
        <f>H406+Observaciones!$F406-F407-E407-G407-I406</f>
        <v>29.135903149229161</v>
      </c>
      <c r="I407" s="76">
        <f>MAX(0,(H407-Constantes!$D$14)*(1-EXP(-Constantes!$D$22)))</f>
        <v>0.60925952175741038</v>
      </c>
      <c r="J407" s="76">
        <f t="shared" si="18"/>
        <v>95.221910812565284</v>
      </c>
      <c r="K407" s="76">
        <f>MAX(0,(J407-Constantes!$D$13)*(1-EXP(-Constantes!$D$23)))</f>
        <v>0.45789880598299815</v>
      </c>
      <c r="L407" s="76">
        <f t="shared" si="19"/>
        <v>1.0671583277404086</v>
      </c>
      <c r="M407" s="76">
        <f>0.0526*F407*Observaciones!$F406^1.218</f>
        <v>0</v>
      </c>
      <c r="N407" s="76">
        <f>M407*Constantes!$D$51</f>
        <v>0</v>
      </c>
      <c r="O407" s="76">
        <f t="shared" si="20"/>
        <v>0</v>
      </c>
      <c r="P407" s="15"/>
      <c r="Q407" s="75">
        <v>401</v>
      </c>
      <c r="R407" s="76">
        <f>0.0526*Observaciones!$F406^2.218</f>
        <v>0</v>
      </c>
      <c r="S407" s="76">
        <f>IF(Observaciones!$F406&gt;0.05*$W$7,((Observaciones!$F406-0.05*$W$7)^2)/(Observaciones!$F406+0.95*$W$7),0)</f>
        <v>0</v>
      </c>
      <c r="T407" s="76">
        <f>0.0526*S407*Observaciones!$F406^1.218</f>
        <v>0</v>
      </c>
      <c r="U407" s="29"/>
      <c r="V407" s="29"/>
      <c r="W407" s="109"/>
      <c r="X407" s="40"/>
    </row>
    <row r="408" spans="2:24" s="2" customFormat="1">
      <c r="B408" s="39"/>
      <c r="C408" s="75">
        <v>402</v>
      </c>
      <c r="D408" s="146">
        <f>ETo!$I407*((1-Constantes!$D$19)*ETo!$K407+ETo!$L407)</f>
        <v>4.48508907581542</v>
      </c>
      <c r="E408" s="76">
        <f>MIN(D408*Constantes!$D$17,0.8*(H407+Observaciones!$F407-F408-G408-Constantes!$D$14))</f>
        <v>2.2868749424895172</v>
      </c>
      <c r="F408" s="76">
        <f>IF(Observaciones!$F407&gt;0.05*Constantes!$D$18,((Observaciones!$F407-0.05*Constantes!$D$18)^2)/(Observaciones!$F407+0.95*Constantes!$D$18),0)</f>
        <v>0</v>
      </c>
      <c r="G408" s="76">
        <f>MAX(0,H407+Observaciones!$F407-F408-Constantes!$D$13)</f>
        <v>0</v>
      </c>
      <c r="H408" s="76">
        <f>H407+Observaciones!$F407-F408-E408-G408-I407</f>
        <v>26.239768684982231</v>
      </c>
      <c r="I408" s="76">
        <f>MAX(0,(H408-Constantes!$D$14)*(1-EXP(-Constantes!$D$22)))</f>
        <v>0.51060654997788446</v>
      </c>
      <c r="J408" s="76">
        <f t="shared" si="18"/>
        <v>94.764012006582291</v>
      </c>
      <c r="K408" s="76">
        <f>MAX(0,(J408-Constantes!$D$13)*(1-EXP(-Constantes!$D$23)))</f>
        <v>0.4533870199846492</v>
      </c>
      <c r="L408" s="76">
        <f t="shared" si="19"/>
        <v>0.96399356996253371</v>
      </c>
      <c r="M408" s="76">
        <f>0.0526*F408*Observaciones!$F407^1.218</f>
        <v>0</v>
      </c>
      <c r="N408" s="76">
        <f>M408*Constantes!$D$51</f>
        <v>0</v>
      </c>
      <c r="O408" s="76">
        <f t="shared" si="20"/>
        <v>0</v>
      </c>
      <c r="P408" s="15"/>
      <c r="Q408" s="75">
        <v>402</v>
      </c>
      <c r="R408" s="76">
        <f>0.0526*Observaciones!$F407^2.218</f>
        <v>0</v>
      </c>
      <c r="S408" s="76">
        <f>IF(Observaciones!$F407&gt;0.05*$W$7,((Observaciones!$F407-0.05*$W$7)^2)/(Observaciones!$F407+0.95*$W$7),0)</f>
        <v>0</v>
      </c>
      <c r="T408" s="76">
        <f>0.0526*S408*Observaciones!$F407^1.218</f>
        <v>0</v>
      </c>
      <c r="U408" s="29"/>
      <c r="V408" s="29"/>
      <c r="W408" s="109"/>
      <c r="X408" s="40"/>
    </row>
    <row r="409" spans="2:24" s="2" customFormat="1">
      <c r="B409" s="39"/>
      <c r="C409" s="75">
        <v>403</v>
      </c>
      <c r="D409" s="146">
        <f>ETo!$I408*((1-Constantes!$D$19)*ETo!$K408+ETo!$L408)</f>
        <v>4.3852894620833638</v>
      </c>
      <c r="E409" s="76">
        <f>MIN(D409*Constantes!$D$17,0.8*(H408+Observaciones!$F408-F409-G409-Constantes!$D$14))</f>
        <v>2.2359887210441878</v>
      </c>
      <c r="F409" s="76">
        <f>IF(Observaciones!$F408&gt;0.05*Constantes!$D$18,((Observaciones!$F408-0.05*Constantes!$D$18)^2)/(Observaciones!$F408+0.95*Constantes!$D$18),0)</f>
        <v>1.1736395297691362</v>
      </c>
      <c r="G409" s="76">
        <f>MAX(0,H408+Observaciones!$F408-F409-Constantes!$D$13)</f>
        <v>0</v>
      </c>
      <c r="H409" s="76">
        <f>H408+Observaciones!$F408-F409-E409-G409-I408</f>
        <v>35.819533884191024</v>
      </c>
      <c r="I409" s="76">
        <f>MAX(0,(H409-Constantes!$D$14)*(1-EXP(-Constantes!$D$22)))</f>
        <v>0.8369285207009437</v>
      </c>
      <c r="J409" s="76">
        <f t="shared" si="18"/>
        <v>94.310624986597645</v>
      </c>
      <c r="K409" s="76">
        <f>MAX(0,(J409-Constantes!$D$13)*(1-EXP(-Constantes!$D$23)))</f>
        <v>0.44891968968836571</v>
      </c>
      <c r="L409" s="76">
        <f t="shared" si="19"/>
        <v>2.4594877401584454</v>
      </c>
      <c r="M409" s="76">
        <f>0.0526*F409*Observaciones!$F408^1.218</f>
        <v>1.4698296465891503</v>
      </c>
      <c r="N409" s="76">
        <f>M409*Constantes!$D$51</f>
        <v>2.0665652672816309E-2</v>
      </c>
      <c r="O409" s="76">
        <f t="shared" si="20"/>
        <v>840.24215024080513</v>
      </c>
      <c r="P409" s="15"/>
      <c r="Q409" s="75">
        <v>403</v>
      </c>
      <c r="R409" s="76">
        <f>0.0526*Observaciones!$F408^2.218</f>
        <v>16.906980146499279</v>
      </c>
      <c r="S409" s="76">
        <f>IF(Observaciones!$F408&gt;0.05*$W$7,((Observaciones!$F408-0.05*$W$7)^2)/(Observaciones!$F408+0.95*$W$7),0)</f>
        <v>2.9844081425480202</v>
      </c>
      <c r="T409" s="76">
        <f>0.0526*S409*Observaciones!$F408^1.218</f>
        <v>3.7375799418600115</v>
      </c>
      <c r="U409" s="29"/>
      <c r="V409" s="29"/>
      <c r="W409" s="109"/>
      <c r="X409" s="40"/>
    </row>
    <row r="410" spans="2:24" s="2" customFormat="1">
      <c r="B410" s="39"/>
      <c r="C410" s="75">
        <v>404</v>
      </c>
      <c r="D410" s="146">
        <f>ETo!$I409*((1-Constantes!$D$19)*ETo!$K409+ETo!$L409)</f>
        <v>4.4259892798530256</v>
      </c>
      <c r="E410" s="76">
        <f>MIN(D410*Constantes!$D$17,0.8*(H409+Observaciones!$F409-F410-G410-Constantes!$D$14))</f>
        <v>2.2567409049691878</v>
      </c>
      <c r="F410" s="76">
        <f>IF(Observaciones!$F409&gt;0.05*Constantes!$D$18,((Observaciones!$F409-0.05*Constantes!$D$18)^2)/(Observaciones!$F409+0.95*Constantes!$D$18),0)</f>
        <v>0</v>
      </c>
      <c r="G410" s="76">
        <f>MAX(0,H409+Observaciones!$F409-F410-Constantes!$D$13)</f>
        <v>0</v>
      </c>
      <c r="H410" s="76">
        <f>H409+Observaciones!$F409-F410-E410-G410-I409</f>
        <v>32.725864458520896</v>
      </c>
      <c r="I410" s="76">
        <f>MAX(0,(H410-Constantes!$D$14)*(1-EXP(-Constantes!$D$22)))</f>
        <v>0.7315467829696547</v>
      </c>
      <c r="J410" s="76">
        <f t="shared" si="18"/>
        <v>93.861705296909278</v>
      </c>
      <c r="K410" s="76">
        <f>MAX(0,(J410-Constantes!$D$13)*(1-EXP(-Constantes!$D$23)))</f>
        <v>0.44449637706152656</v>
      </c>
      <c r="L410" s="76">
        <f t="shared" si="19"/>
        <v>1.1760431600311811</v>
      </c>
      <c r="M410" s="76">
        <f>0.0526*F410*Observaciones!$F409^1.218</f>
        <v>0</v>
      </c>
      <c r="N410" s="76">
        <f>M410*Constantes!$D$51</f>
        <v>0</v>
      </c>
      <c r="O410" s="76">
        <f t="shared" si="20"/>
        <v>0</v>
      </c>
      <c r="P410" s="15"/>
      <c r="Q410" s="75">
        <v>404</v>
      </c>
      <c r="R410" s="76">
        <f>0.0526*Observaciones!$F409^2.218</f>
        <v>0</v>
      </c>
      <c r="S410" s="76">
        <f>IF(Observaciones!$F409&gt;0.05*$W$7,((Observaciones!$F409-0.05*$W$7)^2)/(Observaciones!$F409+0.95*$W$7),0)</f>
        <v>0</v>
      </c>
      <c r="T410" s="76">
        <f>0.0526*S410*Observaciones!$F409^1.218</f>
        <v>0</v>
      </c>
      <c r="U410" s="29"/>
      <c r="V410" s="29"/>
      <c r="W410" s="109"/>
      <c r="X410" s="40"/>
    </row>
    <row r="411" spans="2:24" s="2" customFormat="1">
      <c r="B411" s="39"/>
      <c r="C411" s="75">
        <v>405</v>
      </c>
      <c r="D411" s="146">
        <f>ETo!$I410*((1-Constantes!$D$19)*ETo!$K410+ETo!$L410)</f>
        <v>4.168450537636839</v>
      </c>
      <c r="E411" s="76">
        <f>MIN(D411*Constantes!$D$17,0.8*(H410+Observaciones!$F410-F411-G411-Constantes!$D$14))</f>
        <v>2.1254260333270034</v>
      </c>
      <c r="F411" s="76">
        <f>IF(Observaciones!$F410&gt;0.05*Constantes!$D$18,((Observaciones!$F410-0.05*Constantes!$D$18)^2)/(Observaciones!$F410+0.95*Constantes!$D$18),0)</f>
        <v>0</v>
      </c>
      <c r="G411" s="76">
        <f>MAX(0,H410+Observaciones!$F410-F411-Constantes!$D$13)</f>
        <v>0</v>
      </c>
      <c r="H411" s="76">
        <f>H410+Observaciones!$F410-F411-E411-G411-I410</f>
        <v>31.868891642224238</v>
      </c>
      <c r="I411" s="76">
        <f>MAX(0,(H411-Constantes!$D$14)*(1-EXP(-Constantes!$D$22)))</f>
        <v>0.70235514283497658</v>
      </c>
      <c r="J411" s="76">
        <f t="shared" si="18"/>
        <v>93.417208919847752</v>
      </c>
      <c r="K411" s="76">
        <f>MAX(0,(J411-Constantes!$D$13)*(1-EXP(-Constantes!$D$23)))</f>
        <v>0.44011664838755071</v>
      </c>
      <c r="L411" s="76">
        <f t="shared" si="19"/>
        <v>1.1424717912225273</v>
      </c>
      <c r="M411" s="76">
        <f>0.0526*F411*Observaciones!$F410^1.218</f>
        <v>0</v>
      </c>
      <c r="N411" s="76">
        <f>M411*Constantes!$D$51</f>
        <v>0</v>
      </c>
      <c r="O411" s="76">
        <f t="shared" si="20"/>
        <v>0</v>
      </c>
      <c r="P411" s="15"/>
      <c r="Q411" s="75">
        <v>405</v>
      </c>
      <c r="R411" s="76">
        <f>0.0526*Observaciones!$F410^2.218</f>
        <v>0.24472045674166781</v>
      </c>
      <c r="S411" s="76">
        <f>IF(Observaciones!$F410&gt;0.05*$W$7,((Observaciones!$F410-0.05*$W$7)^2)/(Observaciones!$F410+0.95*$W$7),0)</f>
        <v>2.0605192437462322E-3</v>
      </c>
      <c r="T411" s="76">
        <f>0.0526*S411*Observaciones!$F410^1.218</f>
        <v>2.5212560522728692E-4</v>
      </c>
      <c r="U411" s="29"/>
      <c r="V411" s="29"/>
      <c r="W411" s="109"/>
      <c r="X411" s="40"/>
    </row>
    <row r="412" spans="2:24" s="2" customFormat="1">
      <c r="B412" s="39"/>
      <c r="C412" s="75">
        <v>406</v>
      </c>
      <c r="D412" s="146">
        <f>ETo!$I411*((1-Constantes!$D$19)*ETo!$K411+ETo!$L411)</f>
        <v>4.2480995645578474</v>
      </c>
      <c r="E412" s="76">
        <f>MIN(D412*Constantes!$D$17,0.8*(H411+Observaciones!$F411-F412-G412-Constantes!$D$14))</f>
        <v>2.1660377939365096</v>
      </c>
      <c r="F412" s="76">
        <f>IF(Observaciones!$F411&gt;0.05*Constantes!$D$18,((Observaciones!$F411-0.05*Constantes!$D$18)^2)/(Observaciones!$F411+0.95*Constantes!$D$18),0)</f>
        <v>3.6199309890730915</v>
      </c>
      <c r="G412" s="76">
        <f>MAX(0,H411+Observaciones!$F411-F412-Constantes!$D$13)</f>
        <v>1.2989606531511484</v>
      </c>
      <c r="H412" s="76">
        <f>H411+Observaciones!$F411-F412-E412-G412-I411</f>
        <v>45.881607063228515</v>
      </c>
      <c r="I412" s="76">
        <f>MAX(0,(H412-Constantes!$D$14)*(1-EXP(-Constantes!$D$22)))</f>
        <v>1.17967967180581</v>
      </c>
      <c r="J412" s="76">
        <f t="shared" si="18"/>
        <v>94.276052924611349</v>
      </c>
      <c r="K412" s="76">
        <f>MAX(0,(J412-Constantes!$D$13)*(1-EXP(-Constantes!$D$23)))</f>
        <v>0.44857904292719109</v>
      </c>
      <c r="L412" s="76">
        <f t="shared" si="19"/>
        <v>5.2481897038060925</v>
      </c>
      <c r="M412" s="76">
        <f>0.0526*F412*Observaciones!$F411^1.218</f>
        <v>8.1269211202476086</v>
      </c>
      <c r="N412" s="76">
        <f>M412*Constantes!$D$51</f>
        <v>0.11426366964372266</v>
      </c>
      <c r="O412" s="76">
        <f t="shared" si="20"/>
        <v>2177.2015893567327</v>
      </c>
      <c r="P412" s="15"/>
      <c r="Q412" s="75">
        <v>406</v>
      </c>
      <c r="R412" s="76">
        <f>0.0526*Observaciones!$F411^2.218</f>
        <v>48.942060209485547</v>
      </c>
      <c r="S412" s="76">
        <f>IF(Observaciones!$F411&gt;0.05*$W$7,((Observaciones!$F411-0.05*$W$7)^2)/(Observaciones!$F411+0.95*$W$7),0)</f>
        <v>7.3619462174717709</v>
      </c>
      <c r="T412" s="76">
        <f>0.0526*S412*Observaciones!$F411^1.218</f>
        <v>16.527927295160456</v>
      </c>
      <c r="U412" s="29"/>
      <c r="V412" s="29"/>
      <c r="W412" s="109"/>
      <c r="X412" s="40"/>
    </row>
    <row r="413" spans="2:24" s="2" customFormat="1">
      <c r="B413" s="39"/>
      <c r="C413" s="75">
        <v>407</v>
      </c>
      <c r="D413" s="146">
        <f>ETo!$I412*((1-Constantes!$D$19)*ETo!$K412+ETo!$L412)</f>
        <v>4.1089194186077282</v>
      </c>
      <c r="E413" s="76">
        <f>MIN(D413*Constantes!$D$17,0.8*(H412+Observaciones!$F412-F413-G413-Constantes!$D$14))</f>
        <v>2.0950720710968813</v>
      </c>
      <c r="F413" s="76">
        <f>IF(Observaciones!$F412&gt;0.05*Constantes!$D$18,((Observaciones!$F412-0.05*Constantes!$D$18)^2)/(Observaciones!$F412+0.95*Constantes!$D$18),0)</f>
        <v>0</v>
      </c>
      <c r="G413" s="76">
        <f>MAX(0,H412+Observaciones!$F412-F413-Constantes!$D$13)</f>
        <v>0</v>
      </c>
      <c r="H413" s="76">
        <f>H412+Observaciones!$F412-F413-E413-G413-I412</f>
        <v>42.606855320325828</v>
      </c>
      <c r="I413" s="76">
        <f>MAX(0,(H413-Constantes!$D$14)*(1-EXP(-Constantes!$D$22)))</f>
        <v>1.0681296055827842</v>
      </c>
      <c r="J413" s="76">
        <f t="shared" si="18"/>
        <v>93.827473881684156</v>
      </c>
      <c r="K413" s="76">
        <f>MAX(0,(J413-Constantes!$D$13)*(1-EXP(-Constantes!$D$23)))</f>
        <v>0.44415908677402555</v>
      </c>
      <c r="L413" s="76">
        <f t="shared" si="19"/>
        <v>1.5122886923568097</v>
      </c>
      <c r="M413" s="76">
        <f>0.0526*F413*Observaciones!$F412^1.218</f>
        <v>0</v>
      </c>
      <c r="N413" s="76">
        <f>M413*Constantes!$D$51</f>
        <v>0</v>
      </c>
      <c r="O413" s="76">
        <f t="shared" si="20"/>
        <v>0</v>
      </c>
      <c r="P413" s="15"/>
      <c r="Q413" s="75">
        <v>407</v>
      </c>
      <c r="R413" s="76">
        <f>0.0526*Observaciones!$F412^2.218</f>
        <v>0</v>
      </c>
      <c r="S413" s="76">
        <f>IF(Observaciones!$F412&gt;0.05*$W$7,((Observaciones!$F412-0.05*$W$7)^2)/(Observaciones!$F412+0.95*$W$7),0)</f>
        <v>0</v>
      </c>
      <c r="T413" s="76">
        <f>0.0526*S413*Observaciones!$F412^1.218</f>
        <v>0</v>
      </c>
      <c r="U413" s="29"/>
      <c r="V413" s="29"/>
      <c r="W413" s="109"/>
      <c r="X413" s="40"/>
    </row>
    <row r="414" spans="2:24" s="2" customFormat="1">
      <c r="B414" s="39"/>
      <c r="C414" s="75">
        <v>408</v>
      </c>
      <c r="D414" s="146">
        <f>ETo!$I413*((1-Constantes!$D$19)*ETo!$K413+ETo!$L413)</f>
        <v>4.288541793645777</v>
      </c>
      <c r="E414" s="76">
        <f>MIN(D414*Constantes!$D$17,0.8*(H413+Observaciones!$F413-F414-G414-Constantes!$D$14))</f>
        <v>2.1866586375265094</v>
      </c>
      <c r="F414" s="76">
        <f>IF(Observaciones!$F413&gt;0.05*Constantes!$D$18,((Observaciones!$F413-0.05*Constantes!$D$18)^2)/(Observaciones!$F413+0.95*Constantes!$D$18),0)</f>
        <v>0</v>
      </c>
      <c r="G414" s="76">
        <f>MAX(0,H413+Observaciones!$F413-F414-Constantes!$D$13)</f>
        <v>0</v>
      </c>
      <c r="H414" s="76">
        <f>H413+Observaciones!$F413-F414-E414-G414-I413</f>
        <v>41.252067077216537</v>
      </c>
      <c r="I414" s="76">
        <f>MAX(0,(H414-Constantes!$D$14)*(1-EXP(-Constantes!$D$22)))</f>
        <v>1.021980544493023</v>
      </c>
      <c r="J414" s="76">
        <f t="shared" si="18"/>
        <v>93.383314794910135</v>
      </c>
      <c r="K414" s="76">
        <f>MAX(0,(J414-Constantes!$D$13)*(1-EXP(-Constantes!$D$23)))</f>
        <v>0.43978268150158878</v>
      </c>
      <c r="L414" s="76">
        <f t="shared" si="19"/>
        <v>1.4617632259946118</v>
      </c>
      <c r="M414" s="76">
        <f>0.0526*F414*Observaciones!$F413^1.218</f>
        <v>0</v>
      </c>
      <c r="N414" s="76">
        <f>M414*Constantes!$D$51</f>
        <v>0</v>
      </c>
      <c r="O414" s="76">
        <f t="shared" si="20"/>
        <v>0</v>
      </c>
      <c r="P414" s="15"/>
      <c r="Q414" s="75">
        <v>408</v>
      </c>
      <c r="R414" s="76">
        <f>0.0526*Observaciones!$F413^2.218</f>
        <v>0.21840432335886875</v>
      </c>
      <c r="S414" s="76">
        <f>IF(Observaciones!$F413&gt;0.05*$W$7,((Observaciones!$F413-0.05*$W$7)^2)/(Observaciones!$F413+0.95*$W$7),0)</f>
        <v>8.1268476854215671E-4</v>
      </c>
      <c r="T414" s="76">
        <f>0.0526*S414*Observaciones!$F413^1.218</f>
        <v>9.3417824725004533E-5</v>
      </c>
      <c r="U414" s="29"/>
      <c r="V414" s="29"/>
      <c r="W414" s="109"/>
      <c r="X414" s="40"/>
    </row>
    <row r="415" spans="2:24" s="2" customFormat="1">
      <c r="B415" s="39"/>
      <c r="C415" s="75">
        <v>409</v>
      </c>
      <c r="D415" s="146">
        <f>ETo!$I414*((1-Constantes!$D$19)*ETo!$K414+ETo!$L414)</f>
        <v>4.3586687983610162</v>
      </c>
      <c r="E415" s="76">
        <f>MIN(D415*Constantes!$D$17,0.8*(H414+Observaciones!$F414-F415-G415-Constantes!$D$14))</f>
        <v>2.2224152718238934</v>
      </c>
      <c r="F415" s="76">
        <f>IF(Observaciones!$F414&gt;0.05*Constantes!$D$18,((Observaciones!$F414-0.05*Constantes!$D$18)^2)/(Observaciones!$F414+0.95*Constantes!$D$18),0)</f>
        <v>0</v>
      </c>
      <c r="G415" s="76">
        <f>MAX(0,H414+Observaciones!$F414-F415-Constantes!$D$13)</f>
        <v>0</v>
      </c>
      <c r="H415" s="76">
        <f>H414+Observaciones!$F414-F415-E415-G415-I414</f>
        <v>38.807671260899617</v>
      </c>
      <c r="I415" s="76">
        <f>MAX(0,(H415-Constantes!$D$14)*(1-EXP(-Constantes!$D$22)))</f>
        <v>0.93871544942852003</v>
      </c>
      <c r="J415" s="76">
        <f t="shared" si="18"/>
        <v>92.943532113408551</v>
      </c>
      <c r="K415" s="76">
        <f>MAX(0,(J415-Constantes!$D$13)*(1-EXP(-Constantes!$D$23)))</f>
        <v>0.43544939799267984</v>
      </c>
      <c r="L415" s="76">
        <f t="shared" si="19"/>
        <v>1.3741648474211998</v>
      </c>
      <c r="M415" s="76">
        <f>0.0526*F415*Observaciones!$F414^1.218</f>
        <v>0</v>
      </c>
      <c r="N415" s="76">
        <f>M415*Constantes!$D$51</f>
        <v>0</v>
      </c>
      <c r="O415" s="76">
        <f t="shared" si="20"/>
        <v>0</v>
      </c>
      <c r="P415" s="15"/>
      <c r="Q415" s="75">
        <v>409</v>
      </c>
      <c r="R415" s="76">
        <f>0.0526*Observaciones!$F414^2.218</f>
        <v>3.2065597387029521E-2</v>
      </c>
      <c r="S415" s="76">
        <f>IF(Observaciones!$F414&gt;0.05*$W$7,((Observaciones!$F414-0.05*$W$7)^2)/(Observaciones!$F414+0.95*$W$7),0)</f>
        <v>0</v>
      </c>
      <c r="T415" s="76">
        <f>0.0526*S415*Observaciones!$F414^1.218</f>
        <v>0</v>
      </c>
      <c r="U415" s="29"/>
      <c r="V415" s="29"/>
      <c r="W415" s="109"/>
      <c r="X415" s="40"/>
    </row>
    <row r="416" spans="2:24" s="2" customFormat="1">
      <c r="B416" s="39"/>
      <c r="C416" s="75">
        <v>410</v>
      </c>
      <c r="D416" s="146">
        <f>ETo!$I415*((1-Constantes!$D$19)*ETo!$K415+ETo!$L415)</f>
        <v>4.2756427877182128</v>
      </c>
      <c r="E416" s="76">
        <f>MIN(D416*Constantes!$D$17,0.8*(H415+Observaciones!$F415-F416-G416-Constantes!$D$14))</f>
        <v>2.1800816414089002</v>
      </c>
      <c r="F416" s="76">
        <f>IF(Observaciones!$F415&gt;0.05*Constantes!$D$18,((Observaciones!$F415-0.05*Constantes!$D$18)^2)/(Observaciones!$F415+0.95*Constantes!$D$18),0)</f>
        <v>0</v>
      </c>
      <c r="G416" s="76">
        <f>MAX(0,H415+Observaciones!$F415-F416-Constantes!$D$13)</f>
        <v>0</v>
      </c>
      <c r="H416" s="76">
        <f>H415+Observaciones!$F415-F416-E416-G416-I415</f>
        <v>35.688874170062199</v>
      </c>
      <c r="I416" s="76">
        <f>MAX(0,(H416-Constantes!$D$14)*(1-EXP(-Constantes!$D$22)))</f>
        <v>0.83247777117608579</v>
      </c>
      <c r="J416" s="76">
        <f t="shared" si="18"/>
        <v>92.508082715415867</v>
      </c>
      <c r="K416" s="76">
        <f>MAX(0,(J416-Constantes!$D$13)*(1-EXP(-Constantes!$D$23)))</f>
        <v>0.43115881135829176</v>
      </c>
      <c r="L416" s="76">
        <f t="shared" si="19"/>
        <v>1.2636365825343776</v>
      </c>
      <c r="M416" s="76">
        <f>0.0526*F416*Observaciones!$F415^1.218</f>
        <v>0</v>
      </c>
      <c r="N416" s="76">
        <f>M416*Constantes!$D$51</f>
        <v>0</v>
      </c>
      <c r="O416" s="76">
        <f t="shared" si="20"/>
        <v>0</v>
      </c>
      <c r="P416" s="15"/>
      <c r="Q416" s="75">
        <v>410</v>
      </c>
      <c r="R416" s="76">
        <f>0.0526*Observaciones!$F415^2.218</f>
        <v>0</v>
      </c>
      <c r="S416" s="76">
        <f>IF(Observaciones!$F415&gt;0.05*$W$7,((Observaciones!$F415-0.05*$W$7)^2)/(Observaciones!$F415+0.95*$W$7),0)</f>
        <v>0</v>
      </c>
      <c r="T416" s="76">
        <f>0.0526*S416*Observaciones!$F415^1.218</f>
        <v>0</v>
      </c>
      <c r="U416" s="29"/>
      <c r="V416" s="29"/>
      <c r="W416" s="109"/>
      <c r="X416" s="40"/>
    </row>
    <row r="417" spans="2:24" s="2" customFormat="1">
      <c r="B417" s="39"/>
      <c r="C417" s="75">
        <v>411</v>
      </c>
      <c r="D417" s="146">
        <f>ETo!$I416*((1-Constantes!$D$19)*ETo!$K416+ETo!$L416)</f>
        <v>4.3015724044423695</v>
      </c>
      <c r="E417" s="76">
        <f>MIN(D417*Constantes!$D$17,0.8*(H416+Observaciones!$F416-F417-G417-Constantes!$D$14))</f>
        <v>2.1933027368548252</v>
      </c>
      <c r="F417" s="76">
        <f>IF(Observaciones!$F416&gt;0.05*Constantes!$D$18,((Observaciones!$F416-0.05*Constantes!$D$18)^2)/(Observaciones!$F416+0.95*Constantes!$D$18),0)</f>
        <v>0</v>
      </c>
      <c r="G417" s="76">
        <f>MAX(0,H416+Observaciones!$F416-F417-Constantes!$D$13)</f>
        <v>0</v>
      </c>
      <c r="H417" s="76">
        <f>H416+Observaciones!$F416-F417-E417-G417-I416</f>
        <v>34.363093662031289</v>
      </c>
      <c r="I417" s="76">
        <f>MAX(0,(H417-Constantes!$D$14)*(1-EXP(-Constantes!$D$22)))</f>
        <v>0.78731682003266978</v>
      </c>
      <c r="J417" s="76">
        <f t="shared" si="18"/>
        <v>92.07692390405758</v>
      </c>
      <c r="K417" s="76">
        <f>MAX(0,(J417-Constantes!$D$13)*(1-EXP(-Constantes!$D$23)))</f>
        <v>0.42691050089595056</v>
      </c>
      <c r="L417" s="76">
        <f t="shared" si="19"/>
        <v>1.2142273209286203</v>
      </c>
      <c r="M417" s="76">
        <f>0.0526*F417*Observaciones!$F416^1.218</f>
        <v>0</v>
      </c>
      <c r="N417" s="76">
        <f>M417*Constantes!$D$51</f>
        <v>0</v>
      </c>
      <c r="O417" s="76">
        <f t="shared" si="20"/>
        <v>0</v>
      </c>
      <c r="P417" s="15"/>
      <c r="Q417" s="75">
        <v>411</v>
      </c>
      <c r="R417" s="76">
        <f>0.0526*Observaciones!$F416^2.218</f>
        <v>0.17065595668433275</v>
      </c>
      <c r="S417" s="76">
        <f>IF(Observaciones!$F416&gt;0.05*$W$7,((Observaciones!$F416-0.05*$W$7)^2)/(Observaciones!$F416+0.95*$W$7),0)</f>
        <v>0</v>
      </c>
      <c r="T417" s="76">
        <f>0.0526*S417*Observaciones!$F416^1.218</f>
        <v>0</v>
      </c>
      <c r="U417" s="29"/>
      <c r="V417" s="29"/>
      <c r="W417" s="109"/>
      <c r="X417" s="40"/>
    </row>
    <row r="418" spans="2:24" s="2" customFormat="1">
      <c r="B418" s="39"/>
      <c r="C418" s="75">
        <v>412</v>
      </c>
      <c r="D418" s="146">
        <f>ETo!$I417*((1-Constantes!$D$19)*ETo!$K417+ETo!$L417)</f>
        <v>4.2662340807506807</v>
      </c>
      <c r="E418" s="76">
        <f>MIN(D418*Constantes!$D$17,0.8*(H417+Observaciones!$F417-F418-G418-Constantes!$D$14))</f>
        <v>2.1752842927182581</v>
      </c>
      <c r="F418" s="76">
        <f>IF(Observaciones!$F417&gt;0.05*Constantes!$D$18,((Observaciones!$F417-0.05*Constantes!$D$18)^2)/(Observaciones!$F417+0.95*Constantes!$D$18),0)</f>
        <v>2.3920009780008371</v>
      </c>
      <c r="G418" s="76">
        <f>MAX(0,H417+Observaciones!$F417-F418-Constantes!$D$13)</f>
        <v>1.3210926840304538</v>
      </c>
      <c r="H418" s="76">
        <f>H417+Observaciones!$F417-F418-E418-G418-I417</f>
        <v>45.787398887249068</v>
      </c>
      <c r="I418" s="76">
        <f>MAX(0,(H418-Constantes!$D$14)*(1-EXP(-Constantes!$D$22)))</f>
        <v>1.1764705954866559</v>
      </c>
      <c r="J418" s="76">
        <f t="shared" si="18"/>
        <v>92.971106087192084</v>
      </c>
      <c r="K418" s="76">
        <f>MAX(0,(J418-Constantes!$D$13)*(1-EXP(-Constantes!$D$23)))</f>
        <v>0.43572109092397782</v>
      </c>
      <c r="L418" s="76">
        <f t="shared" si="19"/>
        <v>4.0041926644114705</v>
      </c>
      <c r="M418" s="76">
        <f>0.0526*F418*Observaciones!$F417^1.218</f>
        <v>4.2815360120362227</v>
      </c>
      <c r="N418" s="76">
        <f>M418*Constantes!$D$51</f>
        <v>6.0197953100362217E-2</v>
      </c>
      <c r="O418" s="76">
        <f t="shared" si="20"/>
        <v>1503.3730428455799</v>
      </c>
      <c r="P418" s="15"/>
      <c r="Q418" s="75">
        <v>412</v>
      </c>
      <c r="R418" s="76">
        <f>0.0526*Observaciones!$F417^2.218</f>
        <v>32.397897212660951</v>
      </c>
      <c r="S418" s="76">
        <f>IF(Observaciones!$F417&gt;0.05*$W$7,((Observaciones!$F417-0.05*$W$7)^2)/(Observaciones!$F417+0.95*$W$7),0)</f>
        <v>5.2528137177856484</v>
      </c>
      <c r="T418" s="76">
        <f>0.0526*S418*Observaciones!$F417^1.218</f>
        <v>9.4022165141477867</v>
      </c>
      <c r="U418" s="29"/>
      <c r="V418" s="29"/>
      <c r="W418" s="109"/>
      <c r="X418" s="40"/>
    </row>
    <row r="419" spans="2:24" s="2" customFormat="1">
      <c r="B419" s="39"/>
      <c r="C419" s="75">
        <v>413</v>
      </c>
      <c r="D419" s="146">
        <f>ETo!$I418*((1-Constantes!$D$19)*ETo!$K418+ETo!$L418)</f>
        <v>4.2655384620621728</v>
      </c>
      <c r="E419" s="76">
        <f>MIN(D419*Constantes!$D$17,0.8*(H418+Observaciones!$F418-F419-G419-Constantes!$D$14))</f>
        <v>2.1749296079123632</v>
      </c>
      <c r="F419" s="76">
        <f>IF(Observaciones!$F418&gt;0.05*Constantes!$D$18,((Observaciones!$F418-0.05*Constantes!$D$18)^2)/(Observaciones!$F418+0.95*Constantes!$D$18),0)</f>
        <v>0</v>
      </c>
      <c r="G419" s="76">
        <f>MAX(0,H418+Observaciones!$F418-F419-Constantes!$D$13)</f>
        <v>0</v>
      </c>
      <c r="H419" s="76">
        <f>H418+Observaciones!$F418-F419-E419-G419-I418</f>
        <v>43.83599868385005</v>
      </c>
      <c r="I419" s="76">
        <f>MAX(0,(H419-Constantes!$D$14)*(1-EXP(-Constantes!$D$22)))</f>
        <v>1.1099987408220824</v>
      </c>
      <c r="J419" s="76">
        <f t="shared" si="18"/>
        <v>92.535384996268107</v>
      </c>
      <c r="K419" s="76">
        <f>MAX(0,(J419-Constantes!$D$13)*(1-EXP(-Constantes!$D$23)))</f>
        <v>0.43142782723442558</v>
      </c>
      <c r="L419" s="76">
        <f t="shared" si="19"/>
        <v>1.541426568056508</v>
      </c>
      <c r="M419" s="76">
        <f>0.0526*F419*Observaciones!$F418^1.218</f>
        <v>0</v>
      </c>
      <c r="N419" s="76">
        <f>M419*Constantes!$D$51</f>
        <v>0</v>
      </c>
      <c r="O419" s="76">
        <f t="shared" si="20"/>
        <v>0</v>
      </c>
      <c r="P419" s="15"/>
      <c r="Q419" s="75">
        <v>413</v>
      </c>
      <c r="R419" s="76">
        <f>0.0526*Observaciones!$F418^2.218</f>
        <v>0.11094244358496377</v>
      </c>
      <c r="S419" s="76">
        <f>IF(Observaciones!$F418&gt;0.05*$W$7,((Observaciones!$F418-0.05*$W$7)^2)/(Observaciones!$F418+0.95*$W$7),0)</f>
        <v>0</v>
      </c>
      <c r="T419" s="76">
        <f>0.0526*S419*Observaciones!$F418^1.218</f>
        <v>0</v>
      </c>
      <c r="U419" s="29"/>
      <c r="V419" s="29"/>
      <c r="W419" s="109"/>
      <c r="X419" s="40"/>
    </row>
    <row r="420" spans="2:24" s="2" customFormat="1">
      <c r="B420" s="39"/>
      <c r="C420" s="75">
        <v>414</v>
      </c>
      <c r="D420" s="146">
        <f>ETo!$I419*((1-Constantes!$D$19)*ETo!$K419+ETo!$L419)</f>
        <v>4.3428985179672699</v>
      </c>
      <c r="E420" s="76">
        <f>MIN(D420*Constantes!$D$17,0.8*(H419+Observaciones!$F419-F420-G420-Constantes!$D$14))</f>
        <v>2.2143742589345488</v>
      </c>
      <c r="F420" s="76">
        <f>IF(Observaciones!$F419&gt;0.05*Constantes!$D$18,((Observaciones!$F419-0.05*Constantes!$D$18)^2)/(Observaciones!$F419+0.95*Constantes!$D$18),0)</f>
        <v>0.95913437748632913</v>
      </c>
      <c r="G420" s="76">
        <f>MAX(0,H419+Observaciones!$F419-F420-Constantes!$D$13)</f>
        <v>6.6268643063637214</v>
      </c>
      <c r="H420" s="76">
        <f>H419+Observaciones!$F419-F420-E420-G420-I419</f>
        <v>45.425627000243367</v>
      </c>
      <c r="I420" s="76">
        <f>MAX(0,(H420-Constantes!$D$14)*(1-EXP(-Constantes!$D$22)))</f>
        <v>1.1641473169234557</v>
      </c>
      <c r="J420" s="76">
        <f t="shared" si="18"/>
        <v>98.730821475397406</v>
      </c>
      <c r="K420" s="76">
        <f>MAX(0,(J420-Constantes!$D$13)*(1-EXP(-Constantes!$D$23)))</f>
        <v>0.49247293850128931</v>
      </c>
      <c r="L420" s="76">
        <f t="shared" si="19"/>
        <v>2.6157546329110741</v>
      </c>
      <c r="M420" s="76">
        <f>0.0526*F420*Observaciones!$F419^1.218</f>
        <v>1.093708525166837</v>
      </c>
      <c r="N420" s="76">
        <f>M420*Constantes!$D$51</f>
        <v>1.5377428642051225E-2</v>
      </c>
      <c r="O420" s="76">
        <f t="shared" si="20"/>
        <v>587.87733560994127</v>
      </c>
      <c r="P420" s="15"/>
      <c r="Q420" s="75">
        <v>414</v>
      </c>
      <c r="R420" s="76">
        <f>0.0526*Observaciones!$F419^2.218</f>
        <v>14.253848976214318</v>
      </c>
      <c r="S420" s="76">
        <f>IF(Observaciones!$F419&gt;0.05*$W$7,((Observaciones!$F419-0.05*$W$7)^2)/(Observaciones!$F419+0.95*$W$7),0)</f>
        <v>2.5537914433149203</v>
      </c>
      <c r="T420" s="76">
        <f>0.0526*S420*Observaciones!$F419^1.218</f>
        <v>2.9121086039807391</v>
      </c>
      <c r="U420" s="29"/>
      <c r="V420" s="29"/>
      <c r="W420" s="109"/>
      <c r="X420" s="40"/>
    </row>
    <row r="421" spans="2:24" s="2" customFormat="1">
      <c r="B421" s="39"/>
      <c r="C421" s="75">
        <v>415</v>
      </c>
      <c r="D421" s="146">
        <f>ETo!$I420*((1-Constantes!$D$19)*ETo!$K420+ETo!$L420)</f>
        <v>4.2243443772128231</v>
      </c>
      <c r="E421" s="76">
        <f>MIN(D421*Constantes!$D$17,0.8*(H420+Observaciones!$F420-F421-G421-Constantes!$D$14))</f>
        <v>2.1539254051354906</v>
      </c>
      <c r="F421" s="76">
        <f>IF(Observaciones!$F420&gt;0.05*Constantes!$D$18,((Observaciones!$F420-0.05*Constantes!$D$18)^2)/(Observaciones!$F420+0.95*Constantes!$D$18),0)</f>
        <v>0</v>
      </c>
      <c r="G421" s="76">
        <f>MAX(0,H420+Observaciones!$F420-F421-Constantes!$D$13)</f>
        <v>0</v>
      </c>
      <c r="H421" s="76">
        <f>H420+Observaciones!$F420-F421-E421-G421-I420</f>
        <v>42.107554278184423</v>
      </c>
      <c r="I421" s="76">
        <f>MAX(0,(H421-Constantes!$D$14)*(1-EXP(-Constantes!$D$22)))</f>
        <v>1.0511215791157977</v>
      </c>
      <c r="J421" s="76">
        <f t="shared" si="18"/>
        <v>98.238348536896112</v>
      </c>
      <c r="K421" s="76">
        <f>MAX(0,(J421-Constantes!$D$13)*(1-EXP(-Constantes!$D$23)))</f>
        <v>0.48762048534032076</v>
      </c>
      <c r="L421" s="76">
        <f t="shared" si="19"/>
        <v>1.5387420644561185</v>
      </c>
      <c r="M421" s="76">
        <f>0.0526*F421*Observaciones!$F420^1.218</f>
        <v>0</v>
      </c>
      <c r="N421" s="76">
        <f>M421*Constantes!$D$51</f>
        <v>0</v>
      </c>
      <c r="O421" s="76">
        <f t="shared" si="20"/>
        <v>0</v>
      </c>
      <c r="P421" s="15"/>
      <c r="Q421" s="75">
        <v>415</v>
      </c>
      <c r="R421" s="76">
        <f>0.0526*Observaciones!$F420^2.218</f>
        <v>0</v>
      </c>
      <c r="S421" s="76">
        <f>IF(Observaciones!$F420&gt;0.05*$W$7,((Observaciones!$F420-0.05*$W$7)^2)/(Observaciones!$F420+0.95*$W$7),0)</f>
        <v>0</v>
      </c>
      <c r="T421" s="76">
        <f>0.0526*S421*Observaciones!$F420^1.218</f>
        <v>0</v>
      </c>
      <c r="U421" s="29"/>
      <c r="V421" s="29"/>
      <c r="W421" s="109"/>
      <c r="X421" s="40"/>
    </row>
    <row r="422" spans="2:24" s="2" customFormat="1">
      <c r="B422" s="39"/>
      <c r="C422" s="75">
        <v>416</v>
      </c>
      <c r="D422" s="146">
        <f>ETo!$I421*((1-Constantes!$D$19)*ETo!$K421+ETo!$L421)</f>
        <v>4.0799958131706378</v>
      </c>
      <c r="E422" s="76">
        <f>MIN(D422*Constantes!$D$17,0.8*(H421+Observaciones!$F421-F422-G422-Constantes!$D$14))</f>
        <v>2.0803243888541356</v>
      </c>
      <c r="F422" s="76">
        <f>IF(Observaciones!$F421&gt;0.05*Constantes!$D$18,((Observaciones!$F421-0.05*Constantes!$D$18)^2)/(Observaciones!$F421+0.95*Constantes!$D$18),0)</f>
        <v>4.4430485506816719</v>
      </c>
      <c r="G422" s="76">
        <f>MAX(0,H421+Observaciones!$F421-F422-Constantes!$D$13)</f>
        <v>12.91450572750275</v>
      </c>
      <c r="H422" s="76">
        <f>H421+Observaciones!$F421-F422-E422-G422-I421</f>
        <v>45.618554032030062</v>
      </c>
      <c r="I422" s="76">
        <f>MAX(0,(H422-Constantes!$D$14)*(1-EXP(-Constantes!$D$22)))</f>
        <v>1.1707191198757436</v>
      </c>
      <c r="J422" s="76">
        <f t="shared" si="18"/>
        <v>110.66523377905854</v>
      </c>
      <c r="K422" s="76">
        <f>MAX(0,(J422-Constantes!$D$13)*(1-EXP(-Constantes!$D$23)))</f>
        <v>0.6100655454848104</v>
      </c>
      <c r="L422" s="76">
        <f t="shared" si="19"/>
        <v>6.2238332160422258</v>
      </c>
      <c r="M422" s="76">
        <f>0.0526*F422*Observaciones!$F421^1.218</f>
        <v>11.2140915040645</v>
      </c>
      <c r="N422" s="76">
        <f>M422*Constantes!$D$51</f>
        <v>0.15766896565323904</v>
      </c>
      <c r="O422" s="76">
        <f t="shared" si="20"/>
        <v>2533.3096209397099</v>
      </c>
      <c r="P422" s="15"/>
      <c r="Q422" s="75">
        <v>416</v>
      </c>
      <c r="R422" s="76">
        <f>0.0526*Observaciones!$F421^2.218</f>
        <v>60.57511931897654</v>
      </c>
      <c r="S422" s="76">
        <f>IF(Observaciones!$F421&gt;0.05*$W$7,((Observaciones!$F421-0.05*$W$7)^2)/(Observaciones!$F421+0.95*$W$7),0)</f>
        <v>8.7141003855957155</v>
      </c>
      <c r="T422" s="76">
        <f>0.0526*S422*Observaciones!$F421^1.218</f>
        <v>21.994069608958327</v>
      </c>
      <c r="U422" s="29"/>
      <c r="V422" s="29"/>
      <c r="W422" s="109"/>
      <c r="X422" s="40"/>
    </row>
    <row r="423" spans="2:24" s="2" customFormat="1">
      <c r="B423" s="39"/>
      <c r="C423" s="75">
        <v>417</v>
      </c>
      <c r="D423" s="146">
        <f>ETo!$I422*((1-Constantes!$D$19)*ETo!$K422+ETo!$L422)</f>
        <v>3.9184926714917041</v>
      </c>
      <c r="E423" s="76">
        <f>MIN(D423*Constantes!$D$17,0.8*(H422+Observaciones!$F422-F423-G423-Constantes!$D$14))</f>
        <v>1.9979765287346041</v>
      </c>
      <c r="F423" s="76">
        <f>IF(Observaciones!$F422&gt;0.05*Constantes!$D$18,((Observaciones!$F422-0.05*Constantes!$D$18)^2)/(Observaciones!$F422+0.95*Constantes!$D$18),0)</f>
        <v>0.87873930703284819</v>
      </c>
      <c r="G423" s="76">
        <f>MAX(0,H422+Observaciones!$F422-F423-Constantes!$D$13)</f>
        <v>8.0898147249972183</v>
      </c>
      <c r="H423" s="76">
        <f>H422+Observaciones!$F422-F423-E423-G423-I422</f>
        <v>45.581304351389655</v>
      </c>
      <c r="I423" s="76">
        <f>MAX(0,(H423-Constantes!$D$14)*(1-EXP(-Constantes!$D$22)))</f>
        <v>1.1694502590067541</v>
      </c>
      <c r="J423" s="76">
        <f t="shared" si="18"/>
        <v>118.14498295857095</v>
      </c>
      <c r="K423" s="76">
        <f>MAX(0,(J423-Constantes!$D$13)*(1-EXP(-Constantes!$D$23)))</f>
        <v>0.68376529568800171</v>
      </c>
      <c r="L423" s="76">
        <f t="shared" si="19"/>
        <v>2.7319548617276044</v>
      </c>
      <c r="M423" s="76">
        <f>0.0526*F423*Observaciones!$F422^1.218</f>
        <v>0.9631155138668388</v>
      </c>
      <c r="N423" s="76">
        <f>M423*Constantes!$D$51</f>
        <v>1.3541304422291688E-2</v>
      </c>
      <c r="O423" s="76">
        <f t="shared" si="20"/>
        <v>495.6635489112212</v>
      </c>
      <c r="P423" s="15"/>
      <c r="Q423" s="75">
        <v>417</v>
      </c>
      <c r="R423" s="76">
        <f>0.0526*Observaciones!$F422^2.218</f>
        <v>13.261837298639376</v>
      </c>
      <c r="S423" s="76">
        <f>IF(Observaciones!$F422&gt;0.05*$W$7,((Observaciones!$F422-0.05*$W$7)^2)/(Observaciones!$F422+0.95*$W$7),0)</f>
        <v>2.388629706824839</v>
      </c>
      <c r="T423" s="76">
        <f>0.0526*S423*Observaciones!$F422^1.218</f>
        <v>2.6179850031907193</v>
      </c>
      <c r="U423" s="29"/>
      <c r="V423" s="29"/>
      <c r="W423" s="109"/>
      <c r="X423" s="40"/>
    </row>
    <row r="424" spans="2:24" s="2" customFormat="1">
      <c r="B424" s="39"/>
      <c r="C424" s="75">
        <v>418</v>
      </c>
      <c r="D424" s="146">
        <f>ETo!$I423*((1-Constantes!$D$19)*ETo!$K423+ETo!$L423)</f>
        <v>3.86943800679532</v>
      </c>
      <c r="E424" s="76">
        <f>MIN(D424*Constantes!$D$17,0.8*(H423+Observaciones!$F423-F424-G424-Constantes!$D$14))</f>
        <v>1.9729643424412937</v>
      </c>
      <c r="F424" s="76">
        <f>IF(Observaciones!$F423&gt;0.05*Constantes!$D$18,((Observaciones!$F423-0.05*Constantes!$D$18)^2)/(Observaciones!$F423+0.95*Constantes!$D$18),0)</f>
        <v>0.13088897392162555</v>
      </c>
      <c r="G424" s="76">
        <f>MAX(0,H423+Observaciones!$F423-F424-Constantes!$D$13)</f>
        <v>3.5004153774680233</v>
      </c>
      <c r="H424" s="76">
        <f>H423+Observaciones!$F423-F424-E424-G424-I423</f>
        <v>45.607585398551954</v>
      </c>
      <c r="I424" s="76">
        <f>MAX(0,(H424-Constantes!$D$14)*(1-EXP(-Constantes!$D$22)))</f>
        <v>1.1703454879528015</v>
      </c>
      <c r="J424" s="76">
        <f t="shared" si="18"/>
        <v>120.96163304035096</v>
      </c>
      <c r="K424" s="76">
        <f>MAX(0,(J424-Constantes!$D$13)*(1-EXP(-Constantes!$D$23)))</f>
        <v>0.71151841981756203</v>
      </c>
      <c r="L424" s="76">
        <f t="shared" si="19"/>
        <v>2.0127528816919891</v>
      </c>
      <c r="M424" s="76">
        <f>0.0526*F424*Observaciones!$F423^1.218</f>
        <v>7.1102465941569645E-2</v>
      </c>
      <c r="N424" s="76">
        <f>M424*Constantes!$D$51</f>
        <v>9.9969331054046494E-4</v>
      </c>
      <c r="O424" s="76">
        <f t="shared" si="20"/>
        <v>49.667960713591853</v>
      </c>
      <c r="P424" s="15"/>
      <c r="Q424" s="75">
        <v>418</v>
      </c>
      <c r="R424" s="76">
        <f>0.0526*Observaciones!$F423^2.218</f>
        <v>3.6939457458974703</v>
      </c>
      <c r="S424" s="76">
        <f>IF(Observaciones!$F423&gt;0.05*$W$7,((Observaciones!$F423-0.05*$W$7)^2)/(Observaciones!$F423+0.95*$W$7),0)</f>
        <v>0.64694020918978012</v>
      </c>
      <c r="T424" s="76">
        <f>0.0526*S424*Observaciones!$F423^1.218</f>
        <v>0.35143559317450113</v>
      </c>
      <c r="U424" s="29"/>
      <c r="V424" s="29"/>
      <c r="W424" s="109"/>
      <c r="X424" s="40"/>
    </row>
    <row r="425" spans="2:24" s="2" customFormat="1">
      <c r="B425" s="39"/>
      <c r="C425" s="75">
        <v>419</v>
      </c>
      <c r="D425" s="146">
        <f>ETo!$I424*((1-Constantes!$D$19)*ETo!$K424+ETo!$L424)</f>
        <v>4.1697045698528425</v>
      </c>
      <c r="E425" s="76">
        <f>MIN(D425*Constantes!$D$17,0.8*(H424+Observaciones!$F424-F425-G425-Constantes!$D$14))</f>
        <v>2.1260654442290781</v>
      </c>
      <c r="F425" s="76">
        <f>IF(Observaciones!$F424&gt;0.05*Constantes!$D$18,((Observaciones!$F424-0.05*Constantes!$D$18)^2)/(Observaciones!$F424+0.95*Constantes!$D$18),0)</f>
        <v>5.9683000974401264</v>
      </c>
      <c r="G425" s="76">
        <f>MAX(0,H424+Observaciones!$F424-F425-Constantes!$D$13)</f>
        <v>18.589285301111829</v>
      </c>
      <c r="H425" s="76">
        <f>H424+Observaciones!$F424-F425-E425-G425-I424</f>
        <v>45.453589067818115</v>
      </c>
      <c r="I425" s="76">
        <f>MAX(0,(H425-Constantes!$D$14)*(1-EXP(-Constantes!$D$22)))</f>
        <v>1.1650998075959031</v>
      </c>
      <c r="J425" s="76">
        <f t="shared" si="18"/>
        <v>138.83939992164522</v>
      </c>
      <c r="K425" s="76">
        <f>MAX(0,(J425-Constantes!$D$13)*(1-EXP(-Constantes!$D$23)))</f>
        <v>0.88767231505127397</v>
      </c>
      <c r="L425" s="76">
        <f t="shared" si="19"/>
        <v>8.0210722200873033</v>
      </c>
      <c r="M425" s="76">
        <f>0.0526*F425*Observaciones!$F424^1.218</f>
        <v>17.938112980983252</v>
      </c>
      <c r="N425" s="76">
        <f>M425*Constantes!$D$51</f>
        <v>0.25220801154132461</v>
      </c>
      <c r="O425" s="76">
        <f t="shared" si="20"/>
        <v>3144.3179243507611</v>
      </c>
      <c r="P425" s="15"/>
      <c r="Q425" s="75">
        <v>419</v>
      </c>
      <c r="R425" s="76">
        <f>0.0526*Observaciones!$F424^2.218</f>
        <v>83.25414631652923</v>
      </c>
      <c r="S425" s="76">
        <f>IF(Observaciones!$F424&gt;0.05*$W$7,((Observaciones!$F424-0.05*$W$7)^2)/(Observaciones!$F424+0.95*$W$7),0)</f>
        <v>11.126994879417444</v>
      </c>
      <c r="T425" s="76">
        <f>0.0526*S425*Observaciones!$F424^1.218</f>
        <v>33.442904684270452</v>
      </c>
      <c r="U425" s="29"/>
      <c r="V425" s="29"/>
      <c r="W425" s="109"/>
      <c r="X425" s="40"/>
    </row>
    <row r="426" spans="2:24" s="2" customFormat="1">
      <c r="B426" s="39"/>
      <c r="C426" s="75">
        <v>420</v>
      </c>
      <c r="D426" s="146">
        <f>ETo!$I425*((1-Constantes!$D$19)*ETo!$K425+ETo!$L425)</f>
        <v>4.1845658022054586</v>
      </c>
      <c r="E426" s="76">
        <f>MIN(D426*Constantes!$D$17,0.8*(H425+Observaciones!$F425-F426-G426-Constantes!$D$14))</f>
        <v>2.1336429481107673</v>
      </c>
      <c r="F426" s="76">
        <f>IF(Observaciones!$F425&gt;0.05*Constantes!$D$18,((Observaciones!$F425-0.05*Constantes!$D$18)^2)/(Observaciones!$F425+0.95*Constantes!$D$18),0)</f>
        <v>0.36646225065642568</v>
      </c>
      <c r="G426" s="76">
        <f>MAX(0,H425+Observaciones!$F425-F426-Constantes!$D$13)</f>
        <v>5.337126817161689</v>
      </c>
      <c r="H426" s="76">
        <f>H425+Observaciones!$F425-F426-E426-G426-I425</f>
        <v>45.45125724429333</v>
      </c>
      <c r="I426" s="76">
        <f>MAX(0,(H426-Constantes!$D$14)*(1-EXP(-Constantes!$D$22)))</f>
        <v>1.1650203771263496</v>
      </c>
      <c r="J426" s="76">
        <f t="shared" si="18"/>
        <v>143.28885442375562</v>
      </c>
      <c r="K426" s="76">
        <f>MAX(0,(J426-Constantes!$D$13)*(1-EXP(-Constantes!$D$23)))</f>
        <v>0.9315138500380632</v>
      </c>
      <c r="L426" s="76">
        <f t="shared" si="19"/>
        <v>2.4629964778208384</v>
      </c>
      <c r="M426" s="76">
        <f>0.0526*F426*Observaciones!$F425^1.218</f>
        <v>0.28008017246192562</v>
      </c>
      <c r="N426" s="76">
        <f>M426*Constantes!$D$51</f>
        <v>3.9378982306366083E-3</v>
      </c>
      <c r="O426" s="76">
        <f t="shared" si="20"/>
        <v>159.88241420956902</v>
      </c>
      <c r="P426" s="15"/>
      <c r="Q426" s="75">
        <v>420</v>
      </c>
      <c r="R426" s="76">
        <f>0.0526*Observaciones!$F425^2.218</f>
        <v>6.8785299103579902</v>
      </c>
      <c r="S426" s="76">
        <f>IF(Observaciones!$F425&gt;0.05*$W$7,((Observaciones!$F425-0.05*$W$7)^2)/(Observaciones!$F425+0.95*$W$7),0)</f>
        <v>1.2606381090435765</v>
      </c>
      <c r="T426" s="76">
        <f>0.0526*S426*Observaciones!$F425^1.218</f>
        <v>0.96348188213259756</v>
      </c>
      <c r="U426" s="29"/>
      <c r="V426" s="29"/>
      <c r="W426" s="109"/>
      <c r="X426" s="40"/>
    </row>
    <row r="427" spans="2:24" s="2" customFormat="1">
      <c r="B427" s="39"/>
      <c r="C427" s="75">
        <v>421</v>
      </c>
      <c r="D427" s="146">
        <f>ETo!$I426*((1-Constantes!$D$19)*ETo!$K426+ETo!$L426)</f>
        <v>4.1474469226212962</v>
      </c>
      <c r="E427" s="76">
        <f>MIN(D427*Constantes!$D$17,0.8*(H426+Observaciones!$F426-F427-G427-Constantes!$D$14))</f>
        <v>2.1147166270992108</v>
      </c>
      <c r="F427" s="76">
        <f>IF(Observaciones!$F426&gt;0.05*Constantes!$D$18,((Observaciones!$F426-0.05*Constantes!$D$18)^2)/(Observaciones!$F426+0.95*Constantes!$D$18),0)</f>
        <v>0</v>
      </c>
      <c r="G427" s="76">
        <f>MAX(0,H426+Observaciones!$F426-F427-Constantes!$D$13)</f>
        <v>0</v>
      </c>
      <c r="H427" s="76">
        <f>H426+Observaciones!$F426-F427-E427-G427-I426</f>
        <v>42.671520240067771</v>
      </c>
      <c r="I427" s="76">
        <f>MAX(0,(H427-Constantes!$D$14)*(1-EXP(-Constantes!$D$22)))</f>
        <v>1.0703323301389751</v>
      </c>
      <c r="J427" s="76">
        <f t="shared" si="18"/>
        <v>142.35734057371755</v>
      </c>
      <c r="K427" s="76">
        <f>MAX(0,(J427-Constantes!$D$13)*(1-EXP(-Constantes!$D$23)))</f>
        <v>0.92233542220432474</v>
      </c>
      <c r="L427" s="76">
        <f t="shared" si="19"/>
        <v>1.9926677523432998</v>
      </c>
      <c r="M427" s="76">
        <f>0.0526*F427*Observaciones!$F426^1.218</f>
        <v>0</v>
      </c>
      <c r="N427" s="76">
        <f>M427*Constantes!$D$51</f>
        <v>0</v>
      </c>
      <c r="O427" s="76">
        <f t="shared" si="20"/>
        <v>0</v>
      </c>
      <c r="P427" s="15"/>
      <c r="Q427" s="75">
        <v>421</v>
      </c>
      <c r="R427" s="76">
        <f>0.0526*Observaciones!$F426^2.218</f>
        <v>1.1305797794095535E-2</v>
      </c>
      <c r="S427" s="76">
        <f>IF(Observaciones!$F426&gt;0.05*$W$7,((Observaciones!$F426-0.05*$W$7)^2)/(Observaciones!$F426+0.95*$W$7),0)</f>
        <v>0</v>
      </c>
      <c r="T427" s="76">
        <f>0.0526*S427*Observaciones!$F426^1.218</f>
        <v>0</v>
      </c>
      <c r="U427" s="29"/>
      <c r="V427" s="29"/>
      <c r="W427" s="109"/>
      <c r="X427" s="40"/>
    </row>
    <row r="428" spans="2:24" s="2" customFormat="1">
      <c r="B428" s="39"/>
      <c r="C428" s="75">
        <v>422</v>
      </c>
      <c r="D428" s="146">
        <f>ETo!$I427*((1-Constantes!$D$19)*ETo!$K427+ETo!$L427)</f>
        <v>4.2434752150694761</v>
      </c>
      <c r="E428" s="76">
        <f>MIN(D428*Constantes!$D$17,0.8*(H427+Observaciones!$F427-F428-G428-Constantes!$D$14))</f>
        <v>2.1636799123445263</v>
      </c>
      <c r="F428" s="76">
        <f>IF(Observaciones!$F427&gt;0.05*Constantes!$D$18,((Observaciones!$F427-0.05*Constantes!$D$18)^2)/(Observaciones!$F427+0.95*Constantes!$D$18),0)</f>
        <v>0</v>
      </c>
      <c r="G428" s="76">
        <f>MAX(0,H427+Observaciones!$F427-F428-Constantes!$D$13)</f>
        <v>0</v>
      </c>
      <c r="H428" s="76">
        <f>H427+Observaciones!$F427-F428-E428-G428-I427</f>
        <v>39.43750799758427</v>
      </c>
      <c r="I428" s="76">
        <f>MAX(0,(H428-Constantes!$D$14)*(1-EXP(-Constantes!$D$22)))</f>
        <v>0.96017000085799464</v>
      </c>
      <c r="J428" s="76">
        <f t="shared" si="18"/>
        <v>141.43500515151322</v>
      </c>
      <c r="K428" s="76">
        <f>MAX(0,(J428-Constantes!$D$13)*(1-EXP(-Constantes!$D$23)))</f>
        <v>0.9132474316061634</v>
      </c>
      <c r="L428" s="76">
        <f t="shared" si="19"/>
        <v>1.8734174324641581</v>
      </c>
      <c r="M428" s="76">
        <f>0.0526*F428*Observaciones!$F427^1.218</f>
        <v>0</v>
      </c>
      <c r="N428" s="76">
        <f>M428*Constantes!$D$51</f>
        <v>0</v>
      </c>
      <c r="O428" s="76">
        <f t="shared" si="20"/>
        <v>0</v>
      </c>
      <c r="P428" s="15"/>
      <c r="Q428" s="75">
        <v>422</v>
      </c>
      <c r="R428" s="76">
        <f>0.0526*Observaciones!$F427^2.218</f>
        <v>0</v>
      </c>
      <c r="S428" s="76">
        <f>IF(Observaciones!$F427&gt;0.05*$W$7,((Observaciones!$F427-0.05*$W$7)^2)/(Observaciones!$F427+0.95*$W$7),0)</f>
        <v>0</v>
      </c>
      <c r="T428" s="76">
        <f>0.0526*S428*Observaciones!$F427^1.218</f>
        <v>0</v>
      </c>
      <c r="U428" s="29"/>
      <c r="V428" s="29"/>
      <c r="W428" s="109"/>
      <c r="X428" s="40"/>
    </row>
    <row r="429" spans="2:24" s="2" customFormat="1">
      <c r="B429" s="39"/>
      <c r="C429" s="75">
        <v>423</v>
      </c>
      <c r="D429" s="146">
        <f>ETo!$I428*((1-Constantes!$D$19)*ETo!$K428+ETo!$L428)</f>
        <v>4.0255661683871482</v>
      </c>
      <c r="E429" s="76">
        <f>MIN(D429*Constantes!$D$17,0.8*(H428+Observaciones!$F428-F429-G429-Constantes!$D$14))</f>
        <v>2.0525715864727609</v>
      </c>
      <c r="F429" s="76">
        <f>IF(Observaciones!$F428&gt;0.05*Constantes!$D$18,((Observaciones!$F428-0.05*Constantes!$D$18)^2)/(Observaciones!$F428+0.95*Constantes!$D$18),0)</f>
        <v>0</v>
      </c>
      <c r="G429" s="76">
        <f>MAX(0,H428+Observaciones!$F428-F429-Constantes!$D$13)</f>
        <v>0</v>
      </c>
      <c r="H429" s="76">
        <f>H428+Observaciones!$F428-F429-E429-G429-I428</f>
        <v>37.52476641025352</v>
      </c>
      <c r="I429" s="76">
        <f>MAX(0,(H429-Constantes!$D$14)*(1-EXP(-Constantes!$D$22)))</f>
        <v>0.89501500057539118</v>
      </c>
      <c r="J429" s="76">
        <f t="shared" si="18"/>
        <v>140.52175771990707</v>
      </c>
      <c r="K429" s="76">
        <f>MAX(0,(J429-Constantes!$D$13)*(1-EXP(-Constantes!$D$23)))</f>
        <v>0.90424898714395652</v>
      </c>
      <c r="L429" s="76">
        <f t="shared" si="19"/>
        <v>1.7992639877193477</v>
      </c>
      <c r="M429" s="76">
        <f>0.0526*F429*Observaciones!$F428^1.218</f>
        <v>0</v>
      </c>
      <c r="N429" s="76">
        <f>M429*Constantes!$D$51</f>
        <v>0</v>
      </c>
      <c r="O429" s="76">
        <f t="shared" si="20"/>
        <v>0</v>
      </c>
      <c r="P429" s="15"/>
      <c r="Q429" s="75">
        <v>423</v>
      </c>
      <c r="R429" s="76">
        <f>0.0526*Observaciones!$F428^2.218</f>
        <v>6.4982246287524456E-2</v>
      </c>
      <c r="S429" s="76">
        <f>IF(Observaciones!$F428&gt;0.05*$W$7,((Observaciones!$F428-0.05*$W$7)^2)/(Observaciones!$F428+0.95*$W$7),0)</f>
        <v>0</v>
      </c>
      <c r="T429" s="76">
        <f>0.0526*S429*Observaciones!$F428^1.218</f>
        <v>0</v>
      </c>
      <c r="U429" s="29"/>
      <c r="V429" s="29"/>
      <c r="W429" s="109"/>
      <c r="X429" s="40"/>
    </row>
    <row r="430" spans="2:24" s="2" customFormat="1">
      <c r="B430" s="39"/>
      <c r="C430" s="75">
        <v>424</v>
      </c>
      <c r="D430" s="146">
        <f>ETo!$I429*((1-Constantes!$D$19)*ETo!$K429+ETo!$L429)</f>
        <v>4.1507568890001725</v>
      </c>
      <c r="E430" s="76">
        <f>MIN(D430*Constantes!$D$17,0.8*(H429+Observaciones!$F429-F430-G430-Constantes!$D$14))</f>
        <v>2.1164043258370469</v>
      </c>
      <c r="F430" s="76">
        <f>IF(Observaciones!$F429&gt;0.05*Constantes!$D$18,((Observaciones!$F429-0.05*Constantes!$D$18)^2)/(Observaciones!$F429+0.95*Constantes!$D$18),0)</f>
        <v>0</v>
      </c>
      <c r="G430" s="76">
        <f>MAX(0,H429+Observaciones!$F429-F430-Constantes!$D$13)</f>
        <v>0</v>
      </c>
      <c r="H430" s="76">
        <f>H429+Observaciones!$F429-F430-E430-G430-I429</f>
        <v>34.913347083841082</v>
      </c>
      <c r="I430" s="76">
        <f>MAX(0,(H430-Constantes!$D$14)*(1-EXP(-Constantes!$D$22)))</f>
        <v>0.80606047160117666</v>
      </c>
      <c r="J430" s="76">
        <f t="shared" si="18"/>
        <v>139.61750873276313</v>
      </c>
      <c r="K430" s="76">
        <f>MAX(0,(J430-Constantes!$D$13)*(1-EXP(-Constantes!$D$23)))</f>
        <v>0.89533920649829835</v>
      </c>
      <c r="L430" s="76">
        <f t="shared" si="19"/>
        <v>1.7013996780994751</v>
      </c>
      <c r="M430" s="76">
        <f>0.0526*F430*Observaciones!$F429^1.218</f>
        <v>0</v>
      </c>
      <c r="N430" s="76">
        <f>M430*Constantes!$D$51</f>
        <v>0</v>
      </c>
      <c r="O430" s="76">
        <f t="shared" si="20"/>
        <v>0</v>
      </c>
      <c r="P430" s="15"/>
      <c r="Q430" s="75">
        <v>424</v>
      </c>
      <c r="R430" s="76">
        <f>0.0526*Observaciones!$F429^2.218</f>
        <v>6.8921513346888582E-3</v>
      </c>
      <c r="S430" s="76">
        <f>IF(Observaciones!$F429&gt;0.05*$W$7,((Observaciones!$F429-0.05*$W$7)^2)/(Observaciones!$F429+0.95*$W$7),0)</f>
        <v>0</v>
      </c>
      <c r="T430" s="76">
        <f>0.0526*S430*Observaciones!$F429^1.218</f>
        <v>0</v>
      </c>
      <c r="U430" s="29"/>
      <c r="V430" s="29"/>
      <c r="W430" s="109"/>
      <c r="X430" s="40"/>
    </row>
    <row r="431" spans="2:24" s="2" customFormat="1">
      <c r="B431" s="39"/>
      <c r="C431" s="75">
        <v>425</v>
      </c>
      <c r="D431" s="146">
        <f>ETo!$I430*((1-Constantes!$D$19)*ETo!$K430+ETo!$L430)</f>
        <v>4.1469928071408235</v>
      </c>
      <c r="E431" s="76">
        <f>MIN(D431*Constantes!$D$17,0.8*(H430+Observaciones!$F430-F431-G431-Constantes!$D$14))</f>
        <v>2.1144850809034197</v>
      </c>
      <c r="F431" s="76">
        <f>IF(Observaciones!$F430&gt;0.05*Constantes!$D$18,((Observaciones!$F430-0.05*Constantes!$D$18)^2)/(Observaciones!$F430+0.95*Constantes!$D$18),0)</f>
        <v>0</v>
      </c>
      <c r="G431" s="76">
        <f>MAX(0,H430+Observaciones!$F430-F431-Constantes!$D$13)</f>
        <v>0</v>
      </c>
      <c r="H431" s="76">
        <f>H430+Observaciones!$F430-F431-E431-G431-I430</f>
        <v>31.992801531336482</v>
      </c>
      <c r="I431" s="76">
        <f>MAX(0,(H431-Constantes!$D$14)*(1-EXP(-Constantes!$D$22)))</f>
        <v>0.70657596854065496</v>
      </c>
      <c r="J431" s="76">
        <f t="shared" si="18"/>
        <v>138.72216952626482</v>
      </c>
      <c r="K431" s="76">
        <f>MAX(0,(J431-Constantes!$D$13)*(1-EXP(-Constantes!$D$23)))</f>
        <v>0.8865172160434861</v>
      </c>
      <c r="L431" s="76">
        <f t="shared" si="19"/>
        <v>1.593093184584141</v>
      </c>
      <c r="M431" s="76">
        <f>0.0526*F431*Observaciones!$F430^1.218</f>
        <v>0</v>
      </c>
      <c r="N431" s="76">
        <f>M431*Constantes!$D$51</f>
        <v>0</v>
      </c>
      <c r="O431" s="76">
        <f t="shared" si="20"/>
        <v>0</v>
      </c>
      <c r="P431" s="15"/>
      <c r="Q431" s="75">
        <v>425</v>
      </c>
      <c r="R431" s="76">
        <f>0.0526*Observaciones!$F430^2.218</f>
        <v>0</v>
      </c>
      <c r="S431" s="76">
        <f>IF(Observaciones!$F430&gt;0.05*$W$7,((Observaciones!$F430-0.05*$W$7)^2)/(Observaciones!$F430+0.95*$W$7),0)</f>
        <v>0</v>
      </c>
      <c r="T431" s="76">
        <f>0.0526*S431*Observaciones!$F430^1.218</f>
        <v>0</v>
      </c>
      <c r="U431" s="29"/>
      <c r="V431" s="29"/>
      <c r="W431" s="109"/>
      <c r="X431" s="40"/>
    </row>
    <row r="432" spans="2:24" s="2" customFormat="1">
      <c r="B432" s="39"/>
      <c r="C432" s="75">
        <v>426</v>
      </c>
      <c r="D432" s="146">
        <f>ETo!$I431*((1-Constantes!$D$19)*ETo!$K431+ETo!$L431)</f>
        <v>4.1045063034168434</v>
      </c>
      <c r="E432" s="76">
        <f>MIN(D432*Constantes!$D$17,0.8*(H431+Observaciones!$F431-F432-G432-Constantes!$D$14))</f>
        <v>2.0928218944832722</v>
      </c>
      <c r="F432" s="76">
        <f>IF(Observaciones!$F431&gt;0.05*Constantes!$D$18,((Observaciones!$F431-0.05*Constantes!$D$18)^2)/(Observaciones!$F431+0.95*Constantes!$D$18),0)</f>
        <v>0</v>
      </c>
      <c r="G432" s="76">
        <f>MAX(0,H431+Observaciones!$F431-F432-Constantes!$D$13)</f>
        <v>0</v>
      </c>
      <c r="H432" s="76">
        <f>H431+Observaciones!$F431-F432-E432-G432-I431</f>
        <v>32.593403668312554</v>
      </c>
      <c r="I432" s="76">
        <f>MAX(0,(H432-Constantes!$D$14)*(1-EXP(-Constantes!$D$22)))</f>
        <v>0.72703468218164269</v>
      </c>
      <c r="J432" s="76">
        <f t="shared" si="18"/>
        <v>137.83565231022135</v>
      </c>
      <c r="K432" s="76">
        <f>MAX(0,(J432-Constantes!$D$13)*(1-EXP(-Constantes!$D$23)))</f>
        <v>0.87778215076185973</v>
      </c>
      <c r="L432" s="76">
        <f t="shared" si="19"/>
        <v>1.6048168329435024</v>
      </c>
      <c r="M432" s="76">
        <f>0.0526*F432*Observaciones!$F431^1.218</f>
        <v>0</v>
      </c>
      <c r="N432" s="76">
        <f>M432*Constantes!$D$51</f>
        <v>0</v>
      </c>
      <c r="O432" s="76">
        <f t="shared" si="20"/>
        <v>0</v>
      </c>
      <c r="P432" s="15"/>
      <c r="Q432" s="75">
        <v>426</v>
      </c>
      <c r="R432" s="76">
        <f>0.0526*Observaciones!$F431^2.218</f>
        <v>0.79397345371627714</v>
      </c>
      <c r="S432" s="76">
        <f>IF(Observaciones!$F431&gt;0.05*$W$7,((Observaciones!$F431-0.05*$W$7)^2)/(Observaciones!$F431+0.95*$W$7),0)</f>
        <v>7.6652401060814793E-2</v>
      </c>
      <c r="T432" s="76">
        <f>0.0526*S432*Observaciones!$F431^1.218</f>
        <v>1.7899991648794227E-2</v>
      </c>
      <c r="U432" s="29"/>
      <c r="V432" s="29"/>
      <c r="W432" s="109"/>
      <c r="X432" s="40"/>
    </row>
    <row r="433" spans="2:24" s="2" customFormat="1">
      <c r="B433" s="39"/>
      <c r="C433" s="75">
        <v>427</v>
      </c>
      <c r="D433" s="146">
        <f>ETo!$I432*((1-Constantes!$D$19)*ETo!$K432+ETo!$L432)</f>
        <v>4.0959702655406396</v>
      </c>
      <c r="E433" s="76">
        <f>MIN(D433*Constantes!$D$17,0.8*(H432+Observaciones!$F432-F433-G433-Constantes!$D$14))</f>
        <v>2.0884695057575962</v>
      </c>
      <c r="F433" s="76">
        <f>IF(Observaciones!$F432&gt;0.05*Constantes!$D$18,((Observaciones!$F432-0.05*Constantes!$D$18)^2)/(Observaciones!$F432+0.95*Constantes!$D$18),0)</f>
        <v>0</v>
      </c>
      <c r="G433" s="76">
        <f>MAX(0,H432+Observaciones!$F432-F433-Constantes!$D$13)</f>
        <v>0</v>
      </c>
      <c r="H433" s="76">
        <f>H432+Observaciones!$F432-F433-E433-G433-I432</f>
        <v>29.777899480373314</v>
      </c>
      <c r="I433" s="76">
        <f>MAX(0,(H433-Constantes!$D$14)*(1-EXP(-Constantes!$D$22)))</f>
        <v>0.63112827361296076</v>
      </c>
      <c r="J433" s="76">
        <f t="shared" si="18"/>
        <v>136.9578701594595</v>
      </c>
      <c r="K433" s="76">
        <f>MAX(0,(J433-Constantes!$D$13)*(1-EXP(-Constantes!$D$23)))</f>
        <v>0.86913315415898362</v>
      </c>
      <c r="L433" s="76">
        <f t="shared" si="19"/>
        <v>1.5002614277719444</v>
      </c>
      <c r="M433" s="76">
        <f>0.0526*F433*Observaciones!$F432^1.218</f>
        <v>0</v>
      </c>
      <c r="N433" s="76">
        <f>M433*Constantes!$D$51</f>
        <v>0</v>
      </c>
      <c r="O433" s="76">
        <f t="shared" si="20"/>
        <v>0</v>
      </c>
      <c r="P433" s="15"/>
      <c r="Q433" s="75">
        <v>427</v>
      </c>
      <c r="R433" s="76">
        <f>0.0526*Observaciones!$F432^2.218</f>
        <v>0</v>
      </c>
      <c r="S433" s="76">
        <f>IF(Observaciones!$F432&gt;0.05*$W$7,((Observaciones!$F432-0.05*$W$7)^2)/(Observaciones!$F432+0.95*$W$7),0)</f>
        <v>0</v>
      </c>
      <c r="T433" s="76">
        <f>0.0526*S433*Observaciones!$F432^1.218</f>
        <v>0</v>
      </c>
      <c r="U433" s="29"/>
      <c r="V433" s="29"/>
      <c r="W433" s="109"/>
      <c r="X433" s="40"/>
    </row>
    <row r="434" spans="2:24" s="2" customFormat="1">
      <c r="B434" s="39"/>
      <c r="C434" s="75">
        <v>428</v>
      </c>
      <c r="D434" s="146">
        <f>ETo!$I433*((1-Constantes!$D$19)*ETo!$K433+ETo!$L433)</f>
        <v>4.1552648537102455</v>
      </c>
      <c r="E434" s="76">
        <f>MIN(D434*Constantes!$D$17,0.8*(H433+Observaciones!$F433-F434-G434-Constantes!$D$14))</f>
        <v>2.1187028646983332</v>
      </c>
      <c r="F434" s="76">
        <f>IF(Observaciones!$F433&gt;0.05*Constantes!$D$18,((Observaciones!$F433-0.05*Constantes!$D$18)^2)/(Observaciones!$F433+0.95*Constantes!$D$18),0)</f>
        <v>0</v>
      </c>
      <c r="G434" s="76">
        <f>MAX(0,H433+Observaciones!$F433-F434-Constantes!$D$13)</f>
        <v>0</v>
      </c>
      <c r="H434" s="76">
        <f>H433+Observaciones!$F433-F434-E434-G434-I433</f>
        <v>29.628068342062019</v>
      </c>
      <c r="I434" s="76">
        <f>MAX(0,(H434-Constantes!$D$14)*(1-EXP(-Constantes!$D$22)))</f>
        <v>0.62602447500070879</v>
      </c>
      <c r="J434" s="76">
        <f t="shared" si="18"/>
        <v>136.08873700530052</v>
      </c>
      <c r="K434" s="76">
        <f>MAX(0,(J434-Constantes!$D$13)*(1-EXP(-Constantes!$D$23)))</f>
        <v>0.86056937817966594</v>
      </c>
      <c r="L434" s="76">
        <f t="shared" si="19"/>
        <v>1.4865938531803748</v>
      </c>
      <c r="M434" s="76">
        <f>0.0526*F434*Observaciones!$F433^1.218</f>
        <v>0</v>
      </c>
      <c r="N434" s="76">
        <f>M434*Constantes!$D$51</f>
        <v>0</v>
      </c>
      <c r="O434" s="76">
        <f t="shared" si="20"/>
        <v>0</v>
      </c>
      <c r="P434" s="15"/>
      <c r="Q434" s="75">
        <v>428</v>
      </c>
      <c r="R434" s="76">
        <f>0.0526*Observaciones!$F433^2.218</f>
        <v>0.43792186533391209</v>
      </c>
      <c r="S434" s="76">
        <f>IF(Observaciones!$F433&gt;0.05*$W$7,((Observaciones!$F433-0.05*$W$7)^2)/(Observaciones!$F433+0.95*$W$7),0)</f>
        <v>2.1229385132854627E-2</v>
      </c>
      <c r="T434" s="76">
        <f>0.0526*S434*Observaciones!$F433^1.218</f>
        <v>3.5756968989506619E-3</v>
      </c>
      <c r="U434" s="29"/>
      <c r="V434" s="29"/>
      <c r="W434" s="109"/>
      <c r="X434" s="40"/>
    </row>
    <row r="435" spans="2:24" s="2" customFormat="1">
      <c r="B435" s="39"/>
      <c r="C435" s="75">
        <v>429</v>
      </c>
      <c r="D435" s="146">
        <f>ETo!$I434*((1-Constantes!$D$19)*ETo!$K434+ETo!$L434)</f>
        <v>4.0695840709926925</v>
      </c>
      <c r="E435" s="76">
        <f>MIN(D435*Constantes!$D$17,0.8*(H434+Observaciones!$F434-F435-G435-Constantes!$D$14))</f>
        <v>2.0750156086065381</v>
      </c>
      <c r="F435" s="76">
        <f>IF(Observaciones!$F434&gt;0.05*Constantes!$D$18,((Observaciones!$F434-0.05*Constantes!$D$18)^2)/(Observaciones!$F434+0.95*Constantes!$D$18),0)</f>
        <v>0</v>
      </c>
      <c r="G435" s="76">
        <f>MAX(0,H434+Observaciones!$F434-F435-Constantes!$D$13)</f>
        <v>0</v>
      </c>
      <c r="H435" s="76">
        <f>H434+Observaciones!$F434-F435-E435-G435-I434</f>
        <v>26.927028258454772</v>
      </c>
      <c r="I435" s="76">
        <f>MAX(0,(H435-Constantes!$D$14)*(1-EXP(-Constantes!$D$22)))</f>
        <v>0.53401713403190398</v>
      </c>
      <c r="J435" s="76">
        <f t="shared" si="18"/>
        <v>135.22816762712085</v>
      </c>
      <c r="K435" s="76">
        <f>MAX(0,(J435-Constantes!$D$13)*(1-EXP(-Constantes!$D$23)))</f>
        <v>0.85208998312480522</v>
      </c>
      <c r="L435" s="76">
        <f t="shared" si="19"/>
        <v>1.3861071171567092</v>
      </c>
      <c r="M435" s="76">
        <f>0.0526*F435*Observaciones!$F434^1.218</f>
        <v>0</v>
      </c>
      <c r="N435" s="76">
        <f>M435*Constantes!$D$51</f>
        <v>0</v>
      </c>
      <c r="O435" s="76">
        <f t="shared" si="20"/>
        <v>0</v>
      </c>
      <c r="P435" s="15"/>
      <c r="Q435" s="75">
        <v>429</v>
      </c>
      <c r="R435" s="76">
        <f>0.0526*Observaciones!$F434^2.218</f>
        <v>0</v>
      </c>
      <c r="S435" s="76">
        <f>IF(Observaciones!$F434&gt;0.05*$W$7,((Observaciones!$F434-0.05*$W$7)^2)/(Observaciones!$F434+0.95*$W$7),0)</f>
        <v>0</v>
      </c>
      <c r="T435" s="76">
        <f>0.0526*S435*Observaciones!$F434^1.218</f>
        <v>0</v>
      </c>
      <c r="U435" s="29"/>
      <c r="V435" s="29"/>
      <c r="W435" s="109"/>
      <c r="X435" s="40"/>
    </row>
    <row r="436" spans="2:24" s="2" customFormat="1">
      <c r="B436" s="39"/>
      <c r="C436" s="75">
        <v>430</v>
      </c>
      <c r="D436" s="146">
        <f>ETo!$I435*((1-Constantes!$D$19)*ETo!$K435+ETo!$L435)</f>
        <v>3.9840202268561482</v>
      </c>
      <c r="E436" s="76">
        <f>MIN(D436*Constantes!$D$17,0.8*(H435+Observaciones!$F435-F436-G436-Constantes!$D$14))</f>
        <v>2.0313879776205543</v>
      </c>
      <c r="F436" s="76">
        <f>IF(Observaciones!$F435&gt;0.05*Constantes!$D$18,((Observaciones!$F435-0.05*Constantes!$D$18)^2)/(Observaciones!$F435+0.95*Constantes!$D$18),0)</f>
        <v>6.1881072774216207E-2</v>
      </c>
      <c r="G436" s="76">
        <f>MAX(0,H435+Observaciones!$F435-F436-Constantes!$D$13)</f>
        <v>0</v>
      </c>
      <c r="H436" s="76">
        <f>H435+Observaciones!$F435-F436-E436-G436-I435</f>
        <v>30.099742074028104</v>
      </c>
      <c r="I436" s="76">
        <f>MAX(0,(H436-Constantes!$D$14)*(1-EXP(-Constantes!$D$22)))</f>
        <v>0.64209141386119206</v>
      </c>
      <c r="J436" s="76">
        <f t="shared" si="18"/>
        <v>134.37607764399604</v>
      </c>
      <c r="K436" s="76">
        <f>MAX(0,(J436-Constantes!$D$13)*(1-EXP(-Constantes!$D$23)))</f>
        <v>0.84369413756905431</v>
      </c>
      <c r="L436" s="76">
        <f t="shared" si="19"/>
        <v>1.5476666242044625</v>
      </c>
      <c r="M436" s="76">
        <f>0.0526*F436*Observaciones!$F435^1.218</f>
        <v>2.7694840886423985E-2</v>
      </c>
      <c r="N436" s="76">
        <f>M436*Constantes!$D$51</f>
        <v>3.8938659586564293E-4</v>
      </c>
      <c r="O436" s="76">
        <f t="shared" si="20"/>
        <v>25.159591204972646</v>
      </c>
      <c r="P436" s="15"/>
      <c r="Q436" s="75">
        <v>430</v>
      </c>
      <c r="R436" s="76">
        <f>0.0526*Observaciones!$F435^2.218</f>
        <v>2.5957868850681649</v>
      </c>
      <c r="S436" s="76">
        <f>IF(Observaciones!$F435&gt;0.05*$W$7,((Observaciones!$F435-0.05*$W$7)^2)/(Observaciones!$F435+0.95*$W$7),0)</f>
        <v>0.42760102492926944</v>
      </c>
      <c r="T436" s="76">
        <f>0.0526*S436*Observaciones!$F435^1.218</f>
        <v>0.19137260906087983</v>
      </c>
      <c r="U436" s="29"/>
      <c r="V436" s="29"/>
      <c r="W436" s="109"/>
      <c r="X436" s="40"/>
    </row>
    <row r="437" spans="2:24" s="2" customFormat="1">
      <c r="B437" s="39"/>
      <c r="C437" s="75">
        <v>431</v>
      </c>
      <c r="D437" s="146">
        <f>ETo!$I436*((1-Constantes!$D$19)*ETo!$K436+ETo!$L436)</f>
        <v>3.9323290304187295</v>
      </c>
      <c r="E437" s="76">
        <f>MIN(D437*Constantes!$D$17,0.8*(H436+Observaciones!$F436-F437-G437-Constantes!$D$14))</f>
        <v>2.0050314661038806</v>
      </c>
      <c r="F437" s="76">
        <f>IF(Observaciones!$F436&gt;0.05*Constantes!$D$18,((Observaciones!$F436-0.05*Constantes!$D$18)^2)/(Observaciones!$F436+0.95*Constantes!$D$18),0)</f>
        <v>0</v>
      </c>
      <c r="G437" s="76">
        <f>MAX(0,H436+Observaciones!$F436-F437-Constantes!$D$13)</f>
        <v>0</v>
      </c>
      <c r="H437" s="76">
        <f>H436+Observaciones!$F436-F437-E437-G437-I436</f>
        <v>27.452619194063033</v>
      </c>
      <c r="I437" s="76">
        <f>MAX(0,(H437-Constantes!$D$14)*(1-EXP(-Constantes!$D$22)))</f>
        <v>0.55192069078254646</v>
      </c>
      <c r="J437" s="76">
        <f t="shared" si="18"/>
        <v>133.53238350642698</v>
      </c>
      <c r="K437" s="76">
        <f>MAX(0,(J437-Constantes!$D$13)*(1-EXP(-Constantes!$D$23)))</f>
        <v>0.835381018279299</v>
      </c>
      <c r="L437" s="76">
        <f t="shared" si="19"/>
        <v>1.3873017090618456</v>
      </c>
      <c r="M437" s="76">
        <f>0.0526*F437*Observaciones!$F436^1.218</f>
        <v>0</v>
      </c>
      <c r="N437" s="76">
        <f>M437*Constantes!$D$51</f>
        <v>0</v>
      </c>
      <c r="O437" s="76">
        <f t="shared" si="20"/>
        <v>0</v>
      </c>
      <c r="P437" s="15"/>
      <c r="Q437" s="75">
        <v>431</v>
      </c>
      <c r="R437" s="76">
        <f>0.0526*Observaciones!$F436^2.218</f>
        <v>0</v>
      </c>
      <c r="S437" s="76">
        <f>IF(Observaciones!$F436&gt;0.05*$W$7,((Observaciones!$F436-0.05*$W$7)^2)/(Observaciones!$F436+0.95*$W$7),0)</f>
        <v>0</v>
      </c>
      <c r="T437" s="76">
        <f>0.0526*S437*Observaciones!$F436^1.218</f>
        <v>0</v>
      </c>
      <c r="U437" s="29"/>
      <c r="V437" s="29"/>
      <c r="W437" s="109"/>
      <c r="X437" s="40"/>
    </row>
    <row r="438" spans="2:24" s="2" customFormat="1">
      <c r="B438" s="39"/>
      <c r="C438" s="75">
        <v>432</v>
      </c>
      <c r="D438" s="146">
        <f>ETo!$I437*((1-Constantes!$D$19)*ETo!$K437+ETo!$L437)</f>
        <v>4.070261100492556</v>
      </c>
      <c r="E438" s="76">
        <f>MIN(D438*Constantes!$D$17,0.8*(H437+Observaciones!$F437-F438-G438-Constantes!$D$14))</f>
        <v>2.0753608150834646</v>
      </c>
      <c r="F438" s="76">
        <f>IF(Observaciones!$F437&gt;0.05*Constantes!$D$18,((Observaciones!$F437-0.05*Constantes!$D$18)^2)/(Observaciones!$F437+0.95*Constantes!$D$18),0)</f>
        <v>8.8738712764339649</v>
      </c>
      <c r="G438" s="76">
        <f>MAX(0,H437+Observaciones!$F437-F438-Constantes!$D$13)</f>
        <v>3.7287479176290645</v>
      </c>
      <c r="H438" s="76">
        <f>H437+Observaciones!$F437-F438-E438-G438-I437</f>
        <v>46.122718494133991</v>
      </c>
      <c r="I438" s="76">
        <f>MAX(0,(H438-Constantes!$D$14)*(1-EXP(-Constantes!$D$22)))</f>
        <v>1.187892812280634</v>
      </c>
      <c r="J438" s="76">
        <f t="shared" si="18"/>
        <v>136.42575040577674</v>
      </c>
      <c r="K438" s="76">
        <f>MAX(0,(J438-Constantes!$D$13)*(1-EXP(-Constantes!$D$23)))</f>
        <v>0.86389005148489639</v>
      </c>
      <c r="L438" s="76">
        <f t="shared" si="19"/>
        <v>10.925654140199494</v>
      </c>
      <c r="M438" s="76">
        <f>0.0526*F438*Observaciones!$F437^1.218</f>
        <v>34.110029982938492</v>
      </c>
      <c r="N438" s="76">
        <f>M438*Constantes!$D$51</f>
        <v>0.47958349045588006</v>
      </c>
      <c r="O438" s="76">
        <f t="shared" si="20"/>
        <v>4389.5174083107413</v>
      </c>
      <c r="P438" s="15"/>
      <c r="Q438" s="75">
        <v>432</v>
      </c>
      <c r="R438" s="76">
        <f>0.0526*Observaciones!$F437^2.218</f>
        <v>130.30727857101567</v>
      </c>
      <c r="S438" s="76">
        <f>IF(Observaciones!$F437&gt;0.05*$W$7,((Observaciones!$F437-0.05*$W$7)^2)/(Observaciones!$F437+0.95*$W$7),0)</f>
        <v>15.489843010632969</v>
      </c>
      <c r="T438" s="76">
        <f>0.0526*S438*Observaciones!$F437^1.218</f>
        <v>59.540981953033921</v>
      </c>
      <c r="U438" s="29"/>
      <c r="V438" s="29"/>
      <c r="W438" s="109"/>
      <c r="X438" s="40"/>
    </row>
    <row r="439" spans="2:24" s="2" customFormat="1">
      <c r="B439" s="39"/>
      <c r="C439" s="75">
        <v>433</v>
      </c>
      <c r="D439" s="146">
        <f>ETo!$I438*((1-Constantes!$D$19)*ETo!$K438+ETo!$L438)</f>
        <v>3.9548069945423174</v>
      </c>
      <c r="E439" s="76">
        <f>MIN(D439*Constantes!$D$17,0.8*(H438+Observaciones!$F438-F439-G439-Constantes!$D$14))</f>
        <v>2.0164926192813271</v>
      </c>
      <c r="F439" s="76">
        <f>IF(Observaciones!$F438&gt;0.05*Constantes!$D$18,((Observaciones!$F438-0.05*Constantes!$D$18)^2)/(Observaciones!$F438+0.95*Constantes!$D$18),0)</f>
        <v>0</v>
      </c>
      <c r="G439" s="76">
        <f>MAX(0,H438+Observaciones!$F438-F439-Constantes!$D$13)</f>
        <v>0</v>
      </c>
      <c r="H439" s="76">
        <f>H438+Observaciones!$F438-F439-E439-G439-I438</f>
        <v>44.918333062572025</v>
      </c>
      <c r="I439" s="76">
        <f>MAX(0,(H439-Constantes!$D$14)*(1-EXP(-Constantes!$D$22)))</f>
        <v>1.1468670230921993</v>
      </c>
      <c r="J439" s="76">
        <f t="shared" si="18"/>
        <v>135.56186035429184</v>
      </c>
      <c r="K439" s="76">
        <f>MAX(0,(J439-Constantes!$D$13)*(1-EXP(-Constantes!$D$23)))</f>
        <v>0.85537793704503629</v>
      </c>
      <c r="L439" s="76">
        <f t="shared" si="19"/>
        <v>2.0022449601372356</v>
      </c>
      <c r="M439" s="76">
        <f>0.0526*F439*Observaciones!$F438^1.218</f>
        <v>0</v>
      </c>
      <c r="N439" s="76">
        <f>M439*Constantes!$D$51</f>
        <v>0</v>
      </c>
      <c r="O439" s="76">
        <f t="shared" si="20"/>
        <v>0</v>
      </c>
      <c r="P439" s="15"/>
      <c r="Q439" s="75">
        <v>433</v>
      </c>
      <c r="R439" s="76">
        <f>0.0526*Observaciones!$F438^2.218</f>
        <v>0.24472045674166781</v>
      </c>
      <c r="S439" s="76">
        <f>IF(Observaciones!$F438&gt;0.05*$W$7,((Observaciones!$F438-0.05*$W$7)^2)/(Observaciones!$F438+0.95*$W$7),0)</f>
        <v>2.0605192437462322E-3</v>
      </c>
      <c r="T439" s="76">
        <f>0.0526*S439*Observaciones!$F438^1.218</f>
        <v>2.5212560522728692E-4</v>
      </c>
      <c r="U439" s="29"/>
      <c r="V439" s="29"/>
      <c r="W439" s="109"/>
      <c r="X439" s="40"/>
    </row>
    <row r="440" spans="2:24" s="2" customFormat="1">
      <c r="B440" s="39"/>
      <c r="C440" s="75">
        <v>434</v>
      </c>
      <c r="D440" s="146">
        <f>ETo!$I439*((1-Constantes!$D$19)*ETo!$K439+ETo!$L439)</f>
        <v>4.0789345359185596</v>
      </c>
      <c r="E440" s="76">
        <f>MIN(D440*Constantes!$D$17,0.8*(H439+Observaciones!$F439-F440-G440-Constantes!$D$14))</f>
        <v>2.0797832606148106</v>
      </c>
      <c r="F440" s="76">
        <f>IF(Observaciones!$F439&gt;0.05*Constantes!$D$18,((Observaciones!$F439-0.05*Constantes!$D$18)^2)/(Observaciones!$F439+0.95*Constantes!$D$18),0)</f>
        <v>1.0855483254898153</v>
      </c>
      <c r="G440" s="76">
        <f>MAX(0,H439+Observaciones!$F439-F440-Constantes!$D$13)</f>
        <v>8.1827847370822084</v>
      </c>
      <c r="H440" s="76">
        <f>H439+Observaciones!$F439-F440-E440-G440-I439</f>
        <v>45.523349716292991</v>
      </c>
      <c r="I440" s="76">
        <f>MAX(0,(H440-Constantes!$D$14)*(1-EXP(-Constantes!$D$22)))</f>
        <v>1.1674761113795409</v>
      </c>
      <c r="J440" s="76">
        <f t="shared" si="18"/>
        <v>142.88926715432902</v>
      </c>
      <c r="K440" s="76">
        <f>MAX(0,(J440-Constantes!$D$13)*(1-EXP(-Constantes!$D$23)))</f>
        <v>0.92757662149813025</v>
      </c>
      <c r="L440" s="76">
        <f t="shared" si="19"/>
        <v>3.1806010583674862</v>
      </c>
      <c r="M440" s="76">
        <f>0.0526*F440*Observaciones!$F439^1.218</f>
        <v>1.3106035621920744</v>
      </c>
      <c r="N440" s="76">
        <f>M440*Constantes!$D$51</f>
        <v>1.8426950409436069E-2</v>
      </c>
      <c r="O440" s="76">
        <f t="shared" si="20"/>
        <v>579.35434439219205</v>
      </c>
      <c r="P440" s="15"/>
      <c r="Q440" s="75">
        <v>434</v>
      </c>
      <c r="R440" s="76">
        <f>0.0526*Observaciones!$F439^2.218</f>
        <v>15.815884250910074</v>
      </c>
      <c r="S440" s="76">
        <f>IF(Observaciones!$F439&gt;0.05*$W$7,((Observaciones!$F439-0.05*$W$7)^2)/(Observaciones!$F439+0.95*$W$7),0)</f>
        <v>2.8091910608904982</v>
      </c>
      <c r="T440" s="76">
        <f>0.0526*S440*Observaciones!$F439^1.218</f>
        <v>3.3915908899034655</v>
      </c>
      <c r="U440" s="29"/>
      <c r="V440" s="29"/>
      <c r="W440" s="109"/>
      <c r="X440" s="40"/>
    </row>
    <row r="441" spans="2:24" s="2" customFormat="1">
      <c r="B441" s="39"/>
      <c r="C441" s="75">
        <v>435</v>
      </c>
      <c r="D441" s="146">
        <f>ETo!$I440*((1-Constantes!$D$19)*ETo!$K440+ETo!$L440)</f>
        <v>3.9674591250458451</v>
      </c>
      <c r="E441" s="76">
        <f>MIN(D441*Constantes!$D$17,0.8*(H440+Observaciones!$F440-F441-G441-Constantes!$D$14))</f>
        <v>2.022943737582108</v>
      </c>
      <c r="F441" s="76">
        <f>IF(Observaciones!$F440&gt;0.05*Constantes!$D$18,((Observaciones!$F440-0.05*Constantes!$D$18)^2)/(Observaciones!$F440+0.95*Constantes!$D$18),0)</f>
        <v>4.1261592919964431E-2</v>
      </c>
      <c r="G441" s="76">
        <f>MAX(0,H440+Observaciones!$F440-F441-Constantes!$D$13)</f>
        <v>2.1320881233730233</v>
      </c>
      <c r="H441" s="76">
        <f>H440+Observaciones!$F440-F441-E441-G441-I440</f>
        <v>45.559580151038347</v>
      </c>
      <c r="I441" s="76">
        <f>MAX(0,(H441-Constantes!$D$14)*(1-EXP(-Constantes!$D$22)))</f>
        <v>1.1687102529916165</v>
      </c>
      <c r="J441" s="76">
        <f t="shared" si="18"/>
        <v>144.09377865620391</v>
      </c>
      <c r="K441" s="76">
        <f>MAX(0,(J441-Constantes!$D$13)*(1-EXP(-Constantes!$D$23)))</f>
        <v>0.93944496021839163</v>
      </c>
      <c r="L441" s="76">
        <f t="shared" si="19"/>
        <v>2.1494168061299725</v>
      </c>
      <c r="M441" s="76">
        <f>0.0526*F441*Observaciones!$F440^1.218</f>
        <v>1.6927286065049178E-2</v>
      </c>
      <c r="N441" s="76">
        <f>M441*Constantes!$D$51</f>
        <v>2.3799588974509939E-4</v>
      </c>
      <c r="O441" s="76">
        <f t="shared" si="20"/>
        <v>11.072579737273539</v>
      </c>
      <c r="P441" s="15"/>
      <c r="Q441" s="75">
        <v>435</v>
      </c>
      <c r="R441" s="76">
        <f>0.0526*Observaciones!$F440^2.218</f>
        <v>2.215313037685418</v>
      </c>
      <c r="S441" s="76">
        <f>IF(Observaciones!$F440&gt;0.05*$W$7,((Observaciones!$F440-0.05*$W$7)^2)/(Observaciones!$F440+0.95*$W$7),0)</f>
        <v>0.35127835852292982</v>
      </c>
      <c r="T441" s="76">
        <f>0.0526*S441*Observaciones!$F440^1.218</f>
        <v>0.14410954212825539</v>
      </c>
      <c r="U441" s="29"/>
      <c r="V441" s="29"/>
      <c r="W441" s="109"/>
      <c r="X441" s="40"/>
    </row>
    <row r="442" spans="2:24" s="2" customFormat="1">
      <c r="B442" s="39"/>
      <c r="C442" s="75">
        <v>436</v>
      </c>
      <c r="D442" s="146">
        <f>ETo!$I441*((1-Constantes!$D$19)*ETo!$K441+ETo!$L441)</f>
        <v>3.998343730856508</v>
      </c>
      <c r="E442" s="76">
        <f>MIN(D442*Constantes!$D$17,0.8*(H441+Observaciones!$F441-F442-G442-Constantes!$D$14))</f>
        <v>2.0386913024449598</v>
      </c>
      <c r="F442" s="76">
        <f>IF(Observaciones!$F441&gt;0.05*Constantes!$D$18,((Observaciones!$F441-0.05*Constantes!$D$18)^2)/(Observaciones!$F441+0.95*Constantes!$D$18),0)</f>
        <v>3.0303239285304056</v>
      </c>
      <c r="G442" s="76">
        <f>MAX(0,H441+Observaciones!$F441-F442-Constantes!$D$13)</f>
        <v>13.879256222507934</v>
      </c>
      <c r="H442" s="76">
        <f>H441+Observaciones!$F441-F442-E442-G442-I441</f>
        <v>45.542598444563424</v>
      </c>
      <c r="I442" s="76">
        <f>MAX(0,(H442-Constantes!$D$14)*(1-EXP(-Constantes!$D$22)))</f>
        <v>1.1681317937279598</v>
      </c>
      <c r="J442" s="76">
        <f t="shared" si="18"/>
        <v>157.03358991849345</v>
      </c>
      <c r="K442" s="76">
        <f>MAX(0,(J442-Constantes!$D$13)*(1-EXP(-Constantes!$D$23)))</f>
        <v>1.0669440026086534</v>
      </c>
      <c r="L442" s="76">
        <f t="shared" si="19"/>
        <v>5.2653997248670183</v>
      </c>
      <c r="M442" s="76">
        <f>0.0526*F442*Observaciones!$F441^1.218</f>
        <v>6.1626513347083041</v>
      </c>
      <c r="N442" s="76">
        <f>M442*Constantes!$D$51</f>
        <v>8.6646239802202221E-2</v>
      </c>
      <c r="O442" s="76">
        <f t="shared" si="20"/>
        <v>1645.5776261960916</v>
      </c>
      <c r="P442" s="15"/>
      <c r="Q442" s="75">
        <v>436</v>
      </c>
      <c r="R442" s="76">
        <f>0.0526*Observaciones!$F441^2.218</f>
        <v>40.876584401228989</v>
      </c>
      <c r="S442" s="76">
        <f>IF(Observaciones!$F441&gt;0.05*$W$7,((Observaciones!$F441-0.05*$W$7)^2)/(Observaciones!$F441+0.95*$W$7),0)</f>
        <v>6.3653050962415536</v>
      </c>
      <c r="T442" s="76">
        <f>0.0526*S442*Observaciones!$F441^1.218</f>
        <v>12.944872189357753</v>
      </c>
      <c r="U442" s="29"/>
      <c r="V442" s="29"/>
      <c r="W442" s="109"/>
      <c r="X442" s="40"/>
    </row>
    <row r="443" spans="2:24" s="2" customFormat="1">
      <c r="B443" s="39"/>
      <c r="C443" s="75">
        <v>437</v>
      </c>
      <c r="D443" s="146">
        <f>ETo!$I442*((1-Constantes!$D$19)*ETo!$K442+ETo!$L442)</f>
        <v>3.9912292131257829</v>
      </c>
      <c r="E443" s="76">
        <f>MIN(D443*Constantes!$D$17,0.8*(H442+Observaciones!$F442-F443-G443-Constantes!$D$14))</f>
        <v>2.0350637240287308</v>
      </c>
      <c r="F443" s="76">
        <f>IF(Observaciones!$F442&gt;0.05*Constantes!$D$18,((Observaciones!$F442-0.05*Constantes!$D$18)^2)/(Observaciones!$F442+0.95*Constantes!$D$18),0)</f>
        <v>0.30316145787159327</v>
      </c>
      <c r="G443" s="76">
        <f>MAX(0,H442+Observaciones!$F442-F443-Constantes!$D$13)</f>
        <v>4.9894369866918282</v>
      </c>
      <c r="H443" s="76">
        <f>H442+Observaciones!$F442-F443-E443-G443-I442</f>
        <v>45.54680448224331</v>
      </c>
      <c r="I443" s="76">
        <f>MAX(0,(H443-Constantes!$D$14)*(1-EXP(-Constantes!$D$22)))</f>
        <v>1.1682750668120172</v>
      </c>
      <c r="J443" s="76">
        <f t="shared" si="18"/>
        <v>160.95608290257661</v>
      </c>
      <c r="K443" s="76">
        <f>MAX(0,(J443-Constantes!$D$13)*(1-EXP(-Constantes!$D$23)))</f>
        <v>1.1055932602458654</v>
      </c>
      <c r="L443" s="76">
        <f t="shared" si="19"/>
        <v>2.5770297849294757</v>
      </c>
      <c r="M443" s="76">
        <f>0.0526*F443*Observaciones!$F442^1.218</f>
        <v>0.2161185188859642</v>
      </c>
      <c r="N443" s="76">
        <f>M443*Constantes!$D$51</f>
        <v>3.0386040027325953E-3</v>
      </c>
      <c r="O443" s="76">
        <f t="shared" si="20"/>
        <v>117.9110936358755</v>
      </c>
      <c r="P443" s="15"/>
      <c r="Q443" s="75">
        <v>437</v>
      </c>
      <c r="R443" s="76">
        <f>0.0526*Observaciones!$F442^2.218</f>
        <v>6.0595018358460901</v>
      </c>
      <c r="S443" s="76">
        <f>IF(Observaciones!$F442&gt;0.05*$W$7,((Observaciones!$F442-0.05*$W$7)^2)/(Observaciones!$F442+0.95*$W$7),0)</f>
        <v>1.106358845896666</v>
      </c>
      <c r="T443" s="76">
        <f>0.0526*S443*Observaciones!$F442^1.218</f>
        <v>0.78870393621357715</v>
      </c>
      <c r="U443" s="29"/>
      <c r="V443" s="29"/>
      <c r="W443" s="109"/>
      <c r="X443" s="40"/>
    </row>
    <row r="444" spans="2:24" s="2" customFormat="1">
      <c r="B444" s="39"/>
      <c r="C444" s="75">
        <v>438</v>
      </c>
      <c r="D444" s="146">
        <f>ETo!$I443*((1-Constantes!$D$19)*ETo!$K443+ETo!$L443)</f>
        <v>3.8342218584254351</v>
      </c>
      <c r="E444" s="76">
        <f>MIN(D444*Constantes!$D$17,0.8*(H443+Observaciones!$F443-F444-G444-Constantes!$D$14))</f>
        <v>1.9550081935406298</v>
      </c>
      <c r="F444" s="76">
        <f>IF(Observaciones!$F443&gt;0.05*Constantes!$D$18,((Observaciones!$F443-0.05*Constantes!$D$18)^2)/(Observaciones!$F443+0.95*Constantes!$D$18),0)</f>
        <v>0</v>
      </c>
      <c r="G444" s="76">
        <f>MAX(0,H443+Observaciones!$F443-F444-Constantes!$D$13)</f>
        <v>0.1968044822433086</v>
      </c>
      <c r="H444" s="76">
        <f>H443+Observaciones!$F443-F444-E444-G444-I443</f>
        <v>45.626716739647357</v>
      </c>
      <c r="I444" s="76">
        <f>MAX(0,(H444-Constantes!$D$14)*(1-EXP(-Constantes!$D$22)))</f>
        <v>1.1709971716631018</v>
      </c>
      <c r="J444" s="76">
        <f t="shared" si="18"/>
        <v>160.04729412457405</v>
      </c>
      <c r="K444" s="76">
        <f>MAX(0,(J444-Constantes!$D$13)*(1-EXP(-Constantes!$D$23)))</f>
        <v>1.0966387479595834</v>
      </c>
      <c r="L444" s="76">
        <f t="shared" si="19"/>
        <v>2.267635919622685</v>
      </c>
      <c r="M444" s="76">
        <f>0.0526*F444*Observaciones!$F443^1.218</f>
        <v>0</v>
      </c>
      <c r="N444" s="76">
        <f>M444*Constantes!$D$51</f>
        <v>0</v>
      </c>
      <c r="O444" s="76">
        <f t="shared" si="20"/>
        <v>0</v>
      </c>
      <c r="P444" s="15"/>
      <c r="Q444" s="75">
        <v>438</v>
      </c>
      <c r="R444" s="76">
        <f>0.0526*Observaciones!$F443^2.218</f>
        <v>0.79397345371627714</v>
      </c>
      <c r="S444" s="76">
        <f>IF(Observaciones!$F443&gt;0.05*$W$7,((Observaciones!$F443-0.05*$W$7)^2)/(Observaciones!$F443+0.95*$W$7),0)</f>
        <v>7.6652401060814793E-2</v>
      </c>
      <c r="T444" s="76">
        <f>0.0526*S444*Observaciones!$F443^1.218</f>
        <v>1.7899991648794227E-2</v>
      </c>
      <c r="U444" s="29"/>
      <c r="V444" s="29"/>
      <c r="W444" s="109"/>
      <c r="X444" s="40"/>
    </row>
    <row r="445" spans="2:24" s="2" customFormat="1">
      <c r="B445" s="39"/>
      <c r="C445" s="75">
        <v>439</v>
      </c>
      <c r="D445" s="146">
        <f>ETo!$I444*((1-Constantes!$D$19)*ETo!$K444+ETo!$L444)</f>
        <v>3.8558802161581553</v>
      </c>
      <c r="E445" s="76">
        <f>MIN(D445*Constantes!$D$17,0.8*(H444+Observaciones!$F444-F445-G445-Constantes!$D$14))</f>
        <v>1.9660514425725182</v>
      </c>
      <c r="F445" s="76">
        <f>IF(Observaciones!$F444&gt;0.05*Constantes!$D$18,((Observaciones!$F444-0.05*Constantes!$D$18)^2)/(Observaciones!$F444+0.95*Constantes!$D$18),0)</f>
        <v>5.1064501538615657E-2</v>
      </c>
      <c r="G445" s="76">
        <f>MAX(0,H444+Observaciones!$F444-F445-Constantes!$D$13)</f>
        <v>2.4256522381087393</v>
      </c>
      <c r="H445" s="76">
        <f>H444+Observaciones!$F444-F445-E445-G445-I444</f>
        <v>45.612951385764376</v>
      </c>
      <c r="I445" s="76">
        <f>MAX(0,(H445-Constantes!$D$14)*(1-EXP(-Constantes!$D$22)))</f>
        <v>1.1705282731761988</v>
      </c>
      <c r="J445" s="76">
        <f t="shared" si="18"/>
        <v>161.3763076147232</v>
      </c>
      <c r="K445" s="76">
        <f>MAX(0,(J445-Constantes!$D$13)*(1-EXP(-Constantes!$D$23)))</f>
        <v>1.1097338344243741</v>
      </c>
      <c r="L445" s="76">
        <f t="shared" si="19"/>
        <v>2.3313266091391887</v>
      </c>
      <c r="M445" s="76">
        <f>0.0526*F445*Observaciones!$F444^1.218</f>
        <v>2.1897667547736522E-2</v>
      </c>
      <c r="N445" s="76">
        <f>M445*Constantes!$D$51</f>
        <v>3.0787893885284799E-4</v>
      </c>
      <c r="O445" s="76">
        <f t="shared" si="20"/>
        <v>13.206169296310147</v>
      </c>
      <c r="P445" s="15"/>
      <c r="Q445" s="75">
        <v>439</v>
      </c>
      <c r="R445" s="76">
        <f>0.0526*Observaciones!$F444^2.218</f>
        <v>2.40141261683701</v>
      </c>
      <c r="S445" s="76">
        <f>IF(Observaciones!$F444&gt;0.05*$W$7,((Observaciones!$F444-0.05*$W$7)^2)/(Observaciones!$F444+0.95*$W$7),0)</f>
        <v>0.38859907062598614</v>
      </c>
      <c r="T445" s="76">
        <f>0.0526*S445*Observaciones!$F444^1.218</f>
        <v>0.16664048412363916</v>
      </c>
      <c r="U445" s="29"/>
      <c r="V445" s="29"/>
      <c r="W445" s="109"/>
      <c r="X445" s="40"/>
    </row>
    <row r="446" spans="2:24" s="2" customFormat="1">
      <c r="B446" s="39"/>
      <c r="C446" s="75">
        <v>440</v>
      </c>
      <c r="D446" s="146">
        <f>ETo!$I445*((1-Constantes!$D$19)*ETo!$K445+ETo!$L445)</f>
        <v>3.8936438990683766</v>
      </c>
      <c r="E446" s="76">
        <f>MIN(D446*Constantes!$D$17,0.8*(H445+Observaciones!$F445-F446-G446-Constantes!$D$14))</f>
        <v>1.9853065384521478</v>
      </c>
      <c r="F446" s="76">
        <f>IF(Observaciones!$F445&gt;0.05*Constantes!$D$18,((Observaciones!$F445-0.05*Constantes!$D$18)^2)/(Observaciones!$F445+0.95*Constantes!$D$18),0)</f>
        <v>2.4530338176430289</v>
      </c>
      <c r="G446" s="76">
        <f>MAX(0,H445+Observaciones!$F445-F446-Constantes!$D$13)</f>
        <v>12.709917568121341</v>
      </c>
      <c r="H446" s="76">
        <f>H445+Observaciones!$F445-F446-E446-G446-I445</f>
        <v>45.594165188371655</v>
      </c>
      <c r="I446" s="76">
        <f>MAX(0,(H446-Constantes!$D$14)*(1-EXP(-Constantes!$D$22)))</f>
        <v>1.1698883463274603</v>
      </c>
      <c r="J446" s="76">
        <f t="shared" si="18"/>
        <v>172.97649134842018</v>
      </c>
      <c r="K446" s="76">
        <f>MAX(0,(J446-Constantes!$D$13)*(1-EXP(-Constantes!$D$23)))</f>
        <v>1.2240332077009952</v>
      </c>
      <c r="L446" s="76">
        <f t="shared" si="19"/>
        <v>4.8469553716714842</v>
      </c>
      <c r="M446" s="76">
        <f>0.0526*F446*Observaciones!$F445^1.218</f>
        <v>4.4499456520248639</v>
      </c>
      <c r="N446" s="76">
        <f>M446*Constantes!$D$51</f>
        <v>6.256577520466905E-2</v>
      </c>
      <c r="O446" s="76">
        <f t="shared" si="20"/>
        <v>1290.8263106844554</v>
      </c>
      <c r="P446" s="15"/>
      <c r="Q446" s="75">
        <v>440</v>
      </c>
      <c r="R446" s="76">
        <f>0.0526*Observaciones!$F445^2.218</f>
        <v>33.197261630212672</v>
      </c>
      <c r="S446" s="76">
        <f>IF(Observaciones!$F445&gt;0.05*$W$7,((Observaciones!$F445-0.05*$W$7)^2)/(Observaciones!$F445+0.95*$W$7),0)</f>
        <v>5.3609429851107651</v>
      </c>
      <c r="T446" s="76">
        <f>0.0526*S446*Observaciones!$F445^1.218</f>
        <v>9.7250615771243361</v>
      </c>
      <c r="U446" s="29"/>
      <c r="V446" s="29"/>
      <c r="W446" s="109"/>
      <c r="X446" s="40"/>
    </row>
    <row r="447" spans="2:24" s="2" customFormat="1">
      <c r="B447" s="39"/>
      <c r="C447" s="75">
        <v>441</v>
      </c>
      <c r="D447" s="146">
        <f>ETo!$I446*((1-Constantes!$D$19)*ETo!$K446+ETo!$L446)</f>
        <v>3.8937926583255331</v>
      </c>
      <c r="E447" s="76">
        <f>MIN(D447*Constantes!$D$17,0.8*(H446+Observaciones!$F446-F447-G447-Constantes!$D$14))</f>
        <v>1.9853823884100648</v>
      </c>
      <c r="F447" s="76">
        <f>IF(Observaciones!$F446&gt;0.05*Constantes!$D$18,((Observaciones!$F446-0.05*Constantes!$D$18)^2)/(Observaciones!$F446+0.95*Constantes!$D$18),0)</f>
        <v>0</v>
      </c>
      <c r="G447" s="76">
        <f>MAX(0,H446+Observaciones!$F446-F447-Constantes!$D$13)</f>
        <v>0</v>
      </c>
      <c r="H447" s="76">
        <f>H446+Observaciones!$F446-F447-E447-G447-I446</f>
        <v>42.63889445363413</v>
      </c>
      <c r="I447" s="76">
        <f>MAX(0,(H447-Constantes!$D$14)*(1-EXP(-Constantes!$D$22)))</f>
        <v>1.0692209760813314</v>
      </c>
      <c r="J447" s="76">
        <f t="shared" si="18"/>
        <v>171.7524581407192</v>
      </c>
      <c r="K447" s="76">
        <f>MAX(0,(J447-Constantes!$D$13)*(1-EXP(-Constantes!$D$23)))</f>
        <v>1.2119725169635214</v>
      </c>
      <c r="L447" s="76">
        <f t="shared" si="19"/>
        <v>2.281193493044853</v>
      </c>
      <c r="M447" s="76">
        <f>0.0526*F447*Observaciones!$F446^1.218</f>
        <v>0</v>
      </c>
      <c r="N447" s="76">
        <f>M447*Constantes!$D$51</f>
        <v>0</v>
      </c>
      <c r="O447" s="76">
        <f t="shared" si="20"/>
        <v>0</v>
      </c>
      <c r="P447" s="15"/>
      <c r="Q447" s="75">
        <v>441</v>
      </c>
      <c r="R447" s="76">
        <f>0.0526*Observaciones!$F446^2.218</f>
        <v>1.4813929535417848E-3</v>
      </c>
      <c r="S447" s="76">
        <f>IF(Observaciones!$F446&gt;0.05*$W$7,((Observaciones!$F446-0.05*$W$7)^2)/(Observaciones!$F446+0.95*$W$7),0)</f>
        <v>0</v>
      </c>
      <c r="T447" s="76">
        <f>0.0526*S447*Observaciones!$F446^1.218</f>
        <v>0</v>
      </c>
      <c r="U447" s="29"/>
      <c r="V447" s="29"/>
      <c r="W447" s="109"/>
      <c r="X447" s="40"/>
    </row>
    <row r="448" spans="2:24" s="2" customFormat="1">
      <c r="B448" s="39"/>
      <c r="C448" s="75">
        <v>442</v>
      </c>
      <c r="D448" s="146">
        <f>ETo!$I447*((1-Constantes!$D$19)*ETo!$K447+ETo!$L447)</f>
        <v>4.0048457535301614</v>
      </c>
      <c r="E448" s="76">
        <f>MIN(D448*Constantes!$D$17,0.8*(H447+Observaciones!$F447-F448-G448-Constantes!$D$14))</f>
        <v>2.0420065794609847</v>
      </c>
      <c r="F448" s="76">
        <f>IF(Observaciones!$F447&gt;0.05*Constantes!$D$18,((Observaciones!$F447-0.05*Constantes!$D$18)^2)/(Observaciones!$F447+0.95*Constantes!$D$18),0)</f>
        <v>0</v>
      </c>
      <c r="G448" s="76">
        <f>MAX(0,H447+Observaciones!$F447-F448-Constantes!$D$13)</f>
        <v>0</v>
      </c>
      <c r="H448" s="76">
        <f>H447+Observaciones!$F447-F448-E448-G448-I447</f>
        <v>41.727666898091819</v>
      </c>
      <c r="I448" s="76">
        <f>MAX(0,(H448-Constantes!$D$14)*(1-EXP(-Constantes!$D$22)))</f>
        <v>1.0381812203547209</v>
      </c>
      <c r="J448" s="76">
        <f t="shared" si="18"/>
        <v>170.54048562375567</v>
      </c>
      <c r="K448" s="76">
        <f>MAX(0,(J448-Constantes!$D$13)*(1-EXP(-Constantes!$D$23)))</f>
        <v>1.2000306630845163</v>
      </c>
      <c r="L448" s="76">
        <f t="shared" si="19"/>
        <v>2.238211883439237</v>
      </c>
      <c r="M448" s="76">
        <f>0.0526*F448*Observaciones!$F447^1.218</f>
        <v>0</v>
      </c>
      <c r="N448" s="76">
        <f>M448*Constantes!$D$51</f>
        <v>0</v>
      </c>
      <c r="O448" s="76">
        <f t="shared" si="20"/>
        <v>0</v>
      </c>
      <c r="P448" s="15"/>
      <c r="Q448" s="75">
        <v>442</v>
      </c>
      <c r="R448" s="76">
        <f>0.0526*Observaciones!$F447^2.218</f>
        <v>0.30232861200727251</v>
      </c>
      <c r="S448" s="76">
        <f>IF(Observaciones!$F447&gt;0.05*$W$7,((Observaciones!$F447-0.05*$W$7)^2)/(Observaciones!$F447+0.95*$W$7),0)</f>
        <v>6.2440408225724973E-3</v>
      </c>
      <c r="T448" s="76">
        <f>0.0526*S448*Observaciones!$F447^1.218</f>
        <v>8.5806917963867778E-4</v>
      </c>
      <c r="U448" s="29"/>
      <c r="V448" s="29"/>
      <c r="W448" s="109"/>
      <c r="X448" s="40"/>
    </row>
    <row r="449" spans="2:24" s="2" customFormat="1">
      <c r="B449" s="39"/>
      <c r="C449" s="75">
        <v>443</v>
      </c>
      <c r="D449" s="146">
        <f>ETo!$I448*((1-Constantes!$D$19)*ETo!$K448+ETo!$L448)</f>
        <v>4.0411547898899194</v>
      </c>
      <c r="E449" s="76">
        <f>MIN(D449*Constantes!$D$17,0.8*(H448+Observaciones!$F448-F449-G449-Constantes!$D$14))</f>
        <v>2.0605199744088822</v>
      </c>
      <c r="F449" s="76">
        <f>IF(Observaciones!$F448&gt;0.05*Constantes!$D$18,((Observaciones!$F448-0.05*Constantes!$D$18)^2)/(Observaciones!$F448+0.95*Constantes!$D$18),0)</f>
        <v>0</v>
      </c>
      <c r="G449" s="76">
        <f>MAX(0,H448+Observaciones!$F448-F449-Constantes!$D$13)</f>
        <v>0</v>
      </c>
      <c r="H449" s="76">
        <f>H448+Observaciones!$F448-F449-E449-G449-I448</f>
        <v>38.828965703328215</v>
      </c>
      <c r="I449" s="76">
        <f>MAX(0,(H449-Constantes!$D$14)*(1-EXP(-Constantes!$D$22)))</f>
        <v>0.93944081631113652</v>
      </c>
      <c r="J449" s="76">
        <f t="shared" si="18"/>
        <v>169.34045496067117</v>
      </c>
      <c r="K449" s="76">
        <f>MAX(0,(J449-Constantes!$D$13)*(1-EXP(-Constantes!$D$23)))</f>
        <v>1.1882064751361094</v>
      </c>
      <c r="L449" s="76">
        <f t="shared" si="19"/>
        <v>2.127647291447246</v>
      </c>
      <c r="M449" s="76">
        <f>0.0526*F449*Observaciones!$F448^1.218</f>
        <v>0</v>
      </c>
      <c r="N449" s="76">
        <f>M449*Constantes!$D$51</f>
        <v>0</v>
      </c>
      <c r="O449" s="76">
        <f t="shared" si="20"/>
        <v>0</v>
      </c>
      <c r="P449" s="15"/>
      <c r="Q449" s="75">
        <v>443</v>
      </c>
      <c r="R449" s="76">
        <f>0.0526*Observaciones!$F448^2.218</f>
        <v>1.4813929535417848E-3</v>
      </c>
      <c r="S449" s="76">
        <f>IF(Observaciones!$F448&gt;0.05*$W$7,((Observaciones!$F448-0.05*$W$7)^2)/(Observaciones!$F448+0.95*$W$7),0)</f>
        <v>0</v>
      </c>
      <c r="T449" s="76">
        <f>0.0526*S449*Observaciones!$F448^1.218</f>
        <v>0</v>
      </c>
      <c r="U449" s="29"/>
      <c r="V449" s="29"/>
      <c r="W449" s="109"/>
      <c r="X449" s="40"/>
    </row>
    <row r="450" spans="2:24" s="2" customFormat="1">
      <c r="B450" s="39"/>
      <c r="C450" s="75">
        <v>444</v>
      </c>
      <c r="D450" s="146">
        <f>ETo!$I449*((1-Constantes!$D$19)*ETo!$K449+ETo!$L449)</f>
        <v>3.9578091074791093</v>
      </c>
      <c r="E450" s="76">
        <f>MIN(D450*Constantes!$D$17,0.8*(H449+Observaciones!$F449-F450-G450-Constantes!$D$14))</f>
        <v>2.0180233484895145</v>
      </c>
      <c r="F450" s="76">
        <f>IF(Observaciones!$F449&gt;0.05*Constantes!$D$18,((Observaciones!$F449-0.05*Constantes!$D$18)^2)/(Observaciones!$F449+0.95*Constantes!$D$18),0)</f>
        <v>0</v>
      </c>
      <c r="G450" s="76">
        <f>MAX(0,H449+Observaciones!$F449-F450-Constantes!$D$13)</f>
        <v>0</v>
      </c>
      <c r="H450" s="76">
        <f>H449+Observaciones!$F449-F450-E450-G450-I449</f>
        <v>39.471501538527569</v>
      </c>
      <c r="I450" s="76">
        <f>MAX(0,(H450-Constantes!$D$14)*(1-EXP(-Constantes!$D$22)))</f>
        <v>0.96132794565536694</v>
      </c>
      <c r="J450" s="76">
        <f t="shared" si="18"/>
        <v>168.15224848553507</v>
      </c>
      <c r="K450" s="76">
        <f>MAX(0,(J450-Constantes!$D$13)*(1-EXP(-Constantes!$D$23)))</f>
        <v>1.1764987937278601</v>
      </c>
      <c r="L450" s="76">
        <f t="shared" si="19"/>
        <v>2.1378267393832271</v>
      </c>
      <c r="M450" s="76">
        <f>0.0526*F450*Observaciones!$F449^1.218</f>
        <v>0</v>
      </c>
      <c r="N450" s="76">
        <f>M450*Constantes!$D$51</f>
        <v>0</v>
      </c>
      <c r="O450" s="76">
        <f t="shared" si="20"/>
        <v>0</v>
      </c>
      <c r="P450" s="15"/>
      <c r="Q450" s="75">
        <v>444</v>
      </c>
      <c r="R450" s="76">
        <f>0.0526*Observaciones!$F449^2.218</f>
        <v>0.90129028711731973</v>
      </c>
      <c r="S450" s="76">
        <f>IF(Observaciones!$F449&gt;0.05*$W$7,((Observaciones!$F449-0.05*$W$7)^2)/(Observaciones!$F449+0.95*$W$7),0)</f>
        <v>9.5607362379868999E-2</v>
      </c>
      <c r="T450" s="76">
        <f>0.0526*S450*Observaciones!$F449^1.218</f>
        <v>2.3936107524967155E-2</v>
      </c>
      <c r="U450" s="29"/>
      <c r="V450" s="29"/>
      <c r="W450" s="109"/>
      <c r="X450" s="40"/>
    </row>
    <row r="451" spans="2:24" s="2" customFormat="1">
      <c r="B451" s="39"/>
      <c r="C451" s="75">
        <v>445</v>
      </c>
      <c r="D451" s="146">
        <f>ETo!$I450*((1-Constantes!$D$19)*ETo!$K450+ETo!$L450)</f>
        <v>3.8136252460090012</v>
      </c>
      <c r="E451" s="76">
        <f>MIN(D451*Constantes!$D$17,0.8*(H450+Observaciones!$F450-F451-G451-Constantes!$D$14))</f>
        <v>1.9445063114064947</v>
      </c>
      <c r="F451" s="76">
        <f>IF(Observaciones!$F450&gt;0.05*Constantes!$D$18,((Observaciones!$F450-0.05*Constantes!$D$18)^2)/(Observaciones!$F450+0.95*Constantes!$D$18),0)</f>
        <v>0</v>
      </c>
      <c r="G451" s="76">
        <f>MAX(0,H450+Observaciones!$F450-F451-Constantes!$D$13)</f>
        <v>0</v>
      </c>
      <c r="H451" s="76">
        <f>H450+Observaciones!$F450-F451-E451-G451-I450</f>
        <v>36.565667281465707</v>
      </c>
      <c r="I451" s="76">
        <f>MAX(0,(H451-Constantes!$D$14)*(1-EXP(-Constantes!$D$22)))</f>
        <v>0.86234456332389609</v>
      </c>
      <c r="J451" s="76">
        <f t="shared" si="18"/>
        <v>166.97574969180721</v>
      </c>
      <c r="K451" s="76">
        <f>MAX(0,(J451-Constantes!$D$13)*(1-EXP(-Constantes!$D$23)))</f>
        <v>1.1649064708930787</v>
      </c>
      <c r="L451" s="76">
        <f t="shared" si="19"/>
        <v>2.0272510342169747</v>
      </c>
      <c r="M451" s="76">
        <f>0.0526*F451*Observaciones!$F450^1.218</f>
        <v>0</v>
      </c>
      <c r="N451" s="76">
        <f>M451*Constantes!$D$51</f>
        <v>0</v>
      </c>
      <c r="O451" s="76">
        <f t="shared" si="20"/>
        <v>0</v>
      </c>
      <c r="P451" s="15"/>
      <c r="Q451" s="75">
        <v>445</v>
      </c>
      <c r="R451" s="76">
        <f>0.0526*Observaciones!$F450^2.218</f>
        <v>0</v>
      </c>
      <c r="S451" s="76">
        <f>IF(Observaciones!$F450&gt;0.05*$W$7,((Observaciones!$F450-0.05*$W$7)^2)/(Observaciones!$F450+0.95*$W$7),0)</f>
        <v>0</v>
      </c>
      <c r="T451" s="76">
        <f>0.0526*S451*Observaciones!$F450^1.218</f>
        <v>0</v>
      </c>
      <c r="U451" s="29"/>
      <c r="V451" s="29"/>
      <c r="W451" s="109"/>
      <c r="X451" s="40"/>
    </row>
    <row r="452" spans="2:24" s="2" customFormat="1">
      <c r="B452" s="39"/>
      <c r="C452" s="75">
        <v>446</v>
      </c>
      <c r="D452" s="146">
        <f>ETo!$I451*((1-Constantes!$D$19)*ETo!$K451+ETo!$L451)</f>
        <v>3.8164060250902287</v>
      </c>
      <c r="E452" s="76">
        <f>MIN(D452*Constantes!$D$17,0.8*(H451+Observaciones!$F451-F452-G452-Constantes!$D$14))</f>
        <v>1.9459241860337231</v>
      </c>
      <c r="F452" s="76">
        <f>IF(Observaciones!$F451&gt;0.05*Constantes!$D$18,((Observaciones!$F451-0.05*Constantes!$D$18)^2)/(Observaciones!$F451+0.95*Constantes!$D$18),0)</f>
        <v>0</v>
      </c>
      <c r="G452" s="76">
        <f>MAX(0,H451+Observaciones!$F451-F452-Constantes!$D$13)</f>
        <v>0</v>
      </c>
      <c r="H452" s="76">
        <f>H451+Observaciones!$F451-F452-E452-G452-I451</f>
        <v>35.457398532108094</v>
      </c>
      <c r="I452" s="76">
        <f>MAX(0,(H452-Constantes!$D$14)*(1-EXP(-Constantes!$D$22)))</f>
        <v>0.82459286118290553</v>
      </c>
      <c r="J452" s="76">
        <f t="shared" si="18"/>
        <v>165.81084322091414</v>
      </c>
      <c r="K452" s="76">
        <f>MAX(0,(J452-Constantes!$D$13)*(1-EXP(-Constantes!$D$23)))</f>
        <v>1.1534283699762646</v>
      </c>
      <c r="L452" s="76">
        <f t="shared" si="19"/>
        <v>1.9780212311591701</v>
      </c>
      <c r="M452" s="76">
        <f>0.0526*F452*Observaciones!$F451^1.218</f>
        <v>0</v>
      </c>
      <c r="N452" s="76">
        <f>M452*Constantes!$D$51</f>
        <v>0</v>
      </c>
      <c r="O452" s="76">
        <f t="shared" si="20"/>
        <v>0</v>
      </c>
      <c r="P452" s="15"/>
      <c r="Q452" s="75">
        <v>446</v>
      </c>
      <c r="R452" s="76">
        <f>0.0526*Observaciones!$F451^2.218</f>
        <v>0.17065595668433275</v>
      </c>
      <c r="S452" s="76">
        <f>IF(Observaciones!$F451&gt;0.05*$W$7,((Observaciones!$F451-0.05*$W$7)^2)/(Observaciones!$F451+0.95*$W$7),0)</f>
        <v>0</v>
      </c>
      <c r="T452" s="76">
        <f>0.0526*S452*Observaciones!$F451^1.218</f>
        <v>0</v>
      </c>
      <c r="U452" s="29"/>
      <c r="V452" s="29"/>
      <c r="W452" s="109"/>
      <c r="X452" s="40"/>
    </row>
    <row r="453" spans="2:24" s="2" customFormat="1">
      <c r="B453" s="39"/>
      <c r="C453" s="75">
        <v>447</v>
      </c>
      <c r="D453" s="146">
        <f>ETo!$I452*((1-Constantes!$D$19)*ETo!$K452+ETo!$L452)</f>
        <v>3.677287052169762</v>
      </c>
      <c r="E453" s="76">
        <f>MIN(D453*Constantes!$D$17,0.8*(H452+Observaciones!$F452-F453-G453-Constantes!$D$14))</f>
        <v>1.8749896543402023</v>
      </c>
      <c r="F453" s="76">
        <f>IF(Observaciones!$F452&gt;0.05*Constantes!$D$18,((Observaciones!$F452-0.05*Constantes!$D$18)^2)/(Observaciones!$F452+0.95*Constantes!$D$18),0)</f>
        <v>0</v>
      </c>
      <c r="G453" s="76">
        <f>MAX(0,H452+Observaciones!$F452-F453-Constantes!$D$13)</f>
        <v>0</v>
      </c>
      <c r="H453" s="76">
        <f>H452+Observaciones!$F452-F453-E453-G453-I452</f>
        <v>35.057816016584979</v>
      </c>
      <c r="I453" s="76">
        <f>MAX(0,(H453-Constantes!$D$14)*(1-EXP(-Constantes!$D$22)))</f>
        <v>0.81098161380674338</v>
      </c>
      <c r="J453" s="76">
        <f t="shared" si="18"/>
        <v>164.65741485093787</v>
      </c>
      <c r="K453" s="76">
        <f>MAX(0,(J453-Constantes!$D$13)*(1-EXP(-Constantes!$D$23)))</f>
        <v>1.1420633655216545</v>
      </c>
      <c r="L453" s="76">
        <f t="shared" si="19"/>
        <v>1.9530449793283979</v>
      </c>
      <c r="M453" s="76">
        <f>0.0526*F453*Observaciones!$F452^1.218</f>
        <v>0</v>
      </c>
      <c r="N453" s="76">
        <f>M453*Constantes!$D$51</f>
        <v>0</v>
      </c>
      <c r="O453" s="76">
        <f t="shared" si="20"/>
        <v>0</v>
      </c>
      <c r="P453" s="15"/>
      <c r="Q453" s="75">
        <v>447</v>
      </c>
      <c r="R453" s="76">
        <f>0.0526*Observaciones!$F452^2.218</f>
        <v>0.33365534346892783</v>
      </c>
      <c r="S453" s="76">
        <f>IF(Observaciones!$F452&gt;0.05*$W$7,((Observaciones!$F452-0.05*$W$7)^2)/(Observaciones!$F452+0.95*$W$7),0)</f>
        <v>9.1701390926697667E-3</v>
      </c>
      <c r="T453" s="76">
        <f>0.0526*S453*Observaciones!$F452^1.218</f>
        <v>1.3302895254880757E-3</v>
      </c>
      <c r="U453" s="29"/>
      <c r="V453" s="29"/>
      <c r="W453" s="109"/>
      <c r="X453" s="40"/>
    </row>
    <row r="454" spans="2:24" s="2" customFormat="1">
      <c r="B454" s="39"/>
      <c r="C454" s="75">
        <v>448</v>
      </c>
      <c r="D454" s="146">
        <f>ETo!$I453*((1-Constantes!$D$19)*ETo!$K453+ETo!$L453)</f>
        <v>3.7724882908933872</v>
      </c>
      <c r="E454" s="76">
        <f>MIN(D454*Constantes!$D$17,0.8*(H453+Observaciones!$F453-F454-G454-Constantes!$D$14))</f>
        <v>1.9235312381640284</v>
      </c>
      <c r="F454" s="76">
        <f>IF(Observaciones!$F453&gt;0.05*Constantes!$D$18,((Observaciones!$F453-0.05*Constantes!$D$18)^2)/(Observaciones!$F453+0.95*Constantes!$D$18),0)</f>
        <v>0</v>
      </c>
      <c r="G454" s="76">
        <f>MAX(0,H453+Observaciones!$F453-F454-Constantes!$D$13)</f>
        <v>0</v>
      </c>
      <c r="H454" s="76">
        <f>H453+Observaciones!$F453-F454-E454-G454-I453</f>
        <v>32.323303164614202</v>
      </c>
      <c r="I454" s="76">
        <f>MAX(0,(H454-Constantes!$D$14)*(1-EXP(-Constantes!$D$22)))</f>
        <v>0.71783406746642853</v>
      </c>
      <c r="J454" s="76">
        <f t="shared" si="18"/>
        <v>163.5153514854162</v>
      </c>
      <c r="K454" s="76">
        <f>MAX(0,(J454-Constantes!$D$13)*(1-EXP(-Constantes!$D$23)))</f>
        <v>1.1308103431628689</v>
      </c>
      <c r="L454" s="76">
        <f t="shared" si="19"/>
        <v>1.8486444106292974</v>
      </c>
      <c r="M454" s="76">
        <f>0.0526*F454*Observaciones!$F453^1.218</f>
        <v>0</v>
      </c>
      <c r="N454" s="76">
        <f>M454*Constantes!$D$51</f>
        <v>0</v>
      </c>
      <c r="O454" s="76">
        <f t="shared" si="20"/>
        <v>0</v>
      </c>
      <c r="P454" s="15"/>
      <c r="Q454" s="75">
        <v>448</v>
      </c>
      <c r="R454" s="76">
        <f>0.0526*Observaciones!$F453^2.218</f>
        <v>0</v>
      </c>
      <c r="S454" s="76">
        <f>IF(Observaciones!$F453&gt;0.05*$W$7,((Observaciones!$F453-0.05*$W$7)^2)/(Observaciones!$F453+0.95*$W$7),0)</f>
        <v>0</v>
      </c>
      <c r="T454" s="76">
        <f>0.0526*S454*Observaciones!$F453^1.218</f>
        <v>0</v>
      </c>
      <c r="U454" s="29"/>
      <c r="V454" s="29"/>
      <c r="W454" s="109"/>
      <c r="X454" s="40"/>
    </row>
    <row r="455" spans="2:24" s="2" customFormat="1">
      <c r="B455" s="39"/>
      <c r="C455" s="75">
        <v>449</v>
      </c>
      <c r="D455" s="146">
        <f>ETo!$I454*((1-Constantes!$D$19)*ETo!$K454+ETo!$L454)</f>
        <v>3.9236443746274108</v>
      </c>
      <c r="E455" s="76">
        <f>MIN(D455*Constantes!$D$17,0.8*(H454+Observaciones!$F454-F455-G455-Constantes!$D$14))</f>
        <v>2.0006032994883265</v>
      </c>
      <c r="F455" s="76">
        <f>IF(Observaciones!$F454&gt;0.05*Constantes!$D$18,((Observaciones!$F454-0.05*Constantes!$D$18)^2)/(Observaciones!$F454+0.95*Constantes!$D$18),0)</f>
        <v>0</v>
      </c>
      <c r="G455" s="76">
        <f>MAX(0,H454+Observaciones!$F454-F455-Constantes!$D$13)</f>
        <v>0</v>
      </c>
      <c r="H455" s="76">
        <f>H454+Observaciones!$F454-F455-E455-G455-I454</f>
        <v>29.60486579765945</v>
      </c>
      <c r="I455" s="76">
        <f>MAX(0,(H455-Constantes!$D$14)*(1-EXP(-Constantes!$D$22)))</f>
        <v>0.62523411116007299</v>
      </c>
      <c r="J455" s="76">
        <f t="shared" ref="J455:J518" si="21">J454+G455-K454</f>
        <v>162.38454114225334</v>
      </c>
      <c r="K455" s="76">
        <f>MAX(0,(J455-Constantes!$D$13)*(1-EXP(-Constantes!$D$23)))</f>
        <v>1.1196681995136455</v>
      </c>
      <c r="L455" s="76">
        <f t="shared" ref="L455:L518" si="22">F455+I455+K455</f>
        <v>1.7449023106737185</v>
      </c>
      <c r="M455" s="76">
        <f>0.0526*F455*Observaciones!$F454^1.218</f>
        <v>0</v>
      </c>
      <c r="N455" s="76">
        <f>M455*Constantes!$D$51</f>
        <v>0</v>
      </c>
      <c r="O455" s="76">
        <f t="shared" ref="O455:O518" si="23">N455*1000000/(L455/1000*10000)</f>
        <v>0</v>
      </c>
      <c r="P455" s="15"/>
      <c r="Q455" s="75">
        <v>449</v>
      </c>
      <c r="R455" s="76">
        <f>0.0526*Observaciones!$F454^2.218</f>
        <v>0</v>
      </c>
      <c r="S455" s="76">
        <f>IF(Observaciones!$F454&gt;0.05*$W$7,((Observaciones!$F454-0.05*$W$7)^2)/(Observaciones!$F454+0.95*$W$7),0)</f>
        <v>0</v>
      </c>
      <c r="T455" s="76">
        <f>0.0526*S455*Observaciones!$F454^1.218</f>
        <v>0</v>
      </c>
      <c r="U455" s="29"/>
      <c r="V455" s="29"/>
      <c r="W455" s="109"/>
      <c r="X455" s="40"/>
    </row>
    <row r="456" spans="2:24" s="2" customFormat="1">
      <c r="B456" s="39"/>
      <c r="C456" s="75">
        <v>450</v>
      </c>
      <c r="D456" s="146">
        <f>ETo!$I455*((1-Constantes!$D$19)*ETo!$K455+ETo!$L455)</f>
        <v>3.8201061255062783</v>
      </c>
      <c r="E456" s="76">
        <f>MIN(D456*Constantes!$D$17,0.8*(H455+Observaciones!$F455-F456-G456-Constantes!$D$14))</f>
        <v>1.9478108078561938</v>
      </c>
      <c r="F456" s="76">
        <f>IF(Observaciones!$F455&gt;0.05*Constantes!$D$18,((Observaciones!$F455-0.05*Constantes!$D$18)^2)/(Observaciones!$F455+0.95*Constantes!$D$18),0)</f>
        <v>0</v>
      </c>
      <c r="G456" s="76">
        <f>MAX(0,H455+Observaciones!$F455-F456-Constantes!$D$13)</f>
        <v>0</v>
      </c>
      <c r="H456" s="76">
        <f>H455+Observaciones!$F455-F456-E456-G456-I455</f>
        <v>27.031820878643185</v>
      </c>
      <c r="I456" s="76">
        <f>MAX(0,(H456-Constantes!$D$14)*(1-EXP(-Constantes!$D$22)))</f>
        <v>0.53758675537710565</v>
      </c>
      <c r="J456" s="76">
        <f t="shared" si="21"/>
        <v>161.26487294273969</v>
      </c>
      <c r="K456" s="76">
        <f>MAX(0,(J456-Constantes!$D$13)*(1-EXP(-Constantes!$D$23)))</f>
        <v>1.1086358420596496</v>
      </c>
      <c r="L456" s="76">
        <f t="shared" si="22"/>
        <v>1.6462225974367553</v>
      </c>
      <c r="M456" s="76">
        <f>0.0526*F456*Observaciones!$F455^1.218</f>
        <v>0</v>
      </c>
      <c r="N456" s="76">
        <f>M456*Constantes!$D$51</f>
        <v>0</v>
      </c>
      <c r="O456" s="76">
        <f t="shared" si="23"/>
        <v>0</v>
      </c>
      <c r="P456" s="15"/>
      <c r="Q456" s="75">
        <v>450</v>
      </c>
      <c r="R456" s="76">
        <f>0.0526*Observaciones!$F455^2.218</f>
        <v>0</v>
      </c>
      <c r="S456" s="76">
        <f>IF(Observaciones!$F455&gt;0.05*$W$7,((Observaciones!$F455-0.05*$W$7)^2)/(Observaciones!$F455+0.95*$W$7),0)</f>
        <v>0</v>
      </c>
      <c r="T456" s="76">
        <f>0.0526*S456*Observaciones!$F455^1.218</f>
        <v>0</v>
      </c>
      <c r="U456" s="29"/>
      <c r="V456" s="29"/>
      <c r="W456" s="109"/>
      <c r="X456" s="40"/>
    </row>
    <row r="457" spans="2:24" s="2" customFormat="1">
      <c r="B457" s="39"/>
      <c r="C457" s="75">
        <v>451</v>
      </c>
      <c r="D457" s="146">
        <f>ETo!$I456*((1-Constantes!$D$19)*ETo!$K456+ETo!$L456)</f>
        <v>3.8532942912669204</v>
      </c>
      <c r="E457" s="76">
        <f>MIN(D457*Constantes!$D$17,0.8*(H456+Observaciones!$F456-F457-G457-Constantes!$D$14))</f>
        <v>1.9647329209697226</v>
      </c>
      <c r="F457" s="76">
        <f>IF(Observaciones!$F456&gt;0.05*Constantes!$D$18,((Observaciones!$F456-0.05*Constantes!$D$18)^2)/(Observaciones!$F456+0.95*Constantes!$D$18),0)</f>
        <v>0</v>
      </c>
      <c r="G457" s="76">
        <f>MAX(0,H456+Observaciones!$F456-F457-Constantes!$D$13)</f>
        <v>0</v>
      </c>
      <c r="H457" s="76">
        <f>H456+Observaciones!$F456-F457-E457-G457-I456</f>
        <v>24.529501202296355</v>
      </c>
      <c r="I457" s="76">
        <f>MAX(0,(H457-Constantes!$D$14)*(1-EXP(-Constantes!$D$22)))</f>
        <v>0.45234856099714044</v>
      </c>
      <c r="J457" s="76">
        <f t="shared" si="21"/>
        <v>160.15623710068004</v>
      </c>
      <c r="K457" s="76">
        <f>MAX(0,(J457-Constantes!$D$13)*(1-EXP(-Constantes!$D$23)))</f>
        <v>1.097712189051351</v>
      </c>
      <c r="L457" s="76">
        <f t="shared" si="22"/>
        <v>1.5500607500484915</v>
      </c>
      <c r="M457" s="76">
        <f>0.0526*F457*Observaciones!$F456^1.218</f>
        <v>0</v>
      </c>
      <c r="N457" s="76">
        <f>M457*Constantes!$D$51</f>
        <v>0</v>
      </c>
      <c r="O457" s="76">
        <f t="shared" si="23"/>
        <v>0</v>
      </c>
      <c r="P457" s="15"/>
      <c r="Q457" s="75">
        <v>451</v>
      </c>
      <c r="R457" s="76">
        <f>0.0526*Observaciones!$F456^2.218</f>
        <v>0</v>
      </c>
      <c r="S457" s="76">
        <f>IF(Observaciones!$F456&gt;0.05*$W$7,((Observaciones!$F456-0.05*$W$7)^2)/(Observaciones!$F456+0.95*$W$7),0)</f>
        <v>0</v>
      </c>
      <c r="T457" s="76">
        <f>0.0526*S457*Observaciones!$F456^1.218</f>
        <v>0</v>
      </c>
      <c r="U457" s="29"/>
      <c r="V457" s="29"/>
      <c r="W457" s="109"/>
      <c r="X457" s="40"/>
    </row>
    <row r="458" spans="2:24" s="2" customFormat="1">
      <c r="B458" s="39"/>
      <c r="C458" s="75">
        <v>452</v>
      </c>
      <c r="D458" s="146">
        <f>ETo!$I457*((1-Constantes!$D$19)*ETo!$K457+ETo!$L457)</f>
        <v>3.7302297657911159</v>
      </c>
      <c r="E458" s="76">
        <f>MIN(D458*Constantes!$D$17,0.8*(H457+Observaciones!$F457-F458-G458-Constantes!$D$14))</f>
        <v>1.9019842943844605</v>
      </c>
      <c r="F458" s="76">
        <f>IF(Observaciones!$F457&gt;0.05*Constantes!$D$18,((Observaciones!$F457-0.05*Constantes!$D$18)^2)/(Observaciones!$F457+0.95*Constantes!$D$18),0)</f>
        <v>0.80150264512434788</v>
      </c>
      <c r="G458" s="76">
        <f>MAX(0,H457+Observaciones!$F457-F458-Constantes!$D$13)</f>
        <v>0</v>
      </c>
      <c r="H458" s="76">
        <f>H457+Observaciones!$F457-F458-E458-G458-I457</f>
        <v>33.073665701790404</v>
      </c>
      <c r="I458" s="76">
        <f>MAX(0,(H458-Constantes!$D$14)*(1-EXP(-Constantes!$D$22)))</f>
        <v>0.74339417011991693</v>
      </c>
      <c r="J458" s="76">
        <f t="shared" si="21"/>
        <v>159.05852491162869</v>
      </c>
      <c r="K458" s="76">
        <f>MAX(0,(J458-Constantes!$D$13)*(1-EXP(-Constantes!$D$23)))</f>
        <v>1.0868961693979544</v>
      </c>
      <c r="L458" s="76">
        <f t="shared" si="22"/>
        <v>2.6317929846422192</v>
      </c>
      <c r="M458" s="76">
        <f>0.0526*F458*Observaciones!$F457^1.218</f>
        <v>0.84322035893289871</v>
      </c>
      <c r="N458" s="76">
        <f>M458*Constantes!$D$51</f>
        <v>1.1855590955586196E-2</v>
      </c>
      <c r="O458" s="76">
        <f t="shared" si="23"/>
        <v>450.47581723825868</v>
      </c>
      <c r="P458" s="15"/>
      <c r="Q458" s="75">
        <v>452</v>
      </c>
      <c r="R458" s="76">
        <f>0.0526*Observaciones!$F457^2.218</f>
        <v>12.308977717702129</v>
      </c>
      <c r="S458" s="76">
        <f>IF(Observaciones!$F457&gt;0.05*$W$7,((Observaciones!$F457-0.05*$W$7)^2)/(Observaciones!$F457+0.95*$W$7),0)</f>
        <v>2.227679886606821</v>
      </c>
      <c r="T458" s="76">
        <f>0.0526*S458*Observaciones!$F457^1.218</f>
        <v>2.3436292381552621</v>
      </c>
      <c r="U458" s="29"/>
      <c r="V458" s="29"/>
      <c r="W458" s="109"/>
      <c r="X458" s="40"/>
    </row>
    <row r="459" spans="2:24" s="2" customFormat="1">
      <c r="B459" s="39"/>
      <c r="C459" s="75">
        <v>453</v>
      </c>
      <c r="D459" s="146">
        <f>ETo!$I458*((1-Constantes!$D$19)*ETo!$K458+ETo!$L458)</f>
        <v>3.7786385520291255</v>
      </c>
      <c r="E459" s="76">
        <f>MIN(D459*Constantes!$D$17,0.8*(H458+Observaciones!$F458-F459-G459-Constantes!$D$14))</f>
        <v>1.9266671576169836</v>
      </c>
      <c r="F459" s="76">
        <f>IF(Observaciones!$F458&gt;0.05*Constantes!$D$18,((Observaciones!$F458-0.05*Constantes!$D$18)^2)/(Observaciones!$F458+0.95*Constantes!$D$18),0)</f>
        <v>0</v>
      </c>
      <c r="G459" s="76">
        <f>MAX(0,H458+Observaciones!$F458-F459-Constantes!$D$13)</f>
        <v>0</v>
      </c>
      <c r="H459" s="76">
        <f>H458+Observaciones!$F458-F459-E459-G459-I458</f>
        <v>30.403604374053504</v>
      </c>
      <c r="I459" s="76">
        <f>MAX(0,(H459-Constantes!$D$14)*(1-EXP(-Constantes!$D$22)))</f>
        <v>0.65244207930139719</v>
      </c>
      <c r="J459" s="76">
        <f t="shared" si="21"/>
        <v>157.97162874223073</v>
      </c>
      <c r="K459" s="76">
        <f>MAX(0,(J459-Constantes!$D$13)*(1-EXP(-Constantes!$D$23)))</f>
        <v>1.076186722562378</v>
      </c>
      <c r="L459" s="76">
        <f t="shared" si="22"/>
        <v>1.7286288018637752</v>
      </c>
      <c r="M459" s="76">
        <f>0.0526*F459*Observaciones!$F458^1.218</f>
        <v>0</v>
      </c>
      <c r="N459" s="76">
        <f>M459*Constantes!$D$51</f>
        <v>0</v>
      </c>
      <c r="O459" s="76">
        <f t="shared" si="23"/>
        <v>0</v>
      </c>
      <c r="P459" s="15"/>
      <c r="Q459" s="75">
        <v>453</v>
      </c>
      <c r="R459" s="76">
        <f>0.0526*Observaciones!$F458^2.218</f>
        <v>0</v>
      </c>
      <c r="S459" s="76">
        <f>IF(Observaciones!$F458&gt;0.05*$W$7,((Observaciones!$F458-0.05*$W$7)^2)/(Observaciones!$F458+0.95*$W$7),0)</f>
        <v>0</v>
      </c>
      <c r="T459" s="76">
        <f>0.0526*S459*Observaciones!$F458^1.218</f>
        <v>0</v>
      </c>
      <c r="U459" s="29"/>
      <c r="V459" s="29"/>
      <c r="W459" s="109"/>
      <c r="X459" s="40"/>
    </row>
    <row r="460" spans="2:24" s="2" customFormat="1">
      <c r="B460" s="39"/>
      <c r="C460" s="75">
        <v>454</v>
      </c>
      <c r="D460" s="146">
        <f>ETo!$I459*((1-Constantes!$D$19)*ETo!$K459+ETo!$L459)</f>
        <v>3.6680650078344468</v>
      </c>
      <c r="E460" s="76">
        <f>MIN(D460*Constantes!$D$17,0.8*(H459+Observaciones!$F459-F460-G460-Constantes!$D$14))</f>
        <v>1.8702874819301425</v>
      </c>
      <c r="F460" s="76">
        <f>IF(Observaciones!$F459&gt;0.05*Constantes!$D$18,((Observaciones!$F459-0.05*Constantes!$D$18)^2)/(Observaciones!$F459+0.95*Constantes!$D$18),0)</f>
        <v>0</v>
      </c>
      <c r="G460" s="76">
        <f>MAX(0,H459+Observaciones!$F459-F460-Constantes!$D$13)</f>
        <v>0</v>
      </c>
      <c r="H460" s="76">
        <f>H459+Observaciones!$F459-F460-E460-G460-I459</f>
        <v>29.580874812821964</v>
      </c>
      <c r="I460" s="76">
        <f>MAX(0,(H460-Constantes!$D$14)*(1-EXP(-Constantes!$D$22)))</f>
        <v>0.62441689014379986</v>
      </c>
      <c r="J460" s="76">
        <f t="shared" si="21"/>
        <v>156.89544201966837</v>
      </c>
      <c r="K460" s="76">
        <f>MAX(0,(J460-Constantes!$D$13)*(1-EXP(-Constantes!$D$23)))</f>
        <v>1.0655827984572641</v>
      </c>
      <c r="L460" s="76">
        <f t="shared" si="22"/>
        <v>1.689999688601064</v>
      </c>
      <c r="M460" s="76">
        <f>0.0526*F460*Observaciones!$F459^1.218</f>
        <v>0</v>
      </c>
      <c r="N460" s="76">
        <f>M460*Constantes!$D$51</f>
        <v>0</v>
      </c>
      <c r="O460" s="76">
        <f t="shared" si="23"/>
        <v>0</v>
      </c>
      <c r="P460" s="15"/>
      <c r="Q460" s="75">
        <v>454</v>
      </c>
      <c r="R460" s="76">
        <f>0.0526*Observaciones!$F459^2.218</f>
        <v>0.17065595668433275</v>
      </c>
      <c r="S460" s="76">
        <f>IF(Observaciones!$F459&gt;0.05*$W$7,((Observaciones!$F459-0.05*$W$7)^2)/(Observaciones!$F459+0.95*$W$7),0)</f>
        <v>0</v>
      </c>
      <c r="T460" s="76">
        <f>0.0526*S460*Observaciones!$F459^1.218</f>
        <v>0</v>
      </c>
      <c r="U460" s="29"/>
      <c r="V460" s="29"/>
      <c r="W460" s="109"/>
      <c r="X460" s="40"/>
    </row>
    <row r="461" spans="2:24" s="2" customFormat="1">
      <c r="B461" s="39"/>
      <c r="C461" s="75">
        <v>455</v>
      </c>
      <c r="D461" s="146">
        <f>ETo!$I460*((1-Constantes!$D$19)*ETo!$K460+ETo!$L460)</f>
        <v>3.7788399416855518</v>
      </c>
      <c r="E461" s="76">
        <f>MIN(D461*Constantes!$D$17,0.8*(H460+Observaciones!$F460-F461-G461-Constantes!$D$14))</f>
        <v>1.9267698429708691</v>
      </c>
      <c r="F461" s="76">
        <f>IF(Observaciones!$F460&gt;0.05*Constantes!$D$18,((Observaciones!$F460-0.05*Constantes!$D$18)^2)/(Observaciones!$F460+0.95*Constantes!$D$18),0)</f>
        <v>0</v>
      </c>
      <c r="G461" s="76">
        <f>MAX(0,H460+Observaciones!$F460-F461-Constantes!$D$13)</f>
        <v>0</v>
      </c>
      <c r="H461" s="76">
        <f>H460+Observaciones!$F460-F461-E461-G461-I460</f>
        <v>27.029688079707295</v>
      </c>
      <c r="I461" s="76">
        <f>MAX(0,(H461-Constantes!$D$14)*(1-EXP(-Constantes!$D$22)))</f>
        <v>0.53751410441568404</v>
      </c>
      <c r="J461" s="76">
        <f t="shared" si="21"/>
        <v>155.82985922121111</v>
      </c>
      <c r="K461" s="76">
        <f>MAX(0,(J461-Constantes!$D$13)*(1-EXP(-Constantes!$D$23)))</f>
        <v>1.0550833573420157</v>
      </c>
      <c r="L461" s="76">
        <f t="shared" si="22"/>
        <v>1.5925974617576997</v>
      </c>
      <c r="M461" s="76">
        <f>0.0526*F461*Observaciones!$F460^1.218</f>
        <v>0</v>
      </c>
      <c r="N461" s="76">
        <f>M461*Constantes!$D$51</f>
        <v>0</v>
      </c>
      <c r="O461" s="76">
        <f t="shared" si="23"/>
        <v>0</v>
      </c>
      <c r="P461" s="15"/>
      <c r="Q461" s="75">
        <v>455</v>
      </c>
      <c r="R461" s="76">
        <f>0.0526*Observaciones!$F460^2.218</f>
        <v>0</v>
      </c>
      <c r="S461" s="76">
        <f>IF(Observaciones!$F460&gt;0.05*$W$7,((Observaciones!$F460-0.05*$W$7)^2)/(Observaciones!$F460+0.95*$W$7),0)</f>
        <v>0</v>
      </c>
      <c r="T461" s="76">
        <f>0.0526*S461*Observaciones!$F460^1.218</f>
        <v>0</v>
      </c>
      <c r="U461" s="29"/>
      <c r="V461" s="29"/>
      <c r="W461" s="109"/>
      <c r="X461" s="40"/>
    </row>
    <row r="462" spans="2:24" s="2" customFormat="1">
      <c r="B462" s="39"/>
      <c r="C462" s="75">
        <v>456</v>
      </c>
      <c r="D462" s="146">
        <f>ETo!$I461*((1-Constantes!$D$19)*ETo!$K461+ETo!$L461)</f>
        <v>3.7627010146753448</v>
      </c>
      <c r="E462" s="76">
        <f>MIN(D462*Constantes!$D$17,0.8*(H461+Observaciones!$F461-F462-G462-Constantes!$D$14))</f>
        <v>1.9185408630878777</v>
      </c>
      <c r="F462" s="76">
        <f>IF(Observaciones!$F461&gt;0.05*Constantes!$D$18,((Observaciones!$F461-0.05*Constantes!$D$18)^2)/(Observaciones!$F461+0.95*Constantes!$D$18),0)</f>
        <v>0</v>
      </c>
      <c r="G462" s="76">
        <f>MAX(0,H461+Observaciones!$F461-F462-Constantes!$D$13)</f>
        <v>0</v>
      </c>
      <c r="H462" s="76">
        <f>H461+Observaciones!$F461-F462-E462-G462-I461</f>
        <v>24.573633112203733</v>
      </c>
      <c r="I462" s="76">
        <f>MAX(0,(H462-Constantes!$D$14)*(1-EXP(-Constantes!$D$22)))</f>
        <v>0.4538518558601437</v>
      </c>
      <c r="J462" s="76">
        <f t="shared" si="21"/>
        <v>154.77477586386908</v>
      </c>
      <c r="K462" s="76">
        <f>MAX(0,(J462-Constantes!$D$13)*(1-EXP(-Constantes!$D$23)))</f>
        <v>1.0446873697208479</v>
      </c>
      <c r="L462" s="76">
        <f t="shared" si="22"/>
        <v>1.4985392255809915</v>
      </c>
      <c r="M462" s="76">
        <f>0.0526*F462*Observaciones!$F461^1.218</f>
        <v>0</v>
      </c>
      <c r="N462" s="76">
        <f>M462*Constantes!$D$51</f>
        <v>0</v>
      </c>
      <c r="O462" s="76">
        <f t="shared" si="23"/>
        <v>0</v>
      </c>
      <c r="P462" s="15"/>
      <c r="Q462" s="75">
        <v>456</v>
      </c>
      <c r="R462" s="76">
        <f>0.0526*Observaciones!$F461^2.218</f>
        <v>0</v>
      </c>
      <c r="S462" s="76">
        <f>IF(Observaciones!$F461&gt;0.05*$W$7,((Observaciones!$F461-0.05*$W$7)^2)/(Observaciones!$F461+0.95*$W$7),0)</f>
        <v>0</v>
      </c>
      <c r="T462" s="76">
        <f>0.0526*S462*Observaciones!$F461^1.218</f>
        <v>0</v>
      </c>
      <c r="U462" s="29"/>
      <c r="V462" s="29"/>
      <c r="W462" s="109"/>
      <c r="X462" s="40"/>
    </row>
    <row r="463" spans="2:24" s="2" customFormat="1">
      <c r="B463" s="39"/>
      <c r="C463" s="75">
        <v>457</v>
      </c>
      <c r="D463" s="146">
        <f>ETo!$I462*((1-Constantes!$D$19)*ETo!$K462+ETo!$L462)</f>
        <v>3.7935565749358928</v>
      </c>
      <c r="E463" s="76">
        <f>MIN(D463*Constantes!$D$17,0.8*(H462+Observaciones!$F462-F463-G463-Constantes!$D$14))</f>
        <v>1.9342736180908524</v>
      </c>
      <c r="F463" s="76">
        <f>IF(Observaciones!$F462&gt;0.05*Constantes!$D$18,((Observaciones!$F462-0.05*Constantes!$D$18)^2)/(Observaciones!$F462+0.95*Constantes!$D$18),0)</f>
        <v>0</v>
      </c>
      <c r="G463" s="76">
        <f>MAX(0,H462+Observaciones!$F462-F463-Constantes!$D$13)</f>
        <v>0</v>
      </c>
      <c r="H463" s="76">
        <f>H462+Observaciones!$F462-F463-E463-G463-I462</f>
        <v>22.185507638252737</v>
      </c>
      <c r="I463" s="76">
        <f>MAX(0,(H463-Constantes!$D$14)*(1-EXP(-Constantes!$D$22)))</f>
        <v>0.37250353522927976</v>
      </c>
      <c r="J463" s="76">
        <f t="shared" si="21"/>
        <v>153.73008849414822</v>
      </c>
      <c r="K463" s="76">
        <f>MAX(0,(J463-Constantes!$D$13)*(1-EXP(-Constantes!$D$23)))</f>
        <v>1.0343938162418427</v>
      </c>
      <c r="L463" s="76">
        <f t="shared" si="22"/>
        <v>1.4068973514711225</v>
      </c>
      <c r="M463" s="76">
        <f>0.0526*F463*Observaciones!$F462^1.218</f>
        <v>0</v>
      </c>
      <c r="N463" s="76">
        <f>M463*Constantes!$D$51</f>
        <v>0</v>
      </c>
      <c r="O463" s="76">
        <f t="shared" si="23"/>
        <v>0</v>
      </c>
      <c r="P463" s="15"/>
      <c r="Q463" s="75">
        <v>457</v>
      </c>
      <c r="R463" s="76">
        <f>0.0526*Observaciones!$F462^2.218</f>
        <v>0</v>
      </c>
      <c r="S463" s="76">
        <f>IF(Observaciones!$F462&gt;0.05*$W$7,((Observaciones!$F462-0.05*$W$7)^2)/(Observaciones!$F462+0.95*$W$7),0)</f>
        <v>0</v>
      </c>
      <c r="T463" s="76">
        <f>0.0526*S463*Observaciones!$F462^1.218</f>
        <v>0</v>
      </c>
      <c r="U463" s="29"/>
      <c r="V463" s="29"/>
      <c r="W463" s="109"/>
      <c r="X463" s="40"/>
    </row>
    <row r="464" spans="2:24" s="2" customFormat="1">
      <c r="B464" s="39"/>
      <c r="C464" s="75">
        <v>458</v>
      </c>
      <c r="D464" s="146">
        <f>ETo!$I463*((1-Constantes!$D$19)*ETo!$K463+ETo!$L463)</f>
        <v>3.7220021783445802</v>
      </c>
      <c r="E464" s="76">
        <f>MIN(D464*Constantes!$D$17,0.8*(H463+Observaciones!$F463-F464-G464-Constantes!$D$14))</f>
        <v>1.8977891795828212</v>
      </c>
      <c r="F464" s="76">
        <f>IF(Observaciones!$F463&gt;0.05*Constantes!$D$18,((Observaciones!$F463-0.05*Constantes!$D$18)^2)/(Observaciones!$F463+0.95*Constantes!$D$18),0)</f>
        <v>0</v>
      </c>
      <c r="G464" s="76">
        <f>MAX(0,H463+Observaciones!$F463-F464-Constantes!$D$13)</f>
        <v>0</v>
      </c>
      <c r="H464" s="76">
        <f>H463+Observaciones!$F463-F464-E464-G464-I463</f>
        <v>20.415214923440633</v>
      </c>
      <c r="I464" s="76">
        <f>MAX(0,(H464-Constantes!$D$14)*(1-EXP(-Constantes!$D$22)))</f>
        <v>0.31220086648517814</v>
      </c>
      <c r="J464" s="76">
        <f t="shared" si="21"/>
        <v>152.69569467790637</v>
      </c>
      <c r="K464" s="76">
        <f>MAX(0,(J464-Constantes!$D$13)*(1-EXP(-Constantes!$D$23)))</f>
        <v>1.0242016875969995</v>
      </c>
      <c r="L464" s="76">
        <f t="shared" si="22"/>
        <v>1.3364025540821776</v>
      </c>
      <c r="M464" s="76">
        <f>0.0526*F464*Observaciones!$F463^1.218</f>
        <v>0</v>
      </c>
      <c r="N464" s="76">
        <f>M464*Constantes!$D$51</f>
        <v>0</v>
      </c>
      <c r="O464" s="76">
        <f t="shared" si="23"/>
        <v>0</v>
      </c>
      <c r="P464" s="15"/>
      <c r="Q464" s="75">
        <v>458</v>
      </c>
      <c r="R464" s="76">
        <f>0.0526*Observaciones!$F463^2.218</f>
        <v>1.1305797794095535E-2</v>
      </c>
      <c r="S464" s="76">
        <f>IF(Observaciones!$F463&gt;0.05*$W$7,((Observaciones!$F463-0.05*$W$7)^2)/(Observaciones!$F463+0.95*$W$7),0)</f>
        <v>0</v>
      </c>
      <c r="T464" s="76">
        <f>0.0526*S464*Observaciones!$F463^1.218</f>
        <v>0</v>
      </c>
      <c r="U464" s="29"/>
      <c r="V464" s="29"/>
      <c r="W464" s="109"/>
      <c r="X464" s="40"/>
    </row>
    <row r="465" spans="2:24" s="2" customFormat="1">
      <c r="B465" s="39"/>
      <c r="C465" s="75">
        <v>459</v>
      </c>
      <c r="D465" s="146">
        <f>ETo!$I464*((1-Constantes!$D$19)*ETo!$K464+ETo!$L464)</f>
        <v>3.6547166236325257</v>
      </c>
      <c r="E465" s="76">
        <f>MIN(D465*Constantes!$D$17,0.8*(H464+Observaciones!$F464-F465-G465-Constantes!$D$14))</f>
        <v>1.863481355042117</v>
      </c>
      <c r="F465" s="76">
        <f>IF(Observaciones!$F464&gt;0.05*Constantes!$D$18,((Observaciones!$F464-0.05*Constantes!$D$18)^2)/(Observaciones!$F464+0.95*Constantes!$D$18),0)</f>
        <v>0</v>
      </c>
      <c r="G465" s="76">
        <f>MAX(0,H464+Observaciones!$F464-F465-Constantes!$D$13)</f>
        <v>0</v>
      </c>
      <c r="H465" s="76">
        <f>H464+Observaciones!$F464-F465-E465-G465-I464</f>
        <v>18.239532701913337</v>
      </c>
      <c r="I465" s="76">
        <f>MAX(0,(H465-Constantes!$D$14)*(1-EXP(-Constantes!$D$22)))</f>
        <v>0.23808914292701111</v>
      </c>
      <c r="J465" s="76">
        <f t="shared" si="21"/>
        <v>151.67149299030939</v>
      </c>
      <c r="K465" s="76">
        <f>MAX(0,(J465-Constantes!$D$13)*(1-EXP(-Constantes!$D$23)))</f>
        <v>1.0141099844232702</v>
      </c>
      <c r="L465" s="76">
        <f t="shared" si="22"/>
        <v>1.2521991273502813</v>
      </c>
      <c r="M465" s="76">
        <f>0.0526*F465*Observaciones!$F464^1.218</f>
        <v>0</v>
      </c>
      <c r="N465" s="76">
        <f>M465*Constantes!$D$51</f>
        <v>0</v>
      </c>
      <c r="O465" s="76">
        <f t="shared" si="23"/>
        <v>0</v>
      </c>
      <c r="P465" s="15"/>
      <c r="Q465" s="75">
        <v>459</v>
      </c>
      <c r="R465" s="76">
        <f>0.0526*Observaciones!$F464^2.218</f>
        <v>0</v>
      </c>
      <c r="S465" s="76">
        <f>IF(Observaciones!$F464&gt;0.05*$W$7,((Observaciones!$F464-0.05*$W$7)^2)/(Observaciones!$F464+0.95*$W$7),0)</f>
        <v>0</v>
      </c>
      <c r="T465" s="76">
        <f>0.0526*S465*Observaciones!$F464^1.218</f>
        <v>0</v>
      </c>
      <c r="U465" s="29"/>
      <c r="V465" s="29"/>
      <c r="W465" s="109"/>
      <c r="X465" s="40"/>
    </row>
    <row r="466" spans="2:24" s="2" customFormat="1">
      <c r="B466" s="39"/>
      <c r="C466" s="75">
        <v>460</v>
      </c>
      <c r="D466" s="146">
        <f>ETo!$I465*((1-Constantes!$D$19)*ETo!$K465+ETo!$L465)</f>
        <v>3.6419132890926575</v>
      </c>
      <c r="E466" s="76">
        <f>MIN(D466*Constantes!$D$17,0.8*(H465+Observaciones!$F465-F466-G466-Constantes!$D$14))</f>
        <v>1.8569531402297474</v>
      </c>
      <c r="F466" s="76">
        <f>IF(Observaciones!$F465&gt;0.05*Constantes!$D$18,((Observaciones!$F465-0.05*Constantes!$D$18)^2)/(Observaciones!$F465+0.95*Constantes!$D$18),0)</f>
        <v>0</v>
      </c>
      <c r="G466" s="76">
        <f>MAX(0,H465+Observaciones!$F465-F466-Constantes!$D$13)</f>
        <v>0</v>
      </c>
      <c r="H466" s="76">
        <f>H465+Observaciones!$F465-F466-E466-G466-I465</f>
        <v>16.144490418756575</v>
      </c>
      <c r="I466" s="76">
        <f>MAX(0,(H466-Constantes!$D$14)*(1-EXP(-Constantes!$D$22)))</f>
        <v>0.1667243117050187</v>
      </c>
      <c r="J466" s="76">
        <f t="shared" si="21"/>
        <v>150.65738300588612</v>
      </c>
      <c r="K466" s="76">
        <f>MAX(0,(J466-Constantes!$D$13)*(1-EXP(-Constantes!$D$23)))</f>
        <v>1.0041177172045679</v>
      </c>
      <c r="L466" s="76">
        <f t="shared" si="22"/>
        <v>1.1708420289095867</v>
      </c>
      <c r="M466" s="76">
        <f>0.0526*F466*Observaciones!$F465^1.218</f>
        <v>0</v>
      </c>
      <c r="N466" s="76">
        <f>M466*Constantes!$D$51</f>
        <v>0</v>
      </c>
      <c r="O466" s="76">
        <f t="shared" si="23"/>
        <v>0</v>
      </c>
      <c r="P466" s="15"/>
      <c r="Q466" s="75">
        <v>460</v>
      </c>
      <c r="R466" s="76">
        <f>0.0526*Observaciones!$F465^2.218</f>
        <v>0</v>
      </c>
      <c r="S466" s="76">
        <f>IF(Observaciones!$F465&gt;0.05*$W$7,((Observaciones!$F465-0.05*$W$7)^2)/(Observaciones!$F465+0.95*$W$7),0)</f>
        <v>0</v>
      </c>
      <c r="T466" s="76">
        <f>0.0526*S466*Observaciones!$F465^1.218</f>
        <v>0</v>
      </c>
      <c r="U466" s="29"/>
      <c r="V466" s="29"/>
      <c r="W466" s="109"/>
      <c r="X466" s="40"/>
    </row>
    <row r="467" spans="2:24" s="2" customFormat="1">
      <c r="B467" s="39"/>
      <c r="C467" s="75">
        <v>461</v>
      </c>
      <c r="D467" s="146">
        <f>ETo!$I466*((1-Constantes!$D$19)*ETo!$K466+ETo!$L466)</f>
        <v>3.4598293847137378</v>
      </c>
      <c r="E467" s="76">
        <f>MIN(D467*Constantes!$D$17,0.8*(H466+Observaciones!$F466-F467-G467-Constantes!$D$14))</f>
        <v>1.7641114794921391</v>
      </c>
      <c r="F467" s="76">
        <f>IF(Observaciones!$F466&gt;0.05*Constantes!$D$18,((Observaciones!$F466-0.05*Constantes!$D$18)^2)/(Observaciones!$F466+0.95*Constantes!$D$18),0)</f>
        <v>0</v>
      </c>
      <c r="G467" s="76">
        <f>MAX(0,H466+Observaciones!$F466-F467-Constantes!$D$13)</f>
        <v>0</v>
      </c>
      <c r="H467" s="76">
        <f>H466+Observaciones!$F466-F467-E467-G467-I466</f>
        <v>14.213654627559416</v>
      </c>
      <c r="I467" s="76">
        <f>MAX(0,(H467-Constantes!$D$14)*(1-EXP(-Constantes!$D$22)))</f>
        <v>0.10095295641354317</v>
      </c>
      <c r="J467" s="76">
        <f t="shared" si="21"/>
        <v>149.65326528868155</v>
      </c>
      <c r="K467" s="76">
        <f>MAX(0,(J467-Constantes!$D$13)*(1-EXP(-Constantes!$D$23)))</f>
        <v>0.99422390617474421</v>
      </c>
      <c r="L467" s="76">
        <f t="shared" si="22"/>
        <v>1.0951768625882874</v>
      </c>
      <c r="M467" s="76">
        <f>0.0526*F467*Observaciones!$F466^1.218</f>
        <v>0</v>
      </c>
      <c r="N467" s="76">
        <f>M467*Constantes!$D$51</f>
        <v>0</v>
      </c>
      <c r="O467" s="76">
        <f t="shared" si="23"/>
        <v>0</v>
      </c>
      <c r="P467" s="15"/>
      <c r="Q467" s="75">
        <v>461</v>
      </c>
      <c r="R467" s="76">
        <f>0.0526*Observaciones!$F466^2.218</f>
        <v>0</v>
      </c>
      <c r="S467" s="76">
        <f>IF(Observaciones!$F466&gt;0.05*$W$7,((Observaciones!$F466-0.05*$W$7)^2)/(Observaciones!$F466+0.95*$W$7),0)</f>
        <v>0</v>
      </c>
      <c r="T467" s="76">
        <f>0.0526*S467*Observaciones!$F466^1.218</f>
        <v>0</v>
      </c>
      <c r="U467" s="29"/>
      <c r="V467" s="29"/>
      <c r="W467" s="109"/>
      <c r="X467" s="40"/>
    </row>
    <row r="468" spans="2:24" s="2" customFormat="1">
      <c r="B468" s="39"/>
      <c r="C468" s="75">
        <v>462</v>
      </c>
      <c r="D468" s="146">
        <f>ETo!$I467*((1-Constantes!$D$19)*ETo!$K467+ETo!$L467)</f>
        <v>3.4816494913213631</v>
      </c>
      <c r="E468" s="76">
        <f>MIN(D468*Constantes!$D$17,0.8*(H467+Observaciones!$F467-F468-G468-Constantes!$D$14))</f>
        <v>1.7752372016795754</v>
      </c>
      <c r="F468" s="76">
        <f>IF(Observaciones!$F467&gt;0.05*Constantes!$D$18,((Observaciones!$F467-0.05*Constantes!$D$18)^2)/(Observaciones!$F467+0.95*Constantes!$D$18),0)</f>
        <v>0</v>
      </c>
      <c r="G468" s="76">
        <f>MAX(0,H467+Observaciones!$F467-F468-Constantes!$D$13)</f>
        <v>0</v>
      </c>
      <c r="H468" s="76">
        <f>H467+Observaciones!$F467-F468-E468-G468-I467</f>
        <v>12.537464469466297</v>
      </c>
      <c r="I468" s="76">
        <f>MAX(0,(H468-Constantes!$D$14)*(1-EXP(-Constantes!$D$22)))</f>
        <v>4.3855766208848103E-2</v>
      </c>
      <c r="J468" s="76">
        <f t="shared" si="21"/>
        <v>148.65904138250681</v>
      </c>
      <c r="K468" s="76">
        <f>MAX(0,(J468-Constantes!$D$13)*(1-EXP(-Constantes!$D$23)))</f>
        <v>0.98442758122151952</v>
      </c>
      <c r="L468" s="76">
        <f t="shared" si="22"/>
        <v>1.0282833474303676</v>
      </c>
      <c r="M468" s="76">
        <f>0.0526*F468*Observaciones!$F467^1.218</f>
        <v>0</v>
      </c>
      <c r="N468" s="76">
        <f>M468*Constantes!$D$51</f>
        <v>0</v>
      </c>
      <c r="O468" s="76">
        <f t="shared" si="23"/>
        <v>0</v>
      </c>
      <c r="P468" s="15"/>
      <c r="Q468" s="75">
        <v>462</v>
      </c>
      <c r="R468" s="76">
        <f>0.0526*Observaciones!$F467^2.218</f>
        <v>1.4813929535417848E-3</v>
      </c>
      <c r="S468" s="76">
        <f>IF(Observaciones!$F467&gt;0.05*$W$7,((Observaciones!$F467-0.05*$W$7)^2)/(Observaciones!$F467+0.95*$W$7),0)</f>
        <v>0</v>
      </c>
      <c r="T468" s="76">
        <f>0.0526*S468*Observaciones!$F467^1.218</f>
        <v>0</v>
      </c>
      <c r="U468" s="29"/>
      <c r="V468" s="29"/>
      <c r="W468" s="109"/>
      <c r="X468" s="40"/>
    </row>
    <row r="469" spans="2:24" s="2" customFormat="1">
      <c r="B469" s="39"/>
      <c r="C469" s="75">
        <v>463</v>
      </c>
      <c r="D469" s="146">
        <f>ETo!$I468*((1-Constantes!$D$19)*ETo!$K468+ETo!$L468)</f>
        <v>3.4802138860153877</v>
      </c>
      <c r="E469" s="76">
        <f>MIN(D469*Constantes!$D$17,0.8*(H468+Observaciones!$F468-F469-G469-Constantes!$D$14))</f>
        <v>1.0299715755730376</v>
      </c>
      <c r="F469" s="76">
        <f>IF(Observaciones!$F468&gt;0.05*Constantes!$D$18,((Observaciones!$F468-0.05*Constantes!$D$18)^2)/(Observaciones!$F468+0.95*Constantes!$D$18),0)</f>
        <v>0</v>
      </c>
      <c r="G469" s="76">
        <f>MAX(0,H468+Observaciones!$F468-F469-Constantes!$D$13)</f>
        <v>0</v>
      </c>
      <c r="H469" s="76">
        <f>H468+Observaciones!$F468-F469-E469-G469-I468</f>
        <v>11.463637127684411</v>
      </c>
      <c r="I469" s="76">
        <f>MAX(0,(H469-Constantes!$D$14)*(1-EXP(-Constantes!$D$22)))</f>
        <v>7.2772648468825349E-3</v>
      </c>
      <c r="J469" s="76">
        <f t="shared" si="21"/>
        <v>147.67461380128529</v>
      </c>
      <c r="K469" s="76">
        <f>MAX(0,(J469-Constantes!$D$13)*(1-EXP(-Constantes!$D$23)))</f>
        <v>0.97472778179136166</v>
      </c>
      <c r="L469" s="76">
        <f t="shared" si="22"/>
        <v>0.98200504663824417</v>
      </c>
      <c r="M469" s="76">
        <f>0.0526*F469*Observaciones!$F468^1.218</f>
        <v>0</v>
      </c>
      <c r="N469" s="76">
        <f>M469*Constantes!$D$51</f>
        <v>0</v>
      </c>
      <c r="O469" s="76">
        <f t="shared" si="23"/>
        <v>0</v>
      </c>
      <c r="P469" s="15"/>
      <c r="Q469" s="75">
        <v>463</v>
      </c>
      <c r="R469" s="76">
        <f>0.0526*Observaciones!$F468^2.218</f>
        <v>0</v>
      </c>
      <c r="S469" s="76">
        <f>IF(Observaciones!$F468&gt;0.05*$W$7,((Observaciones!$F468-0.05*$W$7)^2)/(Observaciones!$F468+0.95*$W$7),0)</f>
        <v>0</v>
      </c>
      <c r="T469" s="76">
        <f>0.0526*S469*Observaciones!$F468^1.218</f>
        <v>0</v>
      </c>
      <c r="U469" s="29"/>
      <c r="V469" s="29"/>
      <c r="W469" s="109"/>
      <c r="X469" s="40"/>
    </row>
    <row r="470" spans="2:24" s="2" customFormat="1">
      <c r="B470" s="39"/>
      <c r="C470" s="75">
        <v>464</v>
      </c>
      <c r="D470" s="146">
        <f>ETo!$I469*((1-Constantes!$D$19)*ETo!$K469+ETo!$L469)</f>
        <v>3.3990348939855464</v>
      </c>
      <c r="E470" s="76">
        <f>MIN(D470*Constantes!$D$17,0.8*(H469+Observaciones!$F469-F470-G470-Constantes!$D$14))</f>
        <v>0.17090970214752874</v>
      </c>
      <c r="F470" s="76">
        <f>IF(Observaciones!$F469&gt;0.05*Constantes!$D$18,((Observaciones!$F469-0.05*Constantes!$D$18)^2)/(Observaciones!$F469+0.95*Constantes!$D$18),0)</f>
        <v>0</v>
      </c>
      <c r="G470" s="76">
        <f>MAX(0,H469+Observaciones!$F469-F470-Constantes!$D$13)</f>
        <v>0</v>
      </c>
      <c r="H470" s="76">
        <f>H469+Observaciones!$F469-F470-E470-G470-I469</f>
        <v>11.285450160689999</v>
      </c>
      <c r="I470" s="76">
        <f>MAX(0,(H470-Constantes!$D$14)*(1-EXP(-Constantes!$D$22)))</f>
        <v>1.2075626133054968E-3</v>
      </c>
      <c r="J470" s="76">
        <f t="shared" si="21"/>
        <v>146.69988601949393</v>
      </c>
      <c r="K470" s="76">
        <f>MAX(0,(J470-Constantes!$D$13)*(1-EXP(-Constantes!$D$23)))</f>
        <v>0.96512355679530148</v>
      </c>
      <c r="L470" s="76">
        <f t="shared" si="22"/>
        <v>0.96633111940860694</v>
      </c>
      <c r="M470" s="76">
        <f>0.0526*F470*Observaciones!$F469^1.218</f>
        <v>0</v>
      </c>
      <c r="N470" s="76">
        <f>M470*Constantes!$D$51</f>
        <v>0</v>
      </c>
      <c r="O470" s="76">
        <f t="shared" si="23"/>
        <v>0</v>
      </c>
      <c r="P470" s="15"/>
      <c r="Q470" s="75">
        <v>464</v>
      </c>
      <c r="R470" s="76">
        <f>0.0526*Observaciones!$F469^2.218</f>
        <v>0</v>
      </c>
      <c r="S470" s="76">
        <f>IF(Observaciones!$F469&gt;0.05*$W$7,((Observaciones!$F469-0.05*$W$7)^2)/(Observaciones!$F469+0.95*$W$7),0)</f>
        <v>0</v>
      </c>
      <c r="T470" s="76">
        <f>0.0526*S470*Observaciones!$F469^1.218</f>
        <v>0</v>
      </c>
      <c r="U470" s="29"/>
      <c r="V470" s="29"/>
      <c r="W470" s="109"/>
      <c r="X470" s="40"/>
    </row>
    <row r="471" spans="2:24" s="2" customFormat="1">
      <c r="B471" s="39"/>
      <c r="C471" s="75">
        <v>465</v>
      </c>
      <c r="D471" s="146">
        <f>ETo!$I470*((1-Constantes!$D$19)*ETo!$K470+ETo!$L470)</f>
        <v>3.4992500286786026</v>
      </c>
      <c r="E471" s="76">
        <f>MIN(D471*Constantes!$D$17,0.8*(H470+Observaciones!$F470-F471-G471-Constantes!$D$14))</f>
        <v>2.8360128551999254E-2</v>
      </c>
      <c r="F471" s="76">
        <f>IF(Observaciones!$F470&gt;0.05*Constantes!$D$18,((Observaciones!$F470-0.05*Constantes!$D$18)^2)/(Observaciones!$F470+0.95*Constantes!$D$18),0)</f>
        <v>0</v>
      </c>
      <c r="G471" s="76">
        <f>MAX(0,H470+Observaciones!$F470-F471-Constantes!$D$13)</f>
        <v>0</v>
      </c>
      <c r="H471" s="76">
        <f>H470+Observaciones!$F470-F471-E471-G471-I470</f>
        <v>11.255882469524694</v>
      </c>
      <c r="I471" s="76">
        <f>MAX(0,(H471-Constantes!$D$14)*(1-EXP(-Constantes!$D$22)))</f>
        <v>2.003785069988099E-4</v>
      </c>
      <c r="J471" s="76">
        <f t="shared" si="21"/>
        <v>145.73476246269863</v>
      </c>
      <c r="K471" s="76">
        <f>MAX(0,(J471-Constantes!$D$13)*(1-EXP(-Constantes!$D$23)))</f>
        <v>0.9556139645156756</v>
      </c>
      <c r="L471" s="76">
        <f t="shared" si="22"/>
        <v>0.95581434302267443</v>
      </c>
      <c r="M471" s="76">
        <f>0.0526*F471*Observaciones!$F470^1.218</f>
        <v>0</v>
      </c>
      <c r="N471" s="76">
        <f>M471*Constantes!$D$51</f>
        <v>0</v>
      </c>
      <c r="O471" s="76">
        <f t="shared" si="23"/>
        <v>0</v>
      </c>
      <c r="P471" s="15"/>
      <c r="Q471" s="75">
        <v>465</v>
      </c>
      <c r="R471" s="76">
        <f>0.0526*Observaciones!$F470^2.218</f>
        <v>0</v>
      </c>
      <c r="S471" s="76">
        <f>IF(Observaciones!$F470&gt;0.05*$W$7,((Observaciones!$F470-0.05*$W$7)^2)/(Observaciones!$F470+0.95*$W$7),0)</f>
        <v>0</v>
      </c>
      <c r="T471" s="76">
        <f>0.0526*S471*Observaciones!$F470^1.218</f>
        <v>0</v>
      </c>
      <c r="U471" s="29"/>
      <c r="V471" s="29"/>
      <c r="W471" s="109"/>
      <c r="X471" s="40"/>
    </row>
    <row r="472" spans="2:24" s="2" customFormat="1">
      <c r="B472" s="39"/>
      <c r="C472" s="75">
        <v>466</v>
      </c>
      <c r="D472" s="146">
        <f>ETo!$I471*((1-Constantes!$D$19)*ETo!$K471+ETo!$L471)</f>
        <v>3.5196099670235221</v>
      </c>
      <c r="E472" s="76">
        <f>MIN(D472*Constantes!$D$17,0.8*(H471+Observaciones!$F471-F472-G472-Constantes!$D$14))</f>
        <v>4.7059756197555206E-3</v>
      </c>
      <c r="F472" s="76">
        <f>IF(Observaciones!$F471&gt;0.05*Constantes!$D$18,((Observaciones!$F471-0.05*Constantes!$D$18)^2)/(Observaciones!$F471+0.95*Constantes!$D$18),0)</f>
        <v>0</v>
      </c>
      <c r="G472" s="76">
        <f>MAX(0,H471+Observaciones!$F471-F472-Constantes!$D$13)</f>
        <v>0</v>
      </c>
      <c r="H472" s="76">
        <f>H471+Observaciones!$F471-F472-E472-G472-I471</f>
        <v>11.25097611539794</v>
      </c>
      <c r="I472" s="76">
        <f>MAX(0,(H472-Constantes!$D$14)*(1-EXP(-Constantes!$D$22)))</f>
        <v>3.3250073846812625E-5</v>
      </c>
      <c r="J472" s="76">
        <f t="shared" si="21"/>
        <v>144.77914849818296</v>
      </c>
      <c r="K472" s="76">
        <f>MAX(0,(J472-Constantes!$D$13)*(1-EXP(-Constantes!$D$23)))</f>
        <v>0.9461980725137894</v>
      </c>
      <c r="L472" s="76">
        <f t="shared" si="22"/>
        <v>0.9462313225876362</v>
      </c>
      <c r="M472" s="76">
        <f>0.0526*F472*Observaciones!$F471^1.218</f>
        <v>0</v>
      </c>
      <c r="N472" s="76">
        <f>M472*Constantes!$D$51</f>
        <v>0</v>
      </c>
      <c r="O472" s="76">
        <f t="shared" si="23"/>
        <v>0</v>
      </c>
      <c r="P472" s="15"/>
      <c r="Q472" s="75">
        <v>466</v>
      </c>
      <c r="R472" s="76">
        <f>0.0526*Observaciones!$F471^2.218</f>
        <v>0</v>
      </c>
      <c r="S472" s="76">
        <f>IF(Observaciones!$F471&gt;0.05*$W$7,((Observaciones!$F471-0.05*$W$7)^2)/(Observaciones!$F471+0.95*$W$7),0)</f>
        <v>0</v>
      </c>
      <c r="T472" s="76">
        <f>0.0526*S472*Observaciones!$F471^1.218</f>
        <v>0</v>
      </c>
      <c r="U472" s="29"/>
      <c r="V472" s="29"/>
      <c r="W472" s="109"/>
      <c r="X472" s="40"/>
    </row>
    <row r="473" spans="2:24" s="2" customFormat="1">
      <c r="B473" s="39"/>
      <c r="C473" s="75">
        <v>467</v>
      </c>
      <c r="D473" s="146">
        <f>ETo!$I472*((1-Constantes!$D$19)*ETo!$K472+ETo!$L472)</f>
        <v>3.4982285083722817</v>
      </c>
      <c r="E473" s="76">
        <f>MIN(D473*Constantes!$D$17,0.8*(H472+Observaciones!$F472-F473-G473-Constantes!$D$14))</f>
        <v>1.7836905764117059</v>
      </c>
      <c r="F473" s="76">
        <f>IF(Observaciones!$F472&gt;0.05*Constantes!$D$18,((Observaciones!$F472-0.05*Constantes!$D$18)^2)/(Observaciones!$F472+0.95*Constantes!$D$18),0)</f>
        <v>0</v>
      </c>
      <c r="G473" s="76">
        <f>MAX(0,H472+Observaciones!$F472-F473-Constantes!$D$13)</f>
        <v>0</v>
      </c>
      <c r="H473" s="76">
        <f>H472+Observaciones!$F472-F473-E473-G473-I472</f>
        <v>12.967252288912388</v>
      </c>
      <c r="I473" s="76">
        <f>MAX(0,(H473-Constantes!$D$14)*(1-EXP(-Constantes!$D$22)))</f>
        <v>5.8495917122567583E-2</v>
      </c>
      <c r="J473" s="76">
        <f t="shared" si="21"/>
        <v>143.83295042566917</v>
      </c>
      <c r="K473" s="76">
        <f>MAX(0,(J473-Constantes!$D$13)*(1-EXP(-Constantes!$D$23)))</f>
        <v>0.93687495753848837</v>
      </c>
      <c r="L473" s="76">
        <f t="shared" si="22"/>
        <v>0.995370874661056</v>
      </c>
      <c r="M473" s="76">
        <f>0.0526*F473*Observaciones!$F472^1.218</f>
        <v>0</v>
      </c>
      <c r="N473" s="76">
        <f>M473*Constantes!$D$51</f>
        <v>0</v>
      </c>
      <c r="O473" s="76">
        <f t="shared" si="23"/>
        <v>0</v>
      </c>
      <c r="P473" s="15"/>
      <c r="Q473" s="75">
        <v>467</v>
      </c>
      <c r="R473" s="76">
        <f>0.0526*Observaciones!$F472^2.218</f>
        <v>0.84669825852460612</v>
      </c>
      <c r="S473" s="76">
        <f>IF(Observaciones!$F472&gt;0.05*$W$7,((Observaciones!$F472-0.05*$W$7)^2)/(Observaciones!$F472+0.95*$W$7),0)</f>
        <v>8.5881224531493036E-2</v>
      </c>
      <c r="T473" s="76">
        <f>0.0526*S473*Observaciones!$F472^1.218</f>
        <v>2.0775852357364521E-2</v>
      </c>
      <c r="U473" s="29"/>
      <c r="V473" s="29"/>
      <c r="W473" s="109"/>
      <c r="X473" s="40"/>
    </row>
    <row r="474" spans="2:24" s="2" customFormat="1">
      <c r="B474" s="39"/>
      <c r="C474" s="75">
        <v>468</v>
      </c>
      <c r="D474" s="146">
        <f>ETo!$I473*((1-Constantes!$D$19)*ETo!$K473+ETo!$L473)</f>
        <v>3.2685015114826248</v>
      </c>
      <c r="E474" s="76">
        <f>MIN(D474*Constantes!$D$17,0.8*(H473+Observaciones!$F473-F474-G474-Constantes!$D$14))</f>
        <v>1.6665564673851621</v>
      </c>
      <c r="F474" s="76">
        <f>IF(Observaciones!$F473&gt;0.05*Constantes!$D$18,((Observaciones!$F473-0.05*Constantes!$D$18)^2)/(Observaciones!$F473+0.95*Constantes!$D$18),0)</f>
        <v>0</v>
      </c>
      <c r="G474" s="76">
        <f>MAX(0,H473+Observaciones!$F473-F474-Constantes!$D$13)</f>
        <v>0</v>
      </c>
      <c r="H474" s="76">
        <f>H473+Observaciones!$F473-F474-E474-G474-I473</f>
        <v>13.04219990440466</v>
      </c>
      <c r="I474" s="76">
        <f>MAX(0,(H474-Constantes!$D$14)*(1-EXP(-Constantes!$D$22)))</f>
        <v>6.1048908044563491E-2</v>
      </c>
      <c r="J474" s="76">
        <f t="shared" si="21"/>
        <v>142.89607546813068</v>
      </c>
      <c r="K474" s="76">
        <f>MAX(0,(J474-Constantes!$D$13)*(1-EXP(-Constantes!$D$23)))</f>
        <v>0.92764370543563202</v>
      </c>
      <c r="L474" s="76">
        <f t="shared" si="22"/>
        <v>0.98869261348019555</v>
      </c>
      <c r="M474" s="76">
        <f>0.0526*F474*Observaciones!$F473^1.218</f>
        <v>0</v>
      </c>
      <c r="N474" s="76">
        <f>M474*Constantes!$D$51</f>
        <v>0</v>
      </c>
      <c r="O474" s="76">
        <f t="shared" si="23"/>
        <v>0</v>
      </c>
      <c r="P474" s="15"/>
      <c r="Q474" s="75">
        <v>468</v>
      </c>
      <c r="R474" s="76">
        <f>0.0526*Observaciones!$F473^2.218</f>
        <v>0.19372254258423433</v>
      </c>
      <c r="S474" s="76">
        <f>IF(Observaciones!$F473&gt;0.05*$W$7,((Observaciones!$F473-0.05*$W$7)^2)/(Observaciones!$F473+0.95*$W$7),0)</f>
        <v>1.3395249151634377E-4</v>
      </c>
      <c r="T474" s="76">
        <f>0.0526*S474*Observaciones!$F473^1.218</f>
        <v>1.441645402335511E-5</v>
      </c>
      <c r="U474" s="29"/>
      <c r="V474" s="29"/>
      <c r="W474" s="109"/>
      <c r="X474" s="40"/>
    </row>
    <row r="475" spans="2:24" s="2" customFormat="1">
      <c r="B475" s="39"/>
      <c r="C475" s="75">
        <v>469</v>
      </c>
      <c r="D475" s="146">
        <f>ETo!$I474*((1-Constantes!$D$19)*ETo!$K474+ETo!$L474)</f>
        <v>3.4552480303423629</v>
      </c>
      <c r="E475" s="76">
        <f>MIN(D475*Constantes!$D$17,0.8*(H474+Observaciones!$F474-F475-G475-Constantes!$D$14))</f>
        <v>1.4337599235237279</v>
      </c>
      <c r="F475" s="76">
        <f>IF(Observaciones!$F474&gt;0.05*Constantes!$D$18,((Observaciones!$F474-0.05*Constantes!$D$18)^2)/(Observaciones!$F474+0.95*Constantes!$D$18),0)</f>
        <v>0</v>
      </c>
      <c r="G475" s="76">
        <f>MAX(0,H474+Observaciones!$F474-F475-Constantes!$D$13)</f>
        <v>0</v>
      </c>
      <c r="H475" s="76">
        <f>H474+Observaciones!$F474-F475-E475-G475-I474</f>
        <v>11.547391072836367</v>
      </c>
      <c r="I475" s="76">
        <f>MAX(0,(H475-Constantes!$D$14)*(1-EXP(-Constantes!$D$22)))</f>
        <v>1.0130231685785302E-2</v>
      </c>
      <c r="J475" s="76">
        <f t="shared" si="21"/>
        <v>141.96843176269505</v>
      </c>
      <c r="K475" s="76">
        <f>MAX(0,(J475-Constantes!$D$13)*(1-EXP(-Constantes!$D$23)))</f>
        <v>0.91850341105845801</v>
      </c>
      <c r="L475" s="76">
        <f t="shared" si="22"/>
        <v>0.92863364274424332</v>
      </c>
      <c r="M475" s="76">
        <f>0.0526*F475*Observaciones!$F474^1.218</f>
        <v>0</v>
      </c>
      <c r="N475" s="76">
        <f>M475*Constantes!$D$51</f>
        <v>0</v>
      </c>
      <c r="O475" s="76">
        <f t="shared" si="23"/>
        <v>0</v>
      </c>
      <c r="P475" s="15"/>
      <c r="Q475" s="75">
        <v>469</v>
      </c>
      <c r="R475" s="76">
        <f>0.0526*Observaciones!$F474^2.218</f>
        <v>0</v>
      </c>
      <c r="S475" s="76">
        <f>IF(Observaciones!$F474&gt;0.05*$W$7,((Observaciones!$F474-0.05*$W$7)^2)/(Observaciones!$F474+0.95*$W$7),0)</f>
        <v>0</v>
      </c>
      <c r="T475" s="76">
        <f>0.0526*S475*Observaciones!$F474^1.218</f>
        <v>0</v>
      </c>
      <c r="U475" s="29"/>
      <c r="V475" s="29"/>
      <c r="W475" s="109"/>
      <c r="X475" s="40"/>
    </row>
    <row r="476" spans="2:24" s="2" customFormat="1">
      <c r="B476" s="39"/>
      <c r="C476" s="75">
        <v>470</v>
      </c>
      <c r="D476" s="146">
        <f>ETo!$I475*((1-Constantes!$D$19)*ETo!$K475+ETo!$L475)</f>
        <v>3.2824240173078825</v>
      </c>
      <c r="E476" s="76">
        <f>MIN(D476*Constantes!$D$17,0.8*(H475+Observaciones!$F475-F476-G476-Constantes!$D$14))</f>
        <v>0.23791285826909389</v>
      </c>
      <c r="F476" s="76">
        <f>IF(Observaciones!$F475&gt;0.05*Constantes!$D$18,((Observaciones!$F475-0.05*Constantes!$D$18)^2)/(Observaciones!$F475+0.95*Constantes!$D$18),0)</f>
        <v>0</v>
      </c>
      <c r="G476" s="76">
        <f>MAX(0,H475+Observaciones!$F475-F476-Constantes!$D$13)</f>
        <v>0</v>
      </c>
      <c r="H476" s="76">
        <f>H475+Observaciones!$F475-F476-E476-G476-I475</f>
        <v>11.299347982881487</v>
      </c>
      <c r="I476" s="76">
        <f>MAX(0,(H476-Constantes!$D$14)*(1-EXP(-Constantes!$D$22)))</f>
        <v>1.6809734570973347E-3</v>
      </c>
      <c r="J476" s="76">
        <f t="shared" si="21"/>
        <v>141.04992835163659</v>
      </c>
      <c r="K476" s="76">
        <f>MAX(0,(J476-Constantes!$D$13)*(1-EXP(-Constantes!$D$23)))</f>
        <v>0.90945317817883098</v>
      </c>
      <c r="L476" s="76">
        <f t="shared" si="22"/>
        <v>0.91113415163592837</v>
      </c>
      <c r="M476" s="76">
        <f>0.0526*F476*Observaciones!$F475^1.218</f>
        <v>0</v>
      </c>
      <c r="N476" s="76">
        <f>M476*Constantes!$D$51</f>
        <v>0</v>
      </c>
      <c r="O476" s="76">
        <f t="shared" si="23"/>
        <v>0</v>
      </c>
      <c r="P476" s="15"/>
      <c r="Q476" s="75">
        <v>470</v>
      </c>
      <c r="R476" s="76">
        <f>0.0526*Observaciones!$F475^2.218</f>
        <v>0</v>
      </c>
      <c r="S476" s="76">
        <f>IF(Observaciones!$F475&gt;0.05*$W$7,((Observaciones!$F475-0.05*$W$7)^2)/(Observaciones!$F475+0.95*$W$7),0)</f>
        <v>0</v>
      </c>
      <c r="T476" s="76">
        <f>0.0526*S476*Observaciones!$F475^1.218</f>
        <v>0</v>
      </c>
      <c r="U476" s="29"/>
      <c r="V476" s="29"/>
      <c r="W476" s="109"/>
      <c r="X476" s="40"/>
    </row>
    <row r="477" spans="2:24" s="2" customFormat="1">
      <c r="B477" s="39"/>
      <c r="C477" s="75">
        <v>471</v>
      </c>
      <c r="D477" s="146">
        <f>ETo!$I476*((1-Constantes!$D$19)*ETo!$K476+ETo!$L476)</f>
        <v>3.3494710887433254</v>
      </c>
      <c r="E477" s="76">
        <f>MIN(D477*Constantes!$D$17,0.8*(H476+Observaciones!$F476-F477-G477-Constantes!$D$14))</f>
        <v>3.9478386305189878E-2</v>
      </c>
      <c r="F477" s="76">
        <f>IF(Observaciones!$F476&gt;0.05*Constantes!$D$18,((Observaciones!$F476-0.05*Constantes!$D$18)^2)/(Observaciones!$F476+0.95*Constantes!$D$18),0)</f>
        <v>0</v>
      </c>
      <c r="G477" s="76">
        <f>MAX(0,H476+Observaciones!$F476-F477-Constantes!$D$13)</f>
        <v>0</v>
      </c>
      <c r="H477" s="76">
        <f>H476+Observaciones!$F476-F477-E477-G477-I476</f>
        <v>11.258188623119201</v>
      </c>
      <c r="I477" s="76">
        <f>MAX(0,(H477-Constantes!$D$14)*(1-EXP(-Constantes!$D$22)))</f>
        <v>2.7893456449087488E-4</v>
      </c>
      <c r="J477" s="76">
        <f t="shared" si="21"/>
        <v>140.14047517345776</v>
      </c>
      <c r="K477" s="76">
        <f>MAX(0,(J477-Constantes!$D$13)*(1-EXP(-Constantes!$D$23)))</f>
        <v>0.90049211939936424</v>
      </c>
      <c r="L477" s="76">
        <f t="shared" si="22"/>
        <v>0.90077105396385515</v>
      </c>
      <c r="M477" s="76">
        <f>0.0526*F477*Observaciones!$F476^1.218</f>
        <v>0</v>
      </c>
      <c r="N477" s="76">
        <f>M477*Constantes!$D$51</f>
        <v>0</v>
      </c>
      <c r="O477" s="76">
        <f t="shared" si="23"/>
        <v>0</v>
      </c>
      <c r="P477" s="15"/>
      <c r="Q477" s="75">
        <v>471</v>
      </c>
      <c r="R477" s="76">
        <f>0.0526*Observaciones!$F476^2.218</f>
        <v>0</v>
      </c>
      <c r="S477" s="76">
        <f>IF(Observaciones!$F476&gt;0.05*$W$7,((Observaciones!$F476-0.05*$W$7)^2)/(Observaciones!$F476+0.95*$W$7),0)</f>
        <v>0</v>
      </c>
      <c r="T477" s="76">
        <f>0.0526*S477*Observaciones!$F476^1.218</f>
        <v>0</v>
      </c>
      <c r="U477" s="29"/>
      <c r="V477" s="29"/>
      <c r="W477" s="109"/>
      <c r="X477" s="40"/>
    </row>
    <row r="478" spans="2:24" s="2" customFormat="1">
      <c r="B478" s="39"/>
      <c r="C478" s="75">
        <v>472</v>
      </c>
      <c r="D478" s="146">
        <f>ETo!$I477*((1-Constantes!$D$19)*ETo!$K477+ETo!$L477)</f>
        <v>3.302541631076823</v>
      </c>
      <c r="E478" s="76">
        <f>MIN(D478*Constantes!$D$17,0.8*(H477+Observaciones!$F477-F478-G478-Constantes!$D$14))</f>
        <v>6.5508984953609687E-3</v>
      </c>
      <c r="F478" s="76">
        <f>IF(Observaciones!$F477&gt;0.05*Constantes!$D$18,((Observaciones!$F477-0.05*Constantes!$D$18)^2)/(Observaciones!$F477+0.95*Constantes!$D$18),0)</f>
        <v>0</v>
      </c>
      <c r="G478" s="76">
        <f>MAX(0,H477+Observaciones!$F477-F478-Constantes!$D$13)</f>
        <v>0</v>
      </c>
      <c r="H478" s="76">
        <f>H477+Observaciones!$F477-F478-E478-G478-I477</f>
        <v>11.251358790059349</v>
      </c>
      <c r="I478" s="76">
        <f>MAX(0,(H478-Constantes!$D$14)*(1-EXP(-Constantes!$D$22)))</f>
        <v>4.6285377641862255E-5</v>
      </c>
      <c r="J478" s="76">
        <f t="shared" si="21"/>
        <v>139.2399830540584</v>
      </c>
      <c r="K478" s="76">
        <f>MAX(0,(J478-Constantes!$D$13)*(1-EXP(-Constantes!$D$23)))</f>
        <v>0.89161935606640963</v>
      </c>
      <c r="L478" s="76">
        <f t="shared" si="22"/>
        <v>0.89166564144405147</v>
      </c>
      <c r="M478" s="76">
        <f>0.0526*F478*Observaciones!$F477^1.218</f>
        <v>0</v>
      </c>
      <c r="N478" s="76">
        <f>M478*Constantes!$D$51</f>
        <v>0</v>
      </c>
      <c r="O478" s="76">
        <f t="shared" si="23"/>
        <v>0</v>
      </c>
      <c r="P478" s="15"/>
      <c r="Q478" s="75">
        <v>472</v>
      </c>
      <c r="R478" s="76">
        <f>0.0526*Observaciones!$F477^2.218</f>
        <v>0</v>
      </c>
      <c r="S478" s="76">
        <f>IF(Observaciones!$F477&gt;0.05*$W$7,((Observaciones!$F477-0.05*$W$7)^2)/(Observaciones!$F477+0.95*$W$7),0)</f>
        <v>0</v>
      </c>
      <c r="T478" s="76">
        <f>0.0526*S478*Observaciones!$F477^1.218</f>
        <v>0</v>
      </c>
      <c r="U478" s="29"/>
      <c r="V478" s="29"/>
      <c r="W478" s="109"/>
      <c r="X478" s="40"/>
    </row>
    <row r="479" spans="2:24" s="2" customFormat="1">
      <c r="B479" s="39"/>
      <c r="C479" s="75">
        <v>473</v>
      </c>
      <c r="D479" s="146">
        <f>ETo!$I478*((1-Constantes!$D$19)*ETo!$K478+ETo!$L478)</f>
        <v>3.3540897417475404</v>
      </c>
      <c r="E479" s="76">
        <f>MIN(D479*Constantes!$D$17,0.8*(H478+Observaciones!$F478-F479-G479-Constantes!$D$14))</f>
        <v>0.5610870320474789</v>
      </c>
      <c r="F479" s="76">
        <f>IF(Observaciones!$F478&gt;0.05*Constantes!$D$18,((Observaciones!$F478-0.05*Constantes!$D$18)^2)/(Observaciones!$F478+0.95*Constantes!$D$18),0)</f>
        <v>0</v>
      </c>
      <c r="G479" s="76">
        <f>MAX(0,H478+Observaciones!$F478-F479-Constantes!$D$13)</f>
        <v>0</v>
      </c>
      <c r="H479" s="76">
        <f>H478+Observaciones!$F478-F479-E479-G479-I478</f>
        <v>11.390225472634228</v>
      </c>
      <c r="I479" s="76">
        <f>MAX(0,(H479-Constantes!$D$14)*(1-EXP(-Constantes!$D$22)))</f>
        <v>4.7765943761704007E-3</v>
      </c>
      <c r="J479" s="76">
        <f t="shared" si="21"/>
        <v>138.348363697992</v>
      </c>
      <c r="K479" s="76">
        <f>MAX(0,(J479-Constantes!$D$13)*(1-EXP(-Constantes!$D$23)))</f>
        <v>0.88283401818390228</v>
      </c>
      <c r="L479" s="76">
        <f t="shared" si="22"/>
        <v>0.88761061256007268</v>
      </c>
      <c r="M479" s="76">
        <f>0.0526*F479*Observaciones!$F478^1.218</f>
        <v>0</v>
      </c>
      <c r="N479" s="76">
        <f>M479*Constantes!$D$51</f>
        <v>0</v>
      </c>
      <c r="O479" s="76">
        <f t="shared" si="23"/>
        <v>0</v>
      </c>
      <c r="P479" s="15"/>
      <c r="Q479" s="75">
        <v>473</v>
      </c>
      <c r="R479" s="76">
        <f>0.0526*Observaciones!$F478^2.218</f>
        <v>2.3845871367955355E-2</v>
      </c>
      <c r="S479" s="76">
        <f>IF(Observaciones!$F478&gt;0.05*$W$7,((Observaciones!$F478-0.05*$W$7)^2)/(Observaciones!$F478+0.95*$W$7),0)</f>
        <v>0</v>
      </c>
      <c r="T479" s="76">
        <f>0.0526*S479*Observaciones!$F478^1.218</f>
        <v>0</v>
      </c>
      <c r="U479" s="29"/>
      <c r="V479" s="29"/>
      <c r="W479" s="109"/>
      <c r="X479" s="40"/>
    </row>
    <row r="480" spans="2:24" s="2" customFormat="1">
      <c r="B480" s="39"/>
      <c r="C480" s="75">
        <v>474</v>
      </c>
      <c r="D480" s="146">
        <f>ETo!$I479*((1-Constantes!$D$19)*ETo!$K479+ETo!$L479)</f>
        <v>3.3797491335333278</v>
      </c>
      <c r="E480" s="76">
        <f>MIN(D480*Constantes!$D$17,0.8*(H479+Observaciones!$F479-F480-G480-Constantes!$D$14))</f>
        <v>0.51218037810738226</v>
      </c>
      <c r="F480" s="76">
        <f>IF(Observaciones!$F479&gt;0.05*Constantes!$D$18,((Observaciones!$F479-0.05*Constantes!$D$18)^2)/(Observaciones!$F479+0.95*Constantes!$D$18),0)</f>
        <v>0</v>
      </c>
      <c r="G480" s="76">
        <f>MAX(0,H479+Observaciones!$F479-F480-Constantes!$D$13)</f>
        <v>0</v>
      </c>
      <c r="H480" s="76">
        <f>H479+Observaciones!$F479-F480-E480-G480-I479</f>
        <v>11.373268500150674</v>
      </c>
      <c r="I480" s="76">
        <f>MAX(0,(H480-Constantes!$D$14)*(1-EXP(-Constantes!$D$22)))</f>
        <v>4.1989776430601845E-3</v>
      </c>
      <c r="J480" s="76">
        <f t="shared" si="21"/>
        <v>137.4655296798081</v>
      </c>
      <c r="K480" s="76">
        <f>MAX(0,(J480-Constantes!$D$13)*(1-EXP(-Constantes!$D$23)))</f>
        <v>0.87413524432805556</v>
      </c>
      <c r="L480" s="76">
        <f t="shared" si="22"/>
        <v>0.87833422197111577</v>
      </c>
      <c r="M480" s="76">
        <f>0.0526*F480*Observaciones!$F479^1.218</f>
        <v>0</v>
      </c>
      <c r="N480" s="76">
        <f>M480*Constantes!$D$51</f>
        <v>0</v>
      </c>
      <c r="O480" s="76">
        <f t="shared" si="23"/>
        <v>0</v>
      </c>
      <c r="P480" s="15"/>
      <c r="Q480" s="75">
        <v>474</v>
      </c>
      <c r="R480" s="76">
        <f>0.0526*Observaciones!$F479^2.218</f>
        <v>1.1305797794095535E-2</v>
      </c>
      <c r="S480" s="76">
        <f>IF(Observaciones!$F479&gt;0.05*$W$7,((Observaciones!$F479-0.05*$W$7)^2)/(Observaciones!$F479+0.95*$W$7),0)</f>
        <v>0</v>
      </c>
      <c r="T480" s="76">
        <f>0.0526*S480*Observaciones!$F479^1.218</f>
        <v>0</v>
      </c>
      <c r="U480" s="29"/>
      <c r="V480" s="29"/>
      <c r="W480" s="109"/>
      <c r="X480" s="40"/>
    </row>
    <row r="481" spans="2:24" s="2" customFormat="1">
      <c r="B481" s="39"/>
      <c r="C481" s="75">
        <v>475</v>
      </c>
      <c r="D481" s="146">
        <f>ETo!$I480*((1-Constantes!$D$19)*ETo!$K480+ETo!$L480)</f>
        <v>3.4269863324572247</v>
      </c>
      <c r="E481" s="76">
        <f>MIN(D481*Constantes!$D$17,0.8*(H480+Observaciones!$F480-F481-G481-Constantes!$D$14))</f>
        <v>9.8614800120539317E-2</v>
      </c>
      <c r="F481" s="76">
        <f>IF(Observaciones!$F480&gt;0.05*Constantes!$D$18,((Observaciones!$F480-0.05*Constantes!$D$18)^2)/(Observaciones!$F480+0.95*Constantes!$D$18),0)</f>
        <v>0</v>
      </c>
      <c r="G481" s="76">
        <f>MAX(0,H480+Observaciones!$F480-F481-Constantes!$D$13)</f>
        <v>0</v>
      </c>
      <c r="H481" s="76">
        <f>H480+Observaciones!$F480-F481-E481-G481-I480</f>
        <v>11.270454722387074</v>
      </c>
      <c r="I481" s="76">
        <f>MAX(0,(H481-Constantes!$D$14)*(1-EXP(-Constantes!$D$22)))</f>
        <v>6.9676293532687516E-4</v>
      </c>
      <c r="J481" s="76">
        <f t="shared" si="21"/>
        <v>136.59139443548005</v>
      </c>
      <c r="K481" s="76">
        <f>MAX(0,(J481-Constantes!$D$13)*(1-EXP(-Constantes!$D$23)))</f>
        <v>0.86552218156289717</v>
      </c>
      <c r="L481" s="76">
        <f t="shared" si="22"/>
        <v>0.86621894449822401</v>
      </c>
      <c r="M481" s="76">
        <f>0.0526*F481*Observaciones!$F480^1.218</f>
        <v>0</v>
      </c>
      <c r="N481" s="76">
        <f>M481*Constantes!$D$51</f>
        <v>0</v>
      </c>
      <c r="O481" s="76">
        <f t="shared" si="23"/>
        <v>0</v>
      </c>
      <c r="P481" s="15"/>
      <c r="Q481" s="75">
        <v>475</v>
      </c>
      <c r="R481" s="76">
        <f>0.0526*Observaciones!$F480^2.218</f>
        <v>0</v>
      </c>
      <c r="S481" s="76">
        <f>IF(Observaciones!$F480&gt;0.05*$W$7,((Observaciones!$F480-0.05*$W$7)^2)/(Observaciones!$F480+0.95*$W$7),0)</f>
        <v>0</v>
      </c>
      <c r="T481" s="76">
        <f>0.0526*S481*Observaciones!$F480^1.218</f>
        <v>0</v>
      </c>
      <c r="U481" s="29"/>
      <c r="V481" s="29"/>
      <c r="W481" s="109"/>
      <c r="X481" s="40"/>
    </row>
    <row r="482" spans="2:24" s="2" customFormat="1">
      <c r="B482" s="39"/>
      <c r="C482" s="75">
        <v>476</v>
      </c>
      <c r="D482" s="146">
        <f>ETo!$I481*((1-Constantes!$D$19)*ETo!$K481+ETo!$L481)</f>
        <v>3.2604596598053459</v>
      </c>
      <c r="E482" s="76">
        <f>MIN(D482*Constantes!$D$17,0.8*(H481+Observaciones!$F481-F482-G482-Constantes!$D$14))</f>
        <v>1.6363777909658952E-2</v>
      </c>
      <c r="F482" s="76">
        <f>IF(Observaciones!$F481&gt;0.05*Constantes!$D$18,((Observaciones!$F481-0.05*Constantes!$D$18)^2)/(Observaciones!$F481+0.95*Constantes!$D$18),0)</f>
        <v>0</v>
      </c>
      <c r="G482" s="76">
        <f>MAX(0,H481+Observaciones!$F481-F482-Constantes!$D$13)</f>
        <v>0</v>
      </c>
      <c r="H482" s="76">
        <f>H481+Observaciones!$F481-F482-E482-G482-I481</f>
        <v>11.253394181542088</v>
      </c>
      <c r="I482" s="76">
        <f>MAX(0,(H482-Constantes!$D$14)*(1-EXP(-Constantes!$D$22)))</f>
        <v>1.1561828361905102E-4</v>
      </c>
      <c r="J482" s="76">
        <f t="shared" si="21"/>
        <v>135.72587225391715</v>
      </c>
      <c r="K482" s="76">
        <f>MAX(0,(J482-Constantes!$D$13)*(1-EXP(-Constantes!$D$23)))</f>
        <v>0.8569939853566354</v>
      </c>
      <c r="L482" s="76">
        <f t="shared" si="22"/>
        <v>0.85710960364025446</v>
      </c>
      <c r="M482" s="76">
        <f>0.0526*F482*Observaciones!$F481^1.218</f>
        <v>0</v>
      </c>
      <c r="N482" s="76">
        <f>M482*Constantes!$D$51</f>
        <v>0</v>
      </c>
      <c r="O482" s="76">
        <f t="shared" si="23"/>
        <v>0</v>
      </c>
      <c r="P482" s="15"/>
      <c r="Q482" s="75">
        <v>476</v>
      </c>
      <c r="R482" s="76">
        <f>0.0526*Observaciones!$F481^2.218</f>
        <v>0</v>
      </c>
      <c r="S482" s="76">
        <f>IF(Observaciones!$F481&gt;0.05*$W$7,((Observaciones!$F481-0.05*$W$7)^2)/(Observaciones!$F481+0.95*$W$7),0)</f>
        <v>0</v>
      </c>
      <c r="T482" s="76">
        <f>0.0526*S482*Observaciones!$F481^1.218</f>
        <v>0</v>
      </c>
      <c r="U482" s="29"/>
      <c r="V482" s="29"/>
      <c r="W482" s="109"/>
      <c r="X482" s="40"/>
    </row>
    <row r="483" spans="2:24" s="2" customFormat="1">
      <c r="B483" s="39"/>
      <c r="C483" s="75">
        <v>477</v>
      </c>
      <c r="D483" s="146">
        <f>ETo!$I482*((1-Constantes!$D$19)*ETo!$K482+ETo!$L482)</f>
        <v>3.1962204143830615</v>
      </c>
      <c r="E483" s="76">
        <f>MIN(D483*Constantes!$D$17,0.8*(H482+Observaciones!$F482-F483-G483-Constantes!$D$14))</f>
        <v>0.48271534523367027</v>
      </c>
      <c r="F483" s="76">
        <f>IF(Observaciones!$F482&gt;0.05*Constantes!$D$18,((Observaciones!$F482-0.05*Constantes!$D$18)^2)/(Observaciones!$F482+0.95*Constantes!$D$18),0)</f>
        <v>0</v>
      </c>
      <c r="G483" s="76">
        <f>MAX(0,H482+Observaciones!$F482-F483-Constantes!$D$13)</f>
        <v>0</v>
      </c>
      <c r="H483" s="76">
        <f>H482+Observaciones!$F482-F483-E483-G483-I482</f>
        <v>11.370563218024799</v>
      </c>
      <c r="I483" s="76">
        <f>MAX(0,(H483-Constantes!$D$14)*(1-EXP(-Constantes!$D$22)))</f>
        <v>4.1068258025588741E-3</v>
      </c>
      <c r="J483" s="76">
        <f t="shared" si="21"/>
        <v>134.86887826856051</v>
      </c>
      <c r="K483" s="76">
        <f>MAX(0,(J483-Constantes!$D$13)*(1-EXP(-Constantes!$D$23)))</f>
        <v>0.84854981949885211</v>
      </c>
      <c r="L483" s="76">
        <f t="shared" si="22"/>
        <v>0.85265664530141094</v>
      </c>
      <c r="M483" s="76">
        <f>0.0526*F483*Observaciones!$F482^1.218</f>
        <v>0</v>
      </c>
      <c r="N483" s="76">
        <f>M483*Constantes!$D$51</f>
        <v>0</v>
      </c>
      <c r="O483" s="76">
        <f t="shared" si="23"/>
        <v>0</v>
      </c>
      <c r="P483" s="15"/>
      <c r="Q483" s="75">
        <v>477</v>
      </c>
      <c r="R483" s="76">
        <f>0.0526*Observaciones!$F482^2.218</f>
        <v>1.6940460723560119E-2</v>
      </c>
      <c r="S483" s="76">
        <f>IF(Observaciones!$F482&gt;0.05*$W$7,((Observaciones!$F482-0.05*$W$7)^2)/(Observaciones!$F482+0.95*$W$7),0)</f>
        <v>0</v>
      </c>
      <c r="T483" s="76">
        <f>0.0526*S483*Observaciones!$F482^1.218</f>
        <v>0</v>
      </c>
      <c r="U483" s="29"/>
      <c r="V483" s="29"/>
      <c r="W483" s="109"/>
      <c r="X483" s="40"/>
    </row>
    <row r="484" spans="2:24" s="2" customFormat="1">
      <c r="B484" s="39"/>
      <c r="C484" s="75">
        <v>478</v>
      </c>
      <c r="D484" s="146">
        <f>ETo!$I483*((1-Constantes!$D$19)*ETo!$K483+ETo!$L483)</f>
        <v>3.1114051266028322</v>
      </c>
      <c r="E484" s="76">
        <f>MIN(D484*Constantes!$D$17,0.8*(H483+Observaciones!$F483-F484-G484-Constantes!$D$14))</f>
        <v>9.6450574419839091E-2</v>
      </c>
      <c r="F484" s="76">
        <f>IF(Observaciones!$F483&gt;0.05*Constantes!$D$18,((Observaciones!$F483-0.05*Constantes!$D$18)^2)/(Observaciones!$F483+0.95*Constantes!$D$18),0)</f>
        <v>0</v>
      </c>
      <c r="G484" s="76">
        <f>MAX(0,H483+Observaciones!$F483-F484-Constantes!$D$13)</f>
        <v>0</v>
      </c>
      <c r="H484" s="76">
        <f>H483+Observaciones!$F483-F484-E484-G484-I483</f>
        <v>11.270005817802401</v>
      </c>
      <c r="I484" s="76">
        <f>MAX(0,(H484-Constantes!$D$14)*(1-EXP(-Constantes!$D$22)))</f>
        <v>6.8147159721046208E-4</v>
      </c>
      <c r="J484" s="76">
        <f t="shared" si="21"/>
        <v>134.02032844906165</v>
      </c>
      <c r="K484" s="76">
        <f>MAX(0,(J484-Constantes!$D$13)*(1-EXP(-Constantes!$D$23)))</f>
        <v>0.84018885601850912</v>
      </c>
      <c r="L484" s="76">
        <f t="shared" si="22"/>
        <v>0.84087032761571956</v>
      </c>
      <c r="M484" s="76">
        <f>0.0526*F484*Observaciones!$F483^1.218</f>
        <v>0</v>
      </c>
      <c r="N484" s="76">
        <f>M484*Constantes!$D$51</f>
        <v>0</v>
      </c>
      <c r="O484" s="76">
        <f t="shared" si="23"/>
        <v>0</v>
      </c>
      <c r="P484" s="15"/>
      <c r="Q484" s="75">
        <v>478</v>
      </c>
      <c r="R484" s="76">
        <f>0.0526*Observaciones!$F483^2.218</f>
        <v>0</v>
      </c>
      <c r="S484" s="76">
        <f>IF(Observaciones!$F483&gt;0.05*$W$7,((Observaciones!$F483-0.05*$W$7)^2)/(Observaciones!$F483+0.95*$W$7),0)</f>
        <v>0</v>
      </c>
      <c r="T484" s="76">
        <f>0.0526*S484*Observaciones!$F483^1.218</f>
        <v>0</v>
      </c>
      <c r="U484" s="29"/>
      <c r="V484" s="29"/>
      <c r="W484" s="109"/>
      <c r="X484" s="40"/>
    </row>
    <row r="485" spans="2:24" s="2" customFormat="1">
      <c r="B485" s="39"/>
      <c r="C485" s="75">
        <v>479</v>
      </c>
      <c r="D485" s="146">
        <f>ETo!$I484*((1-Constantes!$D$19)*ETo!$K484+ETo!$L484)</f>
        <v>3.1679137514616551</v>
      </c>
      <c r="E485" s="76">
        <f>MIN(D485*Constantes!$D$17,0.8*(H484+Observaciones!$F484-F485-G485-Constantes!$D$14))</f>
        <v>1.6004654241920945E-2</v>
      </c>
      <c r="F485" s="76">
        <f>IF(Observaciones!$F484&gt;0.05*Constantes!$D$18,((Observaciones!$F484-0.05*Constantes!$D$18)^2)/(Observaciones!$F484+0.95*Constantes!$D$18),0)</f>
        <v>0</v>
      </c>
      <c r="G485" s="76">
        <f>MAX(0,H484+Observaciones!$F484-F485-Constantes!$D$13)</f>
        <v>0</v>
      </c>
      <c r="H485" s="76">
        <f>H484+Observaciones!$F484-F485-E485-G485-I484</f>
        <v>11.253319691963268</v>
      </c>
      <c r="I485" s="76">
        <f>MAX(0,(H485-Constantes!$D$14)*(1-EXP(-Constantes!$D$22)))</f>
        <v>1.1308089510760533E-4</v>
      </c>
      <c r="J485" s="76">
        <f t="shared" si="21"/>
        <v>133.18013959304315</v>
      </c>
      <c r="K485" s="76">
        <f>MAX(0,(J485-Constantes!$D$13)*(1-EXP(-Constantes!$D$23)))</f>
        <v>0.83191027510276438</v>
      </c>
      <c r="L485" s="76">
        <f t="shared" si="22"/>
        <v>0.83202335599787203</v>
      </c>
      <c r="M485" s="76">
        <f>0.0526*F485*Observaciones!$F484^1.218</f>
        <v>0</v>
      </c>
      <c r="N485" s="76">
        <f>M485*Constantes!$D$51</f>
        <v>0</v>
      </c>
      <c r="O485" s="76">
        <f t="shared" si="23"/>
        <v>0</v>
      </c>
      <c r="P485" s="15"/>
      <c r="Q485" s="75">
        <v>479</v>
      </c>
      <c r="R485" s="76">
        <f>0.0526*Observaciones!$F484^2.218</f>
        <v>0</v>
      </c>
      <c r="S485" s="76">
        <f>IF(Observaciones!$F484&gt;0.05*$W$7,((Observaciones!$F484-0.05*$W$7)^2)/(Observaciones!$F484+0.95*$W$7),0)</f>
        <v>0</v>
      </c>
      <c r="T485" s="76">
        <f>0.0526*S485*Observaciones!$F484^1.218</f>
        <v>0</v>
      </c>
      <c r="U485" s="29"/>
      <c r="V485" s="29"/>
      <c r="W485" s="109"/>
      <c r="X485" s="40"/>
    </row>
    <row r="486" spans="2:24" s="2" customFormat="1">
      <c r="B486" s="39"/>
      <c r="C486" s="75">
        <v>480</v>
      </c>
      <c r="D486" s="146">
        <f>ETo!$I485*((1-Constantes!$D$19)*ETo!$K485+ETo!$L485)</f>
        <v>3.1291827919107824</v>
      </c>
      <c r="E486" s="76">
        <f>MIN(D486*Constantes!$D$17,0.8*(H485+Observaciones!$F485-F486-G486-Constantes!$D$14))</f>
        <v>2.6557535706146496E-3</v>
      </c>
      <c r="F486" s="76">
        <f>IF(Observaciones!$F485&gt;0.05*Constantes!$D$18,((Observaciones!$F485-0.05*Constantes!$D$18)^2)/(Observaciones!$F485+0.95*Constantes!$D$18),0)</f>
        <v>0</v>
      </c>
      <c r="G486" s="76">
        <f>MAX(0,H485+Observaciones!$F485-F486-Constantes!$D$13)</f>
        <v>0</v>
      </c>
      <c r="H486" s="76">
        <f>H485+Observaciones!$F485-F486-E486-G486-I485</f>
        <v>11.250550857497545</v>
      </c>
      <c r="I486" s="76">
        <f>MAX(0,(H486-Constantes!$D$14)*(1-EXP(-Constantes!$D$22)))</f>
        <v>1.8764228605671392E-5</v>
      </c>
      <c r="J486" s="76">
        <f t="shared" si="21"/>
        <v>132.34822931794039</v>
      </c>
      <c r="K486" s="76">
        <f>MAX(0,(J486-Constantes!$D$13)*(1-EXP(-Constantes!$D$23)))</f>
        <v>0.82371326501658693</v>
      </c>
      <c r="L486" s="76">
        <f t="shared" si="22"/>
        <v>0.82373202924519262</v>
      </c>
      <c r="M486" s="76">
        <f>0.0526*F486*Observaciones!$F485^1.218</f>
        <v>0</v>
      </c>
      <c r="N486" s="76">
        <f>M486*Constantes!$D$51</f>
        <v>0</v>
      </c>
      <c r="O486" s="76">
        <f t="shared" si="23"/>
        <v>0</v>
      </c>
      <c r="P486" s="15"/>
      <c r="Q486" s="75">
        <v>480</v>
      </c>
      <c r="R486" s="76">
        <f>0.0526*Observaciones!$F485^2.218</f>
        <v>0</v>
      </c>
      <c r="S486" s="76">
        <f>IF(Observaciones!$F485&gt;0.05*$W$7,((Observaciones!$F485-0.05*$W$7)^2)/(Observaciones!$F485+0.95*$W$7),0)</f>
        <v>0</v>
      </c>
      <c r="T486" s="76">
        <f>0.0526*S486*Observaciones!$F485^1.218</f>
        <v>0</v>
      </c>
      <c r="U486" s="29"/>
      <c r="V486" s="29"/>
      <c r="W486" s="109"/>
      <c r="X486" s="40"/>
    </row>
    <row r="487" spans="2:24" s="2" customFormat="1">
      <c r="B487" s="39"/>
      <c r="C487" s="75">
        <v>481</v>
      </c>
      <c r="D487" s="146">
        <f>ETo!$I486*((1-Constantes!$D$19)*ETo!$K486+ETo!$L486)</f>
        <v>3.1325432531927802</v>
      </c>
      <c r="E487" s="76">
        <f>MIN(D487*Constantes!$D$17,0.8*(H486+Observaciones!$F486-F487-G487-Constantes!$D$14))</f>
        <v>1.597233533358253</v>
      </c>
      <c r="F487" s="76">
        <f>IF(Observaciones!$F486&gt;0.05*Constantes!$D$18,((Observaciones!$F486-0.05*Constantes!$D$18)^2)/(Observaciones!$F486+0.95*Constantes!$D$18),0)</f>
        <v>0.95913437748632913</v>
      </c>
      <c r="G487" s="76">
        <f>MAX(0,H486+Observaciones!$F486-F487-Constantes!$D$13)</f>
        <v>0</v>
      </c>
      <c r="H487" s="76">
        <f>H486+Observaciones!$F486-F487-E487-G487-I486</f>
        <v>21.194164182424355</v>
      </c>
      <c r="I487" s="76">
        <f>MAX(0,(H487-Constantes!$D$14)*(1-EXP(-Constantes!$D$22)))</f>
        <v>0.33873473782743491</v>
      </c>
      <c r="J487" s="76">
        <f t="shared" si="21"/>
        <v>131.52451605292381</v>
      </c>
      <c r="K487" s="76">
        <f>MAX(0,(J487-Constantes!$D$13)*(1-EXP(-Constantes!$D$23)))</f>
        <v>0.8155970220231642</v>
      </c>
      <c r="L487" s="76">
        <f t="shared" si="22"/>
        <v>2.1134661373369283</v>
      </c>
      <c r="M487" s="76">
        <f>0.0526*F487*Observaciones!$F486^1.218</f>
        <v>1.093708525166837</v>
      </c>
      <c r="N487" s="76">
        <f>M487*Constantes!$D$51</f>
        <v>1.5377428642051225E-2</v>
      </c>
      <c r="O487" s="76">
        <f t="shared" si="23"/>
        <v>727.59285660604644</v>
      </c>
      <c r="P487" s="15"/>
      <c r="Q487" s="75">
        <v>481</v>
      </c>
      <c r="R487" s="76">
        <f>0.0526*Observaciones!$F486^2.218</f>
        <v>14.253848976214318</v>
      </c>
      <c r="S487" s="76">
        <f>IF(Observaciones!$F486&gt;0.05*$W$7,((Observaciones!$F486-0.05*$W$7)^2)/(Observaciones!$F486+0.95*$W$7),0)</f>
        <v>2.5537914433149203</v>
      </c>
      <c r="T487" s="76">
        <f>0.0526*S487*Observaciones!$F486^1.218</f>
        <v>2.9121086039807391</v>
      </c>
      <c r="U487" s="29"/>
      <c r="V487" s="29"/>
      <c r="W487" s="109"/>
      <c r="X487" s="40"/>
    </row>
    <row r="488" spans="2:24" s="2" customFormat="1">
      <c r="B488" s="39"/>
      <c r="C488" s="75">
        <v>482</v>
      </c>
      <c r="D488" s="146">
        <f>ETo!$I487*((1-Constantes!$D$19)*ETo!$K487+ETo!$L487)</f>
        <v>3.2687907625330737</v>
      </c>
      <c r="E488" s="76">
        <f>MIN(D488*Constantes!$D$17,0.8*(H487+Observaciones!$F487-F488-G488-Constantes!$D$14))</f>
        <v>1.6667039518538491</v>
      </c>
      <c r="F488" s="76">
        <f>IF(Observaciones!$F487&gt;0.05*Constantes!$D$18,((Observaciones!$F487-0.05*Constantes!$D$18)^2)/(Observaciones!$F487+0.95*Constantes!$D$18),0)</f>
        <v>0</v>
      </c>
      <c r="G488" s="76">
        <f>MAX(0,H487+Observaciones!$F487-F488-Constantes!$D$13)</f>
        <v>0</v>
      </c>
      <c r="H488" s="76">
        <f>H487+Observaciones!$F487-F488-E488-G488-I487</f>
        <v>19.188725492743071</v>
      </c>
      <c r="I488" s="76">
        <f>MAX(0,(H488-Constantes!$D$14)*(1-EXP(-Constantes!$D$22)))</f>
        <v>0.27042213394074299</v>
      </c>
      <c r="J488" s="76">
        <f t="shared" si="21"/>
        <v>130.70891903090066</v>
      </c>
      <c r="K488" s="76">
        <f>MAX(0,(J488-Constantes!$D$13)*(1-EXP(-Constantes!$D$23)))</f>
        <v>0.80756075030509411</v>
      </c>
      <c r="L488" s="76">
        <f t="shared" si="22"/>
        <v>1.077982884245837</v>
      </c>
      <c r="M488" s="76">
        <f>0.0526*F488*Observaciones!$F487^1.218</f>
        <v>0</v>
      </c>
      <c r="N488" s="76">
        <f>M488*Constantes!$D$51</f>
        <v>0</v>
      </c>
      <c r="O488" s="76">
        <f t="shared" si="23"/>
        <v>0</v>
      </c>
      <c r="P488" s="15"/>
      <c r="Q488" s="75">
        <v>482</v>
      </c>
      <c r="R488" s="76">
        <f>0.0526*Observaciones!$F487^2.218</f>
        <v>0</v>
      </c>
      <c r="S488" s="76">
        <f>IF(Observaciones!$F487&gt;0.05*$W$7,((Observaciones!$F487-0.05*$W$7)^2)/(Observaciones!$F487+0.95*$W$7),0)</f>
        <v>0</v>
      </c>
      <c r="T488" s="76">
        <f>0.0526*S488*Observaciones!$F487^1.218</f>
        <v>0</v>
      </c>
      <c r="U488" s="29"/>
      <c r="V488" s="29"/>
      <c r="W488" s="109"/>
      <c r="X488" s="40"/>
    </row>
    <row r="489" spans="2:24" s="2" customFormat="1">
      <c r="B489" s="39"/>
      <c r="C489" s="75">
        <v>483</v>
      </c>
      <c r="D489" s="146">
        <f>ETo!$I488*((1-Constantes!$D$19)*ETo!$K488+ETo!$L488)</f>
        <v>3.1180707880223033</v>
      </c>
      <c r="E489" s="76">
        <f>MIN(D489*Constantes!$D$17,0.8*(H488+Observaciones!$F488-F489-G489-Constantes!$D$14))</f>
        <v>1.5898542556237525</v>
      </c>
      <c r="F489" s="76">
        <f>IF(Observaciones!$F488&gt;0.05*Constantes!$D$18,((Observaciones!$F488-0.05*Constantes!$D$18)^2)/(Observaciones!$F488+0.95*Constantes!$D$18),0)</f>
        <v>0</v>
      </c>
      <c r="G489" s="76">
        <f>MAX(0,H488+Observaciones!$F488-F489-Constantes!$D$13)</f>
        <v>0</v>
      </c>
      <c r="H489" s="76">
        <f>H488+Observaciones!$F488-F489-E489-G489-I488</f>
        <v>17.328449103178574</v>
      </c>
      <c r="I489" s="76">
        <f>MAX(0,(H489-Constantes!$D$14)*(1-EXP(-Constantes!$D$22)))</f>
        <v>0.20705429089774219</v>
      </c>
      <c r="J489" s="76">
        <f t="shared" si="21"/>
        <v>129.90135828059556</v>
      </c>
      <c r="K489" s="76">
        <f>MAX(0,(J489-Constantes!$D$13)*(1-EXP(-Constantes!$D$23)))</f>
        <v>0.7996036618863529</v>
      </c>
      <c r="L489" s="76">
        <f t="shared" si="22"/>
        <v>1.0066579527840951</v>
      </c>
      <c r="M489" s="76">
        <f>0.0526*F489*Observaciones!$F488^1.218</f>
        <v>0</v>
      </c>
      <c r="N489" s="76">
        <f>M489*Constantes!$D$51</f>
        <v>0</v>
      </c>
      <c r="O489" s="76">
        <f t="shared" si="23"/>
        <v>0</v>
      </c>
      <c r="P489" s="15"/>
      <c r="Q489" s="75">
        <v>483</v>
      </c>
      <c r="R489" s="76">
        <f>0.0526*Observaciones!$F488^2.218</f>
        <v>0</v>
      </c>
      <c r="S489" s="76">
        <f>IF(Observaciones!$F488&gt;0.05*$W$7,((Observaciones!$F488-0.05*$W$7)^2)/(Observaciones!$F488+0.95*$W$7),0)</f>
        <v>0</v>
      </c>
      <c r="T489" s="76">
        <f>0.0526*S489*Observaciones!$F488^1.218</f>
        <v>0</v>
      </c>
      <c r="U489" s="29"/>
      <c r="V489" s="29"/>
      <c r="W489" s="109"/>
      <c r="X489" s="40"/>
    </row>
    <row r="490" spans="2:24" s="2" customFormat="1">
      <c r="B490" s="39"/>
      <c r="C490" s="75">
        <v>484</v>
      </c>
      <c r="D490" s="146">
        <f>ETo!$I489*((1-Constantes!$D$19)*ETo!$K489+ETo!$L489)</f>
        <v>3.2147489884553475</v>
      </c>
      <c r="E490" s="76">
        <f>MIN(D490*Constantes!$D$17,0.8*(H489+Observaciones!$F489-F490-G490-Constantes!$D$14))</f>
        <v>1.6391489185207457</v>
      </c>
      <c r="F490" s="76">
        <f>IF(Observaciones!$F489&gt;0.05*Constantes!$D$18,((Observaciones!$F489-0.05*Constantes!$D$18)^2)/(Observaciones!$F489+0.95*Constantes!$D$18),0)</f>
        <v>0</v>
      </c>
      <c r="G490" s="76">
        <f>MAX(0,H489+Observaciones!$F489-F490-Constantes!$D$13)</f>
        <v>0</v>
      </c>
      <c r="H490" s="76">
        <f>H489+Observaciones!$F489-F490-E490-G490-I489</f>
        <v>15.482245893760085</v>
      </c>
      <c r="I490" s="76">
        <f>MAX(0,(H490-Constantes!$D$14)*(1-EXP(-Constantes!$D$22)))</f>
        <v>0.1441658320342164</v>
      </c>
      <c r="J490" s="76">
        <f t="shared" si="21"/>
        <v>129.10175461870921</v>
      </c>
      <c r="K490" s="76">
        <f>MAX(0,(J490-Constantes!$D$13)*(1-EXP(-Constantes!$D$23)))</f>
        <v>0.79172497655503238</v>
      </c>
      <c r="L490" s="76">
        <f t="shared" si="22"/>
        <v>0.93589080858924878</v>
      </c>
      <c r="M490" s="76">
        <f>0.0526*F490*Observaciones!$F489^1.218</f>
        <v>0</v>
      </c>
      <c r="N490" s="76">
        <f>M490*Constantes!$D$51</f>
        <v>0</v>
      </c>
      <c r="O490" s="76">
        <f t="shared" si="23"/>
        <v>0</v>
      </c>
      <c r="P490" s="15"/>
      <c r="Q490" s="75">
        <v>484</v>
      </c>
      <c r="R490" s="76">
        <f>0.0526*Observaciones!$F489^2.218</f>
        <v>0</v>
      </c>
      <c r="S490" s="76">
        <f>IF(Observaciones!$F489&gt;0.05*$W$7,((Observaciones!$F489-0.05*$W$7)^2)/(Observaciones!$F489+0.95*$W$7),0)</f>
        <v>0</v>
      </c>
      <c r="T490" s="76">
        <f>0.0526*S490*Observaciones!$F489^1.218</f>
        <v>0</v>
      </c>
      <c r="U490" s="29"/>
      <c r="V490" s="29"/>
      <c r="W490" s="109"/>
      <c r="X490" s="40"/>
    </row>
    <row r="491" spans="2:24" s="2" customFormat="1">
      <c r="B491" s="39"/>
      <c r="C491" s="75">
        <v>485</v>
      </c>
      <c r="D491" s="146">
        <f>ETo!$I490*((1-Constantes!$D$19)*ETo!$K490+ETo!$L490)</f>
        <v>3.1103273303826344</v>
      </c>
      <c r="E491" s="76">
        <f>MIN(D491*Constantes!$D$17,0.8*(H490+Observaciones!$F490-F491-G491-Constantes!$D$14))</f>
        <v>1.5859059908412592</v>
      </c>
      <c r="F491" s="76">
        <f>IF(Observaciones!$F490&gt;0.05*Constantes!$D$18,((Observaciones!$F490-0.05*Constantes!$D$18)^2)/(Observaciones!$F490+0.95*Constantes!$D$18),0)</f>
        <v>0</v>
      </c>
      <c r="G491" s="76">
        <f>MAX(0,H490+Observaciones!$F490-F491-Constantes!$D$13)</f>
        <v>0</v>
      </c>
      <c r="H491" s="76">
        <f>H490+Observaciones!$F490-F491-E491-G491-I490</f>
        <v>13.752174070884609</v>
      </c>
      <c r="I491" s="76">
        <f>MAX(0,(H491-Constantes!$D$14)*(1-EXP(-Constantes!$D$22)))</f>
        <v>8.5233234523393375E-2</v>
      </c>
      <c r="J491" s="76">
        <f t="shared" si="21"/>
        <v>128.31002964215418</v>
      </c>
      <c r="K491" s="76">
        <f>MAX(0,(J491-Constantes!$D$13)*(1-EXP(-Constantes!$D$23)))</f>
        <v>0.78392392178683801</v>
      </c>
      <c r="L491" s="76">
        <f t="shared" si="22"/>
        <v>0.86915715631023138</v>
      </c>
      <c r="M491" s="76">
        <f>0.0526*F491*Observaciones!$F490^1.218</f>
        <v>0</v>
      </c>
      <c r="N491" s="76">
        <f>M491*Constantes!$D$51</f>
        <v>0</v>
      </c>
      <c r="O491" s="76">
        <f t="shared" si="23"/>
        <v>0</v>
      </c>
      <c r="P491" s="15"/>
      <c r="Q491" s="75">
        <v>485</v>
      </c>
      <c r="R491" s="76">
        <f>0.0526*Observaciones!$F490^2.218</f>
        <v>0</v>
      </c>
      <c r="S491" s="76">
        <f>IF(Observaciones!$F490&gt;0.05*$W$7,((Observaciones!$F490-0.05*$W$7)^2)/(Observaciones!$F490+0.95*$W$7),0)</f>
        <v>0</v>
      </c>
      <c r="T491" s="76">
        <f>0.0526*S491*Observaciones!$F490^1.218</f>
        <v>0</v>
      </c>
      <c r="U491" s="29"/>
      <c r="V491" s="29"/>
      <c r="W491" s="109"/>
      <c r="X491" s="40"/>
    </row>
    <row r="492" spans="2:24" s="2" customFormat="1">
      <c r="B492" s="39"/>
      <c r="C492" s="75">
        <v>486</v>
      </c>
      <c r="D492" s="146">
        <f>ETo!$I491*((1-Constantes!$D$19)*ETo!$K491+ETo!$L491)</f>
        <v>3.0892849943198661</v>
      </c>
      <c r="E492" s="76">
        <f>MIN(D492*Constantes!$D$17,0.8*(H491+Observaciones!$F491-F492-G492-Constantes!$D$14))</f>
        <v>1.5751768413728866</v>
      </c>
      <c r="F492" s="76">
        <f>IF(Observaciones!$F491&gt;0.05*Constantes!$D$18,((Observaciones!$F491-0.05*Constantes!$D$18)^2)/(Observaciones!$F491+0.95*Constantes!$D$18),0)</f>
        <v>0</v>
      </c>
      <c r="G492" s="76">
        <f>MAX(0,H491+Observaciones!$F491-F492-Constantes!$D$13)</f>
        <v>0</v>
      </c>
      <c r="H492" s="76">
        <f>H491+Observaciones!$F491-F492-E492-G492-I491</f>
        <v>12.091763994988328</v>
      </c>
      <c r="I492" s="76">
        <f>MAX(0,(H492-Constantes!$D$14)*(1-EXP(-Constantes!$D$22)))</f>
        <v>2.8673571848190336E-2</v>
      </c>
      <c r="J492" s="76">
        <f t="shared" si="21"/>
        <v>127.52610572036734</v>
      </c>
      <c r="K492" s="76">
        <f>MAX(0,(J492-Constantes!$D$13)*(1-EXP(-Constantes!$D$23)))</f>
        <v>0.77619973266934117</v>
      </c>
      <c r="L492" s="76">
        <f t="shared" si="22"/>
        <v>0.80487330451753147</v>
      </c>
      <c r="M492" s="76">
        <f>0.0526*F492*Observaciones!$F491^1.218</f>
        <v>0</v>
      </c>
      <c r="N492" s="76">
        <f>M492*Constantes!$D$51</f>
        <v>0</v>
      </c>
      <c r="O492" s="76">
        <f t="shared" si="23"/>
        <v>0</v>
      </c>
      <c r="P492" s="15"/>
      <c r="Q492" s="75">
        <v>486</v>
      </c>
      <c r="R492" s="76">
        <f>0.0526*Observaciones!$F491^2.218</f>
        <v>0</v>
      </c>
      <c r="S492" s="76">
        <f>IF(Observaciones!$F491&gt;0.05*$W$7,((Observaciones!$F491-0.05*$W$7)^2)/(Observaciones!$F491+0.95*$W$7),0)</f>
        <v>0</v>
      </c>
      <c r="T492" s="76">
        <f>0.0526*S492*Observaciones!$F491^1.218</f>
        <v>0</v>
      </c>
      <c r="U492" s="29"/>
      <c r="V492" s="29"/>
      <c r="W492" s="109"/>
      <c r="X492" s="40"/>
    </row>
    <row r="493" spans="2:24" s="2" customFormat="1">
      <c r="B493" s="39"/>
      <c r="C493" s="75">
        <v>487</v>
      </c>
      <c r="D493" s="146">
        <f>ETo!$I492*((1-Constantes!$D$19)*ETo!$K492+ETo!$L492)</f>
        <v>3.1126859866813659</v>
      </c>
      <c r="E493" s="76">
        <f>MIN(D493*Constantes!$D$17,0.8*(H492+Observaciones!$F492-F493-G493-Constantes!$D$14))</f>
        <v>0.67341119599066279</v>
      </c>
      <c r="F493" s="76">
        <f>IF(Observaciones!$F492&gt;0.05*Constantes!$D$18,((Observaciones!$F492-0.05*Constantes!$D$18)^2)/(Observaciones!$F492+0.95*Constantes!$D$18),0)</f>
        <v>0</v>
      </c>
      <c r="G493" s="76">
        <f>MAX(0,H492+Observaciones!$F492-F493-Constantes!$D$13)</f>
        <v>0</v>
      </c>
      <c r="H493" s="76">
        <f>H492+Observaciones!$F492-F493-E493-G493-I492</f>
        <v>11.389679227149475</v>
      </c>
      <c r="I493" s="76">
        <f>MAX(0,(H493-Constantes!$D$14)*(1-EXP(-Constantes!$D$22)))</f>
        <v>4.7579872496515043E-3</v>
      </c>
      <c r="J493" s="76">
        <f t="shared" si="21"/>
        <v>126.749905987698</v>
      </c>
      <c r="K493" s="76">
        <f>MAX(0,(J493-Constantes!$D$13)*(1-EXP(-Constantes!$D$23)))</f>
        <v>0.76855165182697749</v>
      </c>
      <c r="L493" s="76">
        <f t="shared" si="22"/>
        <v>0.77330963907662897</v>
      </c>
      <c r="M493" s="76">
        <f>0.0526*F493*Observaciones!$F492^1.218</f>
        <v>0</v>
      </c>
      <c r="N493" s="76">
        <f>M493*Constantes!$D$51</f>
        <v>0</v>
      </c>
      <c r="O493" s="76">
        <f t="shared" si="23"/>
        <v>0</v>
      </c>
      <c r="P493" s="15"/>
      <c r="Q493" s="75">
        <v>487</v>
      </c>
      <c r="R493" s="76">
        <f>0.0526*Observaciones!$F492^2.218</f>
        <v>0</v>
      </c>
      <c r="S493" s="76">
        <f>IF(Observaciones!$F492&gt;0.05*$W$7,((Observaciones!$F492-0.05*$W$7)^2)/(Observaciones!$F492+0.95*$W$7),0)</f>
        <v>0</v>
      </c>
      <c r="T493" s="76">
        <f>0.0526*S493*Observaciones!$F492^1.218</f>
        <v>0</v>
      </c>
      <c r="U493" s="29"/>
      <c r="V493" s="29"/>
      <c r="W493" s="109"/>
      <c r="X493" s="40"/>
    </row>
    <row r="494" spans="2:24" s="2" customFormat="1">
      <c r="B494" s="39"/>
      <c r="C494" s="75">
        <v>488</v>
      </c>
      <c r="D494" s="146">
        <f>ETo!$I493*((1-Constantes!$D$19)*ETo!$K493+ETo!$L493)</f>
        <v>3.1018807540681599</v>
      </c>
      <c r="E494" s="76">
        <f>MIN(D494*Constantes!$D$17,0.8*(H493+Observaciones!$F493-F494-G494-Constantes!$D$14))</f>
        <v>0.11174338171958027</v>
      </c>
      <c r="F494" s="76">
        <f>IF(Observaciones!$F493&gt;0.05*Constantes!$D$18,((Observaciones!$F493-0.05*Constantes!$D$18)^2)/(Observaciones!$F493+0.95*Constantes!$D$18),0)</f>
        <v>0</v>
      </c>
      <c r="G494" s="76">
        <f>MAX(0,H493+Observaciones!$F493-F494-Constantes!$D$13)</f>
        <v>0</v>
      </c>
      <c r="H494" s="76">
        <f>H493+Observaciones!$F493-F494-E494-G494-I493</f>
        <v>11.273177858180242</v>
      </c>
      <c r="I494" s="76">
        <f>MAX(0,(H494-Constantes!$D$14)*(1-EXP(-Constantes!$D$22)))</f>
        <v>7.8952293727833965E-4</v>
      </c>
      <c r="J494" s="76">
        <f t="shared" si="21"/>
        <v>125.98135433587102</v>
      </c>
      <c r="K494" s="76">
        <f>MAX(0,(J494-Constantes!$D$13)*(1-EXP(-Constantes!$D$23)))</f>
        <v>0.76097892934678446</v>
      </c>
      <c r="L494" s="76">
        <f t="shared" si="22"/>
        <v>0.76176845228406276</v>
      </c>
      <c r="M494" s="76">
        <f>0.0526*F494*Observaciones!$F493^1.218</f>
        <v>0</v>
      </c>
      <c r="N494" s="76">
        <f>M494*Constantes!$D$51</f>
        <v>0</v>
      </c>
      <c r="O494" s="76">
        <f t="shared" si="23"/>
        <v>0</v>
      </c>
      <c r="P494" s="15"/>
      <c r="Q494" s="75">
        <v>488</v>
      </c>
      <c r="R494" s="76">
        <f>0.0526*Observaciones!$F493^2.218</f>
        <v>0</v>
      </c>
      <c r="S494" s="76">
        <f>IF(Observaciones!$F493&gt;0.05*$W$7,((Observaciones!$F493-0.05*$W$7)^2)/(Observaciones!$F493+0.95*$W$7),0)</f>
        <v>0</v>
      </c>
      <c r="T494" s="76">
        <f>0.0526*S494*Observaciones!$F493^1.218</f>
        <v>0</v>
      </c>
      <c r="U494" s="29"/>
      <c r="V494" s="29"/>
      <c r="W494" s="109"/>
      <c r="X494" s="40"/>
    </row>
    <row r="495" spans="2:24" s="2" customFormat="1">
      <c r="B495" s="39"/>
      <c r="C495" s="75">
        <v>489</v>
      </c>
      <c r="D495" s="146">
        <f>ETo!$I494*((1-Constantes!$D$19)*ETo!$K494+ETo!$L494)</f>
        <v>2.9933666659219713</v>
      </c>
      <c r="E495" s="76">
        <f>MIN(D495*Constantes!$D$17,0.8*(H494+Observaciones!$F494-F495-G495-Constantes!$D$14))</f>
        <v>1.8542286544193588E-2</v>
      </c>
      <c r="F495" s="76">
        <f>IF(Observaciones!$F494&gt;0.05*Constantes!$D$18,((Observaciones!$F494-0.05*Constantes!$D$18)^2)/(Observaciones!$F494+0.95*Constantes!$D$18),0)</f>
        <v>0</v>
      </c>
      <c r="G495" s="76">
        <f>MAX(0,H494+Observaciones!$F494-F495-Constantes!$D$13)</f>
        <v>0</v>
      </c>
      <c r="H495" s="76">
        <f>H494+Observaciones!$F494-F495-E495-G495-I494</f>
        <v>11.253846048698771</v>
      </c>
      <c r="I495" s="76">
        <f>MAX(0,(H495-Constantes!$D$14)*(1-EXP(-Constantes!$D$22)))</f>
        <v>1.3101053781394689E-4</v>
      </c>
      <c r="J495" s="76">
        <f t="shared" si="21"/>
        <v>125.22037540652423</v>
      </c>
      <c r="K495" s="76">
        <f>MAX(0,(J495-Constantes!$D$13)*(1-EXP(-Constantes!$D$23)))</f>
        <v>0.75348082270487082</v>
      </c>
      <c r="L495" s="76">
        <f t="shared" si="22"/>
        <v>0.75361183324268477</v>
      </c>
      <c r="M495" s="76">
        <f>0.0526*F495*Observaciones!$F494^1.218</f>
        <v>0</v>
      </c>
      <c r="N495" s="76">
        <f>M495*Constantes!$D$51</f>
        <v>0</v>
      </c>
      <c r="O495" s="76">
        <f t="shared" si="23"/>
        <v>0</v>
      </c>
      <c r="P495" s="15"/>
      <c r="Q495" s="75">
        <v>489</v>
      </c>
      <c r="R495" s="76">
        <f>0.0526*Observaciones!$F494^2.218</f>
        <v>0</v>
      </c>
      <c r="S495" s="76">
        <f>IF(Observaciones!$F494&gt;0.05*$W$7,((Observaciones!$F494-0.05*$W$7)^2)/(Observaciones!$F494+0.95*$W$7),0)</f>
        <v>0</v>
      </c>
      <c r="T495" s="76">
        <f>0.0526*S495*Observaciones!$F494^1.218</f>
        <v>0</v>
      </c>
      <c r="U495" s="29"/>
      <c r="V495" s="29"/>
      <c r="W495" s="109"/>
      <c r="X495" s="40"/>
    </row>
    <row r="496" spans="2:24" s="2" customFormat="1">
      <c r="B496" s="39"/>
      <c r="C496" s="75">
        <v>490</v>
      </c>
      <c r="D496" s="146">
        <f>ETo!$I495*((1-Constantes!$D$19)*ETo!$K495+ETo!$L495)</f>
        <v>3.0131913904867651</v>
      </c>
      <c r="E496" s="76">
        <f>MIN(D496*Constantes!$D$17,0.8*(H495+Observaciones!$F495-F496-G496-Constantes!$D$14))</f>
        <v>3.0768389590164705E-3</v>
      </c>
      <c r="F496" s="76">
        <f>IF(Observaciones!$F495&gt;0.05*Constantes!$D$18,((Observaciones!$F495-0.05*Constantes!$D$18)^2)/(Observaciones!$F495+0.95*Constantes!$D$18),0)</f>
        <v>0</v>
      </c>
      <c r="G496" s="76">
        <f>MAX(0,H495+Observaciones!$F495-F496-Constantes!$D$13)</f>
        <v>0</v>
      </c>
      <c r="H496" s="76">
        <f>H495+Observaciones!$F495-F496-E496-G496-I495</f>
        <v>11.250638199201941</v>
      </c>
      <c r="I496" s="76">
        <f>MAX(0,(H496-Constantes!$D$14)*(1-EXP(-Constantes!$D$22)))</f>
        <v>2.1739407695331894E-5</v>
      </c>
      <c r="J496" s="76">
        <f t="shared" si="21"/>
        <v>124.46689458381935</v>
      </c>
      <c r="K496" s="76">
        <f>MAX(0,(J496-Constantes!$D$13)*(1-EXP(-Constantes!$D$23)))</f>
        <v>0.7460565966936098</v>
      </c>
      <c r="L496" s="76">
        <f t="shared" si="22"/>
        <v>0.74607833610130514</v>
      </c>
      <c r="M496" s="76">
        <f>0.0526*F496*Observaciones!$F495^1.218</f>
        <v>0</v>
      </c>
      <c r="N496" s="76">
        <f>M496*Constantes!$D$51</f>
        <v>0</v>
      </c>
      <c r="O496" s="76">
        <f t="shared" si="23"/>
        <v>0</v>
      </c>
      <c r="P496" s="15"/>
      <c r="Q496" s="75">
        <v>490</v>
      </c>
      <c r="R496" s="76">
        <f>0.0526*Observaciones!$F495^2.218</f>
        <v>0</v>
      </c>
      <c r="S496" s="76">
        <f>IF(Observaciones!$F495&gt;0.05*$W$7,((Observaciones!$F495-0.05*$W$7)^2)/(Observaciones!$F495+0.95*$W$7),0)</f>
        <v>0</v>
      </c>
      <c r="T496" s="76">
        <f>0.0526*S496*Observaciones!$F495^1.218</f>
        <v>0</v>
      </c>
      <c r="U496" s="29"/>
      <c r="V496" s="29"/>
      <c r="W496" s="109"/>
      <c r="X496" s="40"/>
    </row>
    <row r="497" spans="2:24" s="2" customFormat="1">
      <c r="B497" s="39"/>
      <c r="C497" s="75">
        <v>491</v>
      </c>
      <c r="D497" s="146">
        <f>ETo!$I496*((1-Constantes!$D$19)*ETo!$K496+ETo!$L496)</f>
        <v>2.9099125135250934</v>
      </c>
      <c r="E497" s="76">
        <f>MIN(D497*Constantes!$D$17,0.8*(H496+Observaciones!$F496-F497-G497-Constantes!$D$14))</f>
        <v>5.1055936155250945E-4</v>
      </c>
      <c r="F497" s="76">
        <f>IF(Observaciones!$F496&gt;0.05*Constantes!$D$18,((Observaciones!$F496-0.05*Constantes!$D$18)^2)/(Observaciones!$F496+0.95*Constantes!$D$18),0)</f>
        <v>0</v>
      </c>
      <c r="G497" s="76">
        <f>MAX(0,H496+Observaciones!$F496-F497-Constantes!$D$13)</f>
        <v>0</v>
      </c>
      <c r="H497" s="76">
        <f>H496+Observaciones!$F496-F497-E497-G497-I496</f>
        <v>11.250105900432693</v>
      </c>
      <c r="I497" s="76">
        <f>MAX(0,(H497-Constantes!$D$14)*(1-EXP(-Constantes!$D$22)))</f>
        <v>3.6073575059817026E-6</v>
      </c>
      <c r="J497" s="76">
        <f t="shared" si="21"/>
        <v>123.72083798712575</v>
      </c>
      <c r="K497" s="76">
        <f>MAX(0,(J497-Constantes!$D$13)*(1-EXP(-Constantes!$D$23)))</f>
        <v>0.73870552334955064</v>
      </c>
      <c r="L497" s="76">
        <f t="shared" si="22"/>
        <v>0.73870913070705657</v>
      </c>
      <c r="M497" s="76">
        <f>0.0526*F497*Observaciones!$F496^1.218</f>
        <v>0</v>
      </c>
      <c r="N497" s="76">
        <f>M497*Constantes!$D$51</f>
        <v>0</v>
      </c>
      <c r="O497" s="76">
        <f t="shared" si="23"/>
        <v>0</v>
      </c>
      <c r="P497" s="15"/>
      <c r="Q497" s="75">
        <v>491</v>
      </c>
      <c r="R497" s="76">
        <f>0.0526*Observaciones!$F496^2.218</f>
        <v>0</v>
      </c>
      <c r="S497" s="76">
        <f>IF(Observaciones!$F496&gt;0.05*$W$7,((Observaciones!$F496-0.05*$W$7)^2)/(Observaciones!$F496+0.95*$W$7),0)</f>
        <v>0</v>
      </c>
      <c r="T497" s="76">
        <f>0.0526*S497*Observaciones!$F496^1.218</f>
        <v>0</v>
      </c>
      <c r="U497" s="29"/>
      <c r="V497" s="29"/>
      <c r="W497" s="109"/>
      <c r="X497" s="40"/>
    </row>
    <row r="498" spans="2:24" s="2" customFormat="1">
      <c r="B498" s="39"/>
      <c r="C498" s="75">
        <v>492</v>
      </c>
      <c r="D498" s="146">
        <f>ETo!$I497*((1-Constantes!$D$19)*ETo!$K497+ETo!$L497)</f>
        <v>2.9760217296466398</v>
      </c>
      <c r="E498" s="76">
        <f>MIN(D498*Constantes!$D$17,0.8*(H497+Observaciones!$F497-F498-G498-Constantes!$D$14))</f>
        <v>8.4720346154654191E-5</v>
      </c>
      <c r="F498" s="76">
        <f>IF(Observaciones!$F497&gt;0.05*Constantes!$D$18,((Observaciones!$F497-0.05*Constantes!$D$18)^2)/(Observaciones!$F497+0.95*Constantes!$D$18),0)</f>
        <v>0</v>
      </c>
      <c r="G498" s="76">
        <f>MAX(0,H497+Observaciones!$F497-F498-Constantes!$D$13)</f>
        <v>0</v>
      </c>
      <c r="H498" s="76">
        <f>H497+Observaciones!$F497-F498-E498-G498-I497</f>
        <v>11.250017572729032</v>
      </c>
      <c r="I498" s="76">
        <f>MAX(0,(H498-Constantes!$D$14)*(1-EXP(-Constantes!$D$22)))</f>
        <v>5.9859166163585483E-7</v>
      </c>
      <c r="J498" s="76">
        <f t="shared" si="21"/>
        <v>122.9821324637762</v>
      </c>
      <c r="K498" s="76">
        <f>MAX(0,(J498-Constantes!$D$13)*(1-EXP(-Constantes!$D$23)))</f>
        <v>0.73142688188203975</v>
      </c>
      <c r="L498" s="76">
        <f t="shared" si="22"/>
        <v>0.73142748047370143</v>
      </c>
      <c r="M498" s="76">
        <f>0.0526*F498*Observaciones!$F497^1.218</f>
        <v>0</v>
      </c>
      <c r="N498" s="76">
        <f>M498*Constantes!$D$51</f>
        <v>0</v>
      </c>
      <c r="O498" s="76">
        <f t="shared" si="23"/>
        <v>0</v>
      </c>
      <c r="P498" s="15"/>
      <c r="Q498" s="75">
        <v>492</v>
      </c>
      <c r="R498" s="76">
        <f>0.0526*Observaciones!$F497^2.218</f>
        <v>0</v>
      </c>
      <c r="S498" s="76">
        <f>IF(Observaciones!$F497&gt;0.05*$W$7,((Observaciones!$F497-0.05*$W$7)^2)/(Observaciones!$F497+0.95*$W$7),0)</f>
        <v>0</v>
      </c>
      <c r="T498" s="76">
        <f>0.0526*S498*Observaciones!$F497^1.218</f>
        <v>0</v>
      </c>
      <c r="U498" s="29"/>
      <c r="V498" s="29"/>
      <c r="W498" s="109"/>
      <c r="X498" s="40"/>
    </row>
    <row r="499" spans="2:24" s="2" customFormat="1">
      <c r="B499" s="39"/>
      <c r="C499" s="75">
        <v>493</v>
      </c>
      <c r="D499" s="146">
        <f>ETo!$I498*((1-Constantes!$D$19)*ETo!$K498+ETo!$L498)</f>
        <v>2.8772195633614901</v>
      </c>
      <c r="E499" s="76">
        <f>MIN(D499*Constantes!$D$17,0.8*(H498+Observaciones!$F498-F499-G499-Constantes!$D$14))</f>
        <v>1.4058183225529319E-5</v>
      </c>
      <c r="F499" s="76">
        <f>IF(Observaciones!$F498&gt;0.05*Constantes!$D$18,((Observaciones!$F498-0.05*Constantes!$D$18)^2)/(Observaciones!$F498+0.95*Constantes!$D$18),0)</f>
        <v>0</v>
      </c>
      <c r="G499" s="76">
        <f>MAX(0,H498+Observaciones!$F498-F499-Constantes!$D$13)</f>
        <v>0</v>
      </c>
      <c r="H499" s="76">
        <f>H498+Observaciones!$F498-F499-E499-G499-I498</f>
        <v>11.250002915954145</v>
      </c>
      <c r="I499" s="76">
        <f>MAX(0,(H499-Constantes!$D$14)*(1-EXP(-Constantes!$D$22)))</f>
        <v>9.9328102859072979E-8</v>
      </c>
      <c r="J499" s="76">
        <f t="shared" si="21"/>
        <v>122.25070558189415</v>
      </c>
      <c r="K499" s="76">
        <f>MAX(0,(J499-Constantes!$D$13)*(1-EXP(-Constantes!$D$23)))</f>
        <v>0.72421995860254562</v>
      </c>
      <c r="L499" s="76">
        <f t="shared" si="22"/>
        <v>0.72422005793064848</v>
      </c>
      <c r="M499" s="76">
        <f>0.0526*F499*Observaciones!$F498^1.218</f>
        <v>0</v>
      </c>
      <c r="N499" s="76">
        <f>M499*Constantes!$D$51</f>
        <v>0</v>
      </c>
      <c r="O499" s="76">
        <f t="shared" si="23"/>
        <v>0</v>
      </c>
      <c r="P499" s="15"/>
      <c r="Q499" s="75">
        <v>493</v>
      </c>
      <c r="R499" s="76">
        <f>0.0526*Observaciones!$F498^2.218</f>
        <v>0</v>
      </c>
      <c r="S499" s="76">
        <f>IF(Observaciones!$F498&gt;0.05*$W$7,((Observaciones!$F498-0.05*$W$7)^2)/(Observaciones!$F498+0.95*$W$7),0)</f>
        <v>0</v>
      </c>
      <c r="T499" s="76">
        <f>0.0526*S499*Observaciones!$F498^1.218</f>
        <v>0</v>
      </c>
      <c r="U499" s="29"/>
      <c r="V499" s="29"/>
      <c r="W499" s="109"/>
      <c r="X499" s="40"/>
    </row>
    <row r="500" spans="2:24" s="2" customFormat="1">
      <c r="B500" s="39"/>
      <c r="C500" s="75">
        <v>494</v>
      </c>
      <c r="D500" s="146">
        <f>ETo!$I499*((1-Constantes!$D$19)*ETo!$K499+ETo!$L499)</f>
        <v>2.900248401042878</v>
      </c>
      <c r="E500" s="76">
        <f>MIN(D500*Constantes!$D$17,0.8*(H499+Observaciones!$F499-F500-G500-Constantes!$D$14))</f>
        <v>0.1600023327633153</v>
      </c>
      <c r="F500" s="76">
        <f>IF(Observaciones!$F499&gt;0.05*Constantes!$D$18,((Observaciones!$F499-0.05*Constantes!$D$18)^2)/(Observaciones!$F499+0.95*Constantes!$D$18),0)</f>
        <v>0</v>
      </c>
      <c r="G500" s="76">
        <f>MAX(0,H499+Observaciones!$F499-F500-Constantes!$D$13)</f>
        <v>0</v>
      </c>
      <c r="H500" s="76">
        <f>H499+Observaciones!$F499-F500-E500-G500-I499</f>
        <v>11.290000483862725</v>
      </c>
      <c r="I500" s="76">
        <f>MAX(0,(H500-Constantes!$D$14)*(1-EXP(-Constantes!$D$22)))</f>
        <v>1.3625633251468871E-3</v>
      </c>
      <c r="J500" s="76">
        <f t="shared" si="21"/>
        <v>121.52648562329161</v>
      </c>
      <c r="K500" s="76">
        <f>MAX(0,(J500-Constantes!$D$13)*(1-EXP(-Constantes!$D$23)))</f>
        <v>0.71708404685467964</v>
      </c>
      <c r="L500" s="76">
        <f t="shared" si="22"/>
        <v>0.71844661017982647</v>
      </c>
      <c r="M500" s="76">
        <f>0.0526*F500*Observaciones!$F499^1.218</f>
        <v>0</v>
      </c>
      <c r="N500" s="76">
        <f>M500*Constantes!$D$51</f>
        <v>0</v>
      </c>
      <c r="O500" s="76">
        <f t="shared" si="23"/>
        <v>0</v>
      </c>
      <c r="P500" s="15"/>
      <c r="Q500" s="75">
        <v>494</v>
      </c>
      <c r="R500" s="76">
        <f>0.0526*Observaciones!$F499^2.218</f>
        <v>1.4813929535417848E-3</v>
      </c>
      <c r="S500" s="76">
        <f>IF(Observaciones!$F499&gt;0.05*$W$7,((Observaciones!$F499-0.05*$W$7)^2)/(Observaciones!$F499+0.95*$W$7),0)</f>
        <v>0</v>
      </c>
      <c r="T500" s="76">
        <f>0.0526*S500*Observaciones!$F499^1.218</f>
        <v>0</v>
      </c>
      <c r="U500" s="29"/>
      <c r="V500" s="29"/>
      <c r="W500" s="109"/>
      <c r="X500" s="40"/>
    </row>
    <row r="501" spans="2:24" s="2" customFormat="1">
      <c r="B501" s="39"/>
      <c r="C501" s="75">
        <v>495</v>
      </c>
      <c r="D501" s="146">
        <f>ETo!$I500*((1-Constantes!$D$19)*ETo!$K500+ETo!$L500)</f>
        <v>2.9167133091689674</v>
      </c>
      <c r="E501" s="76">
        <f>MIN(D501*Constantes!$D$17,0.8*(H500+Observaciones!$F500-F501-G501-Constantes!$D$14))</f>
        <v>3.2000387090180028E-2</v>
      </c>
      <c r="F501" s="76">
        <f>IF(Observaciones!$F500&gt;0.05*Constantes!$D$18,((Observaciones!$F500-0.05*Constantes!$D$18)^2)/(Observaciones!$F500+0.95*Constantes!$D$18),0)</f>
        <v>0</v>
      </c>
      <c r="G501" s="76">
        <f>MAX(0,H500+Observaciones!$F500-F501-Constantes!$D$13)</f>
        <v>0</v>
      </c>
      <c r="H501" s="76">
        <f>H500+Observaciones!$F500-F501-E501-G501-I500</f>
        <v>11.256637533447398</v>
      </c>
      <c r="I501" s="76">
        <f>MAX(0,(H501-Constantes!$D$14)*(1-EXP(-Constantes!$D$22)))</f>
        <v>2.2609875610249479E-4</v>
      </c>
      <c r="J501" s="76">
        <f t="shared" si="21"/>
        <v>120.80940157643693</v>
      </c>
      <c r="K501" s="76">
        <f>MAX(0,(J501-Constantes!$D$13)*(1-EXP(-Constantes!$D$23)))</f>
        <v>0.71001844694490723</v>
      </c>
      <c r="L501" s="76">
        <f t="shared" si="22"/>
        <v>0.7102445457010097</v>
      </c>
      <c r="M501" s="76">
        <f>0.0526*F501*Observaciones!$F500^1.218</f>
        <v>0</v>
      </c>
      <c r="N501" s="76">
        <f>M501*Constantes!$D$51</f>
        <v>0</v>
      </c>
      <c r="O501" s="76">
        <f t="shared" si="23"/>
        <v>0</v>
      </c>
      <c r="P501" s="15"/>
      <c r="Q501" s="75">
        <v>495</v>
      </c>
      <c r="R501" s="76">
        <f>0.0526*Observaciones!$F500^2.218</f>
        <v>0</v>
      </c>
      <c r="S501" s="76">
        <f>IF(Observaciones!$F500&gt;0.05*$W$7,((Observaciones!$F500-0.05*$W$7)^2)/(Observaciones!$F500+0.95*$W$7),0)</f>
        <v>0</v>
      </c>
      <c r="T501" s="76">
        <f>0.0526*S501*Observaciones!$F500^1.218</f>
        <v>0</v>
      </c>
      <c r="U501" s="29"/>
      <c r="V501" s="29"/>
      <c r="W501" s="109"/>
      <c r="X501" s="40"/>
    </row>
    <row r="502" spans="2:24" s="2" customFormat="1">
      <c r="B502" s="39"/>
      <c r="C502" s="75">
        <v>496</v>
      </c>
      <c r="D502" s="146">
        <f>ETo!$I501*((1-Constantes!$D$19)*ETo!$K501+ETo!$L501)</f>
        <v>2.8941319007276523</v>
      </c>
      <c r="E502" s="76">
        <f>MIN(D502*Constantes!$D$17,0.8*(H501+Observaciones!$F501-F502-G502-Constantes!$D$14))</f>
        <v>5.3100267579182514E-3</v>
      </c>
      <c r="F502" s="76">
        <f>IF(Observaciones!$F501&gt;0.05*Constantes!$D$18,((Observaciones!$F501-0.05*Constantes!$D$18)^2)/(Observaciones!$F501+0.95*Constantes!$D$18),0)</f>
        <v>0</v>
      </c>
      <c r="G502" s="76">
        <f>MAX(0,H501+Observaciones!$F501-F502-Constantes!$D$13)</f>
        <v>0</v>
      </c>
      <c r="H502" s="76">
        <f>H501+Observaciones!$F501-F502-E502-G502-I501</f>
        <v>11.251101407933376</v>
      </c>
      <c r="I502" s="76">
        <f>MAX(0,(H502-Constantes!$D$14)*(1-EXP(-Constantes!$D$22)))</f>
        <v>3.7517997562092731E-5</v>
      </c>
      <c r="J502" s="76">
        <f t="shared" si="21"/>
        <v>120.09938312949203</v>
      </c>
      <c r="K502" s="76">
        <f>MAX(0,(J502-Constantes!$D$13)*(1-EXP(-Constantes!$D$23)))</f>
        <v>0.70302246607394059</v>
      </c>
      <c r="L502" s="76">
        <f t="shared" si="22"/>
        <v>0.70305998407150272</v>
      </c>
      <c r="M502" s="76">
        <f>0.0526*F502*Observaciones!$F501^1.218</f>
        <v>0</v>
      </c>
      <c r="N502" s="76">
        <f>M502*Constantes!$D$51</f>
        <v>0</v>
      </c>
      <c r="O502" s="76">
        <f t="shared" si="23"/>
        <v>0</v>
      </c>
      <c r="P502" s="15"/>
      <c r="Q502" s="75">
        <v>496</v>
      </c>
      <c r="R502" s="76">
        <f>0.0526*Observaciones!$F501^2.218</f>
        <v>0</v>
      </c>
      <c r="S502" s="76">
        <f>IF(Observaciones!$F501&gt;0.05*$W$7,((Observaciones!$F501-0.05*$W$7)^2)/(Observaciones!$F501+0.95*$W$7),0)</f>
        <v>0</v>
      </c>
      <c r="T502" s="76">
        <f>0.0526*S502*Observaciones!$F501^1.218</f>
        <v>0</v>
      </c>
      <c r="U502" s="29"/>
      <c r="V502" s="29"/>
      <c r="W502" s="109"/>
      <c r="X502" s="40"/>
    </row>
    <row r="503" spans="2:24" s="2" customFormat="1">
      <c r="B503" s="39"/>
      <c r="C503" s="75">
        <v>497</v>
      </c>
      <c r="D503" s="146">
        <f>ETo!$I502*((1-Constantes!$D$19)*ETo!$K502+ETo!$L502)</f>
        <v>2.8139144599211212</v>
      </c>
      <c r="E503" s="76">
        <f>MIN(D503*Constantes!$D$17,0.8*(H502+Observaciones!$F502-F503-G503-Constantes!$D$14))</f>
        <v>8.8112634670096674E-4</v>
      </c>
      <c r="F503" s="76">
        <f>IF(Observaciones!$F502&gt;0.05*Constantes!$D$18,((Observaciones!$F502-0.05*Constantes!$D$18)^2)/(Observaciones!$F502+0.95*Constantes!$D$18),0)</f>
        <v>0</v>
      </c>
      <c r="G503" s="76">
        <f>MAX(0,H502+Observaciones!$F502-F503-Constantes!$D$13)</f>
        <v>0</v>
      </c>
      <c r="H503" s="76">
        <f>H502+Observaciones!$F502-F503-E503-G503-I502</f>
        <v>11.250182763589113</v>
      </c>
      <c r="I503" s="76">
        <f>MAX(0,(H503-Constantes!$D$14)*(1-EXP(-Constantes!$D$22)))</f>
        <v>6.225598784043252E-6</v>
      </c>
      <c r="J503" s="76">
        <f t="shared" si="21"/>
        <v>119.39636066341808</v>
      </c>
      <c r="K503" s="76">
        <f>MAX(0,(J503-Constantes!$D$13)*(1-EXP(-Constantes!$D$23)))</f>
        <v>0.69609541826880839</v>
      </c>
      <c r="L503" s="76">
        <f t="shared" si="22"/>
        <v>0.69610164386759243</v>
      </c>
      <c r="M503" s="76">
        <f>0.0526*F503*Observaciones!$F502^1.218</f>
        <v>0</v>
      </c>
      <c r="N503" s="76">
        <f>M503*Constantes!$D$51</f>
        <v>0</v>
      </c>
      <c r="O503" s="76">
        <f t="shared" si="23"/>
        <v>0</v>
      </c>
      <c r="P503" s="15"/>
      <c r="Q503" s="75">
        <v>497</v>
      </c>
      <c r="R503" s="76">
        <f>0.0526*Observaciones!$F502^2.218</f>
        <v>0</v>
      </c>
      <c r="S503" s="76">
        <f>IF(Observaciones!$F502&gt;0.05*$W$7,((Observaciones!$F502-0.05*$W$7)^2)/(Observaciones!$F502+0.95*$W$7),0)</f>
        <v>0</v>
      </c>
      <c r="T503" s="76">
        <f>0.0526*S503*Observaciones!$F502^1.218</f>
        <v>0</v>
      </c>
      <c r="U503" s="29"/>
      <c r="V503" s="29"/>
      <c r="W503" s="109"/>
      <c r="X503" s="40"/>
    </row>
    <row r="504" spans="2:24" s="2" customFormat="1">
      <c r="B504" s="39"/>
      <c r="C504" s="75">
        <v>498</v>
      </c>
      <c r="D504" s="146">
        <f>ETo!$I503*((1-Constantes!$D$19)*ETo!$K503+ETo!$L503)</f>
        <v>2.757210358879179</v>
      </c>
      <c r="E504" s="76">
        <f>MIN(D504*Constantes!$D$17,0.8*(H503+Observaciones!$F503-F504-G504-Constantes!$D$14))</f>
        <v>1.46210871290009E-4</v>
      </c>
      <c r="F504" s="76">
        <f>IF(Observaciones!$F503&gt;0.05*Constantes!$D$18,((Observaciones!$F503-0.05*Constantes!$D$18)^2)/(Observaciones!$F503+0.95*Constantes!$D$18),0)</f>
        <v>0</v>
      </c>
      <c r="G504" s="76">
        <f>MAX(0,H503+Observaciones!$F503-F504-Constantes!$D$13)</f>
        <v>0</v>
      </c>
      <c r="H504" s="76">
        <f>H503+Observaciones!$F503-F504-E504-G504-I503</f>
        <v>11.25003032711904</v>
      </c>
      <c r="I504" s="76">
        <f>MAX(0,(H504-Constantes!$D$14)*(1-EXP(-Constantes!$D$22)))</f>
        <v>1.0330530076373923E-6</v>
      </c>
      <c r="J504" s="76">
        <f t="shared" si="21"/>
        <v>118.70026524514927</v>
      </c>
      <c r="K504" s="76">
        <f>MAX(0,(J504-Constantes!$D$13)*(1-EXP(-Constantes!$D$23)))</f>
        <v>0.68923662431559429</v>
      </c>
      <c r="L504" s="76">
        <f t="shared" si="22"/>
        <v>0.68923765736860187</v>
      </c>
      <c r="M504" s="76">
        <f>0.0526*F504*Observaciones!$F503^1.218</f>
        <v>0</v>
      </c>
      <c r="N504" s="76">
        <f>M504*Constantes!$D$51</f>
        <v>0</v>
      </c>
      <c r="O504" s="76">
        <f t="shared" si="23"/>
        <v>0</v>
      </c>
      <c r="P504" s="15"/>
      <c r="Q504" s="75">
        <v>498</v>
      </c>
      <c r="R504" s="76">
        <f>0.0526*Observaciones!$F503^2.218</f>
        <v>0</v>
      </c>
      <c r="S504" s="76">
        <f>IF(Observaciones!$F503&gt;0.05*$W$7,((Observaciones!$F503-0.05*$W$7)^2)/(Observaciones!$F503+0.95*$W$7),0)</f>
        <v>0</v>
      </c>
      <c r="T504" s="76">
        <f>0.0526*S504*Observaciones!$F503^1.218</f>
        <v>0</v>
      </c>
      <c r="U504" s="29"/>
      <c r="V504" s="29"/>
      <c r="W504" s="109"/>
      <c r="X504" s="40"/>
    </row>
    <row r="505" spans="2:24" s="2" customFormat="1">
      <c r="B505" s="39"/>
      <c r="C505" s="75">
        <v>499</v>
      </c>
      <c r="D505" s="146">
        <f>ETo!$I504*((1-Constantes!$D$19)*ETo!$K504+ETo!$L504)</f>
        <v>2.7423016509029456</v>
      </c>
      <c r="E505" s="76">
        <f>MIN(D505*Constantes!$D$17,0.8*(H504+Observaciones!$F504-F505-G505-Constantes!$D$14))</f>
        <v>2.4261695232041804E-5</v>
      </c>
      <c r="F505" s="76">
        <f>IF(Observaciones!$F504&gt;0.05*Constantes!$D$18,((Observaciones!$F504-0.05*Constantes!$D$18)^2)/(Observaciones!$F504+0.95*Constantes!$D$18),0)</f>
        <v>0</v>
      </c>
      <c r="G505" s="76">
        <f>MAX(0,H504+Observaciones!$F504-F505-Constantes!$D$13)</f>
        <v>0</v>
      </c>
      <c r="H505" s="76">
        <f>H504+Observaciones!$F504-F505-E505-G505-I504</f>
        <v>11.250005032370799</v>
      </c>
      <c r="I505" s="76">
        <f>MAX(0,(H505-Constantes!$D$14)*(1-EXP(-Constantes!$D$22)))</f>
        <v>1.7142102363165175E-7</v>
      </c>
      <c r="J505" s="76">
        <f t="shared" si="21"/>
        <v>118.01102862083367</v>
      </c>
      <c r="K505" s="76">
        <f>MAX(0,(J505-Constantes!$D$13)*(1-EXP(-Constantes!$D$23)))</f>
        <v>0.68244541169283879</v>
      </c>
      <c r="L505" s="76">
        <f t="shared" si="22"/>
        <v>0.68244558311386239</v>
      </c>
      <c r="M505" s="76">
        <f>0.0526*F505*Observaciones!$F504^1.218</f>
        <v>0</v>
      </c>
      <c r="N505" s="76">
        <f>M505*Constantes!$D$51</f>
        <v>0</v>
      </c>
      <c r="O505" s="76">
        <f t="shared" si="23"/>
        <v>0</v>
      </c>
      <c r="P505" s="15"/>
      <c r="Q505" s="75">
        <v>499</v>
      </c>
      <c r="R505" s="76">
        <f>0.0526*Observaciones!$F504^2.218</f>
        <v>0</v>
      </c>
      <c r="S505" s="76">
        <f>IF(Observaciones!$F504&gt;0.05*$W$7,((Observaciones!$F504-0.05*$W$7)^2)/(Observaciones!$F504+0.95*$W$7),0)</f>
        <v>0</v>
      </c>
      <c r="T505" s="76">
        <f>0.0526*S505*Observaciones!$F504^1.218</f>
        <v>0</v>
      </c>
      <c r="U505" s="29"/>
      <c r="V505" s="29"/>
      <c r="W505" s="109"/>
      <c r="X505" s="40"/>
    </row>
    <row r="506" spans="2:24" s="2" customFormat="1">
      <c r="B506" s="39"/>
      <c r="C506" s="75">
        <v>500</v>
      </c>
      <c r="D506" s="146">
        <f>ETo!$I505*((1-Constantes!$D$19)*ETo!$K505+ETo!$L505)</f>
        <v>2.7749157752972353</v>
      </c>
      <c r="E506" s="76">
        <f>MIN(D506*Constantes!$D$17,0.8*(H505+Observaciones!$F505-F506-G506-Constantes!$D$14))</f>
        <v>4.0258966393480476E-6</v>
      </c>
      <c r="F506" s="76">
        <f>IF(Observaciones!$F505&gt;0.05*Constantes!$D$18,((Observaciones!$F505-0.05*Constantes!$D$18)^2)/(Observaciones!$F505+0.95*Constantes!$D$18),0)</f>
        <v>0</v>
      </c>
      <c r="G506" s="76">
        <f>MAX(0,H505+Observaciones!$F505-F506-Constantes!$D$13)</f>
        <v>0</v>
      </c>
      <c r="H506" s="76">
        <f>H505+Observaciones!$F505-F506-E506-G506-I505</f>
        <v>11.250000835053136</v>
      </c>
      <c r="I506" s="76">
        <f>MAX(0,(H506-Constantes!$D$14)*(1-EXP(-Constantes!$D$22)))</f>
        <v>2.8444975354041038E-8</v>
      </c>
      <c r="J506" s="76">
        <f t="shared" si="21"/>
        <v>117.32858320914083</v>
      </c>
      <c r="K506" s="76">
        <f>MAX(0,(J506-Constantes!$D$13)*(1-EXP(-Constantes!$D$23)))</f>
        <v>0.67572111450559602</v>
      </c>
      <c r="L506" s="76">
        <f t="shared" si="22"/>
        <v>0.6757211429505714</v>
      </c>
      <c r="M506" s="76">
        <f>0.0526*F506*Observaciones!$F505^1.218</f>
        <v>0</v>
      </c>
      <c r="N506" s="76">
        <f>M506*Constantes!$D$51</f>
        <v>0</v>
      </c>
      <c r="O506" s="76">
        <f t="shared" si="23"/>
        <v>0</v>
      </c>
      <c r="P506" s="15"/>
      <c r="Q506" s="75">
        <v>500</v>
      </c>
      <c r="R506" s="76">
        <f>0.0526*Observaciones!$F505^2.218</f>
        <v>0</v>
      </c>
      <c r="S506" s="76">
        <f>IF(Observaciones!$F505&gt;0.05*$W$7,((Observaciones!$F505-0.05*$W$7)^2)/(Observaciones!$F505+0.95*$W$7),0)</f>
        <v>0</v>
      </c>
      <c r="T506" s="76">
        <f>0.0526*S506*Observaciones!$F505^1.218</f>
        <v>0</v>
      </c>
      <c r="U506" s="29"/>
      <c r="V506" s="29"/>
      <c r="W506" s="109"/>
      <c r="X506" s="40"/>
    </row>
    <row r="507" spans="2:24" s="2" customFormat="1">
      <c r="B507" s="39"/>
      <c r="C507" s="75">
        <v>501</v>
      </c>
      <c r="D507" s="146">
        <f>ETo!$I506*((1-Constantes!$D$19)*ETo!$K506+ETo!$L506)</f>
        <v>2.697545315156844</v>
      </c>
      <c r="E507" s="76">
        <f>MIN(D507*Constantes!$D$17,0.8*(H506+Observaciones!$F506-F507-G507-Constantes!$D$14))</f>
        <v>6.6804250877794411E-7</v>
      </c>
      <c r="F507" s="76">
        <f>IF(Observaciones!$F506&gt;0.05*Constantes!$D$18,((Observaciones!$F506-0.05*Constantes!$D$18)^2)/(Observaciones!$F506+0.95*Constantes!$D$18),0)</f>
        <v>0</v>
      </c>
      <c r="G507" s="76">
        <f>MAX(0,H506+Observaciones!$F506-F507-Constantes!$D$13)</f>
        <v>0</v>
      </c>
      <c r="H507" s="76">
        <f>H506+Observaciones!$F506-F507-E507-G507-I506</f>
        <v>11.250000138565651</v>
      </c>
      <c r="I507" s="76">
        <f>MAX(0,(H507-Constantes!$D$14)*(1-EXP(-Constantes!$D$22)))</f>
        <v>4.7200547715179575E-9</v>
      </c>
      <c r="J507" s="76">
        <f t="shared" si="21"/>
        <v>116.65286209463524</v>
      </c>
      <c r="K507" s="76">
        <f>MAX(0,(J507-Constantes!$D$13)*(1-EXP(-Constantes!$D$23)))</f>
        <v>0.66906307342014204</v>
      </c>
      <c r="L507" s="76">
        <f t="shared" si="22"/>
        <v>0.66906307814019683</v>
      </c>
      <c r="M507" s="76">
        <f>0.0526*F507*Observaciones!$F506^1.218</f>
        <v>0</v>
      </c>
      <c r="N507" s="76">
        <f>M507*Constantes!$D$51</f>
        <v>0</v>
      </c>
      <c r="O507" s="76">
        <f t="shared" si="23"/>
        <v>0</v>
      </c>
      <c r="P507" s="15"/>
      <c r="Q507" s="75">
        <v>501</v>
      </c>
      <c r="R507" s="76">
        <f>0.0526*Observaciones!$F506^2.218</f>
        <v>0</v>
      </c>
      <c r="S507" s="76">
        <f>IF(Observaciones!$F506&gt;0.05*$W$7,((Observaciones!$F506-0.05*$W$7)^2)/(Observaciones!$F506+0.95*$W$7),0)</f>
        <v>0</v>
      </c>
      <c r="T507" s="76">
        <f>0.0526*S507*Observaciones!$F506^1.218</f>
        <v>0</v>
      </c>
      <c r="U507" s="29"/>
      <c r="V507" s="29"/>
      <c r="W507" s="109"/>
      <c r="X507" s="40"/>
    </row>
    <row r="508" spans="2:24" s="2" customFormat="1">
      <c r="B508" s="39"/>
      <c r="C508" s="75">
        <v>502</v>
      </c>
      <c r="D508" s="146">
        <f>ETo!$I507*((1-Constantes!$D$19)*ETo!$K507+ETo!$L507)</f>
        <v>2.7239297086523706</v>
      </c>
      <c r="E508" s="76">
        <f>MIN(D508*Constantes!$D$17,0.8*(H507+Observaciones!$F507-F508-G508-Constantes!$D$14))</f>
        <v>1.1085252111797672E-7</v>
      </c>
      <c r="F508" s="76">
        <f>IF(Observaciones!$F507&gt;0.05*Constantes!$D$18,((Observaciones!$F507-0.05*Constantes!$D$18)^2)/(Observaciones!$F507+0.95*Constantes!$D$18),0)</f>
        <v>0</v>
      </c>
      <c r="G508" s="76">
        <f>MAX(0,H507+Observaciones!$F507-F508-Constantes!$D$13)</f>
        <v>0</v>
      </c>
      <c r="H508" s="76">
        <f>H507+Observaciones!$F507-F508-E508-G508-I507</f>
        <v>11.250000022993074</v>
      </c>
      <c r="I508" s="76">
        <f>MAX(0,(H508-Constantes!$D$14)*(1-EXP(-Constantes!$D$22)))</f>
        <v>7.8322851353584037E-10</v>
      </c>
      <c r="J508" s="76">
        <f t="shared" si="21"/>
        <v>115.98379902121509</v>
      </c>
      <c r="K508" s="76">
        <f>MAX(0,(J508-Constantes!$D$13)*(1-EXP(-Constantes!$D$23)))</f>
        <v>0.66247063559932484</v>
      </c>
      <c r="L508" s="76">
        <f t="shared" si="22"/>
        <v>0.66247063638255332</v>
      </c>
      <c r="M508" s="76">
        <f>0.0526*F508*Observaciones!$F507^1.218</f>
        <v>0</v>
      </c>
      <c r="N508" s="76">
        <f>M508*Constantes!$D$51</f>
        <v>0</v>
      </c>
      <c r="O508" s="76">
        <f t="shared" si="23"/>
        <v>0</v>
      </c>
      <c r="P508" s="15"/>
      <c r="Q508" s="75">
        <v>502</v>
      </c>
      <c r="R508" s="76">
        <f>0.0526*Observaciones!$F507^2.218</f>
        <v>0</v>
      </c>
      <c r="S508" s="76">
        <f>IF(Observaciones!$F507&gt;0.05*$W$7,((Observaciones!$F507-0.05*$W$7)^2)/(Observaciones!$F507+0.95*$W$7),0)</f>
        <v>0</v>
      </c>
      <c r="T508" s="76">
        <f>0.0526*S508*Observaciones!$F507^1.218</f>
        <v>0</v>
      </c>
      <c r="U508" s="29"/>
      <c r="V508" s="29"/>
      <c r="W508" s="109"/>
      <c r="X508" s="40"/>
    </row>
    <row r="509" spans="2:24" s="2" customFormat="1">
      <c r="B509" s="39"/>
      <c r="C509" s="75">
        <v>503</v>
      </c>
      <c r="D509" s="146">
        <f>ETo!$I508*((1-Constantes!$D$19)*ETo!$K508+ETo!$L508)</f>
        <v>2.7316702919686944</v>
      </c>
      <c r="E509" s="76">
        <f>MIN(D509*Constantes!$D$17,0.8*(H508+Observaciones!$F508-F509-G509-Constantes!$D$14))</f>
        <v>1.8394459289083898E-8</v>
      </c>
      <c r="F509" s="76">
        <f>IF(Observaciones!$F508&gt;0.05*Constantes!$D$18,((Observaciones!$F508-0.05*Constantes!$D$18)^2)/(Observaciones!$F508+0.95*Constantes!$D$18),0)</f>
        <v>0</v>
      </c>
      <c r="G509" s="76">
        <f>MAX(0,H508+Observaciones!$F508-F509-Constantes!$D$13)</f>
        <v>0</v>
      </c>
      <c r="H509" s="76">
        <f>H508+Observaciones!$F508-F509-E509-G509-I508</f>
        <v>11.250000003815387</v>
      </c>
      <c r="I509" s="76">
        <f>MAX(0,(H509-Constantes!$D$14)*(1-EXP(-Constantes!$D$22)))</f>
        <v>1.2996609179000636E-10</v>
      </c>
      <c r="J509" s="76">
        <f t="shared" si="21"/>
        <v>115.32132838561577</v>
      </c>
      <c r="K509" s="76">
        <f>MAX(0,(J509-Constantes!$D$13)*(1-EXP(-Constantes!$D$23)))</f>
        <v>0.65594315463855257</v>
      </c>
      <c r="L509" s="76">
        <f t="shared" si="22"/>
        <v>0.65594315476851861</v>
      </c>
      <c r="M509" s="76">
        <f>0.0526*F509*Observaciones!$F508^1.218</f>
        <v>0</v>
      </c>
      <c r="N509" s="76">
        <f>M509*Constantes!$D$51</f>
        <v>0</v>
      </c>
      <c r="O509" s="76">
        <f t="shared" si="23"/>
        <v>0</v>
      </c>
      <c r="P509" s="15"/>
      <c r="Q509" s="75">
        <v>503</v>
      </c>
      <c r="R509" s="76">
        <f>0.0526*Observaciones!$F508^2.218</f>
        <v>0</v>
      </c>
      <c r="S509" s="76">
        <f>IF(Observaciones!$F508&gt;0.05*$W$7,((Observaciones!$F508-0.05*$W$7)^2)/(Observaciones!$F508+0.95*$W$7),0)</f>
        <v>0</v>
      </c>
      <c r="T509" s="76">
        <f>0.0526*S509*Observaciones!$F508^1.218</f>
        <v>0</v>
      </c>
      <c r="U509" s="29"/>
      <c r="V509" s="29"/>
      <c r="W509" s="109"/>
      <c r="X509" s="40"/>
    </row>
    <row r="510" spans="2:24" s="2" customFormat="1">
      <c r="B510" s="39"/>
      <c r="C510" s="75">
        <v>504</v>
      </c>
      <c r="D510" s="146">
        <f>ETo!$I509*((1-Constantes!$D$19)*ETo!$K509+ETo!$L509)</f>
        <v>2.6559548522337555</v>
      </c>
      <c r="E510" s="76">
        <f>MIN(D510*Constantes!$D$17,0.8*(H509+Observaciones!$F509-F510-G510-Constantes!$D$14))</f>
        <v>3.052309693885036E-9</v>
      </c>
      <c r="F510" s="76">
        <f>IF(Observaciones!$F509&gt;0.05*Constantes!$D$18,((Observaciones!$F509-0.05*Constantes!$D$18)^2)/(Observaciones!$F509+0.95*Constantes!$D$18),0)</f>
        <v>0</v>
      </c>
      <c r="G510" s="76">
        <f>MAX(0,H509+Observaciones!$F509-F510-Constantes!$D$13)</f>
        <v>0</v>
      </c>
      <c r="H510" s="76">
        <f>H509+Observaciones!$F509-F510-E510-G510-I509</f>
        <v>11.250000000633111</v>
      </c>
      <c r="I510" s="76">
        <f>MAX(0,(H510-Constantes!$D$14)*(1-EXP(-Constantes!$D$22)))</f>
        <v>2.1566096478224104E-11</v>
      </c>
      <c r="J510" s="76">
        <f t="shared" si="21"/>
        <v>114.66538523097722</v>
      </c>
      <c r="K510" s="76">
        <f>MAX(0,(J510-Constantes!$D$13)*(1-EXP(-Constantes!$D$23)))</f>
        <v>0.64947999050241167</v>
      </c>
      <c r="L510" s="76">
        <f t="shared" si="22"/>
        <v>0.64947999052397776</v>
      </c>
      <c r="M510" s="76">
        <f>0.0526*F510*Observaciones!$F509^1.218</f>
        <v>0</v>
      </c>
      <c r="N510" s="76">
        <f>M510*Constantes!$D$51</f>
        <v>0</v>
      </c>
      <c r="O510" s="76">
        <f t="shared" si="23"/>
        <v>0</v>
      </c>
      <c r="P510" s="15"/>
      <c r="Q510" s="75">
        <v>504</v>
      </c>
      <c r="R510" s="76">
        <f>0.0526*Observaciones!$F509^2.218</f>
        <v>0</v>
      </c>
      <c r="S510" s="76">
        <f>IF(Observaciones!$F509&gt;0.05*$W$7,((Observaciones!$F509-0.05*$W$7)^2)/(Observaciones!$F509+0.95*$W$7),0)</f>
        <v>0</v>
      </c>
      <c r="T510" s="76">
        <f>0.0526*S510*Observaciones!$F509^1.218</f>
        <v>0</v>
      </c>
      <c r="U510" s="29"/>
      <c r="V510" s="29"/>
      <c r="W510" s="109"/>
      <c r="X510" s="40"/>
    </row>
    <row r="511" spans="2:24" s="2" customFormat="1">
      <c r="B511" s="39"/>
      <c r="C511" s="75">
        <v>505</v>
      </c>
      <c r="D511" s="146">
        <f>ETo!$I510*((1-Constantes!$D$19)*ETo!$K510+ETo!$L510)</f>
        <v>2.7289466081032381</v>
      </c>
      <c r="E511" s="76">
        <f>MIN(D511*Constantes!$D$17,0.8*(H510+Observaciones!$F510-F511-G511-Constantes!$D$14))</f>
        <v>5.0648907290451461E-10</v>
      </c>
      <c r="F511" s="76">
        <f>IF(Observaciones!$F510&gt;0.05*Constantes!$D$18,((Observaciones!$F510-0.05*Constantes!$D$18)^2)/(Observaciones!$F510+0.95*Constantes!$D$18),0)</f>
        <v>0</v>
      </c>
      <c r="G511" s="76">
        <f>MAX(0,H510+Observaciones!$F510-F511-Constantes!$D$13)</f>
        <v>0</v>
      </c>
      <c r="H511" s="76">
        <f>H510+Observaciones!$F510-F511-E511-G511-I510</f>
        <v>11.250000000105056</v>
      </c>
      <c r="I511" s="76">
        <f>MAX(0,(H511-Constantes!$D$14)*(1-EXP(-Constantes!$D$22)))</f>
        <v>3.5785766724240388E-12</v>
      </c>
      <c r="J511" s="76">
        <f t="shared" si="21"/>
        <v>114.01590524047481</v>
      </c>
      <c r="K511" s="76">
        <f>MAX(0,(J511-Constantes!$D$13)*(1-EXP(-Constantes!$D$23)))</f>
        <v>0.64308050946190976</v>
      </c>
      <c r="L511" s="76">
        <f t="shared" si="22"/>
        <v>0.64308050946548834</v>
      </c>
      <c r="M511" s="76">
        <f>0.0526*F511*Observaciones!$F510^1.218</f>
        <v>0</v>
      </c>
      <c r="N511" s="76">
        <f>M511*Constantes!$D$51</f>
        <v>0</v>
      </c>
      <c r="O511" s="76">
        <f t="shared" si="23"/>
        <v>0</v>
      </c>
      <c r="P511" s="15"/>
      <c r="Q511" s="75">
        <v>505</v>
      </c>
      <c r="R511" s="76">
        <f>0.0526*Observaciones!$F510^2.218</f>
        <v>0</v>
      </c>
      <c r="S511" s="76">
        <f>IF(Observaciones!$F510&gt;0.05*$W$7,((Observaciones!$F510-0.05*$W$7)^2)/(Observaciones!$F510+0.95*$W$7),0)</f>
        <v>0</v>
      </c>
      <c r="T511" s="76">
        <f>0.0526*S511*Observaciones!$F510^1.218</f>
        <v>0</v>
      </c>
      <c r="U511" s="29"/>
      <c r="V511" s="29"/>
      <c r="W511" s="109"/>
      <c r="X511" s="40"/>
    </row>
    <row r="512" spans="2:24" s="2" customFormat="1">
      <c r="B512" s="39"/>
      <c r="C512" s="75">
        <v>506</v>
      </c>
      <c r="D512" s="146">
        <f>ETo!$I511*((1-Constantes!$D$19)*ETo!$K511+ETo!$L511)</f>
        <v>2.7371765140178614</v>
      </c>
      <c r="E512" s="76">
        <f>MIN(D512*Constantes!$D$17,0.8*(H511+Observaciones!$F511-F512-G512-Constantes!$D$14))</f>
        <v>8.4044415871176175E-11</v>
      </c>
      <c r="F512" s="76">
        <f>IF(Observaciones!$F511&gt;0.05*Constantes!$D$18,((Observaciones!$F511-0.05*Constantes!$D$18)^2)/(Observaciones!$F511+0.95*Constantes!$D$18),0)</f>
        <v>0</v>
      </c>
      <c r="G512" s="76">
        <f>MAX(0,H511+Observaciones!$F511-F512-Constantes!$D$13)</f>
        <v>0</v>
      </c>
      <c r="H512" s="76">
        <f>H511+Observaciones!$F511-F512-E512-G512-I511</f>
        <v>11.250000000017431</v>
      </c>
      <c r="I512" s="76">
        <f>MAX(0,(H512-Constantes!$D$14)*(1-EXP(-Constantes!$D$22)))</f>
        <v>5.937771239325864E-13</v>
      </c>
      <c r="J512" s="76">
        <f t="shared" si="21"/>
        <v>113.3728247310129</v>
      </c>
      <c r="K512" s="76">
        <f>MAX(0,(J512-Constantes!$D$13)*(1-EXP(-Constantes!$D$23)))</f>
        <v>0.63674408403233762</v>
      </c>
      <c r="L512" s="76">
        <f t="shared" si="22"/>
        <v>0.63674408403293137</v>
      </c>
      <c r="M512" s="76">
        <f>0.0526*F512*Observaciones!$F511^1.218</f>
        <v>0</v>
      </c>
      <c r="N512" s="76">
        <f>M512*Constantes!$D$51</f>
        <v>0</v>
      </c>
      <c r="O512" s="76">
        <f t="shared" si="23"/>
        <v>0</v>
      </c>
      <c r="P512" s="15"/>
      <c r="Q512" s="75">
        <v>506</v>
      </c>
      <c r="R512" s="76">
        <f>0.0526*Observaciones!$F511^2.218</f>
        <v>0</v>
      </c>
      <c r="S512" s="76">
        <f>IF(Observaciones!$F511&gt;0.05*$W$7,((Observaciones!$F511-0.05*$W$7)^2)/(Observaciones!$F511+0.95*$W$7),0)</f>
        <v>0</v>
      </c>
      <c r="T512" s="76">
        <f>0.0526*S512*Observaciones!$F511^1.218</f>
        <v>0</v>
      </c>
      <c r="U512" s="29"/>
      <c r="V512" s="29"/>
      <c r="W512" s="109"/>
      <c r="X512" s="40"/>
    </row>
    <row r="513" spans="2:24" s="2" customFormat="1">
      <c r="B513" s="39"/>
      <c r="C513" s="75">
        <v>507</v>
      </c>
      <c r="D513" s="146">
        <f>ETo!$I512*((1-Constantes!$D$19)*ETo!$K512+ETo!$L512)</f>
        <v>2.6686638437830261</v>
      </c>
      <c r="E513" s="76">
        <f>MIN(D513*Constantes!$D$17,0.8*(H512+Observaciones!$F512-F513-G513-Constantes!$D$14))</f>
        <v>1.3945111732027727E-11</v>
      </c>
      <c r="F513" s="76">
        <f>IF(Observaciones!$F512&gt;0.05*Constantes!$D$18,((Observaciones!$F512-0.05*Constantes!$D$18)^2)/(Observaciones!$F512+0.95*Constantes!$D$18),0)</f>
        <v>0</v>
      </c>
      <c r="G513" s="76">
        <f>MAX(0,H512+Observaciones!$F512-F513-Constantes!$D$13)</f>
        <v>0</v>
      </c>
      <c r="H513" s="76">
        <f>H512+Observaciones!$F512-F513-E513-G513-I512</f>
        <v>11.250000000002894</v>
      </c>
      <c r="I513" s="76">
        <f>MAX(0,(H513-Constantes!$D$14)*(1-EXP(-Constantes!$D$22)))</f>
        <v>9.8569543960683106E-14</v>
      </c>
      <c r="J513" s="76">
        <f t="shared" si="21"/>
        <v>112.73608064698055</v>
      </c>
      <c r="K513" s="76">
        <f>MAX(0,(J513-Constantes!$D$13)*(1-EXP(-Constantes!$D$23)))</f>
        <v>0.63047009291174194</v>
      </c>
      <c r="L513" s="76">
        <f t="shared" si="22"/>
        <v>0.63047009291184053</v>
      </c>
      <c r="M513" s="76">
        <f>0.0526*F513*Observaciones!$F512^1.218</f>
        <v>0</v>
      </c>
      <c r="N513" s="76">
        <f>M513*Constantes!$D$51</f>
        <v>0</v>
      </c>
      <c r="O513" s="76">
        <f t="shared" si="23"/>
        <v>0</v>
      </c>
      <c r="P513" s="15"/>
      <c r="Q513" s="75">
        <v>507</v>
      </c>
      <c r="R513" s="76">
        <f>0.0526*Observaciones!$F512^2.218</f>
        <v>0</v>
      </c>
      <c r="S513" s="76">
        <f>IF(Observaciones!$F512&gt;0.05*$W$7,((Observaciones!$F512-0.05*$W$7)^2)/(Observaciones!$F512+0.95*$W$7),0)</f>
        <v>0</v>
      </c>
      <c r="T513" s="76">
        <f>0.0526*S513*Observaciones!$F512^1.218</f>
        <v>0</v>
      </c>
      <c r="U513" s="29"/>
      <c r="V513" s="29"/>
      <c r="W513" s="109"/>
      <c r="X513" s="40"/>
    </row>
    <row r="514" spans="2:24" s="2" customFormat="1">
      <c r="B514" s="39"/>
      <c r="C514" s="75">
        <v>508</v>
      </c>
      <c r="D514" s="146">
        <f>ETo!$I513*((1-Constantes!$D$19)*ETo!$K513+ETo!$L513)</f>
        <v>2.6043947666847176</v>
      </c>
      <c r="E514" s="76">
        <f>MIN(D514*Constantes!$D$17,0.8*(H513+Observaciones!$F513-F514-G514-Constantes!$D$14))</f>
        <v>2.3149482331064065E-12</v>
      </c>
      <c r="F514" s="76">
        <f>IF(Observaciones!$F513&gt;0.05*Constantes!$D$18,((Observaciones!$F513-0.05*Constantes!$D$18)^2)/(Observaciones!$F513+0.95*Constantes!$D$18),0)</f>
        <v>0</v>
      </c>
      <c r="G514" s="76">
        <f>MAX(0,H513+Observaciones!$F513-F514-Constantes!$D$13)</f>
        <v>0</v>
      </c>
      <c r="H514" s="76">
        <f>H513+Observaciones!$F513-F514-E514-G514-I513</f>
        <v>11.250000000000481</v>
      </c>
      <c r="I514" s="76">
        <f>MAX(0,(H514-Constantes!$D$14)*(1-EXP(-Constantes!$D$22)))</f>
        <v>1.6398002709235802E-14</v>
      </c>
      <c r="J514" s="76">
        <f t="shared" si="21"/>
        <v>112.10561055406882</v>
      </c>
      <c r="K514" s="76">
        <f>MAX(0,(J514-Constantes!$D$13)*(1-EXP(-Constantes!$D$23)))</f>
        <v>0.62425792092000598</v>
      </c>
      <c r="L514" s="76">
        <f t="shared" si="22"/>
        <v>0.62425792092002241</v>
      </c>
      <c r="M514" s="76">
        <f>0.0526*F514*Observaciones!$F513^1.218</f>
        <v>0</v>
      </c>
      <c r="N514" s="76">
        <f>M514*Constantes!$D$51</f>
        <v>0</v>
      </c>
      <c r="O514" s="76">
        <f t="shared" si="23"/>
        <v>0</v>
      </c>
      <c r="P514" s="15"/>
      <c r="Q514" s="75">
        <v>508</v>
      </c>
      <c r="R514" s="76">
        <f>0.0526*Observaciones!$F513^2.218</f>
        <v>0</v>
      </c>
      <c r="S514" s="76">
        <f>IF(Observaciones!$F513&gt;0.05*$W$7,((Observaciones!$F513-0.05*$W$7)^2)/(Observaciones!$F513+0.95*$W$7),0)</f>
        <v>0</v>
      </c>
      <c r="T514" s="76">
        <f>0.0526*S514*Observaciones!$F513^1.218</f>
        <v>0</v>
      </c>
      <c r="U514" s="29"/>
      <c r="V514" s="29"/>
      <c r="W514" s="109"/>
      <c r="X514" s="40"/>
    </row>
    <row r="515" spans="2:24" s="2" customFormat="1">
      <c r="B515" s="39"/>
      <c r="C515" s="75">
        <v>509</v>
      </c>
      <c r="D515" s="146">
        <f>ETo!$I514*((1-Constantes!$D$19)*ETo!$K514+ETo!$L514)</f>
        <v>2.5772198137127917</v>
      </c>
      <c r="E515" s="76">
        <f>MIN(D515*Constantes!$D$17,0.8*(H514+Observaciones!$F514-F515-G515-Constantes!$D$14))</f>
        <v>3.8511416278197432E-13</v>
      </c>
      <c r="F515" s="76">
        <f>IF(Observaciones!$F514&gt;0.05*Constantes!$D$18,((Observaciones!$F514-0.05*Constantes!$D$18)^2)/(Observaciones!$F514+0.95*Constantes!$D$18),0)</f>
        <v>0</v>
      </c>
      <c r="G515" s="76">
        <f>MAX(0,H514+Observaciones!$F514-F515-Constantes!$D$13)</f>
        <v>0</v>
      </c>
      <c r="H515" s="76">
        <f>H514+Observaciones!$F514-F515-E515-G515-I514</f>
        <v>11.25000000000008</v>
      </c>
      <c r="I515" s="76">
        <f>MAX(0,(H515-Constantes!$D$14)*(1-EXP(-Constantes!$D$22)))</f>
        <v>2.7229155790243949E-15</v>
      </c>
      <c r="J515" s="76">
        <f t="shared" si="21"/>
        <v>111.48135263314882</v>
      </c>
      <c r="K515" s="76">
        <f>MAX(0,(J515-Constantes!$D$13)*(1-EXP(-Constantes!$D$23)))</f>
        <v>0.61810695893852852</v>
      </c>
      <c r="L515" s="76">
        <f t="shared" si="22"/>
        <v>0.61810695893853129</v>
      </c>
      <c r="M515" s="76">
        <f>0.0526*F515*Observaciones!$F514^1.218</f>
        <v>0</v>
      </c>
      <c r="N515" s="76">
        <f>M515*Constantes!$D$51</f>
        <v>0</v>
      </c>
      <c r="O515" s="76">
        <f t="shared" si="23"/>
        <v>0</v>
      </c>
      <c r="P515" s="15"/>
      <c r="Q515" s="75">
        <v>509</v>
      </c>
      <c r="R515" s="76">
        <f>0.0526*Observaciones!$F514^2.218</f>
        <v>0</v>
      </c>
      <c r="S515" s="76">
        <f>IF(Observaciones!$F514&gt;0.05*$W$7,((Observaciones!$F514-0.05*$W$7)^2)/(Observaciones!$F514+0.95*$W$7),0)</f>
        <v>0</v>
      </c>
      <c r="T515" s="76">
        <f>0.0526*S515*Observaciones!$F514^1.218</f>
        <v>0</v>
      </c>
      <c r="U515" s="29"/>
      <c r="V515" s="29"/>
      <c r="W515" s="109"/>
      <c r="X515" s="40"/>
    </row>
    <row r="516" spans="2:24" s="2" customFormat="1">
      <c r="B516" s="39"/>
      <c r="C516" s="75">
        <v>510</v>
      </c>
      <c r="D516" s="146">
        <f>ETo!$I515*((1-Constantes!$D$19)*ETo!$K515+ETo!$L515)</f>
        <v>2.5356051929730321</v>
      </c>
      <c r="E516" s="76">
        <f>MIN(D516*Constantes!$D$17,0.8*(H515+Observaciones!$F515-F516-G516-Constantes!$D$14))</f>
        <v>6.3948846218409017E-14</v>
      </c>
      <c r="F516" s="76">
        <f>IF(Observaciones!$F515&gt;0.05*Constantes!$D$18,((Observaciones!$F515-0.05*Constantes!$D$18)^2)/(Observaciones!$F515+0.95*Constantes!$D$18),0)</f>
        <v>0</v>
      </c>
      <c r="G516" s="76">
        <f>MAX(0,H515+Observaciones!$F515-F516-Constantes!$D$13)</f>
        <v>0</v>
      </c>
      <c r="H516" s="76">
        <f>H515+Observaciones!$F515-F516-E516-G516-I515</f>
        <v>11.250000000000012</v>
      </c>
      <c r="I516" s="76">
        <f>MAX(0,(H516-Constantes!$D$14)*(1-EXP(-Constantes!$D$22)))</f>
        <v>4.2356464562601701E-16</v>
      </c>
      <c r="J516" s="76">
        <f t="shared" si="21"/>
        <v>110.86324567421029</v>
      </c>
      <c r="K516" s="76">
        <f>MAX(0,(J516-Constantes!$D$13)*(1-EXP(-Constantes!$D$23)))</f>
        <v>0.61201660385049961</v>
      </c>
      <c r="L516" s="76">
        <f t="shared" si="22"/>
        <v>0.61201660385050005</v>
      </c>
      <c r="M516" s="76">
        <f>0.0526*F516*Observaciones!$F515^1.218</f>
        <v>0</v>
      </c>
      <c r="N516" s="76">
        <f>M516*Constantes!$D$51</f>
        <v>0</v>
      </c>
      <c r="O516" s="76">
        <f t="shared" si="23"/>
        <v>0</v>
      </c>
      <c r="P516" s="15"/>
      <c r="Q516" s="75">
        <v>510</v>
      </c>
      <c r="R516" s="76">
        <f>0.0526*Observaciones!$F515^2.218</f>
        <v>0</v>
      </c>
      <c r="S516" s="76">
        <f>IF(Observaciones!$F515&gt;0.05*$W$7,((Observaciones!$F515-0.05*$W$7)^2)/(Observaciones!$F515+0.95*$W$7),0)</f>
        <v>0</v>
      </c>
      <c r="T516" s="76">
        <f>0.0526*S516*Observaciones!$F515^1.218</f>
        <v>0</v>
      </c>
      <c r="U516" s="29"/>
      <c r="V516" s="29"/>
      <c r="W516" s="109"/>
      <c r="X516" s="40"/>
    </row>
    <row r="517" spans="2:24" s="2" customFormat="1">
      <c r="B517" s="39"/>
      <c r="C517" s="75">
        <v>511</v>
      </c>
      <c r="D517" s="146">
        <f>ETo!$I516*((1-Constantes!$D$19)*ETo!$K516+ETo!$L516)</f>
        <v>2.5839158402550106</v>
      </c>
      <c r="E517" s="76">
        <f>MIN(D517*Constantes!$D$17,0.8*(H516+Observaciones!$F516-F517-G517-Constantes!$D$14))</f>
        <v>9.9475983006414035E-15</v>
      </c>
      <c r="F517" s="76">
        <f>IF(Observaciones!$F516&gt;0.05*Constantes!$D$18,((Observaciones!$F516-0.05*Constantes!$D$18)^2)/(Observaciones!$F516+0.95*Constantes!$D$18),0)</f>
        <v>0</v>
      </c>
      <c r="G517" s="76">
        <f>MAX(0,H516+Observaciones!$F516-F517-Constantes!$D$13)</f>
        <v>0</v>
      </c>
      <c r="H517" s="76">
        <f>H516+Observaciones!$F516-F517-E517-G517-I516</f>
        <v>11.250000000000002</v>
      </c>
      <c r="I517" s="76">
        <f>MAX(0,(H517-Constantes!$D$14)*(1-EXP(-Constantes!$D$22)))</f>
        <v>6.0509235089431002E-17</v>
      </c>
      <c r="J517" s="76">
        <f t="shared" si="21"/>
        <v>110.25122907035978</v>
      </c>
      <c r="K517" s="76">
        <f>MAX(0,(J517-Constantes!$D$13)*(1-EXP(-Constantes!$D$23)))</f>
        <v>0.60598625848176257</v>
      </c>
      <c r="L517" s="76">
        <f t="shared" si="22"/>
        <v>0.60598625848176269</v>
      </c>
      <c r="M517" s="76">
        <f>0.0526*F517*Observaciones!$F516^1.218</f>
        <v>0</v>
      </c>
      <c r="N517" s="76">
        <f>M517*Constantes!$D$51</f>
        <v>0</v>
      </c>
      <c r="O517" s="76">
        <f t="shared" si="23"/>
        <v>0</v>
      </c>
      <c r="P517" s="15"/>
      <c r="Q517" s="75">
        <v>511</v>
      </c>
      <c r="R517" s="76">
        <f>0.0526*Observaciones!$F516^2.218</f>
        <v>0</v>
      </c>
      <c r="S517" s="76">
        <f>IF(Observaciones!$F516&gt;0.05*$W$7,((Observaciones!$F516-0.05*$W$7)^2)/(Observaciones!$F516+0.95*$W$7),0)</f>
        <v>0</v>
      </c>
      <c r="T517" s="76">
        <f>0.0526*S517*Observaciones!$F516^1.218</f>
        <v>0</v>
      </c>
      <c r="U517" s="29"/>
      <c r="V517" s="29"/>
      <c r="W517" s="109"/>
      <c r="X517" s="40"/>
    </row>
    <row r="518" spans="2:24" s="2" customFormat="1">
      <c r="B518" s="39"/>
      <c r="C518" s="75">
        <v>512</v>
      </c>
      <c r="D518" s="146">
        <f>ETo!$I517*((1-Constantes!$D$19)*ETo!$K517+ETo!$L517)</f>
        <v>2.5936155878308074</v>
      </c>
      <c r="E518" s="76">
        <f>MIN(D518*Constantes!$D$17,0.8*(H517+Observaciones!$F517-F518-G518-Constantes!$D$14))</f>
        <v>1.4210854715202005E-15</v>
      </c>
      <c r="F518" s="76">
        <f>IF(Observaciones!$F517&gt;0.05*Constantes!$D$18,((Observaciones!$F517-0.05*Constantes!$D$18)^2)/(Observaciones!$F517+0.95*Constantes!$D$18),0)</f>
        <v>0</v>
      </c>
      <c r="G518" s="76">
        <f>MAX(0,H517+Observaciones!$F517-F518-Constantes!$D$13)</f>
        <v>0</v>
      </c>
      <c r="H518" s="76">
        <f>H517+Observaciones!$F517-F518-E518-G518-I517</f>
        <v>11.25</v>
      </c>
      <c r="I518" s="76">
        <f>MAX(0,(H518-Constantes!$D$14)*(1-EXP(-Constantes!$D$22)))</f>
        <v>0</v>
      </c>
      <c r="J518" s="76">
        <f t="shared" si="21"/>
        <v>109.64524281187802</v>
      </c>
      <c r="K518" s="76">
        <f>MAX(0,(J518-Constantes!$D$13)*(1-EXP(-Constantes!$D$23)))</f>
        <v>0.60001533154226006</v>
      </c>
      <c r="L518" s="76">
        <f t="shared" si="22"/>
        <v>0.60001533154226006</v>
      </c>
      <c r="M518" s="76">
        <f>0.0526*F518*Observaciones!$F517^1.218</f>
        <v>0</v>
      </c>
      <c r="N518" s="76">
        <f>M518*Constantes!$D$51</f>
        <v>0</v>
      </c>
      <c r="O518" s="76">
        <f t="shared" si="23"/>
        <v>0</v>
      </c>
      <c r="P518" s="15"/>
      <c r="Q518" s="75">
        <v>512</v>
      </c>
      <c r="R518" s="76">
        <f>0.0526*Observaciones!$F517^2.218</f>
        <v>0</v>
      </c>
      <c r="S518" s="76">
        <f>IF(Observaciones!$F517&gt;0.05*$W$7,((Observaciones!$F517-0.05*$W$7)^2)/(Observaciones!$F517+0.95*$W$7),0)</f>
        <v>0</v>
      </c>
      <c r="T518" s="76">
        <f>0.0526*S518*Observaciones!$F517^1.218</f>
        <v>0</v>
      </c>
      <c r="U518" s="29"/>
      <c r="V518" s="29"/>
      <c r="W518" s="109"/>
      <c r="X518" s="40"/>
    </row>
    <row r="519" spans="2:24" s="2" customFormat="1">
      <c r="B519" s="39"/>
      <c r="C519" s="75">
        <v>513</v>
      </c>
      <c r="D519" s="146">
        <f>ETo!$I518*((1-Constantes!$D$19)*ETo!$K518+ETo!$L518)</f>
        <v>2.5381326079713058</v>
      </c>
      <c r="E519" s="76">
        <f>MIN(D519*Constantes!$D$17,0.8*(H518+Observaciones!$F518-F519-G519-Constantes!$D$14))</f>
        <v>0</v>
      </c>
      <c r="F519" s="76">
        <f>IF(Observaciones!$F518&gt;0.05*Constantes!$D$18,((Observaciones!$F518-0.05*Constantes!$D$18)^2)/(Observaciones!$F518+0.95*Constantes!$D$18),0)</f>
        <v>0</v>
      </c>
      <c r="G519" s="76">
        <f>MAX(0,H518+Observaciones!$F518-F519-Constantes!$D$13)</f>
        <v>0</v>
      </c>
      <c r="H519" s="76">
        <f>H518+Observaciones!$F518-F519-E519-G519-I518</f>
        <v>11.25</v>
      </c>
      <c r="I519" s="76">
        <f>MAX(0,(H519-Constantes!$D$14)*(1-EXP(-Constantes!$D$22)))</f>
        <v>0</v>
      </c>
      <c r="J519" s="76">
        <f t="shared" ref="J519:J582" si="24">J518+G519-K518</f>
        <v>109.04522748033575</v>
      </c>
      <c r="K519" s="76">
        <f>MAX(0,(J519-Constantes!$D$13)*(1-EXP(-Constantes!$D$23)))</f>
        <v>0.59410323756805639</v>
      </c>
      <c r="L519" s="76">
        <f t="shared" ref="L519:L582" si="25">F519+I519+K519</f>
        <v>0.59410323756805639</v>
      </c>
      <c r="M519" s="76">
        <f>0.0526*F519*Observaciones!$F518^1.218</f>
        <v>0</v>
      </c>
      <c r="N519" s="76">
        <f>M519*Constantes!$D$51</f>
        <v>0</v>
      </c>
      <c r="O519" s="76">
        <f t="shared" ref="O519:O582" si="26">N519*1000000/(L519/1000*10000)</f>
        <v>0</v>
      </c>
      <c r="P519" s="15"/>
      <c r="Q519" s="75">
        <v>513</v>
      </c>
      <c r="R519" s="76">
        <f>0.0526*Observaciones!$F518^2.218</f>
        <v>0</v>
      </c>
      <c r="S519" s="76">
        <f>IF(Observaciones!$F518&gt;0.05*$W$7,((Observaciones!$F518-0.05*$W$7)^2)/(Observaciones!$F518+0.95*$W$7),0)</f>
        <v>0</v>
      </c>
      <c r="T519" s="76">
        <f>0.0526*S519*Observaciones!$F518^1.218</f>
        <v>0</v>
      </c>
      <c r="U519" s="29"/>
      <c r="V519" s="29"/>
      <c r="W519" s="109"/>
      <c r="X519" s="40"/>
    </row>
    <row r="520" spans="2:24" s="2" customFormat="1">
      <c r="B520" s="39"/>
      <c r="C520" s="75">
        <v>514</v>
      </c>
      <c r="D520" s="146">
        <f>ETo!$I519*((1-Constantes!$D$19)*ETo!$K519+ETo!$L519)</f>
        <v>2.5247697706787764</v>
      </c>
      <c r="E520" s="76">
        <f>MIN(D520*Constantes!$D$17,0.8*(H519+Observaciones!$F519-F520-G520-Constantes!$D$14))</f>
        <v>0</v>
      </c>
      <c r="F520" s="76">
        <f>IF(Observaciones!$F519&gt;0.05*Constantes!$D$18,((Observaciones!$F519-0.05*Constantes!$D$18)^2)/(Observaciones!$F519+0.95*Constantes!$D$18),0)</f>
        <v>0</v>
      </c>
      <c r="G520" s="76">
        <f>MAX(0,H519+Observaciones!$F519-F520-Constantes!$D$13)</f>
        <v>0</v>
      </c>
      <c r="H520" s="76">
        <f>H519+Observaciones!$F519-F520-E520-G520-I519</f>
        <v>11.25</v>
      </c>
      <c r="I520" s="76">
        <f>MAX(0,(H520-Constantes!$D$14)*(1-EXP(-Constantes!$D$22)))</f>
        <v>0</v>
      </c>
      <c r="J520" s="76">
        <f t="shared" si="24"/>
        <v>108.45112424276769</v>
      </c>
      <c r="K520" s="76">
        <f>MAX(0,(J520-Constantes!$D$13)*(1-EXP(-Constantes!$D$23)))</f>
        <v>0.58824939686393163</v>
      </c>
      <c r="L520" s="76">
        <f t="shared" si="25"/>
        <v>0.58824939686393163</v>
      </c>
      <c r="M520" s="76">
        <f>0.0526*F520*Observaciones!$F519^1.218</f>
        <v>0</v>
      </c>
      <c r="N520" s="76">
        <f>M520*Constantes!$D$51</f>
        <v>0</v>
      </c>
      <c r="O520" s="76">
        <f t="shared" si="26"/>
        <v>0</v>
      </c>
      <c r="P520" s="15"/>
      <c r="Q520" s="75">
        <v>514</v>
      </c>
      <c r="R520" s="76">
        <f>0.0526*Observaciones!$F519^2.218</f>
        <v>0</v>
      </c>
      <c r="S520" s="76">
        <f>IF(Observaciones!$F519&gt;0.05*$W$7,((Observaciones!$F519-0.05*$W$7)^2)/(Observaciones!$F519+0.95*$W$7),0)</f>
        <v>0</v>
      </c>
      <c r="T520" s="76">
        <f>0.0526*S520*Observaciones!$F519^1.218</f>
        <v>0</v>
      </c>
      <c r="U520" s="29"/>
      <c r="V520" s="29"/>
      <c r="W520" s="109"/>
      <c r="X520" s="40"/>
    </row>
    <row r="521" spans="2:24" s="2" customFormat="1">
      <c r="B521" s="39"/>
      <c r="C521" s="75">
        <v>515</v>
      </c>
      <c r="D521" s="146">
        <f>ETo!$I520*((1-Constantes!$D$19)*ETo!$K520+ETo!$L520)</f>
        <v>2.4737421117507834</v>
      </c>
      <c r="E521" s="76">
        <f>MIN(D521*Constantes!$D$17,0.8*(H520+Observaciones!$F520-F521-G521-Constantes!$D$14))</f>
        <v>0</v>
      </c>
      <c r="F521" s="76">
        <f>IF(Observaciones!$F520&gt;0.05*Constantes!$D$18,((Observaciones!$F520-0.05*Constantes!$D$18)^2)/(Observaciones!$F520+0.95*Constantes!$D$18),0)</f>
        <v>0</v>
      </c>
      <c r="G521" s="76">
        <f>MAX(0,H520+Observaciones!$F520-F521-Constantes!$D$13)</f>
        <v>0</v>
      </c>
      <c r="H521" s="76">
        <f>H520+Observaciones!$F520-F521-E521-G521-I520</f>
        <v>11.25</v>
      </c>
      <c r="I521" s="76">
        <f>MAX(0,(H521-Constantes!$D$14)*(1-EXP(-Constantes!$D$22)))</f>
        <v>0</v>
      </c>
      <c r="J521" s="76">
        <f t="shared" si="24"/>
        <v>107.86287484590376</v>
      </c>
      <c r="K521" s="76">
        <f>MAX(0,(J521-Constantes!$D$13)*(1-EXP(-Constantes!$D$23)))</f>
        <v>0.58245323544654093</v>
      </c>
      <c r="L521" s="76">
        <f t="shared" si="25"/>
        <v>0.58245323544654093</v>
      </c>
      <c r="M521" s="76">
        <f>0.0526*F521*Observaciones!$F520^1.218</f>
        <v>0</v>
      </c>
      <c r="N521" s="76">
        <f>M521*Constantes!$D$51</f>
        <v>0</v>
      </c>
      <c r="O521" s="76">
        <f t="shared" si="26"/>
        <v>0</v>
      </c>
      <c r="P521" s="15"/>
      <c r="Q521" s="75">
        <v>515</v>
      </c>
      <c r="R521" s="76">
        <f>0.0526*Observaciones!$F520^2.218</f>
        <v>0</v>
      </c>
      <c r="S521" s="76">
        <f>IF(Observaciones!$F520&gt;0.05*$W$7,((Observaciones!$F520-0.05*$W$7)^2)/(Observaciones!$F520+0.95*$W$7),0)</f>
        <v>0</v>
      </c>
      <c r="T521" s="76">
        <f>0.0526*S521*Observaciones!$F520^1.218</f>
        <v>0</v>
      </c>
      <c r="U521" s="29"/>
      <c r="V521" s="29"/>
      <c r="W521" s="109"/>
      <c r="X521" s="40"/>
    </row>
    <row r="522" spans="2:24" s="2" customFormat="1">
      <c r="B522" s="39"/>
      <c r="C522" s="75">
        <v>516</v>
      </c>
      <c r="D522" s="146">
        <f>ETo!$I521*((1-Constantes!$D$19)*ETo!$K521+ETo!$L521)</f>
        <v>2.4875140123387354</v>
      </c>
      <c r="E522" s="76">
        <f>MIN(D522*Constantes!$D$17,0.8*(H521+Observaciones!$F521-F522-G522-Constantes!$D$14))</f>
        <v>0</v>
      </c>
      <c r="F522" s="76">
        <f>IF(Observaciones!$F521&gt;0.05*Constantes!$D$18,((Observaciones!$F521-0.05*Constantes!$D$18)^2)/(Observaciones!$F521+0.95*Constantes!$D$18),0)</f>
        <v>0</v>
      </c>
      <c r="G522" s="76">
        <f>MAX(0,H521+Observaciones!$F521-F522-Constantes!$D$13)</f>
        <v>0</v>
      </c>
      <c r="H522" s="76">
        <f>H521+Observaciones!$F521-F522-E522-G522-I521</f>
        <v>11.25</v>
      </c>
      <c r="I522" s="76">
        <f>MAX(0,(H522-Constantes!$D$14)*(1-EXP(-Constantes!$D$22)))</f>
        <v>0</v>
      </c>
      <c r="J522" s="76">
        <f t="shared" si="24"/>
        <v>107.28042161045722</v>
      </c>
      <c r="K522" s="76">
        <f>MAX(0,(J522-Constantes!$D$13)*(1-EXP(-Constantes!$D$23)))</f>
        <v>0.57671418498813387</v>
      </c>
      <c r="L522" s="76">
        <f t="shared" si="25"/>
        <v>0.57671418498813387</v>
      </c>
      <c r="M522" s="76">
        <f>0.0526*F522*Observaciones!$F521^1.218</f>
        <v>0</v>
      </c>
      <c r="N522" s="76">
        <f>M522*Constantes!$D$51</f>
        <v>0</v>
      </c>
      <c r="O522" s="76">
        <f t="shared" si="26"/>
        <v>0</v>
      </c>
      <c r="P522" s="15"/>
      <c r="Q522" s="75">
        <v>516</v>
      </c>
      <c r="R522" s="76">
        <f>0.0526*Observaciones!$F521^2.218</f>
        <v>0</v>
      </c>
      <c r="S522" s="76">
        <f>IF(Observaciones!$F521&gt;0.05*$W$7,((Observaciones!$F521-0.05*$W$7)^2)/(Observaciones!$F521+0.95*$W$7),0)</f>
        <v>0</v>
      </c>
      <c r="T522" s="76">
        <f>0.0526*S522*Observaciones!$F521^1.218</f>
        <v>0</v>
      </c>
      <c r="U522" s="29"/>
      <c r="V522" s="29"/>
      <c r="W522" s="109"/>
      <c r="X522" s="40"/>
    </row>
    <row r="523" spans="2:24" s="2" customFormat="1">
      <c r="B523" s="39"/>
      <c r="C523" s="75">
        <v>517</v>
      </c>
      <c r="D523" s="146">
        <f>ETo!$I522*((1-Constantes!$D$19)*ETo!$K522+ETo!$L522)</f>
        <v>2.4869993284765659</v>
      </c>
      <c r="E523" s="76">
        <f>MIN(D523*Constantes!$D$17,0.8*(H522+Observaciones!$F522-F523-G523-Constantes!$D$14))</f>
        <v>0</v>
      </c>
      <c r="F523" s="76">
        <f>IF(Observaciones!$F522&gt;0.05*Constantes!$D$18,((Observaciones!$F522-0.05*Constantes!$D$18)^2)/(Observaciones!$F522+0.95*Constantes!$D$18),0)</f>
        <v>0</v>
      </c>
      <c r="G523" s="76">
        <f>MAX(0,H522+Observaciones!$F522-F523-Constantes!$D$13)</f>
        <v>0</v>
      </c>
      <c r="H523" s="76">
        <f>H522+Observaciones!$F522-F523-E523-G523-I522</f>
        <v>11.25</v>
      </c>
      <c r="I523" s="76">
        <f>MAX(0,(H523-Constantes!$D$14)*(1-EXP(-Constantes!$D$22)))</f>
        <v>0</v>
      </c>
      <c r="J523" s="76">
        <f t="shared" si="24"/>
        <v>106.70370742546909</v>
      </c>
      <c r="K523" s="76">
        <f>MAX(0,(J523-Constantes!$D$13)*(1-EXP(-Constantes!$D$23)))</f>
        <v>0.57103168276082883</v>
      </c>
      <c r="L523" s="76">
        <f t="shared" si="25"/>
        <v>0.57103168276082883</v>
      </c>
      <c r="M523" s="76">
        <f>0.0526*F523*Observaciones!$F522^1.218</f>
        <v>0</v>
      </c>
      <c r="N523" s="76">
        <f>M523*Constantes!$D$51</f>
        <v>0</v>
      </c>
      <c r="O523" s="76">
        <f t="shared" si="26"/>
        <v>0</v>
      </c>
      <c r="P523" s="15"/>
      <c r="Q523" s="75">
        <v>517</v>
      </c>
      <c r="R523" s="76">
        <f>0.0526*Observaciones!$F522^2.218</f>
        <v>0</v>
      </c>
      <c r="S523" s="76">
        <f>IF(Observaciones!$F522&gt;0.05*$W$7,((Observaciones!$F522-0.05*$W$7)^2)/(Observaciones!$F522+0.95*$W$7),0)</f>
        <v>0</v>
      </c>
      <c r="T523" s="76">
        <f>0.0526*S523*Observaciones!$F522^1.218</f>
        <v>0</v>
      </c>
      <c r="U523" s="29"/>
      <c r="V523" s="29"/>
      <c r="W523" s="109"/>
      <c r="X523" s="40"/>
    </row>
    <row r="524" spans="2:24" s="2" customFormat="1">
      <c r="B524" s="39"/>
      <c r="C524" s="75">
        <v>518</v>
      </c>
      <c r="D524" s="146">
        <f>ETo!$I523*((1-Constantes!$D$19)*ETo!$K523+ETo!$L523)</f>
        <v>2.4549255300321318</v>
      </c>
      <c r="E524" s="76">
        <f>MIN(D524*Constantes!$D$17,0.8*(H523+Observaciones!$F523-F524-G524-Constantes!$D$14))</f>
        <v>1.2517271308123565</v>
      </c>
      <c r="F524" s="76">
        <f>IF(Observaciones!$F523&gt;0.05*Constantes!$D$18,((Observaciones!$F523-0.05*Constantes!$D$18)^2)/(Observaciones!$F523+0.95*Constantes!$D$18),0)</f>
        <v>0.78269247427200483</v>
      </c>
      <c r="G524" s="76">
        <f>MAX(0,H523+Observaciones!$F523-F524-Constantes!$D$13)</f>
        <v>0</v>
      </c>
      <c r="H524" s="76">
        <f>H523+Observaciones!$F523-F524-E524-G524-I523</f>
        <v>20.815580394915642</v>
      </c>
      <c r="I524" s="76">
        <f>MAX(0,(H524-Constantes!$D$14)*(1-EXP(-Constantes!$D$22)))</f>
        <v>0.32583878421535195</v>
      </c>
      <c r="J524" s="76">
        <f t="shared" si="24"/>
        <v>106.13267574270826</v>
      </c>
      <c r="K524" s="76">
        <f>MAX(0,(J524-Constantes!$D$13)*(1-EXP(-Constantes!$D$23)))</f>
        <v>0.56540517158143599</v>
      </c>
      <c r="L524" s="76">
        <f t="shared" si="25"/>
        <v>1.6739364300687929</v>
      </c>
      <c r="M524" s="76">
        <f>0.0526*F524*Observaciones!$F523^1.218</f>
        <v>0.81486700505284226</v>
      </c>
      <c r="N524" s="76">
        <f>M524*Constantes!$D$51</f>
        <v>1.1456945735200001E-2</v>
      </c>
      <c r="O524" s="76">
        <f t="shared" si="26"/>
        <v>684.43135171681286</v>
      </c>
      <c r="P524" s="15"/>
      <c r="Q524" s="75">
        <v>518</v>
      </c>
      <c r="R524" s="76">
        <f>0.0526*Observaciones!$F523^2.218</f>
        <v>12.076846998439398</v>
      </c>
      <c r="S524" s="76">
        <f>IF(Observaciones!$F523&gt;0.05*$W$7,((Observaciones!$F523-0.05*$W$7)^2)/(Observaciones!$F523+0.95*$W$7),0)</f>
        <v>2.1881138522390695</v>
      </c>
      <c r="T524" s="76">
        <f>0.0526*S524*Observaciones!$F523^1.218</f>
        <v>2.2780617421256109</v>
      </c>
      <c r="U524" s="29"/>
      <c r="V524" s="29"/>
      <c r="W524" s="109"/>
      <c r="X524" s="40"/>
    </row>
    <row r="525" spans="2:24" s="2" customFormat="1">
      <c r="B525" s="39"/>
      <c r="C525" s="75">
        <v>519</v>
      </c>
      <c r="D525" s="146">
        <f>ETo!$I524*((1-Constantes!$D$19)*ETo!$K524+ETo!$L524)</f>
        <v>2.3349863105211801</v>
      </c>
      <c r="E525" s="76">
        <f>MIN(D525*Constantes!$D$17,0.8*(H524+Observaciones!$F524-F525-G525-Constantes!$D$14))</f>
        <v>1.1905720475832731</v>
      </c>
      <c r="F525" s="76">
        <f>IF(Observaciones!$F524&gt;0.05*Constantes!$D$18,((Observaciones!$F524-0.05*Constantes!$D$18)^2)/(Observaciones!$F524+0.95*Constantes!$D$18),0)</f>
        <v>0</v>
      </c>
      <c r="G525" s="76">
        <f>MAX(0,H524+Observaciones!$F524-F525-Constantes!$D$13)</f>
        <v>0</v>
      </c>
      <c r="H525" s="76">
        <f>H524+Observaciones!$F524-F525-E525-G525-I524</f>
        <v>20.599169563117016</v>
      </c>
      <c r="I525" s="76">
        <f>MAX(0,(H525-Constantes!$D$14)*(1-EXP(-Constantes!$D$22)))</f>
        <v>0.31846703682386301</v>
      </c>
      <c r="J525" s="76">
        <f t="shared" si="24"/>
        <v>105.56727057112683</v>
      </c>
      <c r="K525" s="76">
        <f>MAX(0,(J525-Constantes!$D$13)*(1-EXP(-Constantes!$D$23)))</f>
        <v>0.5598340997568243</v>
      </c>
      <c r="L525" s="76">
        <f t="shared" si="25"/>
        <v>0.87830113658068731</v>
      </c>
      <c r="M525" s="76">
        <f>0.0526*F525*Observaciones!$F524^1.218</f>
        <v>0</v>
      </c>
      <c r="N525" s="76">
        <f>M525*Constantes!$D$51</f>
        <v>0</v>
      </c>
      <c r="O525" s="76">
        <f t="shared" si="26"/>
        <v>0</v>
      </c>
      <c r="P525" s="15"/>
      <c r="Q525" s="75">
        <v>519</v>
      </c>
      <c r="R525" s="76">
        <f>0.0526*Observaciones!$F524^2.218</f>
        <v>9.412654104711686E-2</v>
      </c>
      <c r="S525" s="76">
        <f>IF(Observaciones!$F524&gt;0.05*$W$7,((Observaciones!$F524-0.05*$W$7)^2)/(Observaciones!$F524+0.95*$W$7),0)</f>
        <v>0</v>
      </c>
      <c r="T525" s="76">
        <f>0.0526*S525*Observaciones!$F524^1.218</f>
        <v>0</v>
      </c>
      <c r="U525" s="29"/>
      <c r="V525" s="29"/>
      <c r="W525" s="109"/>
      <c r="X525" s="40"/>
    </row>
    <row r="526" spans="2:24" s="2" customFormat="1">
      <c r="B526" s="39"/>
      <c r="C526" s="75">
        <v>520</v>
      </c>
      <c r="D526" s="146">
        <f>ETo!$I525*((1-Constantes!$D$19)*ETo!$K525+ETo!$L525)</f>
        <v>2.6223805106150184</v>
      </c>
      <c r="E526" s="76">
        <f>MIN(D526*Constantes!$D$17,0.8*(H525+Observaciones!$F525-F526-G526-Constantes!$D$14))</f>
        <v>1.3371097380731609</v>
      </c>
      <c r="F526" s="76">
        <f>IF(Observaciones!$F525&gt;0.05*Constantes!$D$18,((Observaciones!$F525-0.05*Constantes!$D$18)^2)/(Observaciones!$F525+0.95*Constantes!$D$18),0)</f>
        <v>0</v>
      </c>
      <c r="G526" s="76">
        <f>MAX(0,H525+Observaciones!$F525-F526-Constantes!$D$13)</f>
        <v>0</v>
      </c>
      <c r="H526" s="76">
        <f>H525+Observaciones!$F525-F526-E526-G526-I525</f>
        <v>18.943592788219995</v>
      </c>
      <c r="I526" s="76">
        <f>MAX(0,(H526-Constantes!$D$14)*(1-EXP(-Constantes!$D$22)))</f>
        <v>0.26207201412410591</v>
      </c>
      <c r="J526" s="76">
        <f t="shared" si="24"/>
        <v>105.00743647137</v>
      </c>
      <c r="K526" s="76">
        <f>MAX(0,(J526-Constantes!$D$13)*(1-EXP(-Constantes!$D$23)))</f>
        <v>0.55431792102982635</v>
      </c>
      <c r="L526" s="76">
        <f t="shared" si="25"/>
        <v>0.81638993515393232</v>
      </c>
      <c r="M526" s="76">
        <f>0.0526*F526*Observaciones!$F525^1.218</f>
        <v>0</v>
      </c>
      <c r="N526" s="76">
        <f>M526*Constantes!$D$51</f>
        <v>0</v>
      </c>
      <c r="O526" s="76">
        <f t="shared" si="26"/>
        <v>0</v>
      </c>
      <c r="P526" s="15"/>
      <c r="Q526" s="75">
        <v>520</v>
      </c>
      <c r="R526" s="76">
        <f>0.0526*Observaciones!$F525^2.218</f>
        <v>0</v>
      </c>
      <c r="S526" s="76">
        <f>IF(Observaciones!$F525&gt;0.05*$W$7,((Observaciones!$F525-0.05*$W$7)^2)/(Observaciones!$F525+0.95*$W$7),0)</f>
        <v>0</v>
      </c>
      <c r="T526" s="76">
        <f>0.0526*S526*Observaciones!$F525^1.218</f>
        <v>0</v>
      </c>
      <c r="U526" s="29"/>
      <c r="V526" s="29"/>
      <c r="W526" s="109"/>
      <c r="X526" s="40"/>
    </row>
    <row r="527" spans="2:24" s="2" customFormat="1">
      <c r="B527" s="39"/>
      <c r="C527" s="75">
        <v>521</v>
      </c>
      <c r="D527" s="146">
        <f>ETo!$I526*((1-Constantes!$D$19)*ETo!$K526+ETo!$L526)</f>
        <v>2.4451304645330851</v>
      </c>
      <c r="E527" s="76">
        <f>MIN(D527*Constantes!$D$17,0.8*(H526+Observaciones!$F526-F527-G527-Constantes!$D$14))</f>
        <v>1.2467327841068252</v>
      </c>
      <c r="F527" s="76">
        <f>IF(Observaciones!$F526&gt;0.05*Constantes!$D$18,((Observaciones!$F526-0.05*Constantes!$D$18)^2)/(Observaciones!$F526+0.95*Constantes!$D$18),0)</f>
        <v>0</v>
      </c>
      <c r="G527" s="76">
        <f>MAX(0,H526+Observaciones!$F526-F527-Constantes!$D$13)</f>
        <v>0</v>
      </c>
      <c r="H527" s="76">
        <f>H526+Observaciones!$F526-F527-E527-G527-I526</f>
        <v>17.434787989989065</v>
      </c>
      <c r="I527" s="76">
        <f>MAX(0,(H527-Constantes!$D$14)*(1-EXP(-Constantes!$D$22)))</f>
        <v>0.21067658376055284</v>
      </c>
      <c r="J527" s="76">
        <f t="shared" si="24"/>
        <v>104.45311855034018</v>
      </c>
      <c r="K527" s="76">
        <f>MAX(0,(J527-Constantes!$D$13)*(1-EXP(-Constantes!$D$23)))</f>
        <v>0.54885609452567696</v>
      </c>
      <c r="L527" s="76">
        <f t="shared" si="25"/>
        <v>0.75953267828622983</v>
      </c>
      <c r="M527" s="76">
        <f>0.0526*F527*Observaciones!$F526^1.218</f>
        <v>0</v>
      </c>
      <c r="N527" s="76">
        <f>M527*Constantes!$D$51</f>
        <v>0</v>
      </c>
      <c r="O527" s="76">
        <f t="shared" si="26"/>
        <v>0</v>
      </c>
      <c r="P527" s="15"/>
      <c r="Q527" s="75">
        <v>521</v>
      </c>
      <c r="R527" s="76">
        <f>0.0526*Observaciones!$F526^2.218</f>
        <v>0</v>
      </c>
      <c r="S527" s="76">
        <f>IF(Observaciones!$F526&gt;0.05*$W$7,((Observaciones!$F526-0.05*$W$7)^2)/(Observaciones!$F526+0.95*$W$7),0)</f>
        <v>0</v>
      </c>
      <c r="T527" s="76">
        <f>0.0526*S527*Observaciones!$F526^1.218</f>
        <v>0</v>
      </c>
      <c r="U527" s="29"/>
      <c r="V527" s="29"/>
      <c r="W527" s="109"/>
      <c r="X527" s="40"/>
    </row>
    <row r="528" spans="2:24" s="2" customFormat="1">
      <c r="B528" s="39"/>
      <c r="C528" s="75">
        <v>522</v>
      </c>
      <c r="D528" s="146">
        <f>ETo!$I527*((1-Constantes!$D$19)*ETo!$K527+ETo!$L527)</f>
        <v>2.5127884433137568</v>
      </c>
      <c r="E528" s="76">
        <f>MIN(D528*Constantes!$D$17,0.8*(H527+Observaciones!$F527-F528-G528-Constantes!$D$14))</f>
        <v>1.2812305017034094</v>
      </c>
      <c r="F528" s="76">
        <f>IF(Observaciones!$F527&gt;0.05*Constantes!$D$18,((Observaciones!$F527-0.05*Constantes!$D$18)^2)/(Observaciones!$F527+0.95*Constantes!$D$18),0)</f>
        <v>0</v>
      </c>
      <c r="G528" s="76">
        <f>MAX(0,H527+Observaciones!$F527-F528-Constantes!$D$13)</f>
        <v>0</v>
      </c>
      <c r="H528" s="76">
        <f>H527+Observaciones!$F527-F528-E528-G528-I527</f>
        <v>15.942880904525104</v>
      </c>
      <c r="I528" s="76">
        <f>MAX(0,(H528-Constantes!$D$14)*(1-EXP(-Constantes!$D$22)))</f>
        <v>0.15985675152661621</v>
      </c>
      <c r="J528" s="76">
        <f t="shared" si="24"/>
        <v>103.9042624558145</v>
      </c>
      <c r="K528" s="76">
        <f>MAX(0,(J528-Constantes!$D$13)*(1-EXP(-Constantes!$D$23)))</f>
        <v>0.54344808469897876</v>
      </c>
      <c r="L528" s="76">
        <f t="shared" si="25"/>
        <v>0.70330483622559492</v>
      </c>
      <c r="M528" s="76">
        <f>0.0526*F528*Observaciones!$F527^1.218</f>
        <v>0</v>
      </c>
      <c r="N528" s="76">
        <f>M528*Constantes!$D$51</f>
        <v>0</v>
      </c>
      <c r="O528" s="76">
        <f t="shared" si="26"/>
        <v>0</v>
      </c>
      <c r="P528" s="15"/>
      <c r="Q528" s="75">
        <v>522</v>
      </c>
      <c r="R528" s="76">
        <f>0.0526*Observaciones!$F527^2.218</f>
        <v>0</v>
      </c>
      <c r="S528" s="76">
        <f>IF(Observaciones!$F527&gt;0.05*$W$7,((Observaciones!$F527-0.05*$W$7)^2)/(Observaciones!$F527+0.95*$W$7),0)</f>
        <v>0</v>
      </c>
      <c r="T528" s="76">
        <f>0.0526*S528*Observaciones!$F527^1.218</f>
        <v>0</v>
      </c>
      <c r="U528" s="29"/>
      <c r="V528" s="29"/>
      <c r="W528" s="109"/>
      <c r="X528" s="40"/>
    </row>
    <row r="529" spans="2:24" s="2" customFormat="1">
      <c r="B529" s="39"/>
      <c r="C529" s="75">
        <v>523</v>
      </c>
      <c r="D529" s="146">
        <f>ETo!$I528*((1-Constantes!$D$19)*ETo!$K528+ETo!$L528)</f>
        <v>2.4452517678504488</v>
      </c>
      <c r="E529" s="76">
        <f>MIN(D529*Constantes!$D$17,0.8*(H528+Observaciones!$F528-F529-G529-Constantes!$D$14))</f>
        <v>1.2467946347216581</v>
      </c>
      <c r="F529" s="76">
        <f>IF(Observaciones!$F528&gt;0.05*Constantes!$D$18,((Observaciones!$F528-0.05*Constantes!$D$18)^2)/(Observaciones!$F528+0.95*Constantes!$D$18),0)</f>
        <v>0</v>
      </c>
      <c r="G529" s="76">
        <f>MAX(0,H528+Observaciones!$F528-F529-Constantes!$D$13)</f>
        <v>0</v>
      </c>
      <c r="H529" s="76">
        <f>H528+Observaciones!$F528-F529-E529-G529-I528</f>
        <v>14.53622951827683</v>
      </c>
      <c r="I529" s="76">
        <f>MAX(0,(H529-Constantes!$D$14)*(1-EXP(-Constantes!$D$22)))</f>
        <v>0.11194104138804503</v>
      </c>
      <c r="J529" s="76">
        <f t="shared" si="24"/>
        <v>103.36081437111552</v>
      </c>
      <c r="K529" s="76">
        <f>MAX(0,(J529-Constantes!$D$13)*(1-EXP(-Constantes!$D$23)))</f>
        <v>0.53809336128119045</v>
      </c>
      <c r="L529" s="76">
        <f t="shared" si="25"/>
        <v>0.65003440266923551</v>
      </c>
      <c r="M529" s="76">
        <f>0.0526*F529*Observaciones!$F528^1.218</f>
        <v>0</v>
      </c>
      <c r="N529" s="76">
        <f>M529*Constantes!$D$51</f>
        <v>0</v>
      </c>
      <c r="O529" s="76">
        <f t="shared" si="26"/>
        <v>0</v>
      </c>
      <c r="P529" s="15"/>
      <c r="Q529" s="75">
        <v>523</v>
      </c>
      <c r="R529" s="76">
        <f>0.0526*Observaciones!$F528^2.218</f>
        <v>0</v>
      </c>
      <c r="S529" s="76">
        <f>IF(Observaciones!$F528&gt;0.05*$W$7,((Observaciones!$F528-0.05*$W$7)^2)/(Observaciones!$F528+0.95*$W$7),0)</f>
        <v>0</v>
      </c>
      <c r="T529" s="76">
        <f>0.0526*S529*Observaciones!$F528^1.218</f>
        <v>0</v>
      </c>
      <c r="U529" s="29"/>
      <c r="V529" s="29"/>
      <c r="W529" s="109"/>
      <c r="X529" s="40"/>
    </row>
    <row r="530" spans="2:24" s="2" customFormat="1">
      <c r="B530" s="39"/>
      <c r="C530" s="75">
        <v>524</v>
      </c>
      <c r="D530" s="146">
        <f>ETo!$I529*((1-Constantes!$D$19)*ETo!$K529+ETo!$L529)</f>
        <v>2.4673826589887082</v>
      </c>
      <c r="E530" s="76">
        <f>MIN(D530*Constantes!$D$17,0.8*(H529+Observaciones!$F529-F530-G530-Constantes!$D$14))</f>
        <v>1.2580788209537559</v>
      </c>
      <c r="F530" s="76">
        <f>IF(Observaciones!$F529&gt;0.05*Constantes!$D$18,((Observaciones!$F529-0.05*Constantes!$D$18)^2)/(Observaciones!$F529+0.95*Constantes!$D$18),0)</f>
        <v>0</v>
      </c>
      <c r="G530" s="76">
        <f>MAX(0,H529+Observaciones!$F529-F530-Constantes!$D$13)</f>
        <v>0</v>
      </c>
      <c r="H530" s="76">
        <f>H529+Observaciones!$F529-F530-E530-G530-I529</f>
        <v>13.166209655935029</v>
      </c>
      <c r="I530" s="76">
        <f>MAX(0,(H530-Constantes!$D$14)*(1-EXP(-Constantes!$D$22)))</f>
        <v>6.5273135430805623E-2</v>
      </c>
      <c r="J530" s="76">
        <f t="shared" si="24"/>
        <v>102.82272100983434</v>
      </c>
      <c r="K530" s="76">
        <f>MAX(0,(J530-Constantes!$D$13)*(1-EXP(-Constantes!$D$23)))</f>
        <v>0.5327913992286335</v>
      </c>
      <c r="L530" s="76">
        <f t="shared" si="25"/>
        <v>0.5980645346594391</v>
      </c>
      <c r="M530" s="76">
        <f>0.0526*F530*Observaciones!$F529^1.218</f>
        <v>0</v>
      </c>
      <c r="N530" s="76">
        <f>M530*Constantes!$D$51</f>
        <v>0</v>
      </c>
      <c r="O530" s="76">
        <f t="shared" si="26"/>
        <v>0</v>
      </c>
      <c r="P530" s="15"/>
      <c r="Q530" s="75">
        <v>524</v>
      </c>
      <c r="R530" s="76">
        <f>0.0526*Observaciones!$F529^2.218</f>
        <v>0</v>
      </c>
      <c r="S530" s="76">
        <f>IF(Observaciones!$F529&gt;0.05*$W$7,((Observaciones!$F529-0.05*$W$7)^2)/(Observaciones!$F529+0.95*$W$7),0)</f>
        <v>0</v>
      </c>
      <c r="T530" s="76">
        <f>0.0526*S530*Observaciones!$F529^1.218</f>
        <v>0</v>
      </c>
      <c r="U530" s="29"/>
      <c r="V530" s="29"/>
      <c r="W530" s="109"/>
      <c r="X530" s="40"/>
    </row>
    <row r="531" spans="2:24" s="2" customFormat="1">
      <c r="B531" s="39"/>
      <c r="C531" s="75">
        <v>525</v>
      </c>
      <c r="D531" s="146">
        <f>ETo!$I530*((1-Constantes!$D$19)*ETo!$K530+ETo!$L530)</f>
        <v>2.3365203381372397</v>
      </c>
      <c r="E531" s="76">
        <f>MIN(D531*Constantes!$D$17,0.8*(H530+Observaciones!$F530-F531-G531-Constantes!$D$14))</f>
        <v>1.1913542236464352</v>
      </c>
      <c r="F531" s="76">
        <f>IF(Observaciones!$F530&gt;0.05*Constantes!$D$18,((Observaciones!$F530-0.05*Constantes!$D$18)^2)/(Observaciones!$F530+0.95*Constantes!$D$18),0)</f>
        <v>0</v>
      </c>
      <c r="G531" s="76">
        <f>MAX(0,H530+Observaciones!$F530-F531-Constantes!$D$13)</f>
        <v>0</v>
      </c>
      <c r="H531" s="76">
        <f>H530+Observaciones!$F530-F531-E531-G531-I530</f>
        <v>13.609582296857788</v>
      </c>
      <c r="I531" s="76">
        <f>MAX(0,(H531-Constantes!$D$14)*(1-EXP(-Constantes!$D$22)))</f>
        <v>8.0376035234921012E-2</v>
      </c>
      <c r="J531" s="76">
        <f t="shared" si="24"/>
        <v>102.28992961060571</v>
      </c>
      <c r="K531" s="76">
        <f>MAX(0,(J531-Constantes!$D$13)*(1-EXP(-Constantes!$D$23)))</f>
        <v>0.52754167867100943</v>
      </c>
      <c r="L531" s="76">
        <f t="shared" si="25"/>
        <v>0.60791771390593041</v>
      </c>
      <c r="M531" s="76">
        <f>0.0526*F531*Observaciones!$F530^1.218</f>
        <v>0</v>
      </c>
      <c r="N531" s="76">
        <f>M531*Constantes!$D$51</f>
        <v>0</v>
      </c>
      <c r="O531" s="76">
        <f t="shared" si="26"/>
        <v>0</v>
      </c>
      <c r="P531" s="15"/>
      <c r="Q531" s="75">
        <v>525</v>
      </c>
      <c r="R531" s="76">
        <f>0.0526*Observaciones!$F530^2.218</f>
        <v>0.17065595668433275</v>
      </c>
      <c r="S531" s="76">
        <f>IF(Observaciones!$F530&gt;0.05*$W$7,((Observaciones!$F530-0.05*$W$7)^2)/(Observaciones!$F530+0.95*$W$7),0)</f>
        <v>0</v>
      </c>
      <c r="T531" s="76">
        <f>0.0526*S531*Observaciones!$F530^1.218</f>
        <v>0</v>
      </c>
      <c r="U531" s="29"/>
      <c r="V531" s="29"/>
      <c r="W531" s="109"/>
      <c r="X531" s="40"/>
    </row>
    <row r="532" spans="2:24" s="2" customFormat="1">
      <c r="B532" s="39"/>
      <c r="C532" s="75">
        <v>526</v>
      </c>
      <c r="D532" s="146">
        <f>ETo!$I531*((1-Constantes!$D$19)*ETo!$K531+ETo!$L531)</f>
        <v>2.2864219040821494</v>
      </c>
      <c r="E532" s="76">
        <f>MIN(D532*Constantes!$D$17,0.8*(H531+Observaciones!$F531-F532-G532-Constantes!$D$14))</f>
        <v>1.1658098361076616</v>
      </c>
      <c r="F532" s="76">
        <f>IF(Observaciones!$F531&gt;0.05*Constantes!$D$18,((Observaciones!$F531-0.05*Constantes!$D$18)^2)/(Observaciones!$F531+0.95*Constantes!$D$18),0)</f>
        <v>0</v>
      </c>
      <c r="G532" s="76">
        <f>MAX(0,H531+Observaciones!$F531-F532-Constantes!$D$13)</f>
        <v>0</v>
      </c>
      <c r="H532" s="76">
        <f>H531+Observaciones!$F531-F532-E532-G532-I531</f>
        <v>13.663396425515204</v>
      </c>
      <c r="I532" s="76">
        <f>MAX(0,(H532-Constantes!$D$14)*(1-EXP(-Constantes!$D$22)))</f>
        <v>8.2209142012703282E-2</v>
      </c>
      <c r="J532" s="76">
        <f t="shared" si="24"/>
        <v>101.7623879319347</v>
      </c>
      <c r="K532" s="76">
        <f>MAX(0,(J532-Constantes!$D$13)*(1-EXP(-Constantes!$D$23)))</f>
        <v>0.52234368486042548</v>
      </c>
      <c r="L532" s="76">
        <f t="shared" si="25"/>
        <v>0.60455282687312872</v>
      </c>
      <c r="M532" s="76">
        <f>0.0526*F532*Observaciones!$F531^1.218</f>
        <v>0</v>
      </c>
      <c r="N532" s="76">
        <f>M532*Constantes!$D$51</f>
        <v>0</v>
      </c>
      <c r="O532" s="76">
        <f t="shared" si="26"/>
        <v>0</v>
      </c>
      <c r="P532" s="15"/>
      <c r="Q532" s="75">
        <v>526</v>
      </c>
      <c r="R532" s="76">
        <f>0.0526*Observaciones!$F531^2.218</f>
        <v>9.412654104711686E-2</v>
      </c>
      <c r="S532" s="76">
        <f>IF(Observaciones!$F531&gt;0.05*$W$7,((Observaciones!$F531-0.05*$W$7)^2)/(Observaciones!$F531+0.95*$W$7),0)</f>
        <v>0</v>
      </c>
      <c r="T532" s="76">
        <f>0.0526*S532*Observaciones!$F531^1.218</f>
        <v>0</v>
      </c>
      <c r="U532" s="29"/>
      <c r="V532" s="29"/>
      <c r="W532" s="109"/>
      <c r="X532" s="40"/>
    </row>
    <row r="533" spans="2:24" s="2" customFormat="1">
      <c r="B533" s="39"/>
      <c r="C533" s="75">
        <v>527</v>
      </c>
      <c r="D533" s="146">
        <f>ETo!$I532*((1-Constantes!$D$19)*ETo!$K532+ETo!$L532)</f>
        <v>2.3708828758287614</v>
      </c>
      <c r="E533" s="76">
        <f>MIN(D533*Constantes!$D$17,0.8*(H532+Observaciones!$F532-F533-G533-Constantes!$D$14))</f>
        <v>1.2088751301610525</v>
      </c>
      <c r="F533" s="76">
        <f>IF(Observaciones!$F532&gt;0.05*Constantes!$D$18,((Observaciones!$F532-0.05*Constantes!$D$18)^2)/(Observaciones!$F532+0.95*Constantes!$D$18),0)</f>
        <v>0</v>
      </c>
      <c r="G533" s="76">
        <f>MAX(0,H532+Observaciones!$F532-F533-Constantes!$D$13)</f>
        <v>0</v>
      </c>
      <c r="H533" s="76">
        <f>H532+Observaciones!$F532-F533-E533-G533-I532</f>
        <v>12.67231215334145</v>
      </c>
      <c r="I533" s="76">
        <f>MAX(0,(H533-Constantes!$D$14)*(1-EXP(-Constantes!$D$22)))</f>
        <v>4.8449173357617704E-2</v>
      </c>
      <c r="J533" s="76">
        <f t="shared" si="24"/>
        <v>101.24004424707427</v>
      </c>
      <c r="K533" s="76">
        <f>MAX(0,(J533-Constantes!$D$13)*(1-EXP(-Constantes!$D$23)))</f>
        <v>0.51719690812092289</v>
      </c>
      <c r="L533" s="76">
        <f t="shared" si="25"/>
        <v>0.56564608147854056</v>
      </c>
      <c r="M533" s="76">
        <f>0.0526*F533*Observaciones!$F532^1.218</f>
        <v>0</v>
      </c>
      <c r="N533" s="76">
        <f>M533*Constantes!$D$51</f>
        <v>0</v>
      </c>
      <c r="O533" s="76">
        <f t="shared" si="26"/>
        <v>0</v>
      </c>
      <c r="P533" s="15"/>
      <c r="Q533" s="75">
        <v>527</v>
      </c>
      <c r="R533" s="76">
        <f>0.0526*Observaciones!$F532^2.218</f>
        <v>3.6411677467564265E-3</v>
      </c>
      <c r="S533" s="76">
        <f>IF(Observaciones!$F532&gt;0.05*$W$7,((Observaciones!$F532-0.05*$W$7)^2)/(Observaciones!$F532+0.95*$W$7),0)</f>
        <v>0</v>
      </c>
      <c r="T533" s="76">
        <f>0.0526*S533*Observaciones!$F532^1.218</f>
        <v>0</v>
      </c>
      <c r="U533" s="29"/>
      <c r="V533" s="29"/>
      <c r="W533" s="109"/>
      <c r="X533" s="40"/>
    </row>
    <row r="534" spans="2:24" s="2" customFormat="1">
      <c r="B534" s="39"/>
      <c r="C534" s="75">
        <v>528</v>
      </c>
      <c r="D534" s="146">
        <f>ETo!$I533*((1-Constantes!$D$19)*ETo!$K533+ETo!$L533)</f>
        <v>2.4653293804885732</v>
      </c>
      <c r="E534" s="76">
        <f>MIN(D534*Constantes!$D$17,0.8*(H533+Observaciones!$F533-F534-G534-Constantes!$D$14))</f>
        <v>1.1378497226731596</v>
      </c>
      <c r="F534" s="76">
        <f>IF(Observaciones!$F533&gt;0.05*Constantes!$D$18,((Observaciones!$F533-0.05*Constantes!$D$18)^2)/(Observaciones!$F533+0.95*Constantes!$D$18),0)</f>
        <v>0</v>
      </c>
      <c r="G534" s="76">
        <f>MAX(0,H533+Observaciones!$F533-F534-Constantes!$D$13)</f>
        <v>0</v>
      </c>
      <c r="H534" s="76">
        <f>H533+Observaciones!$F533-F534-E534-G534-I533</f>
        <v>11.486013257310672</v>
      </c>
      <c r="I534" s="76">
        <f>MAX(0,(H534-Constantes!$D$14)*(1-EXP(-Constantes!$D$22)))</f>
        <v>8.0394779664065153E-3</v>
      </c>
      <c r="J534" s="76">
        <f t="shared" si="24"/>
        <v>100.72284733895334</v>
      </c>
      <c r="K534" s="76">
        <f>MAX(0,(J534-Constantes!$D$13)*(1-EXP(-Constantes!$D$23)))</f>
        <v>0.51210084379850129</v>
      </c>
      <c r="L534" s="76">
        <f t="shared" si="25"/>
        <v>0.52014032176490776</v>
      </c>
      <c r="M534" s="76">
        <f>0.0526*F534*Observaciones!$F533^1.218</f>
        <v>0</v>
      </c>
      <c r="N534" s="76">
        <f>M534*Constantes!$D$51</f>
        <v>0</v>
      </c>
      <c r="O534" s="76">
        <f t="shared" si="26"/>
        <v>0</v>
      </c>
      <c r="P534" s="15"/>
      <c r="Q534" s="75">
        <v>528</v>
      </c>
      <c r="R534" s="76">
        <f>0.0526*Observaciones!$F533^2.218</f>
        <v>0</v>
      </c>
      <c r="S534" s="76">
        <f>IF(Observaciones!$F533&gt;0.05*$W$7,((Observaciones!$F533-0.05*$W$7)^2)/(Observaciones!$F533+0.95*$W$7),0)</f>
        <v>0</v>
      </c>
      <c r="T534" s="76">
        <f>0.0526*S534*Observaciones!$F533^1.218</f>
        <v>0</v>
      </c>
      <c r="U534" s="29"/>
      <c r="V534" s="29"/>
      <c r="W534" s="109"/>
      <c r="X534" s="40"/>
    </row>
    <row r="535" spans="2:24" s="2" customFormat="1">
      <c r="B535" s="39"/>
      <c r="C535" s="75">
        <v>529</v>
      </c>
      <c r="D535" s="146">
        <f>ETo!$I534*((1-Constantes!$D$19)*ETo!$K534+ETo!$L534)</f>
        <v>2.3311242056241626</v>
      </c>
      <c r="E535" s="76">
        <f>MIN(D535*Constantes!$D$17,0.8*(H534+Observaciones!$F534-F535-G535-Constantes!$D$14))</f>
        <v>0.1888106058485377</v>
      </c>
      <c r="F535" s="76">
        <f>IF(Observaciones!$F534&gt;0.05*Constantes!$D$18,((Observaciones!$F534-0.05*Constantes!$D$18)^2)/(Observaciones!$F534+0.95*Constantes!$D$18),0)</f>
        <v>0</v>
      </c>
      <c r="G535" s="76">
        <f>MAX(0,H534+Observaciones!$F534-F535-Constantes!$D$13)</f>
        <v>0</v>
      </c>
      <c r="H535" s="76">
        <f>H534+Observaciones!$F534-F535-E535-G535-I534</f>
        <v>11.289163173495728</v>
      </c>
      <c r="I535" s="76">
        <f>MAX(0,(H535-Constantes!$D$14)*(1-EXP(-Constantes!$D$22)))</f>
        <v>1.3340414602176932E-3</v>
      </c>
      <c r="J535" s="76">
        <f t="shared" si="24"/>
        <v>100.21074649515484</v>
      </c>
      <c r="K535" s="76">
        <f>MAX(0,(J535-Constantes!$D$13)*(1-EXP(-Constantes!$D$23)))</f>
        <v>0.50705499221163652</v>
      </c>
      <c r="L535" s="76">
        <f t="shared" si="25"/>
        <v>0.50838903367185417</v>
      </c>
      <c r="M535" s="76">
        <f>0.0526*F535*Observaciones!$F534^1.218</f>
        <v>0</v>
      </c>
      <c r="N535" s="76">
        <f>M535*Constantes!$D$51</f>
        <v>0</v>
      </c>
      <c r="O535" s="76">
        <f t="shared" si="26"/>
        <v>0</v>
      </c>
      <c r="P535" s="15"/>
      <c r="Q535" s="75">
        <v>529</v>
      </c>
      <c r="R535" s="76">
        <f>0.0526*Observaciones!$F534^2.218</f>
        <v>0</v>
      </c>
      <c r="S535" s="76">
        <f>IF(Observaciones!$F534&gt;0.05*$W$7,((Observaciones!$F534-0.05*$W$7)^2)/(Observaciones!$F534+0.95*$W$7),0)</f>
        <v>0</v>
      </c>
      <c r="T535" s="76">
        <f>0.0526*S535*Observaciones!$F534^1.218</f>
        <v>0</v>
      </c>
      <c r="U535" s="29"/>
      <c r="V535" s="29"/>
      <c r="W535" s="109"/>
      <c r="X535" s="40"/>
    </row>
    <row r="536" spans="2:24" s="2" customFormat="1">
      <c r="B536" s="39"/>
      <c r="C536" s="75">
        <v>530</v>
      </c>
      <c r="D536" s="146">
        <f>ETo!$I535*((1-Constantes!$D$19)*ETo!$K535+ETo!$L535)</f>
        <v>2.3945445359408759</v>
      </c>
      <c r="E536" s="76">
        <f>MIN(D536*Constantes!$D$17,0.8*(H535+Observaciones!$F535-F536-G536-Constantes!$D$14))</f>
        <v>3.1330538796582631E-2</v>
      </c>
      <c r="F536" s="76">
        <f>IF(Observaciones!$F535&gt;0.05*Constantes!$D$18,((Observaciones!$F535-0.05*Constantes!$D$18)^2)/(Observaciones!$F535+0.95*Constantes!$D$18),0)</f>
        <v>0</v>
      </c>
      <c r="G536" s="76">
        <f>MAX(0,H535+Observaciones!$F535-F536-Constantes!$D$13)</f>
        <v>0</v>
      </c>
      <c r="H536" s="76">
        <f>H535+Observaciones!$F535-F536-E536-G536-I535</f>
        <v>11.256498593238927</v>
      </c>
      <c r="I536" s="76">
        <f>MAX(0,(H536-Constantes!$D$14)*(1-EXP(-Constantes!$D$22)))</f>
        <v>2.2136594254203114E-4</v>
      </c>
      <c r="J536" s="76">
        <f t="shared" si="24"/>
        <v>99.703691502943201</v>
      </c>
      <c r="K536" s="76">
        <f>MAX(0,(J536-Constantes!$D$13)*(1-EXP(-Constantes!$D$23)))</f>
        <v>0.50205885860228538</v>
      </c>
      <c r="L536" s="76">
        <f t="shared" si="25"/>
        <v>0.50228022454482746</v>
      </c>
      <c r="M536" s="76">
        <f>0.0526*F536*Observaciones!$F535^1.218</f>
        <v>0</v>
      </c>
      <c r="N536" s="76">
        <f>M536*Constantes!$D$51</f>
        <v>0</v>
      </c>
      <c r="O536" s="76">
        <f t="shared" si="26"/>
        <v>0</v>
      </c>
      <c r="P536" s="15"/>
      <c r="Q536" s="75">
        <v>530</v>
      </c>
      <c r="R536" s="76">
        <f>0.0526*Observaciones!$F535^2.218</f>
        <v>0</v>
      </c>
      <c r="S536" s="76">
        <f>IF(Observaciones!$F535&gt;0.05*$W$7,((Observaciones!$F535-0.05*$W$7)^2)/(Observaciones!$F535+0.95*$W$7),0)</f>
        <v>0</v>
      </c>
      <c r="T536" s="76">
        <f>0.0526*S536*Observaciones!$F535^1.218</f>
        <v>0</v>
      </c>
      <c r="U536" s="29"/>
      <c r="V536" s="29"/>
      <c r="W536" s="109"/>
      <c r="X536" s="40"/>
    </row>
    <row r="537" spans="2:24" s="2" customFormat="1">
      <c r="B537" s="39"/>
      <c r="C537" s="75">
        <v>531</v>
      </c>
      <c r="D537" s="146">
        <f>ETo!$I536*((1-Constantes!$D$19)*ETo!$K536+ETo!$L536)</f>
        <v>2.3017285418733526</v>
      </c>
      <c r="E537" s="76">
        <f>MIN(D537*Constantes!$D$17,0.8*(H536+Observaciones!$F536-F537-G537-Constantes!$D$14))</f>
        <v>5.1988745911415897E-3</v>
      </c>
      <c r="F537" s="76">
        <f>IF(Observaciones!$F536&gt;0.05*Constantes!$D$18,((Observaciones!$F536-0.05*Constantes!$D$18)^2)/(Observaciones!$F536+0.95*Constantes!$D$18),0)</f>
        <v>0</v>
      </c>
      <c r="G537" s="76">
        <f>MAX(0,H536+Observaciones!$F536-F537-Constantes!$D$13)</f>
        <v>0</v>
      </c>
      <c r="H537" s="76">
        <f>H536+Observaciones!$F536-F537-E537-G537-I536</f>
        <v>11.251078352705244</v>
      </c>
      <c r="I537" s="76">
        <f>MAX(0,(H537-Constantes!$D$14)*(1-EXP(-Constantes!$D$22)))</f>
        <v>3.673265185444328E-5</v>
      </c>
      <c r="J537" s="76">
        <f t="shared" si="24"/>
        <v>99.201632644340918</v>
      </c>
      <c r="K537" s="76">
        <f>MAX(0,(J537-Constantes!$D$13)*(1-EXP(-Constantes!$D$23)))</f>
        <v>0.49711195308737349</v>
      </c>
      <c r="L537" s="76">
        <f t="shared" si="25"/>
        <v>0.49714868573922794</v>
      </c>
      <c r="M537" s="76">
        <f>0.0526*F537*Observaciones!$F536^1.218</f>
        <v>0</v>
      </c>
      <c r="N537" s="76">
        <f>M537*Constantes!$D$51</f>
        <v>0</v>
      </c>
      <c r="O537" s="76">
        <f t="shared" si="26"/>
        <v>0</v>
      </c>
      <c r="P537" s="15"/>
      <c r="Q537" s="75">
        <v>531</v>
      </c>
      <c r="R537" s="76">
        <f>0.0526*Observaciones!$F536^2.218</f>
        <v>0</v>
      </c>
      <c r="S537" s="76">
        <f>IF(Observaciones!$F536&gt;0.05*$W$7,((Observaciones!$F536-0.05*$W$7)^2)/(Observaciones!$F536+0.95*$W$7),0)</f>
        <v>0</v>
      </c>
      <c r="T537" s="76">
        <f>0.0526*S537*Observaciones!$F536^1.218</f>
        <v>0</v>
      </c>
      <c r="U537" s="29"/>
      <c r="V537" s="29"/>
      <c r="W537" s="109"/>
      <c r="X537" s="40"/>
    </row>
    <row r="538" spans="2:24" s="2" customFormat="1">
      <c r="B538" s="39"/>
      <c r="C538" s="75">
        <v>532</v>
      </c>
      <c r="D538" s="146">
        <f>ETo!$I537*((1-Constantes!$D$19)*ETo!$K537+ETo!$L537)</f>
        <v>2.3936722399723354</v>
      </c>
      <c r="E538" s="76">
        <f>MIN(D538*Constantes!$D$17,0.8*(H537+Observaciones!$F537-F538-G538-Constantes!$D$14))</f>
        <v>8.6268216419540524E-4</v>
      </c>
      <c r="F538" s="76">
        <f>IF(Observaciones!$F537&gt;0.05*Constantes!$D$18,((Observaciones!$F537-0.05*Constantes!$D$18)^2)/(Observaciones!$F537+0.95*Constantes!$D$18),0)</f>
        <v>0</v>
      </c>
      <c r="G538" s="76">
        <f>MAX(0,H537+Observaciones!$F537-F538-Constantes!$D$13)</f>
        <v>0</v>
      </c>
      <c r="H538" s="76">
        <f>H537+Observaciones!$F537-F538-E538-G538-I537</f>
        <v>11.250178937889194</v>
      </c>
      <c r="I538" s="76">
        <f>MAX(0,(H538-Constantes!$D$14)*(1-EXP(-Constantes!$D$22)))</f>
        <v>6.095281400382594E-6</v>
      </c>
      <c r="J538" s="76">
        <f t="shared" si="24"/>
        <v>98.704520691253549</v>
      </c>
      <c r="K538" s="76">
        <f>MAX(0,(J538-Constantes!$D$13)*(1-EXP(-Constantes!$D$23)))</f>
        <v>0.49221379061076115</v>
      </c>
      <c r="L538" s="76">
        <f t="shared" si="25"/>
        <v>0.49221988589216153</v>
      </c>
      <c r="M538" s="76">
        <f>0.0526*F538*Observaciones!$F537^1.218</f>
        <v>0</v>
      </c>
      <c r="N538" s="76">
        <f>M538*Constantes!$D$51</f>
        <v>0</v>
      </c>
      <c r="O538" s="76">
        <f t="shared" si="26"/>
        <v>0</v>
      </c>
      <c r="P538" s="15"/>
      <c r="Q538" s="75">
        <v>532</v>
      </c>
      <c r="R538" s="76">
        <f>0.0526*Observaciones!$F537^2.218</f>
        <v>0</v>
      </c>
      <c r="S538" s="76">
        <f>IF(Observaciones!$F537&gt;0.05*$W$7,((Observaciones!$F537-0.05*$W$7)^2)/(Observaciones!$F537+0.95*$W$7),0)</f>
        <v>0</v>
      </c>
      <c r="T538" s="76">
        <f>0.0526*S538*Observaciones!$F537^1.218</f>
        <v>0</v>
      </c>
      <c r="U538" s="29"/>
      <c r="V538" s="29"/>
      <c r="W538" s="109"/>
      <c r="X538" s="40"/>
    </row>
    <row r="539" spans="2:24" s="2" customFormat="1">
      <c r="B539" s="39"/>
      <c r="C539" s="75">
        <v>533</v>
      </c>
      <c r="D539" s="146">
        <f>ETo!$I538*((1-Constantes!$D$19)*ETo!$K538+ETo!$L538)</f>
        <v>2.3323721021739772</v>
      </c>
      <c r="E539" s="76">
        <f>MIN(D539*Constantes!$D$17,0.8*(H538+Observaciones!$F538-F539-G539-Constantes!$D$14))</f>
        <v>1.4315031135510027E-4</v>
      </c>
      <c r="F539" s="76">
        <f>IF(Observaciones!$F538&gt;0.05*Constantes!$D$18,((Observaciones!$F538-0.05*Constantes!$D$18)^2)/(Observaciones!$F538+0.95*Constantes!$D$18),0)</f>
        <v>0</v>
      </c>
      <c r="G539" s="76">
        <f>MAX(0,H538+Observaciones!$F538-F539-Constantes!$D$13)</f>
        <v>0</v>
      </c>
      <c r="H539" s="76">
        <f>H538+Observaciones!$F538-F539-E539-G539-I538</f>
        <v>11.250029692296438</v>
      </c>
      <c r="I539" s="76">
        <f>MAX(0,(H539-Constantes!$D$14)*(1-EXP(-Constantes!$D$22)))</f>
        <v>1.0114286193455078E-6</v>
      </c>
      <c r="J539" s="76">
        <f t="shared" si="24"/>
        <v>98.212306900642787</v>
      </c>
      <c r="K539" s="76">
        <f>MAX(0,(J539-Constantes!$D$13)*(1-EXP(-Constantes!$D$23)))</f>
        <v>0.48736389089568222</v>
      </c>
      <c r="L539" s="76">
        <f t="shared" si="25"/>
        <v>0.48736490232430157</v>
      </c>
      <c r="M539" s="76">
        <f>0.0526*F539*Observaciones!$F538^1.218</f>
        <v>0</v>
      </c>
      <c r="N539" s="76">
        <f>M539*Constantes!$D$51</f>
        <v>0</v>
      </c>
      <c r="O539" s="76">
        <f t="shared" si="26"/>
        <v>0</v>
      </c>
      <c r="P539" s="15"/>
      <c r="Q539" s="75">
        <v>533</v>
      </c>
      <c r="R539" s="76">
        <f>0.0526*Observaciones!$F538^2.218</f>
        <v>0</v>
      </c>
      <c r="S539" s="76">
        <f>IF(Observaciones!$F538&gt;0.05*$W$7,((Observaciones!$F538-0.05*$W$7)^2)/(Observaciones!$F538+0.95*$W$7),0)</f>
        <v>0</v>
      </c>
      <c r="T539" s="76">
        <f>0.0526*S539*Observaciones!$F538^1.218</f>
        <v>0</v>
      </c>
      <c r="U539" s="29"/>
      <c r="V539" s="29"/>
      <c r="W539" s="109"/>
      <c r="X539" s="40"/>
    </row>
    <row r="540" spans="2:24" s="2" customFormat="1">
      <c r="B540" s="39"/>
      <c r="C540" s="75">
        <v>534</v>
      </c>
      <c r="D540" s="146">
        <f>ETo!$I539*((1-Constantes!$D$19)*ETo!$K539+ETo!$L539)</f>
        <v>2.3163998484727317</v>
      </c>
      <c r="E540" s="76">
        <f>MIN(D540*Constantes!$D$17,0.8*(H539+Observaciones!$F539-F540-G540-Constantes!$D$14))</f>
        <v>2.3753837150763957E-5</v>
      </c>
      <c r="F540" s="76">
        <f>IF(Observaciones!$F539&gt;0.05*Constantes!$D$18,((Observaciones!$F539-0.05*Constantes!$D$18)^2)/(Observaciones!$F539+0.95*Constantes!$D$18),0)</f>
        <v>0</v>
      </c>
      <c r="G540" s="76">
        <f>MAX(0,H539+Observaciones!$F539-F540-Constantes!$D$13)</f>
        <v>0</v>
      </c>
      <c r="H540" s="76">
        <f>H539+Observaciones!$F539-F540-E540-G540-I539</f>
        <v>11.250004927030668</v>
      </c>
      <c r="I540" s="76">
        <f>MAX(0,(H540-Constantes!$D$14)*(1-EXP(-Constantes!$D$22)))</f>
        <v>1.6783275204856322E-7</v>
      </c>
      <c r="J540" s="76">
        <f t="shared" si="24"/>
        <v>97.724943009747108</v>
      </c>
      <c r="K540" s="76">
        <f>MAX(0,(J540-Constantes!$D$13)*(1-EXP(-Constantes!$D$23)))</f>
        <v>0.48256177839765213</v>
      </c>
      <c r="L540" s="76">
        <f t="shared" si="25"/>
        <v>0.48256194623040416</v>
      </c>
      <c r="M540" s="76">
        <f>0.0526*F540*Observaciones!$F539^1.218</f>
        <v>0</v>
      </c>
      <c r="N540" s="76">
        <f>M540*Constantes!$D$51</f>
        <v>0</v>
      </c>
      <c r="O540" s="76">
        <f t="shared" si="26"/>
        <v>0</v>
      </c>
      <c r="P540" s="15"/>
      <c r="Q540" s="75">
        <v>534</v>
      </c>
      <c r="R540" s="76">
        <f>0.0526*Observaciones!$F539^2.218</f>
        <v>0</v>
      </c>
      <c r="S540" s="76">
        <f>IF(Observaciones!$F539&gt;0.05*$W$7,((Observaciones!$F539-0.05*$W$7)^2)/(Observaciones!$F539+0.95*$W$7),0)</f>
        <v>0</v>
      </c>
      <c r="T540" s="76">
        <f>0.0526*S540*Observaciones!$F539^1.218</f>
        <v>0</v>
      </c>
      <c r="U540" s="29"/>
      <c r="V540" s="29"/>
      <c r="W540" s="109"/>
      <c r="X540" s="40"/>
    </row>
    <row r="541" spans="2:24" s="2" customFormat="1">
      <c r="B541" s="39"/>
      <c r="C541" s="75">
        <v>535</v>
      </c>
      <c r="D541" s="146">
        <f>ETo!$I540*((1-Constantes!$D$19)*ETo!$K540+ETo!$L540)</f>
        <v>2.3203007934073701</v>
      </c>
      <c r="E541" s="76">
        <f>MIN(D541*Constantes!$D$17,0.8*(H540+Observaciones!$F540-F541-G541-Constantes!$D$14))</f>
        <v>3.9416245343204537E-6</v>
      </c>
      <c r="F541" s="76">
        <f>IF(Observaciones!$F540&gt;0.05*Constantes!$D$18,((Observaciones!$F540-0.05*Constantes!$D$18)^2)/(Observaciones!$F540+0.95*Constantes!$D$18),0)</f>
        <v>0</v>
      </c>
      <c r="G541" s="76">
        <f>MAX(0,H540+Observaciones!$F540-F541-Constantes!$D$13)</f>
        <v>0</v>
      </c>
      <c r="H541" s="76">
        <f>H540+Observaciones!$F540-F541-E541-G541-I540</f>
        <v>11.250000817573381</v>
      </c>
      <c r="I541" s="76">
        <f>MAX(0,(H541-Constantes!$D$14)*(1-EXP(-Constantes!$D$22)))</f>
        <v>2.7849550745164672E-8</v>
      </c>
      <c r="J541" s="76">
        <f t="shared" si="24"/>
        <v>97.242381231349455</v>
      </c>
      <c r="K541" s="76">
        <f>MAX(0,(J541-Constantes!$D$13)*(1-EXP(-Constantes!$D$23)))</f>
        <v>0.47780698225783919</v>
      </c>
      <c r="L541" s="76">
        <f t="shared" si="25"/>
        <v>0.47780701010738991</v>
      </c>
      <c r="M541" s="76">
        <f>0.0526*F541*Observaciones!$F540^1.218</f>
        <v>0</v>
      </c>
      <c r="N541" s="76">
        <f>M541*Constantes!$D$51</f>
        <v>0</v>
      </c>
      <c r="O541" s="76">
        <f t="shared" si="26"/>
        <v>0</v>
      </c>
      <c r="P541" s="15"/>
      <c r="Q541" s="75">
        <v>535</v>
      </c>
      <c r="R541" s="76">
        <f>0.0526*Observaciones!$F540^2.218</f>
        <v>0</v>
      </c>
      <c r="S541" s="76">
        <f>IF(Observaciones!$F540&gt;0.05*$W$7,((Observaciones!$F540-0.05*$W$7)^2)/(Observaciones!$F540+0.95*$W$7),0)</f>
        <v>0</v>
      </c>
      <c r="T541" s="76">
        <f>0.0526*S541*Observaciones!$F540^1.218</f>
        <v>0</v>
      </c>
      <c r="U541" s="29"/>
      <c r="V541" s="29"/>
      <c r="W541" s="109"/>
      <c r="X541" s="40"/>
    </row>
    <row r="542" spans="2:24" s="2" customFormat="1">
      <c r="B542" s="39"/>
      <c r="C542" s="75">
        <v>536</v>
      </c>
      <c r="D542" s="146">
        <f>ETo!$I541*((1-Constantes!$D$19)*ETo!$K541+ETo!$L541)</f>
        <v>2.3468791979197858</v>
      </c>
      <c r="E542" s="76">
        <f>MIN(D542*Constantes!$D$17,0.8*(H541+Observaciones!$F541-F542-G542-Constantes!$D$14))</f>
        <v>6.5405870515178326E-7</v>
      </c>
      <c r="F542" s="76">
        <f>IF(Observaciones!$F541&gt;0.05*Constantes!$D$18,((Observaciones!$F541-0.05*Constantes!$D$18)^2)/(Observaciones!$F541+0.95*Constantes!$D$18),0)</f>
        <v>0</v>
      </c>
      <c r="G542" s="76">
        <f>MAX(0,H541+Observaciones!$F541-F542-Constantes!$D$13)</f>
        <v>0</v>
      </c>
      <c r="H542" s="76">
        <f>H541+Observaciones!$F541-F542-E542-G542-I541</f>
        <v>11.250000135665125</v>
      </c>
      <c r="I542" s="76">
        <f>MAX(0,(H542-Constantes!$D$14)*(1-EXP(-Constantes!$D$22)))</f>
        <v>4.6212522064929449E-9</v>
      </c>
      <c r="J542" s="76">
        <f t="shared" si="24"/>
        <v>96.764574249091609</v>
      </c>
      <c r="K542" s="76">
        <f>MAX(0,(J542-Constantes!$D$13)*(1-EXP(-Constantes!$D$23)))</f>
        <v>0.47309903625689598</v>
      </c>
      <c r="L542" s="76">
        <f t="shared" si="25"/>
        <v>0.47309904087814819</v>
      </c>
      <c r="M542" s="76">
        <f>0.0526*F542*Observaciones!$F541^1.218</f>
        <v>0</v>
      </c>
      <c r="N542" s="76">
        <f>M542*Constantes!$D$51</f>
        <v>0</v>
      </c>
      <c r="O542" s="76">
        <f t="shared" si="26"/>
        <v>0</v>
      </c>
      <c r="P542" s="15"/>
      <c r="Q542" s="75">
        <v>536</v>
      </c>
      <c r="R542" s="76">
        <f>0.0526*Observaciones!$F541^2.218</f>
        <v>0</v>
      </c>
      <c r="S542" s="76">
        <f>IF(Observaciones!$F541&gt;0.05*$W$7,((Observaciones!$F541-0.05*$W$7)^2)/(Observaciones!$F541+0.95*$W$7),0)</f>
        <v>0</v>
      </c>
      <c r="T542" s="76">
        <f>0.0526*S542*Observaciones!$F541^1.218</f>
        <v>0</v>
      </c>
      <c r="U542" s="29"/>
      <c r="V542" s="29"/>
      <c r="W542" s="109"/>
      <c r="X542" s="40"/>
    </row>
    <row r="543" spans="2:24" s="2" customFormat="1">
      <c r="B543" s="39"/>
      <c r="C543" s="75">
        <v>537</v>
      </c>
      <c r="D543" s="146">
        <f>ETo!$I542*((1-Constantes!$D$19)*ETo!$K542+ETo!$L542)</f>
        <v>2.3294175636403578</v>
      </c>
      <c r="E543" s="76">
        <f>MIN(D543*Constantes!$D$17,0.8*(H542+Observaciones!$F542-F543-G543-Constantes!$D$14))</f>
        <v>1.085321002847195E-7</v>
      </c>
      <c r="F543" s="76">
        <f>IF(Observaciones!$F542&gt;0.05*Constantes!$D$18,((Observaciones!$F542-0.05*Constantes!$D$18)^2)/(Observaciones!$F542+0.95*Constantes!$D$18),0)</f>
        <v>0</v>
      </c>
      <c r="G543" s="76">
        <f>MAX(0,H542+Observaciones!$F542-F543-Constantes!$D$13)</f>
        <v>0</v>
      </c>
      <c r="H543" s="76">
        <f>H542+Observaciones!$F542-F543-E543-G543-I542</f>
        <v>11.250000022511772</v>
      </c>
      <c r="I543" s="76">
        <f>MAX(0,(H543-Constantes!$D$14)*(1-EXP(-Constantes!$D$22)))</f>
        <v>7.6683359679759418E-10</v>
      </c>
      <c r="J543" s="76">
        <f t="shared" si="24"/>
        <v>96.291475212834712</v>
      </c>
      <c r="K543" s="76">
        <f>MAX(0,(J543-Constantes!$D$13)*(1-EXP(-Constantes!$D$23)))</f>
        <v>0.46843747876924546</v>
      </c>
      <c r="L543" s="76">
        <f t="shared" si="25"/>
        <v>0.46843747953607906</v>
      </c>
      <c r="M543" s="76">
        <f>0.0526*F543*Observaciones!$F542^1.218</f>
        <v>0</v>
      </c>
      <c r="N543" s="76">
        <f>M543*Constantes!$D$51</f>
        <v>0</v>
      </c>
      <c r="O543" s="76">
        <f t="shared" si="26"/>
        <v>0</v>
      </c>
      <c r="P543" s="15"/>
      <c r="Q543" s="75">
        <v>537</v>
      </c>
      <c r="R543" s="76">
        <f>0.0526*Observaciones!$F542^2.218</f>
        <v>0</v>
      </c>
      <c r="S543" s="76">
        <f>IF(Observaciones!$F542&gt;0.05*$W$7,((Observaciones!$F542-0.05*$W$7)^2)/(Observaciones!$F542+0.95*$W$7),0)</f>
        <v>0</v>
      </c>
      <c r="T543" s="76">
        <f>0.0526*S543*Observaciones!$F542^1.218</f>
        <v>0</v>
      </c>
      <c r="U543" s="29"/>
      <c r="V543" s="29"/>
      <c r="W543" s="109"/>
      <c r="X543" s="40"/>
    </row>
    <row r="544" spans="2:24" s="2" customFormat="1">
      <c r="B544" s="39"/>
      <c r="C544" s="75">
        <v>538</v>
      </c>
      <c r="D544" s="146">
        <f>ETo!$I543*((1-Constantes!$D$19)*ETo!$K543+ETo!$L543)</f>
        <v>2.3318628434621678</v>
      </c>
      <c r="E544" s="76">
        <f>MIN(D544*Constantes!$D$17,0.8*(H543+Observaciones!$F543-F544-G544-Constantes!$D$14))</f>
        <v>1.8009417601660972E-8</v>
      </c>
      <c r="F544" s="76">
        <f>IF(Observaciones!$F543&gt;0.05*Constantes!$D$18,((Observaciones!$F543-0.05*Constantes!$D$18)^2)/(Observaciones!$F543+0.95*Constantes!$D$18),0)</f>
        <v>0</v>
      </c>
      <c r="G544" s="76">
        <f>MAX(0,H543+Observaciones!$F543-F544-Constantes!$D$13)</f>
        <v>0</v>
      </c>
      <c r="H544" s="76">
        <f>H543+Observaciones!$F543-F544-E544-G544-I543</f>
        <v>11.25000000373552</v>
      </c>
      <c r="I544" s="76">
        <f>MAX(0,(H544-Constantes!$D$14)*(1-EXP(-Constantes!$D$22)))</f>
        <v>1.2724553607115044E-10</v>
      </c>
      <c r="J544" s="76">
        <f t="shared" si="24"/>
        <v>95.823037734065466</v>
      </c>
      <c r="K544" s="76">
        <f>MAX(0,(J544-Constantes!$D$13)*(1-EXP(-Constantes!$D$23)))</f>
        <v>0.46382185271781723</v>
      </c>
      <c r="L544" s="76">
        <f t="shared" si="25"/>
        <v>0.46382185284506278</v>
      </c>
      <c r="M544" s="76">
        <f>0.0526*F544*Observaciones!$F543^1.218</f>
        <v>0</v>
      </c>
      <c r="N544" s="76">
        <f>M544*Constantes!$D$51</f>
        <v>0</v>
      </c>
      <c r="O544" s="76">
        <f t="shared" si="26"/>
        <v>0</v>
      </c>
      <c r="P544" s="15"/>
      <c r="Q544" s="75">
        <v>538</v>
      </c>
      <c r="R544" s="76">
        <f>0.0526*Observaciones!$F543^2.218</f>
        <v>0</v>
      </c>
      <c r="S544" s="76">
        <f>IF(Observaciones!$F543&gt;0.05*$W$7,((Observaciones!$F543-0.05*$W$7)^2)/(Observaciones!$F543+0.95*$W$7),0)</f>
        <v>0</v>
      </c>
      <c r="T544" s="76">
        <f>0.0526*S544*Observaciones!$F543^1.218</f>
        <v>0</v>
      </c>
      <c r="U544" s="29"/>
      <c r="V544" s="29"/>
      <c r="W544" s="109"/>
      <c r="X544" s="40"/>
    </row>
    <row r="545" spans="2:24" s="2" customFormat="1">
      <c r="B545" s="39"/>
      <c r="C545" s="75">
        <v>539</v>
      </c>
      <c r="D545" s="146">
        <f>ETo!$I544*((1-Constantes!$D$19)*ETo!$K544+ETo!$L544)</f>
        <v>2.3934114254449868</v>
      </c>
      <c r="E545" s="76">
        <f>MIN(D545*Constantes!$D$17,0.8*(H544+Observaciones!$F544-F545-G545-Constantes!$D$14))</f>
        <v>2.9884162700000162E-9</v>
      </c>
      <c r="F545" s="76">
        <f>IF(Observaciones!$F544&gt;0.05*Constantes!$D$18,((Observaciones!$F544-0.05*Constantes!$D$18)^2)/(Observaciones!$F544+0.95*Constantes!$D$18),0)</f>
        <v>0</v>
      </c>
      <c r="G545" s="76">
        <f>MAX(0,H544+Observaciones!$F544-F545-Constantes!$D$13)</f>
        <v>0</v>
      </c>
      <c r="H545" s="76">
        <f>H544+Observaciones!$F544-F545-E545-G545-I544</f>
        <v>11.250000000619858</v>
      </c>
      <c r="I545" s="76">
        <f>MAX(0,(H545-Constantes!$D$14)*(1-EXP(-Constantes!$D$22)))</f>
        <v>2.111463707522186E-11</v>
      </c>
      <c r="J545" s="76">
        <f t="shared" si="24"/>
        <v>95.359215881347652</v>
      </c>
      <c r="K545" s="76">
        <f>MAX(0,(J545-Constantes!$D$13)*(1-EXP(-Constantes!$D$23)))</f>
        <v>0.45925170552923028</v>
      </c>
      <c r="L545" s="76">
        <f t="shared" si="25"/>
        <v>0.45925170555034489</v>
      </c>
      <c r="M545" s="76">
        <f>0.0526*F545*Observaciones!$F544^1.218</f>
        <v>0</v>
      </c>
      <c r="N545" s="76">
        <f>M545*Constantes!$D$51</f>
        <v>0</v>
      </c>
      <c r="O545" s="76">
        <f t="shared" si="26"/>
        <v>0</v>
      </c>
      <c r="P545" s="15"/>
      <c r="Q545" s="75">
        <v>539</v>
      </c>
      <c r="R545" s="76">
        <f>0.0526*Observaciones!$F544^2.218</f>
        <v>0</v>
      </c>
      <c r="S545" s="76">
        <f>IF(Observaciones!$F544&gt;0.05*$W$7,((Observaciones!$F544-0.05*$W$7)^2)/(Observaciones!$F544+0.95*$W$7),0)</f>
        <v>0</v>
      </c>
      <c r="T545" s="76">
        <f>0.0526*S545*Observaciones!$F544^1.218</f>
        <v>0</v>
      </c>
      <c r="U545" s="29"/>
      <c r="V545" s="29"/>
      <c r="W545" s="109"/>
      <c r="X545" s="40"/>
    </row>
    <row r="546" spans="2:24" s="2" customFormat="1">
      <c r="B546" s="39"/>
      <c r="C546" s="75">
        <v>540</v>
      </c>
      <c r="D546" s="146">
        <f>ETo!$I545*((1-Constantes!$D$19)*ETo!$K545+ETo!$L545)</f>
        <v>2.338085706244561</v>
      </c>
      <c r="E546" s="76">
        <f>MIN(D546*Constantes!$D$17,0.8*(H545+Observaciones!$F545-F546-G546-Constantes!$D$14))</f>
        <v>4.9588635420150242E-10</v>
      </c>
      <c r="F546" s="76">
        <f>IF(Observaciones!$F545&gt;0.05*Constantes!$D$18,((Observaciones!$F545-0.05*Constantes!$D$18)^2)/(Observaciones!$F545+0.95*Constantes!$D$18),0)</f>
        <v>0</v>
      </c>
      <c r="G546" s="76">
        <f>MAX(0,H545+Observaciones!$F545-F546-Constantes!$D$13)</f>
        <v>0</v>
      </c>
      <c r="H546" s="76">
        <f>H545+Observaciones!$F545-F546-E546-G546-I545</f>
        <v>11.250000000102858</v>
      </c>
      <c r="I546" s="76">
        <f>MAX(0,(H546-Constantes!$D$14)*(1-EXP(-Constantes!$D$22)))</f>
        <v>3.5037267486184127E-12</v>
      </c>
      <c r="J546" s="76">
        <f t="shared" si="24"/>
        <v>94.899964175818425</v>
      </c>
      <c r="K546" s="76">
        <f>MAX(0,(J546-Constantes!$D$13)*(1-EXP(-Constantes!$D$23)))</f>
        <v>0.45472658908941677</v>
      </c>
      <c r="L546" s="76">
        <f t="shared" si="25"/>
        <v>0.45472658909292052</v>
      </c>
      <c r="M546" s="76">
        <f>0.0526*F546*Observaciones!$F545^1.218</f>
        <v>0</v>
      </c>
      <c r="N546" s="76">
        <f>M546*Constantes!$D$51</f>
        <v>0</v>
      </c>
      <c r="O546" s="76">
        <f t="shared" si="26"/>
        <v>0</v>
      </c>
      <c r="P546" s="15"/>
      <c r="Q546" s="75">
        <v>540</v>
      </c>
      <c r="R546" s="76">
        <f>0.0526*Observaciones!$F545^2.218</f>
        <v>0</v>
      </c>
      <c r="S546" s="76">
        <f>IF(Observaciones!$F545&gt;0.05*$W$7,((Observaciones!$F545-0.05*$W$7)^2)/(Observaciones!$F545+0.95*$W$7),0)</f>
        <v>0</v>
      </c>
      <c r="T546" s="76">
        <f>0.0526*S546*Observaciones!$F545^1.218</f>
        <v>0</v>
      </c>
      <c r="U546" s="29"/>
      <c r="V546" s="29"/>
      <c r="W546" s="109"/>
      <c r="X546" s="40"/>
    </row>
    <row r="547" spans="2:24" s="2" customFormat="1">
      <c r="B547" s="39"/>
      <c r="C547" s="75">
        <v>541</v>
      </c>
      <c r="D547" s="146">
        <f>ETo!$I546*((1-Constantes!$D$19)*ETo!$K546+ETo!$L546)</f>
        <v>2.3390831309592994</v>
      </c>
      <c r="E547" s="76">
        <f>MIN(D547*Constantes!$D$17,0.8*(H546+Observaciones!$F546-F547-G547-Constantes!$D$14))</f>
        <v>8.228653314290569E-11</v>
      </c>
      <c r="F547" s="76">
        <f>IF(Observaciones!$F546&gt;0.05*Constantes!$D$18,((Observaciones!$F546-0.05*Constantes!$D$18)^2)/(Observaciones!$F546+0.95*Constantes!$D$18),0)</f>
        <v>0</v>
      </c>
      <c r="G547" s="76">
        <f>MAX(0,H546+Observaciones!$F546-F547-Constantes!$D$13)</f>
        <v>0</v>
      </c>
      <c r="H547" s="76">
        <f>H546+Observaciones!$F546-F547-E547-G547-I546</f>
        <v>11.250000000017069</v>
      </c>
      <c r="I547" s="76">
        <f>MAX(0,(H547-Constantes!$D$14)*(1-EXP(-Constantes!$D$22)))</f>
        <v>5.8143323997434251E-13</v>
      </c>
      <c r="J547" s="76">
        <f t="shared" si="24"/>
        <v>94.445237586729007</v>
      </c>
      <c r="K547" s="76">
        <f>MAX(0,(J547-Constantes!$D$13)*(1-EXP(-Constantes!$D$23)))</f>
        <v>0.4502460596996834</v>
      </c>
      <c r="L547" s="76">
        <f t="shared" si="25"/>
        <v>0.45024605970026482</v>
      </c>
      <c r="M547" s="76">
        <f>0.0526*F547*Observaciones!$F546^1.218</f>
        <v>0</v>
      </c>
      <c r="N547" s="76">
        <f>M547*Constantes!$D$51</f>
        <v>0</v>
      </c>
      <c r="O547" s="76">
        <f t="shared" si="26"/>
        <v>0</v>
      </c>
      <c r="P547" s="15"/>
      <c r="Q547" s="75">
        <v>541</v>
      </c>
      <c r="R547" s="76">
        <f>0.0526*Observaciones!$F546^2.218</f>
        <v>0</v>
      </c>
      <c r="S547" s="76">
        <f>IF(Observaciones!$F546&gt;0.05*$W$7,((Observaciones!$F546-0.05*$W$7)^2)/(Observaciones!$F546+0.95*$W$7),0)</f>
        <v>0</v>
      </c>
      <c r="T547" s="76">
        <f>0.0526*S547*Observaciones!$F546^1.218</f>
        <v>0</v>
      </c>
      <c r="U547" s="29"/>
      <c r="V547" s="29"/>
      <c r="W547" s="109"/>
      <c r="X547" s="40"/>
    </row>
    <row r="548" spans="2:24" s="2" customFormat="1">
      <c r="B548" s="39"/>
      <c r="C548" s="75">
        <v>542</v>
      </c>
      <c r="D548" s="146">
        <f>ETo!$I547*((1-Constantes!$D$19)*ETo!$K547+ETo!$L547)</f>
        <v>2.435976451026201</v>
      </c>
      <c r="E548" s="76">
        <f>MIN(D548*Constantes!$D$17,0.8*(H547+Observaciones!$F547-F548-G548-Constantes!$D$14))</f>
        <v>1.3655210295837607E-11</v>
      </c>
      <c r="F548" s="76">
        <f>IF(Observaciones!$F547&gt;0.05*Constantes!$D$18,((Observaciones!$F547-0.05*Constantes!$D$18)^2)/(Observaciones!$F547+0.95*Constantes!$D$18),0)</f>
        <v>0</v>
      </c>
      <c r="G548" s="76">
        <f>MAX(0,H547+Observaciones!$F547-F548-Constantes!$D$13)</f>
        <v>0</v>
      </c>
      <c r="H548" s="76">
        <f>H547+Observaciones!$F547-F548-E548-G548-I547</f>
        <v>11.250000000002833</v>
      </c>
      <c r="I548" s="76">
        <f>MAX(0,(H548-Constantes!$D$14)*(1-EXP(-Constantes!$D$22)))</f>
        <v>9.6512229967642453E-14</v>
      </c>
      <c r="J548" s="76">
        <f t="shared" si="24"/>
        <v>93.994991527029327</v>
      </c>
      <c r="K548" s="76">
        <f>MAX(0,(J548-Constantes!$D$13)*(1-EXP(-Constantes!$D$23)))</f>
        <v>0.44580967803320609</v>
      </c>
      <c r="L548" s="76">
        <f t="shared" si="25"/>
        <v>0.44580967803330263</v>
      </c>
      <c r="M548" s="76">
        <f>0.0526*F548*Observaciones!$F547^1.218</f>
        <v>0</v>
      </c>
      <c r="N548" s="76">
        <f>M548*Constantes!$D$51</f>
        <v>0</v>
      </c>
      <c r="O548" s="76">
        <f t="shared" si="26"/>
        <v>0</v>
      </c>
      <c r="P548" s="15"/>
      <c r="Q548" s="75">
        <v>542</v>
      </c>
      <c r="R548" s="76">
        <f>0.0526*Observaciones!$F547^2.218</f>
        <v>0</v>
      </c>
      <c r="S548" s="76">
        <f>IF(Observaciones!$F547&gt;0.05*$W$7,((Observaciones!$F547-0.05*$W$7)^2)/(Observaciones!$F547+0.95*$W$7),0)</f>
        <v>0</v>
      </c>
      <c r="T548" s="76">
        <f>0.0526*S548*Observaciones!$F547^1.218</f>
        <v>0</v>
      </c>
      <c r="U548" s="29"/>
      <c r="V548" s="29"/>
      <c r="W548" s="109"/>
      <c r="X548" s="40"/>
    </row>
    <row r="549" spans="2:24" s="2" customFormat="1">
      <c r="B549" s="39"/>
      <c r="C549" s="75">
        <v>543</v>
      </c>
      <c r="D549" s="146">
        <f>ETo!$I548*((1-Constantes!$D$19)*ETo!$K548+ETo!$L548)</f>
        <v>2.3451902231736863</v>
      </c>
      <c r="E549" s="76">
        <f>MIN(D549*Constantes!$D$17,0.8*(H548+Observaciones!$F548-F549-G549-Constantes!$D$14))</f>
        <v>2.2666313270747196E-12</v>
      </c>
      <c r="F549" s="76">
        <f>IF(Observaciones!$F548&gt;0.05*Constantes!$D$18,((Observaciones!$F548-0.05*Constantes!$D$18)^2)/(Observaciones!$F548+0.95*Constantes!$D$18),0)</f>
        <v>0</v>
      </c>
      <c r="G549" s="76">
        <f>MAX(0,H548+Observaciones!$F548-F549-Constantes!$D$13)</f>
        <v>0</v>
      </c>
      <c r="H549" s="76">
        <f>H548+Observaciones!$F548-F549-E549-G549-I548</f>
        <v>11.250000000000471</v>
      </c>
      <c r="I549" s="76">
        <f>MAX(0,(H549-Constantes!$D$14)*(1-EXP(-Constantes!$D$22)))</f>
        <v>1.6034947298699217E-14</v>
      </c>
      <c r="J549" s="76">
        <f t="shared" si="24"/>
        <v>93.549181848996128</v>
      </c>
      <c r="K549" s="76">
        <f>MAX(0,(J549-Constantes!$D$13)*(1-EXP(-Constantes!$D$23)))</f>
        <v>0.44141700909195242</v>
      </c>
      <c r="L549" s="76">
        <f t="shared" si="25"/>
        <v>0.44141700909196846</v>
      </c>
      <c r="M549" s="76">
        <f>0.0526*F549*Observaciones!$F548^1.218</f>
        <v>0</v>
      </c>
      <c r="N549" s="76">
        <f>M549*Constantes!$D$51</f>
        <v>0</v>
      </c>
      <c r="O549" s="76">
        <f t="shared" si="26"/>
        <v>0</v>
      </c>
      <c r="P549" s="15"/>
      <c r="Q549" s="75">
        <v>543</v>
      </c>
      <c r="R549" s="76">
        <f>0.0526*Observaciones!$F548^2.218</f>
        <v>0</v>
      </c>
      <c r="S549" s="76">
        <f>IF(Observaciones!$F548&gt;0.05*$W$7,((Observaciones!$F548-0.05*$W$7)^2)/(Observaciones!$F548+0.95*$W$7),0)</f>
        <v>0</v>
      </c>
      <c r="T549" s="76">
        <f>0.0526*S549*Observaciones!$F548^1.218</f>
        <v>0</v>
      </c>
      <c r="U549" s="29"/>
      <c r="V549" s="29"/>
      <c r="W549" s="109"/>
      <c r="X549" s="40"/>
    </row>
    <row r="550" spans="2:24" s="2" customFormat="1">
      <c r="B550" s="39"/>
      <c r="C550" s="75">
        <v>544</v>
      </c>
      <c r="D550" s="146">
        <f>ETo!$I549*((1-Constantes!$D$19)*ETo!$K549+ETo!$L549)</f>
        <v>2.4545406855860108</v>
      </c>
      <c r="E550" s="76">
        <f>MIN(D550*Constantes!$D$17,0.8*(H549+Observaciones!$F549-F550-G550-Constantes!$D$14))</f>
        <v>3.765876499528531E-13</v>
      </c>
      <c r="F550" s="76">
        <f>IF(Observaciones!$F549&gt;0.05*Constantes!$D$18,((Observaciones!$F549-0.05*Constantes!$D$18)^2)/(Observaciones!$F549+0.95*Constantes!$D$18),0)</f>
        <v>0</v>
      </c>
      <c r="G550" s="76">
        <f>MAX(0,H549+Observaciones!$F549-F550-Constantes!$D$13)</f>
        <v>0</v>
      </c>
      <c r="H550" s="76">
        <f>H549+Observaciones!$F549-F550-E550-G550-I549</f>
        <v>11.250000000000078</v>
      </c>
      <c r="I550" s="76">
        <f>MAX(0,(H550-Constantes!$D$14)*(1-EXP(-Constantes!$D$22)))</f>
        <v>2.6624063439349641E-15</v>
      </c>
      <c r="J550" s="76">
        <f t="shared" si="24"/>
        <v>93.107764839904178</v>
      </c>
      <c r="K550" s="76">
        <f>MAX(0,(J550-Constantes!$D$13)*(1-EXP(-Constantes!$D$23)))</f>
        <v>0.43706762216402906</v>
      </c>
      <c r="L550" s="76">
        <f t="shared" si="25"/>
        <v>0.43706762216403172</v>
      </c>
      <c r="M550" s="76">
        <f>0.0526*F550*Observaciones!$F549^1.218</f>
        <v>0</v>
      </c>
      <c r="N550" s="76">
        <f>M550*Constantes!$D$51</f>
        <v>0</v>
      </c>
      <c r="O550" s="76">
        <f t="shared" si="26"/>
        <v>0</v>
      </c>
      <c r="P550" s="15"/>
      <c r="Q550" s="75">
        <v>544</v>
      </c>
      <c r="R550" s="76">
        <f>0.0526*Observaciones!$F549^2.218</f>
        <v>0</v>
      </c>
      <c r="S550" s="76">
        <f>IF(Observaciones!$F549&gt;0.05*$W$7,((Observaciones!$F549-0.05*$W$7)^2)/(Observaciones!$F549+0.95*$W$7),0)</f>
        <v>0</v>
      </c>
      <c r="T550" s="76">
        <f>0.0526*S550*Observaciones!$F549^1.218</f>
        <v>0</v>
      </c>
      <c r="U550" s="29"/>
      <c r="V550" s="29"/>
      <c r="W550" s="109"/>
      <c r="X550" s="40"/>
    </row>
    <row r="551" spans="2:24" s="2" customFormat="1">
      <c r="B551" s="39"/>
      <c r="C551" s="75">
        <v>545</v>
      </c>
      <c r="D551" s="146">
        <f>ETo!$I550*((1-Constantes!$D$19)*ETo!$K550+ETo!$L550)</f>
        <v>2.4802527756061354</v>
      </c>
      <c r="E551" s="76">
        <f>MIN(D551*Constantes!$D$17,0.8*(H550+Observaciones!$F550-F551-G551-Constantes!$D$14))</f>
        <v>6.2527760746888821E-14</v>
      </c>
      <c r="F551" s="76">
        <f>IF(Observaciones!$F550&gt;0.05*Constantes!$D$18,((Observaciones!$F550-0.05*Constantes!$D$18)^2)/(Observaciones!$F550+0.95*Constantes!$D$18),0)</f>
        <v>0</v>
      </c>
      <c r="G551" s="76">
        <f>MAX(0,H550+Observaciones!$F550-F551-Constantes!$D$13)</f>
        <v>0</v>
      </c>
      <c r="H551" s="76">
        <f>H550+Observaciones!$F550-F551-E551-G551-I550</f>
        <v>11.250000000000014</v>
      </c>
      <c r="I551" s="76">
        <f>MAX(0,(H551-Constantes!$D$14)*(1-EXP(-Constantes!$D$22)))</f>
        <v>4.8407388071544802E-16</v>
      </c>
      <c r="J551" s="76">
        <f t="shared" si="24"/>
        <v>92.670697217740155</v>
      </c>
      <c r="K551" s="76">
        <f>MAX(0,(J551-Constantes!$D$13)*(1-EXP(-Constantes!$D$23)))</f>
        <v>0.43276109078144986</v>
      </c>
      <c r="L551" s="76">
        <f t="shared" si="25"/>
        <v>0.43276109078145036</v>
      </c>
      <c r="M551" s="76">
        <f>0.0526*F551*Observaciones!$F550^1.218</f>
        <v>0</v>
      </c>
      <c r="N551" s="76">
        <f>M551*Constantes!$D$51</f>
        <v>0</v>
      </c>
      <c r="O551" s="76">
        <f t="shared" si="26"/>
        <v>0</v>
      </c>
      <c r="P551" s="15"/>
      <c r="Q551" s="75">
        <v>545</v>
      </c>
      <c r="R551" s="76">
        <f>0.0526*Observaciones!$F550^2.218</f>
        <v>0</v>
      </c>
      <c r="S551" s="76">
        <f>IF(Observaciones!$F550&gt;0.05*$W$7,((Observaciones!$F550-0.05*$W$7)^2)/(Observaciones!$F550+0.95*$W$7),0)</f>
        <v>0</v>
      </c>
      <c r="T551" s="76">
        <f>0.0526*S551*Observaciones!$F550^1.218</f>
        <v>0</v>
      </c>
      <c r="U551" s="29"/>
      <c r="V551" s="29"/>
      <c r="W551" s="109"/>
      <c r="X551" s="40"/>
    </row>
    <row r="552" spans="2:24" s="2" customFormat="1">
      <c r="B552" s="39"/>
      <c r="C552" s="75">
        <v>546</v>
      </c>
      <c r="D552" s="146">
        <f>ETo!$I551*((1-Constantes!$D$19)*ETo!$K551+ETo!$L551)</f>
        <v>2.392754921604793</v>
      </c>
      <c r="E552" s="76">
        <f>MIN(D552*Constantes!$D$17,0.8*(H551+Observaciones!$F551-F552-G552-Constantes!$D$14))</f>
        <v>1.1368683772161604E-14</v>
      </c>
      <c r="F552" s="76">
        <f>IF(Observaciones!$F551&gt;0.05*Constantes!$D$18,((Observaciones!$F551-0.05*Constantes!$D$18)^2)/(Observaciones!$F551+0.95*Constantes!$D$18),0)</f>
        <v>0</v>
      </c>
      <c r="G552" s="76">
        <f>MAX(0,H551+Observaciones!$F551-F552-Constantes!$D$13)</f>
        <v>0</v>
      </c>
      <c r="H552" s="76">
        <f>H551+Observaciones!$F551-F552-E552-G552-I551</f>
        <v>11.250000000000004</v>
      </c>
      <c r="I552" s="76">
        <f>MAX(0,(H552-Constantes!$D$14)*(1-EXP(-Constantes!$D$22)))</f>
        <v>1.21018470178862E-16</v>
      </c>
      <c r="J552" s="76">
        <f t="shared" si="24"/>
        <v>92.237936126958701</v>
      </c>
      <c r="K552" s="76">
        <f>MAX(0,(J552-Constantes!$D$13)*(1-EXP(-Constantes!$D$23)))</f>
        <v>0.42849699267831898</v>
      </c>
      <c r="L552" s="76">
        <f t="shared" si="25"/>
        <v>0.42849699267831909</v>
      </c>
      <c r="M552" s="76">
        <f>0.0526*F552*Observaciones!$F551^1.218</f>
        <v>0</v>
      </c>
      <c r="N552" s="76">
        <f>M552*Constantes!$D$51</f>
        <v>0</v>
      </c>
      <c r="O552" s="76">
        <f t="shared" si="26"/>
        <v>0</v>
      </c>
      <c r="P552" s="15"/>
      <c r="Q552" s="75">
        <v>546</v>
      </c>
      <c r="R552" s="76">
        <f>0.0526*Observaciones!$F551^2.218</f>
        <v>0</v>
      </c>
      <c r="S552" s="76">
        <f>IF(Observaciones!$F551&gt;0.05*$W$7,((Observaciones!$F551-0.05*$W$7)^2)/(Observaciones!$F551+0.95*$W$7),0)</f>
        <v>0</v>
      </c>
      <c r="T552" s="76">
        <f>0.0526*S552*Observaciones!$F551^1.218</f>
        <v>0</v>
      </c>
      <c r="U552" s="29"/>
      <c r="V552" s="29"/>
      <c r="W552" s="109"/>
      <c r="X552" s="40"/>
    </row>
    <row r="553" spans="2:24" s="2" customFormat="1">
      <c r="B553" s="39"/>
      <c r="C553" s="75">
        <v>547</v>
      </c>
      <c r="D553" s="146">
        <f>ETo!$I552*((1-Constantes!$D$19)*ETo!$K552+ETo!$L552)</f>
        <v>2.4531242878368142</v>
      </c>
      <c r="E553" s="76">
        <f>MIN(D553*Constantes!$D$17,0.8*(H552+Observaciones!$F552-F553-G553-Constantes!$D$14))</f>
        <v>2.8421709430404009E-15</v>
      </c>
      <c r="F553" s="76">
        <f>IF(Observaciones!$F552&gt;0.05*Constantes!$D$18,((Observaciones!$F552-0.05*Constantes!$D$18)^2)/(Observaciones!$F552+0.95*Constantes!$D$18),0)</f>
        <v>0</v>
      </c>
      <c r="G553" s="76">
        <f>MAX(0,H552+Observaciones!$F552-F553-Constantes!$D$13)</f>
        <v>0</v>
      </c>
      <c r="H553" s="76">
        <f>H552+Observaciones!$F552-F553-E553-G553-I552</f>
        <v>11.25</v>
      </c>
      <c r="I553" s="76">
        <f>MAX(0,(H553-Constantes!$D$14)*(1-EXP(-Constantes!$D$22)))</f>
        <v>0</v>
      </c>
      <c r="J553" s="76">
        <f t="shared" si="24"/>
        <v>91.809439134280382</v>
      </c>
      <c r="K553" s="76">
        <f>MAX(0,(J553-Constantes!$D$13)*(1-EXP(-Constantes!$D$23)))</f>
        <v>0.42427490974942733</v>
      </c>
      <c r="L553" s="76">
        <f t="shared" si="25"/>
        <v>0.42427490974942733</v>
      </c>
      <c r="M553" s="76">
        <f>0.0526*F553*Observaciones!$F552^1.218</f>
        <v>0</v>
      </c>
      <c r="N553" s="76">
        <f>M553*Constantes!$D$51</f>
        <v>0</v>
      </c>
      <c r="O553" s="76">
        <f t="shared" si="26"/>
        <v>0</v>
      </c>
      <c r="P553" s="15"/>
      <c r="Q553" s="75">
        <v>547</v>
      </c>
      <c r="R553" s="76">
        <f>0.0526*Observaciones!$F552^2.218</f>
        <v>0</v>
      </c>
      <c r="S553" s="76">
        <f>IF(Observaciones!$F552&gt;0.05*$W$7,((Observaciones!$F552-0.05*$W$7)^2)/(Observaciones!$F552+0.95*$W$7),0)</f>
        <v>0</v>
      </c>
      <c r="T553" s="76">
        <f>0.0526*S553*Observaciones!$F552^1.218</f>
        <v>0</v>
      </c>
      <c r="U553" s="29"/>
      <c r="V553" s="29"/>
      <c r="W553" s="109"/>
      <c r="X553" s="40"/>
    </row>
    <row r="554" spans="2:24" s="2" customFormat="1">
      <c r="B554" s="39"/>
      <c r="C554" s="75">
        <v>548</v>
      </c>
      <c r="D554" s="146">
        <f>ETo!$I553*((1-Constantes!$D$19)*ETo!$K553+ETo!$L553)</f>
        <v>2.4659072305021623</v>
      </c>
      <c r="E554" s="76">
        <f>MIN(D554*Constantes!$D$17,0.8*(H553+Observaciones!$F553-F554-G554-Constantes!$D$14))</f>
        <v>0</v>
      </c>
      <c r="F554" s="76">
        <f>IF(Observaciones!$F553&gt;0.05*Constantes!$D$18,((Observaciones!$F553-0.05*Constantes!$D$18)^2)/(Observaciones!$F553+0.95*Constantes!$D$18),0)</f>
        <v>0</v>
      </c>
      <c r="G554" s="76">
        <f>MAX(0,H553+Observaciones!$F553-F554-Constantes!$D$13)</f>
        <v>0</v>
      </c>
      <c r="H554" s="76">
        <f>H553+Observaciones!$F553-F554-E554-G554-I553</f>
        <v>11.25</v>
      </c>
      <c r="I554" s="76">
        <f>MAX(0,(H554-Constantes!$D$14)*(1-EXP(-Constantes!$D$22)))</f>
        <v>0</v>
      </c>
      <c r="J554" s="76">
        <f t="shared" si="24"/>
        <v>91.385164224530953</v>
      </c>
      <c r="K554" s="76">
        <f>MAX(0,(J554-Constantes!$D$13)*(1-EXP(-Constantes!$D$23)))</f>
        <v>0.42009442800925578</v>
      </c>
      <c r="L554" s="76">
        <f t="shared" si="25"/>
        <v>0.42009442800925578</v>
      </c>
      <c r="M554" s="76">
        <f>0.0526*F554*Observaciones!$F553^1.218</f>
        <v>0</v>
      </c>
      <c r="N554" s="76">
        <f>M554*Constantes!$D$51</f>
        <v>0</v>
      </c>
      <c r="O554" s="76">
        <f t="shared" si="26"/>
        <v>0</v>
      </c>
      <c r="P554" s="15"/>
      <c r="Q554" s="75">
        <v>548</v>
      </c>
      <c r="R554" s="76">
        <f>0.0526*Observaciones!$F553^2.218</f>
        <v>0</v>
      </c>
      <c r="S554" s="76">
        <f>IF(Observaciones!$F553&gt;0.05*$W$7,((Observaciones!$F553-0.05*$W$7)^2)/(Observaciones!$F553+0.95*$W$7),0)</f>
        <v>0</v>
      </c>
      <c r="T554" s="76">
        <f>0.0526*S554*Observaciones!$F553^1.218</f>
        <v>0</v>
      </c>
      <c r="U554" s="29"/>
      <c r="V554" s="29"/>
      <c r="W554" s="109"/>
      <c r="X554" s="40"/>
    </row>
    <row r="555" spans="2:24" s="2" customFormat="1">
      <c r="B555" s="39"/>
      <c r="C555" s="75">
        <v>549</v>
      </c>
      <c r="D555" s="146">
        <f>ETo!$I554*((1-Constantes!$D$19)*ETo!$K554+ETo!$L554)</f>
        <v>2.4192956749824468</v>
      </c>
      <c r="E555" s="76">
        <f>MIN(D555*Constantes!$D$17,0.8*(H554+Observaciones!$F554-F555-G555-Constantes!$D$14))</f>
        <v>0</v>
      </c>
      <c r="F555" s="76">
        <f>IF(Observaciones!$F554&gt;0.05*Constantes!$D$18,((Observaciones!$F554-0.05*Constantes!$D$18)^2)/(Observaciones!$F554+0.95*Constantes!$D$18),0)</f>
        <v>0</v>
      </c>
      <c r="G555" s="76">
        <f>MAX(0,H554+Observaciones!$F554-F555-Constantes!$D$13)</f>
        <v>0</v>
      </c>
      <c r="H555" s="76">
        <f>H554+Observaciones!$F554-F555-E555-G555-I554</f>
        <v>11.25</v>
      </c>
      <c r="I555" s="76">
        <f>MAX(0,(H555-Constantes!$D$14)*(1-EXP(-Constantes!$D$22)))</f>
        <v>0</v>
      </c>
      <c r="J555" s="76">
        <f t="shared" si="24"/>
        <v>90.965069796521703</v>
      </c>
      <c r="K555" s="76">
        <f>MAX(0,(J555-Constantes!$D$13)*(1-EXP(-Constantes!$D$23)))</f>
        <v>0.41595513755138347</v>
      </c>
      <c r="L555" s="76">
        <f t="shared" si="25"/>
        <v>0.41595513755138347</v>
      </c>
      <c r="M555" s="76">
        <f>0.0526*F555*Observaciones!$F554^1.218</f>
        <v>0</v>
      </c>
      <c r="N555" s="76">
        <f>M555*Constantes!$D$51</f>
        <v>0</v>
      </c>
      <c r="O555" s="76">
        <f t="shared" si="26"/>
        <v>0</v>
      </c>
      <c r="P555" s="15"/>
      <c r="Q555" s="75">
        <v>549</v>
      </c>
      <c r="R555" s="76">
        <f>0.0526*Observaciones!$F554^2.218</f>
        <v>0</v>
      </c>
      <c r="S555" s="76">
        <f>IF(Observaciones!$F554&gt;0.05*$W$7,((Observaciones!$F554-0.05*$W$7)^2)/(Observaciones!$F554+0.95*$W$7),0)</f>
        <v>0</v>
      </c>
      <c r="T555" s="76">
        <f>0.0526*S555*Observaciones!$F554^1.218</f>
        <v>0</v>
      </c>
      <c r="U555" s="29"/>
      <c r="V555" s="29"/>
      <c r="W555" s="109"/>
      <c r="X555" s="40"/>
    </row>
    <row r="556" spans="2:24" s="2" customFormat="1">
      <c r="B556" s="39"/>
      <c r="C556" s="75">
        <v>550</v>
      </c>
      <c r="D556" s="146">
        <f>ETo!$I555*((1-Constantes!$D$19)*ETo!$K555+ETo!$L555)</f>
        <v>2.518899963286704</v>
      </c>
      <c r="E556" s="76">
        <f>MIN(D556*Constantes!$D$17,0.8*(H555+Observaciones!$F555-F556-G556-Constantes!$D$14))</f>
        <v>0</v>
      </c>
      <c r="F556" s="76">
        <f>IF(Observaciones!$F555&gt;0.05*Constantes!$D$18,((Observaciones!$F555-0.05*Constantes!$D$18)^2)/(Observaciones!$F555+0.95*Constantes!$D$18),0)</f>
        <v>0</v>
      </c>
      <c r="G556" s="76">
        <f>MAX(0,H555+Observaciones!$F555-F556-Constantes!$D$13)</f>
        <v>0</v>
      </c>
      <c r="H556" s="76">
        <f>H555+Observaciones!$F555-F556-E556-G556-I555</f>
        <v>11.25</v>
      </c>
      <c r="I556" s="76">
        <f>MAX(0,(H556-Constantes!$D$14)*(1-EXP(-Constantes!$D$22)))</f>
        <v>0</v>
      </c>
      <c r="J556" s="76">
        <f t="shared" si="24"/>
        <v>90.549114658970325</v>
      </c>
      <c r="K556" s="76">
        <f>MAX(0,(J556-Constantes!$D$13)*(1-EXP(-Constantes!$D$23)))</f>
        <v>0.41185663250829468</v>
      </c>
      <c r="L556" s="76">
        <f t="shared" si="25"/>
        <v>0.41185663250829468</v>
      </c>
      <c r="M556" s="76">
        <f>0.0526*F556*Observaciones!$F555^1.218</f>
        <v>0</v>
      </c>
      <c r="N556" s="76">
        <f>M556*Constantes!$D$51</f>
        <v>0</v>
      </c>
      <c r="O556" s="76">
        <f t="shared" si="26"/>
        <v>0</v>
      </c>
      <c r="P556" s="15"/>
      <c r="Q556" s="75">
        <v>550</v>
      </c>
      <c r="R556" s="76">
        <f>0.0526*Observaciones!$F555^2.218</f>
        <v>0</v>
      </c>
      <c r="S556" s="76">
        <f>IF(Observaciones!$F555&gt;0.05*$W$7,((Observaciones!$F555-0.05*$W$7)^2)/(Observaciones!$F555+0.95*$W$7),0)</f>
        <v>0</v>
      </c>
      <c r="T556" s="76">
        <f>0.0526*S556*Observaciones!$F555^1.218</f>
        <v>0</v>
      </c>
      <c r="U556" s="29"/>
      <c r="V556" s="29"/>
      <c r="W556" s="109"/>
      <c r="X556" s="40"/>
    </row>
    <row r="557" spans="2:24" s="2" customFormat="1">
      <c r="B557" s="39"/>
      <c r="C557" s="75">
        <v>551</v>
      </c>
      <c r="D557" s="146">
        <f>ETo!$I556*((1-Constantes!$D$19)*ETo!$K556+ETo!$L556)</f>
        <v>2.5129620911696451</v>
      </c>
      <c r="E557" s="76">
        <f>MIN(D557*Constantes!$D$17,0.8*(H556+Observaciones!$F556-F557-G557-Constantes!$D$14))</f>
        <v>0</v>
      </c>
      <c r="F557" s="76">
        <f>IF(Observaciones!$F556&gt;0.05*Constantes!$D$18,((Observaciones!$F556-0.05*Constantes!$D$18)^2)/(Observaciones!$F556+0.95*Constantes!$D$18),0)</f>
        <v>0</v>
      </c>
      <c r="G557" s="76">
        <f>MAX(0,H556+Observaciones!$F556-F557-Constantes!$D$13)</f>
        <v>0</v>
      </c>
      <c r="H557" s="76">
        <f>H556+Observaciones!$F556-F557-E557-G557-I556</f>
        <v>11.25</v>
      </c>
      <c r="I557" s="76">
        <f>MAX(0,(H557-Constantes!$D$14)*(1-EXP(-Constantes!$D$22)))</f>
        <v>0</v>
      </c>
      <c r="J557" s="76">
        <f t="shared" si="24"/>
        <v>90.137258026462035</v>
      </c>
      <c r="K557" s="76">
        <f>MAX(0,(J557-Constantes!$D$13)*(1-EXP(-Constantes!$D$23)))</f>
        <v>0.40779851101158332</v>
      </c>
      <c r="L557" s="76">
        <f t="shared" si="25"/>
        <v>0.40779851101158332</v>
      </c>
      <c r="M557" s="76">
        <f>0.0526*F557*Observaciones!$F556^1.218</f>
        <v>0</v>
      </c>
      <c r="N557" s="76">
        <f>M557*Constantes!$D$51</f>
        <v>0</v>
      </c>
      <c r="O557" s="76">
        <f t="shared" si="26"/>
        <v>0</v>
      </c>
      <c r="P557" s="15"/>
      <c r="Q557" s="75">
        <v>551</v>
      </c>
      <c r="R557" s="76">
        <f>0.0526*Observaciones!$F556^2.218</f>
        <v>0</v>
      </c>
      <c r="S557" s="76">
        <f>IF(Observaciones!$F556&gt;0.05*$W$7,((Observaciones!$F556-0.05*$W$7)^2)/(Observaciones!$F556+0.95*$W$7),0)</f>
        <v>0</v>
      </c>
      <c r="T557" s="76">
        <f>0.0526*S557*Observaciones!$F556^1.218</f>
        <v>0</v>
      </c>
      <c r="U557" s="29"/>
      <c r="V557" s="29"/>
      <c r="W557" s="109"/>
      <c r="X557" s="40"/>
    </row>
    <row r="558" spans="2:24" s="2" customFormat="1">
      <c r="B558" s="39"/>
      <c r="C558" s="75">
        <v>552</v>
      </c>
      <c r="D558" s="146">
        <f>ETo!$I557*((1-Constantes!$D$19)*ETo!$K557+ETo!$L557)</f>
        <v>2.533526824825874</v>
      </c>
      <c r="E558" s="76">
        <f>MIN(D558*Constantes!$D$17,0.8*(H557+Observaciones!$F557-F558-G558-Constantes!$D$14))</f>
        <v>0</v>
      </c>
      <c r="F558" s="76">
        <f>IF(Observaciones!$F557&gt;0.05*Constantes!$D$18,((Observaciones!$F557-0.05*Constantes!$D$18)^2)/(Observaciones!$F557+0.95*Constantes!$D$18),0)</f>
        <v>0</v>
      </c>
      <c r="G558" s="76">
        <f>MAX(0,H557+Observaciones!$F557-F558-Constantes!$D$13)</f>
        <v>0</v>
      </c>
      <c r="H558" s="76">
        <f>H557+Observaciones!$F557-F558-E558-G558-I557</f>
        <v>11.25</v>
      </c>
      <c r="I558" s="76">
        <f>MAX(0,(H558-Constantes!$D$14)*(1-EXP(-Constantes!$D$22)))</f>
        <v>0</v>
      </c>
      <c r="J558" s="76">
        <f t="shared" si="24"/>
        <v>89.729459515450458</v>
      </c>
      <c r="K558" s="76">
        <f>MAX(0,(J558-Constantes!$D$13)*(1-EXP(-Constantes!$D$23)))</f>
        <v>0.40378037515254833</v>
      </c>
      <c r="L558" s="76">
        <f t="shared" si="25"/>
        <v>0.40378037515254833</v>
      </c>
      <c r="M558" s="76">
        <f>0.0526*F558*Observaciones!$F557^1.218</f>
        <v>0</v>
      </c>
      <c r="N558" s="76">
        <f>M558*Constantes!$D$51</f>
        <v>0</v>
      </c>
      <c r="O558" s="76">
        <f t="shared" si="26"/>
        <v>0</v>
      </c>
      <c r="P558" s="15"/>
      <c r="Q558" s="75">
        <v>552</v>
      </c>
      <c r="R558" s="76">
        <f>0.0526*Observaciones!$F557^2.218</f>
        <v>0</v>
      </c>
      <c r="S558" s="76">
        <f>IF(Observaciones!$F557&gt;0.05*$W$7,((Observaciones!$F557-0.05*$W$7)^2)/(Observaciones!$F557+0.95*$W$7),0)</f>
        <v>0</v>
      </c>
      <c r="T558" s="76">
        <f>0.0526*S558*Observaciones!$F557^1.218</f>
        <v>0</v>
      </c>
      <c r="U558" s="29"/>
      <c r="V558" s="29"/>
      <c r="W558" s="109"/>
      <c r="X558" s="40"/>
    </row>
    <row r="559" spans="2:24" s="2" customFormat="1">
      <c r="B559" s="39"/>
      <c r="C559" s="75">
        <v>553</v>
      </c>
      <c r="D559" s="146">
        <f>ETo!$I558*((1-Constantes!$D$19)*ETo!$K558+ETo!$L558)</f>
        <v>2.4276615118042053</v>
      </c>
      <c r="E559" s="76">
        <f>MIN(D559*Constantes!$D$17,0.8*(H558+Observaciones!$F558-F559-G559-Constantes!$D$14))</f>
        <v>0</v>
      </c>
      <c r="F559" s="76">
        <f>IF(Observaciones!$F558&gt;0.05*Constantes!$D$18,((Observaciones!$F558-0.05*Constantes!$D$18)^2)/(Observaciones!$F558+0.95*Constantes!$D$18),0)</f>
        <v>0</v>
      </c>
      <c r="G559" s="76">
        <f>MAX(0,H558+Observaciones!$F558-F559-Constantes!$D$13)</f>
        <v>0</v>
      </c>
      <c r="H559" s="76">
        <f>H558+Observaciones!$F558-F559-E559-G559-I558</f>
        <v>11.25</v>
      </c>
      <c r="I559" s="76">
        <f>MAX(0,(H559-Constantes!$D$14)*(1-EXP(-Constantes!$D$22)))</f>
        <v>0</v>
      </c>
      <c r="J559" s="76">
        <f t="shared" si="24"/>
        <v>89.325679140297908</v>
      </c>
      <c r="K559" s="76">
        <f>MAX(0,(J559-Constantes!$D$13)*(1-EXP(-Constantes!$D$23)))</f>
        <v>0.39980183094317767</v>
      </c>
      <c r="L559" s="76">
        <f t="shared" si="25"/>
        <v>0.39980183094317767</v>
      </c>
      <c r="M559" s="76">
        <f>0.0526*F559*Observaciones!$F558^1.218</f>
        <v>0</v>
      </c>
      <c r="N559" s="76">
        <f>M559*Constantes!$D$51</f>
        <v>0</v>
      </c>
      <c r="O559" s="76">
        <f t="shared" si="26"/>
        <v>0</v>
      </c>
      <c r="P559" s="15"/>
      <c r="Q559" s="75">
        <v>553</v>
      </c>
      <c r="R559" s="76">
        <f>0.0526*Observaciones!$F558^2.218</f>
        <v>0</v>
      </c>
      <c r="S559" s="76">
        <f>IF(Observaciones!$F558&gt;0.05*$W$7,((Observaciones!$F558-0.05*$W$7)^2)/(Observaciones!$F558+0.95*$W$7),0)</f>
        <v>0</v>
      </c>
      <c r="T559" s="76">
        <f>0.0526*S559*Observaciones!$F558^1.218</f>
        <v>0</v>
      </c>
      <c r="U559" s="29"/>
      <c r="V559" s="29"/>
      <c r="W559" s="109"/>
      <c r="X559" s="40"/>
    </row>
    <row r="560" spans="2:24" s="2" customFormat="1">
      <c r="B560" s="39"/>
      <c r="C560" s="75">
        <v>554</v>
      </c>
      <c r="D560" s="146">
        <f>ETo!$I559*((1-Constantes!$D$19)*ETo!$K559+ETo!$L559)</f>
        <v>2.3519339645372006</v>
      </c>
      <c r="E560" s="76">
        <f>MIN(D560*Constantes!$D$17,0.8*(H559+Observaciones!$F559-F560-G560-Constantes!$D$14))</f>
        <v>0</v>
      </c>
      <c r="F560" s="76">
        <f>IF(Observaciones!$F559&gt;0.05*Constantes!$D$18,((Observaciones!$F559-0.05*Constantes!$D$18)^2)/(Observaciones!$F559+0.95*Constantes!$D$18),0)</f>
        <v>0</v>
      </c>
      <c r="G560" s="76">
        <f>MAX(0,H559+Observaciones!$F559-F560-Constantes!$D$13)</f>
        <v>0</v>
      </c>
      <c r="H560" s="76">
        <f>H559+Observaciones!$F559-F560-E560-G560-I559</f>
        <v>11.25</v>
      </c>
      <c r="I560" s="76">
        <f>MAX(0,(H560-Constantes!$D$14)*(1-EXP(-Constantes!$D$22)))</f>
        <v>0</v>
      </c>
      <c r="J560" s="76">
        <f t="shared" si="24"/>
        <v>88.925877309354732</v>
      </c>
      <c r="K560" s="76">
        <f>MAX(0,(J560-Constantes!$D$13)*(1-EXP(-Constantes!$D$23)))</f>
        <v>0.39586248827751741</v>
      </c>
      <c r="L560" s="76">
        <f t="shared" si="25"/>
        <v>0.39586248827751741</v>
      </c>
      <c r="M560" s="76">
        <f>0.0526*F560*Observaciones!$F559^1.218</f>
        <v>0</v>
      </c>
      <c r="N560" s="76">
        <f>M560*Constantes!$D$51</f>
        <v>0</v>
      </c>
      <c r="O560" s="76">
        <f t="shared" si="26"/>
        <v>0</v>
      </c>
      <c r="P560" s="15"/>
      <c r="Q560" s="75">
        <v>554</v>
      </c>
      <c r="R560" s="76">
        <f>0.0526*Observaciones!$F559^2.218</f>
        <v>0</v>
      </c>
      <c r="S560" s="76">
        <f>IF(Observaciones!$F559&gt;0.05*$W$7,((Observaciones!$F559-0.05*$W$7)^2)/(Observaciones!$F559+0.95*$W$7),0)</f>
        <v>0</v>
      </c>
      <c r="T560" s="76">
        <f>0.0526*S560*Observaciones!$F559^1.218</f>
        <v>0</v>
      </c>
      <c r="U560" s="29"/>
      <c r="V560" s="29"/>
      <c r="W560" s="109"/>
      <c r="X560" s="40"/>
    </row>
    <row r="561" spans="2:24" s="2" customFormat="1">
      <c r="B561" s="39"/>
      <c r="C561" s="75">
        <v>555</v>
      </c>
      <c r="D561" s="146">
        <f>ETo!$I560*((1-Constantes!$D$19)*ETo!$K560+ETo!$L560)</f>
        <v>2.2967748046185172</v>
      </c>
      <c r="E561" s="76">
        <f>MIN(D561*Constantes!$D$17,0.8*(H560+Observaciones!$F560-F561-G561-Constantes!$D$14))</f>
        <v>1.1710886139465166</v>
      </c>
      <c r="F561" s="76">
        <f>IF(Observaciones!$F560&gt;0.05*Constantes!$D$18,((Observaciones!$F560-0.05*Constantes!$D$18)^2)/(Observaciones!$F560+0.95*Constantes!$D$18),0)</f>
        <v>0</v>
      </c>
      <c r="G561" s="76">
        <f>MAX(0,H560+Observaciones!$F560-F561-Constantes!$D$13)</f>
        <v>0</v>
      </c>
      <c r="H561" s="76">
        <f>H560+Observaciones!$F560-F561-E561-G561-I560</f>
        <v>12.278911386053483</v>
      </c>
      <c r="I561" s="76">
        <f>MAX(0,(H561-Constantes!$D$14)*(1-EXP(-Constantes!$D$22)))</f>
        <v>3.5048499020007062E-2</v>
      </c>
      <c r="J561" s="76">
        <f t="shared" si="24"/>
        <v>88.530014821077216</v>
      </c>
      <c r="K561" s="76">
        <f>MAX(0,(J561-Constantes!$D$13)*(1-EXP(-Constantes!$D$23)))</f>
        <v>0.39196196089342022</v>
      </c>
      <c r="L561" s="76">
        <f t="shared" si="25"/>
        <v>0.42701045991342729</v>
      </c>
      <c r="M561" s="76">
        <f>0.0526*F561*Observaciones!$F560^1.218</f>
        <v>0</v>
      </c>
      <c r="N561" s="76">
        <f>M561*Constantes!$D$51</f>
        <v>0</v>
      </c>
      <c r="O561" s="76">
        <f t="shared" si="26"/>
        <v>0</v>
      </c>
      <c r="P561" s="15"/>
      <c r="Q561" s="75">
        <v>555</v>
      </c>
      <c r="R561" s="76">
        <f>0.0526*Observaciones!$F560^2.218</f>
        <v>0.30232861200727251</v>
      </c>
      <c r="S561" s="76">
        <f>IF(Observaciones!$F560&gt;0.05*$W$7,((Observaciones!$F560-0.05*$W$7)^2)/(Observaciones!$F560+0.95*$W$7),0)</f>
        <v>6.2440408225724973E-3</v>
      </c>
      <c r="T561" s="76">
        <f>0.0526*S561*Observaciones!$F560^1.218</f>
        <v>8.5806917963867778E-4</v>
      </c>
      <c r="U561" s="29"/>
      <c r="V561" s="29"/>
      <c r="W561" s="109"/>
      <c r="X561" s="40"/>
    </row>
    <row r="562" spans="2:24" s="2" customFormat="1">
      <c r="B562" s="39"/>
      <c r="C562" s="75">
        <v>556</v>
      </c>
      <c r="D562" s="146">
        <f>ETo!$I561*((1-Constantes!$D$19)*ETo!$K561+ETo!$L561)</f>
        <v>2.4374338897749892</v>
      </c>
      <c r="E562" s="76">
        <f>MIN(D562*Constantes!$D$17,0.8*(H561+Observaciones!$F561-F562-G562-Constantes!$D$14))</f>
        <v>0.82312910884278667</v>
      </c>
      <c r="F562" s="76">
        <f>IF(Observaciones!$F561&gt;0.05*Constantes!$D$18,((Observaciones!$F561-0.05*Constantes!$D$18)^2)/(Observaciones!$F561+0.95*Constantes!$D$18),0)</f>
        <v>0</v>
      </c>
      <c r="G562" s="76">
        <f>MAX(0,H561+Observaciones!$F561-F562-Constantes!$D$13)</f>
        <v>0</v>
      </c>
      <c r="H562" s="76">
        <f>H561+Observaciones!$F561-F562-E562-G562-I561</f>
        <v>11.420733778190689</v>
      </c>
      <c r="I562" s="76">
        <f>MAX(0,(H562-Constantes!$D$14)*(1-EXP(-Constantes!$D$22)))</f>
        <v>5.8158192617060005E-3</v>
      </c>
      <c r="J562" s="76">
        <f t="shared" si="24"/>
        <v>88.138052860183791</v>
      </c>
      <c r="K562" s="76">
        <f>MAX(0,(J562-Constantes!$D$13)*(1-EXP(-Constantes!$D$23)))</f>
        <v>0.38809986633467175</v>
      </c>
      <c r="L562" s="76">
        <f t="shared" si="25"/>
        <v>0.39391568559637774</v>
      </c>
      <c r="M562" s="76">
        <f>0.0526*F562*Observaciones!$F561^1.218</f>
        <v>0</v>
      </c>
      <c r="N562" s="76">
        <f>M562*Constantes!$D$51</f>
        <v>0</v>
      </c>
      <c r="O562" s="76">
        <f t="shared" si="26"/>
        <v>0</v>
      </c>
      <c r="P562" s="15"/>
      <c r="Q562" s="75">
        <v>556</v>
      </c>
      <c r="R562" s="76">
        <f>0.0526*Observaciones!$F561^2.218</f>
        <v>0</v>
      </c>
      <c r="S562" s="76">
        <f>IF(Observaciones!$F561&gt;0.05*$W$7,((Observaciones!$F561-0.05*$W$7)^2)/(Observaciones!$F561+0.95*$W$7),0)</f>
        <v>0</v>
      </c>
      <c r="T562" s="76">
        <f>0.0526*S562*Observaciones!$F561^1.218</f>
        <v>0</v>
      </c>
      <c r="U562" s="29"/>
      <c r="V562" s="29"/>
      <c r="W562" s="109"/>
      <c r="X562" s="40"/>
    </row>
    <row r="563" spans="2:24" s="2" customFormat="1">
      <c r="B563" s="39"/>
      <c r="C563" s="75">
        <v>557</v>
      </c>
      <c r="D563" s="146">
        <f>ETo!$I562*((1-Constantes!$D$19)*ETo!$K562+ETo!$L562)</f>
        <v>2.5264615148208835</v>
      </c>
      <c r="E563" s="76">
        <f>MIN(D563*Constantes!$D$17,0.8*(H562+Observaciones!$F562-F563-G563-Constantes!$D$14))</f>
        <v>0.13658702255255123</v>
      </c>
      <c r="F563" s="76">
        <f>IF(Observaciones!$F562&gt;0.05*Constantes!$D$18,((Observaciones!$F562-0.05*Constantes!$D$18)^2)/(Observaciones!$F562+0.95*Constantes!$D$18),0)</f>
        <v>0</v>
      </c>
      <c r="G563" s="76">
        <f>MAX(0,H562+Observaciones!$F562-F563-Constantes!$D$13)</f>
        <v>0</v>
      </c>
      <c r="H563" s="76">
        <f>H562+Observaciones!$F562-F563-E563-G563-I562</f>
        <v>11.278330936376433</v>
      </c>
      <c r="I563" s="76">
        <f>MAX(0,(H563-Constantes!$D$14)*(1-EXP(-Constantes!$D$22)))</f>
        <v>9.6505569797793362E-4</v>
      </c>
      <c r="J563" s="76">
        <f t="shared" si="24"/>
        <v>87.749952993849121</v>
      </c>
      <c r="K563" s="76">
        <f>MAX(0,(J563-Constantes!$D$13)*(1-EXP(-Constantes!$D$23)))</f>
        <v>0.38427582591348991</v>
      </c>
      <c r="L563" s="76">
        <f t="shared" si="25"/>
        <v>0.38524088161146786</v>
      </c>
      <c r="M563" s="76">
        <f>0.0526*F563*Observaciones!$F562^1.218</f>
        <v>0</v>
      </c>
      <c r="N563" s="76">
        <f>M563*Constantes!$D$51</f>
        <v>0</v>
      </c>
      <c r="O563" s="76">
        <f t="shared" si="26"/>
        <v>0</v>
      </c>
      <c r="P563" s="15"/>
      <c r="Q563" s="75">
        <v>557</v>
      </c>
      <c r="R563" s="76">
        <f>0.0526*Observaciones!$F562^2.218</f>
        <v>0</v>
      </c>
      <c r="S563" s="76">
        <f>IF(Observaciones!$F562&gt;0.05*$W$7,((Observaciones!$F562-0.05*$W$7)^2)/(Observaciones!$F562+0.95*$W$7),0)</f>
        <v>0</v>
      </c>
      <c r="T563" s="76">
        <f>0.0526*S563*Observaciones!$F562^1.218</f>
        <v>0</v>
      </c>
      <c r="U563" s="29"/>
      <c r="V563" s="29"/>
      <c r="W563" s="109"/>
      <c r="X563" s="40"/>
    </row>
    <row r="564" spans="2:24" s="2" customFormat="1">
      <c r="B564" s="39"/>
      <c r="C564" s="75">
        <v>558</v>
      </c>
      <c r="D564" s="146">
        <f>ETo!$I563*((1-Constantes!$D$19)*ETo!$K563+ETo!$L563)</f>
        <v>2.526186261836719</v>
      </c>
      <c r="E564" s="76">
        <f>MIN(D564*Constantes!$D$17,0.8*(H563+Observaciones!$F563-F564-G564-Constantes!$D$14))</f>
        <v>2.2664749101146242E-2</v>
      </c>
      <c r="F564" s="76">
        <f>IF(Observaciones!$F563&gt;0.05*Constantes!$D$18,((Observaciones!$F563-0.05*Constantes!$D$18)^2)/(Observaciones!$F563+0.95*Constantes!$D$18),0)</f>
        <v>0</v>
      </c>
      <c r="G564" s="76">
        <f>MAX(0,H563+Observaciones!$F563-F564-Constantes!$D$13)</f>
        <v>0</v>
      </c>
      <c r="H564" s="76">
        <f>H563+Observaciones!$F563-F564-E564-G564-I563</f>
        <v>11.254701131577308</v>
      </c>
      <c r="I564" s="76">
        <f>MAX(0,(H564-Constantes!$D$14)*(1-EXP(-Constantes!$D$22)))</f>
        <v>1.6013779973044165E-4</v>
      </c>
      <c r="J564" s="76">
        <f t="shared" si="24"/>
        <v>87.36567716793563</v>
      </c>
      <c r="K564" s="76">
        <f>MAX(0,(J564-Constantes!$D$13)*(1-EXP(-Constantes!$D$23)))</f>
        <v>0.38048946467339345</v>
      </c>
      <c r="L564" s="76">
        <f t="shared" si="25"/>
        <v>0.3806496024731239</v>
      </c>
      <c r="M564" s="76">
        <f>0.0526*F564*Observaciones!$F563^1.218</f>
        <v>0</v>
      </c>
      <c r="N564" s="76">
        <f>M564*Constantes!$D$51</f>
        <v>0</v>
      </c>
      <c r="O564" s="76">
        <f t="shared" si="26"/>
        <v>0</v>
      </c>
      <c r="P564" s="15"/>
      <c r="Q564" s="75">
        <v>558</v>
      </c>
      <c r="R564" s="76">
        <f>0.0526*Observaciones!$F563^2.218</f>
        <v>0</v>
      </c>
      <c r="S564" s="76">
        <f>IF(Observaciones!$F563&gt;0.05*$W$7,((Observaciones!$F563-0.05*$W$7)^2)/(Observaciones!$F563+0.95*$W$7),0)</f>
        <v>0</v>
      </c>
      <c r="T564" s="76">
        <f>0.0526*S564*Observaciones!$F563^1.218</f>
        <v>0</v>
      </c>
      <c r="U564" s="29"/>
      <c r="V564" s="29"/>
      <c r="W564" s="109"/>
      <c r="X564" s="40"/>
    </row>
    <row r="565" spans="2:24" s="2" customFormat="1">
      <c r="B565" s="39"/>
      <c r="C565" s="75">
        <v>559</v>
      </c>
      <c r="D565" s="146">
        <f>ETo!$I564*((1-Constantes!$D$19)*ETo!$K564+ETo!$L564)</f>
        <v>2.4303829727003539</v>
      </c>
      <c r="E565" s="76">
        <f>MIN(D565*Constantes!$D$17,0.8*(H564+Observaciones!$F564-F565-G565-Constantes!$D$14))</f>
        <v>3.7609052618464037E-3</v>
      </c>
      <c r="F565" s="76">
        <f>IF(Observaciones!$F564&gt;0.05*Constantes!$D$18,((Observaciones!$F564-0.05*Constantes!$D$18)^2)/(Observaciones!$F564+0.95*Constantes!$D$18),0)</f>
        <v>0</v>
      </c>
      <c r="G565" s="76">
        <f>MAX(0,H564+Observaciones!$F564-F565-Constantes!$D$13)</f>
        <v>0</v>
      </c>
      <c r="H565" s="76">
        <f>H564+Observaciones!$F564-F565-E565-G565-I564</f>
        <v>11.250780088515732</v>
      </c>
      <c r="I565" s="76">
        <f>MAX(0,(H565-Constantes!$D$14)*(1-EXP(-Constantes!$D$22)))</f>
        <v>2.6572678609410553E-5</v>
      </c>
      <c r="J565" s="76">
        <f t="shared" si="24"/>
        <v>86.985187703262241</v>
      </c>
      <c r="K565" s="76">
        <f>MAX(0,(J565-Constantes!$D$13)*(1-EXP(-Constantes!$D$23)))</f>
        <v>0.37674041135243663</v>
      </c>
      <c r="L565" s="76">
        <f t="shared" si="25"/>
        <v>0.37676698403104603</v>
      </c>
      <c r="M565" s="76">
        <f>0.0526*F565*Observaciones!$F564^1.218</f>
        <v>0</v>
      </c>
      <c r="N565" s="76">
        <f>M565*Constantes!$D$51</f>
        <v>0</v>
      </c>
      <c r="O565" s="76">
        <f t="shared" si="26"/>
        <v>0</v>
      </c>
      <c r="P565" s="15"/>
      <c r="Q565" s="75">
        <v>559</v>
      </c>
      <c r="R565" s="76">
        <f>0.0526*Observaciones!$F564^2.218</f>
        <v>0</v>
      </c>
      <c r="S565" s="76">
        <f>IF(Observaciones!$F564&gt;0.05*$W$7,((Observaciones!$F564-0.05*$W$7)^2)/(Observaciones!$F564+0.95*$W$7),0)</f>
        <v>0</v>
      </c>
      <c r="T565" s="76">
        <f>0.0526*S565*Observaciones!$F564^1.218</f>
        <v>0</v>
      </c>
      <c r="U565" s="29"/>
      <c r="V565" s="29"/>
      <c r="W565" s="109"/>
      <c r="X565" s="40"/>
    </row>
    <row r="566" spans="2:24" s="2" customFormat="1">
      <c r="B566" s="39"/>
      <c r="C566" s="75">
        <v>560</v>
      </c>
      <c r="D566" s="146">
        <f>ETo!$I565*((1-Constantes!$D$19)*ETo!$K565+ETo!$L565)</f>
        <v>2.3902587780755233</v>
      </c>
      <c r="E566" s="76">
        <f>MIN(D566*Constantes!$D$17,0.8*(H565+Observaciones!$F565-F566-G566-Constantes!$D$14))</f>
        <v>6.2407081258584194E-4</v>
      </c>
      <c r="F566" s="76">
        <f>IF(Observaciones!$F565&gt;0.05*Constantes!$D$18,((Observaciones!$F565-0.05*Constantes!$D$18)^2)/(Observaciones!$F565+0.95*Constantes!$D$18),0)</f>
        <v>0</v>
      </c>
      <c r="G566" s="76">
        <f>MAX(0,H565+Observaciones!$F565-F566-Constantes!$D$13)</f>
        <v>0</v>
      </c>
      <c r="H566" s="76">
        <f>H565+Observaciones!$F565-F566-E566-G566-I565</f>
        <v>11.250129445024537</v>
      </c>
      <c r="I566" s="76">
        <f>MAX(0,(H566-Constantes!$D$14)*(1-EXP(-Constantes!$D$22)))</f>
        <v>4.4093727381603142E-6</v>
      </c>
      <c r="J566" s="76">
        <f t="shared" si="24"/>
        <v>86.608447291909798</v>
      </c>
      <c r="K566" s="76">
        <f>MAX(0,(J566-Constantes!$D$13)*(1-EXP(-Constantes!$D$23)))</f>
        <v>0.37302829834680606</v>
      </c>
      <c r="L566" s="76">
        <f t="shared" si="25"/>
        <v>0.37303270771954422</v>
      </c>
      <c r="M566" s="76">
        <f>0.0526*F566*Observaciones!$F565^1.218</f>
        <v>0</v>
      </c>
      <c r="N566" s="76">
        <f>M566*Constantes!$D$51</f>
        <v>0</v>
      </c>
      <c r="O566" s="76">
        <f t="shared" si="26"/>
        <v>0</v>
      </c>
      <c r="P566" s="15"/>
      <c r="Q566" s="75">
        <v>560</v>
      </c>
      <c r="R566" s="76">
        <f>0.0526*Observaciones!$F565^2.218</f>
        <v>0</v>
      </c>
      <c r="S566" s="76">
        <f>IF(Observaciones!$F565&gt;0.05*$W$7,((Observaciones!$F565-0.05*$W$7)^2)/(Observaciones!$F565+0.95*$W$7),0)</f>
        <v>0</v>
      </c>
      <c r="T566" s="76">
        <f>0.0526*S566*Observaciones!$F565^1.218</f>
        <v>0</v>
      </c>
      <c r="U566" s="29"/>
      <c r="V566" s="29"/>
      <c r="W566" s="109"/>
      <c r="X566" s="40"/>
    </row>
    <row r="567" spans="2:24" s="2" customFormat="1">
      <c r="B567" s="39"/>
      <c r="C567" s="75">
        <v>561</v>
      </c>
      <c r="D567" s="146">
        <f>ETo!$I566*((1-Constantes!$D$19)*ETo!$K566+ETo!$L566)</f>
        <v>2.4893534264694219</v>
      </c>
      <c r="E567" s="76">
        <f>MIN(D567*Constantes!$D$17,0.8*(H566+Observaciones!$F566-F567-G567-Constantes!$D$14))</f>
        <v>1.0355601962999118E-4</v>
      </c>
      <c r="F567" s="76">
        <f>IF(Observaciones!$F566&gt;0.05*Constantes!$D$18,((Observaciones!$F566-0.05*Constantes!$D$18)^2)/(Observaciones!$F566+0.95*Constantes!$D$18),0)</f>
        <v>0</v>
      </c>
      <c r="G567" s="76">
        <f>MAX(0,H566+Observaciones!$F566-F567-Constantes!$D$13)</f>
        <v>0</v>
      </c>
      <c r="H567" s="76">
        <f>H566+Observaciones!$F566-F567-E567-G567-I566</f>
        <v>11.250021479632169</v>
      </c>
      <c r="I567" s="76">
        <f>MAX(0,(H567-Constantes!$D$14)*(1-EXP(-Constantes!$D$22)))</f>
        <v>7.3167512501737021E-7</v>
      </c>
      <c r="J567" s="76">
        <f t="shared" si="24"/>
        <v>86.235418993562988</v>
      </c>
      <c r="K567" s="76">
        <f>MAX(0,(J567-Constantes!$D$13)*(1-EXP(-Constantes!$D$23)))</f>
        <v>0.36935276167477649</v>
      </c>
      <c r="L567" s="76">
        <f t="shared" si="25"/>
        <v>0.36935349334990153</v>
      </c>
      <c r="M567" s="76">
        <f>0.0526*F567*Observaciones!$F566^1.218</f>
        <v>0</v>
      </c>
      <c r="N567" s="76">
        <f>M567*Constantes!$D$51</f>
        <v>0</v>
      </c>
      <c r="O567" s="76">
        <f t="shared" si="26"/>
        <v>0</v>
      </c>
      <c r="P567" s="15"/>
      <c r="Q567" s="75">
        <v>561</v>
      </c>
      <c r="R567" s="76">
        <f>0.0526*Observaciones!$F566^2.218</f>
        <v>0</v>
      </c>
      <c r="S567" s="76">
        <f>IF(Observaciones!$F566&gt;0.05*$W$7,((Observaciones!$F566-0.05*$W$7)^2)/(Observaciones!$F566+0.95*$W$7),0)</f>
        <v>0</v>
      </c>
      <c r="T567" s="76">
        <f>0.0526*S567*Observaciones!$F566^1.218</f>
        <v>0</v>
      </c>
      <c r="U567" s="29"/>
      <c r="V567" s="29"/>
      <c r="W567" s="109"/>
      <c r="X567" s="40"/>
    </row>
    <row r="568" spans="2:24" s="2" customFormat="1">
      <c r="B568" s="39"/>
      <c r="C568" s="75">
        <v>562</v>
      </c>
      <c r="D568" s="146">
        <f>ETo!$I567*((1-Constantes!$D$19)*ETo!$K567+ETo!$L567)</f>
        <v>2.4582065789312031</v>
      </c>
      <c r="E568" s="76">
        <f>MIN(D568*Constantes!$D$17,0.8*(H567+Observaciones!$F567-F568-G568-Constantes!$D$14))</f>
        <v>1.7183705735135392E-5</v>
      </c>
      <c r="F568" s="76">
        <f>IF(Observaciones!$F567&gt;0.05*Constantes!$D$18,((Observaciones!$F567-0.05*Constantes!$D$18)^2)/(Observaciones!$F567+0.95*Constantes!$D$18),0)</f>
        <v>0</v>
      </c>
      <c r="G568" s="76">
        <f>MAX(0,H567+Observaciones!$F567-F568-Constantes!$D$13)</f>
        <v>0</v>
      </c>
      <c r="H568" s="76">
        <f>H567+Observaciones!$F567-F568-E568-G568-I567</f>
        <v>11.250003564251308</v>
      </c>
      <c r="I568" s="76">
        <f>MAX(0,(H568-Constantes!$D$14)*(1-EXP(-Constantes!$D$22)))</f>
        <v>1.2141148419576526E-7</v>
      </c>
      <c r="J568" s="76">
        <f t="shared" si="24"/>
        <v>85.866066231888212</v>
      </c>
      <c r="K568" s="76">
        <f>MAX(0,(J568-Constantes!$D$13)*(1-EXP(-Constantes!$D$23)))</f>
        <v>0.36571344094102104</v>
      </c>
      <c r="L568" s="76">
        <f t="shared" si="25"/>
        <v>0.36571356235250524</v>
      </c>
      <c r="M568" s="76">
        <f>0.0526*F568*Observaciones!$F567^1.218</f>
        <v>0</v>
      </c>
      <c r="N568" s="76">
        <f>M568*Constantes!$D$51</f>
        <v>0</v>
      </c>
      <c r="O568" s="76">
        <f t="shared" si="26"/>
        <v>0</v>
      </c>
      <c r="P568" s="15"/>
      <c r="Q568" s="75">
        <v>562</v>
      </c>
      <c r="R568" s="76">
        <f>0.0526*Observaciones!$F567^2.218</f>
        <v>0</v>
      </c>
      <c r="S568" s="76">
        <f>IF(Observaciones!$F567&gt;0.05*$W$7,((Observaciones!$F567-0.05*$W$7)^2)/(Observaciones!$F567+0.95*$W$7),0)</f>
        <v>0</v>
      </c>
      <c r="T568" s="76">
        <f>0.0526*S568*Observaciones!$F567^1.218</f>
        <v>0</v>
      </c>
      <c r="U568" s="29"/>
      <c r="V568" s="29"/>
      <c r="W568" s="109"/>
      <c r="X568" s="40"/>
    </row>
    <row r="569" spans="2:24" s="2" customFormat="1">
      <c r="B569" s="39"/>
      <c r="C569" s="75">
        <v>563</v>
      </c>
      <c r="D569" s="146">
        <f>ETo!$I568*((1-Constantes!$D$19)*ETo!$K568+ETo!$L568)</f>
        <v>2.4419065630285375</v>
      </c>
      <c r="E569" s="76">
        <f>MIN(D569*Constantes!$D$17,0.8*(H568+Observaciones!$F568-F569-G569-Constantes!$D$14))</f>
        <v>2.8514010466551555E-6</v>
      </c>
      <c r="F569" s="76">
        <f>IF(Observaciones!$F568&gt;0.05*Constantes!$D$18,((Observaciones!$F568-0.05*Constantes!$D$18)^2)/(Observaciones!$F568+0.95*Constantes!$D$18),0)</f>
        <v>0</v>
      </c>
      <c r="G569" s="76">
        <f>MAX(0,H568+Observaciones!$F568-F569-Constantes!$D$13)</f>
        <v>0</v>
      </c>
      <c r="H569" s="76">
        <f>H568+Observaciones!$F568-F569-E569-G569-I568</f>
        <v>11.250000591438779</v>
      </c>
      <c r="I569" s="76">
        <f>MAX(0,(H569-Constantes!$D$14)*(1-EXP(-Constantes!$D$22)))</f>
        <v>2.0146576023524847E-8</v>
      </c>
      <c r="J569" s="76">
        <f t="shared" si="24"/>
        <v>85.50035279094719</v>
      </c>
      <c r="K569" s="76">
        <f>MAX(0,(J569-Constantes!$D$13)*(1-EXP(-Constantes!$D$23)))</f>
        <v>0.36210997930127392</v>
      </c>
      <c r="L569" s="76">
        <f t="shared" si="25"/>
        <v>0.36210999944784994</v>
      </c>
      <c r="M569" s="76">
        <f>0.0526*F569*Observaciones!$F568^1.218</f>
        <v>0</v>
      </c>
      <c r="N569" s="76">
        <f>M569*Constantes!$D$51</f>
        <v>0</v>
      </c>
      <c r="O569" s="76">
        <f t="shared" si="26"/>
        <v>0</v>
      </c>
      <c r="P569" s="15"/>
      <c r="Q569" s="75">
        <v>563</v>
      </c>
      <c r="R569" s="76">
        <f>0.0526*Observaciones!$F568^2.218</f>
        <v>0</v>
      </c>
      <c r="S569" s="76">
        <f>IF(Observaciones!$F568&gt;0.05*$W$7,((Observaciones!$F568-0.05*$W$7)^2)/(Observaciones!$F568+0.95*$W$7),0)</f>
        <v>0</v>
      </c>
      <c r="T569" s="76">
        <f>0.0526*S569*Observaciones!$F568^1.218</f>
        <v>0</v>
      </c>
      <c r="U569" s="29"/>
      <c r="V569" s="29"/>
      <c r="W569" s="109"/>
      <c r="X569" s="40"/>
    </row>
    <row r="570" spans="2:24" s="2" customFormat="1">
      <c r="B570" s="39"/>
      <c r="C570" s="75">
        <v>564</v>
      </c>
      <c r="D570" s="146">
        <f>ETo!$I569*((1-Constantes!$D$19)*ETo!$K569+ETo!$L569)</f>
        <v>2.4932453135777468</v>
      </c>
      <c r="E570" s="76">
        <f>MIN(D570*Constantes!$D$17,0.8*(H569+Observaciones!$F569-F570-G570-Constantes!$D$14))</f>
        <v>0.1600004731510225</v>
      </c>
      <c r="F570" s="76">
        <f>IF(Observaciones!$F569&gt;0.05*Constantes!$D$18,((Observaciones!$F569-0.05*Constantes!$D$18)^2)/(Observaciones!$F569+0.95*Constantes!$D$18),0)</f>
        <v>0</v>
      </c>
      <c r="G570" s="76">
        <f>MAX(0,H569+Observaciones!$F569-F570-Constantes!$D$13)</f>
        <v>0</v>
      </c>
      <c r="H570" s="76">
        <f>H569+Observaciones!$F569-F570-E570-G570-I569</f>
        <v>11.29000009814118</v>
      </c>
      <c r="I570" s="76">
        <f>MAX(0,(H570-Constantes!$D$14)*(1-EXP(-Constantes!$D$22)))</f>
        <v>1.3625501860550389E-3</v>
      </c>
      <c r="J570" s="76">
        <f t="shared" si="24"/>
        <v>85.13824281164591</v>
      </c>
      <c r="K570" s="76">
        <f>MAX(0,(J570-Constantes!$D$13)*(1-EXP(-Constantes!$D$23)))</f>
        <v>0.35854202342734087</v>
      </c>
      <c r="L570" s="76">
        <f t="shared" si="25"/>
        <v>0.3599045736133959</v>
      </c>
      <c r="M570" s="76">
        <f>0.0526*F570*Observaciones!$F569^1.218</f>
        <v>0</v>
      </c>
      <c r="N570" s="76">
        <f>M570*Constantes!$D$51</f>
        <v>0</v>
      </c>
      <c r="O570" s="76">
        <f t="shared" si="26"/>
        <v>0</v>
      </c>
      <c r="P570" s="15"/>
      <c r="Q570" s="75">
        <v>564</v>
      </c>
      <c r="R570" s="76">
        <f>0.0526*Observaciones!$F569^2.218</f>
        <v>1.4813929535417848E-3</v>
      </c>
      <c r="S570" s="76">
        <f>IF(Observaciones!$F569&gt;0.05*$W$7,((Observaciones!$F569-0.05*$W$7)^2)/(Observaciones!$F569+0.95*$W$7),0)</f>
        <v>0</v>
      </c>
      <c r="T570" s="76">
        <f>0.0526*S570*Observaciones!$F569^1.218</f>
        <v>0</v>
      </c>
      <c r="U570" s="29"/>
      <c r="V570" s="29"/>
      <c r="W570" s="109"/>
      <c r="X570" s="40"/>
    </row>
    <row r="571" spans="2:24" s="2" customFormat="1">
      <c r="B571" s="39"/>
      <c r="C571" s="75">
        <v>565</v>
      </c>
      <c r="D571" s="146">
        <f>ETo!$I570*((1-Constantes!$D$19)*ETo!$K570+ETo!$L570)</f>
        <v>2.4980752559414752</v>
      </c>
      <c r="E571" s="76">
        <f>MIN(D571*Constantes!$D$17,0.8*(H570+Observaciones!$F570-F571-G571-Constantes!$D$14))</f>
        <v>1.2737284835813487</v>
      </c>
      <c r="F571" s="76">
        <f>IF(Observaciones!$F570&gt;0.05*Constantes!$D$18,((Observaciones!$F570-0.05*Constantes!$D$18)^2)/(Observaciones!$F570+0.95*Constantes!$D$18),0)</f>
        <v>0</v>
      </c>
      <c r="G571" s="76">
        <f>MAX(0,H570+Observaciones!$F570-F571-Constantes!$D$13)</f>
        <v>0</v>
      </c>
      <c r="H571" s="76">
        <f>H570+Observaciones!$F570-F571-E571-G571-I570</f>
        <v>11.614909064373775</v>
      </c>
      <c r="I571" s="76">
        <f>MAX(0,(H571-Constantes!$D$14)*(1-EXP(-Constantes!$D$22)))</f>
        <v>1.2430142341170604E-2</v>
      </c>
      <c r="J571" s="76">
        <f t="shared" si="24"/>
        <v>84.779700788218562</v>
      </c>
      <c r="K571" s="76">
        <f>MAX(0,(J571-Constantes!$D$13)*(1-EXP(-Constantes!$D$23)))</f>
        <v>0.35500922347245456</v>
      </c>
      <c r="L571" s="76">
        <f t="shared" si="25"/>
        <v>0.36743936581362519</v>
      </c>
      <c r="M571" s="76">
        <f>0.0526*F571*Observaciones!$F570^1.218</f>
        <v>0</v>
      </c>
      <c r="N571" s="76">
        <f>M571*Constantes!$D$51</f>
        <v>0</v>
      </c>
      <c r="O571" s="76">
        <f t="shared" si="26"/>
        <v>0</v>
      </c>
      <c r="P571" s="15"/>
      <c r="Q571" s="75">
        <v>565</v>
      </c>
      <c r="R571" s="76">
        <f>0.0526*Observaciones!$F570^2.218</f>
        <v>0.14918455586023374</v>
      </c>
      <c r="S571" s="76">
        <f>IF(Observaciones!$F570&gt;0.05*$W$7,((Observaciones!$F570-0.05*$W$7)^2)/(Observaciones!$F570+0.95*$W$7),0)</f>
        <v>0</v>
      </c>
      <c r="T571" s="76">
        <f>0.0526*S571*Observaciones!$F570^1.218</f>
        <v>0</v>
      </c>
      <c r="U571" s="29"/>
      <c r="V571" s="29"/>
      <c r="W571" s="109"/>
      <c r="X571" s="40"/>
    </row>
    <row r="572" spans="2:24" s="2" customFormat="1">
      <c r="B572" s="39"/>
      <c r="C572" s="75">
        <v>566</v>
      </c>
      <c r="D572" s="146">
        <f>ETo!$I571*((1-Constantes!$D$19)*ETo!$K571+ETo!$L571)</f>
        <v>2.4470842700112385</v>
      </c>
      <c r="E572" s="76">
        <f>MIN(D572*Constantes!$D$17,0.8*(H571+Observaciones!$F571-F572-G572-Constantes!$D$14))</f>
        <v>1.2477289981652215</v>
      </c>
      <c r="F572" s="76">
        <f>IF(Observaciones!$F571&gt;0.05*Constantes!$D$18,((Observaciones!$F571-0.05*Constantes!$D$18)^2)/(Observaciones!$F571+0.95*Constantes!$D$18),0)</f>
        <v>2.8475740756648989E-2</v>
      </c>
      <c r="G572" s="76">
        <f>MAX(0,H571+Observaciones!$F571-F572-Constantes!$D$13)</f>
        <v>0</v>
      </c>
      <c r="H572" s="76">
        <f>H571+Observaciones!$F571-F572-E572-G572-I571</f>
        <v>15.426274183110735</v>
      </c>
      <c r="I572" s="76">
        <f>MAX(0,(H572-Constantes!$D$14)*(1-EXP(-Constantes!$D$22)))</f>
        <v>0.1422592300931432</v>
      </c>
      <c r="J572" s="76">
        <f t="shared" si="24"/>
        <v>84.424691564746112</v>
      </c>
      <c r="K572" s="76">
        <f>MAX(0,(J572-Constantes!$D$13)*(1-EXP(-Constantes!$D$23)))</f>
        <v>0.35151123303697129</v>
      </c>
      <c r="L572" s="76">
        <f t="shared" si="25"/>
        <v>0.52224620388676346</v>
      </c>
      <c r="M572" s="76">
        <f>0.0526*F572*Observaciones!$F571^1.218</f>
        <v>1.0896355128454986E-2</v>
      </c>
      <c r="N572" s="76">
        <f>M572*Constantes!$D$51</f>
        <v>1.5320162510455492E-4</v>
      </c>
      <c r="O572" s="76">
        <f t="shared" si="26"/>
        <v>29.335134265097121</v>
      </c>
      <c r="P572" s="15"/>
      <c r="Q572" s="75">
        <v>566</v>
      </c>
      <c r="R572" s="76">
        <f>0.0526*Observaciones!$F571^2.218</f>
        <v>1.9515352253705529</v>
      </c>
      <c r="S572" s="76">
        <f>IF(Observaciones!$F571&gt;0.05*$W$7,((Observaciones!$F571-0.05*$W$7)^2)/(Observaciones!$F571+0.95*$W$7),0)</f>
        <v>0.29850768176925341</v>
      </c>
      <c r="T572" s="76">
        <f>0.0526*S572*Observaciones!$F571^1.218</f>
        <v>0.11422514823851004</v>
      </c>
      <c r="U572" s="29"/>
      <c r="V572" s="29"/>
      <c r="W572" s="109"/>
      <c r="X572" s="40"/>
    </row>
    <row r="573" spans="2:24" s="2" customFormat="1">
      <c r="B573" s="39"/>
      <c r="C573" s="75">
        <v>567</v>
      </c>
      <c r="D573" s="146">
        <f>ETo!$I572*((1-Constantes!$D$19)*ETo!$K572+ETo!$L572)</f>
        <v>2.3904587126430346</v>
      </c>
      <c r="E573" s="76">
        <f>MIN(D573*Constantes!$D$17,0.8*(H572+Observaciones!$F572-F573-G573-Constantes!$D$14))</f>
        <v>1.2188565351971801</v>
      </c>
      <c r="F573" s="76">
        <f>IF(Observaciones!$F572&gt;0.05*Constantes!$D$18,((Observaciones!$F572-0.05*Constantes!$D$18)^2)/(Observaciones!$F572+0.95*Constantes!$D$18),0)</f>
        <v>0.12288501690119562</v>
      </c>
      <c r="G573" s="76">
        <f>MAX(0,H572+Observaciones!$F572-F573-Constantes!$D$13)</f>
        <v>0</v>
      </c>
      <c r="H573" s="76">
        <f>H572+Observaciones!$F572-F573-E573-G573-I572</f>
        <v>20.642273400919215</v>
      </c>
      <c r="I573" s="76">
        <f>MAX(0,(H573-Constantes!$D$14)*(1-EXP(-Constantes!$D$22)))</f>
        <v>0.31993531177683393</v>
      </c>
      <c r="J573" s="76">
        <f t="shared" si="24"/>
        <v>84.073180331709139</v>
      </c>
      <c r="K573" s="76">
        <f>MAX(0,(J573-Constantes!$D$13)*(1-EXP(-Constantes!$D$23)))</f>
        <v>0.34804770913440514</v>
      </c>
      <c r="L573" s="76">
        <f t="shared" si="25"/>
        <v>0.79086803781243464</v>
      </c>
      <c r="M573" s="76">
        <f>0.0526*F573*Observaciones!$F572^1.218</f>
        <v>6.556073101444794E-2</v>
      </c>
      <c r="N573" s="76">
        <f>M573*Constantes!$D$51</f>
        <v>9.2177709115104616E-4</v>
      </c>
      <c r="O573" s="76">
        <f t="shared" si="26"/>
        <v>116.55257856932872</v>
      </c>
      <c r="P573" s="15"/>
      <c r="Q573" s="75">
        <v>567</v>
      </c>
      <c r="R573" s="76">
        <f>0.0526*Observaciones!$F572^2.218</f>
        <v>3.5745358455700194</v>
      </c>
      <c r="S573" s="76">
        <f>IF(Observaciones!$F572&gt;0.05*$W$7,((Observaciones!$F572-0.05*$W$7)^2)/(Observaciones!$F572+0.95*$W$7),0)</f>
        <v>0.62323226526715592</v>
      </c>
      <c r="T573" s="76">
        <f>0.0526*S573*Observaciones!$F572^1.218</f>
        <v>0.33250239885272398</v>
      </c>
      <c r="U573" s="29"/>
      <c r="V573" s="29"/>
      <c r="W573" s="109"/>
      <c r="X573" s="40"/>
    </row>
    <row r="574" spans="2:24" s="2" customFormat="1">
      <c r="B574" s="39"/>
      <c r="C574" s="75">
        <v>568</v>
      </c>
      <c r="D574" s="146">
        <f>ETo!$I573*((1-Constantes!$D$19)*ETo!$K573+ETo!$L573)</f>
        <v>2.5591604037520317</v>
      </c>
      <c r="E574" s="76">
        <f>MIN(D574*Constantes!$D$17,0.8*(H573+Observaciones!$F573-F574-G574-Constantes!$D$14))</f>
        <v>1.3048748201478821</v>
      </c>
      <c r="F574" s="76">
        <f>IF(Observaciones!$F573&gt;0.05*Constantes!$D$18,((Observaciones!$F573-0.05*Constantes!$D$18)^2)/(Observaciones!$F573+0.95*Constantes!$D$18),0)</f>
        <v>0</v>
      </c>
      <c r="G574" s="76">
        <f>MAX(0,H573+Observaciones!$F573-F574-Constantes!$D$13)</f>
        <v>0</v>
      </c>
      <c r="H574" s="76">
        <f>H573+Observaciones!$F573-F574-E574-G574-I573</f>
        <v>19.017463268994497</v>
      </c>
      <c r="I574" s="76">
        <f>MAX(0,(H574-Constantes!$D$14)*(1-EXP(-Constantes!$D$22)))</f>
        <v>0.26458831388337212</v>
      </c>
      <c r="J574" s="76">
        <f t="shared" si="24"/>
        <v>83.725132622574733</v>
      </c>
      <c r="K574" s="76">
        <f>MAX(0,(J574-Constantes!$D$13)*(1-EXP(-Constantes!$D$23)))</f>
        <v>0.34461831215779815</v>
      </c>
      <c r="L574" s="76">
        <f t="shared" si="25"/>
        <v>0.60920662604117026</v>
      </c>
      <c r="M574" s="76">
        <f>0.0526*F574*Observaciones!$F573^1.218</f>
        <v>0</v>
      </c>
      <c r="N574" s="76">
        <f>M574*Constantes!$D$51</f>
        <v>0</v>
      </c>
      <c r="O574" s="76">
        <f t="shared" si="26"/>
        <v>0</v>
      </c>
      <c r="P574" s="15"/>
      <c r="Q574" s="75">
        <v>568</v>
      </c>
      <c r="R574" s="76">
        <f>0.0526*Observaciones!$F573^2.218</f>
        <v>0</v>
      </c>
      <c r="S574" s="76">
        <f>IF(Observaciones!$F573&gt;0.05*$W$7,((Observaciones!$F573-0.05*$W$7)^2)/(Observaciones!$F573+0.95*$W$7),0)</f>
        <v>0</v>
      </c>
      <c r="T574" s="76">
        <f>0.0526*S574*Observaciones!$F573^1.218</f>
        <v>0</v>
      </c>
      <c r="U574" s="29"/>
      <c r="V574" s="29"/>
      <c r="W574" s="109"/>
      <c r="X574" s="40"/>
    </row>
    <row r="575" spans="2:24" s="2" customFormat="1">
      <c r="B575" s="39"/>
      <c r="C575" s="75">
        <v>569</v>
      </c>
      <c r="D575" s="146">
        <f>ETo!$I574*((1-Constantes!$D$19)*ETo!$K574+ETo!$L574)</f>
        <v>2.535179392611095</v>
      </c>
      <c r="E575" s="76">
        <f>MIN(D575*Constantes!$D$17,0.8*(H574+Observaciones!$F574-F575-G575-Constantes!$D$14))</f>
        <v>1.2926472874173758</v>
      </c>
      <c r="F575" s="76">
        <f>IF(Observaciones!$F574&gt;0.05*Constantes!$D$18,((Observaciones!$F574-0.05*Constantes!$D$18)^2)/(Observaciones!$F574+0.95*Constantes!$D$18),0)</f>
        <v>0</v>
      </c>
      <c r="G575" s="76">
        <f>MAX(0,H574+Observaciones!$F574-F575-Constantes!$D$13)</f>
        <v>0</v>
      </c>
      <c r="H575" s="76">
        <f>H574+Observaciones!$F574-F575-E575-G575-I574</f>
        <v>17.460227667693751</v>
      </c>
      <c r="I575" s="76">
        <f>MAX(0,(H575-Constantes!$D$14)*(1-EXP(-Constantes!$D$22)))</f>
        <v>0.21154315257414319</v>
      </c>
      <c r="J575" s="76">
        <f t="shared" si="24"/>
        <v>83.380514310416942</v>
      </c>
      <c r="K575" s="76">
        <f>MAX(0,(J575-Constantes!$D$13)*(1-EXP(-Constantes!$D$23)))</f>
        <v>0.34122270584642045</v>
      </c>
      <c r="L575" s="76">
        <f t="shared" si="25"/>
        <v>0.55276585842056369</v>
      </c>
      <c r="M575" s="76">
        <f>0.0526*F575*Observaciones!$F574^1.218</f>
        <v>0</v>
      </c>
      <c r="N575" s="76">
        <f>M575*Constantes!$D$51</f>
        <v>0</v>
      </c>
      <c r="O575" s="76">
        <f t="shared" si="26"/>
        <v>0</v>
      </c>
      <c r="P575" s="15"/>
      <c r="Q575" s="75">
        <v>569</v>
      </c>
      <c r="R575" s="76">
        <f>0.0526*Observaciones!$F574^2.218</f>
        <v>0</v>
      </c>
      <c r="S575" s="76">
        <f>IF(Observaciones!$F574&gt;0.05*$W$7,((Observaciones!$F574-0.05*$W$7)^2)/(Observaciones!$F574+0.95*$W$7),0)</f>
        <v>0</v>
      </c>
      <c r="T575" s="76">
        <f>0.0526*S575*Observaciones!$F574^1.218</f>
        <v>0</v>
      </c>
      <c r="U575" s="29"/>
      <c r="V575" s="29"/>
      <c r="W575" s="109"/>
      <c r="X575" s="40"/>
    </row>
    <row r="576" spans="2:24" s="2" customFormat="1">
      <c r="B576" s="39"/>
      <c r="C576" s="75">
        <v>570</v>
      </c>
      <c r="D576" s="146">
        <f>ETo!$I575*((1-Constantes!$D$19)*ETo!$K575+ETo!$L575)</f>
        <v>2.5988607369229899</v>
      </c>
      <c r="E576" s="76">
        <f>MIN(D576*Constantes!$D$17,0.8*(H575+Observaciones!$F575-F576-G576-Constantes!$D$14))</f>
        <v>1.3251173829158565</v>
      </c>
      <c r="F576" s="76">
        <f>IF(Observaciones!$F575&gt;0.05*Constantes!$D$18,((Observaciones!$F575-0.05*Constantes!$D$18)^2)/(Observaciones!$F575+0.95*Constantes!$D$18),0)</f>
        <v>0</v>
      </c>
      <c r="G576" s="76">
        <f>MAX(0,H575+Observaciones!$F575-F576-Constantes!$D$13)</f>
        <v>0</v>
      </c>
      <c r="H576" s="76">
        <f>H575+Observaciones!$F575-F576-E576-G576-I575</f>
        <v>15.923567132203752</v>
      </c>
      <c r="I576" s="76">
        <f>MAX(0,(H576-Constantes!$D$14)*(1-EXP(-Constantes!$D$22)))</f>
        <v>0.15919885353904126</v>
      </c>
      <c r="J576" s="76">
        <f t="shared" si="24"/>
        <v>83.039291604570522</v>
      </c>
      <c r="K576" s="76">
        <f>MAX(0,(J576-Constantes!$D$13)*(1-EXP(-Constantes!$D$23)))</f>
        <v>0.33786055725279907</v>
      </c>
      <c r="L576" s="76">
        <f t="shared" si="25"/>
        <v>0.49705941079184035</v>
      </c>
      <c r="M576" s="76">
        <f>0.0526*F576*Observaciones!$F575^1.218</f>
        <v>0</v>
      </c>
      <c r="N576" s="76">
        <f>M576*Constantes!$D$51</f>
        <v>0</v>
      </c>
      <c r="O576" s="76">
        <f t="shared" si="26"/>
        <v>0</v>
      </c>
      <c r="P576" s="15"/>
      <c r="Q576" s="75">
        <v>570</v>
      </c>
      <c r="R576" s="76">
        <f>0.0526*Observaciones!$F575^2.218</f>
        <v>0</v>
      </c>
      <c r="S576" s="76">
        <f>IF(Observaciones!$F575&gt;0.05*$W$7,((Observaciones!$F575-0.05*$W$7)^2)/(Observaciones!$F575+0.95*$W$7),0)</f>
        <v>0</v>
      </c>
      <c r="T576" s="76">
        <f>0.0526*S576*Observaciones!$F575^1.218</f>
        <v>0</v>
      </c>
      <c r="U576" s="29"/>
      <c r="V576" s="29"/>
      <c r="W576" s="109"/>
      <c r="X576" s="40"/>
    </row>
    <row r="577" spans="2:24" s="2" customFormat="1">
      <c r="B577" s="39"/>
      <c r="C577" s="75">
        <v>571</v>
      </c>
      <c r="D577" s="146">
        <f>ETo!$I576*((1-Constantes!$D$19)*ETo!$K576+ETo!$L576)</f>
        <v>2.6116466061112749</v>
      </c>
      <c r="E577" s="76">
        <f>MIN(D577*Constantes!$D$17,0.8*(H576+Observaciones!$F576-F577-G577-Constantes!$D$14))</f>
        <v>1.3316366924257399</v>
      </c>
      <c r="F577" s="76">
        <f>IF(Observaciones!$F576&gt;0.05*Constantes!$D$18,((Observaciones!$F576-0.05*Constantes!$D$18)^2)/(Observaciones!$F576+0.95*Constantes!$D$18),0)</f>
        <v>0</v>
      </c>
      <c r="G577" s="76">
        <f>MAX(0,H576+Observaciones!$F576-F577-Constantes!$D$13)</f>
        <v>0</v>
      </c>
      <c r="H577" s="76">
        <f>H576+Observaciones!$F576-F577-E577-G577-I576</f>
        <v>14.432731586238971</v>
      </c>
      <c r="I577" s="76">
        <f>MAX(0,(H577-Constantes!$D$14)*(1-EXP(-Constantes!$D$22)))</f>
        <v>0.10841552187414871</v>
      </c>
      <c r="J577" s="76">
        <f t="shared" si="24"/>
        <v>82.701431047317726</v>
      </c>
      <c r="K577" s="76">
        <f>MAX(0,(J577-Constantes!$D$13)*(1-EXP(-Constantes!$D$23)))</f>
        <v>0.33453153671007207</v>
      </c>
      <c r="L577" s="76">
        <f t="shared" si="25"/>
        <v>0.44294705858422079</v>
      </c>
      <c r="M577" s="76">
        <f>0.0526*F577*Observaciones!$F576^1.218</f>
        <v>0</v>
      </c>
      <c r="N577" s="76">
        <f>M577*Constantes!$D$51</f>
        <v>0</v>
      </c>
      <c r="O577" s="76">
        <f t="shared" si="26"/>
        <v>0</v>
      </c>
      <c r="P577" s="15"/>
      <c r="Q577" s="75">
        <v>571</v>
      </c>
      <c r="R577" s="76">
        <f>0.0526*Observaciones!$F576^2.218</f>
        <v>0</v>
      </c>
      <c r="S577" s="76">
        <f>IF(Observaciones!$F576&gt;0.05*$W$7,((Observaciones!$F576-0.05*$W$7)^2)/(Observaciones!$F576+0.95*$W$7),0)</f>
        <v>0</v>
      </c>
      <c r="T577" s="76">
        <f>0.0526*S577*Observaciones!$F576^1.218</f>
        <v>0</v>
      </c>
      <c r="U577" s="29"/>
      <c r="V577" s="29"/>
      <c r="W577" s="109"/>
      <c r="X577" s="40"/>
    </row>
    <row r="578" spans="2:24" s="2" customFormat="1">
      <c r="B578" s="39"/>
      <c r="C578" s="75">
        <v>572</v>
      </c>
      <c r="D578" s="146">
        <f>ETo!$I577*((1-Constantes!$D$19)*ETo!$K577+ETo!$L577)</f>
        <v>2.5515362998372098</v>
      </c>
      <c r="E578" s="76">
        <f>MIN(D578*Constantes!$D$17,0.8*(H577+Observaciones!$F577-F578-G578-Constantes!$D$14))</f>
        <v>1.3009874119142848</v>
      </c>
      <c r="F578" s="76">
        <f>IF(Observaciones!$F577&gt;0.05*Constantes!$D$18,((Observaciones!$F577-0.05*Constantes!$D$18)^2)/(Observaciones!$F577+0.95*Constantes!$D$18),0)</f>
        <v>0</v>
      </c>
      <c r="G578" s="76">
        <f>MAX(0,H577+Observaciones!$F577-F578-Constantes!$D$13)</f>
        <v>0</v>
      </c>
      <c r="H578" s="76">
        <f>H577+Observaciones!$F577-F578-E578-G578-I577</f>
        <v>13.023328652450537</v>
      </c>
      <c r="I578" s="76">
        <f>MAX(0,(H578-Constantes!$D$14)*(1-EXP(-Constantes!$D$22)))</f>
        <v>6.0406083925221898E-2</v>
      </c>
      <c r="J578" s="76">
        <f t="shared" si="24"/>
        <v>82.366899510607652</v>
      </c>
      <c r="K578" s="76">
        <f>MAX(0,(J578-Constantes!$D$13)*(1-EXP(-Constantes!$D$23)))</f>
        <v>0.33123531779966348</v>
      </c>
      <c r="L578" s="76">
        <f t="shared" si="25"/>
        <v>0.39164140172488537</v>
      </c>
      <c r="M578" s="76">
        <f>0.0526*F578*Observaciones!$F577^1.218</f>
        <v>0</v>
      </c>
      <c r="N578" s="76">
        <f>M578*Constantes!$D$51</f>
        <v>0</v>
      </c>
      <c r="O578" s="76">
        <f t="shared" si="26"/>
        <v>0</v>
      </c>
      <c r="P578" s="15"/>
      <c r="Q578" s="75">
        <v>572</v>
      </c>
      <c r="R578" s="76">
        <f>0.0526*Observaciones!$F577^2.218</f>
        <v>0</v>
      </c>
      <c r="S578" s="76">
        <f>IF(Observaciones!$F577&gt;0.05*$W$7,((Observaciones!$F577-0.05*$W$7)^2)/(Observaciones!$F577+0.95*$W$7),0)</f>
        <v>0</v>
      </c>
      <c r="T578" s="76">
        <f>0.0526*S578*Observaciones!$F577^1.218</f>
        <v>0</v>
      </c>
      <c r="U578" s="29"/>
      <c r="V578" s="29"/>
      <c r="W578" s="109"/>
      <c r="X578" s="40"/>
    </row>
    <row r="579" spans="2:24" s="2" customFormat="1">
      <c r="B579" s="39"/>
      <c r="C579" s="75">
        <v>573</v>
      </c>
      <c r="D579" s="146">
        <f>ETo!$I578*((1-Constantes!$D$19)*ETo!$K578+ETo!$L578)</f>
        <v>2.5584351387585538</v>
      </c>
      <c r="E579" s="76">
        <f>MIN(D579*Constantes!$D$17,0.8*(H578+Observaciones!$F578-F579-G579-Constantes!$D$14))</f>
        <v>1.3045050191668508</v>
      </c>
      <c r="F579" s="76">
        <f>IF(Observaciones!$F578&gt;0.05*Constantes!$D$18,((Observaciones!$F578-0.05*Constantes!$D$18)^2)/(Observaciones!$F578+0.95*Constantes!$D$18),0)</f>
        <v>0</v>
      </c>
      <c r="G579" s="76">
        <f>MAX(0,H578+Observaciones!$F578-F579-Constantes!$D$13)</f>
        <v>0</v>
      </c>
      <c r="H579" s="76">
        <f>H578+Observaciones!$F578-F579-E579-G579-I578</f>
        <v>11.658417549358465</v>
      </c>
      <c r="I579" s="76">
        <f>MAX(0,(H579-Constantes!$D$14)*(1-EXP(-Constantes!$D$22)))</f>
        <v>1.3912201062667372E-2</v>
      </c>
      <c r="J579" s="76">
        <f t="shared" si="24"/>
        <v>82.035664192807985</v>
      </c>
      <c r="K579" s="76">
        <f>MAX(0,(J579-Constantes!$D$13)*(1-EXP(-Constantes!$D$23)))</f>
        <v>0.32797157731927729</v>
      </c>
      <c r="L579" s="76">
        <f t="shared" si="25"/>
        <v>0.34188377838194467</v>
      </c>
      <c r="M579" s="76">
        <f>0.0526*F579*Observaciones!$F578^1.218</f>
        <v>0</v>
      </c>
      <c r="N579" s="76">
        <f>M579*Constantes!$D$51</f>
        <v>0</v>
      </c>
      <c r="O579" s="76">
        <f t="shared" si="26"/>
        <v>0</v>
      </c>
      <c r="P579" s="15"/>
      <c r="Q579" s="75">
        <v>573</v>
      </c>
      <c r="R579" s="76">
        <f>0.0526*Observaciones!$F578^2.218</f>
        <v>0</v>
      </c>
      <c r="S579" s="76">
        <f>IF(Observaciones!$F578&gt;0.05*$W$7,((Observaciones!$F578-0.05*$W$7)^2)/(Observaciones!$F578+0.95*$W$7),0)</f>
        <v>0</v>
      </c>
      <c r="T579" s="76">
        <f>0.0526*S579*Observaciones!$F578^1.218</f>
        <v>0</v>
      </c>
      <c r="U579" s="29"/>
      <c r="V579" s="29"/>
      <c r="W579" s="109"/>
      <c r="X579" s="40"/>
    </row>
    <row r="580" spans="2:24" s="2" customFormat="1">
      <c r="B580" s="39"/>
      <c r="C580" s="75">
        <v>574</v>
      </c>
      <c r="D580" s="146">
        <f>ETo!$I579*((1-Constantes!$D$19)*ETo!$K579+ETo!$L579)</f>
        <v>2.6054355343606921</v>
      </c>
      <c r="E580" s="76">
        <f>MIN(D580*Constantes!$D$17,0.8*(H579+Observaciones!$F579-F580-G580-Constantes!$D$14))</f>
        <v>0.32673403948677165</v>
      </c>
      <c r="F580" s="76">
        <f>IF(Observaciones!$F579&gt;0.05*Constantes!$D$18,((Observaciones!$F579-0.05*Constantes!$D$18)^2)/(Observaciones!$F579+0.95*Constantes!$D$18),0)</f>
        <v>0</v>
      </c>
      <c r="G580" s="76">
        <f>MAX(0,H579+Observaciones!$F579-F580-Constantes!$D$13)</f>
        <v>0</v>
      </c>
      <c r="H580" s="76">
        <f>H579+Observaciones!$F579-F580-E580-G580-I579</f>
        <v>11.317771308809025</v>
      </c>
      <c r="I580" s="76">
        <f>MAX(0,(H580-Constantes!$D$14)*(1-EXP(-Constantes!$D$22)))</f>
        <v>2.3085395716033429E-3</v>
      </c>
      <c r="J580" s="76">
        <f t="shared" si="24"/>
        <v>81.70769261548871</v>
      </c>
      <c r="K580" s="76">
        <f>MAX(0,(J580-Constantes!$D$13)*(1-EXP(-Constantes!$D$23)))</f>
        <v>0.32473999525120678</v>
      </c>
      <c r="L580" s="76">
        <f t="shared" si="25"/>
        <v>0.3270485348228101</v>
      </c>
      <c r="M580" s="76">
        <f>0.0526*F580*Observaciones!$F579^1.218</f>
        <v>0</v>
      </c>
      <c r="N580" s="76">
        <f>M580*Constantes!$D$51</f>
        <v>0</v>
      </c>
      <c r="O580" s="76">
        <f t="shared" si="26"/>
        <v>0</v>
      </c>
      <c r="P580" s="15"/>
      <c r="Q580" s="75">
        <v>574</v>
      </c>
      <c r="R580" s="76">
        <f>0.0526*Observaciones!$F579^2.218</f>
        <v>0</v>
      </c>
      <c r="S580" s="76">
        <f>IF(Observaciones!$F579&gt;0.05*$W$7,((Observaciones!$F579-0.05*$W$7)^2)/(Observaciones!$F579+0.95*$W$7),0)</f>
        <v>0</v>
      </c>
      <c r="T580" s="76">
        <f>0.0526*S580*Observaciones!$F579^1.218</f>
        <v>0</v>
      </c>
      <c r="U580" s="29"/>
      <c r="V580" s="29"/>
      <c r="W580" s="109"/>
      <c r="X580" s="40"/>
    </row>
    <row r="581" spans="2:24" s="2" customFormat="1">
      <c r="B581" s="39"/>
      <c r="C581" s="75">
        <v>575</v>
      </c>
      <c r="D581" s="146">
        <f>ETo!$I580*((1-Constantes!$D$19)*ETo!$K580+ETo!$L580)</f>
        <v>2.6345521529102429</v>
      </c>
      <c r="E581" s="76">
        <f>MIN(D581*Constantes!$D$17,0.8*(H580+Observaciones!$F580-F581-G581-Constantes!$D$14))</f>
        <v>5.4217047047220038E-2</v>
      </c>
      <c r="F581" s="76">
        <f>IF(Observaciones!$F580&gt;0.05*Constantes!$D$18,((Observaciones!$F580-0.05*Constantes!$D$18)^2)/(Observaciones!$F580+0.95*Constantes!$D$18),0)</f>
        <v>0</v>
      </c>
      <c r="G581" s="76">
        <f>MAX(0,H580+Observaciones!$F580-F581-Constantes!$D$13)</f>
        <v>0</v>
      </c>
      <c r="H581" s="76">
        <f>H580+Observaciones!$F580-F581-E581-G581-I580</f>
        <v>11.261245722190202</v>
      </c>
      <c r="I581" s="76">
        <f>MAX(0,(H581-Constantes!$D$14)*(1-EXP(-Constantes!$D$22)))</f>
        <v>3.830705816895919E-4</v>
      </c>
      <c r="J581" s="76">
        <f t="shared" si="24"/>
        <v>81.382952620237504</v>
      </c>
      <c r="K581" s="76">
        <f>MAX(0,(J581-Constantes!$D$13)*(1-EXP(-Constantes!$D$23)))</f>
        <v>0.32154025473095588</v>
      </c>
      <c r="L581" s="76">
        <f t="shared" si="25"/>
        <v>0.32192332531264545</v>
      </c>
      <c r="M581" s="76">
        <f>0.0526*F581*Observaciones!$F580^1.218</f>
        <v>0</v>
      </c>
      <c r="N581" s="76">
        <f>M581*Constantes!$D$51</f>
        <v>0</v>
      </c>
      <c r="O581" s="76">
        <f t="shared" si="26"/>
        <v>0</v>
      </c>
      <c r="P581" s="15"/>
      <c r="Q581" s="75">
        <v>575</v>
      </c>
      <c r="R581" s="76">
        <f>0.0526*Observaciones!$F580^2.218</f>
        <v>0</v>
      </c>
      <c r="S581" s="76">
        <f>IF(Observaciones!$F580&gt;0.05*$W$7,((Observaciones!$F580-0.05*$W$7)^2)/(Observaciones!$F580+0.95*$W$7),0)</f>
        <v>0</v>
      </c>
      <c r="T581" s="76">
        <f>0.0526*S581*Observaciones!$F580^1.218</f>
        <v>0</v>
      </c>
      <c r="U581" s="29"/>
      <c r="V581" s="29"/>
      <c r="W581" s="109"/>
      <c r="X581" s="40"/>
    </row>
    <row r="582" spans="2:24" s="2" customFormat="1">
      <c r="B582" s="39"/>
      <c r="C582" s="75">
        <v>576</v>
      </c>
      <c r="D582" s="146">
        <f>ETo!$I581*((1-Constantes!$D$19)*ETo!$K581+ETo!$L581)</f>
        <v>2.7991626514538632</v>
      </c>
      <c r="E582" s="76">
        <f>MIN(D582*Constantes!$D$17,0.8*(H581+Observaciones!$F581-F582-G582-Constantes!$D$14))</f>
        <v>8.9965777521612729E-3</v>
      </c>
      <c r="F582" s="76">
        <f>IF(Observaciones!$F581&gt;0.05*Constantes!$D$18,((Observaciones!$F581-0.05*Constantes!$D$18)^2)/(Observaciones!$F581+0.95*Constantes!$D$18),0)</f>
        <v>0</v>
      </c>
      <c r="G582" s="76">
        <f>MAX(0,H581+Observaciones!$F581-F582-Constantes!$D$13)</f>
        <v>0</v>
      </c>
      <c r="H582" s="76">
        <f>H581+Observaciones!$F581-F582-E582-G582-I581</f>
        <v>11.251866073856352</v>
      </c>
      <c r="I582" s="76">
        <f>MAX(0,(H582-Constantes!$D$14)*(1-EXP(-Constantes!$D$22)))</f>
        <v>6.3565326044714223E-5</v>
      </c>
      <c r="J582" s="76">
        <f t="shared" si="24"/>
        <v>81.061412365506541</v>
      </c>
      <c r="K582" s="76">
        <f>MAX(0,(J582-Constantes!$D$13)*(1-EXP(-Constantes!$D$23)))</f>
        <v>0.31837204201616975</v>
      </c>
      <c r="L582" s="76">
        <f t="shared" si="25"/>
        <v>0.31843560734221449</v>
      </c>
      <c r="M582" s="76">
        <f>0.0526*F582*Observaciones!$F581^1.218</f>
        <v>0</v>
      </c>
      <c r="N582" s="76">
        <f>M582*Constantes!$D$51</f>
        <v>0</v>
      </c>
      <c r="O582" s="76">
        <f t="shared" si="26"/>
        <v>0</v>
      </c>
      <c r="P582" s="15"/>
      <c r="Q582" s="75">
        <v>576</v>
      </c>
      <c r="R582" s="76">
        <f>0.0526*Observaciones!$F581^2.218</f>
        <v>0</v>
      </c>
      <c r="S582" s="76">
        <f>IF(Observaciones!$F581&gt;0.05*$W$7,((Observaciones!$F581-0.05*$W$7)^2)/(Observaciones!$F581+0.95*$W$7),0)</f>
        <v>0</v>
      </c>
      <c r="T582" s="76">
        <f>0.0526*S582*Observaciones!$F581^1.218</f>
        <v>0</v>
      </c>
      <c r="U582" s="29"/>
      <c r="V582" s="29"/>
      <c r="W582" s="109"/>
      <c r="X582" s="40"/>
    </row>
    <row r="583" spans="2:24" s="2" customFormat="1">
      <c r="B583" s="39"/>
      <c r="C583" s="75">
        <v>577</v>
      </c>
      <c r="D583" s="146">
        <f>ETo!$I582*((1-Constantes!$D$19)*ETo!$K582+ETo!$L582)</f>
        <v>2.6971916123987216</v>
      </c>
      <c r="E583" s="76">
        <f>MIN(D583*Constantes!$D$17,0.8*(H582+Observaciones!$F582-F583-G583-Constantes!$D$14))</f>
        <v>1.4928590850814773E-3</v>
      </c>
      <c r="F583" s="76">
        <f>IF(Observaciones!$F582&gt;0.05*Constantes!$D$18,((Observaciones!$F582-0.05*Constantes!$D$18)^2)/(Observaciones!$F582+0.95*Constantes!$D$18),0)</f>
        <v>0</v>
      </c>
      <c r="G583" s="76">
        <f>MAX(0,H582+Observaciones!$F582-F583-Constantes!$D$13)</f>
        <v>0</v>
      </c>
      <c r="H583" s="76">
        <f>H582+Observaciones!$F582-F583-E583-G583-I582</f>
        <v>11.250309649445226</v>
      </c>
      <c r="I583" s="76">
        <f>MAX(0,(H583-Constantes!$D$14)*(1-EXP(-Constantes!$D$22)))</f>
        <v>1.0547796850787839E-5</v>
      </c>
      <c r="J583" s="76">
        <f t="shared" ref="J583:J646" si="27">J582+G583-K582</f>
        <v>80.743040323490376</v>
      </c>
      <c r="K583" s="76">
        <f>MAX(0,(J583-Constantes!$D$13)*(1-EXP(-Constantes!$D$23)))</f>
        <v>0.31523504645587197</v>
      </c>
      <c r="L583" s="76">
        <f t="shared" ref="L583:L646" si="28">F583+I583+K583</f>
        <v>0.31524559425272275</v>
      </c>
      <c r="M583" s="76">
        <f>0.0526*F583*Observaciones!$F582^1.218</f>
        <v>0</v>
      </c>
      <c r="N583" s="76">
        <f>M583*Constantes!$D$51</f>
        <v>0</v>
      </c>
      <c r="O583" s="76">
        <f t="shared" ref="O583:O646" si="29">N583*1000000/(L583/1000*10000)</f>
        <v>0</v>
      </c>
      <c r="P583" s="15"/>
      <c r="Q583" s="75">
        <v>577</v>
      </c>
      <c r="R583" s="76">
        <f>0.0526*Observaciones!$F582^2.218</f>
        <v>0</v>
      </c>
      <c r="S583" s="76">
        <f>IF(Observaciones!$F582&gt;0.05*$W$7,((Observaciones!$F582-0.05*$W$7)^2)/(Observaciones!$F582+0.95*$W$7),0)</f>
        <v>0</v>
      </c>
      <c r="T583" s="76">
        <f>0.0526*S583*Observaciones!$F582^1.218</f>
        <v>0</v>
      </c>
      <c r="U583" s="29"/>
      <c r="V583" s="29"/>
      <c r="W583" s="109"/>
      <c r="X583" s="40"/>
    </row>
    <row r="584" spans="2:24" s="2" customFormat="1">
      <c r="B584" s="39"/>
      <c r="C584" s="75">
        <v>578</v>
      </c>
      <c r="D584" s="146">
        <f>ETo!$I583*((1-Constantes!$D$19)*ETo!$K583+ETo!$L583)</f>
        <v>2.8420829597613531</v>
      </c>
      <c r="E584" s="76">
        <f>MIN(D584*Constantes!$D$17,0.8*(H583+Observaciones!$F583-F584-G584-Constantes!$D$14))</f>
        <v>2.4771955618092535E-4</v>
      </c>
      <c r="F584" s="76">
        <f>IF(Observaciones!$F583&gt;0.05*Constantes!$D$18,((Observaciones!$F583-0.05*Constantes!$D$18)^2)/(Observaciones!$F583+0.95*Constantes!$D$18),0)</f>
        <v>0</v>
      </c>
      <c r="G584" s="76">
        <f>MAX(0,H583+Observaciones!$F583-F584-Constantes!$D$13)</f>
        <v>0</v>
      </c>
      <c r="H584" s="76">
        <f>H583+Observaciones!$F583-F584-E584-G584-I583</f>
        <v>11.250051382092193</v>
      </c>
      <c r="I584" s="76">
        <f>MAX(0,(H584-Constantes!$D$14)*(1-EXP(-Constantes!$D$22)))</f>
        <v>1.7502626876314093E-6</v>
      </c>
      <c r="J584" s="76">
        <f t="shared" si="27"/>
        <v>80.427805277034508</v>
      </c>
      <c r="K584" s="76">
        <f>MAX(0,(J584-Constantes!$D$13)*(1-EXP(-Constantes!$D$23)))</f>
        <v>0.31212896046000393</v>
      </c>
      <c r="L584" s="76">
        <f t="shared" si="28"/>
        <v>0.31213071072269155</v>
      </c>
      <c r="M584" s="76">
        <f>0.0526*F584*Observaciones!$F583^1.218</f>
        <v>0</v>
      </c>
      <c r="N584" s="76">
        <f>M584*Constantes!$D$51</f>
        <v>0</v>
      </c>
      <c r="O584" s="76">
        <f t="shared" si="29"/>
        <v>0</v>
      </c>
      <c r="P584" s="15"/>
      <c r="Q584" s="75">
        <v>578</v>
      </c>
      <c r="R584" s="76">
        <f>0.0526*Observaciones!$F583^2.218</f>
        <v>0</v>
      </c>
      <c r="S584" s="76">
        <f>IF(Observaciones!$F583&gt;0.05*$W$7,((Observaciones!$F583-0.05*$W$7)^2)/(Observaciones!$F583+0.95*$W$7),0)</f>
        <v>0</v>
      </c>
      <c r="T584" s="76">
        <f>0.0526*S584*Observaciones!$F583^1.218</f>
        <v>0</v>
      </c>
      <c r="U584" s="29"/>
      <c r="V584" s="29"/>
      <c r="W584" s="109"/>
      <c r="X584" s="40"/>
    </row>
    <row r="585" spans="2:24" s="2" customFormat="1">
      <c r="B585" s="39"/>
      <c r="C585" s="75">
        <v>579</v>
      </c>
      <c r="D585" s="146">
        <f>ETo!$I584*((1-Constantes!$D$19)*ETo!$K584+ETo!$L584)</f>
        <v>2.8222281617491181</v>
      </c>
      <c r="E585" s="76">
        <f>MIN(D585*Constantes!$D$17,0.8*(H584+Observaciones!$F584-F585-G585-Constantes!$D$14))</f>
        <v>0.3200411056737551</v>
      </c>
      <c r="F585" s="76">
        <f>IF(Observaciones!$F584&gt;0.05*Constantes!$D$18,((Observaciones!$F584-0.05*Constantes!$D$18)^2)/(Observaciones!$F584+0.95*Constantes!$D$18),0)</f>
        <v>0</v>
      </c>
      <c r="G585" s="76">
        <f>MAX(0,H584+Observaciones!$F584-F585-Constantes!$D$13)</f>
        <v>0</v>
      </c>
      <c r="H585" s="76">
        <f>H584+Observaciones!$F584-F585-E585-G585-I584</f>
        <v>11.330008526155751</v>
      </c>
      <c r="I585" s="76">
        <f>MAX(0,(H585-Constantes!$D$14)*(1-EXP(-Constantes!$D$22)))</f>
        <v>2.7253841181773988E-3</v>
      </c>
      <c r="J585" s="76">
        <f t="shared" si="27"/>
        <v>80.115676316574508</v>
      </c>
      <c r="K585" s="76">
        <f>MAX(0,(J585-Constantes!$D$13)*(1-EXP(-Constantes!$D$23)))</f>
        <v>0.30905347946926526</v>
      </c>
      <c r="L585" s="76">
        <f t="shared" si="28"/>
        <v>0.31177886358744267</v>
      </c>
      <c r="M585" s="76">
        <f>0.0526*F585*Observaciones!$F584^1.218</f>
        <v>0</v>
      </c>
      <c r="N585" s="76">
        <f>M585*Constantes!$D$51</f>
        <v>0</v>
      </c>
      <c r="O585" s="76">
        <f t="shared" si="29"/>
        <v>0</v>
      </c>
      <c r="P585" s="15"/>
      <c r="Q585" s="75">
        <v>579</v>
      </c>
      <c r="R585" s="76">
        <f>0.0526*Observaciones!$F584^2.218</f>
        <v>6.8921513346888582E-3</v>
      </c>
      <c r="S585" s="76">
        <f>IF(Observaciones!$F584&gt;0.05*$W$7,((Observaciones!$F584-0.05*$W$7)^2)/(Observaciones!$F584+0.95*$W$7),0)</f>
        <v>0</v>
      </c>
      <c r="T585" s="76">
        <f>0.0526*S585*Observaciones!$F584^1.218</f>
        <v>0</v>
      </c>
      <c r="U585" s="29"/>
      <c r="V585" s="29"/>
      <c r="W585" s="109"/>
      <c r="X585" s="40"/>
    </row>
    <row r="586" spans="2:24" s="2" customFormat="1">
      <c r="B586" s="39"/>
      <c r="C586" s="75">
        <v>580</v>
      </c>
      <c r="D586" s="146">
        <f>ETo!$I585*((1-Constantes!$D$19)*ETo!$K585+ETo!$L585)</f>
        <v>2.8377424915441565</v>
      </c>
      <c r="E586" s="76">
        <f>MIN(D586*Constantes!$D$17,0.8*(H585+Observaciones!$F585-F586-G586-Constantes!$D$14))</f>
        <v>6.4006820924601013E-2</v>
      </c>
      <c r="F586" s="76">
        <f>IF(Observaciones!$F585&gt;0.05*Constantes!$D$18,((Observaciones!$F585-0.05*Constantes!$D$18)^2)/(Observaciones!$F585+0.95*Constantes!$D$18),0)</f>
        <v>0</v>
      </c>
      <c r="G586" s="76">
        <f>MAX(0,H585+Observaciones!$F585-F586-Constantes!$D$13)</f>
        <v>0</v>
      </c>
      <c r="H586" s="76">
        <f>H585+Observaciones!$F585-F586-E586-G586-I585</f>
        <v>11.263276321112974</v>
      </c>
      <c r="I586" s="76">
        <f>MAX(0,(H586-Constantes!$D$14)*(1-EXP(-Constantes!$D$22)))</f>
        <v>4.5224023548046842E-4</v>
      </c>
      <c r="J586" s="76">
        <f t="shared" si="27"/>
        <v>79.806622837105238</v>
      </c>
      <c r="K586" s="76">
        <f>MAX(0,(J586-Constantes!$D$13)*(1-EXP(-Constantes!$D$23)))</f>
        <v>0.30600830192525075</v>
      </c>
      <c r="L586" s="76">
        <f t="shared" si="28"/>
        <v>0.30646054216073121</v>
      </c>
      <c r="M586" s="76">
        <f>0.0526*F586*Observaciones!$F585^1.218</f>
        <v>0</v>
      </c>
      <c r="N586" s="76">
        <f>M586*Constantes!$D$51</f>
        <v>0</v>
      </c>
      <c r="O586" s="76">
        <f t="shared" si="29"/>
        <v>0</v>
      </c>
      <c r="P586" s="15"/>
      <c r="Q586" s="75">
        <v>580</v>
      </c>
      <c r="R586" s="76">
        <f>0.0526*Observaciones!$F585^2.218</f>
        <v>0</v>
      </c>
      <c r="S586" s="76">
        <f>IF(Observaciones!$F585&gt;0.05*$W$7,((Observaciones!$F585-0.05*$W$7)^2)/(Observaciones!$F585+0.95*$W$7),0)</f>
        <v>0</v>
      </c>
      <c r="T586" s="76">
        <f>0.0526*S586*Observaciones!$F585^1.218</f>
        <v>0</v>
      </c>
      <c r="U586" s="29"/>
      <c r="V586" s="29"/>
      <c r="W586" s="109"/>
      <c r="X586" s="40"/>
    </row>
    <row r="587" spans="2:24" s="2" customFormat="1">
      <c r="B587" s="39"/>
      <c r="C587" s="75">
        <v>581</v>
      </c>
      <c r="D587" s="146">
        <f>ETo!$I586*((1-Constantes!$D$19)*ETo!$K586+ETo!$L586)</f>
        <v>2.8534617094698262</v>
      </c>
      <c r="E587" s="76">
        <f>MIN(D587*Constantes!$D$17,0.8*(H586+Observaciones!$F586-F587-G587-Constantes!$D$14))</f>
        <v>1.0621056890379066E-2</v>
      </c>
      <c r="F587" s="76">
        <f>IF(Observaciones!$F586&gt;0.05*Constantes!$D$18,((Observaciones!$F586-0.05*Constantes!$D$18)^2)/(Observaciones!$F586+0.95*Constantes!$D$18),0)</f>
        <v>0</v>
      </c>
      <c r="G587" s="76">
        <f>MAX(0,H586+Observaciones!$F586-F587-Constantes!$D$13)</f>
        <v>0</v>
      </c>
      <c r="H587" s="76">
        <f>H586+Observaciones!$F586-F587-E587-G587-I586</f>
        <v>11.252203023987114</v>
      </c>
      <c r="I587" s="76">
        <f>MAX(0,(H587-Constantes!$D$14)*(1-EXP(-Constantes!$D$22)))</f>
        <v>7.5043084467734991E-5</v>
      </c>
      <c r="J587" s="76">
        <f t="shared" si="27"/>
        <v>79.500614535179992</v>
      </c>
      <c r="K587" s="76">
        <f>MAX(0,(J587-Constantes!$D$13)*(1-EXP(-Constantes!$D$23)))</f>
        <v>0.30299312924088223</v>
      </c>
      <c r="L587" s="76">
        <f t="shared" si="28"/>
        <v>0.30306817232534994</v>
      </c>
      <c r="M587" s="76">
        <f>0.0526*F587*Observaciones!$F586^1.218</f>
        <v>0</v>
      </c>
      <c r="N587" s="76">
        <f>M587*Constantes!$D$51</f>
        <v>0</v>
      </c>
      <c r="O587" s="76">
        <f t="shared" si="29"/>
        <v>0</v>
      </c>
      <c r="P587" s="15"/>
      <c r="Q587" s="75">
        <v>581</v>
      </c>
      <c r="R587" s="76">
        <f>0.0526*Observaciones!$F586^2.218</f>
        <v>0</v>
      </c>
      <c r="S587" s="76">
        <f>IF(Observaciones!$F586&gt;0.05*$W$7,((Observaciones!$F586-0.05*$W$7)^2)/(Observaciones!$F586+0.95*$W$7),0)</f>
        <v>0</v>
      </c>
      <c r="T587" s="76">
        <f>0.0526*S587*Observaciones!$F586^1.218</f>
        <v>0</v>
      </c>
      <c r="U587" s="29"/>
      <c r="V587" s="29"/>
      <c r="W587" s="109"/>
      <c r="X587" s="40"/>
    </row>
    <row r="588" spans="2:24" s="2" customFormat="1">
      <c r="B588" s="39"/>
      <c r="C588" s="75">
        <v>582</v>
      </c>
      <c r="D588" s="146">
        <f>ETo!$I587*((1-Constantes!$D$19)*ETo!$K587+ETo!$L587)</f>
        <v>2.9609077310269809</v>
      </c>
      <c r="E588" s="76">
        <f>MIN(D588*Constantes!$D$17,0.8*(H587+Observaciones!$F587-F588-G588-Constantes!$D$14))</f>
        <v>1.7624191896914001E-3</v>
      </c>
      <c r="F588" s="76">
        <f>IF(Observaciones!$F587&gt;0.05*Constantes!$D$18,((Observaciones!$F587-0.05*Constantes!$D$18)^2)/(Observaciones!$F587+0.95*Constantes!$D$18),0)</f>
        <v>0</v>
      </c>
      <c r="G588" s="76">
        <f>MAX(0,H587+Observaciones!$F587-F588-Constantes!$D$13)</f>
        <v>0</v>
      </c>
      <c r="H588" s="76">
        <f>H587+Observaciones!$F587-F588-E588-G588-I587</f>
        <v>11.250365561712954</v>
      </c>
      <c r="I588" s="76">
        <f>MAX(0,(H588-Constantes!$D$14)*(1-EXP(-Constantes!$D$22)))</f>
        <v>1.2452373947730871E-5</v>
      </c>
      <c r="J588" s="76">
        <f t="shared" si="27"/>
        <v>79.197621405939103</v>
      </c>
      <c r="K588" s="76">
        <f>MAX(0,(J588-Constantes!$D$13)*(1-EXP(-Constantes!$D$23)))</f>
        <v>0.30000766577113092</v>
      </c>
      <c r="L588" s="76">
        <f t="shared" si="28"/>
        <v>0.30002011814507867</v>
      </c>
      <c r="M588" s="76">
        <f>0.0526*F588*Observaciones!$F587^1.218</f>
        <v>0</v>
      </c>
      <c r="N588" s="76">
        <f>M588*Constantes!$D$51</f>
        <v>0</v>
      </c>
      <c r="O588" s="76">
        <f t="shared" si="29"/>
        <v>0</v>
      </c>
      <c r="P588" s="15"/>
      <c r="Q588" s="75">
        <v>582</v>
      </c>
      <c r="R588" s="76">
        <f>0.0526*Observaciones!$F587^2.218</f>
        <v>0</v>
      </c>
      <c r="S588" s="76">
        <f>IF(Observaciones!$F587&gt;0.05*$W$7,((Observaciones!$F587-0.05*$W$7)^2)/(Observaciones!$F587+0.95*$W$7),0)</f>
        <v>0</v>
      </c>
      <c r="T588" s="76">
        <f>0.0526*S588*Observaciones!$F587^1.218</f>
        <v>0</v>
      </c>
      <c r="U588" s="29"/>
      <c r="V588" s="29"/>
      <c r="W588" s="109"/>
      <c r="X588" s="40"/>
    </row>
    <row r="589" spans="2:24" s="2" customFormat="1">
      <c r="B589" s="39"/>
      <c r="C589" s="75">
        <v>583</v>
      </c>
      <c r="D589" s="146">
        <f>ETo!$I588*((1-Constantes!$D$19)*ETo!$K588+ETo!$L588)</f>
        <v>2.5634399633777334</v>
      </c>
      <c r="E589" s="76">
        <f>MIN(D589*Constantes!$D$17,0.8*(H588+Observaciones!$F588-F589-G589-Constantes!$D$14))</f>
        <v>1.307056898922121</v>
      </c>
      <c r="F589" s="76">
        <f>IF(Observaciones!$F588&gt;0.05*Constantes!$D$18,((Observaciones!$F588-0.05*Constantes!$D$18)^2)/(Observaciones!$F588+0.95*Constantes!$D$18),0)</f>
        <v>0</v>
      </c>
      <c r="G589" s="76">
        <f>MAX(0,H588+Observaciones!$F588-F589-Constantes!$D$13)</f>
        <v>0</v>
      </c>
      <c r="H589" s="76">
        <f>H588+Observaciones!$F588-F589-E589-G589-I588</f>
        <v>12.543296210416884</v>
      </c>
      <c r="I589" s="76">
        <f>MAX(0,(H589-Constantes!$D$14)*(1-EXP(-Constantes!$D$22)))</f>
        <v>4.4054416714384398E-2</v>
      </c>
      <c r="J589" s="76">
        <f t="shared" si="27"/>
        <v>78.897613740167969</v>
      </c>
      <c r="K589" s="76">
        <f>MAX(0,(J589-Constantes!$D$13)*(1-EXP(-Constantes!$D$23)))</f>
        <v>0.29705161878402908</v>
      </c>
      <c r="L589" s="76">
        <f t="shared" si="28"/>
        <v>0.34110603549841345</v>
      </c>
      <c r="M589" s="76">
        <f>0.0526*F589*Observaciones!$F588^1.218</f>
        <v>0</v>
      </c>
      <c r="N589" s="76">
        <f>M589*Constantes!$D$51</f>
        <v>0</v>
      </c>
      <c r="O589" s="76">
        <f t="shared" si="29"/>
        <v>0</v>
      </c>
      <c r="P589" s="15"/>
      <c r="Q589" s="75">
        <v>583</v>
      </c>
      <c r="R589" s="76">
        <f>0.0526*Observaciones!$F588^2.218</f>
        <v>0.43792186533391209</v>
      </c>
      <c r="S589" s="76">
        <f>IF(Observaciones!$F588&gt;0.05*$W$7,((Observaciones!$F588-0.05*$W$7)^2)/(Observaciones!$F588+0.95*$W$7),0)</f>
        <v>2.1229385132854627E-2</v>
      </c>
      <c r="T589" s="76">
        <f>0.0526*S589*Observaciones!$F588^1.218</f>
        <v>3.5756968989506619E-3</v>
      </c>
      <c r="U589" s="29"/>
      <c r="V589" s="29"/>
      <c r="W589" s="109"/>
      <c r="X589" s="40"/>
    </row>
    <row r="590" spans="2:24" s="2" customFormat="1">
      <c r="B590" s="39"/>
      <c r="C590" s="75">
        <v>584</v>
      </c>
      <c r="D590" s="146">
        <f>ETo!$I589*((1-Constantes!$D$19)*ETo!$K589+ETo!$L589)</f>
        <v>2.8984574272055053</v>
      </c>
      <c r="E590" s="76">
        <f>MIN(D590*Constantes!$D$17,0.8*(H589+Observaciones!$F589-F590-G590-Constantes!$D$14))</f>
        <v>1.034636968333507</v>
      </c>
      <c r="F590" s="76">
        <f>IF(Observaciones!$F589&gt;0.05*Constantes!$D$18,((Observaciones!$F589-0.05*Constantes!$D$18)^2)/(Observaciones!$F589+0.95*Constantes!$D$18),0)</f>
        <v>0</v>
      </c>
      <c r="G590" s="76">
        <f>MAX(0,H589+Observaciones!$F589-F590-Constantes!$D$13)</f>
        <v>0</v>
      </c>
      <c r="H590" s="76">
        <f>H589+Observaciones!$F589-F590-E590-G590-I589</f>
        <v>11.464604825368992</v>
      </c>
      <c r="I590" s="76">
        <f>MAX(0,(H590-Constantes!$D$14)*(1-EXP(-Constantes!$D$22)))</f>
        <v>7.310228182510304E-3</v>
      </c>
      <c r="J590" s="76">
        <f t="shared" si="27"/>
        <v>78.600562121383945</v>
      </c>
      <c r="K590" s="76">
        <f>MAX(0,(J590-Constantes!$D$13)*(1-EXP(-Constantes!$D$23)))</f>
        <v>0.29412469843196681</v>
      </c>
      <c r="L590" s="76">
        <f t="shared" si="28"/>
        <v>0.30143492661447713</v>
      </c>
      <c r="M590" s="76">
        <f>0.0526*F590*Observaciones!$F589^1.218</f>
        <v>0</v>
      </c>
      <c r="N590" s="76">
        <f>M590*Constantes!$D$51</f>
        <v>0</v>
      </c>
      <c r="O590" s="76">
        <f t="shared" si="29"/>
        <v>0</v>
      </c>
      <c r="P590" s="15"/>
      <c r="Q590" s="75">
        <v>584</v>
      </c>
      <c r="R590" s="76">
        <f>0.0526*Observaciones!$F589^2.218</f>
        <v>0</v>
      </c>
      <c r="S590" s="76">
        <f>IF(Observaciones!$F589&gt;0.05*$W$7,((Observaciones!$F589-0.05*$W$7)^2)/(Observaciones!$F589+0.95*$W$7),0)</f>
        <v>0</v>
      </c>
      <c r="T590" s="76">
        <f>0.0526*S590*Observaciones!$F589^1.218</f>
        <v>0</v>
      </c>
      <c r="U590" s="29"/>
      <c r="V590" s="29"/>
      <c r="W590" s="109"/>
      <c r="X590" s="40"/>
    </row>
    <row r="591" spans="2:24" s="2" customFormat="1">
      <c r="B591" s="39"/>
      <c r="C591" s="75">
        <v>585</v>
      </c>
      <c r="D591" s="146">
        <f>ETo!$I590*((1-Constantes!$D$19)*ETo!$K590+ETo!$L590)</f>
        <v>2.8359833973919355</v>
      </c>
      <c r="E591" s="76">
        <f>MIN(D591*Constantes!$D$17,0.8*(H590+Observaciones!$F590-F591-G591-Constantes!$D$14))</f>
        <v>0.65168386029519354</v>
      </c>
      <c r="F591" s="76">
        <f>IF(Observaciones!$F590&gt;0.05*Constantes!$D$18,((Observaciones!$F590-0.05*Constantes!$D$18)^2)/(Observaciones!$F590+0.95*Constantes!$D$18),0)</f>
        <v>0</v>
      </c>
      <c r="G591" s="76">
        <f>MAX(0,H590+Observaciones!$F590-F591-Constantes!$D$13)</f>
        <v>0</v>
      </c>
      <c r="H591" s="76">
        <f>H590+Observaciones!$F590-F591-E591-G591-I590</f>
        <v>11.405610736891289</v>
      </c>
      <c r="I591" s="76">
        <f>MAX(0,(H591-Constantes!$D$14)*(1-EXP(-Constantes!$D$22)))</f>
        <v>5.3006729572272517E-3</v>
      </c>
      <c r="J591" s="76">
        <f t="shared" si="27"/>
        <v>78.306437422951973</v>
      </c>
      <c r="K591" s="76">
        <f>MAX(0,(J591-Constantes!$D$13)*(1-EXP(-Constantes!$D$23)))</f>
        <v>0.29122661772327135</v>
      </c>
      <c r="L591" s="76">
        <f t="shared" si="28"/>
        <v>0.2965272906804986</v>
      </c>
      <c r="M591" s="76">
        <f>0.0526*F591*Observaciones!$F590^1.218</f>
        <v>0</v>
      </c>
      <c r="N591" s="76">
        <f>M591*Constantes!$D$51</f>
        <v>0</v>
      </c>
      <c r="O591" s="76">
        <f t="shared" si="29"/>
        <v>0</v>
      </c>
      <c r="P591" s="15"/>
      <c r="Q591" s="75">
        <v>585</v>
      </c>
      <c r="R591" s="76">
        <f>0.0526*Observaciones!$F590^2.218</f>
        <v>1.6940460723560119E-2</v>
      </c>
      <c r="S591" s="76">
        <f>IF(Observaciones!$F590&gt;0.05*$W$7,((Observaciones!$F590-0.05*$W$7)^2)/(Observaciones!$F590+0.95*$W$7),0)</f>
        <v>0</v>
      </c>
      <c r="T591" s="76">
        <f>0.0526*S591*Observaciones!$F590^1.218</f>
        <v>0</v>
      </c>
      <c r="U591" s="29"/>
      <c r="V591" s="29"/>
      <c r="W591" s="109"/>
      <c r="X591" s="40"/>
    </row>
    <row r="592" spans="2:24" s="2" customFormat="1">
      <c r="B592" s="39"/>
      <c r="C592" s="75">
        <v>586</v>
      </c>
      <c r="D592" s="146">
        <f>ETo!$I591*((1-Constantes!$D$19)*ETo!$K591+ETo!$L591)</f>
        <v>2.9879785998245687</v>
      </c>
      <c r="E592" s="76">
        <f>MIN(D592*Constantes!$D$17,0.8*(H591+Observaciones!$F591-F592-G592-Constantes!$D$14))</f>
        <v>0.12448858951303095</v>
      </c>
      <c r="F592" s="76">
        <f>IF(Observaciones!$F591&gt;0.05*Constantes!$D$18,((Observaciones!$F591-0.05*Constantes!$D$18)^2)/(Observaciones!$F591+0.95*Constantes!$D$18),0)</f>
        <v>0</v>
      </c>
      <c r="G592" s="76">
        <f>MAX(0,H591+Observaciones!$F591-F592-Constantes!$D$13)</f>
        <v>0</v>
      </c>
      <c r="H592" s="76">
        <f>H591+Observaciones!$F591-F592-E592-G592-I591</f>
        <v>11.275821474421029</v>
      </c>
      <c r="I592" s="76">
        <f>MAX(0,(H592-Constantes!$D$14)*(1-EXP(-Constantes!$D$22)))</f>
        <v>8.7957421135345236E-4</v>
      </c>
      <c r="J592" s="76">
        <f t="shared" si="27"/>
        <v>78.015210805228705</v>
      </c>
      <c r="K592" s="76">
        <f>MAX(0,(J592-Constantes!$D$13)*(1-EXP(-Constantes!$D$23)))</f>
        <v>0.28835709249406788</v>
      </c>
      <c r="L592" s="76">
        <f t="shared" si="28"/>
        <v>0.28923666670542131</v>
      </c>
      <c r="M592" s="76">
        <f>0.0526*F592*Observaciones!$F591^1.218</f>
        <v>0</v>
      </c>
      <c r="N592" s="76">
        <f>M592*Constantes!$D$51</f>
        <v>0</v>
      </c>
      <c r="O592" s="76">
        <f t="shared" si="29"/>
        <v>0</v>
      </c>
      <c r="P592" s="15"/>
      <c r="Q592" s="75">
        <v>586</v>
      </c>
      <c r="R592" s="76">
        <f>0.0526*Observaciones!$F591^2.218</f>
        <v>0</v>
      </c>
      <c r="S592" s="76">
        <f>IF(Observaciones!$F591&gt;0.05*$W$7,((Observaciones!$F591-0.05*$W$7)^2)/(Observaciones!$F591+0.95*$W$7),0)</f>
        <v>0</v>
      </c>
      <c r="T592" s="76">
        <f>0.0526*S592*Observaciones!$F591^1.218</f>
        <v>0</v>
      </c>
      <c r="U592" s="29"/>
      <c r="V592" s="29"/>
      <c r="W592" s="109"/>
      <c r="X592" s="40"/>
    </row>
    <row r="593" spans="2:24" s="2" customFormat="1">
      <c r="B593" s="39"/>
      <c r="C593" s="75">
        <v>587</v>
      </c>
      <c r="D593" s="146">
        <f>ETo!$I592*((1-Constantes!$D$19)*ETo!$K592+ETo!$L592)</f>
        <v>3.025102666876895</v>
      </c>
      <c r="E593" s="76">
        <f>MIN(D593*Constantes!$D$17,0.8*(H592+Observaciones!$F592-F593-G593-Constantes!$D$14))</f>
        <v>2.0657179536823379E-2</v>
      </c>
      <c r="F593" s="76">
        <f>IF(Observaciones!$F592&gt;0.05*Constantes!$D$18,((Observaciones!$F592-0.05*Constantes!$D$18)^2)/(Observaciones!$F592+0.95*Constantes!$D$18),0)</f>
        <v>0</v>
      </c>
      <c r="G593" s="76">
        <f>MAX(0,H592+Observaciones!$F592-F593-Constantes!$D$13)</f>
        <v>0</v>
      </c>
      <c r="H593" s="76">
        <f>H592+Observaciones!$F592-F593-E593-G593-I592</f>
        <v>11.254284720672853</v>
      </c>
      <c r="I593" s="76">
        <f>MAX(0,(H593-Constantes!$D$14)*(1-EXP(-Constantes!$D$22)))</f>
        <v>1.4595331564898312E-4</v>
      </c>
      <c r="J593" s="76">
        <f t="shared" si="27"/>
        <v>77.726853712734638</v>
      </c>
      <c r="K593" s="76">
        <f>MAX(0,(J593-Constantes!$D$13)*(1-EXP(-Constantes!$D$23)))</f>
        <v>0.28551584138041536</v>
      </c>
      <c r="L593" s="76">
        <f t="shared" si="28"/>
        <v>0.28566179469606434</v>
      </c>
      <c r="M593" s="76">
        <f>0.0526*F593*Observaciones!$F592^1.218</f>
        <v>0</v>
      </c>
      <c r="N593" s="76">
        <f>M593*Constantes!$D$51</f>
        <v>0</v>
      </c>
      <c r="O593" s="76">
        <f t="shared" si="29"/>
        <v>0</v>
      </c>
      <c r="P593" s="15"/>
      <c r="Q593" s="75">
        <v>587</v>
      </c>
      <c r="R593" s="76">
        <f>0.0526*Observaciones!$F592^2.218</f>
        <v>0</v>
      </c>
      <c r="S593" s="76">
        <f>IF(Observaciones!$F592&gt;0.05*$W$7,((Observaciones!$F592-0.05*$W$7)^2)/(Observaciones!$F592+0.95*$W$7),0)</f>
        <v>0</v>
      </c>
      <c r="T593" s="76">
        <f>0.0526*S593*Observaciones!$F592^1.218</f>
        <v>0</v>
      </c>
      <c r="U593" s="29"/>
      <c r="V593" s="29"/>
      <c r="W593" s="109"/>
      <c r="X593" s="40"/>
    </row>
    <row r="594" spans="2:24" s="2" customFormat="1">
      <c r="B594" s="39"/>
      <c r="C594" s="75">
        <v>588</v>
      </c>
      <c r="D594" s="146">
        <f>ETo!$I593*((1-Constantes!$D$19)*ETo!$K593+ETo!$L593)</f>
        <v>2.9315218158616569</v>
      </c>
      <c r="E594" s="76">
        <f>MIN(D594*Constantes!$D$17,0.8*(H593+Observaciones!$F593-F594-G594-Constantes!$D$14))</f>
        <v>3.427776538282501E-3</v>
      </c>
      <c r="F594" s="76">
        <f>IF(Observaciones!$F593&gt;0.05*Constantes!$D$18,((Observaciones!$F593-0.05*Constantes!$D$18)^2)/(Observaciones!$F593+0.95*Constantes!$D$18),0)</f>
        <v>0</v>
      </c>
      <c r="G594" s="76">
        <f>MAX(0,H593+Observaciones!$F593-F594-Constantes!$D$13)</f>
        <v>0</v>
      </c>
      <c r="H594" s="76">
        <f>H593+Observaciones!$F593-F594-E594-G594-I593</f>
        <v>11.250710990818922</v>
      </c>
      <c r="I594" s="76">
        <f>MAX(0,(H594-Constantes!$D$14)*(1-EXP(-Constantes!$D$22)))</f>
        <v>2.4218957393206388E-5</v>
      </c>
      <c r="J594" s="76">
        <f t="shared" si="27"/>
        <v>77.441337871354222</v>
      </c>
      <c r="K594" s="76">
        <f>MAX(0,(J594-Constantes!$D$13)*(1-EXP(-Constantes!$D$23)))</f>
        <v>0.28270258579071889</v>
      </c>
      <c r="L594" s="76">
        <f t="shared" si="28"/>
        <v>0.28272680474811207</v>
      </c>
      <c r="M594" s="76">
        <f>0.0526*F594*Observaciones!$F593^1.218</f>
        <v>0</v>
      </c>
      <c r="N594" s="76">
        <f>M594*Constantes!$D$51</f>
        <v>0</v>
      </c>
      <c r="O594" s="76">
        <f t="shared" si="29"/>
        <v>0</v>
      </c>
      <c r="P594" s="15"/>
      <c r="Q594" s="75">
        <v>588</v>
      </c>
      <c r="R594" s="76">
        <f>0.0526*Observaciones!$F593^2.218</f>
        <v>0</v>
      </c>
      <c r="S594" s="76">
        <f>IF(Observaciones!$F593&gt;0.05*$W$7,((Observaciones!$F593-0.05*$W$7)^2)/(Observaciones!$F593+0.95*$W$7),0)</f>
        <v>0</v>
      </c>
      <c r="T594" s="76">
        <f>0.0526*S594*Observaciones!$F593^1.218</f>
        <v>0</v>
      </c>
      <c r="U594" s="29"/>
      <c r="V594" s="29"/>
      <c r="W594" s="109"/>
      <c r="X594" s="40"/>
    </row>
    <row r="595" spans="2:24" s="2" customFormat="1">
      <c r="B595" s="39"/>
      <c r="C595" s="75">
        <v>589</v>
      </c>
      <c r="D595" s="146">
        <f>ETo!$I594*((1-Constantes!$D$19)*ETo!$K594+ETo!$L594)</f>
        <v>2.9214703807293878</v>
      </c>
      <c r="E595" s="76">
        <f>MIN(D595*Constantes!$D$17,0.8*(H594+Observaciones!$F594-F595-G595-Constantes!$D$14))</f>
        <v>5.6879265513742894E-4</v>
      </c>
      <c r="F595" s="76">
        <f>IF(Observaciones!$F594&gt;0.05*Constantes!$D$18,((Observaciones!$F594-0.05*Constantes!$D$18)^2)/(Observaciones!$F594+0.95*Constantes!$D$18),0)</f>
        <v>0</v>
      </c>
      <c r="G595" s="76">
        <f>MAX(0,H594+Observaciones!$F594-F595-Constantes!$D$13)</f>
        <v>0</v>
      </c>
      <c r="H595" s="76">
        <f>H594+Observaciones!$F594-F595-E595-G595-I594</f>
        <v>11.250117979206392</v>
      </c>
      <c r="I595" s="76">
        <f>MAX(0,(H595-Constantes!$D$14)*(1-EXP(-Constantes!$D$22)))</f>
        <v>4.018804880241226E-6</v>
      </c>
      <c r="J595" s="76">
        <f t="shared" si="27"/>
        <v>77.158635285563506</v>
      </c>
      <c r="K595" s="76">
        <f>MAX(0,(J595-Constantes!$D$13)*(1-EXP(-Constantes!$D$23)))</f>
        <v>0.27991704987841304</v>
      </c>
      <c r="L595" s="76">
        <f t="shared" si="28"/>
        <v>0.27992106868329331</v>
      </c>
      <c r="M595" s="76">
        <f>0.0526*F595*Observaciones!$F594^1.218</f>
        <v>0</v>
      </c>
      <c r="N595" s="76">
        <f>M595*Constantes!$D$51</f>
        <v>0</v>
      </c>
      <c r="O595" s="76">
        <f t="shared" si="29"/>
        <v>0</v>
      </c>
      <c r="P595" s="15"/>
      <c r="Q595" s="75">
        <v>589</v>
      </c>
      <c r="R595" s="76">
        <f>0.0526*Observaciones!$F594^2.218</f>
        <v>0</v>
      </c>
      <c r="S595" s="76">
        <f>IF(Observaciones!$F594&gt;0.05*$W$7,((Observaciones!$F594-0.05*$W$7)^2)/(Observaciones!$F594+0.95*$W$7),0)</f>
        <v>0</v>
      </c>
      <c r="T595" s="76">
        <f>0.0526*S595*Observaciones!$F594^1.218</f>
        <v>0</v>
      </c>
      <c r="U595" s="29"/>
      <c r="V595" s="29"/>
      <c r="W595" s="109"/>
      <c r="X595" s="40"/>
    </row>
    <row r="596" spans="2:24" s="2" customFormat="1">
      <c r="B596" s="39"/>
      <c r="C596" s="75">
        <v>590</v>
      </c>
      <c r="D596" s="146">
        <f>ETo!$I595*((1-Constantes!$D$19)*ETo!$K595+ETo!$L595)</f>
        <v>2.9180240548772209</v>
      </c>
      <c r="E596" s="76">
        <f>MIN(D596*Constantes!$D$17,0.8*(H595+Observaciones!$F595-F596-G596-Constantes!$D$14))</f>
        <v>0.16009438336511295</v>
      </c>
      <c r="F596" s="76">
        <f>IF(Observaciones!$F595&gt;0.05*Constantes!$D$18,((Observaciones!$F595-0.05*Constantes!$D$18)^2)/(Observaciones!$F595+0.95*Constantes!$D$18),0)</f>
        <v>0</v>
      </c>
      <c r="G596" s="76">
        <f>MAX(0,H595+Observaciones!$F595-F596-Constantes!$D$13)</f>
        <v>0</v>
      </c>
      <c r="H596" s="76">
        <f>H595+Observaciones!$F595-F596-E596-G596-I595</f>
        <v>11.290019577036398</v>
      </c>
      <c r="I596" s="76">
        <f>MAX(0,(H596-Constantes!$D$14)*(1-EXP(-Constantes!$D$22)))</f>
        <v>1.3632137087346721E-3</v>
      </c>
      <c r="J596" s="76">
        <f t="shared" si="27"/>
        <v>76.878718235685099</v>
      </c>
      <c r="K596" s="76">
        <f>MAX(0,(J596-Constantes!$D$13)*(1-EXP(-Constantes!$D$23)))</f>
        <v>0.27715896051491418</v>
      </c>
      <c r="L596" s="76">
        <f t="shared" si="28"/>
        <v>0.27852217422364883</v>
      </c>
      <c r="M596" s="76">
        <f>0.0526*F596*Observaciones!$F595^1.218</f>
        <v>0</v>
      </c>
      <c r="N596" s="76">
        <f>M596*Constantes!$D$51</f>
        <v>0</v>
      </c>
      <c r="O596" s="76">
        <f t="shared" si="29"/>
        <v>0</v>
      </c>
      <c r="P596" s="15"/>
      <c r="Q596" s="75">
        <v>590</v>
      </c>
      <c r="R596" s="76">
        <f>0.0526*Observaciones!$F595^2.218</f>
        <v>1.4813929535417848E-3</v>
      </c>
      <c r="S596" s="76">
        <f>IF(Observaciones!$F595&gt;0.05*$W$7,((Observaciones!$F595-0.05*$W$7)^2)/(Observaciones!$F595+0.95*$W$7),0)</f>
        <v>0</v>
      </c>
      <c r="T596" s="76">
        <f>0.0526*S596*Observaciones!$F595^1.218</f>
        <v>0</v>
      </c>
      <c r="U596" s="29"/>
      <c r="V596" s="29"/>
      <c r="W596" s="109"/>
      <c r="X596" s="40"/>
    </row>
    <row r="597" spans="2:24" s="2" customFormat="1">
      <c r="B597" s="39"/>
      <c r="C597" s="75">
        <v>591</v>
      </c>
      <c r="D597" s="146">
        <f>ETo!$I596*((1-Constantes!$D$19)*ETo!$K596+ETo!$L596)</f>
        <v>2.9246176015025904</v>
      </c>
      <c r="E597" s="76">
        <f>MIN(D597*Constantes!$D$17,0.8*(H596+Observaciones!$F596-F597-G597-Constantes!$D$14))</f>
        <v>3.2015661629118598E-2</v>
      </c>
      <c r="F597" s="76">
        <f>IF(Observaciones!$F596&gt;0.05*Constantes!$D$18,((Observaciones!$F596-0.05*Constantes!$D$18)^2)/(Observaciones!$F596+0.95*Constantes!$D$18),0)</f>
        <v>0</v>
      </c>
      <c r="G597" s="76">
        <f>MAX(0,H596+Observaciones!$F596-F597-Constantes!$D$13)</f>
        <v>0</v>
      </c>
      <c r="H597" s="76">
        <f>H596+Observaciones!$F596-F597-E597-G597-I596</f>
        <v>11.256640701698545</v>
      </c>
      <c r="I597" s="76">
        <f>MAX(0,(H597-Constantes!$D$14)*(1-EXP(-Constantes!$D$22)))</f>
        <v>2.2620667836747204E-4</v>
      </c>
      <c r="J597" s="76">
        <f t="shared" si="27"/>
        <v>76.601559275170189</v>
      </c>
      <c r="K597" s="76">
        <f>MAX(0,(J597-Constantes!$D$13)*(1-EXP(-Constantes!$D$23)))</f>
        <v>0.27442804726283948</v>
      </c>
      <c r="L597" s="76">
        <f t="shared" si="28"/>
        <v>0.27465425394120696</v>
      </c>
      <c r="M597" s="76">
        <f>0.0526*F597*Observaciones!$F596^1.218</f>
        <v>0</v>
      </c>
      <c r="N597" s="76">
        <f>M597*Constantes!$D$51</f>
        <v>0</v>
      </c>
      <c r="O597" s="76">
        <f t="shared" si="29"/>
        <v>0</v>
      </c>
      <c r="P597" s="15"/>
      <c r="Q597" s="75">
        <v>591</v>
      </c>
      <c r="R597" s="76">
        <f>0.0526*Observaciones!$F596^2.218</f>
        <v>0</v>
      </c>
      <c r="S597" s="76">
        <f>IF(Observaciones!$F596&gt;0.05*$W$7,((Observaciones!$F596-0.05*$W$7)^2)/(Observaciones!$F596+0.95*$W$7),0)</f>
        <v>0</v>
      </c>
      <c r="T597" s="76">
        <f>0.0526*S597*Observaciones!$F596^1.218</f>
        <v>0</v>
      </c>
      <c r="U597" s="29"/>
      <c r="V597" s="29"/>
      <c r="W597" s="109"/>
      <c r="X597" s="40"/>
    </row>
    <row r="598" spans="2:24" s="2" customFormat="1">
      <c r="B598" s="39"/>
      <c r="C598" s="75">
        <v>592</v>
      </c>
      <c r="D598" s="146">
        <f>ETo!$I597*((1-Constantes!$D$19)*ETo!$K597+ETo!$L597)</f>
        <v>2.9685670418686545</v>
      </c>
      <c r="E598" s="76">
        <f>MIN(D598*Constantes!$D$17,0.8*(H597+Observaciones!$F597-F598-G598-Constantes!$D$14))</f>
        <v>5.3125613588363768E-3</v>
      </c>
      <c r="F598" s="76">
        <f>IF(Observaciones!$F597&gt;0.05*Constantes!$D$18,((Observaciones!$F597-0.05*Constantes!$D$18)^2)/(Observaciones!$F597+0.95*Constantes!$D$18),0)</f>
        <v>0</v>
      </c>
      <c r="G598" s="76">
        <f>MAX(0,H597+Observaciones!$F597-F598-Constantes!$D$13)</f>
        <v>0</v>
      </c>
      <c r="H598" s="76">
        <f>H597+Observaciones!$F597-F598-E598-G598-I597</f>
        <v>11.25110193366134</v>
      </c>
      <c r="I598" s="76">
        <f>MAX(0,(H598-Constantes!$D$14)*(1-EXP(-Constantes!$D$22)))</f>
        <v>3.7535905786542755E-5</v>
      </c>
      <c r="J598" s="76">
        <f t="shared" si="27"/>
        <v>76.327131227907344</v>
      </c>
      <c r="K598" s="76">
        <f>MAX(0,(J598-Constantes!$D$13)*(1-EXP(-Constantes!$D$23)))</f>
        <v>0.27172404234949027</v>
      </c>
      <c r="L598" s="76">
        <f t="shared" si="28"/>
        <v>0.2717615782552768</v>
      </c>
      <c r="M598" s="76">
        <f>0.0526*F598*Observaciones!$F597^1.218</f>
        <v>0</v>
      </c>
      <c r="N598" s="76">
        <f>M598*Constantes!$D$51</f>
        <v>0</v>
      </c>
      <c r="O598" s="76">
        <f t="shared" si="29"/>
        <v>0</v>
      </c>
      <c r="P598" s="15"/>
      <c r="Q598" s="75">
        <v>592</v>
      </c>
      <c r="R598" s="76">
        <f>0.0526*Observaciones!$F597^2.218</f>
        <v>0</v>
      </c>
      <c r="S598" s="76">
        <f>IF(Observaciones!$F597&gt;0.05*$W$7,((Observaciones!$F597-0.05*$W$7)^2)/(Observaciones!$F597+0.95*$W$7),0)</f>
        <v>0</v>
      </c>
      <c r="T598" s="76">
        <f>0.0526*S598*Observaciones!$F597^1.218</f>
        <v>0</v>
      </c>
      <c r="U598" s="29"/>
      <c r="V598" s="29"/>
      <c r="W598" s="109"/>
      <c r="X598" s="40"/>
    </row>
    <row r="599" spans="2:24" s="2" customFormat="1">
      <c r="B599" s="39"/>
      <c r="C599" s="75">
        <v>593</v>
      </c>
      <c r="D599" s="146">
        <f>ETo!$I598*((1-Constantes!$D$19)*ETo!$K598+ETo!$L598)</f>
        <v>2.9855406044935635</v>
      </c>
      <c r="E599" s="76">
        <f>MIN(D599*Constantes!$D$17,0.8*(H598+Observaciones!$F598-F599-G599-Constantes!$D$14))</f>
        <v>8.8154692907238541E-4</v>
      </c>
      <c r="F599" s="76">
        <f>IF(Observaciones!$F598&gt;0.05*Constantes!$D$18,((Observaciones!$F598-0.05*Constantes!$D$18)^2)/(Observaciones!$F598+0.95*Constantes!$D$18),0)</f>
        <v>0</v>
      </c>
      <c r="G599" s="76">
        <f>MAX(0,H598+Observaciones!$F598-F599-Constantes!$D$13)</f>
        <v>0</v>
      </c>
      <c r="H599" s="76">
        <f>H598+Observaciones!$F598-F599-E599-G599-I598</f>
        <v>11.250182850826482</v>
      </c>
      <c r="I599" s="76">
        <f>MAX(0,(H599-Constantes!$D$14)*(1-EXP(-Constantes!$D$22)))</f>
        <v>6.2285704090975152E-6</v>
      </c>
      <c r="J599" s="76">
        <f t="shared" si="27"/>
        <v>76.055407185557854</v>
      </c>
      <c r="K599" s="76">
        <f>MAX(0,(J599-Constantes!$D$13)*(1-EXP(-Constantes!$D$23)))</f>
        <v>0.26904668064059617</v>
      </c>
      <c r="L599" s="76">
        <f t="shared" si="28"/>
        <v>0.26905290921100528</v>
      </c>
      <c r="M599" s="76">
        <f>0.0526*F599*Observaciones!$F598^1.218</f>
        <v>0</v>
      </c>
      <c r="N599" s="76">
        <f>M599*Constantes!$D$51</f>
        <v>0</v>
      </c>
      <c r="O599" s="76">
        <f t="shared" si="29"/>
        <v>0</v>
      </c>
      <c r="P599" s="15"/>
      <c r="Q599" s="75">
        <v>593</v>
      </c>
      <c r="R599" s="76">
        <f>0.0526*Observaciones!$F598^2.218</f>
        <v>0</v>
      </c>
      <c r="S599" s="76">
        <f>IF(Observaciones!$F598&gt;0.05*$W$7,((Observaciones!$F598-0.05*$W$7)^2)/(Observaciones!$F598+0.95*$W$7),0)</f>
        <v>0</v>
      </c>
      <c r="T599" s="76">
        <f>0.0526*S599*Observaciones!$F598^1.218</f>
        <v>0</v>
      </c>
      <c r="U599" s="29"/>
      <c r="V599" s="29"/>
      <c r="W599" s="109"/>
      <c r="X599" s="40"/>
    </row>
    <row r="600" spans="2:24" s="2" customFormat="1">
      <c r="B600" s="39"/>
      <c r="C600" s="75">
        <v>594</v>
      </c>
      <c r="D600" s="146">
        <f>ETo!$I599*((1-Constantes!$D$19)*ETo!$K599+ETo!$L599)</f>
        <v>3.0611421102374328</v>
      </c>
      <c r="E600" s="76">
        <f>MIN(D600*Constantes!$D$17,0.8*(H599+Observaciones!$F599-F600-G600-Constantes!$D$14))</f>
        <v>1.5608272364197671</v>
      </c>
      <c r="F600" s="76">
        <f>IF(Observaciones!$F599&gt;0.05*Constantes!$D$18,((Observaciones!$F599-0.05*Constantes!$D$18)^2)/(Observaciones!$F599+0.95*Constantes!$D$18),0)</f>
        <v>0</v>
      </c>
      <c r="G600" s="76">
        <f>MAX(0,H599+Observaciones!$F599-F600-Constantes!$D$13)</f>
        <v>0</v>
      </c>
      <c r="H600" s="76">
        <f>H599+Observaciones!$F599-F600-E600-G600-I599</f>
        <v>12.989349385836304</v>
      </c>
      <c r="I600" s="76">
        <f>MAX(0,(H600-Constantes!$D$14)*(1-EXP(-Constantes!$D$22)))</f>
        <v>5.924862536389968E-2</v>
      </c>
      <c r="J600" s="76">
        <f t="shared" si="27"/>
        <v>75.786360504917255</v>
      </c>
      <c r="K600" s="76">
        <f>MAX(0,(J600-Constantes!$D$13)*(1-EXP(-Constantes!$D$23)))</f>
        <v>0.26639569961431764</v>
      </c>
      <c r="L600" s="76">
        <f t="shared" si="28"/>
        <v>0.32564432497821733</v>
      </c>
      <c r="M600" s="76">
        <f>0.0526*F600*Observaciones!$F599^1.218</f>
        <v>0</v>
      </c>
      <c r="N600" s="76">
        <f>M600*Constantes!$D$51</f>
        <v>0</v>
      </c>
      <c r="O600" s="76">
        <f t="shared" si="29"/>
        <v>0</v>
      </c>
      <c r="P600" s="15"/>
      <c r="Q600" s="75">
        <v>594</v>
      </c>
      <c r="R600" s="76">
        <f>0.0526*Observaciones!$F599^2.218</f>
        <v>0.74310410909583668</v>
      </c>
      <c r="S600" s="76">
        <f>IF(Observaciones!$F599&gt;0.05*$W$7,((Observaciones!$F599-0.05*$W$7)^2)/(Observaciones!$F599+0.95*$W$7),0)</f>
        <v>6.7925012840267113E-2</v>
      </c>
      <c r="T600" s="76">
        <f>0.0526*S600*Observaciones!$F599^1.218</f>
        <v>1.529556247029999E-2</v>
      </c>
      <c r="U600" s="29"/>
      <c r="V600" s="29"/>
      <c r="W600" s="109"/>
      <c r="X600" s="40"/>
    </row>
    <row r="601" spans="2:24" s="2" customFormat="1">
      <c r="B601" s="39"/>
      <c r="C601" s="75">
        <v>595</v>
      </c>
      <c r="D601" s="146">
        <f>ETo!$I600*((1-Constantes!$D$19)*ETo!$K600+ETo!$L600)</f>
        <v>3.075060401031136</v>
      </c>
      <c r="E601" s="76">
        <f>MIN(D601*Constantes!$D$17,0.8*(H600+Observaciones!$F600-F601-G601-Constantes!$D$14))</f>
        <v>1.3914795086690432</v>
      </c>
      <c r="F601" s="76">
        <f>IF(Observaciones!$F600&gt;0.05*Constantes!$D$18,((Observaciones!$F600-0.05*Constantes!$D$18)^2)/(Observaciones!$F600+0.95*Constantes!$D$18),0)</f>
        <v>0</v>
      </c>
      <c r="G601" s="76">
        <f>MAX(0,H600+Observaciones!$F600-F601-Constantes!$D$13)</f>
        <v>0</v>
      </c>
      <c r="H601" s="76">
        <f>H600+Observaciones!$F600-F601-E601-G601-I600</f>
        <v>11.538621251803361</v>
      </c>
      <c r="I601" s="76">
        <f>MAX(0,(H601-Constantes!$D$14)*(1-EXP(-Constantes!$D$22)))</f>
        <v>9.8314993867290121E-3</v>
      </c>
      <c r="J601" s="76">
        <f t="shared" si="27"/>
        <v>75.519964805302934</v>
      </c>
      <c r="K601" s="76">
        <f>MAX(0,(J601-Constantes!$D$13)*(1-EXP(-Constantes!$D$23)))</f>
        <v>0.26377083933550549</v>
      </c>
      <c r="L601" s="76">
        <f t="shared" si="28"/>
        <v>0.27360233872223449</v>
      </c>
      <c r="M601" s="76">
        <f>0.0526*F601*Observaciones!$F600^1.218</f>
        <v>0</v>
      </c>
      <c r="N601" s="76">
        <f>M601*Constantes!$D$51</f>
        <v>0</v>
      </c>
      <c r="O601" s="76">
        <f t="shared" si="29"/>
        <v>0</v>
      </c>
      <c r="P601" s="15"/>
      <c r="Q601" s="75">
        <v>595</v>
      </c>
      <c r="R601" s="76">
        <f>0.0526*Observaciones!$F600^2.218</f>
        <v>0</v>
      </c>
      <c r="S601" s="76">
        <f>IF(Observaciones!$F600&gt;0.05*$W$7,((Observaciones!$F600-0.05*$W$7)^2)/(Observaciones!$F600+0.95*$W$7),0)</f>
        <v>0</v>
      </c>
      <c r="T601" s="76">
        <f>0.0526*S601*Observaciones!$F600^1.218</f>
        <v>0</v>
      </c>
      <c r="U601" s="29"/>
      <c r="V601" s="29"/>
      <c r="W601" s="109"/>
      <c r="X601" s="40"/>
    </row>
    <row r="602" spans="2:24" s="2" customFormat="1">
      <c r="B602" s="39"/>
      <c r="C602" s="75">
        <v>596</v>
      </c>
      <c r="D602" s="146">
        <f>ETo!$I601*((1-Constantes!$D$19)*ETo!$K601+ETo!$L601)</f>
        <v>3.0994468988309913</v>
      </c>
      <c r="E602" s="76">
        <f>MIN(D602*Constantes!$D$17,0.8*(H601+Observaciones!$F601-F602-G602-Constantes!$D$14))</f>
        <v>0.23089700144268904</v>
      </c>
      <c r="F602" s="76">
        <f>IF(Observaciones!$F601&gt;0.05*Constantes!$D$18,((Observaciones!$F601-0.05*Constantes!$D$18)^2)/(Observaciones!$F601+0.95*Constantes!$D$18),0)</f>
        <v>0</v>
      </c>
      <c r="G602" s="76">
        <f>MAX(0,H601+Observaciones!$F601-F602-Constantes!$D$13)</f>
        <v>0</v>
      </c>
      <c r="H602" s="76">
        <f>H601+Observaciones!$F601-F602-E602-G602-I601</f>
        <v>11.297892750973944</v>
      </c>
      <c r="I602" s="76">
        <f>MAX(0,(H602-Constantes!$D$14)*(1-EXP(-Constantes!$D$22)))</f>
        <v>1.6314029160606927E-3</v>
      </c>
      <c r="J602" s="76">
        <f t="shared" si="27"/>
        <v>75.256193965967427</v>
      </c>
      <c r="K602" s="76">
        <f>MAX(0,(J602-Constantes!$D$13)*(1-EXP(-Constantes!$D$23)))</f>
        <v>0.26117184243021352</v>
      </c>
      <c r="L602" s="76">
        <f t="shared" si="28"/>
        <v>0.26280324534627419</v>
      </c>
      <c r="M602" s="76">
        <f>0.0526*F602*Observaciones!$F601^1.218</f>
        <v>0</v>
      </c>
      <c r="N602" s="76">
        <f>M602*Constantes!$D$51</f>
        <v>0</v>
      </c>
      <c r="O602" s="76">
        <f t="shared" si="29"/>
        <v>0</v>
      </c>
      <c r="P602" s="15"/>
      <c r="Q602" s="75">
        <v>596</v>
      </c>
      <c r="R602" s="76">
        <f>0.0526*Observaciones!$F601^2.218</f>
        <v>0</v>
      </c>
      <c r="S602" s="76">
        <f>IF(Observaciones!$F601&gt;0.05*$W$7,((Observaciones!$F601-0.05*$W$7)^2)/(Observaciones!$F601+0.95*$W$7),0)</f>
        <v>0</v>
      </c>
      <c r="T602" s="76">
        <f>0.0526*S602*Observaciones!$F601^1.218</f>
        <v>0</v>
      </c>
      <c r="U602" s="29"/>
      <c r="V602" s="29"/>
      <c r="W602" s="109"/>
      <c r="X602" s="40"/>
    </row>
    <row r="603" spans="2:24" s="2" customFormat="1">
      <c r="B603" s="39"/>
      <c r="C603" s="75">
        <v>597</v>
      </c>
      <c r="D603" s="146">
        <f>ETo!$I602*((1-Constantes!$D$19)*ETo!$K602+ETo!$L602)</f>
        <v>3.2225263343142583</v>
      </c>
      <c r="E603" s="76">
        <f>MIN(D603*Constantes!$D$17,0.8*(H602+Observaciones!$F602-F603-G603-Constantes!$D$14))</f>
        <v>3.8314200779154817E-2</v>
      </c>
      <c r="F603" s="76">
        <f>IF(Observaciones!$F602&gt;0.05*Constantes!$D$18,((Observaciones!$F602-0.05*Constantes!$D$18)^2)/(Observaciones!$F602+0.95*Constantes!$D$18),0)</f>
        <v>0</v>
      </c>
      <c r="G603" s="76">
        <f>MAX(0,H602+Observaciones!$F602-F603-Constantes!$D$13)</f>
        <v>0</v>
      </c>
      <c r="H603" s="76">
        <f>H602+Observaciones!$F602-F603-E603-G603-I602</f>
        <v>11.257947147278728</v>
      </c>
      <c r="I603" s="76">
        <f>MAX(0,(H603-Constantes!$D$14)*(1-EXP(-Constantes!$D$22)))</f>
        <v>2.7070901088838481E-4</v>
      </c>
      <c r="J603" s="76">
        <f t="shared" si="27"/>
        <v>74.995022123537211</v>
      </c>
      <c r="K603" s="76">
        <f>MAX(0,(J603-Constantes!$D$13)*(1-EXP(-Constantes!$D$23)))</f>
        <v>0.25859845406046217</v>
      </c>
      <c r="L603" s="76">
        <f t="shared" si="28"/>
        <v>0.25886916307135055</v>
      </c>
      <c r="M603" s="76">
        <f>0.0526*F603*Observaciones!$F602^1.218</f>
        <v>0</v>
      </c>
      <c r="N603" s="76">
        <f>M603*Constantes!$D$51</f>
        <v>0</v>
      </c>
      <c r="O603" s="76">
        <f t="shared" si="29"/>
        <v>0</v>
      </c>
      <c r="P603" s="15"/>
      <c r="Q603" s="75">
        <v>597</v>
      </c>
      <c r="R603" s="76">
        <f>0.0526*Observaciones!$F602^2.218</f>
        <v>0</v>
      </c>
      <c r="S603" s="76">
        <f>IF(Observaciones!$F602&gt;0.05*$W$7,((Observaciones!$F602-0.05*$W$7)^2)/(Observaciones!$F602+0.95*$W$7),0)</f>
        <v>0</v>
      </c>
      <c r="T603" s="76">
        <f>0.0526*S603*Observaciones!$F602^1.218</f>
        <v>0</v>
      </c>
      <c r="U603" s="29"/>
      <c r="V603" s="29"/>
      <c r="W603" s="109"/>
      <c r="X603" s="40"/>
    </row>
    <row r="604" spans="2:24" s="2" customFormat="1">
      <c r="B604" s="39"/>
      <c r="C604" s="75">
        <v>598</v>
      </c>
      <c r="D604" s="146">
        <f>ETo!$I603*((1-Constantes!$D$19)*ETo!$K603+ETo!$L603)</f>
        <v>3.1626376454733682</v>
      </c>
      <c r="E604" s="76">
        <f>MIN(D604*Constantes!$D$17,0.8*(H603+Observaciones!$F603-F604-G604-Constantes!$D$14))</f>
        <v>6.3577178229820676E-3</v>
      </c>
      <c r="F604" s="76">
        <f>IF(Observaciones!$F603&gt;0.05*Constantes!$D$18,((Observaciones!$F603-0.05*Constantes!$D$18)^2)/(Observaciones!$F603+0.95*Constantes!$D$18),0)</f>
        <v>0</v>
      </c>
      <c r="G604" s="76">
        <f>MAX(0,H603+Observaciones!$F603-F604-Constantes!$D$13)</f>
        <v>0</v>
      </c>
      <c r="H604" s="76">
        <f>H603+Observaciones!$F603-F604-E604-G604-I603</f>
        <v>11.251318720444857</v>
      </c>
      <c r="I604" s="76">
        <f>MAX(0,(H604-Constantes!$D$14)*(1-EXP(-Constantes!$D$22)))</f>
        <v>4.4920459473691344E-5</v>
      </c>
      <c r="J604" s="76">
        <f t="shared" si="27"/>
        <v>74.73642366947675</v>
      </c>
      <c r="K604" s="76">
        <f>MAX(0,(J604-Constantes!$D$13)*(1-EXP(-Constantes!$D$23)))</f>
        <v>0.25605042189925142</v>
      </c>
      <c r="L604" s="76">
        <f t="shared" si="28"/>
        <v>0.25609534235872511</v>
      </c>
      <c r="M604" s="76">
        <f>0.0526*F604*Observaciones!$F603^1.218</f>
        <v>0</v>
      </c>
      <c r="N604" s="76">
        <f>M604*Constantes!$D$51</f>
        <v>0</v>
      </c>
      <c r="O604" s="76">
        <f t="shared" si="29"/>
        <v>0</v>
      </c>
      <c r="P604" s="15"/>
      <c r="Q604" s="75">
        <v>598</v>
      </c>
      <c r="R604" s="76">
        <f>0.0526*Observaciones!$F603^2.218</f>
        <v>0</v>
      </c>
      <c r="S604" s="76">
        <f>IF(Observaciones!$F603&gt;0.05*$W$7,((Observaciones!$F603-0.05*$W$7)^2)/(Observaciones!$F603+0.95*$W$7),0)</f>
        <v>0</v>
      </c>
      <c r="T604" s="76">
        <f>0.0526*S604*Observaciones!$F603^1.218</f>
        <v>0</v>
      </c>
      <c r="U604" s="29"/>
      <c r="V604" s="29"/>
      <c r="W604" s="109"/>
      <c r="X604" s="40"/>
    </row>
    <row r="605" spans="2:24" s="2" customFormat="1">
      <c r="B605" s="39"/>
      <c r="C605" s="75">
        <v>599</v>
      </c>
      <c r="D605" s="146">
        <f>ETo!$I604*((1-Constantes!$D$19)*ETo!$K604+ETo!$L604)</f>
        <v>3.3553192455129048</v>
      </c>
      <c r="E605" s="76">
        <f>MIN(D605*Constantes!$D$17,0.8*(H604+Observaciones!$F604-F605-G605-Constantes!$D$14))</f>
        <v>1.0549763558856285E-3</v>
      </c>
      <c r="F605" s="76">
        <f>IF(Observaciones!$F604&gt;0.05*Constantes!$D$18,((Observaciones!$F604-0.05*Constantes!$D$18)^2)/(Observaciones!$F604+0.95*Constantes!$D$18),0)</f>
        <v>0</v>
      </c>
      <c r="G605" s="76">
        <f>MAX(0,H604+Observaciones!$F604-F605-Constantes!$D$13)</f>
        <v>0</v>
      </c>
      <c r="H605" s="76">
        <f>H604+Observaciones!$F604-F605-E605-G605-I604</f>
        <v>11.250218823629499</v>
      </c>
      <c r="I605" s="76">
        <f>MAX(0,(H605-Constantes!$D$14)*(1-EXP(-Constantes!$D$22)))</f>
        <v>7.4539361387287485E-6</v>
      </c>
      <c r="J605" s="76">
        <f t="shared" si="27"/>
        <v>74.480373247577504</v>
      </c>
      <c r="K605" s="76">
        <f>MAX(0,(J605-Constantes!$D$13)*(1-EXP(-Constantes!$D$23)))</f>
        <v>0.25352749610581909</v>
      </c>
      <c r="L605" s="76">
        <f t="shared" si="28"/>
        <v>0.25353495004195781</v>
      </c>
      <c r="M605" s="76">
        <f>0.0526*F605*Observaciones!$F604^1.218</f>
        <v>0</v>
      </c>
      <c r="N605" s="76">
        <f>M605*Constantes!$D$51</f>
        <v>0</v>
      </c>
      <c r="O605" s="76">
        <f t="shared" si="29"/>
        <v>0</v>
      </c>
      <c r="P605" s="15"/>
      <c r="Q605" s="75">
        <v>599</v>
      </c>
      <c r="R605" s="76">
        <f>0.0526*Observaciones!$F604^2.218</f>
        <v>0</v>
      </c>
      <c r="S605" s="76">
        <f>IF(Observaciones!$F604&gt;0.05*$W$7,((Observaciones!$F604-0.05*$W$7)^2)/(Observaciones!$F604+0.95*$W$7),0)</f>
        <v>0</v>
      </c>
      <c r="T605" s="76">
        <f>0.0526*S605*Observaciones!$F604^1.218</f>
        <v>0</v>
      </c>
      <c r="U605" s="29"/>
      <c r="V605" s="29"/>
      <c r="W605" s="109"/>
      <c r="X605" s="40"/>
    </row>
    <row r="606" spans="2:24" s="2" customFormat="1">
      <c r="B606" s="39"/>
      <c r="C606" s="75">
        <v>600</v>
      </c>
      <c r="D606" s="146">
        <f>ETo!$I605*((1-Constantes!$D$19)*ETo!$K605+ETo!$L605)</f>
        <v>3.2264798362725386</v>
      </c>
      <c r="E606" s="76">
        <f>MIN(D606*Constantes!$D$17,0.8*(H605+Observaciones!$F605-F606-G606-Constantes!$D$14))</f>
        <v>1.7505890359927891E-4</v>
      </c>
      <c r="F606" s="76">
        <f>IF(Observaciones!$F605&gt;0.05*Constantes!$D$18,((Observaciones!$F605-0.05*Constantes!$D$18)^2)/(Observaciones!$F605+0.95*Constantes!$D$18),0)</f>
        <v>0</v>
      </c>
      <c r="G606" s="76">
        <f>MAX(0,H605+Observaciones!$F605-F606-Constantes!$D$13)</f>
        <v>0</v>
      </c>
      <c r="H606" s="76">
        <f>H605+Observaciones!$F605-F606-E606-G606-I605</f>
        <v>11.250036310789762</v>
      </c>
      <c r="I606" s="76">
        <f>MAX(0,(H606-Constantes!$D$14)*(1-EXP(-Constantes!$D$22)))</f>
        <v>1.2368787989192083E-6</v>
      </c>
      <c r="J606" s="76">
        <f t="shared" si="27"/>
        <v>74.226845751471686</v>
      </c>
      <c r="K606" s="76">
        <f>MAX(0,(J606-Constantes!$D$13)*(1-EXP(-Constantes!$D$23)))</f>
        <v>0.25102942930114353</v>
      </c>
      <c r="L606" s="76">
        <f t="shared" si="28"/>
        <v>0.25103066617994246</v>
      </c>
      <c r="M606" s="76">
        <f>0.0526*F606*Observaciones!$F605^1.218</f>
        <v>0</v>
      </c>
      <c r="N606" s="76">
        <f>M606*Constantes!$D$51</f>
        <v>0</v>
      </c>
      <c r="O606" s="76">
        <f t="shared" si="29"/>
        <v>0</v>
      </c>
      <c r="P606" s="15"/>
      <c r="Q606" s="75">
        <v>600</v>
      </c>
      <c r="R606" s="76">
        <f>0.0526*Observaciones!$F605^2.218</f>
        <v>0</v>
      </c>
      <c r="S606" s="76">
        <f>IF(Observaciones!$F605&gt;0.05*$W$7,((Observaciones!$F605-0.05*$W$7)^2)/(Observaciones!$F605+0.95*$W$7),0)</f>
        <v>0</v>
      </c>
      <c r="T606" s="76">
        <f>0.0526*S606*Observaciones!$F605^1.218</f>
        <v>0</v>
      </c>
      <c r="U606" s="29"/>
      <c r="V606" s="29"/>
      <c r="W606" s="109"/>
      <c r="X606" s="40"/>
    </row>
    <row r="607" spans="2:24" s="2" customFormat="1">
      <c r="B607" s="39"/>
      <c r="C607" s="75">
        <v>601</v>
      </c>
      <c r="D607" s="146">
        <f>ETo!$I606*((1-Constantes!$D$19)*ETo!$K606+ETo!$L606)</f>
        <v>3.2658064911590867</v>
      </c>
      <c r="E607" s="76">
        <f>MIN(D607*Constantes!$D$17,0.8*(H606+Observaciones!$F606-F607-G607-Constantes!$D$14))</f>
        <v>2.904863180930306E-5</v>
      </c>
      <c r="F607" s="76">
        <f>IF(Observaciones!$F606&gt;0.05*Constantes!$D$18,((Observaciones!$F606-0.05*Constantes!$D$18)^2)/(Observaciones!$F606+0.95*Constantes!$D$18),0)</f>
        <v>0</v>
      </c>
      <c r="G607" s="76">
        <f>MAX(0,H606+Observaciones!$F606-F607-Constantes!$D$13)</f>
        <v>0</v>
      </c>
      <c r="H607" s="76">
        <f>H606+Observaciones!$F606-F607-E607-G607-I606</f>
        <v>11.250006025279154</v>
      </c>
      <c r="I607" s="76">
        <f>MAX(0,(H607-Constantes!$D$14)*(1-EXP(-Constantes!$D$22)))</f>
        <v>2.0524312723211021E-7</v>
      </c>
      <c r="J607" s="76">
        <f t="shared" si="27"/>
        <v>73.975816322170544</v>
      </c>
      <c r="K607" s="76">
        <f>MAX(0,(J607-Constantes!$D$13)*(1-EXP(-Constantes!$D$23)))</f>
        <v>0.24855597654368758</v>
      </c>
      <c r="L607" s="76">
        <f t="shared" si="28"/>
        <v>0.24855618178681482</v>
      </c>
      <c r="M607" s="76">
        <f>0.0526*F607*Observaciones!$F606^1.218</f>
        <v>0</v>
      </c>
      <c r="N607" s="76">
        <f>M607*Constantes!$D$51</f>
        <v>0</v>
      </c>
      <c r="O607" s="76">
        <f t="shared" si="29"/>
        <v>0</v>
      </c>
      <c r="P607" s="15"/>
      <c r="Q607" s="75">
        <v>601</v>
      </c>
      <c r="R607" s="76">
        <f>0.0526*Observaciones!$F606^2.218</f>
        <v>0</v>
      </c>
      <c r="S607" s="76">
        <f>IF(Observaciones!$F606&gt;0.05*$W$7,((Observaciones!$F606-0.05*$W$7)^2)/(Observaciones!$F606+0.95*$W$7),0)</f>
        <v>0</v>
      </c>
      <c r="T607" s="76">
        <f>0.0526*S607*Observaciones!$F606^1.218</f>
        <v>0</v>
      </c>
      <c r="U607" s="29"/>
      <c r="V607" s="29"/>
      <c r="W607" s="109"/>
      <c r="X607" s="40"/>
    </row>
    <row r="608" spans="2:24" s="2" customFormat="1">
      <c r="B608" s="39"/>
      <c r="C608" s="75">
        <v>602</v>
      </c>
      <c r="D608" s="146">
        <f>ETo!$I607*((1-Constantes!$D$19)*ETo!$K607+ETo!$L607)</f>
        <v>3.0753971853782707</v>
      </c>
      <c r="E608" s="76">
        <f>MIN(D608*Constantes!$D$17,0.8*(H607+Observaciones!$F607-F608-G608-Constantes!$D$14))</f>
        <v>4.8202233230654206E-6</v>
      </c>
      <c r="F608" s="76">
        <f>IF(Observaciones!$F607&gt;0.05*Constantes!$D$18,((Observaciones!$F607-0.05*Constantes!$D$18)^2)/(Observaciones!$F607+0.95*Constantes!$D$18),0)</f>
        <v>0</v>
      </c>
      <c r="G608" s="76">
        <f>MAX(0,H607+Observaciones!$F607-F608-Constantes!$D$13)</f>
        <v>0</v>
      </c>
      <c r="H608" s="76">
        <f>H607+Observaciones!$F607-F608-E608-G608-I607</f>
        <v>11.250000999812704</v>
      </c>
      <c r="I608" s="76">
        <f>MAX(0,(H608-Constantes!$D$14)*(1-EXP(-Constantes!$D$22)))</f>
        <v>3.4057291076931776E-8</v>
      </c>
      <c r="J608" s="76">
        <f t="shared" si="27"/>
        <v>73.72726034562686</v>
      </c>
      <c r="K608" s="76">
        <f>MAX(0,(J608-Constantes!$D$13)*(1-EXP(-Constantes!$D$23)))</f>
        <v>0.24610689530538141</v>
      </c>
      <c r="L608" s="76">
        <f t="shared" si="28"/>
        <v>0.24610692936267248</v>
      </c>
      <c r="M608" s="76">
        <f>0.0526*F608*Observaciones!$F607^1.218</f>
        <v>0</v>
      </c>
      <c r="N608" s="76">
        <f>M608*Constantes!$D$51</f>
        <v>0</v>
      </c>
      <c r="O608" s="76">
        <f t="shared" si="29"/>
        <v>0</v>
      </c>
      <c r="P608" s="15"/>
      <c r="Q608" s="75">
        <v>602</v>
      </c>
      <c r="R608" s="76">
        <f>0.0526*Observaciones!$F607^2.218</f>
        <v>0</v>
      </c>
      <c r="S608" s="76">
        <f>IF(Observaciones!$F607&gt;0.05*$W$7,((Observaciones!$F607-0.05*$W$7)^2)/(Observaciones!$F607+0.95*$W$7),0)</f>
        <v>0</v>
      </c>
      <c r="T608" s="76">
        <f>0.0526*S608*Observaciones!$F607^1.218</f>
        <v>0</v>
      </c>
      <c r="U608" s="29"/>
      <c r="V608" s="29"/>
      <c r="W608" s="109"/>
      <c r="X608" s="40"/>
    </row>
    <row r="609" spans="2:24" s="2" customFormat="1">
      <c r="B609" s="39"/>
      <c r="C609" s="75">
        <v>603</v>
      </c>
      <c r="D609" s="146">
        <f>ETo!$I608*((1-Constantes!$D$19)*ETo!$K608+ETo!$L608)</f>
        <v>3.2362670079758282</v>
      </c>
      <c r="E609" s="76">
        <f>MIN(D609*Constantes!$D$17,0.8*(H608+Observaciones!$F608-F609-G609-Constantes!$D$14))</f>
        <v>7.9985016299133349E-7</v>
      </c>
      <c r="F609" s="76">
        <f>IF(Observaciones!$F608&gt;0.05*Constantes!$D$18,((Observaciones!$F608-0.05*Constantes!$D$18)^2)/(Observaciones!$F608+0.95*Constantes!$D$18),0)</f>
        <v>0</v>
      </c>
      <c r="G609" s="76">
        <f>MAX(0,H608+Observaciones!$F608-F609-Constantes!$D$13)</f>
        <v>0</v>
      </c>
      <c r="H609" s="76">
        <f>H608+Observaciones!$F608-F609-E609-G609-I608</f>
        <v>11.25000016590525</v>
      </c>
      <c r="I609" s="76">
        <f>MAX(0,(H609-Constantes!$D$14)*(1-EXP(-Constantes!$D$22)))</f>
        <v>5.6513418801724843E-9</v>
      </c>
      <c r="J609" s="76">
        <f t="shared" si="27"/>
        <v>73.481153450321472</v>
      </c>
      <c r="K609" s="76">
        <f>MAX(0,(J609-Constantes!$D$13)*(1-EXP(-Constantes!$D$23)))</f>
        <v>0.24368194544784189</v>
      </c>
      <c r="L609" s="76">
        <f t="shared" si="28"/>
        <v>0.24368195109918375</v>
      </c>
      <c r="M609" s="76">
        <f>0.0526*F609*Observaciones!$F608^1.218</f>
        <v>0</v>
      </c>
      <c r="N609" s="76">
        <f>M609*Constantes!$D$51</f>
        <v>0</v>
      </c>
      <c r="O609" s="76">
        <f t="shared" si="29"/>
        <v>0</v>
      </c>
      <c r="P609" s="15"/>
      <c r="Q609" s="75">
        <v>603</v>
      </c>
      <c r="R609" s="76">
        <f>0.0526*Observaciones!$F608^2.218</f>
        <v>0</v>
      </c>
      <c r="S609" s="76">
        <f>IF(Observaciones!$F608&gt;0.05*$W$7,((Observaciones!$F608-0.05*$W$7)^2)/(Observaciones!$F608+0.95*$W$7),0)</f>
        <v>0</v>
      </c>
      <c r="T609" s="76">
        <f>0.0526*S609*Observaciones!$F608^1.218</f>
        <v>0</v>
      </c>
      <c r="U609" s="29"/>
      <c r="V609" s="29"/>
      <c r="W609" s="109"/>
      <c r="X609" s="40"/>
    </row>
    <row r="610" spans="2:24" s="2" customFormat="1">
      <c r="B610" s="39"/>
      <c r="C610" s="75">
        <v>604</v>
      </c>
      <c r="D610" s="146">
        <f>ETo!$I609*((1-Constantes!$D$19)*ETo!$K609+ETo!$L609)</f>
        <v>3.3083070034484288</v>
      </c>
      <c r="E610" s="76">
        <f>MIN(D610*Constantes!$D$17,0.8*(H609+Observaciones!$F609-F610-G610-Constantes!$D$14))</f>
        <v>1.3272420034127209E-7</v>
      </c>
      <c r="F610" s="76">
        <f>IF(Observaciones!$F609&gt;0.05*Constantes!$D$18,((Observaciones!$F609-0.05*Constantes!$D$18)^2)/(Observaciones!$F609+0.95*Constantes!$D$18),0)</f>
        <v>0</v>
      </c>
      <c r="G610" s="76">
        <f>MAX(0,H609+Observaciones!$F609-F610-Constantes!$D$13)</f>
        <v>0</v>
      </c>
      <c r="H610" s="76">
        <f>H609+Observaciones!$F609-F610-E610-G610-I609</f>
        <v>11.250000027529708</v>
      </c>
      <c r="I610" s="76">
        <f>MAX(0,(H610-Constantes!$D$14)*(1-EXP(-Constantes!$D$22)))</f>
        <v>9.3776292801226813E-10</v>
      </c>
      <c r="J610" s="76">
        <f t="shared" si="27"/>
        <v>73.237471504873625</v>
      </c>
      <c r="K610" s="76">
        <f>MAX(0,(J610-Constantes!$D$13)*(1-EXP(-Constantes!$D$23)))</f>
        <v>0.24128088919882676</v>
      </c>
      <c r="L610" s="76">
        <f t="shared" si="28"/>
        <v>0.24128089013658968</v>
      </c>
      <c r="M610" s="76">
        <f>0.0526*F610*Observaciones!$F609^1.218</f>
        <v>0</v>
      </c>
      <c r="N610" s="76">
        <f>M610*Constantes!$D$51</f>
        <v>0</v>
      </c>
      <c r="O610" s="76">
        <f t="shared" si="29"/>
        <v>0</v>
      </c>
      <c r="P610" s="15"/>
      <c r="Q610" s="75">
        <v>604</v>
      </c>
      <c r="R610" s="76">
        <f>0.0526*Observaciones!$F609^2.218</f>
        <v>0</v>
      </c>
      <c r="S610" s="76">
        <f>IF(Observaciones!$F609&gt;0.05*$W$7,((Observaciones!$F609-0.05*$W$7)^2)/(Observaciones!$F609+0.95*$W$7),0)</f>
        <v>0</v>
      </c>
      <c r="T610" s="76">
        <f>0.0526*S610*Observaciones!$F609^1.218</f>
        <v>0</v>
      </c>
      <c r="U610" s="29"/>
      <c r="V610" s="29"/>
      <c r="W610" s="109"/>
      <c r="X610" s="40"/>
    </row>
    <row r="611" spans="2:24" s="2" customFormat="1">
      <c r="B611" s="39"/>
      <c r="C611" s="75">
        <v>605</v>
      </c>
      <c r="D611" s="146">
        <f>ETo!$I610*((1-Constantes!$D$19)*ETo!$K610+ETo!$L610)</f>
        <v>3.1619114160019084</v>
      </c>
      <c r="E611" s="76">
        <f>MIN(D611*Constantes!$D$17,0.8*(H610+Observaciones!$F610-F611-G611-Constantes!$D$14))</f>
        <v>2.2023766632628395E-8</v>
      </c>
      <c r="F611" s="76">
        <f>IF(Observaciones!$F610&gt;0.05*Constantes!$D$18,((Observaciones!$F610-0.05*Constantes!$D$18)^2)/(Observaciones!$F610+0.95*Constantes!$D$18),0)</f>
        <v>0</v>
      </c>
      <c r="G611" s="76">
        <f>MAX(0,H610+Observaciones!$F610-F611-Constantes!$D$13)</f>
        <v>0</v>
      </c>
      <c r="H611" s="76">
        <f>H610+Observaciones!$F610-F611-E611-G611-I610</f>
        <v>11.250000004568179</v>
      </c>
      <c r="I611" s="76">
        <f>MAX(0,(H611-Constantes!$D$14)*(1-EXP(-Constantes!$D$22)))</f>
        <v>1.5560893747314578E-10</v>
      </c>
      <c r="J611" s="76">
        <f t="shared" si="27"/>
        <v>72.996190615674792</v>
      </c>
      <c r="K611" s="76">
        <f>MAX(0,(J611-Constantes!$D$13)*(1-EXP(-Constantes!$D$23)))</f>
        <v>0.23890349112892023</v>
      </c>
      <c r="L611" s="76">
        <f t="shared" si="28"/>
        <v>0.23890349128452917</v>
      </c>
      <c r="M611" s="76">
        <f>0.0526*F611*Observaciones!$F610^1.218</f>
        <v>0</v>
      </c>
      <c r="N611" s="76">
        <f>M611*Constantes!$D$51</f>
        <v>0</v>
      </c>
      <c r="O611" s="76">
        <f t="shared" si="29"/>
        <v>0</v>
      </c>
      <c r="P611" s="15"/>
      <c r="Q611" s="75">
        <v>605</v>
      </c>
      <c r="R611" s="76">
        <f>0.0526*Observaciones!$F610^2.218</f>
        <v>0</v>
      </c>
      <c r="S611" s="76">
        <f>IF(Observaciones!$F610&gt;0.05*$W$7,((Observaciones!$F610-0.05*$W$7)^2)/(Observaciones!$F610+0.95*$W$7),0)</f>
        <v>0</v>
      </c>
      <c r="T611" s="76">
        <f>0.0526*S611*Observaciones!$F610^1.218</f>
        <v>0</v>
      </c>
      <c r="U611" s="29"/>
      <c r="V611" s="29"/>
      <c r="W611" s="109"/>
      <c r="X611" s="40"/>
    </row>
    <row r="612" spans="2:24" s="2" customFormat="1">
      <c r="B612" s="39"/>
      <c r="C612" s="75">
        <v>606</v>
      </c>
      <c r="D612" s="146">
        <f>ETo!$I611*((1-Constantes!$D$19)*ETo!$K611+ETo!$L611)</f>
        <v>3.1422486636472127</v>
      </c>
      <c r="E612" s="76">
        <f>MIN(D612*Constantes!$D$17,0.8*(H611+Observaciones!$F611-F612-G612-Constantes!$D$14))</f>
        <v>3.6545429793477525E-9</v>
      </c>
      <c r="F612" s="76">
        <f>IF(Observaciones!$F611&gt;0.05*Constantes!$D$18,((Observaciones!$F611-0.05*Constantes!$D$18)^2)/(Observaciones!$F611+0.95*Constantes!$D$18),0)</f>
        <v>0</v>
      </c>
      <c r="G612" s="76">
        <f>MAX(0,H611+Observaciones!$F611-F612-Constantes!$D$13)</f>
        <v>0</v>
      </c>
      <c r="H612" s="76">
        <f>H611+Observaciones!$F611-F612-E612-G612-I611</f>
        <v>11.250000000758027</v>
      </c>
      <c r="I612" s="76">
        <f>MAX(0,(H612-Constantes!$D$14)*(1-EXP(-Constantes!$D$22)))</f>
        <v>2.582116639894798E-11</v>
      </c>
      <c r="J612" s="76">
        <f t="shared" si="27"/>
        <v>72.757287124545869</v>
      </c>
      <c r="K612" s="76">
        <f>MAX(0,(J612-Constantes!$D$13)*(1-EXP(-Constantes!$D$23)))</f>
        <v>0.2365495181284486</v>
      </c>
      <c r="L612" s="76">
        <f t="shared" si="28"/>
        <v>0.23654951815426978</v>
      </c>
      <c r="M612" s="76">
        <f>0.0526*F612*Observaciones!$F611^1.218</f>
        <v>0</v>
      </c>
      <c r="N612" s="76">
        <f>M612*Constantes!$D$51</f>
        <v>0</v>
      </c>
      <c r="O612" s="76">
        <f t="shared" si="29"/>
        <v>0</v>
      </c>
      <c r="P612" s="15"/>
      <c r="Q612" s="75">
        <v>606</v>
      </c>
      <c r="R612" s="76">
        <f>0.0526*Observaciones!$F611^2.218</f>
        <v>0</v>
      </c>
      <c r="S612" s="76">
        <f>IF(Observaciones!$F611&gt;0.05*$W$7,((Observaciones!$F611-0.05*$W$7)^2)/(Observaciones!$F611+0.95*$W$7),0)</f>
        <v>0</v>
      </c>
      <c r="T612" s="76">
        <f>0.0526*S612*Observaciones!$F611^1.218</f>
        <v>0</v>
      </c>
      <c r="U612" s="29"/>
      <c r="V612" s="29"/>
      <c r="W612" s="109"/>
      <c r="X612" s="40"/>
    </row>
    <row r="613" spans="2:24" s="2" customFormat="1">
      <c r="B613" s="39"/>
      <c r="C613" s="75">
        <v>607</v>
      </c>
      <c r="D613" s="146">
        <f>ETo!$I612*((1-Constantes!$D$19)*ETo!$K612+ETo!$L612)</f>
        <v>3.3057509019918885</v>
      </c>
      <c r="E613" s="76">
        <f>MIN(D613*Constantes!$D$17,0.8*(H612+Observaciones!$F612-F613-G613-Constantes!$D$14))</f>
        <v>6.0642122434728671E-10</v>
      </c>
      <c r="F613" s="76">
        <f>IF(Observaciones!$F612&gt;0.05*Constantes!$D$18,((Observaciones!$F612-0.05*Constantes!$D$18)^2)/(Observaciones!$F612+0.95*Constantes!$D$18),0)</f>
        <v>0</v>
      </c>
      <c r="G613" s="76">
        <f>MAX(0,H612+Observaciones!$F612-F613-Constantes!$D$13)</f>
        <v>0</v>
      </c>
      <c r="H613" s="76">
        <f>H612+Observaciones!$F612-F613-E613-G613-I612</f>
        <v>11.250000000125784</v>
      </c>
      <c r="I613" s="76">
        <f>MAX(0,(H613-Constantes!$D$14)*(1-EXP(-Constantes!$D$22)))</f>
        <v>4.2846589366826093E-12</v>
      </c>
      <c r="J613" s="76">
        <f t="shared" si="27"/>
        <v>72.520737606417427</v>
      </c>
      <c r="K613" s="76">
        <f>MAX(0,(J613-Constantes!$D$13)*(1-EXP(-Constantes!$D$23)))</f>
        <v>0.23421873938462343</v>
      </c>
      <c r="L613" s="76">
        <f t="shared" si="28"/>
        <v>0.23421873938890808</v>
      </c>
      <c r="M613" s="76">
        <f>0.0526*F613*Observaciones!$F612^1.218</f>
        <v>0</v>
      </c>
      <c r="N613" s="76">
        <f>M613*Constantes!$D$51</f>
        <v>0</v>
      </c>
      <c r="O613" s="76">
        <f t="shared" si="29"/>
        <v>0</v>
      </c>
      <c r="P613" s="15"/>
      <c r="Q613" s="75">
        <v>607</v>
      </c>
      <c r="R613" s="76">
        <f>0.0526*Observaciones!$F612^2.218</f>
        <v>0</v>
      </c>
      <c r="S613" s="76">
        <f>IF(Observaciones!$F612&gt;0.05*$W$7,((Observaciones!$F612-0.05*$W$7)^2)/(Observaciones!$F612+0.95*$W$7),0)</f>
        <v>0</v>
      </c>
      <c r="T613" s="76">
        <f>0.0526*S613*Observaciones!$F612^1.218</f>
        <v>0</v>
      </c>
      <c r="U613" s="29"/>
      <c r="V613" s="29"/>
      <c r="W613" s="109"/>
      <c r="X613" s="40"/>
    </row>
    <row r="614" spans="2:24" s="2" customFormat="1">
      <c r="B614" s="39"/>
      <c r="C614" s="75">
        <v>608</v>
      </c>
      <c r="D614" s="146">
        <f>ETo!$I613*((1-Constantes!$D$19)*ETo!$K613+ETo!$L613)</f>
        <v>3.2859478911151392</v>
      </c>
      <c r="E614" s="76">
        <f>MIN(D614*Constantes!$D$17,0.8*(H613+Observaciones!$F613-F614-G614-Constantes!$D$14))</f>
        <v>1.0062706223834539E-10</v>
      </c>
      <c r="F614" s="76">
        <f>IF(Observaciones!$F613&gt;0.05*Constantes!$D$18,((Observaciones!$F613-0.05*Constantes!$D$18)^2)/(Observaciones!$F613+0.95*Constantes!$D$18),0)</f>
        <v>0</v>
      </c>
      <c r="G614" s="76">
        <f>MAX(0,H613+Observaciones!$F613-F614-Constantes!$D$13)</f>
        <v>0</v>
      </c>
      <c r="H614" s="76">
        <f>H613+Observaciones!$F613-F614-E614-G614-I613</f>
        <v>11.250000000020872</v>
      </c>
      <c r="I614" s="76">
        <f>MAX(0,(H614-Constantes!$D$14)*(1-EXP(-Constantes!$D$22)))</f>
        <v>7.1098351230081424E-13</v>
      </c>
      <c r="J614" s="76">
        <f t="shared" si="27"/>
        <v>72.286518867032797</v>
      </c>
      <c r="K614" s="76">
        <f>MAX(0,(J614-Constantes!$D$13)*(1-EXP(-Constantes!$D$23)))</f>
        <v>0.23191092635890925</v>
      </c>
      <c r="L614" s="76">
        <f t="shared" si="28"/>
        <v>0.23191092635962024</v>
      </c>
      <c r="M614" s="76">
        <f>0.0526*F614*Observaciones!$F613^1.218</f>
        <v>0</v>
      </c>
      <c r="N614" s="76">
        <f>M614*Constantes!$D$51</f>
        <v>0</v>
      </c>
      <c r="O614" s="76">
        <f t="shared" si="29"/>
        <v>0</v>
      </c>
      <c r="P614" s="15"/>
      <c r="Q614" s="75">
        <v>608</v>
      </c>
      <c r="R614" s="76">
        <f>0.0526*Observaciones!$F613^2.218</f>
        <v>0</v>
      </c>
      <c r="S614" s="76">
        <f>IF(Observaciones!$F613&gt;0.05*$W$7,((Observaciones!$F613-0.05*$W$7)^2)/(Observaciones!$F613+0.95*$W$7),0)</f>
        <v>0</v>
      </c>
      <c r="T614" s="76">
        <f>0.0526*S614*Observaciones!$F613^1.218</f>
        <v>0</v>
      </c>
      <c r="U614" s="29"/>
      <c r="V614" s="29"/>
      <c r="W614" s="109"/>
      <c r="X614" s="40"/>
    </row>
    <row r="615" spans="2:24" s="2" customFormat="1">
      <c r="B615" s="39"/>
      <c r="C615" s="75">
        <v>609</v>
      </c>
      <c r="D615" s="146">
        <f>ETo!$I614*((1-Constantes!$D$19)*ETo!$K614+ETo!$L614)</f>
        <v>3.3698157027958091</v>
      </c>
      <c r="E615" s="76">
        <f>MIN(D615*Constantes!$D$17,0.8*(H614+Observaciones!$F614-F615-G615-Constantes!$D$14))</f>
        <v>1.6697754290362354E-11</v>
      </c>
      <c r="F615" s="76">
        <f>IF(Observaciones!$F614&gt;0.05*Constantes!$D$18,((Observaciones!$F614-0.05*Constantes!$D$18)^2)/(Observaciones!$F614+0.95*Constantes!$D$18),0)</f>
        <v>0</v>
      </c>
      <c r="G615" s="76">
        <f>MAX(0,H614+Observaciones!$F614-F615-Constantes!$D$13)</f>
        <v>0</v>
      </c>
      <c r="H615" s="76">
        <f>H614+Observaciones!$F614-F615-E615-G615-I614</f>
        <v>11.250000000003464</v>
      </c>
      <c r="I615" s="76">
        <f>MAX(0,(H615-Constantes!$D$14)*(1-EXP(-Constantes!$D$22)))</f>
        <v>1.1799300842439045E-13</v>
      </c>
      <c r="J615" s="76">
        <f t="shared" si="27"/>
        <v>72.05460794067389</v>
      </c>
      <c r="K615" s="76">
        <f>MAX(0,(J615-Constantes!$D$13)*(1-EXP(-Constantes!$D$23)))</f>
        <v>0.22962585276461578</v>
      </c>
      <c r="L615" s="76">
        <f t="shared" si="28"/>
        <v>0.22962585276473377</v>
      </c>
      <c r="M615" s="76">
        <f>0.0526*F615*Observaciones!$F614^1.218</f>
        <v>0</v>
      </c>
      <c r="N615" s="76">
        <f>M615*Constantes!$D$51</f>
        <v>0</v>
      </c>
      <c r="O615" s="76">
        <f t="shared" si="29"/>
        <v>0</v>
      </c>
      <c r="P615" s="15"/>
      <c r="Q615" s="75">
        <v>609</v>
      </c>
      <c r="R615" s="76">
        <f>0.0526*Observaciones!$F614^2.218</f>
        <v>0</v>
      </c>
      <c r="S615" s="76">
        <f>IF(Observaciones!$F614&gt;0.05*$W$7,((Observaciones!$F614-0.05*$W$7)^2)/(Observaciones!$F614+0.95*$W$7),0)</f>
        <v>0</v>
      </c>
      <c r="T615" s="76">
        <f>0.0526*S615*Observaciones!$F614^1.218</f>
        <v>0</v>
      </c>
      <c r="U615" s="29"/>
      <c r="V615" s="29"/>
      <c r="W615" s="109"/>
      <c r="X615" s="40"/>
    </row>
    <row r="616" spans="2:24" s="2" customFormat="1">
      <c r="B616" s="39"/>
      <c r="C616" s="75">
        <v>610</v>
      </c>
      <c r="D616" s="146">
        <f>ETo!$I615*((1-Constantes!$D$19)*ETo!$K615+ETo!$L615)</f>
        <v>3.3645115697556052</v>
      </c>
      <c r="E616" s="76">
        <f>MIN(D616*Constantes!$D$17,0.8*(H615+Observaciones!$F615-F616-G616-Constantes!$D$14))</f>
        <v>2.7711166694643907E-12</v>
      </c>
      <c r="F616" s="76">
        <f>IF(Observaciones!$F615&gt;0.05*Constantes!$D$18,((Observaciones!$F615-0.05*Constantes!$D$18)^2)/(Observaciones!$F615+0.95*Constantes!$D$18),0)</f>
        <v>0</v>
      </c>
      <c r="G616" s="76">
        <f>MAX(0,H615+Observaciones!$F615-F616-Constantes!$D$13)</f>
        <v>0</v>
      </c>
      <c r="H616" s="76">
        <f>H615+Observaciones!$F615-F616-E616-G616-I615</f>
        <v>11.250000000000576</v>
      </c>
      <c r="I616" s="76">
        <f>MAX(0,(H616-Constantes!$D$14)*(1-EXP(-Constantes!$D$22)))</f>
        <v>1.9604992168975644E-14</v>
      </c>
      <c r="J616" s="76">
        <f t="shared" si="27"/>
        <v>71.824982087909277</v>
      </c>
      <c r="K616" s="76">
        <f>MAX(0,(J616-Constantes!$D$13)*(1-EXP(-Constantes!$D$23)))</f>
        <v>0.22736329454470899</v>
      </c>
      <c r="L616" s="76">
        <f t="shared" si="28"/>
        <v>0.22736329454472859</v>
      </c>
      <c r="M616" s="76">
        <f>0.0526*F616*Observaciones!$F615^1.218</f>
        <v>0</v>
      </c>
      <c r="N616" s="76">
        <f>M616*Constantes!$D$51</f>
        <v>0</v>
      </c>
      <c r="O616" s="76">
        <f t="shared" si="29"/>
        <v>0</v>
      </c>
      <c r="P616" s="15"/>
      <c r="Q616" s="75">
        <v>610</v>
      </c>
      <c r="R616" s="76">
        <f>0.0526*Observaciones!$F615^2.218</f>
        <v>0</v>
      </c>
      <c r="S616" s="76">
        <f>IF(Observaciones!$F615&gt;0.05*$W$7,((Observaciones!$F615-0.05*$W$7)^2)/(Observaciones!$F615+0.95*$W$7),0)</f>
        <v>0</v>
      </c>
      <c r="T616" s="76">
        <f>0.0526*S616*Observaciones!$F615^1.218</f>
        <v>0</v>
      </c>
      <c r="U616" s="29"/>
      <c r="V616" s="29"/>
      <c r="W616" s="109"/>
      <c r="X616" s="40"/>
    </row>
    <row r="617" spans="2:24" s="2" customFormat="1">
      <c r="B617" s="39"/>
      <c r="C617" s="75">
        <v>611</v>
      </c>
      <c r="D617" s="146">
        <f>ETo!$I616*((1-Constantes!$D$19)*ETo!$K616+ETo!$L616)</f>
        <v>3.3964575831687251</v>
      </c>
      <c r="E617" s="76">
        <f>MIN(D617*Constantes!$D$17,0.8*(H616+Observaciones!$F616-F617-G617-Constantes!$D$14))</f>
        <v>4.604316927725449E-13</v>
      </c>
      <c r="F617" s="76">
        <f>IF(Observaciones!$F616&gt;0.05*Constantes!$D$18,((Observaciones!$F616-0.05*Constantes!$D$18)^2)/(Observaciones!$F616+0.95*Constantes!$D$18),0)</f>
        <v>0</v>
      </c>
      <c r="G617" s="76">
        <f>MAX(0,H616+Observaciones!$F616-F617-Constantes!$D$13)</f>
        <v>0</v>
      </c>
      <c r="H617" s="76">
        <f>H616+Observaciones!$F616-F617-E617-G617-I616</f>
        <v>11.250000000000096</v>
      </c>
      <c r="I617" s="76">
        <f>MAX(0,(H617-Constantes!$D$14)*(1-EXP(-Constantes!$D$22)))</f>
        <v>3.2674986948292741E-15</v>
      </c>
      <c r="J617" s="76">
        <f t="shared" si="27"/>
        <v>71.597618793364575</v>
      </c>
      <c r="K617" s="76">
        <f>MAX(0,(J617-Constantes!$D$13)*(1-EXP(-Constantes!$D$23)))</f>
        <v>0.22512302984984239</v>
      </c>
      <c r="L617" s="76">
        <f t="shared" si="28"/>
        <v>0.22512302984984567</v>
      </c>
      <c r="M617" s="76">
        <f>0.0526*F617*Observaciones!$F616^1.218</f>
        <v>0</v>
      </c>
      <c r="N617" s="76">
        <f>M617*Constantes!$D$51</f>
        <v>0</v>
      </c>
      <c r="O617" s="76">
        <f t="shared" si="29"/>
        <v>0</v>
      </c>
      <c r="P617" s="15"/>
      <c r="Q617" s="75">
        <v>611</v>
      </c>
      <c r="R617" s="76">
        <f>0.0526*Observaciones!$F616^2.218</f>
        <v>0</v>
      </c>
      <c r="S617" s="76">
        <f>IF(Observaciones!$F616&gt;0.05*$W$7,((Observaciones!$F616-0.05*$W$7)^2)/(Observaciones!$F616+0.95*$W$7),0)</f>
        <v>0</v>
      </c>
      <c r="T617" s="76">
        <f>0.0526*S617*Observaciones!$F616^1.218</f>
        <v>0</v>
      </c>
      <c r="U617" s="29"/>
      <c r="V617" s="29"/>
      <c r="W617" s="109"/>
      <c r="X617" s="40"/>
    </row>
    <row r="618" spans="2:24" s="2" customFormat="1">
      <c r="B618" s="39"/>
      <c r="C618" s="75">
        <v>612</v>
      </c>
      <c r="D618" s="146">
        <f>ETo!$I617*((1-Constantes!$D$19)*ETo!$K617+ETo!$L617)</f>
        <v>3.3078734075266483</v>
      </c>
      <c r="E618" s="76">
        <f>MIN(D618*Constantes!$D$17,0.8*(H617+Observaciones!$F617-F618-G618-Constantes!$D$14))</f>
        <v>7.6738615462090825E-14</v>
      </c>
      <c r="F618" s="76">
        <f>IF(Observaciones!$F617&gt;0.05*Constantes!$D$18,((Observaciones!$F617-0.05*Constantes!$D$18)^2)/(Observaciones!$F617+0.95*Constantes!$D$18),0)</f>
        <v>0</v>
      </c>
      <c r="G618" s="76">
        <f>MAX(0,H617+Observaciones!$F617-F618-Constantes!$D$13)</f>
        <v>0</v>
      </c>
      <c r="H618" s="76">
        <f>H617+Observaciones!$F617-F618-E618-G618-I617</f>
        <v>11.250000000000016</v>
      </c>
      <c r="I618" s="76">
        <f>MAX(0,(H618-Constantes!$D$14)*(1-EXP(-Constantes!$D$22)))</f>
        <v>5.4458311580487902E-16</v>
      </c>
      <c r="J618" s="76">
        <f t="shared" si="27"/>
        <v>71.372495763514735</v>
      </c>
      <c r="K618" s="76">
        <f>MAX(0,(J618-Constantes!$D$13)*(1-EXP(-Constantes!$D$23)))</f>
        <v>0.22290483901660374</v>
      </c>
      <c r="L618" s="76">
        <f t="shared" si="28"/>
        <v>0.22290483901660429</v>
      </c>
      <c r="M618" s="76">
        <f>0.0526*F618*Observaciones!$F617^1.218</f>
        <v>0</v>
      </c>
      <c r="N618" s="76">
        <f>M618*Constantes!$D$51</f>
        <v>0</v>
      </c>
      <c r="O618" s="76">
        <f t="shared" si="29"/>
        <v>0</v>
      </c>
      <c r="P618" s="15"/>
      <c r="Q618" s="75">
        <v>612</v>
      </c>
      <c r="R618" s="76">
        <f>0.0526*Observaciones!$F617^2.218</f>
        <v>0</v>
      </c>
      <c r="S618" s="76">
        <f>IF(Observaciones!$F617&gt;0.05*$W$7,((Observaciones!$F617-0.05*$W$7)^2)/(Observaciones!$F617+0.95*$W$7),0)</f>
        <v>0</v>
      </c>
      <c r="T618" s="76">
        <f>0.0526*S618*Observaciones!$F617^1.218</f>
        <v>0</v>
      </c>
      <c r="U618" s="29"/>
      <c r="V618" s="29"/>
      <c r="W618" s="109"/>
      <c r="X618" s="40"/>
    </row>
    <row r="619" spans="2:24" s="2" customFormat="1">
      <c r="B619" s="39"/>
      <c r="C619" s="75">
        <v>613</v>
      </c>
      <c r="D619" s="146">
        <f>ETo!$I618*((1-Constantes!$D$19)*ETo!$K618+ETo!$L618)</f>
        <v>3.388412021392734</v>
      </c>
      <c r="E619" s="76">
        <f>MIN(D619*Constantes!$D$17,0.8*(H618+Observaciones!$F618-F619-G619-Constantes!$D$14))</f>
        <v>1.2789769243681804E-14</v>
      </c>
      <c r="F619" s="76">
        <f>IF(Observaciones!$F618&gt;0.05*Constantes!$D$18,((Observaciones!$F618-0.05*Constantes!$D$18)^2)/(Observaciones!$F618+0.95*Constantes!$D$18),0)</f>
        <v>0</v>
      </c>
      <c r="G619" s="76">
        <f>MAX(0,H618+Observaciones!$F618-F619-Constantes!$D$13)</f>
        <v>0</v>
      </c>
      <c r="H619" s="76">
        <f>H618+Observaciones!$F618-F619-E619-G619-I618</f>
        <v>11.250000000000004</v>
      </c>
      <c r="I619" s="76">
        <f>MAX(0,(H619-Constantes!$D$14)*(1-EXP(-Constantes!$D$22)))</f>
        <v>1.21018470178862E-16</v>
      </c>
      <c r="J619" s="76">
        <f t="shared" si="27"/>
        <v>71.149590924498128</v>
      </c>
      <c r="K619" s="76">
        <f>MAX(0,(J619-Constantes!$D$13)*(1-EXP(-Constantes!$D$23)))</f>
        <v>0.22070850454597682</v>
      </c>
      <c r="L619" s="76">
        <f t="shared" si="28"/>
        <v>0.22070850454597693</v>
      </c>
      <c r="M619" s="76">
        <f>0.0526*F619*Observaciones!$F618^1.218</f>
        <v>0</v>
      </c>
      <c r="N619" s="76">
        <f>M619*Constantes!$D$51</f>
        <v>0</v>
      </c>
      <c r="O619" s="76">
        <f t="shared" si="29"/>
        <v>0</v>
      </c>
      <c r="P619" s="15"/>
      <c r="Q619" s="75">
        <v>613</v>
      </c>
      <c r="R619" s="76">
        <f>0.0526*Observaciones!$F618^2.218</f>
        <v>0</v>
      </c>
      <c r="S619" s="76">
        <f>IF(Observaciones!$F618&gt;0.05*$W$7,((Observaciones!$F618-0.05*$W$7)^2)/(Observaciones!$F618+0.95*$W$7),0)</f>
        <v>0</v>
      </c>
      <c r="T619" s="76">
        <f>0.0526*S619*Observaciones!$F618^1.218</f>
        <v>0</v>
      </c>
      <c r="U619" s="29"/>
      <c r="V619" s="29"/>
      <c r="W619" s="109"/>
      <c r="X619" s="40"/>
    </row>
    <row r="620" spans="2:24" s="2" customFormat="1">
      <c r="B620" s="39"/>
      <c r="C620" s="75">
        <v>614</v>
      </c>
      <c r="D620" s="146">
        <f>ETo!$I619*((1-Constantes!$D$19)*ETo!$K619+ETo!$L619)</f>
        <v>3.2872100192264453</v>
      </c>
      <c r="E620" s="76">
        <f>MIN(D620*Constantes!$D$17,0.8*(H619+Observaciones!$F619-F620-G620-Constantes!$D$14))</f>
        <v>2.8421709430404009E-15</v>
      </c>
      <c r="F620" s="76">
        <f>IF(Observaciones!$F619&gt;0.05*Constantes!$D$18,((Observaciones!$F619-0.05*Constantes!$D$18)^2)/(Observaciones!$F619+0.95*Constantes!$D$18),0)</f>
        <v>0</v>
      </c>
      <c r="G620" s="76">
        <f>MAX(0,H619+Observaciones!$F619-F620-Constantes!$D$13)</f>
        <v>0</v>
      </c>
      <c r="H620" s="76">
        <f>H619+Observaciones!$F619-F620-E620-G620-I619</f>
        <v>11.25</v>
      </c>
      <c r="I620" s="76">
        <f>MAX(0,(H620-Constantes!$D$14)*(1-EXP(-Constantes!$D$22)))</f>
        <v>0</v>
      </c>
      <c r="J620" s="76">
        <f t="shared" si="27"/>
        <v>70.928882419952146</v>
      </c>
      <c r="K620" s="76">
        <f>MAX(0,(J620-Constantes!$D$13)*(1-EXP(-Constantes!$D$23)))</f>
        <v>0.21853381108201508</v>
      </c>
      <c r="L620" s="76">
        <f t="shared" si="28"/>
        <v>0.21853381108201508</v>
      </c>
      <c r="M620" s="76">
        <f>0.0526*F620*Observaciones!$F619^1.218</f>
        <v>0</v>
      </c>
      <c r="N620" s="76">
        <f>M620*Constantes!$D$51</f>
        <v>0</v>
      </c>
      <c r="O620" s="76">
        <f t="shared" si="29"/>
        <v>0</v>
      </c>
      <c r="P620" s="15"/>
      <c r="Q620" s="75">
        <v>614</v>
      </c>
      <c r="R620" s="76">
        <f>0.0526*Observaciones!$F619^2.218</f>
        <v>0</v>
      </c>
      <c r="S620" s="76">
        <f>IF(Observaciones!$F619&gt;0.05*$W$7,((Observaciones!$F619-0.05*$W$7)^2)/(Observaciones!$F619+0.95*$W$7),0)</f>
        <v>0</v>
      </c>
      <c r="T620" s="76">
        <f>0.0526*S620*Observaciones!$F619^1.218</f>
        <v>0</v>
      </c>
      <c r="U620" s="29"/>
      <c r="V620" s="29"/>
      <c r="W620" s="109"/>
      <c r="X620" s="40"/>
    </row>
    <row r="621" spans="2:24" s="2" customFormat="1">
      <c r="B621" s="39"/>
      <c r="C621" s="75">
        <v>615</v>
      </c>
      <c r="D621" s="146">
        <f>ETo!$I620*((1-Constantes!$D$19)*ETo!$K620+ETo!$L620)</f>
        <v>3.5320524953137715</v>
      </c>
      <c r="E621" s="76">
        <f>MIN(D621*Constantes!$D$17,0.8*(H620+Observaciones!$F620-F621-G621-Constantes!$D$14))</f>
        <v>0</v>
      </c>
      <c r="F621" s="76">
        <f>IF(Observaciones!$F620&gt;0.05*Constantes!$D$18,((Observaciones!$F620-0.05*Constantes!$D$18)^2)/(Observaciones!$F620+0.95*Constantes!$D$18),0)</f>
        <v>0</v>
      </c>
      <c r="G621" s="76">
        <f>MAX(0,H620+Observaciones!$F620-F621-Constantes!$D$13)</f>
        <v>0</v>
      </c>
      <c r="H621" s="76">
        <f>H620+Observaciones!$F620-F621-E621-G621-I620</f>
        <v>11.25</v>
      </c>
      <c r="I621" s="76">
        <f>MAX(0,(H621-Constantes!$D$14)*(1-EXP(-Constantes!$D$22)))</f>
        <v>0</v>
      </c>
      <c r="J621" s="76">
        <f t="shared" si="27"/>
        <v>70.710348608870135</v>
      </c>
      <c r="K621" s="76">
        <f>MAX(0,(J621-Constantes!$D$13)*(1-EXP(-Constantes!$D$23)))</f>
        <v>0.21638054539072549</v>
      </c>
      <c r="L621" s="76">
        <f t="shared" si="28"/>
        <v>0.21638054539072549</v>
      </c>
      <c r="M621" s="76">
        <f>0.0526*F621*Observaciones!$F620^1.218</f>
        <v>0</v>
      </c>
      <c r="N621" s="76">
        <f>M621*Constantes!$D$51</f>
        <v>0</v>
      </c>
      <c r="O621" s="76">
        <f t="shared" si="29"/>
        <v>0</v>
      </c>
      <c r="P621" s="15"/>
      <c r="Q621" s="75">
        <v>615</v>
      </c>
      <c r="R621" s="76">
        <f>0.0526*Observaciones!$F620^2.218</f>
        <v>0</v>
      </c>
      <c r="S621" s="76">
        <f>IF(Observaciones!$F620&gt;0.05*$W$7,((Observaciones!$F620-0.05*$W$7)^2)/(Observaciones!$F620+0.95*$W$7),0)</f>
        <v>0</v>
      </c>
      <c r="T621" s="76">
        <f>0.0526*S621*Observaciones!$F620^1.218</f>
        <v>0</v>
      </c>
      <c r="U621" s="29"/>
      <c r="V621" s="29"/>
      <c r="W621" s="109"/>
      <c r="X621" s="40"/>
    </row>
    <row r="622" spans="2:24" s="2" customFormat="1">
      <c r="B622" s="39"/>
      <c r="C622" s="75">
        <v>616</v>
      </c>
      <c r="D622" s="146">
        <f>ETo!$I621*((1-Constantes!$D$19)*ETo!$K621+ETo!$L621)</f>
        <v>3.5602034530682802</v>
      </c>
      <c r="E622" s="76">
        <f>MIN(D622*Constantes!$D$17,0.8*(H621+Observaciones!$F621-F622-G622-Constantes!$D$14))</f>
        <v>0</v>
      </c>
      <c r="F622" s="76">
        <f>IF(Observaciones!$F621&gt;0.05*Constantes!$D$18,((Observaciones!$F621-0.05*Constantes!$D$18)^2)/(Observaciones!$F621+0.95*Constantes!$D$18),0)</f>
        <v>0</v>
      </c>
      <c r="G622" s="76">
        <f>MAX(0,H621+Observaciones!$F621-F622-Constantes!$D$13)</f>
        <v>0</v>
      </c>
      <c r="H622" s="76">
        <f>H621+Observaciones!$F621-F622-E622-G622-I621</f>
        <v>11.25</v>
      </c>
      <c r="I622" s="76">
        <f>MAX(0,(H622-Constantes!$D$14)*(1-EXP(-Constantes!$D$22)))</f>
        <v>0</v>
      </c>
      <c r="J622" s="76">
        <f t="shared" si="27"/>
        <v>70.493968063479414</v>
      </c>
      <c r="K622" s="76">
        <f>MAX(0,(J622-Constantes!$D$13)*(1-EXP(-Constantes!$D$23)))</f>
        <v>0.21424849633916013</v>
      </c>
      <c r="L622" s="76">
        <f t="shared" si="28"/>
        <v>0.21424849633916013</v>
      </c>
      <c r="M622" s="76">
        <f>0.0526*F622*Observaciones!$F621^1.218</f>
        <v>0</v>
      </c>
      <c r="N622" s="76">
        <f>M622*Constantes!$D$51</f>
        <v>0</v>
      </c>
      <c r="O622" s="76">
        <f t="shared" si="29"/>
        <v>0</v>
      </c>
      <c r="P622" s="15"/>
      <c r="Q622" s="75">
        <v>616</v>
      </c>
      <c r="R622" s="76">
        <f>0.0526*Observaciones!$F621^2.218</f>
        <v>0</v>
      </c>
      <c r="S622" s="76">
        <f>IF(Observaciones!$F621&gt;0.05*$W$7,((Observaciones!$F621-0.05*$W$7)^2)/(Observaciones!$F621+0.95*$W$7),0)</f>
        <v>0</v>
      </c>
      <c r="T622" s="76">
        <f>0.0526*S622*Observaciones!$F621^1.218</f>
        <v>0</v>
      </c>
      <c r="U622" s="29"/>
      <c r="V622" s="29"/>
      <c r="W622" s="109"/>
      <c r="X622" s="40"/>
    </row>
    <row r="623" spans="2:24" s="2" customFormat="1">
      <c r="B623" s="39"/>
      <c r="C623" s="75">
        <v>617</v>
      </c>
      <c r="D623" s="146">
        <f>ETo!$I622*((1-Constantes!$D$19)*ETo!$K622+ETo!$L622)</f>
        <v>3.599900801598392</v>
      </c>
      <c r="E623" s="76">
        <f>MIN(D623*Constantes!$D$17,0.8*(H622+Observaciones!$F622-F623-G623-Constantes!$D$14))</f>
        <v>0</v>
      </c>
      <c r="F623" s="76">
        <f>IF(Observaciones!$F622&gt;0.05*Constantes!$D$18,((Observaciones!$F622-0.05*Constantes!$D$18)^2)/(Observaciones!$F622+0.95*Constantes!$D$18),0)</f>
        <v>0</v>
      </c>
      <c r="G623" s="76">
        <f>MAX(0,H622+Observaciones!$F622-F623-Constantes!$D$13)</f>
        <v>0</v>
      </c>
      <c r="H623" s="76">
        <f>H622+Observaciones!$F622-F623-E623-G623-I622</f>
        <v>11.25</v>
      </c>
      <c r="I623" s="76">
        <f>MAX(0,(H623-Constantes!$D$14)*(1-EXP(-Constantes!$D$22)))</f>
        <v>0</v>
      </c>
      <c r="J623" s="76">
        <f t="shared" si="27"/>
        <v>70.279719567140248</v>
      </c>
      <c r="K623" s="76">
        <f>MAX(0,(J623-Constantes!$D$13)*(1-EXP(-Constantes!$D$23)))</f>
        <v>0.21213745487471422</v>
      </c>
      <c r="L623" s="76">
        <f t="shared" si="28"/>
        <v>0.21213745487471422</v>
      </c>
      <c r="M623" s="76">
        <f>0.0526*F623*Observaciones!$F622^1.218</f>
        <v>0</v>
      </c>
      <c r="N623" s="76">
        <f>M623*Constantes!$D$51</f>
        <v>0</v>
      </c>
      <c r="O623" s="76">
        <f t="shared" si="29"/>
        <v>0</v>
      </c>
      <c r="P623" s="15"/>
      <c r="Q623" s="75">
        <v>617</v>
      </c>
      <c r="R623" s="76">
        <f>0.0526*Observaciones!$F622^2.218</f>
        <v>0</v>
      </c>
      <c r="S623" s="76">
        <f>IF(Observaciones!$F622&gt;0.05*$W$7,((Observaciones!$F622-0.05*$W$7)^2)/(Observaciones!$F622+0.95*$W$7),0)</f>
        <v>0</v>
      </c>
      <c r="T623" s="76">
        <f>0.0526*S623*Observaciones!$F622^1.218</f>
        <v>0</v>
      </c>
      <c r="U623" s="29"/>
      <c r="V623" s="29"/>
      <c r="W623" s="109"/>
      <c r="X623" s="40"/>
    </row>
    <row r="624" spans="2:24" s="2" customFormat="1">
      <c r="B624" s="39"/>
      <c r="C624" s="75">
        <v>618</v>
      </c>
      <c r="D624" s="146">
        <f>ETo!$I623*((1-Constantes!$D$19)*ETo!$K623+ETo!$L623)</f>
        <v>3.5968842741492386</v>
      </c>
      <c r="E624" s="76">
        <f>MIN(D624*Constantes!$D$17,0.8*(H623+Observaciones!$F623-F624-G624-Constantes!$D$14))</f>
        <v>0</v>
      </c>
      <c r="F624" s="76">
        <f>IF(Observaciones!$F623&gt;0.05*Constantes!$D$18,((Observaciones!$F623-0.05*Constantes!$D$18)^2)/(Observaciones!$F623+0.95*Constantes!$D$18),0)</f>
        <v>0</v>
      </c>
      <c r="G624" s="76">
        <f>MAX(0,H623+Observaciones!$F623-F624-Constantes!$D$13)</f>
        <v>0</v>
      </c>
      <c r="H624" s="76">
        <f>H623+Observaciones!$F623-F624-E624-G624-I623</f>
        <v>11.25</v>
      </c>
      <c r="I624" s="76">
        <f>MAX(0,(H624-Constantes!$D$14)*(1-EXP(-Constantes!$D$22)))</f>
        <v>0</v>
      </c>
      <c r="J624" s="76">
        <f t="shared" si="27"/>
        <v>70.067582112265526</v>
      </c>
      <c r="K624" s="76">
        <f>MAX(0,(J624-Constantes!$D$13)*(1-EXP(-Constantes!$D$23)))</f>
        <v>0.21004721400462839</v>
      </c>
      <c r="L624" s="76">
        <f t="shared" si="28"/>
        <v>0.21004721400462839</v>
      </c>
      <c r="M624" s="76">
        <f>0.0526*F624*Observaciones!$F623^1.218</f>
        <v>0</v>
      </c>
      <c r="N624" s="76">
        <f>M624*Constantes!$D$51</f>
        <v>0</v>
      </c>
      <c r="O624" s="76">
        <f t="shared" si="29"/>
        <v>0</v>
      </c>
      <c r="P624" s="15"/>
      <c r="Q624" s="75">
        <v>618</v>
      </c>
      <c r="R624" s="76">
        <f>0.0526*Observaciones!$F623^2.218</f>
        <v>0</v>
      </c>
      <c r="S624" s="76">
        <f>IF(Observaciones!$F623&gt;0.05*$W$7,((Observaciones!$F623-0.05*$W$7)^2)/(Observaciones!$F623+0.95*$W$7),0)</f>
        <v>0</v>
      </c>
      <c r="T624" s="76">
        <f>0.0526*S624*Observaciones!$F623^1.218</f>
        <v>0</v>
      </c>
      <c r="U624" s="29"/>
      <c r="V624" s="29"/>
      <c r="W624" s="109"/>
      <c r="X624" s="40"/>
    </row>
    <row r="625" spans="2:24" s="2" customFormat="1">
      <c r="B625" s="39"/>
      <c r="C625" s="75">
        <v>619</v>
      </c>
      <c r="D625" s="146">
        <f>ETo!$I624*((1-Constantes!$D$19)*ETo!$K624+ETo!$L624)</f>
        <v>3.5701904961221786</v>
      </c>
      <c r="E625" s="76">
        <f>MIN(D625*Constantes!$D$17,0.8*(H624+Observaciones!$F624-F625-G625-Constantes!$D$14))</f>
        <v>0</v>
      </c>
      <c r="F625" s="76">
        <f>IF(Observaciones!$F624&gt;0.05*Constantes!$D$18,((Observaciones!$F624-0.05*Constantes!$D$18)^2)/(Observaciones!$F624+0.95*Constantes!$D$18),0)</f>
        <v>0</v>
      </c>
      <c r="G625" s="76">
        <f>MAX(0,H624+Observaciones!$F624-F625-Constantes!$D$13)</f>
        <v>0</v>
      </c>
      <c r="H625" s="76">
        <f>H624+Observaciones!$F624-F625-E625-G625-I624</f>
        <v>11.25</v>
      </c>
      <c r="I625" s="76">
        <f>MAX(0,(H625-Constantes!$D$14)*(1-EXP(-Constantes!$D$22)))</f>
        <v>0</v>
      </c>
      <c r="J625" s="76">
        <f t="shared" si="27"/>
        <v>69.857534898260894</v>
      </c>
      <c r="K625" s="76">
        <f>MAX(0,(J625-Constantes!$D$13)*(1-EXP(-Constantes!$D$23)))</f>
        <v>0.20797756877569215</v>
      </c>
      <c r="L625" s="76">
        <f t="shared" si="28"/>
        <v>0.20797756877569215</v>
      </c>
      <c r="M625" s="76">
        <f>0.0526*F625*Observaciones!$F624^1.218</f>
        <v>0</v>
      </c>
      <c r="N625" s="76">
        <f>M625*Constantes!$D$51</f>
        <v>0</v>
      </c>
      <c r="O625" s="76">
        <f t="shared" si="29"/>
        <v>0</v>
      </c>
      <c r="P625" s="15"/>
      <c r="Q625" s="75">
        <v>619</v>
      </c>
      <c r="R625" s="76">
        <f>0.0526*Observaciones!$F624^2.218</f>
        <v>0</v>
      </c>
      <c r="S625" s="76">
        <f>IF(Observaciones!$F624&gt;0.05*$W$7,((Observaciones!$F624-0.05*$W$7)^2)/(Observaciones!$F624+0.95*$W$7),0)</f>
        <v>0</v>
      </c>
      <c r="T625" s="76">
        <f>0.0526*S625*Observaciones!$F624^1.218</f>
        <v>0</v>
      </c>
      <c r="U625" s="29"/>
      <c r="V625" s="29"/>
      <c r="W625" s="109"/>
      <c r="X625" s="40"/>
    </row>
    <row r="626" spans="2:24" s="2" customFormat="1">
      <c r="B626" s="39"/>
      <c r="C626" s="75">
        <v>620</v>
      </c>
      <c r="D626" s="146">
        <f>ETo!$I625*((1-Constantes!$D$19)*ETo!$K625+ETo!$L625)</f>
        <v>3.6485755405643667</v>
      </c>
      <c r="E626" s="76">
        <f>MIN(D626*Constantes!$D$17,0.8*(H625+Observaciones!$F625-F626-G626-Constantes!$D$14))</f>
        <v>0</v>
      </c>
      <c r="F626" s="76">
        <f>IF(Observaciones!$F625&gt;0.05*Constantes!$D$18,((Observaciones!$F625-0.05*Constantes!$D$18)^2)/(Observaciones!$F625+0.95*Constantes!$D$18),0)</f>
        <v>0</v>
      </c>
      <c r="G626" s="76">
        <f>MAX(0,H625+Observaciones!$F625-F626-Constantes!$D$13)</f>
        <v>0</v>
      </c>
      <c r="H626" s="76">
        <f>H625+Observaciones!$F625-F626-E626-G626-I625</f>
        <v>11.25</v>
      </c>
      <c r="I626" s="76">
        <f>MAX(0,(H626-Constantes!$D$14)*(1-EXP(-Constantes!$D$22)))</f>
        <v>0</v>
      </c>
      <c r="J626" s="76">
        <f t="shared" si="27"/>
        <v>69.649557329485205</v>
      </c>
      <c r="K626" s="76">
        <f>MAX(0,(J626-Constantes!$D$13)*(1-EXP(-Constantes!$D$23)))</f>
        <v>0.20592831625414776</v>
      </c>
      <c r="L626" s="76">
        <f t="shared" si="28"/>
        <v>0.20592831625414776</v>
      </c>
      <c r="M626" s="76">
        <f>0.0526*F626*Observaciones!$F625^1.218</f>
        <v>0</v>
      </c>
      <c r="N626" s="76">
        <f>M626*Constantes!$D$51</f>
        <v>0</v>
      </c>
      <c r="O626" s="76">
        <f t="shared" si="29"/>
        <v>0</v>
      </c>
      <c r="P626" s="15"/>
      <c r="Q626" s="75">
        <v>620</v>
      </c>
      <c r="R626" s="76">
        <f>0.0526*Observaciones!$F625^2.218</f>
        <v>0</v>
      </c>
      <c r="S626" s="76">
        <f>IF(Observaciones!$F625&gt;0.05*$W$7,((Observaciones!$F625-0.05*$W$7)^2)/(Observaciones!$F625+0.95*$W$7),0)</f>
        <v>0</v>
      </c>
      <c r="T626" s="76">
        <f>0.0526*S626*Observaciones!$F625^1.218</f>
        <v>0</v>
      </c>
      <c r="U626" s="29"/>
      <c r="V626" s="29"/>
      <c r="W626" s="109"/>
      <c r="X626" s="40"/>
    </row>
    <row r="627" spans="2:24" s="2" customFormat="1">
      <c r="B627" s="39"/>
      <c r="C627" s="75">
        <v>621</v>
      </c>
      <c r="D627" s="146">
        <f>ETo!$I626*((1-Constantes!$D$19)*ETo!$K626+ETo!$L626)</f>
        <v>3.5937567155413812</v>
      </c>
      <c r="E627" s="76">
        <f>MIN(D627*Constantes!$D$17,0.8*(H626+Observaciones!$F626-F627-G627-Constantes!$D$14))</f>
        <v>0</v>
      </c>
      <c r="F627" s="76">
        <f>IF(Observaciones!$F626&gt;0.05*Constantes!$D$18,((Observaciones!$F626-0.05*Constantes!$D$18)^2)/(Observaciones!$F626+0.95*Constantes!$D$18),0)</f>
        <v>0</v>
      </c>
      <c r="G627" s="76">
        <f>MAX(0,H626+Observaciones!$F626-F627-Constantes!$D$13)</f>
        <v>0</v>
      </c>
      <c r="H627" s="76">
        <f>H626+Observaciones!$F626-F627-E627-G627-I626</f>
        <v>11.25</v>
      </c>
      <c r="I627" s="76">
        <f>MAX(0,(H627-Constantes!$D$14)*(1-EXP(-Constantes!$D$22)))</f>
        <v>0</v>
      </c>
      <c r="J627" s="76">
        <f t="shared" si="27"/>
        <v>69.44362901323106</v>
      </c>
      <c r="K627" s="76">
        <f>MAX(0,(J627-Constantes!$D$13)*(1-EXP(-Constantes!$D$23)))</f>
        <v>0.2038992555057921</v>
      </c>
      <c r="L627" s="76">
        <f t="shared" si="28"/>
        <v>0.2038992555057921</v>
      </c>
      <c r="M627" s="76">
        <f>0.0526*F627*Observaciones!$F626^1.218</f>
        <v>0</v>
      </c>
      <c r="N627" s="76">
        <f>M627*Constantes!$D$51</f>
        <v>0</v>
      </c>
      <c r="O627" s="76">
        <f t="shared" si="29"/>
        <v>0</v>
      </c>
      <c r="P627" s="15"/>
      <c r="Q627" s="75">
        <v>621</v>
      </c>
      <c r="R627" s="76">
        <f>0.0526*Observaciones!$F626^2.218</f>
        <v>0</v>
      </c>
      <c r="S627" s="76">
        <f>IF(Observaciones!$F626&gt;0.05*$W$7,((Observaciones!$F626-0.05*$W$7)^2)/(Observaciones!$F626+0.95*$W$7),0)</f>
        <v>0</v>
      </c>
      <c r="T627" s="76">
        <f>0.0526*S627*Observaciones!$F626^1.218</f>
        <v>0</v>
      </c>
      <c r="U627" s="29"/>
      <c r="V627" s="29"/>
      <c r="W627" s="109"/>
      <c r="X627" s="40"/>
    </row>
    <row r="628" spans="2:24" s="2" customFormat="1">
      <c r="B628" s="39"/>
      <c r="C628" s="75">
        <v>622</v>
      </c>
      <c r="D628" s="146">
        <f>ETo!$I627*((1-Constantes!$D$19)*ETo!$K627+ETo!$L627)</f>
        <v>3.5815971489727838</v>
      </c>
      <c r="E628" s="76">
        <f>MIN(D628*Constantes!$D$17,0.8*(H627+Observaciones!$F627-F628-G628-Constantes!$D$14))</f>
        <v>0</v>
      </c>
      <c r="F628" s="76">
        <f>IF(Observaciones!$F627&gt;0.05*Constantes!$D$18,((Observaciones!$F627-0.05*Constantes!$D$18)^2)/(Observaciones!$F627+0.95*Constantes!$D$18),0)</f>
        <v>0</v>
      </c>
      <c r="G628" s="76">
        <f>MAX(0,H627+Observaciones!$F627-F628-Constantes!$D$13)</f>
        <v>0</v>
      </c>
      <c r="H628" s="76">
        <f>H627+Observaciones!$F627-F628-E628-G628-I627</f>
        <v>11.25</v>
      </c>
      <c r="I628" s="76">
        <f>MAX(0,(H628-Constantes!$D$14)*(1-EXP(-Constantes!$D$22)))</f>
        <v>0</v>
      </c>
      <c r="J628" s="76">
        <f t="shared" si="27"/>
        <v>69.239729757725271</v>
      </c>
      <c r="K628" s="76">
        <f>MAX(0,(J628-Constantes!$D$13)*(1-EXP(-Constantes!$D$23)))</f>
        <v>0.20189018757627458</v>
      </c>
      <c r="L628" s="76">
        <f t="shared" si="28"/>
        <v>0.20189018757627458</v>
      </c>
      <c r="M628" s="76">
        <f>0.0526*F628*Observaciones!$F627^1.218</f>
        <v>0</v>
      </c>
      <c r="N628" s="76">
        <f>M628*Constantes!$D$51</f>
        <v>0</v>
      </c>
      <c r="O628" s="76">
        <f t="shared" si="29"/>
        <v>0</v>
      </c>
      <c r="P628" s="15"/>
      <c r="Q628" s="75">
        <v>622</v>
      </c>
      <c r="R628" s="76">
        <f>0.0526*Observaciones!$F627^2.218</f>
        <v>0</v>
      </c>
      <c r="S628" s="76">
        <f>IF(Observaciones!$F627&gt;0.05*$W$7,((Observaciones!$F627-0.05*$W$7)^2)/(Observaciones!$F627+0.95*$W$7),0)</f>
        <v>0</v>
      </c>
      <c r="T628" s="76">
        <f>0.0526*S628*Observaciones!$F627^1.218</f>
        <v>0</v>
      </c>
      <c r="U628" s="29"/>
      <c r="V628" s="29"/>
      <c r="W628" s="109"/>
      <c r="X628" s="40"/>
    </row>
    <row r="629" spans="2:24" s="2" customFormat="1">
      <c r="B629" s="39"/>
      <c r="C629" s="75">
        <v>623</v>
      </c>
      <c r="D629" s="146">
        <f>ETo!$I628*((1-Constantes!$D$19)*ETo!$K628+ETo!$L628)</f>
        <v>3.5848326058343072</v>
      </c>
      <c r="E629" s="76">
        <f>MIN(D629*Constantes!$D$17,0.8*(H628+Observaciones!$F628-F629-G629-Constantes!$D$14))</f>
        <v>0.4</v>
      </c>
      <c r="F629" s="76">
        <f>IF(Observaciones!$F628&gt;0.05*Constantes!$D$18,((Observaciones!$F628-0.05*Constantes!$D$18)^2)/(Observaciones!$F628+0.95*Constantes!$D$18),0)</f>
        <v>0</v>
      </c>
      <c r="G629" s="76">
        <f>MAX(0,H628+Observaciones!$F628-F629-Constantes!$D$13)</f>
        <v>0</v>
      </c>
      <c r="H629" s="76">
        <f>H628+Observaciones!$F628-F629-E629-G629-I628</f>
        <v>11.35</v>
      </c>
      <c r="I629" s="76">
        <f>MAX(0,(H629-Constantes!$D$14)*(1-EXP(-Constantes!$D$22)))</f>
        <v>3.406367107515428E-3</v>
      </c>
      <c r="J629" s="76">
        <f t="shared" si="27"/>
        <v>69.037839570149004</v>
      </c>
      <c r="K629" s="76">
        <f>MAX(0,(J629-Constantes!$D$13)*(1-EXP(-Constantes!$D$23)))</f>
        <v>0.19990091547158934</v>
      </c>
      <c r="L629" s="76">
        <f t="shared" si="28"/>
        <v>0.20330728257910477</v>
      </c>
      <c r="M629" s="76">
        <f>0.0526*F629*Observaciones!$F628^1.218</f>
        <v>0</v>
      </c>
      <c r="N629" s="76">
        <f>M629*Constantes!$D$51</f>
        <v>0</v>
      </c>
      <c r="O629" s="76">
        <f t="shared" si="29"/>
        <v>0</v>
      </c>
      <c r="P629" s="15"/>
      <c r="Q629" s="75">
        <v>623</v>
      </c>
      <c r="R629" s="76">
        <f>0.0526*Observaciones!$F628^2.218</f>
        <v>1.1305797794095535E-2</v>
      </c>
      <c r="S629" s="76">
        <f>IF(Observaciones!$F628&gt;0.05*$W$7,((Observaciones!$F628-0.05*$W$7)^2)/(Observaciones!$F628+0.95*$W$7),0)</f>
        <v>0</v>
      </c>
      <c r="T629" s="76">
        <f>0.0526*S629*Observaciones!$F628^1.218</f>
        <v>0</v>
      </c>
      <c r="U629" s="29"/>
      <c r="V629" s="29"/>
      <c r="W629" s="109"/>
      <c r="X629" s="40"/>
    </row>
    <row r="630" spans="2:24" s="2" customFormat="1">
      <c r="B630" s="39"/>
      <c r="C630" s="75">
        <v>624</v>
      </c>
      <c r="D630" s="146">
        <f>ETo!$I629*((1-Constantes!$D$19)*ETo!$K629+ETo!$L629)</f>
        <v>3.7664414592248701</v>
      </c>
      <c r="E630" s="76">
        <f>MIN(D630*Constantes!$D$17,0.8*(H629+Observaciones!$F629-F630-G630-Constantes!$D$14))</f>
        <v>7.9999999999999724E-2</v>
      </c>
      <c r="F630" s="76">
        <f>IF(Observaciones!$F629&gt;0.05*Constantes!$D$18,((Observaciones!$F629-0.05*Constantes!$D$18)^2)/(Observaciones!$F629+0.95*Constantes!$D$18),0)</f>
        <v>0</v>
      </c>
      <c r="G630" s="76">
        <f>MAX(0,H629+Observaciones!$F629-F630-Constantes!$D$13)</f>
        <v>0</v>
      </c>
      <c r="H630" s="76">
        <f>H629+Observaciones!$F629-F630-E630-G630-I629</f>
        <v>11.266593632892484</v>
      </c>
      <c r="I630" s="76">
        <f>MAX(0,(H630-Constantes!$D$14)*(1-EXP(-Constantes!$D$22)))</f>
        <v>5.6524005279142461E-4</v>
      </c>
      <c r="J630" s="76">
        <f t="shared" si="27"/>
        <v>68.837938654677416</v>
      </c>
      <c r="K630" s="76">
        <f>MAX(0,(J630-Constantes!$D$13)*(1-EXP(-Constantes!$D$23)))</f>
        <v>0.1979312441387592</v>
      </c>
      <c r="L630" s="76">
        <f t="shared" si="28"/>
        <v>0.19849648419155064</v>
      </c>
      <c r="M630" s="76">
        <f>0.0526*F630*Observaciones!$F629^1.218</f>
        <v>0</v>
      </c>
      <c r="N630" s="76">
        <f>M630*Constantes!$D$51</f>
        <v>0</v>
      </c>
      <c r="O630" s="76">
        <f t="shared" si="29"/>
        <v>0</v>
      </c>
      <c r="P630" s="15"/>
      <c r="Q630" s="75">
        <v>624</v>
      </c>
      <c r="R630" s="76">
        <f>0.0526*Observaciones!$F629^2.218</f>
        <v>0</v>
      </c>
      <c r="S630" s="76">
        <f>IF(Observaciones!$F629&gt;0.05*$W$7,((Observaciones!$F629-0.05*$W$7)^2)/(Observaciones!$F629+0.95*$W$7),0)</f>
        <v>0</v>
      </c>
      <c r="T630" s="76">
        <f>0.0526*S630*Observaciones!$F629^1.218</f>
        <v>0</v>
      </c>
      <c r="U630" s="29"/>
      <c r="V630" s="29"/>
      <c r="W630" s="109"/>
      <c r="X630" s="40"/>
    </row>
    <row r="631" spans="2:24" s="2" customFormat="1">
      <c r="B631" s="39"/>
      <c r="C631" s="75">
        <v>625</v>
      </c>
      <c r="D631" s="146">
        <f>ETo!$I630*((1-Constantes!$D$19)*ETo!$K630+ETo!$L630)</f>
        <v>3.7856460326149723</v>
      </c>
      <c r="E631" s="76">
        <f>MIN(D631*Constantes!$D$17,0.8*(H630+Observaciones!$F630-F631-G631-Constantes!$D$14))</f>
        <v>1.327490631398689E-2</v>
      </c>
      <c r="F631" s="76">
        <f>IF(Observaciones!$F630&gt;0.05*Constantes!$D$18,((Observaciones!$F630-0.05*Constantes!$D$18)^2)/(Observaciones!$F630+0.95*Constantes!$D$18),0)</f>
        <v>0</v>
      </c>
      <c r="G631" s="76">
        <f>MAX(0,H630+Observaciones!$F630-F631-Constantes!$D$13)</f>
        <v>0</v>
      </c>
      <c r="H631" s="76">
        <f>H630+Observaciones!$F630-F631-E631-G631-I630</f>
        <v>11.252753486525705</v>
      </c>
      <c r="I631" s="76">
        <f>MAX(0,(H631-Constantes!$D$14)*(1-EXP(-Constantes!$D$22)))</f>
        <v>9.379385932149447E-5</v>
      </c>
      <c r="J631" s="76">
        <f t="shared" si="27"/>
        <v>68.640007410538658</v>
      </c>
      <c r="K631" s="76">
        <f>MAX(0,(J631-Constantes!$D$13)*(1-EXP(-Constantes!$D$23)))</f>
        <v>0.19598098044671061</v>
      </c>
      <c r="L631" s="76">
        <f t="shared" si="28"/>
        <v>0.1960747743060321</v>
      </c>
      <c r="M631" s="76">
        <f>0.0526*F631*Observaciones!$F630^1.218</f>
        <v>0</v>
      </c>
      <c r="N631" s="76">
        <f>M631*Constantes!$D$51</f>
        <v>0</v>
      </c>
      <c r="O631" s="76">
        <f t="shared" si="29"/>
        <v>0</v>
      </c>
      <c r="P631" s="15"/>
      <c r="Q631" s="75">
        <v>625</v>
      </c>
      <c r="R631" s="76">
        <f>0.0526*Observaciones!$F630^2.218</f>
        <v>0</v>
      </c>
      <c r="S631" s="76">
        <f>IF(Observaciones!$F630&gt;0.05*$W$7,((Observaciones!$F630-0.05*$W$7)^2)/(Observaciones!$F630+0.95*$W$7),0)</f>
        <v>0</v>
      </c>
      <c r="T631" s="76">
        <f>0.0526*S631*Observaciones!$F630^1.218</f>
        <v>0</v>
      </c>
      <c r="U631" s="29"/>
      <c r="V631" s="29"/>
      <c r="W631" s="109"/>
      <c r="X631" s="40"/>
    </row>
    <row r="632" spans="2:24" s="2" customFormat="1">
      <c r="B632" s="39"/>
      <c r="C632" s="75">
        <v>626</v>
      </c>
      <c r="D632" s="146">
        <f>ETo!$I631*((1-Constantes!$D$19)*ETo!$K631+ETo!$L631)</f>
        <v>3.7485597097446637</v>
      </c>
      <c r="E632" s="76">
        <f>MIN(D632*Constantes!$D$17,0.8*(H631+Observaciones!$F631-F632-G632-Constantes!$D$14))</f>
        <v>2.2027892205642276E-3</v>
      </c>
      <c r="F632" s="76">
        <f>IF(Observaciones!$F631&gt;0.05*Constantes!$D$18,((Observaciones!$F631-0.05*Constantes!$D$18)^2)/(Observaciones!$F631+0.95*Constantes!$D$18),0)</f>
        <v>0</v>
      </c>
      <c r="G632" s="76">
        <f>MAX(0,H631+Observaciones!$F631-F632-Constantes!$D$13)</f>
        <v>0</v>
      </c>
      <c r="H632" s="76">
        <f>H631+Observaciones!$F631-F632-E632-G632-I631</f>
        <v>11.250456903445819</v>
      </c>
      <c r="I632" s="76">
        <f>MAX(0,(H632-Constantes!$D$14)*(1-EXP(-Constantes!$D$22)))</f>
        <v>1.5563808691492545E-5</v>
      </c>
      <c r="J632" s="76">
        <f t="shared" si="27"/>
        <v>68.444026430091952</v>
      </c>
      <c r="K632" s="76">
        <f>MAX(0,(J632-Constantes!$D$13)*(1-EXP(-Constantes!$D$23)))</f>
        <v>0.19404993316733643</v>
      </c>
      <c r="L632" s="76">
        <f t="shared" si="28"/>
        <v>0.19406549697602793</v>
      </c>
      <c r="M632" s="76">
        <f>0.0526*F632*Observaciones!$F631^1.218</f>
        <v>0</v>
      </c>
      <c r="N632" s="76">
        <f>M632*Constantes!$D$51</f>
        <v>0</v>
      </c>
      <c r="O632" s="76">
        <f t="shared" si="29"/>
        <v>0</v>
      </c>
      <c r="P632" s="15"/>
      <c r="Q632" s="75">
        <v>626</v>
      </c>
      <c r="R632" s="76">
        <f>0.0526*Observaciones!$F631^2.218</f>
        <v>0</v>
      </c>
      <c r="S632" s="76">
        <f>IF(Observaciones!$F631&gt;0.05*$W$7,((Observaciones!$F631-0.05*$W$7)^2)/(Observaciones!$F631+0.95*$W$7),0)</f>
        <v>0</v>
      </c>
      <c r="T632" s="76">
        <f>0.0526*S632*Observaciones!$F631^1.218</f>
        <v>0</v>
      </c>
      <c r="U632" s="29"/>
      <c r="V632" s="29"/>
      <c r="W632" s="109"/>
      <c r="X632" s="40"/>
    </row>
    <row r="633" spans="2:24" s="2" customFormat="1">
      <c r="B633" s="39"/>
      <c r="C633" s="75">
        <v>627</v>
      </c>
      <c r="D633" s="146">
        <f>ETo!$I632*((1-Constantes!$D$19)*ETo!$K632+ETo!$L632)</f>
        <v>3.8596994149209189</v>
      </c>
      <c r="E633" s="76">
        <f>MIN(D633*Constantes!$D$17,0.8*(H632+Observaciones!$F632-F633-G633-Constantes!$D$14))</f>
        <v>3.6552275665542312E-4</v>
      </c>
      <c r="F633" s="76">
        <f>IF(Observaciones!$F632&gt;0.05*Constantes!$D$18,((Observaciones!$F632-0.05*Constantes!$D$18)^2)/(Observaciones!$F632+0.95*Constantes!$D$18),0)</f>
        <v>0</v>
      </c>
      <c r="G633" s="76">
        <f>MAX(0,H632+Observaciones!$F632-F633-Constantes!$D$13)</f>
        <v>0</v>
      </c>
      <c r="H633" s="76">
        <f>H632+Observaciones!$F632-F633-E633-G633-I632</f>
        <v>11.250075816880472</v>
      </c>
      <c r="I633" s="76">
        <f>MAX(0,(H633-Constantes!$D$14)*(1-EXP(-Constantes!$D$22)))</f>
        <v>2.5826012783266771E-6</v>
      </c>
      <c r="J633" s="76">
        <f t="shared" si="27"/>
        <v>68.249976496924617</v>
      </c>
      <c r="K633" s="76">
        <f>MAX(0,(J633-Constantes!$D$13)*(1-EXP(-Constantes!$D$23)))</f>
        <v>0.19213791295674551</v>
      </c>
      <c r="L633" s="76">
        <f t="shared" si="28"/>
        <v>0.19214049555802384</v>
      </c>
      <c r="M633" s="76">
        <f>0.0526*F633*Observaciones!$F632^1.218</f>
        <v>0</v>
      </c>
      <c r="N633" s="76">
        <f>M633*Constantes!$D$51</f>
        <v>0</v>
      </c>
      <c r="O633" s="76">
        <f t="shared" si="29"/>
        <v>0</v>
      </c>
      <c r="P633" s="15"/>
      <c r="Q633" s="75">
        <v>627</v>
      </c>
      <c r="R633" s="76">
        <f>0.0526*Observaciones!$F632^2.218</f>
        <v>0</v>
      </c>
      <c r="S633" s="76">
        <f>IF(Observaciones!$F632&gt;0.05*$W$7,((Observaciones!$F632-0.05*$W$7)^2)/(Observaciones!$F632+0.95*$W$7),0)</f>
        <v>0</v>
      </c>
      <c r="T633" s="76">
        <f>0.0526*S633*Observaciones!$F632^1.218</f>
        <v>0</v>
      </c>
      <c r="U633" s="29"/>
      <c r="V633" s="29"/>
      <c r="W633" s="109"/>
      <c r="X633" s="40"/>
    </row>
    <row r="634" spans="2:24" s="2" customFormat="1">
      <c r="B634" s="39"/>
      <c r="C634" s="75">
        <v>628</v>
      </c>
      <c r="D634" s="146">
        <f>ETo!$I633*((1-Constantes!$D$19)*ETo!$K633+ETo!$L633)</f>
        <v>3.9513115831819272</v>
      </c>
      <c r="E634" s="76">
        <f>MIN(D634*Constantes!$D$17,0.8*(H633+Observaciones!$F633-F634-G634-Constantes!$D$14))</f>
        <v>6.0653504377228273E-5</v>
      </c>
      <c r="F634" s="76">
        <f>IF(Observaciones!$F633&gt;0.05*Constantes!$D$18,((Observaciones!$F633-0.05*Constantes!$D$18)^2)/(Observaciones!$F633+0.95*Constantes!$D$18),0)</f>
        <v>0</v>
      </c>
      <c r="G634" s="76">
        <f>MAX(0,H633+Observaciones!$F633-F634-Constantes!$D$13)</f>
        <v>0</v>
      </c>
      <c r="H634" s="76">
        <f>H633+Observaciones!$F633-F634-E634-G634-I633</f>
        <v>11.250012580774817</v>
      </c>
      <c r="I634" s="76">
        <f>MAX(0,(H634-Constantes!$D$14)*(1-EXP(-Constantes!$D$22)))</f>
        <v>4.2854737522270467E-7</v>
      </c>
      <c r="J634" s="76">
        <f t="shared" si="27"/>
        <v>68.057838583967879</v>
      </c>
      <c r="K634" s="76">
        <f>MAX(0,(J634-Constantes!$D$13)*(1-EXP(-Constantes!$D$23)))</f>
        <v>0.19024473233669734</v>
      </c>
      <c r="L634" s="76">
        <f t="shared" si="28"/>
        <v>0.19024516088407256</v>
      </c>
      <c r="M634" s="76">
        <f>0.0526*F634*Observaciones!$F633^1.218</f>
        <v>0</v>
      </c>
      <c r="N634" s="76">
        <f>M634*Constantes!$D$51</f>
        <v>0</v>
      </c>
      <c r="O634" s="76">
        <f t="shared" si="29"/>
        <v>0</v>
      </c>
      <c r="P634" s="15"/>
      <c r="Q634" s="75">
        <v>628</v>
      </c>
      <c r="R634" s="76">
        <f>0.0526*Observaciones!$F633^2.218</f>
        <v>0</v>
      </c>
      <c r="S634" s="76">
        <f>IF(Observaciones!$F633&gt;0.05*$W$7,((Observaciones!$F633-0.05*$W$7)^2)/(Observaciones!$F633+0.95*$W$7),0)</f>
        <v>0</v>
      </c>
      <c r="T634" s="76">
        <f>0.0526*S634*Observaciones!$F633^1.218</f>
        <v>0</v>
      </c>
      <c r="U634" s="29"/>
      <c r="V634" s="29"/>
      <c r="W634" s="109"/>
      <c r="X634" s="40"/>
    </row>
    <row r="635" spans="2:24" s="2" customFormat="1">
      <c r="B635" s="39"/>
      <c r="C635" s="75">
        <v>629</v>
      </c>
      <c r="D635" s="146">
        <f>ETo!$I634*((1-Constantes!$D$19)*ETo!$K634+ETo!$L634)</f>
        <v>3.8766327729824872</v>
      </c>
      <c r="E635" s="76">
        <f>MIN(D635*Constantes!$D$17,0.8*(H634+Observaciones!$F634-F635-G635-Constantes!$D$14))</f>
        <v>1.0064619853267232E-5</v>
      </c>
      <c r="F635" s="76">
        <f>IF(Observaciones!$F634&gt;0.05*Constantes!$D$18,((Observaciones!$F634-0.05*Constantes!$D$18)^2)/(Observaciones!$F634+0.95*Constantes!$D$18),0)</f>
        <v>0</v>
      </c>
      <c r="G635" s="76">
        <f>MAX(0,H634+Observaciones!$F634-F635-Constantes!$D$13)</f>
        <v>0</v>
      </c>
      <c r="H635" s="76">
        <f>H634+Observaciones!$F634-F635-E635-G635-I634</f>
        <v>11.250002087607587</v>
      </c>
      <c r="I635" s="76">
        <f>MAX(0,(H635-Constantes!$D$14)*(1-EXP(-Constantes!$D$22)))</f>
        <v>7.1111578185816569E-8</v>
      </c>
      <c r="J635" s="76">
        <f t="shared" si="27"/>
        <v>67.867593851631185</v>
      </c>
      <c r="K635" s="76">
        <f>MAX(0,(J635-Constantes!$D$13)*(1-EXP(-Constantes!$D$23)))</f>
        <v>0.18837020567621895</v>
      </c>
      <c r="L635" s="76">
        <f t="shared" si="28"/>
        <v>0.18837027678779714</v>
      </c>
      <c r="M635" s="76">
        <f>0.0526*F635*Observaciones!$F634^1.218</f>
        <v>0</v>
      </c>
      <c r="N635" s="76">
        <f>M635*Constantes!$D$51</f>
        <v>0</v>
      </c>
      <c r="O635" s="76">
        <f t="shared" si="29"/>
        <v>0</v>
      </c>
      <c r="P635" s="15"/>
      <c r="Q635" s="75">
        <v>629</v>
      </c>
      <c r="R635" s="76">
        <f>0.0526*Observaciones!$F634^2.218</f>
        <v>0</v>
      </c>
      <c r="S635" s="76">
        <f>IF(Observaciones!$F634&gt;0.05*$W$7,((Observaciones!$F634-0.05*$W$7)^2)/(Observaciones!$F634+0.95*$W$7),0)</f>
        <v>0</v>
      </c>
      <c r="T635" s="76">
        <f>0.0526*S635*Observaciones!$F634^1.218</f>
        <v>0</v>
      </c>
      <c r="U635" s="29"/>
      <c r="V635" s="29"/>
      <c r="W635" s="109"/>
      <c r="X635" s="40"/>
    </row>
    <row r="636" spans="2:24" s="2" customFormat="1">
      <c r="B636" s="39"/>
      <c r="C636" s="75">
        <v>630</v>
      </c>
      <c r="D636" s="146">
        <f>ETo!$I635*((1-Constantes!$D$19)*ETo!$K635+ETo!$L635)</f>
        <v>3.8136108614765041</v>
      </c>
      <c r="E636" s="76">
        <f>MIN(D636*Constantes!$D$17,0.8*(H635+Observaciones!$F635-F636-G636-Constantes!$D$14))</f>
        <v>1.670086069793797E-6</v>
      </c>
      <c r="F636" s="76">
        <f>IF(Observaciones!$F635&gt;0.05*Constantes!$D$18,((Observaciones!$F635-0.05*Constantes!$D$18)^2)/(Observaciones!$F635+0.95*Constantes!$D$18),0)</f>
        <v>0</v>
      </c>
      <c r="G636" s="76">
        <f>MAX(0,H635+Observaciones!$F635-F636-Constantes!$D$13)</f>
        <v>0</v>
      </c>
      <c r="H636" s="76">
        <f>H635+Observaciones!$F635-F636-E636-G636-I635</f>
        <v>11.250000346409939</v>
      </c>
      <c r="I636" s="76">
        <f>MAX(0,(H636-Constantes!$D$14)*(1-EXP(-Constantes!$D$22)))</f>
        <v>1.1799994217763935E-8</v>
      </c>
      <c r="J636" s="76">
        <f t="shared" si="27"/>
        <v>67.679223645954963</v>
      </c>
      <c r="K636" s="76">
        <f>MAX(0,(J636-Constantes!$D$13)*(1-EXP(-Constantes!$D$23)))</f>
        <v>0.18651414917340367</v>
      </c>
      <c r="L636" s="76">
        <f t="shared" si="28"/>
        <v>0.18651416097339787</v>
      </c>
      <c r="M636" s="76">
        <f>0.0526*F636*Observaciones!$F635^1.218</f>
        <v>0</v>
      </c>
      <c r="N636" s="76">
        <f>M636*Constantes!$D$51</f>
        <v>0</v>
      </c>
      <c r="O636" s="76">
        <f t="shared" si="29"/>
        <v>0</v>
      </c>
      <c r="P636" s="15"/>
      <c r="Q636" s="75">
        <v>630</v>
      </c>
      <c r="R636" s="76">
        <f>0.0526*Observaciones!$F635^2.218</f>
        <v>0</v>
      </c>
      <c r="S636" s="76">
        <f>IF(Observaciones!$F635&gt;0.05*$W$7,((Observaciones!$F635-0.05*$W$7)^2)/(Observaciones!$F635+0.95*$W$7),0)</f>
        <v>0</v>
      </c>
      <c r="T636" s="76">
        <f>0.0526*S636*Observaciones!$F635^1.218</f>
        <v>0</v>
      </c>
      <c r="U636" s="29"/>
      <c r="V636" s="29"/>
      <c r="W636" s="109"/>
      <c r="X636" s="40"/>
    </row>
    <row r="637" spans="2:24" s="2" customFormat="1">
      <c r="B637" s="39"/>
      <c r="C637" s="75">
        <v>631</v>
      </c>
      <c r="D637" s="146">
        <f>ETo!$I636*((1-Constantes!$D$19)*ETo!$K636+ETo!$L636)</f>
        <v>3.7175349598058065</v>
      </c>
      <c r="E637" s="76">
        <f>MIN(D637*Constantes!$D$17,0.8*(H636+Observaciones!$F636-F637-G637-Constantes!$D$14))</f>
        <v>2.7712795116485725E-7</v>
      </c>
      <c r="F637" s="76">
        <f>IF(Observaciones!$F636&gt;0.05*Constantes!$D$18,((Observaciones!$F636-0.05*Constantes!$D$18)^2)/(Observaciones!$F636+0.95*Constantes!$D$18),0)</f>
        <v>0</v>
      </c>
      <c r="G637" s="76">
        <f>MAX(0,H636+Observaciones!$F636-F637-Constantes!$D$13)</f>
        <v>0</v>
      </c>
      <c r="H637" s="76">
        <f>H636+Observaciones!$F636-F637-E637-G637-I636</f>
        <v>11.250000057481994</v>
      </c>
      <c r="I637" s="76">
        <f>MAX(0,(H637-Constantes!$D$14)*(1-EXP(-Constantes!$D$22)))</f>
        <v>1.9580477457471514E-9</v>
      </c>
      <c r="J637" s="76">
        <f t="shared" si="27"/>
        <v>67.492709496781558</v>
      </c>
      <c r="K637" s="76">
        <f>MAX(0,(J637-Constantes!$D$13)*(1-EXP(-Constantes!$D$23)))</f>
        <v>0.18467638083738885</v>
      </c>
      <c r="L637" s="76">
        <f t="shared" si="28"/>
        <v>0.18467638279543661</v>
      </c>
      <c r="M637" s="76">
        <f>0.0526*F637*Observaciones!$F636^1.218</f>
        <v>0</v>
      </c>
      <c r="N637" s="76">
        <f>M637*Constantes!$D$51</f>
        <v>0</v>
      </c>
      <c r="O637" s="76">
        <f t="shared" si="29"/>
        <v>0</v>
      </c>
      <c r="P637" s="15"/>
      <c r="Q637" s="75">
        <v>631</v>
      </c>
      <c r="R637" s="76">
        <f>0.0526*Observaciones!$F636^2.218</f>
        <v>0</v>
      </c>
      <c r="S637" s="76">
        <f>IF(Observaciones!$F636&gt;0.05*$W$7,((Observaciones!$F636-0.05*$W$7)^2)/(Observaciones!$F636+0.95*$W$7),0)</f>
        <v>0</v>
      </c>
      <c r="T637" s="76">
        <f>0.0526*S637*Observaciones!$F636^1.218</f>
        <v>0</v>
      </c>
      <c r="U637" s="29"/>
      <c r="V637" s="29"/>
      <c r="W637" s="109"/>
      <c r="X637" s="40"/>
    </row>
    <row r="638" spans="2:24" s="2" customFormat="1">
      <c r="B638" s="39"/>
      <c r="C638" s="75">
        <v>632</v>
      </c>
      <c r="D638" s="146">
        <f>ETo!$I637*((1-Constantes!$D$19)*ETo!$K637+ETo!$L637)</f>
        <v>3.7835632137366155</v>
      </c>
      <c r="E638" s="76">
        <f>MIN(D638*Constantes!$D$17,0.8*(H637+Observaciones!$F637-F638-G638-Constantes!$D$14))</f>
        <v>1.6000000459855954</v>
      </c>
      <c r="F638" s="76">
        <f>IF(Observaciones!$F637&gt;0.05*Constantes!$D$18,((Observaciones!$F637-0.05*Constantes!$D$18)^2)/(Observaciones!$F637+0.95*Constantes!$D$18),0)</f>
        <v>0</v>
      </c>
      <c r="G638" s="76">
        <f>MAX(0,H637+Observaciones!$F637-F638-Constantes!$D$13)</f>
        <v>0</v>
      </c>
      <c r="H638" s="76">
        <f>H637+Observaciones!$F637-F638-E638-G638-I637</f>
        <v>11.650000009538351</v>
      </c>
      <c r="I638" s="76">
        <f>MAX(0,(H638-Constantes!$D$14)*(1-EXP(-Constantes!$D$22)))</f>
        <v>1.3625468754973008E-2</v>
      </c>
      <c r="J638" s="76">
        <f t="shared" si="27"/>
        <v>67.30803311594417</v>
      </c>
      <c r="K638" s="76">
        <f>MAX(0,(J638-Constantes!$D$13)*(1-EXP(-Constantes!$D$23)))</f>
        <v>0.18285672047051113</v>
      </c>
      <c r="L638" s="76">
        <f t="shared" si="28"/>
        <v>0.19648218922548413</v>
      </c>
      <c r="M638" s="76">
        <f>0.0526*F638*Observaciones!$F637^1.218</f>
        <v>0</v>
      </c>
      <c r="N638" s="76">
        <f>M638*Constantes!$D$51</f>
        <v>0</v>
      </c>
      <c r="O638" s="76">
        <f t="shared" si="29"/>
        <v>0</v>
      </c>
      <c r="P638" s="15"/>
      <c r="Q638" s="75">
        <v>632</v>
      </c>
      <c r="R638" s="76">
        <f>0.0526*Observaciones!$F637^2.218</f>
        <v>0.24472045674166781</v>
      </c>
      <c r="S638" s="76">
        <f>IF(Observaciones!$F637&gt;0.05*$W$7,((Observaciones!$F637-0.05*$W$7)^2)/(Observaciones!$F637+0.95*$W$7),0)</f>
        <v>2.0605192437462322E-3</v>
      </c>
      <c r="T638" s="76">
        <f>0.0526*S638*Observaciones!$F637^1.218</f>
        <v>2.5212560522728692E-4</v>
      </c>
      <c r="U638" s="29"/>
      <c r="V638" s="29"/>
      <c r="W638" s="109"/>
      <c r="X638" s="40"/>
    </row>
    <row r="639" spans="2:24" s="2" customFormat="1">
      <c r="B639" s="39"/>
      <c r="C639" s="75">
        <v>633</v>
      </c>
      <c r="D639" s="146">
        <f>ETo!$I638*((1-Constantes!$D$19)*ETo!$K638+ETo!$L638)</f>
        <v>3.7924504547151034</v>
      </c>
      <c r="E639" s="76">
        <f>MIN(D639*Constantes!$D$17,0.8*(H638+Observaciones!$F638-F639-G639-Constantes!$D$14))</f>
        <v>1.9337096251414272</v>
      </c>
      <c r="F639" s="76">
        <f>IF(Observaciones!$F638&gt;0.05*Constantes!$D$18,((Observaciones!$F638-0.05*Constantes!$D$18)^2)/(Observaciones!$F638+0.95*Constantes!$D$18),0)</f>
        <v>9.9136846920689532E-3</v>
      </c>
      <c r="G639" s="76">
        <f>MAX(0,H638+Observaciones!$F638-F639-Constantes!$D$13)</f>
        <v>0</v>
      </c>
      <c r="H639" s="76">
        <f>H638+Observaciones!$F638-F639-E639-G639-I638</f>
        <v>14.192751230949883</v>
      </c>
      <c r="I639" s="76">
        <f>MAX(0,(H639-Constantes!$D$14)*(1-EXP(-Constantes!$D$22)))</f>
        <v>0.10024090998708253</v>
      </c>
      <c r="J639" s="76">
        <f t="shared" si="27"/>
        <v>67.125176395473659</v>
      </c>
      <c r="K639" s="76">
        <f>MAX(0,(J639-Constantes!$D$13)*(1-EXP(-Constantes!$D$23)))</f>
        <v>0.1810549896506376</v>
      </c>
      <c r="L639" s="76">
        <f t="shared" si="28"/>
        <v>0.29120958432978905</v>
      </c>
      <c r="M639" s="76">
        <f>0.0526*F639*Observaciones!$F638^1.218</f>
        <v>3.2571194641415027E-3</v>
      </c>
      <c r="N639" s="76">
        <f>M639*Constantes!$D$51</f>
        <v>4.5794762485582542E-5</v>
      </c>
      <c r="O639" s="76">
        <f t="shared" si="29"/>
        <v>15.725705797416643</v>
      </c>
      <c r="P639" s="15"/>
      <c r="Q639" s="75">
        <v>633</v>
      </c>
      <c r="R639" s="76">
        <f>0.0526*Observaciones!$F638^2.218</f>
        <v>1.4784651765617014</v>
      </c>
      <c r="S639" s="76">
        <f>IF(Observaciones!$F638&gt;0.05*$W$7,((Observaciones!$F638-0.05*$W$7)^2)/(Observaciones!$F638+0.95*$W$7),0)</f>
        <v>0.20486361979252987</v>
      </c>
      <c r="T639" s="76">
        <f>0.0526*S639*Observaciones!$F638^1.218</f>
        <v>6.7307495068362658E-2</v>
      </c>
      <c r="U639" s="29"/>
      <c r="V639" s="29"/>
      <c r="W639" s="109"/>
      <c r="X639" s="40"/>
    </row>
    <row r="640" spans="2:24" s="2" customFormat="1">
      <c r="B640" s="39"/>
      <c r="C640" s="75">
        <v>634</v>
      </c>
      <c r="D640" s="146">
        <f>ETo!$I639*((1-Constantes!$D$19)*ETo!$K639+ETo!$L639)</f>
        <v>3.7723644130734062</v>
      </c>
      <c r="E640" s="76">
        <f>MIN(D640*Constantes!$D$17,0.8*(H639+Observaciones!$F639-F640-G640-Constantes!$D$14))</f>
        <v>1.9234680748516266</v>
      </c>
      <c r="F640" s="76">
        <f>IF(Observaciones!$F639&gt;0.05*Constantes!$D$18,((Observaciones!$F639-0.05*Constantes!$D$18)^2)/(Observaciones!$F639+0.95*Constantes!$D$18),0)</f>
        <v>0</v>
      </c>
      <c r="G640" s="76">
        <f>MAX(0,H639+Observaciones!$F639-F640-Constantes!$D$13)</f>
        <v>0</v>
      </c>
      <c r="H640" s="76">
        <f>H639+Observaciones!$F639-F640-E640-G640-I639</f>
        <v>12.169042246111173</v>
      </c>
      <c r="I640" s="76">
        <f>MAX(0,(H640-Constantes!$D$14)*(1-EXP(-Constantes!$D$22)))</f>
        <v>3.1305952775702105E-2</v>
      </c>
      <c r="J640" s="76">
        <f t="shared" si="27"/>
        <v>66.944121405823026</v>
      </c>
      <c r="K640" s="76">
        <f>MAX(0,(J640-Constantes!$D$13)*(1-EXP(-Constantes!$D$23)))</f>
        <v>0.17927101171367113</v>
      </c>
      <c r="L640" s="76">
        <f t="shared" si="28"/>
        <v>0.21057696448937324</v>
      </c>
      <c r="M640" s="76">
        <f>0.0526*F640*Observaciones!$F639^1.218</f>
        <v>0</v>
      </c>
      <c r="N640" s="76">
        <f>M640*Constantes!$D$51</f>
        <v>0</v>
      </c>
      <c r="O640" s="76">
        <f t="shared" si="29"/>
        <v>0</v>
      </c>
      <c r="P640" s="15"/>
      <c r="Q640" s="75">
        <v>634</v>
      </c>
      <c r="R640" s="76">
        <f>0.0526*Observaciones!$F639^2.218</f>
        <v>0</v>
      </c>
      <c r="S640" s="76">
        <f>IF(Observaciones!$F639&gt;0.05*$W$7,((Observaciones!$F639-0.05*$W$7)^2)/(Observaciones!$F639+0.95*$W$7),0)</f>
        <v>0</v>
      </c>
      <c r="T640" s="76">
        <f>0.0526*S640*Observaciones!$F639^1.218</f>
        <v>0</v>
      </c>
      <c r="U640" s="29"/>
      <c r="V640" s="29"/>
      <c r="W640" s="109"/>
      <c r="X640" s="40"/>
    </row>
    <row r="641" spans="2:24" s="2" customFormat="1">
      <c r="B641" s="39"/>
      <c r="C641" s="75">
        <v>635</v>
      </c>
      <c r="D641" s="146">
        <f>ETo!$I640*((1-Constantes!$D$19)*ETo!$K640+ETo!$L640)</f>
        <v>3.7271946543140699</v>
      </c>
      <c r="E641" s="76">
        <f>MIN(D641*Constantes!$D$17,0.8*(H640+Observaciones!$F640-F641-G641-Constantes!$D$14))</f>
        <v>0.73523379688893875</v>
      </c>
      <c r="F641" s="76">
        <f>IF(Observaciones!$F640&gt;0.05*Constantes!$D$18,((Observaciones!$F640-0.05*Constantes!$D$18)^2)/(Observaciones!$F640+0.95*Constantes!$D$18),0)</f>
        <v>0</v>
      </c>
      <c r="G641" s="76">
        <f>MAX(0,H640+Observaciones!$F640-F641-Constantes!$D$13)</f>
        <v>0</v>
      </c>
      <c r="H641" s="76">
        <f>H640+Observaciones!$F640-F641-E641-G641-I640</f>
        <v>11.402502496446534</v>
      </c>
      <c r="I641" s="76">
        <f>MAX(0,(H641-Constantes!$D$14)*(1-EXP(-Constantes!$D$22)))</f>
        <v>5.1947948770946304E-3</v>
      </c>
      <c r="J641" s="76">
        <f t="shared" si="27"/>
        <v>66.764850394109359</v>
      </c>
      <c r="K641" s="76">
        <f>MAX(0,(J641-Constantes!$D$13)*(1-EXP(-Constantes!$D$23)))</f>
        <v>0.17750461173622806</v>
      </c>
      <c r="L641" s="76">
        <f t="shared" si="28"/>
        <v>0.18269940661332268</v>
      </c>
      <c r="M641" s="76">
        <f>0.0526*F641*Observaciones!$F640^1.218</f>
        <v>0</v>
      </c>
      <c r="N641" s="76">
        <f>M641*Constantes!$D$51</f>
        <v>0</v>
      </c>
      <c r="O641" s="76">
        <f t="shared" si="29"/>
        <v>0</v>
      </c>
      <c r="P641" s="15"/>
      <c r="Q641" s="75">
        <v>635</v>
      </c>
      <c r="R641" s="76">
        <f>0.0526*Observaciones!$F640^2.218</f>
        <v>0</v>
      </c>
      <c r="S641" s="76">
        <f>IF(Observaciones!$F640&gt;0.05*$W$7,((Observaciones!$F640-0.05*$W$7)^2)/(Observaciones!$F640+0.95*$W$7),0)</f>
        <v>0</v>
      </c>
      <c r="T641" s="76">
        <f>0.0526*S641*Observaciones!$F640^1.218</f>
        <v>0</v>
      </c>
      <c r="U641" s="29"/>
      <c r="V641" s="29"/>
      <c r="W641" s="109"/>
      <c r="X641" s="40"/>
    </row>
    <row r="642" spans="2:24" s="2" customFormat="1">
      <c r="B642" s="39"/>
      <c r="C642" s="75">
        <v>636</v>
      </c>
      <c r="D642" s="146">
        <f>ETo!$I641*((1-Constantes!$D$19)*ETo!$K641+ETo!$L641)</f>
        <v>3.8091858332944843</v>
      </c>
      <c r="E642" s="76">
        <f>MIN(D642*Constantes!$D$17,0.8*(H641+Observaciones!$F641-F642-G642-Constantes!$D$14))</f>
        <v>0.12200199715722704</v>
      </c>
      <c r="F642" s="76">
        <f>IF(Observaciones!$F641&gt;0.05*Constantes!$D$18,((Observaciones!$F641-0.05*Constantes!$D$18)^2)/(Observaciones!$F641+0.95*Constantes!$D$18),0)</f>
        <v>0</v>
      </c>
      <c r="G642" s="76">
        <f>MAX(0,H641+Observaciones!$F641-F642-Constantes!$D$13)</f>
        <v>0</v>
      </c>
      <c r="H642" s="76">
        <f>H641+Observaciones!$F641-F642-E642-G642-I641</f>
        <v>11.275305704412212</v>
      </c>
      <c r="I642" s="76">
        <f>MAX(0,(H642-Constantes!$D$14)*(1-EXP(-Constantes!$D$22)))</f>
        <v>8.6200519142265875E-4</v>
      </c>
      <c r="J642" s="76">
        <f t="shared" si="27"/>
        <v>66.587345782373134</v>
      </c>
      <c r="K642" s="76">
        <f>MAX(0,(J642-Constantes!$D$13)*(1-EXP(-Constantes!$D$23)))</f>
        <v>0.17575561651848642</v>
      </c>
      <c r="L642" s="76">
        <f t="shared" si="28"/>
        <v>0.17661762170990908</v>
      </c>
      <c r="M642" s="76">
        <f>0.0526*F642*Observaciones!$F641^1.218</f>
        <v>0</v>
      </c>
      <c r="N642" s="76">
        <f>M642*Constantes!$D$51</f>
        <v>0</v>
      </c>
      <c r="O642" s="76">
        <f t="shared" si="29"/>
        <v>0</v>
      </c>
      <c r="P642" s="15"/>
      <c r="Q642" s="75">
        <v>636</v>
      </c>
      <c r="R642" s="76">
        <f>0.0526*Observaciones!$F641^2.218</f>
        <v>0</v>
      </c>
      <c r="S642" s="76">
        <f>IF(Observaciones!$F641&gt;0.05*$W$7,((Observaciones!$F641-0.05*$W$7)^2)/(Observaciones!$F641+0.95*$W$7),0)</f>
        <v>0</v>
      </c>
      <c r="T642" s="76">
        <f>0.0526*S642*Observaciones!$F641^1.218</f>
        <v>0</v>
      </c>
      <c r="U642" s="29"/>
      <c r="V642" s="29"/>
      <c r="W642" s="109"/>
      <c r="X642" s="40"/>
    </row>
    <row r="643" spans="2:24" s="2" customFormat="1">
      <c r="B643" s="39"/>
      <c r="C643" s="75">
        <v>637</v>
      </c>
      <c r="D643" s="146">
        <f>ETo!$I642*((1-Constantes!$D$19)*ETo!$K642+ETo!$L642)</f>
        <v>3.9037938456254881</v>
      </c>
      <c r="E643" s="76">
        <f>MIN(D643*Constantes!$D$17,0.8*(H642+Observaciones!$F642-F643-G643-Constantes!$D$14))</f>
        <v>2.0244563529769267E-2</v>
      </c>
      <c r="F643" s="76">
        <f>IF(Observaciones!$F642&gt;0.05*Constantes!$D$18,((Observaciones!$F642-0.05*Constantes!$D$18)^2)/(Observaciones!$F642+0.95*Constantes!$D$18),0)</f>
        <v>0</v>
      </c>
      <c r="G643" s="76">
        <f>MAX(0,H642+Observaciones!$F642-F643-Constantes!$D$13)</f>
        <v>0</v>
      </c>
      <c r="H643" s="76">
        <f>H642+Observaciones!$F642-F643-E643-G643-I642</f>
        <v>11.254199135691021</v>
      </c>
      <c r="I643" s="76">
        <f>MAX(0,(H643-Constantes!$D$14)*(1-EXP(-Constantes!$D$22)))</f>
        <v>1.4303797697887805E-4</v>
      </c>
      <c r="J643" s="76">
        <f t="shared" si="27"/>
        <v>66.411590165854648</v>
      </c>
      <c r="K643" s="76">
        <f>MAX(0,(J643-Constantes!$D$13)*(1-EXP(-Constantes!$D$23)))</f>
        <v>0.17402385456720335</v>
      </c>
      <c r="L643" s="76">
        <f t="shared" si="28"/>
        <v>0.17416689254418222</v>
      </c>
      <c r="M643" s="76">
        <f>0.0526*F643*Observaciones!$F642^1.218</f>
        <v>0</v>
      </c>
      <c r="N643" s="76">
        <f>M643*Constantes!$D$51</f>
        <v>0</v>
      </c>
      <c r="O643" s="76">
        <f t="shared" si="29"/>
        <v>0</v>
      </c>
      <c r="P643" s="15"/>
      <c r="Q643" s="75">
        <v>637</v>
      </c>
      <c r="R643" s="76">
        <f>0.0526*Observaciones!$F642^2.218</f>
        <v>0</v>
      </c>
      <c r="S643" s="76">
        <f>IF(Observaciones!$F642&gt;0.05*$W$7,((Observaciones!$F642-0.05*$W$7)^2)/(Observaciones!$F642+0.95*$W$7),0)</f>
        <v>0</v>
      </c>
      <c r="T643" s="76">
        <f>0.0526*S643*Observaciones!$F642^1.218</f>
        <v>0</v>
      </c>
      <c r="U643" s="29"/>
      <c r="V643" s="29"/>
      <c r="W643" s="109"/>
      <c r="X643" s="40"/>
    </row>
    <row r="644" spans="2:24" s="2" customFormat="1">
      <c r="B644" s="39"/>
      <c r="C644" s="75">
        <v>638</v>
      </c>
      <c r="D644" s="146">
        <f>ETo!$I643*((1-Constantes!$D$19)*ETo!$K643+ETo!$L643)</f>
        <v>4.0153508862961127</v>
      </c>
      <c r="E644" s="76">
        <f>MIN(D644*Constantes!$D$17,0.8*(H643+Observaciones!$F643-F644-G644-Constantes!$D$14))</f>
        <v>3.3593085528167421E-3</v>
      </c>
      <c r="F644" s="76">
        <f>IF(Observaciones!$F643&gt;0.05*Constantes!$D$18,((Observaciones!$F643-0.05*Constantes!$D$18)^2)/(Observaciones!$F643+0.95*Constantes!$D$18),0)</f>
        <v>0</v>
      </c>
      <c r="G644" s="76">
        <f>MAX(0,H643+Observaciones!$F643-F644-Constantes!$D$13)</f>
        <v>0</v>
      </c>
      <c r="H644" s="76">
        <f>H643+Observaciones!$F643-F644-E644-G644-I643</f>
        <v>11.250696789161225</v>
      </c>
      <c r="I644" s="76">
        <f>MAX(0,(H644-Constantes!$D$14)*(1-EXP(-Constantes!$D$22)))</f>
        <v>2.3735196796695756E-5</v>
      </c>
      <c r="J644" s="76">
        <f t="shared" si="27"/>
        <v>66.237566311287438</v>
      </c>
      <c r="K644" s="76">
        <f>MAX(0,(J644-Constantes!$D$13)*(1-EXP(-Constantes!$D$23)))</f>
        <v>0.17230915607889977</v>
      </c>
      <c r="L644" s="76">
        <f t="shared" si="28"/>
        <v>0.17233289127569645</v>
      </c>
      <c r="M644" s="76">
        <f>0.0526*F644*Observaciones!$F643^1.218</f>
        <v>0</v>
      </c>
      <c r="N644" s="76">
        <f>M644*Constantes!$D$51</f>
        <v>0</v>
      </c>
      <c r="O644" s="76">
        <f t="shared" si="29"/>
        <v>0</v>
      </c>
      <c r="P644" s="15"/>
      <c r="Q644" s="75">
        <v>638</v>
      </c>
      <c r="R644" s="76">
        <f>0.0526*Observaciones!$F643^2.218</f>
        <v>0</v>
      </c>
      <c r="S644" s="76">
        <f>IF(Observaciones!$F643&gt;0.05*$W$7,((Observaciones!$F643-0.05*$W$7)^2)/(Observaciones!$F643+0.95*$W$7),0)</f>
        <v>0</v>
      </c>
      <c r="T644" s="76">
        <f>0.0526*S644*Observaciones!$F643^1.218</f>
        <v>0</v>
      </c>
      <c r="U644" s="29"/>
      <c r="V644" s="29"/>
      <c r="W644" s="109"/>
      <c r="X644" s="40"/>
    </row>
    <row r="645" spans="2:24" s="2" customFormat="1">
      <c r="B645" s="39"/>
      <c r="C645" s="75">
        <v>639</v>
      </c>
      <c r="D645" s="146">
        <f>ETo!$I644*((1-Constantes!$D$19)*ETo!$K644+ETo!$L644)</f>
        <v>3.927185033014287</v>
      </c>
      <c r="E645" s="76">
        <f>MIN(D645*Constantes!$D$17,0.8*(H644+Observaciones!$F644-F645-G645-Constantes!$D$14))</f>
        <v>5.5743132897987378E-4</v>
      </c>
      <c r="F645" s="76">
        <f>IF(Observaciones!$F644&gt;0.05*Constantes!$D$18,((Observaciones!$F644-0.05*Constantes!$D$18)^2)/(Observaciones!$F644+0.95*Constantes!$D$18),0)</f>
        <v>0</v>
      </c>
      <c r="G645" s="76">
        <f>MAX(0,H644+Observaciones!$F644-F645-Constantes!$D$13)</f>
        <v>0</v>
      </c>
      <c r="H645" s="76">
        <f>H644+Observaciones!$F644-F645-E645-G645-I644</f>
        <v>11.250115622635448</v>
      </c>
      <c r="I645" s="76">
        <f>MAX(0,(H645-Constantes!$D$14)*(1-EXP(-Constantes!$D$22)))</f>
        <v>3.9385314227491535E-6</v>
      </c>
      <c r="J645" s="76">
        <f t="shared" si="27"/>
        <v>66.065257155208542</v>
      </c>
      <c r="K645" s="76">
        <f>MAX(0,(J645-Constantes!$D$13)*(1-EXP(-Constantes!$D$23)))</f>
        <v>0.17061135292321092</v>
      </c>
      <c r="L645" s="76">
        <f t="shared" si="28"/>
        <v>0.17061529145463367</v>
      </c>
      <c r="M645" s="76">
        <f>0.0526*F645*Observaciones!$F644^1.218</f>
        <v>0</v>
      </c>
      <c r="N645" s="76">
        <f>M645*Constantes!$D$51</f>
        <v>0</v>
      </c>
      <c r="O645" s="76">
        <f t="shared" si="29"/>
        <v>0</v>
      </c>
      <c r="P645" s="15"/>
      <c r="Q645" s="75">
        <v>639</v>
      </c>
      <c r="R645" s="76">
        <f>0.0526*Observaciones!$F644^2.218</f>
        <v>0</v>
      </c>
      <c r="S645" s="76">
        <f>IF(Observaciones!$F644&gt;0.05*$W$7,((Observaciones!$F644-0.05*$W$7)^2)/(Observaciones!$F644+0.95*$W$7),0)</f>
        <v>0</v>
      </c>
      <c r="T645" s="76">
        <f>0.0526*S645*Observaciones!$F644^1.218</f>
        <v>0</v>
      </c>
      <c r="U645" s="29"/>
      <c r="V645" s="29"/>
      <c r="W645" s="109"/>
      <c r="X645" s="40"/>
    </row>
    <row r="646" spans="2:24" s="2" customFormat="1">
      <c r="B646" s="39"/>
      <c r="C646" s="75">
        <v>640</v>
      </c>
      <c r="D646" s="146">
        <f>ETo!$I645*((1-Constantes!$D$19)*ETo!$K645+ETo!$L645)</f>
        <v>4.034518317599316</v>
      </c>
      <c r="E646" s="76">
        <f>MIN(D646*Constantes!$D$17,0.8*(H645+Observaciones!$F645-F646-G646-Constantes!$D$14))</f>
        <v>9.2498108358540776E-5</v>
      </c>
      <c r="F646" s="76">
        <f>IF(Observaciones!$F645&gt;0.05*Constantes!$D$18,((Observaciones!$F645-0.05*Constantes!$D$18)^2)/(Observaciones!$F645+0.95*Constantes!$D$18),0)</f>
        <v>0</v>
      </c>
      <c r="G646" s="76">
        <f>MAX(0,H645+Observaciones!$F645-F646-Constantes!$D$13)</f>
        <v>0</v>
      </c>
      <c r="H646" s="76">
        <f>H645+Observaciones!$F645-F646-E646-G646-I645</f>
        <v>11.250019185995667</v>
      </c>
      <c r="I646" s="76">
        <f>MAX(0,(H646-Constantes!$D$14)*(1-EXP(-Constantes!$D$22)))</f>
        <v>6.5354544564523663E-7</v>
      </c>
      <c r="J646" s="76">
        <f t="shared" si="27"/>
        <v>65.894645802285325</v>
      </c>
      <c r="K646" s="76">
        <f>MAX(0,(J646-Constantes!$D$13)*(1-EXP(-Constantes!$D$23)))</f>
        <v>0.16893027862640017</v>
      </c>
      <c r="L646" s="76">
        <f t="shared" si="28"/>
        <v>0.16893093217184582</v>
      </c>
      <c r="M646" s="76">
        <f>0.0526*F646*Observaciones!$F645^1.218</f>
        <v>0</v>
      </c>
      <c r="N646" s="76">
        <f>M646*Constantes!$D$51</f>
        <v>0</v>
      </c>
      <c r="O646" s="76">
        <f t="shared" si="29"/>
        <v>0</v>
      </c>
      <c r="P646" s="15"/>
      <c r="Q646" s="75">
        <v>640</v>
      </c>
      <c r="R646" s="76">
        <f>0.0526*Observaciones!$F645^2.218</f>
        <v>0</v>
      </c>
      <c r="S646" s="76">
        <f>IF(Observaciones!$F645&gt;0.05*$W$7,((Observaciones!$F645-0.05*$W$7)^2)/(Observaciones!$F645+0.95*$W$7),0)</f>
        <v>0</v>
      </c>
      <c r="T646" s="76">
        <f>0.0526*S646*Observaciones!$F645^1.218</f>
        <v>0</v>
      </c>
      <c r="U646" s="29"/>
      <c r="V646" s="29"/>
      <c r="W646" s="109"/>
      <c r="X646" s="40"/>
    </row>
    <row r="647" spans="2:24" s="2" customFormat="1">
      <c r="B647" s="39"/>
      <c r="C647" s="75">
        <v>641</v>
      </c>
      <c r="D647" s="146">
        <f>ETo!$I646*((1-Constantes!$D$19)*ETo!$K646+ETo!$L646)</f>
        <v>4.0080695398097923</v>
      </c>
      <c r="E647" s="76">
        <f>MIN(D647*Constantes!$D$17,0.8*(H646+Observaciones!$F646-F647-G647-Constantes!$D$14))</f>
        <v>1.534879653348753E-5</v>
      </c>
      <c r="F647" s="76">
        <f>IF(Observaciones!$F646&gt;0.05*Constantes!$D$18,((Observaciones!$F646-0.05*Constantes!$D$18)^2)/(Observaciones!$F646+0.95*Constantes!$D$18),0)</f>
        <v>0</v>
      </c>
      <c r="G647" s="76">
        <f>MAX(0,H646+Observaciones!$F646-F647-Constantes!$D$13)</f>
        <v>0</v>
      </c>
      <c r="H647" s="76">
        <f>H646+Observaciones!$F646-F647-E647-G647-I646</f>
        <v>11.250003183653687</v>
      </c>
      <c r="I647" s="76">
        <f>MAX(0,(H647-Constantes!$D$14)*(1-EXP(-Constantes!$D$22)))</f>
        <v>1.0844693202289494E-7</v>
      </c>
      <c r="J647" s="76">
        <f t="shared" ref="J647:J710" si="30">J646+G647-K646</f>
        <v>65.72571552365892</v>
      </c>
      <c r="K647" s="76">
        <f>MAX(0,(J647-Constantes!$D$13)*(1-EXP(-Constantes!$D$23)))</f>
        <v>0.16726576835503659</v>
      </c>
      <c r="L647" s="76">
        <f t="shared" ref="L647:L710" si="31">F647+I647+K647</f>
        <v>0.16726587680196861</v>
      </c>
      <c r="M647" s="76">
        <f>0.0526*F647*Observaciones!$F646^1.218</f>
        <v>0</v>
      </c>
      <c r="N647" s="76">
        <f>M647*Constantes!$D$51</f>
        <v>0</v>
      </c>
      <c r="O647" s="76">
        <f t="shared" ref="O647:O710" si="32">N647*1000000/(L647/1000*10000)</f>
        <v>0</v>
      </c>
      <c r="P647" s="15"/>
      <c r="Q647" s="75">
        <v>641</v>
      </c>
      <c r="R647" s="76">
        <f>0.0526*Observaciones!$F646^2.218</f>
        <v>0</v>
      </c>
      <c r="S647" s="76">
        <f>IF(Observaciones!$F646&gt;0.05*$W$7,((Observaciones!$F646-0.05*$W$7)^2)/(Observaciones!$F646+0.95*$W$7),0)</f>
        <v>0</v>
      </c>
      <c r="T647" s="76">
        <f>0.0526*S647*Observaciones!$F646^1.218</f>
        <v>0</v>
      </c>
      <c r="U647" s="29"/>
      <c r="V647" s="29"/>
      <c r="W647" s="109"/>
      <c r="X647" s="40"/>
    </row>
    <row r="648" spans="2:24" s="2" customFormat="1">
      <c r="B648" s="39"/>
      <c r="C648" s="75">
        <v>642</v>
      </c>
      <c r="D648" s="146">
        <f>ETo!$I647*((1-Constantes!$D$19)*ETo!$K647+ETo!$L647)</f>
        <v>3.6084840175054107</v>
      </c>
      <c r="E648" s="76">
        <f>MIN(D648*Constantes!$D$17,0.8*(H647+Observaciones!$F647-F648-G648-Constantes!$D$14))</f>
        <v>2.5469229498753521E-6</v>
      </c>
      <c r="F648" s="76">
        <f>IF(Observaciones!$F647&gt;0.05*Constantes!$D$18,((Observaciones!$F647-0.05*Constantes!$D$18)^2)/(Observaciones!$F647+0.95*Constantes!$D$18),0)</f>
        <v>0</v>
      </c>
      <c r="G648" s="76">
        <f>MAX(0,H647+Observaciones!$F647-F648-Constantes!$D$13)</f>
        <v>0</v>
      </c>
      <c r="H648" s="76">
        <f>H647+Observaciones!$F647-F648-E648-G648-I647</f>
        <v>11.250000528283806</v>
      </c>
      <c r="I648" s="76">
        <f>MAX(0,(H648-Constantes!$D$14)*(1-EXP(-Constantes!$D$22)))</f>
        <v>1.7995285803068382E-8</v>
      </c>
      <c r="J648" s="76">
        <f t="shared" si="30"/>
        <v>65.558449755303883</v>
      </c>
      <c r="K648" s="76">
        <f>MAX(0,(J648-Constantes!$D$13)*(1-EXP(-Constantes!$D$23)))</f>
        <v>0.16561765889983229</v>
      </c>
      <c r="L648" s="76">
        <f t="shared" si="31"/>
        <v>0.16561767689511808</v>
      </c>
      <c r="M648" s="76">
        <f>0.0526*F648*Observaciones!$F647^1.218</f>
        <v>0</v>
      </c>
      <c r="N648" s="76">
        <f>M648*Constantes!$D$51</f>
        <v>0</v>
      </c>
      <c r="O648" s="76">
        <f t="shared" si="32"/>
        <v>0</v>
      </c>
      <c r="P648" s="15"/>
      <c r="Q648" s="75">
        <v>642</v>
      </c>
      <c r="R648" s="76">
        <f>0.0526*Observaciones!$F647^2.218</f>
        <v>0</v>
      </c>
      <c r="S648" s="76">
        <f>IF(Observaciones!$F647&gt;0.05*$W$7,((Observaciones!$F647-0.05*$W$7)^2)/(Observaciones!$F647+0.95*$W$7),0)</f>
        <v>0</v>
      </c>
      <c r="T648" s="76">
        <f>0.0526*S648*Observaciones!$F647^1.218</f>
        <v>0</v>
      </c>
      <c r="U648" s="29"/>
      <c r="V648" s="29"/>
      <c r="W648" s="109"/>
      <c r="X648" s="40"/>
    </row>
    <row r="649" spans="2:24" s="2" customFormat="1">
      <c r="B649" s="39"/>
      <c r="C649" s="75">
        <v>643</v>
      </c>
      <c r="D649" s="146">
        <f>ETo!$I648*((1-Constantes!$D$19)*ETo!$K648+ETo!$L648)</f>
        <v>4.0674213974861129</v>
      </c>
      <c r="E649" s="76">
        <f>MIN(D649*Constantes!$D$17,0.8*(H648+Observaciones!$F648-F649-G649-Constantes!$D$14))</f>
        <v>4.2262704482709526E-7</v>
      </c>
      <c r="F649" s="76">
        <f>IF(Observaciones!$F648&gt;0.05*Constantes!$D$18,((Observaciones!$F648-0.05*Constantes!$D$18)^2)/(Observaciones!$F648+0.95*Constantes!$D$18),0)</f>
        <v>0</v>
      </c>
      <c r="G649" s="76">
        <f>MAX(0,H648+Observaciones!$F648-F649-Constantes!$D$13)</f>
        <v>0</v>
      </c>
      <c r="H649" s="76">
        <f>H648+Observaciones!$F648-F649-E649-G649-I648</f>
        <v>11.250000087661476</v>
      </c>
      <c r="I649" s="76">
        <f>MAX(0,(H649-Constantes!$D$14)*(1-EXP(-Constantes!$D$22)))</f>
        <v>2.9860716946499727E-9</v>
      </c>
      <c r="J649" s="76">
        <f t="shared" si="30"/>
        <v>65.392832096404049</v>
      </c>
      <c r="K649" s="76">
        <f>MAX(0,(J649-Constantes!$D$13)*(1-EXP(-Constantes!$D$23)))</f>
        <v>0.1639857886596392</v>
      </c>
      <c r="L649" s="76">
        <f t="shared" si="31"/>
        <v>0.16398579164571089</v>
      </c>
      <c r="M649" s="76">
        <f>0.0526*F649*Observaciones!$F648^1.218</f>
        <v>0</v>
      </c>
      <c r="N649" s="76">
        <f>M649*Constantes!$D$51</f>
        <v>0</v>
      </c>
      <c r="O649" s="76">
        <f t="shared" si="32"/>
        <v>0</v>
      </c>
      <c r="P649" s="15"/>
      <c r="Q649" s="75">
        <v>643</v>
      </c>
      <c r="R649" s="76">
        <f>0.0526*Observaciones!$F648^2.218</f>
        <v>0</v>
      </c>
      <c r="S649" s="76">
        <f>IF(Observaciones!$F648&gt;0.05*$W$7,((Observaciones!$F648-0.05*$W$7)^2)/(Observaciones!$F648+0.95*$W$7),0)</f>
        <v>0</v>
      </c>
      <c r="T649" s="76">
        <f>0.0526*S649*Observaciones!$F648^1.218</f>
        <v>0</v>
      </c>
      <c r="U649" s="29"/>
      <c r="V649" s="29"/>
      <c r="W649" s="109"/>
      <c r="X649" s="40"/>
    </row>
    <row r="650" spans="2:24" s="2" customFormat="1">
      <c r="B650" s="39"/>
      <c r="C650" s="75">
        <v>644</v>
      </c>
      <c r="D650" s="146">
        <f>ETo!$I649*((1-Constantes!$D$19)*ETo!$K649+ETo!$L649)</f>
        <v>3.9935323221971597</v>
      </c>
      <c r="E650" s="76">
        <f>MIN(D650*Constantes!$D$17,0.8*(H649+Observaciones!$F649-F650-G650-Constantes!$D$14))</f>
        <v>7.012918104010169E-8</v>
      </c>
      <c r="F650" s="76">
        <f>IF(Observaciones!$F649&gt;0.05*Constantes!$D$18,((Observaciones!$F649-0.05*Constantes!$D$18)^2)/(Observaciones!$F649+0.95*Constantes!$D$18),0)</f>
        <v>0</v>
      </c>
      <c r="G650" s="76">
        <f>MAX(0,H649+Observaciones!$F649-F650-Constantes!$D$13)</f>
        <v>0</v>
      </c>
      <c r="H650" s="76">
        <f>H649+Observaciones!$F649-F650-E650-G650-I649</f>
        <v>11.250000014546224</v>
      </c>
      <c r="I650" s="76">
        <f>MAX(0,(H650-Constantes!$D$14)*(1-EXP(-Constantes!$D$22)))</f>
        <v>4.9549778226339221E-10</v>
      </c>
      <c r="J650" s="76">
        <f t="shared" si="30"/>
        <v>65.228846307744405</v>
      </c>
      <c r="K650" s="76">
        <f>MAX(0,(J650-Constantes!$D$13)*(1-EXP(-Constantes!$D$23)))</f>
        <v>0.16236999762560389</v>
      </c>
      <c r="L650" s="76">
        <f t="shared" si="31"/>
        <v>0.16236999812110167</v>
      </c>
      <c r="M650" s="76">
        <f>0.0526*F650*Observaciones!$F649^1.218</f>
        <v>0</v>
      </c>
      <c r="N650" s="76">
        <f>M650*Constantes!$D$51</f>
        <v>0</v>
      </c>
      <c r="O650" s="76">
        <f t="shared" si="32"/>
        <v>0</v>
      </c>
      <c r="P650" s="15"/>
      <c r="Q650" s="75">
        <v>644</v>
      </c>
      <c r="R650" s="76">
        <f>0.0526*Observaciones!$F649^2.218</f>
        <v>0</v>
      </c>
      <c r="S650" s="76">
        <f>IF(Observaciones!$F649&gt;0.05*$W$7,((Observaciones!$F649-0.05*$W$7)^2)/(Observaciones!$F649+0.95*$W$7),0)</f>
        <v>0</v>
      </c>
      <c r="T650" s="76">
        <f>0.0526*S650*Observaciones!$F649^1.218</f>
        <v>0</v>
      </c>
      <c r="U650" s="29"/>
      <c r="V650" s="29"/>
      <c r="W650" s="109"/>
      <c r="X650" s="40"/>
    </row>
    <row r="651" spans="2:24" s="2" customFormat="1">
      <c r="B651" s="39"/>
      <c r="C651" s="75">
        <v>645</v>
      </c>
      <c r="D651" s="146">
        <f>ETo!$I650*((1-Constantes!$D$19)*ETo!$K650+ETo!$L650)</f>
        <v>3.9359746768600639</v>
      </c>
      <c r="E651" s="76">
        <f>MIN(D651*Constantes!$D$17,0.8*(H650+Observaciones!$F650-F651-G651-Constantes!$D$14))</f>
        <v>1.1636979024842732E-8</v>
      </c>
      <c r="F651" s="76">
        <f>IF(Observaciones!$F650&gt;0.05*Constantes!$D$18,((Observaciones!$F650-0.05*Constantes!$D$18)^2)/(Observaciones!$F650+0.95*Constantes!$D$18),0)</f>
        <v>0</v>
      </c>
      <c r="G651" s="76">
        <f>MAX(0,H650+Observaciones!$F650-F651-Constantes!$D$13)</f>
        <v>0</v>
      </c>
      <c r="H651" s="76">
        <f>H650+Observaciones!$F650-F651-E651-G651-I650</f>
        <v>11.250000002413747</v>
      </c>
      <c r="I651" s="76">
        <f>MAX(0,(H651-Constantes!$D$14)*(1-EXP(-Constantes!$D$22)))</f>
        <v>8.2221098314985545E-11</v>
      </c>
      <c r="J651" s="76">
        <f t="shared" si="30"/>
        <v>65.066476310118802</v>
      </c>
      <c r="K651" s="76">
        <f>MAX(0,(J651-Constantes!$D$13)*(1-EXP(-Constantes!$D$23)))</f>
        <v>0.16077012736547844</v>
      </c>
      <c r="L651" s="76">
        <f t="shared" si="31"/>
        <v>0.16077012744769953</v>
      </c>
      <c r="M651" s="76">
        <f>0.0526*F651*Observaciones!$F650^1.218</f>
        <v>0</v>
      </c>
      <c r="N651" s="76">
        <f>M651*Constantes!$D$51</f>
        <v>0</v>
      </c>
      <c r="O651" s="76">
        <f t="shared" si="32"/>
        <v>0</v>
      </c>
      <c r="P651" s="15"/>
      <c r="Q651" s="75">
        <v>645</v>
      </c>
      <c r="R651" s="76">
        <f>0.0526*Observaciones!$F650^2.218</f>
        <v>0</v>
      </c>
      <c r="S651" s="76">
        <f>IF(Observaciones!$F650&gt;0.05*$W$7,((Observaciones!$F650-0.05*$W$7)^2)/(Observaciones!$F650+0.95*$W$7),0)</f>
        <v>0</v>
      </c>
      <c r="T651" s="76">
        <f>0.0526*S651*Observaciones!$F650^1.218</f>
        <v>0</v>
      </c>
      <c r="U651" s="29"/>
      <c r="V651" s="29"/>
      <c r="W651" s="109"/>
      <c r="X651" s="40"/>
    </row>
    <row r="652" spans="2:24" s="2" customFormat="1">
      <c r="B652" s="39"/>
      <c r="C652" s="75">
        <v>646</v>
      </c>
      <c r="D652" s="146">
        <f>ETo!$I651*((1-Constantes!$D$19)*ETo!$K651+ETo!$L651)</f>
        <v>3.7088600703743579</v>
      </c>
      <c r="E652" s="76">
        <f>MIN(D652*Constantes!$D$17,0.8*(H651+Observaciones!$F651-F652-G652-Constantes!$D$14))</f>
        <v>1.9309979393256071E-9</v>
      </c>
      <c r="F652" s="76">
        <f>IF(Observaciones!$F651&gt;0.05*Constantes!$D$18,((Observaciones!$F651-0.05*Constantes!$D$18)^2)/(Observaciones!$F651+0.95*Constantes!$D$18),0)</f>
        <v>0</v>
      </c>
      <c r="G652" s="76">
        <f>MAX(0,H651+Observaciones!$F651-F652-Constantes!$D$13)</f>
        <v>0</v>
      </c>
      <c r="H652" s="76">
        <f>H651+Observaciones!$F651-F652-E652-G652-I651</f>
        <v>11.250000000400529</v>
      </c>
      <c r="I652" s="76">
        <f>MAX(0,(H652-Constantes!$D$14)*(1-EXP(-Constantes!$D$22)))</f>
        <v>1.3643501309494724E-11</v>
      </c>
      <c r="J652" s="76">
        <f t="shared" si="30"/>
        <v>64.90570618275332</v>
      </c>
      <c r="K652" s="76">
        <f>MAX(0,(J652-Constantes!$D$13)*(1-EXP(-Constantes!$D$23)))</f>
        <v>0.15918602100808535</v>
      </c>
      <c r="L652" s="76">
        <f t="shared" si="31"/>
        <v>0.15918602102172885</v>
      </c>
      <c r="M652" s="76">
        <f>0.0526*F652*Observaciones!$F651^1.218</f>
        <v>0</v>
      </c>
      <c r="N652" s="76">
        <f>M652*Constantes!$D$51</f>
        <v>0</v>
      </c>
      <c r="O652" s="76">
        <f t="shared" si="32"/>
        <v>0</v>
      </c>
      <c r="P652" s="15"/>
      <c r="Q652" s="75">
        <v>646</v>
      </c>
      <c r="R652" s="76">
        <f>0.0526*Observaciones!$F651^2.218</f>
        <v>0</v>
      </c>
      <c r="S652" s="76">
        <f>IF(Observaciones!$F651&gt;0.05*$W$7,((Observaciones!$F651-0.05*$W$7)^2)/(Observaciones!$F651+0.95*$W$7),0)</f>
        <v>0</v>
      </c>
      <c r="T652" s="76">
        <f>0.0526*S652*Observaciones!$F651^1.218</f>
        <v>0</v>
      </c>
      <c r="U652" s="29"/>
      <c r="V652" s="29"/>
      <c r="W652" s="109"/>
      <c r="X652" s="40"/>
    </row>
    <row r="653" spans="2:24" s="2" customFormat="1">
      <c r="B653" s="39"/>
      <c r="C653" s="75">
        <v>647</v>
      </c>
      <c r="D653" s="146">
        <f>ETo!$I652*((1-Constantes!$D$19)*ETo!$K652+ETo!$L652)</f>
        <v>4.0055986490724358</v>
      </c>
      <c r="E653" s="76">
        <f>MIN(D653*Constantes!$D$17,0.8*(H652+Observaciones!$F652-F653-G653-Constantes!$D$14))</f>
        <v>3.2042350994743178E-10</v>
      </c>
      <c r="F653" s="76">
        <f>IF(Observaciones!$F652&gt;0.05*Constantes!$D$18,((Observaciones!$F652-0.05*Constantes!$D$18)^2)/(Observaciones!$F652+0.95*Constantes!$D$18),0)</f>
        <v>0</v>
      </c>
      <c r="G653" s="76">
        <f>MAX(0,H652+Observaciones!$F652-F653-Constantes!$D$13)</f>
        <v>0</v>
      </c>
      <c r="H653" s="76">
        <f>H652+Observaciones!$F652-F653-E653-G653-I652</f>
        <v>11.250000000066462</v>
      </c>
      <c r="I653" s="76">
        <f>MAX(0,(H653-Constantes!$D$14)*(1-EXP(-Constantes!$D$22)))</f>
        <v>2.263953030871061E-12</v>
      </c>
      <c r="J653" s="76">
        <f t="shared" si="30"/>
        <v>64.746520161745238</v>
      </c>
      <c r="K653" s="76">
        <f>MAX(0,(J653-Constantes!$D$13)*(1-EXP(-Constantes!$D$23)))</f>
        <v>0.15761752322793648</v>
      </c>
      <c r="L653" s="76">
        <f t="shared" si="31"/>
        <v>0.15761752323020045</v>
      </c>
      <c r="M653" s="76">
        <f>0.0526*F653*Observaciones!$F652^1.218</f>
        <v>0</v>
      </c>
      <c r="N653" s="76">
        <f>M653*Constantes!$D$51</f>
        <v>0</v>
      </c>
      <c r="O653" s="76">
        <f t="shared" si="32"/>
        <v>0</v>
      </c>
      <c r="P653" s="15"/>
      <c r="Q653" s="75">
        <v>647</v>
      </c>
      <c r="R653" s="76">
        <f>0.0526*Observaciones!$F652^2.218</f>
        <v>0</v>
      </c>
      <c r="S653" s="76">
        <f>IF(Observaciones!$F652&gt;0.05*$W$7,((Observaciones!$F652-0.05*$W$7)^2)/(Observaciones!$F652+0.95*$W$7),0)</f>
        <v>0</v>
      </c>
      <c r="T653" s="76">
        <f>0.0526*S653*Observaciones!$F652^1.218</f>
        <v>0</v>
      </c>
      <c r="U653" s="29"/>
      <c r="V653" s="29"/>
      <c r="W653" s="109"/>
      <c r="X653" s="40"/>
    </row>
    <row r="654" spans="2:24" s="2" customFormat="1">
      <c r="B654" s="39"/>
      <c r="C654" s="75">
        <v>648</v>
      </c>
      <c r="D654" s="146">
        <f>ETo!$I653*((1-Constantes!$D$19)*ETo!$K653+ETo!$L653)</f>
        <v>3.9467756418910867</v>
      </c>
      <c r="E654" s="76">
        <f>MIN(D654*Constantes!$D$17,0.8*(H653+Observaciones!$F653-F654-G654-Constantes!$D$14))</f>
        <v>2.0123975614526133</v>
      </c>
      <c r="F654" s="76">
        <f>IF(Observaciones!$F653&gt;0.05*Constantes!$D$18,((Observaciones!$F653-0.05*Constantes!$D$18)^2)/(Observaciones!$F653+0.95*Constantes!$D$18),0)</f>
        <v>0</v>
      </c>
      <c r="G654" s="76">
        <f>MAX(0,H653+Observaciones!$F653-F654-Constantes!$D$13)</f>
        <v>0</v>
      </c>
      <c r="H654" s="76">
        <f>H653+Observaciones!$F653-F654-E654-G654-I653</f>
        <v>12.237602438611585</v>
      </c>
      <c r="I654" s="76">
        <f>MAX(0,(H654-Constantes!$D$14)*(1-EXP(-Constantes!$D$22)))</f>
        <v>3.3641364621885404E-2</v>
      </c>
      <c r="J654" s="76">
        <f t="shared" si="30"/>
        <v>64.588902638517297</v>
      </c>
      <c r="K654" s="76">
        <f>MAX(0,(J654-Constantes!$D$13)*(1-EXP(-Constantes!$D$23)))</f>
        <v>0.15606448023000238</v>
      </c>
      <c r="L654" s="76">
        <f t="shared" si="31"/>
        <v>0.18970584485188779</v>
      </c>
      <c r="M654" s="76">
        <f>0.0526*F654*Observaciones!$F653^1.218</f>
        <v>0</v>
      </c>
      <c r="N654" s="76">
        <f>M654*Constantes!$D$51</f>
        <v>0</v>
      </c>
      <c r="O654" s="76">
        <f t="shared" si="32"/>
        <v>0</v>
      </c>
      <c r="P654" s="15"/>
      <c r="Q654" s="75">
        <v>648</v>
      </c>
      <c r="R654" s="76">
        <f>0.0526*Observaciones!$F653^2.218</f>
        <v>0.6015070018585239</v>
      </c>
      <c r="S654" s="76">
        <f>IF(Observaciones!$F653&gt;0.05*$W$7,((Observaciones!$F653-0.05*$W$7)^2)/(Observaciones!$F653+0.95*$W$7),0)</f>
        <v>4.4793357041742955E-2</v>
      </c>
      <c r="T654" s="76">
        <f>0.0526*S654*Observaciones!$F653^1.218</f>
        <v>8.981172632452402E-3</v>
      </c>
      <c r="U654" s="29"/>
      <c r="V654" s="29"/>
      <c r="W654" s="109"/>
      <c r="X654" s="40"/>
    </row>
    <row r="655" spans="2:24" s="2" customFormat="1">
      <c r="B655" s="39"/>
      <c r="C655" s="75">
        <v>649</v>
      </c>
      <c r="D655" s="146">
        <f>ETo!$I654*((1-Constantes!$D$19)*ETo!$K654+ETo!$L654)</f>
        <v>4.0320157048950671</v>
      </c>
      <c r="E655" s="76">
        <f>MIN(D655*Constantes!$D$17,0.8*(H654+Observaciones!$F654-F655-G655-Constantes!$D$14))</f>
        <v>1.0300819508892687</v>
      </c>
      <c r="F655" s="76">
        <f>IF(Observaciones!$F654&gt;0.05*Constantes!$D$18,((Observaciones!$F654-0.05*Constantes!$D$18)^2)/(Observaciones!$F654+0.95*Constantes!$D$18),0)</f>
        <v>0</v>
      </c>
      <c r="G655" s="76">
        <f>MAX(0,H654+Observaciones!$F654-F655-Constantes!$D$13)</f>
        <v>0</v>
      </c>
      <c r="H655" s="76">
        <f>H654+Observaciones!$F654-F655-E655-G655-I654</f>
        <v>11.473879123100431</v>
      </c>
      <c r="I655" s="76">
        <f>MAX(0,(H655-Constantes!$D$14)*(1-EXP(-Constantes!$D$22)))</f>
        <v>7.6261448098870945E-3</v>
      </c>
      <c r="J655" s="76">
        <f t="shared" si="30"/>
        <v>64.432838158287296</v>
      </c>
      <c r="K655" s="76">
        <f>MAX(0,(J655-Constantes!$D$13)*(1-EXP(-Constantes!$D$23)))</f>
        <v>0.15452673973463305</v>
      </c>
      <c r="L655" s="76">
        <f t="shared" si="31"/>
        <v>0.16215288454452015</v>
      </c>
      <c r="M655" s="76">
        <f>0.0526*F655*Observaciones!$F654^1.218</f>
        <v>0</v>
      </c>
      <c r="N655" s="76">
        <f>M655*Constantes!$D$51</f>
        <v>0</v>
      </c>
      <c r="O655" s="76">
        <f t="shared" si="32"/>
        <v>0</v>
      </c>
      <c r="P655" s="15"/>
      <c r="Q655" s="75">
        <v>649</v>
      </c>
      <c r="R655" s="76">
        <f>0.0526*Observaciones!$F654^2.218</f>
        <v>3.6411677467564265E-3</v>
      </c>
      <c r="S655" s="76">
        <f>IF(Observaciones!$F654&gt;0.05*$W$7,((Observaciones!$F654-0.05*$W$7)^2)/(Observaciones!$F654+0.95*$W$7),0)</f>
        <v>0</v>
      </c>
      <c r="T655" s="76">
        <f>0.0526*S655*Observaciones!$F654^1.218</f>
        <v>0</v>
      </c>
      <c r="U655" s="29"/>
      <c r="V655" s="29"/>
      <c r="W655" s="109"/>
      <c r="X655" s="40"/>
    </row>
    <row r="656" spans="2:24" s="2" customFormat="1">
      <c r="B656" s="39"/>
      <c r="C656" s="75">
        <v>650</v>
      </c>
      <c r="D656" s="146">
        <f>ETo!$I655*((1-Constantes!$D$19)*ETo!$K655+ETo!$L655)</f>
        <v>4.0704200670470048</v>
      </c>
      <c r="E656" s="76">
        <f>MIN(D656*Constantes!$D$17,0.8*(H655+Observaciones!$F655-F656-G656-Constantes!$D$14))</f>
        <v>2.0754418695784631</v>
      </c>
      <c r="F656" s="76">
        <f>IF(Observaciones!$F655&gt;0.05*Constantes!$D$18,((Observaciones!$F655-0.05*Constantes!$D$18)^2)/(Observaciones!$F655+0.95*Constantes!$D$18),0)</f>
        <v>9.3304447328806397E-2</v>
      </c>
      <c r="G656" s="76">
        <f>MAX(0,H655+Observaciones!$F655-F656-Constantes!$D$13)</f>
        <v>0</v>
      </c>
      <c r="H656" s="76">
        <f>H655+Observaciones!$F655-F656-E656-G656-I655</f>
        <v>15.597506661383278</v>
      </c>
      <c r="I656" s="76">
        <f>MAX(0,(H656-Constantes!$D$14)*(1-EXP(-Constantes!$D$22)))</f>
        <v>0.14809203691040265</v>
      </c>
      <c r="J656" s="76">
        <f t="shared" si="30"/>
        <v>64.278311418552661</v>
      </c>
      <c r="K656" s="76">
        <f>MAX(0,(J656-Constantes!$D$13)*(1-EXP(-Constantes!$D$23)))</f>
        <v>0.15300415096262579</v>
      </c>
      <c r="L656" s="76">
        <f t="shared" si="31"/>
        <v>0.39440063520183488</v>
      </c>
      <c r="M656" s="76">
        <f>0.0526*F656*Observaciones!$F655^1.218</f>
        <v>4.6183291089063667E-2</v>
      </c>
      <c r="N656" s="76">
        <f>M656*Constantes!$D$51</f>
        <v>6.493322917720003E-4</v>
      </c>
      <c r="O656" s="76">
        <f t="shared" si="32"/>
        <v>164.63773985549085</v>
      </c>
      <c r="P656" s="15"/>
      <c r="Q656" s="75">
        <v>650</v>
      </c>
      <c r="R656" s="76">
        <f>0.0526*Observaciones!$F655^2.218</f>
        <v>3.1183372517686312</v>
      </c>
      <c r="S656" s="76">
        <f>IF(Observaciones!$F655&gt;0.05*$W$7,((Observaciones!$F655-0.05*$W$7)^2)/(Observaciones!$F655+0.95*$W$7),0)</f>
        <v>0.53229249011857738</v>
      </c>
      <c r="T656" s="76">
        <f>0.0526*S656*Observaciones!$F655^1.218</f>
        <v>0.26347103186880089</v>
      </c>
      <c r="U656" s="29"/>
      <c r="V656" s="29"/>
      <c r="W656" s="109"/>
      <c r="X656" s="40"/>
    </row>
    <row r="657" spans="2:24" s="2" customFormat="1">
      <c r="B657" s="39"/>
      <c r="C657" s="75">
        <v>651</v>
      </c>
      <c r="D657" s="146">
        <f>ETo!$I656*((1-Constantes!$D$19)*ETo!$K656+ETo!$L656)</f>
        <v>3.8781490920878836</v>
      </c>
      <c r="E657" s="76">
        <f>MIN(D657*Constantes!$D$17,0.8*(H656+Observaciones!$F656-F657-G657-Constantes!$D$14))</f>
        <v>1.9774059850353889</v>
      </c>
      <c r="F657" s="76">
        <f>IF(Observaciones!$F656&gt;0.05*Constantes!$D$18,((Observaciones!$F656-0.05*Constantes!$D$18)^2)/(Observaciones!$F656+0.95*Constantes!$D$18),0)</f>
        <v>0</v>
      </c>
      <c r="G657" s="76">
        <f>MAX(0,H656+Observaciones!$F656-F657-Constantes!$D$13)</f>
        <v>0</v>
      </c>
      <c r="H657" s="76">
        <f>H656+Observaciones!$F656-F657-E657-G657-I656</f>
        <v>16.772008639437487</v>
      </c>
      <c r="I657" s="76">
        <f>MAX(0,(H657-Constantes!$D$14)*(1-EXP(-Constantes!$D$22)))</f>
        <v>0.18809988596795946</v>
      </c>
      <c r="J657" s="76">
        <f t="shared" si="30"/>
        <v>64.125307267590031</v>
      </c>
      <c r="K657" s="76">
        <f>MAX(0,(J657-Constantes!$D$13)*(1-EXP(-Constantes!$D$23)))</f>
        <v>0.15149656462044148</v>
      </c>
      <c r="L657" s="76">
        <f t="shared" si="31"/>
        <v>0.33959645058840093</v>
      </c>
      <c r="M657" s="76">
        <f>0.0526*F657*Observaciones!$F656^1.218</f>
        <v>0</v>
      </c>
      <c r="N657" s="76">
        <f>M657*Constantes!$D$51</f>
        <v>0</v>
      </c>
      <c r="O657" s="76">
        <f t="shared" si="32"/>
        <v>0</v>
      </c>
      <c r="P657" s="15"/>
      <c r="Q657" s="75">
        <v>651</v>
      </c>
      <c r="R657" s="76">
        <f>0.0526*Observaciones!$F656^2.218</f>
        <v>0.74310410909583668</v>
      </c>
      <c r="S657" s="76">
        <f>IF(Observaciones!$F656&gt;0.05*$W$7,((Observaciones!$F656-0.05*$W$7)^2)/(Observaciones!$F656+0.95*$W$7),0)</f>
        <v>6.7925012840267113E-2</v>
      </c>
      <c r="T657" s="76">
        <f>0.0526*S657*Observaciones!$F656^1.218</f>
        <v>1.529556247029999E-2</v>
      </c>
      <c r="U657" s="29"/>
      <c r="V657" s="29"/>
      <c r="W657" s="109"/>
      <c r="X657" s="40"/>
    </row>
    <row r="658" spans="2:24" s="2" customFormat="1">
      <c r="B658" s="39"/>
      <c r="C658" s="75">
        <v>652</v>
      </c>
      <c r="D658" s="146">
        <f>ETo!$I657*((1-Constantes!$D$19)*ETo!$K657+ETo!$L657)</f>
        <v>4.0312374427179289</v>
      </c>
      <c r="E658" s="76">
        <f>MIN(D658*Constantes!$D$17,0.8*(H657+Observaciones!$F657-F658-G658-Constantes!$D$14))</f>
        <v>2.0554632782407083</v>
      </c>
      <c r="F658" s="76">
        <f>IF(Observaciones!$F657&gt;0.05*Constantes!$D$18,((Observaciones!$F657-0.05*Constantes!$D$18)^2)/(Observaciones!$F657+0.95*Constantes!$D$18),0)</f>
        <v>2.9969584322462981</v>
      </c>
      <c r="G658" s="76">
        <f>MAX(0,H657+Observaciones!$F657-F658-Constantes!$D$13)</f>
        <v>0</v>
      </c>
      <c r="H658" s="76">
        <f>H657+Observaciones!$F657-F658-E658-G658-I657</f>
        <v>31.531487042982526</v>
      </c>
      <c r="I658" s="76">
        <f>MAX(0,(H658-Constantes!$D$14)*(1-EXP(-Constantes!$D$22)))</f>
        <v>0.69086190354716259</v>
      </c>
      <c r="J658" s="76">
        <f t="shared" si="30"/>
        <v>63.973810702969587</v>
      </c>
      <c r="K658" s="76">
        <f>MAX(0,(J658-Constantes!$D$13)*(1-EXP(-Constantes!$D$23)))</f>
        <v>0.15000383288556582</v>
      </c>
      <c r="L658" s="76">
        <f t="shared" si="31"/>
        <v>3.8378241686790266</v>
      </c>
      <c r="M658" s="76">
        <f>0.0526*F658*Observaciones!$F657^1.218</f>
        <v>6.0578846313100811</v>
      </c>
      <c r="N658" s="76">
        <f>M658*Constantes!$D$51</f>
        <v>8.5173230797976562E-2</v>
      </c>
      <c r="O658" s="76">
        <f t="shared" si="32"/>
        <v>2219.3103971017267</v>
      </c>
      <c r="P658" s="15"/>
      <c r="Q658" s="75">
        <v>652</v>
      </c>
      <c r="R658" s="76">
        <f>0.0526*Observaciones!$F657^2.218</f>
        <v>40.42688457823914</v>
      </c>
      <c r="S658" s="76">
        <f>IF(Observaciones!$F657&gt;0.05*$W$7,((Observaciones!$F657-0.05*$W$7)^2)/(Observaciones!$F657+0.95*$W$7),0)</f>
        <v>6.3080868397003833</v>
      </c>
      <c r="T658" s="76">
        <f>0.0526*S658*Observaciones!$F657^1.218</f>
        <v>12.750814928903834</v>
      </c>
      <c r="U658" s="29"/>
      <c r="V658" s="29"/>
      <c r="W658" s="109"/>
      <c r="X658" s="40"/>
    </row>
    <row r="659" spans="2:24" s="2" customFormat="1">
      <c r="B659" s="39"/>
      <c r="C659" s="75">
        <v>653</v>
      </c>
      <c r="D659" s="146">
        <f>ETo!$I658*((1-Constantes!$D$19)*ETo!$K658+ETo!$L658)</f>
        <v>4.111798354404768</v>
      </c>
      <c r="E659" s="76">
        <f>MIN(D659*Constantes!$D$17,0.8*(H658+Observaciones!$F658-F659-G659-Constantes!$D$14))</f>
        <v>2.0965399942582712</v>
      </c>
      <c r="F659" s="76">
        <f>IF(Observaciones!$F658&gt;0.05*Constantes!$D$18,((Observaciones!$F658-0.05*Constantes!$D$18)^2)/(Observaciones!$F658+0.95*Constantes!$D$18),0)</f>
        <v>4.1947387033443037E-3</v>
      </c>
      <c r="G659" s="76">
        <f>MAX(0,H658+Observaciones!$F658-F659-Constantes!$D$13)</f>
        <v>0</v>
      </c>
      <c r="H659" s="76">
        <f>H658+Observaciones!$F658-F659-E659-G659-I658</f>
        <v>32.939890406473744</v>
      </c>
      <c r="I659" s="76">
        <f>MAX(0,(H659-Constantes!$D$14)*(1-EXP(-Constantes!$D$22)))</f>
        <v>0.73883729246226859</v>
      </c>
      <c r="J659" s="76">
        <f t="shared" si="30"/>
        <v>63.82380687008402</v>
      </c>
      <c r="K659" s="76">
        <f>MAX(0,(J659-Constantes!$D$13)*(1-EXP(-Constantes!$D$23)))</f>
        <v>0.1485258093920149</v>
      </c>
      <c r="L659" s="76">
        <f t="shared" si="31"/>
        <v>0.89155784055762777</v>
      </c>
      <c r="M659" s="76">
        <f>0.0526*F659*Observaciones!$F658^1.218</f>
        <v>1.2670924203305777E-3</v>
      </c>
      <c r="N659" s="76">
        <f>M659*Constantes!$D$51</f>
        <v>1.7815188259180114E-5</v>
      </c>
      <c r="O659" s="76">
        <f t="shared" si="32"/>
        <v>1.9982089157600302</v>
      </c>
      <c r="P659" s="15"/>
      <c r="Q659" s="75">
        <v>653</v>
      </c>
      <c r="R659" s="76">
        <f>0.0526*Observaciones!$F658^2.218</f>
        <v>1.2686816847842202</v>
      </c>
      <c r="S659" s="76">
        <f>IF(Observaciones!$F658&gt;0.05*$W$7,((Observaciones!$F658-0.05*$W$7)^2)/(Observaciones!$F658+0.95*$W$7),0)</f>
        <v>0.16418262002606004</v>
      </c>
      <c r="T659" s="76">
        <f>0.0526*S659*Observaciones!$F658^1.218</f>
        <v>4.9594162615940303E-2</v>
      </c>
      <c r="U659" s="29"/>
      <c r="V659" s="29"/>
      <c r="W659" s="109"/>
      <c r="X659" s="40"/>
    </row>
    <row r="660" spans="2:24" s="2" customFormat="1">
      <c r="B660" s="39"/>
      <c r="C660" s="75">
        <v>654</v>
      </c>
      <c r="D660" s="146">
        <f>ETo!$I659*((1-Constantes!$D$19)*ETo!$K659+ETo!$L659)</f>
        <v>4.1923952266934394</v>
      </c>
      <c r="E660" s="76">
        <f>MIN(D660*Constantes!$D$17,0.8*(H659+Observaciones!$F659-F660-G660-Constantes!$D$14))</f>
        <v>2.1376350460096081</v>
      </c>
      <c r="F660" s="76">
        <f>IF(Observaciones!$F659&gt;0.05*Constantes!$D$18,((Observaciones!$F659-0.05*Constantes!$D$18)^2)/(Observaciones!$F659+0.95*Constantes!$D$18),0)</f>
        <v>0.97972122025653396</v>
      </c>
      <c r="G660" s="76">
        <f>MAX(0,H659+Observaciones!$F659-F660-Constantes!$D$13)</f>
        <v>0</v>
      </c>
      <c r="H660" s="76">
        <f>H659+Observaciones!$F659-F660-E660-G660-I659</f>
        <v>41.683696847745331</v>
      </c>
      <c r="I660" s="76">
        <f>MAX(0,(H660-Constantes!$D$14)*(1-EXP(-Constantes!$D$22)))</f>
        <v>1.0366834390225603</v>
      </c>
      <c r="J660" s="76">
        <f t="shared" si="30"/>
        <v>63.675281060692008</v>
      </c>
      <c r="K660" s="76">
        <f>MAX(0,(J660-Constantes!$D$13)*(1-EXP(-Constantes!$D$23)))</f>
        <v>0.14706234921598374</v>
      </c>
      <c r="L660" s="76">
        <f t="shared" si="31"/>
        <v>2.1634670084950778</v>
      </c>
      <c r="M660" s="76">
        <f>0.0526*F660*Observaciones!$F659^1.218</f>
        <v>1.128079177294173</v>
      </c>
      <c r="N660" s="76">
        <f>M660*Constantes!$D$51</f>
        <v>1.5860676452877469E-2</v>
      </c>
      <c r="O660" s="76">
        <f t="shared" si="32"/>
        <v>733.11385801580866</v>
      </c>
      <c r="P660" s="15"/>
      <c r="Q660" s="75">
        <v>654</v>
      </c>
      <c r="R660" s="76">
        <f>0.0526*Observaciones!$F659^2.218</f>
        <v>14.508002215349354</v>
      </c>
      <c r="S660" s="76">
        <f>IF(Observaciones!$F659&gt;0.05*$W$7,((Observaciones!$F659-0.05*$W$7)^2)/(Observaciones!$F659+0.95*$W$7),0)</f>
        <v>2.5957269730569106</v>
      </c>
      <c r="T660" s="76">
        <f>0.0526*S660*Observaciones!$F659^1.218</f>
        <v>2.9887946567898225</v>
      </c>
      <c r="U660" s="29"/>
      <c r="V660" s="29"/>
      <c r="W660" s="109"/>
      <c r="X660" s="40"/>
    </row>
    <row r="661" spans="2:24" s="2" customFormat="1">
      <c r="B661" s="39"/>
      <c r="C661" s="75">
        <v>655</v>
      </c>
      <c r="D661" s="146">
        <f>ETo!$I660*((1-Constantes!$D$19)*ETo!$K660+ETo!$L660)</f>
        <v>4.1998129096316275</v>
      </c>
      <c r="E661" s="76">
        <f>MIN(D661*Constantes!$D$17,0.8*(H660+Observaciones!$F660-F661-G661-Constantes!$D$14))</f>
        <v>2.1414172034998895</v>
      </c>
      <c r="F661" s="76">
        <f>IF(Observaciones!$F660&gt;0.05*Constantes!$D$18,((Observaciones!$F660-0.05*Constantes!$D$18)^2)/(Observaciones!$F660+0.95*Constantes!$D$18),0)</f>
        <v>0</v>
      </c>
      <c r="G661" s="76">
        <f>MAX(0,H660+Observaciones!$F660-F661-Constantes!$D$13)</f>
        <v>0</v>
      </c>
      <c r="H661" s="76">
        <f>H660+Observaciones!$F660-F661-E661-G661-I660</f>
        <v>38.505596205222879</v>
      </c>
      <c r="I661" s="76">
        <f>MAX(0,(H661-Constantes!$D$14)*(1-EXP(-Constantes!$D$22)))</f>
        <v>0.92842566409193861</v>
      </c>
      <c r="J661" s="76">
        <f t="shared" si="30"/>
        <v>63.528218711476022</v>
      </c>
      <c r="K661" s="76">
        <f>MAX(0,(J661-Constantes!$D$13)*(1-EXP(-Constantes!$D$23)))</f>
        <v>0.14561330886163604</v>
      </c>
      <c r="L661" s="76">
        <f t="shared" si="31"/>
        <v>1.0740389729535746</v>
      </c>
      <c r="M661" s="76">
        <f>0.0526*F661*Observaciones!$F660^1.218</f>
        <v>0</v>
      </c>
      <c r="N661" s="76">
        <f>M661*Constantes!$D$51</f>
        <v>0</v>
      </c>
      <c r="O661" s="76">
        <f t="shared" si="32"/>
        <v>0</v>
      </c>
      <c r="P661" s="15"/>
      <c r="Q661" s="75">
        <v>655</v>
      </c>
      <c r="R661" s="76">
        <f>0.0526*Observaciones!$F660^2.218</f>
        <v>0</v>
      </c>
      <c r="S661" s="76">
        <f>IF(Observaciones!$F660&gt;0.05*$W$7,((Observaciones!$F660-0.05*$W$7)^2)/(Observaciones!$F660+0.95*$W$7),0)</f>
        <v>0</v>
      </c>
      <c r="T661" s="76">
        <f>0.0526*S661*Observaciones!$F660^1.218</f>
        <v>0</v>
      </c>
      <c r="U661" s="29"/>
      <c r="V661" s="29"/>
      <c r="W661" s="109"/>
      <c r="X661" s="40"/>
    </row>
    <row r="662" spans="2:24" s="2" customFormat="1">
      <c r="B662" s="39"/>
      <c r="C662" s="75">
        <v>656</v>
      </c>
      <c r="D662" s="146">
        <f>ETo!$I661*((1-Constantes!$D$19)*ETo!$K661+ETo!$L661)</f>
        <v>4.0906692763937968</v>
      </c>
      <c r="E662" s="76">
        <f>MIN(D662*Constantes!$D$17,0.8*(H661+Observaciones!$F661-F662-G662-Constantes!$D$14))</f>
        <v>2.0857666164625557</v>
      </c>
      <c r="F662" s="76">
        <f>IF(Observaciones!$F661&gt;0.05*Constantes!$D$18,((Observaciones!$F661-0.05*Constantes!$D$18)^2)/(Observaciones!$F661+0.95*Constantes!$D$18),0)</f>
        <v>0</v>
      </c>
      <c r="G662" s="76">
        <f>MAX(0,H661+Observaciones!$F661-F662-Constantes!$D$13)</f>
        <v>0</v>
      </c>
      <c r="H662" s="76">
        <f>H661+Observaciones!$F661-F662-E662-G662-I661</f>
        <v>35.491403924668383</v>
      </c>
      <c r="I662" s="76">
        <f>MAX(0,(H662-Constantes!$D$14)*(1-EXP(-Constantes!$D$22)))</f>
        <v>0.82575120968986071</v>
      </c>
      <c r="J662" s="76">
        <f t="shared" si="30"/>
        <v>63.382605402614388</v>
      </c>
      <c r="K662" s="76">
        <f>MAX(0,(J662-Constantes!$D$13)*(1-EXP(-Constantes!$D$23)))</f>
        <v>0.14417854624703427</v>
      </c>
      <c r="L662" s="76">
        <f t="shared" si="31"/>
        <v>0.96992975593689501</v>
      </c>
      <c r="M662" s="76">
        <f>0.0526*F662*Observaciones!$F661^1.218</f>
        <v>0</v>
      </c>
      <c r="N662" s="76">
        <f>M662*Constantes!$D$51</f>
        <v>0</v>
      </c>
      <c r="O662" s="76">
        <f t="shared" si="32"/>
        <v>0</v>
      </c>
      <c r="P662" s="15"/>
      <c r="Q662" s="75">
        <v>656</v>
      </c>
      <c r="R662" s="76">
        <f>0.0526*Observaciones!$F661^2.218</f>
        <v>0</v>
      </c>
      <c r="S662" s="76">
        <f>IF(Observaciones!$F661&gt;0.05*$W$7,((Observaciones!$F661-0.05*$W$7)^2)/(Observaciones!$F661+0.95*$W$7),0)</f>
        <v>0</v>
      </c>
      <c r="T662" s="76">
        <f>0.0526*S662*Observaciones!$F661^1.218</f>
        <v>0</v>
      </c>
      <c r="U662" s="29"/>
      <c r="V662" s="29"/>
      <c r="W662" s="109"/>
      <c r="X662" s="40"/>
    </row>
    <row r="663" spans="2:24" s="2" customFormat="1">
      <c r="B663" s="39"/>
      <c r="C663" s="75">
        <v>657</v>
      </c>
      <c r="D663" s="146">
        <f>ETo!$I662*((1-Constantes!$D$19)*ETo!$K662+ETo!$L662)</f>
        <v>4.1232627450985131</v>
      </c>
      <c r="E663" s="76">
        <f>MIN(D663*Constantes!$D$17,0.8*(H662+Observaciones!$F662-F663-G663-Constantes!$D$14))</f>
        <v>2.1023855030910403</v>
      </c>
      <c r="F663" s="76">
        <f>IF(Observaciones!$F662&gt;0.05*Constantes!$D$18,((Observaciones!$F662-0.05*Constantes!$D$18)^2)/(Observaciones!$F662+0.95*Constantes!$D$18),0)</f>
        <v>0.29117614288546745</v>
      </c>
      <c r="G663" s="76">
        <f>MAX(0,H662+Observaciones!$F662-F663-Constantes!$D$13)</f>
        <v>0</v>
      </c>
      <c r="H663" s="76">
        <f>H662+Observaciones!$F662-F663-E663-G663-I662</f>
        <v>40.672091069002008</v>
      </c>
      <c r="I663" s="76">
        <f>MAX(0,(H663-Constantes!$D$14)*(1-EXP(-Constantes!$D$22)))</f>
        <v>1.0022244325177223</v>
      </c>
      <c r="J663" s="76">
        <f t="shared" si="30"/>
        <v>63.238426856367354</v>
      </c>
      <c r="K663" s="76">
        <f>MAX(0,(J663-Constantes!$D$13)*(1-EXP(-Constantes!$D$23)))</f>
        <v>0.14275792069020801</v>
      </c>
      <c r="L663" s="76">
        <f t="shared" si="31"/>
        <v>1.4361584960933977</v>
      </c>
      <c r="M663" s="76">
        <f>0.0526*F663*Observaciones!$F662^1.218</f>
        <v>0.20460380376018719</v>
      </c>
      <c r="N663" s="76">
        <f>M663*Constantes!$D$51</f>
        <v>2.8767083000789347E-3</v>
      </c>
      <c r="O663" s="76">
        <f t="shared" si="32"/>
        <v>200.30576763665601</v>
      </c>
      <c r="P663" s="15"/>
      <c r="Q663" s="75">
        <v>657</v>
      </c>
      <c r="R663" s="76">
        <f>0.0526*Observaciones!$F662^2.218</f>
        <v>5.9025163756688794</v>
      </c>
      <c r="S663" s="76">
        <f>IF(Observaciones!$F662&gt;0.05*$W$7,((Observaciones!$F662-0.05*$W$7)^2)/(Observaciones!$F662+0.95*$W$7),0)</f>
        <v>1.0765073981812185</v>
      </c>
      <c r="T663" s="76">
        <f>0.0526*S663*Observaciones!$F662^1.218</f>
        <v>0.75644077932063547</v>
      </c>
      <c r="U663" s="29"/>
      <c r="V663" s="29"/>
      <c r="W663" s="109"/>
      <c r="X663" s="40"/>
    </row>
    <row r="664" spans="2:24" s="2" customFormat="1">
      <c r="B664" s="39"/>
      <c r="C664" s="75">
        <v>658</v>
      </c>
      <c r="D664" s="146">
        <f>ETo!$I663*((1-Constantes!$D$19)*ETo!$K663+ETo!$L663)</f>
        <v>4.0391280505885989</v>
      </c>
      <c r="E664" s="76">
        <f>MIN(D664*Constantes!$D$17,0.8*(H663+Observaciones!$F663-F664-G664-Constantes!$D$14))</f>
        <v>2.059486572564504</v>
      </c>
      <c r="F664" s="76">
        <f>IF(Observaciones!$F663&gt;0.05*Constantes!$D$18,((Observaciones!$F663-0.05*Constantes!$D$18)^2)/(Observaciones!$F663+0.95*Constantes!$D$18),0)</f>
        <v>0</v>
      </c>
      <c r="G664" s="76">
        <f>MAX(0,H663+Observaciones!$F663-F664-Constantes!$D$13)</f>
        <v>0</v>
      </c>
      <c r="H664" s="76">
        <f>H663+Observaciones!$F663-F664-E664-G664-I663</f>
        <v>41.010380063919783</v>
      </c>
      <c r="I664" s="76">
        <f>MAX(0,(H664-Constantes!$D$14)*(1-EXP(-Constantes!$D$22)))</f>
        <v>1.013747797568946</v>
      </c>
      <c r="J664" s="76">
        <f t="shared" si="30"/>
        <v>63.095668935677146</v>
      </c>
      <c r="K664" s="76">
        <f>MAX(0,(J664-Constantes!$D$13)*(1-EXP(-Constantes!$D$23)))</f>
        <v>0.1413512928953598</v>
      </c>
      <c r="L664" s="76">
        <f t="shared" si="31"/>
        <v>1.1550990904643057</v>
      </c>
      <c r="M664" s="76">
        <f>0.0526*F664*Observaciones!$F663^1.218</f>
        <v>0</v>
      </c>
      <c r="N664" s="76">
        <f>M664*Constantes!$D$51</f>
        <v>0</v>
      </c>
      <c r="O664" s="76">
        <f t="shared" si="32"/>
        <v>0</v>
      </c>
      <c r="P664" s="15"/>
      <c r="Q664" s="75">
        <v>658</v>
      </c>
      <c r="R664" s="76">
        <f>0.0526*Observaciones!$F663^2.218</f>
        <v>0.79397345371627714</v>
      </c>
      <c r="S664" s="76">
        <f>IF(Observaciones!$F663&gt;0.05*$W$7,((Observaciones!$F663-0.05*$W$7)^2)/(Observaciones!$F663+0.95*$W$7),0)</f>
        <v>7.6652401060814793E-2</v>
      </c>
      <c r="T664" s="76">
        <f>0.0526*S664*Observaciones!$F663^1.218</f>
        <v>1.7899991648794227E-2</v>
      </c>
      <c r="U664" s="29"/>
      <c r="V664" s="29"/>
      <c r="W664" s="109"/>
      <c r="X664" s="40"/>
    </row>
    <row r="665" spans="2:24" s="2" customFormat="1">
      <c r="B665" s="39"/>
      <c r="C665" s="75">
        <v>659</v>
      </c>
      <c r="D665" s="146">
        <f>ETo!$I664*((1-Constantes!$D$19)*ETo!$K664+ETo!$L664)</f>
        <v>4.1273833721718969</v>
      </c>
      <c r="E665" s="76">
        <f>MIN(D665*Constantes!$D$17,0.8*(H664+Observaciones!$F664-F665-G665-Constantes!$D$14))</f>
        <v>2.1044865447074219</v>
      </c>
      <c r="F665" s="76">
        <f>IF(Observaciones!$F664&gt;0.05*Constantes!$D$18,((Observaciones!$F664-0.05*Constantes!$D$18)^2)/(Observaciones!$F664+0.95*Constantes!$D$18),0)</f>
        <v>0</v>
      </c>
      <c r="G665" s="76">
        <f>MAX(0,H664+Observaciones!$F664-F665-Constantes!$D$13)</f>
        <v>0</v>
      </c>
      <c r="H665" s="76">
        <f>H664+Observaciones!$F664-F665-E665-G665-I664</f>
        <v>37.892145721643416</v>
      </c>
      <c r="I665" s="76">
        <f>MAX(0,(H665-Constantes!$D$14)*(1-EXP(-Constantes!$D$22)))</f>
        <v>0.90752928859839344</v>
      </c>
      <c r="J665" s="76">
        <f t="shared" si="30"/>
        <v>62.954317642781788</v>
      </c>
      <c r="K665" s="76">
        <f>MAX(0,(J665-Constantes!$D$13)*(1-EXP(-Constantes!$D$23)))</f>
        <v>0.13995852493920688</v>
      </c>
      <c r="L665" s="76">
        <f t="shared" si="31"/>
        <v>1.0474878135376002</v>
      </c>
      <c r="M665" s="76">
        <f>0.0526*F665*Observaciones!$F664^1.218</f>
        <v>0</v>
      </c>
      <c r="N665" s="76">
        <f>M665*Constantes!$D$51</f>
        <v>0</v>
      </c>
      <c r="O665" s="76">
        <f t="shared" si="32"/>
        <v>0</v>
      </c>
      <c r="P665" s="15"/>
      <c r="Q665" s="75">
        <v>659</v>
      </c>
      <c r="R665" s="76">
        <f>0.0526*Observaciones!$F664^2.218</f>
        <v>0</v>
      </c>
      <c r="S665" s="76">
        <f>IF(Observaciones!$F664&gt;0.05*$W$7,((Observaciones!$F664-0.05*$W$7)^2)/(Observaciones!$F664+0.95*$W$7),0)</f>
        <v>0</v>
      </c>
      <c r="T665" s="76">
        <f>0.0526*S665*Observaciones!$F664^1.218</f>
        <v>0</v>
      </c>
      <c r="U665" s="29"/>
      <c r="V665" s="29"/>
      <c r="W665" s="109"/>
      <c r="X665" s="40"/>
    </row>
    <row r="666" spans="2:24" s="2" customFormat="1">
      <c r="B666" s="39"/>
      <c r="C666" s="75">
        <v>660</v>
      </c>
      <c r="D666" s="146">
        <f>ETo!$I665*((1-Constantes!$D$19)*ETo!$K665+ETo!$L665)</f>
        <v>4.1680149142272098</v>
      </c>
      <c r="E666" s="76">
        <f>MIN(D666*Constantes!$D$17,0.8*(H665+Observaciones!$F665-F666-G666-Constantes!$D$14))</f>
        <v>2.1252039159413725</v>
      </c>
      <c r="F666" s="76">
        <f>IF(Observaciones!$F665&gt;0.05*Constantes!$D$18,((Observaciones!$F665-0.05*Constantes!$D$18)^2)/(Observaciones!$F665+0.95*Constantes!$D$18),0)</f>
        <v>0</v>
      </c>
      <c r="G666" s="76">
        <f>MAX(0,H665+Observaciones!$F665-F666-Constantes!$D$13)</f>
        <v>0</v>
      </c>
      <c r="H666" s="76">
        <f>H665+Observaciones!$F665-F666-E666-G666-I665</f>
        <v>37.35941251710365</v>
      </c>
      <c r="I666" s="76">
        <f>MAX(0,(H666-Constantes!$D$14)*(1-EXP(-Constantes!$D$22)))</f>
        <v>0.88938243994813782</v>
      </c>
      <c r="J666" s="76">
        <f t="shared" si="30"/>
        <v>62.814359117842578</v>
      </c>
      <c r="K666" s="76">
        <f>MAX(0,(J666-Constantes!$D$13)*(1-EXP(-Constantes!$D$23)))</f>
        <v>0.13857948025745737</v>
      </c>
      <c r="L666" s="76">
        <f t="shared" si="31"/>
        <v>1.0279619202055952</v>
      </c>
      <c r="M666" s="76">
        <f>0.0526*F666*Observaciones!$F665^1.218</f>
        <v>0</v>
      </c>
      <c r="N666" s="76">
        <f>M666*Constantes!$D$51</f>
        <v>0</v>
      </c>
      <c r="O666" s="76">
        <f t="shared" si="32"/>
        <v>0</v>
      </c>
      <c r="P666" s="15"/>
      <c r="Q666" s="75">
        <v>660</v>
      </c>
      <c r="R666" s="76">
        <f>0.0526*Observaciones!$F665^2.218</f>
        <v>0.40143633905347276</v>
      </c>
      <c r="S666" s="76">
        <f>IF(Observaciones!$F665&gt;0.05*$W$7,((Observaciones!$F665-0.05*$W$7)^2)/(Observaciones!$F665+0.95*$W$7),0)</f>
        <v>1.6667444764761515E-2</v>
      </c>
      <c r="T666" s="76">
        <f>0.0526*S666*Observaciones!$F665^1.218</f>
        <v>2.6763672030967324E-3</v>
      </c>
      <c r="U666" s="29"/>
      <c r="V666" s="29"/>
      <c r="W666" s="109"/>
      <c r="X666" s="40"/>
    </row>
    <row r="667" spans="2:24" s="2" customFormat="1">
      <c r="B667" s="39"/>
      <c r="C667" s="75">
        <v>661</v>
      </c>
      <c r="D667" s="146">
        <f>ETo!$I666*((1-Constantes!$D$19)*ETo!$K666+ETo!$L666)</f>
        <v>4.2215087510305613</v>
      </c>
      <c r="E667" s="76">
        <f>MIN(D667*Constantes!$D$17,0.8*(H666+Observaciones!$F666-F667-G667-Constantes!$D$14))</f>
        <v>2.1524795648516375</v>
      </c>
      <c r="F667" s="76">
        <f>IF(Observaciones!$F666&gt;0.05*Constantes!$D$18,((Observaciones!$F666-0.05*Constantes!$D$18)^2)/(Observaciones!$F666+0.95*Constantes!$D$18),0)</f>
        <v>0</v>
      </c>
      <c r="G667" s="76">
        <f>MAX(0,H666+Observaciones!$F666-F667-Constantes!$D$13)</f>
        <v>0</v>
      </c>
      <c r="H667" s="76">
        <f>H666+Observaciones!$F666-F667-E667-G667-I666</f>
        <v>37.517550512303877</v>
      </c>
      <c r="I667" s="76">
        <f>MAX(0,(H667-Constantes!$D$14)*(1-EXP(-Constantes!$D$22)))</f>
        <v>0.89476920060112275</v>
      </c>
      <c r="J667" s="76">
        <f t="shared" si="30"/>
        <v>62.675779637585123</v>
      </c>
      <c r="K667" s="76">
        <f>MAX(0,(J667-Constantes!$D$13)*(1-EXP(-Constantes!$D$23)))</f>
        <v>0.13721402363142002</v>
      </c>
      <c r="L667" s="76">
        <f t="shared" si="31"/>
        <v>1.0319832242325429</v>
      </c>
      <c r="M667" s="76">
        <f>0.0526*F667*Observaciones!$F666^1.218</f>
        <v>0</v>
      </c>
      <c r="N667" s="76">
        <f>M667*Constantes!$D$51</f>
        <v>0</v>
      </c>
      <c r="O667" s="76">
        <f t="shared" si="32"/>
        <v>0</v>
      </c>
      <c r="P667" s="15"/>
      <c r="Q667" s="75">
        <v>661</v>
      </c>
      <c r="R667" s="76">
        <f>0.0526*Observaciones!$F666^2.218</f>
        <v>0.69407818724181081</v>
      </c>
      <c r="S667" s="76">
        <f>IF(Observaciones!$F666&gt;0.05*$W$7,((Observaciones!$F666-0.05*$W$7)^2)/(Observaciones!$F666+0.95*$W$7),0)</f>
        <v>5.9703226397170815E-2</v>
      </c>
      <c r="T667" s="76">
        <f>0.0526*S667*Observaciones!$F666^1.218</f>
        <v>1.2949595984448673E-2</v>
      </c>
      <c r="U667" s="29"/>
      <c r="V667" s="29"/>
      <c r="W667" s="109"/>
      <c r="X667" s="40"/>
    </row>
    <row r="668" spans="2:24" s="2" customFormat="1">
      <c r="B668" s="39"/>
      <c r="C668" s="75">
        <v>662</v>
      </c>
      <c r="D668" s="146">
        <f>ETo!$I667*((1-Constantes!$D$19)*ETo!$K667+ETo!$L667)</f>
        <v>3.9407586027658663</v>
      </c>
      <c r="E668" s="76">
        <f>MIN(D668*Constantes!$D$17,0.8*(H667+Observaciones!$F667-F668-G668-Constantes!$D$14))</f>
        <v>2.0093295697648577</v>
      </c>
      <c r="F668" s="76">
        <f>IF(Observaciones!$F667&gt;0.05*Constantes!$D$18,((Observaciones!$F667-0.05*Constantes!$D$18)^2)/(Observaciones!$F667+0.95*Constantes!$D$18),0)</f>
        <v>0</v>
      </c>
      <c r="G668" s="76">
        <f>MAX(0,H667+Observaciones!$F667-F668-Constantes!$D$13)</f>
        <v>0</v>
      </c>
      <c r="H668" s="76">
        <f>H667+Observaciones!$F667-F668-E668-G668-I667</f>
        <v>36.413451741937891</v>
      </c>
      <c r="I668" s="76">
        <f>MAX(0,(H668-Constantes!$D$14)*(1-EXP(-Constantes!$D$22)))</f>
        <v>0.85715954325289334</v>
      </c>
      <c r="J668" s="76">
        <f t="shared" si="30"/>
        <v>62.538565613953701</v>
      </c>
      <c r="K668" s="76">
        <f>MAX(0,(J668-Constantes!$D$13)*(1-EXP(-Constantes!$D$23)))</f>
        <v>0.13586202117474541</v>
      </c>
      <c r="L668" s="76">
        <f t="shared" si="31"/>
        <v>0.99302156442763878</v>
      </c>
      <c r="M668" s="76">
        <f>0.0526*F668*Observaciones!$F667^1.218</f>
        <v>0</v>
      </c>
      <c r="N668" s="76">
        <f>M668*Constantes!$D$51</f>
        <v>0</v>
      </c>
      <c r="O668" s="76">
        <f t="shared" si="32"/>
        <v>0</v>
      </c>
      <c r="P668" s="15"/>
      <c r="Q668" s="75">
        <v>662</v>
      </c>
      <c r="R668" s="76">
        <f>0.0526*Observaciones!$F667^2.218</f>
        <v>0.19372254258423433</v>
      </c>
      <c r="S668" s="76">
        <f>IF(Observaciones!$F667&gt;0.05*$W$7,((Observaciones!$F667-0.05*$W$7)^2)/(Observaciones!$F667+0.95*$W$7),0)</f>
        <v>1.3395249151634377E-4</v>
      </c>
      <c r="T668" s="76">
        <f>0.0526*S668*Observaciones!$F667^1.218</f>
        <v>1.441645402335511E-5</v>
      </c>
      <c r="U668" s="29"/>
      <c r="V668" s="29"/>
      <c r="W668" s="109"/>
      <c r="X668" s="40"/>
    </row>
    <row r="669" spans="2:24" s="2" customFormat="1">
      <c r="B669" s="39"/>
      <c r="C669" s="75">
        <v>663</v>
      </c>
      <c r="D669" s="146">
        <f>ETo!$I668*((1-Constantes!$D$19)*ETo!$K668+ETo!$L668)</f>
        <v>3.9588412632367103</v>
      </c>
      <c r="E669" s="76">
        <f>MIN(D669*Constantes!$D$17,0.8*(H668+Observaciones!$F668-F669-G669-Constantes!$D$14))</f>
        <v>2.0185496281461508</v>
      </c>
      <c r="F669" s="76">
        <f>IF(Observaciones!$F668&gt;0.05*Constantes!$D$18,((Observaciones!$F668-0.05*Constantes!$D$18)^2)/(Observaciones!$F668+0.95*Constantes!$D$18),0)</f>
        <v>6.1881072774216207E-2</v>
      </c>
      <c r="G669" s="76">
        <f>MAX(0,H668+Observaciones!$F668-F669-Constantes!$D$13)</f>
        <v>0</v>
      </c>
      <c r="H669" s="76">
        <f>H668+Observaciones!$F668-F669-E669-G669-I668</f>
        <v>39.27586149776463</v>
      </c>
      <c r="I669" s="76">
        <f>MAX(0,(H669-Constantes!$D$14)*(1-EXP(-Constantes!$D$22)))</f>
        <v>0.95466372765768837</v>
      </c>
      <c r="J669" s="76">
        <f t="shared" si="30"/>
        <v>62.402703592778956</v>
      </c>
      <c r="K669" s="76">
        <f>MAX(0,(J669-Constantes!$D$13)*(1-EXP(-Constantes!$D$23)))</f>
        <v>0.13452334032029836</v>
      </c>
      <c r="L669" s="76">
        <f t="shared" si="31"/>
        <v>1.151068140752203</v>
      </c>
      <c r="M669" s="76">
        <f>0.0526*F669*Observaciones!$F668^1.218</f>
        <v>2.7694840886423985E-2</v>
      </c>
      <c r="N669" s="76">
        <f>M669*Constantes!$D$51</f>
        <v>3.8938659586564293E-4</v>
      </c>
      <c r="O669" s="76">
        <f t="shared" si="32"/>
        <v>33.828283668001234</v>
      </c>
      <c r="P669" s="15"/>
      <c r="Q669" s="75">
        <v>663</v>
      </c>
      <c r="R669" s="76">
        <f>0.0526*Observaciones!$F668^2.218</f>
        <v>2.5957868850681649</v>
      </c>
      <c r="S669" s="76">
        <f>IF(Observaciones!$F668&gt;0.05*$W$7,((Observaciones!$F668-0.05*$W$7)^2)/(Observaciones!$F668+0.95*$W$7),0)</f>
        <v>0.42760102492926944</v>
      </c>
      <c r="T669" s="76">
        <f>0.0526*S669*Observaciones!$F668^1.218</f>
        <v>0.19137260906087983</v>
      </c>
      <c r="U669" s="29"/>
      <c r="V669" s="29"/>
      <c r="W669" s="109"/>
      <c r="X669" s="40"/>
    </row>
    <row r="670" spans="2:24" s="2" customFormat="1">
      <c r="B670" s="39"/>
      <c r="C670" s="75">
        <v>664</v>
      </c>
      <c r="D670" s="146">
        <f>ETo!$I669*((1-Constantes!$D$19)*ETo!$K669+ETo!$L669)</f>
        <v>4.0897736866914771</v>
      </c>
      <c r="E670" s="76">
        <f>MIN(D670*Constantes!$D$17,0.8*(H669+Observaciones!$F669-F670-G670-Constantes!$D$14))</f>
        <v>2.0853099696458779</v>
      </c>
      <c r="F670" s="76">
        <f>IF(Observaciones!$F669&gt;0.05*Constantes!$D$18,((Observaciones!$F669-0.05*Constantes!$D$18)^2)/(Observaciones!$F669+0.95*Constantes!$D$18),0)</f>
        <v>0</v>
      </c>
      <c r="G670" s="76">
        <f>MAX(0,H669+Observaciones!$F669-F670-Constantes!$D$13)</f>
        <v>0</v>
      </c>
      <c r="H670" s="76">
        <f>H669+Observaciones!$F669-F670-E670-G670-I669</f>
        <v>37.935887800461067</v>
      </c>
      <c r="I670" s="76">
        <f>MAX(0,(H670-Constantes!$D$14)*(1-EXP(-Constantes!$D$22)))</f>
        <v>0.9090193043833813</v>
      </c>
      <c r="J670" s="76">
        <f t="shared" si="30"/>
        <v>62.268180252458656</v>
      </c>
      <c r="K670" s="76">
        <f>MAX(0,(J670-Constantes!$D$13)*(1-EXP(-Constantes!$D$23)))</f>
        <v>0.1331978498071591</v>
      </c>
      <c r="L670" s="76">
        <f t="shared" si="31"/>
        <v>1.0422171541905403</v>
      </c>
      <c r="M670" s="76">
        <f>0.0526*F670*Observaciones!$F669^1.218</f>
        <v>0</v>
      </c>
      <c r="N670" s="76">
        <f>M670*Constantes!$D$51</f>
        <v>0</v>
      </c>
      <c r="O670" s="76">
        <f t="shared" si="32"/>
        <v>0</v>
      </c>
      <c r="P670" s="15"/>
      <c r="Q670" s="75">
        <v>664</v>
      </c>
      <c r="R670" s="76">
        <f>0.0526*Observaciones!$F669^2.218</f>
        <v>0.17065595668433275</v>
      </c>
      <c r="S670" s="76">
        <f>IF(Observaciones!$F669&gt;0.05*$W$7,((Observaciones!$F669-0.05*$W$7)^2)/(Observaciones!$F669+0.95*$W$7),0)</f>
        <v>0</v>
      </c>
      <c r="T670" s="76">
        <f>0.0526*S670*Observaciones!$F669^1.218</f>
        <v>0</v>
      </c>
      <c r="U670" s="29"/>
      <c r="V670" s="29"/>
      <c r="W670" s="109"/>
      <c r="X670" s="40"/>
    </row>
    <row r="671" spans="2:24" s="2" customFormat="1">
      <c r="B671" s="39"/>
      <c r="C671" s="75">
        <v>665</v>
      </c>
      <c r="D671" s="146">
        <f>ETo!$I670*((1-Constantes!$D$19)*ETo!$K670+ETo!$L670)</f>
        <v>4.2207573967999856</v>
      </c>
      <c r="E671" s="76">
        <f>MIN(D671*Constantes!$D$17,0.8*(H670+Observaciones!$F670-F671-G671-Constantes!$D$14))</f>
        <v>2.1520964613872935</v>
      </c>
      <c r="F671" s="76">
        <f>IF(Observaciones!$F670&gt;0.05*Constantes!$D$18,((Observaciones!$F670-0.05*Constantes!$D$18)^2)/(Observaciones!$F670+0.95*Constantes!$D$18),0)</f>
        <v>0</v>
      </c>
      <c r="G671" s="76">
        <f>MAX(0,H670+Observaciones!$F670-F671-Constantes!$D$13)</f>
        <v>0</v>
      </c>
      <c r="H671" s="76">
        <f>H670+Observaciones!$F670-F671-E671-G671-I670</f>
        <v>35.174772034690392</v>
      </c>
      <c r="I671" s="76">
        <f>MAX(0,(H671-Constantes!$D$14)*(1-EXP(-Constantes!$D$22)))</f>
        <v>0.81496556513774598</v>
      </c>
      <c r="J671" s="76">
        <f t="shared" si="30"/>
        <v>62.134982402651495</v>
      </c>
      <c r="K671" s="76">
        <f>MAX(0,(J671-Constantes!$D$13)*(1-EXP(-Constantes!$D$23)))</f>
        <v>0.13188541966775302</v>
      </c>
      <c r="L671" s="76">
        <f t="shared" si="31"/>
        <v>0.94685098480549901</v>
      </c>
      <c r="M671" s="76">
        <f>0.0526*F671*Observaciones!$F670^1.218</f>
        <v>0</v>
      </c>
      <c r="N671" s="76">
        <f>M671*Constantes!$D$51</f>
        <v>0</v>
      </c>
      <c r="O671" s="76">
        <f t="shared" si="32"/>
        <v>0</v>
      </c>
      <c r="P671" s="15"/>
      <c r="Q671" s="75">
        <v>665</v>
      </c>
      <c r="R671" s="76">
        <f>0.0526*Observaciones!$F670^2.218</f>
        <v>3.6411677467564265E-3</v>
      </c>
      <c r="S671" s="76">
        <f>IF(Observaciones!$F670&gt;0.05*$W$7,((Observaciones!$F670-0.05*$W$7)^2)/(Observaciones!$F670+0.95*$W$7),0)</f>
        <v>0</v>
      </c>
      <c r="T671" s="76">
        <f>0.0526*S671*Observaciones!$F670^1.218</f>
        <v>0</v>
      </c>
      <c r="U671" s="29"/>
      <c r="V671" s="29"/>
      <c r="W671" s="109"/>
      <c r="X671" s="40"/>
    </row>
    <row r="672" spans="2:24" s="2" customFormat="1">
      <c r="B672" s="39"/>
      <c r="C672" s="75">
        <v>666</v>
      </c>
      <c r="D672" s="146">
        <f>ETo!$I671*((1-Constantes!$D$19)*ETo!$K671+ETo!$L671)</f>
        <v>4.3475602454165516</v>
      </c>
      <c r="E672" s="76">
        <f>MIN(D672*Constantes!$D$17,0.8*(H671+Observaciones!$F671-F672-G672-Constantes!$D$14))</f>
        <v>2.2167511989489541</v>
      </c>
      <c r="F672" s="76">
        <f>IF(Observaciones!$F671&gt;0.05*Constantes!$D$18,((Observaciones!$F671-0.05*Constantes!$D$18)^2)/(Observaciones!$F671+0.95*Constantes!$D$18),0)</f>
        <v>0</v>
      </c>
      <c r="G672" s="76">
        <f>MAX(0,H671+Observaciones!$F671-F672-Constantes!$D$13)</f>
        <v>0</v>
      </c>
      <c r="H672" s="76">
        <f>H671+Observaciones!$F671-F672-E672-G672-I671</f>
        <v>33.543055270603688</v>
      </c>
      <c r="I672" s="76">
        <f>MAX(0,(H672-Constantes!$D$14)*(1-EXP(-Constantes!$D$22)))</f>
        <v>0.75938330199808124</v>
      </c>
      <c r="J672" s="76">
        <f t="shared" si="30"/>
        <v>62.003096982983742</v>
      </c>
      <c r="K672" s="76">
        <f>MAX(0,(J672-Constantes!$D$13)*(1-EXP(-Constantes!$D$23)))</f>
        <v>0.13058592121510704</v>
      </c>
      <c r="L672" s="76">
        <f t="shared" si="31"/>
        <v>0.88996922321318828</v>
      </c>
      <c r="M672" s="76">
        <f>0.0526*F672*Observaciones!$F671^1.218</f>
        <v>0</v>
      </c>
      <c r="N672" s="76">
        <f>M672*Constantes!$D$51</f>
        <v>0</v>
      </c>
      <c r="O672" s="76">
        <f t="shared" si="32"/>
        <v>0</v>
      </c>
      <c r="P672" s="15"/>
      <c r="Q672" s="75">
        <v>666</v>
      </c>
      <c r="R672" s="76">
        <f>0.0526*Observaciones!$F671^2.218</f>
        <v>0.11094244358496377</v>
      </c>
      <c r="S672" s="76">
        <f>IF(Observaciones!$F671&gt;0.05*$W$7,((Observaciones!$F671-0.05*$W$7)^2)/(Observaciones!$F671+0.95*$W$7),0)</f>
        <v>0</v>
      </c>
      <c r="T672" s="76">
        <f>0.0526*S672*Observaciones!$F671^1.218</f>
        <v>0</v>
      </c>
      <c r="U672" s="29"/>
      <c r="V672" s="29"/>
      <c r="W672" s="109"/>
      <c r="X672" s="40"/>
    </row>
    <row r="673" spans="2:24" s="2" customFormat="1">
      <c r="B673" s="39"/>
      <c r="C673" s="75">
        <v>667</v>
      </c>
      <c r="D673" s="146">
        <f>ETo!$I672*((1-Constantes!$D$19)*ETo!$K672+ETo!$L672)</f>
        <v>4.3389960407886177</v>
      </c>
      <c r="E673" s="76">
        <f>MIN(D673*Constantes!$D$17,0.8*(H672+Observaciones!$F672-F673-G673-Constantes!$D$14))</f>
        <v>2.2123844484485944</v>
      </c>
      <c r="F673" s="76">
        <f>IF(Observaciones!$F672&gt;0.05*Constantes!$D$18,((Observaciones!$F672-0.05*Constantes!$D$18)^2)/(Observaciones!$F672+0.95*Constantes!$D$18),0)</f>
        <v>0</v>
      </c>
      <c r="G673" s="76">
        <f>MAX(0,H672+Observaciones!$F672-F673-Constantes!$D$13)</f>
        <v>0</v>
      </c>
      <c r="H673" s="76">
        <f>H672+Observaciones!$F672-F673-E673-G673-I672</f>
        <v>30.571287520157011</v>
      </c>
      <c r="I673" s="76">
        <f>MAX(0,(H673-Constantes!$D$14)*(1-EXP(-Constantes!$D$22)))</f>
        <v>0.65815398283511406</v>
      </c>
      <c r="J673" s="76">
        <f t="shared" si="30"/>
        <v>61.872511061768634</v>
      </c>
      <c r="K673" s="76">
        <f>MAX(0,(J673-Constantes!$D$13)*(1-EXP(-Constantes!$D$23)))</f>
        <v>0.12929922703023139</v>
      </c>
      <c r="L673" s="76">
        <f t="shared" si="31"/>
        <v>0.7874532098653455</v>
      </c>
      <c r="M673" s="76">
        <f>0.0526*F673*Observaciones!$F672^1.218</f>
        <v>0</v>
      </c>
      <c r="N673" s="76">
        <f>M673*Constantes!$D$51</f>
        <v>0</v>
      </c>
      <c r="O673" s="76">
        <f t="shared" si="32"/>
        <v>0</v>
      </c>
      <c r="P673" s="15"/>
      <c r="Q673" s="75">
        <v>667</v>
      </c>
      <c r="R673" s="76">
        <f>0.0526*Observaciones!$F672^2.218</f>
        <v>0</v>
      </c>
      <c r="S673" s="76">
        <f>IF(Observaciones!$F672&gt;0.05*$W$7,((Observaciones!$F672-0.05*$W$7)^2)/(Observaciones!$F672+0.95*$W$7),0)</f>
        <v>0</v>
      </c>
      <c r="T673" s="76">
        <f>0.0526*S673*Observaciones!$F672^1.218</f>
        <v>0</v>
      </c>
      <c r="U673" s="29"/>
      <c r="V673" s="29"/>
      <c r="W673" s="109"/>
      <c r="X673" s="40"/>
    </row>
    <row r="674" spans="2:24" s="2" customFormat="1">
      <c r="B674" s="39"/>
      <c r="C674" s="75">
        <v>668</v>
      </c>
      <c r="D674" s="146">
        <f>ETo!$I673*((1-Constantes!$D$19)*ETo!$K673+ETo!$L673)</f>
        <v>4.2166137780151312</v>
      </c>
      <c r="E674" s="76">
        <f>MIN(D674*Constantes!$D$17,0.8*(H673+Observaciones!$F673-F674-G674-Constantes!$D$14))</f>
        <v>2.1499836966662071</v>
      </c>
      <c r="F674" s="76">
        <f>IF(Observaciones!$F673&gt;0.05*Constantes!$D$18,((Observaciones!$F673-0.05*Constantes!$D$18)^2)/(Observaciones!$F673+0.95*Constantes!$D$18),0)</f>
        <v>0</v>
      </c>
      <c r="G674" s="76">
        <f>MAX(0,H673+Observaciones!$F673-F674-Constantes!$D$13)</f>
        <v>0</v>
      </c>
      <c r="H674" s="76">
        <f>H673+Observaciones!$F673-F674-E674-G674-I673</f>
        <v>30.263149840655693</v>
      </c>
      <c r="I674" s="76">
        <f>MAX(0,(H674-Constantes!$D$14)*(1-EXP(-Constantes!$D$22)))</f>
        <v>0.64765768227471987</v>
      </c>
      <c r="J674" s="76">
        <f t="shared" si="30"/>
        <v>61.743211834738403</v>
      </c>
      <c r="K674" s="76">
        <f>MAX(0,(J674-Constantes!$D$13)*(1-EXP(-Constantes!$D$23)))</f>
        <v>0.12802521094962599</v>
      </c>
      <c r="L674" s="76">
        <f t="shared" si="31"/>
        <v>0.7756828932243458</v>
      </c>
      <c r="M674" s="76">
        <f>0.0526*F674*Observaciones!$F673^1.218</f>
        <v>0</v>
      </c>
      <c r="N674" s="76">
        <f>M674*Constantes!$D$51</f>
        <v>0</v>
      </c>
      <c r="O674" s="76">
        <f t="shared" si="32"/>
        <v>0</v>
      </c>
      <c r="P674" s="15"/>
      <c r="Q674" s="75">
        <v>668</v>
      </c>
      <c r="R674" s="76">
        <f>0.0526*Observaciones!$F673^2.218</f>
        <v>0.40143633905347276</v>
      </c>
      <c r="S674" s="76">
        <f>IF(Observaciones!$F673&gt;0.05*$W$7,((Observaciones!$F673-0.05*$W$7)^2)/(Observaciones!$F673+0.95*$W$7),0)</f>
        <v>1.6667444764761515E-2</v>
      </c>
      <c r="T674" s="76">
        <f>0.0526*S674*Observaciones!$F673^1.218</f>
        <v>2.6763672030967324E-3</v>
      </c>
      <c r="U674" s="29"/>
      <c r="V674" s="29"/>
      <c r="W674" s="109"/>
      <c r="X674" s="40"/>
    </row>
    <row r="675" spans="2:24" s="2" customFormat="1">
      <c r="B675" s="39"/>
      <c r="C675" s="75">
        <v>669</v>
      </c>
      <c r="D675" s="146">
        <f>ETo!$I674*((1-Constantes!$D$19)*ETo!$K674+ETo!$L674)</f>
        <v>4.2861703884606843</v>
      </c>
      <c r="E675" s="76">
        <f>MIN(D675*Constantes!$D$17,0.8*(H674+Observaciones!$F674-F675-G675-Constantes!$D$14))</f>
        <v>2.185449496079237</v>
      </c>
      <c r="F675" s="76">
        <f>IF(Observaciones!$F674&gt;0.05*Constantes!$D$18,((Observaciones!$F674-0.05*Constantes!$D$18)^2)/(Observaciones!$F674+0.95*Constantes!$D$18),0)</f>
        <v>0</v>
      </c>
      <c r="G675" s="76">
        <f>MAX(0,H674+Observaciones!$F674-F675-Constantes!$D$13)</f>
        <v>0</v>
      </c>
      <c r="H675" s="76">
        <f>H674+Observaciones!$F674-F675-E675-G675-I674</f>
        <v>27.430042662301737</v>
      </c>
      <c r="I675" s="76">
        <f>MAX(0,(H675-Constantes!$D$14)*(1-EXP(-Constantes!$D$22)))</f>
        <v>0.55115165123061194</v>
      </c>
      <c r="J675" s="76">
        <f t="shared" si="30"/>
        <v>61.61518662378878</v>
      </c>
      <c r="K675" s="76">
        <f>MAX(0,(J675-Constantes!$D$13)*(1-EXP(-Constantes!$D$23)))</f>
        <v>0.12676374805290982</v>
      </c>
      <c r="L675" s="76">
        <f t="shared" si="31"/>
        <v>0.67791539928352174</v>
      </c>
      <c r="M675" s="76">
        <f>0.0526*F675*Observaciones!$F674^1.218</f>
        <v>0</v>
      </c>
      <c r="N675" s="76">
        <f>M675*Constantes!$D$51</f>
        <v>0</v>
      </c>
      <c r="O675" s="76">
        <f t="shared" si="32"/>
        <v>0</v>
      </c>
      <c r="P675" s="15"/>
      <c r="Q675" s="75">
        <v>669</v>
      </c>
      <c r="R675" s="76">
        <f>0.0526*Observaciones!$F674^2.218</f>
        <v>0</v>
      </c>
      <c r="S675" s="76">
        <f>IF(Observaciones!$F674&gt;0.05*$W$7,((Observaciones!$F674-0.05*$W$7)^2)/(Observaciones!$F674+0.95*$W$7),0)</f>
        <v>0</v>
      </c>
      <c r="T675" s="76">
        <f>0.0526*S675*Observaciones!$F674^1.218</f>
        <v>0</v>
      </c>
      <c r="U675" s="29"/>
      <c r="V675" s="29"/>
      <c r="W675" s="109"/>
      <c r="X675" s="40"/>
    </row>
    <row r="676" spans="2:24" s="2" customFormat="1">
      <c r="B676" s="39"/>
      <c r="C676" s="75">
        <v>670</v>
      </c>
      <c r="D676" s="146">
        <f>ETo!$I675*((1-Constantes!$D$19)*ETo!$K675+ETo!$L675)</f>
        <v>4.255017109363699</v>
      </c>
      <c r="E676" s="76">
        <f>MIN(D676*Constantes!$D$17,0.8*(H675+Observaciones!$F675-F676-G676-Constantes!$D$14))</f>
        <v>2.1695649390193918</v>
      </c>
      <c r="F676" s="76">
        <f>IF(Observaciones!$F675&gt;0.05*Constantes!$D$18,((Observaciones!$F675-0.05*Constantes!$D$18)^2)/(Observaciones!$F675+0.95*Constantes!$D$18),0)</f>
        <v>0</v>
      </c>
      <c r="G676" s="76">
        <f>MAX(0,H675+Observaciones!$F675-F676-Constantes!$D$13)</f>
        <v>0</v>
      </c>
      <c r="H676" s="76">
        <f>H675+Observaciones!$F675-F676-E676-G676-I675</f>
        <v>25.109326072051733</v>
      </c>
      <c r="I676" s="76">
        <f>MAX(0,(H676-Constantes!$D$14)*(1-EXP(-Constantes!$D$22)))</f>
        <v>0.47209952464168187</v>
      </c>
      <c r="J676" s="76">
        <f t="shared" si="30"/>
        <v>61.488422875735871</v>
      </c>
      <c r="K676" s="76">
        <f>MAX(0,(J676-Constantes!$D$13)*(1-EXP(-Constantes!$D$23)))</f>
        <v>0.12551471465057204</v>
      </c>
      <c r="L676" s="76">
        <f t="shared" si="31"/>
        <v>0.59761423929225388</v>
      </c>
      <c r="M676" s="76">
        <f>0.0526*F676*Observaciones!$F675^1.218</f>
        <v>0</v>
      </c>
      <c r="N676" s="76">
        <f>M676*Constantes!$D$51</f>
        <v>0</v>
      </c>
      <c r="O676" s="76">
        <f t="shared" si="32"/>
        <v>0</v>
      </c>
      <c r="P676" s="15"/>
      <c r="Q676" s="75">
        <v>670</v>
      </c>
      <c r="R676" s="76">
        <f>0.0526*Observaciones!$F675^2.218</f>
        <v>6.8921513346888582E-3</v>
      </c>
      <c r="S676" s="76">
        <f>IF(Observaciones!$F675&gt;0.05*$W$7,((Observaciones!$F675-0.05*$W$7)^2)/(Observaciones!$F675+0.95*$W$7),0)</f>
        <v>0</v>
      </c>
      <c r="T676" s="76">
        <f>0.0526*S676*Observaciones!$F675^1.218</f>
        <v>0</v>
      </c>
      <c r="U676" s="29"/>
      <c r="V676" s="29"/>
      <c r="W676" s="109"/>
      <c r="X676" s="40"/>
    </row>
    <row r="677" spans="2:24" s="2" customFormat="1">
      <c r="B677" s="39"/>
      <c r="C677" s="75">
        <v>671</v>
      </c>
      <c r="D677" s="146">
        <f>ETo!$I676*((1-Constantes!$D$19)*ETo!$K676+ETo!$L676)</f>
        <v>4.2673873609936095</v>
      </c>
      <c r="E677" s="76">
        <f>MIN(D677*Constantes!$D$17,0.8*(H676+Observaciones!$F676-F677-G677-Constantes!$D$14))</f>
        <v>2.1758723318061421</v>
      </c>
      <c r="F677" s="76">
        <f>IF(Observaciones!$F676&gt;0.05*Constantes!$D$18,((Observaciones!$F676-0.05*Constantes!$D$18)^2)/(Observaciones!$F676+0.95*Constantes!$D$18),0)</f>
        <v>0</v>
      </c>
      <c r="G677" s="76">
        <f>MAX(0,H676+Observaciones!$F676-F677-Constantes!$D$13)</f>
        <v>0</v>
      </c>
      <c r="H677" s="76">
        <f>H676+Observaciones!$F676-F677-E677-G677-I676</f>
        <v>24.661354215603907</v>
      </c>
      <c r="I677" s="76">
        <f>MAX(0,(H677-Constantes!$D$14)*(1-EXP(-Constantes!$D$22)))</f>
        <v>0.45683995867271687</v>
      </c>
      <c r="J677" s="76">
        <f t="shared" si="30"/>
        <v>61.362908161085301</v>
      </c>
      <c r="K677" s="76">
        <f>MAX(0,(J677-Constantes!$D$13)*(1-EXP(-Constantes!$D$23)))</f>
        <v>0.12427798827184408</v>
      </c>
      <c r="L677" s="76">
        <f t="shared" si="31"/>
        <v>0.58111794694456098</v>
      </c>
      <c r="M677" s="76">
        <f>0.0526*F677*Observaciones!$F676^1.218</f>
        <v>0</v>
      </c>
      <c r="N677" s="76">
        <f>M677*Constantes!$D$51</f>
        <v>0</v>
      </c>
      <c r="O677" s="76">
        <f t="shared" si="32"/>
        <v>0</v>
      </c>
      <c r="P677" s="15"/>
      <c r="Q677" s="75">
        <v>671</v>
      </c>
      <c r="R677" s="76">
        <f>0.0526*Observaciones!$F676^2.218</f>
        <v>0.30232861200727251</v>
      </c>
      <c r="S677" s="76">
        <f>IF(Observaciones!$F676&gt;0.05*$W$7,((Observaciones!$F676-0.05*$W$7)^2)/(Observaciones!$F676+0.95*$W$7),0)</f>
        <v>6.2440408225724973E-3</v>
      </c>
      <c r="T677" s="76">
        <f>0.0526*S677*Observaciones!$F676^1.218</f>
        <v>8.5806917963867778E-4</v>
      </c>
      <c r="U677" s="29"/>
      <c r="V677" s="29"/>
      <c r="W677" s="109"/>
      <c r="X677" s="40"/>
    </row>
    <row r="678" spans="2:24" s="2" customFormat="1">
      <c r="B678" s="39"/>
      <c r="C678" s="75">
        <v>672</v>
      </c>
      <c r="D678" s="146">
        <f>ETo!$I677*((1-Constantes!$D$19)*ETo!$K677+ETo!$L677)</f>
        <v>4.3058632169196178</v>
      </c>
      <c r="E678" s="76">
        <f>MIN(D678*Constantes!$D$17,0.8*(H677+Observaciones!$F677-F678-G678-Constantes!$D$14))</f>
        <v>2.1954905532774802</v>
      </c>
      <c r="F678" s="76">
        <f>IF(Observaciones!$F677&gt;0.05*Constantes!$D$18,((Observaciones!$F677-0.05*Constantes!$D$18)^2)/(Observaciones!$F677+0.95*Constantes!$D$18),0)</f>
        <v>0</v>
      </c>
      <c r="G678" s="76">
        <f>MAX(0,H677+Observaciones!$F677-F678-Constantes!$D$13)</f>
        <v>0</v>
      </c>
      <c r="H678" s="76">
        <f>H677+Observaciones!$F677-F678-E678-G678-I677</f>
        <v>22.00902370365371</v>
      </c>
      <c r="I678" s="76">
        <f>MAX(0,(H678-Constantes!$D$14)*(1-EXP(-Constantes!$D$22)))</f>
        <v>0.36649184453104944</v>
      </c>
      <c r="J678" s="76">
        <f t="shared" si="30"/>
        <v>61.238630172813458</v>
      </c>
      <c r="K678" s="76">
        <f>MAX(0,(J678-Constantes!$D$13)*(1-EXP(-Constantes!$D$23)))</f>
        <v>0.12305344765269099</v>
      </c>
      <c r="L678" s="76">
        <f t="shared" si="31"/>
        <v>0.48954529218374043</v>
      </c>
      <c r="M678" s="76">
        <f>0.0526*F678*Observaciones!$F677^1.218</f>
        <v>0</v>
      </c>
      <c r="N678" s="76">
        <f>M678*Constantes!$D$51</f>
        <v>0</v>
      </c>
      <c r="O678" s="76">
        <f t="shared" si="32"/>
        <v>0</v>
      </c>
      <c r="P678" s="15"/>
      <c r="Q678" s="75">
        <v>672</v>
      </c>
      <c r="R678" s="76">
        <f>0.0526*Observaciones!$F677^2.218</f>
        <v>0</v>
      </c>
      <c r="S678" s="76">
        <f>IF(Observaciones!$F677&gt;0.05*$W$7,((Observaciones!$F677-0.05*$W$7)^2)/(Observaciones!$F677+0.95*$W$7),0)</f>
        <v>0</v>
      </c>
      <c r="T678" s="76">
        <f>0.0526*S678*Observaciones!$F677^1.218</f>
        <v>0</v>
      </c>
      <c r="U678" s="29"/>
      <c r="V678" s="29"/>
      <c r="W678" s="109"/>
      <c r="X678" s="40"/>
    </row>
    <row r="679" spans="2:24" s="2" customFormat="1">
      <c r="B679" s="39"/>
      <c r="C679" s="75">
        <v>673</v>
      </c>
      <c r="D679" s="146">
        <f>ETo!$I678*((1-Constantes!$D$19)*ETo!$K678+ETo!$L678)</f>
        <v>4.2433724731095666</v>
      </c>
      <c r="E679" s="76">
        <f>MIN(D679*Constantes!$D$17,0.8*(H678+Observaciones!$F678-F679-G679-Constantes!$D$14))</f>
        <v>2.1636275258679842</v>
      </c>
      <c r="F679" s="76">
        <f>IF(Observaciones!$F678&gt;0.05*Constantes!$D$18,((Observaciones!$F678-0.05*Constantes!$D$18)^2)/(Observaciones!$F678+0.95*Constantes!$D$18),0)</f>
        <v>0</v>
      </c>
      <c r="G679" s="76">
        <f>MAX(0,H678+Observaciones!$F678-F679-Constantes!$D$13)</f>
        <v>0</v>
      </c>
      <c r="H679" s="76">
        <f>H678+Observaciones!$F678-F679-E679-G679-I678</f>
        <v>22.078904333254677</v>
      </c>
      <c r="I679" s="76">
        <f>MAX(0,(H679-Constantes!$D$14)*(1-EXP(-Constantes!$D$22)))</f>
        <v>0.36887223531230146</v>
      </c>
      <c r="J679" s="76">
        <f t="shared" si="30"/>
        <v>61.115576725160764</v>
      </c>
      <c r="K679" s="76">
        <f>MAX(0,(J679-Constantes!$D$13)*(1-EXP(-Constantes!$D$23)))</f>
        <v>0.12184097272392122</v>
      </c>
      <c r="L679" s="76">
        <f t="shared" si="31"/>
        <v>0.49071320803622265</v>
      </c>
      <c r="M679" s="76">
        <f>0.0526*F679*Observaciones!$F678^1.218</f>
        <v>0</v>
      </c>
      <c r="N679" s="76">
        <f>M679*Constantes!$D$51</f>
        <v>0</v>
      </c>
      <c r="O679" s="76">
        <f t="shared" si="32"/>
        <v>0</v>
      </c>
      <c r="P679" s="15"/>
      <c r="Q679" s="75">
        <v>673</v>
      </c>
      <c r="R679" s="76">
        <f>0.0526*Observaciones!$F678^2.218</f>
        <v>0.43792186533391209</v>
      </c>
      <c r="S679" s="76">
        <f>IF(Observaciones!$F678&gt;0.05*$W$7,((Observaciones!$F678-0.05*$W$7)^2)/(Observaciones!$F678+0.95*$W$7),0)</f>
        <v>2.1229385132854627E-2</v>
      </c>
      <c r="T679" s="76">
        <f>0.0526*S679*Observaciones!$F678^1.218</f>
        <v>3.5756968989506619E-3</v>
      </c>
      <c r="U679" s="29"/>
      <c r="V679" s="29"/>
      <c r="W679" s="109"/>
      <c r="X679" s="40"/>
    </row>
    <row r="680" spans="2:24" s="2" customFormat="1">
      <c r="B680" s="39"/>
      <c r="C680" s="75">
        <v>674</v>
      </c>
      <c r="D680" s="146">
        <f>ETo!$I679*((1-Constantes!$D$19)*ETo!$K679+ETo!$L679)</f>
        <v>4.3648646901144259</v>
      </c>
      <c r="E680" s="76">
        <f>MIN(D680*Constantes!$D$17,0.8*(H679+Observaciones!$F679-F680-G680-Constantes!$D$14))</f>
        <v>2.225574457596514</v>
      </c>
      <c r="F680" s="76">
        <f>IF(Observaciones!$F679&gt;0.05*Constantes!$D$18,((Observaciones!$F679-0.05*Constantes!$D$18)^2)/(Observaciones!$F679+0.95*Constantes!$D$18),0)</f>
        <v>0</v>
      </c>
      <c r="G680" s="76">
        <f>MAX(0,H679+Observaciones!$F679-F680-Constantes!$D$13)</f>
        <v>0</v>
      </c>
      <c r="H680" s="76">
        <f>H679+Observaciones!$F679-F680-E680-G680-I679</f>
        <v>20.58445764034586</v>
      </c>
      <c r="I680" s="76">
        <f>MAX(0,(H680-Constantes!$D$14)*(1-EXP(-Constantes!$D$22)))</f>
        <v>0.3179658947257033</v>
      </c>
      <c r="J680" s="76">
        <f t="shared" si="30"/>
        <v>60.993735752436841</v>
      </c>
      <c r="K680" s="76">
        <f>MAX(0,(J680-Constantes!$D$13)*(1-EXP(-Constantes!$D$23)))</f>
        <v>0.12064044459941367</v>
      </c>
      <c r="L680" s="76">
        <f t="shared" si="31"/>
        <v>0.43860633932511695</v>
      </c>
      <c r="M680" s="76">
        <f>0.0526*F680*Observaciones!$F679^1.218</f>
        <v>0</v>
      </c>
      <c r="N680" s="76">
        <f>M680*Constantes!$D$51</f>
        <v>0</v>
      </c>
      <c r="O680" s="76">
        <f t="shared" si="32"/>
        <v>0</v>
      </c>
      <c r="P680" s="15"/>
      <c r="Q680" s="75">
        <v>674</v>
      </c>
      <c r="R680" s="76">
        <f>0.0526*Observaciones!$F679^2.218</f>
        <v>6.4982246287524456E-2</v>
      </c>
      <c r="S680" s="76">
        <f>IF(Observaciones!$F679&gt;0.05*$W$7,((Observaciones!$F679-0.05*$W$7)^2)/(Observaciones!$F679+0.95*$W$7),0)</f>
        <v>0</v>
      </c>
      <c r="T680" s="76">
        <f>0.0526*S680*Observaciones!$F679^1.218</f>
        <v>0</v>
      </c>
      <c r="U680" s="29"/>
      <c r="V680" s="29"/>
      <c r="W680" s="109"/>
      <c r="X680" s="40"/>
    </row>
    <row r="681" spans="2:24" s="2" customFormat="1">
      <c r="B681" s="39"/>
      <c r="C681" s="75">
        <v>675</v>
      </c>
      <c r="D681" s="146">
        <f>ETo!$I680*((1-Constantes!$D$19)*ETo!$K680+ETo!$L680)</f>
        <v>4.3150857798830771</v>
      </c>
      <c r="E681" s="76">
        <f>MIN(D681*Constantes!$D$17,0.8*(H680+Observaciones!$F680-F681-G681-Constantes!$D$14))</f>
        <v>2.2001929901277077</v>
      </c>
      <c r="F681" s="76">
        <f>IF(Observaciones!$F680&gt;0.05*Constantes!$D$18,((Observaciones!$F680-0.05*Constantes!$D$18)^2)/(Observaciones!$F680+0.95*Constantes!$D$18),0)</f>
        <v>0</v>
      </c>
      <c r="G681" s="76">
        <f>MAX(0,H680+Observaciones!$F680-F681-Constantes!$D$13)</f>
        <v>0</v>
      </c>
      <c r="H681" s="76">
        <f>H680+Observaciones!$F680-F681-E681-G681-I680</f>
        <v>18.166298755492452</v>
      </c>
      <c r="I681" s="76">
        <f>MAX(0,(H681-Constantes!$D$14)*(1-EXP(-Constantes!$D$22)))</f>
        <v>0.23559452586459462</v>
      </c>
      <c r="J681" s="76">
        <f t="shared" si="30"/>
        <v>60.873095307837424</v>
      </c>
      <c r="K681" s="76">
        <f>MAX(0,(J681-Constantes!$D$13)*(1-EXP(-Constantes!$D$23)))</f>
        <v>0.11945174556446039</v>
      </c>
      <c r="L681" s="76">
        <f t="shared" si="31"/>
        <v>0.35504627142905498</v>
      </c>
      <c r="M681" s="76">
        <f>0.0526*F681*Observaciones!$F680^1.218</f>
        <v>0</v>
      </c>
      <c r="N681" s="76">
        <f>M681*Constantes!$D$51</f>
        <v>0</v>
      </c>
      <c r="O681" s="76">
        <f t="shared" si="32"/>
        <v>0</v>
      </c>
      <c r="P681" s="15"/>
      <c r="Q681" s="75">
        <v>675</v>
      </c>
      <c r="R681" s="76">
        <f>0.0526*Observaciones!$F680^2.218</f>
        <v>3.1840930012055863E-4</v>
      </c>
      <c r="S681" s="76">
        <f>IF(Observaciones!$F680&gt;0.05*$W$7,((Observaciones!$F680-0.05*$W$7)^2)/(Observaciones!$F680+0.95*$W$7),0)</f>
        <v>0</v>
      </c>
      <c r="T681" s="76">
        <f>0.0526*S681*Observaciones!$F680^1.218</f>
        <v>0</v>
      </c>
      <c r="U681" s="29"/>
      <c r="V681" s="29"/>
      <c r="W681" s="109"/>
      <c r="X681" s="40"/>
    </row>
    <row r="682" spans="2:24" s="2" customFormat="1">
      <c r="B682" s="39"/>
      <c r="C682" s="75">
        <v>676</v>
      </c>
      <c r="D682" s="146">
        <f>ETo!$I681*((1-Constantes!$D$19)*ETo!$K681+ETo!$L681)</f>
        <v>4.2958436663318276</v>
      </c>
      <c r="E682" s="76">
        <f>MIN(D682*Constantes!$D$17,0.8*(H681+Observaciones!$F681-F682-G682-Constantes!$D$14))</f>
        <v>2.1903817452277634</v>
      </c>
      <c r="F682" s="76">
        <f>IF(Observaciones!$F681&gt;0.05*Constantes!$D$18,((Observaciones!$F681-0.05*Constantes!$D$18)^2)/(Observaciones!$F681+0.95*Constantes!$D$18),0)</f>
        <v>0</v>
      </c>
      <c r="G682" s="76">
        <f>MAX(0,H681+Observaciones!$F681-F682-Constantes!$D$13)</f>
        <v>0</v>
      </c>
      <c r="H682" s="76">
        <f>H681+Observaciones!$F681-F682-E682-G682-I681</f>
        <v>17.740322484400092</v>
      </c>
      <c r="I682" s="76">
        <f>MAX(0,(H682-Constantes!$D$14)*(1-EXP(-Constantes!$D$22)))</f>
        <v>0.22108421028028366</v>
      </c>
      <c r="J682" s="76">
        <f t="shared" si="30"/>
        <v>60.753643562272963</v>
      </c>
      <c r="K682" s="76">
        <f>MAX(0,(J682-Constantes!$D$13)*(1-EXP(-Constantes!$D$23)))</f>
        <v>0.11827475906422458</v>
      </c>
      <c r="L682" s="76">
        <f t="shared" si="31"/>
        <v>0.33935896934450827</v>
      </c>
      <c r="M682" s="76">
        <f>0.0526*F682*Observaciones!$F681^1.218</f>
        <v>0</v>
      </c>
      <c r="N682" s="76">
        <f>M682*Constantes!$D$51</f>
        <v>0</v>
      </c>
      <c r="O682" s="76">
        <f t="shared" si="32"/>
        <v>0</v>
      </c>
      <c r="P682" s="15"/>
      <c r="Q682" s="75">
        <v>676</v>
      </c>
      <c r="R682" s="76">
        <f>0.0526*Observaciones!$F681^2.218</f>
        <v>0.24472045674166781</v>
      </c>
      <c r="S682" s="76">
        <f>IF(Observaciones!$F681&gt;0.05*$W$7,((Observaciones!$F681-0.05*$W$7)^2)/(Observaciones!$F681+0.95*$W$7),0)</f>
        <v>2.0605192437462322E-3</v>
      </c>
      <c r="T682" s="76">
        <f>0.0526*S682*Observaciones!$F681^1.218</f>
        <v>2.5212560522728692E-4</v>
      </c>
      <c r="U682" s="29"/>
      <c r="V682" s="29"/>
      <c r="W682" s="109"/>
      <c r="X682" s="40"/>
    </row>
    <row r="683" spans="2:24" s="2" customFormat="1">
      <c r="B683" s="39"/>
      <c r="C683" s="75">
        <v>677</v>
      </c>
      <c r="D683" s="146">
        <f>ETo!$I682*((1-Constantes!$D$19)*ETo!$K682+ETo!$L682)</f>
        <v>4.2983802245136875</v>
      </c>
      <c r="E683" s="76">
        <f>MIN(D683*Constantes!$D$17,0.8*(H682+Observaciones!$F682-F683-G683-Constantes!$D$14))</f>
        <v>2.1916750955376916</v>
      </c>
      <c r="F683" s="76">
        <f>IF(Observaciones!$F682&gt;0.05*Constantes!$D$18,((Observaciones!$F682-0.05*Constantes!$D$18)^2)/(Observaciones!$F682+0.95*Constantes!$D$18),0)</f>
        <v>0</v>
      </c>
      <c r="G683" s="76">
        <f>MAX(0,H682+Observaciones!$F682-F683-Constantes!$D$13)</f>
        <v>0</v>
      </c>
      <c r="H683" s="76">
        <f>H682+Observaciones!$F682-F683-E683-G683-I682</f>
        <v>15.327563178582118</v>
      </c>
      <c r="I683" s="76">
        <f>MAX(0,(H683-Constantes!$D$14)*(1-EXP(-Constantes!$D$22)))</f>
        <v>0.13889677090338232</v>
      </c>
      <c r="J683" s="76">
        <f t="shared" si="30"/>
        <v>60.635368803208735</v>
      </c>
      <c r="K683" s="76">
        <f>MAX(0,(J683-Constantes!$D$13)*(1-EXP(-Constantes!$D$23)))</f>
        <v>0.11710936969231192</v>
      </c>
      <c r="L683" s="76">
        <f t="shared" si="31"/>
        <v>0.25600614059569426</v>
      </c>
      <c r="M683" s="76">
        <f>0.0526*F683*Observaciones!$F682^1.218</f>
        <v>0</v>
      </c>
      <c r="N683" s="76">
        <f>M683*Constantes!$D$51</f>
        <v>0</v>
      </c>
      <c r="O683" s="76">
        <f t="shared" si="32"/>
        <v>0</v>
      </c>
      <c r="P683" s="15"/>
      <c r="Q683" s="75">
        <v>677</v>
      </c>
      <c r="R683" s="76">
        <f>0.0526*Observaciones!$F682^2.218</f>
        <v>0</v>
      </c>
      <c r="S683" s="76">
        <f>IF(Observaciones!$F682&gt;0.05*$W$7,((Observaciones!$F682-0.05*$W$7)^2)/(Observaciones!$F682+0.95*$W$7),0)</f>
        <v>0</v>
      </c>
      <c r="T683" s="76">
        <f>0.0526*S683*Observaciones!$F682^1.218</f>
        <v>0</v>
      </c>
      <c r="U683" s="29"/>
      <c r="V683" s="29"/>
      <c r="W683" s="109"/>
      <c r="X683" s="40"/>
    </row>
    <row r="684" spans="2:24" s="2" customFormat="1">
      <c r="B684" s="39"/>
      <c r="C684" s="75">
        <v>678</v>
      </c>
      <c r="D684" s="146">
        <f>ETo!$I683*((1-Constantes!$D$19)*ETo!$K683+ETo!$L683)</f>
        <v>4.3447200565663993</v>
      </c>
      <c r="E684" s="76">
        <f>MIN(D684*Constantes!$D$17,0.8*(H683+Observaciones!$F683-F684-G684-Constantes!$D$14))</f>
        <v>2.2153030322339662</v>
      </c>
      <c r="F684" s="76">
        <f>IF(Observaciones!$F683&gt;0.05*Constantes!$D$18,((Observaciones!$F683-0.05*Constantes!$D$18)^2)/(Observaciones!$F683+0.95*Constantes!$D$18),0)</f>
        <v>0</v>
      </c>
      <c r="G684" s="76">
        <f>MAX(0,H683+Observaciones!$F683-F684-Constantes!$D$13)</f>
        <v>0</v>
      </c>
      <c r="H684" s="76">
        <f>H683+Observaciones!$F683-F684-E684-G684-I683</f>
        <v>13.373363375444768</v>
      </c>
      <c r="I684" s="76">
        <f>MAX(0,(H684-Constantes!$D$14)*(1-EXP(-Constantes!$D$22)))</f>
        <v>7.2329551594180155E-2</v>
      </c>
      <c r="J684" s="76">
        <f t="shared" si="30"/>
        <v>60.51825943351642</v>
      </c>
      <c r="K684" s="76">
        <f>MAX(0,(J684-Constantes!$D$13)*(1-EXP(-Constantes!$D$23)))</f>
        <v>0.11595546317945483</v>
      </c>
      <c r="L684" s="76">
        <f t="shared" si="31"/>
        <v>0.18828501477363499</v>
      </c>
      <c r="M684" s="76">
        <f>0.0526*F684*Observaciones!$F683^1.218</f>
        <v>0</v>
      </c>
      <c r="N684" s="76">
        <f>M684*Constantes!$D$51</f>
        <v>0</v>
      </c>
      <c r="O684" s="76">
        <f t="shared" si="32"/>
        <v>0</v>
      </c>
      <c r="P684" s="15"/>
      <c r="Q684" s="75">
        <v>678</v>
      </c>
      <c r="R684" s="76">
        <f>0.0526*Observaciones!$F683^2.218</f>
        <v>6.8921513346888582E-3</v>
      </c>
      <c r="S684" s="76">
        <f>IF(Observaciones!$F683&gt;0.05*$W$7,((Observaciones!$F683-0.05*$W$7)^2)/(Observaciones!$F683+0.95*$W$7),0)</f>
        <v>0</v>
      </c>
      <c r="T684" s="76">
        <f>0.0526*S684*Observaciones!$F683^1.218</f>
        <v>0</v>
      </c>
      <c r="U684" s="29"/>
      <c r="V684" s="29"/>
      <c r="W684" s="109"/>
      <c r="X684" s="40"/>
    </row>
    <row r="685" spans="2:24" s="2" customFormat="1">
      <c r="B685" s="39"/>
      <c r="C685" s="75">
        <v>679</v>
      </c>
      <c r="D685" s="146">
        <f>ETo!$I684*((1-Constantes!$D$19)*ETo!$K684+ETo!$L684)</f>
        <v>4.2853826915625106</v>
      </c>
      <c r="E685" s="76">
        <f>MIN(D685*Constantes!$D$17,0.8*(H684+Observaciones!$F684-F685-G685-Constantes!$D$14))</f>
        <v>1.6986907003558145</v>
      </c>
      <c r="F685" s="76">
        <f>IF(Observaciones!$F684&gt;0.05*Constantes!$D$18,((Observaciones!$F684-0.05*Constantes!$D$18)^2)/(Observaciones!$F684+0.95*Constantes!$D$18),0)</f>
        <v>0</v>
      </c>
      <c r="G685" s="76">
        <f>MAX(0,H684+Observaciones!$F684-F685-Constantes!$D$13)</f>
        <v>0</v>
      </c>
      <c r="H685" s="76">
        <f>H684+Observaciones!$F684-F685-E685-G685-I684</f>
        <v>11.602343123494773</v>
      </c>
      <c r="I685" s="76">
        <f>MAX(0,(H685-Constantes!$D$14)*(1-EXP(-Constantes!$D$22)))</f>
        <v>1.2002100264318451E-2</v>
      </c>
      <c r="J685" s="76">
        <f t="shared" si="30"/>
        <v>60.402303970336966</v>
      </c>
      <c r="K685" s="76">
        <f>MAX(0,(J685-Constantes!$D$13)*(1-EXP(-Constantes!$D$23)))</f>
        <v>0.1148129263823081</v>
      </c>
      <c r="L685" s="76">
        <f t="shared" si="31"/>
        <v>0.12681502664662656</v>
      </c>
      <c r="M685" s="76">
        <f>0.0526*F685*Observaciones!$F684^1.218</f>
        <v>0</v>
      </c>
      <c r="N685" s="76">
        <f>M685*Constantes!$D$51</f>
        <v>0</v>
      </c>
      <c r="O685" s="76">
        <f t="shared" si="32"/>
        <v>0</v>
      </c>
      <c r="P685" s="15"/>
      <c r="Q685" s="75">
        <v>679</v>
      </c>
      <c r="R685" s="76">
        <f>0.0526*Observaciones!$F684^2.218</f>
        <v>0</v>
      </c>
      <c r="S685" s="76">
        <f>IF(Observaciones!$F684&gt;0.05*$W$7,((Observaciones!$F684-0.05*$W$7)^2)/(Observaciones!$F684+0.95*$W$7),0)</f>
        <v>0</v>
      </c>
      <c r="T685" s="76">
        <f>0.0526*S685*Observaciones!$F684^1.218</f>
        <v>0</v>
      </c>
      <c r="U685" s="29"/>
      <c r="V685" s="29"/>
      <c r="W685" s="109"/>
      <c r="X685" s="40"/>
    </row>
    <row r="686" spans="2:24" s="2" customFormat="1">
      <c r="B686" s="39"/>
      <c r="C686" s="75">
        <v>680</v>
      </c>
      <c r="D686" s="146">
        <f>ETo!$I685*((1-Constantes!$D$19)*ETo!$K685+ETo!$L685)</f>
        <v>4.1511334757002016</v>
      </c>
      <c r="E686" s="76">
        <f>MIN(D686*Constantes!$D$17,0.8*(H685+Observaciones!$F685-F686-G686-Constantes!$D$14))</f>
        <v>0.28187449879581833</v>
      </c>
      <c r="F686" s="76">
        <f>IF(Observaciones!$F685&gt;0.05*Constantes!$D$18,((Observaciones!$F685-0.05*Constantes!$D$18)^2)/(Observaciones!$F685+0.95*Constantes!$D$18),0)</f>
        <v>0</v>
      </c>
      <c r="G686" s="76">
        <f>MAX(0,H685+Observaciones!$F685-F686-Constantes!$D$13)</f>
        <v>0</v>
      </c>
      <c r="H686" s="76">
        <f>H685+Observaciones!$F685-F686-E686-G686-I685</f>
        <v>11.308466524434635</v>
      </c>
      <c r="I686" s="76">
        <f>MAX(0,(H686-Constantes!$D$14)*(1-EXP(-Constantes!$D$22)))</f>
        <v>1.9915844572488978E-3</v>
      </c>
      <c r="J686" s="76">
        <f t="shared" si="30"/>
        <v>60.28749104395466</v>
      </c>
      <c r="K686" s="76">
        <f>MAX(0,(J686-Constantes!$D$13)*(1-EXP(-Constantes!$D$23)))</f>
        <v>0.11368164727235471</v>
      </c>
      <c r="L686" s="76">
        <f t="shared" si="31"/>
        <v>0.1156732317296036</v>
      </c>
      <c r="M686" s="76">
        <f>0.0526*F686*Observaciones!$F685^1.218</f>
        <v>0</v>
      </c>
      <c r="N686" s="76">
        <f>M686*Constantes!$D$51</f>
        <v>0</v>
      </c>
      <c r="O686" s="76">
        <f t="shared" si="32"/>
        <v>0</v>
      </c>
      <c r="P686" s="15"/>
      <c r="Q686" s="75">
        <v>680</v>
      </c>
      <c r="R686" s="76">
        <f>0.0526*Observaciones!$F685^2.218</f>
        <v>0</v>
      </c>
      <c r="S686" s="76">
        <f>IF(Observaciones!$F685&gt;0.05*$W$7,((Observaciones!$F685-0.05*$W$7)^2)/(Observaciones!$F685+0.95*$W$7),0)</f>
        <v>0</v>
      </c>
      <c r="T686" s="76">
        <f>0.0526*S686*Observaciones!$F685^1.218</f>
        <v>0</v>
      </c>
      <c r="U686" s="29"/>
      <c r="V686" s="29"/>
      <c r="W686" s="109"/>
      <c r="X686" s="40"/>
    </row>
    <row r="687" spans="2:24" s="2" customFormat="1">
      <c r="B687" s="39"/>
      <c r="C687" s="75">
        <v>681</v>
      </c>
      <c r="D687" s="146">
        <f>ETo!$I686*((1-Constantes!$D$19)*ETo!$K686+ETo!$L686)</f>
        <v>4.271755272203742</v>
      </c>
      <c r="E687" s="76">
        <f>MIN(D687*Constantes!$D$17,0.8*(H686+Observaciones!$F686-F687-G687-Constantes!$D$14))</f>
        <v>4.6773219547708328E-2</v>
      </c>
      <c r="F687" s="76">
        <f>IF(Observaciones!$F686&gt;0.05*Constantes!$D$18,((Observaciones!$F686-0.05*Constantes!$D$18)^2)/(Observaciones!$F686+0.95*Constantes!$D$18),0)</f>
        <v>0</v>
      </c>
      <c r="G687" s="76">
        <f>MAX(0,H686+Observaciones!$F686-F687-Constantes!$D$13)</f>
        <v>0</v>
      </c>
      <c r="H687" s="76">
        <f>H686+Observaciones!$F686-F687-E687-G687-I686</f>
        <v>11.259701720429678</v>
      </c>
      <c r="I687" s="76">
        <f>MAX(0,(H687-Constantes!$D$14)*(1-EXP(-Constantes!$D$22)))</f>
        <v>3.3047621357966785E-4</v>
      </c>
      <c r="J687" s="76">
        <f t="shared" si="30"/>
        <v>60.173809396682302</v>
      </c>
      <c r="K687" s="76">
        <f>MAX(0,(J687-Constantes!$D$13)*(1-EXP(-Constantes!$D$23)))</f>
        <v>0.11256151492492134</v>
      </c>
      <c r="L687" s="76">
        <f t="shared" si="31"/>
        <v>0.112891991138501</v>
      </c>
      <c r="M687" s="76">
        <f>0.0526*F687*Observaciones!$F686^1.218</f>
        <v>0</v>
      </c>
      <c r="N687" s="76">
        <f>M687*Constantes!$D$51</f>
        <v>0</v>
      </c>
      <c r="O687" s="76">
        <f t="shared" si="32"/>
        <v>0</v>
      </c>
      <c r="P687" s="15"/>
      <c r="Q687" s="75">
        <v>681</v>
      </c>
      <c r="R687" s="76">
        <f>0.0526*Observaciones!$F686^2.218</f>
        <v>0</v>
      </c>
      <c r="S687" s="76">
        <f>IF(Observaciones!$F686&gt;0.05*$W$7,((Observaciones!$F686-0.05*$W$7)^2)/(Observaciones!$F686+0.95*$W$7),0)</f>
        <v>0</v>
      </c>
      <c r="T687" s="76">
        <f>0.0526*S687*Observaciones!$F686^1.218</f>
        <v>0</v>
      </c>
      <c r="U687" s="29"/>
      <c r="V687" s="29"/>
      <c r="W687" s="109"/>
      <c r="X687" s="40"/>
    </row>
    <row r="688" spans="2:24" s="2" customFormat="1">
      <c r="B688" s="39"/>
      <c r="C688" s="75">
        <v>682</v>
      </c>
      <c r="D688" s="146">
        <f>ETo!$I687*((1-Constantes!$D$19)*ETo!$K687+ETo!$L687)</f>
        <v>4.4012410315970909</v>
      </c>
      <c r="E688" s="76">
        <f>MIN(D688*Constantes!$D$17,0.8*(H687+Observaciones!$F687-F688-G688-Constantes!$D$14))</f>
        <v>1.9277613763437431</v>
      </c>
      <c r="F688" s="76">
        <f>IF(Observaciones!$F687&gt;0.05*Constantes!$D$18,((Observaciones!$F687-0.05*Constantes!$D$18)^2)/(Observaciones!$F687+0.95*Constantes!$D$18),0)</f>
        <v>0</v>
      </c>
      <c r="G688" s="76">
        <f>MAX(0,H687+Observaciones!$F687-F688-Constantes!$D$13)</f>
        <v>0</v>
      </c>
      <c r="H688" s="76">
        <f>H687+Observaciones!$F687-F688-E688-G688-I687</f>
        <v>11.731609867872354</v>
      </c>
      <c r="I688" s="76">
        <f>MAX(0,(H688-Constantes!$D$14)*(1-EXP(-Constantes!$D$22)))</f>
        <v>1.6405400125752444E-2</v>
      </c>
      <c r="J688" s="76">
        <f t="shared" si="30"/>
        <v>60.061247881757382</v>
      </c>
      <c r="K688" s="76">
        <f>MAX(0,(J688-Constantes!$D$13)*(1-EXP(-Constantes!$D$23)))</f>
        <v>0.11145241950830201</v>
      </c>
      <c r="L688" s="76">
        <f t="shared" si="31"/>
        <v>0.12785781963405446</v>
      </c>
      <c r="M688" s="76">
        <f>0.0526*F688*Observaciones!$F687^1.218</f>
        <v>0</v>
      </c>
      <c r="N688" s="76">
        <f>M688*Constantes!$D$51</f>
        <v>0</v>
      </c>
      <c r="O688" s="76">
        <f t="shared" si="32"/>
        <v>0</v>
      </c>
      <c r="P688" s="15"/>
      <c r="Q688" s="75">
        <v>682</v>
      </c>
      <c r="R688" s="76">
        <f>0.0526*Observaciones!$F687^2.218</f>
        <v>0.36668595716871932</v>
      </c>
      <c r="S688" s="76">
        <f>IF(Observaciones!$F687&gt;0.05*$W$7,((Observaciones!$F687-0.05*$W$7)^2)/(Observaciones!$F687+0.95*$W$7),0)</f>
        <v>1.2646160328663239E-2</v>
      </c>
      <c r="T688" s="76">
        <f>0.0526*S688*Observaciones!$F687^1.218</f>
        <v>1.9321539185937356E-3</v>
      </c>
      <c r="U688" s="29"/>
      <c r="V688" s="29"/>
      <c r="W688" s="109"/>
      <c r="X688" s="40"/>
    </row>
    <row r="689" spans="2:24" s="2" customFormat="1">
      <c r="B689" s="39"/>
      <c r="C689" s="75">
        <v>683</v>
      </c>
      <c r="D689" s="146">
        <f>ETo!$I688*((1-Constantes!$D$19)*ETo!$K688+ETo!$L688)</f>
        <v>4.3896906764121919</v>
      </c>
      <c r="E689" s="76">
        <f>MIN(D689*Constantes!$D$17,0.8*(H688+Observaciones!$F688-F689-G689-Constantes!$D$14))</f>
        <v>0.86528789429788311</v>
      </c>
      <c r="F689" s="76">
        <f>IF(Observaciones!$F688&gt;0.05*Constantes!$D$18,((Observaciones!$F688-0.05*Constantes!$D$18)^2)/(Observaciones!$F688+0.95*Constantes!$D$18),0)</f>
        <v>0</v>
      </c>
      <c r="G689" s="76">
        <f>MAX(0,H688+Observaciones!$F688-F689-Constantes!$D$13)</f>
        <v>0</v>
      </c>
      <c r="H689" s="76">
        <f>H688+Observaciones!$F688-F689-E689-G689-I688</f>
        <v>11.44991657344872</v>
      </c>
      <c r="I689" s="76">
        <f>MAX(0,(H689-Constantes!$D$14)*(1-EXP(-Constantes!$D$22)))</f>
        <v>6.8098924004291305E-3</v>
      </c>
      <c r="J689" s="76">
        <f t="shared" si="30"/>
        <v>59.949795462249078</v>
      </c>
      <c r="K689" s="76">
        <f>MAX(0,(J689-Constantes!$D$13)*(1-EXP(-Constantes!$D$23)))</f>
        <v>0.11035425227298855</v>
      </c>
      <c r="L689" s="76">
        <f t="shared" si="31"/>
        <v>0.11716414467341768</v>
      </c>
      <c r="M689" s="76">
        <f>0.0526*F689*Observaciones!$F688^1.218</f>
        <v>0</v>
      </c>
      <c r="N689" s="76">
        <f>M689*Constantes!$D$51</f>
        <v>0</v>
      </c>
      <c r="O689" s="76">
        <f t="shared" si="32"/>
        <v>0</v>
      </c>
      <c r="P689" s="15"/>
      <c r="Q689" s="75">
        <v>683</v>
      </c>
      <c r="R689" s="76">
        <f>0.0526*Observaciones!$F688^2.218</f>
        <v>1.6940460723560119E-2</v>
      </c>
      <c r="S689" s="76">
        <f>IF(Observaciones!$F688&gt;0.05*$W$7,((Observaciones!$F688-0.05*$W$7)^2)/(Observaciones!$F688+0.95*$W$7),0)</f>
        <v>0</v>
      </c>
      <c r="T689" s="76">
        <f>0.0526*S689*Observaciones!$F688^1.218</f>
        <v>0</v>
      </c>
      <c r="U689" s="29"/>
      <c r="V689" s="29"/>
      <c r="W689" s="109"/>
      <c r="X689" s="40"/>
    </row>
    <row r="690" spans="2:24" s="2" customFormat="1">
      <c r="B690" s="39"/>
      <c r="C690" s="75">
        <v>684</v>
      </c>
      <c r="D690" s="146">
        <f>ETo!$I689*((1-Constantes!$D$19)*ETo!$K689+ETo!$L689)</f>
        <v>4.3603724852983738</v>
      </c>
      <c r="E690" s="76">
        <f>MIN(D690*Constantes!$D$17,0.8*(H689+Observaciones!$F689-F690-G690-Constantes!$D$14))</f>
        <v>2.2232839544522718</v>
      </c>
      <c r="F690" s="76">
        <f>IF(Observaciones!$F689&gt;0.05*Constantes!$D$18,((Observaciones!$F689-0.05*Constantes!$D$18)^2)/(Observaciones!$F689+0.95*Constantes!$D$18),0)</f>
        <v>1.1736395297691362</v>
      </c>
      <c r="G690" s="76">
        <f>MAX(0,H689+Observaciones!$F689-F690-Constantes!$D$13)</f>
        <v>0</v>
      </c>
      <c r="H690" s="76">
        <f>H689+Observaciones!$F689-F690-E690-G690-I689</f>
        <v>21.546183196826881</v>
      </c>
      <c r="I690" s="76">
        <f>MAX(0,(H690-Constantes!$D$14)*(1-EXP(-Constantes!$D$22)))</f>
        <v>0.35072579774624257</v>
      </c>
      <c r="J690" s="76">
        <f t="shared" si="30"/>
        <v>59.839441209976087</v>
      </c>
      <c r="K690" s="76">
        <f>MAX(0,(J690-Constantes!$D$13)*(1-EXP(-Constantes!$D$23)))</f>
        <v>0.10926690554100768</v>
      </c>
      <c r="L690" s="76">
        <f t="shared" si="31"/>
        <v>1.6336322330563864</v>
      </c>
      <c r="M690" s="76">
        <f>0.0526*F690*Observaciones!$F689^1.218</f>
        <v>1.4698296465891503</v>
      </c>
      <c r="N690" s="76">
        <f>M690*Constantes!$D$51</f>
        <v>2.0665652672816309E-2</v>
      </c>
      <c r="O690" s="76">
        <f t="shared" si="32"/>
        <v>1265.0125441117575</v>
      </c>
      <c r="P690" s="15"/>
      <c r="Q690" s="75">
        <v>684</v>
      </c>
      <c r="R690" s="76">
        <f>0.0526*Observaciones!$F689^2.218</f>
        <v>16.906980146499279</v>
      </c>
      <c r="S690" s="76">
        <f>IF(Observaciones!$F689&gt;0.05*$W$7,((Observaciones!$F689-0.05*$W$7)^2)/(Observaciones!$F689+0.95*$W$7),0)</f>
        <v>2.9844081425480202</v>
      </c>
      <c r="T690" s="76">
        <f>0.0526*S690*Observaciones!$F689^1.218</f>
        <v>3.7375799418600115</v>
      </c>
      <c r="U690" s="29"/>
      <c r="V690" s="29"/>
      <c r="W690" s="109"/>
      <c r="X690" s="40"/>
    </row>
    <row r="691" spans="2:24" s="2" customFormat="1">
      <c r="B691" s="39"/>
      <c r="C691" s="75">
        <v>685</v>
      </c>
      <c r="D691" s="146">
        <f>ETo!$I690*((1-Constantes!$D$19)*ETo!$K690+ETo!$L690)</f>
        <v>4.335333943962798</v>
      </c>
      <c r="E691" s="76">
        <f>MIN(D691*Constantes!$D$17,0.8*(H690+Observaciones!$F690-F691-G691-Constantes!$D$14))</f>
        <v>2.2105172040468952</v>
      </c>
      <c r="F691" s="76">
        <f>IF(Observaciones!$F690&gt;0.05*Constantes!$D$18,((Observaciones!$F690-0.05*Constantes!$D$18)^2)/(Observaciones!$F690+0.95*Constantes!$D$18),0)</f>
        <v>0.43530819004692789</v>
      </c>
      <c r="G691" s="76">
        <f>MAX(0,H690+Observaciones!$F690-F691-Constantes!$D$13)</f>
        <v>0</v>
      </c>
      <c r="H691" s="76">
        <f>H690+Observaciones!$F690-F691-E691-G691-I690</f>
        <v>28.049632004986815</v>
      </c>
      <c r="I691" s="76">
        <f>MAX(0,(H691-Constantes!$D$14)*(1-EXP(-Constantes!$D$22)))</f>
        <v>0.57225713880150753</v>
      </c>
      <c r="J691" s="76">
        <f t="shared" si="30"/>
        <v>59.730174304435081</v>
      </c>
      <c r="K691" s="76">
        <f>MAX(0,(J691-Constantes!$D$13)*(1-EXP(-Constantes!$D$23)))</f>
        <v>0.10819027269536288</v>
      </c>
      <c r="L691" s="76">
        <f t="shared" si="31"/>
        <v>1.1157556015437984</v>
      </c>
      <c r="M691" s="76">
        <f>0.0526*F691*Observaciones!$F690^1.218</f>
        <v>0.35534477472007892</v>
      </c>
      <c r="N691" s="76">
        <f>M691*Constantes!$D$51</f>
        <v>4.9961107469197472E-3</v>
      </c>
      <c r="O691" s="76">
        <f t="shared" si="32"/>
        <v>447.77823566441907</v>
      </c>
      <c r="P691" s="15"/>
      <c r="Q691" s="75">
        <v>685</v>
      </c>
      <c r="R691" s="76">
        <f>0.0526*Observaciones!$F690^2.218</f>
        <v>7.7549089059795255</v>
      </c>
      <c r="S691" s="76">
        <f>IF(Observaciones!$F690&gt;0.05*$W$7,((Observaciones!$F690-0.05*$W$7)^2)/(Observaciones!$F690+0.95*$W$7),0)</f>
        <v>1.4230702891277449</v>
      </c>
      <c r="T691" s="76">
        <f>0.0526*S691*Observaciones!$F690^1.218</f>
        <v>1.1616611009464852</v>
      </c>
      <c r="U691" s="29"/>
      <c r="V691" s="29"/>
      <c r="W691" s="109"/>
      <c r="X691" s="40"/>
    </row>
    <row r="692" spans="2:24" s="2" customFormat="1">
      <c r="B692" s="39"/>
      <c r="C692" s="75">
        <v>686</v>
      </c>
      <c r="D692" s="146">
        <f>ETo!$I691*((1-Constantes!$D$19)*ETo!$K691+ETo!$L691)</f>
        <v>4.3983633472063284</v>
      </c>
      <c r="E692" s="76">
        <f>MIN(D692*Constantes!$D$17,0.8*(H691+Observaciones!$F691-F692-G692-Constantes!$D$14))</f>
        <v>2.2426548852570485</v>
      </c>
      <c r="F692" s="76">
        <f>IF(Observaciones!$F691&gt;0.05*Constantes!$D$18,((Observaciones!$F691-0.05*Constantes!$D$18)^2)/(Observaciones!$F691+0.95*Constantes!$D$18),0)</f>
        <v>0</v>
      </c>
      <c r="G692" s="76">
        <f>MAX(0,H691+Observaciones!$F691-F692-Constantes!$D$13)</f>
        <v>0</v>
      </c>
      <c r="H692" s="76">
        <f>H691+Observaciones!$F691-F692-E692-G692-I691</f>
        <v>25.734719980928258</v>
      </c>
      <c r="I692" s="76">
        <f>MAX(0,(H692-Constantes!$D$14)*(1-EXP(-Constantes!$D$22)))</f>
        <v>0.49340273704605692</v>
      </c>
      <c r="J692" s="76">
        <f t="shared" si="30"/>
        <v>59.621984031739721</v>
      </c>
      <c r="K692" s="76">
        <f>MAX(0,(J692-Constantes!$D$13)*(1-EXP(-Constantes!$D$23)))</f>
        <v>0.1071242481695802</v>
      </c>
      <c r="L692" s="76">
        <f t="shared" si="31"/>
        <v>0.60052698521563708</v>
      </c>
      <c r="M692" s="76">
        <f>0.0526*F692*Observaciones!$F691^1.218</f>
        <v>0</v>
      </c>
      <c r="N692" s="76">
        <f>M692*Constantes!$D$51</f>
        <v>0</v>
      </c>
      <c r="O692" s="76">
        <f t="shared" si="32"/>
        <v>0</v>
      </c>
      <c r="P692" s="15"/>
      <c r="Q692" s="75">
        <v>686</v>
      </c>
      <c r="R692" s="76">
        <f>0.0526*Observaciones!$F691^2.218</f>
        <v>1.1305797794095535E-2</v>
      </c>
      <c r="S692" s="76">
        <f>IF(Observaciones!$F691&gt;0.05*$W$7,((Observaciones!$F691-0.05*$W$7)^2)/(Observaciones!$F691+0.95*$W$7),0)</f>
        <v>0</v>
      </c>
      <c r="T692" s="76">
        <f>0.0526*S692*Observaciones!$F691^1.218</f>
        <v>0</v>
      </c>
      <c r="U692" s="29"/>
      <c r="V692" s="29"/>
      <c r="W692" s="109"/>
      <c r="X692" s="40"/>
    </row>
    <row r="693" spans="2:24" s="2" customFormat="1">
      <c r="B693" s="39"/>
      <c r="C693" s="75">
        <v>687</v>
      </c>
      <c r="D693" s="146">
        <f>ETo!$I692*((1-Constantes!$D$19)*ETo!$K692+ETo!$L692)</f>
        <v>4.4525368123414397</v>
      </c>
      <c r="E693" s="76">
        <f>MIN(D693*Constantes!$D$17,0.8*(H692+Observaciones!$F692-F693-G693-Constantes!$D$14))</f>
        <v>2.2702770657469182</v>
      </c>
      <c r="F693" s="76">
        <f>IF(Observaciones!$F692&gt;0.05*Constantes!$D$18,((Observaciones!$F692-0.05*Constantes!$D$18)^2)/(Observaciones!$F692+0.95*Constantes!$D$18),0)</f>
        <v>0</v>
      </c>
      <c r="G693" s="76">
        <f>MAX(0,H692+Observaciones!$F692-F693-Constantes!$D$13)</f>
        <v>0</v>
      </c>
      <c r="H693" s="76">
        <f>H692+Observaciones!$F692-F693-E693-G693-I692</f>
        <v>23.571040178135284</v>
      </c>
      <c r="I693" s="76">
        <f>MAX(0,(H693-Constantes!$D$14)*(1-EXP(-Constantes!$D$22)))</f>
        <v>0.41969985993176212</v>
      </c>
      <c r="J693" s="76">
        <f t="shared" si="30"/>
        <v>59.514859783570138</v>
      </c>
      <c r="K693" s="76">
        <f>MAX(0,(J693-Constantes!$D$13)*(1-EXP(-Constantes!$D$23)))</f>
        <v>0.10606872743735725</v>
      </c>
      <c r="L693" s="76">
        <f t="shared" si="31"/>
        <v>0.52576858736911936</v>
      </c>
      <c r="M693" s="76">
        <f>0.0526*F693*Observaciones!$F692^1.218</f>
        <v>0</v>
      </c>
      <c r="N693" s="76">
        <f>M693*Constantes!$D$51</f>
        <v>0</v>
      </c>
      <c r="O693" s="76">
        <f t="shared" si="32"/>
        <v>0</v>
      </c>
      <c r="P693" s="15"/>
      <c r="Q693" s="75">
        <v>687</v>
      </c>
      <c r="R693" s="76">
        <f>0.0526*Observaciones!$F692^2.218</f>
        <v>1.6940460723560119E-2</v>
      </c>
      <c r="S693" s="76">
        <f>IF(Observaciones!$F692&gt;0.05*$W$7,((Observaciones!$F692-0.05*$W$7)^2)/(Observaciones!$F692+0.95*$W$7),0)</f>
        <v>0</v>
      </c>
      <c r="T693" s="76">
        <f>0.0526*S693*Observaciones!$F692^1.218</f>
        <v>0</v>
      </c>
      <c r="U693" s="29"/>
      <c r="V693" s="29"/>
      <c r="W693" s="109"/>
      <c r="X693" s="40"/>
    </row>
    <row r="694" spans="2:24" s="2" customFormat="1">
      <c r="B694" s="39"/>
      <c r="C694" s="75">
        <v>688</v>
      </c>
      <c r="D694" s="146">
        <f>ETo!$I693*((1-Constantes!$D$19)*ETo!$K693+ETo!$L693)</f>
        <v>4.2286526002299869</v>
      </c>
      <c r="E694" s="76">
        <f>MIN(D694*Constantes!$D$17,0.8*(H693+Observaciones!$F693-F694-G694-Constantes!$D$14))</f>
        <v>2.1561220989130421</v>
      </c>
      <c r="F694" s="76">
        <f>IF(Observaciones!$F693&gt;0.05*Constantes!$D$18,((Observaciones!$F693-0.05*Constantes!$D$18)^2)/(Observaciones!$F693+0.95*Constantes!$D$18),0)</f>
        <v>4.1591051526695666E-5</v>
      </c>
      <c r="G694" s="76">
        <f>MAX(0,H693+Observaciones!$F693-F694-Constantes!$D$13)</f>
        <v>0</v>
      </c>
      <c r="H694" s="76">
        <f>H693+Observaciones!$F693-F694-E694-G694-I693</f>
        <v>24.695176628238954</v>
      </c>
      <c r="I694" s="76">
        <f>MAX(0,(H694-Constantes!$D$14)*(1-EXP(-Constantes!$D$22)))</f>
        <v>0.45799207421168525</v>
      </c>
      <c r="J694" s="76">
        <f t="shared" si="30"/>
        <v>59.408791056132777</v>
      </c>
      <c r="K694" s="76">
        <f>MAX(0,(J694-Constantes!$D$13)*(1-EXP(-Constantes!$D$23)))</f>
        <v>0.10502360700231433</v>
      </c>
      <c r="L694" s="76">
        <f t="shared" si="31"/>
        <v>0.56305727226552627</v>
      </c>
      <c r="M694" s="76">
        <f>0.0526*F694*Observaciones!$F693^1.218</f>
        <v>1.0766024024932859E-5</v>
      </c>
      <c r="N694" s="76">
        <f>M694*Constantes!$D$51</f>
        <v>1.5136918328103932E-7</v>
      </c>
      <c r="O694" s="76">
        <f t="shared" si="32"/>
        <v>2.6883443432315128E-2</v>
      </c>
      <c r="P694" s="15"/>
      <c r="Q694" s="75">
        <v>688</v>
      </c>
      <c r="R694" s="76">
        <f>0.0526*Observaciones!$F693^2.218</f>
        <v>0.95776104306195564</v>
      </c>
      <c r="S694" s="76">
        <f>IF(Observaciones!$F693&gt;0.05*$W$7,((Observaciones!$F693-0.05*$W$7)^2)/(Observaciones!$F693+0.95*$W$7),0)</f>
        <v>0.10582673876477437</v>
      </c>
      <c r="T694" s="76">
        <f>0.0526*S694*Observaciones!$F693^1.218</f>
        <v>2.7393710190052805E-2</v>
      </c>
      <c r="U694" s="29"/>
      <c r="V694" s="29"/>
      <c r="W694" s="109"/>
      <c r="X694" s="40"/>
    </row>
    <row r="695" spans="2:24" s="2" customFormat="1">
      <c r="B695" s="39"/>
      <c r="C695" s="75">
        <v>689</v>
      </c>
      <c r="D695" s="146">
        <f>ETo!$I694*((1-Constantes!$D$19)*ETo!$K694+ETo!$L694)</f>
        <v>4.2604585069314558</v>
      </c>
      <c r="E695" s="76">
        <f>MIN(D695*Constantes!$D$17,0.8*(H694+Observaciones!$F694-F695-G695-Constantes!$D$14))</f>
        <v>2.1723394203149642</v>
      </c>
      <c r="F695" s="76">
        <f>IF(Observaciones!$F694&gt;0.05*Constantes!$D$18,((Observaciones!$F694-0.05*Constantes!$D$18)^2)/(Observaciones!$F694+0.95*Constantes!$D$18),0)</f>
        <v>1.1961329040984696</v>
      </c>
      <c r="G695" s="76">
        <f>MAX(0,H694+Observaciones!$F694-F695-Constantes!$D$13)</f>
        <v>0</v>
      </c>
      <c r="H695" s="76">
        <f>H694+Observaciones!$F694-F695-E695-G695-I694</f>
        <v>34.468712229613836</v>
      </c>
      <c r="I695" s="76">
        <f>MAX(0,(H695-Constantes!$D$14)*(1-EXP(-Constantes!$D$22)))</f>
        <v>0.79091457617823058</v>
      </c>
      <c r="J695" s="76">
        <f t="shared" si="30"/>
        <v>59.303767449130461</v>
      </c>
      <c r="K695" s="76">
        <f>MAX(0,(J695-Constantes!$D$13)*(1-EXP(-Constantes!$D$23)))</f>
        <v>0.10398878438784621</v>
      </c>
      <c r="L695" s="76">
        <f t="shared" si="31"/>
        <v>2.0910362646645466</v>
      </c>
      <c r="M695" s="76">
        <f>0.0526*F695*Observaciones!$F694^1.218</f>
        <v>1.5115258261127704</v>
      </c>
      <c r="N695" s="76">
        <f>M695*Constantes!$D$51</f>
        <v>2.1251896640488425E-2</v>
      </c>
      <c r="O695" s="76">
        <f t="shared" si="32"/>
        <v>1016.3332410639829</v>
      </c>
      <c r="P695" s="15"/>
      <c r="Q695" s="75">
        <v>689</v>
      </c>
      <c r="R695" s="76">
        <f>0.0526*Observaciones!$F694^2.218</f>
        <v>17.186009317775095</v>
      </c>
      <c r="S695" s="76">
        <f>IF(Observaciones!$F694&gt;0.05*$W$7,((Observaciones!$F694-0.05*$W$7)^2)/(Observaciones!$F694+0.95*$W$7),0)</f>
        <v>3.0288166090580324</v>
      </c>
      <c r="T695" s="76">
        <f>0.0526*S695*Observaciones!$F694^1.218</f>
        <v>3.8274463577281841</v>
      </c>
      <c r="U695" s="29"/>
      <c r="V695" s="29"/>
      <c r="W695" s="109"/>
      <c r="X695" s="40"/>
    </row>
    <row r="696" spans="2:24" s="2" customFormat="1">
      <c r="B696" s="39"/>
      <c r="C696" s="75">
        <v>690</v>
      </c>
      <c r="D696" s="146">
        <f>ETo!$I695*((1-Constantes!$D$19)*ETo!$K695+ETo!$L695)</f>
        <v>4.367183479461251</v>
      </c>
      <c r="E696" s="76">
        <f>MIN(D696*Constantes!$D$17,0.8*(H695+Observaciones!$F695-F696-G696-Constantes!$D$14))</f>
        <v>2.2267567710722393</v>
      </c>
      <c r="F696" s="76">
        <f>IF(Observaciones!$F695&gt;0.05*Constantes!$D$18,((Observaciones!$F695-0.05*Constantes!$D$18)^2)/(Observaciones!$F695+0.95*Constantes!$D$18),0)</f>
        <v>0.13913453809349113</v>
      </c>
      <c r="G696" s="76">
        <f>MAX(0,H695+Observaciones!$F695-F696-Constantes!$D$13)</f>
        <v>0</v>
      </c>
      <c r="H696" s="76">
        <f>H695+Observaciones!$F695-F696-E696-G696-I695</f>
        <v>38.21190634426987</v>
      </c>
      <c r="I696" s="76">
        <f>MAX(0,(H696-Constantes!$D$14)*(1-EXP(-Constantes!$D$22)))</f>
        <v>0.91842150927032751</v>
      </c>
      <c r="J696" s="76">
        <f t="shared" si="30"/>
        <v>59.199778664742617</v>
      </c>
      <c r="K696" s="76">
        <f>MAX(0,(J696-Constantes!$D$13)*(1-EXP(-Constantes!$D$23)))</f>
        <v>0.10296415812707403</v>
      </c>
      <c r="L696" s="76">
        <f t="shared" si="31"/>
        <v>1.1605202054908925</v>
      </c>
      <c r="M696" s="76">
        <f>0.0526*F696*Observaciones!$F695^1.218</f>
        <v>7.6937644728829843E-2</v>
      </c>
      <c r="N696" s="76">
        <f>M696*Constantes!$D$51</f>
        <v>1.0817353202258308E-3</v>
      </c>
      <c r="O696" s="76">
        <f t="shared" si="32"/>
        <v>93.211243984180669</v>
      </c>
      <c r="P696" s="15"/>
      <c r="Q696" s="75">
        <v>690</v>
      </c>
      <c r="R696" s="76">
        <f>0.0526*Observaciones!$F695^2.218</f>
        <v>3.8155137890507769</v>
      </c>
      <c r="S696" s="76">
        <f>IF(Observaciones!$F695&gt;0.05*$W$7,((Observaciones!$F695-0.05*$W$7)^2)/(Observaciones!$F695+0.95*$W$7),0)</f>
        <v>0.67103148649911282</v>
      </c>
      <c r="T696" s="76">
        <f>0.0526*S696*Observaciones!$F695^1.218</f>
        <v>0.37106230284414565</v>
      </c>
      <c r="U696" s="29"/>
      <c r="V696" s="29"/>
      <c r="W696" s="109"/>
      <c r="X696" s="40"/>
    </row>
    <row r="697" spans="2:24" s="2" customFormat="1">
      <c r="B697" s="39"/>
      <c r="C697" s="75">
        <v>691</v>
      </c>
      <c r="D697" s="146">
        <f>ETo!$I696*((1-Constantes!$D$19)*ETo!$K696+ETo!$L696)</f>
        <v>4.3900472228168903</v>
      </c>
      <c r="E697" s="76">
        <f>MIN(D697*Constantes!$D$17,0.8*(H696+Observaciones!$F696-F697-G697-Constantes!$D$14))</f>
        <v>2.2384146268890754</v>
      </c>
      <c r="F697" s="76">
        <f>IF(Observaciones!$F696&gt;0.05*Constantes!$D$18,((Observaciones!$F696-0.05*Constantes!$D$18)^2)/(Observaciones!$F696+0.95*Constantes!$D$18),0)</f>
        <v>0</v>
      </c>
      <c r="G697" s="76">
        <f>MAX(0,H696+Observaciones!$F696-F697-Constantes!$D$13)</f>
        <v>0</v>
      </c>
      <c r="H697" s="76">
        <f>H696+Observaciones!$F696-F697-E697-G697-I696</f>
        <v>35.055070208110472</v>
      </c>
      <c r="I697" s="76">
        <f>MAX(0,(H697-Constantes!$D$14)*(1-EXP(-Constantes!$D$22)))</f>
        <v>0.81088808149003244</v>
      </c>
      <c r="J697" s="76">
        <f t="shared" si="30"/>
        <v>59.096814506615544</v>
      </c>
      <c r="K697" s="76">
        <f>MAX(0,(J697-Constantes!$D$13)*(1-EXP(-Constantes!$D$23)))</f>
        <v>0.10194962775289619</v>
      </c>
      <c r="L697" s="76">
        <f t="shared" si="31"/>
        <v>0.91283770924292862</v>
      </c>
      <c r="M697" s="76">
        <f>0.0526*F697*Observaciones!$F696^1.218</f>
        <v>0</v>
      </c>
      <c r="N697" s="76">
        <f>M697*Constantes!$D$51</f>
        <v>0</v>
      </c>
      <c r="O697" s="76">
        <f t="shared" si="32"/>
        <v>0</v>
      </c>
      <c r="P697" s="15"/>
      <c r="Q697" s="75">
        <v>691</v>
      </c>
      <c r="R697" s="76">
        <f>0.0526*Observaciones!$F696^2.218</f>
        <v>0</v>
      </c>
      <c r="S697" s="76">
        <f>IF(Observaciones!$F696&gt;0.05*$W$7,((Observaciones!$F696-0.05*$W$7)^2)/(Observaciones!$F696+0.95*$W$7),0)</f>
        <v>0</v>
      </c>
      <c r="T697" s="76">
        <f>0.0526*S697*Observaciones!$F696^1.218</f>
        <v>0</v>
      </c>
      <c r="U697" s="29"/>
      <c r="V697" s="29"/>
      <c r="W697" s="109"/>
      <c r="X697" s="40"/>
    </row>
    <row r="698" spans="2:24" s="2" customFormat="1">
      <c r="B698" s="39"/>
      <c r="C698" s="75">
        <v>692</v>
      </c>
      <c r="D698" s="146">
        <f>ETo!$I697*((1-Constantes!$D$19)*ETo!$K697+ETo!$L697)</f>
        <v>4.4260948509762299</v>
      </c>
      <c r="E698" s="76">
        <f>MIN(D698*Constantes!$D$17,0.8*(H697+Observaciones!$F697-F698-G698-Constantes!$D$14))</f>
        <v>2.2567947339906911</v>
      </c>
      <c r="F698" s="76">
        <f>IF(Observaciones!$F697&gt;0.05*Constantes!$D$18,((Observaciones!$F697-0.05*Constantes!$D$18)^2)/(Observaciones!$F697+0.95*Constantes!$D$18),0)</f>
        <v>0</v>
      </c>
      <c r="G698" s="76">
        <f>MAX(0,H697+Observaciones!$F697-F698-Constantes!$D$13)</f>
        <v>0</v>
      </c>
      <c r="H698" s="76">
        <f>H697+Observaciones!$F697-F698-E698-G698-I697</f>
        <v>31.987387392629753</v>
      </c>
      <c r="I698" s="76">
        <f>MAX(0,(H698-Constantes!$D$14)*(1-EXP(-Constantes!$D$22)))</f>
        <v>0.7063915431005936</v>
      </c>
      <c r="J698" s="76">
        <f t="shared" si="30"/>
        <v>58.99486487886265</v>
      </c>
      <c r="K698" s="76">
        <f>MAX(0,(J698-Constantes!$D$13)*(1-EXP(-Constantes!$D$23)))</f>
        <v>0.10094509378813743</v>
      </c>
      <c r="L698" s="76">
        <f t="shared" si="31"/>
        <v>0.80733663688873103</v>
      </c>
      <c r="M698" s="76">
        <f>0.0526*F698*Observaciones!$F697^1.218</f>
        <v>0</v>
      </c>
      <c r="N698" s="76">
        <f>M698*Constantes!$D$51</f>
        <v>0</v>
      </c>
      <c r="O698" s="76">
        <f t="shared" si="32"/>
        <v>0</v>
      </c>
      <c r="P698" s="15"/>
      <c r="Q698" s="75">
        <v>692</v>
      </c>
      <c r="R698" s="76">
        <f>0.0526*Observaciones!$F697^2.218</f>
        <v>0</v>
      </c>
      <c r="S698" s="76">
        <f>IF(Observaciones!$F697&gt;0.05*$W$7,((Observaciones!$F697-0.05*$W$7)^2)/(Observaciones!$F697+0.95*$W$7),0)</f>
        <v>0</v>
      </c>
      <c r="T698" s="76">
        <f>0.0526*S698*Observaciones!$F697^1.218</f>
        <v>0</v>
      </c>
      <c r="U698" s="29"/>
      <c r="V698" s="29"/>
      <c r="W698" s="109"/>
      <c r="X698" s="40"/>
    </row>
    <row r="699" spans="2:24" s="2" customFormat="1">
      <c r="B699" s="39"/>
      <c r="C699" s="75">
        <v>693</v>
      </c>
      <c r="D699" s="146">
        <f>ETo!$I698*((1-Constantes!$D$19)*ETo!$K698+ETo!$L698)</f>
        <v>4.3119286813071245</v>
      </c>
      <c r="E699" s="76">
        <f>MIN(D699*Constantes!$D$17,0.8*(H698+Observaciones!$F698-F699-G699-Constantes!$D$14))</f>
        <v>2.1985832362293412</v>
      </c>
      <c r="F699" s="76">
        <f>IF(Observaciones!$F698&gt;0.05*Constantes!$D$18,((Observaciones!$F698-0.05*Constantes!$D$18)^2)/(Observaciones!$F698+0.95*Constantes!$D$18),0)</f>
        <v>0</v>
      </c>
      <c r="G699" s="76">
        <f>MAX(0,H698+Observaciones!$F698-F699-Constantes!$D$13)</f>
        <v>0</v>
      </c>
      <c r="H699" s="76">
        <f>H698+Observaciones!$F698-F699-E699-G699-I698</f>
        <v>29.082412613299816</v>
      </c>
      <c r="I699" s="76">
        <f>MAX(0,(H699-Constantes!$D$14)*(1-EXP(-Constantes!$D$22)))</f>
        <v>0.60743743773587944</v>
      </c>
      <c r="J699" s="76">
        <f t="shared" si="30"/>
        <v>58.893919785074516</v>
      </c>
      <c r="K699" s="76">
        <f>MAX(0,(J699-Constantes!$D$13)*(1-EXP(-Constantes!$D$23)))</f>
        <v>9.9950457735794807E-2</v>
      </c>
      <c r="L699" s="76">
        <f t="shared" si="31"/>
        <v>0.70738789547167424</v>
      </c>
      <c r="M699" s="76">
        <f>0.0526*F699*Observaciones!$F698^1.218</f>
        <v>0</v>
      </c>
      <c r="N699" s="76">
        <f>M699*Constantes!$D$51</f>
        <v>0</v>
      </c>
      <c r="O699" s="76">
        <f t="shared" si="32"/>
        <v>0</v>
      </c>
      <c r="P699" s="15"/>
      <c r="Q699" s="75">
        <v>693</v>
      </c>
      <c r="R699" s="76">
        <f>0.0526*Observaciones!$F698^2.218</f>
        <v>0</v>
      </c>
      <c r="S699" s="76">
        <f>IF(Observaciones!$F698&gt;0.05*$W$7,((Observaciones!$F698-0.05*$W$7)^2)/(Observaciones!$F698+0.95*$W$7),0)</f>
        <v>0</v>
      </c>
      <c r="T699" s="76">
        <f>0.0526*S699*Observaciones!$F698^1.218</f>
        <v>0</v>
      </c>
      <c r="U699" s="29"/>
      <c r="V699" s="29"/>
      <c r="W699" s="109"/>
      <c r="X699" s="40"/>
    </row>
    <row r="700" spans="2:24" s="2" customFormat="1">
      <c r="B700" s="39"/>
      <c r="C700" s="75">
        <v>694</v>
      </c>
      <c r="D700" s="146">
        <f>ETo!$I699*((1-Constantes!$D$19)*ETo!$K699+ETo!$L699)</f>
        <v>4.365445918682509</v>
      </c>
      <c r="E700" s="76">
        <f>MIN(D700*Constantes!$D$17,0.8*(H699+Observaciones!$F699-F700-G700-Constantes!$D$14))</f>
        <v>2.2258708167157506</v>
      </c>
      <c r="F700" s="76">
        <f>IF(Observaciones!$F699&gt;0.05*Constantes!$D$18,((Observaciones!$F699-0.05*Constantes!$D$18)^2)/(Observaciones!$F699+0.95*Constantes!$D$18),0)</f>
        <v>0.20353926528528929</v>
      </c>
      <c r="G700" s="76">
        <f>MAX(0,H699+Observaciones!$F699-F700-Constantes!$D$13)</f>
        <v>0</v>
      </c>
      <c r="H700" s="76">
        <f>H699+Observaciones!$F699-F700-E700-G700-I699</f>
        <v>33.645565093562901</v>
      </c>
      <c r="I700" s="76">
        <f>MAX(0,(H700-Constantes!$D$14)*(1-EXP(-Constantes!$D$22)))</f>
        <v>0.7628751628893361</v>
      </c>
      <c r="J700" s="76">
        <f t="shared" si="30"/>
        <v>58.793969327338722</v>
      </c>
      <c r="K700" s="76">
        <f>MAX(0,(J700-Constantes!$D$13)*(1-EXP(-Constantes!$D$23)))</f>
        <v>9.8965622069379741E-2</v>
      </c>
      <c r="L700" s="76">
        <f t="shared" si="31"/>
        <v>1.0653800502440052</v>
      </c>
      <c r="M700" s="76">
        <f>0.0526*F700*Observaciones!$F699^1.218</f>
        <v>0.12660909429942238</v>
      </c>
      <c r="N700" s="76">
        <f>M700*Constantes!$D$51</f>
        <v>1.7801107591504911E-3</v>
      </c>
      <c r="O700" s="76">
        <f t="shared" si="32"/>
        <v>167.08692440249752</v>
      </c>
      <c r="P700" s="15"/>
      <c r="Q700" s="75">
        <v>694</v>
      </c>
      <c r="R700" s="76">
        <f>0.0526*Observaciones!$F699^2.218</f>
        <v>4.72748644015644</v>
      </c>
      <c r="S700" s="76">
        <f>IF(Observaciones!$F699&gt;0.05*$W$7,((Observaciones!$F699-0.05*$W$7)^2)/(Observaciones!$F699+0.95*$W$7),0)</f>
        <v>0.85016527070729775</v>
      </c>
      <c r="T700" s="76">
        <f>0.0526*S700*Observaciones!$F699^1.218</f>
        <v>0.52883484067903708</v>
      </c>
      <c r="U700" s="29"/>
      <c r="V700" s="29"/>
      <c r="W700" s="109"/>
      <c r="X700" s="40"/>
    </row>
    <row r="701" spans="2:24" s="2" customFormat="1">
      <c r="B701" s="39"/>
      <c r="C701" s="75">
        <v>695</v>
      </c>
      <c r="D701" s="146">
        <f>ETo!$I700*((1-Constantes!$D$19)*ETo!$K700+ETo!$L700)</f>
        <v>4.4322011348143739</v>
      </c>
      <c r="E701" s="76">
        <f>MIN(D701*Constantes!$D$17,0.8*(H700+Observaciones!$F700-F701-G701-Constantes!$D$14))</f>
        <v>2.2599082301253559</v>
      </c>
      <c r="F701" s="76">
        <f>IF(Observaciones!$F700&gt;0.05*Constantes!$D$18,((Observaciones!$F700-0.05*Constantes!$D$18)^2)/(Observaciones!$F700+0.95*Constantes!$D$18),0)</f>
        <v>1.0214755994453435</v>
      </c>
      <c r="G701" s="76">
        <f>MAX(0,H700+Observaciones!$F700-F701-Constantes!$D$13)</f>
        <v>0</v>
      </c>
      <c r="H701" s="76">
        <f>H700+Observaciones!$F700-F701-E701-G701-I700</f>
        <v>42.401306101102868</v>
      </c>
      <c r="I701" s="76">
        <f>MAX(0,(H701-Constantes!$D$14)*(1-EXP(-Constantes!$D$22)))</f>
        <v>1.0611278445894186</v>
      </c>
      <c r="J701" s="76">
        <f t="shared" si="30"/>
        <v>58.695003705269343</v>
      </c>
      <c r="K701" s="76">
        <f>MAX(0,(J701-Constantes!$D$13)*(1-EXP(-Constantes!$D$23)))</f>
        <v>9.7990490223355445E-2</v>
      </c>
      <c r="L701" s="76">
        <f t="shared" si="31"/>
        <v>2.1805939342581175</v>
      </c>
      <c r="M701" s="76">
        <f>0.0526*F701*Observaciones!$F700^1.218</f>
        <v>1.1989345734453372</v>
      </c>
      <c r="N701" s="76">
        <f>M701*Constantes!$D$51</f>
        <v>1.6856895987741743E-2</v>
      </c>
      <c r="O701" s="76">
        <f t="shared" si="32"/>
        <v>773.04149676435759</v>
      </c>
      <c r="P701" s="15"/>
      <c r="Q701" s="75">
        <v>695</v>
      </c>
      <c r="R701" s="76">
        <f>0.0526*Observaciones!$F700^2.218</f>
        <v>15.023719165130638</v>
      </c>
      <c r="S701" s="76">
        <f>IF(Observaciones!$F700&gt;0.05*$W$7,((Observaciones!$F700-0.05*$W$7)^2)/(Observaciones!$F700+0.95*$W$7),0)</f>
        <v>2.6803602911260813</v>
      </c>
      <c r="T701" s="76">
        <f>0.0526*S701*Observaciones!$F700^1.218</f>
        <v>3.1460140840035975</v>
      </c>
      <c r="U701" s="29"/>
      <c r="V701" s="29"/>
      <c r="W701" s="109"/>
      <c r="X701" s="40"/>
    </row>
    <row r="702" spans="2:24" s="2" customFormat="1">
      <c r="B702" s="39"/>
      <c r="C702" s="75">
        <v>696</v>
      </c>
      <c r="D702" s="146">
        <f>ETo!$I701*((1-Constantes!$D$19)*ETo!$K701+ETo!$L701)</f>
        <v>4.4061106706250763</v>
      </c>
      <c r="E702" s="76">
        <f>MIN(D702*Constantes!$D$17,0.8*(H701+Observaciones!$F701-F702-G702-Constantes!$D$14))</f>
        <v>2.2466051211382561</v>
      </c>
      <c r="F702" s="76">
        <f>IF(Observaciones!$F701&gt;0.05*Constantes!$D$18,((Observaciones!$F701-0.05*Constantes!$D$18)^2)/(Observaciones!$F701+0.95*Constantes!$D$18),0)</f>
        <v>0</v>
      </c>
      <c r="G702" s="76">
        <f>MAX(0,H701+Observaciones!$F701-F702-Constantes!$D$13)</f>
        <v>0</v>
      </c>
      <c r="H702" s="76">
        <f>H701+Observaciones!$F701-F702-E702-G702-I701</f>
        <v>39.393573135375185</v>
      </c>
      <c r="I702" s="76">
        <f>MAX(0,(H702-Constantes!$D$14)*(1-EXP(-Constantes!$D$22)))</f>
        <v>0.95867341816297214</v>
      </c>
      <c r="J702" s="76">
        <f t="shared" si="30"/>
        <v>58.59701321504599</v>
      </c>
      <c r="K702" s="76">
        <f>MAX(0,(J702-Constantes!$D$13)*(1-EXP(-Constantes!$D$23)))</f>
        <v>9.7024966583668354E-2</v>
      </c>
      <c r="L702" s="76">
        <f t="shared" si="31"/>
        <v>1.0556983847466406</v>
      </c>
      <c r="M702" s="76">
        <f>0.0526*F702*Observaciones!$F701^1.218</f>
        <v>0</v>
      </c>
      <c r="N702" s="76">
        <f>M702*Constantes!$D$51</f>
        <v>0</v>
      </c>
      <c r="O702" s="76">
        <f t="shared" si="32"/>
        <v>0</v>
      </c>
      <c r="P702" s="15"/>
      <c r="Q702" s="75">
        <v>696</v>
      </c>
      <c r="R702" s="76">
        <f>0.0526*Observaciones!$F701^2.218</f>
        <v>3.6411677467564265E-3</v>
      </c>
      <c r="S702" s="76">
        <f>IF(Observaciones!$F701&gt;0.05*$W$7,((Observaciones!$F701-0.05*$W$7)^2)/(Observaciones!$F701+0.95*$W$7),0)</f>
        <v>0</v>
      </c>
      <c r="T702" s="76">
        <f>0.0526*S702*Observaciones!$F701^1.218</f>
        <v>0</v>
      </c>
      <c r="U702" s="29"/>
      <c r="V702" s="29"/>
      <c r="W702" s="109"/>
      <c r="X702" s="40"/>
    </row>
    <row r="703" spans="2:24" s="2" customFormat="1">
      <c r="B703" s="39"/>
      <c r="C703" s="75">
        <v>697</v>
      </c>
      <c r="D703" s="146">
        <f>ETo!$I702*((1-Constantes!$D$19)*ETo!$K702+ETo!$L702)</f>
        <v>4.4108968811515901</v>
      </c>
      <c r="E703" s="76">
        <f>MIN(D703*Constantes!$D$17,0.8*(H702+Observaciones!$F702-F703-G703-Constantes!$D$14))</f>
        <v>2.2490455330760217</v>
      </c>
      <c r="F703" s="76">
        <f>IF(Observaciones!$F702&gt;0.05*Constantes!$D$18,((Observaciones!$F702-0.05*Constantes!$D$18)^2)/(Observaciones!$F702+0.95*Constantes!$D$18),0)</f>
        <v>0</v>
      </c>
      <c r="G703" s="76">
        <f>MAX(0,H702+Observaciones!$F702-F703-Constantes!$D$13)</f>
        <v>0</v>
      </c>
      <c r="H703" s="76">
        <f>H702+Observaciones!$F702-F703-E703-G703-I702</f>
        <v>36.18585418413619</v>
      </c>
      <c r="I703" s="76">
        <f>MAX(0,(H703-Constantes!$D$14)*(1-EXP(-Constantes!$D$22)))</f>
        <v>0.84940673490642771</v>
      </c>
      <c r="J703" s="76">
        <f t="shared" si="30"/>
        <v>58.499988248462323</v>
      </c>
      <c r="K703" s="76">
        <f>MAX(0,(J703-Constantes!$D$13)*(1-EXP(-Constantes!$D$23)))</f>
        <v>9.6068956478372894E-2</v>
      </c>
      <c r="L703" s="76">
        <f t="shared" si="31"/>
        <v>0.94547569138480059</v>
      </c>
      <c r="M703" s="76">
        <f>0.0526*F703*Observaciones!$F702^1.218</f>
        <v>0</v>
      </c>
      <c r="N703" s="76">
        <f>M703*Constantes!$D$51</f>
        <v>0</v>
      </c>
      <c r="O703" s="76">
        <f t="shared" si="32"/>
        <v>0</v>
      </c>
      <c r="P703" s="15"/>
      <c r="Q703" s="75">
        <v>697</v>
      </c>
      <c r="R703" s="76">
        <f>0.0526*Observaciones!$F702^2.218</f>
        <v>0</v>
      </c>
      <c r="S703" s="76">
        <f>IF(Observaciones!$F702&gt;0.05*$W$7,((Observaciones!$F702-0.05*$W$7)^2)/(Observaciones!$F702+0.95*$W$7),0)</f>
        <v>0</v>
      </c>
      <c r="T703" s="76">
        <f>0.0526*S703*Observaciones!$F702^1.218</f>
        <v>0</v>
      </c>
      <c r="U703" s="29"/>
      <c r="V703" s="29"/>
      <c r="W703" s="109"/>
      <c r="X703" s="40"/>
    </row>
    <row r="704" spans="2:24" s="2" customFormat="1">
      <c r="B704" s="39"/>
      <c r="C704" s="75">
        <v>698</v>
      </c>
      <c r="D704" s="146">
        <f>ETo!$I703*((1-Constantes!$D$19)*ETo!$K703+ETo!$L703)</f>
        <v>4.2963876753329053</v>
      </c>
      <c r="E704" s="76">
        <f>MIN(D704*Constantes!$D$17,0.8*(H703+Observaciones!$F703-F704-G704-Constantes!$D$14))</f>
        <v>2.1906591266870885</v>
      </c>
      <c r="F704" s="76">
        <f>IF(Observaciones!$F703&gt;0.05*Constantes!$D$18,((Observaciones!$F703-0.05*Constantes!$D$18)^2)/(Observaciones!$F703+0.95*Constantes!$D$18),0)</f>
        <v>0</v>
      </c>
      <c r="G704" s="76">
        <f>MAX(0,H703+Observaciones!$F703-F704-Constantes!$D$13)</f>
        <v>0</v>
      </c>
      <c r="H704" s="76">
        <f>H703+Observaciones!$F703-F704-E704-G704-I703</f>
        <v>33.145788322542671</v>
      </c>
      <c r="I704" s="76">
        <f>MAX(0,(H704-Constantes!$D$14)*(1-EXP(-Constantes!$D$22)))</f>
        <v>0.74585093135030023</v>
      </c>
      <c r="J704" s="76">
        <f t="shared" si="30"/>
        <v>58.403919291983946</v>
      </c>
      <c r="K704" s="76">
        <f>MAX(0,(J704-Constantes!$D$13)*(1-EXP(-Constantes!$D$23)))</f>
        <v>9.5122366168348738E-2</v>
      </c>
      <c r="L704" s="76">
        <f t="shared" si="31"/>
        <v>0.84097329751864902</v>
      </c>
      <c r="M704" s="76">
        <f>0.0526*F704*Observaciones!$F703^1.218</f>
        <v>0</v>
      </c>
      <c r="N704" s="76">
        <f>M704*Constantes!$D$51</f>
        <v>0</v>
      </c>
      <c r="O704" s="76">
        <f t="shared" si="32"/>
        <v>0</v>
      </c>
      <c r="P704" s="15"/>
      <c r="Q704" s="75">
        <v>698</v>
      </c>
      <c r="R704" s="76">
        <f>0.0526*Observaciones!$F703^2.218</f>
        <v>0</v>
      </c>
      <c r="S704" s="76">
        <f>IF(Observaciones!$F703&gt;0.05*$W$7,((Observaciones!$F703-0.05*$W$7)^2)/(Observaciones!$F703+0.95*$W$7),0)</f>
        <v>0</v>
      </c>
      <c r="T704" s="76">
        <f>0.0526*S704*Observaciones!$F703^1.218</f>
        <v>0</v>
      </c>
      <c r="U704" s="29"/>
      <c r="V704" s="29"/>
      <c r="W704" s="109"/>
      <c r="X704" s="40"/>
    </row>
    <row r="705" spans="2:24" s="2" customFormat="1">
      <c r="B705" s="39"/>
      <c r="C705" s="75">
        <v>699</v>
      </c>
      <c r="D705" s="146">
        <f>ETo!$I704*((1-Constantes!$D$19)*ETo!$K704+ETo!$L704)</f>
        <v>4.1995576341354903</v>
      </c>
      <c r="E705" s="76">
        <f>MIN(D705*Constantes!$D$17,0.8*(H704+Observaciones!$F704-F705-G705-Constantes!$D$14))</f>
        <v>2.1412870426211019</v>
      </c>
      <c r="F705" s="76">
        <f>IF(Observaciones!$F704&gt;0.05*Constantes!$D$18,((Observaciones!$F704-0.05*Constantes!$D$18)^2)/(Observaciones!$F704+0.95*Constantes!$D$18),0)</f>
        <v>0</v>
      </c>
      <c r="G705" s="76">
        <f>MAX(0,H704+Observaciones!$F704-F705-Constantes!$D$13)</f>
        <v>0</v>
      </c>
      <c r="H705" s="76">
        <f>H704+Observaciones!$F704-F705-E705-G705-I704</f>
        <v>30.258650348571269</v>
      </c>
      <c r="I705" s="76">
        <f>MAX(0,(H705-Constantes!$D$14)*(1-EXP(-Constantes!$D$22)))</f>
        <v>0.64750441305635076</v>
      </c>
      <c r="J705" s="76">
        <f t="shared" si="30"/>
        <v>58.308796925815599</v>
      </c>
      <c r="K705" s="76">
        <f>MAX(0,(J705-Constantes!$D$13)*(1-EXP(-Constantes!$D$23)))</f>
        <v>9.4185102838109547E-2</v>
      </c>
      <c r="L705" s="76">
        <f t="shared" si="31"/>
        <v>0.74168951589446031</v>
      </c>
      <c r="M705" s="76">
        <f>0.0526*F705*Observaciones!$F704^1.218</f>
        <v>0</v>
      </c>
      <c r="N705" s="76">
        <f>M705*Constantes!$D$51</f>
        <v>0</v>
      </c>
      <c r="O705" s="76">
        <f t="shared" si="32"/>
        <v>0</v>
      </c>
      <c r="P705" s="15"/>
      <c r="Q705" s="75">
        <v>699</v>
      </c>
      <c r="R705" s="76">
        <f>0.0526*Observaciones!$F704^2.218</f>
        <v>0</v>
      </c>
      <c r="S705" s="76">
        <f>IF(Observaciones!$F704&gt;0.05*$W$7,((Observaciones!$F704-0.05*$W$7)^2)/(Observaciones!$F704+0.95*$W$7),0)</f>
        <v>0</v>
      </c>
      <c r="T705" s="76">
        <f>0.0526*S705*Observaciones!$F704^1.218</f>
        <v>0</v>
      </c>
      <c r="U705" s="29"/>
      <c r="V705" s="29"/>
      <c r="W705" s="109"/>
      <c r="X705" s="40"/>
    </row>
    <row r="706" spans="2:24" s="2" customFormat="1">
      <c r="B706" s="39"/>
      <c r="C706" s="75">
        <v>700</v>
      </c>
      <c r="D706" s="146">
        <f>ETo!$I705*((1-Constantes!$D$19)*ETo!$K705+ETo!$L705)</f>
        <v>4.1159101638838118</v>
      </c>
      <c r="E706" s="76">
        <f>MIN(D706*Constantes!$D$17,0.8*(H705+Observaciones!$F705-F706-G706-Constantes!$D$14))</f>
        <v>2.0986365399248044</v>
      </c>
      <c r="F706" s="76">
        <f>IF(Observaciones!$F705&gt;0.05*Constantes!$D$18,((Observaciones!$F705-0.05*Constantes!$D$18)^2)/(Observaciones!$F705+0.95*Constantes!$D$18),0)</f>
        <v>0</v>
      </c>
      <c r="G706" s="76">
        <f>MAX(0,H705+Observaciones!$F705-F706-Constantes!$D$13)</f>
        <v>0</v>
      </c>
      <c r="H706" s="76">
        <f>H705+Observaciones!$F705-F706-E706-G706-I705</f>
        <v>27.512509395590115</v>
      </c>
      <c r="I706" s="76">
        <f>MAX(0,(H706-Constantes!$D$14)*(1-EXP(-Constantes!$D$22)))</f>
        <v>0.55396077090798967</v>
      </c>
      <c r="J706" s="76">
        <f t="shared" si="30"/>
        <v>58.214611822977488</v>
      </c>
      <c r="K706" s="76">
        <f>MAX(0,(J706-Constantes!$D$13)*(1-EXP(-Constantes!$D$23)))</f>
        <v>9.3257074586701905E-2</v>
      </c>
      <c r="L706" s="76">
        <f t="shared" si="31"/>
        <v>0.64721784549469152</v>
      </c>
      <c r="M706" s="76">
        <f>0.0526*F706*Observaciones!$F705^1.218</f>
        <v>0</v>
      </c>
      <c r="N706" s="76">
        <f>M706*Constantes!$D$51</f>
        <v>0</v>
      </c>
      <c r="O706" s="76">
        <f t="shared" si="32"/>
        <v>0</v>
      </c>
      <c r="P706" s="15"/>
      <c r="Q706" s="75">
        <v>700</v>
      </c>
      <c r="R706" s="76">
        <f>0.0526*Observaciones!$F705^2.218</f>
        <v>0</v>
      </c>
      <c r="S706" s="76">
        <f>IF(Observaciones!$F705&gt;0.05*$W$7,((Observaciones!$F705-0.05*$W$7)^2)/(Observaciones!$F705+0.95*$W$7),0)</f>
        <v>0</v>
      </c>
      <c r="T706" s="76">
        <f>0.0526*S706*Observaciones!$F705^1.218</f>
        <v>0</v>
      </c>
      <c r="U706" s="29"/>
      <c r="V706" s="29"/>
      <c r="W706" s="109"/>
      <c r="X706" s="40"/>
    </row>
    <row r="707" spans="2:24" s="2" customFormat="1">
      <c r="B707" s="39"/>
      <c r="C707" s="75">
        <v>701</v>
      </c>
      <c r="D707" s="146">
        <f>ETo!$I706*((1-Constantes!$D$19)*ETo!$K706+ETo!$L706)</f>
        <v>4.1293220213639765</v>
      </c>
      <c r="E707" s="76">
        <f>MIN(D707*Constantes!$D$17,0.8*(H706+Observaciones!$F706-F707-G707-Constantes!$D$14))</f>
        <v>2.1054750308187793</v>
      </c>
      <c r="F707" s="76">
        <f>IF(Observaciones!$F706&gt;0.05*Constantes!$D$18,((Observaciones!$F706-0.05*Constantes!$D$18)^2)/(Observaciones!$F706+0.95*Constantes!$D$18),0)</f>
        <v>0</v>
      </c>
      <c r="G707" s="76">
        <f>MAX(0,H706+Observaciones!$F706-F707-Constantes!$D$13)</f>
        <v>0</v>
      </c>
      <c r="H707" s="76">
        <f>H706+Observaciones!$F706-F707-E707-G707-I706</f>
        <v>24.853073593863346</v>
      </c>
      <c r="I707" s="76">
        <f>MAX(0,(H707-Constantes!$D$14)*(1-EXP(-Constantes!$D$22)))</f>
        <v>0.46337062451247946</v>
      </c>
      <c r="J707" s="76">
        <f t="shared" si="30"/>
        <v>58.121354748390786</v>
      </c>
      <c r="K707" s="76">
        <f>MAX(0,(J707-Constantes!$D$13)*(1-EXP(-Constantes!$D$23)))</f>
        <v>9.2338190418694496E-2</v>
      </c>
      <c r="L707" s="76">
        <f t="shared" si="31"/>
        <v>0.55570881493117397</v>
      </c>
      <c r="M707" s="76">
        <f>0.0526*F707*Observaciones!$F706^1.218</f>
        <v>0</v>
      </c>
      <c r="N707" s="76">
        <f>M707*Constantes!$D$51</f>
        <v>0</v>
      </c>
      <c r="O707" s="76">
        <f t="shared" si="32"/>
        <v>0</v>
      </c>
      <c r="P707" s="15"/>
      <c r="Q707" s="75">
        <v>701</v>
      </c>
      <c r="R707" s="76">
        <f>0.0526*Observaciones!$F706^2.218</f>
        <v>0</v>
      </c>
      <c r="S707" s="76">
        <f>IF(Observaciones!$F706&gt;0.05*$W$7,((Observaciones!$F706-0.05*$W$7)^2)/(Observaciones!$F706+0.95*$W$7),0)</f>
        <v>0</v>
      </c>
      <c r="T707" s="76">
        <f>0.0526*S707*Observaciones!$F706^1.218</f>
        <v>0</v>
      </c>
      <c r="U707" s="29"/>
      <c r="V707" s="29"/>
      <c r="W707" s="109"/>
      <c r="X707" s="40"/>
    </row>
    <row r="708" spans="2:24" s="2" customFormat="1">
      <c r="B708" s="39"/>
      <c r="C708" s="75">
        <v>702</v>
      </c>
      <c r="D708" s="146">
        <f>ETo!$I707*((1-Constantes!$D$19)*ETo!$K707+ETo!$L707)</f>
        <v>4.2397954382649541</v>
      </c>
      <c r="E708" s="76">
        <f>MIN(D708*Constantes!$D$17,0.8*(H707+Observaciones!$F707-F708-G708-Constantes!$D$14))</f>
        <v>2.1618036532054177</v>
      </c>
      <c r="F708" s="76">
        <f>IF(Observaciones!$F707&gt;0.05*Constantes!$D$18,((Observaciones!$F707-0.05*Constantes!$D$18)^2)/(Observaciones!$F707+0.95*Constantes!$D$18),0)</f>
        <v>0</v>
      </c>
      <c r="G708" s="76">
        <f>MAX(0,H707+Observaciones!$F707-F708-Constantes!$D$13)</f>
        <v>0</v>
      </c>
      <c r="H708" s="76">
        <f>H707+Observaciones!$F707-F708-E708-G708-I707</f>
        <v>22.22789931614545</v>
      </c>
      <c r="I708" s="76">
        <f>MAX(0,(H708-Constantes!$D$14)*(1-EXP(-Constantes!$D$22)))</f>
        <v>0.37394755140134106</v>
      </c>
      <c r="J708" s="76">
        <f t="shared" si="30"/>
        <v>58.029016557972092</v>
      </c>
      <c r="K708" s="76">
        <f>MAX(0,(J708-Constantes!$D$13)*(1-EXP(-Constantes!$D$23)))</f>
        <v>9.1428360235255635E-2</v>
      </c>
      <c r="L708" s="76">
        <f t="shared" si="31"/>
        <v>0.4653759116365967</v>
      </c>
      <c r="M708" s="76">
        <f>0.0526*F708*Observaciones!$F707^1.218</f>
        <v>0</v>
      </c>
      <c r="N708" s="76">
        <f>M708*Constantes!$D$51</f>
        <v>0</v>
      </c>
      <c r="O708" s="76">
        <f t="shared" si="32"/>
        <v>0</v>
      </c>
      <c r="P708" s="15"/>
      <c r="Q708" s="75">
        <v>702</v>
      </c>
      <c r="R708" s="76">
        <f>0.0526*Observaciones!$F707^2.218</f>
        <v>0</v>
      </c>
      <c r="S708" s="76">
        <f>IF(Observaciones!$F707&gt;0.05*$W$7,((Observaciones!$F707-0.05*$W$7)^2)/(Observaciones!$F707+0.95*$W$7),0)</f>
        <v>0</v>
      </c>
      <c r="T708" s="76">
        <f>0.0526*S708*Observaciones!$F707^1.218</f>
        <v>0</v>
      </c>
      <c r="U708" s="29"/>
      <c r="V708" s="29"/>
      <c r="W708" s="109"/>
      <c r="X708" s="40"/>
    </row>
    <row r="709" spans="2:24" s="2" customFormat="1">
      <c r="B709" s="39"/>
      <c r="C709" s="75">
        <v>703</v>
      </c>
      <c r="D709" s="146">
        <f>ETo!$I708*((1-Constantes!$D$19)*ETo!$K708+ETo!$L708)</f>
        <v>4.2354886681342423</v>
      </c>
      <c r="E709" s="76">
        <f>MIN(D709*Constantes!$D$17,0.8*(H708+Observaciones!$F708-F709-G709-Constantes!$D$14))</f>
        <v>2.1596077002313518</v>
      </c>
      <c r="F709" s="76">
        <f>IF(Observaciones!$F708&gt;0.05*Constantes!$D$18,((Observaciones!$F708-0.05*Constantes!$D$18)^2)/(Observaciones!$F708+0.95*Constantes!$D$18),0)</f>
        <v>0</v>
      </c>
      <c r="G709" s="76">
        <f>MAX(0,H708+Observaciones!$F708-F709-Constantes!$D$13)</f>
        <v>0</v>
      </c>
      <c r="H709" s="76">
        <f>H708+Observaciones!$F708-F709-E709-G709-I708</f>
        <v>19.694344064512759</v>
      </c>
      <c r="I709" s="76">
        <f>MAX(0,(H709-Constantes!$D$14)*(1-EXP(-Constantes!$D$22)))</f>
        <v>0.28764535865899499</v>
      </c>
      <c r="J709" s="76">
        <f t="shared" si="30"/>
        <v>57.937588197736837</v>
      </c>
      <c r="K709" s="76">
        <f>MAX(0,(J709-Constantes!$D$13)*(1-EXP(-Constantes!$D$23)))</f>
        <v>9.0527494825318869E-2</v>
      </c>
      <c r="L709" s="76">
        <f t="shared" si="31"/>
        <v>0.37817285348431384</v>
      </c>
      <c r="M709" s="76">
        <f>0.0526*F709*Observaciones!$F708^1.218</f>
        <v>0</v>
      </c>
      <c r="N709" s="76">
        <f>M709*Constantes!$D$51</f>
        <v>0</v>
      </c>
      <c r="O709" s="76">
        <f t="shared" si="32"/>
        <v>0</v>
      </c>
      <c r="P709" s="15"/>
      <c r="Q709" s="75">
        <v>703</v>
      </c>
      <c r="R709" s="76">
        <f>0.0526*Observaciones!$F708^2.218</f>
        <v>0</v>
      </c>
      <c r="S709" s="76">
        <f>IF(Observaciones!$F708&gt;0.05*$W$7,((Observaciones!$F708-0.05*$W$7)^2)/(Observaciones!$F708+0.95*$W$7),0)</f>
        <v>0</v>
      </c>
      <c r="T709" s="76">
        <f>0.0526*S709*Observaciones!$F708^1.218</f>
        <v>0</v>
      </c>
      <c r="U709" s="29"/>
      <c r="V709" s="29"/>
      <c r="W709" s="109"/>
      <c r="X709" s="40"/>
    </row>
    <row r="710" spans="2:24" s="2" customFormat="1">
      <c r="B710" s="39"/>
      <c r="C710" s="75">
        <v>704</v>
      </c>
      <c r="D710" s="146">
        <f>ETo!$I709*((1-Constantes!$D$19)*ETo!$K709+ETo!$L709)</f>
        <v>4.2355678082253814</v>
      </c>
      <c r="E710" s="76">
        <f>MIN(D710*Constantes!$D$17,0.8*(H709+Observaciones!$F709-F710-G710-Constantes!$D$14))</f>
        <v>2.1596480524937736</v>
      </c>
      <c r="F710" s="76">
        <f>IF(Observaciones!$F709&gt;0.05*Constantes!$D$18,((Observaciones!$F709-0.05*Constantes!$D$18)^2)/(Observaciones!$F709+0.95*Constantes!$D$18),0)</f>
        <v>0</v>
      </c>
      <c r="G710" s="76">
        <f>MAX(0,H709+Observaciones!$F709-F710-Constantes!$D$13)</f>
        <v>0</v>
      </c>
      <c r="H710" s="76">
        <f>H709+Observaciones!$F709-F710-E710-G710-I709</f>
        <v>17.247050653359988</v>
      </c>
      <c r="I710" s="76">
        <f>MAX(0,(H710-Constantes!$D$14)*(1-EXP(-Constantes!$D$22)))</f>
        <v>0.20428156087709443</v>
      </c>
      <c r="J710" s="76">
        <f t="shared" si="30"/>
        <v>57.84706070291152</v>
      </c>
      <c r="K710" s="76">
        <f>MAX(0,(J710-Constantes!$D$13)*(1-EXP(-Constantes!$D$23)))</f>
        <v>8.9635505856835634E-2</v>
      </c>
      <c r="L710" s="76">
        <f t="shared" si="31"/>
        <v>0.29391706673393003</v>
      </c>
      <c r="M710" s="76">
        <f>0.0526*F710*Observaciones!$F709^1.218</f>
        <v>0</v>
      </c>
      <c r="N710" s="76">
        <f>M710*Constantes!$D$51</f>
        <v>0</v>
      </c>
      <c r="O710" s="76">
        <f t="shared" si="32"/>
        <v>0</v>
      </c>
      <c r="P710" s="15"/>
      <c r="Q710" s="75">
        <v>704</v>
      </c>
      <c r="R710" s="76">
        <f>0.0526*Observaciones!$F709^2.218</f>
        <v>0</v>
      </c>
      <c r="S710" s="76">
        <f>IF(Observaciones!$F709&gt;0.05*$W$7,((Observaciones!$F709-0.05*$W$7)^2)/(Observaciones!$F709+0.95*$W$7),0)</f>
        <v>0</v>
      </c>
      <c r="T710" s="76">
        <f>0.0526*S710*Observaciones!$F709^1.218</f>
        <v>0</v>
      </c>
      <c r="U710" s="29"/>
      <c r="V710" s="29"/>
      <c r="W710" s="109"/>
      <c r="X710" s="40"/>
    </row>
    <row r="711" spans="2:24" s="2" customFormat="1">
      <c r="B711" s="39"/>
      <c r="C711" s="75">
        <v>705</v>
      </c>
      <c r="D711" s="146">
        <f>ETo!$I710*((1-Constantes!$D$19)*ETo!$K710+ETo!$L710)</f>
        <v>4.2665189617086394</v>
      </c>
      <c r="E711" s="76">
        <f>MIN(D711*Constantes!$D$17,0.8*(H710+Observaciones!$F710-F711-G711-Constantes!$D$14))</f>
        <v>2.1754295489469162</v>
      </c>
      <c r="F711" s="76">
        <f>IF(Observaciones!$F710&gt;0.05*Constantes!$D$18,((Observaciones!$F710-0.05*Constantes!$D$18)^2)/(Observaciones!$F710+0.95*Constantes!$D$18),0)</f>
        <v>0</v>
      </c>
      <c r="G711" s="76">
        <f>MAX(0,H710+Observaciones!$F710-F711-Constantes!$D$13)</f>
        <v>0</v>
      </c>
      <c r="H711" s="76">
        <f>H710+Observaciones!$F710-F711-E711-G711-I710</f>
        <v>14.867339543535978</v>
      </c>
      <c r="I711" s="76">
        <f>MAX(0,(H711-Constantes!$D$14)*(1-EXP(-Constantes!$D$22)))</f>
        <v>0.12321986437815872</v>
      </c>
      <c r="J711" s="76">
        <f t="shared" ref="J711:J736" si="33">J710+G711-K710</f>
        <v>57.757425197054687</v>
      </c>
      <c r="K711" s="76">
        <f>MAX(0,(J711-Constantes!$D$13)*(1-EXP(-Constantes!$D$23)))</f>
        <v>8.8752305868114098E-2</v>
      </c>
      <c r="L711" s="76">
        <f t="shared" ref="L711:L736" si="34">F711+I711+K711</f>
        <v>0.21197217024627282</v>
      </c>
      <c r="M711" s="76">
        <f>0.0526*F711*Observaciones!$F710^1.218</f>
        <v>0</v>
      </c>
      <c r="N711" s="76">
        <f>M711*Constantes!$D$51</f>
        <v>0</v>
      </c>
      <c r="O711" s="76">
        <f t="shared" ref="O711:O736" si="35">N711*1000000/(L711/1000*10000)</f>
        <v>0</v>
      </c>
      <c r="P711" s="15"/>
      <c r="Q711" s="75">
        <v>705</v>
      </c>
      <c r="R711" s="76">
        <f>0.0526*Observaciones!$F710^2.218</f>
        <v>0</v>
      </c>
      <c r="S711" s="76">
        <f>IF(Observaciones!$F710&gt;0.05*$W$7,((Observaciones!$F710-0.05*$W$7)^2)/(Observaciones!$F710+0.95*$W$7),0)</f>
        <v>0</v>
      </c>
      <c r="T711" s="76">
        <f>0.0526*S711*Observaciones!$F710^1.218</f>
        <v>0</v>
      </c>
      <c r="U711" s="29"/>
      <c r="V711" s="29"/>
      <c r="W711" s="109"/>
      <c r="X711" s="40"/>
    </row>
    <row r="712" spans="2:24" s="2" customFormat="1">
      <c r="B712" s="39"/>
      <c r="C712" s="75">
        <v>706</v>
      </c>
      <c r="D712" s="146">
        <f>ETo!$I711*((1-Constantes!$D$19)*ETo!$K711+ETo!$L711)</f>
        <v>4.235657843238533</v>
      </c>
      <c r="E712" s="76">
        <f>MIN(D712*Constantes!$D$17,0.8*(H711+Observaciones!$F711-F712-G712-Constantes!$D$14))</f>
        <v>2.1596939599020861</v>
      </c>
      <c r="F712" s="76">
        <f>IF(Observaciones!$F711&gt;0.05*Constantes!$D$18,((Observaciones!$F711-0.05*Constantes!$D$18)^2)/(Observaciones!$F711+0.95*Constantes!$D$18),0)</f>
        <v>0</v>
      </c>
      <c r="G712" s="76">
        <f>MAX(0,H711+Observaciones!$F711-F712-Constantes!$D$13)</f>
        <v>0</v>
      </c>
      <c r="H712" s="76">
        <f>H711+Observaciones!$F711-F712-E712-G712-I711</f>
        <v>12.684425719255733</v>
      </c>
      <c r="I712" s="76">
        <f>MAX(0,(H712-Constantes!$D$14)*(1-EXP(-Constantes!$D$22)))</f>
        <v>4.8861805882469064E-2</v>
      </c>
      <c r="J712" s="76">
        <f t="shared" si="33"/>
        <v>57.668672891186574</v>
      </c>
      <c r="K712" s="76">
        <f>MAX(0,(J712-Constantes!$D$13)*(1-EXP(-Constantes!$D$23)))</f>
        <v>8.7877808259243281E-2</v>
      </c>
      <c r="L712" s="76">
        <f t="shared" si="34"/>
        <v>0.13673961414171235</v>
      </c>
      <c r="M712" s="76">
        <f>0.0526*F712*Observaciones!$F711^1.218</f>
        <v>0</v>
      </c>
      <c r="N712" s="76">
        <f>M712*Constantes!$D$51</f>
        <v>0</v>
      </c>
      <c r="O712" s="76">
        <f t="shared" si="35"/>
        <v>0</v>
      </c>
      <c r="P712" s="15"/>
      <c r="Q712" s="75">
        <v>706</v>
      </c>
      <c r="R712" s="76">
        <f>0.0526*Observaciones!$F711^2.218</f>
        <v>3.1840930012055863E-4</v>
      </c>
      <c r="S712" s="76">
        <f>IF(Observaciones!$F711&gt;0.05*$W$7,((Observaciones!$F711-0.05*$W$7)^2)/(Observaciones!$F711+0.95*$W$7),0)</f>
        <v>0</v>
      </c>
      <c r="T712" s="76">
        <f>0.0526*S712*Observaciones!$F711^1.218</f>
        <v>0</v>
      </c>
      <c r="U712" s="29"/>
      <c r="V712" s="29"/>
      <c r="W712" s="109"/>
      <c r="X712" s="40"/>
    </row>
    <row r="713" spans="2:24" s="2" customFormat="1">
      <c r="B713" s="39"/>
      <c r="C713" s="75">
        <v>707</v>
      </c>
      <c r="D713" s="146">
        <f>ETo!$I712*((1-Constantes!$D$19)*ETo!$K712+ETo!$L712)</f>
        <v>4.2312617335567397</v>
      </c>
      <c r="E713" s="76">
        <f>MIN(D713*Constantes!$D$17,0.8*(H712+Observaciones!$F712-F713-G713-Constantes!$D$14))</f>
        <v>1.1475405754045866</v>
      </c>
      <c r="F713" s="76">
        <f>IF(Observaciones!$F712&gt;0.05*Constantes!$D$18,((Observaciones!$F712-0.05*Constantes!$D$18)^2)/(Observaciones!$F712+0.95*Constantes!$D$18),0)</f>
        <v>0</v>
      </c>
      <c r="G713" s="76">
        <f>MAX(0,H712+Observaciones!$F712-F713-Constantes!$D$13)</f>
        <v>0</v>
      </c>
      <c r="H713" s="76">
        <f>H712+Observaciones!$F712-F713-E713-G713-I712</f>
        <v>11.488023337968677</v>
      </c>
      <c r="I713" s="76">
        <f>MAX(0,(H713-Constantes!$D$14)*(1-EXP(-Constantes!$D$22)))</f>
        <v>8.1079486927753269E-3</v>
      </c>
      <c r="J713" s="76">
        <f t="shared" si="33"/>
        <v>57.580795082927331</v>
      </c>
      <c r="K713" s="76">
        <f>MAX(0,(J713-Constantes!$D$13)*(1-EXP(-Constantes!$D$23)))</f>
        <v>8.7011927283601742E-2</v>
      </c>
      <c r="L713" s="76">
        <f t="shared" si="34"/>
        <v>9.5119875976377069E-2</v>
      </c>
      <c r="M713" s="76">
        <f>0.0526*F713*Observaciones!$F712^1.218</f>
        <v>0</v>
      </c>
      <c r="N713" s="76">
        <f>M713*Constantes!$D$51</f>
        <v>0</v>
      </c>
      <c r="O713" s="76">
        <f t="shared" si="35"/>
        <v>0</v>
      </c>
      <c r="P713" s="15"/>
      <c r="Q713" s="75">
        <v>707</v>
      </c>
      <c r="R713" s="76">
        <f>0.0526*Observaciones!$F712^2.218</f>
        <v>0</v>
      </c>
      <c r="S713" s="76">
        <f>IF(Observaciones!$F712&gt;0.05*$W$7,((Observaciones!$F712-0.05*$W$7)^2)/(Observaciones!$F712+0.95*$W$7),0)</f>
        <v>0</v>
      </c>
      <c r="T713" s="76">
        <f>0.0526*S713*Observaciones!$F712^1.218</f>
        <v>0</v>
      </c>
      <c r="U713" s="29"/>
      <c r="V713" s="29"/>
      <c r="W713" s="109"/>
      <c r="X713" s="40"/>
    </row>
    <row r="714" spans="2:24" s="2" customFormat="1">
      <c r="B714" s="39"/>
      <c r="C714" s="75">
        <v>708</v>
      </c>
      <c r="D714" s="146">
        <f>ETo!$I713*((1-Constantes!$D$19)*ETo!$K713+ETo!$L713)</f>
        <v>4.3548793840279822</v>
      </c>
      <c r="E714" s="76">
        <f>MIN(D714*Constantes!$D$17,0.8*(H713+Observaciones!$F713-F714-G714-Constantes!$D$14))</f>
        <v>0.19041867037494173</v>
      </c>
      <c r="F714" s="76">
        <f>IF(Observaciones!$F713&gt;0.05*Constantes!$D$18,((Observaciones!$F713-0.05*Constantes!$D$18)^2)/(Observaciones!$F713+0.95*Constantes!$D$18),0)</f>
        <v>0</v>
      </c>
      <c r="G714" s="76">
        <f>MAX(0,H713+Observaciones!$F713-F714-Constantes!$D$13)</f>
        <v>0</v>
      </c>
      <c r="H714" s="76">
        <f>H713+Observaciones!$F713-F714-E714-G714-I713</f>
        <v>11.28949671890096</v>
      </c>
      <c r="I714" s="76">
        <f>MAX(0,(H714-Constantes!$D$14)*(1-EXP(-Constantes!$D$22)))</f>
        <v>1.3454032411901302E-3</v>
      </c>
      <c r="J714" s="76">
        <f t="shared" si="33"/>
        <v>57.493783155643726</v>
      </c>
      <c r="K714" s="76">
        <f>MAX(0,(J714-Constantes!$D$13)*(1-EXP(-Constantes!$D$23)))</f>
        <v>8.6154578039449953E-2</v>
      </c>
      <c r="L714" s="76">
        <f t="shared" si="34"/>
        <v>8.7499981280640085E-2</v>
      </c>
      <c r="M714" s="76">
        <f>0.0526*F714*Observaciones!$F713^1.218</f>
        <v>0</v>
      </c>
      <c r="N714" s="76">
        <f>M714*Constantes!$D$51</f>
        <v>0</v>
      </c>
      <c r="O714" s="76">
        <f t="shared" si="35"/>
        <v>0</v>
      </c>
      <c r="P714" s="15"/>
      <c r="Q714" s="75">
        <v>708</v>
      </c>
      <c r="R714" s="76">
        <f>0.0526*Observaciones!$F713^2.218</f>
        <v>0</v>
      </c>
      <c r="S714" s="76">
        <f>IF(Observaciones!$F713&gt;0.05*$W$7,((Observaciones!$F713-0.05*$W$7)^2)/(Observaciones!$F713+0.95*$W$7),0)</f>
        <v>0</v>
      </c>
      <c r="T714" s="76">
        <f>0.0526*S714*Observaciones!$F713^1.218</f>
        <v>0</v>
      </c>
      <c r="U714" s="29"/>
      <c r="V714" s="29"/>
      <c r="W714" s="109"/>
      <c r="X714" s="40"/>
    </row>
    <row r="715" spans="2:24" s="2" customFormat="1">
      <c r="B715" s="39"/>
      <c r="C715" s="75">
        <v>709</v>
      </c>
      <c r="D715" s="146">
        <f>ETo!$I714*((1-Constantes!$D$19)*ETo!$K714+ETo!$L714)</f>
        <v>4.0590837987461033</v>
      </c>
      <c r="E715" s="76">
        <f>MIN(D715*Constantes!$D$17,0.8*(H714+Observaciones!$F714-F715-G715-Constantes!$D$14))</f>
        <v>3.1597375120767879E-2</v>
      </c>
      <c r="F715" s="76">
        <f>IF(Observaciones!$F714&gt;0.05*Constantes!$D$18,((Observaciones!$F714-0.05*Constantes!$D$18)^2)/(Observaciones!$F714+0.95*Constantes!$D$18),0)</f>
        <v>0</v>
      </c>
      <c r="G715" s="76">
        <f>MAX(0,H714+Observaciones!$F714-F715-Constantes!$D$13)</f>
        <v>0</v>
      </c>
      <c r="H715" s="76">
        <f>H714+Observaciones!$F714-F715-E715-G715-I714</f>
        <v>11.256553940539002</v>
      </c>
      <c r="I715" s="76">
        <f>MAX(0,(H715-Constantes!$D$14)*(1-EXP(-Constantes!$D$22)))</f>
        <v>2.232512747666707E-4</v>
      </c>
      <c r="J715" s="76">
        <f t="shared" si="33"/>
        <v>57.407628577604278</v>
      </c>
      <c r="K715" s="76">
        <f>MAX(0,(J715-Constantes!$D$13)*(1-EXP(-Constantes!$D$23)))</f>
        <v>8.5305676461605529E-2</v>
      </c>
      <c r="L715" s="76">
        <f t="shared" si="34"/>
        <v>8.5528927736372204E-2</v>
      </c>
      <c r="M715" s="76">
        <f>0.0526*F715*Observaciones!$F714^1.218</f>
        <v>0</v>
      </c>
      <c r="N715" s="76">
        <f>M715*Constantes!$D$51</f>
        <v>0</v>
      </c>
      <c r="O715" s="76">
        <f t="shared" si="35"/>
        <v>0</v>
      </c>
      <c r="P715" s="15"/>
      <c r="Q715" s="75">
        <v>709</v>
      </c>
      <c r="R715" s="76">
        <f>0.0526*Observaciones!$F714^2.218</f>
        <v>0</v>
      </c>
      <c r="S715" s="76">
        <f>IF(Observaciones!$F714&gt;0.05*$W$7,((Observaciones!$F714-0.05*$W$7)^2)/(Observaciones!$F714+0.95*$W$7),0)</f>
        <v>0</v>
      </c>
      <c r="T715" s="76">
        <f>0.0526*S715*Observaciones!$F714^1.218</f>
        <v>0</v>
      </c>
      <c r="U715" s="29"/>
      <c r="V715" s="29"/>
      <c r="W715" s="109"/>
      <c r="X715" s="40"/>
    </row>
    <row r="716" spans="2:24" s="2" customFormat="1">
      <c r="B716" s="39"/>
      <c r="C716" s="75">
        <v>710</v>
      </c>
      <c r="D716" s="146">
        <f>ETo!$I715*((1-Constantes!$D$19)*ETo!$K715+ETo!$L715)</f>
        <v>4.2886197935879755</v>
      </c>
      <c r="E716" s="76">
        <f>MIN(D716*Constantes!$D$17,0.8*(H715+Observaciones!$F715-F716-G716-Constantes!$D$14))</f>
        <v>5.2431524312012813E-3</v>
      </c>
      <c r="F716" s="76">
        <f>IF(Observaciones!$F715&gt;0.05*Constantes!$D$18,((Observaciones!$F715-0.05*Constantes!$D$18)^2)/(Observaciones!$F715+0.95*Constantes!$D$18),0)</f>
        <v>0</v>
      </c>
      <c r="G716" s="76">
        <f>MAX(0,H715+Observaciones!$F715-F716-Constantes!$D$13)</f>
        <v>0</v>
      </c>
      <c r="H716" s="76">
        <f>H715+Observaciones!$F715-F716-E716-G716-I715</f>
        <v>11.251087536833033</v>
      </c>
      <c r="I716" s="76">
        <f>MAX(0,(H716-Constantes!$D$14)*(1-EXP(-Constantes!$D$22)))</f>
        <v>3.7045496962557967E-5</v>
      </c>
      <c r="J716" s="76">
        <f t="shared" si="33"/>
        <v>57.32232290114267</v>
      </c>
      <c r="K716" s="76">
        <f>MAX(0,(J716-Constantes!$D$13)*(1-EXP(-Constantes!$D$23)))</f>
        <v>8.4465139313200155E-2</v>
      </c>
      <c r="L716" s="76">
        <f t="shared" si="34"/>
        <v>8.4502184810162709E-2</v>
      </c>
      <c r="M716" s="76">
        <f>0.0526*F716*Observaciones!$F715^1.218</f>
        <v>0</v>
      </c>
      <c r="N716" s="76">
        <f>M716*Constantes!$D$51</f>
        <v>0</v>
      </c>
      <c r="O716" s="76">
        <f t="shared" si="35"/>
        <v>0</v>
      </c>
      <c r="P716" s="15"/>
      <c r="Q716" s="75">
        <v>710</v>
      </c>
      <c r="R716" s="76">
        <f>0.0526*Observaciones!$F715^2.218</f>
        <v>0</v>
      </c>
      <c r="S716" s="76">
        <f>IF(Observaciones!$F715&gt;0.05*$W$7,((Observaciones!$F715-0.05*$W$7)^2)/(Observaciones!$F715+0.95*$W$7),0)</f>
        <v>0</v>
      </c>
      <c r="T716" s="76">
        <f>0.0526*S716*Observaciones!$F715^1.218</f>
        <v>0</v>
      </c>
      <c r="U716" s="29"/>
      <c r="V716" s="29"/>
      <c r="W716" s="109"/>
      <c r="X716" s="40"/>
    </row>
    <row r="717" spans="2:24" s="2" customFormat="1">
      <c r="B717" s="39"/>
      <c r="C717" s="75">
        <v>711</v>
      </c>
      <c r="D717" s="146">
        <f>ETo!$I716*((1-Constantes!$D$19)*ETo!$K716+ETo!$L716)</f>
        <v>4.2091482452628179</v>
      </c>
      <c r="E717" s="76">
        <f>MIN(D717*Constantes!$D$17,0.8*(H716+Observaciones!$F716-F717-G717-Constantes!$D$14))</f>
        <v>8.7002946642655843E-4</v>
      </c>
      <c r="F717" s="76">
        <f>IF(Observaciones!$F716&gt;0.05*Constantes!$D$18,((Observaciones!$F716-0.05*Constantes!$D$18)^2)/(Observaciones!$F716+0.95*Constantes!$D$18),0)</f>
        <v>0</v>
      </c>
      <c r="G717" s="76">
        <f>MAX(0,H716+Observaciones!$F716-F717-Constantes!$D$13)</f>
        <v>0</v>
      </c>
      <c r="H717" s="76">
        <f>H716+Observaciones!$F716-F717-E717-G717-I716</f>
        <v>11.250180461869643</v>
      </c>
      <c r="I717" s="76">
        <f>MAX(0,(H717-Constantes!$D$14)*(1-EXP(-Constantes!$D$22)))</f>
        <v>6.1471937691356362E-6</v>
      </c>
      <c r="J717" s="76">
        <f t="shared" si="33"/>
        <v>57.237857761829467</v>
      </c>
      <c r="K717" s="76">
        <f>MAX(0,(J717-Constantes!$D$13)*(1-EXP(-Constantes!$D$23)))</f>
        <v>8.363288417751838E-2</v>
      </c>
      <c r="L717" s="76">
        <f t="shared" si="34"/>
        <v>8.3639031371287517E-2</v>
      </c>
      <c r="M717" s="76">
        <f>0.0526*F717*Observaciones!$F716^1.218</f>
        <v>0</v>
      </c>
      <c r="N717" s="76">
        <f>M717*Constantes!$D$51</f>
        <v>0</v>
      </c>
      <c r="O717" s="76">
        <f t="shared" si="35"/>
        <v>0</v>
      </c>
      <c r="P717" s="15"/>
      <c r="Q717" s="75">
        <v>711</v>
      </c>
      <c r="R717" s="76">
        <f>0.0526*Observaciones!$F716^2.218</f>
        <v>0</v>
      </c>
      <c r="S717" s="76">
        <f>IF(Observaciones!$F716&gt;0.05*$W$7,((Observaciones!$F716-0.05*$W$7)^2)/(Observaciones!$F716+0.95*$W$7),0)</f>
        <v>0</v>
      </c>
      <c r="T717" s="76">
        <f>0.0526*S717*Observaciones!$F716^1.218</f>
        <v>0</v>
      </c>
      <c r="U717" s="29"/>
      <c r="V717" s="29"/>
      <c r="W717" s="109"/>
      <c r="X717" s="40"/>
    </row>
    <row r="718" spans="2:24" s="2" customFormat="1">
      <c r="B718" s="39"/>
      <c r="C718" s="75">
        <v>712</v>
      </c>
      <c r="D718" s="146">
        <f>ETo!$I717*((1-Constantes!$D$19)*ETo!$K717+ETo!$L717)</f>
        <v>4.0811014236991001</v>
      </c>
      <c r="E718" s="76">
        <f>MIN(D718*Constantes!$D$17,0.8*(H717+Observaciones!$F717-F718-G718-Constantes!$D$14))</f>
        <v>2.0808881219196231</v>
      </c>
      <c r="F718" s="76">
        <f>IF(Observaciones!$F717&gt;0.05*Constantes!$D$18,((Observaciones!$F717-0.05*Constantes!$D$18)^2)/(Observaciones!$F717+0.95*Constantes!$D$18),0)</f>
        <v>2.8233333877980072E-3</v>
      </c>
      <c r="G718" s="76">
        <f>MAX(0,H717+Observaciones!$F717-F718-Constantes!$D$13)</f>
        <v>0</v>
      </c>
      <c r="H718" s="76">
        <f>H717+Observaciones!$F717-F718-E718-G718-I717</f>
        <v>13.266462859368453</v>
      </c>
      <c r="I718" s="76">
        <f>MAX(0,(H718-Constantes!$D$14)*(1-EXP(-Constantes!$D$22)))</f>
        <v>6.8688127576792296E-2</v>
      </c>
      <c r="J718" s="76">
        <f t="shared" si="33"/>
        <v>57.154224877651949</v>
      </c>
      <c r="K718" s="76">
        <f>MAX(0,(J718-Constantes!$D$13)*(1-EXP(-Constantes!$D$23)))</f>
        <v>8.2808829449916216E-2</v>
      </c>
      <c r="L718" s="76">
        <f t="shared" si="34"/>
        <v>0.15432029041450651</v>
      </c>
      <c r="M718" s="76">
        <f>0.0526*F718*Observaciones!$F717^1.218</f>
        <v>8.2816838149954539E-4</v>
      </c>
      <c r="N718" s="76">
        <f>M718*Constantes!$D$51</f>
        <v>1.1643961711068925E-5</v>
      </c>
      <c r="O718" s="76">
        <f t="shared" si="35"/>
        <v>7.5453212793943534</v>
      </c>
      <c r="P718" s="15"/>
      <c r="Q718" s="75">
        <v>712</v>
      </c>
      <c r="R718" s="76">
        <f>0.0526*Observaciones!$F717^2.218</f>
        <v>1.2026529983397987</v>
      </c>
      <c r="S718" s="76">
        <f>IF(Observaciones!$F717&gt;0.05*$W$7,((Observaciones!$F717-0.05*$W$7)^2)/(Observaciones!$F717+0.95*$W$7),0)</f>
        <v>0.15155665486705905</v>
      </c>
      <c r="T718" s="76">
        <f>0.0526*S718*Observaciones!$F717^1.218</f>
        <v>4.4456113510785045E-2</v>
      </c>
      <c r="U718" s="29"/>
      <c r="V718" s="29"/>
      <c r="W718" s="109"/>
      <c r="X718" s="40"/>
    </row>
    <row r="719" spans="2:24" s="2" customFormat="1">
      <c r="B719" s="39"/>
      <c r="C719" s="75">
        <v>713</v>
      </c>
      <c r="D719" s="146">
        <f>ETo!$I718*((1-Constantes!$D$19)*ETo!$K718+ETo!$L718)</f>
        <v>4.3680210251473408</v>
      </c>
      <c r="E719" s="76">
        <f>MIN(D719*Constantes!$D$17,0.8*(H718+Observaciones!$F718-F719-G719-Constantes!$D$14))</f>
        <v>1.9331702874947625</v>
      </c>
      <c r="F719" s="76">
        <f>IF(Observaciones!$F718&gt;0.05*Constantes!$D$18,((Observaciones!$F718-0.05*Constantes!$D$18)^2)/(Observaciones!$F718+0.95*Constantes!$D$18),0)</f>
        <v>0</v>
      </c>
      <c r="G719" s="76">
        <f>MAX(0,H718+Observaciones!$F718-F719-Constantes!$D$13)</f>
        <v>0</v>
      </c>
      <c r="H719" s="76">
        <f>H718+Observaciones!$F718-F719-E719-G719-I718</f>
        <v>11.664604444296899</v>
      </c>
      <c r="I719" s="76">
        <f>MAX(0,(H719-Constantes!$D$14)*(1-EXP(-Constantes!$D$22)))</f>
        <v>1.4122949416826729E-2</v>
      </c>
      <c r="J719" s="76">
        <f t="shared" si="33"/>
        <v>57.071416048202032</v>
      </c>
      <c r="K719" s="76">
        <f>MAX(0,(J719-Constantes!$D$13)*(1-EXP(-Constantes!$D$23)))</f>
        <v>8.1992894329819668E-2</v>
      </c>
      <c r="L719" s="76">
        <f t="shared" si="34"/>
        <v>9.611584374664639E-2</v>
      </c>
      <c r="M719" s="76">
        <f>0.0526*F719*Observaciones!$F718^1.218</f>
        <v>0</v>
      </c>
      <c r="N719" s="76">
        <f>M719*Constantes!$D$51</f>
        <v>0</v>
      </c>
      <c r="O719" s="76">
        <f t="shared" si="35"/>
        <v>0</v>
      </c>
      <c r="P719" s="15"/>
      <c r="Q719" s="75">
        <v>713</v>
      </c>
      <c r="R719" s="76">
        <f>0.0526*Observaciones!$F718^2.218</f>
        <v>6.8921513346888582E-3</v>
      </c>
      <c r="S719" s="76">
        <f>IF(Observaciones!$F718&gt;0.05*$W$7,((Observaciones!$F718-0.05*$W$7)^2)/(Observaciones!$F718+0.95*$W$7),0)</f>
        <v>0</v>
      </c>
      <c r="T719" s="76">
        <f>0.0526*S719*Observaciones!$F718^1.218</f>
        <v>0</v>
      </c>
      <c r="U719" s="29"/>
      <c r="V719" s="29"/>
      <c r="W719" s="109"/>
      <c r="X719" s="40"/>
    </row>
    <row r="720" spans="2:24" s="2" customFormat="1">
      <c r="B720" s="39"/>
      <c r="C720" s="75">
        <v>714</v>
      </c>
      <c r="D720" s="146">
        <f>ETo!$I719*((1-Constantes!$D$19)*ETo!$K719+ETo!$L719)</f>
        <v>4.2796775901430086</v>
      </c>
      <c r="E720" s="76">
        <f>MIN(D720*Constantes!$D$17,0.8*(H719+Observaciones!$F719-F720-G720-Constantes!$D$14))</f>
        <v>0.33168355543751887</v>
      </c>
      <c r="F720" s="76">
        <f>IF(Observaciones!$F719&gt;0.05*Constantes!$D$18,((Observaciones!$F719-0.05*Constantes!$D$18)^2)/(Observaciones!$F719+0.95*Constantes!$D$18),0)</f>
        <v>0</v>
      </c>
      <c r="G720" s="76">
        <f>MAX(0,H719+Observaciones!$F719-F720-Constantes!$D$13)</f>
        <v>0</v>
      </c>
      <c r="H720" s="76">
        <f>H719+Observaciones!$F719-F720-E720-G720-I719</f>
        <v>11.318797939442554</v>
      </c>
      <c r="I720" s="76">
        <f>MAX(0,(H720-Constantes!$D$14)*(1-EXP(-Constantes!$D$22)))</f>
        <v>2.3435103798195495E-3</v>
      </c>
      <c r="J720" s="76">
        <f t="shared" si="33"/>
        <v>56.98942315387221</v>
      </c>
      <c r="K720" s="76">
        <f>MAX(0,(J720-Constantes!$D$13)*(1-EXP(-Constantes!$D$23)))</f>
        <v>8.1184998812802014E-2</v>
      </c>
      <c r="L720" s="76">
        <f t="shared" si="34"/>
        <v>8.3528509192621558E-2</v>
      </c>
      <c r="M720" s="76">
        <f>0.0526*F720*Observaciones!$F719^1.218</f>
        <v>0</v>
      </c>
      <c r="N720" s="76">
        <f>M720*Constantes!$D$51</f>
        <v>0</v>
      </c>
      <c r="O720" s="76">
        <f t="shared" si="35"/>
        <v>0</v>
      </c>
      <c r="P720" s="15"/>
      <c r="Q720" s="75">
        <v>714</v>
      </c>
      <c r="R720" s="76">
        <f>0.0526*Observaciones!$F719^2.218</f>
        <v>0</v>
      </c>
      <c r="S720" s="76">
        <f>IF(Observaciones!$F719&gt;0.05*$W$7,((Observaciones!$F719-0.05*$W$7)^2)/(Observaciones!$F719+0.95*$W$7),0)</f>
        <v>0</v>
      </c>
      <c r="T720" s="76">
        <f>0.0526*S720*Observaciones!$F719^1.218</f>
        <v>0</v>
      </c>
      <c r="U720" s="29"/>
      <c r="V720" s="29"/>
      <c r="W720" s="109"/>
      <c r="X720" s="40"/>
    </row>
    <row r="721" spans="2:24" s="2" customFormat="1">
      <c r="B721" s="39"/>
      <c r="C721" s="75">
        <v>715</v>
      </c>
      <c r="D721" s="146">
        <f>ETo!$I720*((1-Constantes!$D$19)*ETo!$K720+ETo!$L720)</f>
        <v>4.3370420549243764</v>
      </c>
      <c r="E721" s="76">
        <f>MIN(D721*Constantes!$D$17,0.8*(H720+Observaciones!$F720-F721-G721-Constantes!$D$14))</f>
        <v>2.2113881424142265</v>
      </c>
      <c r="F721" s="76">
        <f>IF(Observaciones!$F720&gt;0.05*Constantes!$D$18,((Observaciones!$F720-0.05*Constantes!$D$18)^2)/(Observaciones!$F720+0.95*Constantes!$D$18),0)</f>
        <v>0.24551347968856085</v>
      </c>
      <c r="G721" s="76">
        <f>MAX(0,H720+Observaciones!$F720-F721-Constantes!$D$13)</f>
        <v>0</v>
      </c>
      <c r="H721" s="76">
        <f>H720+Observaciones!$F720-F721-E721-G721-I720</f>
        <v>16.859552806959947</v>
      </c>
      <c r="I721" s="76">
        <f>MAX(0,(H721-Constantes!$D$14)*(1-EXP(-Constantes!$D$22)))</f>
        <v>0.19108196169499272</v>
      </c>
      <c r="J721" s="76">
        <f t="shared" si="33"/>
        <v>56.908238155059408</v>
      </c>
      <c r="K721" s="76">
        <f>MAX(0,(J721-Constantes!$D$13)*(1-EXP(-Constantes!$D$23)))</f>
        <v>8.0385063682739288E-2</v>
      </c>
      <c r="L721" s="76">
        <f t="shared" si="34"/>
        <v>0.51698050506629278</v>
      </c>
      <c r="M721" s="76">
        <f>0.0526*F721*Observaciones!$F720^1.218</f>
        <v>0.16256411720054476</v>
      </c>
      <c r="N721" s="76">
        <f>M721*Constantes!$D$51</f>
        <v>2.2856346590405343E-3</v>
      </c>
      <c r="O721" s="76">
        <f t="shared" si="35"/>
        <v>442.11234981625574</v>
      </c>
      <c r="P721" s="15"/>
      <c r="Q721" s="75">
        <v>715</v>
      </c>
      <c r="R721" s="76">
        <f>0.0526*Observaciones!$F720^2.218</f>
        <v>5.2971141920764859</v>
      </c>
      <c r="S721" s="76">
        <f>IF(Observaciones!$F720&gt;0.05*$W$7,((Observaciones!$F720-0.05*$W$7)^2)/(Observaciones!$F720+0.95*$W$7),0)</f>
        <v>0.96053147319399168</v>
      </c>
      <c r="T721" s="76">
        <f>0.0526*S721*Observaciones!$F720^1.218</f>
        <v>0.63600561232400366</v>
      </c>
      <c r="U721" s="29"/>
      <c r="V721" s="29"/>
      <c r="W721" s="109"/>
      <c r="X721" s="40"/>
    </row>
    <row r="722" spans="2:24" s="2" customFormat="1">
      <c r="B722" s="39"/>
      <c r="C722" s="75">
        <v>716</v>
      </c>
      <c r="D722" s="146">
        <f>ETo!$I721*((1-Constantes!$D$19)*ETo!$K721+ETo!$L721)</f>
        <v>4.1913501732588365</v>
      </c>
      <c r="E722" s="76">
        <f>MIN(D722*Constantes!$D$17,0.8*(H721+Observaciones!$F721-F722-G722-Constantes!$D$14))</f>
        <v>2.1371021900344518</v>
      </c>
      <c r="F722" s="76">
        <f>IF(Observaciones!$F721&gt;0.05*Constantes!$D$18,((Observaciones!$F721-0.05*Constantes!$D$18)^2)/(Observaciones!$F721+0.95*Constantes!$D$18),0)</f>
        <v>0</v>
      </c>
      <c r="G722" s="76">
        <f>MAX(0,H721+Observaciones!$F721-F722-Constantes!$D$13)</f>
        <v>0</v>
      </c>
      <c r="H722" s="76">
        <f>H721+Observaciones!$F721-F722-E722-G722-I721</f>
        <v>16.331368655230502</v>
      </c>
      <c r="I722" s="76">
        <f>MAX(0,(H722-Constantes!$D$14)*(1-EXP(-Constantes!$D$22)))</f>
        <v>0.17309007048337147</v>
      </c>
      <c r="J722" s="76">
        <f t="shared" si="33"/>
        <v>56.827853091376667</v>
      </c>
      <c r="K722" s="76">
        <f>MAX(0,(J722-Constantes!$D$13)*(1-EXP(-Constantes!$D$23)))</f>
        <v>7.9593010504042744E-2</v>
      </c>
      <c r="L722" s="76">
        <f t="shared" si="34"/>
        <v>0.25268308098741421</v>
      </c>
      <c r="M722" s="76">
        <f>0.0526*F722*Observaciones!$F721^1.218</f>
        <v>0</v>
      </c>
      <c r="N722" s="76">
        <f>M722*Constantes!$D$51</f>
        <v>0</v>
      </c>
      <c r="O722" s="76">
        <f t="shared" si="35"/>
        <v>0</v>
      </c>
      <c r="P722" s="15"/>
      <c r="Q722" s="75">
        <v>716</v>
      </c>
      <c r="R722" s="76">
        <f>0.0526*Observaciones!$F721^2.218</f>
        <v>0.19372254258423433</v>
      </c>
      <c r="S722" s="76">
        <f>IF(Observaciones!$F721&gt;0.05*$W$7,((Observaciones!$F721-0.05*$W$7)^2)/(Observaciones!$F721+0.95*$W$7),0)</f>
        <v>1.3395249151634377E-4</v>
      </c>
      <c r="T722" s="76">
        <f>0.0526*S722*Observaciones!$F721^1.218</f>
        <v>1.441645402335511E-5</v>
      </c>
      <c r="U722" s="29"/>
      <c r="V722" s="29"/>
      <c r="W722" s="109"/>
      <c r="X722" s="40"/>
    </row>
    <row r="723" spans="2:24" s="2" customFormat="1">
      <c r="B723" s="39"/>
      <c r="C723" s="75">
        <v>717</v>
      </c>
      <c r="D723" s="146">
        <f>ETo!$I722*((1-Constantes!$D$19)*ETo!$K722+ETo!$L722)</f>
        <v>4.1604320399323784</v>
      </c>
      <c r="E723" s="76">
        <f>MIN(D723*Constantes!$D$17,0.8*(H722+Observaciones!$F722-F723-G723-Constantes!$D$14))</f>
        <v>2.1213375300293498</v>
      </c>
      <c r="F723" s="76">
        <f>IF(Observaciones!$F722&gt;0.05*Constantes!$D$18,((Observaciones!$F722-0.05*Constantes!$D$18)^2)/(Observaciones!$F722+0.95*Constantes!$D$18),0)</f>
        <v>0</v>
      </c>
      <c r="G723" s="76">
        <f>MAX(0,H722+Observaciones!$F722-F723-Constantes!$D$13)</f>
        <v>0</v>
      </c>
      <c r="H723" s="76">
        <f>H722+Observaciones!$F722-F723-E723-G723-I722</f>
        <v>14.636941054717781</v>
      </c>
      <c r="I723" s="76">
        <f>MAX(0,(H723-Constantes!$D$14)*(1-EXP(-Constantes!$D$22)))</f>
        <v>0.11537164603884301</v>
      </c>
      <c r="J723" s="76">
        <f t="shared" si="33"/>
        <v>56.748260080872626</v>
      </c>
      <c r="K723" s="76">
        <f>MAX(0,(J723-Constantes!$D$13)*(1-EXP(-Constantes!$D$23)))</f>
        <v>7.8808761613968312E-2</v>
      </c>
      <c r="L723" s="76">
        <f t="shared" si="34"/>
        <v>0.1941804076528113</v>
      </c>
      <c r="M723" s="76">
        <f>0.0526*F723*Observaciones!$F722^1.218</f>
        <v>0</v>
      </c>
      <c r="N723" s="76">
        <f>M723*Constantes!$D$51</f>
        <v>0</v>
      </c>
      <c r="O723" s="76">
        <f t="shared" si="35"/>
        <v>0</v>
      </c>
      <c r="P723" s="15"/>
      <c r="Q723" s="75">
        <v>717</v>
      </c>
      <c r="R723" s="76">
        <f>0.0526*Observaciones!$F722^2.218</f>
        <v>1.6940460723560119E-2</v>
      </c>
      <c r="S723" s="76">
        <f>IF(Observaciones!$F722&gt;0.05*$W$7,((Observaciones!$F722-0.05*$W$7)^2)/(Observaciones!$F722+0.95*$W$7),0)</f>
        <v>0</v>
      </c>
      <c r="T723" s="76">
        <f>0.0526*S723*Observaciones!$F722^1.218</f>
        <v>0</v>
      </c>
      <c r="U723" s="29"/>
      <c r="V723" s="29"/>
      <c r="W723" s="109"/>
      <c r="X723" s="40"/>
    </row>
    <row r="724" spans="2:24" s="2" customFormat="1">
      <c r="B724" s="39"/>
      <c r="C724" s="75">
        <v>718</v>
      </c>
      <c r="D724" s="146">
        <f>ETo!$I723*((1-Constantes!$D$19)*ETo!$K723+ETo!$L723)</f>
        <v>4.1604135687988872</v>
      </c>
      <c r="E724" s="76">
        <f>MIN(D724*Constantes!$D$17,0.8*(H723+Observaciones!$F723-F724-G724-Constantes!$D$14))</f>
        <v>2.12132811189481</v>
      </c>
      <c r="F724" s="76">
        <f>IF(Observaciones!$F723&gt;0.05*Constantes!$D$18,((Observaciones!$F723-0.05*Constantes!$D$18)^2)/(Observaciones!$F723+0.95*Constantes!$D$18),0)</f>
        <v>2.1253099411596037</v>
      </c>
      <c r="G724" s="76">
        <f>MAX(0,H723+Observaciones!$F723-F724-Constantes!$D$13)</f>
        <v>0</v>
      </c>
      <c r="H724" s="76">
        <f>H723+Observaciones!$F723-F724-E724-G724-I723</f>
        <v>27.474931355624523</v>
      </c>
      <c r="I724" s="76">
        <f>MAX(0,(H724-Constantes!$D$14)*(1-EXP(-Constantes!$D$22)))</f>
        <v>0.55268072491495279</v>
      </c>
      <c r="J724" s="76">
        <f t="shared" si="33"/>
        <v>56.669451319258656</v>
      </c>
      <c r="K724" s="76">
        <f>MAX(0,(J724-Constantes!$D$13)*(1-EXP(-Constantes!$D$23)))</f>
        <v>7.8032240115001261E-2</v>
      </c>
      <c r="L724" s="76">
        <f t="shared" si="34"/>
        <v>2.7560229061895578</v>
      </c>
      <c r="M724" s="76">
        <f>0.0526*F724*Observaciones!$F723^1.218</f>
        <v>3.5750462626281574</v>
      </c>
      <c r="N724" s="76">
        <f>M724*Constantes!$D$51</f>
        <v>5.0264780360206471E-2</v>
      </c>
      <c r="O724" s="76">
        <f t="shared" si="35"/>
        <v>1823.8157689952557</v>
      </c>
      <c r="P724" s="15"/>
      <c r="Q724" s="75">
        <v>718</v>
      </c>
      <c r="R724" s="76">
        <f>0.0526*Observaciones!$F723^2.218</f>
        <v>28.932625085098845</v>
      </c>
      <c r="S724" s="76">
        <f>IF(Observaciones!$F723&gt;0.05*$W$7,((Observaciones!$F723-0.05*$W$7)^2)/(Observaciones!$F723+0.95*$W$7),0)</f>
        <v>4.7753082397961304</v>
      </c>
      <c r="T724" s="76">
        <f>0.0526*S724*Observaciones!$F723^1.218</f>
        <v>8.0326862190584158</v>
      </c>
      <c r="U724" s="29"/>
      <c r="V724" s="29"/>
      <c r="W724" s="109"/>
      <c r="X724" s="40"/>
    </row>
    <row r="725" spans="2:24" s="2" customFormat="1">
      <c r="B725" s="39"/>
      <c r="C725" s="75">
        <v>719</v>
      </c>
      <c r="D725" s="146">
        <f>ETo!$I724*((1-Constantes!$D$19)*ETo!$K724+ETo!$L724)</f>
        <v>4.2398415479190623</v>
      </c>
      <c r="E725" s="76">
        <f>MIN(D725*Constantes!$D$17,0.8*(H724+Observaciones!$F724-F725-G725-Constantes!$D$14))</f>
        <v>2.1618271637780739</v>
      </c>
      <c r="F725" s="76">
        <f>IF(Observaciones!$F724&gt;0.05*Constantes!$D$18,((Observaciones!$F724-0.05*Constantes!$D$18)^2)/(Observaciones!$F724+0.95*Constantes!$D$18),0)</f>
        <v>0</v>
      </c>
      <c r="G725" s="76">
        <f>MAX(0,H724+Observaciones!$F724-F725-Constantes!$D$13)</f>
        <v>0</v>
      </c>
      <c r="H725" s="76">
        <f>H724+Observaciones!$F724-F725-E725-G725-I724</f>
        <v>24.760423466931496</v>
      </c>
      <c r="I725" s="76">
        <f>MAX(0,(H725-Constantes!$D$14)*(1-EXP(-Constantes!$D$22)))</f>
        <v>0.46021462106360161</v>
      </c>
      <c r="J725" s="76">
        <f t="shared" si="33"/>
        <v>56.591419079143655</v>
      </c>
      <c r="K725" s="76">
        <f>MAX(0,(J725-Constantes!$D$13)*(1-EXP(-Constantes!$D$23)))</f>
        <v>7.7263369867316592E-2</v>
      </c>
      <c r="L725" s="76">
        <f t="shared" si="34"/>
        <v>0.53747799093091819</v>
      </c>
      <c r="M725" s="76">
        <f>0.0526*F725*Observaciones!$F724^1.218</f>
        <v>0</v>
      </c>
      <c r="N725" s="76">
        <f>M725*Constantes!$D$51</f>
        <v>0</v>
      </c>
      <c r="O725" s="76">
        <f t="shared" si="35"/>
        <v>0</v>
      </c>
      <c r="P725" s="15"/>
      <c r="Q725" s="75">
        <v>719</v>
      </c>
      <c r="R725" s="76">
        <f>0.0526*Observaciones!$F724^2.218</f>
        <v>0</v>
      </c>
      <c r="S725" s="76">
        <f>IF(Observaciones!$F724&gt;0.05*$W$7,((Observaciones!$F724-0.05*$W$7)^2)/(Observaciones!$F724+0.95*$W$7),0)</f>
        <v>0</v>
      </c>
      <c r="T725" s="76">
        <f>0.0526*S725*Observaciones!$F724^1.218</f>
        <v>0</v>
      </c>
      <c r="U725" s="29"/>
      <c r="V725" s="29"/>
      <c r="W725" s="109"/>
      <c r="X725" s="40"/>
    </row>
    <row r="726" spans="2:24" s="2" customFormat="1">
      <c r="B726" s="39"/>
      <c r="C726" s="75">
        <v>720</v>
      </c>
      <c r="D726" s="146">
        <f>ETo!$I725*((1-Constantes!$D$19)*ETo!$K725+ETo!$L725)</f>
        <v>4.2398339091058226</v>
      </c>
      <c r="E726" s="76">
        <f>MIN(D726*Constantes!$D$17,0.8*(H725+Observaciones!$F725-F726-G726-Constantes!$D$14))</f>
        <v>2.1618232688697914</v>
      </c>
      <c r="F726" s="76">
        <f>IF(Observaciones!$F725&gt;0.05*Constantes!$D$18,((Observaciones!$F725-0.05*Constantes!$D$18)^2)/(Observaciones!$F725+0.95*Constantes!$D$18),0)</f>
        <v>0</v>
      </c>
      <c r="G726" s="76">
        <f>MAX(0,H725+Observaciones!$F725-F726-Constantes!$D$13)</f>
        <v>0</v>
      </c>
      <c r="H726" s="76">
        <f>H725+Observaciones!$F725-F726-E726-G726-I725</f>
        <v>22.1383855769981</v>
      </c>
      <c r="I726" s="76">
        <f>MAX(0,(H726-Constantes!$D$14)*(1-EXP(-Constantes!$D$22)))</f>
        <v>0.37089838483431853</v>
      </c>
      <c r="J726" s="76">
        <f t="shared" si="33"/>
        <v>56.514155709276338</v>
      </c>
      <c r="K726" s="76">
        <f>MAX(0,(J726-Constantes!$D$13)*(1-EXP(-Constantes!$D$23)))</f>
        <v>7.6502075481312964E-2</v>
      </c>
      <c r="L726" s="76">
        <f t="shared" si="34"/>
        <v>0.44740046031563152</v>
      </c>
      <c r="M726" s="76">
        <f>0.0526*F726*Observaciones!$F725^1.218</f>
        <v>0</v>
      </c>
      <c r="N726" s="76">
        <f>M726*Constantes!$D$51</f>
        <v>0</v>
      </c>
      <c r="O726" s="76">
        <f t="shared" si="35"/>
        <v>0</v>
      </c>
      <c r="P726" s="15"/>
      <c r="Q726" s="75">
        <v>720</v>
      </c>
      <c r="R726" s="76">
        <f>0.0526*Observaciones!$F725^2.218</f>
        <v>0</v>
      </c>
      <c r="S726" s="76">
        <f>IF(Observaciones!$F725&gt;0.05*$W$7,((Observaciones!$F725-0.05*$W$7)^2)/(Observaciones!$F725+0.95*$W$7),0)</f>
        <v>0</v>
      </c>
      <c r="T726" s="76">
        <f>0.0526*S726*Observaciones!$F725^1.218</f>
        <v>0</v>
      </c>
      <c r="U726" s="29"/>
      <c r="V726" s="29"/>
      <c r="W726" s="109"/>
      <c r="X726" s="40"/>
    </row>
    <row r="727" spans="2:24" s="2" customFormat="1">
      <c r="B727" s="39"/>
      <c r="C727" s="75">
        <v>721</v>
      </c>
      <c r="D727" s="146">
        <f>ETo!$I726*((1-Constantes!$D$19)*ETo!$K726+ETo!$L726)</f>
        <v>4.2574862770702984</v>
      </c>
      <c r="E727" s="76">
        <f>MIN(D727*Constantes!$D$17,0.8*(H726+Observaciones!$F726-F727-G727-Constantes!$D$14))</f>
        <v>2.1708239280074753</v>
      </c>
      <c r="F727" s="76">
        <f>IF(Observaciones!$F726&gt;0.05*Constantes!$D$18,((Observaciones!$F726-0.05*Constantes!$D$18)^2)/(Observaciones!$F726+0.95*Constantes!$D$18),0)</f>
        <v>1.3827508485621649</v>
      </c>
      <c r="G727" s="76">
        <f>MAX(0,H726+Observaciones!$F726-F727-Constantes!$D$13)</f>
        <v>0</v>
      </c>
      <c r="H727" s="76">
        <f>H726+Observaciones!$F726-F727-E727-G727-I726</f>
        <v>32.613912415594143</v>
      </c>
      <c r="I727" s="76">
        <f>MAX(0,(H727-Constantes!$D$14)*(1-EXP(-Constantes!$D$22)))</f>
        <v>0.72773328540320614</v>
      </c>
      <c r="J727" s="76">
        <f t="shared" si="33"/>
        <v>56.437653633795023</v>
      </c>
      <c r="K727" s="76">
        <f>MAX(0,(J727-Constantes!$D$13)*(1-EXP(-Constantes!$D$23)))</f>
        <v>7.5748282310220807E-2</v>
      </c>
      <c r="L727" s="76">
        <f t="shared" si="34"/>
        <v>2.1862324162755917</v>
      </c>
      <c r="M727" s="76">
        <f>0.0526*F727*Observaciones!$F726^1.218</f>
        <v>1.8733339041578174</v>
      </c>
      <c r="N727" s="76">
        <f>M727*Constantes!$D$51</f>
        <v>2.6338880763069634E-2</v>
      </c>
      <c r="O727" s="76">
        <f t="shared" si="35"/>
        <v>1204.7612397926046</v>
      </c>
      <c r="P727" s="15"/>
      <c r="Q727" s="75">
        <v>721</v>
      </c>
      <c r="R727" s="76">
        <f>0.0526*Observaciones!$F726^2.218</f>
        <v>19.508943529431356</v>
      </c>
      <c r="S727" s="76">
        <f>IF(Observaciones!$F726&gt;0.05*$W$7,((Observaciones!$F726-0.05*$W$7)^2)/(Observaciones!$F726+0.95*$W$7),0)</f>
        <v>3.3925456641945551</v>
      </c>
      <c r="T727" s="76">
        <f>0.0526*S727*Observaciones!$F726^1.218</f>
        <v>4.5961792905408876</v>
      </c>
      <c r="U727" s="29"/>
      <c r="V727" s="29"/>
      <c r="W727" s="109"/>
      <c r="X727" s="40"/>
    </row>
    <row r="728" spans="2:24" s="2" customFormat="1">
      <c r="B728" s="39"/>
      <c r="C728" s="75">
        <v>722</v>
      </c>
      <c r="D728" s="146">
        <f>ETo!$I727*((1-Constantes!$D$19)*ETo!$K727+ETo!$L727)</f>
        <v>4.3899602968195639</v>
      </c>
      <c r="E728" s="76">
        <f>MIN(D728*Constantes!$D$17,0.8*(H727+Observaciones!$F727-F728-G728-Constantes!$D$14))</f>
        <v>2.2383703047180377</v>
      </c>
      <c r="F728" s="76">
        <f>IF(Observaciones!$F727&gt;0.05*Constantes!$D$18,((Observaciones!$F727-0.05*Constantes!$D$18)^2)/(Observaciones!$F727+0.95*Constantes!$D$18),0)</f>
        <v>0</v>
      </c>
      <c r="G728" s="76">
        <f>MAX(0,H727+Observaciones!$F727-F728-Constantes!$D$13)</f>
        <v>0</v>
      </c>
      <c r="H728" s="76">
        <f>H727+Observaciones!$F727-F728-E728-G728-I727</f>
        <v>31.847808825472899</v>
      </c>
      <c r="I728" s="76">
        <f>MAX(0,(H728-Constantes!$D$14)*(1-EXP(-Constantes!$D$22)))</f>
        <v>0.70163698469982128</v>
      </c>
      <c r="J728" s="76">
        <f t="shared" si="33"/>
        <v>56.361905351484801</v>
      </c>
      <c r="K728" s="76">
        <f>MAX(0,(J728-Constantes!$D$13)*(1-EXP(-Constantes!$D$23)))</f>
        <v>7.5001916442782979E-2</v>
      </c>
      <c r="L728" s="76">
        <f t="shared" si="34"/>
        <v>0.77663890114260425</v>
      </c>
      <c r="M728" s="76">
        <f>0.0526*F728*Observaciones!$F727^1.218</f>
        <v>0</v>
      </c>
      <c r="N728" s="76">
        <f>M728*Constantes!$D$51</f>
        <v>0</v>
      </c>
      <c r="O728" s="76">
        <f t="shared" si="35"/>
        <v>0</v>
      </c>
      <c r="P728" s="15"/>
      <c r="Q728" s="75">
        <v>722</v>
      </c>
      <c r="R728" s="76">
        <f>0.0526*Observaciones!$F727^2.218</f>
        <v>0.30232861200727251</v>
      </c>
      <c r="S728" s="76">
        <f>IF(Observaciones!$F727&gt;0.05*$W$7,((Observaciones!$F727-0.05*$W$7)^2)/(Observaciones!$F727+0.95*$W$7),0)</f>
        <v>6.2440408225724973E-3</v>
      </c>
      <c r="T728" s="76">
        <f>0.0526*S728*Observaciones!$F727^1.218</f>
        <v>8.5806917963867778E-4</v>
      </c>
      <c r="U728" s="29"/>
      <c r="V728" s="29"/>
      <c r="W728" s="109"/>
      <c r="X728" s="40"/>
    </row>
    <row r="729" spans="2:24" s="2" customFormat="1">
      <c r="B729" s="39"/>
      <c r="C729" s="75">
        <v>723</v>
      </c>
      <c r="D729" s="146">
        <f>ETo!$I728*((1-Constantes!$D$19)*ETo!$K728+ETo!$L728)</f>
        <v>4.2442609920368355</v>
      </c>
      <c r="E729" s="76">
        <f>MIN(D729*Constantes!$D$17,0.8*(H728+Observaciones!$F728-F729-G729-Constantes!$D$14))</f>
        <v>2.1640805674099362</v>
      </c>
      <c r="F729" s="76">
        <f>IF(Observaciones!$F728&gt;0.05*Constantes!$D$18,((Observaciones!$F728-0.05*Constantes!$D$18)^2)/(Observaciones!$F728+0.95*Constantes!$D$18),0)</f>
        <v>0</v>
      </c>
      <c r="G729" s="76">
        <f>MAX(0,H728+Observaciones!$F728-F729-Constantes!$D$13)</f>
        <v>0</v>
      </c>
      <c r="H729" s="76">
        <f>H728+Observaciones!$F728-F729-E729-G729-I728</f>
        <v>28.982091273363142</v>
      </c>
      <c r="I729" s="76">
        <f>MAX(0,(H729-Constantes!$D$14)*(1-EXP(-Constantes!$D$22)))</f>
        <v>0.60402012461045784</v>
      </c>
      <c r="J729" s="76">
        <f t="shared" si="33"/>
        <v>56.286903435042021</v>
      </c>
      <c r="K729" s="76">
        <f>MAX(0,(J729-Constantes!$D$13)*(1-EXP(-Constantes!$D$23)))</f>
        <v>7.4262904696007548E-2</v>
      </c>
      <c r="L729" s="76">
        <f t="shared" si="34"/>
        <v>0.67828302930646545</v>
      </c>
      <c r="M729" s="76">
        <f>0.0526*F729*Observaciones!$F728^1.218</f>
        <v>0</v>
      </c>
      <c r="N729" s="76">
        <f>M729*Constantes!$D$51</f>
        <v>0</v>
      </c>
      <c r="O729" s="76">
        <f t="shared" si="35"/>
        <v>0</v>
      </c>
      <c r="P729" s="15"/>
      <c r="Q729" s="75">
        <v>723</v>
      </c>
      <c r="R729" s="76">
        <f>0.0526*Observaciones!$F728^2.218</f>
        <v>0</v>
      </c>
      <c r="S729" s="76">
        <f>IF(Observaciones!$F728&gt;0.05*$W$7,((Observaciones!$F728-0.05*$W$7)^2)/(Observaciones!$F728+0.95*$W$7),0)</f>
        <v>0</v>
      </c>
      <c r="T729" s="76">
        <f>0.0526*S729*Observaciones!$F728^1.218</f>
        <v>0</v>
      </c>
      <c r="U729" s="29"/>
      <c r="V729" s="29"/>
      <c r="W729" s="109"/>
      <c r="X729" s="40"/>
    </row>
    <row r="730" spans="2:24" s="2" customFormat="1">
      <c r="B730" s="39"/>
      <c r="C730" s="75">
        <v>724</v>
      </c>
      <c r="D730" s="146">
        <f>ETo!$I729*((1-Constantes!$D$19)*ETo!$K729+ETo!$L729)</f>
        <v>4.2486906787699699</v>
      </c>
      <c r="E730" s="76">
        <f>MIN(D730*Constantes!$D$17,0.8*(H729+Observaciones!$F729-F730-G730-Constantes!$D$14))</f>
        <v>2.166339193586996</v>
      </c>
      <c r="F730" s="76">
        <f>IF(Observaciones!$F729&gt;0.05*Constantes!$D$18,((Observaciones!$F729-0.05*Constantes!$D$18)^2)/(Observaciones!$F729+0.95*Constantes!$D$18),0)</f>
        <v>4.0607632937147491</v>
      </c>
      <c r="G730" s="76">
        <f>MAX(0,H729+Observaciones!$F729-F730-Constantes!$D$13)</f>
        <v>0</v>
      </c>
      <c r="H730" s="76">
        <f>H729+Observaciones!$F729-F730-E730-G730-I729</f>
        <v>45.150968661450932</v>
      </c>
      <c r="I730" s="76">
        <f>MAX(0,(H730-Constantes!$D$14)*(1-EXP(-Constantes!$D$22)))</f>
        <v>1.1547914456127819</v>
      </c>
      <c r="J730" s="76">
        <f t="shared" si="33"/>
        <v>56.212640530346015</v>
      </c>
      <c r="K730" s="76">
        <f>MAX(0,(J730-Constantes!$D$13)*(1-EXP(-Constantes!$D$23)))</f>
        <v>7.3531174607991981E-2</v>
      </c>
      <c r="L730" s="76">
        <f t="shared" si="34"/>
        <v>5.2890859139355229</v>
      </c>
      <c r="M730" s="76">
        <f>0.0526*F730*Observaciones!$F729^1.218</f>
        <v>9.7314582362282849</v>
      </c>
      <c r="N730" s="76">
        <f>M730*Constantes!$D$51</f>
        <v>0.13682329539113258</v>
      </c>
      <c r="O730" s="76">
        <f t="shared" si="35"/>
        <v>2586.8987121316131</v>
      </c>
      <c r="P730" s="15"/>
      <c r="Q730" s="75">
        <v>724</v>
      </c>
      <c r="R730" s="76">
        <f>0.0526*Observaciones!$F729^2.218</f>
        <v>55.118588118564972</v>
      </c>
      <c r="S730" s="76">
        <f>IF(Observaciones!$F729&gt;0.05*$W$7,((Observaciones!$F729-0.05*$W$7)^2)/(Observaciones!$F729+0.95*$W$7),0)</f>
        <v>8.0912125154299339</v>
      </c>
      <c r="T730" s="76">
        <f>0.0526*S730*Observaciones!$F729^1.218</f>
        <v>19.390270000772201</v>
      </c>
      <c r="U730" s="29"/>
      <c r="V730" s="29"/>
      <c r="W730" s="109"/>
      <c r="X730" s="40"/>
    </row>
    <row r="731" spans="2:24" s="2" customFormat="1">
      <c r="B731" s="39"/>
      <c r="C731" s="75">
        <v>725</v>
      </c>
      <c r="D731" s="146">
        <f>ETo!$I730*((1-Constantes!$D$19)*ETo!$K730+ETo!$L730)</f>
        <v>4.2045781823701418</v>
      </c>
      <c r="E731" s="76">
        <f>MIN(D731*Constantes!$D$17,0.8*(H730+Observaciones!$F730-F731-G731-Constantes!$D$14))</f>
        <v>2.1438469395955666</v>
      </c>
      <c r="F731" s="76">
        <f>IF(Observaciones!$F730&gt;0.05*Constantes!$D$18,((Observaciones!$F730-0.05*Constantes!$D$18)^2)/(Observaciones!$F730+0.95*Constantes!$D$18),0)</f>
        <v>3.2922405527558433E-4</v>
      </c>
      <c r="G731" s="76">
        <f>MAX(0,H730+Observaciones!$F730-F731-Constantes!$D$13)</f>
        <v>0.20063943739565104</v>
      </c>
      <c r="H731" s="76">
        <f>H730+Observaciones!$F730-F731-E731-G731-I730</f>
        <v>45.451361614791651</v>
      </c>
      <c r="I731" s="76">
        <f>MAX(0,(H731-Constantes!$D$14)*(1-EXP(-Constantes!$D$22)))</f>
        <v>1.1650239323686744</v>
      </c>
      <c r="J731" s="76">
        <f t="shared" si="33"/>
        <v>56.339748793133673</v>
      </c>
      <c r="K731" s="76">
        <f>MAX(0,(J731-Constantes!$D$13)*(1-EXP(-Constantes!$D$23)))</f>
        <v>7.4783602596068269E-2</v>
      </c>
      <c r="L731" s="76">
        <f t="shared" si="34"/>
        <v>1.2401367590200183</v>
      </c>
      <c r="M731" s="76">
        <f>0.0526*F731*Observaciones!$F730^1.218</f>
        <v>8.8034666824685128E-5</v>
      </c>
      <c r="N731" s="76">
        <f>M731*Constantes!$D$51</f>
        <v>1.2377583021187898E-6</v>
      </c>
      <c r="O731" s="76">
        <f t="shared" si="35"/>
        <v>9.980821011199538E-2</v>
      </c>
      <c r="P731" s="15"/>
      <c r="Q731" s="75">
        <v>725</v>
      </c>
      <c r="R731" s="76">
        <f>0.0526*Observaciones!$F730^2.218</f>
        <v>1.0161217826375908</v>
      </c>
      <c r="S731" s="76">
        <f>IF(Observaciones!$F730&gt;0.05*$W$7,((Observaciones!$F730-0.05*$W$7)^2)/(Observaciones!$F730+0.95*$W$7),0)</f>
        <v>0.11653532226287651</v>
      </c>
      <c r="T731" s="76">
        <f>0.0526*S731*Observaciones!$F730^1.218</f>
        <v>3.1161599841578999E-2</v>
      </c>
      <c r="U731" s="29"/>
      <c r="V731" s="29"/>
      <c r="W731" s="109"/>
      <c r="X731" s="40"/>
    </row>
    <row r="732" spans="2:24" s="2" customFormat="1">
      <c r="B732" s="39"/>
      <c r="C732" s="75">
        <v>726</v>
      </c>
      <c r="D732" s="146">
        <f>ETo!$I731*((1-Constantes!$D$19)*ETo!$K731+ETo!$L731)</f>
        <v>4.3458602396389781</v>
      </c>
      <c r="E732" s="76">
        <f>MIN(D732*Constantes!$D$17,0.8*(H731+Observaciones!$F731-F732-G732-Constantes!$D$14))</f>
        <v>2.215884393284874</v>
      </c>
      <c r="F732" s="76">
        <f>IF(Observaciones!$F731&gt;0.05*Constantes!$D$18,((Observaciones!$F731-0.05*Constantes!$D$18)^2)/(Observaciones!$F731+0.95*Constantes!$D$18),0)</f>
        <v>0</v>
      </c>
      <c r="G732" s="76">
        <f>MAX(0,H731+Observaciones!$F731-F732-Constantes!$D$13)</f>
        <v>0</v>
      </c>
      <c r="H732" s="76">
        <f>H731+Observaciones!$F731-F732-E732-G732-I731</f>
        <v>44.870453289138098</v>
      </c>
      <c r="I732" s="76">
        <f>MAX(0,(H732-Constantes!$D$14)*(1-EXP(-Constantes!$D$22)))</f>
        <v>1.1452360622387932</v>
      </c>
      <c r="J732" s="76">
        <f t="shared" si="33"/>
        <v>56.264965190537602</v>
      </c>
      <c r="K732" s="76">
        <f>MAX(0,(J732-Constantes!$D$13)*(1-EXP(-Constantes!$D$23)))</f>
        <v>7.4046741947622771E-2</v>
      </c>
      <c r="L732" s="76">
        <f t="shared" si="34"/>
        <v>1.2192828041864159</v>
      </c>
      <c r="M732" s="76">
        <f>0.0526*F732*Observaciones!$F731^1.218</f>
        <v>0</v>
      </c>
      <c r="N732" s="76">
        <f>M732*Constantes!$D$51</f>
        <v>0</v>
      </c>
      <c r="O732" s="76">
        <f t="shared" si="35"/>
        <v>0</v>
      </c>
      <c r="P732" s="15"/>
      <c r="Q732" s="75">
        <v>726</v>
      </c>
      <c r="R732" s="76">
        <f>0.0526*Observaciones!$F731^2.218</f>
        <v>0.51615751836785251</v>
      </c>
      <c r="S732" s="76">
        <f>IF(Observaciones!$F731&gt;0.05*$W$7,((Observaciones!$F731-0.05*$W$7)^2)/(Observaciones!$F731+0.95*$W$7),0)</f>
        <v>3.1957062669984396E-2</v>
      </c>
      <c r="T732" s="76">
        <f>0.0526*S732*Observaciones!$F731^1.218</f>
        <v>5.8910279150232447E-3</v>
      </c>
      <c r="U732" s="29"/>
      <c r="V732" s="29"/>
      <c r="W732" s="109"/>
      <c r="X732" s="40"/>
    </row>
    <row r="733" spans="2:24" s="2" customFormat="1">
      <c r="B733" s="39"/>
      <c r="C733" s="75">
        <v>727</v>
      </c>
      <c r="D733" s="146">
        <f>ETo!$I732*((1-Constantes!$D$19)*ETo!$K732+ETo!$L732)</f>
        <v>4.3900651411328715</v>
      </c>
      <c r="E733" s="76">
        <f>MIN(D733*Constantes!$D$17,0.8*(H732+Observaciones!$F732-F733-G733-Constantes!$D$14))</f>
        <v>2.238423763150839</v>
      </c>
      <c r="F733" s="76">
        <f>IF(Observaciones!$F732&gt;0.05*Constantes!$D$18,((Observaciones!$F732-0.05*Constantes!$D$18)^2)/(Observaciones!$F732+0.95*Constantes!$D$18),0)</f>
        <v>9.3304447328806397E-2</v>
      </c>
      <c r="G733" s="76">
        <f>MAX(0,H732+Observaciones!$F732-F733-Constantes!$D$13)</f>
        <v>2.32714884180929</v>
      </c>
      <c r="H733" s="76">
        <f>H732+Observaciones!$F732-F733-E733-G733-I732</f>
        <v>45.366340174610364</v>
      </c>
      <c r="I733" s="76">
        <f>MAX(0,(H733-Constantes!$D$14)*(1-EXP(-Constantes!$D$22)))</f>
        <v>1.1621277899960032</v>
      </c>
      <c r="J733" s="76">
        <f t="shared" si="33"/>
        <v>58.518067290399266</v>
      </c>
      <c r="K733" s="76">
        <f>MAX(0,(J733-Constantes!$D$13)*(1-EXP(-Constantes!$D$23)))</f>
        <v>9.6247093584669902E-2</v>
      </c>
      <c r="L733" s="76">
        <f t="shared" si="34"/>
        <v>1.3516793309094797</v>
      </c>
      <c r="M733" s="76">
        <f>0.0526*F733*Observaciones!$F732^1.218</f>
        <v>4.6183291089063667E-2</v>
      </c>
      <c r="N733" s="76">
        <f>M733*Constantes!$D$51</f>
        <v>6.493322917720003E-4</v>
      </c>
      <c r="O733" s="76">
        <f t="shared" si="35"/>
        <v>48.038930308647693</v>
      </c>
      <c r="P733" s="15"/>
      <c r="Q733" s="75">
        <v>727</v>
      </c>
      <c r="R733" s="76">
        <f>0.0526*Observaciones!$F732^2.218</f>
        <v>3.1183372517686312</v>
      </c>
      <c r="S733" s="76">
        <f>IF(Observaciones!$F732&gt;0.05*$W$7,((Observaciones!$F732-0.05*$W$7)^2)/(Observaciones!$F732+0.95*$W$7),0)</f>
        <v>0.53229249011857738</v>
      </c>
      <c r="T733" s="76">
        <f>0.0526*S733*Observaciones!$F732^1.218</f>
        <v>0.26347103186880089</v>
      </c>
      <c r="U733" s="29"/>
      <c r="V733" s="29"/>
      <c r="W733" s="109"/>
      <c r="X733" s="40"/>
    </row>
    <row r="734" spans="2:24" s="2" customFormat="1">
      <c r="B734" s="39"/>
      <c r="C734" s="75">
        <v>728</v>
      </c>
      <c r="D734" s="146">
        <f>ETo!$I733*((1-Constantes!$D$19)*ETo!$K733+ETo!$L733)</f>
        <v>4.2090750918459827</v>
      </c>
      <c r="E734" s="76">
        <f>MIN(D734*Constantes!$D$17,0.8*(H733+Observaciones!$F733-F734-G734-Constantes!$D$14))</f>
        <v>2.1461398415703341</v>
      </c>
      <c r="F734" s="76">
        <f>IF(Observaciones!$F733&gt;0.05*Constantes!$D$18,((Observaciones!$F733-0.05*Constantes!$D$18)^2)/(Observaciones!$F733+0.95*Constantes!$D$18),0)</f>
        <v>8.8946872877963725E-4</v>
      </c>
      <c r="G734" s="76">
        <f>MAX(0,H733+Observaciones!$F733-F734-Constantes!$D$13)</f>
        <v>0.51545070588158381</v>
      </c>
      <c r="H734" s="76">
        <f>H733+Observaciones!$F733-F734-E734-G734-I733</f>
        <v>45.441732368433662</v>
      </c>
      <c r="I734" s="76">
        <f>MAX(0,(H734-Constantes!$D$14)*(1-EXP(-Constantes!$D$22)))</f>
        <v>1.1646959248880342</v>
      </c>
      <c r="J734" s="76">
        <f t="shared" si="33"/>
        <v>58.937270902696177</v>
      </c>
      <c r="K734" s="76">
        <f>MAX(0,(J734-Constantes!$D$13)*(1-EXP(-Constantes!$D$23)))</f>
        <v>0.1003776066231528</v>
      </c>
      <c r="L734" s="76">
        <f t="shared" si="34"/>
        <v>1.2659630002399667</v>
      </c>
      <c r="M734" s="76">
        <f>0.0526*F734*Observaciones!$F733^1.218</f>
        <v>2.4548961207897317E-4</v>
      </c>
      <c r="N734" s="76">
        <f>M734*Constantes!$D$51</f>
        <v>3.4515585325015168E-6</v>
      </c>
      <c r="O734" s="76">
        <f t="shared" si="35"/>
        <v>0.27264292335931345</v>
      </c>
      <c r="P734" s="15"/>
      <c r="Q734" s="75">
        <v>728</v>
      </c>
      <c r="R734" s="76">
        <f>0.0526*Observaciones!$F733^2.218</f>
        <v>1.0763835266267017</v>
      </c>
      <c r="S734" s="76">
        <f>IF(Observaciones!$F733&gt;0.05*$W$7,((Observaciones!$F733-0.05*$W$7)^2)/(Observaciones!$F733+0.95*$W$7),0)</f>
        <v>0.12772912526524982</v>
      </c>
      <c r="T734" s="76">
        <f>0.0526*S734*Observaciones!$F733^1.218</f>
        <v>3.5252699052808555E-2</v>
      </c>
      <c r="U734" s="29"/>
      <c r="V734" s="29"/>
      <c r="W734" s="109"/>
      <c r="X734" s="40"/>
    </row>
    <row r="735" spans="2:24" s="2" customFormat="1">
      <c r="B735" s="39"/>
      <c r="C735" s="75">
        <v>729</v>
      </c>
      <c r="D735" s="146">
        <f>ETo!$I734*((1-Constantes!$D$19)*ETo!$K734+ETo!$L734)</f>
        <v>4.2135189994709945</v>
      </c>
      <c r="E735" s="76">
        <f>MIN(D735*Constantes!$D$17,0.8*(H734+Observaciones!$F734-F735-G735-Constantes!$D$14))</f>
        <v>2.1484057187519441</v>
      </c>
      <c r="F735" s="76">
        <f>IF(Observaciones!$F734&gt;0.05*Constantes!$D$18,((Observaciones!$F734-0.05*Constantes!$D$18)^2)/(Observaciones!$F734+0.95*Constantes!$D$18),0)</f>
        <v>2.8233333877980072E-3</v>
      </c>
      <c r="G735" s="76">
        <f>MAX(0,H734+Observaciones!$F734-F735-Constantes!$D$13)</f>
        <v>0.78890903504586873</v>
      </c>
      <c r="H735" s="76">
        <f>H734+Observaciones!$F734-F735-E735-G735-I734</f>
        <v>45.436898356360018</v>
      </c>
      <c r="I735" s="76">
        <f>MAX(0,(H735-Constantes!$D$14)*(1-EXP(-Constantes!$D$22)))</f>
        <v>1.1645312606907843</v>
      </c>
      <c r="J735" s="76">
        <f t="shared" si="33"/>
        <v>59.625802331118891</v>
      </c>
      <c r="K735" s="76">
        <f>MAX(0,(J735-Constantes!$D$13)*(1-EXP(-Constantes!$D$23)))</f>
        <v>0.10716187078281121</v>
      </c>
      <c r="L735" s="76">
        <f t="shared" si="34"/>
        <v>1.2745164648613936</v>
      </c>
      <c r="M735" s="76">
        <f>0.0526*F735*Observaciones!$F734^1.218</f>
        <v>8.2816838149954539E-4</v>
      </c>
      <c r="N735" s="76">
        <f>M735*Constantes!$D$51</f>
        <v>1.1643961711068925E-5</v>
      </c>
      <c r="O735" s="76">
        <f t="shared" si="35"/>
        <v>0.91359837492058071</v>
      </c>
      <c r="P735" s="15"/>
      <c r="Q735" s="75">
        <v>729</v>
      </c>
      <c r="R735" s="76">
        <f>0.0526*Observaciones!$F734^2.218</f>
        <v>1.2026529983397987</v>
      </c>
      <c r="S735" s="76">
        <f>IF(Observaciones!$F734&gt;0.05*$W$7,((Observaciones!$F734-0.05*$W$7)^2)/(Observaciones!$F734+0.95*$W$7),0)</f>
        <v>0.15155665486705905</v>
      </c>
      <c r="T735" s="76">
        <f>0.0526*S735*Observaciones!$F734^1.218</f>
        <v>4.4456113510785045E-2</v>
      </c>
      <c r="U735" s="29"/>
      <c r="V735" s="29"/>
      <c r="W735" s="109"/>
      <c r="X735" s="40"/>
    </row>
    <row r="736" spans="2:24" s="2" customFormat="1">
      <c r="B736" s="39"/>
      <c r="C736" s="75">
        <v>730</v>
      </c>
      <c r="D736" s="146">
        <f>ETo!$I735*((1-Constantes!$D$19)*ETo!$K735+ETo!$L735)</f>
        <v>4.0413602841194747</v>
      </c>
      <c r="E736" s="76">
        <f>MIN(D736*Constantes!$D$17,0.8*(H735+Observaciones!$F735-F736-G736-Constantes!$D$14))</f>
        <v>2.0606247526187356</v>
      </c>
      <c r="F736" s="76">
        <f>IF(Observaciones!$F735&gt;0.05*Constantes!$D$18,((Observaciones!$F735-0.05*Constantes!$D$18)^2)/(Observaciones!$F735+0.95*Constantes!$D$18),0)</f>
        <v>0</v>
      </c>
      <c r="G736" s="76">
        <f>MAX(0,H735+Observaciones!$F735-F736-Constantes!$D$13)</f>
        <v>0</v>
      </c>
      <c r="H736" s="76">
        <f>H735+Observaciones!$F735-F736-E736-G736-I735</f>
        <v>44.711742343050496</v>
      </c>
      <c r="I736" s="76">
        <f>MAX(0,(H736-Constantes!$D$14)*(1-EXP(-Constantes!$D$22)))</f>
        <v>1.1398297847752383</v>
      </c>
      <c r="J736" s="76">
        <f t="shared" si="33"/>
        <v>59.51864046033608</v>
      </c>
      <c r="K736" s="76">
        <f>MAX(0,(J736-Constantes!$D$13)*(1-EXP(-Constantes!$D$23)))</f>
        <v>0.10610597934601912</v>
      </c>
      <c r="L736" s="76">
        <f t="shared" si="34"/>
        <v>1.2459357641212574</v>
      </c>
      <c r="M736" s="76">
        <f>0.0526*F736*Observaciones!$F735^1.218</f>
        <v>0</v>
      </c>
      <c r="N736" s="76">
        <f>M736*Constantes!$D$51</f>
        <v>0</v>
      </c>
      <c r="O736" s="76">
        <f t="shared" si="35"/>
        <v>0</v>
      </c>
      <c r="P736" s="15"/>
      <c r="Q736" s="75">
        <v>730</v>
      </c>
      <c r="R736" s="76">
        <f>0.0526*Observaciones!$F735^2.218</f>
        <v>0.40143633905347276</v>
      </c>
      <c r="S736" s="76">
        <f>IF(Observaciones!$F735&gt;0.05*$W$7,((Observaciones!$F735-0.05*$W$7)^2)/(Observaciones!$F735+0.95*$W$7),0)</f>
        <v>1.6667444764761515E-2</v>
      </c>
      <c r="T736" s="76">
        <f>0.0526*S736*Observaciones!$F735^1.218</f>
        <v>2.6763672030967324E-3</v>
      </c>
      <c r="U736" s="29"/>
      <c r="V736" s="29"/>
      <c r="W736" s="109"/>
      <c r="X736" s="40"/>
    </row>
    <row r="737" spans="2:24" s="2" customFormat="1" ht="14.5" thickBot="1">
      <c r="B737" s="41"/>
      <c r="C737" s="42"/>
      <c r="D737" s="42"/>
      <c r="E737" s="42"/>
      <c r="F737" s="42"/>
      <c r="G737" s="42"/>
      <c r="H737" s="42"/>
      <c r="I737" s="42"/>
      <c r="J737" s="42"/>
      <c r="K737" s="42"/>
      <c r="L737" s="42"/>
      <c r="M737" s="42"/>
      <c r="N737" s="42"/>
      <c r="O737" s="42"/>
      <c r="P737" s="42"/>
      <c r="Q737" s="42"/>
      <c r="R737" s="111"/>
      <c r="S737" s="111"/>
      <c r="T737" s="111"/>
      <c r="U737" s="42"/>
      <c r="V737" s="42"/>
      <c r="W737" s="111"/>
      <c r="X737" s="43"/>
    </row>
    <row r="738" spans="2:24" s="2" customFormat="1">
      <c r="H738" s="66"/>
      <c r="R738" s="107"/>
      <c r="S738" s="107"/>
      <c r="T738" s="107"/>
      <c r="W738" s="107"/>
    </row>
    <row r="739" spans="2:24" s="2" customFormat="1">
      <c r="H739" s="66"/>
      <c r="R739" s="107"/>
      <c r="S739" s="107"/>
      <c r="T739" s="107"/>
      <c r="W739" s="107"/>
    </row>
    <row r="740" spans="2:24" s="2" customFormat="1">
      <c r="H740" s="66"/>
      <c r="R740" s="107"/>
      <c r="S740" s="107"/>
      <c r="T740" s="107"/>
      <c r="W740" s="107"/>
    </row>
    <row r="741" spans="2:24" s="2" customFormat="1">
      <c r="H741" s="66"/>
      <c r="R741" s="107"/>
      <c r="S741" s="107"/>
      <c r="T741" s="107"/>
      <c r="W741" s="107"/>
    </row>
    <row r="742" spans="2:24" s="2" customFormat="1">
      <c r="H742" s="66"/>
      <c r="R742" s="107"/>
      <c r="S742" s="107"/>
      <c r="T742" s="107"/>
      <c r="W742" s="107"/>
    </row>
    <row r="743" spans="2:24" s="2" customFormat="1">
      <c r="H743" s="66"/>
      <c r="R743" s="107"/>
      <c r="S743" s="107"/>
      <c r="T743" s="107"/>
      <c r="W743" s="107"/>
    </row>
    <row r="744" spans="2:24" s="2" customFormat="1">
      <c r="H744" s="66"/>
      <c r="R744" s="107"/>
      <c r="S744" s="107"/>
      <c r="T744" s="107"/>
      <c r="W744" s="107"/>
    </row>
    <row r="745" spans="2:24" s="2" customFormat="1">
      <c r="H745" s="66"/>
      <c r="R745" s="107"/>
      <c r="S745" s="107"/>
      <c r="T745" s="107"/>
      <c r="W745" s="107"/>
    </row>
    <row r="746" spans="2:24" s="2" customFormat="1">
      <c r="H746" s="66"/>
      <c r="R746" s="107"/>
      <c r="S746" s="107"/>
      <c r="T746" s="107"/>
      <c r="W746" s="107"/>
    </row>
    <row r="747" spans="2:24" s="2" customFormat="1">
      <c r="H747" s="66"/>
      <c r="R747" s="107"/>
      <c r="S747" s="107"/>
      <c r="T747" s="107"/>
      <c r="W747" s="107"/>
    </row>
    <row r="748" spans="2:24" s="2" customFormat="1">
      <c r="H748" s="66"/>
      <c r="R748" s="107"/>
      <c r="S748" s="107"/>
      <c r="T748" s="107"/>
      <c r="W748" s="107"/>
    </row>
    <row r="749" spans="2:24" s="2" customFormat="1">
      <c r="H749" s="66"/>
      <c r="R749" s="107"/>
      <c r="S749" s="107"/>
      <c r="T749" s="107"/>
      <c r="W749" s="107"/>
    </row>
    <row r="750" spans="2:24" s="2" customFormat="1">
      <c r="H750" s="66"/>
      <c r="R750" s="107"/>
      <c r="S750" s="107"/>
      <c r="T750" s="107"/>
      <c r="W750" s="107"/>
    </row>
    <row r="751" spans="2:24" s="2" customFormat="1">
      <c r="H751" s="66"/>
      <c r="R751" s="107"/>
      <c r="S751" s="107"/>
      <c r="T751" s="107"/>
      <c r="W751" s="107"/>
    </row>
    <row r="752" spans="2:24" s="2" customFormat="1">
      <c r="H752" s="66"/>
      <c r="R752" s="107"/>
      <c r="S752" s="107"/>
      <c r="T752" s="107"/>
      <c r="W752" s="107"/>
    </row>
    <row r="753" spans="8:23" s="2" customFormat="1">
      <c r="H753" s="66"/>
      <c r="R753" s="107"/>
      <c r="S753" s="107"/>
      <c r="T753" s="107"/>
      <c r="W753" s="107"/>
    </row>
    <row r="754" spans="8:23" s="2" customFormat="1">
      <c r="H754" s="66"/>
      <c r="R754" s="107"/>
      <c r="S754" s="107"/>
      <c r="T754" s="107"/>
      <c r="W754" s="107"/>
    </row>
    <row r="755" spans="8:23" s="2" customFormat="1">
      <c r="H755" s="66"/>
      <c r="R755" s="107"/>
      <c r="S755" s="107"/>
      <c r="T755" s="107"/>
      <c r="W755" s="107"/>
    </row>
    <row r="756" spans="8:23" s="2" customFormat="1">
      <c r="H756" s="66"/>
      <c r="R756" s="107"/>
      <c r="S756" s="107"/>
      <c r="T756" s="107"/>
      <c r="W756" s="107"/>
    </row>
    <row r="757" spans="8:23" s="2" customFormat="1">
      <c r="H757" s="66"/>
      <c r="R757" s="107"/>
      <c r="S757" s="107"/>
      <c r="T757" s="107"/>
      <c r="W757" s="107"/>
    </row>
    <row r="758" spans="8:23" s="2" customFormat="1">
      <c r="H758" s="66"/>
      <c r="R758" s="107"/>
      <c r="S758" s="107"/>
      <c r="T758" s="107"/>
      <c r="W758" s="107"/>
    </row>
    <row r="759" spans="8:23" s="2" customFormat="1">
      <c r="H759" s="66"/>
      <c r="R759" s="107"/>
      <c r="S759" s="107"/>
      <c r="T759" s="107"/>
      <c r="W759" s="107"/>
    </row>
    <row r="760" spans="8:23" s="2" customFormat="1">
      <c r="H760" s="66"/>
      <c r="R760" s="107"/>
      <c r="S760" s="107"/>
      <c r="T760" s="107"/>
      <c r="W760" s="107"/>
    </row>
    <row r="761" spans="8:23" s="2" customFormat="1">
      <c r="H761" s="66"/>
      <c r="R761" s="107"/>
      <c r="S761" s="107"/>
      <c r="T761" s="107"/>
      <c r="W761" s="107"/>
    </row>
    <row r="762" spans="8:23" s="2" customFormat="1">
      <c r="H762" s="66"/>
      <c r="R762" s="107"/>
      <c r="S762" s="107"/>
      <c r="T762" s="107"/>
      <c r="W762" s="107"/>
    </row>
    <row r="763" spans="8:23" s="2" customFormat="1">
      <c r="H763" s="66"/>
      <c r="R763" s="107"/>
      <c r="S763" s="107"/>
      <c r="T763" s="107"/>
      <c r="W763" s="107"/>
    </row>
    <row r="764" spans="8:23" s="2" customFormat="1">
      <c r="H764" s="66"/>
      <c r="R764" s="107"/>
      <c r="S764" s="107"/>
      <c r="T764" s="107"/>
      <c r="W764" s="107"/>
    </row>
    <row r="765" spans="8:23" s="2" customFormat="1">
      <c r="H765" s="66"/>
      <c r="R765" s="107"/>
      <c r="S765" s="107"/>
      <c r="T765" s="107"/>
      <c r="W765" s="107"/>
    </row>
    <row r="766" spans="8:23" s="2" customFormat="1">
      <c r="H766" s="66"/>
      <c r="R766" s="107"/>
      <c r="S766" s="107"/>
      <c r="T766" s="107"/>
      <c r="W766" s="107"/>
    </row>
    <row r="767" spans="8:23" s="2" customFormat="1">
      <c r="H767" s="66"/>
      <c r="R767" s="107"/>
      <c r="S767" s="107"/>
      <c r="T767" s="107"/>
      <c r="W767" s="107"/>
    </row>
    <row r="768" spans="8:23" s="2" customFormat="1">
      <c r="H768" s="66"/>
      <c r="R768" s="107"/>
      <c r="S768" s="107"/>
      <c r="T768" s="107"/>
      <c r="W768" s="107"/>
    </row>
    <row r="769" spans="8:23" s="2" customFormat="1">
      <c r="H769" s="66"/>
      <c r="R769" s="107"/>
      <c r="S769" s="107"/>
      <c r="T769" s="107"/>
      <c r="W769" s="107"/>
    </row>
    <row r="770" spans="8:23" s="2" customFormat="1">
      <c r="H770" s="66"/>
      <c r="R770" s="107"/>
      <c r="S770" s="107"/>
      <c r="T770" s="107"/>
      <c r="W770" s="107"/>
    </row>
    <row r="771" spans="8:23" s="2" customFormat="1">
      <c r="H771" s="66"/>
      <c r="R771" s="107"/>
      <c r="S771" s="107"/>
      <c r="T771" s="107"/>
      <c r="W771" s="107"/>
    </row>
    <row r="772" spans="8:23" s="2" customFormat="1">
      <c r="H772" s="66"/>
      <c r="R772" s="107"/>
      <c r="S772" s="107"/>
      <c r="T772" s="107"/>
      <c r="W772" s="107"/>
    </row>
    <row r="773" spans="8:23" s="2" customFormat="1">
      <c r="H773" s="66"/>
      <c r="R773" s="107"/>
      <c r="S773" s="107"/>
      <c r="T773" s="107"/>
      <c r="W773" s="107"/>
    </row>
    <row r="774" spans="8:23" s="2" customFormat="1">
      <c r="H774" s="66"/>
      <c r="R774" s="107"/>
      <c r="S774" s="107"/>
      <c r="T774" s="107"/>
      <c r="W774" s="107"/>
    </row>
    <row r="775" spans="8:23" s="2" customFormat="1">
      <c r="H775" s="66"/>
      <c r="R775" s="107"/>
      <c r="S775" s="107"/>
      <c r="T775" s="107"/>
      <c r="W775" s="107"/>
    </row>
    <row r="776" spans="8:23" s="2" customFormat="1">
      <c r="H776" s="66"/>
      <c r="R776" s="107"/>
      <c r="S776" s="107"/>
      <c r="T776" s="107"/>
      <c r="W776" s="107"/>
    </row>
    <row r="777" spans="8:23" s="2" customFormat="1">
      <c r="H777" s="66"/>
      <c r="R777" s="107"/>
      <c r="S777" s="107"/>
      <c r="T777" s="107"/>
      <c r="W777" s="107"/>
    </row>
    <row r="778" spans="8:23" s="2" customFormat="1">
      <c r="H778" s="66"/>
      <c r="R778" s="107"/>
      <c r="S778" s="107"/>
      <c r="T778" s="107"/>
      <c r="W778" s="107"/>
    </row>
    <row r="779" spans="8:23" s="2" customFormat="1">
      <c r="H779" s="66"/>
      <c r="R779" s="107"/>
      <c r="S779" s="107"/>
      <c r="T779" s="107"/>
      <c r="W779" s="107"/>
    </row>
    <row r="780" spans="8:23" s="2" customFormat="1">
      <c r="H780" s="66"/>
      <c r="R780" s="107"/>
      <c r="S780" s="107"/>
      <c r="T780" s="107"/>
      <c r="W780" s="107"/>
    </row>
    <row r="781" spans="8:23" s="2" customFormat="1">
      <c r="H781" s="66"/>
      <c r="R781" s="107"/>
      <c r="S781" s="107"/>
      <c r="T781" s="107"/>
      <c r="W781" s="107"/>
    </row>
    <row r="782" spans="8:23" s="2" customFormat="1">
      <c r="H782" s="66"/>
      <c r="R782" s="107"/>
      <c r="S782" s="107"/>
      <c r="T782" s="107"/>
      <c r="W782" s="107"/>
    </row>
    <row r="783" spans="8:23" s="2" customFormat="1">
      <c r="H783" s="66"/>
      <c r="R783" s="107"/>
      <c r="S783" s="107"/>
      <c r="T783" s="107"/>
      <c r="W783" s="107"/>
    </row>
    <row r="784" spans="8:23" s="2" customFormat="1">
      <c r="H784" s="66"/>
      <c r="R784" s="107"/>
      <c r="S784" s="107"/>
      <c r="T784" s="107"/>
      <c r="W784" s="107"/>
    </row>
    <row r="785" spans="8:23" s="2" customFormat="1">
      <c r="H785" s="66"/>
      <c r="R785" s="107"/>
      <c r="S785" s="107"/>
      <c r="T785" s="107"/>
      <c r="W785" s="107"/>
    </row>
    <row r="786" spans="8:23" s="2" customFormat="1">
      <c r="H786" s="66"/>
      <c r="R786" s="107"/>
      <c r="S786" s="107"/>
      <c r="T786" s="107"/>
      <c r="W786" s="107"/>
    </row>
    <row r="787" spans="8:23" s="2" customFormat="1">
      <c r="H787" s="66"/>
      <c r="R787" s="107"/>
      <c r="S787" s="107"/>
      <c r="T787" s="107"/>
      <c r="W787" s="107"/>
    </row>
    <row r="788" spans="8:23" s="2" customFormat="1">
      <c r="H788" s="66"/>
      <c r="R788" s="107"/>
      <c r="S788" s="107"/>
      <c r="T788" s="107"/>
      <c r="W788" s="107"/>
    </row>
    <row r="789" spans="8:23" s="2" customFormat="1">
      <c r="H789" s="66"/>
      <c r="R789" s="107"/>
      <c r="S789" s="107"/>
      <c r="T789" s="107"/>
      <c r="W789" s="107"/>
    </row>
    <row r="790" spans="8:23" s="2" customFormat="1">
      <c r="H790" s="66"/>
      <c r="R790" s="107"/>
      <c r="S790" s="107"/>
      <c r="T790" s="107"/>
      <c r="W790" s="107"/>
    </row>
    <row r="791" spans="8:23" s="2" customFormat="1">
      <c r="H791" s="66"/>
      <c r="R791" s="107"/>
      <c r="S791" s="107"/>
      <c r="T791" s="107"/>
      <c r="W791" s="107"/>
    </row>
    <row r="792" spans="8:23" s="2" customFormat="1">
      <c r="H792" s="66"/>
      <c r="R792" s="107"/>
      <c r="S792" s="107"/>
      <c r="T792" s="107"/>
      <c r="W792" s="107"/>
    </row>
    <row r="793" spans="8:23" s="2" customFormat="1">
      <c r="H793" s="66"/>
      <c r="R793" s="107"/>
      <c r="S793" s="107"/>
      <c r="T793" s="107"/>
      <c r="W793" s="107"/>
    </row>
    <row r="794" spans="8:23" s="2" customFormat="1">
      <c r="H794" s="66"/>
      <c r="R794" s="107"/>
      <c r="S794" s="107"/>
      <c r="T794" s="107"/>
      <c r="W794" s="107"/>
    </row>
    <row r="795" spans="8:23" s="2" customFormat="1">
      <c r="H795" s="66"/>
      <c r="R795" s="107"/>
      <c r="S795" s="107"/>
      <c r="T795" s="107"/>
      <c r="W795" s="107"/>
    </row>
    <row r="796" spans="8:23" s="2" customFormat="1">
      <c r="H796" s="66"/>
      <c r="R796" s="107"/>
      <c r="S796" s="107"/>
      <c r="T796" s="107"/>
      <c r="W796" s="107"/>
    </row>
    <row r="797" spans="8:23" s="2" customFormat="1">
      <c r="H797" s="66"/>
      <c r="R797" s="107"/>
      <c r="S797" s="107"/>
      <c r="T797" s="107"/>
      <c r="W797" s="107"/>
    </row>
    <row r="798" spans="8:23" s="2" customFormat="1">
      <c r="H798" s="66"/>
      <c r="R798" s="107"/>
      <c r="S798" s="107"/>
      <c r="T798" s="107"/>
      <c r="W798" s="107"/>
    </row>
    <row r="799" spans="8:23" s="2" customFormat="1">
      <c r="H799" s="66"/>
      <c r="R799" s="107"/>
      <c r="S799" s="107"/>
      <c r="T799" s="107"/>
      <c r="W799" s="107"/>
    </row>
    <row r="800" spans="8:23" s="2" customFormat="1">
      <c r="H800" s="66"/>
      <c r="R800" s="107"/>
      <c r="S800" s="107"/>
      <c r="T800" s="107"/>
      <c r="W800" s="107"/>
    </row>
    <row r="801" spans="8:23" s="2" customFormat="1">
      <c r="H801" s="66"/>
      <c r="R801" s="107"/>
      <c r="S801" s="107"/>
      <c r="T801" s="107"/>
      <c r="W801" s="107"/>
    </row>
    <row r="802" spans="8:23" s="2" customFormat="1">
      <c r="H802" s="66"/>
      <c r="R802" s="107"/>
      <c r="S802" s="107"/>
      <c r="T802" s="107"/>
      <c r="W802" s="107"/>
    </row>
    <row r="803" spans="8:23" s="2" customFormat="1">
      <c r="H803" s="66"/>
      <c r="R803" s="107"/>
      <c r="S803" s="107"/>
      <c r="T803" s="107"/>
      <c r="W803" s="107"/>
    </row>
    <row r="804" spans="8:23" s="2" customFormat="1">
      <c r="H804" s="66"/>
      <c r="R804" s="107"/>
      <c r="S804" s="107"/>
      <c r="T804" s="107"/>
      <c r="W804" s="107"/>
    </row>
    <row r="805" spans="8:23" s="2" customFormat="1">
      <c r="H805" s="66"/>
      <c r="R805" s="107"/>
      <c r="S805" s="107"/>
      <c r="T805" s="107"/>
      <c r="W805" s="107"/>
    </row>
    <row r="806" spans="8:23" s="2" customFormat="1">
      <c r="H806" s="66"/>
      <c r="R806" s="107"/>
      <c r="S806" s="107"/>
      <c r="T806" s="107"/>
      <c r="W806" s="107"/>
    </row>
    <row r="807" spans="8:23" s="2" customFormat="1">
      <c r="H807" s="66"/>
      <c r="R807" s="107"/>
      <c r="S807" s="107"/>
      <c r="T807" s="107"/>
      <c r="W807" s="107"/>
    </row>
    <row r="808" spans="8:23" s="2" customFormat="1">
      <c r="H808" s="66"/>
      <c r="R808" s="107"/>
      <c r="S808" s="107"/>
      <c r="T808" s="107"/>
      <c r="W808" s="107"/>
    </row>
    <row r="809" spans="8:23" s="2" customFormat="1">
      <c r="H809" s="66"/>
      <c r="R809" s="107"/>
      <c r="S809" s="107"/>
      <c r="T809" s="107"/>
      <c r="W809" s="107"/>
    </row>
    <row r="810" spans="8:23" s="2" customFormat="1">
      <c r="H810" s="66"/>
      <c r="R810" s="107"/>
      <c r="S810" s="107"/>
      <c r="T810" s="107"/>
      <c r="W810" s="107"/>
    </row>
    <row r="811" spans="8:23" s="2" customFormat="1">
      <c r="H811" s="66"/>
      <c r="R811" s="107"/>
      <c r="S811" s="107"/>
      <c r="T811" s="107"/>
      <c r="W811" s="107"/>
    </row>
    <row r="812" spans="8:23" s="2" customFormat="1">
      <c r="H812" s="66"/>
      <c r="R812" s="107"/>
      <c r="S812" s="107"/>
      <c r="T812" s="107"/>
      <c r="W812" s="107"/>
    </row>
    <row r="813" spans="8:23" s="2" customFormat="1">
      <c r="H813" s="66"/>
      <c r="R813" s="107"/>
      <c r="S813" s="107"/>
      <c r="T813" s="107"/>
      <c r="W813" s="107"/>
    </row>
    <row r="814" spans="8:23" s="2" customFormat="1">
      <c r="H814" s="66"/>
      <c r="R814" s="107"/>
      <c r="S814" s="107"/>
      <c r="T814" s="107"/>
      <c r="W814" s="107"/>
    </row>
    <row r="815" spans="8:23" s="2" customFormat="1">
      <c r="H815" s="66"/>
      <c r="R815" s="107"/>
      <c r="S815" s="107"/>
      <c r="T815" s="107"/>
      <c r="W815" s="107"/>
    </row>
    <row r="816" spans="8:23" s="2" customFormat="1">
      <c r="H816" s="66"/>
      <c r="R816" s="107"/>
      <c r="S816" s="107"/>
      <c r="T816" s="107"/>
      <c r="W816" s="107"/>
    </row>
    <row r="817" spans="8:23" s="2" customFormat="1">
      <c r="H817" s="66"/>
      <c r="R817" s="107"/>
      <c r="S817" s="107"/>
      <c r="T817" s="107"/>
      <c r="W817" s="107"/>
    </row>
    <row r="818" spans="8:23" s="2" customFormat="1">
      <c r="H818" s="66"/>
      <c r="R818" s="107"/>
      <c r="S818" s="107"/>
      <c r="T818" s="107"/>
      <c r="W818" s="107"/>
    </row>
    <row r="819" spans="8:23" s="2" customFormat="1">
      <c r="H819" s="66"/>
      <c r="R819" s="107"/>
      <c r="S819" s="107"/>
      <c r="T819" s="107"/>
      <c r="W819" s="107"/>
    </row>
    <row r="820" spans="8:23" s="2" customFormat="1">
      <c r="H820" s="66"/>
      <c r="R820" s="107"/>
      <c r="S820" s="107"/>
      <c r="T820" s="107"/>
      <c r="W820" s="107"/>
    </row>
    <row r="821" spans="8:23" s="2" customFormat="1">
      <c r="H821" s="66"/>
      <c r="R821" s="107"/>
      <c r="S821" s="107"/>
      <c r="T821" s="107"/>
      <c r="W821" s="107"/>
    </row>
    <row r="822" spans="8:23" s="2" customFormat="1">
      <c r="H822" s="66"/>
      <c r="R822" s="107"/>
      <c r="S822" s="107"/>
      <c r="T822" s="107"/>
      <c r="W822" s="107"/>
    </row>
    <row r="823" spans="8:23" s="2" customFormat="1">
      <c r="H823" s="66"/>
      <c r="R823" s="107"/>
      <c r="S823" s="107"/>
      <c r="T823" s="107"/>
      <c r="W823" s="107"/>
    </row>
    <row r="824" spans="8:23" s="2" customFormat="1">
      <c r="H824" s="66"/>
      <c r="R824" s="107"/>
      <c r="S824" s="107"/>
      <c r="T824" s="107"/>
      <c r="W824" s="107"/>
    </row>
    <row r="825" spans="8:23" s="2" customFormat="1">
      <c r="H825" s="66"/>
      <c r="R825" s="107"/>
      <c r="S825" s="107"/>
      <c r="T825" s="107"/>
      <c r="W825" s="107"/>
    </row>
    <row r="826" spans="8:23" s="2" customFormat="1">
      <c r="H826" s="66"/>
      <c r="R826" s="107"/>
      <c r="S826" s="107"/>
      <c r="T826" s="107"/>
      <c r="W826" s="107"/>
    </row>
    <row r="827" spans="8:23" s="2" customFormat="1">
      <c r="H827" s="66"/>
      <c r="R827" s="107"/>
      <c r="S827" s="107"/>
      <c r="T827" s="107"/>
      <c r="W827" s="107"/>
    </row>
    <row r="828" spans="8:23" s="2" customFormat="1">
      <c r="H828" s="66"/>
      <c r="R828" s="107"/>
      <c r="S828" s="107"/>
      <c r="T828" s="107"/>
      <c r="W828" s="107"/>
    </row>
    <row r="829" spans="8:23" s="2" customFormat="1">
      <c r="H829" s="66"/>
      <c r="R829" s="107"/>
      <c r="S829" s="107"/>
      <c r="T829" s="107"/>
      <c r="W829" s="107"/>
    </row>
    <row r="830" spans="8:23" s="2" customFormat="1">
      <c r="H830" s="66"/>
      <c r="R830" s="107"/>
      <c r="S830" s="107"/>
      <c r="T830" s="107"/>
      <c r="W830" s="107"/>
    </row>
    <row r="831" spans="8:23" s="2" customFormat="1">
      <c r="H831" s="66"/>
      <c r="R831" s="107"/>
      <c r="S831" s="107"/>
      <c r="T831" s="107"/>
      <c r="W831" s="107"/>
    </row>
    <row r="832" spans="8:23" s="2" customFormat="1">
      <c r="H832" s="66"/>
      <c r="R832" s="107"/>
      <c r="S832" s="107"/>
      <c r="T832" s="107"/>
      <c r="W832" s="107"/>
    </row>
    <row r="833" spans="8:23" s="2" customFormat="1">
      <c r="H833" s="66"/>
      <c r="R833" s="107"/>
      <c r="S833" s="107"/>
      <c r="T833" s="107"/>
      <c r="W833" s="107"/>
    </row>
    <row r="834" spans="8:23" s="2" customFormat="1">
      <c r="H834" s="66"/>
      <c r="R834" s="107"/>
      <c r="S834" s="107"/>
      <c r="T834" s="107"/>
      <c r="W834" s="107"/>
    </row>
    <row r="835" spans="8:23" s="2" customFormat="1">
      <c r="H835" s="66"/>
      <c r="R835" s="107"/>
      <c r="S835" s="107"/>
      <c r="T835" s="107"/>
      <c r="W835" s="107"/>
    </row>
    <row r="836" spans="8:23" s="2" customFormat="1">
      <c r="H836" s="66"/>
      <c r="R836" s="107"/>
      <c r="S836" s="107"/>
      <c r="T836" s="107"/>
      <c r="W836" s="107"/>
    </row>
    <row r="837" spans="8:23" s="2" customFormat="1">
      <c r="H837" s="66"/>
      <c r="R837" s="107"/>
      <c r="S837" s="107"/>
      <c r="T837" s="107"/>
      <c r="W837" s="107"/>
    </row>
    <row r="838" spans="8:23" s="2" customFormat="1">
      <c r="H838" s="66"/>
      <c r="R838" s="107"/>
      <c r="S838" s="107"/>
      <c r="T838" s="107"/>
      <c r="W838" s="107"/>
    </row>
    <row r="839" spans="8:23" s="2" customFormat="1">
      <c r="H839" s="66"/>
      <c r="R839" s="107"/>
      <c r="S839" s="107"/>
      <c r="T839" s="107"/>
      <c r="W839" s="107"/>
    </row>
    <row r="840" spans="8:23" s="2" customFormat="1">
      <c r="H840" s="66"/>
      <c r="R840" s="107"/>
      <c r="S840" s="107"/>
      <c r="T840" s="107"/>
      <c r="W840" s="107"/>
    </row>
    <row r="841" spans="8:23" s="2" customFormat="1">
      <c r="H841" s="66"/>
      <c r="R841" s="107"/>
      <c r="S841" s="107"/>
      <c r="T841" s="107"/>
      <c r="W841" s="107"/>
    </row>
    <row r="842" spans="8:23" s="2" customFormat="1">
      <c r="H842" s="66"/>
      <c r="R842" s="107"/>
      <c r="S842" s="107"/>
      <c r="T842" s="107"/>
      <c r="W842" s="107"/>
    </row>
    <row r="843" spans="8:23" s="2" customFormat="1">
      <c r="H843" s="66"/>
      <c r="R843" s="107"/>
      <c r="S843" s="107"/>
      <c r="T843" s="107"/>
      <c r="W843" s="107"/>
    </row>
    <row r="844" spans="8:23" s="2" customFormat="1">
      <c r="H844" s="66"/>
      <c r="R844" s="107"/>
      <c r="S844" s="107"/>
      <c r="T844" s="107"/>
      <c r="W844" s="107"/>
    </row>
    <row r="845" spans="8:23" s="2" customFormat="1">
      <c r="H845" s="66"/>
      <c r="R845" s="107"/>
      <c r="S845" s="107"/>
      <c r="T845" s="107"/>
      <c r="W845" s="107"/>
    </row>
    <row r="846" spans="8:23" s="2" customFormat="1">
      <c r="H846" s="66"/>
      <c r="R846" s="107"/>
      <c r="S846" s="107"/>
      <c r="T846" s="107"/>
      <c r="W846" s="107"/>
    </row>
    <row r="847" spans="8:23" s="2" customFormat="1">
      <c r="H847" s="66"/>
      <c r="R847" s="107"/>
      <c r="S847" s="107"/>
      <c r="T847" s="107"/>
      <c r="W847" s="107"/>
    </row>
    <row r="848" spans="8:23" s="2" customFormat="1">
      <c r="H848" s="66"/>
      <c r="R848" s="107"/>
      <c r="S848" s="107"/>
      <c r="T848" s="107"/>
      <c r="W848" s="107"/>
    </row>
    <row r="849" spans="8:23" s="2" customFormat="1">
      <c r="H849" s="66"/>
      <c r="R849" s="107"/>
      <c r="S849" s="107"/>
      <c r="T849" s="107"/>
      <c r="W849" s="107"/>
    </row>
    <row r="850" spans="8:23" s="2" customFormat="1">
      <c r="H850" s="66"/>
      <c r="R850" s="107"/>
      <c r="S850" s="107"/>
      <c r="T850" s="107"/>
      <c r="W850" s="107"/>
    </row>
    <row r="851" spans="8:23" s="2" customFormat="1">
      <c r="H851" s="66"/>
      <c r="R851" s="107"/>
      <c r="S851" s="107"/>
      <c r="T851" s="107"/>
      <c r="W851" s="107"/>
    </row>
    <row r="852" spans="8:23" s="2" customFormat="1">
      <c r="H852" s="66"/>
      <c r="R852" s="107"/>
      <c r="S852" s="107"/>
      <c r="T852" s="107"/>
      <c r="W852" s="107"/>
    </row>
    <row r="853" spans="8:23" s="2" customFormat="1">
      <c r="H853" s="66"/>
      <c r="R853" s="107"/>
      <c r="S853" s="107"/>
      <c r="T853" s="107"/>
      <c r="W853" s="107"/>
    </row>
    <row r="854" spans="8:23" s="2" customFormat="1">
      <c r="H854" s="66"/>
      <c r="R854" s="107"/>
      <c r="S854" s="107"/>
      <c r="T854" s="107"/>
      <c r="W854" s="107"/>
    </row>
    <row r="855" spans="8:23" s="2" customFormat="1">
      <c r="H855" s="66"/>
      <c r="R855" s="107"/>
      <c r="S855" s="107"/>
      <c r="T855" s="107"/>
      <c r="W855" s="107"/>
    </row>
    <row r="856" spans="8:23" s="2" customFormat="1">
      <c r="H856" s="66"/>
      <c r="R856" s="107"/>
      <c r="S856" s="107"/>
      <c r="T856" s="107"/>
      <c r="W856" s="107"/>
    </row>
    <row r="857" spans="8:23" s="2" customFormat="1">
      <c r="H857" s="66"/>
      <c r="R857" s="107"/>
      <c r="S857" s="107"/>
      <c r="T857" s="107"/>
      <c r="W857" s="107"/>
    </row>
    <row r="858" spans="8:23" s="2" customFormat="1">
      <c r="H858" s="66"/>
      <c r="R858" s="107"/>
      <c r="S858" s="107"/>
      <c r="T858" s="107"/>
      <c r="W858" s="107"/>
    </row>
    <row r="859" spans="8:23" s="2" customFormat="1">
      <c r="H859" s="66"/>
      <c r="R859" s="107"/>
      <c r="S859" s="107"/>
      <c r="T859" s="107"/>
      <c r="W859" s="107"/>
    </row>
    <row r="860" spans="8:23" s="2" customFormat="1">
      <c r="H860" s="66"/>
      <c r="R860" s="107"/>
      <c r="S860" s="107"/>
      <c r="T860" s="107"/>
      <c r="W860" s="107"/>
    </row>
    <row r="861" spans="8:23" s="2" customFormat="1">
      <c r="H861" s="66"/>
      <c r="R861" s="107"/>
      <c r="S861" s="107"/>
      <c r="T861" s="107"/>
      <c r="W861" s="107"/>
    </row>
    <row r="862" spans="8:23" s="2" customFormat="1">
      <c r="H862" s="66"/>
      <c r="R862" s="107"/>
      <c r="S862" s="107"/>
      <c r="T862" s="107"/>
      <c r="W862" s="107"/>
    </row>
    <row r="863" spans="8:23" s="2" customFormat="1">
      <c r="H863" s="66"/>
      <c r="R863" s="107"/>
      <c r="S863" s="107"/>
      <c r="T863" s="107"/>
      <c r="W863" s="107"/>
    </row>
    <row r="864" spans="8:23" s="2" customFormat="1">
      <c r="H864" s="66"/>
      <c r="R864" s="107"/>
      <c r="S864" s="107"/>
      <c r="T864" s="107"/>
      <c r="W864" s="107"/>
    </row>
    <row r="865" spans="8:23" s="2" customFormat="1">
      <c r="H865" s="66"/>
      <c r="R865" s="107"/>
      <c r="S865" s="107"/>
      <c r="T865" s="107"/>
      <c r="W865" s="107"/>
    </row>
    <row r="866" spans="8:23" s="2" customFormat="1">
      <c r="H866" s="66"/>
      <c r="R866" s="107"/>
      <c r="S866" s="107"/>
      <c r="T866" s="107"/>
      <c r="W866" s="107"/>
    </row>
    <row r="867" spans="8:23" s="2" customFormat="1">
      <c r="H867" s="66"/>
      <c r="R867" s="107"/>
      <c r="S867" s="107"/>
      <c r="T867" s="107"/>
      <c r="W867" s="107"/>
    </row>
    <row r="868" spans="8:23" s="2" customFormat="1">
      <c r="H868" s="66"/>
      <c r="R868" s="107"/>
      <c r="S868" s="107"/>
      <c r="T868" s="107"/>
      <c r="W868" s="107"/>
    </row>
    <row r="869" spans="8:23" s="2" customFormat="1">
      <c r="H869" s="66"/>
      <c r="R869" s="107"/>
      <c r="S869" s="107"/>
      <c r="T869" s="107"/>
      <c r="W869" s="107"/>
    </row>
    <row r="870" spans="8:23" s="2" customFormat="1">
      <c r="H870" s="66"/>
      <c r="R870" s="107"/>
      <c r="S870" s="107"/>
      <c r="T870" s="107"/>
      <c r="W870" s="107"/>
    </row>
    <row r="871" spans="8:23" s="2" customFormat="1">
      <c r="H871" s="66"/>
      <c r="R871" s="107"/>
      <c r="S871" s="107"/>
      <c r="T871" s="107"/>
      <c r="W871" s="107"/>
    </row>
    <row r="872" spans="8:23" s="2" customFormat="1">
      <c r="H872" s="66"/>
      <c r="R872" s="107"/>
      <c r="S872" s="107"/>
      <c r="T872" s="107"/>
      <c r="W872" s="107"/>
    </row>
    <row r="873" spans="8:23" s="2" customFormat="1">
      <c r="H873" s="66"/>
      <c r="R873" s="107"/>
      <c r="S873" s="107"/>
      <c r="T873" s="107"/>
      <c r="W873" s="107"/>
    </row>
    <row r="874" spans="8:23" s="2" customFormat="1">
      <c r="H874" s="66"/>
      <c r="R874" s="107"/>
      <c r="S874" s="107"/>
      <c r="T874" s="107"/>
      <c r="W874" s="107"/>
    </row>
    <row r="875" spans="8:23" s="2" customFormat="1">
      <c r="H875" s="66"/>
      <c r="R875" s="107"/>
      <c r="S875" s="107"/>
      <c r="T875" s="107"/>
      <c r="W875" s="107"/>
    </row>
    <row r="876" spans="8:23" s="2" customFormat="1">
      <c r="H876" s="66"/>
      <c r="R876" s="107"/>
      <c r="S876" s="107"/>
      <c r="T876" s="107"/>
      <c r="W876" s="107"/>
    </row>
    <row r="877" spans="8:23" s="2" customFormat="1">
      <c r="H877" s="66"/>
      <c r="R877" s="107"/>
      <c r="S877" s="107"/>
      <c r="T877" s="107"/>
      <c r="W877" s="107"/>
    </row>
    <row r="878" spans="8:23" s="2" customFormat="1">
      <c r="H878" s="66"/>
      <c r="R878" s="107"/>
      <c r="S878" s="107"/>
      <c r="T878" s="107"/>
      <c r="W878" s="107"/>
    </row>
    <row r="879" spans="8:23" s="2" customFormat="1">
      <c r="H879" s="66"/>
      <c r="R879" s="107"/>
      <c r="S879" s="107"/>
      <c r="T879" s="107"/>
      <c r="W879" s="107"/>
    </row>
    <row r="880" spans="8:23" s="2" customFormat="1">
      <c r="H880" s="66"/>
      <c r="R880" s="107"/>
      <c r="S880" s="107"/>
      <c r="T880" s="107"/>
      <c r="W880" s="107"/>
    </row>
    <row r="881" spans="8:23" s="2" customFormat="1">
      <c r="H881" s="66"/>
      <c r="R881" s="107"/>
      <c r="S881" s="107"/>
      <c r="T881" s="107"/>
      <c r="W881" s="107"/>
    </row>
    <row r="882" spans="8:23" s="2" customFormat="1">
      <c r="H882" s="66"/>
      <c r="R882" s="107"/>
      <c r="S882" s="107"/>
      <c r="T882" s="107"/>
      <c r="W882" s="107"/>
    </row>
    <row r="883" spans="8:23" s="2" customFormat="1">
      <c r="H883" s="66"/>
      <c r="R883" s="107"/>
      <c r="S883" s="107"/>
      <c r="T883" s="107"/>
      <c r="W883" s="107"/>
    </row>
    <row r="884" spans="8:23" s="2" customFormat="1">
      <c r="H884" s="66"/>
      <c r="R884" s="107"/>
      <c r="S884" s="107"/>
      <c r="T884" s="107"/>
      <c r="W884" s="107"/>
    </row>
  </sheetData>
  <sheetProtection sheet="1" objects="1" scenarios="1"/>
  <mergeCells count="2">
    <mergeCell ref="Q3:W3"/>
    <mergeCell ref="C3:O3"/>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2358F-BC33-8A46-A6E5-EF7F1F820F46}">
  <dimension ref="A1:CP1000"/>
  <sheetViews>
    <sheetView zoomScaleNormal="100" workbookViewId="0">
      <selection activeCell="C3" sqref="C3:BQ3"/>
    </sheetView>
  </sheetViews>
  <sheetFormatPr baseColWidth="10" defaultRowHeight="14.5"/>
  <cols>
    <col min="2" max="2" width="2.453125" style="2" customWidth="1"/>
    <col min="70" max="70" width="2.453125" style="2" customWidth="1"/>
    <col min="71" max="94" width="10.81640625" style="147"/>
  </cols>
  <sheetData>
    <row r="1" spans="1:70" ht="15" thickBot="1">
      <c r="A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row>
    <row r="2" spans="1:70" ht="15" thickBot="1">
      <c r="A2" s="147"/>
      <c r="B2" s="36"/>
      <c r="C2" s="37"/>
      <c r="D2" s="37"/>
      <c r="E2" s="37"/>
      <c r="F2" s="37"/>
      <c r="G2" s="37"/>
      <c r="H2" s="37"/>
      <c r="I2" s="37"/>
      <c r="J2" s="37"/>
      <c r="K2" s="37"/>
      <c r="L2" s="37"/>
      <c r="M2" s="37"/>
      <c r="N2" s="6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8"/>
    </row>
    <row r="3" spans="1:70" ht="25.5" thickBot="1">
      <c r="A3" s="147"/>
      <c r="B3" s="39"/>
      <c r="C3" s="240" t="s">
        <v>28</v>
      </c>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2"/>
      <c r="BR3" s="40"/>
    </row>
    <row r="4" spans="1:70">
      <c r="A4" s="147"/>
      <c r="B4" s="39"/>
      <c r="C4" s="29"/>
      <c r="D4" s="29"/>
      <c r="E4" s="29"/>
      <c r="F4" s="29"/>
      <c r="G4" s="29"/>
      <c r="H4" s="29"/>
      <c r="I4" s="29"/>
      <c r="J4" s="29"/>
      <c r="K4" s="29"/>
      <c r="L4" s="29"/>
      <c r="M4" s="29"/>
      <c r="N4" s="22"/>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40"/>
    </row>
    <row r="5" spans="1:70" ht="115">
      <c r="A5" s="147"/>
      <c r="B5" s="70"/>
      <c r="C5" s="71" t="s">
        <v>33</v>
      </c>
      <c r="D5" s="132" t="s">
        <v>173</v>
      </c>
      <c r="E5" s="132" t="s">
        <v>347</v>
      </c>
      <c r="F5" s="132" t="s">
        <v>346</v>
      </c>
      <c r="G5" s="132" t="s">
        <v>340</v>
      </c>
      <c r="H5" s="132" t="s">
        <v>341</v>
      </c>
      <c r="I5" s="132" t="s">
        <v>342</v>
      </c>
      <c r="J5" s="132" t="s">
        <v>343</v>
      </c>
      <c r="K5" s="132" t="s">
        <v>344</v>
      </c>
      <c r="L5" s="132" t="s">
        <v>345</v>
      </c>
      <c r="M5" s="132" t="s">
        <v>394</v>
      </c>
      <c r="N5" s="132" t="s">
        <v>177</v>
      </c>
      <c r="O5" s="132" t="s">
        <v>188</v>
      </c>
      <c r="P5" s="169" t="s">
        <v>380</v>
      </c>
      <c r="Q5" s="169" t="s">
        <v>381</v>
      </c>
      <c r="R5" s="169" t="s">
        <v>382</v>
      </c>
      <c r="S5" s="169" t="s">
        <v>383</v>
      </c>
      <c r="T5" s="169" t="s">
        <v>384</v>
      </c>
      <c r="U5" s="169" t="s">
        <v>385</v>
      </c>
      <c r="V5" s="133" t="s">
        <v>386</v>
      </c>
      <c r="W5" s="169" t="s">
        <v>387</v>
      </c>
      <c r="X5" s="169" t="s">
        <v>388</v>
      </c>
      <c r="Y5" s="169" t="s">
        <v>389</v>
      </c>
      <c r="Z5" s="169" t="s">
        <v>390</v>
      </c>
      <c r="AA5" s="169" t="s">
        <v>391</v>
      </c>
      <c r="AB5" s="169" t="s">
        <v>392</v>
      </c>
      <c r="AC5" s="169" t="s">
        <v>393</v>
      </c>
      <c r="AD5" s="132" t="s">
        <v>179</v>
      </c>
      <c r="AE5" s="132" t="s">
        <v>189</v>
      </c>
      <c r="AF5" s="132" t="s">
        <v>190</v>
      </c>
      <c r="AG5" s="71" t="s">
        <v>193</v>
      </c>
      <c r="AH5" s="71" t="s">
        <v>222</v>
      </c>
      <c r="AI5" s="71" t="s">
        <v>235</v>
      </c>
      <c r="AJ5" s="71" t="s">
        <v>216</v>
      </c>
      <c r="AK5" s="71" t="s">
        <v>191</v>
      </c>
      <c r="AL5" s="71" t="s">
        <v>192</v>
      </c>
      <c r="AM5" s="71" t="s">
        <v>194</v>
      </c>
      <c r="AN5" s="71" t="s">
        <v>195</v>
      </c>
      <c r="AO5" s="71" t="s">
        <v>196</v>
      </c>
      <c r="AP5" s="71" t="s">
        <v>197</v>
      </c>
      <c r="AQ5" s="71" t="s">
        <v>198</v>
      </c>
      <c r="AR5" s="71" t="s">
        <v>199</v>
      </c>
      <c r="AS5" s="71" t="s">
        <v>200</v>
      </c>
      <c r="AT5" s="71" t="s">
        <v>201</v>
      </c>
      <c r="AU5" s="71" t="s">
        <v>395</v>
      </c>
      <c r="AV5" s="71" t="s">
        <v>426</v>
      </c>
      <c r="AW5" s="169" t="s">
        <v>380</v>
      </c>
      <c r="AX5" s="169" t="s">
        <v>381</v>
      </c>
      <c r="AY5" s="169" t="s">
        <v>412</v>
      </c>
      <c r="AZ5" s="169" t="s">
        <v>413</v>
      </c>
      <c r="BA5" s="169" t="s">
        <v>414</v>
      </c>
      <c r="BB5" s="169" t="s">
        <v>415</v>
      </c>
      <c r="BC5" s="169" t="s">
        <v>416</v>
      </c>
      <c r="BD5" s="169" t="s">
        <v>417</v>
      </c>
      <c r="BE5" s="169" t="s">
        <v>418</v>
      </c>
      <c r="BF5" s="169" t="s">
        <v>419</v>
      </c>
      <c r="BG5" s="169" t="s">
        <v>420</v>
      </c>
      <c r="BH5" s="169" t="s">
        <v>421</v>
      </c>
      <c r="BI5" s="169" t="s">
        <v>422</v>
      </c>
      <c r="BJ5" s="169" t="s">
        <v>423</v>
      </c>
      <c r="BK5" s="71" t="s">
        <v>425</v>
      </c>
      <c r="BL5" s="71" t="s">
        <v>427</v>
      </c>
      <c r="BM5" s="71" t="s">
        <v>433</v>
      </c>
      <c r="BN5" s="71" t="s">
        <v>432</v>
      </c>
      <c r="BO5" s="132" t="s">
        <v>181</v>
      </c>
      <c r="BP5" s="132" t="s">
        <v>182</v>
      </c>
      <c r="BQ5" s="132" t="s">
        <v>183</v>
      </c>
      <c r="BR5" s="73"/>
    </row>
    <row r="6" spans="1:70">
      <c r="A6" s="147"/>
      <c r="B6" s="39"/>
      <c r="C6" s="75">
        <v>0</v>
      </c>
      <c r="D6" s="146"/>
      <c r="E6" s="76"/>
      <c r="F6" s="76"/>
      <c r="G6" s="76"/>
      <c r="H6" s="76"/>
      <c r="I6" s="76"/>
      <c r="J6" s="76"/>
      <c r="K6" s="76"/>
      <c r="L6" s="76"/>
      <c r="M6" s="76"/>
      <c r="N6" s="76">
        <f>Constantes!$D$13</f>
        <v>48.75</v>
      </c>
      <c r="O6" s="76">
        <f>MAX(0,(N6-Constantes!$D$14)*(1-EXP(-Constantes!$D$22)))</f>
        <v>1.2773876653182901</v>
      </c>
      <c r="P6" s="170">
        <f>Entradas!$E$78</f>
        <v>0</v>
      </c>
      <c r="Q6" s="170">
        <f>8000*Entradas!$D$26*P6/Constantes!$E$45</f>
        <v>0</v>
      </c>
      <c r="R6" s="171"/>
      <c r="S6" s="171"/>
      <c r="T6" s="170"/>
      <c r="U6" s="170"/>
      <c r="V6" s="146"/>
      <c r="W6" s="170"/>
      <c r="X6" s="170"/>
      <c r="Y6" s="170"/>
      <c r="Z6" s="170">
        <f>1000*Entradas!$E$78+Constantes!$E$34</f>
        <v>58.5</v>
      </c>
      <c r="AA6" s="2"/>
      <c r="AB6" s="170"/>
      <c r="AC6" s="170"/>
      <c r="AD6" s="76">
        <f>Constantes!$D$13</f>
        <v>48.75</v>
      </c>
      <c r="AE6" s="76">
        <f>MAX(0,(AD6-Constantes!$D$13)*(1-EXP(-Constantes!$D$23)))</f>
        <v>0</v>
      </c>
      <c r="AF6" s="76"/>
      <c r="AG6" s="76"/>
      <c r="AH6" s="76"/>
      <c r="AI6" s="76"/>
      <c r="AJ6" s="76"/>
      <c r="AK6" s="76"/>
      <c r="AL6" s="76"/>
      <c r="AM6" s="76"/>
      <c r="AN6" s="76">
        <f>MAX(0,O6*Escenarios!$E$13/Escenarios!$E$16-AM6)</f>
        <v>1.1241011454800953</v>
      </c>
      <c r="AO6" s="76"/>
      <c r="AP6" s="76">
        <f t="shared" ref="AP6:AP69" si="0">MAX(0,AE6-AO6)</f>
        <v>0</v>
      </c>
      <c r="AQ6" s="76"/>
      <c r="AR6" s="76"/>
      <c r="AS6" s="76"/>
      <c r="AT6" s="76"/>
      <c r="AU6" s="76">
        <f>Constantes!$D$13</f>
        <v>48.75</v>
      </c>
      <c r="AV6" s="76">
        <f>MAX(0,(AU6-Constantes!$D$13)*(1-EXP(-Constantes!$D$24)))</f>
        <v>0</v>
      </c>
      <c r="AW6" s="170">
        <f>Entradas!$E$111</f>
        <v>0</v>
      </c>
      <c r="AX6" s="170">
        <f>8000*Entradas!$D$26*AW6/Constantes!$E$45</f>
        <v>0</v>
      </c>
      <c r="AY6" s="171"/>
      <c r="AZ6" s="171"/>
      <c r="BA6" s="170"/>
      <c r="BB6" s="170"/>
      <c r="BC6" s="170"/>
      <c r="BD6" s="170"/>
      <c r="BE6" s="170"/>
      <c r="BF6" s="170"/>
      <c r="BG6" s="170">
        <f>IF(Escenarios!$E$17&gt;0,Entradas!$E$111*Escenarios!$E$17/2,0)</f>
        <v>0</v>
      </c>
      <c r="BH6" s="170"/>
      <c r="BI6" s="170"/>
      <c r="BJ6" s="170"/>
      <c r="BK6" s="76">
        <f>Constantes!$D$13</f>
        <v>48.75</v>
      </c>
      <c r="BL6" s="76">
        <f>MAX(0,(BK6-Constantes!$D$13)*(1-EXP(-Constantes!$D$23)))</f>
        <v>0</v>
      </c>
      <c r="BM6" s="76">
        <f>AP6+AV6+BL6</f>
        <v>0</v>
      </c>
      <c r="BN6" s="76"/>
      <c r="BO6" s="76"/>
      <c r="BP6" s="76"/>
      <c r="BQ6" s="76"/>
      <c r="BR6" s="40"/>
    </row>
    <row r="7" spans="1:70">
      <c r="A7" s="147"/>
      <c r="B7" s="39"/>
      <c r="C7" s="75">
        <v>1</v>
      </c>
      <c r="D7" s="146">
        <f>ETo!$I6*((1-Constantes!$E$19)*ETo!$K6+ETo!$L6)</f>
        <v>4.3905871742119427</v>
      </c>
      <c r="E7" s="76">
        <f>MIN(D7*Constantes!$E$17,0.8*(N6+Observaciones!$F6-F7-M7-Constantes!$D$14))</f>
        <v>2.1466121310008583</v>
      </c>
      <c r="F7" s="76">
        <f>IF(Observaciones!$F6&gt;0.05*Constantes!$E$18,((Observaciones!$F6-0.05*Constantes!$E$18)^2)/(Observaciones!$F6+0.95*Constantes!$E$18),0)</f>
        <v>1.5041441265922859</v>
      </c>
      <c r="G7" s="76">
        <f>IF(Escenarios!$E$11&gt;0,(F7*Escenarios!$E$16*10000)/1000,0)</f>
        <v>3760.3603164807146</v>
      </c>
      <c r="H7" s="76">
        <f>IF(Escenarios!$E$11&gt;0,(Observaciones!$F6*Constantes!$E$29)/1000,0)</f>
        <v>201</v>
      </c>
      <c r="I7" s="76">
        <f>IF(Escenarios!$E$11&gt;0,(D7*Constantes!$E$29)/1000,0)</f>
        <v>43.905871742119423</v>
      </c>
      <c r="J7" s="76">
        <f>IF(Escenarios!$E$11&gt;0,MAX(0,G7+H7-I7),0)</f>
        <v>3917.4544447385952</v>
      </c>
      <c r="K7" s="76">
        <f>IF(Escenarios!$E$11&gt;0,IF(J7&gt;Constantes!$E$30,1000*((J7-Constantes!$E$30)/(Escenarios!$E$16*10000)),0),F7)</f>
        <v>1.0522758955424969</v>
      </c>
      <c r="L7" s="76">
        <f>IF(Escenarios!$E$11&gt;0,I7*1000/Escenarios!$E$16/10000+E7,E7)</f>
        <v>2.164174479697706</v>
      </c>
      <c r="M7" s="76">
        <f>MAX(0,N6+Observaciones!$F6-K7-Constantes!$D$13)</f>
        <v>19.047724104457501</v>
      </c>
      <c r="N7" s="76">
        <f>N6+Observaciones!$F6-K7-L7-M7-O6</f>
        <v>45.308437854984007</v>
      </c>
      <c r="O7" s="76">
        <f>MAX(0,(N7-Constantes!$D$14)*(1-EXP(-Constantes!$D$22)))</f>
        <v>1.1601554244257624</v>
      </c>
      <c r="P7" s="170">
        <f>P6+(Entradas!$E$83*M7-Q6)/(800*Entradas!$D$25)</f>
        <v>0</v>
      </c>
      <c r="Q7" s="170">
        <f>8000*Entradas!$D$26*P7/Constantes!$E$45</f>
        <v>0</v>
      </c>
      <c r="R7" s="170">
        <f>IF(Escenarios!$E$14&gt;0,K7*Escenarios!$E$13/Escenarios!$E$14,0)</f>
        <v>7.7166899006449778</v>
      </c>
      <c r="S7" s="170">
        <f>IF(Escenarios!$E$14&gt;0,Q7*Escenarios!$E$13/Escenarios!$E$14,0)</f>
        <v>0</v>
      </c>
      <c r="T7" s="170">
        <f>IF(Escenarios!$E$14&gt;0,Observaciones!$I6,0)</f>
        <v>0</v>
      </c>
      <c r="U7" s="170">
        <f>IF(Escenarios!$E$14&gt;0,MAX(0,Constantes!$E$36/((Z6+R7+S7+T7+Observaciones!$F6)^2)+Entradas!$E$77),0)</f>
        <v>1.6220183578611191</v>
      </c>
      <c r="V7" s="146">
        <f>IF(ETo!D6&gt;0,ETo!I6*((1-Entradas!$E$81)*ETo!K6+ETo!L6),0)</f>
        <v>4.0127079859557035</v>
      </c>
      <c r="W7" s="170">
        <f>IF(Escenarios!$E$14&gt;0,MIN(V7*1,0.8*(Z6+R7+S7+T7+Observaciones!$F6-U7-Constantes!$E$35)),0)</f>
        <v>4.0127079859557035</v>
      </c>
      <c r="X7" s="170">
        <f>IF(Escenarios!$E$14&gt;0,Observaciones!$J6,0)</f>
        <v>0</v>
      </c>
      <c r="Y7" s="170">
        <f>IF(Escenarios!$E$14&gt;0,MAX(0,Z6+R7+S7+T7+Observaciones!$F6-U7-W7-X7-Constantes!$E$33),0)</f>
        <v>0</v>
      </c>
      <c r="Z7" s="170">
        <f>Z6+R7+S7+T7+Observaciones!$F6-U7-W7-Y7</f>
        <v>80.681963556828151</v>
      </c>
      <c r="AA7" s="170">
        <f>IF(Escenarios!$E$14&gt;0,(Escenarios!$E$13*L7+Escenarios!$E$14*W7)/(Escenarios!$E$16),L7)</f>
        <v>2.3859985004486659</v>
      </c>
      <c r="AB7" s="170">
        <f>IF(Escenarios!$E$14&gt;0,(Escenarios!$E$14*Y7)/(Escenarios!$E$16),K7)</f>
        <v>0</v>
      </c>
      <c r="AC7" s="170">
        <f>IF(Escenarios!$E$14&gt;0,(Escenarios!$E$13*M7+Escenarios!$E$14*U7)/(Escenarios!$E$16),M7)</f>
        <v>16.956639414865936</v>
      </c>
      <c r="AD7" s="76">
        <f t="shared" ref="AD7:AD70" si="1">AD6+AC7-AE6</f>
        <v>65.706639414865933</v>
      </c>
      <c r="AE7" s="76">
        <f>MAX(0,(AD7-Constantes!$D$13)*(1-EXP(-Constantes!$D$23)))</f>
        <v>0.16707780691152418</v>
      </c>
      <c r="AF7" s="76">
        <f>AB7+O7*Escenarios!$E$13/Escenarios!$E$16+AE7</f>
        <v>1.188014580406195</v>
      </c>
      <c r="AG7" s="76">
        <f>IF(Entradas!$E$91&gt;0,IF(AF7-Escenarios!$E$38&lt;=0,0,IF(AF7-Escenarios!$E$38&gt;Escenarios!$E$37,Escenarios!$E$37,AF7-Escenarios!$E$38)),0)</f>
        <v>0</v>
      </c>
      <c r="AH7" s="76">
        <f>AG7*Entradas!$E$99</f>
        <v>0</v>
      </c>
      <c r="AI7" s="76">
        <f>IF(Entradas!$E$91&gt;0,D7*Entradas!$D$23/Escenarios!$E$16,0)</f>
        <v>0</v>
      </c>
      <c r="AJ7" s="76">
        <f>IF(Entradas!$E$91&gt;0,Entradas!$D$24*Entradas!$D$22/Escenarios!$E$16,0)</f>
        <v>0</v>
      </c>
      <c r="AK7" s="76">
        <f>AA7+AI7</f>
        <v>2.3859985004486659</v>
      </c>
      <c r="AL7" s="76">
        <f>MAX(0,AB7-AG7)</f>
        <v>0</v>
      </c>
      <c r="AM7" s="76">
        <f t="shared" ref="AM7:AM70" si="2">AG7+AL7-AB7</f>
        <v>0</v>
      </c>
      <c r="AN7" s="76">
        <f>MAX(0,O7*Escenarios!$E$13/Escenarios!$E$16-AM7)</f>
        <v>1.0209367734946708</v>
      </c>
      <c r="AO7" s="76">
        <f>AM7+AN7-O7*Escenarios!$E$13/Escenarios!$E$16</f>
        <v>0</v>
      </c>
      <c r="AP7" s="76">
        <f t="shared" si="0"/>
        <v>0.16707780691152418</v>
      </c>
      <c r="AQ7" s="76">
        <f t="shared" ref="AQ7:AQ70" si="3">AO7+AP7-AE7</f>
        <v>0</v>
      </c>
      <c r="AR7" s="76">
        <f t="shared" ref="AR7:AR70" si="4">AL7+AN7+AP7+AH7</f>
        <v>1.188014580406195</v>
      </c>
      <c r="AS7" s="76">
        <f t="shared" ref="AS7:AS70" si="5">MAX(0,AG7-AH7-AI7-AJ7)</f>
        <v>0</v>
      </c>
      <c r="AT7" s="76">
        <f t="shared" ref="AT7:AT70" si="6">AC7+AS7</f>
        <v>16.956639414865936</v>
      </c>
      <c r="AU7" s="76">
        <f t="shared" ref="AU7:AU70" si="7">AU6+AS7-AV6</f>
        <v>48.75</v>
      </c>
      <c r="AV7" s="76">
        <f>MAX(0,(AU7-Constantes!$D$13)*(1-EXP(-Constantes!$D$24)))</f>
        <v>0</v>
      </c>
      <c r="AW7" s="170">
        <f>AW6+(Entradas!$E$112*AT7-AX6)/(800*Entradas!$D$25)</f>
        <v>0</v>
      </c>
      <c r="AX7" s="170">
        <f>8000*Entradas!$D$26*AW7/Constantes!$E$45</f>
        <v>0</v>
      </c>
      <c r="AY7" s="170">
        <f>IF(Escenarios!$E$17&gt;0,10*Escenarios!$E$16*AL7,0)</f>
        <v>0</v>
      </c>
      <c r="AZ7" s="170">
        <f>IF(Escenarios!$E$17&gt;0,10*Escenarios!$E$16*AX7,0)</f>
        <v>0</v>
      </c>
      <c r="BA7" s="170">
        <f>IF(Escenarios!$E$17&gt;0,0.001*Observaciones!$F6*Escenarios!$E$17,0)</f>
        <v>402.00000000000006</v>
      </c>
      <c r="BB7" s="170">
        <f>IF(Escenarios!$E$17&gt;0,Observaciones!$K6,0)</f>
        <v>0</v>
      </c>
      <c r="BC7" s="170">
        <f>IF(Escenarios!$E$17&gt;0,MIN(0.0005*ETo!$M6*Escenarios!$E$17*(BG6/Constantes!$E$40)^(2/3),BG6+AY7+AZ7+BA7+BB7),0)</f>
        <v>0</v>
      </c>
      <c r="BD7" s="170">
        <f>IF(Escenarios!$E$17&gt;0,MIN(Constantes!$E$39*(BG6/Constantes!$E$40)^(2/3),BG6+AY7+AZ7+BA7+BB7-BC7),0)</f>
        <v>0</v>
      </c>
      <c r="BE7" s="170">
        <f>IF(Escenarios!$E$17&gt;0,MIN(Entradas!$E$113,BG6+AY7+AZ7+BA7+BB7-BC7-BD7),0)</f>
        <v>1</v>
      </c>
      <c r="BF7" s="170">
        <f>IF(Escenarios!$E$17&gt;0,MAX(0,BG6+AY7+AZ7+BA7+BB7-BC7-BD7-BE7-Constantes!$E$40),0)</f>
        <v>0</v>
      </c>
      <c r="BG7" s="170">
        <f>BG6+AY7+AZ7+BA7+BB7-BF7-BC7-BD7-BE7</f>
        <v>401.00000000000006</v>
      </c>
      <c r="BH7" s="170">
        <f>(Escenarios!$E$16*AK7+0.1*BC7)/(Escenarios!$E$19)</f>
        <v>2.3670620044133588</v>
      </c>
      <c r="BI7" s="170">
        <f>IF(Escenarios!$E$17&gt;0,BF7/10/Escenarios!$E$19,AL7)</f>
        <v>0</v>
      </c>
      <c r="BJ7" s="170">
        <f>(Escenarios!$E$16*AT7+0.1*BD7)/(Escenarios!$E$19)</f>
        <v>16.822062911573347</v>
      </c>
      <c r="BK7" s="76">
        <f>BK6+(0.1*BD7)/(Escenarios!$E$19)-BL6</f>
        <v>48.75</v>
      </c>
      <c r="BL7" s="76">
        <f>MAX(0,(BK7-Constantes!$D$13)*(1-EXP(-Constantes!$D$23)))</f>
        <v>0</v>
      </c>
      <c r="BM7" s="76">
        <f t="shared" ref="BM7:BM70" si="8">AP7+AV7+BL7</f>
        <v>0.16707780691152418</v>
      </c>
      <c r="BN7" s="76">
        <f>AN7+AP7+AV7+BI7+BL7</f>
        <v>1.188014580406195</v>
      </c>
      <c r="BO7" s="76">
        <f>0.0526*BI7*Observaciones!$F6^1.218</f>
        <v>0</v>
      </c>
      <c r="BP7" s="76">
        <f>BO7*Constantes!$E$51</f>
        <v>0</v>
      </c>
      <c r="BQ7" s="76">
        <f t="shared" ref="BQ7:BQ70" si="9">BP7*1000000/(BN7/1000*10000)</f>
        <v>0</v>
      </c>
      <c r="BR7" s="40"/>
    </row>
    <row r="8" spans="1:70">
      <c r="A8" s="147"/>
      <c r="B8" s="39"/>
      <c r="C8" s="75">
        <v>2</v>
      </c>
      <c r="D8" s="146">
        <f>ETo!$I7*((1-Constantes!$E$19)*ETo!$K7+ETo!$L7)</f>
        <v>4.3769840179453174</v>
      </c>
      <c r="E8" s="76">
        <f>MIN(D8*Constantes!$E$17,0.8*(N7+Observaciones!$F7-F8-M8-Constantes!$D$14))</f>
        <v>2.1399613804057336</v>
      </c>
      <c r="F8" s="76">
        <f>IF(Observaciones!$F7&gt;0.05*Constantes!$E$18,((Observaciones!$F7-0.05*Constantes!$E$18)^2)/(Observaciones!$F7+0.95*Constantes!$E$18),0)</f>
        <v>0</v>
      </c>
      <c r="G8" s="76">
        <f>IF(Escenarios!$E$11&gt;0,(F8*Escenarios!$E$16*10000)/1000,0)</f>
        <v>0</v>
      </c>
      <c r="H8" s="76">
        <f>IF(Escenarios!$E$11&gt;0,(Observaciones!$F7*Constantes!$E$29)/1000,0)</f>
        <v>8</v>
      </c>
      <c r="I8" s="76">
        <f>IF(Escenarios!$E$11&gt;0,(D8*Constantes!$E$29)/1000,0)</f>
        <v>43.769840179453176</v>
      </c>
      <c r="J8" s="76">
        <f>IF(Escenarios!$E$11&gt;0,MAX(0,G8+H8-I8),0)</f>
        <v>0</v>
      </c>
      <c r="K8" s="76">
        <f>IF(Escenarios!$E$11&gt;0,IF(J8&gt;Constantes!$E$30,1000*((J8-Constantes!$E$30)/(Escenarios!$E$16*10000)),0),F8)</f>
        <v>0</v>
      </c>
      <c r="L8" s="76">
        <f>IF(Escenarios!$E$11&gt;0,I8*1000/Escenarios!$E$16/10000+E8,E8)</f>
        <v>2.1574693164775147</v>
      </c>
      <c r="M8" s="76">
        <f>MAX(0,N7+Observaciones!$F7-K8-Constantes!$D$13)</f>
        <v>0</v>
      </c>
      <c r="N8" s="76">
        <f>N7+Observaciones!$F7-K8-L8-M8-O7</f>
        <v>42.790813114080727</v>
      </c>
      <c r="O8" s="76">
        <f>MAX(0,(N8-Constantes!$D$14)*(1-EXP(-Constantes!$D$22)))</f>
        <v>1.0743958833609621</v>
      </c>
      <c r="P8" s="170">
        <f>P7+(Entradas!$E$83*M8-Q7)/(800*Entradas!$D$25)</f>
        <v>0</v>
      </c>
      <c r="Q8" s="170">
        <f>8000*Entradas!$D$26*P8/Constantes!$E$45</f>
        <v>0</v>
      </c>
      <c r="R8" s="170">
        <f>IF(Escenarios!$E$14&gt;0,K8*Escenarios!$E$13/Escenarios!$E$14,0)</f>
        <v>0</v>
      </c>
      <c r="S8" s="170">
        <f>IF(Escenarios!$E$14&gt;0,Q8*Escenarios!$E$13/Escenarios!$E$14,0)</f>
        <v>0</v>
      </c>
      <c r="T8" s="170">
        <f>IF(Escenarios!$E$14&gt;0,Observaciones!$I7,0)</f>
        <v>0</v>
      </c>
      <c r="U8" s="170">
        <f>IF(Escenarios!$E$14&gt;0,MAX(0,Constantes!$E$36/((Z7+R8+S8+T8+Observaciones!$F7)^2)+Entradas!$E$77),0)</f>
        <v>1.4536421097170835</v>
      </c>
      <c r="V8" s="146">
        <f>IF(ETo!D7&gt;0,ETo!I7*((1-Entradas!$E$81)*ETo!K7+ETo!L7),0)</f>
        <v>4.0001264312471712</v>
      </c>
      <c r="W8" s="170">
        <f>IF(Escenarios!$E$14&gt;0,MIN(V8*1,0.8*(Z7+R8+S8+T8+Observaciones!$F7-U8-Constantes!$E$35)),0)</f>
        <v>4.0001264312471712</v>
      </c>
      <c r="X8" s="170">
        <f>IF(Escenarios!$E$14&gt;0,Observaciones!$J7,0)</f>
        <v>0</v>
      </c>
      <c r="Y8" s="170">
        <f>IF(Escenarios!$E$14&gt;0,MAX(0,Z7+R8+S8+T8+Observaciones!$F7-U8-W8-X8-Constantes!$E$33),0)</f>
        <v>0</v>
      </c>
      <c r="Z8" s="170">
        <f>Z7+R8+S8+T8+Observaciones!$F7-U8-W8-Y8</f>
        <v>76.028195015863901</v>
      </c>
      <c r="AA8" s="170">
        <f>IF(Escenarios!$E$14&gt;0,(Escenarios!$E$13*L8+Escenarios!$E$14*W8)/(Escenarios!$E$16),L8)</f>
        <v>2.3785881702498735</v>
      </c>
      <c r="AB8" s="170">
        <f>IF(Escenarios!$E$14&gt;0,(Escenarios!$E$14*Y8)/(Escenarios!$E$16),K8)</f>
        <v>0</v>
      </c>
      <c r="AC8" s="170">
        <f>IF(Escenarios!$E$14&gt;0,(Escenarios!$E$13*M8+Escenarios!$E$14*U8)/(Escenarios!$E$16),M8)</f>
        <v>0.17443705316605002</v>
      </c>
      <c r="AD8" s="76">
        <f t="shared" si="1"/>
        <v>65.713998661120456</v>
      </c>
      <c r="AE8" s="76">
        <f>MAX(0,(AD8-Constantes!$D$13)*(1-EXP(-Constantes!$D$23)))</f>
        <v>0.16715031931770588</v>
      </c>
      <c r="AF8" s="76">
        <f>AB8+O8*Escenarios!$E$13/Escenarios!$E$16+AE8</f>
        <v>1.1126186966753526</v>
      </c>
      <c r="AG8" s="76">
        <f>IF(Entradas!$E$91&gt;0,IF(AF8-Escenarios!$E$38&lt;=0,0,IF(AF8-Escenarios!$E$38&gt;Escenarios!$E$37,Escenarios!$E$37,AF8-Escenarios!$E$38)),0)</f>
        <v>0</v>
      </c>
      <c r="AH8" s="76">
        <f>AG8*Entradas!$E$99</f>
        <v>0</v>
      </c>
      <c r="AI8" s="76">
        <f>IF(Entradas!$E$91&gt;0,D8*Entradas!$D$23/Escenarios!$E$16,0)</f>
        <v>0</v>
      </c>
      <c r="AJ8" s="76">
        <f>IF(Entradas!$E$91&gt;0,Entradas!$D$24*Entradas!$D$22/Escenarios!$E$16,0)</f>
        <v>0</v>
      </c>
      <c r="AK8" s="76">
        <f t="shared" ref="AK8:AK71" si="10">AA8+AI8</f>
        <v>2.3785881702498735</v>
      </c>
      <c r="AL8" s="76">
        <f t="shared" ref="AL8:AL71" si="11">MAX(0,AB8-AG8)</f>
        <v>0</v>
      </c>
      <c r="AM8" s="76">
        <f t="shared" si="2"/>
        <v>0</v>
      </c>
      <c r="AN8" s="76">
        <f>MAX(0,O8*Escenarios!$E$13/Escenarios!$E$16-AM8)</f>
        <v>0.94546837735764666</v>
      </c>
      <c r="AO8" s="76">
        <f>AM8+AN8-O8*Escenarios!$E$13/Escenarios!$E$16</f>
        <v>0</v>
      </c>
      <c r="AP8" s="76">
        <f t="shared" si="0"/>
        <v>0.16715031931770588</v>
      </c>
      <c r="AQ8" s="76">
        <f t="shared" si="3"/>
        <v>0</v>
      </c>
      <c r="AR8" s="76">
        <f t="shared" si="4"/>
        <v>1.1126186966753526</v>
      </c>
      <c r="AS8" s="76">
        <f t="shared" si="5"/>
        <v>0</v>
      </c>
      <c r="AT8" s="76">
        <f t="shared" si="6"/>
        <v>0.17443705316605002</v>
      </c>
      <c r="AU8" s="76">
        <f t="shared" si="7"/>
        <v>48.75</v>
      </c>
      <c r="AV8" s="76">
        <f>MAX(0,(AU8-Constantes!$D$13)*(1-EXP(-Constantes!$D$24)))</f>
        <v>0</v>
      </c>
      <c r="AW8" s="170">
        <f>AW7+(Entradas!$E$112*AT8-AX7)/(800*Entradas!$D$25)</f>
        <v>0</v>
      </c>
      <c r="AX8" s="170">
        <f>8000*Entradas!$D$26*AW8/Constantes!$E$45</f>
        <v>0</v>
      </c>
      <c r="AY8" s="170">
        <f>IF(Escenarios!$E$17&gt;0,10*Escenarios!$E$16*AL8,0)</f>
        <v>0</v>
      </c>
      <c r="AZ8" s="170">
        <f>IF(Escenarios!$E$17&gt;0,10*Escenarios!$E$16*AX8,0)</f>
        <v>0</v>
      </c>
      <c r="BA8" s="170">
        <f>IF(Escenarios!$E$17&gt;0,0.001*Observaciones!$F7*Escenarios!$E$17,0)</f>
        <v>16</v>
      </c>
      <c r="BB8" s="170">
        <f>IF(Escenarios!$E$17&gt;0,Observaciones!$K7,0)</f>
        <v>0</v>
      </c>
      <c r="BC8" s="170">
        <f>IF(Escenarios!$E$17&gt;0,MIN(0.0005*ETo!$M7*Escenarios!$E$17*(BG7/Constantes!$E$40)^(2/3),BG7+AY8+AZ8+BA8+BB8),0)</f>
        <v>7.6297757537777429</v>
      </c>
      <c r="BD8" s="170">
        <f>IF(Escenarios!$E$17&gt;0,MIN(Constantes!$E$39*(BG7/Constantes!$E$40)^(2/3),BG7+AY8+AZ8+BA8+BB8-BC8),0)</f>
        <v>12.281377331391599</v>
      </c>
      <c r="BE8" s="170">
        <f>IF(Escenarios!$E$17&gt;0,MIN(Entradas!$E$113,BG7+AY8+AZ8+BA8+BB8-BC8-BD8),0)</f>
        <v>1</v>
      </c>
      <c r="BF8" s="170">
        <f>IF(Escenarios!$E$17&gt;0,MAX(0,BG7+AY8+AZ8+BA8+BB8-BC8-BD8-BE8-Constantes!$E$40),0)</f>
        <v>0</v>
      </c>
      <c r="BG8" s="170">
        <f t="shared" ref="BG8:BG71" si="12">BG7+AY8+AZ8+BA8+BB8-BF8-BC8-BD8-BE8</f>
        <v>396.08884691483075</v>
      </c>
      <c r="BH8" s="170">
        <f>(Escenarios!$E$16*AK8+0.1*BC8)/(Escenarios!$E$19)</f>
        <v>2.3627381751501835</v>
      </c>
      <c r="BI8" s="170">
        <f>IF(Escenarios!$E$17&gt;0,BF8/10/Escenarios!$E$19,AL8)</f>
        <v>0</v>
      </c>
      <c r="BJ8" s="170">
        <f>(Escenarios!$E$16*AT8+0.1*BD8)/(Escenarios!$E$19)</f>
        <v>0.17792619454226849</v>
      </c>
      <c r="BK8" s="76">
        <f>BK7+(0.1*BD8)/(Escenarios!$E$19)-BL7</f>
        <v>48.75487356243309</v>
      </c>
      <c r="BL8" s="76">
        <f>MAX(0,(BK8-Constantes!$D$13)*(1-EXP(-Constantes!$D$23)))</f>
        <v>4.8020371445372572E-5</v>
      </c>
      <c r="BM8" s="76">
        <f t="shared" si="8"/>
        <v>0.16719833968915127</v>
      </c>
      <c r="BN8" s="76">
        <f t="shared" ref="BN8:BN71" si="13">AN8+AP8+AV8+BI8+BL8</f>
        <v>1.1126667170467981</v>
      </c>
      <c r="BO8" s="76">
        <f>0.0526*BI8*Observaciones!$F7^1.218</f>
        <v>0</v>
      </c>
      <c r="BP8" s="76">
        <f>BO8*Constantes!$E$51</f>
        <v>0</v>
      </c>
      <c r="BQ8" s="76">
        <f t="shared" si="9"/>
        <v>0</v>
      </c>
      <c r="BR8" s="40"/>
    </row>
    <row r="9" spans="1:70">
      <c r="A9" s="147"/>
      <c r="B9" s="39"/>
      <c r="C9" s="75">
        <v>3</v>
      </c>
      <c r="D9" s="146">
        <f>ETo!$I8*((1-Constantes!$E$19)*ETo!$K8+ETo!$L8)</f>
        <v>4.4496513739453656</v>
      </c>
      <c r="E9" s="76">
        <f>MIN(D9*Constantes!$E$17,0.8*(N8+Observaciones!$F8-F9-M9-Constantes!$D$14))</f>
        <v>2.1754893455110977</v>
      </c>
      <c r="F9" s="76">
        <f>IF(Observaciones!$F8&gt;0.05*Constantes!$E$18,((Observaciones!$F8-0.05*Constantes!$E$18)^2)/(Observaciones!$F8+0.95*Constantes!$E$18),0)</f>
        <v>0.70971296901424996</v>
      </c>
      <c r="G9" s="76">
        <f>IF(Escenarios!$E$11&gt;0,(F9*Escenarios!$E$16*10000)/1000,0)</f>
        <v>1774.2824225356251</v>
      </c>
      <c r="H9" s="76">
        <f>IF(Escenarios!$E$11&gt;0,(Observaciones!$F8*Constantes!$E$29)/1000,0)</f>
        <v>155</v>
      </c>
      <c r="I9" s="76">
        <f>IF(Escenarios!$E$11&gt;0,(D9*Constantes!$E$29)/1000,0)</f>
        <v>44.496513739453661</v>
      </c>
      <c r="J9" s="76">
        <f>IF(Escenarios!$E$11&gt;0,MAX(0,G9+H9-I9),0)</f>
        <v>1884.7859087961715</v>
      </c>
      <c r="K9" s="76">
        <f>IF(Escenarios!$E$11&gt;0,IF(J9&gt;Constantes!$E$30,1000*((J9-Constantes!$E$30)/(Escenarios!$E$16*10000)),0),F9)</f>
        <v>0.23920848116552743</v>
      </c>
      <c r="L9" s="76">
        <f>IF(Escenarios!$E$11&gt;0,I9*1000/Escenarios!$E$16/10000+E9,E9)</f>
        <v>2.1932879510068792</v>
      </c>
      <c r="M9" s="76">
        <f>MAX(0,N8+Observaciones!$F8-K9-Constantes!$D$13)</f>
        <v>9.3016046329152005</v>
      </c>
      <c r="N9" s="76">
        <f>N8+Observaciones!$F8-K9-L9-M9-O8</f>
        <v>45.482316165632156</v>
      </c>
      <c r="O9" s="76">
        <f>MAX(0,(N9-Constantes!$D$14)*(1-EXP(-Constantes!$D$22)))</f>
        <v>1.1660783580067844</v>
      </c>
      <c r="P9" s="170">
        <f>P8+(Entradas!$E$83*M9-Q8)/(800*Entradas!$D$25)</f>
        <v>0</v>
      </c>
      <c r="Q9" s="170">
        <f>8000*Entradas!$D$26*P9/Constantes!$E$45</f>
        <v>0</v>
      </c>
      <c r="R9" s="170">
        <f>IF(Escenarios!$E$14&gt;0,K9*Escenarios!$E$13/Escenarios!$E$14,0)</f>
        <v>1.7541955285472011</v>
      </c>
      <c r="S9" s="170">
        <f>IF(Escenarios!$E$14&gt;0,Q9*Escenarios!$E$13/Escenarios!$E$14,0)</f>
        <v>0</v>
      </c>
      <c r="T9" s="170">
        <f>IF(Escenarios!$E$14&gt;0,Observaciones!$I8,0)</f>
        <v>0</v>
      </c>
      <c r="U9" s="170">
        <f>IF(Escenarios!$E$14&gt;0,MAX(0,Constantes!$E$36/((Z8+R9+S9+T9+Observaciones!$F8)^2)+Entradas!$E$77),0)</f>
        <v>1.820131375209878</v>
      </c>
      <c r="V9" s="146">
        <f>IF(ETo!D8&gt;0,ETo!I8*((1-Entradas!$E$81)*ETo!K8+ETo!L8),0)</f>
        <v>4.0673851009236195</v>
      </c>
      <c r="W9" s="170">
        <f>IF(Escenarios!$E$14&gt;0,MIN(V9*1,0.8*(Z8+R9+S9+T9+Observaciones!$F8-U9-Constantes!$E$35)),0)</f>
        <v>4.0673851009236195</v>
      </c>
      <c r="X9" s="170">
        <f>IF(Escenarios!$E$14&gt;0,Observaciones!$J8,0)</f>
        <v>0</v>
      </c>
      <c r="Y9" s="170">
        <f>IF(Escenarios!$E$14&gt;0,MAX(0,Z8+R9+S9+T9+Observaciones!$F8-U9-W9-X9-Constantes!$E$33),0)</f>
        <v>0</v>
      </c>
      <c r="Z9" s="170">
        <f>Z8+R9+S9+T9+Observaciones!$F8-U9-W9-Y9</f>
        <v>87.394874068277602</v>
      </c>
      <c r="AA9" s="170">
        <f>IF(Escenarios!$E$14&gt;0,(Escenarios!$E$13*L9+Escenarios!$E$14*W9)/(Escenarios!$E$16),L9)</f>
        <v>2.4181796089968883</v>
      </c>
      <c r="AB9" s="170">
        <f>IF(Escenarios!$E$14&gt;0,(Escenarios!$E$14*Y9)/(Escenarios!$E$16),K9)</f>
        <v>0</v>
      </c>
      <c r="AC9" s="170">
        <f>IF(Escenarios!$E$14&gt;0,(Escenarios!$E$13*M9+Escenarios!$E$14*U9)/(Escenarios!$E$16),M9)</f>
        <v>8.4038278419905623</v>
      </c>
      <c r="AD9" s="76">
        <f t="shared" si="1"/>
        <v>73.95067618379332</v>
      </c>
      <c r="AE9" s="76">
        <f>MAX(0,(AD9-Constantes!$D$13)*(1-EXP(-Constantes!$D$23)))</f>
        <v>0.24830826477234236</v>
      </c>
      <c r="AF9" s="76">
        <f>AB9+O9*Escenarios!$E$13/Escenarios!$E$16+AE9</f>
        <v>1.2744572198183128</v>
      </c>
      <c r="AG9" s="76">
        <f>IF(Entradas!$E$91&gt;0,IF(AF9-Escenarios!$E$38&lt;=0,0,IF(AF9-Escenarios!$E$38&gt;Escenarios!$E$37,Escenarios!$E$37,AF9-Escenarios!$E$38)),0)</f>
        <v>0</v>
      </c>
      <c r="AH9" s="76">
        <f>AG9*Entradas!$E$99</f>
        <v>0</v>
      </c>
      <c r="AI9" s="76">
        <f>IF(Entradas!$E$91&gt;0,D9*Entradas!$D$23/Escenarios!$E$16,0)</f>
        <v>0</v>
      </c>
      <c r="AJ9" s="76">
        <f>IF(Entradas!$E$91&gt;0,Entradas!$D$24*Entradas!$D$22/Escenarios!$E$16,0)</f>
        <v>0</v>
      </c>
      <c r="AK9" s="76">
        <f t="shared" si="10"/>
        <v>2.4181796089968883</v>
      </c>
      <c r="AL9" s="76">
        <f t="shared" si="11"/>
        <v>0</v>
      </c>
      <c r="AM9" s="76">
        <f t="shared" si="2"/>
        <v>0</v>
      </c>
      <c r="AN9" s="76">
        <f>MAX(0,O9*Escenarios!$E$13/Escenarios!$E$16-AM9)</f>
        <v>1.0261489550459704</v>
      </c>
      <c r="AO9" s="76">
        <f>AM9+AN9-O9*Escenarios!$E$13/Escenarios!$E$16</f>
        <v>0</v>
      </c>
      <c r="AP9" s="76">
        <f t="shared" si="0"/>
        <v>0.24830826477234236</v>
      </c>
      <c r="AQ9" s="76">
        <f t="shared" si="3"/>
        <v>0</v>
      </c>
      <c r="AR9" s="76">
        <f t="shared" si="4"/>
        <v>1.2744572198183128</v>
      </c>
      <c r="AS9" s="76">
        <f t="shared" si="5"/>
        <v>0</v>
      </c>
      <c r="AT9" s="76">
        <f t="shared" si="6"/>
        <v>8.4038278419905623</v>
      </c>
      <c r="AU9" s="76">
        <f t="shared" si="7"/>
        <v>48.75</v>
      </c>
      <c r="AV9" s="76">
        <f>MAX(0,(AU9-Constantes!$D$13)*(1-EXP(-Constantes!$D$24)))</f>
        <v>0</v>
      </c>
      <c r="AW9" s="170">
        <f>AW8+(Entradas!$E$112*AT9-AX8)/(800*Entradas!$D$25)</f>
        <v>0</v>
      </c>
      <c r="AX9" s="170">
        <f>8000*Entradas!$D$26*AW9/Constantes!$E$45</f>
        <v>0</v>
      </c>
      <c r="AY9" s="170">
        <f>IF(Escenarios!$E$17&gt;0,10*Escenarios!$E$16*AL9,0)</f>
        <v>0</v>
      </c>
      <c r="AZ9" s="170">
        <f>IF(Escenarios!$E$17&gt;0,10*Escenarios!$E$16*AX9,0)</f>
        <v>0</v>
      </c>
      <c r="BA9" s="170">
        <f>IF(Escenarios!$E$17&gt;0,0.001*Observaciones!$F8*Escenarios!$E$17,0)</f>
        <v>310</v>
      </c>
      <c r="BB9" s="170">
        <f>IF(Escenarios!$E$17&gt;0,Observaciones!$K8,0)</f>
        <v>0</v>
      </c>
      <c r="BC9" s="170">
        <f>IF(Escenarios!$E$17&gt;0,MIN(0.0005*ETo!$M8*Escenarios!$E$17*(BG8/Constantes!$E$40)^(2/3),BG8+AY9+AZ9+BA9+BB9),0)</f>
        <v>7.6909546995180262</v>
      </c>
      <c r="BD9" s="170">
        <f>IF(Escenarios!$E$17&gt;0,MIN(Constantes!$E$39*(BG8/Constantes!$E$40)^(2/3),BG8+AY9+AZ9+BA9+BB9-BC9),0)</f>
        <v>12.18089600760436</v>
      </c>
      <c r="BE9" s="170">
        <f>IF(Escenarios!$E$17&gt;0,MIN(Entradas!$E$113,BG8+AY9+AZ9+BA9+BB9-BC9-BD9),0)</f>
        <v>1</v>
      </c>
      <c r="BF9" s="170">
        <f>IF(Escenarios!$E$17&gt;0,MAX(0,BG8+AY9+AZ9+BA9+BB9-BC9-BD9-BE9-Constantes!$E$40),0)</f>
        <v>0</v>
      </c>
      <c r="BG9" s="170">
        <f t="shared" si="12"/>
        <v>685.21699620770846</v>
      </c>
      <c r="BH9" s="170">
        <f>(Escenarios!$E$16*AK9+0.1*BC9)/(Escenarios!$E$19)</f>
        <v>2.4020396734887854</v>
      </c>
      <c r="BI9" s="170">
        <f>IF(Escenarios!$E$17&gt;0,BF9/10/Escenarios!$E$19,AL9)</f>
        <v>0</v>
      </c>
      <c r="BJ9" s="170">
        <f>(Escenarios!$E$16*AT9+0.1*BD9)/(Escenarios!$E$19)</f>
        <v>8.3419644845174634</v>
      </c>
      <c r="BK9" s="76">
        <f>BK8+(0.1*BD9)/(Escenarios!$E$19)-BL8</f>
        <v>48.759659230953552</v>
      </c>
      <c r="BL9" s="76">
        <f>MAX(0,(BK9-Constantes!$D$13)*(1-EXP(-Constantes!$D$23)))</f>
        <v>9.517470323492161E-5</v>
      </c>
      <c r="BM9" s="76">
        <f t="shared" si="8"/>
        <v>0.24840343947557728</v>
      </c>
      <c r="BN9" s="76">
        <f t="shared" si="13"/>
        <v>1.2745523945215478</v>
      </c>
      <c r="BO9" s="76">
        <f>0.0526*BI9*Observaciones!$F8^1.218</f>
        <v>0</v>
      </c>
      <c r="BP9" s="76">
        <f>BO9*Constantes!$E$51</f>
        <v>0</v>
      </c>
      <c r="BQ9" s="76">
        <f t="shared" si="9"/>
        <v>0</v>
      </c>
      <c r="BR9" s="40"/>
    </row>
    <row r="10" spans="1:70">
      <c r="A10" s="147"/>
      <c r="B10" s="39"/>
      <c r="C10" s="75">
        <v>4</v>
      </c>
      <c r="D10" s="146">
        <f>ETo!$I9*((1-Constantes!$E$19)*ETo!$K9+ETo!$L9)</f>
        <v>4.4178709767785174</v>
      </c>
      <c r="E10" s="76">
        <f>MIN(D10*Constantes!$E$17,0.8*(N9+Observaciones!$F9-F10-M10-Constantes!$D$14))</f>
        <v>2.1599515180225395</v>
      </c>
      <c r="F10" s="76">
        <f>IF(Observaciones!$F9&gt;0.05*Constantes!$E$18,((Observaciones!$F9-0.05*Constantes!$E$18)^2)/(Observaciones!$F9+0.95*Constantes!$E$18),0)</f>
        <v>0</v>
      </c>
      <c r="G10" s="76">
        <f>IF(Escenarios!$E$11&gt;0,(F10*Escenarios!$E$16*10000)/1000,0)</f>
        <v>0</v>
      </c>
      <c r="H10" s="76">
        <f>IF(Escenarios!$E$11&gt;0,(Observaciones!$F9*Constantes!$E$29)/1000,0)</f>
        <v>23</v>
      </c>
      <c r="I10" s="76">
        <f>IF(Escenarios!$E$11&gt;0,(D10*Constantes!$E$29)/1000,0)</f>
        <v>44.178709767785172</v>
      </c>
      <c r="J10" s="76">
        <f>IF(Escenarios!$E$11&gt;0,MAX(0,G10+H10-I10),0)</f>
        <v>0</v>
      </c>
      <c r="K10" s="76">
        <f>IF(Escenarios!$E$11&gt;0,IF(J10&gt;Constantes!$E$30,1000*((J10-Constantes!$E$30)/(Escenarios!$E$16*10000)),0),F10)</f>
        <v>0</v>
      </c>
      <c r="L10" s="76">
        <f>IF(Escenarios!$E$11&gt;0,I10*1000/Escenarios!$E$16/10000+E10,E10)</f>
        <v>2.1776230019296534</v>
      </c>
      <c r="M10" s="76">
        <f>MAX(0,N9+Observaciones!$F9-K10-Constantes!$D$13)</f>
        <v>0</v>
      </c>
      <c r="N10" s="76">
        <f>N9+Observaciones!$F9-K10-L10-M10-O9</f>
        <v>44.438614805695714</v>
      </c>
      <c r="O10" s="76">
        <f>MAX(0,(N10-Constantes!$D$14)*(1-EXP(-Constantes!$D$22)))</f>
        <v>1.1305260581812182</v>
      </c>
      <c r="P10" s="170">
        <f>P9+(Entradas!$E$83*M10-Q9)/(800*Entradas!$D$25)</f>
        <v>0</v>
      </c>
      <c r="Q10" s="170">
        <f>8000*Entradas!$D$26*P10/Constantes!$E$45</f>
        <v>0</v>
      </c>
      <c r="R10" s="170">
        <f>IF(Escenarios!$E$14&gt;0,K10*Escenarios!$E$13/Escenarios!$E$14,0)</f>
        <v>0</v>
      </c>
      <c r="S10" s="170">
        <f>IF(Escenarios!$E$14&gt;0,Q10*Escenarios!$E$13/Escenarios!$E$14,0)</f>
        <v>0</v>
      </c>
      <c r="T10" s="170">
        <f>IF(Escenarios!$E$14&gt;0,Observaciones!$I9,0)</f>
        <v>0</v>
      </c>
      <c r="U10" s="170">
        <f>IF(Escenarios!$E$14&gt;0,MAX(0,Constantes!$E$36/((Z9+R10+S10+T10+Observaciones!$F9)^2)+Entradas!$E$77),0)</f>
        <v>1.7238617150417559</v>
      </c>
      <c r="V10" s="146">
        <f>IF(ETo!D9&gt;0,ETo!I9*((1-Entradas!$E$81)*ETo!K9+ETo!L9),0)</f>
        <v>4.0379558966518694</v>
      </c>
      <c r="W10" s="170">
        <f>IF(Escenarios!$E$14&gt;0,MIN(V10*1,0.8*(Z9+R10+S10+T10+Observaciones!$F9-U10-Constantes!$E$35)),0)</f>
        <v>4.0379558966518694</v>
      </c>
      <c r="X10" s="170">
        <f>IF(Escenarios!$E$14&gt;0,Observaciones!$J9,0)</f>
        <v>0</v>
      </c>
      <c r="Y10" s="170">
        <f>IF(Escenarios!$E$14&gt;0,MAX(0,Z9+R10+S10+T10+Observaciones!$F9-U10-W10-X10-Constantes!$E$33),0)</f>
        <v>0</v>
      </c>
      <c r="Z10" s="170">
        <f>Z9+R10+S10+T10+Observaciones!$F9-U10-W10-Y10</f>
        <v>83.933056456583984</v>
      </c>
      <c r="AA10" s="170">
        <f>IF(Escenarios!$E$14&gt;0,(Escenarios!$E$13*L10+Escenarios!$E$14*W10)/(Escenarios!$E$16),L10)</f>
        <v>2.4008629492963194</v>
      </c>
      <c r="AB10" s="170">
        <f>IF(Escenarios!$E$14&gt;0,(Escenarios!$E$14*Y10)/(Escenarios!$E$16),K10)</f>
        <v>0</v>
      </c>
      <c r="AC10" s="170">
        <f>IF(Escenarios!$E$14&gt;0,(Escenarios!$E$13*M10+Escenarios!$E$14*U10)/(Escenarios!$E$16),M10)</f>
        <v>0.2068634058050107</v>
      </c>
      <c r="AD10" s="76">
        <f t="shared" si="1"/>
        <v>73.909231324825981</v>
      </c>
      <c r="AE10" s="76">
        <f>MAX(0,(AD10-Constantes!$D$13)*(1-EXP(-Constantes!$D$23)))</f>
        <v>0.24789989870554083</v>
      </c>
      <c r="AF10" s="76">
        <f>AB10+O10*Escenarios!$E$13/Escenarios!$E$16+AE10</f>
        <v>1.2427628299050129</v>
      </c>
      <c r="AG10" s="76">
        <f>IF(Entradas!$E$91&gt;0,IF(AF10-Escenarios!$E$38&lt;=0,0,IF(AF10-Escenarios!$E$38&gt;Escenarios!$E$37,Escenarios!$E$37,AF10-Escenarios!$E$38)),0)</f>
        <v>0</v>
      </c>
      <c r="AH10" s="76">
        <f>AG10*Entradas!$E$99</f>
        <v>0</v>
      </c>
      <c r="AI10" s="76">
        <f>IF(Entradas!$E$91&gt;0,D10*Entradas!$D$23/Escenarios!$E$16,0)</f>
        <v>0</v>
      </c>
      <c r="AJ10" s="76">
        <f>IF(Entradas!$E$91&gt;0,Entradas!$D$24*Entradas!$D$22/Escenarios!$E$16,0)</f>
        <v>0</v>
      </c>
      <c r="AK10" s="76">
        <f t="shared" si="10"/>
        <v>2.4008629492963194</v>
      </c>
      <c r="AL10" s="76">
        <f t="shared" si="11"/>
        <v>0</v>
      </c>
      <c r="AM10" s="76">
        <f t="shared" si="2"/>
        <v>0</v>
      </c>
      <c r="AN10" s="76">
        <f>MAX(0,O10*Escenarios!$E$13/Escenarios!$E$16-AM10)</f>
        <v>0.994862931199472</v>
      </c>
      <c r="AO10" s="76">
        <f>AM10+AN10-O10*Escenarios!$E$13/Escenarios!$E$16</f>
        <v>0</v>
      </c>
      <c r="AP10" s="76">
        <f t="shared" si="0"/>
        <v>0.24789989870554083</v>
      </c>
      <c r="AQ10" s="76">
        <f t="shared" si="3"/>
        <v>0</v>
      </c>
      <c r="AR10" s="76">
        <f t="shared" si="4"/>
        <v>1.2427628299050129</v>
      </c>
      <c r="AS10" s="76">
        <f t="shared" si="5"/>
        <v>0</v>
      </c>
      <c r="AT10" s="76">
        <f t="shared" si="6"/>
        <v>0.2068634058050107</v>
      </c>
      <c r="AU10" s="76">
        <f t="shared" si="7"/>
        <v>48.75</v>
      </c>
      <c r="AV10" s="76">
        <f>MAX(0,(AU10-Constantes!$D$13)*(1-EXP(-Constantes!$D$24)))</f>
        <v>0</v>
      </c>
      <c r="AW10" s="170">
        <f>AW9+(Entradas!$E$112*AT10-AX9)/(800*Entradas!$D$25)</f>
        <v>0</v>
      </c>
      <c r="AX10" s="170">
        <f>8000*Entradas!$D$26*AW10/Constantes!$E$45</f>
        <v>0</v>
      </c>
      <c r="AY10" s="170">
        <f>IF(Escenarios!$E$17&gt;0,10*Escenarios!$E$16*AL10,0)</f>
        <v>0</v>
      </c>
      <c r="AZ10" s="170">
        <f>IF(Escenarios!$E$17&gt;0,10*Escenarios!$E$16*AX10,0)</f>
        <v>0</v>
      </c>
      <c r="BA10" s="170">
        <f>IF(Escenarios!$E$17&gt;0,0.001*Observaciones!$F9*Escenarios!$E$17,0)</f>
        <v>46</v>
      </c>
      <c r="BB10" s="170">
        <f>IF(Escenarios!$E$17&gt;0,Observaciones!$K9,0)</f>
        <v>0</v>
      </c>
      <c r="BC10" s="170">
        <f>IF(Escenarios!$E$17&gt;0,MIN(0.0005*ETo!$M9*Escenarios!$E$17*(BG9/Constantes!$E$40)^(2/3),BG9+AY10+AZ10+BA10+BB10),0)</f>
        <v>11.005487476386794</v>
      </c>
      <c r="BD10" s="170">
        <f>IF(Escenarios!$E$17&gt;0,MIN(Constantes!$E$39*(BG9/Constantes!$E$40)^(2/3),BG9+AY10+AZ10+BA10+BB10-BC10),0)</f>
        <v>17.553736607366318</v>
      </c>
      <c r="BE10" s="170">
        <f>IF(Escenarios!$E$17&gt;0,MIN(Entradas!$E$113,BG9+AY10+AZ10+BA10+BB10-BC10-BD10),0)</f>
        <v>1</v>
      </c>
      <c r="BF10" s="170">
        <f>IF(Escenarios!$E$17&gt;0,MAX(0,BG9+AY10+AZ10+BA10+BB10-BC10-BD10-BE10-Constantes!$E$40),0)</f>
        <v>0</v>
      </c>
      <c r="BG10" s="170">
        <f t="shared" si="12"/>
        <v>701.6577721239554</v>
      </c>
      <c r="BH10" s="170">
        <f>(Escenarios!$E$16*AK10+0.1*BC10)/(Escenarios!$E$19)</f>
        <v>2.3861757383798357</v>
      </c>
      <c r="BI10" s="170">
        <f>IF(Escenarios!$E$17&gt;0,BF10/10/Escenarios!$E$19,AL10)</f>
        <v>0</v>
      </c>
      <c r="BJ10" s="170">
        <f>(Escenarios!$E$16*AT10+0.1*BD10)/(Escenarios!$E$19)</f>
        <v>0.2121874012380528</v>
      </c>
      <c r="BK10" s="76">
        <f>BK9+(0.1*BD10)/(Escenarios!$E$19)-BL9</f>
        <v>48.766529824745305</v>
      </c>
      <c r="BL10" s="76">
        <f>MAX(0,(BK10-Constantes!$D$13)*(1-EXP(-Constantes!$D$23)))</f>
        <v>1.6287230031300802E-4</v>
      </c>
      <c r="BM10" s="76">
        <f t="shared" si="8"/>
        <v>0.24806277100585383</v>
      </c>
      <c r="BN10" s="76">
        <f t="shared" si="13"/>
        <v>1.2429257022053259</v>
      </c>
      <c r="BO10" s="76">
        <f>0.0526*BI10*Observaciones!$F9^1.218</f>
        <v>0</v>
      </c>
      <c r="BP10" s="76">
        <f>BO10*Constantes!$E$51</f>
        <v>0</v>
      </c>
      <c r="BQ10" s="76">
        <f t="shared" si="9"/>
        <v>0</v>
      </c>
      <c r="BR10" s="40"/>
    </row>
    <row r="11" spans="1:70">
      <c r="A11" s="147"/>
      <c r="B11" s="39"/>
      <c r="C11" s="75">
        <v>5</v>
      </c>
      <c r="D11" s="146">
        <f>ETo!$I10*((1-Constantes!$E$19)*ETo!$K10+ETo!$L10)</f>
        <v>4.3769902873009157</v>
      </c>
      <c r="E11" s="76">
        <f>MIN(D11*Constantes!$E$17,0.8*(N10+Observaciones!$F10-F11-M11-Constantes!$D$14))</f>
        <v>2.1399644455708806</v>
      </c>
      <c r="F11" s="76">
        <f>IF(Observaciones!$F10&gt;0.05*Constantes!$E$18,((Observaciones!$F10-0.05*Constantes!$E$18)^2)/(Observaciones!$F10+0.95*Constantes!$E$18),0)</f>
        <v>0.10869498409708679</v>
      </c>
      <c r="G11" s="76">
        <f>IF(Escenarios!$E$11&gt;0,(F11*Escenarios!$E$16*10000)/1000,0)</f>
        <v>271.73746024271696</v>
      </c>
      <c r="H11" s="76">
        <f>IF(Escenarios!$E$11&gt;0,(Observaciones!$F10*Constantes!$E$29)/1000,0)</f>
        <v>96</v>
      </c>
      <c r="I11" s="76">
        <f>IF(Escenarios!$E$11&gt;0,(D11*Constantes!$E$29)/1000,0)</f>
        <v>43.769902873009158</v>
      </c>
      <c r="J11" s="76">
        <f>IF(Escenarios!$E$11&gt;0,MAX(0,G11+H11-I11),0)</f>
        <v>323.96755736970783</v>
      </c>
      <c r="K11" s="76">
        <f>IF(Escenarios!$E$11&gt;0,IF(J11&gt;Constantes!$E$30,1000*((J11-Constantes!$E$30)/(Escenarios!$E$16*10000)),0),F11)</f>
        <v>0</v>
      </c>
      <c r="L11" s="76">
        <f>IF(Escenarios!$E$11&gt;0,I11*1000/Escenarios!$E$16/10000+E11,E11)</f>
        <v>2.1574724067200841</v>
      </c>
      <c r="M11" s="76">
        <f>MAX(0,N10+Observaciones!$F10-K11-Constantes!$D$13)</f>
        <v>5.2886148056957154</v>
      </c>
      <c r="N11" s="76">
        <f>N10+Observaciones!$F10-K11-L11-M11-O10</f>
        <v>45.4620015350987</v>
      </c>
      <c r="O11" s="76">
        <f>MAX(0,(N11-Constantes!$D$14)*(1-EXP(-Constantes!$D$22)))</f>
        <v>1.1653863671142795</v>
      </c>
      <c r="P11" s="170">
        <f>P10+(Entradas!$E$83*M11-Q10)/(800*Entradas!$D$25)</f>
        <v>0</v>
      </c>
      <c r="Q11" s="170">
        <f>8000*Entradas!$D$26*P11/Constantes!$E$45</f>
        <v>0</v>
      </c>
      <c r="R11" s="170">
        <f>IF(Escenarios!$E$14&gt;0,K11*Escenarios!$E$13/Escenarios!$E$14,0)</f>
        <v>0</v>
      </c>
      <c r="S11" s="170">
        <f>IF(Escenarios!$E$14&gt;0,Q11*Escenarios!$E$13/Escenarios!$E$14,0)</f>
        <v>0</v>
      </c>
      <c r="T11" s="170">
        <f>IF(Escenarios!$E$14&gt;0,Observaciones!$I10,0)</f>
        <v>0</v>
      </c>
      <c r="U11" s="170">
        <f>IF(Escenarios!$E$14&gt;0,MAX(0,Constantes!$E$36/((Z10+R11+S11+T11+Observaciones!$F10)^2)+Entradas!$E$77),0)</f>
        <v>1.8264469293399326</v>
      </c>
      <c r="V11" s="146">
        <f>IF(ETo!D10&gt;0,ETo!I10*((1-Entradas!$E$81)*ETo!K10+ETo!L10),0)</f>
        <v>4.0001323014303152</v>
      </c>
      <c r="W11" s="170">
        <f>IF(Escenarios!$E$14&gt;0,MIN(V11*1,0.8*(Z10+R11+S11+T11+Observaciones!$F10-U11-Constantes!$E$35)),0)</f>
        <v>4.0001323014303152</v>
      </c>
      <c r="X11" s="170">
        <f>IF(Escenarios!$E$14&gt;0,Observaciones!$J10,0)</f>
        <v>0</v>
      </c>
      <c r="Y11" s="170">
        <f>IF(Escenarios!$E$14&gt;0,MAX(0,Z10+R11+S11+T11+Observaciones!$F10-U11-W11-X11-Constantes!$E$33),0)</f>
        <v>0</v>
      </c>
      <c r="Z11" s="170">
        <f>Z10+R11+S11+T11+Observaciones!$F10-U11-W11-Y11</f>
        <v>87.706477225813728</v>
      </c>
      <c r="AA11" s="170">
        <f>IF(Escenarios!$E$14&gt;0,(Escenarios!$E$13*L11+Escenarios!$E$14*W11)/(Escenarios!$E$16),L11)</f>
        <v>2.3785915940853117</v>
      </c>
      <c r="AB11" s="170">
        <f>IF(Escenarios!$E$14&gt;0,(Escenarios!$E$14*Y11)/(Escenarios!$E$16),K11)</f>
        <v>0</v>
      </c>
      <c r="AC11" s="170">
        <f>IF(Escenarios!$E$14&gt;0,(Escenarios!$E$13*M11+Escenarios!$E$14*U11)/(Escenarios!$E$16),M11)</f>
        <v>4.8731546605330216</v>
      </c>
      <c r="AD11" s="76">
        <f t="shared" si="1"/>
        <v>78.534486086653459</v>
      </c>
      <c r="AE11" s="76">
        <f>MAX(0,(AD11-Constantes!$D$13)*(1-EXP(-Constantes!$D$23)))</f>
        <v>0.293473635523682</v>
      </c>
      <c r="AF11" s="76">
        <f>AB11+O11*Escenarios!$E$13/Escenarios!$E$16+AE11</f>
        <v>1.3190136385842479</v>
      </c>
      <c r="AG11" s="76">
        <f>IF(Entradas!$E$91&gt;0,IF(AF11-Escenarios!$E$38&lt;=0,0,IF(AF11-Escenarios!$E$38&gt;Escenarios!$E$37,Escenarios!$E$37,AF11-Escenarios!$E$38)),0)</f>
        <v>0</v>
      </c>
      <c r="AH11" s="76">
        <f>AG11*Entradas!$E$99</f>
        <v>0</v>
      </c>
      <c r="AI11" s="76">
        <f>IF(Entradas!$E$91&gt;0,D11*Entradas!$D$23/Escenarios!$E$16,0)</f>
        <v>0</v>
      </c>
      <c r="AJ11" s="76">
        <f>IF(Entradas!$E$91&gt;0,Entradas!$D$24*Entradas!$D$22/Escenarios!$E$16,0)</f>
        <v>0</v>
      </c>
      <c r="AK11" s="76">
        <f t="shared" si="10"/>
        <v>2.3785915940853117</v>
      </c>
      <c r="AL11" s="76">
        <f t="shared" si="11"/>
        <v>0</v>
      </c>
      <c r="AM11" s="76">
        <f t="shared" si="2"/>
        <v>0</v>
      </c>
      <c r="AN11" s="76">
        <f>MAX(0,O11*Escenarios!$E$13/Escenarios!$E$16-AM11)</f>
        <v>1.0255400030605659</v>
      </c>
      <c r="AO11" s="76">
        <f>AM11+AN11-O11*Escenarios!$E$13/Escenarios!$E$16</f>
        <v>0</v>
      </c>
      <c r="AP11" s="76">
        <f t="shared" si="0"/>
        <v>0.293473635523682</v>
      </c>
      <c r="AQ11" s="76">
        <f t="shared" si="3"/>
        <v>0</v>
      </c>
      <c r="AR11" s="76">
        <f t="shared" si="4"/>
        <v>1.3190136385842479</v>
      </c>
      <c r="AS11" s="76">
        <f t="shared" si="5"/>
        <v>0</v>
      </c>
      <c r="AT11" s="76">
        <f t="shared" si="6"/>
        <v>4.8731546605330216</v>
      </c>
      <c r="AU11" s="76">
        <f t="shared" si="7"/>
        <v>48.75</v>
      </c>
      <c r="AV11" s="76">
        <f>MAX(0,(AU11-Constantes!$D$13)*(1-EXP(-Constantes!$D$24)))</f>
        <v>0</v>
      </c>
      <c r="AW11" s="170">
        <f>AW10+(Entradas!$E$112*AT11-AX10)/(800*Entradas!$D$25)</f>
        <v>0</v>
      </c>
      <c r="AX11" s="170">
        <f>8000*Entradas!$D$26*AW11/Constantes!$E$45</f>
        <v>0</v>
      </c>
      <c r="AY11" s="170">
        <f>IF(Escenarios!$E$17&gt;0,10*Escenarios!$E$16*AL11,0)</f>
        <v>0</v>
      </c>
      <c r="AZ11" s="170">
        <f>IF(Escenarios!$E$17&gt;0,10*Escenarios!$E$16*AX11,0)</f>
        <v>0</v>
      </c>
      <c r="BA11" s="170">
        <f>IF(Escenarios!$E$17&gt;0,0.001*Observaciones!$F10*Escenarios!$E$17,0)</f>
        <v>191.99999999999997</v>
      </c>
      <c r="BB11" s="170">
        <f>IF(Escenarios!$E$17&gt;0,Observaciones!$K10,0)</f>
        <v>0</v>
      </c>
      <c r="BC11" s="170">
        <f>IF(Escenarios!$E$17&gt;0,MIN(0.0005*ETo!$M10*Escenarios!$E$17*(BG10/Constantes!$E$40)^(2/3),BG10+AY11+AZ11+BA11+BB11),0)</f>
        <v>11.078977700775816</v>
      </c>
      <c r="BD11" s="170">
        <f>IF(Escenarios!$E$17&gt;0,MIN(Constantes!$E$39*(BG10/Constantes!$E$40)^(2/3),BG10+AY11+AZ11+BA11+BB11-BC11),0)</f>
        <v>17.833409676238993</v>
      </c>
      <c r="BE11" s="170">
        <f>IF(Escenarios!$E$17&gt;0,MIN(Entradas!$E$113,BG10+AY11+AZ11+BA11+BB11-BC11-BD11),0)</f>
        <v>1</v>
      </c>
      <c r="BF11" s="170">
        <f>IF(Escenarios!$E$17&gt;0,MAX(0,BG10+AY11+AZ11+BA11+BB11-BC11-BD11-BE11-Constantes!$E$40),0)</f>
        <v>0</v>
      </c>
      <c r="BG11" s="170">
        <f t="shared" si="12"/>
        <v>863.74538474694066</v>
      </c>
      <c r="BH11" s="170">
        <f>(Escenarios!$E$16*AK11+0.1*BC11)/(Escenarios!$E$19)</f>
        <v>2.364110302743673</v>
      </c>
      <c r="BI11" s="170">
        <f>IF(Escenarios!$E$17&gt;0,BF11/10/Escenarios!$E$19,AL11)</f>
        <v>0</v>
      </c>
      <c r="BJ11" s="170">
        <f>(Escenarios!$E$16*AT11+0.1*BD11)/(Escenarios!$E$19)</f>
        <v>4.8415555797653935</v>
      </c>
      <c r="BK11" s="76">
        <f>BK10+(0.1*BD11)/(Escenarios!$E$19)-BL10</f>
        <v>48.773443702316513</v>
      </c>
      <c r="BL11" s="76">
        <f>MAX(0,(BK11-Constantes!$D$13)*(1-EXP(-Constantes!$D$23)))</f>
        <v>2.3099638277945602E-4</v>
      </c>
      <c r="BM11" s="76">
        <f t="shared" si="8"/>
        <v>0.29370463190646146</v>
      </c>
      <c r="BN11" s="76">
        <f t="shared" si="13"/>
        <v>1.3192446349670273</v>
      </c>
      <c r="BO11" s="76">
        <f>0.0526*BI11*Observaciones!$F10^1.218</f>
        <v>0</v>
      </c>
      <c r="BP11" s="76">
        <f>BO11*Constantes!$E$51</f>
        <v>0</v>
      </c>
      <c r="BQ11" s="76">
        <f t="shared" si="9"/>
        <v>0</v>
      </c>
      <c r="BR11" s="40"/>
    </row>
    <row r="12" spans="1:70">
      <c r="A12" s="147"/>
      <c r="B12" s="39"/>
      <c r="C12" s="75">
        <v>6</v>
      </c>
      <c r="D12" s="146">
        <f>ETo!$I11*((1-Constantes!$E$19)*ETo!$K11+ETo!$L11)</f>
        <v>4.3497110924145739</v>
      </c>
      <c r="E12" s="76">
        <f>MIN(D12*Constantes!$E$17,0.8*(N11+Observaciones!$F11-F12-M12-Constantes!$D$14))</f>
        <v>2.1266273113007998</v>
      </c>
      <c r="F12" s="76">
        <f>IF(Observaciones!$F11&gt;0.05*Constantes!$E$18,((Observaciones!$F11-0.05*Constantes!$E$18)^2)/(Observaciones!$F11+0.95*Constantes!$E$18),0)</f>
        <v>0.95552143110694354</v>
      </c>
      <c r="G12" s="76">
        <f>IF(Escenarios!$E$11&gt;0,(F12*Escenarios!$E$16*10000)/1000,0)</f>
        <v>2388.8035777673585</v>
      </c>
      <c r="H12" s="76">
        <f>IF(Escenarios!$E$11&gt;0,(Observaciones!$F11*Constantes!$E$29)/1000,0)</f>
        <v>171</v>
      </c>
      <c r="I12" s="76">
        <f>IF(Escenarios!$E$11&gt;0,(D12*Constantes!$E$29)/1000,0)</f>
        <v>43.497110924145737</v>
      </c>
      <c r="J12" s="76">
        <f>IF(Escenarios!$E$11&gt;0,MAX(0,G12+H12-I12),0)</f>
        <v>2516.306466843213</v>
      </c>
      <c r="K12" s="76">
        <f>IF(Escenarios!$E$11&gt;0,IF(J12&gt;Constantes!$E$30,1000*((J12-Constantes!$E$30)/(Escenarios!$E$16*10000)),0),F12)</f>
        <v>0.49181670438434399</v>
      </c>
      <c r="L12" s="76">
        <f>IF(Escenarios!$E$11&gt;0,I12*1000/Escenarios!$E$16/10000+E12,E12)</f>
        <v>2.1440261556704581</v>
      </c>
      <c r="M12" s="76">
        <f>MAX(0,N11+Observaciones!$F11-K12-Constantes!$D$13)</f>
        <v>13.320184830714361</v>
      </c>
      <c r="N12" s="76">
        <f>N11+Observaciones!$F11-K12-L12-M12-O11</f>
        <v>45.44058747721526</v>
      </c>
      <c r="O12" s="76">
        <f>MAX(0,(N12-Constantes!$D$14)*(1-EXP(-Constantes!$D$22)))</f>
        <v>1.1646569256901538</v>
      </c>
      <c r="P12" s="170">
        <f>P11+(Entradas!$E$83*M12-Q11)/(800*Entradas!$D$25)</f>
        <v>0</v>
      </c>
      <c r="Q12" s="170">
        <f>8000*Entradas!$D$26*P12/Constantes!$E$45</f>
        <v>0</v>
      </c>
      <c r="R12" s="170">
        <f>IF(Escenarios!$E$14&gt;0,K12*Escenarios!$E$13/Escenarios!$E$14,0)</f>
        <v>3.6066558321518563</v>
      </c>
      <c r="S12" s="170">
        <f>IF(Escenarios!$E$14&gt;0,Q12*Escenarios!$E$13/Escenarios!$E$14,0)</f>
        <v>0</v>
      </c>
      <c r="T12" s="170">
        <f>IF(Escenarios!$E$14&gt;0,Observaciones!$I11,0)</f>
        <v>0</v>
      </c>
      <c r="U12" s="170">
        <f>IF(Escenarios!$E$14&gt;0,MAX(0,Constantes!$E$36/((Z11+R12+S12+T12+Observaciones!$F11)^2)+Entradas!$E$77),0)</f>
        <v>2.1264873552315313</v>
      </c>
      <c r="V12" s="146">
        <f>IF(ETo!D11&gt;0,ETo!I11*((1-Entradas!$E$81)*ETo!K11+ETo!L11),0)</f>
        <v>3.9749131088516454</v>
      </c>
      <c r="W12" s="170">
        <f>IF(Escenarios!$E$14&gt;0,MIN(V12*1,0.8*(Z11+R12+S12+T12+Observaciones!$F11-U12-Constantes!$E$35)),0)</f>
        <v>3.9749131088516454</v>
      </c>
      <c r="X12" s="170">
        <f>IF(Escenarios!$E$14&gt;0,Observaciones!$J11,0)</f>
        <v>0</v>
      </c>
      <c r="Y12" s="170">
        <f>IF(Escenarios!$E$14&gt;0,MAX(0,Z11+R12+S12+T12+Observaciones!$F11-U12-W12-X12-Constantes!$E$33),0)</f>
        <v>0</v>
      </c>
      <c r="Z12" s="170">
        <f>Z11+R12+S12+T12+Observaciones!$F11-U12-W12-Y12</f>
        <v>102.3117325938824</v>
      </c>
      <c r="AA12" s="170">
        <f>IF(Escenarios!$E$14&gt;0,(Escenarios!$E$13*L12+Escenarios!$E$14*W12)/(Escenarios!$E$16),L12)</f>
        <v>2.3637325900522006</v>
      </c>
      <c r="AB12" s="170">
        <f>IF(Escenarios!$E$14&gt;0,(Escenarios!$E$14*Y12)/(Escenarios!$E$16),K12)</f>
        <v>0</v>
      </c>
      <c r="AC12" s="170">
        <f>IF(Escenarios!$E$14&gt;0,(Escenarios!$E$13*M12+Escenarios!$E$14*U12)/(Escenarios!$E$16),M12)</f>
        <v>11.976941133656421</v>
      </c>
      <c r="AD12" s="76">
        <f t="shared" si="1"/>
        <v>90.217953584786201</v>
      </c>
      <c r="AE12" s="76">
        <f>MAX(0,(AD12-Constantes!$D$13)*(1-EXP(-Constantes!$D$23)))</f>
        <v>0.40859362356793588</v>
      </c>
      <c r="AF12" s="76">
        <f>AB12+O12*Escenarios!$E$13/Escenarios!$E$16+AE12</f>
        <v>1.4334917181752711</v>
      </c>
      <c r="AG12" s="76">
        <f>IF(Entradas!$E$91&gt;0,IF(AF12-Escenarios!$E$38&lt;=0,0,IF(AF12-Escenarios!$E$38&gt;Escenarios!$E$37,Escenarios!$E$37,AF12-Escenarios!$E$38)),0)</f>
        <v>0</v>
      </c>
      <c r="AH12" s="76">
        <f>AG12*Entradas!$E$99</f>
        <v>0</v>
      </c>
      <c r="AI12" s="76">
        <f>IF(Entradas!$E$91&gt;0,D12*Entradas!$D$23/Escenarios!$E$16,0)</f>
        <v>0</v>
      </c>
      <c r="AJ12" s="76">
        <f>IF(Entradas!$E$91&gt;0,Entradas!$D$24*Entradas!$D$22/Escenarios!$E$16,0)</f>
        <v>0</v>
      </c>
      <c r="AK12" s="76">
        <f t="shared" si="10"/>
        <v>2.3637325900522006</v>
      </c>
      <c r="AL12" s="76">
        <f t="shared" si="11"/>
        <v>0</v>
      </c>
      <c r="AM12" s="76">
        <f t="shared" si="2"/>
        <v>0</v>
      </c>
      <c r="AN12" s="76">
        <f>MAX(0,O12*Escenarios!$E$13/Escenarios!$E$16-AM12)</f>
        <v>1.0248980946073352</v>
      </c>
      <c r="AO12" s="76">
        <f>AM12+AN12-O12*Escenarios!$E$13/Escenarios!$E$16</f>
        <v>0</v>
      </c>
      <c r="AP12" s="76">
        <f t="shared" si="0"/>
        <v>0.40859362356793588</v>
      </c>
      <c r="AQ12" s="76">
        <f t="shared" si="3"/>
        <v>0</v>
      </c>
      <c r="AR12" s="76">
        <f t="shared" si="4"/>
        <v>1.4334917181752711</v>
      </c>
      <c r="AS12" s="76">
        <f t="shared" si="5"/>
        <v>0</v>
      </c>
      <c r="AT12" s="76">
        <f t="shared" si="6"/>
        <v>11.976941133656421</v>
      </c>
      <c r="AU12" s="76">
        <f t="shared" si="7"/>
        <v>48.75</v>
      </c>
      <c r="AV12" s="76">
        <f>MAX(0,(AU12-Constantes!$D$13)*(1-EXP(-Constantes!$D$24)))</f>
        <v>0</v>
      </c>
      <c r="AW12" s="170">
        <f>AW11+(Entradas!$E$112*AT12-AX11)/(800*Entradas!$D$25)</f>
        <v>0</v>
      </c>
      <c r="AX12" s="170">
        <f>8000*Entradas!$D$26*AW12/Constantes!$E$45</f>
        <v>0</v>
      </c>
      <c r="AY12" s="170">
        <f>IF(Escenarios!$E$17&gt;0,10*Escenarios!$E$16*AL12,0)</f>
        <v>0</v>
      </c>
      <c r="AZ12" s="170">
        <f>IF(Escenarios!$E$17&gt;0,10*Escenarios!$E$16*AX12,0)</f>
        <v>0</v>
      </c>
      <c r="BA12" s="170">
        <f>IF(Escenarios!$E$17&gt;0,0.001*Observaciones!$F11*Escenarios!$E$17,0)</f>
        <v>342</v>
      </c>
      <c r="BB12" s="170">
        <f>IF(Escenarios!$E$17&gt;0,Observaciones!$K11,0)</f>
        <v>0</v>
      </c>
      <c r="BC12" s="170">
        <f>IF(Escenarios!$E$17&gt;0,MIN(0.0005*ETo!$M11*Escenarios!$E$17*(BG11/Constantes!$E$40)^(2/3),BG11+AY12+AZ12+BA12+BB12),0)</f>
        <v>12.647307123427607</v>
      </c>
      <c r="BD12" s="170">
        <f>IF(Escenarios!$E$17&gt;0,MIN(Constantes!$E$39*(BG11/Constantes!$E$40)^(2/3),BG11+AY12+AZ12+BA12+BB12-BC12),0)</f>
        <v>20.483680172637566</v>
      </c>
      <c r="BE12" s="170">
        <f>IF(Escenarios!$E$17&gt;0,MIN(Entradas!$E$113,BG11+AY12+AZ12+BA12+BB12-BC12-BD12),0)</f>
        <v>1</v>
      </c>
      <c r="BF12" s="170">
        <f>IF(Escenarios!$E$17&gt;0,MAX(0,BG11+AY12+AZ12+BA12+BB12-BC12-BD12-BE12-Constantes!$E$40),0)</f>
        <v>0</v>
      </c>
      <c r="BG12" s="170">
        <f t="shared" si="12"/>
        <v>1171.6143974508752</v>
      </c>
      <c r="BH12" s="170">
        <f>(Escenarios!$E$16*AK12+0.1*BC12)/(Escenarios!$E$19)</f>
        <v>2.3499915802594953</v>
      </c>
      <c r="BI12" s="170">
        <f>IF(Escenarios!$E$17&gt;0,BF12/10/Escenarios!$E$19,AL12)</f>
        <v>0</v>
      </c>
      <c r="BJ12" s="170">
        <f>(Escenarios!$E$16*AT12+0.1*BD12)/(Escenarios!$E$19)</f>
        <v>11.890014489807021</v>
      </c>
      <c r="BK12" s="76">
        <f>BK11+(0.1*BD12)/(Escenarios!$E$19)-BL11</f>
        <v>48.781341150446679</v>
      </c>
      <c r="BL12" s="76">
        <f>MAX(0,(BK12-Constantes!$D$13)*(1-EXP(-Constantes!$D$23)))</f>
        <v>3.0881182023157291E-4</v>
      </c>
      <c r="BM12" s="76">
        <f t="shared" si="8"/>
        <v>0.40890243538816745</v>
      </c>
      <c r="BN12" s="76">
        <f t="shared" si="13"/>
        <v>1.4338005299955028</v>
      </c>
      <c r="BO12" s="76">
        <f>0.0526*BI12*Observaciones!$F11^1.218</f>
        <v>0</v>
      </c>
      <c r="BP12" s="76">
        <f>BO12*Constantes!$E$51</f>
        <v>0</v>
      </c>
      <c r="BQ12" s="76">
        <f t="shared" si="9"/>
        <v>0</v>
      </c>
      <c r="BR12" s="40"/>
    </row>
    <row r="13" spans="1:70">
      <c r="A13" s="147"/>
      <c r="B13" s="39"/>
      <c r="C13" s="75">
        <v>7</v>
      </c>
      <c r="D13" s="146">
        <f>ETo!$I12*((1-Constantes!$E$19)*ETo!$K12+ETo!$L12)</f>
        <v>4.3814598030263285</v>
      </c>
      <c r="E13" s="76">
        <f>MIN(D13*Constantes!$E$17,0.8*(N12+Observaciones!$F12-F13-M13-Constantes!$D$14))</f>
        <v>2.1421496468424146</v>
      </c>
      <c r="F13" s="76">
        <f>IF(Observaciones!$F12&gt;0.05*Constantes!$E$18,((Observaciones!$F12-0.05*Constantes!$E$18)^2)/(Observaciones!$F12+0.95*Constantes!$E$18),0)</f>
        <v>0</v>
      </c>
      <c r="G13" s="76">
        <f>IF(Escenarios!$E$11&gt;0,(F13*Escenarios!$E$16*10000)/1000,0)</f>
        <v>0</v>
      </c>
      <c r="H13" s="76">
        <f>IF(Escenarios!$E$11&gt;0,(Observaciones!$F12*Constantes!$E$29)/1000,0)</f>
        <v>7</v>
      </c>
      <c r="I13" s="76">
        <f>IF(Escenarios!$E$11&gt;0,(D13*Constantes!$E$29)/1000,0)</f>
        <v>43.814598030263291</v>
      </c>
      <c r="J13" s="76">
        <f>IF(Escenarios!$E$11&gt;0,MAX(0,G13+H13-I13),0)</f>
        <v>0</v>
      </c>
      <c r="K13" s="76">
        <f>IF(Escenarios!$E$11&gt;0,IF(J13&gt;Constantes!$E$30,1000*((J13-Constantes!$E$30)/(Escenarios!$E$16*10000)),0),F13)</f>
        <v>0</v>
      </c>
      <c r="L13" s="76">
        <f>IF(Escenarios!$E$11&gt;0,I13*1000/Escenarios!$E$16/10000+E13,E13)</f>
        <v>2.1596754860545198</v>
      </c>
      <c r="M13" s="76">
        <f>MAX(0,N12+Observaciones!$F12-K13-Constantes!$D$13)</f>
        <v>0</v>
      </c>
      <c r="N13" s="76">
        <f>N12+Observaciones!$F12-K13-L13-M13-O12</f>
        <v>42.816255065470592</v>
      </c>
      <c r="O13" s="76">
        <f>MAX(0,(N13-Constantes!$D$14)*(1-EXP(-Constantes!$D$22)))</f>
        <v>1.0752625296246168</v>
      </c>
      <c r="P13" s="170">
        <f>P12+(Entradas!$E$83*M13-Q12)/(800*Entradas!$D$25)</f>
        <v>0</v>
      </c>
      <c r="Q13" s="170">
        <f>8000*Entradas!$D$26*P13/Constantes!$E$45</f>
        <v>0</v>
      </c>
      <c r="R13" s="170">
        <f>IF(Escenarios!$E$14&gt;0,K13*Escenarios!$E$13/Escenarios!$E$14,0)</f>
        <v>0</v>
      </c>
      <c r="S13" s="170">
        <f>IF(Escenarios!$E$14&gt;0,Q13*Escenarios!$E$13/Escenarios!$E$14,0)</f>
        <v>0</v>
      </c>
      <c r="T13" s="170">
        <f>IF(Escenarios!$E$14&gt;0,Observaciones!$I12,0)</f>
        <v>0</v>
      </c>
      <c r="U13" s="170">
        <f>IF(Escenarios!$E$14&gt;0,MAX(0,Constantes!$E$36/((Z12+R13+S13+T13+Observaciones!$F12)^2)+Entradas!$E$77),0)</f>
        <v>2.0324807752164245</v>
      </c>
      <c r="V13" s="146">
        <f>IF(ETo!D12&gt;0,ETo!I12*((1-Entradas!$E$81)*ETo!K12+ETo!L12),0)</f>
        <v>4.0042649617514998</v>
      </c>
      <c r="W13" s="170">
        <f>IF(Escenarios!$E$14&gt;0,MIN(V13*1,0.8*(Z12+R13+S13+T13+Observaciones!$F12-U13-Constantes!$E$35)),0)</f>
        <v>4.0042649617514998</v>
      </c>
      <c r="X13" s="170">
        <f>IF(Escenarios!$E$14&gt;0,Observaciones!$J12,0)</f>
        <v>0</v>
      </c>
      <c r="Y13" s="170">
        <f>IF(Escenarios!$E$14&gt;0,MAX(0,Z12+R13+S13+T13+Observaciones!$F12-U13-W13-X13-Constantes!$E$33),0)</f>
        <v>0</v>
      </c>
      <c r="Z13" s="170">
        <f>Z12+R13+S13+T13+Observaciones!$F12-U13-W13-Y13</f>
        <v>96.97498685691447</v>
      </c>
      <c r="AA13" s="170">
        <f>IF(Escenarios!$E$14&gt;0,(Escenarios!$E$13*L13+Escenarios!$E$14*W13)/(Escenarios!$E$16),L13)</f>
        <v>2.3810262231381576</v>
      </c>
      <c r="AB13" s="170">
        <f>IF(Escenarios!$E$14&gt;0,(Escenarios!$E$14*Y13)/(Escenarios!$E$16),K13)</f>
        <v>0</v>
      </c>
      <c r="AC13" s="170">
        <f>IF(Escenarios!$E$14&gt;0,(Escenarios!$E$13*M13+Escenarios!$E$14*U13)/(Escenarios!$E$16),M13)</f>
        <v>0.24389769302597095</v>
      </c>
      <c r="AD13" s="76">
        <f t="shared" si="1"/>
        <v>90.053257654244234</v>
      </c>
      <c r="AE13" s="76">
        <f>MAX(0,(AD13-Constantes!$D$13)*(1-EXP(-Constantes!$D$23)))</f>
        <v>0.40697083533679146</v>
      </c>
      <c r="AF13" s="76">
        <f>AB13+O13*Escenarios!$E$13/Escenarios!$E$16+AE13</f>
        <v>1.3532018614064543</v>
      </c>
      <c r="AG13" s="76">
        <f>IF(Entradas!$E$91&gt;0,IF(AF13-Escenarios!$E$38&lt;=0,0,IF(AF13-Escenarios!$E$38&gt;Escenarios!$E$37,Escenarios!$E$37,AF13-Escenarios!$E$38)),0)</f>
        <v>0</v>
      </c>
      <c r="AH13" s="76">
        <f>AG13*Entradas!$E$99</f>
        <v>0</v>
      </c>
      <c r="AI13" s="76">
        <f>IF(Entradas!$E$91&gt;0,D13*Entradas!$D$23/Escenarios!$E$16,0)</f>
        <v>0</v>
      </c>
      <c r="AJ13" s="76">
        <f>IF(Entradas!$E$91&gt;0,Entradas!$D$24*Entradas!$D$22/Escenarios!$E$16,0)</f>
        <v>0</v>
      </c>
      <c r="AK13" s="76">
        <f t="shared" si="10"/>
        <v>2.3810262231381576</v>
      </c>
      <c r="AL13" s="76">
        <f t="shared" si="11"/>
        <v>0</v>
      </c>
      <c r="AM13" s="76">
        <f t="shared" si="2"/>
        <v>0</v>
      </c>
      <c r="AN13" s="76">
        <f>MAX(0,O13*Escenarios!$E$13/Escenarios!$E$16-AM13)</f>
        <v>0.94623102606966281</v>
      </c>
      <c r="AO13" s="76">
        <f>AM13+AN13-O13*Escenarios!$E$13/Escenarios!$E$16</f>
        <v>0</v>
      </c>
      <c r="AP13" s="76">
        <f t="shared" si="0"/>
        <v>0.40697083533679146</v>
      </c>
      <c r="AQ13" s="76">
        <f t="shared" si="3"/>
        <v>0</v>
      </c>
      <c r="AR13" s="76">
        <f t="shared" si="4"/>
        <v>1.3532018614064543</v>
      </c>
      <c r="AS13" s="76">
        <f t="shared" si="5"/>
        <v>0</v>
      </c>
      <c r="AT13" s="76">
        <f t="shared" si="6"/>
        <v>0.24389769302597095</v>
      </c>
      <c r="AU13" s="76">
        <f t="shared" si="7"/>
        <v>48.75</v>
      </c>
      <c r="AV13" s="76">
        <f>MAX(0,(AU13-Constantes!$D$13)*(1-EXP(-Constantes!$D$24)))</f>
        <v>0</v>
      </c>
      <c r="AW13" s="170">
        <f>AW12+(Entradas!$E$112*AT13-AX12)/(800*Entradas!$D$25)</f>
        <v>0</v>
      </c>
      <c r="AX13" s="170">
        <f>8000*Entradas!$D$26*AW13/Constantes!$E$45</f>
        <v>0</v>
      </c>
      <c r="AY13" s="170">
        <f>IF(Escenarios!$E$17&gt;0,10*Escenarios!$E$16*AL13,0)</f>
        <v>0</v>
      </c>
      <c r="AZ13" s="170">
        <f>IF(Escenarios!$E$17&gt;0,10*Escenarios!$E$16*AX13,0)</f>
        <v>0</v>
      </c>
      <c r="BA13" s="170">
        <f>IF(Escenarios!$E$17&gt;0,0.001*Observaciones!$F12*Escenarios!$E$17,0)</f>
        <v>14</v>
      </c>
      <c r="BB13" s="170">
        <f>IF(Escenarios!$E$17&gt;0,Observaciones!$K12,0)</f>
        <v>5.5224609817910317E-2</v>
      </c>
      <c r="BC13" s="170">
        <f>IF(Escenarios!$E$17&gt;0,MIN(0.0005*ETo!$M12*Escenarios!$E$17*(BG12/Constantes!$E$40)^(2/3),BG12+AY13+AZ13+BA13+BB13),0)</f>
        <v>15.609030208114707</v>
      </c>
      <c r="BD13" s="170">
        <f>IF(Escenarios!$E$17&gt;0,MIN(Constantes!$E$39*(BG12/Constantes!$E$40)^(2/3),BG12+AY13+AZ13+BA13+BB13-BC13),0)</f>
        <v>25.100013763551409</v>
      </c>
      <c r="BE13" s="170">
        <f>IF(Escenarios!$E$17&gt;0,MIN(Entradas!$E$113,BG12+AY13+AZ13+BA13+BB13-BC13-BD13),0)</f>
        <v>1</v>
      </c>
      <c r="BF13" s="170">
        <f>IF(Escenarios!$E$17&gt;0,MAX(0,BG12+AY13+AZ13+BA13+BB13-BC13-BD13-BE13-Constantes!$E$40),0)</f>
        <v>0</v>
      </c>
      <c r="BG13" s="170">
        <f t="shared" si="12"/>
        <v>1143.960578089027</v>
      </c>
      <c r="BH13" s="170">
        <f>(Escenarios!$E$16*AK13+0.1*BC13)/(Escenarios!$E$19)</f>
        <v>2.3683232492275827</v>
      </c>
      <c r="BI13" s="170">
        <f>IF(Escenarios!$E$17&gt;0,BF13/10/Escenarios!$E$19,AL13)</f>
        <v>0</v>
      </c>
      <c r="BJ13" s="170">
        <f>(Escenarios!$E$16*AT13+0.1*BD13)/(Escenarios!$E$19)</f>
        <v>0.25192231997161857</v>
      </c>
      <c r="BK13" s="76">
        <f>BK12+(0.1*BD13)/(Escenarios!$E$19)-BL12</f>
        <v>48.790992661548493</v>
      </c>
      <c r="BL13" s="76">
        <f>MAX(0,(BK13-Constantes!$D$13)*(1-EXP(-Constantes!$D$23)))</f>
        <v>4.0391045792860031E-4</v>
      </c>
      <c r="BM13" s="76">
        <f t="shared" si="8"/>
        <v>0.40737474579472005</v>
      </c>
      <c r="BN13" s="76">
        <f t="shared" si="13"/>
        <v>1.3536057718643828</v>
      </c>
      <c r="BO13" s="76">
        <f>0.0526*BI13*Observaciones!$F12^1.218</f>
        <v>0</v>
      </c>
      <c r="BP13" s="76">
        <f>BO13*Constantes!$E$51</f>
        <v>0</v>
      </c>
      <c r="BQ13" s="76">
        <f t="shared" si="9"/>
        <v>0</v>
      </c>
      <c r="BR13" s="40"/>
    </row>
    <row r="14" spans="1:70">
      <c r="A14" s="147"/>
      <c r="B14" s="39"/>
      <c r="C14" s="75">
        <v>8</v>
      </c>
      <c r="D14" s="146">
        <f>ETo!$I13*((1-Constantes!$E$19)*ETo!$K13+ETo!$L13)</f>
        <v>4.4177191193862768</v>
      </c>
      <c r="E14" s="76">
        <f>MIN(D14*Constantes!$E$17,0.8*(N13+Observaciones!$F13-F14-M14-Constantes!$D$14))</f>
        <v>2.1598772730736449</v>
      </c>
      <c r="F14" s="76">
        <f>IF(Observaciones!$F13&gt;0.05*Constantes!$E$18,((Observaciones!$F13-0.05*Constantes!$E$18)^2)/(Observaciones!$F13+0.95*Constantes!$E$18),0)</f>
        <v>0</v>
      </c>
      <c r="G14" s="76">
        <f>IF(Escenarios!$E$11&gt;0,(F14*Escenarios!$E$16*10000)/1000,0)</f>
        <v>0</v>
      </c>
      <c r="H14" s="76">
        <f>IF(Escenarios!$E$11&gt;0,(Observaciones!$F13*Constantes!$E$29)/1000,0)</f>
        <v>0</v>
      </c>
      <c r="I14" s="76">
        <f>IF(Escenarios!$E$11&gt;0,(D14*Constantes!$E$29)/1000,0)</f>
        <v>44.177191193862768</v>
      </c>
      <c r="J14" s="76">
        <f>IF(Escenarios!$E$11&gt;0,MAX(0,G14+H14-I14),0)</f>
        <v>0</v>
      </c>
      <c r="K14" s="76">
        <f>IF(Escenarios!$E$11&gt;0,IF(J14&gt;Constantes!$E$30,1000*((J14-Constantes!$E$30)/(Escenarios!$E$16*10000)),0),F14)</f>
        <v>0</v>
      </c>
      <c r="L14" s="76">
        <f>IF(Escenarios!$E$11&gt;0,I14*1000/Escenarios!$E$16/10000+E14,E14)</f>
        <v>2.1775481495511899</v>
      </c>
      <c r="M14" s="76">
        <f>MAX(0,N13+Observaciones!$F13-K14-Constantes!$D$13)</f>
        <v>0</v>
      </c>
      <c r="N14" s="76">
        <f>N13+Observaciones!$F13-K14-L14-M14-O13</f>
        <v>39.563444386294783</v>
      </c>
      <c r="O14" s="76">
        <f>MAX(0,(N14-Constantes!$D$14)*(1-EXP(-Constantes!$D$22)))</f>
        <v>0.96445985657942235</v>
      </c>
      <c r="P14" s="170">
        <f>P13+(Entradas!$E$83*M14-Q13)/(800*Entradas!$D$25)</f>
        <v>0</v>
      </c>
      <c r="Q14" s="170">
        <f>8000*Entradas!$D$26*P14/Constantes!$E$45</f>
        <v>0</v>
      </c>
      <c r="R14" s="170">
        <f>IF(Escenarios!$E$14&gt;0,K14*Escenarios!$E$13/Escenarios!$E$14,0)</f>
        <v>0</v>
      </c>
      <c r="S14" s="170">
        <f>IF(Escenarios!$E$14&gt;0,Q14*Escenarios!$E$13/Escenarios!$E$14,0)</f>
        <v>0</v>
      </c>
      <c r="T14" s="170">
        <f>IF(Escenarios!$E$14&gt;0,Observaciones!$I13,0)</f>
        <v>0</v>
      </c>
      <c r="U14" s="170">
        <f>IF(Escenarios!$E$14&gt;0,MAX(0,Constantes!$E$36/((Z13+R14+S14+T14+Observaciones!$F13)^2)+Entradas!$E$77),0)</f>
        <v>1.9082743150002104</v>
      </c>
      <c r="V14" s="146">
        <f>IF(ETo!D13&gt;0,ETo!I13*((1-Entradas!$E$81)*ETo!K13+ETo!L13),0)</f>
        <v>4.0378137080823562</v>
      </c>
      <c r="W14" s="170">
        <f>IF(Escenarios!$E$14&gt;0,MIN(V14*1,0.8*(Z13+R14+S14+T14+Observaciones!$F13-U14-Constantes!$E$35)),0)</f>
        <v>4.0378137080823562</v>
      </c>
      <c r="X14" s="170">
        <f>IF(Escenarios!$E$14&gt;0,Observaciones!$J13,0)</f>
        <v>0</v>
      </c>
      <c r="Y14" s="170">
        <f>IF(Escenarios!$E$14&gt;0,MAX(0,Z13+R14+S14+T14+Observaciones!$F13-U14-W14-X14-Constantes!$E$33),0)</f>
        <v>0</v>
      </c>
      <c r="Z14" s="170">
        <f>Z13+R14+S14+T14+Observaciones!$F13-U14-W14-Y14</f>
        <v>91.028898833831903</v>
      </c>
      <c r="AA14" s="170">
        <f>IF(Escenarios!$E$14&gt;0,(Escenarios!$E$13*L14+Escenarios!$E$14*W14)/(Escenarios!$E$16),L14)</f>
        <v>2.40078001657493</v>
      </c>
      <c r="AB14" s="170">
        <f>IF(Escenarios!$E$14&gt;0,(Escenarios!$E$14*Y14)/(Escenarios!$E$16),K14)</f>
        <v>0</v>
      </c>
      <c r="AC14" s="170">
        <f>IF(Escenarios!$E$14&gt;0,(Escenarios!$E$13*M14+Escenarios!$E$14*U14)/(Escenarios!$E$16),M14)</f>
        <v>0.22899291780002526</v>
      </c>
      <c r="AD14" s="76">
        <f t="shared" si="1"/>
        <v>89.875279736707469</v>
      </c>
      <c r="AE14" s="76">
        <f>MAX(0,(AD14-Constantes!$D$13)*(1-EXP(-Constantes!$D$23)))</f>
        <v>0.40521717652426442</v>
      </c>
      <c r="AF14" s="76">
        <f>AB14+O14*Escenarios!$E$13/Escenarios!$E$16+AE14</f>
        <v>1.2539418503141562</v>
      </c>
      <c r="AG14" s="76">
        <f>IF(Entradas!$E$91&gt;0,IF(AF14-Escenarios!$E$38&lt;=0,0,IF(AF14-Escenarios!$E$38&gt;Escenarios!$E$37,Escenarios!$E$37,AF14-Escenarios!$E$38)),0)</f>
        <v>0</v>
      </c>
      <c r="AH14" s="76">
        <f>AG14*Entradas!$E$99</f>
        <v>0</v>
      </c>
      <c r="AI14" s="76">
        <f>IF(Entradas!$E$91&gt;0,D14*Entradas!$D$23/Escenarios!$E$16,0)</f>
        <v>0</v>
      </c>
      <c r="AJ14" s="76">
        <f>IF(Entradas!$E$91&gt;0,Entradas!$D$24*Entradas!$D$22/Escenarios!$E$16,0)</f>
        <v>0</v>
      </c>
      <c r="AK14" s="76">
        <f t="shared" si="10"/>
        <v>2.40078001657493</v>
      </c>
      <c r="AL14" s="76">
        <f t="shared" si="11"/>
        <v>0</v>
      </c>
      <c r="AM14" s="76">
        <f t="shared" si="2"/>
        <v>0</v>
      </c>
      <c r="AN14" s="76">
        <f>MAX(0,O14*Escenarios!$E$13/Escenarios!$E$16-AM14)</f>
        <v>0.84872467378989169</v>
      </c>
      <c r="AO14" s="76">
        <f>AM14+AN14-O14*Escenarios!$E$13/Escenarios!$E$16</f>
        <v>0</v>
      </c>
      <c r="AP14" s="76">
        <f t="shared" si="0"/>
        <v>0.40521717652426442</v>
      </c>
      <c r="AQ14" s="76">
        <f t="shared" si="3"/>
        <v>0</v>
      </c>
      <c r="AR14" s="76">
        <f t="shared" si="4"/>
        <v>1.2539418503141562</v>
      </c>
      <c r="AS14" s="76">
        <f t="shared" si="5"/>
        <v>0</v>
      </c>
      <c r="AT14" s="76">
        <f t="shared" si="6"/>
        <v>0.22899291780002526</v>
      </c>
      <c r="AU14" s="76">
        <f t="shared" si="7"/>
        <v>48.75</v>
      </c>
      <c r="AV14" s="76">
        <f>MAX(0,(AU14-Constantes!$D$13)*(1-EXP(-Constantes!$D$24)))</f>
        <v>0</v>
      </c>
      <c r="AW14" s="170">
        <f>AW13+(Entradas!$E$112*AT14-AX13)/(800*Entradas!$D$25)</f>
        <v>0</v>
      </c>
      <c r="AX14" s="170">
        <f>8000*Entradas!$D$26*AW14/Constantes!$E$45</f>
        <v>0</v>
      </c>
      <c r="AY14" s="170">
        <f>IF(Escenarios!$E$17&gt;0,10*Escenarios!$E$16*AL14,0)</f>
        <v>0</v>
      </c>
      <c r="AZ14" s="170">
        <f>IF(Escenarios!$E$17&gt;0,10*Escenarios!$E$16*AX14,0)</f>
        <v>0</v>
      </c>
      <c r="BA14" s="170">
        <f>IF(Escenarios!$E$17&gt;0,0.001*Observaciones!$F13*Escenarios!$E$17,0)</f>
        <v>0</v>
      </c>
      <c r="BB14" s="170">
        <f>IF(Escenarios!$E$17&gt;0,Observaciones!$K13,0)</f>
        <v>28.741965391781282</v>
      </c>
      <c r="BC14" s="170">
        <f>IF(Escenarios!$E$17&gt;0,MIN(0.0005*ETo!$M13*Escenarios!$E$17*(BG13/Constantes!$E$40)^(2/3),BG13+AY14+AZ14+BA14+BB14),0)</f>
        <v>15.487575574410481</v>
      </c>
      <c r="BD14" s="170">
        <f>IF(Escenarios!$E$17&gt;0,MIN(Constantes!$E$39*(BG13/Constantes!$E$40)^(2/3),BG13+AY14+AZ14+BA14+BB14-BC14),0)</f>
        <v>24.703483510848358</v>
      </c>
      <c r="BE14" s="170">
        <f>IF(Escenarios!$E$17&gt;0,MIN(Entradas!$E$113,BG13+AY14+AZ14+BA14+BB14-BC14-BD14),0)</f>
        <v>1</v>
      </c>
      <c r="BF14" s="170">
        <f>IF(Escenarios!$E$17&gt;0,MAX(0,BG13+AY14+AZ14+BA14+BB14-BC14-BD14-BE14-Constantes!$E$40),0)</f>
        <v>0</v>
      </c>
      <c r="BG14" s="170">
        <f t="shared" si="12"/>
        <v>1131.5114843955494</v>
      </c>
      <c r="BH14" s="170">
        <f>(Escenarios!$E$16*AK14+0.1*BC14)/(Escenarios!$E$19)</f>
        <v>2.3878720702427523</v>
      </c>
      <c r="BI14" s="170">
        <f>IF(Escenarios!$E$17&gt;0,BF14/10/Escenarios!$E$19,AL14)</f>
        <v>0</v>
      </c>
      <c r="BJ14" s="170">
        <f>(Escenarios!$E$16*AT14+0.1*BD14)/(Escenarios!$E$19)</f>
        <v>0.2369784833376633</v>
      </c>
      <c r="BK14" s="76">
        <f>BK13+(0.1*BD14)/(Escenarios!$E$19)-BL13</f>
        <v>48.800391720737728</v>
      </c>
      <c r="BL14" s="76">
        <f>MAX(0,(BK14-Constantes!$D$13)*(1-EXP(-Constantes!$D$23)))</f>
        <v>4.9652162680161656E-4</v>
      </c>
      <c r="BM14" s="76">
        <f t="shared" si="8"/>
        <v>0.40571369815106606</v>
      </c>
      <c r="BN14" s="76">
        <f t="shared" si="13"/>
        <v>1.2544383719409578</v>
      </c>
      <c r="BO14" s="76">
        <f>0.0526*BI14*Observaciones!$F13^1.218</f>
        <v>0</v>
      </c>
      <c r="BP14" s="76">
        <f>BO14*Constantes!$E$51</f>
        <v>0</v>
      </c>
      <c r="BQ14" s="76">
        <f t="shared" si="9"/>
        <v>0</v>
      </c>
      <c r="BR14" s="40"/>
    </row>
    <row r="15" spans="1:70">
      <c r="A15" s="147"/>
      <c r="B15" s="39"/>
      <c r="C15" s="75">
        <v>9</v>
      </c>
      <c r="D15" s="146">
        <f>ETo!$I14*((1-Constantes!$E$19)*ETo!$K14+ETo!$L14)</f>
        <v>4.4085425348070224</v>
      </c>
      <c r="E15" s="76">
        <f>MIN(D15*Constantes!$E$17,0.8*(N14+Observaciones!$F14-F15-M15-Constantes!$D$14))</f>
        <v>2.1553907278810835</v>
      </c>
      <c r="F15" s="76">
        <f>IF(Observaciones!$F14&gt;0.05*Constantes!$E$18,((Observaciones!$F14-0.05*Constantes!$E$18)^2)/(Observaciones!$F14+0.95*Constantes!$E$18),0)</f>
        <v>0</v>
      </c>
      <c r="G15" s="76">
        <f>IF(Escenarios!$E$11&gt;0,(F15*Escenarios!$E$16*10000)/1000,0)</f>
        <v>0</v>
      </c>
      <c r="H15" s="76">
        <f>IF(Escenarios!$E$11&gt;0,(Observaciones!$F14*Constantes!$E$29)/1000,0)</f>
        <v>0</v>
      </c>
      <c r="I15" s="76">
        <f>IF(Escenarios!$E$11&gt;0,(D15*Constantes!$E$29)/1000,0)</f>
        <v>44.085425348070224</v>
      </c>
      <c r="J15" s="76">
        <f>IF(Escenarios!$E$11&gt;0,MAX(0,G15+H15-I15),0)</f>
        <v>0</v>
      </c>
      <c r="K15" s="76">
        <f>IF(Escenarios!$E$11&gt;0,IF(J15&gt;Constantes!$E$30,1000*((J15-Constantes!$E$30)/(Escenarios!$E$16*10000)),0),F15)</f>
        <v>0</v>
      </c>
      <c r="L15" s="76">
        <f>IF(Escenarios!$E$11&gt;0,I15*1000/Escenarios!$E$16/10000+E15,E15)</f>
        <v>2.1730248980203117</v>
      </c>
      <c r="M15" s="76">
        <f>MAX(0,N14+Observaciones!$F14-K15-Constantes!$D$13)</f>
        <v>0</v>
      </c>
      <c r="N15" s="76">
        <f>N14+Observaciones!$F14-K15-L15-M15-O14</f>
        <v>36.425959631695051</v>
      </c>
      <c r="O15" s="76">
        <f>MAX(0,(N15-Constantes!$D$14)*(1-EXP(-Constantes!$D$22)))</f>
        <v>0.85758560789542548</v>
      </c>
      <c r="P15" s="170">
        <f>P14+(Entradas!$E$83*M15-Q14)/(800*Entradas!$D$25)</f>
        <v>0</v>
      </c>
      <c r="Q15" s="170">
        <f>8000*Entradas!$D$26*P15/Constantes!$E$45</f>
        <v>0</v>
      </c>
      <c r="R15" s="170">
        <f>IF(Escenarios!$E$14&gt;0,K15*Escenarios!$E$13/Escenarios!$E$14,0)</f>
        <v>0</v>
      </c>
      <c r="S15" s="170">
        <f>IF(Escenarios!$E$14&gt;0,Q15*Escenarios!$E$13/Escenarios!$E$14,0)</f>
        <v>0</v>
      </c>
      <c r="T15" s="170">
        <f>IF(Escenarios!$E$14&gt;0,Observaciones!$I14,0)</f>
        <v>0</v>
      </c>
      <c r="U15" s="170">
        <f>IF(Escenarios!$E$14&gt;0,MAX(0,Constantes!$E$36/((Z14+R15+S15+T15+Observaciones!$F14)^2)+Entradas!$E$77),0)</f>
        <v>1.760991149683554</v>
      </c>
      <c r="V15" s="146">
        <f>IF(ETo!D14&gt;0,ETo!I14*((1-Entradas!$E$81)*ETo!K14+ETo!L14),0)</f>
        <v>4.0293191541155222</v>
      </c>
      <c r="W15" s="170">
        <f>IF(Escenarios!$E$14&gt;0,MIN(V15*1,0.8*(Z14+R15+S15+T15+Observaciones!$F14-U15-Constantes!$E$35)),0)</f>
        <v>4.0293191541155222</v>
      </c>
      <c r="X15" s="170">
        <f>IF(Escenarios!$E$14&gt;0,Observaciones!$J14,0)</f>
        <v>0</v>
      </c>
      <c r="Y15" s="170">
        <f>IF(Escenarios!$E$14&gt;0,MAX(0,Z14+R15+S15+T15+Observaciones!$F14-U15-W15-X15-Constantes!$E$33),0)</f>
        <v>0</v>
      </c>
      <c r="Z15" s="170">
        <f>Z14+R15+S15+T15+Observaciones!$F14-U15-W15-Y15</f>
        <v>85.238588530032828</v>
      </c>
      <c r="AA15" s="170">
        <f>IF(Escenarios!$E$14&gt;0,(Escenarios!$E$13*L15+Escenarios!$E$14*W15)/(Escenarios!$E$16),L15)</f>
        <v>2.395780208751737</v>
      </c>
      <c r="AB15" s="170">
        <f>IF(Escenarios!$E$14&gt;0,(Escenarios!$E$14*Y15)/(Escenarios!$E$16),K15)</f>
        <v>0</v>
      </c>
      <c r="AC15" s="170">
        <f>IF(Escenarios!$E$14&gt;0,(Escenarios!$E$13*M15+Escenarios!$E$14*U15)/(Escenarios!$E$16),M15)</f>
        <v>0.21131893796202647</v>
      </c>
      <c r="AD15" s="76">
        <f t="shared" si="1"/>
        <v>89.681381498145228</v>
      </c>
      <c r="AE15" s="76">
        <f>MAX(0,(AD15-Constantes!$D$13)*(1-EXP(-Constantes!$D$23)))</f>
        <v>0.40330665099674834</v>
      </c>
      <c r="AF15" s="76">
        <f>AB15+O15*Escenarios!$E$13/Escenarios!$E$16+AE15</f>
        <v>1.1579819859447227</v>
      </c>
      <c r="AG15" s="76">
        <f>IF(Entradas!$E$91&gt;0,IF(AF15-Escenarios!$E$38&lt;=0,0,IF(AF15-Escenarios!$E$38&gt;Escenarios!$E$37,Escenarios!$E$37,AF15-Escenarios!$E$38)),0)</f>
        <v>0</v>
      </c>
      <c r="AH15" s="76">
        <f>AG15*Entradas!$E$99</f>
        <v>0</v>
      </c>
      <c r="AI15" s="76">
        <f>IF(Entradas!$E$91&gt;0,D15*Entradas!$D$23/Escenarios!$E$16,0)</f>
        <v>0</v>
      </c>
      <c r="AJ15" s="76">
        <f>IF(Entradas!$E$91&gt;0,Entradas!$D$24*Entradas!$D$22/Escenarios!$E$16,0)</f>
        <v>0</v>
      </c>
      <c r="AK15" s="76">
        <f t="shared" si="10"/>
        <v>2.395780208751737</v>
      </c>
      <c r="AL15" s="76">
        <f t="shared" si="11"/>
        <v>0</v>
      </c>
      <c r="AM15" s="76">
        <f t="shared" si="2"/>
        <v>0</v>
      </c>
      <c r="AN15" s="76">
        <f>MAX(0,O15*Escenarios!$E$13/Escenarios!$E$16-AM15)</f>
        <v>0.75467533494797445</v>
      </c>
      <c r="AO15" s="76">
        <f>AM15+AN15-O15*Escenarios!$E$13/Escenarios!$E$16</f>
        <v>0</v>
      </c>
      <c r="AP15" s="76">
        <f t="shared" si="0"/>
        <v>0.40330665099674834</v>
      </c>
      <c r="AQ15" s="76">
        <f t="shared" si="3"/>
        <v>0</v>
      </c>
      <c r="AR15" s="76">
        <f t="shared" si="4"/>
        <v>1.1579819859447227</v>
      </c>
      <c r="AS15" s="76">
        <f t="shared" si="5"/>
        <v>0</v>
      </c>
      <c r="AT15" s="76">
        <f t="shared" si="6"/>
        <v>0.21131893796202647</v>
      </c>
      <c r="AU15" s="76">
        <f t="shared" si="7"/>
        <v>48.75</v>
      </c>
      <c r="AV15" s="76">
        <f>MAX(0,(AU15-Constantes!$D$13)*(1-EXP(-Constantes!$D$24)))</f>
        <v>0</v>
      </c>
      <c r="AW15" s="170">
        <f>AW14+(Entradas!$E$112*AT15-AX14)/(800*Entradas!$D$25)</f>
        <v>0</v>
      </c>
      <c r="AX15" s="170">
        <f>8000*Entradas!$D$26*AW15/Constantes!$E$45</f>
        <v>0</v>
      </c>
      <c r="AY15" s="170">
        <f>IF(Escenarios!$E$17&gt;0,10*Escenarios!$E$16*AL15,0)</f>
        <v>0</v>
      </c>
      <c r="AZ15" s="170">
        <f>IF(Escenarios!$E$17&gt;0,10*Escenarios!$E$16*AX15,0)</f>
        <v>0</v>
      </c>
      <c r="BA15" s="170">
        <f>IF(Escenarios!$E$17&gt;0,0.001*Observaciones!$F14*Escenarios!$E$17,0)</f>
        <v>0</v>
      </c>
      <c r="BB15" s="170">
        <f>IF(Escenarios!$E$17&gt;0,Observaciones!$K14,0)</f>
        <v>0</v>
      </c>
      <c r="BC15" s="170">
        <f>IF(Escenarios!$E$17&gt;0,MIN(0.0005*ETo!$M14*Escenarios!$E$17*(BG14/Constantes!$E$40)^(2/3),BG14+AY15+AZ15+BA15+BB15),0)</f>
        <v>15.343588328092006</v>
      </c>
      <c r="BD15" s="170">
        <f>IF(Escenarios!$E$17&gt;0,MIN(Constantes!$E$39*(BG14/Constantes!$E$40)^(2/3),BG14+AY15+AZ15+BA15+BB15-BC15),0)</f>
        <v>24.52393391646077</v>
      </c>
      <c r="BE15" s="170">
        <f>IF(Escenarios!$E$17&gt;0,MIN(Entradas!$E$113,BG14+AY15+AZ15+BA15+BB15-BC15-BD15),0)</f>
        <v>1</v>
      </c>
      <c r="BF15" s="170">
        <f>IF(Escenarios!$E$17&gt;0,MAX(0,BG14+AY15+AZ15+BA15+BB15-BC15-BD15-BE15-Constantes!$E$40),0)</f>
        <v>0</v>
      </c>
      <c r="BG15" s="170">
        <f t="shared" si="12"/>
        <v>1090.6439621509967</v>
      </c>
      <c r="BH15" s="170">
        <f>(Escenarios!$E$16*AK15+0.1*BC15)/(Escenarios!$E$19)</f>
        <v>2.3828548056378707</v>
      </c>
      <c r="BI15" s="170">
        <f>IF(Escenarios!$E$17&gt;0,BF15/10/Escenarios!$E$19,AL15)</f>
        <v>0</v>
      </c>
      <c r="BJ15" s="170">
        <f>(Escenarios!$E$16*AT15+0.1*BD15)/(Escenarios!$E$19)</f>
        <v>0.21937352334187576</v>
      </c>
      <c r="BK15" s="76">
        <f>BK14+(0.1*BD15)/(Escenarios!$E$19)-BL14</f>
        <v>48.809626918919051</v>
      </c>
      <c r="BL15" s="76">
        <f>MAX(0,(BK15-Constantes!$D$13)*(1-EXP(-Constantes!$D$23)))</f>
        <v>5.875182341350181E-4</v>
      </c>
      <c r="BM15" s="76">
        <f t="shared" si="8"/>
        <v>0.40389416923088334</v>
      </c>
      <c r="BN15" s="76">
        <f t="shared" si="13"/>
        <v>1.1585695041788577</v>
      </c>
      <c r="BO15" s="76">
        <f>0.0526*BI15*Observaciones!$F14^1.218</f>
        <v>0</v>
      </c>
      <c r="BP15" s="76">
        <f>BO15*Constantes!$E$51</f>
        <v>0</v>
      </c>
      <c r="BQ15" s="76">
        <f t="shared" si="9"/>
        <v>0</v>
      </c>
      <c r="BR15" s="40"/>
    </row>
    <row r="16" spans="1:70">
      <c r="A16" s="147"/>
      <c r="B16" s="39"/>
      <c r="C16" s="75">
        <v>10</v>
      </c>
      <c r="D16" s="146">
        <f>ETo!$I15*((1-Constantes!$E$19)*ETo!$K15+ETo!$L15)</f>
        <v>4.4129576288936878</v>
      </c>
      <c r="E16" s="76">
        <f>MIN(D16*Constantes!$E$17,0.8*(N15+Observaciones!$F15-F16-M16-Constantes!$D$14))</f>
        <v>2.1575493217433377</v>
      </c>
      <c r="F16" s="76">
        <f>IF(Observaciones!$F15&gt;0.05*Constantes!$E$18,((Observaciones!$F15-0.05*Constantes!$E$18)^2)/(Observaciones!$F15+0.95*Constantes!$E$18),0)</f>
        <v>0</v>
      </c>
      <c r="G16" s="76">
        <f>IF(Escenarios!$E$11&gt;0,(F16*Escenarios!$E$16*10000)/1000,0)</f>
        <v>0</v>
      </c>
      <c r="H16" s="76">
        <f>IF(Escenarios!$E$11&gt;0,(Observaciones!$F15*Constantes!$E$29)/1000,0)</f>
        <v>1</v>
      </c>
      <c r="I16" s="76">
        <f>IF(Escenarios!$E$11&gt;0,(D16*Constantes!$E$29)/1000,0)</f>
        <v>44.129576288936875</v>
      </c>
      <c r="J16" s="76">
        <f>IF(Escenarios!$E$11&gt;0,MAX(0,G16+H16-I16),0)</f>
        <v>0</v>
      </c>
      <c r="K16" s="76">
        <f>IF(Escenarios!$E$11&gt;0,IF(J16&gt;Constantes!$E$30,1000*((J16-Constantes!$E$30)/(Escenarios!$E$16*10000)),0),F16)</f>
        <v>0</v>
      </c>
      <c r="L16" s="76">
        <f>IF(Escenarios!$E$11&gt;0,I16*1000/Escenarios!$E$16/10000+E16,E16)</f>
        <v>2.1752011522589125</v>
      </c>
      <c r="M16" s="76">
        <f>MAX(0,N15+Observaciones!$F15-K16-Constantes!$D$13)</f>
        <v>0</v>
      </c>
      <c r="N16" s="76">
        <f>N15+Observaciones!$F15-K16-L16-M16-O15</f>
        <v>33.493172871540715</v>
      </c>
      <c r="O16" s="76">
        <f>MAX(0,(N16-Constantes!$D$14)*(1-EXP(-Constantes!$D$22)))</f>
        <v>0.75768412436396049</v>
      </c>
      <c r="P16" s="170">
        <f>P15+(Entradas!$E$83*M16-Q15)/(800*Entradas!$D$25)</f>
        <v>0</v>
      </c>
      <c r="Q16" s="170">
        <f>8000*Entradas!$D$26*P16/Constantes!$E$45</f>
        <v>0</v>
      </c>
      <c r="R16" s="170">
        <f>IF(Escenarios!$E$14&gt;0,K16*Escenarios!$E$13/Escenarios!$E$14,0)</f>
        <v>0</v>
      </c>
      <c r="S16" s="170">
        <f>IF(Escenarios!$E$14&gt;0,Q16*Escenarios!$E$13/Escenarios!$E$14,0)</f>
        <v>0</v>
      </c>
      <c r="T16" s="170">
        <f>IF(Escenarios!$E$14&gt;0,Observaciones!$I15,0)</f>
        <v>0</v>
      </c>
      <c r="U16" s="170">
        <f>IF(Escenarios!$E$14&gt;0,MAX(0,Constantes!$E$36/((Z15+R16+S16+T16+Observaciones!$F15)^2)+Entradas!$E$77),0)</f>
        <v>1.5902500889051734</v>
      </c>
      <c r="V16" s="146">
        <f>IF(ETo!D15&gt;0,ETo!I15*((1-Entradas!$E$81)*ETo!K15+ETo!L15),0)</f>
        <v>4.0334040324854259</v>
      </c>
      <c r="W16" s="170">
        <f>IF(Escenarios!$E$14&gt;0,MIN(V16*1,0.8*(Z15+R16+S16+T16+Observaciones!$F15-U16-Constantes!$E$35)),0)</f>
        <v>4.0334040324854259</v>
      </c>
      <c r="X16" s="170">
        <f>IF(Escenarios!$E$14&gt;0,Observaciones!$J15,0)</f>
        <v>0</v>
      </c>
      <c r="Y16" s="170">
        <f>IF(Escenarios!$E$14&gt;0,MAX(0,Z15+R16+S16+T16+Observaciones!$F15-U16-W16-X16-Constantes!$E$33),0)</f>
        <v>0</v>
      </c>
      <c r="Z16" s="170">
        <f>Z15+R16+S16+T16+Observaciones!$F15-U16-W16-Y16</f>
        <v>79.714934408642222</v>
      </c>
      <c r="AA16" s="170">
        <f>IF(Escenarios!$E$14&gt;0,(Escenarios!$E$13*L16+Escenarios!$E$14*W16)/(Escenarios!$E$16),L16)</f>
        <v>2.3981854978860944</v>
      </c>
      <c r="AB16" s="170">
        <f>IF(Escenarios!$E$14&gt;0,(Escenarios!$E$14*Y16)/(Escenarios!$E$16),K16)</f>
        <v>0</v>
      </c>
      <c r="AC16" s="170">
        <f>IF(Escenarios!$E$14&gt;0,(Escenarios!$E$13*M16+Escenarios!$E$14*U16)/(Escenarios!$E$16),M16)</f>
        <v>0.19083001066862082</v>
      </c>
      <c r="AD16" s="76">
        <f t="shared" si="1"/>
        <v>89.468904857817094</v>
      </c>
      <c r="AE16" s="76">
        <f>MAX(0,(AD16-Constantes!$D$13)*(1-EXP(-Constantes!$D$23)))</f>
        <v>0.40121306805160234</v>
      </c>
      <c r="AF16" s="76">
        <f>AB16+O16*Escenarios!$E$13/Escenarios!$E$16+AE16</f>
        <v>1.0679750974918876</v>
      </c>
      <c r="AG16" s="76">
        <f>IF(Entradas!$E$91&gt;0,IF(AF16-Escenarios!$E$38&lt;=0,0,IF(AF16-Escenarios!$E$38&gt;Escenarios!$E$37,Escenarios!$E$37,AF16-Escenarios!$E$38)),0)</f>
        <v>0</v>
      </c>
      <c r="AH16" s="76">
        <f>AG16*Entradas!$E$99</f>
        <v>0</v>
      </c>
      <c r="AI16" s="76">
        <f>IF(Entradas!$E$91&gt;0,D16*Entradas!$D$23/Escenarios!$E$16,0)</f>
        <v>0</v>
      </c>
      <c r="AJ16" s="76">
        <f>IF(Entradas!$E$91&gt;0,Entradas!$D$24*Entradas!$D$22/Escenarios!$E$16,0)</f>
        <v>0</v>
      </c>
      <c r="AK16" s="76">
        <f t="shared" si="10"/>
        <v>2.3981854978860944</v>
      </c>
      <c r="AL16" s="76">
        <f t="shared" si="11"/>
        <v>0</v>
      </c>
      <c r="AM16" s="76">
        <f t="shared" si="2"/>
        <v>0</v>
      </c>
      <c r="AN16" s="76">
        <f>MAX(0,O16*Escenarios!$E$13/Escenarios!$E$16-AM16)</f>
        <v>0.66676202944028529</v>
      </c>
      <c r="AO16" s="76">
        <f>AM16+AN16-O16*Escenarios!$E$13/Escenarios!$E$16</f>
        <v>0</v>
      </c>
      <c r="AP16" s="76">
        <f t="shared" si="0"/>
        <v>0.40121306805160234</v>
      </c>
      <c r="AQ16" s="76">
        <f t="shared" si="3"/>
        <v>0</v>
      </c>
      <c r="AR16" s="76">
        <f t="shared" si="4"/>
        <v>1.0679750974918876</v>
      </c>
      <c r="AS16" s="76">
        <f t="shared" si="5"/>
        <v>0</v>
      </c>
      <c r="AT16" s="76">
        <f t="shared" si="6"/>
        <v>0.19083001066862082</v>
      </c>
      <c r="AU16" s="76">
        <f t="shared" si="7"/>
        <v>48.75</v>
      </c>
      <c r="AV16" s="76">
        <f>MAX(0,(AU16-Constantes!$D$13)*(1-EXP(-Constantes!$D$24)))</f>
        <v>0</v>
      </c>
      <c r="AW16" s="170">
        <f>AW15+(Entradas!$E$112*AT16-AX15)/(800*Entradas!$D$25)</f>
        <v>0</v>
      </c>
      <c r="AX16" s="170">
        <f>8000*Entradas!$D$26*AW16/Constantes!$E$45</f>
        <v>0</v>
      </c>
      <c r="AY16" s="170">
        <f>IF(Escenarios!$E$17&gt;0,10*Escenarios!$E$16*AL16,0)</f>
        <v>0</v>
      </c>
      <c r="AZ16" s="170">
        <f>IF(Escenarios!$E$17&gt;0,10*Escenarios!$E$16*AX16,0)</f>
        <v>0</v>
      </c>
      <c r="BA16" s="170">
        <f>IF(Escenarios!$E$17&gt;0,0.001*Observaciones!$F15*Escenarios!$E$17,0)</f>
        <v>2</v>
      </c>
      <c r="BB16" s="170">
        <f>IF(Escenarios!$E$17&gt;0,Observaciones!$K15,0)</f>
        <v>0</v>
      </c>
      <c r="BC16" s="170">
        <f>IF(Escenarios!$E$17&gt;0,MIN(0.0005*ETo!$M15*Escenarios!$E$17*(BG15/Constantes!$E$40)^(2/3),BG15+AY16+AZ16+BA16+BB16),0)</f>
        <v>14.986639278493477</v>
      </c>
      <c r="BD16" s="170">
        <f>IF(Escenarios!$E$17&gt;0,MIN(Constantes!$E$39*(BG15/Constantes!$E$40)^(2/3),BG15+AY16+AZ16+BA16+BB16-BC16),0)</f>
        <v>23.929823349416122</v>
      </c>
      <c r="BE16" s="170">
        <f>IF(Escenarios!$E$17&gt;0,MIN(Entradas!$E$113,BG15+AY16+AZ16+BA16+BB16-BC16-BD16),0)</f>
        <v>1</v>
      </c>
      <c r="BF16" s="170">
        <f>IF(Escenarios!$E$17&gt;0,MAX(0,BG15+AY16+AZ16+BA16+BB16-BC16-BD16-BE16-Constantes!$E$40),0)</f>
        <v>0</v>
      </c>
      <c r="BG16" s="170">
        <f t="shared" si="12"/>
        <v>1052.7274995230871</v>
      </c>
      <c r="BH16" s="170">
        <f>(Escenarios!$E$16*AK16+0.1*BC16)/(Escenarios!$E$19)</f>
        <v>2.3850993587276701</v>
      </c>
      <c r="BI16" s="170">
        <f>IF(Escenarios!$E$17&gt;0,BF16/10/Escenarios!$E$19,AL16)</f>
        <v>0</v>
      </c>
      <c r="BJ16" s="170">
        <f>(Escenarios!$E$16*AT16+0.1*BD16)/(Escenarios!$E$19)</f>
        <v>0.19881144842101911</v>
      </c>
      <c r="BK16" s="76">
        <f>BK15+(0.1*BD16)/(Escenarios!$E$19)-BL15</f>
        <v>48.818535362331509</v>
      </c>
      <c r="BL16" s="76">
        <f>MAX(0,(BK16-Constantes!$D$13)*(1-EXP(-Constantes!$D$23)))</f>
        <v>6.7529524890388331E-4</v>
      </c>
      <c r="BM16" s="76">
        <f t="shared" si="8"/>
        <v>0.4018883633005062</v>
      </c>
      <c r="BN16" s="76">
        <f t="shared" si="13"/>
        <v>1.0686503927407915</v>
      </c>
      <c r="BO16" s="76">
        <f>0.0526*BI16*Observaciones!$F15^1.218</f>
        <v>0</v>
      </c>
      <c r="BP16" s="76">
        <f>BO16*Constantes!$E$51</f>
        <v>0</v>
      </c>
      <c r="BQ16" s="76">
        <f t="shared" si="9"/>
        <v>0</v>
      </c>
      <c r="BR16" s="40"/>
    </row>
    <row r="17" spans="1:70">
      <c r="A17" s="147"/>
      <c r="B17" s="39"/>
      <c r="C17" s="75">
        <v>11</v>
      </c>
      <c r="D17" s="146">
        <f>ETo!$I16*((1-Constantes!$E$19)*ETo!$K16+ETo!$L16)</f>
        <v>4.3310516122240452</v>
      </c>
      <c r="E17" s="76">
        <f>MIN(D17*Constantes!$E$17,0.8*(N16+Observaciones!$F16-F17-M17-Constantes!$D$14))</f>
        <v>2.1175044616804986</v>
      </c>
      <c r="F17" s="76">
        <f>IF(Observaciones!$F16&gt;0.05*Constantes!$E$18,((Observaciones!$F16-0.05*Constantes!$E$18)^2)/(Observaciones!$F16+0.95*Constantes!$E$18),0)</f>
        <v>0</v>
      </c>
      <c r="G17" s="76">
        <f>IF(Escenarios!$E$11&gt;0,(F17*Escenarios!$E$16*10000)/1000,0)</f>
        <v>0</v>
      </c>
      <c r="H17" s="76">
        <f>IF(Escenarios!$E$11&gt;0,(Observaciones!$F16*Constantes!$E$29)/1000,0)</f>
        <v>29</v>
      </c>
      <c r="I17" s="76">
        <f>IF(Escenarios!$E$11&gt;0,(D17*Constantes!$E$29)/1000,0)</f>
        <v>43.31051612224045</v>
      </c>
      <c r="J17" s="76">
        <f>IF(Escenarios!$E$11&gt;0,MAX(0,G17+H17-I17),0)</f>
        <v>0</v>
      </c>
      <c r="K17" s="76">
        <f>IF(Escenarios!$E$11&gt;0,IF(J17&gt;Constantes!$E$30,1000*((J17-Constantes!$E$30)/(Escenarios!$E$16*10000)),0),F17)</f>
        <v>0</v>
      </c>
      <c r="L17" s="76">
        <f>IF(Escenarios!$E$11&gt;0,I17*1000/Escenarios!$E$16/10000+E17,E17)</f>
        <v>2.1348286681293946</v>
      </c>
      <c r="M17" s="76">
        <f>MAX(0,N16+Observaciones!$F16-K17-Constantes!$D$13)</f>
        <v>0</v>
      </c>
      <c r="N17" s="76">
        <f>N16+Observaciones!$F16-K17-L17-M17-O16</f>
        <v>33.500660079047357</v>
      </c>
      <c r="O17" s="76">
        <f>MAX(0,(N17-Constantes!$D$14)*(1-EXP(-Constantes!$D$22)))</f>
        <v>0.75793916613773815</v>
      </c>
      <c r="P17" s="170">
        <f>P16+(Entradas!$E$83*M17-Q16)/(800*Entradas!$D$25)</f>
        <v>0</v>
      </c>
      <c r="Q17" s="170">
        <f>8000*Entradas!$D$26*P17/Constantes!$E$45</f>
        <v>0</v>
      </c>
      <c r="R17" s="170">
        <f>IF(Escenarios!$E$14&gt;0,K17*Escenarios!$E$13/Escenarios!$E$14,0)</f>
        <v>0</v>
      </c>
      <c r="S17" s="170">
        <f>IF(Escenarios!$E$14&gt;0,Q17*Escenarios!$E$13/Escenarios!$E$14,0)</f>
        <v>0</v>
      </c>
      <c r="T17" s="170">
        <f>IF(Escenarios!$E$14&gt;0,Observaciones!$I16,0)</f>
        <v>0</v>
      </c>
      <c r="U17" s="170">
        <f>IF(Escenarios!$E$14&gt;0,MAX(0,Constantes!$E$36/((Z16+R17+S17+T17+Observaciones!$F16)^2)+Entradas!$E$77),0)</f>
        <v>1.4957644020714653</v>
      </c>
      <c r="V17" s="146">
        <f>IF(ETo!D16&gt;0,ETo!I16*((1-Entradas!$E$81)*ETo!K16+ETo!L16),0)</f>
        <v>3.9576660515773541</v>
      </c>
      <c r="W17" s="170">
        <f>IF(Escenarios!$E$14&gt;0,MIN(V17*1,0.8*(Z16+R17+S17+T17+Observaciones!$F16-U17-Constantes!$E$35)),0)</f>
        <v>3.9576660515773541</v>
      </c>
      <c r="X17" s="170">
        <f>IF(Escenarios!$E$14&gt;0,Observaciones!$J16,0)</f>
        <v>0</v>
      </c>
      <c r="Y17" s="170">
        <f>IF(Escenarios!$E$14&gt;0,MAX(0,Z16+R17+S17+T17+Observaciones!$F16-U17-W17-X17-Constantes!$E$33),0)</f>
        <v>0</v>
      </c>
      <c r="Z17" s="170">
        <f>Z16+R17+S17+T17+Observaciones!$F16-U17-W17-Y17</f>
        <v>77.161503954993407</v>
      </c>
      <c r="AA17" s="170">
        <f>IF(Escenarios!$E$14&gt;0,(Escenarios!$E$13*L17+Escenarios!$E$14*W17)/(Escenarios!$E$16),L17)</f>
        <v>2.3535691541431496</v>
      </c>
      <c r="AB17" s="170">
        <f>IF(Escenarios!$E$14&gt;0,(Escenarios!$E$14*Y17)/(Escenarios!$E$16),K17)</f>
        <v>0</v>
      </c>
      <c r="AC17" s="170">
        <f>IF(Escenarios!$E$14&gt;0,(Escenarios!$E$13*M17+Escenarios!$E$14*U17)/(Escenarios!$E$16),M17)</f>
        <v>0.17949172824857584</v>
      </c>
      <c r="AD17" s="76">
        <f t="shared" si="1"/>
        <v>89.247183518014069</v>
      </c>
      <c r="AE17" s="76">
        <f>MAX(0,(AD17-Constantes!$D$13)*(1-EXP(-Constantes!$D$23)))</f>
        <v>0.39902839488061442</v>
      </c>
      <c r="AF17" s="76">
        <f>AB17+O17*Escenarios!$E$13/Escenarios!$E$16+AE17</f>
        <v>1.0660148610818241</v>
      </c>
      <c r="AG17" s="76">
        <f>IF(Entradas!$E$91&gt;0,IF(AF17-Escenarios!$E$38&lt;=0,0,IF(AF17-Escenarios!$E$38&gt;Escenarios!$E$37,Escenarios!$E$37,AF17-Escenarios!$E$38)),0)</f>
        <v>0</v>
      </c>
      <c r="AH17" s="76">
        <f>AG17*Entradas!$E$99</f>
        <v>0</v>
      </c>
      <c r="AI17" s="76">
        <f>IF(Entradas!$E$91&gt;0,D17*Entradas!$D$23/Escenarios!$E$16,0)</f>
        <v>0</v>
      </c>
      <c r="AJ17" s="76">
        <f>IF(Entradas!$E$91&gt;0,Entradas!$D$24*Entradas!$D$22/Escenarios!$E$16,0)</f>
        <v>0</v>
      </c>
      <c r="AK17" s="76">
        <f t="shared" si="10"/>
        <v>2.3535691541431496</v>
      </c>
      <c r="AL17" s="76">
        <f t="shared" si="11"/>
        <v>0</v>
      </c>
      <c r="AM17" s="76">
        <f t="shared" si="2"/>
        <v>0</v>
      </c>
      <c r="AN17" s="76">
        <f>MAX(0,O17*Escenarios!$E$13/Escenarios!$E$16-AM17)</f>
        <v>0.6669864662012096</v>
      </c>
      <c r="AO17" s="76">
        <f>AM17+AN17-O17*Escenarios!$E$13/Escenarios!$E$16</f>
        <v>0</v>
      </c>
      <c r="AP17" s="76">
        <f t="shared" si="0"/>
        <v>0.39902839488061442</v>
      </c>
      <c r="AQ17" s="76">
        <f t="shared" si="3"/>
        <v>0</v>
      </c>
      <c r="AR17" s="76">
        <f t="shared" si="4"/>
        <v>1.0660148610818241</v>
      </c>
      <c r="AS17" s="76">
        <f t="shared" si="5"/>
        <v>0</v>
      </c>
      <c r="AT17" s="76">
        <f t="shared" si="6"/>
        <v>0.17949172824857584</v>
      </c>
      <c r="AU17" s="76">
        <f t="shared" si="7"/>
        <v>48.75</v>
      </c>
      <c r="AV17" s="76">
        <f>MAX(0,(AU17-Constantes!$D$13)*(1-EXP(-Constantes!$D$24)))</f>
        <v>0</v>
      </c>
      <c r="AW17" s="170">
        <f>AW16+(Entradas!$E$112*AT17-AX16)/(800*Entradas!$D$25)</f>
        <v>0</v>
      </c>
      <c r="AX17" s="170">
        <f>8000*Entradas!$D$26*AW17/Constantes!$E$45</f>
        <v>0</v>
      </c>
      <c r="AY17" s="170">
        <f>IF(Escenarios!$E$17&gt;0,10*Escenarios!$E$16*AL17,0)</f>
        <v>0</v>
      </c>
      <c r="AZ17" s="170">
        <f>IF(Escenarios!$E$17&gt;0,10*Escenarios!$E$16*AX17,0)</f>
        <v>0</v>
      </c>
      <c r="BA17" s="170">
        <f>IF(Escenarios!$E$17&gt;0,0.001*Observaciones!$F16*Escenarios!$E$17,0)</f>
        <v>57.999999999999993</v>
      </c>
      <c r="BB17" s="170">
        <f>IF(Escenarios!$E$17&gt;0,Observaciones!$K16,0)</f>
        <v>506.44223431713607</v>
      </c>
      <c r="BC17" s="170">
        <f>IF(Escenarios!$E$17&gt;0,MIN(0.0005*ETo!$M16*Escenarios!$E$17*(BG16/Constantes!$E$40)^(2/3),BG16+AY17+AZ17+BA17+BB17),0)</f>
        <v>14.369609922513931</v>
      </c>
      <c r="BD17" s="170">
        <f>IF(Escenarios!$E$17&gt;0,MIN(Constantes!$E$39*(BG16/Constantes!$E$40)^(2/3),BG16+AY17+AZ17+BA17+BB17-BC17),0)</f>
        <v>23.371942269198701</v>
      </c>
      <c r="BE17" s="170">
        <f>IF(Escenarios!$E$17&gt;0,MIN(Entradas!$E$113,BG16+AY17+AZ17+BA17+BB17-BC17-BD17),0)</f>
        <v>1</v>
      </c>
      <c r="BF17" s="170">
        <f>IF(Escenarios!$E$17&gt;0,MAX(0,BG16+AY17+AZ17+BA17+BB17-BC17-BD17-BE17-Constantes!$E$40),0)</f>
        <v>0</v>
      </c>
      <c r="BG17" s="170">
        <f t="shared" si="12"/>
        <v>1578.4281816485106</v>
      </c>
      <c r="BH17" s="170">
        <f>(Escenarios!$E$16*AK17+0.1*BC17)/(Escenarios!$E$19)</f>
        <v>2.3405922600319005</v>
      </c>
      <c r="BI17" s="170">
        <f>IF(Escenarios!$E$17&gt;0,BF17/10/Escenarios!$E$19,AL17)</f>
        <v>0</v>
      </c>
      <c r="BJ17" s="170">
        <f>(Escenarios!$E$16*AT17+0.1*BD17)/(Escenarios!$E$19)</f>
        <v>0.18734177098834853</v>
      </c>
      <c r="BK17" s="76">
        <f>BK16+(0.1*BD17)/(Escenarios!$E$19)-BL16</f>
        <v>48.82713464734816</v>
      </c>
      <c r="BL17" s="76">
        <f>MAX(0,(BK17-Constantes!$D$13)*(1-EXP(-Constantes!$D$23)))</f>
        <v>7.6002605236305792E-4</v>
      </c>
      <c r="BM17" s="76">
        <f t="shared" si="8"/>
        <v>0.39978842093297751</v>
      </c>
      <c r="BN17" s="76">
        <f t="shared" si="13"/>
        <v>1.0667748871341871</v>
      </c>
      <c r="BO17" s="76">
        <f>0.0526*BI17*Observaciones!$F16^1.218</f>
        <v>0</v>
      </c>
      <c r="BP17" s="76">
        <f>BO17*Constantes!$E$51</f>
        <v>0</v>
      </c>
      <c r="BQ17" s="76">
        <f t="shared" si="9"/>
        <v>0</v>
      </c>
      <c r="BR17" s="40"/>
    </row>
    <row r="18" spans="1:70">
      <c r="A18" s="147"/>
      <c r="B18" s="39"/>
      <c r="C18" s="75">
        <v>12</v>
      </c>
      <c r="D18" s="146">
        <f>ETo!$I17*((1-Constantes!$E$19)*ETo!$K17+ETo!$L17)</f>
        <v>4.2490476837702902</v>
      </c>
      <c r="E18" s="76">
        <f>MIN(D18*Constantes!$E$17,0.8*(N17+Observaciones!$F17-F18-M18-Constantes!$D$14))</f>
        <v>2.0774117313408142</v>
      </c>
      <c r="F18" s="76">
        <f>IF(Observaciones!$F17&gt;0.05*Constantes!$E$18,((Observaciones!$F17-0.05*Constantes!$E$18)^2)/(Observaciones!$F17+0.95*Constantes!$E$18),0)</f>
        <v>1.0562454016966618</v>
      </c>
      <c r="G18" s="76">
        <f>IF(Escenarios!$E$11&gt;0,(F18*Escenarios!$E$16*10000)/1000,0)</f>
        <v>2640.613504241654</v>
      </c>
      <c r="H18" s="76">
        <f>IF(Escenarios!$E$11&gt;0,(Observaciones!$F17*Constantes!$E$29)/1000,0)</f>
        <v>177</v>
      </c>
      <c r="I18" s="76">
        <f>IF(Escenarios!$E$11&gt;0,(D18*Constantes!$E$29)/1000,0)</f>
        <v>42.4904768377029</v>
      </c>
      <c r="J18" s="76">
        <f>IF(Escenarios!$E$11&gt;0,MAX(0,G18+H18-I18),0)</f>
        <v>2775.1230274039513</v>
      </c>
      <c r="K18" s="76">
        <f>IF(Escenarios!$E$11&gt;0,IF(J18&gt;Constantes!$E$30,1000*((J18-Constantes!$E$30)/(Escenarios!$E$16*10000)),0),F18)</f>
        <v>0.59534332860863937</v>
      </c>
      <c r="L18" s="76">
        <f>IF(Escenarios!$E$11&gt;0,I18*1000/Escenarios!$E$16/10000+E18,E18)</f>
        <v>2.0944079220758955</v>
      </c>
      <c r="M18" s="76">
        <f>MAX(0,N17+Observaciones!$F17-K18-Constantes!$D$13)</f>
        <v>1.8553167504387105</v>
      </c>
      <c r="N18" s="76">
        <f>N17+Observaciones!$F17-K18-L18-M18-O17</f>
        <v>45.897652911786366</v>
      </c>
      <c r="O18" s="76">
        <f>MAX(0,(N18-Constantes!$D$14)*(1-EXP(-Constantes!$D$22)))</f>
        <v>1.1802262523132063</v>
      </c>
      <c r="P18" s="170">
        <f>P17+(Entradas!$E$83*M18-Q17)/(800*Entradas!$D$25)</f>
        <v>0</v>
      </c>
      <c r="Q18" s="170">
        <f>8000*Entradas!$D$26*P18/Constantes!$E$45</f>
        <v>0</v>
      </c>
      <c r="R18" s="170">
        <f>IF(Escenarios!$E$14&gt;0,K18*Escenarios!$E$13/Escenarios!$E$14,0)</f>
        <v>4.3658510764633558</v>
      </c>
      <c r="S18" s="170">
        <f>IF(Escenarios!$E$14&gt;0,Q18*Escenarios!$E$13/Escenarios!$E$14,0)</f>
        <v>0</v>
      </c>
      <c r="T18" s="170">
        <f>IF(Escenarios!$E$14&gt;0,Observaciones!$I17,0)</f>
        <v>0</v>
      </c>
      <c r="U18" s="170">
        <f>IF(Escenarios!$E$14&gt;0,MAX(0,Constantes!$E$36/((Z17+R18+S18+T18+Observaciones!$F17)^2)+Entradas!$E$77),0)</f>
        <v>1.9572741104330811</v>
      </c>
      <c r="V18" s="146">
        <f>IF(ETo!D17&gt;0,ETo!I17*((1-Entradas!$E$81)*ETo!K17+ETo!L17),0)</f>
        <v>3.8819803340952155</v>
      </c>
      <c r="W18" s="170">
        <f>IF(Escenarios!$E$14&gt;0,MIN(V18*1,0.8*(Z17+R18+S18+T18+Observaciones!$F17-U18-Constantes!$E$35)),0)</f>
        <v>3.8819803340952155</v>
      </c>
      <c r="X18" s="170">
        <f>IF(Escenarios!$E$14&gt;0,Observaciones!$J17,0)</f>
        <v>0</v>
      </c>
      <c r="Y18" s="170">
        <f>IF(Escenarios!$E$14&gt;0,MAX(0,Z17+R18+S18+T18+Observaciones!$F17-U18-W18-X18-Constantes!$E$33),0)</f>
        <v>0</v>
      </c>
      <c r="Z18" s="170">
        <f>Z17+R18+S18+T18+Observaciones!$F17-U18-W18-Y18</f>
        <v>93.388100586928473</v>
      </c>
      <c r="AA18" s="170">
        <f>IF(Escenarios!$E$14&gt;0,(Escenarios!$E$13*L18+Escenarios!$E$14*W18)/(Escenarios!$E$16),L18)</f>
        <v>2.3089166115182138</v>
      </c>
      <c r="AB18" s="170">
        <f>IF(Escenarios!$E$14&gt;0,(Escenarios!$E$14*Y18)/(Escenarios!$E$16),K18)</f>
        <v>0</v>
      </c>
      <c r="AC18" s="170">
        <f>IF(Escenarios!$E$14&gt;0,(Escenarios!$E$13*M18+Escenarios!$E$14*U18)/(Escenarios!$E$16),M18)</f>
        <v>1.8675516336380351</v>
      </c>
      <c r="AD18" s="76">
        <f t="shared" si="1"/>
        <v>90.715706756771482</v>
      </c>
      <c r="AE18" s="76">
        <f>MAX(0,(AD18-Constantes!$D$13)*(1-EXP(-Constantes!$D$23)))</f>
        <v>0.41349810412707583</v>
      </c>
      <c r="AF18" s="76">
        <f>AB18+O18*Escenarios!$E$13/Escenarios!$E$16+AE18</f>
        <v>1.4520972061626973</v>
      </c>
      <c r="AG18" s="76">
        <f>IF(Entradas!$E$91&gt;0,IF(AF18-Escenarios!$E$38&lt;=0,0,IF(AF18-Escenarios!$E$38&gt;Escenarios!$E$37,Escenarios!$E$37,AF18-Escenarios!$E$38)),0)</f>
        <v>0</v>
      </c>
      <c r="AH18" s="76">
        <f>AG18*Entradas!$E$99</f>
        <v>0</v>
      </c>
      <c r="AI18" s="76">
        <f>IF(Entradas!$E$91&gt;0,D18*Entradas!$D$23/Escenarios!$E$16,0)</f>
        <v>0</v>
      </c>
      <c r="AJ18" s="76">
        <f>IF(Entradas!$E$91&gt;0,Entradas!$D$24*Entradas!$D$22/Escenarios!$E$16,0)</f>
        <v>0</v>
      </c>
      <c r="AK18" s="76">
        <f t="shared" si="10"/>
        <v>2.3089166115182138</v>
      </c>
      <c r="AL18" s="76">
        <f t="shared" si="11"/>
        <v>0</v>
      </c>
      <c r="AM18" s="76">
        <f t="shared" si="2"/>
        <v>0</v>
      </c>
      <c r="AN18" s="76">
        <f>MAX(0,O18*Escenarios!$E$13/Escenarios!$E$16-AM18)</f>
        <v>1.0385991020356216</v>
      </c>
      <c r="AO18" s="76">
        <f>AM18+AN18-O18*Escenarios!$E$13/Escenarios!$E$16</f>
        <v>0</v>
      </c>
      <c r="AP18" s="76">
        <f t="shared" si="0"/>
        <v>0.41349810412707583</v>
      </c>
      <c r="AQ18" s="76">
        <f t="shared" si="3"/>
        <v>0</v>
      </c>
      <c r="AR18" s="76">
        <f t="shared" si="4"/>
        <v>1.4520972061626973</v>
      </c>
      <c r="AS18" s="76">
        <f t="shared" si="5"/>
        <v>0</v>
      </c>
      <c r="AT18" s="76">
        <f t="shared" si="6"/>
        <v>1.8675516336380351</v>
      </c>
      <c r="AU18" s="76">
        <f t="shared" si="7"/>
        <v>48.75</v>
      </c>
      <c r="AV18" s="76">
        <f>MAX(0,(AU18-Constantes!$D$13)*(1-EXP(-Constantes!$D$24)))</f>
        <v>0</v>
      </c>
      <c r="AW18" s="170">
        <f>AW17+(Entradas!$E$112*AT18-AX17)/(800*Entradas!$D$25)</f>
        <v>0</v>
      </c>
      <c r="AX18" s="170">
        <f>8000*Entradas!$D$26*AW18/Constantes!$E$45</f>
        <v>0</v>
      </c>
      <c r="AY18" s="170">
        <f>IF(Escenarios!$E$17&gt;0,10*Escenarios!$E$16*AL18,0)</f>
        <v>0</v>
      </c>
      <c r="AZ18" s="170">
        <f>IF(Escenarios!$E$17&gt;0,10*Escenarios!$E$16*AX18,0)</f>
        <v>0</v>
      </c>
      <c r="BA18" s="170">
        <f>IF(Escenarios!$E$17&gt;0,0.001*Observaciones!$F17*Escenarios!$E$17,0)</f>
        <v>354</v>
      </c>
      <c r="BB18" s="170">
        <f>IF(Escenarios!$E$17&gt;0,Observaciones!$K17,0)</f>
        <v>0</v>
      </c>
      <c r="BC18" s="170">
        <f>IF(Escenarios!$E$17&gt;0,MIN(0.0005*ETo!$M17*Escenarios!$E$17*(BG17/Constantes!$E$40)^(2/3),BG17+AY18+AZ18+BA18+BB18),0)</f>
        <v>18.472352349240786</v>
      </c>
      <c r="BD18" s="170">
        <f>IF(Escenarios!$E$17&gt;0,MIN(Constantes!$E$39*(BG17/Constantes!$E$40)^(2/3),BG17+AY18+AZ18+BA18+BB18-BC18),0)</f>
        <v>30.61733437791554</v>
      </c>
      <c r="BE18" s="170">
        <f>IF(Escenarios!$E$17&gt;0,MIN(Entradas!$E$113,BG17+AY18+AZ18+BA18+BB18-BC18-BD18),0)</f>
        <v>1</v>
      </c>
      <c r="BF18" s="170">
        <f>IF(Escenarios!$E$17&gt;0,MAX(0,BG17+AY18+AZ18+BA18+BB18-BC18-BD18-BE18-Constantes!$E$40),0)</f>
        <v>0</v>
      </c>
      <c r="BG18" s="170">
        <f t="shared" si="12"/>
        <v>1882.3384949213544</v>
      </c>
      <c r="BH18" s="170">
        <f>(Escenarios!$E$16*AK18+0.1*BC18)/(Escenarios!$E$19)</f>
        <v>2.2979221750574501</v>
      </c>
      <c r="BI18" s="170">
        <f>IF(Escenarios!$E$17&gt;0,BF18/10/Escenarios!$E$19,AL18)</f>
        <v>0</v>
      </c>
      <c r="BJ18" s="170">
        <f>(Escenarios!$E$16*AT18+0.1*BD18)/(Escenarios!$E$19)</f>
        <v>1.8648795311400805</v>
      </c>
      <c r="BK18" s="76">
        <f>BK17+(0.1*BD18)/(Escenarios!$E$19)-BL17</f>
        <v>48.838524357160054</v>
      </c>
      <c r="BL18" s="76">
        <f>MAX(0,(BK18-Constantes!$D$13)*(1-EXP(-Constantes!$D$23)))</f>
        <v>8.7225157595717203E-4</v>
      </c>
      <c r="BM18" s="76">
        <f t="shared" si="8"/>
        <v>0.41437035570303299</v>
      </c>
      <c r="BN18" s="76">
        <f t="shared" si="13"/>
        <v>1.4529694577386545</v>
      </c>
      <c r="BO18" s="76">
        <f>0.0526*BI18*Observaciones!$F17^1.218</f>
        <v>0</v>
      </c>
      <c r="BP18" s="76">
        <f>BO18*Constantes!$E$51</f>
        <v>0</v>
      </c>
      <c r="BQ18" s="76">
        <f t="shared" si="9"/>
        <v>0</v>
      </c>
      <c r="BR18" s="40"/>
    </row>
    <row r="19" spans="1:70">
      <c r="A19" s="147"/>
      <c r="B19" s="39"/>
      <c r="C19" s="75">
        <v>13</v>
      </c>
      <c r="D19" s="146">
        <f>ETo!$I18*((1-Constantes!$E$19)*ETo!$K18+ETo!$L18)</f>
        <v>4.38511840988357</v>
      </c>
      <c r="E19" s="76">
        <f>MIN(D19*Constantes!$E$17,0.8*(N18+Observaciones!$F18-F19-M19-Constantes!$D$14))</f>
        <v>2.1439383847835369</v>
      </c>
      <c r="F19" s="76">
        <f>IF(Observaciones!$F18&gt;0.05*Constantes!$E$18,((Observaciones!$F18-0.05*Constantes!$E$18)^2)/(Observaciones!$F18+0.95*Constantes!$E$18),0)</f>
        <v>0</v>
      </c>
      <c r="G19" s="76">
        <f>IF(Escenarios!$E$11&gt;0,(F19*Escenarios!$E$16*10000)/1000,0)</f>
        <v>0</v>
      </c>
      <c r="H19" s="76">
        <f>IF(Escenarios!$E$11&gt;0,(Observaciones!$F18*Constantes!$E$29)/1000,0)</f>
        <v>4</v>
      </c>
      <c r="I19" s="76">
        <f>IF(Escenarios!$E$11&gt;0,(D19*Constantes!$E$29)/1000,0)</f>
        <v>43.851184098835702</v>
      </c>
      <c r="J19" s="76">
        <f>IF(Escenarios!$E$11&gt;0,MAX(0,G19+H19-I19),0)</f>
        <v>0</v>
      </c>
      <c r="K19" s="76">
        <f>IF(Escenarios!$E$11&gt;0,IF(J19&gt;Constantes!$E$30,1000*((J19-Constantes!$E$30)/(Escenarios!$E$16*10000)),0),F19)</f>
        <v>0</v>
      </c>
      <c r="L19" s="76">
        <f>IF(Escenarios!$E$11&gt;0,I19*1000/Escenarios!$E$16/10000+E19,E19)</f>
        <v>2.1614788584230711</v>
      </c>
      <c r="M19" s="76">
        <f>MAX(0,N18+Observaciones!$F18-K19-Constantes!$D$13)</f>
        <v>0</v>
      </c>
      <c r="N19" s="76">
        <f>N18+Observaciones!$F18-K19-L19-M19-O18</f>
        <v>42.955947801050087</v>
      </c>
      <c r="O19" s="76">
        <f>MAX(0,(N19-Constantes!$D$14)*(1-EXP(-Constantes!$D$22)))</f>
        <v>1.0800209770209852</v>
      </c>
      <c r="P19" s="170">
        <f>P18+(Entradas!$E$83*M19-Q18)/(800*Entradas!$D$25)</f>
        <v>0</v>
      </c>
      <c r="Q19" s="170">
        <f>8000*Entradas!$D$26*P19/Constantes!$E$45</f>
        <v>0</v>
      </c>
      <c r="R19" s="170">
        <f>IF(Escenarios!$E$14&gt;0,K19*Escenarios!$E$13/Escenarios!$E$14,0)</f>
        <v>0</v>
      </c>
      <c r="S19" s="170">
        <f>IF(Escenarios!$E$14&gt;0,Q19*Escenarios!$E$13/Escenarios!$E$14,0)</f>
        <v>0</v>
      </c>
      <c r="T19" s="170">
        <f>IF(Escenarios!$E$14&gt;0,Observaciones!$I18,0)</f>
        <v>0</v>
      </c>
      <c r="U19" s="170">
        <f>IF(Escenarios!$E$14&gt;0,MAX(0,Constantes!$E$36/((Z18+R19+S19+T19+Observaciones!$F18)^2)+Entradas!$E$77),0)</f>
        <v>1.832820890572918</v>
      </c>
      <c r="V19" s="146">
        <f>IF(ETo!D18&gt;0,ETo!I18*((1-Entradas!$E$81)*ETo!K18+ETo!L18),0)</f>
        <v>4.0076387957249384</v>
      </c>
      <c r="W19" s="170">
        <f>IF(Escenarios!$E$14&gt;0,MIN(V19*1,0.8*(Z18+R19+S19+T19+Observaciones!$F18-U19-Constantes!$E$35)),0)</f>
        <v>4.0076387957249384</v>
      </c>
      <c r="X19" s="170">
        <f>IF(Escenarios!$E$14&gt;0,Observaciones!$J18,0)</f>
        <v>0</v>
      </c>
      <c r="Y19" s="170">
        <f>IF(Escenarios!$E$14&gt;0,MAX(0,Z18+R19+S19+T19+Observaciones!$F18-U19-W19-X19-Constantes!$E$33),0)</f>
        <v>0</v>
      </c>
      <c r="Z19" s="170">
        <f>Z18+R19+S19+T19+Observaciones!$F18-U19-W19-Y19</f>
        <v>87.947640900630617</v>
      </c>
      <c r="AA19" s="170">
        <f>IF(Escenarios!$E$14&gt;0,(Escenarios!$E$13*L19+Escenarios!$E$14*W19)/(Escenarios!$E$16),L19)</f>
        <v>2.3830180508992953</v>
      </c>
      <c r="AB19" s="170">
        <f>IF(Escenarios!$E$14&gt;0,(Escenarios!$E$14*Y19)/(Escenarios!$E$16),K19)</f>
        <v>0</v>
      </c>
      <c r="AC19" s="170">
        <f>IF(Escenarios!$E$14&gt;0,(Escenarios!$E$13*M19+Escenarios!$E$14*U19)/(Escenarios!$E$16),M19)</f>
        <v>0.21993850686875016</v>
      </c>
      <c r="AD19" s="76">
        <f t="shared" si="1"/>
        <v>90.522147159513153</v>
      </c>
      <c r="AE19" s="76">
        <f>MAX(0,(AD19-Constantes!$D$13)*(1-EXP(-Constantes!$D$23)))</f>
        <v>0.41159091531298525</v>
      </c>
      <c r="AF19" s="76">
        <f>AB19+O19*Escenarios!$E$13/Escenarios!$E$16+AE19</f>
        <v>1.3620093750914521</v>
      </c>
      <c r="AG19" s="76">
        <f>IF(Entradas!$E$91&gt;0,IF(AF19-Escenarios!$E$38&lt;=0,0,IF(AF19-Escenarios!$E$38&gt;Escenarios!$E$37,Escenarios!$E$37,AF19-Escenarios!$E$38)),0)</f>
        <v>0</v>
      </c>
      <c r="AH19" s="76">
        <f>AG19*Entradas!$E$99</f>
        <v>0</v>
      </c>
      <c r="AI19" s="76">
        <f>IF(Entradas!$E$91&gt;0,D19*Entradas!$D$23/Escenarios!$E$16,0)</f>
        <v>0</v>
      </c>
      <c r="AJ19" s="76">
        <f>IF(Entradas!$E$91&gt;0,Entradas!$D$24*Entradas!$D$22/Escenarios!$E$16,0)</f>
        <v>0</v>
      </c>
      <c r="AK19" s="76">
        <f t="shared" si="10"/>
        <v>2.3830180508992953</v>
      </c>
      <c r="AL19" s="76">
        <f t="shared" si="11"/>
        <v>0</v>
      </c>
      <c r="AM19" s="76">
        <f t="shared" si="2"/>
        <v>0</v>
      </c>
      <c r="AN19" s="76">
        <f>MAX(0,O19*Escenarios!$E$13/Escenarios!$E$16-AM19)</f>
        <v>0.95041845977846695</v>
      </c>
      <c r="AO19" s="76">
        <f>AM19+AN19-O19*Escenarios!$E$13/Escenarios!$E$16</f>
        <v>0</v>
      </c>
      <c r="AP19" s="76">
        <f t="shared" si="0"/>
        <v>0.41159091531298525</v>
      </c>
      <c r="AQ19" s="76">
        <f t="shared" si="3"/>
        <v>0</v>
      </c>
      <c r="AR19" s="76">
        <f t="shared" si="4"/>
        <v>1.3620093750914521</v>
      </c>
      <c r="AS19" s="76">
        <f t="shared" si="5"/>
        <v>0</v>
      </c>
      <c r="AT19" s="76">
        <f t="shared" si="6"/>
        <v>0.21993850686875016</v>
      </c>
      <c r="AU19" s="76">
        <f t="shared" si="7"/>
        <v>48.75</v>
      </c>
      <c r="AV19" s="76">
        <f>MAX(0,(AU19-Constantes!$D$13)*(1-EXP(-Constantes!$D$24)))</f>
        <v>0</v>
      </c>
      <c r="AW19" s="170">
        <f>AW18+(Entradas!$E$112*AT19-AX18)/(800*Entradas!$D$25)</f>
        <v>0</v>
      </c>
      <c r="AX19" s="170">
        <f>8000*Entradas!$D$26*AW19/Constantes!$E$45</f>
        <v>0</v>
      </c>
      <c r="AY19" s="170">
        <f>IF(Escenarios!$E$17&gt;0,10*Escenarios!$E$16*AL19,0)</f>
        <v>0</v>
      </c>
      <c r="AZ19" s="170">
        <f>IF(Escenarios!$E$17&gt;0,10*Escenarios!$E$16*AX19,0)</f>
        <v>0</v>
      </c>
      <c r="BA19" s="170">
        <f>IF(Escenarios!$E$17&gt;0,0.001*Observaciones!$F18*Escenarios!$E$17,0)</f>
        <v>8</v>
      </c>
      <c r="BB19" s="170">
        <f>IF(Escenarios!$E$17&gt;0,Observaciones!$K18,0)</f>
        <v>0</v>
      </c>
      <c r="BC19" s="170">
        <f>IF(Escenarios!$E$17&gt;0,MIN(0.0005*ETo!$M18*Escenarios!$E$17*(BG18/Constantes!$E$40)^(2/3),BG18+AY19+AZ19+BA19+BB19),0)</f>
        <v>21.429380679302849</v>
      </c>
      <c r="BD19" s="170">
        <f>IF(Escenarios!$E$17&gt;0,MIN(Constantes!$E$39*(BG18/Constantes!$E$40)^(2/3),BG18+AY19+AZ19+BA19+BB19-BC19),0)</f>
        <v>34.43097404399407</v>
      </c>
      <c r="BE19" s="170">
        <f>IF(Escenarios!$E$17&gt;0,MIN(Entradas!$E$113,BG18+AY19+AZ19+BA19+BB19-BC19-BD19),0)</f>
        <v>1</v>
      </c>
      <c r="BF19" s="170">
        <f>IF(Escenarios!$E$17&gt;0,MAX(0,BG18+AY19+AZ19+BA19+BB19-BC19-BD19-BE19-Constantes!$E$40),0)</f>
        <v>0</v>
      </c>
      <c r="BG19" s="170">
        <f t="shared" si="12"/>
        <v>1833.4781401980576</v>
      </c>
      <c r="BH19" s="170">
        <f>(Escenarios!$E$16*AK19+0.1*BC19)/(Escenarios!$E$19)</f>
        <v>2.372608931717278</v>
      </c>
      <c r="BI19" s="170">
        <f>IF(Escenarios!$E$17&gt;0,BF19/10/Escenarios!$E$19,AL19)</f>
        <v>0</v>
      </c>
      <c r="BJ19" s="170">
        <f>(Escenarios!$E$16*AT19+0.1*BD19)/(Escenarios!$E$19)</f>
        <v>0.23185604810153551</v>
      </c>
      <c r="BK19" s="76">
        <f>BK18+(0.1*BD19)/(Escenarios!$E$19)-BL18</f>
        <v>48.851315190522193</v>
      </c>
      <c r="BL19" s="76">
        <f>MAX(0,(BK19-Constantes!$D$13)*(1-EXP(-Constantes!$D$23)))</f>
        <v>9.9828270361348092E-4</v>
      </c>
      <c r="BM19" s="76">
        <f t="shared" si="8"/>
        <v>0.41258919801659871</v>
      </c>
      <c r="BN19" s="76">
        <f t="shared" si="13"/>
        <v>1.3630076577950656</v>
      </c>
      <c r="BO19" s="76">
        <f>0.0526*BI19*Observaciones!$F18^1.218</f>
        <v>0</v>
      </c>
      <c r="BP19" s="76">
        <f>BO19*Constantes!$E$51</f>
        <v>0</v>
      </c>
      <c r="BQ19" s="76">
        <f t="shared" si="9"/>
        <v>0</v>
      </c>
      <c r="BR19" s="40"/>
    </row>
    <row r="20" spans="1:70">
      <c r="A20" s="147"/>
      <c r="B20" s="39"/>
      <c r="C20" s="75">
        <v>14</v>
      </c>
      <c r="D20" s="146">
        <f>ETo!$I19*((1-Constantes!$E$19)*ETo!$K19+ETo!$L19)</f>
        <v>4.3757518638093007</v>
      </c>
      <c r="E20" s="76">
        <f>MIN(D20*Constantes!$E$17,0.8*(N19+Observaciones!$F19-F20-M20-Constantes!$D$14))</f>
        <v>2.139358965077057</v>
      </c>
      <c r="F20" s="76">
        <f>IF(Observaciones!$F19&gt;0.05*Constantes!$E$18,((Observaciones!$F19-0.05*Constantes!$E$18)^2)/(Observaciones!$F19+0.95*Constantes!$E$18),0)</f>
        <v>0</v>
      </c>
      <c r="G20" s="76">
        <f>IF(Escenarios!$E$11&gt;0,(F20*Escenarios!$E$16*10000)/1000,0)</f>
        <v>0</v>
      </c>
      <c r="H20" s="76">
        <f>IF(Escenarios!$E$11&gt;0,(Observaciones!$F19*Constantes!$E$29)/1000,0)</f>
        <v>4</v>
      </c>
      <c r="I20" s="76">
        <f>IF(Escenarios!$E$11&gt;0,(D20*Constantes!$E$29)/1000,0)</f>
        <v>43.757518638093011</v>
      </c>
      <c r="J20" s="76">
        <f>IF(Escenarios!$E$11&gt;0,MAX(0,G20+H20-I20),0)</f>
        <v>0</v>
      </c>
      <c r="K20" s="76">
        <f>IF(Escenarios!$E$11&gt;0,IF(J20&gt;Constantes!$E$30,1000*((J20-Constantes!$E$30)/(Escenarios!$E$16*10000)),0),F20)</f>
        <v>0</v>
      </c>
      <c r="L20" s="76">
        <f>IF(Escenarios!$E$11&gt;0,I20*1000/Escenarios!$E$16/10000+E20,E20)</f>
        <v>2.1568619725322944</v>
      </c>
      <c r="M20" s="76">
        <f>MAX(0,N19+Observaciones!$F19-K20-Constantes!$D$13)</f>
        <v>0</v>
      </c>
      <c r="N20" s="76">
        <f>N19+Observaciones!$F19-K20-L20-M20-O19</f>
        <v>40.119064851496802</v>
      </c>
      <c r="O20" s="76">
        <f>MAX(0,(N20-Constantes!$D$14)*(1-EXP(-Constantes!$D$22)))</f>
        <v>0.98338632934868819</v>
      </c>
      <c r="P20" s="170">
        <f>P19+(Entradas!$E$83*M20-Q19)/(800*Entradas!$D$25)</f>
        <v>0</v>
      </c>
      <c r="Q20" s="170">
        <f>8000*Entradas!$D$26*P20/Constantes!$E$45</f>
        <v>0</v>
      </c>
      <c r="R20" s="170">
        <f>IF(Escenarios!$E$14&gt;0,K20*Escenarios!$E$13/Escenarios!$E$14,0)</f>
        <v>0</v>
      </c>
      <c r="S20" s="170">
        <f>IF(Escenarios!$E$14&gt;0,Q20*Escenarios!$E$13/Escenarios!$E$14,0)</f>
        <v>0</v>
      </c>
      <c r="T20" s="170">
        <f>IF(Escenarios!$E$14&gt;0,Observaciones!$I19,0)</f>
        <v>0</v>
      </c>
      <c r="U20" s="170">
        <f>IF(Escenarios!$E$14&gt;0,MAX(0,Constantes!$E$36/((Z19+R20+S20+T20+Observaciones!$F19)^2)+Entradas!$E$77),0)</f>
        <v>1.6846447202948904</v>
      </c>
      <c r="V20" s="146">
        <f>IF(ETo!D19&gt;0,ETo!I19*((1-Entradas!$E$81)*ETo!K19+ETo!L19),0)</f>
        <v>3.9989727288726247</v>
      </c>
      <c r="W20" s="170">
        <f>IF(Escenarios!$E$14&gt;0,MIN(V20*1,0.8*(Z19+R20+S20+T20+Observaciones!$F19-U20-Constantes!$E$35)),0)</f>
        <v>3.9989727288726247</v>
      </c>
      <c r="X20" s="170">
        <f>IF(Escenarios!$E$14&gt;0,Observaciones!$J19,0)</f>
        <v>0</v>
      </c>
      <c r="Y20" s="170">
        <f>IF(Escenarios!$E$14&gt;0,MAX(0,Z19+R20+S20+T20+Observaciones!$F19-U20-W20-X20-Constantes!$E$33),0)</f>
        <v>0</v>
      </c>
      <c r="Z20" s="170">
        <f>Z19+R20+S20+T20+Observaciones!$F19-U20-W20-Y20</f>
        <v>82.664023451463109</v>
      </c>
      <c r="AA20" s="170">
        <f>IF(Escenarios!$E$14&gt;0,(Escenarios!$E$13*L20+Escenarios!$E$14*W20)/(Escenarios!$E$16),L20)</f>
        <v>2.3779152632931342</v>
      </c>
      <c r="AB20" s="170">
        <f>IF(Escenarios!$E$14&gt;0,(Escenarios!$E$14*Y20)/(Escenarios!$E$16),K20)</f>
        <v>0</v>
      </c>
      <c r="AC20" s="170">
        <f>IF(Escenarios!$E$14&gt;0,(Escenarios!$E$13*M20+Escenarios!$E$14*U20)/(Escenarios!$E$16),M20)</f>
        <v>0.20215736643538684</v>
      </c>
      <c r="AD20" s="76">
        <f t="shared" si="1"/>
        <v>90.312713610635555</v>
      </c>
      <c r="AE20" s="76">
        <f>MAX(0,(AD20-Constantes!$D$13)*(1-EXP(-Constantes!$D$23)))</f>
        <v>0.40952731667270931</v>
      </c>
      <c r="AF20" s="76">
        <f>AB20+O20*Escenarios!$E$13/Escenarios!$E$16+AE20</f>
        <v>1.274907286499555</v>
      </c>
      <c r="AG20" s="76">
        <f>IF(Entradas!$E$91&gt;0,IF(AF20-Escenarios!$E$38&lt;=0,0,IF(AF20-Escenarios!$E$38&gt;Escenarios!$E$37,Escenarios!$E$37,AF20-Escenarios!$E$38)),0)</f>
        <v>0</v>
      </c>
      <c r="AH20" s="76">
        <f>AG20*Entradas!$E$99</f>
        <v>0</v>
      </c>
      <c r="AI20" s="76">
        <f>IF(Entradas!$E$91&gt;0,D20*Entradas!$D$23/Escenarios!$E$16,0)</f>
        <v>0</v>
      </c>
      <c r="AJ20" s="76">
        <f>IF(Entradas!$E$91&gt;0,Entradas!$D$24*Entradas!$D$22/Escenarios!$E$16,0)</f>
        <v>0</v>
      </c>
      <c r="AK20" s="76">
        <f t="shared" si="10"/>
        <v>2.3779152632931342</v>
      </c>
      <c r="AL20" s="76">
        <f t="shared" si="11"/>
        <v>0</v>
      </c>
      <c r="AM20" s="76">
        <f t="shared" si="2"/>
        <v>0</v>
      </c>
      <c r="AN20" s="76">
        <f>MAX(0,O20*Escenarios!$E$13/Escenarios!$E$16-AM20)</f>
        <v>0.86537996982684562</v>
      </c>
      <c r="AO20" s="76">
        <f>AM20+AN20-O20*Escenarios!$E$13/Escenarios!$E$16</f>
        <v>0</v>
      </c>
      <c r="AP20" s="76">
        <f t="shared" si="0"/>
        <v>0.40952731667270931</v>
      </c>
      <c r="AQ20" s="76">
        <f t="shared" si="3"/>
        <v>0</v>
      </c>
      <c r="AR20" s="76">
        <f t="shared" si="4"/>
        <v>1.274907286499555</v>
      </c>
      <c r="AS20" s="76">
        <f t="shared" si="5"/>
        <v>0</v>
      </c>
      <c r="AT20" s="76">
        <f t="shared" si="6"/>
        <v>0.20215736643538684</v>
      </c>
      <c r="AU20" s="76">
        <f t="shared" si="7"/>
        <v>48.75</v>
      </c>
      <c r="AV20" s="76">
        <f>MAX(0,(AU20-Constantes!$D$13)*(1-EXP(-Constantes!$D$24)))</f>
        <v>0</v>
      </c>
      <c r="AW20" s="170">
        <f>AW19+(Entradas!$E$112*AT20-AX19)/(800*Entradas!$D$25)</f>
        <v>0</v>
      </c>
      <c r="AX20" s="170">
        <f>8000*Entradas!$D$26*AW20/Constantes!$E$45</f>
        <v>0</v>
      </c>
      <c r="AY20" s="170">
        <f>IF(Escenarios!$E$17&gt;0,10*Escenarios!$E$16*AL20,0)</f>
        <v>0</v>
      </c>
      <c r="AZ20" s="170">
        <f>IF(Escenarios!$E$17&gt;0,10*Escenarios!$E$16*AX20,0)</f>
        <v>0</v>
      </c>
      <c r="BA20" s="170">
        <f>IF(Escenarios!$E$17&gt;0,0.001*Observaciones!$F19*Escenarios!$E$17,0)</f>
        <v>8</v>
      </c>
      <c r="BB20" s="170">
        <f>IF(Escenarios!$E$17&gt;0,Observaciones!$K19,0)</f>
        <v>0</v>
      </c>
      <c r="BC20" s="170">
        <f>IF(Escenarios!$E$17&gt;0,MIN(0.0005*ETo!$M19*Escenarios!$E$17*(BG19/Constantes!$E$40)^(2/3),BG19+AY20+AZ20+BA20+BB20),0)</f>
        <v>21.012652403837329</v>
      </c>
      <c r="BD20" s="170">
        <f>IF(Escenarios!$E$17&gt;0,MIN(Constantes!$E$39*(BG19/Constantes!$E$40)^(2/3),BG19+AY20+AZ20+BA20+BB20-BC20),0)</f>
        <v>33.832543636867555</v>
      </c>
      <c r="BE20" s="170">
        <f>IF(Escenarios!$E$17&gt;0,MIN(Entradas!$E$113,BG19+AY20+AZ20+BA20+BB20-BC20-BD20),0)</f>
        <v>1</v>
      </c>
      <c r="BF20" s="170">
        <f>IF(Escenarios!$E$17&gt;0,MAX(0,BG19+AY20+AZ20+BA20+BB20-BC20-BD20-BE20-Constantes!$E$40),0)</f>
        <v>0</v>
      </c>
      <c r="BG20" s="170">
        <f t="shared" si="12"/>
        <v>1785.6329441573528</v>
      </c>
      <c r="BH20" s="170">
        <f>(Escenarios!$E$16*AK20+0.1*BC20)/(Escenarios!$E$19)</f>
        <v>2.367381274062172</v>
      </c>
      <c r="BI20" s="170">
        <f>IF(Escenarios!$E$17&gt;0,BF20/10/Escenarios!$E$19,AL20)</f>
        <v>0</v>
      </c>
      <c r="BJ20" s="170">
        <f>(Escenarios!$E$16*AT20+0.1*BD20)/(Escenarios!$E$19)</f>
        <v>0.21397855544656136</v>
      </c>
      <c r="BK20" s="76">
        <f>BK19+(0.1*BD20)/(Escenarios!$E$19)-BL19</f>
        <v>48.863742520372895</v>
      </c>
      <c r="BL20" s="76">
        <f>MAX(0,(BK20-Constantes!$D$13)*(1-EXP(-Constantes!$D$23)))</f>
        <v>1.1207321445918089E-3</v>
      </c>
      <c r="BM20" s="76">
        <f t="shared" si="8"/>
        <v>0.4106480488173011</v>
      </c>
      <c r="BN20" s="76">
        <f t="shared" si="13"/>
        <v>1.2760280186441468</v>
      </c>
      <c r="BO20" s="76">
        <f>0.0526*BI20*Observaciones!$F19^1.218</f>
        <v>0</v>
      </c>
      <c r="BP20" s="76">
        <f>BO20*Constantes!$E$51</f>
        <v>0</v>
      </c>
      <c r="BQ20" s="76">
        <f t="shared" si="9"/>
        <v>0</v>
      </c>
      <c r="BR20" s="40"/>
    </row>
    <row r="21" spans="1:70">
      <c r="A21" s="147"/>
      <c r="B21" s="39"/>
      <c r="C21" s="75">
        <v>15</v>
      </c>
      <c r="D21" s="146">
        <f>ETo!$I20*((1-Constantes!$E$19)*ETo!$K20+ETo!$L20)</f>
        <v>4.3708753064578652</v>
      </c>
      <c r="E21" s="76">
        <f>MIN(D21*Constantes!$E$17,0.8*(N20+Observaciones!$F20-F21-M21-Constantes!$D$14))</f>
        <v>2.1369747561426351</v>
      </c>
      <c r="F21" s="76">
        <f>IF(Observaciones!$F20&gt;0.05*Constantes!$E$18,((Observaciones!$F20-0.05*Constantes!$E$18)^2)/(Observaciones!$F20+0.95*Constantes!$E$18),0)</f>
        <v>0</v>
      </c>
      <c r="G21" s="76">
        <f>IF(Escenarios!$E$11&gt;0,(F21*Escenarios!$E$16*10000)/1000,0)</f>
        <v>0</v>
      </c>
      <c r="H21" s="76">
        <f>IF(Escenarios!$E$11&gt;0,(Observaciones!$F20*Constantes!$E$29)/1000,0)</f>
        <v>5</v>
      </c>
      <c r="I21" s="76">
        <f>IF(Escenarios!$E$11&gt;0,(D21*Constantes!$E$29)/1000,0)</f>
        <v>43.708753064578652</v>
      </c>
      <c r="J21" s="76">
        <f>IF(Escenarios!$E$11&gt;0,MAX(0,G21+H21-I21),0)</f>
        <v>0</v>
      </c>
      <c r="K21" s="76">
        <f>IF(Escenarios!$E$11&gt;0,IF(J21&gt;Constantes!$E$30,1000*((J21-Constantes!$E$30)/(Escenarios!$E$16*10000)),0),F21)</f>
        <v>0</v>
      </c>
      <c r="L21" s="76">
        <f>IF(Escenarios!$E$11&gt;0,I21*1000/Escenarios!$E$16/10000+E21,E21)</f>
        <v>2.1544582573684665</v>
      </c>
      <c r="M21" s="76">
        <f>MAX(0,N20+Observaciones!$F20-K21-Constantes!$D$13)</f>
        <v>0</v>
      </c>
      <c r="N21" s="76">
        <f>N20+Observaciones!$F20-K21-L21-M21-O20</f>
        <v>37.481220264779644</v>
      </c>
      <c r="O21" s="76">
        <f>MAX(0,(N21-Constantes!$D$14)*(1-EXP(-Constantes!$D$22)))</f>
        <v>0.89353165899937825</v>
      </c>
      <c r="P21" s="170">
        <f>P20+(Entradas!$E$83*M21-Q20)/(800*Entradas!$D$25)</f>
        <v>0</v>
      </c>
      <c r="Q21" s="170">
        <f>8000*Entradas!$D$26*P21/Constantes!$E$45</f>
        <v>0</v>
      </c>
      <c r="R21" s="170">
        <f>IF(Escenarios!$E$14&gt;0,K21*Escenarios!$E$13/Escenarios!$E$14,0)</f>
        <v>0</v>
      </c>
      <c r="S21" s="170">
        <f>IF(Escenarios!$E$14&gt;0,Q21*Escenarios!$E$13/Escenarios!$E$14,0)</f>
        <v>0</v>
      </c>
      <c r="T21" s="170">
        <f>IF(Escenarios!$E$14&gt;0,Observaciones!$I20,0)</f>
        <v>0</v>
      </c>
      <c r="U21" s="170">
        <f>IF(Escenarios!$E$14&gt;0,MAX(0,Constantes!$E$36/((Z20+R21+S21+T21+Observaciones!$F20)^2)+Entradas!$E$77),0)</f>
        <v>1.5155622078882371</v>
      </c>
      <c r="V21" s="146">
        <f>IF(ETo!D20&gt;0,ETo!I20*((1-Entradas!$E$81)*ETo!K20+ETo!L20),0)</f>
        <v>3.9944593944092763</v>
      </c>
      <c r="W21" s="170">
        <f>IF(Escenarios!$E$14&gt;0,MIN(V21*1,0.8*(Z20+R21+S21+T21+Observaciones!$F20-U21-Constantes!$E$35)),0)</f>
        <v>3.9944593944092763</v>
      </c>
      <c r="X21" s="170">
        <f>IF(Escenarios!$E$14&gt;0,Observaciones!$J20,0)</f>
        <v>0</v>
      </c>
      <c r="Y21" s="170">
        <f>IF(Escenarios!$E$14&gt;0,MAX(0,Z20+R21+S21+T21+Observaciones!$F20-U21-W21-X21-Constantes!$E$33),0)</f>
        <v>0</v>
      </c>
      <c r="Z21" s="170">
        <f>Z20+R21+S21+T21+Observaciones!$F20-U21-W21-Y21</f>
        <v>77.654001849165596</v>
      </c>
      <c r="AA21" s="170">
        <f>IF(Escenarios!$E$14&gt;0,(Escenarios!$E$13*L21+Escenarios!$E$14*W21)/(Escenarios!$E$16),L21)</f>
        <v>2.3752583938133633</v>
      </c>
      <c r="AB21" s="170">
        <f>IF(Escenarios!$E$14&gt;0,(Escenarios!$E$14*Y21)/(Escenarios!$E$16),K21)</f>
        <v>0</v>
      </c>
      <c r="AC21" s="170">
        <f>IF(Escenarios!$E$14&gt;0,(Escenarios!$E$13*M21+Escenarios!$E$14*U21)/(Escenarios!$E$16),M21)</f>
        <v>0.18186746494658845</v>
      </c>
      <c r="AD21" s="76">
        <f t="shared" si="1"/>
        <v>90.085053758909439</v>
      </c>
      <c r="AE21" s="76">
        <f>MAX(0,(AD21-Constantes!$D$13)*(1-EXP(-Constantes!$D$23)))</f>
        <v>0.4072841299292998</v>
      </c>
      <c r="AF21" s="76">
        <f>AB21+O21*Escenarios!$E$13/Escenarios!$E$16+AE21</f>
        <v>1.1935919898487526</v>
      </c>
      <c r="AG21" s="76">
        <f>IF(Entradas!$E$91&gt;0,IF(AF21-Escenarios!$E$38&lt;=0,0,IF(AF21-Escenarios!$E$38&gt;Escenarios!$E$37,Escenarios!$E$37,AF21-Escenarios!$E$38)),0)</f>
        <v>0</v>
      </c>
      <c r="AH21" s="76">
        <f>AG21*Entradas!$E$99</f>
        <v>0</v>
      </c>
      <c r="AI21" s="76">
        <f>IF(Entradas!$E$91&gt;0,D21*Entradas!$D$23/Escenarios!$E$16,0)</f>
        <v>0</v>
      </c>
      <c r="AJ21" s="76">
        <f>IF(Entradas!$E$91&gt;0,Entradas!$D$24*Entradas!$D$22/Escenarios!$E$16,0)</f>
        <v>0</v>
      </c>
      <c r="AK21" s="76">
        <f t="shared" si="10"/>
        <v>2.3752583938133633</v>
      </c>
      <c r="AL21" s="76">
        <f t="shared" si="11"/>
        <v>0</v>
      </c>
      <c r="AM21" s="76">
        <f t="shared" si="2"/>
        <v>0</v>
      </c>
      <c r="AN21" s="76">
        <f>MAX(0,O21*Escenarios!$E$13/Escenarios!$E$16-AM21)</f>
        <v>0.78630785991945285</v>
      </c>
      <c r="AO21" s="76">
        <f>AM21+AN21-O21*Escenarios!$E$13/Escenarios!$E$16</f>
        <v>0</v>
      </c>
      <c r="AP21" s="76">
        <f t="shared" si="0"/>
        <v>0.4072841299292998</v>
      </c>
      <c r="AQ21" s="76">
        <f t="shared" si="3"/>
        <v>0</v>
      </c>
      <c r="AR21" s="76">
        <f t="shared" si="4"/>
        <v>1.1935919898487526</v>
      </c>
      <c r="AS21" s="76">
        <f t="shared" si="5"/>
        <v>0</v>
      </c>
      <c r="AT21" s="76">
        <f t="shared" si="6"/>
        <v>0.18186746494658845</v>
      </c>
      <c r="AU21" s="76">
        <f t="shared" si="7"/>
        <v>48.75</v>
      </c>
      <c r="AV21" s="76">
        <f>MAX(0,(AU21-Constantes!$D$13)*(1-EXP(-Constantes!$D$24)))</f>
        <v>0</v>
      </c>
      <c r="AW21" s="170">
        <f>AW20+(Entradas!$E$112*AT21-AX20)/(800*Entradas!$D$25)</f>
        <v>0</v>
      </c>
      <c r="AX21" s="170">
        <f>8000*Entradas!$D$26*AW21/Constantes!$E$45</f>
        <v>0</v>
      </c>
      <c r="AY21" s="170">
        <f>IF(Escenarios!$E$17&gt;0,10*Escenarios!$E$16*AL21,0)</f>
        <v>0</v>
      </c>
      <c r="AZ21" s="170">
        <f>IF(Escenarios!$E$17&gt;0,10*Escenarios!$E$16*AX21,0)</f>
        <v>0</v>
      </c>
      <c r="BA21" s="170">
        <f>IF(Escenarios!$E$17&gt;0,0.001*Observaciones!$F20*Escenarios!$E$17,0)</f>
        <v>10</v>
      </c>
      <c r="BB21" s="170">
        <f>IF(Escenarios!$E$17&gt;0,Observaciones!$K20,0)</f>
        <v>45.968421531225083</v>
      </c>
      <c r="BC21" s="170">
        <f>IF(Escenarios!$E$17&gt;0,MIN(0.0005*ETo!$M20*Escenarios!$E$17*(BG20/Constantes!$E$40)^(2/3),BG20+AY21+AZ21+BA21+BB21),0)</f>
        <v>20.622851442955827</v>
      </c>
      <c r="BD21" s="170">
        <f>IF(Escenarios!$E$17&gt;0,MIN(Constantes!$E$39*(BG20/Constantes!$E$40)^(2/3),BG20+AY21+AZ21+BA21+BB21-BC21),0)</f>
        <v>33.241372953095691</v>
      </c>
      <c r="BE21" s="170">
        <f>IF(Escenarios!$E$17&gt;0,MIN(Entradas!$E$113,BG20+AY21+AZ21+BA21+BB21-BC21-BD21),0)</f>
        <v>1</v>
      </c>
      <c r="BF21" s="170">
        <f>IF(Escenarios!$E$17&gt;0,MAX(0,BG20+AY21+AZ21+BA21+BB21-BC21-BD21-BE21-Constantes!$E$40),0)</f>
        <v>0</v>
      </c>
      <c r="BG21" s="170">
        <f t="shared" si="12"/>
        <v>1786.7371412925263</v>
      </c>
      <c r="BH21" s="170">
        <f>(Escenarios!$E$16*AK21+0.1*BC21)/(Escenarios!$E$19)</f>
        <v>2.3645908079271289</v>
      </c>
      <c r="BI21" s="170">
        <f>IF(Escenarios!$E$17&gt;0,BF21/10/Escenarios!$E$19,AL21)</f>
        <v>0</v>
      </c>
      <c r="BJ21" s="170">
        <f>(Escenarios!$E$16*AT21+0.1*BD21)/(Escenarios!$E$19)</f>
        <v>0.19361509338078048</v>
      </c>
      <c r="BK21" s="76">
        <f>BK20+(0.1*BD21)/(Escenarios!$E$19)-BL20</f>
        <v>48.875812809241438</v>
      </c>
      <c r="BL21" s="76">
        <f>MAX(0,(BK21-Constantes!$D$13)*(1-EXP(-Constantes!$D$23)))</f>
        <v>1.2396635757323865E-3</v>
      </c>
      <c r="BM21" s="76">
        <f t="shared" si="8"/>
        <v>0.40852379350503221</v>
      </c>
      <c r="BN21" s="76">
        <f t="shared" si="13"/>
        <v>1.1948316534244849</v>
      </c>
      <c r="BO21" s="76">
        <f>0.0526*BI21*Observaciones!$F20^1.218</f>
        <v>0</v>
      </c>
      <c r="BP21" s="76">
        <f>BO21*Constantes!$E$51</f>
        <v>0</v>
      </c>
      <c r="BQ21" s="76">
        <f t="shared" si="9"/>
        <v>0</v>
      </c>
      <c r="BR21" s="40"/>
    </row>
    <row r="22" spans="1:70">
      <c r="A22" s="147"/>
      <c r="B22" s="39"/>
      <c r="C22" s="75">
        <v>16</v>
      </c>
      <c r="D22" s="146">
        <f>ETo!$I21*((1-Constantes!$E$19)*ETo!$K21+ETo!$L21)</f>
        <v>4.3977216999236264</v>
      </c>
      <c r="E22" s="76">
        <f>MIN(D22*Constantes!$E$17,0.8*(N21+Observaciones!$F21-F22-M22-Constantes!$D$14))</f>
        <v>2.1501002884690874</v>
      </c>
      <c r="F22" s="76">
        <f>IF(Observaciones!$F21&gt;0.05*Constantes!$E$18,((Observaciones!$F21-0.05*Constantes!$E$18)^2)/(Observaciones!$F21+0.95*Constantes!$E$18),0)</f>
        <v>0</v>
      </c>
      <c r="G22" s="76">
        <f>IF(Escenarios!$E$11&gt;0,(F22*Escenarios!$E$16*10000)/1000,0)</f>
        <v>0</v>
      </c>
      <c r="H22" s="76">
        <f>IF(Escenarios!$E$11&gt;0,(Observaciones!$F21*Constantes!$E$29)/1000,0)</f>
        <v>0</v>
      </c>
      <c r="I22" s="76">
        <f>IF(Escenarios!$E$11&gt;0,(D22*Constantes!$E$29)/1000,0)</f>
        <v>43.977216999236262</v>
      </c>
      <c r="J22" s="76">
        <f>IF(Escenarios!$E$11&gt;0,MAX(0,G22+H22-I22),0)</f>
        <v>0</v>
      </c>
      <c r="K22" s="76">
        <f>IF(Escenarios!$E$11&gt;0,IF(J22&gt;Constantes!$E$30,1000*((J22-Constantes!$E$30)/(Escenarios!$E$16*10000)),0),F22)</f>
        <v>0</v>
      </c>
      <c r="L22" s="76">
        <f>IF(Escenarios!$E$11&gt;0,I22*1000/Escenarios!$E$16/10000+E22,E22)</f>
        <v>2.1676911752687817</v>
      </c>
      <c r="M22" s="76">
        <f>MAX(0,N21+Observaciones!$F21-K22-Constantes!$D$13)</f>
        <v>0</v>
      </c>
      <c r="N22" s="76">
        <f>N21+Observaciones!$F21-K22-L22-M22-O21</f>
        <v>34.419997430511486</v>
      </c>
      <c r="O22" s="76">
        <f>MAX(0,(N22-Constantes!$D$14)*(1-EXP(-Constantes!$D$22)))</f>
        <v>0.78925517128511591</v>
      </c>
      <c r="P22" s="170">
        <f>P21+(Entradas!$E$83*M22-Q21)/(800*Entradas!$D$25)</f>
        <v>0</v>
      </c>
      <c r="Q22" s="170">
        <f>8000*Entradas!$D$26*P22/Constantes!$E$45</f>
        <v>0</v>
      </c>
      <c r="R22" s="170">
        <f>IF(Escenarios!$E$14&gt;0,K22*Escenarios!$E$13/Escenarios!$E$14,0)</f>
        <v>0</v>
      </c>
      <c r="S22" s="170">
        <f>IF(Escenarios!$E$14&gt;0,Q22*Escenarios!$E$13/Escenarios!$E$14,0)</f>
        <v>0</v>
      </c>
      <c r="T22" s="170">
        <f>IF(Escenarios!$E$14&gt;0,Observaciones!$I21,0)</f>
        <v>0</v>
      </c>
      <c r="U22" s="170">
        <f>IF(Escenarios!$E$14&gt;0,MAX(0,Constantes!$E$36/((Z21+R22+S22+T22+Observaciones!$F21)^2)+Entradas!$E$77),0)</f>
        <v>1.2974287190209002</v>
      </c>
      <c r="V22" s="146">
        <f>IF(ETo!D21&gt;0,ETo!I21*((1-Entradas!$E$81)*ETo!K21+ETo!L21),0)</f>
        <v>4.0192868615514925</v>
      </c>
      <c r="W22" s="170">
        <f>IF(Escenarios!$E$14&gt;0,MIN(V22*1,0.8*(Z21+R22+S22+T22+Observaciones!$F21-U22-Constantes!$E$35)),0)</f>
        <v>4.0192868615514925</v>
      </c>
      <c r="X22" s="170">
        <f>IF(Escenarios!$E$14&gt;0,Observaciones!$J21,0)</f>
        <v>0</v>
      </c>
      <c r="Y22" s="170">
        <f>IF(Escenarios!$E$14&gt;0,MAX(0,Z21+R22+S22+T22+Observaciones!$F21-U22-W22-X22-Constantes!$E$33),0)</f>
        <v>0</v>
      </c>
      <c r="Z22" s="170">
        <f>Z21+R22+S22+T22+Observaciones!$F21-U22-W22-Y22</f>
        <v>72.337286268593203</v>
      </c>
      <c r="AA22" s="170">
        <f>IF(Escenarios!$E$14&gt;0,(Escenarios!$E$13*L22+Escenarios!$E$14*W22)/(Escenarios!$E$16),L22)</f>
        <v>2.389882657622707</v>
      </c>
      <c r="AB22" s="170">
        <f>IF(Escenarios!$E$14&gt;0,(Escenarios!$E$14*Y22)/(Escenarios!$E$16),K22)</f>
        <v>0</v>
      </c>
      <c r="AC22" s="170">
        <f>IF(Escenarios!$E$14&gt;0,(Escenarios!$E$13*M22+Escenarios!$E$14*U22)/(Escenarios!$E$16),M22)</f>
        <v>0.15569144628250803</v>
      </c>
      <c r="AD22" s="76">
        <f t="shared" si="1"/>
        <v>89.833461075262647</v>
      </c>
      <c r="AE22" s="76">
        <f>MAX(0,(AD22-Constantes!$D$13)*(1-EXP(-Constantes!$D$23)))</f>
        <v>0.40480512729261947</v>
      </c>
      <c r="AF22" s="76">
        <f>AB22+O22*Escenarios!$E$13/Escenarios!$E$16+AE22</f>
        <v>1.0993496780235215</v>
      </c>
      <c r="AG22" s="76">
        <f>IF(Entradas!$E$91&gt;0,IF(AF22-Escenarios!$E$38&lt;=0,0,IF(AF22-Escenarios!$E$38&gt;Escenarios!$E$37,Escenarios!$E$37,AF22-Escenarios!$E$38)),0)</f>
        <v>0</v>
      </c>
      <c r="AH22" s="76">
        <f>AG22*Entradas!$E$99</f>
        <v>0</v>
      </c>
      <c r="AI22" s="76">
        <f>IF(Entradas!$E$91&gt;0,D22*Entradas!$D$23/Escenarios!$E$16,0)</f>
        <v>0</v>
      </c>
      <c r="AJ22" s="76">
        <f>IF(Entradas!$E$91&gt;0,Entradas!$D$24*Entradas!$D$22/Escenarios!$E$16,0)</f>
        <v>0</v>
      </c>
      <c r="AK22" s="76">
        <f t="shared" si="10"/>
        <v>2.389882657622707</v>
      </c>
      <c r="AL22" s="76">
        <f t="shared" si="11"/>
        <v>0</v>
      </c>
      <c r="AM22" s="76">
        <f t="shared" si="2"/>
        <v>0</v>
      </c>
      <c r="AN22" s="76">
        <f>MAX(0,O22*Escenarios!$E$13/Escenarios!$E$16-AM22)</f>
        <v>0.69454455073090193</v>
      </c>
      <c r="AO22" s="76">
        <f>AM22+AN22-O22*Escenarios!$E$13/Escenarios!$E$16</f>
        <v>0</v>
      </c>
      <c r="AP22" s="76">
        <f t="shared" si="0"/>
        <v>0.40480512729261947</v>
      </c>
      <c r="AQ22" s="76">
        <f t="shared" si="3"/>
        <v>0</v>
      </c>
      <c r="AR22" s="76">
        <f t="shared" si="4"/>
        <v>1.0993496780235215</v>
      </c>
      <c r="AS22" s="76">
        <f t="shared" si="5"/>
        <v>0</v>
      </c>
      <c r="AT22" s="76">
        <f t="shared" si="6"/>
        <v>0.15569144628250803</v>
      </c>
      <c r="AU22" s="76">
        <f t="shared" si="7"/>
        <v>48.75</v>
      </c>
      <c r="AV22" s="76">
        <f>MAX(0,(AU22-Constantes!$D$13)*(1-EXP(-Constantes!$D$24)))</f>
        <v>0</v>
      </c>
      <c r="AW22" s="170">
        <f>AW21+(Entradas!$E$112*AT22-AX21)/(800*Entradas!$D$25)</f>
        <v>0</v>
      </c>
      <c r="AX22" s="170">
        <f>8000*Entradas!$D$26*AW22/Constantes!$E$45</f>
        <v>0</v>
      </c>
      <c r="AY22" s="170">
        <f>IF(Escenarios!$E$17&gt;0,10*Escenarios!$E$16*AL22,0)</f>
        <v>0</v>
      </c>
      <c r="AZ22" s="170">
        <f>IF(Escenarios!$E$17&gt;0,10*Escenarios!$E$16*AX22,0)</f>
        <v>0</v>
      </c>
      <c r="BA22" s="170">
        <f>IF(Escenarios!$E$17&gt;0,0.001*Observaciones!$F21*Escenarios!$E$17,0)</f>
        <v>0</v>
      </c>
      <c r="BB22" s="170">
        <f>IF(Escenarios!$E$17&gt;0,Observaciones!$K21,0)</f>
        <v>59.605670222384049</v>
      </c>
      <c r="BC22" s="170">
        <f>IF(Escenarios!$E$17&gt;0,MIN(0.0005*ETo!$M21*Escenarios!$E$17*(BG21/Constantes!$E$40)^(2/3),BG21+AY22+AZ22+BA22+BB22),0)</f>
        <v>20.75615549776046</v>
      </c>
      <c r="BD22" s="170">
        <f>IF(Escenarios!$E$17&gt;0,MIN(Constantes!$E$39*(BG21/Constantes!$E$40)^(2/3),BG21+AY22+AZ22+BA22+BB22-BC22),0)</f>
        <v>33.255075376097246</v>
      </c>
      <c r="BE22" s="170">
        <f>IF(Escenarios!$E$17&gt;0,MIN(Entradas!$E$113,BG21+AY22+AZ22+BA22+BB22-BC22-BD22),0)</f>
        <v>1</v>
      </c>
      <c r="BF22" s="170">
        <f>IF(Escenarios!$E$17&gt;0,MAX(0,BG21+AY22+AZ22+BA22+BB22-BC22-BD22-BE22-Constantes!$E$40),0)</f>
        <v>0</v>
      </c>
      <c r="BG22" s="170">
        <f t="shared" si="12"/>
        <v>1791.3315806410526</v>
      </c>
      <c r="BH22" s="170">
        <f>(Escenarios!$E$16*AK22+0.1*BC22)/(Escenarios!$E$19)</f>
        <v>2.3791519045851302</v>
      </c>
      <c r="BI22" s="170">
        <f>IF(Escenarios!$E$17&gt;0,BF22/10/Escenarios!$E$19,AL22)</f>
        <v>0</v>
      </c>
      <c r="BJ22" s="170">
        <f>(Escenarios!$E$16*AT22+0.1*BD22)/(Escenarios!$E$19)</f>
        <v>0.16765225836601877</v>
      </c>
      <c r="BK22" s="76">
        <f>BK21+(0.1*BD22)/(Escenarios!$E$19)-BL21</f>
        <v>48.887769604148282</v>
      </c>
      <c r="BL22" s="76">
        <f>MAX(0,(BK22-Constantes!$D$13)*(1-EXP(-Constantes!$D$23)))</f>
        <v>1.3574767238361889E-3</v>
      </c>
      <c r="BM22" s="76">
        <f t="shared" si="8"/>
        <v>0.40616260401645565</v>
      </c>
      <c r="BN22" s="76">
        <f t="shared" si="13"/>
        <v>1.1007071547473577</v>
      </c>
      <c r="BO22" s="76">
        <f>0.0526*BI22*Observaciones!$F21^1.218</f>
        <v>0</v>
      </c>
      <c r="BP22" s="76">
        <f>BO22*Constantes!$E$51</f>
        <v>0</v>
      </c>
      <c r="BQ22" s="76">
        <f t="shared" si="9"/>
        <v>0</v>
      </c>
      <c r="BR22" s="40"/>
    </row>
    <row r="23" spans="1:70">
      <c r="A23" s="147"/>
      <c r="B23" s="39"/>
      <c r="C23" s="75">
        <v>17</v>
      </c>
      <c r="D23" s="146">
        <f>ETo!$I22*((1-Constantes!$E$19)*ETo!$K22+ETo!$L22)</f>
        <v>4.3609520193285114</v>
      </c>
      <c r="E23" s="76">
        <f>MIN(D23*Constantes!$E$17,0.8*(N22+Observaciones!$F22-F23-M23-Constantes!$D$14))</f>
        <v>2.1321231388791428</v>
      </c>
      <c r="F23" s="76">
        <f>IF(Observaciones!$F22&gt;0.05*Constantes!$E$18,((Observaciones!$F22-0.05*Constantes!$E$18)^2)/(Observaciones!$F22+0.95*Constantes!$E$18),0)</f>
        <v>6.6714413721169735E-2</v>
      </c>
      <c r="G23" s="76">
        <f>IF(Escenarios!$E$11&gt;0,(F23*Escenarios!$E$16*10000)/1000,0)</f>
        <v>166.78603430292432</v>
      </c>
      <c r="H23" s="76">
        <f>IF(Escenarios!$E$11&gt;0,(Observaciones!$F22*Constantes!$E$29)/1000,0)</f>
        <v>88</v>
      </c>
      <c r="I23" s="76">
        <f>IF(Escenarios!$E$11&gt;0,(D23*Constantes!$E$29)/1000,0)</f>
        <v>43.609520193285114</v>
      </c>
      <c r="J23" s="76">
        <f>IF(Escenarios!$E$11&gt;0,MAX(0,G23+H23-I23),0)</f>
        <v>211.17651410963921</v>
      </c>
      <c r="K23" s="76">
        <f>IF(Escenarios!$E$11&gt;0,IF(J23&gt;Constantes!$E$30,1000*((J23-Constantes!$E$30)/(Escenarios!$E$16*10000)),0),F23)</f>
        <v>0</v>
      </c>
      <c r="L23" s="76">
        <f>IF(Escenarios!$E$11&gt;0,I23*1000/Escenarios!$E$16/10000+E23,E23)</f>
        <v>2.1495669469564569</v>
      </c>
      <c r="M23" s="76">
        <f>MAX(0,N22+Observaciones!$F22-K23-Constantes!$D$13)</f>
        <v>0</v>
      </c>
      <c r="N23" s="76">
        <f>N22+Observaciones!$F22-K23-L23-M23-O22</f>
        <v>40.281175312269916</v>
      </c>
      <c r="O23" s="76">
        <f>MAX(0,(N23-Constantes!$D$14)*(1-EXP(-Constantes!$D$22)))</f>
        <v>0.98890840676230529</v>
      </c>
      <c r="P23" s="170">
        <f>P22+(Entradas!$E$83*M23-Q22)/(800*Entradas!$D$25)</f>
        <v>0</v>
      </c>
      <c r="Q23" s="170">
        <f>8000*Entradas!$D$26*P23/Constantes!$E$45</f>
        <v>0</v>
      </c>
      <c r="R23" s="170">
        <f>IF(Escenarios!$E$14&gt;0,K23*Escenarios!$E$13/Escenarios!$E$14,0)</f>
        <v>0</v>
      </c>
      <c r="S23" s="170">
        <f>IF(Escenarios!$E$14&gt;0,Q23*Escenarios!$E$13/Escenarios!$E$14,0)</f>
        <v>0</v>
      </c>
      <c r="T23" s="170">
        <f>IF(Escenarios!$E$14&gt;0,Observaciones!$I22,0)</f>
        <v>0</v>
      </c>
      <c r="U23" s="170">
        <f>IF(Escenarios!$E$14&gt;0,MAX(0,Constantes!$E$36/((Z22+R23+S23+T23+Observaciones!$F22)^2)+Entradas!$E$77),0)</f>
        <v>1.4404761149186405</v>
      </c>
      <c r="V23" s="146">
        <f>IF(ETo!D22&gt;0,ETo!I22*((1-Entradas!$E$81)*ETo!K22+ETo!L22),0)</f>
        <v>3.9852747383434242</v>
      </c>
      <c r="W23" s="170">
        <f>IF(Escenarios!$E$14&gt;0,MIN(V23*1,0.8*(Z22+R23+S23+T23+Observaciones!$F22-U23-Constantes!$E$35)),0)</f>
        <v>3.9852747383434242</v>
      </c>
      <c r="X23" s="170">
        <f>IF(Escenarios!$E$14&gt;0,Observaciones!$J22,0)</f>
        <v>0</v>
      </c>
      <c r="Y23" s="170">
        <f>IF(Escenarios!$E$14&gt;0,MAX(0,Z22+R23+S23+T23+Observaciones!$F22-U23-W23-X23-Constantes!$E$33),0)</f>
        <v>0</v>
      </c>
      <c r="Z23" s="170">
        <f>Z22+R23+S23+T23+Observaciones!$F22-U23-W23-Y23</f>
        <v>75.711535415331142</v>
      </c>
      <c r="AA23" s="170">
        <f>IF(Escenarios!$E$14&gt;0,(Escenarios!$E$13*L23+Escenarios!$E$14*W23)/(Escenarios!$E$16),L23)</f>
        <v>2.3698518819228931</v>
      </c>
      <c r="AB23" s="170">
        <f>IF(Escenarios!$E$14&gt;0,(Escenarios!$E$14*Y23)/(Escenarios!$E$16),K23)</f>
        <v>0</v>
      </c>
      <c r="AC23" s="170">
        <f>IF(Escenarios!$E$14&gt;0,(Escenarios!$E$13*M23+Escenarios!$E$14*U23)/(Escenarios!$E$16),M23)</f>
        <v>0.17285713379023684</v>
      </c>
      <c r="AD23" s="76">
        <f t="shared" si="1"/>
        <v>89.60151308176026</v>
      </c>
      <c r="AE23" s="76">
        <f>MAX(0,(AD23-Constantes!$D$13)*(1-EXP(-Constantes!$D$23)))</f>
        <v>0.40251968846693253</v>
      </c>
      <c r="AF23" s="76">
        <f>AB23+O23*Escenarios!$E$13/Escenarios!$E$16+AE23</f>
        <v>1.2727590864177611</v>
      </c>
      <c r="AG23" s="76">
        <f>IF(Entradas!$E$91&gt;0,IF(AF23-Escenarios!$E$38&lt;=0,0,IF(AF23-Escenarios!$E$38&gt;Escenarios!$E$37,Escenarios!$E$37,AF23-Escenarios!$E$38)),0)</f>
        <v>0</v>
      </c>
      <c r="AH23" s="76">
        <f>AG23*Entradas!$E$99</f>
        <v>0</v>
      </c>
      <c r="AI23" s="76">
        <f>IF(Entradas!$E$91&gt;0,D23*Entradas!$D$23/Escenarios!$E$16,0)</f>
        <v>0</v>
      </c>
      <c r="AJ23" s="76">
        <f>IF(Entradas!$E$91&gt;0,Entradas!$D$24*Entradas!$D$22/Escenarios!$E$16,0)</f>
        <v>0</v>
      </c>
      <c r="AK23" s="76">
        <f t="shared" si="10"/>
        <v>2.3698518819228931</v>
      </c>
      <c r="AL23" s="76">
        <f t="shared" si="11"/>
        <v>0</v>
      </c>
      <c r="AM23" s="76">
        <f t="shared" si="2"/>
        <v>0</v>
      </c>
      <c r="AN23" s="76">
        <f>MAX(0,O23*Escenarios!$E$13/Escenarios!$E$16-AM23)</f>
        <v>0.87023939795082872</v>
      </c>
      <c r="AO23" s="76">
        <f>AM23+AN23-O23*Escenarios!$E$13/Escenarios!$E$16</f>
        <v>0</v>
      </c>
      <c r="AP23" s="76">
        <f t="shared" si="0"/>
        <v>0.40251968846693253</v>
      </c>
      <c r="AQ23" s="76">
        <f t="shared" si="3"/>
        <v>0</v>
      </c>
      <c r="AR23" s="76">
        <f t="shared" si="4"/>
        <v>1.2727590864177611</v>
      </c>
      <c r="AS23" s="76">
        <f t="shared" si="5"/>
        <v>0</v>
      </c>
      <c r="AT23" s="76">
        <f t="shared" si="6"/>
        <v>0.17285713379023684</v>
      </c>
      <c r="AU23" s="76">
        <f t="shared" si="7"/>
        <v>48.75</v>
      </c>
      <c r="AV23" s="76">
        <f>MAX(0,(AU23-Constantes!$D$13)*(1-EXP(-Constantes!$D$24)))</f>
        <v>0</v>
      </c>
      <c r="AW23" s="170">
        <f>AW22+(Entradas!$E$112*AT23-AX22)/(800*Entradas!$D$25)</f>
        <v>0</v>
      </c>
      <c r="AX23" s="170">
        <f>8000*Entradas!$D$26*AW23/Constantes!$E$45</f>
        <v>0</v>
      </c>
      <c r="AY23" s="170">
        <f>IF(Escenarios!$E$17&gt;0,10*Escenarios!$E$16*AL23,0)</f>
        <v>0</v>
      </c>
      <c r="AZ23" s="170">
        <f>IF(Escenarios!$E$17&gt;0,10*Escenarios!$E$16*AX23,0)</f>
        <v>0</v>
      </c>
      <c r="BA23" s="170">
        <f>IF(Escenarios!$E$17&gt;0,0.001*Observaciones!$F22*Escenarios!$E$17,0)</f>
        <v>176</v>
      </c>
      <c r="BB23" s="170">
        <f>IF(Escenarios!$E$17&gt;0,Observaciones!$K22,0)</f>
        <v>0</v>
      </c>
      <c r="BC23" s="170">
        <f>IF(Escenarios!$E$17&gt;0,MIN(0.0005*ETo!$M22*Escenarios!$E$17*(BG22/Constantes!$E$40)^(2/3),BG22+AY23+AZ23+BA23+BB23),0)</f>
        <v>20.620544775635317</v>
      </c>
      <c r="BD23" s="170">
        <f>IF(Escenarios!$E$17&gt;0,MIN(Constantes!$E$39*(BG22/Constantes!$E$40)^(2/3),BG22+AY23+AZ23+BA23+BB23-BC23),0)</f>
        <v>33.312059330322185</v>
      </c>
      <c r="BE23" s="170">
        <f>IF(Escenarios!$E$17&gt;0,MIN(Entradas!$E$113,BG22+AY23+AZ23+BA23+BB23-BC23-BD23),0)</f>
        <v>1</v>
      </c>
      <c r="BF23" s="170">
        <f>IF(Escenarios!$E$17&gt;0,MAX(0,BG22+AY23+AZ23+BA23+BB23-BC23-BD23-BE23-Constantes!$E$40),0)</f>
        <v>0</v>
      </c>
      <c r="BG23" s="170">
        <f t="shared" si="12"/>
        <v>1912.398976535095</v>
      </c>
      <c r="BH23" s="170">
        <f>(Escenarios!$E$16*AK23+0.1*BC23)/(Escenarios!$E$19)</f>
        <v>2.3592262895170109</v>
      </c>
      <c r="BI23" s="170">
        <f>IF(Escenarios!$E$17&gt;0,BF23/10/Escenarios!$E$19,AL23)</f>
        <v>0</v>
      </c>
      <c r="BJ23" s="170">
        <f>(Escenarios!$E$16*AT23+0.1*BD23)/(Escenarios!$E$19)</f>
        <v>0.18470432293885486</v>
      </c>
      <c r="BK23" s="76">
        <f>BK22+(0.1*BD23)/(Escenarios!$E$19)-BL22</f>
        <v>48.899631198587272</v>
      </c>
      <c r="BL23" s="76">
        <f>MAX(0,(BK23-Constantes!$D$13)*(1-EXP(-Constantes!$D$23)))</f>
        <v>1.4743518390552426E-3</v>
      </c>
      <c r="BM23" s="76">
        <f t="shared" si="8"/>
        <v>0.40399404030598779</v>
      </c>
      <c r="BN23" s="76">
        <f t="shared" si="13"/>
        <v>1.2742334382568163</v>
      </c>
      <c r="BO23" s="76">
        <f>0.0526*BI23*Observaciones!$F22^1.218</f>
        <v>0</v>
      </c>
      <c r="BP23" s="76">
        <f>BO23*Constantes!$E$51</f>
        <v>0</v>
      </c>
      <c r="BQ23" s="76">
        <f t="shared" si="9"/>
        <v>0</v>
      </c>
      <c r="BR23" s="40"/>
    </row>
    <row r="24" spans="1:70">
      <c r="A24" s="147"/>
      <c r="B24" s="39"/>
      <c r="C24" s="75">
        <v>18</v>
      </c>
      <c r="D24" s="146">
        <f>ETo!$I23*((1-Constantes!$E$19)*ETo!$K23+ETo!$L23)</f>
        <v>4.2014125664483188</v>
      </c>
      <c r="E24" s="76">
        <f>MIN(D24*Constantes!$E$17,0.8*(N23+Observaciones!$F23-F24-M24-Constantes!$D$14))</f>
        <v>2.0541223359484206</v>
      </c>
      <c r="F24" s="76">
        <f>IF(Observaciones!$F23&gt;0.05*Constantes!$E$18,((Observaciones!$F23-0.05*Constantes!$E$18)^2)/(Observaciones!$F23+0.95*Constantes!$E$18),0)</f>
        <v>0</v>
      </c>
      <c r="G24" s="76">
        <f>IF(Escenarios!$E$11&gt;0,(F24*Escenarios!$E$16*10000)/1000,0)</f>
        <v>0</v>
      </c>
      <c r="H24" s="76">
        <f>IF(Escenarios!$E$11&gt;0,(Observaciones!$F23*Constantes!$E$29)/1000,0)</f>
        <v>25</v>
      </c>
      <c r="I24" s="76">
        <f>IF(Escenarios!$E$11&gt;0,(D24*Constantes!$E$29)/1000,0)</f>
        <v>42.014125664483188</v>
      </c>
      <c r="J24" s="76">
        <f>IF(Escenarios!$E$11&gt;0,MAX(0,G24+H24-I24),0)</f>
        <v>0</v>
      </c>
      <c r="K24" s="76">
        <f>IF(Escenarios!$E$11&gt;0,IF(J24&gt;Constantes!$E$30,1000*((J24-Constantes!$E$30)/(Escenarios!$E$16*10000)),0),F24)</f>
        <v>0</v>
      </c>
      <c r="L24" s="76">
        <f>IF(Escenarios!$E$11&gt;0,I24*1000/Escenarios!$E$16/10000+E24,E24)</f>
        <v>2.070927986214214</v>
      </c>
      <c r="M24" s="76">
        <f>MAX(0,N23+Observaciones!$F23-K24-Constantes!$D$13)</f>
        <v>0</v>
      </c>
      <c r="N24" s="76">
        <f>N23+Observaciones!$F23-K24-L24-M24-O23</f>
        <v>39.721338919293395</v>
      </c>
      <c r="O24" s="76">
        <f>MAX(0,(N24-Constantes!$D$14)*(1-EXP(-Constantes!$D$22)))</f>
        <v>0.96983832401605219</v>
      </c>
      <c r="P24" s="170">
        <f>P23+(Entradas!$E$83*M24-Q23)/(800*Entradas!$D$25)</f>
        <v>0</v>
      </c>
      <c r="Q24" s="170">
        <f>8000*Entradas!$D$26*P24/Constantes!$E$45</f>
        <v>0</v>
      </c>
      <c r="R24" s="170">
        <f>IF(Escenarios!$E$14&gt;0,K24*Escenarios!$E$13/Escenarios!$E$14,0)</f>
        <v>0</v>
      </c>
      <c r="S24" s="170">
        <f>IF(Escenarios!$E$14&gt;0,Q24*Escenarios!$E$13/Escenarios!$E$14,0)</f>
        <v>0</v>
      </c>
      <c r="T24" s="170">
        <f>IF(Escenarios!$E$14&gt;0,Observaciones!$I23,0)</f>
        <v>0</v>
      </c>
      <c r="U24" s="170">
        <f>IF(Escenarios!$E$14&gt;0,MAX(0,Constantes!$E$36/((Z23+R24+S24+T24+Observaciones!$F23)^2)+Entradas!$E$77),0)</f>
        <v>1.3216158746872</v>
      </c>
      <c r="V24" s="146">
        <f>IF(ETo!D23&gt;0,ETo!I23*((1-Entradas!$E$81)*ETo!K23+ETo!L23),0)</f>
        <v>3.8380482869337542</v>
      </c>
      <c r="W24" s="170">
        <f>IF(Escenarios!$E$14&gt;0,MIN(V24*1,0.8*(Z23+R24+S24+T24+Observaciones!$F23-U24-Constantes!$E$35)),0)</f>
        <v>3.8380482869337542</v>
      </c>
      <c r="X24" s="170">
        <f>IF(Escenarios!$E$14&gt;0,Observaciones!$J23,0)</f>
        <v>0</v>
      </c>
      <c r="Y24" s="170">
        <f>IF(Escenarios!$E$14&gt;0,MAX(0,Z23+R24+S24+T24+Observaciones!$F23-U24-W24-X24-Constantes!$E$33),0)</f>
        <v>0</v>
      </c>
      <c r="Z24" s="170">
        <f>Z23+R24+S24+T24+Observaciones!$F23-U24-W24-Y24</f>
        <v>73.051871253710189</v>
      </c>
      <c r="AA24" s="170">
        <f>IF(Escenarios!$E$14&gt;0,(Escenarios!$E$13*L24+Escenarios!$E$14*W24)/(Escenarios!$E$16),L24)</f>
        <v>2.282982422300559</v>
      </c>
      <c r="AB24" s="170">
        <f>IF(Escenarios!$E$14&gt;0,(Escenarios!$E$14*Y24)/(Escenarios!$E$16),K24)</f>
        <v>0</v>
      </c>
      <c r="AC24" s="170">
        <f>IF(Escenarios!$E$14&gt;0,(Escenarios!$E$13*M24+Escenarios!$E$14*U24)/(Escenarios!$E$16),M24)</f>
        <v>0.15859390496246401</v>
      </c>
      <c r="AD24" s="76">
        <f t="shared" si="1"/>
        <v>89.35758729825578</v>
      </c>
      <c r="AE24" s="76">
        <f>MAX(0,(AD24-Constantes!$D$13)*(1-EXP(-Constantes!$D$23)))</f>
        <v>0.40011622962346771</v>
      </c>
      <c r="AF24" s="76">
        <f>AB24+O24*Escenarios!$E$13/Escenarios!$E$16+AE24</f>
        <v>1.2535739547575937</v>
      </c>
      <c r="AG24" s="76">
        <f>IF(Entradas!$E$91&gt;0,IF(AF24-Escenarios!$E$38&lt;=0,0,IF(AF24-Escenarios!$E$38&gt;Escenarios!$E$37,Escenarios!$E$37,AF24-Escenarios!$E$38)),0)</f>
        <v>0</v>
      </c>
      <c r="AH24" s="76">
        <f>AG24*Entradas!$E$99</f>
        <v>0</v>
      </c>
      <c r="AI24" s="76">
        <f>IF(Entradas!$E$91&gt;0,D24*Entradas!$D$23/Escenarios!$E$16,0)</f>
        <v>0</v>
      </c>
      <c r="AJ24" s="76">
        <f>IF(Entradas!$E$91&gt;0,Entradas!$D$24*Entradas!$D$22/Escenarios!$E$16,0)</f>
        <v>0</v>
      </c>
      <c r="AK24" s="76">
        <f t="shared" si="10"/>
        <v>2.282982422300559</v>
      </c>
      <c r="AL24" s="76">
        <f t="shared" si="11"/>
        <v>0</v>
      </c>
      <c r="AM24" s="76">
        <f t="shared" si="2"/>
        <v>0</v>
      </c>
      <c r="AN24" s="76">
        <f>MAX(0,O24*Escenarios!$E$13/Escenarios!$E$16-AM24)</f>
        <v>0.85345772513412588</v>
      </c>
      <c r="AO24" s="76">
        <f>AM24+AN24-O24*Escenarios!$E$13/Escenarios!$E$16</f>
        <v>0</v>
      </c>
      <c r="AP24" s="76">
        <f t="shared" si="0"/>
        <v>0.40011622962346771</v>
      </c>
      <c r="AQ24" s="76">
        <f t="shared" si="3"/>
        <v>0</v>
      </c>
      <c r="AR24" s="76">
        <f t="shared" si="4"/>
        <v>1.2535739547575937</v>
      </c>
      <c r="AS24" s="76">
        <f t="shared" si="5"/>
        <v>0</v>
      </c>
      <c r="AT24" s="76">
        <f t="shared" si="6"/>
        <v>0.15859390496246401</v>
      </c>
      <c r="AU24" s="76">
        <f t="shared" si="7"/>
        <v>48.75</v>
      </c>
      <c r="AV24" s="76">
        <f>MAX(0,(AU24-Constantes!$D$13)*(1-EXP(-Constantes!$D$24)))</f>
        <v>0</v>
      </c>
      <c r="AW24" s="170">
        <f>AW23+(Entradas!$E$112*AT24-AX23)/(800*Entradas!$D$25)</f>
        <v>0</v>
      </c>
      <c r="AX24" s="170">
        <f>8000*Entradas!$D$26*AW24/Constantes!$E$45</f>
        <v>0</v>
      </c>
      <c r="AY24" s="170">
        <f>IF(Escenarios!$E$17&gt;0,10*Escenarios!$E$16*AL24,0)</f>
        <v>0</v>
      </c>
      <c r="AZ24" s="170">
        <f>IF(Escenarios!$E$17&gt;0,10*Escenarios!$E$16*AX24,0)</f>
        <v>0</v>
      </c>
      <c r="BA24" s="170">
        <f>IF(Escenarios!$E$17&gt;0,0.001*Observaciones!$F23*Escenarios!$E$17,0)</f>
        <v>50</v>
      </c>
      <c r="BB24" s="170">
        <f>IF(Escenarios!$E$17&gt;0,Observaciones!$K23,0)</f>
        <v>5.2866259044669099E-3</v>
      </c>
      <c r="BC24" s="170">
        <f>IF(Escenarios!$E$17&gt;0,MIN(0.0005*ETo!$M23*Escenarios!$E$17*(BG23/Constantes!$E$40)^(2/3),BG23+AY24+AZ24+BA24+BB24),0)</f>
        <v>20.761276013003098</v>
      </c>
      <c r="BD24" s="170">
        <f>IF(Escenarios!$E$17&gt;0,MIN(Constantes!$E$39*(BG23/Constantes!$E$40)^(2/3),BG23+AY24+AZ24+BA24+BB24-BC24),0)</f>
        <v>34.796574678167893</v>
      </c>
      <c r="BE24" s="170">
        <f>IF(Escenarios!$E$17&gt;0,MIN(Entradas!$E$113,BG23+AY24+AZ24+BA24+BB24-BC24-BD24),0)</f>
        <v>1</v>
      </c>
      <c r="BF24" s="170">
        <f>IF(Escenarios!$E$17&gt;0,MAX(0,BG23+AY24+AZ24+BA24+BB24-BC24-BD24-BE24-Constantes!$E$40),0)</f>
        <v>0</v>
      </c>
      <c r="BG24" s="170">
        <f t="shared" si="12"/>
        <v>1905.8464124698287</v>
      </c>
      <c r="BH24" s="170">
        <f>(Escenarios!$E$16*AK24+0.1*BC24)/(Escenarios!$E$19)</f>
        <v>2.2731021157795239</v>
      </c>
      <c r="BI24" s="170">
        <f>IF(Escenarios!$E$17&gt;0,BF24/10/Escenarios!$E$19,AL24)</f>
        <v>0</v>
      </c>
      <c r="BJ24" s="170">
        <f>(Escenarios!$E$16*AT24+0.1*BD24)/(Escenarios!$E$19)</f>
        <v>0.17114338773187612</v>
      </c>
      <c r="BK24" s="76">
        <f>BK23+(0.1*BD24)/(Escenarios!$E$19)-BL23</f>
        <v>48.911965011303046</v>
      </c>
      <c r="BL24" s="76">
        <f>MAX(0,(BK24-Constantes!$D$13)*(1-EXP(-Constantes!$D$23)))</f>
        <v>1.5958798334290757E-3</v>
      </c>
      <c r="BM24" s="76">
        <f t="shared" si="8"/>
        <v>0.40171210945689678</v>
      </c>
      <c r="BN24" s="76">
        <f t="shared" si="13"/>
        <v>1.2551698345910227</v>
      </c>
      <c r="BO24" s="76">
        <f>0.0526*BI24*Observaciones!$F23^1.218</f>
        <v>0</v>
      </c>
      <c r="BP24" s="76">
        <f>BO24*Constantes!$E$51</f>
        <v>0</v>
      </c>
      <c r="BQ24" s="76">
        <f t="shared" si="9"/>
        <v>0</v>
      </c>
      <c r="BR24" s="40"/>
    </row>
    <row r="25" spans="1:70">
      <c r="A25" s="147"/>
      <c r="B25" s="39"/>
      <c r="C25" s="75">
        <v>19</v>
      </c>
      <c r="D25" s="146">
        <f>ETo!$I24*((1-Constantes!$E$19)*ETo!$K24+ETo!$L24)</f>
        <v>4.2917431442066443</v>
      </c>
      <c r="E25" s="76">
        <f>MIN(D25*Constantes!$E$17,0.8*(N24+Observaciones!$F24-F25-M25-Constantes!$D$14))</f>
        <v>2.0982860676595765</v>
      </c>
      <c r="F25" s="76">
        <f>IF(Observaciones!$F24&gt;0.05*Constantes!$E$18,((Observaciones!$F24-0.05*Constantes!$E$18)^2)/(Observaciones!$F24+0.95*Constantes!$E$18),0)</f>
        <v>3.1474114626397952E-2</v>
      </c>
      <c r="G25" s="76">
        <f>IF(Escenarios!$E$11&gt;0,(F25*Escenarios!$E$16*10000)/1000,0)</f>
        <v>78.685286565994886</v>
      </c>
      <c r="H25" s="76">
        <f>IF(Escenarios!$E$11&gt;0,(Observaciones!$F24*Constantes!$E$29)/1000,0)</f>
        <v>79</v>
      </c>
      <c r="I25" s="76">
        <f>IF(Escenarios!$E$11&gt;0,(D25*Constantes!$E$29)/1000,0)</f>
        <v>42.917431442066444</v>
      </c>
      <c r="J25" s="76">
        <f>IF(Escenarios!$E$11&gt;0,MAX(0,G25+H25-I25),0)</f>
        <v>114.76785512392844</v>
      </c>
      <c r="K25" s="76">
        <f>IF(Escenarios!$E$11&gt;0,IF(J25&gt;Constantes!$E$30,1000*((J25-Constantes!$E$30)/(Escenarios!$E$16*10000)),0),F25)</f>
        <v>0</v>
      </c>
      <c r="L25" s="76">
        <f>IF(Escenarios!$E$11&gt;0,I25*1000/Escenarios!$E$16/10000+E25,E25)</f>
        <v>2.1154530402364031</v>
      </c>
      <c r="M25" s="76">
        <f>MAX(0,N24+Observaciones!$F24-K25-Constantes!$D$13)</f>
        <v>0</v>
      </c>
      <c r="N25" s="76">
        <f>N24+Observaciones!$F24-K25-L25-M25-O24</f>
        <v>44.536047555040938</v>
      </c>
      <c r="O25" s="76">
        <f>MAX(0,(N25-Constantes!$D$14)*(1-EXP(-Constantes!$D$22)))</f>
        <v>1.1338449753068618</v>
      </c>
      <c r="P25" s="170">
        <f>P24+(Entradas!$E$83*M25-Q24)/(800*Entradas!$D$25)</f>
        <v>0</v>
      </c>
      <c r="Q25" s="170">
        <f>8000*Entradas!$D$26*P25/Constantes!$E$45</f>
        <v>0</v>
      </c>
      <c r="R25" s="170">
        <f>IF(Escenarios!$E$14&gt;0,K25*Escenarios!$E$13/Escenarios!$E$14,0)</f>
        <v>0</v>
      </c>
      <c r="S25" s="170">
        <f>IF(Escenarios!$E$14&gt;0,Q25*Escenarios!$E$13/Escenarios!$E$14,0)</f>
        <v>0</v>
      </c>
      <c r="T25" s="170">
        <f>IF(Escenarios!$E$14&gt;0,Observaciones!$I24,0)</f>
        <v>0</v>
      </c>
      <c r="U25" s="170">
        <f>IF(Escenarios!$E$14&gt;0,MAX(0,Constantes!$E$36/((Z24+R25+S25+T25+Observaciones!$F24)^2)+Entradas!$E$77),0)</f>
        <v>1.433323956728354</v>
      </c>
      <c r="V25" s="146">
        <f>IF(ETo!D24&gt;0,ETo!I24*((1-Entradas!$E$81)*ETo!K24+ETo!L24),0)</f>
        <v>3.9213303871607632</v>
      </c>
      <c r="W25" s="170">
        <f>IF(Escenarios!$E$14&gt;0,MIN(V25*1,0.8*(Z24+R25+S25+T25+Observaciones!$F24-U25-Constantes!$E$35)),0)</f>
        <v>3.9213303871607632</v>
      </c>
      <c r="X25" s="170">
        <f>IF(Escenarios!$E$14&gt;0,Observaciones!$J24,0)</f>
        <v>0</v>
      </c>
      <c r="Y25" s="170">
        <f>IF(Escenarios!$E$14&gt;0,MAX(0,Z24+R25+S25+T25+Observaciones!$F24-U25-W25-X25-Constantes!$E$33),0)</f>
        <v>0</v>
      </c>
      <c r="Z25" s="170">
        <f>Z24+R25+S25+T25+Observaciones!$F24-U25-W25-Y25</f>
        <v>75.597216909821071</v>
      </c>
      <c r="AA25" s="170">
        <f>IF(Escenarios!$E$14&gt;0,(Escenarios!$E$13*L25+Escenarios!$E$14*W25)/(Escenarios!$E$16),L25)</f>
        <v>2.3321583218673263</v>
      </c>
      <c r="AB25" s="170">
        <f>IF(Escenarios!$E$14&gt;0,(Escenarios!$E$14*Y25)/(Escenarios!$E$16),K25)</f>
        <v>0</v>
      </c>
      <c r="AC25" s="170">
        <f>IF(Escenarios!$E$14&gt;0,(Escenarios!$E$13*M25+Escenarios!$E$14*U25)/(Escenarios!$E$16),M25)</f>
        <v>0.17199887480740247</v>
      </c>
      <c r="AD25" s="76">
        <f t="shared" si="1"/>
        <v>89.129469943439716</v>
      </c>
      <c r="AE25" s="76">
        <f>MAX(0,(AD25-Constantes!$D$13)*(1-EXP(-Constantes!$D$23)))</f>
        <v>0.39786853499314423</v>
      </c>
      <c r="AF25" s="76">
        <f>AB25+O25*Escenarios!$E$13/Escenarios!$E$16+AE25</f>
        <v>1.3956521132631825</v>
      </c>
      <c r="AG25" s="76">
        <f>IF(Entradas!$E$91&gt;0,IF(AF25-Escenarios!$E$38&lt;=0,0,IF(AF25-Escenarios!$E$38&gt;Escenarios!$E$37,Escenarios!$E$37,AF25-Escenarios!$E$38)),0)</f>
        <v>0</v>
      </c>
      <c r="AH25" s="76">
        <f>AG25*Entradas!$E$99</f>
        <v>0</v>
      </c>
      <c r="AI25" s="76">
        <f>IF(Entradas!$E$91&gt;0,D25*Entradas!$D$23/Escenarios!$E$16,0)</f>
        <v>0</v>
      </c>
      <c r="AJ25" s="76">
        <f>IF(Entradas!$E$91&gt;0,Entradas!$D$24*Entradas!$D$22/Escenarios!$E$16,0)</f>
        <v>0</v>
      </c>
      <c r="AK25" s="76">
        <f t="shared" si="10"/>
        <v>2.3321583218673263</v>
      </c>
      <c r="AL25" s="76">
        <f t="shared" si="11"/>
        <v>0</v>
      </c>
      <c r="AM25" s="76">
        <f t="shared" si="2"/>
        <v>0</v>
      </c>
      <c r="AN25" s="76">
        <f>MAX(0,O25*Escenarios!$E$13/Escenarios!$E$16-AM25)</f>
        <v>0.99778357827003838</v>
      </c>
      <c r="AO25" s="76">
        <f>AM25+AN25-O25*Escenarios!$E$13/Escenarios!$E$16</f>
        <v>0</v>
      </c>
      <c r="AP25" s="76">
        <f t="shared" si="0"/>
        <v>0.39786853499314423</v>
      </c>
      <c r="AQ25" s="76">
        <f t="shared" si="3"/>
        <v>0</v>
      </c>
      <c r="AR25" s="76">
        <f t="shared" si="4"/>
        <v>1.3956521132631825</v>
      </c>
      <c r="AS25" s="76">
        <f t="shared" si="5"/>
        <v>0</v>
      </c>
      <c r="AT25" s="76">
        <f t="shared" si="6"/>
        <v>0.17199887480740247</v>
      </c>
      <c r="AU25" s="76">
        <f t="shared" si="7"/>
        <v>48.75</v>
      </c>
      <c r="AV25" s="76">
        <f>MAX(0,(AU25-Constantes!$D$13)*(1-EXP(-Constantes!$D$24)))</f>
        <v>0</v>
      </c>
      <c r="AW25" s="170">
        <f>AW24+(Entradas!$E$112*AT25-AX24)/(800*Entradas!$D$25)</f>
        <v>0</v>
      </c>
      <c r="AX25" s="170">
        <f>8000*Entradas!$D$26*AW25/Constantes!$E$45</f>
        <v>0</v>
      </c>
      <c r="AY25" s="170">
        <f>IF(Escenarios!$E$17&gt;0,10*Escenarios!$E$16*AL25,0)</f>
        <v>0</v>
      </c>
      <c r="AZ25" s="170">
        <f>IF(Escenarios!$E$17&gt;0,10*Escenarios!$E$16*AX25,0)</f>
        <v>0</v>
      </c>
      <c r="BA25" s="170">
        <f>IF(Escenarios!$E$17&gt;0,0.001*Observaciones!$F24*Escenarios!$E$17,0)</f>
        <v>158.00000000000003</v>
      </c>
      <c r="BB25" s="170">
        <f>IF(Escenarios!$E$17&gt;0,Observaciones!$K24,0)</f>
        <v>0</v>
      </c>
      <c r="BC25" s="170">
        <f>IF(Escenarios!$E$17&gt;0,MIN(0.0005*ETo!$M24*Escenarios!$E$17*(BG24/Constantes!$E$40)^(2/3),BG24+AY25+AZ25+BA25+BB25),0)</f>
        <v>21.153957310521776</v>
      </c>
      <c r="BD25" s="170">
        <f>IF(Escenarios!$E$17&gt;0,MIN(Constantes!$E$39*(BG24/Constantes!$E$40)^(2/3),BG24+AY25+AZ25+BA25+BB25-BC25),0)</f>
        <v>34.717045531165837</v>
      </c>
      <c r="BE25" s="170">
        <f>IF(Escenarios!$E$17&gt;0,MIN(Entradas!$E$113,BG24+AY25+AZ25+BA25+BB25-BC25-BD25),0)</f>
        <v>1</v>
      </c>
      <c r="BF25" s="170">
        <f>IF(Escenarios!$E$17&gt;0,MAX(0,BG24+AY25+AZ25+BA25+BB25-BC25-BD25-BE25-Constantes!$E$40),0)</f>
        <v>0</v>
      </c>
      <c r="BG25" s="170">
        <f t="shared" si="12"/>
        <v>2006.9754096281413</v>
      </c>
      <c r="BH25" s="170">
        <f>(Escenarios!$E$16*AK25+0.1*BC25)/(Escenarios!$E$19)</f>
        <v>2.3220435563408088</v>
      </c>
      <c r="BI25" s="170">
        <f>IF(Escenarios!$E$17&gt;0,BF25/10/Escenarios!$E$19,AL25)</f>
        <v>0</v>
      </c>
      <c r="BJ25" s="170">
        <f>(Escenarios!$E$16*AT25+0.1*BD25)/(Escenarios!$E$19)</f>
        <v>0.18441040974193332</v>
      </c>
      <c r="BK25" s="76">
        <f>BK24+(0.1*BD25)/(Escenarios!$E$19)-BL24</f>
        <v>48.924145736839122</v>
      </c>
      <c r="BL25" s="76">
        <f>MAX(0,(BK25-Constantes!$D$13)*(1-EXP(-Constantes!$D$23)))</f>
        <v>1.7158994233588258E-3</v>
      </c>
      <c r="BM25" s="76">
        <f t="shared" si="8"/>
        <v>0.39958443441650304</v>
      </c>
      <c r="BN25" s="76">
        <f t="shared" si="13"/>
        <v>1.3973680126865413</v>
      </c>
      <c r="BO25" s="76">
        <f>0.0526*BI25*Observaciones!$F24^1.218</f>
        <v>0</v>
      </c>
      <c r="BP25" s="76">
        <f>BO25*Constantes!$E$51</f>
        <v>0</v>
      </c>
      <c r="BQ25" s="76">
        <f t="shared" si="9"/>
        <v>0</v>
      </c>
      <c r="BR25" s="40"/>
    </row>
    <row r="26" spans="1:70">
      <c r="A26" s="147"/>
      <c r="B26" s="39"/>
      <c r="C26" s="75">
        <v>20</v>
      </c>
      <c r="D26" s="146">
        <f>ETo!$I25*((1-Constantes!$E$19)*ETo!$K25+ETo!$L25)</f>
        <v>4.2365734291985797</v>
      </c>
      <c r="E26" s="76">
        <f>MIN(D26*Constantes!$E$17,0.8*(N25+Observaciones!$F25-F26-M26-Constantes!$D$14))</f>
        <v>2.0713129146845586</v>
      </c>
      <c r="F26" s="76">
        <f>IF(Observaciones!$F25&gt;0.05*Constantes!$E$18,((Observaciones!$F25-0.05*Constantes!$E$18)^2)/(Observaciones!$F25+0.95*Constantes!$E$18),0)</f>
        <v>0</v>
      </c>
      <c r="G26" s="76">
        <f>IF(Escenarios!$E$11&gt;0,(F26*Escenarios!$E$16*10000)/1000,0)</f>
        <v>0</v>
      </c>
      <c r="H26" s="76">
        <f>IF(Escenarios!$E$11&gt;0,(Observaciones!$F25*Constantes!$E$29)/1000,0)</f>
        <v>50</v>
      </c>
      <c r="I26" s="76">
        <f>IF(Escenarios!$E$11&gt;0,(D26*Constantes!$E$29)/1000,0)</f>
        <v>42.365734291985795</v>
      </c>
      <c r="J26" s="76">
        <f>IF(Escenarios!$E$11&gt;0,MAX(0,G26+H26-I26),0)</f>
        <v>7.6342657080142047</v>
      </c>
      <c r="K26" s="76">
        <f>IF(Escenarios!$E$11&gt;0,IF(J26&gt;Constantes!$E$30,1000*((J26-Constantes!$E$30)/(Escenarios!$E$16*10000)),0),F26)</f>
        <v>0</v>
      </c>
      <c r="L26" s="76">
        <f>IF(Escenarios!$E$11&gt;0,I26*1000/Escenarios!$E$16/10000+E26,E26)</f>
        <v>2.0882592084013529</v>
      </c>
      <c r="M26" s="76">
        <f>MAX(0,N25+Observaciones!$F25-K26-Constantes!$D$13)</f>
        <v>0.7860475550409376</v>
      </c>
      <c r="N26" s="76">
        <f>N25+Observaciones!$F25-K26-L26-M26-O25</f>
        <v>45.527895816291782</v>
      </c>
      <c r="O26" s="76">
        <f>MAX(0,(N26-Constantes!$D$14)*(1-EXP(-Constantes!$D$22)))</f>
        <v>1.1676309682345745</v>
      </c>
      <c r="P26" s="170">
        <f>P25+(Entradas!$E$83*M26-Q25)/(800*Entradas!$D$25)</f>
        <v>0</v>
      </c>
      <c r="Q26" s="170">
        <f>8000*Entradas!$D$26*P26/Constantes!$E$45</f>
        <v>0</v>
      </c>
      <c r="R26" s="170">
        <f>IF(Escenarios!$E$14&gt;0,K26*Escenarios!$E$13/Escenarios!$E$14,0)</f>
        <v>0</v>
      </c>
      <c r="S26" s="170">
        <f>IF(Escenarios!$E$14&gt;0,Q26*Escenarios!$E$13/Escenarios!$E$14,0)</f>
        <v>0</v>
      </c>
      <c r="T26" s="170">
        <f>IF(Escenarios!$E$14&gt;0,Observaciones!$I25,0)</f>
        <v>0</v>
      </c>
      <c r="U26" s="170">
        <f>IF(Escenarios!$E$14&gt;0,MAX(0,Constantes!$E$36/((Z25+R26+S26+T26+Observaciones!$F25)^2)+Entradas!$E$77),0)</f>
        <v>1.419505838439973</v>
      </c>
      <c r="V26" s="146">
        <f>IF(ETo!D25&gt;0,ETo!I25*((1-Entradas!$E$81)*ETo!K25+ETo!L25),0)</f>
        <v>3.8704309165882385</v>
      </c>
      <c r="W26" s="170">
        <f>IF(Escenarios!$E$14&gt;0,MIN(V26*1,0.8*(Z25+R26+S26+T26+Observaciones!$F25-U26-Constantes!$E$35)),0)</f>
        <v>3.8704309165882385</v>
      </c>
      <c r="X26" s="170">
        <f>IF(Escenarios!$E$14&gt;0,Observaciones!$J25,0)</f>
        <v>0</v>
      </c>
      <c r="Y26" s="170">
        <f>IF(Escenarios!$E$14&gt;0,MAX(0,Z25+R26+S26+T26+Observaciones!$F25-U26-W26-X26-Constantes!$E$33),0)</f>
        <v>0</v>
      </c>
      <c r="Z26" s="170">
        <f>Z25+R26+S26+T26+Observaciones!$F25-U26-W26-Y26</f>
        <v>75.307280154792863</v>
      </c>
      <c r="AA26" s="170">
        <f>IF(Escenarios!$E$14&gt;0,(Escenarios!$E$13*L26+Escenarios!$E$14*W26)/(Escenarios!$E$16),L26)</f>
        <v>2.3021198133837792</v>
      </c>
      <c r="AB26" s="170">
        <f>IF(Escenarios!$E$14&gt;0,(Escenarios!$E$14*Y26)/(Escenarios!$E$16),K26)</f>
        <v>0</v>
      </c>
      <c r="AC26" s="170">
        <f>IF(Escenarios!$E$14&gt;0,(Escenarios!$E$13*M26+Escenarios!$E$14*U26)/(Escenarios!$E$16),M26)</f>
        <v>0.86206254904882185</v>
      </c>
      <c r="AD26" s="76">
        <f t="shared" si="1"/>
        <v>89.59366395749538</v>
      </c>
      <c r="AE26" s="76">
        <f>MAX(0,(AD26-Constantes!$D$13)*(1-EXP(-Constantes!$D$23)))</f>
        <v>0.40244234917603494</v>
      </c>
      <c r="AF26" s="76">
        <f>AB26+O26*Escenarios!$E$13/Escenarios!$E$16+AE26</f>
        <v>1.4299576012224604</v>
      </c>
      <c r="AG26" s="76">
        <f>IF(Entradas!$E$91&gt;0,IF(AF26-Escenarios!$E$38&lt;=0,0,IF(AF26-Escenarios!$E$38&gt;Escenarios!$E$37,Escenarios!$E$37,AF26-Escenarios!$E$38)),0)</f>
        <v>0</v>
      </c>
      <c r="AH26" s="76">
        <f>AG26*Entradas!$E$99</f>
        <v>0</v>
      </c>
      <c r="AI26" s="76">
        <f>IF(Entradas!$E$91&gt;0,D26*Entradas!$D$23/Escenarios!$E$16,0)</f>
        <v>0</v>
      </c>
      <c r="AJ26" s="76">
        <f>IF(Entradas!$E$91&gt;0,Entradas!$D$24*Entradas!$D$22/Escenarios!$E$16,0)</f>
        <v>0</v>
      </c>
      <c r="AK26" s="76">
        <f t="shared" si="10"/>
        <v>2.3021198133837792</v>
      </c>
      <c r="AL26" s="76">
        <f t="shared" si="11"/>
        <v>0</v>
      </c>
      <c r="AM26" s="76">
        <f t="shared" si="2"/>
        <v>0</v>
      </c>
      <c r="AN26" s="76">
        <f>MAX(0,O26*Escenarios!$E$13/Escenarios!$E$16-AM26)</f>
        <v>1.0275152520464255</v>
      </c>
      <c r="AO26" s="76">
        <f>AM26+AN26-O26*Escenarios!$E$13/Escenarios!$E$16</f>
        <v>0</v>
      </c>
      <c r="AP26" s="76">
        <f t="shared" si="0"/>
        <v>0.40244234917603494</v>
      </c>
      <c r="AQ26" s="76">
        <f t="shared" si="3"/>
        <v>0</v>
      </c>
      <c r="AR26" s="76">
        <f t="shared" si="4"/>
        <v>1.4299576012224604</v>
      </c>
      <c r="AS26" s="76">
        <f t="shared" si="5"/>
        <v>0</v>
      </c>
      <c r="AT26" s="76">
        <f t="shared" si="6"/>
        <v>0.86206254904882185</v>
      </c>
      <c r="AU26" s="76">
        <f t="shared" si="7"/>
        <v>48.75</v>
      </c>
      <c r="AV26" s="76">
        <f>MAX(0,(AU26-Constantes!$D$13)*(1-EXP(-Constantes!$D$24)))</f>
        <v>0</v>
      </c>
      <c r="AW26" s="170">
        <f>AW25+(Entradas!$E$112*AT26-AX25)/(800*Entradas!$D$25)</f>
        <v>0</v>
      </c>
      <c r="AX26" s="170">
        <f>8000*Entradas!$D$26*AW26/Constantes!$E$45</f>
        <v>0</v>
      </c>
      <c r="AY26" s="170">
        <f>IF(Escenarios!$E$17&gt;0,10*Escenarios!$E$16*AL26,0)</f>
        <v>0</v>
      </c>
      <c r="AZ26" s="170">
        <f>IF(Escenarios!$E$17&gt;0,10*Escenarios!$E$16*AX26,0)</f>
        <v>0</v>
      </c>
      <c r="BA26" s="170">
        <f>IF(Escenarios!$E$17&gt;0,0.001*Observaciones!$F25*Escenarios!$E$17,0)</f>
        <v>100</v>
      </c>
      <c r="BB26" s="170">
        <f>IF(Escenarios!$E$17&gt;0,Observaciones!$K25,0)</f>
        <v>62.043936092893496</v>
      </c>
      <c r="BC26" s="170">
        <f>IF(Escenarios!$E$17&gt;0,MIN(0.0005*ETo!$M25*Escenarios!$E$17*(BG25/Constantes!$E$40)^(2/3),BG25+AY26+AZ26+BA26+BB26),0)</f>
        <v>21.617817675667602</v>
      </c>
      <c r="BD26" s="170">
        <f>IF(Escenarios!$E$17&gt;0,MIN(Constantes!$E$39*(BG25/Constantes!$E$40)^(2/3),BG25+AY26+AZ26+BA26+BB26-BC26),0)</f>
        <v>35.93454861564831</v>
      </c>
      <c r="BE26" s="170">
        <f>IF(Escenarios!$E$17&gt;0,MIN(Entradas!$E$113,BG25+AY26+AZ26+BA26+BB26-BC26-BD26),0)</f>
        <v>1</v>
      </c>
      <c r="BF26" s="170">
        <f>IF(Escenarios!$E$17&gt;0,MAX(0,BG25+AY26+AZ26+BA26+BB26-BC26-BD26-BE26-Constantes!$E$40),0)</f>
        <v>0</v>
      </c>
      <c r="BG26" s="170">
        <f t="shared" si="12"/>
        <v>2110.4669794297188</v>
      </c>
      <c r="BH26" s="170">
        <f>(Escenarios!$E$16*AK26+0.1*BC26)/(Escenarios!$E$19)</f>
        <v>2.2924275202917124</v>
      </c>
      <c r="BI26" s="170">
        <f>IF(Escenarios!$E$17&gt;0,BF26/10/Escenarios!$E$19,AL26)</f>
        <v>0</v>
      </c>
      <c r="BJ26" s="170">
        <f>(Escenarios!$E$16*AT26+0.1*BD26)/(Escenarios!$E$19)</f>
        <v>0.86948052430067579</v>
      </c>
      <c r="BK26" s="76">
        <f>BK25+(0.1*BD26)/(Escenarios!$E$19)-BL25</f>
        <v>48.936689578929908</v>
      </c>
      <c r="BL26" s="76">
        <f>MAX(0,(BK26-Constantes!$D$13)*(1-EXP(-Constantes!$D$23)))</f>
        <v>1.8394968871897498E-3</v>
      </c>
      <c r="BM26" s="76">
        <f t="shared" si="8"/>
        <v>0.4042818460632247</v>
      </c>
      <c r="BN26" s="76">
        <f t="shared" si="13"/>
        <v>1.4317970981096502</v>
      </c>
      <c r="BO26" s="76">
        <f>0.0526*BI26*Observaciones!$F25^1.218</f>
        <v>0</v>
      </c>
      <c r="BP26" s="76">
        <f>BO26*Constantes!$E$51</f>
        <v>0</v>
      </c>
      <c r="BQ26" s="76">
        <f t="shared" si="9"/>
        <v>0</v>
      </c>
      <c r="BR26" s="40"/>
    </row>
    <row r="27" spans="1:70">
      <c r="A27" s="147"/>
      <c r="B27" s="39"/>
      <c r="C27" s="75">
        <v>21</v>
      </c>
      <c r="D27" s="146">
        <f>ETo!$I26*((1-Constantes!$E$19)*ETo!$K26+ETo!$L26)</f>
        <v>4.4401023676060651</v>
      </c>
      <c r="E27" s="76">
        <f>MIN(D27*Constantes!$E$17,0.8*(N26+Observaciones!$F26-F27-M27-Constantes!$D$14))</f>
        <v>2.1708207187344013</v>
      </c>
      <c r="F27" s="76">
        <f>IF(Observaciones!$F26&gt;0.05*Constantes!$E$18,((Observaciones!$F26-0.05*Constantes!$E$18)^2)/(Observaciones!$F26+0.95*Constantes!$E$18),0)</f>
        <v>5.2819898802982865E-4</v>
      </c>
      <c r="G27" s="76">
        <f>IF(Escenarios!$E$11&gt;0,(F27*Escenarios!$E$16*10000)/1000,0)</f>
        <v>1.3204974700745717</v>
      </c>
      <c r="H27" s="76">
        <f>IF(Escenarios!$E$11&gt;0,(Observaciones!$F26*Constantes!$E$29)/1000,0)</f>
        <v>62</v>
      </c>
      <c r="I27" s="76">
        <f>IF(Escenarios!$E$11&gt;0,(D27*Constantes!$E$29)/1000,0)</f>
        <v>44.401023676060646</v>
      </c>
      <c r="J27" s="76">
        <f>IF(Escenarios!$E$11&gt;0,MAX(0,G27+H27-I27),0)</f>
        <v>18.919473794013925</v>
      </c>
      <c r="K27" s="76">
        <f>IF(Escenarios!$E$11&gt;0,IF(J27&gt;Constantes!$E$30,1000*((J27-Constantes!$E$30)/(Escenarios!$E$16*10000)),0),F27)</f>
        <v>0</v>
      </c>
      <c r="L27" s="76">
        <f>IF(Escenarios!$E$11&gt;0,I27*1000/Escenarios!$E$16/10000+E27,E27)</f>
        <v>2.1885811282048255</v>
      </c>
      <c r="M27" s="76">
        <f>MAX(0,N26+Observaciones!$F26-K27-Constantes!$D$13)</f>
        <v>2.9778958162917846</v>
      </c>
      <c r="N27" s="76">
        <f>N26+Observaciones!$F26-K27-L27-M27-O26</f>
        <v>45.3937879035606</v>
      </c>
      <c r="O27" s="76">
        <f>MAX(0,(N27-Constantes!$D$14)*(1-EXP(-Constantes!$D$22)))</f>
        <v>1.1630627604067239</v>
      </c>
      <c r="P27" s="170">
        <f>P26+(Entradas!$E$83*M27-Q26)/(800*Entradas!$D$25)</f>
        <v>0</v>
      </c>
      <c r="Q27" s="170">
        <f>8000*Entradas!$D$26*P27/Constantes!$E$45</f>
        <v>0</v>
      </c>
      <c r="R27" s="170">
        <f>IF(Escenarios!$E$14&gt;0,K27*Escenarios!$E$13/Escenarios!$E$14,0)</f>
        <v>0</v>
      </c>
      <c r="S27" s="170">
        <f>IF(Escenarios!$E$14&gt;0,Q27*Escenarios!$E$13/Escenarios!$E$14,0)</f>
        <v>0</v>
      </c>
      <c r="T27" s="170">
        <f>IF(Escenarios!$E$14&gt;0,Observaciones!$I26,0)</f>
        <v>0</v>
      </c>
      <c r="U27" s="170">
        <f>IF(Escenarios!$E$14&gt;0,MAX(0,Constantes!$E$36/((Z26+R27+S27+T27+Observaciones!$F26)^2)+Entradas!$E$77),0)</f>
        <v>1.4546025746245941</v>
      </c>
      <c r="V27" s="146">
        <f>IF(ETo!D26&gt;0,ETo!I26*((1-Entradas!$E$81)*ETo!K26+ETo!L26),0)</f>
        <v>4.0584895233784835</v>
      </c>
      <c r="W27" s="170">
        <f>IF(Escenarios!$E$14&gt;0,MIN(V27*1,0.8*(Z26+R27+S27+T27+Observaciones!$F26-U27-Constantes!$E$35)),0)</f>
        <v>4.0584895233784835</v>
      </c>
      <c r="X27" s="170">
        <f>IF(Escenarios!$E$14&gt;0,Observaciones!$J26,0)</f>
        <v>0</v>
      </c>
      <c r="Y27" s="170">
        <f>IF(Escenarios!$E$14&gt;0,MAX(0,Z26+R27+S27+T27+Observaciones!$F26-U27-W27-X27-Constantes!$E$33),0)</f>
        <v>0</v>
      </c>
      <c r="Z27" s="170">
        <f>Z26+R27+S27+T27+Observaciones!$F26-U27-W27-Y27</f>
        <v>75.994188056789795</v>
      </c>
      <c r="AA27" s="170">
        <f>IF(Escenarios!$E$14&gt;0,(Escenarios!$E$13*L27+Escenarios!$E$14*W27)/(Escenarios!$E$16),L27)</f>
        <v>2.4129701356256645</v>
      </c>
      <c r="AB27" s="170">
        <f>IF(Escenarios!$E$14&gt;0,(Escenarios!$E$14*Y27)/(Escenarios!$E$16),K27)</f>
        <v>0</v>
      </c>
      <c r="AC27" s="170">
        <f>IF(Escenarios!$E$14&gt;0,(Escenarios!$E$13*M27+Escenarios!$E$14*U27)/(Escenarios!$E$16),M27)</f>
        <v>2.7951006272917223</v>
      </c>
      <c r="AD27" s="76">
        <f t="shared" si="1"/>
        <v>91.986322235611055</v>
      </c>
      <c r="AE27" s="76">
        <f>MAX(0,(AD27-Constantes!$D$13)*(1-EXP(-Constantes!$D$23)))</f>
        <v>0.4260177810771108</v>
      </c>
      <c r="AF27" s="76">
        <f>AB27+O27*Escenarios!$E$13/Escenarios!$E$16+AE27</f>
        <v>1.449513010235028</v>
      </c>
      <c r="AG27" s="76">
        <f>IF(Entradas!$E$91&gt;0,IF(AF27-Escenarios!$E$38&lt;=0,0,IF(AF27-Escenarios!$E$38&gt;Escenarios!$E$37,Escenarios!$E$37,AF27-Escenarios!$E$38)),0)</f>
        <v>0</v>
      </c>
      <c r="AH27" s="76">
        <f>AG27*Entradas!$E$99</f>
        <v>0</v>
      </c>
      <c r="AI27" s="76">
        <f>IF(Entradas!$E$91&gt;0,D27*Entradas!$D$23/Escenarios!$E$16,0)</f>
        <v>0</v>
      </c>
      <c r="AJ27" s="76">
        <f>IF(Entradas!$E$91&gt;0,Entradas!$D$24*Entradas!$D$22/Escenarios!$E$16,0)</f>
        <v>0</v>
      </c>
      <c r="AK27" s="76">
        <f t="shared" si="10"/>
        <v>2.4129701356256645</v>
      </c>
      <c r="AL27" s="76">
        <f t="shared" si="11"/>
        <v>0</v>
      </c>
      <c r="AM27" s="76">
        <f t="shared" si="2"/>
        <v>0</v>
      </c>
      <c r="AN27" s="76">
        <f>MAX(0,O27*Escenarios!$E$13/Escenarios!$E$16-AM27)</f>
        <v>1.0234952291579171</v>
      </c>
      <c r="AO27" s="76">
        <f>AM27+AN27-O27*Escenarios!$E$13/Escenarios!$E$16</f>
        <v>0</v>
      </c>
      <c r="AP27" s="76">
        <f t="shared" si="0"/>
        <v>0.4260177810771108</v>
      </c>
      <c r="AQ27" s="76">
        <f t="shared" si="3"/>
        <v>0</v>
      </c>
      <c r="AR27" s="76">
        <f t="shared" si="4"/>
        <v>1.449513010235028</v>
      </c>
      <c r="AS27" s="76">
        <f t="shared" si="5"/>
        <v>0</v>
      </c>
      <c r="AT27" s="76">
        <f t="shared" si="6"/>
        <v>2.7951006272917223</v>
      </c>
      <c r="AU27" s="76">
        <f t="shared" si="7"/>
        <v>48.75</v>
      </c>
      <c r="AV27" s="76">
        <f>MAX(0,(AU27-Constantes!$D$13)*(1-EXP(-Constantes!$D$24)))</f>
        <v>0</v>
      </c>
      <c r="AW27" s="170">
        <f>AW26+(Entradas!$E$112*AT27-AX26)/(800*Entradas!$D$25)</f>
        <v>0</v>
      </c>
      <c r="AX27" s="170">
        <f>8000*Entradas!$D$26*AW27/Constantes!$E$45</f>
        <v>0</v>
      </c>
      <c r="AY27" s="170">
        <f>IF(Escenarios!$E$17&gt;0,10*Escenarios!$E$16*AL27,0)</f>
        <v>0</v>
      </c>
      <c r="AZ27" s="170">
        <f>IF(Escenarios!$E$17&gt;0,10*Escenarios!$E$16*AX27,0)</f>
        <v>0</v>
      </c>
      <c r="BA27" s="170">
        <f>IF(Escenarios!$E$17&gt;0,0.001*Observaciones!$F26*Escenarios!$E$17,0)</f>
        <v>124.00000000000001</v>
      </c>
      <c r="BB27" s="170">
        <f>IF(Escenarios!$E$17&gt;0,Observaciones!$K26,0)</f>
        <v>300.83094288980993</v>
      </c>
      <c r="BC27" s="170">
        <f>IF(Escenarios!$E$17&gt;0,MIN(0.0005*ETo!$M26*Escenarios!$E$17*(BG26/Constantes!$E$40)^(2/3),BG26+AY27+AZ27+BA27+BB27),0)</f>
        <v>23.413185881459491</v>
      </c>
      <c r="BD27" s="170">
        <f>IF(Escenarios!$E$17&gt;0,MIN(Constantes!$E$39*(BG26/Constantes!$E$40)^(2/3),BG26+AY27+AZ27+BA27+BB27-BC27),0)</f>
        <v>37.159500485573759</v>
      </c>
      <c r="BE27" s="170">
        <f>IF(Escenarios!$E$17&gt;0,MIN(Entradas!$E$113,BG26+AY27+AZ27+BA27+BB27-BC27-BD27),0)</f>
        <v>1</v>
      </c>
      <c r="BF27" s="170">
        <f>IF(Escenarios!$E$17&gt;0,MAX(0,BG26+AY27+AZ27+BA27+BB27-BC27-BD27-BE27-Constantes!$E$40),0)</f>
        <v>0</v>
      </c>
      <c r="BG27" s="170">
        <f t="shared" si="12"/>
        <v>2473.7252359524955</v>
      </c>
      <c r="BH27" s="170">
        <f>(Escenarios!$E$16*AK27+0.1*BC27)/(Escenarios!$E$19)</f>
        <v>2.4031105257720715</v>
      </c>
      <c r="BI27" s="170">
        <f>IF(Escenarios!$E$17&gt;0,BF27/10/Escenarios!$E$19,AL27)</f>
        <v>0</v>
      </c>
      <c r="BJ27" s="170">
        <f>(Escenarios!$E$16*AT27+0.1*BD27)/(Escenarios!$E$19)</f>
        <v>2.7876631225059043</v>
      </c>
      <c r="BK27" s="76">
        <f>BK26+(0.1*BD27)/(Escenarios!$E$19)-BL26</f>
        <v>48.949595915568736</v>
      </c>
      <c r="BL27" s="76">
        <f>MAX(0,(BK27-Constantes!$D$13)*(1-EXP(-Constantes!$D$23)))</f>
        <v>1.9666660961420112E-3</v>
      </c>
      <c r="BM27" s="76">
        <f t="shared" si="8"/>
        <v>0.42798444717325279</v>
      </c>
      <c r="BN27" s="76">
        <f t="shared" si="13"/>
        <v>1.4514796763311699</v>
      </c>
      <c r="BO27" s="76">
        <f>0.0526*BI27*Observaciones!$F26^1.218</f>
        <v>0</v>
      </c>
      <c r="BP27" s="76">
        <f>BO27*Constantes!$E$51</f>
        <v>0</v>
      </c>
      <c r="BQ27" s="76">
        <f t="shared" si="9"/>
        <v>0</v>
      </c>
      <c r="BR27" s="40"/>
    </row>
    <row r="28" spans="1:70">
      <c r="A28" s="147"/>
      <c r="B28" s="39"/>
      <c r="C28" s="75">
        <v>22</v>
      </c>
      <c r="D28" s="146">
        <f>ETo!$I27*((1-Constantes!$E$19)*ETo!$K27+ETo!$L27)</f>
        <v>4.3349271755858201</v>
      </c>
      <c r="E28" s="76">
        <f>MIN(D28*Constantes!$E$17,0.8*(N27+Observaciones!$F27-F28-M28-Constantes!$D$14))</f>
        <v>2.1193992723280841</v>
      </c>
      <c r="F28" s="76">
        <f>IF(Observaciones!$F27&gt;0.05*Constantes!$E$18,((Observaciones!$F27-0.05*Constantes!$E$18)^2)/(Observaciones!$F27+0.95*Constantes!$E$18),0)</f>
        <v>0</v>
      </c>
      <c r="G28" s="76">
        <f>IF(Escenarios!$E$11&gt;0,(F28*Escenarios!$E$16*10000)/1000,0)</f>
        <v>0</v>
      </c>
      <c r="H28" s="76">
        <f>IF(Escenarios!$E$11&gt;0,(Observaciones!$F27*Constantes!$E$29)/1000,0)</f>
        <v>1</v>
      </c>
      <c r="I28" s="76">
        <f>IF(Escenarios!$E$11&gt;0,(D28*Constantes!$E$29)/1000,0)</f>
        <v>43.349271755858197</v>
      </c>
      <c r="J28" s="76">
        <f>IF(Escenarios!$E$11&gt;0,MAX(0,G28+H28-I28),0)</f>
        <v>0</v>
      </c>
      <c r="K28" s="76">
        <f>IF(Escenarios!$E$11&gt;0,IF(J28&gt;Constantes!$E$30,1000*((J28-Constantes!$E$30)/(Escenarios!$E$16*10000)),0),F28)</f>
        <v>0</v>
      </c>
      <c r="L28" s="76">
        <f>IF(Escenarios!$E$11&gt;0,I28*1000/Escenarios!$E$16/10000+E28,E28)</f>
        <v>2.1367389810304274</v>
      </c>
      <c r="M28" s="76">
        <f>MAX(0,N27+Observaciones!$F27-K28-Constantes!$D$13)</f>
        <v>0</v>
      </c>
      <c r="N28" s="76">
        <f>N27+Observaciones!$F27-K28-L28-M28-O27</f>
        <v>42.193986162123451</v>
      </c>
      <c r="O28" s="76">
        <f>MAX(0,(N28-Constantes!$D$14)*(1-EXP(-Constantes!$D$22)))</f>
        <v>1.0540657663807027</v>
      </c>
      <c r="P28" s="170">
        <f>P27+(Entradas!$E$83*M28-Q27)/(800*Entradas!$D$25)</f>
        <v>0</v>
      </c>
      <c r="Q28" s="170">
        <f>8000*Entradas!$D$26*P28/Constantes!$E$45</f>
        <v>0</v>
      </c>
      <c r="R28" s="170">
        <f>IF(Escenarios!$E$14&gt;0,K28*Escenarios!$E$13/Escenarios!$E$14,0)</f>
        <v>0</v>
      </c>
      <c r="S28" s="170">
        <f>IF(Escenarios!$E$14&gt;0,Q28*Escenarios!$E$13/Escenarios!$E$14,0)</f>
        <v>0</v>
      </c>
      <c r="T28" s="170">
        <f>IF(Escenarios!$E$14&gt;0,Observaciones!$I27,0)</f>
        <v>0</v>
      </c>
      <c r="U28" s="170">
        <f>IF(Escenarios!$E$14&gt;0,MAX(0,Constantes!$E$36/((Z27+R28+S28+T28+Observaciones!$F27)^2)+Entradas!$E$77),0)</f>
        <v>1.2269131367525619</v>
      </c>
      <c r="V28" s="146">
        <f>IF(ETo!D27&gt;0,ETo!I27*((1-Entradas!$E$81)*ETo!K27+ETo!L27),0)</f>
        <v>3.9611817817454047</v>
      </c>
      <c r="W28" s="170">
        <f>IF(Escenarios!$E$14&gt;0,MIN(V28*1,0.8*(Z27+R28+S28+T28+Observaciones!$F27-U28-Constantes!$E$35)),0)</f>
        <v>3.9611817817454047</v>
      </c>
      <c r="X28" s="170">
        <f>IF(Escenarios!$E$14&gt;0,Observaciones!$J27,0)</f>
        <v>0</v>
      </c>
      <c r="Y28" s="170">
        <f>IF(Escenarios!$E$14&gt;0,MAX(0,Z27+R28+S28+T28+Observaciones!$F27-U28-W28-X28-Constantes!$E$33),0)</f>
        <v>0</v>
      </c>
      <c r="Z28" s="170">
        <f>Z27+R28+S28+T28+Observaciones!$F27-U28-W28-Y28</f>
        <v>70.906093138291823</v>
      </c>
      <c r="AA28" s="170">
        <f>IF(Escenarios!$E$14&gt;0,(Escenarios!$E$13*L28+Escenarios!$E$14*W28)/(Escenarios!$E$16),L28)</f>
        <v>2.3556721171162249</v>
      </c>
      <c r="AB28" s="170">
        <f>IF(Escenarios!$E$14&gt;0,(Escenarios!$E$14*Y28)/(Escenarios!$E$16),K28)</f>
        <v>0</v>
      </c>
      <c r="AC28" s="170">
        <f>IF(Escenarios!$E$14&gt;0,(Escenarios!$E$13*M28+Escenarios!$E$14*U28)/(Escenarios!$E$16),M28)</f>
        <v>0.14722957641030743</v>
      </c>
      <c r="AD28" s="76">
        <f t="shared" si="1"/>
        <v>91.707534030944259</v>
      </c>
      <c r="AE28" s="76">
        <f>MAX(0,(AD28-Constantes!$D$13)*(1-EXP(-Constantes!$D$23)))</f>
        <v>0.42327081449435189</v>
      </c>
      <c r="AF28" s="76">
        <f>AB28+O28*Escenarios!$E$13/Escenarios!$E$16+AE28</f>
        <v>1.3508486889093703</v>
      </c>
      <c r="AG28" s="76">
        <f>IF(Entradas!$E$91&gt;0,IF(AF28-Escenarios!$E$38&lt;=0,0,IF(AF28-Escenarios!$E$38&gt;Escenarios!$E$37,Escenarios!$E$37,AF28-Escenarios!$E$38)),0)</f>
        <v>0</v>
      </c>
      <c r="AH28" s="76">
        <f>AG28*Entradas!$E$99</f>
        <v>0</v>
      </c>
      <c r="AI28" s="76">
        <f>IF(Entradas!$E$91&gt;0,D28*Entradas!$D$23/Escenarios!$E$16,0)</f>
        <v>0</v>
      </c>
      <c r="AJ28" s="76">
        <f>IF(Entradas!$E$91&gt;0,Entradas!$D$24*Entradas!$D$22/Escenarios!$E$16,0)</f>
        <v>0</v>
      </c>
      <c r="AK28" s="76">
        <f t="shared" si="10"/>
        <v>2.3556721171162249</v>
      </c>
      <c r="AL28" s="76">
        <f t="shared" si="11"/>
        <v>0</v>
      </c>
      <c r="AM28" s="76">
        <f t="shared" si="2"/>
        <v>0</v>
      </c>
      <c r="AN28" s="76">
        <f>MAX(0,O28*Escenarios!$E$13/Escenarios!$E$16-AM28)</f>
        <v>0.92757787441501838</v>
      </c>
      <c r="AO28" s="76">
        <f>AM28+AN28-O28*Escenarios!$E$13/Escenarios!$E$16</f>
        <v>0</v>
      </c>
      <c r="AP28" s="76">
        <f t="shared" si="0"/>
        <v>0.42327081449435189</v>
      </c>
      <c r="AQ28" s="76">
        <f t="shared" si="3"/>
        <v>0</v>
      </c>
      <c r="AR28" s="76">
        <f t="shared" si="4"/>
        <v>1.3508486889093703</v>
      </c>
      <c r="AS28" s="76">
        <f t="shared" si="5"/>
        <v>0</v>
      </c>
      <c r="AT28" s="76">
        <f t="shared" si="6"/>
        <v>0.14722957641030743</v>
      </c>
      <c r="AU28" s="76">
        <f t="shared" si="7"/>
        <v>48.75</v>
      </c>
      <c r="AV28" s="76">
        <f>MAX(0,(AU28-Constantes!$D$13)*(1-EXP(-Constantes!$D$24)))</f>
        <v>0</v>
      </c>
      <c r="AW28" s="170">
        <f>AW27+(Entradas!$E$112*AT28-AX27)/(800*Entradas!$D$25)</f>
        <v>0</v>
      </c>
      <c r="AX28" s="170">
        <f>8000*Entradas!$D$26*AW28/Constantes!$E$45</f>
        <v>0</v>
      </c>
      <c r="AY28" s="170">
        <f>IF(Escenarios!$E$17&gt;0,10*Escenarios!$E$16*AL28,0)</f>
        <v>0</v>
      </c>
      <c r="AZ28" s="170">
        <f>IF(Escenarios!$E$17&gt;0,10*Escenarios!$E$16*AX28,0)</f>
        <v>0</v>
      </c>
      <c r="BA28" s="170">
        <f>IF(Escenarios!$E$17&gt;0,0.001*Observaciones!$F27*Escenarios!$E$17,0)</f>
        <v>2</v>
      </c>
      <c r="BB28" s="170">
        <f>IF(Escenarios!$E$17&gt;0,Observaciones!$K27,0)</f>
        <v>0</v>
      </c>
      <c r="BC28" s="170">
        <f>IF(Escenarios!$E$17&gt;0,MIN(0.0005*ETo!$M27*Escenarios!$E$17*(BG27/Constantes!$E$40)^(2/3),BG27+AY28+AZ28+BA28+BB28),0)</f>
        <v>25.42107956638835</v>
      </c>
      <c r="BD28" s="170">
        <f>IF(Escenarios!$E$17&gt;0,MIN(Constantes!$E$39*(BG27/Constantes!$E$40)^(2/3),BG27+AY28+AZ28+BA28+BB28-BC28),0)</f>
        <v>41.30967701668061</v>
      </c>
      <c r="BE28" s="170">
        <f>IF(Escenarios!$E$17&gt;0,MIN(Entradas!$E$113,BG27+AY28+AZ28+BA28+BB28-BC28-BD28),0)</f>
        <v>1</v>
      </c>
      <c r="BF28" s="170">
        <f>IF(Escenarios!$E$17&gt;0,MAX(0,BG27+AY28+AZ28+BA28+BB28-BC28-BD28-BE28-Constantes!$E$40),0)</f>
        <v>0</v>
      </c>
      <c r="BG28" s="170">
        <f t="shared" si="12"/>
        <v>2407.9944793694262</v>
      </c>
      <c r="BH28" s="170">
        <f>(Escenarios!$E$16*AK28+0.1*BC28)/(Escenarios!$E$19)</f>
        <v>2.3470640366495834</v>
      </c>
      <c r="BI28" s="170">
        <f>IF(Escenarios!$E$17&gt;0,BF28/10/Escenarios!$E$19,AL28)</f>
        <v>0</v>
      </c>
      <c r="BJ28" s="170">
        <f>(Escenarios!$E$16*AT28+0.1*BD28)/(Escenarios!$E$19)</f>
        <v>0.16245381668351158</v>
      </c>
      <c r="BK28" s="76">
        <f>BK27+(0.1*BD28)/(Escenarios!$E$19)-BL27</f>
        <v>48.964021978447462</v>
      </c>
      <c r="BL28" s="76">
        <f>MAX(0,(BK28-Constantes!$D$13)*(1-EXP(-Constantes!$D$23)))</f>
        <v>2.1088095297065817E-3</v>
      </c>
      <c r="BM28" s="76">
        <f t="shared" si="8"/>
        <v>0.42537962402405849</v>
      </c>
      <c r="BN28" s="76">
        <f t="shared" si="13"/>
        <v>1.3529574984390769</v>
      </c>
      <c r="BO28" s="76">
        <f>0.0526*BI28*Observaciones!$F27^1.218</f>
        <v>0</v>
      </c>
      <c r="BP28" s="76">
        <f>BO28*Constantes!$E$51</f>
        <v>0</v>
      </c>
      <c r="BQ28" s="76">
        <f t="shared" si="9"/>
        <v>0</v>
      </c>
      <c r="BR28" s="40"/>
    </row>
    <row r="29" spans="1:70">
      <c r="A29" s="147"/>
      <c r="B29" s="39"/>
      <c r="C29" s="75">
        <v>23</v>
      </c>
      <c r="D29" s="146">
        <f>ETo!$I28*((1-Constantes!$E$19)*ETo!$K28+ETo!$L28)</f>
        <v>4.2704728892129724</v>
      </c>
      <c r="E29" s="76">
        <f>MIN(D29*Constantes!$E$17,0.8*(N28+Observaciones!$F28-F29-M29-Constantes!$D$14))</f>
        <v>2.0878867780914123</v>
      </c>
      <c r="F29" s="76">
        <f>IF(Observaciones!$F28&gt;0.05*Constantes!$E$18,((Observaciones!$F28-0.05*Constantes!$E$18)^2)/(Observaciones!$F28+0.95*Constantes!$E$18),0)</f>
        <v>1.424591971275833</v>
      </c>
      <c r="G29" s="76">
        <f>IF(Escenarios!$E$11&gt;0,(F29*Escenarios!$E$16*10000)/1000,0)</f>
        <v>3561.4799281895826</v>
      </c>
      <c r="H29" s="76">
        <f>IF(Escenarios!$E$11&gt;0,(Observaciones!$F28*Constantes!$E$29)/1000,0)</f>
        <v>197</v>
      </c>
      <c r="I29" s="76">
        <f>IF(Escenarios!$E$11&gt;0,(D29*Constantes!$E$29)/1000,0)</f>
        <v>42.704728892129722</v>
      </c>
      <c r="J29" s="76">
        <f>IF(Escenarios!$E$11&gt;0,MAX(0,G29+H29-I29),0)</f>
        <v>3715.7751992974527</v>
      </c>
      <c r="K29" s="76">
        <f>IF(Escenarios!$E$11&gt;0,IF(J29&gt;Constantes!$E$30,1000*((J29-Constantes!$E$30)/(Escenarios!$E$16*10000)),0),F29)</f>
        <v>0.97160419736603976</v>
      </c>
      <c r="L29" s="76">
        <f>IF(Escenarios!$E$11&gt;0,I29*1000/Escenarios!$E$16/10000+E29,E29)</f>
        <v>2.1049686696482643</v>
      </c>
      <c r="M29" s="76">
        <f>MAX(0,N28+Observaciones!$F28-K29-Constantes!$D$13)</f>
        <v>12.172381964757413</v>
      </c>
      <c r="N29" s="76">
        <f>N28+Observaciones!$F28-K29-L29-M29-O28</f>
        <v>45.590965563971032</v>
      </c>
      <c r="O29" s="76">
        <f>MAX(0,(N29-Constantes!$D$14)*(1-EXP(-Constantes!$D$22)))</f>
        <v>1.1697793553743134</v>
      </c>
      <c r="P29" s="170">
        <f>P28+(Entradas!$E$83*M29-Q28)/(800*Entradas!$D$25)</f>
        <v>0</v>
      </c>
      <c r="Q29" s="170">
        <f>8000*Entradas!$D$26*P29/Constantes!$E$45</f>
        <v>0</v>
      </c>
      <c r="R29" s="170">
        <f>IF(Escenarios!$E$14&gt;0,K29*Escenarios!$E$13/Escenarios!$E$14,0)</f>
        <v>7.1250974473509583</v>
      </c>
      <c r="S29" s="170">
        <f>IF(Escenarios!$E$14&gt;0,Q29*Escenarios!$E$13/Escenarios!$E$14,0)</f>
        <v>0</v>
      </c>
      <c r="T29" s="170">
        <f>IF(Escenarios!$E$14&gt;0,Observaciones!$I28,0)</f>
        <v>0</v>
      </c>
      <c r="U29" s="170">
        <f>IF(Escenarios!$E$14&gt;0,MAX(0,Constantes!$E$36/((Z28+R29+S29+T29+Observaciones!$F28)^2)+Entradas!$E$77),0)</f>
        <v>1.9251036011238409</v>
      </c>
      <c r="V29" s="146">
        <f>IF(ETo!D28&gt;0,ETo!I28*((1-Entradas!$E$81)*ETo!K28+ETo!L28),0)</f>
        <v>3.901659980438545</v>
      </c>
      <c r="W29" s="170">
        <f>IF(Escenarios!$E$14&gt;0,MIN(V29*1,0.8*(Z28+R29+S29+T29+Observaciones!$F28-U29-Constantes!$E$35)),0)</f>
        <v>3.901659980438545</v>
      </c>
      <c r="X29" s="170">
        <f>IF(Escenarios!$E$14&gt;0,Observaciones!$J28,0)</f>
        <v>0</v>
      </c>
      <c r="Y29" s="170">
        <f>IF(Escenarios!$E$14&gt;0,MAX(0,Z28+R29+S29+T29+Observaciones!$F28-U29-W29-X29-Constantes!$E$33),0)</f>
        <v>0</v>
      </c>
      <c r="Z29" s="170">
        <f>Z28+R29+S29+T29+Observaciones!$F28-U29-W29-Y29</f>
        <v>91.904427004080389</v>
      </c>
      <c r="AA29" s="170">
        <f>IF(Escenarios!$E$14&gt;0,(Escenarios!$E$13*L29+Escenarios!$E$14*W29)/(Escenarios!$E$16),L29)</f>
        <v>2.320571626943098</v>
      </c>
      <c r="AB29" s="170">
        <f>IF(Escenarios!$E$14&gt;0,(Escenarios!$E$14*Y29)/(Escenarios!$E$16),K29)</f>
        <v>0</v>
      </c>
      <c r="AC29" s="170">
        <f>IF(Escenarios!$E$14&gt;0,(Escenarios!$E$13*M29+Escenarios!$E$14*U29)/(Escenarios!$E$16),M29)</f>
        <v>10.942708561121384</v>
      </c>
      <c r="AD29" s="76">
        <f t="shared" si="1"/>
        <v>102.22697177757128</v>
      </c>
      <c r="AE29" s="76">
        <f>MAX(0,(AD29-Constantes!$D$13)*(1-EXP(-Constantes!$D$23)))</f>
        <v>0.52692134014673364</v>
      </c>
      <c r="AF29" s="76">
        <f>AB29+O29*Escenarios!$E$13/Escenarios!$E$16+AE29</f>
        <v>1.5563271728761294</v>
      </c>
      <c r="AG29" s="76">
        <f>IF(Entradas!$E$91&gt;0,IF(AF29-Escenarios!$E$38&lt;=0,0,IF(AF29-Escenarios!$E$38&gt;Escenarios!$E$37,Escenarios!$E$37,AF29-Escenarios!$E$38)),0)</f>
        <v>0</v>
      </c>
      <c r="AH29" s="76">
        <f>AG29*Entradas!$E$99</f>
        <v>0</v>
      </c>
      <c r="AI29" s="76">
        <f>IF(Entradas!$E$91&gt;0,D29*Entradas!$D$23/Escenarios!$E$16,0)</f>
        <v>0</v>
      </c>
      <c r="AJ29" s="76">
        <f>IF(Entradas!$E$91&gt;0,Entradas!$D$24*Entradas!$D$22/Escenarios!$E$16,0)</f>
        <v>0</v>
      </c>
      <c r="AK29" s="76">
        <f t="shared" si="10"/>
        <v>2.320571626943098</v>
      </c>
      <c r="AL29" s="76">
        <f t="shared" si="11"/>
        <v>0</v>
      </c>
      <c r="AM29" s="76">
        <f t="shared" si="2"/>
        <v>0</v>
      </c>
      <c r="AN29" s="76">
        <f>MAX(0,O29*Escenarios!$E$13/Escenarios!$E$16-AM29)</f>
        <v>1.0294058327293958</v>
      </c>
      <c r="AO29" s="76">
        <f>AM29+AN29-O29*Escenarios!$E$13/Escenarios!$E$16</f>
        <v>0</v>
      </c>
      <c r="AP29" s="76">
        <f t="shared" si="0"/>
        <v>0.52692134014673364</v>
      </c>
      <c r="AQ29" s="76">
        <f t="shared" si="3"/>
        <v>0</v>
      </c>
      <c r="AR29" s="76">
        <f t="shared" si="4"/>
        <v>1.5563271728761294</v>
      </c>
      <c r="AS29" s="76">
        <f t="shared" si="5"/>
        <v>0</v>
      </c>
      <c r="AT29" s="76">
        <f t="shared" si="6"/>
        <v>10.942708561121384</v>
      </c>
      <c r="AU29" s="76">
        <f t="shared" si="7"/>
        <v>48.75</v>
      </c>
      <c r="AV29" s="76">
        <f>MAX(0,(AU29-Constantes!$D$13)*(1-EXP(-Constantes!$D$24)))</f>
        <v>0</v>
      </c>
      <c r="AW29" s="170">
        <f>AW28+(Entradas!$E$112*AT29-AX28)/(800*Entradas!$D$25)</f>
        <v>0</v>
      </c>
      <c r="AX29" s="170">
        <f>8000*Entradas!$D$26*AW29/Constantes!$E$45</f>
        <v>0</v>
      </c>
      <c r="AY29" s="170">
        <f>IF(Escenarios!$E$17&gt;0,10*Escenarios!$E$16*AL29,0)</f>
        <v>0</v>
      </c>
      <c r="AZ29" s="170">
        <f>IF(Escenarios!$E$17&gt;0,10*Escenarios!$E$16*AX29,0)</f>
        <v>0</v>
      </c>
      <c r="BA29" s="170">
        <f>IF(Escenarios!$E$17&gt;0,0.001*Observaciones!$F28*Escenarios!$E$17,0)</f>
        <v>394</v>
      </c>
      <c r="BB29" s="170">
        <f>IF(Escenarios!$E$17&gt;0,Observaciones!$K28,0)</f>
        <v>5.4432146480880519</v>
      </c>
      <c r="BC29" s="170">
        <f>IF(Escenarios!$E$17&gt;0,MIN(0.0005*ETo!$M28*Escenarios!$E$17*(BG28/Constantes!$E$40)^(2/3),BG28+AY29+AZ29+BA29+BB29),0)</f>
        <v>24.602477170944123</v>
      </c>
      <c r="BD29" s="170">
        <f>IF(Escenarios!$E$17&gt;0,MIN(Constantes!$E$39*(BG28/Constantes!$E$40)^(2/3),BG28+AY29+AZ29+BA29+BB29-BC29),0)</f>
        <v>40.574622163226941</v>
      </c>
      <c r="BE29" s="170">
        <f>IF(Escenarios!$E$17&gt;0,MIN(Entradas!$E$113,BG28+AY29+AZ29+BA29+BB29-BC29-BD29),0)</f>
        <v>1</v>
      </c>
      <c r="BF29" s="170">
        <f>IF(Escenarios!$E$17&gt;0,MAX(0,BG28+AY29+AZ29+BA29+BB29-BC29-BD29-BE29-Constantes!$E$40),0)</f>
        <v>0</v>
      </c>
      <c r="BG29" s="170">
        <f t="shared" si="12"/>
        <v>2741.2605946833432</v>
      </c>
      <c r="BH29" s="170">
        <f>(Escenarios!$E$16*AK29+0.1*BC29)/(Escenarios!$E$19)</f>
        <v>2.3119172795748768</v>
      </c>
      <c r="BI29" s="170">
        <f>IF(Escenarios!$E$17&gt;0,BF29/10/Escenarios!$E$19,AL29)</f>
        <v>0</v>
      </c>
      <c r="BJ29" s="170">
        <f>(Escenarios!$E$16*AT29+0.1*BD29)/(Escenarios!$E$19)</f>
        <v>10.871962708320114</v>
      </c>
      <c r="BK29" s="76">
        <f>BK28+(0.1*BD29)/(Escenarios!$E$19)-BL28</f>
        <v>48.978014209458713</v>
      </c>
      <c r="BL29" s="76">
        <f>MAX(0,(BK29-Constantes!$D$13)*(1-EXP(-Constantes!$D$23)))</f>
        <v>2.246678314550216E-3</v>
      </c>
      <c r="BM29" s="76">
        <f t="shared" si="8"/>
        <v>0.52916801846128381</v>
      </c>
      <c r="BN29" s="76">
        <f t="shared" si="13"/>
        <v>1.5585738511906797</v>
      </c>
      <c r="BO29" s="76">
        <f>0.0526*BI29*Observaciones!$F28^1.218</f>
        <v>0</v>
      </c>
      <c r="BP29" s="76">
        <f>BO29*Constantes!$E$51</f>
        <v>0</v>
      </c>
      <c r="BQ29" s="76">
        <f t="shared" si="9"/>
        <v>0</v>
      </c>
      <c r="BR29" s="40"/>
    </row>
    <row r="30" spans="1:70">
      <c r="A30" s="147"/>
      <c r="B30" s="39"/>
      <c r="C30" s="75">
        <v>24</v>
      </c>
      <c r="D30" s="146">
        <f>ETo!$I29*((1-Constantes!$E$19)*ETo!$K29+ETo!$L29)</f>
        <v>4.1695359461475929</v>
      </c>
      <c r="E30" s="76">
        <f>MIN(D30*Constantes!$E$17,0.8*(N29+Observaciones!$F29-F30-M30-Constantes!$D$14))</f>
        <v>2.0385374637849094</v>
      </c>
      <c r="F30" s="76">
        <f>IF(Observaciones!$F29&gt;0.05*Constantes!$E$18,((Observaciones!$F29-0.05*Constantes!$E$18)^2)/(Observaciones!$F29+0.95*Constantes!$E$18),0)</f>
        <v>0</v>
      </c>
      <c r="G30" s="76">
        <f>IF(Escenarios!$E$11&gt;0,(F30*Escenarios!$E$16*10000)/1000,0)</f>
        <v>0</v>
      </c>
      <c r="H30" s="76">
        <f>IF(Escenarios!$E$11&gt;0,(Observaciones!$F29*Constantes!$E$29)/1000,0)</f>
        <v>24</v>
      </c>
      <c r="I30" s="76">
        <f>IF(Escenarios!$E$11&gt;0,(D30*Constantes!$E$29)/1000,0)</f>
        <v>41.695359461475931</v>
      </c>
      <c r="J30" s="76">
        <f>IF(Escenarios!$E$11&gt;0,MAX(0,G30+H30-I30),0)</f>
        <v>0</v>
      </c>
      <c r="K30" s="76">
        <f>IF(Escenarios!$E$11&gt;0,IF(J30&gt;Constantes!$E$30,1000*((J30-Constantes!$E$30)/(Escenarios!$E$16*10000)),0),F30)</f>
        <v>0</v>
      </c>
      <c r="L30" s="76">
        <f>IF(Escenarios!$E$11&gt;0,I30*1000/Escenarios!$E$16/10000+E30,E30)</f>
        <v>2.0552156075694996</v>
      </c>
      <c r="M30" s="76">
        <f>MAX(0,N29+Observaciones!$F29-K30-Constantes!$D$13)</f>
        <v>0</v>
      </c>
      <c r="N30" s="76">
        <f>N29+Observaciones!$F29-K30-L30-M30-O29</f>
        <v>44.765970601027213</v>
      </c>
      <c r="O30" s="76">
        <f>MAX(0,(N30-Constantes!$D$14)*(1-EXP(-Constantes!$D$22)))</f>
        <v>1.141676998317936</v>
      </c>
      <c r="P30" s="170">
        <f>P29+(Entradas!$E$83*M30-Q29)/(800*Entradas!$D$25)</f>
        <v>0</v>
      </c>
      <c r="Q30" s="170">
        <f>8000*Entradas!$D$26*P30/Constantes!$E$45</f>
        <v>0</v>
      </c>
      <c r="R30" s="170">
        <f>IF(Escenarios!$E$14&gt;0,K30*Escenarios!$E$13/Escenarios!$E$14,0)</f>
        <v>0</v>
      </c>
      <c r="S30" s="170">
        <f>IF(Escenarios!$E$14&gt;0,Q30*Escenarios!$E$13/Escenarios!$E$14,0)</f>
        <v>0</v>
      </c>
      <c r="T30" s="170">
        <f>IF(Escenarios!$E$14&gt;0,Observaciones!$I29,0)</f>
        <v>0</v>
      </c>
      <c r="U30" s="170">
        <f>IF(Escenarios!$E$14&gt;0,MAX(0,Constantes!$E$36/((Z29+R30+S30+T30+Observaciones!$F29)^2)+Entradas!$E$77),0)</f>
        <v>1.8455667531820594</v>
      </c>
      <c r="V30" s="146">
        <f>IF(ETo!D29&gt;0,ETo!I29*((1-Entradas!$E$81)*ETo!K29+ETo!L29),0)</f>
        <v>3.8086237359557242</v>
      </c>
      <c r="W30" s="170">
        <f>IF(Escenarios!$E$14&gt;0,MIN(V30*1,0.8*(Z29+R30+S30+T30+Observaciones!$F29-U30-Constantes!$E$35)),0)</f>
        <v>3.8086237359557242</v>
      </c>
      <c r="X30" s="170">
        <f>IF(Escenarios!$E$14&gt;0,Observaciones!$J29,0)</f>
        <v>0</v>
      </c>
      <c r="Y30" s="170">
        <f>IF(Escenarios!$E$14&gt;0,MAX(0,Z29+R30+S30+T30+Observaciones!$F29-U30-W30-X30-Constantes!$E$33),0)</f>
        <v>0</v>
      </c>
      <c r="Z30" s="170">
        <f>Z29+R30+S30+T30+Observaciones!$F29-U30-W30-Y30</f>
        <v>88.65023651494262</v>
      </c>
      <c r="AA30" s="170">
        <f>IF(Escenarios!$E$14&gt;0,(Escenarios!$E$13*L30+Escenarios!$E$14*W30)/(Escenarios!$E$16),L30)</f>
        <v>2.2656245829758466</v>
      </c>
      <c r="AB30" s="170">
        <f>IF(Escenarios!$E$14&gt;0,(Escenarios!$E$14*Y30)/(Escenarios!$E$16),K30)</f>
        <v>0</v>
      </c>
      <c r="AC30" s="170">
        <f>IF(Escenarios!$E$14&gt;0,(Escenarios!$E$13*M30+Escenarios!$E$14*U30)/(Escenarios!$E$16),M30)</f>
        <v>0.22146801038184713</v>
      </c>
      <c r="AD30" s="76">
        <f t="shared" si="1"/>
        <v>101.92151844780639</v>
      </c>
      <c r="AE30" s="76">
        <f>MAX(0,(AD30-Constantes!$D$13)*(1-EXP(-Constantes!$D$23)))</f>
        <v>0.52391163573524524</v>
      </c>
      <c r="AF30" s="76">
        <f>AB30+O30*Escenarios!$E$13/Escenarios!$E$16+AE30</f>
        <v>1.528587394255029</v>
      </c>
      <c r="AG30" s="76">
        <f>IF(Entradas!$E$91&gt;0,IF(AF30-Escenarios!$E$38&lt;=0,0,IF(AF30-Escenarios!$E$38&gt;Escenarios!$E$37,Escenarios!$E$37,AF30-Escenarios!$E$38)),0)</f>
        <v>0</v>
      </c>
      <c r="AH30" s="76">
        <f>AG30*Entradas!$E$99</f>
        <v>0</v>
      </c>
      <c r="AI30" s="76">
        <f>IF(Entradas!$E$91&gt;0,D30*Entradas!$D$23/Escenarios!$E$16,0)</f>
        <v>0</v>
      </c>
      <c r="AJ30" s="76">
        <f>IF(Entradas!$E$91&gt;0,Entradas!$D$24*Entradas!$D$22/Escenarios!$E$16,0)</f>
        <v>0</v>
      </c>
      <c r="AK30" s="76">
        <f t="shared" si="10"/>
        <v>2.2656245829758466</v>
      </c>
      <c r="AL30" s="76">
        <f t="shared" si="11"/>
        <v>0</v>
      </c>
      <c r="AM30" s="76">
        <f t="shared" si="2"/>
        <v>0</v>
      </c>
      <c r="AN30" s="76">
        <f>MAX(0,O30*Escenarios!$E$13/Escenarios!$E$16-AM30)</f>
        <v>1.0046757585197836</v>
      </c>
      <c r="AO30" s="76">
        <f>AM30+AN30-O30*Escenarios!$E$13/Escenarios!$E$16</f>
        <v>0</v>
      </c>
      <c r="AP30" s="76">
        <f t="shared" si="0"/>
        <v>0.52391163573524524</v>
      </c>
      <c r="AQ30" s="76">
        <f t="shared" si="3"/>
        <v>0</v>
      </c>
      <c r="AR30" s="76">
        <f t="shared" si="4"/>
        <v>1.528587394255029</v>
      </c>
      <c r="AS30" s="76">
        <f t="shared" si="5"/>
        <v>0</v>
      </c>
      <c r="AT30" s="76">
        <f t="shared" si="6"/>
        <v>0.22146801038184713</v>
      </c>
      <c r="AU30" s="76">
        <f t="shared" si="7"/>
        <v>48.75</v>
      </c>
      <c r="AV30" s="76">
        <f>MAX(0,(AU30-Constantes!$D$13)*(1-EXP(-Constantes!$D$24)))</f>
        <v>0</v>
      </c>
      <c r="AW30" s="170">
        <f>AW29+(Entradas!$E$112*AT30-AX29)/(800*Entradas!$D$25)</f>
        <v>0</v>
      </c>
      <c r="AX30" s="170">
        <f>8000*Entradas!$D$26*AW30/Constantes!$E$45</f>
        <v>0</v>
      </c>
      <c r="AY30" s="170">
        <f>IF(Escenarios!$E$17&gt;0,10*Escenarios!$E$16*AL30,0)</f>
        <v>0</v>
      </c>
      <c r="AZ30" s="170">
        <f>IF(Escenarios!$E$17&gt;0,10*Escenarios!$E$16*AX30,0)</f>
        <v>0</v>
      </c>
      <c r="BA30" s="170">
        <f>IF(Escenarios!$E$17&gt;0,0.001*Observaciones!$F29*Escenarios!$E$17,0)</f>
        <v>47.999999999999993</v>
      </c>
      <c r="BB30" s="170">
        <f>IF(Escenarios!$E$17&gt;0,Observaciones!$K29,0)</f>
        <v>0</v>
      </c>
      <c r="BC30" s="170">
        <f>IF(Escenarios!$E$17&gt;0,MIN(0.0005*ETo!$M29*Escenarios!$E$17*(BG29/Constantes!$E$40)^(2/3),BG29+AY30+AZ30+BA30+BB30),0)</f>
        <v>26.196199379007794</v>
      </c>
      <c r="BD30" s="170">
        <f>IF(Escenarios!$E$17&gt;0,MIN(Constantes!$E$39*(BG29/Constantes!$E$40)^(2/3),BG29+AY30+AZ30+BA30+BB30-BC30),0)</f>
        <v>44.23686841892696</v>
      </c>
      <c r="BE30" s="170">
        <f>IF(Escenarios!$E$17&gt;0,MIN(Entradas!$E$113,BG29+AY30+AZ30+BA30+BB30-BC30-BD30),0)</f>
        <v>1</v>
      </c>
      <c r="BF30" s="170">
        <f>IF(Escenarios!$E$17&gt;0,MAX(0,BG29+AY30+AZ30+BA30+BB30-BC30-BD30-BE30-Constantes!$E$40),0)</f>
        <v>0</v>
      </c>
      <c r="BG30" s="170">
        <f t="shared" si="12"/>
        <v>2717.8275268854086</v>
      </c>
      <c r="BH30" s="170">
        <f>(Escenarios!$E$16*AK30+0.1*BC30)/(Escenarios!$E$19)</f>
        <v>2.258038752705803</v>
      </c>
      <c r="BI30" s="170">
        <f>IF(Escenarios!$E$17&gt;0,BF30/10/Escenarios!$E$19,AL30)</f>
        <v>0</v>
      </c>
      <c r="BJ30" s="170">
        <f>(Escenarios!$E$16*AT30+0.1*BD30)/(Escenarios!$E$19)</f>
        <v>0.23726464062442254</v>
      </c>
      <c r="BK30" s="76">
        <f>BK29+(0.1*BD30)/(Escenarios!$E$19)-BL29</f>
        <v>48.993321844008818</v>
      </c>
      <c r="BL30" s="76">
        <f>MAX(0,(BK30-Constantes!$D$13)*(1-EXP(-Constantes!$D$23)))</f>
        <v>2.3975080837668906E-3</v>
      </c>
      <c r="BM30" s="76">
        <f t="shared" si="8"/>
        <v>0.52630914381901217</v>
      </c>
      <c r="BN30" s="76">
        <f t="shared" si="13"/>
        <v>1.5309849023387958</v>
      </c>
      <c r="BO30" s="76">
        <f>0.0526*BI30*Observaciones!$F29^1.218</f>
        <v>0</v>
      </c>
      <c r="BP30" s="76">
        <f>BO30*Constantes!$E$51</f>
        <v>0</v>
      </c>
      <c r="BQ30" s="76">
        <f t="shared" si="9"/>
        <v>0</v>
      </c>
      <c r="BR30" s="40"/>
    </row>
    <row r="31" spans="1:70">
      <c r="A31" s="147"/>
      <c r="B31" s="39"/>
      <c r="C31" s="75">
        <v>25</v>
      </c>
      <c r="D31" s="146">
        <f>ETo!$I30*((1-Constantes!$E$19)*ETo!$K30+ETo!$L30)</f>
        <v>4.3500205035297306</v>
      </c>
      <c r="E31" s="76">
        <f>MIN(D31*Constantes!$E$17,0.8*(N30+Observaciones!$F30-F31-M31-Constantes!$D$14))</f>
        <v>2.1267785862047952</v>
      </c>
      <c r="F31" s="76">
        <f>IF(Observaciones!$F30&gt;0.05*Constantes!$E$18,((Observaciones!$F30-0.05*Constantes!$E$18)^2)/(Observaciones!$F30+0.95*Constantes!$E$18),0)</f>
        <v>0</v>
      </c>
      <c r="G31" s="76">
        <f>IF(Escenarios!$E$11&gt;0,(F31*Escenarios!$E$16*10000)/1000,0)</f>
        <v>0</v>
      </c>
      <c r="H31" s="76">
        <f>IF(Escenarios!$E$11&gt;0,(Observaciones!$F30*Constantes!$E$29)/1000,0)</f>
        <v>0</v>
      </c>
      <c r="I31" s="76">
        <f>IF(Escenarios!$E$11&gt;0,(D31*Constantes!$E$29)/1000,0)</f>
        <v>43.500205035297306</v>
      </c>
      <c r="J31" s="76">
        <f>IF(Escenarios!$E$11&gt;0,MAX(0,G31+H31-I31),0)</f>
        <v>0</v>
      </c>
      <c r="K31" s="76">
        <f>IF(Escenarios!$E$11&gt;0,IF(J31&gt;Constantes!$E$30,1000*((J31-Constantes!$E$30)/(Escenarios!$E$16*10000)),0),F31)</f>
        <v>0</v>
      </c>
      <c r="L31" s="76">
        <f>IF(Escenarios!$E$11&gt;0,I31*1000/Escenarios!$E$16/10000+E31,E31)</f>
        <v>2.1441786682189141</v>
      </c>
      <c r="M31" s="76">
        <f>MAX(0,N30+Observaciones!$F30-K31-Constantes!$D$13)</f>
        <v>0</v>
      </c>
      <c r="N31" s="76">
        <f>N30+Observaciones!$F30-K31-L31-M31-O30</f>
        <v>41.480114934490366</v>
      </c>
      <c r="O31" s="76">
        <f>MAX(0,(N31-Constantes!$D$14)*(1-EXP(-Constantes!$D$22)))</f>
        <v>1.0297486916925926</v>
      </c>
      <c r="P31" s="170">
        <f>P30+(Entradas!$E$83*M31-Q30)/(800*Entradas!$D$25)</f>
        <v>0</v>
      </c>
      <c r="Q31" s="170">
        <f>8000*Entradas!$D$26*P31/Constantes!$E$45</f>
        <v>0</v>
      </c>
      <c r="R31" s="170">
        <f>IF(Escenarios!$E$14&gt;0,K31*Escenarios!$E$13/Escenarios!$E$14,0)</f>
        <v>0</v>
      </c>
      <c r="S31" s="170">
        <f>IF(Escenarios!$E$14&gt;0,Q31*Escenarios!$E$13/Escenarios!$E$14,0)</f>
        <v>0</v>
      </c>
      <c r="T31" s="170">
        <f>IF(Escenarios!$E$14&gt;0,Observaciones!$I30,0)</f>
        <v>0</v>
      </c>
      <c r="U31" s="170">
        <f>IF(Escenarios!$E$14&gt;0,MAX(0,Constantes!$E$36/((Z30+R31+S31+T31+Observaciones!$F30)^2)+Entradas!$E$77),0)</f>
        <v>1.6936089703520183</v>
      </c>
      <c r="V31" s="146">
        <f>IF(ETo!D30&gt;0,ETo!I30*((1-Entradas!$E$81)*ETo!K30+ETo!L30),0)</f>
        <v>3.9750933161674782</v>
      </c>
      <c r="W31" s="170">
        <f>IF(Escenarios!$E$14&gt;0,MIN(V31*1,0.8*(Z30+R31+S31+T31+Observaciones!$F30-U31-Constantes!$E$35)),0)</f>
        <v>3.9750933161674782</v>
      </c>
      <c r="X31" s="170">
        <f>IF(Escenarios!$E$14&gt;0,Observaciones!$J30,0)</f>
        <v>0</v>
      </c>
      <c r="Y31" s="170">
        <f>IF(Escenarios!$E$14&gt;0,MAX(0,Z30+R31+S31+T31+Observaciones!$F30-U31-W31-X31-Constantes!$E$33),0)</f>
        <v>0</v>
      </c>
      <c r="Z31" s="170">
        <f>Z30+R31+S31+T31+Observaciones!$F30-U31-W31-Y31</f>
        <v>82.981534228423129</v>
      </c>
      <c r="AA31" s="170">
        <f>IF(Escenarios!$E$14&gt;0,(Escenarios!$E$13*L31+Escenarios!$E$14*W31)/(Escenarios!$E$16),L31)</f>
        <v>2.3638884259727417</v>
      </c>
      <c r="AB31" s="170">
        <f>IF(Escenarios!$E$14&gt;0,(Escenarios!$E$14*Y31)/(Escenarios!$E$16),K31)</f>
        <v>0</v>
      </c>
      <c r="AC31" s="170">
        <f>IF(Escenarios!$E$14&gt;0,(Escenarios!$E$13*M31+Escenarios!$E$14*U31)/(Escenarios!$E$16),M31)</f>
        <v>0.2032330764422422</v>
      </c>
      <c r="AD31" s="76">
        <f t="shared" si="1"/>
        <v>101.60083988851339</v>
      </c>
      <c r="AE31" s="76">
        <f>MAX(0,(AD31-Constantes!$D$13)*(1-EXP(-Constantes!$D$23)))</f>
        <v>0.52075191351084915</v>
      </c>
      <c r="AF31" s="76">
        <f>AB31+O31*Escenarios!$E$13/Escenarios!$E$16+AE31</f>
        <v>1.4269307622003309</v>
      </c>
      <c r="AG31" s="76">
        <f>IF(Entradas!$E$91&gt;0,IF(AF31-Escenarios!$E$38&lt;=0,0,IF(AF31-Escenarios!$E$38&gt;Escenarios!$E$37,Escenarios!$E$37,AF31-Escenarios!$E$38)),0)</f>
        <v>0</v>
      </c>
      <c r="AH31" s="76">
        <f>AG31*Entradas!$E$99</f>
        <v>0</v>
      </c>
      <c r="AI31" s="76">
        <f>IF(Entradas!$E$91&gt;0,D31*Entradas!$D$23/Escenarios!$E$16,0)</f>
        <v>0</v>
      </c>
      <c r="AJ31" s="76">
        <f>IF(Entradas!$E$91&gt;0,Entradas!$D$24*Entradas!$D$22/Escenarios!$E$16,0)</f>
        <v>0</v>
      </c>
      <c r="AK31" s="76">
        <f t="shared" si="10"/>
        <v>2.3638884259727417</v>
      </c>
      <c r="AL31" s="76">
        <f t="shared" si="11"/>
        <v>0</v>
      </c>
      <c r="AM31" s="76">
        <f t="shared" si="2"/>
        <v>0</v>
      </c>
      <c r="AN31" s="76">
        <f>MAX(0,O31*Escenarios!$E$13/Escenarios!$E$16-AM31)</f>
        <v>0.90617884868948162</v>
      </c>
      <c r="AO31" s="76">
        <f>AM31+AN31-O31*Escenarios!$E$13/Escenarios!$E$16</f>
        <v>0</v>
      </c>
      <c r="AP31" s="76">
        <f t="shared" si="0"/>
        <v>0.52075191351084915</v>
      </c>
      <c r="AQ31" s="76">
        <f t="shared" si="3"/>
        <v>0</v>
      </c>
      <c r="AR31" s="76">
        <f t="shared" si="4"/>
        <v>1.4269307622003309</v>
      </c>
      <c r="AS31" s="76">
        <f t="shared" si="5"/>
        <v>0</v>
      </c>
      <c r="AT31" s="76">
        <f t="shared" si="6"/>
        <v>0.2032330764422422</v>
      </c>
      <c r="AU31" s="76">
        <f t="shared" si="7"/>
        <v>48.75</v>
      </c>
      <c r="AV31" s="76">
        <f>MAX(0,(AU31-Constantes!$D$13)*(1-EXP(-Constantes!$D$24)))</f>
        <v>0</v>
      </c>
      <c r="AW31" s="170">
        <f>AW30+(Entradas!$E$112*AT31-AX30)/(800*Entradas!$D$25)</f>
        <v>0</v>
      </c>
      <c r="AX31" s="170">
        <f>8000*Entradas!$D$26*AW31/Constantes!$E$45</f>
        <v>0</v>
      </c>
      <c r="AY31" s="170">
        <f>IF(Escenarios!$E$17&gt;0,10*Escenarios!$E$16*AL31,0)</f>
        <v>0</v>
      </c>
      <c r="AZ31" s="170">
        <f>IF(Escenarios!$E$17&gt;0,10*Escenarios!$E$16*AX31,0)</f>
        <v>0</v>
      </c>
      <c r="BA31" s="170">
        <f>IF(Escenarios!$E$17&gt;0,0.001*Observaciones!$F30*Escenarios!$E$17,0)</f>
        <v>0</v>
      </c>
      <c r="BB31" s="170">
        <f>IF(Escenarios!$E$17&gt;0,Observaciones!$K30,0)</f>
        <v>0</v>
      </c>
      <c r="BC31" s="170">
        <f>IF(Escenarios!$E$17&gt;0,MIN(0.0005*ETo!$M30*Escenarios!$E$17*(BG30/Constantes!$E$40)^(2/3),BG30+AY31+AZ31+BA31+BB31),0)</f>
        <v>27.160259259232987</v>
      </c>
      <c r="BD31" s="170">
        <f>IF(Escenarios!$E$17&gt;0,MIN(Constantes!$E$39*(BG30/Constantes!$E$40)^(2/3),BG30+AY31+AZ31+BA31+BB31-BC31),0)</f>
        <v>43.984408402546237</v>
      </c>
      <c r="BE31" s="170">
        <f>IF(Escenarios!$E$17&gt;0,MIN(Entradas!$E$113,BG30+AY31+AZ31+BA31+BB31-BC31-BD31),0)</f>
        <v>1</v>
      </c>
      <c r="BF31" s="170">
        <f>IF(Escenarios!$E$17&gt;0,MAX(0,BG30+AY31+AZ31+BA31+BB31-BC31-BD31-BE31-Constantes!$E$40),0)</f>
        <v>0</v>
      </c>
      <c r="BG31" s="170">
        <f t="shared" si="12"/>
        <v>2645.6828592236293</v>
      </c>
      <c r="BH31" s="170">
        <f>(Escenarios!$E$16*AK31+0.1*BC31)/(Escenarios!$E$19)</f>
        <v>2.3559052873774156</v>
      </c>
      <c r="BI31" s="170">
        <f>IF(Escenarios!$E$17&gt;0,BF31/10/Escenarios!$E$19,AL31)</f>
        <v>0</v>
      </c>
      <c r="BJ31" s="170">
        <f>(Escenarios!$E$16*AT31+0.1*BD31)/(Escenarios!$E$19)</f>
        <v>0.21907424583656815</v>
      </c>
      <c r="BK31" s="76">
        <f>BK30+(0.1*BD31)/(Escenarios!$E$19)-BL30</f>
        <v>49.008378466243521</v>
      </c>
      <c r="BL31" s="76">
        <f>MAX(0,(BK31-Constantes!$D$13)*(1-EXP(-Constantes!$D$23)))</f>
        <v>2.5458645688534289E-3</v>
      </c>
      <c r="BM31" s="76">
        <f t="shared" si="8"/>
        <v>0.52329777807970257</v>
      </c>
      <c r="BN31" s="76">
        <f t="shared" si="13"/>
        <v>1.4294766267691843</v>
      </c>
      <c r="BO31" s="76">
        <f>0.0526*BI31*Observaciones!$F30^1.218</f>
        <v>0</v>
      </c>
      <c r="BP31" s="76">
        <f>BO31*Constantes!$E$51</f>
        <v>0</v>
      </c>
      <c r="BQ31" s="76">
        <f t="shared" si="9"/>
        <v>0</v>
      </c>
      <c r="BR31" s="40"/>
    </row>
    <row r="32" spans="1:70">
      <c r="A32" s="147"/>
      <c r="B32" s="39"/>
      <c r="C32" s="75">
        <v>26</v>
      </c>
      <c r="D32" s="146">
        <f>ETo!$I31*((1-Constantes!$E$19)*ETo!$K31+ETo!$L31)</f>
        <v>4.3533259333334851</v>
      </c>
      <c r="E32" s="76">
        <f>MIN(D32*Constantes!$E$17,0.8*(N31+Observaciones!$F31-F32-M32-Constantes!$D$14))</f>
        <v>2.1283946515357801</v>
      </c>
      <c r="F32" s="76">
        <f>IF(Observaciones!$F31&gt;0.05*Constantes!$E$18,((Observaciones!$F31-0.05*Constantes!$E$18)^2)/(Observaciones!$F31+0.95*Constantes!$E$18),0)</f>
        <v>0</v>
      </c>
      <c r="G32" s="76">
        <f>IF(Escenarios!$E$11&gt;0,(F32*Escenarios!$E$16*10000)/1000,0)</f>
        <v>0</v>
      </c>
      <c r="H32" s="76">
        <f>IF(Escenarios!$E$11&gt;0,(Observaciones!$F31*Constantes!$E$29)/1000,0)</f>
        <v>40</v>
      </c>
      <c r="I32" s="76">
        <f>IF(Escenarios!$E$11&gt;0,(D32*Constantes!$E$29)/1000,0)</f>
        <v>43.533259333334847</v>
      </c>
      <c r="J32" s="76">
        <f>IF(Escenarios!$E$11&gt;0,MAX(0,G32+H32-I32),0)</f>
        <v>0</v>
      </c>
      <c r="K32" s="76">
        <f>IF(Escenarios!$E$11&gt;0,IF(J32&gt;Constantes!$E$30,1000*((J32-Constantes!$E$30)/(Escenarios!$E$16*10000)),0),F32)</f>
        <v>0</v>
      </c>
      <c r="L32" s="76">
        <f>IF(Escenarios!$E$11&gt;0,I32*1000/Escenarios!$E$16/10000+E32,E32)</f>
        <v>2.1458079552691141</v>
      </c>
      <c r="M32" s="76">
        <f>MAX(0,N31+Observaciones!$F31-K32-Constantes!$D$13)</f>
        <v>0</v>
      </c>
      <c r="N32" s="76">
        <f>N31+Observaciones!$F31-K32-L32-M32-O31</f>
        <v>42.304558287528664</v>
      </c>
      <c r="O32" s="76">
        <f>MAX(0,(N32-Constantes!$D$14)*(1-EXP(-Constantes!$D$22)))</f>
        <v>1.0578322588905866</v>
      </c>
      <c r="P32" s="170">
        <f>P31+(Entradas!$E$83*M32-Q31)/(800*Entradas!$D$25)</f>
        <v>0</v>
      </c>
      <c r="Q32" s="170">
        <f>8000*Entradas!$D$26*P32/Constantes!$E$45</f>
        <v>0</v>
      </c>
      <c r="R32" s="170">
        <f>IF(Escenarios!$E$14&gt;0,K32*Escenarios!$E$13/Escenarios!$E$14,0)</f>
        <v>0</v>
      </c>
      <c r="S32" s="170">
        <f>IF(Escenarios!$E$14&gt;0,Q32*Escenarios!$E$13/Escenarios!$E$14,0)</f>
        <v>0</v>
      </c>
      <c r="T32" s="170">
        <f>IF(Escenarios!$E$14&gt;0,Observaciones!$I31,0)</f>
        <v>0</v>
      </c>
      <c r="U32" s="170">
        <f>IF(Escenarios!$E$14&gt;0,MAX(0,Constantes!$E$36/((Z31+R32+S32+T32+Observaciones!$F31)^2)+Entradas!$E$77),0)</f>
        <v>1.6430030878033126</v>
      </c>
      <c r="V32" s="146">
        <f>IF(ETo!D31&gt;0,ETo!I31*((1-Entradas!$E$81)*ETo!K31+ETo!L31),0)</f>
        <v>3.9781342083855336</v>
      </c>
      <c r="W32" s="170">
        <f>IF(Escenarios!$E$14&gt;0,MIN(V32*1,0.8*(Z31+R32+S32+T32+Observaciones!$F31-U32-Constantes!$E$35)),0)</f>
        <v>3.9781342083855336</v>
      </c>
      <c r="X32" s="170">
        <f>IF(Escenarios!$E$14&gt;0,Observaciones!$J31,0)</f>
        <v>0</v>
      </c>
      <c r="Y32" s="170">
        <f>IF(Escenarios!$E$14&gt;0,MAX(0,Z31+R32+S32+T32+Observaciones!$F31-U32-W32-X32-Constantes!$E$33),0)</f>
        <v>0</v>
      </c>
      <c r="Z32" s="170">
        <f>Z31+R32+S32+T32+Observaciones!$F31-U32-W32-Y32</f>
        <v>81.360396932234295</v>
      </c>
      <c r="AA32" s="170">
        <f>IF(Escenarios!$E$14&gt;0,(Escenarios!$E$13*L32+Escenarios!$E$14*W32)/(Escenarios!$E$16),L32)</f>
        <v>2.3656871056430844</v>
      </c>
      <c r="AB32" s="170">
        <f>IF(Escenarios!$E$14&gt;0,(Escenarios!$E$14*Y32)/(Escenarios!$E$16),K32)</f>
        <v>0</v>
      </c>
      <c r="AC32" s="170">
        <f>IF(Escenarios!$E$14&gt;0,(Escenarios!$E$13*M32+Escenarios!$E$14*U32)/(Escenarios!$E$16),M32)</f>
        <v>0.19716037053639751</v>
      </c>
      <c r="AD32" s="76">
        <f t="shared" si="1"/>
        <v>101.27724834553894</v>
      </c>
      <c r="AE32" s="76">
        <f>MAX(0,(AD32-Constantes!$D$13)*(1-EXP(-Constantes!$D$23)))</f>
        <v>0.51756348896442106</v>
      </c>
      <c r="AF32" s="76">
        <f>AB32+O32*Escenarios!$E$13/Escenarios!$E$16+AE32</f>
        <v>1.4484558767881373</v>
      </c>
      <c r="AG32" s="76">
        <f>IF(Entradas!$E$91&gt;0,IF(AF32-Escenarios!$E$38&lt;=0,0,IF(AF32-Escenarios!$E$38&gt;Escenarios!$E$37,Escenarios!$E$37,AF32-Escenarios!$E$38)),0)</f>
        <v>0</v>
      </c>
      <c r="AH32" s="76">
        <f>AG32*Entradas!$E$99</f>
        <v>0</v>
      </c>
      <c r="AI32" s="76">
        <f>IF(Entradas!$E$91&gt;0,D32*Entradas!$D$23/Escenarios!$E$16,0)</f>
        <v>0</v>
      </c>
      <c r="AJ32" s="76">
        <f>IF(Entradas!$E$91&gt;0,Entradas!$D$24*Entradas!$D$22/Escenarios!$E$16,0)</f>
        <v>0</v>
      </c>
      <c r="AK32" s="76">
        <f t="shared" si="10"/>
        <v>2.3656871056430844</v>
      </c>
      <c r="AL32" s="76">
        <f t="shared" si="11"/>
        <v>0</v>
      </c>
      <c r="AM32" s="76">
        <f t="shared" si="2"/>
        <v>0</v>
      </c>
      <c r="AN32" s="76">
        <f>MAX(0,O32*Escenarios!$E$13/Escenarios!$E$16-AM32)</f>
        <v>0.93089238782371631</v>
      </c>
      <c r="AO32" s="76">
        <f>AM32+AN32-O32*Escenarios!$E$13/Escenarios!$E$16</f>
        <v>0</v>
      </c>
      <c r="AP32" s="76">
        <f t="shared" si="0"/>
        <v>0.51756348896442106</v>
      </c>
      <c r="AQ32" s="76">
        <f t="shared" si="3"/>
        <v>0</v>
      </c>
      <c r="AR32" s="76">
        <f t="shared" si="4"/>
        <v>1.4484558767881373</v>
      </c>
      <c r="AS32" s="76">
        <f t="shared" si="5"/>
        <v>0</v>
      </c>
      <c r="AT32" s="76">
        <f t="shared" si="6"/>
        <v>0.19716037053639751</v>
      </c>
      <c r="AU32" s="76">
        <f t="shared" si="7"/>
        <v>48.75</v>
      </c>
      <c r="AV32" s="76">
        <f>MAX(0,(AU32-Constantes!$D$13)*(1-EXP(-Constantes!$D$24)))</f>
        <v>0</v>
      </c>
      <c r="AW32" s="170">
        <f>AW31+(Entradas!$E$112*AT32-AX31)/(800*Entradas!$D$25)</f>
        <v>0</v>
      </c>
      <c r="AX32" s="170">
        <f>8000*Entradas!$D$26*AW32/Constantes!$E$45</f>
        <v>0</v>
      </c>
      <c r="AY32" s="170">
        <f>IF(Escenarios!$E$17&gt;0,10*Escenarios!$E$16*AL32,0)</f>
        <v>0</v>
      </c>
      <c r="AZ32" s="170">
        <f>IF(Escenarios!$E$17&gt;0,10*Escenarios!$E$16*AX32,0)</f>
        <v>0</v>
      </c>
      <c r="BA32" s="170">
        <f>IF(Escenarios!$E$17&gt;0,0.001*Observaciones!$F31*Escenarios!$E$17,0)</f>
        <v>80</v>
      </c>
      <c r="BB32" s="170">
        <f>IF(Escenarios!$E$17&gt;0,Observaciones!$K31,0)</f>
        <v>0</v>
      </c>
      <c r="BC32" s="170">
        <f>IF(Escenarios!$E$17&gt;0,MIN(0.0005*ETo!$M31*Escenarios!$E$17*(BG31/Constantes!$E$40)^(2/3),BG31+AY32+AZ32+BA32+BB32),0)</f>
        <v>26.697559990958975</v>
      </c>
      <c r="BD32" s="170">
        <f>IF(Escenarios!$E$17&gt;0,MIN(Constantes!$E$39*(BG31/Constantes!$E$40)^(2/3),BG31+AY32+AZ32+BA32+BB32-BC32),0)</f>
        <v>43.202546746135255</v>
      </c>
      <c r="BE32" s="170">
        <f>IF(Escenarios!$E$17&gt;0,MIN(Entradas!$E$113,BG31+AY32+AZ32+BA32+BB32-BC32-BD32),0)</f>
        <v>1</v>
      </c>
      <c r="BF32" s="170">
        <f>IF(Escenarios!$E$17&gt;0,MAX(0,BG31+AY32+AZ32+BA32+BB32-BC32-BD32-BE32-Constantes!$E$40),0)</f>
        <v>0</v>
      </c>
      <c r="BG32" s="170">
        <f t="shared" si="12"/>
        <v>2654.7827524865352</v>
      </c>
      <c r="BH32" s="170">
        <f>(Escenarios!$E$16*AK32+0.1*BC32)/(Escenarios!$E$19)</f>
        <v>2.3575060809915356</v>
      </c>
      <c r="BI32" s="170">
        <f>IF(Escenarios!$E$17&gt;0,BF32/10/Escenarios!$E$19,AL32)</f>
        <v>0</v>
      </c>
      <c r="BJ32" s="170">
        <f>(Escenarios!$E$16*AT32+0.1*BD32)/(Escenarios!$E$19)</f>
        <v>0.21273947344727343</v>
      </c>
      <c r="BK32" s="76">
        <f>BK31+(0.1*BD32)/(Escenarios!$E$19)-BL31</f>
        <v>49.022976469431072</v>
      </c>
      <c r="BL32" s="76">
        <f>MAX(0,(BK32-Constantes!$D$13)*(1-EXP(-Constantes!$D$23)))</f>
        <v>2.6897021712338379E-3</v>
      </c>
      <c r="BM32" s="76">
        <f t="shared" si="8"/>
        <v>0.52025319113565494</v>
      </c>
      <c r="BN32" s="76">
        <f t="shared" si="13"/>
        <v>1.451145578959371</v>
      </c>
      <c r="BO32" s="76">
        <f>0.0526*BI32*Observaciones!$F31^1.218</f>
        <v>0</v>
      </c>
      <c r="BP32" s="76">
        <f>BO32*Constantes!$E$51</f>
        <v>0</v>
      </c>
      <c r="BQ32" s="76">
        <f t="shared" si="9"/>
        <v>0</v>
      </c>
      <c r="BR32" s="40"/>
    </row>
    <row r="33" spans="1:70">
      <c r="A33" s="147"/>
      <c r="B33" s="39"/>
      <c r="C33" s="75">
        <v>27</v>
      </c>
      <c r="D33" s="146">
        <f>ETo!$I32*((1-Constantes!$E$19)*ETo!$K32+ETo!$L32)</f>
        <v>4.4018251920436891</v>
      </c>
      <c r="E33" s="76">
        <f>MIN(D33*Constantes!$E$17,0.8*(N32+Observaciones!$F32-F33-M33-Constantes!$D$14))</f>
        <v>2.1521065362930982</v>
      </c>
      <c r="F33" s="76">
        <f>IF(Observaciones!$F32&gt;0.05*Constantes!$E$18,((Observaciones!$F32-0.05*Constantes!$E$18)^2)/(Observaciones!$F32+0.95*Constantes!$E$18),0)</f>
        <v>0</v>
      </c>
      <c r="G33" s="76">
        <f>IF(Escenarios!$E$11&gt;0,(F33*Escenarios!$E$16*10000)/1000,0)</f>
        <v>0</v>
      </c>
      <c r="H33" s="76">
        <f>IF(Escenarios!$E$11&gt;0,(Observaciones!$F32*Constantes!$E$29)/1000,0)</f>
        <v>1</v>
      </c>
      <c r="I33" s="76">
        <f>IF(Escenarios!$E$11&gt;0,(D33*Constantes!$E$29)/1000,0)</f>
        <v>44.018251920436889</v>
      </c>
      <c r="J33" s="76">
        <f>IF(Escenarios!$E$11&gt;0,MAX(0,G33+H33-I33),0)</f>
        <v>0</v>
      </c>
      <c r="K33" s="76">
        <f>IF(Escenarios!$E$11&gt;0,IF(J33&gt;Constantes!$E$30,1000*((J33-Constantes!$E$30)/(Escenarios!$E$16*10000)),0),F33)</f>
        <v>0</v>
      </c>
      <c r="L33" s="76">
        <f>IF(Escenarios!$E$11&gt;0,I33*1000/Escenarios!$E$16/10000+E33,E33)</f>
        <v>2.169713837061273</v>
      </c>
      <c r="M33" s="76">
        <f>MAX(0,N32+Observaciones!$F32-K33-Constantes!$D$13)</f>
        <v>0</v>
      </c>
      <c r="N33" s="76">
        <f>N32+Observaciones!$F32-K33-L33-M33-O32</f>
        <v>39.177012191576807</v>
      </c>
      <c r="O33" s="76">
        <f>MAX(0,(N33-Constantes!$D$14)*(1-EXP(-Constantes!$D$22)))</f>
        <v>0.95129655740569918</v>
      </c>
      <c r="P33" s="170">
        <f>P32+(Entradas!$E$83*M33-Q32)/(800*Entradas!$D$25)</f>
        <v>0</v>
      </c>
      <c r="Q33" s="170">
        <f>8000*Entradas!$D$26*P33/Constantes!$E$45</f>
        <v>0</v>
      </c>
      <c r="R33" s="170">
        <f>IF(Escenarios!$E$14&gt;0,K33*Escenarios!$E$13/Escenarios!$E$14,0)</f>
        <v>0</v>
      </c>
      <c r="S33" s="170">
        <f>IF(Escenarios!$E$14&gt;0,Q33*Escenarios!$E$13/Escenarios!$E$14,0)</f>
        <v>0</v>
      </c>
      <c r="T33" s="170">
        <f>IF(Escenarios!$E$14&gt;0,Observaciones!$I32,0)</f>
        <v>0</v>
      </c>
      <c r="U33" s="170">
        <f>IF(Escenarios!$E$14&gt;0,MAX(0,Constantes!$E$36/((Z32+R33+S33+T33+Observaciones!$F32)^2)+Entradas!$E$77),0)</f>
        <v>1.4528232054143888</v>
      </c>
      <c r="V33" s="146">
        <f>IF(ETo!D32&gt;0,ETo!I32*((1-Entradas!$E$81)*ETo!K32+ETo!L32),0)</f>
        <v>4.0229804024760645</v>
      </c>
      <c r="W33" s="170">
        <f>IF(Escenarios!$E$14&gt;0,MIN(V33*1,0.8*(Z32+R33+S33+T33+Observaciones!$F32-U33-Constantes!$E$35)),0)</f>
        <v>4.0229804024760645</v>
      </c>
      <c r="X33" s="170">
        <f>IF(Escenarios!$E$14&gt;0,Observaciones!$J32,0)</f>
        <v>0</v>
      </c>
      <c r="Y33" s="170">
        <f>IF(Escenarios!$E$14&gt;0,MAX(0,Z32+R33+S33+T33+Observaciones!$F32-U33-W33-X33-Constantes!$E$33),0)</f>
        <v>0</v>
      </c>
      <c r="Z33" s="170">
        <f>Z32+R33+S33+T33+Observaciones!$F32-U33-W33-Y33</f>
        <v>75.984593324343834</v>
      </c>
      <c r="AA33" s="170">
        <f>IF(Escenarios!$E$14&gt;0,(Escenarios!$E$13*L33+Escenarios!$E$14*W33)/(Escenarios!$E$16),L33)</f>
        <v>2.3921058249110478</v>
      </c>
      <c r="AB33" s="170">
        <f>IF(Escenarios!$E$14&gt;0,(Escenarios!$E$14*Y33)/(Escenarios!$E$16),K33)</f>
        <v>0</v>
      </c>
      <c r="AC33" s="170">
        <f>IF(Escenarios!$E$14&gt;0,(Escenarios!$E$13*M33+Escenarios!$E$14*U33)/(Escenarios!$E$16),M33)</f>
        <v>0.17433878464972666</v>
      </c>
      <c r="AD33" s="76">
        <f t="shared" si="1"/>
        <v>100.93402364122423</v>
      </c>
      <c r="AE33" s="76">
        <f>MAX(0,(AD33-Constantes!$D$13)*(1-EXP(-Constantes!$D$23)))</f>
        <v>0.51418161420305286</v>
      </c>
      <c r="AF33" s="76">
        <f>AB33+O33*Escenarios!$E$13/Escenarios!$E$16+AE33</f>
        <v>1.3513225847200681</v>
      </c>
      <c r="AG33" s="76">
        <f>IF(Entradas!$E$91&gt;0,IF(AF33-Escenarios!$E$38&lt;=0,0,IF(AF33-Escenarios!$E$38&gt;Escenarios!$E$37,Escenarios!$E$37,AF33-Escenarios!$E$38)),0)</f>
        <v>0</v>
      </c>
      <c r="AH33" s="76">
        <f>AG33*Entradas!$E$99</f>
        <v>0</v>
      </c>
      <c r="AI33" s="76">
        <f>IF(Entradas!$E$91&gt;0,D33*Entradas!$D$23/Escenarios!$E$16,0)</f>
        <v>0</v>
      </c>
      <c r="AJ33" s="76">
        <f>IF(Entradas!$E$91&gt;0,Entradas!$D$24*Entradas!$D$22/Escenarios!$E$16,0)</f>
        <v>0</v>
      </c>
      <c r="AK33" s="76">
        <f t="shared" si="10"/>
        <v>2.3921058249110478</v>
      </c>
      <c r="AL33" s="76">
        <f t="shared" si="11"/>
        <v>0</v>
      </c>
      <c r="AM33" s="76">
        <f t="shared" si="2"/>
        <v>0</v>
      </c>
      <c r="AN33" s="76">
        <f>MAX(0,O33*Escenarios!$E$13/Escenarios!$E$16-AM33)</f>
        <v>0.8371409705170153</v>
      </c>
      <c r="AO33" s="76">
        <f>AM33+AN33-O33*Escenarios!$E$13/Escenarios!$E$16</f>
        <v>0</v>
      </c>
      <c r="AP33" s="76">
        <f t="shared" si="0"/>
        <v>0.51418161420305286</v>
      </c>
      <c r="AQ33" s="76">
        <f t="shared" si="3"/>
        <v>0</v>
      </c>
      <c r="AR33" s="76">
        <f t="shared" si="4"/>
        <v>1.3513225847200681</v>
      </c>
      <c r="AS33" s="76">
        <f t="shared" si="5"/>
        <v>0</v>
      </c>
      <c r="AT33" s="76">
        <f t="shared" si="6"/>
        <v>0.17433878464972666</v>
      </c>
      <c r="AU33" s="76">
        <f t="shared" si="7"/>
        <v>48.75</v>
      </c>
      <c r="AV33" s="76">
        <f>MAX(0,(AU33-Constantes!$D$13)*(1-EXP(-Constantes!$D$24)))</f>
        <v>0</v>
      </c>
      <c r="AW33" s="170">
        <f>AW32+(Entradas!$E$112*AT33-AX32)/(800*Entradas!$D$25)</f>
        <v>0</v>
      </c>
      <c r="AX33" s="170">
        <f>8000*Entradas!$D$26*AW33/Constantes!$E$45</f>
        <v>0</v>
      </c>
      <c r="AY33" s="170">
        <f>IF(Escenarios!$E$17&gt;0,10*Escenarios!$E$16*AL33,0)</f>
        <v>0</v>
      </c>
      <c r="AZ33" s="170">
        <f>IF(Escenarios!$E$17&gt;0,10*Escenarios!$E$16*AX33,0)</f>
        <v>0</v>
      </c>
      <c r="BA33" s="170">
        <f>IF(Escenarios!$E$17&gt;0,0.001*Observaciones!$F32*Escenarios!$E$17,0)</f>
        <v>2</v>
      </c>
      <c r="BB33" s="170">
        <f>IF(Escenarios!$E$17&gt;0,Observaciones!$K32,0)</f>
        <v>0</v>
      </c>
      <c r="BC33" s="170">
        <f>IF(Escenarios!$E$17&gt;0,MIN(0.0005*ETo!$M32*Escenarios!$E$17*(BG32/Constantes!$E$40)^(2/3),BG32+AY33+AZ33+BA33+BB33),0)</f>
        <v>27.052367841602493</v>
      </c>
      <c r="BD33" s="170">
        <f>IF(Escenarios!$E$17&gt;0,MIN(Constantes!$E$39*(BG32/Constantes!$E$40)^(2/3),BG32+AY33+AZ33+BA33+BB33-BC33),0)</f>
        <v>43.301554213637459</v>
      </c>
      <c r="BE33" s="170">
        <f>IF(Escenarios!$E$17&gt;0,MIN(Entradas!$E$113,BG32+AY33+AZ33+BA33+BB33-BC33-BD33),0)</f>
        <v>1</v>
      </c>
      <c r="BF33" s="170">
        <f>IF(Escenarios!$E$17&gt;0,MAX(0,BG32+AY33+AZ33+BA33+BB33-BC33-BD33-BE33-Constantes!$E$40),0)</f>
        <v>0</v>
      </c>
      <c r="BG33" s="170">
        <f t="shared" si="12"/>
        <v>2585.4288304312954</v>
      </c>
      <c r="BH33" s="170">
        <f>(Escenarios!$E$16*AK33+0.1*BC33)/(Escenarios!$E$19)</f>
        <v>2.3838559246504847</v>
      </c>
      <c r="BI33" s="170">
        <f>IF(Escenarios!$E$17&gt;0,BF33/10/Escenarios!$E$19,AL33)</f>
        <v>0</v>
      </c>
      <c r="BJ33" s="170">
        <f>(Escenarios!$E$16*AT33+0.1*BD33)/(Escenarios!$E$19)</f>
        <v>0.19013829993569609</v>
      </c>
      <c r="BK33" s="76">
        <f>BK32+(0.1*BD33)/(Escenarios!$E$19)-BL32</f>
        <v>49.03746992369382</v>
      </c>
      <c r="BL33" s="76">
        <f>MAX(0,(BK33-Constantes!$D$13)*(1-EXP(-Constantes!$D$23)))</f>
        <v>2.8325096281565511E-3</v>
      </c>
      <c r="BM33" s="76">
        <f t="shared" si="8"/>
        <v>0.51701412383120937</v>
      </c>
      <c r="BN33" s="76">
        <f t="shared" si="13"/>
        <v>1.3541550943482246</v>
      </c>
      <c r="BO33" s="76">
        <f>0.0526*BI33*Observaciones!$F32^1.218</f>
        <v>0</v>
      </c>
      <c r="BP33" s="76">
        <f>BO33*Constantes!$E$51</f>
        <v>0</v>
      </c>
      <c r="BQ33" s="76">
        <f t="shared" si="9"/>
        <v>0</v>
      </c>
      <c r="BR33" s="40"/>
    </row>
    <row r="34" spans="1:70">
      <c r="A34" s="147"/>
      <c r="B34" s="39"/>
      <c r="C34" s="75">
        <v>28</v>
      </c>
      <c r="D34" s="146">
        <f>ETo!$I33*((1-Constantes!$E$19)*ETo!$K33+ETo!$L33)</f>
        <v>4.3641113423779503</v>
      </c>
      <c r="E34" s="76">
        <f>MIN(D34*Constantes!$E$17,0.8*(N33+Observaciones!$F33-F34-M34-Constantes!$D$14))</f>
        <v>2.1336677708189229</v>
      </c>
      <c r="F34" s="76">
        <f>IF(Observaciones!$F33&gt;0.05*Constantes!$E$18,((Observaciones!$F33-0.05*Constantes!$E$18)^2)/(Observaciones!$F33+0.95*Constantes!$E$18),0)</f>
        <v>0</v>
      </c>
      <c r="G34" s="76">
        <f>IF(Escenarios!$E$11&gt;0,(F34*Escenarios!$E$16*10000)/1000,0)</f>
        <v>0</v>
      </c>
      <c r="H34" s="76">
        <f>IF(Escenarios!$E$11&gt;0,(Observaciones!$F33*Constantes!$E$29)/1000,0)</f>
        <v>0</v>
      </c>
      <c r="I34" s="76">
        <f>IF(Escenarios!$E$11&gt;0,(D34*Constantes!$E$29)/1000,0)</f>
        <v>43.641113423779508</v>
      </c>
      <c r="J34" s="76">
        <f>IF(Escenarios!$E$11&gt;0,MAX(0,G34+H34-I34),0)</f>
        <v>0</v>
      </c>
      <c r="K34" s="76">
        <f>IF(Escenarios!$E$11&gt;0,IF(J34&gt;Constantes!$E$30,1000*((J34-Constantes!$E$30)/(Escenarios!$E$16*10000)),0),F34)</f>
        <v>0</v>
      </c>
      <c r="L34" s="76">
        <f>IF(Escenarios!$E$11&gt;0,I34*1000/Escenarios!$E$16/10000+E34,E34)</f>
        <v>2.1511242161884345</v>
      </c>
      <c r="M34" s="76">
        <f>MAX(0,N33+Observaciones!$F33-K34-Constantes!$D$13)</f>
        <v>0</v>
      </c>
      <c r="N34" s="76">
        <f>N33+Observaciones!$F33-K34-L34-M34-O33</f>
        <v>36.074591417982674</v>
      </c>
      <c r="O34" s="76">
        <f>MAX(0,(N34-Constantes!$D$14)*(1-EXP(-Constantes!$D$22)))</f>
        <v>0.84561671663726257</v>
      </c>
      <c r="P34" s="170">
        <f>P33+(Entradas!$E$83*M34-Q33)/(800*Entradas!$D$25)</f>
        <v>0</v>
      </c>
      <c r="Q34" s="170">
        <f>8000*Entradas!$D$26*P34/Constantes!$E$45</f>
        <v>0</v>
      </c>
      <c r="R34" s="170">
        <f>IF(Escenarios!$E$14&gt;0,K34*Escenarios!$E$13/Escenarios!$E$14,0)</f>
        <v>0</v>
      </c>
      <c r="S34" s="170">
        <f>IF(Escenarios!$E$14&gt;0,Q34*Escenarios!$E$13/Escenarios!$E$14,0)</f>
        <v>0</v>
      </c>
      <c r="T34" s="170">
        <f>IF(Escenarios!$E$14&gt;0,Observaciones!$I33,0)</f>
        <v>0</v>
      </c>
      <c r="U34" s="170">
        <f>IF(Escenarios!$E$14&gt;0,MAX(0,Constantes!$E$36/((Z33+R34+S34+T34+Observaciones!$F33)^2)+Entradas!$E$77),0)</f>
        <v>1.2217947013118502</v>
      </c>
      <c r="V34" s="146">
        <f>IF(ETo!D33&gt;0,ETo!I33*((1-Entradas!$E$81)*ETo!K33+ETo!L33),0)</f>
        <v>3.988073364236528</v>
      </c>
      <c r="W34" s="170">
        <f>IF(Escenarios!$E$14&gt;0,MIN(V34*1,0.8*(Z33+R34+S34+T34+Observaciones!$F33-U34-Constantes!$E$35)),0)</f>
        <v>3.988073364236528</v>
      </c>
      <c r="X34" s="170">
        <f>IF(Escenarios!$E$14&gt;0,Observaciones!$J33,0)</f>
        <v>0</v>
      </c>
      <c r="Y34" s="170">
        <f>IF(Escenarios!$E$14&gt;0,MAX(0,Z33+R34+S34+T34+Observaciones!$F33-U34-W34-X34-Constantes!$E$33),0)</f>
        <v>0</v>
      </c>
      <c r="Z34" s="170">
        <f>Z33+R34+S34+T34+Observaciones!$F33-U34-W34-Y34</f>
        <v>70.774725258795456</v>
      </c>
      <c r="AA34" s="170">
        <f>IF(Escenarios!$E$14&gt;0,(Escenarios!$E$13*L34+Escenarios!$E$14*W34)/(Escenarios!$E$16),L34)</f>
        <v>2.3715581139542059</v>
      </c>
      <c r="AB34" s="170">
        <f>IF(Escenarios!$E$14&gt;0,(Escenarios!$E$14*Y34)/(Escenarios!$E$16),K34)</f>
        <v>0</v>
      </c>
      <c r="AC34" s="170">
        <f>IF(Escenarios!$E$14&gt;0,(Escenarios!$E$13*M34+Escenarios!$E$14*U34)/(Escenarios!$E$16),M34)</f>
        <v>0.14661536415742202</v>
      </c>
      <c r="AD34" s="76">
        <f t="shared" si="1"/>
        <v>100.5664573911786</v>
      </c>
      <c r="AE34" s="76">
        <f>MAX(0,(AD34-Constantes!$D$13)*(1-EXP(-Constantes!$D$23)))</f>
        <v>0.51055989639389332</v>
      </c>
      <c r="AF34" s="76">
        <f>AB34+O34*Escenarios!$E$13/Escenarios!$E$16+AE34</f>
        <v>1.2547026070346843</v>
      </c>
      <c r="AG34" s="76">
        <f>IF(Entradas!$E$91&gt;0,IF(AF34-Escenarios!$E$38&lt;=0,0,IF(AF34-Escenarios!$E$38&gt;Escenarios!$E$37,Escenarios!$E$37,AF34-Escenarios!$E$38)),0)</f>
        <v>0</v>
      </c>
      <c r="AH34" s="76">
        <f>AG34*Entradas!$E$99</f>
        <v>0</v>
      </c>
      <c r="AI34" s="76">
        <f>IF(Entradas!$E$91&gt;0,D34*Entradas!$D$23/Escenarios!$E$16,0)</f>
        <v>0</v>
      </c>
      <c r="AJ34" s="76">
        <f>IF(Entradas!$E$91&gt;0,Entradas!$D$24*Entradas!$D$22/Escenarios!$E$16,0)</f>
        <v>0</v>
      </c>
      <c r="AK34" s="76">
        <f t="shared" si="10"/>
        <v>2.3715581139542059</v>
      </c>
      <c r="AL34" s="76">
        <f t="shared" si="11"/>
        <v>0</v>
      </c>
      <c r="AM34" s="76">
        <f t="shared" si="2"/>
        <v>0</v>
      </c>
      <c r="AN34" s="76">
        <f>MAX(0,O34*Escenarios!$E$13/Escenarios!$E$16-AM34)</f>
        <v>0.74414271064079107</v>
      </c>
      <c r="AO34" s="76">
        <f>AM34+AN34-O34*Escenarios!$E$13/Escenarios!$E$16</f>
        <v>0</v>
      </c>
      <c r="AP34" s="76">
        <f t="shared" si="0"/>
        <v>0.51055989639389332</v>
      </c>
      <c r="AQ34" s="76">
        <f t="shared" si="3"/>
        <v>0</v>
      </c>
      <c r="AR34" s="76">
        <f t="shared" si="4"/>
        <v>1.2547026070346843</v>
      </c>
      <c r="AS34" s="76">
        <f t="shared" si="5"/>
        <v>0</v>
      </c>
      <c r="AT34" s="76">
        <f t="shared" si="6"/>
        <v>0.14661536415742202</v>
      </c>
      <c r="AU34" s="76">
        <f t="shared" si="7"/>
        <v>48.75</v>
      </c>
      <c r="AV34" s="76">
        <f>MAX(0,(AU34-Constantes!$D$13)*(1-EXP(-Constantes!$D$24)))</f>
        <v>0</v>
      </c>
      <c r="AW34" s="170">
        <f>AW33+(Entradas!$E$112*AT34-AX33)/(800*Entradas!$D$25)</f>
        <v>0</v>
      </c>
      <c r="AX34" s="170">
        <f>8000*Entradas!$D$26*AW34/Constantes!$E$45</f>
        <v>0</v>
      </c>
      <c r="AY34" s="170">
        <f>IF(Escenarios!$E$17&gt;0,10*Escenarios!$E$16*AL34,0)</f>
        <v>0</v>
      </c>
      <c r="AZ34" s="170">
        <f>IF(Escenarios!$E$17&gt;0,10*Escenarios!$E$16*AX34,0)</f>
        <v>0</v>
      </c>
      <c r="BA34" s="170">
        <f>IF(Escenarios!$E$17&gt;0,0.001*Observaciones!$F33*Escenarios!$E$17,0)</f>
        <v>0</v>
      </c>
      <c r="BB34" s="170">
        <f>IF(Escenarios!$E$17&gt;0,Observaciones!$K33,0)</f>
        <v>0</v>
      </c>
      <c r="BC34" s="170">
        <f>IF(Escenarios!$E$17&gt;0,MIN(0.0005*ETo!$M33*Escenarios!$E$17*(BG33/Constantes!$E$40)^(2/3),BG33+AY34+AZ34+BA34+BB34),0)</f>
        <v>26.355095471979897</v>
      </c>
      <c r="BD34" s="170">
        <f>IF(Escenarios!$E$17&gt;0,MIN(Constantes!$E$39*(BG33/Constantes!$E$40)^(2/3),BG33+AY34+AZ34+BA34+BB34-BC34),0)</f>
        <v>42.544087964786797</v>
      </c>
      <c r="BE34" s="170">
        <f>IF(Escenarios!$E$17&gt;0,MIN(Entradas!$E$113,BG33+AY34+AZ34+BA34+BB34-BC34-BD34),0)</f>
        <v>1</v>
      </c>
      <c r="BF34" s="170">
        <f>IF(Escenarios!$E$17&gt;0,MAX(0,BG33+AY34+AZ34+BA34+BB34-BC34-BD34-BE34-Constantes!$E$40),0)</f>
        <v>0</v>
      </c>
      <c r="BG34" s="170">
        <f t="shared" si="12"/>
        <v>2515.5296469945288</v>
      </c>
      <c r="BH34" s="170">
        <f>(Escenarios!$E$16*AK34+0.1*BC34)/(Escenarios!$E$19)</f>
        <v>2.3631945953799582</v>
      </c>
      <c r="BI34" s="170">
        <f>IF(Escenarios!$E$17&gt;0,BF34/10/Escenarios!$E$19,AL34)</f>
        <v>0</v>
      </c>
      <c r="BJ34" s="170">
        <f>(Escenarios!$E$16*AT34+0.1*BD34)/(Escenarios!$E$19)</f>
        <v>0.16233432474537374</v>
      </c>
      <c r="BK34" s="76">
        <f>BK33+(0.1*BD34)/(Escenarios!$E$19)-BL33</f>
        <v>49.051519988654867</v>
      </c>
      <c r="BL34" s="76">
        <f>MAX(0,(BK34-Constantes!$D$13)*(1-EXP(-Constantes!$D$23)))</f>
        <v>2.9709482646825022E-3</v>
      </c>
      <c r="BM34" s="76">
        <f t="shared" si="8"/>
        <v>0.51353084465857579</v>
      </c>
      <c r="BN34" s="76">
        <f t="shared" si="13"/>
        <v>1.2576735552993668</v>
      </c>
      <c r="BO34" s="76">
        <f>0.0526*BI34*Observaciones!$F33^1.218</f>
        <v>0</v>
      </c>
      <c r="BP34" s="76">
        <f>BO34*Constantes!$E$51</f>
        <v>0</v>
      </c>
      <c r="BQ34" s="76">
        <f t="shared" si="9"/>
        <v>0</v>
      </c>
      <c r="BR34" s="40"/>
    </row>
    <row r="35" spans="1:70">
      <c r="A35" s="147"/>
      <c r="B35" s="39"/>
      <c r="C35" s="75">
        <v>29</v>
      </c>
      <c r="D35" s="146">
        <f>ETo!$I34*((1-Constantes!$E$19)*ETo!$K34+ETo!$L34)</f>
        <v>4.1630526243087651</v>
      </c>
      <c r="E35" s="76">
        <f>MIN(D35*Constantes!$E$17,0.8*(N34+Observaciones!$F34-F35-M35-Constantes!$D$14))</f>
        <v>2.0353676879084266</v>
      </c>
      <c r="F35" s="76">
        <f>IF(Observaciones!$F34&gt;0.05*Constantes!$E$18,((Observaciones!$F34-0.05*Constantes!$E$18)^2)/(Observaciones!$F34+0.95*Constantes!$E$18),0)</f>
        <v>0</v>
      </c>
      <c r="G35" s="76">
        <f>IF(Escenarios!$E$11&gt;0,(F35*Escenarios!$E$16*10000)/1000,0)</f>
        <v>0</v>
      </c>
      <c r="H35" s="76">
        <f>IF(Escenarios!$E$11&gt;0,(Observaciones!$F34*Constantes!$E$29)/1000,0)</f>
        <v>17</v>
      </c>
      <c r="I35" s="76">
        <f>IF(Escenarios!$E$11&gt;0,(D35*Constantes!$E$29)/1000,0)</f>
        <v>41.630526243087651</v>
      </c>
      <c r="J35" s="76">
        <f>IF(Escenarios!$E$11&gt;0,MAX(0,G35+H35-I35),0)</f>
        <v>0</v>
      </c>
      <c r="K35" s="76">
        <f>IF(Escenarios!$E$11&gt;0,IF(J35&gt;Constantes!$E$30,1000*((J35-Constantes!$E$30)/(Escenarios!$E$16*10000)),0),F35)</f>
        <v>0</v>
      </c>
      <c r="L35" s="76">
        <f>IF(Escenarios!$E$11&gt;0,I35*1000/Escenarios!$E$16/10000+E35,E35)</f>
        <v>2.0520198984056615</v>
      </c>
      <c r="M35" s="76">
        <f>MAX(0,N34+Observaciones!$F34-K35-Constantes!$D$13)</f>
        <v>0</v>
      </c>
      <c r="N35" s="76">
        <f>N34+Observaciones!$F34-K35-L35-M35-O34</f>
        <v>34.876954802939757</v>
      </c>
      <c r="O35" s="76">
        <f>MAX(0,(N35-Constantes!$D$14)*(1-EXP(-Constantes!$D$22)))</f>
        <v>0.80482081691487928</v>
      </c>
      <c r="P35" s="170">
        <f>P34+(Entradas!$E$83*M35-Q34)/(800*Entradas!$D$25)</f>
        <v>0</v>
      </c>
      <c r="Q35" s="170">
        <f>8000*Entradas!$D$26*P35/Constantes!$E$45</f>
        <v>0</v>
      </c>
      <c r="R35" s="170">
        <f>IF(Escenarios!$E$14&gt;0,K35*Escenarios!$E$13/Escenarios!$E$14,0)</f>
        <v>0</v>
      </c>
      <c r="S35" s="170">
        <f>IF(Escenarios!$E$14&gt;0,Q35*Escenarios!$E$13/Escenarios!$E$14,0)</f>
        <v>0</v>
      </c>
      <c r="T35" s="170">
        <f>IF(Escenarios!$E$14&gt;0,Observaciones!$I34,0)</f>
        <v>0</v>
      </c>
      <c r="U35" s="170">
        <f>IF(Escenarios!$E$14&gt;0,MAX(0,Constantes!$E$36/((Z34+R35+S35+T35+Observaciones!$F34)^2)+Entradas!$E$77),0)</f>
        <v>1.0453912818739755</v>
      </c>
      <c r="V35" s="146">
        <f>IF(ETo!D34&gt;0,ETo!I34*((1-Entradas!$E$81)*ETo!K34+ETo!L34),0)</f>
        <v>3.8025532098894073</v>
      </c>
      <c r="W35" s="170">
        <f>IF(Escenarios!$E$14&gt;0,MIN(V35*1,0.8*(Z34+R35+S35+T35+Observaciones!$F34-U35-Constantes!$E$35)),0)</f>
        <v>3.8025532098894073</v>
      </c>
      <c r="X35" s="170">
        <f>IF(Escenarios!$E$14&gt;0,Observaciones!$J34,0)</f>
        <v>0</v>
      </c>
      <c r="Y35" s="170">
        <f>IF(Escenarios!$E$14&gt;0,MAX(0,Z34+R35+S35+T35+Observaciones!$F34-U35-W35-X35-Constantes!$E$33),0)</f>
        <v>0</v>
      </c>
      <c r="Z35" s="170">
        <f>Z34+R35+S35+T35+Observaciones!$F34-U35-W35-Y35</f>
        <v>67.626780767032074</v>
      </c>
      <c r="AA35" s="170">
        <f>IF(Escenarios!$E$14&gt;0,(Escenarios!$E$13*L35+Escenarios!$E$14*W35)/(Escenarios!$E$16),L35)</f>
        <v>2.2620838957837108</v>
      </c>
      <c r="AB35" s="170">
        <f>IF(Escenarios!$E$14&gt;0,(Escenarios!$E$14*Y35)/(Escenarios!$E$16),K35)</f>
        <v>0</v>
      </c>
      <c r="AC35" s="170">
        <f>IF(Escenarios!$E$14&gt;0,(Escenarios!$E$13*M35+Escenarios!$E$14*U35)/(Escenarios!$E$16),M35)</f>
        <v>0.12544695382487706</v>
      </c>
      <c r="AD35" s="76">
        <f t="shared" si="1"/>
        <v>100.18134444860958</v>
      </c>
      <c r="AE35" s="76">
        <f>MAX(0,(AD35-Constantes!$D$13)*(1-EXP(-Constantes!$D$23)))</f>
        <v>0.50676528684400424</v>
      </c>
      <c r="AF35" s="76">
        <f>AB35+O35*Escenarios!$E$13/Escenarios!$E$16+AE35</f>
        <v>1.2150076057290979</v>
      </c>
      <c r="AG35" s="76">
        <f>IF(Entradas!$E$91&gt;0,IF(AF35-Escenarios!$E$38&lt;=0,0,IF(AF35-Escenarios!$E$38&gt;Escenarios!$E$37,Escenarios!$E$37,AF35-Escenarios!$E$38)),0)</f>
        <v>0</v>
      </c>
      <c r="AH35" s="76">
        <f>AG35*Entradas!$E$99</f>
        <v>0</v>
      </c>
      <c r="AI35" s="76">
        <f>IF(Entradas!$E$91&gt;0,D35*Entradas!$D$23/Escenarios!$E$16,0)</f>
        <v>0</v>
      </c>
      <c r="AJ35" s="76">
        <f>IF(Entradas!$E$91&gt;0,Entradas!$D$24*Entradas!$D$22/Escenarios!$E$16,0)</f>
        <v>0</v>
      </c>
      <c r="AK35" s="76">
        <f t="shared" si="10"/>
        <v>2.2620838957837108</v>
      </c>
      <c r="AL35" s="76">
        <f t="shared" si="11"/>
        <v>0</v>
      </c>
      <c r="AM35" s="76">
        <f t="shared" si="2"/>
        <v>0</v>
      </c>
      <c r="AN35" s="76">
        <f>MAX(0,O35*Escenarios!$E$13/Escenarios!$E$16-AM35)</f>
        <v>0.7082423188850937</v>
      </c>
      <c r="AO35" s="76">
        <f>AM35+AN35-O35*Escenarios!$E$13/Escenarios!$E$16</f>
        <v>0</v>
      </c>
      <c r="AP35" s="76">
        <f t="shared" si="0"/>
        <v>0.50676528684400424</v>
      </c>
      <c r="AQ35" s="76">
        <f t="shared" si="3"/>
        <v>0</v>
      </c>
      <c r="AR35" s="76">
        <f t="shared" si="4"/>
        <v>1.2150076057290979</v>
      </c>
      <c r="AS35" s="76">
        <f t="shared" si="5"/>
        <v>0</v>
      </c>
      <c r="AT35" s="76">
        <f t="shared" si="6"/>
        <v>0.12544695382487706</v>
      </c>
      <c r="AU35" s="76">
        <f t="shared" si="7"/>
        <v>48.75</v>
      </c>
      <c r="AV35" s="76">
        <f>MAX(0,(AU35-Constantes!$D$13)*(1-EXP(-Constantes!$D$24)))</f>
        <v>0</v>
      </c>
      <c r="AW35" s="170">
        <f>AW34+(Entradas!$E$112*AT35-AX34)/(800*Entradas!$D$25)</f>
        <v>0</v>
      </c>
      <c r="AX35" s="170">
        <f>8000*Entradas!$D$26*AW35/Constantes!$E$45</f>
        <v>0</v>
      </c>
      <c r="AY35" s="170">
        <f>IF(Escenarios!$E$17&gt;0,10*Escenarios!$E$16*AL35,0)</f>
        <v>0</v>
      </c>
      <c r="AZ35" s="170">
        <f>IF(Escenarios!$E$17&gt;0,10*Escenarios!$E$16*AX35,0)</f>
        <v>0</v>
      </c>
      <c r="BA35" s="170">
        <f>IF(Escenarios!$E$17&gt;0,0.001*Observaciones!$F34*Escenarios!$E$17,0)</f>
        <v>34</v>
      </c>
      <c r="BB35" s="170">
        <f>IF(Escenarios!$E$17&gt;0,Observaciones!$K34,0)</f>
        <v>0</v>
      </c>
      <c r="BC35" s="170">
        <f>IF(Escenarios!$E$17&gt;0,MIN(0.0005*ETo!$M34*Escenarios!$E$17*(BG34/Constantes!$E$40)^(2/3),BG34+AY35+AZ35+BA35+BB35),0)</f>
        <v>24.700361866873582</v>
      </c>
      <c r="BD35" s="170">
        <f>IF(Escenarios!$E$17&gt;0,MIN(Constantes!$E$39*(BG34/Constantes!$E$40)^(2/3),BG34+AY35+AZ35+BA35+BB35-BC35),0)</f>
        <v>41.773781079229757</v>
      </c>
      <c r="BE35" s="170">
        <f>IF(Escenarios!$E$17&gt;0,MIN(Entradas!$E$113,BG34+AY35+AZ35+BA35+BB35-BC35-BD35),0)</f>
        <v>1</v>
      </c>
      <c r="BF35" s="170">
        <f>IF(Escenarios!$E$17&gt;0,MAX(0,BG34+AY35+AZ35+BA35+BB35-BC35-BD35-BE35-Constantes!$E$40),0)</f>
        <v>0</v>
      </c>
      <c r="BG35" s="170">
        <f t="shared" si="12"/>
        <v>2482.0555040484255</v>
      </c>
      <c r="BH35" s="170">
        <f>(Escenarios!$E$16*AK35+0.1*BC35)/(Escenarios!$E$19)</f>
        <v>2.2539325798913299</v>
      </c>
      <c r="BI35" s="170">
        <f>IF(Escenarios!$E$17&gt;0,BF35/10/Escenarios!$E$19,AL35)</f>
        <v>0</v>
      </c>
      <c r="BJ35" s="170">
        <f>(Escenarios!$E$16*AT35+0.1*BD35)/(Escenarios!$E$19)</f>
        <v>0.14102824033389777</v>
      </c>
      <c r="BK35" s="76">
        <f>BK34+(0.1*BD35)/(Escenarios!$E$19)-BL34</f>
        <v>49.065125937643849</v>
      </c>
      <c r="BL35" s="76">
        <f>MAX(0,(BK35-Constantes!$D$13)*(1-EXP(-Constantes!$D$23)))</f>
        <v>3.1050109207555071E-3</v>
      </c>
      <c r="BM35" s="76">
        <f t="shared" si="8"/>
        <v>0.50987029776475978</v>
      </c>
      <c r="BN35" s="76">
        <f t="shared" si="13"/>
        <v>1.2181126166498535</v>
      </c>
      <c r="BO35" s="76">
        <f>0.0526*BI35*Observaciones!$F34^1.218</f>
        <v>0</v>
      </c>
      <c r="BP35" s="76">
        <f>BO35*Constantes!$E$51</f>
        <v>0</v>
      </c>
      <c r="BQ35" s="76">
        <f t="shared" si="9"/>
        <v>0</v>
      </c>
      <c r="BR35" s="40"/>
    </row>
    <row r="36" spans="1:70">
      <c r="A36" s="147"/>
      <c r="B36" s="39"/>
      <c r="C36" s="75">
        <v>30</v>
      </c>
      <c r="D36" s="146">
        <f>ETo!$I35*((1-Constantes!$E$19)*ETo!$K35+ETo!$L35)</f>
        <v>4.3426857739382836</v>
      </c>
      <c r="E36" s="76">
        <f>MIN(D36*Constantes!$E$17,0.8*(N35+Observaciones!$F35-F36-M36-Constantes!$D$14))</f>
        <v>2.1231925465946291</v>
      </c>
      <c r="F36" s="76">
        <f>IF(Observaciones!$F35&gt;0.05*Constantes!$E$18,((Observaciones!$F35-0.05*Constantes!$E$18)^2)/(Observaciones!$F35+0.95*Constantes!$E$18),0)</f>
        <v>0</v>
      </c>
      <c r="G36" s="76">
        <f>IF(Escenarios!$E$11&gt;0,(F36*Escenarios!$E$16*10000)/1000,0)</f>
        <v>0</v>
      </c>
      <c r="H36" s="76">
        <f>IF(Escenarios!$E$11&gt;0,(Observaciones!$F35*Constantes!$E$29)/1000,0)</f>
        <v>52</v>
      </c>
      <c r="I36" s="76">
        <f>IF(Escenarios!$E$11&gt;0,(D36*Constantes!$E$29)/1000,0)</f>
        <v>43.426857739382839</v>
      </c>
      <c r="J36" s="76">
        <f>IF(Escenarios!$E$11&gt;0,MAX(0,G36+H36-I36),0)</f>
        <v>8.5731422606171606</v>
      </c>
      <c r="K36" s="76">
        <f>IF(Escenarios!$E$11&gt;0,IF(J36&gt;Constantes!$E$30,1000*((J36-Constantes!$E$30)/(Escenarios!$E$16*10000)),0),F36)</f>
        <v>0</v>
      </c>
      <c r="L36" s="76">
        <f>IF(Escenarios!$E$11&gt;0,I36*1000/Escenarios!$E$16/10000+E36,E36)</f>
        <v>2.1405632896903821</v>
      </c>
      <c r="M36" s="76">
        <f>MAX(0,N35+Observaciones!$F35-K36-Constantes!$D$13)</f>
        <v>0</v>
      </c>
      <c r="N36" s="76">
        <f>N35+Observaciones!$F35-K36-L36-M36-O35</f>
        <v>37.131570696334499</v>
      </c>
      <c r="O36" s="76">
        <f>MAX(0,(N36-Constantes!$D$14)*(1-EXP(-Constantes!$D$22)))</f>
        <v>0.88162131110829323</v>
      </c>
      <c r="P36" s="170">
        <f>P35+(Entradas!$E$83*M36-Q35)/(800*Entradas!$D$25)</f>
        <v>0</v>
      </c>
      <c r="Q36" s="170">
        <f>8000*Entradas!$D$26*P36/Constantes!$E$45</f>
        <v>0</v>
      </c>
      <c r="R36" s="170">
        <f>IF(Escenarios!$E$14&gt;0,K36*Escenarios!$E$13/Escenarios!$E$14,0)</f>
        <v>0</v>
      </c>
      <c r="S36" s="170">
        <f>IF(Escenarios!$E$14&gt;0,Q36*Escenarios!$E$13/Escenarios!$E$14,0)</f>
        <v>0</v>
      </c>
      <c r="T36" s="170">
        <f>IF(Escenarios!$E$14&gt;0,Observaciones!$I35,0)</f>
        <v>0</v>
      </c>
      <c r="U36" s="170">
        <f>IF(Escenarios!$E$14&gt;0,MAX(0,Constantes!$E$36/((Z35+R36+S36+T36+Observaciones!$F35)^2)+Entradas!$E$77),0)</f>
        <v>1.0642433441267003</v>
      </c>
      <c r="V36" s="146">
        <f>IF(ETo!D35&gt;0,ETo!I35*((1-Entradas!$E$81)*ETo!K35+ETo!L35),0)</f>
        <v>3.9682255918309188</v>
      </c>
      <c r="W36" s="170">
        <f>IF(Escenarios!$E$14&gt;0,MIN(V36*1,0.8*(Z35+R36+S36+T36+Observaciones!$F35-U36-Constantes!$E$35)),0)</f>
        <v>3.9682255918309188</v>
      </c>
      <c r="X36" s="170">
        <f>IF(Escenarios!$E$14&gt;0,Observaciones!$J35,0)</f>
        <v>0</v>
      </c>
      <c r="Y36" s="170">
        <f>IF(Escenarios!$E$14&gt;0,MAX(0,Z35+R36+S36+T36+Observaciones!$F35-U36-W36-X36-Constantes!$E$33),0)</f>
        <v>0</v>
      </c>
      <c r="Z36" s="170">
        <f>Z35+R36+S36+T36+Observaciones!$F35-U36-W36-Y36</f>
        <v>67.794311831074467</v>
      </c>
      <c r="AA36" s="170">
        <f>IF(Escenarios!$E$14&gt;0,(Escenarios!$E$13*L36+Escenarios!$E$14*W36)/(Escenarios!$E$16),L36)</f>
        <v>2.3598827659472468</v>
      </c>
      <c r="AB36" s="170">
        <f>IF(Escenarios!$E$14&gt;0,(Escenarios!$E$14*Y36)/(Escenarios!$E$16),K36)</f>
        <v>0</v>
      </c>
      <c r="AC36" s="170">
        <f>IF(Escenarios!$E$14&gt;0,(Escenarios!$E$13*M36+Escenarios!$E$14*U36)/(Escenarios!$E$16),M36)</f>
        <v>0.12770920129520405</v>
      </c>
      <c r="AD36" s="76">
        <f t="shared" si="1"/>
        <v>99.802288363060782</v>
      </c>
      <c r="AE36" s="76">
        <f>MAX(0,(AD36-Constantes!$D$13)*(1-EXP(-Constantes!$D$23)))</f>
        <v>0.50303035694896636</v>
      </c>
      <c r="AF36" s="76">
        <f>AB36+O36*Escenarios!$E$13/Escenarios!$E$16+AE36</f>
        <v>1.2788571107242643</v>
      </c>
      <c r="AG36" s="76">
        <f>IF(Entradas!$E$91&gt;0,IF(AF36-Escenarios!$E$38&lt;=0,0,IF(AF36-Escenarios!$E$38&gt;Escenarios!$E$37,Escenarios!$E$37,AF36-Escenarios!$E$38)),0)</f>
        <v>0</v>
      </c>
      <c r="AH36" s="76">
        <f>AG36*Entradas!$E$99</f>
        <v>0</v>
      </c>
      <c r="AI36" s="76">
        <f>IF(Entradas!$E$91&gt;0,D36*Entradas!$D$23/Escenarios!$E$16,0)</f>
        <v>0</v>
      </c>
      <c r="AJ36" s="76">
        <f>IF(Entradas!$E$91&gt;0,Entradas!$D$24*Entradas!$D$22/Escenarios!$E$16,0)</f>
        <v>0</v>
      </c>
      <c r="AK36" s="76">
        <f t="shared" si="10"/>
        <v>2.3598827659472468</v>
      </c>
      <c r="AL36" s="76">
        <f t="shared" si="11"/>
        <v>0</v>
      </c>
      <c r="AM36" s="76">
        <f t="shared" si="2"/>
        <v>0</v>
      </c>
      <c r="AN36" s="76">
        <f>MAX(0,O36*Escenarios!$E$13/Escenarios!$E$16-AM36)</f>
        <v>0.77582675377529797</v>
      </c>
      <c r="AO36" s="76">
        <f>AM36+AN36-O36*Escenarios!$E$13/Escenarios!$E$16</f>
        <v>0</v>
      </c>
      <c r="AP36" s="76">
        <f t="shared" si="0"/>
        <v>0.50303035694896636</v>
      </c>
      <c r="AQ36" s="76">
        <f t="shared" si="3"/>
        <v>0</v>
      </c>
      <c r="AR36" s="76">
        <f t="shared" si="4"/>
        <v>1.2788571107242643</v>
      </c>
      <c r="AS36" s="76">
        <f t="shared" si="5"/>
        <v>0</v>
      </c>
      <c r="AT36" s="76">
        <f t="shared" si="6"/>
        <v>0.12770920129520405</v>
      </c>
      <c r="AU36" s="76">
        <f t="shared" si="7"/>
        <v>48.75</v>
      </c>
      <c r="AV36" s="76">
        <f>MAX(0,(AU36-Constantes!$D$13)*(1-EXP(-Constantes!$D$24)))</f>
        <v>0</v>
      </c>
      <c r="AW36" s="170">
        <f>AW35+(Entradas!$E$112*AT36-AX35)/(800*Entradas!$D$25)</f>
        <v>0</v>
      </c>
      <c r="AX36" s="170">
        <f>8000*Entradas!$D$26*AW36/Constantes!$E$45</f>
        <v>0</v>
      </c>
      <c r="AY36" s="170">
        <f>IF(Escenarios!$E$17&gt;0,10*Escenarios!$E$16*AL36,0)</f>
        <v>0</v>
      </c>
      <c r="AZ36" s="170">
        <f>IF(Escenarios!$E$17&gt;0,10*Escenarios!$E$16*AX36,0)</f>
        <v>0</v>
      </c>
      <c r="BA36" s="170">
        <f>IF(Escenarios!$E$17&gt;0,0.001*Observaciones!$F35*Escenarios!$E$17,0)</f>
        <v>104.00000000000001</v>
      </c>
      <c r="BB36" s="170">
        <f>IF(Escenarios!$E$17&gt;0,Observaciones!$K35,0)</f>
        <v>0</v>
      </c>
      <c r="BC36" s="170">
        <f>IF(Escenarios!$E$17&gt;0,MIN(0.0005*ETo!$M35*Escenarios!$E$17*(BG35/Constantes!$E$40)^(2/3),BG35+AY36+AZ36+BA36+BB36),0)</f>
        <v>25.52409180020328</v>
      </c>
      <c r="BD36" s="170">
        <f>IF(Escenarios!$E$17&gt;0,MIN(Constantes!$E$39*(BG35/Constantes!$E$40)^(2/3),BG35+AY36+AZ36+BA36+BB36-BC36),0)</f>
        <v>41.402365250686699</v>
      </c>
      <c r="BE36" s="170">
        <f>IF(Escenarios!$E$17&gt;0,MIN(Entradas!$E$113,BG35+AY36+AZ36+BA36+BB36-BC36-BD36),0)</f>
        <v>1</v>
      </c>
      <c r="BF36" s="170">
        <f>IF(Escenarios!$E$17&gt;0,MAX(0,BG35+AY36+AZ36+BA36+BB36-BC36-BD36-BE36-Constantes!$E$40),0)</f>
        <v>0</v>
      </c>
      <c r="BG36" s="170">
        <f t="shared" si="12"/>
        <v>2518.1290469975356</v>
      </c>
      <c r="BH36" s="170">
        <f>(Escenarios!$E$16*AK36+0.1*BC36)/(Escenarios!$E$19)</f>
        <v>2.3512821455033013</v>
      </c>
      <c r="BI36" s="170">
        <f>IF(Escenarios!$E$17&gt;0,BF36/10/Escenarios!$E$19,AL36)</f>
        <v>0</v>
      </c>
      <c r="BJ36" s="170">
        <f>(Escenarios!$E$16*AT36+0.1*BD36)/(Escenarios!$E$19)</f>
        <v>0.14312514622567335</v>
      </c>
      <c r="BK36" s="76">
        <f>BK35+(0.1*BD36)/(Escenarios!$E$19)-BL35</f>
        <v>49.078450436743211</v>
      </c>
      <c r="BL36" s="76">
        <f>MAX(0,(BK36-Constantes!$D$13)*(1-EXP(-Constantes!$D$23)))</f>
        <v>3.2363003840299455E-3</v>
      </c>
      <c r="BM36" s="76">
        <f t="shared" si="8"/>
        <v>0.50626665733299636</v>
      </c>
      <c r="BN36" s="76">
        <f t="shared" si="13"/>
        <v>1.2820934111082942</v>
      </c>
      <c r="BO36" s="76">
        <f>0.0526*BI36*Observaciones!$F35^1.218</f>
        <v>0</v>
      </c>
      <c r="BP36" s="76">
        <f>BO36*Constantes!$E$51</f>
        <v>0</v>
      </c>
      <c r="BQ36" s="76">
        <f t="shared" si="9"/>
        <v>0</v>
      </c>
      <c r="BR36" s="40"/>
    </row>
    <row r="37" spans="1:70">
      <c r="A37" s="147"/>
      <c r="B37" s="39"/>
      <c r="C37" s="75">
        <v>31</v>
      </c>
      <c r="D37" s="146">
        <f>ETo!$I36*((1-Constantes!$E$19)*ETo!$K36+ETo!$L36)</f>
        <v>4.3000915148167351</v>
      </c>
      <c r="E37" s="76">
        <f>MIN(D37*Constantes!$E$17,0.8*(N36+Observaciones!$F36-F37-M37-Constantes!$D$14))</f>
        <v>2.1023676888447724</v>
      </c>
      <c r="F37" s="76">
        <f>IF(Observaciones!$F36&gt;0.05*Constantes!$E$18,((Observaciones!$F36-0.05*Constantes!$E$18)^2)/(Observaciones!$F36+0.95*Constantes!$E$18),0)</f>
        <v>0</v>
      </c>
      <c r="G37" s="76">
        <f>IF(Escenarios!$E$11&gt;0,(F37*Escenarios!$E$16*10000)/1000,0)</f>
        <v>0</v>
      </c>
      <c r="H37" s="76">
        <f>IF(Escenarios!$E$11&gt;0,(Observaciones!$F36*Constantes!$E$29)/1000,0)</f>
        <v>31</v>
      </c>
      <c r="I37" s="76">
        <f>IF(Escenarios!$E$11&gt;0,(D37*Constantes!$E$29)/1000,0)</f>
        <v>43.000915148167351</v>
      </c>
      <c r="J37" s="76">
        <f>IF(Escenarios!$E$11&gt;0,MAX(0,G37+H37-I37),0)</f>
        <v>0</v>
      </c>
      <c r="K37" s="76">
        <f>IF(Escenarios!$E$11&gt;0,IF(J37&gt;Constantes!$E$30,1000*((J37-Constantes!$E$30)/(Escenarios!$E$16*10000)),0),F37)</f>
        <v>0</v>
      </c>
      <c r="L37" s="76">
        <f>IF(Escenarios!$E$11&gt;0,I37*1000/Escenarios!$E$16/10000+E37,E37)</f>
        <v>2.1195680549040392</v>
      </c>
      <c r="M37" s="76">
        <f>MAX(0,N36+Observaciones!$F36-K37-Constantes!$D$13)</f>
        <v>0</v>
      </c>
      <c r="N37" s="76">
        <f>N36+Observaciones!$F36-K37-L37-M37-O36</f>
        <v>37.230381330322174</v>
      </c>
      <c r="O37" s="76">
        <f>MAX(0,(N37-Constantes!$D$14)*(1-EXP(-Constantes!$D$22)))</f>
        <v>0.8849871640431769</v>
      </c>
      <c r="P37" s="170">
        <f>P36+(Entradas!$E$83*M37-Q36)/(800*Entradas!$D$25)</f>
        <v>0</v>
      </c>
      <c r="Q37" s="170">
        <f>8000*Entradas!$D$26*P37/Constantes!$E$45</f>
        <v>0</v>
      </c>
      <c r="R37" s="170">
        <f>IF(Escenarios!$E$14&gt;0,K37*Escenarios!$E$13/Escenarios!$E$14,0)</f>
        <v>0</v>
      </c>
      <c r="S37" s="170">
        <f>IF(Escenarios!$E$14&gt;0,Q37*Escenarios!$E$13/Escenarios!$E$14,0)</f>
        <v>0</v>
      </c>
      <c r="T37" s="170">
        <f>IF(Escenarios!$E$14&gt;0,Observaciones!$I36,0)</f>
        <v>0</v>
      </c>
      <c r="U37" s="170">
        <f>IF(Escenarios!$E$14&gt;0,MAX(0,Constantes!$E$36/((Z36+R37+S37+T37+Observaciones!$F36)^2)+Entradas!$E$77),0)</f>
        <v>0.95727358683037078</v>
      </c>
      <c r="V37" s="146">
        <f>IF(ETo!D36&gt;0,ETo!I36*((1-Entradas!$E$81)*ETo!K36+ETo!L36),0)</f>
        <v>3.9288501390092119</v>
      </c>
      <c r="W37" s="170">
        <f>IF(Escenarios!$E$14&gt;0,MIN(V37*1,0.8*(Z36+R37+S37+T37+Observaciones!$F36-U37-Constantes!$E$35)),0)</f>
        <v>3.9288501390092119</v>
      </c>
      <c r="X37" s="170">
        <f>IF(Escenarios!$E$14&gt;0,Observaciones!$J36,0)</f>
        <v>0</v>
      </c>
      <c r="Y37" s="170">
        <f>IF(Escenarios!$E$14&gt;0,MAX(0,Z36+R37+S37+T37+Observaciones!$F36-U37-W37-X37-Constantes!$E$33),0)</f>
        <v>0</v>
      </c>
      <c r="Z37" s="170">
        <f>Z36+R37+S37+T37+Observaciones!$F36-U37-W37-Y37</f>
        <v>66.008188105234879</v>
      </c>
      <c r="AA37" s="170">
        <f>IF(Escenarios!$E$14&gt;0,(Escenarios!$E$13*L37+Escenarios!$E$14*W37)/(Escenarios!$E$16),L37)</f>
        <v>2.3366819049966598</v>
      </c>
      <c r="AB37" s="170">
        <f>IF(Escenarios!$E$14&gt;0,(Escenarios!$E$14*Y37)/(Escenarios!$E$16),K37)</f>
        <v>0</v>
      </c>
      <c r="AC37" s="170">
        <f>IF(Escenarios!$E$14&gt;0,(Escenarios!$E$13*M37+Escenarios!$E$14*U37)/(Escenarios!$E$16),M37)</f>
        <v>0.11487283041964448</v>
      </c>
      <c r="AD37" s="76">
        <f t="shared" si="1"/>
        <v>99.414130836531456</v>
      </c>
      <c r="AE37" s="76">
        <f>MAX(0,(AD37-Constantes!$D$13)*(1-EXP(-Constantes!$D$23)))</f>
        <v>0.49920574838815296</v>
      </c>
      <c r="AF37" s="76">
        <f>AB37+O37*Escenarios!$E$13/Escenarios!$E$16+AE37</f>
        <v>1.2779944527461486</v>
      </c>
      <c r="AG37" s="76">
        <f>IF(Entradas!$E$91&gt;0,IF(AF37-Escenarios!$E$38&lt;=0,0,IF(AF37-Escenarios!$E$38&gt;Escenarios!$E$37,Escenarios!$E$37,AF37-Escenarios!$E$38)),0)</f>
        <v>0</v>
      </c>
      <c r="AH37" s="76">
        <f>AG37*Entradas!$E$99</f>
        <v>0</v>
      </c>
      <c r="AI37" s="76">
        <f>IF(Entradas!$E$91&gt;0,D37*Entradas!$D$23/Escenarios!$E$16,0)</f>
        <v>0</v>
      </c>
      <c r="AJ37" s="76">
        <f>IF(Entradas!$E$91&gt;0,Entradas!$D$24*Entradas!$D$22/Escenarios!$E$16,0)</f>
        <v>0</v>
      </c>
      <c r="AK37" s="76">
        <f t="shared" si="10"/>
        <v>2.3366819049966598</v>
      </c>
      <c r="AL37" s="76">
        <f t="shared" si="11"/>
        <v>0</v>
      </c>
      <c r="AM37" s="76">
        <f t="shared" si="2"/>
        <v>0</v>
      </c>
      <c r="AN37" s="76">
        <f>MAX(0,O37*Escenarios!$E$13/Escenarios!$E$16-AM37)</f>
        <v>0.77878870435799574</v>
      </c>
      <c r="AO37" s="76">
        <f>AM37+AN37-O37*Escenarios!$E$13/Escenarios!$E$16</f>
        <v>0</v>
      </c>
      <c r="AP37" s="76">
        <f t="shared" si="0"/>
        <v>0.49920574838815296</v>
      </c>
      <c r="AQ37" s="76">
        <f t="shared" si="3"/>
        <v>0</v>
      </c>
      <c r="AR37" s="76">
        <f t="shared" si="4"/>
        <v>1.2779944527461486</v>
      </c>
      <c r="AS37" s="76">
        <f t="shared" si="5"/>
        <v>0</v>
      </c>
      <c r="AT37" s="76">
        <f t="shared" si="6"/>
        <v>0.11487283041964448</v>
      </c>
      <c r="AU37" s="76">
        <f t="shared" si="7"/>
        <v>48.75</v>
      </c>
      <c r="AV37" s="76">
        <f>MAX(0,(AU37-Constantes!$D$13)*(1-EXP(-Constantes!$D$24)))</f>
        <v>0</v>
      </c>
      <c r="AW37" s="170">
        <f>AW36+(Entradas!$E$112*AT37-AX36)/(800*Entradas!$D$25)</f>
        <v>0</v>
      </c>
      <c r="AX37" s="170">
        <f>8000*Entradas!$D$26*AW37/Constantes!$E$45</f>
        <v>0</v>
      </c>
      <c r="AY37" s="170">
        <f>IF(Escenarios!$E$17&gt;0,10*Escenarios!$E$16*AL37,0)</f>
        <v>0</v>
      </c>
      <c r="AZ37" s="170">
        <f>IF(Escenarios!$E$17&gt;0,10*Escenarios!$E$16*AX37,0)</f>
        <v>0</v>
      </c>
      <c r="BA37" s="170">
        <f>IF(Escenarios!$E$17&gt;0,0.001*Observaciones!$F36*Escenarios!$E$17,0)</f>
        <v>62.000000000000007</v>
      </c>
      <c r="BB37" s="170">
        <f>IF(Escenarios!$E$17&gt;0,Observaciones!$K36,0)</f>
        <v>0</v>
      </c>
      <c r="BC37" s="170">
        <f>IF(Escenarios!$E$17&gt;0,MIN(0.0005*ETo!$M36*Escenarios!$E$17*(BG36/Constantes!$E$40)^(2/3),BG36+AY37+AZ37+BA37+BB37),0)</f>
        <v>25.521769304043058</v>
      </c>
      <c r="BD37" s="170">
        <f>IF(Escenarios!$E$17&gt;0,MIN(Constantes!$E$39*(BG36/Constantes!$E$40)^(2/3),BG36+AY37+AZ37+BA37+BB37-BC37),0)</f>
        <v>41.802553833358004</v>
      </c>
      <c r="BE37" s="170">
        <f>IF(Escenarios!$E$17&gt;0,MIN(Entradas!$E$113,BG36+AY37+AZ37+BA37+BB37-BC37-BD37),0)</f>
        <v>1</v>
      </c>
      <c r="BF37" s="170">
        <f>IF(Escenarios!$E$17&gt;0,MAX(0,BG36+AY37+AZ37+BA37+BB37-BC37-BD37-BE37-Constantes!$E$40),0)</f>
        <v>0</v>
      </c>
      <c r="BG37" s="170">
        <f t="shared" si="12"/>
        <v>2511.8047238601343</v>
      </c>
      <c r="BH37" s="170">
        <f>(Escenarios!$E$16*AK37+0.1*BC37)/(Escenarios!$E$19)</f>
        <v>2.3282644967443225</v>
      </c>
      <c r="BI37" s="170">
        <f>IF(Escenarios!$E$17&gt;0,BF37/10/Escenarios!$E$19,AL37)</f>
        <v>0</v>
      </c>
      <c r="BJ37" s="170">
        <f>(Escenarios!$E$16*AT37+0.1*BD37)/(Escenarios!$E$19)</f>
        <v>0.13054945630256715</v>
      </c>
      <c r="BK37" s="76">
        <f>BK36+(0.1*BD37)/(Escenarios!$E$19)-BL36</f>
        <v>49.091802451372416</v>
      </c>
      <c r="BL37" s="76">
        <f>MAX(0,(BK37-Constantes!$D$13)*(1-EXP(-Constantes!$D$23)))</f>
        <v>3.3678609643736247E-3</v>
      </c>
      <c r="BM37" s="76">
        <f t="shared" si="8"/>
        <v>0.5025736093525266</v>
      </c>
      <c r="BN37" s="76">
        <f t="shared" si="13"/>
        <v>1.2813623137105223</v>
      </c>
      <c r="BO37" s="76">
        <f>0.0526*BI37*Observaciones!$F36^1.218</f>
        <v>0</v>
      </c>
      <c r="BP37" s="76">
        <f>BO37*Constantes!$E$51</f>
        <v>0</v>
      </c>
      <c r="BQ37" s="76">
        <f t="shared" si="9"/>
        <v>0</v>
      </c>
      <c r="BR37" s="40"/>
    </row>
    <row r="38" spans="1:70">
      <c r="A38" s="147"/>
      <c r="B38" s="39"/>
      <c r="C38" s="75">
        <v>32</v>
      </c>
      <c r="D38" s="146">
        <f>ETo!$I37*((1-Constantes!$E$19)*ETo!$K37+ETo!$L37)</f>
        <v>4.3750214203415805</v>
      </c>
      <c r="E38" s="76">
        <f>MIN(D38*Constantes!$E$17,0.8*(N37+Observaciones!$F37-F38-M38-Constantes!$D$14))</f>
        <v>2.1390018422716999</v>
      </c>
      <c r="F38" s="76">
        <f>IF(Observaciones!$F37&gt;0.05*Constantes!$E$18,((Observaciones!$F37-0.05*Constantes!$E$18)^2)/(Observaciones!$F37+0.95*Constantes!$E$18),0)</f>
        <v>0</v>
      </c>
      <c r="G38" s="76">
        <f>IF(Escenarios!$E$11&gt;0,(F38*Escenarios!$E$16*10000)/1000,0)</f>
        <v>0</v>
      </c>
      <c r="H38" s="76">
        <f>IF(Escenarios!$E$11&gt;0,(Observaciones!$F37*Constantes!$E$29)/1000,0)</f>
        <v>14</v>
      </c>
      <c r="I38" s="76">
        <f>IF(Escenarios!$E$11&gt;0,(D38*Constantes!$E$29)/1000,0)</f>
        <v>43.750214203415801</v>
      </c>
      <c r="J38" s="76">
        <f>IF(Escenarios!$E$11&gt;0,MAX(0,G38+H38-I38),0)</f>
        <v>0</v>
      </c>
      <c r="K38" s="76">
        <f>IF(Escenarios!$E$11&gt;0,IF(J38&gt;Constantes!$E$30,1000*((J38-Constantes!$E$30)/(Escenarios!$E$16*10000)),0),F38)</f>
        <v>0</v>
      </c>
      <c r="L38" s="76">
        <f>IF(Escenarios!$E$11&gt;0,I38*1000/Escenarios!$E$16/10000+E38,E38)</f>
        <v>2.1565019279530664</v>
      </c>
      <c r="M38" s="76">
        <f>MAX(0,N37+Observaciones!$F37-K38-Constantes!$D$13)</f>
        <v>0</v>
      </c>
      <c r="N38" s="76">
        <f>N37+Observaciones!$F37-K38-L38-M38-O37</f>
        <v>35.588892238325933</v>
      </c>
      <c r="O38" s="76">
        <f>MAX(0,(N38-Constantes!$D$14)*(1-EXP(-Constantes!$D$22)))</f>
        <v>0.82907201953996301</v>
      </c>
      <c r="P38" s="170">
        <f>P37+(Entradas!$E$83*M38-Q37)/(800*Entradas!$D$25)</f>
        <v>0</v>
      </c>
      <c r="Q38" s="170">
        <f>8000*Entradas!$D$26*P38/Constantes!$E$45</f>
        <v>0</v>
      </c>
      <c r="R38" s="170">
        <f>IF(Escenarios!$E$14&gt;0,K38*Escenarios!$E$13/Escenarios!$E$14,0)</f>
        <v>0</v>
      </c>
      <c r="S38" s="170">
        <f>IF(Escenarios!$E$14&gt;0,Q38*Escenarios!$E$13/Escenarios!$E$14,0)</f>
        <v>0</v>
      </c>
      <c r="T38" s="170">
        <f>IF(Escenarios!$E$14&gt;0,Observaciones!$I37,0)</f>
        <v>0</v>
      </c>
      <c r="U38" s="170">
        <f>IF(Escenarios!$E$14&gt;0,MAX(0,Constantes!$E$36/((Z37+R38+S38+T38+Observaciones!$F37)^2)+Entradas!$E$77),0)</f>
        <v>0.74052427658440401</v>
      </c>
      <c r="V38" s="146">
        <f>IF(ETo!D37&gt;0,ETo!I37*((1-Entradas!$E$81)*ETo!K37+ETo!L37),0)</f>
        <v>3.9980823873215012</v>
      </c>
      <c r="W38" s="170">
        <f>IF(Escenarios!$E$14&gt;0,MIN(V38*1,0.8*(Z37+R38+S38+T38+Observaciones!$F37-U38-Constantes!$E$35)),0)</f>
        <v>3.9980823873215012</v>
      </c>
      <c r="X38" s="170">
        <f>IF(Escenarios!$E$14&gt;0,Observaciones!$J37,0)</f>
        <v>0</v>
      </c>
      <c r="Y38" s="170">
        <f>IF(Escenarios!$E$14&gt;0,MAX(0,Z37+R38+S38+T38+Observaciones!$F37-U38-W38-X38-Constantes!$E$33),0)</f>
        <v>0</v>
      </c>
      <c r="Z38" s="170">
        <f>Z37+R38+S38+T38+Observaciones!$F37-U38-W38-Y38</f>
        <v>62.669581441328972</v>
      </c>
      <c r="AA38" s="170">
        <f>IF(Escenarios!$E$14&gt;0,(Escenarios!$E$13*L38+Escenarios!$E$14*W38)/(Escenarios!$E$16),L38)</f>
        <v>2.3774915830772785</v>
      </c>
      <c r="AB38" s="170">
        <f>IF(Escenarios!$E$14&gt;0,(Escenarios!$E$14*Y38)/(Escenarios!$E$16),K38)</f>
        <v>0</v>
      </c>
      <c r="AC38" s="170">
        <f>IF(Escenarios!$E$14&gt;0,(Escenarios!$E$13*M38+Escenarios!$E$14*U38)/(Escenarios!$E$16),M38)</f>
        <v>8.8862913190128484E-2</v>
      </c>
      <c r="AD38" s="76">
        <f t="shared" si="1"/>
        <v>99.003788001333433</v>
      </c>
      <c r="AE38" s="76">
        <f>MAX(0,(AD38-Constantes!$D$13)*(1-EXP(-Constantes!$D$23)))</f>
        <v>0.49516254269689813</v>
      </c>
      <c r="AF38" s="76">
        <f>AB38+O38*Escenarios!$E$13/Escenarios!$E$16+AE38</f>
        <v>1.2247459198920656</v>
      </c>
      <c r="AG38" s="76">
        <f>IF(Entradas!$E$91&gt;0,IF(AF38-Escenarios!$E$38&lt;=0,0,IF(AF38-Escenarios!$E$38&gt;Escenarios!$E$37,Escenarios!$E$37,AF38-Escenarios!$E$38)),0)</f>
        <v>0</v>
      </c>
      <c r="AH38" s="76">
        <f>AG38*Entradas!$E$99</f>
        <v>0</v>
      </c>
      <c r="AI38" s="76">
        <f>IF(Entradas!$E$91&gt;0,D38*Entradas!$D$23/Escenarios!$E$16,0)</f>
        <v>0</v>
      </c>
      <c r="AJ38" s="76">
        <f>IF(Entradas!$E$91&gt;0,Entradas!$D$24*Entradas!$D$22/Escenarios!$E$16,0)</f>
        <v>0</v>
      </c>
      <c r="AK38" s="76">
        <f t="shared" si="10"/>
        <v>2.3774915830772785</v>
      </c>
      <c r="AL38" s="76">
        <f t="shared" si="11"/>
        <v>0</v>
      </c>
      <c r="AM38" s="76">
        <f t="shared" si="2"/>
        <v>0</v>
      </c>
      <c r="AN38" s="76">
        <f>MAX(0,O38*Escenarios!$E$13/Escenarios!$E$16-AM38)</f>
        <v>0.72958337719516753</v>
      </c>
      <c r="AO38" s="76">
        <f>AM38+AN38-O38*Escenarios!$E$13/Escenarios!$E$16</f>
        <v>0</v>
      </c>
      <c r="AP38" s="76">
        <f t="shared" si="0"/>
        <v>0.49516254269689813</v>
      </c>
      <c r="AQ38" s="76">
        <f t="shared" si="3"/>
        <v>0</v>
      </c>
      <c r="AR38" s="76">
        <f t="shared" si="4"/>
        <v>1.2247459198920656</v>
      </c>
      <c r="AS38" s="76">
        <f t="shared" si="5"/>
        <v>0</v>
      </c>
      <c r="AT38" s="76">
        <f t="shared" si="6"/>
        <v>8.8862913190128484E-2</v>
      </c>
      <c r="AU38" s="76">
        <f t="shared" si="7"/>
        <v>48.75</v>
      </c>
      <c r="AV38" s="76">
        <f>MAX(0,(AU38-Constantes!$D$13)*(1-EXP(-Constantes!$D$24)))</f>
        <v>0</v>
      </c>
      <c r="AW38" s="170">
        <f>AW37+(Entradas!$E$112*AT38-AX37)/(800*Entradas!$D$25)</f>
        <v>0</v>
      </c>
      <c r="AX38" s="170">
        <f>8000*Entradas!$D$26*AW38/Constantes!$E$45</f>
        <v>0</v>
      </c>
      <c r="AY38" s="170">
        <f>IF(Escenarios!$E$17&gt;0,10*Escenarios!$E$16*AL38,0)</f>
        <v>0</v>
      </c>
      <c r="AZ38" s="170">
        <f>IF(Escenarios!$E$17&gt;0,10*Escenarios!$E$16*AX38,0)</f>
        <v>0</v>
      </c>
      <c r="BA38" s="170">
        <f>IF(Escenarios!$E$17&gt;0,0.001*Observaciones!$F37*Escenarios!$E$17,0)</f>
        <v>28</v>
      </c>
      <c r="BB38" s="170">
        <f>IF(Escenarios!$E$17&gt;0,Observaciones!$K37,0)</f>
        <v>338.0710502155946</v>
      </c>
      <c r="BC38" s="170">
        <f>IF(Escenarios!$E$17&gt;0,MIN(0.0005*ETo!$M37*Escenarios!$E$17*(BG37/Constantes!$E$40)^(2/3),BG37+AY38+AZ38+BA38+BB38),0)</f>
        <v>25.916664773495217</v>
      </c>
      <c r="BD38" s="170">
        <f>IF(Escenarios!$E$17&gt;0,MIN(Constantes!$E$39*(BG37/Constantes!$E$40)^(2/3),BG37+AY38+AZ38+BA38+BB38-BC38),0)</f>
        <v>41.732532628463744</v>
      </c>
      <c r="BE38" s="170">
        <f>IF(Escenarios!$E$17&gt;0,MIN(Entradas!$E$113,BG37+AY38+AZ38+BA38+BB38-BC38-BD38),0)</f>
        <v>1</v>
      </c>
      <c r="BF38" s="170">
        <f>IF(Escenarios!$E$17&gt;0,MAX(0,BG37+AY38+AZ38+BA38+BB38-BC38-BD38-BE38-Constantes!$E$40),0)</f>
        <v>0</v>
      </c>
      <c r="BG38" s="170">
        <f t="shared" si="12"/>
        <v>2809.2265766737705</v>
      </c>
      <c r="BH38" s="170">
        <f>(Escenarios!$E$16*AK38+0.1*BC38)/(Escenarios!$E$19)</f>
        <v>2.3689069930423381</v>
      </c>
      <c r="BI38" s="170">
        <f>IF(Escenarios!$E$17&gt;0,BF38/10/Escenarios!$E$19,AL38)</f>
        <v>0</v>
      </c>
      <c r="BJ38" s="170">
        <f>(Escenarios!$E$16*AT38+0.1*BD38)/(Escenarios!$E$19)</f>
        <v>0.10471818079515277</v>
      </c>
      <c r="BK38" s="76">
        <f>BK37+(0.1*BD38)/(Escenarios!$E$19)-BL37</f>
        <v>49.10499511922886</v>
      </c>
      <c r="BL38" s="76">
        <f>MAX(0,(BK38-Constantes!$D$13)*(1-EXP(-Constantes!$D$23)))</f>
        <v>3.4978514630118395E-3</v>
      </c>
      <c r="BM38" s="76">
        <f t="shared" si="8"/>
        <v>0.49866039415990998</v>
      </c>
      <c r="BN38" s="76">
        <f t="shared" si="13"/>
        <v>1.2282437713550773</v>
      </c>
      <c r="BO38" s="76">
        <f>0.0526*BI38*Observaciones!$F37^1.218</f>
        <v>0</v>
      </c>
      <c r="BP38" s="76">
        <f>BO38*Constantes!$E$51</f>
        <v>0</v>
      </c>
      <c r="BQ38" s="76">
        <f t="shared" si="9"/>
        <v>0</v>
      </c>
      <c r="BR38" s="40"/>
    </row>
    <row r="39" spans="1:70">
      <c r="A39" s="147"/>
      <c r="B39" s="39"/>
      <c r="C39" s="75">
        <v>33</v>
      </c>
      <c r="D39" s="146">
        <f>ETo!$I38*((1-Constantes!$E$19)*ETo!$K38+ETo!$L38)</f>
        <v>4.4768371066037984</v>
      </c>
      <c r="E39" s="76">
        <f>MIN(D39*Constantes!$E$17,0.8*(N38+Observaciones!$F38-F39-M39-Constantes!$D$14))</f>
        <v>2.1887807849471481</v>
      </c>
      <c r="F39" s="76">
        <f>IF(Observaciones!$F38&gt;0.05*Constantes!$E$18,((Observaciones!$F38-0.05*Constantes!$E$18)^2)/(Observaciones!$F38+0.95*Constantes!$E$18),0)</f>
        <v>0</v>
      </c>
      <c r="G39" s="76">
        <f>IF(Escenarios!$E$11&gt;0,(F39*Escenarios!$E$16*10000)/1000,0)</f>
        <v>0</v>
      </c>
      <c r="H39" s="76">
        <f>IF(Escenarios!$E$11&gt;0,(Observaciones!$F38*Constantes!$E$29)/1000,0)</f>
        <v>22</v>
      </c>
      <c r="I39" s="76">
        <f>IF(Escenarios!$E$11&gt;0,(D39*Constantes!$E$29)/1000,0)</f>
        <v>44.768371066037986</v>
      </c>
      <c r="J39" s="76">
        <f>IF(Escenarios!$E$11&gt;0,MAX(0,G39+H39-I39),0)</f>
        <v>0</v>
      </c>
      <c r="K39" s="76">
        <f>IF(Escenarios!$E$11&gt;0,IF(J39&gt;Constantes!$E$30,1000*((J39-Constantes!$E$30)/(Escenarios!$E$16*10000)),0),F39)</f>
        <v>0</v>
      </c>
      <c r="L39" s="76">
        <f>IF(Escenarios!$E$11&gt;0,I39*1000/Escenarios!$E$16/10000+E39,E39)</f>
        <v>2.2066881333735635</v>
      </c>
      <c r="M39" s="76">
        <f>MAX(0,N38+Observaciones!$F38-K39-Constantes!$D$13)</f>
        <v>0</v>
      </c>
      <c r="N39" s="76">
        <f>N38+Observaciones!$F38-K39-L39-M39-O38</f>
        <v>34.75313208541241</v>
      </c>
      <c r="O39" s="76">
        <f>MAX(0,(N39-Constantes!$D$14)*(1-EXP(-Constantes!$D$22)))</f>
        <v>0.80060296059339608</v>
      </c>
      <c r="P39" s="170">
        <f>P38+(Entradas!$E$83*M39-Q38)/(800*Entradas!$D$25)</f>
        <v>0</v>
      </c>
      <c r="Q39" s="170">
        <f>8000*Entradas!$D$26*P39/Constantes!$E$45</f>
        <v>0</v>
      </c>
      <c r="R39" s="170">
        <f>IF(Escenarios!$E$14&gt;0,K39*Escenarios!$E$13/Escenarios!$E$14,0)</f>
        <v>0</v>
      </c>
      <c r="S39" s="170">
        <f>IF(Escenarios!$E$14&gt;0,Q39*Escenarios!$E$13/Escenarios!$E$14,0)</f>
        <v>0</v>
      </c>
      <c r="T39" s="170">
        <f>IF(Escenarios!$E$14&gt;0,Observaciones!$I38,0)</f>
        <v>0</v>
      </c>
      <c r="U39" s="170">
        <f>IF(Escenarios!$E$14&gt;0,MAX(0,Constantes!$E$36/((Z38+R39+S39+T39+Observaciones!$F38)^2)+Entradas!$E$77),0)</f>
        <v>0.56021927790509451</v>
      </c>
      <c r="V39" s="146">
        <f>IF(ETo!D38&gt;0,ETo!I38*((1-Entradas!$E$81)*ETo!K38+ETo!L38),0)</f>
        <v>4.0923706150738752</v>
      </c>
      <c r="W39" s="170">
        <f>IF(Escenarios!$E$14&gt;0,MIN(V39*1,0.8*(Z38+R39+S39+T39+Observaciones!$F38-U39-Constantes!$E$35)),0)</f>
        <v>4.0923706150738752</v>
      </c>
      <c r="X39" s="170">
        <f>IF(Escenarios!$E$14&gt;0,Observaciones!$J38,0)</f>
        <v>0</v>
      </c>
      <c r="Y39" s="170">
        <f>IF(Escenarios!$E$14&gt;0,MAX(0,Z38+R39+S39+T39+Observaciones!$F38-U39-W39-X39-Constantes!$E$33),0)</f>
        <v>0</v>
      </c>
      <c r="Z39" s="170">
        <f>Z38+R39+S39+T39+Observaciones!$F38-U39-W39-Y39</f>
        <v>60.216991548350009</v>
      </c>
      <c r="AA39" s="170">
        <f>IF(Escenarios!$E$14&gt;0,(Escenarios!$E$13*L39+Escenarios!$E$14*W39)/(Escenarios!$E$16),L39)</f>
        <v>2.432970031177601</v>
      </c>
      <c r="AB39" s="170">
        <f>IF(Escenarios!$E$14&gt;0,(Escenarios!$E$14*Y39)/(Escenarios!$E$16),K39)</f>
        <v>0</v>
      </c>
      <c r="AC39" s="170">
        <f>IF(Escenarios!$E$14&gt;0,(Escenarios!$E$13*M39+Escenarios!$E$14*U39)/(Escenarios!$E$16),M39)</f>
        <v>6.7226313348611344E-2</v>
      </c>
      <c r="AD39" s="76">
        <f t="shared" si="1"/>
        <v>98.575851771985143</v>
      </c>
      <c r="AE39" s="76">
        <f>MAX(0,(AD39-Constantes!$D$13)*(1-EXP(-Constantes!$D$23)))</f>
        <v>0.49094598510266063</v>
      </c>
      <c r="AF39" s="76">
        <f>AB39+O39*Escenarios!$E$13/Escenarios!$E$16+AE39</f>
        <v>1.1954765904248492</v>
      </c>
      <c r="AG39" s="76">
        <f>IF(Entradas!$E$91&gt;0,IF(AF39-Escenarios!$E$38&lt;=0,0,IF(AF39-Escenarios!$E$38&gt;Escenarios!$E$37,Escenarios!$E$37,AF39-Escenarios!$E$38)),0)</f>
        <v>0</v>
      </c>
      <c r="AH39" s="76">
        <f>AG39*Entradas!$E$99</f>
        <v>0</v>
      </c>
      <c r="AI39" s="76">
        <f>IF(Entradas!$E$91&gt;0,D39*Entradas!$D$23/Escenarios!$E$16,0)</f>
        <v>0</v>
      </c>
      <c r="AJ39" s="76">
        <f>IF(Entradas!$E$91&gt;0,Entradas!$D$24*Entradas!$D$22/Escenarios!$E$16,0)</f>
        <v>0</v>
      </c>
      <c r="AK39" s="76">
        <f t="shared" si="10"/>
        <v>2.432970031177601</v>
      </c>
      <c r="AL39" s="76">
        <f t="shared" si="11"/>
        <v>0</v>
      </c>
      <c r="AM39" s="76">
        <f t="shared" si="2"/>
        <v>0</v>
      </c>
      <c r="AN39" s="76">
        <f>MAX(0,O39*Escenarios!$E$13/Escenarios!$E$16-AM39)</f>
        <v>0.70453060532218859</v>
      </c>
      <c r="AO39" s="76">
        <f>AM39+AN39-O39*Escenarios!$E$13/Escenarios!$E$16</f>
        <v>0</v>
      </c>
      <c r="AP39" s="76">
        <f t="shared" si="0"/>
        <v>0.49094598510266063</v>
      </c>
      <c r="AQ39" s="76">
        <f t="shared" si="3"/>
        <v>0</v>
      </c>
      <c r="AR39" s="76">
        <f t="shared" si="4"/>
        <v>1.1954765904248492</v>
      </c>
      <c r="AS39" s="76">
        <f t="shared" si="5"/>
        <v>0</v>
      </c>
      <c r="AT39" s="76">
        <f t="shared" si="6"/>
        <v>6.7226313348611344E-2</v>
      </c>
      <c r="AU39" s="76">
        <f t="shared" si="7"/>
        <v>48.75</v>
      </c>
      <c r="AV39" s="76">
        <f>MAX(0,(AU39-Constantes!$D$13)*(1-EXP(-Constantes!$D$24)))</f>
        <v>0</v>
      </c>
      <c r="AW39" s="170">
        <f>AW38+(Entradas!$E$112*AT39-AX38)/(800*Entradas!$D$25)</f>
        <v>0</v>
      </c>
      <c r="AX39" s="170">
        <f>8000*Entradas!$D$26*AW39/Constantes!$E$45</f>
        <v>0</v>
      </c>
      <c r="AY39" s="170">
        <f>IF(Escenarios!$E$17&gt;0,10*Escenarios!$E$16*AL39,0)</f>
        <v>0</v>
      </c>
      <c r="AZ39" s="170">
        <f>IF(Escenarios!$E$17&gt;0,10*Escenarios!$E$16*AX39,0)</f>
        <v>0</v>
      </c>
      <c r="BA39" s="170">
        <f>IF(Escenarios!$E$17&gt;0,0.001*Observaciones!$F38*Escenarios!$E$17,0)</f>
        <v>44</v>
      </c>
      <c r="BB39" s="170">
        <f>IF(Escenarios!$E$17&gt;0,Observaciones!$K38,0)</f>
        <v>0</v>
      </c>
      <c r="BC39" s="170">
        <f>IF(Escenarios!$E$17&gt;0,MIN(0.0005*ETo!$M38*Escenarios!$E$17*(BG38/Constantes!$E$40)^(2/3),BG38+AY39+AZ39+BA39+BB39),0)</f>
        <v>28.562977042269374</v>
      </c>
      <c r="BD39" s="170">
        <f>IF(Escenarios!$E$17&gt;0,MIN(Constantes!$E$39*(BG38/Constantes!$E$40)^(2/3),BG38+AY39+AZ39+BA39+BB39-BC39),0)</f>
        <v>44.965076707886155</v>
      </c>
      <c r="BE39" s="170">
        <f>IF(Escenarios!$E$17&gt;0,MIN(Entradas!$E$113,BG38+AY39+AZ39+BA39+BB39-BC39-BD39),0)</f>
        <v>1</v>
      </c>
      <c r="BF39" s="170">
        <f>IF(Escenarios!$E$17&gt;0,MAX(0,BG38+AY39+AZ39+BA39+BB39-BC39-BD39-BE39-Constantes!$E$40),0)</f>
        <v>0</v>
      </c>
      <c r="BG39" s="170">
        <f t="shared" si="12"/>
        <v>2778.6985229236152</v>
      </c>
      <c r="BH39" s="170">
        <f>(Escenarios!$E$16*AK39+0.1*BC39)/(Escenarios!$E$19)</f>
        <v>2.4249952599151872</v>
      </c>
      <c r="BI39" s="170">
        <f>IF(Escenarios!$E$17&gt;0,BF39/10/Escenarios!$E$19,AL39)</f>
        <v>0</v>
      </c>
      <c r="BJ39" s="170">
        <f>(Escenarios!$E$16*AT39+0.1*BD39)/(Escenarios!$E$19)</f>
        <v>8.4536055587069253E-2</v>
      </c>
      <c r="BK39" s="76">
        <f>BK38+(0.1*BD39)/(Escenarios!$E$19)-BL38</f>
        <v>49.119340552173739</v>
      </c>
      <c r="BL39" s="76">
        <f>MAX(0,(BK39-Constantes!$D$13)*(1-EXP(-Constantes!$D$23)))</f>
        <v>3.6392004306336533E-3</v>
      </c>
      <c r="BM39" s="76">
        <f t="shared" si="8"/>
        <v>0.49458518553329428</v>
      </c>
      <c r="BN39" s="76">
        <f t="shared" si="13"/>
        <v>1.1991157908554828</v>
      </c>
      <c r="BO39" s="76">
        <f>0.0526*BI39*Observaciones!$F38^1.218</f>
        <v>0</v>
      </c>
      <c r="BP39" s="76">
        <f>BO39*Constantes!$E$51</f>
        <v>0</v>
      </c>
      <c r="BQ39" s="76">
        <f t="shared" si="9"/>
        <v>0</v>
      </c>
      <c r="BR39" s="40"/>
    </row>
    <row r="40" spans="1:70">
      <c r="A40" s="147"/>
      <c r="B40" s="39"/>
      <c r="C40" s="75">
        <v>34</v>
      </c>
      <c r="D40" s="146">
        <f>ETo!$I39*((1-Constantes!$E$19)*ETo!$K39+ETo!$L39)</f>
        <v>4.537749423958922</v>
      </c>
      <c r="E40" s="76">
        <f>MIN(D40*Constantes!$E$17,0.8*(N39+Observaciones!$F39-F40-M40-Constantes!$D$14))</f>
        <v>2.2185615669186056</v>
      </c>
      <c r="F40" s="76">
        <f>IF(Observaciones!$F39&gt;0.05*Constantes!$E$18,((Observaciones!$F39-0.05*Constantes!$E$18)^2)/(Observaciones!$F39+0.95*Constantes!$E$18),0)</f>
        <v>0</v>
      </c>
      <c r="G40" s="76">
        <f>IF(Escenarios!$E$11&gt;0,(F40*Escenarios!$E$16*10000)/1000,0)</f>
        <v>0</v>
      </c>
      <c r="H40" s="76">
        <f>IF(Escenarios!$E$11&gt;0,(Observaciones!$F39*Constantes!$E$29)/1000,0)</f>
        <v>0</v>
      </c>
      <c r="I40" s="76">
        <f>IF(Escenarios!$E$11&gt;0,(D40*Constantes!$E$29)/1000,0)</f>
        <v>45.377494239589218</v>
      </c>
      <c r="J40" s="76">
        <f>IF(Escenarios!$E$11&gt;0,MAX(0,G40+H40-I40),0)</f>
        <v>0</v>
      </c>
      <c r="K40" s="76">
        <f>IF(Escenarios!$E$11&gt;0,IF(J40&gt;Constantes!$E$30,1000*((J40-Constantes!$E$30)/(Escenarios!$E$16*10000)),0),F40)</f>
        <v>0</v>
      </c>
      <c r="L40" s="76">
        <f>IF(Escenarios!$E$11&gt;0,I40*1000/Escenarios!$E$16/10000+E40,E40)</f>
        <v>2.2367125646144412</v>
      </c>
      <c r="M40" s="76">
        <f>MAX(0,N39+Observaciones!$F39-K40-Constantes!$D$13)</f>
        <v>0</v>
      </c>
      <c r="N40" s="76">
        <f>N39+Observaciones!$F39-K40-L40-M40-O39</f>
        <v>31.715816560204573</v>
      </c>
      <c r="O40" s="76">
        <f>MAX(0,(N40-Constantes!$D$14)*(1-EXP(-Constantes!$D$22)))</f>
        <v>0.69714084359125639</v>
      </c>
      <c r="P40" s="170">
        <f>P39+(Entradas!$E$83*M40-Q39)/(800*Entradas!$D$25)</f>
        <v>0</v>
      </c>
      <c r="Q40" s="170">
        <f>8000*Entradas!$D$26*P40/Constantes!$E$45</f>
        <v>0</v>
      </c>
      <c r="R40" s="170">
        <f>IF(Escenarios!$E$14&gt;0,K40*Escenarios!$E$13/Escenarios!$E$14,0)</f>
        <v>0</v>
      </c>
      <c r="S40" s="170">
        <f>IF(Escenarios!$E$14&gt;0,Q40*Escenarios!$E$13/Escenarios!$E$14,0)</f>
        <v>0</v>
      </c>
      <c r="T40" s="170">
        <f>IF(Escenarios!$E$14&gt;0,Observaciones!$I39,0)</f>
        <v>0</v>
      </c>
      <c r="U40" s="170">
        <f>IF(Escenarios!$E$14&gt;0,MAX(0,Constantes!$E$36/((Z39+R40+S40+T40+Observaciones!$F39)^2)+Entradas!$E$77),0)</f>
        <v>0.16864139499339581</v>
      </c>
      <c r="V40" s="146">
        <f>IF(ETo!D39&gt;0,ETo!I39*((1-Entradas!$E$81)*ETo!K39+ETo!L39),0)</f>
        <v>4.148889179746317</v>
      </c>
      <c r="W40" s="170">
        <f>IF(Escenarios!$E$14&gt;0,MIN(V40*1,0.8*(Z39+R40+S40+T40+Observaciones!$F39-U40-Constantes!$E$35)),0)</f>
        <v>4.148889179746317</v>
      </c>
      <c r="X40" s="170">
        <f>IF(Escenarios!$E$14&gt;0,Observaciones!$J39,0)</f>
        <v>0</v>
      </c>
      <c r="Y40" s="170">
        <f>IF(Escenarios!$E$14&gt;0,MAX(0,Z39+R40+S40+T40+Observaciones!$F39-U40-W40-X40-Constantes!$E$33),0)</f>
        <v>0</v>
      </c>
      <c r="Z40" s="170">
        <f>Z39+R40+S40+T40+Observaciones!$F39-U40-W40-Y40</f>
        <v>55.899460973610296</v>
      </c>
      <c r="AA40" s="170">
        <f>IF(Escenarios!$E$14&gt;0,(Escenarios!$E$13*L40+Escenarios!$E$14*W40)/(Escenarios!$E$16),L40)</f>
        <v>2.4661737584302665</v>
      </c>
      <c r="AB40" s="170">
        <f>IF(Escenarios!$E$14&gt;0,(Escenarios!$E$14*Y40)/(Escenarios!$E$16),K40)</f>
        <v>0</v>
      </c>
      <c r="AC40" s="170">
        <f>IF(Escenarios!$E$14&gt;0,(Escenarios!$E$13*M40+Escenarios!$E$14*U40)/(Escenarios!$E$16),M40)</f>
        <v>2.0236967399207498E-2</v>
      </c>
      <c r="AD40" s="76">
        <f t="shared" si="1"/>
        <v>98.105142754281701</v>
      </c>
      <c r="AE40" s="76">
        <f>MAX(0,(AD40-Constantes!$D$13)*(1-EXP(-Constantes!$D$23)))</f>
        <v>0.4863079770370754</v>
      </c>
      <c r="AF40" s="76">
        <f>AB40+O40*Escenarios!$E$13/Escenarios!$E$16+AE40</f>
        <v>1.0997919193973811</v>
      </c>
      <c r="AG40" s="76">
        <f>IF(Entradas!$E$91&gt;0,IF(AF40-Escenarios!$E$38&lt;=0,0,IF(AF40-Escenarios!$E$38&gt;Escenarios!$E$37,Escenarios!$E$37,AF40-Escenarios!$E$38)),0)</f>
        <v>0</v>
      </c>
      <c r="AH40" s="76">
        <f>AG40*Entradas!$E$99</f>
        <v>0</v>
      </c>
      <c r="AI40" s="76">
        <f>IF(Entradas!$E$91&gt;0,D40*Entradas!$D$23/Escenarios!$E$16,0)</f>
        <v>0</v>
      </c>
      <c r="AJ40" s="76">
        <f>IF(Entradas!$E$91&gt;0,Entradas!$D$24*Entradas!$D$22/Escenarios!$E$16,0)</f>
        <v>0</v>
      </c>
      <c r="AK40" s="76">
        <f t="shared" si="10"/>
        <v>2.4661737584302665</v>
      </c>
      <c r="AL40" s="76">
        <f t="shared" si="11"/>
        <v>0</v>
      </c>
      <c r="AM40" s="76">
        <f t="shared" si="2"/>
        <v>0</v>
      </c>
      <c r="AN40" s="76">
        <f>MAX(0,O40*Escenarios!$E$13/Escenarios!$E$16-AM40)</f>
        <v>0.61348394236030557</v>
      </c>
      <c r="AO40" s="76">
        <f>AM40+AN40-O40*Escenarios!$E$13/Escenarios!$E$16</f>
        <v>0</v>
      </c>
      <c r="AP40" s="76">
        <f t="shared" si="0"/>
        <v>0.4863079770370754</v>
      </c>
      <c r="AQ40" s="76">
        <f t="shared" si="3"/>
        <v>0</v>
      </c>
      <c r="AR40" s="76">
        <f t="shared" si="4"/>
        <v>1.0997919193973811</v>
      </c>
      <c r="AS40" s="76">
        <f t="shared" si="5"/>
        <v>0</v>
      </c>
      <c r="AT40" s="76">
        <f t="shared" si="6"/>
        <v>2.0236967399207498E-2</v>
      </c>
      <c r="AU40" s="76">
        <f t="shared" si="7"/>
        <v>48.75</v>
      </c>
      <c r="AV40" s="76">
        <f>MAX(0,(AU40-Constantes!$D$13)*(1-EXP(-Constantes!$D$24)))</f>
        <v>0</v>
      </c>
      <c r="AW40" s="170">
        <f>AW39+(Entradas!$E$112*AT40-AX39)/(800*Entradas!$D$25)</f>
        <v>0</v>
      </c>
      <c r="AX40" s="170">
        <f>8000*Entradas!$D$26*AW40/Constantes!$E$45</f>
        <v>0</v>
      </c>
      <c r="AY40" s="170">
        <f>IF(Escenarios!$E$17&gt;0,10*Escenarios!$E$16*AL40,0)</f>
        <v>0</v>
      </c>
      <c r="AZ40" s="170">
        <f>IF(Escenarios!$E$17&gt;0,10*Escenarios!$E$16*AX40,0)</f>
        <v>0</v>
      </c>
      <c r="BA40" s="170">
        <f>IF(Escenarios!$E$17&gt;0,0.001*Observaciones!$F39*Escenarios!$E$17,0)</f>
        <v>0</v>
      </c>
      <c r="BB40" s="170">
        <f>IF(Escenarios!$E$17&gt;0,Observaciones!$K39,0)</f>
        <v>0</v>
      </c>
      <c r="BC40" s="170">
        <f>IF(Escenarios!$E$17&gt;0,MIN(0.0005*ETo!$M39*Escenarios!$E$17*(BG39/Constantes!$E$40)^(2/3),BG39+AY40+AZ40+BA40+BB40),0)</f>
        <v>28.734128267337343</v>
      </c>
      <c r="BD40" s="170">
        <f>IF(Escenarios!$E$17&gt;0,MIN(Constantes!$E$39*(BG39/Constantes!$E$40)^(2/3),BG39+AY40+AZ40+BA40+BB40-BC40),0)</f>
        <v>44.638724828294364</v>
      </c>
      <c r="BE40" s="170">
        <f>IF(Escenarios!$E$17&gt;0,MIN(Entradas!$E$113,BG39+AY40+AZ40+BA40+BB40-BC40-BD40),0)</f>
        <v>1</v>
      </c>
      <c r="BF40" s="170">
        <f>IF(Escenarios!$E$17&gt;0,MAX(0,BG39+AY40+AZ40+BA40+BB40-BC40-BD40-BE40-Constantes!$E$40),0)</f>
        <v>0</v>
      </c>
      <c r="BG40" s="170">
        <f t="shared" si="12"/>
        <v>2704.3256698279833</v>
      </c>
      <c r="BH40" s="170">
        <f>(Escenarios!$E$16*AK40+0.1*BC40)/(Escenarios!$E$19)</f>
        <v>2.4580033826757952</v>
      </c>
      <c r="BI40" s="170">
        <f>IF(Escenarios!$E$17&gt;0,BF40/10/Escenarios!$E$19,AL40)</f>
        <v>0</v>
      </c>
      <c r="BJ40" s="170">
        <f>(Escenarios!$E$16*AT40+0.1*BD40)/(Escenarios!$E$19)</f>
        <v>3.7790136240600437E-2</v>
      </c>
      <c r="BK40" s="76">
        <f>BK39+(0.1*BD40)/(Escenarios!$E$19)-BL39</f>
        <v>49.13341513143687</v>
      </c>
      <c r="BL40" s="76">
        <f>MAX(0,(BK40-Constantes!$D$13)*(1-EXP(-Constantes!$D$23)))</f>
        <v>3.7778806124168837E-3</v>
      </c>
      <c r="BM40" s="76">
        <f t="shared" si="8"/>
        <v>0.49008585764949231</v>
      </c>
      <c r="BN40" s="76">
        <f t="shared" si="13"/>
        <v>1.103569800009798</v>
      </c>
      <c r="BO40" s="76">
        <f>0.0526*BI40*Observaciones!$F39^1.218</f>
        <v>0</v>
      </c>
      <c r="BP40" s="76">
        <f>BO40*Constantes!$E$51</f>
        <v>0</v>
      </c>
      <c r="BQ40" s="76">
        <f t="shared" si="9"/>
        <v>0</v>
      </c>
      <c r="BR40" s="40"/>
    </row>
    <row r="41" spans="1:70">
      <c r="A41" s="147"/>
      <c r="B41" s="39"/>
      <c r="C41" s="75">
        <v>35</v>
      </c>
      <c r="D41" s="146">
        <f>ETo!$I40*((1-Constantes!$E$19)*ETo!$K40+ETo!$L40)</f>
        <v>4.3951622468278115</v>
      </c>
      <c r="E41" s="76">
        <f>MIN(D41*Constantes!$E$17,0.8*(N40+Observaciones!$F40-F41-M41-Constantes!$D$14))</f>
        <v>2.1488489403358644</v>
      </c>
      <c r="F41" s="76">
        <f>IF(Observaciones!$F40&gt;0.05*Constantes!$E$18,((Observaciones!$F40-0.05*Constantes!$E$18)^2)/(Observaciones!$F40+0.95*Constantes!$E$18),0)</f>
        <v>0</v>
      </c>
      <c r="G41" s="76">
        <f>IF(Escenarios!$E$11&gt;0,(F41*Escenarios!$E$16*10000)/1000,0)</f>
        <v>0</v>
      </c>
      <c r="H41" s="76">
        <f>IF(Escenarios!$E$11&gt;0,(Observaciones!$F40*Constantes!$E$29)/1000,0)</f>
        <v>33</v>
      </c>
      <c r="I41" s="76">
        <f>IF(Escenarios!$E$11&gt;0,(D41*Constantes!$E$29)/1000,0)</f>
        <v>43.951622468278117</v>
      </c>
      <c r="J41" s="76">
        <f>IF(Escenarios!$E$11&gt;0,MAX(0,G41+H41-I41),0)</f>
        <v>0</v>
      </c>
      <c r="K41" s="76">
        <f>IF(Escenarios!$E$11&gt;0,IF(J41&gt;Constantes!$E$30,1000*((J41-Constantes!$E$30)/(Escenarios!$E$16*10000)),0),F41)</f>
        <v>0</v>
      </c>
      <c r="L41" s="76">
        <f>IF(Escenarios!$E$11&gt;0,I41*1000/Escenarios!$E$16/10000+E41,E41)</f>
        <v>2.1664295893231755</v>
      </c>
      <c r="M41" s="76">
        <f>MAX(0,N40+Observaciones!$F40-K41-Constantes!$D$13)</f>
        <v>0</v>
      </c>
      <c r="N41" s="76">
        <f>N40+Observaciones!$F40-K41-L41-M41-O40</f>
        <v>32.152246127290141</v>
      </c>
      <c r="O41" s="76">
        <f>MAX(0,(N41-Constantes!$D$14)*(1-EXP(-Constantes!$D$22)))</f>
        <v>0.71200723681193123</v>
      </c>
      <c r="P41" s="170">
        <f>P40+(Entradas!$E$83*M41-Q40)/(800*Entradas!$D$25)</f>
        <v>0</v>
      </c>
      <c r="Q41" s="170">
        <f>8000*Entradas!$D$26*P41/Constantes!$E$45</f>
        <v>0</v>
      </c>
      <c r="R41" s="170">
        <f>IF(Escenarios!$E$14&gt;0,K41*Escenarios!$E$13/Escenarios!$E$14,0)</f>
        <v>0</v>
      </c>
      <c r="S41" s="170">
        <f>IF(Escenarios!$E$14&gt;0,Q41*Escenarios!$E$13/Escenarios!$E$14,0)</f>
        <v>0</v>
      </c>
      <c r="T41" s="170">
        <f>IF(Escenarios!$E$14&gt;0,Observaciones!$I40,0)</f>
        <v>0</v>
      </c>
      <c r="U41" s="170">
        <f>IF(Escenarios!$E$14&gt;0,MAX(0,Constantes!$E$36/((Z40+R41+S41+T41+Observaciones!$F40)^2)+Entradas!$E$77),0)</f>
        <v>7.0473154539505423E-2</v>
      </c>
      <c r="V41" s="146">
        <f>IF(ETo!D40&gt;0,ETo!I40*((1-Entradas!$E$81)*ETo!K40+ETo!L40),0)</f>
        <v>4.0166448486969974</v>
      </c>
      <c r="W41" s="170">
        <f>IF(Escenarios!$E$14&gt;0,MIN(V41*1,0.8*(Z40+R41+S41+T41+Observaciones!$F40-U41-Constantes!$E$35)),0)</f>
        <v>4.0166448486969974</v>
      </c>
      <c r="X41" s="170">
        <f>IF(Escenarios!$E$14&gt;0,Observaciones!$J40,0)</f>
        <v>0</v>
      </c>
      <c r="Y41" s="170">
        <f>IF(Escenarios!$E$14&gt;0,MAX(0,Z40+R41+S41+T41+Observaciones!$F40-U41-W41-X41-Constantes!$E$33),0)</f>
        <v>0</v>
      </c>
      <c r="Z41" s="170">
        <f>Z40+R41+S41+T41+Observaciones!$F40-U41-W41-Y41</f>
        <v>55.112342970373788</v>
      </c>
      <c r="AA41" s="170">
        <f>IF(Escenarios!$E$14&gt;0,(Escenarios!$E$13*L41+Escenarios!$E$14*W41)/(Escenarios!$E$16),L41)</f>
        <v>2.3884554204480342</v>
      </c>
      <c r="AB41" s="170">
        <f>IF(Escenarios!$E$14&gt;0,(Escenarios!$E$14*Y41)/(Escenarios!$E$16),K41)</f>
        <v>0</v>
      </c>
      <c r="AC41" s="170">
        <f>IF(Escenarios!$E$14&gt;0,(Escenarios!$E$13*M41+Escenarios!$E$14*U41)/(Escenarios!$E$16),M41)</f>
        <v>8.45677854474065E-3</v>
      </c>
      <c r="AD41" s="76">
        <f t="shared" si="1"/>
        <v>97.62729155578937</v>
      </c>
      <c r="AE41" s="76">
        <f>MAX(0,(AD41-Constantes!$D$13)*(1-EXP(-Constantes!$D$23)))</f>
        <v>0.48159959536304231</v>
      </c>
      <c r="AF41" s="76">
        <f>AB41+O41*Escenarios!$E$13/Escenarios!$E$16+AE41</f>
        <v>1.1081659637575418</v>
      </c>
      <c r="AG41" s="76">
        <f>IF(Entradas!$E$91&gt;0,IF(AF41-Escenarios!$E$38&lt;=0,0,IF(AF41-Escenarios!$E$38&gt;Escenarios!$E$37,Escenarios!$E$37,AF41-Escenarios!$E$38)),0)</f>
        <v>0</v>
      </c>
      <c r="AH41" s="76">
        <f>AG41*Entradas!$E$99</f>
        <v>0</v>
      </c>
      <c r="AI41" s="76">
        <f>IF(Entradas!$E$91&gt;0,D41*Entradas!$D$23/Escenarios!$E$16,0)</f>
        <v>0</v>
      </c>
      <c r="AJ41" s="76">
        <f>IF(Entradas!$E$91&gt;0,Entradas!$D$24*Entradas!$D$22/Escenarios!$E$16,0)</f>
        <v>0</v>
      </c>
      <c r="AK41" s="76">
        <f t="shared" si="10"/>
        <v>2.3884554204480342</v>
      </c>
      <c r="AL41" s="76">
        <f t="shared" si="11"/>
        <v>0</v>
      </c>
      <c r="AM41" s="76">
        <f t="shared" si="2"/>
        <v>0</v>
      </c>
      <c r="AN41" s="76">
        <f>MAX(0,O41*Escenarios!$E$13/Escenarios!$E$16-AM41)</f>
        <v>0.62656636839449953</v>
      </c>
      <c r="AO41" s="76">
        <f>AM41+AN41-O41*Escenarios!$E$13/Escenarios!$E$16</f>
        <v>0</v>
      </c>
      <c r="AP41" s="76">
        <f t="shared" si="0"/>
        <v>0.48159959536304231</v>
      </c>
      <c r="AQ41" s="76">
        <f t="shared" si="3"/>
        <v>0</v>
      </c>
      <c r="AR41" s="76">
        <f t="shared" si="4"/>
        <v>1.1081659637575418</v>
      </c>
      <c r="AS41" s="76">
        <f t="shared" si="5"/>
        <v>0</v>
      </c>
      <c r="AT41" s="76">
        <f t="shared" si="6"/>
        <v>8.45677854474065E-3</v>
      </c>
      <c r="AU41" s="76">
        <f t="shared" si="7"/>
        <v>48.75</v>
      </c>
      <c r="AV41" s="76">
        <f>MAX(0,(AU41-Constantes!$D$13)*(1-EXP(-Constantes!$D$24)))</f>
        <v>0</v>
      </c>
      <c r="AW41" s="170">
        <f>AW40+(Entradas!$E$112*AT41-AX40)/(800*Entradas!$D$25)</f>
        <v>0</v>
      </c>
      <c r="AX41" s="170">
        <f>8000*Entradas!$D$26*AW41/Constantes!$E$45</f>
        <v>0</v>
      </c>
      <c r="AY41" s="170">
        <f>IF(Escenarios!$E$17&gt;0,10*Escenarios!$E$16*AL41,0)</f>
        <v>0</v>
      </c>
      <c r="AZ41" s="170">
        <f>IF(Escenarios!$E$17&gt;0,10*Escenarios!$E$16*AX41,0)</f>
        <v>0</v>
      </c>
      <c r="BA41" s="170">
        <f>IF(Escenarios!$E$17&gt;0,0.001*Observaciones!$F40*Escenarios!$E$17,0)</f>
        <v>66</v>
      </c>
      <c r="BB41" s="170">
        <f>IF(Escenarios!$E$17&gt;0,Observaciones!$K40,0)</f>
        <v>0</v>
      </c>
      <c r="BC41" s="170">
        <f>IF(Escenarios!$E$17&gt;0,MIN(0.0005*ETo!$M40*Escenarios!$E$17*(BG40/Constantes!$E$40)^(2/3),BG40+AY41+AZ41+BA41+BB41),0)</f>
        <v>27.348558035649628</v>
      </c>
      <c r="BD41" s="170">
        <f>IF(Escenarios!$E$17&gt;0,MIN(Constantes!$E$39*(BG40/Constantes!$E$40)^(2/3),BG40+AY41+AZ41+BA41+BB41-BC41),0)</f>
        <v>43.838614506007019</v>
      </c>
      <c r="BE41" s="170">
        <f>IF(Escenarios!$E$17&gt;0,MIN(Entradas!$E$113,BG40+AY41+AZ41+BA41+BB41-BC41-BD41),0)</f>
        <v>1</v>
      </c>
      <c r="BF41" s="170">
        <f>IF(Escenarios!$E$17&gt;0,MAX(0,BG40+AY41+AZ41+BA41+BB41-BC41-BD41-BE41-Constantes!$E$40),0)</f>
        <v>0</v>
      </c>
      <c r="BG41" s="170">
        <f t="shared" si="12"/>
        <v>2698.1384972863266</v>
      </c>
      <c r="BH41" s="170">
        <f>(Escenarios!$E$16*AK41+0.1*BC41)/(Escenarios!$E$19)</f>
        <v>2.3803520274427519</v>
      </c>
      <c r="BI41" s="170">
        <f>IF(Escenarios!$E$17&gt;0,BF41/10/Escenarios!$E$19,AL41)</f>
        <v>0</v>
      </c>
      <c r="BJ41" s="170">
        <f>(Escenarios!$E$16*AT41+0.1*BD41)/(Escenarios!$E$19)</f>
        <v>2.5785936852324859E-2</v>
      </c>
      <c r="BK41" s="76">
        <f>BK40+(0.1*BD41)/(Escenarios!$E$19)-BL40</f>
        <v>49.147033526422071</v>
      </c>
      <c r="BL41" s="76">
        <f>MAX(0,(BK41-Constantes!$D$13)*(1-EXP(-Constantes!$D$23)))</f>
        <v>3.9120659018550439E-3</v>
      </c>
      <c r="BM41" s="76">
        <f t="shared" si="8"/>
        <v>0.48551166126489737</v>
      </c>
      <c r="BN41" s="76">
        <f t="shared" si="13"/>
        <v>1.1120780296593968</v>
      </c>
      <c r="BO41" s="76">
        <f>0.0526*BI41*Observaciones!$F40^1.218</f>
        <v>0</v>
      </c>
      <c r="BP41" s="76">
        <f>BO41*Constantes!$E$51</f>
        <v>0</v>
      </c>
      <c r="BQ41" s="76">
        <f t="shared" si="9"/>
        <v>0</v>
      </c>
      <c r="BR41" s="40"/>
    </row>
    <row r="42" spans="1:70">
      <c r="A42" s="147"/>
      <c r="B42" s="39"/>
      <c r="C42" s="75">
        <v>36</v>
      </c>
      <c r="D42" s="146">
        <f>ETo!$I41*((1-Constantes!$E$19)*ETo!$K41+ETo!$L41)</f>
        <v>4.5685961684797549</v>
      </c>
      <c r="E42" s="76">
        <f>MIN(D42*Constantes!$E$17,0.8*(N41+Observaciones!$F41-F42-M42-Constantes!$D$14))</f>
        <v>2.2336429201324131</v>
      </c>
      <c r="F42" s="76">
        <f>IF(Observaciones!$F41&gt;0.05*Constantes!$E$18,((Observaciones!$F41-0.05*Constantes!$E$18)^2)/(Observaciones!$F41+0.95*Constantes!$E$18),0)</f>
        <v>0</v>
      </c>
      <c r="G42" s="76">
        <f>IF(Escenarios!$E$11&gt;0,(F42*Escenarios!$E$16*10000)/1000,0)</f>
        <v>0</v>
      </c>
      <c r="H42" s="76">
        <f>IF(Escenarios!$E$11&gt;0,(Observaciones!$F41*Constantes!$E$29)/1000,0)</f>
        <v>0</v>
      </c>
      <c r="I42" s="76">
        <f>IF(Escenarios!$E$11&gt;0,(D42*Constantes!$E$29)/1000,0)</f>
        <v>45.685961684797547</v>
      </c>
      <c r="J42" s="76">
        <f>IF(Escenarios!$E$11&gt;0,MAX(0,G42+H42-I42),0)</f>
        <v>0</v>
      </c>
      <c r="K42" s="76">
        <f>IF(Escenarios!$E$11&gt;0,IF(J42&gt;Constantes!$E$30,1000*((J42-Constantes!$E$30)/(Escenarios!$E$16*10000)),0),F42)</f>
        <v>0</v>
      </c>
      <c r="L42" s="76">
        <f>IF(Escenarios!$E$11&gt;0,I42*1000/Escenarios!$E$16/10000+E42,E42)</f>
        <v>2.2519173048063319</v>
      </c>
      <c r="M42" s="76">
        <f>MAX(0,N41+Observaciones!$F41-K42-Constantes!$D$13)</f>
        <v>0</v>
      </c>
      <c r="N42" s="76">
        <f>N41+Observaciones!$F41-K42-L42-M42-O41</f>
        <v>29.188321585671876</v>
      </c>
      <c r="O42" s="76">
        <f>MAX(0,(N42-Constantes!$D$14)*(1-EXP(-Constantes!$D$22)))</f>
        <v>0.6110450861346689</v>
      </c>
      <c r="P42" s="170">
        <f>P41+(Entradas!$E$83*M42-Q41)/(800*Entradas!$D$25)</f>
        <v>0</v>
      </c>
      <c r="Q42" s="170">
        <f>8000*Entradas!$D$26*P42/Constantes!$E$45</f>
        <v>0</v>
      </c>
      <c r="R42" s="170">
        <f>IF(Escenarios!$E$14&gt;0,K42*Escenarios!$E$13/Escenarios!$E$14,0)</f>
        <v>0</v>
      </c>
      <c r="S42" s="170">
        <f>IF(Escenarios!$E$14&gt;0,Q42*Escenarios!$E$13/Escenarios!$E$14,0)</f>
        <v>0</v>
      </c>
      <c r="T42" s="170">
        <f>IF(Escenarios!$E$14&gt;0,Observaciones!$I41,0)</f>
        <v>0</v>
      </c>
      <c r="U42" s="170">
        <f>IF(Escenarios!$E$14&gt;0,MAX(0,Constantes!$E$36/((Z41+R42+S42+T42+Observaciones!$F41)^2)+Entradas!$E$77),0)</f>
        <v>0</v>
      </c>
      <c r="V42" s="146">
        <f>IF(ETo!D41&gt;0,ETo!I41*((1-Entradas!$E$81)*ETo!K41+ETo!L41),0)</f>
        <v>4.1775190327746099</v>
      </c>
      <c r="W42" s="170">
        <f>IF(Escenarios!$E$14&gt;0,MIN(V42*1,0.8*(Z41+R42+S42+T42+Observaciones!$F41-U42-Constantes!$E$35)),0)</f>
        <v>4.1775190327746099</v>
      </c>
      <c r="X42" s="170">
        <f>IF(Escenarios!$E$14&gt;0,Observaciones!$J41,0)</f>
        <v>0</v>
      </c>
      <c r="Y42" s="170">
        <f>IF(Escenarios!$E$14&gt;0,MAX(0,Z41+R42+S42+T42+Observaciones!$F41-U42-W42-X42-Constantes!$E$33),0)</f>
        <v>0</v>
      </c>
      <c r="Z42" s="170">
        <f>Z41+R42+S42+T42+Observaciones!$F41-U42-W42-Y42</f>
        <v>50.934823937599177</v>
      </c>
      <c r="AA42" s="170">
        <f>IF(Escenarios!$E$14&gt;0,(Escenarios!$E$13*L42+Escenarios!$E$14*W42)/(Escenarios!$E$16),L42)</f>
        <v>2.4829895121625256</v>
      </c>
      <c r="AB42" s="170">
        <f>IF(Escenarios!$E$14&gt;0,(Escenarios!$E$14*Y42)/(Escenarios!$E$16),K42)</f>
        <v>0</v>
      </c>
      <c r="AC42" s="170">
        <f>IF(Escenarios!$E$14&gt;0,(Escenarios!$E$13*M42+Escenarios!$E$14*U42)/(Escenarios!$E$16),M42)</f>
        <v>0</v>
      </c>
      <c r="AD42" s="76">
        <f t="shared" si="1"/>
        <v>97.145691960426333</v>
      </c>
      <c r="AE42" s="76">
        <f>MAX(0,(AD42-Constantes!$D$13)*(1-EXP(-Constantes!$D$23)))</f>
        <v>0.47685427984184359</v>
      </c>
      <c r="AF42" s="76">
        <f>AB42+O42*Escenarios!$E$13/Escenarios!$E$16+AE42</f>
        <v>1.0145739556403521</v>
      </c>
      <c r="AG42" s="76">
        <f>IF(Entradas!$E$91&gt;0,IF(AF42-Escenarios!$E$38&lt;=0,0,IF(AF42-Escenarios!$E$38&gt;Escenarios!$E$37,Escenarios!$E$37,AF42-Escenarios!$E$38)),0)</f>
        <v>0</v>
      </c>
      <c r="AH42" s="76">
        <f>AG42*Entradas!$E$99</f>
        <v>0</v>
      </c>
      <c r="AI42" s="76">
        <f>IF(Entradas!$E$91&gt;0,D42*Entradas!$D$23/Escenarios!$E$16,0)</f>
        <v>0</v>
      </c>
      <c r="AJ42" s="76">
        <f>IF(Entradas!$E$91&gt;0,Entradas!$D$24*Entradas!$D$22/Escenarios!$E$16,0)</f>
        <v>0</v>
      </c>
      <c r="AK42" s="76">
        <f t="shared" si="10"/>
        <v>2.4829895121625256</v>
      </c>
      <c r="AL42" s="76">
        <f t="shared" si="11"/>
        <v>0</v>
      </c>
      <c r="AM42" s="76">
        <f t="shared" si="2"/>
        <v>0</v>
      </c>
      <c r="AN42" s="76">
        <f>MAX(0,O42*Escenarios!$E$13/Escenarios!$E$16-AM42)</f>
        <v>0.53771967579850866</v>
      </c>
      <c r="AO42" s="76">
        <f>AM42+AN42-O42*Escenarios!$E$13/Escenarios!$E$16</f>
        <v>0</v>
      </c>
      <c r="AP42" s="76">
        <f t="shared" si="0"/>
        <v>0.47685427984184359</v>
      </c>
      <c r="AQ42" s="76">
        <f t="shared" si="3"/>
        <v>0</v>
      </c>
      <c r="AR42" s="76">
        <f t="shared" si="4"/>
        <v>1.0145739556403521</v>
      </c>
      <c r="AS42" s="76">
        <f t="shared" si="5"/>
        <v>0</v>
      </c>
      <c r="AT42" s="76">
        <f t="shared" si="6"/>
        <v>0</v>
      </c>
      <c r="AU42" s="76">
        <f t="shared" si="7"/>
        <v>48.75</v>
      </c>
      <c r="AV42" s="76">
        <f>MAX(0,(AU42-Constantes!$D$13)*(1-EXP(-Constantes!$D$24)))</f>
        <v>0</v>
      </c>
      <c r="AW42" s="170">
        <f>AW41+(Entradas!$E$112*AT42-AX41)/(800*Entradas!$D$25)</f>
        <v>0</v>
      </c>
      <c r="AX42" s="170">
        <f>8000*Entradas!$D$26*AW42/Constantes!$E$45</f>
        <v>0</v>
      </c>
      <c r="AY42" s="170">
        <f>IF(Escenarios!$E$17&gt;0,10*Escenarios!$E$16*AL42,0)</f>
        <v>0</v>
      </c>
      <c r="AZ42" s="170">
        <f>IF(Escenarios!$E$17&gt;0,10*Escenarios!$E$16*AX42,0)</f>
        <v>0</v>
      </c>
      <c r="BA42" s="170">
        <f>IF(Escenarios!$E$17&gt;0,0.001*Observaciones!$F41*Escenarios!$E$17,0)</f>
        <v>0</v>
      </c>
      <c r="BB42" s="170">
        <f>IF(Escenarios!$E$17&gt;0,Observaciones!$K41,0)</f>
        <v>0</v>
      </c>
      <c r="BC42" s="170">
        <f>IF(Escenarios!$E$17&gt;0,MIN(0.0005*ETo!$M41*Escenarios!$E$17*(BG41/Constantes!$E$40)^(2/3),BG41+AY42+AZ42+BA42+BB42),0)</f>
        <v>28.363899563345949</v>
      </c>
      <c r="BD42" s="170">
        <f>IF(Escenarios!$E$17&gt;0,MIN(Constantes!$E$39*(BG41/Constantes!$E$40)^(2/3),BG41+AY42+AZ42+BA42+BB42-BC42),0)</f>
        <v>43.771723991406127</v>
      </c>
      <c r="BE42" s="170">
        <f>IF(Escenarios!$E$17&gt;0,MIN(Entradas!$E$113,BG41+AY42+AZ42+BA42+BB42-BC42-BD42),0)</f>
        <v>1</v>
      </c>
      <c r="BF42" s="170">
        <f>IF(Escenarios!$E$17&gt;0,MAX(0,BG41+AY42+AZ42+BA42+BB42-BC42-BD42-BE42-Constantes!$E$40),0)</f>
        <v>0</v>
      </c>
      <c r="BG42" s="170">
        <f t="shared" si="12"/>
        <v>2625.0028737315747</v>
      </c>
      <c r="BH42" s="170">
        <f>(Escenarios!$E$16*AK42+0.1*BC42)/(Escenarios!$E$19)</f>
        <v>2.4745387618927221</v>
      </c>
      <c r="BI42" s="170">
        <f>IF(Escenarios!$E$17&gt;0,BF42/10/Escenarios!$E$19,AL42)</f>
        <v>0</v>
      </c>
      <c r="BJ42" s="170">
        <f>(Escenarios!$E$16*AT42+0.1*BD42)/(Escenarios!$E$19)</f>
        <v>1.7369731742621481E-2</v>
      </c>
      <c r="BK42" s="76">
        <f>BK41+(0.1*BD42)/(Escenarios!$E$19)-BL41</f>
        <v>49.160491192262832</v>
      </c>
      <c r="BL42" s="76">
        <f>MAX(0,(BK42-Constantes!$D$13)*(1-EXP(-Constantes!$D$23)))</f>
        <v>4.0446674887503363E-3</v>
      </c>
      <c r="BM42" s="76">
        <f t="shared" si="8"/>
        <v>0.48089894733059391</v>
      </c>
      <c r="BN42" s="76">
        <f t="shared" si="13"/>
        <v>1.0186186231291026</v>
      </c>
      <c r="BO42" s="76">
        <f>0.0526*BI42*Observaciones!$F41^1.218</f>
        <v>0</v>
      </c>
      <c r="BP42" s="76">
        <f>BO42*Constantes!$E$51</f>
        <v>0</v>
      </c>
      <c r="BQ42" s="76">
        <f t="shared" si="9"/>
        <v>0</v>
      </c>
      <c r="BR42" s="40"/>
    </row>
    <row r="43" spans="1:70">
      <c r="A43" s="147"/>
      <c r="B43" s="39"/>
      <c r="C43" s="75">
        <v>37</v>
      </c>
      <c r="D43" s="146">
        <f>ETo!$I42*((1-Constantes!$E$19)*ETo!$K42+ETo!$L42)</f>
        <v>4.633437959959986</v>
      </c>
      <c r="E43" s="76">
        <f>MIN(D43*Constantes!$E$17,0.8*(N42+Observaciones!$F42-F43-M43-Constantes!$D$14))</f>
        <v>2.2653448703874552</v>
      </c>
      <c r="F43" s="76">
        <f>IF(Observaciones!$F42&gt;0.05*Constantes!$E$18,((Observaciones!$F42-0.05*Constantes!$E$18)^2)/(Observaciones!$F42+0.95*Constantes!$E$18),0)</f>
        <v>0</v>
      </c>
      <c r="G43" s="76">
        <f>IF(Escenarios!$E$11&gt;0,(F43*Escenarios!$E$16*10000)/1000,0)</f>
        <v>0</v>
      </c>
      <c r="H43" s="76">
        <f>IF(Escenarios!$E$11&gt;0,(Observaciones!$F42*Constantes!$E$29)/1000,0)</f>
        <v>0</v>
      </c>
      <c r="I43" s="76">
        <f>IF(Escenarios!$E$11&gt;0,(D43*Constantes!$E$29)/1000,0)</f>
        <v>46.334379599599856</v>
      </c>
      <c r="J43" s="76">
        <f>IF(Escenarios!$E$11&gt;0,MAX(0,G43+H43-I43),0)</f>
        <v>0</v>
      </c>
      <c r="K43" s="76">
        <f>IF(Escenarios!$E$11&gt;0,IF(J43&gt;Constantes!$E$30,1000*((J43-Constantes!$E$30)/(Escenarios!$E$16*10000)),0),F43)</f>
        <v>0</v>
      </c>
      <c r="L43" s="76">
        <f>IF(Escenarios!$E$11&gt;0,I43*1000/Escenarios!$E$16/10000+E43,E43)</f>
        <v>2.2838786222272951</v>
      </c>
      <c r="M43" s="76">
        <f>MAX(0,N42+Observaciones!$F42-K43-Constantes!$D$13)</f>
        <v>0</v>
      </c>
      <c r="N43" s="76">
        <f>N42+Observaciones!$F42-K43-L43-M43-O42</f>
        <v>26.293397877309911</v>
      </c>
      <c r="O43" s="76">
        <f>MAX(0,(N43-Constantes!$D$14)*(1-EXP(-Constantes!$D$22)))</f>
        <v>0.51243335714536076</v>
      </c>
      <c r="P43" s="170">
        <f>P42+(Entradas!$E$83*M43-Q42)/(800*Entradas!$D$25)</f>
        <v>0</v>
      </c>
      <c r="Q43" s="170">
        <f>8000*Entradas!$D$26*P43/Constantes!$E$45</f>
        <v>0</v>
      </c>
      <c r="R43" s="170">
        <f>IF(Escenarios!$E$14&gt;0,K43*Escenarios!$E$13/Escenarios!$E$14,0)</f>
        <v>0</v>
      </c>
      <c r="S43" s="170">
        <f>IF(Escenarios!$E$14&gt;0,Q43*Escenarios!$E$13/Escenarios!$E$14,0)</f>
        <v>0</v>
      </c>
      <c r="T43" s="170">
        <f>IF(Escenarios!$E$14&gt;0,Observaciones!$I42,0)</f>
        <v>0</v>
      </c>
      <c r="U43" s="170">
        <f>IF(Escenarios!$E$14&gt;0,MAX(0,Constantes!$E$36/((Z42+R43+S43+T43+Observaciones!$F42)^2)+Entradas!$E$77),0)</f>
        <v>0</v>
      </c>
      <c r="V43" s="146">
        <f>IF(ETo!D42&gt;0,ETo!I42*((1-Entradas!$E$81)*ETo!K42+ETo!L42),0)</f>
        <v>4.2378409355744786</v>
      </c>
      <c r="W43" s="170">
        <f>IF(Escenarios!$E$14&gt;0,MIN(V43*1,0.8*(Z42+R43+S43+T43+Observaciones!$F42-U43-Constantes!$E$35)),0)</f>
        <v>4.2378409355744786</v>
      </c>
      <c r="X43" s="170">
        <f>IF(Escenarios!$E$14&gt;0,Observaciones!$J42,0)</f>
        <v>0</v>
      </c>
      <c r="Y43" s="170">
        <f>IF(Escenarios!$E$14&gt;0,MAX(0,Z42+R43+S43+T43+Observaciones!$F42-U43-W43-X43-Constantes!$E$33),0)</f>
        <v>0</v>
      </c>
      <c r="Z43" s="170">
        <f>Z42+R43+S43+T43+Observaciones!$F42-U43-W43-Y43</f>
        <v>46.696983002024695</v>
      </c>
      <c r="AA43" s="170">
        <f>IF(Escenarios!$E$14&gt;0,(Escenarios!$E$13*L43+Escenarios!$E$14*W43)/(Escenarios!$E$16),L43)</f>
        <v>2.5183540998289571</v>
      </c>
      <c r="AB43" s="170">
        <f>IF(Escenarios!$E$14&gt;0,(Escenarios!$E$14*Y43)/(Escenarios!$E$16),K43)</f>
        <v>0</v>
      </c>
      <c r="AC43" s="170">
        <f>IF(Escenarios!$E$14&gt;0,(Escenarios!$E$13*M43+Escenarios!$E$14*U43)/(Escenarios!$E$16),M43)</f>
        <v>0</v>
      </c>
      <c r="AD43" s="76">
        <f t="shared" si="1"/>
        <v>96.668837680584488</v>
      </c>
      <c r="AE43" s="76">
        <f>MAX(0,(AD43-Constantes!$D$13)*(1-EXP(-Constantes!$D$23)))</f>
        <v>0.4721557210447212</v>
      </c>
      <c r="AF43" s="76">
        <f>AB43+O43*Escenarios!$E$13/Escenarios!$E$16+AE43</f>
        <v>0.92309707533263863</v>
      </c>
      <c r="AG43" s="76">
        <f>IF(Entradas!$E$91&gt;0,IF(AF43-Escenarios!$E$38&lt;=0,0,IF(AF43-Escenarios!$E$38&gt;Escenarios!$E$37,Escenarios!$E$37,AF43-Escenarios!$E$38)),0)</f>
        <v>0</v>
      </c>
      <c r="AH43" s="76">
        <f>AG43*Entradas!$E$99</f>
        <v>0</v>
      </c>
      <c r="AI43" s="76">
        <f>IF(Entradas!$E$91&gt;0,D43*Entradas!$D$23/Escenarios!$E$16,0)</f>
        <v>0</v>
      </c>
      <c r="AJ43" s="76">
        <f>IF(Entradas!$E$91&gt;0,Entradas!$D$24*Entradas!$D$22/Escenarios!$E$16,0)</f>
        <v>0</v>
      </c>
      <c r="AK43" s="76">
        <f t="shared" si="10"/>
        <v>2.5183540998289571</v>
      </c>
      <c r="AL43" s="76">
        <f t="shared" si="11"/>
        <v>0</v>
      </c>
      <c r="AM43" s="76">
        <f t="shared" si="2"/>
        <v>0</v>
      </c>
      <c r="AN43" s="76">
        <f>MAX(0,O43*Escenarios!$E$13/Escenarios!$E$16-AM43)</f>
        <v>0.45094135428791748</v>
      </c>
      <c r="AO43" s="76">
        <f>AM43+AN43-O43*Escenarios!$E$13/Escenarios!$E$16</f>
        <v>0</v>
      </c>
      <c r="AP43" s="76">
        <f t="shared" si="0"/>
        <v>0.4721557210447212</v>
      </c>
      <c r="AQ43" s="76">
        <f t="shared" si="3"/>
        <v>0</v>
      </c>
      <c r="AR43" s="76">
        <f t="shared" si="4"/>
        <v>0.92309707533263863</v>
      </c>
      <c r="AS43" s="76">
        <f t="shared" si="5"/>
        <v>0</v>
      </c>
      <c r="AT43" s="76">
        <f t="shared" si="6"/>
        <v>0</v>
      </c>
      <c r="AU43" s="76">
        <f t="shared" si="7"/>
        <v>48.75</v>
      </c>
      <c r="AV43" s="76">
        <f>MAX(0,(AU43-Constantes!$D$13)*(1-EXP(-Constantes!$D$24)))</f>
        <v>0</v>
      </c>
      <c r="AW43" s="170">
        <f>AW42+(Entradas!$E$112*AT43-AX42)/(800*Entradas!$D$25)</f>
        <v>0</v>
      </c>
      <c r="AX43" s="170">
        <f>8000*Entradas!$D$26*AW43/Constantes!$E$45</f>
        <v>0</v>
      </c>
      <c r="AY43" s="170">
        <f>IF(Escenarios!$E$17&gt;0,10*Escenarios!$E$16*AL43,0)</f>
        <v>0</v>
      </c>
      <c r="AZ43" s="170">
        <f>IF(Escenarios!$E$17&gt;0,10*Escenarios!$E$16*AX43,0)</f>
        <v>0</v>
      </c>
      <c r="BA43" s="170">
        <f>IF(Escenarios!$E$17&gt;0,0.001*Observaciones!$F42*Escenarios!$E$17,0)</f>
        <v>0</v>
      </c>
      <c r="BB43" s="170">
        <f>IF(Escenarios!$E$17&gt;0,Observaciones!$K42,0)</f>
        <v>0</v>
      </c>
      <c r="BC43" s="170">
        <f>IF(Escenarios!$E$17&gt;0,MIN(0.0005*ETo!$M42*Escenarios!$E$17*(BG42/Constantes!$E$40)^(2/3),BG42+AY43+AZ43+BA43+BB43),0)</f>
        <v>28.235548763375498</v>
      </c>
      <c r="BD43" s="170">
        <f>IF(Escenarios!$E$17&gt;0,MIN(Constantes!$E$39*(BG42/Constantes!$E$40)^(2/3),BG42+AY43+AZ43+BA43+BB43-BC43),0)</f>
        <v>42.977123906189114</v>
      </c>
      <c r="BE43" s="170">
        <f>IF(Escenarios!$E$17&gt;0,MIN(Entradas!$E$113,BG42+AY43+AZ43+BA43+BB43-BC43-BD43),0)</f>
        <v>1</v>
      </c>
      <c r="BF43" s="170">
        <f>IF(Escenarios!$E$17&gt;0,MAX(0,BG42+AY43+AZ43+BA43+BB43-BC43-BD43-BE43-Constantes!$E$40),0)</f>
        <v>0</v>
      </c>
      <c r="BG43" s="170">
        <f t="shared" si="12"/>
        <v>2552.7902010620101</v>
      </c>
      <c r="BH43" s="170">
        <f>(Escenarios!$E$16*AK43+0.1*BC43)/(Escenarios!$E$19)</f>
        <v>2.5095717453713369</v>
      </c>
      <c r="BI43" s="170">
        <f>IF(Escenarios!$E$17&gt;0,BF43/10/Escenarios!$E$19,AL43)</f>
        <v>0</v>
      </c>
      <c r="BJ43" s="170">
        <f>(Escenarios!$E$16*AT43+0.1*BD43)/(Escenarios!$E$19)</f>
        <v>1.7054414248487741E-2</v>
      </c>
      <c r="BK43" s="76">
        <f>BK42+(0.1*BD43)/(Escenarios!$E$19)-BL42</f>
        <v>49.173500939022567</v>
      </c>
      <c r="BL43" s="76">
        <f>MAX(0,(BK43-Constantes!$D$13)*(1-EXP(-Constantes!$D$23)))</f>
        <v>4.1728556222542677E-3</v>
      </c>
      <c r="BM43" s="76">
        <f t="shared" si="8"/>
        <v>0.47632857666697548</v>
      </c>
      <c r="BN43" s="76">
        <f t="shared" si="13"/>
        <v>0.92726993095489285</v>
      </c>
      <c r="BO43" s="76">
        <f>0.0526*BI43*Observaciones!$F42^1.218</f>
        <v>0</v>
      </c>
      <c r="BP43" s="76">
        <f>BO43*Constantes!$E$51</f>
        <v>0</v>
      </c>
      <c r="BQ43" s="76">
        <f t="shared" si="9"/>
        <v>0</v>
      </c>
      <c r="BR43" s="40"/>
    </row>
    <row r="44" spans="1:70">
      <c r="A44" s="147"/>
      <c r="B44" s="39"/>
      <c r="C44" s="75">
        <v>38</v>
      </c>
      <c r="D44" s="146">
        <f>ETo!$I43*((1-Constantes!$E$19)*ETo!$K43+ETo!$L43)</f>
        <v>4.5309624839363627</v>
      </c>
      <c r="E44" s="76">
        <f>MIN(D44*Constantes!$E$17,0.8*(N43+Observaciones!$F43-F44-M44-Constantes!$D$14))</f>
        <v>2.21524334837363</v>
      </c>
      <c r="F44" s="76">
        <f>IF(Observaciones!$F43&gt;0.05*Constantes!$E$18,((Observaciones!$F43-0.05*Constantes!$E$18)^2)/(Observaciones!$F43+0.95*Constantes!$E$18),0)</f>
        <v>0.45061308139674633</v>
      </c>
      <c r="G44" s="76">
        <f>IF(Escenarios!$E$11&gt;0,(F44*Escenarios!$E$16*10000)/1000,0)</f>
        <v>1126.532703491866</v>
      </c>
      <c r="H44" s="76">
        <f>IF(Escenarios!$E$11&gt;0,(Observaciones!$F43*Constantes!$E$29)/1000,0)</f>
        <v>135</v>
      </c>
      <c r="I44" s="76">
        <f>IF(Escenarios!$E$11&gt;0,(D44*Constantes!$E$29)/1000,0)</f>
        <v>45.309624839363629</v>
      </c>
      <c r="J44" s="76">
        <f>IF(Escenarios!$E$11&gt;0,MAX(0,G44+H44-I44),0)</f>
        <v>1216.2230786525024</v>
      </c>
      <c r="K44" s="76">
        <f>IF(Escenarios!$E$11&gt;0,IF(J44&gt;Constantes!$E$30,1000*((J44-Constantes!$E$30)/(Escenarios!$E$16*10000)),0),F44)</f>
        <v>0</v>
      </c>
      <c r="L44" s="76">
        <f>IF(Escenarios!$E$11&gt;0,I44*1000/Escenarios!$E$16/10000+E44,E44)</f>
        <v>2.2333671983093755</v>
      </c>
      <c r="M44" s="76">
        <f>MAX(0,N43+Observaciones!$F43-K44-Constantes!$D$13)</f>
        <v>0</v>
      </c>
      <c r="N44" s="76">
        <f>N43+Observaciones!$F43-K44-L44-M44-O43</f>
        <v>37.047597321855179</v>
      </c>
      <c r="O44" s="76">
        <f>MAX(0,(N44-Constantes!$D$14)*(1-EXP(-Constantes!$D$22)))</f>
        <v>0.8787608697009589</v>
      </c>
      <c r="P44" s="170">
        <f>P43+(Entradas!$E$83*M44-Q43)/(800*Entradas!$D$25)</f>
        <v>0</v>
      </c>
      <c r="Q44" s="170">
        <f>8000*Entradas!$D$26*P44/Constantes!$E$45</f>
        <v>0</v>
      </c>
      <c r="R44" s="170">
        <f>IF(Escenarios!$E$14&gt;0,K44*Escenarios!$E$13/Escenarios!$E$14,0)</f>
        <v>0</v>
      </c>
      <c r="S44" s="170">
        <f>IF(Escenarios!$E$14&gt;0,Q44*Escenarios!$E$13/Escenarios!$E$14,0)</f>
        <v>0</v>
      </c>
      <c r="T44" s="170">
        <f>IF(Escenarios!$E$14&gt;0,Observaciones!$I43,0)</f>
        <v>0</v>
      </c>
      <c r="U44" s="170">
        <f>IF(Escenarios!$E$14&gt;0,MAX(0,Constantes!$E$36/((Z43+R44+S44+T44+Observaciones!$F43)^2)+Entradas!$E$77),0)</f>
        <v>0.16675888254822535</v>
      </c>
      <c r="V44" s="146">
        <f>IF(ETo!D43&gt;0,ETo!I43*((1-Entradas!$E$81)*ETo!K43+ETo!L43),0)</f>
        <v>4.1425010923283656</v>
      </c>
      <c r="W44" s="170">
        <f>IF(Escenarios!$E$14&gt;0,MIN(V44*1,0.8*(Z43+R44+S44+T44+Observaciones!$F43-U44-Constantes!$E$35)),0)</f>
        <v>4.1425010923283656</v>
      </c>
      <c r="X44" s="170">
        <f>IF(Escenarios!$E$14&gt;0,Observaciones!$J43,0)</f>
        <v>0</v>
      </c>
      <c r="Y44" s="170">
        <f>IF(Escenarios!$E$14&gt;0,MAX(0,Z43+R44+S44+T44+Observaciones!$F43-U44-W44-X44-Constantes!$E$33),0)</f>
        <v>0</v>
      </c>
      <c r="Z44" s="170">
        <f>Z43+R44+S44+T44+Observaciones!$F43-U44-W44-Y44</f>
        <v>55.887723027148105</v>
      </c>
      <c r="AA44" s="170">
        <f>IF(Escenarios!$E$14&gt;0,(Escenarios!$E$13*L44+Escenarios!$E$14*W44)/(Escenarios!$E$16),L44)</f>
        <v>2.4624632655916545</v>
      </c>
      <c r="AB44" s="170">
        <f>IF(Escenarios!$E$14&gt;0,(Escenarios!$E$14*Y44)/(Escenarios!$E$16),K44)</f>
        <v>0</v>
      </c>
      <c r="AC44" s="170">
        <f>IF(Escenarios!$E$14&gt;0,(Escenarios!$E$13*M44+Escenarios!$E$14*U44)/(Escenarios!$E$16),M44)</f>
        <v>2.0011065905787041E-2</v>
      </c>
      <c r="AD44" s="76">
        <f t="shared" si="1"/>
        <v>96.216693025445565</v>
      </c>
      <c r="AE44" s="76">
        <f>MAX(0,(AD44-Constantes!$D$13)*(1-EXP(-Constantes!$D$23)))</f>
        <v>0.46770063206517087</v>
      </c>
      <c r="AF44" s="76">
        <f>AB44+O44*Escenarios!$E$13/Escenarios!$E$16+AE44</f>
        <v>1.2410101974020149</v>
      </c>
      <c r="AG44" s="76">
        <f>IF(Entradas!$E$91&gt;0,IF(AF44-Escenarios!$E$38&lt;=0,0,IF(AF44-Escenarios!$E$38&gt;Escenarios!$E$37,Escenarios!$E$37,AF44-Escenarios!$E$38)),0)</f>
        <v>0</v>
      </c>
      <c r="AH44" s="76">
        <f>AG44*Entradas!$E$99</f>
        <v>0</v>
      </c>
      <c r="AI44" s="76">
        <f>IF(Entradas!$E$91&gt;0,D44*Entradas!$D$23/Escenarios!$E$16,0)</f>
        <v>0</v>
      </c>
      <c r="AJ44" s="76">
        <f>IF(Entradas!$E$91&gt;0,Entradas!$D$24*Entradas!$D$22/Escenarios!$E$16,0)</f>
        <v>0</v>
      </c>
      <c r="AK44" s="76">
        <f t="shared" si="10"/>
        <v>2.4624632655916545</v>
      </c>
      <c r="AL44" s="76">
        <f t="shared" si="11"/>
        <v>0</v>
      </c>
      <c r="AM44" s="76">
        <f t="shared" si="2"/>
        <v>0</v>
      </c>
      <c r="AN44" s="76">
        <f>MAX(0,O44*Escenarios!$E$13/Escenarios!$E$16-AM44)</f>
        <v>0.77330956533684392</v>
      </c>
      <c r="AO44" s="76">
        <f>AM44+AN44-O44*Escenarios!$E$13/Escenarios!$E$16</f>
        <v>0</v>
      </c>
      <c r="AP44" s="76">
        <f t="shared" si="0"/>
        <v>0.46770063206517087</v>
      </c>
      <c r="AQ44" s="76">
        <f t="shared" si="3"/>
        <v>0</v>
      </c>
      <c r="AR44" s="76">
        <f t="shared" si="4"/>
        <v>1.2410101974020149</v>
      </c>
      <c r="AS44" s="76">
        <f t="shared" si="5"/>
        <v>0</v>
      </c>
      <c r="AT44" s="76">
        <f t="shared" si="6"/>
        <v>2.0011065905787041E-2</v>
      </c>
      <c r="AU44" s="76">
        <f t="shared" si="7"/>
        <v>48.75</v>
      </c>
      <c r="AV44" s="76">
        <f>MAX(0,(AU44-Constantes!$D$13)*(1-EXP(-Constantes!$D$24)))</f>
        <v>0</v>
      </c>
      <c r="AW44" s="170">
        <f>AW43+(Entradas!$E$112*AT44-AX43)/(800*Entradas!$D$25)</f>
        <v>0</v>
      </c>
      <c r="AX44" s="170">
        <f>8000*Entradas!$D$26*AW44/Constantes!$E$45</f>
        <v>0</v>
      </c>
      <c r="AY44" s="170">
        <f>IF(Escenarios!$E$17&gt;0,10*Escenarios!$E$16*AL44,0)</f>
        <v>0</v>
      </c>
      <c r="AZ44" s="170">
        <f>IF(Escenarios!$E$17&gt;0,10*Escenarios!$E$16*AX44,0)</f>
        <v>0</v>
      </c>
      <c r="BA44" s="170">
        <f>IF(Escenarios!$E$17&gt;0,0.001*Observaciones!$F43*Escenarios!$E$17,0)</f>
        <v>270</v>
      </c>
      <c r="BB44" s="170">
        <f>IF(Escenarios!$E$17&gt;0,Observaciones!$K43,0)</f>
        <v>0</v>
      </c>
      <c r="BC44" s="170">
        <f>IF(Escenarios!$E$17&gt;0,MIN(0.0005*ETo!$M43*Escenarios!$E$17*(BG43/Constantes!$E$40)^(2/3),BG43+AY44+AZ44+BA44+BB44),0)</f>
        <v>27.115736108658098</v>
      </c>
      <c r="BD44" s="170">
        <f>IF(Escenarios!$E$17&gt;0,MIN(Constantes!$E$39*(BG43/Constantes!$E$40)^(2/3),BG43+AY44+AZ44+BA44+BB44-BC44),0)</f>
        <v>42.185277386049044</v>
      </c>
      <c r="BE44" s="170">
        <f>IF(Escenarios!$E$17&gt;0,MIN(Entradas!$E$113,BG43+AY44+AZ44+BA44+BB44-BC44-BD44),0)</f>
        <v>1</v>
      </c>
      <c r="BF44" s="170">
        <f>IF(Escenarios!$E$17&gt;0,MAX(0,BG43+AY44+AZ44+BA44+BB44-BC44-BD44-BE44-Constantes!$E$40),0)</f>
        <v>0</v>
      </c>
      <c r="BG44" s="170">
        <f t="shared" si="12"/>
        <v>2752.4891875673029</v>
      </c>
      <c r="BH44" s="170">
        <f>(Escenarios!$E$16*AK44+0.1*BC44)/(Escenarios!$E$19)</f>
        <v>2.453680119082458</v>
      </c>
      <c r="BI44" s="170">
        <f>IF(Escenarios!$E$17&gt;0,BF44/10/Escenarios!$E$19,AL44)</f>
        <v>0</v>
      </c>
      <c r="BJ44" s="170">
        <f>(Escenarios!$E$16*AT44+0.1*BD44)/(Escenarios!$E$19)</f>
        <v>3.6592437361316128E-2</v>
      </c>
      <c r="BK44" s="76">
        <f>BK43+(0.1*BD44)/(Escenarios!$E$19)-BL43</f>
        <v>49.186068272839222</v>
      </c>
      <c r="BL44" s="76">
        <f>MAX(0,(BK44-Constantes!$D$13)*(1-EXP(-Constantes!$D$23)))</f>
        <v>4.2966845556554768E-3</v>
      </c>
      <c r="BM44" s="76">
        <f t="shared" si="8"/>
        <v>0.47199731662082633</v>
      </c>
      <c r="BN44" s="76">
        <f t="shared" si="13"/>
        <v>1.2453068819576705</v>
      </c>
      <c r="BO44" s="76">
        <f>0.0526*BI44*Observaciones!$F43^1.218</f>
        <v>0</v>
      </c>
      <c r="BP44" s="76">
        <f>BO44*Constantes!$E$51</f>
        <v>0</v>
      </c>
      <c r="BQ44" s="76">
        <f t="shared" si="9"/>
        <v>0</v>
      </c>
      <c r="BR44" s="40"/>
    </row>
    <row r="45" spans="1:70">
      <c r="A45" s="147"/>
      <c r="B45" s="39"/>
      <c r="C45" s="75">
        <v>39</v>
      </c>
      <c r="D45" s="146">
        <f>ETo!$I44*((1-Constantes!$E$19)*ETo!$K44+ETo!$L44)</f>
        <v>4.5727755988346246</v>
      </c>
      <c r="E45" s="76">
        <f>MIN(D45*Constantes!$E$17,0.8*(N44+Observaciones!$F44-F45-M45-Constantes!$D$14))</f>
        <v>2.2356862950944527</v>
      </c>
      <c r="F45" s="76">
        <f>IF(Observaciones!$F44&gt;0.05*Constantes!$E$18,((Observaciones!$F44-0.05*Constantes!$E$18)^2)/(Observaciones!$F44+0.95*Constantes!$E$18),0)</f>
        <v>0</v>
      </c>
      <c r="G45" s="76">
        <f>IF(Escenarios!$E$11&gt;0,(F45*Escenarios!$E$16*10000)/1000,0)</f>
        <v>0</v>
      </c>
      <c r="H45" s="76">
        <f>IF(Escenarios!$E$11&gt;0,(Observaciones!$F44*Constantes!$E$29)/1000,0)</f>
        <v>0</v>
      </c>
      <c r="I45" s="76">
        <f>IF(Escenarios!$E$11&gt;0,(D45*Constantes!$E$29)/1000,0)</f>
        <v>45.727755988346246</v>
      </c>
      <c r="J45" s="76">
        <f>IF(Escenarios!$E$11&gt;0,MAX(0,G45+H45-I45),0)</f>
        <v>0</v>
      </c>
      <c r="K45" s="76">
        <f>IF(Escenarios!$E$11&gt;0,IF(J45&gt;Constantes!$E$30,1000*((J45-Constantes!$E$30)/(Escenarios!$E$16*10000)),0),F45)</f>
        <v>0</v>
      </c>
      <c r="L45" s="76">
        <f>IF(Escenarios!$E$11&gt;0,I45*1000/Escenarios!$E$16/10000+E45,E45)</f>
        <v>2.2539773974897912</v>
      </c>
      <c r="M45" s="76">
        <f>MAX(0,N44+Observaciones!$F44-K45-Constantes!$D$13)</f>
        <v>0</v>
      </c>
      <c r="N45" s="76">
        <f>N44+Observaciones!$F44-K45-L45-M45-O44</f>
        <v>33.914859054664426</v>
      </c>
      <c r="O45" s="76">
        <f>MAX(0,(N45-Constantes!$D$14)*(1-EXP(-Constantes!$D$22)))</f>
        <v>0.77204830380282385</v>
      </c>
      <c r="P45" s="170">
        <f>P44+(Entradas!$E$83*M45-Q44)/(800*Entradas!$D$25)</f>
        <v>0</v>
      </c>
      <c r="Q45" s="170">
        <f>8000*Entradas!$D$26*P45/Constantes!$E$45</f>
        <v>0</v>
      </c>
      <c r="R45" s="170">
        <f>IF(Escenarios!$E$14&gt;0,K45*Escenarios!$E$13/Escenarios!$E$14,0)</f>
        <v>0</v>
      </c>
      <c r="S45" s="170">
        <f>IF(Escenarios!$E$14&gt;0,Q45*Escenarios!$E$13/Escenarios!$E$14,0)</f>
        <v>0</v>
      </c>
      <c r="T45" s="170">
        <f>IF(Escenarios!$E$14&gt;0,Observaciones!$I44,0)</f>
        <v>0</v>
      </c>
      <c r="U45" s="170">
        <f>IF(Escenarios!$E$14&gt;0,MAX(0,Constantes!$E$36/((Z44+R45+S45+T45+Observaciones!$F44)^2)+Entradas!$E$77),0)</f>
        <v>0</v>
      </c>
      <c r="V45" s="146">
        <f>IF(ETo!D44&gt;0,ETo!I44*((1-Entradas!$E$81)*ETo!K44+ETo!L44),0)</f>
        <v>4.1813454148836957</v>
      </c>
      <c r="W45" s="170">
        <f>IF(Escenarios!$E$14&gt;0,MIN(V45*1,0.8*(Z44+R45+S45+T45+Observaciones!$F44-U45-Constantes!$E$35)),0)</f>
        <v>4.1813454148836957</v>
      </c>
      <c r="X45" s="170">
        <f>IF(Escenarios!$E$14&gt;0,Observaciones!$J44,0)</f>
        <v>0</v>
      </c>
      <c r="Y45" s="170">
        <f>IF(Escenarios!$E$14&gt;0,MAX(0,Z44+R45+S45+T45+Observaciones!$F44-U45-W45-X45-Constantes!$E$33),0)</f>
        <v>0</v>
      </c>
      <c r="Z45" s="170">
        <f>Z44+R45+S45+T45+Observaciones!$F44-U45-W45-Y45</f>
        <v>51.706377612264411</v>
      </c>
      <c r="AA45" s="170">
        <f>IF(Escenarios!$E$14&gt;0,(Escenarios!$E$13*L45+Escenarios!$E$14*W45)/(Escenarios!$E$16),L45)</f>
        <v>2.4852615595770597</v>
      </c>
      <c r="AB45" s="170">
        <f>IF(Escenarios!$E$14&gt;0,(Escenarios!$E$14*Y45)/(Escenarios!$E$16),K45)</f>
        <v>0</v>
      </c>
      <c r="AC45" s="170">
        <f>IF(Escenarios!$E$14&gt;0,(Escenarios!$E$13*M45+Escenarios!$E$14*U45)/(Escenarios!$E$16),M45)</f>
        <v>0</v>
      </c>
      <c r="AD45" s="76">
        <f t="shared" si="1"/>
        <v>95.748992393380391</v>
      </c>
      <c r="AE45" s="76">
        <f>MAX(0,(AD45-Constantes!$D$13)*(1-EXP(-Constantes!$D$23)))</f>
        <v>0.46309226633982109</v>
      </c>
      <c r="AF45" s="76">
        <f>AB45+O45*Escenarios!$E$13/Escenarios!$E$16+AE45</f>
        <v>1.142494773686306</v>
      </c>
      <c r="AG45" s="76">
        <f>IF(Entradas!$E$91&gt;0,IF(AF45-Escenarios!$E$38&lt;=0,0,IF(AF45-Escenarios!$E$38&gt;Escenarios!$E$37,Escenarios!$E$37,AF45-Escenarios!$E$38)),0)</f>
        <v>0</v>
      </c>
      <c r="AH45" s="76">
        <f>AG45*Entradas!$E$99</f>
        <v>0</v>
      </c>
      <c r="AI45" s="76">
        <f>IF(Entradas!$E$91&gt;0,D45*Entradas!$D$23/Escenarios!$E$16,0)</f>
        <v>0</v>
      </c>
      <c r="AJ45" s="76">
        <f>IF(Entradas!$E$91&gt;0,Entradas!$D$24*Entradas!$D$22/Escenarios!$E$16,0)</f>
        <v>0</v>
      </c>
      <c r="AK45" s="76">
        <f t="shared" si="10"/>
        <v>2.4852615595770597</v>
      </c>
      <c r="AL45" s="76">
        <f t="shared" si="11"/>
        <v>0</v>
      </c>
      <c r="AM45" s="76">
        <f t="shared" si="2"/>
        <v>0</v>
      </c>
      <c r="AN45" s="76">
        <f>MAX(0,O45*Escenarios!$E$13/Escenarios!$E$16-AM45)</f>
        <v>0.679402507346485</v>
      </c>
      <c r="AO45" s="76">
        <f>AM45+AN45-O45*Escenarios!$E$13/Escenarios!$E$16</f>
        <v>0</v>
      </c>
      <c r="AP45" s="76">
        <f t="shared" si="0"/>
        <v>0.46309226633982109</v>
      </c>
      <c r="AQ45" s="76">
        <f t="shared" si="3"/>
        <v>0</v>
      </c>
      <c r="AR45" s="76">
        <f t="shared" si="4"/>
        <v>1.142494773686306</v>
      </c>
      <c r="AS45" s="76">
        <f t="shared" si="5"/>
        <v>0</v>
      </c>
      <c r="AT45" s="76">
        <f t="shared" si="6"/>
        <v>0</v>
      </c>
      <c r="AU45" s="76">
        <f t="shared" si="7"/>
        <v>48.75</v>
      </c>
      <c r="AV45" s="76">
        <f>MAX(0,(AU45-Constantes!$D$13)*(1-EXP(-Constantes!$D$24)))</f>
        <v>0</v>
      </c>
      <c r="AW45" s="170">
        <f>AW44+(Entradas!$E$112*AT45-AX44)/(800*Entradas!$D$25)</f>
        <v>0</v>
      </c>
      <c r="AX45" s="170">
        <f>8000*Entradas!$D$26*AW45/Constantes!$E$45</f>
        <v>0</v>
      </c>
      <c r="AY45" s="170">
        <f>IF(Escenarios!$E$17&gt;0,10*Escenarios!$E$16*AL45,0)</f>
        <v>0</v>
      </c>
      <c r="AZ45" s="170">
        <f>IF(Escenarios!$E$17&gt;0,10*Escenarios!$E$16*AX45,0)</f>
        <v>0</v>
      </c>
      <c r="BA45" s="170">
        <f>IF(Escenarios!$E$17&gt;0,0.001*Observaciones!$F44*Escenarios!$E$17,0)</f>
        <v>0</v>
      </c>
      <c r="BB45" s="170">
        <f>IF(Escenarios!$E$17&gt;0,Observaciones!$K44,0)</f>
        <v>0</v>
      </c>
      <c r="BC45" s="170">
        <f>IF(Escenarios!$E$17&gt;0,MIN(0.0005*ETo!$M44*Escenarios!$E$17*(BG44/Constantes!$E$40)^(2/3),BG44+AY45+AZ45+BA45+BB45),0)</f>
        <v>28.769789984440592</v>
      </c>
      <c r="BD45" s="170">
        <f>IF(Escenarios!$E$17&gt;0,MIN(Constantes!$E$39*(BG44/Constantes!$E$40)^(2/3),BG44+AY45+AZ45+BA45+BB45-BC45),0)</f>
        <v>44.357586431735498</v>
      </c>
      <c r="BE45" s="170">
        <f>IF(Escenarios!$E$17&gt;0,MIN(Entradas!$E$113,BG44+AY45+AZ45+BA45+BB45-BC45-BD45),0)</f>
        <v>1</v>
      </c>
      <c r="BF45" s="170">
        <f>IF(Escenarios!$E$17&gt;0,MAX(0,BG44+AY45+AZ45+BA45+BB45-BC45-BD45-BE45-Constantes!$E$40),0)</f>
        <v>0</v>
      </c>
      <c r="BG45" s="170">
        <f t="shared" si="12"/>
        <v>2678.3618111511269</v>
      </c>
      <c r="BH45" s="170">
        <f>(Escenarios!$E$16*AK45+0.1*BC45)/(Escenarios!$E$19)</f>
        <v>2.4769538448123374</v>
      </c>
      <c r="BI45" s="170">
        <f>IF(Escenarios!$E$17&gt;0,BF45/10/Escenarios!$E$19,AL45)</f>
        <v>0</v>
      </c>
      <c r="BJ45" s="170">
        <f>(Escenarios!$E$16*AT45+0.1*BD45)/(Escenarios!$E$19)</f>
        <v>1.7602216837990278E-2</v>
      </c>
      <c r="BK45" s="76">
        <f>BK44+(0.1*BD45)/(Escenarios!$E$19)-BL44</f>
        <v>49.19937380512156</v>
      </c>
      <c r="BL45" s="76">
        <f>MAX(0,(BK45-Constantes!$D$13)*(1-EXP(-Constantes!$D$23)))</f>
        <v>4.4277871343642375E-3</v>
      </c>
      <c r="BM45" s="76">
        <f t="shared" si="8"/>
        <v>0.46752005347418535</v>
      </c>
      <c r="BN45" s="76">
        <f t="shared" si="13"/>
        <v>1.1469225608206703</v>
      </c>
      <c r="BO45" s="76">
        <f>0.0526*BI45*Observaciones!$F44^1.218</f>
        <v>0</v>
      </c>
      <c r="BP45" s="76">
        <f>BO45*Constantes!$E$51</f>
        <v>0</v>
      </c>
      <c r="BQ45" s="76">
        <f t="shared" si="9"/>
        <v>0</v>
      </c>
      <c r="BR45" s="40"/>
    </row>
    <row r="46" spans="1:70">
      <c r="A46" s="147"/>
      <c r="B46" s="39"/>
      <c r="C46" s="75">
        <v>40</v>
      </c>
      <c r="D46" s="146">
        <f>ETo!$I45*((1-Constantes!$E$19)*ETo!$K45+ETo!$L45)</f>
        <v>4.3080039652340769</v>
      </c>
      <c r="E46" s="76">
        <f>MIN(D46*Constantes!$E$17,0.8*(N45+Observaciones!$F45-F46-M46-Constantes!$D$14))</f>
        <v>2.1062361832802248</v>
      </c>
      <c r="F46" s="76">
        <f>IF(Observaciones!$F45&gt;0.05*Constantes!$E$18,((Observaciones!$F45-0.05*Constantes!$E$18)^2)/(Observaciones!$F45+0.95*Constantes!$E$18),0)</f>
        <v>0</v>
      </c>
      <c r="G46" s="76">
        <f>IF(Escenarios!$E$11&gt;0,(F46*Escenarios!$E$16*10000)/1000,0)</f>
        <v>0</v>
      </c>
      <c r="H46" s="76">
        <f>IF(Escenarios!$E$11&gt;0,(Observaciones!$F45*Constantes!$E$29)/1000,0)</f>
        <v>20</v>
      </c>
      <c r="I46" s="76">
        <f>IF(Escenarios!$E$11&gt;0,(D46*Constantes!$E$29)/1000,0)</f>
        <v>43.080039652340766</v>
      </c>
      <c r="J46" s="76">
        <f>IF(Escenarios!$E$11&gt;0,MAX(0,G46+H46-I46),0)</f>
        <v>0</v>
      </c>
      <c r="K46" s="76">
        <f>IF(Escenarios!$E$11&gt;0,IF(J46&gt;Constantes!$E$30,1000*((J46-Constantes!$E$30)/(Escenarios!$E$16*10000)),0),F46)</f>
        <v>0</v>
      </c>
      <c r="L46" s="76">
        <f>IF(Escenarios!$E$11&gt;0,I46*1000/Escenarios!$E$16/10000+E46,E46)</f>
        <v>2.1234681991411613</v>
      </c>
      <c r="M46" s="76">
        <f>MAX(0,N45+Observaciones!$F45-K46-Constantes!$D$13)</f>
        <v>0</v>
      </c>
      <c r="N46" s="76">
        <f>N45+Observaciones!$F45-K46-L46-M46-O45</f>
        <v>33.019342551720435</v>
      </c>
      <c r="O46" s="76">
        <f>MAX(0,(N46-Constantes!$D$14)*(1-EXP(-Constantes!$D$22)))</f>
        <v>0.74154372420416725</v>
      </c>
      <c r="P46" s="170">
        <f>P45+(Entradas!$E$83*M46-Q45)/(800*Entradas!$D$25)</f>
        <v>0</v>
      </c>
      <c r="Q46" s="170">
        <f>8000*Entradas!$D$26*P46/Constantes!$E$45</f>
        <v>0</v>
      </c>
      <c r="R46" s="170">
        <f>IF(Escenarios!$E$14&gt;0,K46*Escenarios!$E$13/Escenarios!$E$14,0)</f>
        <v>0</v>
      </c>
      <c r="S46" s="170">
        <f>IF(Escenarios!$E$14&gt;0,Q46*Escenarios!$E$13/Escenarios!$E$14,0)</f>
        <v>0</v>
      </c>
      <c r="T46" s="170">
        <f>IF(Escenarios!$E$14&gt;0,Observaciones!$I45,0)</f>
        <v>0</v>
      </c>
      <c r="U46" s="170">
        <f>IF(Escenarios!$E$14&gt;0,MAX(0,Constantes!$E$36/((Z45+R46+S46+T46+Observaciones!$F45)^2)+Entradas!$E$77),0)</f>
        <v>0</v>
      </c>
      <c r="V46" s="146">
        <f>IF(ETo!D45&gt;0,ETo!I45*((1-Entradas!$E$81)*ETo!K45+ETo!L45),0)</f>
        <v>3.9358614916414423</v>
      </c>
      <c r="W46" s="170">
        <f>IF(Escenarios!$E$14&gt;0,MIN(V46*1,0.8*(Z45+R46+S46+T46+Observaciones!$F45-U46-Constantes!$E$35)),0)</f>
        <v>3.9358614916414423</v>
      </c>
      <c r="X46" s="170">
        <f>IF(Escenarios!$E$14&gt;0,Observaciones!$J45,0)</f>
        <v>0</v>
      </c>
      <c r="Y46" s="170">
        <f>IF(Escenarios!$E$14&gt;0,MAX(0,Z45+R46+S46+T46+Observaciones!$F45-U46-W46-X46-Constantes!$E$33),0)</f>
        <v>0</v>
      </c>
      <c r="Z46" s="170">
        <f>Z45+R46+S46+T46+Observaciones!$F45-U46-W46-Y46</f>
        <v>49.770516120622972</v>
      </c>
      <c r="AA46" s="170">
        <f>IF(Escenarios!$E$14&gt;0,(Escenarios!$E$13*L46+Escenarios!$E$14*W46)/(Escenarios!$E$16),L46)</f>
        <v>2.3409553942411949</v>
      </c>
      <c r="AB46" s="170">
        <f>IF(Escenarios!$E$14&gt;0,(Escenarios!$E$14*Y46)/(Escenarios!$E$16),K46)</f>
        <v>0</v>
      </c>
      <c r="AC46" s="170">
        <f>IF(Escenarios!$E$14&gt;0,(Escenarios!$E$13*M46+Escenarios!$E$14*U46)/(Escenarios!$E$16),M46)</f>
        <v>0</v>
      </c>
      <c r="AD46" s="76">
        <f t="shared" si="1"/>
        <v>95.285900127040563</v>
      </c>
      <c r="AE46" s="76">
        <f>MAX(0,(AD46-Constantes!$D$13)*(1-EXP(-Constantes!$D$23)))</f>
        <v>0.45852930793959035</v>
      </c>
      <c r="AF46" s="76">
        <f>AB46+O46*Escenarios!$E$13/Escenarios!$E$16+AE46</f>
        <v>1.1110877852392576</v>
      </c>
      <c r="AG46" s="76">
        <f>IF(Entradas!$E$91&gt;0,IF(AF46-Escenarios!$E$38&lt;=0,0,IF(AF46-Escenarios!$E$38&gt;Escenarios!$E$37,Escenarios!$E$37,AF46-Escenarios!$E$38)),0)</f>
        <v>0</v>
      </c>
      <c r="AH46" s="76">
        <f>AG46*Entradas!$E$99</f>
        <v>0</v>
      </c>
      <c r="AI46" s="76">
        <f>IF(Entradas!$E$91&gt;0,D46*Entradas!$D$23/Escenarios!$E$16,0)</f>
        <v>0</v>
      </c>
      <c r="AJ46" s="76">
        <f>IF(Entradas!$E$91&gt;0,Entradas!$D$24*Entradas!$D$22/Escenarios!$E$16,0)</f>
        <v>0</v>
      </c>
      <c r="AK46" s="76">
        <f t="shared" si="10"/>
        <v>2.3409553942411949</v>
      </c>
      <c r="AL46" s="76">
        <f t="shared" si="11"/>
        <v>0</v>
      </c>
      <c r="AM46" s="76">
        <f t="shared" si="2"/>
        <v>0</v>
      </c>
      <c r="AN46" s="76">
        <f>MAX(0,O46*Escenarios!$E$13/Escenarios!$E$16-AM46)</f>
        <v>0.65255847729966721</v>
      </c>
      <c r="AO46" s="76">
        <f>AM46+AN46-O46*Escenarios!$E$13/Escenarios!$E$16</f>
        <v>0</v>
      </c>
      <c r="AP46" s="76">
        <f t="shared" si="0"/>
        <v>0.45852930793959035</v>
      </c>
      <c r="AQ46" s="76">
        <f t="shared" si="3"/>
        <v>0</v>
      </c>
      <c r="AR46" s="76">
        <f t="shared" si="4"/>
        <v>1.1110877852392576</v>
      </c>
      <c r="AS46" s="76">
        <f t="shared" si="5"/>
        <v>0</v>
      </c>
      <c r="AT46" s="76">
        <f t="shared" si="6"/>
        <v>0</v>
      </c>
      <c r="AU46" s="76">
        <f t="shared" si="7"/>
        <v>48.75</v>
      </c>
      <c r="AV46" s="76">
        <f>MAX(0,(AU46-Constantes!$D$13)*(1-EXP(-Constantes!$D$24)))</f>
        <v>0</v>
      </c>
      <c r="AW46" s="170">
        <f>AW45+(Entradas!$E$112*AT46-AX45)/(800*Entradas!$D$25)</f>
        <v>0</v>
      </c>
      <c r="AX46" s="170">
        <f>8000*Entradas!$D$26*AW46/Constantes!$E$45</f>
        <v>0</v>
      </c>
      <c r="AY46" s="170">
        <f>IF(Escenarios!$E$17&gt;0,10*Escenarios!$E$16*AL46,0)</f>
        <v>0</v>
      </c>
      <c r="AZ46" s="170">
        <f>IF(Escenarios!$E$17&gt;0,10*Escenarios!$E$16*AX46,0)</f>
        <v>0</v>
      </c>
      <c r="BA46" s="170">
        <f>IF(Escenarios!$E$17&gt;0,0.001*Observaciones!$F45*Escenarios!$E$17,0)</f>
        <v>40</v>
      </c>
      <c r="BB46" s="170">
        <f>IF(Escenarios!$E$17&gt;0,Observaciones!$K45,0)</f>
        <v>6.2178808977914031</v>
      </c>
      <c r="BC46" s="170">
        <f>IF(Escenarios!$E$17&gt;0,MIN(0.0005*ETo!$M45*Escenarios!$E$17*(BG45/Constantes!$E$40)^(2/3),BG45+AY46+AZ46+BA46+BB46),0)</f>
        <v>26.64406339196378</v>
      </c>
      <c r="BD46" s="170">
        <f>IF(Escenarios!$E$17&gt;0,MIN(Constantes!$E$39*(BG45/Constantes!$E$40)^(2/3),BG45+AY46+AZ46+BA46+BB46-BC46),0)</f>
        <v>43.557571253773666</v>
      </c>
      <c r="BE46" s="170">
        <f>IF(Escenarios!$E$17&gt;0,MIN(Entradas!$E$113,BG45+AY46+AZ46+BA46+BB46-BC46-BD46),0)</f>
        <v>1</v>
      </c>
      <c r="BF46" s="170">
        <f>IF(Escenarios!$E$17&gt;0,MAX(0,BG45+AY46+AZ46+BA46+BB46-BC46-BD46-BE46-Constantes!$E$40),0)</f>
        <v>0</v>
      </c>
      <c r="BG46" s="170">
        <f t="shared" si="12"/>
        <v>2653.3780574031807</v>
      </c>
      <c r="BH46" s="170">
        <f>(Escenarios!$E$16*AK46+0.1*BC46)/(Escenarios!$E$19)</f>
        <v>2.3329494242043456</v>
      </c>
      <c r="BI46" s="170">
        <f>IF(Escenarios!$E$17&gt;0,BF46/10/Escenarios!$E$19,AL46)</f>
        <v>0</v>
      </c>
      <c r="BJ46" s="170">
        <f>(Escenarios!$E$16*AT46+0.1*BD46)/(Escenarios!$E$19)</f>
        <v>1.7284750497529235E-2</v>
      </c>
      <c r="BK46" s="76">
        <f>BK45+(0.1*BD46)/(Escenarios!$E$19)-BL45</f>
        <v>49.21223076848473</v>
      </c>
      <c r="BL46" s="76">
        <f>MAX(0,(BK46-Constantes!$D$13)*(1-EXP(-Constantes!$D$23)))</f>
        <v>4.5544698566716418E-3</v>
      </c>
      <c r="BM46" s="76">
        <f t="shared" si="8"/>
        <v>0.46308377779626198</v>
      </c>
      <c r="BN46" s="76">
        <f t="shared" si="13"/>
        <v>1.1156422550959293</v>
      </c>
      <c r="BO46" s="76">
        <f>0.0526*BI46*Observaciones!$F45^1.218</f>
        <v>0</v>
      </c>
      <c r="BP46" s="76">
        <f>BO46*Constantes!$E$51</f>
        <v>0</v>
      </c>
      <c r="BQ46" s="76">
        <f t="shared" si="9"/>
        <v>0</v>
      </c>
      <c r="BR46" s="40"/>
    </row>
    <row r="47" spans="1:70">
      <c r="A47" s="147"/>
      <c r="B47" s="39"/>
      <c r="C47" s="75">
        <v>41</v>
      </c>
      <c r="D47" s="146">
        <f>ETo!$I46*((1-Constantes!$E$19)*ETo!$K46+ETo!$L46)</f>
        <v>4.3899728717321951</v>
      </c>
      <c r="E47" s="76">
        <f>MIN(D47*Constantes!$E$17,0.8*(N46+Observaciones!$F46-F47-M47-Constantes!$D$14))</f>
        <v>2.1463117909545715</v>
      </c>
      <c r="F47" s="76">
        <f>IF(Observaciones!$F46&gt;0.05*Constantes!$E$18,((Observaciones!$F46-0.05*Constantes!$E$18)^2)/(Observaciones!$F46+0.95*Constantes!$E$18),0)</f>
        <v>1.8634523676130172</v>
      </c>
      <c r="G47" s="76">
        <f>IF(Escenarios!$E$11&gt;0,(F47*Escenarios!$E$16*10000)/1000,0)</f>
        <v>4658.6309190325428</v>
      </c>
      <c r="H47" s="76">
        <f>IF(Escenarios!$E$11&gt;0,(Observaciones!$F46*Constantes!$E$29)/1000,0)</f>
        <v>218</v>
      </c>
      <c r="I47" s="76">
        <f>IF(Escenarios!$E$11&gt;0,(D47*Constantes!$E$29)/1000,0)</f>
        <v>43.899728717321949</v>
      </c>
      <c r="J47" s="76">
        <f>IF(Escenarios!$E$11&gt;0,MAX(0,G47+H47-I47),0)</f>
        <v>4832.7311903152213</v>
      </c>
      <c r="K47" s="76">
        <f>IF(Escenarios!$E$11&gt;0,IF(J47&gt;Constantes!$E$30,1000*((J47-Constantes!$E$30)/(Escenarios!$E$16*10000)),0),F47)</f>
        <v>1.4183865937731472</v>
      </c>
      <c r="L47" s="76">
        <f>IF(Escenarios!$E$11&gt;0,I47*1000/Escenarios!$E$16/10000+E47,E47)</f>
        <v>2.1638716824415001</v>
      </c>
      <c r="M47" s="76">
        <f>MAX(0,N46+Observaciones!$F46-K47-Constantes!$D$13)</f>
        <v>4.6509559579472892</v>
      </c>
      <c r="N47" s="76">
        <f>N46+Observaciones!$F46-K47-L47-M47-O46</f>
        <v>45.844584593354327</v>
      </c>
      <c r="O47" s="76">
        <f>MAX(0,(N47-Constantes!$D$14)*(1-EXP(-Constantes!$D$22)))</f>
        <v>1.1784185505696259</v>
      </c>
      <c r="P47" s="170">
        <f>P46+(Entradas!$E$83*M47-Q46)/(800*Entradas!$D$25)</f>
        <v>0</v>
      </c>
      <c r="Q47" s="170">
        <f>8000*Entradas!$D$26*P47/Constantes!$E$45</f>
        <v>0</v>
      </c>
      <c r="R47" s="170">
        <f>IF(Escenarios!$E$14&gt;0,K47*Escenarios!$E$13/Escenarios!$E$14,0)</f>
        <v>10.401501687669747</v>
      </c>
      <c r="S47" s="170">
        <f>IF(Escenarios!$E$14&gt;0,Q47*Escenarios!$E$13/Escenarios!$E$14,0)</f>
        <v>0</v>
      </c>
      <c r="T47" s="170">
        <f>IF(Escenarios!$E$14&gt;0,Observaciones!$I46,0)</f>
        <v>0</v>
      </c>
      <c r="U47" s="170">
        <f>IF(Escenarios!$E$14&gt;0,MAX(0,Constantes!$E$36/((Z46+R47+S47+T47+Observaciones!$F46)^2)+Entradas!$E$77),0)</f>
        <v>1.4720760606831225</v>
      </c>
      <c r="V47" s="146">
        <f>IF(ETo!D46&gt;0,ETo!I46*((1-Entradas!$E$81)*ETo!K46+ETo!L46),0)</f>
        <v>4.0116440526006034</v>
      </c>
      <c r="W47" s="170">
        <f>IF(Escenarios!$E$14&gt;0,MIN(V47*1,0.8*(Z46+R47+S47+T47+Observaciones!$F46-U47-Constantes!$E$35)),0)</f>
        <v>4.0116440526006034</v>
      </c>
      <c r="X47" s="170">
        <f>IF(Escenarios!$E$14&gt;0,Observaciones!$J46,0)</f>
        <v>0</v>
      </c>
      <c r="Y47" s="170">
        <f>IF(Escenarios!$E$14&gt;0,MAX(0,Z46+R47+S47+T47+Observaciones!$F46-U47-W47-X47-Constantes!$E$33),0)</f>
        <v>0</v>
      </c>
      <c r="Z47" s="170">
        <f>Z46+R47+S47+T47+Observaciones!$F46-U47-W47-Y47</f>
        <v>76.488297695008995</v>
      </c>
      <c r="AA47" s="170">
        <f>IF(Escenarios!$E$14&gt;0,(Escenarios!$E$13*L47+Escenarios!$E$14*W47)/(Escenarios!$E$16),L47)</f>
        <v>2.3856043668605924</v>
      </c>
      <c r="AB47" s="170">
        <f>IF(Escenarios!$E$14&gt;0,(Escenarios!$E$14*Y47)/(Escenarios!$E$16),K47)</f>
        <v>0</v>
      </c>
      <c r="AC47" s="170">
        <f>IF(Escenarios!$E$14&gt;0,(Escenarios!$E$13*M47+Escenarios!$E$14*U47)/(Escenarios!$E$16),M47)</f>
        <v>4.2694903702755891</v>
      </c>
      <c r="AD47" s="76">
        <f t="shared" si="1"/>
        <v>99.096861189376568</v>
      </c>
      <c r="AE47" s="76">
        <f>MAX(0,(AD47-Constantes!$D$13)*(1-EXP(-Constantes!$D$23)))</f>
        <v>0.49607961498699338</v>
      </c>
      <c r="AF47" s="76">
        <f>AB47+O47*Escenarios!$E$13/Escenarios!$E$16+AE47</f>
        <v>1.5330879394882642</v>
      </c>
      <c r="AG47" s="76">
        <f>IF(Entradas!$E$91&gt;0,IF(AF47-Escenarios!$E$38&lt;=0,0,IF(AF47-Escenarios!$E$38&gt;Escenarios!$E$37,Escenarios!$E$37,AF47-Escenarios!$E$38)),0)</f>
        <v>0</v>
      </c>
      <c r="AH47" s="76">
        <f>AG47*Entradas!$E$99</f>
        <v>0</v>
      </c>
      <c r="AI47" s="76">
        <f>IF(Entradas!$E$91&gt;0,D47*Entradas!$D$23/Escenarios!$E$16,0)</f>
        <v>0</v>
      </c>
      <c r="AJ47" s="76">
        <f>IF(Entradas!$E$91&gt;0,Entradas!$D$24*Entradas!$D$22/Escenarios!$E$16,0)</f>
        <v>0</v>
      </c>
      <c r="AK47" s="76">
        <f t="shared" si="10"/>
        <v>2.3856043668605924</v>
      </c>
      <c r="AL47" s="76">
        <f t="shared" si="11"/>
        <v>0</v>
      </c>
      <c r="AM47" s="76">
        <f t="shared" si="2"/>
        <v>0</v>
      </c>
      <c r="AN47" s="76">
        <f>MAX(0,O47*Escenarios!$E$13/Escenarios!$E$16-AM47)</f>
        <v>1.0370083245012709</v>
      </c>
      <c r="AO47" s="76">
        <f>AM47+AN47-O47*Escenarios!$E$13/Escenarios!$E$16</f>
        <v>0</v>
      </c>
      <c r="AP47" s="76">
        <f t="shared" si="0"/>
        <v>0.49607961498699338</v>
      </c>
      <c r="AQ47" s="76">
        <f t="shared" si="3"/>
        <v>0</v>
      </c>
      <c r="AR47" s="76">
        <f t="shared" si="4"/>
        <v>1.5330879394882642</v>
      </c>
      <c r="AS47" s="76">
        <f t="shared" si="5"/>
        <v>0</v>
      </c>
      <c r="AT47" s="76">
        <f t="shared" si="6"/>
        <v>4.2694903702755891</v>
      </c>
      <c r="AU47" s="76">
        <f t="shared" si="7"/>
        <v>48.75</v>
      </c>
      <c r="AV47" s="76">
        <f>MAX(0,(AU47-Constantes!$D$13)*(1-EXP(-Constantes!$D$24)))</f>
        <v>0</v>
      </c>
      <c r="AW47" s="170">
        <f>AW46+(Entradas!$E$112*AT47-AX46)/(800*Entradas!$D$25)</f>
        <v>0</v>
      </c>
      <c r="AX47" s="170">
        <f>8000*Entradas!$D$26*AW47/Constantes!$E$45</f>
        <v>0</v>
      </c>
      <c r="AY47" s="170">
        <f>IF(Escenarios!$E$17&gt;0,10*Escenarios!$E$16*AL47,0)</f>
        <v>0</v>
      </c>
      <c r="AZ47" s="170">
        <f>IF(Escenarios!$E$17&gt;0,10*Escenarios!$E$16*AX47,0)</f>
        <v>0</v>
      </c>
      <c r="BA47" s="170">
        <f>IF(Escenarios!$E$17&gt;0,0.001*Observaciones!$F46*Escenarios!$E$17,0)</f>
        <v>436</v>
      </c>
      <c r="BB47" s="170">
        <f>IF(Escenarios!$E$17&gt;0,Observaciones!$K46,0)</f>
        <v>300.83094288980993</v>
      </c>
      <c r="BC47" s="170">
        <f>IF(Escenarios!$E$17&gt;0,MIN(0.0005*ETo!$M46*Escenarios!$E$17*(BG46/Constantes!$E$40)^(2/3),BG46+AY47+AZ47+BA47+BB47),0)</f>
        <v>26.974301049628476</v>
      </c>
      <c r="BD47" s="170">
        <f>IF(Escenarios!$E$17&gt;0,MIN(Constantes!$E$39*(BG46/Constantes!$E$40)^(2/3),BG46+AY47+AZ47+BA47+BB47-BC47),0)</f>
        <v>43.286278426194826</v>
      </c>
      <c r="BE47" s="170">
        <f>IF(Escenarios!$E$17&gt;0,MIN(Entradas!$E$113,BG46+AY47+AZ47+BA47+BB47-BC47-BD47),0)</f>
        <v>1</v>
      </c>
      <c r="BF47" s="170">
        <f>IF(Escenarios!$E$17&gt;0,MAX(0,BG46+AY47+AZ47+BA47+BB47-BC47-BD47-BE47-Constantes!$E$40),0)</f>
        <v>0</v>
      </c>
      <c r="BG47" s="170">
        <f t="shared" si="12"/>
        <v>3318.9484208171675</v>
      </c>
      <c r="BH47" s="170">
        <f>(Escenarios!$E$16*AK47+0.1*BC47)/(Escenarios!$E$19)</f>
        <v>2.3773750865877421</v>
      </c>
      <c r="BI47" s="170">
        <f>IF(Escenarios!$E$17&gt;0,BF47/10/Escenarios!$E$19,AL47)</f>
        <v>0</v>
      </c>
      <c r="BJ47" s="170">
        <f>(Escenarios!$E$16*AT47+0.1*BD47)/(Escenarios!$E$19)</f>
        <v>4.2527826206806223</v>
      </c>
      <c r="BK47" s="76">
        <f>BK46+(0.1*BD47)/(Escenarios!$E$19)-BL46</f>
        <v>49.224853393241631</v>
      </c>
      <c r="BL47" s="76">
        <f>MAX(0,(BK47-Constantes!$D$13)*(1-EXP(-Constantes!$D$23)))</f>
        <v>4.6788435848763681E-3</v>
      </c>
      <c r="BM47" s="76">
        <f t="shared" si="8"/>
        <v>0.50075845857186974</v>
      </c>
      <c r="BN47" s="76">
        <f t="shared" si="13"/>
        <v>1.5377667830731405</v>
      </c>
      <c r="BO47" s="76">
        <f>0.0526*BI47*Observaciones!$F46^1.218</f>
        <v>0</v>
      </c>
      <c r="BP47" s="76">
        <f>BO47*Constantes!$E$51</f>
        <v>0</v>
      </c>
      <c r="BQ47" s="76">
        <f t="shared" si="9"/>
        <v>0</v>
      </c>
      <c r="BR47" s="40"/>
    </row>
    <row r="48" spans="1:70">
      <c r="A48" s="147"/>
      <c r="B48" s="39"/>
      <c r="C48" s="75">
        <v>42</v>
      </c>
      <c r="D48" s="146">
        <f>ETo!$I47*((1-Constantes!$E$19)*ETo!$K47+ETo!$L47)</f>
        <v>4.246749926227972</v>
      </c>
      <c r="E48" s="76">
        <f>MIN(D48*Constantes!$E$17,0.8*(N47+Observaciones!$F47-F48-M48-Constantes!$D$14))</f>
        <v>2.0762883293859664</v>
      </c>
      <c r="F48" s="76">
        <f>IF(Observaciones!$F47&gt;0.05*Constantes!$E$18,((Observaciones!$F47-0.05*Constantes!$E$18)^2)/(Observaciones!$F47+0.95*Constantes!$E$18),0)</f>
        <v>0</v>
      </c>
      <c r="G48" s="76">
        <f>IF(Escenarios!$E$11&gt;0,(F48*Escenarios!$E$16*10000)/1000,0)</f>
        <v>0</v>
      </c>
      <c r="H48" s="76">
        <f>IF(Escenarios!$E$11&gt;0,(Observaciones!$F47*Constantes!$E$29)/1000,0)</f>
        <v>0</v>
      </c>
      <c r="I48" s="76">
        <f>IF(Escenarios!$E$11&gt;0,(D48*Constantes!$E$29)/1000,0)</f>
        <v>42.467499262279723</v>
      </c>
      <c r="J48" s="76">
        <f>IF(Escenarios!$E$11&gt;0,MAX(0,G48+H48-I48),0)</f>
        <v>0</v>
      </c>
      <c r="K48" s="76">
        <f>IF(Escenarios!$E$11&gt;0,IF(J48&gt;Constantes!$E$30,1000*((J48-Constantes!$E$30)/(Escenarios!$E$16*10000)),0),F48)</f>
        <v>0</v>
      </c>
      <c r="L48" s="76">
        <f>IF(Escenarios!$E$11&gt;0,I48*1000/Escenarios!$E$16/10000+E48,E48)</f>
        <v>2.0932753290908783</v>
      </c>
      <c r="M48" s="76">
        <f>MAX(0,N47+Observaciones!$F47-K48-Constantes!$D$13)</f>
        <v>0</v>
      </c>
      <c r="N48" s="76">
        <f>N47+Observaciones!$F47-K48-L48-M48-O47</f>
        <v>42.572890713693823</v>
      </c>
      <c r="O48" s="76">
        <f>MAX(0,(N48-Constantes!$D$14)*(1-EXP(-Constantes!$D$22)))</f>
        <v>1.0669726463942746</v>
      </c>
      <c r="P48" s="170">
        <f>P47+(Entradas!$E$83*M48-Q47)/(800*Entradas!$D$25)</f>
        <v>0</v>
      </c>
      <c r="Q48" s="170">
        <f>8000*Entradas!$D$26*P48/Constantes!$E$45</f>
        <v>0</v>
      </c>
      <c r="R48" s="170">
        <f>IF(Escenarios!$E$14&gt;0,K48*Escenarios!$E$13/Escenarios!$E$14,0)</f>
        <v>0</v>
      </c>
      <c r="S48" s="170">
        <f>IF(Escenarios!$E$14&gt;0,Q48*Escenarios!$E$13/Escenarios!$E$14,0)</f>
        <v>0</v>
      </c>
      <c r="T48" s="170">
        <f>IF(Escenarios!$E$14&gt;0,Observaciones!$I47,0)</f>
        <v>0</v>
      </c>
      <c r="U48" s="170">
        <f>IF(Escenarios!$E$14&gt;0,MAX(0,Constantes!$E$36/((Z47+R48+S48+T48+Observaciones!$F47)^2)+Entradas!$E$77),0)</f>
        <v>1.2451378944485554</v>
      </c>
      <c r="V48" s="146">
        <f>IF(ETo!D47&gt;0,ETo!I47*((1-Entradas!$E$81)*ETo!K47+ETo!L47),0)</f>
        <v>3.8792019059073235</v>
      </c>
      <c r="W48" s="170">
        <f>IF(Escenarios!$E$14&gt;0,MIN(V48*1,0.8*(Z47+R48+S48+T48+Observaciones!$F47-U48-Constantes!$E$35)),0)</f>
        <v>3.8792019059073235</v>
      </c>
      <c r="X48" s="170">
        <f>IF(Escenarios!$E$14&gt;0,Observaciones!$J47,0)</f>
        <v>0</v>
      </c>
      <c r="Y48" s="170">
        <f>IF(Escenarios!$E$14&gt;0,MAX(0,Z47+R48+S48+T48+Observaciones!$F47-U48-W48-X48-Constantes!$E$33),0)</f>
        <v>0</v>
      </c>
      <c r="Z48" s="170">
        <f>Z47+R48+S48+T48+Observaciones!$F47-U48-W48-Y48</f>
        <v>71.363957894653112</v>
      </c>
      <c r="AA48" s="170">
        <f>IF(Escenarios!$E$14&gt;0,(Escenarios!$E$13*L48+Escenarios!$E$14*W48)/(Escenarios!$E$16),L48)</f>
        <v>2.3075865183088515</v>
      </c>
      <c r="AB48" s="170">
        <f>IF(Escenarios!$E$14&gt;0,(Escenarios!$E$14*Y48)/(Escenarios!$E$16),K48)</f>
        <v>0</v>
      </c>
      <c r="AC48" s="170">
        <f>IF(Escenarios!$E$14&gt;0,(Escenarios!$E$13*M48+Escenarios!$E$14*U48)/(Escenarios!$E$16),M48)</f>
        <v>0.14941654733382664</v>
      </c>
      <c r="AD48" s="76">
        <f t="shared" si="1"/>
        <v>98.7501981217234</v>
      </c>
      <c r="AE48" s="76">
        <f>MAX(0,(AD48-Constantes!$D$13)*(1-EXP(-Constantes!$D$23)))</f>
        <v>0.4926638612126969</v>
      </c>
      <c r="AF48" s="76">
        <f>AB48+O48*Escenarios!$E$13/Escenarios!$E$16+AE48</f>
        <v>1.4315997900396584</v>
      </c>
      <c r="AG48" s="76">
        <f>IF(Entradas!$E$91&gt;0,IF(AF48-Escenarios!$E$38&lt;=0,0,IF(AF48-Escenarios!$E$38&gt;Escenarios!$E$37,Escenarios!$E$37,AF48-Escenarios!$E$38)),0)</f>
        <v>0</v>
      </c>
      <c r="AH48" s="76">
        <f>AG48*Entradas!$E$99</f>
        <v>0</v>
      </c>
      <c r="AI48" s="76">
        <f>IF(Entradas!$E$91&gt;0,D48*Entradas!$D$23/Escenarios!$E$16,0)</f>
        <v>0</v>
      </c>
      <c r="AJ48" s="76">
        <f>IF(Entradas!$E$91&gt;0,Entradas!$D$24*Entradas!$D$22/Escenarios!$E$16,0)</f>
        <v>0</v>
      </c>
      <c r="AK48" s="76">
        <f t="shared" si="10"/>
        <v>2.3075865183088515</v>
      </c>
      <c r="AL48" s="76">
        <f t="shared" si="11"/>
        <v>0</v>
      </c>
      <c r="AM48" s="76">
        <f t="shared" si="2"/>
        <v>0</v>
      </c>
      <c r="AN48" s="76">
        <f>MAX(0,O48*Escenarios!$E$13/Escenarios!$E$16-AM48)</f>
        <v>0.93893592882696164</v>
      </c>
      <c r="AO48" s="76">
        <f>AM48+AN48-O48*Escenarios!$E$13/Escenarios!$E$16</f>
        <v>0</v>
      </c>
      <c r="AP48" s="76">
        <f t="shared" si="0"/>
        <v>0.4926638612126969</v>
      </c>
      <c r="AQ48" s="76">
        <f t="shared" si="3"/>
        <v>0</v>
      </c>
      <c r="AR48" s="76">
        <f t="shared" si="4"/>
        <v>1.4315997900396584</v>
      </c>
      <c r="AS48" s="76">
        <f t="shared" si="5"/>
        <v>0</v>
      </c>
      <c r="AT48" s="76">
        <f t="shared" si="6"/>
        <v>0.14941654733382664</v>
      </c>
      <c r="AU48" s="76">
        <f t="shared" si="7"/>
        <v>48.75</v>
      </c>
      <c r="AV48" s="76">
        <f>MAX(0,(AU48-Constantes!$D$13)*(1-EXP(-Constantes!$D$24)))</f>
        <v>0</v>
      </c>
      <c r="AW48" s="170">
        <f>AW47+(Entradas!$E$112*AT48-AX47)/(800*Entradas!$D$25)</f>
        <v>0</v>
      </c>
      <c r="AX48" s="170">
        <f>8000*Entradas!$D$26*AW48/Constantes!$E$45</f>
        <v>0</v>
      </c>
      <c r="AY48" s="170">
        <f>IF(Escenarios!$E$17&gt;0,10*Escenarios!$E$16*AL48,0)</f>
        <v>0</v>
      </c>
      <c r="AZ48" s="170">
        <f>IF(Escenarios!$E$17&gt;0,10*Escenarios!$E$16*AX48,0)</f>
        <v>0</v>
      </c>
      <c r="BA48" s="170">
        <f>IF(Escenarios!$E$17&gt;0,0.001*Observaciones!$F47*Escenarios!$E$17,0)</f>
        <v>0</v>
      </c>
      <c r="BB48" s="170">
        <f>IF(Escenarios!$E$17&gt;0,Observaciones!$K47,0)</f>
        <v>0</v>
      </c>
      <c r="BC48" s="170">
        <f>IF(Escenarios!$E$17&gt;0,MIN(0.0005*ETo!$M47*Escenarios!$E$17*(BG47/Constantes!$E$40)^(2/3),BG47+AY48+AZ48+BA48+BB48),0)</f>
        <v>30.308697450401965</v>
      </c>
      <c r="BD48" s="170">
        <f>IF(Escenarios!$E$17&gt;0,MIN(Constantes!$E$39*(BG47/Constantes!$E$40)^(2/3),BG47+AY48+AZ48+BA48+BB48-BC48),0)</f>
        <v>50.251746678612157</v>
      </c>
      <c r="BE48" s="170">
        <f>IF(Escenarios!$E$17&gt;0,MIN(Entradas!$E$113,BG47+AY48+AZ48+BA48+BB48-BC48-BD48),0)</f>
        <v>1</v>
      </c>
      <c r="BF48" s="170">
        <f>IF(Escenarios!$E$17&gt;0,MAX(0,BG47+AY48+AZ48+BA48+BB48-BC48-BD48-BE48-Constantes!$E$40),0)</f>
        <v>0</v>
      </c>
      <c r="BG48" s="170">
        <f t="shared" si="12"/>
        <v>3237.3879766881532</v>
      </c>
      <c r="BH48" s="170">
        <f>(Escenarios!$E$16*AK48+0.1*BC48)/(Escenarios!$E$19)</f>
        <v>2.3012996004851312</v>
      </c>
      <c r="BI48" s="170">
        <f>IF(Escenarios!$E$17&gt;0,BF48/10/Escenarios!$E$19,AL48)</f>
        <v>0</v>
      </c>
      <c r="BJ48" s="170">
        <f>(Escenarios!$E$16*AT48+0.1*BD48)/(Escenarios!$E$19)</f>
        <v>0.1681718710369757</v>
      </c>
      <c r="BK48" s="76">
        <f>BK47+(0.1*BD48)/(Escenarios!$E$19)-BL47</f>
        <v>49.240115718973662</v>
      </c>
      <c r="BL48" s="76">
        <f>MAX(0,(BK48-Constantes!$D$13)*(1-EXP(-Constantes!$D$23)))</f>
        <v>4.8292269155168462E-3</v>
      </c>
      <c r="BM48" s="76">
        <f t="shared" si="8"/>
        <v>0.49749308812821375</v>
      </c>
      <c r="BN48" s="76">
        <f t="shared" si="13"/>
        <v>1.4364290169551752</v>
      </c>
      <c r="BO48" s="76">
        <f>0.0526*BI48*Observaciones!$F47^1.218</f>
        <v>0</v>
      </c>
      <c r="BP48" s="76">
        <f>BO48*Constantes!$E$51</f>
        <v>0</v>
      </c>
      <c r="BQ48" s="76">
        <f t="shared" si="9"/>
        <v>0</v>
      </c>
      <c r="BR48" s="40"/>
    </row>
    <row r="49" spans="1:70">
      <c r="A49" s="147"/>
      <c r="B49" s="39"/>
      <c r="C49" s="75">
        <v>43</v>
      </c>
      <c r="D49" s="146">
        <f>ETo!$I48*((1-Constantes!$E$19)*ETo!$K48+ETo!$L48)</f>
        <v>4.4315904961803048</v>
      </c>
      <c r="E49" s="76">
        <f>MIN(D49*Constantes!$E$17,0.8*(N48+Observaciones!$F48-F49-M49-Constantes!$D$14))</f>
        <v>2.1666591599872307</v>
      </c>
      <c r="F49" s="76">
        <f>IF(Observaciones!$F48&gt;0.05*Constantes!$E$18,((Observaciones!$F48-0.05*Constantes!$E$18)^2)/(Observaciones!$F48+0.95*Constantes!$E$18),0)</f>
        <v>0</v>
      </c>
      <c r="G49" s="76">
        <f>IF(Escenarios!$E$11&gt;0,(F49*Escenarios!$E$16*10000)/1000,0)</f>
        <v>0</v>
      </c>
      <c r="H49" s="76">
        <f>IF(Escenarios!$E$11&gt;0,(Observaciones!$F48*Constantes!$E$29)/1000,0)</f>
        <v>19</v>
      </c>
      <c r="I49" s="76">
        <f>IF(Escenarios!$E$11&gt;0,(D49*Constantes!$E$29)/1000,0)</f>
        <v>44.315904961803049</v>
      </c>
      <c r="J49" s="76">
        <f>IF(Escenarios!$E$11&gt;0,MAX(0,G49+H49-I49),0)</f>
        <v>0</v>
      </c>
      <c r="K49" s="76">
        <f>IF(Escenarios!$E$11&gt;0,IF(J49&gt;Constantes!$E$30,1000*((J49-Constantes!$E$30)/(Escenarios!$E$16*10000)),0),F49)</f>
        <v>0</v>
      </c>
      <c r="L49" s="76">
        <f>IF(Escenarios!$E$11&gt;0,I49*1000/Escenarios!$E$16/10000+E49,E49)</f>
        <v>2.1843855219719521</v>
      </c>
      <c r="M49" s="76">
        <f>MAX(0,N48+Observaciones!$F48-K49-Constantes!$D$13)</f>
        <v>0</v>
      </c>
      <c r="N49" s="76">
        <f>N48+Observaciones!$F48-K49-L49-M49-O48</f>
        <v>41.221532545327591</v>
      </c>
      <c r="O49" s="76">
        <f>MAX(0,(N49-Constantes!$D$14)*(1-EXP(-Constantes!$D$22)))</f>
        <v>1.0209404262423243</v>
      </c>
      <c r="P49" s="170">
        <f>P48+(Entradas!$E$83*M49-Q48)/(800*Entradas!$D$25)</f>
        <v>0</v>
      </c>
      <c r="Q49" s="170">
        <f>8000*Entradas!$D$26*P49/Constantes!$E$45</f>
        <v>0</v>
      </c>
      <c r="R49" s="170">
        <f>IF(Escenarios!$E$14&gt;0,K49*Escenarios!$E$13/Escenarios!$E$14,0)</f>
        <v>0</v>
      </c>
      <c r="S49" s="170">
        <f>IF(Escenarios!$E$14&gt;0,Q49*Escenarios!$E$13/Escenarios!$E$14,0)</f>
        <v>0</v>
      </c>
      <c r="T49" s="170">
        <f>IF(Escenarios!$E$14&gt;0,Observaciones!$I48,0)</f>
        <v>0</v>
      </c>
      <c r="U49" s="170">
        <f>IF(Escenarios!$E$14&gt;0,MAX(0,Constantes!$E$36/((Z48+R49+S49+T49+Observaciones!$F48)^2)+Entradas!$E$77),0)</f>
        <v>1.087276323851144</v>
      </c>
      <c r="V49" s="146">
        <f>IF(ETo!D48&gt;0,ETo!I48*((1-Entradas!$E$81)*ETo!K48+ETo!L48),0)</f>
        <v>4.0501272894215647</v>
      </c>
      <c r="W49" s="170">
        <f>IF(Escenarios!$E$14&gt;0,MIN(V49*1,0.8*(Z48+R49+S49+T49+Observaciones!$F48-U49-Constantes!$E$35)),0)</f>
        <v>4.0501272894215647</v>
      </c>
      <c r="X49" s="170">
        <f>IF(Escenarios!$E$14&gt;0,Observaciones!$J48,0)</f>
        <v>0</v>
      </c>
      <c r="Y49" s="170">
        <f>IF(Escenarios!$E$14&gt;0,MAX(0,Z48+R49+S49+T49+Observaciones!$F48-U49-W49-X49-Constantes!$E$33),0)</f>
        <v>0</v>
      </c>
      <c r="Z49" s="170">
        <f>Z48+R49+S49+T49+Observaciones!$F48-U49-W49-Y49</f>
        <v>68.126554281380407</v>
      </c>
      <c r="AA49" s="170">
        <f>IF(Escenarios!$E$14&gt;0,(Escenarios!$E$13*L49+Escenarios!$E$14*W49)/(Escenarios!$E$16),L49)</f>
        <v>2.4082745340659057</v>
      </c>
      <c r="AB49" s="170">
        <f>IF(Escenarios!$E$14&gt;0,(Escenarios!$E$14*Y49)/(Escenarios!$E$16),K49)</f>
        <v>0</v>
      </c>
      <c r="AC49" s="170">
        <f>IF(Escenarios!$E$14&gt;0,(Escenarios!$E$13*M49+Escenarios!$E$14*U49)/(Escenarios!$E$16),M49)</f>
        <v>0.13047315886213728</v>
      </c>
      <c r="AD49" s="76">
        <f t="shared" si="1"/>
        <v>98.38800741937284</v>
      </c>
      <c r="AE49" s="76">
        <f>MAX(0,(AD49-Constantes!$D$13)*(1-EXP(-Constantes!$D$23)))</f>
        <v>0.48909510995533262</v>
      </c>
      <c r="AF49" s="76">
        <f>AB49+O49*Escenarios!$E$13/Escenarios!$E$16+AE49</f>
        <v>1.387522685048578</v>
      </c>
      <c r="AG49" s="76">
        <f>IF(Entradas!$E$91&gt;0,IF(AF49-Escenarios!$E$38&lt;=0,0,IF(AF49-Escenarios!$E$38&gt;Escenarios!$E$37,Escenarios!$E$37,AF49-Escenarios!$E$38)),0)</f>
        <v>0</v>
      </c>
      <c r="AH49" s="76">
        <f>AG49*Entradas!$E$99</f>
        <v>0</v>
      </c>
      <c r="AI49" s="76">
        <f>IF(Entradas!$E$91&gt;0,D49*Entradas!$D$23/Escenarios!$E$16,0)</f>
        <v>0</v>
      </c>
      <c r="AJ49" s="76">
        <f>IF(Entradas!$E$91&gt;0,Entradas!$D$24*Entradas!$D$22/Escenarios!$E$16,0)</f>
        <v>0</v>
      </c>
      <c r="AK49" s="76">
        <f t="shared" si="10"/>
        <v>2.4082745340659057</v>
      </c>
      <c r="AL49" s="76">
        <f t="shared" si="11"/>
        <v>0</v>
      </c>
      <c r="AM49" s="76">
        <f t="shared" si="2"/>
        <v>0</v>
      </c>
      <c r="AN49" s="76">
        <f>MAX(0,O49*Escenarios!$E$13/Escenarios!$E$16-AM49)</f>
        <v>0.89842757509324545</v>
      </c>
      <c r="AO49" s="76">
        <f>AM49+AN49-O49*Escenarios!$E$13/Escenarios!$E$16</f>
        <v>0</v>
      </c>
      <c r="AP49" s="76">
        <f t="shared" si="0"/>
        <v>0.48909510995533262</v>
      </c>
      <c r="AQ49" s="76">
        <f t="shared" si="3"/>
        <v>0</v>
      </c>
      <c r="AR49" s="76">
        <f t="shared" si="4"/>
        <v>1.387522685048578</v>
      </c>
      <c r="AS49" s="76">
        <f t="shared" si="5"/>
        <v>0</v>
      </c>
      <c r="AT49" s="76">
        <f t="shared" si="6"/>
        <v>0.13047315886213728</v>
      </c>
      <c r="AU49" s="76">
        <f t="shared" si="7"/>
        <v>48.75</v>
      </c>
      <c r="AV49" s="76">
        <f>MAX(0,(AU49-Constantes!$D$13)*(1-EXP(-Constantes!$D$24)))</f>
        <v>0</v>
      </c>
      <c r="AW49" s="170">
        <f>AW48+(Entradas!$E$112*AT49-AX48)/(800*Entradas!$D$25)</f>
        <v>0</v>
      </c>
      <c r="AX49" s="170">
        <f>8000*Entradas!$D$26*AW49/Constantes!$E$45</f>
        <v>0</v>
      </c>
      <c r="AY49" s="170">
        <f>IF(Escenarios!$E$17&gt;0,10*Escenarios!$E$16*AL49,0)</f>
        <v>0</v>
      </c>
      <c r="AZ49" s="170">
        <f>IF(Escenarios!$E$17&gt;0,10*Escenarios!$E$16*AX49,0)</f>
        <v>0</v>
      </c>
      <c r="BA49" s="170">
        <f>IF(Escenarios!$E$17&gt;0,0.001*Observaciones!$F48*Escenarios!$E$17,0)</f>
        <v>38</v>
      </c>
      <c r="BB49" s="170">
        <f>IF(Escenarios!$E$17&gt;0,Observaciones!$K48,0)</f>
        <v>0</v>
      </c>
      <c r="BC49" s="170">
        <f>IF(Escenarios!$E$17&gt;0,MIN(0.0005*ETo!$M48*Escenarios!$E$17*(BG48/Constantes!$E$40)^(2/3),BG48+AY49+AZ49+BA49+BB49),0)</f>
        <v>31.087346258962931</v>
      </c>
      <c r="BD49" s="170">
        <f>IF(Escenarios!$E$17&gt;0,MIN(Constantes!$E$39*(BG48/Constantes!$E$40)^(2/3),BG48+AY49+AZ49+BA49+BB49-BC49),0)</f>
        <v>49.425073747814359</v>
      </c>
      <c r="BE49" s="170">
        <f>IF(Escenarios!$E$17&gt;0,MIN(Entradas!$E$113,BG48+AY49+AZ49+BA49+BB49-BC49-BD49),0)</f>
        <v>1</v>
      </c>
      <c r="BF49" s="170">
        <f>IF(Escenarios!$E$17&gt;0,MAX(0,BG48+AY49+AZ49+BA49+BB49-BC49-BD49-BE49-Constantes!$E$40),0)</f>
        <v>0</v>
      </c>
      <c r="BG49" s="170">
        <f t="shared" si="12"/>
        <v>3193.8755566813761</v>
      </c>
      <c r="BH49" s="170">
        <f>(Escenarios!$E$16*AK49+0.1*BC49)/(Escenarios!$E$19)</f>
        <v>2.4014974926284633</v>
      </c>
      <c r="BI49" s="170">
        <f>IF(Escenarios!$E$17&gt;0,BF49/10/Escenarios!$E$19,AL49)</f>
        <v>0</v>
      </c>
      <c r="BJ49" s="170">
        <f>(Escenarios!$E$16*AT49+0.1*BD49)/(Escenarios!$E$19)</f>
        <v>0.14905078210442763</v>
      </c>
      <c r="BK49" s="76">
        <f>BK48+(0.1*BD49)/(Escenarios!$E$19)-BL48</f>
        <v>49.254899616561246</v>
      </c>
      <c r="BL49" s="76">
        <f>MAX(0,(BK49-Constantes!$D$13)*(1-EXP(-Constantes!$D$23)))</f>
        <v>4.9748961796973797E-3</v>
      </c>
      <c r="BM49" s="76">
        <f t="shared" si="8"/>
        <v>0.49407000613502999</v>
      </c>
      <c r="BN49" s="76">
        <f t="shared" si="13"/>
        <v>1.3924975812282754</v>
      </c>
      <c r="BO49" s="76">
        <f>0.0526*BI49*Observaciones!$F48^1.218</f>
        <v>0</v>
      </c>
      <c r="BP49" s="76">
        <f>BO49*Constantes!$E$51</f>
        <v>0</v>
      </c>
      <c r="BQ49" s="76">
        <f t="shared" si="9"/>
        <v>0</v>
      </c>
      <c r="BR49" s="40"/>
    </row>
    <row r="50" spans="1:70">
      <c r="A50" s="147"/>
      <c r="B50" s="39"/>
      <c r="C50" s="75">
        <v>44</v>
      </c>
      <c r="D50" s="146">
        <f>ETo!$I49*((1-Constantes!$E$19)*ETo!$K49+ETo!$L49)</f>
        <v>4.5036778840726726</v>
      </c>
      <c r="E50" s="76">
        <f>MIN(D50*Constantes!$E$17,0.8*(N49+Observaciones!$F49-F50-M50-Constantes!$D$14))</f>
        <v>2.2019035715435722</v>
      </c>
      <c r="F50" s="76">
        <f>IF(Observaciones!$F49&gt;0.05*Constantes!$E$18,((Observaciones!$F49-0.05*Constantes!$E$18)^2)/(Observaciones!$F49+0.95*Constantes!$E$18),0)</f>
        <v>0</v>
      </c>
      <c r="G50" s="76">
        <f>IF(Escenarios!$E$11&gt;0,(F50*Escenarios!$E$16*10000)/1000,0)</f>
        <v>0</v>
      </c>
      <c r="H50" s="76">
        <f>IF(Escenarios!$E$11&gt;0,(Observaciones!$F49*Constantes!$E$29)/1000,0)</f>
        <v>8</v>
      </c>
      <c r="I50" s="76">
        <f>IF(Escenarios!$E$11&gt;0,(D50*Constantes!$E$29)/1000,0)</f>
        <v>45.036778840726726</v>
      </c>
      <c r="J50" s="76">
        <f>IF(Escenarios!$E$11&gt;0,MAX(0,G50+H50-I50),0)</f>
        <v>0</v>
      </c>
      <c r="K50" s="76">
        <f>IF(Escenarios!$E$11&gt;0,IF(J50&gt;Constantes!$E$30,1000*((J50-Constantes!$E$30)/(Escenarios!$E$16*10000)),0),F50)</f>
        <v>0</v>
      </c>
      <c r="L50" s="76">
        <f>IF(Escenarios!$E$11&gt;0,I50*1000/Escenarios!$E$16/10000+E50,E50)</f>
        <v>2.2199182830798629</v>
      </c>
      <c r="M50" s="76">
        <f>MAX(0,N49+Observaciones!$F49-K50-Constantes!$D$13)</f>
        <v>0</v>
      </c>
      <c r="N50" s="76">
        <f>N49+Observaciones!$F49-K50-L50-M50-O49</f>
        <v>38.780673836005398</v>
      </c>
      <c r="O50" s="76">
        <f>MAX(0,(N50-Constantes!$D$14)*(1-EXP(-Constantes!$D$22)))</f>
        <v>0.93779581802704715</v>
      </c>
      <c r="P50" s="170">
        <f>P49+(Entradas!$E$83*M50-Q49)/(800*Entradas!$D$25)</f>
        <v>0</v>
      </c>
      <c r="Q50" s="170">
        <f>8000*Entradas!$D$26*P50/Constantes!$E$45</f>
        <v>0</v>
      </c>
      <c r="R50" s="170">
        <f>IF(Escenarios!$E$14&gt;0,K50*Escenarios!$E$13/Escenarios!$E$14,0)</f>
        <v>0</v>
      </c>
      <c r="S50" s="170">
        <f>IF(Escenarios!$E$14&gt;0,Q50*Escenarios!$E$13/Escenarios!$E$14,0)</f>
        <v>0</v>
      </c>
      <c r="T50" s="170">
        <f>IF(Escenarios!$E$14&gt;0,Observaciones!$I49,0)</f>
        <v>0</v>
      </c>
      <c r="U50" s="170">
        <f>IF(Escenarios!$E$14&gt;0,MAX(0,Constantes!$E$36/((Z49+R50+S50+T50+Observaciones!$F49)^2)+Entradas!$E$77),0)</f>
        <v>0.83897470393991158</v>
      </c>
      <c r="V50" s="146">
        <f>IF(ETo!D49&gt;0,ETo!I49*((1-Entradas!$E$81)*ETo!K49+ETo!L49),0)</f>
        <v>4.1169869888415889</v>
      </c>
      <c r="W50" s="170">
        <f>IF(Escenarios!$E$14&gt;0,MIN(V50*1,0.8*(Z49+R50+S50+T50+Observaciones!$F49-U50-Constantes!$E$35)),0)</f>
        <v>4.1169869888415889</v>
      </c>
      <c r="X50" s="170">
        <f>IF(Escenarios!$E$14&gt;0,Observaciones!$J49,0)</f>
        <v>0</v>
      </c>
      <c r="Y50" s="170">
        <f>IF(Escenarios!$E$14&gt;0,MAX(0,Z49+R50+S50+T50+Observaciones!$F49-U50-W50-X50-Constantes!$E$33),0)</f>
        <v>0</v>
      </c>
      <c r="Z50" s="170">
        <f>Z49+R50+S50+T50+Observaciones!$F49-U50-W50-Y50</f>
        <v>63.970592588598905</v>
      </c>
      <c r="AA50" s="170">
        <f>IF(Escenarios!$E$14&gt;0,(Escenarios!$E$13*L50+Escenarios!$E$14*W50)/(Escenarios!$E$16),L50)</f>
        <v>2.4475665277712699</v>
      </c>
      <c r="AB50" s="170">
        <f>IF(Escenarios!$E$14&gt;0,(Escenarios!$E$14*Y50)/(Escenarios!$E$16),K50)</f>
        <v>0</v>
      </c>
      <c r="AC50" s="170">
        <f>IF(Escenarios!$E$14&gt;0,(Escenarios!$E$13*M50+Escenarios!$E$14*U50)/(Escenarios!$E$16),M50)</f>
        <v>0.1006769644727894</v>
      </c>
      <c r="AD50" s="76">
        <f t="shared" si="1"/>
        <v>97.999589273890294</v>
      </c>
      <c r="AE50" s="76">
        <f>MAX(0,(AD50-Constantes!$D$13)*(1-EXP(-Constantes!$D$23)))</f>
        <v>0.48526793345389857</v>
      </c>
      <c r="AF50" s="76">
        <f>AB50+O50*Escenarios!$E$13/Escenarios!$E$16+AE50</f>
        <v>1.3105282533177001</v>
      </c>
      <c r="AG50" s="76">
        <f>IF(Entradas!$E$91&gt;0,IF(AF50-Escenarios!$E$38&lt;=0,0,IF(AF50-Escenarios!$E$38&gt;Escenarios!$E$37,Escenarios!$E$37,AF50-Escenarios!$E$38)),0)</f>
        <v>0</v>
      </c>
      <c r="AH50" s="76">
        <f>AG50*Entradas!$E$99</f>
        <v>0</v>
      </c>
      <c r="AI50" s="76">
        <f>IF(Entradas!$E$91&gt;0,D50*Entradas!$D$23/Escenarios!$E$16,0)</f>
        <v>0</v>
      </c>
      <c r="AJ50" s="76">
        <f>IF(Entradas!$E$91&gt;0,Entradas!$D$24*Entradas!$D$22/Escenarios!$E$16,0)</f>
        <v>0</v>
      </c>
      <c r="AK50" s="76">
        <f t="shared" si="10"/>
        <v>2.4475665277712699</v>
      </c>
      <c r="AL50" s="76">
        <f t="shared" si="11"/>
        <v>0</v>
      </c>
      <c r="AM50" s="76">
        <f t="shared" si="2"/>
        <v>0</v>
      </c>
      <c r="AN50" s="76">
        <f>MAX(0,O50*Escenarios!$E$13/Escenarios!$E$16-AM50)</f>
        <v>0.82526031986380144</v>
      </c>
      <c r="AO50" s="76">
        <f>AM50+AN50-O50*Escenarios!$E$13/Escenarios!$E$16</f>
        <v>0</v>
      </c>
      <c r="AP50" s="76">
        <f t="shared" si="0"/>
        <v>0.48526793345389857</v>
      </c>
      <c r="AQ50" s="76">
        <f t="shared" si="3"/>
        <v>0</v>
      </c>
      <c r="AR50" s="76">
        <f t="shared" si="4"/>
        <v>1.3105282533177001</v>
      </c>
      <c r="AS50" s="76">
        <f t="shared" si="5"/>
        <v>0</v>
      </c>
      <c r="AT50" s="76">
        <f t="shared" si="6"/>
        <v>0.1006769644727894</v>
      </c>
      <c r="AU50" s="76">
        <f t="shared" si="7"/>
        <v>48.75</v>
      </c>
      <c r="AV50" s="76">
        <f>MAX(0,(AU50-Constantes!$D$13)*(1-EXP(-Constantes!$D$24)))</f>
        <v>0</v>
      </c>
      <c r="AW50" s="170">
        <f>AW49+(Entradas!$E$112*AT50-AX49)/(800*Entradas!$D$25)</f>
        <v>0</v>
      </c>
      <c r="AX50" s="170">
        <f>8000*Entradas!$D$26*AW50/Constantes!$E$45</f>
        <v>0</v>
      </c>
      <c r="AY50" s="170">
        <f>IF(Escenarios!$E$17&gt;0,10*Escenarios!$E$16*AL50,0)</f>
        <v>0</v>
      </c>
      <c r="AZ50" s="170">
        <f>IF(Escenarios!$E$17&gt;0,10*Escenarios!$E$16*AX50,0)</f>
        <v>0</v>
      </c>
      <c r="BA50" s="170">
        <f>IF(Escenarios!$E$17&gt;0,0.001*Observaciones!$F49*Escenarios!$E$17,0)</f>
        <v>16</v>
      </c>
      <c r="BB50" s="170">
        <f>IF(Escenarios!$E$17&gt;0,Observaciones!$K49,0)</f>
        <v>3.4255179115241083</v>
      </c>
      <c r="BC50" s="170">
        <f>IF(Escenarios!$E$17&gt;0,MIN(0.0005*ETo!$M49*Escenarios!$E$17*(BG49/Constantes!$E$40)^(2/3),BG49+AY50+AZ50+BA50+BB50),0)</f>
        <v>31.299893920558578</v>
      </c>
      <c r="BD50" s="170">
        <f>IF(Escenarios!$E$17&gt;0,MIN(Constantes!$E$39*(BG49/Constantes!$E$40)^(2/3),BG49+AY50+AZ50+BA50+BB50-BC50),0)</f>
        <v>48.981207446418942</v>
      </c>
      <c r="BE50" s="170">
        <f>IF(Escenarios!$E$17&gt;0,MIN(Entradas!$E$113,BG49+AY50+AZ50+BA50+BB50-BC50-BD50),0)</f>
        <v>1</v>
      </c>
      <c r="BF50" s="170">
        <f>IF(Escenarios!$E$17&gt;0,MAX(0,BG49+AY50+AZ50+BA50+BB50-BC50-BD50-BE50-Constantes!$E$40),0)</f>
        <v>0</v>
      </c>
      <c r="BG50" s="170">
        <f t="shared" si="12"/>
        <v>3132.0199732259225</v>
      </c>
      <c r="BH50" s="170">
        <f>(Escenarios!$E$16*AK50+0.1*BC50)/(Escenarios!$E$19)</f>
        <v>2.4405619894241011</v>
      </c>
      <c r="BI50" s="170">
        <f>IF(Escenarios!$E$17&gt;0,BF50/10/Escenarios!$E$19,AL50)</f>
        <v>0</v>
      </c>
      <c r="BJ50" s="170">
        <f>(Escenarios!$E$16*AT50+0.1*BD50)/(Escenarios!$E$19)</f>
        <v>0.11931492802713985</v>
      </c>
      <c r="BK50" s="76">
        <f>BK49+(0.1*BD50)/(Escenarios!$E$19)-BL49</f>
        <v>49.26936170746346</v>
      </c>
      <c r="BL50" s="76">
        <f>MAX(0,(BK50-Constantes!$D$13)*(1-EXP(-Constantes!$D$23)))</f>
        <v>5.1173946059585767E-3</v>
      </c>
      <c r="BM50" s="76">
        <f t="shared" si="8"/>
        <v>0.49038532805985713</v>
      </c>
      <c r="BN50" s="76">
        <f t="shared" si="13"/>
        <v>1.3156456479236587</v>
      </c>
      <c r="BO50" s="76">
        <f>0.0526*BI50*Observaciones!$F49^1.218</f>
        <v>0</v>
      </c>
      <c r="BP50" s="76">
        <f>BO50*Constantes!$E$51</f>
        <v>0</v>
      </c>
      <c r="BQ50" s="76">
        <f t="shared" si="9"/>
        <v>0</v>
      </c>
      <c r="BR50" s="40"/>
    </row>
    <row r="51" spans="1:70">
      <c r="A51" s="147"/>
      <c r="B51" s="39"/>
      <c r="C51" s="75">
        <v>45</v>
      </c>
      <c r="D51" s="146">
        <f>ETo!$I50*((1-Constantes!$E$19)*ETo!$K50+ETo!$L50)</f>
        <v>4.4183599409762335</v>
      </c>
      <c r="E51" s="76">
        <f>MIN(D51*Constantes!$E$17,0.8*(N50+Observaciones!$F50-F51-M51-Constantes!$D$14))</f>
        <v>2.1601905786394444</v>
      </c>
      <c r="F51" s="76">
        <f>IF(Observaciones!$F50&gt;0.05*Constantes!$E$18,((Observaciones!$F50-0.05*Constantes!$E$18)^2)/(Observaciones!$F50+0.95*Constantes!$E$18),0)</f>
        <v>0</v>
      </c>
      <c r="G51" s="76">
        <f>IF(Escenarios!$E$11&gt;0,(F51*Escenarios!$E$16*10000)/1000,0)</f>
        <v>0</v>
      </c>
      <c r="H51" s="76">
        <f>IF(Escenarios!$E$11&gt;0,(Observaciones!$F50*Constantes!$E$29)/1000,0)</f>
        <v>0</v>
      </c>
      <c r="I51" s="76">
        <f>IF(Escenarios!$E$11&gt;0,(D51*Constantes!$E$29)/1000,0)</f>
        <v>44.18359940976233</v>
      </c>
      <c r="J51" s="76">
        <f>IF(Escenarios!$E$11&gt;0,MAX(0,G51+H51-I51),0)</f>
        <v>0</v>
      </c>
      <c r="K51" s="76">
        <f>IF(Escenarios!$E$11&gt;0,IF(J51&gt;Constantes!$E$30,1000*((J51-Constantes!$E$30)/(Escenarios!$E$16*10000)),0),F51)</f>
        <v>0</v>
      </c>
      <c r="L51" s="76">
        <f>IF(Escenarios!$E$11&gt;0,I51*1000/Escenarios!$E$16/10000+E51,E51)</f>
        <v>2.1778640184033495</v>
      </c>
      <c r="M51" s="76">
        <f>MAX(0,N50+Observaciones!$F50-K51-Constantes!$D$13)</f>
        <v>0</v>
      </c>
      <c r="N51" s="76">
        <f>N50+Observaciones!$F50-K51-L51-M51-O50</f>
        <v>35.665013999575002</v>
      </c>
      <c r="O51" s="76">
        <f>MAX(0,(N51-Constantes!$D$14)*(1-EXP(-Constantes!$D$22)))</f>
        <v>0.83166500617681272</v>
      </c>
      <c r="P51" s="170">
        <f>P50+(Entradas!$E$83*M51-Q50)/(800*Entradas!$D$25)</f>
        <v>0</v>
      </c>
      <c r="Q51" s="170">
        <f>8000*Entradas!$D$26*P51/Constantes!$E$45</f>
        <v>0</v>
      </c>
      <c r="R51" s="170">
        <f>IF(Escenarios!$E$14&gt;0,K51*Escenarios!$E$13/Escenarios!$E$14,0)</f>
        <v>0</v>
      </c>
      <c r="S51" s="170">
        <f>IF(Escenarios!$E$14&gt;0,Q51*Escenarios!$E$13/Escenarios!$E$14,0)</f>
        <v>0</v>
      </c>
      <c r="T51" s="170">
        <f>IF(Escenarios!$E$14&gt;0,Observaciones!$I50,0)</f>
        <v>0</v>
      </c>
      <c r="U51" s="170">
        <f>IF(Escenarios!$E$14&gt;0,MAX(0,Constantes!$E$36/((Z50+R51+S51+T51+Observaciones!$F50)^2)+Entradas!$E$77),0)</f>
        <v>0.49116419401737987</v>
      </c>
      <c r="V51" s="146">
        <f>IF(ETo!D50&gt;0,ETo!I50*((1-Entradas!$E$81)*ETo!K50+ETo!L50),0)</f>
        <v>4.0377808656215093</v>
      </c>
      <c r="W51" s="170">
        <f>IF(Escenarios!$E$14&gt;0,MIN(V51*1,0.8*(Z50+R51+S51+T51+Observaciones!$F50-U51-Constantes!$E$35)),0)</f>
        <v>4.0377808656215093</v>
      </c>
      <c r="X51" s="170">
        <f>IF(Escenarios!$E$14&gt;0,Observaciones!$J50,0)</f>
        <v>0</v>
      </c>
      <c r="Y51" s="170">
        <f>IF(Escenarios!$E$14&gt;0,MAX(0,Z50+R51+S51+T51+Observaciones!$F50-U51-W51-X51-Constantes!$E$33),0)</f>
        <v>0</v>
      </c>
      <c r="Z51" s="170">
        <f>Z50+R51+S51+T51+Observaciones!$F50-U51-W51-Y51</f>
        <v>59.441647528960019</v>
      </c>
      <c r="AA51" s="170">
        <f>IF(Escenarios!$E$14&gt;0,(Escenarios!$E$13*L51+Escenarios!$E$14*W51)/(Escenarios!$E$16),L51)</f>
        <v>2.4010540400695284</v>
      </c>
      <c r="AB51" s="170">
        <f>IF(Escenarios!$E$14&gt;0,(Escenarios!$E$14*Y51)/(Escenarios!$E$16),K51)</f>
        <v>0</v>
      </c>
      <c r="AC51" s="170">
        <f>IF(Escenarios!$E$14&gt;0,(Escenarios!$E$13*M51+Escenarios!$E$14*U51)/(Escenarios!$E$16),M51)</f>
        <v>5.8939703282085587E-2</v>
      </c>
      <c r="AD51" s="76">
        <f t="shared" si="1"/>
        <v>97.573261043718489</v>
      </c>
      <c r="AE51" s="76">
        <f>MAX(0,(AD51-Constantes!$D$13)*(1-EXP(-Constantes!$D$23)))</f>
        <v>0.48106721985854256</v>
      </c>
      <c r="AF51" s="76">
        <f>AB51+O51*Escenarios!$E$13/Escenarios!$E$16+AE51</f>
        <v>1.2129324252941378</v>
      </c>
      <c r="AG51" s="76">
        <f>IF(Entradas!$E$91&gt;0,IF(AF51-Escenarios!$E$38&lt;=0,0,IF(AF51-Escenarios!$E$38&gt;Escenarios!$E$37,Escenarios!$E$37,AF51-Escenarios!$E$38)),0)</f>
        <v>0</v>
      </c>
      <c r="AH51" s="76">
        <f>AG51*Entradas!$E$99</f>
        <v>0</v>
      </c>
      <c r="AI51" s="76">
        <f>IF(Entradas!$E$91&gt;0,D51*Entradas!$D$23/Escenarios!$E$16,0)</f>
        <v>0</v>
      </c>
      <c r="AJ51" s="76">
        <f>IF(Entradas!$E$91&gt;0,Entradas!$D$24*Entradas!$D$22/Escenarios!$E$16,0)</f>
        <v>0</v>
      </c>
      <c r="AK51" s="76">
        <f t="shared" si="10"/>
        <v>2.4010540400695284</v>
      </c>
      <c r="AL51" s="76">
        <f t="shared" si="11"/>
        <v>0</v>
      </c>
      <c r="AM51" s="76">
        <f t="shared" si="2"/>
        <v>0</v>
      </c>
      <c r="AN51" s="76">
        <f>MAX(0,O51*Escenarios!$E$13/Escenarios!$E$16-AM51)</f>
        <v>0.73186520543559519</v>
      </c>
      <c r="AO51" s="76">
        <f>AM51+AN51-O51*Escenarios!$E$13/Escenarios!$E$16</f>
        <v>0</v>
      </c>
      <c r="AP51" s="76">
        <f t="shared" si="0"/>
        <v>0.48106721985854256</v>
      </c>
      <c r="AQ51" s="76">
        <f t="shared" si="3"/>
        <v>0</v>
      </c>
      <c r="AR51" s="76">
        <f t="shared" si="4"/>
        <v>1.2129324252941378</v>
      </c>
      <c r="AS51" s="76">
        <f t="shared" si="5"/>
        <v>0</v>
      </c>
      <c r="AT51" s="76">
        <f t="shared" si="6"/>
        <v>5.8939703282085587E-2</v>
      </c>
      <c r="AU51" s="76">
        <f t="shared" si="7"/>
        <v>48.75</v>
      </c>
      <c r="AV51" s="76">
        <f>MAX(0,(AU51-Constantes!$D$13)*(1-EXP(-Constantes!$D$24)))</f>
        <v>0</v>
      </c>
      <c r="AW51" s="170">
        <f>AW50+(Entradas!$E$112*AT51-AX50)/(800*Entradas!$D$25)</f>
        <v>0</v>
      </c>
      <c r="AX51" s="170">
        <f>8000*Entradas!$D$26*AW51/Constantes!$E$45</f>
        <v>0</v>
      </c>
      <c r="AY51" s="170">
        <f>IF(Escenarios!$E$17&gt;0,10*Escenarios!$E$16*AL51,0)</f>
        <v>0</v>
      </c>
      <c r="AZ51" s="170">
        <f>IF(Escenarios!$E$17&gt;0,10*Escenarios!$E$16*AX51,0)</f>
        <v>0</v>
      </c>
      <c r="BA51" s="170">
        <f>IF(Escenarios!$E$17&gt;0,0.001*Observaciones!$F50*Escenarios!$E$17,0)</f>
        <v>0</v>
      </c>
      <c r="BB51" s="170">
        <f>IF(Escenarios!$E$17&gt;0,Observaciones!$K50,0)</f>
        <v>39.792677602929452</v>
      </c>
      <c r="BC51" s="170">
        <f>IF(Escenarios!$E$17&gt;0,MIN(0.0005*ETo!$M50*Escenarios!$E$17*(BG50/Constantes!$E$40)^(2/3),BG50+AY51+AZ51+BA51+BB51),0)</f>
        <v>30.320730976561041</v>
      </c>
      <c r="BD51" s="170">
        <f>IF(Escenarios!$E$17&gt;0,MIN(Constantes!$E$39*(BG50/Constantes!$E$40)^(2/3),BG50+AY51+AZ51+BA51+BB51-BC51),0)</f>
        <v>48.346737759297142</v>
      </c>
      <c r="BE51" s="170">
        <f>IF(Escenarios!$E$17&gt;0,MIN(Entradas!$E$113,BG50+AY51+AZ51+BA51+BB51-BC51-BD51),0)</f>
        <v>1</v>
      </c>
      <c r="BF51" s="170">
        <f>IF(Escenarios!$E$17&gt;0,MAX(0,BG50+AY51+AZ51+BA51+BB51-BC51-BD51-BE51-Constantes!$E$40),0)</f>
        <v>0</v>
      </c>
      <c r="BG51" s="170">
        <f t="shared" si="12"/>
        <v>3092.1451820929938</v>
      </c>
      <c r="BH51" s="170">
        <f>(Escenarios!$E$16*AK51+0.1*BC51)/(Escenarios!$E$19)</f>
        <v>2.394030091726342</v>
      </c>
      <c r="BI51" s="170">
        <f>IF(Escenarios!$E$17&gt;0,BF51/10/Escenarios!$E$19,AL51)</f>
        <v>0</v>
      </c>
      <c r="BJ51" s="170">
        <f>(Escenarios!$E$16*AT51+0.1*BD51)/(Escenarios!$E$19)</f>
        <v>7.7657141255758386E-2</v>
      </c>
      <c r="BK51" s="76">
        <f>BK50+(0.1*BD51)/(Escenarios!$E$19)-BL50</f>
        <v>49.283429526254046</v>
      </c>
      <c r="BL51" s="76">
        <f>MAX(0,(BK51-Constantes!$D$13)*(1-EXP(-Constantes!$D$23)))</f>
        <v>5.2560081751956067E-3</v>
      </c>
      <c r="BM51" s="76">
        <f t="shared" si="8"/>
        <v>0.48632322803373818</v>
      </c>
      <c r="BN51" s="76">
        <f t="shared" si="13"/>
        <v>1.2181884334693334</v>
      </c>
      <c r="BO51" s="76">
        <f>0.0526*BI51*Observaciones!$F50^1.218</f>
        <v>0</v>
      </c>
      <c r="BP51" s="76">
        <f>BO51*Constantes!$E$51</f>
        <v>0</v>
      </c>
      <c r="BQ51" s="76">
        <f t="shared" si="9"/>
        <v>0</v>
      </c>
      <c r="BR51" s="40"/>
    </row>
    <row r="52" spans="1:70">
      <c r="A52" s="147"/>
      <c r="B52" s="39"/>
      <c r="C52" s="75">
        <v>46</v>
      </c>
      <c r="D52" s="146">
        <f>ETo!$I51*((1-Constantes!$E$19)*ETo!$K51+ETo!$L51)</f>
        <v>4.4450322827294553</v>
      </c>
      <c r="E52" s="76">
        <f>MIN(D52*Constantes!$E$17,0.8*(N51+Observaciones!$F51-F52-M52-Constantes!$D$14))</f>
        <v>2.1732310149405283</v>
      </c>
      <c r="F52" s="76">
        <f>IF(Observaciones!$F51&gt;0.05*Constantes!$E$18,((Observaciones!$F51-0.05*Constantes!$E$18)^2)/(Observaciones!$F51+0.95*Constantes!$E$18),0)</f>
        <v>0</v>
      </c>
      <c r="G52" s="76">
        <f>IF(Escenarios!$E$11&gt;0,(F52*Escenarios!$E$16*10000)/1000,0)</f>
        <v>0</v>
      </c>
      <c r="H52" s="76">
        <f>IF(Escenarios!$E$11&gt;0,(Observaciones!$F51*Constantes!$E$29)/1000,0)</f>
        <v>17</v>
      </c>
      <c r="I52" s="76">
        <f>IF(Escenarios!$E$11&gt;0,(D52*Constantes!$E$29)/1000,0)</f>
        <v>44.450322827294556</v>
      </c>
      <c r="J52" s="76">
        <f>IF(Escenarios!$E$11&gt;0,MAX(0,G52+H52-I52),0)</f>
        <v>0</v>
      </c>
      <c r="K52" s="76">
        <f>IF(Escenarios!$E$11&gt;0,IF(J52&gt;Constantes!$E$30,1000*((J52-Constantes!$E$30)/(Escenarios!$E$16*10000)),0),F52)</f>
        <v>0</v>
      </c>
      <c r="L52" s="76">
        <f>IF(Escenarios!$E$11&gt;0,I52*1000/Escenarios!$E$16/10000+E52,E52)</f>
        <v>2.1910111440714459</v>
      </c>
      <c r="M52" s="76">
        <f>MAX(0,N51+Observaciones!$F51-K52-Constantes!$D$13)</f>
        <v>0</v>
      </c>
      <c r="N52" s="76">
        <f>N51+Observaciones!$F51-K52-L52-M52-O51</f>
        <v>34.342337849326746</v>
      </c>
      <c r="O52" s="76">
        <f>MAX(0,(N52-Constantes!$D$14)*(1-EXP(-Constantes!$D$22)))</f>
        <v>0.78660980085580468</v>
      </c>
      <c r="P52" s="170">
        <f>P51+(Entradas!$E$83*M52-Q51)/(800*Entradas!$D$25)</f>
        <v>0</v>
      </c>
      <c r="Q52" s="170">
        <f>8000*Entradas!$D$26*P52/Constantes!$E$45</f>
        <v>0</v>
      </c>
      <c r="R52" s="170">
        <f>IF(Escenarios!$E$14&gt;0,K52*Escenarios!$E$13/Escenarios!$E$14,0)</f>
        <v>0</v>
      </c>
      <c r="S52" s="170">
        <f>IF(Escenarios!$E$14&gt;0,Q52*Escenarios!$E$13/Escenarios!$E$14,0)</f>
        <v>0</v>
      </c>
      <c r="T52" s="170">
        <f>IF(Escenarios!$E$14&gt;0,Observaciones!$I51,0)</f>
        <v>0</v>
      </c>
      <c r="U52" s="170">
        <f>IF(Escenarios!$E$14&gt;0,MAX(0,Constantes!$E$36/((Z51+R52+S52+T52+Observaciones!$F51)^2)+Entradas!$E$77),0)</f>
        <v>0.25363211036260713</v>
      </c>
      <c r="V52" s="146">
        <f>IF(ETo!D51&gt;0,ETo!I51*((1-Entradas!$E$81)*ETo!K51+ETo!L51),0)</f>
        <v>4.0624726072972264</v>
      </c>
      <c r="W52" s="170">
        <f>IF(Escenarios!$E$14&gt;0,MIN(V52*1,0.8*(Z51+R52+S52+T52+Observaciones!$F51-U52-Constantes!$E$35)),0)</f>
        <v>4.0624726072972264</v>
      </c>
      <c r="X52" s="170">
        <f>IF(Escenarios!$E$14&gt;0,Observaciones!$J51,0)</f>
        <v>0</v>
      </c>
      <c r="Y52" s="170">
        <f>IF(Escenarios!$E$14&gt;0,MAX(0,Z51+R52+S52+T52+Observaciones!$F51-U52-W52-X52-Constantes!$E$33),0)</f>
        <v>0</v>
      </c>
      <c r="Z52" s="170">
        <f>Z51+R52+S52+T52+Observaciones!$F51-U52-W52-Y52</f>
        <v>56.825542811300188</v>
      </c>
      <c r="AA52" s="170">
        <f>IF(Escenarios!$E$14&gt;0,(Escenarios!$E$13*L52+Escenarios!$E$14*W52)/(Escenarios!$E$16),L52)</f>
        <v>2.4155865196585395</v>
      </c>
      <c r="AB52" s="170">
        <f>IF(Escenarios!$E$14&gt;0,(Escenarios!$E$14*Y52)/(Escenarios!$E$16),K52)</f>
        <v>0</v>
      </c>
      <c r="AC52" s="170">
        <f>IF(Escenarios!$E$14&gt;0,(Escenarios!$E$13*M52+Escenarios!$E$14*U52)/(Escenarios!$E$16),M52)</f>
        <v>3.0435853243512855E-2</v>
      </c>
      <c r="AD52" s="76">
        <f t="shared" si="1"/>
        <v>97.122629677103461</v>
      </c>
      <c r="AE52" s="76">
        <f>MAX(0,(AD52-Constantes!$D$13)*(1-EXP(-Constantes!$D$23)))</f>
        <v>0.47662704167125536</v>
      </c>
      <c r="AF52" s="76">
        <f>AB52+O52*Escenarios!$E$13/Escenarios!$E$16+AE52</f>
        <v>1.1688436664243635</v>
      </c>
      <c r="AG52" s="76">
        <f>IF(Entradas!$E$91&gt;0,IF(AF52-Escenarios!$E$38&lt;=0,0,IF(AF52-Escenarios!$E$38&gt;Escenarios!$E$37,Escenarios!$E$37,AF52-Escenarios!$E$38)),0)</f>
        <v>0</v>
      </c>
      <c r="AH52" s="76">
        <f>AG52*Entradas!$E$99</f>
        <v>0</v>
      </c>
      <c r="AI52" s="76">
        <f>IF(Entradas!$E$91&gt;0,D52*Entradas!$D$23/Escenarios!$E$16,0)</f>
        <v>0</v>
      </c>
      <c r="AJ52" s="76">
        <f>IF(Entradas!$E$91&gt;0,Entradas!$D$24*Entradas!$D$22/Escenarios!$E$16,0)</f>
        <v>0</v>
      </c>
      <c r="AK52" s="76">
        <f t="shared" si="10"/>
        <v>2.4155865196585395</v>
      </c>
      <c r="AL52" s="76">
        <f t="shared" si="11"/>
        <v>0</v>
      </c>
      <c r="AM52" s="76">
        <f t="shared" si="2"/>
        <v>0</v>
      </c>
      <c r="AN52" s="76">
        <f>MAX(0,O52*Escenarios!$E$13/Escenarios!$E$16-AM52)</f>
        <v>0.69221662475310819</v>
      </c>
      <c r="AO52" s="76">
        <f>AM52+AN52-O52*Escenarios!$E$13/Escenarios!$E$16</f>
        <v>0</v>
      </c>
      <c r="AP52" s="76">
        <f t="shared" si="0"/>
        <v>0.47662704167125536</v>
      </c>
      <c r="AQ52" s="76">
        <f t="shared" si="3"/>
        <v>0</v>
      </c>
      <c r="AR52" s="76">
        <f t="shared" si="4"/>
        <v>1.1688436664243635</v>
      </c>
      <c r="AS52" s="76">
        <f t="shared" si="5"/>
        <v>0</v>
      </c>
      <c r="AT52" s="76">
        <f t="shared" si="6"/>
        <v>3.0435853243512855E-2</v>
      </c>
      <c r="AU52" s="76">
        <f t="shared" si="7"/>
        <v>48.75</v>
      </c>
      <c r="AV52" s="76">
        <f>MAX(0,(AU52-Constantes!$D$13)*(1-EXP(-Constantes!$D$24)))</f>
        <v>0</v>
      </c>
      <c r="AW52" s="170">
        <f>AW51+(Entradas!$E$112*AT52-AX51)/(800*Entradas!$D$25)</f>
        <v>0</v>
      </c>
      <c r="AX52" s="170">
        <f>8000*Entradas!$D$26*AW52/Constantes!$E$45</f>
        <v>0</v>
      </c>
      <c r="AY52" s="170">
        <f>IF(Escenarios!$E$17&gt;0,10*Escenarios!$E$16*AL52,0)</f>
        <v>0</v>
      </c>
      <c r="AZ52" s="170">
        <f>IF(Escenarios!$E$17&gt;0,10*Escenarios!$E$16*AX52,0)</f>
        <v>0</v>
      </c>
      <c r="BA52" s="170">
        <f>IF(Escenarios!$E$17&gt;0,0.001*Observaciones!$F51*Escenarios!$E$17,0)</f>
        <v>34</v>
      </c>
      <c r="BB52" s="170">
        <f>IF(Escenarios!$E$17&gt;0,Observaciones!$K51,0)</f>
        <v>134.4068951621245</v>
      </c>
      <c r="BC52" s="170">
        <f>IF(Escenarios!$E$17&gt;0,MIN(0.0005*ETo!$M51*Escenarios!$E$17*(BG51/Constantes!$E$40)^(2/3),BG51+AY52+AZ52+BA52+BB52),0)</f>
        <v>30.241326037535789</v>
      </c>
      <c r="BD52" s="170">
        <f>IF(Escenarios!$E$17&gt;0,MIN(Constantes!$E$39*(BG51/Constantes!$E$40)^(2/3),BG51+AY52+AZ52+BA52+BB52-BC52),0)</f>
        <v>47.935516456372788</v>
      </c>
      <c r="BE52" s="170">
        <f>IF(Escenarios!$E$17&gt;0,MIN(Entradas!$E$113,BG51+AY52+AZ52+BA52+BB52-BC52-BD52),0)</f>
        <v>1</v>
      </c>
      <c r="BF52" s="170">
        <f>IF(Escenarios!$E$17&gt;0,MAX(0,BG51+AY52+AZ52+BA52+BB52-BC52-BD52-BE52-Constantes!$E$40),0)</f>
        <v>0</v>
      </c>
      <c r="BG52" s="170">
        <f t="shared" si="12"/>
        <v>3181.3752347612099</v>
      </c>
      <c r="BH52" s="170">
        <f>(Escenarios!$E$16*AK52+0.1*BC52)/(Escenarios!$E$19)</f>
        <v>2.4084157242793194</v>
      </c>
      <c r="BI52" s="170">
        <f>IF(Escenarios!$E$17&gt;0,BF52/10/Escenarios!$E$19,AL52)</f>
        <v>0</v>
      </c>
      <c r="BJ52" s="170">
        <f>(Escenarios!$E$16*AT52+0.1*BD52)/(Escenarios!$E$19)</f>
        <v>4.9216329192521793E-2</v>
      </c>
      <c r="BK52" s="76">
        <f>BK51+(0.1*BD52)/(Escenarios!$E$19)-BL51</f>
        <v>49.297195548418685</v>
      </c>
      <c r="BL52" s="76">
        <f>MAX(0,(BK52-Constantes!$D$13)*(1-EXP(-Constantes!$D$23)))</f>
        <v>5.3916480703948191E-3</v>
      </c>
      <c r="BM52" s="76">
        <f t="shared" si="8"/>
        <v>0.48201868974165019</v>
      </c>
      <c r="BN52" s="76">
        <f t="shared" si="13"/>
        <v>1.1742353144947584</v>
      </c>
      <c r="BO52" s="76">
        <f>0.0526*BI52*Observaciones!$F51^1.218</f>
        <v>0</v>
      </c>
      <c r="BP52" s="76">
        <f>BO52*Constantes!$E$51</f>
        <v>0</v>
      </c>
      <c r="BQ52" s="76">
        <f t="shared" si="9"/>
        <v>0</v>
      </c>
      <c r="BR52" s="40"/>
    </row>
    <row r="53" spans="1:70">
      <c r="A53" s="147"/>
      <c r="B53" s="39"/>
      <c r="C53" s="75">
        <v>47</v>
      </c>
      <c r="D53" s="146">
        <f>ETo!$I52*((1-Constantes!$E$19)*ETo!$K52+ETo!$L52)</f>
        <v>4.4087210929749636</v>
      </c>
      <c r="E53" s="76">
        <f>MIN(D53*Constantes!$E$17,0.8*(N52+Observaciones!$F52-F53-M53-Constantes!$D$14))</f>
        <v>2.1554780271679861</v>
      </c>
      <c r="F53" s="76">
        <f>IF(Observaciones!$F52&gt;0.05*Constantes!$E$18,((Observaciones!$F52-0.05*Constantes!$E$18)^2)/(Observaciones!$F52+0.95*Constantes!$E$18),0)</f>
        <v>1.1259330053080276</v>
      </c>
      <c r="G53" s="76">
        <f>IF(Escenarios!$E$11&gt;0,(F53*Escenarios!$E$16*10000)/1000,0)</f>
        <v>2814.8325132700688</v>
      </c>
      <c r="H53" s="76">
        <f>IF(Escenarios!$E$11&gt;0,(Observaciones!$F52*Constantes!$E$29)/1000,0)</f>
        <v>181</v>
      </c>
      <c r="I53" s="76">
        <f>IF(Escenarios!$E$11&gt;0,(D53*Constantes!$E$29)/1000,0)</f>
        <v>44.087210929749638</v>
      </c>
      <c r="J53" s="76">
        <f>IF(Escenarios!$E$11&gt;0,MAX(0,G53+H53-I53),0)</f>
        <v>2951.7453023403191</v>
      </c>
      <c r="K53" s="76">
        <f>IF(Escenarios!$E$11&gt;0,IF(J53&gt;Constantes!$E$30,1000*((J53-Constantes!$E$30)/(Escenarios!$E$16*10000)),0),F53)</f>
        <v>0.66599223858318646</v>
      </c>
      <c r="L53" s="76">
        <f>IF(Escenarios!$E$11&gt;0,I53*1000/Escenarios!$E$16/10000+E53,E53)</f>
        <v>2.1731129115398859</v>
      </c>
      <c r="M53" s="76">
        <f>MAX(0,N52+Observaciones!$F52-K53-Constantes!$D$13)</f>
        <v>3.0263456107435616</v>
      </c>
      <c r="N53" s="76">
        <f>N52+Observaciones!$F52-K53-L53-M53-O52</f>
        <v>45.790277287604304</v>
      </c>
      <c r="O53" s="76">
        <f>MAX(0,(N53-Constantes!$D$14)*(1-EXP(-Constantes!$D$22)))</f>
        <v>1.1765686443695793</v>
      </c>
      <c r="P53" s="170">
        <f>P52+(Entradas!$E$83*M53-Q52)/(800*Entradas!$D$25)</f>
        <v>0</v>
      </c>
      <c r="Q53" s="170">
        <f>8000*Entradas!$D$26*P53/Constantes!$E$45</f>
        <v>0</v>
      </c>
      <c r="R53" s="170">
        <f>IF(Escenarios!$E$14&gt;0,K53*Escenarios!$E$13/Escenarios!$E$14,0)</f>
        <v>4.8839430829433672</v>
      </c>
      <c r="S53" s="170">
        <f>IF(Escenarios!$E$14&gt;0,Q53*Escenarios!$E$13/Escenarios!$E$14,0)</f>
        <v>0</v>
      </c>
      <c r="T53" s="170">
        <f>IF(Escenarios!$E$14&gt;0,Observaciones!$I52,0)</f>
        <v>0</v>
      </c>
      <c r="U53" s="170">
        <f>IF(Escenarios!$E$14&gt;0,MAX(0,Constantes!$E$36/((Z52+R53+S53+T53+Observaciones!$F52)^2)+Entradas!$E$77),0)</f>
        <v>1.3881524612844287</v>
      </c>
      <c r="V53" s="146">
        <f>IF(ETo!D52&gt;0,ETo!I52*((1-Entradas!$E$81)*ETo!K52+ETo!L52),0)</f>
        <v>4.0287557270435403</v>
      </c>
      <c r="W53" s="170">
        <f>IF(Escenarios!$E$14&gt;0,MIN(V53*1,0.8*(Z52+R53+S53+T53+Observaciones!$F52-U53-Constantes!$E$35)),0)</f>
        <v>4.0287557270435403</v>
      </c>
      <c r="X53" s="170">
        <f>IF(Escenarios!$E$14&gt;0,Observaciones!$J52,0)</f>
        <v>0</v>
      </c>
      <c r="Y53" s="170">
        <f>IF(Escenarios!$E$14&gt;0,MAX(0,Z52+R53+S53+T53+Observaciones!$F52-U53-W53-X53-Constantes!$E$33),0)</f>
        <v>0</v>
      </c>
      <c r="Z53" s="170">
        <f>Z52+R53+S53+T53+Observaciones!$F52-U53-W53-Y53</f>
        <v>74.392577705915571</v>
      </c>
      <c r="AA53" s="170">
        <f>IF(Escenarios!$E$14&gt;0,(Escenarios!$E$13*L53+Escenarios!$E$14*W53)/(Escenarios!$E$16),L53)</f>
        <v>2.3957900494003246</v>
      </c>
      <c r="AB53" s="170">
        <f>IF(Escenarios!$E$14&gt;0,(Escenarios!$E$14*Y53)/(Escenarios!$E$16),K53)</f>
        <v>0</v>
      </c>
      <c r="AC53" s="170">
        <f>IF(Escenarios!$E$14&gt;0,(Escenarios!$E$13*M53+Escenarios!$E$14*U53)/(Escenarios!$E$16),M53)</f>
        <v>2.8297624328084656</v>
      </c>
      <c r="AD53" s="76">
        <f t="shared" si="1"/>
        <v>99.475765068240676</v>
      </c>
      <c r="AE53" s="76">
        <f>MAX(0,(AD53-Constantes!$D$13)*(1-EXP(-Constantes!$D$23)))</f>
        <v>0.49981304515331421</v>
      </c>
      <c r="AF53" s="76">
        <f>AB53+O53*Escenarios!$E$13/Escenarios!$E$16+AE53</f>
        <v>1.535193452198544</v>
      </c>
      <c r="AG53" s="76">
        <f>IF(Entradas!$E$91&gt;0,IF(AF53-Escenarios!$E$38&lt;=0,0,IF(AF53-Escenarios!$E$38&gt;Escenarios!$E$37,Escenarios!$E$37,AF53-Escenarios!$E$38)),0)</f>
        <v>0</v>
      </c>
      <c r="AH53" s="76">
        <f>AG53*Entradas!$E$99</f>
        <v>0</v>
      </c>
      <c r="AI53" s="76">
        <f>IF(Entradas!$E$91&gt;0,D53*Entradas!$D$23/Escenarios!$E$16,0)</f>
        <v>0</v>
      </c>
      <c r="AJ53" s="76">
        <f>IF(Entradas!$E$91&gt;0,Entradas!$D$24*Entradas!$D$22/Escenarios!$E$16,0)</f>
        <v>0</v>
      </c>
      <c r="AK53" s="76">
        <f t="shared" si="10"/>
        <v>2.3957900494003246</v>
      </c>
      <c r="AL53" s="76">
        <f t="shared" si="11"/>
        <v>0</v>
      </c>
      <c r="AM53" s="76">
        <f t="shared" si="2"/>
        <v>0</v>
      </c>
      <c r="AN53" s="76">
        <f>MAX(0,O53*Escenarios!$E$13/Escenarios!$E$16-AM53)</f>
        <v>1.0353804070452297</v>
      </c>
      <c r="AO53" s="76">
        <f>AM53+AN53-O53*Escenarios!$E$13/Escenarios!$E$16</f>
        <v>0</v>
      </c>
      <c r="AP53" s="76">
        <f t="shared" si="0"/>
        <v>0.49981304515331421</v>
      </c>
      <c r="AQ53" s="76">
        <f t="shared" si="3"/>
        <v>0</v>
      </c>
      <c r="AR53" s="76">
        <f t="shared" si="4"/>
        <v>1.535193452198544</v>
      </c>
      <c r="AS53" s="76">
        <f t="shared" si="5"/>
        <v>0</v>
      </c>
      <c r="AT53" s="76">
        <f t="shared" si="6"/>
        <v>2.8297624328084656</v>
      </c>
      <c r="AU53" s="76">
        <f t="shared" si="7"/>
        <v>48.75</v>
      </c>
      <c r="AV53" s="76">
        <f>MAX(0,(AU53-Constantes!$D$13)*(1-EXP(-Constantes!$D$24)))</f>
        <v>0</v>
      </c>
      <c r="AW53" s="170">
        <f>AW52+(Entradas!$E$112*AT53-AX52)/(800*Entradas!$D$25)</f>
        <v>0</v>
      </c>
      <c r="AX53" s="170">
        <f>8000*Entradas!$D$26*AW53/Constantes!$E$45</f>
        <v>0</v>
      </c>
      <c r="AY53" s="170">
        <f>IF(Escenarios!$E$17&gt;0,10*Escenarios!$E$16*AL53,0)</f>
        <v>0</v>
      </c>
      <c r="AZ53" s="170">
        <f>IF(Escenarios!$E$17&gt;0,10*Escenarios!$E$16*AX53,0)</f>
        <v>0</v>
      </c>
      <c r="BA53" s="170">
        <f>IF(Escenarios!$E$17&gt;0,0.001*Observaciones!$F52*Escenarios!$E$17,0)</f>
        <v>362.00000000000006</v>
      </c>
      <c r="BB53" s="170">
        <f>IF(Escenarios!$E$17&gt;0,Observaciones!$K52,0)</f>
        <v>0</v>
      </c>
      <c r="BC53" s="170">
        <f>IF(Escenarios!$E$17&gt;0,MIN(0.0005*ETo!$M52*Escenarios!$E$17*(BG52/Constantes!$E$40)^(2/3),BG52+AY53+AZ53+BA53+BB53),0)</f>
        <v>30.573676961827356</v>
      </c>
      <c r="BD53" s="170">
        <f>IF(Escenarios!$E$17&gt;0,MIN(Constantes!$E$39*(BG52/Constantes!$E$40)^(2/3),BG52+AY53+AZ53+BA53+BB53-BC53),0)</f>
        <v>48.853320820574538</v>
      </c>
      <c r="BE53" s="170">
        <f>IF(Escenarios!$E$17&gt;0,MIN(Entradas!$E$113,BG52+AY53+AZ53+BA53+BB53-BC53-BD53),0)</f>
        <v>1</v>
      </c>
      <c r="BF53" s="170">
        <f>IF(Escenarios!$E$17&gt;0,MAX(0,BG52+AY53+AZ53+BA53+BB53-BC53-BD53-BE53-Constantes!$E$40),0)</f>
        <v>0</v>
      </c>
      <c r="BG53" s="170">
        <f t="shared" si="12"/>
        <v>3462.9482369788079</v>
      </c>
      <c r="BH53" s="170">
        <f>(Escenarios!$E$16*AK53+0.1*BC53)/(Escenarios!$E$19)</f>
        <v>2.3889082541518407</v>
      </c>
      <c r="BI53" s="170">
        <f>IF(Escenarios!$E$17&gt;0,BF53/10/Escenarios!$E$19,AL53)</f>
        <v>0</v>
      </c>
      <c r="BJ53" s="170">
        <f>(Escenarios!$E$16*AT53+0.1*BD53)/(Escenarios!$E$19)</f>
        <v>2.8266902392229118</v>
      </c>
      <c r="BK53" s="76">
        <f>BK52+(0.1*BD53)/(Escenarios!$E$19)-BL52</f>
        <v>49.311190138769156</v>
      </c>
      <c r="BL53" s="76">
        <f>MAX(0,(BK53-Constantes!$D$13)*(1-EXP(-Constantes!$D$23)))</f>
        <v>5.529540102369738E-3</v>
      </c>
      <c r="BM53" s="76">
        <f t="shared" si="8"/>
        <v>0.50534258525568398</v>
      </c>
      <c r="BN53" s="76">
        <f t="shared" si="13"/>
        <v>1.5407229923009138</v>
      </c>
      <c r="BO53" s="76">
        <f>0.0526*BI53*Observaciones!$F52^1.218</f>
        <v>0</v>
      </c>
      <c r="BP53" s="76">
        <f>BO53*Constantes!$E$51</f>
        <v>0</v>
      </c>
      <c r="BQ53" s="76">
        <f t="shared" si="9"/>
        <v>0</v>
      </c>
      <c r="BR53" s="40"/>
    </row>
    <row r="54" spans="1:70">
      <c r="A54" s="147"/>
      <c r="B54" s="39"/>
      <c r="C54" s="75">
        <v>48</v>
      </c>
      <c r="D54" s="146">
        <f>ETo!$I53*((1-Constantes!$E$19)*ETo!$K53+ETo!$L53)</f>
        <v>4.4080244931766703</v>
      </c>
      <c r="E54" s="76">
        <f>MIN(D54*Constantes!$E$17,0.8*(N53+Observaciones!$F53-F54-M54-Constantes!$D$14))</f>
        <v>2.1551374509493306</v>
      </c>
      <c r="F54" s="76">
        <f>IF(Observaciones!$F53&gt;0.05*Constantes!$E$18,((Observaciones!$F53-0.05*Constantes!$E$18)^2)/(Observaciones!$F53+0.95*Constantes!$E$18),0)</f>
        <v>0</v>
      </c>
      <c r="G54" s="76">
        <f>IF(Escenarios!$E$11&gt;0,(F54*Escenarios!$E$16*10000)/1000,0)</f>
        <v>0</v>
      </c>
      <c r="H54" s="76">
        <f>IF(Escenarios!$E$11&gt;0,(Observaciones!$F53*Constantes!$E$29)/1000,0)</f>
        <v>14</v>
      </c>
      <c r="I54" s="76">
        <f>IF(Escenarios!$E$11&gt;0,(D54*Constantes!$E$29)/1000,0)</f>
        <v>44.080244931766707</v>
      </c>
      <c r="J54" s="76">
        <f>IF(Escenarios!$E$11&gt;0,MAX(0,G54+H54-I54),0)</f>
        <v>0</v>
      </c>
      <c r="K54" s="76">
        <f>IF(Escenarios!$E$11&gt;0,IF(J54&gt;Constantes!$E$30,1000*((J54-Constantes!$E$30)/(Escenarios!$E$16*10000)),0),F54)</f>
        <v>0</v>
      </c>
      <c r="L54" s="76">
        <f>IF(Escenarios!$E$11&gt;0,I54*1000/Escenarios!$E$16/10000+E54,E54)</f>
        <v>2.1727695489220373</v>
      </c>
      <c r="M54" s="76">
        <f>MAX(0,N53+Observaciones!$F53-K54-Constantes!$D$13)</f>
        <v>0</v>
      </c>
      <c r="N54" s="76">
        <f>N53+Observaciones!$F53-K54-L54-M54-O53</f>
        <v>43.840939094312688</v>
      </c>
      <c r="O54" s="76">
        <f>MAX(0,(N54-Constantes!$D$14)*(1-EXP(-Constantes!$D$22)))</f>
        <v>1.1101670293390578</v>
      </c>
      <c r="P54" s="170">
        <f>P53+(Entradas!$E$83*M54-Q53)/(800*Entradas!$D$25)</f>
        <v>0</v>
      </c>
      <c r="Q54" s="170">
        <f>8000*Entradas!$D$26*P54/Constantes!$E$45</f>
        <v>0</v>
      </c>
      <c r="R54" s="170">
        <f>IF(Escenarios!$E$14&gt;0,K54*Escenarios!$E$13/Escenarios!$E$14,0)</f>
        <v>0</v>
      </c>
      <c r="S54" s="170">
        <f>IF(Escenarios!$E$14&gt;0,Q54*Escenarios!$E$13/Escenarios!$E$14,0)</f>
        <v>0</v>
      </c>
      <c r="T54" s="170">
        <f>IF(Escenarios!$E$14&gt;0,Observaciones!$I53,0)</f>
        <v>0</v>
      </c>
      <c r="U54" s="170">
        <f>IF(Escenarios!$E$14&gt;0,MAX(0,Constantes!$E$36/((Z53+R54+S54+T54+Observaciones!$F53)^2)+Entradas!$E$77),0)</f>
        <v>1.2127733508671716</v>
      </c>
      <c r="V54" s="146">
        <f>IF(ETo!D53&gt;0,ETo!I53*((1-Entradas!$E$81)*ETo!K53+ETo!L53),0)</f>
        <v>4.0280617435380126</v>
      </c>
      <c r="W54" s="170">
        <f>IF(Escenarios!$E$14&gt;0,MIN(V54*1,0.8*(Z53+R54+S54+T54+Observaciones!$F53-U54-Constantes!$E$35)),0)</f>
        <v>4.0280617435380126</v>
      </c>
      <c r="X54" s="170">
        <f>IF(Escenarios!$E$14&gt;0,Observaciones!$J53,0)</f>
        <v>0</v>
      </c>
      <c r="Y54" s="170">
        <f>IF(Escenarios!$E$14&gt;0,MAX(0,Z53+R54+S54+T54+Observaciones!$F53-U54-W54-X54-Constantes!$E$33),0)</f>
        <v>0</v>
      </c>
      <c r="Z54" s="170">
        <f>Z53+R54+S54+T54+Observaciones!$F53-U54-W54-Y54</f>
        <v>70.551742611510392</v>
      </c>
      <c r="AA54" s="170">
        <f>IF(Escenarios!$E$14&gt;0,(Escenarios!$E$13*L54+Escenarios!$E$14*W54)/(Escenarios!$E$16),L54)</f>
        <v>2.3954046122759545</v>
      </c>
      <c r="AB54" s="170">
        <f>IF(Escenarios!$E$14&gt;0,(Escenarios!$E$14*Y54)/(Escenarios!$E$16),K54)</f>
        <v>0</v>
      </c>
      <c r="AC54" s="170">
        <f>IF(Escenarios!$E$14&gt;0,(Escenarios!$E$13*M54+Escenarios!$E$14*U54)/(Escenarios!$E$16),M54)</f>
        <v>0.14553280210406061</v>
      </c>
      <c r="AD54" s="76">
        <f t="shared" si="1"/>
        <v>99.121484825191416</v>
      </c>
      <c r="AE54" s="76">
        <f>MAX(0,(AD54-Constantes!$D$13)*(1-EXP(-Constantes!$D$23)))</f>
        <v>0.4963222375355702</v>
      </c>
      <c r="AF54" s="76">
        <f>AB54+O54*Escenarios!$E$13/Escenarios!$E$16+AE54</f>
        <v>1.4732692233539411</v>
      </c>
      <c r="AG54" s="76">
        <f>IF(Entradas!$E$91&gt;0,IF(AF54-Escenarios!$E$38&lt;=0,0,IF(AF54-Escenarios!$E$38&gt;Escenarios!$E$37,Escenarios!$E$37,AF54-Escenarios!$E$38)),0)</f>
        <v>0</v>
      </c>
      <c r="AH54" s="76">
        <f>AG54*Entradas!$E$99</f>
        <v>0</v>
      </c>
      <c r="AI54" s="76">
        <f>IF(Entradas!$E$91&gt;0,D54*Entradas!$D$23/Escenarios!$E$16,0)</f>
        <v>0</v>
      </c>
      <c r="AJ54" s="76">
        <f>IF(Entradas!$E$91&gt;0,Entradas!$D$24*Entradas!$D$22/Escenarios!$E$16,0)</f>
        <v>0</v>
      </c>
      <c r="AK54" s="76">
        <f t="shared" si="10"/>
        <v>2.3954046122759545</v>
      </c>
      <c r="AL54" s="76">
        <f t="shared" si="11"/>
        <v>0</v>
      </c>
      <c r="AM54" s="76">
        <f t="shared" si="2"/>
        <v>0</v>
      </c>
      <c r="AN54" s="76">
        <f>MAX(0,O54*Escenarios!$E$13/Escenarios!$E$16-AM54)</f>
        <v>0.97694698581837092</v>
      </c>
      <c r="AO54" s="76">
        <f>AM54+AN54-O54*Escenarios!$E$13/Escenarios!$E$16</f>
        <v>0</v>
      </c>
      <c r="AP54" s="76">
        <f t="shared" si="0"/>
        <v>0.4963222375355702</v>
      </c>
      <c r="AQ54" s="76">
        <f t="shared" si="3"/>
        <v>0</v>
      </c>
      <c r="AR54" s="76">
        <f t="shared" si="4"/>
        <v>1.4732692233539411</v>
      </c>
      <c r="AS54" s="76">
        <f t="shared" si="5"/>
        <v>0</v>
      </c>
      <c r="AT54" s="76">
        <f t="shared" si="6"/>
        <v>0.14553280210406061</v>
      </c>
      <c r="AU54" s="76">
        <f t="shared" si="7"/>
        <v>48.75</v>
      </c>
      <c r="AV54" s="76">
        <f>MAX(0,(AU54-Constantes!$D$13)*(1-EXP(-Constantes!$D$24)))</f>
        <v>0</v>
      </c>
      <c r="AW54" s="170">
        <f>AW53+(Entradas!$E$112*AT54-AX53)/(800*Entradas!$D$25)</f>
        <v>0</v>
      </c>
      <c r="AX54" s="170">
        <f>8000*Entradas!$D$26*AW54/Constantes!$E$45</f>
        <v>0</v>
      </c>
      <c r="AY54" s="170">
        <f>IF(Escenarios!$E$17&gt;0,10*Escenarios!$E$16*AL54,0)</f>
        <v>0</v>
      </c>
      <c r="AZ54" s="170">
        <f>IF(Escenarios!$E$17&gt;0,10*Escenarios!$E$16*AX54,0)</f>
        <v>0</v>
      </c>
      <c r="BA54" s="170">
        <f>IF(Escenarios!$E$17&gt;0,0.001*Observaciones!$F53*Escenarios!$E$17,0)</f>
        <v>28</v>
      </c>
      <c r="BB54" s="170">
        <f>IF(Escenarios!$E$17&gt;0,Observaciones!$K53,0)</f>
        <v>9.8238347283588343</v>
      </c>
      <c r="BC54" s="170">
        <f>IF(Escenarios!$E$17&gt;0,MIN(0.0005*ETo!$M53*Escenarios!$E$17*(BG53/Constantes!$E$40)^(2/3),BG53+AY54+AZ54+BA54+BB54),0)</f>
        <v>32.347517346019039</v>
      </c>
      <c r="BD54" s="170">
        <f>IF(Escenarios!$E$17&gt;0,MIN(Constantes!$E$39*(BG53/Constantes!$E$40)^(2/3),BG53+AY54+AZ54+BA54+BB54-BC54),0)</f>
        <v>51.694954764309877</v>
      </c>
      <c r="BE54" s="170">
        <f>IF(Escenarios!$E$17&gt;0,MIN(Entradas!$E$113,BG53+AY54+AZ54+BA54+BB54-BC54-BD54),0)</f>
        <v>1</v>
      </c>
      <c r="BF54" s="170">
        <f>IF(Escenarios!$E$17&gt;0,MAX(0,BG53+AY54+AZ54+BA54+BB54-BC54-BD54-BE54-Constantes!$E$40),0)</f>
        <v>0</v>
      </c>
      <c r="BG54" s="170">
        <f t="shared" si="12"/>
        <v>3415.7295995968375</v>
      </c>
      <c r="BH54" s="170">
        <f>(Escenarios!$E$16*AK54+0.1*BC54)/(Escenarios!$E$19)</f>
        <v>2.389229780966629</v>
      </c>
      <c r="BI54" s="170">
        <f>IF(Escenarios!$E$17&gt;0,BF54/10/Escenarios!$E$19,AL54)</f>
        <v>0</v>
      </c>
      <c r="BJ54" s="170">
        <f>(Escenarios!$E$16*AT54+0.1*BD54)/(Escenarios!$E$19)</f>
        <v>0.16489165080335769</v>
      </c>
      <c r="BK54" s="76">
        <f>BK53+(0.1*BD54)/(Escenarios!$E$19)-BL53</f>
        <v>49.326174469605</v>
      </c>
      <c r="BL54" s="76">
        <f>MAX(0,(BK54-Constantes!$D$13)*(1-EXP(-Constantes!$D$23)))</f>
        <v>5.6771842830848568E-3</v>
      </c>
      <c r="BM54" s="76">
        <f t="shared" si="8"/>
        <v>0.50199942181865509</v>
      </c>
      <c r="BN54" s="76">
        <f t="shared" si="13"/>
        <v>1.478946407637026</v>
      </c>
      <c r="BO54" s="76">
        <f>0.0526*BI54*Observaciones!$F53^1.218</f>
        <v>0</v>
      </c>
      <c r="BP54" s="76">
        <f>BO54*Constantes!$E$51</f>
        <v>0</v>
      </c>
      <c r="BQ54" s="76">
        <f t="shared" si="9"/>
        <v>0</v>
      </c>
      <c r="BR54" s="40"/>
    </row>
    <row r="55" spans="1:70">
      <c r="A55" s="147"/>
      <c r="B55" s="39"/>
      <c r="C55" s="75">
        <v>49</v>
      </c>
      <c r="D55" s="146">
        <f>ETo!$I54*((1-Constantes!$E$19)*ETo!$K54+ETo!$L54)</f>
        <v>4.4875472397255818</v>
      </c>
      <c r="E55" s="76">
        <f>MIN(D55*Constantes!$E$17,0.8*(N54+Observaciones!$F54-F55-M55-Constantes!$D$14))</f>
        <v>2.1940171009048153</v>
      </c>
      <c r="F55" s="76">
        <f>IF(Observaciones!$F54&gt;0.05*Constantes!$E$18,((Observaciones!$F54-0.05*Constantes!$E$18)^2)/(Observaciones!$F54+0.95*Constantes!$E$18),0)</f>
        <v>0.34186542687573257</v>
      </c>
      <c r="G55" s="76">
        <f>IF(Escenarios!$E$11&gt;0,(F55*Escenarios!$E$16*10000)/1000,0)</f>
        <v>854.66356718933139</v>
      </c>
      <c r="H55" s="76">
        <f>IF(Escenarios!$E$11&gt;0,(Observaciones!$F54*Constantes!$E$29)/1000,0)</f>
        <v>125</v>
      </c>
      <c r="I55" s="76">
        <f>IF(Escenarios!$E$11&gt;0,(D55*Constantes!$E$29)/1000,0)</f>
        <v>44.87547239725582</v>
      </c>
      <c r="J55" s="76">
        <f>IF(Escenarios!$E$11&gt;0,MAX(0,G55+H55-I55),0)</f>
        <v>934.78809479207553</v>
      </c>
      <c r="K55" s="76">
        <f>IF(Escenarios!$E$11&gt;0,IF(J55&gt;Constantes!$E$30,1000*((J55-Constantes!$E$30)/(Escenarios!$E$16*10000)),0),F55)</f>
        <v>0</v>
      </c>
      <c r="L55" s="76">
        <f>IF(Escenarios!$E$11&gt;0,I55*1000/Escenarios!$E$16/10000+E55,E55)</f>
        <v>2.2119672898637175</v>
      </c>
      <c r="M55" s="76">
        <f>MAX(0,N54+Observaciones!$F54-K55-Constantes!$D$13)</f>
        <v>7.590939094312688</v>
      </c>
      <c r="N55" s="76">
        <f>N54+Observaciones!$F54-K55-L55-M55-O54</f>
        <v>45.427865680797225</v>
      </c>
      <c r="O55" s="76">
        <f>MAX(0,(N55-Constantes!$D$14)*(1-EXP(-Constantes!$D$22)))</f>
        <v>1.1642235746014846</v>
      </c>
      <c r="P55" s="170">
        <f>P54+(Entradas!$E$83*M55-Q54)/(800*Entradas!$D$25)</f>
        <v>0</v>
      </c>
      <c r="Q55" s="170">
        <f>8000*Entradas!$D$26*P55/Constantes!$E$45</f>
        <v>0</v>
      </c>
      <c r="R55" s="170">
        <f>IF(Escenarios!$E$14&gt;0,K55*Escenarios!$E$13/Escenarios!$E$14,0)</f>
        <v>0</v>
      </c>
      <c r="S55" s="170">
        <f>IF(Escenarios!$E$14&gt;0,Q55*Escenarios!$E$13/Escenarios!$E$14,0)</f>
        <v>0</v>
      </c>
      <c r="T55" s="170">
        <f>IF(Escenarios!$E$14&gt;0,Observaciones!$I54,0)</f>
        <v>0</v>
      </c>
      <c r="U55" s="170">
        <f>IF(Escenarios!$E$14&gt;0,MAX(0,Constantes!$E$36/((Z54+R55+S55+T55+Observaciones!$F54)^2)+Entradas!$E$77),0)</f>
        <v>1.5115457578211076</v>
      </c>
      <c r="V55" s="146">
        <f>IF(ETo!D54&gt;0,ETo!I54*((1-Entradas!$E$81)*ETo!K54+ETo!L54),0)</f>
        <v>4.1018173150367545</v>
      </c>
      <c r="W55" s="170">
        <f>IF(Escenarios!$E$14&gt;0,MIN(V55*1,0.8*(Z54+R55+S55+T55+Observaciones!$F54-U55-Constantes!$E$35)),0)</f>
        <v>4.1018173150367545</v>
      </c>
      <c r="X55" s="170">
        <f>IF(Escenarios!$E$14&gt;0,Observaciones!$J54,0)</f>
        <v>0</v>
      </c>
      <c r="Y55" s="170">
        <f>IF(Escenarios!$E$14&gt;0,MAX(0,Z54+R55+S55+T55+Observaciones!$F54-U55-W55-X55-Constantes!$E$33),0)</f>
        <v>0</v>
      </c>
      <c r="Z55" s="170">
        <f>Z54+R55+S55+T55+Observaciones!$F54-U55-W55-Y55</f>
        <v>77.438379538652526</v>
      </c>
      <c r="AA55" s="170">
        <f>IF(Escenarios!$E$14&gt;0,(Escenarios!$E$13*L55+Escenarios!$E$14*W55)/(Escenarios!$E$16),L55)</f>
        <v>2.4387492928844821</v>
      </c>
      <c r="AB55" s="170">
        <f>IF(Escenarios!$E$14&gt;0,(Escenarios!$E$14*Y55)/(Escenarios!$E$16),K55)</f>
        <v>0</v>
      </c>
      <c r="AC55" s="170">
        <f>IF(Escenarios!$E$14&gt;0,(Escenarios!$E$13*M55+Escenarios!$E$14*U55)/(Escenarios!$E$16),M55)</f>
        <v>6.8614118939336981</v>
      </c>
      <c r="AD55" s="76">
        <f t="shared" si="1"/>
        <v>105.48657448158954</v>
      </c>
      <c r="AE55" s="76">
        <f>MAX(0,(AD55-Constantes!$D$13)*(1-EXP(-Constantes!$D$23)))</f>
        <v>0.55903898196630231</v>
      </c>
      <c r="AF55" s="76">
        <f>AB55+O55*Escenarios!$E$13/Escenarios!$E$16+AE55</f>
        <v>1.5835557276156087</v>
      </c>
      <c r="AG55" s="76">
        <f>IF(Entradas!$E$91&gt;0,IF(AF55-Escenarios!$E$38&lt;=0,0,IF(AF55-Escenarios!$E$38&gt;Escenarios!$E$37,Escenarios!$E$37,AF55-Escenarios!$E$38)),0)</f>
        <v>0</v>
      </c>
      <c r="AH55" s="76">
        <f>AG55*Entradas!$E$99</f>
        <v>0</v>
      </c>
      <c r="AI55" s="76">
        <f>IF(Entradas!$E$91&gt;0,D55*Entradas!$D$23/Escenarios!$E$16,0)</f>
        <v>0</v>
      </c>
      <c r="AJ55" s="76">
        <f>IF(Entradas!$E$91&gt;0,Entradas!$D$24*Entradas!$D$22/Escenarios!$E$16,0)</f>
        <v>0</v>
      </c>
      <c r="AK55" s="76">
        <f t="shared" si="10"/>
        <v>2.4387492928844821</v>
      </c>
      <c r="AL55" s="76">
        <f t="shared" si="11"/>
        <v>0</v>
      </c>
      <c r="AM55" s="76">
        <f t="shared" si="2"/>
        <v>0</v>
      </c>
      <c r="AN55" s="76">
        <f>MAX(0,O55*Escenarios!$E$13/Escenarios!$E$16-AM55)</f>
        <v>1.0245167456493063</v>
      </c>
      <c r="AO55" s="76">
        <f>AM55+AN55-O55*Escenarios!$E$13/Escenarios!$E$16</f>
        <v>0</v>
      </c>
      <c r="AP55" s="76">
        <f t="shared" si="0"/>
        <v>0.55903898196630231</v>
      </c>
      <c r="AQ55" s="76">
        <f t="shared" si="3"/>
        <v>0</v>
      </c>
      <c r="AR55" s="76">
        <f t="shared" si="4"/>
        <v>1.5835557276156087</v>
      </c>
      <c r="AS55" s="76">
        <f t="shared" si="5"/>
        <v>0</v>
      </c>
      <c r="AT55" s="76">
        <f t="shared" si="6"/>
        <v>6.8614118939336981</v>
      </c>
      <c r="AU55" s="76">
        <f t="shared" si="7"/>
        <v>48.75</v>
      </c>
      <c r="AV55" s="76">
        <f>MAX(0,(AU55-Constantes!$D$13)*(1-EXP(-Constantes!$D$24)))</f>
        <v>0</v>
      </c>
      <c r="AW55" s="170">
        <f>AW54+(Entradas!$E$112*AT55-AX54)/(800*Entradas!$D$25)</f>
        <v>0</v>
      </c>
      <c r="AX55" s="170">
        <f>8000*Entradas!$D$26*AW55/Constantes!$E$45</f>
        <v>0</v>
      </c>
      <c r="AY55" s="170">
        <f>IF(Escenarios!$E$17&gt;0,10*Escenarios!$E$16*AL55,0)</f>
        <v>0</v>
      </c>
      <c r="AZ55" s="170">
        <f>IF(Escenarios!$E$17&gt;0,10*Escenarios!$E$16*AX55,0)</f>
        <v>0</v>
      </c>
      <c r="BA55" s="170">
        <f>IF(Escenarios!$E$17&gt;0,0.001*Observaciones!$F54*Escenarios!$E$17,0)</f>
        <v>250</v>
      </c>
      <c r="BB55" s="170">
        <f>IF(Escenarios!$E$17&gt;0,Observaciones!$K54,0)</f>
        <v>0</v>
      </c>
      <c r="BC55" s="170">
        <f>IF(Escenarios!$E$17&gt;0,MIN(0.0005*ETo!$M54*Escenarios!$E$17*(BG54/Constantes!$E$40)^(2/3),BG54+AY55+AZ55+BA55+BB55),0)</f>
        <v>32.620087527845769</v>
      </c>
      <c r="BD55" s="170">
        <f>IF(Escenarios!$E$17&gt;0,MIN(Constantes!$E$39*(BG54/Constantes!$E$40)^(2/3),BG54+AY55+AZ55+BA55+BB55-BC55),0)</f>
        <v>51.223959859753634</v>
      </c>
      <c r="BE55" s="170">
        <f>IF(Escenarios!$E$17&gt;0,MIN(Entradas!$E$113,BG54+AY55+AZ55+BA55+BB55-BC55-BD55),0)</f>
        <v>1</v>
      </c>
      <c r="BF55" s="170">
        <f>IF(Escenarios!$E$17&gt;0,MAX(0,BG54+AY55+AZ55+BA55+BB55-BC55-BD55-BE55-Constantes!$E$40),0)</f>
        <v>0</v>
      </c>
      <c r="BG55" s="170">
        <f t="shared" si="12"/>
        <v>3580.8855522092381</v>
      </c>
      <c r="BH55" s="170">
        <f>(Escenarios!$E$16*AK55+0.1*BC55)/(Escenarios!$E$19)</f>
        <v>2.4323386189440681</v>
      </c>
      <c r="BI55" s="170">
        <f>IF(Escenarios!$E$17&gt;0,BF55/10/Escenarios!$E$19,AL55)</f>
        <v>0</v>
      </c>
      <c r="BJ55" s="170">
        <f>(Escenarios!$E$16*AT55+0.1*BD55)/(Escenarios!$E$19)</f>
        <v>6.8272832121801574</v>
      </c>
      <c r="BK55" s="76">
        <f>BK54+(0.1*BD55)/(Escenarios!$E$19)-BL54</f>
        <v>49.340824253520225</v>
      </c>
      <c r="BL55" s="76">
        <f>MAX(0,(BK55-Constantes!$D$13)*(1-EXP(-Constantes!$D$23)))</f>
        <v>5.821532093308243E-3</v>
      </c>
      <c r="BM55" s="76">
        <f t="shared" si="8"/>
        <v>0.56486051405961057</v>
      </c>
      <c r="BN55" s="76">
        <f t="shared" si="13"/>
        <v>1.5893772597089169</v>
      </c>
      <c r="BO55" s="76">
        <f>0.0526*BI55*Observaciones!$F54^1.218</f>
        <v>0</v>
      </c>
      <c r="BP55" s="76">
        <f>BO55*Constantes!$E$51</f>
        <v>0</v>
      </c>
      <c r="BQ55" s="76">
        <f t="shared" si="9"/>
        <v>0</v>
      </c>
      <c r="BR55" s="40"/>
    </row>
    <row r="56" spans="1:70">
      <c r="A56" s="147"/>
      <c r="B56" s="39"/>
      <c r="C56" s="75">
        <v>50</v>
      </c>
      <c r="D56" s="146">
        <f>ETo!$I55*((1-Constantes!$E$19)*ETo!$K55+ETo!$L55)</f>
        <v>4.365706802083074</v>
      </c>
      <c r="E56" s="76">
        <f>MIN(D56*Constantes!$E$17,0.8*(N55+Observaciones!$F55-F56-M56-Constantes!$D$14))</f>
        <v>2.1344478107137363</v>
      </c>
      <c r="F56" s="76">
        <f>IF(Observaciones!$F55&gt;0.05*Constantes!$E$18,((Observaciones!$F55-0.05*Constantes!$E$18)^2)/(Observaciones!$F55+0.95*Constantes!$E$18),0)</f>
        <v>0</v>
      </c>
      <c r="G56" s="76">
        <f>IF(Escenarios!$E$11&gt;0,(F56*Escenarios!$E$16*10000)/1000,0)</f>
        <v>0</v>
      </c>
      <c r="H56" s="76">
        <f>IF(Escenarios!$E$11&gt;0,(Observaciones!$F55*Constantes!$E$29)/1000,0)</f>
        <v>0</v>
      </c>
      <c r="I56" s="76">
        <f>IF(Escenarios!$E$11&gt;0,(D56*Constantes!$E$29)/1000,0)</f>
        <v>43.657068020830735</v>
      </c>
      <c r="J56" s="76">
        <f>IF(Escenarios!$E$11&gt;0,MAX(0,G56+H56-I56),0)</f>
        <v>0</v>
      </c>
      <c r="K56" s="76">
        <f>IF(Escenarios!$E$11&gt;0,IF(J56&gt;Constantes!$E$30,1000*((J56-Constantes!$E$30)/(Escenarios!$E$16*10000)),0),F56)</f>
        <v>0</v>
      </c>
      <c r="L56" s="76">
        <f>IF(Escenarios!$E$11&gt;0,I56*1000/Escenarios!$E$16/10000+E56,E56)</f>
        <v>2.1519106379220685</v>
      </c>
      <c r="M56" s="76">
        <f>MAX(0,N55+Observaciones!$F55-K56-Constantes!$D$13)</f>
        <v>0</v>
      </c>
      <c r="N56" s="76">
        <f>N55+Observaciones!$F55-K56-L56-M56-O55</f>
        <v>42.111731468273668</v>
      </c>
      <c r="O56" s="76">
        <f>MAX(0,(N56-Constantes!$D$14)*(1-EXP(-Constantes!$D$22)))</f>
        <v>1.051263869545016</v>
      </c>
      <c r="P56" s="170">
        <f>P55+(Entradas!$E$83*M56-Q55)/(800*Entradas!$D$25)</f>
        <v>0</v>
      </c>
      <c r="Q56" s="170">
        <f>8000*Entradas!$D$26*P56/Constantes!$E$45</f>
        <v>0</v>
      </c>
      <c r="R56" s="170">
        <f>IF(Escenarios!$E$14&gt;0,K56*Escenarios!$E$13/Escenarios!$E$14,0)</f>
        <v>0</v>
      </c>
      <c r="S56" s="170">
        <f>IF(Escenarios!$E$14&gt;0,Q56*Escenarios!$E$13/Escenarios!$E$14,0)</f>
        <v>0</v>
      </c>
      <c r="T56" s="170">
        <f>IF(Escenarios!$E$14&gt;0,Observaciones!$I55,0)</f>
        <v>0</v>
      </c>
      <c r="U56" s="170">
        <f>IF(Escenarios!$E$14&gt;0,MAX(0,Constantes!$E$36/((Z55+R56+S56+T56+Observaciones!$F55)^2)+Entradas!$E$77),0)</f>
        <v>1.2879341129542812</v>
      </c>
      <c r="V56" s="146">
        <f>IF(ETo!D55&gt;0,ETo!I55*((1-Entradas!$E$81)*ETo!K55+ETo!L55),0)</f>
        <v>3.9887403357624045</v>
      </c>
      <c r="W56" s="170">
        <f>IF(Escenarios!$E$14&gt;0,MIN(V56*1,0.8*(Z55+R56+S56+T56+Observaciones!$F55-U56-Constantes!$E$35)),0)</f>
        <v>3.9887403357624045</v>
      </c>
      <c r="X56" s="170">
        <f>IF(Escenarios!$E$14&gt;0,Observaciones!$J55,0)</f>
        <v>0</v>
      </c>
      <c r="Y56" s="170">
        <f>IF(Escenarios!$E$14&gt;0,MAX(0,Z55+R56+S56+T56+Observaciones!$F55-U56-W56-X56-Constantes!$E$33),0)</f>
        <v>0</v>
      </c>
      <c r="Z56" s="170">
        <f>Z55+R56+S56+T56+Observaciones!$F55-U56-W56-Y56</f>
        <v>72.16170508993585</v>
      </c>
      <c r="AA56" s="170">
        <f>IF(Escenarios!$E$14&gt;0,(Escenarios!$E$13*L56+Escenarios!$E$14*W56)/(Escenarios!$E$16),L56)</f>
        <v>2.3723302016629084</v>
      </c>
      <c r="AB56" s="170">
        <f>IF(Escenarios!$E$14&gt;0,(Escenarios!$E$14*Y56)/(Escenarios!$E$16),K56)</f>
        <v>0</v>
      </c>
      <c r="AC56" s="170">
        <f>IF(Escenarios!$E$14&gt;0,(Escenarios!$E$13*M56+Escenarios!$E$14*U56)/(Escenarios!$E$16),M56)</f>
        <v>0.15455209355451374</v>
      </c>
      <c r="AD56" s="76">
        <f t="shared" si="1"/>
        <v>105.08208759317776</v>
      </c>
      <c r="AE56" s="76">
        <f>MAX(0,(AD56-Constantes!$D$13)*(1-EXP(-Constantes!$D$23)))</f>
        <v>0.55505347631351021</v>
      </c>
      <c r="AF56" s="76">
        <f>AB56+O56*Escenarios!$E$13/Escenarios!$E$16+AE56</f>
        <v>1.4801656815131243</v>
      </c>
      <c r="AG56" s="76">
        <f>IF(Entradas!$E$91&gt;0,IF(AF56-Escenarios!$E$38&lt;=0,0,IF(AF56-Escenarios!$E$38&gt;Escenarios!$E$37,Escenarios!$E$37,AF56-Escenarios!$E$38)),0)</f>
        <v>0</v>
      </c>
      <c r="AH56" s="76">
        <f>AG56*Entradas!$E$99</f>
        <v>0</v>
      </c>
      <c r="AI56" s="76">
        <f>IF(Entradas!$E$91&gt;0,D56*Entradas!$D$23/Escenarios!$E$16,0)</f>
        <v>0</v>
      </c>
      <c r="AJ56" s="76">
        <f>IF(Entradas!$E$91&gt;0,Entradas!$D$24*Entradas!$D$22/Escenarios!$E$16,0)</f>
        <v>0</v>
      </c>
      <c r="AK56" s="76">
        <f t="shared" si="10"/>
        <v>2.3723302016629084</v>
      </c>
      <c r="AL56" s="76">
        <f t="shared" si="11"/>
        <v>0</v>
      </c>
      <c r="AM56" s="76">
        <f t="shared" si="2"/>
        <v>0</v>
      </c>
      <c r="AN56" s="76">
        <f>MAX(0,O56*Escenarios!$E$13/Escenarios!$E$16-AM56)</f>
        <v>0.92511220519961412</v>
      </c>
      <c r="AO56" s="76">
        <f>AM56+AN56-O56*Escenarios!$E$13/Escenarios!$E$16</f>
        <v>0</v>
      </c>
      <c r="AP56" s="76">
        <f t="shared" si="0"/>
        <v>0.55505347631351021</v>
      </c>
      <c r="AQ56" s="76">
        <f t="shared" si="3"/>
        <v>0</v>
      </c>
      <c r="AR56" s="76">
        <f t="shared" si="4"/>
        <v>1.4801656815131243</v>
      </c>
      <c r="AS56" s="76">
        <f t="shared" si="5"/>
        <v>0</v>
      </c>
      <c r="AT56" s="76">
        <f t="shared" si="6"/>
        <v>0.15455209355451374</v>
      </c>
      <c r="AU56" s="76">
        <f t="shared" si="7"/>
        <v>48.75</v>
      </c>
      <c r="AV56" s="76">
        <f>MAX(0,(AU56-Constantes!$D$13)*(1-EXP(-Constantes!$D$24)))</f>
        <v>0</v>
      </c>
      <c r="AW56" s="170">
        <f>AW55+(Entradas!$E$112*AT56-AX55)/(800*Entradas!$D$25)</f>
        <v>0</v>
      </c>
      <c r="AX56" s="170">
        <f>8000*Entradas!$D$26*AW56/Constantes!$E$45</f>
        <v>0</v>
      </c>
      <c r="AY56" s="170">
        <f>IF(Escenarios!$E$17&gt;0,10*Escenarios!$E$16*AL56,0)</f>
        <v>0</v>
      </c>
      <c r="AZ56" s="170">
        <f>IF(Escenarios!$E$17&gt;0,10*Escenarios!$E$16*AX56,0)</f>
        <v>0</v>
      </c>
      <c r="BA56" s="170">
        <f>IF(Escenarios!$E$17&gt;0,0.001*Observaciones!$F55*Escenarios!$E$17,0)</f>
        <v>0</v>
      </c>
      <c r="BB56" s="170">
        <f>IF(Escenarios!$E$17&gt;0,Observaciones!$K55,0)</f>
        <v>0</v>
      </c>
      <c r="BC56" s="170">
        <f>IF(Escenarios!$E$17&gt;0,MIN(0.0005*ETo!$M55*Escenarios!$E$17*(BG55/Constantes!$E$40)^(2/3),BG55+AY56+AZ56+BA56+BB56),0)</f>
        <v>32.767068927733085</v>
      </c>
      <c r="BD56" s="170">
        <f>IF(Escenarios!$E$17&gt;0,MIN(Constantes!$E$39*(BG55/Constantes!$E$40)^(2/3),BG55+AY56+AZ56+BA56+BB56-BC56),0)</f>
        <v>52.862105072901109</v>
      </c>
      <c r="BE56" s="170">
        <f>IF(Escenarios!$E$17&gt;0,MIN(Entradas!$E$113,BG55+AY56+AZ56+BA56+BB56-BC56-BD56),0)</f>
        <v>1</v>
      </c>
      <c r="BF56" s="170">
        <f>IF(Escenarios!$E$17&gt;0,MAX(0,BG55+AY56+AZ56+BA56+BB56-BC56-BD56-BE56-Constantes!$E$40),0)</f>
        <v>0</v>
      </c>
      <c r="BG56" s="170">
        <f t="shared" si="12"/>
        <v>3494.256378208604</v>
      </c>
      <c r="BH56" s="170">
        <f>(Escenarios!$E$16*AK56+0.1*BC56)/(Escenarios!$E$19)</f>
        <v>2.3665049893194463</v>
      </c>
      <c r="BI56" s="170">
        <f>IF(Escenarios!$E$17&gt;0,BF56/10/Escenarios!$E$19,AL56)</f>
        <v>0</v>
      </c>
      <c r="BJ56" s="170">
        <f>(Escenarios!$E$16*AT56+0.1*BD56)/(Escenarios!$E$19)</f>
        <v>0.17430251545999423</v>
      </c>
      <c r="BK56" s="76">
        <f>BK55+(0.1*BD56)/(Escenarios!$E$19)-BL55</f>
        <v>49.355979747249499</v>
      </c>
      <c r="BL56" s="76">
        <f>MAX(0,(BK56-Constantes!$D$13)*(1-EXP(-Constantes!$D$23)))</f>
        <v>5.9708627827801545E-3</v>
      </c>
      <c r="BM56" s="76">
        <f t="shared" si="8"/>
        <v>0.56102433909629035</v>
      </c>
      <c r="BN56" s="76">
        <f t="shared" si="13"/>
        <v>1.4861365442959045</v>
      </c>
      <c r="BO56" s="76">
        <f>0.0526*BI56*Observaciones!$F55^1.218</f>
        <v>0</v>
      </c>
      <c r="BP56" s="76">
        <f>BO56*Constantes!$E$51</f>
        <v>0</v>
      </c>
      <c r="BQ56" s="76">
        <f t="shared" si="9"/>
        <v>0</v>
      </c>
      <c r="BR56" s="40"/>
    </row>
    <row r="57" spans="1:70">
      <c r="A57" s="147"/>
      <c r="B57" s="39"/>
      <c r="C57" s="75">
        <v>51</v>
      </c>
      <c r="D57" s="146">
        <f>ETo!$I56*((1-Constantes!$E$19)*ETo!$K56+ETo!$L56)</f>
        <v>4.2171878215673804</v>
      </c>
      <c r="E57" s="76">
        <f>MIN(D57*Constantes!$E$17,0.8*(N56+Observaciones!$F56-F57-M57-Constantes!$D$14))</f>
        <v>2.0618350524176683</v>
      </c>
      <c r="F57" s="76">
        <f>IF(Observaciones!$F56&gt;0.05*Constantes!$E$18,((Observaciones!$F56-0.05*Constantes!$E$18)^2)/(Observaciones!$F56+0.95*Constantes!$E$18),0)</f>
        <v>2.3778188950383043</v>
      </c>
      <c r="G57" s="76">
        <f>IF(Escenarios!$E$11&gt;0,(F57*Escenarios!$E$16*10000)/1000,0)</f>
        <v>5944.5472375957606</v>
      </c>
      <c r="H57" s="76">
        <f>IF(Escenarios!$E$11&gt;0,(Observaciones!$F56*Constantes!$E$29)/1000,0)</f>
        <v>240</v>
      </c>
      <c r="I57" s="76">
        <f>IF(Escenarios!$E$11&gt;0,(D57*Constantes!$E$29)/1000,0)</f>
        <v>42.1718782156738</v>
      </c>
      <c r="J57" s="76">
        <f>IF(Escenarios!$E$11&gt;0,MAX(0,G57+H57-I57),0)</f>
        <v>6142.3753593800866</v>
      </c>
      <c r="K57" s="76">
        <f>IF(Escenarios!$E$11&gt;0,IF(J57&gt;Constantes!$E$30,1000*((J57-Constantes!$E$30)/(Escenarios!$E$16*10000)),0),F57)</f>
        <v>1.9422442613990933</v>
      </c>
      <c r="L57" s="76">
        <f>IF(Escenarios!$E$11&gt;0,I57*1000/Escenarios!$E$16/10000+E57,E57)</f>
        <v>2.0787038037039376</v>
      </c>
      <c r="M57" s="76">
        <f>MAX(0,N56+Observaciones!$F56-K57-Constantes!$D$13)</f>
        <v>15.419487206874564</v>
      </c>
      <c r="N57" s="76">
        <f>N56+Observaciones!$F56-K57-L57-M57-O56</f>
        <v>45.620032326751044</v>
      </c>
      <c r="O57" s="76">
        <f>MAX(0,(N57-Constantes!$D$14)*(1-EXP(-Constantes!$D$22)))</f>
        <v>1.1707694760208713</v>
      </c>
      <c r="P57" s="170">
        <f>P56+(Entradas!$E$83*M57-Q56)/(800*Entradas!$D$25)</f>
        <v>0</v>
      </c>
      <c r="Q57" s="170">
        <f>8000*Entradas!$D$26*P57/Constantes!$E$45</f>
        <v>0</v>
      </c>
      <c r="R57" s="170">
        <f>IF(Escenarios!$E$14&gt;0,K57*Escenarios!$E$13/Escenarios!$E$14,0)</f>
        <v>14.243124583593351</v>
      </c>
      <c r="S57" s="170">
        <f>IF(Escenarios!$E$14&gt;0,Q57*Escenarios!$E$13/Escenarios!$E$14,0)</f>
        <v>0</v>
      </c>
      <c r="T57" s="170">
        <f>IF(Escenarios!$E$14&gt;0,Observaciones!$I56,0)</f>
        <v>0</v>
      </c>
      <c r="U57" s="170">
        <f>IF(Escenarios!$E$14&gt;0,MAX(0,Constantes!$E$36/((Z56+R57+S57+T57+Observaciones!$F56)^2)+Entradas!$E$77),0)</f>
        <v>2.1577193129202357</v>
      </c>
      <c r="V57" s="146">
        <f>IF(ETo!D56&gt;0,ETo!I56*((1-Entradas!$E$81)*ETo!K56+ETo!L56),0)</f>
        <v>3.8513424658427327</v>
      </c>
      <c r="W57" s="170">
        <f>IF(Escenarios!$E$14&gt;0,MIN(V57*1,0.8*(Z56+R57+S57+T57+Observaciones!$F56-U57-Constantes!$E$35)),0)</f>
        <v>3.8513424658427327</v>
      </c>
      <c r="X57" s="170">
        <f>IF(Escenarios!$E$14&gt;0,Observaciones!$J56,0)</f>
        <v>0</v>
      </c>
      <c r="Y57" s="170">
        <f>IF(Escenarios!$E$14&gt;0,MAX(0,Z56+R57+S57+T57+Observaciones!$F56-U57-W57-X57-Constantes!$E$33),0)</f>
        <v>0</v>
      </c>
      <c r="Z57" s="170">
        <f>Z56+R57+S57+T57+Observaciones!$F56-U57-W57-Y57</f>
        <v>104.39576789476624</v>
      </c>
      <c r="AA57" s="170">
        <f>IF(Escenarios!$E$14&gt;0,(Escenarios!$E$13*L57+Escenarios!$E$14*W57)/(Escenarios!$E$16),L57)</f>
        <v>2.2914204431605931</v>
      </c>
      <c r="AB57" s="170">
        <f>IF(Escenarios!$E$14&gt;0,(Escenarios!$E$14*Y57)/(Escenarios!$E$16),K57)</f>
        <v>0</v>
      </c>
      <c r="AC57" s="170">
        <f>IF(Escenarios!$E$14&gt;0,(Escenarios!$E$13*M57+Escenarios!$E$14*U57)/(Escenarios!$E$16),M57)</f>
        <v>13.828075059600044</v>
      </c>
      <c r="AD57" s="76">
        <f t="shared" si="1"/>
        <v>118.3551091764643</v>
      </c>
      <c r="AE57" s="76">
        <f>MAX(0,(AD57-Constantes!$D$13)*(1-EXP(-Constantes!$D$23)))</f>
        <v>0.68583571936107068</v>
      </c>
      <c r="AF57" s="76">
        <f>AB57+O57*Escenarios!$E$13/Escenarios!$E$16+AE57</f>
        <v>1.7161128582594374</v>
      </c>
      <c r="AG57" s="76">
        <f>IF(Entradas!$E$91&gt;0,IF(AF57-Escenarios!$E$38&lt;=0,0,IF(AF57-Escenarios!$E$38&gt;Escenarios!$E$37,Escenarios!$E$37,AF57-Escenarios!$E$38)),0)</f>
        <v>0</v>
      </c>
      <c r="AH57" s="76">
        <f>AG57*Entradas!$E$99</f>
        <v>0</v>
      </c>
      <c r="AI57" s="76">
        <f>IF(Entradas!$E$91&gt;0,D57*Entradas!$D$23/Escenarios!$E$16,0)</f>
        <v>0</v>
      </c>
      <c r="AJ57" s="76">
        <f>IF(Entradas!$E$91&gt;0,Entradas!$D$24*Entradas!$D$22/Escenarios!$E$16,0)</f>
        <v>0</v>
      </c>
      <c r="AK57" s="76">
        <f t="shared" si="10"/>
        <v>2.2914204431605931</v>
      </c>
      <c r="AL57" s="76">
        <f t="shared" si="11"/>
        <v>0</v>
      </c>
      <c r="AM57" s="76">
        <f t="shared" si="2"/>
        <v>0</v>
      </c>
      <c r="AN57" s="76">
        <f>MAX(0,O57*Escenarios!$E$13/Escenarios!$E$16-AM57)</f>
        <v>1.0302771388983667</v>
      </c>
      <c r="AO57" s="76">
        <f>AM57+AN57-O57*Escenarios!$E$13/Escenarios!$E$16</f>
        <v>0</v>
      </c>
      <c r="AP57" s="76">
        <f t="shared" si="0"/>
        <v>0.68583571936107068</v>
      </c>
      <c r="AQ57" s="76">
        <f t="shared" si="3"/>
        <v>0</v>
      </c>
      <c r="AR57" s="76">
        <f t="shared" si="4"/>
        <v>1.7161128582594374</v>
      </c>
      <c r="AS57" s="76">
        <f t="shared" si="5"/>
        <v>0</v>
      </c>
      <c r="AT57" s="76">
        <f t="shared" si="6"/>
        <v>13.828075059600044</v>
      </c>
      <c r="AU57" s="76">
        <f t="shared" si="7"/>
        <v>48.75</v>
      </c>
      <c r="AV57" s="76">
        <f>MAX(0,(AU57-Constantes!$D$13)*(1-EXP(-Constantes!$D$24)))</f>
        <v>0</v>
      </c>
      <c r="AW57" s="170">
        <f>AW56+(Entradas!$E$112*AT57-AX56)/(800*Entradas!$D$25)</f>
        <v>0</v>
      </c>
      <c r="AX57" s="170">
        <f>8000*Entradas!$D$26*AW57/Constantes!$E$45</f>
        <v>0</v>
      </c>
      <c r="AY57" s="170">
        <f>IF(Escenarios!$E$17&gt;0,10*Escenarios!$E$16*AL57,0)</f>
        <v>0</v>
      </c>
      <c r="AZ57" s="170">
        <f>IF(Escenarios!$E$17&gt;0,10*Escenarios!$E$16*AX57,0)</f>
        <v>0</v>
      </c>
      <c r="BA57" s="170">
        <f>IF(Escenarios!$E$17&gt;0,0.001*Observaciones!$F56*Escenarios!$E$17,0)</f>
        <v>480</v>
      </c>
      <c r="BB57" s="170">
        <f>IF(Escenarios!$E$17&gt;0,Observaciones!$K56,0)</f>
        <v>0</v>
      </c>
      <c r="BC57" s="170">
        <f>IF(Escenarios!$E$17&gt;0,MIN(0.0005*ETo!$M56*Escenarios!$E$17*(BG56/Constantes!$E$40)^(2/3),BG56+AY57+AZ57+BA57+BB57),0)</f>
        <v>31.157199893164268</v>
      </c>
      <c r="BD57" s="170">
        <f>IF(Escenarios!$E$17&gt;0,MIN(Constantes!$E$39*(BG56/Constantes!$E$40)^(2/3),BG56+AY57+AZ57+BA57+BB57-BC57),0)</f>
        <v>52.006066153042532</v>
      </c>
      <c r="BE57" s="170">
        <f>IF(Escenarios!$E$17&gt;0,MIN(Entradas!$E$113,BG56+AY57+AZ57+BA57+BB57-BC57-BD57),0)</f>
        <v>1</v>
      </c>
      <c r="BF57" s="170">
        <f>IF(Escenarios!$E$17&gt;0,MAX(0,BG56+AY57+AZ57+BA57+BB57-BC57-BD57-BE57-Constantes!$E$40),0)</f>
        <v>0</v>
      </c>
      <c r="BG57" s="170">
        <f t="shared" si="12"/>
        <v>3890.0931121623971</v>
      </c>
      <c r="BH57" s="170">
        <f>(Escenarios!$E$16*AK57+0.1*BC57)/(Escenarios!$E$19)</f>
        <v>2.2855985348391457</v>
      </c>
      <c r="BI57" s="170">
        <f>IF(Escenarios!$E$17&gt;0,BF57/10/Escenarios!$E$19,AL57)</f>
        <v>0</v>
      </c>
      <c r="BJ57" s="170">
        <f>(Escenarios!$E$16*AT57+0.1*BD57)/(Escenarios!$E$19)</f>
        <v>13.73896575998141</v>
      </c>
      <c r="BK57" s="76">
        <f>BK56+(0.1*BD57)/(Escenarios!$E$19)-BL56</f>
        <v>49.370646212305225</v>
      </c>
      <c r="BL57" s="76">
        <f>MAX(0,(BK57-Constantes!$D$13)*(1-EXP(-Constantes!$D$23)))</f>
        <v>6.1153749562540341E-3</v>
      </c>
      <c r="BM57" s="76">
        <f t="shared" si="8"/>
        <v>0.69195109431732471</v>
      </c>
      <c r="BN57" s="76">
        <f t="shared" si="13"/>
        <v>1.7222282332156915</v>
      </c>
      <c r="BO57" s="76">
        <f>0.0526*BI57*Observaciones!$F56^1.218</f>
        <v>0</v>
      </c>
      <c r="BP57" s="76">
        <f>BO57*Constantes!$E$51</f>
        <v>0</v>
      </c>
      <c r="BQ57" s="76">
        <f t="shared" si="9"/>
        <v>0</v>
      </c>
      <c r="BR57" s="40"/>
    </row>
    <row r="58" spans="1:70">
      <c r="A58" s="147"/>
      <c r="B58" s="39"/>
      <c r="C58" s="75">
        <v>52</v>
      </c>
      <c r="D58" s="146">
        <f>ETo!$I57*((1-Constantes!$E$19)*ETo!$K57+ETo!$L57)</f>
        <v>4.0508079738986611</v>
      </c>
      <c r="E58" s="76">
        <f>MIN(D58*Constantes!$E$17,0.8*(N57+Observaciones!$F57-F58-M58-Constantes!$D$14))</f>
        <v>1.9804898962486981</v>
      </c>
      <c r="F58" s="76">
        <f>IF(Observaciones!$F57&gt;0.05*Constantes!$E$18,((Observaciones!$F57-0.05*Constantes!$E$18)^2)/(Observaciones!$F57+0.95*Constantes!$E$18),0)</f>
        <v>0.30235496792119593</v>
      </c>
      <c r="G58" s="76">
        <f>IF(Escenarios!$E$11&gt;0,(F58*Escenarios!$E$16*10000)/1000,0)</f>
        <v>755.88741980298983</v>
      </c>
      <c r="H58" s="76">
        <f>IF(Escenarios!$E$11&gt;0,(Observaciones!$F57*Constantes!$E$29)/1000,0)</f>
        <v>121</v>
      </c>
      <c r="I58" s="76">
        <f>IF(Escenarios!$E$11&gt;0,(D58*Constantes!$E$29)/1000,0)</f>
        <v>40.508079738986616</v>
      </c>
      <c r="J58" s="76">
        <f>IF(Escenarios!$E$11&gt;0,MAX(0,G58+H58-I58),0)</f>
        <v>836.37934006400326</v>
      </c>
      <c r="K58" s="76">
        <f>IF(Escenarios!$E$11&gt;0,IF(J58&gt;Constantes!$E$30,1000*((J58-Constantes!$E$30)/(Escenarios!$E$16*10000)),0),F58)</f>
        <v>0</v>
      </c>
      <c r="L58" s="76">
        <f>IF(Escenarios!$E$11&gt;0,I58*1000/Escenarios!$E$16/10000+E58,E58)</f>
        <v>1.9966931281442928</v>
      </c>
      <c r="M58" s="76">
        <f>MAX(0,N57+Observaciones!$F57-K58-Constantes!$D$13)</f>
        <v>8.9700323267510456</v>
      </c>
      <c r="N58" s="76">
        <f>N57+Observaciones!$F57-K58-L58-M58-O57</f>
        <v>45.582537395834834</v>
      </c>
      <c r="O58" s="76">
        <f>MAX(0,(N58-Constantes!$D$14)*(1-EXP(-Constantes!$D$22)))</f>
        <v>1.1694922610271559</v>
      </c>
      <c r="P58" s="170">
        <f>P57+(Entradas!$E$83*M58-Q57)/(800*Entradas!$D$25)</f>
        <v>0</v>
      </c>
      <c r="Q58" s="170">
        <f>8000*Entradas!$D$26*P58/Constantes!$E$45</f>
        <v>0</v>
      </c>
      <c r="R58" s="170">
        <f>IF(Escenarios!$E$14&gt;0,K58*Escenarios!$E$13/Escenarios!$E$14,0)</f>
        <v>0</v>
      </c>
      <c r="S58" s="170">
        <f>IF(Escenarios!$E$14&gt;0,Q58*Escenarios!$E$13/Escenarios!$E$14,0)</f>
        <v>0</v>
      </c>
      <c r="T58" s="170">
        <f>IF(Escenarios!$E$14&gt;0,Observaciones!$I57,0)</f>
        <v>0</v>
      </c>
      <c r="U58" s="170">
        <f>IF(Escenarios!$E$14&gt;0,MAX(0,Constantes!$E$36/((Z57+R58+S58+T58+Observaciones!$F57)^2)+Entradas!$E$77),0)</f>
        <v>2.2434934544517056</v>
      </c>
      <c r="V58" s="146">
        <f>IF(ETo!D57&gt;0,ETo!I57*((1-Entradas!$E$81)*ETo!K57+ETo!L57),0)</f>
        <v>3.6979671674801056</v>
      </c>
      <c r="W58" s="170">
        <f>IF(Escenarios!$E$14&gt;0,MIN(V58*1,0.8*(Z57+R58+S58+T58+Observaciones!$F57-U58-Constantes!$E$35)),0)</f>
        <v>3.6979671674801056</v>
      </c>
      <c r="X58" s="170">
        <f>IF(Escenarios!$E$14&gt;0,Observaciones!$J57,0)</f>
        <v>0</v>
      </c>
      <c r="Y58" s="170">
        <f>IF(Escenarios!$E$14&gt;0,MAX(0,Z57+R58+S58+T58+Observaciones!$F57-U58-W58-X58-Constantes!$E$33),0)</f>
        <v>0</v>
      </c>
      <c r="Z58" s="170">
        <f>Z57+R58+S58+T58+Observaciones!$F57-U58-W58-Y58</f>
        <v>110.55430727283442</v>
      </c>
      <c r="AA58" s="170">
        <f>IF(Escenarios!$E$14&gt;0,(Escenarios!$E$13*L58+Escenarios!$E$14*W58)/(Escenarios!$E$16),L58)</f>
        <v>2.2008460128645901</v>
      </c>
      <c r="AB58" s="170">
        <f>IF(Escenarios!$E$14&gt;0,(Escenarios!$E$14*Y58)/(Escenarios!$E$16),K58)</f>
        <v>0</v>
      </c>
      <c r="AC58" s="170">
        <f>IF(Escenarios!$E$14&gt;0,(Escenarios!$E$13*M58+Escenarios!$E$14*U58)/(Escenarios!$E$16),M58)</f>
        <v>8.1628476620751247</v>
      </c>
      <c r="AD58" s="76">
        <f t="shared" si="1"/>
        <v>125.83212111917835</v>
      </c>
      <c r="AE58" s="76">
        <f>MAX(0,(AD58-Constantes!$D$13)*(1-EXP(-Constantes!$D$23)))</f>
        <v>0.75950849891812866</v>
      </c>
      <c r="AF58" s="76">
        <f>AB58+O58*Escenarios!$E$13/Escenarios!$E$16+AE58</f>
        <v>1.7886616886220259</v>
      </c>
      <c r="AG58" s="76">
        <f>IF(Entradas!$E$91&gt;0,IF(AF58-Escenarios!$E$38&lt;=0,0,IF(AF58-Escenarios!$E$38&gt;Escenarios!$E$37,Escenarios!$E$37,AF58-Escenarios!$E$38)),0)</f>
        <v>0</v>
      </c>
      <c r="AH58" s="76">
        <f>AG58*Entradas!$E$99</f>
        <v>0</v>
      </c>
      <c r="AI58" s="76">
        <f>IF(Entradas!$E$91&gt;0,D58*Entradas!$D$23/Escenarios!$E$16,0)</f>
        <v>0</v>
      </c>
      <c r="AJ58" s="76">
        <f>IF(Entradas!$E$91&gt;0,Entradas!$D$24*Entradas!$D$22/Escenarios!$E$16,0)</f>
        <v>0</v>
      </c>
      <c r="AK58" s="76">
        <f t="shared" si="10"/>
        <v>2.2008460128645901</v>
      </c>
      <c r="AL58" s="76">
        <f t="shared" si="11"/>
        <v>0</v>
      </c>
      <c r="AM58" s="76">
        <f t="shared" si="2"/>
        <v>0</v>
      </c>
      <c r="AN58" s="76">
        <f>MAX(0,O58*Escenarios!$E$13/Escenarios!$E$16-AM58)</f>
        <v>1.0291531897038972</v>
      </c>
      <c r="AO58" s="76">
        <f>AM58+AN58-O58*Escenarios!$E$13/Escenarios!$E$16</f>
        <v>0</v>
      </c>
      <c r="AP58" s="76">
        <f t="shared" si="0"/>
        <v>0.75950849891812866</v>
      </c>
      <c r="AQ58" s="76">
        <f t="shared" si="3"/>
        <v>0</v>
      </c>
      <c r="AR58" s="76">
        <f t="shared" si="4"/>
        <v>1.7886616886220259</v>
      </c>
      <c r="AS58" s="76">
        <f t="shared" si="5"/>
        <v>0</v>
      </c>
      <c r="AT58" s="76">
        <f t="shared" si="6"/>
        <v>8.1628476620751247</v>
      </c>
      <c r="AU58" s="76">
        <f t="shared" si="7"/>
        <v>48.75</v>
      </c>
      <c r="AV58" s="76">
        <f>MAX(0,(AU58-Constantes!$D$13)*(1-EXP(-Constantes!$D$24)))</f>
        <v>0</v>
      </c>
      <c r="AW58" s="170">
        <f>AW57+(Entradas!$E$112*AT58-AX57)/(800*Entradas!$D$25)</f>
        <v>0</v>
      </c>
      <c r="AX58" s="170">
        <f>8000*Entradas!$D$26*AW58/Constantes!$E$45</f>
        <v>0</v>
      </c>
      <c r="AY58" s="170">
        <f>IF(Escenarios!$E$17&gt;0,10*Escenarios!$E$16*AL58,0)</f>
        <v>0</v>
      </c>
      <c r="AZ58" s="170">
        <f>IF(Escenarios!$E$17&gt;0,10*Escenarios!$E$16*AX58,0)</f>
        <v>0</v>
      </c>
      <c r="BA58" s="170">
        <f>IF(Escenarios!$E$17&gt;0,0.001*Observaciones!$F57*Escenarios!$E$17,0)</f>
        <v>242</v>
      </c>
      <c r="BB58" s="170">
        <f>IF(Escenarios!$E$17&gt;0,Observaciones!$K57,0)</f>
        <v>0</v>
      </c>
      <c r="BC58" s="170">
        <f>IF(Escenarios!$E$17&gt;0,MIN(0.0005*ETo!$M57*Escenarios!$E$17*(BG57/Constantes!$E$40)^(2/3),BG57+AY58+AZ58+BA58+BB58),0)</f>
        <v>32.163208331472376</v>
      </c>
      <c r="BD58" s="170">
        <f>IF(Escenarios!$E$17&gt;0,MIN(Constantes!$E$39*(BG57/Constantes!$E$40)^(2/3),BG57+AY58+AZ58+BA58+BB58-BC58),0)</f>
        <v>55.862987472007077</v>
      </c>
      <c r="BE58" s="170">
        <f>IF(Escenarios!$E$17&gt;0,MIN(Entradas!$E$113,BG57+AY58+AZ58+BA58+BB58-BC58-BD58),0)</f>
        <v>1</v>
      </c>
      <c r="BF58" s="170">
        <f>IF(Escenarios!$E$17&gt;0,MAX(0,BG57+AY58+AZ58+BA58+BB58-BC58-BD58-BE58-Constantes!$E$40),0)</f>
        <v>0</v>
      </c>
      <c r="BG58" s="170">
        <f t="shared" si="12"/>
        <v>4043.0669163589173</v>
      </c>
      <c r="BH58" s="170">
        <f>(Escenarios!$E$16*AK58+0.1*BC58)/(Escenarios!$E$19)</f>
        <v>2.196142158925773</v>
      </c>
      <c r="BI58" s="170">
        <f>IF(Escenarios!$E$17&gt;0,BF58/10/Escenarios!$E$19,AL58)</f>
        <v>0</v>
      </c>
      <c r="BJ58" s="170">
        <f>(Escenarios!$E$16*AT58+0.1*BD58)/(Escenarios!$E$19)</f>
        <v>8.1202310089919916</v>
      </c>
      <c r="BK58" s="76">
        <f>BK57+(0.1*BD58)/(Escenarios!$E$19)-BL57</f>
        <v>49.386698689520401</v>
      </c>
      <c r="BL58" s="76">
        <f>MAX(0,(BK58-Constantes!$D$13)*(1-EXP(-Constantes!$D$23)))</f>
        <v>6.2735438376573553E-3</v>
      </c>
      <c r="BM58" s="76">
        <f t="shared" si="8"/>
        <v>0.76578204275578599</v>
      </c>
      <c r="BN58" s="76">
        <f t="shared" si="13"/>
        <v>1.7949352324596832</v>
      </c>
      <c r="BO58" s="76">
        <f>0.0526*BI58*Observaciones!$F57^1.218</f>
        <v>0</v>
      </c>
      <c r="BP58" s="76">
        <f>BO58*Constantes!$E$51</f>
        <v>0</v>
      </c>
      <c r="BQ58" s="76">
        <f t="shared" si="9"/>
        <v>0</v>
      </c>
      <c r="BR58" s="40"/>
    </row>
    <row r="59" spans="1:70">
      <c r="A59" s="147"/>
      <c r="B59" s="39"/>
      <c r="C59" s="75">
        <v>53</v>
      </c>
      <c r="D59" s="146">
        <f>ETo!$I58*((1-Constantes!$E$19)*ETo!$K58+ETo!$L58)</f>
        <v>4.0002589710993472</v>
      </c>
      <c r="E59" s="76">
        <f>MIN(D59*Constantes!$E$17,0.8*(N58+Observaciones!$F58-F59-M59-Constantes!$D$14))</f>
        <v>1.9557758663676084</v>
      </c>
      <c r="F59" s="76">
        <f>IF(Observaciones!$F58&gt;0.05*Constantes!$E$18,((Observaciones!$F58-0.05*Constantes!$E$18)^2)/(Observaciones!$F58+0.95*Constantes!$E$18),0)</f>
        <v>6.0428294711895227E-3</v>
      </c>
      <c r="G59" s="76">
        <f>IF(Escenarios!$E$11&gt;0,(F59*Escenarios!$E$16*10000)/1000,0)</f>
        <v>15.107073677973805</v>
      </c>
      <c r="H59" s="76">
        <f>IF(Escenarios!$E$11&gt;0,(Observaciones!$F58*Constantes!$E$29)/1000,0)</f>
        <v>68</v>
      </c>
      <c r="I59" s="76">
        <f>IF(Escenarios!$E$11&gt;0,(D59*Constantes!$E$29)/1000,0)</f>
        <v>40.002589710993476</v>
      </c>
      <c r="J59" s="76">
        <f>IF(Escenarios!$E$11&gt;0,MAX(0,G59+H59-I59),0)</f>
        <v>43.104483966980325</v>
      </c>
      <c r="K59" s="76">
        <f>IF(Escenarios!$E$11&gt;0,IF(J59&gt;Constantes!$E$30,1000*((J59-Constantes!$E$30)/(Escenarios!$E$16*10000)),0),F59)</f>
        <v>0</v>
      </c>
      <c r="L59" s="76">
        <f>IF(Escenarios!$E$11&gt;0,I59*1000/Escenarios!$E$16/10000+E59,E59)</f>
        <v>1.9717769022520057</v>
      </c>
      <c r="M59" s="76">
        <f>MAX(0,N58+Observaciones!$F58-K59-Constantes!$D$13)</f>
        <v>3.6325373958348308</v>
      </c>
      <c r="N59" s="76">
        <f>N58+Observaciones!$F58-K59-L59-M59-O58</f>
        <v>45.608730836720838</v>
      </c>
      <c r="O59" s="76">
        <f>MAX(0,(N59-Constantes!$D$14)*(1-EXP(-Constantes!$D$22)))</f>
        <v>1.1703845057818232</v>
      </c>
      <c r="P59" s="170">
        <f>P58+(Entradas!$E$83*M59-Q58)/(800*Entradas!$D$25)</f>
        <v>0</v>
      </c>
      <c r="Q59" s="170">
        <f>8000*Entradas!$D$26*P59/Constantes!$E$45</f>
        <v>0</v>
      </c>
      <c r="R59" s="170">
        <f>IF(Escenarios!$E$14&gt;0,K59*Escenarios!$E$13/Escenarios!$E$14,0)</f>
        <v>0</v>
      </c>
      <c r="S59" s="170">
        <f>IF(Escenarios!$E$14&gt;0,Q59*Escenarios!$E$13/Escenarios!$E$14,0)</f>
        <v>0</v>
      </c>
      <c r="T59" s="170">
        <f>IF(Escenarios!$E$14&gt;0,Observaciones!$I58,0)</f>
        <v>0</v>
      </c>
      <c r="U59" s="170">
        <f>IF(Escenarios!$E$14&gt;0,MAX(0,Constantes!$E$36/((Z58+R59+S59+T59+Observaciones!$F58)^2)+Entradas!$E$77),0)</f>
        <v>2.2545218505246045</v>
      </c>
      <c r="V59" s="146">
        <f>IF(ETo!D58&gt;0,ETo!I58*((1-Entradas!$E$81)*ETo!K58+ETo!L58),0)</f>
        <v>3.6514030662886081</v>
      </c>
      <c r="W59" s="170">
        <f>IF(Escenarios!$E$14&gt;0,MIN(V59*1,0.8*(Z58+R59+S59+T59+Observaciones!$F58-U59-Constantes!$E$35)),0)</f>
        <v>3.6514030662886081</v>
      </c>
      <c r="X59" s="170">
        <f>IF(Escenarios!$E$14&gt;0,Observaciones!$J58,0)</f>
        <v>0</v>
      </c>
      <c r="Y59" s="170">
        <f>IF(Escenarios!$E$14&gt;0,MAX(0,Z58+R59+S59+T59+Observaciones!$F58-U59-W59-X59-Constantes!$E$33),0)</f>
        <v>0</v>
      </c>
      <c r="Z59" s="170">
        <f>Z58+R59+S59+T59+Observaciones!$F58-U59-W59-Y59</f>
        <v>111.4483823560212</v>
      </c>
      <c r="AA59" s="170">
        <f>IF(Escenarios!$E$14&gt;0,(Escenarios!$E$13*L59+Escenarios!$E$14*W59)/(Escenarios!$E$16),L59)</f>
        <v>2.1733320419363982</v>
      </c>
      <c r="AB59" s="170">
        <f>IF(Escenarios!$E$14&gt;0,(Escenarios!$E$14*Y59)/(Escenarios!$E$16),K59)</f>
        <v>0</v>
      </c>
      <c r="AC59" s="170">
        <f>IF(Escenarios!$E$14&gt;0,(Escenarios!$E$13*M59+Escenarios!$E$14*U59)/(Escenarios!$E$16),M59)</f>
        <v>3.4671755303976033</v>
      </c>
      <c r="AD59" s="76">
        <f t="shared" si="1"/>
        <v>128.53978815065781</v>
      </c>
      <c r="AE59" s="76">
        <f>MAX(0,(AD59-Constantes!$D$13)*(1-EXP(-Constantes!$D$23)))</f>
        <v>0.78618778709533743</v>
      </c>
      <c r="AF59" s="76">
        <f>AB59+O59*Escenarios!$E$13/Escenarios!$E$16+AE59</f>
        <v>1.8161261521833421</v>
      </c>
      <c r="AG59" s="76">
        <f>IF(Entradas!$E$91&gt;0,IF(AF59-Escenarios!$E$38&lt;=0,0,IF(AF59-Escenarios!$E$38&gt;Escenarios!$E$37,Escenarios!$E$37,AF59-Escenarios!$E$38)),0)</f>
        <v>0</v>
      </c>
      <c r="AH59" s="76">
        <f>AG59*Entradas!$E$99</f>
        <v>0</v>
      </c>
      <c r="AI59" s="76">
        <f>IF(Entradas!$E$91&gt;0,D59*Entradas!$D$23/Escenarios!$E$16,0)</f>
        <v>0</v>
      </c>
      <c r="AJ59" s="76">
        <f>IF(Entradas!$E$91&gt;0,Entradas!$D$24*Entradas!$D$22/Escenarios!$E$16,0)</f>
        <v>0</v>
      </c>
      <c r="AK59" s="76">
        <f t="shared" si="10"/>
        <v>2.1733320419363982</v>
      </c>
      <c r="AL59" s="76">
        <f t="shared" si="11"/>
        <v>0</v>
      </c>
      <c r="AM59" s="76">
        <f t="shared" si="2"/>
        <v>0</v>
      </c>
      <c r="AN59" s="76">
        <f>MAX(0,O59*Escenarios!$E$13/Escenarios!$E$16-AM59)</f>
        <v>1.0299383650880045</v>
      </c>
      <c r="AO59" s="76">
        <f>AM59+AN59-O59*Escenarios!$E$13/Escenarios!$E$16</f>
        <v>0</v>
      </c>
      <c r="AP59" s="76">
        <f t="shared" si="0"/>
        <v>0.78618778709533743</v>
      </c>
      <c r="AQ59" s="76">
        <f t="shared" si="3"/>
        <v>0</v>
      </c>
      <c r="AR59" s="76">
        <f t="shared" si="4"/>
        <v>1.8161261521833421</v>
      </c>
      <c r="AS59" s="76">
        <f t="shared" si="5"/>
        <v>0</v>
      </c>
      <c r="AT59" s="76">
        <f t="shared" si="6"/>
        <v>3.4671755303976033</v>
      </c>
      <c r="AU59" s="76">
        <f t="shared" si="7"/>
        <v>48.75</v>
      </c>
      <c r="AV59" s="76">
        <f>MAX(0,(AU59-Constantes!$D$13)*(1-EXP(-Constantes!$D$24)))</f>
        <v>0</v>
      </c>
      <c r="AW59" s="170">
        <f>AW58+(Entradas!$E$112*AT59-AX58)/(800*Entradas!$D$25)</f>
        <v>0</v>
      </c>
      <c r="AX59" s="170">
        <f>8000*Entradas!$D$26*AW59/Constantes!$E$45</f>
        <v>0</v>
      </c>
      <c r="AY59" s="170">
        <f>IF(Escenarios!$E$17&gt;0,10*Escenarios!$E$16*AL59,0)</f>
        <v>0</v>
      </c>
      <c r="AZ59" s="170">
        <f>IF(Escenarios!$E$17&gt;0,10*Escenarios!$E$16*AX59,0)</f>
        <v>0</v>
      </c>
      <c r="BA59" s="170">
        <f>IF(Escenarios!$E$17&gt;0,0.001*Observaciones!$F58*Escenarios!$E$17,0)</f>
        <v>136</v>
      </c>
      <c r="BB59" s="170">
        <f>IF(Escenarios!$E$17&gt;0,Observaciones!$K58,0)</f>
        <v>16.741517492921258</v>
      </c>
      <c r="BC59" s="170">
        <f>IF(Escenarios!$E$17&gt;0,MIN(0.0005*ETo!$M58*Escenarios!$E$17*(BG58/Constantes!$E$40)^(2/3),BG58+AY59+AZ59+BA59+BB59),0)</f>
        <v>32.593869051743383</v>
      </c>
      <c r="BD59" s="170">
        <f>IF(Escenarios!$E$17&gt;0,MIN(Constantes!$E$39*(BG58/Constantes!$E$40)^(2/3),BG58+AY59+AZ59+BA59+BB59-BC59),0)</f>
        <v>57.318055141372611</v>
      </c>
      <c r="BE59" s="170">
        <f>IF(Escenarios!$E$17&gt;0,MIN(Entradas!$E$113,BG58+AY59+AZ59+BA59+BB59-BC59-BD59),0)</f>
        <v>1</v>
      </c>
      <c r="BF59" s="170">
        <f>IF(Escenarios!$E$17&gt;0,MAX(0,BG58+AY59+AZ59+BA59+BB59-BC59-BD59-BE59-Constantes!$E$40),0)</f>
        <v>0</v>
      </c>
      <c r="BG59" s="170">
        <f t="shared" si="12"/>
        <v>4104.8965096587226</v>
      </c>
      <c r="BH59" s="170">
        <f>(Escenarios!$E$16*AK59+0.1*BC59)/(Escenarios!$E$19)</f>
        <v>2.169017449957436</v>
      </c>
      <c r="BI59" s="170">
        <f>IF(Escenarios!$E$17&gt;0,BF59/10/Escenarios!$E$19,AL59)</f>
        <v>0</v>
      </c>
      <c r="BJ59" s="170">
        <f>(Escenarios!$E$16*AT59+0.1*BD59)/(Escenarios!$E$19)</f>
        <v>3.4624035242600719</v>
      </c>
      <c r="BK59" s="76">
        <f>BK58+(0.1*BD59)/(Escenarios!$E$19)-BL58</f>
        <v>49.40317040565948</v>
      </c>
      <c r="BL59" s="76">
        <f>MAX(0,(BK59-Constantes!$D$13)*(1-EXP(-Constantes!$D$23)))</f>
        <v>6.4358435800328326E-3</v>
      </c>
      <c r="BM59" s="76">
        <f t="shared" si="8"/>
        <v>0.79262363067537023</v>
      </c>
      <c r="BN59" s="76">
        <f t="shared" si="13"/>
        <v>1.822561995763375</v>
      </c>
      <c r="BO59" s="76">
        <f>0.0526*BI59*Observaciones!$F58^1.218</f>
        <v>0</v>
      </c>
      <c r="BP59" s="76">
        <f>BO59*Constantes!$E$51</f>
        <v>0</v>
      </c>
      <c r="BQ59" s="76">
        <f t="shared" si="9"/>
        <v>0</v>
      </c>
      <c r="BR59" s="40"/>
    </row>
    <row r="60" spans="1:70">
      <c r="A60" s="147"/>
      <c r="B60" s="39"/>
      <c r="C60" s="75">
        <v>54</v>
      </c>
      <c r="D60" s="146">
        <f>ETo!$I59*((1-Constantes!$E$19)*ETo!$K59+ETo!$L59)</f>
        <v>4.3096058141583864</v>
      </c>
      <c r="E60" s="76">
        <f>MIN(D60*Constantes!$E$17,0.8*(N59+Observaciones!$F59-F60-M60-Constantes!$D$14))</f>
        <v>2.1070193469429692</v>
      </c>
      <c r="F60" s="76">
        <f>IF(Observaciones!$F59&gt;0.05*Constantes!$E$18,((Observaciones!$F59-0.05*Constantes!$E$18)^2)/(Observaciones!$F59+0.95*Constantes!$E$18),0)</f>
        <v>3.3617405770589968</v>
      </c>
      <c r="G60" s="76">
        <f>IF(Escenarios!$E$11&gt;0,(F60*Escenarios!$E$16*10000)/1000,0)</f>
        <v>8404.3514426474921</v>
      </c>
      <c r="H60" s="76">
        <f>IF(Escenarios!$E$11&gt;0,(Observaciones!$F59*Constantes!$E$29)/1000,0)</f>
        <v>277</v>
      </c>
      <c r="I60" s="76">
        <f>IF(Escenarios!$E$11&gt;0,(D60*Constantes!$E$29)/1000,0)</f>
        <v>43.09605814158386</v>
      </c>
      <c r="J60" s="76">
        <f>IF(Escenarios!$E$11&gt;0,MAX(0,G60+H60-I60),0)</f>
        <v>8638.2553845059083</v>
      </c>
      <c r="K60" s="76">
        <f>IF(Escenarios!$E$11&gt;0,IF(J60&gt;Constantes!$E$30,1000*((J60-Constantes!$E$30)/(Escenarios!$E$16*10000)),0),F60)</f>
        <v>2.9405962714494223</v>
      </c>
      <c r="L60" s="76">
        <f>IF(Escenarios!$E$11&gt;0,I60*1000/Escenarios!$E$16/10000+E60,E60)</f>
        <v>2.1242577701996028</v>
      </c>
      <c r="M60" s="76">
        <f>MAX(0,N59+Observaciones!$F59-K60-Constantes!$D$13)</f>
        <v>21.618134565271419</v>
      </c>
      <c r="N60" s="76">
        <f>N59+Observaciones!$F59-K60-L60-M60-O59</f>
        <v>45.455357724018569</v>
      </c>
      <c r="O60" s="76">
        <f>MAX(0,(N60-Constantes!$D$14)*(1-EXP(-Constantes!$D$22)))</f>
        <v>1.1651600545189604</v>
      </c>
      <c r="P60" s="170">
        <f>P59+(Entradas!$E$83*M60-Q59)/(800*Entradas!$D$25)</f>
        <v>0</v>
      </c>
      <c r="Q60" s="170">
        <f>8000*Entradas!$D$26*P60/Constantes!$E$45</f>
        <v>0</v>
      </c>
      <c r="R60" s="170">
        <f>IF(Escenarios!$E$14&gt;0,K60*Escenarios!$E$13/Escenarios!$E$14,0)</f>
        <v>21.564372657295767</v>
      </c>
      <c r="S60" s="170">
        <f>IF(Escenarios!$E$14&gt;0,Q60*Escenarios!$E$13/Escenarios!$E$14,0)</f>
        <v>0</v>
      </c>
      <c r="T60" s="170">
        <f>IF(Escenarios!$E$14&gt;0,Observaciones!$I59,0)</f>
        <v>0</v>
      </c>
      <c r="U60" s="170">
        <f>IF(Escenarios!$E$14&gt;0,MAX(0,Constantes!$E$36/((Z59+R60+S60+T60+Observaciones!$F59)^2)+Entradas!$E$77),0)</f>
        <v>2.6025044282529519</v>
      </c>
      <c r="V60" s="146">
        <f>IF(ETo!D59&gt;0,ETo!I59*((1-Entradas!$E$81)*ETo!K59+ETo!L59),0)</f>
        <v>3.9365358293436037</v>
      </c>
      <c r="W60" s="170">
        <f>IF(Escenarios!$E$14&gt;0,MIN(V60*1,0.8*(Z59+R60+S60+T60+Observaciones!$F59-U60-Constantes!$E$35)),0)</f>
        <v>3.9365358293436037</v>
      </c>
      <c r="X60" s="170">
        <f>IF(Escenarios!$E$14&gt;0,Observaciones!$J59,0)</f>
        <v>0</v>
      </c>
      <c r="Y60" s="170">
        <f>IF(Escenarios!$E$14&gt;0,MAX(0,Z59+R60+S60+T60+Observaciones!$F59-U60-W60-X60-Constantes!$E$33),0)</f>
        <v>0</v>
      </c>
      <c r="Z60" s="170">
        <f>Z59+R60+S60+T60+Observaciones!$F59-U60-W60-Y60</f>
        <v>154.1737147557204</v>
      </c>
      <c r="AA60" s="170">
        <f>IF(Escenarios!$E$14&gt;0,(Escenarios!$E$13*L60+Escenarios!$E$14*W60)/(Escenarios!$E$16),L60)</f>
        <v>2.341731137296883</v>
      </c>
      <c r="AB60" s="170">
        <f>IF(Escenarios!$E$14&gt;0,(Escenarios!$E$14*Y60)/(Escenarios!$E$16),K60)</f>
        <v>0</v>
      </c>
      <c r="AC60" s="170">
        <f>IF(Escenarios!$E$14&gt;0,(Escenarios!$E$13*M60+Escenarios!$E$14*U60)/(Escenarios!$E$16),M60)</f>
        <v>19.336258948829204</v>
      </c>
      <c r="AD60" s="76">
        <f t="shared" si="1"/>
        <v>147.08985931239167</v>
      </c>
      <c r="AE60" s="76">
        <f>MAX(0,(AD60-Constantes!$D$13)*(1-EXP(-Constantes!$D$23)))</f>
        <v>0.96896605653462464</v>
      </c>
      <c r="AF60" s="76">
        <f>AB60+O60*Escenarios!$E$13/Escenarios!$E$16+AE60</f>
        <v>1.9943069045113098</v>
      </c>
      <c r="AG60" s="76">
        <f>IF(Entradas!$E$91&gt;0,IF(AF60-Escenarios!$E$38&lt;=0,0,IF(AF60-Escenarios!$E$38&gt;Escenarios!$E$37,Escenarios!$E$37,AF60-Escenarios!$E$38)),0)</f>
        <v>0</v>
      </c>
      <c r="AH60" s="76">
        <f>AG60*Entradas!$E$99</f>
        <v>0</v>
      </c>
      <c r="AI60" s="76">
        <f>IF(Entradas!$E$91&gt;0,D60*Entradas!$D$23/Escenarios!$E$16,0)</f>
        <v>0</v>
      </c>
      <c r="AJ60" s="76">
        <f>IF(Entradas!$E$91&gt;0,Entradas!$D$24*Entradas!$D$22/Escenarios!$E$16,0)</f>
        <v>0</v>
      </c>
      <c r="AK60" s="76">
        <f t="shared" si="10"/>
        <v>2.341731137296883</v>
      </c>
      <c r="AL60" s="76">
        <f t="shared" si="11"/>
        <v>0</v>
      </c>
      <c r="AM60" s="76">
        <f t="shared" si="2"/>
        <v>0</v>
      </c>
      <c r="AN60" s="76">
        <f>MAX(0,O60*Escenarios!$E$13/Escenarios!$E$16-AM60)</f>
        <v>1.0253408479766852</v>
      </c>
      <c r="AO60" s="76">
        <f>AM60+AN60-O60*Escenarios!$E$13/Escenarios!$E$16</f>
        <v>0</v>
      </c>
      <c r="AP60" s="76">
        <f t="shared" si="0"/>
        <v>0.96896605653462464</v>
      </c>
      <c r="AQ60" s="76">
        <f t="shared" si="3"/>
        <v>0</v>
      </c>
      <c r="AR60" s="76">
        <f t="shared" si="4"/>
        <v>1.9943069045113098</v>
      </c>
      <c r="AS60" s="76">
        <f t="shared" si="5"/>
        <v>0</v>
      </c>
      <c r="AT60" s="76">
        <f t="shared" si="6"/>
        <v>19.336258948829204</v>
      </c>
      <c r="AU60" s="76">
        <f t="shared" si="7"/>
        <v>48.75</v>
      </c>
      <c r="AV60" s="76">
        <f>MAX(0,(AU60-Constantes!$D$13)*(1-EXP(-Constantes!$D$24)))</f>
        <v>0</v>
      </c>
      <c r="AW60" s="170">
        <f>AW59+(Entradas!$E$112*AT60-AX59)/(800*Entradas!$D$25)</f>
        <v>0</v>
      </c>
      <c r="AX60" s="170">
        <f>8000*Entradas!$D$26*AW60/Constantes!$E$45</f>
        <v>0</v>
      </c>
      <c r="AY60" s="170">
        <f>IF(Escenarios!$E$17&gt;0,10*Escenarios!$E$16*AL60,0)</f>
        <v>0</v>
      </c>
      <c r="AZ60" s="170">
        <f>IF(Escenarios!$E$17&gt;0,10*Escenarios!$E$16*AX60,0)</f>
        <v>0</v>
      </c>
      <c r="BA60" s="170">
        <f>IF(Escenarios!$E$17&gt;0,0.001*Observaciones!$F59*Escenarios!$E$17,0)</f>
        <v>554</v>
      </c>
      <c r="BB60" s="170">
        <f>IF(Escenarios!$E$17&gt;0,Observaciones!$K59,0)</f>
        <v>265.59205535887259</v>
      </c>
      <c r="BC60" s="170">
        <f>IF(Escenarios!$E$17&gt;0,MIN(0.0005*ETo!$M59*Escenarios!$E$17*(BG59/Constantes!$E$40)^(2/3),BG59+AY60+AZ60+BA60+BB60),0)</f>
        <v>35.440026434419465</v>
      </c>
      <c r="BD60" s="170">
        <f>IF(Escenarios!$E$17&gt;0,MIN(Constantes!$E$39*(BG59/Constantes!$E$40)^(2/3),BG59+AY60+AZ60+BA60+BB60-BC60),0)</f>
        <v>57.900942698469827</v>
      </c>
      <c r="BE60" s="170">
        <f>IF(Escenarios!$E$17&gt;0,MIN(Entradas!$E$113,BG59+AY60+AZ60+BA60+BB60-BC60-BD60),0)</f>
        <v>1</v>
      </c>
      <c r="BF60" s="170">
        <f>IF(Escenarios!$E$17&gt;0,MAX(0,BG59+AY60+AZ60+BA60+BB60-BC60-BD60-BE60-Constantes!$E$40),0)</f>
        <v>0</v>
      </c>
      <c r="BG60" s="170">
        <f t="shared" si="12"/>
        <v>4830.1475958847059</v>
      </c>
      <c r="BH60" s="170">
        <f>(Escenarios!$E$16*AK60+0.1*BC60)/(Escenarios!$E$19)</f>
        <v>2.3372094720938992</v>
      </c>
      <c r="BI60" s="170">
        <f>IF(Escenarios!$E$17&gt;0,BF60/10/Escenarios!$E$19,AL60)</f>
        <v>0</v>
      </c>
      <c r="BJ60" s="170">
        <f>(Escenarios!$E$16*AT60+0.1*BD60)/(Escenarios!$E$19)</f>
        <v>19.205773140782334</v>
      </c>
      <c r="BK60" s="76">
        <f>BK59+(0.1*BD60)/(Escenarios!$E$19)-BL59</f>
        <v>49.419711126642326</v>
      </c>
      <c r="BL60" s="76">
        <f>MAX(0,(BK60-Constantes!$D$13)*(1-EXP(-Constantes!$D$23)))</f>
        <v>6.5988232435696108E-3</v>
      </c>
      <c r="BM60" s="76">
        <f t="shared" si="8"/>
        <v>0.97556487977819428</v>
      </c>
      <c r="BN60" s="76">
        <f t="shared" si="13"/>
        <v>2.0009057277548794</v>
      </c>
      <c r="BO60" s="76">
        <f>0.0526*BI60*Observaciones!$F59^1.218</f>
        <v>0</v>
      </c>
      <c r="BP60" s="76">
        <f>BO60*Constantes!$E$51</f>
        <v>0</v>
      </c>
      <c r="BQ60" s="76">
        <f t="shared" si="9"/>
        <v>0</v>
      </c>
      <c r="BR60" s="40"/>
    </row>
    <row r="61" spans="1:70">
      <c r="A61" s="147"/>
      <c r="B61" s="39"/>
      <c r="C61" s="75">
        <v>55</v>
      </c>
      <c r="D61" s="146">
        <f>ETo!$I60*((1-Constantes!$E$19)*ETo!$K60+ETo!$L60)</f>
        <v>4.3249204896830902</v>
      </c>
      <c r="E61" s="76">
        <f>MIN(D61*Constantes!$E$17,0.8*(N60+Observaciones!$F60-F61-M61-Constantes!$D$14))</f>
        <v>2.1145068803773945</v>
      </c>
      <c r="F61" s="76">
        <f>IF(Observaciones!$F60&gt;0.05*Constantes!$E$18,((Observaciones!$F60-0.05*Constantes!$E$18)^2)/(Observaciones!$F60+0.95*Constantes!$E$18),0)</f>
        <v>7.6277808574240935E-2</v>
      </c>
      <c r="G61" s="76">
        <f>IF(Escenarios!$E$11&gt;0,(F61*Escenarios!$E$16*10000)/1000,0)</f>
        <v>190.69452143560233</v>
      </c>
      <c r="H61" s="76">
        <f>IF(Escenarios!$E$11&gt;0,(Observaciones!$F60*Constantes!$E$29)/1000,0)</f>
        <v>90</v>
      </c>
      <c r="I61" s="76">
        <f>IF(Escenarios!$E$11&gt;0,(D61*Constantes!$E$29)/1000,0)</f>
        <v>43.249204896830904</v>
      </c>
      <c r="J61" s="76">
        <f>IF(Escenarios!$E$11&gt;0,MAX(0,G61+H61-I61),0)</f>
        <v>237.44531653877141</v>
      </c>
      <c r="K61" s="76">
        <f>IF(Escenarios!$E$11&gt;0,IF(J61&gt;Constantes!$E$30,1000*((J61-Constantes!$E$30)/(Escenarios!$E$16*10000)),0),F61)</f>
        <v>0</v>
      </c>
      <c r="L61" s="76">
        <f>IF(Escenarios!$E$11&gt;0,I61*1000/Escenarios!$E$16/10000+E61,E61)</f>
        <v>2.1318065623361271</v>
      </c>
      <c r="M61" s="76">
        <f>MAX(0,N60+Observaciones!$F60-K61-Constantes!$D$13)</f>
        <v>5.7053577240185689</v>
      </c>
      <c r="N61" s="76">
        <f>N60+Observaciones!$F60-K61-L61-M61-O60</f>
        <v>45.453033383144913</v>
      </c>
      <c r="O61" s="76">
        <f>MAX(0,(N61-Constantes!$D$14)*(1-EXP(-Constantes!$D$22)))</f>
        <v>1.1650808789359737</v>
      </c>
      <c r="P61" s="170">
        <f>P60+(Entradas!$E$83*M61-Q60)/(800*Entradas!$D$25)</f>
        <v>0</v>
      </c>
      <c r="Q61" s="170">
        <f>8000*Entradas!$D$26*P61/Constantes!$E$45</f>
        <v>0</v>
      </c>
      <c r="R61" s="170">
        <f>IF(Escenarios!$E$14&gt;0,K61*Escenarios!$E$13/Escenarios!$E$14,0)</f>
        <v>0</v>
      </c>
      <c r="S61" s="170">
        <f>IF(Escenarios!$E$14&gt;0,Q61*Escenarios!$E$13/Escenarios!$E$14,0)</f>
        <v>0</v>
      </c>
      <c r="T61" s="170">
        <f>IF(Escenarios!$E$14&gt;0,Observaciones!$I60,0)</f>
        <v>0</v>
      </c>
      <c r="U61" s="170">
        <f>IF(Escenarios!$E$14&gt;0,MAX(0,Constantes!$E$36/((Z60+R61+S61+T61+Observaciones!$F60)^2)+Entradas!$E$77),0)</f>
        <v>2.6144039418280109</v>
      </c>
      <c r="V61" s="146">
        <f>IF(ETo!D60&gt;0,ETo!I60*((1-Entradas!$E$81)*ETo!K60+ETo!L60),0)</f>
        <v>3.9506413230760722</v>
      </c>
      <c r="W61" s="170">
        <f>IF(Escenarios!$E$14&gt;0,MIN(V61*1,0.8*(Z60+R61+S61+T61+Observaciones!$F60-U61-Constantes!$E$35)),0)</f>
        <v>3.9506413230760722</v>
      </c>
      <c r="X61" s="170">
        <f>IF(Escenarios!$E$14&gt;0,Observaciones!$J60,0)</f>
        <v>0</v>
      </c>
      <c r="Y61" s="170">
        <f>IF(Escenarios!$E$14&gt;0,MAX(0,Z60+R61+S61+T61+Observaciones!$F60-U61-W61-X61-Constantes!$E$33),0)</f>
        <v>0</v>
      </c>
      <c r="Z61" s="170">
        <f>Z60+R61+S61+T61+Observaciones!$F60-U61-W61-Y61</f>
        <v>156.60866949081631</v>
      </c>
      <c r="AA61" s="170">
        <f>IF(Escenarios!$E$14&gt;0,(Escenarios!$E$13*L61+Escenarios!$E$14*W61)/(Escenarios!$E$16),L61)</f>
        <v>2.3500667336249208</v>
      </c>
      <c r="AB61" s="170">
        <f>IF(Escenarios!$E$14&gt;0,(Escenarios!$E$14*Y61)/(Escenarios!$E$16),K61)</f>
        <v>0</v>
      </c>
      <c r="AC61" s="170">
        <f>IF(Escenarios!$E$14&gt;0,(Escenarios!$E$13*M61+Escenarios!$E$14*U61)/(Escenarios!$E$16),M61)</f>
        <v>5.3344432701557025</v>
      </c>
      <c r="AD61" s="76">
        <f t="shared" si="1"/>
        <v>151.45533652601276</v>
      </c>
      <c r="AE61" s="76">
        <f>MAX(0,(AD61-Constantes!$D$13)*(1-EXP(-Constantes!$D$23)))</f>
        <v>1.0119801432960969</v>
      </c>
      <c r="AF61" s="76">
        <f>AB61+O61*Escenarios!$E$13/Escenarios!$E$16+AE61</f>
        <v>2.0372513167597539</v>
      </c>
      <c r="AG61" s="76">
        <f>IF(Entradas!$E$91&gt;0,IF(AF61-Escenarios!$E$38&lt;=0,0,IF(AF61-Escenarios!$E$38&gt;Escenarios!$E$37,Escenarios!$E$37,AF61-Escenarios!$E$38)),0)</f>
        <v>0</v>
      </c>
      <c r="AH61" s="76">
        <f>AG61*Entradas!$E$99</f>
        <v>0</v>
      </c>
      <c r="AI61" s="76">
        <f>IF(Entradas!$E$91&gt;0,D61*Entradas!$D$23/Escenarios!$E$16,0)</f>
        <v>0</v>
      </c>
      <c r="AJ61" s="76">
        <f>IF(Entradas!$E$91&gt;0,Entradas!$D$24*Entradas!$D$22/Escenarios!$E$16,0)</f>
        <v>0</v>
      </c>
      <c r="AK61" s="76">
        <f t="shared" si="10"/>
        <v>2.3500667336249208</v>
      </c>
      <c r="AL61" s="76">
        <f t="shared" si="11"/>
        <v>0</v>
      </c>
      <c r="AM61" s="76">
        <f t="shared" si="2"/>
        <v>0</v>
      </c>
      <c r="AN61" s="76">
        <f>MAX(0,O61*Escenarios!$E$13/Escenarios!$E$16-AM61)</f>
        <v>1.0252711734636568</v>
      </c>
      <c r="AO61" s="76">
        <f>AM61+AN61-O61*Escenarios!$E$13/Escenarios!$E$16</f>
        <v>0</v>
      </c>
      <c r="AP61" s="76">
        <f t="shared" si="0"/>
        <v>1.0119801432960969</v>
      </c>
      <c r="AQ61" s="76">
        <f t="shared" si="3"/>
        <v>0</v>
      </c>
      <c r="AR61" s="76">
        <f t="shared" si="4"/>
        <v>2.0372513167597539</v>
      </c>
      <c r="AS61" s="76">
        <f t="shared" si="5"/>
        <v>0</v>
      </c>
      <c r="AT61" s="76">
        <f t="shared" si="6"/>
        <v>5.3344432701557025</v>
      </c>
      <c r="AU61" s="76">
        <f t="shared" si="7"/>
        <v>48.75</v>
      </c>
      <c r="AV61" s="76">
        <f>MAX(0,(AU61-Constantes!$D$13)*(1-EXP(-Constantes!$D$24)))</f>
        <v>0</v>
      </c>
      <c r="AW61" s="170">
        <f>AW60+(Entradas!$E$112*AT61-AX60)/(800*Entradas!$D$25)</f>
        <v>0</v>
      </c>
      <c r="AX61" s="170">
        <f>8000*Entradas!$D$26*AW61/Constantes!$E$45</f>
        <v>0</v>
      </c>
      <c r="AY61" s="170">
        <f>IF(Escenarios!$E$17&gt;0,10*Escenarios!$E$16*AL61,0)</f>
        <v>0</v>
      </c>
      <c r="AZ61" s="170">
        <f>IF(Escenarios!$E$17&gt;0,10*Escenarios!$E$16*AX61,0)</f>
        <v>0</v>
      </c>
      <c r="BA61" s="170">
        <f>IF(Escenarios!$E$17&gt;0,0.001*Observaciones!$F60*Escenarios!$E$17,0)</f>
        <v>180.00000000000003</v>
      </c>
      <c r="BB61" s="170">
        <f>IF(Escenarios!$E$17&gt;0,Observaciones!$K60,0)</f>
        <v>0</v>
      </c>
      <c r="BC61" s="170">
        <f>IF(Escenarios!$E$17&gt;0,MIN(0.0005*ETo!$M60*Escenarios!$E$17*(BG60/Constantes!$E$40)^(2/3),BG60+AY61+AZ61+BA61+BB61),0)</f>
        <v>39.639107317213131</v>
      </c>
      <c r="BD61" s="170">
        <f>IF(Escenarios!$E$17&gt;0,MIN(Constantes!$E$39*(BG60/Constantes!$E$40)^(2/3),BG60+AY61+AZ61+BA61+BB61-BC61),0)</f>
        <v>64.534372896918782</v>
      </c>
      <c r="BE61" s="170">
        <f>IF(Escenarios!$E$17&gt;0,MIN(Entradas!$E$113,BG60+AY61+AZ61+BA61+BB61-BC61-BD61),0)</f>
        <v>1</v>
      </c>
      <c r="BF61" s="170">
        <f>IF(Escenarios!$E$17&gt;0,MAX(0,BG60+AY61+AZ61+BA61+BB61-BC61-BD61-BE61-Constantes!$E$40),0)</f>
        <v>0</v>
      </c>
      <c r="BG61" s="170">
        <f t="shared" si="12"/>
        <v>4904.9741156705732</v>
      </c>
      <c r="BH61" s="170">
        <f>(Escenarios!$E$16*AK61+0.1*BC61)/(Escenarios!$E$19)</f>
        <v>2.3471452148331409</v>
      </c>
      <c r="BI61" s="170">
        <f>IF(Escenarios!$E$17&gt;0,BF61/10/Escenarios!$E$19,AL61)</f>
        <v>0</v>
      </c>
      <c r="BJ61" s="170">
        <f>(Escenarios!$E$16*AT61+0.1*BD61)/(Escenarios!$E$19)</f>
        <v>5.3177152969389585</v>
      </c>
      <c r="BK61" s="76">
        <f>BK60+(0.1*BD61)/(Escenarios!$E$19)-BL60</f>
        <v>49.438721181532451</v>
      </c>
      <c r="BL61" s="76">
        <f>MAX(0,(BK61-Constantes!$D$13)*(1-EXP(-Constantes!$D$23)))</f>
        <v>6.7861338422443157E-3</v>
      </c>
      <c r="BM61" s="76">
        <f t="shared" si="8"/>
        <v>1.0187662771383412</v>
      </c>
      <c r="BN61" s="76">
        <f t="shared" si="13"/>
        <v>2.0440374506019983</v>
      </c>
      <c r="BO61" s="76">
        <f>0.0526*BI61*Observaciones!$F60^1.218</f>
        <v>0</v>
      </c>
      <c r="BP61" s="76">
        <f>BO61*Constantes!$E$51</f>
        <v>0</v>
      </c>
      <c r="BQ61" s="76">
        <f t="shared" si="9"/>
        <v>0</v>
      </c>
      <c r="BR61" s="40"/>
    </row>
    <row r="62" spans="1:70">
      <c r="A62" s="147"/>
      <c r="B62" s="39"/>
      <c r="C62" s="75">
        <v>56</v>
      </c>
      <c r="D62" s="146">
        <f>ETo!$I61*((1-Constantes!$E$19)*ETo!$K61+ETo!$L61)</f>
        <v>4.2867665315916206</v>
      </c>
      <c r="E62" s="76">
        <f>MIN(D62*Constantes!$E$17,0.8*(N61+Observaciones!$F61-F62-M62-Constantes!$D$14))</f>
        <v>2.095852940474801</v>
      </c>
      <c r="F62" s="76">
        <f>IF(Observaciones!$F61&gt;0.05*Constantes!$E$18,((Observaciones!$F61-0.05*Constantes!$E$18)^2)/(Observaciones!$F61+0.95*Constantes!$E$18),0)</f>
        <v>0</v>
      </c>
      <c r="G62" s="76">
        <f>IF(Escenarios!$E$11&gt;0,(F62*Escenarios!$E$16*10000)/1000,0)</f>
        <v>0</v>
      </c>
      <c r="H62" s="76">
        <f>IF(Escenarios!$E$11&gt;0,(Observaciones!$F61*Constantes!$E$29)/1000,0)</f>
        <v>5</v>
      </c>
      <c r="I62" s="76">
        <f>IF(Escenarios!$E$11&gt;0,(D62*Constantes!$E$29)/1000,0)</f>
        <v>42.867665315916206</v>
      </c>
      <c r="J62" s="76">
        <f>IF(Escenarios!$E$11&gt;0,MAX(0,G62+H62-I62),0)</f>
        <v>0</v>
      </c>
      <c r="K62" s="76">
        <f>IF(Escenarios!$E$11&gt;0,IF(J62&gt;Constantes!$E$30,1000*((J62-Constantes!$E$30)/(Escenarios!$E$16*10000)),0),F62)</f>
        <v>0</v>
      </c>
      <c r="L62" s="76">
        <f>IF(Escenarios!$E$11&gt;0,I62*1000/Escenarios!$E$16/10000+E62,E62)</f>
        <v>2.1130000066011676</v>
      </c>
      <c r="M62" s="76">
        <f>MAX(0,N61+Observaciones!$F61-K62-Constantes!$D$13)</f>
        <v>0</v>
      </c>
      <c r="N62" s="76">
        <f>N61+Observaciones!$F61-K62-L62-M62-O61</f>
        <v>42.674952497607769</v>
      </c>
      <c r="O62" s="76">
        <f>MAX(0,(N62-Constantes!$D$14)*(1-EXP(-Constantes!$D$22)))</f>
        <v>1.0704492454308627</v>
      </c>
      <c r="P62" s="170">
        <f>P61+(Entradas!$E$83*M62-Q61)/(800*Entradas!$D$25)</f>
        <v>0</v>
      </c>
      <c r="Q62" s="170">
        <f>8000*Entradas!$D$26*P62/Constantes!$E$45</f>
        <v>0</v>
      </c>
      <c r="R62" s="170">
        <f>IF(Escenarios!$E$14&gt;0,K62*Escenarios!$E$13/Escenarios!$E$14,0)</f>
        <v>0</v>
      </c>
      <c r="S62" s="170">
        <f>IF(Escenarios!$E$14&gt;0,Q62*Escenarios!$E$13/Escenarios!$E$14,0)</f>
        <v>0</v>
      </c>
      <c r="T62" s="170">
        <f>IF(Escenarios!$E$14&gt;0,Observaciones!$I61,0)</f>
        <v>0</v>
      </c>
      <c r="U62" s="170">
        <f>IF(Escenarios!$E$14&gt;0,MAX(0,Constantes!$E$36/((Z61+R62+S62+T62+Observaciones!$F61)^2)+Entradas!$E$77),0)</f>
        <v>2.5840580864704994</v>
      </c>
      <c r="V62" s="146">
        <f>IF(ETo!D61&gt;0,ETo!I61*((1-Entradas!$E$81)*ETo!K61+ETo!L61),0)</f>
        <v>3.915247574337422</v>
      </c>
      <c r="W62" s="170">
        <f>IF(Escenarios!$E$14&gt;0,MIN(V62*1,0.8*(Z61+R62+S62+T62+Observaciones!$F61-U62-Constantes!$E$35)),0)</f>
        <v>3.915247574337422</v>
      </c>
      <c r="X62" s="170">
        <f>IF(Escenarios!$E$14&gt;0,Observaciones!$J61,0)</f>
        <v>0</v>
      </c>
      <c r="Y62" s="170">
        <f>IF(Escenarios!$E$14&gt;0,MAX(0,Z61+R62+S62+T62+Observaciones!$F61-U62-W62-X62-Constantes!$E$33),0)</f>
        <v>0</v>
      </c>
      <c r="Z62" s="170">
        <f>Z61+R62+S62+T62+Observaciones!$F61-U62-W62-Y62</f>
        <v>150.60936383000839</v>
      </c>
      <c r="AA62" s="170">
        <f>IF(Escenarios!$E$14&gt;0,(Escenarios!$E$13*L62+Escenarios!$E$14*W62)/(Escenarios!$E$16),L62)</f>
        <v>2.3292697147295178</v>
      </c>
      <c r="AB62" s="170">
        <f>IF(Escenarios!$E$14&gt;0,(Escenarios!$E$14*Y62)/(Escenarios!$E$16),K62)</f>
        <v>0</v>
      </c>
      <c r="AC62" s="170">
        <f>IF(Escenarios!$E$14&gt;0,(Escenarios!$E$13*M62+Escenarios!$E$14*U62)/(Escenarios!$E$16),M62)</f>
        <v>0.31008697037645994</v>
      </c>
      <c r="AD62" s="76">
        <f t="shared" si="1"/>
        <v>150.75344335309313</v>
      </c>
      <c r="AE62" s="76">
        <f>MAX(0,(AD62-Constantes!$D$13)*(1-EXP(-Constantes!$D$23)))</f>
        <v>1.0050642226853908</v>
      </c>
      <c r="AF62" s="76">
        <f>AB62+O62*Escenarios!$E$13/Escenarios!$E$16+AE62</f>
        <v>1.94705955866455</v>
      </c>
      <c r="AG62" s="76">
        <f>IF(Entradas!$E$91&gt;0,IF(AF62-Escenarios!$E$38&lt;=0,0,IF(AF62-Escenarios!$E$38&gt;Escenarios!$E$37,Escenarios!$E$37,AF62-Escenarios!$E$38)),0)</f>
        <v>0</v>
      </c>
      <c r="AH62" s="76">
        <f>AG62*Entradas!$E$99</f>
        <v>0</v>
      </c>
      <c r="AI62" s="76">
        <f>IF(Entradas!$E$91&gt;0,D62*Entradas!$D$23/Escenarios!$E$16,0)</f>
        <v>0</v>
      </c>
      <c r="AJ62" s="76">
        <f>IF(Entradas!$E$91&gt;0,Entradas!$D$24*Entradas!$D$22/Escenarios!$E$16,0)</f>
        <v>0</v>
      </c>
      <c r="AK62" s="76">
        <f t="shared" si="10"/>
        <v>2.3292697147295178</v>
      </c>
      <c r="AL62" s="76">
        <f t="shared" si="11"/>
        <v>0</v>
      </c>
      <c r="AM62" s="76">
        <f t="shared" si="2"/>
        <v>0</v>
      </c>
      <c r="AN62" s="76">
        <f>MAX(0,O62*Escenarios!$E$13/Escenarios!$E$16-AM62)</f>
        <v>0.94199533597915919</v>
      </c>
      <c r="AO62" s="76">
        <f>AM62+AN62-O62*Escenarios!$E$13/Escenarios!$E$16</f>
        <v>0</v>
      </c>
      <c r="AP62" s="76">
        <f t="shared" si="0"/>
        <v>1.0050642226853908</v>
      </c>
      <c r="AQ62" s="76">
        <f t="shared" si="3"/>
        <v>0</v>
      </c>
      <c r="AR62" s="76">
        <f t="shared" si="4"/>
        <v>1.94705955866455</v>
      </c>
      <c r="AS62" s="76">
        <f t="shared" si="5"/>
        <v>0</v>
      </c>
      <c r="AT62" s="76">
        <f t="shared" si="6"/>
        <v>0.31008697037645994</v>
      </c>
      <c r="AU62" s="76">
        <f t="shared" si="7"/>
        <v>48.75</v>
      </c>
      <c r="AV62" s="76">
        <f>MAX(0,(AU62-Constantes!$D$13)*(1-EXP(-Constantes!$D$24)))</f>
        <v>0</v>
      </c>
      <c r="AW62" s="170">
        <f>AW61+(Entradas!$E$112*AT62-AX61)/(800*Entradas!$D$25)</f>
        <v>0</v>
      </c>
      <c r="AX62" s="170">
        <f>8000*Entradas!$D$26*AW62/Constantes!$E$45</f>
        <v>0</v>
      </c>
      <c r="AY62" s="170">
        <f>IF(Escenarios!$E$17&gt;0,10*Escenarios!$E$16*AL62,0)</f>
        <v>0</v>
      </c>
      <c r="AZ62" s="170">
        <f>IF(Escenarios!$E$17&gt;0,10*Escenarios!$E$16*AX62,0)</f>
        <v>0</v>
      </c>
      <c r="BA62" s="170">
        <f>IF(Escenarios!$E$17&gt;0,0.001*Observaciones!$F61*Escenarios!$E$17,0)</f>
        <v>10</v>
      </c>
      <c r="BB62" s="170">
        <f>IF(Escenarios!$E$17&gt;0,Observaciones!$K61,0)</f>
        <v>0.31269447813933815</v>
      </c>
      <c r="BC62" s="170">
        <f>IF(Escenarios!$E$17&gt;0,MIN(0.0005*ETo!$M61*Escenarios!$E$17*(BG61/Constantes!$E$40)^(2/3),BG61+AY62+AZ62+BA62+BB62),0)</f>
        <v>39.701090672799722</v>
      </c>
      <c r="BD62" s="170">
        <f>IF(Escenarios!$E$17&gt;0,MIN(Constantes!$E$39*(BG61/Constantes!$E$40)^(2/3),BG61+AY62+AZ62+BA62+BB62-BC62),0)</f>
        <v>65.199155865326446</v>
      </c>
      <c r="BE62" s="170">
        <f>IF(Escenarios!$E$17&gt;0,MIN(Entradas!$E$113,BG61+AY62+AZ62+BA62+BB62-BC62-BD62),0)</f>
        <v>1</v>
      </c>
      <c r="BF62" s="170">
        <f>IF(Escenarios!$E$17&gt;0,MAX(0,BG61+AY62+AZ62+BA62+BB62-BC62-BD62-BE62-Constantes!$E$40),0)</f>
        <v>0</v>
      </c>
      <c r="BG62" s="170">
        <f t="shared" si="12"/>
        <v>4809.3865636105866</v>
      </c>
      <c r="BH62" s="170">
        <f>(Escenarios!$E$16*AK62+0.1*BC62)/(Escenarios!$E$19)</f>
        <v>2.3265378482129342</v>
      </c>
      <c r="BI62" s="170">
        <f>IF(Escenarios!$E$17&gt;0,BF62/10/Escenarios!$E$19,AL62)</f>
        <v>0</v>
      </c>
      <c r="BJ62" s="170">
        <f>(Escenarios!$E$16*AT62+0.1*BD62)/(Escenarios!$E$19)</f>
        <v>0.33349864357399855</v>
      </c>
      <c r="BK62" s="76">
        <f>BK61+(0.1*BD62)/(Escenarios!$E$19)-BL61</f>
        <v>49.457807728589145</v>
      </c>
      <c r="BL62" s="76">
        <f>MAX(0,(BK62-Constantes!$D$13)*(1-EXP(-Constantes!$D$23)))</f>
        <v>6.974198136455256E-3</v>
      </c>
      <c r="BM62" s="76">
        <f t="shared" si="8"/>
        <v>1.012038420821846</v>
      </c>
      <c r="BN62" s="76">
        <f t="shared" si="13"/>
        <v>1.9540337568010053</v>
      </c>
      <c r="BO62" s="76">
        <f>0.0526*BI62*Observaciones!$F61^1.218</f>
        <v>0</v>
      </c>
      <c r="BP62" s="76">
        <f>BO62*Constantes!$E$51</f>
        <v>0</v>
      </c>
      <c r="BQ62" s="76">
        <f t="shared" si="9"/>
        <v>0</v>
      </c>
      <c r="BR62" s="40"/>
    </row>
    <row r="63" spans="1:70">
      <c r="A63" s="147"/>
      <c r="B63" s="39"/>
      <c r="C63" s="75">
        <v>57</v>
      </c>
      <c r="D63" s="146">
        <f>ETo!$I62*((1-Constantes!$E$19)*ETo!$K62+ETo!$L62)</f>
        <v>4.3855433862909248</v>
      </c>
      <c r="E63" s="76">
        <f>MIN(D63*Constantes!$E$17,0.8*(N62+Observaciones!$F62-F63-M63-Constantes!$D$14))</f>
        <v>2.1441461609818493</v>
      </c>
      <c r="F63" s="76">
        <f>IF(Observaciones!$F62&gt;0.05*Constantes!$E$18,((Observaciones!$F62-0.05*Constantes!$E$18)^2)/(Observaciones!$F62+0.95*Constantes!$E$18),0)</f>
        <v>0</v>
      </c>
      <c r="G63" s="76">
        <f>IF(Escenarios!$E$11&gt;0,(F63*Escenarios!$E$16*10000)/1000,0)</f>
        <v>0</v>
      </c>
      <c r="H63" s="76">
        <f>IF(Escenarios!$E$11&gt;0,(Observaciones!$F62*Constantes!$E$29)/1000,0)</f>
        <v>0</v>
      </c>
      <c r="I63" s="76">
        <f>IF(Escenarios!$E$11&gt;0,(D63*Constantes!$E$29)/1000,0)</f>
        <v>43.855433862909244</v>
      </c>
      <c r="J63" s="76">
        <f>IF(Escenarios!$E$11&gt;0,MAX(0,G63+H63-I63),0)</f>
        <v>0</v>
      </c>
      <c r="K63" s="76">
        <f>IF(Escenarios!$E$11&gt;0,IF(J63&gt;Constantes!$E$30,1000*((J63-Constantes!$E$30)/(Escenarios!$E$16*10000)),0),F63)</f>
        <v>0</v>
      </c>
      <c r="L63" s="76">
        <f>IF(Escenarios!$E$11&gt;0,I63*1000/Escenarios!$E$16/10000+E63,E63)</f>
        <v>2.161688334527013</v>
      </c>
      <c r="M63" s="76">
        <f>MAX(0,N62+Observaciones!$F62-K63-Constantes!$D$13)</f>
        <v>0</v>
      </c>
      <c r="N63" s="76">
        <f>N62+Observaciones!$F62-K63-L63-M63-O62</f>
        <v>39.442814917649891</v>
      </c>
      <c r="O63" s="76">
        <f>MAX(0,(N63-Constantes!$D$14)*(1-EXP(-Constantes!$D$22)))</f>
        <v>0.96035077403753211</v>
      </c>
      <c r="P63" s="170">
        <f>P62+(Entradas!$E$83*M63-Q62)/(800*Entradas!$D$25)</f>
        <v>0</v>
      </c>
      <c r="Q63" s="170">
        <f>8000*Entradas!$D$26*P63/Constantes!$E$45</f>
        <v>0</v>
      </c>
      <c r="R63" s="170">
        <f>IF(Escenarios!$E$14&gt;0,K63*Escenarios!$E$13/Escenarios!$E$14,0)</f>
        <v>0</v>
      </c>
      <c r="S63" s="170">
        <f>IF(Escenarios!$E$14&gt;0,Q63*Escenarios!$E$13/Escenarios!$E$14,0)</f>
        <v>0</v>
      </c>
      <c r="T63" s="170">
        <f>IF(Escenarios!$E$14&gt;0,Observaciones!$I62,0)</f>
        <v>0</v>
      </c>
      <c r="U63" s="170">
        <f>IF(Escenarios!$E$14&gt;0,MAX(0,Constantes!$E$36/((Z62+R63+S63+T63+Observaciones!$F62)^2)+Entradas!$E$77),0)</f>
        <v>2.5473848999220392</v>
      </c>
      <c r="V63" s="146">
        <f>IF(ETo!D62&gt;0,ETo!I62*((1-Entradas!$E$81)*ETo!K62+ETo!L62),0)</f>
        <v>4.0066949297003953</v>
      </c>
      <c r="W63" s="170">
        <f>IF(Escenarios!$E$14&gt;0,MIN(V63*1,0.8*(Z62+R63+S63+T63+Observaciones!$F62-U63-Constantes!$E$35)),0)</f>
        <v>4.0066949297003953</v>
      </c>
      <c r="X63" s="170">
        <f>IF(Escenarios!$E$14&gt;0,Observaciones!$J62,0)</f>
        <v>0</v>
      </c>
      <c r="Y63" s="170">
        <f>IF(Escenarios!$E$14&gt;0,MAX(0,Z62+R63+S63+T63+Observaciones!$F62-U63-W63-X63-Constantes!$E$33),0)</f>
        <v>0</v>
      </c>
      <c r="Z63" s="170">
        <f>Z62+R63+S63+T63+Observaciones!$F62-U63-W63-Y63</f>
        <v>144.05528400038597</v>
      </c>
      <c r="AA63" s="170">
        <f>IF(Escenarios!$E$14&gt;0,(Escenarios!$E$13*L63+Escenarios!$E$14*W63)/(Escenarios!$E$16),L63)</f>
        <v>2.3830891259478189</v>
      </c>
      <c r="AB63" s="170">
        <f>IF(Escenarios!$E$14&gt;0,(Escenarios!$E$14*Y63)/(Escenarios!$E$16),K63)</f>
        <v>0</v>
      </c>
      <c r="AC63" s="170">
        <f>IF(Escenarios!$E$14&gt;0,(Escenarios!$E$13*M63+Escenarios!$E$14*U63)/(Escenarios!$E$16),M63)</f>
        <v>0.30568618799064473</v>
      </c>
      <c r="AD63" s="76">
        <f t="shared" si="1"/>
        <v>150.05406531839839</v>
      </c>
      <c r="AE63" s="76">
        <f>MAX(0,(AD63-Constantes!$D$13)*(1-EXP(-Constantes!$D$23)))</f>
        <v>0.99817308433067375</v>
      </c>
      <c r="AF63" s="76">
        <f>AB63+O63*Escenarios!$E$13/Escenarios!$E$16+AE63</f>
        <v>1.8432817654837019</v>
      </c>
      <c r="AG63" s="76">
        <f>IF(Entradas!$E$91&gt;0,IF(AF63-Escenarios!$E$38&lt;=0,0,IF(AF63-Escenarios!$E$38&gt;Escenarios!$E$37,Escenarios!$E$37,AF63-Escenarios!$E$38)),0)</f>
        <v>0</v>
      </c>
      <c r="AH63" s="76">
        <f>AG63*Entradas!$E$99</f>
        <v>0</v>
      </c>
      <c r="AI63" s="76">
        <f>IF(Entradas!$E$91&gt;0,D63*Entradas!$D$23/Escenarios!$E$16,0)</f>
        <v>0</v>
      </c>
      <c r="AJ63" s="76">
        <f>IF(Entradas!$E$91&gt;0,Entradas!$D$24*Entradas!$D$22/Escenarios!$E$16,0)</f>
        <v>0</v>
      </c>
      <c r="AK63" s="76">
        <f t="shared" si="10"/>
        <v>2.3830891259478189</v>
      </c>
      <c r="AL63" s="76">
        <f t="shared" si="11"/>
        <v>0</v>
      </c>
      <c r="AM63" s="76">
        <f t="shared" si="2"/>
        <v>0</v>
      </c>
      <c r="AN63" s="76">
        <f>MAX(0,O63*Escenarios!$E$13/Escenarios!$E$16-AM63)</f>
        <v>0.84510868115302817</v>
      </c>
      <c r="AO63" s="76">
        <f>AM63+AN63-O63*Escenarios!$E$13/Escenarios!$E$16</f>
        <v>0</v>
      </c>
      <c r="AP63" s="76">
        <f t="shared" si="0"/>
        <v>0.99817308433067375</v>
      </c>
      <c r="AQ63" s="76">
        <f t="shared" si="3"/>
        <v>0</v>
      </c>
      <c r="AR63" s="76">
        <f t="shared" si="4"/>
        <v>1.8432817654837019</v>
      </c>
      <c r="AS63" s="76">
        <f t="shared" si="5"/>
        <v>0</v>
      </c>
      <c r="AT63" s="76">
        <f t="shared" si="6"/>
        <v>0.30568618799064473</v>
      </c>
      <c r="AU63" s="76">
        <f t="shared" si="7"/>
        <v>48.75</v>
      </c>
      <c r="AV63" s="76">
        <f>MAX(0,(AU63-Constantes!$D$13)*(1-EXP(-Constantes!$D$24)))</f>
        <v>0</v>
      </c>
      <c r="AW63" s="170">
        <f>AW62+(Entradas!$E$112*AT63-AX62)/(800*Entradas!$D$25)</f>
        <v>0</v>
      </c>
      <c r="AX63" s="170">
        <f>8000*Entradas!$D$26*AW63/Constantes!$E$45</f>
        <v>0</v>
      </c>
      <c r="AY63" s="170">
        <f>IF(Escenarios!$E$17&gt;0,10*Escenarios!$E$16*AL63,0)</f>
        <v>0</v>
      </c>
      <c r="AZ63" s="170">
        <f>IF(Escenarios!$E$17&gt;0,10*Escenarios!$E$16*AX63,0)</f>
        <v>0</v>
      </c>
      <c r="BA63" s="170">
        <f>IF(Escenarios!$E$17&gt;0,0.001*Observaciones!$F62*Escenarios!$E$17,0)</f>
        <v>0</v>
      </c>
      <c r="BB63" s="170">
        <f>IF(Escenarios!$E$17&gt;0,Observaciones!$K62,0)</f>
        <v>0</v>
      </c>
      <c r="BC63" s="170">
        <f>IF(Escenarios!$E$17&gt;0,MIN(0.0005*ETo!$M62*Escenarios!$E$17*(BG62/Constantes!$E$40)^(2/3),BG62+AY63+AZ63+BA63+BB63),0)</f>
        <v>40.070904250932166</v>
      </c>
      <c r="BD63" s="170">
        <f>IF(Escenarios!$E$17&gt;0,MIN(Constantes!$E$39*(BG62/Constantes!$E$40)^(2/3),BG62+AY63+AZ63+BA63+BB63-BC63),0)</f>
        <v>64.349318257979021</v>
      </c>
      <c r="BE63" s="170">
        <f>IF(Escenarios!$E$17&gt;0,MIN(Entradas!$E$113,BG62+AY63+AZ63+BA63+BB63-BC63-BD63),0)</f>
        <v>1</v>
      </c>
      <c r="BF63" s="170">
        <f>IF(Escenarios!$E$17&gt;0,MAX(0,BG62+AY63+AZ63+BA63+BB63-BC63-BD63-BE63-Constantes!$E$40),0)</f>
        <v>0</v>
      </c>
      <c r="BG63" s="170">
        <f t="shared" si="12"/>
        <v>4703.9663411016754</v>
      </c>
      <c r="BH63" s="170">
        <f>(Escenarios!$E$16*AK63+0.1*BC63)/(Escenarios!$E$19)</f>
        <v>2.3800768726668569</v>
      </c>
      <c r="BI63" s="170">
        <f>IF(Escenarios!$E$17&gt;0,BF63/10/Escenarios!$E$19,AL63)</f>
        <v>0</v>
      </c>
      <c r="BJ63" s="170">
        <f>(Escenarios!$E$16*AT63+0.1*BD63)/(Escenarios!$E$19)</f>
        <v>0.32879555088674239</v>
      </c>
      <c r="BK63" s="76">
        <f>BK62+(0.1*BD63)/(Escenarios!$E$19)-BL62</f>
        <v>49.476368974205855</v>
      </c>
      <c r="BL63" s="76">
        <f>MAX(0,(BK63-Constantes!$D$13)*(1-EXP(-Constantes!$D$23)))</f>
        <v>7.1570865104609634E-3</v>
      </c>
      <c r="BM63" s="76">
        <f t="shared" si="8"/>
        <v>1.0053301708411346</v>
      </c>
      <c r="BN63" s="76">
        <f t="shared" si="13"/>
        <v>1.8504388519941628</v>
      </c>
      <c r="BO63" s="76">
        <f>0.0526*BI63*Observaciones!$F62^1.218</f>
        <v>0</v>
      </c>
      <c r="BP63" s="76">
        <f>BO63*Constantes!$E$51</f>
        <v>0</v>
      </c>
      <c r="BQ63" s="76">
        <f t="shared" si="9"/>
        <v>0</v>
      </c>
      <c r="BR63" s="40"/>
    </row>
    <row r="64" spans="1:70">
      <c r="A64" s="147"/>
      <c r="B64" s="39"/>
      <c r="C64" s="75">
        <v>58</v>
      </c>
      <c r="D64" s="146">
        <f>ETo!$I63*((1-Constantes!$E$19)*ETo!$K63+ETo!$L63)</f>
        <v>4.1613809833505488</v>
      </c>
      <c r="E64" s="76">
        <f>MIN(D64*Constantes!$E$17,0.8*(N63+Observaciones!$F63-F64-M64-Constantes!$D$14))</f>
        <v>2.0345504020609524</v>
      </c>
      <c r="F64" s="76">
        <f>IF(Observaciones!$F63&gt;0.05*Constantes!$E$18,((Observaciones!$F63-0.05*Constantes!$E$18)^2)/(Observaciones!$F63+0.95*Constantes!$E$18),0)</f>
        <v>0</v>
      </c>
      <c r="G64" s="76">
        <f>IF(Escenarios!$E$11&gt;0,(F64*Escenarios!$E$16*10000)/1000,0)</f>
        <v>0</v>
      </c>
      <c r="H64" s="76">
        <f>IF(Escenarios!$E$11&gt;0,(Observaciones!$F63*Constantes!$E$29)/1000,0)</f>
        <v>11</v>
      </c>
      <c r="I64" s="76">
        <f>IF(Escenarios!$E$11&gt;0,(D64*Constantes!$E$29)/1000,0)</f>
        <v>41.613809833505492</v>
      </c>
      <c r="J64" s="76">
        <f>IF(Escenarios!$E$11&gt;0,MAX(0,G64+H64-I64),0)</f>
        <v>0</v>
      </c>
      <c r="K64" s="76">
        <f>IF(Escenarios!$E$11&gt;0,IF(J64&gt;Constantes!$E$30,1000*((J64-Constantes!$E$30)/(Escenarios!$E$16*10000)),0),F64)</f>
        <v>0</v>
      </c>
      <c r="L64" s="76">
        <f>IF(Escenarios!$E$11&gt;0,I64*1000/Escenarios!$E$16/10000+E64,E64)</f>
        <v>2.0511959259943544</v>
      </c>
      <c r="M64" s="76">
        <f>MAX(0,N63+Observaciones!$F63-K64-Constantes!$D$13)</f>
        <v>0</v>
      </c>
      <c r="N64" s="76">
        <f>N63+Observaciones!$F63-K64-L64-M64-O63</f>
        <v>37.531268217618006</v>
      </c>
      <c r="O64" s="76">
        <f>MAX(0,(N64-Constantes!$D$14)*(1-EXP(-Constantes!$D$22)))</f>
        <v>0.89523647600284917</v>
      </c>
      <c r="P64" s="170">
        <f>P63+(Entradas!$E$83*M64-Q63)/(800*Entradas!$D$25)</f>
        <v>0</v>
      </c>
      <c r="Q64" s="170">
        <f>8000*Entradas!$D$26*P64/Constantes!$E$45</f>
        <v>0</v>
      </c>
      <c r="R64" s="170">
        <f>IF(Escenarios!$E$14&gt;0,K64*Escenarios!$E$13/Escenarios!$E$14,0)</f>
        <v>0</v>
      </c>
      <c r="S64" s="170">
        <f>IF(Escenarios!$E$14&gt;0,Q64*Escenarios!$E$13/Escenarios!$E$14,0)</f>
        <v>0</v>
      </c>
      <c r="T64" s="170">
        <f>IF(Escenarios!$E$14&gt;0,Observaciones!$I63,0)</f>
        <v>0</v>
      </c>
      <c r="U64" s="170">
        <f>IF(Escenarios!$E$14&gt;0,MAX(0,Constantes!$E$36/((Z63+R64+S64+T64+Observaciones!$F63)^2)+Entradas!$E$77),0)</f>
        <v>2.5127326776251016</v>
      </c>
      <c r="V64" s="146">
        <f>IF(ETo!D63&gt;0,ETo!I63*((1-Entradas!$E$81)*ETo!K63+ETo!L63),0)</f>
        <v>3.7992081434481495</v>
      </c>
      <c r="W64" s="170">
        <f>IF(Escenarios!$E$14&gt;0,MIN(V64*1,0.8*(Z63+R64+S64+T64+Observaciones!$F63-U64-Constantes!$E$35)),0)</f>
        <v>3.7992081434481495</v>
      </c>
      <c r="X64" s="170">
        <f>IF(Escenarios!$E$14&gt;0,Observaciones!$J63,0)</f>
        <v>0</v>
      </c>
      <c r="Y64" s="170">
        <f>IF(Escenarios!$E$14&gt;0,MAX(0,Z63+R64+S64+T64+Observaciones!$F63-U64-W64-X64-Constantes!$E$33),0)</f>
        <v>0</v>
      </c>
      <c r="Z64" s="170">
        <f>Z63+R64+S64+T64+Observaciones!$F63-U64-W64-Y64</f>
        <v>138.84334317931271</v>
      </c>
      <c r="AA64" s="170">
        <f>IF(Escenarios!$E$14&gt;0,(Escenarios!$E$13*L64+Escenarios!$E$14*W64)/(Escenarios!$E$16),L64)</f>
        <v>2.2609573920888097</v>
      </c>
      <c r="AB64" s="170">
        <f>IF(Escenarios!$E$14&gt;0,(Escenarios!$E$14*Y64)/(Escenarios!$E$16),K64)</f>
        <v>0</v>
      </c>
      <c r="AC64" s="170">
        <f>IF(Escenarios!$E$14&gt;0,(Escenarios!$E$13*M64+Escenarios!$E$14*U64)/(Escenarios!$E$16),M64)</f>
        <v>0.30152792131501216</v>
      </c>
      <c r="AD64" s="76">
        <f t="shared" si="1"/>
        <v>149.3574201553827</v>
      </c>
      <c r="AE64" s="76">
        <f>MAX(0,(AD64-Constantes!$D$13)*(1-EXP(-Constantes!$D$23)))</f>
        <v>0.99130887361152975</v>
      </c>
      <c r="AF64" s="76">
        <f>AB64+O64*Escenarios!$E$13/Escenarios!$E$16+AE64</f>
        <v>1.779116972494037</v>
      </c>
      <c r="AG64" s="76">
        <f>IF(Entradas!$E$91&gt;0,IF(AF64-Escenarios!$E$38&lt;=0,0,IF(AF64-Escenarios!$E$38&gt;Escenarios!$E$37,Escenarios!$E$37,AF64-Escenarios!$E$38)),0)</f>
        <v>0</v>
      </c>
      <c r="AH64" s="76">
        <f>AG64*Entradas!$E$99</f>
        <v>0</v>
      </c>
      <c r="AI64" s="76">
        <f>IF(Entradas!$E$91&gt;0,D64*Entradas!$D$23/Escenarios!$E$16,0)</f>
        <v>0</v>
      </c>
      <c r="AJ64" s="76">
        <f>IF(Entradas!$E$91&gt;0,Entradas!$D$24*Entradas!$D$22/Escenarios!$E$16,0)</f>
        <v>0</v>
      </c>
      <c r="AK64" s="76">
        <f t="shared" si="10"/>
        <v>2.2609573920888097</v>
      </c>
      <c r="AL64" s="76">
        <f t="shared" si="11"/>
        <v>0</v>
      </c>
      <c r="AM64" s="76">
        <f t="shared" si="2"/>
        <v>0</v>
      </c>
      <c r="AN64" s="76">
        <f>MAX(0,O64*Escenarios!$E$13/Escenarios!$E$16-AM64)</f>
        <v>0.78780809888250725</v>
      </c>
      <c r="AO64" s="76">
        <f>AM64+AN64-O64*Escenarios!$E$13/Escenarios!$E$16</f>
        <v>0</v>
      </c>
      <c r="AP64" s="76">
        <f t="shared" si="0"/>
        <v>0.99130887361152975</v>
      </c>
      <c r="AQ64" s="76">
        <f t="shared" si="3"/>
        <v>0</v>
      </c>
      <c r="AR64" s="76">
        <f t="shared" si="4"/>
        <v>1.779116972494037</v>
      </c>
      <c r="AS64" s="76">
        <f t="shared" si="5"/>
        <v>0</v>
      </c>
      <c r="AT64" s="76">
        <f t="shared" si="6"/>
        <v>0.30152792131501216</v>
      </c>
      <c r="AU64" s="76">
        <f t="shared" si="7"/>
        <v>48.75</v>
      </c>
      <c r="AV64" s="76">
        <f>MAX(0,(AU64-Constantes!$D$13)*(1-EXP(-Constantes!$D$24)))</f>
        <v>0</v>
      </c>
      <c r="AW64" s="170">
        <f>AW63+(Entradas!$E$112*AT64-AX63)/(800*Entradas!$D$25)</f>
        <v>0</v>
      </c>
      <c r="AX64" s="170">
        <f>8000*Entradas!$D$26*AW64/Constantes!$E$45</f>
        <v>0</v>
      </c>
      <c r="AY64" s="170">
        <f>IF(Escenarios!$E$17&gt;0,10*Escenarios!$E$16*AL64,0)</f>
        <v>0</v>
      </c>
      <c r="AZ64" s="170">
        <f>IF(Escenarios!$E$17&gt;0,10*Escenarios!$E$16*AX64,0)</f>
        <v>0</v>
      </c>
      <c r="BA64" s="170">
        <f>IF(Escenarios!$E$17&gt;0,0.001*Observaciones!$F63*Escenarios!$E$17,0)</f>
        <v>22</v>
      </c>
      <c r="BB64" s="170">
        <f>IF(Escenarios!$E$17&gt;0,Observaciones!$K63,0)</f>
        <v>0</v>
      </c>
      <c r="BC64" s="170">
        <f>IF(Escenarios!$E$17&gt;0,MIN(0.0005*ETo!$M63*Escenarios!$E$17*(BG63/Constantes!$E$40)^(2/3),BG63+AY64+AZ64+BA64+BB64),0)</f>
        <v>37.498574986482133</v>
      </c>
      <c r="BD64" s="170">
        <f>IF(Escenarios!$E$17&gt;0,MIN(Constantes!$E$39*(BG63/Constantes!$E$40)^(2/3),BG63+AY64+AZ64+BA64+BB64-BC64),0)</f>
        <v>63.405504633413479</v>
      </c>
      <c r="BE64" s="170">
        <f>IF(Escenarios!$E$17&gt;0,MIN(Entradas!$E$113,BG63+AY64+AZ64+BA64+BB64-BC64-BD64),0)</f>
        <v>1</v>
      </c>
      <c r="BF64" s="170">
        <f>IF(Escenarios!$E$17&gt;0,MAX(0,BG63+AY64+AZ64+BA64+BB64-BC64-BD64-BE64-Constantes!$E$40),0)</f>
        <v>0</v>
      </c>
      <c r="BG64" s="170">
        <f t="shared" si="12"/>
        <v>4624.0622614817803</v>
      </c>
      <c r="BH64" s="170">
        <f>(Escenarios!$E$16*AK64+0.1*BC64)/(Escenarios!$E$19)</f>
        <v>2.2578936727017882</v>
      </c>
      <c r="BI64" s="170">
        <f>IF(Escenarios!$E$17&gt;0,BF64/10/Escenarios!$E$19,AL64)</f>
        <v>0</v>
      </c>
      <c r="BJ64" s="170">
        <f>(Escenarios!$E$16*AT64+0.1*BD64)/(Escenarios!$E$19)</f>
        <v>0.32429575711148567</v>
      </c>
      <c r="BK64" s="76">
        <f>BK63+(0.1*BD64)/(Escenarios!$E$19)-BL63</f>
        <v>49.494372802232462</v>
      </c>
      <c r="BL64" s="76">
        <f>MAX(0,(BK64-Constantes!$D$13)*(1-EXP(-Constantes!$D$23)))</f>
        <v>7.3344825161848724E-3</v>
      </c>
      <c r="BM64" s="76">
        <f t="shared" si="8"/>
        <v>0.9986433561277146</v>
      </c>
      <c r="BN64" s="76">
        <f t="shared" si="13"/>
        <v>1.786451455010222</v>
      </c>
      <c r="BO64" s="76">
        <f>0.0526*BI64*Observaciones!$F63^1.218</f>
        <v>0</v>
      </c>
      <c r="BP64" s="76">
        <f>BO64*Constantes!$E$51</f>
        <v>0</v>
      </c>
      <c r="BQ64" s="76">
        <f t="shared" si="9"/>
        <v>0</v>
      </c>
      <c r="BR64" s="40"/>
    </row>
    <row r="65" spans="1:70">
      <c r="A65" s="147"/>
      <c r="B65" s="39"/>
      <c r="C65" s="75">
        <v>59</v>
      </c>
      <c r="D65" s="146">
        <f>ETo!$I64*((1-Constantes!$E$19)*ETo!$K64+ETo!$L64)</f>
        <v>4.2902669623850072</v>
      </c>
      <c r="E65" s="76">
        <f>MIN(D65*Constantes!$E$17,0.8*(N64+Observaciones!$F64-F65-M65-Constantes!$D$14))</f>
        <v>2.0975643441906744</v>
      </c>
      <c r="F65" s="76">
        <f>IF(Observaciones!$F64&gt;0.05*Constantes!$E$18,((Observaciones!$F64-0.05*Constantes!$E$18)^2)/(Observaciones!$F64+0.95*Constantes!$E$18),0)</f>
        <v>0</v>
      </c>
      <c r="G65" s="76">
        <f>IF(Escenarios!$E$11&gt;0,(F65*Escenarios!$E$16*10000)/1000,0)</f>
        <v>0</v>
      </c>
      <c r="H65" s="76">
        <f>IF(Escenarios!$E$11&gt;0,(Observaciones!$F64*Constantes!$E$29)/1000,0)</f>
        <v>4</v>
      </c>
      <c r="I65" s="76">
        <f>IF(Escenarios!$E$11&gt;0,(D65*Constantes!$E$29)/1000,0)</f>
        <v>42.902669623850073</v>
      </c>
      <c r="J65" s="76">
        <f>IF(Escenarios!$E$11&gt;0,MAX(0,G65+H65-I65),0)</f>
        <v>0</v>
      </c>
      <c r="K65" s="76">
        <f>IF(Escenarios!$E$11&gt;0,IF(J65&gt;Constantes!$E$30,1000*((J65-Constantes!$E$30)/(Escenarios!$E$16*10000)),0),F65)</f>
        <v>0</v>
      </c>
      <c r="L65" s="76">
        <f>IF(Escenarios!$E$11&gt;0,I65*1000/Escenarios!$E$16/10000+E65,E65)</f>
        <v>2.1147254120402144</v>
      </c>
      <c r="M65" s="76">
        <f>MAX(0,N64+Observaciones!$F64-K65-Constantes!$D$13)</f>
        <v>0</v>
      </c>
      <c r="N65" s="76">
        <f>N64+Observaciones!$F64-K65-L65-M65-O64</f>
        <v>34.921306329574939</v>
      </c>
      <c r="O65" s="76">
        <f>MAX(0,(N65-Constantes!$D$14)*(1-EXP(-Constantes!$D$22)))</f>
        <v>0.8063315927298611</v>
      </c>
      <c r="P65" s="170">
        <f>P64+(Entradas!$E$83*M65-Q64)/(800*Entradas!$D$25)</f>
        <v>0</v>
      </c>
      <c r="Q65" s="170">
        <f>8000*Entradas!$D$26*P65/Constantes!$E$45</f>
        <v>0</v>
      </c>
      <c r="R65" s="170">
        <f>IF(Escenarios!$E$14&gt;0,K65*Escenarios!$E$13/Escenarios!$E$14,0)</f>
        <v>0</v>
      </c>
      <c r="S65" s="170">
        <f>IF(Escenarios!$E$14&gt;0,Q65*Escenarios!$E$13/Escenarios!$E$14,0)</f>
        <v>0</v>
      </c>
      <c r="T65" s="170">
        <f>IF(Escenarios!$E$14&gt;0,Observaciones!$I64,0)</f>
        <v>0</v>
      </c>
      <c r="U65" s="170">
        <f>IF(Escenarios!$E$14&gt;0,MAX(0,Constantes!$E$36/((Z64+R65+S65+T65+Observaciones!$F64)^2)+Entradas!$E$77),0)</f>
        <v>2.4704778847653137</v>
      </c>
      <c r="V65" s="146">
        <f>IF(ETo!D64&gt;0,ETo!I64*((1-Entradas!$E$81)*ETo!K64+ETo!L64),0)</f>
        <v>3.9182401000254474</v>
      </c>
      <c r="W65" s="170">
        <f>IF(Escenarios!$E$14&gt;0,MIN(V65*1,0.8*(Z64+R65+S65+T65+Observaciones!$F64-U65-Constantes!$E$35)),0)</f>
        <v>3.9182401000254474</v>
      </c>
      <c r="X65" s="170">
        <f>IF(Escenarios!$E$14&gt;0,Observaciones!$J64,0)</f>
        <v>0</v>
      </c>
      <c r="Y65" s="170">
        <f>IF(Escenarios!$E$14&gt;0,MAX(0,Z64+R65+S65+T65+Observaciones!$F64-U65-W65-X65-Constantes!$E$33),0)</f>
        <v>0</v>
      </c>
      <c r="Z65" s="170">
        <f>Z64+R65+S65+T65+Observaciones!$F64-U65-W65-Y65</f>
        <v>132.85462519452196</v>
      </c>
      <c r="AA65" s="170">
        <f>IF(Escenarios!$E$14&gt;0,(Escenarios!$E$13*L65+Escenarios!$E$14*W65)/(Escenarios!$E$16),L65)</f>
        <v>2.3311471745984425</v>
      </c>
      <c r="AB65" s="170">
        <f>IF(Escenarios!$E$14&gt;0,(Escenarios!$E$14*Y65)/(Escenarios!$E$16),K65)</f>
        <v>0</v>
      </c>
      <c r="AC65" s="170">
        <f>IF(Escenarios!$E$14&gt;0,(Escenarios!$E$13*M65+Escenarios!$E$14*U65)/(Escenarios!$E$16),M65)</f>
        <v>0.29645734617183761</v>
      </c>
      <c r="AD65" s="76">
        <f t="shared" si="1"/>
        <v>148.66256862794302</v>
      </c>
      <c r="AE65" s="76">
        <f>MAX(0,(AD65-Constantes!$D$13)*(1-EXP(-Constantes!$D$23)))</f>
        <v>0.98446233601092681</v>
      </c>
      <c r="AF65" s="76">
        <f>AB65+O65*Escenarios!$E$13/Escenarios!$E$16+AE65</f>
        <v>1.6940341376132046</v>
      </c>
      <c r="AG65" s="76">
        <f>IF(Entradas!$E$91&gt;0,IF(AF65-Escenarios!$E$38&lt;=0,0,IF(AF65-Escenarios!$E$38&gt;Escenarios!$E$37,Escenarios!$E$37,AF65-Escenarios!$E$38)),0)</f>
        <v>0</v>
      </c>
      <c r="AH65" s="76">
        <f>AG65*Entradas!$E$99</f>
        <v>0</v>
      </c>
      <c r="AI65" s="76">
        <f>IF(Entradas!$E$91&gt;0,D65*Entradas!$D$23/Escenarios!$E$16,0)</f>
        <v>0</v>
      </c>
      <c r="AJ65" s="76">
        <f>IF(Entradas!$E$91&gt;0,Entradas!$D$24*Entradas!$D$22/Escenarios!$E$16,0)</f>
        <v>0</v>
      </c>
      <c r="AK65" s="76">
        <f t="shared" si="10"/>
        <v>2.3311471745984425</v>
      </c>
      <c r="AL65" s="76">
        <f t="shared" si="11"/>
        <v>0</v>
      </c>
      <c r="AM65" s="76">
        <f t="shared" si="2"/>
        <v>0</v>
      </c>
      <c r="AN65" s="76">
        <f>MAX(0,O65*Escenarios!$E$13/Escenarios!$E$16-AM65)</f>
        <v>0.70957180160227784</v>
      </c>
      <c r="AO65" s="76">
        <f>AM65+AN65-O65*Escenarios!$E$13/Escenarios!$E$16</f>
        <v>0</v>
      </c>
      <c r="AP65" s="76">
        <f t="shared" si="0"/>
        <v>0.98446233601092681</v>
      </c>
      <c r="AQ65" s="76">
        <f t="shared" si="3"/>
        <v>0</v>
      </c>
      <c r="AR65" s="76">
        <f t="shared" si="4"/>
        <v>1.6940341376132046</v>
      </c>
      <c r="AS65" s="76">
        <f t="shared" si="5"/>
        <v>0</v>
      </c>
      <c r="AT65" s="76">
        <f t="shared" si="6"/>
        <v>0.29645734617183761</v>
      </c>
      <c r="AU65" s="76">
        <f t="shared" si="7"/>
        <v>48.75</v>
      </c>
      <c r="AV65" s="76">
        <f>MAX(0,(AU65-Constantes!$D$13)*(1-EXP(-Constantes!$D$24)))</f>
        <v>0</v>
      </c>
      <c r="AW65" s="170">
        <f>AW64+(Entradas!$E$112*AT65-AX64)/(800*Entradas!$D$25)</f>
        <v>0</v>
      </c>
      <c r="AX65" s="170">
        <f>8000*Entradas!$D$26*AW65/Constantes!$E$45</f>
        <v>0</v>
      </c>
      <c r="AY65" s="170">
        <f>IF(Escenarios!$E$17&gt;0,10*Escenarios!$E$16*AL65,0)</f>
        <v>0</v>
      </c>
      <c r="AZ65" s="170">
        <f>IF(Escenarios!$E$17&gt;0,10*Escenarios!$E$16*AX65,0)</f>
        <v>0</v>
      </c>
      <c r="BA65" s="170">
        <f>IF(Escenarios!$E$17&gt;0,0.001*Observaciones!$F64*Escenarios!$E$17,0)</f>
        <v>8</v>
      </c>
      <c r="BB65" s="170">
        <f>IF(Escenarios!$E$17&gt;0,Observaciones!$K64,0)</f>
        <v>0</v>
      </c>
      <c r="BC65" s="170">
        <f>IF(Escenarios!$E$17&gt;0,MIN(0.0005*ETo!$M64*Escenarios!$E$17*(BG64/Constantes!$E$40)^(2/3),BG64+AY65+AZ65+BA65+BB65),0)</f>
        <v>38.204122396463823</v>
      </c>
      <c r="BD65" s="170">
        <f>IF(Escenarios!$E$17&gt;0,MIN(Constantes!$E$39*(BG64/Constantes!$E$40)^(2/3),BG64+AY65+AZ65+BA65+BB65-BC65),0)</f>
        <v>62.685429870368587</v>
      </c>
      <c r="BE65" s="170">
        <f>IF(Escenarios!$E$17&gt;0,MIN(Entradas!$E$113,BG64+AY65+AZ65+BA65+BB65-BC65-BD65),0)</f>
        <v>1</v>
      </c>
      <c r="BF65" s="170">
        <f>IF(Escenarios!$E$17&gt;0,MAX(0,BG64+AY65+AZ65+BA65+BB65-BC65-BD65-BE65-Constantes!$E$40),0)</f>
        <v>0</v>
      </c>
      <c r="BG65" s="170">
        <f t="shared" si="12"/>
        <v>4530.1727092149486</v>
      </c>
      <c r="BH65" s="170">
        <f>(Escenarios!$E$16*AK65+0.1*BC65)/(Escenarios!$E$19)</f>
        <v>2.3278063725764166</v>
      </c>
      <c r="BI65" s="170">
        <f>IF(Escenarios!$E$17&gt;0,BF65/10/Escenarios!$E$19,AL65)</f>
        <v>0</v>
      </c>
      <c r="BJ65" s="170">
        <f>(Escenarios!$E$16*AT65+0.1*BD65)/(Escenarios!$E$19)</f>
        <v>0.31897968067458837</v>
      </c>
      <c r="BK65" s="76">
        <f>BK64+(0.1*BD65)/(Escenarios!$E$19)-BL64</f>
        <v>49.511913490299754</v>
      </c>
      <c r="BL65" s="76">
        <f>MAX(0,(BK65-Constantes!$D$13)*(1-EXP(-Constantes!$D$23)))</f>
        <v>7.5073150935783053E-3</v>
      </c>
      <c r="BM65" s="76">
        <f t="shared" si="8"/>
        <v>0.99196965110450508</v>
      </c>
      <c r="BN65" s="76">
        <f t="shared" si="13"/>
        <v>1.7015414527067829</v>
      </c>
      <c r="BO65" s="76">
        <f>0.0526*BI65*Observaciones!$F64^1.218</f>
        <v>0</v>
      </c>
      <c r="BP65" s="76">
        <f>BO65*Constantes!$E$51</f>
        <v>0</v>
      </c>
      <c r="BQ65" s="76">
        <f t="shared" si="9"/>
        <v>0</v>
      </c>
      <c r="BR65" s="40"/>
    </row>
    <row r="66" spans="1:70">
      <c r="A66" s="147"/>
      <c r="B66" s="39"/>
      <c r="C66" s="75">
        <v>60</v>
      </c>
      <c r="D66" s="146">
        <f>ETo!$I65*((1-Constantes!$E$19)*ETo!$K65+ETo!$L65)</f>
        <v>4.2864284429406148</v>
      </c>
      <c r="E66" s="76">
        <f>MIN(D66*Constantes!$E$17,0.8*(N65+Observaciones!$F65-F66-M66-Constantes!$D$14))</f>
        <v>2.0956876447704209</v>
      </c>
      <c r="F66" s="76">
        <f>IF(Observaciones!$F65&gt;0.05*Constantes!$E$18,((Observaciones!$F65-0.05*Constantes!$E$18)^2)/(Observaciones!$F65+0.95*Constantes!$E$18),0)</f>
        <v>0</v>
      </c>
      <c r="G66" s="76">
        <f>IF(Escenarios!$E$11&gt;0,(F66*Escenarios!$E$16*10000)/1000,0)</f>
        <v>0</v>
      </c>
      <c r="H66" s="76">
        <f>IF(Escenarios!$E$11&gt;0,(Observaciones!$F65*Constantes!$E$29)/1000,0)</f>
        <v>0</v>
      </c>
      <c r="I66" s="76">
        <f>IF(Escenarios!$E$11&gt;0,(D66*Constantes!$E$29)/1000,0)</f>
        <v>42.864284429406148</v>
      </c>
      <c r="J66" s="76">
        <f>IF(Escenarios!$E$11&gt;0,MAX(0,G66+H66-I66),0)</f>
        <v>0</v>
      </c>
      <c r="K66" s="76">
        <f>IF(Escenarios!$E$11&gt;0,IF(J66&gt;Constantes!$E$30,1000*((J66-Constantes!$E$30)/(Escenarios!$E$16*10000)),0),F66)</f>
        <v>0</v>
      </c>
      <c r="L66" s="76">
        <f>IF(Escenarios!$E$11&gt;0,I66*1000/Escenarios!$E$16/10000+E66,E66)</f>
        <v>2.1128333585421832</v>
      </c>
      <c r="M66" s="76">
        <f>MAX(0,N65+Observaciones!$F65-K66-Constantes!$D$13)</f>
        <v>0</v>
      </c>
      <c r="N66" s="76">
        <f>N65+Observaciones!$F65-K66-L66-M66-O65</f>
        <v>32.002141378302895</v>
      </c>
      <c r="O66" s="76">
        <f>MAX(0,(N66-Constantes!$D$14)*(1-EXP(-Constantes!$D$22)))</f>
        <v>0.70689411801561108</v>
      </c>
      <c r="P66" s="170">
        <f>P65+(Entradas!$E$83*M66-Q65)/(800*Entradas!$D$25)</f>
        <v>0</v>
      </c>
      <c r="Q66" s="170">
        <f>8000*Entradas!$D$26*P66/Constantes!$E$45</f>
        <v>0</v>
      </c>
      <c r="R66" s="170">
        <f>IF(Escenarios!$E$14&gt;0,K66*Escenarios!$E$13/Escenarios!$E$14,0)</f>
        <v>0</v>
      </c>
      <c r="S66" s="170">
        <f>IF(Escenarios!$E$14&gt;0,Q66*Escenarios!$E$13/Escenarios!$E$14,0)</f>
        <v>0</v>
      </c>
      <c r="T66" s="170">
        <f>IF(Escenarios!$E$14&gt;0,Observaciones!$I65,0)</f>
        <v>0</v>
      </c>
      <c r="U66" s="170">
        <f>IF(Escenarios!$E$14&gt;0,MAX(0,Constantes!$E$36/((Z65+R66+S66+T66+Observaciones!$F65)^2)+Entradas!$E$77),0)</f>
        <v>2.4183260295142999</v>
      </c>
      <c r="V66" s="146">
        <f>IF(ETo!D65&gt;0,ETo!I65*((1-Entradas!$E$81)*ETo!K65+ETo!L65),0)</f>
        <v>3.9146000808078369</v>
      </c>
      <c r="W66" s="170">
        <f>IF(Escenarios!$E$14&gt;0,MIN(V66*1,0.8*(Z65+R66+S66+T66+Observaciones!$F65-U66-Constantes!$E$35)),0)</f>
        <v>3.9146000808078369</v>
      </c>
      <c r="X66" s="170">
        <f>IF(Escenarios!$E$14&gt;0,Observaciones!$J65,0)</f>
        <v>0</v>
      </c>
      <c r="Y66" s="170">
        <f>IF(Escenarios!$E$14&gt;0,MAX(0,Z65+R66+S66+T66+Observaciones!$F65-U66-W66-X66-Constantes!$E$33),0)</f>
        <v>0</v>
      </c>
      <c r="Z66" s="170">
        <f>Z65+R66+S66+T66+Observaciones!$F65-U66-W66-Y66</f>
        <v>126.52169908419981</v>
      </c>
      <c r="AA66" s="170">
        <f>IF(Escenarios!$E$14&gt;0,(Escenarios!$E$13*L66+Escenarios!$E$14*W66)/(Escenarios!$E$16),L66)</f>
        <v>2.3290453652140619</v>
      </c>
      <c r="AB66" s="170">
        <f>IF(Escenarios!$E$14&gt;0,(Escenarios!$E$14*Y66)/(Escenarios!$E$16),K66)</f>
        <v>0</v>
      </c>
      <c r="AC66" s="170">
        <f>IF(Escenarios!$E$14&gt;0,(Escenarios!$E$13*M66+Escenarios!$E$14*U66)/(Escenarios!$E$16),M66)</f>
        <v>0.29019912354171601</v>
      </c>
      <c r="AD66" s="76">
        <f t="shared" si="1"/>
        <v>147.96830541547382</v>
      </c>
      <c r="AE66" s="76">
        <f>MAX(0,(AD66-Constantes!$D$13)*(1-EXP(-Constantes!$D$23)))</f>
        <v>0.97762159521785386</v>
      </c>
      <c r="AF66" s="76">
        <f>AB66+O66*Escenarios!$E$13/Escenarios!$E$16+AE66</f>
        <v>1.5996884190715916</v>
      </c>
      <c r="AG66" s="76">
        <f>IF(Entradas!$E$91&gt;0,IF(AF66-Escenarios!$E$38&lt;=0,0,IF(AF66-Escenarios!$E$38&gt;Escenarios!$E$37,Escenarios!$E$37,AF66-Escenarios!$E$38)),0)</f>
        <v>0</v>
      </c>
      <c r="AH66" s="76">
        <f>AG66*Entradas!$E$99</f>
        <v>0</v>
      </c>
      <c r="AI66" s="76">
        <f>IF(Entradas!$E$91&gt;0,D66*Entradas!$D$23/Escenarios!$E$16,0)</f>
        <v>0</v>
      </c>
      <c r="AJ66" s="76">
        <f>IF(Entradas!$E$91&gt;0,Entradas!$D$24*Entradas!$D$22/Escenarios!$E$16,0)</f>
        <v>0</v>
      </c>
      <c r="AK66" s="76">
        <f t="shared" si="10"/>
        <v>2.3290453652140619</v>
      </c>
      <c r="AL66" s="76">
        <f t="shared" si="11"/>
        <v>0</v>
      </c>
      <c r="AM66" s="76">
        <f t="shared" si="2"/>
        <v>0</v>
      </c>
      <c r="AN66" s="76">
        <f>MAX(0,O66*Escenarios!$E$13/Escenarios!$E$16-AM66)</f>
        <v>0.62206682385373779</v>
      </c>
      <c r="AO66" s="76">
        <f>AM66+AN66-O66*Escenarios!$E$13/Escenarios!$E$16</f>
        <v>0</v>
      </c>
      <c r="AP66" s="76">
        <f t="shared" si="0"/>
        <v>0.97762159521785386</v>
      </c>
      <c r="AQ66" s="76">
        <f t="shared" si="3"/>
        <v>0</v>
      </c>
      <c r="AR66" s="76">
        <f t="shared" si="4"/>
        <v>1.5996884190715916</v>
      </c>
      <c r="AS66" s="76">
        <f t="shared" si="5"/>
        <v>0</v>
      </c>
      <c r="AT66" s="76">
        <f t="shared" si="6"/>
        <v>0.29019912354171601</v>
      </c>
      <c r="AU66" s="76">
        <f t="shared" si="7"/>
        <v>48.75</v>
      </c>
      <c r="AV66" s="76">
        <f>MAX(0,(AU66-Constantes!$D$13)*(1-EXP(-Constantes!$D$24)))</f>
        <v>0</v>
      </c>
      <c r="AW66" s="170">
        <f>AW65+(Entradas!$E$112*AT66-AX65)/(800*Entradas!$D$25)</f>
        <v>0</v>
      </c>
      <c r="AX66" s="170">
        <f>8000*Entradas!$D$26*AW66/Constantes!$E$45</f>
        <v>0</v>
      </c>
      <c r="AY66" s="170">
        <f>IF(Escenarios!$E$17&gt;0,10*Escenarios!$E$16*AL66,0)</f>
        <v>0</v>
      </c>
      <c r="AZ66" s="170">
        <f>IF(Escenarios!$E$17&gt;0,10*Escenarios!$E$16*AX66,0)</f>
        <v>0</v>
      </c>
      <c r="BA66" s="170">
        <f>IF(Escenarios!$E$17&gt;0,0.001*Observaciones!$F65*Escenarios!$E$17,0)</f>
        <v>0</v>
      </c>
      <c r="BB66" s="170">
        <f>IF(Escenarios!$E$17&gt;0,Observaciones!$K65,0)</f>
        <v>0</v>
      </c>
      <c r="BC66" s="170">
        <f>IF(Escenarios!$E$17&gt;0,MIN(0.0005*ETo!$M65*Escenarios!$E$17*(BG65/Constantes!$E$40)^(2/3),BG65+AY66+AZ66+BA66+BB66),0)</f>
        <v>37.653127992056206</v>
      </c>
      <c r="BD66" s="170">
        <f>IF(Escenarios!$E$17&gt;0,MIN(Constantes!$E$39*(BG65/Constantes!$E$40)^(2/3),BG65+AY66+AZ66+BA66+BB66-BC66),0)</f>
        <v>61.833998724529799</v>
      </c>
      <c r="BE66" s="170">
        <f>IF(Escenarios!$E$17&gt;0,MIN(Entradas!$E$113,BG65+AY66+AZ66+BA66+BB66-BC66-BD66),0)</f>
        <v>1</v>
      </c>
      <c r="BF66" s="170">
        <f>IF(Escenarios!$E$17&gt;0,MAX(0,BG65+AY66+AZ66+BA66+BB66-BC66-BD66-BE66-Constantes!$E$40),0)</f>
        <v>0</v>
      </c>
      <c r="BG66" s="170">
        <f t="shared" si="12"/>
        <v>4429.6855824983622</v>
      </c>
      <c r="BH66" s="170">
        <f>(Escenarios!$E$16*AK66+0.1*BC66)/(Escenarios!$E$19)</f>
        <v>2.3255025956457187</v>
      </c>
      <c r="BI66" s="170">
        <f>IF(Escenarios!$E$17&gt;0,BF66/10/Escenarios!$E$19,AL66)</f>
        <v>0</v>
      </c>
      <c r="BJ66" s="170">
        <f>(Escenarios!$E$16*AT66+0.1*BD66)/(Escenarios!$E$19)</f>
        <v>0.31243325697572216</v>
      </c>
      <c r="BK66" s="76">
        <f>BK65+(0.1*BD66)/(Escenarios!$E$19)-BL65</f>
        <v>49.528943476287338</v>
      </c>
      <c r="BL66" s="76">
        <f>MAX(0,(BK66-Constantes!$D$13)*(1-EXP(-Constantes!$D$23)))</f>
        <v>7.6751156017406128E-3</v>
      </c>
      <c r="BM66" s="76">
        <f t="shared" si="8"/>
        <v>0.98529671081959447</v>
      </c>
      <c r="BN66" s="76">
        <f t="shared" si="13"/>
        <v>1.6073635346733324</v>
      </c>
      <c r="BO66" s="76">
        <f>0.0526*BI66*Observaciones!$F65^1.218</f>
        <v>0</v>
      </c>
      <c r="BP66" s="76">
        <f>BO66*Constantes!$E$51</f>
        <v>0</v>
      </c>
      <c r="BQ66" s="76">
        <f t="shared" si="9"/>
        <v>0</v>
      </c>
      <c r="BR66" s="40"/>
    </row>
    <row r="67" spans="1:70">
      <c r="A67" s="147"/>
      <c r="B67" s="39"/>
      <c r="C67" s="75">
        <v>61</v>
      </c>
      <c r="D67" s="146">
        <f>ETo!$I66*((1-Constantes!$E$19)*ETo!$K66+ETo!$L66)</f>
        <v>4.2427567015621621</v>
      </c>
      <c r="E67" s="76">
        <f>MIN(D67*Constantes!$E$17,0.8*(N66+Observaciones!$F66-F67-M67-Constantes!$D$14))</f>
        <v>2.0743359926780687</v>
      </c>
      <c r="F67" s="76">
        <f>IF(Observaciones!$F66&gt;0.05*Constantes!$E$18,((Observaciones!$F66-0.05*Constantes!$E$18)^2)/(Observaciones!$F66+0.95*Constantes!$E$18),0)</f>
        <v>0</v>
      </c>
      <c r="G67" s="76">
        <f>IF(Escenarios!$E$11&gt;0,(F67*Escenarios!$E$16*10000)/1000,0)</f>
        <v>0</v>
      </c>
      <c r="H67" s="76">
        <f>IF(Escenarios!$E$11&gt;0,(Observaciones!$F66*Constantes!$E$29)/1000,0)</f>
        <v>34</v>
      </c>
      <c r="I67" s="76">
        <f>IF(Escenarios!$E$11&gt;0,(D67*Constantes!$E$29)/1000,0)</f>
        <v>42.427567015621619</v>
      </c>
      <c r="J67" s="76">
        <f>IF(Escenarios!$E$11&gt;0,MAX(0,G67+H67-I67),0)</f>
        <v>0</v>
      </c>
      <c r="K67" s="76">
        <f>IF(Escenarios!$E$11&gt;0,IF(J67&gt;Constantes!$E$30,1000*((J67-Constantes!$E$30)/(Escenarios!$E$16*10000)),0),F67)</f>
        <v>0</v>
      </c>
      <c r="L67" s="76">
        <f>IF(Escenarios!$E$11&gt;0,I67*1000/Escenarios!$E$16/10000+E67,E67)</f>
        <v>2.0913070194843173</v>
      </c>
      <c r="M67" s="76">
        <f>MAX(0,N66+Observaciones!$F66-K67-Constantes!$D$13)</f>
        <v>0</v>
      </c>
      <c r="N67" s="76">
        <f>N66+Observaciones!$F66-K67-L67-M67-O66</f>
        <v>32.603940240802963</v>
      </c>
      <c r="O67" s="76">
        <f>MAX(0,(N67-Constantes!$D$14)*(1-EXP(-Constantes!$D$22)))</f>
        <v>0.72739359652121549</v>
      </c>
      <c r="P67" s="170">
        <f>P66+(Entradas!$E$83*M67-Q66)/(800*Entradas!$D$25)</f>
        <v>0</v>
      </c>
      <c r="Q67" s="170">
        <f>8000*Entradas!$D$26*P67/Constantes!$E$45</f>
        <v>0</v>
      </c>
      <c r="R67" s="170">
        <f>IF(Escenarios!$E$14&gt;0,K67*Escenarios!$E$13/Escenarios!$E$14,0)</f>
        <v>0</v>
      </c>
      <c r="S67" s="170">
        <f>IF(Escenarios!$E$14&gt;0,Q67*Escenarios!$E$13/Escenarios!$E$14,0)</f>
        <v>0</v>
      </c>
      <c r="T67" s="170">
        <f>IF(Escenarios!$E$14&gt;0,Observaciones!$I66,0)</f>
        <v>0</v>
      </c>
      <c r="U67" s="170">
        <f>IF(Escenarios!$E$14&gt;0,MAX(0,Constantes!$E$36/((Z66+R67+S67+T67+Observaciones!$F66)^2)+Entradas!$E$77),0)</f>
        <v>2.3917675258911637</v>
      </c>
      <c r="V67" s="146">
        <f>IF(ETo!D66&gt;0,ETo!I66*((1-Entradas!$E$81)*ETo!K66+ETo!L66),0)</f>
        <v>3.8740889731746422</v>
      </c>
      <c r="W67" s="170">
        <f>IF(Escenarios!$E$14&gt;0,MIN(V67*1,0.8*(Z66+R67+S67+T67+Observaciones!$F66-U67-Constantes!$E$35)),0)</f>
        <v>3.8740889731746422</v>
      </c>
      <c r="X67" s="170">
        <f>IF(Escenarios!$E$14&gt;0,Observaciones!$J66,0)</f>
        <v>0</v>
      </c>
      <c r="Y67" s="170">
        <f>IF(Escenarios!$E$14&gt;0,MAX(0,Z66+R67+S67+T67+Observaciones!$F66-U67-W67-X67-Constantes!$E$33),0)</f>
        <v>0</v>
      </c>
      <c r="Z67" s="170">
        <f>Z66+R67+S67+T67+Observaciones!$F66-U67-W67-Y67</f>
        <v>123.65584258513401</v>
      </c>
      <c r="AA67" s="170">
        <f>IF(Escenarios!$E$14&gt;0,(Escenarios!$E$13*L67+Escenarios!$E$14*W67)/(Escenarios!$E$16),L67)</f>
        <v>2.3052408539271565</v>
      </c>
      <c r="AB67" s="170">
        <f>IF(Escenarios!$E$14&gt;0,(Escenarios!$E$14*Y67)/(Escenarios!$E$16),K67)</f>
        <v>0</v>
      </c>
      <c r="AC67" s="170">
        <f>IF(Escenarios!$E$14&gt;0,(Escenarios!$E$13*M67+Escenarios!$E$14*U67)/(Escenarios!$E$16),M67)</f>
        <v>0.28701210310693964</v>
      </c>
      <c r="AD67" s="76">
        <f t="shared" si="1"/>
        <v>147.27769592336293</v>
      </c>
      <c r="AE67" s="76">
        <f>MAX(0,(AD67-Constantes!$D$13)*(1-EXP(-Constantes!$D$23)))</f>
        <v>0.97081685540171958</v>
      </c>
      <c r="AF67" s="76">
        <f>AB67+O67*Escenarios!$E$13/Escenarios!$E$16+AE67</f>
        <v>1.6109232203403892</v>
      </c>
      <c r="AG67" s="76">
        <f>IF(Entradas!$E$91&gt;0,IF(AF67-Escenarios!$E$38&lt;=0,0,IF(AF67-Escenarios!$E$38&gt;Escenarios!$E$37,Escenarios!$E$37,AF67-Escenarios!$E$38)),0)</f>
        <v>0</v>
      </c>
      <c r="AH67" s="76">
        <f>AG67*Entradas!$E$99</f>
        <v>0</v>
      </c>
      <c r="AI67" s="76">
        <f>IF(Entradas!$E$91&gt;0,D67*Entradas!$D$23/Escenarios!$E$16,0)</f>
        <v>0</v>
      </c>
      <c r="AJ67" s="76">
        <f>IF(Entradas!$E$91&gt;0,Entradas!$D$24*Entradas!$D$22/Escenarios!$E$16,0)</f>
        <v>0</v>
      </c>
      <c r="AK67" s="76">
        <f t="shared" si="10"/>
        <v>2.3052408539271565</v>
      </c>
      <c r="AL67" s="76">
        <f t="shared" si="11"/>
        <v>0</v>
      </c>
      <c r="AM67" s="76">
        <f t="shared" si="2"/>
        <v>0</v>
      </c>
      <c r="AN67" s="76">
        <f>MAX(0,O67*Escenarios!$E$13/Escenarios!$E$16-AM67)</f>
        <v>0.64010636493866968</v>
      </c>
      <c r="AO67" s="76">
        <f>AM67+AN67-O67*Escenarios!$E$13/Escenarios!$E$16</f>
        <v>0</v>
      </c>
      <c r="AP67" s="76">
        <f t="shared" si="0"/>
        <v>0.97081685540171958</v>
      </c>
      <c r="AQ67" s="76">
        <f t="shared" si="3"/>
        <v>0</v>
      </c>
      <c r="AR67" s="76">
        <f t="shared" si="4"/>
        <v>1.6109232203403892</v>
      </c>
      <c r="AS67" s="76">
        <f t="shared" si="5"/>
        <v>0</v>
      </c>
      <c r="AT67" s="76">
        <f t="shared" si="6"/>
        <v>0.28701210310693964</v>
      </c>
      <c r="AU67" s="76">
        <f t="shared" si="7"/>
        <v>48.75</v>
      </c>
      <c r="AV67" s="76">
        <f>MAX(0,(AU67-Constantes!$D$13)*(1-EXP(-Constantes!$D$24)))</f>
        <v>0</v>
      </c>
      <c r="AW67" s="170">
        <f>AW66+(Entradas!$E$112*AT67-AX66)/(800*Entradas!$D$25)</f>
        <v>0</v>
      </c>
      <c r="AX67" s="170">
        <f>8000*Entradas!$D$26*AW67/Constantes!$E$45</f>
        <v>0</v>
      </c>
      <c r="AY67" s="170">
        <f>IF(Escenarios!$E$17&gt;0,10*Escenarios!$E$16*AL67,0)</f>
        <v>0</v>
      </c>
      <c r="AZ67" s="170">
        <f>IF(Escenarios!$E$17&gt;0,10*Escenarios!$E$16*AX67,0)</f>
        <v>0</v>
      </c>
      <c r="BA67" s="170">
        <f>IF(Escenarios!$E$17&gt;0,0.001*Observaciones!$F66*Escenarios!$E$17,0)</f>
        <v>68</v>
      </c>
      <c r="BB67" s="170">
        <f>IF(Escenarios!$E$17&gt;0,Observaciones!$K66,0)</f>
        <v>0</v>
      </c>
      <c r="BC67" s="170">
        <f>IF(Escenarios!$E$17&gt;0,MIN(0.0005*ETo!$M66*Escenarios!$E$17*(BG66/Constantes!$E$40)^(2/3),BG66+AY67+AZ67+BA67+BB67),0)</f>
        <v>36.723831702585507</v>
      </c>
      <c r="BD67" s="170">
        <f>IF(Escenarios!$E$17&gt;0,MIN(Constantes!$E$39*(BG66/Constantes!$E$40)^(2/3),BG66+AY67+AZ67+BA67+BB67-BC67),0)</f>
        <v>60.916193919233635</v>
      </c>
      <c r="BE67" s="170">
        <f>IF(Escenarios!$E$17&gt;0,MIN(Entradas!$E$113,BG66+AY67+AZ67+BA67+BB67-BC67-BD67),0)</f>
        <v>1</v>
      </c>
      <c r="BF67" s="170">
        <f>IF(Escenarios!$E$17&gt;0,MAX(0,BG66+AY67+AZ67+BA67+BB67-BC67-BD67-BE67-Constantes!$E$40),0)</f>
        <v>0</v>
      </c>
      <c r="BG67" s="170">
        <f t="shared" si="12"/>
        <v>4399.0455568765428</v>
      </c>
      <c r="BH67" s="170">
        <f>(Escenarios!$E$16*AK67+0.1*BC67)/(Escenarios!$E$19)</f>
        <v>2.3015182406827286</v>
      </c>
      <c r="BI67" s="170">
        <f>IF(Escenarios!$E$17&gt;0,BF67/10/Escenarios!$E$19,AL67)</f>
        <v>0</v>
      </c>
      <c r="BJ67" s="170">
        <f>(Escenarios!$E$16*AT67+0.1*BD67)/(Escenarios!$E$19)</f>
        <v>0.30890732209785032</v>
      </c>
      <c r="BK67" s="76">
        <f>BK66+(0.1*BD67)/(Escenarios!$E$19)-BL66</f>
        <v>49.545441453510691</v>
      </c>
      <c r="BL67" s="76">
        <f>MAX(0,(BK67-Constantes!$D$13)*(1-EXP(-Constantes!$D$23)))</f>
        <v>7.8376741008343298E-3</v>
      </c>
      <c r="BM67" s="76">
        <f t="shared" si="8"/>
        <v>0.97865452950255394</v>
      </c>
      <c r="BN67" s="76">
        <f t="shared" si="13"/>
        <v>1.6187608944412235</v>
      </c>
      <c r="BO67" s="76">
        <f>0.0526*BI67*Observaciones!$F66^1.218</f>
        <v>0</v>
      </c>
      <c r="BP67" s="76">
        <f>BO67*Constantes!$E$51</f>
        <v>0</v>
      </c>
      <c r="BQ67" s="76">
        <f t="shared" si="9"/>
        <v>0</v>
      </c>
      <c r="BR67" s="40"/>
    </row>
    <row r="68" spans="1:70">
      <c r="A68" s="147"/>
      <c r="B68" s="39"/>
      <c r="C68" s="75">
        <v>62</v>
      </c>
      <c r="D68" s="146">
        <f>ETo!$I67*((1-Constantes!$E$19)*ETo!$K67+ETo!$L67)</f>
        <v>4.2340118685148882</v>
      </c>
      <c r="E68" s="76">
        <f>MIN(D68*Constantes!$E$17,0.8*(N67+Observaciones!$F67-F68-M68-Constantes!$D$14))</f>
        <v>2.0700605361256712</v>
      </c>
      <c r="F68" s="76">
        <f>IF(Observaciones!$F67&gt;0.05*Constantes!$E$18,((Observaciones!$F67-0.05*Constantes!$E$18)^2)/(Observaciones!$F67+0.95*Constantes!$E$18),0)</f>
        <v>0</v>
      </c>
      <c r="G68" s="76">
        <f>IF(Escenarios!$E$11&gt;0,(F68*Escenarios!$E$16*10000)/1000,0)</f>
        <v>0</v>
      </c>
      <c r="H68" s="76">
        <f>IF(Escenarios!$E$11&gt;0,(Observaciones!$F67*Constantes!$E$29)/1000,0)</f>
        <v>0</v>
      </c>
      <c r="I68" s="76">
        <f>IF(Escenarios!$E$11&gt;0,(D68*Constantes!$E$29)/1000,0)</f>
        <v>42.34011868514888</v>
      </c>
      <c r="J68" s="76">
        <f>IF(Escenarios!$E$11&gt;0,MAX(0,G68+H68-I68),0)</f>
        <v>0</v>
      </c>
      <c r="K68" s="76">
        <f>IF(Escenarios!$E$11&gt;0,IF(J68&gt;Constantes!$E$30,1000*((J68-Constantes!$E$30)/(Escenarios!$E$16*10000)),0),F68)</f>
        <v>0</v>
      </c>
      <c r="L68" s="76">
        <f>IF(Escenarios!$E$11&gt;0,I68*1000/Escenarios!$E$16/10000+E68,E68)</f>
        <v>2.0869965835997308</v>
      </c>
      <c r="M68" s="76">
        <f>MAX(0,N67+Observaciones!$F67-K68-Constantes!$D$13)</f>
        <v>0</v>
      </c>
      <c r="N68" s="76">
        <f>N67+Observaciones!$F67-K68-L68-M68-O67</f>
        <v>29.789550060682018</v>
      </c>
      <c r="O68" s="76">
        <f>MAX(0,(N68-Constantes!$D$14)*(1-EXP(-Constantes!$D$22)))</f>
        <v>0.631525135148431</v>
      </c>
      <c r="P68" s="170">
        <f>P67+(Entradas!$E$83*M68-Q67)/(800*Entradas!$D$25)</f>
        <v>0</v>
      </c>
      <c r="Q68" s="170">
        <f>8000*Entradas!$D$26*P68/Constantes!$E$45</f>
        <v>0</v>
      </c>
      <c r="R68" s="170">
        <f>IF(Escenarios!$E$14&gt;0,K68*Escenarios!$E$13/Escenarios!$E$14,0)</f>
        <v>0</v>
      </c>
      <c r="S68" s="170">
        <f>IF(Escenarios!$E$14&gt;0,Q68*Escenarios!$E$13/Escenarios!$E$14,0)</f>
        <v>0</v>
      </c>
      <c r="T68" s="170">
        <f>IF(Escenarios!$E$14&gt;0,Observaciones!$I67,0)</f>
        <v>0</v>
      </c>
      <c r="U68" s="170">
        <f>IF(Escenarios!$E$14&gt;0,MAX(0,Constantes!$E$36/((Z67+R68+S68+T68+Observaciones!$F67)^2)+Entradas!$E$77),0)</f>
        <v>2.3285654193949892</v>
      </c>
      <c r="V68" s="146">
        <f>IF(ETo!D67&gt;0,ETo!I67*((1-Entradas!$E$81)*ETo!K67+ETo!L67),0)</f>
        <v>3.8659009272502276</v>
      </c>
      <c r="W68" s="170">
        <f>IF(Escenarios!$E$14&gt;0,MIN(V68*1,0.8*(Z67+R68+S68+T68+Observaciones!$F67-U68-Constantes!$E$35)),0)</f>
        <v>3.8659009272502276</v>
      </c>
      <c r="X68" s="170">
        <f>IF(Escenarios!$E$14&gt;0,Observaciones!$J67,0)</f>
        <v>0</v>
      </c>
      <c r="Y68" s="170">
        <f>IF(Escenarios!$E$14&gt;0,MAX(0,Z67+R68+S68+T68+Observaciones!$F67-U68-W68-X68-Constantes!$E$33),0)</f>
        <v>0</v>
      </c>
      <c r="Z68" s="170">
        <f>Z67+R68+S68+T68+Observaciones!$F67-U68-W68-Y68</f>
        <v>117.4613762384888</v>
      </c>
      <c r="AA68" s="170">
        <f>IF(Escenarios!$E$14&gt;0,(Escenarios!$E$13*L68+Escenarios!$E$14*W68)/(Escenarios!$E$16),L68)</f>
        <v>2.3004651048377904</v>
      </c>
      <c r="AB68" s="170">
        <f>IF(Escenarios!$E$14&gt;0,(Escenarios!$E$14*Y68)/(Escenarios!$E$16),K68)</f>
        <v>0</v>
      </c>
      <c r="AC68" s="170">
        <f>IF(Escenarios!$E$14&gt;0,(Escenarios!$E$13*M68+Escenarios!$E$14*U68)/(Escenarios!$E$16),M68)</f>
        <v>0.2794278503273987</v>
      </c>
      <c r="AD68" s="76">
        <f t="shared" si="1"/>
        <v>146.58630691828861</v>
      </c>
      <c r="AE68" s="76">
        <f>MAX(0,(AD68-Constantes!$D$13)*(1-EXP(-Constantes!$D$23)))</f>
        <v>0.96400443485869125</v>
      </c>
      <c r="AF68" s="76">
        <f>AB68+O68*Escenarios!$E$13/Escenarios!$E$16+AE68</f>
        <v>1.5197465537893105</v>
      </c>
      <c r="AG68" s="76">
        <f>IF(Entradas!$E$91&gt;0,IF(AF68-Escenarios!$E$38&lt;=0,0,IF(AF68-Escenarios!$E$38&gt;Escenarios!$E$37,Escenarios!$E$37,AF68-Escenarios!$E$38)),0)</f>
        <v>0</v>
      </c>
      <c r="AH68" s="76">
        <f>AG68*Entradas!$E$99</f>
        <v>0</v>
      </c>
      <c r="AI68" s="76">
        <f>IF(Entradas!$E$91&gt;0,D68*Entradas!$D$23/Escenarios!$E$16,0)</f>
        <v>0</v>
      </c>
      <c r="AJ68" s="76">
        <f>IF(Entradas!$E$91&gt;0,Entradas!$D$24*Entradas!$D$22/Escenarios!$E$16,0)</f>
        <v>0</v>
      </c>
      <c r="AK68" s="76">
        <f t="shared" si="10"/>
        <v>2.3004651048377904</v>
      </c>
      <c r="AL68" s="76">
        <f t="shared" si="11"/>
        <v>0</v>
      </c>
      <c r="AM68" s="76">
        <f t="shared" si="2"/>
        <v>0</v>
      </c>
      <c r="AN68" s="76">
        <f>MAX(0,O68*Escenarios!$E$13/Escenarios!$E$16-AM68)</f>
        <v>0.55574211893061931</v>
      </c>
      <c r="AO68" s="76">
        <f>AM68+AN68-O68*Escenarios!$E$13/Escenarios!$E$16</f>
        <v>0</v>
      </c>
      <c r="AP68" s="76">
        <f t="shared" si="0"/>
        <v>0.96400443485869125</v>
      </c>
      <c r="AQ68" s="76">
        <f t="shared" si="3"/>
        <v>0</v>
      </c>
      <c r="AR68" s="76">
        <f t="shared" si="4"/>
        <v>1.5197465537893105</v>
      </c>
      <c r="AS68" s="76">
        <f t="shared" si="5"/>
        <v>0</v>
      </c>
      <c r="AT68" s="76">
        <f t="shared" si="6"/>
        <v>0.2794278503273987</v>
      </c>
      <c r="AU68" s="76">
        <f t="shared" si="7"/>
        <v>48.75</v>
      </c>
      <c r="AV68" s="76">
        <f>MAX(0,(AU68-Constantes!$D$13)*(1-EXP(-Constantes!$D$24)))</f>
        <v>0</v>
      </c>
      <c r="AW68" s="170">
        <f>AW67+(Entradas!$E$112*AT68-AX67)/(800*Entradas!$D$25)</f>
        <v>0</v>
      </c>
      <c r="AX68" s="170">
        <f>8000*Entradas!$D$26*AW68/Constantes!$E$45</f>
        <v>0</v>
      </c>
      <c r="AY68" s="170">
        <f>IF(Escenarios!$E$17&gt;0,10*Escenarios!$E$16*AL68,0)</f>
        <v>0</v>
      </c>
      <c r="AZ68" s="170">
        <f>IF(Escenarios!$E$17&gt;0,10*Escenarios!$E$16*AX68,0)</f>
        <v>0</v>
      </c>
      <c r="BA68" s="170">
        <f>IF(Escenarios!$E$17&gt;0,0.001*Observaciones!$F67*Escenarios!$E$17,0)</f>
        <v>0</v>
      </c>
      <c r="BB68" s="170">
        <f>IF(Escenarios!$E$17&gt;0,Observaciones!$K67,0)</f>
        <v>0</v>
      </c>
      <c r="BC68" s="170">
        <f>IF(Escenarios!$E$17&gt;0,MIN(0.0005*ETo!$M67*Escenarios!$E$17*(BG67/Constantes!$E$40)^(2/3),BG67+AY68+AZ68+BA68+BB68),0)</f>
        <v>36.481369873999938</v>
      </c>
      <c r="BD68" s="170">
        <f>IF(Escenarios!$E$17&gt;0,MIN(Constantes!$E$39*(BG67/Constantes!$E$40)^(2/3),BG67+AY68+AZ68+BA68+BB68-BC68),0)</f>
        <v>60.634965214277358</v>
      </c>
      <c r="BE68" s="170">
        <f>IF(Escenarios!$E$17&gt;0,MIN(Entradas!$E$113,BG67+AY68+AZ68+BA68+BB68-BC68-BD68),0)</f>
        <v>1</v>
      </c>
      <c r="BF68" s="170">
        <f>IF(Escenarios!$E$17&gt;0,MAX(0,BG67+AY68+AZ68+BA68+BB68-BC68-BD68-BE68-Constantes!$E$40),0)</f>
        <v>0</v>
      </c>
      <c r="BG68" s="170">
        <f t="shared" si="12"/>
        <v>4300.9292217882657</v>
      </c>
      <c r="BH68" s="170">
        <f>(Escenarios!$E$16*AK68+0.1*BC68)/(Escenarios!$E$19)</f>
        <v>2.2966841793525701</v>
      </c>
      <c r="BI68" s="170">
        <f>IF(Escenarios!$E$17&gt;0,BF68/10/Escenarios!$E$19,AL68)</f>
        <v>0</v>
      </c>
      <c r="BJ68" s="170">
        <f>(Escenarios!$E$16*AT68+0.1*BD68)/(Escenarios!$E$19)</f>
        <v>0.30127166310824366</v>
      </c>
      <c r="BK68" s="76">
        <f>BK67+(0.1*BD68)/(Escenarios!$E$19)-BL67</f>
        <v>49.561665273542509</v>
      </c>
      <c r="BL68" s="76">
        <f>MAX(0,(BK68-Constantes!$D$13)*(1-EXP(-Constantes!$D$23)))</f>
        <v>7.9975312638207088E-3</v>
      </c>
      <c r="BM68" s="76">
        <f t="shared" si="8"/>
        <v>0.972001966122512</v>
      </c>
      <c r="BN68" s="76">
        <f t="shared" si="13"/>
        <v>1.5277440850531312</v>
      </c>
      <c r="BO68" s="76">
        <f>0.0526*BI68*Observaciones!$F67^1.218</f>
        <v>0</v>
      </c>
      <c r="BP68" s="76">
        <f>BO68*Constantes!$E$51</f>
        <v>0</v>
      </c>
      <c r="BQ68" s="76">
        <f t="shared" si="9"/>
        <v>0</v>
      </c>
      <c r="BR68" s="40"/>
    </row>
    <row r="69" spans="1:70">
      <c r="A69" s="147"/>
      <c r="B69" s="39"/>
      <c r="C69" s="75">
        <v>63</v>
      </c>
      <c r="D69" s="146">
        <f>ETo!$I68*((1-Constantes!$E$19)*ETo!$K68+ETo!$L68)</f>
        <v>4.295037510740733</v>
      </c>
      <c r="E69" s="76">
        <f>MIN(D69*Constantes!$E$17,0.8*(N68+Observaciones!$F68-F69-M69-Constantes!$D$14))</f>
        <v>2.0998967240217992</v>
      </c>
      <c r="F69" s="76">
        <f>IF(Observaciones!$F68&gt;0.05*Constantes!$E$18,((Observaciones!$F68-0.05*Constantes!$E$18)^2)/(Observaciones!$F68+0.95*Constantes!$E$18),0)</f>
        <v>0</v>
      </c>
      <c r="G69" s="76">
        <f>IF(Escenarios!$E$11&gt;0,(F69*Escenarios!$E$16*10000)/1000,0)</f>
        <v>0</v>
      </c>
      <c r="H69" s="76">
        <f>IF(Escenarios!$E$11&gt;0,(Observaciones!$F68*Constantes!$E$29)/1000,0)</f>
        <v>26</v>
      </c>
      <c r="I69" s="76">
        <f>IF(Escenarios!$E$11&gt;0,(D69*Constantes!$E$29)/1000,0)</f>
        <v>42.950375107407332</v>
      </c>
      <c r="J69" s="76">
        <f>IF(Escenarios!$E$11&gt;0,MAX(0,G69+H69-I69),0)</f>
        <v>0</v>
      </c>
      <c r="K69" s="76">
        <f>IF(Escenarios!$E$11&gt;0,IF(J69&gt;Constantes!$E$30,1000*((J69-Constantes!$E$30)/(Escenarios!$E$16*10000)),0),F69)</f>
        <v>0</v>
      </c>
      <c r="L69" s="76">
        <f>IF(Escenarios!$E$11&gt;0,I69*1000/Escenarios!$E$16/10000+E69,E69)</f>
        <v>2.1170768740647623</v>
      </c>
      <c r="M69" s="76">
        <f>MAX(0,N68+Observaciones!$F68-K69-Constantes!$D$13)</f>
        <v>0</v>
      </c>
      <c r="N69" s="76">
        <f>N68+Observaciones!$F68-K69-L69-M69-O68</f>
        <v>29.640948051468825</v>
      </c>
      <c r="O69" s="76">
        <f>MAX(0,(N69-Constantes!$D$14)*(1-EXP(-Constantes!$D$22)))</f>
        <v>0.62646320518548582</v>
      </c>
      <c r="P69" s="170">
        <f>P68+(Entradas!$E$83*M69-Q68)/(800*Entradas!$D$25)</f>
        <v>0</v>
      </c>
      <c r="Q69" s="170">
        <f>8000*Entradas!$D$26*P69/Constantes!$E$45</f>
        <v>0</v>
      </c>
      <c r="R69" s="170">
        <f>IF(Escenarios!$E$14&gt;0,K69*Escenarios!$E$13/Escenarios!$E$14,0)</f>
        <v>0</v>
      </c>
      <c r="S69" s="170">
        <f>IF(Escenarios!$E$14&gt;0,Q69*Escenarios!$E$13/Escenarios!$E$14,0)</f>
        <v>0</v>
      </c>
      <c r="T69" s="170">
        <f>IF(Escenarios!$E$14&gt;0,Observaciones!$I68,0)</f>
        <v>0</v>
      </c>
      <c r="U69" s="170">
        <f>IF(Escenarios!$E$14&gt;0,MAX(0,Constantes!$E$36/((Z68+R69+S69+T69+Observaciones!$F68)^2)+Entradas!$E$77),0)</f>
        <v>2.2877600131769866</v>
      </c>
      <c r="V69" s="146">
        <f>IF(ETo!D68&gt;0,ETo!I68*((1-Entradas!$E$81)*ETo!K68+ETo!L68),0)</f>
        <v>3.9223104253260974</v>
      </c>
      <c r="W69" s="170">
        <f>IF(Escenarios!$E$14&gt;0,MIN(V69*1,0.8*(Z68+R69+S69+T69+Observaciones!$F68-U69-Constantes!$E$35)),0)</f>
        <v>3.9223104253260974</v>
      </c>
      <c r="X69" s="170">
        <f>IF(Escenarios!$E$14&gt;0,Observaciones!$J68,0)</f>
        <v>0</v>
      </c>
      <c r="Y69" s="170">
        <f>IF(Escenarios!$E$14&gt;0,MAX(0,Z68+R69+S69+T69+Observaciones!$F68-U69-W69-X69-Constantes!$E$33),0)</f>
        <v>0</v>
      </c>
      <c r="Z69" s="170">
        <f>Z68+R69+S69+T69+Observaciones!$F68-U69-W69-Y69</f>
        <v>113.8513057999857</v>
      </c>
      <c r="AA69" s="170">
        <f>IF(Escenarios!$E$14&gt;0,(Escenarios!$E$13*L69+Escenarios!$E$14*W69)/(Escenarios!$E$16),L69)</f>
        <v>2.3337049002161225</v>
      </c>
      <c r="AB69" s="170">
        <f>IF(Escenarios!$E$14&gt;0,(Escenarios!$E$14*Y69)/(Escenarios!$E$16),K69)</f>
        <v>0</v>
      </c>
      <c r="AC69" s="170">
        <f>IF(Escenarios!$E$14&gt;0,(Escenarios!$E$13*M69+Escenarios!$E$14*U69)/(Escenarios!$E$16),M69)</f>
        <v>0.27453120158123839</v>
      </c>
      <c r="AD69" s="76">
        <f t="shared" si="1"/>
        <v>145.89683368501116</v>
      </c>
      <c r="AE69" s="76">
        <f>MAX(0,(AD69-Constantes!$D$13)*(1-EXP(-Constantes!$D$23)))</f>
        <v>0.95721089087147859</v>
      </c>
      <c r="AF69" s="76">
        <f>AB69+O69*Escenarios!$E$13/Escenarios!$E$16+AE69</f>
        <v>1.508498511434706</v>
      </c>
      <c r="AG69" s="76">
        <f>IF(Entradas!$E$91&gt;0,IF(AF69-Escenarios!$E$38&lt;=0,0,IF(AF69-Escenarios!$E$38&gt;Escenarios!$E$37,Escenarios!$E$37,AF69-Escenarios!$E$38)),0)</f>
        <v>0</v>
      </c>
      <c r="AH69" s="76">
        <f>AG69*Entradas!$E$99</f>
        <v>0</v>
      </c>
      <c r="AI69" s="76">
        <f>IF(Entradas!$E$91&gt;0,D69*Entradas!$D$23/Escenarios!$E$16,0)</f>
        <v>0</v>
      </c>
      <c r="AJ69" s="76">
        <f>IF(Entradas!$E$91&gt;0,Entradas!$D$24*Entradas!$D$22/Escenarios!$E$16,0)</f>
        <v>0</v>
      </c>
      <c r="AK69" s="76">
        <f t="shared" si="10"/>
        <v>2.3337049002161225</v>
      </c>
      <c r="AL69" s="76">
        <f t="shared" si="11"/>
        <v>0</v>
      </c>
      <c r="AM69" s="76">
        <f t="shared" si="2"/>
        <v>0</v>
      </c>
      <c r="AN69" s="76">
        <f>MAX(0,O69*Escenarios!$E$13/Escenarios!$E$16-AM69)</f>
        <v>0.55128762056322755</v>
      </c>
      <c r="AO69" s="76">
        <f>AM69+AN69-O69*Escenarios!$E$13/Escenarios!$E$16</f>
        <v>0</v>
      </c>
      <c r="AP69" s="76">
        <f t="shared" si="0"/>
        <v>0.95721089087147859</v>
      </c>
      <c r="AQ69" s="76">
        <f t="shared" si="3"/>
        <v>0</v>
      </c>
      <c r="AR69" s="76">
        <f t="shared" si="4"/>
        <v>1.508498511434706</v>
      </c>
      <c r="AS69" s="76">
        <f t="shared" si="5"/>
        <v>0</v>
      </c>
      <c r="AT69" s="76">
        <f t="shared" si="6"/>
        <v>0.27453120158123839</v>
      </c>
      <c r="AU69" s="76">
        <f t="shared" si="7"/>
        <v>48.75</v>
      </c>
      <c r="AV69" s="76">
        <f>MAX(0,(AU69-Constantes!$D$13)*(1-EXP(-Constantes!$D$24)))</f>
        <v>0</v>
      </c>
      <c r="AW69" s="170">
        <f>AW68+(Entradas!$E$112*AT69-AX68)/(800*Entradas!$D$25)</f>
        <v>0</v>
      </c>
      <c r="AX69" s="170">
        <f>8000*Entradas!$D$26*AW69/Constantes!$E$45</f>
        <v>0</v>
      </c>
      <c r="AY69" s="170">
        <f>IF(Escenarios!$E$17&gt;0,10*Escenarios!$E$16*AL69,0)</f>
        <v>0</v>
      </c>
      <c r="AZ69" s="170">
        <f>IF(Escenarios!$E$17&gt;0,10*Escenarios!$E$16*AX69,0)</f>
        <v>0</v>
      </c>
      <c r="BA69" s="170">
        <f>IF(Escenarios!$E$17&gt;0,0.001*Observaciones!$F68*Escenarios!$E$17,0)</f>
        <v>52.000000000000007</v>
      </c>
      <c r="BB69" s="170">
        <f>IF(Escenarios!$E$17&gt;0,Observaciones!$K68,0)</f>
        <v>285.48171270647629</v>
      </c>
      <c r="BC69" s="170">
        <f>IF(Escenarios!$E$17&gt;0,MIN(0.0005*ETo!$M68*Escenarios!$E$17*(BG68/Constantes!$E$40)^(2/3),BG68+AY69+AZ69+BA69+BB69),0)</f>
        <v>36.446744020095679</v>
      </c>
      <c r="BD69" s="170">
        <f>IF(Escenarios!$E$17&gt;0,MIN(Constantes!$E$39*(BG68/Constantes!$E$40)^(2/3),BG68+AY69+AZ69+BA69+BB69-BC69),0)</f>
        <v>59.729978276306532</v>
      </c>
      <c r="BE69" s="170">
        <f>IF(Escenarios!$E$17&gt;0,MIN(Entradas!$E$113,BG68+AY69+AZ69+BA69+BB69-BC69-BD69),0)</f>
        <v>1</v>
      </c>
      <c r="BF69" s="170">
        <f>IF(Escenarios!$E$17&gt;0,MAX(0,BG68+AY69+AZ69+BA69+BB69-BC69-BD69-BE69-Constantes!$E$40),0)</f>
        <v>0</v>
      </c>
      <c r="BG69" s="170">
        <f t="shared" si="12"/>
        <v>4541.2342121983393</v>
      </c>
      <c r="BH69" s="170">
        <f>(Escenarios!$E$16*AK69+0.1*BC69)/(Escenarios!$E$19)</f>
        <v>2.3296464264128578</v>
      </c>
      <c r="BI69" s="170">
        <f>IF(Escenarios!$E$17&gt;0,BF69/10/Escenarios!$E$19,AL69)</f>
        <v>0</v>
      </c>
      <c r="BJ69" s="170">
        <f>(Escenarios!$E$16*AT69+0.1*BD69)/(Escenarios!$E$19)</f>
        <v>0.29605475485293753</v>
      </c>
      <c r="BK69" s="76">
        <f>BK68+(0.1*BD69)/(Escenarios!$E$19)-BL68</f>
        <v>49.577370114610559</v>
      </c>
      <c r="BL69" s="76">
        <f>MAX(0,(BK69-Constantes!$D$13)*(1-EXP(-Constantes!$D$23)))</f>
        <v>8.1522748034659216E-3</v>
      </c>
      <c r="BM69" s="76">
        <f t="shared" si="8"/>
        <v>0.96536316567494451</v>
      </c>
      <c r="BN69" s="76">
        <f t="shared" si="13"/>
        <v>1.516650786238172</v>
      </c>
      <c r="BO69" s="76">
        <f>0.0526*BI69*Observaciones!$F68^1.218</f>
        <v>0</v>
      </c>
      <c r="BP69" s="76">
        <f>BO69*Constantes!$E$51</f>
        <v>0</v>
      </c>
      <c r="BQ69" s="76">
        <f t="shared" si="9"/>
        <v>0</v>
      </c>
      <c r="BR69" s="40"/>
    </row>
    <row r="70" spans="1:70">
      <c r="A70" s="147"/>
      <c r="B70" s="39"/>
      <c r="C70" s="75">
        <v>64</v>
      </c>
      <c r="D70" s="146">
        <f>ETo!$I69*((1-Constantes!$E$19)*ETo!$K69+ETo!$L69)</f>
        <v>4.2069420021488559</v>
      </c>
      <c r="E70" s="76">
        <f>MIN(D70*Constantes!$E$17,0.8*(N69+Observaciones!$F69-F70-M70-Constantes!$D$14))</f>
        <v>2.0568257451466434</v>
      </c>
      <c r="F70" s="76">
        <f>IF(Observaciones!$F69&gt;0.05*Constantes!$E$18,((Observaciones!$F69-0.05*Constantes!$E$18)^2)/(Observaciones!$F69+0.95*Constantes!$E$18),0)</f>
        <v>0</v>
      </c>
      <c r="G70" s="76">
        <f>IF(Escenarios!$E$11&gt;0,(F70*Escenarios!$E$16*10000)/1000,0)</f>
        <v>0</v>
      </c>
      <c r="H70" s="76">
        <f>IF(Escenarios!$E$11&gt;0,(Observaciones!$F69*Constantes!$E$29)/1000,0)</f>
        <v>0</v>
      </c>
      <c r="I70" s="76">
        <f>IF(Escenarios!$E$11&gt;0,(D70*Constantes!$E$29)/1000,0)</f>
        <v>42.069420021488554</v>
      </c>
      <c r="J70" s="76">
        <f>IF(Escenarios!$E$11&gt;0,MAX(0,G70+H70-I70),0)</f>
        <v>0</v>
      </c>
      <c r="K70" s="76">
        <f>IF(Escenarios!$E$11&gt;0,IF(J70&gt;Constantes!$E$30,1000*((J70-Constantes!$E$30)/(Escenarios!$E$16*10000)),0),F70)</f>
        <v>0</v>
      </c>
      <c r="L70" s="76">
        <f>IF(Escenarios!$E$11&gt;0,I70*1000/Escenarios!$E$16/10000+E70,E70)</f>
        <v>2.0736535131552389</v>
      </c>
      <c r="M70" s="76">
        <f>MAX(0,N69+Observaciones!$F69-K70-Constantes!$D$13)</f>
        <v>0</v>
      </c>
      <c r="N70" s="76">
        <f>N69+Observaciones!$F69-K70-L70-M70-O69</f>
        <v>26.940831333128099</v>
      </c>
      <c r="O70" s="76">
        <f>MAX(0,(N70-Constantes!$D$14)*(1-EXP(-Constantes!$D$22)))</f>
        <v>0.53448731742740196</v>
      </c>
      <c r="P70" s="170">
        <f>P69+(Entradas!$E$83*M70-Q69)/(800*Entradas!$D$25)</f>
        <v>0</v>
      </c>
      <c r="Q70" s="170">
        <f>8000*Entradas!$D$26*P70/Constantes!$E$45</f>
        <v>0</v>
      </c>
      <c r="R70" s="170">
        <f>IF(Escenarios!$E$14&gt;0,K70*Escenarios!$E$13/Escenarios!$E$14,0)</f>
        <v>0</v>
      </c>
      <c r="S70" s="170">
        <f>IF(Escenarios!$E$14&gt;0,Q70*Escenarios!$E$13/Escenarios!$E$14,0)</f>
        <v>0</v>
      </c>
      <c r="T70" s="170">
        <f>IF(Escenarios!$E$14&gt;0,Observaciones!$I69,0)</f>
        <v>0</v>
      </c>
      <c r="U70" s="170">
        <f>IF(Escenarios!$E$14&gt;0,MAX(0,Constantes!$E$36/((Z69+R70+S70+T70+Observaciones!$F69)^2)+Entradas!$E$77),0)</f>
        <v>2.207942054788945</v>
      </c>
      <c r="V70" s="146">
        <f>IF(ETo!D69&gt;0,ETo!I69*((1-Entradas!$E$81)*ETo!K69+ETo!L69),0)</f>
        <v>3.8406541857324199</v>
      </c>
      <c r="W70" s="170">
        <f>IF(Escenarios!$E$14&gt;0,MIN(V70*1,0.8*(Z69+R70+S70+T70+Observaciones!$F69-U70-Constantes!$E$35)),0)</f>
        <v>3.8406541857324199</v>
      </c>
      <c r="X70" s="170">
        <f>IF(Escenarios!$E$14&gt;0,Observaciones!$J69,0)</f>
        <v>0</v>
      </c>
      <c r="Y70" s="170">
        <f>IF(Escenarios!$E$14&gt;0,MAX(0,Z69+R70+S70+T70+Observaciones!$F69-U70-W70-X70-Constantes!$E$33),0)</f>
        <v>0</v>
      </c>
      <c r="Z70" s="170">
        <f>Z69+R70+S70+T70+Observaciones!$F69-U70-W70-Y70</f>
        <v>107.80270955946433</v>
      </c>
      <c r="AA70" s="170">
        <f>IF(Escenarios!$E$14&gt;0,(Escenarios!$E$13*L70+Escenarios!$E$14*W70)/(Escenarios!$E$16),L70)</f>
        <v>2.2856935938645004</v>
      </c>
      <c r="AB70" s="170">
        <f>IF(Escenarios!$E$14&gt;0,(Escenarios!$E$14*Y70)/(Escenarios!$E$16),K70)</f>
        <v>0</v>
      </c>
      <c r="AC70" s="170">
        <f>IF(Escenarios!$E$14&gt;0,(Escenarios!$E$13*M70+Escenarios!$E$14*U70)/(Escenarios!$E$16),M70)</f>
        <v>0.26495304657467339</v>
      </c>
      <c r="AD70" s="76">
        <f t="shared" si="1"/>
        <v>145.20457584071437</v>
      </c>
      <c r="AE70" s="76">
        <f>MAX(0,(AD70-Constantes!$D$13)*(1-EXP(-Constantes!$D$23)))</f>
        <v>0.95038990944864987</v>
      </c>
      <c r="AF70" s="76">
        <f>AB70+O70*Escenarios!$E$13/Escenarios!$E$16+AE70</f>
        <v>1.4207387487847636</v>
      </c>
      <c r="AG70" s="76">
        <f>IF(Entradas!$E$91&gt;0,IF(AF70-Escenarios!$E$38&lt;=0,0,IF(AF70-Escenarios!$E$38&gt;Escenarios!$E$37,Escenarios!$E$37,AF70-Escenarios!$E$38)),0)</f>
        <v>0</v>
      </c>
      <c r="AH70" s="76">
        <f>AG70*Entradas!$E$99</f>
        <v>0</v>
      </c>
      <c r="AI70" s="76">
        <f>IF(Entradas!$E$91&gt;0,D70*Entradas!$D$23/Escenarios!$E$16,0)</f>
        <v>0</v>
      </c>
      <c r="AJ70" s="76">
        <f>IF(Entradas!$E$91&gt;0,Entradas!$D$24*Entradas!$D$22/Escenarios!$E$16,0)</f>
        <v>0</v>
      </c>
      <c r="AK70" s="76">
        <f t="shared" si="10"/>
        <v>2.2856935938645004</v>
      </c>
      <c r="AL70" s="76">
        <f t="shared" si="11"/>
        <v>0</v>
      </c>
      <c r="AM70" s="76">
        <f t="shared" si="2"/>
        <v>0</v>
      </c>
      <c r="AN70" s="76">
        <f>MAX(0,O70*Escenarios!$E$13/Escenarios!$E$16-AM70)</f>
        <v>0.47034883933611371</v>
      </c>
      <c r="AO70" s="76">
        <f>AM70+AN70-O70*Escenarios!$E$13/Escenarios!$E$16</f>
        <v>0</v>
      </c>
      <c r="AP70" s="76">
        <f t="shared" ref="AP70:AP133" si="14">MAX(0,AE70-AO70)</f>
        <v>0.95038990944864987</v>
      </c>
      <c r="AQ70" s="76">
        <f t="shared" si="3"/>
        <v>0</v>
      </c>
      <c r="AR70" s="76">
        <f t="shared" si="4"/>
        <v>1.4207387487847636</v>
      </c>
      <c r="AS70" s="76">
        <f t="shared" si="5"/>
        <v>0</v>
      </c>
      <c r="AT70" s="76">
        <f t="shared" si="6"/>
        <v>0.26495304657467339</v>
      </c>
      <c r="AU70" s="76">
        <f t="shared" si="7"/>
        <v>48.75</v>
      </c>
      <c r="AV70" s="76">
        <f>MAX(0,(AU70-Constantes!$D$13)*(1-EXP(-Constantes!$D$24)))</f>
        <v>0</v>
      </c>
      <c r="AW70" s="170">
        <f>AW69+(Entradas!$E$112*AT70-AX69)/(800*Entradas!$D$25)</f>
        <v>0</v>
      </c>
      <c r="AX70" s="170">
        <f>8000*Entradas!$D$26*AW70/Constantes!$E$45</f>
        <v>0</v>
      </c>
      <c r="AY70" s="170">
        <f>IF(Escenarios!$E$17&gt;0,10*Escenarios!$E$16*AL70,0)</f>
        <v>0</v>
      </c>
      <c r="AZ70" s="170">
        <f>IF(Escenarios!$E$17&gt;0,10*Escenarios!$E$16*AX70,0)</f>
        <v>0</v>
      </c>
      <c r="BA70" s="170">
        <f>IF(Escenarios!$E$17&gt;0,0.001*Observaciones!$F69*Escenarios!$E$17,0)</f>
        <v>0</v>
      </c>
      <c r="BB70" s="170">
        <f>IF(Escenarios!$E$17&gt;0,Observaciones!$K69,0)</f>
        <v>0</v>
      </c>
      <c r="BC70" s="170">
        <f>IF(Escenarios!$E$17&gt;0,MIN(0.0005*ETo!$M69*Escenarios!$E$17*(BG69/Constantes!$E$40)^(2/3),BG69+AY70+AZ70+BA70+BB70),0)</f>
        <v>37.031530711491847</v>
      </c>
      <c r="BD70" s="170">
        <f>IF(Escenarios!$E$17&gt;0,MIN(Constantes!$E$39*(BG69/Constantes!$E$40)^(2/3),BG69+AY70+AZ70+BA70+BB70-BC70),0)</f>
        <v>61.934612830279647</v>
      </c>
      <c r="BE70" s="170">
        <f>IF(Escenarios!$E$17&gt;0,MIN(Entradas!$E$113,BG69+AY70+AZ70+BA70+BB70-BC70-BD70),0)</f>
        <v>1</v>
      </c>
      <c r="BF70" s="170">
        <f>IF(Escenarios!$E$17&gt;0,MAX(0,BG69+AY70+AZ70+BA70+BB70-BC70-BD70-BE70-Constantes!$E$40),0)</f>
        <v>0</v>
      </c>
      <c r="BG70" s="170">
        <f t="shared" si="12"/>
        <v>4441.2680686565682</v>
      </c>
      <c r="BH70" s="170">
        <f>(Escenarios!$E$16*AK70+0.1*BC70)/(Escenarios!$E$19)</f>
        <v>2.2822482203860091</v>
      </c>
      <c r="BI70" s="170">
        <f>IF(Escenarios!$E$17&gt;0,BF70/10/Escenarios!$E$19,AL70)</f>
        <v>0</v>
      </c>
      <c r="BJ70" s="170">
        <f>(Escenarios!$E$16*AT70+0.1*BD70)/(Escenarios!$E$19)</f>
        <v>0.28742747193133461</v>
      </c>
      <c r="BK70" s="76">
        <f>BK69+(0.1*BD70)/(Escenarios!$E$19)-BL69</f>
        <v>49.593795067120695</v>
      </c>
      <c r="BL70" s="76">
        <f>MAX(0,(BK70-Constantes!$D$13)*(1-EXP(-Constantes!$D$23)))</f>
        <v>8.3141137726671817E-3</v>
      </c>
      <c r="BM70" s="76">
        <f t="shared" si="8"/>
        <v>0.95870402322131709</v>
      </c>
      <c r="BN70" s="76">
        <f t="shared" si="13"/>
        <v>1.4290528625574308</v>
      </c>
      <c r="BO70" s="76">
        <f>0.0526*BI70*Observaciones!$F69^1.218</f>
        <v>0</v>
      </c>
      <c r="BP70" s="76">
        <f>BO70*Constantes!$E$51</f>
        <v>0</v>
      </c>
      <c r="BQ70" s="76">
        <f t="shared" si="9"/>
        <v>0</v>
      </c>
      <c r="BR70" s="40"/>
    </row>
    <row r="71" spans="1:70">
      <c r="A71" s="147"/>
      <c r="B71" s="39"/>
      <c r="C71" s="75">
        <v>65</v>
      </c>
      <c r="D71" s="146">
        <f>ETo!$I70*((1-Constantes!$E$19)*ETo!$K70+ETo!$L70)</f>
        <v>4.1189097742594258</v>
      </c>
      <c r="E71" s="76">
        <f>MIN(D71*Constantes!$E$17,0.8*(N70+Observaciones!$F70-F71-M71-Constantes!$D$14))</f>
        <v>2.0137857049860921</v>
      </c>
      <c r="F71" s="76">
        <f>IF(Observaciones!$F70&gt;0.05*Constantes!$E$18,((Observaciones!$F70-0.05*Constantes!$E$18)^2)/(Observaciones!$F70+0.95*Constantes!$E$18),0)</f>
        <v>0</v>
      </c>
      <c r="G71" s="76">
        <f>IF(Escenarios!$E$11&gt;0,(F71*Escenarios!$E$16*10000)/1000,0)</f>
        <v>0</v>
      </c>
      <c r="H71" s="76">
        <f>IF(Escenarios!$E$11&gt;0,(Observaciones!$F70*Constantes!$E$29)/1000,0)</f>
        <v>58</v>
      </c>
      <c r="I71" s="76">
        <f>IF(Escenarios!$E$11&gt;0,(D71*Constantes!$E$29)/1000,0)</f>
        <v>41.189097742594264</v>
      </c>
      <c r="J71" s="76">
        <f>IF(Escenarios!$E$11&gt;0,MAX(0,G71+H71-I71),0)</f>
        <v>16.810902257405736</v>
      </c>
      <c r="K71" s="76">
        <f>IF(Escenarios!$E$11&gt;0,IF(J71&gt;Constantes!$E$30,1000*((J71-Constantes!$E$30)/(Escenarios!$E$16*10000)),0),F71)</f>
        <v>0</v>
      </c>
      <c r="L71" s="76">
        <f>IF(Escenarios!$E$11&gt;0,I71*1000/Escenarios!$E$16/10000+E71,E71)</f>
        <v>2.0302613440831299</v>
      </c>
      <c r="M71" s="76">
        <f>MAX(0,N70+Observaciones!$F70-K71-Constantes!$D$13)</f>
        <v>0</v>
      </c>
      <c r="N71" s="76">
        <f>N70+Observaciones!$F70-K71-L71-M71-O70</f>
        <v>30.176082671617568</v>
      </c>
      <c r="O71" s="76">
        <f>MAX(0,(N71-Constantes!$D$14)*(1-EXP(-Constantes!$D$22)))</f>
        <v>0.6446918548671603</v>
      </c>
      <c r="P71" s="170">
        <f>P70+(Entradas!$E$83*M71-Q70)/(800*Entradas!$D$25)</f>
        <v>0</v>
      </c>
      <c r="Q71" s="170">
        <f>8000*Entradas!$D$26*P71/Constantes!$E$45</f>
        <v>0</v>
      </c>
      <c r="R71" s="170">
        <f>IF(Escenarios!$E$14&gt;0,K71*Escenarios!$E$13/Escenarios!$E$14,0)</f>
        <v>0</v>
      </c>
      <c r="S71" s="170">
        <f>IF(Escenarios!$E$14&gt;0,Q71*Escenarios!$E$13/Escenarios!$E$14,0)</f>
        <v>0</v>
      </c>
      <c r="T71" s="170">
        <f>IF(Escenarios!$E$14&gt;0,Observaciones!$I70,0)</f>
        <v>0</v>
      </c>
      <c r="U71" s="170">
        <f>IF(Escenarios!$E$14&gt;0,MAX(0,Constantes!$E$36/((Z70+R71+S71+T71+Observaciones!$F70)^2)+Entradas!$E$77),0)</f>
        <v>2.2044717490412062</v>
      </c>
      <c r="V71" s="146">
        <f>IF(ETo!D70&gt;0,ETo!I70*((1-Entradas!$E$81)*ETo!K70+ETo!L70),0)</f>
        <v>3.7592043145173499</v>
      </c>
      <c r="W71" s="170">
        <f>IF(Escenarios!$E$14&gt;0,MIN(V71*1,0.8*(Z70+R71+S71+T71+Observaciones!$F70-U71-Constantes!$E$35)),0)</f>
        <v>3.7592043145173499</v>
      </c>
      <c r="X71" s="170">
        <f>IF(Escenarios!$E$14&gt;0,Observaciones!$J70,0)</f>
        <v>0</v>
      </c>
      <c r="Y71" s="170">
        <f>IF(Escenarios!$E$14&gt;0,MAX(0,Z70+R71+S71+T71+Observaciones!$F70-U71-W71-X71-Constantes!$E$33),0)</f>
        <v>0</v>
      </c>
      <c r="Z71" s="170">
        <f>Z70+R71+S71+T71+Observaciones!$F70-U71-W71-Y71</f>
        <v>107.63903349590578</v>
      </c>
      <c r="AA71" s="170">
        <f>IF(Escenarios!$E$14&gt;0,(Escenarios!$E$13*L71+Escenarios!$E$14*W71)/(Escenarios!$E$16),L71)</f>
        <v>2.2377345005352365</v>
      </c>
      <c r="AB71" s="170">
        <f>IF(Escenarios!$E$14&gt;0,(Escenarios!$E$14*Y71)/(Escenarios!$E$16),K71)</f>
        <v>0</v>
      </c>
      <c r="AC71" s="170">
        <f>IF(Escenarios!$E$14&gt;0,(Escenarios!$E$13*M71+Escenarios!$E$14*U71)/(Escenarios!$E$16),M71)</f>
        <v>0.26453660988494476</v>
      </c>
      <c r="AD71" s="76">
        <f t="shared" ref="AD71:AD134" si="15">AD70+AC71-AE70</f>
        <v>144.51872254115065</v>
      </c>
      <c r="AE71" s="76">
        <f>MAX(0,(AD71-Constantes!$D$13)*(1-EXP(-Constantes!$D$23)))</f>
        <v>0.94363203353051972</v>
      </c>
      <c r="AF71" s="76">
        <f>AB71+O71*Escenarios!$E$13/Escenarios!$E$16+AE71</f>
        <v>1.5109608658136207</v>
      </c>
      <c r="AG71" s="76">
        <f>IF(Entradas!$E$91&gt;0,IF(AF71-Escenarios!$E$38&lt;=0,0,IF(AF71-Escenarios!$E$38&gt;Escenarios!$E$37,Escenarios!$E$37,AF71-Escenarios!$E$38)),0)</f>
        <v>0</v>
      </c>
      <c r="AH71" s="76">
        <f>AG71*Entradas!$E$99</f>
        <v>0</v>
      </c>
      <c r="AI71" s="76">
        <f>IF(Entradas!$E$91&gt;0,D71*Entradas!$D$23/Escenarios!$E$16,0)</f>
        <v>0</v>
      </c>
      <c r="AJ71" s="76">
        <f>IF(Entradas!$E$91&gt;0,Entradas!$D$24*Entradas!$D$22/Escenarios!$E$16,0)</f>
        <v>0</v>
      </c>
      <c r="AK71" s="76">
        <f t="shared" si="10"/>
        <v>2.2377345005352365</v>
      </c>
      <c r="AL71" s="76">
        <f t="shared" si="11"/>
        <v>0</v>
      </c>
      <c r="AM71" s="76">
        <f t="shared" ref="AM71:AM134" si="16">AG71+AL71-AB71</f>
        <v>0</v>
      </c>
      <c r="AN71" s="76">
        <f>MAX(0,O71*Escenarios!$E$13/Escenarios!$E$16-AM71)</f>
        <v>0.56732883228310105</v>
      </c>
      <c r="AO71" s="76">
        <f>AM71+AN71-O71*Escenarios!$E$13/Escenarios!$E$16</f>
        <v>0</v>
      </c>
      <c r="AP71" s="76">
        <f t="shared" si="14"/>
        <v>0.94363203353051972</v>
      </c>
      <c r="AQ71" s="76">
        <f t="shared" ref="AQ71:AQ134" si="17">AO71+AP71-AE71</f>
        <v>0</v>
      </c>
      <c r="AR71" s="76">
        <f t="shared" ref="AR71:AR134" si="18">AL71+AN71+AP71+AH71</f>
        <v>1.5109608658136207</v>
      </c>
      <c r="AS71" s="76">
        <f t="shared" ref="AS71:AS134" si="19">MAX(0,AG71-AH71-AI71-AJ71)</f>
        <v>0</v>
      </c>
      <c r="AT71" s="76">
        <f t="shared" ref="AT71:AT134" si="20">AC71+AS71</f>
        <v>0.26453660988494476</v>
      </c>
      <c r="AU71" s="76">
        <f t="shared" ref="AU71:AU134" si="21">AU70+AS71-AV70</f>
        <v>48.75</v>
      </c>
      <c r="AV71" s="76">
        <f>MAX(0,(AU71-Constantes!$D$13)*(1-EXP(-Constantes!$D$24)))</f>
        <v>0</v>
      </c>
      <c r="AW71" s="170">
        <f>AW70+(Entradas!$E$112*AT71-AX70)/(800*Entradas!$D$25)</f>
        <v>0</v>
      </c>
      <c r="AX71" s="170">
        <f>8000*Entradas!$D$26*AW71/Constantes!$E$45</f>
        <v>0</v>
      </c>
      <c r="AY71" s="170">
        <f>IF(Escenarios!$E$17&gt;0,10*Escenarios!$E$16*AL71,0)</f>
        <v>0</v>
      </c>
      <c r="AZ71" s="170">
        <f>IF(Escenarios!$E$17&gt;0,10*Escenarios!$E$16*AX71,0)</f>
        <v>0</v>
      </c>
      <c r="BA71" s="170">
        <f>IF(Escenarios!$E$17&gt;0,0.001*Observaciones!$F70*Escenarios!$E$17,0)</f>
        <v>115.99999999999999</v>
      </c>
      <c r="BB71" s="170">
        <f>IF(Escenarios!$E$17&gt;0,Observaciones!$K70,0)</f>
        <v>0</v>
      </c>
      <c r="BC71" s="170">
        <f>IF(Escenarios!$E$17&gt;0,MIN(0.0005*ETo!$M70*Escenarios!$E$17*(BG70/Constantes!$E$40)^(2/3),BG70+AY71+AZ71+BA71+BB71),0)</f>
        <v>35.735570710093171</v>
      </c>
      <c r="BD71" s="170">
        <f>IF(Escenarios!$E$17&gt;0,MIN(Constantes!$E$39*(BG70/Constantes!$E$40)^(2/3),BG70+AY71+AZ71+BA71+BB71-BC71),0)</f>
        <v>61.022334462746038</v>
      </c>
      <c r="BE71" s="170">
        <f>IF(Escenarios!$E$17&gt;0,MIN(Entradas!$E$113,BG70+AY71+AZ71+BA71+BB71-BC71-BD71),0)</f>
        <v>1</v>
      </c>
      <c r="BF71" s="170">
        <f>IF(Escenarios!$E$17&gt;0,MAX(0,BG70+AY71+AZ71+BA71+BB71-BC71-BD71-BE71-Constantes!$E$40),0)</f>
        <v>0</v>
      </c>
      <c r="BG71" s="170">
        <f t="shared" si="12"/>
        <v>4459.5101634837292</v>
      </c>
      <c r="BH71" s="170">
        <f>(Escenarios!$E$16*AK71+0.1*BC71)/(Escenarios!$E$19)</f>
        <v>2.2341554849397554</v>
      </c>
      <c r="BI71" s="170">
        <f>IF(Escenarios!$E$17&gt;0,BF71/10/Escenarios!$E$19,AL71)</f>
        <v>0</v>
      </c>
      <c r="BJ71" s="170">
        <f>(Escenarios!$E$16*AT71+0.1*BD71)/(Escenarios!$E$19)</f>
        <v>0.28665232506948729</v>
      </c>
      <c r="BK71" s="76">
        <f>BK70+(0.1*BD71)/(Escenarios!$E$19)-BL70</f>
        <v>49.609696165436418</v>
      </c>
      <c r="BL71" s="76">
        <f>MAX(0,(BK71-Constantes!$D$13)*(1-EXP(-Constantes!$D$23)))</f>
        <v>8.4707910817185487E-3</v>
      </c>
      <c r="BM71" s="76">
        <f t="shared" ref="BM71:BM134" si="22">AP71+AV71+BL71</f>
        <v>0.95210282461223827</v>
      </c>
      <c r="BN71" s="76">
        <f t="shared" si="13"/>
        <v>1.5194316568953392</v>
      </c>
      <c r="BO71" s="76">
        <f>0.0526*BI71*Observaciones!$F70^1.218</f>
        <v>0</v>
      </c>
      <c r="BP71" s="76">
        <f>BO71*Constantes!$E$51</f>
        <v>0</v>
      </c>
      <c r="BQ71" s="76">
        <f t="shared" ref="BQ71:BQ134" si="23">BP71*1000000/(BN71/1000*10000)</f>
        <v>0</v>
      </c>
      <c r="BR71" s="40"/>
    </row>
    <row r="72" spans="1:70">
      <c r="A72" s="147"/>
      <c r="B72" s="39"/>
      <c r="C72" s="75">
        <v>66</v>
      </c>
      <c r="D72" s="146">
        <f>ETo!$I71*((1-Constantes!$E$19)*ETo!$K71+ETo!$L71)</f>
        <v>4.0657217185880166</v>
      </c>
      <c r="E72" s="76">
        <f>MIN(D72*Constantes!$E$17,0.8*(N71+Observaciones!$F71-F72-M72-Constantes!$D$14))</f>
        <v>1.9877814096610393</v>
      </c>
      <c r="F72" s="76">
        <f>IF(Observaciones!$F71&gt;0.05*Constantes!$E$18,((Observaciones!$F71-0.05*Constantes!$E$18)^2)/(Observaciones!$F71+0.95*Constantes!$E$18),0)</f>
        <v>0</v>
      </c>
      <c r="G72" s="76">
        <f>IF(Escenarios!$E$11&gt;0,(F72*Escenarios!$E$16*10000)/1000,0)</f>
        <v>0</v>
      </c>
      <c r="H72" s="76">
        <f>IF(Escenarios!$E$11&gt;0,(Observaciones!$F71*Constantes!$E$29)/1000,0)</f>
        <v>0</v>
      </c>
      <c r="I72" s="76">
        <f>IF(Escenarios!$E$11&gt;0,(D72*Constantes!$E$29)/1000,0)</f>
        <v>40.657217185880164</v>
      </c>
      <c r="J72" s="76">
        <f>IF(Escenarios!$E$11&gt;0,MAX(0,G72+H72-I72),0)</f>
        <v>0</v>
      </c>
      <c r="K72" s="76">
        <f>IF(Escenarios!$E$11&gt;0,IF(J72&gt;Constantes!$E$30,1000*((J72-Constantes!$E$30)/(Escenarios!$E$16*10000)),0),F72)</f>
        <v>0</v>
      </c>
      <c r="L72" s="76">
        <f>IF(Escenarios!$E$11&gt;0,I72*1000/Escenarios!$E$16/10000+E72,E72)</f>
        <v>2.0040442965353913</v>
      </c>
      <c r="M72" s="76">
        <f>MAX(0,N71+Observaciones!$F71-K72-Constantes!$D$13)</f>
        <v>0</v>
      </c>
      <c r="N72" s="76">
        <f>N71+Observaciones!$F71-K72-L72-M72-O71</f>
        <v>27.527346520215016</v>
      </c>
      <c r="O72" s="76">
        <f>MAX(0,(N72-Constantes!$D$14)*(1-EXP(-Constantes!$D$22)))</f>
        <v>0.55446617784091334</v>
      </c>
      <c r="P72" s="170">
        <f>P71+(Entradas!$E$83*M72-Q71)/(800*Entradas!$D$25)</f>
        <v>0</v>
      </c>
      <c r="Q72" s="170">
        <f>8000*Entradas!$D$26*P72/Constantes!$E$45</f>
        <v>0</v>
      </c>
      <c r="R72" s="170">
        <f>IF(Escenarios!$E$14&gt;0,K72*Escenarios!$E$13/Escenarios!$E$14,0)</f>
        <v>0</v>
      </c>
      <c r="S72" s="170">
        <f>IF(Escenarios!$E$14&gt;0,Q72*Escenarios!$E$13/Escenarios!$E$14,0)</f>
        <v>0</v>
      </c>
      <c r="T72" s="170">
        <f>IF(Escenarios!$E$14&gt;0,Observaciones!$I71,0)</f>
        <v>0</v>
      </c>
      <c r="U72" s="170">
        <f>IF(Escenarios!$E$14&gt;0,MAX(0,Constantes!$E$36/((Z71+R72+S72+T72+Observaciones!$F71)^2)+Entradas!$E$77),0)</f>
        <v>2.1138782269085654</v>
      </c>
      <c r="V72" s="146">
        <f>IF(ETo!D71&gt;0,ETo!I71*((1-Entradas!$E$81)*ETo!K71+ETo!L71),0)</f>
        <v>3.7100078834699173</v>
      </c>
      <c r="W72" s="170">
        <f>IF(Escenarios!$E$14&gt;0,MIN(V72*1,0.8*(Z71+R72+S72+T72+Observaciones!$F71-U72-Constantes!$E$35)),0)</f>
        <v>3.7100078834699173</v>
      </c>
      <c r="X72" s="170">
        <f>IF(Escenarios!$E$14&gt;0,Observaciones!$J71,0)</f>
        <v>0</v>
      </c>
      <c r="Y72" s="170">
        <f>IF(Escenarios!$E$14&gt;0,MAX(0,Z71+R72+S72+T72+Observaciones!$F71-U72-W72-X72-Constantes!$E$33),0)</f>
        <v>0</v>
      </c>
      <c r="Z72" s="170">
        <f>Z71+R72+S72+T72+Observaciones!$F71-U72-W72-Y72</f>
        <v>101.8151473855273</v>
      </c>
      <c r="AA72" s="170">
        <f>IF(Escenarios!$E$14&gt;0,(Escenarios!$E$13*L72+Escenarios!$E$14*W72)/(Escenarios!$E$16),L72)</f>
        <v>2.2087599269675344</v>
      </c>
      <c r="AB72" s="170">
        <f>IF(Escenarios!$E$14&gt;0,(Escenarios!$E$14*Y72)/(Escenarios!$E$16),K72)</f>
        <v>0</v>
      </c>
      <c r="AC72" s="170">
        <f>IF(Escenarios!$E$14&gt;0,(Escenarios!$E$13*M72+Escenarios!$E$14*U72)/(Escenarios!$E$16),M72)</f>
        <v>0.25366538722902787</v>
      </c>
      <c r="AD72" s="76">
        <f t="shared" si="15"/>
        <v>143.82875589484917</v>
      </c>
      <c r="AE72" s="76">
        <f>MAX(0,(AD72-Constantes!$D$13)*(1-EXP(-Constantes!$D$23)))</f>
        <v>0.93683362782725943</v>
      </c>
      <c r="AF72" s="76">
        <f>AB72+O72*Escenarios!$E$13/Escenarios!$E$16+AE72</f>
        <v>1.4247638643272631</v>
      </c>
      <c r="AG72" s="76">
        <f>IF(Entradas!$E$91&gt;0,IF(AF72-Escenarios!$E$38&lt;=0,0,IF(AF72-Escenarios!$E$38&gt;Escenarios!$E$37,Escenarios!$E$37,AF72-Escenarios!$E$38)),0)</f>
        <v>0</v>
      </c>
      <c r="AH72" s="76">
        <f>AG72*Entradas!$E$99</f>
        <v>0</v>
      </c>
      <c r="AI72" s="76">
        <f>IF(Entradas!$E$91&gt;0,D72*Entradas!$D$23/Escenarios!$E$16,0)</f>
        <v>0</v>
      </c>
      <c r="AJ72" s="76">
        <f>IF(Entradas!$E$91&gt;0,Entradas!$D$24*Entradas!$D$22/Escenarios!$E$16,0)</f>
        <v>0</v>
      </c>
      <c r="AK72" s="76">
        <f t="shared" ref="AK72:AK135" si="24">AA72+AI72</f>
        <v>2.2087599269675344</v>
      </c>
      <c r="AL72" s="76">
        <f t="shared" ref="AL72:AL135" si="25">MAX(0,AB72-AG72)</f>
        <v>0</v>
      </c>
      <c r="AM72" s="76">
        <f t="shared" si="16"/>
        <v>0</v>
      </c>
      <c r="AN72" s="76">
        <f>MAX(0,O72*Escenarios!$E$13/Escenarios!$E$16-AM72)</f>
        <v>0.48793023650000372</v>
      </c>
      <c r="AO72" s="76">
        <f>AM72+AN72-O72*Escenarios!$E$13/Escenarios!$E$16</f>
        <v>0</v>
      </c>
      <c r="AP72" s="76">
        <f t="shared" si="14"/>
        <v>0.93683362782725943</v>
      </c>
      <c r="AQ72" s="76">
        <f t="shared" si="17"/>
        <v>0</v>
      </c>
      <c r="AR72" s="76">
        <f t="shared" si="18"/>
        <v>1.4247638643272631</v>
      </c>
      <c r="AS72" s="76">
        <f t="shared" si="19"/>
        <v>0</v>
      </c>
      <c r="AT72" s="76">
        <f t="shared" si="20"/>
        <v>0.25366538722902787</v>
      </c>
      <c r="AU72" s="76">
        <f t="shared" si="21"/>
        <v>48.75</v>
      </c>
      <c r="AV72" s="76">
        <f>MAX(0,(AU72-Constantes!$D$13)*(1-EXP(-Constantes!$D$24)))</f>
        <v>0</v>
      </c>
      <c r="AW72" s="170">
        <f>AW71+(Entradas!$E$112*AT72-AX71)/(800*Entradas!$D$25)</f>
        <v>0</v>
      </c>
      <c r="AX72" s="170">
        <f>8000*Entradas!$D$26*AW72/Constantes!$E$45</f>
        <v>0</v>
      </c>
      <c r="AY72" s="170">
        <f>IF(Escenarios!$E$17&gt;0,10*Escenarios!$E$16*AL72,0)</f>
        <v>0</v>
      </c>
      <c r="AZ72" s="170">
        <f>IF(Escenarios!$E$17&gt;0,10*Escenarios!$E$16*AX72,0)</f>
        <v>0</v>
      </c>
      <c r="BA72" s="170">
        <f>IF(Escenarios!$E$17&gt;0,0.001*Observaciones!$F71*Escenarios!$E$17,0)</f>
        <v>0</v>
      </c>
      <c r="BB72" s="170">
        <f>IF(Escenarios!$E$17&gt;0,Observaciones!$K71,0)</f>
        <v>0</v>
      </c>
      <c r="BC72" s="170">
        <f>IF(Escenarios!$E$17&gt;0,MIN(0.0005*ETo!$M71*Escenarios!$E$17*(BG71/Constantes!$E$40)^(2/3),BG71+AY72+AZ72+BA72+BB72),0)</f>
        <v>35.378499143216125</v>
      </c>
      <c r="BD72" s="170">
        <f>IF(Escenarios!$E$17&gt;0,MIN(Constantes!$E$39*(BG71/Constantes!$E$40)^(2/3),BG71+AY72+AZ72+BA72+BB72-BC72),0)</f>
        <v>61.189315985220098</v>
      </c>
      <c r="BE72" s="170">
        <f>IF(Escenarios!$E$17&gt;0,MIN(Entradas!$E$113,BG71+AY72+AZ72+BA72+BB72-BC72-BD72),0)</f>
        <v>1</v>
      </c>
      <c r="BF72" s="170">
        <f>IF(Escenarios!$E$17&gt;0,MAX(0,BG71+AY72+AZ72+BA72+BB72-BC72-BD72-BE72-Constantes!$E$40),0)</f>
        <v>0</v>
      </c>
      <c r="BG72" s="170">
        <f t="shared" ref="BG72:BG135" si="26">BG71+AY72+AZ72+BA72+BB72-BF72-BC72-BD72-BE72</f>
        <v>4361.9423483552937</v>
      </c>
      <c r="BH72" s="170">
        <f>(Escenarios!$E$16*AK72+0.1*BC72)/(Escenarios!$E$19)</f>
        <v>2.2052691732389098</v>
      </c>
      <c r="BI72" s="170">
        <f>IF(Escenarios!$E$17&gt;0,BF72/10/Escenarios!$E$19,AL72)</f>
        <v>0</v>
      </c>
      <c r="BJ72" s="170">
        <f>(Escenarios!$E$16*AT72+0.1*BD72)/(Escenarios!$E$19)</f>
        <v>0.27593364446737689</v>
      </c>
      <c r="BK72" s="76">
        <f>BK71+(0.1*BD72)/(Escenarios!$E$19)-BL71</f>
        <v>49.625506848952007</v>
      </c>
      <c r="BL72" s="76">
        <f>MAX(0,(BK72-Constantes!$D$13)*(1-EXP(-Constantes!$D$23)))</f>
        <v>8.6265775122090684E-3</v>
      </c>
      <c r="BM72" s="76">
        <f t="shared" si="22"/>
        <v>0.94546020533946851</v>
      </c>
      <c r="BN72" s="76">
        <f t="shared" ref="BN72:BN135" si="27">AN72+AP72+AV72+BI72+BL72</f>
        <v>1.4333904418394721</v>
      </c>
      <c r="BO72" s="76">
        <f>0.0526*BI72*Observaciones!$F71^1.218</f>
        <v>0</v>
      </c>
      <c r="BP72" s="76">
        <f>BO72*Constantes!$E$51</f>
        <v>0</v>
      </c>
      <c r="BQ72" s="76">
        <f t="shared" si="23"/>
        <v>0</v>
      </c>
      <c r="BR72" s="40"/>
    </row>
    <row r="73" spans="1:70">
      <c r="A73" s="147"/>
      <c r="B73" s="39"/>
      <c r="C73" s="75">
        <v>67</v>
      </c>
      <c r="D73" s="146">
        <f>ETo!$I72*((1-Constantes!$E$19)*ETo!$K72+ETo!$L72)</f>
        <v>4.2077664156369936</v>
      </c>
      <c r="E73" s="76">
        <f>MIN(D73*Constantes!$E$17,0.8*(N72+Observaciones!$F72-F73-M73-Constantes!$D$14))</f>
        <v>2.05722881105204</v>
      </c>
      <c r="F73" s="76">
        <f>IF(Observaciones!$F72&gt;0.05*Constantes!$E$18,((Observaciones!$F72-0.05*Constantes!$E$18)^2)/(Observaciones!$F72+0.95*Constantes!$E$18),0)</f>
        <v>5.3171302003027243</v>
      </c>
      <c r="G73" s="76">
        <f>IF(Escenarios!$E$11&gt;0,(F73*Escenarios!$E$16*10000)/1000,0)</f>
        <v>13292.82550075681</v>
      </c>
      <c r="H73" s="76">
        <f>IF(Escenarios!$E$11&gt;0,(Observaciones!$F72*Constantes!$E$29)/1000,0)</f>
        <v>339</v>
      </c>
      <c r="I73" s="76">
        <f>IF(Escenarios!$E$11&gt;0,(D73*Constantes!$E$29)/1000,0)</f>
        <v>42.077664156369934</v>
      </c>
      <c r="J73" s="76">
        <f>IF(Escenarios!$E$11&gt;0,MAX(0,G73+H73-I73),0)</f>
        <v>13589.74783660044</v>
      </c>
      <c r="K73" s="76">
        <f>IF(Escenarios!$E$11&gt;0,IF(J73&gt;Constantes!$E$30,1000*((J73-Constantes!$E$30)/(Escenarios!$E$16*10000)),0),F73)</f>
        <v>4.9211932522872344</v>
      </c>
      <c r="L73" s="76">
        <f>IF(Escenarios!$E$11&gt;0,I73*1000/Escenarios!$E$16/10000+E73,E73)</f>
        <v>2.0740598767145881</v>
      </c>
      <c r="M73" s="76">
        <f>MAX(0,N72+Observaciones!$F72-K73-Constantes!$D$13)</f>
        <v>7.7561532679277789</v>
      </c>
      <c r="N73" s="76">
        <f>N72+Observaciones!$F72-K73-L73-M73-O72</f>
        <v>46.1214739454445</v>
      </c>
      <c r="O73" s="76">
        <f>MAX(0,(N73-Constantes!$D$14)*(1-EXP(-Constantes!$D$22)))</f>
        <v>1.1878504183834382</v>
      </c>
      <c r="P73" s="170">
        <f>P72+(Entradas!$E$83*M73-Q72)/(800*Entradas!$D$25)</f>
        <v>0</v>
      </c>
      <c r="Q73" s="170">
        <f>8000*Entradas!$D$26*P73/Constantes!$E$45</f>
        <v>0</v>
      </c>
      <c r="R73" s="170">
        <f>IF(Escenarios!$E$14&gt;0,K73*Escenarios!$E$13/Escenarios!$E$14,0)</f>
        <v>36.088750516773054</v>
      </c>
      <c r="S73" s="170">
        <f>IF(Escenarios!$E$14&gt;0,Q73*Escenarios!$E$13/Escenarios!$E$14,0)</f>
        <v>0</v>
      </c>
      <c r="T73" s="170">
        <f>IF(Escenarios!$E$14&gt;0,Observaciones!$I72,0)</f>
        <v>0</v>
      </c>
      <c r="U73" s="170">
        <f>IF(Escenarios!$E$14&gt;0,MAX(0,Constantes!$E$36/((Z72+R73+S73+T73+Observaciones!$F72)^2)+Entradas!$E$77),0)</f>
        <v>2.6521700606402487</v>
      </c>
      <c r="V73" s="146">
        <f>IF(ETo!D72&gt;0,ETo!I72*((1-Entradas!$E$81)*ETo!K72+ETo!L72),0)</f>
        <v>3.8410855752518254</v>
      </c>
      <c r="W73" s="170">
        <f>IF(Escenarios!$E$14&gt;0,MIN(V73*1,0.8*(Z72+R73+S73+T73+Observaciones!$F72-U73-Constantes!$E$35)),0)</f>
        <v>3.8410855752518254</v>
      </c>
      <c r="X73" s="170">
        <f>IF(Escenarios!$E$14&gt;0,Observaciones!$J72,0)</f>
        <v>0</v>
      </c>
      <c r="Y73" s="170">
        <f>IF(Escenarios!$E$14&gt;0,MAX(0,Z72+R73+S73+T73+Observaciones!$F72-U73-W73-X73-Constantes!$E$33),0)</f>
        <v>0</v>
      </c>
      <c r="Z73" s="170">
        <f>Z72+R73+S73+T73+Observaciones!$F72-U73-W73-Y73</f>
        <v>165.31064226640825</v>
      </c>
      <c r="AA73" s="170">
        <f>IF(Escenarios!$E$14&gt;0,(Escenarios!$E$13*L73+Escenarios!$E$14*W73)/(Escenarios!$E$16),L73)</f>
        <v>2.2861029605390568</v>
      </c>
      <c r="AB73" s="170">
        <f>IF(Escenarios!$E$14&gt;0,(Escenarios!$E$14*Y73)/(Escenarios!$E$16),K73)</f>
        <v>0</v>
      </c>
      <c r="AC73" s="170">
        <f>IF(Escenarios!$E$14&gt;0,(Escenarios!$E$13*M73+Escenarios!$E$14*U73)/(Escenarios!$E$16),M73)</f>
        <v>7.143675283053275</v>
      </c>
      <c r="AD73" s="76">
        <f t="shared" si="15"/>
        <v>150.03559755007518</v>
      </c>
      <c r="AE73" s="76">
        <f>MAX(0,(AD73-Constantes!$D$13)*(1-EXP(-Constantes!$D$23)))</f>
        <v>0.99799111701070542</v>
      </c>
      <c r="AF73" s="76">
        <f>AB73+O73*Escenarios!$E$13/Escenarios!$E$16+AE73</f>
        <v>2.0432994851881308</v>
      </c>
      <c r="AG73" s="76">
        <f>IF(Entradas!$E$91&gt;0,IF(AF73-Escenarios!$E$38&lt;=0,0,IF(AF73-Escenarios!$E$38&gt;Escenarios!$E$37,Escenarios!$E$37,AF73-Escenarios!$E$38)),0)</f>
        <v>0</v>
      </c>
      <c r="AH73" s="76">
        <f>AG73*Entradas!$E$99</f>
        <v>0</v>
      </c>
      <c r="AI73" s="76">
        <f>IF(Entradas!$E$91&gt;0,D73*Entradas!$D$23/Escenarios!$E$16,0)</f>
        <v>0</v>
      </c>
      <c r="AJ73" s="76">
        <f>IF(Entradas!$E$91&gt;0,Entradas!$D$24*Entradas!$D$22/Escenarios!$E$16,0)</f>
        <v>0</v>
      </c>
      <c r="AK73" s="76">
        <f t="shared" si="24"/>
        <v>2.2861029605390568</v>
      </c>
      <c r="AL73" s="76">
        <f t="shared" si="25"/>
        <v>0</v>
      </c>
      <c r="AM73" s="76">
        <f t="shared" si="16"/>
        <v>0</v>
      </c>
      <c r="AN73" s="76">
        <f>MAX(0,O73*Escenarios!$E$13/Escenarios!$E$16-AM73)</f>
        <v>1.0453083681774256</v>
      </c>
      <c r="AO73" s="76">
        <f>AM73+AN73-O73*Escenarios!$E$13/Escenarios!$E$16</f>
        <v>0</v>
      </c>
      <c r="AP73" s="76">
        <f t="shared" si="14"/>
        <v>0.99799111701070542</v>
      </c>
      <c r="AQ73" s="76">
        <f t="shared" si="17"/>
        <v>0</v>
      </c>
      <c r="AR73" s="76">
        <f t="shared" si="18"/>
        <v>2.0432994851881308</v>
      </c>
      <c r="AS73" s="76">
        <f t="shared" si="19"/>
        <v>0</v>
      </c>
      <c r="AT73" s="76">
        <f t="shared" si="20"/>
        <v>7.143675283053275</v>
      </c>
      <c r="AU73" s="76">
        <f t="shared" si="21"/>
        <v>48.75</v>
      </c>
      <c r="AV73" s="76">
        <f>MAX(0,(AU73-Constantes!$D$13)*(1-EXP(-Constantes!$D$24)))</f>
        <v>0</v>
      </c>
      <c r="AW73" s="170">
        <f>AW72+(Entradas!$E$112*AT73-AX72)/(800*Entradas!$D$25)</f>
        <v>0</v>
      </c>
      <c r="AX73" s="170">
        <f>8000*Entradas!$D$26*AW73/Constantes!$E$45</f>
        <v>0</v>
      </c>
      <c r="AY73" s="170">
        <f>IF(Escenarios!$E$17&gt;0,10*Escenarios!$E$16*AL73,0)</f>
        <v>0</v>
      </c>
      <c r="AZ73" s="170">
        <f>IF(Escenarios!$E$17&gt;0,10*Escenarios!$E$16*AX73,0)</f>
        <v>0</v>
      </c>
      <c r="BA73" s="170">
        <f>IF(Escenarios!$E$17&gt;0,0.001*Observaciones!$F72*Escenarios!$E$17,0)</f>
        <v>678</v>
      </c>
      <c r="BB73" s="170">
        <f>IF(Escenarios!$E$17&gt;0,Observaciones!$K72,0)</f>
        <v>0</v>
      </c>
      <c r="BC73" s="170">
        <f>IF(Escenarios!$E$17&gt;0,MIN(0.0005*ETo!$M72*Escenarios!$E$17*(BG72/Constantes!$E$40)^(2/3),BG72+AY73+AZ73+BA73+BB73),0)</f>
        <v>36.061184911395621</v>
      </c>
      <c r="BD73" s="170">
        <f>IF(Escenarios!$E$17&gt;0,MIN(Constantes!$E$39*(BG72/Constantes!$E$40)^(2/3),BG72+AY73+AZ73+BA73+BB73-BC73),0)</f>
        <v>60.293538695714169</v>
      </c>
      <c r="BE73" s="170">
        <f>IF(Escenarios!$E$17&gt;0,MIN(Entradas!$E$113,BG72+AY73+AZ73+BA73+BB73-BC73-BD73),0)</f>
        <v>1</v>
      </c>
      <c r="BF73" s="170">
        <f>IF(Escenarios!$E$17&gt;0,MAX(0,BG72+AY73+AZ73+BA73+BB73-BC73-BD73-BE73-Constantes!$E$40),0)</f>
        <v>0</v>
      </c>
      <c r="BG73" s="170">
        <f t="shared" si="26"/>
        <v>4942.5876247481838</v>
      </c>
      <c r="BH73" s="170">
        <f>(Escenarios!$E$16*AK73+0.1*BC73)/(Escenarios!$E$19)</f>
        <v>2.2822692802615228</v>
      </c>
      <c r="BI73" s="170">
        <f>IF(Escenarios!$E$17&gt;0,BF73/10/Escenarios!$E$19,AL73)</f>
        <v>0</v>
      </c>
      <c r="BJ73" s="170">
        <f>(Escenarios!$E$16*AT73+0.1*BD73)/(Escenarios!$E$19)</f>
        <v>7.1109054548924213</v>
      </c>
      <c r="BK73" s="76">
        <f>BK72+(0.1*BD73)/(Escenarios!$E$19)-BL72</f>
        <v>49.640806278858733</v>
      </c>
      <c r="BL73" s="76">
        <f>MAX(0,(BK73-Constantes!$D$13)*(1-EXP(-Constantes!$D$23)))</f>
        <v>8.7773264391203375E-3</v>
      </c>
      <c r="BM73" s="76">
        <f t="shared" si="22"/>
        <v>1.0067684434498259</v>
      </c>
      <c r="BN73" s="76">
        <f t="shared" si="27"/>
        <v>2.0520768116272512</v>
      </c>
      <c r="BO73" s="76">
        <f>0.0526*BI73*Observaciones!$F72^1.218</f>
        <v>0</v>
      </c>
      <c r="BP73" s="76">
        <f>BO73*Constantes!$E$51</f>
        <v>0</v>
      </c>
      <c r="BQ73" s="76">
        <f t="shared" si="23"/>
        <v>0</v>
      </c>
      <c r="BR73" s="40"/>
    </row>
    <row r="74" spans="1:70">
      <c r="A74" s="147"/>
      <c r="B74" s="39"/>
      <c r="C74" s="75">
        <v>68</v>
      </c>
      <c r="D74" s="146">
        <f>ETo!$I73*((1-Constantes!$E$19)*ETo!$K73+ETo!$L73)</f>
        <v>4.088981973673171</v>
      </c>
      <c r="E74" s="76">
        <f>MIN(D74*Constantes!$E$17,0.8*(N73+Observaciones!$F73-F74-M74-Constantes!$D$14))</f>
        <v>1.9991536347769041</v>
      </c>
      <c r="F74" s="76">
        <f>IF(Observaciones!$F73&gt;0.05*Constantes!$E$18,((Observaciones!$F73-0.05*Constantes!$E$18)^2)/(Observaciones!$F73+0.95*Constantes!$E$18),0)</f>
        <v>0</v>
      </c>
      <c r="G74" s="76">
        <f>IF(Escenarios!$E$11&gt;0,(F74*Escenarios!$E$16*10000)/1000,0)</f>
        <v>0</v>
      </c>
      <c r="H74" s="76">
        <f>IF(Escenarios!$E$11&gt;0,(Observaciones!$F73*Constantes!$E$29)/1000,0)</f>
        <v>20</v>
      </c>
      <c r="I74" s="76">
        <f>IF(Escenarios!$E$11&gt;0,(D74*Constantes!$E$29)/1000,0)</f>
        <v>40.88981973673171</v>
      </c>
      <c r="J74" s="76">
        <f>IF(Escenarios!$E$11&gt;0,MAX(0,G74+H74-I74),0)</f>
        <v>0</v>
      </c>
      <c r="K74" s="76">
        <f>IF(Escenarios!$E$11&gt;0,IF(J74&gt;Constantes!$E$30,1000*((J74-Constantes!$E$30)/(Escenarios!$E$16*10000)),0),F74)</f>
        <v>0</v>
      </c>
      <c r="L74" s="76">
        <f>IF(Escenarios!$E$11&gt;0,I74*1000/Escenarios!$E$16/10000+E74,E74)</f>
        <v>2.0155095626715966</v>
      </c>
      <c r="M74" s="76">
        <f>MAX(0,N73+Observaciones!$F73-K74-Constantes!$D$13)</f>
        <v>0</v>
      </c>
      <c r="N74" s="76">
        <f>N73+Observaciones!$F73-K74-L74-M74-O73</f>
        <v>44.918113964389462</v>
      </c>
      <c r="O74" s="76">
        <f>MAX(0,(N74-Constantes!$D$14)*(1-EXP(-Constantes!$D$22)))</f>
        <v>1.1468595598037752</v>
      </c>
      <c r="P74" s="170">
        <f>P73+(Entradas!$E$83*M74-Q73)/(800*Entradas!$D$25)</f>
        <v>0</v>
      </c>
      <c r="Q74" s="170">
        <f>8000*Entradas!$D$26*P74/Constantes!$E$45</f>
        <v>0</v>
      </c>
      <c r="R74" s="170">
        <f>IF(Escenarios!$E$14&gt;0,K74*Escenarios!$E$13/Escenarios!$E$14,0)</f>
        <v>0</v>
      </c>
      <c r="S74" s="170">
        <f>IF(Escenarios!$E$14&gt;0,Q74*Escenarios!$E$13/Escenarios!$E$14,0)</f>
        <v>0</v>
      </c>
      <c r="T74" s="170">
        <f>IF(Escenarios!$E$14&gt;0,Observaciones!$I73,0)</f>
        <v>0</v>
      </c>
      <c r="U74" s="170">
        <f>IF(Escenarios!$E$14&gt;0,MAX(0,Constantes!$E$36/((Z73+R74+S74+T74+Observaciones!$F73)^2)+Entradas!$E$77),0)</f>
        <v>2.6332367148212517</v>
      </c>
      <c r="V74" s="146">
        <f>IF(ETo!D73&gt;0,ETo!I73*((1-Entradas!$E$81)*ETo!K73+ETo!L73),0)</f>
        <v>3.7311820293242275</v>
      </c>
      <c r="W74" s="170">
        <f>IF(Escenarios!$E$14&gt;0,MIN(V74*1,0.8*(Z73+R74+S74+T74+Observaciones!$F73-U74-Constantes!$E$35)),0)</f>
        <v>3.7311820293242275</v>
      </c>
      <c r="X74" s="170">
        <f>IF(Escenarios!$E$14&gt;0,Observaciones!$J73,0)</f>
        <v>0</v>
      </c>
      <c r="Y74" s="170">
        <f>IF(Escenarios!$E$14&gt;0,MAX(0,Z73+R74+S74+T74+Observaciones!$F73-U74-W74-X74-Constantes!$E$33),0)</f>
        <v>0</v>
      </c>
      <c r="Z74" s="170">
        <f>Z73+R74+S74+T74+Observaciones!$F73-U74-W74-Y74</f>
        <v>160.94622352226276</v>
      </c>
      <c r="AA74" s="170">
        <f>IF(Escenarios!$E$14&gt;0,(Escenarios!$E$13*L74+Escenarios!$E$14*W74)/(Escenarios!$E$16),L74)</f>
        <v>2.2213902586699121</v>
      </c>
      <c r="AB74" s="170">
        <f>IF(Escenarios!$E$14&gt;0,(Escenarios!$E$14*Y74)/(Escenarios!$E$16),K74)</f>
        <v>0</v>
      </c>
      <c r="AC74" s="170">
        <f>IF(Escenarios!$E$14&gt;0,(Escenarios!$E$13*M74+Escenarios!$E$14*U74)/(Escenarios!$E$16),M74)</f>
        <v>0.3159884057785502</v>
      </c>
      <c r="AD74" s="76">
        <f t="shared" si="15"/>
        <v>149.35359483884301</v>
      </c>
      <c r="AE74" s="76">
        <f>MAX(0,(AD74-Constantes!$D$13)*(1-EXP(-Constantes!$D$23)))</f>
        <v>0.99127118185654473</v>
      </c>
      <c r="AF74" s="76">
        <f>AB74+O74*Escenarios!$E$13/Escenarios!$E$16+AE74</f>
        <v>2.0005075944838668</v>
      </c>
      <c r="AG74" s="76">
        <f>IF(Entradas!$E$91&gt;0,IF(AF74-Escenarios!$E$38&lt;=0,0,IF(AF74-Escenarios!$E$38&gt;Escenarios!$E$37,Escenarios!$E$37,AF74-Escenarios!$E$38)),0)</f>
        <v>0</v>
      </c>
      <c r="AH74" s="76">
        <f>AG74*Entradas!$E$99</f>
        <v>0</v>
      </c>
      <c r="AI74" s="76">
        <f>IF(Entradas!$E$91&gt;0,D74*Entradas!$D$23/Escenarios!$E$16,0)</f>
        <v>0</v>
      </c>
      <c r="AJ74" s="76">
        <f>IF(Entradas!$E$91&gt;0,Entradas!$D$24*Entradas!$D$22/Escenarios!$E$16,0)</f>
        <v>0</v>
      </c>
      <c r="AK74" s="76">
        <f t="shared" si="24"/>
        <v>2.2213902586699121</v>
      </c>
      <c r="AL74" s="76">
        <f t="shared" si="25"/>
        <v>0</v>
      </c>
      <c r="AM74" s="76">
        <f t="shared" si="16"/>
        <v>0</v>
      </c>
      <c r="AN74" s="76">
        <f>MAX(0,O74*Escenarios!$E$13/Escenarios!$E$16-AM74)</f>
        <v>1.0092364126273221</v>
      </c>
      <c r="AO74" s="76">
        <f>AM74+AN74-O74*Escenarios!$E$13/Escenarios!$E$16</f>
        <v>0</v>
      </c>
      <c r="AP74" s="76">
        <f t="shared" si="14"/>
        <v>0.99127118185654473</v>
      </c>
      <c r="AQ74" s="76">
        <f t="shared" si="17"/>
        <v>0</v>
      </c>
      <c r="AR74" s="76">
        <f t="shared" si="18"/>
        <v>2.0005075944838668</v>
      </c>
      <c r="AS74" s="76">
        <f t="shared" si="19"/>
        <v>0</v>
      </c>
      <c r="AT74" s="76">
        <f t="shared" si="20"/>
        <v>0.3159884057785502</v>
      </c>
      <c r="AU74" s="76">
        <f t="shared" si="21"/>
        <v>48.75</v>
      </c>
      <c r="AV74" s="76">
        <f>MAX(0,(AU74-Constantes!$D$13)*(1-EXP(-Constantes!$D$24)))</f>
        <v>0</v>
      </c>
      <c r="AW74" s="170">
        <f>AW73+(Entradas!$E$112*AT74-AX73)/(800*Entradas!$D$25)</f>
        <v>0</v>
      </c>
      <c r="AX74" s="170">
        <f>8000*Entradas!$D$26*AW74/Constantes!$E$45</f>
        <v>0</v>
      </c>
      <c r="AY74" s="170">
        <f>IF(Escenarios!$E$17&gt;0,10*Escenarios!$E$16*AL74,0)</f>
        <v>0</v>
      </c>
      <c r="AZ74" s="170">
        <f>IF(Escenarios!$E$17&gt;0,10*Escenarios!$E$16*AX74,0)</f>
        <v>0</v>
      </c>
      <c r="BA74" s="170">
        <f>IF(Escenarios!$E$17&gt;0,0.001*Observaciones!$F73*Escenarios!$E$17,0)</f>
        <v>40</v>
      </c>
      <c r="BB74" s="170">
        <f>IF(Escenarios!$E$17&gt;0,Observaciones!$K73,0)</f>
        <v>0</v>
      </c>
      <c r="BC74" s="170">
        <f>IF(Escenarios!$E$17&gt;0,MIN(0.0005*ETo!$M73*Escenarios!$E$17*(BG73/Constantes!$E$40)^(2/3),BG73+AY74+AZ74+BA74+BB74),0)</f>
        <v>38.106810158591657</v>
      </c>
      <c r="BD74" s="170">
        <f>IF(Escenarios!$E$17&gt;0,MIN(Constantes!$E$39*(BG73/Constantes!$E$40)^(2/3),BG73+AY74+AZ74+BA74+BB74-BC74),0)</f>
        <v>65.532048599623607</v>
      </c>
      <c r="BE74" s="170">
        <f>IF(Escenarios!$E$17&gt;0,MIN(Entradas!$E$113,BG73+AY74+AZ74+BA74+BB74-BC74-BD74),0)</f>
        <v>1</v>
      </c>
      <c r="BF74" s="170">
        <f>IF(Escenarios!$E$17&gt;0,MAX(0,BG73+AY74+AZ74+BA74+BB74-BC74-BD74-BE74-Constantes!$E$40),0)</f>
        <v>0</v>
      </c>
      <c r="BG74" s="170">
        <f t="shared" si="26"/>
        <v>4877.9487659899687</v>
      </c>
      <c r="BH74" s="170">
        <f>(Escenarios!$E$16*AK74+0.1*BC74)/(Escenarios!$E$19)</f>
        <v>2.2188819273148304</v>
      </c>
      <c r="BI74" s="170">
        <f>IF(Escenarios!$E$17&gt;0,BF74/10/Escenarios!$E$19,AL74)</f>
        <v>0</v>
      </c>
      <c r="BJ74" s="170">
        <f>(Escenarios!$E$16*AT74+0.1*BD74)/(Escenarios!$E$19)</f>
        <v>0.33948534247857109</v>
      </c>
      <c r="BK74" s="76">
        <f>BK73+(0.1*BD74)/(Escenarios!$E$19)-BL73</f>
        <v>49.658033733609933</v>
      </c>
      <c r="BL74" s="76">
        <f>MAX(0,(BK74-Constantes!$D$13)*(1-EXP(-Constantes!$D$23)))</f>
        <v>8.9470726540439513E-3</v>
      </c>
      <c r="BM74" s="76">
        <f t="shared" si="22"/>
        <v>1.0002182545105887</v>
      </c>
      <c r="BN74" s="76">
        <f t="shared" si="27"/>
        <v>2.009454667137911</v>
      </c>
      <c r="BO74" s="76">
        <f>0.0526*BI74*Observaciones!$F73^1.218</f>
        <v>0</v>
      </c>
      <c r="BP74" s="76">
        <f>BO74*Constantes!$E$51</f>
        <v>0</v>
      </c>
      <c r="BQ74" s="76">
        <f t="shared" si="23"/>
        <v>0</v>
      </c>
      <c r="BR74" s="40"/>
    </row>
    <row r="75" spans="1:70">
      <c r="A75" s="147"/>
      <c r="B75" s="39"/>
      <c r="C75" s="75">
        <v>69</v>
      </c>
      <c r="D75" s="146">
        <f>ETo!$I74*((1-Constantes!$E$19)*ETo!$K74+ETo!$L74)</f>
        <v>4.2167742004890911</v>
      </c>
      <c r="E75" s="76">
        <f>MIN(D75*Constantes!$E$17,0.8*(N74+Observaciones!$F74-F75-M75-Constantes!$D$14))</f>
        <v>2.0616328279795546</v>
      </c>
      <c r="F75" s="76">
        <f>IF(Observaciones!$F74&gt;0.05*Constantes!$E$18,((Observaciones!$F74-0.05*Constantes!$E$18)^2)/(Observaciones!$F74+0.95*Constantes!$E$18),0)</f>
        <v>0.40541817085830878</v>
      </c>
      <c r="G75" s="76">
        <f>IF(Escenarios!$E$11&gt;0,(F75*Escenarios!$E$16*10000)/1000,0)</f>
        <v>1013.5454271457719</v>
      </c>
      <c r="H75" s="76">
        <f>IF(Escenarios!$E$11&gt;0,(Observaciones!$F74*Constantes!$E$29)/1000,0)</f>
        <v>131</v>
      </c>
      <c r="I75" s="76">
        <f>IF(Escenarios!$E$11&gt;0,(D75*Constantes!$E$29)/1000,0)</f>
        <v>42.167742004890911</v>
      </c>
      <c r="J75" s="76">
        <f>IF(Escenarios!$E$11&gt;0,MAX(0,G75+H75-I75),0)</f>
        <v>1102.3776851408811</v>
      </c>
      <c r="K75" s="76">
        <f>IF(Escenarios!$E$11&gt;0,IF(J75&gt;Constantes!$E$30,1000*((J75-Constantes!$E$30)/(Escenarios!$E$16*10000)),0),F75)</f>
        <v>0</v>
      </c>
      <c r="L75" s="76">
        <f>IF(Escenarios!$E$11&gt;0,I75*1000/Escenarios!$E$16/10000+E75,E75)</f>
        <v>2.0784999247815108</v>
      </c>
      <c r="M75" s="76">
        <f>MAX(0,N74+Observaciones!$F74-K75-Constantes!$D$13)</f>
        <v>9.2681139643894639</v>
      </c>
      <c r="N75" s="76">
        <f>N74+Observaciones!$F74-K75-L75-M75-O74</f>
        <v>45.524640515414717</v>
      </c>
      <c r="O75" s="76">
        <f>MAX(0,(N75-Constantes!$D$14)*(1-EXP(-Constantes!$D$22)))</f>
        <v>1.1675200807362474</v>
      </c>
      <c r="P75" s="170">
        <f>P74+(Entradas!$E$83*M75-Q74)/(800*Entradas!$D$25)</f>
        <v>0</v>
      </c>
      <c r="Q75" s="170">
        <f>8000*Entradas!$D$26*P75/Constantes!$E$45</f>
        <v>0</v>
      </c>
      <c r="R75" s="170">
        <f>IF(Escenarios!$E$14&gt;0,K75*Escenarios!$E$13/Escenarios!$E$14,0)</f>
        <v>0</v>
      </c>
      <c r="S75" s="170">
        <f>IF(Escenarios!$E$14&gt;0,Q75*Escenarios!$E$13/Escenarios!$E$14,0)</f>
        <v>0</v>
      </c>
      <c r="T75" s="170">
        <f>IF(Escenarios!$E$14&gt;0,Observaciones!$I74,0)</f>
        <v>0</v>
      </c>
      <c r="U75" s="170">
        <f>IF(Escenarios!$E$14&gt;0,MAX(0,Constantes!$E$36/((Z74+R75+S75+T75+Observaciones!$F74)^2)+Entradas!$E$77),0)</f>
        <v>2.6610748646209643</v>
      </c>
      <c r="V75" s="146">
        <f>IF(ETo!D74&gt;0,ETo!I74*((1-Entradas!$E$81)*ETo!K74+ETo!L74),0)</f>
        <v>3.8492017616343404</v>
      </c>
      <c r="W75" s="170">
        <f>IF(Escenarios!$E$14&gt;0,MIN(V75*1,0.8*(Z74+R75+S75+T75+Observaciones!$F74-U75-Constantes!$E$35)),0)</f>
        <v>3.8492017616343404</v>
      </c>
      <c r="X75" s="170">
        <f>IF(Escenarios!$E$14&gt;0,Observaciones!$J74,0)</f>
        <v>0</v>
      </c>
      <c r="Y75" s="170">
        <f>IF(Escenarios!$E$14&gt;0,MAX(0,Z74+R75+S75+T75+Observaciones!$F74-U75-W75-X75-Constantes!$E$33),0)</f>
        <v>0</v>
      </c>
      <c r="Z75" s="170">
        <f>Z74+R75+S75+T75+Observaciones!$F74-U75-W75-Y75</f>
        <v>167.53594689600746</v>
      </c>
      <c r="AA75" s="170">
        <f>IF(Escenarios!$E$14&gt;0,(Escenarios!$E$13*L75+Escenarios!$E$14*W75)/(Escenarios!$E$16),L75)</f>
        <v>2.2909841452038502</v>
      </c>
      <c r="AB75" s="170">
        <f>IF(Escenarios!$E$14&gt;0,(Escenarios!$E$14*Y75)/(Escenarios!$E$16),K75)</f>
        <v>0</v>
      </c>
      <c r="AC75" s="170">
        <f>IF(Escenarios!$E$14&gt;0,(Escenarios!$E$13*M75+Escenarios!$E$14*U75)/(Escenarios!$E$16),M75)</f>
        <v>8.4752692724172451</v>
      </c>
      <c r="AD75" s="76">
        <f t="shared" si="15"/>
        <v>156.83759292940371</v>
      </c>
      <c r="AE75" s="76">
        <f>MAX(0,(AD75-Constantes!$D$13)*(1-EXP(-Constantes!$D$23)))</f>
        <v>1.0650127975923065</v>
      </c>
      <c r="AF75" s="76">
        <f>AB75+O75*Escenarios!$E$13/Escenarios!$E$16+AE75</f>
        <v>2.0924304686402042</v>
      </c>
      <c r="AG75" s="76">
        <f>IF(Entradas!$E$91&gt;0,IF(AF75-Escenarios!$E$38&lt;=0,0,IF(AF75-Escenarios!$E$38&gt;Escenarios!$E$37,Escenarios!$E$37,AF75-Escenarios!$E$38)),0)</f>
        <v>0</v>
      </c>
      <c r="AH75" s="76">
        <f>AG75*Entradas!$E$99</f>
        <v>0</v>
      </c>
      <c r="AI75" s="76">
        <f>IF(Entradas!$E$91&gt;0,D75*Entradas!$D$23/Escenarios!$E$16,0)</f>
        <v>0</v>
      </c>
      <c r="AJ75" s="76">
        <f>IF(Entradas!$E$91&gt;0,Entradas!$D$24*Entradas!$D$22/Escenarios!$E$16,0)</f>
        <v>0</v>
      </c>
      <c r="AK75" s="76">
        <f t="shared" si="24"/>
        <v>2.2909841452038502</v>
      </c>
      <c r="AL75" s="76">
        <f t="shared" si="25"/>
        <v>0</v>
      </c>
      <c r="AM75" s="76">
        <f t="shared" si="16"/>
        <v>0</v>
      </c>
      <c r="AN75" s="76">
        <f>MAX(0,O75*Escenarios!$E$13/Escenarios!$E$16-AM75)</f>
        <v>1.0274176710478977</v>
      </c>
      <c r="AO75" s="76">
        <f>AM75+AN75-O75*Escenarios!$E$13/Escenarios!$E$16</f>
        <v>0</v>
      </c>
      <c r="AP75" s="76">
        <f t="shared" si="14"/>
        <v>1.0650127975923065</v>
      </c>
      <c r="AQ75" s="76">
        <f t="shared" si="17"/>
        <v>0</v>
      </c>
      <c r="AR75" s="76">
        <f t="shared" si="18"/>
        <v>2.0924304686402042</v>
      </c>
      <c r="AS75" s="76">
        <f t="shared" si="19"/>
        <v>0</v>
      </c>
      <c r="AT75" s="76">
        <f t="shared" si="20"/>
        <v>8.4752692724172451</v>
      </c>
      <c r="AU75" s="76">
        <f t="shared" si="21"/>
        <v>48.75</v>
      </c>
      <c r="AV75" s="76">
        <f>MAX(0,(AU75-Constantes!$D$13)*(1-EXP(-Constantes!$D$24)))</f>
        <v>0</v>
      </c>
      <c r="AW75" s="170">
        <f>AW74+(Entradas!$E$112*AT75-AX74)/(800*Entradas!$D$25)</f>
        <v>0</v>
      </c>
      <c r="AX75" s="170">
        <f>8000*Entradas!$D$26*AW75/Constantes!$E$45</f>
        <v>0</v>
      </c>
      <c r="AY75" s="170">
        <f>IF(Escenarios!$E$17&gt;0,10*Escenarios!$E$16*AL75,0)</f>
        <v>0</v>
      </c>
      <c r="AZ75" s="170">
        <f>IF(Escenarios!$E$17&gt;0,10*Escenarios!$E$16*AX75,0)</f>
        <v>0</v>
      </c>
      <c r="BA75" s="170">
        <f>IF(Escenarios!$E$17&gt;0,0.001*Observaciones!$F74*Escenarios!$E$17,0)</f>
        <v>262</v>
      </c>
      <c r="BB75" s="170">
        <f>IF(Escenarios!$E$17&gt;0,Observaciones!$K74,0)</f>
        <v>0</v>
      </c>
      <c r="BC75" s="170">
        <f>IF(Escenarios!$E$17&gt;0,MIN(0.0005*ETo!$M74*Escenarios!$E$17*(BG74/Constantes!$E$40)^(2/3),BG74+AY75+AZ75+BA75+BB75),0)</f>
        <v>38.936369442009195</v>
      </c>
      <c r="BD75" s="170">
        <f>IF(Escenarios!$E$17&gt;0,MIN(Constantes!$E$39*(BG74/Constantes!$E$40)^(2/3),BG74+AY75+AZ75+BA75+BB75-BC75),0)</f>
        <v>64.959446543430175</v>
      </c>
      <c r="BE75" s="170">
        <f>IF(Escenarios!$E$17&gt;0,MIN(Entradas!$E$113,BG74+AY75+AZ75+BA75+BB75-BC75-BD75),0)</f>
        <v>1</v>
      </c>
      <c r="BF75" s="170">
        <f>IF(Escenarios!$E$17&gt;0,MAX(0,BG74+AY75+AZ75+BA75+BB75-BC75-BD75-BE75-Constantes!$E$40),0)</f>
        <v>0</v>
      </c>
      <c r="BG75" s="170">
        <f t="shared" si="26"/>
        <v>5035.0529500045295</v>
      </c>
      <c r="BH75" s="170">
        <f>(Escenarios!$E$16*AK75+0.1*BC75)/(Escenarios!$E$19)</f>
        <v>2.2882526716077916</v>
      </c>
      <c r="BI75" s="170">
        <f>IF(Escenarios!$E$17&gt;0,BF75/10/Escenarios!$E$19,AL75)</f>
        <v>0</v>
      </c>
      <c r="BJ75" s="170">
        <f>(Escenarios!$E$16*AT75+0.1*BD75)/(Escenarios!$E$19)</f>
        <v>8.4337827887248178</v>
      </c>
      <c r="BK75" s="76">
        <f>BK74+(0.1*BD75)/(Escenarios!$E$19)-BL74</f>
        <v>49.674864219108045</v>
      </c>
      <c r="BL75" s="76">
        <f>MAX(0,(BK75-Constantes!$D$13)*(1-EXP(-Constantes!$D$23)))</f>
        <v>9.112907436366174E-3</v>
      </c>
      <c r="BM75" s="76">
        <f t="shared" si="22"/>
        <v>1.0741257050286728</v>
      </c>
      <c r="BN75" s="76">
        <f t="shared" si="27"/>
        <v>2.1015433760765703</v>
      </c>
      <c r="BO75" s="76">
        <f>0.0526*BI75*Observaciones!$F74^1.218</f>
        <v>0</v>
      </c>
      <c r="BP75" s="76">
        <f>BO75*Constantes!$E$51</f>
        <v>0</v>
      </c>
      <c r="BQ75" s="76">
        <f t="shared" si="23"/>
        <v>0</v>
      </c>
      <c r="BR75" s="40"/>
    </row>
    <row r="76" spans="1:70">
      <c r="A76" s="147"/>
      <c r="B76" s="39"/>
      <c r="C76" s="75">
        <v>70</v>
      </c>
      <c r="D76" s="146">
        <f>ETo!$I75*((1-Constantes!$E$19)*ETo!$K75+ETo!$L75)</f>
        <v>4.1021173360501857</v>
      </c>
      <c r="E76" s="76">
        <f>MIN(D76*Constantes!$E$17,0.8*(N75+Observaciones!$F75-F76-M76-Constantes!$D$14))</f>
        <v>2.0055756751794278</v>
      </c>
      <c r="F76" s="76">
        <f>IF(Observaciones!$F75&gt;0.05*Constantes!$E$18,((Observaciones!$F75-0.05*Constantes!$E$18)^2)/(Observaciones!$F75+0.95*Constantes!$E$18),0)</f>
        <v>0</v>
      </c>
      <c r="G76" s="76">
        <f>IF(Escenarios!$E$11&gt;0,(F76*Escenarios!$E$16*10000)/1000,0)</f>
        <v>0</v>
      </c>
      <c r="H76" s="76">
        <f>IF(Escenarios!$E$11&gt;0,(Observaciones!$F75*Constantes!$E$29)/1000,0)</f>
        <v>54</v>
      </c>
      <c r="I76" s="76">
        <f>IF(Escenarios!$E$11&gt;0,(D76*Constantes!$E$29)/1000,0)</f>
        <v>41.021173360501862</v>
      </c>
      <c r="J76" s="76">
        <f>IF(Escenarios!$E$11&gt;0,MAX(0,G76+H76-I76),0)</f>
        <v>12.978826639498138</v>
      </c>
      <c r="K76" s="76">
        <f>IF(Escenarios!$E$11&gt;0,IF(J76&gt;Constantes!$E$30,1000*((J76-Constantes!$E$30)/(Escenarios!$E$16*10000)),0),F76)</f>
        <v>0</v>
      </c>
      <c r="L76" s="76">
        <f>IF(Escenarios!$E$11&gt;0,I76*1000/Escenarios!$E$16/10000+E76,E76)</f>
        <v>2.0219841445236284</v>
      </c>
      <c r="M76" s="76">
        <f>MAX(0,N75+Observaciones!$F75-K76-Constantes!$D$13)</f>
        <v>2.1746405154147155</v>
      </c>
      <c r="N76" s="76">
        <f>N75+Observaciones!$F75-K76-L76-M76-O75</f>
        <v>45.560495774740126</v>
      </c>
      <c r="O76" s="76">
        <f>MAX(0,(N76-Constantes!$D$14)*(1-EXP(-Constantes!$D$22)))</f>
        <v>1.1687414424962226</v>
      </c>
      <c r="P76" s="170">
        <f>P75+(Entradas!$E$83*M76-Q75)/(800*Entradas!$D$25)</f>
        <v>0</v>
      </c>
      <c r="Q76" s="170">
        <f>8000*Entradas!$D$26*P76/Constantes!$E$45</f>
        <v>0</v>
      </c>
      <c r="R76" s="170">
        <f>IF(Escenarios!$E$14&gt;0,K76*Escenarios!$E$13/Escenarios!$E$14,0)</f>
        <v>0</v>
      </c>
      <c r="S76" s="170">
        <f>IF(Escenarios!$E$14&gt;0,Q76*Escenarios!$E$13/Escenarios!$E$14,0)</f>
        <v>0</v>
      </c>
      <c r="T76" s="170">
        <f>IF(Escenarios!$E$14&gt;0,Observaciones!$I75,0)</f>
        <v>0</v>
      </c>
      <c r="U76" s="170">
        <f>IF(Escenarios!$E$14&gt;0,MAX(0,Constantes!$E$36/((Z75+R76+S76+T76+Observaciones!$F75)^2)+Entradas!$E$77),0)</f>
        <v>2.6567089867564722</v>
      </c>
      <c r="V76" s="146">
        <f>IF(ETo!D75&gt;0,ETo!I75*((1-Entradas!$E$81)*ETo!K75+ETo!L75),0)</f>
        <v>3.7430287733719441</v>
      </c>
      <c r="W76" s="170">
        <f>IF(Escenarios!$E$14&gt;0,MIN(V76*1,0.8*(Z75+R76+S76+T76+Observaciones!$F75-U76-Constantes!$E$35)),0)</f>
        <v>3.7430287733719441</v>
      </c>
      <c r="X76" s="170">
        <f>IF(Escenarios!$E$14&gt;0,Observaciones!$J75,0)</f>
        <v>0</v>
      </c>
      <c r="Y76" s="170">
        <f>IF(Escenarios!$E$14&gt;0,MAX(0,Z75+R76+S76+T76+Observaciones!$F75-U76-W76-X76-Constantes!$E$33),0)</f>
        <v>0</v>
      </c>
      <c r="Z76" s="170">
        <f>Z75+R76+S76+T76+Observaciones!$F75-U76-W76-Y76</f>
        <v>166.53620913587903</v>
      </c>
      <c r="AA76" s="170">
        <f>IF(Escenarios!$E$14&gt;0,(Escenarios!$E$13*L76+Escenarios!$E$14*W76)/(Escenarios!$E$16),L76)</f>
        <v>2.2285094999854262</v>
      </c>
      <c r="AB76" s="170">
        <f>IF(Escenarios!$E$14&gt;0,(Escenarios!$E$14*Y76)/(Escenarios!$E$16),K76)</f>
        <v>0</v>
      </c>
      <c r="AC76" s="170">
        <f>IF(Escenarios!$E$14&gt;0,(Escenarios!$E$13*M76+Escenarios!$E$14*U76)/(Escenarios!$E$16),M76)</f>
        <v>2.2324887319757263</v>
      </c>
      <c r="AD76" s="76">
        <f t="shared" si="15"/>
        <v>158.00506886378713</v>
      </c>
      <c r="AE76" s="76">
        <f>MAX(0,(AD76-Constantes!$D$13)*(1-EXP(-Constantes!$D$23)))</f>
        <v>1.0765162160448896</v>
      </c>
      <c r="AF76" s="76">
        <f>AB76+O76*Escenarios!$E$13/Escenarios!$E$16+AE76</f>
        <v>2.1050086854415655</v>
      </c>
      <c r="AG76" s="76">
        <f>IF(Entradas!$E$91&gt;0,IF(AF76-Escenarios!$E$38&lt;=0,0,IF(AF76-Escenarios!$E$38&gt;Escenarios!$E$37,Escenarios!$E$37,AF76-Escenarios!$E$38)),0)</f>
        <v>0</v>
      </c>
      <c r="AH76" s="76">
        <f>AG76*Entradas!$E$99</f>
        <v>0</v>
      </c>
      <c r="AI76" s="76">
        <f>IF(Entradas!$E$91&gt;0,D76*Entradas!$D$23/Escenarios!$E$16,0)</f>
        <v>0</v>
      </c>
      <c r="AJ76" s="76">
        <f>IF(Entradas!$E$91&gt;0,Entradas!$D$24*Entradas!$D$22/Escenarios!$E$16,0)</f>
        <v>0</v>
      </c>
      <c r="AK76" s="76">
        <f t="shared" si="24"/>
        <v>2.2285094999854262</v>
      </c>
      <c r="AL76" s="76">
        <f t="shared" si="25"/>
        <v>0</v>
      </c>
      <c r="AM76" s="76">
        <f t="shared" si="16"/>
        <v>0</v>
      </c>
      <c r="AN76" s="76">
        <f>MAX(0,O76*Escenarios!$E$13/Escenarios!$E$16-AM76)</f>
        <v>1.0284924693966759</v>
      </c>
      <c r="AO76" s="76">
        <f>AM76+AN76-O76*Escenarios!$E$13/Escenarios!$E$16</f>
        <v>0</v>
      </c>
      <c r="AP76" s="76">
        <f t="shared" si="14"/>
        <v>1.0765162160448896</v>
      </c>
      <c r="AQ76" s="76">
        <f t="shared" si="17"/>
        <v>0</v>
      </c>
      <c r="AR76" s="76">
        <f t="shared" si="18"/>
        <v>2.1050086854415655</v>
      </c>
      <c r="AS76" s="76">
        <f t="shared" si="19"/>
        <v>0</v>
      </c>
      <c r="AT76" s="76">
        <f t="shared" si="20"/>
        <v>2.2324887319757263</v>
      </c>
      <c r="AU76" s="76">
        <f t="shared" si="21"/>
        <v>48.75</v>
      </c>
      <c r="AV76" s="76">
        <f>MAX(0,(AU76-Constantes!$D$13)*(1-EXP(-Constantes!$D$24)))</f>
        <v>0</v>
      </c>
      <c r="AW76" s="170">
        <f>AW75+(Entradas!$E$112*AT76-AX75)/(800*Entradas!$D$25)</f>
        <v>0</v>
      </c>
      <c r="AX76" s="170">
        <f>8000*Entradas!$D$26*AW76/Constantes!$E$45</f>
        <v>0</v>
      </c>
      <c r="AY76" s="170">
        <f>IF(Escenarios!$E$17&gt;0,10*Escenarios!$E$16*AL76,0)</f>
        <v>0</v>
      </c>
      <c r="AZ76" s="170">
        <f>IF(Escenarios!$E$17&gt;0,10*Escenarios!$E$16*AX76,0)</f>
        <v>0</v>
      </c>
      <c r="BA76" s="170">
        <f>IF(Escenarios!$E$17&gt;0,0.001*Observaciones!$F75*Escenarios!$E$17,0)</f>
        <v>108</v>
      </c>
      <c r="BB76" s="170">
        <f>IF(Escenarios!$E$17&gt;0,Observaciones!$K75,0)</f>
        <v>214.33512376174872</v>
      </c>
      <c r="BC76" s="170">
        <f>IF(Escenarios!$E$17&gt;0,MIN(0.0005*ETo!$M75*Escenarios!$E$17*(BG75/Constantes!$E$40)^(2/3),BG75+AY76+AZ76+BA76+BB76),0)</f>
        <v>38.706357979621657</v>
      </c>
      <c r="BD76" s="170">
        <f>IF(Escenarios!$E$17&gt;0,MIN(Constantes!$E$39*(BG75/Constantes!$E$40)^(2/3),BG75+AY76+AZ76+BA76+BB76-BC76),0)</f>
        <v>66.346831573825554</v>
      </c>
      <c r="BE76" s="170">
        <f>IF(Escenarios!$E$17&gt;0,MIN(Entradas!$E$113,BG75+AY76+AZ76+BA76+BB76-BC76-BD76),0)</f>
        <v>1</v>
      </c>
      <c r="BF76" s="170">
        <f>IF(Escenarios!$E$17&gt;0,MAX(0,BG75+AY76+AZ76+BA76+BB76-BC76-BD76-BE76-Constantes!$E$40),0)</f>
        <v>0</v>
      </c>
      <c r="BG76" s="170">
        <f t="shared" si="26"/>
        <v>5251.3348842128316</v>
      </c>
      <c r="BH76" s="170">
        <f>(Escenarios!$E$16*AK76+0.1*BC76)/(Escenarios!$E$19)</f>
        <v>2.2261825825171382</v>
      </c>
      <c r="BI76" s="170">
        <f>IF(Escenarios!$E$17&gt;0,BF76/10/Escenarios!$E$19,AL76)</f>
        <v>0</v>
      </c>
      <c r="BJ76" s="170">
        <f>(Escenarios!$E$16*AT76+0.1*BD76)/(Escenarios!$E$19)</f>
        <v>2.2410986752036277</v>
      </c>
      <c r="BK76" s="76">
        <f>BK75+(0.1*BD76)/(Escenarios!$E$19)-BL75</f>
        <v>49.692079419439068</v>
      </c>
      <c r="BL76" s="76">
        <f>MAX(0,(BK76-Constantes!$D$13)*(1-EXP(-Constantes!$D$23)))</f>
        <v>9.2825329055690065E-3</v>
      </c>
      <c r="BM76" s="76">
        <f t="shared" si="22"/>
        <v>1.0857987489504586</v>
      </c>
      <c r="BN76" s="76">
        <f t="shared" si="27"/>
        <v>2.1142912183471343</v>
      </c>
      <c r="BO76" s="76">
        <f>0.0526*BI76*Observaciones!$F75^1.218</f>
        <v>0</v>
      </c>
      <c r="BP76" s="76">
        <f>BO76*Constantes!$E$51</f>
        <v>0</v>
      </c>
      <c r="BQ76" s="76">
        <f t="shared" si="23"/>
        <v>0</v>
      </c>
      <c r="BR76" s="40"/>
    </row>
    <row r="77" spans="1:70">
      <c r="A77" s="147"/>
      <c r="B77" s="39"/>
      <c r="C77" s="75">
        <v>71</v>
      </c>
      <c r="D77" s="146">
        <f>ETo!$I76*((1-Constantes!$E$19)*ETo!$K76+ETo!$L76)</f>
        <v>4.1339590925417156</v>
      </c>
      <c r="E77" s="76">
        <f>MIN(D77*Constantes!$E$17,0.8*(N76+Observaciones!$F76-F77-M77-Constantes!$D$14))</f>
        <v>2.0211435019973436</v>
      </c>
      <c r="F77" s="76">
        <f>IF(Observaciones!$F76&gt;0.05*Constantes!$E$18,((Observaciones!$F76-0.05*Constantes!$E$18)^2)/(Observaciones!$F76+0.95*Constantes!$E$18),0)</f>
        <v>1.5041441265922859</v>
      </c>
      <c r="G77" s="76">
        <f>IF(Escenarios!$E$11&gt;0,(F77*Escenarios!$E$16*10000)/1000,0)</f>
        <v>3760.3603164807146</v>
      </c>
      <c r="H77" s="76">
        <f>IF(Escenarios!$E$11&gt;0,(Observaciones!$F76*Constantes!$E$29)/1000,0)</f>
        <v>201</v>
      </c>
      <c r="I77" s="76">
        <f>IF(Escenarios!$E$11&gt;0,(D77*Constantes!$E$29)/1000,0)</f>
        <v>41.339590925417156</v>
      </c>
      <c r="J77" s="76">
        <f>IF(Escenarios!$E$11&gt;0,MAX(0,G77+H77-I77),0)</f>
        <v>3920.0207255552973</v>
      </c>
      <c r="K77" s="76">
        <f>IF(Escenarios!$E$11&gt;0,IF(J77&gt;Constantes!$E$30,1000*((J77-Constantes!$E$30)/(Escenarios!$E$16*10000)),0),F77)</f>
        <v>1.0533024078691777</v>
      </c>
      <c r="L77" s="76">
        <f>IF(Escenarios!$E$11&gt;0,I77*1000/Escenarios!$E$16/10000+E77,E77)</f>
        <v>2.0376793383675103</v>
      </c>
      <c r="M77" s="76">
        <f>MAX(0,N76+Observaciones!$F76-K77-Constantes!$D$13)</f>
        <v>15.857193366870945</v>
      </c>
      <c r="N77" s="76">
        <f>N76+Observaciones!$F76-K77-L77-M77-O76</f>
        <v>45.543579219136269</v>
      </c>
      <c r="O77" s="76">
        <f>MAX(0,(N77-Constantes!$D$14)*(1-EXP(-Constantes!$D$22)))</f>
        <v>1.1681652025104081</v>
      </c>
      <c r="P77" s="170">
        <f>P76+(Entradas!$E$83*M77-Q76)/(800*Entradas!$D$25)</f>
        <v>0</v>
      </c>
      <c r="Q77" s="170">
        <f>8000*Entradas!$D$26*P77/Constantes!$E$45</f>
        <v>0</v>
      </c>
      <c r="R77" s="170">
        <f>IF(Escenarios!$E$14&gt;0,K77*Escenarios!$E$13/Escenarios!$E$14,0)</f>
        <v>7.7242176577073032</v>
      </c>
      <c r="S77" s="170">
        <f>IF(Escenarios!$E$14&gt;0,Q77*Escenarios!$E$13/Escenarios!$E$14,0)</f>
        <v>0</v>
      </c>
      <c r="T77" s="170">
        <f>IF(Escenarios!$E$14&gt;0,Observaciones!$I76,0)</f>
        <v>0</v>
      </c>
      <c r="U77" s="170">
        <f>IF(Escenarios!$E$14&gt;0,MAX(0,Constantes!$E$36/((Z76+R77+S77+T77+Observaciones!$F76)^2)+Entradas!$E$77),0)</f>
        <v>2.728220122361102</v>
      </c>
      <c r="V77" s="146">
        <f>IF(ETo!D76&gt;0,ETo!I76*((1-Entradas!$E$81)*ETo!K76+ETo!L76),0)</f>
        <v>3.7723181280478304</v>
      </c>
      <c r="W77" s="170">
        <f>IF(Escenarios!$E$14&gt;0,MIN(V77*1,0.8*(Z76+R77+S77+T77+Observaciones!$F76-U77-Constantes!$E$35)),0)</f>
        <v>3.7723181280478304</v>
      </c>
      <c r="X77" s="170">
        <f>IF(Escenarios!$E$14&gt;0,Observaciones!$J76,0)</f>
        <v>0</v>
      </c>
      <c r="Y77" s="170">
        <f>IF(Escenarios!$E$14&gt;0,MAX(0,Z76+R77+S77+T77+Observaciones!$F76-U77-W77-X77-Constantes!$E$33),0)</f>
        <v>0</v>
      </c>
      <c r="Z77" s="170">
        <f>Z76+R77+S77+T77+Observaciones!$F76-U77-W77-Y77</f>
        <v>187.85988854317739</v>
      </c>
      <c r="AA77" s="170">
        <f>IF(Escenarios!$E$14&gt;0,(Escenarios!$E$13*L77+Escenarios!$E$14*W77)/(Escenarios!$E$16),L77)</f>
        <v>2.2458359931291487</v>
      </c>
      <c r="AB77" s="170">
        <f>IF(Escenarios!$E$14&gt;0,(Escenarios!$E$14*Y77)/(Escenarios!$E$16),K77)</f>
        <v>0</v>
      </c>
      <c r="AC77" s="170">
        <f>IF(Escenarios!$E$14&gt;0,(Escenarios!$E$13*M77+Escenarios!$E$14*U77)/(Escenarios!$E$16),M77)</f>
        <v>14.281716577529766</v>
      </c>
      <c r="AD77" s="76">
        <f t="shared" si="15"/>
        <v>171.21026922527201</v>
      </c>
      <c r="AE77" s="76">
        <f>MAX(0,(AD77-Constantes!$D$13)*(1-EXP(-Constantes!$D$23)))</f>
        <v>1.2066302004402818</v>
      </c>
      <c r="AF77" s="76">
        <f>AB77+O77*Escenarios!$E$13/Escenarios!$E$16+AE77</f>
        <v>2.234615578649441</v>
      </c>
      <c r="AG77" s="76">
        <f>IF(Entradas!$E$91&gt;0,IF(AF77-Escenarios!$E$38&lt;=0,0,IF(AF77-Escenarios!$E$38&gt;Escenarios!$E$37,Escenarios!$E$37,AF77-Escenarios!$E$38)),0)</f>
        <v>0</v>
      </c>
      <c r="AH77" s="76">
        <f>AG77*Entradas!$E$99</f>
        <v>0</v>
      </c>
      <c r="AI77" s="76">
        <f>IF(Entradas!$E$91&gt;0,D77*Entradas!$D$23/Escenarios!$E$16,0)</f>
        <v>0</v>
      </c>
      <c r="AJ77" s="76">
        <f>IF(Entradas!$E$91&gt;0,Entradas!$D$24*Entradas!$D$22/Escenarios!$E$16,0)</f>
        <v>0</v>
      </c>
      <c r="AK77" s="76">
        <f t="shared" si="24"/>
        <v>2.2458359931291487</v>
      </c>
      <c r="AL77" s="76">
        <f t="shared" si="25"/>
        <v>0</v>
      </c>
      <c r="AM77" s="76">
        <f t="shared" si="16"/>
        <v>0</v>
      </c>
      <c r="AN77" s="76">
        <f>MAX(0,O77*Escenarios!$E$13/Escenarios!$E$16-AM77)</f>
        <v>1.027985378209159</v>
      </c>
      <c r="AO77" s="76">
        <f>AM77+AN77-O77*Escenarios!$E$13/Escenarios!$E$16</f>
        <v>0</v>
      </c>
      <c r="AP77" s="76">
        <f t="shared" si="14"/>
        <v>1.2066302004402818</v>
      </c>
      <c r="AQ77" s="76">
        <f t="shared" si="17"/>
        <v>0</v>
      </c>
      <c r="AR77" s="76">
        <f t="shared" si="18"/>
        <v>2.234615578649441</v>
      </c>
      <c r="AS77" s="76">
        <f t="shared" si="19"/>
        <v>0</v>
      </c>
      <c r="AT77" s="76">
        <f t="shared" si="20"/>
        <v>14.281716577529766</v>
      </c>
      <c r="AU77" s="76">
        <f t="shared" si="21"/>
        <v>48.75</v>
      </c>
      <c r="AV77" s="76">
        <f>MAX(0,(AU77-Constantes!$D$13)*(1-EXP(-Constantes!$D$24)))</f>
        <v>0</v>
      </c>
      <c r="AW77" s="170">
        <f>AW76+(Entradas!$E$112*AT77-AX76)/(800*Entradas!$D$25)</f>
        <v>0</v>
      </c>
      <c r="AX77" s="170">
        <f>8000*Entradas!$D$26*AW77/Constantes!$E$45</f>
        <v>0</v>
      </c>
      <c r="AY77" s="170">
        <f>IF(Escenarios!$E$17&gt;0,10*Escenarios!$E$16*AL77,0)</f>
        <v>0</v>
      </c>
      <c r="AZ77" s="170">
        <f>IF(Escenarios!$E$17&gt;0,10*Escenarios!$E$16*AX77,0)</f>
        <v>0</v>
      </c>
      <c r="BA77" s="170">
        <f>IF(Escenarios!$E$17&gt;0,0.001*Observaciones!$F76*Escenarios!$E$17,0)</f>
        <v>402.00000000000006</v>
      </c>
      <c r="BB77" s="170">
        <f>IF(Escenarios!$E$17&gt;0,Observaciones!$K76,0)</f>
        <v>4.0469119425200182</v>
      </c>
      <c r="BC77" s="170">
        <f>IF(Escenarios!$E$17&gt;0,MIN(0.0005*ETo!$M76*Escenarios!$E$17*(BG76/Constantes!$E$40)^(2/3),BG76+AY77+AZ77+BA77+BB77),0)</f>
        <v>40.112837391365034</v>
      </c>
      <c r="BD77" s="170">
        <f>IF(Escenarios!$E$17&gt;0,MIN(Constantes!$E$39*(BG76/Constantes!$E$40)^(2/3),BG76+AY77+AZ77+BA77+BB77-BC77),0)</f>
        <v>68.233445648669075</v>
      </c>
      <c r="BE77" s="170">
        <f>IF(Escenarios!$E$17&gt;0,MIN(Entradas!$E$113,BG76+AY77+AZ77+BA77+BB77-BC77-BD77),0)</f>
        <v>1</v>
      </c>
      <c r="BF77" s="170">
        <f>IF(Escenarios!$E$17&gt;0,MAX(0,BG76+AY77+AZ77+BA77+BB77-BC77-BD77-BE77-Constantes!$E$40),0)</f>
        <v>0</v>
      </c>
      <c r="BG77" s="170">
        <f t="shared" si="26"/>
        <v>5548.0355131153174</v>
      </c>
      <c r="BH77" s="170">
        <f>(Escenarios!$E$16*AK77+0.1*BC77)/(Escenarios!$E$19)</f>
        <v>2.2439296905612052</v>
      </c>
      <c r="BI77" s="170">
        <f>IF(Escenarios!$E$17&gt;0,BF77/10/Escenarios!$E$19,AL77)</f>
        <v>0</v>
      </c>
      <c r="BJ77" s="170">
        <f>(Escenarios!$E$16*AT77+0.1*BD77)/(Escenarios!$E$19)</f>
        <v>14.195446384711541</v>
      </c>
      <c r="BK77" s="76">
        <f>BK76+(0.1*BD77)/(Escenarios!$E$19)-BL76</f>
        <v>49.709873650679796</v>
      </c>
      <c r="BL77" s="76">
        <f>MAX(0,(BK77-Constantes!$D$13)*(1-EXP(-Constantes!$D$23)))</f>
        <v>9.457863704239582E-3</v>
      </c>
      <c r="BM77" s="76">
        <f t="shared" si="22"/>
        <v>1.2160880641445213</v>
      </c>
      <c r="BN77" s="76">
        <f t="shared" si="27"/>
        <v>2.2440734423536806</v>
      </c>
      <c r="BO77" s="76">
        <f>0.0526*BI77*Observaciones!$F76^1.218</f>
        <v>0</v>
      </c>
      <c r="BP77" s="76">
        <f>BO77*Constantes!$E$51</f>
        <v>0</v>
      </c>
      <c r="BQ77" s="76">
        <f t="shared" si="23"/>
        <v>0</v>
      </c>
      <c r="BR77" s="40"/>
    </row>
    <row r="78" spans="1:70">
      <c r="A78" s="147"/>
      <c r="B78" s="39"/>
      <c r="C78" s="75">
        <v>72</v>
      </c>
      <c r="D78" s="146">
        <f>ETo!$I77*((1-Constantes!$E$19)*ETo!$K77+ETo!$L77)</f>
        <v>4.1266897650484804</v>
      </c>
      <c r="E78" s="76">
        <f>MIN(D78*Constantes!$E$17,0.8*(N77+Observaciones!$F77-F78-M78-Constantes!$D$14))</f>
        <v>2.0175894382782928</v>
      </c>
      <c r="F78" s="76">
        <f>IF(Observaciones!$F77&gt;0.05*Constantes!$E$18,((Observaciones!$F77-0.05*Constantes!$E$18)^2)/(Observaciones!$F77+0.95*Constantes!$E$18),0)</f>
        <v>5.3544547823321832E-2</v>
      </c>
      <c r="G78" s="76">
        <f>IF(Escenarios!$E$11&gt;0,(F78*Escenarios!$E$16*10000)/1000,0)</f>
        <v>133.86136955830457</v>
      </c>
      <c r="H78" s="76">
        <f>IF(Escenarios!$E$11&gt;0,(Observaciones!$F77*Constantes!$E$29)/1000,0)</f>
        <v>85</v>
      </c>
      <c r="I78" s="76">
        <f>IF(Escenarios!$E$11&gt;0,(D78*Constantes!$E$29)/1000,0)</f>
        <v>41.2668976504848</v>
      </c>
      <c r="J78" s="76">
        <f>IF(Escenarios!$E$11&gt;0,MAX(0,G78+H78-I78),0)</f>
        <v>177.59447190781978</v>
      </c>
      <c r="K78" s="76">
        <f>IF(Escenarios!$E$11&gt;0,IF(J78&gt;Constantes!$E$30,1000*((J78-Constantes!$E$30)/(Escenarios!$E$16*10000)),0),F78)</f>
        <v>0</v>
      </c>
      <c r="L78" s="76">
        <f>IF(Escenarios!$E$11&gt;0,I78*1000/Escenarios!$E$16/10000+E78,E78)</f>
        <v>2.0340961973384868</v>
      </c>
      <c r="M78" s="76">
        <f>MAX(0,N77+Observaciones!$F77-K78-Constantes!$D$13)</f>
        <v>5.2935792191362694</v>
      </c>
      <c r="N78" s="76">
        <f>N77+Observaciones!$F77-K78-L78-M78-O77</f>
        <v>45.547738600151106</v>
      </c>
      <c r="O78" s="76">
        <f>MAX(0,(N78-Constantes!$D$14)*(1-EXP(-Constantes!$D$22)))</f>
        <v>1.1683068862971737</v>
      </c>
      <c r="P78" s="170">
        <f>P77+(Entradas!$E$83*M78-Q77)/(800*Entradas!$D$25)</f>
        <v>0</v>
      </c>
      <c r="Q78" s="170">
        <f>8000*Entradas!$D$26*P78/Constantes!$E$45</f>
        <v>0</v>
      </c>
      <c r="R78" s="170">
        <f>IF(Escenarios!$E$14&gt;0,K78*Escenarios!$E$13/Escenarios!$E$14,0)</f>
        <v>0</v>
      </c>
      <c r="S78" s="170">
        <f>IF(Escenarios!$E$14&gt;0,Q78*Escenarios!$E$13/Escenarios!$E$14,0)</f>
        <v>0</v>
      </c>
      <c r="T78" s="170">
        <f>IF(Escenarios!$E$14&gt;0,Observaciones!$I77,0)</f>
        <v>0</v>
      </c>
      <c r="U78" s="170">
        <f>IF(Escenarios!$E$14&gt;0,MAX(0,Constantes!$E$36/((Z77+R78+S78+T78+Observaciones!$F77)^2)+Entradas!$E$77),0)</f>
        <v>2.7337268150182998</v>
      </c>
      <c r="V78" s="146">
        <f>IF(ETo!D77&gt;0,ETo!I77*((1-Entradas!$E$81)*ETo!K77+ETo!L77),0)</f>
        <v>3.7654616265879537</v>
      </c>
      <c r="W78" s="170">
        <f>IF(Escenarios!$E$14&gt;0,MIN(V78*1,0.8*(Z77+R78+S78+T78+Observaciones!$F77-U78-Constantes!$E$35)),0)</f>
        <v>3.7654616265879537</v>
      </c>
      <c r="X78" s="170">
        <f>IF(Escenarios!$E$14&gt;0,Observaciones!$J77,0)</f>
        <v>0</v>
      </c>
      <c r="Y78" s="170">
        <f>IF(Escenarios!$E$14&gt;0,MAX(0,Z77+R78+S78+T78+Observaciones!$F77-U78-W78-X78-Constantes!$E$33),0)</f>
        <v>0</v>
      </c>
      <c r="Z78" s="170">
        <f>Z77+R78+S78+T78+Observaciones!$F77-U78-W78-Y78</f>
        <v>189.86070010157115</v>
      </c>
      <c r="AA78" s="170">
        <f>IF(Escenarios!$E$14&gt;0,(Escenarios!$E$13*L78+Escenarios!$E$14*W78)/(Escenarios!$E$16),L78)</f>
        <v>2.2418600488484226</v>
      </c>
      <c r="AB78" s="170">
        <f>IF(Escenarios!$E$14&gt;0,(Escenarios!$E$14*Y78)/(Escenarios!$E$16),K78)</f>
        <v>0</v>
      </c>
      <c r="AC78" s="170">
        <f>IF(Escenarios!$E$14&gt;0,(Escenarios!$E$13*M78+Escenarios!$E$14*U78)/(Escenarios!$E$16),M78)</f>
        <v>4.9863969306421128</v>
      </c>
      <c r="AD78" s="76">
        <f t="shared" si="15"/>
        <v>174.99003595547384</v>
      </c>
      <c r="AE78" s="76">
        <f>MAX(0,(AD78-Constantes!$D$13)*(1-EXP(-Constantes!$D$23)))</f>
        <v>1.2438731423032559</v>
      </c>
      <c r="AF78" s="76">
        <f>AB78+O78*Escenarios!$E$13/Escenarios!$E$16+AE78</f>
        <v>2.271983202244769</v>
      </c>
      <c r="AG78" s="76">
        <f>IF(Entradas!$E$91&gt;0,IF(AF78-Escenarios!$E$38&lt;=0,0,IF(AF78-Escenarios!$E$38&gt;Escenarios!$E$37,Escenarios!$E$37,AF78-Escenarios!$E$38)),0)</f>
        <v>0</v>
      </c>
      <c r="AH78" s="76">
        <f>AG78*Entradas!$E$99</f>
        <v>0</v>
      </c>
      <c r="AI78" s="76">
        <f>IF(Entradas!$E$91&gt;0,D78*Entradas!$D$23/Escenarios!$E$16,0)</f>
        <v>0</v>
      </c>
      <c r="AJ78" s="76">
        <f>IF(Entradas!$E$91&gt;0,Entradas!$D$24*Entradas!$D$22/Escenarios!$E$16,0)</f>
        <v>0</v>
      </c>
      <c r="AK78" s="76">
        <f t="shared" si="24"/>
        <v>2.2418600488484226</v>
      </c>
      <c r="AL78" s="76">
        <f t="shared" si="25"/>
        <v>0</v>
      </c>
      <c r="AM78" s="76">
        <f t="shared" si="16"/>
        <v>0</v>
      </c>
      <c r="AN78" s="76">
        <f>MAX(0,O78*Escenarios!$E$13/Escenarios!$E$16-AM78)</f>
        <v>1.0281100599415129</v>
      </c>
      <c r="AO78" s="76">
        <f>AM78+AN78-O78*Escenarios!$E$13/Escenarios!$E$16</f>
        <v>0</v>
      </c>
      <c r="AP78" s="76">
        <f t="shared" si="14"/>
        <v>1.2438731423032559</v>
      </c>
      <c r="AQ78" s="76">
        <f t="shared" si="17"/>
        <v>0</v>
      </c>
      <c r="AR78" s="76">
        <f t="shared" si="18"/>
        <v>2.271983202244769</v>
      </c>
      <c r="AS78" s="76">
        <f t="shared" si="19"/>
        <v>0</v>
      </c>
      <c r="AT78" s="76">
        <f t="shared" si="20"/>
        <v>4.9863969306421128</v>
      </c>
      <c r="AU78" s="76">
        <f t="shared" si="21"/>
        <v>48.75</v>
      </c>
      <c r="AV78" s="76">
        <f>MAX(0,(AU78-Constantes!$D$13)*(1-EXP(-Constantes!$D$24)))</f>
        <v>0</v>
      </c>
      <c r="AW78" s="170">
        <f>AW77+(Entradas!$E$112*AT78-AX77)/(800*Entradas!$D$25)</f>
        <v>0</v>
      </c>
      <c r="AX78" s="170">
        <f>8000*Entradas!$D$26*AW78/Constantes!$E$45</f>
        <v>0</v>
      </c>
      <c r="AY78" s="170">
        <f>IF(Escenarios!$E$17&gt;0,10*Escenarios!$E$16*AL78,0)</f>
        <v>0</v>
      </c>
      <c r="AZ78" s="170">
        <f>IF(Escenarios!$E$17&gt;0,10*Escenarios!$E$16*AX78,0)</f>
        <v>0</v>
      </c>
      <c r="BA78" s="170">
        <f>IF(Escenarios!$E$17&gt;0,0.001*Observaciones!$F77*Escenarios!$E$17,0)</f>
        <v>170</v>
      </c>
      <c r="BB78" s="170">
        <f>IF(Escenarios!$E$17&gt;0,Observaciones!$K77,0)</f>
        <v>0</v>
      </c>
      <c r="BC78" s="170">
        <f>IF(Escenarios!$E$17&gt;0,MIN(0.0005*ETo!$M77*Escenarios!$E$17*(BG77/Constantes!$E$40)^(2/3),BG77+AY78+AZ78+BA78+BB78),0)</f>
        <v>41.539810814664762</v>
      </c>
      <c r="BD78" s="170">
        <f>IF(Escenarios!$E$17&gt;0,MIN(Constantes!$E$39*(BG77/Constantes!$E$40)^(2/3),BG77+AY78+AZ78+BA78+BB78-BC78),0)</f>
        <v>70.779960280505691</v>
      </c>
      <c r="BE78" s="170">
        <f>IF(Escenarios!$E$17&gt;0,MIN(Entradas!$E$113,BG77+AY78+AZ78+BA78+BB78-BC78-BD78),0)</f>
        <v>1</v>
      </c>
      <c r="BF78" s="170">
        <f>IF(Escenarios!$E$17&gt;0,MAX(0,BG77+AY78+AZ78+BA78+BB78-BC78-BD78-BE78-Constantes!$E$40),0)</f>
        <v>0</v>
      </c>
      <c r="BG78" s="170">
        <f t="shared" si="26"/>
        <v>5604.7157420201474</v>
      </c>
      <c r="BH78" s="170">
        <f>(Escenarios!$E$16*AK78+0.1*BC78)/(Escenarios!$E$19)</f>
        <v>2.240551560688778</v>
      </c>
      <c r="BI78" s="170">
        <f>IF(Escenarios!$E$17&gt;0,BF78/10/Escenarios!$E$19,AL78)</f>
        <v>0</v>
      </c>
      <c r="BJ78" s="170">
        <f>(Escenarios!$E$16*AT78+0.1*BD78)/(Escenarios!$E$19)</f>
        <v>4.9749096376530906</v>
      </c>
      <c r="BK78" s="76">
        <f>BK77+(0.1*BD78)/(Escenarios!$E$19)-BL77</f>
        <v>49.728503072801153</v>
      </c>
      <c r="BL78" s="76">
        <f>MAX(0,(BK78-Constantes!$D$13)*(1-EXP(-Constantes!$D$23)))</f>
        <v>9.6414238375839637E-3</v>
      </c>
      <c r="BM78" s="76">
        <f t="shared" si="22"/>
        <v>1.2535145661408398</v>
      </c>
      <c r="BN78" s="76">
        <f t="shared" si="27"/>
        <v>2.2816246260823529</v>
      </c>
      <c r="BO78" s="76">
        <f>0.0526*BI78*Observaciones!$F77^1.218</f>
        <v>0</v>
      </c>
      <c r="BP78" s="76">
        <f>BO78*Constantes!$E$51</f>
        <v>0</v>
      </c>
      <c r="BQ78" s="76">
        <f t="shared" si="23"/>
        <v>0</v>
      </c>
      <c r="BR78" s="40"/>
    </row>
    <row r="79" spans="1:70">
      <c r="A79" s="147"/>
      <c r="B79" s="39"/>
      <c r="C79" s="75">
        <v>73</v>
      </c>
      <c r="D79" s="146">
        <f>ETo!$I78*((1-Constantes!$E$19)*ETo!$K78+ETo!$L78)</f>
        <v>3.9650672775068667</v>
      </c>
      <c r="E79" s="76">
        <f>MIN(D79*Constantes!$E$17,0.8*(N78+Observaciones!$F78-F79-M79-Constantes!$D$14))</f>
        <v>1.9385702140530878</v>
      </c>
      <c r="F79" s="76">
        <f>IF(Observaciones!$F78&gt;0.05*Constantes!$E$18,((Observaciones!$F78-0.05*Constantes!$E$18)^2)/(Observaciones!$F78+0.95*Constantes!$E$18),0)</f>
        <v>0</v>
      </c>
      <c r="G79" s="76">
        <f>IF(Escenarios!$E$11&gt;0,(F79*Escenarios!$E$16*10000)/1000,0)</f>
        <v>0</v>
      </c>
      <c r="H79" s="76">
        <f>IF(Escenarios!$E$11&gt;0,(Observaciones!$F78*Constantes!$E$29)/1000,0)</f>
        <v>34</v>
      </c>
      <c r="I79" s="76">
        <f>IF(Escenarios!$E$11&gt;0,(D79*Constantes!$E$29)/1000,0)</f>
        <v>39.650672775068671</v>
      </c>
      <c r="J79" s="76">
        <f>IF(Escenarios!$E$11&gt;0,MAX(0,G79+H79-I79),0)</f>
        <v>0</v>
      </c>
      <c r="K79" s="76">
        <f>IF(Escenarios!$E$11&gt;0,IF(J79&gt;Constantes!$E$30,1000*((J79-Constantes!$E$30)/(Escenarios!$E$16*10000)),0),F79)</f>
        <v>0</v>
      </c>
      <c r="L79" s="76">
        <f>IF(Escenarios!$E$11&gt;0,I79*1000/Escenarios!$E$16/10000+E79,E79)</f>
        <v>1.9544304831631152</v>
      </c>
      <c r="M79" s="76">
        <f>MAX(0,N78+Observaciones!$F78-K79-Constantes!$D$13)</f>
        <v>0.197738600151105</v>
      </c>
      <c r="N79" s="76">
        <f>N78+Observaciones!$F78-K79-L79-M79-O78</f>
        <v>45.627262630539711</v>
      </c>
      <c r="O79" s="76">
        <f>MAX(0,(N79-Constantes!$D$14)*(1-EXP(-Constantes!$D$22)))</f>
        <v>1.1710157667109018</v>
      </c>
      <c r="P79" s="170">
        <f>P78+(Entradas!$E$83*M79-Q78)/(800*Entradas!$D$25)</f>
        <v>0</v>
      </c>
      <c r="Q79" s="170">
        <f>8000*Entradas!$D$26*P79/Constantes!$E$45</f>
        <v>0</v>
      </c>
      <c r="R79" s="170">
        <f>IF(Escenarios!$E$14&gt;0,K79*Escenarios!$E$13/Escenarios!$E$14,0)</f>
        <v>0</v>
      </c>
      <c r="S79" s="170">
        <f>IF(Escenarios!$E$14&gt;0,Q79*Escenarios!$E$13/Escenarios!$E$14,0)</f>
        <v>0</v>
      </c>
      <c r="T79" s="170">
        <f>IF(Escenarios!$E$14&gt;0,Observaciones!$I78,0)</f>
        <v>0</v>
      </c>
      <c r="U79" s="170">
        <f>IF(Escenarios!$E$14&gt;0,MAX(0,Constantes!$E$36/((Z78+R79+S79+T79+Observaciones!$F78)^2)+Entradas!$E$77),0)</f>
        <v>2.7251182608225371</v>
      </c>
      <c r="V79" s="146">
        <f>IF(ETo!D78&gt;0,ETo!I78*((1-Entradas!$E$81)*ETo!K78+ETo!L78),0)</f>
        <v>3.616146159956382</v>
      </c>
      <c r="W79" s="170">
        <f>IF(Escenarios!$E$14&gt;0,MIN(V79*1,0.8*(Z78+R79+S79+T79+Observaciones!$F78-U79-Constantes!$E$35)),0)</f>
        <v>3.616146159956382</v>
      </c>
      <c r="X79" s="170">
        <f>IF(Escenarios!$E$14&gt;0,Observaciones!$J78,0)</f>
        <v>0</v>
      </c>
      <c r="Y79" s="170">
        <f>IF(Escenarios!$E$14&gt;0,MAX(0,Z78+R79+S79+T79+Observaciones!$F78-U79-W79-X79-Constantes!$E$33),0)</f>
        <v>0</v>
      </c>
      <c r="Z79" s="170">
        <f>Z78+R79+S79+T79+Observaciones!$F78-U79-W79-Y79</f>
        <v>186.91943568079225</v>
      </c>
      <c r="AA79" s="170">
        <f>IF(Escenarios!$E$14&gt;0,(Escenarios!$E$13*L79+Escenarios!$E$14*W79)/(Escenarios!$E$16),L79)</f>
        <v>2.1538363643783072</v>
      </c>
      <c r="AB79" s="170">
        <f>IF(Escenarios!$E$14&gt;0,(Escenarios!$E$14*Y79)/(Escenarios!$E$16),K79)</f>
        <v>0</v>
      </c>
      <c r="AC79" s="170">
        <f>IF(Escenarios!$E$14&gt;0,(Escenarios!$E$13*M79+Escenarios!$E$14*U79)/(Escenarios!$E$16),M79)</f>
        <v>0.50102415943167677</v>
      </c>
      <c r="AD79" s="76">
        <f t="shared" si="15"/>
        <v>174.24718697260226</v>
      </c>
      <c r="AE79" s="76">
        <f>MAX(0,(AD79-Constantes!$D$13)*(1-EXP(-Constantes!$D$23)))</f>
        <v>1.2365536743421792</v>
      </c>
      <c r="AF79" s="76">
        <f>AB79+O79*Escenarios!$E$13/Escenarios!$E$16+AE79</f>
        <v>2.2670475490477724</v>
      </c>
      <c r="AG79" s="76">
        <f>IF(Entradas!$E$91&gt;0,IF(AF79-Escenarios!$E$38&lt;=0,0,IF(AF79-Escenarios!$E$38&gt;Escenarios!$E$37,Escenarios!$E$37,AF79-Escenarios!$E$38)),0)</f>
        <v>0</v>
      </c>
      <c r="AH79" s="76">
        <f>AG79*Entradas!$E$99</f>
        <v>0</v>
      </c>
      <c r="AI79" s="76">
        <f>IF(Entradas!$E$91&gt;0,D79*Entradas!$D$23/Escenarios!$E$16,0)</f>
        <v>0</v>
      </c>
      <c r="AJ79" s="76">
        <f>IF(Entradas!$E$91&gt;0,Entradas!$D$24*Entradas!$D$22/Escenarios!$E$16,0)</f>
        <v>0</v>
      </c>
      <c r="AK79" s="76">
        <f t="shared" si="24"/>
        <v>2.1538363643783072</v>
      </c>
      <c r="AL79" s="76">
        <f t="shared" si="25"/>
        <v>0</v>
      </c>
      <c r="AM79" s="76">
        <f t="shared" si="16"/>
        <v>0</v>
      </c>
      <c r="AN79" s="76">
        <f>MAX(0,O79*Escenarios!$E$13/Escenarios!$E$16-AM79)</f>
        <v>1.0304938747055934</v>
      </c>
      <c r="AO79" s="76">
        <f>AM79+AN79-O79*Escenarios!$E$13/Escenarios!$E$16</f>
        <v>0</v>
      </c>
      <c r="AP79" s="76">
        <f t="shared" si="14"/>
        <v>1.2365536743421792</v>
      </c>
      <c r="AQ79" s="76">
        <f t="shared" si="17"/>
        <v>0</v>
      </c>
      <c r="AR79" s="76">
        <f t="shared" si="18"/>
        <v>2.2670475490477724</v>
      </c>
      <c r="AS79" s="76">
        <f t="shared" si="19"/>
        <v>0</v>
      </c>
      <c r="AT79" s="76">
        <f t="shared" si="20"/>
        <v>0.50102415943167677</v>
      </c>
      <c r="AU79" s="76">
        <f t="shared" si="21"/>
        <v>48.75</v>
      </c>
      <c r="AV79" s="76">
        <f>MAX(0,(AU79-Constantes!$D$13)*(1-EXP(-Constantes!$D$24)))</f>
        <v>0</v>
      </c>
      <c r="AW79" s="170">
        <f>AW78+(Entradas!$E$112*AT79-AX78)/(800*Entradas!$D$25)</f>
        <v>0</v>
      </c>
      <c r="AX79" s="170">
        <f>8000*Entradas!$D$26*AW79/Constantes!$E$45</f>
        <v>0</v>
      </c>
      <c r="AY79" s="170">
        <f>IF(Escenarios!$E$17&gt;0,10*Escenarios!$E$16*AL79,0)</f>
        <v>0</v>
      </c>
      <c r="AZ79" s="170">
        <f>IF(Escenarios!$E$17&gt;0,10*Escenarios!$E$16*AX79,0)</f>
        <v>0</v>
      </c>
      <c r="BA79" s="170">
        <f>IF(Escenarios!$E$17&gt;0,0.001*Observaciones!$F78*Escenarios!$E$17,0)</f>
        <v>68</v>
      </c>
      <c r="BB79" s="170">
        <f>IF(Escenarios!$E$17&gt;0,Observaciones!$K78,0)</f>
        <v>0</v>
      </c>
      <c r="BC79" s="170">
        <f>IF(Escenarios!$E$17&gt;0,MIN(0.0005*ETo!$M78*Escenarios!$E$17*(BG78/Constantes!$E$40)^(2/3),BG78+AY79+AZ79+BA79+BB79),0)</f>
        <v>40.210074922409873</v>
      </c>
      <c r="BD79" s="170">
        <f>IF(Escenarios!$E$17&gt;0,MIN(Constantes!$E$39*(BG78/Constantes!$E$40)^(2/3),BG78+AY79+AZ79+BA79+BB79-BC79),0)</f>
        <v>71.261214614449841</v>
      </c>
      <c r="BE79" s="170">
        <f>IF(Escenarios!$E$17&gt;0,MIN(Entradas!$E$113,BG78+AY79+AZ79+BA79+BB79-BC79-BD79),0)</f>
        <v>1</v>
      </c>
      <c r="BF79" s="170">
        <f>IF(Escenarios!$E$17&gt;0,MAX(0,BG78+AY79+AZ79+BA79+BB79-BC79-BD79-BE79-Constantes!$E$40),0)</f>
        <v>0</v>
      </c>
      <c r="BG79" s="170">
        <f t="shared" si="26"/>
        <v>5560.2444524832872</v>
      </c>
      <c r="BH79" s="170">
        <f>(Escenarios!$E$16*AK79+0.1*BC79)/(Escenarios!$E$19)</f>
        <v>2.1526988039159436</v>
      </c>
      <c r="BI79" s="170">
        <f>IF(Escenarios!$E$17&gt;0,BF79/10/Escenarios!$E$19,AL79)</f>
        <v>0</v>
      </c>
      <c r="BJ79" s="170">
        <f>(Escenarios!$E$16*AT79+0.1*BD79)/(Escenarios!$E$19)</f>
        <v>0.52532603698160385</v>
      </c>
      <c r="BK79" s="76">
        <f>BK78+(0.1*BD79)/(Escenarios!$E$19)-BL78</f>
        <v>49.747139908731207</v>
      </c>
      <c r="BL79" s="76">
        <f>MAX(0,(BK79-Constantes!$D$13)*(1-EXP(-Constantes!$D$23)))</f>
        <v>9.825057020951258E-3</v>
      </c>
      <c r="BM79" s="76">
        <f t="shared" si="22"/>
        <v>1.2463787313631305</v>
      </c>
      <c r="BN79" s="76">
        <f t="shared" si="27"/>
        <v>2.2768726060687237</v>
      </c>
      <c r="BO79" s="76">
        <f>0.0526*BI79*Observaciones!$F78^1.218</f>
        <v>0</v>
      </c>
      <c r="BP79" s="76">
        <f>BO79*Constantes!$E$51</f>
        <v>0</v>
      </c>
      <c r="BQ79" s="76">
        <f t="shared" si="23"/>
        <v>0</v>
      </c>
      <c r="BR79" s="40"/>
    </row>
    <row r="80" spans="1:70">
      <c r="A80" s="147"/>
      <c r="B80" s="39"/>
      <c r="C80" s="75">
        <v>74</v>
      </c>
      <c r="D80" s="146">
        <f>ETo!$I79*((1-Constantes!$E$19)*ETo!$K79+ETo!$L79)</f>
        <v>3.9874507738089515</v>
      </c>
      <c r="E80" s="76">
        <f>MIN(D80*Constantes!$E$17,0.8*(N79+Observaciones!$F79-F80-M80-Constantes!$D$14))</f>
        <v>1.9495137810043333</v>
      </c>
      <c r="F80" s="76">
        <f>IF(Observaciones!$F79&gt;0.05*Constantes!$E$18,((Observaciones!$F79-0.05*Constantes!$E$18)^2)/(Observaciones!$F79+0.95*Constantes!$E$18),0)</f>
        <v>0</v>
      </c>
      <c r="G80" s="76">
        <f>IF(Escenarios!$E$11&gt;0,(F80*Escenarios!$E$16*10000)/1000,0)</f>
        <v>0</v>
      </c>
      <c r="H80" s="76">
        <f>IF(Escenarios!$E$11&gt;0,(Observaciones!$F79*Constantes!$E$29)/1000,0)</f>
        <v>56</v>
      </c>
      <c r="I80" s="76">
        <f>IF(Escenarios!$E$11&gt;0,(D80*Constantes!$E$29)/1000,0)</f>
        <v>39.87450773808952</v>
      </c>
      <c r="J80" s="76">
        <f>IF(Escenarios!$E$11&gt;0,MAX(0,G80+H80-I80),0)</f>
        <v>16.12549226191048</v>
      </c>
      <c r="K80" s="76">
        <f>IF(Escenarios!$E$11&gt;0,IF(J80&gt;Constantes!$E$30,1000*((J80-Constantes!$E$30)/(Escenarios!$E$16*10000)),0),F80)</f>
        <v>0</v>
      </c>
      <c r="L80" s="76">
        <f>IF(Escenarios!$E$11&gt;0,I80*1000/Escenarios!$E$16/10000+E80,E80)</f>
        <v>1.9654635840995691</v>
      </c>
      <c r="M80" s="76">
        <f>MAX(0,N79+Observaciones!$F79-K80-Constantes!$D$13)</f>
        <v>2.4772626305397125</v>
      </c>
      <c r="N80" s="76">
        <f>N79+Observaciones!$F79-K80-L80-M80-O79</f>
        <v>45.613520649189532</v>
      </c>
      <c r="O80" s="76">
        <f>MAX(0,(N80-Constantes!$D$14)*(1-EXP(-Constantes!$D$22)))</f>
        <v>1.1705476643782684</v>
      </c>
      <c r="P80" s="170">
        <f>P79+(Entradas!$E$83*M80-Q79)/(800*Entradas!$D$25)</f>
        <v>0</v>
      </c>
      <c r="Q80" s="170">
        <f>8000*Entradas!$D$26*P80/Constantes!$E$45</f>
        <v>0</v>
      </c>
      <c r="R80" s="170">
        <f>IF(Escenarios!$E$14&gt;0,K80*Escenarios!$E$13/Escenarios!$E$14,0)</f>
        <v>0</v>
      </c>
      <c r="S80" s="170">
        <f>IF(Escenarios!$E$14&gt;0,Q80*Escenarios!$E$13/Escenarios!$E$14,0)</f>
        <v>0</v>
      </c>
      <c r="T80" s="170">
        <f>IF(Escenarios!$E$14&gt;0,Observaciones!$I79,0)</f>
        <v>0</v>
      </c>
      <c r="U80" s="170">
        <f>IF(Escenarios!$E$14&gt;0,MAX(0,Constantes!$E$36/((Z79+R80+S80+T80+Observaciones!$F79)^2)+Entradas!$E$77),0)</f>
        <v>2.7229974118315048</v>
      </c>
      <c r="V80" s="146">
        <f>IF(ETo!D79&gt;0,ETo!I79*((1-Entradas!$E$81)*ETo!K79+ETo!L79),0)</f>
        <v>3.6365959534068284</v>
      </c>
      <c r="W80" s="170">
        <f>IF(Escenarios!$E$14&gt;0,MIN(V80*1,0.8*(Z79+R80+S80+T80+Observaciones!$F79-U80-Constantes!$E$35)),0)</f>
        <v>3.6365959534068284</v>
      </c>
      <c r="X80" s="170">
        <f>IF(Escenarios!$E$14&gt;0,Observaciones!$J79,0)</f>
        <v>0</v>
      </c>
      <c r="Y80" s="170">
        <f>IF(Escenarios!$E$14&gt;0,MAX(0,Z79+R80+S80+T80+Observaciones!$F79-U80-W80-X80-Constantes!$E$33),0)</f>
        <v>0</v>
      </c>
      <c r="Z80" s="170">
        <f>Z79+R80+S80+T80+Observaciones!$F79-U80-W80-Y80</f>
        <v>186.1598423155539</v>
      </c>
      <c r="AA80" s="170">
        <f>IF(Escenarios!$E$14&gt;0,(Escenarios!$E$13*L80+Escenarios!$E$14*W80)/(Escenarios!$E$16),L80)</f>
        <v>2.1659994684164405</v>
      </c>
      <c r="AB80" s="170">
        <f>IF(Escenarios!$E$14&gt;0,(Escenarios!$E$14*Y80)/(Escenarios!$E$16),K80)</f>
        <v>0</v>
      </c>
      <c r="AC80" s="170">
        <f>IF(Escenarios!$E$14&gt;0,(Escenarios!$E$13*M80+Escenarios!$E$14*U80)/(Escenarios!$E$16),M80)</f>
        <v>2.5067508042947275</v>
      </c>
      <c r="AD80" s="76">
        <f t="shared" si="15"/>
        <v>175.51738410255481</v>
      </c>
      <c r="AE80" s="76">
        <f>MAX(0,(AD80-Constantes!$D$13)*(1-EXP(-Constantes!$D$23)))</f>
        <v>1.2490692292009875</v>
      </c>
      <c r="AF80" s="76">
        <f>AB80+O80*Escenarios!$E$13/Escenarios!$E$16+AE80</f>
        <v>2.2791511738538635</v>
      </c>
      <c r="AG80" s="76">
        <f>IF(Entradas!$E$91&gt;0,IF(AF80-Escenarios!$E$38&lt;=0,0,IF(AF80-Escenarios!$E$38&gt;Escenarios!$E$37,Escenarios!$E$37,AF80-Escenarios!$E$38)),0)</f>
        <v>0</v>
      </c>
      <c r="AH80" s="76">
        <f>AG80*Entradas!$E$99</f>
        <v>0</v>
      </c>
      <c r="AI80" s="76">
        <f>IF(Entradas!$E$91&gt;0,D80*Entradas!$D$23/Escenarios!$E$16,0)</f>
        <v>0</v>
      </c>
      <c r="AJ80" s="76">
        <f>IF(Entradas!$E$91&gt;0,Entradas!$D$24*Entradas!$D$22/Escenarios!$E$16,0)</f>
        <v>0</v>
      </c>
      <c r="AK80" s="76">
        <f t="shared" si="24"/>
        <v>2.1659994684164405</v>
      </c>
      <c r="AL80" s="76">
        <f t="shared" si="25"/>
        <v>0</v>
      </c>
      <c r="AM80" s="76">
        <f t="shared" si="16"/>
        <v>0</v>
      </c>
      <c r="AN80" s="76">
        <f>MAX(0,O80*Escenarios!$E$13/Escenarios!$E$16-AM80)</f>
        <v>1.0300819446528762</v>
      </c>
      <c r="AO80" s="76">
        <f>AM80+AN80-O80*Escenarios!$E$13/Escenarios!$E$16</f>
        <v>0</v>
      </c>
      <c r="AP80" s="76">
        <f t="shared" si="14"/>
        <v>1.2490692292009875</v>
      </c>
      <c r="AQ80" s="76">
        <f t="shared" si="17"/>
        <v>0</v>
      </c>
      <c r="AR80" s="76">
        <f t="shared" si="18"/>
        <v>2.2791511738538635</v>
      </c>
      <c r="AS80" s="76">
        <f t="shared" si="19"/>
        <v>0</v>
      </c>
      <c r="AT80" s="76">
        <f t="shared" si="20"/>
        <v>2.5067508042947275</v>
      </c>
      <c r="AU80" s="76">
        <f t="shared" si="21"/>
        <v>48.75</v>
      </c>
      <c r="AV80" s="76">
        <f>MAX(0,(AU80-Constantes!$D$13)*(1-EXP(-Constantes!$D$24)))</f>
        <v>0</v>
      </c>
      <c r="AW80" s="170">
        <f>AW79+(Entradas!$E$112*AT80-AX79)/(800*Entradas!$D$25)</f>
        <v>0</v>
      </c>
      <c r="AX80" s="170">
        <f>8000*Entradas!$D$26*AW80/Constantes!$E$45</f>
        <v>0</v>
      </c>
      <c r="AY80" s="170">
        <f>IF(Escenarios!$E$17&gt;0,10*Escenarios!$E$16*AL80,0)</f>
        <v>0</v>
      </c>
      <c r="AZ80" s="170">
        <f>IF(Escenarios!$E$17&gt;0,10*Escenarios!$E$16*AX80,0)</f>
        <v>0</v>
      </c>
      <c r="BA80" s="170">
        <f>IF(Escenarios!$E$17&gt;0,0.001*Observaciones!$F79*Escenarios!$E$17,0)</f>
        <v>112</v>
      </c>
      <c r="BB80" s="170">
        <f>IF(Escenarios!$E$17&gt;0,Observaciones!$K79,0)</f>
        <v>0</v>
      </c>
      <c r="BC80" s="170">
        <f>IF(Escenarios!$E$17&gt;0,MIN(0.0005*ETo!$M79*Escenarios!$E$17*(BG79/Constantes!$E$40)^(2/3),BG79+AY80+AZ80+BA80+BB80),0)</f>
        <v>40.222379923556801</v>
      </c>
      <c r="BD80" s="170">
        <f>IF(Escenarios!$E$17&gt;0,MIN(Constantes!$E$39*(BG79/Constantes!$E$40)^(2/3),BG79+AY80+AZ80+BA80+BB80-BC80),0)</f>
        <v>70.883760579074433</v>
      </c>
      <c r="BE80" s="170">
        <f>IF(Escenarios!$E$17&gt;0,MIN(Entradas!$E$113,BG79+AY80+AZ80+BA80+BB80-BC80-BD80),0)</f>
        <v>1</v>
      </c>
      <c r="BF80" s="170">
        <f>IF(Escenarios!$E$17&gt;0,MAX(0,BG79+AY80+AZ80+BA80+BB80-BC80-BD80-BE80-Constantes!$E$40),0)</f>
        <v>0</v>
      </c>
      <c r="BG80" s="170">
        <f t="shared" si="26"/>
        <v>5560.138311980656</v>
      </c>
      <c r="BH80" s="170">
        <f>(Escenarios!$E$16*AK80+0.1*BC80)/(Escenarios!$E$19)</f>
        <v>2.1647702583193089</v>
      </c>
      <c r="BI80" s="170">
        <f>IF(Escenarios!$E$17&gt;0,BF80/10/Escenarios!$E$19,AL80)</f>
        <v>0</v>
      </c>
      <c r="BJ80" s="170">
        <f>(Escenarios!$E$16*AT80+0.1*BD80)/(Escenarios!$E$19)</f>
        <v>2.5149844330618625</v>
      </c>
      <c r="BK80" s="76">
        <f>BK79+(0.1*BD80)/(Escenarios!$E$19)-BL79</f>
        <v>49.765443328130523</v>
      </c>
      <c r="BL80" s="76">
        <f>MAX(0,(BK80-Constantes!$D$13)*(1-EXP(-Constantes!$D$23)))</f>
        <v>1.0005404971827574E-2</v>
      </c>
      <c r="BM80" s="76">
        <f t="shared" si="22"/>
        <v>1.2590746341728152</v>
      </c>
      <c r="BN80" s="76">
        <f t="shared" si="27"/>
        <v>2.2891565788256911</v>
      </c>
      <c r="BO80" s="76">
        <f>0.0526*BI80*Observaciones!$F79^1.218</f>
        <v>0</v>
      </c>
      <c r="BP80" s="76">
        <f>BO80*Constantes!$E$51</f>
        <v>0</v>
      </c>
      <c r="BQ80" s="76">
        <f t="shared" si="23"/>
        <v>0</v>
      </c>
      <c r="BR80" s="40"/>
    </row>
    <row r="81" spans="1:70">
      <c r="A81" s="147"/>
      <c r="B81" s="39"/>
      <c r="C81" s="75">
        <v>75</v>
      </c>
      <c r="D81" s="146">
        <f>ETo!$I80*((1-Constantes!$E$19)*ETo!$K80+ETo!$L80)</f>
        <v>4.026411047879753</v>
      </c>
      <c r="E81" s="76">
        <f>MIN(D81*Constantes!$E$17,0.8*(N80+Observaciones!$F80-F81-M81-Constantes!$D$14))</f>
        <v>1.9685619387174327</v>
      </c>
      <c r="F81" s="76">
        <f>IF(Observaciones!$F80&gt;0.05*Constantes!$E$18,((Observaciones!$F80-0.05*Constantes!$E$18)^2)/(Observaciones!$F80+0.95*Constantes!$E$18),0)</f>
        <v>1.1615313362524577</v>
      </c>
      <c r="G81" s="76">
        <f>IF(Escenarios!$E$11&gt;0,(F81*Escenarios!$E$16*10000)/1000,0)</f>
        <v>2903.8283406311448</v>
      </c>
      <c r="H81" s="76">
        <f>IF(Escenarios!$E$11&gt;0,(Observaciones!$F80*Constantes!$E$29)/1000,0)</f>
        <v>183</v>
      </c>
      <c r="I81" s="76">
        <f>IF(Escenarios!$E$11&gt;0,(D81*Constantes!$E$29)/1000,0)</f>
        <v>40.264110478797527</v>
      </c>
      <c r="J81" s="76">
        <f>IF(Escenarios!$E$11&gt;0,MAX(0,G81+H81-I81),0)</f>
        <v>3046.5642301523471</v>
      </c>
      <c r="K81" s="76">
        <f>IF(Escenarios!$E$11&gt;0,IF(J81&gt;Constantes!$E$30,1000*((J81-Constantes!$E$30)/(Escenarios!$E$16*10000)),0),F81)</f>
        <v>0.70391980970799772</v>
      </c>
      <c r="L81" s="76">
        <f>IF(Escenarios!$E$11&gt;0,I81*1000/Escenarios!$E$16/10000+E81,E81)</f>
        <v>1.9846675829089517</v>
      </c>
      <c r="M81" s="76">
        <f>MAX(0,N80+Observaciones!$F80-K81-Constantes!$D$13)</f>
        <v>14.459600839481539</v>
      </c>
      <c r="N81" s="76">
        <f>N80+Observaciones!$F80-K81-L81-M81-O80</f>
        <v>45.594784752712776</v>
      </c>
      <c r="O81" s="76">
        <f>MAX(0,(N81-Constantes!$D$14)*(1-EXP(-Constantes!$D$22)))</f>
        <v>1.1699094509633861</v>
      </c>
      <c r="P81" s="170">
        <f>P80+(Entradas!$E$83*M81-Q80)/(800*Entradas!$D$25)</f>
        <v>0</v>
      </c>
      <c r="Q81" s="170">
        <f>8000*Entradas!$D$26*P81/Constantes!$E$45</f>
        <v>0</v>
      </c>
      <c r="R81" s="170">
        <f>IF(Escenarios!$E$14&gt;0,K81*Escenarios!$E$13/Escenarios!$E$14,0)</f>
        <v>5.1620786045253171</v>
      </c>
      <c r="S81" s="170">
        <f>IF(Escenarios!$E$14&gt;0,Q81*Escenarios!$E$13/Escenarios!$E$14,0)</f>
        <v>0</v>
      </c>
      <c r="T81" s="170">
        <f>IF(Escenarios!$E$14&gt;0,Observaciones!$I80,0)</f>
        <v>0</v>
      </c>
      <c r="U81" s="170">
        <f>IF(Escenarios!$E$14&gt;0,MAX(0,Constantes!$E$36/((Z80+R81+S81+T81+Observaciones!$F80)^2)+Entradas!$E$77),0)</f>
        <v>2.7663533309051207</v>
      </c>
      <c r="V81" s="146">
        <f>IF(ETo!D80&gt;0,ETo!I80*((1-Entradas!$E$81)*ETo!K80+ETo!L80),0)</f>
        <v>3.6723653177160824</v>
      </c>
      <c r="W81" s="170">
        <f>IF(Escenarios!$E$14&gt;0,MIN(V81*1,0.8*(Z80+R81+S81+T81+Observaciones!$F80-U81-Constantes!$E$35)),0)</f>
        <v>3.6723653177160824</v>
      </c>
      <c r="X81" s="170">
        <f>IF(Escenarios!$E$14&gt;0,Observaciones!$J80,0)</f>
        <v>0</v>
      </c>
      <c r="Y81" s="170">
        <f>IF(Escenarios!$E$14&gt;0,MAX(0,Z80+R81+S81+T81+Observaciones!$F80-U81-W81-X81-Constantes!$E$33),0)</f>
        <v>0</v>
      </c>
      <c r="Z81" s="170">
        <f>Z80+R81+S81+T81+Observaciones!$F80-U81-W81-Y81</f>
        <v>203.18320227145801</v>
      </c>
      <c r="AA81" s="170">
        <f>IF(Escenarios!$E$14&gt;0,(Escenarios!$E$13*L81+Escenarios!$E$14*W81)/(Escenarios!$E$16),L81)</f>
        <v>2.1871913110858072</v>
      </c>
      <c r="AB81" s="170">
        <f>IF(Escenarios!$E$14&gt;0,(Escenarios!$E$14*Y81)/(Escenarios!$E$16),K81)</f>
        <v>0</v>
      </c>
      <c r="AC81" s="170">
        <f>IF(Escenarios!$E$14&gt;0,(Escenarios!$E$13*M81+Escenarios!$E$14*U81)/(Escenarios!$E$16),M81)</f>
        <v>13.05641113845237</v>
      </c>
      <c r="AD81" s="76">
        <f t="shared" si="15"/>
        <v>187.32472601180621</v>
      </c>
      <c r="AE81" s="76">
        <f>MAX(0,(AD81-Constantes!$D$13)*(1-EXP(-Constantes!$D$23)))</f>
        <v>1.3654097813225794</v>
      </c>
      <c r="AF81" s="76">
        <f>AB81+O81*Escenarios!$E$13/Escenarios!$E$16+AE81</f>
        <v>2.394930098170359</v>
      </c>
      <c r="AG81" s="76">
        <f>IF(Entradas!$E$91&gt;0,IF(AF81-Escenarios!$E$38&lt;=0,0,IF(AF81-Escenarios!$E$38&gt;Escenarios!$E$37,Escenarios!$E$37,AF81-Escenarios!$E$38)),0)</f>
        <v>0</v>
      </c>
      <c r="AH81" s="76">
        <f>AG81*Entradas!$E$99</f>
        <v>0</v>
      </c>
      <c r="AI81" s="76">
        <f>IF(Entradas!$E$91&gt;0,D81*Entradas!$D$23/Escenarios!$E$16,0)</f>
        <v>0</v>
      </c>
      <c r="AJ81" s="76">
        <f>IF(Entradas!$E$91&gt;0,Entradas!$D$24*Entradas!$D$22/Escenarios!$E$16,0)</f>
        <v>0</v>
      </c>
      <c r="AK81" s="76">
        <f t="shared" si="24"/>
        <v>2.1871913110858072</v>
      </c>
      <c r="AL81" s="76">
        <f t="shared" si="25"/>
        <v>0</v>
      </c>
      <c r="AM81" s="76">
        <f t="shared" si="16"/>
        <v>0</v>
      </c>
      <c r="AN81" s="76">
        <f>MAX(0,O81*Escenarios!$E$13/Escenarios!$E$16-AM81)</f>
        <v>1.0295203168477796</v>
      </c>
      <c r="AO81" s="76">
        <f>AM81+AN81-O81*Escenarios!$E$13/Escenarios!$E$16</f>
        <v>0</v>
      </c>
      <c r="AP81" s="76">
        <f t="shared" si="14"/>
        <v>1.3654097813225794</v>
      </c>
      <c r="AQ81" s="76">
        <f t="shared" si="17"/>
        <v>0</v>
      </c>
      <c r="AR81" s="76">
        <f t="shared" si="18"/>
        <v>2.394930098170359</v>
      </c>
      <c r="AS81" s="76">
        <f t="shared" si="19"/>
        <v>0</v>
      </c>
      <c r="AT81" s="76">
        <f t="shared" si="20"/>
        <v>13.05641113845237</v>
      </c>
      <c r="AU81" s="76">
        <f t="shared" si="21"/>
        <v>48.75</v>
      </c>
      <c r="AV81" s="76">
        <f>MAX(0,(AU81-Constantes!$D$13)*(1-EXP(-Constantes!$D$24)))</f>
        <v>0</v>
      </c>
      <c r="AW81" s="170">
        <f>AW80+(Entradas!$E$112*AT81-AX80)/(800*Entradas!$D$25)</f>
        <v>0</v>
      </c>
      <c r="AX81" s="170">
        <f>8000*Entradas!$D$26*AW81/Constantes!$E$45</f>
        <v>0</v>
      </c>
      <c r="AY81" s="170">
        <f>IF(Escenarios!$E$17&gt;0,10*Escenarios!$E$16*AL81,0)</f>
        <v>0</v>
      </c>
      <c r="AZ81" s="170">
        <f>IF(Escenarios!$E$17&gt;0,10*Escenarios!$E$16*AX81,0)</f>
        <v>0</v>
      </c>
      <c r="BA81" s="170">
        <f>IF(Escenarios!$E$17&gt;0,0.001*Observaciones!$F80*Escenarios!$E$17,0)</f>
        <v>366</v>
      </c>
      <c r="BB81" s="170">
        <f>IF(Escenarios!$E$17&gt;0,Observaciones!$K80,0)</f>
        <v>0</v>
      </c>
      <c r="BC81" s="170">
        <f>IF(Escenarios!$E$17&gt;0,MIN(0.0005*ETo!$M80*Escenarios!$E$17*(BG80/Constantes!$E$40)^(2/3),BG80+AY81+AZ81+BA81+BB81),0)</f>
        <v>40.611557765035357</v>
      </c>
      <c r="BD81" s="170">
        <f>IF(Escenarios!$E$17&gt;0,MIN(Constantes!$E$39*(BG80/Constantes!$E$40)^(2/3),BG80+AY81+AZ81+BA81+BB81-BC81),0)</f>
        <v>70.882858501000058</v>
      </c>
      <c r="BE81" s="170">
        <f>IF(Escenarios!$E$17&gt;0,MIN(Entradas!$E$113,BG80+AY81+AZ81+BA81+BB81-BC81-BD81),0)</f>
        <v>1</v>
      </c>
      <c r="BF81" s="170">
        <f>IF(Escenarios!$E$17&gt;0,MAX(0,BG80+AY81+AZ81+BA81+BB81-BC81-BD81-BE81-Constantes!$E$40),0)</f>
        <v>0</v>
      </c>
      <c r="BG81" s="170">
        <f t="shared" si="26"/>
        <v>5813.6438957146211</v>
      </c>
      <c r="BH81" s="170">
        <f>(Escenarios!$E$16*AK81+0.1*BC81)/(Escenarios!$E$19)</f>
        <v>2.1859483474125212</v>
      </c>
      <c r="BI81" s="170">
        <f>IF(Escenarios!$E$17&gt;0,BF81/10/Escenarios!$E$19,AL81)</f>
        <v>0</v>
      </c>
      <c r="BJ81" s="170">
        <f>(Escenarios!$E$16*AT81+0.1*BD81)/(Escenarios!$E$19)</f>
        <v>12.980916946282509</v>
      </c>
      <c r="BK81" s="76">
        <f>BK80+(0.1*BD81)/(Escenarios!$E$19)-BL80</f>
        <v>49.783566041611472</v>
      </c>
      <c r="BL81" s="76">
        <f>MAX(0,(BK81-Constantes!$D$13)*(1-EXP(-Constantes!$D$23)))</f>
        <v>1.018397238424942E-2</v>
      </c>
      <c r="BM81" s="76">
        <f t="shared" si="22"/>
        <v>1.3755937537068288</v>
      </c>
      <c r="BN81" s="76">
        <f t="shared" si="27"/>
        <v>2.4051140705546086</v>
      </c>
      <c r="BO81" s="76">
        <f>0.0526*BI81*Observaciones!$F80^1.218</f>
        <v>0</v>
      </c>
      <c r="BP81" s="76">
        <f>BO81*Constantes!$E$51</f>
        <v>0</v>
      </c>
      <c r="BQ81" s="76">
        <f t="shared" si="23"/>
        <v>0</v>
      </c>
      <c r="BR81" s="40"/>
    </row>
    <row r="82" spans="1:70">
      <c r="A82" s="147"/>
      <c r="B82" s="39"/>
      <c r="C82" s="75">
        <v>76</v>
      </c>
      <c r="D82" s="146">
        <f>ETo!$I81*((1-Constantes!$E$19)*ETo!$K81+ETo!$L81)</f>
        <v>4.0266278356374574</v>
      </c>
      <c r="E82" s="76">
        <f>MIN(D82*Constantes!$E$17,0.8*(N81+Observaciones!$F81-F82-M82-Constantes!$D$14))</f>
        <v>1.9686679289214932</v>
      </c>
      <c r="F82" s="76">
        <f>IF(Observaciones!$F81&gt;0.05*Constantes!$E$18,((Observaciones!$F81-0.05*Constantes!$E$18)^2)/(Observaciones!$F81+0.95*Constantes!$E$18),0)</f>
        <v>0</v>
      </c>
      <c r="G82" s="76">
        <f>IF(Escenarios!$E$11&gt;0,(F82*Escenarios!$E$16*10000)/1000,0)</f>
        <v>0</v>
      </c>
      <c r="H82" s="76">
        <f>IF(Escenarios!$E$11&gt;0,(Observaciones!$F81*Constantes!$E$29)/1000,0)</f>
        <v>2</v>
      </c>
      <c r="I82" s="76">
        <f>IF(Escenarios!$E$11&gt;0,(D82*Constantes!$E$29)/1000,0)</f>
        <v>40.266278356374578</v>
      </c>
      <c r="J82" s="76">
        <f>IF(Escenarios!$E$11&gt;0,MAX(0,G82+H82-I82),0)</f>
        <v>0</v>
      </c>
      <c r="K82" s="76">
        <f>IF(Escenarios!$E$11&gt;0,IF(J82&gt;Constantes!$E$30,1000*((J82-Constantes!$E$30)/(Escenarios!$E$16*10000)),0),F82)</f>
        <v>0</v>
      </c>
      <c r="L82" s="76">
        <f>IF(Escenarios!$E$11&gt;0,I82*1000/Escenarios!$E$16/10000+E82,E82)</f>
        <v>1.984774440264043</v>
      </c>
      <c r="M82" s="76">
        <f>MAX(0,N81+Observaciones!$F81-K82-Constantes!$D$13)</f>
        <v>0</v>
      </c>
      <c r="N82" s="76">
        <f>N81+Observaciones!$F81-K82-L82-M82-O81</f>
        <v>42.640100861485351</v>
      </c>
      <c r="O82" s="76">
        <f>MAX(0,(N82-Constantes!$D$14)*(1-EXP(-Constantes!$D$22)))</f>
        <v>1.0692620707615579</v>
      </c>
      <c r="P82" s="170">
        <f>P81+(Entradas!$E$83*M82-Q81)/(800*Entradas!$D$25)</f>
        <v>0</v>
      </c>
      <c r="Q82" s="170">
        <f>8000*Entradas!$D$26*P82/Constantes!$E$45</f>
        <v>0</v>
      </c>
      <c r="R82" s="170">
        <f>IF(Escenarios!$E$14&gt;0,K82*Escenarios!$E$13/Escenarios!$E$14,0)</f>
        <v>0</v>
      </c>
      <c r="S82" s="170">
        <f>IF(Escenarios!$E$14&gt;0,Q82*Escenarios!$E$13/Escenarios!$E$14,0)</f>
        <v>0</v>
      </c>
      <c r="T82" s="170">
        <f>IF(Escenarios!$E$14&gt;0,Observaciones!$I81,0)</f>
        <v>0</v>
      </c>
      <c r="U82" s="170">
        <f>IF(Escenarios!$E$14&gt;0,MAX(0,Constantes!$E$36/((Z81+R82+S82+T82+Observaciones!$F81)^2)+Entradas!$E$77),0)</f>
        <v>2.7517994012533684</v>
      </c>
      <c r="V82" s="146">
        <f>IF(ETo!D81&gt;0,ETo!I81*((1-Entradas!$E$81)*ETo!K81+ETo!L81),0)</f>
        <v>3.6724006961389901</v>
      </c>
      <c r="W82" s="170">
        <f>IF(Escenarios!$E$14&gt;0,MIN(V82*1,0.8*(Z81+R82+S82+T82+Observaciones!$F81-U82-Constantes!$E$35)),0)</f>
        <v>3.6724006961389901</v>
      </c>
      <c r="X82" s="170">
        <f>IF(Escenarios!$E$14&gt;0,Observaciones!$J81,0)</f>
        <v>0</v>
      </c>
      <c r="Y82" s="170">
        <f>IF(Escenarios!$E$14&gt;0,MAX(0,Z81+R82+S82+T82+Observaciones!$F81-U82-W82-X82-Constantes!$E$33),0)</f>
        <v>0</v>
      </c>
      <c r="Z82" s="170">
        <f>Z81+R82+S82+T82+Observaciones!$F81-U82-W82-Y82</f>
        <v>196.95900217406563</v>
      </c>
      <c r="AA82" s="170">
        <f>IF(Escenarios!$E$14&gt;0,(Escenarios!$E$13*L82+Escenarios!$E$14*W82)/(Escenarios!$E$16),L82)</f>
        <v>2.1872895909690371</v>
      </c>
      <c r="AB82" s="170">
        <f>IF(Escenarios!$E$14&gt;0,(Escenarios!$E$14*Y82)/(Escenarios!$E$16),K82)</f>
        <v>0</v>
      </c>
      <c r="AC82" s="170">
        <f>IF(Escenarios!$E$14&gt;0,(Escenarios!$E$13*M82+Escenarios!$E$14*U82)/(Escenarios!$E$16),M82)</f>
        <v>0.33021592815040424</v>
      </c>
      <c r="AD82" s="76">
        <f t="shared" si="15"/>
        <v>186.28953215863405</v>
      </c>
      <c r="AE82" s="76">
        <f>MAX(0,(AD82-Constantes!$D$13)*(1-EXP(-Constantes!$D$23)))</f>
        <v>1.3552097697233081</v>
      </c>
      <c r="AF82" s="76">
        <f>AB82+O82*Escenarios!$E$13/Escenarios!$E$16+AE82</f>
        <v>2.296160391993479</v>
      </c>
      <c r="AG82" s="76">
        <f>IF(Entradas!$E$91&gt;0,IF(AF82-Escenarios!$E$38&lt;=0,0,IF(AF82-Escenarios!$E$38&gt;Escenarios!$E$37,Escenarios!$E$37,AF82-Escenarios!$E$38)),0)</f>
        <v>0</v>
      </c>
      <c r="AH82" s="76">
        <f>AG82*Entradas!$E$99</f>
        <v>0</v>
      </c>
      <c r="AI82" s="76">
        <f>IF(Entradas!$E$91&gt;0,D82*Entradas!$D$23/Escenarios!$E$16,0)</f>
        <v>0</v>
      </c>
      <c r="AJ82" s="76">
        <f>IF(Entradas!$E$91&gt;0,Entradas!$D$24*Entradas!$D$22/Escenarios!$E$16,0)</f>
        <v>0</v>
      </c>
      <c r="AK82" s="76">
        <f t="shared" si="24"/>
        <v>2.1872895909690371</v>
      </c>
      <c r="AL82" s="76">
        <f t="shared" si="25"/>
        <v>0</v>
      </c>
      <c r="AM82" s="76">
        <f t="shared" si="16"/>
        <v>0</v>
      </c>
      <c r="AN82" s="76">
        <f>MAX(0,O82*Escenarios!$E$13/Escenarios!$E$16-AM82)</f>
        <v>0.9409506222701709</v>
      </c>
      <c r="AO82" s="76">
        <f>AM82+AN82-O82*Escenarios!$E$13/Escenarios!$E$16</f>
        <v>0</v>
      </c>
      <c r="AP82" s="76">
        <f t="shared" si="14"/>
        <v>1.3552097697233081</v>
      </c>
      <c r="AQ82" s="76">
        <f t="shared" si="17"/>
        <v>0</v>
      </c>
      <c r="AR82" s="76">
        <f t="shared" si="18"/>
        <v>2.296160391993479</v>
      </c>
      <c r="AS82" s="76">
        <f t="shared" si="19"/>
        <v>0</v>
      </c>
      <c r="AT82" s="76">
        <f t="shared" si="20"/>
        <v>0.33021592815040424</v>
      </c>
      <c r="AU82" s="76">
        <f t="shared" si="21"/>
        <v>48.75</v>
      </c>
      <c r="AV82" s="76">
        <f>MAX(0,(AU82-Constantes!$D$13)*(1-EXP(-Constantes!$D$24)))</f>
        <v>0</v>
      </c>
      <c r="AW82" s="170">
        <f>AW81+(Entradas!$E$112*AT82-AX81)/(800*Entradas!$D$25)</f>
        <v>0</v>
      </c>
      <c r="AX82" s="170">
        <f>8000*Entradas!$D$26*AW82/Constantes!$E$45</f>
        <v>0</v>
      </c>
      <c r="AY82" s="170">
        <f>IF(Escenarios!$E$17&gt;0,10*Escenarios!$E$16*AL82,0)</f>
        <v>0</v>
      </c>
      <c r="AZ82" s="170">
        <f>IF(Escenarios!$E$17&gt;0,10*Escenarios!$E$16*AX82,0)</f>
        <v>0</v>
      </c>
      <c r="BA82" s="170">
        <f>IF(Escenarios!$E$17&gt;0,0.001*Observaciones!$F81*Escenarios!$E$17,0)</f>
        <v>4</v>
      </c>
      <c r="BB82" s="170">
        <f>IF(Escenarios!$E$17&gt;0,Observaciones!$K81,0)</f>
        <v>0</v>
      </c>
      <c r="BC82" s="170">
        <f>IF(Escenarios!$E$17&gt;0,MIN(0.0005*ETo!$M81*Escenarios!$E$17*(BG81/Constantes!$E$40)^(2/3),BG81+AY82+AZ82+BA82+BB82),0)</f>
        <v>41.841359581879118</v>
      </c>
      <c r="BD82" s="170">
        <f>IF(Escenarios!$E$17&gt;0,MIN(Constantes!$E$39*(BG81/Constantes!$E$40)^(2/3),BG81+AY82+AZ82+BA82+BB82-BC82),0)</f>
        <v>73.021336453355218</v>
      </c>
      <c r="BE82" s="170">
        <f>IF(Escenarios!$E$17&gt;0,MIN(Entradas!$E$113,BG81+AY82+AZ82+BA82+BB82-BC82-BD82),0)</f>
        <v>1</v>
      </c>
      <c r="BF82" s="170">
        <f>IF(Escenarios!$E$17&gt;0,MAX(0,BG81+AY82+AZ82+BA82+BB82-BC82-BD82-BE82-Constantes!$E$40),0)</f>
        <v>0</v>
      </c>
      <c r="BG82" s="170">
        <f t="shared" si="26"/>
        <v>5701.7811996793862</v>
      </c>
      <c r="BH82" s="170">
        <f>(Escenarios!$E$16*AK82+0.1*BC82)/(Escenarios!$E$19)</f>
        <v>2.1865338638906633</v>
      </c>
      <c r="BI82" s="170">
        <f>IF(Escenarios!$E$17&gt;0,BF82/10/Escenarios!$E$19,AL82)</f>
        <v>0</v>
      </c>
      <c r="BJ82" s="170">
        <f>(Escenarios!$E$16*AT82+0.1*BD82)/(Escenarios!$E$19)</f>
        <v>0.35657188763070069</v>
      </c>
      <c r="BK82" s="76">
        <f>BK81+(0.1*BD82)/(Escenarios!$E$19)-BL81</f>
        <v>49.802358790042049</v>
      </c>
      <c r="BL82" s="76">
        <f>MAX(0,(BK82-Constantes!$D$13)*(1-EXP(-Constantes!$D$23)))</f>
        <v>1.0369141810619844E-2</v>
      </c>
      <c r="BM82" s="76">
        <f t="shared" si="22"/>
        <v>1.3655789115339279</v>
      </c>
      <c r="BN82" s="76">
        <f t="shared" si="27"/>
        <v>2.306529533804099</v>
      </c>
      <c r="BO82" s="76">
        <f>0.0526*BI82*Observaciones!$F81^1.218</f>
        <v>0</v>
      </c>
      <c r="BP82" s="76">
        <f>BO82*Constantes!$E$51</f>
        <v>0</v>
      </c>
      <c r="BQ82" s="76">
        <f t="shared" si="23"/>
        <v>0</v>
      </c>
      <c r="BR82" s="40"/>
    </row>
    <row r="83" spans="1:70">
      <c r="A83" s="147"/>
      <c r="B83" s="39"/>
      <c r="C83" s="75">
        <v>77</v>
      </c>
      <c r="D83" s="146">
        <f>ETo!$I82*((1-Constantes!$E$19)*ETo!$K82+ETo!$L82)</f>
        <v>4.1409551284647375</v>
      </c>
      <c r="E83" s="76">
        <f>MIN(D83*Constantes!$E$17,0.8*(N82+Observaciones!$F82-F83-M83-Constantes!$D$14))</f>
        <v>2.0245639501026638</v>
      </c>
      <c r="F83" s="76">
        <f>IF(Observaciones!$F82&gt;0.05*Constantes!$E$18,((Observaciones!$F82-0.05*Constantes!$E$18)^2)/(Observaciones!$F82+0.95*Constantes!$E$18),0)</f>
        <v>0</v>
      </c>
      <c r="G83" s="76">
        <f>IF(Escenarios!$E$11&gt;0,(F83*Escenarios!$E$16*10000)/1000,0)</f>
        <v>0</v>
      </c>
      <c r="H83" s="76">
        <f>IF(Escenarios!$E$11&gt;0,(Observaciones!$F82*Constantes!$E$29)/1000,0)</f>
        <v>22</v>
      </c>
      <c r="I83" s="76">
        <f>IF(Escenarios!$E$11&gt;0,(D83*Constantes!$E$29)/1000,0)</f>
        <v>41.409551284647371</v>
      </c>
      <c r="J83" s="76">
        <f>IF(Escenarios!$E$11&gt;0,MAX(0,G83+H83-I83),0)</f>
        <v>0</v>
      </c>
      <c r="K83" s="76">
        <f>IF(Escenarios!$E$11&gt;0,IF(J83&gt;Constantes!$E$30,1000*((J83-Constantes!$E$30)/(Escenarios!$E$16*10000)),0),F83)</f>
        <v>0</v>
      </c>
      <c r="L83" s="76">
        <f>IF(Escenarios!$E$11&gt;0,I83*1000/Escenarios!$E$16/10000+E83,E83)</f>
        <v>2.0411277706165225</v>
      </c>
      <c r="M83" s="76">
        <f>MAX(0,N82+Observaciones!$F82-K83-Constantes!$D$13)</f>
        <v>0</v>
      </c>
      <c r="N83" s="76">
        <f>N82+Observaciones!$F82-K83-L83-M83-O82</f>
        <v>41.729711020107274</v>
      </c>
      <c r="O83" s="76">
        <f>MAX(0,(N83-Constantes!$D$14)*(1-EXP(-Constantes!$D$22)))</f>
        <v>1.038250850654693</v>
      </c>
      <c r="P83" s="170">
        <f>P82+(Entradas!$E$83*M83-Q82)/(800*Entradas!$D$25)</f>
        <v>0</v>
      </c>
      <c r="Q83" s="170">
        <f>8000*Entradas!$D$26*P83/Constantes!$E$45</f>
        <v>0</v>
      </c>
      <c r="R83" s="170">
        <f>IF(Escenarios!$E$14&gt;0,K83*Escenarios!$E$13/Escenarios!$E$14,0)</f>
        <v>0</v>
      </c>
      <c r="S83" s="170">
        <f>IF(Escenarios!$E$14&gt;0,Q83*Escenarios!$E$13/Escenarios!$E$14,0)</f>
        <v>0</v>
      </c>
      <c r="T83" s="170">
        <f>IF(Escenarios!$E$14&gt;0,Observaciones!$I82,0)</f>
        <v>0</v>
      </c>
      <c r="U83" s="170">
        <f>IF(Escenarios!$E$14&gt;0,MAX(0,Constantes!$E$36/((Z82+R83+S83+T83+Observaciones!$F82)^2)+Entradas!$E$77),0)</f>
        <v>2.7411589794543176</v>
      </c>
      <c r="V83" s="146">
        <f>IF(ETo!D82&gt;0,ETo!I82*((1-Entradas!$E$81)*ETo!K82+ETo!L82),0)</f>
        <v>3.7779967953058655</v>
      </c>
      <c r="W83" s="170">
        <f>IF(Escenarios!$E$14&gt;0,MIN(V83*1,0.8*(Z82+R83+S83+T83+Observaciones!$F82-U83-Constantes!$E$35)),0)</f>
        <v>3.7779967953058655</v>
      </c>
      <c r="X83" s="170">
        <f>IF(Escenarios!$E$14&gt;0,Observaciones!$J82,0)</f>
        <v>0</v>
      </c>
      <c r="Y83" s="170">
        <f>IF(Escenarios!$E$14&gt;0,MAX(0,Z82+R83+S83+T83+Observaciones!$F82-U83-W83-X83-Constantes!$E$33),0)</f>
        <v>0</v>
      </c>
      <c r="Z83" s="170">
        <f>Z82+R83+S83+T83+Observaciones!$F82-U83-W83-Y83</f>
        <v>192.63984639930544</v>
      </c>
      <c r="AA83" s="170">
        <f>IF(Escenarios!$E$14&gt;0,(Escenarios!$E$13*L83+Escenarios!$E$14*W83)/(Escenarios!$E$16),L83)</f>
        <v>2.2495520535792437</v>
      </c>
      <c r="AB83" s="170">
        <f>IF(Escenarios!$E$14&gt;0,(Escenarios!$E$14*Y83)/(Escenarios!$E$16),K83)</f>
        <v>0</v>
      </c>
      <c r="AC83" s="170">
        <f>IF(Escenarios!$E$14&gt;0,(Escenarios!$E$13*M83+Escenarios!$E$14*U83)/(Escenarios!$E$16),M83)</f>
        <v>0.32893907753451812</v>
      </c>
      <c r="AD83" s="76">
        <f t="shared" si="15"/>
        <v>185.26326146644527</v>
      </c>
      <c r="AE83" s="76">
        <f>MAX(0,(AD83-Constantes!$D$13)*(1-EXP(-Constantes!$D$23)))</f>
        <v>1.3450976801545373</v>
      </c>
      <c r="AF83" s="76">
        <f>AB83+O83*Escenarios!$E$13/Escenarios!$E$16+AE83</f>
        <v>2.2587584287306672</v>
      </c>
      <c r="AG83" s="76">
        <f>IF(Entradas!$E$91&gt;0,IF(AF83-Escenarios!$E$38&lt;=0,0,IF(AF83-Escenarios!$E$38&gt;Escenarios!$E$37,Escenarios!$E$37,AF83-Escenarios!$E$38)),0)</f>
        <v>0</v>
      </c>
      <c r="AH83" s="76">
        <f>AG83*Entradas!$E$99</f>
        <v>0</v>
      </c>
      <c r="AI83" s="76">
        <f>IF(Entradas!$E$91&gt;0,D83*Entradas!$D$23/Escenarios!$E$16,0)</f>
        <v>0</v>
      </c>
      <c r="AJ83" s="76">
        <f>IF(Entradas!$E$91&gt;0,Entradas!$D$24*Entradas!$D$22/Escenarios!$E$16,0)</f>
        <v>0</v>
      </c>
      <c r="AK83" s="76">
        <f t="shared" si="24"/>
        <v>2.2495520535792437</v>
      </c>
      <c r="AL83" s="76">
        <f t="shared" si="25"/>
        <v>0</v>
      </c>
      <c r="AM83" s="76">
        <f t="shared" si="16"/>
        <v>0</v>
      </c>
      <c r="AN83" s="76">
        <f>MAX(0,O83*Escenarios!$E$13/Escenarios!$E$16-AM83)</f>
        <v>0.91366074857612989</v>
      </c>
      <c r="AO83" s="76">
        <f>AM83+AN83-O83*Escenarios!$E$13/Escenarios!$E$16</f>
        <v>0</v>
      </c>
      <c r="AP83" s="76">
        <f t="shared" si="14"/>
        <v>1.3450976801545373</v>
      </c>
      <c r="AQ83" s="76">
        <f t="shared" si="17"/>
        <v>0</v>
      </c>
      <c r="AR83" s="76">
        <f t="shared" si="18"/>
        <v>2.2587584287306672</v>
      </c>
      <c r="AS83" s="76">
        <f t="shared" si="19"/>
        <v>0</v>
      </c>
      <c r="AT83" s="76">
        <f t="shared" si="20"/>
        <v>0.32893907753451812</v>
      </c>
      <c r="AU83" s="76">
        <f t="shared" si="21"/>
        <v>48.75</v>
      </c>
      <c r="AV83" s="76">
        <f>MAX(0,(AU83-Constantes!$D$13)*(1-EXP(-Constantes!$D$24)))</f>
        <v>0</v>
      </c>
      <c r="AW83" s="170">
        <f>AW82+(Entradas!$E$112*AT83-AX82)/(800*Entradas!$D$25)</f>
        <v>0</v>
      </c>
      <c r="AX83" s="170">
        <f>8000*Entradas!$D$26*AW83/Constantes!$E$45</f>
        <v>0</v>
      </c>
      <c r="AY83" s="170">
        <f>IF(Escenarios!$E$17&gt;0,10*Escenarios!$E$16*AL83,0)</f>
        <v>0</v>
      </c>
      <c r="AZ83" s="170">
        <f>IF(Escenarios!$E$17&gt;0,10*Escenarios!$E$16*AX83,0)</f>
        <v>0</v>
      </c>
      <c r="BA83" s="170">
        <f>IF(Escenarios!$E$17&gt;0,0.001*Observaciones!$F82*Escenarios!$E$17,0)</f>
        <v>44</v>
      </c>
      <c r="BB83" s="170">
        <f>IF(Escenarios!$E$17&gt;0,Observaciones!$K82,0)</f>
        <v>9.8238347283588343</v>
      </c>
      <c r="BC83" s="170">
        <f>IF(Escenarios!$E$17&gt;0,MIN(0.0005*ETo!$M82*Escenarios!$E$17*(BG82/Constantes!$E$40)^(2/3),BG82+AY83+AZ83+BA83+BB83),0)</f>
        <v>42.45680031947996</v>
      </c>
      <c r="BD83" s="170">
        <f>IF(Escenarios!$E$17&gt;0,MIN(Constantes!$E$39*(BG82/Constantes!$E$40)^(2/3),BG82+AY83+AZ83+BA83+BB83-BC83),0)</f>
        <v>72.081617703439548</v>
      </c>
      <c r="BE83" s="170">
        <f>IF(Escenarios!$E$17&gt;0,MIN(Entradas!$E$113,BG82+AY83+AZ83+BA83+BB83-BC83-BD83),0)</f>
        <v>1</v>
      </c>
      <c r="BF83" s="170">
        <f>IF(Escenarios!$E$17&gt;0,MAX(0,BG82+AY83+AZ83+BA83+BB83-BC83-BD83-BE83-Constantes!$E$40),0)</f>
        <v>0</v>
      </c>
      <c r="BG83" s="170">
        <f t="shared" si="26"/>
        <v>5640.0666163848255</v>
      </c>
      <c r="BH83" s="170">
        <f>(Escenarios!$E$16*AK83+0.1*BC83)/(Escenarios!$E$19)</f>
        <v>2.2485464024871389</v>
      </c>
      <c r="BI83" s="170">
        <f>IF(Escenarios!$E$17&gt;0,BF83/10/Escenarios!$E$19,AL83)</f>
        <v>0</v>
      </c>
      <c r="BJ83" s="170">
        <f>(Escenarios!$E$16*AT83+0.1*BD83)/(Escenarios!$E$19)</f>
        <v>0.35493226648402171</v>
      </c>
      <c r="BK83" s="76">
        <f>BK82+(0.1*BD83)/(Escenarios!$E$19)-BL82</f>
        <v>49.820593464780416</v>
      </c>
      <c r="BL83" s="76">
        <f>MAX(0,(BK83-Constantes!$D$13)*(1-EXP(-Constantes!$D$23)))</f>
        <v>1.0548812403978114E-2</v>
      </c>
      <c r="BM83" s="76">
        <f t="shared" si="22"/>
        <v>1.3556464925585154</v>
      </c>
      <c r="BN83" s="76">
        <f t="shared" si="27"/>
        <v>2.2693072411346455</v>
      </c>
      <c r="BO83" s="76">
        <f>0.0526*BI83*Observaciones!$F82^1.218</f>
        <v>0</v>
      </c>
      <c r="BP83" s="76">
        <f>BO83*Constantes!$E$51</f>
        <v>0</v>
      </c>
      <c r="BQ83" s="76">
        <f t="shared" si="23"/>
        <v>0</v>
      </c>
      <c r="BR83" s="40"/>
    </row>
    <row r="84" spans="1:70">
      <c r="A84" s="147"/>
      <c r="B84" s="39"/>
      <c r="C84" s="75">
        <v>78</v>
      </c>
      <c r="D84" s="146">
        <f>ETo!$I83*((1-Constantes!$E$19)*ETo!$K83+ETo!$L83)</f>
        <v>4.1783306989014086</v>
      </c>
      <c r="E84" s="76">
        <f>MIN(D84*Constantes!$E$17,0.8*(N83+Observaciones!$F83-F84-M84-Constantes!$D$14))</f>
        <v>2.0428373266964988</v>
      </c>
      <c r="F84" s="76">
        <f>IF(Observaciones!$F83&gt;0.05*Constantes!$E$18,((Observaciones!$F83-0.05*Constantes!$E$18)^2)/(Observaciones!$F83+0.95*Constantes!$E$18),0)</f>
        <v>0</v>
      </c>
      <c r="G84" s="76">
        <f>IF(Escenarios!$E$11&gt;0,(F84*Escenarios!$E$16*10000)/1000,0)</f>
        <v>0</v>
      </c>
      <c r="H84" s="76">
        <f>IF(Escenarios!$E$11&gt;0,(Observaciones!$F83*Constantes!$E$29)/1000,0)</f>
        <v>2</v>
      </c>
      <c r="I84" s="76">
        <f>IF(Escenarios!$E$11&gt;0,(D84*Constantes!$E$29)/1000,0)</f>
        <v>41.783306989014086</v>
      </c>
      <c r="J84" s="76">
        <f>IF(Escenarios!$E$11&gt;0,MAX(0,G84+H84-I84),0)</f>
        <v>0</v>
      </c>
      <c r="K84" s="76">
        <f>IF(Escenarios!$E$11&gt;0,IF(J84&gt;Constantes!$E$30,1000*((J84-Constantes!$E$30)/(Escenarios!$E$16*10000)),0),F84)</f>
        <v>0</v>
      </c>
      <c r="L84" s="76">
        <f>IF(Escenarios!$E$11&gt;0,I84*1000/Escenarios!$E$16/10000+E84,E84)</f>
        <v>2.0595506494921043</v>
      </c>
      <c r="M84" s="76">
        <f>MAX(0,N83+Observaciones!$F83-K84-Constantes!$D$13)</f>
        <v>0</v>
      </c>
      <c r="N84" s="76">
        <f>N83+Observaciones!$F83-K84-L84-M84-O83</f>
        <v>38.831909519960483</v>
      </c>
      <c r="O84" s="76">
        <f>MAX(0,(N84-Constantes!$D$14)*(1-EXP(-Constantes!$D$22)))</f>
        <v>0.93954109351260373</v>
      </c>
      <c r="P84" s="170">
        <f>P83+(Entradas!$E$83*M84-Q83)/(800*Entradas!$D$25)</f>
        <v>0</v>
      </c>
      <c r="Q84" s="170">
        <f>8000*Entradas!$D$26*P84/Constantes!$E$45</f>
        <v>0</v>
      </c>
      <c r="R84" s="170">
        <f>IF(Escenarios!$E$14&gt;0,K84*Escenarios!$E$13/Escenarios!$E$14,0)</f>
        <v>0</v>
      </c>
      <c r="S84" s="170">
        <f>IF(Escenarios!$E$14&gt;0,Q84*Escenarios!$E$13/Escenarios!$E$14,0)</f>
        <v>0</v>
      </c>
      <c r="T84" s="170">
        <f>IF(Escenarios!$E$14&gt;0,Observaciones!$I83,0)</f>
        <v>0</v>
      </c>
      <c r="U84" s="170">
        <f>IF(Escenarios!$E$14&gt;0,MAX(0,Constantes!$E$36/((Z83+R84+S84+T84+Observaciones!$F83)^2)+Entradas!$E$77),0)</f>
        <v>2.7239171477200705</v>
      </c>
      <c r="V84" s="146">
        <f>IF(ETo!D83&gt;0,ETo!I83*((1-Entradas!$E$81)*ETo!K83+ETo!L83),0)</f>
        <v>3.8125282748707705</v>
      </c>
      <c r="W84" s="170">
        <f>IF(Escenarios!$E$14&gt;0,MIN(V84*1,0.8*(Z83+R84+S84+T84+Observaciones!$F83-U84-Constantes!$E$35)),0)</f>
        <v>3.8125282748707705</v>
      </c>
      <c r="X84" s="170">
        <f>IF(Escenarios!$E$14&gt;0,Observaciones!$J83,0)</f>
        <v>0</v>
      </c>
      <c r="Y84" s="170">
        <f>IF(Escenarios!$E$14&gt;0,MAX(0,Z83+R84+S84+T84+Observaciones!$F83-U84-W84-X84-Constantes!$E$33),0)</f>
        <v>0</v>
      </c>
      <c r="Z84" s="170">
        <f>Z83+R84+S84+T84+Observaciones!$F83-U84-W84-Y84</f>
        <v>186.30340097671458</v>
      </c>
      <c r="AA84" s="170">
        <f>IF(Escenarios!$E$14&gt;0,(Escenarios!$E$13*L84+Escenarios!$E$14*W84)/(Escenarios!$E$16),L84)</f>
        <v>2.269907964537544</v>
      </c>
      <c r="AB84" s="170">
        <f>IF(Escenarios!$E$14&gt;0,(Escenarios!$E$14*Y84)/(Escenarios!$E$16),K84)</f>
        <v>0</v>
      </c>
      <c r="AC84" s="170">
        <f>IF(Escenarios!$E$14&gt;0,(Escenarios!$E$13*M84+Escenarios!$E$14*U84)/(Escenarios!$E$16),M84)</f>
        <v>0.32687005772640843</v>
      </c>
      <c r="AD84" s="76">
        <f t="shared" si="15"/>
        <v>184.24503384401714</v>
      </c>
      <c r="AE84" s="76">
        <f>MAX(0,(AD84-Constantes!$D$13)*(1-EXP(-Constantes!$D$23)))</f>
        <v>1.3350648408678283</v>
      </c>
      <c r="AF84" s="76">
        <f>AB84+O84*Escenarios!$E$13/Escenarios!$E$16+AE84</f>
        <v>2.1618610031589194</v>
      </c>
      <c r="AG84" s="76">
        <f>IF(Entradas!$E$91&gt;0,IF(AF84-Escenarios!$E$38&lt;=0,0,IF(AF84-Escenarios!$E$38&gt;Escenarios!$E$37,Escenarios!$E$37,AF84-Escenarios!$E$38)),0)</f>
        <v>0</v>
      </c>
      <c r="AH84" s="76">
        <f>AG84*Entradas!$E$99</f>
        <v>0</v>
      </c>
      <c r="AI84" s="76">
        <f>IF(Entradas!$E$91&gt;0,D84*Entradas!$D$23/Escenarios!$E$16,0)</f>
        <v>0</v>
      </c>
      <c r="AJ84" s="76">
        <f>IF(Entradas!$E$91&gt;0,Entradas!$D$24*Entradas!$D$22/Escenarios!$E$16,0)</f>
        <v>0</v>
      </c>
      <c r="AK84" s="76">
        <f t="shared" si="24"/>
        <v>2.269907964537544</v>
      </c>
      <c r="AL84" s="76">
        <f t="shared" si="25"/>
        <v>0</v>
      </c>
      <c r="AM84" s="76">
        <f t="shared" si="16"/>
        <v>0</v>
      </c>
      <c r="AN84" s="76">
        <f>MAX(0,O84*Escenarios!$E$13/Escenarios!$E$16-AM84)</f>
        <v>0.82679616229109132</v>
      </c>
      <c r="AO84" s="76">
        <f>AM84+AN84-O84*Escenarios!$E$13/Escenarios!$E$16</f>
        <v>0</v>
      </c>
      <c r="AP84" s="76">
        <f t="shared" si="14"/>
        <v>1.3350648408678283</v>
      </c>
      <c r="AQ84" s="76">
        <f t="shared" si="17"/>
        <v>0</v>
      </c>
      <c r="AR84" s="76">
        <f t="shared" si="18"/>
        <v>2.1618610031589194</v>
      </c>
      <c r="AS84" s="76">
        <f t="shared" si="19"/>
        <v>0</v>
      </c>
      <c r="AT84" s="76">
        <f t="shared" si="20"/>
        <v>0.32687005772640843</v>
      </c>
      <c r="AU84" s="76">
        <f t="shared" si="21"/>
        <v>48.75</v>
      </c>
      <c r="AV84" s="76">
        <f>MAX(0,(AU84-Constantes!$D$13)*(1-EXP(-Constantes!$D$24)))</f>
        <v>0</v>
      </c>
      <c r="AW84" s="170">
        <f>AW83+(Entradas!$E$112*AT84-AX83)/(800*Entradas!$D$25)</f>
        <v>0</v>
      </c>
      <c r="AX84" s="170">
        <f>8000*Entradas!$D$26*AW84/Constantes!$E$45</f>
        <v>0</v>
      </c>
      <c r="AY84" s="170">
        <f>IF(Escenarios!$E$17&gt;0,10*Escenarios!$E$16*AL84,0)</f>
        <v>0</v>
      </c>
      <c r="AZ84" s="170">
        <f>IF(Escenarios!$E$17&gt;0,10*Escenarios!$E$16*AX84,0)</f>
        <v>0</v>
      </c>
      <c r="BA84" s="170">
        <f>IF(Escenarios!$E$17&gt;0,0.001*Observaciones!$F83*Escenarios!$E$17,0)</f>
        <v>4</v>
      </c>
      <c r="BB84" s="170">
        <f>IF(Escenarios!$E$17&gt;0,Observaciones!$K83,0)</f>
        <v>400.56127797327457</v>
      </c>
      <c r="BC84" s="170">
        <f>IF(Escenarios!$E$17&gt;0,MIN(0.0005*ETo!$M83*Escenarios!$E$17*(BG83/Constantes!$E$40)^(2/3),BG83+AY84+AZ84+BA84+BB84),0)</f>
        <v>42.524242682761994</v>
      </c>
      <c r="BD84" s="170">
        <f>IF(Escenarios!$E$17&gt;0,MIN(Constantes!$E$39*(BG83/Constantes!$E$40)^(2/3),BG83+AY84+AZ84+BA84+BB84-BC84),0)</f>
        <v>71.560546530620499</v>
      </c>
      <c r="BE84" s="170">
        <f>IF(Escenarios!$E$17&gt;0,MIN(Entradas!$E$113,BG83+AY84+AZ84+BA84+BB84-BC84-BD84),0)</f>
        <v>1</v>
      </c>
      <c r="BF84" s="170">
        <f>IF(Escenarios!$E$17&gt;0,MAX(0,BG83+AY84+AZ84+BA84+BB84-BC84-BD84-BE84-Constantes!$E$40),0)</f>
        <v>0</v>
      </c>
      <c r="BG84" s="170">
        <f t="shared" si="26"/>
        <v>5929.5431051447176</v>
      </c>
      <c r="BH84" s="170">
        <f>(Escenarios!$E$16*AK84+0.1*BC84)/(Escenarios!$E$19)</f>
        <v>2.2687675214391358</v>
      </c>
      <c r="BI84" s="170">
        <f>IF(Escenarios!$E$17&gt;0,BF84/10/Escenarios!$E$19,AL84)</f>
        <v>0</v>
      </c>
      <c r="BJ84" s="170">
        <f>(Escenarios!$E$16*AT84+0.1*BD84)/(Escenarios!$E$19)</f>
        <v>0.35267289319311174</v>
      </c>
      <c r="BK84" s="76">
        <f>BK83+(0.1*BD84)/(Escenarios!$E$19)-BL83</f>
        <v>49.838441694650498</v>
      </c>
      <c r="BL84" s="76">
        <f>MAX(0,(BK84-Constantes!$D$13)*(1-EXP(-Constantes!$D$23)))</f>
        <v>1.0724675264005192E-2</v>
      </c>
      <c r="BM84" s="76">
        <f t="shared" si="22"/>
        <v>1.3457895161318334</v>
      </c>
      <c r="BN84" s="76">
        <f t="shared" si="27"/>
        <v>2.1725856784229247</v>
      </c>
      <c r="BO84" s="76">
        <f>0.0526*BI84*Observaciones!$F83^1.218</f>
        <v>0</v>
      </c>
      <c r="BP84" s="76">
        <f>BO84*Constantes!$E$51</f>
        <v>0</v>
      </c>
      <c r="BQ84" s="76">
        <f t="shared" si="23"/>
        <v>0</v>
      </c>
      <c r="BR84" s="40"/>
    </row>
    <row r="85" spans="1:70">
      <c r="A85" s="147"/>
      <c r="B85" s="39"/>
      <c r="C85" s="75">
        <v>79</v>
      </c>
      <c r="D85" s="146">
        <f>ETo!$I84*((1-Constantes!$E$19)*ETo!$K84+ETo!$L84)</f>
        <v>4.092685991785654</v>
      </c>
      <c r="E85" s="76">
        <f>MIN(D85*Constantes!$E$17,0.8*(N84+Observaciones!$F84-F85-M85-Constantes!$D$14))</f>
        <v>2.0009645748398652</v>
      </c>
      <c r="F85" s="76">
        <f>IF(Observaciones!$F84&gt;0.05*Constantes!$E$18,((Observaciones!$F84-0.05*Constantes!$E$18)^2)/(Observaciones!$F84+0.95*Constantes!$E$18),0)</f>
        <v>0</v>
      </c>
      <c r="G85" s="76">
        <f>IF(Escenarios!$E$11&gt;0,(F85*Escenarios!$E$16*10000)/1000,0)</f>
        <v>0</v>
      </c>
      <c r="H85" s="76">
        <f>IF(Escenarios!$E$11&gt;0,(Observaciones!$F84*Constantes!$E$29)/1000,0)</f>
        <v>36</v>
      </c>
      <c r="I85" s="76">
        <f>IF(Escenarios!$E$11&gt;0,(D85*Constantes!$E$29)/1000,0)</f>
        <v>40.92685991785654</v>
      </c>
      <c r="J85" s="76">
        <f>IF(Escenarios!$E$11&gt;0,MAX(0,G85+H85-I85),0)</f>
        <v>0</v>
      </c>
      <c r="K85" s="76">
        <f>IF(Escenarios!$E$11&gt;0,IF(J85&gt;Constantes!$E$30,1000*((J85-Constantes!$E$30)/(Escenarios!$E$16*10000)),0),F85)</f>
        <v>0</v>
      </c>
      <c r="L85" s="76">
        <f>IF(Escenarios!$E$11&gt;0,I85*1000/Escenarios!$E$16/10000+E85,E85)</f>
        <v>2.017335318807008</v>
      </c>
      <c r="M85" s="76">
        <f>MAX(0,N84+Observaciones!$F84-K85-Constantes!$D$13)</f>
        <v>0</v>
      </c>
      <c r="N85" s="76">
        <f>N84+Observaciones!$F84-K85-L85-M85-O84</f>
        <v>39.475033107640876</v>
      </c>
      <c r="O85" s="76">
        <f>MAX(0,(N85-Constantes!$D$14)*(1-EXP(-Constantes!$D$22)))</f>
        <v>0.96144824386402183</v>
      </c>
      <c r="P85" s="170">
        <f>P84+(Entradas!$E$83*M85-Q84)/(800*Entradas!$D$25)</f>
        <v>0</v>
      </c>
      <c r="Q85" s="170">
        <f>8000*Entradas!$D$26*P85/Constantes!$E$45</f>
        <v>0</v>
      </c>
      <c r="R85" s="170">
        <f>IF(Escenarios!$E$14&gt;0,K85*Escenarios!$E$13/Escenarios!$E$14,0)</f>
        <v>0</v>
      </c>
      <c r="S85" s="170">
        <f>IF(Escenarios!$E$14&gt;0,Q85*Escenarios!$E$13/Escenarios!$E$14,0)</f>
        <v>0</v>
      </c>
      <c r="T85" s="170">
        <f>IF(Escenarios!$E$14&gt;0,Observaciones!$I84,0)</f>
        <v>0</v>
      </c>
      <c r="U85" s="170">
        <f>IF(Escenarios!$E$14&gt;0,MAX(0,Constantes!$E$36/((Z84+R85+S85+T85+Observaciones!$F84)^2)+Entradas!$E$77),0)</f>
        <v>2.7153130879505194</v>
      </c>
      <c r="V85" s="146">
        <f>IF(ETo!D84&gt;0,ETo!I84*((1-Entradas!$E$81)*ETo!K84+ETo!L84),0)</f>
        <v>3.7330143003015333</v>
      </c>
      <c r="W85" s="170">
        <f>IF(Escenarios!$E$14&gt;0,MIN(V85*1,0.8*(Z84+R85+S85+T85+Observaciones!$F84-U85-Constantes!$E$35)),0)</f>
        <v>3.7330143003015333</v>
      </c>
      <c r="X85" s="170">
        <f>IF(Escenarios!$E$14&gt;0,Observaciones!$J84,0)</f>
        <v>0</v>
      </c>
      <c r="Y85" s="170">
        <f>IF(Escenarios!$E$14&gt;0,MAX(0,Z84+R85+S85+T85+Observaciones!$F84-U85-W85-X85-Constantes!$E$33),0)</f>
        <v>0</v>
      </c>
      <c r="Z85" s="170">
        <f>Z84+R85+S85+T85+Observaciones!$F84-U85-W85-Y85</f>
        <v>183.45507358846254</v>
      </c>
      <c r="AA85" s="170">
        <f>IF(Escenarios!$E$14&gt;0,(Escenarios!$E$13*L85+Escenarios!$E$14*W85)/(Escenarios!$E$16),L85)</f>
        <v>2.223216796586351</v>
      </c>
      <c r="AB85" s="170">
        <f>IF(Escenarios!$E$14&gt;0,(Escenarios!$E$14*Y85)/(Escenarios!$E$16),K85)</f>
        <v>0</v>
      </c>
      <c r="AC85" s="170">
        <f>IF(Escenarios!$E$14&gt;0,(Escenarios!$E$13*M85+Escenarios!$E$14*U85)/(Escenarios!$E$16),M85)</f>
        <v>0.32583757055406232</v>
      </c>
      <c r="AD85" s="76">
        <f t="shared" si="15"/>
        <v>183.23580657370337</v>
      </c>
      <c r="AE85" s="76">
        <f>MAX(0,(AD85-Constantes!$D$13)*(1-EXP(-Constantes!$D$23)))</f>
        <v>1.3251206841942187</v>
      </c>
      <c r="AF85" s="76">
        <f>AB85+O85*Escenarios!$E$13/Escenarios!$E$16+AE85</f>
        <v>2.1711951387945581</v>
      </c>
      <c r="AG85" s="76">
        <f>IF(Entradas!$E$91&gt;0,IF(AF85-Escenarios!$E$38&lt;=0,0,IF(AF85-Escenarios!$E$38&gt;Escenarios!$E$37,Escenarios!$E$37,AF85-Escenarios!$E$38)),0)</f>
        <v>0</v>
      </c>
      <c r="AH85" s="76">
        <f>AG85*Entradas!$E$99</f>
        <v>0</v>
      </c>
      <c r="AI85" s="76">
        <f>IF(Entradas!$E$91&gt;0,D85*Entradas!$D$23/Escenarios!$E$16,0)</f>
        <v>0</v>
      </c>
      <c r="AJ85" s="76">
        <f>IF(Entradas!$E$91&gt;0,Entradas!$D$24*Entradas!$D$22/Escenarios!$E$16,0)</f>
        <v>0</v>
      </c>
      <c r="AK85" s="76">
        <f t="shared" si="24"/>
        <v>2.223216796586351</v>
      </c>
      <c r="AL85" s="76">
        <f t="shared" si="25"/>
        <v>0</v>
      </c>
      <c r="AM85" s="76">
        <f t="shared" si="16"/>
        <v>0</v>
      </c>
      <c r="AN85" s="76">
        <f>MAX(0,O85*Escenarios!$E$13/Escenarios!$E$16-AM85)</f>
        <v>0.84607445460033925</v>
      </c>
      <c r="AO85" s="76">
        <f>AM85+AN85-O85*Escenarios!$E$13/Escenarios!$E$16</f>
        <v>0</v>
      </c>
      <c r="AP85" s="76">
        <f t="shared" si="14"/>
        <v>1.3251206841942187</v>
      </c>
      <c r="AQ85" s="76">
        <f t="shared" si="17"/>
        <v>0</v>
      </c>
      <c r="AR85" s="76">
        <f t="shared" si="18"/>
        <v>2.1711951387945581</v>
      </c>
      <c r="AS85" s="76">
        <f t="shared" si="19"/>
        <v>0</v>
      </c>
      <c r="AT85" s="76">
        <f t="shared" si="20"/>
        <v>0.32583757055406232</v>
      </c>
      <c r="AU85" s="76">
        <f t="shared" si="21"/>
        <v>48.75</v>
      </c>
      <c r="AV85" s="76">
        <f>MAX(0,(AU85-Constantes!$D$13)*(1-EXP(-Constantes!$D$24)))</f>
        <v>0</v>
      </c>
      <c r="AW85" s="170">
        <f>AW84+(Entradas!$E$112*AT85-AX84)/(800*Entradas!$D$25)</f>
        <v>0</v>
      </c>
      <c r="AX85" s="170">
        <f>8000*Entradas!$D$26*AW85/Constantes!$E$45</f>
        <v>0</v>
      </c>
      <c r="AY85" s="170">
        <f>IF(Escenarios!$E$17&gt;0,10*Escenarios!$E$16*AL85,0)</f>
        <v>0</v>
      </c>
      <c r="AZ85" s="170">
        <f>IF(Escenarios!$E$17&gt;0,10*Escenarios!$E$16*AX85,0)</f>
        <v>0</v>
      </c>
      <c r="BA85" s="170">
        <f>IF(Escenarios!$E$17&gt;0,0.001*Observaciones!$F84*Escenarios!$E$17,0)</f>
        <v>72</v>
      </c>
      <c r="BB85" s="170">
        <f>IF(Escenarios!$E$17&gt;0,Observaciones!$K84,0)</f>
        <v>343.55264240530244</v>
      </c>
      <c r="BC85" s="170">
        <f>IF(Escenarios!$E$17&gt;0,MIN(0.0005*ETo!$M84*Escenarios!$E$17*(BG84/Constantes!$E$40)^(2/3),BG84+AY85+AZ85+BA85+BB85),0)</f>
        <v>43.085798120045837</v>
      </c>
      <c r="BD85" s="170">
        <f>IF(Escenarios!$E$17&gt;0,MIN(Constantes!$E$39*(BG84/Constantes!$E$40)^(2/3),BG84+AY85+AZ85+BA85+BB85-BC85),0)</f>
        <v>73.988629013701058</v>
      </c>
      <c r="BE85" s="170">
        <f>IF(Escenarios!$E$17&gt;0,MIN(Entradas!$E$113,BG84+AY85+AZ85+BA85+BB85-BC85-BD85),0)</f>
        <v>1</v>
      </c>
      <c r="BF85" s="170">
        <f>IF(Escenarios!$E$17&gt;0,MAX(0,BG84+AY85+AZ85+BA85+BB85-BC85-BD85-BE85-Constantes!$E$40),0)</f>
        <v>0</v>
      </c>
      <c r="BG85" s="170">
        <f t="shared" si="26"/>
        <v>6227.0213204162728</v>
      </c>
      <c r="BH85" s="170">
        <f>(Escenarios!$E$16*AK85+0.1*BC85)/(Escenarios!$E$19)</f>
        <v>2.2226697577721919</v>
      </c>
      <c r="BI85" s="170">
        <f>IF(Escenarios!$E$17&gt;0,BF85/10/Escenarios!$E$19,AL85)</f>
        <v>0</v>
      </c>
      <c r="BJ85" s="170">
        <f>(Escenarios!$E$16*AT85+0.1*BD85)/(Escenarios!$E$19)</f>
        <v>0.35261212515827656</v>
      </c>
      <c r="BK85" s="76">
        <f>BK84+(0.1*BD85)/(Escenarios!$E$19)-BL84</f>
        <v>49.857077586455418</v>
      </c>
      <c r="BL85" s="76">
        <f>MAX(0,(BK85-Constantes!$D$13)*(1-EXP(-Constantes!$D$23)))</f>
        <v>1.0908299144682672E-2</v>
      </c>
      <c r="BM85" s="76">
        <f t="shared" si="22"/>
        <v>1.3360289833389014</v>
      </c>
      <c r="BN85" s="76">
        <f t="shared" si="27"/>
        <v>2.1821034379392406</v>
      </c>
      <c r="BO85" s="76">
        <f>0.0526*BI85*Observaciones!$F84^1.218</f>
        <v>0</v>
      </c>
      <c r="BP85" s="76">
        <f>BO85*Constantes!$E$51</f>
        <v>0</v>
      </c>
      <c r="BQ85" s="76">
        <f t="shared" si="23"/>
        <v>0</v>
      </c>
      <c r="BR85" s="40"/>
    </row>
    <row r="86" spans="1:70">
      <c r="A86" s="147"/>
      <c r="B86" s="39"/>
      <c r="C86" s="75">
        <v>80</v>
      </c>
      <c r="D86" s="146">
        <f>ETo!$I85*((1-Constantes!$E$19)*ETo!$K85+ETo!$L85)</f>
        <v>3.9443468586289687</v>
      </c>
      <c r="E86" s="76">
        <f>MIN(D86*Constantes!$E$17,0.8*(N85+Observaciones!$F85-F86-M86-Constantes!$D$14))</f>
        <v>1.9284397461320861</v>
      </c>
      <c r="F86" s="76">
        <f>IF(Observaciones!$F85&gt;0.05*Constantes!$E$18,((Observaciones!$F85-0.05*Constantes!$E$18)^2)/(Observaciones!$F85+0.95*Constantes!$E$18),0)</f>
        <v>0</v>
      </c>
      <c r="G86" s="76">
        <f>IF(Escenarios!$E$11&gt;0,(F86*Escenarios!$E$16*10000)/1000,0)</f>
        <v>0</v>
      </c>
      <c r="H86" s="76">
        <f>IF(Escenarios!$E$11&gt;0,(Observaciones!$F85*Constantes!$E$29)/1000,0)</f>
        <v>0</v>
      </c>
      <c r="I86" s="76">
        <f>IF(Escenarios!$E$11&gt;0,(D86*Constantes!$E$29)/1000,0)</f>
        <v>39.44346858628969</v>
      </c>
      <c r="J86" s="76">
        <f>IF(Escenarios!$E$11&gt;0,MAX(0,G86+H86-I86),0)</f>
        <v>0</v>
      </c>
      <c r="K86" s="76">
        <f>IF(Escenarios!$E$11&gt;0,IF(J86&gt;Constantes!$E$30,1000*((J86-Constantes!$E$30)/(Escenarios!$E$16*10000)),0),F86)</f>
        <v>0</v>
      </c>
      <c r="L86" s="76">
        <f>IF(Escenarios!$E$11&gt;0,I86*1000/Escenarios!$E$16/10000+E86,E86)</f>
        <v>1.9442171335666021</v>
      </c>
      <c r="M86" s="76">
        <f>MAX(0,N85+Observaciones!$F85-K86-Constantes!$D$13)</f>
        <v>0</v>
      </c>
      <c r="N86" s="76">
        <f>N85+Observaciones!$F85-K86-L86-M86-O85</f>
        <v>36.569367730210253</v>
      </c>
      <c r="O86" s="76">
        <f>MAX(0,(N86-Constantes!$D$14)*(1-EXP(-Constantes!$D$22)))</f>
        <v>0.86247061419276072</v>
      </c>
      <c r="P86" s="170">
        <f>P85+(Entradas!$E$83*M86-Q85)/(800*Entradas!$D$25)</f>
        <v>0</v>
      </c>
      <c r="Q86" s="170">
        <f>8000*Entradas!$D$26*P86/Constantes!$E$45</f>
        <v>0</v>
      </c>
      <c r="R86" s="170">
        <f>IF(Escenarios!$E$14&gt;0,K86*Escenarios!$E$13/Escenarios!$E$14,0)</f>
        <v>0</v>
      </c>
      <c r="S86" s="170">
        <f>IF(Escenarios!$E$14&gt;0,Q86*Escenarios!$E$13/Escenarios!$E$14,0)</f>
        <v>0</v>
      </c>
      <c r="T86" s="170">
        <f>IF(Escenarios!$E$14&gt;0,Observaciones!$I85,0)</f>
        <v>0</v>
      </c>
      <c r="U86" s="170">
        <f>IF(Escenarios!$E$14&gt;0,MAX(0,Constantes!$E$36/((Z85+R86+S86+T86+Observaciones!$F85)^2)+Entradas!$E$77),0)</f>
        <v>2.6949482414879222</v>
      </c>
      <c r="V86" s="146">
        <f>IF(ETo!D85&gt;0,ETo!I85*((1-Entradas!$E$81)*ETo!K85+ETo!L85),0)</f>
        <v>3.5957558916423906</v>
      </c>
      <c r="W86" s="170">
        <f>IF(Escenarios!$E$14&gt;0,MIN(V86*1,0.8*(Z85+R86+S86+T86+Observaciones!$F85-U86-Constantes!$E$35)),0)</f>
        <v>3.5957558916423906</v>
      </c>
      <c r="X86" s="170">
        <f>IF(Escenarios!$E$14&gt;0,Observaciones!$J85,0)</f>
        <v>0</v>
      </c>
      <c r="Y86" s="170">
        <f>IF(Escenarios!$E$14&gt;0,MAX(0,Z85+R86+S86+T86+Observaciones!$F85-U86-W86-X86-Constantes!$E$33),0)</f>
        <v>0</v>
      </c>
      <c r="Z86" s="170">
        <f>Z85+R86+S86+T86+Observaciones!$F85-U86-W86-Y86</f>
        <v>177.16436945533221</v>
      </c>
      <c r="AA86" s="170">
        <f>IF(Escenarios!$E$14&gt;0,(Escenarios!$E$13*L86+Escenarios!$E$14*W86)/(Escenarios!$E$16),L86)</f>
        <v>2.1424017845356964</v>
      </c>
      <c r="AB86" s="170">
        <f>IF(Escenarios!$E$14&gt;0,(Escenarios!$E$14*Y86)/(Escenarios!$E$16),K86)</f>
        <v>0</v>
      </c>
      <c r="AC86" s="170">
        <f>IF(Escenarios!$E$14&gt;0,(Escenarios!$E$13*M86+Escenarios!$E$14*U86)/(Escenarios!$E$16),M86)</f>
        <v>0.3233937889785507</v>
      </c>
      <c r="AD86" s="76">
        <f t="shared" si="15"/>
        <v>182.23407967848772</v>
      </c>
      <c r="AE86" s="76">
        <f>MAX(0,(AD86-Constantes!$D$13)*(1-EXP(-Constantes!$D$23)))</f>
        <v>1.3152504305029011</v>
      </c>
      <c r="AF86" s="76">
        <f>AB86+O86*Escenarios!$E$13/Escenarios!$E$16+AE86</f>
        <v>2.0742245709925307</v>
      </c>
      <c r="AG86" s="76">
        <f>IF(Entradas!$E$91&gt;0,IF(AF86-Escenarios!$E$38&lt;=0,0,IF(AF86-Escenarios!$E$38&gt;Escenarios!$E$37,Escenarios!$E$37,AF86-Escenarios!$E$38)),0)</f>
        <v>0</v>
      </c>
      <c r="AH86" s="76">
        <f>AG86*Entradas!$E$99</f>
        <v>0</v>
      </c>
      <c r="AI86" s="76">
        <f>IF(Entradas!$E$91&gt;0,D86*Entradas!$D$23/Escenarios!$E$16,0)</f>
        <v>0</v>
      </c>
      <c r="AJ86" s="76">
        <f>IF(Entradas!$E$91&gt;0,Entradas!$D$24*Entradas!$D$22/Escenarios!$E$16,0)</f>
        <v>0</v>
      </c>
      <c r="AK86" s="76">
        <f t="shared" si="24"/>
        <v>2.1424017845356964</v>
      </c>
      <c r="AL86" s="76">
        <f t="shared" si="25"/>
        <v>0</v>
      </c>
      <c r="AM86" s="76">
        <f t="shared" si="16"/>
        <v>0</v>
      </c>
      <c r="AN86" s="76">
        <f>MAX(0,O86*Escenarios!$E$13/Escenarios!$E$16-AM86)</f>
        <v>0.75897414048962941</v>
      </c>
      <c r="AO86" s="76">
        <f>AM86+AN86-O86*Escenarios!$E$13/Escenarios!$E$16</f>
        <v>0</v>
      </c>
      <c r="AP86" s="76">
        <f t="shared" si="14"/>
        <v>1.3152504305029011</v>
      </c>
      <c r="AQ86" s="76">
        <f t="shared" si="17"/>
        <v>0</v>
      </c>
      <c r="AR86" s="76">
        <f t="shared" si="18"/>
        <v>2.0742245709925307</v>
      </c>
      <c r="AS86" s="76">
        <f t="shared" si="19"/>
        <v>0</v>
      </c>
      <c r="AT86" s="76">
        <f t="shared" si="20"/>
        <v>0.3233937889785507</v>
      </c>
      <c r="AU86" s="76">
        <f t="shared" si="21"/>
        <v>48.75</v>
      </c>
      <c r="AV86" s="76">
        <f>MAX(0,(AU86-Constantes!$D$13)*(1-EXP(-Constantes!$D$24)))</f>
        <v>0</v>
      </c>
      <c r="AW86" s="170">
        <f>AW85+(Entradas!$E$112*AT86-AX85)/(800*Entradas!$D$25)</f>
        <v>0</v>
      </c>
      <c r="AX86" s="170">
        <f>8000*Entradas!$D$26*AW86/Constantes!$E$45</f>
        <v>0</v>
      </c>
      <c r="AY86" s="170">
        <f>IF(Escenarios!$E$17&gt;0,10*Escenarios!$E$16*AL86,0)</f>
        <v>0</v>
      </c>
      <c r="AZ86" s="170">
        <f>IF(Escenarios!$E$17&gt;0,10*Escenarios!$E$16*AX86,0)</f>
        <v>0</v>
      </c>
      <c r="BA86" s="170">
        <f>IF(Escenarios!$E$17&gt;0,0.001*Observaciones!$F85*Escenarios!$E$17,0)</f>
        <v>0</v>
      </c>
      <c r="BB86" s="170">
        <f>IF(Escenarios!$E$17&gt;0,Observaciones!$K85,0)</f>
        <v>0</v>
      </c>
      <c r="BC86" s="170">
        <f>IF(Escenarios!$E$17&gt;0,MIN(0.0005*ETo!$M85*Escenarios!$E$17*(BG85/Constantes!$E$40)^(2/3),BG85+AY86+AZ86+BA86+BB86),0)</f>
        <v>42.93101043045997</v>
      </c>
      <c r="BD86" s="170">
        <f>IF(Escenarios!$E$17&gt;0,MIN(Constantes!$E$39*(BG85/Constantes!$E$40)^(2/3),BG85+AY86+AZ86+BA86+BB86-BC86),0)</f>
        <v>76.44300098209763</v>
      </c>
      <c r="BE86" s="170">
        <f>IF(Escenarios!$E$17&gt;0,MIN(Entradas!$E$113,BG85+AY86+AZ86+BA86+BB86-BC86-BD86),0)</f>
        <v>1</v>
      </c>
      <c r="BF86" s="170">
        <f>IF(Escenarios!$E$17&gt;0,MAX(0,BG85+AY86+AZ86+BA86+BB86-BC86-BD86-BE86-Constantes!$E$40),0)</f>
        <v>0</v>
      </c>
      <c r="BG86" s="170">
        <f t="shared" si="26"/>
        <v>6106.6473090037152</v>
      </c>
      <c r="BH86" s="170">
        <f>(Escenarios!$E$16*AK86+0.1*BC86)/(Escenarios!$E$19)</f>
        <v>2.1424347110197228</v>
      </c>
      <c r="BI86" s="170">
        <f>IF(Escenarios!$E$17&gt;0,BF86/10/Escenarios!$E$19,AL86)</f>
        <v>0</v>
      </c>
      <c r="BJ86" s="170">
        <f>(Escenarios!$E$16*AT86+0.1*BD86)/(Escenarios!$E$19)</f>
        <v>0.35116169580495016</v>
      </c>
      <c r="BK86" s="76">
        <f>BK85+(0.1*BD86)/(Escenarios!$E$19)-BL85</f>
        <v>49.876503811509984</v>
      </c>
      <c r="BL86" s="76">
        <f>MAX(0,(BK86-Constantes!$D$13)*(1-EXP(-Constantes!$D$23)))</f>
        <v>1.1099710367111635E-2</v>
      </c>
      <c r="BM86" s="76">
        <f t="shared" si="22"/>
        <v>1.3263501408700127</v>
      </c>
      <c r="BN86" s="76">
        <f t="shared" si="27"/>
        <v>2.0853242813596422</v>
      </c>
      <c r="BO86" s="76">
        <f>0.0526*BI86*Observaciones!$F85^1.218</f>
        <v>0</v>
      </c>
      <c r="BP86" s="76">
        <f>BO86*Constantes!$E$51</f>
        <v>0</v>
      </c>
      <c r="BQ86" s="76">
        <f t="shared" si="23"/>
        <v>0</v>
      </c>
      <c r="BR86" s="40"/>
    </row>
    <row r="87" spans="1:70">
      <c r="A87" s="147"/>
      <c r="B87" s="39"/>
      <c r="C87" s="75">
        <v>81</v>
      </c>
      <c r="D87" s="146">
        <f>ETo!$I86*((1-Constantes!$E$19)*ETo!$K86+ETo!$L86)</f>
        <v>3.9472839021640107</v>
      </c>
      <c r="E87" s="76">
        <f>MIN(D87*Constantes!$E$17,0.8*(N86+Observaciones!$F86-F87-M87-Constantes!$D$14))</f>
        <v>1.9298757028803384</v>
      </c>
      <c r="F87" s="76">
        <f>IF(Observaciones!$F86&gt;0.05*Constantes!$E$18,((Observaciones!$F86-0.05*Constantes!$E$18)^2)/(Observaciones!$F86+0.95*Constantes!$E$18),0)</f>
        <v>0</v>
      </c>
      <c r="G87" s="76">
        <f>IF(Escenarios!$E$11&gt;0,(F87*Escenarios!$E$16*10000)/1000,0)</f>
        <v>0</v>
      </c>
      <c r="H87" s="76">
        <f>IF(Escenarios!$E$11&gt;0,(Observaciones!$F86*Constantes!$E$29)/1000,0)</f>
        <v>17</v>
      </c>
      <c r="I87" s="76">
        <f>IF(Escenarios!$E$11&gt;0,(D87*Constantes!$E$29)/1000,0)</f>
        <v>39.472839021640112</v>
      </c>
      <c r="J87" s="76">
        <f>IF(Escenarios!$E$11&gt;0,MAX(0,G87+H87-I87),0)</f>
        <v>0</v>
      </c>
      <c r="K87" s="76">
        <f>IF(Escenarios!$E$11&gt;0,IF(J87&gt;Constantes!$E$30,1000*((J87-Constantes!$E$30)/(Escenarios!$E$16*10000)),0),F87)</f>
        <v>0</v>
      </c>
      <c r="L87" s="76">
        <f>IF(Escenarios!$E$11&gt;0,I87*1000/Escenarios!$E$16/10000+E87,E87)</f>
        <v>1.9456648384889945</v>
      </c>
      <c r="M87" s="76">
        <f>MAX(0,N86+Observaciones!$F86-K87-Constantes!$D$13)</f>
        <v>0</v>
      </c>
      <c r="N87" s="76">
        <f>N86+Observaciones!$F86-K87-L87-M87-O86</f>
        <v>35.461232277528502</v>
      </c>
      <c r="O87" s="76">
        <f>MAX(0,(N87-Constantes!$D$14)*(1-EXP(-Constantes!$D$22)))</f>
        <v>0.82472345262589219</v>
      </c>
      <c r="P87" s="170">
        <f>P86+(Entradas!$E$83*M87-Q86)/(800*Entradas!$D$25)</f>
        <v>0</v>
      </c>
      <c r="Q87" s="170">
        <f>8000*Entradas!$D$26*P87/Constantes!$E$45</f>
        <v>0</v>
      </c>
      <c r="R87" s="170">
        <f>IF(Escenarios!$E$14&gt;0,K87*Escenarios!$E$13/Escenarios!$E$14,0)</f>
        <v>0</v>
      </c>
      <c r="S87" s="170">
        <f>IF(Escenarios!$E$14&gt;0,Q87*Escenarios!$E$13/Escenarios!$E$14,0)</f>
        <v>0</v>
      </c>
      <c r="T87" s="170">
        <f>IF(Escenarios!$E$14&gt;0,Observaciones!$I86,0)</f>
        <v>0</v>
      </c>
      <c r="U87" s="170">
        <f>IF(Escenarios!$E$14&gt;0,MAX(0,Constantes!$E$36/((Z86+R87+S87+T87+Observaciones!$F86)^2)+Entradas!$E$77),0)</f>
        <v>2.6790884744041064</v>
      </c>
      <c r="V87" s="146">
        <f>IF(ETo!D86&gt;0,ETo!I86*((1-Entradas!$E$81)*ETo!K86+ETo!L86),0)</f>
        <v>3.5982762299672593</v>
      </c>
      <c r="W87" s="170">
        <f>IF(Escenarios!$E$14&gt;0,MIN(V87*1,0.8*(Z86+R87+S87+T87+Observaciones!$F86-U87-Constantes!$E$35)),0)</f>
        <v>3.5982762299672593</v>
      </c>
      <c r="X87" s="170">
        <f>IF(Escenarios!$E$14&gt;0,Observaciones!$J86,0)</f>
        <v>0</v>
      </c>
      <c r="Y87" s="170">
        <f>IF(Escenarios!$E$14&gt;0,MAX(0,Z86+R87+S87+T87+Observaciones!$F86-U87-W87-X87-Constantes!$E$33),0)</f>
        <v>0</v>
      </c>
      <c r="Z87" s="170">
        <f>Z86+R87+S87+T87+Observaciones!$F86-U87-W87-Y87</f>
        <v>172.58700475096083</v>
      </c>
      <c r="AA87" s="170">
        <f>IF(Escenarios!$E$14&gt;0,(Escenarios!$E$13*L87+Escenarios!$E$14*W87)/(Escenarios!$E$16),L87)</f>
        <v>2.1439782054663863</v>
      </c>
      <c r="AB87" s="170">
        <f>IF(Escenarios!$E$14&gt;0,(Escenarios!$E$14*Y87)/(Escenarios!$E$16),K87)</f>
        <v>0</v>
      </c>
      <c r="AC87" s="170">
        <f>IF(Escenarios!$E$14&gt;0,(Escenarios!$E$13*M87+Escenarios!$E$14*U87)/(Escenarios!$E$16),M87)</f>
        <v>0.32149061692849279</v>
      </c>
      <c r="AD87" s="76">
        <f t="shared" si="15"/>
        <v>181.24031986491329</v>
      </c>
      <c r="AE87" s="76">
        <f>MAX(0,(AD87-Constantes!$D$13)*(1-EXP(-Constantes!$D$23)))</f>
        <v>1.3054586783646056</v>
      </c>
      <c r="AF87" s="76">
        <f>AB87+O87*Escenarios!$E$13/Escenarios!$E$16+AE87</f>
        <v>2.0312153166753908</v>
      </c>
      <c r="AG87" s="76">
        <f>IF(Entradas!$E$91&gt;0,IF(AF87-Escenarios!$E$38&lt;=0,0,IF(AF87-Escenarios!$E$38&gt;Escenarios!$E$37,Escenarios!$E$37,AF87-Escenarios!$E$38)),0)</f>
        <v>0</v>
      </c>
      <c r="AH87" s="76">
        <f>AG87*Entradas!$E$99</f>
        <v>0</v>
      </c>
      <c r="AI87" s="76">
        <f>IF(Entradas!$E$91&gt;0,D87*Entradas!$D$23/Escenarios!$E$16,0)</f>
        <v>0</v>
      </c>
      <c r="AJ87" s="76">
        <f>IF(Entradas!$E$91&gt;0,Entradas!$D$24*Entradas!$D$22/Escenarios!$E$16,0)</f>
        <v>0</v>
      </c>
      <c r="AK87" s="76">
        <f t="shared" si="24"/>
        <v>2.1439782054663863</v>
      </c>
      <c r="AL87" s="76">
        <f t="shared" si="25"/>
        <v>0</v>
      </c>
      <c r="AM87" s="76">
        <f t="shared" si="16"/>
        <v>0</v>
      </c>
      <c r="AN87" s="76">
        <f>MAX(0,O87*Escenarios!$E$13/Escenarios!$E$16-AM87)</f>
        <v>0.72575663831078507</v>
      </c>
      <c r="AO87" s="76">
        <f>AM87+AN87-O87*Escenarios!$E$13/Escenarios!$E$16</f>
        <v>0</v>
      </c>
      <c r="AP87" s="76">
        <f t="shared" si="14"/>
        <v>1.3054586783646056</v>
      </c>
      <c r="AQ87" s="76">
        <f t="shared" si="17"/>
        <v>0</v>
      </c>
      <c r="AR87" s="76">
        <f t="shared" si="18"/>
        <v>2.0312153166753908</v>
      </c>
      <c r="AS87" s="76">
        <f t="shared" si="19"/>
        <v>0</v>
      </c>
      <c r="AT87" s="76">
        <f t="shared" si="20"/>
        <v>0.32149061692849279</v>
      </c>
      <c r="AU87" s="76">
        <f t="shared" si="21"/>
        <v>48.75</v>
      </c>
      <c r="AV87" s="76">
        <f>MAX(0,(AU87-Constantes!$D$13)*(1-EXP(-Constantes!$D$24)))</f>
        <v>0</v>
      </c>
      <c r="AW87" s="170">
        <f>AW86+(Entradas!$E$112*AT87-AX86)/(800*Entradas!$D$25)</f>
        <v>0</v>
      </c>
      <c r="AX87" s="170">
        <f>8000*Entradas!$D$26*AW87/Constantes!$E$45</f>
        <v>0</v>
      </c>
      <c r="AY87" s="170">
        <f>IF(Escenarios!$E$17&gt;0,10*Escenarios!$E$16*AL87,0)</f>
        <v>0</v>
      </c>
      <c r="AZ87" s="170">
        <f>IF(Escenarios!$E$17&gt;0,10*Escenarios!$E$16*AX87,0)</f>
        <v>0</v>
      </c>
      <c r="BA87" s="170">
        <f>IF(Escenarios!$E$17&gt;0,0.001*Observaciones!$F86*Escenarios!$E$17,0)</f>
        <v>34</v>
      </c>
      <c r="BB87" s="170">
        <f>IF(Escenarios!$E$17&gt;0,Observaciones!$K86,0)</f>
        <v>0</v>
      </c>
      <c r="BC87" s="170">
        <f>IF(Escenarios!$E$17&gt;0,MIN(0.0005*ETo!$M86*Escenarios!$E$17*(BG86/Constantes!$E$40)^(2/3),BG86+AY87+AZ87+BA87+BB87),0)</f>
        <v>42.409834789389052</v>
      </c>
      <c r="BD87" s="170">
        <f>IF(Escenarios!$E$17&gt;0,MIN(Constantes!$E$39*(BG86/Constantes!$E$40)^(2/3),BG86+AY87+AZ87+BA87+BB87-BC87),0)</f>
        <v>75.454657418429719</v>
      </c>
      <c r="BE87" s="170">
        <f>IF(Escenarios!$E$17&gt;0,MIN(Entradas!$E$113,BG86+AY87+AZ87+BA87+BB87-BC87-BD87),0)</f>
        <v>1</v>
      </c>
      <c r="BF87" s="170">
        <f>IF(Escenarios!$E$17&gt;0,MAX(0,BG86+AY87+AZ87+BA87+BB87-BC87-BD87-BE87-Constantes!$E$40),0)</f>
        <v>0</v>
      </c>
      <c r="BG87" s="170">
        <f t="shared" si="26"/>
        <v>6021.7828167958969</v>
      </c>
      <c r="BH87" s="170">
        <f>(Escenarios!$E$16*AK87+0.1*BC87)/(Escenarios!$E$19)</f>
        <v>2.1437918049426012</v>
      </c>
      <c r="BI87" s="170">
        <f>IF(Escenarios!$E$17&gt;0,BF87/10/Escenarios!$E$19,AL87)</f>
        <v>0</v>
      </c>
      <c r="BJ87" s="170">
        <f>(Escenarios!$E$16*AT87+0.1*BD87)/(Escenarios!$E$19)</f>
        <v>0.3488814284681197</v>
      </c>
      <c r="BK87" s="76">
        <f>BK86+(0.1*BD87)/(Escenarios!$E$19)-BL86</f>
        <v>49.895346425515264</v>
      </c>
      <c r="BL87" s="76">
        <f>MAX(0,(BK87-Constantes!$D$13)*(1-EXP(-Constantes!$D$23)))</f>
        <v>1.1285371130866657E-2</v>
      </c>
      <c r="BM87" s="76">
        <f t="shared" si="22"/>
        <v>1.3167440494954723</v>
      </c>
      <c r="BN87" s="76">
        <f t="shared" si="27"/>
        <v>2.0425006878062573</v>
      </c>
      <c r="BO87" s="76">
        <f>0.0526*BI87*Observaciones!$F86^1.218</f>
        <v>0</v>
      </c>
      <c r="BP87" s="76">
        <f>BO87*Constantes!$E$51</f>
        <v>0</v>
      </c>
      <c r="BQ87" s="76">
        <f t="shared" si="23"/>
        <v>0</v>
      </c>
      <c r="BR87" s="40"/>
    </row>
    <row r="88" spans="1:70">
      <c r="A88" s="147"/>
      <c r="B88" s="39"/>
      <c r="C88" s="75">
        <v>82</v>
      </c>
      <c r="D88" s="146">
        <f>ETo!$I87*((1-Constantes!$E$19)*ETo!$K87+ETo!$L87)</f>
        <v>3.8040078858944444</v>
      </c>
      <c r="E88" s="76">
        <f>MIN(D88*Constantes!$E$17,0.8*(N87+Observaciones!$F87-F88-M88-Constantes!$D$14))</f>
        <v>1.8598262943610939</v>
      </c>
      <c r="F88" s="76">
        <f>IF(Observaciones!$F87&gt;0.05*Constantes!$E$18,((Observaciones!$F87-0.05*Constantes!$E$18)^2)/(Observaciones!$F87+0.95*Constantes!$E$18),0)</f>
        <v>0</v>
      </c>
      <c r="G88" s="76">
        <f>IF(Escenarios!$E$11&gt;0,(F88*Escenarios!$E$16*10000)/1000,0)</f>
        <v>0</v>
      </c>
      <c r="H88" s="76">
        <f>IF(Escenarios!$E$11&gt;0,(Observaciones!$F87*Constantes!$E$29)/1000,0)</f>
        <v>23</v>
      </c>
      <c r="I88" s="76">
        <f>IF(Escenarios!$E$11&gt;0,(D88*Constantes!$E$29)/1000,0)</f>
        <v>38.04007885894444</v>
      </c>
      <c r="J88" s="76">
        <f>IF(Escenarios!$E$11&gt;0,MAX(0,G88+H88-I88),0)</f>
        <v>0</v>
      </c>
      <c r="K88" s="76">
        <f>IF(Escenarios!$E$11&gt;0,IF(J88&gt;Constantes!$E$30,1000*((J88-Constantes!$E$30)/(Escenarios!$E$16*10000)),0),F88)</f>
        <v>0</v>
      </c>
      <c r="L88" s="76">
        <f>IF(Escenarios!$E$11&gt;0,I88*1000/Escenarios!$E$16/10000+E88,E88)</f>
        <v>1.8750423259046718</v>
      </c>
      <c r="M88" s="76">
        <f>MAX(0,N87+Observaciones!$F87-K88-Constantes!$D$13)</f>
        <v>0</v>
      </c>
      <c r="N88" s="76">
        <f>N87+Observaciones!$F87-K88-L88-M88-O87</f>
        <v>35.061466498997937</v>
      </c>
      <c r="O88" s="76">
        <f>MAX(0,(N88-Constantes!$D$14)*(1-EXP(-Constantes!$D$22)))</f>
        <v>0.81110596263892409</v>
      </c>
      <c r="P88" s="170">
        <f>P87+(Entradas!$E$83*M88-Q87)/(800*Entradas!$D$25)</f>
        <v>0</v>
      </c>
      <c r="Q88" s="170">
        <f>8000*Entradas!$D$26*P88/Constantes!$E$45</f>
        <v>0</v>
      </c>
      <c r="R88" s="170">
        <f>IF(Escenarios!$E$14&gt;0,K88*Escenarios!$E$13/Escenarios!$E$14,0)</f>
        <v>0</v>
      </c>
      <c r="S88" s="170">
        <f>IF(Escenarios!$E$14&gt;0,Q88*Escenarios!$E$13/Escenarios!$E$14,0)</f>
        <v>0</v>
      </c>
      <c r="T88" s="170">
        <f>IF(Escenarios!$E$14&gt;0,Observaciones!$I87,0)</f>
        <v>0</v>
      </c>
      <c r="U88" s="170">
        <f>IF(Escenarios!$E$14&gt;0,MAX(0,Constantes!$E$36/((Z87+R88+S88+T88+Observaciones!$F87)^2)+Entradas!$E$77),0)</f>
        <v>2.6643258426485166</v>
      </c>
      <c r="V88" s="146">
        <f>IF(ETo!D87&gt;0,ETo!I87*((1-Entradas!$E$81)*ETo!K87+ETo!L87),0)</f>
        <v>3.4660856626286285</v>
      </c>
      <c r="W88" s="170">
        <f>IF(Escenarios!$E$14&gt;0,MIN(V88*1,0.8*(Z87+R88+S88+T88+Observaciones!$F87-U88-Constantes!$E$35)),0)</f>
        <v>3.4660856626286285</v>
      </c>
      <c r="X88" s="170">
        <f>IF(Escenarios!$E$14&gt;0,Observaciones!$J87,0)</f>
        <v>0</v>
      </c>
      <c r="Y88" s="170">
        <f>IF(Escenarios!$E$14&gt;0,MAX(0,Z87+R88+S88+T88+Observaciones!$F87-U88-W88-X88-Constantes!$E$33),0)</f>
        <v>0</v>
      </c>
      <c r="Z88" s="170">
        <f>Z87+R88+S88+T88+Observaciones!$F87-U88-W88-Y88</f>
        <v>168.75659324568372</v>
      </c>
      <c r="AA88" s="170">
        <f>IF(Escenarios!$E$14&gt;0,(Escenarios!$E$13*L88+Escenarios!$E$14*W88)/(Escenarios!$E$16),L88)</f>
        <v>2.0659675263115469</v>
      </c>
      <c r="AB88" s="170">
        <f>IF(Escenarios!$E$14&gt;0,(Escenarios!$E$14*Y88)/(Escenarios!$E$16),K88)</f>
        <v>0</v>
      </c>
      <c r="AC88" s="170">
        <f>IF(Escenarios!$E$14&gt;0,(Escenarios!$E$13*M88+Escenarios!$E$14*U88)/(Escenarios!$E$16),M88)</f>
        <v>0.31971910111782198</v>
      </c>
      <c r="AD88" s="76">
        <f t="shared" si="15"/>
        <v>180.2545802876665</v>
      </c>
      <c r="AE88" s="76">
        <f>MAX(0,(AD88-Constantes!$D$13)*(1-EXP(-Constantes!$D$23)))</f>
        <v>1.2957459515251177</v>
      </c>
      <c r="AF88" s="76">
        <f>AB88+O88*Escenarios!$E$13/Escenarios!$E$16+AE88</f>
        <v>2.0095191986473711</v>
      </c>
      <c r="AG88" s="76">
        <f>IF(Entradas!$E$91&gt;0,IF(AF88-Escenarios!$E$38&lt;=0,0,IF(AF88-Escenarios!$E$38&gt;Escenarios!$E$37,Escenarios!$E$37,AF88-Escenarios!$E$38)),0)</f>
        <v>0</v>
      </c>
      <c r="AH88" s="76">
        <f>AG88*Entradas!$E$99</f>
        <v>0</v>
      </c>
      <c r="AI88" s="76">
        <f>IF(Entradas!$E$91&gt;0,D88*Entradas!$D$23/Escenarios!$E$16,0)</f>
        <v>0</v>
      </c>
      <c r="AJ88" s="76">
        <f>IF(Entradas!$E$91&gt;0,Entradas!$D$24*Entradas!$D$22/Escenarios!$E$16,0)</f>
        <v>0</v>
      </c>
      <c r="AK88" s="76">
        <f t="shared" si="24"/>
        <v>2.0659675263115469</v>
      </c>
      <c r="AL88" s="76">
        <f t="shared" si="25"/>
        <v>0</v>
      </c>
      <c r="AM88" s="76">
        <f t="shared" si="16"/>
        <v>0</v>
      </c>
      <c r="AN88" s="76">
        <f>MAX(0,O88*Escenarios!$E$13/Escenarios!$E$16-AM88)</f>
        <v>0.71377324712225321</v>
      </c>
      <c r="AO88" s="76">
        <f>AM88+AN88-O88*Escenarios!$E$13/Escenarios!$E$16</f>
        <v>0</v>
      </c>
      <c r="AP88" s="76">
        <f t="shared" si="14"/>
        <v>1.2957459515251177</v>
      </c>
      <c r="AQ88" s="76">
        <f t="shared" si="17"/>
        <v>0</v>
      </c>
      <c r="AR88" s="76">
        <f t="shared" si="18"/>
        <v>2.0095191986473711</v>
      </c>
      <c r="AS88" s="76">
        <f t="shared" si="19"/>
        <v>0</v>
      </c>
      <c r="AT88" s="76">
        <f t="shared" si="20"/>
        <v>0.31971910111782198</v>
      </c>
      <c r="AU88" s="76">
        <f t="shared" si="21"/>
        <v>48.75</v>
      </c>
      <c r="AV88" s="76">
        <f>MAX(0,(AU88-Constantes!$D$13)*(1-EXP(-Constantes!$D$24)))</f>
        <v>0</v>
      </c>
      <c r="AW88" s="170">
        <f>AW87+(Entradas!$E$112*AT88-AX87)/(800*Entradas!$D$25)</f>
        <v>0</v>
      </c>
      <c r="AX88" s="170">
        <f>8000*Entradas!$D$26*AW88/Constantes!$E$45</f>
        <v>0</v>
      </c>
      <c r="AY88" s="170">
        <f>IF(Escenarios!$E$17&gt;0,10*Escenarios!$E$16*AL88,0)</f>
        <v>0</v>
      </c>
      <c r="AZ88" s="170">
        <f>IF(Escenarios!$E$17&gt;0,10*Escenarios!$E$16*AX88,0)</f>
        <v>0</v>
      </c>
      <c r="BA88" s="170">
        <f>IF(Escenarios!$E$17&gt;0,0.001*Observaciones!$F87*Escenarios!$E$17,0)</f>
        <v>46</v>
      </c>
      <c r="BB88" s="170">
        <f>IF(Escenarios!$E$17&gt;0,Observaciones!$K87,0)</f>
        <v>5.4432146480880519</v>
      </c>
      <c r="BC88" s="170">
        <f>IF(Escenarios!$E$17&gt;0,MIN(0.0005*ETo!$M87*Escenarios!$E$17*(BG87/Constantes!$E$40)^(2/3),BG87+AY88+AZ88+BA88+BB88),0)</f>
        <v>40.514203629106028</v>
      </c>
      <c r="BD88" s="170">
        <f>IF(Escenarios!$E$17&gt;0,MIN(Constantes!$E$39*(BG87/Constantes!$E$40)^(2/3),BG87+AY88+AZ88+BA88+BB88-BC88),0)</f>
        <v>74.753962511101008</v>
      </c>
      <c r="BE88" s="170">
        <f>IF(Escenarios!$E$17&gt;0,MIN(Entradas!$E$113,BG87+AY88+AZ88+BA88+BB88-BC88-BD88),0)</f>
        <v>1</v>
      </c>
      <c r="BF88" s="170">
        <f>IF(Escenarios!$E$17&gt;0,MAX(0,BG87+AY88+AZ88+BA88+BB88-BC88-BD88-BE88-Constantes!$E$40),0)</f>
        <v>0</v>
      </c>
      <c r="BG88" s="170">
        <f t="shared" si="26"/>
        <v>5956.957865303777</v>
      </c>
      <c r="BH88" s="170">
        <f>(Escenarios!$E$16*AK88+0.1*BC88)/(Escenarios!$E$19)</f>
        <v>2.0656480235745924</v>
      </c>
      <c r="BI88" s="170">
        <f>IF(Escenarios!$E$17&gt;0,BF88/10/Escenarios!$E$19,AL88)</f>
        <v>0</v>
      </c>
      <c r="BJ88" s="170">
        <f>(Escenarios!$E$16*AT88+0.1*BD88)/(Escenarios!$E$19)</f>
        <v>0.3468459187720857</v>
      </c>
      <c r="BK88" s="76">
        <f>BK87+(0.1*BD88)/(Escenarios!$E$19)-BL87</f>
        <v>49.913725325222138</v>
      </c>
      <c r="BL88" s="76">
        <f>MAX(0,(BK88-Constantes!$D$13)*(1-EXP(-Constantes!$D$23)))</f>
        <v>1.146646280719135E-2</v>
      </c>
      <c r="BM88" s="76">
        <f t="shared" si="22"/>
        <v>1.3072124143323092</v>
      </c>
      <c r="BN88" s="76">
        <f t="shared" si="27"/>
        <v>2.0209856614545623</v>
      </c>
      <c r="BO88" s="76">
        <f>0.0526*BI88*Observaciones!$F87^1.218</f>
        <v>0</v>
      </c>
      <c r="BP88" s="76">
        <f>BO88*Constantes!$E$51</f>
        <v>0</v>
      </c>
      <c r="BQ88" s="76">
        <f t="shared" si="23"/>
        <v>0</v>
      </c>
      <c r="BR88" s="40"/>
    </row>
    <row r="89" spans="1:70">
      <c r="A89" s="147"/>
      <c r="B89" s="39"/>
      <c r="C89" s="75">
        <v>83</v>
      </c>
      <c r="D89" s="146">
        <f>ETo!$I88*((1-Constantes!$E$19)*ETo!$K88+ETo!$L88)</f>
        <v>3.9022036758342664</v>
      </c>
      <c r="E89" s="76">
        <f>MIN(D89*Constantes!$E$17,0.8*(N88+Observaciones!$F88-F89-M89-Constantes!$D$14))</f>
        <v>1.9078354251525507</v>
      </c>
      <c r="F89" s="76">
        <f>IF(Observaciones!$F88&gt;0.05*Constantes!$E$18,((Observaciones!$F88-0.05*Constantes!$E$18)^2)/(Observaciones!$F88+0.95*Constantes!$E$18),0)</f>
        <v>0</v>
      </c>
      <c r="G89" s="76">
        <f>IF(Escenarios!$E$11&gt;0,(F89*Escenarios!$E$16*10000)/1000,0)</f>
        <v>0</v>
      </c>
      <c r="H89" s="76">
        <f>IF(Escenarios!$E$11&gt;0,(Observaciones!$F88*Constantes!$E$29)/1000,0)</f>
        <v>0</v>
      </c>
      <c r="I89" s="76">
        <f>IF(Escenarios!$E$11&gt;0,(D89*Constantes!$E$29)/1000,0)</f>
        <v>39.022036758342665</v>
      </c>
      <c r="J89" s="76">
        <f>IF(Escenarios!$E$11&gt;0,MAX(0,G89+H89-I89),0)</f>
        <v>0</v>
      </c>
      <c r="K89" s="76">
        <f>IF(Escenarios!$E$11&gt;0,IF(J89&gt;Constantes!$E$30,1000*((J89-Constantes!$E$30)/(Escenarios!$E$16*10000)),0),F89)</f>
        <v>0</v>
      </c>
      <c r="L89" s="76">
        <f>IF(Escenarios!$E$11&gt;0,I89*1000/Escenarios!$E$16/10000+E89,E89)</f>
        <v>1.9234442398558877</v>
      </c>
      <c r="M89" s="76">
        <f>MAX(0,N88+Observaciones!$F88-K89-Constantes!$D$13)</f>
        <v>0</v>
      </c>
      <c r="N89" s="76">
        <f>N88+Observaciones!$F88-K89-L89-M89-O88</f>
        <v>32.326916296503121</v>
      </c>
      <c r="O89" s="76">
        <f>MAX(0,(N89-Constantes!$D$14)*(1-EXP(-Constantes!$D$22)))</f>
        <v>0.71795714400264377</v>
      </c>
      <c r="P89" s="170">
        <f>P88+(Entradas!$E$83*M89-Q88)/(800*Entradas!$D$25)</f>
        <v>0</v>
      </c>
      <c r="Q89" s="170">
        <f>8000*Entradas!$D$26*P89/Constantes!$E$45</f>
        <v>0</v>
      </c>
      <c r="R89" s="170">
        <f>IF(Escenarios!$E$14&gt;0,K89*Escenarios!$E$13/Escenarios!$E$14,0)</f>
        <v>0</v>
      </c>
      <c r="S89" s="170">
        <f>IF(Escenarios!$E$14&gt;0,Q89*Escenarios!$E$13/Escenarios!$E$14,0)</f>
        <v>0</v>
      </c>
      <c r="T89" s="170">
        <f>IF(Escenarios!$E$14&gt;0,Observaciones!$I88,0)</f>
        <v>0</v>
      </c>
      <c r="U89" s="170">
        <f>IF(Escenarios!$E$14&gt;0,MAX(0,Constantes!$E$36/((Z88+R89+S89+T89+Observaciones!$F88)^2)+Entradas!$E$77),0)</f>
        <v>2.6394948378730447</v>
      </c>
      <c r="V89" s="146">
        <f>IF(ETo!D88&gt;0,ETo!I88*((1-Entradas!$E$81)*ETo!K88+ETo!L88),0)</f>
        <v>3.5562959826585878</v>
      </c>
      <c r="W89" s="170">
        <f>IF(Escenarios!$E$14&gt;0,MIN(V89*1,0.8*(Z88+R89+S89+T89+Observaciones!$F88-U89-Constantes!$E$35)),0)</f>
        <v>3.5562959826585878</v>
      </c>
      <c r="X89" s="170">
        <f>IF(Escenarios!$E$14&gt;0,Observaciones!$J88,0)</f>
        <v>0</v>
      </c>
      <c r="Y89" s="170">
        <f>IF(Escenarios!$E$14&gt;0,MAX(0,Z88+R89+S89+T89+Observaciones!$F88-U89-W89-X89-Constantes!$E$33),0)</f>
        <v>0</v>
      </c>
      <c r="Z89" s="170">
        <f>Z88+R89+S89+T89+Observaciones!$F88-U89-W89-Y89</f>
        <v>162.56080242515208</v>
      </c>
      <c r="AA89" s="170">
        <f>IF(Escenarios!$E$14&gt;0,(Escenarios!$E$13*L89+Escenarios!$E$14*W89)/(Escenarios!$E$16),L89)</f>
        <v>2.1193864489922118</v>
      </c>
      <c r="AB89" s="170">
        <f>IF(Escenarios!$E$14&gt;0,(Escenarios!$E$14*Y89)/(Escenarios!$E$16),K89)</f>
        <v>0</v>
      </c>
      <c r="AC89" s="170">
        <f>IF(Escenarios!$E$14&gt;0,(Escenarios!$E$13*M89+Escenarios!$E$14*U89)/(Escenarios!$E$16),M89)</f>
        <v>0.31673938054476536</v>
      </c>
      <c r="AD89" s="76">
        <f t="shared" si="15"/>
        <v>179.27557371668615</v>
      </c>
      <c r="AE89" s="76">
        <f>MAX(0,(AD89-Constantes!$D$13)*(1-EXP(-Constantes!$D$23)))</f>
        <v>1.2860995666000501</v>
      </c>
      <c r="AF89" s="76">
        <f>AB89+O89*Escenarios!$E$13/Escenarios!$E$16+AE89</f>
        <v>1.9179018533223766</v>
      </c>
      <c r="AG89" s="76">
        <f>IF(Entradas!$E$91&gt;0,IF(AF89-Escenarios!$E$38&lt;=0,0,IF(AF89-Escenarios!$E$38&gt;Escenarios!$E$37,Escenarios!$E$37,AF89-Escenarios!$E$38)),0)</f>
        <v>0</v>
      </c>
      <c r="AH89" s="76">
        <f>AG89*Entradas!$E$99</f>
        <v>0</v>
      </c>
      <c r="AI89" s="76">
        <f>IF(Entradas!$E$91&gt;0,D89*Entradas!$D$23/Escenarios!$E$16,0)</f>
        <v>0</v>
      </c>
      <c r="AJ89" s="76">
        <f>IF(Entradas!$E$91&gt;0,Entradas!$D$24*Entradas!$D$22/Escenarios!$E$16,0)</f>
        <v>0</v>
      </c>
      <c r="AK89" s="76">
        <f t="shared" si="24"/>
        <v>2.1193864489922118</v>
      </c>
      <c r="AL89" s="76">
        <f t="shared" si="25"/>
        <v>0</v>
      </c>
      <c r="AM89" s="76">
        <f t="shared" si="16"/>
        <v>0</v>
      </c>
      <c r="AN89" s="76">
        <f>MAX(0,O89*Escenarios!$E$13/Escenarios!$E$16-AM89)</f>
        <v>0.63180228672232652</v>
      </c>
      <c r="AO89" s="76">
        <f>AM89+AN89-O89*Escenarios!$E$13/Escenarios!$E$16</f>
        <v>0</v>
      </c>
      <c r="AP89" s="76">
        <f t="shared" si="14"/>
        <v>1.2860995666000501</v>
      </c>
      <c r="AQ89" s="76">
        <f t="shared" si="17"/>
        <v>0</v>
      </c>
      <c r="AR89" s="76">
        <f t="shared" si="18"/>
        <v>1.9179018533223766</v>
      </c>
      <c r="AS89" s="76">
        <f t="shared" si="19"/>
        <v>0</v>
      </c>
      <c r="AT89" s="76">
        <f t="shared" si="20"/>
        <v>0.31673938054476536</v>
      </c>
      <c r="AU89" s="76">
        <f t="shared" si="21"/>
        <v>48.75</v>
      </c>
      <c r="AV89" s="76">
        <f>MAX(0,(AU89-Constantes!$D$13)*(1-EXP(-Constantes!$D$24)))</f>
        <v>0</v>
      </c>
      <c r="AW89" s="170">
        <f>AW88+(Entradas!$E$112*AT89-AX88)/(800*Entradas!$D$25)</f>
        <v>0</v>
      </c>
      <c r="AX89" s="170">
        <f>8000*Entradas!$D$26*AW89/Constantes!$E$45</f>
        <v>0</v>
      </c>
      <c r="AY89" s="170">
        <f>IF(Escenarios!$E$17&gt;0,10*Escenarios!$E$16*AL89,0)</f>
        <v>0</v>
      </c>
      <c r="AZ89" s="170">
        <f>IF(Escenarios!$E$17&gt;0,10*Escenarios!$E$16*AX89,0)</f>
        <v>0</v>
      </c>
      <c r="BA89" s="170">
        <f>IF(Escenarios!$E$17&gt;0,0.001*Observaciones!$F88*Escenarios!$E$17,0)</f>
        <v>0</v>
      </c>
      <c r="BB89" s="170">
        <f>IF(Escenarios!$E$17&gt;0,Observaciones!$K88,0)</f>
        <v>0</v>
      </c>
      <c r="BC89" s="170">
        <f>IF(Escenarios!$E$17&gt;0,MIN(0.0005*ETo!$M88*Escenarios!$E$17*(BG88/Constantes!$E$40)^(2/3),BG88+AY89+AZ89+BA89+BB89),0)</f>
        <v>41.250458768113972</v>
      </c>
      <c r="BD89" s="170">
        <f>IF(Escenarios!$E$17&gt;0,MIN(Constantes!$E$39*(BG88/Constantes!$E$40)^(2/3),BG88+AY89+AZ89+BA89+BB89-BC89),0)</f>
        <v>74.216507247303682</v>
      </c>
      <c r="BE89" s="170">
        <f>IF(Escenarios!$E$17&gt;0,MIN(Entradas!$E$113,BG88+AY89+AZ89+BA89+BB89-BC89-BD89),0)</f>
        <v>1</v>
      </c>
      <c r="BF89" s="170">
        <f>IF(Escenarios!$E$17&gt;0,MAX(0,BG88+AY89+AZ89+BA89+BB89-BC89-BD89-BE89-Constantes!$E$40),0)</f>
        <v>0</v>
      </c>
      <c r="BG89" s="170">
        <f t="shared" si="26"/>
        <v>5840.4908992883593</v>
      </c>
      <c r="BH89" s="170">
        <f>(Escenarios!$E$16*AK89+0.1*BC89)/(Escenarios!$E$19)</f>
        <v>2.1189351512891443</v>
      </c>
      <c r="BI89" s="170">
        <f>IF(Escenarios!$E$17&gt;0,BF89/10/Escenarios!$E$19,AL89)</f>
        <v>0</v>
      </c>
      <c r="BJ89" s="170">
        <f>(Escenarios!$E$16*AT89+0.1*BD89)/(Escenarios!$E$19)</f>
        <v>0.34367657087667347</v>
      </c>
      <c r="BK89" s="76">
        <f>BK88+(0.1*BD89)/(Escenarios!$E$19)-BL88</f>
        <v>49.931709857354356</v>
      </c>
      <c r="BL89" s="76">
        <f>MAX(0,(BK89-Constantes!$D$13)*(1-EXP(-Constantes!$D$23)))</f>
        <v>1.1643668685871912E-2</v>
      </c>
      <c r="BM89" s="76">
        <f t="shared" si="22"/>
        <v>1.2977432352859219</v>
      </c>
      <c r="BN89" s="76">
        <f t="shared" si="27"/>
        <v>1.9295455220082485</v>
      </c>
      <c r="BO89" s="76">
        <f>0.0526*BI89*Observaciones!$F88^1.218</f>
        <v>0</v>
      </c>
      <c r="BP89" s="76">
        <f>BO89*Constantes!$E$51</f>
        <v>0</v>
      </c>
      <c r="BQ89" s="76">
        <f t="shared" si="23"/>
        <v>0</v>
      </c>
      <c r="BR89" s="40"/>
    </row>
    <row r="90" spans="1:70">
      <c r="A90" s="147"/>
      <c r="B90" s="39"/>
      <c r="C90" s="75">
        <v>84</v>
      </c>
      <c r="D90" s="146">
        <f>ETo!$I89*((1-Constantes!$E$19)*ETo!$K89+ETo!$L89)</f>
        <v>4.057829874515348</v>
      </c>
      <c r="E90" s="76">
        <f>MIN(D90*Constantes!$E$17,0.8*(N89+Observaciones!$F89-F90-M90-Constantes!$D$14))</f>
        <v>1.9839229899212245</v>
      </c>
      <c r="F90" s="76">
        <f>IF(Observaciones!$F89&gt;0.05*Constantes!$E$18,((Observaciones!$F89-0.05*Constantes!$E$18)^2)/(Observaciones!$F89+0.95*Constantes!$E$18),0)</f>
        <v>0</v>
      </c>
      <c r="G90" s="76">
        <f>IF(Escenarios!$E$11&gt;0,(F90*Escenarios!$E$16*10000)/1000,0)</f>
        <v>0</v>
      </c>
      <c r="H90" s="76">
        <f>IF(Escenarios!$E$11&gt;0,(Observaciones!$F89*Constantes!$E$29)/1000,0)</f>
        <v>0</v>
      </c>
      <c r="I90" s="76">
        <f>IF(Escenarios!$E$11&gt;0,(D90*Constantes!$E$29)/1000,0)</f>
        <v>40.578298745153482</v>
      </c>
      <c r="J90" s="76">
        <f>IF(Escenarios!$E$11&gt;0,MAX(0,G90+H90-I90),0)</f>
        <v>0</v>
      </c>
      <c r="K90" s="76">
        <f>IF(Escenarios!$E$11&gt;0,IF(J90&gt;Constantes!$E$30,1000*((J90-Constantes!$E$30)/(Escenarios!$E$16*10000)),0),F90)</f>
        <v>0</v>
      </c>
      <c r="L90" s="76">
        <f>IF(Escenarios!$E$11&gt;0,I90*1000/Escenarios!$E$16/10000+E90,E90)</f>
        <v>2.000154309419286</v>
      </c>
      <c r="M90" s="76">
        <f>MAX(0,N89+Observaciones!$F89-K90-Constantes!$D$13)</f>
        <v>0</v>
      </c>
      <c r="N90" s="76">
        <f>N89+Observaciones!$F89-K90-L90-M90-O89</f>
        <v>29.608804843081192</v>
      </c>
      <c r="O90" s="76">
        <f>MAX(0,(N90-Constantes!$D$14)*(1-EXP(-Constantes!$D$22)))</f>
        <v>0.62536828950766932</v>
      </c>
      <c r="P90" s="170">
        <f>P89+(Entradas!$E$83*M90-Q89)/(800*Entradas!$D$25)</f>
        <v>0</v>
      </c>
      <c r="Q90" s="170">
        <f>8000*Entradas!$D$26*P90/Constantes!$E$45</f>
        <v>0</v>
      </c>
      <c r="R90" s="170">
        <f>IF(Escenarios!$E$14&gt;0,K90*Escenarios!$E$13/Escenarios!$E$14,0)</f>
        <v>0</v>
      </c>
      <c r="S90" s="170">
        <f>IF(Escenarios!$E$14&gt;0,Q90*Escenarios!$E$13/Escenarios!$E$14,0)</f>
        <v>0</v>
      </c>
      <c r="T90" s="170">
        <f>IF(Escenarios!$E$14&gt;0,Observaciones!$I89,0)</f>
        <v>0</v>
      </c>
      <c r="U90" s="170">
        <f>IF(Escenarios!$E$14&gt;0,MAX(0,Constantes!$E$36/((Z89+R90+S90+T90+Observaciones!$F89)^2)+Entradas!$E$77),0)</f>
        <v>2.6114907904184657</v>
      </c>
      <c r="V90" s="146">
        <f>IF(ETo!D89&gt;0,ETo!I89*((1-Entradas!$E$81)*ETo!K89+ETo!L89),0)</f>
        <v>3.7000018748141845</v>
      </c>
      <c r="W90" s="170">
        <f>IF(Escenarios!$E$14&gt;0,MIN(V90*1,0.8*(Z89+R90+S90+T90+Observaciones!$F89-U90-Constantes!$E$35)),0)</f>
        <v>3.7000018748141845</v>
      </c>
      <c r="X90" s="170">
        <f>IF(Escenarios!$E$14&gt;0,Observaciones!$J89,0)</f>
        <v>0</v>
      </c>
      <c r="Y90" s="170">
        <f>IF(Escenarios!$E$14&gt;0,MAX(0,Z89+R90+S90+T90+Observaciones!$F89-U90-W90-X90-Constantes!$E$33),0)</f>
        <v>0</v>
      </c>
      <c r="Z90" s="170">
        <f>Z89+R90+S90+T90+Observaciones!$F89-U90-W90-Y90</f>
        <v>156.24930975991944</v>
      </c>
      <c r="AA90" s="170">
        <f>IF(Escenarios!$E$14&gt;0,(Escenarios!$E$13*L90+Escenarios!$E$14*W90)/(Escenarios!$E$16),L90)</f>
        <v>2.2041360172666735</v>
      </c>
      <c r="AB90" s="170">
        <f>IF(Escenarios!$E$14&gt;0,(Escenarios!$E$14*Y90)/(Escenarios!$E$16),K90)</f>
        <v>0</v>
      </c>
      <c r="AC90" s="170">
        <f>IF(Escenarios!$E$14&gt;0,(Escenarios!$E$13*M90+Escenarios!$E$14*U90)/(Escenarios!$E$16),M90)</f>
        <v>0.31337889485021586</v>
      </c>
      <c r="AD90" s="76">
        <f t="shared" si="15"/>
        <v>178.30285304493631</v>
      </c>
      <c r="AE90" s="76">
        <f>MAX(0,(AD90-Constantes!$D$13)*(1-EXP(-Constantes!$D$23)))</f>
        <v>1.2765151181372854</v>
      </c>
      <c r="AF90" s="76">
        <f>AB90+O90*Escenarios!$E$13/Escenarios!$E$16+AE90</f>
        <v>1.8268392129040345</v>
      </c>
      <c r="AG90" s="76">
        <f>IF(Entradas!$E$91&gt;0,IF(AF90-Escenarios!$E$38&lt;=0,0,IF(AF90-Escenarios!$E$38&gt;Escenarios!$E$37,Escenarios!$E$37,AF90-Escenarios!$E$38)),0)</f>
        <v>0</v>
      </c>
      <c r="AH90" s="76">
        <f>AG90*Entradas!$E$99</f>
        <v>0</v>
      </c>
      <c r="AI90" s="76">
        <f>IF(Entradas!$E$91&gt;0,D90*Entradas!$D$23/Escenarios!$E$16,0)</f>
        <v>0</v>
      </c>
      <c r="AJ90" s="76">
        <f>IF(Entradas!$E$91&gt;0,Entradas!$D$24*Entradas!$D$22/Escenarios!$E$16,0)</f>
        <v>0</v>
      </c>
      <c r="AK90" s="76">
        <f t="shared" si="24"/>
        <v>2.2041360172666735</v>
      </c>
      <c r="AL90" s="76">
        <f t="shared" si="25"/>
        <v>0</v>
      </c>
      <c r="AM90" s="76">
        <f t="shared" si="16"/>
        <v>0</v>
      </c>
      <c r="AN90" s="76">
        <f>MAX(0,O90*Escenarios!$E$13/Escenarios!$E$16-AM90)</f>
        <v>0.55032409476674904</v>
      </c>
      <c r="AO90" s="76">
        <f>AM90+AN90-O90*Escenarios!$E$13/Escenarios!$E$16</f>
        <v>0</v>
      </c>
      <c r="AP90" s="76">
        <f t="shared" si="14"/>
        <v>1.2765151181372854</v>
      </c>
      <c r="AQ90" s="76">
        <f t="shared" si="17"/>
        <v>0</v>
      </c>
      <c r="AR90" s="76">
        <f t="shared" si="18"/>
        <v>1.8268392129040345</v>
      </c>
      <c r="AS90" s="76">
        <f t="shared" si="19"/>
        <v>0</v>
      </c>
      <c r="AT90" s="76">
        <f t="shared" si="20"/>
        <v>0.31337889485021586</v>
      </c>
      <c r="AU90" s="76">
        <f t="shared" si="21"/>
        <v>48.75</v>
      </c>
      <c r="AV90" s="76">
        <f>MAX(0,(AU90-Constantes!$D$13)*(1-EXP(-Constantes!$D$24)))</f>
        <v>0</v>
      </c>
      <c r="AW90" s="170">
        <f>AW89+(Entradas!$E$112*AT90-AX89)/(800*Entradas!$D$25)</f>
        <v>0</v>
      </c>
      <c r="AX90" s="170">
        <f>8000*Entradas!$D$26*AW90/Constantes!$E$45</f>
        <v>0</v>
      </c>
      <c r="AY90" s="170">
        <f>IF(Escenarios!$E$17&gt;0,10*Escenarios!$E$16*AL90,0)</f>
        <v>0</v>
      </c>
      <c r="AZ90" s="170">
        <f>IF(Escenarios!$E$17&gt;0,10*Escenarios!$E$16*AX90,0)</f>
        <v>0</v>
      </c>
      <c r="BA90" s="170">
        <f>IF(Escenarios!$E$17&gt;0,0.001*Observaciones!$F89*Escenarios!$E$17,0)</f>
        <v>0</v>
      </c>
      <c r="BB90" s="170">
        <f>IF(Escenarios!$E$17&gt;0,Observaciones!$K89,0)</f>
        <v>0</v>
      </c>
      <c r="BC90" s="170">
        <f>IF(Escenarios!$E$17&gt;0,MIN(0.0005*ETo!$M89*Escenarios!$E$17*(BG89/Constantes!$E$40)^(2/3),BG89+AY90+AZ90+BA90+BB90),0)</f>
        <v>42.307629250802968</v>
      </c>
      <c r="BD90" s="170">
        <f>IF(Escenarios!$E$17&gt;0,MIN(Constantes!$E$39*(BG89/Constantes!$E$40)^(2/3),BG89+AY90+AZ90+BA90+BB90-BC90),0)</f>
        <v>73.245968757331369</v>
      </c>
      <c r="BE90" s="170">
        <f>IF(Escenarios!$E$17&gt;0,MIN(Entradas!$E$113,BG89+AY90+AZ90+BA90+BB90-BC90-BD90),0)</f>
        <v>1</v>
      </c>
      <c r="BF90" s="170">
        <f>IF(Escenarios!$E$17&gt;0,MAX(0,BG89+AY90+AZ90+BA90+BB90-BC90-BD90-BE90-Constantes!$E$40),0)</f>
        <v>0</v>
      </c>
      <c r="BG90" s="170">
        <f t="shared" si="26"/>
        <v>5723.9373012802253</v>
      </c>
      <c r="BH90" s="170">
        <f>(Escenarios!$E$16*AK90+0.1*BC90)/(Escenarios!$E$19)</f>
        <v>2.2034316160386855</v>
      </c>
      <c r="BI90" s="170">
        <f>IF(Escenarios!$E$17&gt;0,BF90/10/Escenarios!$E$19,AL90)</f>
        <v>0</v>
      </c>
      <c r="BJ90" s="170">
        <f>(Escenarios!$E$16*AT90+0.1*BD90)/(Escenarios!$E$19)</f>
        <v>0.33995762138209168</v>
      </c>
      <c r="BK90" s="76">
        <f>BK89+(0.1*BD90)/(Escenarios!$E$19)-BL89</f>
        <v>49.949132049286476</v>
      </c>
      <c r="BL90" s="76">
        <f>MAX(0,(BK90-Constantes!$D$13)*(1-EXP(-Constantes!$D$23)))</f>
        <v>1.1815333692621909E-2</v>
      </c>
      <c r="BM90" s="76">
        <f t="shared" si="22"/>
        <v>1.2883304518299072</v>
      </c>
      <c r="BN90" s="76">
        <f t="shared" si="27"/>
        <v>1.8386545465966564</v>
      </c>
      <c r="BO90" s="76">
        <f>0.0526*BI90*Observaciones!$F89^1.218</f>
        <v>0</v>
      </c>
      <c r="BP90" s="76">
        <f>BO90*Constantes!$E$51</f>
        <v>0</v>
      </c>
      <c r="BQ90" s="76">
        <f t="shared" si="23"/>
        <v>0</v>
      </c>
      <c r="BR90" s="40"/>
    </row>
    <row r="91" spans="1:70">
      <c r="A91" s="147"/>
      <c r="B91" s="39"/>
      <c r="C91" s="75">
        <v>85</v>
      </c>
      <c r="D91" s="146">
        <f>ETo!$I90*((1-Constantes!$E$19)*ETo!$K90+ETo!$L90)</f>
        <v>3.9513809328397209</v>
      </c>
      <c r="E91" s="76">
        <f>MIN(D91*Constantes!$E$17,0.8*(N90+Observaciones!$F90-F91-M91-Constantes!$D$14))</f>
        <v>1.9318787916246452</v>
      </c>
      <c r="F91" s="76">
        <f>IF(Observaciones!$F90&gt;0.05*Constantes!$E$18,((Observaciones!$F90-0.05*Constantes!$E$18)^2)/(Observaciones!$F90+0.95*Constantes!$E$18),0)</f>
        <v>0</v>
      </c>
      <c r="G91" s="76">
        <f>IF(Escenarios!$E$11&gt;0,(F91*Escenarios!$E$16*10000)/1000,0)</f>
        <v>0</v>
      </c>
      <c r="H91" s="76">
        <f>IF(Escenarios!$E$11&gt;0,(Observaciones!$F90*Constantes!$E$29)/1000,0)</f>
        <v>0</v>
      </c>
      <c r="I91" s="76">
        <f>IF(Escenarios!$E$11&gt;0,(D91*Constantes!$E$29)/1000,0)</f>
        <v>39.513809328397215</v>
      </c>
      <c r="J91" s="76">
        <f>IF(Escenarios!$E$11&gt;0,MAX(0,G91+H91-I91),0)</f>
        <v>0</v>
      </c>
      <c r="K91" s="76">
        <f>IF(Escenarios!$E$11&gt;0,IF(J91&gt;Constantes!$E$30,1000*((J91-Constantes!$E$30)/(Escenarios!$E$16*10000)),0),F91)</f>
        <v>0</v>
      </c>
      <c r="L91" s="76">
        <f>IF(Escenarios!$E$11&gt;0,I91*1000/Escenarios!$E$16/10000+E91,E91)</f>
        <v>1.9476843153560039</v>
      </c>
      <c r="M91" s="76">
        <f>MAX(0,N90+Observaciones!$F90-K91-Constantes!$D$13)</f>
        <v>0</v>
      </c>
      <c r="N91" s="76">
        <f>N90+Observaciones!$F90-K91-L91-M91-O90</f>
        <v>27.035752238217519</v>
      </c>
      <c r="O91" s="76">
        <f>MAX(0,(N91-Constantes!$D$14)*(1-EXP(-Constantes!$D$22)))</f>
        <v>0.53772067191652395</v>
      </c>
      <c r="P91" s="170">
        <f>P90+(Entradas!$E$83*M91-Q90)/(800*Entradas!$D$25)</f>
        <v>0</v>
      </c>
      <c r="Q91" s="170">
        <f>8000*Entradas!$D$26*P91/Constantes!$E$45</f>
        <v>0</v>
      </c>
      <c r="R91" s="170">
        <f>IF(Escenarios!$E$14&gt;0,K91*Escenarios!$E$13/Escenarios!$E$14,0)</f>
        <v>0</v>
      </c>
      <c r="S91" s="170">
        <f>IF(Escenarios!$E$14&gt;0,Q91*Escenarios!$E$13/Escenarios!$E$14,0)</f>
        <v>0</v>
      </c>
      <c r="T91" s="170">
        <f>IF(Escenarios!$E$14&gt;0,Observaciones!$I90,0)</f>
        <v>0</v>
      </c>
      <c r="U91" s="170">
        <f>IF(Escenarios!$E$14&gt;0,MAX(0,Constantes!$E$36/((Z90+R91+S91+T91+Observaciones!$F90)^2)+Entradas!$E$77),0)</f>
        <v>2.5794702045967526</v>
      </c>
      <c r="V91" s="146">
        <f>IF(ETo!D90&gt;0,ETo!I90*((1-Entradas!$E$81)*ETo!K90+ETo!L90),0)</f>
        <v>3.6013147799505396</v>
      </c>
      <c r="W91" s="170">
        <f>IF(Escenarios!$E$14&gt;0,MIN(V91*1,0.8*(Z90+R91+S91+T91+Observaciones!$F90-U91-Constantes!$E$35)),0)</f>
        <v>3.6013147799505396</v>
      </c>
      <c r="X91" s="170">
        <f>IF(Escenarios!$E$14&gt;0,Observaciones!$J90,0)</f>
        <v>0</v>
      </c>
      <c r="Y91" s="170">
        <f>IF(Escenarios!$E$14&gt;0,MAX(0,Z90+R91+S91+T91+Observaciones!$F90-U91-W91-X91-Constantes!$E$33),0)</f>
        <v>0</v>
      </c>
      <c r="Z91" s="170">
        <f>Z90+R91+S91+T91+Observaciones!$F90-U91-W91-Y91</f>
        <v>150.06852477537214</v>
      </c>
      <c r="AA91" s="170">
        <f>IF(Escenarios!$E$14&gt;0,(Escenarios!$E$13*L91+Escenarios!$E$14*W91)/(Escenarios!$E$16),L91)</f>
        <v>2.146119971107348</v>
      </c>
      <c r="AB91" s="170">
        <f>IF(Escenarios!$E$14&gt;0,(Escenarios!$E$14*Y91)/(Escenarios!$E$16),K91)</f>
        <v>0</v>
      </c>
      <c r="AC91" s="170">
        <f>IF(Escenarios!$E$14&gt;0,(Escenarios!$E$13*M91+Escenarios!$E$14*U91)/(Escenarios!$E$16),M91)</f>
        <v>0.30953642455161029</v>
      </c>
      <c r="AD91" s="76">
        <f t="shared" si="15"/>
        <v>177.33587435135064</v>
      </c>
      <c r="AE91" s="76">
        <f>MAX(0,(AD91-Constantes!$D$13)*(1-EXP(-Constantes!$D$23)))</f>
        <v>1.2669872467530048</v>
      </c>
      <c r="AF91" s="76">
        <f>AB91+O91*Escenarios!$E$13/Escenarios!$E$16+AE91</f>
        <v>1.7401814380395457</v>
      </c>
      <c r="AG91" s="76">
        <f>IF(Entradas!$E$91&gt;0,IF(AF91-Escenarios!$E$38&lt;=0,0,IF(AF91-Escenarios!$E$38&gt;Escenarios!$E$37,Escenarios!$E$37,AF91-Escenarios!$E$38)),0)</f>
        <v>0</v>
      </c>
      <c r="AH91" s="76">
        <f>AG91*Entradas!$E$99</f>
        <v>0</v>
      </c>
      <c r="AI91" s="76">
        <f>IF(Entradas!$E$91&gt;0,D91*Entradas!$D$23/Escenarios!$E$16,0)</f>
        <v>0</v>
      </c>
      <c r="AJ91" s="76">
        <f>IF(Entradas!$E$91&gt;0,Entradas!$D$24*Entradas!$D$22/Escenarios!$E$16,0)</f>
        <v>0</v>
      </c>
      <c r="AK91" s="76">
        <f t="shared" si="24"/>
        <v>2.146119971107348</v>
      </c>
      <c r="AL91" s="76">
        <f t="shared" si="25"/>
        <v>0</v>
      </c>
      <c r="AM91" s="76">
        <f t="shared" si="16"/>
        <v>0</v>
      </c>
      <c r="AN91" s="76">
        <f>MAX(0,O91*Escenarios!$E$13/Escenarios!$E$16-AM91)</f>
        <v>0.47319419128654105</v>
      </c>
      <c r="AO91" s="76">
        <f>AM91+AN91-O91*Escenarios!$E$13/Escenarios!$E$16</f>
        <v>0</v>
      </c>
      <c r="AP91" s="76">
        <f t="shared" si="14"/>
        <v>1.2669872467530048</v>
      </c>
      <c r="AQ91" s="76">
        <f t="shared" si="17"/>
        <v>0</v>
      </c>
      <c r="AR91" s="76">
        <f t="shared" si="18"/>
        <v>1.7401814380395457</v>
      </c>
      <c r="AS91" s="76">
        <f t="shared" si="19"/>
        <v>0</v>
      </c>
      <c r="AT91" s="76">
        <f t="shared" si="20"/>
        <v>0.30953642455161029</v>
      </c>
      <c r="AU91" s="76">
        <f t="shared" si="21"/>
        <v>48.75</v>
      </c>
      <c r="AV91" s="76">
        <f>MAX(0,(AU91-Constantes!$D$13)*(1-EXP(-Constantes!$D$24)))</f>
        <v>0</v>
      </c>
      <c r="AW91" s="170">
        <f>AW90+(Entradas!$E$112*AT91-AX90)/(800*Entradas!$D$25)</f>
        <v>0</v>
      </c>
      <c r="AX91" s="170">
        <f>8000*Entradas!$D$26*AW91/Constantes!$E$45</f>
        <v>0</v>
      </c>
      <c r="AY91" s="170">
        <f>IF(Escenarios!$E$17&gt;0,10*Escenarios!$E$16*AL91,0)</f>
        <v>0</v>
      </c>
      <c r="AZ91" s="170">
        <f>IF(Escenarios!$E$17&gt;0,10*Escenarios!$E$16*AX91,0)</f>
        <v>0</v>
      </c>
      <c r="BA91" s="170">
        <f>IF(Escenarios!$E$17&gt;0,0.001*Observaciones!$F90*Escenarios!$E$17,0)</f>
        <v>0</v>
      </c>
      <c r="BB91" s="170">
        <f>IF(Escenarios!$E$17&gt;0,Observaciones!$K90,0)</f>
        <v>0</v>
      </c>
      <c r="BC91" s="170">
        <f>IF(Escenarios!$E$17&gt;0,MIN(0.0005*ETo!$M90*Escenarios!$E$17*(BG90/Constantes!$E$40)^(2/3),BG90+AY91+AZ91+BA91+BB91),0)</f>
        <v>40.670935479569827</v>
      </c>
      <c r="BD91" s="170">
        <f>IF(Escenarios!$E$17&gt;0,MIN(Constantes!$E$39*(BG90/Constantes!$E$40)^(2/3),BG90+AY91+AZ91+BA91+BB91-BC91),0)</f>
        <v>72.268227824597261</v>
      </c>
      <c r="BE91" s="170">
        <f>IF(Escenarios!$E$17&gt;0,MIN(Entradas!$E$113,BG90+AY91+AZ91+BA91+BB91-BC91-BD91),0)</f>
        <v>1</v>
      </c>
      <c r="BF91" s="170">
        <f>IF(Escenarios!$E$17&gt;0,MAX(0,BG90+AY91+AZ91+BA91+BB91-BC91-BD91-BE91-Constantes!$E$40),0)</f>
        <v>0</v>
      </c>
      <c r="BG91" s="170">
        <f t="shared" si="26"/>
        <v>5609.9981379760584</v>
      </c>
      <c r="BH91" s="170">
        <f>(Escenarios!$E$16*AK91+0.1*BC91)/(Escenarios!$E$19)</f>
        <v>2.1452265330348972</v>
      </c>
      <c r="BI91" s="170">
        <f>IF(Escenarios!$E$17&gt;0,BF91/10/Escenarios!$E$19,AL91)</f>
        <v>0</v>
      </c>
      <c r="BJ91" s="170">
        <f>(Escenarios!$E$16*AT91+0.1*BD91)/(Escenarios!$E$19)</f>
        <v>0.33575765444588213</v>
      </c>
      <c r="BK91" s="76">
        <f>BK90+(0.1*BD91)/(Escenarios!$E$19)-BL90</f>
        <v>49.965994583778219</v>
      </c>
      <c r="BL91" s="76">
        <f>MAX(0,(BK91-Constantes!$D$13)*(1-EXP(-Constantes!$D$23)))</f>
        <v>1.1981484261311856E-2</v>
      </c>
      <c r="BM91" s="76">
        <f t="shared" si="22"/>
        <v>1.2789687310143167</v>
      </c>
      <c r="BN91" s="76">
        <f t="shared" si="27"/>
        <v>1.7521629223008577</v>
      </c>
      <c r="BO91" s="76">
        <f>0.0526*BI91*Observaciones!$F90^1.218</f>
        <v>0</v>
      </c>
      <c r="BP91" s="76">
        <f>BO91*Constantes!$E$51</f>
        <v>0</v>
      </c>
      <c r="BQ91" s="76">
        <f t="shared" si="23"/>
        <v>0</v>
      </c>
      <c r="BR91" s="40"/>
    </row>
    <row r="92" spans="1:70">
      <c r="A92" s="147"/>
      <c r="B92" s="39"/>
      <c r="C92" s="75">
        <v>86</v>
      </c>
      <c r="D92" s="146">
        <f>ETo!$I91*((1-Constantes!$E$19)*ETo!$K91+ETo!$L91)</f>
        <v>3.9855977732111381</v>
      </c>
      <c r="E92" s="76">
        <f>MIN(D92*Constantes!$E$17,0.8*(N91+Observaciones!$F91-F92-M92-Constantes!$D$14))</f>
        <v>1.9486078261959694</v>
      </c>
      <c r="F92" s="76">
        <f>IF(Observaciones!$F91&gt;0.05*Constantes!$E$18,((Observaciones!$F91-0.05*Constantes!$E$18)^2)/(Observaciones!$F91+0.95*Constantes!$E$18),0)</f>
        <v>0</v>
      </c>
      <c r="G92" s="76">
        <f>IF(Escenarios!$E$11&gt;0,(F92*Escenarios!$E$16*10000)/1000,0)</f>
        <v>0</v>
      </c>
      <c r="H92" s="76">
        <f>IF(Escenarios!$E$11&gt;0,(Observaciones!$F91*Constantes!$E$29)/1000,0)</f>
        <v>0</v>
      </c>
      <c r="I92" s="76">
        <f>IF(Escenarios!$E$11&gt;0,(D92*Constantes!$E$29)/1000,0)</f>
        <v>39.855977732111377</v>
      </c>
      <c r="J92" s="76">
        <f>IF(Escenarios!$E$11&gt;0,MAX(0,G92+H92-I92),0)</f>
        <v>0</v>
      </c>
      <c r="K92" s="76">
        <f>IF(Escenarios!$E$11&gt;0,IF(J92&gt;Constantes!$E$30,1000*((J92-Constantes!$E$30)/(Escenarios!$E$16*10000)),0),F92)</f>
        <v>0</v>
      </c>
      <c r="L92" s="76">
        <f>IF(Escenarios!$E$11&gt;0,I92*1000/Escenarios!$E$16/10000+E92,E92)</f>
        <v>1.9645502172888138</v>
      </c>
      <c r="M92" s="76">
        <f>MAX(0,N91+Observaciones!$F91-K92-Constantes!$D$13)</f>
        <v>0</v>
      </c>
      <c r="N92" s="76">
        <f>N91+Observaciones!$F91-K92-L92-M92-O91</f>
        <v>24.533481349012181</v>
      </c>
      <c r="O92" s="76">
        <f>MAX(0,(N92-Constantes!$D$14)*(1-EXP(-Constantes!$D$22)))</f>
        <v>0.4524841394056992</v>
      </c>
      <c r="P92" s="170">
        <f>P91+(Entradas!$E$83*M92-Q91)/(800*Entradas!$D$25)</f>
        <v>0</v>
      </c>
      <c r="Q92" s="170">
        <f>8000*Entradas!$D$26*P92/Constantes!$E$45</f>
        <v>0</v>
      </c>
      <c r="R92" s="170">
        <f>IF(Escenarios!$E$14&gt;0,K92*Escenarios!$E$13/Escenarios!$E$14,0)</f>
        <v>0</v>
      </c>
      <c r="S92" s="170">
        <f>IF(Escenarios!$E$14&gt;0,Q92*Escenarios!$E$13/Escenarios!$E$14,0)</f>
        <v>0</v>
      </c>
      <c r="T92" s="170">
        <f>IF(Escenarios!$E$14&gt;0,Observaciones!$I91,0)</f>
        <v>0</v>
      </c>
      <c r="U92" s="170">
        <f>IF(Escenarios!$E$14&gt;0,MAX(0,Constantes!$E$36/((Z91+R92+S92+T92+Observaciones!$F91)^2)+Entradas!$E$77),0)</f>
        <v>2.544116619224245</v>
      </c>
      <c r="V92" s="146">
        <f>IF(ETo!D91&gt;0,ETo!I91*((1-Entradas!$E$81)*ETo!K91+ETo!L91),0)</f>
        <v>3.6327884880265575</v>
      </c>
      <c r="W92" s="170">
        <f>IF(Escenarios!$E$14&gt;0,MIN(V92*1,0.8*(Z91+R92+S92+T92+Observaciones!$F91-U92-Constantes!$E$35)),0)</f>
        <v>3.6327884880265575</v>
      </c>
      <c r="X92" s="170">
        <f>IF(Escenarios!$E$14&gt;0,Observaciones!$J91,0)</f>
        <v>0</v>
      </c>
      <c r="Y92" s="170">
        <f>IF(Escenarios!$E$14&gt;0,MAX(0,Z91+R92+S92+T92+Observaciones!$F91-U92-W92-X92-Constantes!$E$33),0)</f>
        <v>0</v>
      </c>
      <c r="Z92" s="170">
        <f>Z91+R92+S92+T92+Observaciones!$F91-U92-W92-Y92</f>
        <v>143.89161966812134</v>
      </c>
      <c r="AA92" s="170">
        <f>IF(Escenarios!$E$14&gt;0,(Escenarios!$E$13*L92+Escenarios!$E$14*W92)/(Escenarios!$E$16),L92)</f>
        <v>2.1647388097773432</v>
      </c>
      <c r="AB92" s="170">
        <f>IF(Escenarios!$E$14&gt;0,(Escenarios!$E$14*Y92)/(Escenarios!$E$16),K92)</f>
        <v>0</v>
      </c>
      <c r="AC92" s="170">
        <f>IF(Escenarios!$E$14&gt;0,(Escenarios!$E$13*M92+Escenarios!$E$14*U92)/(Escenarios!$E$16),M92)</f>
        <v>0.3052939943069094</v>
      </c>
      <c r="AD92" s="76">
        <f t="shared" si="15"/>
        <v>176.37418109890453</v>
      </c>
      <c r="AE92" s="76">
        <f>MAX(0,(AD92-Constantes!$D$13)*(1-EXP(-Constantes!$D$23)))</f>
        <v>1.2575114540791663</v>
      </c>
      <c r="AF92" s="76">
        <f>AB92+O92*Escenarios!$E$13/Escenarios!$E$16+AE92</f>
        <v>1.6556974967561815</v>
      </c>
      <c r="AG92" s="76">
        <f>IF(Entradas!$E$91&gt;0,IF(AF92-Escenarios!$E$38&lt;=0,0,IF(AF92-Escenarios!$E$38&gt;Escenarios!$E$37,Escenarios!$E$37,AF92-Escenarios!$E$38)),0)</f>
        <v>0</v>
      </c>
      <c r="AH92" s="76">
        <f>AG92*Entradas!$E$99</f>
        <v>0</v>
      </c>
      <c r="AI92" s="76">
        <f>IF(Entradas!$E$91&gt;0,D92*Entradas!$D$23/Escenarios!$E$16,0)</f>
        <v>0</v>
      </c>
      <c r="AJ92" s="76">
        <f>IF(Entradas!$E$91&gt;0,Entradas!$D$24*Entradas!$D$22/Escenarios!$E$16,0)</f>
        <v>0</v>
      </c>
      <c r="AK92" s="76">
        <f t="shared" si="24"/>
        <v>2.1647388097773432</v>
      </c>
      <c r="AL92" s="76">
        <f t="shared" si="25"/>
        <v>0</v>
      </c>
      <c r="AM92" s="76">
        <f t="shared" si="16"/>
        <v>0</v>
      </c>
      <c r="AN92" s="76">
        <f>MAX(0,O92*Escenarios!$E$13/Escenarios!$E$16-AM92)</f>
        <v>0.39818604267701529</v>
      </c>
      <c r="AO92" s="76">
        <f>AM92+AN92-O92*Escenarios!$E$13/Escenarios!$E$16</f>
        <v>0</v>
      </c>
      <c r="AP92" s="76">
        <f t="shared" si="14"/>
        <v>1.2575114540791663</v>
      </c>
      <c r="AQ92" s="76">
        <f t="shared" si="17"/>
        <v>0</v>
      </c>
      <c r="AR92" s="76">
        <f t="shared" si="18"/>
        <v>1.6556974967561815</v>
      </c>
      <c r="AS92" s="76">
        <f t="shared" si="19"/>
        <v>0</v>
      </c>
      <c r="AT92" s="76">
        <f t="shared" si="20"/>
        <v>0.3052939943069094</v>
      </c>
      <c r="AU92" s="76">
        <f t="shared" si="21"/>
        <v>48.75</v>
      </c>
      <c r="AV92" s="76">
        <f>MAX(0,(AU92-Constantes!$D$13)*(1-EXP(-Constantes!$D$24)))</f>
        <v>0</v>
      </c>
      <c r="AW92" s="170">
        <f>AW91+(Entradas!$E$112*AT92-AX91)/(800*Entradas!$D$25)</f>
        <v>0</v>
      </c>
      <c r="AX92" s="170">
        <f>8000*Entradas!$D$26*AW92/Constantes!$E$45</f>
        <v>0</v>
      </c>
      <c r="AY92" s="170">
        <f>IF(Escenarios!$E$17&gt;0,10*Escenarios!$E$16*AL92,0)</f>
        <v>0</v>
      </c>
      <c r="AZ92" s="170">
        <f>IF(Escenarios!$E$17&gt;0,10*Escenarios!$E$16*AX92,0)</f>
        <v>0</v>
      </c>
      <c r="BA92" s="170">
        <f>IF(Escenarios!$E$17&gt;0,0.001*Observaciones!$F91*Escenarios!$E$17,0)</f>
        <v>0</v>
      </c>
      <c r="BB92" s="170">
        <f>IF(Escenarios!$E$17&gt;0,Observaciones!$K91,0)</f>
        <v>0</v>
      </c>
      <c r="BC92" s="170">
        <f>IF(Escenarios!$E$17&gt;0,MIN(0.0005*ETo!$M91*Escenarios!$E$17*(BG91/Constantes!$E$40)^(2/3),BG91+AY92+AZ92+BA92+BB92),0)</f>
        <v>40.472862003291901</v>
      </c>
      <c r="BD92" s="170">
        <f>IF(Escenarios!$E$17&gt;0,MIN(Constantes!$E$39*(BG91/Constantes!$E$40)^(2/3),BG91+AY92+AZ92+BA92+BB92-BC92),0)</f>
        <v>71.305982968296206</v>
      </c>
      <c r="BE92" s="170">
        <f>IF(Escenarios!$E$17&gt;0,MIN(Entradas!$E$113,BG91+AY92+AZ92+BA92+BB92-BC92-BD92),0)</f>
        <v>1</v>
      </c>
      <c r="BF92" s="170">
        <f>IF(Escenarios!$E$17&gt;0,MAX(0,BG91+AY92+AZ92+BA92+BB92-BC92-BD92-BE92-Constantes!$E$40),0)</f>
        <v>0</v>
      </c>
      <c r="BG92" s="170">
        <f t="shared" si="26"/>
        <v>5497.2192930044703</v>
      </c>
      <c r="BH92" s="170">
        <f>(Escenarios!$E$16*AK92+0.1*BC92)/(Escenarios!$E$19)</f>
        <v>2.1636190025581943</v>
      </c>
      <c r="BI92" s="170">
        <f>IF(Escenarios!$E$17&gt;0,BF92/10/Escenarios!$E$19,AL92)</f>
        <v>0</v>
      </c>
      <c r="BJ92" s="170">
        <f>(Escenarios!$E$16*AT92+0.1*BD92)/(Escenarios!$E$19)</f>
        <v>0.33116705108554351</v>
      </c>
      <c r="BK92" s="76">
        <f>BK91+(0.1*BD92)/(Escenarios!$E$19)-BL91</f>
        <v>49.982309124504326</v>
      </c>
      <c r="BL92" s="76">
        <f>MAX(0,(BK92-Constantes!$D$13)*(1-EXP(-Constantes!$D$23)))</f>
        <v>1.2142235316907047E-2</v>
      </c>
      <c r="BM92" s="76">
        <f t="shared" si="22"/>
        <v>1.2696536893960733</v>
      </c>
      <c r="BN92" s="76">
        <f t="shared" si="27"/>
        <v>1.6678397320730884</v>
      </c>
      <c r="BO92" s="76">
        <f>0.0526*BI92*Observaciones!$F91^1.218</f>
        <v>0</v>
      </c>
      <c r="BP92" s="76">
        <f>BO92*Constantes!$E$51</f>
        <v>0</v>
      </c>
      <c r="BQ92" s="76">
        <f t="shared" si="23"/>
        <v>0</v>
      </c>
      <c r="BR92" s="40"/>
    </row>
    <row r="93" spans="1:70">
      <c r="A93" s="147"/>
      <c r="B93" s="39"/>
      <c r="C93" s="75">
        <v>87</v>
      </c>
      <c r="D93" s="146">
        <f>ETo!$I92*((1-Constantes!$E$19)*ETo!$K92+ETo!$L92)</f>
        <v>3.8589997343640561</v>
      </c>
      <c r="E93" s="76">
        <f>MIN(D93*Constantes!$E$17,0.8*(N92+Observaciones!$F92-F93-M93-Constantes!$D$14))</f>
        <v>1.8867124861953826</v>
      </c>
      <c r="F93" s="76">
        <f>IF(Observaciones!$F92&gt;0.05*Constantes!$E$18,((Observaciones!$F92-0.05*Constantes!$E$18)^2)/(Observaciones!$F92+0.95*Constantes!$E$18),0)</f>
        <v>0.26515660165489935</v>
      </c>
      <c r="G93" s="76">
        <f>IF(Escenarios!$E$11&gt;0,(F93*Escenarios!$E$16*10000)/1000,0)</f>
        <v>662.89150413724838</v>
      </c>
      <c r="H93" s="76">
        <f>IF(Escenarios!$E$11&gt;0,(Observaciones!$F92*Constantes!$E$29)/1000,0)</f>
        <v>117</v>
      </c>
      <c r="I93" s="76">
        <f>IF(Escenarios!$E$11&gt;0,(D93*Constantes!$E$29)/1000,0)</f>
        <v>38.589997343640562</v>
      </c>
      <c r="J93" s="76">
        <f>IF(Escenarios!$E$11&gt;0,MAX(0,G93+H93-I93),0)</f>
        <v>741.30150679360781</v>
      </c>
      <c r="K93" s="76">
        <f>IF(Escenarios!$E$11&gt;0,IF(J93&gt;Constantes!$E$30,1000*((J93-Constantes!$E$30)/(Escenarios!$E$16*10000)),0),F93)</f>
        <v>0</v>
      </c>
      <c r="L93" s="76">
        <f>IF(Escenarios!$E$11&gt;0,I93*1000/Escenarios!$E$16/10000+E93,E93)</f>
        <v>1.9021484851328387</v>
      </c>
      <c r="M93" s="76">
        <f>MAX(0,N92+Observaciones!$F92-K93-Constantes!$D$13)</f>
        <v>0</v>
      </c>
      <c r="N93" s="76">
        <f>N92+Observaciones!$F92-K93-L93-M93-O92</f>
        <v>33.878848724473642</v>
      </c>
      <c r="O93" s="76">
        <f>MAX(0,(N93-Constantes!$D$14)*(1-EXP(-Constantes!$D$22)))</f>
        <v>0.77082165975989736</v>
      </c>
      <c r="P93" s="170">
        <f>P92+(Entradas!$E$83*M93-Q92)/(800*Entradas!$D$25)</f>
        <v>0</v>
      </c>
      <c r="Q93" s="170">
        <f>8000*Entradas!$D$26*P93/Constantes!$E$45</f>
        <v>0</v>
      </c>
      <c r="R93" s="170">
        <f>IF(Escenarios!$E$14&gt;0,K93*Escenarios!$E$13/Escenarios!$E$14,0)</f>
        <v>0</v>
      </c>
      <c r="S93" s="170">
        <f>IF(Escenarios!$E$14&gt;0,Q93*Escenarios!$E$13/Escenarios!$E$14,0)</f>
        <v>0</v>
      </c>
      <c r="T93" s="170">
        <f>IF(Escenarios!$E$14&gt;0,Observaciones!$I92,0)</f>
        <v>0</v>
      </c>
      <c r="U93" s="170">
        <f>IF(Escenarios!$E$14&gt;0,MAX(0,Constantes!$E$36/((Z92+R93+S93+T93+Observaciones!$F92)^2)+Entradas!$E$77),0)</f>
        <v>2.5759075084520164</v>
      </c>
      <c r="V93" s="146">
        <f>IF(ETo!D92&gt;0,ETo!I92*((1-Entradas!$E$81)*ETo!K92+ETo!L92),0)</f>
        <v>3.5156131515028823</v>
      </c>
      <c r="W93" s="170">
        <f>IF(Escenarios!$E$14&gt;0,MIN(V93*1,0.8*(Z92+R93+S93+T93+Observaciones!$F92-U93-Constantes!$E$35)),0)</f>
        <v>3.5156131515028823</v>
      </c>
      <c r="X93" s="170">
        <f>IF(Escenarios!$E$14&gt;0,Observaciones!$J92,0)</f>
        <v>0</v>
      </c>
      <c r="Y93" s="170">
        <f>IF(Escenarios!$E$14&gt;0,MAX(0,Z92+R93+S93+T93+Observaciones!$F92-U93-W93-X93-Constantes!$E$33),0)</f>
        <v>0</v>
      </c>
      <c r="Z93" s="170">
        <f>Z92+R93+S93+T93+Observaciones!$F92-U93-W93-Y93</f>
        <v>149.50009900816642</v>
      </c>
      <c r="AA93" s="170">
        <f>IF(Escenarios!$E$14&gt;0,(Escenarios!$E$13*L93+Escenarios!$E$14*W93)/(Escenarios!$E$16),L93)</f>
        <v>2.0957642450972438</v>
      </c>
      <c r="AB93" s="170">
        <f>IF(Escenarios!$E$14&gt;0,(Escenarios!$E$14*Y93)/(Escenarios!$E$16),K93)</f>
        <v>0</v>
      </c>
      <c r="AC93" s="170">
        <f>IF(Escenarios!$E$14&gt;0,(Escenarios!$E$13*M93+Escenarios!$E$14*U93)/(Escenarios!$E$16),M93)</f>
        <v>0.30910890101424193</v>
      </c>
      <c r="AD93" s="76">
        <f t="shared" si="15"/>
        <v>175.42577854583959</v>
      </c>
      <c r="AE93" s="76">
        <f>MAX(0,(AD93-Constantes!$D$13)*(1-EXP(-Constantes!$D$23)))</f>
        <v>1.2481666178319286</v>
      </c>
      <c r="AF93" s="76">
        <f>AB93+O93*Escenarios!$E$13/Escenarios!$E$16+AE93</f>
        <v>1.9264896784206385</v>
      </c>
      <c r="AG93" s="76">
        <f>IF(Entradas!$E$91&gt;0,IF(AF93-Escenarios!$E$38&lt;=0,0,IF(AF93-Escenarios!$E$38&gt;Escenarios!$E$37,Escenarios!$E$37,AF93-Escenarios!$E$38)),0)</f>
        <v>0</v>
      </c>
      <c r="AH93" s="76">
        <f>AG93*Entradas!$E$99</f>
        <v>0</v>
      </c>
      <c r="AI93" s="76">
        <f>IF(Entradas!$E$91&gt;0,D93*Entradas!$D$23/Escenarios!$E$16,0)</f>
        <v>0</v>
      </c>
      <c r="AJ93" s="76">
        <f>IF(Entradas!$E$91&gt;0,Entradas!$D$24*Entradas!$D$22/Escenarios!$E$16,0)</f>
        <v>0</v>
      </c>
      <c r="AK93" s="76">
        <f t="shared" si="24"/>
        <v>2.0957642450972438</v>
      </c>
      <c r="AL93" s="76">
        <f t="shared" si="25"/>
        <v>0</v>
      </c>
      <c r="AM93" s="76">
        <f t="shared" si="16"/>
        <v>0</v>
      </c>
      <c r="AN93" s="76">
        <f>MAX(0,O93*Escenarios!$E$13/Escenarios!$E$16-AM93)</f>
        <v>0.67832306058870973</v>
      </c>
      <c r="AO93" s="76">
        <f>AM93+AN93-O93*Escenarios!$E$13/Escenarios!$E$16</f>
        <v>0</v>
      </c>
      <c r="AP93" s="76">
        <f t="shared" si="14"/>
        <v>1.2481666178319286</v>
      </c>
      <c r="AQ93" s="76">
        <f t="shared" si="17"/>
        <v>0</v>
      </c>
      <c r="AR93" s="76">
        <f t="shared" si="18"/>
        <v>1.9264896784206385</v>
      </c>
      <c r="AS93" s="76">
        <f t="shared" si="19"/>
        <v>0</v>
      </c>
      <c r="AT93" s="76">
        <f t="shared" si="20"/>
        <v>0.30910890101424193</v>
      </c>
      <c r="AU93" s="76">
        <f t="shared" si="21"/>
        <v>48.75</v>
      </c>
      <c r="AV93" s="76">
        <f>MAX(0,(AU93-Constantes!$D$13)*(1-EXP(-Constantes!$D$24)))</f>
        <v>0</v>
      </c>
      <c r="AW93" s="170">
        <f>AW92+(Entradas!$E$112*AT93-AX92)/(800*Entradas!$D$25)</f>
        <v>0</v>
      </c>
      <c r="AX93" s="170">
        <f>8000*Entradas!$D$26*AW93/Constantes!$E$45</f>
        <v>0</v>
      </c>
      <c r="AY93" s="170">
        <f>IF(Escenarios!$E$17&gt;0,10*Escenarios!$E$16*AL93,0)</f>
        <v>0</v>
      </c>
      <c r="AZ93" s="170">
        <f>IF(Escenarios!$E$17&gt;0,10*Escenarios!$E$16*AX93,0)</f>
        <v>0</v>
      </c>
      <c r="BA93" s="170">
        <f>IF(Escenarios!$E$17&gt;0,0.001*Observaciones!$F92*Escenarios!$E$17,0)</f>
        <v>234</v>
      </c>
      <c r="BB93" s="170">
        <f>IF(Escenarios!$E$17&gt;0,Observaciones!$K92,0)</f>
        <v>0</v>
      </c>
      <c r="BC93" s="170">
        <f>IF(Escenarios!$E$17&gt;0,MIN(0.0005*ETo!$M92*Escenarios!$E$17*(BG92/Constantes!$E$40)^(2/3),BG92+AY93+AZ93+BA93+BB93),0)</f>
        <v>38.685001521476828</v>
      </c>
      <c r="BD93" s="170">
        <f>IF(Escenarios!$E$17&gt;0,MIN(Constantes!$E$39*(BG92/Constantes!$E$40)^(2/3),BG92+AY93+AZ93+BA93+BB93-BC93),0)</f>
        <v>70.347100377325461</v>
      </c>
      <c r="BE93" s="170">
        <f>IF(Escenarios!$E$17&gt;0,MIN(Entradas!$E$113,BG92+AY93+AZ93+BA93+BB93-BC93-BD93),0)</f>
        <v>1</v>
      </c>
      <c r="BF93" s="170">
        <f>IF(Escenarios!$E$17&gt;0,MAX(0,BG92+AY93+AZ93+BA93+BB93-BC93-BD93-BE93-Constantes!$E$40),0)</f>
        <v>0</v>
      </c>
      <c r="BG93" s="170">
        <f t="shared" si="26"/>
        <v>5621.1871911056678</v>
      </c>
      <c r="BH93" s="170">
        <f>(Escenarios!$E$16*AK93+0.1*BC93)/(Escenarios!$E$19)</f>
        <v>2.0944823866129312</v>
      </c>
      <c r="BI93" s="170">
        <f>IF(Escenarios!$E$17&gt;0,BF93/10/Escenarios!$E$19,AL93)</f>
        <v>0</v>
      </c>
      <c r="BJ93" s="170">
        <f>(Escenarios!$E$16*AT93+0.1*BD93)/(Escenarios!$E$19)</f>
        <v>0.33457117179084539</v>
      </c>
      <c r="BK93" s="76">
        <f>BK92+(0.1*BD93)/(Escenarios!$E$19)-BL92</f>
        <v>49.998082405210162</v>
      </c>
      <c r="BL93" s="76">
        <f>MAX(0,(BK93-Constantes!$D$13)*(1-EXP(-Constantes!$D$23)))</f>
        <v>1.2297653208604419E-2</v>
      </c>
      <c r="BM93" s="76">
        <f t="shared" si="22"/>
        <v>1.2604642710405329</v>
      </c>
      <c r="BN93" s="76">
        <f t="shared" si="27"/>
        <v>1.9387873316292428</v>
      </c>
      <c r="BO93" s="76">
        <f>0.0526*BI93*Observaciones!$F92^1.218</f>
        <v>0</v>
      </c>
      <c r="BP93" s="76">
        <f>BO93*Constantes!$E$51</f>
        <v>0</v>
      </c>
      <c r="BQ93" s="76">
        <f t="shared" si="23"/>
        <v>0</v>
      </c>
      <c r="BR93" s="40"/>
    </row>
    <row r="94" spans="1:70">
      <c r="A94" s="147"/>
      <c r="B94" s="39"/>
      <c r="C94" s="75">
        <v>88</v>
      </c>
      <c r="D94" s="146">
        <f>ETo!$I93*((1-Constantes!$E$19)*ETo!$K93+ETo!$L93)</f>
        <v>3.9089180843131639</v>
      </c>
      <c r="E94" s="76">
        <f>MIN(D94*Constantes!$E$17,0.8*(N93+Observaciones!$F93-F94-M94-Constantes!$D$14))</f>
        <v>1.9111181821327452</v>
      </c>
      <c r="F94" s="76">
        <f>IF(Observaciones!$F93&gt;0.05*Constantes!$E$18,((Observaciones!$F93-0.05*Constantes!$E$18)^2)/(Observaciones!$F93+0.95*Constantes!$E$18),0)</f>
        <v>0</v>
      </c>
      <c r="G94" s="76">
        <f>IF(Escenarios!$E$11&gt;0,(F94*Escenarios!$E$16*10000)/1000,0)</f>
        <v>0</v>
      </c>
      <c r="H94" s="76">
        <f>IF(Escenarios!$E$11&gt;0,(Observaciones!$F93*Constantes!$E$29)/1000,0)</f>
        <v>0</v>
      </c>
      <c r="I94" s="76">
        <f>IF(Escenarios!$E$11&gt;0,(D94*Constantes!$E$29)/1000,0)</f>
        <v>39.089180843131636</v>
      </c>
      <c r="J94" s="76">
        <f>IF(Escenarios!$E$11&gt;0,MAX(0,G94+H94-I94),0)</f>
        <v>0</v>
      </c>
      <c r="K94" s="76">
        <f>IF(Escenarios!$E$11&gt;0,IF(J94&gt;Constantes!$E$30,1000*((J94-Constantes!$E$30)/(Escenarios!$E$16*10000)),0),F94)</f>
        <v>0</v>
      </c>
      <c r="L94" s="76">
        <f>IF(Escenarios!$E$11&gt;0,I94*1000/Escenarios!$E$16/10000+E94,E94)</f>
        <v>1.9267538544699978</v>
      </c>
      <c r="M94" s="76">
        <f>MAX(0,N93+Observaciones!$F93-K94-Constantes!$D$13)</f>
        <v>0</v>
      </c>
      <c r="N94" s="76">
        <f>N93+Observaciones!$F93-K94-L94-M94-O93</f>
        <v>31.181273210243749</v>
      </c>
      <c r="O94" s="76">
        <f>MAX(0,(N94-Constantes!$D$14)*(1-EXP(-Constantes!$D$22)))</f>
        <v>0.67893233474277981</v>
      </c>
      <c r="P94" s="170">
        <f>P93+(Entradas!$E$83*M94-Q93)/(800*Entradas!$D$25)</f>
        <v>0</v>
      </c>
      <c r="Q94" s="170">
        <f>8000*Entradas!$D$26*P94/Constantes!$E$45</f>
        <v>0</v>
      </c>
      <c r="R94" s="170">
        <f>IF(Escenarios!$E$14&gt;0,K94*Escenarios!$E$13/Escenarios!$E$14,0)</f>
        <v>0</v>
      </c>
      <c r="S94" s="170">
        <f>IF(Escenarios!$E$14&gt;0,Q94*Escenarios!$E$13/Escenarios!$E$14,0)</f>
        <v>0</v>
      </c>
      <c r="T94" s="170">
        <f>IF(Escenarios!$E$14&gt;0,Observaciones!$I93,0)</f>
        <v>0</v>
      </c>
      <c r="U94" s="170">
        <f>IF(Escenarios!$E$14&gt;0,MAX(0,Constantes!$E$36/((Z93+R94+S94+T94+Observaciones!$F93)^2)+Entradas!$E$77),0)</f>
        <v>2.5406433305463212</v>
      </c>
      <c r="V94" s="146">
        <f>IF(ETo!D93&gt;0,ETo!I93*((1-Entradas!$E$81)*ETo!K93+ETo!L93),0)</f>
        <v>3.5615059982223958</v>
      </c>
      <c r="W94" s="170">
        <f>IF(Escenarios!$E$14&gt;0,MIN(V94*1,0.8*(Z93+R94+S94+T94+Observaciones!$F93-U94-Constantes!$E$35)),0)</f>
        <v>3.5615059982223958</v>
      </c>
      <c r="X94" s="170">
        <f>IF(Escenarios!$E$14&gt;0,Observaciones!$J93,0)</f>
        <v>0</v>
      </c>
      <c r="Y94" s="170">
        <f>IF(Escenarios!$E$14&gt;0,MAX(0,Z93+R94+S94+T94+Observaciones!$F93-U94-W94-X94-Constantes!$E$33),0)</f>
        <v>0</v>
      </c>
      <c r="Z94" s="170">
        <f>Z93+R94+S94+T94+Observaciones!$F93-U94-W94-Y94</f>
        <v>143.3979496793977</v>
      </c>
      <c r="AA94" s="170">
        <f>IF(Escenarios!$E$14&gt;0,(Escenarios!$E$13*L94+Escenarios!$E$14*W94)/(Escenarios!$E$16),L94)</f>
        <v>2.1229241117202857</v>
      </c>
      <c r="AB94" s="170">
        <f>IF(Escenarios!$E$14&gt;0,(Escenarios!$E$14*Y94)/(Escenarios!$E$16),K94)</f>
        <v>0</v>
      </c>
      <c r="AC94" s="170">
        <f>IF(Escenarios!$E$14&gt;0,(Escenarios!$E$13*M94+Escenarios!$E$14*U94)/(Escenarios!$E$16),M94)</f>
        <v>0.30487719966555854</v>
      </c>
      <c r="AD94" s="76">
        <f t="shared" si="15"/>
        <v>174.4824891276732</v>
      </c>
      <c r="AE94" s="76">
        <f>MAX(0,(AD94-Constantes!$D$13)*(1-EXP(-Constantes!$D$23)))</f>
        <v>1.2388721625207</v>
      </c>
      <c r="AF94" s="76">
        <f>AB94+O94*Escenarios!$E$13/Escenarios!$E$16+AE94</f>
        <v>1.8363326170943461</v>
      </c>
      <c r="AG94" s="76">
        <f>IF(Entradas!$E$91&gt;0,IF(AF94-Escenarios!$E$38&lt;=0,0,IF(AF94-Escenarios!$E$38&gt;Escenarios!$E$37,Escenarios!$E$37,AF94-Escenarios!$E$38)),0)</f>
        <v>0</v>
      </c>
      <c r="AH94" s="76">
        <f>AG94*Entradas!$E$99</f>
        <v>0</v>
      </c>
      <c r="AI94" s="76">
        <f>IF(Entradas!$E$91&gt;0,D94*Entradas!$D$23/Escenarios!$E$16,0)</f>
        <v>0</v>
      </c>
      <c r="AJ94" s="76">
        <f>IF(Entradas!$E$91&gt;0,Entradas!$D$24*Entradas!$D$22/Escenarios!$E$16,0)</f>
        <v>0</v>
      </c>
      <c r="AK94" s="76">
        <f t="shared" si="24"/>
        <v>2.1229241117202857</v>
      </c>
      <c r="AL94" s="76">
        <f t="shared" si="25"/>
        <v>0</v>
      </c>
      <c r="AM94" s="76">
        <f t="shared" si="16"/>
        <v>0</v>
      </c>
      <c r="AN94" s="76">
        <f>MAX(0,O94*Escenarios!$E$13/Escenarios!$E$16-AM94)</f>
        <v>0.59746045457364616</v>
      </c>
      <c r="AO94" s="76">
        <f>AM94+AN94-O94*Escenarios!$E$13/Escenarios!$E$16</f>
        <v>0</v>
      </c>
      <c r="AP94" s="76">
        <f t="shared" si="14"/>
        <v>1.2388721625207</v>
      </c>
      <c r="AQ94" s="76">
        <f t="shared" si="17"/>
        <v>0</v>
      </c>
      <c r="AR94" s="76">
        <f t="shared" si="18"/>
        <v>1.8363326170943461</v>
      </c>
      <c r="AS94" s="76">
        <f t="shared" si="19"/>
        <v>0</v>
      </c>
      <c r="AT94" s="76">
        <f t="shared" si="20"/>
        <v>0.30487719966555854</v>
      </c>
      <c r="AU94" s="76">
        <f t="shared" si="21"/>
        <v>48.75</v>
      </c>
      <c r="AV94" s="76">
        <f>MAX(0,(AU94-Constantes!$D$13)*(1-EXP(-Constantes!$D$24)))</f>
        <v>0</v>
      </c>
      <c r="AW94" s="170">
        <f>AW93+(Entradas!$E$112*AT94-AX93)/(800*Entradas!$D$25)</f>
        <v>0</v>
      </c>
      <c r="AX94" s="170">
        <f>8000*Entradas!$D$26*AW94/Constantes!$E$45</f>
        <v>0</v>
      </c>
      <c r="AY94" s="170">
        <f>IF(Escenarios!$E$17&gt;0,10*Escenarios!$E$16*AL94,0)</f>
        <v>0</v>
      </c>
      <c r="AZ94" s="170">
        <f>IF(Escenarios!$E$17&gt;0,10*Escenarios!$E$16*AX94,0)</f>
        <v>0</v>
      </c>
      <c r="BA94" s="170">
        <f>IF(Escenarios!$E$17&gt;0,0.001*Observaciones!$F93*Escenarios!$E$17,0)</f>
        <v>0</v>
      </c>
      <c r="BB94" s="170">
        <f>IF(Escenarios!$E$17&gt;0,Observaciones!$K93,0)</f>
        <v>0</v>
      </c>
      <c r="BC94" s="170">
        <f>IF(Escenarios!$E$17&gt;0,MIN(0.0005*ETo!$M93*Escenarios!$E$17*(BG93/Constantes!$E$40)^(2/3),BG93+AY94+AZ94+BA94+BB94),0)</f>
        <v>39.766487850478768</v>
      </c>
      <c r="BD94" s="170">
        <f>IF(Escenarios!$E$17&gt;0,MIN(Constantes!$E$39*(BG93/Constantes!$E$40)^(2/3),BG93+AY94+AZ94+BA94+BB94-BC94),0)</f>
        <v>71.40076392089037</v>
      </c>
      <c r="BE94" s="170">
        <f>IF(Escenarios!$E$17&gt;0,MIN(Entradas!$E$113,BG93+AY94+AZ94+BA94+BB94-BC94-BD94),0)</f>
        <v>1</v>
      </c>
      <c r="BF94" s="170">
        <f>IF(Escenarios!$E$17&gt;0,MAX(0,BG93+AY94+AZ94+BA94+BB94-BC94-BD94-BE94-Constantes!$E$40),0)</f>
        <v>0</v>
      </c>
      <c r="BG94" s="170">
        <f t="shared" si="26"/>
        <v>5509.0199393342991</v>
      </c>
      <c r="BH94" s="170">
        <f>(Escenarios!$E$16*AK94+0.1*BC94)/(Escenarios!$E$19)</f>
        <v>2.1218558599806321</v>
      </c>
      <c r="BI94" s="170">
        <f>IF(Escenarios!$E$17&gt;0,BF94/10/Escenarios!$E$19,AL94)</f>
        <v>0</v>
      </c>
      <c r="BJ94" s="170">
        <f>(Escenarios!$E$16*AT94+0.1*BD94)/(Escenarios!$E$19)</f>
        <v>0.33079117582729634</v>
      </c>
      <c r="BK94" s="76">
        <f>BK93+(0.1*BD94)/(Escenarios!$E$19)-BL93</f>
        <v>50.014118388478103</v>
      </c>
      <c r="BL94" s="76">
        <f>MAX(0,(BK94-Constantes!$D$13)*(1-EXP(-Constantes!$D$23)))</f>
        <v>1.2455659571217076E-2</v>
      </c>
      <c r="BM94" s="76">
        <f t="shared" si="22"/>
        <v>1.2513278220919171</v>
      </c>
      <c r="BN94" s="76">
        <f t="shared" si="27"/>
        <v>1.8487882766655632</v>
      </c>
      <c r="BO94" s="76">
        <f>0.0526*BI94*Observaciones!$F93^1.218</f>
        <v>0</v>
      </c>
      <c r="BP94" s="76">
        <f>BO94*Constantes!$E$51</f>
        <v>0</v>
      </c>
      <c r="BQ94" s="76">
        <f t="shared" si="23"/>
        <v>0</v>
      </c>
      <c r="BR94" s="40"/>
    </row>
    <row r="95" spans="1:70">
      <c r="A95" s="147"/>
      <c r="B95" s="39"/>
      <c r="C95" s="75">
        <v>89</v>
      </c>
      <c r="D95" s="146">
        <f>ETo!$I94*((1-Constantes!$E$19)*ETo!$K94+ETo!$L94)</f>
        <v>3.7951351900936792</v>
      </c>
      <c r="E95" s="76">
        <f>MIN(D95*Constantes!$E$17,0.8*(N94+Observaciones!$F94-F95-M95-Constantes!$D$14))</f>
        <v>1.855488324134134</v>
      </c>
      <c r="F95" s="76">
        <f>IF(Observaciones!$F94&gt;0.05*Constantes!$E$18,((Observaciones!$F94-0.05*Constantes!$E$18)^2)/(Observaciones!$F94+0.95*Constantes!$E$18),0)</f>
        <v>0</v>
      </c>
      <c r="G95" s="76">
        <f>IF(Escenarios!$E$11&gt;0,(F95*Escenarios!$E$16*10000)/1000,0)</f>
        <v>0</v>
      </c>
      <c r="H95" s="76">
        <f>IF(Escenarios!$E$11&gt;0,(Observaciones!$F94*Constantes!$E$29)/1000,0)</f>
        <v>17</v>
      </c>
      <c r="I95" s="76">
        <f>IF(Escenarios!$E$11&gt;0,(D95*Constantes!$E$29)/1000,0)</f>
        <v>37.951351900936785</v>
      </c>
      <c r="J95" s="76">
        <f>IF(Escenarios!$E$11&gt;0,MAX(0,G95+H95-I95),0)</f>
        <v>0</v>
      </c>
      <c r="K95" s="76">
        <f>IF(Escenarios!$E$11&gt;0,IF(J95&gt;Constantes!$E$30,1000*((J95-Constantes!$E$30)/(Escenarios!$E$16*10000)),0),F95)</f>
        <v>0</v>
      </c>
      <c r="L95" s="76">
        <f>IF(Escenarios!$E$11&gt;0,I95*1000/Escenarios!$E$16/10000+E95,E95)</f>
        <v>1.8706688648945087</v>
      </c>
      <c r="M95" s="76">
        <f>MAX(0,N94+Observaciones!$F94-K95-Constantes!$D$13)</f>
        <v>0</v>
      </c>
      <c r="N95" s="76">
        <f>N94+Observaciones!$F94-K95-L95-M95-O94</f>
        <v>30.331672010606461</v>
      </c>
      <c r="O95" s="76">
        <f>MAX(0,(N95-Constantes!$D$14)*(1-EXP(-Constantes!$D$22)))</f>
        <v>0.64999179893327863</v>
      </c>
      <c r="P95" s="170">
        <f>P94+(Entradas!$E$83*M95-Q94)/(800*Entradas!$D$25)</f>
        <v>0</v>
      </c>
      <c r="Q95" s="170">
        <f>8000*Entradas!$D$26*P95/Constantes!$E$45</f>
        <v>0</v>
      </c>
      <c r="R95" s="170">
        <f>IF(Escenarios!$E$14&gt;0,K95*Escenarios!$E$13/Escenarios!$E$14,0)</f>
        <v>0</v>
      </c>
      <c r="S95" s="170">
        <f>IF(Escenarios!$E$14&gt;0,Q95*Escenarios!$E$13/Escenarios!$E$14,0)</f>
        <v>0</v>
      </c>
      <c r="T95" s="170">
        <f>IF(Escenarios!$E$14&gt;0,Observaciones!$I94,0)</f>
        <v>0</v>
      </c>
      <c r="U95" s="170">
        <f>IF(Escenarios!$E$14&gt;0,MAX(0,Constantes!$E$36/((Z94+R95+S95+T95+Observaciones!$F94)^2)+Entradas!$E$77),0)</f>
        <v>2.5123475217948315</v>
      </c>
      <c r="V95" s="146">
        <f>IF(ETo!D94&gt;0,ETo!I94*((1-Entradas!$E$81)*ETo!K94+ETo!L94),0)</f>
        <v>3.4562813707357249</v>
      </c>
      <c r="W95" s="170">
        <f>IF(Escenarios!$E$14&gt;0,MIN(V95*1,0.8*(Z94+R95+S95+T95+Observaciones!$F94-U95-Constantes!$E$35)),0)</f>
        <v>3.4562813707357249</v>
      </c>
      <c r="X95" s="170">
        <f>IF(Escenarios!$E$14&gt;0,Observaciones!$J94,0)</f>
        <v>0</v>
      </c>
      <c r="Y95" s="170">
        <f>IF(Escenarios!$E$14&gt;0,MAX(0,Z94+R95+S95+T95+Observaciones!$F94-U95-W95-X95-Constantes!$E$33),0)</f>
        <v>0</v>
      </c>
      <c r="Z95" s="170">
        <f>Z94+R95+S95+T95+Observaciones!$F94-U95-W95-Y95</f>
        <v>139.12932078686714</v>
      </c>
      <c r="AA95" s="170">
        <f>IF(Escenarios!$E$14&gt;0,(Escenarios!$E$13*L95+Escenarios!$E$14*W95)/(Escenarios!$E$16),L95)</f>
        <v>2.0609423655954546</v>
      </c>
      <c r="AB95" s="170">
        <f>IF(Escenarios!$E$14&gt;0,(Escenarios!$E$14*Y95)/(Escenarios!$E$16),K95)</f>
        <v>0</v>
      </c>
      <c r="AC95" s="170">
        <f>IF(Escenarios!$E$14&gt;0,(Escenarios!$E$13*M95+Escenarios!$E$14*U95)/(Escenarios!$E$16),M95)</f>
        <v>0.30148170261537977</v>
      </c>
      <c r="AD95" s="76">
        <f t="shared" si="15"/>
        <v>173.54509866776789</v>
      </c>
      <c r="AE95" s="76">
        <f>MAX(0,(AD95-Constantes!$D$13)*(1-EXP(-Constantes!$D$23)))</f>
        <v>1.2296358310502402</v>
      </c>
      <c r="AF95" s="76">
        <f>AB95+O95*Escenarios!$E$13/Escenarios!$E$16+AE95</f>
        <v>1.8016286141115254</v>
      </c>
      <c r="AG95" s="76">
        <f>IF(Entradas!$E$91&gt;0,IF(AF95-Escenarios!$E$38&lt;=0,0,IF(AF95-Escenarios!$E$38&gt;Escenarios!$E$37,Escenarios!$E$37,AF95-Escenarios!$E$38)),0)</f>
        <v>0</v>
      </c>
      <c r="AH95" s="76">
        <f>AG95*Entradas!$E$99</f>
        <v>0</v>
      </c>
      <c r="AI95" s="76">
        <f>IF(Entradas!$E$91&gt;0,D95*Entradas!$D$23/Escenarios!$E$16,0)</f>
        <v>0</v>
      </c>
      <c r="AJ95" s="76">
        <f>IF(Entradas!$E$91&gt;0,Entradas!$D$24*Entradas!$D$22/Escenarios!$E$16,0)</f>
        <v>0</v>
      </c>
      <c r="AK95" s="76">
        <f t="shared" si="24"/>
        <v>2.0609423655954546</v>
      </c>
      <c r="AL95" s="76">
        <f t="shared" si="25"/>
        <v>0</v>
      </c>
      <c r="AM95" s="76">
        <f t="shared" si="16"/>
        <v>0</v>
      </c>
      <c r="AN95" s="76">
        <f>MAX(0,O95*Escenarios!$E$13/Escenarios!$E$16-AM95)</f>
        <v>0.5719927830612852</v>
      </c>
      <c r="AO95" s="76">
        <f>AM95+AN95-O95*Escenarios!$E$13/Escenarios!$E$16</f>
        <v>0</v>
      </c>
      <c r="AP95" s="76">
        <f t="shared" si="14"/>
        <v>1.2296358310502402</v>
      </c>
      <c r="AQ95" s="76">
        <f t="shared" si="17"/>
        <v>0</v>
      </c>
      <c r="AR95" s="76">
        <f t="shared" si="18"/>
        <v>1.8016286141115254</v>
      </c>
      <c r="AS95" s="76">
        <f t="shared" si="19"/>
        <v>0</v>
      </c>
      <c r="AT95" s="76">
        <f t="shared" si="20"/>
        <v>0.30148170261537977</v>
      </c>
      <c r="AU95" s="76">
        <f t="shared" si="21"/>
        <v>48.75</v>
      </c>
      <c r="AV95" s="76">
        <f>MAX(0,(AU95-Constantes!$D$13)*(1-EXP(-Constantes!$D$24)))</f>
        <v>0</v>
      </c>
      <c r="AW95" s="170">
        <f>AW94+(Entradas!$E$112*AT95-AX94)/(800*Entradas!$D$25)</f>
        <v>0</v>
      </c>
      <c r="AX95" s="170">
        <f>8000*Entradas!$D$26*AW95/Constantes!$E$45</f>
        <v>0</v>
      </c>
      <c r="AY95" s="170">
        <f>IF(Escenarios!$E$17&gt;0,10*Escenarios!$E$16*AL95,0)</f>
        <v>0</v>
      </c>
      <c r="AZ95" s="170">
        <f>IF(Escenarios!$E$17&gt;0,10*Escenarios!$E$16*AX95,0)</f>
        <v>0</v>
      </c>
      <c r="BA95" s="170">
        <f>IF(Escenarios!$E$17&gt;0,0.001*Observaciones!$F94*Escenarios!$E$17,0)</f>
        <v>34</v>
      </c>
      <c r="BB95" s="170">
        <f>IF(Escenarios!$E$17&gt;0,Observaciones!$K94,0)</f>
        <v>0</v>
      </c>
      <c r="BC95" s="170">
        <f>IF(Escenarios!$E$17&gt;0,MIN(0.0005*ETo!$M94*Escenarios!$E$17*(BG94/Constantes!$E$40)^(2/3),BG94+AY95+AZ95+BA95+BB95),0)</f>
        <v>38.115146935497954</v>
      </c>
      <c r="BD95" s="170">
        <f>IF(Escenarios!$E$17&gt;0,MIN(Constantes!$E$39*(BG94/Constantes!$E$40)^(2/3),BG94+AY95+AZ95+BA95+BB95-BC95),0)</f>
        <v>70.44773847401315</v>
      </c>
      <c r="BE95" s="170">
        <f>IF(Escenarios!$E$17&gt;0,MIN(Entradas!$E$113,BG94+AY95+AZ95+BA95+BB95-BC95-BD95),0)</f>
        <v>1</v>
      </c>
      <c r="BF95" s="170">
        <f>IF(Escenarios!$E$17&gt;0,MAX(0,BG94+AY95+AZ95+BA95+BB95-BC95-BD95-BE95-Constantes!$E$40),0)</f>
        <v>0</v>
      </c>
      <c r="BG95" s="170">
        <f t="shared" si="26"/>
        <v>5433.4570539247879</v>
      </c>
      <c r="BH95" s="170">
        <f>(Escenarios!$E$16*AK95+0.1*BC95)/(Escenarios!$E$19)</f>
        <v>2.0597107384619582</v>
      </c>
      <c r="BI95" s="170">
        <f>IF(Escenarios!$E$17&gt;0,BF95/10/Escenarios!$E$19,AL95)</f>
        <v>0</v>
      </c>
      <c r="BJ95" s="170">
        <f>(Escenarios!$E$16*AT95+0.1*BD95)/(Escenarios!$E$19)</f>
        <v>0.32704444246526293</v>
      </c>
      <c r="BK95" s="76">
        <f>BK94+(0.1*BD95)/(Escenarios!$E$19)-BL94</f>
        <v>50.029618180682291</v>
      </c>
      <c r="BL95" s="76">
        <f>MAX(0,(BK95-Constantes!$D$13)*(1-EXP(-Constantes!$D$23)))</f>
        <v>1.2608382715567825E-2</v>
      </c>
      <c r="BM95" s="76">
        <f t="shared" si="22"/>
        <v>1.2422442137658081</v>
      </c>
      <c r="BN95" s="76">
        <f t="shared" si="27"/>
        <v>1.8142369968270933</v>
      </c>
      <c r="BO95" s="76">
        <f>0.0526*BI95*Observaciones!$F94^1.218</f>
        <v>0</v>
      </c>
      <c r="BP95" s="76">
        <f>BO95*Constantes!$E$51</f>
        <v>0</v>
      </c>
      <c r="BQ95" s="76">
        <f t="shared" si="23"/>
        <v>0</v>
      </c>
      <c r="BR95" s="40"/>
    </row>
    <row r="96" spans="1:70">
      <c r="A96" s="147"/>
      <c r="B96" s="39"/>
      <c r="C96" s="75">
        <v>90</v>
      </c>
      <c r="D96" s="146">
        <f>ETo!$I95*((1-Constantes!$E$19)*ETo!$K95+ETo!$L95)</f>
        <v>3.909270399481402</v>
      </c>
      <c r="E96" s="76">
        <f>MIN(D96*Constantes!$E$17,0.8*(N95+Observaciones!$F95-F96-M96-Constantes!$D$14))</f>
        <v>1.9112904333565717</v>
      </c>
      <c r="F96" s="76">
        <f>IF(Observaciones!$F95&gt;0.05*Constantes!$E$18,((Observaciones!$F95-0.05*Constantes!$E$18)^2)/(Observaciones!$F95+0.95*Constantes!$E$18),0)</f>
        <v>0</v>
      </c>
      <c r="G96" s="76">
        <f>IF(Escenarios!$E$11&gt;0,(F96*Escenarios!$E$16*10000)/1000,0)</f>
        <v>0</v>
      </c>
      <c r="H96" s="76">
        <f>IF(Escenarios!$E$11&gt;0,(Observaciones!$F95*Constantes!$E$29)/1000,0)</f>
        <v>0</v>
      </c>
      <c r="I96" s="76">
        <f>IF(Escenarios!$E$11&gt;0,(D96*Constantes!$E$29)/1000,0)</f>
        <v>39.092703994814023</v>
      </c>
      <c r="J96" s="76">
        <f>IF(Escenarios!$E$11&gt;0,MAX(0,G96+H96-I96),0)</f>
        <v>0</v>
      </c>
      <c r="K96" s="76">
        <f>IF(Escenarios!$E$11&gt;0,IF(J96&gt;Constantes!$E$30,1000*((J96-Constantes!$E$30)/(Escenarios!$E$16*10000)),0),F96)</f>
        <v>0</v>
      </c>
      <c r="L96" s="76">
        <f>IF(Escenarios!$E$11&gt;0,I96*1000/Escenarios!$E$16/10000+E96,E96)</f>
        <v>1.9269275149544973</v>
      </c>
      <c r="M96" s="76">
        <f>MAX(0,N95+Observaciones!$F95-K96-Constantes!$D$13)</f>
        <v>0</v>
      </c>
      <c r="N96" s="76">
        <f>N95+Observaciones!$F95-K96-L96-M96-O95</f>
        <v>27.754752696718686</v>
      </c>
      <c r="O96" s="76">
        <f>MAX(0,(N96-Constantes!$D$14)*(1-EXP(-Constantes!$D$22)))</f>
        <v>0.56221246703779293</v>
      </c>
      <c r="P96" s="170">
        <f>P95+(Entradas!$E$83*M96-Q95)/(800*Entradas!$D$25)</f>
        <v>0</v>
      </c>
      <c r="Q96" s="170">
        <f>8000*Entradas!$D$26*P96/Constantes!$E$45</f>
        <v>0</v>
      </c>
      <c r="R96" s="170">
        <f>IF(Escenarios!$E$14&gt;0,K96*Escenarios!$E$13/Escenarios!$E$14,0)</f>
        <v>0</v>
      </c>
      <c r="S96" s="170">
        <f>IF(Escenarios!$E$14&gt;0,Q96*Escenarios!$E$13/Escenarios!$E$14,0)</f>
        <v>0</v>
      </c>
      <c r="T96" s="170">
        <f>IF(Escenarios!$E$14&gt;0,Observaciones!$I95,0)</f>
        <v>0</v>
      </c>
      <c r="U96" s="170">
        <f>IF(Escenarios!$E$14&gt;0,MAX(0,Constantes!$E$36/((Z95+R96+S96+T96+Observaciones!$F95)^2)+Entradas!$E$77),0)</f>
        <v>2.469609597347473</v>
      </c>
      <c r="V96" s="146">
        <f>IF(ETo!D95&gt;0,ETo!I95*((1-Entradas!$E$81)*ETo!K95+ETo!L95),0)</f>
        <v>3.5614558453591356</v>
      </c>
      <c r="W96" s="170">
        <f>IF(Escenarios!$E$14&gt;0,MIN(V96*1,0.8*(Z95+R96+S96+T96+Observaciones!$F95-U96-Constantes!$E$35)),0)</f>
        <v>3.5614558453591356</v>
      </c>
      <c r="X96" s="170">
        <f>IF(Escenarios!$E$14&gt;0,Observaciones!$J95,0)</f>
        <v>0</v>
      </c>
      <c r="Y96" s="170">
        <f>IF(Escenarios!$E$14&gt;0,MAX(0,Z95+R96+S96+T96+Observaciones!$F95-U96-W96-X96-Constantes!$E$33),0)</f>
        <v>0</v>
      </c>
      <c r="Z96" s="170">
        <f>Z95+R96+S96+T96+Observaciones!$F95-U96-W96-Y96</f>
        <v>133.09825534416052</v>
      </c>
      <c r="AA96" s="170">
        <f>IF(Escenarios!$E$14&gt;0,(Escenarios!$E$13*L96+Escenarios!$E$14*W96)/(Escenarios!$E$16),L96)</f>
        <v>2.123070914603054</v>
      </c>
      <c r="AB96" s="170">
        <f>IF(Escenarios!$E$14&gt;0,(Escenarios!$E$14*Y96)/(Escenarios!$E$16),K96)</f>
        <v>0</v>
      </c>
      <c r="AC96" s="170">
        <f>IF(Escenarios!$E$14&gt;0,(Escenarios!$E$13*M96+Escenarios!$E$14*U96)/(Escenarios!$E$16),M96)</f>
        <v>0.29635315168169679</v>
      </c>
      <c r="AD96" s="76">
        <f t="shared" si="15"/>
        <v>172.61181598839934</v>
      </c>
      <c r="AE96" s="76">
        <f>MAX(0,(AD96-Constantes!$D$13)*(1-EXP(-Constantes!$D$23)))</f>
        <v>1.2204399745198065</v>
      </c>
      <c r="AF96" s="76">
        <f>AB96+O96*Escenarios!$E$13/Escenarios!$E$16+AE96</f>
        <v>1.7151869455130642</v>
      </c>
      <c r="AG96" s="76">
        <f>IF(Entradas!$E$91&gt;0,IF(AF96-Escenarios!$E$38&lt;=0,0,IF(AF96-Escenarios!$E$38&gt;Escenarios!$E$37,Escenarios!$E$37,AF96-Escenarios!$E$38)),0)</f>
        <v>0</v>
      </c>
      <c r="AH96" s="76">
        <f>AG96*Entradas!$E$99</f>
        <v>0</v>
      </c>
      <c r="AI96" s="76">
        <f>IF(Entradas!$E$91&gt;0,D96*Entradas!$D$23/Escenarios!$E$16,0)</f>
        <v>0</v>
      </c>
      <c r="AJ96" s="76">
        <f>IF(Entradas!$E$91&gt;0,Entradas!$D$24*Entradas!$D$22/Escenarios!$E$16,0)</f>
        <v>0</v>
      </c>
      <c r="AK96" s="76">
        <f t="shared" si="24"/>
        <v>2.123070914603054</v>
      </c>
      <c r="AL96" s="76">
        <f t="shared" si="25"/>
        <v>0</v>
      </c>
      <c r="AM96" s="76">
        <f t="shared" si="16"/>
        <v>0</v>
      </c>
      <c r="AN96" s="76">
        <f>MAX(0,O96*Escenarios!$E$13/Escenarios!$E$16-AM96)</f>
        <v>0.49474697099325776</v>
      </c>
      <c r="AO96" s="76">
        <f>AM96+AN96-O96*Escenarios!$E$13/Escenarios!$E$16</f>
        <v>0</v>
      </c>
      <c r="AP96" s="76">
        <f t="shared" si="14"/>
        <v>1.2204399745198065</v>
      </c>
      <c r="AQ96" s="76">
        <f t="shared" si="17"/>
        <v>0</v>
      </c>
      <c r="AR96" s="76">
        <f t="shared" si="18"/>
        <v>1.7151869455130642</v>
      </c>
      <c r="AS96" s="76">
        <f t="shared" si="19"/>
        <v>0</v>
      </c>
      <c r="AT96" s="76">
        <f t="shared" si="20"/>
        <v>0.29635315168169679</v>
      </c>
      <c r="AU96" s="76">
        <f t="shared" si="21"/>
        <v>48.75</v>
      </c>
      <c r="AV96" s="76">
        <f>MAX(0,(AU96-Constantes!$D$13)*(1-EXP(-Constantes!$D$24)))</f>
        <v>0</v>
      </c>
      <c r="AW96" s="170">
        <f>AW95+(Entradas!$E$112*AT96-AX95)/(800*Entradas!$D$25)</f>
        <v>0</v>
      </c>
      <c r="AX96" s="170">
        <f>8000*Entradas!$D$26*AW96/Constantes!$E$45</f>
        <v>0</v>
      </c>
      <c r="AY96" s="170">
        <f>IF(Escenarios!$E$17&gt;0,10*Escenarios!$E$16*AL96,0)</f>
        <v>0</v>
      </c>
      <c r="AZ96" s="170">
        <f>IF(Escenarios!$E$17&gt;0,10*Escenarios!$E$16*AX96,0)</f>
        <v>0</v>
      </c>
      <c r="BA96" s="170">
        <f>IF(Escenarios!$E$17&gt;0,0.001*Observaciones!$F95*Escenarios!$E$17,0)</f>
        <v>0</v>
      </c>
      <c r="BB96" s="170">
        <f>IF(Escenarios!$E$17&gt;0,Observaciones!$K95,0)</f>
        <v>0</v>
      </c>
      <c r="BC96" s="170">
        <f>IF(Escenarios!$E$17&gt;0,MIN(0.0005*ETo!$M95*Escenarios!$E$17*(BG95/Constantes!$E$40)^(2/3),BG95+AY96+AZ96+BA96+BB96),0)</f>
        <v>38.884700245335935</v>
      </c>
      <c r="BD96" s="170">
        <f>IF(Escenarios!$E$17&gt;0,MIN(Constantes!$E$39*(BG95/Constantes!$E$40)^(2/3),BG95+AY96+AZ96+BA96+BB96-BC96),0)</f>
        <v>69.802072719383034</v>
      </c>
      <c r="BE96" s="170">
        <f>IF(Escenarios!$E$17&gt;0,MIN(Entradas!$E$113,BG95+AY96+AZ96+BA96+BB96-BC96-BD96),0)</f>
        <v>1</v>
      </c>
      <c r="BF96" s="170">
        <f>IF(Escenarios!$E$17&gt;0,MAX(0,BG95+AY96+AZ96+BA96+BB96-BC96-BD96-BE96-Constantes!$E$40),0)</f>
        <v>0</v>
      </c>
      <c r="BG96" s="170">
        <f t="shared" si="26"/>
        <v>5323.7702809600687</v>
      </c>
      <c r="BH96" s="170">
        <f>(Escenarios!$E$16*AK96+0.1*BC96)/(Escenarios!$E$19)</f>
        <v>2.1216515820448296</v>
      </c>
      <c r="BI96" s="170">
        <f>IF(Escenarios!$E$17&gt;0,BF96/10/Escenarios!$E$19,AL96)</f>
        <v>0</v>
      </c>
      <c r="BJ96" s="170">
        <f>(Escenarios!$E$16*AT96+0.1*BD96)/(Escenarios!$E$19)</f>
        <v>0.32170037774747018</v>
      </c>
      <c r="BK96" s="76">
        <f>BK95+(0.1*BD96)/(Escenarios!$E$19)-BL95</f>
        <v>50.044709033172829</v>
      </c>
      <c r="BL96" s="76">
        <f>MAX(0,(BK96-Constantes!$D$13)*(1-EXP(-Constantes!$D$23)))</f>
        <v>1.2757076479518121E-2</v>
      </c>
      <c r="BM96" s="76">
        <f t="shared" si="22"/>
        <v>1.2331970509993246</v>
      </c>
      <c r="BN96" s="76">
        <f t="shared" si="27"/>
        <v>1.7279440219925823</v>
      </c>
      <c r="BO96" s="76">
        <f>0.0526*BI96*Observaciones!$F95^1.218</f>
        <v>0</v>
      </c>
      <c r="BP96" s="76">
        <f>BO96*Constantes!$E$51</f>
        <v>0</v>
      </c>
      <c r="BQ96" s="76">
        <f t="shared" si="23"/>
        <v>0</v>
      </c>
      <c r="BR96" s="40"/>
    </row>
    <row r="97" spans="1:70">
      <c r="A97" s="147"/>
      <c r="B97" s="39"/>
      <c r="C97" s="75">
        <v>91</v>
      </c>
      <c r="D97" s="146">
        <f>ETo!$I96*((1-Constantes!$E$19)*ETo!$K96+ETo!$L96)</f>
        <v>3.8927367073500818</v>
      </c>
      <c r="E97" s="76">
        <f>MIN(D97*Constantes!$E$17,0.8*(N96+Observaciones!$F96-F97-M97-Constantes!$D$14))</f>
        <v>1.9032069076933567</v>
      </c>
      <c r="F97" s="76">
        <f>IF(Observaciones!$F96&gt;0.05*Constantes!$E$18,((Observaciones!$F96-0.05*Constantes!$E$18)^2)/(Observaciones!$F96+0.95*Constantes!$E$18),0)</f>
        <v>0</v>
      </c>
      <c r="G97" s="76">
        <f>IF(Escenarios!$E$11&gt;0,(F97*Escenarios!$E$16*10000)/1000,0)</f>
        <v>0</v>
      </c>
      <c r="H97" s="76">
        <f>IF(Escenarios!$E$11&gt;0,(Observaciones!$F96*Constantes!$E$29)/1000,0)</f>
        <v>0</v>
      </c>
      <c r="I97" s="76">
        <f>IF(Escenarios!$E$11&gt;0,(D97*Constantes!$E$29)/1000,0)</f>
        <v>38.927367073500818</v>
      </c>
      <c r="J97" s="76">
        <f>IF(Escenarios!$E$11&gt;0,MAX(0,G97+H97-I97),0)</f>
        <v>0</v>
      </c>
      <c r="K97" s="76">
        <f>IF(Escenarios!$E$11&gt;0,IF(J97&gt;Constantes!$E$30,1000*((J97-Constantes!$E$30)/(Escenarios!$E$16*10000)),0),F97)</f>
        <v>0</v>
      </c>
      <c r="L97" s="76">
        <f>IF(Escenarios!$E$11&gt;0,I97*1000/Escenarios!$E$16/10000+E97,E97)</f>
        <v>1.918777854522757</v>
      </c>
      <c r="M97" s="76">
        <f>MAX(0,N96+Observaciones!$F96-K97-Constantes!$D$13)</f>
        <v>0</v>
      </c>
      <c r="N97" s="76">
        <f>N96+Observaciones!$F96-K97-L97-M97-O96</f>
        <v>25.273762375158139</v>
      </c>
      <c r="O97" s="76">
        <f>MAX(0,(N97-Constantes!$D$14)*(1-EXP(-Constantes!$D$22)))</f>
        <v>0.47770082878351289</v>
      </c>
      <c r="P97" s="170">
        <f>P96+(Entradas!$E$83*M97-Q96)/(800*Entradas!$D$25)</f>
        <v>0</v>
      </c>
      <c r="Q97" s="170">
        <f>8000*Entradas!$D$26*P97/Constantes!$E$45</f>
        <v>0</v>
      </c>
      <c r="R97" s="170">
        <f>IF(Escenarios!$E$14&gt;0,K97*Escenarios!$E$13/Escenarios!$E$14,0)</f>
        <v>0</v>
      </c>
      <c r="S97" s="170">
        <f>IF(Escenarios!$E$14&gt;0,Q97*Escenarios!$E$13/Escenarios!$E$14,0)</f>
        <v>0</v>
      </c>
      <c r="T97" s="170">
        <f>IF(Escenarios!$E$14&gt;0,Observaciones!$I96,0)</f>
        <v>0</v>
      </c>
      <c r="U97" s="170">
        <f>IF(Escenarios!$E$14&gt;0,MAX(0,Constantes!$E$36/((Z96+R97+S97+T97+Observaciones!$F96)^2)+Entradas!$E$77),0)</f>
        <v>2.4204535347365965</v>
      </c>
      <c r="V97" s="146">
        <f>IF(ETo!D96&gt;0,ETo!I96*((1-Entradas!$E$81)*ETo!K96+ETo!L96),0)</f>
        <v>3.5459748602174499</v>
      </c>
      <c r="W97" s="170">
        <f>IF(Escenarios!$E$14&gt;0,MIN(V97*1,0.8*(Z96+R97+S97+T97+Observaciones!$F96-U97-Constantes!$E$35)),0)</f>
        <v>3.5459748602174499</v>
      </c>
      <c r="X97" s="170">
        <f>IF(Escenarios!$E$14&gt;0,Observaciones!$J96,0)</f>
        <v>0</v>
      </c>
      <c r="Y97" s="170">
        <f>IF(Escenarios!$E$14&gt;0,MAX(0,Z96+R97+S97+T97+Observaciones!$F96-U97-W97-X97-Constantes!$E$33),0)</f>
        <v>0</v>
      </c>
      <c r="Z97" s="170">
        <f>Z96+R97+S97+T97+Observaciones!$F96-U97-W97-Y97</f>
        <v>127.13182694920647</v>
      </c>
      <c r="AA97" s="170">
        <f>IF(Escenarios!$E$14&gt;0,(Escenarios!$E$13*L97+Escenarios!$E$14*W97)/(Escenarios!$E$16),L97)</f>
        <v>2.1140414952061199</v>
      </c>
      <c r="AB97" s="170">
        <f>IF(Escenarios!$E$14&gt;0,(Escenarios!$E$14*Y97)/(Escenarios!$E$16),K97)</f>
        <v>0</v>
      </c>
      <c r="AC97" s="170">
        <f>IF(Escenarios!$E$14&gt;0,(Escenarios!$E$13*M97+Escenarios!$E$14*U97)/(Escenarios!$E$16),M97)</f>
        <v>0.29045442416839162</v>
      </c>
      <c r="AD97" s="76">
        <f t="shared" si="15"/>
        <v>171.68183043804791</v>
      </c>
      <c r="AE97" s="76">
        <f>MAX(0,(AD97-Constantes!$D$13)*(1-EXP(-Constantes!$D$23)))</f>
        <v>1.2112766053868931</v>
      </c>
      <c r="AF97" s="76">
        <f>AB97+O97*Escenarios!$E$13/Escenarios!$E$16+AE97</f>
        <v>1.6316533347163844</v>
      </c>
      <c r="AG97" s="76">
        <f>IF(Entradas!$E$91&gt;0,IF(AF97-Escenarios!$E$38&lt;=0,0,IF(AF97-Escenarios!$E$38&gt;Escenarios!$E$37,Escenarios!$E$37,AF97-Escenarios!$E$38)),0)</f>
        <v>0</v>
      </c>
      <c r="AH97" s="76">
        <f>AG97*Entradas!$E$99</f>
        <v>0</v>
      </c>
      <c r="AI97" s="76">
        <f>IF(Entradas!$E$91&gt;0,D97*Entradas!$D$23/Escenarios!$E$16,0)</f>
        <v>0</v>
      </c>
      <c r="AJ97" s="76">
        <f>IF(Entradas!$E$91&gt;0,Entradas!$D$24*Entradas!$D$22/Escenarios!$E$16,0)</f>
        <v>0</v>
      </c>
      <c r="AK97" s="76">
        <f t="shared" si="24"/>
        <v>2.1140414952061199</v>
      </c>
      <c r="AL97" s="76">
        <f t="shared" si="25"/>
        <v>0</v>
      </c>
      <c r="AM97" s="76">
        <f t="shared" si="16"/>
        <v>0</v>
      </c>
      <c r="AN97" s="76">
        <f>MAX(0,O97*Escenarios!$E$13/Escenarios!$E$16-AM97)</f>
        <v>0.42037672932949133</v>
      </c>
      <c r="AO97" s="76">
        <f>AM97+AN97-O97*Escenarios!$E$13/Escenarios!$E$16</f>
        <v>0</v>
      </c>
      <c r="AP97" s="76">
        <f t="shared" si="14"/>
        <v>1.2112766053868931</v>
      </c>
      <c r="AQ97" s="76">
        <f t="shared" si="17"/>
        <v>0</v>
      </c>
      <c r="AR97" s="76">
        <f t="shared" si="18"/>
        <v>1.6316533347163844</v>
      </c>
      <c r="AS97" s="76">
        <f t="shared" si="19"/>
        <v>0</v>
      </c>
      <c r="AT97" s="76">
        <f t="shared" si="20"/>
        <v>0.29045442416839162</v>
      </c>
      <c r="AU97" s="76">
        <f t="shared" si="21"/>
        <v>48.75</v>
      </c>
      <c r="AV97" s="76">
        <f>MAX(0,(AU97-Constantes!$D$13)*(1-EXP(-Constantes!$D$24)))</f>
        <v>0</v>
      </c>
      <c r="AW97" s="170">
        <f>AW96+(Entradas!$E$112*AT97-AX96)/(800*Entradas!$D$25)</f>
        <v>0</v>
      </c>
      <c r="AX97" s="170">
        <f>8000*Entradas!$D$26*AW97/Constantes!$E$45</f>
        <v>0</v>
      </c>
      <c r="AY97" s="170">
        <f>IF(Escenarios!$E$17&gt;0,10*Escenarios!$E$16*AL97,0)</f>
        <v>0</v>
      </c>
      <c r="AZ97" s="170">
        <f>IF(Escenarios!$E$17&gt;0,10*Escenarios!$E$16*AX97,0)</f>
        <v>0</v>
      </c>
      <c r="BA97" s="170">
        <f>IF(Escenarios!$E$17&gt;0,0.001*Observaciones!$F96*Escenarios!$E$17,0)</f>
        <v>0</v>
      </c>
      <c r="BB97" s="170">
        <f>IF(Escenarios!$E$17&gt;0,Observaciones!$K96,0)</f>
        <v>0</v>
      </c>
      <c r="BC97" s="170">
        <f>IF(Escenarios!$E$17&gt;0,MIN(0.0005*ETo!$M96*Escenarios!$E$17*(BG96/Constantes!$E$40)^(2/3),BG96+AY97+AZ97+BA97+BB97),0)</f>
        <v>38.20303513496625</v>
      </c>
      <c r="BD97" s="170">
        <f>IF(Escenarios!$E$17&gt;0,MIN(Constantes!$E$39*(BG96/Constantes!$E$40)^(2/3),BG96+AY97+AZ97+BA97+BB97-BC97),0)</f>
        <v>68.85947354585835</v>
      </c>
      <c r="BE97" s="170">
        <f>IF(Escenarios!$E$17&gt;0,MIN(Entradas!$E$113,BG96+AY97+AZ97+BA97+BB97-BC97-BD97),0)</f>
        <v>1</v>
      </c>
      <c r="BF97" s="170">
        <f>IF(Escenarios!$E$17&gt;0,MAX(0,BG96+AY97+AZ97+BA97+BB97-BC97-BD97-BE97-Constantes!$E$40),0)</f>
        <v>0</v>
      </c>
      <c r="BG97" s="170">
        <f t="shared" si="26"/>
        <v>5215.7077722792446</v>
      </c>
      <c r="BH97" s="170">
        <f>(Escenarios!$E$16*AK97+0.1*BC97)/(Escenarios!$E$19)</f>
        <v>2.1124233226786768</v>
      </c>
      <c r="BI97" s="170">
        <f>IF(Escenarios!$E$17&gt;0,BF97/10/Escenarios!$E$19,AL97)</f>
        <v>0</v>
      </c>
      <c r="BJ97" s="170">
        <f>(Escenarios!$E$16*AT97+0.1*BD97)/(Escenarios!$E$19)</f>
        <v>0.31547441824080846</v>
      </c>
      <c r="BK97" s="76">
        <f>BK96+(0.1*BD97)/(Escenarios!$E$19)-BL96</f>
        <v>50.059277144608338</v>
      </c>
      <c r="BL97" s="76">
        <f>MAX(0,(BK97-Constantes!$D$13)*(1-EXP(-Constantes!$D$23)))</f>
        <v>1.2900619551345993E-2</v>
      </c>
      <c r="BM97" s="76">
        <f t="shared" si="22"/>
        <v>1.224177224938239</v>
      </c>
      <c r="BN97" s="76">
        <f t="shared" si="27"/>
        <v>1.6445539542677303</v>
      </c>
      <c r="BO97" s="76">
        <f>0.0526*BI97*Observaciones!$F96^1.218</f>
        <v>0</v>
      </c>
      <c r="BP97" s="76">
        <f>BO97*Constantes!$E$51</f>
        <v>0</v>
      </c>
      <c r="BQ97" s="76">
        <f t="shared" si="23"/>
        <v>0</v>
      </c>
      <c r="BR97" s="40"/>
    </row>
    <row r="98" spans="1:70">
      <c r="A98" s="147"/>
      <c r="B98" s="39"/>
      <c r="C98" s="75">
        <v>92</v>
      </c>
      <c r="D98" s="146">
        <f>ETo!$I97*((1-Constantes!$E$19)*ETo!$K97+ETo!$L97)</f>
        <v>3.924544753641122</v>
      </c>
      <c r="E98" s="76">
        <f>MIN(D98*Constantes!$E$17,0.8*(N97+Observaciones!$F97-F98-M98-Constantes!$D$14))</f>
        <v>1.9187582531791774</v>
      </c>
      <c r="F98" s="76">
        <f>IF(Observaciones!$F97&gt;0.05*Constantes!$E$18,((Observaciones!$F97-0.05*Constantes!$E$18)^2)/(Observaciones!$F97+0.95*Constantes!$E$18),0)</f>
        <v>0</v>
      </c>
      <c r="G98" s="76">
        <f>IF(Escenarios!$E$11&gt;0,(F98*Escenarios!$E$16*10000)/1000,0)</f>
        <v>0</v>
      </c>
      <c r="H98" s="76">
        <f>IF(Escenarios!$E$11&gt;0,(Observaciones!$F97*Constantes!$E$29)/1000,0)</f>
        <v>0</v>
      </c>
      <c r="I98" s="76">
        <f>IF(Escenarios!$E$11&gt;0,(D98*Constantes!$E$29)/1000,0)</f>
        <v>39.24544753641122</v>
      </c>
      <c r="J98" s="76">
        <f>IF(Escenarios!$E$11&gt;0,MAX(0,G98+H98-I98),0)</f>
        <v>0</v>
      </c>
      <c r="K98" s="76">
        <f>IF(Escenarios!$E$11&gt;0,IF(J98&gt;Constantes!$E$30,1000*((J98-Constantes!$E$30)/(Escenarios!$E$16*10000)),0),F98)</f>
        <v>0</v>
      </c>
      <c r="L98" s="76">
        <f>IF(Escenarios!$E$11&gt;0,I98*1000/Escenarios!$E$16/10000+E98,E98)</f>
        <v>1.9344564321937419</v>
      </c>
      <c r="M98" s="76">
        <f>MAX(0,N97+Observaciones!$F97-K98-Constantes!$D$13)</f>
        <v>0</v>
      </c>
      <c r="N98" s="76">
        <f>N97+Observaciones!$F97-K98-L98-M98-O97</f>
        <v>22.861605114180886</v>
      </c>
      <c r="O98" s="76">
        <f>MAX(0,(N98-Constantes!$D$14)*(1-EXP(-Constantes!$D$22)))</f>
        <v>0.39553389726403837</v>
      </c>
      <c r="P98" s="170">
        <f>P97+(Entradas!$E$83*M98-Q97)/(800*Entradas!$D$25)</f>
        <v>0</v>
      </c>
      <c r="Q98" s="170">
        <f>8000*Entradas!$D$26*P98/Constantes!$E$45</f>
        <v>0</v>
      </c>
      <c r="R98" s="170">
        <f>IF(Escenarios!$E$14&gt;0,K98*Escenarios!$E$13/Escenarios!$E$14,0)</f>
        <v>0</v>
      </c>
      <c r="S98" s="170">
        <f>IF(Escenarios!$E$14&gt;0,Q98*Escenarios!$E$13/Escenarios!$E$14,0)</f>
        <v>0</v>
      </c>
      <c r="T98" s="170">
        <f>IF(Escenarios!$E$14&gt;0,Observaciones!$I97,0)</f>
        <v>0</v>
      </c>
      <c r="U98" s="170">
        <f>IF(Escenarios!$E$14&gt;0,MAX(0,Constantes!$E$36/((Z97+R98+S98+T98+Observaciones!$F97)^2)+Entradas!$E$77),0)</f>
        <v>2.3647796383109028</v>
      </c>
      <c r="V98" s="146">
        <f>IF(ETo!D97&gt;0,ETo!I97*((1-Entradas!$E$81)*ETo!K97+ETo!L97),0)</f>
        <v>3.5752429437605073</v>
      </c>
      <c r="W98" s="170">
        <f>IF(Escenarios!$E$14&gt;0,MIN(V98*1,0.8*(Z97+R98+S98+T98+Observaciones!$F97-U98-Constantes!$E$35)),0)</f>
        <v>3.5752429437605073</v>
      </c>
      <c r="X98" s="170">
        <f>IF(Escenarios!$E$14&gt;0,Observaciones!$J97,0)</f>
        <v>0</v>
      </c>
      <c r="Y98" s="170">
        <f>IF(Escenarios!$E$14&gt;0,MAX(0,Z97+R98+S98+T98+Observaciones!$F97-U98-W98-X98-Constantes!$E$33),0)</f>
        <v>0</v>
      </c>
      <c r="Z98" s="170">
        <f>Z97+R98+S98+T98+Observaciones!$F97-U98-W98-Y98</f>
        <v>121.19180436713506</v>
      </c>
      <c r="AA98" s="170">
        <f>IF(Escenarios!$E$14&gt;0,(Escenarios!$E$13*L98+Escenarios!$E$14*W98)/(Escenarios!$E$16),L98)</f>
        <v>2.1313508135817538</v>
      </c>
      <c r="AB98" s="170">
        <f>IF(Escenarios!$E$14&gt;0,(Escenarios!$E$14*Y98)/(Escenarios!$E$16),K98)</f>
        <v>0</v>
      </c>
      <c r="AC98" s="170">
        <f>IF(Escenarios!$E$14&gt;0,(Escenarios!$E$13*M98+Escenarios!$E$14*U98)/(Escenarios!$E$16),M98)</f>
        <v>0.28377355659730835</v>
      </c>
      <c r="AD98" s="76">
        <f t="shared" si="15"/>
        <v>170.75432738925832</v>
      </c>
      <c r="AE98" s="76">
        <f>MAX(0,(AD98-Constantes!$D$13)*(1-EXP(-Constantes!$D$23)))</f>
        <v>1.2021376969331543</v>
      </c>
      <c r="AF98" s="76">
        <f>AB98+O98*Escenarios!$E$13/Escenarios!$E$16+AE98</f>
        <v>1.550207526525508</v>
      </c>
      <c r="AG98" s="76">
        <f>IF(Entradas!$E$91&gt;0,IF(AF98-Escenarios!$E$38&lt;=0,0,IF(AF98-Escenarios!$E$38&gt;Escenarios!$E$37,Escenarios!$E$37,AF98-Escenarios!$E$38)),0)</f>
        <v>0</v>
      </c>
      <c r="AH98" s="76">
        <f>AG98*Entradas!$E$99</f>
        <v>0</v>
      </c>
      <c r="AI98" s="76">
        <f>IF(Entradas!$E$91&gt;0,D98*Entradas!$D$23/Escenarios!$E$16,0)</f>
        <v>0</v>
      </c>
      <c r="AJ98" s="76">
        <f>IF(Entradas!$E$91&gt;0,Entradas!$D$24*Entradas!$D$22/Escenarios!$E$16,0)</f>
        <v>0</v>
      </c>
      <c r="AK98" s="76">
        <f t="shared" si="24"/>
        <v>2.1313508135817538</v>
      </c>
      <c r="AL98" s="76">
        <f t="shared" si="25"/>
        <v>0</v>
      </c>
      <c r="AM98" s="76">
        <f t="shared" si="16"/>
        <v>0</v>
      </c>
      <c r="AN98" s="76">
        <f>MAX(0,O98*Escenarios!$E$13/Escenarios!$E$16-AM98)</f>
        <v>0.34806982959235377</v>
      </c>
      <c r="AO98" s="76">
        <f>AM98+AN98-O98*Escenarios!$E$13/Escenarios!$E$16</f>
        <v>0</v>
      </c>
      <c r="AP98" s="76">
        <f t="shared" si="14"/>
        <v>1.2021376969331543</v>
      </c>
      <c r="AQ98" s="76">
        <f t="shared" si="17"/>
        <v>0</v>
      </c>
      <c r="AR98" s="76">
        <f t="shared" si="18"/>
        <v>1.550207526525508</v>
      </c>
      <c r="AS98" s="76">
        <f t="shared" si="19"/>
        <v>0</v>
      </c>
      <c r="AT98" s="76">
        <f t="shared" si="20"/>
        <v>0.28377355659730835</v>
      </c>
      <c r="AU98" s="76">
        <f t="shared" si="21"/>
        <v>48.75</v>
      </c>
      <c r="AV98" s="76">
        <f>MAX(0,(AU98-Constantes!$D$13)*(1-EXP(-Constantes!$D$24)))</f>
        <v>0</v>
      </c>
      <c r="AW98" s="170">
        <f>AW97+(Entradas!$E$112*AT98-AX97)/(800*Entradas!$D$25)</f>
        <v>0</v>
      </c>
      <c r="AX98" s="170">
        <f>8000*Entradas!$D$26*AW98/Constantes!$E$45</f>
        <v>0</v>
      </c>
      <c r="AY98" s="170">
        <f>IF(Escenarios!$E$17&gt;0,10*Escenarios!$E$16*AL98,0)</f>
        <v>0</v>
      </c>
      <c r="AZ98" s="170">
        <f>IF(Escenarios!$E$17&gt;0,10*Escenarios!$E$16*AX98,0)</f>
        <v>0</v>
      </c>
      <c r="BA98" s="170">
        <f>IF(Escenarios!$E$17&gt;0,0.001*Observaciones!$F97*Escenarios!$E$17,0)</f>
        <v>0</v>
      </c>
      <c r="BB98" s="170">
        <f>IF(Escenarios!$E$17&gt;0,Observaciones!$K97,0)</f>
        <v>0</v>
      </c>
      <c r="BC98" s="170">
        <f>IF(Escenarios!$E$17&gt;0,MIN(0.0005*ETo!$M97*Escenarios!$E$17*(BG97/Constantes!$E$40)^(2/3),BG97+AY98+AZ98+BA98+BB98),0)</f>
        <v>37.988306226804688</v>
      </c>
      <c r="BD98" s="170">
        <f>IF(Escenarios!$E$17&gt;0,MIN(Constantes!$E$39*(BG97/Constantes!$E$40)^(2/3),BG97+AY98+AZ98+BA98+BB98-BC98),0)</f>
        <v>67.924480690816139</v>
      </c>
      <c r="BE98" s="170">
        <f>IF(Escenarios!$E$17&gt;0,MIN(Entradas!$E$113,BG97+AY98+AZ98+BA98+BB98-BC98-BD98),0)</f>
        <v>1</v>
      </c>
      <c r="BF98" s="170">
        <f>IF(Escenarios!$E$17&gt;0,MAX(0,BG97+AY98+AZ98+BA98+BB98-BC98-BD98-BE98-Constantes!$E$40),0)</f>
        <v>0</v>
      </c>
      <c r="BG98" s="170">
        <f t="shared" si="26"/>
        <v>5108.7949853616237</v>
      </c>
      <c r="BH98" s="170">
        <f>(Escenarios!$E$16*AK98+0.1*BC98)/(Escenarios!$E$19)</f>
        <v>2.1295100556274562</v>
      </c>
      <c r="BI98" s="170">
        <f>IF(Escenarios!$E$17&gt;0,BF98/10/Escenarios!$E$19,AL98)</f>
        <v>0</v>
      </c>
      <c r="BJ98" s="170">
        <f>(Escenarios!$E$16*AT98+0.1*BD98)/(Escenarios!$E$19)</f>
        <v>0.30847554451749487</v>
      </c>
      <c r="BK98" s="76">
        <f>BK97+(0.1*BD98)/(Escenarios!$E$19)-BL97</f>
        <v>50.073330684061283</v>
      </c>
      <c r="BL98" s="76">
        <f>MAX(0,(BK98-Constantes!$D$13)*(1-EXP(-Constantes!$D$23)))</f>
        <v>1.3039092422868173E-2</v>
      </c>
      <c r="BM98" s="76">
        <f t="shared" si="22"/>
        <v>1.2151767893560226</v>
      </c>
      <c r="BN98" s="76">
        <f t="shared" si="27"/>
        <v>1.5632466189483762</v>
      </c>
      <c r="BO98" s="76">
        <f>0.0526*BI98*Observaciones!$F97^1.218</f>
        <v>0</v>
      </c>
      <c r="BP98" s="76">
        <f>BO98*Constantes!$E$51</f>
        <v>0</v>
      </c>
      <c r="BQ98" s="76">
        <f t="shared" si="23"/>
        <v>0</v>
      </c>
      <c r="BR98" s="40"/>
    </row>
    <row r="99" spans="1:70">
      <c r="A99" s="147"/>
      <c r="B99" s="39"/>
      <c r="C99" s="75">
        <v>93</v>
      </c>
      <c r="D99" s="146">
        <f>ETo!$I98*((1-Constantes!$E$19)*ETo!$K98+ETo!$L98)</f>
        <v>3.8510069163597538</v>
      </c>
      <c r="E99" s="76">
        <f>MIN(D99*Constantes!$E$17,0.8*(N98+Observaciones!$F98-F99-M99-Constantes!$D$14))</f>
        <v>1.8828046990570946</v>
      </c>
      <c r="F99" s="76">
        <f>IF(Observaciones!$F98&gt;0.05*Constantes!$E$18,((Observaciones!$F98-0.05*Constantes!$E$18)^2)/(Observaciones!$F98+0.95*Constantes!$E$18),0)</f>
        <v>0</v>
      </c>
      <c r="G99" s="76">
        <f>IF(Escenarios!$E$11&gt;0,(F99*Escenarios!$E$16*10000)/1000,0)</f>
        <v>0</v>
      </c>
      <c r="H99" s="76">
        <f>IF(Escenarios!$E$11&gt;0,(Observaciones!$F98*Constantes!$E$29)/1000,0)</f>
        <v>5</v>
      </c>
      <c r="I99" s="76">
        <f>IF(Escenarios!$E$11&gt;0,(D99*Constantes!$E$29)/1000,0)</f>
        <v>38.510069163597535</v>
      </c>
      <c r="J99" s="76">
        <f>IF(Escenarios!$E$11&gt;0,MAX(0,G99+H99-I99),0)</f>
        <v>0</v>
      </c>
      <c r="K99" s="76">
        <f>IF(Escenarios!$E$11&gt;0,IF(J99&gt;Constantes!$E$30,1000*((J99-Constantes!$E$30)/(Escenarios!$E$16*10000)),0),F99)</f>
        <v>0</v>
      </c>
      <c r="L99" s="76">
        <f>IF(Escenarios!$E$11&gt;0,I99*1000/Escenarios!$E$16/10000+E99,E99)</f>
        <v>1.8982087267225336</v>
      </c>
      <c r="M99" s="76">
        <f>MAX(0,N98+Observaciones!$F98-K99-Constantes!$D$13)</f>
        <v>0</v>
      </c>
      <c r="N99" s="76">
        <f>N98+Observaciones!$F98-K99-L99-M99-O98</f>
        <v>21.067862490194315</v>
      </c>
      <c r="O99" s="76">
        <f>MAX(0,(N99-Constantes!$D$14)*(1-EXP(-Constantes!$D$22)))</f>
        <v>0.33443243852707544</v>
      </c>
      <c r="P99" s="170">
        <f>P98+(Entradas!$E$83*M99-Q98)/(800*Entradas!$D$25)</f>
        <v>0</v>
      </c>
      <c r="Q99" s="170">
        <f>8000*Entradas!$D$26*P99/Constantes!$E$45</f>
        <v>0</v>
      </c>
      <c r="R99" s="170">
        <f>IF(Escenarios!$E$14&gt;0,K99*Escenarios!$E$13/Escenarios!$E$14,0)</f>
        <v>0</v>
      </c>
      <c r="S99" s="170">
        <f>IF(Escenarios!$E$14&gt;0,Q99*Escenarios!$E$13/Escenarios!$E$14,0)</f>
        <v>0</v>
      </c>
      <c r="T99" s="170">
        <f>IF(Escenarios!$E$14&gt;0,Observaciones!$I98,0)</f>
        <v>0</v>
      </c>
      <c r="U99" s="170">
        <f>IF(Escenarios!$E$14&gt;0,MAX(0,Constantes!$E$36/((Z98+R99+S99+T99+Observaciones!$F98)^2)+Entradas!$E$77),0)</f>
        <v>2.3067173596281254</v>
      </c>
      <c r="V99" s="146">
        <f>IF(ETo!D98&gt;0,ETo!I98*((1-Entradas!$E$81)*ETo!K98+ETo!L98),0)</f>
        <v>3.5069942816526241</v>
      </c>
      <c r="W99" s="170">
        <f>IF(Escenarios!$E$14&gt;0,MIN(V99*1,0.8*(Z98+R99+S99+T99+Observaciones!$F98-U99-Constantes!$E$35)),0)</f>
        <v>3.5069942816526241</v>
      </c>
      <c r="X99" s="170">
        <f>IF(Escenarios!$E$14&gt;0,Observaciones!$J98,0)</f>
        <v>0</v>
      </c>
      <c r="Y99" s="170">
        <f>IF(Escenarios!$E$14&gt;0,MAX(0,Z98+R99+S99+T99+Observaciones!$F98-U99-W99-X99-Constantes!$E$33),0)</f>
        <v>0</v>
      </c>
      <c r="Z99" s="170">
        <f>Z98+R99+S99+T99+Observaciones!$F98-U99-W99-Y99</f>
        <v>115.87809272585432</v>
      </c>
      <c r="AA99" s="170">
        <f>IF(Escenarios!$E$14&gt;0,(Escenarios!$E$13*L99+Escenarios!$E$14*W99)/(Escenarios!$E$16),L99)</f>
        <v>2.0912629933141442</v>
      </c>
      <c r="AB99" s="170">
        <f>IF(Escenarios!$E$14&gt;0,(Escenarios!$E$14*Y99)/(Escenarios!$E$16),K99)</f>
        <v>0</v>
      </c>
      <c r="AC99" s="170">
        <f>IF(Escenarios!$E$14&gt;0,(Escenarios!$E$13*M99+Escenarios!$E$14*U99)/(Escenarios!$E$16),M99)</f>
        <v>0.27680608315537508</v>
      </c>
      <c r="AD99" s="76">
        <f t="shared" si="15"/>
        <v>169.82899577548054</v>
      </c>
      <c r="AE99" s="76">
        <f>MAX(0,(AD99-Constantes!$D$13)*(1-EXP(-Constantes!$D$23)))</f>
        <v>1.1930201841457826</v>
      </c>
      <c r="AF99" s="76">
        <f>AB99+O99*Escenarios!$E$13/Escenarios!$E$16+AE99</f>
        <v>1.487320730049609</v>
      </c>
      <c r="AG99" s="76">
        <f>IF(Entradas!$E$91&gt;0,IF(AF99-Escenarios!$E$38&lt;=0,0,IF(AF99-Escenarios!$E$38&gt;Escenarios!$E$37,Escenarios!$E$37,AF99-Escenarios!$E$38)),0)</f>
        <v>0</v>
      </c>
      <c r="AH99" s="76">
        <f>AG99*Entradas!$E$99</f>
        <v>0</v>
      </c>
      <c r="AI99" s="76">
        <f>IF(Entradas!$E$91&gt;0,D99*Entradas!$D$23/Escenarios!$E$16,0)</f>
        <v>0</v>
      </c>
      <c r="AJ99" s="76">
        <f>IF(Entradas!$E$91&gt;0,Entradas!$D$24*Entradas!$D$22/Escenarios!$E$16,0)</f>
        <v>0</v>
      </c>
      <c r="AK99" s="76">
        <f t="shared" si="24"/>
        <v>2.0912629933141442</v>
      </c>
      <c r="AL99" s="76">
        <f t="shared" si="25"/>
        <v>0</v>
      </c>
      <c r="AM99" s="76">
        <f t="shared" si="16"/>
        <v>0</v>
      </c>
      <c r="AN99" s="76">
        <f>MAX(0,O99*Escenarios!$E$13/Escenarios!$E$16-AM99)</f>
        <v>0.29430054590382637</v>
      </c>
      <c r="AO99" s="76">
        <f>AM99+AN99-O99*Escenarios!$E$13/Escenarios!$E$16</f>
        <v>0</v>
      </c>
      <c r="AP99" s="76">
        <f t="shared" si="14"/>
        <v>1.1930201841457826</v>
      </c>
      <c r="AQ99" s="76">
        <f t="shared" si="17"/>
        <v>0</v>
      </c>
      <c r="AR99" s="76">
        <f t="shared" si="18"/>
        <v>1.487320730049609</v>
      </c>
      <c r="AS99" s="76">
        <f t="shared" si="19"/>
        <v>0</v>
      </c>
      <c r="AT99" s="76">
        <f t="shared" si="20"/>
        <v>0.27680608315537508</v>
      </c>
      <c r="AU99" s="76">
        <f t="shared" si="21"/>
        <v>48.75</v>
      </c>
      <c r="AV99" s="76">
        <f>MAX(0,(AU99-Constantes!$D$13)*(1-EXP(-Constantes!$D$24)))</f>
        <v>0</v>
      </c>
      <c r="AW99" s="170">
        <f>AW98+(Entradas!$E$112*AT99-AX98)/(800*Entradas!$D$25)</f>
        <v>0</v>
      </c>
      <c r="AX99" s="170">
        <f>8000*Entradas!$D$26*AW99/Constantes!$E$45</f>
        <v>0</v>
      </c>
      <c r="AY99" s="170">
        <f>IF(Escenarios!$E$17&gt;0,10*Escenarios!$E$16*AL99,0)</f>
        <v>0</v>
      </c>
      <c r="AZ99" s="170">
        <f>IF(Escenarios!$E$17&gt;0,10*Escenarios!$E$16*AX99,0)</f>
        <v>0</v>
      </c>
      <c r="BA99" s="170">
        <f>IF(Escenarios!$E$17&gt;0,0.001*Observaciones!$F98*Escenarios!$E$17,0)</f>
        <v>10</v>
      </c>
      <c r="BB99" s="170">
        <f>IF(Escenarios!$E$17&gt;0,Observaciones!$K98,0)</f>
        <v>0</v>
      </c>
      <c r="BC99" s="170">
        <f>IF(Escenarios!$E$17&gt;0,MIN(0.0005*ETo!$M98*Escenarios!$E$17*(BG98/Constantes!$E$40)^(2/3),BG98+AY99+AZ99+BA99+BB99),0)</f>
        <v>36.781876850496083</v>
      </c>
      <c r="BD99" s="170">
        <f>IF(Escenarios!$E$17&gt;0,MIN(Constantes!$E$39*(BG98/Constantes!$E$40)^(2/3),BG98+AY99+AZ99+BA99+BB99-BC99),0)</f>
        <v>66.993059134872723</v>
      </c>
      <c r="BE99" s="170">
        <f>IF(Escenarios!$E$17&gt;0,MIN(Entradas!$E$113,BG98+AY99+AZ99+BA99+BB99-BC99-BD99),0)</f>
        <v>1</v>
      </c>
      <c r="BF99" s="170">
        <f>IF(Escenarios!$E$17&gt;0,MAX(0,BG98+AY99+AZ99+BA99+BB99-BC99-BD99-BE99-Constantes!$E$40),0)</f>
        <v>0</v>
      </c>
      <c r="BG99" s="170">
        <f t="shared" si="26"/>
        <v>5014.020049376255</v>
      </c>
      <c r="BH99" s="170">
        <f>(Escenarios!$E$16*AK99+0.1*BC99)/(Escenarios!$E$19)</f>
        <v>2.0892616508475621</v>
      </c>
      <c r="BI99" s="170">
        <f>IF(Escenarios!$E$17&gt;0,BF99/10/Escenarios!$E$19,AL99)</f>
        <v>0</v>
      </c>
      <c r="BJ99" s="170">
        <f>(Escenarios!$E$16*AT99+0.1*BD99)/(Escenarios!$E$19)</f>
        <v>0.30119375675528193</v>
      </c>
      <c r="BK99" s="76">
        <f>BK98+(0.1*BD99)/(Escenarios!$E$19)-BL98</f>
        <v>50.086876138914164</v>
      </c>
      <c r="BL99" s="76">
        <f>MAX(0,(BK99-Constantes!$D$13)*(1-EXP(-Constantes!$D$23)))</f>
        <v>1.3172559015809599E-2</v>
      </c>
      <c r="BM99" s="76">
        <f t="shared" si="22"/>
        <v>1.2061927431615922</v>
      </c>
      <c r="BN99" s="76">
        <f t="shared" si="27"/>
        <v>1.5004932890654186</v>
      </c>
      <c r="BO99" s="76">
        <f>0.0526*BI99*Observaciones!$F98^1.218</f>
        <v>0</v>
      </c>
      <c r="BP99" s="76">
        <f>BO99*Constantes!$E$51</f>
        <v>0</v>
      </c>
      <c r="BQ99" s="76">
        <f t="shared" si="23"/>
        <v>0</v>
      </c>
      <c r="BR99" s="40"/>
    </row>
    <row r="100" spans="1:70">
      <c r="A100" s="147"/>
      <c r="B100" s="39"/>
      <c r="C100" s="75">
        <v>94</v>
      </c>
      <c r="D100" s="146">
        <f>ETo!$I99*((1-Constantes!$E$19)*ETo!$K99+ETo!$L99)</f>
        <v>3.7818280336254562</v>
      </c>
      <c r="E100" s="76">
        <f>MIN(D100*Constantes!$E$17,0.8*(N99+Observaciones!$F99-F100-M100-Constantes!$D$14))</f>
        <v>1.8489822914851088</v>
      </c>
      <c r="F100" s="76">
        <f>IF(Observaciones!$F99&gt;0.05*Constantes!$E$18,((Observaciones!$F99-0.05*Constantes!$E$18)^2)/(Observaciones!$F99+0.95*Constantes!$E$18),0)</f>
        <v>0</v>
      </c>
      <c r="G100" s="76">
        <f>IF(Escenarios!$E$11&gt;0,(F100*Escenarios!$E$16*10000)/1000,0)</f>
        <v>0</v>
      </c>
      <c r="H100" s="76">
        <f>IF(Escenarios!$E$11&gt;0,(Observaciones!$F99*Constantes!$E$29)/1000,0)</f>
        <v>0</v>
      </c>
      <c r="I100" s="76">
        <f>IF(Escenarios!$E$11&gt;0,(D100*Constantes!$E$29)/1000,0)</f>
        <v>37.81828033625456</v>
      </c>
      <c r="J100" s="76">
        <f>IF(Escenarios!$E$11&gt;0,MAX(0,G100+H100-I100),0)</f>
        <v>0</v>
      </c>
      <c r="K100" s="76">
        <f>IF(Escenarios!$E$11&gt;0,IF(J100&gt;Constantes!$E$30,1000*((J100-Constantes!$E$30)/(Escenarios!$E$16*10000)),0),F100)</f>
        <v>0</v>
      </c>
      <c r="L100" s="76">
        <f>IF(Escenarios!$E$11&gt;0,I100*1000/Escenarios!$E$16/10000+E100,E100)</f>
        <v>1.8641096036196108</v>
      </c>
      <c r="M100" s="76">
        <f>MAX(0,N99+Observaciones!$F99-K100-Constantes!$D$13)</f>
        <v>0</v>
      </c>
      <c r="N100" s="76">
        <f>N99+Observaciones!$F99-K100-L100-M100-O99</f>
        <v>18.869320448047631</v>
      </c>
      <c r="O100" s="76">
        <f>MAX(0,(N100-Constantes!$D$14)*(1-EXP(-Constantes!$D$22)))</f>
        <v>0.25954202555849254</v>
      </c>
      <c r="P100" s="170">
        <f>P99+(Entradas!$E$83*M100-Q99)/(800*Entradas!$D$25)</f>
        <v>0</v>
      </c>
      <c r="Q100" s="170">
        <f>8000*Entradas!$D$26*P100/Constantes!$E$45</f>
        <v>0</v>
      </c>
      <c r="R100" s="170">
        <f>IF(Escenarios!$E$14&gt;0,K100*Escenarios!$E$13/Escenarios!$E$14,0)</f>
        <v>0</v>
      </c>
      <c r="S100" s="170">
        <f>IF(Escenarios!$E$14&gt;0,Q100*Escenarios!$E$13/Escenarios!$E$14,0)</f>
        <v>0</v>
      </c>
      <c r="T100" s="170">
        <f>IF(Escenarios!$E$14&gt;0,Observaciones!$I99,0)</f>
        <v>0</v>
      </c>
      <c r="U100" s="170">
        <f>IF(Escenarios!$E$14&gt;0,MAX(0,Constantes!$E$36/((Z99+R100+S100+T100+Observaciones!$F99)^2)+Entradas!$E$77),0)</f>
        <v>2.2354070133207053</v>
      </c>
      <c r="V100" s="146">
        <f>IF(ETo!D99&gt;0,ETo!I99*((1-Entradas!$E$81)*ETo!K99+ETo!L99),0)</f>
        <v>3.4428642736443051</v>
      </c>
      <c r="W100" s="170">
        <f>IF(Escenarios!$E$14&gt;0,MIN(V100*1,0.8*(Z99+R100+S100+T100+Observaciones!$F99-U100-Constantes!$E$35)),0)</f>
        <v>3.4428642736443051</v>
      </c>
      <c r="X100" s="170">
        <f>IF(Escenarios!$E$14&gt;0,Observaciones!$J99,0)</f>
        <v>0</v>
      </c>
      <c r="Y100" s="170">
        <f>IF(Escenarios!$E$14&gt;0,MAX(0,Z99+R100+S100+T100+Observaciones!$F99-U100-W100-X100-Constantes!$E$33),0)</f>
        <v>0</v>
      </c>
      <c r="Z100" s="170">
        <f>Z99+R100+S100+T100+Observaciones!$F99-U100-W100-Y100</f>
        <v>110.1998214388893</v>
      </c>
      <c r="AA100" s="170">
        <f>IF(Escenarios!$E$14&gt;0,(Escenarios!$E$13*L100+Escenarios!$E$14*W100)/(Escenarios!$E$16),L100)</f>
        <v>2.0535601640225742</v>
      </c>
      <c r="AB100" s="170">
        <f>IF(Escenarios!$E$14&gt;0,(Escenarios!$E$14*Y100)/(Escenarios!$E$16),K100)</f>
        <v>0</v>
      </c>
      <c r="AC100" s="170">
        <f>IF(Escenarios!$E$14&gt;0,(Escenarios!$E$13*M100+Escenarios!$E$14*U100)/(Escenarios!$E$16),M100)</f>
        <v>0.26824884159848467</v>
      </c>
      <c r="AD100" s="76">
        <f t="shared" si="15"/>
        <v>168.90422443293323</v>
      </c>
      <c r="AE100" s="76">
        <f>MAX(0,(AD100-Constantes!$D$13)*(1-EXP(-Constantes!$D$23)))</f>
        <v>1.1839081918442909</v>
      </c>
      <c r="AF100" s="76">
        <f>AB100+O100*Escenarios!$E$13/Escenarios!$E$16+AE100</f>
        <v>1.4123051743357644</v>
      </c>
      <c r="AG100" s="76">
        <f>IF(Entradas!$E$91&gt;0,IF(AF100-Escenarios!$E$38&lt;=0,0,IF(AF100-Escenarios!$E$38&gt;Escenarios!$E$37,Escenarios!$E$37,AF100-Escenarios!$E$38)),0)</f>
        <v>0</v>
      </c>
      <c r="AH100" s="76">
        <f>AG100*Entradas!$E$99</f>
        <v>0</v>
      </c>
      <c r="AI100" s="76">
        <f>IF(Entradas!$E$91&gt;0,D100*Entradas!$D$23/Escenarios!$E$16,0)</f>
        <v>0</v>
      </c>
      <c r="AJ100" s="76">
        <f>IF(Entradas!$E$91&gt;0,Entradas!$D$24*Entradas!$D$22/Escenarios!$E$16,0)</f>
        <v>0</v>
      </c>
      <c r="AK100" s="76">
        <f t="shared" si="24"/>
        <v>2.0535601640225742</v>
      </c>
      <c r="AL100" s="76">
        <f t="shared" si="25"/>
        <v>0</v>
      </c>
      <c r="AM100" s="76">
        <f t="shared" si="16"/>
        <v>0</v>
      </c>
      <c r="AN100" s="76">
        <f>MAX(0,O100*Escenarios!$E$13/Escenarios!$E$16-AM100)</f>
        <v>0.22839698249147344</v>
      </c>
      <c r="AO100" s="76">
        <f>AM100+AN100-O100*Escenarios!$E$13/Escenarios!$E$16</f>
        <v>0</v>
      </c>
      <c r="AP100" s="76">
        <f t="shared" si="14"/>
        <v>1.1839081918442909</v>
      </c>
      <c r="AQ100" s="76">
        <f t="shared" si="17"/>
        <v>0</v>
      </c>
      <c r="AR100" s="76">
        <f t="shared" si="18"/>
        <v>1.4123051743357644</v>
      </c>
      <c r="AS100" s="76">
        <f t="shared" si="19"/>
        <v>0</v>
      </c>
      <c r="AT100" s="76">
        <f t="shared" si="20"/>
        <v>0.26824884159848467</v>
      </c>
      <c r="AU100" s="76">
        <f t="shared" si="21"/>
        <v>48.75</v>
      </c>
      <c r="AV100" s="76">
        <f>MAX(0,(AU100-Constantes!$D$13)*(1-EXP(-Constantes!$D$24)))</f>
        <v>0</v>
      </c>
      <c r="AW100" s="170">
        <f>AW99+(Entradas!$E$112*AT100-AX99)/(800*Entradas!$D$25)</f>
        <v>0</v>
      </c>
      <c r="AX100" s="170">
        <f>8000*Entradas!$D$26*AW100/Constantes!$E$45</f>
        <v>0</v>
      </c>
      <c r="AY100" s="170">
        <f>IF(Escenarios!$E$17&gt;0,10*Escenarios!$E$16*AL100,0)</f>
        <v>0</v>
      </c>
      <c r="AZ100" s="170">
        <f>IF(Escenarios!$E$17&gt;0,10*Escenarios!$E$16*AX100,0)</f>
        <v>0</v>
      </c>
      <c r="BA100" s="170">
        <f>IF(Escenarios!$E$17&gt;0,0.001*Observaciones!$F99*Escenarios!$E$17,0)</f>
        <v>0</v>
      </c>
      <c r="BB100" s="170">
        <f>IF(Escenarios!$E$17&gt;0,Observaciones!$K99,0)</f>
        <v>0</v>
      </c>
      <c r="BC100" s="170">
        <f>IF(Escenarios!$E$17&gt;0,MIN(0.0005*ETo!$M99*Escenarios!$E$17*(BG99/Constantes!$E$40)^(2/3),BG99+AY100+AZ100+BA100+BB100),0)</f>
        <v>35.68772735003504</v>
      </c>
      <c r="BD100" s="170">
        <f>IF(Escenarios!$E$17&gt;0,MIN(Constantes!$E$39*(BG99/Constantes!$E$40)^(2/3),BG99+AY100+AZ100+BA100+BB100-BC100),0)</f>
        <v>66.161935846052359</v>
      </c>
      <c r="BE100" s="170">
        <f>IF(Escenarios!$E$17&gt;0,MIN(Entradas!$E$113,BG99+AY100+AZ100+BA100+BB100-BC100-BD100),0)</f>
        <v>1</v>
      </c>
      <c r="BF100" s="170">
        <f>IF(Escenarios!$E$17&gt;0,MAX(0,BG99+AY100+AZ100+BA100+BB100-BC100-BD100-BE100-Constantes!$E$40),0)</f>
        <v>0</v>
      </c>
      <c r="BG100" s="170">
        <f t="shared" si="26"/>
        <v>4911.170386180168</v>
      </c>
      <c r="BH100" s="170">
        <f>(Escenarios!$E$16*AK100+0.1*BC100)/(Escenarios!$E$19)</f>
        <v>2.0514238640501863</v>
      </c>
      <c r="BI100" s="170">
        <f>IF(Escenarios!$E$17&gt;0,BF100/10/Escenarios!$E$19,AL100)</f>
        <v>0</v>
      </c>
      <c r="BJ100" s="170">
        <f>(Escenarios!$E$16*AT100+0.1*BD100)/(Escenarios!$E$19)</f>
        <v>0.29237461898502543</v>
      </c>
      <c r="BK100" s="76">
        <f>BK99+(0.1*BD100)/(Escenarios!$E$19)-BL99</f>
        <v>50.099958316345202</v>
      </c>
      <c r="BL100" s="76">
        <f>MAX(0,(BK100-Constantes!$D$13)*(1-EXP(-Constantes!$D$23)))</f>
        <v>1.3301460825969516E-2</v>
      </c>
      <c r="BM100" s="76">
        <f t="shared" si="22"/>
        <v>1.1972096526702605</v>
      </c>
      <c r="BN100" s="76">
        <f t="shared" si="27"/>
        <v>1.425606635161734</v>
      </c>
      <c r="BO100" s="76">
        <f>0.0526*BI100*Observaciones!$F99^1.218</f>
        <v>0</v>
      </c>
      <c r="BP100" s="76">
        <f>BO100*Constantes!$E$51</f>
        <v>0</v>
      </c>
      <c r="BQ100" s="76">
        <f t="shared" si="23"/>
        <v>0</v>
      </c>
      <c r="BR100" s="40"/>
    </row>
    <row r="101" spans="1:70">
      <c r="A101" s="147"/>
      <c r="B101" s="39"/>
      <c r="C101" s="75">
        <v>95</v>
      </c>
      <c r="D101" s="146">
        <f>ETo!$I100*((1-Constantes!$E$19)*ETo!$K100+ETo!$L100)</f>
        <v>3.7687316083495026</v>
      </c>
      <c r="E101" s="76">
        <f>MIN(D101*Constantes!$E$17,0.8*(N100+Observaciones!$F100-F101-M101-Constantes!$D$14))</f>
        <v>1.8425792879107283</v>
      </c>
      <c r="F101" s="76">
        <f>IF(Observaciones!$F100&gt;0.05*Constantes!$E$18,((Observaciones!$F100-0.05*Constantes!$E$18)^2)/(Observaciones!$F100+0.95*Constantes!$E$18),0)</f>
        <v>0</v>
      </c>
      <c r="G101" s="76">
        <f>IF(Escenarios!$E$11&gt;0,(F101*Escenarios!$E$16*10000)/1000,0)</f>
        <v>0</v>
      </c>
      <c r="H101" s="76">
        <f>IF(Escenarios!$E$11&gt;0,(Observaciones!$F100*Constantes!$E$29)/1000,0)</f>
        <v>0</v>
      </c>
      <c r="I101" s="76">
        <f>IF(Escenarios!$E$11&gt;0,(D101*Constantes!$E$29)/1000,0)</f>
        <v>37.687316083495027</v>
      </c>
      <c r="J101" s="76">
        <f>IF(Escenarios!$E$11&gt;0,MAX(0,G101+H101-I101),0)</f>
        <v>0</v>
      </c>
      <c r="K101" s="76">
        <f>IF(Escenarios!$E$11&gt;0,IF(J101&gt;Constantes!$E$30,1000*((J101-Constantes!$E$30)/(Escenarios!$E$16*10000)),0),F101)</f>
        <v>0</v>
      </c>
      <c r="L101" s="76">
        <f>IF(Escenarios!$E$11&gt;0,I101*1000/Escenarios!$E$16/10000+E101,E101)</f>
        <v>1.8576542143441264</v>
      </c>
      <c r="M101" s="76">
        <f>MAX(0,N100+Observaciones!$F100-K101-Constantes!$D$13)</f>
        <v>0</v>
      </c>
      <c r="N101" s="76">
        <f>N100+Observaciones!$F100-K101-L101-M101-O100</f>
        <v>16.752124208145013</v>
      </c>
      <c r="O101" s="76">
        <f>MAX(0,(N101-Constantes!$D$14)*(1-EXP(-Constantes!$D$22)))</f>
        <v>0.18742254924089607</v>
      </c>
      <c r="P101" s="170">
        <f>P100+(Entradas!$E$83*M101-Q100)/(800*Entradas!$D$25)</f>
        <v>0</v>
      </c>
      <c r="Q101" s="170">
        <f>8000*Entradas!$D$26*P101/Constantes!$E$45</f>
        <v>0</v>
      </c>
      <c r="R101" s="170">
        <f>IF(Escenarios!$E$14&gt;0,K101*Escenarios!$E$13/Escenarios!$E$14,0)</f>
        <v>0</v>
      </c>
      <c r="S101" s="170">
        <f>IF(Escenarios!$E$14&gt;0,Q101*Escenarios!$E$13/Escenarios!$E$14,0)</f>
        <v>0</v>
      </c>
      <c r="T101" s="170">
        <f>IF(Escenarios!$E$14&gt;0,Observaciones!$I100,0)</f>
        <v>0</v>
      </c>
      <c r="U101" s="170">
        <f>IF(Escenarios!$E$14&gt;0,MAX(0,Constantes!$E$36/((Z100+R101+S101+T101+Observaciones!$F100)^2)+Entradas!$E$77),0)</f>
        <v>2.1545825547951356</v>
      </c>
      <c r="V101" s="146">
        <f>IF(ETo!D100&gt;0,ETo!I100*((1-Entradas!$E$81)*ETo!K100+ETo!L100),0)</f>
        <v>3.4305494236645844</v>
      </c>
      <c r="W101" s="170">
        <f>IF(Escenarios!$E$14&gt;0,MIN(V101*1,0.8*(Z100+R101+S101+T101+Observaciones!$F100-U101-Constantes!$E$35)),0)</f>
        <v>3.4305494236645844</v>
      </c>
      <c r="X101" s="170">
        <f>IF(Escenarios!$E$14&gt;0,Observaciones!$J100,0)</f>
        <v>0</v>
      </c>
      <c r="Y101" s="170">
        <f>IF(Escenarios!$E$14&gt;0,MAX(0,Z100+R101+S101+T101+Observaciones!$F100-U101-W101-X101-Constantes!$E$33),0)</f>
        <v>0</v>
      </c>
      <c r="Z101" s="170">
        <f>Z100+R101+S101+T101+Observaciones!$F100-U101-W101-Y101</f>
        <v>104.61468946042957</v>
      </c>
      <c r="AA101" s="170">
        <f>IF(Escenarios!$E$14&gt;0,(Escenarios!$E$13*L101+Escenarios!$E$14*W101)/(Escenarios!$E$16),L101)</f>
        <v>2.0464016394625815</v>
      </c>
      <c r="AB101" s="170">
        <f>IF(Escenarios!$E$14&gt;0,(Escenarios!$E$14*Y101)/(Escenarios!$E$16),K101)</f>
        <v>0</v>
      </c>
      <c r="AC101" s="170">
        <f>IF(Escenarios!$E$14&gt;0,(Escenarios!$E$13*M101+Escenarios!$E$14*U101)/(Escenarios!$E$16),M101)</f>
        <v>0.25854990657541627</v>
      </c>
      <c r="AD101" s="76">
        <f t="shared" si="15"/>
        <v>167.97886614766435</v>
      </c>
      <c r="AE101" s="76">
        <f>MAX(0,(AD101-Constantes!$D$13)*(1-EXP(-Constantes!$D$23)))</f>
        <v>1.1747904162563645</v>
      </c>
      <c r="AF101" s="76">
        <f>AB101+O101*Escenarios!$E$13/Escenarios!$E$16+AE101</f>
        <v>1.3397222595883531</v>
      </c>
      <c r="AG101" s="76">
        <f>IF(Entradas!$E$91&gt;0,IF(AF101-Escenarios!$E$38&lt;=0,0,IF(AF101-Escenarios!$E$38&gt;Escenarios!$E$37,Escenarios!$E$37,AF101-Escenarios!$E$38)),0)</f>
        <v>0</v>
      </c>
      <c r="AH101" s="76">
        <f>AG101*Entradas!$E$99</f>
        <v>0</v>
      </c>
      <c r="AI101" s="76">
        <f>IF(Entradas!$E$91&gt;0,D101*Entradas!$D$23/Escenarios!$E$16,0)</f>
        <v>0</v>
      </c>
      <c r="AJ101" s="76">
        <f>IF(Entradas!$E$91&gt;0,Entradas!$D$24*Entradas!$D$22/Escenarios!$E$16,0)</f>
        <v>0</v>
      </c>
      <c r="AK101" s="76">
        <f t="shared" si="24"/>
        <v>2.0464016394625815</v>
      </c>
      <c r="AL101" s="76">
        <f t="shared" si="25"/>
        <v>0</v>
      </c>
      <c r="AM101" s="76">
        <f t="shared" si="16"/>
        <v>0</v>
      </c>
      <c r="AN101" s="76">
        <f>MAX(0,O101*Escenarios!$E$13/Escenarios!$E$16-AM101)</f>
        <v>0.16493184333198854</v>
      </c>
      <c r="AO101" s="76">
        <f>AM101+AN101-O101*Escenarios!$E$13/Escenarios!$E$16</f>
        <v>0</v>
      </c>
      <c r="AP101" s="76">
        <f t="shared" si="14"/>
        <v>1.1747904162563645</v>
      </c>
      <c r="AQ101" s="76">
        <f t="shared" si="17"/>
        <v>0</v>
      </c>
      <c r="AR101" s="76">
        <f t="shared" si="18"/>
        <v>1.3397222595883531</v>
      </c>
      <c r="AS101" s="76">
        <f t="shared" si="19"/>
        <v>0</v>
      </c>
      <c r="AT101" s="76">
        <f t="shared" si="20"/>
        <v>0.25854990657541627</v>
      </c>
      <c r="AU101" s="76">
        <f t="shared" si="21"/>
        <v>48.75</v>
      </c>
      <c r="AV101" s="76">
        <f>MAX(0,(AU101-Constantes!$D$13)*(1-EXP(-Constantes!$D$24)))</f>
        <v>0</v>
      </c>
      <c r="AW101" s="170">
        <f>AW100+(Entradas!$E$112*AT101-AX100)/(800*Entradas!$D$25)</f>
        <v>0</v>
      </c>
      <c r="AX101" s="170">
        <f>8000*Entradas!$D$26*AW101/Constantes!$E$45</f>
        <v>0</v>
      </c>
      <c r="AY101" s="170">
        <f>IF(Escenarios!$E$17&gt;0,10*Escenarios!$E$16*AL101,0)</f>
        <v>0</v>
      </c>
      <c r="AZ101" s="170">
        <f>IF(Escenarios!$E$17&gt;0,10*Escenarios!$E$16*AX101,0)</f>
        <v>0</v>
      </c>
      <c r="BA101" s="170">
        <f>IF(Escenarios!$E$17&gt;0,0.001*Observaciones!$F100*Escenarios!$E$17,0)</f>
        <v>0</v>
      </c>
      <c r="BB101" s="170">
        <f>IF(Escenarios!$E$17&gt;0,Observaciones!$K100,0)</f>
        <v>0</v>
      </c>
      <c r="BC101" s="170">
        <f>IF(Escenarios!$E$17&gt;0,MIN(0.0005*ETo!$M100*Escenarios!$E$17*(BG100/Constantes!$E$40)^(2/3),BG100+AY101+AZ101+BA101+BB101),0)</f>
        <v>35.081160060853016</v>
      </c>
      <c r="BD101" s="170">
        <f>IF(Escenarios!$E$17&gt;0,MIN(Constantes!$E$39*(BG100/Constantes!$E$40)^(2/3),BG100+AY101+AZ101+BA101+BB101-BC101),0)</f>
        <v>65.254053415856106</v>
      </c>
      <c r="BE101" s="170">
        <f>IF(Escenarios!$E$17&gt;0,MIN(Entradas!$E$113,BG100+AY101+AZ101+BA101+BB101-BC101-BD101),0)</f>
        <v>1</v>
      </c>
      <c r="BF101" s="170">
        <f>IF(Escenarios!$E$17&gt;0,MAX(0,BG100+AY101+AZ101+BA101+BB101-BC101-BD101-BE101-Constantes!$E$40),0)</f>
        <v>0</v>
      </c>
      <c r="BG101" s="170">
        <f t="shared" si="26"/>
        <v>4809.8351727034587</v>
      </c>
      <c r="BH101" s="170">
        <f>(Escenarios!$E$16*AK101+0.1*BC101)/(Escenarios!$E$19)</f>
        <v>2.0440814518719472</v>
      </c>
      <c r="BI101" s="170">
        <f>IF(Escenarios!$E$17&gt;0,BF101/10/Escenarios!$E$19,AL101)</f>
        <v>0</v>
      </c>
      <c r="BJ101" s="170">
        <f>(Escenarios!$E$16*AT101+0.1*BD101)/(Escenarios!$E$19)</f>
        <v>0.28239238883110984</v>
      </c>
      <c r="BK101" s="76">
        <f>BK100+(0.1*BD101)/(Escenarios!$E$19)-BL100</f>
        <v>50.112551321160446</v>
      </c>
      <c r="BL101" s="76">
        <f>MAX(0,(BK101-Constantes!$D$13)*(1-EXP(-Constantes!$D$23)))</f>
        <v>1.342554270183418E-2</v>
      </c>
      <c r="BM101" s="76">
        <f t="shared" si="22"/>
        <v>1.1882159589581986</v>
      </c>
      <c r="BN101" s="76">
        <f t="shared" si="27"/>
        <v>1.3531478022901873</v>
      </c>
      <c r="BO101" s="76">
        <f>0.0526*BI101*Observaciones!$F100^1.218</f>
        <v>0</v>
      </c>
      <c r="BP101" s="76">
        <f>BO101*Constantes!$E$51</f>
        <v>0</v>
      </c>
      <c r="BQ101" s="76">
        <f t="shared" si="23"/>
        <v>0</v>
      </c>
      <c r="BR101" s="40"/>
    </row>
    <row r="102" spans="1:70">
      <c r="A102" s="147"/>
      <c r="B102" s="39"/>
      <c r="C102" s="75">
        <v>96</v>
      </c>
      <c r="D102" s="146">
        <f>ETo!$I101*((1-Constantes!$E$19)*ETo!$K101+ETo!$L101)</f>
        <v>3.5811770085142123</v>
      </c>
      <c r="E102" s="76">
        <f>MIN(D102*Constantes!$E$17,0.8*(N101+Observaciones!$F101-F102-M102-Constantes!$D$14))</f>
        <v>1.7508815346816951</v>
      </c>
      <c r="F102" s="76">
        <f>IF(Observaciones!$F101&gt;0.05*Constantes!$E$18,((Observaciones!$F101-0.05*Constantes!$E$18)^2)/(Observaciones!$F101+0.95*Constantes!$E$18),0)</f>
        <v>0</v>
      </c>
      <c r="G102" s="76">
        <f>IF(Escenarios!$E$11&gt;0,(F102*Escenarios!$E$16*10000)/1000,0)</f>
        <v>0</v>
      </c>
      <c r="H102" s="76">
        <f>IF(Escenarios!$E$11&gt;0,(Observaciones!$F101*Constantes!$E$29)/1000,0)</f>
        <v>0</v>
      </c>
      <c r="I102" s="76">
        <f>IF(Escenarios!$E$11&gt;0,(D102*Constantes!$E$29)/1000,0)</f>
        <v>35.811770085142122</v>
      </c>
      <c r="J102" s="76">
        <f>IF(Escenarios!$E$11&gt;0,MAX(0,G102+H102-I102),0)</f>
        <v>0</v>
      </c>
      <c r="K102" s="76">
        <f>IF(Escenarios!$E$11&gt;0,IF(J102&gt;Constantes!$E$30,1000*((J102-Constantes!$E$30)/(Escenarios!$E$16*10000)),0),F102)</f>
        <v>0</v>
      </c>
      <c r="L102" s="76">
        <f>IF(Escenarios!$E$11&gt;0,I102*1000/Escenarios!$E$16/10000+E102,E102)</f>
        <v>1.765206242715752</v>
      </c>
      <c r="M102" s="76">
        <f>MAX(0,N101+Observaciones!$F101-K102-Constantes!$D$13)</f>
        <v>0</v>
      </c>
      <c r="N102" s="76">
        <f>N101+Observaciones!$F101-K102-L102-M102-O101</f>
        <v>14.799495416188364</v>
      </c>
      <c r="O102" s="76">
        <f>MAX(0,(N102-Constantes!$D$14)*(1-EXP(-Constantes!$D$22)))</f>
        <v>0.12090884433980871</v>
      </c>
      <c r="P102" s="170">
        <f>P101+(Entradas!$E$83*M102-Q101)/(800*Entradas!$D$25)</f>
        <v>0</v>
      </c>
      <c r="Q102" s="170">
        <f>8000*Entradas!$D$26*P102/Constantes!$E$45</f>
        <v>0</v>
      </c>
      <c r="R102" s="170">
        <f>IF(Escenarios!$E$14&gt;0,K102*Escenarios!$E$13/Escenarios!$E$14,0)</f>
        <v>0</v>
      </c>
      <c r="S102" s="170">
        <f>IF(Escenarios!$E$14&gt;0,Q102*Escenarios!$E$13/Escenarios!$E$14,0)</f>
        <v>0</v>
      </c>
      <c r="T102" s="170">
        <f>IF(Escenarios!$E$14&gt;0,Observaciones!$I101,0)</f>
        <v>0</v>
      </c>
      <c r="U102" s="170">
        <f>IF(Escenarios!$E$14&gt;0,MAX(0,Constantes!$E$36/((Z101+R102+S102+T102+Observaciones!$F101)^2)+Entradas!$E$77),0)</f>
        <v>2.0619032174635232</v>
      </c>
      <c r="V102" s="146">
        <f>IF(ETo!D101&gt;0,ETo!I101*((1-Entradas!$E$81)*ETo!K101+ETo!L101),0)</f>
        <v>3.2575833450462803</v>
      </c>
      <c r="W102" s="170">
        <f>IF(Escenarios!$E$14&gt;0,MIN(V102*1,0.8*(Z101+R102+S102+T102+Observaciones!$F101-U102-Constantes!$E$35)),0)</f>
        <v>3.2575833450462803</v>
      </c>
      <c r="X102" s="170">
        <f>IF(Escenarios!$E$14&gt;0,Observaciones!$J101,0)</f>
        <v>0</v>
      </c>
      <c r="Y102" s="170">
        <f>IF(Escenarios!$E$14&gt;0,MAX(0,Z101+R102+S102+T102+Observaciones!$F101-U102-W102-X102-Constantes!$E$33),0)</f>
        <v>0</v>
      </c>
      <c r="Z102" s="170">
        <f>Z101+R102+S102+T102+Observaciones!$F101-U102-W102-Y102</f>
        <v>99.295202897919765</v>
      </c>
      <c r="AA102" s="170">
        <f>IF(Escenarios!$E$14&gt;0,(Escenarios!$E$13*L102+Escenarios!$E$14*W102)/(Escenarios!$E$16),L102)</f>
        <v>1.9442914949954153</v>
      </c>
      <c r="AB102" s="170">
        <f>IF(Escenarios!$E$14&gt;0,(Escenarios!$E$14*Y102)/(Escenarios!$E$16),K102)</f>
        <v>0</v>
      </c>
      <c r="AC102" s="170">
        <f>IF(Escenarios!$E$14&gt;0,(Escenarios!$E$13*M102+Escenarios!$E$14*U102)/(Escenarios!$E$16),M102)</f>
        <v>0.24742838609562279</v>
      </c>
      <c r="AD102" s="76">
        <f t="shared" si="15"/>
        <v>167.05150411750361</v>
      </c>
      <c r="AE102" s="76">
        <f>MAX(0,(AD102-Constantes!$D$13)*(1-EXP(-Constantes!$D$23)))</f>
        <v>1.1656528972927638</v>
      </c>
      <c r="AF102" s="76">
        <f>AB102+O102*Escenarios!$E$13/Escenarios!$E$16+AE102</f>
        <v>1.2720526803117955</v>
      </c>
      <c r="AG102" s="76">
        <f>IF(Entradas!$E$91&gt;0,IF(AF102-Escenarios!$E$38&lt;=0,0,IF(AF102-Escenarios!$E$38&gt;Escenarios!$E$37,Escenarios!$E$37,AF102-Escenarios!$E$38)),0)</f>
        <v>0</v>
      </c>
      <c r="AH102" s="76">
        <f>AG102*Entradas!$E$99</f>
        <v>0</v>
      </c>
      <c r="AI102" s="76">
        <f>IF(Entradas!$E$91&gt;0,D102*Entradas!$D$23/Escenarios!$E$16,0)</f>
        <v>0</v>
      </c>
      <c r="AJ102" s="76">
        <f>IF(Entradas!$E$91&gt;0,Entradas!$D$24*Entradas!$D$22/Escenarios!$E$16,0)</f>
        <v>0</v>
      </c>
      <c r="AK102" s="76">
        <f t="shared" si="24"/>
        <v>1.9442914949954153</v>
      </c>
      <c r="AL102" s="76">
        <f t="shared" si="25"/>
        <v>0</v>
      </c>
      <c r="AM102" s="76">
        <f t="shared" si="16"/>
        <v>0</v>
      </c>
      <c r="AN102" s="76">
        <f>MAX(0,O102*Escenarios!$E$13/Escenarios!$E$16-AM102)</f>
        <v>0.10639978301903166</v>
      </c>
      <c r="AO102" s="76">
        <f>AM102+AN102-O102*Escenarios!$E$13/Escenarios!$E$16</f>
        <v>0</v>
      </c>
      <c r="AP102" s="76">
        <f t="shared" si="14"/>
        <v>1.1656528972927638</v>
      </c>
      <c r="AQ102" s="76">
        <f t="shared" si="17"/>
        <v>0</v>
      </c>
      <c r="AR102" s="76">
        <f t="shared" si="18"/>
        <v>1.2720526803117955</v>
      </c>
      <c r="AS102" s="76">
        <f t="shared" si="19"/>
        <v>0</v>
      </c>
      <c r="AT102" s="76">
        <f t="shared" si="20"/>
        <v>0.24742838609562279</v>
      </c>
      <c r="AU102" s="76">
        <f t="shared" si="21"/>
        <v>48.75</v>
      </c>
      <c r="AV102" s="76">
        <f>MAX(0,(AU102-Constantes!$D$13)*(1-EXP(-Constantes!$D$24)))</f>
        <v>0</v>
      </c>
      <c r="AW102" s="170">
        <f>AW101+(Entradas!$E$112*AT102-AX101)/(800*Entradas!$D$25)</f>
        <v>0</v>
      </c>
      <c r="AX102" s="170">
        <f>8000*Entradas!$D$26*AW102/Constantes!$E$45</f>
        <v>0</v>
      </c>
      <c r="AY102" s="170">
        <f>IF(Escenarios!$E$17&gt;0,10*Escenarios!$E$16*AL102,0)</f>
        <v>0</v>
      </c>
      <c r="AZ102" s="170">
        <f>IF(Escenarios!$E$17&gt;0,10*Escenarios!$E$16*AX102,0)</f>
        <v>0</v>
      </c>
      <c r="BA102" s="170">
        <f>IF(Escenarios!$E$17&gt;0,0.001*Observaciones!$F101*Escenarios!$E$17,0)</f>
        <v>0</v>
      </c>
      <c r="BB102" s="170">
        <f>IF(Escenarios!$E$17&gt;0,Observaciones!$K101,0)</f>
        <v>0</v>
      </c>
      <c r="BC102" s="170">
        <f>IF(Escenarios!$E$17&gt;0,MIN(0.0005*ETo!$M101*Escenarios!$E$17*(BG101/Constantes!$E$40)^(2/3),BG101+AY102+AZ102+BA102+BB102),0)</f>
        <v>32.903539927308501</v>
      </c>
      <c r="BD102" s="170">
        <f>IF(Escenarios!$E$17&gt;0,MIN(Constantes!$E$39*(BG101/Constantes!$E$40)^(2/3),BG101+AY102+AZ102+BA102+BB102-BC102),0)</f>
        <v>64.353319771843843</v>
      </c>
      <c r="BE102" s="170">
        <f>IF(Escenarios!$E$17&gt;0,MIN(Entradas!$E$113,BG101+AY102+AZ102+BA102+BB102-BC102-BD102),0)</f>
        <v>1</v>
      </c>
      <c r="BF102" s="170">
        <f>IF(Escenarios!$E$17&gt;0,MAX(0,BG101+AY102+AZ102+BA102+BB102-BC102-BD102-BE102-Constantes!$E$40),0)</f>
        <v>0</v>
      </c>
      <c r="BG102" s="170">
        <f t="shared" si="26"/>
        <v>4711.5783130043064</v>
      </c>
      <c r="BH102" s="170">
        <f>(Escenarios!$E$16*AK102+0.1*BC102)/(Escenarios!$E$19)</f>
        <v>1.941917570403114</v>
      </c>
      <c r="BI102" s="170">
        <f>IF(Escenarios!$E$17&gt;0,BF102/10/Escenarios!$E$19,AL102)</f>
        <v>0</v>
      </c>
      <c r="BJ102" s="170">
        <f>(Escenarios!$E$16*AT102+0.1*BD102)/(Escenarios!$E$19)</f>
        <v>0.27100170040115112</v>
      </c>
      <c r="BK102" s="76">
        <f>BK101+(0.1*BD102)/(Escenarios!$E$19)-BL101</f>
        <v>50.12466281011411</v>
      </c>
      <c r="BL102" s="76">
        <f>MAX(0,(BK102-Constantes!$D$13)*(1-EXP(-Constantes!$D$23)))</f>
        <v>1.3544880087226553E-2</v>
      </c>
      <c r="BM102" s="76">
        <f t="shared" si="22"/>
        <v>1.1791977773799904</v>
      </c>
      <c r="BN102" s="76">
        <f t="shared" si="27"/>
        <v>1.2855975603990222</v>
      </c>
      <c r="BO102" s="76">
        <f>0.0526*BI102*Observaciones!$F101^1.218</f>
        <v>0</v>
      </c>
      <c r="BP102" s="76">
        <f>BO102*Constantes!$E$51</f>
        <v>0</v>
      </c>
      <c r="BQ102" s="76">
        <f t="shared" si="23"/>
        <v>0</v>
      </c>
      <c r="BR102" s="40"/>
    </row>
    <row r="103" spans="1:70">
      <c r="A103" s="147"/>
      <c r="B103" s="39"/>
      <c r="C103" s="75">
        <v>97</v>
      </c>
      <c r="D103" s="146">
        <f>ETo!$I102*((1-Constantes!$E$19)*ETo!$K102+ETo!$L102)</f>
        <v>3.6037948372881066</v>
      </c>
      <c r="E103" s="76">
        <f>MIN(D103*Constantes!$E$17,0.8*(N102+Observaciones!$F102-F103-M103-Constantes!$D$14))</f>
        <v>1.7619396696637561</v>
      </c>
      <c r="F103" s="76">
        <f>IF(Observaciones!$F102&gt;0.05*Constantes!$E$18,((Observaciones!$F102-0.05*Constantes!$E$18)^2)/(Observaciones!$F102+0.95*Constantes!$E$18),0)</f>
        <v>0</v>
      </c>
      <c r="G103" s="76">
        <f>IF(Escenarios!$E$11&gt;0,(F103*Escenarios!$E$16*10000)/1000,0)</f>
        <v>0</v>
      </c>
      <c r="H103" s="76">
        <f>IF(Escenarios!$E$11&gt;0,(Observaciones!$F102*Constantes!$E$29)/1000,0)</f>
        <v>2</v>
      </c>
      <c r="I103" s="76">
        <f>IF(Escenarios!$E$11&gt;0,(D103*Constantes!$E$29)/1000,0)</f>
        <v>36.037948372881068</v>
      </c>
      <c r="J103" s="76">
        <f>IF(Escenarios!$E$11&gt;0,MAX(0,G103+H103-I103),0)</f>
        <v>0</v>
      </c>
      <c r="K103" s="76">
        <f>IF(Escenarios!$E$11&gt;0,IF(J103&gt;Constantes!$E$30,1000*((J103-Constantes!$E$30)/(Escenarios!$E$16*10000)),0),F103)</f>
        <v>0</v>
      </c>
      <c r="L103" s="76">
        <f>IF(Escenarios!$E$11&gt;0,I103*1000/Escenarios!$E$16/10000+E103,E103)</f>
        <v>1.7763548490129086</v>
      </c>
      <c r="M103" s="76">
        <f>MAX(0,N102+Observaciones!$F102-K103-Constantes!$D$13)</f>
        <v>0</v>
      </c>
      <c r="N103" s="76">
        <f>N102+Observaciones!$F102-K103-L103-M103-O102</f>
        <v>13.102231722835645</v>
      </c>
      <c r="O103" s="76">
        <f>MAX(0,(N103-Constantes!$D$14)*(1-EXP(-Constantes!$D$22)))</f>
        <v>6.3093812161639978E-2</v>
      </c>
      <c r="P103" s="170">
        <f>P102+(Entradas!$E$83*M103-Q102)/(800*Entradas!$D$25)</f>
        <v>0</v>
      </c>
      <c r="Q103" s="170">
        <f>8000*Entradas!$D$26*P103/Constantes!$E$45</f>
        <v>0</v>
      </c>
      <c r="R103" s="170">
        <f>IF(Escenarios!$E$14&gt;0,K103*Escenarios!$E$13/Escenarios!$E$14,0)</f>
        <v>0</v>
      </c>
      <c r="S103" s="170">
        <f>IF(Escenarios!$E$14&gt;0,Q103*Escenarios!$E$13/Escenarios!$E$14,0)</f>
        <v>0</v>
      </c>
      <c r="T103" s="170">
        <f>IF(Escenarios!$E$14&gt;0,Observaciones!$I102,0)</f>
        <v>0</v>
      </c>
      <c r="U103" s="170">
        <f>IF(Escenarios!$E$14&gt;0,MAX(0,Constantes!$E$36/((Z102+R103+S103+T103+Observaciones!$F102)^2)+Entradas!$E$77),0)</f>
        <v>1.962880731863706</v>
      </c>
      <c r="V103" s="146">
        <f>IF(ETo!D102&gt;0,ETo!I102*((1-Entradas!$E$81)*ETo!K102+ETo!L102),0)</f>
        <v>3.2780739147101241</v>
      </c>
      <c r="W103" s="170">
        <f>IF(Escenarios!$E$14&gt;0,MIN(V103*1,0.8*(Z102+R103+S103+T103+Observaciones!$F102-U103-Constantes!$E$35)),0)</f>
        <v>3.2780739147101241</v>
      </c>
      <c r="X103" s="170">
        <f>IF(Escenarios!$E$14&gt;0,Observaciones!$J102,0)</f>
        <v>0</v>
      </c>
      <c r="Y103" s="170">
        <f>IF(Escenarios!$E$14&gt;0,MAX(0,Z102+R103+S103+T103+Observaciones!$F102-U103-W103-X103-Constantes!$E$33),0)</f>
        <v>0</v>
      </c>
      <c r="Z103" s="170">
        <f>Z102+R103+S103+T103+Observaciones!$F102-U103-W103-Y103</f>
        <v>94.254248251345942</v>
      </c>
      <c r="AA103" s="170">
        <f>IF(Escenarios!$E$14&gt;0,(Escenarios!$E$13*L103+Escenarios!$E$14*W103)/(Escenarios!$E$16),L103)</f>
        <v>1.9565611368965745</v>
      </c>
      <c r="AB103" s="170">
        <f>IF(Escenarios!$E$14&gt;0,(Escenarios!$E$14*Y103)/(Escenarios!$E$16),K103)</f>
        <v>0</v>
      </c>
      <c r="AC103" s="170">
        <f>IF(Escenarios!$E$14&gt;0,(Escenarios!$E$13*M103+Escenarios!$E$14*U103)/(Escenarios!$E$16),M103)</f>
        <v>0.23554568782364474</v>
      </c>
      <c r="AD103" s="76">
        <f t="shared" si="15"/>
        <v>166.12139690803448</v>
      </c>
      <c r="AE103" s="76">
        <f>MAX(0,(AD103-Constantes!$D$13)*(1-EXP(-Constantes!$D$23)))</f>
        <v>1.156488329423587</v>
      </c>
      <c r="AF103" s="76">
        <f>AB103+O103*Escenarios!$E$13/Escenarios!$E$16+AE103</f>
        <v>1.2120108841258301</v>
      </c>
      <c r="AG103" s="76">
        <f>IF(Entradas!$E$91&gt;0,IF(AF103-Escenarios!$E$38&lt;=0,0,IF(AF103-Escenarios!$E$38&gt;Escenarios!$E$37,Escenarios!$E$37,AF103-Escenarios!$E$38)),0)</f>
        <v>0</v>
      </c>
      <c r="AH103" s="76">
        <f>AG103*Entradas!$E$99</f>
        <v>0</v>
      </c>
      <c r="AI103" s="76">
        <f>IF(Entradas!$E$91&gt;0,D103*Entradas!$D$23/Escenarios!$E$16,0)</f>
        <v>0</v>
      </c>
      <c r="AJ103" s="76">
        <f>IF(Entradas!$E$91&gt;0,Entradas!$D$24*Entradas!$D$22/Escenarios!$E$16,0)</f>
        <v>0</v>
      </c>
      <c r="AK103" s="76">
        <f t="shared" si="24"/>
        <v>1.9565611368965745</v>
      </c>
      <c r="AL103" s="76">
        <f t="shared" si="25"/>
        <v>0</v>
      </c>
      <c r="AM103" s="76">
        <f t="shared" si="16"/>
        <v>0</v>
      </c>
      <c r="AN103" s="76">
        <f>MAX(0,O103*Escenarios!$E$13/Escenarios!$E$16-AM103)</f>
        <v>5.5522554702243182E-2</v>
      </c>
      <c r="AO103" s="76">
        <f>AM103+AN103-O103*Escenarios!$E$13/Escenarios!$E$16</f>
        <v>0</v>
      </c>
      <c r="AP103" s="76">
        <f t="shared" si="14"/>
        <v>1.156488329423587</v>
      </c>
      <c r="AQ103" s="76">
        <f t="shared" si="17"/>
        <v>0</v>
      </c>
      <c r="AR103" s="76">
        <f t="shared" si="18"/>
        <v>1.2120108841258301</v>
      </c>
      <c r="AS103" s="76">
        <f t="shared" si="19"/>
        <v>0</v>
      </c>
      <c r="AT103" s="76">
        <f t="shared" si="20"/>
        <v>0.23554568782364474</v>
      </c>
      <c r="AU103" s="76">
        <f t="shared" si="21"/>
        <v>48.75</v>
      </c>
      <c r="AV103" s="76">
        <f>MAX(0,(AU103-Constantes!$D$13)*(1-EXP(-Constantes!$D$24)))</f>
        <v>0</v>
      </c>
      <c r="AW103" s="170">
        <f>AW102+(Entradas!$E$112*AT103-AX102)/(800*Entradas!$D$25)</f>
        <v>0</v>
      </c>
      <c r="AX103" s="170">
        <f>8000*Entradas!$D$26*AW103/Constantes!$E$45</f>
        <v>0</v>
      </c>
      <c r="AY103" s="170">
        <f>IF(Escenarios!$E$17&gt;0,10*Escenarios!$E$16*AL103,0)</f>
        <v>0</v>
      </c>
      <c r="AZ103" s="170">
        <f>IF(Escenarios!$E$17&gt;0,10*Escenarios!$E$16*AX103,0)</f>
        <v>0</v>
      </c>
      <c r="BA103" s="170">
        <f>IF(Escenarios!$E$17&gt;0,0.001*Observaciones!$F102*Escenarios!$E$17,0)</f>
        <v>4</v>
      </c>
      <c r="BB103" s="170">
        <f>IF(Escenarios!$E$17&gt;0,Observaciones!$K102,0)</f>
        <v>0</v>
      </c>
      <c r="BC103" s="170">
        <f>IF(Escenarios!$E$17&gt;0,MIN(0.0005*ETo!$M102*Escenarios!$E$17*(BG102/Constantes!$E$40)^(2/3),BG102+AY103+AZ103+BA103+BB103),0)</f>
        <v>32.659904321944978</v>
      </c>
      <c r="BD103" s="170">
        <f>IF(Escenarios!$E$17&gt;0,MIN(Constantes!$E$39*(BG102/Constantes!$E$40)^(2/3),BG102+AY103+AZ103+BA103+BB103-BC103),0)</f>
        <v>63.473888178956976</v>
      </c>
      <c r="BE103" s="170">
        <f>IF(Escenarios!$E$17&gt;0,MIN(Entradas!$E$113,BG102+AY103+AZ103+BA103+BB103-BC103-BD103),0)</f>
        <v>1</v>
      </c>
      <c r="BF103" s="170">
        <f>IF(Escenarios!$E$17&gt;0,MAX(0,BG102+AY103+AZ103+BA103+BB103-BC103-BD103-BE103-Constantes!$E$40),0)</f>
        <v>0</v>
      </c>
      <c r="BG103" s="170">
        <f t="shared" si="26"/>
        <v>4618.4445205034044</v>
      </c>
      <c r="BH103" s="170">
        <f>(Escenarios!$E$16*AK103+0.1*BC103)/(Escenarios!$E$19)</f>
        <v>1.9539931533981671</v>
      </c>
      <c r="BI103" s="170">
        <f>IF(Escenarios!$E$17&gt;0,BF103/10/Escenarios!$E$19,AL103)</f>
        <v>0</v>
      </c>
      <c r="BJ103" s="170">
        <f>(Escenarios!$E$16*AT103+0.1*BD103)/(Escenarios!$E$19)</f>
        <v>0.25886432846748764</v>
      </c>
      <c r="BK103" s="76">
        <f>BK102+(0.1*BD103)/(Escenarios!$E$19)-BL102</f>
        <v>50.136305980891549</v>
      </c>
      <c r="BL103" s="76">
        <f>MAX(0,(BK103-Constantes!$D$13)*(1-EXP(-Constantes!$D$23)))</f>
        <v>1.3659603022083886E-2</v>
      </c>
      <c r="BM103" s="76">
        <f t="shared" si="22"/>
        <v>1.1701479324456709</v>
      </c>
      <c r="BN103" s="76">
        <f t="shared" si="27"/>
        <v>1.225670487147914</v>
      </c>
      <c r="BO103" s="76">
        <f>0.0526*BI103*Observaciones!$F102^1.218</f>
        <v>0</v>
      </c>
      <c r="BP103" s="76">
        <f>BO103*Constantes!$E$51</f>
        <v>0</v>
      </c>
      <c r="BQ103" s="76">
        <f t="shared" si="23"/>
        <v>0</v>
      </c>
      <c r="BR103" s="40"/>
    </row>
    <row r="104" spans="1:70">
      <c r="A104" s="147"/>
      <c r="B104" s="39"/>
      <c r="C104" s="75">
        <v>98</v>
      </c>
      <c r="D104" s="146">
        <f>ETo!$I103*((1-Constantes!$E$19)*ETo!$K103+ETo!$L103)</f>
        <v>3.6024251202620237</v>
      </c>
      <c r="E104" s="76">
        <f>MIN(D104*Constantes!$E$17,0.8*(N103+Observaciones!$F103-F104-M104-Constantes!$D$14))</f>
        <v>1.4817853782685164</v>
      </c>
      <c r="F104" s="76">
        <f>IF(Observaciones!$F103&gt;0.05*Constantes!$E$18,((Observaciones!$F103-0.05*Constantes!$E$18)^2)/(Observaciones!$F103+0.95*Constantes!$E$18),0)</f>
        <v>0</v>
      </c>
      <c r="G104" s="76">
        <f>IF(Escenarios!$E$11&gt;0,(F104*Escenarios!$E$16*10000)/1000,0)</f>
        <v>0</v>
      </c>
      <c r="H104" s="76">
        <f>IF(Escenarios!$E$11&gt;0,(Observaciones!$F103*Constantes!$E$29)/1000,0)</f>
        <v>0</v>
      </c>
      <c r="I104" s="76">
        <f>IF(Escenarios!$E$11&gt;0,(D104*Constantes!$E$29)/1000,0)</f>
        <v>36.024251202620242</v>
      </c>
      <c r="J104" s="76">
        <f>IF(Escenarios!$E$11&gt;0,MAX(0,G104+H104-I104),0)</f>
        <v>0</v>
      </c>
      <c r="K104" s="76">
        <f>IF(Escenarios!$E$11&gt;0,IF(J104&gt;Constantes!$E$30,1000*((J104-Constantes!$E$30)/(Escenarios!$E$16*10000)),0),F104)</f>
        <v>0</v>
      </c>
      <c r="L104" s="76">
        <f>IF(Escenarios!$E$11&gt;0,I104*1000/Escenarios!$E$16/10000+E104,E104)</f>
        <v>1.4961950787495646</v>
      </c>
      <c r="M104" s="76">
        <f>MAX(0,N103+Observaciones!$F103-K104-Constantes!$D$13)</f>
        <v>0</v>
      </c>
      <c r="N104" s="76">
        <f>N103+Observaciones!$F103-K104-L104-M104-O103</f>
        <v>11.54294283192444</v>
      </c>
      <c r="O104" s="76">
        <f>MAX(0,(N104-Constantes!$D$14)*(1-EXP(-Constantes!$D$22)))</f>
        <v>9.97870827049838E-3</v>
      </c>
      <c r="P104" s="170">
        <f>P103+(Entradas!$E$83*M104-Q103)/(800*Entradas!$D$25)</f>
        <v>0</v>
      </c>
      <c r="Q104" s="170">
        <f>8000*Entradas!$D$26*P104/Constantes!$E$45</f>
        <v>0</v>
      </c>
      <c r="R104" s="170">
        <f>IF(Escenarios!$E$14&gt;0,K104*Escenarios!$E$13/Escenarios!$E$14,0)</f>
        <v>0</v>
      </c>
      <c r="S104" s="170">
        <f>IF(Escenarios!$E$14&gt;0,Q104*Escenarios!$E$13/Escenarios!$E$14,0)</f>
        <v>0</v>
      </c>
      <c r="T104" s="170">
        <f>IF(Escenarios!$E$14&gt;0,Observaciones!$I103,0)</f>
        <v>0</v>
      </c>
      <c r="U104" s="170">
        <f>IF(Escenarios!$E$14&gt;0,MAX(0,Constantes!$E$36/((Z103+R104+S104+T104+Observaciones!$F103)^2)+Entradas!$E$77),0)</f>
        <v>1.8443372395786788</v>
      </c>
      <c r="V104" s="146">
        <f>IF(ETo!D103&gt;0,ETo!I103*((1-Entradas!$E$81)*ETo!K103+ETo!L103),0)</f>
        <v>3.2765284956043299</v>
      </c>
      <c r="W104" s="170">
        <f>IF(Escenarios!$E$14&gt;0,MIN(V104*1,0.8*(Z103+R104+S104+T104+Observaciones!$F103-U104-Constantes!$E$35)),0)</f>
        <v>3.2765284956043299</v>
      </c>
      <c r="X104" s="170">
        <f>IF(Escenarios!$E$14&gt;0,Observaciones!$J103,0)</f>
        <v>0</v>
      </c>
      <c r="Y104" s="170">
        <f>IF(Escenarios!$E$14&gt;0,MAX(0,Z103+R104+S104+T104+Observaciones!$F103-U104-W104-X104-Constantes!$E$33),0)</f>
        <v>0</v>
      </c>
      <c r="Z104" s="170">
        <f>Z103+R104+S104+T104+Observaciones!$F103-U104-W104-Y104</f>
        <v>89.133382516162939</v>
      </c>
      <c r="AA104" s="170">
        <f>IF(Escenarios!$E$14&gt;0,(Escenarios!$E$13*L104+Escenarios!$E$14*W104)/(Escenarios!$E$16),L104)</f>
        <v>1.7098350887721363</v>
      </c>
      <c r="AB104" s="170">
        <f>IF(Escenarios!$E$14&gt;0,(Escenarios!$E$14*Y104)/(Escenarios!$E$16),K104)</f>
        <v>0</v>
      </c>
      <c r="AC104" s="170">
        <f>IF(Escenarios!$E$14&gt;0,(Escenarios!$E$13*M104+Escenarios!$E$14*U104)/(Escenarios!$E$16),M104)</f>
        <v>0.22132046874944147</v>
      </c>
      <c r="AD104" s="76">
        <f t="shared" si="15"/>
        <v>165.18622904736034</v>
      </c>
      <c r="AE104" s="76">
        <f>MAX(0,(AD104-Constantes!$D$13)*(1-EXP(-Constantes!$D$23)))</f>
        <v>1.1472738977527337</v>
      </c>
      <c r="AF104" s="76">
        <f>AB104+O104*Escenarios!$E$13/Escenarios!$E$16+AE104</f>
        <v>1.1560551610307723</v>
      </c>
      <c r="AG104" s="76">
        <f>IF(Entradas!$E$91&gt;0,IF(AF104-Escenarios!$E$38&lt;=0,0,IF(AF104-Escenarios!$E$38&gt;Escenarios!$E$37,Escenarios!$E$37,AF104-Escenarios!$E$38)),0)</f>
        <v>0</v>
      </c>
      <c r="AH104" s="76">
        <f>AG104*Entradas!$E$99</f>
        <v>0</v>
      </c>
      <c r="AI104" s="76">
        <f>IF(Entradas!$E$91&gt;0,D104*Entradas!$D$23/Escenarios!$E$16,0)</f>
        <v>0</v>
      </c>
      <c r="AJ104" s="76">
        <f>IF(Entradas!$E$91&gt;0,Entradas!$D$24*Entradas!$D$22/Escenarios!$E$16,0)</f>
        <v>0</v>
      </c>
      <c r="AK104" s="76">
        <f t="shared" si="24"/>
        <v>1.7098350887721363</v>
      </c>
      <c r="AL104" s="76">
        <f t="shared" si="25"/>
        <v>0</v>
      </c>
      <c r="AM104" s="76">
        <f t="shared" si="16"/>
        <v>0</v>
      </c>
      <c r="AN104" s="76">
        <f>MAX(0,O104*Escenarios!$E$13/Escenarios!$E$16-AM104)</f>
        <v>8.781263278038574E-3</v>
      </c>
      <c r="AO104" s="76">
        <f>AM104+AN104-O104*Escenarios!$E$13/Escenarios!$E$16</f>
        <v>0</v>
      </c>
      <c r="AP104" s="76">
        <f t="shared" si="14"/>
        <v>1.1472738977527337</v>
      </c>
      <c r="AQ104" s="76">
        <f t="shared" si="17"/>
        <v>0</v>
      </c>
      <c r="AR104" s="76">
        <f t="shared" si="18"/>
        <v>1.1560551610307723</v>
      </c>
      <c r="AS104" s="76">
        <f t="shared" si="19"/>
        <v>0</v>
      </c>
      <c r="AT104" s="76">
        <f t="shared" si="20"/>
        <v>0.22132046874944147</v>
      </c>
      <c r="AU104" s="76">
        <f t="shared" si="21"/>
        <v>48.75</v>
      </c>
      <c r="AV104" s="76">
        <f>MAX(0,(AU104-Constantes!$D$13)*(1-EXP(-Constantes!$D$24)))</f>
        <v>0</v>
      </c>
      <c r="AW104" s="170">
        <f>AW103+(Entradas!$E$112*AT104-AX103)/(800*Entradas!$D$25)</f>
        <v>0</v>
      </c>
      <c r="AX104" s="170">
        <f>8000*Entradas!$D$26*AW104/Constantes!$E$45</f>
        <v>0</v>
      </c>
      <c r="AY104" s="170">
        <f>IF(Escenarios!$E$17&gt;0,10*Escenarios!$E$16*AL104,0)</f>
        <v>0</v>
      </c>
      <c r="AZ104" s="170">
        <f>IF(Escenarios!$E$17&gt;0,10*Escenarios!$E$16*AX104,0)</f>
        <v>0</v>
      </c>
      <c r="BA104" s="170">
        <f>IF(Escenarios!$E$17&gt;0,0.001*Observaciones!$F103*Escenarios!$E$17,0)</f>
        <v>0</v>
      </c>
      <c r="BB104" s="170">
        <f>IF(Escenarios!$E$17&gt;0,Observaciones!$K103,0)</f>
        <v>0</v>
      </c>
      <c r="BC104" s="170">
        <f>IF(Escenarios!$E$17&gt;0,MIN(0.0005*ETo!$M103*Escenarios!$E$17*(BG103/Constantes!$E$40)^(2/3),BG103+AY104+AZ104+BA104+BB104),0)</f>
        <v>32.219522087274242</v>
      </c>
      <c r="BD104" s="170">
        <f>IF(Escenarios!$E$17&gt;0,MIN(Constantes!$E$39*(BG103/Constantes!$E$40)^(2/3),BG103+AY104+AZ104+BA104+BB104-BC104),0)</f>
        <v>62.634648857060398</v>
      </c>
      <c r="BE104" s="170">
        <f>IF(Escenarios!$E$17&gt;0,MIN(Entradas!$E$113,BG103+AY104+AZ104+BA104+BB104-BC104-BD104),0)</f>
        <v>1</v>
      </c>
      <c r="BF104" s="170">
        <f>IF(Escenarios!$E$17&gt;0,MAX(0,BG103+AY104+AZ104+BA104+BB104-BC104-BD104-BE104-Constantes!$E$40),0)</f>
        <v>0</v>
      </c>
      <c r="BG104" s="170">
        <f t="shared" si="26"/>
        <v>4522.5903495590692</v>
      </c>
      <c r="BH104" s="170">
        <f>(Escenarios!$E$16*AK104+0.1*BC104)/(Escenarios!$E$19)</f>
        <v>1.7090504936577837</v>
      </c>
      <c r="BI104" s="170">
        <f>IF(Escenarios!$E$17&gt;0,BF104/10/Escenarios!$E$19,AL104)</f>
        <v>0</v>
      </c>
      <c r="BJ104" s="170">
        <f>(Escenarios!$E$16*AT104+0.1*BD104)/(Escenarios!$E$19)</f>
        <v>0.24441897648042224</v>
      </c>
      <c r="BK104" s="76">
        <f>BK103+(0.1*BD104)/(Escenarios!$E$19)-BL103</f>
        <v>50.147501397257187</v>
      </c>
      <c r="BL104" s="76">
        <f>MAX(0,(BK104-Constantes!$D$13)*(1-EXP(-Constantes!$D$23)))</f>
        <v>1.3769914126074943E-2</v>
      </c>
      <c r="BM104" s="76">
        <f t="shared" si="22"/>
        <v>1.1610438118788087</v>
      </c>
      <c r="BN104" s="76">
        <f t="shared" si="27"/>
        <v>1.1698250751568473</v>
      </c>
      <c r="BO104" s="76">
        <f>0.0526*BI104*Observaciones!$F103^1.218</f>
        <v>0</v>
      </c>
      <c r="BP104" s="76">
        <f>BO104*Constantes!$E$51</f>
        <v>0</v>
      </c>
      <c r="BQ104" s="76">
        <f t="shared" si="23"/>
        <v>0</v>
      </c>
      <c r="BR104" s="40"/>
    </row>
    <row r="105" spans="1:70">
      <c r="A105" s="147"/>
      <c r="B105" s="39"/>
      <c r="C105" s="75">
        <v>99</v>
      </c>
      <c r="D105" s="146">
        <f>ETo!$I104*((1-Constantes!$E$19)*ETo!$K104+ETo!$L104)</f>
        <v>3.5188130943505378</v>
      </c>
      <c r="E105" s="76">
        <f>MIN(D105*Constantes!$E$17,0.8*(N104+Observaciones!$F104-F105-M105-Constantes!$D$14))</f>
        <v>0.23435426553955241</v>
      </c>
      <c r="F105" s="76">
        <f>IF(Observaciones!$F104&gt;0.05*Constantes!$E$18,((Observaciones!$F104-0.05*Constantes!$E$18)^2)/(Observaciones!$F104+0.95*Constantes!$E$18),0)</f>
        <v>0</v>
      </c>
      <c r="G105" s="76">
        <f>IF(Escenarios!$E$11&gt;0,(F105*Escenarios!$E$16*10000)/1000,0)</f>
        <v>0</v>
      </c>
      <c r="H105" s="76">
        <f>IF(Escenarios!$E$11&gt;0,(Observaciones!$F104*Constantes!$E$29)/1000,0)</f>
        <v>0</v>
      </c>
      <c r="I105" s="76">
        <f>IF(Escenarios!$E$11&gt;0,(D105*Constantes!$E$29)/1000,0)</f>
        <v>35.188130943505378</v>
      </c>
      <c r="J105" s="76">
        <f>IF(Escenarios!$E$11&gt;0,MAX(0,G105+H105-I105),0)</f>
        <v>0</v>
      </c>
      <c r="K105" s="76">
        <f>IF(Escenarios!$E$11&gt;0,IF(J105&gt;Constantes!$E$30,1000*((J105-Constantes!$E$30)/(Escenarios!$E$16*10000)),0),F105)</f>
        <v>0</v>
      </c>
      <c r="L105" s="76">
        <f>IF(Escenarios!$E$11&gt;0,I105*1000/Escenarios!$E$16/10000+E105,E105)</f>
        <v>0.24842951791695456</v>
      </c>
      <c r="M105" s="76">
        <f>MAX(0,N104+Observaciones!$F104-K105-Constantes!$D$13)</f>
        <v>0</v>
      </c>
      <c r="N105" s="76">
        <f>N104+Observaciones!$F104-K105-L105-M105-O104</f>
        <v>11.284534605736987</v>
      </c>
      <c r="O105" s="76">
        <f>MAX(0,(N105-Constantes!$D$14)*(1-EXP(-Constantes!$D$22)))</f>
        <v>1.1763754505348528E-3</v>
      </c>
      <c r="P105" s="170">
        <f>P104+(Entradas!$E$83*M105-Q104)/(800*Entradas!$D$25)</f>
        <v>0</v>
      </c>
      <c r="Q105" s="170">
        <f>8000*Entradas!$D$26*P105/Constantes!$E$45</f>
        <v>0</v>
      </c>
      <c r="R105" s="170">
        <f>IF(Escenarios!$E$14&gt;0,K105*Escenarios!$E$13/Escenarios!$E$14,0)</f>
        <v>0</v>
      </c>
      <c r="S105" s="170">
        <f>IF(Escenarios!$E$14&gt;0,Q105*Escenarios!$E$13/Escenarios!$E$14,0)</f>
        <v>0</v>
      </c>
      <c r="T105" s="170">
        <f>IF(Escenarios!$E$14&gt;0,Observaciones!$I104,0)</f>
        <v>0</v>
      </c>
      <c r="U105" s="170">
        <f>IF(Escenarios!$E$14&gt;0,MAX(0,Constantes!$E$36/((Z104+R105+S105+T105+Observaciones!$F104)^2)+Entradas!$E$77),0)</f>
        <v>1.707733127664256</v>
      </c>
      <c r="V105" s="146">
        <f>IF(ETo!D104&gt;0,ETo!I104*((1-Entradas!$E$81)*ETo!K104+ETo!L104),0)</f>
        <v>3.1994045600438934</v>
      </c>
      <c r="W105" s="170">
        <f>IF(Escenarios!$E$14&gt;0,MIN(V105*1,0.8*(Z104+R105+S105+T105+Observaciones!$F104-U105-Constantes!$E$35)),0)</f>
        <v>3.1994045600438934</v>
      </c>
      <c r="X105" s="170">
        <f>IF(Escenarios!$E$14&gt;0,Observaciones!$J104,0)</f>
        <v>0</v>
      </c>
      <c r="Y105" s="170">
        <f>IF(Escenarios!$E$14&gt;0,MAX(0,Z104+R105+S105+T105+Observaciones!$F104-U105-W105-X105-Constantes!$E$33),0)</f>
        <v>0</v>
      </c>
      <c r="Z105" s="170">
        <f>Z104+R105+S105+T105+Observaciones!$F104-U105-W105-Y105</f>
        <v>84.226244828454796</v>
      </c>
      <c r="AA105" s="170">
        <f>IF(Escenarios!$E$14&gt;0,(Escenarios!$E$13*L105+Escenarios!$E$14*W105)/(Escenarios!$E$16),L105)</f>
        <v>0.60254652297218714</v>
      </c>
      <c r="AB105" s="170">
        <f>IF(Escenarios!$E$14&gt;0,(Escenarios!$E$14*Y105)/(Escenarios!$E$16),K105)</f>
        <v>0</v>
      </c>
      <c r="AC105" s="170">
        <f>IF(Escenarios!$E$14&gt;0,(Escenarios!$E$13*M105+Escenarios!$E$14*U105)/(Escenarios!$E$16),M105)</f>
        <v>0.20492797531971071</v>
      </c>
      <c r="AD105" s="76">
        <f t="shared" si="15"/>
        <v>164.24388312492732</v>
      </c>
      <c r="AE105" s="76">
        <f>MAX(0,(AD105-Constantes!$D$13)*(1-EXP(-Constantes!$D$23)))</f>
        <v>1.1379887389296892</v>
      </c>
      <c r="AF105" s="76">
        <f>AB105+O105*Escenarios!$E$13/Escenarios!$E$16+AE105</f>
        <v>1.1390239493261598</v>
      </c>
      <c r="AG105" s="76">
        <f>IF(Entradas!$E$91&gt;0,IF(AF105-Escenarios!$E$38&lt;=0,0,IF(AF105-Escenarios!$E$38&gt;Escenarios!$E$37,Escenarios!$E$37,AF105-Escenarios!$E$38)),0)</f>
        <v>0</v>
      </c>
      <c r="AH105" s="76">
        <f>AG105*Entradas!$E$99</f>
        <v>0</v>
      </c>
      <c r="AI105" s="76">
        <f>IF(Entradas!$E$91&gt;0,D105*Entradas!$D$23/Escenarios!$E$16,0)</f>
        <v>0</v>
      </c>
      <c r="AJ105" s="76">
        <f>IF(Entradas!$E$91&gt;0,Entradas!$D$24*Entradas!$D$22/Escenarios!$E$16,0)</f>
        <v>0</v>
      </c>
      <c r="AK105" s="76">
        <f t="shared" si="24"/>
        <v>0.60254652297218714</v>
      </c>
      <c r="AL105" s="76">
        <f t="shared" si="25"/>
        <v>0</v>
      </c>
      <c r="AM105" s="76">
        <f t="shared" si="16"/>
        <v>0</v>
      </c>
      <c r="AN105" s="76">
        <f>MAX(0,O105*Escenarios!$E$13/Escenarios!$E$16-AM105)</f>
        <v>1.0352103964706705E-3</v>
      </c>
      <c r="AO105" s="76">
        <f>AM105+AN105-O105*Escenarios!$E$13/Escenarios!$E$16</f>
        <v>0</v>
      </c>
      <c r="AP105" s="76">
        <f t="shared" si="14"/>
        <v>1.1379887389296892</v>
      </c>
      <c r="AQ105" s="76">
        <f t="shared" si="17"/>
        <v>0</v>
      </c>
      <c r="AR105" s="76">
        <f t="shared" si="18"/>
        <v>1.1390239493261598</v>
      </c>
      <c r="AS105" s="76">
        <f t="shared" si="19"/>
        <v>0</v>
      </c>
      <c r="AT105" s="76">
        <f t="shared" si="20"/>
        <v>0.20492797531971071</v>
      </c>
      <c r="AU105" s="76">
        <f t="shared" si="21"/>
        <v>48.75</v>
      </c>
      <c r="AV105" s="76">
        <f>MAX(0,(AU105-Constantes!$D$13)*(1-EXP(-Constantes!$D$24)))</f>
        <v>0</v>
      </c>
      <c r="AW105" s="170">
        <f>AW104+(Entradas!$E$112*AT105-AX104)/(800*Entradas!$D$25)</f>
        <v>0</v>
      </c>
      <c r="AX105" s="170">
        <f>8000*Entradas!$D$26*AW105/Constantes!$E$45</f>
        <v>0</v>
      </c>
      <c r="AY105" s="170">
        <f>IF(Escenarios!$E$17&gt;0,10*Escenarios!$E$16*AL105,0)</f>
        <v>0</v>
      </c>
      <c r="AZ105" s="170">
        <f>IF(Escenarios!$E$17&gt;0,10*Escenarios!$E$16*AX105,0)</f>
        <v>0</v>
      </c>
      <c r="BA105" s="170">
        <f>IF(Escenarios!$E$17&gt;0,0.001*Observaciones!$F104*Escenarios!$E$17,0)</f>
        <v>0</v>
      </c>
      <c r="BB105" s="170">
        <f>IF(Escenarios!$E$17&gt;0,Observaciones!$K104,0)</f>
        <v>0</v>
      </c>
      <c r="BC105" s="170">
        <f>IF(Escenarios!$E$17&gt;0,MIN(0.0005*ETo!$M104*Escenarios!$E$17*(BG104/Constantes!$E$40)^(2/3),BG104+AY105+AZ105+BA105+BB105),0)</f>
        <v>31.047804158173879</v>
      </c>
      <c r="BD105" s="170">
        <f>IF(Escenarios!$E$17&gt;0,MIN(Constantes!$E$39*(BG104/Constantes!$E$40)^(2/3),BG104+AY105+AZ105+BA105+BB105-BC105),0)</f>
        <v>61.764983180172891</v>
      </c>
      <c r="BE105" s="170">
        <f>IF(Escenarios!$E$17&gt;0,MIN(Entradas!$E$113,BG104+AY105+AZ105+BA105+BB105-BC105-BD105),0)</f>
        <v>1</v>
      </c>
      <c r="BF105" s="170">
        <f>IF(Escenarios!$E$17&gt;0,MAX(0,BG104+AY105+AZ105+BA105+BB105-BC105-BD105-BE105-Constantes!$E$40),0)</f>
        <v>0</v>
      </c>
      <c r="BG105" s="170">
        <f t="shared" si="26"/>
        <v>4428.7775622207228</v>
      </c>
      <c r="BH105" s="170">
        <f>(Escenarios!$E$16*AK105+0.1*BC105)/(Escenarios!$E$19)</f>
        <v>0.61008496491612774</v>
      </c>
      <c r="BI105" s="170">
        <f>IF(Escenarios!$E$17&gt;0,BF105/10/Escenarios!$E$19,AL105)</f>
        <v>0</v>
      </c>
      <c r="BJ105" s="170">
        <f>(Escenarios!$E$16*AT105+0.1*BD105)/(Escenarios!$E$19)</f>
        <v>0.22781147677755939</v>
      </c>
      <c r="BK105" s="76">
        <f>BK104+(0.1*BD105)/(Escenarios!$E$19)-BL104</f>
        <v>50.158241397091501</v>
      </c>
      <c r="BL105" s="76">
        <f>MAX(0,(BK105-Constantes!$D$13)*(1-EXP(-Constantes!$D$23)))</f>
        <v>1.3875737902511103E-2</v>
      </c>
      <c r="BM105" s="76">
        <f t="shared" si="22"/>
        <v>1.1518644768322004</v>
      </c>
      <c r="BN105" s="76">
        <f t="shared" si="27"/>
        <v>1.152899687228671</v>
      </c>
      <c r="BO105" s="76">
        <f>0.0526*BI105*Observaciones!$F104^1.218</f>
        <v>0</v>
      </c>
      <c r="BP105" s="76">
        <f>BO105*Constantes!$E$51</f>
        <v>0</v>
      </c>
      <c r="BQ105" s="76">
        <f t="shared" si="23"/>
        <v>0</v>
      </c>
      <c r="BR105" s="40"/>
    </row>
    <row r="106" spans="1:70">
      <c r="A106" s="147"/>
      <c r="B106" s="39"/>
      <c r="C106" s="75">
        <v>100</v>
      </c>
      <c r="D106" s="146">
        <f>ETo!$I105*((1-Constantes!$E$19)*ETo!$K105+ETo!$L105)</f>
        <v>3.6222594009706519</v>
      </c>
      <c r="E106" s="76">
        <f>MIN(D106*Constantes!$E$17,0.8*(N105+Observaciones!$F105-F106-M106-Constantes!$D$14))</f>
        <v>2.7627684589589308E-2</v>
      </c>
      <c r="F106" s="76">
        <f>IF(Observaciones!$F105&gt;0.05*Constantes!$E$18,((Observaciones!$F105-0.05*Constantes!$E$18)^2)/(Observaciones!$F105+0.95*Constantes!$E$18),0)</f>
        <v>0</v>
      </c>
      <c r="G106" s="76">
        <f>IF(Escenarios!$E$11&gt;0,(F106*Escenarios!$E$16*10000)/1000,0)</f>
        <v>0</v>
      </c>
      <c r="H106" s="76">
        <f>IF(Escenarios!$E$11&gt;0,(Observaciones!$F105*Constantes!$E$29)/1000,0)</f>
        <v>0</v>
      </c>
      <c r="I106" s="76">
        <f>IF(Escenarios!$E$11&gt;0,(D106*Constantes!$E$29)/1000,0)</f>
        <v>36.222594009706519</v>
      </c>
      <c r="J106" s="76">
        <f>IF(Escenarios!$E$11&gt;0,MAX(0,G106+H106-I106),0)</f>
        <v>0</v>
      </c>
      <c r="K106" s="76">
        <f>IF(Escenarios!$E$11&gt;0,IF(J106&gt;Constantes!$E$30,1000*((J106-Constantes!$E$30)/(Escenarios!$E$16*10000)),0),F106)</f>
        <v>0</v>
      </c>
      <c r="L106" s="76">
        <f>IF(Escenarios!$E$11&gt;0,I106*1000/Escenarios!$E$16/10000+E106,E106)</f>
        <v>4.2116722193471914E-2</v>
      </c>
      <c r="M106" s="76">
        <f>MAX(0,N105+Observaciones!$F105-K106-Constantes!$D$13)</f>
        <v>0</v>
      </c>
      <c r="N106" s="76">
        <f>N105+Observaciones!$F105-K106-L106-M106-O105</f>
        <v>11.24124150809298</v>
      </c>
      <c r="O106" s="76">
        <f>MAX(0,(N106-Constantes!$D$14)*(1-EXP(-Constantes!$D$22)))</f>
        <v>0</v>
      </c>
      <c r="P106" s="170">
        <f>P105+(Entradas!$E$83*M106-Q105)/(800*Entradas!$D$25)</f>
        <v>0</v>
      </c>
      <c r="Q106" s="170">
        <f>8000*Entradas!$D$26*P106/Constantes!$E$45</f>
        <v>0</v>
      </c>
      <c r="R106" s="170">
        <f>IF(Escenarios!$E$14&gt;0,K106*Escenarios!$E$13/Escenarios!$E$14,0)</f>
        <v>0</v>
      </c>
      <c r="S106" s="170">
        <f>IF(Escenarios!$E$14&gt;0,Q106*Escenarios!$E$13/Escenarios!$E$14,0)</f>
        <v>0</v>
      </c>
      <c r="T106" s="170">
        <f>IF(Escenarios!$E$14&gt;0,Observaciones!$I105,0)</f>
        <v>0</v>
      </c>
      <c r="U106" s="170">
        <f>IF(Escenarios!$E$14&gt;0,MAX(0,Constantes!$E$36/((Z105+R106+S106+T106+Observaciones!$F105)^2)+Entradas!$E$77),0)</f>
        <v>1.5527681553410977</v>
      </c>
      <c r="V106" s="146">
        <f>IF(ETo!D105&gt;0,ETo!I105*((1-Entradas!$E$81)*ETo!K105+ETo!L105),0)</f>
        <v>3.2942344081918513</v>
      </c>
      <c r="W106" s="170">
        <f>IF(Escenarios!$E$14&gt;0,MIN(V106*1,0.8*(Z105+R106+S106+T106+Observaciones!$F105-U106-Constantes!$E$35)),0)</f>
        <v>3.2942344081918513</v>
      </c>
      <c r="X106" s="170">
        <f>IF(Escenarios!$E$14&gt;0,Observaciones!$J105,0)</f>
        <v>0</v>
      </c>
      <c r="Y106" s="170">
        <f>IF(Escenarios!$E$14&gt;0,MAX(0,Z105+R106+S106+T106+Observaciones!$F105-U106-W106-X106-Constantes!$E$33),0)</f>
        <v>0</v>
      </c>
      <c r="Z106" s="170">
        <f>Z105+R106+S106+T106+Observaciones!$F105-U106-W106-Y106</f>
        <v>79.379242264921842</v>
      </c>
      <c r="AA106" s="170">
        <f>IF(Escenarios!$E$14&gt;0,(Escenarios!$E$13*L106+Escenarios!$E$14*W106)/(Escenarios!$E$16),L106)</f>
        <v>0.4323708445132774</v>
      </c>
      <c r="AB106" s="170">
        <f>IF(Escenarios!$E$14&gt;0,(Escenarios!$E$14*Y106)/(Escenarios!$E$16),K106)</f>
        <v>0</v>
      </c>
      <c r="AC106" s="170">
        <f>IF(Escenarios!$E$14&gt;0,(Escenarios!$E$13*M106+Escenarios!$E$14*U106)/(Escenarios!$E$16),M106)</f>
        <v>0.18633217864093171</v>
      </c>
      <c r="AD106" s="76">
        <f t="shared" si="15"/>
        <v>163.29222656463855</v>
      </c>
      <c r="AE106" s="76">
        <f>MAX(0,(AD106-Constantes!$D$13)*(1-EXP(-Constantes!$D$23)))</f>
        <v>1.1286118401742309</v>
      </c>
      <c r="AF106" s="76">
        <f>AB106+O106*Escenarios!$E$13/Escenarios!$E$16+AE106</f>
        <v>1.1286118401742309</v>
      </c>
      <c r="AG106" s="76">
        <f>IF(Entradas!$E$91&gt;0,IF(AF106-Escenarios!$E$38&lt;=0,0,IF(AF106-Escenarios!$E$38&gt;Escenarios!$E$37,Escenarios!$E$37,AF106-Escenarios!$E$38)),0)</f>
        <v>0</v>
      </c>
      <c r="AH106" s="76">
        <f>AG106*Entradas!$E$99</f>
        <v>0</v>
      </c>
      <c r="AI106" s="76">
        <f>IF(Entradas!$E$91&gt;0,D106*Entradas!$D$23/Escenarios!$E$16,0)</f>
        <v>0</v>
      </c>
      <c r="AJ106" s="76">
        <f>IF(Entradas!$E$91&gt;0,Entradas!$D$24*Entradas!$D$22/Escenarios!$E$16,0)</f>
        <v>0</v>
      </c>
      <c r="AK106" s="76">
        <f t="shared" si="24"/>
        <v>0.4323708445132774</v>
      </c>
      <c r="AL106" s="76">
        <f t="shared" si="25"/>
        <v>0</v>
      </c>
      <c r="AM106" s="76">
        <f t="shared" si="16"/>
        <v>0</v>
      </c>
      <c r="AN106" s="76">
        <f>MAX(0,O106*Escenarios!$E$13/Escenarios!$E$16-AM106)</f>
        <v>0</v>
      </c>
      <c r="AO106" s="76">
        <f>AM106+AN106-O106*Escenarios!$E$13/Escenarios!$E$16</f>
        <v>0</v>
      </c>
      <c r="AP106" s="76">
        <f t="shared" si="14"/>
        <v>1.1286118401742309</v>
      </c>
      <c r="AQ106" s="76">
        <f t="shared" si="17"/>
        <v>0</v>
      </c>
      <c r="AR106" s="76">
        <f t="shared" si="18"/>
        <v>1.1286118401742309</v>
      </c>
      <c r="AS106" s="76">
        <f t="shared" si="19"/>
        <v>0</v>
      </c>
      <c r="AT106" s="76">
        <f t="shared" si="20"/>
        <v>0.18633217864093171</v>
      </c>
      <c r="AU106" s="76">
        <f t="shared" si="21"/>
        <v>48.75</v>
      </c>
      <c r="AV106" s="76">
        <f>MAX(0,(AU106-Constantes!$D$13)*(1-EXP(-Constantes!$D$24)))</f>
        <v>0</v>
      </c>
      <c r="AW106" s="170">
        <f>AW105+(Entradas!$E$112*AT106-AX105)/(800*Entradas!$D$25)</f>
        <v>0</v>
      </c>
      <c r="AX106" s="170">
        <f>8000*Entradas!$D$26*AW106/Constantes!$E$45</f>
        <v>0</v>
      </c>
      <c r="AY106" s="170">
        <f>IF(Escenarios!$E$17&gt;0,10*Escenarios!$E$16*AL106,0)</f>
        <v>0</v>
      </c>
      <c r="AZ106" s="170">
        <f>IF(Escenarios!$E$17&gt;0,10*Escenarios!$E$16*AX106,0)</f>
        <v>0</v>
      </c>
      <c r="BA106" s="170">
        <f>IF(Escenarios!$E$17&gt;0,0.001*Observaciones!$F105*Escenarios!$E$17,0)</f>
        <v>0</v>
      </c>
      <c r="BB106" s="170">
        <f>IF(Escenarios!$E$17&gt;0,Observaciones!$K105,0)</f>
        <v>0</v>
      </c>
      <c r="BC106" s="170">
        <f>IF(Escenarios!$E$17&gt;0,MIN(0.0005*ETo!$M105*Escenarios!$E$17*(BG105/Constantes!$E$40)^(2/3),BG105+AY106+AZ106+BA106+BB106),0)</f>
        <v>31.507765314090324</v>
      </c>
      <c r="BD106" s="170">
        <f>IF(Escenarios!$E$17&gt;0,MIN(Constantes!$E$39*(BG105/Constantes!$E$40)^(2/3),BG105+AY106+AZ106+BA106+BB106-BC106),0)</f>
        <v>60.907869019992361</v>
      </c>
      <c r="BE106" s="170">
        <f>IF(Escenarios!$E$17&gt;0,MIN(Entradas!$E$113,BG105+AY106+AZ106+BA106+BB106-BC106-BD106),0)</f>
        <v>1</v>
      </c>
      <c r="BF106" s="170">
        <f>IF(Escenarios!$E$17&gt;0,MAX(0,BG105+AY106+AZ106+BA106+BB106-BC106-BD106-BE106-Constantes!$E$40),0)</f>
        <v>0</v>
      </c>
      <c r="BG106" s="170">
        <f t="shared" si="26"/>
        <v>4335.3619278866399</v>
      </c>
      <c r="BH106" s="170">
        <f>(Escenarios!$E$16*AK106+0.1*BC106)/(Escenarios!$E$19)</f>
        <v>0.44144241134812851</v>
      </c>
      <c r="BI106" s="170">
        <f>IF(Escenarios!$E$17&gt;0,BF106/10/Escenarios!$E$19,AL106)</f>
        <v>0</v>
      </c>
      <c r="BJ106" s="170">
        <f>(Escenarios!$E$16*AT106+0.1*BD106)/(Escenarios!$E$19)</f>
        <v>0.20902314111996892</v>
      </c>
      <c r="BK106" s="76">
        <f>BK105+(0.1*BD106)/(Escenarios!$E$19)-BL105</f>
        <v>50.168535448482636</v>
      </c>
      <c r="BL106" s="76">
        <f>MAX(0,(BK106-Constantes!$D$13)*(1-EXP(-Constantes!$D$23)))</f>
        <v>1.3977167642719973E-2</v>
      </c>
      <c r="BM106" s="76">
        <f t="shared" si="22"/>
        <v>1.1425890078169509</v>
      </c>
      <c r="BN106" s="76">
        <f t="shared" si="27"/>
        <v>1.1425890078169509</v>
      </c>
      <c r="BO106" s="76">
        <f>0.0526*BI106*Observaciones!$F105^1.218</f>
        <v>0</v>
      </c>
      <c r="BP106" s="76">
        <f>BO106*Constantes!$E$51</f>
        <v>0</v>
      </c>
      <c r="BQ106" s="76">
        <f t="shared" si="23"/>
        <v>0</v>
      </c>
      <c r="BR106" s="40"/>
    </row>
    <row r="107" spans="1:70">
      <c r="A107" s="147"/>
      <c r="B107" s="39"/>
      <c r="C107" s="75">
        <v>101</v>
      </c>
      <c r="D107" s="146">
        <f>ETo!$I106*((1-Constantes!$E$19)*ETo!$K106+ETo!$L106)</f>
        <v>3.6433345424265657</v>
      </c>
      <c r="E107" s="76">
        <f>MIN(D107*Constantes!$E$17,0.8*(N106+Observaciones!$F106-F107-M107-Constantes!$D$14))</f>
        <v>-7.006793525616218E-3</v>
      </c>
      <c r="F107" s="76">
        <f>IF(Observaciones!$F106&gt;0.05*Constantes!$E$18,((Observaciones!$F106-0.05*Constantes!$E$18)^2)/(Observaciones!$F106+0.95*Constantes!$E$18),0)</f>
        <v>0</v>
      </c>
      <c r="G107" s="76">
        <f>IF(Escenarios!$E$11&gt;0,(F107*Escenarios!$E$16*10000)/1000,0)</f>
        <v>0</v>
      </c>
      <c r="H107" s="76">
        <f>IF(Escenarios!$E$11&gt;0,(Observaciones!$F106*Constantes!$E$29)/1000,0)</f>
        <v>0</v>
      </c>
      <c r="I107" s="76">
        <f>IF(Escenarios!$E$11&gt;0,(D107*Constantes!$E$29)/1000,0)</f>
        <v>36.43334542426566</v>
      </c>
      <c r="J107" s="76">
        <f>IF(Escenarios!$E$11&gt;0,MAX(0,G107+H107-I107),0)</f>
        <v>0</v>
      </c>
      <c r="K107" s="76">
        <f>IF(Escenarios!$E$11&gt;0,IF(J107&gt;Constantes!$E$30,1000*((J107-Constantes!$E$30)/(Escenarios!$E$16*10000)),0),F107)</f>
        <v>0</v>
      </c>
      <c r="L107" s="76">
        <f>IF(Escenarios!$E$11&gt;0,I107*1000/Escenarios!$E$16/10000+E107,E107)</f>
        <v>7.5665446440900466E-3</v>
      </c>
      <c r="M107" s="76">
        <f>MAX(0,N106+Observaciones!$F106-K107-Constantes!$D$13)</f>
        <v>0</v>
      </c>
      <c r="N107" s="76">
        <f>N106+Observaciones!$F106-K107-L107-M107-O106</f>
        <v>11.233674963448889</v>
      </c>
      <c r="O107" s="76">
        <f>MAX(0,(N107-Constantes!$D$14)*(1-EXP(-Constantes!$D$22)))</f>
        <v>0</v>
      </c>
      <c r="P107" s="170">
        <f>P106+(Entradas!$E$83*M107-Q106)/(800*Entradas!$D$25)</f>
        <v>0</v>
      </c>
      <c r="Q107" s="170">
        <f>8000*Entradas!$D$26*P107/Constantes!$E$45</f>
        <v>0</v>
      </c>
      <c r="R107" s="170">
        <f>IF(Escenarios!$E$14&gt;0,K107*Escenarios!$E$13/Escenarios!$E$14,0)</f>
        <v>0</v>
      </c>
      <c r="S107" s="170">
        <f>IF(Escenarios!$E$14&gt;0,Q107*Escenarios!$E$13/Escenarios!$E$14,0)</f>
        <v>0</v>
      </c>
      <c r="T107" s="170">
        <f>IF(Escenarios!$E$14&gt;0,Observaciones!$I106,0)</f>
        <v>0</v>
      </c>
      <c r="U107" s="170">
        <f>IF(Escenarios!$E$14&gt;0,MAX(0,Constantes!$E$36/((Z106+R107+S107+T107+Observaciones!$F106)^2)+Entradas!$E$77),0)</f>
        <v>1.3706323514721945</v>
      </c>
      <c r="V107" s="146">
        <f>IF(ETo!D106&gt;0,ETo!I106*((1-Entradas!$E$81)*ETo!K106+ETo!L106),0)</f>
        <v>3.3134023413517828</v>
      </c>
      <c r="W107" s="170">
        <f>IF(Escenarios!$E$14&gt;0,MIN(V107*1,0.8*(Z106+R107+S107+T107+Observaciones!$F106-U107-Constantes!$E$35)),0)</f>
        <v>3.3134023413517828</v>
      </c>
      <c r="X107" s="170">
        <f>IF(Escenarios!$E$14&gt;0,Observaciones!$J106,0)</f>
        <v>0</v>
      </c>
      <c r="Y107" s="170">
        <f>IF(Escenarios!$E$14&gt;0,MAX(0,Z106+R107+S107+T107+Observaciones!$F106-U107-W107-X107-Constantes!$E$33),0)</f>
        <v>0</v>
      </c>
      <c r="Z107" s="170">
        <f>Z106+R107+S107+T107+Observaciones!$F106-U107-W107-Y107</f>
        <v>74.695207572097857</v>
      </c>
      <c r="AA107" s="170">
        <f>IF(Escenarios!$E$14&gt;0,(Escenarios!$E$13*L107+Escenarios!$E$14*W107)/(Escenarios!$E$16),L107)</f>
        <v>0.40426684024901316</v>
      </c>
      <c r="AB107" s="170">
        <f>IF(Escenarios!$E$14&gt;0,(Escenarios!$E$14*Y107)/(Escenarios!$E$16),K107)</f>
        <v>0</v>
      </c>
      <c r="AC107" s="170">
        <f>IF(Escenarios!$E$14&gt;0,(Escenarios!$E$13*M107+Escenarios!$E$14*U107)/(Escenarios!$E$16),M107)</f>
        <v>0.16447588217666334</v>
      </c>
      <c r="AD107" s="76">
        <f t="shared" si="15"/>
        <v>162.32809060664098</v>
      </c>
      <c r="AE107" s="76">
        <f>MAX(0,(AD107-Constantes!$D$13)*(1-EXP(-Constantes!$D$23)))</f>
        <v>1.1191119789407868</v>
      </c>
      <c r="AF107" s="76">
        <f>AB107+O107*Escenarios!$E$13/Escenarios!$E$16+AE107</f>
        <v>1.1191119789407868</v>
      </c>
      <c r="AG107" s="76">
        <f>IF(Entradas!$E$91&gt;0,IF(AF107-Escenarios!$E$38&lt;=0,0,IF(AF107-Escenarios!$E$38&gt;Escenarios!$E$37,Escenarios!$E$37,AF107-Escenarios!$E$38)),0)</f>
        <v>0</v>
      </c>
      <c r="AH107" s="76">
        <f>AG107*Entradas!$E$99</f>
        <v>0</v>
      </c>
      <c r="AI107" s="76">
        <f>IF(Entradas!$E$91&gt;0,D107*Entradas!$D$23/Escenarios!$E$16,0)</f>
        <v>0</v>
      </c>
      <c r="AJ107" s="76">
        <f>IF(Entradas!$E$91&gt;0,Entradas!$D$24*Entradas!$D$22/Escenarios!$E$16,0)</f>
        <v>0</v>
      </c>
      <c r="AK107" s="76">
        <f t="shared" si="24"/>
        <v>0.40426684024901316</v>
      </c>
      <c r="AL107" s="76">
        <f t="shared" si="25"/>
        <v>0</v>
      </c>
      <c r="AM107" s="76">
        <f t="shared" si="16"/>
        <v>0</v>
      </c>
      <c r="AN107" s="76">
        <f>MAX(0,O107*Escenarios!$E$13/Escenarios!$E$16-AM107)</f>
        <v>0</v>
      </c>
      <c r="AO107" s="76">
        <f>AM107+AN107-O107*Escenarios!$E$13/Escenarios!$E$16</f>
        <v>0</v>
      </c>
      <c r="AP107" s="76">
        <f t="shared" si="14"/>
        <v>1.1191119789407868</v>
      </c>
      <c r="AQ107" s="76">
        <f t="shared" si="17"/>
        <v>0</v>
      </c>
      <c r="AR107" s="76">
        <f t="shared" si="18"/>
        <v>1.1191119789407868</v>
      </c>
      <c r="AS107" s="76">
        <f t="shared" si="19"/>
        <v>0</v>
      </c>
      <c r="AT107" s="76">
        <f t="shared" si="20"/>
        <v>0.16447588217666334</v>
      </c>
      <c r="AU107" s="76">
        <f t="shared" si="21"/>
        <v>48.75</v>
      </c>
      <c r="AV107" s="76">
        <f>MAX(0,(AU107-Constantes!$D$13)*(1-EXP(-Constantes!$D$24)))</f>
        <v>0</v>
      </c>
      <c r="AW107" s="170">
        <f>AW106+(Entradas!$E$112*AT107-AX106)/(800*Entradas!$D$25)</f>
        <v>0</v>
      </c>
      <c r="AX107" s="170">
        <f>8000*Entradas!$D$26*AW107/Constantes!$E$45</f>
        <v>0</v>
      </c>
      <c r="AY107" s="170">
        <f>IF(Escenarios!$E$17&gt;0,10*Escenarios!$E$16*AL107,0)</f>
        <v>0</v>
      </c>
      <c r="AZ107" s="170">
        <f>IF(Escenarios!$E$17&gt;0,10*Escenarios!$E$16*AX107,0)</f>
        <v>0</v>
      </c>
      <c r="BA107" s="170">
        <f>IF(Escenarios!$E$17&gt;0,0.001*Observaciones!$F106*Escenarios!$E$17,0)</f>
        <v>0</v>
      </c>
      <c r="BB107" s="170">
        <f>IF(Escenarios!$E$17&gt;0,Observaciones!$K106,0)</f>
        <v>0</v>
      </c>
      <c r="BC107" s="170">
        <f>IF(Escenarios!$E$17&gt;0,MIN(0.0005*ETo!$M106*Escenarios!$E$17*(BG106/Constantes!$E$40)^(2/3),BG106+AY107+AZ107+BA107+BB107),0)</f>
        <v>31.243850404322323</v>
      </c>
      <c r="BD107" s="170">
        <f>IF(Escenarios!$E$17&gt;0,MIN(Constantes!$E$39*(BG106/Constantes!$E$40)^(2/3),BG106+AY107+AZ107+BA107+BB107-BC107),0)</f>
        <v>60.048348279087527</v>
      </c>
      <c r="BE107" s="170">
        <f>IF(Escenarios!$E$17&gt;0,MIN(Entradas!$E$113,BG106+AY107+AZ107+BA107+BB107-BC107-BD107),0)</f>
        <v>1</v>
      </c>
      <c r="BF107" s="170">
        <f>IF(Escenarios!$E$17&gt;0,MAX(0,BG106+AY107+AZ107+BA107+BB107-BC107-BD107-BE107-Constantes!$E$40),0)</f>
        <v>0</v>
      </c>
      <c r="BG107" s="170">
        <f t="shared" si="26"/>
        <v>4243.0697292032301</v>
      </c>
      <c r="BH107" s="170">
        <f>(Escenarios!$E$16*AK107+0.1*BC107)/(Escenarios!$E$19)</f>
        <v>0.4134567265979584</v>
      </c>
      <c r="BI107" s="170">
        <f>IF(Escenarios!$E$17&gt;0,BF107/10/Escenarios!$E$19,AL107)</f>
        <v>0</v>
      </c>
      <c r="BJ107" s="170">
        <f>(Escenarios!$E$16*AT107+0.1*BD107)/(Escenarios!$E$19)</f>
        <v>0.18699922766696264</v>
      </c>
      <c r="BK107" s="76">
        <f>BK106+(0.1*BD107)/(Escenarios!$E$19)-BL106</f>
        <v>50.178386990474472</v>
      </c>
      <c r="BL107" s="76">
        <f>MAX(0,(BK107-Constantes!$D$13)*(1-EXP(-Constantes!$D$23)))</f>
        <v>1.4074237232420021E-2</v>
      </c>
      <c r="BM107" s="76">
        <f t="shared" si="22"/>
        <v>1.1331862161732069</v>
      </c>
      <c r="BN107" s="76">
        <f t="shared" si="27"/>
        <v>1.1331862161732069</v>
      </c>
      <c r="BO107" s="76">
        <f>0.0526*BI107*Observaciones!$F106^1.218</f>
        <v>0</v>
      </c>
      <c r="BP107" s="76">
        <f>BO107*Constantes!$E$51</f>
        <v>0</v>
      </c>
      <c r="BQ107" s="76">
        <f t="shared" si="23"/>
        <v>0</v>
      </c>
      <c r="BR107" s="40"/>
    </row>
    <row r="108" spans="1:70">
      <c r="A108" s="147"/>
      <c r="B108" s="39"/>
      <c r="C108" s="75">
        <v>102</v>
      </c>
      <c r="D108" s="146">
        <f>ETo!$I107*((1-Constantes!$E$19)*ETo!$K107+ETo!$L107)</f>
        <v>3.6214091359471965</v>
      </c>
      <c r="E108" s="76">
        <f>MIN(D108*Constantes!$E$17,0.8*(N107+Observaciones!$F107-F108-M108-Constantes!$D$14))</f>
        <v>1.7705515171639623</v>
      </c>
      <c r="F108" s="76">
        <f>IF(Observaciones!$F107&gt;0.05*Constantes!$E$18,((Observaciones!$F107-0.05*Constantes!$E$18)^2)/(Observaciones!$F107+0.95*Constantes!$E$18),0)</f>
        <v>0</v>
      </c>
      <c r="G108" s="76">
        <f>IF(Escenarios!$E$11&gt;0,(F108*Escenarios!$E$16*10000)/1000,0)</f>
        <v>0</v>
      </c>
      <c r="H108" s="76">
        <f>IF(Escenarios!$E$11&gt;0,(Observaciones!$F107*Constantes!$E$29)/1000,0)</f>
        <v>35</v>
      </c>
      <c r="I108" s="76">
        <f>IF(Escenarios!$E$11&gt;0,(D108*Constantes!$E$29)/1000,0)</f>
        <v>36.214091359471965</v>
      </c>
      <c r="J108" s="76">
        <f>IF(Escenarios!$E$11&gt;0,MAX(0,G108+H108-I108),0)</f>
        <v>0</v>
      </c>
      <c r="K108" s="76">
        <f>IF(Escenarios!$E$11&gt;0,IF(J108&gt;Constantes!$E$30,1000*((J108-Constantes!$E$30)/(Escenarios!$E$16*10000)),0),F108)</f>
        <v>0</v>
      </c>
      <c r="L108" s="76">
        <f>IF(Escenarios!$E$11&gt;0,I108*1000/Escenarios!$E$16/10000+E108,E108)</f>
        <v>1.7850371537077512</v>
      </c>
      <c r="M108" s="76">
        <f>MAX(0,N107+Observaciones!$F107-K108-Constantes!$D$13)</f>
        <v>0</v>
      </c>
      <c r="N108" s="76">
        <f>N107+Observaciones!$F107-K108-L108-M108-O107</f>
        <v>12.948637809741138</v>
      </c>
      <c r="O108" s="76">
        <f>MAX(0,(N108-Constantes!$D$14)*(1-EXP(-Constantes!$D$22)))</f>
        <v>5.7861839626842819E-2</v>
      </c>
      <c r="P108" s="170">
        <f>P107+(Entradas!$E$83*M108-Q107)/(800*Entradas!$D$25)</f>
        <v>0</v>
      </c>
      <c r="Q108" s="170">
        <f>8000*Entradas!$D$26*P108/Constantes!$E$45</f>
        <v>0</v>
      </c>
      <c r="R108" s="170">
        <f>IF(Escenarios!$E$14&gt;0,K108*Escenarios!$E$13/Escenarios!$E$14,0)</f>
        <v>0</v>
      </c>
      <c r="S108" s="170">
        <f>IF(Escenarios!$E$14&gt;0,Q108*Escenarios!$E$13/Escenarios!$E$14,0)</f>
        <v>0</v>
      </c>
      <c r="T108" s="170">
        <f>IF(Escenarios!$E$14&gt;0,Observaciones!$I107,0)</f>
        <v>0</v>
      </c>
      <c r="U108" s="170">
        <f>IF(Escenarios!$E$14&gt;0,MAX(0,Constantes!$E$36/((Z107+R108+S108+T108+Observaciones!$F107)^2)+Entradas!$E$77),0)</f>
        <v>1.3209148789389238</v>
      </c>
      <c r="V108" s="146">
        <f>IF(ETo!D107&gt;0,ETo!I107*((1-Entradas!$E$81)*ETo!K107+ETo!L107),0)</f>
        <v>3.2929274624140894</v>
      </c>
      <c r="W108" s="170">
        <f>IF(Escenarios!$E$14&gt;0,MIN(V108*1,0.8*(Z107+R108+S108+T108+Observaciones!$F107-U108-Constantes!$E$35)),0)</f>
        <v>3.2929274624140894</v>
      </c>
      <c r="X108" s="170">
        <f>IF(Escenarios!$E$14&gt;0,Observaciones!$J107,0)</f>
        <v>0</v>
      </c>
      <c r="Y108" s="170">
        <f>IF(Escenarios!$E$14&gt;0,MAX(0,Z107+R108+S108+T108+Observaciones!$F107-U108-W108-X108-Constantes!$E$33),0)</f>
        <v>0</v>
      </c>
      <c r="Z108" s="170">
        <f>Z107+R108+S108+T108+Observaciones!$F107-U108-W108-Y108</f>
        <v>73.581365230744851</v>
      </c>
      <c r="AA108" s="170">
        <f>IF(Escenarios!$E$14&gt;0,(Escenarios!$E$13*L108+Escenarios!$E$14*W108)/(Escenarios!$E$16),L108)</f>
        <v>1.9659839907525118</v>
      </c>
      <c r="AB108" s="170">
        <f>IF(Escenarios!$E$14&gt;0,(Escenarios!$E$14*Y108)/(Escenarios!$E$16),K108)</f>
        <v>0</v>
      </c>
      <c r="AC108" s="170">
        <f>IF(Escenarios!$E$14&gt;0,(Escenarios!$E$13*M108+Escenarios!$E$14*U108)/(Escenarios!$E$16),M108)</f>
        <v>0.15850978547267083</v>
      </c>
      <c r="AD108" s="76">
        <f t="shared" si="15"/>
        <v>161.36748841317285</v>
      </c>
      <c r="AE108" s="76">
        <f>MAX(0,(AD108-Constantes!$D$13)*(1-EXP(-Constantes!$D$23)))</f>
        <v>1.1096469367309285</v>
      </c>
      <c r="AF108" s="76">
        <f>AB108+O108*Escenarios!$E$13/Escenarios!$E$16+AE108</f>
        <v>1.1605653556025501</v>
      </c>
      <c r="AG108" s="76">
        <f>IF(Entradas!$E$91&gt;0,IF(AF108-Escenarios!$E$38&lt;=0,0,IF(AF108-Escenarios!$E$38&gt;Escenarios!$E$37,Escenarios!$E$37,AF108-Escenarios!$E$38)),0)</f>
        <v>0</v>
      </c>
      <c r="AH108" s="76">
        <f>AG108*Entradas!$E$99</f>
        <v>0</v>
      </c>
      <c r="AI108" s="76">
        <f>IF(Entradas!$E$91&gt;0,D108*Entradas!$D$23/Escenarios!$E$16,0)</f>
        <v>0</v>
      </c>
      <c r="AJ108" s="76">
        <f>IF(Entradas!$E$91&gt;0,Entradas!$D$24*Entradas!$D$22/Escenarios!$E$16,0)</f>
        <v>0</v>
      </c>
      <c r="AK108" s="76">
        <f t="shared" si="24"/>
        <v>1.9659839907525118</v>
      </c>
      <c r="AL108" s="76">
        <f t="shared" si="25"/>
        <v>0</v>
      </c>
      <c r="AM108" s="76">
        <f t="shared" si="16"/>
        <v>0</v>
      </c>
      <c r="AN108" s="76">
        <f>MAX(0,O108*Escenarios!$E$13/Escenarios!$E$16-AM108)</f>
        <v>5.0918418871621685E-2</v>
      </c>
      <c r="AO108" s="76">
        <f>AM108+AN108-O108*Escenarios!$E$13/Escenarios!$E$16</f>
        <v>0</v>
      </c>
      <c r="AP108" s="76">
        <f t="shared" si="14"/>
        <v>1.1096469367309285</v>
      </c>
      <c r="AQ108" s="76">
        <f t="shared" si="17"/>
        <v>0</v>
      </c>
      <c r="AR108" s="76">
        <f t="shared" si="18"/>
        <v>1.1605653556025501</v>
      </c>
      <c r="AS108" s="76">
        <f t="shared" si="19"/>
        <v>0</v>
      </c>
      <c r="AT108" s="76">
        <f t="shared" si="20"/>
        <v>0.15850978547267083</v>
      </c>
      <c r="AU108" s="76">
        <f t="shared" si="21"/>
        <v>48.75</v>
      </c>
      <c r="AV108" s="76">
        <f>MAX(0,(AU108-Constantes!$D$13)*(1-EXP(-Constantes!$D$24)))</f>
        <v>0</v>
      </c>
      <c r="AW108" s="170">
        <f>AW107+(Entradas!$E$112*AT108-AX107)/(800*Entradas!$D$25)</f>
        <v>0</v>
      </c>
      <c r="AX108" s="170">
        <f>8000*Entradas!$D$26*AW108/Constantes!$E$45</f>
        <v>0</v>
      </c>
      <c r="AY108" s="170">
        <f>IF(Escenarios!$E$17&gt;0,10*Escenarios!$E$16*AL108,0)</f>
        <v>0</v>
      </c>
      <c r="AZ108" s="170">
        <f>IF(Escenarios!$E$17&gt;0,10*Escenarios!$E$16*AX108,0)</f>
        <v>0</v>
      </c>
      <c r="BA108" s="170">
        <f>IF(Escenarios!$E$17&gt;0,0.001*Observaciones!$F107*Escenarios!$E$17,0)</f>
        <v>70</v>
      </c>
      <c r="BB108" s="170">
        <f>IF(Escenarios!$E$17&gt;0,Observaciones!$K107,0)</f>
        <v>0</v>
      </c>
      <c r="BC108" s="170">
        <f>IF(Escenarios!$E$17&gt;0,MIN(0.0005*ETo!$M107*Escenarios!$E$17*(BG107/Constantes!$E$40)^(2/3),BG107+AY108+AZ108+BA108+BB108),0)</f>
        <v>30.619727290260546</v>
      </c>
      <c r="BD108" s="170">
        <f>IF(Escenarios!$E$17&gt;0,MIN(Constantes!$E$39*(BG107/Constantes!$E$40)^(2/3),BG107+AY108+AZ108+BA108+BB108-BC108),0)</f>
        <v>59.193080094732132</v>
      </c>
      <c r="BE108" s="170">
        <f>IF(Escenarios!$E$17&gt;0,MIN(Entradas!$E$113,BG107+AY108+AZ108+BA108+BB108-BC108-BD108),0)</f>
        <v>1</v>
      </c>
      <c r="BF108" s="170">
        <f>IF(Escenarios!$E$17&gt;0,MAX(0,BG107+AY108+AZ108+BA108+BB108-BC108-BD108-BE108-Constantes!$E$40),0)</f>
        <v>0</v>
      </c>
      <c r="BG108" s="170">
        <f t="shared" si="26"/>
        <v>4222.2569218182371</v>
      </c>
      <c r="BH108" s="170">
        <f>(Escenarios!$E$16*AK108+0.1*BC108)/(Escenarios!$E$19)</f>
        <v>1.9625316286395</v>
      </c>
      <c r="BI108" s="170">
        <f>IF(Escenarios!$E$17&gt;0,BF108/10/Escenarios!$E$19,AL108)</f>
        <v>0</v>
      </c>
      <c r="BJ108" s="170">
        <f>(Escenarios!$E$16*AT108+0.1*BD108)/(Escenarios!$E$19)</f>
        <v>0.1807410888001624</v>
      </c>
      <c r="BK108" s="76">
        <f>BK107+(0.1*BD108)/(Escenarios!$E$19)-BL107</f>
        <v>50.187802070739963</v>
      </c>
      <c r="BL108" s="76">
        <f>MAX(0,(BK108-Constantes!$D$13)*(1-EXP(-Constantes!$D$23)))</f>
        <v>1.4167006260773309E-2</v>
      </c>
      <c r="BM108" s="76">
        <f t="shared" si="22"/>
        <v>1.1238139429917018</v>
      </c>
      <c r="BN108" s="76">
        <f t="shared" si="27"/>
        <v>1.1747323618633234</v>
      </c>
      <c r="BO108" s="76">
        <f>0.0526*BI108*Observaciones!$F107^1.218</f>
        <v>0</v>
      </c>
      <c r="BP108" s="76">
        <f>BO108*Constantes!$E$51</f>
        <v>0</v>
      </c>
      <c r="BQ108" s="76">
        <f t="shared" si="23"/>
        <v>0</v>
      </c>
      <c r="BR108" s="40"/>
    </row>
    <row r="109" spans="1:70">
      <c r="A109" s="147"/>
      <c r="B109" s="39"/>
      <c r="C109" s="75">
        <v>103</v>
      </c>
      <c r="D109" s="146">
        <f>ETo!$I108*((1-Constantes!$E$19)*ETo!$K108+ETo!$L108)</f>
        <v>3.3845930044477255</v>
      </c>
      <c r="E109" s="76">
        <f>MIN(D109*Constantes!$E$17,0.8*(N108+Observaciones!$F108-F109-M109-Constantes!$D$14))</f>
        <v>1.6547691945445049</v>
      </c>
      <c r="F109" s="76">
        <f>IF(Observaciones!$F108&gt;0.05*Constantes!$E$18,((Observaciones!$F108-0.05*Constantes!$E$18)^2)/(Observaciones!$F108+0.95*Constantes!$E$18),0)</f>
        <v>0</v>
      </c>
      <c r="G109" s="76">
        <f>IF(Escenarios!$E$11&gt;0,(F109*Escenarios!$E$16*10000)/1000,0)</f>
        <v>0</v>
      </c>
      <c r="H109" s="76">
        <f>IF(Escenarios!$E$11&gt;0,(Observaciones!$F108*Constantes!$E$29)/1000,0)</f>
        <v>18</v>
      </c>
      <c r="I109" s="76">
        <f>IF(Escenarios!$E$11&gt;0,(D109*Constantes!$E$29)/1000,0)</f>
        <v>33.84593004447725</v>
      </c>
      <c r="J109" s="76">
        <f>IF(Escenarios!$E$11&gt;0,MAX(0,G109+H109-I109),0)</f>
        <v>0</v>
      </c>
      <c r="K109" s="76">
        <f>IF(Escenarios!$E$11&gt;0,IF(J109&gt;Constantes!$E$30,1000*((J109-Constantes!$E$30)/(Escenarios!$E$16*10000)),0),F109)</f>
        <v>0</v>
      </c>
      <c r="L109" s="76">
        <f>IF(Escenarios!$E$11&gt;0,I109*1000/Escenarios!$E$16/10000+E109,E109)</f>
        <v>1.6683075665622957</v>
      </c>
      <c r="M109" s="76">
        <f>MAX(0,N108+Observaciones!$F108-K109-Constantes!$D$13)</f>
        <v>0</v>
      </c>
      <c r="N109" s="76">
        <f>N108+Observaciones!$F108-K109-L109-M109-O108</f>
        <v>13.022468403551999</v>
      </c>
      <c r="O109" s="76">
        <f>MAX(0,(N109-Constantes!$D$14)*(1-EXP(-Constantes!$D$22)))</f>
        <v>6.0376780689699323E-2</v>
      </c>
      <c r="P109" s="170">
        <f>P108+(Entradas!$E$83*M109-Q108)/(800*Entradas!$D$25)</f>
        <v>0</v>
      </c>
      <c r="Q109" s="170">
        <f>8000*Entradas!$D$26*P109/Constantes!$E$45</f>
        <v>0</v>
      </c>
      <c r="R109" s="170">
        <f>IF(Escenarios!$E$14&gt;0,K109*Escenarios!$E$13/Escenarios!$E$14,0)</f>
        <v>0</v>
      </c>
      <c r="S109" s="170">
        <f>IF(Escenarios!$E$14&gt;0,Q109*Escenarios!$E$13/Escenarios!$E$14,0)</f>
        <v>0</v>
      </c>
      <c r="T109" s="170">
        <f>IF(Escenarios!$E$14&gt;0,Observaciones!$I108,0)</f>
        <v>0</v>
      </c>
      <c r="U109" s="170">
        <f>IF(Escenarios!$E$14&gt;0,MAX(0,Constantes!$E$36/((Z108+R109+S109+T109+Observaciones!$F108)^2)+Entradas!$E$77),0)</f>
        <v>1.1932211857436634</v>
      </c>
      <c r="V109" s="146">
        <f>IF(ETo!D108&gt;0,ETo!I108*((1-Entradas!$E$81)*ETo!K108+ETo!L108),0)</f>
        <v>3.0750156898741232</v>
      </c>
      <c r="W109" s="170">
        <f>IF(Escenarios!$E$14&gt;0,MIN(V109*1,0.8*(Z108+R109+S109+T109+Observaciones!$F108-U109-Constantes!$E$35)),0)</f>
        <v>3.0750156898741232</v>
      </c>
      <c r="X109" s="170">
        <f>IF(Escenarios!$E$14&gt;0,Observaciones!$J108,0)</f>
        <v>0</v>
      </c>
      <c r="Y109" s="170">
        <f>IF(Escenarios!$E$14&gt;0,MAX(0,Z108+R109+S109+T109+Observaciones!$F108-U109-W109-X109-Constantes!$E$33),0)</f>
        <v>0</v>
      </c>
      <c r="Z109" s="170">
        <f>Z108+R109+S109+T109+Observaciones!$F108-U109-W109-Y109</f>
        <v>71.11312835512706</v>
      </c>
      <c r="AA109" s="170">
        <f>IF(Escenarios!$E$14&gt;0,(Escenarios!$E$13*L109+Escenarios!$E$14*W109)/(Escenarios!$E$16),L109)</f>
        <v>1.8371125413597151</v>
      </c>
      <c r="AB109" s="170">
        <f>IF(Escenarios!$E$14&gt;0,(Escenarios!$E$14*Y109)/(Escenarios!$E$16),K109)</f>
        <v>0</v>
      </c>
      <c r="AC109" s="170">
        <f>IF(Escenarios!$E$14&gt;0,(Escenarios!$E$13*M109+Escenarios!$E$14*U109)/(Escenarios!$E$16),M109)</f>
        <v>0.1431865422892396</v>
      </c>
      <c r="AD109" s="76">
        <f t="shared" si="15"/>
        <v>160.40102801873115</v>
      </c>
      <c r="AE109" s="76">
        <f>MAX(0,(AD109-Constantes!$D$13)*(1-EXP(-Constantes!$D$23)))</f>
        <v>1.1001241722715627</v>
      </c>
      <c r="AF109" s="76">
        <f>AB109+O109*Escenarios!$E$13/Escenarios!$E$16+AE109</f>
        <v>1.1532557392784981</v>
      </c>
      <c r="AG109" s="76">
        <f>IF(Entradas!$E$91&gt;0,IF(AF109-Escenarios!$E$38&lt;=0,0,IF(AF109-Escenarios!$E$38&gt;Escenarios!$E$37,Escenarios!$E$37,AF109-Escenarios!$E$38)),0)</f>
        <v>0</v>
      </c>
      <c r="AH109" s="76">
        <f>AG109*Entradas!$E$99</f>
        <v>0</v>
      </c>
      <c r="AI109" s="76">
        <f>IF(Entradas!$E$91&gt;0,D109*Entradas!$D$23/Escenarios!$E$16,0)</f>
        <v>0</v>
      </c>
      <c r="AJ109" s="76">
        <f>IF(Entradas!$E$91&gt;0,Entradas!$D$24*Entradas!$D$22/Escenarios!$E$16,0)</f>
        <v>0</v>
      </c>
      <c r="AK109" s="76">
        <f t="shared" si="24"/>
        <v>1.8371125413597151</v>
      </c>
      <c r="AL109" s="76">
        <f t="shared" si="25"/>
        <v>0</v>
      </c>
      <c r="AM109" s="76">
        <f t="shared" si="16"/>
        <v>0</v>
      </c>
      <c r="AN109" s="76">
        <f>MAX(0,O109*Escenarios!$E$13/Escenarios!$E$16-AM109)</f>
        <v>5.3131567006935408E-2</v>
      </c>
      <c r="AO109" s="76">
        <f>AM109+AN109-O109*Escenarios!$E$13/Escenarios!$E$16</f>
        <v>0</v>
      </c>
      <c r="AP109" s="76">
        <f t="shared" si="14"/>
        <v>1.1001241722715627</v>
      </c>
      <c r="AQ109" s="76">
        <f t="shared" si="17"/>
        <v>0</v>
      </c>
      <c r="AR109" s="76">
        <f t="shared" si="18"/>
        <v>1.1532557392784981</v>
      </c>
      <c r="AS109" s="76">
        <f t="shared" si="19"/>
        <v>0</v>
      </c>
      <c r="AT109" s="76">
        <f t="shared" si="20"/>
        <v>0.1431865422892396</v>
      </c>
      <c r="AU109" s="76">
        <f t="shared" si="21"/>
        <v>48.75</v>
      </c>
      <c r="AV109" s="76">
        <f>MAX(0,(AU109-Constantes!$D$13)*(1-EXP(-Constantes!$D$24)))</f>
        <v>0</v>
      </c>
      <c r="AW109" s="170">
        <f>AW108+(Entradas!$E$112*AT109-AX108)/(800*Entradas!$D$25)</f>
        <v>0</v>
      </c>
      <c r="AX109" s="170">
        <f>8000*Entradas!$D$26*AW109/Constantes!$E$45</f>
        <v>0</v>
      </c>
      <c r="AY109" s="170">
        <f>IF(Escenarios!$E$17&gt;0,10*Escenarios!$E$16*AL109,0)</f>
        <v>0</v>
      </c>
      <c r="AZ109" s="170">
        <f>IF(Escenarios!$E$17&gt;0,10*Escenarios!$E$16*AX109,0)</f>
        <v>0</v>
      </c>
      <c r="BA109" s="170">
        <f>IF(Escenarios!$E$17&gt;0,0.001*Observaciones!$F108*Escenarios!$E$17,0)</f>
        <v>36</v>
      </c>
      <c r="BB109" s="170">
        <f>IF(Escenarios!$E$17&gt;0,Observaciones!$K108,0)</f>
        <v>0</v>
      </c>
      <c r="BC109" s="170">
        <f>IF(Escenarios!$E$17&gt;0,MIN(0.0005*ETo!$M108*Escenarios!$E$17*(BG108/Constantes!$E$40)^(2/3),BG108+AY109+AZ109+BA109+BB109),0)</f>
        <v>28.55363770325415</v>
      </c>
      <c r="BD109" s="170">
        <f>IF(Escenarios!$E$17&gt;0,MIN(Constantes!$E$39*(BG108/Constantes!$E$40)^(2/3),BG108+AY109+AZ109+BA109+BB109-BC109),0)</f>
        <v>58.9993550134853</v>
      </c>
      <c r="BE109" s="170">
        <f>IF(Escenarios!$E$17&gt;0,MIN(Entradas!$E$113,BG108+AY109+AZ109+BA109+BB109-BC109-BD109),0)</f>
        <v>1</v>
      </c>
      <c r="BF109" s="170">
        <f>IF(Escenarios!$E$17&gt;0,MAX(0,BG108+AY109+AZ109+BA109+BB109-BC109-BD109-BE109-Constantes!$E$40),0)</f>
        <v>0</v>
      </c>
      <c r="BG109" s="170">
        <f t="shared" si="26"/>
        <v>4169.703929101498</v>
      </c>
      <c r="BH109" s="170">
        <f>(Escenarios!$E$16*AK109+0.1*BC109)/(Escenarios!$E$19)</f>
        <v>1.833863091707358</v>
      </c>
      <c r="BI109" s="170">
        <f>IF(Escenarios!$E$17&gt;0,BF109/10/Escenarios!$E$19,AL109)</f>
        <v>0</v>
      </c>
      <c r="BJ109" s="170">
        <f>(Escenarios!$E$16*AT109+0.1*BD109)/(Escenarios!$E$19)</f>
        <v>0.16546258362562871</v>
      </c>
      <c r="BK109" s="76">
        <f>BK108+(0.1*BD109)/(Escenarios!$E$19)-BL108</f>
        <v>50.197047506944863</v>
      </c>
      <c r="BL109" s="76">
        <f>MAX(0,(BK109-Constantes!$D$13)*(1-EXP(-Constantes!$D$23)))</f>
        <v>1.4258103745791525E-2</v>
      </c>
      <c r="BM109" s="76">
        <f t="shared" si="22"/>
        <v>1.1143822760173543</v>
      </c>
      <c r="BN109" s="76">
        <f t="shared" si="27"/>
        <v>1.1675138430242897</v>
      </c>
      <c r="BO109" s="76">
        <f>0.0526*BI109*Observaciones!$F108^1.218</f>
        <v>0</v>
      </c>
      <c r="BP109" s="76">
        <f>BO109*Constantes!$E$51</f>
        <v>0</v>
      </c>
      <c r="BQ109" s="76">
        <f t="shared" si="23"/>
        <v>0</v>
      </c>
      <c r="BR109" s="40"/>
    </row>
    <row r="110" spans="1:70">
      <c r="A110" s="147"/>
      <c r="B110" s="39"/>
      <c r="C110" s="75">
        <v>104</v>
      </c>
      <c r="D110" s="146">
        <f>ETo!$I109*((1-Constantes!$E$19)*ETo!$K109+ETo!$L109)</f>
        <v>3.5773349248931097</v>
      </c>
      <c r="E110" s="76">
        <f>MIN(D110*Constantes!$E$17,0.8*(N109+Observaciones!$F109-F110-M110-Constantes!$D$14))</f>
        <v>1.4179747228415991</v>
      </c>
      <c r="F110" s="76">
        <f>IF(Observaciones!$F109&gt;0.05*Constantes!$E$18,((Observaciones!$F109-0.05*Constantes!$E$18)^2)/(Observaciones!$F109+0.95*Constantes!$E$18),0)</f>
        <v>0</v>
      </c>
      <c r="G110" s="76">
        <f>IF(Escenarios!$E$11&gt;0,(F110*Escenarios!$E$16*10000)/1000,0)</f>
        <v>0</v>
      </c>
      <c r="H110" s="76">
        <f>IF(Escenarios!$E$11&gt;0,(Observaciones!$F109*Constantes!$E$29)/1000,0)</f>
        <v>0</v>
      </c>
      <c r="I110" s="76">
        <f>IF(Escenarios!$E$11&gt;0,(D110*Constantes!$E$29)/1000,0)</f>
        <v>35.773349248931098</v>
      </c>
      <c r="J110" s="76">
        <f>IF(Escenarios!$E$11&gt;0,MAX(0,G110+H110-I110),0)</f>
        <v>0</v>
      </c>
      <c r="K110" s="76">
        <f>IF(Escenarios!$E$11&gt;0,IF(J110&gt;Constantes!$E$30,1000*((J110-Constantes!$E$30)/(Escenarios!$E$16*10000)),0),F110)</f>
        <v>0</v>
      </c>
      <c r="L110" s="76">
        <f>IF(Escenarios!$E$11&gt;0,I110*1000/Escenarios!$E$16/10000+E110,E110)</f>
        <v>1.4322840625411715</v>
      </c>
      <c r="M110" s="76">
        <f>MAX(0,N109+Observaciones!$F109-K110-Constantes!$D$13)</f>
        <v>0</v>
      </c>
      <c r="N110" s="76">
        <f>N109+Observaciones!$F109-K110-L110-M110-O109</f>
        <v>11.529807560321128</v>
      </c>
      <c r="O110" s="76">
        <f>MAX(0,(N110-Constantes!$D$14)*(1-EXP(-Constantes!$D$22)))</f>
        <v>9.5312726991203314E-3</v>
      </c>
      <c r="P110" s="170">
        <f>P109+(Entradas!$E$83*M110-Q109)/(800*Entradas!$D$25)</f>
        <v>0</v>
      </c>
      <c r="Q110" s="170">
        <f>8000*Entradas!$D$26*P110/Constantes!$E$45</f>
        <v>0</v>
      </c>
      <c r="R110" s="170">
        <f>IF(Escenarios!$E$14&gt;0,K110*Escenarios!$E$13/Escenarios!$E$14,0)</f>
        <v>0</v>
      </c>
      <c r="S110" s="170">
        <f>IF(Escenarios!$E$14&gt;0,Q110*Escenarios!$E$13/Escenarios!$E$14,0)</f>
        <v>0</v>
      </c>
      <c r="T110" s="170">
        <f>IF(Escenarios!$E$14&gt;0,Observaciones!$I109,0)</f>
        <v>0</v>
      </c>
      <c r="U110" s="170">
        <f>IF(Escenarios!$E$14&gt;0,MAX(0,Constantes!$E$36/((Z109+R110+S110+T110+Observaciones!$F109)^2)+Entradas!$E$77),0)</f>
        <v>0.96982526658055823</v>
      </c>
      <c r="V110" s="146">
        <f>IF(ETo!D109&gt;0,ETo!I109*((1-Entradas!$E$81)*ETo!K109+ETo!L109),0)</f>
        <v>3.2517698727577851</v>
      </c>
      <c r="W110" s="170">
        <f>IF(Escenarios!$E$14&gt;0,MIN(V110*1,0.8*(Z109+R110+S110+T110+Observaciones!$F109-U110-Constantes!$E$35)),0)</f>
        <v>3.2517698727577851</v>
      </c>
      <c r="X110" s="170">
        <f>IF(Escenarios!$E$14&gt;0,Observaciones!$J109,0)</f>
        <v>0</v>
      </c>
      <c r="Y110" s="170">
        <f>IF(Escenarios!$E$14&gt;0,MAX(0,Z109+R110+S110+T110+Observaciones!$F109-U110-W110-X110-Constantes!$E$33),0)</f>
        <v>0</v>
      </c>
      <c r="Z110" s="170">
        <f>Z109+R110+S110+T110+Observaciones!$F109-U110-W110-Y110</f>
        <v>66.891533215788712</v>
      </c>
      <c r="AA110" s="170">
        <f>IF(Escenarios!$E$14&gt;0,(Escenarios!$E$13*L110+Escenarios!$E$14*W110)/(Escenarios!$E$16),L110)</f>
        <v>1.6506223597671652</v>
      </c>
      <c r="AB110" s="170">
        <f>IF(Escenarios!$E$14&gt;0,(Escenarios!$E$14*Y110)/(Escenarios!$E$16),K110)</f>
        <v>0</v>
      </c>
      <c r="AC110" s="170">
        <f>IF(Escenarios!$E$14&gt;0,(Escenarios!$E$13*M110+Escenarios!$E$14*U110)/(Escenarios!$E$16),M110)</f>
        <v>0.11637903198966698</v>
      </c>
      <c r="AD110" s="76">
        <f t="shared" si="15"/>
        <v>159.41728287844927</v>
      </c>
      <c r="AE110" s="76">
        <f>MAX(0,(AD110-Constantes!$D$13)*(1-EXP(-Constantes!$D$23)))</f>
        <v>1.0904310970945279</v>
      </c>
      <c r="AF110" s="76">
        <f>AB110+O110*Escenarios!$E$13/Escenarios!$E$16+AE110</f>
        <v>1.0988186170697538</v>
      </c>
      <c r="AG110" s="76">
        <f>IF(Entradas!$E$91&gt;0,IF(AF110-Escenarios!$E$38&lt;=0,0,IF(AF110-Escenarios!$E$38&gt;Escenarios!$E$37,Escenarios!$E$37,AF110-Escenarios!$E$38)),0)</f>
        <v>0</v>
      </c>
      <c r="AH110" s="76">
        <f>AG110*Entradas!$E$99</f>
        <v>0</v>
      </c>
      <c r="AI110" s="76">
        <f>IF(Entradas!$E$91&gt;0,D110*Entradas!$D$23/Escenarios!$E$16,0)</f>
        <v>0</v>
      </c>
      <c r="AJ110" s="76">
        <f>IF(Entradas!$E$91&gt;0,Entradas!$D$24*Entradas!$D$22/Escenarios!$E$16,0)</f>
        <v>0</v>
      </c>
      <c r="AK110" s="76">
        <f t="shared" si="24"/>
        <v>1.6506223597671652</v>
      </c>
      <c r="AL110" s="76">
        <f t="shared" si="25"/>
        <v>0</v>
      </c>
      <c r="AM110" s="76">
        <f t="shared" si="16"/>
        <v>0</v>
      </c>
      <c r="AN110" s="76">
        <f>MAX(0,O110*Escenarios!$E$13/Escenarios!$E$16-AM110)</f>
        <v>8.3875199752258926E-3</v>
      </c>
      <c r="AO110" s="76">
        <f>AM110+AN110-O110*Escenarios!$E$13/Escenarios!$E$16</f>
        <v>0</v>
      </c>
      <c r="AP110" s="76">
        <f t="shared" si="14"/>
        <v>1.0904310970945279</v>
      </c>
      <c r="AQ110" s="76">
        <f t="shared" si="17"/>
        <v>0</v>
      </c>
      <c r="AR110" s="76">
        <f t="shared" si="18"/>
        <v>1.0988186170697538</v>
      </c>
      <c r="AS110" s="76">
        <f t="shared" si="19"/>
        <v>0</v>
      </c>
      <c r="AT110" s="76">
        <f t="shared" si="20"/>
        <v>0.11637903198966698</v>
      </c>
      <c r="AU110" s="76">
        <f t="shared" si="21"/>
        <v>48.75</v>
      </c>
      <c r="AV110" s="76">
        <f>MAX(0,(AU110-Constantes!$D$13)*(1-EXP(-Constantes!$D$24)))</f>
        <v>0</v>
      </c>
      <c r="AW110" s="170">
        <f>AW109+(Entradas!$E$112*AT110-AX109)/(800*Entradas!$D$25)</f>
        <v>0</v>
      </c>
      <c r="AX110" s="170">
        <f>8000*Entradas!$D$26*AW110/Constantes!$E$45</f>
        <v>0</v>
      </c>
      <c r="AY110" s="170">
        <f>IF(Escenarios!$E$17&gt;0,10*Escenarios!$E$16*AL110,0)</f>
        <v>0</v>
      </c>
      <c r="AZ110" s="170">
        <f>IF(Escenarios!$E$17&gt;0,10*Escenarios!$E$16*AX110,0)</f>
        <v>0</v>
      </c>
      <c r="BA110" s="170">
        <f>IF(Escenarios!$E$17&gt;0,0.001*Observaciones!$F109*Escenarios!$E$17,0)</f>
        <v>0</v>
      </c>
      <c r="BB110" s="170">
        <f>IF(Escenarios!$E$17&gt;0,Observaciones!$K109,0)</f>
        <v>0</v>
      </c>
      <c r="BC110" s="170">
        <f>IF(Escenarios!$E$17&gt;0,MIN(0.0005*ETo!$M109*Escenarios!$E$17*(BG109/Constantes!$E$40)^(2/3),BG109+AY110+AZ110+BA110+BB110),0)</f>
        <v>29.909837890276979</v>
      </c>
      <c r="BD110" s="170">
        <f>IF(Escenarios!$E$17&gt;0,MIN(Constantes!$E$39*(BG109/Constantes!$E$40)^(2/3),BG109+AY110+AZ110+BA110+BB110-BC110),0)</f>
        <v>58.50877054226126</v>
      </c>
      <c r="BE110" s="170">
        <f>IF(Escenarios!$E$17&gt;0,MIN(Entradas!$E$113,BG109+AY110+AZ110+BA110+BB110-BC110-BD110),0)</f>
        <v>1</v>
      </c>
      <c r="BF110" s="170">
        <f>IF(Escenarios!$E$17&gt;0,MAX(0,BG109+AY110+AZ110+BA110+BB110-BC110-BD110-BE110-Constantes!$E$40),0)</f>
        <v>0</v>
      </c>
      <c r="BG110" s="170">
        <f t="shared" si="26"/>
        <v>4080.2853206689597</v>
      </c>
      <c r="BH110" s="170">
        <f>(Escenarios!$E$16*AK110+0.1*BC110)/(Escenarios!$E$19)</f>
        <v>1.6493911655984881</v>
      </c>
      <c r="BI110" s="170">
        <f>IF(Escenarios!$E$17&gt;0,BF110/10/Escenarios!$E$19,AL110)</f>
        <v>0</v>
      </c>
      <c r="BJ110" s="170">
        <f>(Escenarios!$E$16*AT110+0.1*BD110)/(Escenarios!$E$19)</f>
        <v>0.1386731549668368</v>
      </c>
      <c r="BK110" s="76">
        <f>BK109+(0.1*BD110)/(Escenarios!$E$19)-BL109</f>
        <v>50.206007169287275</v>
      </c>
      <c r="BL110" s="76">
        <f>MAX(0,(BK110-Constantes!$D$13)*(1-EXP(-Constantes!$D$23)))</f>
        <v>1.4346385432876628E-2</v>
      </c>
      <c r="BM110" s="76">
        <f t="shared" si="22"/>
        <v>1.1047774825274046</v>
      </c>
      <c r="BN110" s="76">
        <f t="shared" si="27"/>
        <v>1.1131650025026305</v>
      </c>
      <c r="BO110" s="76">
        <f>0.0526*BI110*Observaciones!$F109^1.218</f>
        <v>0</v>
      </c>
      <c r="BP110" s="76">
        <f>BO110*Constantes!$E$51</f>
        <v>0</v>
      </c>
      <c r="BQ110" s="76">
        <f t="shared" si="23"/>
        <v>0</v>
      </c>
      <c r="BR110" s="40"/>
    </row>
    <row r="111" spans="1:70">
      <c r="A111" s="147"/>
      <c r="B111" s="39"/>
      <c r="C111" s="75">
        <v>105</v>
      </c>
      <c r="D111" s="146">
        <f>ETo!$I110*((1-Constantes!$E$19)*ETo!$K110+ETo!$L110)</f>
        <v>3.399237797811002</v>
      </c>
      <c r="E111" s="76">
        <f>MIN(D111*Constantes!$E$17,0.8*(N110+Observaciones!$F110-F111-M111-Constantes!$D$14))</f>
        <v>0.22384604825690246</v>
      </c>
      <c r="F111" s="76">
        <f>IF(Observaciones!$F110&gt;0.05*Constantes!$E$18,((Observaciones!$F110-0.05*Constantes!$E$18)^2)/(Observaciones!$F110+0.95*Constantes!$E$18),0)</f>
        <v>0</v>
      </c>
      <c r="G111" s="76">
        <f>IF(Escenarios!$E$11&gt;0,(F111*Escenarios!$E$16*10000)/1000,0)</f>
        <v>0</v>
      </c>
      <c r="H111" s="76">
        <f>IF(Escenarios!$E$11&gt;0,(Observaciones!$F110*Constantes!$E$29)/1000,0)</f>
        <v>0</v>
      </c>
      <c r="I111" s="76">
        <f>IF(Escenarios!$E$11&gt;0,(D111*Constantes!$E$29)/1000,0)</f>
        <v>33.992377978110014</v>
      </c>
      <c r="J111" s="76">
        <f>IF(Escenarios!$E$11&gt;0,MAX(0,G111+H111-I111),0)</f>
        <v>0</v>
      </c>
      <c r="K111" s="76">
        <f>IF(Escenarios!$E$11&gt;0,IF(J111&gt;Constantes!$E$30,1000*((J111-Constantes!$E$30)/(Escenarios!$E$16*10000)),0),F111)</f>
        <v>0</v>
      </c>
      <c r="L111" s="76">
        <f>IF(Escenarios!$E$11&gt;0,I111*1000/Escenarios!$E$16/10000+E111,E111)</f>
        <v>0.23744299944814648</v>
      </c>
      <c r="M111" s="76">
        <f>MAX(0,N110+Observaciones!$F110-K111-Constantes!$D$13)</f>
        <v>0</v>
      </c>
      <c r="N111" s="76">
        <f>N110+Observaciones!$F110-K111-L111-M111-O110</f>
        <v>11.28283328817386</v>
      </c>
      <c r="O111" s="76">
        <f>MAX(0,(N111-Constantes!$D$14)*(1-EXP(-Constantes!$D$22)))</f>
        <v>1.1184223286701239E-3</v>
      </c>
      <c r="P111" s="170">
        <f>P110+(Entradas!$E$83*M111-Q110)/(800*Entradas!$D$25)</f>
        <v>0</v>
      </c>
      <c r="Q111" s="170">
        <f>8000*Entradas!$D$26*P111/Constantes!$E$45</f>
        <v>0</v>
      </c>
      <c r="R111" s="170">
        <f>IF(Escenarios!$E$14&gt;0,K111*Escenarios!$E$13/Escenarios!$E$14,0)</f>
        <v>0</v>
      </c>
      <c r="S111" s="170">
        <f>IF(Escenarios!$E$14&gt;0,Q111*Escenarios!$E$13/Escenarios!$E$14,0)</f>
        <v>0</v>
      </c>
      <c r="T111" s="170">
        <f>IF(Escenarios!$E$14&gt;0,Observaciones!$I110,0)</f>
        <v>0</v>
      </c>
      <c r="U111" s="170">
        <f>IF(Escenarios!$E$14&gt;0,MAX(0,Constantes!$E$36/((Z110+R111+S111+T111+Observaciones!$F110)^2)+Entradas!$E$77),0)</f>
        <v>0.70548613737892474</v>
      </c>
      <c r="V111" s="146">
        <f>IF(ETo!D110&gt;0,ETo!I110*((1-Entradas!$E$81)*ETo!K110+ETo!L110),0)</f>
        <v>3.0877343831360178</v>
      </c>
      <c r="W111" s="170">
        <f>IF(Escenarios!$E$14&gt;0,MIN(V111*1,0.8*(Z110+R111+S111+T111+Observaciones!$F110-U111-Constantes!$E$35)),0)</f>
        <v>3.0877343831360178</v>
      </c>
      <c r="X111" s="170">
        <f>IF(Escenarios!$E$14&gt;0,Observaciones!$J110,0)</f>
        <v>0</v>
      </c>
      <c r="Y111" s="170">
        <f>IF(Escenarios!$E$14&gt;0,MAX(0,Z110+R111+S111+T111+Observaciones!$F110-U111-W111-X111-Constantes!$E$33),0)</f>
        <v>0</v>
      </c>
      <c r="Z111" s="170">
        <f>Z110+R111+S111+T111+Observaciones!$F110-U111-W111-Y111</f>
        <v>63.098312695273769</v>
      </c>
      <c r="AA111" s="170">
        <f>IF(Escenarios!$E$14&gt;0,(Escenarios!$E$13*L111+Escenarios!$E$14*W111)/(Escenarios!$E$16),L111)</f>
        <v>0.57947796549069108</v>
      </c>
      <c r="AB111" s="170">
        <f>IF(Escenarios!$E$14&gt;0,(Escenarios!$E$14*Y111)/(Escenarios!$E$16),K111)</f>
        <v>0</v>
      </c>
      <c r="AC111" s="170">
        <f>IF(Escenarios!$E$14&gt;0,(Escenarios!$E$13*M111+Escenarios!$E$14*U111)/(Escenarios!$E$16),M111)</f>
        <v>8.465833648547097E-2</v>
      </c>
      <c r="AD111" s="76">
        <f t="shared" si="15"/>
        <v>158.41151011784021</v>
      </c>
      <c r="AE111" s="76">
        <f>MAX(0,(AD111-Constantes!$D$13)*(1-EXP(-Constantes!$D$23)))</f>
        <v>1.0805209785278391</v>
      </c>
      <c r="AF111" s="76">
        <f>AB111+O111*Escenarios!$E$13/Escenarios!$E$16+AE111</f>
        <v>1.0815051901770689</v>
      </c>
      <c r="AG111" s="76">
        <f>IF(Entradas!$E$91&gt;0,IF(AF111-Escenarios!$E$38&lt;=0,0,IF(AF111-Escenarios!$E$38&gt;Escenarios!$E$37,Escenarios!$E$37,AF111-Escenarios!$E$38)),0)</f>
        <v>0</v>
      </c>
      <c r="AH111" s="76">
        <f>AG111*Entradas!$E$99</f>
        <v>0</v>
      </c>
      <c r="AI111" s="76">
        <f>IF(Entradas!$E$91&gt;0,D111*Entradas!$D$23/Escenarios!$E$16,0)</f>
        <v>0</v>
      </c>
      <c r="AJ111" s="76">
        <f>IF(Entradas!$E$91&gt;0,Entradas!$D$24*Entradas!$D$22/Escenarios!$E$16,0)</f>
        <v>0</v>
      </c>
      <c r="AK111" s="76">
        <f t="shared" si="24"/>
        <v>0.57947796549069108</v>
      </c>
      <c r="AL111" s="76">
        <f t="shared" si="25"/>
        <v>0</v>
      </c>
      <c r="AM111" s="76">
        <f t="shared" si="16"/>
        <v>0</v>
      </c>
      <c r="AN111" s="76">
        <f>MAX(0,O111*Escenarios!$E$13/Escenarios!$E$16-AM111)</f>
        <v>9.8421164922970908E-4</v>
      </c>
      <c r="AO111" s="76">
        <f>AM111+AN111-O111*Escenarios!$E$13/Escenarios!$E$16</f>
        <v>0</v>
      </c>
      <c r="AP111" s="76">
        <f t="shared" si="14"/>
        <v>1.0805209785278391</v>
      </c>
      <c r="AQ111" s="76">
        <f t="shared" si="17"/>
        <v>0</v>
      </c>
      <c r="AR111" s="76">
        <f t="shared" si="18"/>
        <v>1.0815051901770689</v>
      </c>
      <c r="AS111" s="76">
        <f t="shared" si="19"/>
        <v>0</v>
      </c>
      <c r="AT111" s="76">
        <f t="shared" si="20"/>
        <v>8.465833648547097E-2</v>
      </c>
      <c r="AU111" s="76">
        <f t="shared" si="21"/>
        <v>48.75</v>
      </c>
      <c r="AV111" s="76">
        <f>MAX(0,(AU111-Constantes!$D$13)*(1-EXP(-Constantes!$D$24)))</f>
        <v>0</v>
      </c>
      <c r="AW111" s="170">
        <f>AW110+(Entradas!$E$112*AT111-AX110)/(800*Entradas!$D$25)</f>
        <v>0</v>
      </c>
      <c r="AX111" s="170">
        <f>8000*Entradas!$D$26*AW111/Constantes!$E$45</f>
        <v>0</v>
      </c>
      <c r="AY111" s="170">
        <f>IF(Escenarios!$E$17&gt;0,10*Escenarios!$E$16*AL111,0)</f>
        <v>0</v>
      </c>
      <c r="AZ111" s="170">
        <f>IF(Escenarios!$E$17&gt;0,10*Escenarios!$E$16*AX111,0)</f>
        <v>0</v>
      </c>
      <c r="BA111" s="170">
        <f>IF(Escenarios!$E$17&gt;0,0.001*Observaciones!$F110*Escenarios!$E$17,0)</f>
        <v>0</v>
      </c>
      <c r="BB111" s="170">
        <f>IF(Escenarios!$E$17&gt;0,Observaciones!$K110,0)</f>
        <v>0</v>
      </c>
      <c r="BC111" s="170">
        <f>IF(Escenarios!$E$17&gt;0,MIN(0.0005*ETo!$M110*Escenarios!$E$17*(BG110/Constantes!$E$40)^(2/3),BG110+AY111+AZ111+BA111+BB111),0)</f>
        <v>28.037343853963698</v>
      </c>
      <c r="BD111" s="170">
        <f>IF(Escenarios!$E$17&gt;0,MIN(Constantes!$E$39*(BG110/Constantes!$E$40)^(2/3),BG110+AY111+AZ111+BA111+BB111-BC111),0)</f>
        <v>57.669278098818701</v>
      </c>
      <c r="BE111" s="170">
        <f>IF(Escenarios!$E$17&gt;0,MIN(Entradas!$E$113,BG110+AY111+AZ111+BA111+BB111-BC111-BD111),0)</f>
        <v>1</v>
      </c>
      <c r="BF111" s="170">
        <f>IF(Escenarios!$E$17&gt;0,MAX(0,BG110+AY111+AZ111+BA111+BB111-BC111-BD111-BE111-Constantes!$E$40),0)</f>
        <v>0</v>
      </c>
      <c r="BG111" s="170">
        <f t="shared" si="26"/>
        <v>3993.5786987161773</v>
      </c>
      <c r="BH111" s="170">
        <f>(Escenarios!$E$16*AK111+0.1*BC111)/(Escenarios!$E$19)</f>
        <v>0.58600486411932207</v>
      </c>
      <c r="BI111" s="170">
        <f>IF(Escenarios!$E$17&gt;0,BF111/10/Escenarios!$E$19,AL111)</f>
        <v>0</v>
      </c>
      <c r="BJ111" s="170">
        <f>(Escenarios!$E$16*AT111+0.1*BD111)/(Escenarios!$E$19)</f>
        <v>0.10687107909226037</v>
      </c>
      <c r="BK111" s="76">
        <f>BK110+(0.1*BD111)/(Escenarios!$E$19)-BL110</f>
        <v>50.214545418020592</v>
      </c>
      <c r="BL111" s="76">
        <f>MAX(0,(BK111-Constantes!$D$13)*(1-EXP(-Constantes!$D$23)))</f>
        <v>1.44305148312984E-2</v>
      </c>
      <c r="BM111" s="76">
        <f t="shared" si="22"/>
        <v>1.0949514933591376</v>
      </c>
      <c r="BN111" s="76">
        <f t="shared" si="27"/>
        <v>1.0959357050083673</v>
      </c>
      <c r="BO111" s="76">
        <f>0.0526*BI111*Observaciones!$F110^1.218</f>
        <v>0</v>
      </c>
      <c r="BP111" s="76">
        <f>BO111*Constantes!$E$51</f>
        <v>0</v>
      </c>
      <c r="BQ111" s="76">
        <f t="shared" si="23"/>
        <v>0</v>
      </c>
      <c r="BR111" s="40"/>
    </row>
    <row r="112" spans="1:70">
      <c r="A112" s="147"/>
      <c r="B112" s="39"/>
      <c r="C112" s="75">
        <v>106</v>
      </c>
      <c r="D112" s="146">
        <f>ETo!$I111*((1-Constantes!$E$19)*ETo!$K111+ETo!$L111)</f>
        <v>3.4685338060293422</v>
      </c>
      <c r="E112" s="76">
        <f>MIN(D112*Constantes!$E$17,0.8*(N111+Observaciones!$F111-F112-M112-Constantes!$D$14))</f>
        <v>2.6266630539087999E-2</v>
      </c>
      <c r="F112" s="76">
        <f>IF(Observaciones!$F111&gt;0.05*Constantes!$E$18,((Observaciones!$F111-0.05*Constantes!$E$18)^2)/(Observaciones!$F111+0.95*Constantes!$E$18),0)</f>
        <v>0</v>
      </c>
      <c r="G112" s="76">
        <f>IF(Escenarios!$E$11&gt;0,(F112*Escenarios!$E$16*10000)/1000,0)</f>
        <v>0</v>
      </c>
      <c r="H112" s="76">
        <f>IF(Escenarios!$E$11&gt;0,(Observaciones!$F111*Constantes!$E$29)/1000,0)</f>
        <v>0</v>
      </c>
      <c r="I112" s="76">
        <f>IF(Escenarios!$E$11&gt;0,(D112*Constantes!$E$29)/1000,0)</f>
        <v>34.685338060293418</v>
      </c>
      <c r="J112" s="76">
        <f>IF(Escenarios!$E$11&gt;0,MAX(0,G112+H112-I112),0)</f>
        <v>0</v>
      </c>
      <c r="K112" s="76">
        <f>IF(Escenarios!$E$11&gt;0,IF(J112&gt;Constantes!$E$30,1000*((J112-Constantes!$E$30)/(Escenarios!$E$16*10000)),0),F112)</f>
        <v>0</v>
      </c>
      <c r="L112" s="76">
        <f>IF(Escenarios!$E$11&gt;0,I112*1000/Escenarios!$E$16/10000+E112,E112)</f>
        <v>4.0140765763205369E-2</v>
      </c>
      <c r="M112" s="76">
        <f>MAX(0,N111+Observaciones!$F111-K112-Constantes!$D$13)</f>
        <v>0</v>
      </c>
      <c r="N112" s="76">
        <f>N111+Observaciones!$F111-K112-L112-M112-O111</f>
        <v>11.241574100081985</v>
      </c>
      <c r="O112" s="76">
        <f>MAX(0,(N112-Constantes!$D$14)*(1-EXP(-Constantes!$D$22)))</f>
        <v>0</v>
      </c>
      <c r="P112" s="170">
        <f>P111+(Entradas!$E$83*M112-Q111)/(800*Entradas!$D$25)</f>
        <v>0</v>
      </c>
      <c r="Q112" s="170">
        <f>8000*Entradas!$D$26*P112/Constantes!$E$45</f>
        <v>0</v>
      </c>
      <c r="R112" s="170">
        <f>IF(Escenarios!$E$14&gt;0,K112*Escenarios!$E$13/Escenarios!$E$14,0)</f>
        <v>0</v>
      </c>
      <c r="S112" s="170">
        <f>IF(Escenarios!$E$14&gt;0,Q112*Escenarios!$E$13/Escenarios!$E$14,0)</f>
        <v>0</v>
      </c>
      <c r="T112" s="170">
        <f>IF(Escenarios!$E$14&gt;0,Observaciones!$I111,0)</f>
        <v>0</v>
      </c>
      <c r="U112" s="170">
        <f>IF(Escenarios!$E$14&gt;0,MAX(0,Constantes!$E$36/((Z111+R112+S112+T112+Observaciones!$F111)^2)+Entradas!$E$77),0)</f>
        <v>0.42131974470012423</v>
      </c>
      <c r="V112" s="146">
        <f>IF(ETo!D111&gt;0,ETo!I111*((1-Entradas!$E$81)*ETo!K111+ETo!L111),0)</f>
        <v>3.1510332265999637</v>
      </c>
      <c r="W112" s="170">
        <f>IF(Escenarios!$E$14&gt;0,MIN(V112*1,0.8*(Z111+R112+S112+T112+Observaciones!$F111-U112-Constantes!$E$35)),0)</f>
        <v>3.1510332265999637</v>
      </c>
      <c r="X112" s="170">
        <f>IF(Escenarios!$E$14&gt;0,Observaciones!$J111,0)</f>
        <v>0</v>
      </c>
      <c r="Y112" s="170">
        <f>IF(Escenarios!$E$14&gt;0,MAX(0,Z111+R112+S112+T112+Observaciones!$F111-U112-W112-X112-Constantes!$E$33),0)</f>
        <v>0</v>
      </c>
      <c r="Z112" s="170">
        <f>Z111+R112+S112+T112+Observaciones!$F111-U112-W112-Y112</f>
        <v>59.525959723973685</v>
      </c>
      <c r="AA112" s="170">
        <f>IF(Escenarios!$E$14&gt;0,(Escenarios!$E$13*L112+Escenarios!$E$14*W112)/(Escenarios!$E$16),L112)</f>
        <v>0.41344786106361636</v>
      </c>
      <c r="AB112" s="170">
        <f>IF(Escenarios!$E$14&gt;0,(Escenarios!$E$14*Y112)/(Escenarios!$E$16),K112)</f>
        <v>0</v>
      </c>
      <c r="AC112" s="170">
        <f>IF(Escenarios!$E$14&gt;0,(Escenarios!$E$13*M112+Escenarios!$E$14*U112)/(Escenarios!$E$16),M112)</f>
        <v>5.0558369364014907E-2</v>
      </c>
      <c r="AD112" s="76">
        <f t="shared" si="15"/>
        <v>157.38154750867639</v>
      </c>
      <c r="AE112" s="76">
        <f>MAX(0,(AD112-Constantes!$D$13)*(1-EXP(-Constantes!$D$23)))</f>
        <v>1.0703725116217671</v>
      </c>
      <c r="AF112" s="76">
        <f>AB112+O112*Escenarios!$E$13/Escenarios!$E$16+AE112</f>
        <v>1.0703725116217671</v>
      </c>
      <c r="AG112" s="76">
        <f>IF(Entradas!$E$91&gt;0,IF(AF112-Escenarios!$E$38&lt;=0,0,IF(AF112-Escenarios!$E$38&gt;Escenarios!$E$37,Escenarios!$E$37,AF112-Escenarios!$E$38)),0)</f>
        <v>0</v>
      </c>
      <c r="AH112" s="76">
        <f>AG112*Entradas!$E$99</f>
        <v>0</v>
      </c>
      <c r="AI112" s="76">
        <f>IF(Entradas!$E$91&gt;0,D112*Entradas!$D$23/Escenarios!$E$16,0)</f>
        <v>0</v>
      </c>
      <c r="AJ112" s="76">
        <f>IF(Entradas!$E$91&gt;0,Entradas!$D$24*Entradas!$D$22/Escenarios!$E$16,0)</f>
        <v>0</v>
      </c>
      <c r="AK112" s="76">
        <f t="shared" si="24"/>
        <v>0.41344786106361636</v>
      </c>
      <c r="AL112" s="76">
        <f t="shared" si="25"/>
        <v>0</v>
      </c>
      <c r="AM112" s="76">
        <f t="shared" si="16"/>
        <v>0</v>
      </c>
      <c r="AN112" s="76">
        <f>MAX(0,O112*Escenarios!$E$13/Escenarios!$E$16-AM112)</f>
        <v>0</v>
      </c>
      <c r="AO112" s="76">
        <f>AM112+AN112-O112*Escenarios!$E$13/Escenarios!$E$16</f>
        <v>0</v>
      </c>
      <c r="AP112" s="76">
        <f t="shared" si="14"/>
        <v>1.0703725116217671</v>
      </c>
      <c r="AQ112" s="76">
        <f t="shared" si="17"/>
        <v>0</v>
      </c>
      <c r="AR112" s="76">
        <f t="shared" si="18"/>
        <v>1.0703725116217671</v>
      </c>
      <c r="AS112" s="76">
        <f t="shared" si="19"/>
        <v>0</v>
      </c>
      <c r="AT112" s="76">
        <f t="shared" si="20"/>
        <v>5.0558369364014907E-2</v>
      </c>
      <c r="AU112" s="76">
        <f t="shared" si="21"/>
        <v>48.75</v>
      </c>
      <c r="AV112" s="76">
        <f>MAX(0,(AU112-Constantes!$D$13)*(1-EXP(-Constantes!$D$24)))</f>
        <v>0</v>
      </c>
      <c r="AW112" s="170">
        <f>AW111+(Entradas!$E$112*AT112-AX111)/(800*Entradas!$D$25)</f>
        <v>0</v>
      </c>
      <c r="AX112" s="170">
        <f>8000*Entradas!$D$26*AW112/Constantes!$E$45</f>
        <v>0</v>
      </c>
      <c r="AY112" s="170">
        <f>IF(Escenarios!$E$17&gt;0,10*Escenarios!$E$16*AL112,0)</f>
        <v>0</v>
      </c>
      <c r="AZ112" s="170">
        <f>IF(Escenarios!$E$17&gt;0,10*Escenarios!$E$16*AX112,0)</f>
        <v>0</v>
      </c>
      <c r="BA112" s="170">
        <f>IF(Escenarios!$E$17&gt;0,0.001*Observaciones!$F111*Escenarios!$E$17,0)</f>
        <v>0</v>
      </c>
      <c r="BB112" s="170">
        <f>IF(Escenarios!$E$17&gt;0,Observaciones!$K111,0)</f>
        <v>0</v>
      </c>
      <c r="BC112" s="170">
        <f>IF(Escenarios!$E$17&gt;0,MIN(0.0005*ETo!$M111*Escenarios!$E$17*(BG111/Constantes!$E$40)^(2/3),BG111+AY112+AZ112+BA112+BB112),0)</f>
        <v>28.19821360018776</v>
      </c>
      <c r="BD112" s="170">
        <f>IF(Escenarios!$E$17&gt;0,MIN(Constantes!$E$39*(BG111/Constantes!$E$40)^(2/3),BG111+AY112+AZ112+BA112+BB112-BC112),0)</f>
        <v>56.84937020833739</v>
      </c>
      <c r="BE112" s="170">
        <f>IF(Escenarios!$E$17&gt;0,MIN(Entradas!$E$113,BG111+AY112+AZ112+BA112+BB112-BC112-BD112),0)</f>
        <v>1</v>
      </c>
      <c r="BF112" s="170">
        <f>IF(Escenarios!$E$17&gt;0,MAX(0,BG111+AY112+AZ112+BA112+BB112-BC112-BD112-BE112-Constantes!$E$40),0)</f>
        <v>0</v>
      </c>
      <c r="BG112" s="170">
        <f t="shared" si="26"/>
        <v>3907.531114907652</v>
      </c>
      <c r="BH112" s="170">
        <f>(Escenarios!$E$16*AK112+0.1*BC112)/(Escenarios!$E$19)</f>
        <v>0.42135629613461456</v>
      </c>
      <c r="BI112" s="170">
        <f>IF(Escenarios!$E$17&gt;0,BF112/10/Escenarios!$E$19,AL112)</f>
        <v>0</v>
      </c>
      <c r="BJ112" s="170">
        <f>(Escenarios!$E$16*AT112+0.1*BD112)/(Escenarios!$E$19)</f>
        <v>7.2716386356497881E-2</v>
      </c>
      <c r="BK112" s="76">
        <f>BK111+(0.1*BD112)/(Escenarios!$E$19)-BL111</f>
        <v>50.222674177081494</v>
      </c>
      <c r="BL112" s="76">
        <f>MAX(0,(BK112-Constantes!$D$13)*(1-EXP(-Constantes!$D$23)))</f>
        <v>1.4510609430445036E-2</v>
      </c>
      <c r="BM112" s="76">
        <f t="shared" si="22"/>
        <v>1.0848831210522121</v>
      </c>
      <c r="BN112" s="76">
        <f t="shared" si="27"/>
        <v>1.0848831210522121</v>
      </c>
      <c r="BO112" s="76">
        <f>0.0526*BI112*Observaciones!$F111^1.218</f>
        <v>0</v>
      </c>
      <c r="BP112" s="76">
        <f>BO112*Constantes!$E$51</f>
        <v>0</v>
      </c>
      <c r="BQ112" s="76">
        <f t="shared" si="23"/>
        <v>0</v>
      </c>
      <c r="BR112" s="40"/>
    </row>
    <row r="113" spans="1:70">
      <c r="A113" s="147"/>
      <c r="B113" s="39"/>
      <c r="C113" s="75">
        <v>107</v>
      </c>
      <c r="D113" s="146">
        <f>ETo!$I112*((1-Constantes!$E$19)*ETo!$K112+ETo!$L112)</f>
        <v>3.4202544305722293</v>
      </c>
      <c r="E113" s="76">
        <f>MIN(D113*Constantes!$E$17,0.8*(N112+Observaciones!$F112-F113-M113-Constantes!$D$14))</f>
        <v>-6.7407199344117433E-3</v>
      </c>
      <c r="F113" s="76">
        <f>IF(Observaciones!$F112&gt;0.05*Constantes!$E$18,((Observaciones!$F112-0.05*Constantes!$E$18)^2)/(Observaciones!$F112+0.95*Constantes!$E$18),0)</f>
        <v>0</v>
      </c>
      <c r="G113" s="76">
        <f>IF(Escenarios!$E$11&gt;0,(F113*Escenarios!$E$16*10000)/1000,0)</f>
        <v>0</v>
      </c>
      <c r="H113" s="76">
        <f>IF(Escenarios!$E$11&gt;0,(Observaciones!$F112*Constantes!$E$29)/1000,0)</f>
        <v>0</v>
      </c>
      <c r="I113" s="76">
        <f>IF(Escenarios!$E$11&gt;0,(D113*Constantes!$E$29)/1000,0)</f>
        <v>34.202544305722292</v>
      </c>
      <c r="J113" s="76">
        <f>IF(Escenarios!$E$11&gt;0,MAX(0,G113+H113-I113),0)</f>
        <v>0</v>
      </c>
      <c r="K113" s="76">
        <f>IF(Escenarios!$E$11&gt;0,IF(J113&gt;Constantes!$E$30,1000*((J113-Constantes!$E$30)/(Escenarios!$E$16*10000)),0),F113)</f>
        <v>0</v>
      </c>
      <c r="L113" s="76">
        <f>IF(Escenarios!$E$11&gt;0,I113*1000/Escenarios!$E$16/10000+E113,E113)</f>
        <v>6.940297787877173E-3</v>
      </c>
      <c r="M113" s="76">
        <f>MAX(0,N112+Observaciones!$F112-K113-Constantes!$D$13)</f>
        <v>0</v>
      </c>
      <c r="N113" s="76">
        <f>N112+Observaciones!$F112-K113-L113-M113-O112</f>
        <v>11.234633802294109</v>
      </c>
      <c r="O113" s="76">
        <f>MAX(0,(N113-Constantes!$D$14)*(1-EXP(-Constantes!$D$22)))</f>
        <v>0</v>
      </c>
      <c r="P113" s="170">
        <f>P112+(Entradas!$E$83*M113-Q112)/(800*Entradas!$D$25)</f>
        <v>0</v>
      </c>
      <c r="Q113" s="170">
        <f>8000*Entradas!$D$26*P113/Constantes!$E$45</f>
        <v>0</v>
      </c>
      <c r="R113" s="170">
        <f>IF(Escenarios!$E$14&gt;0,K113*Escenarios!$E$13/Escenarios!$E$14,0)</f>
        <v>0</v>
      </c>
      <c r="S113" s="170">
        <f>IF(Escenarios!$E$14&gt;0,Q113*Escenarios!$E$13/Escenarios!$E$14,0)</f>
        <v>0</v>
      </c>
      <c r="T113" s="170">
        <f>IF(Escenarios!$E$14&gt;0,Observaciones!$I112,0)</f>
        <v>0</v>
      </c>
      <c r="U113" s="170">
        <f>IF(Escenarios!$E$14&gt;0,MAX(0,Constantes!$E$36/((Z112+R113+S113+T113+Observaciones!$F112)^2)+Entradas!$E$77),0)</f>
        <v>0.10252181709188024</v>
      </c>
      <c r="V113" s="146">
        <f>IF(ETo!D112&gt;0,ETo!I112*((1-Entradas!$E$81)*ETo!K112+ETo!L112),0)</f>
        <v>3.1063536319178122</v>
      </c>
      <c r="W113" s="170">
        <f>IF(Escenarios!$E$14&gt;0,MIN(V113*1,0.8*(Z112+R113+S113+T113+Observaciones!$F112-U113-Constantes!$E$35)),0)</f>
        <v>3.1063536319178122</v>
      </c>
      <c r="X113" s="170">
        <f>IF(Escenarios!$E$14&gt;0,Observaciones!$J112,0)</f>
        <v>0</v>
      </c>
      <c r="Y113" s="170">
        <f>IF(Escenarios!$E$14&gt;0,MAX(0,Z112+R113+S113+T113+Observaciones!$F112-U113-W113-X113-Constantes!$E$33),0)</f>
        <v>0</v>
      </c>
      <c r="Z113" s="170">
        <f>Z112+R113+S113+T113+Observaciones!$F112-U113-W113-Y113</f>
        <v>56.317084274963989</v>
      </c>
      <c r="AA113" s="170">
        <f>IF(Escenarios!$E$14&gt;0,(Escenarios!$E$13*L113+Escenarios!$E$14*W113)/(Escenarios!$E$16),L113)</f>
        <v>0.37886989788346936</v>
      </c>
      <c r="AB113" s="170">
        <f>IF(Escenarios!$E$14&gt;0,(Escenarios!$E$14*Y113)/(Escenarios!$E$16),K113)</f>
        <v>0</v>
      </c>
      <c r="AC113" s="170">
        <f>IF(Escenarios!$E$14&gt;0,(Escenarios!$E$13*M113+Escenarios!$E$14*U113)/(Escenarios!$E$16),M113)</f>
        <v>1.2302618051025629E-2</v>
      </c>
      <c r="AD113" s="76">
        <f t="shared" si="15"/>
        <v>156.32347761510565</v>
      </c>
      <c r="AE113" s="76">
        <f>MAX(0,(AD113-Constantes!$D$13)*(1-EXP(-Constantes!$D$23)))</f>
        <v>1.0599470969478002</v>
      </c>
      <c r="AF113" s="76">
        <f>AB113+O113*Escenarios!$E$13/Escenarios!$E$16+AE113</f>
        <v>1.0599470969478002</v>
      </c>
      <c r="AG113" s="76">
        <f>IF(Entradas!$E$91&gt;0,IF(AF113-Escenarios!$E$38&lt;=0,0,IF(AF113-Escenarios!$E$38&gt;Escenarios!$E$37,Escenarios!$E$37,AF113-Escenarios!$E$38)),0)</f>
        <v>0</v>
      </c>
      <c r="AH113" s="76">
        <f>AG113*Entradas!$E$99</f>
        <v>0</v>
      </c>
      <c r="AI113" s="76">
        <f>IF(Entradas!$E$91&gt;0,D113*Entradas!$D$23/Escenarios!$E$16,0)</f>
        <v>0</v>
      </c>
      <c r="AJ113" s="76">
        <f>IF(Entradas!$E$91&gt;0,Entradas!$D$24*Entradas!$D$22/Escenarios!$E$16,0)</f>
        <v>0</v>
      </c>
      <c r="AK113" s="76">
        <f t="shared" si="24"/>
        <v>0.37886989788346936</v>
      </c>
      <c r="AL113" s="76">
        <f t="shared" si="25"/>
        <v>0</v>
      </c>
      <c r="AM113" s="76">
        <f t="shared" si="16"/>
        <v>0</v>
      </c>
      <c r="AN113" s="76">
        <f>MAX(0,O113*Escenarios!$E$13/Escenarios!$E$16-AM113)</f>
        <v>0</v>
      </c>
      <c r="AO113" s="76">
        <f>AM113+AN113-O113*Escenarios!$E$13/Escenarios!$E$16</f>
        <v>0</v>
      </c>
      <c r="AP113" s="76">
        <f t="shared" si="14"/>
        <v>1.0599470969478002</v>
      </c>
      <c r="AQ113" s="76">
        <f t="shared" si="17"/>
        <v>0</v>
      </c>
      <c r="AR113" s="76">
        <f t="shared" si="18"/>
        <v>1.0599470969478002</v>
      </c>
      <c r="AS113" s="76">
        <f t="shared" si="19"/>
        <v>0</v>
      </c>
      <c r="AT113" s="76">
        <f t="shared" si="20"/>
        <v>1.2302618051025629E-2</v>
      </c>
      <c r="AU113" s="76">
        <f t="shared" si="21"/>
        <v>48.75</v>
      </c>
      <c r="AV113" s="76">
        <f>MAX(0,(AU113-Constantes!$D$13)*(1-EXP(-Constantes!$D$24)))</f>
        <v>0</v>
      </c>
      <c r="AW113" s="170">
        <f>AW112+(Entradas!$E$112*AT113-AX112)/(800*Entradas!$D$25)</f>
        <v>0</v>
      </c>
      <c r="AX113" s="170">
        <f>8000*Entradas!$D$26*AW113/Constantes!$E$45</f>
        <v>0</v>
      </c>
      <c r="AY113" s="170">
        <f>IF(Escenarios!$E$17&gt;0,10*Escenarios!$E$16*AL113,0)</f>
        <v>0</v>
      </c>
      <c r="AZ113" s="170">
        <f>IF(Escenarios!$E$17&gt;0,10*Escenarios!$E$16*AX113,0)</f>
        <v>0</v>
      </c>
      <c r="BA113" s="170">
        <f>IF(Escenarios!$E$17&gt;0,0.001*Observaciones!$F112*Escenarios!$E$17,0)</f>
        <v>0</v>
      </c>
      <c r="BB113" s="170">
        <f>IF(Escenarios!$E$17&gt;0,Observaciones!$K112,0)</f>
        <v>0</v>
      </c>
      <c r="BC113" s="170">
        <f>IF(Escenarios!$E$17&gt;0,MIN(0.0005*ETo!$M112*Escenarios!$E$17*(BG112/Constantes!$E$40)^(2/3),BG112+AY113+AZ113+BA113+BB113),0)</f>
        <v>27.413889534210075</v>
      </c>
      <c r="BD113" s="170">
        <f>IF(Escenarios!$E$17&gt;0,MIN(Constantes!$E$39*(BG112/Constantes!$E$40)^(2/3),BG112+AY113+AZ113+BA113+BB113-BC113),0)</f>
        <v>56.029806544028347</v>
      </c>
      <c r="BE113" s="170">
        <f>IF(Escenarios!$E$17&gt;0,MIN(Entradas!$E$113,BG112+AY113+AZ113+BA113+BB113-BC113-BD113),0)</f>
        <v>1</v>
      </c>
      <c r="BF113" s="170">
        <f>IF(Escenarios!$E$17&gt;0,MAX(0,BG112+AY113+AZ113+BA113+BB113-BC113-BD113-BE113-Constantes!$E$40),0)</f>
        <v>0</v>
      </c>
      <c r="BG113" s="170">
        <f t="shared" si="26"/>
        <v>3823.0874188294133</v>
      </c>
      <c r="BH113" s="170">
        <f>(Escenarios!$E$16*AK113+0.1*BC113)/(Escenarios!$E$19)</f>
        <v>0.38674152152495378</v>
      </c>
      <c r="BI113" s="170">
        <f>IF(Escenarios!$E$17&gt;0,BF113/10/Escenarios!$E$19,AL113)</f>
        <v>0</v>
      </c>
      <c r="BJ113" s="170">
        <f>(Escenarios!$E$16*AT113+0.1*BD113)/(Escenarios!$E$19)</f>
        <v>3.4439028441108105E-2</v>
      </c>
      <c r="BK113" s="76">
        <f>BK112+(0.1*BD113)/(Escenarios!$E$19)-BL112</f>
        <v>50.230397617866934</v>
      </c>
      <c r="BL113" s="76">
        <f>MAX(0,(BK113-Constantes!$D$13)*(1-EXP(-Constantes!$D$23)))</f>
        <v>1.4586710332084255E-2</v>
      </c>
      <c r="BM113" s="76">
        <f t="shared" si="22"/>
        <v>1.0745338072798845</v>
      </c>
      <c r="BN113" s="76">
        <f t="shared" si="27"/>
        <v>1.0745338072798845</v>
      </c>
      <c r="BO113" s="76">
        <f>0.0526*BI113*Observaciones!$F112^1.218</f>
        <v>0</v>
      </c>
      <c r="BP113" s="76">
        <f>BO113*Constantes!$E$51</f>
        <v>0</v>
      </c>
      <c r="BQ113" s="76">
        <f t="shared" si="23"/>
        <v>0</v>
      </c>
      <c r="BR113" s="40"/>
    </row>
    <row r="114" spans="1:70">
      <c r="A114" s="147"/>
      <c r="B114" s="39"/>
      <c r="C114" s="75">
        <v>108</v>
      </c>
      <c r="D114" s="146">
        <f>ETo!$I113*((1-Constantes!$E$19)*ETo!$K113+ETo!$L113)</f>
        <v>3.4735257742965242</v>
      </c>
      <c r="E114" s="76">
        <f>MIN(D114*Constantes!$E$17,0.8*(N113+Observaciones!$F113-F114-M114-Constantes!$D$14))</f>
        <v>0.54770704183528662</v>
      </c>
      <c r="F114" s="76">
        <f>IF(Observaciones!$F113&gt;0.05*Constantes!$E$18,((Observaciones!$F113-0.05*Constantes!$E$18)^2)/(Observaciones!$F113+0.95*Constantes!$E$18),0)</f>
        <v>0</v>
      </c>
      <c r="G114" s="76">
        <f>IF(Escenarios!$E$11&gt;0,(F114*Escenarios!$E$16*10000)/1000,0)</f>
        <v>0</v>
      </c>
      <c r="H114" s="76">
        <f>IF(Escenarios!$E$11&gt;0,(Observaciones!$F113*Constantes!$E$29)/1000,0)</f>
        <v>7</v>
      </c>
      <c r="I114" s="76">
        <f>IF(Escenarios!$E$11&gt;0,(D114*Constantes!$E$29)/1000,0)</f>
        <v>34.735257742965246</v>
      </c>
      <c r="J114" s="76">
        <f>IF(Escenarios!$E$11&gt;0,MAX(0,G114+H114-I114),0)</f>
        <v>0</v>
      </c>
      <c r="K114" s="76">
        <f>IF(Escenarios!$E$11&gt;0,IF(J114&gt;Constantes!$E$30,1000*((J114-Constantes!$E$30)/(Escenarios!$E$16*10000)),0),F114)</f>
        <v>0</v>
      </c>
      <c r="L114" s="76">
        <f>IF(Escenarios!$E$11&gt;0,I114*1000/Escenarios!$E$16/10000+E114,E114)</f>
        <v>0.56160114493247271</v>
      </c>
      <c r="M114" s="76">
        <f>MAX(0,N113+Observaciones!$F113-K114-Constantes!$D$13)</f>
        <v>0</v>
      </c>
      <c r="N114" s="76">
        <f>N113+Observaciones!$F113-K114-L114-M114-O113</f>
        <v>11.373032657361636</v>
      </c>
      <c r="O114" s="76">
        <f>MAX(0,(N114-Constantes!$D$14)*(1-EXP(-Constantes!$D$22)))</f>
        <v>4.190943971868929E-3</v>
      </c>
      <c r="P114" s="170">
        <f>P113+(Entradas!$E$83*M114-Q113)/(800*Entradas!$D$25)</f>
        <v>0</v>
      </c>
      <c r="Q114" s="170">
        <f>8000*Entradas!$D$26*P114/Constantes!$E$45</f>
        <v>0</v>
      </c>
      <c r="R114" s="170">
        <f>IF(Escenarios!$E$14&gt;0,K114*Escenarios!$E$13/Escenarios!$E$14,0)</f>
        <v>0</v>
      </c>
      <c r="S114" s="170">
        <f>IF(Escenarios!$E$14&gt;0,Q114*Escenarios!$E$13/Escenarios!$E$14,0)</f>
        <v>0</v>
      </c>
      <c r="T114" s="170">
        <f>IF(Escenarios!$E$14&gt;0,Observaciones!$I113,0)</f>
        <v>0</v>
      </c>
      <c r="U114" s="170">
        <f>IF(Escenarios!$E$14&gt;0,MAX(0,Constantes!$E$36/((Z113+R114+S114+T114+Observaciones!$F113)^2)+Entradas!$E$77),0)</f>
        <v>0</v>
      </c>
      <c r="V114" s="146">
        <f>IF(ETo!D113&gt;0,ETo!I113*((1-Entradas!$E$81)*ETo!K113+ETo!L113),0)</f>
        <v>3.1550296874992338</v>
      </c>
      <c r="W114" s="170">
        <f>IF(Escenarios!$E$14&gt;0,MIN(V114*1,0.8*(Z113+R114+S114+T114+Observaciones!$F113-U114-Constantes!$E$35)),0)</f>
        <v>3.1550296874992338</v>
      </c>
      <c r="X114" s="170">
        <f>IF(Escenarios!$E$14&gt;0,Observaciones!$J113,0)</f>
        <v>0</v>
      </c>
      <c r="Y114" s="170">
        <f>IF(Escenarios!$E$14&gt;0,MAX(0,Z113+R114+S114+T114+Observaciones!$F113-U114-W114-X114-Constantes!$E$33),0)</f>
        <v>0</v>
      </c>
      <c r="Z114" s="170">
        <f>Z113+R114+S114+T114+Observaciones!$F113-U114-W114-Y114</f>
        <v>53.862054587464755</v>
      </c>
      <c r="AA114" s="170">
        <f>IF(Escenarios!$E$14&gt;0,(Escenarios!$E$13*L114+Escenarios!$E$14*W114)/(Escenarios!$E$16),L114)</f>
        <v>0.87281257004048396</v>
      </c>
      <c r="AB114" s="170">
        <f>IF(Escenarios!$E$14&gt;0,(Escenarios!$E$14*Y114)/(Escenarios!$E$16),K114)</f>
        <v>0</v>
      </c>
      <c r="AC114" s="170">
        <f>IF(Escenarios!$E$14&gt;0,(Escenarios!$E$13*M114+Escenarios!$E$14*U114)/(Escenarios!$E$16),M114)</f>
        <v>0</v>
      </c>
      <c r="AD114" s="76">
        <f t="shared" si="15"/>
        <v>155.26353051815784</v>
      </c>
      <c r="AE114" s="76">
        <f>MAX(0,(AD114-Constantes!$D$13)*(1-EXP(-Constantes!$D$23)))</f>
        <v>1.049503185741844</v>
      </c>
      <c r="AF114" s="76">
        <f>AB114+O114*Escenarios!$E$13/Escenarios!$E$16+AE114</f>
        <v>1.0531912164370887</v>
      </c>
      <c r="AG114" s="76">
        <f>IF(Entradas!$E$91&gt;0,IF(AF114-Escenarios!$E$38&lt;=0,0,IF(AF114-Escenarios!$E$38&gt;Escenarios!$E$37,Escenarios!$E$37,AF114-Escenarios!$E$38)),0)</f>
        <v>0</v>
      </c>
      <c r="AH114" s="76">
        <f>AG114*Entradas!$E$99</f>
        <v>0</v>
      </c>
      <c r="AI114" s="76">
        <f>IF(Entradas!$E$91&gt;0,D114*Entradas!$D$23/Escenarios!$E$16,0)</f>
        <v>0</v>
      </c>
      <c r="AJ114" s="76">
        <f>IF(Entradas!$E$91&gt;0,Entradas!$D$24*Entradas!$D$22/Escenarios!$E$16,0)</f>
        <v>0</v>
      </c>
      <c r="AK114" s="76">
        <f t="shared" si="24"/>
        <v>0.87281257004048396</v>
      </c>
      <c r="AL114" s="76">
        <f t="shared" si="25"/>
        <v>0</v>
      </c>
      <c r="AM114" s="76">
        <f t="shared" si="16"/>
        <v>0</v>
      </c>
      <c r="AN114" s="76">
        <f>MAX(0,O114*Escenarios!$E$13/Escenarios!$E$16-AM114)</f>
        <v>3.6880306952446571E-3</v>
      </c>
      <c r="AO114" s="76">
        <f>AM114+AN114-O114*Escenarios!$E$13/Escenarios!$E$16</f>
        <v>0</v>
      </c>
      <c r="AP114" s="76">
        <f t="shared" si="14"/>
        <v>1.049503185741844</v>
      </c>
      <c r="AQ114" s="76">
        <f t="shared" si="17"/>
        <v>0</v>
      </c>
      <c r="AR114" s="76">
        <f t="shared" si="18"/>
        <v>1.0531912164370887</v>
      </c>
      <c r="AS114" s="76">
        <f t="shared" si="19"/>
        <v>0</v>
      </c>
      <c r="AT114" s="76">
        <f t="shared" si="20"/>
        <v>0</v>
      </c>
      <c r="AU114" s="76">
        <f t="shared" si="21"/>
        <v>48.75</v>
      </c>
      <c r="AV114" s="76">
        <f>MAX(0,(AU114-Constantes!$D$13)*(1-EXP(-Constantes!$D$24)))</f>
        <v>0</v>
      </c>
      <c r="AW114" s="170">
        <f>AW113+(Entradas!$E$112*AT114-AX113)/(800*Entradas!$D$25)</f>
        <v>0</v>
      </c>
      <c r="AX114" s="170">
        <f>8000*Entradas!$D$26*AW114/Constantes!$E$45</f>
        <v>0</v>
      </c>
      <c r="AY114" s="170">
        <f>IF(Escenarios!$E$17&gt;0,10*Escenarios!$E$16*AL114,0)</f>
        <v>0</v>
      </c>
      <c r="AZ114" s="170">
        <f>IF(Escenarios!$E$17&gt;0,10*Escenarios!$E$16*AX114,0)</f>
        <v>0</v>
      </c>
      <c r="BA114" s="170">
        <f>IF(Escenarios!$E$17&gt;0,0.001*Observaciones!$F113*Escenarios!$E$17,0)</f>
        <v>14</v>
      </c>
      <c r="BB114" s="170">
        <f>IF(Escenarios!$E$17&gt;0,Observaciones!$K113,0)</f>
        <v>0</v>
      </c>
      <c r="BC114" s="170">
        <f>IF(Escenarios!$E$17&gt;0,MIN(0.0005*ETo!$M113*Escenarios!$E$17*(BG113/Constantes!$E$40)^(2/3),BG113+AY114+AZ114+BA114+BB114),0)</f>
        <v>27.435114837458539</v>
      </c>
      <c r="BD114" s="170">
        <f>IF(Escenarios!$E$17&gt;0,MIN(Constantes!$E$39*(BG113/Constantes!$E$40)^(2/3),BG113+AY114+AZ114+BA114+BB114-BC114),0)</f>
        <v>55.219649478433375</v>
      </c>
      <c r="BE114" s="170">
        <f>IF(Escenarios!$E$17&gt;0,MIN(Entradas!$E$113,BG113+AY114+AZ114+BA114+BB114-BC114-BD114),0)</f>
        <v>1</v>
      </c>
      <c r="BF114" s="170">
        <f>IF(Escenarios!$E$17&gt;0,MAX(0,BG113+AY114+AZ114+BA114+BB114-BC114-BD114-BE114-Constantes!$E$40),0)</f>
        <v>0</v>
      </c>
      <c r="BG114" s="170">
        <f t="shared" si="26"/>
        <v>3753.4326545135214</v>
      </c>
      <c r="BH114" s="170">
        <f>(Escenarios!$E$16*AK114+0.1*BC114)/(Escenarios!$E$19)</f>
        <v>0.87677243648359859</v>
      </c>
      <c r="BI114" s="170">
        <f>IF(Escenarios!$E$17&gt;0,BF114/10/Escenarios!$E$19,AL114)</f>
        <v>0</v>
      </c>
      <c r="BJ114" s="170">
        <f>(Escenarios!$E$16*AT114+0.1*BD114)/(Escenarios!$E$19)</f>
        <v>2.191255931683864E-2</v>
      </c>
      <c r="BK114" s="76">
        <f>BK113+(0.1*BD114)/(Escenarios!$E$19)-BL113</f>
        <v>50.237723466851691</v>
      </c>
      <c r="BL114" s="76">
        <f>MAX(0,(BK114-Constantes!$D$13)*(1-EXP(-Constantes!$D$23)))</f>
        <v>1.4658893667012342E-2</v>
      </c>
      <c r="BM114" s="76">
        <f t="shared" si="22"/>
        <v>1.0641620794088564</v>
      </c>
      <c r="BN114" s="76">
        <f t="shared" si="27"/>
        <v>1.0678501101041011</v>
      </c>
      <c r="BO114" s="76">
        <f>0.0526*BI114*Observaciones!$F113^1.218</f>
        <v>0</v>
      </c>
      <c r="BP114" s="76">
        <f>BO114*Constantes!$E$51</f>
        <v>0</v>
      </c>
      <c r="BQ114" s="76">
        <f t="shared" si="23"/>
        <v>0</v>
      </c>
      <c r="BR114" s="40"/>
    </row>
    <row r="115" spans="1:70">
      <c r="A115" s="147"/>
      <c r="B115" s="39"/>
      <c r="C115" s="75">
        <v>109</v>
      </c>
      <c r="D115" s="146">
        <f>ETo!$I114*((1-Constantes!$E$19)*ETo!$K114+ETo!$L114)</f>
        <v>3.500073428446278</v>
      </c>
      <c r="E115" s="76">
        <f>MIN(D115*Constantes!$E$17,0.8*(N114+Observaciones!$F114-F115-M115-Constantes!$D$14))</f>
        <v>0.49842612588930851</v>
      </c>
      <c r="F115" s="76">
        <f>IF(Observaciones!$F114&gt;0.05*Constantes!$E$18,((Observaciones!$F114-0.05*Constantes!$E$18)^2)/(Observaciones!$F114+0.95*Constantes!$E$18),0)</f>
        <v>0</v>
      </c>
      <c r="G115" s="76">
        <f>IF(Escenarios!$E$11&gt;0,(F115*Escenarios!$E$16*10000)/1000,0)</f>
        <v>0</v>
      </c>
      <c r="H115" s="76">
        <f>IF(Escenarios!$E$11&gt;0,(Observaciones!$F114*Constantes!$E$29)/1000,0)</f>
        <v>5</v>
      </c>
      <c r="I115" s="76">
        <f>IF(Escenarios!$E$11&gt;0,(D115*Constantes!$E$29)/1000,0)</f>
        <v>35.00073428446278</v>
      </c>
      <c r="J115" s="76">
        <f>IF(Escenarios!$E$11&gt;0,MAX(0,G115+H115-I115),0)</f>
        <v>0</v>
      </c>
      <c r="K115" s="76">
        <f>IF(Escenarios!$E$11&gt;0,IF(J115&gt;Constantes!$E$30,1000*((J115-Constantes!$E$30)/(Escenarios!$E$16*10000)),0),F115)</f>
        <v>0</v>
      </c>
      <c r="L115" s="76">
        <f>IF(Escenarios!$E$11&gt;0,I115*1000/Escenarios!$E$16/10000+E115,E115)</f>
        <v>0.51242641960309365</v>
      </c>
      <c r="M115" s="76">
        <f>MAX(0,N114+Observaciones!$F114-K115-Constantes!$D$13)</f>
        <v>0</v>
      </c>
      <c r="N115" s="76">
        <f>N114+Observaciones!$F114-K115-L115-M115-O114</f>
        <v>11.356415293786673</v>
      </c>
      <c r="O115" s="76">
        <f>MAX(0,(N115-Constantes!$D$14)*(1-EXP(-Constantes!$D$22)))</f>
        <v>3.6248955649151632E-3</v>
      </c>
      <c r="P115" s="170">
        <f>P114+(Entradas!$E$83*M115-Q114)/(800*Entradas!$D$25)</f>
        <v>0</v>
      </c>
      <c r="Q115" s="170">
        <f>8000*Entradas!$D$26*P115/Constantes!$E$45</f>
        <v>0</v>
      </c>
      <c r="R115" s="170">
        <f>IF(Escenarios!$E$14&gt;0,K115*Escenarios!$E$13/Escenarios!$E$14,0)</f>
        <v>0</v>
      </c>
      <c r="S115" s="170">
        <f>IF(Escenarios!$E$14&gt;0,Q115*Escenarios!$E$13/Escenarios!$E$14,0)</f>
        <v>0</v>
      </c>
      <c r="T115" s="170">
        <f>IF(Escenarios!$E$14&gt;0,Observaciones!$I114,0)</f>
        <v>0</v>
      </c>
      <c r="U115" s="170">
        <f>IF(Escenarios!$E$14&gt;0,MAX(0,Constantes!$E$36/((Z114+R115+S115+T115+Observaciones!$F114)^2)+Entradas!$E$77),0)</f>
        <v>0</v>
      </c>
      <c r="V115" s="146">
        <f>IF(ETo!D114&gt;0,ETo!I114*((1-Entradas!$E$81)*ETo!K114+ETo!L114),0)</f>
        <v>3.1792086420117447</v>
      </c>
      <c r="W115" s="170">
        <f>IF(Escenarios!$E$14&gt;0,MIN(V115*1,0.8*(Z114+R115+S115+T115+Observaciones!$F114-U115-Constantes!$E$35)),0)</f>
        <v>3.1792086420117447</v>
      </c>
      <c r="X115" s="170">
        <f>IF(Escenarios!$E$14&gt;0,Observaciones!$J114,0)</f>
        <v>0</v>
      </c>
      <c r="Y115" s="170">
        <f>IF(Escenarios!$E$14&gt;0,MAX(0,Z114+R115+S115+T115+Observaciones!$F114-U115-W115-X115-Constantes!$E$33),0)</f>
        <v>0</v>
      </c>
      <c r="Z115" s="170">
        <f>Z114+R115+S115+T115+Observaciones!$F114-U115-W115-Y115</f>
        <v>51.18284594545301</v>
      </c>
      <c r="AA115" s="170">
        <f>IF(Escenarios!$E$14&gt;0,(Escenarios!$E$13*L115+Escenarios!$E$14*W115)/(Escenarios!$E$16),L115)</f>
        <v>0.83244028629213174</v>
      </c>
      <c r="AB115" s="170">
        <f>IF(Escenarios!$E$14&gt;0,(Escenarios!$E$14*Y115)/(Escenarios!$E$16),K115)</f>
        <v>0</v>
      </c>
      <c r="AC115" s="170">
        <f>IF(Escenarios!$E$14&gt;0,(Escenarios!$E$13*M115+Escenarios!$E$14*U115)/(Escenarios!$E$16),M115)</f>
        <v>0</v>
      </c>
      <c r="AD115" s="76">
        <f t="shared" si="15"/>
        <v>154.21402733241598</v>
      </c>
      <c r="AE115" s="76">
        <f>MAX(0,(AD115-Constantes!$D$13)*(1-EXP(-Constantes!$D$23)))</f>
        <v>1.0391621808805458</v>
      </c>
      <c r="AF115" s="76">
        <f>AB115+O115*Escenarios!$E$13/Escenarios!$E$16+AE115</f>
        <v>1.0423520889776712</v>
      </c>
      <c r="AG115" s="76">
        <f>IF(Entradas!$E$91&gt;0,IF(AF115-Escenarios!$E$38&lt;=0,0,IF(AF115-Escenarios!$E$38&gt;Escenarios!$E$37,Escenarios!$E$37,AF115-Escenarios!$E$38)),0)</f>
        <v>0</v>
      </c>
      <c r="AH115" s="76">
        <f>AG115*Entradas!$E$99</f>
        <v>0</v>
      </c>
      <c r="AI115" s="76">
        <f>IF(Entradas!$E$91&gt;0,D115*Entradas!$D$23/Escenarios!$E$16,0)</f>
        <v>0</v>
      </c>
      <c r="AJ115" s="76">
        <f>IF(Entradas!$E$91&gt;0,Entradas!$D$24*Entradas!$D$22/Escenarios!$E$16,0)</f>
        <v>0</v>
      </c>
      <c r="AK115" s="76">
        <f t="shared" si="24"/>
        <v>0.83244028629213174</v>
      </c>
      <c r="AL115" s="76">
        <f t="shared" si="25"/>
        <v>0</v>
      </c>
      <c r="AM115" s="76">
        <f t="shared" si="16"/>
        <v>0</v>
      </c>
      <c r="AN115" s="76">
        <f>MAX(0,O115*Escenarios!$E$13/Escenarios!$E$16-AM115)</f>
        <v>3.1899080971253438E-3</v>
      </c>
      <c r="AO115" s="76">
        <f>AM115+AN115-O115*Escenarios!$E$13/Escenarios!$E$16</f>
        <v>0</v>
      </c>
      <c r="AP115" s="76">
        <f t="shared" si="14"/>
        <v>1.0391621808805458</v>
      </c>
      <c r="AQ115" s="76">
        <f t="shared" si="17"/>
        <v>0</v>
      </c>
      <c r="AR115" s="76">
        <f t="shared" si="18"/>
        <v>1.0423520889776712</v>
      </c>
      <c r="AS115" s="76">
        <f t="shared" si="19"/>
        <v>0</v>
      </c>
      <c r="AT115" s="76">
        <f t="shared" si="20"/>
        <v>0</v>
      </c>
      <c r="AU115" s="76">
        <f t="shared" si="21"/>
        <v>48.75</v>
      </c>
      <c r="AV115" s="76">
        <f>MAX(0,(AU115-Constantes!$D$13)*(1-EXP(-Constantes!$D$24)))</f>
        <v>0</v>
      </c>
      <c r="AW115" s="170">
        <f>AW114+(Entradas!$E$112*AT115-AX114)/(800*Entradas!$D$25)</f>
        <v>0</v>
      </c>
      <c r="AX115" s="170">
        <f>8000*Entradas!$D$26*AW115/Constantes!$E$45</f>
        <v>0</v>
      </c>
      <c r="AY115" s="170">
        <f>IF(Escenarios!$E$17&gt;0,10*Escenarios!$E$16*AL115,0)</f>
        <v>0</v>
      </c>
      <c r="AZ115" s="170">
        <f>IF(Escenarios!$E$17&gt;0,10*Escenarios!$E$16*AX115,0)</f>
        <v>0</v>
      </c>
      <c r="BA115" s="170">
        <f>IF(Escenarios!$E$17&gt;0,0.001*Observaciones!$F114*Escenarios!$E$17,0)</f>
        <v>10</v>
      </c>
      <c r="BB115" s="170">
        <f>IF(Escenarios!$E$17&gt;0,Observaciones!$K114,0)</f>
        <v>0</v>
      </c>
      <c r="BC115" s="170">
        <f>IF(Escenarios!$E$17&gt;0,MIN(0.0005*ETo!$M114*Escenarios!$E$17*(BG114/Constantes!$E$40)^(2/3),BG114+AY115+AZ115+BA115+BB115),0)</f>
        <v>27.307283474966486</v>
      </c>
      <c r="BD115" s="170">
        <f>IF(Escenarios!$E$17&gt;0,MIN(Constantes!$E$39*(BG114/Constantes!$E$40)^(2/3),BG114+AY115+AZ115+BA115+BB115-BC115),0)</f>
        <v>54.546879630170729</v>
      </c>
      <c r="BE115" s="170">
        <f>IF(Escenarios!$E$17&gt;0,MIN(Entradas!$E$113,BG114+AY115+AZ115+BA115+BB115-BC115-BD115),0)</f>
        <v>1</v>
      </c>
      <c r="BF115" s="170">
        <f>IF(Escenarios!$E$17&gt;0,MAX(0,BG114+AY115+AZ115+BA115+BB115-BC115-BD115-BE115-Constantes!$E$40),0)</f>
        <v>0</v>
      </c>
      <c r="BG115" s="170">
        <f t="shared" si="26"/>
        <v>3680.5784914083843</v>
      </c>
      <c r="BH115" s="170">
        <f>(Escenarios!$E$16*AK115+0.1*BC115)/(Escenarios!$E$19)</f>
        <v>0.83666984095448249</v>
      </c>
      <c r="BI115" s="170">
        <f>IF(Escenarios!$E$17&gt;0,BF115/10/Escenarios!$E$19,AL115)</f>
        <v>0</v>
      </c>
      <c r="BJ115" s="170">
        <f>(Escenarios!$E$16*AT115+0.1*BD115)/(Escenarios!$E$19)</f>
        <v>2.1645587154829653E-2</v>
      </c>
      <c r="BK115" s="76">
        <f>BK114+(0.1*BD115)/(Escenarios!$E$19)-BL114</f>
        <v>50.244710160339508</v>
      </c>
      <c r="BL115" s="76">
        <f>MAX(0,(BK115-Constantes!$D$13)*(1-EXP(-Constantes!$D$23)))</f>
        <v>1.472773522204855E-2</v>
      </c>
      <c r="BM115" s="76">
        <f t="shared" si="22"/>
        <v>1.0538899161025943</v>
      </c>
      <c r="BN115" s="76">
        <f t="shared" si="27"/>
        <v>1.0570798241997197</v>
      </c>
      <c r="BO115" s="76">
        <f>0.0526*BI115*Observaciones!$F114^1.218</f>
        <v>0</v>
      </c>
      <c r="BP115" s="76">
        <f>BO115*Constantes!$E$51</f>
        <v>0</v>
      </c>
      <c r="BQ115" s="76">
        <f t="shared" si="23"/>
        <v>0</v>
      </c>
      <c r="BR115" s="40"/>
    </row>
    <row r="116" spans="1:70">
      <c r="A116" s="147"/>
      <c r="B116" s="39"/>
      <c r="C116" s="75">
        <v>110</v>
      </c>
      <c r="D116" s="146">
        <f>ETo!$I115*((1-Constantes!$E$19)*ETo!$K115+ETo!$L115)</f>
        <v>3.5488102990920947</v>
      </c>
      <c r="E116" s="76">
        <f>MIN(D116*Constantes!$E$17,0.8*(N115+Observaciones!$F115-F116-M116-Constantes!$D$14))</f>
        <v>8.5132235029338699E-2</v>
      </c>
      <c r="F116" s="76">
        <f>IF(Observaciones!$F115&gt;0.05*Constantes!$E$18,((Observaciones!$F115-0.05*Constantes!$E$18)^2)/(Observaciones!$F115+0.95*Constantes!$E$18),0)</f>
        <v>0</v>
      </c>
      <c r="G116" s="76">
        <f>IF(Escenarios!$E$11&gt;0,(F116*Escenarios!$E$16*10000)/1000,0)</f>
        <v>0</v>
      </c>
      <c r="H116" s="76">
        <f>IF(Escenarios!$E$11&gt;0,(Observaciones!$F115*Constantes!$E$29)/1000,0)</f>
        <v>0</v>
      </c>
      <c r="I116" s="76">
        <f>IF(Escenarios!$E$11&gt;0,(D116*Constantes!$E$29)/1000,0)</f>
        <v>35.488102990920943</v>
      </c>
      <c r="J116" s="76">
        <f>IF(Escenarios!$E$11&gt;0,MAX(0,G116+H116-I116),0)</f>
        <v>0</v>
      </c>
      <c r="K116" s="76">
        <f>IF(Escenarios!$E$11&gt;0,IF(J116&gt;Constantes!$E$30,1000*((J116-Constantes!$E$30)/(Escenarios!$E$16*10000)),0),F116)</f>
        <v>0</v>
      </c>
      <c r="L116" s="76">
        <f>IF(Escenarios!$E$11&gt;0,I116*1000/Escenarios!$E$16/10000+E116,E116)</f>
        <v>9.9327476225707076E-2</v>
      </c>
      <c r="M116" s="76">
        <f>MAX(0,N115+Observaciones!$F115-K116-Constantes!$D$13)</f>
        <v>0</v>
      </c>
      <c r="N116" s="76">
        <f>N115+Observaciones!$F115-K116-L116-M116-O115</f>
        <v>11.253462921996052</v>
      </c>
      <c r="O116" s="76">
        <f>MAX(0,(N116-Constantes!$D$14)*(1-EXP(-Constantes!$D$22)))</f>
        <v>1.1795983583242579E-4</v>
      </c>
      <c r="P116" s="170">
        <f>P115+(Entradas!$E$83*M116-Q115)/(800*Entradas!$D$25)</f>
        <v>0</v>
      </c>
      <c r="Q116" s="170">
        <f>8000*Entradas!$D$26*P116/Constantes!$E$45</f>
        <v>0</v>
      </c>
      <c r="R116" s="170">
        <f>IF(Escenarios!$E$14&gt;0,K116*Escenarios!$E$13/Escenarios!$E$14,0)</f>
        <v>0</v>
      </c>
      <c r="S116" s="170">
        <f>IF(Escenarios!$E$14&gt;0,Q116*Escenarios!$E$13/Escenarios!$E$14,0)</f>
        <v>0</v>
      </c>
      <c r="T116" s="170">
        <f>IF(Escenarios!$E$14&gt;0,Observaciones!$I115,0)</f>
        <v>0</v>
      </c>
      <c r="U116" s="170">
        <f>IF(Escenarios!$E$14&gt;0,MAX(0,Constantes!$E$36/((Z115+R116+S116+T116+Observaciones!$F115)^2)+Entradas!$E$77),0)</f>
        <v>0</v>
      </c>
      <c r="V116" s="146">
        <f>IF(ETo!D115&gt;0,ETo!I115*((1-Entradas!$E$81)*ETo!K115+ETo!L115),0)</f>
        <v>3.2239463880657762</v>
      </c>
      <c r="W116" s="170">
        <f>IF(Escenarios!$E$14&gt;0,MIN(V116*1,0.8*(Z115+R116+S116+T116+Observaciones!$F115-U116-Constantes!$E$35)),0)</f>
        <v>3.2239463880657762</v>
      </c>
      <c r="X116" s="170">
        <f>IF(Escenarios!$E$14&gt;0,Observaciones!$J115,0)</f>
        <v>0</v>
      </c>
      <c r="Y116" s="170">
        <f>IF(Escenarios!$E$14&gt;0,MAX(0,Z115+R116+S116+T116+Observaciones!$F115-U116-W116-X116-Constantes!$E$33),0)</f>
        <v>0</v>
      </c>
      <c r="Z116" s="170">
        <f>Z115+R116+S116+T116+Observaciones!$F115-U116-W116-Y116</f>
        <v>47.958899557387234</v>
      </c>
      <c r="AA116" s="170">
        <f>IF(Escenarios!$E$14&gt;0,(Escenarios!$E$13*L116+Escenarios!$E$14*W116)/(Escenarios!$E$16),L116)</f>
        <v>0.47428174564651532</v>
      </c>
      <c r="AB116" s="170">
        <f>IF(Escenarios!$E$14&gt;0,(Escenarios!$E$14*Y116)/(Escenarios!$E$16),K116)</f>
        <v>0</v>
      </c>
      <c r="AC116" s="170">
        <f>IF(Escenarios!$E$14&gt;0,(Escenarios!$E$13*M116+Escenarios!$E$14*U116)/(Escenarios!$E$16),M116)</f>
        <v>0</v>
      </c>
      <c r="AD116" s="76">
        <f t="shared" si="15"/>
        <v>153.17486515153544</v>
      </c>
      <c r="AE116" s="76">
        <f>MAX(0,(AD116-Constantes!$D$13)*(1-EXP(-Constantes!$D$23)))</f>
        <v>1.0289230684031818</v>
      </c>
      <c r="AF116" s="76">
        <f>AB116+O116*Escenarios!$E$13/Escenarios!$E$16+AE116</f>
        <v>1.0290268730587144</v>
      </c>
      <c r="AG116" s="76">
        <f>IF(Entradas!$E$91&gt;0,IF(AF116-Escenarios!$E$38&lt;=0,0,IF(AF116-Escenarios!$E$38&gt;Escenarios!$E$37,Escenarios!$E$37,AF116-Escenarios!$E$38)),0)</f>
        <v>0</v>
      </c>
      <c r="AH116" s="76">
        <f>AG116*Entradas!$E$99</f>
        <v>0</v>
      </c>
      <c r="AI116" s="76">
        <f>IF(Entradas!$E$91&gt;0,D116*Entradas!$D$23/Escenarios!$E$16,0)</f>
        <v>0</v>
      </c>
      <c r="AJ116" s="76">
        <f>IF(Entradas!$E$91&gt;0,Entradas!$D$24*Entradas!$D$22/Escenarios!$E$16,0)</f>
        <v>0</v>
      </c>
      <c r="AK116" s="76">
        <f t="shared" si="24"/>
        <v>0.47428174564651532</v>
      </c>
      <c r="AL116" s="76">
        <f t="shared" si="25"/>
        <v>0</v>
      </c>
      <c r="AM116" s="76">
        <f t="shared" si="16"/>
        <v>0</v>
      </c>
      <c r="AN116" s="76">
        <f>MAX(0,O116*Escenarios!$E$13/Escenarios!$E$16-AM116)</f>
        <v>1.0380465553253469E-4</v>
      </c>
      <c r="AO116" s="76">
        <f>AM116+AN116-O116*Escenarios!$E$13/Escenarios!$E$16</f>
        <v>0</v>
      </c>
      <c r="AP116" s="76">
        <f t="shared" si="14"/>
        <v>1.0289230684031818</v>
      </c>
      <c r="AQ116" s="76">
        <f t="shared" si="17"/>
        <v>0</v>
      </c>
      <c r="AR116" s="76">
        <f t="shared" si="18"/>
        <v>1.0290268730587144</v>
      </c>
      <c r="AS116" s="76">
        <f t="shared" si="19"/>
        <v>0</v>
      </c>
      <c r="AT116" s="76">
        <f t="shared" si="20"/>
        <v>0</v>
      </c>
      <c r="AU116" s="76">
        <f t="shared" si="21"/>
        <v>48.75</v>
      </c>
      <c r="AV116" s="76">
        <f>MAX(0,(AU116-Constantes!$D$13)*(1-EXP(-Constantes!$D$24)))</f>
        <v>0</v>
      </c>
      <c r="AW116" s="170">
        <f>AW115+(Entradas!$E$112*AT116-AX115)/(800*Entradas!$D$25)</f>
        <v>0</v>
      </c>
      <c r="AX116" s="170">
        <f>8000*Entradas!$D$26*AW116/Constantes!$E$45</f>
        <v>0</v>
      </c>
      <c r="AY116" s="170">
        <f>IF(Escenarios!$E$17&gt;0,10*Escenarios!$E$16*AL116,0)</f>
        <v>0</v>
      </c>
      <c r="AZ116" s="170">
        <f>IF(Escenarios!$E$17&gt;0,10*Escenarios!$E$16*AX116,0)</f>
        <v>0</v>
      </c>
      <c r="BA116" s="170">
        <f>IF(Escenarios!$E$17&gt;0,0.001*Observaciones!$F115*Escenarios!$E$17,0)</f>
        <v>0</v>
      </c>
      <c r="BB116" s="170">
        <f>IF(Escenarios!$E$17&gt;0,Observaciones!$K115,0)</f>
        <v>0</v>
      </c>
      <c r="BC116" s="170">
        <f>IF(Escenarios!$E$17&gt;0,MIN(0.0005*ETo!$M115*Escenarios!$E$17*(BG115/Constantes!$E$40)^(2/3),BG115+AY116+AZ116+BA116+BB116),0)</f>
        <v>27.323114581959356</v>
      </c>
      <c r="BD116" s="170">
        <f>IF(Escenarios!$E$17&gt;0,MIN(Constantes!$E$39*(BG115/Constantes!$E$40)^(2/3),BG115+AY116+AZ116+BA116+BB116-BC116),0)</f>
        <v>53.838739358298888</v>
      </c>
      <c r="BE116" s="170">
        <f>IF(Escenarios!$E$17&gt;0,MIN(Entradas!$E$113,BG115+AY116+AZ116+BA116+BB116-BC116-BD116),0)</f>
        <v>1</v>
      </c>
      <c r="BF116" s="170">
        <f>IF(Escenarios!$E$17&gt;0,MAX(0,BG115+AY116+AZ116+BA116+BB116-BC116-BD116-BE116-Constantes!$E$40),0)</f>
        <v>0</v>
      </c>
      <c r="BG116" s="170">
        <f t="shared" si="26"/>
        <v>3598.4166374681258</v>
      </c>
      <c r="BH116" s="170">
        <f>(Escenarios!$E$16*AK116+0.1*BC116)/(Escenarios!$E$19)</f>
        <v>0.48136011059454276</v>
      </c>
      <c r="BI116" s="170">
        <f>IF(Escenarios!$E$17&gt;0,BF116/10/Escenarios!$E$19,AL116)</f>
        <v>0</v>
      </c>
      <c r="BJ116" s="170">
        <f>(Escenarios!$E$16*AT116+0.1*BD116)/(Escenarios!$E$19)</f>
        <v>2.1364579110436068E-2</v>
      </c>
      <c r="BK116" s="76">
        <f>BK115+(0.1*BD116)/(Escenarios!$E$19)-BL115</f>
        <v>50.251347004227895</v>
      </c>
      <c r="BL116" s="76">
        <f>MAX(0,(BK116-Constantes!$D$13)*(1-EXP(-Constantes!$D$23)))</f>
        <v>1.4793129625653885E-2</v>
      </c>
      <c r="BM116" s="76">
        <f t="shared" si="22"/>
        <v>1.0437161980288356</v>
      </c>
      <c r="BN116" s="76">
        <f t="shared" si="27"/>
        <v>1.0438200026843683</v>
      </c>
      <c r="BO116" s="76">
        <f>0.0526*BI116*Observaciones!$F115^1.218</f>
        <v>0</v>
      </c>
      <c r="BP116" s="76">
        <f>BO116*Constantes!$E$51</f>
        <v>0</v>
      </c>
      <c r="BQ116" s="76">
        <f t="shared" si="23"/>
        <v>0</v>
      </c>
      <c r="BR116" s="40"/>
    </row>
    <row r="117" spans="1:70">
      <c r="A117" s="147"/>
      <c r="B117" s="39"/>
      <c r="C117" s="75">
        <v>111</v>
      </c>
      <c r="D117" s="146">
        <f>ETo!$I116*((1-Constantes!$E$19)*ETo!$K116+ETo!$L116)</f>
        <v>3.3773451191173391</v>
      </c>
      <c r="E117" s="76">
        <f>MIN(D117*Constantes!$E$17,0.8*(N116+Observaciones!$F116-F117-M117-Constantes!$D$14))</f>
        <v>2.7703375968414438E-3</v>
      </c>
      <c r="F117" s="76">
        <f>IF(Observaciones!$F116&gt;0.05*Constantes!$E$18,((Observaciones!$F116-0.05*Constantes!$E$18)^2)/(Observaciones!$F116+0.95*Constantes!$E$18),0)</f>
        <v>0</v>
      </c>
      <c r="G117" s="76">
        <f>IF(Escenarios!$E$11&gt;0,(F117*Escenarios!$E$16*10000)/1000,0)</f>
        <v>0</v>
      </c>
      <c r="H117" s="76">
        <f>IF(Escenarios!$E$11&gt;0,(Observaciones!$F116*Constantes!$E$29)/1000,0)</f>
        <v>0</v>
      </c>
      <c r="I117" s="76">
        <f>IF(Escenarios!$E$11&gt;0,(D117*Constantes!$E$29)/1000,0)</f>
        <v>33.773451191173393</v>
      </c>
      <c r="J117" s="76">
        <f>IF(Escenarios!$E$11&gt;0,MAX(0,G117+H117-I117),0)</f>
        <v>0</v>
      </c>
      <c r="K117" s="76">
        <f>IF(Escenarios!$E$11&gt;0,IF(J117&gt;Constantes!$E$30,1000*((J117-Constantes!$E$30)/(Escenarios!$E$16*10000)),0),F117)</f>
        <v>0</v>
      </c>
      <c r="L117" s="76">
        <f>IF(Escenarios!$E$11&gt;0,I117*1000/Escenarios!$E$16/10000+E117,E117)</f>
        <v>1.62797180733108E-2</v>
      </c>
      <c r="M117" s="76">
        <f>MAX(0,N116+Observaciones!$F116-K117-Constantes!$D$13)</f>
        <v>0</v>
      </c>
      <c r="N117" s="76">
        <f>N116+Observaciones!$F116-K117-L117-M117-O116</f>
        <v>11.23706524408691</v>
      </c>
      <c r="O117" s="76">
        <f>MAX(0,(N117-Constantes!$D$14)*(1-EXP(-Constantes!$D$22)))</f>
        <v>0</v>
      </c>
      <c r="P117" s="170">
        <f>P116+(Entradas!$E$83*M117-Q116)/(800*Entradas!$D$25)</f>
        <v>0</v>
      </c>
      <c r="Q117" s="170">
        <f>8000*Entradas!$D$26*P117/Constantes!$E$45</f>
        <v>0</v>
      </c>
      <c r="R117" s="170">
        <f>IF(Escenarios!$E$14&gt;0,K117*Escenarios!$E$13/Escenarios!$E$14,0)</f>
        <v>0</v>
      </c>
      <c r="S117" s="170">
        <f>IF(Escenarios!$E$14&gt;0,Q117*Escenarios!$E$13/Escenarios!$E$14,0)</f>
        <v>0</v>
      </c>
      <c r="T117" s="170">
        <f>IF(Escenarios!$E$14&gt;0,Observaciones!$I116,0)</f>
        <v>0</v>
      </c>
      <c r="U117" s="170">
        <f>IF(Escenarios!$E$14&gt;0,MAX(0,Constantes!$E$36/((Z116+R117+S117+T117+Observaciones!$F116)^2)+Entradas!$E$77),0)</f>
        <v>0</v>
      </c>
      <c r="V117" s="146">
        <f>IF(ETo!D116&gt;0,ETo!I116*((1-Entradas!$E$81)*ETo!K116+ETo!L116),0)</f>
        <v>3.0656505609520206</v>
      </c>
      <c r="W117" s="170">
        <f>IF(Escenarios!$E$14&gt;0,MIN(V117*1,0.8*(Z116+R117+S117+T117+Observaciones!$F116-U117-Constantes!$E$35)),0)</f>
        <v>3.0656505609520206</v>
      </c>
      <c r="X117" s="170">
        <f>IF(Escenarios!$E$14&gt;0,Observaciones!$J116,0)</f>
        <v>0</v>
      </c>
      <c r="Y117" s="170">
        <f>IF(Escenarios!$E$14&gt;0,MAX(0,Z116+R117+S117+T117+Observaciones!$F116-U117-W117-X117-Constantes!$E$33),0)</f>
        <v>0</v>
      </c>
      <c r="Z117" s="170">
        <f>Z116+R117+S117+T117+Observaciones!$F116-U117-W117-Y117</f>
        <v>44.893248996435211</v>
      </c>
      <c r="AA117" s="170">
        <f>IF(Escenarios!$E$14&gt;0,(Escenarios!$E$13*L117+Escenarios!$E$14*W117)/(Escenarios!$E$16),L117)</f>
        <v>0.38220421921875597</v>
      </c>
      <c r="AB117" s="170">
        <f>IF(Escenarios!$E$14&gt;0,(Escenarios!$E$14*Y117)/(Escenarios!$E$16),K117)</f>
        <v>0</v>
      </c>
      <c r="AC117" s="170">
        <f>IF(Escenarios!$E$14&gt;0,(Escenarios!$E$13*M117+Escenarios!$E$14*U117)/(Escenarios!$E$16),M117)</f>
        <v>0</v>
      </c>
      <c r="AD117" s="76">
        <f t="shared" si="15"/>
        <v>152.14594208313227</v>
      </c>
      <c r="AE117" s="76">
        <f>MAX(0,(AD117-Constantes!$D$13)*(1-EXP(-Constantes!$D$23)))</f>
        <v>1.0187848443398237</v>
      </c>
      <c r="AF117" s="76">
        <f>AB117+O117*Escenarios!$E$13/Escenarios!$E$16+AE117</f>
        <v>1.0187848443398237</v>
      </c>
      <c r="AG117" s="76">
        <f>IF(Entradas!$E$91&gt;0,IF(AF117-Escenarios!$E$38&lt;=0,0,IF(AF117-Escenarios!$E$38&gt;Escenarios!$E$37,Escenarios!$E$37,AF117-Escenarios!$E$38)),0)</f>
        <v>0</v>
      </c>
      <c r="AH117" s="76">
        <f>AG117*Entradas!$E$99</f>
        <v>0</v>
      </c>
      <c r="AI117" s="76">
        <f>IF(Entradas!$E$91&gt;0,D117*Entradas!$D$23/Escenarios!$E$16,0)</f>
        <v>0</v>
      </c>
      <c r="AJ117" s="76">
        <f>IF(Entradas!$E$91&gt;0,Entradas!$D$24*Entradas!$D$22/Escenarios!$E$16,0)</f>
        <v>0</v>
      </c>
      <c r="AK117" s="76">
        <f t="shared" si="24"/>
        <v>0.38220421921875597</v>
      </c>
      <c r="AL117" s="76">
        <f t="shared" si="25"/>
        <v>0</v>
      </c>
      <c r="AM117" s="76">
        <f t="shared" si="16"/>
        <v>0</v>
      </c>
      <c r="AN117" s="76">
        <f>MAX(0,O117*Escenarios!$E$13/Escenarios!$E$16-AM117)</f>
        <v>0</v>
      </c>
      <c r="AO117" s="76">
        <f>AM117+AN117-O117*Escenarios!$E$13/Escenarios!$E$16</f>
        <v>0</v>
      </c>
      <c r="AP117" s="76">
        <f t="shared" si="14"/>
        <v>1.0187848443398237</v>
      </c>
      <c r="AQ117" s="76">
        <f t="shared" si="17"/>
        <v>0</v>
      </c>
      <c r="AR117" s="76">
        <f t="shared" si="18"/>
        <v>1.0187848443398237</v>
      </c>
      <c r="AS117" s="76">
        <f t="shared" si="19"/>
        <v>0</v>
      </c>
      <c r="AT117" s="76">
        <f t="shared" si="20"/>
        <v>0</v>
      </c>
      <c r="AU117" s="76">
        <f t="shared" si="21"/>
        <v>48.75</v>
      </c>
      <c r="AV117" s="76">
        <f>MAX(0,(AU117-Constantes!$D$13)*(1-EXP(-Constantes!$D$24)))</f>
        <v>0</v>
      </c>
      <c r="AW117" s="170">
        <f>AW116+(Entradas!$E$112*AT117-AX116)/(800*Entradas!$D$25)</f>
        <v>0</v>
      </c>
      <c r="AX117" s="170">
        <f>8000*Entradas!$D$26*AW117/Constantes!$E$45</f>
        <v>0</v>
      </c>
      <c r="AY117" s="170">
        <f>IF(Escenarios!$E$17&gt;0,10*Escenarios!$E$16*AL117,0)</f>
        <v>0</v>
      </c>
      <c r="AZ117" s="170">
        <f>IF(Escenarios!$E$17&gt;0,10*Escenarios!$E$16*AX117,0)</f>
        <v>0</v>
      </c>
      <c r="BA117" s="170">
        <f>IF(Escenarios!$E$17&gt;0,0.001*Observaciones!$F116*Escenarios!$E$17,0)</f>
        <v>0</v>
      </c>
      <c r="BB117" s="170">
        <f>IF(Escenarios!$E$17&gt;0,Observaciones!$K116,0)</f>
        <v>0</v>
      </c>
      <c r="BC117" s="170">
        <f>IF(Escenarios!$E$17&gt;0,MIN(0.0005*ETo!$M116*Escenarios!$E$17*(BG116/Constantes!$E$40)^(2/3),BG116+AY117+AZ117+BA117+BB117),0)</f>
        <v>25.640891221860109</v>
      </c>
      <c r="BD117" s="170">
        <f>IF(Escenarios!$E$17&gt;0,MIN(Constantes!$E$39*(BG116/Constantes!$E$40)^(2/3),BG116+AY117+AZ117+BA117+BB117-BC117),0)</f>
        <v>53.034497353441495</v>
      </c>
      <c r="BE117" s="170">
        <f>IF(Escenarios!$E$17&gt;0,MIN(Entradas!$E$113,BG116+AY117+AZ117+BA117+BB117-BC117-BD117),0)</f>
        <v>1</v>
      </c>
      <c r="BF117" s="170">
        <f>IF(Escenarios!$E$17&gt;0,MAX(0,BG116+AY117+AZ117+BA117+BB117-BC117-BD117-BE117-Constantes!$E$40),0)</f>
        <v>0</v>
      </c>
      <c r="BG117" s="170">
        <f t="shared" si="26"/>
        <v>3518.7412488928239</v>
      </c>
      <c r="BH117" s="170">
        <f>(Escenarios!$E$16*AK117+0.1*BC117)/(Escenarios!$E$19)</f>
        <v>0.38934580923363094</v>
      </c>
      <c r="BI117" s="170">
        <f>IF(Escenarios!$E$17&gt;0,BF117/10/Escenarios!$E$19,AL117)</f>
        <v>0</v>
      </c>
      <c r="BJ117" s="170">
        <f>(Escenarios!$E$16*AT117+0.1*BD117)/(Escenarios!$E$19)</f>
        <v>2.1045435457714881E-2</v>
      </c>
      <c r="BK117" s="76">
        <f>BK116+(0.1*BD117)/(Escenarios!$E$19)-BL116</f>
        <v>50.257599310059959</v>
      </c>
      <c r="BL117" s="76">
        <f>MAX(0,(BK117-Constantes!$D$13)*(1-EXP(-Constantes!$D$23)))</f>
        <v>1.4854735084200434E-2</v>
      </c>
      <c r="BM117" s="76">
        <f t="shared" si="22"/>
        <v>1.0336395794240243</v>
      </c>
      <c r="BN117" s="76">
        <f t="shared" si="27"/>
        <v>1.0336395794240243</v>
      </c>
      <c r="BO117" s="76">
        <f>0.0526*BI117*Observaciones!$F116^1.218</f>
        <v>0</v>
      </c>
      <c r="BP117" s="76">
        <f>BO117*Constantes!$E$51</f>
        <v>0</v>
      </c>
      <c r="BQ117" s="76">
        <f t="shared" si="23"/>
        <v>0</v>
      </c>
      <c r="BR117" s="40"/>
    </row>
    <row r="118" spans="1:70">
      <c r="A118" s="147"/>
      <c r="B118" s="39"/>
      <c r="C118" s="75">
        <v>112</v>
      </c>
      <c r="D118" s="146">
        <f>ETo!$I117*((1-Constantes!$E$19)*ETo!$K117+ETo!$L117)</f>
        <v>3.3112009579993882</v>
      </c>
      <c r="E118" s="76">
        <f>MIN(D118*Constantes!$E$17,0.8*(N117+Observaciones!$F117-F118-M118-Constantes!$D$14))</f>
        <v>0.46965219526952784</v>
      </c>
      <c r="F118" s="76">
        <f>IF(Observaciones!$F117&gt;0.05*Constantes!$E$18,((Observaciones!$F117-0.05*Constantes!$E$18)^2)/(Observaciones!$F117+0.95*Constantes!$E$18),0)</f>
        <v>0</v>
      </c>
      <c r="G118" s="76">
        <f>IF(Escenarios!$E$11&gt;0,(F118*Escenarios!$E$16*10000)/1000,0)</f>
        <v>0</v>
      </c>
      <c r="H118" s="76">
        <f>IF(Escenarios!$E$11&gt;0,(Observaciones!$F117*Constantes!$E$29)/1000,0)</f>
        <v>6</v>
      </c>
      <c r="I118" s="76">
        <f>IF(Escenarios!$E$11&gt;0,(D118*Constantes!$E$29)/1000,0)</f>
        <v>33.112009579993881</v>
      </c>
      <c r="J118" s="76">
        <f>IF(Escenarios!$E$11&gt;0,MAX(0,G118+H118-I118),0)</f>
        <v>0</v>
      </c>
      <c r="K118" s="76">
        <f>IF(Escenarios!$E$11&gt;0,IF(J118&gt;Constantes!$E$30,1000*((J118-Constantes!$E$30)/(Escenarios!$E$16*10000)),0),F118)</f>
        <v>0</v>
      </c>
      <c r="L118" s="76">
        <f>IF(Escenarios!$E$11&gt;0,I118*1000/Escenarios!$E$16/10000+E118,E118)</f>
        <v>0.48289699910152539</v>
      </c>
      <c r="M118" s="76">
        <f>MAX(0,N117+Observaciones!$F117-K118-Constantes!$D$13)</f>
        <v>0</v>
      </c>
      <c r="N118" s="76">
        <f>N117+Observaciones!$F117-K118-L118-M118-O117</f>
        <v>11.354168244985384</v>
      </c>
      <c r="O118" s="76">
        <f>MAX(0,(N118-Constantes!$D$14)*(1-EXP(-Constantes!$D$22)))</f>
        <v>3.5483528336582382E-3</v>
      </c>
      <c r="P118" s="170">
        <f>P117+(Entradas!$E$83*M118-Q117)/(800*Entradas!$D$25)</f>
        <v>0</v>
      </c>
      <c r="Q118" s="170">
        <f>8000*Entradas!$D$26*P118/Constantes!$E$45</f>
        <v>0</v>
      </c>
      <c r="R118" s="170">
        <f>IF(Escenarios!$E$14&gt;0,K118*Escenarios!$E$13/Escenarios!$E$14,0)</f>
        <v>0</v>
      </c>
      <c r="S118" s="170">
        <f>IF(Escenarios!$E$14&gt;0,Q118*Escenarios!$E$13/Escenarios!$E$14,0)</f>
        <v>0</v>
      </c>
      <c r="T118" s="170">
        <f>IF(Escenarios!$E$14&gt;0,Observaciones!$I117,0)</f>
        <v>0</v>
      </c>
      <c r="U118" s="170">
        <f>IF(Escenarios!$E$14&gt;0,MAX(0,Constantes!$E$36/((Z117+R118+S118+T118+Observaciones!$F117)^2)+Entradas!$E$77),0)</f>
        <v>0</v>
      </c>
      <c r="V118" s="146">
        <f>IF(ETo!D117&gt;0,ETo!I117*((1-Entradas!$E$81)*ETo!K117+ETo!L117),0)</f>
        <v>3.0045861750225153</v>
      </c>
      <c r="W118" s="170">
        <f>IF(Escenarios!$E$14&gt;0,MIN(V118*1,0.8*(Z117+R118+S118+T118+Observaciones!$F117-U118-Constantes!$E$35)),0)</f>
        <v>3.0045861750225153</v>
      </c>
      <c r="X118" s="170">
        <f>IF(Escenarios!$E$14&gt;0,Observaciones!$J117,0)</f>
        <v>0</v>
      </c>
      <c r="Y118" s="170">
        <f>IF(Escenarios!$E$14&gt;0,MAX(0,Z117+R118+S118+T118+Observaciones!$F117-U118-W118-X118-Constantes!$E$33),0)</f>
        <v>0</v>
      </c>
      <c r="Z118" s="170">
        <f>Z117+R118+S118+T118+Observaciones!$F117-U118-W118-Y118</f>
        <v>42.488662821412696</v>
      </c>
      <c r="AA118" s="170">
        <f>IF(Escenarios!$E$14&gt;0,(Escenarios!$E$13*L118+Escenarios!$E$14*W118)/(Escenarios!$E$16),L118)</f>
        <v>0.78549970021204418</v>
      </c>
      <c r="AB118" s="170">
        <f>IF(Escenarios!$E$14&gt;0,(Escenarios!$E$14*Y118)/(Escenarios!$E$16),K118)</f>
        <v>0</v>
      </c>
      <c r="AC118" s="170">
        <f>IF(Escenarios!$E$14&gt;0,(Escenarios!$E$13*M118+Escenarios!$E$14*U118)/(Escenarios!$E$16),M118)</f>
        <v>0</v>
      </c>
      <c r="AD118" s="76">
        <f t="shared" si="15"/>
        <v>151.12715723879245</v>
      </c>
      <c r="AE118" s="76">
        <f>MAX(0,(AD118-Constantes!$D$13)*(1-EXP(-Constantes!$D$23)))</f>
        <v>1.0087465146128989</v>
      </c>
      <c r="AF118" s="76">
        <f>AB118+O118*Escenarios!$E$13/Escenarios!$E$16+AE118</f>
        <v>1.0118690651065181</v>
      </c>
      <c r="AG118" s="76">
        <f>IF(Entradas!$E$91&gt;0,IF(AF118-Escenarios!$E$38&lt;=0,0,IF(AF118-Escenarios!$E$38&gt;Escenarios!$E$37,Escenarios!$E$37,AF118-Escenarios!$E$38)),0)</f>
        <v>0</v>
      </c>
      <c r="AH118" s="76">
        <f>AG118*Entradas!$E$99</f>
        <v>0</v>
      </c>
      <c r="AI118" s="76">
        <f>IF(Entradas!$E$91&gt;0,D118*Entradas!$D$23/Escenarios!$E$16,0)</f>
        <v>0</v>
      </c>
      <c r="AJ118" s="76">
        <f>IF(Entradas!$E$91&gt;0,Entradas!$D$24*Entradas!$D$22/Escenarios!$E$16,0)</f>
        <v>0</v>
      </c>
      <c r="AK118" s="76">
        <f t="shared" si="24"/>
        <v>0.78549970021204418</v>
      </c>
      <c r="AL118" s="76">
        <f t="shared" si="25"/>
        <v>0</v>
      </c>
      <c r="AM118" s="76">
        <f t="shared" si="16"/>
        <v>0</v>
      </c>
      <c r="AN118" s="76">
        <f>MAX(0,O118*Escenarios!$E$13/Escenarios!$E$16-AM118)</f>
        <v>3.1225504936192496E-3</v>
      </c>
      <c r="AO118" s="76">
        <f>AM118+AN118-O118*Escenarios!$E$13/Escenarios!$E$16</f>
        <v>0</v>
      </c>
      <c r="AP118" s="76">
        <f t="shared" si="14"/>
        <v>1.0087465146128989</v>
      </c>
      <c r="AQ118" s="76">
        <f t="shared" si="17"/>
        <v>0</v>
      </c>
      <c r="AR118" s="76">
        <f t="shared" si="18"/>
        <v>1.0118690651065181</v>
      </c>
      <c r="AS118" s="76">
        <f t="shared" si="19"/>
        <v>0</v>
      </c>
      <c r="AT118" s="76">
        <f t="shared" si="20"/>
        <v>0</v>
      </c>
      <c r="AU118" s="76">
        <f t="shared" si="21"/>
        <v>48.75</v>
      </c>
      <c r="AV118" s="76">
        <f>MAX(0,(AU118-Constantes!$D$13)*(1-EXP(-Constantes!$D$24)))</f>
        <v>0</v>
      </c>
      <c r="AW118" s="170">
        <f>AW117+(Entradas!$E$112*AT118-AX117)/(800*Entradas!$D$25)</f>
        <v>0</v>
      </c>
      <c r="AX118" s="170">
        <f>8000*Entradas!$D$26*AW118/Constantes!$E$45</f>
        <v>0</v>
      </c>
      <c r="AY118" s="170">
        <f>IF(Escenarios!$E$17&gt;0,10*Escenarios!$E$16*AL118,0)</f>
        <v>0</v>
      </c>
      <c r="AZ118" s="170">
        <f>IF(Escenarios!$E$17&gt;0,10*Escenarios!$E$16*AX118,0)</f>
        <v>0</v>
      </c>
      <c r="BA118" s="170">
        <f>IF(Escenarios!$E$17&gt;0,0.001*Observaciones!$F117*Escenarios!$E$17,0)</f>
        <v>11.999999999999998</v>
      </c>
      <c r="BB118" s="170">
        <f>IF(Escenarios!$E$17&gt;0,Observaciones!$K117,0)</f>
        <v>0</v>
      </c>
      <c r="BC118" s="170">
        <f>IF(Escenarios!$E$17&gt;0,MIN(0.0005*ETo!$M117*Escenarios!$E$17*(BG117/Constantes!$E$40)^(2/3),BG117+AY118+AZ118+BA118+BB118),0)</f>
        <v>24.776792703231632</v>
      </c>
      <c r="BD118" s="170">
        <f>IF(Escenarios!$E$17&gt;0,MIN(Constantes!$E$39*(BG117/Constantes!$E$40)^(2/3),BG117+AY118+AZ118+BA118+BB118-BC118),0)</f>
        <v>52.248727092895308</v>
      </c>
      <c r="BE118" s="170">
        <f>IF(Escenarios!$E$17&gt;0,MIN(Entradas!$E$113,BG117+AY118+AZ118+BA118+BB118-BC118-BD118),0)</f>
        <v>1</v>
      </c>
      <c r="BF118" s="170">
        <f>IF(Escenarios!$E$17&gt;0,MAX(0,BG117+AY118+AZ118+BA118+BB118-BC118-BD118-BE118-Constantes!$E$40),0)</f>
        <v>0</v>
      </c>
      <c r="BG118" s="170">
        <f t="shared" si="26"/>
        <v>3452.715729096697</v>
      </c>
      <c r="BH118" s="170">
        <f>(Escenarios!$E$16*AK118+0.1*BC118)/(Escenarios!$E$19)</f>
        <v>0.78909763620370721</v>
      </c>
      <c r="BI118" s="170">
        <f>IF(Escenarios!$E$17&gt;0,BF118/10/Escenarios!$E$19,AL118)</f>
        <v>0</v>
      </c>
      <c r="BJ118" s="170">
        <f>(Escenarios!$E$16*AT118+0.1*BD118)/(Escenarios!$E$19)</f>
        <v>2.0733621862260045E-2</v>
      </c>
      <c r="BK118" s="76">
        <f>BK117+(0.1*BD118)/(Escenarios!$E$19)-BL117</f>
        <v>50.263478196838022</v>
      </c>
      <c r="BL118" s="76">
        <f>MAX(0,(BK118-Constantes!$D$13)*(1-EXP(-Constantes!$D$23)))</f>
        <v>1.4912661155866432E-2</v>
      </c>
      <c r="BM118" s="76">
        <f t="shared" si="22"/>
        <v>1.0236591757687654</v>
      </c>
      <c r="BN118" s="76">
        <f t="shared" si="27"/>
        <v>1.0267817262623846</v>
      </c>
      <c r="BO118" s="76">
        <f>0.0526*BI118*Observaciones!$F117^1.218</f>
        <v>0</v>
      </c>
      <c r="BP118" s="76">
        <f>BO118*Constantes!$E$51</f>
        <v>0</v>
      </c>
      <c r="BQ118" s="76">
        <f t="shared" si="23"/>
        <v>0</v>
      </c>
      <c r="BR118" s="40"/>
    </row>
    <row r="119" spans="1:70">
      <c r="A119" s="147"/>
      <c r="B119" s="39"/>
      <c r="C119" s="75">
        <v>113</v>
      </c>
      <c r="D119" s="146">
        <f>ETo!$I118*((1-Constantes!$E$19)*ETo!$K118+ETo!$L118)</f>
        <v>3.223774260250821</v>
      </c>
      <c r="E119" s="76">
        <f>MIN(D119*Constantes!$E$17,0.8*(N118+Observaciones!$F118-F119-M119-Constantes!$D$14))</f>
        <v>8.3334595988307572E-2</v>
      </c>
      <c r="F119" s="76">
        <f>IF(Observaciones!$F118&gt;0.05*Constantes!$E$18,((Observaciones!$F118-0.05*Constantes!$E$18)^2)/(Observaciones!$F118+0.95*Constantes!$E$18),0)</f>
        <v>0</v>
      </c>
      <c r="G119" s="76">
        <f>IF(Escenarios!$E$11&gt;0,(F119*Escenarios!$E$16*10000)/1000,0)</f>
        <v>0</v>
      </c>
      <c r="H119" s="76">
        <f>IF(Escenarios!$E$11&gt;0,(Observaciones!$F118*Constantes!$E$29)/1000,0)</f>
        <v>0</v>
      </c>
      <c r="I119" s="76">
        <f>IF(Escenarios!$E$11&gt;0,(D119*Constantes!$E$29)/1000,0)</f>
        <v>32.237742602508213</v>
      </c>
      <c r="J119" s="76">
        <f>IF(Escenarios!$E$11&gt;0,MAX(0,G119+H119-I119),0)</f>
        <v>0</v>
      </c>
      <c r="K119" s="76">
        <f>IF(Escenarios!$E$11&gt;0,IF(J119&gt;Constantes!$E$30,1000*((J119-Constantes!$E$30)/(Escenarios!$E$16*10000)),0),F119)</f>
        <v>0</v>
      </c>
      <c r="L119" s="76">
        <f>IF(Escenarios!$E$11&gt;0,I119*1000/Escenarios!$E$16/10000+E119,E119)</f>
        <v>9.6229693029310864E-2</v>
      </c>
      <c r="M119" s="76">
        <f>MAX(0,N118+Observaciones!$F118-K119-Constantes!$D$13)</f>
        <v>0</v>
      </c>
      <c r="N119" s="76">
        <f>N118+Observaciones!$F118-K119-L119-M119-O118</f>
        <v>11.254390199122415</v>
      </c>
      <c r="O119" s="76">
        <f>MAX(0,(N119-Constantes!$D$14)*(1-EXP(-Constantes!$D$22)))</f>
        <v>1.4954629886038763E-4</v>
      </c>
      <c r="P119" s="170">
        <f>P118+(Entradas!$E$83*M119-Q118)/(800*Entradas!$D$25)</f>
        <v>0</v>
      </c>
      <c r="Q119" s="170">
        <f>8000*Entradas!$D$26*P119/Constantes!$E$45</f>
        <v>0</v>
      </c>
      <c r="R119" s="170">
        <f>IF(Escenarios!$E$14&gt;0,K119*Escenarios!$E$13/Escenarios!$E$14,0)</f>
        <v>0</v>
      </c>
      <c r="S119" s="170">
        <f>IF(Escenarios!$E$14&gt;0,Q119*Escenarios!$E$13/Escenarios!$E$14,0)</f>
        <v>0</v>
      </c>
      <c r="T119" s="170">
        <f>IF(Escenarios!$E$14&gt;0,Observaciones!$I118,0)</f>
        <v>0</v>
      </c>
      <c r="U119" s="170">
        <f>IF(Escenarios!$E$14&gt;0,MAX(0,Constantes!$E$36/((Z118+R119+S119+T119+Observaciones!$F118)^2)+Entradas!$E$77),0)</f>
        <v>0</v>
      </c>
      <c r="V119" s="146">
        <f>IF(ETo!D118&gt;0,ETo!I118*((1-Entradas!$E$81)*ETo!K118+ETo!L118),0)</f>
        <v>2.9241232371895163</v>
      </c>
      <c r="W119" s="170">
        <f>IF(Escenarios!$E$14&gt;0,MIN(V119*1,0.8*(Z118+R119+S119+T119+Observaciones!$F118-U119-Constantes!$E$35)),0)</f>
        <v>0.9909302571301567</v>
      </c>
      <c r="X119" s="170">
        <f>IF(Escenarios!$E$14&gt;0,Observaciones!$J118,0)</f>
        <v>0</v>
      </c>
      <c r="Y119" s="170">
        <f>IF(Escenarios!$E$14&gt;0,MAX(0,Z118+R119+S119+T119+Observaciones!$F118-U119-W119-X119-Constantes!$E$33),0)</f>
        <v>0</v>
      </c>
      <c r="Z119" s="170">
        <f>Z118+R119+S119+T119+Observaciones!$F118-U119-W119-Y119</f>
        <v>41.497732564282536</v>
      </c>
      <c r="AA119" s="170">
        <f>IF(Escenarios!$E$14&gt;0,(Escenarios!$E$13*L119+Escenarios!$E$14*W119)/(Escenarios!$E$16),L119)</f>
        <v>0.20359376072141236</v>
      </c>
      <c r="AB119" s="170">
        <f>IF(Escenarios!$E$14&gt;0,(Escenarios!$E$14*Y119)/(Escenarios!$E$16),K119)</f>
        <v>0</v>
      </c>
      <c r="AC119" s="170">
        <f>IF(Escenarios!$E$14&gt;0,(Escenarios!$E$13*M119+Escenarios!$E$14*U119)/(Escenarios!$E$16),M119)</f>
        <v>0</v>
      </c>
      <c r="AD119" s="76">
        <f t="shared" si="15"/>
        <v>150.11841072417954</v>
      </c>
      <c r="AE119" s="76">
        <f>MAX(0,(AD119-Constantes!$D$13)*(1-EXP(-Constantes!$D$23)))</f>
        <v>0.99880709493971709</v>
      </c>
      <c r="AF119" s="76">
        <f>AB119+O119*Escenarios!$E$13/Escenarios!$E$16+AE119</f>
        <v>0.99893869568271421</v>
      </c>
      <c r="AG119" s="76">
        <f>IF(Entradas!$E$91&gt;0,IF(AF119-Escenarios!$E$38&lt;=0,0,IF(AF119-Escenarios!$E$38&gt;Escenarios!$E$37,Escenarios!$E$37,AF119-Escenarios!$E$38)),0)</f>
        <v>0</v>
      </c>
      <c r="AH119" s="76">
        <f>AG119*Entradas!$E$99</f>
        <v>0</v>
      </c>
      <c r="AI119" s="76">
        <f>IF(Entradas!$E$91&gt;0,D119*Entradas!$D$23/Escenarios!$E$16,0)</f>
        <v>0</v>
      </c>
      <c r="AJ119" s="76">
        <f>IF(Entradas!$E$91&gt;0,Entradas!$D$24*Entradas!$D$22/Escenarios!$E$16,0)</f>
        <v>0</v>
      </c>
      <c r="AK119" s="76">
        <f t="shared" si="24"/>
        <v>0.20359376072141236</v>
      </c>
      <c r="AL119" s="76">
        <f t="shared" si="25"/>
        <v>0</v>
      </c>
      <c r="AM119" s="76">
        <f t="shared" si="16"/>
        <v>0</v>
      </c>
      <c r="AN119" s="76">
        <f>MAX(0,O119*Escenarios!$E$13/Escenarios!$E$16-AM119)</f>
        <v>1.3160074299714111E-4</v>
      </c>
      <c r="AO119" s="76">
        <f>AM119+AN119-O119*Escenarios!$E$13/Escenarios!$E$16</f>
        <v>0</v>
      </c>
      <c r="AP119" s="76">
        <f t="shared" si="14"/>
        <v>0.99880709493971709</v>
      </c>
      <c r="AQ119" s="76">
        <f t="shared" si="17"/>
        <v>0</v>
      </c>
      <c r="AR119" s="76">
        <f t="shared" si="18"/>
        <v>0.99893869568271421</v>
      </c>
      <c r="AS119" s="76">
        <f t="shared" si="19"/>
        <v>0</v>
      </c>
      <c r="AT119" s="76">
        <f t="shared" si="20"/>
        <v>0</v>
      </c>
      <c r="AU119" s="76">
        <f t="shared" si="21"/>
        <v>48.75</v>
      </c>
      <c r="AV119" s="76">
        <f>MAX(0,(AU119-Constantes!$D$13)*(1-EXP(-Constantes!$D$24)))</f>
        <v>0</v>
      </c>
      <c r="AW119" s="170">
        <f>AW118+(Entradas!$E$112*AT119-AX118)/(800*Entradas!$D$25)</f>
        <v>0</v>
      </c>
      <c r="AX119" s="170">
        <f>8000*Entradas!$D$26*AW119/Constantes!$E$45</f>
        <v>0</v>
      </c>
      <c r="AY119" s="170">
        <f>IF(Escenarios!$E$17&gt;0,10*Escenarios!$E$16*AL119,0)</f>
        <v>0</v>
      </c>
      <c r="AZ119" s="170">
        <f>IF(Escenarios!$E$17&gt;0,10*Escenarios!$E$16*AX119,0)</f>
        <v>0</v>
      </c>
      <c r="BA119" s="170">
        <f>IF(Escenarios!$E$17&gt;0,0.001*Observaciones!$F118*Escenarios!$E$17,0)</f>
        <v>0</v>
      </c>
      <c r="BB119" s="170">
        <f>IF(Escenarios!$E$17&gt;0,Observaciones!$K118,0)</f>
        <v>0</v>
      </c>
      <c r="BC119" s="170">
        <f>IF(Escenarios!$E$17&gt;0,MIN(0.0005*ETo!$M118*Escenarios!$E$17*(BG118/Constantes!$E$40)^(2/3),BG118+AY119+AZ119+BA119+BB119),0)</f>
        <v>23.831380724148712</v>
      </c>
      <c r="BD119" s="170">
        <f>IF(Escenarios!$E$17&gt;0,MIN(Constantes!$E$39*(BG118/Constantes!$E$40)^(2/3),BG118+AY119+AZ119+BA119+BB119-BC119),0)</f>
        <v>51.59307050404167</v>
      </c>
      <c r="BE119" s="170">
        <f>IF(Escenarios!$E$17&gt;0,MIN(Entradas!$E$113,BG118+AY119+AZ119+BA119+BB119-BC119-BD119),0)</f>
        <v>1</v>
      </c>
      <c r="BF119" s="170">
        <f>IF(Escenarios!$E$17&gt;0,MAX(0,BG118+AY119+AZ119+BA119+BB119-BC119-BD119-BE119-Constantes!$E$40),0)</f>
        <v>0</v>
      </c>
      <c r="BG119" s="170">
        <f t="shared" si="26"/>
        <v>3376.2912778685063</v>
      </c>
      <c r="BH119" s="170">
        <f>(Escenarios!$E$16*AK119+0.1*BC119)/(Escenarios!$E$19)</f>
        <v>0.2114348343363808</v>
      </c>
      <c r="BI119" s="170">
        <f>IF(Escenarios!$E$17&gt;0,BF119/10/Escenarios!$E$19,AL119)</f>
        <v>0</v>
      </c>
      <c r="BJ119" s="170">
        <f>(Escenarios!$E$16*AT119+0.1*BD119)/(Escenarios!$E$19)</f>
        <v>2.0473440676207013E-2</v>
      </c>
      <c r="BK119" s="76">
        <f>BK118+(0.1*BD119)/(Escenarios!$E$19)-BL118</f>
        <v>50.26903897635836</v>
      </c>
      <c r="BL119" s="76">
        <f>MAX(0,(BK119-Constantes!$D$13)*(1-EXP(-Constantes!$D$23)))</f>
        <v>1.4967452840954807E-2</v>
      </c>
      <c r="BM119" s="76">
        <f t="shared" si="22"/>
        <v>1.0137745477806719</v>
      </c>
      <c r="BN119" s="76">
        <f t="shared" si="27"/>
        <v>1.0139061485236691</v>
      </c>
      <c r="BO119" s="76">
        <f>0.0526*BI119*Observaciones!$F118^1.218</f>
        <v>0</v>
      </c>
      <c r="BP119" s="76">
        <f>BO119*Constantes!$E$51</f>
        <v>0</v>
      </c>
      <c r="BQ119" s="76">
        <f t="shared" si="23"/>
        <v>0</v>
      </c>
      <c r="BR119" s="40"/>
    </row>
    <row r="120" spans="1:70">
      <c r="A120" s="147"/>
      <c r="B120" s="39"/>
      <c r="C120" s="75">
        <v>114</v>
      </c>
      <c r="D120" s="146">
        <f>ETo!$I119*((1-Constantes!$E$19)*ETo!$K119+ETo!$L119)</f>
        <v>3.282255028891695</v>
      </c>
      <c r="E120" s="76">
        <f>MIN(D120*Constantes!$E$17,0.8*(N119+Observaciones!$F119-F120-M120-Constantes!$D$14))</f>
        <v>3.5121592979322717E-3</v>
      </c>
      <c r="F120" s="76">
        <f>IF(Observaciones!$F119&gt;0.05*Constantes!$E$18,((Observaciones!$F119-0.05*Constantes!$E$18)^2)/(Observaciones!$F119+0.95*Constantes!$E$18),0)</f>
        <v>0</v>
      </c>
      <c r="G120" s="76">
        <f>IF(Escenarios!$E$11&gt;0,(F120*Escenarios!$E$16*10000)/1000,0)</f>
        <v>0</v>
      </c>
      <c r="H120" s="76">
        <f>IF(Escenarios!$E$11&gt;0,(Observaciones!$F119*Constantes!$E$29)/1000,0)</f>
        <v>0</v>
      </c>
      <c r="I120" s="76">
        <f>IF(Escenarios!$E$11&gt;0,(D120*Constantes!$E$29)/1000,0)</f>
        <v>32.82255028891695</v>
      </c>
      <c r="J120" s="76">
        <f>IF(Escenarios!$E$11&gt;0,MAX(0,G120+H120-I120),0)</f>
        <v>0</v>
      </c>
      <c r="K120" s="76">
        <f>IF(Escenarios!$E$11&gt;0,IF(J120&gt;Constantes!$E$30,1000*((J120-Constantes!$E$30)/(Escenarios!$E$16*10000)),0),F120)</f>
        <v>0</v>
      </c>
      <c r="L120" s="76">
        <f>IF(Escenarios!$E$11&gt;0,I120*1000/Escenarios!$E$16/10000+E120,E120)</f>
        <v>1.6641179413499053E-2</v>
      </c>
      <c r="M120" s="76">
        <f>MAX(0,N119+Observaciones!$F119-K120-Constantes!$D$13)</f>
        <v>0</v>
      </c>
      <c r="N120" s="76">
        <f>N119+Observaciones!$F119-K120-L120-M120-O119</f>
        <v>11.237599473410055</v>
      </c>
      <c r="O120" s="76">
        <f>MAX(0,(N120-Constantes!$D$14)*(1-EXP(-Constantes!$D$22)))</f>
        <v>0</v>
      </c>
      <c r="P120" s="170">
        <f>P119+(Entradas!$E$83*M120-Q119)/(800*Entradas!$D$25)</f>
        <v>0</v>
      </c>
      <c r="Q120" s="170">
        <f>8000*Entradas!$D$26*P120/Constantes!$E$45</f>
        <v>0</v>
      </c>
      <c r="R120" s="170">
        <f>IF(Escenarios!$E$14&gt;0,K120*Escenarios!$E$13/Escenarios!$E$14,0)</f>
        <v>0</v>
      </c>
      <c r="S120" s="170">
        <f>IF(Escenarios!$E$14&gt;0,Q120*Escenarios!$E$13/Escenarios!$E$14,0)</f>
        <v>0</v>
      </c>
      <c r="T120" s="170">
        <f>IF(Escenarios!$E$14&gt;0,Observaciones!$I119,0)</f>
        <v>0</v>
      </c>
      <c r="U120" s="170">
        <f>IF(Escenarios!$E$14&gt;0,MAX(0,Constantes!$E$36/((Z119+R120+S120+T120+Observaciones!$F119)^2)+Entradas!$E$77),0)</f>
        <v>0</v>
      </c>
      <c r="V120" s="146">
        <f>IF(ETo!D119&gt;0,ETo!I119*((1-Entradas!$E$81)*ETo!K119+ETo!L119),0)</f>
        <v>2.9773449557449227</v>
      </c>
      <c r="W120" s="170">
        <f>IF(Escenarios!$E$14&gt;0,MIN(V120*1,0.8*(Z119+R120+S120+T120+Observaciones!$F119-U120-Constantes!$E$35)),0)</f>
        <v>0.19818605142602908</v>
      </c>
      <c r="X120" s="170">
        <f>IF(Escenarios!$E$14&gt;0,Observaciones!$J119,0)</f>
        <v>0</v>
      </c>
      <c r="Y120" s="170">
        <f>IF(Escenarios!$E$14&gt;0,MAX(0,Z119+R120+S120+T120+Observaciones!$F119-U120-W120-X120-Constantes!$E$33),0)</f>
        <v>0</v>
      </c>
      <c r="Z120" s="170">
        <f>Z119+R120+S120+T120+Observaciones!$F119-U120-W120-Y120</f>
        <v>41.299546512856509</v>
      </c>
      <c r="AA120" s="170">
        <f>IF(Escenarios!$E$14&gt;0,(Escenarios!$E$13*L120+Escenarios!$E$14*W120)/(Escenarios!$E$16),L120)</f>
        <v>3.8426564055002659E-2</v>
      </c>
      <c r="AB120" s="170">
        <f>IF(Escenarios!$E$14&gt;0,(Escenarios!$E$14*Y120)/(Escenarios!$E$16),K120)</f>
        <v>0</v>
      </c>
      <c r="AC120" s="170">
        <f>IF(Escenarios!$E$14&gt;0,(Escenarios!$E$13*M120+Escenarios!$E$14*U120)/(Escenarios!$E$16),M120)</f>
        <v>0</v>
      </c>
      <c r="AD120" s="76">
        <f t="shared" si="15"/>
        <v>149.11960362923983</v>
      </c>
      <c r="AE120" s="76">
        <f>MAX(0,(AD120-Constantes!$D$13)*(1-EXP(-Constantes!$D$23)))</f>
        <v>0.98896561073596068</v>
      </c>
      <c r="AF120" s="76">
        <f>AB120+O120*Escenarios!$E$13/Escenarios!$E$16+AE120</f>
        <v>0.98896561073596068</v>
      </c>
      <c r="AG120" s="76">
        <f>IF(Entradas!$E$91&gt;0,IF(AF120-Escenarios!$E$38&lt;=0,0,IF(AF120-Escenarios!$E$38&gt;Escenarios!$E$37,Escenarios!$E$37,AF120-Escenarios!$E$38)),0)</f>
        <v>0</v>
      </c>
      <c r="AH120" s="76">
        <f>AG120*Entradas!$E$99</f>
        <v>0</v>
      </c>
      <c r="AI120" s="76">
        <f>IF(Entradas!$E$91&gt;0,D120*Entradas!$D$23/Escenarios!$E$16,0)</f>
        <v>0</v>
      </c>
      <c r="AJ120" s="76">
        <f>IF(Entradas!$E$91&gt;0,Entradas!$D$24*Entradas!$D$22/Escenarios!$E$16,0)</f>
        <v>0</v>
      </c>
      <c r="AK120" s="76">
        <f t="shared" si="24"/>
        <v>3.8426564055002659E-2</v>
      </c>
      <c r="AL120" s="76">
        <f t="shared" si="25"/>
        <v>0</v>
      </c>
      <c r="AM120" s="76">
        <f t="shared" si="16"/>
        <v>0</v>
      </c>
      <c r="AN120" s="76">
        <f>MAX(0,O120*Escenarios!$E$13/Escenarios!$E$16-AM120)</f>
        <v>0</v>
      </c>
      <c r="AO120" s="76">
        <f>AM120+AN120-O120*Escenarios!$E$13/Escenarios!$E$16</f>
        <v>0</v>
      </c>
      <c r="AP120" s="76">
        <f t="shared" si="14"/>
        <v>0.98896561073596068</v>
      </c>
      <c r="AQ120" s="76">
        <f t="shared" si="17"/>
        <v>0</v>
      </c>
      <c r="AR120" s="76">
        <f t="shared" si="18"/>
        <v>0.98896561073596068</v>
      </c>
      <c r="AS120" s="76">
        <f t="shared" si="19"/>
        <v>0</v>
      </c>
      <c r="AT120" s="76">
        <f t="shared" si="20"/>
        <v>0</v>
      </c>
      <c r="AU120" s="76">
        <f t="shared" si="21"/>
        <v>48.75</v>
      </c>
      <c r="AV120" s="76">
        <f>MAX(0,(AU120-Constantes!$D$13)*(1-EXP(-Constantes!$D$24)))</f>
        <v>0</v>
      </c>
      <c r="AW120" s="170">
        <f>AW119+(Entradas!$E$112*AT120-AX119)/(800*Entradas!$D$25)</f>
        <v>0</v>
      </c>
      <c r="AX120" s="170">
        <f>8000*Entradas!$D$26*AW120/Constantes!$E$45</f>
        <v>0</v>
      </c>
      <c r="AY120" s="170">
        <f>IF(Escenarios!$E$17&gt;0,10*Escenarios!$E$16*AL120,0)</f>
        <v>0</v>
      </c>
      <c r="AZ120" s="170">
        <f>IF(Escenarios!$E$17&gt;0,10*Escenarios!$E$16*AX120,0)</f>
        <v>0</v>
      </c>
      <c r="BA120" s="170">
        <f>IF(Escenarios!$E$17&gt;0,0.001*Observaciones!$F119*Escenarios!$E$17,0)</f>
        <v>0</v>
      </c>
      <c r="BB120" s="170">
        <f>IF(Escenarios!$E$17&gt;0,Observaciones!$K119,0)</f>
        <v>39.792677602929452</v>
      </c>
      <c r="BC120" s="170">
        <f>IF(Escenarios!$E$17&gt;0,MIN(0.0005*ETo!$M119*Escenarios!$E$17*(BG119/Constantes!$E$40)^(2/3),BG119+AY120+AZ120+BA120+BB120),0)</f>
        <v>23.902547273035623</v>
      </c>
      <c r="BD120" s="170">
        <f>IF(Escenarios!$E$17&gt;0,MIN(Constantes!$E$39*(BG119/Constantes!$E$40)^(2/3),BG119+AY120+AZ120+BA120+BB120-BC120),0)</f>
        <v>50.828906215844327</v>
      </c>
      <c r="BE120" s="170">
        <f>IF(Escenarios!$E$17&gt;0,MIN(Entradas!$E$113,BG119+AY120+AZ120+BA120+BB120-BC120-BD120),0)</f>
        <v>1</v>
      </c>
      <c r="BF120" s="170">
        <f>IF(Escenarios!$E$17&gt;0,MAX(0,BG119+AY120+AZ120+BA120+BB120-BC120-BD120-BE120-Constantes!$E$40),0)</f>
        <v>0</v>
      </c>
      <c r="BG120" s="170">
        <f t="shared" si="26"/>
        <v>3340.3525019825561</v>
      </c>
      <c r="BH120" s="170">
        <f>(Escenarios!$E$16*AK120+0.1*BC120)/(Escenarios!$E$19)</f>
        <v>4.7606729131167563E-2</v>
      </c>
      <c r="BI120" s="170">
        <f>IF(Escenarios!$E$17&gt;0,BF120/10/Escenarios!$E$19,AL120)</f>
        <v>0</v>
      </c>
      <c r="BJ120" s="170">
        <f>(Escenarios!$E$16*AT120+0.1*BD120)/(Escenarios!$E$19)</f>
        <v>2.0170200879303303E-2</v>
      </c>
      <c r="BK120" s="76">
        <f>BK119+(0.1*BD120)/(Escenarios!$E$19)-BL119</f>
        <v>50.27424172439671</v>
      </c>
      <c r="BL120" s="76">
        <f>MAX(0,(BK120-Constantes!$D$13)*(1-EXP(-Constantes!$D$23)))</f>
        <v>1.5018716756574707E-2</v>
      </c>
      <c r="BM120" s="76">
        <f t="shared" si="22"/>
        <v>1.0039843274925353</v>
      </c>
      <c r="BN120" s="76">
        <f t="shared" si="27"/>
        <v>1.0039843274925353</v>
      </c>
      <c r="BO120" s="76">
        <f>0.0526*BI120*Observaciones!$F119^1.218</f>
        <v>0</v>
      </c>
      <c r="BP120" s="76">
        <f>BO120*Constantes!$E$51</f>
        <v>0</v>
      </c>
      <c r="BQ120" s="76">
        <f t="shared" si="23"/>
        <v>0</v>
      </c>
      <c r="BR120" s="40"/>
    </row>
    <row r="121" spans="1:70">
      <c r="A121" s="147"/>
      <c r="B121" s="39"/>
      <c r="C121" s="75">
        <v>115</v>
      </c>
      <c r="D121" s="146">
        <f>ETo!$I120*((1-Constantes!$E$19)*ETo!$K120+ETo!$L120)</f>
        <v>3.2424153639281825</v>
      </c>
      <c r="E121" s="76">
        <f>MIN(D121*Constantes!$E$17,0.8*(N120+Observaciones!$F120-F121-M121-Constantes!$D$14))</f>
        <v>-9.9204212719556043E-3</v>
      </c>
      <c r="F121" s="76">
        <f>IF(Observaciones!$F120&gt;0.05*Constantes!$E$18,((Observaciones!$F120-0.05*Constantes!$E$18)^2)/(Observaciones!$F120+0.95*Constantes!$E$18),0)</f>
        <v>0</v>
      </c>
      <c r="G121" s="76">
        <f>IF(Escenarios!$E$11&gt;0,(F121*Escenarios!$E$16*10000)/1000,0)</f>
        <v>0</v>
      </c>
      <c r="H121" s="76">
        <f>IF(Escenarios!$E$11&gt;0,(Observaciones!$F120*Constantes!$E$29)/1000,0)</f>
        <v>0</v>
      </c>
      <c r="I121" s="76">
        <f>IF(Escenarios!$E$11&gt;0,(D121*Constantes!$E$29)/1000,0)</f>
        <v>32.424153639281826</v>
      </c>
      <c r="J121" s="76">
        <f>IF(Escenarios!$E$11&gt;0,MAX(0,G121+H121-I121),0)</f>
        <v>0</v>
      </c>
      <c r="K121" s="76">
        <f>IF(Escenarios!$E$11&gt;0,IF(J121&gt;Constantes!$E$30,1000*((J121-Constantes!$E$30)/(Escenarios!$E$16*10000)),0),F121)</f>
        <v>0</v>
      </c>
      <c r="L121" s="76">
        <f>IF(Escenarios!$E$11&gt;0,I121*1000/Escenarios!$E$16/10000+E121,E121)</f>
        <v>3.0492401837571258E-3</v>
      </c>
      <c r="M121" s="76">
        <f>MAX(0,N120+Observaciones!$F120-K121-Constantes!$D$13)</f>
        <v>0</v>
      </c>
      <c r="N121" s="76">
        <f>N120+Observaciones!$F120-K121-L121-M121-O120</f>
        <v>11.234550233226299</v>
      </c>
      <c r="O121" s="76">
        <f>MAX(0,(N121-Constantes!$D$14)*(1-EXP(-Constantes!$D$22)))</f>
        <v>0</v>
      </c>
      <c r="P121" s="170">
        <f>P120+(Entradas!$E$83*M121-Q120)/(800*Entradas!$D$25)</f>
        <v>0</v>
      </c>
      <c r="Q121" s="170">
        <f>8000*Entradas!$D$26*P121/Constantes!$E$45</f>
        <v>0</v>
      </c>
      <c r="R121" s="170">
        <f>IF(Escenarios!$E$14&gt;0,K121*Escenarios!$E$13/Escenarios!$E$14,0)</f>
        <v>0</v>
      </c>
      <c r="S121" s="170">
        <f>IF(Escenarios!$E$14&gt;0,Q121*Escenarios!$E$13/Escenarios!$E$14,0)</f>
        <v>0</v>
      </c>
      <c r="T121" s="170">
        <f>IF(Escenarios!$E$14&gt;0,Observaciones!$I120,0)</f>
        <v>0</v>
      </c>
      <c r="U121" s="170">
        <f>IF(Escenarios!$E$14&gt;0,MAX(0,Constantes!$E$36/((Z120+R121+S121+T121+Observaciones!$F120)^2)+Entradas!$E$77),0)</f>
        <v>0</v>
      </c>
      <c r="V121" s="146">
        <f>IF(ETo!D120&gt;0,ETo!I120*((1-Entradas!$E$81)*ETo!K120+ETo!L120),0)</f>
        <v>2.9404618385484489</v>
      </c>
      <c r="W121" s="170">
        <f>IF(Escenarios!$E$14&gt;0,MIN(V121*1,0.8*(Z120+R121+S121+T121+Observaciones!$F120-U121-Constantes!$E$35)),0)</f>
        <v>3.9637210285206947E-2</v>
      </c>
      <c r="X121" s="170">
        <f>IF(Escenarios!$E$14&gt;0,Observaciones!$J120,0)</f>
        <v>0</v>
      </c>
      <c r="Y121" s="170">
        <f>IF(Escenarios!$E$14&gt;0,MAX(0,Z120+R121+S121+T121+Observaciones!$F120-U121-W121-X121-Constantes!$E$33),0)</f>
        <v>0</v>
      </c>
      <c r="Z121" s="170">
        <f>Z120+R121+S121+T121+Observaciones!$F120-U121-W121-Y121</f>
        <v>41.259909302571302</v>
      </c>
      <c r="AA121" s="170">
        <f>IF(Escenarios!$E$14&gt;0,(Escenarios!$E$13*L121+Escenarios!$E$14*W121)/(Escenarios!$E$16),L121)</f>
        <v>7.4397965959311051E-3</v>
      </c>
      <c r="AB121" s="170">
        <f>IF(Escenarios!$E$14&gt;0,(Escenarios!$E$14*Y121)/(Escenarios!$E$16),K121)</f>
        <v>0</v>
      </c>
      <c r="AC121" s="170">
        <f>IF(Escenarios!$E$14&gt;0,(Escenarios!$E$13*M121+Escenarios!$E$14*U121)/(Escenarios!$E$16),M121)</f>
        <v>0</v>
      </c>
      <c r="AD121" s="76">
        <f t="shared" si="15"/>
        <v>148.13063801850387</v>
      </c>
      <c r="AE121" s="76">
        <f>MAX(0,(AD121-Constantes!$D$13)*(1-EXP(-Constantes!$D$23)))</f>
        <v>0.97922109702012261</v>
      </c>
      <c r="AF121" s="76">
        <f>AB121+O121*Escenarios!$E$13/Escenarios!$E$16+AE121</f>
        <v>0.97922109702012261</v>
      </c>
      <c r="AG121" s="76">
        <f>IF(Entradas!$E$91&gt;0,IF(AF121-Escenarios!$E$38&lt;=0,0,IF(AF121-Escenarios!$E$38&gt;Escenarios!$E$37,Escenarios!$E$37,AF121-Escenarios!$E$38)),0)</f>
        <v>0</v>
      </c>
      <c r="AH121" s="76">
        <f>AG121*Entradas!$E$99</f>
        <v>0</v>
      </c>
      <c r="AI121" s="76">
        <f>IF(Entradas!$E$91&gt;0,D121*Entradas!$D$23/Escenarios!$E$16,0)</f>
        <v>0</v>
      </c>
      <c r="AJ121" s="76">
        <f>IF(Entradas!$E$91&gt;0,Entradas!$D$24*Entradas!$D$22/Escenarios!$E$16,0)</f>
        <v>0</v>
      </c>
      <c r="AK121" s="76">
        <f t="shared" si="24"/>
        <v>7.4397965959311051E-3</v>
      </c>
      <c r="AL121" s="76">
        <f t="shared" si="25"/>
        <v>0</v>
      </c>
      <c r="AM121" s="76">
        <f t="shared" si="16"/>
        <v>0</v>
      </c>
      <c r="AN121" s="76">
        <f>MAX(0,O121*Escenarios!$E$13/Escenarios!$E$16-AM121)</f>
        <v>0</v>
      </c>
      <c r="AO121" s="76">
        <f>AM121+AN121-O121*Escenarios!$E$13/Escenarios!$E$16</f>
        <v>0</v>
      </c>
      <c r="AP121" s="76">
        <f t="shared" si="14"/>
        <v>0.97922109702012261</v>
      </c>
      <c r="AQ121" s="76">
        <f t="shared" si="17"/>
        <v>0</v>
      </c>
      <c r="AR121" s="76">
        <f t="shared" si="18"/>
        <v>0.97922109702012261</v>
      </c>
      <c r="AS121" s="76">
        <f t="shared" si="19"/>
        <v>0</v>
      </c>
      <c r="AT121" s="76">
        <f t="shared" si="20"/>
        <v>0</v>
      </c>
      <c r="AU121" s="76">
        <f t="shared" si="21"/>
        <v>48.75</v>
      </c>
      <c r="AV121" s="76">
        <f>MAX(0,(AU121-Constantes!$D$13)*(1-EXP(-Constantes!$D$24)))</f>
        <v>0</v>
      </c>
      <c r="AW121" s="170">
        <f>AW120+(Entradas!$E$112*AT121-AX120)/(800*Entradas!$D$25)</f>
        <v>0</v>
      </c>
      <c r="AX121" s="170">
        <f>8000*Entradas!$D$26*AW121/Constantes!$E$45</f>
        <v>0</v>
      </c>
      <c r="AY121" s="170">
        <f>IF(Escenarios!$E$17&gt;0,10*Escenarios!$E$16*AL121,0)</f>
        <v>0</v>
      </c>
      <c r="AZ121" s="170">
        <f>IF(Escenarios!$E$17&gt;0,10*Escenarios!$E$16*AX121,0)</f>
        <v>0</v>
      </c>
      <c r="BA121" s="170">
        <f>IF(Escenarios!$E$17&gt;0,0.001*Observaciones!$F120*Escenarios!$E$17,0)</f>
        <v>0</v>
      </c>
      <c r="BB121" s="170">
        <f>IF(Escenarios!$E$17&gt;0,Observaciones!$K120,0)</f>
        <v>0</v>
      </c>
      <c r="BC121" s="170">
        <f>IF(Escenarios!$E$17&gt;0,MIN(0.0005*ETo!$M120*Escenarios!$E$17*(BG120/Constantes!$E$40)^(2/3),BG120+AY121+AZ121+BA121+BB121),0)</f>
        <v>23.451950608486108</v>
      </c>
      <c r="BD121" s="170">
        <f>IF(Escenarios!$E$17&gt;0,MIN(Constantes!$E$39*(BG120/Constantes!$E$40)^(2/3),BG120+AY121+AZ121+BA121+BB121-BC121),0)</f>
        <v>50.46756597579251</v>
      </c>
      <c r="BE121" s="170">
        <f>IF(Escenarios!$E$17&gt;0,MIN(Entradas!$E$113,BG120+AY121+AZ121+BA121+BB121-BC121-BD121),0)</f>
        <v>1</v>
      </c>
      <c r="BF121" s="170">
        <f>IF(Escenarios!$E$17&gt;0,MAX(0,BG120+AY121+AZ121+BA121+BB121-BC121-BD121-BE121-Constantes!$E$40),0)</f>
        <v>0</v>
      </c>
      <c r="BG121" s="170">
        <f t="shared" si="26"/>
        <v>3265.4329853982772</v>
      </c>
      <c r="BH121" s="170">
        <f>(Escenarios!$E$16*AK121+0.1*BC121)/(Escenarios!$E$19)</f>
        <v>1.6687080197743599E-2</v>
      </c>
      <c r="BI121" s="170">
        <f>IF(Escenarios!$E$17&gt;0,BF121/10/Escenarios!$E$19,AL121)</f>
        <v>0</v>
      </c>
      <c r="BJ121" s="170">
        <f>(Escenarios!$E$16*AT121+0.1*BD121)/(Escenarios!$E$19)</f>
        <v>2.0026811895155757E-2</v>
      </c>
      <c r="BK121" s="76">
        <f>BK120+(0.1*BD121)/(Escenarios!$E$19)-BL120</f>
        <v>50.279249819535295</v>
      </c>
      <c r="BL121" s="76">
        <f>MAX(0,(BK121-Constantes!$D$13)*(1-EXP(-Constantes!$D$23)))</f>
        <v>1.5068062710810515E-2</v>
      </c>
      <c r="BM121" s="76">
        <f t="shared" si="22"/>
        <v>0.99428915973093313</v>
      </c>
      <c r="BN121" s="76">
        <f t="shared" si="27"/>
        <v>0.99428915973093313</v>
      </c>
      <c r="BO121" s="76">
        <f>0.0526*BI121*Observaciones!$F120^1.218</f>
        <v>0</v>
      </c>
      <c r="BP121" s="76">
        <f>BO121*Constantes!$E$51</f>
        <v>0</v>
      </c>
      <c r="BQ121" s="76">
        <f t="shared" si="23"/>
        <v>0</v>
      </c>
      <c r="BR121" s="40"/>
    </row>
    <row r="122" spans="1:70">
      <c r="A122" s="147"/>
      <c r="B122" s="39"/>
      <c r="C122" s="75">
        <v>116</v>
      </c>
      <c r="D122" s="146">
        <f>ETo!$I121*((1-Constantes!$E$19)*ETo!$K121+ETo!$L121)</f>
        <v>3.2460193529673225</v>
      </c>
      <c r="E122" s="76">
        <f>MIN(D122*Constantes!$E$17,0.8*(N121+Observaciones!$F121-F122-M122-Constantes!$D$14))</f>
        <v>1.587018830071145</v>
      </c>
      <c r="F122" s="76">
        <f>IF(Observaciones!$F121&gt;0.05*Constantes!$E$18,((Observaciones!$F121-0.05*Constantes!$E$18)^2)/(Observaciones!$F121+0.95*Constantes!$E$18),0)</f>
        <v>0.34186542687573257</v>
      </c>
      <c r="G122" s="76">
        <f>IF(Escenarios!$E$11&gt;0,(F122*Escenarios!$E$16*10000)/1000,0)</f>
        <v>854.66356718933139</v>
      </c>
      <c r="H122" s="76">
        <f>IF(Escenarios!$E$11&gt;0,(Observaciones!$F121*Constantes!$E$29)/1000,0)</f>
        <v>125</v>
      </c>
      <c r="I122" s="76">
        <f>IF(Escenarios!$E$11&gt;0,(D122*Constantes!$E$29)/1000,0)</f>
        <v>32.460193529673226</v>
      </c>
      <c r="J122" s="76">
        <f>IF(Escenarios!$E$11&gt;0,MAX(0,G122+H122-I122),0)</f>
        <v>947.20337365965815</v>
      </c>
      <c r="K122" s="76">
        <f>IF(Escenarios!$E$11&gt;0,IF(J122&gt;Constantes!$E$30,1000*((J122-Constantes!$E$30)/(Escenarios!$E$16*10000)),0),F122)</f>
        <v>0</v>
      </c>
      <c r="L122" s="76">
        <f>IF(Escenarios!$E$11&gt;0,I122*1000/Escenarios!$E$16/10000+E122,E122)</f>
        <v>1.6000029074830142</v>
      </c>
      <c r="M122" s="76">
        <f>MAX(0,N121+Observaciones!$F121-K122-Constantes!$D$13)</f>
        <v>0</v>
      </c>
      <c r="N122" s="76">
        <f>N121+Observaciones!$F121-K122-L122-M122-O121</f>
        <v>22.134547325743288</v>
      </c>
      <c r="O122" s="76">
        <f>MAX(0,(N122-Constantes!$D$14)*(1-EXP(-Constantes!$D$22)))</f>
        <v>0.37076763990607081</v>
      </c>
      <c r="P122" s="170">
        <f>P121+(Entradas!$E$83*M122-Q121)/(800*Entradas!$D$25)</f>
        <v>0</v>
      </c>
      <c r="Q122" s="170">
        <f>8000*Entradas!$D$26*P122/Constantes!$E$45</f>
        <v>0</v>
      </c>
      <c r="R122" s="170">
        <f>IF(Escenarios!$E$14&gt;0,K122*Escenarios!$E$13/Escenarios!$E$14,0)</f>
        <v>0</v>
      </c>
      <c r="S122" s="170">
        <f>IF(Escenarios!$E$14&gt;0,Q122*Escenarios!$E$13/Escenarios!$E$14,0)</f>
        <v>0</v>
      </c>
      <c r="T122" s="170">
        <f>IF(Escenarios!$E$14&gt;0,Observaciones!$I121,0)</f>
        <v>0</v>
      </c>
      <c r="U122" s="170">
        <f>IF(Escenarios!$E$14&gt;0,MAX(0,Constantes!$E$36/((Z121+R122+S122+T122+Observaciones!$F121)^2)+Entradas!$E$77),0)</f>
        <v>0</v>
      </c>
      <c r="V122" s="146">
        <f>IF(ETo!D121&gt;0,ETo!I121*((1-Entradas!$E$81)*ETo!K121+ETo!L121),0)</f>
        <v>2.9434164202352102</v>
      </c>
      <c r="W122" s="170">
        <f>IF(Escenarios!$E$14&gt;0,MIN(V122*1,0.8*(Z121+R122+S122+T122+Observaciones!$F121-U122-Constantes!$E$35)),0)</f>
        <v>2.9434164202352102</v>
      </c>
      <c r="X122" s="170">
        <f>IF(Escenarios!$E$14&gt;0,Observaciones!$J121,0)</f>
        <v>0</v>
      </c>
      <c r="Y122" s="170">
        <f>IF(Escenarios!$E$14&gt;0,MAX(0,Z121+R122+S122+T122+Observaciones!$F121-U122-W122-X122-Constantes!$E$33),0)</f>
        <v>0</v>
      </c>
      <c r="Z122" s="170">
        <f>Z121+R122+S122+T122+Observaciones!$F121-U122-W122-Y122</f>
        <v>50.816492882336092</v>
      </c>
      <c r="AA122" s="170">
        <f>IF(Escenarios!$E$14&gt;0,(Escenarios!$E$13*L122+Escenarios!$E$14*W122)/(Escenarios!$E$16),L122)</f>
        <v>1.7612125290132778</v>
      </c>
      <c r="AB122" s="170">
        <f>IF(Escenarios!$E$14&gt;0,(Escenarios!$E$14*Y122)/(Escenarios!$E$16),K122)</f>
        <v>0</v>
      </c>
      <c r="AC122" s="170">
        <f>IF(Escenarios!$E$14&gt;0,(Escenarios!$E$13*M122+Escenarios!$E$14*U122)/(Escenarios!$E$16),M122)</f>
        <v>0</v>
      </c>
      <c r="AD122" s="76">
        <f t="shared" si="15"/>
        <v>147.15141692148376</v>
      </c>
      <c r="AE122" s="76">
        <f>MAX(0,(AD122-Constantes!$D$13)*(1-EXP(-Constantes!$D$23)))</f>
        <v>0.9695725983188892</v>
      </c>
      <c r="AF122" s="76">
        <f>AB122+O122*Escenarios!$E$13/Escenarios!$E$16+AE122</f>
        <v>1.2958481214362316</v>
      </c>
      <c r="AG122" s="76">
        <f>IF(Entradas!$E$91&gt;0,IF(AF122-Escenarios!$E$38&lt;=0,0,IF(AF122-Escenarios!$E$38&gt;Escenarios!$E$37,Escenarios!$E$37,AF122-Escenarios!$E$38)),0)</f>
        <v>0</v>
      </c>
      <c r="AH122" s="76">
        <f>AG122*Entradas!$E$99</f>
        <v>0</v>
      </c>
      <c r="AI122" s="76">
        <f>IF(Entradas!$E$91&gt;0,D122*Entradas!$D$23/Escenarios!$E$16,0)</f>
        <v>0</v>
      </c>
      <c r="AJ122" s="76">
        <f>IF(Entradas!$E$91&gt;0,Entradas!$D$24*Entradas!$D$22/Escenarios!$E$16,0)</f>
        <v>0</v>
      </c>
      <c r="AK122" s="76">
        <f t="shared" si="24"/>
        <v>1.7612125290132778</v>
      </c>
      <c r="AL122" s="76">
        <f t="shared" si="25"/>
        <v>0</v>
      </c>
      <c r="AM122" s="76">
        <f t="shared" si="16"/>
        <v>0</v>
      </c>
      <c r="AN122" s="76">
        <f>MAX(0,O122*Escenarios!$E$13/Escenarios!$E$16-AM122)</f>
        <v>0.32627552311734231</v>
      </c>
      <c r="AO122" s="76">
        <f>AM122+AN122-O122*Escenarios!$E$13/Escenarios!$E$16</f>
        <v>0</v>
      </c>
      <c r="AP122" s="76">
        <f t="shared" si="14"/>
        <v>0.9695725983188892</v>
      </c>
      <c r="AQ122" s="76">
        <f t="shared" si="17"/>
        <v>0</v>
      </c>
      <c r="AR122" s="76">
        <f t="shared" si="18"/>
        <v>1.2958481214362316</v>
      </c>
      <c r="AS122" s="76">
        <f t="shared" si="19"/>
        <v>0</v>
      </c>
      <c r="AT122" s="76">
        <f t="shared" si="20"/>
        <v>0</v>
      </c>
      <c r="AU122" s="76">
        <f t="shared" si="21"/>
        <v>48.75</v>
      </c>
      <c r="AV122" s="76">
        <f>MAX(0,(AU122-Constantes!$D$13)*(1-EXP(-Constantes!$D$24)))</f>
        <v>0</v>
      </c>
      <c r="AW122" s="170">
        <f>AW121+(Entradas!$E$112*AT122-AX121)/(800*Entradas!$D$25)</f>
        <v>0</v>
      </c>
      <c r="AX122" s="170">
        <f>8000*Entradas!$D$26*AW122/Constantes!$E$45</f>
        <v>0</v>
      </c>
      <c r="AY122" s="170">
        <f>IF(Escenarios!$E$17&gt;0,10*Escenarios!$E$16*AL122,0)</f>
        <v>0</v>
      </c>
      <c r="AZ122" s="170">
        <f>IF(Escenarios!$E$17&gt;0,10*Escenarios!$E$16*AX122,0)</f>
        <v>0</v>
      </c>
      <c r="BA122" s="170">
        <f>IF(Escenarios!$E$17&gt;0,0.001*Observaciones!$F121*Escenarios!$E$17,0)</f>
        <v>250</v>
      </c>
      <c r="BB122" s="170">
        <f>IF(Escenarios!$E$17&gt;0,Observaciones!$K121,0)</f>
        <v>0</v>
      </c>
      <c r="BC122" s="170">
        <f>IF(Escenarios!$E$17&gt;0,MIN(0.0005*ETo!$M121*Escenarios!$E$17*(BG121/Constantes!$E$40)^(2/3),BG121+AY122+AZ122+BA122+BB122),0)</f>
        <v>23.12870714089593</v>
      </c>
      <c r="BD122" s="170">
        <f>IF(Escenarios!$E$17&gt;0,MIN(Constantes!$E$39*(BG121/Constantes!$E$40)^(2/3),BG121+AY122+AZ122+BA122+BB122-BC122),0)</f>
        <v>49.710104560514395</v>
      </c>
      <c r="BE122" s="170">
        <f>IF(Escenarios!$E$17&gt;0,MIN(Entradas!$E$113,BG121+AY122+AZ122+BA122+BB122-BC122-BD122),0)</f>
        <v>1</v>
      </c>
      <c r="BF122" s="170">
        <f>IF(Escenarios!$E$17&gt;0,MAX(0,BG121+AY122+AZ122+BA122+BB122-BC122-BD122-BE122-Constantes!$E$40),0)</f>
        <v>0</v>
      </c>
      <c r="BG122" s="170">
        <f t="shared" si="26"/>
        <v>3441.5941736968666</v>
      </c>
      <c r="BH122" s="170">
        <f>(Escenarios!$E$16*AK122+0.1*BC122)/(Escenarios!$E$19)</f>
        <v>1.7564127101881311</v>
      </c>
      <c r="BI122" s="170">
        <f>IF(Escenarios!$E$17&gt;0,BF122/10/Escenarios!$E$19,AL122)</f>
        <v>0</v>
      </c>
      <c r="BJ122" s="170">
        <f>(Escenarios!$E$16*AT122+0.1*BD122)/(Escenarios!$E$19)</f>
        <v>1.9726231968458095E-2</v>
      </c>
      <c r="BK122" s="76">
        <f>BK121+(0.1*BD122)/(Escenarios!$E$19)-BL121</f>
        <v>50.28390798879294</v>
      </c>
      <c r="BL122" s="76">
        <f>MAX(0,(BK122-Constantes!$D$13)*(1-EXP(-Constantes!$D$23)))</f>
        <v>1.511396076199557E-2</v>
      </c>
      <c r="BM122" s="76">
        <f t="shared" si="22"/>
        <v>0.98468655908088476</v>
      </c>
      <c r="BN122" s="76">
        <f t="shared" si="27"/>
        <v>1.3109620821982273</v>
      </c>
      <c r="BO122" s="76">
        <f>0.0526*BI122*Observaciones!$F121^1.218</f>
        <v>0</v>
      </c>
      <c r="BP122" s="76">
        <f>BO122*Constantes!$E$51</f>
        <v>0</v>
      </c>
      <c r="BQ122" s="76">
        <f t="shared" si="23"/>
        <v>0</v>
      </c>
      <c r="BR122" s="40"/>
    </row>
    <row r="123" spans="1:70">
      <c r="A123" s="147"/>
      <c r="B123" s="39"/>
      <c r="C123" s="75">
        <v>117</v>
      </c>
      <c r="D123" s="146">
        <f>ETo!$I122*((1-Constantes!$E$19)*ETo!$K122+ETo!$L122)</f>
        <v>3.3865991978078562</v>
      </c>
      <c r="E123" s="76">
        <f>MIN(D123*Constantes!$E$17,0.8*(N122+Observaciones!$F122-F123-M123-Constantes!$D$14))</f>
        <v>1.6557500471806361</v>
      </c>
      <c r="F123" s="76">
        <f>IF(Observaciones!$F122&gt;0.05*Constantes!$E$18,((Observaciones!$F122-0.05*Constantes!$E$18)^2)/(Observaciones!$F122+0.95*Constantes!$E$18),0)</f>
        <v>0</v>
      </c>
      <c r="G123" s="76">
        <f>IF(Escenarios!$E$11&gt;0,(F123*Escenarios!$E$16*10000)/1000,0)</f>
        <v>0</v>
      </c>
      <c r="H123" s="76">
        <f>IF(Escenarios!$E$11&gt;0,(Observaciones!$F122*Constantes!$E$29)/1000,0)</f>
        <v>0</v>
      </c>
      <c r="I123" s="76">
        <f>IF(Escenarios!$E$11&gt;0,(D123*Constantes!$E$29)/1000,0)</f>
        <v>33.865991978078561</v>
      </c>
      <c r="J123" s="76">
        <f>IF(Escenarios!$E$11&gt;0,MAX(0,G123+H123-I123),0)</f>
        <v>0</v>
      </c>
      <c r="K123" s="76">
        <f>IF(Escenarios!$E$11&gt;0,IF(J123&gt;Constantes!$E$30,1000*((J123-Constantes!$E$30)/(Escenarios!$E$16*10000)),0),F123)</f>
        <v>0</v>
      </c>
      <c r="L123" s="76">
        <f>IF(Escenarios!$E$11&gt;0,I123*1000/Escenarios!$E$16/10000+E123,E123)</f>
        <v>1.6692964439718676</v>
      </c>
      <c r="M123" s="76">
        <f>MAX(0,N122+Observaciones!$F122-K123-Constantes!$D$13)</f>
        <v>0</v>
      </c>
      <c r="N123" s="76">
        <f>N122+Observaciones!$F122-K123-L123-M123-O122</f>
        <v>20.094483241865351</v>
      </c>
      <c r="O123" s="76">
        <f>MAX(0,(N123-Constantes!$D$14)*(1-EXP(-Constantes!$D$22)))</f>
        <v>0.30127556798061661</v>
      </c>
      <c r="P123" s="170">
        <f>P122+(Entradas!$E$83*M123-Q122)/(800*Entradas!$D$25)</f>
        <v>0</v>
      </c>
      <c r="Q123" s="170">
        <f>8000*Entradas!$D$26*P123/Constantes!$E$45</f>
        <v>0</v>
      </c>
      <c r="R123" s="170">
        <f>IF(Escenarios!$E$14&gt;0,K123*Escenarios!$E$13/Escenarios!$E$14,0)</f>
        <v>0</v>
      </c>
      <c r="S123" s="170">
        <f>IF(Escenarios!$E$14&gt;0,Q123*Escenarios!$E$13/Escenarios!$E$14,0)</f>
        <v>0</v>
      </c>
      <c r="T123" s="170">
        <f>IF(Escenarios!$E$14&gt;0,Observaciones!$I122,0)</f>
        <v>0</v>
      </c>
      <c r="U123" s="170">
        <f>IF(Escenarios!$E$14&gt;0,MAX(0,Constantes!$E$36/((Z122+R123+S123+T123+Observaciones!$F122)^2)+Entradas!$E$77),0)</f>
        <v>0</v>
      </c>
      <c r="V123" s="146">
        <f>IF(ETo!D122&gt;0,ETo!I122*((1-Entradas!$E$81)*ETo!K122+ETo!L122),0)</f>
        <v>3.072443370408438</v>
      </c>
      <c r="W123" s="170">
        <f>IF(Escenarios!$E$14&gt;0,MIN(V123*1,0.8*(Z122+R123+S123+T123+Observaciones!$F122-U123-Constantes!$E$35)),0)</f>
        <v>3.072443370408438</v>
      </c>
      <c r="X123" s="170">
        <f>IF(Escenarios!$E$14&gt;0,Observaciones!$J122,0)</f>
        <v>0</v>
      </c>
      <c r="Y123" s="170">
        <f>IF(Escenarios!$E$14&gt;0,MAX(0,Z122+R123+S123+T123+Observaciones!$F122-U123-W123-X123-Constantes!$E$33),0)</f>
        <v>0</v>
      </c>
      <c r="Z123" s="170">
        <f>Z122+R123+S123+T123+Observaciones!$F122-U123-W123-Y123</f>
        <v>47.744049511927656</v>
      </c>
      <c r="AA123" s="170">
        <f>IF(Escenarios!$E$14&gt;0,(Escenarios!$E$13*L123+Escenarios!$E$14*W123)/(Escenarios!$E$16),L123)</f>
        <v>1.8376740751442562</v>
      </c>
      <c r="AB123" s="170">
        <f>IF(Escenarios!$E$14&gt;0,(Escenarios!$E$14*Y123)/(Escenarios!$E$16),K123)</f>
        <v>0</v>
      </c>
      <c r="AC123" s="170">
        <f>IF(Escenarios!$E$14&gt;0,(Escenarios!$E$13*M123+Escenarios!$E$14*U123)/(Escenarios!$E$16),M123)</f>
        <v>0</v>
      </c>
      <c r="AD123" s="76">
        <f t="shared" si="15"/>
        <v>146.18184432316488</v>
      </c>
      <c r="AE123" s="76">
        <f>MAX(0,(AD123-Constantes!$D$13)*(1-EXP(-Constantes!$D$23)))</f>
        <v>0.96001916857345237</v>
      </c>
      <c r="AF123" s="76">
        <f>AB123+O123*Escenarios!$E$13/Escenarios!$E$16+AE123</f>
        <v>1.2251416683963949</v>
      </c>
      <c r="AG123" s="76">
        <f>IF(Entradas!$E$91&gt;0,IF(AF123-Escenarios!$E$38&lt;=0,0,IF(AF123-Escenarios!$E$38&gt;Escenarios!$E$37,Escenarios!$E$37,AF123-Escenarios!$E$38)),0)</f>
        <v>0</v>
      </c>
      <c r="AH123" s="76">
        <f>AG123*Entradas!$E$99</f>
        <v>0</v>
      </c>
      <c r="AI123" s="76">
        <f>IF(Entradas!$E$91&gt;0,D123*Entradas!$D$23/Escenarios!$E$16,0)</f>
        <v>0</v>
      </c>
      <c r="AJ123" s="76">
        <f>IF(Entradas!$E$91&gt;0,Entradas!$D$24*Entradas!$D$22/Escenarios!$E$16,0)</f>
        <v>0</v>
      </c>
      <c r="AK123" s="76">
        <f t="shared" si="24"/>
        <v>1.8376740751442562</v>
      </c>
      <c r="AL123" s="76">
        <f t="shared" si="25"/>
        <v>0</v>
      </c>
      <c r="AM123" s="76">
        <f t="shared" si="16"/>
        <v>0</v>
      </c>
      <c r="AN123" s="76">
        <f>MAX(0,O123*Escenarios!$E$13/Escenarios!$E$16-AM123)</f>
        <v>0.26512249982294267</v>
      </c>
      <c r="AO123" s="76">
        <f>AM123+AN123-O123*Escenarios!$E$13/Escenarios!$E$16</f>
        <v>0</v>
      </c>
      <c r="AP123" s="76">
        <f t="shared" si="14"/>
        <v>0.96001916857345237</v>
      </c>
      <c r="AQ123" s="76">
        <f t="shared" si="17"/>
        <v>0</v>
      </c>
      <c r="AR123" s="76">
        <f t="shared" si="18"/>
        <v>1.2251416683963949</v>
      </c>
      <c r="AS123" s="76">
        <f t="shared" si="19"/>
        <v>0</v>
      </c>
      <c r="AT123" s="76">
        <f t="shared" si="20"/>
        <v>0</v>
      </c>
      <c r="AU123" s="76">
        <f t="shared" si="21"/>
        <v>48.75</v>
      </c>
      <c r="AV123" s="76">
        <f>MAX(0,(AU123-Constantes!$D$13)*(1-EXP(-Constantes!$D$24)))</f>
        <v>0</v>
      </c>
      <c r="AW123" s="170">
        <f>AW122+(Entradas!$E$112*AT123-AX122)/(800*Entradas!$D$25)</f>
        <v>0</v>
      </c>
      <c r="AX123" s="170">
        <f>8000*Entradas!$D$26*AW123/Constantes!$E$45</f>
        <v>0</v>
      </c>
      <c r="AY123" s="170">
        <f>IF(Escenarios!$E$17&gt;0,10*Escenarios!$E$16*AL123,0)</f>
        <v>0</v>
      </c>
      <c r="AZ123" s="170">
        <f>IF(Escenarios!$E$17&gt;0,10*Escenarios!$E$16*AX123,0)</f>
        <v>0</v>
      </c>
      <c r="BA123" s="170">
        <f>IF(Escenarios!$E$17&gt;0,0.001*Observaciones!$F122*Escenarios!$E$17,0)</f>
        <v>0</v>
      </c>
      <c r="BB123" s="170">
        <f>IF(Escenarios!$E$17&gt;0,Observaciones!$K122,0)</f>
        <v>0</v>
      </c>
      <c r="BC123" s="170">
        <f>IF(Escenarios!$E$17&gt;0,MIN(0.0005*ETo!$M122*Escenarios!$E$17*(BG122/Constantes!$E$40)^(2/3),BG122+AY123+AZ123+BA123+BB123),0)</f>
        <v>24.974878375387831</v>
      </c>
      <c r="BD123" s="170">
        <f>IF(Escenarios!$E$17&gt;0,MIN(Constantes!$E$39*(BG122/Constantes!$E$40)^(2/3),BG122+AY123+AZ123+BA123+BB123-BC123),0)</f>
        <v>51.482219853707392</v>
      </c>
      <c r="BE123" s="170">
        <f>IF(Escenarios!$E$17&gt;0,MIN(Entradas!$E$113,BG122+AY123+AZ123+BA123+BB123-BC123-BD123),0)</f>
        <v>1</v>
      </c>
      <c r="BF123" s="170">
        <f>IF(Escenarios!$E$17&gt;0,MAX(0,BG122+AY123+AZ123+BA123+BB123-BC123-BD123-BE123-Constantes!$E$40),0)</f>
        <v>0</v>
      </c>
      <c r="BG123" s="170">
        <f t="shared" si="26"/>
        <v>3364.1370754677714</v>
      </c>
      <c r="BH123" s="170">
        <f>(Escenarios!$E$16*AK123+0.1*BC123)/(Escenarios!$E$19)</f>
        <v>1.8330000262841382</v>
      </c>
      <c r="BI123" s="170">
        <f>IF(Escenarios!$E$17&gt;0,BF123/10/Escenarios!$E$19,AL123)</f>
        <v>0</v>
      </c>
      <c r="BJ123" s="170">
        <f>(Escenarios!$E$16*AT123+0.1*BD123)/(Escenarios!$E$19)</f>
        <v>2.042945232289976E-2</v>
      </c>
      <c r="BK123" s="76">
        <f>BK122+(0.1*BD123)/(Escenarios!$E$19)-BL122</f>
        <v>50.289223480353847</v>
      </c>
      <c r="BL123" s="76">
        <f>MAX(0,(BK123-Constantes!$D$13)*(1-EXP(-Constantes!$D$23)))</f>
        <v>1.5166335566396639E-2</v>
      </c>
      <c r="BM123" s="76">
        <f t="shared" si="22"/>
        <v>0.97518550413984906</v>
      </c>
      <c r="BN123" s="76">
        <f t="shared" si="27"/>
        <v>1.2403080039627916</v>
      </c>
      <c r="BO123" s="76">
        <f>0.0526*BI123*Observaciones!$F122^1.218</f>
        <v>0</v>
      </c>
      <c r="BP123" s="76">
        <f>BO123*Constantes!$E$51</f>
        <v>0</v>
      </c>
      <c r="BQ123" s="76">
        <f t="shared" si="23"/>
        <v>0</v>
      </c>
      <c r="BR123" s="40"/>
    </row>
    <row r="124" spans="1:70">
      <c r="A124" s="147"/>
      <c r="B124" s="39"/>
      <c r="C124" s="75">
        <v>118</v>
      </c>
      <c r="D124" s="146">
        <f>ETo!$I123*((1-Constantes!$E$19)*ETo!$K123+ETo!$L123)</f>
        <v>3.2313483406007881</v>
      </c>
      <c r="E124" s="76">
        <f>MIN(D124*Constantes!$E$17,0.8*(N123+Observaciones!$F123-F124-M124-Constantes!$D$14))</f>
        <v>1.5798459914802068</v>
      </c>
      <c r="F124" s="76">
        <f>IF(Observaciones!$F123&gt;0.05*Constantes!$E$18,((Observaciones!$F123-0.05*Constantes!$E$18)^2)/(Observaciones!$F123+0.95*Constantes!$E$18),0)</f>
        <v>0</v>
      </c>
      <c r="G124" s="76">
        <f>IF(Escenarios!$E$11&gt;0,(F124*Escenarios!$E$16*10000)/1000,0)</f>
        <v>0</v>
      </c>
      <c r="H124" s="76">
        <f>IF(Escenarios!$E$11&gt;0,(Observaciones!$F123*Constantes!$E$29)/1000,0)</f>
        <v>0</v>
      </c>
      <c r="I124" s="76">
        <f>IF(Escenarios!$E$11&gt;0,(D124*Constantes!$E$29)/1000,0)</f>
        <v>32.313483406007883</v>
      </c>
      <c r="J124" s="76">
        <f>IF(Escenarios!$E$11&gt;0,MAX(0,G124+H124-I124),0)</f>
        <v>0</v>
      </c>
      <c r="K124" s="76">
        <f>IF(Escenarios!$E$11&gt;0,IF(J124&gt;Constantes!$E$30,1000*((J124-Constantes!$E$30)/(Escenarios!$E$16*10000)),0),F124)</f>
        <v>0</v>
      </c>
      <c r="L124" s="76">
        <f>IF(Escenarios!$E$11&gt;0,I124*1000/Escenarios!$E$16/10000+E124,E124)</f>
        <v>1.5927713848426099</v>
      </c>
      <c r="M124" s="76">
        <f>MAX(0,N123+Observaciones!$F123-K124-Constantes!$D$13)</f>
        <v>0</v>
      </c>
      <c r="N124" s="76">
        <f>N123+Observaciones!$F123-K124-L124-M124-O123</f>
        <v>18.200436289042123</v>
      </c>
      <c r="O124" s="76">
        <f>MAX(0,(N124-Constantes!$D$14)*(1-EXP(-Constantes!$D$22)))</f>
        <v>0.23675737557874768</v>
      </c>
      <c r="P124" s="170">
        <f>P123+(Entradas!$E$83*M124-Q123)/(800*Entradas!$D$25)</f>
        <v>0</v>
      </c>
      <c r="Q124" s="170">
        <f>8000*Entradas!$D$26*P124/Constantes!$E$45</f>
        <v>0</v>
      </c>
      <c r="R124" s="170">
        <f>IF(Escenarios!$E$14&gt;0,K124*Escenarios!$E$13/Escenarios!$E$14,0)</f>
        <v>0</v>
      </c>
      <c r="S124" s="170">
        <f>IF(Escenarios!$E$14&gt;0,Q124*Escenarios!$E$13/Escenarios!$E$14,0)</f>
        <v>0</v>
      </c>
      <c r="T124" s="170">
        <f>IF(Escenarios!$E$14&gt;0,Observaciones!$I123,0)</f>
        <v>0</v>
      </c>
      <c r="U124" s="170">
        <f>IF(Escenarios!$E$14&gt;0,MAX(0,Constantes!$E$36/((Z123+R124+S124+T124+Observaciones!$F123)^2)+Entradas!$E$77),0)</f>
        <v>0</v>
      </c>
      <c r="V124" s="146">
        <f>IF(ETo!D123&gt;0,ETo!I123*((1-Entradas!$E$81)*ETo!K123+ETo!L123),0)</f>
        <v>2.9292748670581599</v>
      </c>
      <c r="W124" s="170">
        <f>IF(Escenarios!$E$14&gt;0,MIN(V124*1,0.8*(Z123+R124+S124+T124+Observaciones!$F123-U124-Constantes!$E$35)),0)</f>
        <v>2.9292748670581599</v>
      </c>
      <c r="X124" s="170">
        <f>IF(Escenarios!$E$14&gt;0,Observaciones!$J123,0)</f>
        <v>0</v>
      </c>
      <c r="Y124" s="170">
        <f>IF(Escenarios!$E$14&gt;0,MAX(0,Z123+R124+S124+T124+Observaciones!$F123-U124-W124-X124-Constantes!$E$33),0)</f>
        <v>0</v>
      </c>
      <c r="Z124" s="170">
        <f>Z123+R124+S124+T124+Observaciones!$F123-U124-W124-Y124</f>
        <v>44.814774644869495</v>
      </c>
      <c r="AA124" s="170">
        <f>IF(Escenarios!$E$14&gt;0,(Escenarios!$E$13*L124+Escenarios!$E$14*W124)/(Escenarios!$E$16),L124)</f>
        <v>1.753151802708476</v>
      </c>
      <c r="AB124" s="170">
        <f>IF(Escenarios!$E$14&gt;0,(Escenarios!$E$14*Y124)/(Escenarios!$E$16),K124)</f>
        <v>0</v>
      </c>
      <c r="AC124" s="170">
        <f>IF(Escenarios!$E$14&gt;0,(Escenarios!$E$13*M124+Escenarios!$E$14*U124)/(Escenarios!$E$16),M124)</f>
        <v>0</v>
      </c>
      <c r="AD124" s="76">
        <f t="shared" si="15"/>
        <v>145.22182515459144</v>
      </c>
      <c r="AE124" s="76">
        <f>MAX(0,(AD124-Constantes!$D$13)*(1-EXP(-Constantes!$D$23)))</f>
        <v>0.95055987104674711</v>
      </c>
      <c r="AF124" s="76">
        <f>AB124+O124*Escenarios!$E$13/Escenarios!$E$16+AE124</f>
        <v>1.1589063615560451</v>
      </c>
      <c r="AG124" s="76">
        <f>IF(Entradas!$E$91&gt;0,IF(AF124-Escenarios!$E$38&lt;=0,0,IF(AF124-Escenarios!$E$38&gt;Escenarios!$E$37,Escenarios!$E$37,AF124-Escenarios!$E$38)),0)</f>
        <v>0</v>
      </c>
      <c r="AH124" s="76">
        <f>AG124*Entradas!$E$99</f>
        <v>0</v>
      </c>
      <c r="AI124" s="76">
        <f>IF(Entradas!$E$91&gt;0,D124*Entradas!$D$23/Escenarios!$E$16,0)</f>
        <v>0</v>
      </c>
      <c r="AJ124" s="76">
        <f>IF(Entradas!$E$91&gt;0,Entradas!$D$24*Entradas!$D$22/Escenarios!$E$16,0)</f>
        <v>0</v>
      </c>
      <c r="AK124" s="76">
        <f t="shared" si="24"/>
        <v>1.753151802708476</v>
      </c>
      <c r="AL124" s="76">
        <f t="shared" si="25"/>
        <v>0</v>
      </c>
      <c r="AM124" s="76">
        <f t="shared" si="16"/>
        <v>0</v>
      </c>
      <c r="AN124" s="76">
        <f>MAX(0,O124*Escenarios!$E$13/Escenarios!$E$16-AM124)</f>
        <v>0.20834649050929796</v>
      </c>
      <c r="AO124" s="76">
        <f>AM124+AN124-O124*Escenarios!$E$13/Escenarios!$E$16</f>
        <v>0</v>
      </c>
      <c r="AP124" s="76">
        <f t="shared" si="14"/>
        <v>0.95055987104674711</v>
      </c>
      <c r="AQ124" s="76">
        <f t="shared" si="17"/>
        <v>0</v>
      </c>
      <c r="AR124" s="76">
        <f t="shared" si="18"/>
        <v>1.1589063615560451</v>
      </c>
      <c r="AS124" s="76">
        <f t="shared" si="19"/>
        <v>0</v>
      </c>
      <c r="AT124" s="76">
        <f t="shared" si="20"/>
        <v>0</v>
      </c>
      <c r="AU124" s="76">
        <f t="shared" si="21"/>
        <v>48.75</v>
      </c>
      <c r="AV124" s="76">
        <f>MAX(0,(AU124-Constantes!$D$13)*(1-EXP(-Constantes!$D$24)))</f>
        <v>0</v>
      </c>
      <c r="AW124" s="170">
        <f>AW123+(Entradas!$E$112*AT124-AX123)/(800*Entradas!$D$25)</f>
        <v>0</v>
      </c>
      <c r="AX124" s="170">
        <f>8000*Entradas!$D$26*AW124/Constantes!$E$45</f>
        <v>0</v>
      </c>
      <c r="AY124" s="170">
        <f>IF(Escenarios!$E$17&gt;0,10*Escenarios!$E$16*AL124,0)</f>
        <v>0</v>
      </c>
      <c r="AZ124" s="170">
        <f>IF(Escenarios!$E$17&gt;0,10*Escenarios!$E$16*AX124,0)</f>
        <v>0</v>
      </c>
      <c r="BA124" s="170">
        <f>IF(Escenarios!$E$17&gt;0,0.001*Observaciones!$F123*Escenarios!$E$17,0)</f>
        <v>0</v>
      </c>
      <c r="BB124" s="170">
        <f>IF(Escenarios!$E$17&gt;0,Observaciones!$K123,0)</f>
        <v>8.846492705771368</v>
      </c>
      <c r="BC124" s="170">
        <f>IF(Escenarios!$E$17&gt;0,MIN(0.0005*ETo!$M123*Escenarios!$E$17*(BG123/Constantes!$E$40)^(2/3),BG123+AY124+AZ124+BA124+BB124),0)</f>
        <v>23.494192999638845</v>
      </c>
      <c r="BD124" s="170">
        <f>IF(Escenarios!$E$17&gt;0,MIN(Constantes!$E$39*(BG123/Constantes!$E$40)^(2/3),BG123+AY124+AZ124+BA124+BB124-BC124),0)</f>
        <v>50.706848013586225</v>
      </c>
      <c r="BE124" s="170">
        <f>IF(Escenarios!$E$17&gt;0,MIN(Entradas!$E$113,BG123+AY124+AZ124+BA124+BB124-BC124-BD124),0)</f>
        <v>1</v>
      </c>
      <c r="BF124" s="170">
        <f>IF(Escenarios!$E$17&gt;0,MAX(0,BG123+AY124+AZ124+BA124+BB124-BC124-BD124-BE124-Constantes!$E$40),0)</f>
        <v>0</v>
      </c>
      <c r="BG124" s="170">
        <f t="shared" si="26"/>
        <v>3297.7825271603174</v>
      </c>
      <c r="BH124" s="170">
        <f>(Escenarios!$E$16*AK124+0.1*BC124)/(Escenarios!$E$19)</f>
        <v>1.7485609919725511</v>
      </c>
      <c r="BI124" s="170">
        <f>IF(Escenarios!$E$17&gt;0,BF124/10/Escenarios!$E$19,AL124)</f>
        <v>0</v>
      </c>
      <c r="BJ124" s="170">
        <f>(Escenarios!$E$16*AT124+0.1*BD124)/(Escenarios!$E$19)</f>
        <v>2.0121765084756441E-2</v>
      </c>
      <c r="BK124" s="76">
        <f>BK123+(0.1*BD124)/(Escenarios!$E$19)-BL123</f>
        <v>50.294178909872208</v>
      </c>
      <c r="BL124" s="76">
        <f>MAX(0,(BK124-Constantes!$D$13)*(1-EXP(-Constantes!$D$23)))</f>
        <v>1.5215162593732408E-2</v>
      </c>
      <c r="BM124" s="76">
        <f t="shared" si="22"/>
        <v>0.96577503364047956</v>
      </c>
      <c r="BN124" s="76">
        <f t="shared" si="27"/>
        <v>1.1741215241497776</v>
      </c>
      <c r="BO124" s="76">
        <f>0.0526*BI124*Observaciones!$F123^1.218</f>
        <v>0</v>
      </c>
      <c r="BP124" s="76">
        <f>BO124*Constantes!$E$51</f>
        <v>0</v>
      </c>
      <c r="BQ124" s="76">
        <f t="shared" si="23"/>
        <v>0</v>
      </c>
      <c r="BR124" s="40"/>
    </row>
    <row r="125" spans="1:70">
      <c r="A125" s="147"/>
      <c r="B125" s="39"/>
      <c r="C125" s="75">
        <v>119</v>
      </c>
      <c r="D125" s="146">
        <f>ETo!$I124*((1-Constantes!$E$19)*ETo!$K124+ETo!$L124)</f>
        <v>3.3311385953849517</v>
      </c>
      <c r="E125" s="76">
        <f>MIN(D125*Constantes!$E$17,0.8*(N124+Observaciones!$F124-F125-M125-Constantes!$D$14))</f>
        <v>1.6286346757667909</v>
      </c>
      <c r="F125" s="76">
        <f>IF(Observaciones!$F124&gt;0.05*Constantes!$E$18,((Observaciones!$F124-0.05*Constantes!$E$18)^2)/(Observaciones!$F124+0.95*Constantes!$E$18),0)</f>
        <v>0</v>
      </c>
      <c r="G125" s="76">
        <f>IF(Escenarios!$E$11&gt;0,(F125*Escenarios!$E$16*10000)/1000,0)</f>
        <v>0</v>
      </c>
      <c r="H125" s="76">
        <f>IF(Escenarios!$E$11&gt;0,(Observaciones!$F124*Constantes!$E$29)/1000,0)</f>
        <v>0</v>
      </c>
      <c r="I125" s="76">
        <f>IF(Escenarios!$E$11&gt;0,(D125*Constantes!$E$29)/1000,0)</f>
        <v>33.311385953849516</v>
      </c>
      <c r="J125" s="76">
        <f>IF(Escenarios!$E$11&gt;0,MAX(0,G125+H125-I125),0)</f>
        <v>0</v>
      </c>
      <c r="K125" s="76">
        <f>IF(Escenarios!$E$11&gt;0,IF(J125&gt;Constantes!$E$30,1000*((J125-Constantes!$E$30)/(Escenarios!$E$16*10000)),0),F125)</f>
        <v>0</v>
      </c>
      <c r="L125" s="76">
        <f>IF(Escenarios!$E$11&gt;0,I125*1000/Escenarios!$E$16/10000+E125,E125)</f>
        <v>1.6419592301483308</v>
      </c>
      <c r="M125" s="76">
        <f>MAX(0,N124+Observaciones!$F124-K125-Constantes!$D$13)</f>
        <v>0</v>
      </c>
      <c r="N125" s="76">
        <f>N124+Observaciones!$F124-K125-L125-M125-O124</f>
        <v>16.321719683315045</v>
      </c>
      <c r="O125" s="76">
        <f>MAX(0,(N125-Constantes!$D$14)*(1-EXP(-Constantes!$D$22)))</f>
        <v>0.17276139107782995</v>
      </c>
      <c r="P125" s="170">
        <f>P124+(Entradas!$E$83*M125-Q124)/(800*Entradas!$D$25)</f>
        <v>0</v>
      </c>
      <c r="Q125" s="170">
        <f>8000*Entradas!$D$26*P125/Constantes!$E$45</f>
        <v>0</v>
      </c>
      <c r="R125" s="170">
        <f>IF(Escenarios!$E$14&gt;0,K125*Escenarios!$E$13/Escenarios!$E$14,0)</f>
        <v>0</v>
      </c>
      <c r="S125" s="170">
        <f>IF(Escenarios!$E$14&gt;0,Q125*Escenarios!$E$13/Escenarios!$E$14,0)</f>
        <v>0</v>
      </c>
      <c r="T125" s="170">
        <f>IF(Escenarios!$E$14&gt;0,Observaciones!$I124,0)</f>
        <v>0</v>
      </c>
      <c r="U125" s="170">
        <f>IF(Escenarios!$E$14&gt;0,MAX(0,Constantes!$E$36/((Z124+R125+S125+T125+Observaciones!$F124)^2)+Entradas!$E$77),0)</f>
        <v>0</v>
      </c>
      <c r="V125" s="146">
        <f>IF(ETo!D124&gt;0,ETo!I124*((1-Entradas!$E$81)*ETo!K124+ETo!L124),0)</f>
        <v>3.0207663102393405</v>
      </c>
      <c r="W125" s="170">
        <f>IF(Escenarios!$E$14&gt;0,MIN(V125*1,0.8*(Z124+R125+S125+T125+Observaciones!$F124-U125-Constantes!$E$35)),0)</f>
        <v>2.851819715895596</v>
      </c>
      <c r="X125" s="170">
        <f>IF(Escenarios!$E$14&gt;0,Observaciones!$J124,0)</f>
        <v>0</v>
      </c>
      <c r="Y125" s="170">
        <f>IF(Escenarios!$E$14&gt;0,MAX(0,Z124+R125+S125+T125+Observaciones!$F124-U125-W125-X125-Constantes!$E$33),0)</f>
        <v>0</v>
      </c>
      <c r="Z125" s="170">
        <f>Z124+R125+S125+T125+Observaciones!$F124-U125-W125-Y125</f>
        <v>41.9629549289739</v>
      </c>
      <c r="AA125" s="170">
        <f>IF(Escenarios!$E$14&gt;0,(Escenarios!$E$13*L125+Escenarios!$E$14*W125)/(Escenarios!$E$16),L125)</f>
        <v>1.7871424884380025</v>
      </c>
      <c r="AB125" s="170">
        <f>IF(Escenarios!$E$14&gt;0,(Escenarios!$E$14*Y125)/(Escenarios!$E$16),K125)</f>
        <v>0</v>
      </c>
      <c r="AC125" s="170">
        <f>IF(Escenarios!$E$14&gt;0,(Escenarios!$E$13*M125+Escenarios!$E$14*U125)/(Escenarios!$E$16),M125)</f>
        <v>0</v>
      </c>
      <c r="AD125" s="76">
        <f t="shared" si="15"/>
        <v>144.27126528354469</v>
      </c>
      <c r="AE125" s="76">
        <f>MAX(0,(AD125-Constantes!$D$13)*(1-EXP(-Constantes!$D$23)))</f>
        <v>0.94119377823160144</v>
      </c>
      <c r="AF125" s="76">
        <f>AB125+O125*Escenarios!$E$13/Escenarios!$E$16+AE125</f>
        <v>1.0932238023800918</v>
      </c>
      <c r="AG125" s="76">
        <f>IF(Entradas!$E$91&gt;0,IF(AF125-Escenarios!$E$38&lt;=0,0,IF(AF125-Escenarios!$E$38&gt;Escenarios!$E$37,Escenarios!$E$37,AF125-Escenarios!$E$38)),0)</f>
        <v>0</v>
      </c>
      <c r="AH125" s="76">
        <f>AG125*Entradas!$E$99</f>
        <v>0</v>
      </c>
      <c r="AI125" s="76">
        <f>IF(Entradas!$E$91&gt;0,D125*Entradas!$D$23/Escenarios!$E$16,0)</f>
        <v>0</v>
      </c>
      <c r="AJ125" s="76">
        <f>IF(Entradas!$E$91&gt;0,Entradas!$D$24*Entradas!$D$22/Escenarios!$E$16,0)</f>
        <v>0</v>
      </c>
      <c r="AK125" s="76">
        <f t="shared" si="24"/>
        <v>1.7871424884380025</v>
      </c>
      <c r="AL125" s="76">
        <f t="shared" si="25"/>
        <v>0</v>
      </c>
      <c r="AM125" s="76">
        <f t="shared" si="16"/>
        <v>0</v>
      </c>
      <c r="AN125" s="76">
        <f>MAX(0,O125*Escenarios!$E$13/Escenarios!$E$16-AM125)</f>
        <v>0.15203002414849034</v>
      </c>
      <c r="AO125" s="76">
        <f>AM125+AN125-O125*Escenarios!$E$13/Escenarios!$E$16</f>
        <v>0</v>
      </c>
      <c r="AP125" s="76">
        <f t="shared" si="14"/>
        <v>0.94119377823160144</v>
      </c>
      <c r="AQ125" s="76">
        <f t="shared" si="17"/>
        <v>0</v>
      </c>
      <c r="AR125" s="76">
        <f t="shared" si="18"/>
        <v>1.0932238023800918</v>
      </c>
      <c r="AS125" s="76">
        <f t="shared" si="19"/>
        <v>0</v>
      </c>
      <c r="AT125" s="76">
        <f t="shared" si="20"/>
        <v>0</v>
      </c>
      <c r="AU125" s="76">
        <f t="shared" si="21"/>
        <v>48.75</v>
      </c>
      <c r="AV125" s="76">
        <f>MAX(0,(AU125-Constantes!$D$13)*(1-EXP(-Constantes!$D$24)))</f>
        <v>0</v>
      </c>
      <c r="AW125" s="170">
        <f>AW124+(Entradas!$E$112*AT125-AX124)/(800*Entradas!$D$25)</f>
        <v>0</v>
      </c>
      <c r="AX125" s="170">
        <f>8000*Entradas!$D$26*AW125/Constantes!$E$45</f>
        <v>0</v>
      </c>
      <c r="AY125" s="170">
        <f>IF(Escenarios!$E$17&gt;0,10*Escenarios!$E$16*AL125,0)</f>
        <v>0</v>
      </c>
      <c r="AZ125" s="170">
        <f>IF(Escenarios!$E$17&gt;0,10*Escenarios!$E$16*AX125,0)</f>
        <v>0</v>
      </c>
      <c r="BA125" s="170">
        <f>IF(Escenarios!$E$17&gt;0,0.001*Observaciones!$F124*Escenarios!$E$17,0)</f>
        <v>0</v>
      </c>
      <c r="BB125" s="170">
        <f>IF(Escenarios!$E$17&gt;0,Observaciones!$K124,0)</f>
        <v>0</v>
      </c>
      <c r="BC125" s="170">
        <f>IF(Escenarios!$E$17&gt;0,MIN(0.0005*ETo!$M124*Escenarios!$E$17*(BG124/Constantes!$E$40)^(2/3),BG124+AY125+AZ125+BA125+BB125),0)</f>
        <v>23.89007247956572</v>
      </c>
      <c r="BD125" s="170">
        <f>IF(Escenarios!$E$17&gt;0,MIN(Constantes!$E$39*(BG124/Constantes!$E$40)^(2/3),BG124+AY125+AZ125+BA125+BB125-BC125),0)</f>
        <v>50.037872339945714</v>
      </c>
      <c r="BE125" s="170">
        <f>IF(Escenarios!$E$17&gt;0,MIN(Entradas!$E$113,BG124+AY125+AZ125+BA125+BB125-BC125-BD125),0)</f>
        <v>1</v>
      </c>
      <c r="BF125" s="170">
        <f>IF(Escenarios!$E$17&gt;0,MAX(0,BG124+AY125+AZ125+BA125+BB125-BC125-BD125-BE125-Constantes!$E$40),0)</f>
        <v>0</v>
      </c>
      <c r="BG125" s="170">
        <f t="shared" si="26"/>
        <v>3222.8545823408058</v>
      </c>
      <c r="BH125" s="170">
        <f>(Escenarios!$E$16*AK125+0.1*BC125)/(Escenarios!$E$19)</f>
        <v>1.7824390053867349</v>
      </c>
      <c r="BI125" s="170">
        <f>IF(Escenarios!$E$17&gt;0,BF125/10/Escenarios!$E$19,AL125)</f>
        <v>0</v>
      </c>
      <c r="BJ125" s="170">
        <f>(Escenarios!$E$16*AT125+0.1*BD125)/(Escenarios!$E$19)</f>
        <v>1.9856298547597507E-2</v>
      </c>
      <c r="BK125" s="76">
        <f>BK124+(0.1*BD125)/(Escenarios!$E$19)-BL124</f>
        <v>50.298820045826069</v>
      </c>
      <c r="BL125" s="76">
        <f>MAX(0,(BK125-Constantes!$D$13)*(1-EXP(-Constantes!$D$23)))</f>
        <v>1.526089281171826E-2</v>
      </c>
      <c r="BM125" s="76">
        <f t="shared" si="22"/>
        <v>0.95645467104331972</v>
      </c>
      <c r="BN125" s="76">
        <f t="shared" si="27"/>
        <v>1.1084846951918099</v>
      </c>
      <c r="BO125" s="76">
        <f>0.0526*BI125*Observaciones!$F124^1.218</f>
        <v>0</v>
      </c>
      <c r="BP125" s="76">
        <f>BO125*Constantes!$E$51</f>
        <v>0</v>
      </c>
      <c r="BQ125" s="76">
        <f t="shared" si="23"/>
        <v>0</v>
      </c>
      <c r="BR125" s="40"/>
    </row>
    <row r="126" spans="1:70">
      <c r="A126" s="147"/>
      <c r="B126" s="39"/>
      <c r="C126" s="75">
        <v>120</v>
      </c>
      <c r="D126" s="146">
        <f>ETo!$I125*((1-Constantes!$E$19)*ETo!$K125+ETo!$L125)</f>
        <v>3.2236135021481593</v>
      </c>
      <c r="E126" s="76">
        <f>MIN(D126*Constantes!$E$17,0.8*(N125+Observaciones!$F125-F126-M126-Constantes!$D$14))</f>
        <v>1.5760643337212477</v>
      </c>
      <c r="F126" s="76">
        <f>IF(Observaciones!$F125&gt;0.05*Constantes!$E$18,((Observaciones!$F125-0.05*Constantes!$E$18)^2)/(Observaciones!$F125+0.95*Constantes!$E$18),0)</f>
        <v>0</v>
      </c>
      <c r="G126" s="76">
        <f>IF(Escenarios!$E$11&gt;0,(F126*Escenarios!$E$16*10000)/1000,0)</f>
        <v>0</v>
      </c>
      <c r="H126" s="76">
        <f>IF(Escenarios!$E$11&gt;0,(Observaciones!$F125*Constantes!$E$29)/1000,0)</f>
        <v>0</v>
      </c>
      <c r="I126" s="76">
        <f>IF(Escenarios!$E$11&gt;0,(D126*Constantes!$E$29)/1000,0)</f>
        <v>32.236135021481594</v>
      </c>
      <c r="J126" s="76">
        <f>IF(Escenarios!$E$11&gt;0,MAX(0,G126+H126-I126),0)</f>
        <v>0</v>
      </c>
      <c r="K126" s="76">
        <f>IF(Escenarios!$E$11&gt;0,IF(J126&gt;Constantes!$E$30,1000*((J126-Constantes!$E$30)/(Escenarios!$E$16*10000)),0),F126)</f>
        <v>0</v>
      </c>
      <c r="L126" s="76">
        <f>IF(Escenarios!$E$11&gt;0,I126*1000/Escenarios!$E$16/10000+E126,E126)</f>
        <v>1.5889587877298403</v>
      </c>
      <c r="M126" s="76">
        <f>MAX(0,N125+Observaciones!$F125-K126-Constantes!$D$13)</f>
        <v>0</v>
      </c>
      <c r="N126" s="76">
        <f>N125+Observaciones!$F125-K126-L126-M126-O125</f>
        <v>14.559999504507376</v>
      </c>
      <c r="O126" s="76">
        <f>MAX(0,(N126-Constantes!$D$14)*(1-EXP(-Constantes!$D$22)))</f>
        <v>0.11275073438046329</v>
      </c>
      <c r="P126" s="170">
        <f>P125+(Entradas!$E$83*M126-Q125)/(800*Entradas!$D$25)</f>
        <v>0</v>
      </c>
      <c r="Q126" s="170">
        <f>8000*Entradas!$D$26*P126/Constantes!$E$45</f>
        <v>0</v>
      </c>
      <c r="R126" s="170">
        <f>IF(Escenarios!$E$14&gt;0,K126*Escenarios!$E$13/Escenarios!$E$14,0)</f>
        <v>0</v>
      </c>
      <c r="S126" s="170">
        <f>IF(Escenarios!$E$14&gt;0,Q126*Escenarios!$E$13/Escenarios!$E$14,0)</f>
        <v>0</v>
      </c>
      <c r="T126" s="170">
        <f>IF(Escenarios!$E$14&gt;0,Observaciones!$I125,0)</f>
        <v>0</v>
      </c>
      <c r="U126" s="170">
        <f>IF(Escenarios!$E$14&gt;0,MAX(0,Constantes!$E$36/((Z125+R126+S126+T126+Observaciones!$F125)^2)+Entradas!$E$77),0)</f>
        <v>0</v>
      </c>
      <c r="V126" s="146">
        <f>IF(ETo!D125&gt;0,ETo!I125*((1-Entradas!$E$81)*ETo!K125+ETo!L125),0)</f>
        <v>2.9215170441067553</v>
      </c>
      <c r="W126" s="170">
        <f>IF(Escenarios!$E$14&gt;0,MIN(V126*1,0.8*(Z125+R126+S126+T126+Observaciones!$F125-U126-Constantes!$E$35)),0)</f>
        <v>0.57036394317912031</v>
      </c>
      <c r="X126" s="170">
        <f>IF(Escenarios!$E$14&gt;0,Observaciones!$J125,0)</f>
        <v>0</v>
      </c>
      <c r="Y126" s="170">
        <f>IF(Escenarios!$E$14&gt;0,MAX(0,Z125+R126+S126+T126+Observaciones!$F125-U126-W126-X126-Constantes!$E$33),0)</f>
        <v>0</v>
      </c>
      <c r="Z126" s="170">
        <f>Z125+R126+S126+T126+Observaciones!$F125-U126-W126-Y126</f>
        <v>41.392590985794783</v>
      </c>
      <c r="AA126" s="170">
        <f>IF(Escenarios!$E$14&gt;0,(Escenarios!$E$13*L126+Escenarios!$E$14*W126)/(Escenarios!$E$16),L126)</f>
        <v>1.4667274063837541</v>
      </c>
      <c r="AB126" s="170">
        <f>IF(Escenarios!$E$14&gt;0,(Escenarios!$E$14*Y126)/(Escenarios!$E$16),K126)</f>
        <v>0</v>
      </c>
      <c r="AC126" s="170">
        <f>IF(Escenarios!$E$14&gt;0,(Escenarios!$E$13*M126+Escenarios!$E$14*U126)/(Escenarios!$E$16),M126)</f>
        <v>0</v>
      </c>
      <c r="AD126" s="76">
        <f t="shared" si="15"/>
        <v>143.3300715053131</v>
      </c>
      <c r="AE126" s="76">
        <f>MAX(0,(AD126-Constantes!$D$13)*(1-EXP(-Constantes!$D$23)))</f>
        <v>0.93191997175979291</v>
      </c>
      <c r="AF126" s="76">
        <f>AB126+O126*Escenarios!$E$13/Escenarios!$E$16+AE126</f>
        <v>1.0311406180146006</v>
      </c>
      <c r="AG126" s="76">
        <f>IF(Entradas!$E$91&gt;0,IF(AF126-Escenarios!$E$38&lt;=0,0,IF(AF126-Escenarios!$E$38&gt;Escenarios!$E$37,Escenarios!$E$37,AF126-Escenarios!$E$38)),0)</f>
        <v>0</v>
      </c>
      <c r="AH126" s="76">
        <f>AG126*Entradas!$E$99</f>
        <v>0</v>
      </c>
      <c r="AI126" s="76">
        <f>IF(Entradas!$E$91&gt;0,D126*Entradas!$D$23/Escenarios!$E$16,0)</f>
        <v>0</v>
      </c>
      <c r="AJ126" s="76">
        <f>IF(Entradas!$E$91&gt;0,Entradas!$D$24*Entradas!$D$22/Escenarios!$E$16,0)</f>
        <v>0</v>
      </c>
      <c r="AK126" s="76">
        <f t="shared" si="24"/>
        <v>1.4667274063837541</v>
      </c>
      <c r="AL126" s="76">
        <f t="shared" si="25"/>
        <v>0</v>
      </c>
      <c r="AM126" s="76">
        <f t="shared" si="16"/>
        <v>0</v>
      </c>
      <c r="AN126" s="76">
        <f>MAX(0,O126*Escenarios!$E$13/Escenarios!$E$16-AM126)</f>
        <v>9.9220646254807685E-2</v>
      </c>
      <c r="AO126" s="76">
        <f>AM126+AN126-O126*Escenarios!$E$13/Escenarios!$E$16</f>
        <v>0</v>
      </c>
      <c r="AP126" s="76">
        <f t="shared" si="14"/>
        <v>0.93191997175979291</v>
      </c>
      <c r="AQ126" s="76">
        <f t="shared" si="17"/>
        <v>0</v>
      </c>
      <c r="AR126" s="76">
        <f t="shared" si="18"/>
        <v>1.0311406180146006</v>
      </c>
      <c r="AS126" s="76">
        <f t="shared" si="19"/>
        <v>0</v>
      </c>
      <c r="AT126" s="76">
        <f t="shared" si="20"/>
        <v>0</v>
      </c>
      <c r="AU126" s="76">
        <f t="shared" si="21"/>
        <v>48.75</v>
      </c>
      <c r="AV126" s="76">
        <f>MAX(0,(AU126-Constantes!$D$13)*(1-EXP(-Constantes!$D$24)))</f>
        <v>0</v>
      </c>
      <c r="AW126" s="170">
        <f>AW125+(Entradas!$E$112*AT126-AX125)/(800*Entradas!$D$25)</f>
        <v>0</v>
      </c>
      <c r="AX126" s="170">
        <f>8000*Entradas!$D$26*AW126/Constantes!$E$45</f>
        <v>0</v>
      </c>
      <c r="AY126" s="170">
        <f>IF(Escenarios!$E$17&gt;0,10*Escenarios!$E$16*AL126,0)</f>
        <v>0</v>
      </c>
      <c r="AZ126" s="170">
        <f>IF(Escenarios!$E$17&gt;0,10*Escenarios!$E$16*AX126,0)</f>
        <v>0</v>
      </c>
      <c r="BA126" s="170">
        <f>IF(Escenarios!$E$17&gt;0,0.001*Observaciones!$F125*Escenarios!$E$17,0)</f>
        <v>0</v>
      </c>
      <c r="BB126" s="170">
        <f>IF(Escenarios!$E$17&gt;0,Observaciones!$K125,0)</f>
        <v>0</v>
      </c>
      <c r="BC126" s="170">
        <f>IF(Escenarios!$E$17&gt;0,MIN(0.0005*ETo!$M125*Escenarios!$E$17*(BG125/Constantes!$E$40)^(2/3),BG125+AY126+AZ126+BA126+BB126),0)</f>
        <v>22.784294837116242</v>
      </c>
      <c r="BD126" s="170">
        <f>IF(Escenarios!$E$17&gt;0,MIN(Constantes!$E$39*(BG125/Constantes!$E$40)^(2/3),BG125+AY126+AZ126+BA126+BB126-BC126),0)</f>
        <v>49.277042348326141</v>
      </c>
      <c r="BE126" s="170">
        <f>IF(Escenarios!$E$17&gt;0,MIN(Entradas!$E$113,BG125+AY126+AZ126+BA126+BB126-BC126-BD126),0)</f>
        <v>1</v>
      </c>
      <c r="BF126" s="170">
        <f>IF(Escenarios!$E$17&gt;0,MAX(0,BG125+AY126+AZ126+BA126+BB126-BC126-BD126-BE126-Constantes!$E$40),0)</f>
        <v>0</v>
      </c>
      <c r="BG126" s="170">
        <f t="shared" si="26"/>
        <v>3149.7932451553634</v>
      </c>
      <c r="BH126" s="170">
        <f>(Escenarios!$E$16*AK126+0.1*BC126)/(Escenarios!$E$19)</f>
        <v>1.4641280995224213</v>
      </c>
      <c r="BI126" s="170">
        <f>IF(Escenarios!$E$17&gt;0,BF126/10/Escenarios!$E$19,AL126)</f>
        <v>0</v>
      </c>
      <c r="BJ126" s="170">
        <f>(Escenarios!$E$16*AT126+0.1*BD126)/(Escenarios!$E$19)</f>
        <v>1.9554381884256407E-2</v>
      </c>
      <c r="BK126" s="76">
        <f>BK125+(0.1*BD126)/(Escenarios!$E$19)-BL125</f>
        <v>50.303113534898607</v>
      </c>
      <c r="BL126" s="76">
        <f>MAX(0,(BK126-Constantes!$D$13)*(1-EXP(-Constantes!$D$23)))</f>
        <v>1.5303197582179398E-2</v>
      </c>
      <c r="BM126" s="76">
        <f t="shared" si="22"/>
        <v>0.94722316934197226</v>
      </c>
      <c r="BN126" s="76">
        <f t="shared" si="27"/>
        <v>1.0464438155967799</v>
      </c>
      <c r="BO126" s="76">
        <f>0.0526*BI126*Observaciones!$F125^1.218</f>
        <v>0</v>
      </c>
      <c r="BP126" s="76">
        <f>BO126*Constantes!$E$51</f>
        <v>0</v>
      </c>
      <c r="BQ126" s="76">
        <f t="shared" si="23"/>
        <v>0</v>
      </c>
      <c r="BR126" s="40"/>
    </row>
    <row r="127" spans="1:70">
      <c r="A127" s="147"/>
      <c r="B127" s="39"/>
      <c r="C127" s="75">
        <v>121</v>
      </c>
      <c r="D127" s="146">
        <f>ETo!$I126*((1-Constantes!$E$19)*ETo!$K126+ETo!$L126)</f>
        <v>3.2020322902801071</v>
      </c>
      <c r="E127" s="76">
        <f>MIN(D127*Constantes!$E$17,0.8*(N126+Observaciones!$F126-F127-M127-Constantes!$D$14))</f>
        <v>1.5655130135083706</v>
      </c>
      <c r="F127" s="76">
        <f>IF(Observaciones!$F126&gt;0.05*Constantes!$E$18,((Observaciones!$F126-0.05*Constantes!$E$18)^2)/(Observaciones!$F126+0.95*Constantes!$E$18),0)</f>
        <v>0</v>
      </c>
      <c r="G127" s="76">
        <f>IF(Escenarios!$E$11&gt;0,(F127*Escenarios!$E$16*10000)/1000,0)</f>
        <v>0</v>
      </c>
      <c r="H127" s="76">
        <f>IF(Escenarios!$E$11&gt;0,(Observaciones!$F126*Constantes!$E$29)/1000,0)</f>
        <v>0</v>
      </c>
      <c r="I127" s="76">
        <f>IF(Escenarios!$E$11&gt;0,(D127*Constantes!$E$29)/1000,0)</f>
        <v>32.02032290280107</v>
      </c>
      <c r="J127" s="76">
        <f>IF(Escenarios!$E$11&gt;0,MAX(0,G127+H127-I127),0)</f>
        <v>0</v>
      </c>
      <c r="K127" s="76">
        <f>IF(Escenarios!$E$11&gt;0,IF(J127&gt;Constantes!$E$30,1000*((J127-Constantes!$E$30)/(Escenarios!$E$16*10000)),0),F127)</f>
        <v>0</v>
      </c>
      <c r="L127" s="76">
        <f>IF(Escenarios!$E$11&gt;0,I127*1000/Escenarios!$E$16/10000+E127,E127)</f>
        <v>1.578321142669491</v>
      </c>
      <c r="M127" s="76">
        <f>MAX(0,N126+Observaciones!$F126-K127-Constantes!$D$13)</f>
        <v>0</v>
      </c>
      <c r="N127" s="76">
        <f>N126+Observaciones!$F126-K127-L127-M127-O126</f>
        <v>12.86892762745742</v>
      </c>
      <c r="O127" s="76">
        <f>MAX(0,(N127-Constantes!$D$14)*(1-EXP(-Constantes!$D$22)))</f>
        <v>5.514661819618967E-2</v>
      </c>
      <c r="P127" s="170">
        <f>P126+(Entradas!$E$83*M127-Q126)/(800*Entradas!$D$25)</f>
        <v>0</v>
      </c>
      <c r="Q127" s="170">
        <f>8000*Entradas!$D$26*P127/Constantes!$E$45</f>
        <v>0</v>
      </c>
      <c r="R127" s="170">
        <f>IF(Escenarios!$E$14&gt;0,K127*Escenarios!$E$13/Escenarios!$E$14,0)</f>
        <v>0</v>
      </c>
      <c r="S127" s="170">
        <f>IF(Escenarios!$E$14&gt;0,Q127*Escenarios!$E$13/Escenarios!$E$14,0)</f>
        <v>0</v>
      </c>
      <c r="T127" s="170">
        <f>IF(Escenarios!$E$14&gt;0,Observaciones!$I126,0)</f>
        <v>0</v>
      </c>
      <c r="U127" s="170">
        <f>IF(Escenarios!$E$14&gt;0,MAX(0,Constantes!$E$36/((Z126+R127+S127+T127+Observaciones!$F126)^2)+Entradas!$E$77),0)</f>
        <v>0</v>
      </c>
      <c r="V127" s="146">
        <f>IF(ETo!D126&gt;0,ETo!I126*((1-Entradas!$E$81)*ETo!K126+ETo!L126),0)</f>
        <v>2.9013728343861329</v>
      </c>
      <c r="W127" s="170">
        <f>IF(Escenarios!$E$14&gt;0,MIN(V127*1,0.8*(Z126+R127+S127+T127+Observaciones!$F126-U127-Constantes!$E$35)),0)</f>
        <v>0.11407278863582633</v>
      </c>
      <c r="X127" s="170">
        <f>IF(Escenarios!$E$14&gt;0,Observaciones!$J126,0)</f>
        <v>0</v>
      </c>
      <c r="Y127" s="170">
        <f>IF(Escenarios!$E$14&gt;0,MAX(0,Z126+R127+S127+T127+Observaciones!$F126-U127-W127-X127-Constantes!$E$33),0)</f>
        <v>0</v>
      </c>
      <c r="Z127" s="170">
        <f>Z126+R127+S127+T127+Observaciones!$F126-U127-W127-Y127</f>
        <v>41.278518197158959</v>
      </c>
      <c r="AA127" s="170">
        <f>IF(Escenarios!$E$14&gt;0,(Escenarios!$E$13*L127+Escenarios!$E$14*W127)/(Escenarios!$E$16),L127)</f>
        <v>1.4026113401854512</v>
      </c>
      <c r="AB127" s="170">
        <f>IF(Escenarios!$E$14&gt;0,(Escenarios!$E$14*Y127)/(Escenarios!$E$16),K127)</f>
        <v>0</v>
      </c>
      <c r="AC127" s="170">
        <f>IF(Escenarios!$E$14&gt;0,(Escenarios!$E$13*M127+Escenarios!$E$14*U127)/(Escenarios!$E$16),M127)</f>
        <v>0</v>
      </c>
      <c r="AD127" s="76">
        <f t="shared" si="15"/>
        <v>142.39815153355332</v>
      </c>
      <c r="AE127" s="76">
        <f>MAX(0,(AD127-Constantes!$D$13)*(1-EXP(-Constantes!$D$23)))</f>
        <v>0.92273754231199989</v>
      </c>
      <c r="AF127" s="76">
        <f>AB127+O127*Escenarios!$E$13/Escenarios!$E$16+AE127</f>
        <v>0.97126656632464681</v>
      </c>
      <c r="AG127" s="76">
        <f>IF(Entradas!$E$91&gt;0,IF(AF127-Escenarios!$E$38&lt;=0,0,IF(AF127-Escenarios!$E$38&gt;Escenarios!$E$37,Escenarios!$E$37,AF127-Escenarios!$E$38)),0)</f>
        <v>0</v>
      </c>
      <c r="AH127" s="76">
        <f>AG127*Entradas!$E$99</f>
        <v>0</v>
      </c>
      <c r="AI127" s="76">
        <f>IF(Entradas!$E$91&gt;0,D127*Entradas!$D$23/Escenarios!$E$16,0)</f>
        <v>0</v>
      </c>
      <c r="AJ127" s="76">
        <f>IF(Entradas!$E$91&gt;0,Entradas!$D$24*Entradas!$D$22/Escenarios!$E$16,0)</f>
        <v>0</v>
      </c>
      <c r="AK127" s="76">
        <f t="shared" si="24"/>
        <v>1.4026113401854512</v>
      </c>
      <c r="AL127" s="76">
        <f t="shared" si="25"/>
        <v>0</v>
      </c>
      <c r="AM127" s="76">
        <f t="shared" si="16"/>
        <v>0</v>
      </c>
      <c r="AN127" s="76">
        <f>MAX(0,O127*Escenarios!$E$13/Escenarios!$E$16-AM127)</f>
        <v>4.8529024012646908E-2</v>
      </c>
      <c r="AO127" s="76">
        <f>AM127+AN127-O127*Escenarios!$E$13/Escenarios!$E$16</f>
        <v>0</v>
      </c>
      <c r="AP127" s="76">
        <f t="shared" si="14"/>
        <v>0.92273754231199989</v>
      </c>
      <c r="AQ127" s="76">
        <f t="shared" si="17"/>
        <v>0</v>
      </c>
      <c r="AR127" s="76">
        <f t="shared" si="18"/>
        <v>0.97126656632464681</v>
      </c>
      <c r="AS127" s="76">
        <f t="shared" si="19"/>
        <v>0</v>
      </c>
      <c r="AT127" s="76">
        <f t="shared" si="20"/>
        <v>0</v>
      </c>
      <c r="AU127" s="76">
        <f t="shared" si="21"/>
        <v>48.75</v>
      </c>
      <c r="AV127" s="76">
        <f>MAX(0,(AU127-Constantes!$D$13)*(1-EXP(-Constantes!$D$24)))</f>
        <v>0</v>
      </c>
      <c r="AW127" s="170">
        <f>AW126+(Entradas!$E$112*AT127-AX126)/(800*Entradas!$D$25)</f>
        <v>0</v>
      </c>
      <c r="AX127" s="170">
        <f>8000*Entradas!$D$26*AW127/Constantes!$E$45</f>
        <v>0</v>
      </c>
      <c r="AY127" s="170">
        <f>IF(Escenarios!$E$17&gt;0,10*Escenarios!$E$16*AL127,0)</f>
        <v>0</v>
      </c>
      <c r="AZ127" s="170">
        <f>IF(Escenarios!$E$17&gt;0,10*Escenarios!$E$16*AX127,0)</f>
        <v>0</v>
      </c>
      <c r="BA127" s="170">
        <f>IF(Escenarios!$E$17&gt;0,0.001*Observaciones!$F126*Escenarios!$E$17,0)</f>
        <v>0</v>
      </c>
      <c r="BB127" s="170">
        <f>IF(Escenarios!$E$17&gt;0,Observaciones!$K126,0)</f>
        <v>0</v>
      </c>
      <c r="BC127" s="170">
        <f>IF(Escenarios!$E$17&gt;0,MIN(0.0005*ETo!$M126*Escenarios!$E$17*(BG126/Constantes!$E$40)^(2/3),BG126+AY127+AZ127+BA127+BB127),0)</f>
        <v>22.294005307453364</v>
      </c>
      <c r="BD127" s="170">
        <f>IF(Escenarios!$E$17&gt;0,MIN(Constantes!$E$39*(BG126/Constantes!$E$40)^(2/3),BG126+AY127+AZ127+BA127+BB127-BC127),0)</f>
        <v>48.529467344890776</v>
      </c>
      <c r="BE127" s="170">
        <f>IF(Escenarios!$E$17&gt;0,MIN(Entradas!$E$113,BG126+AY127+AZ127+BA127+BB127-BC127-BD127),0)</f>
        <v>1</v>
      </c>
      <c r="BF127" s="170">
        <f>IF(Escenarios!$E$17&gt;0,MAX(0,BG126+AY127+AZ127+BA127+BB127-BC127-BD127-BE127-Constantes!$E$40),0)</f>
        <v>0</v>
      </c>
      <c r="BG127" s="170">
        <f t="shared" si="26"/>
        <v>3077.9697725030192</v>
      </c>
      <c r="BH127" s="170">
        <f>(Escenarios!$E$16*AK127+0.1*BC127)/(Escenarios!$E$19)</f>
        <v>1.400326331655191</v>
      </c>
      <c r="BI127" s="170">
        <f>IF(Escenarios!$E$17&gt;0,BF127/10/Escenarios!$E$19,AL127)</f>
        <v>0</v>
      </c>
      <c r="BJ127" s="170">
        <f>(Escenarios!$E$16*AT127+0.1*BD127)/(Escenarios!$E$19)</f>
        <v>1.9257725136861421E-2</v>
      </c>
      <c r="BK127" s="76">
        <f>BK126+(0.1*BD127)/(Escenarios!$E$19)-BL126</f>
        <v>50.30706806245329</v>
      </c>
      <c r="BL127" s="76">
        <f>MAX(0,(BK127-Constantes!$D$13)*(1-EXP(-Constantes!$D$23)))</f>
        <v>1.5342162484070769E-2</v>
      </c>
      <c r="BM127" s="76">
        <f t="shared" si="22"/>
        <v>0.93807970479607061</v>
      </c>
      <c r="BN127" s="76">
        <f t="shared" si="27"/>
        <v>0.98660872880871753</v>
      </c>
      <c r="BO127" s="76">
        <f>0.0526*BI127*Observaciones!$F126^1.218</f>
        <v>0</v>
      </c>
      <c r="BP127" s="76">
        <f>BO127*Constantes!$E$51</f>
        <v>0</v>
      </c>
      <c r="BQ127" s="76">
        <f t="shared" si="23"/>
        <v>0</v>
      </c>
      <c r="BR127" s="40"/>
    </row>
    <row r="128" spans="1:70">
      <c r="A128" s="147"/>
      <c r="B128" s="39"/>
      <c r="C128" s="75">
        <v>122</v>
      </c>
      <c r="D128" s="146">
        <f>ETo!$I127*((1-Constantes!$E$19)*ETo!$K127+ETo!$L127)</f>
        <v>3.226284639344132</v>
      </c>
      <c r="E128" s="76">
        <f>MIN(D128*Constantes!$E$17,0.8*(N127+Observaciones!$F127-F128-M128-Constantes!$D$14))</f>
        <v>1.2951421019659364</v>
      </c>
      <c r="F128" s="76">
        <f>IF(Observaciones!$F127&gt;0.05*Constantes!$E$18,((Observaciones!$F127-0.05*Constantes!$E$18)^2)/(Observaciones!$F127+0.95*Constantes!$E$18),0)</f>
        <v>0</v>
      </c>
      <c r="G128" s="76">
        <f>IF(Escenarios!$E$11&gt;0,(F128*Escenarios!$E$16*10000)/1000,0)</f>
        <v>0</v>
      </c>
      <c r="H128" s="76">
        <f>IF(Escenarios!$E$11&gt;0,(Observaciones!$F127*Constantes!$E$29)/1000,0)</f>
        <v>0</v>
      </c>
      <c r="I128" s="76">
        <f>IF(Escenarios!$E$11&gt;0,(D128*Constantes!$E$29)/1000,0)</f>
        <v>32.262846393441322</v>
      </c>
      <c r="J128" s="76">
        <f>IF(Escenarios!$E$11&gt;0,MAX(0,G128+H128-I128),0)</f>
        <v>0</v>
      </c>
      <c r="K128" s="76">
        <f>IF(Escenarios!$E$11&gt;0,IF(J128&gt;Constantes!$E$30,1000*((J128-Constantes!$E$30)/(Escenarios!$E$16*10000)),0),F128)</f>
        <v>0</v>
      </c>
      <c r="L128" s="76">
        <f>IF(Escenarios!$E$11&gt;0,I128*1000/Escenarios!$E$16/10000+E128,E128)</f>
        <v>1.308047240523313</v>
      </c>
      <c r="M128" s="76">
        <f>MAX(0,N127+Observaciones!$F127-K128-Constantes!$D$13)</f>
        <v>0</v>
      </c>
      <c r="N128" s="76">
        <f>N127+Observaciones!$F127-K128-L128-M128-O127</f>
        <v>11.505733768737917</v>
      </c>
      <c r="O128" s="76">
        <f>MAX(0,(N128-Constantes!$D$14)*(1-EXP(-Constantes!$D$22)))</f>
        <v>8.7112309810980105E-3</v>
      </c>
      <c r="P128" s="170">
        <f>P127+(Entradas!$E$83*M128-Q127)/(800*Entradas!$D$25)</f>
        <v>0</v>
      </c>
      <c r="Q128" s="170">
        <f>8000*Entradas!$D$26*P128/Constantes!$E$45</f>
        <v>0</v>
      </c>
      <c r="R128" s="170">
        <f>IF(Escenarios!$E$14&gt;0,K128*Escenarios!$E$13/Escenarios!$E$14,0)</f>
        <v>0</v>
      </c>
      <c r="S128" s="170">
        <f>IF(Escenarios!$E$14&gt;0,Q128*Escenarios!$E$13/Escenarios!$E$14,0)</f>
        <v>0</v>
      </c>
      <c r="T128" s="170">
        <f>IF(Escenarios!$E$14&gt;0,Observaciones!$I127,0)</f>
        <v>0</v>
      </c>
      <c r="U128" s="170">
        <f>IF(Escenarios!$E$14&gt;0,MAX(0,Constantes!$E$36/((Z127+R128+S128+T128+Observaciones!$F127)^2)+Entradas!$E$77),0)</f>
        <v>0</v>
      </c>
      <c r="V128" s="146">
        <f>IF(ETo!D127&gt;0,ETo!I127*((1-Entradas!$E$81)*ETo!K127+ETo!L127),0)</f>
        <v>2.923354898910083</v>
      </c>
      <c r="W128" s="170">
        <f>IF(Escenarios!$E$14&gt;0,MIN(V128*1,0.8*(Z127+R128+S128+T128+Observaciones!$F127-U128-Constantes!$E$35)),0)</f>
        <v>2.2814557727167541E-2</v>
      </c>
      <c r="X128" s="170">
        <f>IF(Escenarios!$E$14&gt;0,Observaciones!$J127,0)</f>
        <v>0</v>
      </c>
      <c r="Y128" s="170">
        <f>IF(Escenarios!$E$14&gt;0,MAX(0,Z127+R128+S128+T128+Observaciones!$F127-U128-W128-X128-Constantes!$E$33),0)</f>
        <v>0</v>
      </c>
      <c r="Z128" s="170">
        <f>Z127+R128+S128+T128+Observaciones!$F127-U128-W128-Y128</f>
        <v>41.255703639431793</v>
      </c>
      <c r="AA128" s="170">
        <f>IF(Escenarios!$E$14&gt;0,(Escenarios!$E$13*L128+Escenarios!$E$14*W128)/(Escenarios!$E$16),L128)</f>
        <v>1.1538193185877756</v>
      </c>
      <c r="AB128" s="170">
        <f>IF(Escenarios!$E$14&gt;0,(Escenarios!$E$14*Y128)/(Escenarios!$E$16),K128)</f>
        <v>0</v>
      </c>
      <c r="AC128" s="170">
        <f>IF(Escenarios!$E$14&gt;0,(Escenarios!$E$13*M128+Escenarios!$E$14*U128)/(Escenarios!$E$16),M128)</f>
        <v>0</v>
      </c>
      <c r="AD128" s="76">
        <f t="shared" si="15"/>
        <v>141.47541399124131</v>
      </c>
      <c r="AE128" s="76">
        <f>MAX(0,(AD128-Constantes!$D$13)*(1-EXP(-Constantes!$D$23)))</f>
        <v>0.91364558952863995</v>
      </c>
      <c r="AF128" s="76">
        <f>AB128+O128*Escenarios!$E$13/Escenarios!$E$16+AE128</f>
        <v>0.9213114727920062</v>
      </c>
      <c r="AG128" s="76">
        <f>IF(Entradas!$E$91&gt;0,IF(AF128-Escenarios!$E$38&lt;=0,0,IF(AF128-Escenarios!$E$38&gt;Escenarios!$E$37,Escenarios!$E$37,AF128-Escenarios!$E$38)),0)</f>
        <v>0</v>
      </c>
      <c r="AH128" s="76">
        <f>AG128*Entradas!$E$99</f>
        <v>0</v>
      </c>
      <c r="AI128" s="76">
        <f>IF(Entradas!$E$91&gt;0,D128*Entradas!$D$23/Escenarios!$E$16,0)</f>
        <v>0</v>
      </c>
      <c r="AJ128" s="76">
        <f>IF(Entradas!$E$91&gt;0,Entradas!$D$24*Entradas!$D$22/Escenarios!$E$16,0)</f>
        <v>0</v>
      </c>
      <c r="AK128" s="76">
        <f t="shared" si="24"/>
        <v>1.1538193185877756</v>
      </c>
      <c r="AL128" s="76">
        <f t="shared" si="25"/>
        <v>0</v>
      </c>
      <c r="AM128" s="76">
        <f t="shared" si="16"/>
        <v>0</v>
      </c>
      <c r="AN128" s="76">
        <f>MAX(0,O128*Escenarios!$E$13/Escenarios!$E$16-AM128)</f>
        <v>7.665883263366249E-3</v>
      </c>
      <c r="AO128" s="76">
        <f>AM128+AN128-O128*Escenarios!$E$13/Escenarios!$E$16</f>
        <v>0</v>
      </c>
      <c r="AP128" s="76">
        <f t="shared" si="14"/>
        <v>0.91364558952863995</v>
      </c>
      <c r="AQ128" s="76">
        <f t="shared" si="17"/>
        <v>0</v>
      </c>
      <c r="AR128" s="76">
        <f t="shared" si="18"/>
        <v>0.9213114727920062</v>
      </c>
      <c r="AS128" s="76">
        <f t="shared" si="19"/>
        <v>0</v>
      </c>
      <c r="AT128" s="76">
        <f t="shared" si="20"/>
        <v>0</v>
      </c>
      <c r="AU128" s="76">
        <f t="shared" si="21"/>
        <v>48.75</v>
      </c>
      <c r="AV128" s="76">
        <f>MAX(0,(AU128-Constantes!$D$13)*(1-EXP(-Constantes!$D$24)))</f>
        <v>0</v>
      </c>
      <c r="AW128" s="170">
        <f>AW127+(Entradas!$E$112*AT128-AX127)/(800*Entradas!$D$25)</f>
        <v>0</v>
      </c>
      <c r="AX128" s="170">
        <f>8000*Entradas!$D$26*AW128/Constantes!$E$45</f>
        <v>0</v>
      </c>
      <c r="AY128" s="170">
        <f>IF(Escenarios!$E$17&gt;0,10*Escenarios!$E$16*AL128,0)</f>
        <v>0</v>
      </c>
      <c r="AZ128" s="170">
        <f>IF(Escenarios!$E$17&gt;0,10*Escenarios!$E$16*AX128,0)</f>
        <v>0</v>
      </c>
      <c r="BA128" s="170">
        <f>IF(Escenarios!$E$17&gt;0,0.001*Observaciones!$F127*Escenarios!$E$17,0)</f>
        <v>0</v>
      </c>
      <c r="BB128" s="170">
        <f>IF(Escenarios!$E$17&gt;0,Observaciones!$K127,0)</f>
        <v>0</v>
      </c>
      <c r="BC128" s="170">
        <f>IF(Escenarios!$E$17&gt;0,MIN(0.0005*ETo!$M127*Escenarios!$E$17*(BG127/Constantes!$E$40)^(2/3),BG127+AY128+AZ128+BA128+BB128),0)</f>
        <v>22.120010609006112</v>
      </c>
      <c r="BD128" s="170">
        <f>IF(Escenarios!$E$17&gt;0,MIN(Constantes!$E$39*(BG127/Constantes!$E$40)^(2/3),BG127+AY128+AZ128+BA128+BB128-BC128),0)</f>
        <v>47.788902853245716</v>
      </c>
      <c r="BE128" s="170">
        <f>IF(Escenarios!$E$17&gt;0,MIN(Entradas!$E$113,BG127+AY128+AZ128+BA128+BB128-BC128-BD128),0)</f>
        <v>1</v>
      </c>
      <c r="BF128" s="170">
        <f>IF(Escenarios!$E$17&gt;0,MAX(0,BG127+AY128+AZ128+BA128+BB128-BC128-BD128-BE128-Constantes!$E$40),0)</f>
        <v>0</v>
      </c>
      <c r="BG128" s="170">
        <f t="shared" si="26"/>
        <v>3007.0608590407674</v>
      </c>
      <c r="BH128" s="170">
        <f>(Escenarios!$E$16*AK128+0.1*BC128)/(Escenarios!$E$19)</f>
        <v>1.1534398043962084</v>
      </c>
      <c r="BI128" s="170">
        <f>IF(Escenarios!$E$17&gt;0,BF128/10/Escenarios!$E$19,AL128)</f>
        <v>0</v>
      </c>
      <c r="BJ128" s="170">
        <f>(Escenarios!$E$16*AT128+0.1*BD128)/(Escenarios!$E$19)</f>
        <v>1.896385033858957E-2</v>
      </c>
      <c r="BK128" s="76">
        <f>BK127+(0.1*BD128)/(Escenarios!$E$19)-BL127</f>
        <v>50.310689750307809</v>
      </c>
      <c r="BL128" s="76">
        <f>MAX(0,(BK128-Constantes!$D$13)*(1-EXP(-Constantes!$D$23)))</f>
        <v>1.5377847837120184E-2</v>
      </c>
      <c r="BM128" s="76">
        <f t="shared" si="22"/>
        <v>0.9290234373657601</v>
      </c>
      <c r="BN128" s="76">
        <f t="shared" si="27"/>
        <v>0.93668932062912635</v>
      </c>
      <c r="BO128" s="76">
        <f>0.0526*BI128*Observaciones!$F127^1.218</f>
        <v>0</v>
      </c>
      <c r="BP128" s="76">
        <f>BO128*Constantes!$E$51</f>
        <v>0</v>
      </c>
      <c r="BQ128" s="76">
        <f t="shared" si="23"/>
        <v>0</v>
      </c>
      <c r="BR128" s="40"/>
    </row>
    <row r="129" spans="1:70">
      <c r="A129" s="147"/>
      <c r="B129" s="39"/>
      <c r="C129" s="75">
        <v>123</v>
      </c>
      <c r="D129" s="146">
        <f>ETo!$I128*((1-Constantes!$E$19)*ETo!$K128+ETo!$L128)</f>
        <v>3.2152592290379687</v>
      </c>
      <c r="E129" s="76">
        <f>MIN(D129*Constantes!$E$17,0.8*(N128+Observaciones!$F128-F129-M129-Constantes!$D$14))</f>
        <v>0.20458701499033369</v>
      </c>
      <c r="F129" s="76">
        <f>IF(Observaciones!$F128&gt;0.05*Constantes!$E$18,((Observaciones!$F128-0.05*Constantes!$E$18)^2)/(Observaciones!$F128+0.95*Constantes!$E$18),0)</f>
        <v>0</v>
      </c>
      <c r="G129" s="76">
        <f>IF(Escenarios!$E$11&gt;0,(F129*Escenarios!$E$16*10000)/1000,0)</f>
        <v>0</v>
      </c>
      <c r="H129" s="76">
        <f>IF(Escenarios!$E$11&gt;0,(Observaciones!$F128*Constantes!$E$29)/1000,0)</f>
        <v>0</v>
      </c>
      <c r="I129" s="76">
        <f>IF(Escenarios!$E$11&gt;0,(D129*Constantes!$E$29)/1000,0)</f>
        <v>32.152592290379687</v>
      </c>
      <c r="J129" s="76">
        <f>IF(Escenarios!$E$11&gt;0,MAX(0,G129+H129-I129),0)</f>
        <v>0</v>
      </c>
      <c r="K129" s="76">
        <f>IF(Escenarios!$E$11&gt;0,IF(J129&gt;Constantes!$E$30,1000*((J129-Constantes!$E$30)/(Escenarios!$E$16*10000)),0),F129)</f>
        <v>0</v>
      </c>
      <c r="L129" s="76">
        <f>IF(Escenarios!$E$11&gt;0,I129*1000/Escenarios!$E$16/10000+E129,E129)</f>
        <v>0.21744805190648556</v>
      </c>
      <c r="M129" s="76">
        <f>MAX(0,N128+Observaciones!$F128-K129-Constantes!$D$13)</f>
        <v>0</v>
      </c>
      <c r="N129" s="76">
        <f>N128+Observaciones!$F128-K129-L129-M129-O128</f>
        <v>11.279574485850334</v>
      </c>
      <c r="O129" s="76">
        <f>MAX(0,(N129-Constantes!$D$14)*(1-EXP(-Constantes!$D$22)))</f>
        <v>1.007415558222599E-3</v>
      </c>
      <c r="P129" s="170">
        <f>P128+(Entradas!$E$83*M129-Q128)/(800*Entradas!$D$25)</f>
        <v>0</v>
      </c>
      <c r="Q129" s="170">
        <f>8000*Entradas!$D$26*P129/Constantes!$E$45</f>
        <v>0</v>
      </c>
      <c r="R129" s="170">
        <f>IF(Escenarios!$E$14&gt;0,K129*Escenarios!$E$13/Escenarios!$E$14,0)</f>
        <v>0</v>
      </c>
      <c r="S129" s="170">
        <f>IF(Escenarios!$E$14&gt;0,Q129*Escenarios!$E$13/Escenarios!$E$14,0)</f>
        <v>0</v>
      </c>
      <c r="T129" s="170">
        <f>IF(Escenarios!$E$14&gt;0,Observaciones!$I128,0)</f>
        <v>0</v>
      </c>
      <c r="U129" s="170">
        <f>IF(Escenarios!$E$14&gt;0,MAX(0,Constantes!$E$36/((Z128+R129+S129+T129+Observaciones!$F128)^2)+Entradas!$E$77),0)</f>
        <v>0</v>
      </c>
      <c r="V129" s="146">
        <f>IF(ETo!D128&gt;0,ETo!I128*((1-Entradas!$E$81)*ETo!K128+ETo!L128),0)</f>
        <v>2.9129166291184805</v>
      </c>
      <c r="W129" s="170">
        <f>IF(Escenarios!$E$14&gt;0,MIN(V129*1,0.8*(Z128+R129+S129+T129+Observaciones!$F128-U129-Constantes!$E$35)),0)</f>
        <v>4.5629115454346447E-3</v>
      </c>
      <c r="X129" s="170">
        <f>IF(Escenarios!$E$14&gt;0,Observaciones!$J128,0)</f>
        <v>0</v>
      </c>
      <c r="Y129" s="170">
        <f>IF(Escenarios!$E$14&gt;0,MAX(0,Z128+R129+S129+T129+Observaciones!$F128-U129-W129-X129-Constantes!$E$33),0)</f>
        <v>0</v>
      </c>
      <c r="Z129" s="170">
        <f>Z128+R129+S129+T129+Observaciones!$F128-U129-W129-Y129</f>
        <v>41.251140727886359</v>
      </c>
      <c r="AA129" s="170">
        <f>IF(Escenarios!$E$14&gt;0,(Escenarios!$E$13*L129+Escenarios!$E$14*W129)/(Escenarios!$E$16),L129)</f>
        <v>0.19190183506315944</v>
      </c>
      <c r="AB129" s="170">
        <f>IF(Escenarios!$E$14&gt;0,(Escenarios!$E$14*Y129)/(Escenarios!$E$16),K129)</f>
        <v>0</v>
      </c>
      <c r="AC129" s="170">
        <f>IF(Escenarios!$E$14&gt;0,(Escenarios!$E$13*M129+Escenarios!$E$14*U129)/(Escenarios!$E$16),M129)</f>
        <v>0</v>
      </c>
      <c r="AD129" s="76">
        <f t="shared" si="15"/>
        <v>140.56176840171267</v>
      </c>
      <c r="AE129" s="76">
        <f>MAX(0,(AD129-Constantes!$D$13)*(1-EXP(-Constantes!$D$23)))</f>
        <v>0.90464322192158908</v>
      </c>
      <c r="AF129" s="76">
        <f>AB129+O129*Escenarios!$E$13/Escenarios!$E$16+AE129</f>
        <v>0.90552974761282501</v>
      </c>
      <c r="AG129" s="76">
        <f>IF(Entradas!$E$91&gt;0,IF(AF129-Escenarios!$E$38&lt;=0,0,IF(AF129-Escenarios!$E$38&gt;Escenarios!$E$37,Escenarios!$E$37,AF129-Escenarios!$E$38)),0)</f>
        <v>0</v>
      </c>
      <c r="AH129" s="76">
        <f>AG129*Entradas!$E$99</f>
        <v>0</v>
      </c>
      <c r="AI129" s="76">
        <f>IF(Entradas!$E$91&gt;0,D129*Entradas!$D$23/Escenarios!$E$16,0)</f>
        <v>0</v>
      </c>
      <c r="AJ129" s="76">
        <f>IF(Entradas!$E$91&gt;0,Entradas!$D$24*Entradas!$D$22/Escenarios!$E$16,0)</f>
        <v>0</v>
      </c>
      <c r="AK129" s="76">
        <f t="shared" si="24"/>
        <v>0.19190183506315944</v>
      </c>
      <c r="AL129" s="76">
        <f t="shared" si="25"/>
        <v>0</v>
      </c>
      <c r="AM129" s="76">
        <f t="shared" si="16"/>
        <v>0</v>
      </c>
      <c r="AN129" s="76">
        <f>MAX(0,O129*Escenarios!$E$13/Escenarios!$E$16-AM129)</f>
        <v>8.8652569123588709E-4</v>
      </c>
      <c r="AO129" s="76">
        <f>AM129+AN129-O129*Escenarios!$E$13/Escenarios!$E$16</f>
        <v>0</v>
      </c>
      <c r="AP129" s="76">
        <f t="shared" si="14"/>
        <v>0.90464322192158908</v>
      </c>
      <c r="AQ129" s="76">
        <f t="shared" si="17"/>
        <v>0</v>
      </c>
      <c r="AR129" s="76">
        <f t="shared" si="18"/>
        <v>0.90552974761282501</v>
      </c>
      <c r="AS129" s="76">
        <f t="shared" si="19"/>
        <v>0</v>
      </c>
      <c r="AT129" s="76">
        <f t="shared" si="20"/>
        <v>0</v>
      </c>
      <c r="AU129" s="76">
        <f t="shared" si="21"/>
        <v>48.75</v>
      </c>
      <c r="AV129" s="76">
        <f>MAX(0,(AU129-Constantes!$D$13)*(1-EXP(-Constantes!$D$24)))</f>
        <v>0</v>
      </c>
      <c r="AW129" s="170">
        <f>AW128+(Entradas!$E$112*AT129-AX128)/(800*Entradas!$D$25)</f>
        <v>0</v>
      </c>
      <c r="AX129" s="170">
        <f>8000*Entradas!$D$26*AW129/Constantes!$E$45</f>
        <v>0</v>
      </c>
      <c r="AY129" s="170">
        <f>IF(Escenarios!$E$17&gt;0,10*Escenarios!$E$16*AL129,0)</f>
        <v>0</v>
      </c>
      <c r="AZ129" s="170">
        <f>IF(Escenarios!$E$17&gt;0,10*Escenarios!$E$16*AX129,0)</f>
        <v>0</v>
      </c>
      <c r="BA129" s="170">
        <f>IF(Escenarios!$E$17&gt;0,0.001*Observaciones!$F128*Escenarios!$E$17,0)</f>
        <v>0</v>
      </c>
      <c r="BB129" s="170">
        <f>IF(Escenarios!$E$17&gt;0,Observaciones!$K128,0)</f>
        <v>0</v>
      </c>
      <c r="BC129" s="170">
        <f>IF(Escenarios!$E$17&gt;0,MIN(0.0005*ETo!$M128*Escenarios!$E$17*(BG128/Constantes!$E$40)^(2/3),BG128+AY129+AZ129+BA129+BB129),0)</f>
        <v>21.708685363414837</v>
      </c>
      <c r="BD129" s="170">
        <f>IF(Escenarios!$E$17&gt;0,MIN(Constantes!$E$39*(BG128/Constantes!$E$40)^(2/3),BG128+AY129+AZ129+BA129+BB129-BC129),0)</f>
        <v>47.052095685092681</v>
      </c>
      <c r="BE129" s="170">
        <f>IF(Escenarios!$E$17&gt;0,MIN(Entradas!$E$113,BG128+AY129+AZ129+BA129+BB129-BC129-BD129),0)</f>
        <v>1</v>
      </c>
      <c r="BF129" s="170">
        <f>IF(Escenarios!$E$17&gt;0,MAX(0,BG128+AY129+AZ129+BA129+BB129-BC129-BD129-BE129-Constantes!$E$40),0)</f>
        <v>0</v>
      </c>
      <c r="BG129" s="170">
        <f t="shared" si="26"/>
        <v>2937.3000779922595</v>
      </c>
      <c r="BH129" s="170">
        <f>(Escenarios!$E$16*AK129+0.1*BC129)/(Escenarios!$E$19)</f>
        <v>0.198993362310045</v>
      </c>
      <c r="BI129" s="170">
        <f>IF(Escenarios!$E$17&gt;0,BF129/10/Escenarios!$E$19,AL129)</f>
        <v>0</v>
      </c>
      <c r="BJ129" s="170">
        <f>(Escenarios!$E$16*AT129+0.1*BD129)/(Escenarios!$E$19)</f>
        <v>1.8671466541703444E-2</v>
      </c>
      <c r="BK129" s="76">
        <f>BK128+(0.1*BD129)/(Escenarios!$E$19)-BL128</f>
        <v>50.313983369012391</v>
      </c>
      <c r="BL129" s="76">
        <f>MAX(0,(BK129-Constantes!$D$13)*(1-EXP(-Constantes!$D$23)))</f>
        <v>1.5410300646695288E-2</v>
      </c>
      <c r="BM129" s="76">
        <f t="shared" si="22"/>
        <v>0.92005352256828432</v>
      </c>
      <c r="BN129" s="76">
        <f t="shared" si="27"/>
        <v>0.92094004825952025</v>
      </c>
      <c r="BO129" s="76">
        <f>0.0526*BI129*Observaciones!$F128^1.218</f>
        <v>0</v>
      </c>
      <c r="BP129" s="76">
        <f>BO129*Constantes!$E$51</f>
        <v>0</v>
      </c>
      <c r="BQ129" s="76">
        <f t="shared" si="23"/>
        <v>0</v>
      </c>
      <c r="BR129" s="40"/>
    </row>
    <row r="130" spans="1:70">
      <c r="A130" s="147"/>
      <c r="B130" s="39"/>
      <c r="C130" s="75">
        <v>124</v>
      </c>
      <c r="D130" s="146">
        <f>ETo!$I129*((1-Constantes!$E$19)*ETo!$K129+ETo!$L129)</f>
        <v>3.1034384462956441</v>
      </c>
      <c r="E130" s="76">
        <f>MIN(D130*Constantes!$E$17,0.8*(N129+Observaciones!$F129-F130-M130-Constantes!$D$14))</f>
        <v>2.3659588680267518E-2</v>
      </c>
      <c r="F130" s="76">
        <f>IF(Observaciones!$F129&gt;0.05*Constantes!$E$18,((Observaciones!$F129-0.05*Constantes!$E$18)^2)/(Observaciones!$F129+0.95*Constantes!$E$18),0)</f>
        <v>0</v>
      </c>
      <c r="G130" s="76">
        <f>IF(Escenarios!$E$11&gt;0,(F130*Escenarios!$E$16*10000)/1000,0)</f>
        <v>0</v>
      </c>
      <c r="H130" s="76">
        <f>IF(Escenarios!$E$11&gt;0,(Observaciones!$F129*Constantes!$E$29)/1000,0)</f>
        <v>0</v>
      </c>
      <c r="I130" s="76">
        <f>IF(Escenarios!$E$11&gt;0,(D130*Constantes!$E$29)/1000,0)</f>
        <v>31.034384462956442</v>
      </c>
      <c r="J130" s="76">
        <f>IF(Escenarios!$E$11&gt;0,MAX(0,G130+H130-I130),0)</f>
        <v>0</v>
      </c>
      <c r="K130" s="76">
        <f>IF(Escenarios!$E$11&gt;0,IF(J130&gt;Constantes!$E$30,1000*((J130-Constantes!$E$30)/(Escenarios!$E$16*10000)),0),F130)</f>
        <v>0</v>
      </c>
      <c r="L130" s="76">
        <f>IF(Escenarios!$E$11&gt;0,I130*1000/Escenarios!$E$16/10000+E130,E130)</f>
        <v>3.6073342465450096E-2</v>
      </c>
      <c r="M130" s="76">
        <f>MAX(0,N129+Observaciones!$F129-K130-Constantes!$D$13)</f>
        <v>0</v>
      </c>
      <c r="N130" s="76">
        <f>N129+Observaciones!$F129-K130-L130-M130-O129</f>
        <v>11.242493727826663</v>
      </c>
      <c r="O130" s="76">
        <f>MAX(0,(N130-Constantes!$D$14)*(1-EXP(-Constantes!$D$22)))</f>
        <v>0</v>
      </c>
      <c r="P130" s="170">
        <f>P129+(Entradas!$E$83*M130-Q129)/(800*Entradas!$D$25)</f>
        <v>0</v>
      </c>
      <c r="Q130" s="170">
        <f>8000*Entradas!$D$26*P130/Constantes!$E$45</f>
        <v>0</v>
      </c>
      <c r="R130" s="170">
        <f>IF(Escenarios!$E$14&gt;0,K130*Escenarios!$E$13/Escenarios!$E$14,0)</f>
        <v>0</v>
      </c>
      <c r="S130" s="170">
        <f>IF(Escenarios!$E$14&gt;0,Q130*Escenarios!$E$13/Escenarios!$E$14,0)</f>
        <v>0</v>
      </c>
      <c r="T130" s="170">
        <f>IF(Escenarios!$E$14&gt;0,Observaciones!$I129,0)</f>
        <v>0</v>
      </c>
      <c r="U130" s="170">
        <f>IF(Escenarios!$E$14&gt;0,MAX(0,Constantes!$E$36/((Z129+R130+S130+T130+Observaciones!$F129)^2)+Entradas!$E$77),0)</f>
        <v>0</v>
      </c>
      <c r="V130" s="146">
        <f>IF(ETo!D129&gt;0,ETo!I129*((1-Entradas!$E$81)*ETo!K129+ETo!L129),0)</f>
        <v>2.8099136986325162</v>
      </c>
      <c r="W130" s="170">
        <f>IF(Escenarios!$E$14&gt;0,MIN(V130*1,0.8*(Z129+R130+S130+T130+Observaciones!$F129-U130-Constantes!$E$35)),0)</f>
        <v>9.1258230908692901E-4</v>
      </c>
      <c r="X130" s="170">
        <f>IF(Escenarios!$E$14&gt;0,Observaciones!$J129,0)</f>
        <v>0</v>
      </c>
      <c r="Y130" s="170">
        <f>IF(Escenarios!$E$14&gt;0,MAX(0,Z129+R130+S130+T130+Observaciones!$F129-U130-W130-X130-Constantes!$E$33),0)</f>
        <v>0</v>
      </c>
      <c r="Z130" s="170">
        <f>Z129+R130+S130+T130+Observaciones!$F129-U130-W130-Y130</f>
        <v>41.250228145577275</v>
      </c>
      <c r="AA130" s="170">
        <f>IF(Escenarios!$E$14&gt;0,(Escenarios!$E$13*L130+Escenarios!$E$14*W130)/(Escenarios!$E$16),L130)</f>
        <v>3.185405124668652E-2</v>
      </c>
      <c r="AB130" s="170">
        <f>IF(Escenarios!$E$14&gt;0,(Escenarios!$E$14*Y130)/(Escenarios!$E$16),K130)</f>
        <v>0</v>
      </c>
      <c r="AC130" s="170">
        <f>IF(Escenarios!$E$14&gt;0,(Escenarios!$E$13*M130+Escenarios!$E$14*U130)/(Escenarios!$E$16),M130)</f>
        <v>0</v>
      </c>
      <c r="AD130" s="76">
        <f t="shared" si="15"/>
        <v>139.65712517979108</v>
      </c>
      <c r="AE130" s="76">
        <f>MAX(0,(AD130-Constantes!$D$13)*(1-EXP(-Constantes!$D$23)))</f>
        <v>0.89572955678676736</v>
      </c>
      <c r="AF130" s="76">
        <f>AB130+O130*Escenarios!$E$13/Escenarios!$E$16+AE130</f>
        <v>0.89572955678676736</v>
      </c>
      <c r="AG130" s="76">
        <f>IF(Entradas!$E$91&gt;0,IF(AF130-Escenarios!$E$38&lt;=0,0,IF(AF130-Escenarios!$E$38&gt;Escenarios!$E$37,Escenarios!$E$37,AF130-Escenarios!$E$38)),0)</f>
        <v>0</v>
      </c>
      <c r="AH130" s="76">
        <f>AG130*Entradas!$E$99</f>
        <v>0</v>
      </c>
      <c r="AI130" s="76">
        <f>IF(Entradas!$E$91&gt;0,D130*Entradas!$D$23/Escenarios!$E$16,0)</f>
        <v>0</v>
      </c>
      <c r="AJ130" s="76">
        <f>IF(Entradas!$E$91&gt;0,Entradas!$D$24*Entradas!$D$22/Escenarios!$E$16,0)</f>
        <v>0</v>
      </c>
      <c r="AK130" s="76">
        <f t="shared" si="24"/>
        <v>3.185405124668652E-2</v>
      </c>
      <c r="AL130" s="76">
        <f t="shared" si="25"/>
        <v>0</v>
      </c>
      <c r="AM130" s="76">
        <f t="shared" si="16"/>
        <v>0</v>
      </c>
      <c r="AN130" s="76">
        <f>MAX(0,O130*Escenarios!$E$13/Escenarios!$E$16-AM130)</f>
        <v>0</v>
      </c>
      <c r="AO130" s="76">
        <f>AM130+AN130-O130*Escenarios!$E$13/Escenarios!$E$16</f>
        <v>0</v>
      </c>
      <c r="AP130" s="76">
        <f t="shared" si="14"/>
        <v>0.89572955678676736</v>
      </c>
      <c r="AQ130" s="76">
        <f t="shared" si="17"/>
        <v>0</v>
      </c>
      <c r="AR130" s="76">
        <f t="shared" si="18"/>
        <v>0.89572955678676736</v>
      </c>
      <c r="AS130" s="76">
        <f t="shared" si="19"/>
        <v>0</v>
      </c>
      <c r="AT130" s="76">
        <f t="shared" si="20"/>
        <v>0</v>
      </c>
      <c r="AU130" s="76">
        <f t="shared" si="21"/>
        <v>48.75</v>
      </c>
      <c r="AV130" s="76">
        <f>MAX(0,(AU130-Constantes!$D$13)*(1-EXP(-Constantes!$D$24)))</f>
        <v>0</v>
      </c>
      <c r="AW130" s="170">
        <f>AW129+(Entradas!$E$112*AT130-AX129)/(800*Entradas!$D$25)</f>
        <v>0</v>
      </c>
      <c r="AX130" s="170">
        <f>8000*Entradas!$D$26*AW130/Constantes!$E$45</f>
        <v>0</v>
      </c>
      <c r="AY130" s="170">
        <f>IF(Escenarios!$E$17&gt;0,10*Escenarios!$E$16*AL130,0)</f>
        <v>0</v>
      </c>
      <c r="AZ130" s="170">
        <f>IF(Escenarios!$E$17&gt;0,10*Escenarios!$E$16*AX130,0)</f>
        <v>0</v>
      </c>
      <c r="BA130" s="170">
        <f>IF(Escenarios!$E$17&gt;0,0.001*Observaciones!$F129*Escenarios!$E$17,0)</f>
        <v>0</v>
      </c>
      <c r="BB130" s="170">
        <f>IF(Escenarios!$E$17&gt;0,Observaciones!$K129,0)</f>
        <v>0</v>
      </c>
      <c r="BC130" s="170">
        <f>IF(Escenarios!$E$17&gt;0,MIN(0.0005*ETo!$M129*Escenarios!$E$17*(BG129/Constantes!$E$40)^(2/3),BG129+AY130+AZ130+BA130+BB130),0)</f>
        <v>20.643823491307582</v>
      </c>
      <c r="BD130" s="170">
        <f>IF(Escenarios!$E$17&gt;0,MIN(Constantes!$E$39*(BG129/Constantes!$E$40)^(2/3),BG129+AY130+AZ130+BA130+BB130-BC130),0)</f>
        <v>46.321545132083372</v>
      </c>
      <c r="BE130" s="170">
        <f>IF(Escenarios!$E$17&gt;0,MIN(Entradas!$E$113,BG129+AY130+AZ130+BA130+BB130-BC130-BD130),0)</f>
        <v>1</v>
      </c>
      <c r="BF130" s="170">
        <f>IF(Escenarios!$E$17&gt;0,MAX(0,BG129+AY130+AZ130+BA130+BB130-BC130-BD130-BE130-Constantes!$E$40),0)</f>
        <v>0</v>
      </c>
      <c r="BG130" s="170">
        <f t="shared" si="26"/>
        <v>2869.3347093688685</v>
      </c>
      <c r="BH130" s="170">
        <f>(Escenarios!$E$16*AK130+0.1*BC130)/(Escenarios!$E$19)</f>
        <v>3.9793234765088836E-2</v>
      </c>
      <c r="BI130" s="170">
        <f>IF(Escenarios!$E$17&gt;0,BF130/10/Escenarios!$E$19,AL130)</f>
        <v>0</v>
      </c>
      <c r="BJ130" s="170">
        <f>(Escenarios!$E$16*AT130+0.1*BD130)/(Escenarios!$E$19)</f>
        <v>1.8381565528604513E-2</v>
      </c>
      <c r="BK130" s="76">
        <f>BK129+(0.1*BD130)/(Escenarios!$E$19)-BL129</f>
        <v>50.316954633894305</v>
      </c>
      <c r="BL130" s="76">
        <f>MAX(0,(BK130-Constantes!$D$13)*(1-EXP(-Constantes!$D$23)))</f>
        <v>1.5439577227276947E-2</v>
      </c>
      <c r="BM130" s="76">
        <f t="shared" si="22"/>
        <v>0.91116913401404431</v>
      </c>
      <c r="BN130" s="76">
        <f t="shared" si="27"/>
        <v>0.91116913401404431</v>
      </c>
      <c r="BO130" s="76">
        <f>0.0526*BI130*Observaciones!$F129^1.218</f>
        <v>0</v>
      </c>
      <c r="BP130" s="76">
        <f>BO130*Constantes!$E$51</f>
        <v>0</v>
      </c>
      <c r="BQ130" s="76">
        <f t="shared" si="23"/>
        <v>0</v>
      </c>
      <c r="BR130" s="40"/>
    </row>
    <row r="131" spans="1:70">
      <c r="A131" s="147"/>
      <c r="B131" s="39"/>
      <c r="C131" s="75">
        <v>125</v>
      </c>
      <c r="D131" s="146">
        <f>ETo!$I130*((1-Constantes!$E$19)*ETo!$K130+ETo!$L130)</f>
        <v>3.124028561196722</v>
      </c>
      <c r="E131" s="76">
        <f>MIN(D131*Constantes!$E$17,0.8*(N130+Observaciones!$F130-F131-M131-Constantes!$D$14))</f>
        <v>-6.0050177386699495E-3</v>
      </c>
      <c r="F131" s="76">
        <f>IF(Observaciones!$F130&gt;0.05*Constantes!$E$18,((Observaciones!$F130-0.05*Constantes!$E$18)^2)/(Observaciones!$F130+0.95*Constantes!$E$18),0)</f>
        <v>0</v>
      </c>
      <c r="G131" s="76">
        <f>IF(Escenarios!$E$11&gt;0,(F131*Escenarios!$E$16*10000)/1000,0)</f>
        <v>0</v>
      </c>
      <c r="H131" s="76">
        <f>IF(Escenarios!$E$11&gt;0,(Observaciones!$F130*Constantes!$E$29)/1000,0)</f>
        <v>0</v>
      </c>
      <c r="I131" s="76">
        <f>IF(Escenarios!$E$11&gt;0,(D131*Constantes!$E$29)/1000,0)</f>
        <v>31.24028561196722</v>
      </c>
      <c r="J131" s="76">
        <f>IF(Escenarios!$E$11&gt;0,MAX(0,G131+H131-I131),0)</f>
        <v>0</v>
      </c>
      <c r="K131" s="76">
        <f>IF(Escenarios!$E$11&gt;0,IF(J131&gt;Constantes!$E$30,1000*((J131-Constantes!$E$30)/(Escenarios!$E$16*10000)),0),F131)</f>
        <v>0</v>
      </c>
      <c r="L131" s="76">
        <f>IF(Escenarios!$E$11&gt;0,I131*1000/Escenarios!$E$16/10000+E131,E131)</f>
        <v>6.4910965061169383E-3</v>
      </c>
      <c r="M131" s="76">
        <f>MAX(0,N130+Observaciones!$F130-K131-Constantes!$D$13)</f>
        <v>0</v>
      </c>
      <c r="N131" s="76">
        <f>N130+Observaciones!$F130-K131-L131-M131-O130</f>
        <v>11.236002631320545</v>
      </c>
      <c r="O131" s="76">
        <f>MAX(0,(N131-Constantes!$D$14)*(1-EXP(-Constantes!$D$22)))</f>
        <v>0</v>
      </c>
      <c r="P131" s="170">
        <f>P130+(Entradas!$E$83*M131-Q130)/(800*Entradas!$D$25)</f>
        <v>0</v>
      </c>
      <c r="Q131" s="170">
        <f>8000*Entradas!$D$26*P131/Constantes!$E$45</f>
        <v>0</v>
      </c>
      <c r="R131" s="170">
        <f>IF(Escenarios!$E$14&gt;0,K131*Escenarios!$E$13/Escenarios!$E$14,0)</f>
        <v>0</v>
      </c>
      <c r="S131" s="170">
        <f>IF(Escenarios!$E$14&gt;0,Q131*Escenarios!$E$13/Escenarios!$E$14,0)</f>
        <v>0</v>
      </c>
      <c r="T131" s="170">
        <f>IF(Escenarios!$E$14&gt;0,Observaciones!$I130,0)</f>
        <v>0</v>
      </c>
      <c r="U131" s="170">
        <f>IF(Escenarios!$E$14&gt;0,MAX(0,Constantes!$E$36/((Z130+R131+S131+T131+Observaciones!$F130)^2)+Entradas!$E$77),0)</f>
        <v>0</v>
      </c>
      <c r="V131" s="146">
        <f>IF(ETo!D130&gt;0,ETo!I130*((1-Entradas!$E$81)*ETo!K130+ETo!L130),0)</f>
        <v>2.8284627726368359</v>
      </c>
      <c r="W131" s="170">
        <f>IF(Escenarios!$E$14&gt;0,MIN(V131*1,0.8*(Z130+R131+S131+T131+Observaciones!$F130-U131-Constantes!$E$35)),0)</f>
        <v>1.8251646181965953E-4</v>
      </c>
      <c r="X131" s="170">
        <f>IF(Escenarios!$E$14&gt;0,Observaciones!$J130,0)</f>
        <v>0</v>
      </c>
      <c r="Y131" s="170">
        <f>IF(Escenarios!$E$14&gt;0,MAX(0,Z130+R131+S131+T131+Observaciones!$F130-U131-W131-X131-Constantes!$E$33),0)</f>
        <v>0</v>
      </c>
      <c r="Z131" s="170">
        <f>Z130+R131+S131+T131+Observaciones!$F130-U131-W131-Y131</f>
        <v>41.250045629115455</v>
      </c>
      <c r="AA131" s="170">
        <f>IF(Escenarios!$E$14&gt;0,(Escenarios!$E$13*L131+Escenarios!$E$14*W131)/(Escenarios!$E$16),L131)</f>
        <v>5.7340669008012646E-3</v>
      </c>
      <c r="AB131" s="170">
        <f>IF(Escenarios!$E$14&gt;0,(Escenarios!$E$14*Y131)/(Escenarios!$E$16),K131)</f>
        <v>0</v>
      </c>
      <c r="AC131" s="170">
        <f>IF(Escenarios!$E$14&gt;0,(Escenarios!$E$13*M131+Escenarios!$E$14*U131)/(Escenarios!$E$16),M131)</f>
        <v>0</v>
      </c>
      <c r="AD131" s="76">
        <f t="shared" si="15"/>
        <v>138.76139562300432</v>
      </c>
      <c r="AE131" s="76">
        <f>MAX(0,(AD131-Constantes!$D$13)*(1-EXP(-Constantes!$D$23)))</f>
        <v>0.88690372011758867</v>
      </c>
      <c r="AF131" s="76">
        <f>AB131+O131*Escenarios!$E$13/Escenarios!$E$16+AE131</f>
        <v>0.88690372011758867</v>
      </c>
      <c r="AG131" s="76">
        <f>IF(Entradas!$E$91&gt;0,IF(AF131-Escenarios!$E$38&lt;=0,0,IF(AF131-Escenarios!$E$38&gt;Escenarios!$E$37,Escenarios!$E$37,AF131-Escenarios!$E$38)),0)</f>
        <v>0</v>
      </c>
      <c r="AH131" s="76">
        <f>AG131*Entradas!$E$99</f>
        <v>0</v>
      </c>
      <c r="AI131" s="76">
        <f>IF(Entradas!$E$91&gt;0,D131*Entradas!$D$23/Escenarios!$E$16,0)</f>
        <v>0</v>
      </c>
      <c r="AJ131" s="76">
        <f>IF(Entradas!$E$91&gt;0,Entradas!$D$24*Entradas!$D$22/Escenarios!$E$16,0)</f>
        <v>0</v>
      </c>
      <c r="AK131" s="76">
        <f t="shared" si="24"/>
        <v>5.7340669008012646E-3</v>
      </c>
      <c r="AL131" s="76">
        <f t="shared" si="25"/>
        <v>0</v>
      </c>
      <c r="AM131" s="76">
        <f t="shared" si="16"/>
        <v>0</v>
      </c>
      <c r="AN131" s="76">
        <f>MAX(0,O131*Escenarios!$E$13/Escenarios!$E$16-AM131)</f>
        <v>0</v>
      </c>
      <c r="AO131" s="76">
        <f>AM131+AN131-O131*Escenarios!$E$13/Escenarios!$E$16</f>
        <v>0</v>
      </c>
      <c r="AP131" s="76">
        <f t="shared" si="14"/>
        <v>0.88690372011758867</v>
      </c>
      <c r="AQ131" s="76">
        <f t="shared" si="17"/>
        <v>0</v>
      </c>
      <c r="AR131" s="76">
        <f t="shared" si="18"/>
        <v>0.88690372011758867</v>
      </c>
      <c r="AS131" s="76">
        <f t="shared" si="19"/>
        <v>0</v>
      </c>
      <c r="AT131" s="76">
        <f t="shared" si="20"/>
        <v>0</v>
      </c>
      <c r="AU131" s="76">
        <f t="shared" si="21"/>
        <v>48.75</v>
      </c>
      <c r="AV131" s="76">
        <f>MAX(0,(AU131-Constantes!$D$13)*(1-EXP(-Constantes!$D$24)))</f>
        <v>0</v>
      </c>
      <c r="AW131" s="170">
        <f>AW130+(Entradas!$E$112*AT131-AX130)/(800*Entradas!$D$25)</f>
        <v>0</v>
      </c>
      <c r="AX131" s="170">
        <f>8000*Entradas!$D$26*AW131/Constantes!$E$45</f>
        <v>0</v>
      </c>
      <c r="AY131" s="170">
        <f>IF(Escenarios!$E$17&gt;0,10*Escenarios!$E$16*AL131,0)</f>
        <v>0</v>
      </c>
      <c r="AZ131" s="170">
        <f>IF(Escenarios!$E$17&gt;0,10*Escenarios!$E$16*AX131,0)</f>
        <v>0</v>
      </c>
      <c r="BA131" s="170">
        <f>IF(Escenarios!$E$17&gt;0,0.001*Observaciones!$F130*Escenarios!$E$17,0)</f>
        <v>0</v>
      </c>
      <c r="BB131" s="170">
        <f>IF(Escenarios!$E$17&gt;0,Observaciones!$K130,0)</f>
        <v>0</v>
      </c>
      <c r="BC131" s="170">
        <f>IF(Escenarios!$E$17&gt;0,MIN(0.0005*ETo!$M130*Escenarios!$E$17*(BG130/Constantes!$E$40)^(2/3),BG130+AY131+AZ131+BA131+BB131),0)</f>
        <v>20.459817346732724</v>
      </c>
      <c r="BD131" s="170">
        <f>IF(Escenarios!$E$17&gt;0,MIN(Constantes!$E$39*(BG130/Constantes!$E$40)^(2/3),BG130+AY131+AZ131+BA131+BB131-BC131),0)</f>
        <v>45.604213229151895</v>
      </c>
      <c r="BE131" s="170">
        <f>IF(Escenarios!$E$17&gt;0,MIN(Entradas!$E$113,BG130+AY131+AZ131+BA131+BB131-BC131-BD131),0)</f>
        <v>1</v>
      </c>
      <c r="BF131" s="170">
        <f>IF(Escenarios!$E$17&gt;0,MAX(0,BG130+AY131+AZ131+BA131+BB131-BC131-BD131-BE131-Constantes!$E$40),0)</f>
        <v>0</v>
      </c>
      <c r="BG131" s="170">
        <f t="shared" si="26"/>
        <v>2802.2706787929842</v>
      </c>
      <c r="BH131" s="170">
        <f>(Escenarios!$E$16*AK131+0.1*BC131)/(Escenarios!$E$19)</f>
        <v>1.3807533570926938E-2</v>
      </c>
      <c r="BI131" s="170">
        <f>IF(Escenarios!$E$17&gt;0,BF131/10/Escenarios!$E$19,AL131)</f>
        <v>0</v>
      </c>
      <c r="BJ131" s="170">
        <f>(Escenarios!$E$16*AT131+0.1*BD131)/(Escenarios!$E$19)</f>
        <v>1.8096910011568212E-2</v>
      </c>
      <c r="BK131" s="76">
        <f>BK130+(0.1*BD131)/(Escenarios!$E$19)-BL130</f>
        <v>50.3196119666786</v>
      </c>
      <c r="BL131" s="76">
        <f>MAX(0,(BK131-Constantes!$D$13)*(1-EXP(-Constantes!$D$23)))</f>
        <v>1.5465760560127967E-2</v>
      </c>
      <c r="BM131" s="76">
        <f t="shared" si="22"/>
        <v>0.90236948067771661</v>
      </c>
      <c r="BN131" s="76">
        <f t="shared" si="27"/>
        <v>0.90236948067771661</v>
      </c>
      <c r="BO131" s="76">
        <f>0.0526*BI131*Observaciones!$F130^1.218</f>
        <v>0</v>
      </c>
      <c r="BP131" s="76">
        <f>BO131*Constantes!$E$51</f>
        <v>0</v>
      </c>
      <c r="BQ131" s="76">
        <f t="shared" si="23"/>
        <v>0</v>
      </c>
      <c r="BR131" s="40"/>
    </row>
    <row r="132" spans="1:70">
      <c r="A132" s="147"/>
      <c r="B132" s="39"/>
      <c r="C132" s="75">
        <v>126</v>
      </c>
      <c r="D132" s="146">
        <f>ETo!$I131*((1-Constantes!$E$19)*ETo!$K131+ETo!$L131)</f>
        <v>3.0175287754934348</v>
      </c>
      <c r="E132" s="76">
        <f>MIN(D132*Constantes!$E$17,0.8*(N131+Observaciones!$F131-F132-M132-Constantes!$D$14))</f>
        <v>-1.1197894943563824E-2</v>
      </c>
      <c r="F132" s="76">
        <f>IF(Observaciones!$F131&gt;0.05*Constantes!$E$18,((Observaciones!$F131-0.05*Constantes!$E$18)^2)/(Observaciones!$F131+0.95*Constantes!$E$18),0)</f>
        <v>0</v>
      </c>
      <c r="G132" s="76">
        <f>IF(Escenarios!$E$11&gt;0,(F132*Escenarios!$E$16*10000)/1000,0)</f>
        <v>0</v>
      </c>
      <c r="H132" s="76">
        <f>IF(Escenarios!$E$11&gt;0,(Observaciones!$F131*Constantes!$E$29)/1000,0)</f>
        <v>0</v>
      </c>
      <c r="I132" s="76">
        <f>IF(Escenarios!$E$11&gt;0,(D132*Constantes!$E$29)/1000,0)</f>
        <v>30.175287754934345</v>
      </c>
      <c r="J132" s="76">
        <f>IF(Escenarios!$E$11&gt;0,MAX(0,G132+H132-I132),0)</f>
        <v>0</v>
      </c>
      <c r="K132" s="76">
        <f>IF(Escenarios!$E$11&gt;0,IF(J132&gt;Constantes!$E$30,1000*((J132-Constantes!$E$30)/(Escenarios!$E$16*10000)),0),F132)</f>
        <v>0</v>
      </c>
      <c r="L132" s="76">
        <f>IF(Escenarios!$E$11&gt;0,I132*1000/Escenarios!$E$16/10000+E132,E132)</f>
        <v>8.722201584099136E-4</v>
      </c>
      <c r="M132" s="76">
        <f>MAX(0,N131+Observaciones!$F131-K132-Constantes!$D$13)</f>
        <v>0</v>
      </c>
      <c r="N132" s="76">
        <f>N131+Observaciones!$F131-K132-L132-M132-O131</f>
        <v>11.235130411162135</v>
      </c>
      <c r="O132" s="76">
        <f>MAX(0,(N132-Constantes!$D$14)*(1-EXP(-Constantes!$D$22)))</f>
        <v>0</v>
      </c>
      <c r="P132" s="170">
        <f>P131+(Entradas!$E$83*M132-Q131)/(800*Entradas!$D$25)</f>
        <v>0</v>
      </c>
      <c r="Q132" s="170">
        <f>8000*Entradas!$D$26*P132/Constantes!$E$45</f>
        <v>0</v>
      </c>
      <c r="R132" s="170">
        <f>IF(Escenarios!$E$14&gt;0,K132*Escenarios!$E$13/Escenarios!$E$14,0)</f>
        <v>0</v>
      </c>
      <c r="S132" s="170">
        <f>IF(Escenarios!$E$14&gt;0,Q132*Escenarios!$E$13/Escenarios!$E$14,0)</f>
        <v>0</v>
      </c>
      <c r="T132" s="170">
        <f>IF(Escenarios!$E$14&gt;0,Observaciones!$I131,0)</f>
        <v>0</v>
      </c>
      <c r="U132" s="170">
        <f>IF(Escenarios!$E$14&gt;0,MAX(0,Constantes!$E$36/((Z131+R132+S132+T132+Observaciones!$F131)^2)+Entradas!$E$77),0)</f>
        <v>0</v>
      </c>
      <c r="V132" s="146">
        <f>IF(ETo!D131&gt;0,ETo!I131*((1-Entradas!$E$81)*ETo!K131+ETo!L131),0)</f>
        <v>2.7305520769111915</v>
      </c>
      <c r="W132" s="170">
        <f>IF(Escenarios!$E$14&gt;0,MIN(V132*1,0.8*(Z131+R132+S132+T132+Observaciones!$F131-U132-Constantes!$E$35)),0)</f>
        <v>3.6503292363931905E-5</v>
      </c>
      <c r="X132" s="170">
        <f>IF(Escenarios!$E$14&gt;0,Observaciones!$J131,0)</f>
        <v>0</v>
      </c>
      <c r="Y132" s="170">
        <f>IF(Escenarios!$E$14&gt;0,MAX(0,Z131+R132+S132+T132+Observaciones!$F131-U132-W132-X132-Constantes!$E$33),0)</f>
        <v>0</v>
      </c>
      <c r="Z132" s="170">
        <f>Z131+R132+S132+T132+Observaciones!$F131-U132-W132-Y132</f>
        <v>41.250009125823091</v>
      </c>
      <c r="AA132" s="170">
        <f>IF(Escenarios!$E$14&gt;0,(Escenarios!$E$13*L132+Escenarios!$E$14*W132)/(Escenarios!$E$16),L132)</f>
        <v>7.7193413448439579E-4</v>
      </c>
      <c r="AB132" s="170">
        <f>IF(Escenarios!$E$14&gt;0,(Escenarios!$E$14*Y132)/(Escenarios!$E$16),K132)</f>
        <v>0</v>
      </c>
      <c r="AC132" s="170">
        <f>IF(Escenarios!$E$14&gt;0,(Escenarios!$E$13*M132+Escenarios!$E$14*U132)/(Escenarios!$E$16),M132)</f>
        <v>0</v>
      </c>
      <c r="AD132" s="76">
        <f t="shared" si="15"/>
        <v>137.87449190288672</v>
      </c>
      <c r="AE132" s="76">
        <f>MAX(0,(AD132-Constantes!$D$13)*(1-EXP(-Constantes!$D$23)))</f>
        <v>0.87816484651926185</v>
      </c>
      <c r="AF132" s="76">
        <f>AB132+O132*Escenarios!$E$13/Escenarios!$E$16+AE132</f>
        <v>0.87816484651926185</v>
      </c>
      <c r="AG132" s="76">
        <f>IF(Entradas!$E$91&gt;0,IF(AF132-Escenarios!$E$38&lt;=0,0,IF(AF132-Escenarios!$E$38&gt;Escenarios!$E$37,Escenarios!$E$37,AF132-Escenarios!$E$38)),0)</f>
        <v>0</v>
      </c>
      <c r="AH132" s="76">
        <f>AG132*Entradas!$E$99</f>
        <v>0</v>
      </c>
      <c r="AI132" s="76">
        <f>IF(Entradas!$E$91&gt;0,D132*Entradas!$D$23/Escenarios!$E$16,0)</f>
        <v>0</v>
      </c>
      <c r="AJ132" s="76">
        <f>IF(Entradas!$E$91&gt;0,Entradas!$D$24*Entradas!$D$22/Escenarios!$E$16,0)</f>
        <v>0</v>
      </c>
      <c r="AK132" s="76">
        <f t="shared" si="24"/>
        <v>7.7193413448439579E-4</v>
      </c>
      <c r="AL132" s="76">
        <f t="shared" si="25"/>
        <v>0</v>
      </c>
      <c r="AM132" s="76">
        <f t="shared" si="16"/>
        <v>0</v>
      </c>
      <c r="AN132" s="76">
        <f>MAX(0,O132*Escenarios!$E$13/Escenarios!$E$16-AM132)</f>
        <v>0</v>
      </c>
      <c r="AO132" s="76">
        <f>AM132+AN132-O132*Escenarios!$E$13/Escenarios!$E$16</f>
        <v>0</v>
      </c>
      <c r="AP132" s="76">
        <f t="shared" si="14"/>
        <v>0.87816484651926185</v>
      </c>
      <c r="AQ132" s="76">
        <f t="shared" si="17"/>
        <v>0</v>
      </c>
      <c r="AR132" s="76">
        <f t="shared" si="18"/>
        <v>0.87816484651926185</v>
      </c>
      <c r="AS132" s="76">
        <f t="shared" si="19"/>
        <v>0</v>
      </c>
      <c r="AT132" s="76">
        <f t="shared" si="20"/>
        <v>0</v>
      </c>
      <c r="AU132" s="76">
        <f t="shared" si="21"/>
        <v>48.75</v>
      </c>
      <c r="AV132" s="76">
        <f>MAX(0,(AU132-Constantes!$D$13)*(1-EXP(-Constantes!$D$24)))</f>
        <v>0</v>
      </c>
      <c r="AW132" s="170">
        <f>AW131+(Entradas!$E$112*AT132-AX131)/(800*Entradas!$D$25)</f>
        <v>0</v>
      </c>
      <c r="AX132" s="170">
        <f>8000*Entradas!$D$26*AW132/Constantes!$E$45</f>
        <v>0</v>
      </c>
      <c r="AY132" s="170">
        <f>IF(Escenarios!$E$17&gt;0,10*Escenarios!$E$16*AL132,0)</f>
        <v>0</v>
      </c>
      <c r="AZ132" s="170">
        <f>IF(Escenarios!$E$17&gt;0,10*Escenarios!$E$16*AX132,0)</f>
        <v>0</v>
      </c>
      <c r="BA132" s="170">
        <f>IF(Escenarios!$E$17&gt;0,0.001*Observaciones!$F131*Escenarios!$E$17,0)</f>
        <v>0</v>
      </c>
      <c r="BB132" s="170">
        <f>IF(Escenarios!$E$17&gt;0,Observaciones!$K131,0)</f>
        <v>0</v>
      </c>
      <c r="BC132" s="170">
        <f>IF(Escenarios!$E$17&gt;0,MIN(0.0005*ETo!$M131*Escenarios!$E$17*(BG131/Constantes!$E$40)^(2/3),BG131+AY132+AZ132+BA132+BB132),0)</f>
        <v>19.466315618097035</v>
      </c>
      <c r="BD132" s="170">
        <f>IF(Escenarios!$E$17&gt;0,MIN(Constantes!$E$39*(BG131/Constantes!$E$40)^(2/3),BG131+AY132+AZ132+BA132+BB132-BC132),0)</f>
        <v>44.890820991122695</v>
      </c>
      <c r="BE132" s="170">
        <f>IF(Escenarios!$E$17&gt;0,MIN(Entradas!$E$113,BG131+AY132+AZ132+BA132+BB132-BC132-BD132),0)</f>
        <v>1</v>
      </c>
      <c r="BF132" s="170">
        <f>IF(Escenarios!$E$17&gt;0,MAX(0,BG131+AY132+AZ132+BA132+BB132-BC132-BD132-BE132-Constantes!$E$40),0)</f>
        <v>0</v>
      </c>
      <c r="BG132" s="170">
        <f t="shared" si="26"/>
        <v>2736.9135421837645</v>
      </c>
      <c r="BH132" s="170">
        <f>(Escenarios!$E$16*AK132+0.1*BC132)/(Escenarios!$E$19)</f>
        <v>8.4905360929793741E-3</v>
      </c>
      <c r="BI132" s="170">
        <f>IF(Escenarios!$E$17&gt;0,BF132/10/Escenarios!$E$19,AL132)</f>
        <v>0</v>
      </c>
      <c r="BJ132" s="170">
        <f>(Escenarios!$E$16*AT132+0.1*BD132)/(Escenarios!$E$19)</f>
        <v>1.7813817853620115E-2</v>
      </c>
      <c r="BK132" s="76">
        <f>BK131+(0.1*BD132)/(Escenarios!$E$19)-BL131</f>
        <v>50.321960023972096</v>
      </c>
      <c r="BL132" s="76">
        <f>MAX(0,(BK132-Constantes!$D$13)*(1-EXP(-Constantes!$D$23)))</f>
        <v>1.5488896527904457E-2</v>
      </c>
      <c r="BM132" s="76">
        <f t="shared" si="22"/>
        <v>0.89365374304716627</v>
      </c>
      <c r="BN132" s="76">
        <f t="shared" si="27"/>
        <v>0.89365374304716627</v>
      </c>
      <c r="BO132" s="76">
        <f>0.0526*BI132*Observaciones!$F131^1.218</f>
        <v>0</v>
      </c>
      <c r="BP132" s="76">
        <f>BO132*Constantes!$E$51</f>
        <v>0</v>
      </c>
      <c r="BQ132" s="76">
        <f t="shared" si="23"/>
        <v>0</v>
      </c>
      <c r="BR132" s="40"/>
    </row>
    <row r="133" spans="1:70">
      <c r="A133" s="147"/>
      <c r="B133" s="39"/>
      <c r="C133" s="75">
        <v>127</v>
      </c>
      <c r="D133" s="146">
        <f>ETo!$I132*((1-Constantes!$E$19)*ETo!$K132+ETo!$L132)</f>
        <v>3.0859250432985075</v>
      </c>
      <c r="E133" s="76">
        <f>MIN(D133*Constantes!$E$17,0.8*(N132+Observaciones!$F132-F133-M133-Constantes!$D$14))</f>
        <v>-1.1895671070291769E-2</v>
      </c>
      <c r="F133" s="76">
        <f>IF(Observaciones!$F132&gt;0.05*Constantes!$E$18,((Observaciones!$F132-0.05*Constantes!$E$18)^2)/(Observaciones!$F132+0.95*Constantes!$E$18),0)</f>
        <v>0</v>
      </c>
      <c r="G133" s="76">
        <f>IF(Escenarios!$E$11&gt;0,(F133*Escenarios!$E$16*10000)/1000,0)</f>
        <v>0</v>
      </c>
      <c r="H133" s="76">
        <f>IF(Escenarios!$E$11&gt;0,(Observaciones!$F132*Constantes!$E$29)/1000,0)</f>
        <v>0</v>
      </c>
      <c r="I133" s="76">
        <f>IF(Escenarios!$E$11&gt;0,(D133*Constantes!$E$29)/1000,0)</f>
        <v>30.859250432985075</v>
      </c>
      <c r="J133" s="76">
        <f>IF(Escenarios!$E$11&gt;0,MAX(0,G133+H133-I133),0)</f>
        <v>0</v>
      </c>
      <c r="K133" s="76">
        <f>IF(Escenarios!$E$11&gt;0,IF(J133&gt;Constantes!$E$30,1000*((J133-Constantes!$E$30)/(Escenarios!$E$16*10000)),0),F133)</f>
        <v>0</v>
      </c>
      <c r="L133" s="76">
        <f>IF(Escenarios!$E$11&gt;0,I133*1000/Escenarios!$E$16/10000+E133,E133)</f>
        <v>4.4802910290226046E-4</v>
      </c>
      <c r="M133" s="76">
        <f>MAX(0,N132+Observaciones!$F132-K133-Constantes!$D$13)</f>
        <v>0</v>
      </c>
      <c r="N133" s="76">
        <f>N132+Observaciones!$F132-K133-L133-M133-O132</f>
        <v>11.234682382059233</v>
      </c>
      <c r="O133" s="76">
        <f>MAX(0,(N133-Constantes!$D$14)*(1-EXP(-Constantes!$D$22)))</f>
        <v>0</v>
      </c>
      <c r="P133" s="170">
        <f>P132+(Entradas!$E$83*M133-Q132)/(800*Entradas!$D$25)</f>
        <v>0</v>
      </c>
      <c r="Q133" s="170">
        <f>8000*Entradas!$D$26*P133/Constantes!$E$45</f>
        <v>0</v>
      </c>
      <c r="R133" s="170">
        <f>IF(Escenarios!$E$14&gt;0,K133*Escenarios!$E$13/Escenarios!$E$14,0)</f>
        <v>0</v>
      </c>
      <c r="S133" s="170">
        <f>IF(Escenarios!$E$14&gt;0,Q133*Escenarios!$E$13/Escenarios!$E$14,0)</f>
        <v>0</v>
      </c>
      <c r="T133" s="170">
        <f>IF(Escenarios!$E$14&gt;0,Observaciones!$I132,0)</f>
        <v>0</v>
      </c>
      <c r="U133" s="170">
        <f>IF(Escenarios!$E$14&gt;0,MAX(0,Constantes!$E$36/((Z132+R133+S133+T133+Observaciones!$F132)^2)+Entradas!$E$77),0)</f>
        <v>0</v>
      </c>
      <c r="V133" s="146">
        <f>IF(ETo!D132&gt;0,ETo!I132*((1-Entradas!$E$81)*ETo!K132+ETo!L132),0)</f>
        <v>2.7928495402268596</v>
      </c>
      <c r="W133" s="170">
        <f>IF(Escenarios!$E$14&gt;0,MIN(V133*1,0.8*(Z132+R133+S133+T133+Observaciones!$F132-U133-Constantes!$E$35)),0)</f>
        <v>7.3006584727863815E-6</v>
      </c>
      <c r="X133" s="170">
        <f>IF(Escenarios!$E$14&gt;0,Observaciones!$J132,0)</f>
        <v>0</v>
      </c>
      <c r="Y133" s="170">
        <f>IF(Escenarios!$E$14&gt;0,MAX(0,Z132+R133+S133+T133+Observaciones!$F132-U133-W133-X133-Constantes!$E$33),0)</f>
        <v>0</v>
      </c>
      <c r="Z133" s="170">
        <f>Z132+R133+S133+T133+Observaciones!$F132-U133-W133-Y133</f>
        <v>41.250001825164617</v>
      </c>
      <c r="AA133" s="170">
        <f>IF(Escenarios!$E$14&gt;0,(Escenarios!$E$13*L133+Escenarios!$E$14*W133)/(Escenarios!$E$16),L133)</f>
        <v>3.9514168957072361E-4</v>
      </c>
      <c r="AB133" s="170">
        <f>IF(Escenarios!$E$14&gt;0,(Escenarios!$E$14*Y133)/(Escenarios!$E$16),K133)</f>
        <v>0</v>
      </c>
      <c r="AC133" s="170">
        <f>IF(Escenarios!$E$14&gt;0,(Escenarios!$E$13*M133+Escenarios!$E$14*U133)/(Escenarios!$E$16),M133)</f>
        <v>0</v>
      </c>
      <c r="AD133" s="76">
        <f t="shared" si="15"/>
        <v>136.99632705636745</v>
      </c>
      <c r="AE133" s="76">
        <f>MAX(0,(AD133-Constantes!$D$13)*(1-EXP(-Constantes!$D$23)))</f>
        <v>0.8695120791239368</v>
      </c>
      <c r="AF133" s="76">
        <f>AB133+O133*Escenarios!$E$13/Escenarios!$E$16+AE133</f>
        <v>0.8695120791239368</v>
      </c>
      <c r="AG133" s="76">
        <f>IF(Entradas!$E$91&gt;0,IF(AF133-Escenarios!$E$38&lt;=0,0,IF(AF133-Escenarios!$E$38&gt;Escenarios!$E$37,Escenarios!$E$37,AF133-Escenarios!$E$38)),0)</f>
        <v>0</v>
      </c>
      <c r="AH133" s="76">
        <f>AG133*Entradas!$E$99</f>
        <v>0</v>
      </c>
      <c r="AI133" s="76">
        <f>IF(Entradas!$E$91&gt;0,D133*Entradas!$D$23/Escenarios!$E$16,0)</f>
        <v>0</v>
      </c>
      <c r="AJ133" s="76">
        <f>IF(Entradas!$E$91&gt;0,Entradas!$D$24*Entradas!$D$22/Escenarios!$E$16,0)</f>
        <v>0</v>
      </c>
      <c r="AK133" s="76">
        <f t="shared" si="24"/>
        <v>3.9514168957072361E-4</v>
      </c>
      <c r="AL133" s="76">
        <f t="shared" si="25"/>
        <v>0</v>
      </c>
      <c r="AM133" s="76">
        <f t="shared" si="16"/>
        <v>0</v>
      </c>
      <c r="AN133" s="76">
        <f>MAX(0,O133*Escenarios!$E$13/Escenarios!$E$16-AM133)</f>
        <v>0</v>
      </c>
      <c r="AO133" s="76">
        <f>AM133+AN133-O133*Escenarios!$E$13/Escenarios!$E$16</f>
        <v>0</v>
      </c>
      <c r="AP133" s="76">
        <f t="shared" si="14"/>
        <v>0.8695120791239368</v>
      </c>
      <c r="AQ133" s="76">
        <f t="shared" si="17"/>
        <v>0</v>
      </c>
      <c r="AR133" s="76">
        <f t="shared" si="18"/>
        <v>0.8695120791239368</v>
      </c>
      <c r="AS133" s="76">
        <f t="shared" si="19"/>
        <v>0</v>
      </c>
      <c r="AT133" s="76">
        <f t="shared" si="20"/>
        <v>0</v>
      </c>
      <c r="AU133" s="76">
        <f t="shared" si="21"/>
        <v>48.75</v>
      </c>
      <c r="AV133" s="76">
        <f>MAX(0,(AU133-Constantes!$D$13)*(1-EXP(-Constantes!$D$24)))</f>
        <v>0</v>
      </c>
      <c r="AW133" s="170">
        <f>AW132+(Entradas!$E$112*AT133-AX132)/(800*Entradas!$D$25)</f>
        <v>0</v>
      </c>
      <c r="AX133" s="170">
        <f>8000*Entradas!$D$26*AW133/Constantes!$E$45</f>
        <v>0</v>
      </c>
      <c r="AY133" s="170">
        <f>IF(Escenarios!$E$17&gt;0,10*Escenarios!$E$16*AL133,0)</f>
        <v>0</v>
      </c>
      <c r="AZ133" s="170">
        <f>IF(Escenarios!$E$17&gt;0,10*Escenarios!$E$16*AX133,0)</f>
        <v>0</v>
      </c>
      <c r="BA133" s="170">
        <f>IF(Escenarios!$E$17&gt;0,0.001*Observaciones!$F132*Escenarios!$E$17,0)</f>
        <v>0</v>
      </c>
      <c r="BB133" s="170">
        <f>IF(Escenarios!$E$17&gt;0,Observaciones!$K132,0)</f>
        <v>0</v>
      </c>
      <c r="BC133" s="170">
        <f>IF(Escenarios!$E$17&gt;0,MIN(0.0005*ETo!$M132*Escenarios!$E$17*(BG132/Constantes!$E$40)^(2/3),BG132+AY133+AZ133+BA133+BB133),0)</f>
        <v>19.593266730100005</v>
      </c>
      <c r="BD133" s="170">
        <f>IF(Escenarios!$E$17&gt;0,MIN(Constantes!$E$39*(BG132/Constantes!$E$40)^(2/3),BG132+AY133+AZ133+BA133+BB133-BC133),0)</f>
        <v>44.190089247306055</v>
      </c>
      <c r="BE133" s="170">
        <f>IF(Escenarios!$E$17&gt;0,MIN(Entradas!$E$113,BG132+AY133+AZ133+BA133+BB133-BC133-BD133),0)</f>
        <v>1</v>
      </c>
      <c r="BF133" s="170">
        <f>IF(Escenarios!$E$17&gt;0,MAX(0,BG132+AY133+AZ133+BA133+BB133-BC133-BD133-BE133-Constantes!$E$40),0)</f>
        <v>0</v>
      </c>
      <c r="BG133" s="170">
        <f t="shared" si="26"/>
        <v>2672.1301862063588</v>
      </c>
      <c r="BH133" s="170">
        <f>(Escenarios!$E$16*AK133+0.1*BC133)/(Escenarios!$E$19)</f>
        <v>8.1671114896931796E-3</v>
      </c>
      <c r="BI133" s="170">
        <f>IF(Escenarios!$E$17&gt;0,BF133/10/Escenarios!$E$19,AL133)</f>
        <v>0</v>
      </c>
      <c r="BJ133" s="170">
        <f>(Escenarios!$E$16*AT133+0.1*BD133)/(Escenarios!$E$19)</f>
        <v>1.7535749701311928E-2</v>
      </c>
      <c r="BK133" s="76">
        <f>BK132+(0.1*BD133)/(Escenarios!$E$19)-BL132</f>
        <v>50.3240068771455</v>
      </c>
      <c r="BL133" s="76">
        <f>MAX(0,(BK133-Constantes!$D$13)*(1-EXP(-Constantes!$D$23)))</f>
        <v>1.5509064659744448E-2</v>
      </c>
      <c r="BM133" s="76">
        <f t="shared" si="22"/>
        <v>0.88502114378368124</v>
      </c>
      <c r="BN133" s="76">
        <f t="shared" si="27"/>
        <v>0.88502114378368124</v>
      </c>
      <c r="BO133" s="76">
        <f>0.0526*BI133*Observaciones!$F132^1.218</f>
        <v>0</v>
      </c>
      <c r="BP133" s="76">
        <f>BO133*Constantes!$E$51</f>
        <v>0</v>
      </c>
      <c r="BQ133" s="76">
        <f t="shared" si="23"/>
        <v>0</v>
      </c>
      <c r="BR133" s="40"/>
    </row>
    <row r="134" spans="1:70">
      <c r="A134" s="147"/>
      <c r="B134" s="39"/>
      <c r="C134" s="75">
        <v>128</v>
      </c>
      <c r="D134" s="146">
        <f>ETo!$I133*((1-Constantes!$E$19)*ETo!$K133+ETo!$L133)</f>
        <v>2.9840361416567647</v>
      </c>
      <c r="E134" s="76">
        <f>MIN(D134*Constantes!$E$17,0.8*(N133+Observaciones!$F133-F134-M134-Constantes!$D$14))</f>
        <v>-1.2254094352613265E-2</v>
      </c>
      <c r="F134" s="76">
        <f>IF(Observaciones!$F133&gt;0.05*Constantes!$E$18,((Observaciones!$F133-0.05*Constantes!$E$18)^2)/(Observaciones!$F133+0.95*Constantes!$E$18),0)</f>
        <v>0</v>
      </c>
      <c r="G134" s="76">
        <f>IF(Escenarios!$E$11&gt;0,(F134*Escenarios!$E$16*10000)/1000,0)</f>
        <v>0</v>
      </c>
      <c r="H134" s="76">
        <f>IF(Escenarios!$E$11&gt;0,(Observaciones!$F133*Constantes!$E$29)/1000,0)</f>
        <v>0</v>
      </c>
      <c r="I134" s="76">
        <f>IF(Escenarios!$E$11&gt;0,(D134*Constantes!$E$29)/1000,0)</f>
        <v>29.840361416567649</v>
      </c>
      <c r="J134" s="76">
        <f>IF(Escenarios!$E$11&gt;0,MAX(0,G134+H134-I134),0)</f>
        <v>0</v>
      </c>
      <c r="K134" s="76">
        <f>IF(Escenarios!$E$11&gt;0,IF(J134&gt;Constantes!$E$30,1000*((J134-Constantes!$E$30)/(Escenarios!$E$16*10000)),0),F134)</f>
        <v>0</v>
      </c>
      <c r="L134" s="76">
        <f>IF(Escenarios!$E$11&gt;0,I134*1000/Escenarios!$E$16/10000+E134,E134)</f>
        <v>-3.179497859862046E-4</v>
      </c>
      <c r="M134" s="76">
        <f>MAX(0,N133+Observaciones!$F133-K134-Constantes!$D$13)</f>
        <v>0</v>
      </c>
      <c r="N134" s="76">
        <f>N133+Observaciones!$F133-K134-L134-M134-O133</f>
        <v>11.235000331845219</v>
      </c>
      <c r="O134" s="76">
        <f>MAX(0,(N134-Constantes!$D$14)*(1-EXP(-Constantes!$D$22)))</f>
        <v>0</v>
      </c>
      <c r="P134" s="170">
        <f>P133+(Entradas!$E$83*M134-Q133)/(800*Entradas!$D$25)</f>
        <v>0</v>
      </c>
      <c r="Q134" s="170">
        <f>8000*Entradas!$D$26*P134/Constantes!$E$45</f>
        <v>0</v>
      </c>
      <c r="R134" s="170">
        <f>IF(Escenarios!$E$14&gt;0,K134*Escenarios!$E$13/Escenarios!$E$14,0)</f>
        <v>0</v>
      </c>
      <c r="S134" s="170">
        <f>IF(Escenarios!$E$14&gt;0,Q134*Escenarios!$E$13/Escenarios!$E$14,0)</f>
        <v>0</v>
      </c>
      <c r="T134" s="170">
        <f>IF(Escenarios!$E$14&gt;0,Observaciones!$I133,0)</f>
        <v>0</v>
      </c>
      <c r="U134" s="170">
        <f>IF(Escenarios!$E$14&gt;0,MAX(0,Constantes!$E$36/((Z133+R134+S134+T134+Observaciones!$F133)^2)+Entradas!$E$77),0)</f>
        <v>0</v>
      </c>
      <c r="V134" s="146">
        <f>IF(ETo!D133&gt;0,ETo!I133*((1-Entradas!$E$81)*ETo!K133+ETo!L133),0)</f>
        <v>2.6991919328693652</v>
      </c>
      <c r="W134" s="170">
        <f>IF(Escenarios!$E$14&gt;0,MIN(V134*1,0.8*(Z133+R134+S134+T134+Observaciones!$F133-U134-Constantes!$E$35)),0)</f>
        <v>1.460131693420408E-6</v>
      </c>
      <c r="X134" s="170">
        <f>IF(Escenarios!$E$14&gt;0,Observaciones!$J133,0)</f>
        <v>0</v>
      </c>
      <c r="Y134" s="170">
        <f>IF(Escenarios!$E$14&gt;0,MAX(0,Z133+R134+S134+T134+Observaciones!$F133-U134-W134-X134-Constantes!$E$33),0)</f>
        <v>0</v>
      </c>
      <c r="Z134" s="170">
        <f>Z133+R134+S134+T134+Observaciones!$F133-U134-W134-Y134</f>
        <v>41.250000365032925</v>
      </c>
      <c r="AA134" s="170">
        <f>IF(Escenarios!$E$14&gt;0,(Escenarios!$E$13*L134+Escenarios!$E$14*W134)/(Escenarios!$E$16),L134)</f>
        <v>-2.7962059586464962E-4</v>
      </c>
      <c r="AB134" s="170">
        <f>IF(Escenarios!$E$14&gt;0,(Escenarios!$E$14*Y134)/(Escenarios!$E$16),K134)</f>
        <v>0</v>
      </c>
      <c r="AC134" s="170">
        <f>IF(Escenarios!$E$14&gt;0,(Escenarios!$E$13*M134+Escenarios!$E$14*U134)/(Escenarios!$E$16),M134)</f>
        <v>0</v>
      </c>
      <c r="AD134" s="76">
        <f t="shared" si="15"/>
        <v>136.1268149772435</v>
      </c>
      <c r="AE134" s="76">
        <f>MAX(0,(AD134-Constantes!$D$13)*(1-EXP(-Constantes!$D$23)))</f>
        <v>0.86094456950668652</v>
      </c>
      <c r="AF134" s="76">
        <f>AB134+O134*Escenarios!$E$13/Escenarios!$E$16+AE134</f>
        <v>0.86094456950668652</v>
      </c>
      <c r="AG134" s="76">
        <f>IF(Entradas!$E$91&gt;0,IF(AF134-Escenarios!$E$38&lt;=0,0,IF(AF134-Escenarios!$E$38&gt;Escenarios!$E$37,Escenarios!$E$37,AF134-Escenarios!$E$38)),0)</f>
        <v>0</v>
      </c>
      <c r="AH134" s="76">
        <f>AG134*Entradas!$E$99</f>
        <v>0</v>
      </c>
      <c r="AI134" s="76">
        <f>IF(Entradas!$E$91&gt;0,D134*Entradas!$D$23/Escenarios!$E$16,0)</f>
        <v>0</v>
      </c>
      <c r="AJ134" s="76">
        <f>IF(Entradas!$E$91&gt;0,Entradas!$D$24*Entradas!$D$22/Escenarios!$E$16,0)</f>
        <v>0</v>
      </c>
      <c r="AK134" s="76">
        <f t="shared" si="24"/>
        <v>-2.7962059586464962E-4</v>
      </c>
      <c r="AL134" s="76">
        <f t="shared" si="25"/>
        <v>0</v>
      </c>
      <c r="AM134" s="76">
        <f t="shared" si="16"/>
        <v>0</v>
      </c>
      <c r="AN134" s="76">
        <f>MAX(0,O134*Escenarios!$E$13/Escenarios!$E$16-AM134)</f>
        <v>0</v>
      </c>
      <c r="AO134" s="76">
        <f>AM134+AN134-O134*Escenarios!$E$13/Escenarios!$E$16</f>
        <v>0</v>
      </c>
      <c r="AP134" s="76">
        <f t="shared" ref="AP134:AP197" si="28">MAX(0,AE134-AO134)</f>
        <v>0.86094456950668652</v>
      </c>
      <c r="AQ134" s="76">
        <f t="shared" si="17"/>
        <v>0</v>
      </c>
      <c r="AR134" s="76">
        <f t="shared" si="18"/>
        <v>0.86094456950668652</v>
      </c>
      <c r="AS134" s="76">
        <f t="shared" si="19"/>
        <v>0</v>
      </c>
      <c r="AT134" s="76">
        <f t="shared" si="20"/>
        <v>0</v>
      </c>
      <c r="AU134" s="76">
        <f t="shared" si="21"/>
        <v>48.75</v>
      </c>
      <c r="AV134" s="76">
        <f>MAX(0,(AU134-Constantes!$D$13)*(1-EXP(-Constantes!$D$24)))</f>
        <v>0</v>
      </c>
      <c r="AW134" s="170">
        <f>AW133+(Entradas!$E$112*AT134-AX133)/(800*Entradas!$D$25)</f>
        <v>0</v>
      </c>
      <c r="AX134" s="170">
        <f>8000*Entradas!$D$26*AW134/Constantes!$E$45</f>
        <v>0</v>
      </c>
      <c r="AY134" s="170">
        <f>IF(Escenarios!$E$17&gt;0,10*Escenarios!$E$16*AL134,0)</f>
        <v>0</v>
      </c>
      <c r="AZ134" s="170">
        <f>IF(Escenarios!$E$17&gt;0,10*Escenarios!$E$16*AX134,0)</f>
        <v>0</v>
      </c>
      <c r="BA134" s="170">
        <f>IF(Escenarios!$E$17&gt;0,0.001*Observaciones!$F133*Escenarios!$E$17,0)</f>
        <v>0</v>
      </c>
      <c r="BB134" s="170">
        <f>IF(Escenarios!$E$17&gt;0,Observaciones!$K133,0)</f>
        <v>0</v>
      </c>
      <c r="BC134" s="170">
        <f>IF(Escenarios!$E$17&gt;0,MIN(0.0005*ETo!$M133*Escenarios!$E$17*(BG133/Constantes!$E$40)^(2/3),BG133+AY134+AZ134+BA134+BB134),0)</f>
        <v>18.658544699366736</v>
      </c>
      <c r="BD134" s="170">
        <f>IF(Escenarios!$E$17&gt;0,MIN(Constantes!$E$39*(BG133/Constantes!$E$40)^(2/3),BG133+AY134+AZ134+BA134+BB134-BC134),0)</f>
        <v>43.489982722317755</v>
      </c>
      <c r="BE134" s="170">
        <f>IF(Escenarios!$E$17&gt;0,MIN(Entradas!$E$113,BG133+AY134+AZ134+BA134+BB134-BC134-BD134),0)</f>
        <v>1</v>
      </c>
      <c r="BF134" s="170">
        <f>IF(Escenarios!$E$17&gt;0,MAX(0,BG133+AY134+AZ134+BA134+BB134-BC134-BD134-BE134-Constantes!$E$40),0)</f>
        <v>0</v>
      </c>
      <c r="BG134" s="170">
        <f t="shared" si="26"/>
        <v>2608.9816587846744</v>
      </c>
      <c r="BH134" s="170">
        <f>(Escenarios!$E$16*AK134+0.1*BC134)/(Escenarios!$E$19)</f>
        <v>7.1267830197242511E-3</v>
      </c>
      <c r="BI134" s="170">
        <f>IF(Escenarios!$E$17&gt;0,BF134/10/Escenarios!$E$19,AL134)</f>
        <v>0</v>
      </c>
      <c r="BJ134" s="170">
        <f>(Escenarios!$E$16*AT134+0.1*BD134)/(Escenarios!$E$19)</f>
        <v>1.7257929651713397E-2</v>
      </c>
      <c r="BK134" s="76">
        <f>BK133+(0.1*BD134)/(Escenarios!$E$19)-BL133</f>
        <v>50.325755742137467</v>
      </c>
      <c r="BL134" s="76">
        <f>MAX(0,(BK134-Constantes!$D$13)*(1-EXP(-Constantes!$D$23)))</f>
        <v>1.5526296643057488E-2</v>
      </c>
      <c r="BM134" s="76">
        <f t="shared" si="22"/>
        <v>0.87647086614974401</v>
      </c>
      <c r="BN134" s="76">
        <f t="shared" si="27"/>
        <v>0.87647086614974401</v>
      </c>
      <c r="BO134" s="76">
        <f>0.0526*BI134*Observaciones!$F133^1.218</f>
        <v>0</v>
      </c>
      <c r="BP134" s="76">
        <f>BO134*Constantes!$E$51</f>
        <v>0</v>
      </c>
      <c r="BQ134" s="76">
        <f t="shared" si="23"/>
        <v>0</v>
      </c>
      <c r="BR134" s="40"/>
    </row>
    <row r="135" spans="1:70">
      <c r="A135" s="147"/>
      <c r="B135" s="39"/>
      <c r="C135" s="75">
        <v>129</v>
      </c>
      <c r="D135" s="146">
        <f>ETo!$I134*((1-Constantes!$E$19)*ETo!$K134+ETo!$L134)</f>
        <v>3.0079625339486276</v>
      </c>
      <c r="E135" s="76">
        <f>MIN(D135*Constantes!$E$17,0.8*(N134+Observaciones!$F134-F135-M135-Constantes!$D$14))</f>
        <v>0.14800026547617479</v>
      </c>
      <c r="F135" s="76">
        <f>IF(Observaciones!$F134&gt;0.05*Constantes!$E$18,((Observaciones!$F134-0.05*Constantes!$E$18)^2)/(Observaciones!$F134+0.95*Constantes!$E$18),0)</f>
        <v>0</v>
      </c>
      <c r="G135" s="76">
        <f>IF(Escenarios!$E$11&gt;0,(F135*Escenarios!$E$16*10000)/1000,0)</f>
        <v>0</v>
      </c>
      <c r="H135" s="76">
        <f>IF(Escenarios!$E$11&gt;0,(Observaciones!$F134*Constantes!$E$29)/1000,0)</f>
        <v>2</v>
      </c>
      <c r="I135" s="76">
        <f>IF(Escenarios!$E$11&gt;0,(D135*Constantes!$E$29)/1000,0)</f>
        <v>30.079625339486277</v>
      </c>
      <c r="J135" s="76">
        <f>IF(Escenarios!$E$11&gt;0,MAX(0,G135+H135-I135),0)</f>
        <v>0</v>
      </c>
      <c r="K135" s="76">
        <f>IF(Escenarios!$E$11&gt;0,IF(J135&gt;Constantes!$E$30,1000*((J135-Constantes!$E$30)/(Escenarios!$E$16*10000)),0),F135)</f>
        <v>0</v>
      </c>
      <c r="L135" s="76">
        <f>IF(Escenarios!$E$11&gt;0,I135*1000/Escenarios!$E$16/10000+E135,E135)</f>
        <v>0.16003211561196928</v>
      </c>
      <c r="M135" s="76">
        <f>MAX(0,N134+Observaciones!$F134-K135-Constantes!$D$13)</f>
        <v>0</v>
      </c>
      <c r="N135" s="76">
        <f>N134+Observaciones!$F134-K135-L135-M135-O134</f>
        <v>11.274968216233249</v>
      </c>
      <c r="O135" s="76">
        <f>MAX(0,(N135-Constantes!$D$14)*(1-EXP(-Constantes!$D$22)))</f>
        <v>8.5050910510273841E-4</v>
      </c>
      <c r="P135" s="170">
        <f>P134+(Entradas!$E$83*M135-Q134)/(800*Entradas!$D$25)</f>
        <v>0</v>
      </c>
      <c r="Q135" s="170">
        <f>8000*Entradas!$D$26*P135/Constantes!$E$45</f>
        <v>0</v>
      </c>
      <c r="R135" s="170">
        <f>IF(Escenarios!$E$14&gt;0,K135*Escenarios!$E$13/Escenarios!$E$14,0)</f>
        <v>0</v>
      </c>
      <c r="S135" s="170">
        <f>IF(Escenarios!$E$14&gt;0,Q135*Escenarios!$E$13/Escenarios!$E$14,0)</f>
        <v>0</v>
      </c>
      <c r="T135" s="170">
        <f>IF(Escenarios!$E$14&gt;0,Observaciones!$I134,0)</f>
        <v>0</v>
      </c>
      <c r="U135" s="170">
        <f>IF(Escenarios!$E$14&gt;0,MAX(0,Constantes!$E$36/((Z134+R135+S135+T135+Observaciones!$F134)^2)+Entradas!$E$77),0)</f>
        <v>0</v>
      </c>
      <c r="V135" s="146">
        <f>IF(ETo!D134&gt;0,ETo!I134*((1-Entradas!$E$81)*ETo!K134+ETo!L134),0)</f>
        <v>2.7207248461999618</v>
      </c>
      <c r="W135" s="170">
        <f>IF(Escenarios!$E$14&gt;0,MIN(V135*1,0.8*(Z134+R135+S135+T135+Observaciones!$F134-U135-Constantes!$E$35)),0)</f>
        <v>0.16000029202634211</v>
      </c>
      <c r="X135" s="170">
        <f>IF(Escenarios!$E$14&gt;0,Observaciones!$J134,0)</f>
        <v>0</v>
      </c>
      <c r="Y135" s="170">
        <f>IF(Escenarios!$E$14&gt;0,MAX(0,Z134+R135+S135+T135+Observaciones!$F134-U135-W135-X135-Constantes!$E$33),0)</f>
        <v>0</v>
      </c>
      <c r="Z135" s="170">
        <f>Z134+R135+S135+T135+Observaciones!$F134-U135-W135-Y135</f>
        <v>41.290000073006588</v>
      </c>
      <c r="AA135" s="170">
        <f>IF(Escenarios!$E$14&gt;0,(Escenarios!$E$13*L135+Escenarios!$E$14*W135)/(Escenarios!$E$16),L135)</f>
        <v>0.16002829678169403</v>
      </c>
      <c r="AB135" s="170">
        <f>IF(Escenarios!$E$14&gt;0,(Escenarios!$E$14*Y135)/(Escenarios!$E$16),K135)</f>
        <v>0</v>
      </c>
      <c r="AC135" s="170">
        <f>IF(Escenarios!$E$14&gt;0,(Escenarios!$E$13*M135+Escenarios!$E$14*U135)/(Escenarios!$E$16),M135)</f>
        <v>0</v>
      </c>
      <c r="AD135" s="76">
        <f t="shared" ref="AD135:AD198" si="29">AD134+AC135-AE134</f>
        <v>135.2658704077368</v>
      </c>
      <c r="AE135" s="76">
        <f>MAX(0,(AD135-Constantes!$D$13)*(1-EXP(-Constantes!$D$23)))</f>
        <v>0.85246147760231683</v>
      </c>
      <c r="AF135" s="76">
        <f>AB135+O135*Escenarios!$E$13/Escenarios!$E$16+AE135</f>
        <v>0.85320992561480724</v>
      </c>
      <c r="AG135" s="76">
        <f>IF(Entradas!$E$91&gt;0,IF(AF135-Escenarios!$E$38&lt;=0,0,IF(AF135-Escenarios!$E$38&gt;Escenarios!$E$37,Escenarios!$E$37,AF135-Escenarios!$E$38)),0)</f>
        <v>0</v>
      </c>
      <c r="AH135" s="76">
        <f>AG135*Entradas!$E$99</f>
        <v>0</v>
      </c>
      <c r="AI135" s="76">
        <f>IF(Entradas!$E$91&gt;0,D135*Entradas!$D$23/Escenarios!$E$16,0)</f>
        <v>0</v>
      </c>
      <c r="AJ135" s="76">
        <f>IF(Entradas!$E$91&gt;0,Entradas!$D$24*Entradas!$D$22/Escenarios!$E$16,0)</f>
        <v>0</v>
      </c>
      <c r="AK135" s="76">
        <f t="shared" si="24"/>
        <v>0.16002829678169403</v>
      </c>
      <c r="AL135" s="76">
        <f t="shared" si="25"/>
        <v>0</v>
      </c>
      <c r="AM135" s="76">
        <f t="shared" ref="AM135:AM198" si="30">AG135+AL135-AB135</f>
        <v>0</v>
      </c>
      <c r="AN135" s="76">
        <f>MAX(0,O135*Escenarios!$E$13/Escenarios!$E$16-AM135)</f>
        <v>7.4844801249040983E-4</v>
      </c>
      <c r="AO135" s="76">
        <f>AM135+AN135-O135*Escenarios!$E$13/Escenarios!$E$16</f>
        <v>0</v>
      </c>
      <c r="AP135" s="76">
        <f t="shared" si="28"/>
        <v>0.85246147760231683</v>
      </c>
      <c r="AQ135" s="76">
        <f t="shared" ref="AQ135:AQ198" si="31">AO135+AP135-AE135</f>
        <v>0</v>
      </c>
      <c r="AR135" s="76">
        <f t="shared" ref="AR135:AR198" si="32">AL135+AN135+AP135+AH135</f>
        <v>0.85320992561480724</v>
      </c>
      <c r="AS135" s="76">
        <f t="shared" ref="AS135:AS198" si="33">MAX(0,AG135-AH135-AI135-AJ135)</f>
        <v>0</v>
      </c>
      <c r="AT135" s="76">
        <f t="shared" ref="AT135:AT198" si="34">AC135+AS135</f>
        <v>0</v>
      </c>
      <c r="AU135" s="76">
        <f t="shared" ref="AU135:AU198" si="35">AU134+AS135-AV134</f>
        <v>48.75</v>
      </c>
      <c r="AV135" s="76">
        <f>MAX(0,(AU135-Constantes!$D$13)*(1-EXP(-Constantes!$D$24)))</f>
        <v>0</v>
      </c>
      <c r="AW135" s="170">
        <f>AW134+(Entradas!$E$112*AT135-AX134)/(800*Entradas!$D$25)</f>
        <v>0</v>
      </c>
      <c r="AX135" s="170">
        <f>8000*Entradas!$D$26*AW135/Constantes!$E$45</f>
        <v>0</v>
      </c>
      <c r="AY135" s="170">
        <f>IF(Escenarios!$E$17&gt;0,10*Escenarios!$E$16*AL135,0)</f>
        <v>0</v>
      </c>
      <c r="AZ135" s="170">
        <f>IF(Escenarios!$E$17&gt;0,10*Escenarios!$E$16*AX135,0)</f>
        <v>0</v>
      </c>
      <c r="BA135" s="170">
        <f>IF(Escenarios!$E$17&gt;0,0.001*Observaciones!$F134*Escenarios!$E$17,0)</f>
        <v>4</v>
      </c>
      <c r="BB135" s="170">
        <f>IF(Escenarios!$E$17&gt;0,Observaciones!$K134,0)</f>
        <v>0</v>
      </c>
      <c r="BC135" s="170">
        <f>IF(Escenarios!$E$17&gt;0,MIN(0.0005*ETo!$M134*Escenarios!$E$17*(BG134/Constantes!$E$40)^(2/3),BG134+AY135+AZ135+BA135+BB135),0)</f>
        <v>18.511574514002113</v>
      </c>
      <c r="BD135" s="170">
        <f>IF(Escenarios!$E$17&gt;0,MIN(Constantes!$E$39*(BG134/Constantes!$E$40)^(2/3),BG134+AY135+AZ135+BA135+BB135-BC135),0)</f>
        <v>42.802076974439956</v>
      </c>
      <c r="BE135" s="170">
        <f>IF(Escenarios!$E$17&gt;0,MIN(Entradas!$E$113,BG134+AY135+AZ135+BA135+BB135-BC135-BD135),0)</f>
        <v>1</v>
      </c>
      <c r="BF135" s="170">
        <f>IF(Escenarios!$E$17&gt;0,MAX(0,BG134+AY135+AZ135+BA135+BB135-BC135-BD135-BE135-Constantes!$E$40),0)</f>
        <v>0</v>
      </c>
      <c r="BG135" s="170">
        <f t="shared" si="26"/>
        <v>2550.6680072962326</v>
      </c>
      <c r="BH135" s="170">
        <f>(Escenarios!$E$16*AK135+0.1*BC135)/(Escenarios!$E$19)</f>
        <v>0.16610409383660205</v>
      </c>
      <c r="BI135" s="170">
        <f>IF(Escenarios!$E$17&gt;0,BF135/10/Escenarios!$E$19,AL135)</f>
        <v>0</v>
      </c>
      <c r="BJ135" s="170">
        <f>(Escenarios!$E$16*AT135+0.1*BD135)/(Escenarios!$E$19)</f>
        <v>1.6984951180333316E-2</v>
      </c>
      <c r="BK135" s="76">
        <f>BK134+(0.1*BD135)/(Escenarios!$E$19)-BL134</f>
        <v>50.327214396674741</v>
      </c>
      <c r="BL135" s="76">
        <f>MAX(0,(BK135-Constantes!$D$13)*(1-EXP(-Constantes!$D$23)))</f>
        <v>1.5540669113637688E-2</v>
      </c>
      <c r="BM135" s="76">
        <f t="shared" ref="BM135:BM198" si="36">AP135+AV135+BL135</f>
        <v>0.86800214671595455</v>
      </c>
      <c r="BN135" s="76">
        <f t="shared" si="27"/>
        <v>0.86875059472844496</v>
      </c>
      <c r="BO135" s="76">
        <f>0.0526*BI135*Observaciones!$F134^1.218</f>
        <v>0</v>
      </c>
      <c r="BP135" s="76">
        <f>BO135*Constantes!$E$51</f>
        <v>0</v>
      </c>
      <c r="BQ135" s="76">
        <f t="shared" ref="BQ135:BQ198" si="37">BP135*1000000/(BN135/1000*10000)</f>
        <v>0</v>
      </c>
      <c r="BR135" s="40"/>
    </row>
    <row r="136" spans="1:70">
      <c r="A136" s="147"/>
      <c r="B136" s="39"/>
      <c r="C136" s="75">
        <v>130</v>
      </c>
      <c r="D136" s="146">
        <f>ETo!$I135*((1-Constantes!$E$19)*ETo!$K135+ETo!$L135)</f>
        <v>3.025090904602719</v>
      </c>
      <c r="E136" s="76">
        <f>MIN(D136*Constantes!$E$17,0.8*(N135+Observaciones!$F135-F136-M136-Constantes!$D$14))</f>
        <v>1.9974572986599527E-2</v>
      </c>
      <c r="F136" s="76">
        <f>IF(Observaciones!$F135&gt;0.05*Constantes!$E$18,((Observaciones!$F135-0.05*Constantes!$E$18)^2)/(Observaciones!$F135+0.95*Constantes!$E$18),0)</f>
        <v>0</v>
      </c>
      <c r="G136" s="76">
        <f>IF(Escenarios!$E$11&gt;0,(F136*Escenarios!$E$16*10000)/1000,0)</f>
        <v>0</v>
      </c>
      <c r="H136" s="76">
        <f>IF(Escenarios!$E$11&gt;0,(Observaciones!$F135*Constantes!$E$29)/1000,0)</f>
        <v>0</v>
      </c>
      <c r="I136" s="76">
        <f>IF(Escenarios!$E$11&gt;0,(D136*Constantes!$E$29)/1000,0)</f>
        <v>30.250909046027189</v>
      </c>
      <c r="J136" s="76">
        <f>IF(Escenarios!$E$11&gt;0,MAX(0,G136+H136-I136),0)</f>
        <v>0</v>
      </c>
      <c r="K136" s="76">
        <f>IF(Escenarios!$E$11&gt;0,IF(J136&gt;Constantes!$E$30,1000*((J136-Constantes!$E$30)/(Escenarios!$E$16*10000)),0),F136)</f>
        <v>0</v>
      </c>
      <c r="L136" s="76">
        <f>IF(Escenarios!$E$11&gt;0,I136*1000/Escenarios!$E$16/10000+E136,E136)</f>
        <v>3.2074936605010401E-2</v>
      </c>
      <c r="M136" s="76">
        <f>MAX(0,N135+Observaciones!$F135-K136-Constantes!$D$13)</f>
        <v>0</v>
      </c>
      <c r="N136" s="76">
        <f>N135+Observaciones!$F135-K136-L136-M136-O135</f>
        <v>11.242042770523136</v>
      </c>
      <c r="O136" s="76">
        <f>MAX(0,(N136-Constantes!$D$14)*(1-EXP(-Constantes!$D$22)))</f>
        <v>0</v>
      </c>
      <c r="P136" s="170">
        <f>P135+(Entradas!$E$83*M136-Q135)/(800*Entradas!$D$25)</f>
        <v>0</v>
      </c>
      <c r="Q136" s="170">
        <f>8000*Entradas!$D$26*P136/Constantes!$E$45</f>
        <v>0</v>
      </c>
      <c r="R136" s="170">
        <f>IF(Escenarios!$E$14&gt;0,K136*Escenarios!$E$13/Escenarios!$E$14,0)</f>
        <v>0</v>
      </c>
      <c r="S136" s="170">
        <f>IF(Escenarios!$E$14&gt;0,Q136*Escenarios!$E$13/Escenarios!$E$14,0)</f>
        <v>0</v>
      </c>
      <c r="T136" s="170">
        <f>IF(Escenarios!$E$14&gt;0,Observaciones!$I135,0)</f>
        <v>0</v>
      </c>
      <c r="U136" s="170">
        <f>IF(Escenarios!$E$14&gt;0,MAX(0,Constantes!$E$36/((Z135+R136+S136+T136+Observaciones!$F135)^2)+Entradas!$E$77),0)</f>
        <v>0</v>
      </c>
      <c r="V136" s="146">
        <f>IF(ETo!D135&gt;0,ETo!I135*((1-Entradas!$E$81)*ETo!K135+ETo!L135),0)</f>
        <v>2.7360839834460466</v>
      </c>
      <c r="W136" s="170">
        <f>IF(Escenarios!$E$14&gt;0,MIN(V136*1,0.8*(Z135+R136+S136+T136+Observaciones!$F135-U136-Constantes!$E$35)),0)</f>
        <v>3.2000058405270697E-2</v>
      </c>
      <c r="X136" s="170">
        <f>IF(Escenarios!$E$14&gt;0,Observaciones!$J135,0)</f>
        <v>0</v>
      </c>
      <c r="Y136" s="170">
        <f>IF(Escenarios!$E$14&gt;0,MAX(0,Z135+R136+S136+T136+Observaciones!$F135-U136-W136-X136-Constantes!$E$33),0)</f>
        <v>0</v>
      </c>
      <c r="Z136" s="170">
        <f>Z135+R136+S136+T136+Observaciones!$F135-U136-W136-Y136</f>
        <v>41.258000014601315</v>
      </c>
      <c r="AA136" s="170">
        <f>IF(Escenarios!$E$14&gt;0,(Escenarios!$E$13*L136+Escenarios!$E$14*W136)/(Escenarios!$E$16),L136)</f>
        <v>3.2065951221041639E-2</v>
      </c>
      <c r="AB136" s="170">
        <f>IF(Escenarios!$E$14&gt;0,(Escenarios!$E$14*Y136)/(Escenarios!$E$16),K136)</f>
        <v>0</v>
      </c>
      <c r="AC136" s="170">
        <f>IF(Escenarios!$E$14&gt;0,(Escenarios!$E$13*M136+Escenarios!$E$14*U136)/(Escenarios!$E$16),M136)</f>
        <v>0</v>
      </c>
      <c r="AD136" s="76">
        <f t="shared" si="29"/>
        <v>134.41340893013449</v>
      </c>
      <c r="AE136" s="76">
        <f>MAX(0,(AD136-Constantes!$D$13)*(1-EXP(-Constantes!$D$23)))</f>
        <v>0.84406197162299612</v>
      </c>
      <c r="AF136" s="76">
        <f>AB136+O136*Escenarios!$E$13/Escenarios!$E$16+AE136</f>
        <v>0.84406197162299612</v>
      </c>
      <c r="AG136" s="76">
        <f>IF(Entradas!$E$91&gt;0,IF(AF136-Escenarios!$E$38&lt;=0,0,IF(AF136-Escenarios!$E$38&gt;Escenarios!$E$37,Escenarios!$E$37,AF136-Escenarios!$E$38)),0)</f>
        <v>0</v>
      </c>
      <c r="AH136" s="76">
        <f>AG136*Entradas!$E$99</f>
        <v>0</v>
      </c>
      <c r="AI136" s="76">
        <f>IF(Entradas!$E$91&gt;0,D136*Entradas!$D$23/Escenarios!$E$16,0)</f>
        <v>0</v>
      </c>
      <c r="AJ136" s="76">
        <f>IF(Entradas!$E$91&gt;0,Entradas!$D$24*Entradas!$D$22/Escenarios!$E$16,0)</f>
        <v>0</v>
      </c>
      <c r="AK136" s="76">
        <f t="shared" ref="AK136:AK199" si="38">AA136+AI136</f>
        <v>3.2065951221041639E-2</v>
      </c>
      <c r="AL136" s="76">
        <f t="shared" ref="AL136:AL199" si="39">MAX(0,AB136-AG136)</f>
        <v>0</v>
      </c>
      <c r="AM136" s="76">
        <f t="shared" si="30"/>
        <v>0</v>
      </c>
      <c r="AN136" s="76">
        <f>MAX(0,O136*Escenarios!$E$13/Escenarios!$E$16-AM136)</f>
        <v>0</v>
      </c>
      <c r="AO136" s="76">
        <f>AM136+AN136-O136*Escenarios!$E$13/Escenarios!$E$16</f>
        <v>0</v>
      </c>
      <c r="AP136" s="76">
        <f t="shared" si="28"/>
        <v>0.84406197162299612</v>
      </c>
      <c r="AQ136" s="76">
        <f t="shared" si="31"/>
        <v>0</v>
      </c>
      <c r="AR136" s="76">
        <f t="shared" si="32"/>
        <v>0.84406197162299612</v>
      </c>
      <c r="AS136" s="76">
        <f t="shared" si="33"/>
        <v>0</v>
      </c>
      <c r="AT136" s="76">
        <f t="shared" si="34"/>
        <v>0</v>
      </c>
      <c r="AU136" s="76">
        <f t="shared" si="35"/>
        <v>48.75</v>
      </c>
      <c r="AV136" s="76">
        <f>MAX(0,(AU136-Constantes!$D$13)*(1-EXP(-Constantes!$D$24)))</f>
        <v>0</v>
      </c>
      <c r="AW136" s="170">
        <f>AW135+(Entradas!$E$112*AT136-AX135)/(800*Entradas!$D$25)</f>
        <v>0</v>
      </c>
      <c r="AX136" s="170">
        <f>8000*Entradas!$D$26*AW136/Constantes!$E$45</f>
        <v>0</v>
      </c>
      <c r="AY136" s="170">
        <f>IF(Escenarios!$E$17&gt;0,10*Escenarios!$E$16*AL136,0)</f>
        <v>0</v>
      </c>
      <c r="AZ136" s="170">
        <f>IF(Escenarios!$E$17&gt;0,10*Escenarios!$E$16*AX136,0)</f>
        <v>0</v>
      </c>
      <c r="BA136" s="170">
        <f>IF(Escenarios!$E$17&gt;0,0.001*Observaciones!$F135*Escenarios!$E$17,0)</f>
        <v>0</v>
      </c>
      <c r="BB136" s="170">
        <f>IF(Escenarios!$E$17&gt;0,Observaciones!$K135,0)</f>
        <v>0</v>
      </c>
      <c r="BC136" s="170">
        <f>IF(Escenarios!$E$17&gt;0,MIN(0.0005*ETo!$M135*Escenarios!$E$17*(BG135/Constantes!$E$40)^(2/3),BG135+AY136+AZ136+BA136+BB136),0)</f>
        <v>18.3396429949813</v>
      </c>
      <c r="BD136" s="170">
        <f>IF(Escenarios!$E$17&gt;0,MIN(Constantes!$E$39*(BG135/Constantes!$E$40)^(2/3),BG135+AY136+AZ136+BA136+BB136-BC136),0)</f>
        <v>42.161894411789334</v>
      </c>
      <c r="BE136" s="170">
        <f>IF(Escenarios!$E$17&gt;0,MIN(Entradas!$E$113,BG135+AY136+AZ136+BA136+BB136-BC136-BD136),0)</f>
        <v>1</v>
      </c>
      <c r="BF136" s="170">
        <f>IF(Escenarios!$E$17&gt;0,MAX(0,BG135+AY136+AZ136+BA136+BB136-BC136-BD136-BE136-Constantes!$E$40),0)</f>
        <v>0</v>
      </c>
      <c r="BG136" s="170">
        <f t="shared" ref="BG136:BG199" si="40">BG135+AY136+AZ136+BA136+BB136-BF136-BC136-BD136-BE136</f>
        <v>2489.166469889462</v>
      </c>
      <c r="BH136" s="170">
        <f>(Escenarios!$E$16*AK136+0.1*BC136)/(Escenarios!$E$19)</f>
        <v>3.9089095653803724E-2</v>
      </c>
      <c r="BI136" s="170">
        <f>IF(Escenarios!$E$17&gt;0,BF136/10/Escenarios!$E$19,AL136)</f>
        <v>0</v>
      </c>
      <c r="BJ136" s="170">
        <f>(Escenarios!$E$16*AT136+0.1*BD136)/(Escenarios!$E$19)</f>
        <v>1.6730910480868784E-2</v>
      </c>
      <c r="BK136" s="76">
        <f>BK135+(0.1*BD136)/(Escenarios!$E$19)-BL135</f>
        <v>50.328404638041967</v>
      </c>
      <c r="BL136" s="76">
        <f>MAX(0,(BK136-Constantes!$D$13)*(1-EXP(-Constantes!$D$23)))</f>
        <v>1.5552396845322372E-2</v>
      </c>
      <c r="BM136" s="76">
        <f t="shared" si="36"/>
        <v>0.85961436846831851</v>
      </c>
      <c r="BN136" s="76">
        <f t="shared" ref="BN136:BN199" si="41">AN136+AP136+AV136+BI136+BL136</f>
        <v>0.85961436846831851</v>
      </c>
      <c r="BO136" s="76">
        <f>0.0526*BI136*Observaciones!$F135^1.218</f>
        <v>0</v>
      </c>
      <c r="BP136" s="76">
        <f>BO136*Constantes!$E$51</f>
        <v>0</v>
      </c>
      <c r="BQ136" s="76">
        <f t="shared" si="37"/>
        <v>0</v>
      </c>
      <c r="BR136" s="40"/>
    </row>
    <row r="137" spans="1:70">
      <c r="A137" s="147"/>
      <c r="B137" s="39"/>
      <c r="C137" s="75">
        <v>131</v>
      </c>
      <c r="D137" s="146">
        <f>ETo!$I136*((1-Constantes!$E$19)*ETo!$K136+ETo!$L136)</f>
        <v>3.0019063128237575</v>
      </c>
      <c r="E137" s="76">
        <f>MIN(D137*Constantes!$E$17,0.8*(N136+Observaciones!$F136-F137-M137-Constantes!$D$14))</f>
        <v>-6.3657835814908033E-3</v>
      </c>
      <c r="F137" s="76">
        <f>IF(Observaciones!$F136&gt;0.05*Constantes!$E$18,((Observaciones!$F136-0.05*Constantes!$E$18)^2)/(Observaciones!$F136+0.95*Constantes!$E$18),0)</f>
        <v>0</v>
      </c>
      <c r="G137" s="76">
        <f>IF(Escenarios!$E$11&gt;0,(F137*Escenarios!$E$16*10000)/1000,0)</f>
        <v>0</v>
      </c>
      <c r="H137" s="76">
        <f>IF(Escenarios!$E$11&gt;0,(Observaciones!$F136*Constantes!$E$29)/1000,0)</f>
        <v>0</v>
      </c>
      <c r="I137" s="76">
        <f>IF(Escenarios!$E$11&gt;0,(D137*Constantes!$E$29)/1000,0)</f>
        <v>30.019063128237576</v>
      </c>
      <c r="J137" s="76">
        <f>IF(Escenarios!$E$11&gt;0,MAX(0,G137+H137-I137),0)</f>
        <v>0</v>
      </c>
      <c r="K137" s="76">
        <f>IF(Escenarios!$E$11&gt;0,IF(J137&gt;Constantes!$E$30,1000*((J137-Constantes!$E$30)/(Escenarios!$E$16*10000)),0),F137)</f>
        <v>0</v>
      </c>
      <c r="L137" s="76">
        <f>IF(Escenarios!$E$11&gt;0,I137*1000/Escenarios!$E$16/10000+E137,E137)</f>
        <v>5.6418416698042276E-3</v>
      </c>
      <c r="M137" s="76">
        <f>MAX(0,N136+Observaciones!$F136-K137-Constantes!$D$13)</f>
        <v>0</v>
      </c>
      <c r="N137" s="76">
        <f>N136+Observaciones!$F136-K137-L137-M137-O136</f>
        <v>11.236400928853332</v>
      </c>
      <c r="O137" s="76">
        <f>MAX(0,(N137-Constantes!$D$14)*(1-EXP(-Constantes!$D$22)))</f>
        <v>0</v>
      </c>
      <c r="P137" s="170">
        <f>P136+(Entradas!$E$83*M137-Q136)/(800*Entradas!$D$25)</f>
        <v>0</v>
      </c>
      <c r="Q137" s="170">
        <f>8000*Entradas!$D$26*P137/Constantes!$E$45</f>
        <v>0</v>
      </c>
      <c r="R137" s="170">
        <f>IF(Escenarios!$E$14&gt;0,K137*Escenarios!$E$13/Escenarios!$E$14,0)</f>
        <v>0</v>
      </c>
      <c r="S137" s="170">
        <f>IF(Escenarios!$E$14&gt;0,Q137*Escenarios!$E$13/Escenarios!$E$14,0)</f>
        <v>0</v>
      </c>
      <c r="T137" s="170">
        <f>IF(Escenarios!$E$14&gt;0,Observaciones!$I136,0)</f>
        <v>0</v>
      </c>
      <c r="U137" s="170">
        <f>IF(Escenarios!$E$14&gt;0,MAX(0,Constantes!$E$36/((Z136+R137+S137+T137+Observaciones!$F136)^2)+Entradas!$E$77),0)</f>
        <v>0</v>
      </c>
      <c r="V137" s="146">
        <f>IF(ETo!D136&gt;0,ETo!I136*((1-Entradas!$E$81)*ETo!K136+ETo!L136),0)</f>
        <v>2.7145078805674756</v>
      </c>
      <c r="W137" s="170">
        <f>IF(Escenarios!$E$14&gt;0,MIN(V137*1,0.8*(Z136+R137+S137+T137+Observaciones!$F136-U137-Constantes!$E$35)),0)</f>
        <v>6.4000116810518648E-3</v>
      </c>
      <c r="X137" s="170">
        <f>IF(Escenarios!$E$14&gt;0,Observaciones!$J136,0)</f>
        <v>0</v>
      </c>
      <c r="Y137" s="170">
        <f>IF(Escenarios!$E$14&gt;0,MAX(0,Z136+R137+S137+T137+Observaciones!$F136-U137-W137-X137-Constantes!$E$33),0)</f>
        <v>0</v>
      </c>
      <c r="Z137" s="170">
        <f>Z136+R137+S137+T137+Observaciones!$F136-U137-W137-Y137</f>
        <v>41.251600002920263</v>
      </c>
      <c r="AA137" s="170">
        <f>IF(Escenarios!$E$14&gt;0,(Escenarios!$E$13*L137+Escenarios!$E$14*W137)/(Escenarios!$E$16),L137)</f>
        <v>5.7328220711539441E-3</v>
      </c>
      <c r="AB137" s="170">
        <f>IF(Escenarios!$E$14&gt;0,(Escenarios!$E$14*Y137)/(Escenarios!$E$16),K137)</f>
        <v>0</v>
      </c>
      <c r="AC137" s="170">
        <f>IF(Escenarios!$E$14&gt;0,(Escenarios!$E$13*M137+Escenarios!$E$14*U137)/(Escenarios!$E$16),M137)</f>
        <v>0</v>
      </c>
      <c r="AD137" s="76">
        <f t="shared" si="29"/>
        <v>133.56934695851149</v>
      </c>
      <c r="AE137" s="76">
        <f>MAX(0,(AD137-Constantes!$D$13)*(1-EXP(-Constantes!$D$23)))</f>
        <v>0.83574522797669604</v>
      </c>
      <c r="AF137" s="76">
        <f>AB137+O137*Escenarios!$E$13/Escenarios!$E$16+AE137</f>
        <v>0.83574522797669604</v>
      </c>
      <c r="AG137" s="76">
        <f>IF(Entradas!$E$91&gt;0,IF(AF137-Escenarios!$E$38&lt;=0,0,IF(AF137-Escenarios!$E$38&gt;Escenarios!$E$37,Escenarios!$E$37,AF137-Escenarios!$E$38)),0)</f>
        <v>0</v>
      </c>
      <c r="AH137" s="76">
        <f>AG137*Entradas!$E$99</f>
        <v>0</v>
      </c>
      <c r="AI137" s="76">
        <f>IF(Entradas!$E$91&gt;0,D137*Entradas!$D$23/Escenarios!$E$16,0)</f>
        <v>0</v>
      </c>
      <c r="AJ137" s="76">
        <f>IF(Entradas!$E$91&gt;0,Entradas!$D$24*Entradas!$D$22/Escenarios!$E$16,0)</f>
        <v>0</v>
      </c>
      <c r="AK137" s="76">
        <f t="shared" si="38"/>
        <v>5.7328220711539441E-3</v>
      </c>
      <c r="AL137" s="76">
        <f t="shared" si="39"/>
        <v>0</v>
      </c>
      <c r="AM137" s="76">
        <f t="shared" si="30"/>
        <v>0</v>
      </c>
      <c r="AN137" s="76">
        <f>MAX(0,O137*Escenarios!$E$13/Escenarios!$E$16-AM137)</f>
        <v>0</v>
      </c>
      <c r="AO137" s="76">
        <f>AM137+AN137-O137*Escenarios!$E$13/Escenarios!$E$16</f>
        <v>0</v>
      </c>
      <c r="AP137" s="76">
        <f t="shared" si="28"/>
        <v>0.83574522797669604</v>
      </c>
      <c r="AQ137" s="76">
        <f t="shared" si="31"/>
        <v>0</v>
      </c>
      <c r="AR137" s="76">
        <f t="shared" si="32"/>
        <v>0.83574522797669604</v>
      </c>
      <c r="AS137" s="76">
        <f t="shared" si="33"/>
        <v>0</v>
      </c>
      <c r="AT137" s="76">
        <f t="shared" si="34"/>
        <v>0</v>
      </c>
      <c r="AU137" s="76">
        <f t="shared" si="35"/>
        <v>48.75</v>
      </c>
      <c r="AV137" s="76">
        <f>MAX(0,(AU137-Constantes!$D$13)*(1-EXP(-Constantes!$D$24)))</f>
        <v>0</v>
      </c>
      <c r="AW137" s="170">
        <f>AW136+(Entradas!$E$112*AT137-AX136)/(800*Entradas!$D$25)</f>
        <v>0</v>
      </c>
      <c r="AX137" s="170">
        <f>8000*Entradas!$D$26*AW137/Constantes!$E$45</f>
        <v>0</v>
      </c>
      <c r="AY137" s="170">
        <f>IF(Escenarios!$E$17&gt;0,10*Escenarios!$E$16*AL137,0)</f>
        <v>0</v>
      </c>
      <c r="AZ137" s="170">
        <f>IF(Escenarios!$E$17&gt;0,10*Escenarios!$E$16*AX137,0)</f>
        <v>0</v>
      </c>
      <c r="BA137" s="170">
        <f>IF(Escenarios!$E$17&gt;0,0.001*Observaciones!$F136*Escenarios!$E$17,0)</f>
        <v>0</v>
      </c>
      <c r="BB137" s="170">
        <f>IF(Escenarios!$E$17&gt;0,Observaciones!$K136,0)</f>
        <v>0</v>
      </c>
      <c r="BC137" s="170">
        <f>IF(Escenarios!$E$17&gt;0,MIN(0.0005*ETo!$M136*Escenarios!$E$17*(BG136/Constantes!$E$40)^(2/3),BG136+AY137+AZ137+BA137+BB137),0)</f>
        <v>17.910302689049168</v>
      </c>
      <c r="BD137" s="170">
        <f>IF(Escenarios!$E$17&gt;0,MIN(Constantes!$E$39*(BG136/Constantes!$E$40)^(2/3),BG136+AY137+AZ137+BA137+BB137-BC137),0)</f>
        <v>41.481404687834235</v>
      </c>
      <c r="BE137" s="170">
        <f>IF(Escenarios!$E$17&gt;0,MIN(Entradas!$E$113,BG136+AY137+AZ137+BA137+BB137-BC137-BD137),0)</f>
        <v>1</v>
      </c>
      <c r="BF137" s="170">
        <f>IF(Escenarios!$E$17&gt;0,MAX(0,BG136+AY137+AZ137+BA137+BB137-BC137-BD137-BE137-Constantes!$E$40),0)</f>
        <v>0</v>
      </c>
      <c r="BG137" s="170">
        <f t="shared" si="40"/>
        <v>2428.7747625125785</v>
      </c>
      <c r="BH137" s="170">
        <f>(Escenarios!$E$16*AK137+0.1*BC137)/(Escenarios!$E$19)</f>
        <v>1.2794586455132552E-2</v>
      </c>
      <c r="BI137" s="170">
        <f>IF(Escenarios!$E$17&gt;0,BF137/10/Escenarios!$E$19,AL137)</f>
        <v>0</v>
      </c>
      <c r="BJ137" s="170">
        <f>(Escenarios!$E$16*AT137+0.1*BD137)/(Escenarios!$E$19)</f>
        <v>1.6460874876124697E-2</v>
      </c>
      <c r="BK137" s="76">
        <f>BK136+(0.1*BD137)/(Escenarios!$E$19)-BL136</f>
        <v>50.329313116072768</v>
      </c>
      <c r="BL137" s="76">
        <f>MAX(0,(BK137-Constantes!$D$13)*(1-EXP(-Constantes!$D$23)))</f>
        <v>1.5561348295742468E-2</v>
      </c>
      <c r="BM137" s="76">
        <f t="shared" si="36"/>
        <v>0.85130657627243855</v>
      </c>
      <c r="BN137" s="76">
        <f t="shared" si="41"/>
        <v>0.85130657627243855</v>
      </c>
      <c r="BO137" s="76">
        <f>0.0526*BI137*Observaciones!$F136^1.218</f>
        <v>0</v>
      </c>
      <c r="BP137" s="76">
        <f>BO137*Constantes!$E$51</f>
        <v>0</v>
      </c>
      <c r="BQ137" s="76">
        <f t="shared" si="37"/>
        <v>0</v>
      </c>
      <c r="BR137" s="40"/>
    </row>
    <row r="138" spans="1:70">
      <c r="A138" s="147"/>
      <c r="B138" s="39"/>
      <c r="C138" s="75">
        <v>132</v>
      </c>
      <c r="D138" s="146">
        <f>ETo!$I137*((1-Constantes!$E$19)*ETo!$K137+ETo!$L137)</f>
        <v>2.9191825680602994</v>
      </c>
      <c r="E138" s="76">
        <f>MIN(D138*Constantes!$E$17,0.8*(N137+Observaciones!$F137-F138-M138-Constantes!$D$14))</f>
        <v>-1.0879256917334601E-2</v>
      </c>
      <c r="F138" s="76">
        <f>IF(Observaciones!$F137&gt;0.05*Constantes!$E$18,((Observaciones!$F137-0.05*Constantes!$E$18)^2)/(Observaciones!$F137+0.95*Constantes!$E$18),0)</f>
        <v>0</v>
      </c>
      <c r="G138" s="76">
        <f>IF(Escenarios!$E$11&gt;0,(F138*Escenarios!$E$16*10000)/1000,0)</f>
        <v>0</v>
      </c>
      <c r="H138" s="76">
        <f>IF(Escenarios!$E$11&gt;0,(Observaciones!$F137*Constantes!$E$29)/1000,0)</f>
        <v>0</v>
      </c>
      <c r="I138" s="76">
        <f>IF(Escenarios!$E$11&gt;0,(D138*Constantes!$E$29)/1000,0)</f>
        <v>29.191825680602992</v>
      </c>
      <c r="J138" s="76">
        <f>IF(Escenarios!$E$11&gt;0,MAX(0,G138+H138-I138),0)</f>
        <v>0</v>
      </c>
      <c r="K138" s="76">
        <f>IF(Escenarios!$E$11&gt;0,IF(J138&gt;Constantes!$E$30,1000*((J138-Constantes!$E$30)/(Escenarios!$E$16*10000)),0),F138)</f>
        <v>0</v>
      </c>
      <c r="L138" s="76">
        <f>IF(Escenarios!$E$11&gt;0,I138*1000/Escenarios!$E$16/10000+E138,E138)</f>
        <v>7.9747335490659536E-4</v>
      </c>
      <c r="M138" s="76">
        <f>MAX(0,N137+Observaciones!$F137-K138-Constantes!$D$13)</f>
        <v>0</v>
      </c>
      <c r="N138" s="76">
        <f>N137+Observaciones!$F137-K138-L138-M138-O137</f>
        <v>11.235603455498426</v>
      </c>
      <c r="O138" s="76">
        <f>MAX(0,(N138-Constantes!$D$14)*(1-EXP(-Constantes!$D$22)))</f>
        <v>0</v>
      </c>
      <c r="P138" s="170">
        <f>P137+(Entradas!$E$83*M138-Q137)/(800*Entradas!$D$25)</f>
        <v>0</v>
      </c>
      <c r="Q138" s="170">
        <f>8000*Entradas!$D$26*P138/Constantes!$E$45</f>
        <v>0</v>
      </c>
      <c r="R138" s="170">
        <f>IF(Escenarios!$E$14&gt;0,K138*Escenarios!$E$13/Escenarios!$E$14,0)</f>
        <v>0</v>
      </c>
      <c r="S138" s="170">
        <f>IF(Escenarios!$E$14&gt;0,Q138*Escenarios!$E$13/Escenarios!$E$14,0)</f>
        <v>0</v>
      </c>
      <c r="T138" s="170">
        <f>IF(Escenarios!$E$14&gt;0,Observaciones!$I137,0)</f>
        <v>0</v>
      </c>
      <c r="U138" s="170">
        <f>IF(Escenarios!$E$14&gt;0,MAX(0,Constantes!$E$36/((Z137+R138+S138+T138+Observaciones!$F137)^2)+Entradas!$E$77),0)</f>
        <v>0</v>
      </c>
      <c r="V138" s="146">
        <f>IF(ETo!D137&gt;0,ETo!I137*((1-Entradas!$E$81)*ETo!K137+ETo!L137),0)</f>
        <v>2.6384676130224882</v>
      </c>
      <c r="W138" s="170">
        <f>IF(Escenarios!$E$14&gt;0,MIN(V138*1,0.8*(Z137+R138+S138+T138+Observaciones!$F137-U138-Constantes!$E$35)),0)</f>
        <v>1.280002336210373E-3</v>
      </c>
      <c r="X138" s="170">
        <f>IF(Escenarios!$E$14&gt;0,Observaciones!$J137,0)</f>
        <v>0</v>
      </c>
      <c r="Y138" s="170">
        <f>IF(Escenarios!$E$14&gt;0,MAX(0,Z137+R138+S138+T138+Observaciones!$F137-U138-W138-X138-Constantes!$E$33),0)</f>
        <v>0</v>
      </c>
      <c r="Z138" s="170">
        <f>Z137+R138+S138+T138+Observaciones!$F137-U138-W138-Y138</f>
        <v>41.250320000584054</v>
      </c>
      <c r="AA138" s="170">
        <f>IF(Escenarios!$E$14&gt;0,(Escenarios!$E$13*L138+Escenarios!$E$14*W138)/(Escenarios!$E$16),L138)</f>
        <v>8.5537683266304868E-4</v>
      </c>
      <c r="AB138" s="170">
        <f>IF(Escenarios!$E$14&gt;0,(Escenarios!$E$14*Y138)/(Escenarios!$E$16),K138)</f>
        <v>0</v>
      </c>
      <c r="AC138" s="170">
        <f>IF(Escenarios!$E$14&gt;0,(Escenarios!$E$13*M138+Escenarios!$E$14*U138)/(Escenarios!$E$16),M138)</f>
        <v>0</v>
      </c>
      <c r="AD138" s="76">
        <f t="shared" si="29"/>
        <v>132.73360173053479</v>
      </c>
      <c r="AE138" s="76">
        <f>MAX(0,(AD138-Constantes!$D$13)*(1-EXP(-Constantes!$D$23)))</f>
        <v>0.82751043118643686</v>
      </c>
      <c r="AF138" s="76">
        <f>AB138+O138*Escenarios!$E$13/Escenarios!$E$16+AE138</f>
        <v>0.82751043118643686</v>
      </c>
      <c r="AG138" s="76">
        <f>IF(Entradas!$E$91&gt;0,IF(AF138-Escenarios!$E$38&lt;=0,0,IF(AF138-Escenarios!$E$38&gt;Escenarios!$E$37,Escenarios!$E$37,AF138-Escenarios!$E$38)),0)</f>
        <v>0</v>
      </c>
      <c r="AH138" s="76">
        <f>AG138*Entradas!$E$99</f>
        <v>0</v>
      </c>
      <c r="AI138" s="76">
        <f>IF(Entradas!$E$91&gt;0,D138*Entradas!$D$23/Escenarios!$E$16,0)</f>
        <v>0</v>
      </c>
      <c r="AJ138" s="76">
        <f>IF(Entradas!$E$91&gt;0,Entradas!$D$24*Entradas!$D$22/Escenarios!$E$16,0)</f>
        <v>0</v>
      </c>
      <c r="AK138" s="76">
        <f t="shared" si="38"/>
        <v>8.5537683266304868E-4</v>
      </c>
      <c r="AL138" s="76">
        <f t="shared" si="39"/>
        <v>0</v>
      </c>
      <c r="AM138" s="76">
        <f t="shared" si="30"/>
        <v>0</v>
      </c>
      <c r="AN138" s="76">
        <f>MAX(0,O138*Escenarios!$E$13/Escenarios!$E$16-AM138)</f>
        <v>0</v>
      </c>
      <c r="AO138" s="76">
        <f>AM138+AN138-O138*Escenarios!$E$13/Escenarios!$E$16</f>
        <v>0</v>
      </c>
      <c r="AP138" s="76">
        <f t="shared" si="28"/>
        <v>0.82751043118643686</v>
      </c>
      <c r="AQ138" s="76">
        <f t="shared" si="31"/>
        <v>0</v>
      </c>
      <c r="AR138" s="76">
        <f t="shared" si="32"/>
        <v>0.82751043118643686</v>
      </c>
      <c r="AS138" s="76">
        <f t="shared" si="33"/>
        <v>0</v>
      </c>
      <c r="AT138" s="76">
        <f t="shared" si="34"/>
        <v>0</v>
      </c>
      <c r="AU138" s="76">
        <f t="shared" si="35"/>
        <v>48.75</v>
      </c>
      <c r="AV138" s="76">
        <f>MAX(0,(AU138-Constantes!$D$13)*(1-EXP(-Constantes!$D$24)))</f>
        <v>0</v>
      </c>
      <c r="AW138" s="170">
        <f>AW137+(Entradas!$E$112*AT138-AX137)/(800*Entradas!$D$25)</f>
        <v>0</v>
      </c>
      <c r="AX138" s="170">
        <f>8000*Entradas!$D$26*AW138/Constantes!$E$45</f>
        <v>0</v>
      </c>
      <c r="AY138" s="170">
        <f>IF(Escenarios!$E$17&gt;0,10*Escenarios!$E$16*AL138,0)</f>
        <v>0</v>
      </c>
      <c r="AZ138" s="170">
        <f>IF(Escenarios!$E$17&gt;0,10*Escenarios!$E$16*AX138,0)</f>
        <v>0</v>
      </c>
      <c r="BA138" s="170">
        <f>IF(Escenarios!$E$17&gt;0,0.001*Observaciones!$F137*Escenarios!$E$17,0)</f>
        <v>0</v>
      </c>
      <c r="BB138" s="170">
        <f>IF(Escenarios!$E$17&gt;0,Observaciones!$K137,0)</f>
        <v>0</v>
      </c>
      <c r="BC138" s="170">
        <f>IF(Escenarios!$E$17&gt;0,MIN(0.0005*ETo!$M137*Escenarios!$E$17*(BG137/Constantes!$E$40)^(2/3),BG137+AY138+AZ138+BA138+BB138),0)</f>
        <v>17.143811482179522</v>
      </c>
      <c r="BD138" s="170">
        <f>IF(Escenarios!$E$17&gt;0,MIN(Constantes!$E$39*(BG137/Constantes!$E$40)^(2/3),BG137+AY138+AZ138+BA138+BB138-BC138),0)</f>
        <v>40.807719063203649</v>
      </c>
      <c r="BE138" s="170">
        <f>IF(Escenarios!$E$17&gt;0,MIN(Entradas!$E$113,BG137+AY138+AZ138+BA138+BB138-BC138-BD138),0)</f>
        <v>1</v>
      </c>
      <c r="BF138" s="170">
        <f>IF(Escenarios!$E$17&gt;0,MAX(0,BG137+AY138+AZ138+BA138+BB138-BC138-BD138-BE138-Constantes!$E$40),0)</f>
        <v>0</v>
      </c>
      <c r="BG138" s="170">
        <f t="shared" si="40"/>
        <v>2369.8232319671952</v>
      </c>
      <c r="BH138" s="170">
        <f>(Escenarios!$E$16*AK138+0.1*BC138)/(Escenarios!$E$19)</f>
        <v>7.6516879221575967E-3</v>
      </c>
      <c r="BI138" s="170">
        <f>IF(Escenarios!$E$17&gt;0,BF138/10/Escenarios!$E$19,AL138)</f>
        <v>0</v>
      </c>
      <c r="BJ138" s="170">
        <f>(Escenarios!$E$16*AT138+0.1*BD138)/(Escenarios!$E$19)</f>
        <v>1.6193539310795098E-2</v>
      </c>
      <c r="BK138" s="76">
        <f>BK137+(0.1*BD138)/(Escenarios!$E$19)-BL137</f>
        <v>50.329945307087826</v>
      </c>
      <c r="BL138" s="76">
        <f>MAX(0,(BK138-Constantes!$D$13)*(1-EXP(-Constantes!$D$23)))</f>
        <v>1.5567577424389998E-2</v>
      </c>
      <c r="BM138" s="76">
        <f t="shared" si="36"/>
        <v>0.84307800861082682</v>
      </c>
      <c r="BN138" s="76">
        <f t="shared" si="41"/>
        <v>0.84307800861082682</v>
      </c>
      <c r="BO138" s="76">
        <f>0.0526*BI138*Observaciones!$F137^1.218</f>
        <v>0</v>
      </c>
      <c r="BP138" s="76">
        <f>BO138*Constantes!$E$51</f>
        <v>0</v>
      </c>
      <c r="BQ138" s="76">
        <f t="shared" si="37"/>
        <v>0</v>
      </c>
      <c r="BR138" s="40"/>
    </row>
    <row r="139" spans="1:70">
      <c r="A139" s="147"/>
      <c r="B139" s="39"/>
      <c r="C139" s="75">
        <v>133</v>
      </c>
      <c r="D139" s="146">
        <f>ETo!$I138*((1-Constantes!$E$19)*ETo!$K138+ETo!$L138)</f>
        <v>2.8607036034068472</v>
      </c>
      <c r="E139" s="76">
        <f>MIN(D139*Constantes!$E$17,0.8*(N138+Observaciones!$F138-F139-M139-Constantes!$D$14))</f>
        <v>-1.1517235601259302E-2</v>
      </c>
      <c r="F139" s="76">
        <f>IF(Observaciones!$F138&gt;0.05*Constantes!$E$18,((Observaciones!$F138-0.05*Constantes!$E$18)^2)/(Observaciones!$F138+0.95*Constantes!$E$18),0)</f>
        <v>0</v>
      </c>
      <c r="G139" s="76">
        <f>IF(Escenarios!$E$11&gt;0,(F139*Escenarios!$E$16*10000)/1000,0)</f>
        <v>0</v>
      </c>
      <c r="H139" s="76">
        <f>IF(Escenarios!$E$11&gt;0,(Observaciones!$F138*Constantes!$E$29)/1000,0)</f>
        <v>0</v>
      </c>
      <c r="I139" s="76">
        <f>IF(Escenarios!$E$11&gt;0,(D139*Constantes!$E$29)/1000,0)</f>
        <v>28.607036034068472</v>
      </c>
      <c r="J139" s="76">
        <f>IF(Escenarios!$E$11&gt;0,MAX(0,G139+H139-I139),0)</f>
        <v>0</v>
      </c>
      <c r="K139" s="76">
        <f>IF(Escenarios!$E$11&gt;0,IF(J139&gt;Constantes!$E$30,1000*((J139-Constantes!$E$30)/(Escenarios!$E$16*10000)),0),F139)</f>
        <v>0</v>
      </c>
      <c r="L139" s="76">
        <f>IF(Escenarios!$E$11&gt;0,I139*1000/Escenarios!$E$16/10000+E139,E139)</f>
        <v>-7.4421187631913341E-5</v>
      </c>
      <c r="M139" s="76">
        <f>MAX(0,N138+Observaciones!$F138-K139-Constantes!$D$13)</f>
        <v>0</v>
      </c>
      <c r="N139" s="76">
        <f>N138+Observaciones!$F138-K139-L139-M139-O138</f>
        <v>11.235677876686058</v>
      </c>
      <c r="O139" s="76">
        <f>MAX(0,(N139-Constantes!$D$14)*(1-EXP(-Constantes!$D$22)))</f>
        <v>0</v>
      </c>
      <c r="P139" s="170">
        <f>P138+(Entradas!$E$83*M139-Q138)/(800*Entradas!$D$25)</f>
        <v>0</v>
      </c>
      <c r="Q139" s="170">
        <f>8000*Entradas!$D$26*P139/Constantes!$E$45</f>
        <v>0</v>
      </c>
      <c r="R139" s="170">
        <f>IF(Escenarios!$E$14&gt;0,K139*Escenarios!$E$13/Escenarios!$E$14,0)</f>
        <v>0</v>
      </c>
      <c r="S139" s="170">
        <f>IF(Escenarios!$E$14&gt;0,Q139*Escenarios!$E$13/Escenarios!$E$14,0)</f>
        <v>0</v>
      </c>
      <c r="T139" s="170">
        <f>IF(Escenarios!$E$14&gt;0,Observaciones!$I138,0)</f>
        <v>0</v>
      </c>
      <c r="U139" s="170">
        <f>IF(Escenarios!$E$14&gt;0,MAX(0,Constantes!$E$36/((Z138+R139+S139+T139+Observaciones!$F138)^2)+Entradas!$E$77),0)</f>
        <v>0</v>
      </c>
      <c r="V139" s="146">
        <f>IF(ETo!D138&gt;0,ETo!I138*((1-Entradas!$E$81)*ETo!K138+ETo!L138),0)</f>
        <v>2.5847216179997323</v>
      </c>
      <c r="W139" s="170">
        <f>IF(Escenarios!$E$14&gt;0,MIN(V139*1,0.8*(Z138+R139+S139+T139+Observaciones!$F138-U139-Constantes!$E$35)),0)</f>
        <v>2.5600046724321145E-4</v>
      </c>
      <c r="X139" s="170">
        <f>IF(Escenarios!$E$14&gt;0,Observaciones!$J138,0)</f>
        <v>0</v>
      </c>
      <c r="Y139" s="170">
        <f>IF(Escenarios!$E$14&gt;0,MAX(0,Z138+R139+S139+T139+Observaciones!$F138-U139-W139-X139-Constantes!$E$33),0)</f>
        <v>0</v>
      </c>
      <c r="Z139" s="170">
        <f>Z138+R139+S139+T139+Observaciones!$F138-U139-W139-Y139</f>
        <v>41.250064000116808</v>
      </c>
      <c r="AA139" s="170">
        <f>IF(Escenarios!$E$14&gt;0,(Escenarios!$E$13*L139+Escenarios!$E$14*W139)/(Escenarios!$E$16),L139)</f>
        <v>-3.4770589046898363E-5</v>
      </c>
      <c r="AB139" s="170">
        <f>IF(Escenarios!$E$14&gt;0,(Escenarios!$E$14*Y139)/(Escenarios!$E$16),K139)</f>
        <v>0</v>
      </c>
      <c r="AC139" s="170">
        <f>IF(Escenarios!$E$14&gt;0,(Escenarios!$E$13*M139+Escenarios!$E$14*U139)/(Escenarios!$E$16),M139)</f>
        <v>0</v>
      </c>
      <c r="AD139" s="76">
        <f t="shared" si="29"/>
        <v>131.90609129934836</v>
      </c>
      <c r="AE139" s="76">
        <f>MAX(0,(AD139-Constantes!$D$13)*(1-EXP(-Constantes!$D$23)))</f>
        <v>0.81935677381032812</v>
      </c>
      <c r="AF139" s="76">
        <f>AB139+O139*Escenarios!$E$13/Escenarios!$E$16+AE139</f>
        <v>0.81935677381032812</v>
      </c>
      <c r="AG139" s="76">
        <f>IF(Entradas!$E$91&gt;0,IF(AF139-Escenarios!$E$38&lt;=0,0,IF(AF139-Escenarios!$E$38&gt;Escenarios!$E$37,Escenarios!$E$37,AF139-Escenarios!$E$38)),0)</f>
        <v>0</v>
      </c>
      <c r="AH139" s="76">
        <f>AG139*Entradas!$E$99</f>
        <v>0</v>
      </c>
      <c r="AI139" s="76">
        <f>IF(Entradas!$E$91&gt;0,D139*Entradas!$D$23/Escenarios!$E$16,0)</f>
        <v>0</v>
      </c>
      <c r="AJ139" s="76">
        <f>IF(Entradas!$E$91&gt;0,Entradas!$D$24*Entradas!$D$22/Escenarios!$E$16,0)</f>
        <v>0</v>
      </c>
      <c r="AK139" s="76">
        <f t="shared" si="38"/>
        <v>-3.4770589046898363E-5</v>
      </c>
      <c r="AL139" s="76">
        <f t="shared" si="39"/>
        <v>0</v>
      </c>
      <c r="AM139" s="76">
        <f t="shared" si="30"/>
        <v>0</v>
      </c>
      <c r="AN139" s="76">
        <f>MAX(0,O139*Escenarios!$E$13/Escenarios!$E$16-AM139)</f>
        <v>0</v>
      </c>
      <c r="AO139" s="76">
        <f>AM139+AN139-O139*Escenarios!$E$13/Escenarios!$E$16</f>
        <v>0</v>
      </c>
      <c r="AP139" s="76">
        <f t="shared" si="28"/>
        <v>0.81935677381032812</v>
      </c>
      <c r="AQ139" s="76">
        <f t="shared" si="31"/>
        <v>0</v>
      </c>
      <c r="AR139" s="76">
        <f t="shared" si="32"/>
        <v>0.81935677381032812</v>
      </c>
      <c r="AS139" s="76">
        <f t="shared" si="33"/>
        <v>0</v>
      </c>
      <c r="AT139" s="76">
        <f t="shared" si="34"/>
        <v>0</v>
      </c>
      <c r="AU139" s="76">
        <f t="shared" si="35"/>
        <v>48.75</v>
      </c>
      <c r="AV139" s="76">
        <f>MAX(0,(AU139-Constantes!$D$13)*(1-EXP(-Constantes!$D$24)))</f>
        <v>0</v>
      </c>
      <c r="AW139" s="170">
        <f>AW138+(Entradas!$E$112*AT139-AX138)/(800*Entradas!$D$25)</f>
        <v>0</v>
      </c>
      <c r="AX139" s="170">
        <f>8000*Entradas!$D$26*AW139/Constantes!$E$45</f>
        <v>0</v>
      </c>
      <c r="AY139" s="170">
        <f>IF(Escenarios!$E$17&gt;0,10*Escenarios!$E$16*AL139,0)</f>
        <v>0</v>
      </c>
      <c r="AZ139" s="170">
        <f>IF(Escenarios!$E$17&gt;0,10*Escenarios!$E$16*AX139,0)</f>
        <v>0</v>
      </c>
      <c r="BA139" s="170">
        <f>IF(Escenarios!$E$17&gt;0,0.001*Observaciones!$F138*Escenarios!$E$17,0)</f>
        <v>0</v>
      </c>
      <c r="BB139" s="170">
        <f>IF(Escenarios!$E$17&gt;0,Observaciones!$K138,0)</f>
        <v>0</v>
      </c>
      <c r="BC139" s="170">
        <f>IF(Escenarios!$E$17&gt;0,MIN(0.0005*ETo!$M138*Escenarios!$E$17*(BG138/Constantes!$E$40)^(2/3),BG138+AY139+AZ139+BA139+BB139),0)</f>
        <v>16.534441255871553</v>
      </c>
      <c r="BD139" s="170">
        <f>IF(Escenarios!$E$17&gt;0,MIN(Constantes!$E$39*(BG138/Constantes!$E$40)^(2/3),BG138+AY139+AZ139+BA139+BB139-BC139),0)</f>
        <v>40.144691804472174</v>
      </c>
      <c r="BE139" s="170">
        <f>IF(Escenarios!$E$17&gt;0,MIN(Entradas!$E$113,BG138+AY139+AZ139+BA139+BB139-BC139-BD139),0)</f>
        <v>1</v>
      </c>
      <c r="BF139" s="170">
        <f>IF(Escenarios!$E$17&gt;0,MAX(0,BG138+AY139+AZ139+BA139+BB139-BC139-BD139-BE139-Constantes!$E$40),0)</f>
        <v>0</v>
      </c>
      <c r="BG139" s="170">
        <f t="shared" si="40"/>
        <v>2312.1440989068515</v>
      </c>
      <c r="BH139" s="170">
        <f>(Escenarios!$E$16*AK139+0.1*BC139)/(Escenarios!$E$19)</f>
        <v>6.5267915806564705E-3</v>
      </c>
      <c r="BI139" s="170">
        <f>IF(Escenarios!$E$17&gt;0,BF139/10/Escenarios!$E$19,AL139)</f>
        <v>0</v>
      </c>
      <c r="BJ139" s="170">
        <f>(Escenarios!$E$16*AT139+0.1*BD139)/(Escenarios!$E$19)</f>
        <v>1.5930433255742924E-2</v>
      </c>
      <c r="BK139" s="76">
        <f>BK138+(0.1*BD139)/(Escenarios!$E$19)-BL138</f>
        <v>50.330308162919174</v>
      </c>
      <c r="BL139" s="76">
        <f>MAX(0,(BK139-Constantes!$D$13)*(1-EXP(-Constantes!$D$23)))</f>
        <v>1.5571152729321795E-2</v>
      </c>
      <c r="BM139" s="76">
        <f t="shared" si="36"/>
        <v>0.83492792653964987</v>
      </c>
      <c r="BN139" s="76">
        <f t="shared" si="41"/>
        <v>0.83492792653964987</v>
      </c>
      <c r="BO139" s="76">
        <f>0.0526*BI139*Observaciones!$F138^1.218</f>
        <v>0</v>
      </c>
      <c r="BP139" s="76">
        <f>BO139*Constantes!$E$51</f>
        <v>0</v>
      </c>
      <c r="BQ139" s="76">
        <f t="shared" si="37"/>
        <v>0</v>
      </c>
      <c r="BR139" s="40"/>
    </row>
    <row r="140" spans="1:70">
      <c r="A140" s="147"/>
      <c r="B140" s="39"/>
      <c r="C140" s="75">
        <v>134</v>
      </c>
      <c r="D140" s="146">
        <f>ETo!$I139*((1-Constantes!$E$19)*ETo!$K139+ETo!$L139)</f>
        <v>2.8454302219981011</v>
      </c>
      <c r="E140" s="76">
        <f>MIN(D140*Constantes!$E$17,0.8*(N139+Observaciones!$F139-F140-M140-Constantes!$D$14))</f>
        <v>-1.1457698651153692E-2</v>
      </c>
      <c r="F140" s="76">
        <f>IF(Observaciones!$F139&gt;0.05*Constantes!$E$18,((Observaciones!$F139-0.05*Constantes!$E$18)^2)/(Observaciones!$F139+0.95*Constantes!$E$18),0)</f>
        <v>0</v>
      </c>
      <c r="G140" s="76">
        <f>IF(Escenarios!$E$11&gt;0,(F140*Escenarios!$E$16*10000)/1000,0)</f>
        <v>0</v>
      </c>
      <c r="H140" s="76">
        <f>IF(Escenarios!$E$11&gt;0,(Observaciones!$F139*Constantes!$E$29)/1000,0)</f>
        <v>0</v>
      </c>
      <c r="I140" s="76">
        <f>IF(Escenarios!$E$11&gt;0,(D140*Constantes!$E$29)/1000,0)</f>
        <v>28.45430221998101</v>
      </c>
      <c r="J140" s="76">
        <f>IF(Escenarios!$E$11&gt;0,MAX(0,G140+H140-I140),0)</f>
        <v>0</v>
      </c>
      <c r="K140" s="76">
        <f>IF(Escenarios!$E$11&gt;0,IF(J140&gt;Constantes!$E$30,1000*((J140-Constantes!$E$30)/(Escenarios!$E$16*10000)),0),F140)</f>
        <v>0</v>
      </c>
      <c r="L140" s="76">
        <f>IF(Escenarios!$E$11&gt;0,I140*1000/Escenarios!$E$16/10000+E140,E140)</f>
        <v>-7.5977763161289014E-5</v>
      </c>
      <c r="M140" s="76">
        <f>MAX(0,N139+Observaciones!$F139-K140-Constantes!$D$13)</f>
        <v>0</v>
      </c>
      <c r="N140" s="76">
        <f>N139+Observaciones!$F139-K140-L140-M140-O139</f>
        <v>11.23575385444922</v>
      </c>
      <c r="O140" s="76">
        <f>MAX(0,(N140-Constantes!$D$14)*(1-EXP(-Constantes!$D$22)))</f>
        <v>0</v>
      </c>
      <c r="P140" s="170">
        <f>P139+(Entradas!$E$83*M140-Q139)/(800*Entradas!$D$25)</f>
        <v>0</v>
      </c>
      <c r="Q140" s="170">
        <f>8000*Entradas!$D$26*P140/Constantes!$E$45</f>
        <v>0</v>
      </c>
      <c r="R140" s="170">
        <f>IF(Escenarios!$E$14&gt;0,K140*Escenarios!$E$13/Escenarios!$E$14,0)</f>
        <v>0</v>
      </c>
      <c r="S140" s="170">
        <f>IF(Escenarios!$E$14&gt;0,Q140*Escenarios!$E$13/Escenarios!$E$14,0)</f>
        <v>0</v>
      </c>
      <c r="T140" s="170">
        <f>IF(Escenarios!$E$14&gt;0,Observaciones!$I139,0)</f>
        <v>0</v>
      </c>
      <c r="U140" s="170">
        <f>IF(Escenarios!$E$14&gt;0,MAX(0,Constantes!$E$36/((Z139+R140+S140+T140+Observaciones!$F139)^2)+Entradas!$E$77),0)</f>
        <v>0</v>
      </c>
      <c r="V140" s="146">
        <f>IF(ETo!D139&gt;0,ETo!I139*((1-Entradas!$E$81)*ETo!K139+ETo!L139),0)</f>
        <v>2.570420699077685</v>
      </c>
      <c r="W140" s="170">
        <f>IF(Escenarios!$E$14&gt;0,MIN(V140*1,0.8*(Z139+R140+S140+T140+Observaciones!$F139-U140-Constantes!$E$35)),0)</f>
        <v>5.1200093446368561E-5</v>
      </c>
      <c r="X140" s="170">
        <f>IF(Escenarios!$E$14&gt;0,Observaciones!$J139,0)</f>
        <v>0</v>
      </c>
      <c r="Y140" s="170">
        <f>IF(Escenarios!$E$14&gt;0,MAX(0,Z139+R140+S140+T140+Observaciones!$F139-U140-W140-X140-Constantes!$E$33),0)</f>
        <v>0</v>
      </c>
      <c r="Z140" s="170">
        <f>Z139+R140+S140+T140+Observaciones!$F139-U140-W140-Y140</f>
        <v>41.250012800023363</v>
      </c>
      <c r="AA140" s="170">
        <f>IF(Escenarios!$E$14&gt;0,(Escenarios!$E$13*L140+Escenarios!$E$14*W140)/(Escenarios!$E$16),L140)</f>
        <v>-6.0716420368370104E-5</v>
      </c>
      <c r="AB140" s="170">
        <f>IF(Escenarios!$E$14&gt;0,(Escenarios!$E$14*Y140)/(Escenarios!$E$16),K140)</f>
        <v>0</v>
      </c>
      <c r="AC140" s="170">
        <f>IF(Escenarios!$E$14&gt;0,(Escenarios!$E$13*M140+Escenarios!$E$14*U140)/(Escenarios!$E$16),M140)</f>
        <v>0</v>
      </c>
      <c r="AD140" s="76">
        <f t="shared" si="29"/>
        <v>131.08673452553802</v>
      </c>
      <c r="AE140" s="76">
        <f>MAX(0,(AD140-Constantes!$D$13)*(1-EXP(-Constantes!$D$23)))</f>
        <v>0.81128345636239585</v>
      </c>
      <c r="AF140" s="76">
        <f>AB140+O140*Escenarios!$E$13/Escenarios!$E$16+AE140</f>
        <v>0.81128345636239585</v>
      </c>
      <c r="AG140" s="76">
        <f>IF(Entradas!$E$91&gt;0,IF(AF140-Escenarios!$E$38&lt;=0,0,IF(AF140-Escenarios!$E$38&gt;Escenarios!$E$37,Escenarios!$E$37,AF140-Escenarios!$E$38)),0)</f>
        <v>0</v>
      </c>
      <c r="AH140" s="76">
        <f>AG140*Entradas!$E$99</f>
        <v>0</v>
      </c>
      <c r="AI140" s="76">
        <f>IF(Entradas!$E$91&gt;0,D140*Entradas!$D$23/Escenarios!$E$16,0)</f>
        <v>0</v>
      </c>
      <c r="AJ140" s="76">
        <f>IF(Entradas!$E$91&gt;0,Entradas!$D$24*Entradas!$D$22/Escenarios!$E$16,0)</f>
        <v>0</v>
      </c>
      <c r="AK140" s="76">
        <f t="shared" si="38"/>
        <v>-6.0716420368370104E-5</v>
      </c>
      <c r="AL140" s="76">
        <f t="shared" si="39"/>
        <v>0</v>
      </c>
      <c r="AM140" s="76">
        <f t="shared" si="30"/>
        <v>0</v>
      </c>
      <c r="AN140" s="76">
        <f>MAX(0,O140*Escenarios!$E$13/Escenarios!$E$16-AM140)</f>
        <v>0</v>
      </c>
      <c r="AO140" s="76">
        <f>AM140+AN140-O140*Escenarios!$E$13/Escenarios!$E$16</f>
        <v>0</v>
      </c>
      <c r="AP140" s="76">
        <f t="shared" si="28"/>
        <v>0.81128345636239585</v>
      </c>
      <c r="AQ140" s="76">
        <f t="shared" si="31"/>
        <v>0</v>
      </c>
      <c r="AR140" s="76">
        <f t="shared" si="32"/>
        <v>0.81128345636239585</v>
      </c>
      <c r="AS140" s="76">
        <f t="shared" si="33"/>
        <v>0</v>
      </c>
      <c r="AT140" s="76">
        <f t="shared" si="34"/>
        <v>0</v>
      </c>
      <c r="AU140" s="76">
        <f t="shared" si="35"/>
        <v>48.75</v>
      </c>
      <c r="AV140" s="76">
        <f>MAX(0,(AU140-Constantes!$D$13)*(1-EXP(-Constantes!$D$24)))</f>
        <v>0</v>
      </c>
      <c r="AW140" s="170">
        <f>AW139+(Entradas!$E$112*AT140-AX139)/(800*Entradas!$D$25)</f>
        <v>0</v>
      </c>
      <c r="AX140" s="170">
        <f>8000*Entradas!$D$26*AW140/Constantes!$E$45</f>
        <v>0</v>
      </c>
      <c r="AY140" s="170">
        <f>IF(Escenarios!$E$17&gt;0,10*Escenarios!$E$16*AL140,0)</f>
        <v>0</v>
      </c>
      <c r="AZ140" s="170">
        <f>IF(Escenarios!$E$17&gt;0,10*Escenarios!$E$16*AX140,0)</f>
        <v>0</v>
      </c>
      <c r="BA140" s="170">
        <f>IF(Escenarios!$E$17&gt;0,0.001*Observaciones!$F139*Escenarios!$E$17,0)</f>
        <v>0</v>
      </c>
      <c r="BB140" s="170">
        <f>IF(Escenarios!$E$17&gt;0,Observaciones!$K139,0)</f>
        <v>0</v>
      </c>
      <c r="BC140" s="170">
        <f>IF(Escenarios!$E$17&gt;0,MIN(0.0005*ETo!$M139*Escenarios!$E$17*(BG139/Constantes!$E$40)^(2/3),BG139+AY140+AZ140+BA140+BB140),0)</f>
        <v>16.182105135244221</v>
      </c>
      <c r="BD140" s="170">
        <f>IF(Escenarios!$E$17&gt;0,MIN(Constantes!$E$39*(BG139/Constantes!$E$40)^(2/3),BG139+AY140+AZ140+BA140+BB140-BC140),0)</f>
        <v>39.490632623331457</v>
      </c>
      <c r="BE140" s="170">
        <f>IF(Escenarios!$E$17&gt;0,MIN(Entradas!$E$113,BG139+AY140+AZ140+BA140+BB140-BC140-BD140),0)</f>
        <v>1</v>
      </c>
      <c r="BF140" s="170">
        <f>IF(Escenarios!$E$17&gt;0,MAX(0,BG139+AY140+AZ140+BA140+BB140-BC140-BD140-BE140-Constantes!$E$40),0)</f>
        <v>0</v>
      </c>
      <c r="BG140" s="170">
        <f t="shared" si="40"/>
        <v>2255.4713611482762</v>
      </c>
      <c r="BH140" s="170">
        <f>(Escenarios!$E$16*AK140+0.1*BC140)/(Escenarios!$E$19)</f>
        <v>6.3612357477473404E-3</v>
      </c>
      <c r="BI140" s="170">
        <f>IF(Escenarios!$E$17&gt;0,BF140/10/Escenarios!$E$19,AL140)</f>
        <v>0</v>
      </c>
      <c r="BJ140" s="170">
        <f>(Escenarios!$E$16*AT140+0.1*BD140)/(Escenarios!$E$19)</f>
        <v>1.5670885961639468E-2</v>
      </c>
      <c r="BK140" s="76">
        <f>BK139+(0.1*BD140)/(Escenarios!$E$19)-BL139</f>
        <v>50.330407896151492</v>
      </c>
      <c r="BL140" s="76">
        <f>MAX(0,(BK140-Constantes!$D$13)*(1-EXP(-Constantes!$D$23)))</f>
        <v>1.5572135424614431E-2</v>
      </c>
      <c r="BM140" s="76">
        <f t="shared" si="36"/>
        <v>0.82685559178701029</v>
      </c>
      <c r="BN140" s="76">
        <f t="shared" si="41"/>
        <v>0.82685559178701029</v>
      </c>
      <c r="BO140" s="76">
        <f>0.0526*BI140*Observaciones!$F139^1.218</f>
        <v>0</v>
      </c>
      <c r="BP140" s="76">
        <f>BO140*Constantes!$E$51</f>
        <v>0</v>
      </c>
      <c r="BQ140" s="76">
        <f t="shared" si="37"/>
        <v>0</v>
      </c>
      <c r="BR140" s="40"/>
    </row>
    <row r="141" spans="1:70">
      <c r="A141" s="147"/>
      <c r="B141" s="39"/>
      <c r="C141" s="75">
        <v>135</v>
      </c>
      <c r="D141" s="146">
        <f>ETo!$I140*((1-Constantes!$E$19)*ETo!$K140+ETo!$L140)</f>
        <v>2.879287268750558</v>
      </c>
      <c r="E141" s="76">
        <f>MIN(D141*Constantes!$E$17,0.8*(N140+Observaciones!$F140-F141-M141-Constantes!$D$14))</f>
        <v>-1.1396916440624238E-2</v>
      </c>
      <c r="F141" s="76">
        <f>IF(Observaciones!$F140&gt;0.05*Constantes!$E$18,((Observaciones!$F140-0.05*Constantes!$E$18)^2)/(Observaciones!$F140+0.95*Constantes!$E$18),0)</f>
        <v>0</v>
      </c>
      <c r="G141" s="76">
        <f>IF(Escenarios!$E$11&gt;0,(F141*Escenarios!$E$16*10000)/1000,0)</f>
        <v>0</v>
      </c>
      <c r="H141" s="76">
        <f>IF(Escenarios!$E$11&gt;0,(Observaciones!$F140*Constantes!$E$29)/1000,0)</f>
        <v>0</v>
      </c>
      <c r="I141" s="76">
        <f>IF(Escenarios!$E$11&gt;0,(D141*Constantes!$E$29)/1000,0)</f>
        <v>28.792872687505579</v>
      </c>
      <c r="J141" s="76">
        <f>IF(Escenarios!$E$11&gt;0,MAX(0,G141+H141-I141),0)</f>
        <v>0</v>
      </c>
      <c r="K141" s="76">
        <f>IF(Escenarios!$E$11&gt;0,IF(J141&gt;Constantes!$E$30,1000*((J141-Constantes!$E$30)/(Escenarios!$E$16*10000)),0),F141)</f>
        <v>0</v>
      </c>
      <c r="L141" s="76">
        <f>IF(Escenarios!$E$11&gt;0,I141*1000/Escenarios!$E$16/10000+E141,E141)</f>
        <v>1.2023263437799248E-4</v>
      </c>
      <c r="M141" s="76">
        <f>MAX(0,N140+Observaciones!$F140-K141-Constantes!$D$13)</f>
        <v>0</v>
      </c>
      <c r="N141" s="76">
        <f>N140+Observaciones!$F140-K141-L141-M141-O140</f>
        <v>11.235633621814841</v>
      </c>
      <c r="O141" s="76">
        <f>MAX(0,(N141-Constantes!$D$14)*(1-EXP(-Constantes!$D$22)))</f>
        <v>0</v>
      </c>
      <c r="P141" s="170">
        <f>P140+(Entradas!$E$83*M141-Q140)/(800*Entradas!$D$25)</f>
        <v>0</v>
      </c>
      <c r="Q141" s="170">
        <f>8000*Entradas!$D$26*P141/Constantes!$E$45</f>
        <v>0</v>
      </c>
      <c r="R141" s="170">
        <f>IF(Escenarios!$E$14&gt;0,K141*Escenarios!$E$13/Escenarios!$E$14,0)</f>
        <v>0</v>
      </c>
      <c r="S141" s="170">
        <f>IF(Escenarios!$E$14&gt;0,Q141*Escenarios!$E$13/Escenarios!$E$14,0)</f>
        <v>0</v>
      </c>
      <c r="T141" s="170">
        <f>IF(Escenarios!$E$14&gt;0,Observaciones!$I140,0)</f>
        <v>0</v>
      </c>
      <c r="U141" s="170">
        <f>IF(Escenarios!$E$14&gt;0,MAX(0,Constantes!$E$36/((Z140+R141+S141+T141+Observaciones!$F140)^2)+Entradas!$E$77),0)</f>
        <v>0</v>
      </c>
      <c r="V141" s="146">
        <f>IF(ETo!D140&gt;0,ETo!I140*((1-Entradas!$E$81)*ETo!K140+ETo!L140),0)</f>
        <v>2.6009632862083656</v>
      </c>
      <c r="W141" s="170">
        <f>IF(Escenarios!$E$14&gt;0,MIN(V141*1,0.8*(Z140+R141+S141+T141+Observaciones!$F140-U141-Constantes!$E$35)),0)</f>
        <v>1.024001869041058E-5</v>
      </c>
      <c r="X141" s="170">
        <f>IF(Escenarios!$E$14&gt;0,Observaciones!$J140,0)</f>
        <v>0</v>
      </c>
      <c r="Y141" s="170">
        <f>IF(Escenarios!$E$14&gt;0,MAX(0,Z140+R141+S141+T141+Observaciones!$F140-U141-W141-X141-Constantes!$E$33),0)</f>
        <v>0</v>
      </c>
      <c r="Z141" s="170">
        <f>Z140+R141+S141+T141+Observaciones!$F140-U141-W141-Y141</f>
        <v>41.250002560004674</v>
      </c>
      <c r="AA141" s="170">
        <f>IF(Escenarios!$E$14&gt;0,(Escenarios!$E$13*L141+Escenarios!$E$14*W141)/(Escenarios!$E$16),L141)</f>
        <v>1.0703352049548264E-4</v>
      </c>
      <c r="AB141" s="170">
        <f>IF(Escenarios!$E$14&gt;0,(Escenarios!$E$14*Y141)/(Escenarios!$E$16),K141)</f>
        <v>0</v>
      </c>
      <c r="AC141" s="170">
        <f>IF(Escenarios!$E$14&gt;0,(Escenarios!$E$13*M141+Escenarios!$E$14*U141)/(Escenarios!$E$16),M141)</f>
        <v>0</v>
      </c>
      <c r="AD141" s="76">
        <f t="shared" si="29"/>
        <v>130.27545106917563</v>
      </c>
      <c r="AE141" s="76">
        <f>MAX(0,(AD141-Constantes!$D$13)*(1-EXP(-Constantes!$D$23)))</f>
        <v>0.8032896872341927</v>
      </c>
      <c r="AF141" s="76">
        <f>AB141+O141*Escenarios!$E$13/Escenarios!$E$16+AE141</f>
        <v>0.8032896872341927</v>
      </c>
      <c r="AG141" s="76">
        <f>IF(Entradas!$E$91&gt;0,IF(AF141-Escenarios!$E$38&lt;=0,0,IF(AF141-Escenarios!$E$38&gt;Escenarios!$E$37,Escenarios!$E$37,AF141-Escenarios!$E$38)),0)</f>
        <v>0</v>
      </c>
      <c r="AH141" s="76">
        <f>AG141*Entradas!$E$99</f>
        <v>0</v>
      </c>
      <c r="AI141" s="76">
        <f>IF(Entradas!$E$91&gt;0,D141*Entradas!$D$23/Escenarios!$E$16,0)</f>
        <v>0</v>
      </c>
      <c r="AJ141" s="76">
        <f>IF(Entradas!$E$91&gt;0,Entradas!$D$24*Entradas!$D$22/Escenarios!$E$16,0)</f>
        <v>0</v>
      </c>
      <c r="AK141" s="76">
        <f t="shared" si="38"/>
        <v>1.0703352049548264E-4</v>
      </c>
      <c r="AL141" s="76">
        <f t="shared" si="39"/>
        <v>0</v>
      </c>
      <c r="AM141" s="76">
        <f t="shared" si="30"/>
        <v>0</v>
      </c>
      <c r="AN141" s="76">
        <f>MAX(0,O141*Escenarios!$E$13/Escenarios!$E$16-AM141)</f>
        <v>0</v>
      </c>
      <c r="AO141" s="76">
        <f>AM141+AN141-O141*Escenarios!$E$13/Escenarios!$E$16</f>
        <v>0</v>
      </c>
      <c r="AP141" s="76">
        <f t="shared" si="28"/>
        <v>0.8032896872341927</v>
      </c>
      <c r="AQ141" s="76">
        <f t="shared" si="31"/>
        <v>0</v>
      </c>
      <c r="AR141" s="76">
        <f t="shared" si="32"/>
        <v>0.8032896872341927</v>
      </c>
      <c r="AS141" s="76">
        <f t="shared" si="33"/>
        <v>0</v>
      </c>
      <c r="AT141" s="76">
        <f t="shared" si="34"/>
        <v>0</v>
      </c>
      <c r="AU141" s="76">
        <f t="shared" si="35"/>
        <v>48.75</v>
      </c>
      <c r="AV141" s="76">
        <f>MAX(0,(AU141-Constantes!$D$13)*(1-EXP(-Constantes!$D$24)))</f>
        <v>0</v>
      </c>
      <c r="AW141" s="170">
        <f>AW140+(Entradas!$E$112*AT141-AX140)/(800*Entradas!$D$25)</f>
        <v>0</v>
      </c>
      <c r="AX141" s="170">
        <f>8000*Entradas!$D$26*AW141/Constantes!$E$45</f>
        <v>0</v>
      </c>
      <c r="AY141" s="170">
        <f>IF(Escenarios!$E$17&gt;0,10*Escenarios!$E$16*AL141,0)</f>
        <v>0</v>
      </c>
      <c r="AZ141" s="170">
        <f>IF(Escenarios!$E$17&gt;0,10*Escenarios!$E$16*AX141,0)</f>
        <v>0</v>
      </c>
      <c r="BA141" s="170">
        <f>IF(Escenarios!$E$17&gt;0,0.001*Observaciones!$F140*Escenarios!$E$17,0)</f>
        <v>0</v>
      </c>
      <c r="BB141" s="170">
        <f>IF(Escenarios!$E$17&gt;0,Observaciones!$K140,0)</f>
        <v>0</v>
      </c>
      <c r="BC141" s="170">
        <f>IF(Escenarios!$E$17&gt;0,MIN(0.0005*ETo!$M140*Escenarios!$E$17*(BG140/Constantes!$E$40)^(2/3),BG140+AY141+AZ141+BA141+BB141),0)</f>
        <v>16.106297400611549</v>
      </c>
      <c r="BD141" s="170">
        <f>IF(Escenarios!$E$17&gt;0,MIN(Constantes!$E$39*(BG140/Constantes!$E$40)^(2/3),BG140+AY141+AZ141+BA141+BB141-BC141),0)</f>
        <v>38.842666650064487</v>
      </c>
      <c r="BE141" s="170">
        <f>IF(Escenarios!$E$17&gt;0,MIN(Entradas!$E$113,BG140+AY141+AZ141+BA141+BB141-BC141-BD141),0)</f>
        <v>1</v>
      </c>
      <c r="BF141" s="170">
        <f>IF(Escenarios!$E$17&gt;0,MAX(0,BG140+AY141+AZ141+BA141+BB141-BC141-BD141-BE141-Constantes!$E$40),0)</f>
        <v>0</v>
      </c>
      <c r="BG141" s="170">
        <f t="shared" si="40"/>
        <v>2199.5223970975999</v>
      </c>
      <c r="BH141" s="170">
        <f>(Escenarios!$E$16*AK141+0.1*BC141)/(Escenarios!$E$19)</f>
        <v>6.4975719054961335E-3</v>
      </c>
      <c r="BI141" s="170">
        <f>IF(Escenarios!$E$17&gt;0,BF141/10/Escenarios!$E$19,AL141)</f>
        <v>0</v>
      </c>
      <c r="BJ141" s="170">
        <f>(Escenarios!$E$16*AT141+0.1*BD141)/(Escenarios!$E$19)</f>
        <v>1.5413756607168448E-2</v>
      </c>
      <c r="BK141" s="76">
        <f>BK140+(0.1*BD141)/(Escenarios!$E$19)-BL140</f>
        <v>50.330249517334046</v>
      </c>
      <c r="BL141" s="76">
        <f>MAX(0,(BK141-Constantes!$D$13)*(1-EXP(-Constantes!$D$23)))</f>
        <v>1.5570574880403242E-2</v>
      </c>
      <c r="BM141" s="76">
        <f t="shared" si="36"/>
        <v>0.81886026211459595</v>
      </c>
      <c r="BN141" s="76">
        <f t="shared" si="41"/>
        <v>0.81886026211459595</v>
      </c>
      <c r="BO141" s="76">
        <f>0.0526*BI141*Observaciones!$F140^1.218</f>
        <v>0</v>
      </c>
      <c r="BP141" s="76">
        <f>BO141*Constantes!$E$51</f>
        <v>0</v>
      </c>
      <c r="BQ141" s="76">
        <f t="shared" si="37"/>
        <v>0</v>
      </c>
      <c r="BR141" s="40"/>
    </row>
    <row r="142" spans="1:70">
      <c r="A142" s="147"/>
      <c r="B142" s="39"/>
      <c r="C142" s="75">
        <v>136</v>
      </c>
      <c r="D142" s="146">
        <f>ETo!$I141*((1-Constantes!$E$19)*ETo!$K141+ETo!$L141)</f>
        <v>2.7994229691077526</v>
      </c>
      <c r="E142" s="76">
        <f>MIN(D142*Constantes!$E$17,0.8*(N141+Observaciones!$F141-F142-M142-Constantes!$D$14))</f>
        <v>-1.14931025481269E-2</v>
      </c>
      <c r="F142" s="76">
        <f>IF(Observaciones!$F141&gt;0.05*Constantes!$E$18,((Observaciones!$F141-0.05*Constantes!$E$18)^2)/(Observaciones!$F141+0.95*Constantes!$E$18),0)</f>
        <v>0</v>
      </c>
      <c r="G142" s="76">
        <f>IF(Escenarios!$E$11&gt;0,(F142*Escenarios!$E$16*10000)/1000,0)</f>
        <v>0</v>
      </c>
      <c r="H142" s="76">
        <f>IF(Escenarios!$E$11&gt;0,(Observaciones!$F141*Constantes!$E$29)/1000,0)</f>
        <v>0</v>
      </c>
      <c r="I142" s="76">
        <f>IF(Escenarios!$E$11&gt;0,(D142*Constantes!$E$29)/1000,0)</f>
        <v>27.994229691077525</v>
      </c>
      <c r="J142" s="76">
        <f>IF(Escenarios!$E$11&gt;0,MAX(0,G142+H142-I142),0)</f>
        <v>0</v>
      </c>
      <c r="K142" s="76">
        <f>IF(Escenarios!$E$11&gt;0,IF(J142&gt;Constantes!$E$30,1000*((J142-Constantes!$E$30)/(Escenarios!$E$16*10000)),0),F142)</f>
        <v>0</v>
      </c>
      <c r="L142" s="76">
        <f>IF(Escenarios!$E$11&gt;0,I142*1000/Escenarios!$E$16/10000+E142,E142)</f>
        <v>-2.954106716958893E-4</v>
      </c>
      <c r="M142" s="76">
        <f>MAX(0,N141+Observaciones!$F141-K142-Constantes!$D$13)</f>
        <v>0</v>
      </c>
      <c r="N142" s="76">
        <f>N141+Observaciones!$F141-K142-L142-M142-O141</f>
        <v>11.235929032486537</v>
      </c>
      <c r="O142" s="76">
        <f>MAX(0,(N142-Constantes!$D$14)*(1-EXP(-Constantes!$D$22)))</f>
        <v>0</v>
      </c>
      <c r="P142" s="170">
        <f>P141+(Entradas!$E$83*M142-Q141)/(800*Entradas!$D$25)</f>
        <v>0</v>
      </c>
      <c r="Q142" s="170">
        <f>8000*Entradas!$D$26*P142/Constantes!$E$45</f>
        <v>0</v>
      </c>
      <c r="R142" s="170">
        <f>IF(Escenarios!$E$14&gt;0,K142*Escenarios!$E$13/Escenarios!$E$14,0)</f>
        <v>0</v>
      </c>
      <c r="S142" s="170">
        <f>IF(Escenarios!$E$14&gt;0,Q142*Escenarios!$E$13/Escenarios!$E$14,0)</f>
        <v>0</v>
      </c>
      <c r="T142" s="170">
        <f>IF(Escenarios!$E$14&gt;0,Observaciones!$I141,0)</f>
        <v>0</v>
      </c>
      <c r="U142" s="170">
        <f>IF(Escenarios!$E$14&gt;0,MAX(0,Constantes!$E$36/((Z141+R142+S142+T142+Observaciones!$F141)^2)+Entradas!$E$77),0)</f>
        <v>0</v>
      </c>
      <c r="V142" s="146">
        <f>IF(ETo!D141&gt;0,ETo!I141*((1-Entradas!$E$81)*ETo!K141+ETo!L141),0)</f>
        <v>2.5277492252386637</v>
      </c>
      <c r="W142" s="170">
        <f>IF(Escenarios!$E$14&gt;0,MIN(V142*1,0.8*(Z141+R142+S142+T142+Observaciones!$F141-U142-Constantes!$E$35)),0)</f>
        <v>2.0480037392189845E-6</v>
      </c>
      <c r="X142" s="170">
        <f>IF(Escenarios!$E$14&gt;0,Observaciones!$J141,0)</f>
        <v>0</v>
      </c>
      <c r="Y142" s="170">
        <f>IF(Escenarios!$E$14&gt;0,MAX(0,Z141+R142+S142+T142+Observaciones!$F141-U142-W142-X142-Constantes!$E$33),0)</f>
        <v>0</v>
      </c>
      <c r="Z142" s="170">
        <f>Z141+R142+S142+T142+Observaciones!$F141-U142-W142-Y142</f>
        <v>41.250000512000938</v>
      </c>
      <c r="AA142" s="170">
        <f>IF(Escenarios!$E$14&gt;0,(Escenarios!$E$13*L142+Escenarios!$E$14*W142)/(Escenarios!$E$16),L142)</f>
        <v>-2.5971563064367632E-4</v>
      </c>
      <c r="AB142" s="170">
        <f>IF(Escenarios!$E$14&gt;0,(Escenarios!$E$14*Y142)/(Escenarios!$E$16),K142)</f>
        <v>0</v>
      </c>
      <c r="AC142" s="170">
        <f>IF(Escenarios!$E$14&gt;0,(Escenarios!$E$13*M142+Escenarios!$E$14*U142)/(Escenarios!$E$16),M142)</f>
        <v>0</v>
      </c>
      <c r="AD142" s="76">
        <f t="shared" si="29"/>
        <v>129.47216138194145</v>
      </c>
      <c r="AE142" s="76">
        <f>MAX(0,(AD142-Constantes!$D$13)*(1-EXP(-Constantes!$D$23)))</f>
        <v>0.79537468261717714</v>
      </c>
      <c r="AF142" s="76">
        <f>AB142+O142*Escenarios!$E$13/Escenarios!$E$16+AE142</f>
        <v>0.79537468261717714</v>
      </c>
      <c r="AG142" s="76">
        <f>IF(Entradas!$E$91&gt;0,IF(AF142-Escenarios!$E$38&lt;=0,0,IF(AF142-Escenarios!$E$38&gt;Escenarios!$E$37,Escenarios!$E$37,AF142-Escenarios!$E$38)),0)</f>
        <v>0</v>
      </c>
      <c r="AH142" s="76">
        <f>AG142*Entradas!$E$99</f>
        <v>0</v>
      </c>
      <c r="AI142" s="76">
        <f>IF(Entradas!$E$91&gt;0,D142*Entradas!$D$23/Escenarios!$E$16,0)</f>
        <v>0</v>
      </c>
      <c r="AJ142" s="76">
        <f>IF(Entradas!$E$91&gt;0,Entradas!$D$24*Entradas!$D$22/Escenarios!$E$16,0)</f>
        <v>0</v>
      </c>
      <c r="AK142" s="76">
        <f t="shared" si="38"/>
        <v>-2.5971563064367632E-4</v>
      </c>
      <c r="AL142" s="76">
        <f t="shared" si="39"/>
        <v>0</v>
      </c>
      <c r="AM142" s="76">
        <f t="shared" si="30"/>
        <v>0</v>
      </c>
      <c r="AN142" s="76">
        <f>MAX(0,O142*Escenarios!$E$13/Escenarios!$E$16-AM142)</f>
        <v>0</v>
      </c>
      <c r="AO142" s="76">
        <f>AM142+AN142-O142*Escenarios!$E$13/Escenarios!$E$16</f>
        <v>0</v>
      </c>
      <c r="AP142" s="76">
        <f t="shared" si="28"/>
        <v>0.79537468261717714</v>
      </c>
      <c r="AQ142" s="76">
        <f t="shared" si="31"/>
        <v>0</v>
      </c>
      <c r="AR142" s="76">
        <f t="shared" si="32"/>
        <v>0.79537468261717714</v>
      </c>
      <c r="AS142" s="76">
        <f t="shared" si="33"/>
        <v>0</v>
      </c>
      <c r="AT142" s="76">
        <f t="shared" si="34"/>
        <v>0</v>
      </c>
      <c r="AU142" s="76">
        <f t="shared" si="35"/>
        <v>48.75</v>
      </c>
      <c r="AV142" s="76">
        <f>MAX(0,(AU142-Constantes!$D$13)*(1-EXP(-Constantes!$D$24)))</f>
        <v>0</v>
      </c>
      <c r="AW142" s="170">
        <f>AW141+(Entradas!$E$112*AT142-AX141)/(800*Entradas!$D$25)</f>
        <v>0</v>
      </c>
      <c r="AX142" s="170">
        <f>8000*Entradas!$D$26*AW142/Constantes!$E$45</f>
        <v>0</v>
      </c>
      <c r="AY142" s="170">
        <f>IF(Escenarios!$E$17&gt;0,10*Escenarios!$E$16*AL142,0)</f>
        <v>0</v>
      </c>
      <c r="AZ142" s="170">
        <f>IF(Escenarios!$E$17&gt;0,10*Escenarios!$E$16*AX142,0)</f>
        <v>0</v>
      </c>
      <c r="BA142" s="170">
        <f>IF(Escenarios!$E$17&gt;0,0.001*Observaciones!$F141*Escenarios!$E$17,0)</f>
        <v>0</v>
      </c>
      <c r="BB142" s="170">
        <f>IF(Escenarios!$E$17&gt;0,Observaciones!$K141,0)</f>
        <v>0</v>
      </c>
      <c r="BC142" s="170">
        <f>IF(Escenarios!$E$17&gt;0,MIN(0.0005*ETo!$M141*Escenarios!$E$17*(BG141/Constantes!$E$40)^(2/3),BG141+AY142+AZ142+BA142+BB142),0)</f>
        <v>15.40753738746432</v>
      </c>
      <c r="BD142" s="170">
        <f>IF(Escenarios!$E$17&gt;0,MIN(Constantes!$E$39*(BG141/Constantes!$E$40)^(2/3),BG141+AY142+AZ142+BA142+BB142-BC142),0)</f>
        <v>38.197630101564073</v>
      </c>
      <c r="BE142" s="170">
        <f>IF(Escenarios!$E$17&gt;0,MIN(Entradas!$E$113,BG141+AY142+AZ142+BA142+BB142-BC142-BD142),0)</f>
        <v>1</v>
      </c>
      <c r="BF142" s="170">
        <f>IF(Escenarios!$E$17&gt;0,MAX(0,BG141+AY142+AZ142+BA142+BB142-BC142-BD142-BE142-Constantes!$E$40),0)</f>
        <v>0</v>
      </c>
      <c r="BG142" s="170">
        <f t="shared" si="40"/>
        <v>2144.9172296085717</v>
      </c>
      <c r="BH142" s="170">
        <f>(Escenarios!$E$16*AK142+0.1*BC142)/(Escenarios!$E$19)</f>
        <v>5.8564477424028301E-3</v>
      </c>
      <c r="BI142" s="170">
        <f>IF(Escenarios!$E$17&gt;0,BF142/10/Escenarios!$E$19,AL142)</f>
        <v>0</v>
      </c>
      <c r="BJ142" s="170">
        <f>(Escenarios!$E$16*AT142+0.1*BD142)/(Escenarios!$E$19)</f>
        <v>1.5157789722842886E-2</v>
      </c>
      <c r="BK142" s="76">
        <f>BK141+(0.1*BD142)/(Escenarios!$E$19)-BL141</f>
        <v>50.329836732176481</v>
      </c>
      <c r="BL142" s="76">
        <f>MAX(0,(BK142-Constantes!$D$13)*(1-EXP(-Constantes!$D$23)))</f>
        <v>1.5566507609927994E-2</v>
      </c>
      <c r="BM142" s="76">
        <f t="shared" si="36"/>
        <v>0.81094119022710509</v>
      </c>
      <c r="BN142" s="76">
        <f t="shared" si="41"/>
        <v>0.81094119022710509</v>
      </c>
      <c r="BO142" s="76">
        <f>0.0526*BI142*Observaciones!$F141^1.218</f>
        <v>0</v>
      </c>
      <c r="BP142" s="76">
        <f>BO142*Constantes!$E$51</f>
        <v>0</v>
      </c>
      <c r="BQ142" s="76">
        <f t="shared" si="37"/>
        <v>0</v>
      </c>
      <c r="BR142" s="40"/>
    </row>
    <row r="143" spans="1:70">
      <c r="A143" s="147"/>
      <c r="B143" s="39"/>
      <c r="C143" s="75">
        <v>137</v>
      </c>
      <c r="D143" s="146">
        <f>ETo!$I142*((1-Constantes!$E$19)*ETo!$K142+ETo!$L142)</f>
        <v>2.8268507071578686</v>
      </c>
      <c r="E143" s="76">
        <f>MIN(D143*Constantes!$E$17,0.8*(N142+Observaciones!$F142-F143-M143-Constantes!$D$14))</f>
        <v>-1.1256774010770699E-2</v>
      </c>
      <c r="F143" s="76">
        <f>IF(Observaciones!$F142&gt;0.05*Constantes!$E$18,((Observaciones!$F142-0.05*Constantes!$E$18)^2)/(Observaciones!$F142+0.95*Constantes!$E$18),0)</f>
        <v>0</v>
      </c>
      <c r="G143" s="76">
        <f>IF(Escenarios!$E$11&gt;0,(F143*Escenarios!$E$16*10000)/1000,0)</f>
        <v>0</v>
      </c>
      <c r="H143" s="76">
        <f>IF(Escenarios!$E$11&gt;0,(Observaciones!$F142*Constantes!$E$29)/1000,0)</f>
        <v>0</v>
      </c>
      <c r="I143" s="76">
        <f>IF(Escenarios!$E$11&gt;0,(D143*Constantes!$E$29)/1000,0)</f>
        <v>28.268507071578686</v>
      </c>
      <c r="J143" s="76">
        <f>IF(Escenarios!$E$11&gt;0,MAX(0,G143+H143-I143),0)</f>
        <v>0</v>
      </c>
      <c r="K143" s="76">
        <f>IF(Escenarios!$E$11&gt;0,IF(J143&gt;Constantes!$E$30,1000*((J143-Constantes!$E$30)/(Escenarios!$E$16*10000)),0),F143)</f>
        <v>0</v>
      </c>
      <c r="L143" s="76">
        <f>IF(Escenarios!$E$11&gt;0,I143*1000/Escenarios!$E$16/10000+E143,E143)</f>
        <v>5.0628817860774375E-5</v>
      </c>
      <c r="M143" s="76">
        <f>MAX(0,N142+Observaciones!$F142-K143-Constantes!$D$13)</f>
        <v>0</v>
      </c>
      <c r="N143" s="76">
        <f>N142+Observaciones!$F142-K143-L143-M143-O142</f>
        <v>11.235878403668677</v>
      </c>
      <c r="O143" s="76">
        <f>MAX(0,(N143-Constantes!$D$14)*(1-EXP(-Constantes!$D$22)))</f>
        <v>0</v>
      </c>
      <c r="P143" s="170">
        <f>P142+(Entradas!$E$83*M143-Q142)/(800*Entradas!$D$25)</f>
        <v>0</v>
      </c>
      <c r="Q143" s="170">
        <f>8000*Entradas!$D$26*P143/Constantes!$E$45</f>
        <v>0</v>
      </c>
      <c r="R143" s="170">
        <f>IF(Escenarios!$E$14&gt;0,K143*Escenarios!$E$13/Escenarios!$E$14,0)</f>
        <v>0</v>
      </c>
      <c r="S143" s="170">
        <f>IF(Escenarios!$E$14&gt;0,Q143*Escenarios!$E$13/Escenarios!$E$14,0)</f>
        <v>0</v>
      </c>
      <c r="T143" s="170">
        <f>IF(Escenarios!$E$14&gt;0,Observaciones!$I142,0)</f>
        <v>0</v>
      </c>
      <c r="U143" s="170">
        <f>IF(Escenarios!$E$14&gt;0,MAX(0,Constantes!$E$36/((Z142+R143+S143+T143+Observaciones!$F142)^2)+Entradas!$E$77),0)</f>
        <v>0</v>
      </c>
      <c r="V143" s="146">
        <f>IF(ETo!D142&gt;0,ETo!I142*((1-Entradas!$E$81)*ETo!K142+ETo!L142),0)</f>
        <v>2.5523947111432075</v>
      </c>
      <c r="W143" s="170">
        <f>IF(Escenarios!$E$14&gt;0,MIN(V143*1,0.8*(Z142+R143+S143+T143+Observaciones!$F142-U143-Constantes!$E$35)),0)</f>
        <v>4.0960075011753364E-7</v>
      </c>
      <c r="X143" s="170">
        <f>IF(Escenarios!$E$14&gt;0,Observaciones!$J142,0)</f>
        <v>0</v>
      </c>
      <c r="Y143" s="170">
        <f>IF(Escenarios!$E$14&gt;0,MAX(0,Z142+R143+S143+T143+Observaciones!$F142-U143-W143-X143-Constantes!$E$33),0)</f>
        <v>0</v>
      </c>
      <c r="Z143" s="170">
        <f>Z142+R143+S143+T143+Observaciones!$F142-U143-W143-Y143</f>
        <v>41.250000102400186</v>
      </c>
      <c r="AA143" s="170">
        <f>IF(Escenarios!$E$14&gt;0,(Escenarios!$E$13*L143+Escenarios!$E$14*W143)/(Escenarios!$E$16),L143)</f>
        <v>4.4602511807495552E-5</v>
      </c>
      <c r="AB143" s="170">
        <f>IF(Escenarios!$E$14&gt;0,(Escenarios!$E$14*Y143)/(Escenarios!$E$16),K143)</f>
        <v>0</v>
      </c>
      <c r="AC143" s="170">
        <f>IF(Escenarios!$E$14&gt;0,(Escenarios!$E$13*M143+Escenarios!$E$14*U143)/(Escenarios!$E$16),M143)</f>
        <v>0</v>
      </c>
      <c r="AD143" s="76">
        <f t="shared" si="29"/>
        <v>128.67678669932428</v>
      </c>
      <c r="AE143" s="76">
        <f>MAX(0,(AD143-Constantes!$D$13)*(1-EXP(-Constantes!$D$23)))</f>
        <v>0.78753766642586032</v>
      </c>
      <c r="AF143" s="76">
        <f>AB143+O143*Escenarios!$E$13/Escenarios!$E$16+AE143</f>
        <v>0.78753766642586032</v>
      </c>
      <c r="AG143" s="76">
        <f>IF(Entradas!$E$91&gt;0,IF(AF143-Escenarios!$E$38&lt;=0,0,IF(AF143-Escenarios!$E$38&gt;Escenarios!$E$37,Escenarios!$E$37,AF143-Escenarios!$E$38)),0)</f>
        <v>0</v>
      </c>
      <c r="AH143" s="76">
        <f>AG143*Entradas!$E$99</f>
        <v>0</v>
      </c>
      <c r="AI143" s="76">
        <f>IF(Entradas!$E$91&gt;0,D143*Entradas!$D$23/Escenarios!$E$16,0)</f>
        <v>0</v>
      </c>
      <c r="AJ143" s="76">
        <f>IF(Entradas!$E$91&gt;0,Entradas!$D$24*Entradas!$D$22/Escenarios!$E$16,0)</f>
        <v>0</v>
      </c>
      <c r="AK143" s="76">
        <f t="shared" si="38"/>
        <v>4.4602511807495552E-5</v>
      </c>
      <c r="AL143" s="76">
        <f t="shared" si="39"/>
        <v>0</v>
      </c>
      <c r="AM143" s="76">
        <f t="shared" si="30"/>
        <v>0</v>
      </c>
      <c r="AN143" s="76">
        <f>MAX(0,O143*Escenarios!$E$13/Escenarios!$E$16-AM143)</f>
        <v>0</v>
      </c>
      <c r="AO143" s="76">
        <f>AM143+AN143-O143*Escenarios!$E$13/Escenarios!$E$16</f>
        <v>0</v>
      </c>
      <c r="AP143" s="76">
        <f t="shared" si="28"/>
        <v>0.78753766642586032</v>
      </c>
      <c r="AQ143" s="76">
        <f t="shared" si="31"/>
        <v>0</v>
      </c>
      <c r="AR143" s="76">
        <f t="shared" si="32"/>
        <v>0.78753766642586032</v>
      </c>
      <c r="AS143" s="76">
        <f t="shared" si="33"/>
        <v>0</v>
      </c>
      <c r="AT143" s="76">
        <f t="shared" si="34"/>
        <v>0</v>
      </c>
      <c r="AU143" s="76">
        <f t="shared" si="35"/>
        <v>48.75</v>
      </c>
      <c r="AV143" s="76">
        <f>MAX(0,(AU143-Constantes!$D$13)*(1-EXP(-Constantes!$D$24)))</f>
        <v>0</v>
      </c>
      <c r="AW143" s="170">
        <f>AW142+(Entradas!$E$112*AT143-AX142)/(800*Entradas!$D$25)</f>
        <v>0</v>
      </c>
      <c r="AX143" s="170">
        <f>8000*Entradas!$D$26*AW143/Constantes!$E$45</f>
        <v>0</v>
      </c>
      <c r="AY143" s="170">
        <f>IF(Escenarios!$E$17&gt;0,10*Escenarios!$E$16*AL143,0)</f>
        <v>0</v>
      </c>
      <c r="AZ143" s="170">
        <f>IF(Escenarios!$E$17&gt;0,10*Escenarios!$E$16*AX143,0)</f>
        <v>0</v>
      </c>
      <c r="BA143" s="170">
        <f>IF(Escenarios!$E$17&gt;0,0.001*Observaciones!$F142*Escenarios!$E$17,0)</f>
        <v>0</v>
      </c>
      <c r="BB143" s="170">
        <f>IF(Escenarios!$E$17&gt;0,Observaciones!$K142,0)</f>
        <v>0</v>
      </c>
      <c r="BC143" s="170">
        <f>IF(Escenarios!$E$17&gt;0,MIN(0.0005*ETo!$M142*Escenarios!$E$17*(BG142/Constantes!$E$40)^(2/3),BG142+AY143+AZ143+BA143+BB143),0)</f>
        <v>15.300805086496817</v>
      </c>
      <c r="BD143" s="170">
        <f>IF(Escenarios!$E$17&gt;0,MIN(Constantes!$E$39*(BG142/Constantes!$E$40)^(2/3),BG142+AY143+AZ143+BA143+BB143-BC143),0)</f>
        <v>37.562790803043839</v>
      </c>
      <c r="BE143" s="170">
        <f>IF(Escenarios!$E$17&gt;0,MIN(Entradas!$E$113,BG142+AY143+AZ143+BA143+BB143-BC143-BD143),0)</f>
        <v>1</v>
      </c>
      <c r="BF143" s="170">
        <f>IF(Escenarios!$E$17&gt;0,MAX(0,BG142+AY143+AZ143+BA143+BB143-BC143-BD143-BE143-Constantes!$E$40),0)</f>
        <v>0</v>
      </c>
      <c r="BG143" s="170">
        <f t="shared" si="40"/>
        <v>2091.053633719031</v>
      </c>
      <c r="BH143" s="170">
        <f>(Escenarios!$E$16*AK143+0.1*BC143)/(Escenarios!$E$19)</f>
        <v>6.1159965738156966E-3</v>
      </c>
      <c r="BI143" s="170">
        <f>IF(Escenarios!$E$17&gt;0,BF143/10/Escenarios!$E$19,AL143)</f>
        <v>0</v>
      </c>
      <c r="BJ143" s="170">
        <f>(Escenarios!$E$16*AT143+0.1*BD143)/(Escenarios!$E$19)</f>
        <v>1.4905869366287239E-2</v>
      </c>
      <c r="BK143" s="76">
        <f>BK142+(0.1*BD143)/(Escenarios!$E$19)-BL142</f>
        <v>50.329176093932844</v>
      </c>
      <c r="BL143" s="76">
        <f>MAX(0,(BK143-Constantes!$D$13)*(1-EXP(-Constantes!$D$23)))</f>
        <v>1.5559998183961664E-2</v>
      </c>
      <c r="BM143" s="76">
        <f t="shared" si="36"/>
        <v>0.80309766460982202</v>
      </c>
      <c r="BN143" s="76">
        <f t="shared" si="41"/>
        <v>0.80309766460982202</v>
      </c>
      <c r="BO143" s="76">
        <f>0.0526*BI143*Observaciones!$F142^1.218</f>
        <v>0</v>
      </c>
      <c r="BP143" s="76">
        <f>BO143*Constantes!$E$51</f>
        <v>0</v>
      </c>
      <c r="BQ143" s="76">
        <f t="shared" si="37"/>
        <v>0</v>
      </c>
      <c r="BR143" s="40"/>
    </row>
    <row r="144" spans="1:70">
      <c r="A144" s="147"/>
      <c r="B144" s="39"/>
      <c r="C144" s="75">
        <v>138</v>
      </c>
      <c r="D144" s="146">
        <f>ETo!$I143*((1-Constantes!$E$19)*ETo!$K143+ETo!$L143)</f>
        <v>2.8349839822326848</v>
      </c>
      <c r="E144" s="76">
        <f>MIN(D144*Constantes!$E$17,0.8*(N143+Observaciones!$F143-F144-M144-Constantes!$D$14))</f>
        <v>-1.1297277065058609E-2</v>
      </c>
      <c r="F144" s="76">
        <f>IF(Observaciones!$F143&gt;0.05*Constantes!$E$18,((Observaciones!$F143-0.05*Constantes!$E$18)^2)/(Observaciones!$F143+0.95*Constantes!$E$18),0)</f>
        <v>0</v>
      </c>
      <c r="G144" s="76">
        <f>IF(Escenarios!$E$11&gt;0,(F144*Escenarios!$E$16*10000)/1000,0)</f>
        <v>0</v>
      </c>
      <c r="H144" s="76">
        <f>IF(Escenarios!$E$11&gt;0,(Observaciones!$F143*Constantes!$E$29)/1000,0)</f>
        <v>0</v>
      </c>
      <c r="I144" s="76">
        <f>IF(Escenarios!$E$11&gt;0,(D144*Constantes!$E$29)/1000,0)</f>
        <v>28.34983982232685</v>
      </c>
      <c r="J144" s="76">
        <f>IF(Escenarios!$E$11&gt;0,MAX(0,G144+H144-I144),0)</f>
        <v>0</v>
      </c>
      <c r="K144" s="76">
        <f>IF(Escenarios!$E$11&gt;0,IF(J144&gt;Constantes!$E$30,1000*((J144-Constantes!$E$30)/(Escenarios!$E$16*10000)),0),F144)</f>
        <v>0</v>
      </c>
      <c r="L144" s="76">
        <f>IF(Escenarios!$E$11&gt;0,I144*1000/Escenarios!$E$16/10000+E144,E144)</f>
        <v>4.2658863872131053E-5</v>
      </c>
      <c r="M144" s="76">
        <f>MAX(0,N143+Observaciones!$F143-K144-Constantes!$D$13)</f>
        <v>0</v>
      </c>
      <c r="N144" s="76">
        <f>N143+Observaciones!$F143-K144-L144-M144-O143</f>
        <v>11.235835744804804</v>
      </c>
      <c r="O144" s="76">
        <f>MAX(0,(N144-Constantes!$D$14)*(1-EXP(-Constantes!$D$22)))</f>
        <v>0</v>
      </c>
      <c r="P144" s="170">
        <f>P143+(Entradas!$E$83*M144-Q143)/(800*Entradas!$D$25)</f>
        <v>0</v>
      </c>
      <c r="Q144" s="170">
        <f>8000*Entradas!$D$26*P144/Constantes!$E$45</f>
        <v>0</v>
      </c>
      <c r="R144" s="170">
        <f>IF(Escenarios!$E$14&gt;0,K144*Escenarios!$E$13/Escenarios!$E$14,0)</f>
        <v>0</v>
      </c>
      <c r="S144" s="170">
        <f>IF(Escenarios!$E$14&gt;0,Q144*Escenarios!$E$13/Escenarios!$E$14,0)</f>
        <v>0</v>
      </c>
      <c r="T144" s="170">
        <f>IF(Escenarios!$E$14&gt;0,Observaciones!$I143,0)</f>
        <v>0</v>
      </c>
      <c r="U144" s="170">
        <f>IF(Escenarios!$E$14&gt;0,MAX(0,Constantes!$E$36/((Z143+R144+S144+T144+Observaciones!$F143)^2)+Entradas!$E$77),0)</f>
        <v>0</v>
      </c>
      <c r="V144" s="146">
        <f>IF(ETo!D143&gt;0,ETo!I143*((1-Entradas!$E$81)*ETo!K143+ETo!L143),0)</f>
        <v>2.5594808081953753</v>
      </c>
      <c r="W144" s="170">
        <f>IF(Escenarios!$E$14&gt;0,MIN(V144*1,0.8*(Z143+R144+S144+T144+Observaciones!$F143-U144-Constantes!$E$35)),0)</f>
        <v>8.1920148886638344E-8</v>
      </c>
      <c r="X144" s="170">
        <f>IF(Escenarios!$E$14&gt;0,Observaciones!$J143,0)</f>
        <v>0</v>
      </c>
      <c r="Y144" s="170">
        <f>IF(Escenarios!$E$14&gt;0,MAX(0,Z143+R144+S144+T144+Observaciones!$F143-U144-W144-X144-Constantes!$E$33),0)</f>
        <v>0</v>
      </c>
      <c r="Z144" s="170">
        <f>Z143+R144+S144+T144+Observaciones!$F143-U144-W144-Y144</f>
        <v>41.250000020480037</v>
      </c>
      <c r="AA144" s="170">
        <f>IF(Escenarios!$E$14&gt;0,(Escenarios!$E$13*L144+Escenarios!$E$14*W144)/(Escenarios!$E$16),L144)</f>
        <v>3.7549630625341724E-5</v>
      </c>
      <c r="AB144" s="170">
        <f>IF(Escenarios!$E$14&gt;0,(Escenarios!$E$14*Y144)/(Escenarios!$E$16),K144)</f>
        <v>0</v>
      </c>
      <c r="AC144" s="170">
        <f>IF(Escenarios!$E$14&gt;0,(Escenarios!$E$13*M144+Escenarios!$E$14*U144)/(Escenarios!$E$16),M144)</f>
        <v>0</v>
      </c>
      <c r="AD144" s="76">
        <f t="shared" si="29"/>
        <v>127.88924903289842</v>
      </c>
      <c r="AE144" s="76">
        <f>MAX(0,(AD144-Constantes!$D$13)*(1-EXP(-Constantes!$D$23)))</f>
        <v>0.77977787022170819</v>
      </c>
      <c r="AF144" s="76">
        <f>AB144+O144*Escenarios!$E$13/Escenarios!$E$16+AE144</f>
        <v>0.77977787022170819</v>
      </c>
      <c r="AG144" s="76">
        <f>IF(Entradas!$E$91&gt;0,IF(AF144-Escenarios!$E$38&lt;=0,0,IF(AF144-Escenarios!$E$38&gt;Escenarios!$E$37,Escenarios!$E$37,AF144-Escenarios!$E$38)),0)</f>
        <v>0</v>
      </c>
      <c r="AH144" s="76">
        <f>AG144*Entradas!$E$99</f>
        <v>0</v>
      </c>
      <c r="AI144" s="76">
        <f>IF(Entradas!$E$91&gt;0,D144*Entradas!$D$23/Escenarios!$E$16,0)</f>
        <v>0</v>
      </c>
      <c r="AJ144" s="76">
        <f>IF(Entradas!$E$91&gt;0,Entradas!$D$24*Entradas!$D$22/Escenarios!$E$16,0)</f>
        <v>0</v>
      </c>
      <c r="AK144" s="76">
        <f t="shared" si="38"/>
        <v>3.7549630625341724E-5</v>
      </c>
      <c r="AL144" s="76">
        <f t="shared" si="39"/>
        <v>0</v>
      </c>
      <c r="AM144" s="76">
        <f t="shared" si="30"/>
        <v>0</v>
      </c>
      <c r="AN144" s="76">
        <f>MAX(0,O144*Escenarios!$E$13/Escenarios!$E$16-AM144)</f>
        <v>0</v>
      </c>
      <c r="AO144" s="76">
        <f>AM144+AN144-O144*Escenarios!$E$13/Escenarios!$E$16</f>
        <v>0</v>
      </c>
      <c r="AP144" s="76">
        <f t="shared" si="28"/>
        <v>0.77977787022170819</v>
      </c>
      <c r="AQ144" s="76">
        <f t="shared" si="31"/>
        <v>0</v>
      </c>
      <c r="AR144" s="76">
        <f t="shared" si="32"/>
        <v>0.77977787022170819</v>
      </c>
      <c r="AS144" s="76">
        <f t="shared" si="33"/>
        <v>0</v>
      </c>
      <c r="AT144" s="76">
        <f t="shared" si="34"/>
        <v>0</v>
      </c>
      <c r="AU144" s="76">
        <f t="shared" si="35"/>
        <v>48.75</v>
      </c>
      <c r="AV144" s="76">
        <f>MAX(0,(AU144-Constantes!$D$13)*(1-EXP(-Constantes!$D$24)))</f>
        <v>0</v>
      </c>
      <c r="AW144" s="170">
        <f>AW143+(Entradas!$E$112*AT144-AX143)/(800*Entradas!$D$25)</f>
        <v>0</v>
      </c>
      <c r="AX144" s="170">
        <f>8000*Entradas!$D$26*AW144/Constantes!$E$45</f>
        <v>0</v>
      </c>
      <c r="AY144" s="170">
        <f>IF(Escenarios!$E$17&gt;0,10*Escenarios!$E$16*AL144,0)</f>
        <v>0</v>
      </c>
      <c r="AZ144" s="170">
        <f>IF(Escenarios!$E$17&gt;0,10*Escenarios!$E$16*AX144,0)</f>
        <v>0</v>
      </c>
      <c r="BA144" s="170">
        <f>IF(Escenarios!$E$17&gt;0,0.001*Observaciones!$F143*Escenarios!$E$17,0)</f>
        <v>0</v>
      </c>
      <c r="BB144" s="170">
        <f>IF(Escenarios!$E$17&gt;0,Observaciones!$K143,0)</f>
        <v>0</v>
      </c>
      <c r="BC144" s="170">
        <f>IF(Escenarios!$E$17&gt;0,MIN(0.0005*ETo!$M143*Escenarios!$E$17*(BG143/Constantes!$E$40)^(2/3),BG143+AY144+AZ144+BA144+BB144),0)</f>
        <v>15.088716167401865</v>
      </c>
      <c r="BD144" s="170">
        <f>IF(Escenarios!$E$17&gt;0,MIN(Constantes!$E$39*(BG143/Constantes!$E$40)^(2/3),BG143+AY144+AZ144+BA144+BB144-BC144),0)</f>
        <v>36.931272721801207</v>
      </c>
      <c r="BE144" s="170">
        <f>IF(Escenarios!$E$17&gt;0,MIN(Entradas!$E$113,BG143+AY144+AZ144+BA144+BB144-BC144-BD144),0)</f>
        <v>1</v>
      </c>
      <c r="BF144" s="170">
        <f>IF(Escenarios!$E$17&gt;0,MAX(0,BG143+AY144+AZ144+BA144+BB144-BC144-BD144-BE144-Constantes!$E$40),0)</f>
        <v>0</v>
      </c>
      <c r="BG144" s="170">
        <f t="shared" si="40"/>
        <v>2038.0336448298281</v>
      </c>
      <c r="BH144" s="170">
        <f>(Escenarios!$E$16*AK144+0.1*BC144)/(Escenarios!$E$19)</f>
        <v>6.0248373983988962E-3</v>
      </c>
      <c r="BI144" s="170">
        <f>IF(Escenarios!$E$17&gt;0,BF144/10/Escenarios!$E$19,AL144)</f>
        <v>0</v>
      </c>
      <c r="BJ144" s="170">
        <f>(Escenarios!$E$16*AT144+0.1*BD144)/(Escenarios!$E$19)</f>
        <v>1.4655266953095717E-2</v>
      </c>
      <c r="BK144" s="76">
        <f>BK143+(0.1*BD144)/(Escenarios!$E$19)-BL143</f>
        <v>50.328271362701983</v>
      </c>
      <c r="BL144" s="76">
        <f>MAX(0,(BK144-Constantes!$D$13)*(1-EXP(-Constantes!$D$23)))</f>
        <v>1.5551083651653801E-2</v>
      </c>
      <c r="BM144" s="76">
        <f t="shared" si="36"/>
        <v>0.795328953873362</v>
      </c>
      <c r="BN144" s="76">
        <f t="shared" si="41"/>
        <v>0.795328953873362</v>
      </c>
      <c r="BO144" s="76">
        <f>0.0526*BI144*Observaciones!$F143^1.218</f>
        <v>0</v>
      </c>
      <c r="BP144" s="76">
        <f>BO144*Constantes!$E$51</f>
        <v>0</v>
      </c>
      <c r="BQ144" s="76">
        <f t="shared" si="37"/>
        <v>0</v>
      </c>
      <c r="BR144" s="40"/>
    </row>
    <row r="145" spans="1:70">
      <c r="A145" s="147"/>
      <c r="B145" s="39"/>
      <c r="C145" s="75">
        <v>139</v>
      </c>
      <c r="D145" s="146">
        <f>ETo!$I144*((1-Constantes!$E$19)*ETo!$K144+ETo!$L144)</f>
        <v>2.7568151855088479</v>
      </c>
      <c r="E145" s="76">
        <f>MIN(D145*Constantes!$E$17,0.8*(N144+Observaciones!$F144-F145-M145-Constantes!$D$14))</f>
        <v>-1.1331404156156567E-2</v>
      </c>
      <c r="F145" s="76">
        <f>IF(Observaciones!$F144&gt;0.05*Constantes!$E$18,((Observaciones!$F144-0.05*Constantes!$E$18)^2)/(Observaciones!$F144+0.95*Constantes!$E$18),0)</f>
        <v>0</v>
      </c>
      <c r="G145" s="76">
        <f>IF(Escenarios!$E$11&gt;0,(F145*Escenarios!$E$16*10000)/1000,0)</f>
        <v>0</v>
      </c>
      <c r="H145" s="76">
        <f>IF(Escenarios!$E$11&gt;0,(Observaciones!$F144*Constantes!$E$29)/1000,0)</f>
        <v>0</v>
      </c>
      <c r="I145" s="76">
        <f>IF(Escenarios!$E$11&gt;0,(D145*Constantes!$E$29)/1000,0)</f>
        <v>27.56815185508848</v>
      </c>
      <c r="J145" s="76">
        <f>IF(Escenarios!$E$11&gt;0,MAX(0,G145+H145-I145),0)</f>
        <v>0</v>
      </c>
      <c r="K145" s="76">
        <f>IF(Escenarios!$E$11&gt;0,IF(J145&gt;Constantes!$E$30,1000*((J145-Constantes!$E$30)/(Escenarios!$E$16*10000)),0),F145)</f>
        <v>0</v>
      </c>
      <c r="L145" s="76">
        <f>IF(Escenarios!$E$11&gt;0,I145*1000/Escenarios!$E$16/10000+E145,E145)</f>
        <v>-3.0414341412117463E-4</v>
      </c>
      <c r="M145" s="76">
        <f>MAX(0,N144+Observaciones!$F144-K145-Constantes!$D$13)</f>
        <v>0</v>
      </c>
      <c r="N145" s="76">
        <f>N144+Observaciones!$F144-K145-L145-M145-O144</f>
        <v>11.236139888218926</v>
      </c>
      <c r="O145" s="76">
        <f>MAX(0,(N145-Constantes!$D$14)*(1-EXP(-Constantes!$D$22)))</f>
        <v>0</v>
      </c>
      <c r="P145" s="170">
        <f>P144+(Entradas!$E$83*M145-Q144)/(800*Entradas!$D$25)</f>
        <v>0</v>
      </c>
      <c r="Q145" s="170">
        <f>8000*Entradas!$D$26*P145/Constantes!$E$45</f>
        <v>0</v>
      </c>
      <c r="R145" s="170">
        <f>IF(Escenarios!$E$14&gt;0,K145*Escenarios!$E$13/Escenarios!$E$14,0)</f>
        <v>0</v>
      </c>
      <c r="S145" s="170">
        <f>IF(Escenarios!$E$14&gt;0,Q145*Escenarios!$E$13/Escenarios!$E$14,0)</f>
        <v>0</v>
      </c>
      <c r="T145" s="170">
        <f>IF(Escenarios!$E$14&gt;0,Observaciones!$I144,0)</f>
        <v>0</v>
      </c>
      <c r="U145" s="170">
        <f>IF(Escenarios!$E$14&gt;0,MAX(0,Constantes!$E$36/((Z144+R145+S145+T145+Observaciones!$F144)^2)+Entradas!$E$77),0)</f>
        <v>0</v>
      </c>
      <c r="V145" s="146">
        <f>IF(ETo!D144&gt;0,ETo!I144*((1-Entradas!$E$81)*ETo!K144+ETo!L144),0)</f>
        <v>2.4878542967752701</v>
      </c>
      <c r="W145" s="170">
        <f>IF(Escenarios!$E$14&gt;0,MIN(V145*1,0.8*(Z144+R145+S145+T145+Observaciones!$F144-U145-Constantes!$E$35)),0)</f>
        <v>1.638402977732767E-8</v>
      </c>
      <c r="X145" s="170">
        <f>IF(Escenarios!$E$14&gt;0,Observaciones!$J144,0)</f>
        <v>0</v>
      </c>
      <c r="Y145" s="170">
        <f>IF(Escenarios!$E$14&gt;0,MAX(0,Z144+R145+S145+T145+Observaciones!$F144-U145-W145-X145-Constantes!$E$33),0)</f>
        <v>0</v>
      </c>
      <c r="Z145" s="170">
        <f>Z144+R145+S145+T145+Observaciones!$F144-U145-W145-Y145</f>
        <v>41.250000004096009</v>
      </c>
      <c r="AA145" s="170">
        <f>IF(Escenarios!$E$14&gt;0,(Escenarios!$E$13*L145+Escenarios!$E$14*W145)/(Escenarios!$E$16),L145)</f>
        <v>-2.6764423834306039E-4</v>
      </c>
      <c r="AB145" s="170">
        <f>IF(Escenarios!$E$14&gt;0,(Escenarios!$E$14*Y145)/(Escenarios!$E$16),K145)</f>
        <v>0</v>
      </c>
      <c r="AC145" s="170">
        <f>IF(Escenarios!$E$14&gt;0,(Escenarios!$E$13*M145+Escenarios!$E$14*U145)/(Escenarios!$E$16),M145)</f>
        <v>0</v>
      </c>
      <c r="AD145" s="76">
        <f t="shared" si="29"/>
        <v>127.10947116267671</v>
      </c>
      <c r="AE145" s="76">
        <f>MAX(0,(AD145-Constantes!$D$13)*(1-EXP(-Constantes!$D$23)))</f>
        <v>0.77209453313779508</v>
      </c>
      <c r="AF145" s="76">
        <f>AB145+O145*Escenarios!$E$13/Escenarios!$E$16+AE145</f>
        <v>0.77209453313779508</v>
      </c>
      <c r="AG145" s="76">
        <f>IF(Entradas!$E$91&gt;0,IF(AF145-Escenarios!$E$38&lt;=0,0,IF(AF145-Escenarios!$E$38&gt;Escenarios!$E$37,Escenarios!$E$37,AF145-Escenarios!$E$38)),0)</f>
        <v>0</v>
      </c>
      <c r="AH145" s="76">
        <f>AG145*Entradas!$E$99</f>
        <v>0</v>
      </c>
      <c r="AI145" s="76">
        <f>IF(Entradas!$E$91&gt;0,D145*Entradas!$D$23/Escenarios!$E$16,0)</f>
        <v>0</v>
      </c>
      <c r="AJ145" s="76">
        <f>IF(Entradas!$E$91&gt;0,Entradas!$D$24*Entradas!$D$22/Escenarios!$E$16,0)</f>
        <v>0</v>
      </c>
      <c r="AK145" s="76">
        <f t="shared" si="38"/>
        <v>-2.6764423834306039E-4</v>
      </c>
      <c r="AL145" s="76">
        <f t="shared" si="39"/>
        <v>0</v>
      </c>
      <c r="AM145" s="76">
        <f t="shared" si="30"/>
        <v>0</v>
      </c>
      <c r="AN145" s="76">
        <f>MAX(0,O145*Escenarios!$E$13/Escenarios!$E$16-AM145)</f>
        <v>0</v>
      </c>
      <c r="AO145" s="76">
        <f>AM145+AN145-O145*Escenarios!$E$13/Escenarios!$E$16</f>
        <v>0</v>
      </c>
      <c r="AP145" s="76">
        <f t="shared" si="28"/>
        <v>0.77209453313779508</v>
      </c>
      <c r="AQ145" s="76">
        <f t="shared" si="31"/>
        <v>0</v>
      </c>
      <c r="AR145" s="76">
        <f t="shared" si="32"/>
        <v>0.77209453313779508</v>
      </c>
      <c r="AS145" s="76">
        <f t="shared" si="33"/>
        <v>0</v>
      </c>
      <c r="AT145" s="76">
        <f t="shared" si="34"/>
        <v>0</v>
      </c>
      <c r="AU145" s="76">
        <f t="shared" si="35"/>
        <v>48.75</v>
      </c>
      <c r="AV145" s="76">
        <f>MAX(0,(AU145-Constantes!$D$13)*(1-EXP(-Constantes!$D$24)))</f>
        <v>0</v>
      </c>
      <c r="AW145" s="170">
        <f>AW144+(Entradas!$E$112*AT145-AX144)/(800*Entradas!$D$25)</f>
        <v>0</v>
      </c>
      <c r="AX145" s="170">
        <f>8000*Entradas!$D$26*AW145/Constantes!$E$45</f>
        <v>0</v>
      </c>
      <c r="AY145" s="170">
        <f>IF(Escenarios!$E$17&gt;0,10*Escenarios!$E$16*AL145,0)</f>
        <v>0</v>
      </c>
      <c r="AZ145" s="170">
        <f>IF(Escenarios!$E$17&gt;0,10*Escenarios!$E$16*AX145,0)</f>
        <v>0</v>
      </c>
      <c r="BA145" s="170">
        <f>IF(Escenarios!$E$17&gt;0,0.001*Observaciones!$F144*Escenarios!$E$17,0)</f>
        <v>0</v>
      </c>
      <c r="BB145" s="170">
        <f>IF(Escenarios!$E$17&gt;0,Observaciones!$K144,0)</f>
        <v>0</v>
      </c>
      <c r="BC145" s="170">
        <f>IF(Escenarios!$E$17&gt;0,MIN(0.0005*ETo!$M144*Escenarios!$E$17*(BG144/Constantes!$E$40)^(2/3),BG144+AY145+AZ145+BA145+BB145),0)</f>
        <v>14.431120058829405</v>
      </c>
      <c r="BD145" s="170">
        <f>IF(Escenarios!$E$17&gt;0,MIN(Constantes!$E$39*(BG144/Constantes!$E$40)^(2/3),BG144+AY145+AZ145+BA145+BB145-BC145),0)</f>
        <v>36.30432718477995</v>
      </c>
      <c r="BE145" s="170">
        <f>IF(Escenarios!$E$17&gt;0,MIN(Entradas!$E$113,BG144+AY145+AZ145+BA145+BB145-BC145-BD145),0)</f>
        <v>1</v>
      </c>
      <c r="BF145" s="170">
        <f>IF(Escenarios!$E$17&gt;0,MAX(0,BG144+AY145+AZ145+BA145+BB145-BC145-BD145-BE145-Constantes!$E$40),0)</f>
        <v>0</v>
      </c>
      <c r="BG145" s="170">
        <f t="shared" si="40"/>
        <v>1986.2981975862185</v>
      </c>
      <c r="BH145" s="170">
        <f>(Escenarios!$E$16*AK145+0.1*BC145)/(Escenarios!$E$19)</f>
        <v>5.4611148662586321E-3</v>
      </c>
      <c r="BI145" s="170">
        <f>IF(Escenarios!$E$17&gt;0,BF145/10/Escenarios!$E$19,AL145)</f>
        <v>0</v>
      </c>
      <c r="BJ145" s="170">
        <f>(Escenarios!$E$16*AT145+0.1*BD145)/(Escenarios!$E$19)</f>
        <v>1.4406479041579346E-2</v>
      </c>
      <c r="BK145" s="76">
        <f>BK144+(0.1*BD145)/(Escenarios!$E$19)-BL144</f>
        <v>50.327126758091914</v>
      </c>
      <c r="BL145" s="76">
        <f>MAX(0,(BK145-Constantes!$D$13)*(1-EXP(-Constantes!$D$23)))</f>
        <v>1.5539805589807216E-2</v>
      </c>
      <c r="BM145" s="76">
        <f t="shared" si="36"/>
        <v>0.78763433872760225</v>
      </c>
      <c r="BN145" s="76">
        <f t="shared" si="41"/>
        <v>0.78763433872760225</v>
      </c>
      <c r="BO145" s="76">
        <f>0.0526*BI145*Observaciones!$F144^1.218</f>
        <v>0</v>
      </c>
      <c r="BP145" s="76">
        <f>BO145*Constantes!$E$51</f>
        <v>0</v>
      </c>
      <c r="BQ145" s="76">
        <f t="shared" si="37"/>
        <v>0</v>
      </c>
      <c r="BR145" s="40"/>
    </row>
    <row r="146" spans="1:70">
      <c r="A146" s="147"/>
      <c r="B146" s="39"/>
      <c r="C146" s="75">
        <v>140</v>
      </c>
      <c r="D146" s="146">
        <f>ETo!$I145*((1-Constantes!$E$19)*ETo!$K145+ETo!$L145)</f>
        <v>2.8324165236988508</v>
      </c>
      <c r="E146" s="76">
        <f>MIN(D146*Constantes!$E$17,0.8*(N145+Observaciones!$F145-F146-M146-Constantes!$D$14))</f>
        <v>-1.1088089424859504E-2</v>
      </c>
      <c r="F146" s="76">
        <f>IF(Observaciones!$F145&gt;0.05*Constantes!$E$18,((Observaciones!$F145-0.05*Constantes!$E$18)^2)/(Observaciones!$F145+0.95*Constantes!$E$18),0)</f>
        <v>0</v>
      </c>
      <c r="G146" s="76">
        <f>IF(Escenarios!$E$11&gt;0,(F146*Escenarios!$E$16*10000)/1000,0)</f>
        <v>0</v>
      </c>
      <c r="H146" s="76">
        <f>IF(Escenarios!$E$11&gt;0,(Observaciones!$F145*Constantes!$E$29)/1000,0)</f>
        <v>0</v>
      </c>
      <c r="I146" s="76">
        <f>IF(Escenarios!$E$11&gt;0,(D146*Constantes!$E$29)/1000,0)</f>
        <v>28.32416523698851</v>
      </c>
      <c r="J146" s="76">
        <f>IF(Escenarios!$E$11&gt;0,MAX(0,G146+H146-I146),0)</f>
        <v>0</v>
      </c>
      <c r="K146" s="76">
        <f>IF(Escenarios!$E$11&gt;0,IF(J146&gt;Constantes!$E$30,1000*((J146-Constantes!$E$30)/(Escenarios!$E$16*10000)),0),F146)</f>
        <v>0</v>
      </c>
      <c r="L146" s="76">
        <f>IF(Escenarios!$E$11&gt;0,I146*1000/Escenarios!$E$16/10000+E146,E146)</f>
        <v>2.4157666993590045E-4</v>
      </c>
      <c r="M146" s="76">
        <f>MAX(0,N145+Observaciones!$F145-K146-Constantes!$D$13)</f>
        <v>0</v>
      </c>
      <c r="N146" s="76">
        <f>N145+Observaciones!$F145-K146-L146-M146-O145</f>
        <v>11.23589831154899</v>
      </c>
      <c r="O146" s="76">
        <f>MAX(0,(N146-Constantes!$D$14)*(1-EXP(-Constantes!$D$22)))</f>
        <v>0</v>
      </c>
      <c r="P146" s="170">
        <f>P145+(Entradas!$E$83*M146-Q145)/(800*Entradas!$D$25)</f>
        <v>0</v>
      </c>
      <c r="Q146" s="170">
        <f>8000*Entradas!$D$26*P146/Constantes!$E$45</f>
        <v>0</v>
      </c>
      <c r="R146" s="170">
        <f>IF(Escenarios!$E$14&gt;0,K146*Escenarios!$E$13/Escenarios!$E$14,0)</f>
        <v>0</v>
      </c>
      <c r="S146" s="170">
        <f>IF(Escenarios!$E$14&gt;0,Q146*Escenarios!$E$13/Escenarios!$E$14,0)</f>
        <v>0</v>
      </c>
      <c r="T146" s="170">
        <f>IF(Escenarios!$E$14&gt;0,Observaciones!$I145,0)</f>
        <v>0</v>
      </c>
      <c r="U146" s="170">
        <f>IF(Escenarios!$E$14&gt;0,MAX(0,Constantes!$E$36/((Z145+R146+S146+T146+Observaciones!$F145)^2)+Entradas!$E$77),0)</f>
        <v>0</v>
      </c>
      <c r="V146" s="146">
        <f>IF(ETo!D145&gt;0,ETo!I145*((1-Entradas!$E$81)*ETo!K145+ETo!L145),0)</f>
        <v>2.5564967487772146</v>
      </c>
      <c r="W146" s="170">
        <f>IF(Escenarios!$E$14&gt;0,MIN(V146*1,0.8*(Z145+R146+S146+T146+Observaciones!$F145-U146-Constantes!$E$35)),0)</f>
        <v>3.2768070923339112E-9</v>
      </c>
      <c r="X146" s="170">
        <f>IF(Escenarios!$E$14&gt;0,Observaciones!$J145,0)</f>
        <v>0</v>
      </c>
      <c r="Y146" s="170">
        <f>IF(Escenarios!$E$14&gt;0,MAX(0,Z145+R146+S146+T146+Observaciones!$F145-U146-W146-X146-Constantes!$E$33),0)</f>
        <v>0</v>
      </c>
      <c r="Z146" s="170">
        <f>Z145+R146+S146+T146+Observaciones!$F145-U146-W146-Y146</f>
        <v>41.250000000819199</v>
      </c>
      <c r="AA146" s="170">
        <f>IF(Escenarios!$E$14&gt;0,(Escenarios!$E$13*L146+Escenarios!$E$14*W146)/(Escenarios!$E$16),L146)</f>
        <v>2.1258786276044347E-4</v>
      </c>
      <c r="AB146" s="170">
        <f>IF(Escenarios!$E$14&gt;0,(Escenarios!$E$14*Y146)/(Escenarios!$E$16),K146)</f>
        <v>0</v>
      </c>
      <c r="AC146" s="170">
        <f>IF(Escenarios!$E$14&gt;0,(Escenarios!$E$13*M146+Escenarios!$E$14*U146)/(Escenarios!$E$16),M146)</f>
        <v>0</v>
      </c>
      <c r="AD146" s="76">
        <f t="shared" si="29"/>
        <v>126.33737662953892</v>
      </c>
      <c r="AE146" s="76">
        <f>MAX(0,(AD146-Constantes!$D$13)*(1-EXP(-Constantes!$D$23)))</f>
        <v>0.76448690180419809</v>
      </c>
      <c r="AF146" s="76">
        <f>AB146+O146*Escenarios!$E$13/Escenarios!$E$16+AE146</f>
        <v>0.76448690180419809</v>
      </c>
      <c r="AG146" s="76">
        <f>IF(Entradas!$E$91&gt;0,IF(AF146-Escenarios!$E$38&lt;=0,0,IF(AF146-Escenarios!$E$38&gt;Escenarios!$E$37,Escenarios!$E$37,AF146-Escenarios!$E$38)),0)</f>
        <v>0</v>
      </c>
      <c r="AH146" s="76">
        <f>AG146*Entradas!$E$99</f>
        <v>0</v>
      </c>
      <c r="AI146" s="76">
        <f>IF(Entradas!$E$91&gt;0,D146*Entradas!$D$23/Escenarios!$E$16,0)</f>
        <v>0</v>
      </c>
      <c r="AJ146" s="76">
        <f>IF(Entradas!$E$91&gt;0,Entradas!$D$24*Entradas!$D$22/Escenarios!$E$16,0)</f>
        <v>0</v>
      </c>
      <c r="AK146" s="76">
        <f t="shared" si="38"/>
        <v>2.1258786276044347E-4</v>
      </c>
      <c r="AL146" s="76">
        <f t="shared" si="39"/>
        <v>0</v>
      </c>
      <c r="AM146" s="76">
        <f t="shared" si="30"/>
        <v>0</v>
      </c>
      <c r="AN146" s="76">
        <f>MAX(0,O146*Escenarios!$E$13/Escenarios!$E$16-AM146)</f>
        <v>0</v>
      </c>
      <c r="AO146" s="76">
        <f>AM146+AN146-O146*Escenarios!$E$13/Escenarios!$E$16</f>
        <v>0</v>
      </c>
      <c r="AP146" s="76">
        <f t="shared" si="28"/>
        <v>0.76448690180419809</v>
      </c>
      <c r="AQ146" s="76">
        <f t="shared" si="31"/>
        <v>0</v>
      </c>
      <c r="AR146" s="76">
        <f t="shared" si="32"/>
        <v>0.76448690180419809</v>
      </c>
      <c r="AS146" s="76">
        <f t="shared" si="33"/>
        <v>0</v>
      </c>
      <c r="AT146" s="76">
        <f t="shared" si="34"/>
        <v>0</v>
      </c>
      <c r="AU146" s="76">
        <f t="shared" si="35"/>
        <v>48.75</v>
      </c>
      <c r="AV146" s="76">
        <f>MAX(0,(AU146-Constantes!$D$13)*(1-EXP(-Constantes!$D$24)))</f>
        <v>0</v>
      </c>
      <c r="AW146" s="170">
        <f>AW145+(Entradas!$E$112*AT146-AX145)/(800*Entradas!$D$25)</f>
        <v>0</v>
      </c>
      <c r="AX146" s="170">
        <f>8000*Entradas!$D$26*AW146/Constantes!$E$45</f>
        <v>0</v>
      </c>
      <c r="AY146" s="170">
        <f>IF(Escenarios!$E$17&gt;0,10*Escenarios!$E$16*AL146,0)</f>
        <v>0</v>
      </c>
      <c r="AZ146" s="170">
        <f>IF(Escenarios!$E$17&gt;0,10*Escenarios!$E$16*AX146,0)</f>
        <v>0</v>
      </c>
      <c r="BA146" s="170">
        <f>IF(Escenarios!$E$17&gt;0,0.001*Observaciones!$F145*Escenarios!$E$17,0)</f>
        <v>0</v>
      </c>
      <c r="BB146" s="170">
        <f>IF(Escenarios!$E$17&gt;0,Observaciones!$K145,0)</f>
        <v>0</v>
      </c>
      <c r="BC146" s="170">
        <f>IF(Escenarios!$E$17&gt;0,MIN(0.0005*ETo!$M145*Escenarios!$E$17*(BG145/Constantes!$E$40)^(2/3),BG145+AY146+AZ146+BA146+BB146),0)</f>
        <v>14.571950570130159</v>
      </c>
      <c r="BD146" s="170">
        <f>IF(Escenarios!$E$17&gt;0,MIN(Constantes!$E$39*(BG145/Constantes!$E$40)^(2/3),BG145+AY146+AZ146+BA146+BB146-BC146),0)</f>
        <v>35.68730824430272</v>
      </c>
      <c r="BE146" s="170">
        <f>IF(Escenarios!$E$17&gt;0,MIN(Entradas!$E$113,BG145+AY146+AZ146+BA146+BB146-BC146-BD146),0)</f>
        <v>1</v>
      </c>
      <c r="BF146" s="170">
        <f>IF(Escenarios!$E$17&gt;0,MAX(0,BG145+AY146+AZ146+BA146+BB146-BC146-BD146-BE146-Constantes!$E$40),0)</f>
        <v>0</v>
      </c>
      <c r="BG146" s="170">
        <f t="shared" si="40"/>
        <v>1935.0389387717855</v>
      </c>
      <c r="BH146" s="170">
        <f>(Escenarios!$E$16*AK146+0.1*BC146)/(Escenarios!$E$19)</f>
        <v>5.9934207250124088E-3</v>
      </c>
      <c r="BI146" s="170">
        <f>IF(Escenarios!$E$17&gt;0,BF146/10/Escenarios!$E$19,AL146)</f>
        <v>0</v>
      </c>
      <c r="BJ146" s="170">
        <f>(Escenarios!$E$16*AT146+0.1*BD146)/(Escenarios!$E$19)</f>
        <v>1.4161630255675682E-2</v>
      </c>
      <c r="BK146" s="76">
        <f>BK145+(0.1*BD146)/(Escenarios!$E$19)-BL145</f>
        <v>50.325748582757782</v>
      </c>
      <c r="BL146" s="76">
        <f>MAX(0,(BK146-Constantes!$D$13)*(1-EXP(-Constantes!$D$23)))</f>
        <v>1.5526226099984223E-2</v>
      </c>
      <c r="BM146" s="76">
        <f t="shared" si="36"/>
        <v>0.78001312790418231</v>
      </c>
      <c r="BN146" s="76">
        <f t="shared" si="41"/>
        <v>0.78001312790418231</v>
      </c>
      <c r="BO146" s="76">
        <f>0.0526*BI146*Observaciones!$F145^1.218</f>
        <v>0</v>
      </c>
      <c r="BP146" s="76">
        <f>BO146*Constantes!$E$51</f>
        <v>0</v>
      </c>
      <c r="BQ146" s="76">
        <f t="shared" si="37"/>
        <v>0</v>
      </c>
      <c r="BR146" s="40"/>
    </row>
    <row r="147" spans="1:70">
      <c r="A147" s="147"/>
      <c r="B147" s="39"/>
      <c r="C147" s="75">
        <v>141</v>
      </c>
      <c r="D147" s="146">
        <f>ETo!$I146*((1-Constantes!$E$19)*ETo!$K146+ETo!$L146)</f>
        <v>2.8410342470301821</v>
      </c>
      <c r="E147" s="76">
        <f>MIN(D147*Constantes!$E$17,0.8*(N146+Observaciones!$F146-F147-M147-Constantes!$D$14))</f>
        <v>-1.1281350760808096E-2</v>
      </c>
      <c r="F147" s="76">
        <f>IF(Observaciones!$F146&gt;0.05*Constantes!$E$18,((Observaciones!$F146-0.05*Constantes!$E$18)^2)/(Observaciones!$F146+0.95*Constantes!$E$18),0)</f>
        <v>0</v>
      </c>
      <c r="G147" s="76">
        <f>IF(Escenarios!$E$11&gt;0,(F147*Escenarios!$E$16*10000)/1000,0)</f>
        <v>0</v>
      </c>
      <c r="H147" s="76">
        <f>IF(Escenarios!$E$11&gt;0,(Observaciones!$F146*Constantes!$E$29)/1000,0)</f>
        <v>0</v>
      </c>
      <c r="I147" s="76">
        <f>IF(Escenarios!$E$11&gt;0,(D147*Constantes!$E$29)/1000,0)</f>
        <v>28.410342470301821</v>
      </c>
      <c r="J147" s="76">
        <f>IF(Escenarios!$E$11&gt;0,MAX(0,G147+H147-I147),0)</f>
        <v>0</v>
      </c>
      <c r="K147" s="76">
        <f>IF(Escenarios!$E$11&gt;0,IF(J147&gt;Constantes!$E$30,1000*((J147-Constantes!$E$30)/(Escenarios!$E$16*10000)),0),F147)</f>
        <v>0</v>
      </c>
      <c r="L147" s="76">
        <f>IF(Escenarios!$E$11&gt;0,I147*1000/Escenarios!$E$16/10000+E147,E147)</f>
        <v>8.2786227312631883E-5</v>
      </c>
      <c r="M147" s="76">
        <f>MAX(0,N146+Observaciones!$F146-K147-Constantes!$D$13)</f>
        <v>0</v>
      </c>
      <c r="N147" s="76">
        <f>N146+Observaciones!$F146-K147-L147-M147-O146</f>
        <v>11.235815525321676</v>
      </c>
      <c r="O147" s="76">
        <f>MAX(0,(N147-Constantes!$D$14)*(1-EXP(-Constantes!$D$22)))</f>
        <v>0</v>
      </c>
      <c r="P147" s="170">
        <f>P146+(Entradas!$E$83*M147-Q146)/(800*Entradas!$D$25)</f>
        <v>0</v>
      </c>
      <c r="Q147" s="170">
        <f>8000*Entradas!$D$26*P147/Constantes!$E$45</f>
        <v>0</v>
      </c>
      <c r="R147" s="170">
        <f>IF(Escenarios!$E$14&gt;0,K147*Escenarios!$E$13/Escenarios!$E$14,0)</f>
        <v>0</v>
      </c>
      <c r="S147" s="170">
        <f>IF(Escenarios!$E$14&gt;0,Q147*Escenarios!$E$13/Escenarios!$E$14,0)</f>
        <v>0</v>
      </c>
      <c r="T147" s="170">
        <f>IF(Escenarios!$E$14&gt;0,Observaciones!$I146,0)</f>
        <v>0</v>
      </c>
      <c r="U147" s="170">
        <f>IF(Escenarios!$E$14&gt;0,MAX(0,Constantes!$E$36/((Z146+R147+S147+T147+Observaciones!$F146)^2)+Entradas!$E$77),0)</f>
        <v>0</v>
      </c>
      <c r="V147" s="146">
        <f>IF(ETo!D146&gt;0,ETo!I146*((1-Entradas!$E$81)*ETo!K146+ETo!L146),0)</f>
        <v>2.5640802923306607</v>
      </c>
      <c r="W147" s="170">
        <f>IF(Escenarios!$E$14&gt;0,MIN(V147*1,0.8*(Z146+R147+S147+T147+Observaciones!$F146-U147-Constantes!$E$35)),0)</f>
        <v>6.5535914473002781E-10</v>
      </c>
      <c r="X147" s="170">
        <f>IF(Escenarios!$E$14&gt;0,Observaciones!$J146,0)</f>
        <v>0</v>
      </c>
      <c r="Y147" s="170">
        <f>IF(Escenarios!$E$14&gt;0,MAX(0,Z146+R147+S147+T147+Observaciones!$F146-U147-W147-X147-Constantes!$E$33),0)</f>
        <v>0</v>
      </c>
      <c r="Z147" s="170">
        <f>Z146+R147+S147+T147+Observaciones!$F146-U147-W147-Y147</f>
        <v>41.250000000163837</v>
      </c>
      <c r="AA147" s="170">
        <f>IF(Escenarios!$E$14&gt;0,(Escenarios!$E$13*L147+Escenarios!$E$14*W147)/(Escenarios!$E$16),L147)</f>
        <v>7.2851958678213418E-5</v>
      </c>
      <c r="AB147" s="170">
        <f>IF(Escenarios!$E$14&gt;0,(Escenarios!$E$14*Y147)/(Escenarios!$E$16),K147)</f>
        <v>0</v>
      </c>
      <c r="AC147" s="170">
        <f>IF(Escenarios!$E$14&gt;0,(Escenarios!$E$13*M147+Escenarios!$E$14*U147)/(Escenarios!$E$16),M147)</f>
        <v>0</v>
      </c>
      <c r="AD147" s="76">
        <f t="shared" si="29"/>
        <v>125.57288972773472</v>
      </c>
      <c r="AE147" s="76">
        <f>MAX(0,(AD147-Constantes!$D$13)*(1-EXP(-Constantes!$D$23)))</f>
        <v>0.75695423027412756</v>
      </c>
      <c r="AF147" s="76">
        <f>AB147+O147*Escenarios!$E$13/Escenarios!$E$16+AE147</f>
        <v>0.75695423027412756</v>
      </c>
      <c r="AG147" s="76">
        <f>IF(Entradas!$E$91&gt;0,IF(AF147-Escenarios!$E$38&lt;=0,0,IF(AF147-Escenarios!$E$38&gt;Escenarios!$E$37,Escenarios!$E$37,AF147-Escenarios!$E$38)),0)</f>
        <v>0</v>
      </c>
      <c r="AH147" s="76">
        <f>AG147*Entradas!$E$99</f>
        <v>0</v>
      </c>
      <c r="AI147" s="76">
        <f>IF(Entradas!$E$91&gt;0,D147*Entradas!$D$23/Escenarios!$E$16,0)</f>
        <v>0</v>
      </c>
      <c r="AJ147" s="76">
        <f>IF(Entradas!$E$91&gt;0,Entradas!$D$24*Entradas!$D$22/Escenarios!$E$16,0)</f>
        <v>0</v>
      </c>
      <c r="AK147" s="76">
        <f t="shared" si="38"/>
        <v>7.2851958678213418E-5</v>
      </c>
      <c r="AL147" s="76">
        <f t="shared" si="39"/>
        <v>0</v>
      </c>
      <c r="AM147" s="76">
        <f t="shared" si="30"/>
        <v>0</v>
      </c>
      <c r="AN147" s="76">
        <f>MAX(0,O147*Escenarios!$E$13/Escenarios!$E$16-AM147)</f>
        <v>0</v>
      </c>
      <c r="AO147" s="76">
        <f>AM147+AN147-O147*Escenarios!$E$13/Escenarios!$E$16</f>
        <v>0</v>
      </c>
      <c r="AP147" s="76">
        <f t="shared" si="28"/>
        <v>0.75695423027412756</v>
      </c>
      <c r="AQ147" s="76">
        <f t="shared" si="31"/>
        <v>0</v>
      </c>
      <c r="AR147" s="76">
        <f t="shared" si="32"/>
        <v>0.75695423027412756</v>
      </c>
      <c r="AS147" s="76">
        <f t="shared" si="33"/>
        <v>0</v>
      </c>
      <c r="AT147" s="76">
        <f t="shared" si="34"/>
        <v>0</v>
      </c>
      <c r="AU147" s="76">
        <f t="shared" si="35"/>
        <v>48.75</v>
      </c>
      <c r="AV147" s="76">
        <f>MAX(0,(AU147-Constantes!$D$13)*(1-EXP(-Constantes!$D$24)))</f>
        <v>0</v>
      </c>
      <c r="AW147" s="170">
        <f>AW146+(Entradas!$E$112*AT147-AX146)/(800*Entradas!$D$25)</f>
        <v>0</v>
      </c>
      <c r="AX147" s="170">
        <f>8000*Entradas!$D$26*AW147/Constantes!$E$45</f>
        <v>0</v>
      </c>
      <c r="AY147" s="170">
        <f>IF(Escenarios!$E$17&gt;0,10*Escenarios!$E$16*AL147,0)</f>
        <v>0</v>
      </c>
      <c r="AZ147" s="170">
        <f>IF(Escenarios!$E$17&gt;0,10*Escenarios!$E$16*AX147,0)</f>
        <v>0</v>
      </c>
      <c r="BA147" s="170">
        <f>IF(Escenarios!$E$17&gt;0,0.001*Observaciones!$F146*Escenarios!$E$17,0)</f>
        <v>0</v>
      </c>
      <c r="BB147" s="170">
        <f>IF(Escenarios!$E$17&gt;0,Observaciones!$K146,0)</f>
        <v>0</v>
      </c>
      <c r="BC147" s="170">
        <f>IF(Escenarios!$E$17&gt;0,MIN(0.0005*ETo!$M146*Escenarios!$E$17*(BG146/Constantes!$E$40)^(2/3),BG146+AY147+AZ147+BA147+BB147),0)</f>
        <v>14.365072275077607</v>
      </c>
      <c r="BD147" s="170">
        <f>IF(Escenarios!$E$17&gt;0,MIN(Constantes!$E$39*(BG146/Constantes!$E$40)^(2/3),BG146+AY147+AZ147+BA147+BB147-BC147),0)</f>
        <v>35.070662141232376</v>
      </c>
      <c r="BE147" s="170">
        <f>IF(Escenarios!$E$17&gt;0,MIN(Entradas!$E$113,BG146+AY147+AZ147+BA147+BB147-BC147-BD147),0)</f>
        <v>1</v>
      </c>
      <c r="BF147" s="170">
        <f>IF(Escenarios!$E$17&gt;0,MAX(0,BG146+AY147+AZ147+BA147+BB147-BC147-BD147-BE147-Constantes!$E$40),0)</f>
        <v>0</v>
      </c>
      <c r="BG147" s="170">
        <f t="shared" si="40"/>
        <v>1884.6032043554756</v>
      </c>
      <c r="BH147" s="170">
        <f>(Escenarios!$E$16*AK147+0.1*BC147)/(Escenarios!$E$19)</f>
        <v>5.772699274513151E-3</v>
      </c>
      <c r="BI147" s="170">
        <f>IF(Escenarios!$E$17&gt;0,BF147/10/Escenarios!$E$19,AL147)</f>
        <v>0</v>
      </c>
      <c r="BJ147" s="170">
        <f>(Escenarios!$E$16*AT147+0.1*BD147)/(Escenarios!$E$19)</f>
        <v>1.391692942112396E-2</v>
      </c>
      <c r="BK147" s="76">
        <f>BK146+(0.1*BD147)/(Escenarios!$E$19)-BL146</f>
        <v>50.324139286078918</v>
      </c>
      <c r="BL147" s="76">
        <f>MAX(0,(BK147-Constantes!$D$13)*(1-EXP(-Constantes!$D$23)))</f>
        <v>1.5510369316502763E-2</v>
      </c>
      <c r="BM147" s="76">
        <f t="shared" si="36"/>
        <v>0.7724645995906303</v>
      </c>
      <c r="BN147" s="76">
        <f t="shared" si="41"/>
        <v>0.7724645995906303</v>
      </c>
      <c r="BO147" s="76">
        <f>0.0526*BI147*Observaciones!$F146^1.218</f>
        <v>0</v>
      </c>
      <c r="BP147" s="76">
        <f>BO147*Constantes!$E$51</f>
        <v>0</v>
      </c>
      <c r="BQ147" s="76">
        <f t="shared" si="37"/>
        <v>0</v>
      </c>
      <c r="BR147" s="40"/>
    </row>
    <row r="148" spans="1:70">
      <c r="A148" s="147"/>
      <c r="B148" s="39"/>
      <c r="C148" s="75">
        <v>142</v>
      </c>
      <c r="D148" s="146">
        <f>ETo!$I147*((1-Constantes!$E$19)*ETo!$K147+ETo!$L147)</f>
        <v>2.7703501661964061</v>
      </c>
      <c r="E148" s="76">
        <f>MIN(D148*Constantes!$E$17,0.8*(N147+Observaciones!$F147-F148-M148-Constantes!$D$14))</f>
        <v>-1.1347579742658809E-2</v>
      </c>
      <c r="F148" s="76">
        <f>IF(Observaciones!$F147&gt;0.05*Constantes!$E$18,((Observaciones!$F147-0.05*Constantes!$E$18)^2)/(Observaciones!$F147+0.95*Constantes!$E$18),0)</f>
        <v>0</v>
      </c>
      <c r="G148" s="76">
        <f>IF(Escenarios!$E$11&gt;0,(F148*Escenarios!$E$16*10000)/1000,0)</f>
        <v>0</v>
      </c>
      <c r="H148" s="76">
        <f>IF(Escenarios!$E$11&gt;0,(Observaciones!$F147*Constantes!$E$29)/1000,0)</f>
        <v>0</v>
      </c>
      <c r="I148" s="76">
        <f>IF(Escenarios!$E$11&gt;0,(D148*Constantes!$E$29)/1000,0)</f>
        <v>27.703501661964058</v>
      </c>
      <c r="J148" s="76">
        <f>IF(Escenarios!$E$11&gt;0,MAX(0,G148+H148-I148),0)</f>
        <v>0</v>
      </c>
      <c r="K148" s="76">
        <f>IF(Escenarios!$E$11&gt;0,IF(J148&gt;Constantes!$E$30,1000*((J148-Constantes!$E$30)/(Escenarios!$E$16*10000)),0),F148)</f>
        <v>0</v>
      </c>
      <c r="L148" s="76">
        <f>IF(Escenarios!$E$11&gt;0,I148*1000/Escenarios!$E$16/10000+E148,E148)</f>
        <v>-2.6617907787318713E-4</v>
      </c>
      <c r="M148" s="76">
        <f>MAX(0,N147+Observaciones!$F147-K148-Constantes!$D$13)</f>
        <v>0</v>
      </c>
      <c r="N148" s="76">
        <f>N147+Observaciones!$F147-K148-L148-M148-O147</f>
        <v>11.236081704399549</v>
      </c>
      <c r="O148" s="76">
        <f>MAX(0,(N148-Constantes!$D$14)*(1-EXP(-Constantes!$D$22)))</f>
        <v>0</v>
      </c>
      <c r="P148" s="170">
        <f>P147+(Entradas!$E$83*M148-Q147)/(800*Entradas!$D$25)</f>
        <v>0</v>
      </c>
      <c r="Q148" s="170">
        <f>8000*Entradas!$D$26*P148/Constantes!$E$45</f>
        <v>0</v>
      </c>
      <c r="R148" s="170">
        <f>IF(Escenarios!$E$14&gt;0,K148*Escenarios!$E$13/Escenarios!$E$14,0)</f>
        <v>0</v>
      </c>
      <c r="S148" s="170">
        <f>IF(Escenarios!$E$14&gt;0,Q148*Escenarios!$E$13/Escenarios!$E$14,0)</f>
        <v>0</v>
      </c>
      <c r="T148" s="170">
        <f>IF(Escenarios!$E$14&gt;0,Observaciones!$I147,0)</f>
        <v>0</v>
      </c>
      <c r="U148" s="170">
        <f>IF(Escenarios!$E$14&gt;0,MAX(0,Constantes!$E$36/((Z147+R148+S148+T148+Observaciones!$F147)^2)+Entradas!$E$77),0)</f>
        <v>0</v>
      </c>
      <c r="V148" s="146">
        <f>IF(ETo!D147&gt;0,ETo!I147*((1-Entradas!$E$81)*ETo!K147+ETo!L147),0)</f>
        <v>2.499186639760727</v>
      </c>
      <c r="W148" s="170">
        <f>IF(Escenarios!$E$14&gt;0,MIN(V148*1,0.8*(Z147+R148+S148+T148+Observaciones!$F147-U148-Constantes!$E$35)),0)</f>
        <v>1.3106955520925113E-10</v>
      </c>
      <c r="X148" s="170">
        <f>IF(Escenarios!$E$14&gt;0,Observaciones!$J147,0)</f>
        <v>0</v>
      </c>
      <c r="Y148" s="170">
        <f>IF(Escenarios!$E$14&gt;0,MAX(0,Z147+R148+S148+T148+Observaciones!$F147-U148-W148-X148-Constantes!$E$33),0)</f>
        <v>0</v>
      </c>
      <c r="Z148" s="170">
        <f>Z147+R148+S148+T148+Observaciones!$F147-U148-W148-Y148</f>
        <v>41.25000000003277</v>
      </c>
      <c r="AA148" s="170">
        <f>IF(Escenarios!$E$14&gt;0,(Escenarios!$E$13*L148+Escenarios!$E$14*W148)/(Escenarios!$E$16),L148)</f>
        <v>-2.3423757280005805E-4</v>
      </c>
      <c r="AB148" s="170">
        <f>IF(Escenarios!$E$14&gt;0,(Escenarios!$E$14*Y148)/(Escenarios!$E$16),K148)</f>
        <v>0</v>
      </c>
      <c r="AC148" s="170">
        <f>IF(Escenarios!$E$14&gt;0,(Escenarios!$E$13*M148+Escenarios!$E$14*U148)/(Escenarios!$E$16),M148)</f>
        <v>0</v>
      </c>
      <c r="AD148" s="76">
        <f t="shared" si="29"/>
        <v>124.81593549746059</v>
      </c>
      <c r="AE148" s="76">
        <f>MAX(0,(AD148-Constantes!$D$13)*(1-EXP(-Constantes!$D$23)))</f>
        <v>0.74949577995078542</v>
      </c>
      <c r="AF148" s="76">
        <f>AB148+O148*Escenarios!$E$13/Escenarios!$E$16+AE148</f>
        <v>0.74949577995078542</v>
      </c>
      <c r="AG148" s="76">
        <f>IF(Entradas!$E$91&gt;0,IF(AF148-Escenarios!$E$38&lt;=0,0,IF(AF148-Escenarios!$E$38&gt;Escenarios!$E$37,Escenarios!$E$37,AF148-Escenarios!$E$38)),0)</f>
        <v>0</v>
      </c>
      <c r="AH148" s="76">
        <f>AG148*Entradas!$E$99</f>
        <v>0</v>
      </c>
      <c r="AI148" s="76">
        <f>IF(Entradas!$E$91&gt;0,D148*Entradas!$D$23/Escenarios!$E$16,0)</f>
        <v>0</v>
      </c>
      <c r="AJ148" s="76">
        <f>IF(Entradas!$E$91&gt;0,Entradas!$D$24*Entradas!$D$22/Escenarios!$E$16,0)</f>
        <v>0</v>
      </c>
      <c r="AK148" s="76">
        <f t="shared" si="38"/>
        <v>-2.3423757280005805E-4</v>
      </c>
      <c r="AL148" s="76">
        <f t="shared" si="39"/>
        <v>0</v>
      </c>
      <c r="AM148" s="76">
        <f t="shared" si="30"/>
        <v>0</v>
      </c>
      <c r="AN148" s="76">
        <f>MAX(0,O148*Escenarios!$E$13/Escenarios!$E$16-AM148)</f>
        <v>0</v>
      </c>
      <c r="AO148" s="76">
        <f>AM148+AN148-O148*Escenarios!$E$13/Escenarios!$E$16</f>
        <v>0</v>
      </c>
      <c r="AP148" s="76">
        <f t="shared" si="28"/>
        <v>0.74949577995078542</v>
      </c>
      <c r="AQ148" s="76">
        <f t="shared" si="31"/>
        <v>0</v>
      </c>
      <c r="AR148" s="76">
        <f t="shared" si="32"/>
        <v>0.74949577995078542</v>
      </c>
      <c r="AS148" s="76">
        <f t="shared" si="33"/>
        <v>0</v>
      </c>
      <c r="AT148" s="76">
        <f t="shared" si="34"/>
        <v>0</v>
      </c>
      <c r="AU148" s="76">
        <f t="shared" si="35"/>
        <v>48.75</v>
      </c>
      <c r="AV148" s="76">
        <f>MAX(0,(AU148-Constantes!$D$13)*(1-EXP(-Constantes!$D$24)))</f>
        <v>0</v>
      </c>
      <c r="AW148" s="170">
        <f>AW147+(Entradas!$E$112*AT148-AX147)/(800*Entradas!$D$25)</f>
        <v>0</v>
      </c>
      <c r="AX148" s="170">
        <f>8000*Entradas!$D$26*AW148/Constantes!$E$45</f>
        <v>0</v>
      </c>
      <c r="AY148" s="170">
        <f>IF(Escenarios!$E$17&gt;0,10*Escenarios!$E$16*AL148,0)</f>
        <v>0</v>
      </c>
      <c r="AZ148" s="170">
        <f>IF(Escenarios!$E$17&gt;0,10*Escenarios!$E$16*AX148,0)</f>
        <v>0</v>
      </c>
      <c r="BA148" s="170">
        <f>IF(Escenarios!$E$17&gt;0,0.001*Observaciones!$F147*Escenarios!$E$17,0)</f>
        <v>0</v>
      </c>
      <c r="BB148" s="170">
        <f>IF(Escenarios!$E$17&gt;0,Observaciones!$K147,0)</f>
        <v>0</v>
      </c>
      <c r="BC148" s="170">
        <f>IF(Escenarios!$E$17&gt;0,MIN(0.0005*ETo!$M147*Escenarios!$E$17*(BG147/Constantes!$E$40)^(2/3),BG147+AY148+AZ148+BA148+BB148),0)</f>
        <v>13.770658375983588</v>
      </c>
      <c r="BD148" s="170">
        <f>IF(Escenarios!$E$17&gt;0,MIN(Constantes!$E$39*(BG147/Constantes!$E$40)^(2/3),BG147+AY148+AZ148+BA148+BB148-BC148),0)</f>
        <v>34.458585274854492</v>
      </c>
      <c r="BE148" s="170">
        <f>IF(Escenarios!$E$17&gt;0,MIN(Entradas!$E$113,BG147+AY148+AZ148+BA148+BB148-BC148-BD148),0)</f>
        <v>1</v>
      </c>
      <c r="BF148" s="170">
        <f>IF(Escenarios!$E$17&gt;0,MAX(0,BG147+AY148+AZ148+BA148+BB148-BC148-BD148-BE148-Constantes!$E$40),0)</f>
        <v>0</v>
      </c>
      <c r="BG148" s="170">
        <f t="shared" si="40"/>
        <v>1835.3739607046375</v>
      </c>
      <c r="BH148" s="170">
        <f>(Escenarios!$E$16*AK148+0.1*BC148)/(Escenarios!$E$19)</f>
        <v>5.2321684301521601E-3</v>
      </c>
      <c r="BI148" s="170">
        <f>IF(Escenarios!$E$17&gt;0,BF148/10/Escenarios!$E$19,AL148)</f>
        <v>0</v>
      </c>
      <c r="BJ148" s="170">
        <f>(Escenarios!$E$16*AT148+0.1*BD148)/(Escenarios!$E$19)</f>
        <v>1.3674041775735911E-2</v>
      </c>
      <c r="BK148" s="76">
        <f>BK147+(0.1*BD148)/(Escenarios!$E$19)-BL147</f>
        <v>50.322302958538152</v>
      </c>
      <c r="BL148" s="76">
        <f>MAX(0,(BK148-Constantes!$D$13)*(1-EXP(-Constantes!$D$23)))</f>
        <v>1.549227554386446E-2</v>
      </c>
      <c r="BM148" s="76">
        <f t="shared" si="36"/>
        <v>0.76498805549464988</v>
      </c>
      <c r="BN148" s="76">
        <f t="shared" si="41"/>
        <v>0.76498805549464988</v>
      </c>
      <c r="BO148" s="76">
        <f>0.0526*BI148*Observaciones!$F147^1.218</f>
        <v>0</v>
      </c>
      <c r="BP148" s="76">
        <f>BO148*Constantes!$E$51</f>
        <v>0</v>
      </c>
      <c r="BQ148" s="76">
        <f t="shared" si="37"/>
        <v>0</v>
      </c>
      <c r="BR148" s="40"/>
    </row>
    <row r="149" spans="1:70">
      <c r="A149" s="147"/>
      <c r="B149" s="39"/>
      <c r="C149" s="75">
        <v>143</v>
      </c>
      <c r="D149" s="146">
        <f>ETo!$I148*((1-Constantes!$E$19)*ETo!$K148+ETo!$L148)</f>
        <v>2.7039939180111272</v>
      </c>
      <c r="E149" s="76">
        <f>MIN(D149*Constantes!$E$17,0.8*(N148+Observaciones!$F148-F149-M149-Constantes!$D$14))</f>
        <v>-1.1134636480360883E-2</v>
      </c>
      <c r="F149" s="76">
        <f>IF(Observaciones!$F148&gt;0.05*Constantes!$E$18,((Observaciones!$F148-0.05*Constantes!$E$18)^2)/(Observaciones!$F148+0.95*Constantes!$E$18),0)</f>
        <v>0</v>
      </c>
      <c r="G149" s="76">
        <f>IF(Escenarios!$E$11&gt;0,(F149*Escenarios!$E$16*10000)/1000,0)</f>
        <v>0</v>
      </c>
      <c r="H149" s="76">
        <f>IF(Escenarios!$E$11&gt;0,(Observaciones!$F148*Constantes!$E$29)/1000,0)</f>
        <v>0</v>
      </c>
      <c r="I149" s="76">
        <f>IF(Escenarios!$E$11&gt;0,(D149*Constantes!$E$29)/1000,0)</f>
        <v>27.039939180111272</v>
      </c>
      <c r="J149" s="76">
        <f>IF(Escenarios!$E$11&gt;0,MAX(0,G149+H149-I149),0)</f>
        <v>0</v>
      </c>
      <c r="K149" s="76">
        <f>IF(Escenarios!$E$11&gt;0,IF(J149&gt;Constantes!$E$30,1000*((J149-Constantes!$E$30)/(Escenarios!$E$16*10000)),0),F149)</f>
        <v>0</v>
      </c>
      <c r="L149" s="76">
        <f>IF(Escenarios!$E$11&gt;0,I149*1000/Escenarios!$E$16/10000+E149,E149)</f>
        <v>-3.1866080831637403E-4</v>
      </c>
      <c r="M149" s="76">
        <f>MAX(0,N148+Observaciones!$F148-K149-Constantes!$D$13)</f>
        <v>0</v>
      </c>
      <c r="N149" s="76">
        <f>N148+Observaciones!$F148-K149-L149-M149-O148</f>
        <v>11.236400365207865</v>
      </c>
      <c r="O149" s="76">
        <f>MAX(0,(N149-Constantes!$D$14)*(1-EXP(-Constantes!$D$22)))</f>
        <v>0</v>
      </c>
      <c r="P149" s="170">
        <f>P148+(Entradas!$E$83*M149-Q148)/(800*Entradas!$D$25)</f>
        <v>0</v>
      </c>
      <c r="Q149" s="170">
        <f>8000*Entradas!$D$26*P149/Constantes!$E$45</f>
        <v>0</v>
      </c>
      <c r="R149" s="170">
        <f>IF(Escenarios!$E$14&gt;0,K149*Escenarios!$E$13/Escenarios!$E$14,0)</f>
        <v>0</v>
      </c>
      <c r="S149" s="170">
        <f>IF(Escenarios!$E$14&gt;0,Q149*Escenarios!$E$13/Escenarios!$E$14,0)</f>
        <v>0</v>
      </c>
      <c r="T149" s="170">
        <f>IF(Escenarios!$E$14&gt;0,Observaciones!$I148,0)</f>
        <v>0</v>
      </c>
      <c r="U149" s="170">
        <f>IF(Escenarios!$E$14&gt;0,MAX(0,Constantes!$E$36/((Z148+R149+S149+T149+Observaciones!$F148)^2)+Entradas!$E$77),0)</f>
        <v>0</v>
      </c>
      <c r="V149" s="146">
        <f>IF(ETo!D148&gt;0,ETo!I148*((1-Entradas!$E$81)*ETo!K148+ETo!L148),0)</f>
        <v>2.4383961811407007</v>
      </c>
      <c r="W149" s="170">
        <f>IF(Escenarios!$E$14&gt;0,MIN(V149*1,0.8*(Z148+R149+S149+T149+Observaciones!$F148-U149-Constantes!$E$35)),0)</f>
        <v>2.6216184778604659E-11</v>
      </c>
      <c r="X149" s="170">
        <f>IF(Escenarios!$E$14&gt;0,Observaciones!$J148,0)</f>
        <v>0</v>
      </c>
      <c r="Y149" s="170">
        <f>IF(Escenarios!$E$14&gt;0,MAX(0,Z148+R149+S149+T149+Observaciones!$F148-U149-W149-X149-Constantes!$E$33),0)</f>
        <v>0</v>
      </c>
      <c r="Z149" s="170">
        <f>Z148+R149+S149+T149+Observaciones!$F148-U149-W149-Y149</f>
        <v>41.250000000006551</v>
      </c>
      <c r="AA149" s="170">
        <f>IF(Escenarios!$E$14&gt;0,(Escenarios!$E$13*L149+Escenarios!$E$14*W149)/(Escenarios!$E$16),L149)</f>
        <v>-2.8042150817246699E-4</v>
      </c>
      <c r="AB149" s="170">
        <f>IF(Escenarios!$E$14&gt;0,(Escenarios!$E$14*Y149)/(Escenarios!$E$16),K149)</f>
        <v>0</v>
      </c>
      <c r="AC149" s="170">
        <f>IF(Escenarios!$E$14&gt;0,(Escenarios!$E$13*M149+Escenarios!$E$14*U149)/(Escenarios!$E$16),M149)</f>
        <v>0</v>
      </c>
      <c r="AD149" s="76">
        <f t="shared" si="29"/>
        <v>124.06643971750979</v>
      </c>
      <c r="AE149" s="76">
        <f>MAX(0,(AD149-Constantes!$D$13)*(1-EXP(-Constantes!$D$23)))</f>
        <v>0.74211081951494362</v>
      </c>
      <c r="AF149" s="76">
        <f>AB149+O149*Escenarios!$E$13/Escenarios!$E$16+AE149</f>
        <v>0.74211081951494362</v>
      </c>
      <c r="AG149" s="76">
        <f>IF(Entradas!$E$91&gt;0,IF(AF149-Escenarios!$E$38&lt;=0,0,IF(AF149-Escenarios!$E$38&gt;Escenarios!$E$37,Escenarios!$E$37,AF149-Escenarios!$E$38)),0)</f>
        <v>0</v>
      </c>
      <c r="AH149" s="76">
        <f>AG149*Entradas!$E$99</f>
        <v>0</v>
      </c>
      <c r="AI149" s="76">
        <f>IF(Entradas!$E$91&gt;0,D149*Entradas!$D$23/Escenarios!$E$16,0)</f>
        <v>0</v>
      </c>
      <c r="AJ149" s="76">
        <f>IF(Entradas!$E$91&gt;0,Entradas!$D$24*Entradas!$D$22/Escenarios!$E$16,0)</f>
        <v>0</v>
      </c>
      <c r="AK149" s="76">
        <f t="shared" si="38"/>
        <v>-2.8042150817246699E-4</v>
      </c>
      <c r="AL149" s="76">
        <f t="shared" si="39"/>
        <v>0</v>
      </c>
      <c r="AM149" s="76">
        <f t="shared" si="30"/>
        <v>0</v>
      </c>
      <c r="AN149" s="76">
        <f>MAX(0,O149*Escenarios!$E$13/Escenarios!$E$16-AM149)</f>
        <v>0</v>
      </c>
      <c r="AO149" s="76">
        <f>AM149+AN149-O149*Escenarios!$E$13/Escenarios!$E$16</f>
        <v>0</v>
      </c>
      <c r="AP149" s="76">
        <f t="shared" si="28"/>
        <v>0.74211081951494362</v>
      </c>
      <c r="AQ149" s="76">
        <f t="shared" si="31"/>
        <v>0</v>
      </c>
      <c r="AR149" s="76">
        <f t="shared" si="32"/>
        <v>0.74211081951494362</v>
      </c>
      <c r="AS149" s="76">
        <f t="shared" si="33"/>
        <v>0</v>
      </c>
      <c r="AT149" s="76">
        <f t="shared" si="34"/>
        <v>0</v>
      </c>
      <c r="AU149" s="76">
        <f t="shared" si="35"/>
        <v>48.75</v>
      </c>
      <c r="AV149" s="76">
        <f>MAX(0,(AU149-Constantes!$D$13)*(1-EXP(-Constantes!$D$24)))</f>
        <v>0</v>
      </c>
      <c r="AW149" s="170">
        <f>AW148+(Entradas!$E$112*AT149-AX148)/(800*Entradas!$D$25)</f>
        <v>0</v>
      </c>
      <c r="AX149" s="170">
        <f>8000*Entradas!$D$26*AW149/Constantes!$E$45</f>
        <v>0</v>
      </c>
      <c r="AY149" s="170">
        <f>IF(Escenarios!$E$17&gt;0,10*Escenarios!$E$16*AL149,0)</f>
        <v>0</v>
      </c>
      <c r="AZ149" s="170">
        <f>IF(Escenarios!$E$17&gt;0,10*Escenarios!$E$16*AX149,0)</f>
        <v>0</v>
      </c>
      <c r="BA149" s="170">
        <f>IF(Escenarios!$E$17&gt;0,0.001*Observaciones!$F148*Escenarios!$E$17,0)</f>
        <v>0</v>
      </c>
      <c r="BB149" s="170">
        <f>IF(Escenarios!$E$17&gt;0,Observaciones!$K148,0)</f>
        <v>0</v>
      </c>
      <c r="BC149" s="170">
        <f>IF(Escenarios!$E$17&gt;0,MIN(0.0005*ETo!$M148*Escenarios!$E$17*(BG148/Constantes!$E$40)^(2/3),BG148+AY149+AZ149+BA149+BB149),0)</f>
        <v>13.211910440187525</v>
      </c>
      <c r="BD149" s="170">
        <f>IF(Escenarios!$E$17&gt;0,MIN(Constantes!$E$39*(BG148/Constantes!$E$40)^(2/3),BG148+AY149+AZ149+BA149+BB149-BC149),0)</f>
        <v>33.855861570191152</v>
      </c>
      <c r="BE149" s="170">
        <f>IF(Escenarios!$E$17&gt;0,MIN(Entradas!$E$113,BG148+AY149+AZ149+BA149+BB149-BC149-BD149),0)</f>
        <v>1</v>
      </c>
      <c r="BF149" s="170">
        <f>IF(Escenarios!$E$17&gt;0,MAX(0,BG148+AY149+AZ149+BA149+BB149-BC149-BD149-BE149-Constantes!$E$40),0)</f>
        <v>0</v>
      </c>
      <c r="BG149" s="170">
        <f t="shared" si="40"/>
        <v>1787.3061886942589</v>
      </c>
      <c r="BH149" s="170">
        <f>(Escenarios!$E$16*AK149+0.1*BC149)/(Escenarios!$E$19)</f>
        <v>4.9646256626017298E-3</v>
      </c>
      <c r="BI149" s="170">
        <f>IF(Escenarios!$E$17&gt;0,BF149/10/Escenarios!$E$19,AL149)</f>
        <v>0</v>
      </c>
      <c r="BJ149" s="170">
        <f>(Escenarios!$E$16*AT149+0.1*BD149)/(Escenarios!$E$19)</f>
        <v>1.3434865702456807E-2</v>
      </c>
      <c r="BK149" s="76">
        <f>BK148+(0.1*BD149)/(Escenarios!$E$19)-BL148</f>
        <v>50.320245548696747</v>
      </c>
      <c r="BL149" s="76">
        <f>MAX(0,(BK149-Constantes!$D$13)*(1-EXP(-Constantes!$D$23)))</f>
        <v>1.5472003394660242E-2</v>
      </c>
      <c r="BM149" s="76">
        <f t="shared" si="36"/>
        <v>0.75758282290960388</v>
      </c>
      <c r="BN149" s="76">
        <f t="shared" si="41"/>
        <v>0.75758282290960388</v>
      </c>
      <c r="BO149" s="76">
        <f>0.0526*BI149*Observaciones!$F148^1.218</f>
        <v>0</v>
      </c>
      <c r="BP149" s="76">
        <f>BO149*Constantes!$E$51</f>
        <v>0</v>
      </c>
      <c r="BQ149" s="76">
        <f t="shared" si="37"/>
        <v>0</v>
      </c>
      <c r="BR149" s="40"/>
    </row>
    <row r="150" spans="1:70">
      <c r="A150" s="147"/>
      <c r="B150" s="39"/>
      <c r="C150" s="75">
        <v>144</v>
      </c>
      <c r="D150" s="146">
        <f>ETo!$I149*((1-Constantes!$E$19)*ETo!$K149+ETo!$L149)</f>
        <v>2.6759942819332236</v>
      </c>
      <c r="E150" s="76">
        <f>MIN(D150*Constantes!$E$17,0.8*(N149+Observaciones!$F149-F150-M150-Constantes!$D$14))</f>
        <v>-1.0879707833707642E-2</v>
      </c>
      <c r="F150" s="76">
        <f>IF(Observaciones!$F149&gt;0.05*Constantes!$E$18,((Observaciones!$F149-0.05*Constantes!$E$18)^2)/(Observaciones!$F149+0.95*Constantes!$E$18),0)</f>
        <v>0</v>
      </c>
      <c r="G150" s="76">
        <f>IF(Escenarios!$E$11&gt;0,(F150*Escenarios!$E$16*10000)/1000,0)</f>
        <v>0</v>
      </c>
      <c r="H150" s="76">
        <f>IF(Escenarios!$E$11&gt;0,(Observaciones!$F149*Constantes!$E$29)/1000,0)</f>
        <v>0</v>
      </c>
      <c r="I150" s="76">
        <f>IF(Escenarios!$E$11&gt;0,(D150*Constantes!$E$29)/1000,0)</f>
        <v>26.759942819332235</v>
      </c>
      <c r="J150" s="76">
        <f>IF(Escenarios!$E$11&gt;0,MAX(0,G150+H150-I150),0)</f>
        <v>0</v>
      </c>
      <c r="K150" s="76">
        <f>IF(Escenarios!$E$11&gt;0,IF(J150&gt;Constantes!$E$30,1000*((J150-Constantes!$E$30)/(Escenarios!$E$16*10000)),0),F150)</f>
        <v>0</v>
      </c>
      <c r="L150" s="76">
        <f>IF(Escenarios!$E$11&gt;0,I150*1000/Escenarios!$E$16/10000+E150,E150)</f>
        <v>-1.7573070597474809E-4</v>
      </c>
      <c r="M150" s="76">
        <f>MAX(0,N149+Observaciones!$F149-K150-Constantes!$D$13)</f>
        <v>0</v>
      </c>
      <c r="N150" s="76">
        <f>N149+Observaciones!$F149-K150-L150-M150-O149</f>
        <v>11.23657609591384</v>
      </c>
      <c r="O150" s="76">
        <f>MAX(0,(N150-Constantes!$D$14)*(1-EXP(-Constantes!$D$22)))</f>
        <v>0</v>
      </c>
      <c r="P150" s="170">
        <f>P149+(Entradas!$E$83*M150-Q149)/(800*Entradas!$D$25)</f>
        <v>0</v>
      </c>
      <c r="Q150" s="170">
        <f>8000*Entradas!$D$26*P150/Constantes!$E$45</f>
        <v>0</v>
      </c>
      <c r="R150" s="170">
        <f>IF(Escenarios!$E$14&gt;0,K150*Escenarios!$E$13/Escenarios!$E$14,0)</f>
        <v>0</v>
      </c>
      <c r="S150" s="170">
        <f>IF(Escenarios!$E$14&gt;0,Q150*Escenarios!$E$13/Escenarios!$E$14,0)</f>
        <v>0</v>
      </c>
      <c r="T150" s="170">
        <f>IF(Escenarios!$E$14&gt;0,Observaciones!$I149,0)</f>
        <v>0</v>
      </c>
      <c r="U150" s="170">
        <f>IF(Escenarios!$E$14&gt;0,MAX(0,Constantes!$E$36/((Z149+R150+S150+T150+Observaciones!$F149)^2)+Entradas!$E$77),0)</f>
        <v>0</v>
      </c>
      <c r="V150" s="146">
        <f>IF(ETo!D149&gt;0,ETo!I149*((1-Entradas!$E$81)*ETo!K149+ETo!L149),0)</f>
        <v>2.4125957000120719</v>
      </c>
      <c r="W150" s="170">
        <f>IF(Escenarios!$E$14&gt;0,MIN(V150*1,0.8*(Z149+R150+S150+T150+Observaciones!$F149-U150-Constantes!$E$35)),0)</f>
        <v>5.2409632189664991E-12</v>
      </c>
      <c r="X150" s="170">
        <f>IF(Escenarios!$E$14&gt;0,Observaciones!$J149,0)</f>
        <v>0</v>
      </c>
      <c r="Y150" s="170">
        <f>IF(Escenarios!$E$14&gt;0,MAX(0,Z149+R150+S150+T150+Observaciones!$F149-U150-W150-X150-Constantes!$E$33),0)</f>
        <v>0</v>
      </c>
      <c r="Z150" s="170">
        <f>Z149+R150+S150+T150+Observaciones!$F149-U150-W150-Y150</f>
        <v>41.250000000001307</v>
      </c>
      <c r="AA150" s="170">
        <f>IF(Escenarios!$E$14&gt;0,(Escenarios!$E$13*L150+Escenarios!$E$14*W150)/(Escenarios!$E$16),L150)</f>
        <v>-1.5464302062886273E-4</v>
      </c>
      <c r="AB150" s="170">
        <f>IF(Escenarios!$E$14&gt;0,(Escenarios!$E$14*Y150)/(Escenarios!$E$16),K150)</f>
        <v>0</v>
      </c>
      <c r="AC150" s="170">
        <f>IF(Escenarios!$E$14&gt;0,(Escenarios!$E$13*M150+Escenarios!$E$14*U150)/(Escenarios!$E$16),M150)</f>
        <v>0</v>
      </c>
      <c r="AD150" s="76">
        <f t="shared" si="29"/>
        <v>123.32432889799485</v>
      </c>
      <c r="AE150" s="76">
        <f>MAX(0,(AD150-Constantes!$D$13)*(1-EXP(-Constantes!$D$23)))</f>
        <v>0.73479862485323677</v>
      </c>
      <c r="AF150" s="76">
        <f>AB150+O150*Escenarios!$E$13/Escenarios!$E$16+AE150</f>
        <v>0.73479862485323677</v>
      </c>
      <c r="AG150" s="76">
        <f>IF(Entradas!$E$91&gt;0,IF(AF150-Escenarios!$E$38&lt;=0,0,IF(AF150-Escenarios!$E$38&gt;Escenarios!$E$37,Escenarios!$E$37,AF150-Escenarios!$E$38)),0)</f>
        <v>0</v>
      </c>
      <c r="AH150" s="76">
        <f>AG150*Entradas!$E$99</f>
        <v>0</v>
      </c>
      <c r="AI150" s="76">
        <f>IF(Entradas!$E$91&gt;0,D150*Entradas!$D$23/Escenarios!$E$16,0)</f>
        <v>0</v>
      </c>
      <c r="AJ150" s="76">
        <f>IF(Entradas!$E$91&gt;0,Entradas!$D$24*Entradas!$D$22/Escenarios!$E$16,0)</f>
        <v>0</v>
      </c>
      <c r="AK150" s="76">
        <f t="shared" si="38"/>
        <v>-1.5464302062886273E-4</v>
      </c>
      <c r="AL150" s="76">
        <f t="shared" si="39"/>
        <v>0</v>
      </c>
      <c r="AM150" s="76">
        <f t="shared" si="30"/>
        <v>0</v>
      </c>
      <c r="AN150" s="76">
        <f>MAX(0,O150*Escenarios!$E$13/Escenarios!$E$16-AM150)</f>
        <v>0</v>
      </c>
      <c r="AO150" s="76">
        <f>AM150+AN150-O150*Escenarios!$E$13/Escenarios!$E$16</f>
        <v>0</v>
      </c>
      <c r="AP150" s="76">
        <f t="shared" si="28"/>
        <v>0.73479862485323677</v>
      </c>
      <c r="AQ150" s="76">
        <f t="shared" si="31"/>
        <v>0</v>
      </c>
      <c r="AR150" s="76">
        <f t="shared" si="32"/>
        <v>0.73479862485323677</v>
      </c>
      <c r="AS150" s="76">
        <f t="shared" si="33"/>
        <v>0</v>
      </c>
      <c r="AT150" s="76">
        <f t="shared" si="34"/>
        <v>0</v>
      </c>
      <c r="AU150" s="76">
        <f t="shared" si="35"/>
        <v>48.75</v>
      </c>
      <c r="AV150" s="76">
        <f>MAX(0,(AU150-Constantes!$D$13)*(1-EXP(-Constantes!$D$24)))</f>
        <v>0</v>
      </c>
      <c r="AW150" s="170">
        <f>AW149+(Entradas!$E$112*AT150-AX149)/(800*Entradas!$D$25)</f>
        <v>0</v>
      </c>
      <c r="AX150" s="170">
        <f>8000*Entradas!$D$26*AW150/Constantes!$E$45</f>
        <v>0</v>
      </c>
      <c r="AY150" s="170">
        <f>IF(Escenarios!$E$17&gt;0,10*Escenarios!$E$16*AL150,0)</f>
        <v>0</v>
      </c>
      <c r="AZ150" s="170">
        <f>IF(Escenarios!$E$17&gt;0,10*Escenarios!$E$16*AX150,0)</f>
        <v>0</v>
      </c>
      <c r="BA150" s="170">
        <f>IF(Escenarios!$E$17&gt;0,0.001*Observaciones!$F149*Escenarios!$E$17,0)</f>
        <v>0</v>
      </c>
      <c r="BB150" s="170">
        <f>IF(Escenarios!$E$17&gt;0,Observaciones!$K149,0)</f>
        <v>0</v>
      </c>
      <c r="BC150" s="170">
        <f>IF(Escenarios!$E$17&gt;0,MIN(0.0005*ETo!$M149*Escenarios!$E$17*(BG149/Constantes!$E$40)^(2/3),BG149+AY150+AZ150+BA150+BB150),0)</f>
        <v>12.849411272222165</v>
      </c>
      <c r="BD150" s="170">
        <f>IF(Escenarios!$E$17&gt;0,MIN(Constantes!$E$39*(BG149/Constantes!$E$40)^(2/3),BG149+AY150+AZ150+BA150+BB150-BC150),0)</f>
        <v>33.26213581024777</v>
      </c>
      <c r="BE150" s="170">
        <f>IF(Escenarios!$E$17&gt;0,MIN(Entradas!$E$113,BG149+AY150+AZ150+BA150+BB150-BC150-BD150),0)</f>
        <v>1</v>
      </c>
      <c r="BF150" s="170">
        <f>IF(Escenarios!$E$17&gt;0,MAX(0,BG149+AY150+AZ150+BA150+BB150-BC150-BD150-BE150-Constantes!$E$40),0)</f>
        <v>0</v>
      </c>
      <c r="BG150" s="170">
        <f t="shared" si="40"/>
        <v>1740.1946416117889</v>
      </c>
      <c r="BH150" s="170">
        <f>(Escenarios!$E$16*AK150+0.1*BC150)/(Escenarios!$E$19)</f>
        <v>4.9455570320039713E-3</v>
      </c>
      <c r="BI150" s="170">
        <f>IF(Escenarios!$E$17&gt;0,BF150/10/Escenarios!$E$19,AL150)</f>
        <v>0</v>
      </c>
      <c r="BJ150" s="170">
        <f>(Escenarios!$E$16*AT150+0.1*BD150)/(Escenarios!$E$19)</f>
        <v>1.3199260242161814E-2</v>
      </c>
      <c r="BK150" s="76">
        <f>BK149+(0.1*BD150)/(Escenarios!$E$19)-BL149</f>
        <v>50.317972805544244</v>
      </c>
      <c r="BL150" s="76">
        <f>MAX(0,(BK150-Constantes!$D$13)*(1-EXP(-Constantes!$D$23)))</f>
        <v>1.5449609515053388E-2</v>
      </c>
      <c r="BM150" s="76">
        <f t="shared" si="36"/>
        <v>0.75024823436829013</v>
      </c>
      <c r="BN150" s="76">
        <f t="shared" si="41"/>
        <v>0.75024823436829013</v>
      </c>
      <c r="BO150" s="76">
        <f>0.0526*BI150*Observaciones!$F149^1.218</f>
        <v>0</v>
      </c>
      <c r="BP150" s="76">
        <f>BO150*Constantes!$E$51</f>
        <v>0</v>
      </c>
      <c r="BQ150" s="76">
        <f t="shared" si="37"/>
        <v>0</v>
      </c>
      <c r="BR150" s="40"/>
    </row>
    <row r="151" spans="1:70">
      <c r="A151" s="147"/>
      <c r="B151" s="39"/>
      <c r="C151" s="75">
        <v>145</v>
      </c>
      <c r="D151" s="146">
        <f>ETo!$I150*((1-Constantes!$E$19)*ETo!$K150+ETo!$L150)</f>
        <v>2.6330305379337502</v>
      </c>
      <c r="E151" s="76">
        <f>MIN(D151*Constantes!$E$17,0.8*(N150+Observaciones!$F150-F151-M151-Constantes!$D$14))</f>
        <v>-1.0739123268928098E-2</v>
      </c>
      <c r="F151" s="76">
        <f>IF(Observaciones!$F150&gt;0.05*Constantes!$E$18,((Observaciones!$F150-0.05*Constantes!$E$18)^2)/(Observaciones!$F150+0.95*Constantes!$E$18),0)</f>
        <v>0</v>
      </c>
      <c r="G151" s="76">
        <f>IF(Escenarios!$E$11&gt;0,(F151*Escenarios!$E$16*10000)/1000,0)</f>
        <v>0</v>
      </c>
      <c r="H151" s="76">
        <f>IF(Escenarios!$E$11&gt;0,(Observaciones!$F150*Constantes!$E$29)/1000,0)</f>
        <v>0</v>
      </c>
      <c r="I151" s="76">
        <f>IF(Escenarios!$E$11&gt;0,(D151*Constantes!$E$29)/1000,0)</f>
        <v>26.330305379337499</v>
      </c>
      <c r="J151" s="76">
        <f>IF(Escenarios!$E$11&gt;0,MAX(0,G151+H151-I151),0)</f>
        <v>0</v>
      </c>
      <c r="K151" s="76">
        <f>IF(Escenarios!$E$11&gt;0,IF(J151&gt;Constantes!$E$30,1000*((J151-Constantes!$E$30)/(Escenarios!$E$16*10000)),0),F151)</f>
        <v>0</v>
      </c>
      <c r="L151" s="76">
        <f>IF(Escenarios!$E$11&gt;0,I151*1000/Escenarios!$E$16/10000+E151,E151)</f>
        <v>-2.0700111719309904E-4</v>
      </c>
      <c r="M151" s="76">
        <f>MAX(0,N150+Observaciones!$F150-K151-Constantes!$D$13)</f>
        <v>0</v>
      </c>
      <c r="N151" s="76">
        <f>N150+Observaciones!$F150-K151-L151-M151-O150</f>
        <v>11.236783097031033</v>
      </c>
      <c r="O151" s="76">
        <f>MAX(0,(N151-Constantes!$D$14)*(1-EXP(-Constantes!$D$22)))</f>
        <v>0</v>
      </c>
      <c r="P151" s="170">
        <f>P150+(Entradas!$E$83*M151-Q150)/(800*Entradas!$D$25)</f>
        <v>0</v>
      </c>
      <c r="Q151" s="170">
        <f>8000*Entradas!$D$26*P151/Constantes!$E$45</f>
        <v>0</v>
      </c>
      <c r="R151" s="170">
        <f>IF(Escenarios!$E$14&gt;0,K151*Escenarios!$E$13/Escenarios!$E$14,0)</f>
        <v>0</v>
      </c>
      <c r="S151" s="170">
        <f>IF(Escenarios!$E$14&gt;0,Q151*Escenarios!$E$13/Escenarios!$E$14,0)</f>
        <v>0</v>
      </c>
      <c r="T151" s="170">
        <f>IF(Escenarios!$E$14&gt;0,Observaciones!$I150,0)</f>
        <v>0</v>
      </c>
      <c r="U151" s="170">
        <f>IF(Escenarios!$E$14&gt;0,MAX(0,Constantes!$E$36/((Z150+R151+S151+T151+Observaciones!$F150)^2)+Entradas!$E$77),0)</f>
        <v>0</v>
      </c>
      <c r="V151" s="146">
        <f>IF(ETo!D150&gt;0,ETo!I150*((1-Entradas!$E$81)*ETo!K150+ETo!L150),0)</f>
        <v>2.3732296180385024</v>
      </c>
      <c r="W151" s="170">
        <f>IF(Escenarios!$E$14&gt;0,MIN(V151*1,0.8*(Z150+R151+S151+T151+Observaciones!$F150-U151-Constantes!$E$35)),0)</f>
        <v>1.0459189070388676E-12</v>
      </c>
      <c r="X151" s="170">
        <f>IF(Escenarios!$E$14&gt;0,Observaciones!$J150,0)</f>
        <v>0</v>
      </c>
      <c r="Y151" s="170">
        <f>IF(Escenarios!$E$14&gt;0,MAX(0,Z150+R151+S151+T151+Observaciones!$F150-U151-W151-X151-Constantes!$E$33),0)</f>
        <v>0</v>
      </c>
      <c r="Z151" s="170">
        <f>Z150+R151+S151+T151+Observaciones!$F150-U151-W151-Y151</f>
        <v>41.250000000000263</v>
      </c>
      <c r="AA151" s="170">
        <f>IF(Escenarios!$E$14&gt;0,(Escenarios!$E$13*L151+Escenarios!$E$14*W151)/(Escenarios!$E$16),L151)</f>
        <v>-1.8216098300441688E-4</v>
      </c>
      <c r="AB151" s="170">
        <f>IF(Escenarios!$E$14&gt;0,(Escenarios!$E$14*Y151)/(Escenarios!$E$16),K151)</f>
        <v>0</v>
      </c>
      <c r="AC151" s="170">
        <f>IF(Escenarios!$E$14&gt;0,(Escenarios!$E$13*M151+Escenarios!$E$14*U151)/(Escenarios!$E$16),M151)</f>
        <v>0</v>
      </c>
      <c r="AD151" s="76">
        <f t="shared" si="29"/>
        <v>122.58953027314161</v>
      </c>
      <c r="AE151" s="76">
        <f>MAX(0,(AD151-Constantes!$D$13)*(1-EXP(-Constantes!$D$23)))</f>
        <v>0.72755847898716075</v>
      </c>
      <c r="AF151" s="76">
        <f>AB151+O151*Escenarios!$E$13/Escenarios!$E$16+AE151</f>
        <v>0.72755847898716075</v>
      </c>
      <c r="AG151" s="76">
        <f>IF(Entradas!$E$91&gt;0,IF(AF151-Escenarios!$E$38&lt;=0,0,IF(AF151-Escenarios!$E$38&gt;Escenarios!$E$37,Escenarios!$E$37,AF151-Escenarios!$E$38)),0)</f>
        <v>0</v>
      </c>
      <c r="AH151" s="76">
        <f>AG151*Entradas!$E$99</f>
        <v>0</v>
      </c>
      <c r="AI151" s="76">
        <f>IF(Entradas!$E$91&gt;0,D151*Entradas!$D$23/Escenarios!$E$16,0)</f>
        <v>0</v>
      </c>
      <c r="AJ151" s="76">
        <f>IF(Entradas!$E$91&gt;0,Entradas!$D$24*Entradas!$D$22/Escenarios!$E$16,0)</f>
        <v>0</v>
      </c>
      <c r="AK151" s="76">
        <f t="shared" si="38"/>
        <v>-1.8216098300441688E-4</v>
      </c>
      <c r="AL151" s="76">
        <f t="shared" si="39"/>
        <v>0</v>
      </c>
      <c r="AM151" s="76">
        <f t="shared" si="30"/>
        <v>0</v>
      </c>
      <c r="AN151" s="76">
        <f>MAX(0,O151*Escenarios!$E$13/Escenarios!$E$16-AM151)</f>
        <v>0</v>
      </c>
      <c r="AO151" s="76">
        <f>AM151+AN151-O151*Escenarios!$E$13/Escenarios!$E$16</f>
        <v>0</v>
      </c>
      <c r="AP151" s="76">
        <f t="shared" si="28"/>
        <v>0.72755847898716075</v>
      </c>
      <c r="AQ151" s="76">
        <f t="shared" si="31"/>
        <v>0</v>
      </c>
      <c r="AR151" s="76">
        <f t="shared" si="32"/>
        <v>0.72755847898716075</v>
      </c>
      <c r="AS151" s="76">
        <f t="shared" si="33"/>
        <v>0</v>
      </c>
      <c r="AT151" s="76">
        <f t="shared" si="34"/>
        <v>0</v>
      </c>
      <c r="AU151" s="76">
        <f t="shared" si="35"/>
        <v>48.75</v>
      </c>
      <c r="AV151" s="76">
        <f>MAX(0,(AU151-Constantes!$D$13)*(1-EXP(-Constantes!$D$24)))</f>
        <v>0</v>
      </c>
      <c r="AW151" s="170">
        <f>AW150+(Entradas!$E$112*AT151-AX150)/(800*Entradas!$D$25)</f>
        <v>0</v>
      </c>
      <c r="AX151" s="170">
        <f>8000*Entradas!$D$26*AW151/Constantes!$E$45</f>
        <v>0</v>
      </c>
      <c r="AY151" s="170">
        <f>IF(Escenarios!$E$17&gt;0,10*Escenarios!$E$16*AL151,0)</f>
        <v>0</v>
      </c>
      <c r="AZ151" s="170">
        <f>IF(Escenarios!$E$17&gt;0,10*Escenarios!$E$16*AX151,0)</f>
        <v>0</v>
      </c>
      <c r="BA151" s="170">
        <f>IF(Escenarios!$E$17&gt;0,0.001*Observaciones!$F150*Escenarios!$E$17,0)</f>
        <v>0</v>
      </c>
      <c r="BB151" s="170">
        <f>IF(Escenarios!$E$17&gt;0,Observaciones!$K150,0)</f>
        <v>0</v>
      </c>
      <c r="BC151" s="170">
        <f>IF(Escenarios!$E$17&gt;0,MIN(0.0005*ETo!$M150*Escenarios!$E$17*(BG150/Constantes!$E$40)^(2/3),BG150+AY151+AZ151+BA151+BB151),0)</f>
        <v>12.42400734842081</v>
      </c>
      <c r="BD151" s="170">
        <f>IF(Escenarios!$E$17&gt;0,MIN(Constantes!$E$39*(BG150/Constantes!$E$40)^(2/3),BG150+AY151+AZ151+BA151+BB151-BC151),0)</f>
        <v>32.675033716806034</v>
      </c>
      <c r="BE151" s="170">
        <f>IF(Escenarios!$E$17&gt;0,MIN(Entradas!$E$113,BG150+AY151+AZ151+BA151+BB151-BC151-BD151),0)</f>
        <v>1</v>
      </c>
      <c r="BF151" s="170">
        <f>IF(Escenarios!$E$17&gt;0,MAX(0,BG150+AY151+AZ151+BA151+BB151-BC151-BD151-BE151-Constantes!$E$40),0)</f>
        <v>0</v>
      </c>
      <c r="BG151" s="170">
        <f t="shared" si="40"/>
        <v>1694.0956005465621</v>
      </c>
      <c r="BH151" s="170">
        <f>(Escenarios!$E$16*AK151+0.1*BC151)/(Escenarios!$E$19)</f>
        <v>4.7494463852816539E-3</v>
      </c>
      <c r="BI151" s="170">
        <f>IF(Escenarios!$E$17&gt;0,BF151/10/Escenarios!$E$19,AL151)</f>
        <v>0</v>
      </c>
      <c r="BJ151" s="170">
        <f>(Escenarios!$E$16*AT151+0.1*BD151)/(Escenarios!$E$19)</f>
        <v>1.2966283220954776E-2</v>
      </c>
      <c r="BK151" s="76">
        <f>BK150+(0.1*BD151)/(Escenarios!$E$19)-BL150</f>
        <v>50.315489479250147</v>
      </c>
      <c r="BL151" s="76">
        <f>MAX(0,(BK151-Constantes!$D$13)*(1-EXP(-Constantes!$D$23)))</f>
        <v>1.5425140709595405E-2</v>
      </c>
      <c r="BM151" s="76">
        <f t="shared" si="36"/>
        <v>0.74298361969675619</v>
      </c>
      <c r="BN151" s="76">
        <f t="shared" si="41"/>
        <v>0.74298361969675619</v>
      </c>
      <c r="BO151" s="76">
        <f>0.0526*BI151*Observaciones!$F150^1.218</f>
        <v>0</v>
      </c>
      <c r="BP151" s="76">
        <f>BO151*Constantes!$E$51</f>
        <v>0</v>
      </c>
      <c r="BQ151" s="76">
        <f t="shared" si="37"/>
        <v>0</v>
      </c>
      <c r="BR151" s="40"/>
    </row>
    <row r="152" spans="1:70">
      <c r="A152" s="147"/>
      <c r="B152" s="39"/>
      <c r="C152" s="75">
        <v>146</v>
      </c>
      <c r="D152" s="146">
        <f>ETo!$I151*((1-Constantes!$E$19)*ETo!$K151+ETo!$L151)</f>
        <v>2.6831702260537424</v>
      </c>
      <c r="E152" s="76">
        <f>MIN(D152*Constantes!$E$17,0.8*(N151+Observaciones!$F151-F152-M152-Constantes!$D$14))</f>
        <v>-1.0573522375173639E-2</v>
      </c>
      <c r="F152" s="76">
        <f>IF(Observaciones!$F151&gt;0.05*Constantes!$E$18,((Observaciones!$F151-0.05*Constantes!$E$18)^2)/(Observaciones!$F151+0.95*Constantes!$E$18),0)</f>
        <v>0</v>
      </c>
      <c r="G152" s="76">
        <f>IF(Escenarios!$E$11&gt;0,(F152*Escenarios!$E$16*10000)/1000,0)</f>
        <v>0</v>
      </c>
      <c r="H152" s="76">
        <f>IF(Escenarios!$E$11&gt;0,(Observaciones!$F151*Constantes!$E$29)/1000,0)</f>
        <v>0</v>
      </c>
      <c r="I152" s="76">
        <f>IF(Escenarios!$E$11&gt;0,(D152*Constantes!$E$29)/1000,0)</f>
        <v>26.831702260537426</v>
      </c>
      <c r="J152" s="76">
        <f>IF(Escenarios!$E$11&gt;0,MAX(0,G152+H152-I152),0)</f>
        <v>0</v>
      </c>
      <c r="K152" s="76">
        <f>IF(Escenarios!$E$11&gt;0,IF(J152&gt;Constantes!$E$30,1000*((J152-Constantes!$E$30)/(Escenarios!$E$16*10000)),0),F152)</f>
        <v>0</v>
      </c>
      <c r="L152" s="76">
        <f>IF(Escenarios!$E$11&gt;0,I152*1000/Escenarios!$E$16/10000+E152,E152)</f>
        <v>1.591585290413311E-4</v>
      </c>
      <c r="M152" s="76">
        <f>MAX(0,N151+Observaciones!$F151-K152-Constantes!$D$13)</f>
        <v>0</v>
      </c>
      <c r="N152" s="76">
        <f>N151+Observaciones!$F151-K152-L152-M152-O151</f>
        <v>11.236623938501992</v>
      </c>
      <c r="O152" s="76">
        <f>MAX(0,(N152-Constantes!$D$14)*(1-EXP(-Constantes!$D$22)))</f>
        <v>0</v>
      </c>
      <c r="P152" s="170">
        <f>P151+(Entradas!$E$83*M152-Q151)/(800*Entradas!$D$25)</f>
        <v>0</v>
      </c>
      <c r="Q152" s="170">
        <f>8000*Entradas!$D$26*P152/Constantes!$E$45</f>
        <v>0</v>
      </c>
      <c r="R152" s="170">
        <f>IF(Escenarios!$E$14&gt;0,K152*Escenarios!$E$13/Escenarios!$E$14,0)</f>
        <v>0</v>
      </c>
      <c r="S152" s="170">
        <f>IF(Escenarios!$E$14&gt;0,Q152*Escenarios!$E$13/Escenarios!$E$14,0)</f>
        <v>0</v>
      </c>
      <c r="T152" s="170">
        <f>IF(Escenarios!$E$14&gt;0,Observaciones!$I151,0)</f>
        <v>0</v>
      </c>
      <c r="U152" s="170">
        <f>IF(Escenarios!$E$14&gt;0,MAX(0,Constantes!$E$36/((Z151+R152+S152+T152+Observaciones!$F151)^2)+Entradas!$E$77),0)</f>
        <v>0</v>
      </c>
      <c r="V152" s="146">
        <f>IF(ETo!D151&gt;0,ETo!I151*((1-Entradas!$E$81)*ETo!K151+ETo!L151),0)</f>
        <v>2.4184918639237911</v>
      </c>
      <c r="W152" s="170">
        <f>IF(Escenarios!$E$14&gt;0,MIN(V152*1,0.8*(Z151+R152+S152+T152+Observaciones!$F151-U152-Constantes!$E$35)),0)</f>
        <v>2.1032064978498967E-13</v>
      </c>
      <c r="X152" s="170">
        <f>IF(Escenarios!$E$14&gt;0,Observaciones!$J151,0)</f>
        <v>0</v>
      </c>
      <c r="Y152" s="170">
        <f>IF(Escenarios!$E$14&gt;0,MAX(0,Z151+R152+S152+T152+Observaciones!$F151-U152-W152-X152-Constantes!$E$33),0)</f>
        <v>0</v>
      </c>
      <c r="Z152" s="170">
        <f>Z151+R152+S152+T152+Observaciones!$F151-U152-W152-Y152</f>
        <v>41.25000000000005</v>
      </c>
      <c r="AA152" s="170">
        <f>IF(Escenarios!$E$14&gt;0,(Escenarios!$E$13*L152+Escenarios!$E$14*W152)/(Escenarios!$E$16),L152)</f>
        <v>1.4005950558160986E-4</v>
      </c>
      <c r="AB152" s="170">
        <f>IF(Escenarios!$E$14&gt;0,(Escenarios!$E$14*Y152)/(Escenarios!$E$16),K152)</f>
        <v>0</v>
      </c>
      <c r="AC152" s="170">
        <f>IF(Escenarios!$E$14&gt;0,(Escenarios!$E$13*M152+Escenarios!$E$14*U152)/(Escenarios!$E$16),M152)</f>
        <v>0</v>
      </c>
      <c r="AD152" s="76">
        <f t="shared" si="29"/>
        <v>121.86197179415444</v>
      </c>
      <c r="AE152" s="76">
        <f>MAX(0,(AD152-Constantes!$D$13)*(1-EXP(-Constantes!$D$23)))</f>
        <v>0.7203896720027716</v>
      </c>
      <c r="AF152" s="76">
        <f>AB152+O152*Escenarios!$E$13/Escenarios!$E$16+AE152</f>
        <v>0.7203896720027716</v>
      </c>
      <c r="AG152" s="76">
        <f>IF(Entradas!$E$91&gt;0,IF(AF152-Escenarios!$E$38&lt;=0,0,IF(AF152-Escenarios!$E$38&gt;Escenarios!$E$37,Escenarios!$E$37,AF152-Escenarios!$E$38)),0)</f>
        <v>0</v>
      </c>
      <c r="AH152" s="76">
        <f>AG152*Entradas!$E$99</f>
        <v>0</v>
      </c>
      <c r="AI152" s="76">
        <f>IF(Entradas!$E$91&gt;0,D152*Entradas!$D$23/Escenarios!$E$16,0)</f>
        <v>0</v>
      </c>
      <c r="AJ152" s="76">
        <f>IF(Entradas!$E$91&gt;0,Entradas!$D$24*Entradas!$D$22/Escenarios!$E$16,0)</f>
        <v>0</v>
      </c>
      <c r="AK152" s="76">
        <f t="shared" si="38"/>
        <v>1.4005950558160986E-4</v>
      </c>
      <c r="AL152" s="76">
        <f t="shared" si="39"/>
        <v>0</v>
      </c>
      <c r="AM152" s="76">
        <f t="shared" si="30"/>
        <v>0</v>
      </c>
      <c r="AN152" s="76">
        <f>MAX(0,O152*Escenarios!$E$13/Escenarios!$E$16-AM152)</f>
        <v>0</v>
      </c>
      <c r="AO152" s="76">
        <f>AM152+AN152-O152*Escenarios!$E$13/Escenarios!$E$16</f>
        <v>0</v>
      </c>
      <c r="AP152" s="76">
        <f t="shared" si="28"/>
        <v>0.7203896720027716</v>
      </c>
      <c r="AQ152" s="76">
        <f t="shared" si="31"/>
        <v>0</v>
      </c>
      <c r="AR152" s="76">
        <f t="shared" si="32"/>
        <v>0.7203896720027716</v>
      </c>
      <c r="AS152" s="76">
        <f t="shared" si="33"/>
        <v>0</v>
      </c>
      <c r="AT152" s="76">
        <f t="shared" si="34"/>
        <v>0</v>
      </c>
      <c r="AU152" s="76">
        <f t="shared" si="35"/>
        <v>48.75</v>
      </c>
      <c r="AV152" s="76">
        <f>MAX(0,(AU152-Constantes!$D$13)*(1-EXP(-Constantes!$D$24)))</f>
        <v>0</v>
      </c>
      <c r="AW152" s="170">
        <f>AW151+(Entradas!$E$112*AT152-AX151)/(800*Entradas!$D$25)</f>
        <v>0</v>
      </c>
      <c r="AX152" s="170">
        <f>8000*Entradas!$D$26*AW152/Constantes!$E$45</f>
        <v>0</v>
      </c>
      <c r="AY152" s="170">
        <f>IF(Escenarios!$E$17&gt;0,10*Escenarios!$E$16*AL152,0)</f>
        <v>0</v>
      </c>
      <c r="AZ152" s="170">
        <f>IF(Escenarios!$E$17&gt;0,10*Escenarios!$E$16*AX152,0)</f>
        <v>0</v>
      </c>
      <c r="BA152" s="170">
        <f>IF(Escenarios!$E$17&gt;0,0.001*Observaciones!$F151*Escenarios!$E$17,0)</f>
        <v>0</v>
      </c>
      <c r="BB152" s="170">
        <f>IF(Escenarios!$E$17&gt;0,Observaciones!$K151,0)</f>
        <v>0</v>
      </c>
      <c r="BC152" s="170">
        <f>IF(Escenarios!$E$17&gt;0,MIN(0.0005*ETo!$M151*Escenarios!$E$17*(BG151/Constantes!$E$40)^(2/3),BG151+AY152+AZ152+BA152+BB152),0)</f>
        <v>12.435560310365663</v>
      </c>
      <c r="BD152" s="170">
        <f>IF(Escenarios!$E$17&gt;0,MIN(Constantes!$E$39*(BG151/Constantes!$E$40)^(2/3),BG151+AY152+AZ152+BA152+BB152-BC152),0)</f>
        <v>32.095398288884361</v>
      </c>
      <c r="BE152" s="170">
        <f>IF(Escenarios!$E$17&gt;0,MIN(Entradas!$E$113,BG151+AY152+AZ152+BA152+BB152-BC152-BD152),0)</f>
        <v>1</v>
      </c>
      <c r="BF152" s="170">
        <f>IF(Escenarios!$E$17&gt;0,MAX(0,BG151+AY152+AZ152+BA152+BB152-BC152-BD152-BE152-Constantes!$E$40),0)</f>
        <v>0</v>
      </c>
      <c r="BG152" s="170">
        <f t="shared" si="40"/>
        <v>1648.5646419473121</v>
      </c>
      <c r="BH152" s="170">
        <f>(Escenarios!$E$16*AK152+0.1*BC152)/(Escenarios!$E$19)</f>
        <v>5.0736940771109879E-3</v>
      </c>
      <c r="BI152" s="170">
        <f>IF(Escenarios!$E$17&gt;0,BF152/10/Escenarios!$E$19,AL152)</f>
        <v>0</v>
      </c>
      <c r="BJ152" s="170">
        <f>(Escenarios!$E$16*AT152+0.1*BD152)/(Escenarios!$E$19)</f>
        <v>1.27362691622557E-2</v>
      </c>
      <c r="BK152" s="76">
        <f>BK151+(0.1*BD152)/(Escenarios!$E$19)-BL151</f>
        <v>50.312800607702805</v>
      </c>
      <c r="BL152" s="76">
        <f>MAX(0,(BK152-Constantes!$D$13)*(1-EXP(-Constantes!$D$23)))</f>
        <v>1.5398646617800141E-2</v>
      </c>
      <c r="BM152" s="76">
        <f t="shared" si="36"/>
        <v>0.7357883186205717</v>
      </c>
      <c r="BN152" s="76">
        <f t="shared" si="41"/>
        <v>0.7357883186205717</v>
      </c>
      <c r="BO152" s="76">
        <f>0.0526*BI152*Observaciones!$F151^1.218</f>
        <v>0</v>
      </c>
      <c r="BP152" s="76">
        <f>BO152*Constantes!$E$51</f>
        <v>0</v>
      </c>
      <c r="BQ152" s="76">
        <f t="shared" si="37"/>
        <v>0</v>
      </c>
      <c r="BR152" s="40"/>
    </row>
    <row r="153" spans="1:70">
      <c r="A153" s="147"/>
      <c r="B153" s="39"/>
      <c r="C153" s="75">
        <v>147</v>
      </c>
      <c r="D153" s="146">
        <f>ETo!$I152*((1-Constantes!$E$19)*ETo!$K152+ETo!$L152)</f>
        <v>2.6933193658541574</v>
      </c>
      <c r="E153" s="76">
        <f>MIN(D153*Constantes!$E$17,0.8*(N152+Observaciones!$F152-F153-M153-Constantes!$D$14))</f>
        <v>-1.0700849198406104E-2</v>
      </c>
      <c r="F153" s="76">
        <f>IF(Observaciones!$F152&gt;0.05*Constantes!$E$18,((Observaciones!$F152-0.05*Constantes!$E$18)^2)/(Observaciones!$F152+0.95*Constantes!$E$18),0)</f>
        <v>0</v>
      </c>
      <c r="G153" s="76">
        <f>IF(Escenarios!$E$11&gt;0,(F153*Escenarios!$E$16*10000)/1000,0)</f>
        <v>0</v>
      </c>
      <c r="H153" s="76">
        <f>IF(Escenarios!$E$11&gt;0,(Observaciones!$F152*Constantes!$E$29)/1000,0)</f>
        <v>0</v>
      </c>
      <c r="I153" s="76">
        <f>IF(Escenarios!$E$11&gt;0,(D153*Constantes!$E$29)/1000,0)</f>
        <v>26.933193658541576</v>
      </c>
      <c r="J153" s="76">
        <f>IF(Escenarios!$E$11&gt;0,MAX(0,G153+H153-I153),0)</f>
        <v>0</v>
      </c>
      <c r="K153" s="76">
        <f>IF(Escenarios!$E$11&gt;0,IF(J153&gt;Constantes!$E$30,1000*((J153-Constantes!$E$30)/(Escenarios!$E$16*10000)),0),F153)</f>
        <v>0</v>
      </c>
      <c r="L153" s="76">
        <f>IF(Escenarios!$E$11&gt;0,I153*1000/Escenarios!$E$16/10000+E153,E153)</f>
        <v>7.2428265010526793E-5</v>
      </c>
      <c r="M153" s="76">
        <f>MAX(0,N152+Observaciones!$F152-K153-Constantes!$D$13)</f>
        <v>0</v>
      </c>
      <c r="N153" s="76">
        <f>N152+Observaciones!$F152-K153-L153-M153-O152</f>
        <v>11.236551510236982</v>
      </c>
      <c r="O153" s="76">
        <f>MAX(0,(N153-Constantes!$D$14)*(1-EXP(-Constantes!$D$22)))</f>
        <v>0</v>
      </c>
      <c r="P153" s="170">
        <f>P152+(Entradas!$E$83*M153-Q152)/(800*Entradas!$D$25)</f>
        <v>0</v>
      </c>
      <c r="Q153" s="170">
        <f>8000*Entradas!$D$26*P153/Constantes!$E$45</f>
        <v>0</v>
      </c>
      <c r="R153" s="170">
        <f>IF(Escenarios!$E$14&gt;0,K153*Escenarios!$E$13/Escenarios!$E$14,0)</f>
        <v>0</v>
      </c>
      <c r="S153" s="170">
        <f>IF(Escenarios!$E$14&gt;0,Q153*Escenarios!$E$13/Escenarios!$E$14,0)</f>
        <v>0</v>
      </c>
      <c r="T153" s="170">
        <f>IF(Escenarios!$E$14&gt;0,Observaciones!$I152,0)</f>
        <v>0</v>
      </c>
      <c r="U153" s="170">
        <f>IF(Escenarios!$E$14&gt;0,MAX(0,Constantes!$E$36/((Z152+R153+S153+T153+Observaciones!$F152)^2)+Entradas!$E$77),0)</f>
        <v>0</v>
      </c>
      <c r="V153" s="146">
        <f>IF(ETo!D152&gt;0,ETo!I152*((1-Entradas!$E$81)*ETo!K152+ETo!L152),0)</f>
        <v>2.427442624458557</v>
      </c>
      <c r="W153" s="170">
        <f>IF(Escenarios!$E$14&gt;0,MIN(V153*1,0.8*(Z152+R153+S153+T153+Observaciones!$F152-U153-Constantes!$E$35)),0)</f>
        <v>3.9790393202565614E-14</v>
      </c>
      <c r="X153" s="170">
        <f>IF(Escenarios!$E$14&gt;0,Observaciones!$J152,0)</f>
        <v>0</v>
      </c>
      <c r="Y153" s="170">
        <f>IF(Escenarios!$E$14&gt;0,MAX(0,Z152+R153+S153+T153+Observaciones!$F152-U153-W153-X153-Constantes!$E$33),0)</f>
        <v>0</v>
      </c>
      <c r="Z153" s="170">
        <f>Z152+R153+S153+T153+Observaciones!$F152-U153-W153-Y153</f>
        <v>41.250000000000007</v>
      </c>
      <c r="AA153" s="170">
        <f>IF(Escenarios!$E$14&gt;0,(Escenarios!$E$13*L153+Escenarios!$E$14*W153)/(Escenarios!$E$16),L153)</f>
        <v>6.3736873214038432E-5</v>
      </c>
      <c r="AB153" s="170">
        <f>IF(Escenarios!$E$14&gt;0,(Escenarios!$E$14*Y153)/(Escenarios!$E$16),K153)</f>
        <v>0</v>
      </c>
      <c r="AC153" s="170">
        <f>IF(Escenarios!$E$14&gt;0,(Escenarios!$E$13*M153+Escenarios!$E$14*U153)/(Escenarios!$E$16),M153)</f>
        <v>0</v>
      </c>
      <c r="AD153" s="76">
        <f t="shared" si="29"/>
        <v>121.14158212215168</v>
      </c>
      <c r="AE153" s="76">
        <f>MAX(0,(AD153-Constantes!$D$13)*(1-EXP(-Constantes!$D$23)))</f>
        <v>0.71329150098107641</v>
      </c>
      <c r="AF153" s="76">
        <f>AB153+O153*Escenarios!$E$13/Escenarios!$E$16+AE153</f>
        <v>0.71329150098107641</v>
      </c>
      <c r="AG153" s="76">
        <f>IF(Entradas!$E$91&gt;0,IF(AF153-Escenarios!$E$38&lt;=0,0,IF(AF153-Escenarios!$E$38&gt;Escenarios!$E$37,Escenarios!$E$37,AF153-Escenarios!$E$38)),0)</f>
        <v>0</v>
      </c>
      <c r="AH153" s="76">
        <f>AG153*Entradas!$E$99</f>
        <v>0</v>
      </c>
      <c r="AI153" s="76">
        <f>IF(Entradas!$E$91&gt;0,D153*Entradas!$D$23/Escenarios!$E$16,0)</f>
        <v>0</v>
      </c>
      <c r="AJ153" s="76">
        <f>IF(Entradas!$E$91&gt;0,Entradas!$D$24*Entradas!$D$22/Escenarios!$E$16,0)</f>
        <v>0</v>
      </c>
      <c r="AK153" s="76">
        <f t="shared" si="38"/>
        <v>6.3736873214038432E-5</v>
      </c>
      <c r="AL153" s="76">
        <f t="shared" si="39"/>
        <v>0</v>
      </c>
      <c r="AM153" s="76">
        <f t="shared" si="30"/>
        <v>0</v>
      </c>
      <c r="AN153" s="76">
        <f>MAX(0,O153*Escenarios!$E$13/Escenarios!$E$16-AM153)</f>
        <v>0</v>
      </c>
      <c r="AO153" s="76">
        <f>AM153+AN153-O153*Escenarios!$E$13/Escenarios!$E$16</f>
        <v>0</v>
      </c>
      <c r="AP153" s="76">
        <f t="shared" si="28"/>
        <v>0.71329150098107641</v>
      </c>
      <c r="AQ153" s="76">
        <f t="shared" si="31"/>
        <v>0</v>
      </c>
      <c r="AR153" s="76">
        <f t="shared" si="32"/>
        <v>0.71329150098107641</v>
      </c>
      <c r="AS153" s="76">
        <f t="shared" si="33"/>
        <v>0</v>
      </c>
      <c r="AT153" s="76">
        <f t="shared" si="34"/>
        <v>0</v>
      </c>
      <c r="AU153" s="76">
        <f t="shared" si="35"/>
        <v>48.75</v>
      </c>
      <c r="AV153" s="76">
        <f>MAX(0,(AU153-Constantes!$D$13)*(1-EXP(-Constantes!$D$24)))</f>
        <v>0</v>
      </c>
      <c r="AW153" s="170">
        <f>AW152+(Entradas!$E$112*AT153-AX152)/(800*Entradas!$D$25)</f>
        <v>0</v>
      </c>
      <c r="AX153" s="170">
        <f>8000*Entradas!$D$26*AW153/Constantes!$E$45</f>
        <v>0</v>
      </c>
      <c r="AY153" s="170">
        <f>IF(Escenarios!$E$17&gt;0,10*Escenarios!$E$16*AL153,0)</f>
        <v>0</v>
      </c>
      <c r="AZ153" s="170">
        <f>IF(Escenarios!$E$17&gt;0,10*Escenarios!$E$16*AX153,0)</f>
        <v>0</v>
      </c>
      <c r="BA153" s="170">
        <f>IF(Escenarios!$E$17&gt;0,0.001*Observaciones!$F152*Escenarios!$E$17,0)</f>
        <v>0</v>
      </c>
      <c r="BB153" s="170">
        <f>IF(Escenarios!$E$17&gt;0,Observaciones!$K152,0)</f>
        <v>0</v>
      </c>
      <c r="BC153" s="170">
        <f>IF(Escenarios!$E$17&gt;0,MIN(0.0005*ETo!$M152*Escenarios!$E$17*(BG152/Constantes!$E$40)^(2/3),BG152+AY153+AZ153+BA153+BB153),0)</f>
        <v>12.259149653007642</v>
      </c>
      <c r="BD153" s="170">
        <f>IF(Escenarios!$E$17&gt;0,MIN(Constantes!$E$39*(BG152/Constantes!$E$40)^(2/3),BG152+AY153+AZ153+BA153+BB153-BC153),0)</f>
        <v>31.517721501280992</v>
      </c>
      <c r="BE153" s="170">
        <f>IF(Escenarios!$E$17&gt;0,MIN(Entradas!$E$113,BG152+AY153+AZ153+BA153+BB153-BC153-BD153),0)</f>
        <v>1</v>
      </c>
      <c r="BF153" s="170">
        <f>IF(Escenarios!$E$17&gt;0,MAX(0,BG152+AY153+AZ153+BA153+BB153-BC153-BD153-BE153-Constantes!$E$40),0)</f>
        <v>0</v>
      </c>
      <c r="BG153" s="170">
        <f t="shared" si="40"/>
        <v>1603.7877707930236</v>
      </c>
      <c r="BH153" s="170">
        <f>(Escenarios!$E$16*AK153+0.1*BC153)/(Escenarios!$E$19)</f>
        <v>4.92797295081061E-3</v>
      </c>
      <c r="BI153" s="170">
        <f>IF(Escenarios!$E$17&gt;0,BF153/10/Escenarios!$E$19,AL153)</f>
        <v>0</v>
      </c>
      <c r="BJ153" s="170">
        <f>(Escenarios!$E$16*AT153+0.1*BD153)/(Escenarios!$E$19)</f>
        <v>1.2507032341778173E-2</v>
      </c>
      <c r="BK153" s="76">
        <f>BK152+(0.1*BD153)/(Escenarios!$E$19)-BL152</f>
        <v>50.309908993426788</v>
      </c>
      <c r="BL153" s="76">
        <f>MAX(0,(BK153-Constantes!$D$13)*(1-EXP(-Constantes!$D$23)))</f>
        <v>1.5370154853609687E-2</v>
      </c>
      <c r="BM153" s="76">
        <f t="shared" si="36"/>
        <v>0.72866165583468612</v>
      </c>
      <c r="BN153" s="76">
        <f t="shared" si="41"/>
        <v>0.72866165583468612</v>
      </c>
      <c r="BO153" s="76">
        <f>0.0526*BI153*Observaciones!$F152^1.218</f>
        <v>0</v>
      </c>
      <c r="BP153" s="76">
        <f>BO153*Constantes!$E$51</f>
        <v>0</v>
      </c>
      <c r="BQ153" s="76">
        <f t="shared" si="37"/>
        <v>0</v>
      </c>
      <c r="BR153" s="40"/>
    </row>
    <row r="154" spans="1:70">
      <c r="A154" s="147"/>
      <c r="B154" s="39"/>
      <c r="C154" s="75">
        <v>148</v>
      </c>
      <c r="D154" s="146">
        <f>ETo!$I153*((1-Constantes!$E$19)*ETo!$K153+ETo!$L153)</f>
        <v>2.6360154300140941</v>
      </c>
      <c r="E154" s="76">
        <f>MIN(D154*Constantes!$E$17,0.8*(N153+Observaciones!$F153-F154-M154-Constantes!$D$14))</f>
        <v>-1.0758791810414437E-2</v>
      </c>
      <c r="F154" s="76">
        <f>IF(Observaciones!$F153&gt;0.05*Constantes!$E$18,((Observaciones!$F153-0.05*Constantes!$E$18)^2)/(Observaciones!$F153+0.95*Constantes!$E$18),0)</f>
        <v>0</v>
      </c>
      <c r="G154" s="76">
        <f>IF(Escenarios!$E$11&gt;0,(F154*Escenarios!$E$16*10000)/1000,0)</f>
        <v>0</v>
      </c>
      <c r="H154" s="76">
        <f>IF(Escenarios!$E$11&gt;0,(Observaciones!$F153*Constantes!$E$29)/1000,0)</f>
        <v>0</v>
      </c>
      <c r="I154" s="76">
        <f>IF(Escenarios!$E$11&gt;0,(D154*Constantes!$E$29)/1000,0)</f>
        <v>26.360154300140941</v>
      </c>
      <c r="J154" s="76">
        <f>IF(Escenarios!$E$11&gt;0,MAX(0,G154+H154-I154),0)</f>
        <v>0</v>
      </c>
      <c r="K154" s="76">
        <f>IF(Escenarios!$E$11&gt;0,IF(J154&gt;Constantes!$E$30,1000*((J154-Constantes!$E$30)/(Escenarios!$E$16*10000)),0),F154)</f>
        <v>0</v>
      </c>
      <c r="L154" s="76">
        <f>IF(Escenarios!$E$11&gt;0,I154*1000/Escenarios!$E$16/10000+E154,E154)</f>
        <v>-2.1473009035806109E-4</v>
      </c>
      <c r="M154" s="76">
        <f>MAX(0,N153+Observaciones!$F153-K154-Constantes!$D$13)</f>
        <v>0</v>
      </c>
      <c r="N154" s="76">
        <f>N153+Observaciones!$F153-K154-L154-M154-O153</f>
        <v>11.23676624032734</v>
      </c>
      <c r="O154" s="76">
        <f>MAX(0,(N154-Constantes!$D$14)*(1-EXP(-Constantes!$D$22)))</f>
        <v>0</v>
      </c>
      <c r="P154" s="170">
        <f>P153+(Entradas!$E$83*M154-Q153)/(800*Entradas!$D$25)</f>
        <v>0</v>
      </c>
      <c r="Q154" s="170">
        <f>8000*Entradas!$D$26*P154/Constantes!$E$45</f>
        <v>0</v>
      </c>
      <c r="R154" s="170">
        <f>IF(Escenarios!$E$14&gt;0,K154*Escenarios!$E$13/Escenarios!$E$14,0)</f>
        <v>0</v>
      </c>
      <c r="S154" s="170">
        <f>IF(Escenarios!$E$14&gt;0,Q154*Escenarios!$E$13/Escenarios!$E$14,0)</f>
        <v>0</v>
      </c>
      <c r="T154" s="170">
        <f>IF(Escenarios!$E$14&gt;0,Observaciones!$I153,0)</f>
        <v>0</v>
      </c>
      <c r="U154" s="170">
        <f>IF(Escenarios!$E$14&gt;0,MAX(0,Constantes!$E$36/((Z153+R154+S154+T154+Observaciones!$F153)^2)+Entradas!$E$77),0)</f>
        <v>0</v>
      </c>
      <c r="V154" s="146">
        <f>IF(ETo!D153&gt;0,ETo!I153*((1-Entradas!$E$81)*ETo!K153+ETo!L153),0)</f>
        <v>2.3749945712333251</v>
      </c>
      <c r="W154" s="170">
        <f>IF(Escenarios!$E$14&gt;0,MIN(V154*1,0.8*(Z153+R154+S154+T154+Observaciones!$F153-U154-Constantes!$E$35)),0)</f>
        <v>5.6843418860808018E-15</v>
      </c>
      <c r="X154" s="170">
        <f>IF(Escenarios!$E$14&gt;0,Observaciones!$J153,0)</f>
        <v>0</v>
      </c>
      <c r="Y154" s="170">
        <f>IF(Escenarios!$E$14&gt;0,MAX(0,Z153+R154+S154+T154+Observaciones!$F153-U154-W154-X154-Constantes!$E$33),0)</f>
        <v>0</v>
      </c>
      <c r="Z154" s="170">
        <f>Z153+R154+S154+T154+Observaciones!$F153-U154-W154-Y154</f>
        <v>41.25</v>
      </c>
      <c r="AA154" s="170">
        <f>IF(Escenarios!$E$14&gt;0,(Escenarios!$E$13*L154+Escenarios!$E$14*W154)/(Escenarios!$E$16),L154)</f>
        <v>-1.8896247951441164E-4</v>
      </c>
      <c r="AB154" s="170">
        <f>IF(Escenarios!$E$14&gt;0,(Escenarios!$E$14*Y154)/(Escenarios!$E$16),K154)</f>
        <v>0</v>
      </c>
      <c r="AC154" s="170">
        <f>IF(Escenarios!$E$14&gt;0,(Escenarios!$E$13*M154+Escenarios!$E$14*U154)/(Escenarios!$E$16),M154)</f>
        <v>0</v>
      </c>
      <c r="AD154" s="76">
        <f t="shared" si="29"/>
        <v>120.4282906211706</v>
      </c>
      <c r="AE154" s="76">
        <f>MAX(0,(AD154-Constantes!$D$13)*(1-EXP(-Constantes!$D$23)))</f>
        <v>0.7062632699291107</v>
      </c>
      <c r="AF154" s="76">
        <f>AB154+O154*Escenarios!$E$13/Escenarios!$E$16+AE154</f>
        <v>0.7062632699291107</v>
      </c>
      <c r="AG154" s="76">
        <f>IF(Entradas!$E$91&gt;0,IF(AF154-Escenarios!$E$38&lt;=0,0,IF(AF154-Escenarios!$E$38&gt;Escenarios!$E$37,Escenarios!$E$37,AF154-Escenarios!$E$38)),0)</f>
        <v>0</v>
      </c>
      <c r="AH154" s="76">
        <f>AG154*Entradas!$E$99</f>
        <v>0</v>
      </c>
      <c r="AI154" s="76">
        <f>IF(Entradas!$E$91&gt;0,D154*Entradas!$D$23/Escenarios!$E$16,0)</f>
        <v>0</v>
      </c>
      <c r="AJ154" s="76">
        <f>IF(Entradas!$E$91&gt;0,Entradas!$D$24*Entradas!$D$22/Escenarios!$E$16,0)</f>
        <v>0</v>
      </c>
      <c r="AK154" s="76">
        <f t="shared" si="38"/>
        <v>-1.8896247951441164E-4</v>
      </c>
      <c r="AL154" s="76">
        <f t="shared" si="39"/>
        <v>0</v>
      </c>
      <c r="AM154" s="76">
        <f t="shared" si="30"/>
        <v>0</v>
      </c>
      <c r="AN154" s="76">
        <f>MAX(0,O154*Escenarios!$E$13/Escenarios!$E$16-AM154)</f>
        <v>0</v>
      </c>
      <c r="AO154" s="76">
        <f>AM154+AN154-O154*Escenarios!$E$13/Escenarios!$E$16</f>
        <v>0</v>
      </c>
      <c r="AP154" s="76">
        <f t="shared" si="28"/>
        <v>0.7062632699291107</v>
      </c>
      <c r="AQ154" s="76">
        <f t="shared" si="31"/>
        <v>0</v>
      </c>
      <c r="AR154" s="76">
        <f t="shared" si="32"/>
        <v>0.7062632699291107</v>
      </c>
      <c r="AS154" s="76">
        <f t="shared" si="33"/>
        <v>0</v>
      </c>
      <c r="AT154" s="76">
        <f t="shared" si="34"/>
        <v>0</v>
      </c>
      <c r="AU154" s="76">
        <f t="shared" si="35"/>
        <v>48.75</v>
      </c>
      <c r="AV154" s="76">
        <f>MAX(0,(AU154-Constantes!$D$13)*(1-EXP(-Constantes!$D$24)))</f>
        <v>0</v>
      </c>
      <c r="AW154" s="170">
        <f>AW153+(Entradas!$E$112*AT154-AX153)/(800*Entradas!$D$25)</f>
        <v>0</v>
      </c>
      <c r="AX154" s="170">
        <f>8000*Entradas!$D$26*AW154/Constantes!$E$45</f>
        <v>0</v>
      </c>
      <c r="AY154" s="170">
        <f>IF(Escenarios!$E$17&gt;0,10*Escenarios!$E$16*AL154,0)</f>
        <v>0</v>
      </c>
      <c r="AZ154" s="170">
        <f>IF(Escenarios!$E$17&gt;0,10*Escenarios!$E$16*AX154,0)</f>
        <v>0</v>
      </c>
      <c r="BA154" s="170">
        <f>IF(Escenarios!$E$17&gt;0,0.001*Observaciones!$F153*Escenarios!$E$17,0)</f>
        <v>0</v>
      </c>
      <c r="BB154" s="170">
        <f>IF(Escenarios!$E$17&gt;0,Observaciones!$K153,0)</f>
        <v>0</v>
      </c>
      <c r="BC154" s="170">
        <f>IF(Escenarios!$E$17&gt;0,MIN(0.0005*ETo!$M153*Escenarios!$E$17*(BG153/Constantes!$E$40)^(2/3),BG153+AY154+AZ154+BA154+BB154),0)</f>
        <v>11.784941127116685</v>
      </c>
      <c r="BD154" s="170">
        <f>IF(Escenarios!$E$17&gt;0,MIN(Constantes!$E$39*(BG153/Constantes!$E$40)^(2/3),BG153+AY154+AZ154+BA154+BB154-BC154),0)</f>
        <v>30.944401788492527</v>
      </c>
      <c r="BE154" s="170">
        <f>IF(Escenarios!$E$17&gt;0,MIN(Entradas!$E$113,BG153+AY154+AZ154+BA154+BB154-BC154-BD154),0)</f>
        <v>1</v>
      </c>
      <c r="BF154" s="170">
        <f>IF(Escenarios!$E$17&gt;0,MAX(0,BG153+AY154+AZ154+BA154+BB154-BC154-BD154-BE154-Constantes!$E$40),0)</f>
        <v>0</v>
      </c>
      <c r="BG154" s="170">
        <f t="shared" si="40"/>
        <v>1560.0584278774143</v>
      </c>
      <c r="BH154" s="170">
        <f>(Escenarios!$E$16*AK154+0.1*BC154)/(Escenarios!$E$19)</f>
        <v>4.4891011620359755E-3</v>
      </c>
      <c r="BI154" s="170">
        <f>IF(Escenarios!$E$17&gt;0,BF154/10/Escenarios!$E$19,AL154)</f>
        <v>0</v>
      </c>
      <c r="BJ154" s="170">
        <f>(Escenarios!$E$16*AT154+0.1*BD154)/(Escenarios!$E$19)</f>
        <v>1.2279524519243067E-2</v>
      </c>
      <c r="BK154" s="76">
        <f>BK153+(0.1*BD154)/(Escenarios!$E$19)-BL153</f>
        <v>50.306818363092425</v>
      </c>
      <c r="BL154" s="76">
        <f>MAX(0,(BK154-Constantes!$D$13)*(1-EXP(-Constantes!$D$23)))</f>
        <v>1.5339702136794416E-2</v>
      </c>
      <c r="BM154" s="76">
        <f t="shared" si="36"/>
        <v>0.72160297206590507</v>
      </c>
      <c r="BN154" s="76">
        <f t="shared" si="41"/>
        <v>0.72160297206590507</v>
      </c>
      <c r="BO154" s="76">
        <f>0.0526*BI154*Observaciones!$F153^1.218</f>
        <v>0</v>
      </c>
      <c r="BP154" s="76">
        <f>BO154*Constantes!$E$51</f>
        <v>0</v>
      </c>
      <c r="BQ154" s="76">
        <f t="shared" si="37"/>
        <v>0</v>
      </c>
      <c r="BR154" s="40"/>
    </row>
    <row r="155" spans="1:70">
      <c r="A155" s="147"/>
      <c r="B155" s="39"/>
      <c r="C155" s="75">
        <v>149</v>
      </c>
      <c r="D155" s="146">
        <f>ETo!$I154*((1-Constantes!$E$19)*ETo!$K154+ETo!$L154)</f>
        <v>2.6222935856700418</v>
      </c>
      <c r="E155" s="76">
        <f>MIN(D155*Constantes!$E$17,0.8*(N154+Observaciones!$F154-F155-M155-Constantes!$D$14))</f>
        <v>-1.0587007738128307E-2</v>
      </c>
      <c r="F155" s="76">
        <f>IF(Observaciones!$F154&gt;0.05*Constantes!$E$18,((Observaciones!$F154-0.05*Constantes!$E$18)^2)/(Observaciones!$F154+0.95*Constantes!$E$18),0)</f>
        <v>0</v>
      </c>
      <c r="G155" s="76">
        <f>IF(Escenarios!$E$11&gt;0,(F155*Escenarios!$E$16*10000)/1000,0)</f>
        <v>0</v>
      </c>
      <c r="H155" s="76">
        <f>IF(Escenarios!$E$11&gt;0,(Observaciones!$F154*Constantes!$E$29)/1000,0)</f>
        <v>0</v>
      </c>
      <c r="I155" s="76">
        <f>IF(Escenarios!$E$11&gt;0,(D155*Constantes!$E$29)/1000,0)</f>
        <v>26.222935856700417</v>
      </c>
      <c r="J155" s="76">
        <f>IF(Escenarios!$E$11&gt;0,MAX(0,G155+H155-I155),0)</f>
        <v>0</v>
      </c>
      <c r="K155" s="76">
        <f>IF(Escenarios!$E$11&gt;0,IF(J155&gt;Constantes!$E$30,1000*((J155-Constantes!$E$30)/(Escenarios!$E$16*10000)),0),F155)</f>
        <v>0</v>
      </c>
      <c r="L155" s="76">
        <f>IF(Escenarios!$E$11&gt;0,I155*1000/Escenarios!$E$16/10000+E155,E155)</f>
        <v>-9.7833395448141541E-5</v>
      </c>
      <c r="M155" s="76">
        <f>MAX(0,N154+Observaciones!$F154-K155-Constantes!$D$13)</f>
        <v>0</v>
      </c>
      <c r="N155" s="76">
        <f>N154+Observaciones!$F154-K155-L155-M155-O154</f>
        <v>11.236864073722789</v>
      </c>
      <c r="O155" s="76">
        <f>MAX(0,(N155-Constantes!$D$14)*(1-EXP(-Constantes!$D$22)))</f>
        <v>0</v>
      </c>
      <c r="P155" s="170">
        <f>P154+(Entradas!$E$83*M155-Q154)/(800*Entradas!$D$25)</f>
        <v>0</v>
      </c>
      <c r="Q155" s="170">
        <f>8000*Entradas!$D$26*P155/Constantes!$E$45</f>
        <v>0</v>
      </c>
      <c r="R155" s="170">
        <f>IF(Escenarios!$E$14&gt;0,K155*Escenarios!$E$13/Escenarios!$E$14,0)</f>
        <v>0</v>
      </c>
      <c r="S155" s="170">
        <f>IF(Escenarios!$E$14&gt;0,Q155*Escenarios!$E$13/Escenarios!$E$14,0)</f>
        <v>0</v>
      </c>
      <c r="T155" s="170">
        <f>IF(Escenarios!$E$14&gt;0,Observaciones!$I154,0)</f>
        <v>0</v>
      </c>
      <c r="U155" s="170">
        <f>IF(Escenarios!$E$14&gt;0,MAX(0,Constantes!$E$36/((Z154+R155+S155+T155+Observaciones!$F154)^2)+Entradas!$E$77),0)</f>
        <v>0</v>
      </c>
      <c r="V155" s="146">
        <f>IF(ETo!D154&gt;0,ETo!I154*((1-Entradas!$E$81)*ETo!K154+ETo!L154),0)</f>
        <v>2.3622300790266682</v>
      </c>
      <c r="W155" s="170">
        <f>IF(Escenarios!$E$14&gt;0,MIN(V155*1,0.8*(Z154+R155+S155+T155+Observaciones!$F154-U155-Constantes!$E$35)),0)</f>
        <v>0</v>
      </c>
      <c r="X155" s="170">
        <f>IF(Escenarios!$E$14&gt;0,Observaciones!$J154,0)</f>
        <v>0</v>
      </c>
      <c r="Y155" s="170">
        <f>IF(Escenarios!$E$14&gt;0,MAX(0,Z154+R155+S155+T155+Observaciones!$F154-U155-W155-X155-Constantes!$E$33),0)</f>
        <v>0</v>
      </c>
      <c r="Z155" s="170">
        <f>Z154+R155+S155+T155+Observaciones!$F154-U155-W155-Y155</f>
        <v>41.25</v>
      </c>
      <c r="AA155" s="170">
        <f>IF(Escenarios!$E$14&gt;0,(Escenarios!$E$13*L155+Escenarios!$E$14*W155)/(Escenarios!$E$16),L155)</f>
        <v>-8.609338799436456E-5</v>
      </c>
      <c r="AB155" s="170">
        <f>IF(Escenarios!$E$14&gt;0,(Escenarios!$E$14*Y155)/(Escenarios!$E$16),K155)</f>
        <v>0</v>
      </c>
      <c r="AC155" s="170">
        <f>IF(Escenarios!$E$14&gt;0,(Escenarios!$E$13*M155+Escenarios!$E$14*U155)/(Escenarios!$E$16),M155)</f>
        <v>0</v>
      </c>
      <c r="AD155" s="76">
        <f t="shared" si="29"/>
        <v>119.72202735124149</v>
      </c>
      <c r="AE155" s="76">
        <f>MAX(0,(AD155-Constantes!$D$13)*(1-EXP(-Constantes!$D$23)))</f>
        <v>0.69930428971169423</v>
      </c>
      <c r="AF155" s="76">
        <f>AB155+O155*Escenarios!$E$13/Escenarios!$E$16+AE155</f>
        <v>0.69930428971169423</v>
      </c>
      <c r="AG155" s="76">
        <f>IF(Entradas!$E$91&gt;0,IF(AF155-Escenarios!$E$38&lt;=0,0,IF(AF155-Escenarios!$E$38&gt;Escenarios!$E$37,Escenarios!$E$37,AF155-Escenarios!$E$38)),0)</f>
        <v>0</v>
      </c>
      <c r="AH155" s="76">
        <f>AG155*Entradas!$E$99</f>
        <v>0</v>
      </c>
      <c r="AI155" s="76">
        <f>IF(Entradas!$E$91&gt;0,D155*Entradas!$D$23/Escenarios!$E$16,0)</f>
        <v>0</v>
      </c>
      <c r="AJ155" s="76">
        <f>IF(Entradas!$E$91&gt;0,Entradas!$D$24*Entradas!$D$22/Escenarios!$E$16,0)</f>
        <v>0</v>
      </c>
      <c r="AK155" s="76">
        <f t="shared" si="38"/>
        <v>-8.609338799436456E-5</v>
      </c>
      <c r="AL155" s="76">
        <f t="shared" si="39"/>
        <v>0</v>
      </c>
      <c r="AM155" s="76">
        <f t="shared" si="30"/>
        <v>0</v>
      </c>
      <c r="AN155" s="76">
        <f>MAX(0,O155*Escenarios!$E$13/Escenarios!$E$16-AM155)</f>
        <v>0</v>
      </c>
      <c r="AO155" s="76">
        <f>AM155+AN155-O155*Escenarios!$E$13/Escenarios!$E$16</f>
        <v>0</v>
      </c>
      <c r="AP155" s="76">
        <f t="shared" si="28"/>
        <v>0.69930428971169423</v>
      </c>
      <c r="AQ155" s="76">
        <f t="shared" si="31"/>
        <v>0</v>
      </c>
      <c r="AR155" s="76">
        <f t="shared" si="32"/>
        <v>0.69930428971169423</v>
      </c>
      <c r="AS155" s="76">
        <f t="shared" si="33"/>
        <v>0</v>
      </c>
      <c r="AT155" s="76">
        <f t="shared" si="34"/>
        <v>0</v>
      </c>
      <c r="AU155" s="76">
        <f t="shared" si="35"/>
        <v>48.75</v>
      </c>
      <c r="AV155" s="76">
        <f>MAX(0,(AU155-Constantes!$D$13)*(1-EXP(-Constantes!$D$24)))</f>
        <v>0</v>
      </c>
      <c r="AW155" s="170">
        <f>AW154+(Entradas!$E$112*AT155-AX154)/(800*Entradas!$D$25)</f>
        <v>0</v>
      </c>
      <c r="AX155" s="170">
        <f>8000*Entradas!$D$26*AW155/Constantes!$E$45</f>
        <v>0</v>
      </c>
      <c r="AY155" s="170">
        <f>IF(Escenarios!$E$17&gt;0,10*Escenarios!$E$16*AL155,0)</f>
        <v>0</v>
      </c>
      <c r="AZ155" s="170">
        <f>IF(Escenarios!$E$17&gt;0,10*Escenarios!$E$16*AX155,0)</f>
        <v>0</v>
      </c>
      <c r="BA155" s="170">
        <f>IF(Escenarios!$E$17&gt;0,0.001*Observaciones!$F154*Escenarios!$E$17,0)</f>
        <v>0</v>
      </c>
      <c r="BB155" s="170">
        <f>IF(Escenarios!$E$17&gt;0,Observaciones!$K154,0)</f>
        <v>0</v>
      </c>
      <c r="BC155" s="170">
        <f>IF(Escenarios!$E$17&gt;0,MIN(0.0005*ETo!$M154*Escenarios!$E$17*(BG154/Constantes!$E$40)^(2/3),BG154+AY155+AZ155+BA155+BB155),0)</f>
        <v>11.511906503725506</v>
      </c>
      <c r="BD155" s="170">
        <f>IF(Escenarios!$E$17&gt;0,MIN(Constantes!$E$39*(BG154/Constantes!$E$40)^(2/3),BG154+AY155+AZ155+BA155+BB155-BC155),0)</f>
        <v>30.379321433845512</v>
      </c>
      <c r="BE155" s="170">
        <f>IF(Escenarios!$E$17&gt;0,MIN(Entradas!$E$113,BG154+AY155+AZ155+BA155+BB155-BC155-BD155),0)</f>
        <v>1</v>
      </c>
      <c r="BF155" s="170">
        <f>IF(Escenarios!$E$17&gt;0,MAX(0,BG154+AY155+AZ155+BA155+BB155-BC155-BD155-BE155-Constantes!$E$40),0)</f>
        <v>0</v>
      </c>
      <c r="BG155" s="170">
        <f t="shared" si="40"/>
        <v>1517.1671999398434</v>
      </c>
      <c r="BH155" s="170">
        <f>(Escenarios!$E$16*AK155+0.1*BC155)/(Escenarios!$E$19)</f>
        <v>4.4828067594204742E-3</v>
      </c>
      <c r="BI155" s="170">
        <f>IF(Escenarios!$E$17&gt;0,BF155/10/Escenarios!$E$19,AL155)</f>
        <v>0</v>
      </c>
      <c r="BJ155" s="170">
        <f>(Escenarios!$E$16*AT155+0.1*BD155)/(Escenarios!$E$19)</f>
        <v>1.2055286283272029E-2</v>
      </c>
      <c r="BK155" s="76">
        <f>BK154+(0.1*BD155)/(Escenarios!$E$19)-BL154</f>
        <v>50.303533947238904</v>
      </c>
      <c r="BL155" s="76">
        <f>MAX(0,(BK155-Constantes!$D$13)*(1-EXP(-Constantes!$D$23)))</f>
        <v>1.5307340005102763E-2</v>
      </c>
      <c r="BM155" s="76">
        <f t="shared" si="36"/>
        <v>0.71461162971679704</v>
      </c>
      <c r="BN155" s="76">
        <f t="shared" si="41"/>
        <v>0.71461162971679704</v>
      </c>
      <c r="BO155" s="76">
        <f>0.0526*BI155*Observaciones!$F154^1.218</f>
        <v>0</v>
      </c>
      <c r="BP155" s="76">
        <f>BO155*Constantes!$E$51</f>
        <v>0</v>
      </c>
      <c r="BQ155" s="76">
        <f t="shared" si="37"/>
        <v>0</v>
      </c>
      <c r="BR155" s="40"/>
    </row>
    <row r="156" spans="1:70">
      <c r="A156" s="147"/>
      <c r="B156" s="39"/>
      <c r="C156" s="75">
        <v>150</v>
      </c>
      <c r="D156" s="146">
        <f>ETo!$I155*((1-Constantes!$E$19)*ETo!$K155+ETo!$L155)</f>
        <v>2.5695520078403846</v>
      </c>
      <c r="E156" s="76">
        <f>MIN(D156*Constantes!$E$17,0.8*(N155+Observaciones!$F155-F156-M156-Constantes!$D$14))</f>
        <v>-1.0508741021769198E-2</v>
      </c>
      <c r="F156" s="76">
        <f>IF(Observaciones!$F155&gt;0.05*Constantes!$E$18,((Observaciones!$F155-0.05*Constantes!$E$18)^2)/(Observaciones!$F155+0.95*Constantes!$E$18),0)</f>
        <v>0</v>
      </c>
      <c r="G156" s="76">
        <f>IF(Escenarios!$E$11&gt;0,(F156*Escenarios!$E$16*10000)/1000,0)</f>
        <v>0</v>
      </c>
      <c r="H156" s="76">
        <f>IF(Escenarios!$E$11&gt;0,(Observaciones!$F155*Constantes!$E$29)/1000,0)</f>
        <v>0</v>
      </c>
      <c r="I156" s="76">
        <f>IF(Escenarios!$E$11&gt;0,(D156*Constantes!$E$29)/1000,0)</f>
        <v>25.695520078403845</v>
      </c>
      <c r="J156" s="76">
        <f>IF(Escenarios!$E$11&gt;0,MAX(0,G156+H156-I156),0)</f>
        <v>0</v>
      </c>
      <c r="K156" s="76">
        <f>IF(Escenarios!$E$11&gt;0,IF(J156&gt;Constantes!$E$30,1000*((J156-Constantes!$E$30)/(Escenarios!$E$16*10000)),0),F156)</f>
        <v>0</v>
      </c>
      <c r="L156" s="76">
        <f>IF(Escenarios!$E$11&gt;0,I156*1000/Escenarios!$E$16/10000+E156,E156)</f>
        <v>-2.3053299040765897E-4</v>
      </c>
      <c r="M156" s="76">
        <f>MAX(0,N155+Observaciones!$F155-K156-Constantes!$D$13)</f>
        <v>0</v>
      </c>
      <c r="N156" s="76">
        <f>N155+Observaciones!$F155-K156-L156-M156-O155</f>
        <v>11.237094606713196</v>
      </c>
      <c r="O156" s="76">
        <f>MAX(0,(N156-Constantes!$D$14)*(1-EXP(-Constantes!$D$22)))</f>
        <v>0</v>
      </c>
      <c r="P156" s="170">
        <f>P155+(Entradas!$E$83*M156-Q155)/(800*Entradas!$D$25)</f>
        <v>0</v>
      </c>
      <c r="Q156" s="170">
        <f>8000*Entradas!$D$26*P156/Constantes!$E$45</f>
        <v>0</v>
      </c>
      <c r="R156" s="170">
        <f>IF(Escenarios!$E$14&gt;0,K156*Escenarios!$E$13/Escenarios!$E$14,0)</f>
        <v>0</v>
      </c>
      <c r="S156" s="170">
        <f>IF(Escenarios!$E$14&gt;0,Q156*Escenarios!$E$13/Escenarios!$E$14,0)</f>
        <v>0</v>
      </c>
      <c r="T156" s="170">
        <f>IF(Escenarios!$E$14&gt;0,Observaciones!$I155,0)</f>
        <v>0</v>
      </c>
      <c r="U156" s="170">
        <f>IF(Escenarios!$E$14&gt;0,MAX(0,Constantes!$E$36/((Z155+R156+S156+T156+Observaciones!$F155)^2)+Entradas!$E$77),0)</f>
        <v>0</v>
      </c>
      <c r="V156" s="146">
        <f>IF(ETo!D155&gt;0,ETo!I155*((1-Entradas!$E$81)*ETo!K155+ETo!L155),0)</f>
        <v>2.314058951601448</v>
      </c>
      <c r="W156" s="170">
        <f>IF(Escenarios!$E$14&gt;0,MIN(V156*1,0.8*(Z155+R156+S156+T156+Observaciones!$F155-U156-Constantes!$E$35)),0)</f>
        <v>0</v>
      </c>
      <c r="X156" s="170">
        <f>IF(Escenarios!$E$14&gt;0,Observaciones!$J155,0)</f>
        <v>0</v>
      </c>
      <c r="Y156" s="170">
        <f>IF(Escenarios!$E$14&gt;0,MAX(0,Z155+R156+S156+T156+Observaciones!$F155-U156-W156-X156-Constantes!$E$33),0)</f>
        <v>0</v>
      </c>
      <c r="Z156" s="170">
        <f>Z155+R156+S156+T156+Observaciones!$F155-U156-W156-Y156</f>
        <v>41.25</v>
      </c>
      <c r="AA156" s="170">
        <f>IF(Escenarios!$E$14&gt;0,(Escenarios!$E$13*L156+Escenarios!$E$14*W156)/(Escenarios!$E$16),L156)</f>
        <v>-2.0286903155873989E-4</v>
      </c>
      <c r="AB156" s="170">
        <f>IF(Escenarios!$E$14&gt;0,(Escenarios!$E$14*Y156)/(Escenarios!$E$16),K156)</f>
        <v>0</v>
      </c>
      <c r="AC156" s="170">
        <f>IF(Escenarios!$E$14&gt;0,(Escenarios!$E$13*M156+Escenarios!$E$14*U156)/(Escenarios!$E$16),M156)</f>
        <v>0</v>
      </c>
      <c r="AD156" s="76">
        <f t="shared" si="29"/>
        <v>119.0227230615298</v>
      </c>
      <c r="AE156" s="76">
        <f>MAX(0,(AD156-Constantes!$D$13)*(1-EXP(-Constantes!$D$23)))</f>
        <v>0.69241387798385989</v>
      </c>
      <c r="AF156" s="76">
        <f>AB156+O156*Escenarios!$E$13/Escenarios!$E$16+AE156</f>
        <v>0.69241387798385989</v>
      </c>
      <c r="AG156" s="76">
        <f>IF(Entradas!$E$91&gt;0,IF(AF156-Escenarios!$E$38&lt;=0,0,IF(AF156-Escenarios!$E$38&gt;Escenarios!$E$37,Escenarios!$E$37,AF156-Escenarios!$E$38)),0)</f>
        <v>0</v>
      </c>
      <c r="AH156" s="76">
        <f>AG156*Entradas!$E$99</f>
        <v>0</v>
      </c>
      <c r="AI156" s="76">
        <f>IF(Entradas!$E$91&gt;0,D156*Entradas!$D$23/Escenarios!$E$16,0)</f>
        <v>0</v>
      </c>
      <c r="AJ156" s="76">
        <f>IF(Entradas!$E$91&gt;0,Entradas!$D$24*Entradas!$D$22/Escenarios!$E$16,0)</f>
        <v>0</v>
      </c>
      <c r="AK156" s="76">
        <f t="shared" si="38"/>
        <v>-2.0286903155873989E-4</v>
      </c>
      <c r="AL156" s="76">
        <f t="shared" si="39"/>
        <v>0</v>
      </c>
      <c r="AM156" s="76">
        <f t="shared" si="30"/>
        <v>0</v>
      </c>
      <c r="AN156" s="76">
        <f>MAX(0,O156*Escenarios!$E$13/Escenarios!$E$16-AM156)</f>
        <v>0</v>
      </c>
      <c r="AO156" s="76">
        <f>AM156+AN156-O156*Escenarios!$E$13/Escenarios!$E$16</f>
        <v>0</v>
      </c>
      <c r="AP156" s="76">
        <f t="shared" si="28"/>
        <v>0.69241387798385989</v>
      </c>
      <c r="AQ156" s="76">
        <f t="shared" si="31"/>
        <v>0</v>
      </c>
      <c r="AR156" s="76">
        <f t="shared" si="32"/>
        <v>0.69241387798385989</v>
      </c>
      <c r="AS156" s="76">
        <f t="shared" si="33"/>
        <v>0</v>
      </c>
      <c r="AT156" s="76">
        <f t="shared" si="34"/>
        <v>0</v>
      </c>
      <c r="AU156" s="76">
        <f t="shared" si="35"/>
        <v>48.75</v>
      </c>
      <c r="AV156" s="76">
        <f>MAX(0,(AU156-Constantes!$D$13)*(1-EXP(-Constantes!$D$24)))</f>
        <v>0</v>
      </c>
      <c r="AW156" s="170">
        <f>AW155+(Entradas!$E$112*AT156-AX155)/(800*Entradas!$D$25)</f>
        <v>0</v>
      </c>
      <c r="AX156" s="170">
        <f>8000*Entradas!$D$26*AW156/Constantes!$E$45</f>
        <v>0</v>
      </c>
      <c r="AY156" s="170">
        <f>IF(Escenarios!$E$17&gt;0,10*Escenarios!$E$16*AL156,0)</f>
        <v>0</v>
      </c>
      <c r="AZ156" s="170">
        <f>IF(Escenarios!$E$17&gt;0,10*Escenarios!$E$16*AX156,0)</f>
        <v>0</v>
      </c>
      <c r="BA156" s="170">
        <f>IF(Escenarios!$E$17&gt;0,0.001*Observaciones!$F155*Escenarios!$E$17,0)</f>
        <v>0</v>
      </c>
      <c r="BB156" s="170">
        <f>IF(Escenarios!$E$17&gt;0,Observaciones!$K155,0)</f>
        <v>0</v>
      </c>
      <c r="BC156" s="170">
        <f>IF(Escenarios!$E$17&gt;0,MIN(0.0005*ETo!$M155*Escenarios!$E$17*(BG155/Constantes!$E$40)^(2/3),BG155+AY156+AZ156+BA156+BB156),0)</f>
        <v>11.076526256415654</v>
      </c>
      <c r="BD156" s="170">
        <f>IF(Escenarios!$E$17&gt;0,MIN(Constantes!$E$39*(BG155/Constantes!$E$40)^(2/3),BG155+AY156+AZ156+BA156+BB156-BC156),0)</f>
        <v>29.819918788479612</v>
      </c>
      <c r="BE156" s="170">
        <f>IF(Escenarios!$E$17&gt;0,MIN(Entradas!$E$113,BG155+AY156+AZ156+BA156+BB156-BC156-BD156),0)</f>
        <v>1</v>
      </c>
      <c r="BF156" s="170">
        <f>IF(Escenarios!$E$17&gt;0,MAX(0,BG155+AY156+AZ156+BA156+BB156-BC156-BD156-BE156-Constantes!$E$40),0)</f>
        <v>0</v>
      </c>
      <c r="BG156" s="170">
        <f t="shared" si="40"/>
        <v>1475.2707548949481</v>
      </c>
      <c r="BH156" s="170">
        <f>(Escenarios!$E$16*AK156+0.1*BC156)/(Escenarios!$E$19)</f>
        <v>4.1941879672693673E-3</v>
      </c>
      <c r="BI156" s="170">
        <f>IF(Escenarios!$E$17&gt;0,BF156/10/Escenarios!$E$19,AL156)</f>
        <v>0</v>
      </c>
      <c r="BJ156" s="170">
        <f>(Escenarios!$E$16*AT156+0.1*BD156)/(Escenarios!$E$19)</f>
        <v>1.183330110653953E-2</v>
      </c>
      <c r="BK156" s="76">
        <f>BK155+(0.1*BD156)/(Escenarios!$E$19)-BL155</f>
        <v>50.300059908340344</v>
      </c>
      <c r="BL156" s="76">
        <f>MAX(0,(BK156-Constantes!$D$13)*(1-EXP(-Constantes!$D$23)))</f>
        <v>1.5273109472383655E-2</v>
      </c>
      <c r="BM156" s="76">
        <f t="shared" si="36"/>
        <v>0.70768698745624359</v>
      </c>
      <c r="BN156" s="76">
        <f t="shared" si="41"/>
        <v>0.70768698745624359</v>
      </c>
      <c r="BO156" s="76">
        <f>0.0526*BI156*Observaciones!$F155^1.218</f>
        <v>0</v>
      </c>
      <c r="BP156" s="76">
        <f>BO156*Constantes!$E$51</f>
        <v>0</v>
      </c>
      <c r="BQ156" s="76">
        <f t="shared" si="37"/>
        <v>0</v>
      </c>
      <c r="BR156" s="40"/>
    </row>
    <row r="157" spans="1:70">
      <c r="A157" s="147"/>
      <c r="B157" s="39"/>
      <c r="C157" s="75">
        <v>151</v>
      </c>
      <c r="D157" s="146">
        <f>ETo!$I156*((1-Constantes!$E$19)*ETo!$K156+ETo!$L156)</f>
        <v>2.583930495238838</v>
      </c>
      <c r="E157" s="76">
        <f>MIN(D157*Constantes!$E$17,0.8*(N156+Observaciones!$F156-F157-M157-Constantes!$D$14))</f>
        <v>-1.0324314629443165E-2</v>
      </c>
      <c r="F157" s="76">
        <f>IF(Observaciones!$F156&gt;0.05*Constantes!$E$18,((Observaciones!$F156-0.05*Constantes!$E$18)^2)/(Observaciones!$F156+0.95*Constantes!$E$18),0)</f>
        <v>0</v>
      </c>
      <c r="G157" s="76">
        <f>IF(Escenarios!$E$11&gt;0,(F157*Escenarios!$E$16*10000)/1000,0)</f>
        <v>0</v>
      </c>
      <c r="H157" s="76">
        <f>IF(Escenarios!$E$11&gt;0,(Observaciones!$F156*Constantes!$E$29)/1000,0)</f>
        <v>0</v>
      </c>
      <c r="I157" s="76">
        <f>IF(Escenarios!$E$11&gt;0,(D157*Constantes!$E$29)/1000,0)</f>
        <v>25.839304952388378</v>
      </c>
      <c r="J157" s="76">
        <f>IF(Escenarios!$E$11&gt;0,MAX(0,G157+H157-I157),0)</f>
        <v>0</v>
      </c>
      <c r="K157" s="76">
        <f>IF(Escenarios!$E$11&gt;0,IF(J157&gt;Constantes!$E$30,1000*((J157-Constantes!$E$30)/(Escenarios!$E$16*10000)),0),F157)</f>
        <v>0</v>
      </c>
      <c r="L157" s="76">
        <f>IF(Escenarios!$E$11&gt;0,I157*1000/Escenarios!$E$16/10000+E157,E157)</f>
        <v>1.1407351512185415E-5</v>
      </c>
      <c r="M157" s="76">
        <f>MAX(0,N156+Observaciones!$F156-K157-Constantes!$D$13)</f>
        <v>0</v>
      </c>
      <c r="N157" s="76">
        <f>N156+Observaciones!$F156-K157-L157-M157-O156</f>
        <v>11.237083199361685</v>
      </c>
      <c r="O157" s="76">
        <f>MAX(0,(N157-Constantes!$D$14)*(1-EXP(-Constantes!$D$22)))</f>
        <v>0</v>
      </c>
      <c r="P157" s="170">
        <f>P156+(Entradas!$E$83*M157-Q156)/(800*Entradas!$D$25)</f>
        <v>0</v>
      </c>
      <c r="Q157" s="170">
        <f>8000*Entradas!$D$26*P157/Constantes!$E$45</f>
        <v>0</v>
      </c>
      <c r="R157" s="170">
        <f>IF(Escenarios!$E$14&gt;0,K157*Escenarios!$E$13/Escenarios!$E$14,0)</f>
        <v>0</v>
      </c>
      <c r="S157" s="170">
        <f>IF(Escenarios!$E$14&gt;0,Q157*Escenarios!$E$13/Escenarios!$E$14,0)</f>
        <v>0</v>
      </c>
      <c r="T157" s="170">
        <f>IF(Escenarios!$E$14&gt;0,Observaciones!$I156,0)</f>
        <v>0</v>
      </c>
      <c r="U157" s="170">
        <f>IF(Escenarios!$E$14&gt;0,MAX(0,Constantes!$E$36/((Z156+R157+S157+T157+Observaciones!$F156)^2)+Entradas!$E$77),0)</f>
        <v>0</v>
      </c>
      <c r="V157" s="146">
        <f>IF(ETo!D156&gt;0,ETo!I156*((1-Entradas!$E$81)*ETo!K156+ETo!L156),0)</f>
        <v>2.3268198741718984</v>
      </c>
      <c r="W157" s="170">
        <f>IF(Escenarios!$E$14&gt;0,MIN(V157*1,0.8*(Z156+R157+S157+T157+Observaciones!$F156-U157-Constantes!$E$35)),0)</f>
        <v>0</v>
      </c>
      <c r="X157" s="170">
        <f>IF(Escenarios!$E$14&gt;0,Observaciones!$J156,0)</f>
        <v>0</v>
      </c>
      <c r="Y157" s="170">
        <f>IF(Escenarios!$E$14&gt;0,MAX(0,Z156+R157+S157+T157+Observaciones!$F156-U157-W157-X157-Constantes!$E$33),0)</f>
        <v>0</v>
      </c>
      <c r="Z157" s="170">
        <f>Z156+R157+S157+T157+Observaciones!$F156-U157-W157-Y157</f>
        <v>41.25</v>
      </c>
      <c r="AA157" s="170">
        <f>IF(Escenarios!$E$14&gt;0,(Escenarios!$E$13*L157+Escenarios!$E$14*W157)/(Escenarios!$E$16),L157)</f>
        <v>1.0038469330723165E-5</v>
      </c>
      <c r="AB157" s="170">
        <f>IF(Escenarios!$E$14&gt;0,(Escenarios!$E$14*Y157)/(Escenarios!$E$16),K157)</f>
        <v>0</v>
      </c>
      <c r="AC157" s="170">
        <f>IF(Escenarios!$E$14&gt;0,(Escenarios!$E$13*M157+Escenarios!$E$14*U157)/(Escenarios!$E$16),M157)</f>
        <v>0</v>
      </c>
      <c r="AD157" s="76">
        <f t="shared" si="29"/>
        <v>118.33030918354595</v>
      </c>
      <c r="AE157" s="76">
        <f>MAX(0,(AD157-Constantes!$D$13)*(1-EXP(-Constantes!$D$23)))</f>
        <v>0.68559135912394809</v>
      </c>
      <c r="AF157" s="76">
        <f>AB157+O157*Escenarios!$E$13/Escenarios!$E$16+AE157</f>
        <v>0.68559135912394809</v>
      </c>
      <c r="AG157" s="76">
        <f>IF(Entradas!$E$91&gt;0,IF(AF157-Escenarios!$E$38&lt;=0,0,IF(AF157-Escenarios!$E$38&gt;Escenarios!$E$37,Escenarios!$E$37,AF157-Escenarios!$E$38)),0)</f>
        <v>0</v>
      </c>
      <c r="AH157" s="76">
        <f>AG157*Entradas!$E$99</f>
        <v>0</v>
      </c>
      <c r="AI157" s="76">
        <f>IF(Entradas!$E$91&gt;0,D157*Entradas!$D$23/Escenarios!$E$16,0)</f>
        <v>0</v>
      </c>
      <c r="AJ157" s="76">
        <f>IF(Entradas!$E$91&gt;0,Entradas!$D$24*Entradas!$D$22/Escenarios!$E$16,0)</f>
        <v>0</v>
      </c>
      <c r="AK157" s="76">
        <f t="shared" si="38"/>
        <v>1.0038469330723165E-5</v>
      </c>
      <c r="AL157" s="76">
        <f t="shared" si="39"/>
        <v>0</v>
      </c>
      <c r="AM157" s="76">
        <f t="shared" si="30"/>
        <v>0</v>
      </c>
      <c r="AN157" s="76">
        <f>MAX(0,O157*Escenarios!$E$13/Escenarios!$E$16-AM157)</f>
        <v>0</v>
      </c>
      <c r="AO157" s="76">
        <f>AM157+AN157-O157*Escenarios!$E$13/Escenarios!$E$16</f>
        <v>0</v>
      </c>
      <c r="AP157" s="76">
        <f t="shared" si="28"/>
        <v>0.68559135912394809</v>
      </c>
      <c r="AQ157" s="76">
        <f t="shared" si="31"/>
        <v>0</v>
      </c>
      <c r="AR157" s="76">
        <f t="shared" si="32"/>
        <v>0.68559135912394809</v>
      </c>
      <c r="AS157" s="76">
        <f t="shared" si="33"/>
        <v>0</v>
      </c>
      <c r="AT157" s="76">
        <f t="shared" si="34"/>
        <v>0</v>
      </c>
      <c r="AU157" s="76">
        <f t="shared" si="35"/>
        <v>48.75</v>
      </c>
      <c r="AV157" s="76">
        <f>MAX(0,(AU157-Constantes!$D$13)*(1-EXP(-Constantes!$D$24)))</f>
        <v>0</v>
      </c>
      <c r="AW157" s="170">
        <f>AW156+(Entradas!$E$112*AT157-AX156)/(800*Entradas!$D$25)</f>
        <v>0</v>
      </c>
      <c r="AX157" s="170">
        <f>8000*Entradas!$D$26*AW157/Constantes!$E$45</f>
        <v>0</v>
      </c>
      <c r="AY157" s="170">
        <f>IF(Escenarios!$E$17&gt;0,10*Escenarios!$E$16*AL157,0)</f>
        <v>0</v>
      </c>
      <c r="AZ157" s="170">
        <f>IF(Escenarios!$E$17&gt;0,10*Escenarios!$E$16*AX157,0)</f>
        <v>0</v>
      </c>
      <c r="BA157" s="170">
        <f>IF(Escenarios!$E$17&gt;0,0.001*Observaciones!$F156*Escenarios!$E$17,0)</f>
        <v>0</v>
      </c>
      <c r="BB157" s="170">
        <f>IF(Escenarios!$E$17&gt;0,Observaciones!$K156,0)</f>
        <v>0</v>
      </c>
      <c r="BC157" s="170">
        <f>IF(Escenarios!$E$17&gt;0,MIN(0.0005*ETo!$M156*Escenarios!$E$17*(BG156/Constantes!$E$40)^(2/3),BG156+AY157+AZ157+BA157+BB157),0)</f>
        <v>10.933574211392003</v>
      </c>
      <c r="BD157" s="170">
        <f>IF(Escenarios!$E$17&gt;0,MIN(Constantes!$E$39*(BG156/Constantes!$E$40)^(2/3),BG156+AY157+AZ157+BA157+BB157-BC157),0)</f>
        <v>29.268377543618268</v>
      </c>
      <c r="BE157" s="170">
        <f>IF(Escenarios!$E$17&gt;0,MIN(Entradas!$E$113,BG156+AY157+AZ157+BA157+BB157-BC157-BD157),0)</f>
        <v>1</v>
      </c>
      <c r="BF157" s="170">
        <f>IF(Escenarios!$E$17&gt;0,MAX(0,BG156+AY157+AZ157+BA157+BB157-BC157-BD157-BE157-Constantes!$E$40),0)</f>
        <v>0</v>
      </c>
      <c r="BG157" s="170">
        <f t="shared" si="40"/>
        <v>1434.0688031399379</v>
      </c>
      <c r="BH157" s="170">
        <f>(Escenarios!$E$16*AK157+0.1*BC157)/(Escenarios!$E$19)</f>
        <v>4.3486787240947667E-3</v>
      </c>
      <c r="BI157" s="170">
        <f>IF(Escenarios!$E$17&gt;0,BF157/10/Escenarios!$E$19,AL157)</f>
        <v>0</v>
      </c>
      <c r="BJ157" s="170">
        <f>(Escenarios!$E$16*AT157+0.1*BD157)/(Escenarios!$E$19)</f>
        <v>1.1614435533181854E-2</v>
      </c>
      <c r="BK157" s="76">
        <f>BK156+(0.1*BD157)/(Escenarios!$E$19)-BL156</f>
        <v>50.296401234401145</v>
      </c>
      <c r="BL157" s="76">
        <f>MAX(0,(BK157-Constantes!$D$13)*(1-EXP(-Constantes!$D$23)))</f>
        <v>1.5237059686632486E-2</v>
      </c>
      <c r="BM157" s="76">
        <f t="shared" si="36"/>
        <v>0.70082841881058056</v>
      </c>
      <c r="BN157" s="76">
        <f t="shared" si="41"/>
        <v>0.70082841881058056</v>
      </c>
      <c r="BO157" s="76">
        <f>0.0526*BI157*Observaciones!$F156^1.218</f>
        <v>0</v>
      </c>
      <c r="BP157" s="76">
        <f>BO157*Constantes!$E$51</f>
        <v>0</v>
      </c>
      <c r="BQ157" s="76">
        <f t="shared" si="37"/>
        <v>0</v>
      </c>
      <c r="BR157" s="40"/>
    </row>
    <row r="158" spans="1:70">
      <c r="A158" s="147"/>
      <c r="B158" s="39"/>
      <c r="C158" s="75">
        <v>152</v>
      </c>
      <c r="D158" s="146">
        <f>ETo!$I157*((1-Constantes!$E$19)*ETo!$K157+ETo!$L157)</f>
        <v>2.5835019176197949</v>
      </c>
      <c r="E158" s="76">
        <f>MIN(D158*Constantes!$E$17,0.8*(N157+Observaciones!$F157-F158-M158-Constantes!$D$14))</f>
        <v>-1.0333440510652282E-2</v>
      </c>
      <c r="F158" s="76">
        <f>IF(Observaciones!$F157&gt;0.05*Constantes!$E$18,((Observaciones!$F157-0.05*Constantes!$E$18)^2)/(Observaciones!$F157+0.95*Constantes!$E$18),0)</f>
        <v>0</v>
      </c>
      <c r="G158" s="76">
        <f>IF(Escenarios!$E$11&gt;0,(F158*Escenarios!$E$16*10000)/1000,0)</f>
        <v>0</v>
      </c>
      <c r="H158" s="76">
        <f>IF(Escenarios!$E$11&gt;0,(Observaciones!$F157*Constantes!$E$29)/1000,0)</f>
        <v>0</v>
      </c>
      <c r="I158" s="76">
        <f>IF(Escenarios!$E$11&gt;0,(D158*Constantes!$E$29)/1000,0)</f>
        <v>25.835019176197946</v>
      </c>
      <c r="J158" s="76">
        <f>IF(Escenarios!$E$11&gt;0,MAX(0,G158+H158-I158),0)</f>
        <v>0</v>
      </c>
      <c r="K158" s="76">
        <f>IF(Escenarios!$E$11&gt;0,IF(J158&gt;Constantes!$E$30,1000*((J158-Constantes!$E$30)/(Escenarios!$E$16*10000)),0),F158)</f>
        <v>0</v>
      </c>
      <c r="L158" s="76">
        <f>IF(Escenarios!$E$11&gt;0,I158*1000/Escenarios!$E$16/10000+E158,E158)</f>
        <v>5.6715982689643785E-7</v>
      </c>
      <c r="M158" s="76">
        <f>MAX(0,N157+Observaciones!$F157-K158-Constantes!$D$13)</f>
        <v>0</v>
      </c>
      <c r="N158" s="76">
        <f>N157+Observaciones!$F157-K158-L158-M158-O157</f>
        <v>11.237082632201858</v>
      </c>
      <c r="O158" s="76">
        <f>MAX(0,(N158-Constantes!$D$14)*(1-EXP(-Constantes!$D$22)))</f>
        <v>0</v>
      </c>
      <c r="P158" s="170">
        <f>P157+(Entradas!$E$83*M158-Q157)/(800*Entradas!$D$25)</f>
        <v>0</v>
      </c>
      <c r="Q158" s="170">
        <f>8000*Entradas!$D$26*P158/Constantes!$E$45</f>
        <v>0</v>
      </c>
      <c r="R158" s="170">
        <f>IF(Escenarios!$E$14&gt;0,K158*Escenarios!$E$13/Escenarios!$E$14,0)</f>
        <v>0</v>
      </c>
      <c r="S158" s="170">
        <f>IF(Escenarios!$E$14&gt;0,Q158*Escenarios!$E$13/Escenarios!$E$14,0)</f>
        <v>0</v>
      </c>
      <c r="T158" s="170">
        <f>IF(Escenarios!$E$14&gt;0,Observaciones!$I157,0)</f>
        <v>0</v>
      </c>
      <c r="U158" s="170">
        <f>IF(Escenarios!$E$14&gt;0,MAX(0,Constantes!$E$36/((Z157+R158+S158+T158+Observaciones!$F157)^2)+Entradas!$E$77),0)</f>
        <v>0</v>
      </c>
      <c r="V158" s="146">
        <f>IF(ETo!D157&gt;0,ETo!I157*((1-Entradas!$E$81)*ETo!K157+ETo!L157),0)</f>
        <v>2.3261616799045166</v>
      </c>
      <c r="W158" s="170">
        <f>IF(Escenarios!$E$14&gt;0,MIN(V158*1,0.8*(Z157+R158+S158+T158+Observaciones!$F157-U158-Constantes!$E$35)),0)</f>
        <v>0</v>
      </c>
      <c r="X158" s="170">
        <f>IF(Escenarios!$E$14&gt;0,Observaciones!$J157,0)</f>
        <v>0</v>
      </c>
      <c r="Y158" s="170">
        <f>IF(Escenarios!$E$14&gt;0,MAX(0,Z157+R158+S158+T158+Observaciones!$F157-U158-W158-X158-Constantes!$E$33),0)</f>
        <v>0</v>
      </c>
      <c r="Z158" s="170">
        <f>Z157+R158+S158+T158+Observaciones!$F157-U158-W158-Y158</f>
        <v>41.25</v>
      </c>
      <c r="AA158" s="170">
        <f>IF(Escenarios!$E$14&gt;0,(Escenarios!$E$13*L158+Escenarios!$E$14*W158)/(Escenarios!$E$16),L158)</f>
        <v>4.9910064766886532E-7</v>
      </c>
      <c r="AB158" s="170">
        <f>IF(Escenarios!$E$14&gt;0,(Escenarios!$E$14*Y158)/(Escenarios!$E$16),K158)</f>
        <v>0</v>
      </c>
      <c r="AC158" s="170">
        <f>IF(Escenarios!$E$14&gt;0,(Escenarios!$E$13*M158+Escenarios!$E$14*U158)/(Escenarios!$E$16),M158)</f>
        <v>0</v>
      </c>
      <c r="AD158" s="76">
        <f t="shared" si="29"/>
        <v>117.644717824422</v>
      </c>
      <c r="AE158" s="76">
        <f>MAX(0,(AD158-Constantes!$D$13)*(1-EXP(-Constantes!$D$23)))</f>
        <v>0.67883606416736042</v>
      </c>
      <c r="AF158" s="76">
        <f>AB158+O158*Escenarios!$E$13/Escenarios!$E$16+AE158</f>
        <v>0.67883606416736042</v>
      </c>
      <c r="AG158" s="76">
        <f>IF(Entradas!$E$91&gt;0,IF(AF158-Escenarios!$E$38&lt;=0,0,IF(AF158-Escenarios!$E$38&gt;Escenarios!$E$37,Escenarios!$E$37,AF158-Escenarios!$E$38)),0)</f>
        <v>0</v>
      </c>
      <c r="AH158" s="76">
        <f>AG158*Entradas!$E$99</f>
        <v>0</v>
      </c>
      <c r="AI158" s="76">
        <f>IF(Entradas!$E$91&gt;0,D158*Entradas!$D$23/Escenarios!$E$16,0)</f>
        <v>0</v>
      </c>
      <c r="AJ158" s="76">
        <f>IF(Entradas!$E$91&gt;0,Entradas!$D$24*Entradas!$D$22/Escenarios!$E$16,0)</f>
        <v>0</v>
      </c>
      <c r="AK158" s="76">
        <f t="shared" si="38"/>
        <v>4.9910064766886532E-7</v>
      </c>
      <c r="AL158" s="76">
        <f t="shared" si="39"/>
        <v>0</v>
      </c>
      <c r="AM158" s="76">
        <f t="shared" si="30"/>
        <v>0</v>
      </c>
      <c r="AN158" s="76">
        <f>MAX(0,O158*Escenarios!$E$13/Escenarios!$E$16-AM158)</f>
        <v>0</v>
      </c>
      <c r="AO158" s="76">
        <f>AM158+AN158-O158*Escenarios!$E$13/Escenarios!$E$16</f>
        <v>0</v>
      </c>
      <c r="AP158" s="76">
        <f t="shared" si="28"/>
        <v>0.67883606416736042</v>
      </c>
      <c r="AQ158" s="76">
        <f t="shared" si="31"/>
        <v>0</v>
      </c>
      <c r="AR158" s="76">
        <f t="shared" si="32"/>
        <v>0.67883606416736042</v>
      </c>
      <c r="AS158" s="76">
        <f t="shared" si="33"/>
        <v>0</v>
      </c>
      <c r="AT158" s="76">
        <f t="shared" si="34"/>
        <v>0</v>
      </c>
      <c r="AU158" s="76">
        <f t="shared" si="35"/>
        <v>48.75</v>
      </c>
      <c r="AV158" s="76">
        <f>MAX(0,(AU158-Constantes!$D$13)*(1-EXP(-Constantes!$D$24)))</f>
        <v>0</v>
      </c>
      <c r="AW158" s="170">
        <f>AW157+(Entradas!$E$112*AT158-AX157)/(800*Entradas!$D$25)</f>
        <v>0</v>
      </c>
      <c r="AX158" s="170">
        <f>8000*Entradas!$D$26*AW158/Constantes!$E$45</f>
        <v>0</v>
      </c>
      <c r="AY158" s="170">
        <f>IF(Escenarios!$E$17&gt;0,10*Escenarios!$E$16*AL158,0)</f>
        <v>0</v>
      </c>
      <c r="AZ158" s="170">
        <f>IF(Escenarios!$E$17&gt;0,10*Escenarios!$E$16*AX158,0)</f>
        <v>0</v>
      </c>
      <c r="BA158" s="170">
        <f>IF(Escenarios!$E$17&gt;0,0.001*Observaciones!$F157*Escenarios!$E$17,0)</f>
        <v>0</v>
      </c>
      <c r="BB158" s="170">
        <f>IF(Escenarios!$E$17&gt;0,Observaciones!$K157,0)</f>
        <v>0</v>
      </c>
      <c r="BC158" s="170">
        <f>IF(Escenarios!$E$17&gt;0,MIN(0.0005*ETo!$M157*Escenarios!$E$17*(BG157/Constantes!$E$40)^(2/3),BG157+AY158+AZ158+BA158+BB158),0)</f>
        <v>10.728801690721175</v>
      </c>
      <c r="BD158" s="170">
        <f>IF(Escenarios!$E$17&gt;0,MIN(Constantes!$E$39*(BG157/Constantes!$E$40)^(2/3),BG157+AY158+AZ158+BA158+BB158-BC158),0)</f>
        <v>28.720862986849205</v>
      </c>
      <c r="BE158" s="170">
        <f>IF(Escenarios!$E$17&gt;0,MIN(Entradas!$E$113,BG157+AY158+AZ158+BA158+BB158-BC158-BD158),0)</f>
        <v>1</v>
      </c>
      <c r="BF158" s="170">
        <f>IF(Escenarios!$E$17&gt;0,MAX(0,BG157+AY158+AZ158+BA158+BB158-BC158-BD158-BE158-Constantes!$E$40),0)</f>
        <v>0</v>
      </c>
      <c r="BG158" s="170">
        <f t="shared" si="40"/>
        <v>1393.6191384623676</v>
      </c>
      <c r="BH158" s="170">
        <f>(Escenarios!$E$16*AK158+0.1*BC158)/(Escenarios!$E$19)</f>
        <v>4.2579561279128359E-3</v>
      </c>
      <c r="BI158" s="170">
        <f>IF(Escenarios!$E$17&gt;0,BF158/10/Escenarios!$E$19,AL158)</f>
        <v>0</v>
      </c>
      <c r="BJ158" s="170">
        <f>(Escenarios!$E$16*AT158+0.1*BD158)/(Escenarios!$E$19)</f>
        <v>1.1397167851924288E-2</v>
      </c>
      <c r="BK158" s="76">
        <f>BK157+(0.1*BD158)/(Escenarios!$E$19)-BL157</f>
        <v>50.292561342566437</v>
      </c>
      <c r="BL158" s="76">
        <f>MAX(0,(BK158-Constantes!$D$13)*(1-EXP(-Constantes!$D$23)))</f>
        <v>1.5199224317794123E-2</v>
      </c>
      <c r="BM158" s="76">
        <f t="shared" si="36"/>
        <v>0.6940352884851545</v>
      </c>
      <c r="BN158" s="76">
        <f t="shared" si="41"/>
        <v>0.6940352884851545</v>
      </c>
      <c r="BO158" s="76">
        <f>0.0526*BI158*Observaciones!$F157^1.218</f>
        <v>0</v>
      </c>
      <c r="BP158" s="76">
        <f>BO158*Constantes!$E$51</f>
        <v>0</v>
      </c>
      <c r="BQ158" s="76">
        <f t="shared" si="37"/>
        <v>0</v>
      </c>
      <c r="BR158" s="40"/>
    </row>
    <row r="159" spans="1:70">
      <c r="A159" s="147"/>
      <c r="B159" s="39"/>
      <c r="C159" s="75">
        <v>153</v>
      </c>
      <c r="D159" s="146">
        <f>ETo!$I158*((1-Constantes!$E$19)*ETo!$K158+ETo!$L158)</f>
        <v>2.5503774156115617</v>
      </c>
      <c r="E159" s="76">
        <f>MIN(D159*Constantes!$E$17,0.8*(N158+Observaciones!$F158-F159-M159-Constantes!$D$14))</f>
        <v>1.2469109214224938</v>
      </c>
      <c r="F159" s="76">
        <f>IF(Observaciones!$F158&gt;0.05*Constantes!$E$18,((Observaciones!$F158-0.05*Constantes!$E$18)^2)/(Observaciones!$F158+0.95*Constantes!$E$18),0)</f>
        <v>0.25622088335822657</v>
      </c>
      <c r="G159" s="76">
        <f>IF(Escenarios!$E$11&gt;0,(F159*Escenarios!$E$16*10000)/1000,0)</f>
        <v>640.55220839556648</v>
      </c>
      <c r="H159" s="76">
        <f>IF(Escenarios!$E$11&gt;0,(Observaciones!$F158*Constantes!$E$29)/1000,0)</f>
        <v>116</v>
      </c>
      <c r="I159" s="76">
        <f>IF(Escenarios!$E$11&gt;0,(D159*Constantes!$E$29)/1000,0)</f>
        <v>25.503774156115618</v>
      </c>
      <c r="J159" s="76">
        <f>IF(Escenarios!$E$11&gt;0,MAX(0,G159+H159-I159),0)</f>
        <v>731.0484342394509</v>
      </c>
      <c r="K159" s="76">
        <f>IF(Escenarios!$E$11&gt;0,IF(J159&gt;Constantes!$E$30,1000*((J159-Constantes!$E$30)/(Escenarios!$E$16*10000)),0),F159)</f>
        <v>0</v>
      </c>
      <c r="L159" s="76">
        <f>IF(Escenarios!$E$11&gt;0,I159*1000/Escenarios!$E$16/10000+E159,E159)</f>
        <v>1.25711243108494</v>
      </c>
      <c r="M159" s="76">
        <f>MAX(0,N158+Observaciones!$F158-K159-Constantes!$D$13)</f>
        <v>0</v>
      </c>
      <c r="N159" s="76">
        <f>N158+Observaciones!$F158-K159-L159-M159-O158</f>
        <v>21.579970201116915</v>
      </c>
      <c r="O159" s="76">
        <f>MAX(0,(N159-Constantes!$D$14)*(1-EXP(-Constantes!$D$22)))</f>
        <v>0.35187670714699315</v>
      </c>
      <c r="P159" s="170">
        <f>P158+(Entradas!$E$83*M159-Q158)/(800*Entradas!$D$25)</f>
        <v>0</v>
      </c>
      <c r="Q159" s="170">
        <f>8000*Entradas!$D$26*P159/Constantes!$E$45</f>
        <v>0</v>
      </c>
      <c r="R159" s="170">
        <f>IF(Escenarios!$E$14&gt;0,K159*Escenarios!$E$13/Escenarios!$E$14,0)</f>
        <v>0</v>
      </c>
      <c r="S159" s="170">
        <f>IF(Escenarios!$E$14&gt;0,Q159*Escenarios!$E$13/Escenarios!$E$14,0)</f>
        <v>0</v>
      </c>
      <c r="T159" s="170">
        <f>IF(Escenarios!$E$14&gt;0,Observaciones!$I158,0)</f>
        <v>0</v>
      </c>
      <c r="U159" s="170">
        <f>IF(Escenarios!$E$14&gt;0,MAX(0,Constantes!$E$36/((Z158+R159+S159+T159+Observaciones!$F158)^2)+Entradas!$E$77),0)</f>
        <v>0</v>
      </c>
      <c r="V159" s="146">
        <f>IF(ETo!D158&gt;0,ETo!I158*((1-Entradas!$E$81)*ETo!K158+ETo!L158),0)</f>
        <v>2.2958390540664158</v>
      </c>
      <c r="W159" s="170">
        <f>IF(Escenarios!$E$14&gt;0,MIN(V159*1,0.8*(Z158+R159+S159+T159+Observaciones!$F158-U159-Constantes!$E$35)),0)</f>
        <v>2.2958390540664158</v>
      </c>
      <c r="X159" s="170">
        <f>IF(Escenarios!$E$14&gt;0,Observaciones!$J158,0)</f>
        <v>0</v>
      </c>
      <c r="Y159" s="170">
        <f>IF(Escenarios!$E$14&gt;0,MAX(0,Z158+R159+S159+T159+Observaciones!$F158-U159-W159-X159-Constantes!$E$33),0)</f>
        <v>0</v>
      </c>
      <c r="Z159" s="170">
        <f>Z158+R159+S159+T159+Observaciones!$F158-U159-W159-Y159</f>
        <v>50.554160945933589</v>
      </c>
      <c r="AA159" s="170">
        <f>IF(Escenarios!$E$14&gt;0,(Escenarios!$E$13*L159+Escenarios!$E$14*W159)/(Escenarios!$E$16),L159)</f>
        <v>1.3817596258427169</v>
      </c>
      <c r="AB159" s="170">
        <f>IF(Escenarios!$E$14&gt;0,(Escenarios!$E$14*Y159)/(Escenarios!$E$16),K159)</f>
        <v>0</v>
      </c>
      <c r="AC159" s="170">
        <f>IF(Escenarios!$E$14&gt;0,(Escenarios!$E$13*M159+Escenarios!$E$14*U159)/(Escenarios!$E$16),M159)</f>
        <v>0</v>
      </c>
      <c r="AD159" s="76">
        <f t="shared" si="29"/>
        <v>116.96588176025465</v>
      </c>
      <c r="AE159" s="76">
        <f>MAX(0,(AD159-Constantes!$D$13)*(1-EXP(-Constantes!$D$23)))</f>
        <v>0.67214733074096589</v>
      </c>
      <c r="AF159" s="76">
        <f>AB159+O159*Escenarios!$E$13/Escenarios!$E$16+AE159</f>
        <v>0.98179883303031978</v>
      </c>
      <c r="AG159" s="76">
        <f>IF(Entradas!$E$91&gt;0,IF(AF159-Escenarios!$E$38&lt;=0,0,IF(AF159-Escenarios!$E$38&gt;Escenarios!$E$37,Escenarios!$E$37,AF159-Escenarios!$E$38)),0)</f>
        <v>0</v>
      </c>
      <c r="AH159" s="76">
        <f>AG159*Entradas!$E$99</f>
        <v>0</v>
      </c>
      <c r="AI159" s="76">
        <f>IF(Entradas!$E$91&gt;0,D159*Entradas!$D$23/Escenarios!$E$16,0)</f>
        <v>0</v>
      </c>
      <c r="AJ159" s="76">
        <f>IF(Entradas!$E$91&gt;0,Entradas!$D$24*Entradas!$D$22/Escenarios!$E$16,0)</f>
        <v>0</v>
      </c>
      <c r="AK159" s="76">
        <f t="shared" si="38"/>
        <v>1.3817596258427169</v>
      </c>
      <c r="AL159" s="76">
        <f t="shared" si="39"/>
        <v>0</v>
      </c>
      <c r="AM159" s="76">
        <f t="shared" si="30"/>
        <v>0</v>
      </c>
      <c r="AN159" s="76">
        <f>MAX(0,O159*Escenarios!$E$13/Escenarios!$E$16-AM159)</f>
        <v>0.30965150228935395</v>
      </c>
      <c r="AO159" s="76">
        <f>AM159+AN159-O159*Escenarios!$E$13/Escenarios!$E$16</f>
        <v>0</v>
      </c>
      <c r="AP159" s="76">
        <f t="shared" si="28"/>
        <v>0.67214733074096589</v>
      </c>
      <c r="AQ159" s="76">
        <f t="shared" si="31"/>
        <v>0</v>
      </c>
      <c r="AR159" s="76">
        <f t="shared" si="32"/>
        <v>0.98179883303031978</v>
      </c>
      <c r="AS159" s="76">
        <f t="shared" si="33"/>
        <v>0</v>
      </c>
      <c r="AT159" s="76">
        <f t="shared" si="34"/>
        <v>0</v>
      </c>
      <c r="AU159" s="76">
        <f t="shared" si="35"/>
        <v>48.75</v>
      </c>
      <c r="AV159" s="76">
        <f>MAX(0,(AU159-Constantes!$D$13)*(1-EXP(-Constantes!$D$24)))</f>
        <v>0</v>
      </c>
      <c r="AW159" s="170">
        <f>AW158+(Entradas!$E$112*AT159-AX158)/(800*Entradas!$D$25)</f>
        <v>0</v>
      </c>
      <c r="AX159" s="170">
        <f>8000*Entradas!$D$26*AW159/Constantes!$E$45</f>
        <v>0</v>
      </c>
      <c r="AY159" s="170">
        <f>IF(Escenarios!$E$17&gt;0,10*Escenarios!$E$16*AL159,0)</f>
        <v>0</v>
      </c>
      <c r="AZ159" s="170">
        <f>IF(Escenarios!$E$17&gt;0,10*Escenarios!$E$16*AX159,0)</f>
        <v>0</v>
      </c>
      <c r="BA159" s="170">
        <f>IF(Escenarios!$E$17&gt;0,0.001*Observaciones!$F158*Escenarios!$E$17,0)</f>
        <v>231.99999999999997</v>
      </c>
      <c r="BB159" s="170">
        <f>IF(Escenarios!$E$17&gt;0,Observaciones!$K158,0)</f>
        <v>0</v>
      </c>
      <c r="BC159" s="170">
        <f>IF(Escenarios!$E$17&gt;0,MIN(0.0005*ETo!$M158*Escenarios!$E$17*(BG158/Constantes!$E$40)^(2/3),BG158+AY159+AZ159+BA159+BB159),0)</f>
        <v>10.393892374904381</v>
      </c>
      <c r="BD159" s="170">
        <f>IF(Escenarios!$E$17&gt;0,MIN(Constantes!$E$39*(BG158/Constantes!$E$40)^(2/3),BG158+AY159+AZ159+BA159+BB159-BC159),0)</f>
        <v>28.17822034925819</v>
      </c>
      <c r="BE159" s="170">
        <f>IF(Escenarios!$E$17&gt;0,MIN(Entradas!$E$113,BG158+AY159+AZ159+BA159+BB159-BC159-BD159),0)</f>
        <v>1</v>
      </c>
      <c r="BF159" s="170">
        <f>IF(Escenarios!$E$17&gt;0,MAX(0,BG158+AY159+AZ159+BA159+BB159-BC159-BD159-BE159-Constantes!$E$40),0)</f>
        <v>0</v>
      </c>
      <c r="BG159" s="170">
        <f t="shared" si="40"/>
        <v>1586.0470257382049</v>
      </c>
      <c r="BH159" s="170">
        <f>(Escenarios!$E$16*AK159+0.1*BC159)/(Escenarios!$E$19)</f>
        <v>1.3749178400721018</v>
      </c>
      <c r="BI159" s="170">
        <f>IF(Escenarios!$E$17&gt;0,BF159/10/Escenarios!$E$19,AL159)</f>
        <v>0</v>
      </c>
      <c r="BJ159" s="170">
        <f>(Escenarios!$E$16*AT159+0.1*BD159)/(Escenarios!$E$19)</f>
        <v>1.1181833471927853E-2</v>
      </c>
      <c r="BK159" s="76">
        <f>BK158+(0.1*BD159)/(Escenarios!$E$19)-BL158</f>
        <v>50.28854395172057</v>
      </c>
      <c r="BL159" s="76">
        <f>MAX(0,(BK159-Constantes!$D$13)*(1-EXP(-Constantes!$D$23)))</f>
        <v>1.5159640008921846E-2</v>
      </c>
      <c r="BM159" s="76">
        <f t="shared" si="36"/>
        <v>0.68730697074988778</v>
      </c>
      <c r="BN159" s="76">
        <f t="shared" si="41"/>
        <v>0.99695847303924168</v>
      </c>
      <c r="BO159" s="76">
        <f>0.0526*BI159*Observaciones!$F158^1.218</f>
        <v>0</v>
      </c>
      <c r="BP159" s="76">
        <f>BO159*Constantes!$E$51</f>
        <v>0</v>
      </c>
      <c r="BQ159" s="76">
        <f t="shared" si="37"/>
        <v>0</v>
      </c>
      <c r="BR159" s="40"/>
    </row>
    <row r="160" spans="1:70">
      <c r="A160" s="147"/>
      <c r="B160" s="39"/>
      <c r="C160" s="75">
        <v>154</v>
      </c>
      <c r="D160" s="146">
        <f>ETo!$I159*((1-Constantes!$E$19)*ETo!$K159+ETo!$L159)</f>
        <v>2.4260755321578338</v>
      </c>
      <c r="E160" s="76">
        <f>MIN(D160*Constantes!$E$17,0.8*(N159+Observaciones!$F159-F160-M160-Constantes!$D$14))</f>
        <v>1.1861382000663987</v>
      </c>
      <c r="F160" s="76">
        <f>IF(Observaciones!$F159&gt;0.05*Constantes!$E$18,((Observaciones!$F159-0.05*Constantes!$E$18)^2)/(Observaciones!$F159+0.95*Constantes!$E$18),0)</f>
        <v>0</v>
      </c>
      <c r="G160" s="76">
        <f>IF(Escenarios!$E$11&gt;0,(F160*Escenarios!$E$16*10000)/1000,0)</f>
        <v>0</v>
      </c>
      <c r="H160" s="76">
        <f>IF(Escenarios!$E$11&gt;0,(Observaciones!$F159*Constantes!$E$29)/1000,0)</f>
        <v>13</v>
      </c>
      <c r="I160" s="76">
        <f>IF(Escenarios!$E$11&gt;0,(D160*Constantes!$E$29)/1000,0)</f>
        <v>24.260755321578337</v>
      </c>
      <c r="J160" s="76">
        <f>IF(Escenarios!$E$11&gt;0,MAX(0,G160+H160-I160),0)</f>
        <v>0</v>
      </c>
      <c r="K160" s="76">
        <f>IF(Escenarios!$E$11&gt;0,IF(J160&gt;Constantes!$E$30,1000*((J160-Constantes!$E$30)/(Escenarios!$E$16*10000)),0),F160)</f>
        <v>0</v>
      </c>
      <c r="L160" s="76">
        <f>IF(Escenarios!$E$11&gt;0,I160*1000/Escenarios!$E$16/10000+E160,E160)</f>
        <v>1.1958425021950301</v>
      </c>
      <c r="M160" s="76">
        <f>MAX(0,N159+Observaciones!$F159-K160-Constantes!$D$13)</f>
        <v>0</v>
      </c>
      <c r="N160" s="76">
        <f>N159+Observaciones!$F159-K160-L160-M160-O159</f>
        <v>21.332250991774892</v>
      </c>
      <c r="O160" s="76">
        <f>MAX(0,(N160-Constantes!$D$14)*(1-EXP(-Constantes!$D$22)))</f>
        <v>0.34343848148096917</v>
      </c>
      <c r="P160" s="170">
        <f>P159+(Entradas!$E$83*M160-Q159)/(800*Entradas!$D$25)</f>
        <v>0</v>
      </c>
      <c r="Q160" s="170">
        <f>8000*Entradas!$D$26*P160/Constantes!$E$45</f>
        <v>0</v>
      </c>
      <c r="R160" s="170">
        <f>IF(Escenarios!$E$14&gt;0,K160*Escenarios!$E$13/Escenarios!$E$14,0)</f>
        <v>0</v>
      </c>
      <c r="S160" s="170">
        <f>IF(Escenarios!$E$14&gt;0,Q160*Escenarios!$E$13/Escenarios!$E$14,0)</f>
        <v>0</v>
      </c>
      <c r="T160" s="170">
        <f>IF(Escenarios!$E$14&gt;0,Observaciones!$I159,0)</f>
        <v>0</v>
      </c>
      <c r="U160" s="170">
        <f>IF(Escenarios!$E$14&gt;0,MAX(0,Constantes!$E$36/((Z159+R160+S160+T160+Observaciones!$F159)^2)+Entradas!$E$77),0)</f>
        <v>0</v>
      </c>
      <c r="V160" s="146">
        <f>IF(ETo!D159&gt;0,ETo!I159*((1-Entradas!$E$81)*ETo!K159+ETo!L159),0)</f>
        <v>2.1831709411267566</v>
      </c>
      <c r="W160" s="170">
        <f>IF(Escenarios!$E$14&gt;0,MIN(V160*1,0.8*(Z159+R160+S160+T160+Observaciones!$F159-U160-Constantes!$E$35)),0)</f>
        <v>2.1831709411267566</v>
      </c>
      <c r="X160" s="170">
        <f>IF(Escenarios!$E$14&gt;0,Observaciones!$J159,0)</f>
        <v>0</v>
      </c>
      <c r="Y160" s="170">
        <f>IF(Escenarios!$E$14&gt;0,MAX(0,Z159+R160+S160+T160+Observaciones!$F159-U160-W160-X160-Constantes!$E$33),0)</f>
        <v>0</v>
      </c>
      <c r="Z160" s="170">
        <f>Z159+R160+S160+T160+Observaciones!$F159-U160-W160-Y160</f>
        <v>49.670990004806832</v>
      </c>
      <c r="AA160" s="170">
        <f>IF(Escenarios!$E$14&gt;0,(Escenarios!$E$13*L160+Escenarios!$E$14*W160)/(Escenarios!$E$16),L160)</f>
        <v>1.3143219148668372</v>
      </c>
      <c r="AB160" s="170">
        <f>IF(Escenarios!$E$14&gt;0,(Escenarios!$E$14*Y160)/(Escenarios!$E$16),K160)</f>
        <v>0</v>
      </c>
      <c r="AC160" s="170">
        <f>IF(Escenarios!$E$14&gt;0,(Escenarios!$E$13*M160+Escenarios!$E$14*U160)/(Escenarios!$E$16),M160)</f>
        <v>0</v>
      </c>
      <c r="AD160" s="76">
        <f t="shared" si="29"/>
        <v>116.29373442951368</v>
      </c>
      <c r="AE160" s="76">
        <f>MAX(0,(AD160-Constantes!$D$13)*(1-EXP(-Constantes!$D$23)))</f>
        <v>0.66552450299815369</v>
      </c>
      <c r="AF160" s="76">
        <f>AB160+O160*Escenarios!$E$13/Escenarios!$E$16+AE160</f>
        <v>0.96775036670140646</v>
      </c>
      <c r="AG160" s="76">
        <f>IF(Entradas!$E$91&gt;0,IF(AF160-Escenarios!$E$38&lt;=0,0,IF(AF160-Escenarios!$E$38&gt;Escenarios!$E$37,Escenarios!$E$37,AF160-Escenarios!$E$38)),0)</f>
        <v>0</v>
      </c>
      <c r="AH160" s="76">
        <f>AG160*Entradas!$E$99</f>
        <v>0</v>
      </c>
      <c r="AI160" s="76">
        <f>IF(Entradas!$E$91&gt;0,D160*Entradas!$D$23/Escenarios!$E$16,0)</f>
        <v>0</v>
      </c>
      <c r="AJ160" s="76">
        <f>IF(Entradas!$E$91&gt;0,Entradas!$D$24*Entradas!$D$22/Escenarios!$E$16,0)</f>
        <v>0</v>
      </c>
      <c r="AK160" s="76">
        <f t="shared" si="38"/>
        <v>1.3143219148668372</v>
      </c>
      <c r="AL160" s="76">
        <f t="shared" si="39"/>
        <v>0</v>
      </c>
      <c r="AM160" s="76">
        <f t="shared" si="30"/>
        <v>0</v>
      </c>
      <c r="AN160" s="76">
        <f>MAX(0,O160*Escenarios!$E$13/Escenarios!$E$16-AM160)</f>
        <v>0.30222586370325283</v>
      </c>
      <c r="AO160" s="76">
        <f>AM160+AN160-O160*Escenarios!$E$13/Escenarios!$E$16</f>
        <v>0</v>
      </c>
      <c r="AP160" s="76">
        <f t="shared" si="28"/>
        <v>0.66552450299815369</v>
      </c>
      <c r="AQ160" s="76">
        <f t="shared" si="31"/>
        <v>0</v>
      </c>
      <c r="AR160" s="76">
        <f t="shared" si="32"/>
        <v>0.96775036670140646</v>
      </c>
      <c r="AS160" s="76">
        <f t="shared" si="33"/>
        <v>0</v>
      </c>
      <c r="AT160" s="76">
        <f t="shared" si="34"/>
        <v>0</v>
      </c>
      <c r="AU160" s="76">
        <f t="shared" si="35"/>
        <v>48.75</v>
      </c>
      <c r="AV160" s="76">
        <f>MAX(0,(AU160-Constantes!$D$13)*(1-EXP(-Constantes!$D$24)))</f>
        <v>0</v>
      </c>
      <c r="AW160" s="170">
        <f>AW159+(Entradas!$E$112*AT160-AX159)/(800*Entradas!$D$25)</f>
        <v>0</v>
      </c>
      <c r="AX160" s="170">
        <f>8000*Entradas!$D$26*AW160/Constantes!$E$45</f>
        <v>0</v>
      </c>
      <c r="AY160" s="170">
        <f>IF(Escenarios!$E$17&gt;0,10*Escenarios!$E$16*AL160,0)</f>
        <v>0</v>
      </c>
      <c r="AZ160" s="170">
        <f>IF(Escenarios!$E$17&gt;0,10*Escenarios!$E$16*AX160,0)</f>
        <v>0</v>
      </c>
      <c r="BA160" s="170">
        <f>IF(Escenarios!$E$17&gt;0,0.001*Observaciones!$F159*Escenarios!$E$17,0)</f>
        <v>26.000000000000004</v>
      </c>
      <c r="BB160" s="170">
        <f>IF(Escenarios!$E$17&gt;0,Observaciones!$K159,0)</f>
        <v>214.33512376174872</v>
      </c>
      <c r="BC160" s="170">
        <f>IF(Escenarios!$E$17&gt;0,MIN(0.0005*ETo!$M159*Escenarios!$E$17*(BG159/Constantes!$E$40)^(2/3),BG159+AY160+AZ160+BA160+BB160),0)</f>
        <v>10.782363556881373</v>
      </c>
      <c r="BD160" s="170">
        <f>IF(Escenarios!$E$17&gt;0,MIN(Constantes!$E$39*(BG159/Constantes!$E$40)^(2/3),BG159+AY160+AZ160+BA160+BB160-BC160),0)</f>
        <v>30.715778911616361</v>
      </c>
      <c r="BE160" s="170">
        <f>IF(Escenarios!$E$17&gt;0,MIN(Entradas!$E$113,BG159+AY160+AZ160+BA160+BB160-BC160-BD160),0)</f>
        <v>1</v>
      </c>
      <c r="BF160" s="170">
        <f>IF(Escenarios!$E$17&gt;0,MAX(0,BG159+AY160+AZ160+BA160+BB160-BC160-BD160-BE160-Constantes!$E$40),0)</f>
        <v>0</v>
      </c>
      <c r="BG160" s="170">
        <f t="shared" si="40"/>
        <v>1783.8840070314559</v>
      </c>
      <c r="BH160" s="170">
        <f>(Escenarios!$E$16*AK160+0.1*BC160)/(Escenarios!$E$19)</f>
        <v>1.3081695042555455</v>
      </c>
      <c r="BI160" s="170">
        <f>IF(Escenarios!$E$17&gt;0,BF160/10/Escenarios!$E$19,AL160)</f>
        <v>0</v>
      </c>
      <c r="BJ160" s="170">
        <f>(Escenarios!$E$16*AT160+0.1*BD160)/(Escenarios!$E$19)</f>
        <v>1.218880115540332E-2</v>
      </c>
      <c r="BK160" s="76">
        <f>BK159+(0.1*BD160)/(Escenarios!$E$19)-BL159</f>
        <v>50.285573112867048</v>
      </c>
      <c r="BL160" s="76">
        <f>MAX(0,(BK160-Constantes!$D$13)*(1-EXP(-Constantes!$D$23)))</f>
        <v>1.5130367626099416E-2</v>
      </c>
      <c r="BM160" s="76">
        <f t="shared" si="36"/>
        <v>0.68065487062425312</v>
      </c>
      <c r="BN160" s="76">
        <f t="shared" si="41"/>
        <v>0.98288073432750589</v>
      </c>
      <c r="BO160" s="76">
        <f>0.0526*BI160*Observaciones!$F159^1.218</f>
        <v>0</v>
      </c>
      <c r="BP160" s="76">
        <f>BO160*Constantes!$E$51</f>
        <v>0</v>
      </c>
      <c r="BQ160" s="76">
        <f t="shared" si="37"/>
        <v>0</v>
      </c>
      <c r="BR160" s="40"/>
    </row>
    <row r="161" spans="1:70">
      <c r="A161" s="147"/>
      <c r="B161" s="39"/>
      <c r="C161" s="75">
        <v>155</v>
      </c>
      <c r="D161" s="146">
        <f>ETo!$I160*((1-Constantes!$E$19)*ETo!$K160+ETo!$L160)</f>
        <v>2.7237552965238061</v>
      </c>
      <c r="E161" s="76">
        <f>MIN(D161*Constantes!$E$17,0.8*(N160+Observaciones!$F160-F161-M161-Constantes!$D$14))</f>
        <v>1.3316775022113712</v>
      </c>
      <c r="F161" s="76">
        <f>IF(Observaciones!$F160&gt;0.05*Constantes!$E$18,((Observaciones!$F160-0.05*Constantes!$E$18)^2)/(Observaciones!$F160+0.95*Constantes!$E$18),0)</f>
        <v>0</v>
      </c>
      <c r="G161" s="76">
        <f>IF(Escenarios!$E$11&gt;0,(F161*Escenarios!$E$16*10000)/1000,0)</f>
        <v>0</v>
      </c>
      <c r="H161" s="76">
        <f>IF(Escenarios!$E$11&gt;0,(Observaciones!$F160*Constantes!$E$29)/1000,0)</f>
        <v>0</v>
      </c>
      <c r="I161" s="76">
        <f>IF(Escenarios!$E$11&gt;0,(D161*Constantes!$E$29)/1000,0)</f>
        <v>27.237552965238059</v>
      </c>
      <c r="J161" s="76">
        <f>IF(Escenarios!$E$11&gt;0,MAX(0,G161+H161-I161),0)</f>
        <v>0</v>
      </c>
      <c r="K161" s="76">
        <f>IF(Escenarios!$E$11&gt;0,IF(J161&gt;Constantes!$E$30,1000*((J161-Constantes!$E$30)/(Escenarios!$E$16*10000)),0),F161)</f>
        <v>0</v>
      </c>
      <c r="L161" s="76">
        <f>IF(Escenarios!$E$11&gt;0,I161*1000/Escenarios!$E$16/10000+E161,E161)</f>
        <v>1.3425725233974664</v>
      </c>
      <c r="M161" s="76">
        <f>MAX(0,N160+Observaciones!$F160-K161-Constantes!$D$13)</f>
        <v>0</v>
      </c>
      <c r="N161" s="76">
        <f>N160+Observaciones!$F160-K161-L161-M161-O160</f>
        <v>19.646239986896457</v>
      </c>
      <c r="O161" s="76">
        <f>MAX(0,(N161-Constantes!$D$14)*(1-EXP(-Constantes!$D$22)))</f>
        <v>0.2860067571816996</v>
      </c>
      <c r="P161" s="170">
        <f>P160+(Entradas!$E$83*M161-Q160)/(800*Entradas!$D$25)</f>
        <v>0</v>
      </c>
      <c r="Q161" s="170">
        <f>8000*Entradas!$D$26*P161/Constantes!$E$45</f>
        <v>0</v>
      </c>
      <c r="R161" s="170">
        <f>IF(Escenarios!$E$14&gt;0,K161*Escenarios!$E$13/Escenarios!$E$14,0)</f>
        <v>0</v>
      </c>
      <c r="S161" s="170">
        <f>IF(Escenarios!$E$14&gt;0,Q161*Escenarios!$E$13/Escenarios!$E$14,0)</f>
        <v>0</v>
      </c>
      <c r="T161" s="170">
        <f>IF(Escenarios!$E$14&gt;0,Observaciones!$I160,0)</f>
        <v>0</v>
      </c>
      <c r="U161" s="170">
        <f>IF(Escenarios!$E$14&gt;0,MAX(0,Constantes!$E$36/((Z160+R161+S161+T161+Observaciones!$F160)^2)+Entradas!$E$77),0)</f>
        <v>0</v>
      </c>
      <c r="V161" s="146">
        <f>IF(ETo!D160&gt;0,ETo!I160*((1-Entradas!$E$81)*ETo!K160+ETo!L160),0)</f>
        <v>2.4534225341003739</v>
      </c>
      <c r="W161" s="170">
        <f>IF(Escenarios!$E$14&gt;0,MIN(V161*1,0.8*(Z160+R161+S161+T161+Observaciones!$F160-U161-Constantes!$E$35)),0)</f>
        <v>2.4534225341003739</v>
      </c>
      <c r="X161" s="170">
        <f>IF(Escenarios!$E$14&gt;0,Observaciones!$J160,0)</f>
        <v>0</v>
      </c>
      <c r="Y161" s="170">
        <f>IF(Escenarios!$E$14&gt;0,MAX(0,Z160+R161+S161+T161+Observaciones!$F160-U161-W161-X161-Constantes!$E$33),0)</f>
        <v>0</v>
      </c>
      <c r="Z161" s="170">
        <f>Z160+R161+S161+T161+Observaciones!$F160-U161-W161-Y161</f>
        <v>47.217567470706456</v>
      </c>
      <c r="AA161" s="170">
        <f>IF(Escenarios!$E$14&gt;0,(Escenarios!$E$13*L161+Escenarios!$E$14*W161)/(Escenarios!$E$16),L161)</f>
        <v>1.4758745246818152</v>
      </c>
      <c r="AB161" s="170">
        <f>IF(Escenarios!$E$14&gt;0,(Escenarios!$E$14*Y161)/(Escenarios!$E$16),K161)</f>
        <v>0</v>
      </c>
      <c r="AC161" s="170">
        <f>IF(Escenarios!$E$14&gt;0,(Escenarios!$E$13*M161+Escenarios!$E$14*U161)/(Escenarios!$E$16),M161)</f>
        <v>0</v>
      </c>
      <c r="AD161" s="76">
        <f t="shared" si="29"/>
        <v>115.62820992651552</v>
      </c>
      <c r="AE161" s="76">
        <f>MAX(0,(AD161-Constantes!$D$13)*(1-EXP(-Constantes!$D$23)))</f>
        <v>0.65896693155452624</v>
      </c>
      <c r="AF161" s="76">
        <f>AB161+O161*Escenarios!$E$13/Escenarios!$E$16+AE161</f>
        <v>0.91065287787442184</v>
      </c>
      <c r="AG161" s="76">
        <f>IF(Entradas!$E$91&gt;0,IF(AF161-Escenarios!$E$38&lt;=0,0,IF(AF161-Escenarios!$E$38&gt;Escenarios!$E$37,Escenarios!$E$37,AF161-Escenarios!$E$38)),0)</f>
        <v>0</v>
      </c>
      <c r="AH161" s="76">
        <f>AG161*Entradas!$E$99</f>
        <v>0</v>
      </c>
      <c r="AI161" s="76">
        <f>IF(Entradas!$E$91&gt;0,D161*Entradas!$D$23/Escenarios!$E$16,0)</f>
        <v>0</v>
      </c>
      <c r="AJ161" s="76">
        <f>IF(Entradas!$E$91&gt;0,Entradas!$D$24*Entradas!$D$22/Escenarios!$E$16,0)</f>
        <v>0</v>
      </c>
      <c r="AK161" s="76">
        <f t="shared" si="38"/>
        <v>1.4758745246818152</v>
      </c>
      <c r="AL161" s="76">
        <f t="shared" si="39"/>
        <v>0</v>
      </c>
      <c r="AM161" s="76">
        <f t="shared" si="30"/>
        <v>0</v>
      </c>
      <c r="AN161" s="76">
        <f>MAX(0,O161*Escenarios!$E$13/Escenarios!$E$16-AM161)</f>
        <v>0.25168594631989566</v>
      </c>
      <c r="AO161" s="76">
        <f>AM161+AN161-O161*Escenarios!$E$13/Escenarios!$E$16</f>
        <v>0</v>
      </c>
      <c r="AP161" s="76">
        <f t="shared" si="28"/>
        <v>0.65896693155452624</v>
      </c>
      <c r="AQ161" s="76">
        <f t="shared" si="31"/>
        <v>0</v>
      </c>
      <c r="AR161" s="76">
        <f t="shared" si="32"/>
        <v>0.91065287787442184</v>
      </c>
      <c r="AS161" s="76">
        <f t="shared" si="33"/>
        <v>0</v>
      </c>
      <c r="AT161" s="76">
        <f t="shared" si="34"/>
        <v>0</v>
      </c>
      <c r="AU161" s="76">
        <f t="shared" si="35"/>
        <v>48.75</v>
      </c>
      <c r="AV161" s="76">
        <f>MAX(0,(AU161-Constantes!$D$13)*(1-EXP(-Constantes!$D$24)))</f>
        <v>0</v>
      </c>
      <c r="AW161" s="170">
        <f>AW160+(Entradas!$E$112*AT161-AX160)/(800*Entradas!$D$25)</f>
        <v>0</v>
      </c>
      <c r="AX161" s="170">
        <f>8000*Entradas!$D$26*AW161/Constantes!$E$45</f>
        <v>0</v>
      </c>
      <c r="AY161" s="170">
        <f>IF(Escenarios!$E$17&gt;0,10*Escenarios!$E$16*AL161,0)</f>
        <v>0</v>
      </c>
      <c r="AZ161" s="170">
        <f>IF(Escenarios!$E$17&gt;0,10*Escenarios!$E$16*AX161,0)</f>
        <v>0</v>
      </c>
      <c r="BA161" s="170">
        <f>IF(Escenarios!$E$17&gt;0,0.001*Observaciones!$F160*Escenarios!$E$17,0)</f>
        <v>0</v>
      </c>
      <c r="BB161" s="170">
        <f>IF(Escenarios!$E$17&gt;0,Observaciones!$K160,0)</f>
        <v>0</v>
      </c>
      <c r="BC161" s="170">
        <f>IF(Escenarios!$E$17&gt;0,MIN(0.0005*ETo!$M160*Escenarios!$E$17*(BG160/Constantes!$E$40)^(2/3),BG160+AY161+AZ161+BA161+BB161),0)</f>
        <v>13.076637705851951</v>
      </c>
      <c r="BD161" s="170">
        <f>IF(Escenarios!$E$17&gt;0,MIN(Constantes!$E$39*(BG160/Constantes!$E$40)^(2/3),BG160+AY161+AZ161+BA161+BB161-BC161),0)</f>
        <v>33.219663912991649</v>
      </c>
      <c r="BE161" s="170">
        <f>IF(Escenarios!$E$17&gt;0,MIN(Entradas!$E$113,BG160+AY161+AZ161+BA161+BB161-BC161-BD161),0)</f>
        <v>1</v>
      </c>
      <c r="BF161" s="170">
        <f>IF(Escenarios!$E$17&gt;0,MAX(0,BG160+AY161+AZ161+BA161+BB161-BC161-BD161-BE161-Constantes!$E$40),0)</f>
        <v>0</v>
      </c>
      <c r="BG161" s="170">
        <f t="shared" si="40"/>
        <v>1736.5877054126124</v>
      </c>
      <c r="BH161" s="170">
        <f>(Escenarios!$E$16*AK161+0.1*BC161)/(Escenarios!$E$19)</f>
        <v>1.4693503767501548</v>
      </c>
      <c r="BI161" s="170">
        <f>IF(Escenarios!$E$17&gt;0,BF161/10/Escenarios!$E$19,AL161)</f>
        <v>0</v>
      </c>
      <c r="BJ161" s="170">
        <f>(Escenarios!$E$16*AT161+0.1*BD161)/(Escenarios!$E$19)</f>
        <v>1.3182406314679228E-2</v>
      </c>
      <c r="BK161" s="76">
        <f>BK160+(0.1*BD161)/(Escenarios!$E$19)-BL160</f>
        <v>50.283625151555626</v>
      </c>
      <c r="BL161" s="76">
        <f>MAX(0,(BK161-Constantes!$D$13)*(1-EXP(-Constantes!$D$23)))</f>
        <v>1.5111173899329729E-2</v>
      </c>
      <c r="BM161" s="76">
        <f t="shared" si="36"/>
        <v>0.67407810545385594</v>
      </c>
      <c r="BN161" s="76">
        <f t="shared" si="41"/>
        <v>0.92576405177375154</v>
      </c>
      <c r="BO161" s="76">
        <f>0.0526*BI161*Observaciones!$F160^1.218</f>
        <v>0</v>
      </c>
      <c r="BP161" s="76">
        <f>BO161*Constantes!$E$51</f>
        <v>0</v>
      </c>
      <c r="BQ161" s="76">
        <f t="shared" si="37"/>
        <v>0</v>
      </c>
      <c r="BR161" s="40"/>
    </row>
    <row r="162" spans="1:70">
      <c r="A162" s="147"/>
      <c r="B162" s="39"/>
      <c r="C162" s="75">
        <v>156</v>
      </c>
      <c r="D162" s="146">
        <f>ETo!$I161*((1-Constantes!$E$19)*ETo!$K161+ETo!$L161)</f>
        <v>2.5405102275588045</v>
      </c>
      <c r="E162" s="76">
        <f>MIN(D162*Constantes!$E$17,0.8*(N161+Observaciones!$F161-F162-M162-Constantes!$D$14))</f>
        <v>1.2420867316883002</v>
      </c>
      <c r="F162" s="76">
        <f>IF(Observaciones!$F161&gt;0.05*Constantes!$E$18,((Observaciones!$F161-0.05*Constantes!$E$18)^2)/(Observaciones!$F161+0.95*Constantes!$E$18),0)</f>
        <v>0</v>
      </c>
      <c r="G162" s="76">
        <f>IF(Escenarios!$E$11&gt;0,(F162*Escenarios!$E$16*10000)/1000,0)</f>
        <v>0</v>
      </c>
      <c r="H162" s="76">
        <f>IF(Escenarios!$E$11&gt;0,(Observaciones!$F161*Constantes!$E$29)/1000,0)</f>
        <v>0</v>
      </c>
      <c r="I162" s="76">
        <f>IF(Escenarios!$E$11&gt;0,(D162*Constantes!$E$29)/1000,0)</f>
        <v>25.405102275588042</v>
      </c>
      <c r="J162" s="76">
        <f>IF(Escenarios!$E$11&gt;0,MAX(0,G162+H162-I162),0)</f>
        <v>0</v>
      </c>
      <c r="K162" s="76">
        <f>IF(Escenarios!$E$11&gt;0,IF(J162&gt;Constantes!$E$30,1000*((J162-Constantes!$E$30)/(Escenarios!$E$16*10000)),0),F162)</f>
        <v>0</v>
      </c>
      <c r="L162" s="76">
        <f>IF(Escenarios!$E$11&gt;0,I162*1000/Escenarios!$E$16/10000+E162,E162)</f>
        <v>1.2522487725985354</v>
      </c>
      <c r="M162" s="76">
        <f>MAX(0,N161+Observaciones!$F161-K162-Constantes!$D$13)</f>
        <v>0</v>
      </c>
      <c r="N162" s="76">
        <f>N161+Observaciones!$F161-K162-L162-M162-O161</f>
        <v>18.107984457116224</v>
      </c>
      <c r="O162" s="76">
        <f>MAX(0,(N162-Constantes!$D$14)*(1-EXP(-Constantes!$D$22)))</f>
        <v>0.23360812678572837</v>
      </c>
      <c r="P162" s="170">
        <f>P161+(Entradas!$E$83*M162-Q161)/(800*Entradas!$D$25)</f>
        <v>0</v>
      </c>
      <c r="Q162" s="170">
        <f>8000*Entradas!$D$26*P162/Constantes!$E$45</f>
        <v>0</v>
      </c>
      <c r="R162" s="170">
        <f>IF(Escenarios!$E$14&gt;0,K162*Escenarios!$E$13/Escenarios!$E$14,0)</f>
        <v>0</v>
      </c>
      <c r="S162" s="170">
        <f>IF(Escenarios!$E$14&gt;0,Q162*Escenarios!$E$13/Escenarios!$E$14,0)</f>
        <v>0</v>
      </c>
      <c r="T162" s="170">
        <f>IF(Escenarios!$E$14&gt;0,Observaciones!$I161,0)</f>
        <v>0</v>
      </c>
      <c r="U162" s="170">
        <f>IF(Escenarios!$E$14&gt;0,MAX(0,Constantes!$E$36/((Z161+R162+S162+T162+Observaciones!$F161)^2)+Entradas!$E$77),0)</f>
        <v>0</v>
      </c>
      <c r="V162" s="146">
        <f>IF(ETo!D161&gt;0,ETo!I161*((1-Entradas!$E$81)*ETo!K161+ETo!L161),0)</f>
        <v>2.2861641928235521</v>
      </c>
      <c r="W162" s="170">
        <f>IF(Escenarios!$E$14&gt;0,MIN(V162*1,0.8*(Z161+R162+S162+T162+Observaciones!$F161-U162-Constantes!$E$35)),0)</f>
        <v>2.2861641928235521</v>
      </c>
      <c r="X162" s="170">
        <f>IF(Escenarios!$E$14&gt;0,Observaciones!$J161,0)</f>
        <v>0</v>
      </c>
      <c r="Y162" s="170">
        <f>IF(Escenarios!$E$14&gt;0,MAX(0,Z161+R162+S162+T162+Observaciones!$F161-U162-W162-X162-Constantes!$E$33),0)</f>
        <v>0</v>
      </c>
      <c r="Z162" s="170">
        <f>Z161+R162+S162+T162+Observaciones!$F161-U162-W162-Y162</f>
        <v>44.931403277882907</v>
      </c>
      <c r="AA162" s="170">
        <f>IF(Escenarios!$E$14&gt;0,(Escenarios!$E$13*L162+Escenarios!$E$14*W162)/(Escenarios!$E$16),L162)</f>
        <v>1.3763186230255373</v>
      </c>
      <c r="AB162" s="170">
        <f>IF(Escenarios!$E$14&gt;0,(Escenarios!$E$14*Y162)/(Escenarios!$E$16),K162)</f>
        <v>0</v>
      </c>
      <c r="AC162" s="170">
        <f>IF(Escenarios!$E$14&gt;0,(Escenarios!$E$13*M162+Escenarios!$E$14*U162)/(Escenarios!$E$16),M162)</f>
        <v>0</v>
      </c>
      <c r="AD162" s="76">
        <f t="shared" si="29"/>
        <v>114.96924299496099</v>
      </c>
      <c r="AE162" s="76">
        <f>MAX(0,(AD162-Constantes!$D$13)*(1-EXP(-Constantes!$D$23)))</f>
        <v>0.65247397342422453</v>
      </c>
      <c r="AF162" s="76">
        <f>AB162+O162*Escenarios!$E$13/Escenarios!$E$16+AE162</f>
        <v>0.85804912499566544</v>
      </c>
      <c r="AG162" s="76">
        <f>IF(Entradas!$E$91&gt;0,IF(AF162-Escenarios!$E$38&lt;=0,0,IF(AF162-Escenarios!$E$38&gt;Escenarios!$E$37,Escenarios!$E$37,AF162-Escenarios!$E$38)),0)</f>
        <v>0</v>
      </c>
      <c r="AH162" s="76">
        <f>AG162*Entradas!$E$99</f>
        <v>0</v>
      </c>
      <c r="AI162" s="76">
        <f>IF(Entradas!$E$91&gt;0,D162*Entradas!$D$23/Escenarios!$E$16,0)</f>
        <v>0</v>
      </c>
      <c r="AJ162" s="76">
        <f>IF(Entradas!$E$91&gt;0,Entradas!$D$24*Entradas!$D$22/Escenarios!$E$16,0)</f>
        <v>0</v>
      </c>
      <c r="AK162" s="76">
        <f t="shared" si="38"/>
        <v>1.3763186230255373</v>
      </c>
      <c r="AL162" s="76">
        <f t="shared" si="39"/>
        <v>0</v>
      </c>
      <c r="AM162" s="76">
        <f t="shared" si="30"/>
        <v>0</v>
      </c>
      <c r="AN162" s="76">
        <f>MAX(0,O162*Escenarios!$E$13/Escenarios!$E$16-AM162)</f>
        <v>0.20557515157144096</v>
      </c>
      <c r="AO162" s="76">
        <f>AM162+AN162-O162*Escenarios!$E$13/Escenarios!$E$16</f>
        <v>0</v>
      </c>
      <c r="AP162" s="76">
        <f t="shared" si="28"/>
        <v>0.65247397342422453</v>
      </c>
      <c r="AQ162" s="76">
        <f t="shared" si="31"/>
        <v>0</v>
      </c>
      <c r="AR162" s="76">
        <f t="shared" si="32"/>
        <v>0.85804912499566544</v>
      </c>
      <c r="AS162" s="76">
        <f t="shared" si="33"/>
        <v>0</v>
      </c>
      <c r="AT162" s="76">
        <f t="shared" si="34"/>
        <v>0</v>
      </c>
      <c r="AU162" s="76">
        <f t="shared" si="35"/>
        <v>48.75</v>
      </c>
      <c r="AV162" s="76">
        <f>MAX(0,(AU162-Constantes!$D$13)*(1-EXP(-Constantes!$D$24)))</f>
        <v>0</v>
      </c>
      <c r="AW162" s="170">
        <f>AW161+(Entradas!$E$112*AT162-AX161)/(800*Entradas!$D$25)</f>
        <v>0</v>
      </c>
      <c r="AX162" s="170">
        <f>8000*Entradas!$D$26*AW162/Constantes!$E$45</f>
        <v>0</v>
      </c>
      <c r="AY162" s="170">
        <f>IF(Escenarios!$E$17&gt;0,10*Escenarios!$E$16*AL162,0)</f>
        <v>0</v>
      </c>
      <c r="AZ162" s="170">
        <f>IF(Escenarios!$E$17&gt;0,10*Escenarios!$E$16*AX162,0)</f>
        <v>0</v>
      </c>
      <c r="BA162" s="170">
        <f>IF(Escenarios!$E$17&gt;0,0.001*Observaciones!$F161*Escenarios!$E$17,0)</f>
        <v>0</v>
      </c>
      <c r="BB162" s="170">
        <f>IF(Escenarios!$E$17&gt;0,Observaciones!$K161,0)</f>
        <v>0</v>
      </c>
      <c r="BC162" s="170">
        <f>IF(Escenarios!$E$17&gt;0,MIN(0.0005*ETo!$M161*Escenarios!$E$17*(BG161/Constantes!$E$40)^(2/3),BG161+AY162+AZ162+BA162+BB162),0)</f>
        <v>11.994458581065141</v>
      </c>
      <c r="BD162" s="170">
        <f>IF(Escenarios!$E$17&gt;0,MIN(Constantes!$E$39*(BG161/Constantes!$E$40)^(2/3),BG161+AY162+AZ162+BA162+BB162-BC162),0)</f>
        <v>32.629867308150494</v>
      </c>
      <c r="BE162" s="170">
        <f>IF(Escenarios!$E$17&gt;0,MIN(Entradas!$E$113,BG161+AY162+AZ162+BA162+BB162-BC162-BD162),0)</f>
        <v>1</v>
      </c>
      <c r="BF162" s="170">
        <f>IF(Escenarios!$E$17&gt;0,MAX(0,BG161+AY162+AZ162+BA162+BB162-BC162-BD162-BE162-Constantes!$E$40),0)</f>
        <v>0</v>
      </c>
      <c r="BG162" s="170">
        <f t="shared" si="40"/>
        <v>1690.9633795233967</v>
      </c>
      <c r="BH162" s="170">
        <f>(Escenarios!$E$16*AK162+0.1*BC162)/(Escenarios!$E$19)</f>
        <v>1.3701551651368684</v>
      </c>
      <c r="BI162" s="170">
        <f>IF(Escenarios!$E$17&gt;0,BF162/10/Escenarios!$E$19,AL162)</f>
        <v>0</v>
      </c>
      <c r="BJ162" s="170">
        <f>(Escenarios!$E$16*AT162+0.1*BD162)/(Escenarios!$E$19)</f>
        <v>1.2948360042916864E-2</v>
      </c>
      <c r="BK162" s="76">
        <f>BK161+(0.1*BD162)/(Escenarios!$E$19)-BL161</f>
        <v>50.281462337699217</v>
      </c>
      <c r="BL162" s="76">
        <f>MAX(0,(BK162-Constantes!$D$13)*(1-EXP(-Constantes!$D$23)))</f>
        <v>1.5089863179260412E-2</v>
      </c>
      <c r="BM162" s="76">
        <f t="shared" si="36"/>
        <v>0.66756383660348495</v>
      </c>
      <c r="BN162" s="76">
        <f t="shared" si="41"/>
        <v>0.87313898817492586</v>
      </c>
      <c r="BO162" s="76">
        <f>0.0526*BI162*Observaciones!$F161^1.218</f>
        <v>0</v>
      </c>
      <c r="BP162" s="76">
        <f>BO162*Constantes!$E$51</f>
        <v>0</v>
      </c>
      <c r="BQ162" s="76">
        <f t="shared" si="37"/>
        <v>0</v>
      </c>
      <c r="BR162" s="40"/>
    </row>
    <row r="163" spans="1:70">
      <c r="A163" s="147"/>
      <c r="B163" s="39"/>
      <c r="C163" s="75">
        <v>157</v>
      </c>
      <c r="D163" s="146">
        <f>ETo!$I162*((1-Constantes!$E$19)*ETo!$K162+ETo!$L162)</f>
        <v>2.610632934969503</v>
      </c>
      <c r="E163" s="76">
        <f>MIN(D163*Constantes!$E$17,0.8*(N162+Observaciones!$F162-F163-M163-Constantes!$D$14))</f>
        <v>1.2763705867659405</v>
      </c>
      <c r="F163" s="76">
        <f>IF(Observaciones!$F162&gt;0.05*Constantes!$E$18,((Observaciones!$F162-0.05*Constantes!$E$18)^2)/(Observaciones!$F162+0.95*Constantes!$E$18),0)</f>
        <v>0</v>
      </c>
      <c r="G163" s="76">
        <f>IF(Escenarios!$E$11&gt;0,(F163*Escenarios!$E$16*10000)/1000,0)</f>
        <v>0</v>
      </c>
      <c r="H163" s="76">
        <f>IF(Escenarios!$E$11&gt;0,(Observaciones!$F162*Constantes!$E$29)/1000,0)</f>
        <v>0</v>
      </c>
      <c r="I163" s="76">
        <f>IF(Escenarios!$E$11&gt;0,(D163*Constantes!$E$29)/1000,0)</f>
        <v>26.106329349695027</v>
      </c>
      <c r="J163" s="76">
        <f>IF(Escenarios!$E$11&gt;0,MAX(0,G163+H163-I163),0)</f>
        <v>0</v>
      </c>
      <c r="K163" s="76">
        <f>IF(Escenarios!$E$11&gt;0,IF(J163&gt;Constantes!$E$30,1000*((J163-Constantes!$E$30)/(Escenarios!$E$16*10000)),0),F163)</f>
        <v>0</v>
      </c>
      <c r="L163" s="76">
        <f>IF(Escenarios!$E$11&gt;0,I163*1000/Escenarios!$E$16/10000+E163,E163)</f>
        <v>1.2868131185058185</v>
      </c>
      <c r="M163" s="76">
        <f>MAX(0,N162+Observaciones!$F162-K163-Constantes!$D$13)</f>
        <v>0</v>
      </c>
      <c r="N163" s="76">
        <f>N162+Observaciones!$F162-K163-L163-M163-O162</f>
        <v>16.587563211824676</v>
      </c>
      <c r="O163" s="76">
        <f>MAX(0,(N163-Constantes!$D$14)*(1-EXP(-Constantes!$D$22)))</f>
        <v>0.18181699759044045</v>
      </c>
      <c r="P163" s="170">
        <f>P162+(Entradas!$E$83*M163-Q162)/(800*Entradas!$D$25)</f>
        <v>0</v>
      </c>
      <c r="Q163" s="170">
        <f>8000*Entradas!$D$26*P163/Constantes!$E$45</f>
        <v>0</v>
      </c>
      <c r="R163" s="170">
        <f>IF(Escenarios!$E$14&gt;0,K163*Escenarios!$E$13/Escenarios!$E$14,0)</f>
        <v>0</v>
      </c>
      <c r="S163" s="170">
        <f>IF(Escenarios!$E$14&gt;0,Q163*Escenarios!$E$13/Escenarios!$E$14,0)</f>
        <v>0</v>
      </c>
      <c r="T163" s="170">
        <f>IF(Escenarios!$E$14&gt;0,Observaciones!$I162,0)</f>
        <v>0</v>
      </c>
      <c r="U163" s="170">
        <f>IF(Escenarios!$E$14&gt;0,MAX(0,Constantes!$E$36/((Z162+R163+S163+T163+Observaciones!$F162)^2)+Entradas!$E$77),0)</f>
        <v>0</v>
      </c>
      <c r="V163" s="146">
        <f>IF(ETo!D162&gt;0,ETo!I162*((1-Entradas!$E$81)*ETo!K162+ETo!L162),0)</f>
        <v>2.3497142905541804</v>
      </c>
      <c r="W163" s="170">
        <f>IF(Escenarios!$E$14&gt;0,MIN(V163*1,0.8*(Z162+R163+S163+T163+Observaciones!$F162-U163-Constantes!$E$35)),0)</f>
        <v>2.3497142905541804</v>
      </c>
      <c r="X163" s="170">
        <f>IF(Escenarios!$E$14&gt;0,Observaciones!$J162,0)</f>
        <v>0</v>
      </c>
      <c r="Y163" s="170">
        <f>IF(Escenarios!$E$14&gt;0,MAX(0,Z162+R163+S163+T163+Observaciones!$F162-U163-W163-X163-Constantes!$E$33),0)</f>
        <v>0</v>
      </c>
      <c r="Z163" s="170">
        <f>Z162+R163+S163+T163+Observaciones!$F162-U163-W163-Y163</f>
        <v>42.581688987328725</v>
      </c>
      <c r="AA163" s="170">
        <f>IF(Escenarios!$E$14&gt;0,(Escenarios!$E$13*L163+Escenarios!$E$14*W163)/(Escenarios!$E$16),L163)</f>
        <v>1.4143612591516219</v>
      </c>
      <c r="AB163" s="170">
        <f>IF(Escenarios!$E$14&gt;0,(Escenarios!$E$14*Y163)/(Escenarios!$E$16),K163)</f>
        <v>0</v>
      </c>
      <c r="AC163" s="170">
        <f>IF(Escenarios!$E$14&gt;0,(Escenarios!$E$13*M163+Escenarios!$E$14*U163)/(Escenarios!$E$16),M163)</f>
        <v>0</v>
      </c>
      <c r="AD163" s="76">
        <f t="shared" si="29"/>
        <v>114.31676902153677</v>
      </c>
      <c r="AE163" s="76">
        <f>MAX(0,(AD163-Constantes!$D$13)*(1-EXP(-Constantes!$D$23)))</f>
        <v>0.64604499195688292</v>
      </c>
      <c r="AF163" s="76">
        <f>AB163+O163*Escenarios!$E$13/Escenarios!$E$16+AE163</f>
        <v>0.80604394983647054</v>
      </c>
      <c r="AG163" s="76">
        <f>IF(Entradas!$E$91&gt;0,IF(AF163-Escenarios!$E$38&lt;=0,0,IF(AF163-Escenarios!$E$38&gt;Escenarios!$E$37,Escenarios!$E$37,AF163-Escenarios!$E$38)),0)</f>
        <v>0</v>
      </c>
      <c r="AH163" s="76">
        <f>AG163*Entradas!$E$99</f>
        <v>0</v>
      </c>
      <c r="AI163" s="76">
        <f>IF(Entradas!$E$91&gt;0,D163*Entradas!$D$23/Escenarios!$E$16,0)</f>
        <v>0</v>
      </c>
      <c r="AJ163" s="76">
        <f>IF(Entradas!$E$91&gt;0,Entradas!$D$24*Entradas!$D$22/Escenarios!$E$16,0)</f>
        <v>0</v>
      </c>
      <c r="AK163" s="76">
        <f t="shared" si="38"/>
        <v>1.4143612591516219</v>
      </c>
      <c r="AL163" s="76">
        <f t="shared" si="39"/>
        <v>0</v>
      </c>
      <c r="AM163" s="76">
        <f t="shared" si="30"/>
        <v>0</v>
      </c>
      <c r="AN163" s="76">
        <f>MAX(0,O163*Escenarios!$E$13/Escenarios!$E$16-AM163)</f>
        <v>0.15999895787958759</v>
      </c>
      <c r="AO163" s="76">
        <f>AM163+AN163-O163*Escenarios!$E$13/Escenarios!$E$16</f>
        <v>0</v>
      </c>
      <c r="AP163" s="76">
        <f t="shared" si="28"/>
        <v>0.64604499195688292</v>
      </c>
      <c r="AQ163" s="76">
        <f t="shared" si="31"/>
        <v>0</v>
      </c>
      <c r="AR163" s="76">
        <f t="shared" si="32"/>
        <v>0.80604394983647054</v>
      </c>
      <c r="AS163" s="76">
        <f t="shared" si="33"/>
        <v>0</v>
      </c>
      <c r="AT163" s="76">
        <f t="shared" si="34"/>
        <v>0</v>
      </c>
      <c r="AU163" s="76">
        <f t="shared" si="35"/>
        <v>48.75</v>
      </c>
      <c r="AV163" s="76">
        <f>MAX(0,(AU163-Constantes!$D$13)*(1-EXP(-Constantes!$D$24)))</f>
        <v>0</v>
      </c>
      <c r="AW163" s="170">
        <f>AW162+(Entradas!$E$112*AT163-AX162)/(800*Entradas!$D$25)</f>
        <v>0</v>
      </c>
      <c r="AX163" s="170">
        <f>8000*Entradas!$D$26*AW163/Constantes!$E$45</f>
        <v>0</v>
      </c>
      <c r="AY163" s="170">
        <f>IF(Escenarios!$E$17&gt;0,10*Escenarios!$E$16*AL163,0)</f>
        <v>0</v>
      </c>
      <c r="AZ163" s="170">
        <f>IF(Escenarios!$E$17&gt;0,10*Escenarios!$E$16*AX163,0)</f>
        <v>0</v>
      </c>
      <c r="BA163" s="170">
        <f>IF(Escenarios!$E$17&gt;0,0.001*Observaciones!$F162*Escenarios!$E$17,0)</f>
        <v>0</v>
      </c>
      <c r="BB163" s="170">
        <f>IF(Escenarios!$E$17&gt;0,Observaciones!$K162,0)</f>
        <v>0</v>
      </c>
      <c r="BC163" s="170">
        <f>IF(Escenarios!$E$17&gt;0,MIN(0.0005*ETo!$M162*Escenarios!$E$17*(BG162/Constantes!$E$40)^(2/3),BG162+AY163+AZ163+BA163+BB163),0)</f>
        <v>12.105866744948695</v>
      </c>
      <c r="BD163" s="170">
        <f>IF(Escenarios!$E$17&gt;0,MIN(Constantes!$E$39*(BG162/Constantes!$E$40)^(2/3),BG162+AY163+AZ163+BA163+BB163-BC163),0)</f>
        <v>32.055825203368173</v>
      </c>
      <c r="BE163" s="170">
        <f>IF(Escenarios!$E$17&gt;0,MIN(Entradas!$E$113,BG162+AY163+AZ163+BA163+BB163-BC163-BD163),0)</f>
        <v>1</v>
      </c>
      <c r="BF163" s="170">
        <f>IF(Escenarios!$E$17&gt;0,MAX(0,BG162+AY163+AZ163+BA163+BB163-BC163-BD163-BE163-Constantes!$E$40),0)</f>
        <v>0</v>
      </c>
      <c r="BG163" s="170">
        <f t="shared" si="40"/>
        <v>1645.8016875750798</v>
      </c>
      <c r="BH163" s="170">
        <f>(Escenarios!$E$16*AK163+0.1*BC163)/(Escenarios!$E$19)</f>
        <v>1.4079400851682553</v>
      </c>
      <c r="BI163" s="170">
        <f>IF(Escenarios!$E$17&gt;0,BF163/10/Escenarios!$E$19,AL163)</f>
        <v>0</v>
      </c>
      <c r="BJ163" s="170">
        <f>(Escenarios!$E$16*AT163+0.1*BD163)/(Escenarios!$E$19)</f>
        <v>1.2720565556892133E-2</v>
      </c>
      <c r="BK163" s="76">
        <f>BK162+(0.1*BD163)/(Escenarios!$E$19)-BL162</f>
        <v>50.279093040076845</v>
      </c>
      <c r="BL163" s="76">
        <f>MAX(0,(BK163-Constantes!$D$13)*(1-EXP(-Constantes!$D$23)))</f>
        <v>1.5066517925464446E-2</v>
      </c>
      <c r="BM163" s="76">
        <f t="shared" si="36"/>
        <v>0.66111150988234735</v>
      </c>
      <c r="BN163" s="76">
        <f t="shared" si="41"/>
        <v>0.82111046776193497</v>
      </c>
      <c r="BO163" s="76">
        <f>0.0526*BI163*Observaciones!$F162^1.218</f>
        <v>0</v>
      </c>
      <c r="BP163" s="76">
        <f>BO163*Constantes!$E$51</f>
        <v>0</v>
      </c>
      <c r="BQ163" s="76">
        <f t="shared" si="37"/>
        <v>0</v>
      </c>
      <c r="BR163" s="40"/>
    </row>
    <row r="164" spans="1:70">
      <c r="A164" s="147"/>
      <c r="B164" s="39"/>
      <c r="C164" s="75">
        <v>158</v>
      </c>
      <c r="D164" s="146">
        <f>ETo!$I163*((1-Constantes!$E$19)*ETo!$K163+ETo!$L163)</f>
        <v>2.5407982407044636</v>
      </c>
      <c r="E164" s="76">
        <f>MIN(D164*Constantes!$E$17,0.8*(N163+Observaciones!$F163-F164-M164-Constantes!$D$14))</f>
        <v>1.2422275448615339</v>
      </c>
      <c r="F164" s="76">
        <f>IF(Observaciones!$F163&gt;0.05*Constantes!$E$18,((Observaciones!$F163-0.05*Constantes!$E$18)^2)/(Observaciones!$F163+0.95*Constantes!$E$18),0)</f>
        <v>0</v>
      </c>
      <c r="G164" s="76">
        <f>IF(Escenarios!$E$11&gt;0,(F164*Escenarios!$E$16*10000)/1000,0)</f>
        <v>0</v>
      </c>
      <c r="H164" s="76">
        <f>IF(Escenarios!$E$11&gt;0,(Observaciones!$F163*Constantes!$E$29)/1000,0)</f>
        <v>0</v>
      </c>
      <c r="I164" s="76">
        <f>IF(Escenarios!$E$11&gt;0,(D164*Constantes!$E$29)/1000,0)</f>
        <v>25.407982407044639</v>
      </c>
      <c r="J164" s="76">
        <f>IF(Escenarios!$E$11&gt;0,MAX(0,G164+H164-I164),0)</f>
        <v>0</v>
      </c>
      <c r="K164" s="76">
        <f>IF(Escenarios!$E$11&gt;0,IF(J164&gt;Constantes!$E$30,1000*((J164-Constantes!$E$30)/(Escenarios!$E$16*10000)),0),F164)</f>
        <v>0</v>
      </c>
      <c r="L164" s="76">
        <f>IF(Escenarios!$E$11&gt;0,I164*1000/Escenarios!$E$16/10000+E164,E164)</f>
        <v>1.2523907378243517</v>
      </c>
      <c r="M164" s="76">
        <f>MAX(0,N163+Observaciones!$F163-K164-Constantes!$D$13)</f>
        <v>0</v>
      </c>
      <c r="N164" s="76">
        <f>N163+Observaciones!$F163-K164-L164-M164-O163</f>
        <v>15.153355476409885</v>
      </c>
      <c r="O164" s="76">
        <f>MAX(0,(N164-Constantes!$D$14)*(1-EXP(-Constantes!$D$22)))</f>
        <v>0.13296261703782894</v>
      </c>
      <c r="P164" s="170">
        <f>P163+(Entradas!$E$83*M164-Q163)/(800*Entradas!$D$25)</f>
        <v>0</v>
      </c>
      <c r="Q164" s="170">
        <f>8000*Entradas!$D$26*P164/Constantes!$E$45</f>
        <v>0</v>
      </c>
      <c r="R164" s="170">
        <f>IF(Escenarios!$E$14&gt;0,K164*Escenarios!$E$13/Escenarios!$E$14,0)</f>
        <v>0</v>
      </c>
      <c r="S164" s="170">
        <f>IF(Escenarios!$E$14&gt;0,Q164*Escenarios!$E$13/Escenarios!$E$14,0)</f>
        <v>0</v>
      </c>
      <c r="T164" s="170">
        <f>IF(Escenarios!$E$14&gt;0,Observaciones!$I163,0)</f>
        <v>0</v>
      </c>
      <c r="U164" s="170">
        <f>IF(Escenarios!$E$14&gt;0,MAX(0,Constantes!$E$36/((Z163+R164+S164+T164+Observaciones!$F163)^2)+Entradas!$E$77),0)</f>
        <v>0</v>
      </c>
      <c r="V164" s="146">
        <f>IF(ETo!D163&gt;0,ETo!I163*((1-Entradas!$E$81)*ETo!K163+ETo!L163),0)</f>
        <v>2.2860076464270906</v>
      </c>
      <c r="W164" s="170">
        <f>IF(Escenarios!$E$14&gt;0,MIN(V164*1,0.8*(Z163+R164+S164+T164+Observaciones!$F163-U164-Constantes!$E$35)),0)</f>
        <v>1.0653511898629802</v>
      </c>
      <c r="X164" s="170">
        <f>IF(Escenarios!$E$14&gt;0,Observaciones!$J163,0)</f>
        <v>0</v>
      </c>
      <c r="Y164" s="170">
        <f>IF(Escenarios!$E$14&gt;0,MAX(0,Z163+R164+S164+T164+Observaciones!$F163-U164-W164-X164-Constantes!$E$33),0)</f>
        <v>0</v>
      </c>
      <c r="Z164" s="170">
        <f>Z163+R164+S164+T164+Observaciones!$F163-U164-W164-Y164</f>
        <v>41.516337797465745</v>
      </c>
      <c r="AA164" s="170">
        <f>IF(Escenarios!$E$14&gt;0,(Escenarios!$E$13*L164+Escenarios!$E$14*W164)/(Escenarios!$E$16),L164)</f>
        <v>1.2299459920689872</v>
      </c>
      <c r="AB164" s="170">
        <f>IF(Escenarios!$E$14&gt;0,(Escenarios!$E$14*Y164)/(Escenarios!$E$16),K164)</f>
        <v>0</v>
      </c>
      <c r="AC164" s="170">
        <f>IF(Escenarios!$E$14&gt;0,(Escenarios!$E$13*M164+Escenarios!$E$14*U164)/(Escenarios!$E$16),M164)</f>
        <v>0</v>
      </c>
      <c r="AD164" s="76">
        <f t="shared" si="29"/>
        <v>113.67072402957989</v>
      </c>
      <c r="AE164" s="76">
        <f>MAX(0,(AD164-Constantes!$D$13)*(1-EXP(-Constantes!$D$23)))</f>
        <v>0.63967935677520316</v>
      </c>
      <c r="AF164" s="76">
        <f>AB164+O164*Escenarios!$E$13/Escenarios!$E$16+AE164</f>
        <v>0.75668645976849258</v>
      </c>
      <c r="AG164" s="76">
        <f>IF(Entradas!$E$91&gt;0,IF(AF164-Escenarios!$E$38&lt;=0,0,IF(AF164-Escenarios!$E$38&gt;Escenarios!$E$37,Escenarios!$E$37,AF164-Escenarios!$E$38)),0)</f>
        <v>0</v>
      </c>
      <c r="AH164" s="76">
        <f>AG164*Entradas!$E$99</f>
        <v>0</v>
      </c>
      <c r="AI164" s="76">
        <f>IF(Entradas!$E$91&gt;0,D164*Entradas!$D$23/Escenarios!$E$16,0)</f>
        <v>0</v>
      </c>
      <c r="AJ164" s="76">
        <f>IF(Entradas!$E$91&gt;0,Entradas!$D$24*Entradas!$D$22/Escenarios!$E$16,0)</f>
        <v>0</v>
      </c>
      <c r="AK164" s="76">
        <f t="shared" si="38"/>
        <v>1.2299459920689872</v>
      </c>
      <c r="AL164" s="76">
        <f t="shared" si="39"/>
        <v>0</v>
      </c>
      <c r="AM164" s="76">
        <f t="shared" si="30"/>
        <v>0</v>
      </c>
      <c r="AN164" s="76">
        <f>MAX(0,O164*Escenarios!$E$13/Escenarios!$E$16-AM164)</f>
        <v>0.11700710299328947</v>
      </c>
      <c r="AO164" s="76">
        <f>AM164+AN164-O164*Escenarios!$E$13/Escenarios!$E$16</f>
        <v>0</v>
      </c>
      <c r="AP164" s="76">
        <f t="shared" si="28"/>
        <v>0.63967935677520316</v>
      </c>
      <c r="AQ164" s="76">
        <f t="shared" si="31"/>
        <v>0</v>
      </c>
      <c r="AR164" s="76">
        <f t="shared" si="32"/>
        <v>0.75668645976849258</v>
      </c>
      <c r="AS164" s="76">
        <f t="shared" si="33"/>
        <v>0</v>
      </c>
      <c r="AT164" s="76">
        <f t="shared" si="34"/>
        <v>0</v>
      </c>
      <c r="AU164" s="76">
        <f t="shared" si="35"/>
        <v>48.75</v>
      </c>
      <c r="AV164" s="76">
        <f>MAX(0,(AU164-Constantes!$D$13)*(1-EXP(-Constantes!$D$24)))</f>
        <v>0</v>
      </c>
      <c r="AW164" s="170">
        <f>AW163+(Entradas!$E$112*AT164-AX163)/(800*Entradas!$D$25)</f>
        <v>0</v>
      </c>
      <c r="AX164" s="170">
        <f>8000*Entradas!$D$26*AW164/Constantes!$E$45</f>
        <v>0</v>
      </c>
      <c r="AY164" s="170">
        <f>IF(Escenarios!$E$17&gt;0,10*Escenarios!$E$16*AL164,0)</f>
        <v>0</v>
      </c>
      <c r="AZ164" s="170">
        <f>IF(Escenarios!$E$17&gt;0,10*Escenarios!$E$16*AX164,0)</f>
        <v>0</v>
      </c>
      <c r="BA164" s="170">
        <f>IF(Escenarios!$E$17&gt;0,0.001*Observaciones!$F163*Escenarios!$E$17,0)</f>
        <v>0</v>
      </c>
      <c r="BB164" s="170">
        <f>IF(Escenarios!$E$17&gt;0,Observaciones!$K163,0)</f>
        <v>0</v>
      </c>
      <c r="BC164" s="170">
        <f>IF(Escenarios!$E$17&gt;0,MIN(0.0005*ETo!$M163*Escenarios!$E$17*(BG163/Constantes!$E$40)^(2/3),BG163+AY164+AZ164+BA164+BB164),0)</f>
        <v>11.576581171592665</v>
      </c>
      <c r="BD164" s="170">
        <f>IF(Escenarios!$E$17&gt;0,MIN(Constantes!$E$39*(BG163/Constantes!$E$40)^(2/3),BG163+AY164+AZ164+BA164+BB164-BC164),0)</f>
        <v>31.482496365868933</v>
      </c>
      <c r="BE164" s="170">
        <f>IF(Escenarios!$E$17&gt;0,MIN(Entradas!$E$113,BG163+AY164+AZ164+BA164+BB164-BC164-BD164),0)</f>
        <v>1</v>
      </c>
      <c r="BF164" s="170">
        <f>IF(Escenarios!$E$17&gt;0,MAX(0,BG163+AY164+AZ164+BA164+BB164-BC164-BD164-BE164-Constantes!$E$40),0)</f>
        <v>0</v>
      </c>
      <c r="BG164" s="170">
        <f t="shared" si="40"/>
        <v>1601.7426100376183</v>
      </c>
      <c r="BH164" s="170">
        <f>(Escenarios!$E$16*AK164+0.1*BC164)/(Escenarios!$E$19)</f>
        <v>1.224778397358754</v>
      </c>
      <c r="BI164" s="170">
        <f>IF(Escenarios!$E$17&gt;0,BF164/10/Escenarios!$E$19,AL164)</f>
        <v>0</v>
      </c>
      <c r="BJ164" s="170">
        <f>(Escenarios!$E$16*AT164+0.1*BD164)/(Escenarios!$E$19)</f>
        <v>1.2493054113440052E-2</v>
      </c>
      <c r="BK164" s="76">
        <f>BK163+(0.1*BD164)/(Escenarios!$E$19)-BL163</f>
        <v>50.276519576264825</v>
      </c>
      <c r="BL164" s="76">
        <f>MAX(0,(BK164-Constantes!$D$13)*(1-EXP(-Constantes!$D$23)))</f>
        <v>1.5041160973573289E-2</v>
      </c>
      <c r="BM164" s="76">
        <f t="shared" si="36"/>
        <v>0.65472051774877649</v>
      </c>
      <c r="BN164" s="76">
        <f t="shared" si="41"/>
        <v>0.77172762074206591</v>
      </c>
      <c r="BO164" s="76">
        <f>0.0526*BI164*Observaciones!$F163^1.218</f>
        <v>0</v>
      </c>
      <c r="BP164" s="76">
        <f>BO164*Constantes!$E$51</f>
        <v>0</v>
      </c>
      <c r="BQ164" s="76">
        <f t="shared" si="37"/>
        <v>0</v>
      </c>
      <c r="BR164" s="40"/>
    </row>
    <row r="165" spans="1:70">
      <c r="A165" s="147"/>
      <c r="B165" s="39"/>
      <c r="C165" s="75">
        <v>159</v>
      </c>
      <c r="D165" s="146">
        <f>ETo!$I164*((1-Constantes!$E$19)*ETo!$K164+ETo!$L164)</f>
        <v>2.5637865928715735</v>
      </c>
      <c r="E165" s="76">
        <f>MIN(D165*Constantes!$E$17,0.8*(N164+Observaciones!$F164-F165-M165-Constantes!$D$14))</f>
        <v>1.2534668332928118</v>
      </c>
      <c r="F165" s="76">
        <f>IF(Observaciones!$F164&gt;0.05*Constantes!$E$18,((Observaciones!$F164-0.05*Constantes!$E$18)^2)/(Observaciones!$F164+0.95*Constantes!$E$18),0)</f>
        <v>0</v>
      </c>
      <c r="G165" s="76">
        <f>IF(Escenarios!$E$11&gt;0,(F165*Escenarios!$E$16*10000)/1000,0)</f>
        <v>0</v>
      </c>
      <c r="H165" s="76">
        <f>IF(Escenarios!$E$11&gt;0,(Observaciones!$F164*Constantes!$E$29)/1000,0)</f>
        <v>0</v>
      </c>
      <c r="I165" s="76">
        <f>IF(Escenarios!$E$11&gt;0,(D165*Constantes!$E$29)/1000,0)</f>
        <v>25.637865928715737</v>
      </c>
      <c r="J165" s="76">
        <f>IF(Escenarios!$E$11&gt;0,MAX(0,G165+H165-I165),0)</f>
        <v>0</v>
      </c>
      <c r="K165" s="76">
        <f>IF(Escenarios!$E$11&gt;0,IF(J165&gt;Constantes!$E$30,1000*((J165-Constantes!$E$30)/(Escenarios!$E$16*10000)),0),F165)</f>
        <v>0</v>
      </c>
      <c r="L165" s="76">
        <f>IF(Escenarios!$E$11&gt;0,I165*1000/Escenarios!$E$16/10000+E165,E165)</f>
        <v>1.2637219796642982</v>
      </c>
      <c r="M165" s="76">
        <f>MAX(0,N164+Observaciones!$F164-K165-Constantes!$D$13)</f>
        <v>0</v>
      </c>
      <c r="N165" s="76">
        <f>N164+Observaciones!$F164-K165-L165-M165-O164</f>
        <v>13.756670879707757</v>
      </c>
      <c r="O165" s="76">
        <f>MAX(0,(N165-Constantes!$D$14)*(1-EXP(-Constantes!$D$22)))</f>
        <v>8.5386412340032955E-2</v>
      </c>
      <c r="P165" s="170">
        <f>P164+(Entradas!$E$83*M165-Q164)/(800*Entradas!$D$25)</f>
        <v>0</v>
      </c>
      <c r="Q165" s="170">
        <f>8000*Entradas!$D$26*P165/Constantes!$E$45</f>
        <v>0</v>
      </c>
      <c r="R165" s="170">
        <f>IF(Escenarios!$E$14&gt;0,K165*Escenarios!$E$13/Escenarios!$E$14,0)</f>
        <v>0</v>
      </c>
      <c r="S165" s="170">
        <f>IF(Escenarios!$E$14&gt;0,Q165*Escenarios!$E$13/Escenarios!$E$14,0)</f>
        <v>0</v>
      </c>
      <c r="T165" s="170">
        <f>IF(Escenarios!$E$14&gt;0,Observaciones!$I164,0)</f>
        <v>0</v>
      </c>
      <c r="U165" s="170">
        <f>IF(Escenarios!$E$14&gt;0,MAX(0,Constantes!$E$36/((Z164+R165+S165+T165+Observaciones!$F164)^2)+Entradas!$E$77),0)</f>
        <v>0</v>
      </c>
      <c r="V165" s="146">
        <f>IF(ETo!D164&gt;0,ETo!I164*((1-Entradas!$E$81)*ETo!K164+ETo!L164),0)</f>
        <v>2.3067094358505993</v>
      </c>
      <c r="W165" s="170">
        <f>IF(Escenarios!$E$14&gt;0,MIN(V165*1,0.8*(Z164+R165+S165+T165+Observaciones!$F164-U165-Constantes!$E$35)),0)</f>
        <v>0.21307023797259605</v>
      </c>
      <c r="X165" s="170">
        <f>IF(Escenarios!$E$14&gt;0,Observaciones!$J164,0)</f>
        <v>0</v>
      </c>
      <c r="Y165" s="170">
        <f>IF(Escenarios!$E$14&gt;0,MAX(0,Z164+R165+S165+T165+Observaciones!$F164-U165-W165-X165-Constantes!$E$33),0)</f>
        <v>0</v>
      </c>
      <c r="Z165" s="170">
        <f>Z164+R165+S165+T165+Observaciones!$F164-U165-W165-Y165</f>
        <v>41.30326755949315</v>
      </c>
      <c r="AA165" s="170">
        <f>IF(Escenarios!$E$14&gt;0,(Escenarios!$E$13*L165+Escenarios!$E$14*W165)/(Escenarios!$E$16),L165)</f>
        <v>1.1376437706612939</v>
      </c>
      <c r="AB165" s="170">
        <f>IF(Escenarios!$E$14&gt;0,(Escenarios!$E$14*Y165)/(Escenarios!$E$16),K165)</f>
        <v>0</v>
      </c>
      <c r="AC165" s="170">
        <f>IF(Escenarios!$E$14&gt;0,(Escenarios!$E$13*M165+Escenarios!$E$14*U165)/(Escenarios!$E$16),M165)</f>
        <v>0</v>
      </c>
      <c r="AD165" s="76">
        <f t="shared" si="29"/>
        <v>113.03104467280468</v>
      </c>
      <c r="AE165" s="76">
        <f>MAX(0,(AD165-Constantes!$D$13)*(1-EXP(-Constantes!$D$23)))</f>
        <v>0.6333764437131445</v>
      </c>
      <c r="AF165" s="76">
        <f>AB165+O165*Escenarios!$E$13/Escenarios!$E$16+AE165</f>
        <v>0.70851648657237354</v>
      </c>
      <c r="AG165" s="76">
        <f>IF(Entradas!$E$91&gt;0,IF(AF165-Escenarios!$E$38&lt;=0,0,IF(AF165-Escenarios!$E$38&gt;Escenarios!$E$37,Escenarios!$E$37,AF165-Escenarios!$E$38)),0)</f>
        <v>0</v>
      </c>
      <c r="AH165" s="76">
        <f>AG165*Entradas!$E$99</f>
        <v>0</v>
      </c>
      <c r="AI165" s="76">
        <f>IF(Entradas!$E$91&gt;0,D165*Entradas!$D$23/Escenarios!$E$16,0)</f>
        <v>0</v>
      </c>
      <c r="AJ165" s="76">
        <f>IF(Entradas!$E$91&gt;0,Entradas!$D$24*Entradas!$D$22/Escenarios!$E$16,0)</f>
        <v>0</v>
      </c>
      <c r="AK165" s="76">
        <f t="shared" si="38"/>
        <v>1.1376437706612939</v>
      </c>
      <c r="AL165" s="76">
        <f t="shared" si="39"/>
        <v>0</v>
      </c>
      <c r="AM165" s="76">
        <f t="shared" si="30"/>
        <v>0</v>
      </c>
      <c r="AN165" s="76">
        <f>MAX(0,O165*Escenarios!$E$13/Escenarios!$E$16-AM165)</f>
        <v>7.5140042859228998E-2</v>
      </c>
      <c r="AO165" s="76">
        <f>AM165+AN165-O165*Escenarios!$E$13/Escenarios!$E$16</f>
        <v>0</v>
      </c>
      <c r="AP165" s="76">
        <f t="shared" si="28"/>
        <v>0.6333764437131445</v>
      </c>
      <c r="AQ165" s="76">
        <f t="shared" si="31"/>
        <v>0</v>
      </c>
      <c r="AR165" s="76">
        <f t="shared" si="32"/>
        <v>0.70851648657237354</v>
      </c>
      <c r="AS165" s="76">
        <f t="shared" si="33"/>
        <v>0</v>
      </c>
      <c r="AT165" s="76">
        <f t="shared" si="34"/>
        <v>0</v>
      </c>
      <c r="AU165" s="76">
        <f t="shared" si="35"/>
        <v>48.75</v>
      </c>
      <c r="AV165" s="76">
        <f>MAX(0,(AU165-Constantes!$D$13)*(1-EXP(-Constantes!$D$24)))</f>
        <v>0</v>
      </c>
      <c r="AW165" s="170">
        <f>AW164+(Entradas!$E$112*AT165-AX164)/(800*Entradas!$D$25)</f>
        <v>0</v>
      </c>
      <c r="AX165" s="170">
        <f>8000*Entradas!$D$26*AW165/Constantes!$E$45</f>
        <v>0</v>
      </c>
      <c r="AY165" s="170">
        <f>IF(Escenarios!$E$17&gt;0,10*Escenarios!$E$16*AL165,0)</f>
        <v>0</v>
      </c>
      <c r="AZ165" s="170">
        <f>IF(Escenarios!$E$17&gt;0,10*Escenarios!$E$16*AX165,0)</f>
        <v>0</v>
      </c>
      <c r="BA165" s="170">
        <f>IF(Escenarios!$E$17&gt;0,0.001*Observaciones!$F164*Escenarios!$E$17,0)</f>
        <v>0</v>
      </c>
      <c r="BB165" s="170">
        <f>IF(Escenarios!$E$17&gt;0,Observaciones!$K164,0)</f>
        <v>0</v>
      </c>
      <c r="BC165" s="170">
        <f>IF(Escenarios!$E$17&gt;0,MIN(0.0005*ETo!$M164*Escenarios!$E$17*(BG164/Constantes!$E$40)^(2/3),BG164+AY165+AZ165+BA165+BB165),0)</f>
        <v>11.471790075792569</v>
      </c>
      <c r="BD165" s="170">
        <f>IF(Escenarios!$E$17&gt;0,MIN(Constantes!$E$39*(BG164/Constantes!$E$40)^(2/3),BG164+AY165+AZ165+BA165+BB165-BC165),0)</f>
        <v>30.918089190515907</v>
      </c>
      <c r="BE165" s="170">
        <f>IF(Escenarios!$E$17&gt;0,MIN(Entradas!$E$113,BG164+AY165+AZ165+BA165+BB165-BC165-BD165),0)</f>
        <v>1</v>
      </c>
      <c r="BF165" s="170">
        <f>IF(Escenarios!$E$17&gt;0,MAX(0,BG164+AY165+AZ165+BA165+BB165-BC165-BD165-BE165-Constantes!$E$40),0)</f>
        <v>0</v>
      </c>
      <c r="BG165" s="170">
        <f t="shared" si="40"/>
        <v>1558.3527307713098</v>
      </c>
      <c r="BH165" s="170">
        <f>(Escenarios!$E$16*AK165+0.1*BC165)/(Escenarios!$E$19)</f>
        <v>1.1331671494956459</v>
      </c>
      <c r="BI165" s="170">
        <f>IF(Escenarios!$E$17&gt;0,BF165/10/Escenarios!$E$19,AL165)</f>
        <v>0</v>
      </c>
      <c r="BJ165" s="170">
        <f>(Escenarios!$E$16*AT165+0.1*BD165)/(Escenarios!$E$19)</f>
        <v>1.2269083012109487E-2</v>
      </c>
      <c r="BK165" s="76">
        <f>BK164+(0.1*BD165)/(Escenarios!$E$19)-BL164</f>
        <v>50.273747498303358</v>
      </c>
      <c r="BL165" s="76">
        <f>MAX(0,(BK165-Constantes!$D$13)*(1-EXP(-Constantes!$D$23)))</f>
        <v>1.5013847029161427E-2</v>
      </c>
      <c r="BM165" s="76">
        <f t="shared" si="36"/>
        <v>0.64839029074230592</v>
      </c>
      <c r="BN165" s="76">
        <f t="shared" si="41"/>
        <v>0.72353033360153496</v>
      </c>
      <c r="BO165" s="76">
        <f>0.0526*BI165*Observaciones!$F164^1.218</f>
        <v>0</v>
      </c>
      <c r="BP165" s="76">
        <f>BO165*Constantes!$E$51</f>
        <v>0</v>
      </c>
      <c r="BQ165" s="76">
        <f t="shared" si="37"/>
        <v>0</v>
      </c>
      <c r="BR165" s="40"/>
    </row>
    <row r="166" spans="1:70">
      <c r="A166" s="147"/>
      <c r="B166" s="39"/>
      <c r="C166" s="75">
        <v>160</v>
      </c>
      <c r="D166" s="146">
        <f>ETo!$I165*((1-Constantes!$E$19)*ETo!$K165+ETo!$L165)</f>
        <v>2.4282217159373674</v>
      </c>
      <c r="E166" s="76">
        <f>MIN(D166*Constantes!$E$17,0.8*(N165+Observaciones!$F165-F166-M166-Constantes!$D$14))</f>
        <v>1.1871874957422854</v>
      </c>
      <c r="F166" s="76">
        <f>IF(Observaciones!$F165&gt;0.05*Constantes!$E$18,((Observaciones!$F165-0.05*Constantes!$E$18)^2)/(Observaciones!$F165+0.95*Constantes!$E$18),0)</f>
        <v>0</v>
      </c>
      <c r="G166" s="76">
        <f>IF(Escenarios!$E$11&gt;0,(F166*Escenarios!$E$16*10000)/1000,0)</f>
        <v>0</v>
      </c>
      <c r="H166" s="76">
        <f>IF(Escenarios!$E$11&gt;0,(Observaciones!$F165*Constantes!$E$29)/1000,0)</f>
        <v>17</v>
      </c>
      <c r="I166" s="76">
        <f>IF(Escenarios!$E$11&gt;0,(D166*Constantes!$E$29)/1000,0)</f>
        <v>24.282217159373676</v>
      </c>
      <c r="J166" s="76">
        <f>IF(Escenarios!$E$11&gt;0,MAX(0,G166+H166-I166),0)</f>
        <v>0</v>
      </c>
      <c r="K166" s="76">
        <f>IF(Escenarios!$E$11&gt;0,IF(J166&gt;Constantes!$E$30,1000*((J166-Constantes!$E$30)/(Escenarios!$E$16*10000)),0),F166)</f>
        <v>0</v>
      </c>
      <c r="L166" s="76">
        <f>IF(Escenarios!$E$11&gt;0,I166*1000/Escenarios!$E$16/10000+E166,E166)</f>
        <v>1.1969003826060349</v>
      </c>
      <c r="M166" s="76">
        <f>MAX(0,N165+Observaciones!$F165-K166-Constantes!$D$13)</f>
        <v>0</v>
      </c>
      <c r="N166" s="76">
        <f>N165+Observaciones!$F165-K166-L166-M166-O165</f>
        <v>14.174384084761689</v>
      </c>
      <c r="O166" s="76">
        <f>MAX(0,(N166-Constantes!$D$14)*(1-EXP(-Constantes!$D$22)))</f>
        <v>9.9615257560738621E-2</v>
      </c>
      <c r="P166" s="170">
        <f>P165+(Entradas!$E$83*M166-Q165)/(800*Entradas!$D$25)</f>
        <v>0</v>
      </c>
      <c r="Q166" s="170">
        <f>8000*Entradas!$D$26*P166/Constantes!$E$45</f>
        <v>0</v>
      </c>
      <c r="R166" s="170">
        <f>IF(Escenarios!$E$14&gt;0,K166*Escenarios!$E$13/Escenarios!$E$14,0)</f>
        <v>0</v>
      </c>
      <c r="S166" s="170">
        <f>IF(Escenarios!$E$14&gt;0,Q166*Escenarios!$E$13/Escenarios!$E$14,0)</f>
        <v>0</v>
      </c>
      <c r="T166" s="170">
        <f>IF(Escenarios!$E$14&gt;0,Observaciones!$I165,0)</f>
        <v>0</v>
      </c>
      <c r="U166" s="170">
        <f>IF(Escenarios!$E$14&gt;0,MAX(0,Constantes!$E$36/((Z165+R166+S166+T166+Observaciones!$F165)^2)+Entradas!$E$77),0)</f>
        <v>0</v>
      </c>
      <c r="V166" s="146">
        <f>IF(ETo!D165&gt;0,ETo!I165*((1-Entradas!$E$81)*ETo!K165+ETo!L165),0)</f>
        <v>2.1836847084703606</v>
      </c>
      <c r="W166" s="170">
        <f>IF(Escenarios!$E$14&gt;0,MIN(V166*1,0.8*(Z165+R166+S166+T166+Observaciones!$F165-U166-Constantes!$E$35)),0)</f>
        <v>1.4026140475945228</v>
      </c>
      <c r="X166" s="170">
        <f>IF(Escenarios!$E$14&gt;0,Observaciones!$J165,0)</f>
        <v>0</v>
      </c>
      <c r="Y166" s="170">
        <f>IF(Escenarios!$E$14&gt;0,MAX(0,Z165+R166+S166+T166+Observaciones!$F165-U166-W166-X166-Constantes!$E$33),0)</f>
        <v>0</v>
      </c>
      <c r="Z166" s="170">
        <f>Z165+R166+S166+T166+Observaciones!$F165-U166-W166-Y166</f>
        <v>41.600653511898628</v>
      </c>
      <c r="AA166" s="170">
        <f>IF(Escenarios!$E$14&gt;0,(Escenarios!$E$13*L166+Escenarios!$E$14*W166)/(Escenarios!$E$16),L166)</f>
        <v>1.2215860224046535</v>
      </c>
      <c r="AB166" s="170">
        <f>IF(Escenarios!$E$14&gt;0,(Escenarios!$E$14*Y166)/(Escenarios!$E$16),K166)</f>
        <v>0</v>
      </c>
      <c r="AC166" s="170">
        <f>IF(Escenarios!$E$14&gt;0,(Escenarios!$E$13*M166+Escenarios!$E$14*U166)/(Escenarios!$E$16),M166)</f>
        <v>0</v>
      </c>
      <c r="AD166" s="76">
        <f t="shared" si="29"/>
        <v>112.39766822909154</v>
      </c>
      <c r="AE166" s="76">
        <f>MAX(0,(AD166-Constantes!$D$13)*(1-EXP(-Constantes!$D$23)))</f>
        <v>0.62713563475472334</v>
      </c>
      <c r="AF166" s="76">
        <f>AB166+O166*Escenarios!$E$13/Escenarios!$E$16+AE166</f>
        <v>0.71479706140817334</v>
      </c>
      <c r="AG166" s="76">
        <f>IF(Entradas!$E$91&gt;0,IF(AF166-Escenarios!$E$38&lt;=0,0,IF(AF166-Escenarios!$E$38&gt;Escenarios!$E$37,Escenarios!$E$37,AF166-Escenarios!$E$38)),0)</f>
        <v>0</v>
      </c>
      <c r="AH166" s="76">
        <f>AG166*Entradas!$E$99</f>
        <v>0</v>
      </c>
      <c r="AI166" s="76">
        <f>IF(Entradas!$E$91&gt;0,D166*Entradas!$D$23/Escenarios!$E$16,0)</f>
        <v>0</v>
      </c>
      <c r="AJ166" s="76">
        <f>IF(Entradas!$E$91&gt;0,Entradas!$D$24*Entradas!$D$22/Escenarios!$E$16,0)</f>
        <v>0</v>
      </c>
      <c r="AK166" s="76">
        <f t="shared" si="38"/>
        <v>1.2215860224046535</v>
      </c>
      <c r="AL166" s="76">
        <f t="shared" si="39"/>
        <v>0</v>
      </c>
      <c r="AM166" s="76">
        <f t="shared" si="30"/>
        <v>0</v>
      </c>
      <c r="AN166" s="76">
        <f>MAX(0,O166*Escenarios!$E$13/Escenarios!$E$16-AM166)</f>
        <v>8.7661426653449989E-2</v>
      </c>
      <c r="AO166" s="76">
        <f>AM166+AN166-O166*Escenarios!$E$13/Escenarios!$E$16</f>
        <v>0</v>
      </c>
      <c r="AP166" s="76">
        <f t="shared" si="28"/>
        <v>0.62713563475472334</v>
      </c>
      <c r="AQ166" s="76">
        <f t="shared" si="31"/>
        <v>0</v>
      </c>
      <c r="AR166" s="76">
        <f t="shared" si="32"/>
        <v>0.71479706140817334</v>
      </c>
      <c r="AS166" s="76">
        <f t="shared" si="33"/>
        <v>0</v>
      </c>
      <c r="AT166" s="76">
        <f t="shared" si="34"/>
        <v>0</v>
      </c>
      <c r="AU166" s="76">
        <f t="shared" si="35"/>
        <v>48.75</v>
      </c>
      <c r="AV166" s="76">
        <f>MAX(0,(AU166-Constantes!$D$13)*(1-EXP(-Constantes!$D$24)))</f>
        <v>0</v>
      </c>
      <c r="AW166" s="170">
        <f>AW165+(Entradas!$E$112*AT166-AX165)/(800*Entradas!$D$25)</f>
        <v>0</v>
      </c>
      <c r="AX166" s="170">
        <f>8000*Entradas!$D$26*AW166/Constantes!$E$45</f>
        <v>0</v>
      </c>
      <c r="AY166" s="170">
        <f>IF(Escenarios!$E$17&gt;0,10*Escenarios!$E$16*AL166,0)</f>
        <v>0</v>
      </c>
      <c r="AZ166" s="170">
        <f>IF(Escenarios!$E$17&gt;0,10*Escenarios!$E$16*AX166,0)</f>
        <v>0</v>
      </c>
      <c r="BA166" s="170">
        <f>IF(Escenarios!$E$17&gt;0,0.001*Observaciones!$F165*Escenarios!$E$17,0)</f>
        <v>34</v>
      </c>
      <c r="BB166" s="170">
        <f>IF(Escenarios!$E$17&gt;0,Observaciones!$K165,0)</f>
        <v>0</v>
      </c>
      <c r="BC166" s="170">
        <f>IF(Escenarios!$E$17&gt;0,MIN(0.0005*ETo!$M165*Escenarios!$E$17*(BG165/Constantes!$E$40)^(2/3),BG165+AY166+AZ166+BA166+BB166),0)</f>
        <v>10.674371180583867</v>
      </c>
      <c r="BD166" s="170">
        <f>IF(Escenarios!$E$17&gt;0,MIN(Constantes!$E$39*(BG165/Constantes!$E$40)^(2/3),BG165+AY166+AZ166+BA166+BB166-BC166),0)</f>
        <v>30.357173815576441</v>
      </c>
      <c r="BE166" s="170">
        <f>IF(Escenarios!$E$17&gt;0,MIN(Entradas!$E$113,BG165+AY166+AZ166+BA166+BB166-BC166-BD166),0)</f>
        <v>1</v>
      </c>
      <c r="BF166" s="170">
        <f>IF(Escenarios!$E$17&gt;0,MAX(0,BG165+AY166+AZ166+BA166+BB166-BC166-BD166-BE166-Constantes!$E$40),0)</f>
        <v>0</v>
      </c>
      <c r="BG166" s="170">
        <f t="shared" si="40"/>
        <v>1550.3211857751494</v>
      </c>
      <c r="BH166" s="170">
        <f>(Escenarios!$E$16*AK166+0.1*BC166)/(Escenarios!$E$19)</f>
        <v>1.2161267568223084</v>
      </c>
      <c r="BI166" s="170">
        <f>IF(Escenarios!$E$17&gt;0,BF166/10/Escenarios!$E$19,AL166)</f>
        <v>0</v>
      </c>
      <c r="BJ166" s="170">
        <f>(Escenarios!$E$16*AT166+0.1*BD166)/(Escenarios!$E$19)</f>
        <v>1.2046497545863667E-2</v>
      </c>
      <c r="BK166" s="76">
        <f>BK165+(0.1*BD166)/(Escenarios!$E$19)-BL165</f>
        <v>50.270780148820059</v>
      </c>
      <c r="BL166" s="76">
        <f>MAX(0,(BK166-Constantes!$D$13)*(1-EXP(-Constantes!$D$23)))</f>
        <v>1.4984609027934899E-2</v>
      </c>
      <c r="BM166" s="76">
        <f t="shared" si="36"/>
        <v>0.6421202437826582</v>
      </c>
      <c r="BN166" s="76">
        <f t="shared" si="41"/>
        <v>0.7297816704361082</v>
      </c>
      <c r="BO166" s="76">
        <f>0.0526*BI166*Observaciones!$F165^1.218</f>
        <v>0</v>
      </c>
      <c r="BP166" s="76">
        <f>BO166*Constantes!$E$51</f>
        <v>0</v>
      </c>
      <c r="BQ166" s="76">
        <f t="shared" si="37"/>
        <v>0</v>
      </c>
      <c r="BR166" s="40"/>
    </row>
    <row r="167" spans="1:70">
      <c r="A167" s="147"/>
      <c r="B167" s="39"/>
      <c r="C167" s="75">
        <v>161</v>
      </c>
      <c r="D167" s="146">
        <f>ETo!$I166*((1-Constantes!$E$19)*ETo!$K166+ETo!$L166)</f>
        <v>2.3762838397537673</v>
      </c>
      <c r="E167" s="76">
        <f>MIN(D167*Constantes!$E$17,0.8*(N166+Observaciones!$F166-F167-M167-Constantes!$D$14))</f>
        <v>1.1617944285623478</v>
      </c>
      <c r="F167" s="76">
        <f>IF(Observaciones!$F166&gt;0.05*Constantes!$E$18,((Observaciones!$F166-0.05*Constantes!$E$18)^2)/(Observaciones!$F166+0.95*Constantes!$E$18),0)</f>
        <v>0</v>
      </c>
      <c r="G167" s="76">
        <f>IF(Escenarios!$E$11&gt;0,(F167*Escenarios!$E$16*10000)/1000,0)</f>
        <v>0</v>
      </c>
      <c r="H167" s="76">
        <f>IF(Escenarios!$E$11&gt;0,(Observaciones!$F166*Constantes!$E$29)/1000,0)</f>
        <v>13</v>
      </c>
      <c r="I167" s="76">
        <f>IF(Escenarios!$E$11&gt;0,(D167*Constantes!$E$29)/1000,0)</f>
        <v>23.762838397537674</v>
      </c>
      <c r="J167" s="76">
        <f>IF(Escenarios!$E$11&gt;0,MAX(0,G167+H167-I167),0)</f>
        <v>0</v>
      </c>
      <c r="K167" s="76">
        <f>IF(Escenarios!$E$11&gt;0,IF(J167&gt;Constantes!$E$30,1000*((J167-Constantes!$E$30)/(Escenarios!$E$16*10000)),0),F167)</f>
        <v>0</v>
      </c>
      <c r="L167" s="76">
        <f>IF(Escenarios!$E$11&gt;0,I167*1000/Escenarios!$E$16/10000+E167,E167)</f>
        <v>1.1712995639213628</v>
      </c>
      <c r="M167" s="76">
        <f>MAX(0,N166+Observaciones!$F166-K167-Constantes!$D$13)</f>
        <v>0</v>
      </c>
      <c r="N167" s="76">
        <f>N166+Observaciones!$F166-K167-L167-M167-O166</f>
        <v>14.203469263279588</v>
      </c>
      <c r="O167" s="76">
        <f>MAX(0,(N167-Constantes!$D$14)*(1-EXP(-Constantes!$D$22)))</f>
        <v>0.1006060055149345</v>
      </c>
      <c r="P167" s="170">
        <f>P166+(Entradas!$E$83*M167-Q166)/(800*Entradas!$D$25)</f>
        <v>0</v>
      </c>
      <c r="Q167" s="170">
        <f>8000*Entradas!$D$26*P167/Constantes!$E$45</f>
        <v>0</v>
      </c>
      <c r="R167" s="170">
        <f>IF(Escenarios!$E$14&gt;0,K167*Escenarios!$E$13/Escenarios!$E$14,0)</f>
        <v>0</v>
      </c>
      <c r="S167" s="170">
        <f>IF(Escenarios!$E$14&gt;0,Q167*Escenarios!$E$13/Escenarios!$E$14,0)</f>
        <v>0</v>
      </c>
      <c r="T167" s="170">
        <f>IF(Escenarios!$E$14&gt;0,Observaciones!$I166,0)</f>
        <v>0</v>
      </c>
      <c r="U167" s="170">
        <f>IF(Escenarios!$E$14&gt;0,MAX(0,Constantes!$E$36/((Z166+R167+S167+T167+Observaciones!$F166)^2)+Entradas!$E$77),0)</f>
        <v>0</v>
      </c>
      <c r="V167" s="146">
        <f>IF(ETo!D166&gt;0,ETo!I166*((1-Entradas!$E$81)*ETo!K166+ETo!L166),0)</f>
        <v>2.1366520112961207</v>
      </c>
      <c r="W167" s="170">
        <f>IF(Escenarios!$E$14&gt;0,MIN(V167*1,0.8*(Z166+R167+S167+T167+Observaciones!$F166-U167-Constantes!$E$35)),0)</f>
        <v>1.3205228095189001</v>
      </c>
      <c r="X167" s="170">
        <f>IF(Escenarios!$E$14&gt;0,Observaciones!$J166,0)</f>
        <v>0</v>
      </c>
      <c r="Y167" s="170">
        <f>IF(Escenarios!$E$14&gt;0,MAX(0,Z166+R167+S167+T167+Observaciones!$F166-U167-W167-X167-Constantes!$E$33),0)</f>
        <v>0</v>
      </c>
      <c r="Z167" s="170">
        <f>Z166+R167+S167+T167+Observaciones!$F166-U167-W167-Y167</f>
        <v>41.580130702379726</v>
      </c>
      <c r="AA167" s="170">
        <f>IF(Escenarios!$E$14&gt;0,(Escenarios!$E$13*L167+Escenarios!$E$14*W167)/(Escenarios!$E$16),L167)</f>
        <v>1.1892063533930672</v>
      </c>
      <c r="AB167" s="170">
        <f>IF(Escenarios!$E$14&gt;0,(Escenarios!$E$14*Y167)/(Escenarios!$E$16),K167)</f>
        <v>0</v>
      </c>
      <c r="AC167" s="170">
        <f>IF(Escenarios!$E$14&gt;0,(Escenarios!$E$13*M167+Escenarios!$E$14*U167)/(Escenarios!$E$16),M167)</f>
        <v>0</v>
      </c>
      <c r="AD167" s="76">
        <f t="shared" si="29"/>
        <v>111.77053259433681</v>
      </c>
      <c r="AE167" s="76">
        <f>MAX(0,(AD167-Constantes!$D$13)*(1-EXP(-Constantes!$D$23)))</f>
        <v>0.62095631797341444</v>
      </c>
      <c r="AF167" s="76">
        <f>AB167+O167*Escenarios!$E$13/Escenarios!$E$16+AE167</f>
        <v>0.70948960282655682</v>
      </c>
      <c r="AG167" s="76">
        <f>IF(Entradas!$E$91&gt;0,IF(AF167-Escenarios!$E$38&lt;=0,0,IF(AF167-Escenarios!$E$38&gt;Escenarios!$E$37,Escenarios!$E$37,AF167-Escenarios!$E$38)),0)</f>
        <v>0</v>
      </c>
      <c r="AH167" s="76">
        <f>AG167*Entradas!$E$99</f>
        <v>0</v>
      </c>
      <c r="AI167" s="76">
        <f>IF(Entradas!$E$91&gt;0,D167*Entradas!$D$23/Escenarios!$E$16,0)</f>
        <v>0</v>
      </c>
      <c r="AJ167" s="76">
        <f>IF(Entradas!$E$91&gt;0,Entradas!$D$24*Entradas!$D$22/Escenarios!$E$16,0)</f>
        <v>0</v>
      </c>
      <c r="AK167" s="76">
        <f t="shared" si="38"/>
        <v>1.1892063533930672</v>
      </c>
      <c r="AL167" s="76">
        <f t="shared" si="39"/>
        <v>0</v>
      </c>
      <c r="AM167" s="76">
        <f t="shared" si="30"/>
        <v>0</v>
      </c>
      <c r="AN167" s="76">
        <f>MAX(0,O167*Escenarios!$E$13/Escenarios!$E$16-AM167)</f>
        <v>8.8533284853142366E-2</v>
      </c>
      <c r="AO167" s="76">
        <f>AM167+AN167-O167*Escenarios!$E$13/Escenarios!$E$16</f>
        <v>0</v>
      </c>
      <c r="AP167" s="76">
        <f t="shared" si="28"/>
        <v>0.62095631797341444</v>
      </c>
      <c r="AQ167" s="76">
        <f t="shared" si="31"/>
        <v>0</v>
      </c>
      <c r="AR167" s="76">
        <f t="shared" si="32"/>
        <v>0.70948960282655682</v>
      </c>
      <c r="AS167" s="76">
        <f t="shared" si="33"/>
        <v>0</v>
      </c>
      <c r="AT167" s="76">
        <f t="shared" si="34"/>
        <v>0</v>
      </c>
      <c r="AU167" s="76">
        <f t="shared" si="35"/>
        <v>48.75</v>
      </c>
      <c r="AV167" s="76">
        <f>MAX(0,(AU167-Constantes!$D$13)*(1-EXP(-Constantes!$D$24)))</f>
        <v>0</v>
      </c>
      <c r="AW167" s="170">
        <f>AW166+(Entradas!$E$112*AT167-AX166)/(800*Entradas!$D$25)</f>
        <v>0</v>
      </c>
      <c r="AX167" s="170">
        <f>8000*Entradas!$D$26*AW167/Constantes!$E$45</f>
        <v>0</v>
      </c>
      <c r="AY167" s="170">
        <f>IF(Escenarios!$E$17&gt;0,10*Escenarios!$E$16*AL167,0)</f>
        <v>0</v>
      </c>
      <c r="AZ167" s="170">
        <f>IF(Escenarios!$E$17&gt;0,10*Escenarios!$E$16*AX167,0)</f>
        <v>0</v>
      </c>
      <c r="BA167" s="170">
        <f>IF(Escenarios!$E$17&gt;0,0.001*Observaciones!$F166*Escenarios!$E$17,0)</f>
        <v>26.000000000000004</v>
      </c>
      <c r="BB167" s="170">
        <f>IF(Escenarios!$E$17&gt;0,Observaciones!$K166,0)</f>
        <v>0</v>
      </c>
      <c r="BC167" s="170">
        <f>IF(Escenarios!$E$17&gt;0,MIN(0.0005*ETo!$M166*Escenarios!$E$17*(BG166/Constantes!$E$40)^(2/3),BG166+AY167+AZ167+BA167+BB167),0)</f>
        <v>10.412067215927893</v>
      </c>
      <c r="BD167" s="170">
        <f>IF(Escenarios!$E$17&gt;0,MIN(Constantes!$E$39*(BG166/Constantes!$E$40)^(2/3),BG166+AY167+AZ167+BA167+BB167-BC167),0)</f>
        <v>30.25277942716993</v>
      </c>
      <c r="BE167" s="170">
        <f>IF(Escenarios!$E$17&gt;0,MIN(Entradas!$E$113,BG166+AY167+AZ167+BA167+BB167-BC167-BD167),0)</f>
        <v>1</v>
      </c>
      <c r="BF167" s="170">
        <f>IF(Escenarios!$E$17&gt;0,MAX(0,BG166+AY167+AZ167+BA167+BB167-BC167-BD167-BE167-Constantes!$E$40),0)</f>
        <v>0</v>
      </c>
      <c r="BG167" s="170">
        <f t="shared" si="40"/>
        <v>1534.6563391320515</v>
      </c>
      <c r="BH167" s="170">
        <f>(Escenarios!$E$16*AK167+0.1*BC167)/(Escenarios!$E$19)</f>
        <v>1.1838999804359509</v>
      </c>
      <c r="BI167" s="170">
        <f>IF(Escenarios!$E$17&gt;0,BF167/10/Escenarios!$E$19,AL167)</f>
        <v>0</v>
      </c>
      <c r="BJ167" s="170">
        <f>(Escenarios!$E$16*AT167+0.1*BD167)/(Escenarios!$E$19)</f>
        <v>1.200507120125791E-2</v>
      </c>
      <c r="BK167" s="76">
        <f>BK166+(0.1*BD167)/(Escenarios!$E$19)-BL166</f>
        <v>50.267800610993383</v>
      </c>
      <c r="BL167" s="76">
        <f>MAX(0,(BK167-Constantes!$D$13)*(1-EXP(-Constantes!$D$23)))</f>
        <v>1.4955250932058043E-2</v>
      </c>
      <c r="BM167" s="76">
        <f t="shared" si="36"/>
        <v>0.63591156890547251</v>
      </c>
      <c r="BN167" s="76">
        <f t="shared" si="41"/>
        <v>0.72444485375861489</v>
      </c>
      <c r="BO167" s="76">
        <f>0.0526*BI167*Observaciones!$F166^1.218</f>
        <v>0</v>
      </c>
      <c r="BP167" s="76">
        <f>BO167*Constantes!$E$51</f>
        <v>0</v>
      </c>
      <c r="BQ167" s="76">
        <f t="shared" si="37"/>
        <v>0</v>
      </c>
      <c r="BR167" s="40"/>
    </row>
    <row r="168" spans="1:70">
      <c r="A168" s="147"/>
      <c r="B168" s="39"/>
      <c r="C168" s="75">
        <v>162</v>
      </c>
      <c r="D168" s="146">
        <f>ETo!$I167*((1-Constantes!$E$19)*ETo!$K167+ETo!$L167)</f>
        <v>2.4640034541339975</v>
      </c>
      <c r="E168" s="76">
        <f>MIN(D168*Constantes!$E$17,0.8*(N167+Observaciones!$F167-F168-M168-Constantes!$D$14))</f>
        <v>1.2046816281290245</v>
      </c>
      <c r="F168" s="76">
        <f>IF(Observaciones!$F167&gt;0.05*Constantes!$E$18,((Observaciones!$F167-0.05*Constantes!$E$18)^2)/(Observaciones!$F167+0.95*Constantes!$E$18),0)</f>
        <v>0</v>
      </c>
      <c r="G168" s="76">
        <f>IF(Escenarios!$E$11&gt;0,(F168*Escenarios!$E$16*10000)/1000,0)</f>
        <v>0</v>
      </c>
      <c r="H168" s="76">
        <f>IF(Escenarios!$E$11&gt;0,(Observaciones!$F167*Constantes!$E$29)/1000,0)</f>
        <v>3</v>
      </c>
      <c r="I168" s="76">
        <f>IF(Escenarios!$E$11&gt;0,(D168*Constantes!$E$29)/1000,0)</f>
        <v>24.640034541339972</v>
      </c>
      <c r="J168" s="76">
        <f>IF(Escenarios!$E$11&gt;0,MAX(0,G168+H168-I168),0)</f>
        <v>0</v>
      </c>
      <c r="K168" s="76">
        <f>IF(Escenarios!$E$11&gt;0,IF(J168&gt;Constantes!$E$30,1000*((J168-Constantes!$E$30)/(Escenarios!$E$16*10000)),0),F168)</f>
        <v>0</v>
      </c>
      <c r="L168" s="76">
        <f>IF(Escenarios!$E$11&gt;0,I168*1000/Escenarios!$E$16/10000+E168,E168)</f>
        <v>1.2145376419455605</v>
      </c>
      <c r="M168" s="76">
        <f>MAX(0,N167+Observaciones!$F167-K168-Constantes!$D$13)</f>
        <v>0</v>
      </c>
      <c r="N168" s="76">
        <f>N167+Observaciones!$F167-K168-L168-M168-O167</f>
        <v>13.188325615819094</v>
      </c>
      <c r="O168" s="76">
        <f>MAX(0,(N168-Constantes!$D$14)*(1-EXP(-Constantes!$D$22)))</f>
        <v>6.6026486213807717E-2</v>
      </c>
      <c r="P168" s="170">
        <f>P167+(Entradas!$E$83*M168-Q167)/(800*Entradas!$D$25)</f>
        <v>0</v>
      </c>
      <c r="Q168" s="170">
        <f>8000*Entradas!$D$26*P168/Constantes!$E$45</f>
        <v>0</v>
      </c>
      <c r="R168" s="170">
        <f>IF(Escenarios!$E$14&gt;0,K168*Escenarios!$E$13/Escenarios!$E$14,0)</f>
        <v>0</v>
      </c>
      <c r="S168" s="170">
        <f>IF(Escenarios!$E$14&gt;0,Q168*Escenarios!$E$13/Escenarios!$E$14,0)</f>
        <v>0</v>
      </c>
      <c r="T168" s="170">
        <f>IF(Escenarios!$E$14&gt;0,Observaciones!$I167,0)</f>
        <v>0</v>
      </c>
      <c r="U168" s="170">
        <f>IF(Escenarios!$E$14&gt;0,MAX(0,Constantes!$E$36/((Z167+R168+S168+T168+Observaciones!$F167)^2)+Entradas!$E$77),0)</f>
        <v>0</v>
      </c>
      <c r="V168" s="146">
        <f>IF(ETo!D167&gt;0,ETo!I167*((1-Entradas!$E$81)*ETo!K167+ETo!L167),0)</f>
        <v>2.2156819119866995</v>
      </c>
      <c r="W168" s="170">
        <f>IF(Escenarios!$E$14&gt;0,MIN(V168*1,0.8*(Z167+R168+S168+T168+Observaciones!$F167-U168-Constantes!$E$35)),0)</f>
        <v>0.50410456190377884</v>
      </c>
      <c r="X168" s="170">
        <f>IF(Escenarios!$E$14&gt;0,Observaciones!$J167,0)</f>
        <v>0</v>
      </c>
      <c r="Y168" s="170">
        <f>IF(Escenarios!$E$14&gt;0,MAX(0,Z167+R168+S168+T168+Observaciones!$F167-U168-W168-X168-Constantes!$E$33),0)</f>
        <v>0</v>
      </c>
      <c r="Z168" s="170">
        <f>Z167+R168+S168+T168+Observaciones!$F167-U168-W168-Y168</f>
        <v>41.376026140475943</v>
      </c>
      <c r="AA168" s="170">
        <f>IF(Escenarios!$E$14&gt;0,(Escenarios!$E$13*L168+Escenarios!$E$14*W168)/(Escenarios!$E$16),L168)</f>
        <v>1.1292856723405467</v>
      </c>
      <c r="AB168" s="170">
        <f>IF(Escenarios!$E$14&gt;0,(Escenarios!$E$14*Y168)/(Escenarios!$E$16),K168)</f>
        <v>0</v>
      </c>
      <c r="AC168" s="170">
        <f>IF(Escenarios!$E$14&gt;0,(Escenarios!$E$13*M168+Escenarios!$E$14*U168)/(Escenarios!$E$16),M168)</f>
        <v>0</v>
      </c>
      <c r="AD168" s="76">
        <f t="shared" si="29"/>
        <v>111.1495762763634</v>
      </c>
      <c r="AE168" s="76">
        <f>MAX(0,(AD168-Constantes!$D$13)*(1-EXP(-Constantes!$D$23)))</f>
        <v>0.6148378874721504</v>
      </c>
      <c r="AF168" s="76">
        <f>AB168+O168*Escenarios!$E$13/Escenarios!$E$16+AE168</f>
        <v>0.67294119534030117</v>
      </c>
      <c r="AG168" s="76">
        <f>IF(Entradas!$E$91&gt;0,IF(AF168-Escenarios!$E$38&lt;=0,0,IF(AF168-Escenarios!$E$38&gt;Escenarios!$E$37,Escenarios!$E$37,AF168-Escenarios!$E$38)),0)</f>
        <v>0</v>
      </c>
      <c r="AH168" s="76">
        <f>AG168*Entradas!$E$99</f>
        <v>0</v>
      </c>
      <c r="AI168" s="76">
        <f>IF(Entradas!$E$91&gt;0,D168*Entradas!$D$23/Escenarios!$E$16,0)</f>
        <v>0</v>
      </c>
      <c r="AJ168" s="76">
        <f>IF(Entradas!$E$91&gt;0,Entradas!$D$24*Entradas!$D$22/Escenarios!$E$16,0)</f>
        <v>0</v>
      </c>
      <c r="AK168" s="76">
        <f t="shared" si="38"/>
        <v>1.1292856723405467</v>
      </c>
      <c r="AL168" s="76">
        <f t="shared" si="39"/>
        <v>0</v>
      </c>
      <c r="AM168" s="76">
        <f t="shared" si="30"/>
        <v>0</v>
      </c>
      <c r="AN168" s="76">
        <f>MAX(0,O168*Escenarios!$E$13/Escenarios!$E$16-AM168)</f>
        <v>5.8103307868150794E-2</v>
      </c>
      <c r="AO168" s="76">
        <f>AM168+AN168-O168*Escenarios!$E$13/Escenarios!$E$16</f>
        <v>0</v>
      </c>
      <c r="AP168" s="76">
        <f t="shared" si="28"/>
        <v>0.6148378874721504</v>
      </c>
      <c r="AQ168" s="76">
        <f t="shared" si="31"/>
        <v>0</v>
      </c>
      <c r="AR168" s="76">
        <f t="shared" si="32"/>
        <v>0.67294119534030117</v>
      </c>
      <c r="AS168" s="76">
        <f t="shared" si="33"/>
        <v>0</v>
      </c>
      <c r="AT168" s="76">
        <f t="shared" si="34"/>
        <v>0</v>
      </c>
      <c r="AU168" s="76">
        <f t="shared" si="35"/>
        <v>48.75</v>
      </c>
      <c r="AV168" s="76">
        <f>MAX(0,(AU168-Constantes!$D$13)*(1-EXP(-Constantes!$D$24)))</f>
        <v>0</v>
      </c>
      <c r="AW168" s="170">
        <f>AW167+(Entradas!$E$112*AT168-AX167)/(800*Entradas!$D$25)</f>
        <v>0</v>
      </c>
      <c r="AX168" s="170">
        <f>8000*Entradas!$D$26*AW168/Constantes!$E$45</f>
        <v>0</v>
      </c>
      <c r="AY168" s="170">
        <f>IF(Escenarios!$E$17&gt;0,10*Escenarios!$E$16*AL168,0)</f>
        <v>0</v>
      </c>
      <c r="AZ168" s="170">
        <f>IF(Escenarios!$E$17&gt;0,10*Escenarios!$E$16*AX168,0)</f>
        <v>0</v>
      </c>
      <c r="BA168" s="170">
        <f>IF(Escenarios!$E$17&gt;0,0.001*Observaciones!$F167*Escenarios!$E$17,0)</f>
        <v>5.9999999999999991</v>
      </c>
      <c r="BB168" s="170">
        <f>IF(Escenarios!$E$17&gt;0,Observaciones!$K167,0)</f>
        <v>0</v>
      </c>
      <c r="BC168" s="170">
        <f>IF(Escenarios!$E$17&gt;0,MIN(0.0005*ETo!$M167*Escenarios!$E$17*(BG167/Constantes!$E$40)^(2/3),BG167+AY168+AZ168+BA168+BB168),0)</f>
        <v>10.722651895838888</v>
      </c>
      <c r="BD168" s="170">
        <f>IF(Escenarios!$E$17&gt;0,MIN(Constantes!$E$39*(BG167/Constantes!$E$40)^(2/3),BG167+AY168+AZ168+BA168+BB168-BC168),0)</f>
        <v>30.048646745250753</v>
      </c>
      <c r="BE168" s="170">
        <f>IF(Escenarios!$E$17&gt;0,MIN(Entradas!$E$113,BG167+AY168+AZ168+BA168+BB168-BC168-BD168),0)</f>
        <v>1</v>
      </c>
      <c r="BF168" s="170">
        <f>IF(Escenarios!$E$17&gt;0,MAX(0,BG167+AY168+AZ168+BA168+BB168-BC168-BD168-BE168-Constantes!$E$40),0)</f>
        <v>0</v>
      </c>
      <c r="BG168" s="170">
        <f t="shared" si="40"/>
        <v>1498.8850404909617</v>
      </c>
      <c r="BH168" s="170">
        <f>(Escenarios!$E$16*AK168+0.1*BC168)/(Escenarios!$E$19)</f>
        <v>1.1245781082330182</v>
      </c>
      <c r="BI168" s="170">
        <f>IF(Escenarios!$E$17&gt;0,BF168/10/Escenarios!$E$19,AL168)</f>
        <v>0</v>
      </c>
      <c r="BJ168" s="170">
        <f>(Escenarios!$E$16*AT168+0.1*BD168)/(Escenarios!$E$19)</f>
        <v>1.1924066168750299E-2</v>
      </c>
      <c r="BK168" s="76">
        <f>BK167+(0.1*BD168)/(Escenarios!$E$19)-BL167</f>
        <v>50.264769426230075</v>
      </c>
      <c r="BL168" s="76">
        <f>MAX(0,(BK168-Constantes!$D$13)*(1-EXP(-Constantes!$D$23)))</f>
        <v>1.4925383946613201E-2</v>
      </c>
      <c r="BM168" s="76">
        <f t="shared" si="36"/>
        <v>0.62976327141876365</v>
      </c>
      <c r="BN168" s="76">
        <f t="shared" si="41"/>
        <v>0.68786657928691441</v>
      </c>
      <c r="BO168" s="76">
        <f>0.0526*BI168*Observaciones!$F167^1.218</f>
        <v>0</v>
      </c>
      <c r="BP168" s="76">
        <f>BO168*Constantes!$E$51</f>
        <v>0</v>
      </c>
      <c r="BQ168" s="76">
        <f t="shared" si="37"/>
        <v>0</v>
      </c>
      <c r="BR168" s="40"/>
    </row>
    <row r="169" spans="1:70">
      <c r="A169" s="147"/>
      <c r="B169" s="39"/>
      <c r="C169" s="75">
        <v>163</v>
      </c>
      <c r="D169" s="146">
        <f>ETo!$I168*((1-Constantes!$E$19)*ETo!$K168+ETo!$L168)</f>
        <v>2.5618952225049911</v>
      </c>
      <c r="E169" s="76">
        <f>MIN(D169*Constantes!$E$17,0.8*(N168+Observaciones!$F168-F169-M169-Constantes!$D$14))</f>
        <v>1.2525421190320478</v>
      </c>
      <c r="F169" s="76">
        <f>IF(Observaciones!$F168&gt;0.05*Constantes!$E$18,((Observaciones!$F168-0.05*Constantes!$E$18)^2)/(Observaciones!$F168+0.95*Constantes!$E$18),0)</f>
        <v>0</v>
      </c>
      <c r="G169" s="76">
        <f>IF(Escenarios!$E$11&gt;0,(F169*Escenarios!$E$16*10000)/1000,0)</f>
        <v>0</v>
      </c>
      <c r="H169" s="76">
        <f>IF(Escenarios!$E$11&gt;0,(Observaciones!$F168*Constantes!$E$29)/1000,0)</f>
        <v>0</v>
      </c>
      <c r="I169" s="76">
        <f>IF(Escenarios!$E$11&gt;0,(D169*Constantes!$E$29)/1000,0)</f>
        <v>25.61895222504991</v>
      </c>
      <c r="J169" s="76">
        <f>IF(Escenarios!$E$11&gt;0,MAX(0,G169+H169-I169),0)</f>
        <v>0</v>
      </c>
      <c r="K169" s="76">
        <f>IF(Escenarios!$E$11&gt;0,IF(J169&gt;Constantes!$E$30,1000*((J169-Constantes!$E$30)/(Escenarios!$E$16*10000)),0),F169)</f>
        <v>0</v>
      </c>
      <c r="L169" s="76">
        <f>IF(Escenarios!$E$11&gt;0,I169*1000/Escenarios!$E$16/10000+E169,E169)</f>
        <v>1.2627896999220678</v>
      </c>
      <c r="M169" s="76">
        <f>MAX(0,N168+Observaciones!$F168-K169-Constantes!$D$13)</f>
        <v>0</v>
      </c>
      <c r="N169" s="76">
        <f>N168+Observaciones!$F168-K169-L169-M169-O168</f>
        <v>11.859509429683218</v>
      </c>
      <c r="O169" s="76">
        <f>MAX(0,(N169-Constantes!$D$14)*(1-EXP(-Constantes!$D$22)))</f>
        <v>2.0762128729934087E-2</v>
      </c>
      <c r="P169" s="170">
        <f>P168+(Entradas!$E$83*M169-Q168)/(800*Entradas!$D$25)</f>
        <v>0</v>
      </c>
      <c r="Q169" s="170">
        <f>8000*Entradas!$D$26*P169/Constantes!$E$45</f>
        <v>0</v>
      </c>
      <c r="R169" s="170">
        <f>IF(Escenarios!$E$14&gt;0,K169*Escenarios!$E$13/Escenarios!$E$14,0)</f>
        <v>0</v>
      </c>
      <c r="S169" s="170">
        <f>IF(Escenarios!$E$14&gt;0,Q169*Escenarios!$E$13/Escenarios!$E$14,0)</f>
        <v>0</v>
      </c>
      <c r="T169" s="170">
        <f>IF(Escenarios!$E$14&gt;0,Observaciones!$I168,0)</f>
        <v>0</v>
      </c>
      <c r="U169" s="170">
        <f>IF(Escenarios!$E$14&gt;0,MAX(0,Constantes!$E$36/((Z168+R169+S169+T169+Observaciones!$F168)^2)+Entradas!$E$77),0)</f>
        <v>0</v>
      </c>
      <c r="V169" s="146">
        <f>IF(ETo!D168&gt;0,ETo!I168*((1-Entradas!$E$81)*ETo!K168+ETo!L168),0)</f>
        <v>2.3043863104612101</v>
      </c>
      <c r="W169" s="170">
        <f>IF(Escenarios!$E$14&gt;0,MIN(V169*1,0.8*(Z168+R169+S169+T169+Observaciones!$F168-U169-Constantes!$E$35)),0)</f>
        <v>0.10082091238075463</v>
      </c>
      <c r="X169" s="170">
        <f>IF(Escenarios!$E$14&gt;0,Observaciones!$J168,0)</f>
        <v>0</v>
      </c>
      <c r="Y169" s="170">
        <f>IF(Escenarios!$E$14&gt;0,MAX(0,Z168+R169+S169+T169+Observaciones!$F168-U169-W169-X169-Constantes!$E$33),0)</f>
        <v>0</v>
      </c>
      <c r="Z169" s="170">
        <f>Z168+R169+S169+T169+Observaciones!$F168-U169-W169-Y169</f>
        <v>41.275205228095189</v>
      </c>
      <c r="AA169" s="170">
        <f>IF(Escenarios!$E$14&gt;0,(Escenarios!$E$13*L169+Escenarios!$E$14*W169)/(Escenarios!$E$16),L169)</f>
        <v>1.1233534454171101</v>
      </c>
      <c r="AB169" s="170">
        <f>IF(Escenarios!$E$14&gt;0,(Escenarios!$E$14*Y169)/(Escenarios!$E$16),K169)</f>
        <v>0</v>
      </c>
      <c r="AC169" s="170">
        <f>IF(Escenarios!$E$14&gt;0,(Escenarios!$E$13*M169+Escenarios!$E$14*U169)/(Escenarios!$E$16),M169)</f>
        <v>0</v>
      </c>
      <c r="AD169" s="76">
        <f t="shared" si="29"/>
        <v>110.53473838889126</v>
      </c>
      <c r="AE169" s="76">
        <f>MAX(0,(AD169-Constantes!$D$13)*(1-EXP(-Constantes!$D$23)))</f>
        <v>0.60877974332391183</v>
      </c>
      <c r="AF169" s="76">
        <f>AB169+O169*Escenarios!$E$13/Escenarios!$E$16+AE169</f>
        <v>0.62705041660625382</v>
      </c>
      <c r="AG169" s="76">
        <f>IF(Entradas!$E$91&gt;0,IF(AF169-Escenarios!$E$38&lt;=0,0,IF(AF169-Escenarios!$E$38&gt;Escenarios!$E$37,Escenarios!$E$37,AF169-Escenarios!$E$38)),0)</f>
        <v>0</v>
      </c>
      <c r="AH169" s="76">
        <f>AG169*Entradas!$E$99</f>
        <v>0</v>
      </c>
      <c r="AI169" s="76">
        <f>IF(Entradas!$E$91&gt;0,D169*Entradas!$D$23/Escenarios!$E$16,0)</f>
        <v>0</v>
      </c>
      <c r="AJ169" s="76">
        <f>IF(Entradas!$E$91&gt;0,Entradas!$D$24*Entradas!$D$22/Escenarios!$E$16,0)</f>
        <v>0</v>
      </c>
      <c r="AK169" s="76">
        <f t="shared" si="38"/>
        <v>1.1233534454171101</v>
      </c>
      <c r="AL169" s="76">
        <f t="shared" si="39"/>
        <v>0</v>
      </c>
      <c r="AM169" s="76">
        <f t="shared" si="30"/>
        <v>0</v>
      </c>
      <c r="AN169" s="76">
        <f>MAX(0,O169*Escenarios!$E$13/Escenarios!$E$16-AM169)</f>
        <v>1.8270673282341995E-2</v>
      </c>
      <c r="AO169" s="76">
        <f>AM169+AN169-O169*Escenarios!$E$13/Escenarios!$E$16</f>
        <v>0</v>
      </c>
      <c r="AP169" s="76">
        <f t="shared" si="28"/>
        <v>0.60877974332391183</v>
      </c>
      <c r="AQ169" s="76">
        <f t="shared" si="31"/>
        <v>0</v>
      </c>
      <c r="AR169" s="76">
        <f t="shared" si="32"/>
        <v>0.62705041660625382</v>
      </c>
      <c r="AS169" s="76">
        <f t="shared" si="33"/>
        <v>0</v>
      </c>
      <c r="AT169" s="76">
        <f t="shared" si="34"/>
        <v>0</v>
      </c>
      <c r="AU169" s="76">
        <f t="shared" si="35"/>
        <v>48.75</v>
      </c>
      <c r="AV169" s="76">
        <f>MAX(0,(AU169-Constantes!$D$13)*(1-EXP(-Constantes!$D$24)))</f>
        <v>0</v>
      </c>
      <c r="AW169" s="170">
        <f>AW168+(Entradas!$E$112*AT169-AX168)/(800*Entradas!$D$25)</f>
        <v>0</v>
      </c>
      <c r="AX169" s="170">
        <f>8000*Entradas!$D$26*AW169/Constantes!$E$45</f>
        <v>0</v>
      </c>
      <c r="AY169" s="170">
        <f>IF(Escenarios!$E$17&gt;0,10*Escenarios!$E$16*AL169,0)</f>
        <v>0</v>
      </c>
      <c r="AZ169" s="170">
        <f>IF(Escenarios!$E$17&gt;0,10*Escenarios!$E$16*AX169,0)</f>
        <v>0</v>
      </c>
      <c r="BA169" s="170">
        <f>IF(Escenarios!$E$17&gt;0,0.001*Observaciones!$F168*Escenarios!$E$17,0)</f>
        <v>0</v>
      </c>
      <c r="BB169" s="170">
        <f>IF(Escenarios!$E$17&gt;0,Observaciones!$K168,0)</f>
        <v>0</v>
      </c>
      <c r="BC169" s="170">
        <f>IF(Escenarios!$E$17&gt;0,MIN(0.0005*ETo!$M168*Escenarios!$E$17*(BG168/Constantes!$E$40)^(2/3),BG168+AY169+AZ169+BA169+BB169),0)</f>
        <v>10.9707813262371</v>
      </c>
      <c r="BD169" s="170">
        <f>IF(Escenarios!$E$17&gt;0,MIN(Constantes!$E$39*(BG168/Constantes!$E$40)^(2/3),BG168+AY169+AZ169+BA169+BB169-BC169),0)</f>
        <v>29.57987786602235</v>
      </c>
      <c r="BE169" s="170">
        <f>IF(Escenarios!$E$17&gt;0,MIN(Entradas!$E$113,BG168+AY169+AZ169+BA169+BB169-BC169-BD169),0)</f>
        <v>1</v>
      </c>
      <c r="BF169" s="170">
        <f>IF(Escenarios!$E$17&gt;0,MAX(0,BG168+AY169+AZ169+BA169+BB169-BC169-BD169-BE169-Constantes!$E$40),0)</f>
        <v>0</v>
      </c>
      <c r="BG169" s="170">
        <f t="shared" si="40"/>
        <v>1457.3343812987023</v>
      </c>
      <c r="BH169" s="170">
        <f>(Escenarios!$E$16*AK169+0.1*BC169)/(Escenarios!$E$19)</f>
        <v>1.1187914265353225</v>
      </c>
      <c r="BI169" s="170">
        <f>IF(Escenarios!$E$17&gt;0,BF169/10/Escenarios!$E$19,AL169)</f>
        <v>0</v>
      </c>
      <c r="BJ169" s="170">
        <f>(Escenarios!$E$16*AT169+0.1*BD169)/(Escenarios!$E$19)</f>
        <v>1.1738046772231092E-2</v>
      </c>
      <c r="BK169" s="76">
        <f>BK168+(0.1*BD169)/(Escenarios!$E$19)-BL168</f>
        <v>50.261582089055693</v>
      </c>
      <c r="BL169" s="76">
        <f>MAX(0,(BK169-Constantes!$D$13)*(1-EXP(-Constantes!$D$23)))</f>
        <v>1.4893978354269454E-2</v>
      </c>
      <c r="BM169" s="76">
        <f t="shared" si="36"/>
        <v>0.62367372167818125</v>
      </c>
      <c r="BN169" s="76">
        <f t="shared" si="41"/>
        <v>0.64194439496052325</v>
      </c>
      <c r="BO169" s="76">
        <f>0.0526*BI169*Observaciones!$F168^1.218</f>
        <v>0</v>
      </c>
      <c r="BP169" s="76">
        <f>BO169*Constantes!$E$51</f>
        <v>0</v>
      </c>
      <c r="BQ169" s="76">
        <f t="shared" si="37"/>
        <v>0</v>
      </c>
      <c r="BR169" s="40"/>
    </row>
    <row r="170" spans="1:70">
      <c r="A170" s="147"/>
      <c r="B170" s="39"/>
      <c r="C170" s="75">
        <v>164</v>
      </c>
      <c r="D170" s="146">
        <f>ETo!$I169*((1-Constantes!$E$19)*ETo!$K169+ETo!$L169)</f>
        <v>2.4228783008977168</v>
      </c>
      <c r="E170" s="76">
        <f>MIN(D170*Constantes!$E$17,0.8*(N169+Observaciones!$F169-F170-M170-Constantes!$D$14))</f>
        <v>0.48760754374657439</v>
      </c>
      <c r="F170" s="76">
        <f>IF(Observaciones!$F169&gt;0.05*Constantes!$E$18,((Observaciones!$F169-0.05*Constantes!$E$18)^2)/(Observaciones!$F169+0.95*Constantes!$E$18),0)</f>
        <v>0</v>
      </c>
      <c r="G170" s="76">
        <f>IF(Escenarios!$E$11&gt;0,(F170*Escenarios!$E$16*10000)/1000,0)</f>
        <v>0</v>
      </c>
      <c r="H170" s="76">
        <f>IF(Escenarios!$E$11&gt;0,(Observaciones!$F169*Constantes!$E$29)/1000,0)</f>
        <v>0</v>
      </c>
      <c r="I170" s="76">
        <f>IF(Escenarios!$E$11&gt;0,(D170*Constantes!$E$29)/1000,0)</f>
        <v>24.228783008977167</v>
      </c>
      <c r="J170" s="76">
        <f>IF(Escenarios!$E$11&gt;0,MAX(0,G170+H170-I170),0)</f>
        <v>0</v>
      </c>
      <c r="K170" s="76">
        <f>IF(Escenarios!$E$11&gt;0,IF(J170&gt;Constantes!$E$30,1000*((J170-Constantes!$E$30)/(Escenarios!$E$16*10000)),0),F170)</f>
        <v>0</v>
      </c>
      <c r="L170" s="76">
        <f>IF(Escenarios!$E$11&gt;0,I170*1000/Escenarios!$E$16/10000+E170,E170)</f>
        <v>0.49729905695016524</v>
      </c>
      <c r="M170" s="76">
        <f>MAX(0,N169+Observaciones!$F169-K170-Constantes!$D$13)</f>
        <v>0</v>
      </c>
      <c r="N170" s="76">
        <f>N169+Observaciones!$F169-K170-L170-M170-O169</f>
        <v>11.341448244003118</v>
      </c>
      <c r="O170" s="76">
        <f>MAX(0,(N170-Constantes!$D$14)*(1-EXP(-Constantes!$D$22)))</f>
        <v>3.1150629041226691E-3</v>
      </c>
      <c r="P170" s="170">
        <f>P169+(Entradas!$E$83*M170-Q169)/(800*Entradas!$D$25)</f>
        <v>0</v>
      </c>
      <c r="Q170" s="170">
        <f>8000*Entradas!$D$26*P170/Constantes!$E$45</f>
        <v>0</v>
      </c>
      <c r="R170" s="170">
        <f>IF(Escenarios!$E$14&gt;0,K170*Escenarios!$E$13/Escenarios!$E$14,0)</f>
        <v>0</v>
      </c>
      <c r="S170" s="170">
        <f>IF(Escenarios!$E$14&gt;0,Q170*Escenarios!$E$13/Escenarios!$E$14,0)</f>
        <v>0</v>
      </c>
      <c r="T170" s="170">
        <f>IF(Escenarios!$E$14&gt;0,Observaciones!$I169,0)</f>
        <v>0</v>
      </c>
      <c r="U170" s="170">
        <f>IF(Escenarios!$E$14&gt;0,MAX(0,Constantes!$E$36/((Z169+R170+S170+T170+Observaciones!$F169)^2)+Entradas!$E$77),0)</f>
        <v>0</v>
      </c>
      <c r="V170" s="146">
        <f>IF(ETo!D169&gt;0,ETo!I169*((1-Entradas!$E$81)*ETo!K169+ETo!L169),0)</f>
        <v>2.178200713501572</v>
      </c>
      <c r="W170" s="170">
        <f>IF(Escenarios!$E$14&gt;0,MIN(V170*1,0.8*(Z169+R170+S170+T170+Observaciones!$F169-U170-Constantes!$E$35)),0)</f>
        <v>2.0164182476150927E-2</v>
      </c>
      <c r="X170" s="170">
        <f>IF(Escenarios!$E$14&gt;0,Observaciones!$J169,0)</f>
        <v>0</v>
      </c>
      <c r="Y170" s="170">
        <f>IF(Escenarios!$E$14&gt;0,MAX(0,Z169+R170+S170+T170+Observaciones!$F169-U170-W170-X170-Constantes!$E$33),0)</f>
        <v>0</v>
      </c>
      <c r="Z170" s="170">
        <f>Z169+R170+S170+T170+Observaciones!$F169-U170-W170-Y170</f>
        <v>41.255041045619038</v>
      </c>
      <c r="AA170" s="170">
        <f>IF(Escenarios!$E$14&gt;0,(Escenarios!$E$13*L170+Escenarios!$E$14*W170)/(Escenarios!$E$16),L170)</f>
        <v>0.44004287201328351</v>
      </c>
      <c r="AB170" s="170">
        <f>IF(Escenarios!$E$14&gt;0,(Escenarios!$E$14*Y170)/(Escenarios!$E$16),K170)</f>
        <v>0</v>
      </c>
      <c r="AC170" s="170">
        <f>IF(Escenarios!$E$14&gt;0,(Escenarios!$E$13*M170+Escenarios!$E$14*U170)/(Escenarios!$E$16),M170)</f>
        <v>0</v>
      </c>
      <c r="AD170" s="76">
        <f t="shared" si="29"/>
        <v>109.92595864556735</v>
      </c>
      <c r="AE170" s="76">
        <f>MAX(0,(AD170-Constantes!$D$13)*(1-EXP(-Constantes!$D$23)))</f>
        <v>0.60278129151290338</v>
      </c>
      <c r="AF170" s="76">
        <f>AB170+O170*Escenarios!$E$13/Escenarios!$E$16+AE170</f>
        <v>0.60552254686853135</v>
      </c>
      <c r="AG170" s="76">
        <f>IF(Entradas!$E$91&gt;0,IF(AF170-Escenarios!$E$38&lt;=0,0,IF(AF170-Escenarios!$E$38&gt;Escenarios!$E$37,Escenarios!$E$37,AF170-Escenarios!$E$38)),0)</f>
        <v>0</v>
      </c>
      <c r="AH170" s="76">
        <f>AG170*Entradas!$E$99</f>
        <v>0</v>
      </c>
      <c r="AI170" s="76">
        <f>IF(Entradas!$E$91&gt;0,D170*Entradas!$D$23/Escenarios!$E$16,0)</f>
        <v>0</v>
      </c>
      <c r="AJ170" s="76">
        <f>IF(Entradas!$E$91&gt;0,Entradas!$D$24*Entradas!$D$22/Escenarios!$E$16,0)</f>
        <v>0</v>
      </c>
      <c r="AK170" s="76">
        <f t="shared" si="38"/>
        <v>0.44004287201328351</v>
      </c>
      <c r="AL170" s="76">
        <f t="shared" si="39"/>
        <v>0</v>
      </c>
      <c r="AM170" s="76">
        <f t="shared" si="30"/>
        <v>0</v>
      </c>
      <c r="AN170" s="76">
        <f>MAX(0,O170*Escenarios!$E$13/Escenarios!$E$16-AM170)</f>
        <v>2.7412553556279487E-3</v>
      </c>
      <c r="AO170" s="76">
        <f>AM170+AN170-O170*Escenarios!$E$13/Escenarios!$E$16</f>
        <v>0</v>
      </c>
      <c r="AP170" s="76">
        <f t="shared" si="28"/>
        <v>0.60278129151290338</v>
      </c>
      <c r="AQ170" s="76">
        <f t="shared" si="31"/>
        <v>0</v>
      </c>
      <c r="AR170" s="76">
        <f t="shared" si="32"/>
        <v>0.60552254686853135</v>
      </c>
      <c r="AS170" s="76">
        <f t="shared" si="33"/>
        <v>0</v>
      </c>
      <c r="AT170" s="76">
        <f t="shared" si="34"/>
        <v>0</v>
      </c>
      <c r="AU170" s="76">
        <f t="shared" si="35"/>
        <v>48.75</v>
      </c>
      <c r="AV170" s="76">
        <f>MAX(0,(AU170-Constantes!$D$13)*(1-EXP(-Constantes!$D$24)))</f>
        <v>0</v>
      </c>
      <c r="AW170" s="170">
        <f>AW169+(Entradas!$E$112*AT170-AX169)/(800*Entradas!$D$25)</f>
        <v>0</v>
      </c>
      <c r="AX170" s="170">
        <f>8000*Entradas!$D$26*AW170/Constantes!$E$45</f>
        <v>0</v>
      </c>
      <c r="AY170" s="170">
        <f>IF(Escenarios!$E$17&gt;0,10*Escenarios!$E$16*AL170,0)</f>
        <v>0</v>
      </c>
      <c r="AZ170" s="170">
        <f>IF(Escenarios!$E$17&gt;0,10*Escenarios!$E$16*AX170,0)</f>
        <v>0</v>
      </c>
      <c r="BA170" s="170">
        <f>IF(Escenarios!$E$17&gt;0,0.001*Observaciones!$F169*Escenarios!$E$17,0)</f>
        <v>0</v>
      </c>
      <c r="BB170" s="170">
        <f>IF(Escenarios!$E$17&gt;0,Observaciones!$K169,0)</f>
        <v>0</v>
      </c>
      <c r="BC170" s="170">
        <f>IF(Escenarios!$E$17&gt;0,MIN(0.0005*ETo!$M169*Escenarios!$E$17*(BG169/Constantes!$E$40)^(2/3),BG169+AY170+AZ170+BA170+BB170),0)</f>
        <v>10.189348164458535</v>
      </c>
      <c r="BD170" s="170">
        <f>IF(Escenarios!$E$17&gt;0,MIN(Constantes!$E$39*(BG169/Constantes!$E$40)^(2/3),BG169+AY170+AZ170+BA170+BB170-BC170),0)</f>
        <v>29.030663842676596</v>
      </c>
      <c r="BE170" s="170">
        <f>IF(Escenarios!$E$17&gt;0,MIN(Entradas!$E$113,BG169+AY170+AZ170+BA170+BB170-BC170-BD170),0)</f>
        <v>1</v>
      </c>
      <c r="BF170" s="170">
        <f>IF(Escenarios!$E$17&gt;0,MAX(0,BG169+AY170+AZ170+BA170+BB170-BC170-BD170-BE170-Constantes!$E$40),0)</f>
        <v>0</v>
      </c>
      <c r="BG170" s="170">
        <f t="shared" si="40"/>
        <v>1417.1143692915671</v>
      </c>
      <c r="BH170" s="170">
        <f>(Escenarios!$E$16*AK170+0.1*BC170)/(Escenarios!$E$19)</f>
        <v>0.44059386039589971</v>
      </c>
      <c r="BI170" s="170">
        <f>IF(Escenarios!$E$17&gt;0,BF170/10/Escenarios!$E$19,AL170)</f>
        <v>0</v>
      </c>
      <c r="BJ170" s="170">
        <f>(Escenarios!$E$16*AT170+0.1*BD170)/(Escenarios!$E$19)</f>
        <v>1.1520104699474841E-2</v>
      </c>
      <c r="BK170" s="76">
        <f>BK169+(0.1*BD170)/(Escenarios!$E$19)-BL169</f>
        <v>50.258208215400892</v>
      </c>
      <c r="BL170" s="76">
        <f>MAX(0,(BK170-Constantes!$D$13)*(1-EXP(-Constantes!$D$23)))</f>
        <v>1.4860734773554596E-2</v>
      </c>
      <c r="BM170" s="76">
        <f t="shared" si="36"/>
        <v>0.61764202628645792</v>
      </c>
      <c r="BN170" s="76">
        <f t="shared" si="41"/>
        <v>0.620383281642086</v>
      </c>
      <c r="BO170" s="76">
        <f>0.0526*BI170*Observaciones!$F169^1.218</f>
        <v>0</v>
      </c>
      <c r="BP170" s="76">
        <f>BO170*Constantes!$E$51</f>
        <v>0</v>
      </c>
      <c r="BQ170" s="76">
        <f t="shared" si="37"/>
        <v>0</v>
      </c>
      <c r="BR170" s="40"/>
    </row>
    <row r="171" spans="1:70">
      <c r="A171" s="147"/>
      <c r="B171" s="39"/>
      <c r="C171" s="75">
        <v>165</v>
      </c>
      <c r="D171" s="146">
        <f>ETo!$I170*((1-Constantes!$E$19)*ETo!$K170+ETo!$L170)</f>
        <v>2.4886869453175775</v>
      </c>
      <c r="E171" s="76">
        <f>MIN(D171*Constantes!$E$17,0.8*(N170+Observaciones!$F170-F171-M171-Constantes!$D$14))</f>
        <v>7.3158595202494334E-2</v>
      </c>
      <c r="F171" s="76">
        <f>IF(Observaciones!$F170&gt;0.05*Constantes!$E$18,((Observaciones!$F170-0.05*Constantes!$E$18)^2)/(Observaciones!$F170+0.95*Constantes!$E$18),0)</f>
        <v>0</v>
      </c>
      <c r="G171" s="76">
        <f>IF(Escenarios!$E$11&gt;0,(F171*Escenarios!$E$16*10000)/1000,0)</f>
        <v>0</v>
      </c>
      <c r="H171" s="76">
        <f>IF(Escenarios!$E$11&gt;0,(Observaciones!$F170*Constantes!$E$29)/1000,0)</f>
        <v>0</v>
      </c>
      <c r="I171" s="76">
        <f>IF(Escenarios!$E$11&gt;0,(D171*Constantes!$E$29)/1000,0)</f>
        <v>24.886869453175777</v>
      </c>
      <c r="J171" s="76">
        <f>IF(Escenarios!$E$11&gt;0,MAX(0,G171+H171-I171),0)</f>
        <v>0</v>
      </c>
      <c r="K171" s="76">
        <f>IF(Escenarios!$E$11&gt;0,IF(J171&gt;Constantes!$E$30,1000*((J171-Constantes!$E$30)/(Escenarios!$E$16*10000)),0),F171)</f>
        <v>0</v>
      </c>
      <c r="L171" s="76">
        <f>IF(Escenarios!$E$11&gt;0,I171*1000/Escenarios!$E$16/10000+E171,E171)</f>
        <v>8.3113342983764646E-2</v>
      </c>
      <c r="M171" s="76">
        <f>MAX(0,N170+Observaciones!$F170-K171-Constantes!$D$13)</f>
        <v>0</v>
      </c>
      <c r="N171" s="76">
        <f>N170+Observaciones!$F170-K171-L171-M171-O170</f>
        <v>11.255219838115231</v>
      </c>
      <c r="O171" s="76">
        <f>MAX(0,(N171-Constantes!$D$14)*(1-EXP(-Constantes!$D$22)))</f>
        <v>1.7780684862277781E-4</v>
      </c>
      <c r="P171" s="170">
        <f>P170+(Entradas!$E$83*M171-Q170)/(800*Entradas!$D$25)</f>
        <v>0</v>
      </c>
      <c r="Q171" s="170">
        <f>8000*Entradas!$D$26*P171/Constantes!$E$45</f>
        <v>0</v>
      </c>
      <c r="R171" s="170">
        <f>IF(Escenarios!$E$14&gt;0,K171*Escenarios!$E$13/Escenarios!$E$14,0)</f>
        <v>0</v>
      </c>
      <c r="S171" s="170">
        <f>IF(Escenarios!$E$14&gt;0,Q171*Escenarios!$E$13/Escenarios!$E$14,0)</f>
        <v>0</v>
      </c>
      <c r="T171" s="170">
        <f>IF(Escenarios!$E$14&gt;0,Observaciones!$I170,0)</f>
        <v>0</v>
      </c>
      <c r="U171" s="170">
        <f>IF(Escenarios!$E$14&gt;0,MAX(0,Constantes!$E$36/((Z170+R171+S171+T171+Observaciones!$F170)^2)+Entradas!$E$77),0)</f>
        <v>0</v>
      </c>
      <c r="V171" s="146">
        <f>IF(ETo!D170&gt;0,ETo!I170*((1-Entradas!$E$81)*ETo!K170+ETo!L170),0)</f>
        <v>2.2376405203130401</v>
      </c>
      <c r="W171" s="170">
        <f>IF(Escenarios!$E$14&gt;0,MIN(V171*1,0.8*(Z170+R171+S171+T171+Observaciones!$F170-U171-Constantes!$E$35)),0)</f>
        <v>4.0328364952301856E-3</v>
      </c>
      <c r="X171" s="170">
        <f>IF(Escenarios!$E$14&gt;0,Observaciones!$J170,0)</f>
        <v>0</v>
      </c>
      <c r="Y171" s="170">
        <f>IF(Escenarios!$E$14&gt;0,MAX(0,Z170+R171+S171+T171+Observaciones!$F170-U171-W171-X171-Constantes!$E$33),0)</f>
        <v>0</v>
      </c>
      <c r="Z171" s="170">
        <f>Z170+R171+S171+T171+Observaciones!$F170-U171-W171-Y171</f>
        <v>41.25100820912381</v>
      </c>
      <c r="AA171" s="170">
        <f>IF(Escenarios!$E$14&gt;0,(Escenarios!$E$13*L171+Escenarios!$E$14*W171)/(Escenarios!$E$16),L171)</f>
        <v>7.3623682205140512E-2</v>
      </c>
      <c r="AB171" s="170">
        <f>IF(Escenarios!$E$14&gt;0,(Escenarios!$E$14*Y171)/(Escenarios!$E$16),K171)</f>
        <v>0</v>
      </c>
      <c r="AC171" s="170">
        <f>IF(Escenarios!$E$14&gt;0,(Escenarios!$E$13*M171+Escenarios!$E$14*U171)/(Escenarios!$E$16),M171)</f>
        <v>0</v>
      </c>
      <c r="AD171" s="76">
        <f t="shared" si="29"/>
        <v>109.32317735405445</v>
      </c>
      <c r="AE171" s="76">
        <f>MAX(0,(AD171-Constantes!$D$13)*(1-EXP(-Constantes!$D$23)))</f>
        <v>0.59684194387630884</v>
      </c>
      <c r="AF171" s="76">
        <f>AB171+O171*Escenarios!$E$13/Escenarios!$E$16+AE171</f>
        <v>0.59699841390309694</v>
      </c>
      <c r="AG171" s="76">
        <f>IF(Entradas!$E$91&gt;0,IF(AF171-Escenarios!$E$38&lt;=0,0,IF(AF171-Escenarios!$E$38&gt;Escenarios!$E$37,Escenarios!$E$37,AF171-Escenarios!$E$38)),0)</f>
        <v>0</v>
      </c>
      <c r="AH171" s="76">
        <f>AG171*Entradas!$E$99</f>
        <v>0</v>
      </c>
      <c r="AI171" s="76">
        <f>IF(Entradas!$E$91&gt;0,D171*Entradas!$D$23/Escenarios!$E$16,0)</f>
        <v>0</v>
      </c>
      <c r="AJ171" s="76">
        <f>IF(Entradas!$E$91&gt;0,Entradas!$D$24*Entradas!$D$22/Escenarios!$E$16,0)</f>
        <v>0</v>
      </c>
      <c r="AK171" s="76">
        <f t="shared" si="38"/>
        <v>7.3623682205140512E-2</v>
      </c>
      <c r="AL171" s="76">
        <f t="shared" si="39"/>
        <v>0</v>
      </c>
      <c r="AM171" s="76">
        <f t="shared" si="30"/>
        <v>0</v>
      </c>
      <c r="AN171" s="76">
        <f>MAX(0,O171*Escenarios!$E$13/Escenarios!$E$16-AM171)</f>
        <v>1.5647002678804446E-4</v>
      </c>
      <c r="AO171" s="76">
        <f>AM171+AN171-O171*Escenarios!$E$13/Escenarios!$E$16</f>
        <v>0</v>
      </c>
      <c r="AP171" s="76">
        <f t="shared" si="28"/>
        <v>0.59684194387630884</v>
      </c>
      <c r="AQ171" s="76">
        <f t="shared" si="31"/>
        <v>0</v>
      </c>
      <c r="AR171" s="76">
        <f t="shared" si="32"/>
        <v>0.59699841390309694</v>
      </c>
      <c r="AS171" s="76">
        <f t="shared" si="33"/>
        <v>0</v>
      </c>
      <c r="AT171" s="76">
        <f t="shared" si="34"/>
        <v>0</v>
      </c>
      <c r="AU171" s="76">
        <f t="shared" si="35"/>
        <v>48.75</v>
      </c>
      <c r="AV171" s="76">
        <f>MAX(0,(AU171-Constantes!$D$13)*(1-EXP(-Constantes!$D$24)))</f>
        <v>0</v>
      </c>
      <c r="AW171" s="170">
        <f>AW170+(Entradas!$E$112*AT171-AX170)/(800*Entradas!$D$25)</f>
        <v>0</v>
      </c>
      <c r="AX171" s="170">
        <f>8000*Entradas!$D$26*AW171/Constantes!$E$45</f>
        <v>0</v>
      </c>
      <c r="AY171" s="170">
        <f>IF(Escenarios!$E$17&gt;0,10*Escenarios!$E$16*AL171,0)</f>
        <v>0</v>
      </c>
      <c r="AZ171" s="170">
        <f>IF(Escenarios!$E$17&gt;0,10*Escenarios!$E$16*AX171,0)</f>
        <v>0</v>
      </c>
      <c r="BA171" s="170">
        <f>IF(Escenarios!$E$17&gt;0,0.001*Observaciones!$F170*Escenarios!$E$17,0)</f>
        <v>0</v>
      </c>
      <c r="BB171" s="170">
        <f>IF(Escenarios!$E$17&gt;0,Observaciones!$K170,0)</f>
        <v>0</v>
      </c>
      <c r="BC171" s="170">
        <f>IF(Escenarios!$E$17&gt;0,MIN(0.0005*ETo!$M170*Escenarios!$E$17*(BG170/Constantes!$E$40)^(2/3),BG170+AY171+AZ171+BA171+BB171),0)</f>
        <v>10.271090976468946</v>
      </c>
      <c r="BD171" s="170">
        <f>IF(Escenarios!$E$17&gt;0,MIN(Constantes!$E$39*(BG170/Constantes!$E$40)^(2/3),BG170+AY171+AZ171+BA171+BB171-BC171),0)</f>
        <v>28.49404423520987</v>
      </c>
      <c r="BE171" s="170">
        <f>IF(Escenarios!$E$17&gt;0,MIN(Entradas!$E$113,BG170+AY171+AZ171+BA171+BB171-BC171-BD171),0)</f>
        <v>1</v>
      </c>
      <c r="BF171" s="170">
        <f>IF(Escenarios!$E$17&gt;0,MAX(0,BG170+AY171+AZ171+BA171+BB171-BC171-BD171-BE171-Constantes!$E$40),0)</f>
        <v>0</v>
      </c>
      <c r="BG171" s="170">
        <f t="shared" si="40"/>
        <v>1377.3492340798882</v>
      </c>
      <c r="BH171" s="170">
        <f>(Escenarios!$E$16*AK171+0.1*BC171)/(Escenarios!$E$19)</f>
        <v>7.7115197019571521E-2</v>
      </c>
      <c r="BI171" s="170">
        <f>IF(Escenarios!$E$17&gt;0,BF171/10/Escenarios!$E$19,AL171)</f>
        <v>0</v>
      </c>
      <c r="BJ171" s="170">
        <f>(Escenarios!$E$16*AT171+0.1*BD171)/(Escenarios!$E$19)</f>
        <v>1.1307160410797568E-2</v>
      </c>
      <c r="BK171" s="76">
        <f>BK170+(0.1*BD171)/(Escenarios!$E$19)-BL170</f>
        <v>50.25465464103813</v>
      </c>
      <c r="BL171" s="76">
        <f>MAX(0,(BK171-Constantes!$D$13)*(1-EXP(-Constantes!$D$23)))</f>
        <v>1.4825720558962831E-2</v>
      </c>
      <c r="BM171" s="76">
        <f t="shared" si="36"/>
        <v>0.61166766443527165</v>
      </c>
      <c r="BN171" s="76">
        <f t="shared" si="41"/>
        <v>0.61182413446205974</v>
      </c>
      <c r="BO171" s="76">
        <f>0.0526*BI171*Observaciones!$F170^1.218</f>
        <v>0</v>
      </c>
      <c r="BP171" s="76">
        <f>BO171*Constantes!$E$51</f>
        <v>0</v>
      </c>
      <c r="BQ171" s="76">
        <f t="shared" si="37"/>
        <v>0</v>
      </c>
      <c r="BR171" s="40"/>
    </row>
    <row r="172" spans="1:70">
      <c r="A172" s="147"/>
      <c r="B172" s="39"/>
      <c r="C172" s="75">
        <v>166</v>
      </c>
      <c r="D172" s="146">
        <f>ETo!$I171*((1-Constantes!$E$19)*ETo!$K171+ETo!$L171)</f>
        <v>2.3924664119482673</v>
      </c>
      <c r="E172" s="76">
        <f>MIN(D172*Constantes!$E$17,0.8*(N171+Observaciones!$F171-F172-M172-Constantes!$D$14))</f>
        <v>4.1758704921846862E-3</v>
      </c>
      <c r="F172" s="76">
        <f>IF(Observaciones!$F171&gt;0.05*Constantes!$E$18,((Observaciones!$F171-0.05*Constantes!$E$18)^2)/(Observaciones!$F171+0.95*Constantes!$E$18),0)</f>
        <v>0</v>
      </c>
      <c r="G172" s="76">
        <f>IF(Escenarios!$E$11&gt;0,(F172*Escenarios!$E$16*10000)/1000,0)</f>
        <v>0</v>
      </c>
      <c r="H172" s="76">
        <f>IF(Escenarios!$E$11&gt;0,(Observaciones!$F171*Constantes!$E$29)/1000,0)</f>
        <v>0</v>
      </c>
      <c r="I172" s="76">
        <f>IF(Escenarios!$E$11&gt;0,(D172*Constantes!$E$29)/1000,0)</f>
        <v>23.924664119482674</v>
      </c>
      <c r="J172" s="76">
        <f>IF(Escenarios!$E$11&gt;0,MAX(0,G172+H172-I172),0)</f>
        <v>0</v>
      </c>
      <c r="K172" s="76">
        <f>IF(Escenarios!$E$11&gt;0,IF(J172&gt;Constantes!$E$30,1000*((J172-Constantes!$E$30)/(Escenarios!$E$16*10000)),0),F172)</f>
        <v>0</v>
      </c>
      <c r="L172" s="76">
        <f>IF(Escenarios!$E$11&gt;0,I172*1000/Escenarios!$E$16/10000+E172,E172)</f>
        <v>1.3745736139977757E-2</v>
      </c>
      <c r="M172" s="76">
        <f>MAX(0,N171+Observaciones!$F171-K172-Constantes!$D$13)</f>
        <v>0</v>
      </c>
      <c r="N172" s="76">
        <f>N171+Observaciones!$F171-K172-L172-M172-O171</f>
        <v>11.241296295126631</v>
      </c>
      <c r="O172" s="76">
        <f>MAX(0,(N172-Constantes!$D$14)*(1-EXP(-Constantes!$D$22)))</f>
        <v>0</v>
      </c>
      <c r="P172" s="170">
        <f>P171+(Entradas!$E$83*M172-Q171)/(800*Entradas!$D$25)</f>
        <v>0</v>
      </c>
      <c r="Q172" s="170">
        <f>8000*Entradas!$D$26*P172/Constantes!$E$45</f>
        <v>0</v>
      </c>
      <c r="R172" s="170">
        <f>IF(Escenarios!$E$14&gt;0,K172*Escenarios!$E$13/Escenarios!$E$14,0)</f>
        <v>0</v>
      </c>
      <c r="S172" s="170">
        <f>IF(Escenarios!$E$14&gt;0,Q172*Escenarios!$E$13/Escenarios!$E$14,0)</f>
        <v>0</v>
      </c>
      <c r="T172" s="170">
        <f>IF(Escenarios!$E$14&gt;0,Observaciones!$I171,0)</f>
        <v>0</v>
      </c>
      <c r="U172" s="170">
        <f>IF(Escenarios!$E$14&gt;0,MAX(0,Constantes!$E$36/((Z171+R172+S172+T172+Observaciones!$F171)^2)+Entradas!$E$77),0)</f>
        <v>0</v>
      </c>
      <c r="V172" s="146">
        <f>IF(ETo!D171&gt;0,ETo!I171*((1-Entradas!$E$81)*ETo!K171+ETo!L171),0)</f>
        <v>2.1504987584151629</v>
      </c>
      <c r="W172" s="170">
        <f>IF(Escenarios!$E$14&gt;0,MIN(V172*1,0.8*(Z171+R172+S172+T172+Observaciones!$F171-U172-Constantes!$E$35)),0)</f>
        <v>8.0656729904831086E-4</v>
      </c>
      <c r="X172" s="170">
        <f>IF(Escenarios!$E$14&gt;0,Observaciones!$J171,0)</f>
        <v>0</v>
      </c>
      <c r="Y172" s="170">
        <f>IF(Escenarios!$E$14&gt;0,MAX(0,Z171+R172+S172+T172+Observaciones!$F171-U172-W172-X172-Constantes!$E$33),0)</f>
        <v>0</v>
      </c>
      <c r="Z172" s="170">
        <f>Z171+R172+S172+T172+Observaciones!$F171-U172-W172-Y172</f>
        <v>41.250201641824759</v>
      </c>
      <c r="AA172" s="170">
        <f>IF(Escenarios!$E$14&gt;0,(Escenarios!$E$13*L172+Escenarios!$E$14*W172)/(Escenarios!$E$16),L172)</f>
        <v>1.2193035879066222E-2</v>
      </c>
      <c r="AB172" s="170">
        <f>IF(Escenarios!$E$14&gt;0,(Escenarios!$E$14*Y172)/(Escenarios!$E$16),K172)</f>
        <v>0</v>
      </c>
      <c r="AC172" s="170">
        <f>IF(Escenarios!$E$14&gt;0,(Escenarios!$E$13*M172+Escenarios!$E$14*U172)/(Escenarios!$E$16),M172)</f>
        <v>0</v>
      </c>
      <c r="AD172" s="76">
        <f t="shared" si="29"/>
        <v>108.72633541017814</v>
      </c>
      <c r="AE172" s="76">
        <f>MAX(0,(AD172-Constantes!$D$13)*(1-EXP(-Constantes!$D$23)))</f>
        <v>0.59096111804661988</v>
      </c>
      <c r="AF172" s="76">
        <f>AB172+O172*Escenarios!$E$13/Escenarios!$E$16+AE172</f>
        <v>0.59096111804661988</v>
      </c>
      <c r="AG172" s="76">
        <f>IF(Entradas!$E$91&gt;0,IF(AF172-Escenarios!$E$38&lt;=0,0,IF(AF172-Escenarios!$E$38&gt;Escenarios!$E$37,Escenarios!$E$37,AF172-Escenarios!$E$38)),0)</f>
        <v>0</v>
      </c>
      <c r="AH172" s="76">
        <f>AG172*Entradas!$E$99</f>
        <v>0</v>
      </c>
      <c r="AI172" s="76">
        <f>IF(Entradas!$E$91&gt;0,D172*Entradas!$D$23/Escenarios!$E$16,0)</f>
        <v>0</v>
      </c>
      <c r="AJ172" s="76">
        <f>IF(Entradas!$E$91&gt;0,Entradas!$D$24*Entradas!$D$22/Escenarios!$E$16,0)</f>
        <v>0</v>
      </c>
      <c r="AK172" s="76">
        <f t="shared" si="38"/>
        <v>1.2193035879066222E-2</v>
      </c>
      <c r="AL172" s="76">
        <f t="shared" si="39"/>
        <v>0</v>
      </c>
      <c r="AM172" s="76">
        <f t="shared" si="30"/>
        <v>0</v>
      </c>
      <c r="AN172" s="76">
        <f>MAX(0,O172*Escenarios!$E$13/Escenarios!$E$16-AM172)</f>
        <v>0</v>
      </c>
      <c r="AO172" s="76">
        <f>AM172+AN172-O172*Escenarios!$E$13/Escenarios!$E$16</f>
        <v>0</v>
      </c>
      <c r="AP172" s="76">
        <f t="shared" si="28"/>
        <v>0.59096111804661988</v>
      </c>
      <c r="AQ172" s="76">
        <f t="shared" si="31"/>
        <v>0</v>
      </c>
      <c r="AR172" s="76">
        <f t="shared" si="32"/>
        <v>0.59096111804661988</v>
      </c>
      <c r="AS172" s="76">
        <f t="shared" si="33"/>
        <v>0</v>
      </c>
      <c r="AT172" s="76">
        <f t="shared" si="34"/>
        <v>0</v>
      </c>
      <c r="AU172" s="76">
        <f t="shared" si="35"/>
        <v>48.75</v>
      </c>
      <c r="AV172" s="76">
        <f>MAX(0,(AU172-Constantes!$D$13)*(1-EXP(-Constantes!$D$24)))</f>
        <v>0</v>
      </c>
      <c r="AW172" s="170">
        <f>AW171+(Entradas!$E$112*AT172-AX171)/(800*Entradas!$D$25)</f>
        <v>0</v>
      </c>
      <c r="AX172" s="170">
        <f>8000*Entradas!$D$26*AW172/Constantes!$E$45</f>
        <v>0</v>
      </c>
      <c r="AY172" s="170">
        <f>IF(Escenarios!$E$17&gt;0,10*Escenarios!$E$16*AL172,0)</f>
        <v>0</v>
      </c>
      <c r="AZ172" s="170">
        <f>IF(Escenarios!$E$17&gt;0,10*Escenarios!$E$16*AX172,0)</f>
        <v>0</v>
      </c>
      <c r="BA172" s="170">
        <f>IF(Escenarios!$E$17&gt;0,0.001*Observaciones!$F171*Escenarios!$E$17,0)</f>
        <v>0</v>
      </c>
      <c r="BB172" s="170">
        <f>IF(Escenarios!$E$17&gt;0,Observaciones!$K171,0)</f>
        <v>0</v>
      </c>
      <c r="BC172" s="170">
        <f>IF(Escenarios!$E$17&gt;0,MIN(0.0005*ETo!$M171*Escenarios!$E$17*(BG171/Constantes!$E$40)^(2/3),BG171+AY172+AZ172+BA172+BB172),0)</f>
        <v>9.6918403998472868</v>
      </c>
      <c r="BD172" s="170">
        <f>IF(Escenarios!$E$17&gt;0,MIN(Constantes!$E$39*(BG171/Constantes!$E$40)^(2/3),BG171+AY172+AZ172+BA172+BB172-BC172),0)</f>
        <v>27.95847898359105</v>
      </c>
      <c r="BE172" s="170">
        <f>IF(Escenarios!$E$17&gt;0,MIN(Entradas!$E$113,BG171+AY172+AZ172+BA172+BB172-BC172-BD172),0)</f>
        <v>1</v>
      </c>
      <c r="BF172" s="170">
        <f>IF(Escenarios!$E$17&gt;0,MAX(0,BG171+AY172+AZ172+BA172+BB172-BC172-BD172-BE172-Constantes!$E$40),0)</f>
        <v>0</v>
      </c>
      <c r="BG172" s="170">
        <f t="shared" si="40"/>
        <v>1338.6989146964499</v>
      </c>
      <c r="BH172" s="170">
        <f>(Escenarios!$E$16*AK172+0.1*BC172)/(Escenarios!$E$19)</f>
        <v>1.5942234165679699E-2</v>
      </c>
      <c r="BI172" s="170">
        <f>IF(Escenarios!$E$17&gt;0,BF172/10/Escenarios!$E$19,AL172)</f>
        <v>0</v>
      </c>
      <c r="BJ172" s="170">
        <f>(Escenarios!$E$16*AT172+0.1*BD172)/(Escenarios!$E$19)</f>
        <v>1.1094634517298037E-2</v>
      </c>
      <c r="BK172" s="76">
        <f>BK171+(0.1*BD172)/(Escenarios!$E$19)-BL171</f>
        <v>50.250923554996469</v>
      </c>
      <c r="BL172" s="76">
        <f>MAX(0,(BK172-Constantes!$D$13)*(1-EXP(-Constantes!$D$23)))</f>
        <v>1.4788957279518887E-2</v>
      </c>
      <c r="BM172" s="76">
        <f t="shared" si="36"/>
        <v>0.60575007532613878</v>
      </c>
      <c r="BN172" s="76">
        <f t="shared" si="41"/>
        <v>0.60575007532613878</v>
      </c>
      <c r="BO172" s="76">
        <f>0.0526*BI172*Observaciones!$F171^1.218</f>
        <v>0</v>
      </c>
      <c r="BP172" s="76">
        <f>BO172*Constantes!$E$51</f>
        <v>0</v>
      </c>
      <c r="BQ172" s="76">
        <f t="shared" si="37"/>
        <v>0</v>
      </c>
      <c r="BR172" s="40"/>
    </row>
    <row r="173" spans="1:70">
      <c r="A173" s="147"/>
      <c r="B173" s="39"/>
      <c r="C173" s="75">
        <v>167</v>
      </c>
      <c r="D173" s="146">
        <f>ETo!$I172*((1-Constantes!$E$19)*ETo!$K172+ETo!$L172)</f>
        <v>2.4878592593511901</v>
      </c>
      <c r="E173" s="76">
        <f>MIN(D173*Constantes!$E$17,0.8*(N172+Observaciones!$F172-F173-M173-Constantes!$D$14))</f>
        <v>-6.9629638986953074E-3</v>
      </c>
      <c r="F173" s="76">
        <f>IF(Observaciones!$F172&gt;0.05*Constantes!$E$18,((Observaciones!$F172-0.05*Constantes!$E$18)^2)/(Observaciones!$F172+0.95*Constantes!$E$18),0)</f>
        <v>0</v>
      </c>
      <c r="G173" s="76">
        <f>IF(Escenarios!$E$11&gt;0,(F173*Escenarios!$E$16*10000)/1000,0)</f>
        <v>0</v>
      </c>
      <c r="H173" s="76">
        <f>IF(Escenarios!$E$11&gt;0,(Observaciones!$F172*Constantes!$E$29)/1000,0)</f>
        <v>0</v>
      </c>
      <c r="I173" s="76">
        <f>IF(Escenarios!$E$11&gt;0,(D173*Constantes!$E$29)/1000,0)</f>
        <v>24.8785925935119</v>
      </c>
      <c r="J173" s="76">
        <f>IF(Escenarios!$E$11&gt;0,MAX(0,G173+H173-I173),0)</f>
        <v>0</v>
      </c>
      <c r="K173" s="76">
        <f>IF(Escenarios!$E$11&gt;0,IF(J173&gt;Constantes!$E$30,1000*((J173-Constantes!$E$30)/(Escenarios!$E$16*10000)),0),F173)</f>
        <v>0</v>
      </c>
      <c r="L173" s="76">
        <f>IF(Escenarios!$E$11&gt;0,I173*1000/Escenarios!$E$16/10000+E173,E173)</f>
        <v>2.9884731387094529E-3</v>
      </c>
      <c r="M173" s="76">
        <f>MAX(0,N172+Observaciones!$F172-K173-Constantes!$D$13)</f>
        <v>0</v>
      </c>
      <c r="N173" s="76">
        <f>N172+Observaciones!$F172-K173-L173-M173-O172</f>
        <v>11.238307821987922</v>
      </c>
      <c r="O173" s="76">
        <f>MAX(0,(N173-Constantes!$D$14)*(1-EXP(-Constantes!$D$22)))</f>
        <v>0</v>
      </c>
      <c r="P173" s="170">
        <f>P172+(Entradas!$E$83*M173-Q172)/(800*Entradas!$D$25)</f>
        <v>0</v>
      </c>
      <c r="Q173" s="170">
        <f>8000*Entradas!$D$26*P173/Constantes!$E$45</f>
        <v>0</v>
      </c>
      <c r="R173" s="170">
        <f>IF(Escenarios!$E$14&gt;0,K173*Escenarios!$E$13/Escenarios!$E$14,0)</f>
        <v>0</v>
      </c>
      <c r="S173" s="170">
        <f>IF(Escenarios!$E$14&gt;0,Q173*Escenarios!$E$13/Escenarios!$E$14,0)</f>
        <v>0</v>
      </c>
      <c r="T173" s="170">
        <f>IF(Escenarios!$E$14&gt;0,Observaciones!$I172,0)</f>
        <v>0</v>
      </c>
      <c r="U173" s="170">
        <f>IF(Escenarios!$E$14&gt;0,MAX(0,Constantes!$E$36/((Z172+R173+S173+T173+Observaciones!$F172)^2)+Entradas!$E$77),0)</f>
        <v>0</v>
      </c>
      <c r="V173" s="146">
        <f>IF(ETo!D172&gt;0,ETo!I172*((1-Entradas!$E$81)*ETo!K172+ETo!L172),0)</f>
        <v>2.2366938743409097</v>
      </c>
      <c r="W173" s="170">
        <f>IF(Escenarios!$E$14&gt;0,MIN(V173*1,0.8*(Z172+R173+S173+T173+Observaciones!$F172-U173-Constantes!$E$35)),0)</f>
        <v>1.6131345980738843E-4</v>
      </c>
      <c r="X173" s="170">
        <f>IF(Escenarios!$E$14&gt;0,Observaciones!$J172,0)</f>
        <v>0</v>
      </c>
      <c r="Y173" s="170">
        <f>IF(Escenarios!$E$14&gt;0,MAX(0,Z172+R173+S173+T173+Observaciones!$F172-U173-W173-X173-Constantes!$E$33),0)</f>
        <v>0</v>
      </c>
      <c r="Z173" s="170">
        <f>Z172+R173+S173+T173+Observaciones!$F172-U173-W173-Y173</f>
        <v>41.250040328364953</v>
      </c>
      <c r="AA173" s="170">
        <f>IF(Escenarios!$E$14&gt;0,(Escenarios!$E$13*L173+Escenarios!$E$14*W173)/(Escenarios!$E$16),L173)</f>
        <v>2.6492139772412051E-3</v>
      </c>
      <c r="AB173" s="170">
        <f>IF(Escenarios!$E$14&gt;0,(Escenarios!$E$14*Y173)/(Escenarios!$E$16),K173)</f>
        <v>0</v>
      </c>
      <c r="AC173" s="170">
        <f>IF(Escenarios!$E$14&gt;0,(Escenarios!$E$13*M173+Escenarios!$E$14*U173)/(Escenarios!$E$16),M173)</f>
        <v>0</v>
      </c>
      <c r="AD173" s="76">
        <f t="shared" si="29"/>
        <v>108.13537429213152</v>
      </c>
      <c r="AE173" s="76">
        <f>MAX(0,(AD173-Constantes!$D$13)*(1-EXP(-Constantes!$D$23)))</f>
        <v>0.58513823739453441</v>
      </c>
      <c r="AF173" s="76">
        <f>AB173+O173*Escenarios!$E$13/Escenarios!$E$16+AE173</f>
        <v>0.58513823739453441</v>
      </c>
      <c r="AG173" s="76">
        <f>IF(Entradas!$E$91&gt;0,IF(AF173-Escenarios!$E$38&lt;=0,0,IF(AF173-Escenarios!$E$38&gt;Escenarios!$E$37,Escenarios!$E$37,AF173-Escenarios!$E$38)),0)</f>
        <v>0</v>
      </c>
      <c r="AH173" s="76">
        <f>AG173*Entradas!$E$99</f>
        <v>0</v>
      </c>
      <c r="AI173" s="76">
        <f>IF(Entradas!$E$91&gt;0,D173*Entradas!$D$23/Escenarios!$E$16,0)</f>
        <v>0</v>
      </c>
      <c r="AJ173" s="76">
        <f>IF(Entradas!$E$91&gt;0,Entradas!$D$24*Entradas!$D$22/Escenarios!$E$16,0)</f>
        <v>0</v>
      </c>
      <c r="AK173" s="76">
        <f t="shared" si="38"/>
        <v>2.6492139772412051E-3</v>
      </c>
      <c r="AL173" s="76">
        <f t="shared" si="39"/>
        <v>0</v>
      </c>
      <c r="AM173" s="76">
        <f t="shared" si="30"/>
        <v>0</v>
      </c>
      <c r="AN173" s="76">
        <f>MAX(0,O173*Escenarios!$E$13/Escenarios!$E$16-AM173)</f>
        <v>0</v>
      </c>
      <c r="AO173" s="76">
        <f>AM173+AN173-O173*Escenarios!$E$13/Escenarios!$E$16</f>
        <v>0</v>
      </c>
      <c r="AP173" s="76">
        <f t="shared" si="28"/>
        <v>0.58513823739453441</v>
      </c>
      <c r="AQ173" s="76">
        <f t="shared" si="31"/>
        <v>0</v>
      </c>
      <c r="AR173" s="76">
        <f t="shared" si="32"/>
        <v>0.58513823739453441</v>
      </c>
      <c r="AS173" s="76">
        <f t="shared" si="33"/>
        <v>0</v>
      </c>
      <c r="AT173" s="76">
        <f t="shared" si="34"/>
        <v>0</v>
      </c>
      <c r="AU173" s="76">
        <f t="shared" si="35"/>
        <v>48.75</v>
      </c>
      <c r="AV173" s="76">
        <f>MAX(0,(AU173-Constantes!$D$13)*(1-EXP(-Constantes!$D$24)))</f>
        <v>0</v>
      </c>
      <c r="AW173" s="170">
        <f>AW172+(Entradas!$E$112*AT173-AX172)/(800*Entradas!$D$25)</f>
        <v>0</v>
      </c>
      <c r="AX173" s="170">
        <f>8000*Entradas!$D$26*AW173/Constantes!$E$45</f>
        <v>0</v>
      </c>
      <c r="AY173" s="170">
        <f>IF(Escenarios!$E$17&gt;0,10*Escenarios!$E$16*AL173,0)</f>
        <v>0</v>
      </c>
      <c r="AZ173" s="170">
        <f>IF(Escenarios!$E$17&gt;0,10*Escenarios!$E$16*AX173,0)</f>
        <v>0</v>
      </c>
      <c r="BA173" s="170">
        <f>IF(Escenarios!$E$17&gt;0,0.001*Observaciones!$F172*Escenarios!$E$17,0)</f>
        <v>0</v>
      </c>
      <c r="BB173" s="170">
        <f>IF(Escenarios!$E$17&gt;0,Observaciones!$K172,0)</f>
        <v>0</v>
      </c>
      <c r="BC173" s="170">
        <f>IF(Escenarios!$E$17&gt;0,MIN(0.0005*ETo!$M172*Escenarios!$E$17*(BG172/Constantes!$E$40)^(2/3),BG172+AY173+AZ173+BA173+BB173),0)</f>
        <v>9.886413654356728</v>
      </c>
      <c r="BD173" s="170">
        <f>IF(Escenarios!$E$17&gt;0,MIN(Constantes!$E$39*(BG172/Constantes!$E$40)^(2/3),BG172+AY173+AZ173+BA173+BB173-BC173),0)</f>
        <v>27.432966125945995</v>
      </c>
      <c r="BE173" s="170">
        <f>IF(Escenarios!$E$17&gt;0,MIN(Entradas!$E$113,BG172+AY173+AZ173+BA173+BB173-BC173-BD173),0)</f>
        <v>1</v>
      </c>
      <c r="BF173" s="170">
        <f>IF(Escenarios!$E$17&gt;0,MAX(0,BG172+AY173+AZ173+BA173+BB173-BC173-BD173-BE173-Constantes!$E$40),0)</f>
        <v>0</v>
      </c>
      <c r="BG173" s="170">
        <f t="shared" si="40"/>
        <v>1300.3795349161471</v>
      </c>
      <c r="BH173" s="170">
        <f>(Escenarios!$E$16*AK173+0.1*BC173)/(Escenarios!$E$19)</f>
        <v>6.5513684910554534E-3</v>
      </c>
      <c r="BI173" s="170">
        <f>IF(Escenarios!$E$17&gt;0,BF173/10/Escenarios!$E$19,AL173)</f>
        <v>0</v>
      </c>
      <c r="BJ173" s="170">
        <f>(Escenarios!$E$16*AT173+0.1*BD173)/(Escenarios!$E$19)</f>
        <v>1.0886097669026189E-2</v>
      </c>
      <c r="BK173" s="76">
        <f>BK172+(0.1*BD173)/(Escenarios!$E$19)-BL172</f>
        <v>50.247020695385977</v>
      </c>
      <c r="BL173" s="76">
        <f>MAX(0,(BK173-Constantes!$D$13)*(1-EXP(-Constantes!$D$23)))</f>
        <v>1.4750501474187981E-2</v>
      </c>
      <c r="BM173" s="76">
        <f t="shared" si="36"/>
        <v>0.5998887388687224</v>
      </c>
      <c r="BN173" s="76">
        <f t="shared" si="41"/>
        <v>0.5998887388687224</v>
      </c>
      <c r="BO173" s="76">
        <f>0.0526*BI173*Observaciones!$F172^1.218</f>
        <v>0</v>
      </c>
      <c r="BP173" s="76">
        <f>BO173*Constantes!$E$51</f>
        <v>0</v>
      </c>
      <c r="BQ173" s="76">
        <f t="shared" si="37"/>
        <v>0</v>
      </c>
      <c r="BR173" s="40"/>
    </row>
    <row r="174" spans="1:70">
      <c r="A174" s="147"/>
      <c r="B174" s="39"/>
      <c r="C174" s="75">
        <v>168</v>
      </c>
      <c r="D174" s="146">
        <f>ETo!$I173*((1-Constantes!$E$19)*ETo!$K173+ETo!$L173)</f>
        <v>2.424337929880171</v>
      </c>
      <c r="E174" s="76">
        <f>MIN(D174*Constantes!$E$17,0.8*(N173+Observaciones!$F173-F174-M174-Constantes!$D$14))</f>
        <v>-9.3537424096624029E-3</v>
      </c>
      <c r="F174" s="76">
        <f>IF(Observaciones!$F173&gt;0.05*Constantes!$E$18,((Observaciones!$F173-0.05*Constantes!$E$18)^2)/(Observaciones!$F173+0.95*Constantes!$E$18),0)</f>
        <v>0</v>
      </c>
      <c r="G174" s="76">
        <f>IF(Escenarios!$E$11&gt;0,(F174*Escenarios!$E$16*10000)/1000,0)</f>
        <v>0</v>
      </c>
      <c r="H174" s="76">
        <f>IF(Escenarios!$E$11&gt;0,(Observaciones!$F173*Constantes!$E$29)/1000,0)</f>
        <v>0</v>
      </c>
      <c r="I174" s="76">
        <f>IF(Escenarios!$E$11&gt;0,(D174*Constantes!$E$29)/1000,0)</f>
        <v>24.243379298801713</v>
      </c>
      <c r="J174" s="76">
        <f>IF(Escenarios!$E$11&gt;0,MAX(0,G174+H174-I174),0)</f>
        <v>0</v>
      </c>
      <c r="K174" s="76">
        <f>IF(Escenarios!$E$11&gt;0,IF(J174&gt;Constantes!$E$30,1000*((J174-Constantes!$E$30)/(Escenarios!$E$16*10000)),0),F174)</f>
        <v>0</v>
      </c>
      <c r="L174" s="76">
        <f>IF(Escenarios!$E$11&gt;0,I174*1000/Escenarios!$E$16/10000+E174,E174)</f>
        <v>3.4360930985828306E-4</v>
      </c>
      <c r="M174" s="76">
        <f>MAX(0,N173+Observaciones!$F173-K174-Constantes!$D$13)</f>
        <v>0</v>
      </c>
      <c r="N174" s="76">
        <f>N173+Observaciones!$F173-K174-L174-M174-O173</f>
        <v>11.237964212678063</v>
      </c>
      <c r="O174" s="76">
        <f>MAX(0,(N174-Constantes!$D$14)*(1-EXP(-Constantes!$D$22)))</f>
        <v>0</v>
      </c>
      <c r="P174" s="170">
        <f>P173+(Entradas!$E$83*M174-Q173)/(800*Entradas!$D$25)</f>
        <v>0</v>
      </c>
      <c r="Q174" s="170">
        <f>8000*Entradas!$D$26*P174/Constantes!$E$45</f>
        <v>0</v>
      </c>
      <c r="R174" s="170">
        <f>IF(Escenarios!$E$14&gt;0,K174*Escenarios!$E$13/Escenarios!$E$14,0)</f>
        <v>0</v>
      </c>
      <c r="S174" s="170">
        <f>IF(Escenarios!$E$14&gt;0,Q174*Escenarios!$E$13/Escenarios!$E$14,0)</f>
        <v>0</v>
      </c>
      <c r="T174" s="170">
        <f>IF(Escenarios!$E$14&gt;0,Observaciones!$I173,0)</f>
        <v>0</v>
      </c>
      <c r="U174" s="170">
        <f>IF(Escenarios!$E$14&gt;0,MAX(0,Constantes!$E$36/((Z173+R174+S174+T174+Observaciones!$F173)^2)+Entradas!$E$77),0)</f>
        <v>0</v>
      </c>
      <c r="V174" s="146">
        <f>IF(ETo!D173&gt;0,ETo!I173*((1-Entradas!$E$81)*ETo!K173+ETo!L173),0)</f>
        <v>2.1790957226636545</v>
      </c>
      <c r="W174" s="170">
        <f>IF(Escenarios!$E$14&gt;0,MIN(V174*1,0.8*(Z173+R174+S174+T174+Observaciones!$F173-U174-Constantes!$E$35)),0)</f>
        <v>3.2262691962614558E-5</v>
      </c>
      <c r="X174" s="170">
        <f>IF(Escenarios!$E$14&gt;0,Observaciones!$J173,0)</f>
        <v>0</v>
      </c>
      <c r="Y174" s="170">
        <f>IF(Escenarios!$E$14&gt;0,MAX(0,Z173+R174+S174+T174+Observaciones!$F173-U174-W174-X174-Constantes!$E$33),0)</f>
        <v>0</v>
      </c>
      <c r="Z174" s="170">
        <f>Z173+R174+S174+T174+Observaciones!$F173-U174-W174-Y174</f>
        <v>41.250008065672993</v>
      </c>
      <c r="AA174" s="170">
        <f>IF(Escenarios!$E$14&gt;0,(Escenarios!$E$13*L174+Escenarios!$E$14*W174)/(Escenarios!$E$16),L174)</f>
        <v>3.0624771571080285E-4</v>
      </c>
      <c r="AB174" s="170">
        <f>IF(Escenarios!$E$14&gt;0,(Escenarios!$E$14*Y174)/(Escenarios!$E$16),K174)</f>
        <v>0</v>
      </c>
      <c r="AC174" s="170">
        <f>IF(Escenarios!$E$14&gt;0,(Escenarios!$E$13*M174+Escenarios!$E$14*U174)/(Escenarios!$E$16),M174)</f>
        <v>0</v>
      </c>
      <c r="AD174" s="76">
        <f t="shared" si="29"/>
        <v>107.55023605473698</v>
      </c>
      <c r="AE174" s="76">
        <f>MAX(0,(AD174-Constantes!$D$13)*(1-EXP(-Constantes!$D$23)))</f>
        <v>0.57937273097241615</v>
      </c>
      <c r="AF174" s="76">
        <f>AB174+O174*Escenarios!$E$13/Escenarios!$E$16+AE174</f>
        <v>0.57937273097241615</v>
      </c>
      <c r="AG174" s="76">
        <f>IF(Entradas!$E$91&gt;0,IF(AF174-Escenarios!$E$38&lt;=0,0,IF(AF174-Escenarios!$E$38&gt;Escenarios!$E$37,Escenarios!$E$37,AF174-Escenarios!$E$38)),0)</f>
        <v>0</v>
      </c>
      <c r="AH174" s="76">
        <f>AG174*Entradas!$E$99</f>
        <v>0</v>
      </c>
      <c r="AI174" s="76">
        <f>IF(Entradas!$E$91&gt;0,D174*Entradas!$D$23/Escenarios!$E$16,0)</f>
        <v>0</v>
      </c>
      <c r="AJ174" s="76">
        <f>IF(Entradas!$E$91&gt;0,Entradas!$D$24*Entradas!$D$22/Escenarios!$E$16,0)</f>
        <v>0</v>
      </c>
      <c r="AK174" s="76">
        <f t="shared" si="38"/>
        <v>3.0624771571080285E-4</v>
      </c>
      <c r="AL174" s="76">
        <f t="shared" si="39"/>
        <v>0</v>
      </c>
      <c r="AM174" s="76">
        <f t="shared" si="30"/>
        <v>0</v>
      </c>
      <c r="AN174" s="76">
        <f>MAX(0,O174*Escenarios!$E$13/Escenarios!$E$16-AM174)</f>
        <v>0</v>
      </c>
      <c r="AO174" s="76">
        <f>AM174+AN174-O174*Escenarios!$E$13/Escenarios!$E$16</f>
        <v>0</v>
      </c>
      <c r="AP174" s="76">
        <f t="shared" si="28"/>
        <v>0.57937273097241615</v>
      </c>
      <c r="AQ174" s="76">
        <f t="shared" si="31"/>
        <v>0</v>
      </c>
      <c r="AR174" s="76">
        <f t="shared" si="32"/>
        <v>0.57937273097241615</v>
      </c>
      <c r="AS174" s="76">
        <f t="shared" si="33"/>
        <v>0</v>
      </c>
      <c r="AT174" s="76">
        <f t="shared" si="34"/>
        <v>0</v>
      </c>
      <c r="AU174" s="76">
        <f t="shared" si="35"/>
        <v>48.75</v>
      </c>
      <c r="AV174" s="76">
        <f>MAX(0,(AU174-Constantes!$D$13)*(1-EXP(-Constantes!$D$24)))</f>
        <v>0</v>
      </c>
      <c r="AW174" s="170">
        <f>AW173+(Entradas!$E$112*AT174-AX173)/(800*Entradas!$D$25)</f>
        <v>0</v>
      </c>
      <c r="AX174" s="170">
        <f>8000*Entradas!$D$26*AW174/Constantes!$E$45</f>
        <v>0</v>
      </c>
      <c r="AY174" s="170">
        <f>IF(Escenarios!$E$17&gt;0,10*Escenarios!$E$16*AL174,0)</f>
        <v>0</v>
      </c>
      <c r="AZ174" s="170">
        <f>IF(Escenarios!$E$17&gt;0,10*Escenarios!$E$16*AX174,0)</f>
        <v>0</v>
      </c>
      <c r="BA174" s="170">
        <f>IF(Escenarios!$E$17&gt;0,0.001*Observaciones!$F173*Escenarios!$E$17,0)</f>
        <v>0</v>
      </c>
      <c r="BB174" s="170">
        <f>IF(Escenarios!$E$17&gt;0,Observaciones!$K173,0)</f>
        <v>0</v>
      </c>
      <c r="BC174" s="170">
        <f>IF(Escenarios!$E$17&gt;0,MIN(0.0005*ETo!$M173*Escenarios!$E$17*(BG173/Constantes!$E$40)^(2/3),BG173+AY174+AZ174+BA174+BB174),0)</f>
        <v>9.45184743330109</v>
      </c>
      <c r="BD174" s="170">
        <f>IF(Escenarios!$E$17&gt;0,MIN(Constantes!$E$39*(BG173/Constantes!$E$40)^(2/3),BG173+AY174+AZ174+BA174+BB174-BC174),0)</f>
        <v>26.906935875545003</v>
      </c>
      <c r="BE174" s="170">
        <f>IF(Escenarios!$E$17&gt;0,MIN(Entradas!$E$113,BG173+AY174+AZ174+BA174+BB174-BC174-BD174),0)</f>
        <v>1</v>
      </c>
      <c r="BF174" s="170">
        <f>IF(Escenarios!$E$17&gt;0,MAX(0,BG173+AY174+AZ174+BA174+BB174-BC174-BD174-BE174-Constantes!$E$40),0)</f>
        <v>0</v>
      </c>
      <c r="BG174" s="170">
        <f t="shared" si="40"/>
        <v>1263.020751607301</v>
      </c>
      <c r="BH174" s="170">
        <f>(Escenarios!$E$16*AK174+0.1*BC174)/(Escenarios!$E$19)</f>
        <v>4.0545502867373401E-3</v>
      </c>
      <c r="BI174" s="170">
        <f>IF(Escenarios!$E$17&gt;0,BF174/10/Escenarios!$E$19,AL174)</f>
        <v>0</v>
      </c>
      <c r="BJ174" s="170">
        <f>(Escenarios!$E$16*AT174+0.1*BD174)/(Escenarios!$E$19)</f>
        <v>1.0677355506168653E-2</v>
      </c>
      <c r="BK174" s="76">
        <f>BK173+(0.1*BD174)/(Escenarios!$E$19)-BL173</f>
        <v>50.242947549417956</v>
      </c>
      <c r="BL174" s="76">
        <f>MAX(0,(BK174-Constantes!$D$13)*(1-EXP(-Constantes!$D$23)))</f>
        <v>1.4710367796817277E-2</v>
      </c>
      <c r="BM174" s="76">
        <f t="shared" si="36"/>
        <v>0.59408309876923338</v>
      </c>
      <c r="BN174" s="76">
        <f t="shared" si="41"/>
        <v>0.59408309876923338</v>
      </c>
      <c r="BO174" s="76">
        <f>0.0526*BI174*Observaciones!$F173^1.218</f>
        <v>0</v>
      </c>
      <c r="BP174" s="76">
        <f>BO174*Constantes!$E$51</f>
        <v>0</v>
      </c>
      <c r="BQ174" s="76">
        <f t="shared" si="37"/>
        <v>0</v>
      </c>
      <c r="BR174" s="40"/>
    </row>
    <row r="175" spans="1:70">
      <c r="A175" s="147"/>
      <c r="B175" s="39"/>
      <c r="C175" s="75">
        <v>169</v>
      </c>
      <c r="D175" s="146">
        <f>ETo!$I174*((1-Constantes!$E$19)*ETo!$K174+ETo!$L174)</f>
        <v>2.4077937796145239</v>
      </c>
      <c r="E175" s="76">
        <f>MIN(D175*Constantes!$E$17,0.8*(N174+Observaciones!$F174-F175-M175-Constantes!$D$14))</f>
        <v>-9.6286298575492431E-3</v>
      </c>
      <c r="F175" s="76">
        <f>IF(Observaciones!$F174&gt;0.05*Constantes!$E$18,((Observaciones!$F174-0.05*Constantes!$E$18)^2)/(Observaciones!$F174+0.95*Constantes!$E$18),0)</f>
        <v>0</v>
      </c>
      <c r="G175" s="76">
        <f>IF(Escenarios!$E$11&gt;0,(F175*Escenarios!$E$16*10000)/1000,0)</f>
        <v>0</v>
      </c>
      <c r="H175" s="76">
        <f>IF(Escenarios!$E$11&gt;0,(Observaciones!$F174*Constantes!$E$29)/1000,0)</f>
        <v>0</v>
      </c>
      <c r="I175" s="76">
        <f>IF(Escenarios!$E$11&gt;0,(D175*Constantes!$E$29)/1000,0)</f>
        <v>24.077937796145239</v>
      </c>
      <c r="J175" s="76">
        <f>IF(Escenarios!$E$11&gt;0,MAX(0,G175+H175-I175),0)</f>
        <v>0</v>
      </c>
      <c r="K175" s="76">
        <f>IF(Escenarios!$E$11&gt;0,IF(J175&gt;Constantes!$E$30,1000*((J175-Constantes!$E$30)/(Escenarios!$E$16*10000)),0),F175)</f>
        <v>0</v>
      </c>
      <c r="L175" s="76">
        <f>IF(Escenarios!$E$11&gt;0,I175*1000/Escenarios!$E$16/10000+E175,E175)</f>
        <v>2.5452609088531808E-6</v>
      </c>
      <c r="M175" s="76">
        <f>MAX(0,N174+Observaciones!$F174-K175-Constantes!$D$13)</f>
        <v>0</v>
      </c>
      <c r="N175" s="76">
        <f>N174+Observaciones!$F174-K175-L175-M175-O174</f>
        <v>11.237961667417155</v>
      </c>
      <c r="O175" s="76">
        <f>MAX(0,(N175-Constantes!$D$14)*(1-EXP(-Constantes!$D$22)))</f>
        <v>0</v>
      </c>
      <c r="P175" s="170">
        <f>P174+(Entradas!$E$83*M175-Q174)/(800*Entradas!$D$25)</f>
        <v>0</v>
      </c>
      <c r="Q175" s="170">
        <f>8000*Entradas!$D$26*P175/Constantes!$E$45</f>
        <v>0</v>
      </c>
      <c r="R175" s="170">
        <f>IF(Escenarios!$E$14&gt;0,K175*Escenarios!$E$13/Escenarios!$E$14,0)</f>
        <v>0</v>
      </c>
      <c r="S175" s="170">
        <f>IF(Escenarios!$E$14&gt;0,Q175*Escenarios!$E$13/Escenarios!$E$14,0)</f>
        <v>0</v>
      </c>
      <c r="T175" s="170">
        <f>IF(Escenarios!$E$14&gt;0,Observaciones!$I174,0)</f>
        <v>0</v>
      </c>
      <c r="U175" s="170">
        <f>IF(Escenarios!$E$14&gt;0,MAX(0,Constantes!$E$36/((Z174+R175+S175+T175+Observaciones!$F174)^2)+Entradas!$E$77),0)</f>
        <v>0</v>
      </c>
      <c r="V175" s="146">
        <f>IF(ETo!D174&gt;0,ETo!I174*((1-Entradas!$E$81)*ETo!K174+ETo!L174),0)</f>
        <v>2.1640766299030774</v>
      </c>
      <c r="W175" s="170">
        <f>IF(Escenarios!$E$14&gt;0,MIN(V175*1,0.8*(Z174+R175+S175+T175+Observaciones!$F174-U175-Constantes!$E$35)),0)</f>
        <v>6.4525383947966478E-6</v>
      </c>
      <c r="X175" s="170">
        <f>IF(Escenarios!$E$14&gt;0,Observaciones!$J174,0)</f>
        <v>0</v>
      </c>
      <c r="Y175" s="170">
        <f>IF(Escenarios!$E$14&gt;0,MAX(0,Z174+R175+S175+T175+Observaciones!$F174-U175-W175-X175-Constantes!$E$33),0)</f>
        <v>0</v>
      </c>
      <c r="Z175" s="170">
        <f>Z174+R175+S175+T175+Observaciones!$F174-U175-W175-Y175</f>
        <v>41.2500016131346</v>
      </c>
      <c r="AA175" s="170">
        <f>IF(Escenarios!$E$14&gt;0,(Escenarios!$E$13*L175+Escenarios!$E$14*W175)/(Escenarios!$E$16),L175)</f>
        <v>3.0141342071663968E-6</v>
      </c>
      <c r="AB175" s="170">
        <f>IF(Escenarios!$E$14&gt;0,(Escenarios!$E$14*Y175)/(Escenarios!$E$16),K175)</f>
        <v>0</v>
      </c>
      <c r="AC175" s="170">
        <f>IF(Escenarios!$E$14&gt;0,(Escenarios!$E$13*M175+Escenarios!$E$14*U175)/(Escenarios!$E$16),M175)</f>
        <v>0</v>
      </c>
      <c r="AD175" s="76">
        <f t="shared" si="29"/>
        <v>106.97086332376458</v>
      </c>
      <c r="AE175" s="76">
        <f>MAX(0,(AD175-Constantes!$D$13)*(1-EXP(-Constantes!$D$23)))</f>
        <v>0.57366403345831174</v>
      </c>
      <c r="AF175" s="76">
        <f>AB175+O175*Escenarios!$E$13/Escenarios!$E$16+AE175</f>
        <v>0.57366403345831174</v>
      </c>
      <c r="AG175" s="76">
        <f>IF(Entradas!$E$91&gt;0,IF(AF175-Escenarios!$E$38&lt;=0,0,IF(AF175-Escenarios!$E$38&gt;Escenarios!$E$37,Escenarios!$E$37,AF175-Escenarios!$E$38)),0)</f>
        <v>0</v>
      </c>
      <c r="AH175" s="76">
        <f>AG175*Entradas!$E$99</f>
        <v>0</v>
      </c>
      <c r="AI175" s="76">
        <f>IF(Entradas!$E$91&gt;0,D175*Entradas!$D$23/Escenarios!$E$16,0)</f>
        <v>0</v>
      </c>
      <c r="AJ175" s="76">
        <f>IF(Entradas!$E$91&gt;0,Entradas!$D$24*Entradas!$D$22/Escenarios!$E$16,0)</f>
        <v>0</v>
      </c>
      <c r="AK175" s="76">
        <f t="shared" si="38"/>
        <v>3.0141342071663968E-6</v>
      </c>
      <c r="AL175" s="76">
        <f t="shared" si="39"/>
        <v>0</v>
      </c>
      <c r="AM175" s="76">
        <f t="shared" si="30"/>
        <v>0</v>
      </c>
      <c r="AN175" s="76">
        <f>MAX(0,O175*Escenarios!$E$13/Escenarios!$E$16-AM175)</f>
        <v>0</v>
      </c>
      <c r="AO175" s="76">
        <f>AM175+AN175-O175*Escenarios!$E$13/Escenarios!$E$16</f>
        <v>0</v>
      </c>
      <c r="AP175" s="76">
        <f t="shared" si="28"/>
        <v>0.57366403345831174</v>
      </c>
      <c r="AQ175" s="76">
        <f t="shared" si="31"/>
        <v>0</v>
      </c>
      <c r="AR175" s="76">
        <f t="shared" si="32"/>
        <v>0.57366403345831174</v>
      </c>
      <c r="AS175" s="76">
        <f t="shared" si="33"/>
        <v>0</v>
      </c>
      <c r="AT175" s="76">
        <f t="shared" si="34"/>
        <v>0</v>
      </c>
      <c r="AU175" s="76">
        <f t="shared" si="35"/>
        <v>48.75</v>
      </c>
      <c r="AV175" s="76">
        <f>MAX(0,(AU175-Constantes!$D$13)*(1-EXP(-Constantes!$D$24)))</f>
        <v>0</v>
      </c>
      <c r="AW175" s="170">
        <f>AW174+(Entradas!$E$112*AT175-AX174)/(800*Entradas!$D$25)</f>
        <v>0</v>
      </c>
      <c r="AX175" s="170">
        <f>8000*Entradas!$D$26*AW175/Constantes!$E$45</f>
        <v>0</v>
      </c>
      <c r="AY175" s="170">
        <f>IF(Escenarios!$E$17&gt;0,10*Escenarios!$E$16*AL175,0)</f>
        <v>0</v>
      </c>
      <c r="AZ175" s="170">
        <f>IF(Escenarios!$E$17&gt;0,10*Escenarios!$E$16*AX175,0)</f>
        <v>0</v>
      </c>
      <c r="BA175" s="170">
        <f>IF(Escenarios!$E$17&gt;0,0.001*Observaciones!$F174*Escenarios!$E$17,0)</f>
        <v>0</v>
      </c>
      <c r="BB175" s="170">
        <f>IF(Escenarios!$E$17&gt;0,Observaciones!$K174,0)</f>
        <v>0</v>
      </c>
      <c r="BC175" s="170">
        <f>IF(Escenarios!$E$17&gt;0,MIN(0.0005*ETo!$M174*Escenarios!$E$17*(BG174/Constantes!$E$40)^(2/3),BG174+AY175+AZ175+BA175+BB175),0)</f>
        <v>9.2074514651285391</v>
      </c>
      <c r="BD175" s="170">
        <f>IF(Escenarios!$E$17&gt;0,MIN(Constantes!$E$39*(BG174/Constantes!$E$40)^(2/3),BG174+AY175+AZ175+BA175+BB175-BC175),0)</f>
        <v>26.389094222690979</v>
      </c>
      <c r="BE175" s="170">
        <f>IF(Escenarios!$E$17&gt;0,MIN(Entradas!$E$113,BG174+AY175+AZ175+BA175+BB175-BC175-BD175),0)</f>
        <v>1</v>
      </c>
      <c r="BF175" s="170">
        <f>IF(Escenarios!$E$17&gt;0,MAX(0,BG174+AY175+AZ175+BA175+BB175-BC175-BD175-BE175-Constantes!$E$40),0)</f>
        <v>0</v>
      </c>
      <c r="BG175" s="170">
        <f t="shared" si="40"/>
        <v>1226.4242059194814</v>
      </c>
      <c r="BH175" s="170">
        <f>(Escenarios!$E$16*AK175+0.1*BC175)/(Escenarios!$E$19)</f>
        <v>3.6567407939073239E-3</v>
      </c>
      <c r="BI175" s="170">
        <f>IF(Escenarios!$E$17&gt;0,BF175/10/Escenarios!$E$19,AL175)</f>
        <v>0</v>
      </c>
      <c r="BJ175" s="170">
        <f>(Escenarios!$E$16*AT175+0.1*BD175)/(Escenarios!$E$19)</f>
        <v>1.0471862786782134E-2</v>
      </c>
      <c r="BK175" s="76">
        <f>BK174+(0.1*BD175)/(Escenarios!$E$19)-BL174</f>
        <v>50.238709044407919</v>
      </c>
      <c r="BL175" s="76">
        <f>MAX(0,(BK175-Constantes!$D$13)*(1-EXP(-Constantes!$D$23)))</f>
        <v>1.4668604797420147E-2</v>
      </c>
      <c r="BM175" s="76">
        <f t="shared" si="36"/>
        <v>0.5883326382557319</v>
      </c>
      <c r="BN175" s="76">
        <f t="shared" si="41"/>
        <v>0.5883326382557319</v>
      </c>
      <c r="BO175" s="76">
        <f>0.0526*BI175*Observaciones!$F174^1.218</f>
        <v>0</v>
      </c>
      <c r="BP175" s="76">
        <f>BO175*Constantes!$E$51</f>
        <v>0</v>
      </c>
      <c r="BQ175" s="76">
        <f t="shared" si="37"/>
        <v>0</v>
      </c>
      <c r="BR175" s="40"/>
    </row>
    <row r="176" spans="1:70">
      <c r="A176" s="147"/>
      <c r="B176" s="39"/>
      <c r="C176" s="75">
        <v>170</v>
      </c>
      <c r="D176" s="146">
        <f>ETo!$I175*((1-Constantes!$E$19)*ETo!$K175+ETo!$L175)</f>
        <v>2.4118630495307261</v>
      </c>
      <c r="E176" s="76">
        <f>MIN(D176*Constantes!$E$17,0.8*(N175+Observaciones!$F175-F176-M176-Constantes!$D$14))</f>
        <v>-9.6306660662762063E-3</v>
      </c>
      <c r="F176" s="76">
        <f>IF(Observaciones!$F175&gt;0.05*Constantes!$E$18,((Observaciones!$F175-0.05*Constantes!$E$18)^2)/(Observaciones!$F175+0.95*Constantes!$E$18),0)</f>
        <v>0</v>
      </c>
      <c r="G176" s="76">
        <f>IF(Escenarios!$E$11&gt;0,(F176*Escenarios!$E$16*10000)/1000,0)</f>
        <v>0</v>
      </c>
      <c r="H176" s="76">
        <f>IF(Escenarios!$E$11&gt;0,(Observaciones!$F175*Constantes!$E$29)/1000,0)</f>
        <v>0</v>
      </c>
      <c r="I176" s="76">
        <f>IF(Escenarios!$E$11&gt;0,(D176*Constantes!$E$29)/1000,0)</f>
        <v>24.118630495307261</v>
      </c>
      <c r="J176" s="76">
        <f>IF(Escenarios!$E$11&gt;0,MAX(0,G176+H176-I176),0)</f>
        <v>0</v>
      </c>
      <c r="K176" s="76">
        <f>IF(Escenarios!$E$11&gt;0,IF(J176&gt;Constantes!$E$30,1000*((J176-Constantes!$E$30)/(Escenarios!$E$16*10000)),0),F176)</f>
        <v>0</v>
      </c>
      <c r="L176" s="76">
        <f>IF(Escenarios!$E$11&gt;0,I176*1000/Escenarios!$E$16/10000+E176,E176)</f>
        <v>1.6786131846698027E-5</v>
      </c>
      <c r="M176" s="76">
        <f>MAX(0,N175+Observaciones!$F175-K176-Constantes!$D$13)</f>
        <v>0</v>
      </c>
      <c r="N176" s="76">
        <f>N175+Observaciones!$F175-K176-L176-M176-O175</f>
        <v>11.237944881285308</v>
      </c>
      <c r="O176" s="76">
        <f>MAX(0,(N176-Constantes!$D$14)*(1-EXP(-Constantes!$D$22)))</f>
        <v>0</v>
      </c>
      <c r="P176" s="170">
        <f>P175+(Entradas!$E$83*M176-Q175)/(800*Entradas!$D$25)</f>
        <v>0</v>
      </c>
      <c r="Q176" s="170">
        <f>8000*Entradas!$D$26*P176/Constantes!$E$45</f>
        <v>0</v>
      </c>
      <c r="R176" s="170">
        <f>IF(Escenarios!$E$14&gt;0,K176*Escenarios!$E$13/Escenarios!$E$14,0)</f>
        <v>0</v>
      </c>
      <c r="S176" s="170">
        <f>IF(Escenarios!$E$14&gt;0,Q176*Escenarios!$E$13/Escenarios!$E$14,0)</f>
        <v>0</v>
      </c>
      <c r="T176" s="170">
        <f>IF(Escenarios!$E$14&gt;0,Observaciones!$I175,0)</f>
        <v>0</v>
      </c>
      <c r="U176" s="170">
        <f>IF(Escenarios!$E$14&gt;0,MAX(0,Constantes!$E$36/((Z175+R176+S176+T176+Observaciones!$F175)^2)+Entradas!$E$77),0)</f>
        <v>0</v>
      </c>
      <c r="V176" s="146">
        <f>IF(ETo!D175&gt;0,ETo!I175*((1-Entradas!$E$81)*ETo!K175+ETo!L175),0)</f>
        <v>2.1676970332017769</v>
      </c>
      <c r="W176" s="170">
        <f>IF(Escenarios!$E$14&gt;0,MIN(V176*1,0.8*(Z175+R176+S176+T176+Observaciones!$F175-U176-Constantes!$E$35)),0)</f>
        <v>1.290507680096198E-6</v>
      </c>
      <c r="X176" s="170">
        <f>IF(Escenarios!$E$14&gt;0,Observaciones!$J175,0)</f>
        <v>0</v>
      </c>
      <c r="Y176" s="170">
        <f>IF(Escenarios!$E$14&gt;0,MAX(0,Z175+R176+S176+T176+Observaciones!$F175-U176-W176-X176-Constantes!$E$33),0)</f>
        <v>0</v>
      </c>
      <c r="Z176" s="170">
        <f>Z175+R176+S176+T176+Observaciones!$F175-U176-W176-Y176</f>
        <v>41.250000322626917</v>
      </c>
      <c r="AA176" s="170">
        <f>IF(Escenarios!$E$14&gt;0,(Escenarios!$E$13*L176+Escenarios!$E$14*W176)/(Escenarios!$E$16),L176)</f>
        <v>1.4926656946705808E-5</v>
      </c>
      <c r="AB176" s="170">
        <f>IF(Escenarios!$E$14&gt;0,(Escenarios!$E$14*Y176)/(Escenarios!$E$16),K176)</f>
        <v>0</v>
      </c>
      <c r="AC176" s="170">
        <f>IF(Escenarios!$E$14&gt;0,(Escenarios!$E$13*M176+Escenarios!$E$14*U176)/(Escenarios!$E$16),M176)</f>
        <v>0</v>
      </c>
      <c r="AD176" s="76">
        <f t="shared" si="29"/>
        <v>106.39719929030626</v>
      </c>
      <c r="AE176" s="76">
        <f>MAX(0,(AD176-Constantes!$D$13)*(1-EXP(-Constantes!$D$23)))</f>
        <v>0.56801158510051941</v>
      </c>
      <c r="AF176" s="76">
        <f>AB176+O176*Escenarios!$E$13/Escenarios!$E$16+AE176</f>
        <v>0.56801158510051941</v>
      </c>
      <c r="AG176" s="76">
        <f>IF(Entradas!$E$91&gt;0,IF(AF176-Escenarios!$E$38&lt;=0,0,IF(AF176-Escenarios!$E$38&gt;Escenarios!$E$37,Escenarios!$E$37,AF176-Escenarios!$E$38)),0)</f>
        <v>0</v>
      </c>
      <c r="AH176" s="76">
        <f>AG176*Entradas!$E$99</f>
        <v>0</v>
      </c>
      <c r="AI176" s="76">
        <f>IF(Entradas!$E$91&gt;0,D176*Entradas!$D$23/Escenarios!$E$16,0)</f>
        <v>0</v>
      </c>
      <c r="AJ176" s="76">
        <f>IF(Entradas!$E$91&gt;0,Entradas!$D$24*Entradas!$D$22/Escenarios!$E$16,0)</f>
        <v>0</v>
      </c>
      <c r="AK176" s="76">
        <f t="shared" si="38"/>
        <v>1.4926656946705808E-5</v>
      </c>
      <c r="AL176" s="76">
        <f t="shared" si="39"/>
        <v>0</v>
      </c>
      <c r="AM176" s="76">
        <f t="shared" si="30"/>
        <v>0</v>
      </c>
      <c r="AN176" s="76">
        <f>MAX(0,O176*Escenarios!$E$13/Escenarios!$E$16-AM176)</f>
        <v>0</v>
      </c>
      <c r="AO176" s="76">
        <f>AM176+AN176-O176*Escenarios!$E$13/Escenarios!$E$16</f>
        <v>0</v>
      </c>
      <c r="AP176" s="76">
        <f t="shared" si="28"/>
        <v>0.56801158510051941</v>
      </c>
      <c r="AQ176" s="76">
        <f t="shared" si="31"/>
        <v>0</v>
      </c>
      <c r="AR176" s="76">
        <f t="shared" si="32"/>
        <v>0.56801158510051941</v>
      </c>
      <c r="AS176" s="76">
        <f t="shared" si="33"/>
        <v>0</v>
      </c>
      <c r="AT176" s="76">
        <f t="shared" si="34"/>
        <v>0</v>
      </c>
      <c r="AU176" s="76">
        <f t="shared" si="35"/>
        <v>48.75</v>
      </c>
      <c r="AV176" s="76">
        <f>MAX(0,(AU176-Constantes!$D$13)*(1-EXP(-Constantes!$D$24)))</f>
        <v>0</v>
      </c>
      <c r="AW176" s="170">
        <f>AW175+(Entradas!$E$112*AT176-AX175)/(800*Entradas!$D$25)</f>
        <v>0</v>
      </c>
      <c r="AX176" s="170">
        <f>8000*Entradas!$D$26*AW176/Constantes!$E$45</f>
        <v>0</v>
      </c>
      <c r="AY176" s="170">
        <f>IF(Escenarios!$E$17&gt;0,10*Escenarios!$E$16*AL176,0)</f>
        <v>0</v>
      </c>
      <c r="AZ176" s="170">
        <f>IF(Escenarios!$E$17&gt;0,10*Escenarios!$E$16*AX176,0)</f>
        <v>0</v>
      </c>
      <c r="BA176" s="170">
        <f>IF(Escenarios!$E$17&gt;0,0.001*Observaciones!$F175*Escenarios!$E$17,0)</f>
        <v>0</v>
      </c>
      <c r="BB176" s="170">
        <f>IF(Escenarios!$E$17&gt;0,Observaciones!$K175,0)</f>
        <v>0</v>
      </c>
      <c r="BC176" s="170">
        <f>IF(Escenarios!$E$17&gt;0,MIN(0.0005*ETo!$M175*Escenarios!$E$17*(BG175/Constantes!$E$40)^(2/3),BG175+AY176+AZ176+BA176+BB176),0)</f>
        <v>9.0441685914513048</v>
      </c>
      <c r="BD176" s="170">
        <f>IF(Escenarios!$E$17&gt;0,MIN(Constantes!$E$39*(BG175/Constantes!$E$40)^(2/3),BG175+AY176+AZ176+BA176+BB176-BC176),0)</f>
        <v>25.876843668134516</v>
      </c>
      <c r="BE176" s="170">
        <f>IF(Escenarios!$E$17&gt;0,MIN(Entradas!$E$113,BG175+AY176+AZ176+BA176+BB176-BC176-BD176),0)</f>
        <v>1</v>
      </c>
      <c r="BF176" s="170">
        <f>IF(Escenarios!$E$17&gt;0,MAX(0,BG175+AY176+AZ176+BA176+BB176-BC176-BD176-BE176-Constantes!$E$40),0)</f>
        <v>0</v>
      </c>
      <c r="BG176" s="170">
        <f t="shared" si="40"/>
        <v>1190.5031936598955</v>
      </c>
      <c r="BH176" s="170">
        <f>(Escenarios!$E$16*AK176+0.1*BC176)/(Escenarios!$E$19)</f>
        <v>3.6037639816738371E-3</v>
      </c>
      <c r="BI176" s="170">
        <f>IF(Escenarios!$E$17&gt;0,BF176/10/Escenarios!$E$19,AL176)</f>
        <v>0</v>
      </c>
      <c r="BJ176" s="170">
        <f>(Escenarios!$E$16*AT176+0.1*BD176)/(Escenarios!$E$19)</f>
        <v>1.0268588757196238E-2</v>
      </c>
      <c r="BK176" s="76">
        <f>BK175+(0.1*BD176)/(Escenarios!$E$19)-BL175</f>
        <v>50.234309028367697</v>
      </c>
      <c r="BL176" s="76">
        <f>MAX(0,(BK176-Constantes!$D$13)*(1-EXP(-Constantes!$D$23)))</f>
        <v>1.4625250391373669E-2</v>
      </c>
      <c r="BM176" s="76">
        <f t="shared" si="36"/>
        <v>0.58263683549189305</v>
      </c>
      <c r="BN176" s="76">
        <f t="shared" si="41"/>
        <v>0.58263683549189305</v>
      </c>
      <c r="BO176" s="76">
        <f>0.0526*BI176*Observaciones!$F175^1.218</f>
        <v>0</v>
      </c>
      <c r="BP176" s="76">
        <f>BO176*Constantes!$E$51</f>
        <v>0</v>
      </c>
      <c r="BQ176" s="76">
        <f t="shared" si="37"/>
        <v>0</v>
      </c>
      <c r="BR176" s="40"/>
    </row>
    <row r="177" spans="1:70">
      <c r="A177" s="147"/>
      <c r="B177" s="39"/>
      <c r="C177" s="75">
        <v>171</v>
      </c>
      <c r="D177" s="146">
        <f>ETo!$I176*((1-Constantes!$E$19)*ETo!$K176+ETo!$L176)</f>
        <v>2.4394475932406583</v>
      </c>
      <c r="E177" s="76">
        <f>MIN(D177*Constantes!$E$17,0.8*(N176+Observaciones!$F176-F177-M177-Constantes!$D$14))</f>
        <v>-9.6440949717532479E-3</v>
      </c>
      <c r="F177" s="76">
        <f>IF(Observaciones!$F176&gt;0.05*Constantes!$E$18,((Observaciones!$F176-0.05*Constantes!$E$18)^2)/(Observaciones!$F176+0.95*Constantes!$E$18),0)</f>
        <v>0</v>
      </c>
      <c r="G177" s="76">
        <f>IF(Escenarios!$E$11&gt;0,(F177*Escenarios!$E$16*10000)/1000,0)</f>
        <v>0</v>
      </c>
      <c r="H177" s="76">
        <f>IF(Escenarios!$E$11&gt;0,(Observaciones!$F176*Constantes!$E$29)/1000,0)</f>
        <v>0</v>
      </c>
      <c r="I177" s="76">
        <f>IF(Escenarios!$E$11&gt;0,(D177*Constantes!$E$29)/1000,0)</f>
        <v>24.394475932406582</v>
      </c>
      <c r="J177" s="76">
        <f>IF(Escenarios!$E$11&gt;0,MAX(0,G177+H177-I177),0)</f>
        <v>0</v>
      </c>
      <c r="K177" s="76">
        <f>IF(Escenarios!$E$11&gt;0,IF(J177&gt;Constantes!$E$30,1000*((J177-Constantes!$E$30)/(Escenarios!$E$16*10000)),0),F177)</f>
        <v>0</v>
      </c>
      <c r="L177" s="76">
        <f>IF(Escenarios!$E$11&gt;0,I177*1000/Escenarios!$E$16/10000+E177,E177)</f>
        <v>1.1369540120938562E-4</v>
      </c>
      <c r="M177" s="76">
        <f>MAX(0,N176+Observaciones!$F176-K177-Constantes!$D$13)</f>
        <v>0</v>
      </c>
      <c r="N177" s="76">
        <f>N176+Observaciones!$F176-K177-L177-M177-O176</f>
        <v>11.237831185884099</v>
      </c>
      <c r="O177" s="76">
        <f>MAX(0,(N177-Constantes!$D$14)*(1-EXP(-Constantes!$D$22)))</f>
        <v>0</v>
      </c>
      <c r="P177" s="170">
        <f>P176+(Entradas!$E$83*M177-Q176)/(800*Entradas!$D$25)</f>
        <v>0</v>
      </c>
      <c r="Q177" s="170">
        <f>8000*Entradas!$D$26*P177/Constantes!$E$45</f>
        <v>0</v>
      </c>
      <c r="R177" s="170">
        <f>IF(Escenarios!$E$14&gt;0,K177*Escenarios!$E$13/Escenarios!$E$14,0)</f>
        <v>0</v>
      </c>
      <c r="S177" s="170">
        <f>IF(Escenarios!$E$14&gt;0,Q177*Escenarios!$E$13/Escenarios!$E$14,0)</f>
        <v>0</v>
      </c>
      <c r="T177" s="170">
        <f>IF(Escenarios!$E$14&gt;0,Observaciones!$I176,0)</f>
        <v>0</v>
      </c>
      <c r="U177" s="170">
        <f>IF(Escenarios!$E$14&gt;0,MAX(0,Constantes!$E$36/((Z176+R177+S177+T177+Observaciones!$F176)^2)+Entradas!$E$77),0)</f>
        <v>0</v>
      </c>
      <c r="V177" s="146">
        <f>IF(ETo!D176&gt;0,ETo!I176*((1-Entradas!$E$81)*ETo!K176+ETo!L176),0)</f>
        <v>2.1925985390516654</v>
      </c>
      <c r="W177" s="170">
        <f>IF(Escenarios!$E$14&gt;0,MIN(V177*1,0.8*(Z176+R177+S177+T177+Observaciones!$F176-U177-Constantes!$E$35)),0)</f>
        <v>2.5810153374550283E-7</v>
      </c>
      <c r="X177" s="170">
        <f>IF(Escenarios!$E$14&gt;0,Observaciones!$J176,0)</f>
        <v>0</v>
      </c>
      <c r="Y177" s="170">
        <f>IF(Escenarios!$E$14&gt;0,MAX(0,Z176+R177+S177+T177+Observaciones!$F176-U177-W177-X177-Constantes!$E$33),0)</f>
        <v>0</v>
      </c>
      <c r="Z177" s="170">
        <f>Z176+R177+S177+T177+Observaciones!$F176-U177-W177-Y177</f>
        <v>41.250000064525381</v>
      </c>
      <c r="AA177" s="170">
        <f>IF(Escenarios!$E$14&gt;0,(Escenarios!$E$13*L177+Escenarios!$E$14*W177)/(Escenarios!$E$16),L177)</f>
        <v>1.000829252483088E-4</v>
      </c>
      <c r="AB177" s="170">
        <f>IF(Escenarios!$E$14&gt;0,(Escenarios!$E$14*Y177)/(Escenarios!$E$16),K177)</f>
        <v>0</v>
      </c>
      <c r="AC177" s="170">
        <f>IF(Escenarios!$E$14&gt;0,(Escenarios!$E$13*M177+Escenarios!$E$14*U177)/(Escenarios!$E$16),M177)</f>
        <v>0</v>
      </c>
      <c r="AD177" s="76">
        <f t="shared" si="29"/>
        <v>105.82918770520574</v>
      </c>
      <c r="AE177" s="76">
        <f>MAX(0,(AD177-Constantes!$D$13)*(1-EXP(-Constantes!$D$23)))</f>
        <v>0.56241483166270489</v>
      </c>
      <c r="AF177" s="76">
        <f>AB177+O177*Escenarios!$E$13/Escenarios!$E$16+AE177</f>
        <v>0.56241483166270489</v>
      </c>
      <c r="AG177" s="76">
        <f>IF(Entradas!$E$91&gt;0,IF(AF177-Escenarios!$E$38&lt;=0,0,IF(AF177-Escenarios!$E$38&gt;Escenarios!$E$37,Escenarios!$E$37,AF177-Escenarios!$E$38)),0)</f>
        <v>0</v>
      </c>
      <c r="AH177" s="76">
        <f>AG177*Entradas!$E$99</f>
        <v>0</v>
      </c>
      <c r="AI177" s="76">
        <f>IF(Entradas!$E$91&gt;0,D177*Entradas!$D$23/Escenarios!$E$16,0)</f>
        <v>0</v>
      </c>
      <c r="AJ177" s="76">
        <f>IF(Entradas!$E$91&gt;0,Entradas!$D$24*Entradas!$D$22/Escenarios!$E$16,0)</f>
        <v>0</v>
      </c>
      <c r="AK177" s="76">
        <f t="shared" si="38"/>
        <v>1.000829252483088E-4</v>
      </c>
      <c r="AL177" s="76">
        <f t="shared" si="39"/>
        <v>0</v>
      </c>
      <c r="AM177" s="76">
        <f t="shared" si="30"/>
        <v>0</v>
      </c>
      <c r="AN177" s="76">
        <f>MAX(0,O177*Escenarios!$E$13/Escenarios!$E$16-AM177)</f>
        <v>0</v>
      </c>
      <c r="AO177" s="76">
        <f>AM177+AN177-O177*Escenarios!$E$13/Escenarios!$E$16</f>
        <v>0</v>
      </c>
      <c r="AP177" s="76">
        <f t="shared" si="28"/>
        <v>0.56241483166270489</v>
      </c>
      <c r="AQ177" s="76">
        <f t="shared" si="31"/>
        <v>0</v>
      </c>
      <c r="AR177" s="76">
        <f t="shared" si="32"/>
        <v>0.56241483166270489</v>
      </c>
      <c r="AS177" s="76">
        <f t="shared" si="33"/>
        <v>0</v>
      </c>
      <c r="AT177" s="76">
        <f t="shared" si="34"/>
        <v>0</v>
      </c>
      <c r="AU177" s="76">
        <f t="shared" si="35"/>
        <v>48.75</v>
      </c>
      <c r="AV177" s="76">
        <f>MAX(0,(AU177-Constantes!$D$13)*(1-EXP(-Constantes!$D$24)))</f>
        <v>0</v>
      </c>
      <c r="AW177" s="170">
        <f>AW176+(Entradas!$E$112*AT177-AX176)/(800*Entradas!$D$25)</f>
        <v>0</v>
      </c>
      <c r="AX177" s="170">
        <f>8000*Entradas!$D$26*AW177/Constantes!$E$45</f>
        <v>0</v>
      </c>
      <c r="AY177" s="170">
        <f>IF(Escenarios!$E$17&gt;0,10*Escenarios!$E$16*AL177,0)</f>
        <v>0</v>
      </c>
      <c r="AZ177" s="170">
        <f>IF(Escenarios!$E$17&gt;0,10*Escenarios!$E$16*AX177,0)</f>
        <v>0</v>
      </c>
      <c r="BA177" s="170">
        <f>IF(Escenarios!$E$17&gt;0,0.001*Observaciones!$F176*Escenarios!$E$17,0)</f>
        <v>0</v>
      </c>
      <c r="BB177" s="170">
        <f>IF(Escenarios!$E$17&gt;0,Observaciones!$K176,0)</f>
        <v>0</v>
      </c>
      <c r="BC177" s="170">
        <f>IF(Escenarios!$E$17&gt;0,MIN(0.0005*ETo!$M176*Escenarios!$E$17*(BG176/Constantes!$E$40)^(2/3),BG176+AY177+AZ177+BA177+BB177),0)</f>
        <v>8.9675596150473318</v>
      </c>
      <c r="BD177" s="170">
        <f>IF(Escenarios!$E$17&gt;0,MIN(Constantes!$E$39*(BG176/Constantes!$E$40)^(2/3),BG176+AY177+AZ177+BA177+BB177-BC177),0)</f>
        <v>25.369069382382008</v>
      </c>
      <c r="BE177" s="170">
        <f>IF(Escenarios!$E$17&gt;0,MIN(Entradas!$E$113,BG176+AY177+AZ177+BA177+BB177-BC177-BD177),0)</f>
        <v>1</v>
      </c>
      <c r="BF177" s="170">
        <f>IF(Escenarios!$E$17&gt;0,MAX(0,BG176+AY177+AZ177+BA177+BB177-BC177-BD177-BE177-Constantes!$E$40),0)</f>
        <v>0</v>
      </c>
      <c r="BG177" s="170">
        <f t="shared" si="40"/>
        <v>1155.166564662466</v>
      </c>
      <c r="BH177" s="170">
        <f>(Escenarios!$E$16*AK177+0.1*BC177)/(Escenarios!$E$19)</f>
        <v>3.6578440191143268E-3</v>
      </c>
      <c r="BI177" s="170">
        <f>IF(Escenarios!$E$17&gt;0,BF177/10/Escenarios!$E$19,AL177)</f>
        <v>0</v>
      </c>
      <c r="BJ177" s="170">
        <f>(Escenarios!$E$16*AT177+0.1*BD177)/(Escenarios!$E$19)</f>
        <v>1.0067091024754766E-2</v>
      </c>
      <c r="BK177" s="76">
        <f>BK176+(0.1*BD177)/(Escenarios!$E$19)-BL176</f>
        <v>50.229750869001073</v>
      </c>
      <c r="BL177" s="76">
        <f>MAX(0,(BK177-Constantes!$D$13)*(1-EXP(-Constantes!$D$23)))</f>
        <v>1.4580337761465344E-2</v>
      </c>
      <c r="BM177" s="76">
        <f t="shared" si="36"/>
        <v>0.57699516942417028</v>
      </c>
      <c r="BN177" s="76">
        <f t="shared" si="41"/>
        <v>0.57699516942417028</v>
      </c>
      <c r="BO177" s="76">
        <f>0.0526*BI177*Observaciones!$F176^1.218</f>
        <v>0</v>
      </c>
      <c r="BP177" s="76">
        <f>BO177*Constantes!$E$51</f>
        <v>0</v>
      </c>
      <c r="BQ177" s="76">
        <f t="shared" si="37"/>
        <v>0</v>
      </c>
      <c r="BR177" s="40"/>
    </row>
    <row r="178" spans="1:70">
      <c r="A178" s="147"/>
      <c r="B178" s="39"/>
      <c r="C178" s="75">
        <v>172</v>
      </c>
      <c r="D178" s="146">
        <f>ETo!$I177*((1-Constantes!$E$19)*ETo!$K177+ETo!$L177)</f>
        <v>2.4213469393283593</v>
      </c>
      <c r="E178" s="76">
        <f>MIN(D178*Constantes!$E$17,0.8*(N177+Observaciones!$F177-F178-M178-Constantes!$D$14))</f>
        <v>-9.7350512927206981E-3</v>
      </c>
      <c r="F178" s="76">
        <f>IF(Observaciones!$F177&gt;0.05*Constantes!$E$18,((Observaciones!$F177-0.05*Constantes!$E$18)^2)/(Observaciones!$F177+0.95*Constantes!$E$18),0)</f>
        <v>0</v>
      </c>
      <c r="G178" s="76">
        <f>IF(Escenarios!$E$11&gt;0,(F178*Escenarios!$E$16*10000)/1000,0)</f>
        <v>0</v>
      </c>
      <c r="H178" s="76">
        <f>IF(Escenarios!$E$11&gt;0,(Observaciones!$F177*Constantes!$E$29)/1000,0)</f>
        <v>0</v>
      </c>
      <c r="I178" s="76">
        <f>IF(Escenarios!$E$11&gt;0,(D178*Constantes!$E$29)/1000,0)</f>
        <v>24.213469393283596</v>
      </c>
      <c r="J178" s="76">
        <f>IF(Escenarios!$E$11&gt;0,MAX(0,G178+H178-I178),0)</f>
        <v>0</v>
      </c>
      <c r="K178" s="76">
        <f>IF(Escenarios!$E$11&gt;0,IF(J178&gt;Constantes!$E$30,1000*((J178-Constantes!$E$30)/(Escenarios!$E$16*10000)),0),F178)</f>
        <v>0</v>
      </c>
      <c r="L178" s="76">
        <f>IF(Escenarios!$E$11&gt;0,I178*1000/Escenarios!$E$16/10000+E178,E178)</f>
        <v>-4.9663535407260331E-5</v>
      </c>
      <c r="M178" s="76">
        <f>MAX(0,N177+Observaciones!$F177-K178-Constantes!$D$13)</f>
        <v>0</v>
      </c>
      <c r="N178" s="76">
        <f>N177+Observaciones!$F177-K178-L178-M178-O177</f>
        <v>11.237880849419506</v>
      </c>
      <c r="O178" s="76">
        <f>MAX(0,(N178-Constantes!$D$14)*(1-EXP(-Constantes!$D$22)))</f>
        <v>0</v>
      </c>
      <c r="P178" s="170">
        <f>P177+(Entradas!$E$83*M178-Q177)/(800*Entradas!$D$25)</f>
        <v>0</v>
      </c>
      <c r="Q178" s="170">
        <f>8000*Entradas!$D$26*P178/Constantes!$E$45</f>
        <v>0</v>
      </c>
      <c r="R178" s="170">
        <f>IF(Escenarios!$E$14&gt;0,K178*Escenarios!$E$13/Escenarios!$E$14,0)</f>
        <v>0</v>
      </c>
      <c r="S178" s="170">
        <f>IF(Escenarios!$E$14&gt;0,Q178*Escenarios!$E$13/Escenarios!$E$14,0)</f>
        <v>0</v>
      </c>
      <c r="T178" s="170">
        <f>IF(Escenarios!$E$14&gt;0,Observaciones!$I177,0)</f>
        <v>0</v>
      </c>
      <c r="U178" s="170">
        <f>IF(Escenarios!$E$14&gt;0,MAX(0,Constantes!$E$36/((Z177+R178+S178+T178+Observaciones!$F177)^2)+Entradas!$E$77),0)</f>
        <v>0</v>
      </c>
      <c r="V178" s="146">
        <f>IF(ETo!D177&gt;0,ETo!I177*((1-Entradas!$E$81)*ETo!K177+ETo!L177),0)</f>
        <v>2.176201937493687</v>
      </c>
      <c r="W178" s="170">
        <f>IF(Escenarios!$E$14&gt;0,MIN(V178*1,0.8*(Z177+R178+S178+T178+Observaciones!$F177-U178-Constantes!$E$35)),0)</f>
        <v>5.162030447536381E-8</v>
      </c>
      <c r="X178" s="170">
        <f>IF(Escenarios!$E$14&gt;0,Observaciones!$J177,0)</f>
        <v>0</v>
      </c>
      <c r="Y178" s="170">
        <f>IF(Escenarios!$E$14&gt;0,MAX(0,Z177+R178+S178+T178+Observaciones!$F177-U178-W178-X178-Constantes!$E$33),0)</f>
        <v>0</v>
      </c>
      <c r="Z178" s="170">
        <f>Z177+R178+S178+T178+Observaciones!$F177-U178-W178-Y178</f>
        <v>41.250000012905076</v>
      </c>
      <c r="AA178" s="170">
        <f>IF(Escenarios!$E$14&gt;0,(Escenarios!$E$13*L178+Escenarios!$E$14*W178)/(Escenarios!$E$16),L178)</f>
        <v>-4.3697716721852046E-5</v>
      </c>
      <c r="AB178" s="170">
        <f>IF(Escenarios!$E$14&gt;0,(Escenarios!$E$14*Y178)/(Escenarios!$E$16),K178)</f>
        <v>0</v>
      </c>
      <c r="AC178" s="170">
        <f>IF(Escenarios!$E$14&gt;0,(Escenarios!$E$13*M178+Escenarios!$E$14*U178)/(Escenarios!$E$16),M178)</f>
        <v>0</v>
      </c>
      <c r="AD178" s="76">
        <f t="shared" si="29"/>
        <v>105.26677287354303</v>
      </c>
      <c r="AE178" s="76">
        <f>MAX(0,(AD178-Constantes!$D$13)*(1-EXP(-Constantes!$D$23)))</f>
        <v>0.55687322436955577</v>
      </c>
      <c r="AF178" s="76">
        <f>AB178+O178*Escenarios!$E$13/Escenarios!$E$16+AE178</f>
        <v>0.55687322436955577</v>
      </c>
      <c r="AG178" s="76">
        <f>IF(Entradas!$E$91&gt;0,IF(AF178-Escenarios!$E$38&lt;=0,0,IF(AF178-Escenarios!$E$38&gt;Escenarios!$E$37,Escenarios!$E$37,AF178-Escenarios!$E$38)),0)</f>
        <v>0</v>
      </c>
      <c r="AH178" s="76">
        <f>AG178*Entradas!$E$99</f>
        <v>0</v>
      </c>
      <c r="AI178" s="76">
        <f>IF(Entradas!$E$91&gt;0,D178*Entradas!$D$23/Escenarios!$E$16,0)</f>
        <v>0</v>
      </c>
      <c r="AJ178" s="76">
        <f>IF(Entradas!$E$91&gt;0,Entradas!$D$24*Entradas!$D$22/Escenarios!$E$16,0)</f>
        <v>0</v>
      </c>
      <c r="AK178" s="76">
        <f t="shared" si="38"/>
        <v>-4.3697716721852046E-5</v>
      </c>
      <c r="AL178" s="76">
        <f t="shared" si="39"/>
        <v>0</v>
      </c>
      <c r="AM178" s="76">
        <f t="shared" si="30"/>
        <v>0</v>
      </c>
      <c r="AN178" s="76">
        <f>MAX(0,O178*Escenarios!$E$13/Escenarios!$E$16-AM178)</f>
        <v>0</v>
      </c>
      <c r="AO178" s="76">
        <f>AM178+AN178-O178*Escenarios!$E$13/Escenarios!$E$16</f>
        <v>0</v>
      </c>
      <c r="AP178" s="76">
        <f t="shared" si="28"/>
        <v>0.55687322436955577</v>
      </c>
      <c r="AQ178" s="76">
        <f t="shared" si="31"/>
        <v>0</v>
      </c>
      <c r="AR178" s="76">
        <f t="shared" si="32"/>
        <v>0.55687322436955577</v>
      </c>
      <c r="AS178" s="76">
        <f t="shared" si="33"/>
        <v>0</v>
      </c>
      <c r="AT178" s="76">
        <f t="shared" si="34"/>
        <v>0</v>
      </c>
      <c r="AU178" s="76">
        <f t="shared" si="35"/>
        <v>48.75</v>
      </c>
      <c r="AV178" s="76">
        <f>MAX(0,(AU178-Constantes!$D$13)*(1-EXP(-Constantes!$D$24)))</f>
        <v>0</v>
      </c>
      <c r="AW178" s="170">
        <f>AW177+(Entradas!$E$112*AT178-AX177)/(800*Entradas!$D$25)</f>
        <v>0</v>
      </c>
      <c r="AX178" s="170">
        <f>8000*Entradas!$D$26*AW178/Constantes!$E$45</f>
        <v>0</v>
      </c>
      <c r="AY178" s="170">
        <f>IF(Escenarios!$E$17&gt;0,10*Escenarios!$E$16*AL178,0)</f>
        <v>0</v>
      </c>
      <c r="AZ178" s="170">
        <f>IF(Escenarios!$E$17&gt;0,10*Escenarios!$E$16*AX178,0)</f>
        <v>0</v>
      </c>
      <c r="BA178" s="170">
        <f>IF(Escenarios!$E$17&gt;0,0.001*Observaciones!$F177*Escenarios!$E$17,0)</f>
        <v>0</v>
      </c>
      <c r="BB178" s="170">
        <f>IF(Escenarios!$E$17&gt;0,Observaciones!$K177,0)</f>
        <v>0</v>
      </c>
      <c r="BC178" s="170">
        <f>IF(Escenarios!$E$17&gt;0,MIN(0.0005*ETo!$M177*Escenarios!$E$17*(BG177/Constantes!$E$40)^(2/3),BG177+AY178+AZ178+BA178+BB178),0)</f>
        <v>8.7246273668410463</v>
      </c>
      <c r="BD178" s="170">
        <f>IF(Escenarios!$E$17&gt;0,MIN(Constantes!$E$39*(BG177/Constantes!$E$40)^(2/3),BG177+AY178+AZ178+BA178+BB178-BC178),0)</f>
        <v>24.864547863593817</v>
      </c>
      <c r="BE178" s="170">
        <f>IF(Escenarios!$E$17&gt;0,MIN(Entradas!$E$113,BG177+AY178+AZ178+BA178+BB178-BC178-BD178),0)</f>
        <v>1</v>
      </c>
      <c r="BF178" s="170">
        <f>IF(Escenarios!$E$17&gt;0,MAX(0,BG177+AY178+AZ178+BA178+BB178-BC178-BD178-BE178-Constantes!$E$40),0)</f>
        <v>0</v>
      </c>
      <c r="BG178" s="170">
        <f t="shared" si="40"/>
        <v>1120.5773894320312</v>
      </c>
      <c r="BH178" s="170">
        <f>(Escenarios!$E$16*AK178+0.1*BC178)/(Escenarios!$E$19)</f>
        <v>3.4188028075541337E-3</v>
      </c>
      <c r="BI178" s="170">
        <f>IF(Escenarios!$E$17&gt;0,BF178/10/Escenarios!$E$19,AL178)</f>
        <v>0</v>
      </c>
      <c r="BJ178" s="170">
        <f>(Escenarios!$E$16*AT178+0.1*BD178)/(Escenarios!$E$19)</f>
        <v>9.8668840728546904E-3</v>
      </c>
      <c r="BK178" s="76">
        <f>BK177+(0.1*BD178)/(Escenarios!$E$19)-BL177</f>
        <v>50.225037415312464</v>
      </c>
      <c r="BL178" s="76">
        <f>MAX(0,(BK178-Constantes!$D$13)*(1-EXP(-Constantes!$D$23)))</f>
        <v>1.4533894979614277E-2</v>
      </c>
      <c r="BM178" s="76">
        <f t="shared" si="36"/>
        <v>0.5714071193491701</v>
      </c>
      <c r="BN178" s="76">
        <f t="shared" si="41"/>
        <v>0.5714071193491701</v>
      </c>
      <c r="BO178" s="76">
        <f>0.0526*BI178*Observaciones!$F177^1.218</f>
        <v>0</v>
      </c>
      <c r="BP178" s="76">
        <f>BO178*Constantes!$E$51</f>
        <v>0</v>
      </c>
      <c r="BQ178" s="76">
        <f t="shared" si="37"/>
        <v>0</v>
      </c>
      <c r="BR178" s="40"/>
    </row>
    <row r="179" spans="1:70">
      <c r="A179" s="147"/>
      <c r="B179" s="39"/>
      <c r="C179" s="75">
        <v>173</v>
      </c>
      <c r="D179" s="146">
        <f>ETo!$I178*((1-Constantes!$E$19)*ETo!$K178+ETo!$L178)</f>
        <v>2.4238877066519935</v>
      </c>
      <c r="E179" s="76">
        <f>MIN(D179*Constantes!$E$17,0.8*(N178+Observaciones!$F178-F179-M179-Constantes!$D$14))</f>
        <v>-9.6953204643952517E-3</v>
      </c>
      <c r="F179" s="76">
        <f>IF(Observaciones!$F178&gt;0.05*Constantes!$E$18,((Observaciones!$F178-0.05*Constantes!$E$18)^2)/(Observaciones!$F178+0.95*Constantes!$E$18),0)</f>
        <v>0</v>
      </c>
      <c r="G179" s="76">
        <f>IF(Escenarios!$E$11&gt;0,(F179*Escenarios!$E$16*10000)/1000,0)</f>
        <v>0</v>
      </c>
      <c r="H179" s="76">
        <f>IF(Escenarios!$E$11&gt;0,(Observaciones!$F178*Constantes!$E$29)/1000,0)</f>
        <v>0</v>
      </c>
      <c r="I179" s="76">
        <f>IF(Escenarios!$E$11&gt;0,(D179*Constantes!$E$29)/1000,0)</f>
        <v>24.238877066519933</v>
      </c>
      <c r="J179" s="76">
        <f>IF(Escenarios!$E$11&gt;0,MAX(0,G179+H179-I179),0)</f>
        <v>0</v>
      </c>
      <c r="K179" s="76">
        <f>IF(Escenarios!$E$11&gt;0,IF(J179&gt;Constantes!$E$30,1000*((J179-Constantes!$E$30)/(Escenarios!$E$16*10000)),0),F179)</f>
        <v>0</v>
      </c>
      <c r="L179" s="76">
        <f>IF(Escenarios!$E$11&gt;0,I179*1000/Escenarios!$E$16/10000+E179,E179)</f>
        <v>2.3036221272199064E-7</v>
      </c>
      <c r="M179" s="76">
        <f>MAX(0,N178+Observaciones!$F178-K179-Constantes!$D$13)</f>
        <v>0</v>
      </c>
      <c r="N179" s="76">
        <f>N178+Observaciones!$F178-K179-L179-M179-O178</f>
        <v>11.237880619057293</v>
      </c>
      <c r="O179" s="76">
        <f>MAX(0,(N179-Constantes!$D$14)*(1-EXP(-Constantes!$D$22)))</f>
        <v>0</v>
      </c>
      <c r="P179" s="170">
        <f>P178+(Entradas!$E$83*M179-Q178)/(800*Entradas!$D$25)</f>
        <v>0</v>
      </c>
      <c r="Q179" s="170">
        <f>8000*Entradas!$D$26*P179/Constantes!$E$45</f>
        <v>0</v>
      </c>
      <c r="R179" s="170">
        <f>IF(Escenarios!$E$14&gt;0,K179*Escenarios!$E$13/Escenarios!$E$14,0)</f>
        <v>0</v>
      </c>
      <c r="S179" s="170">
        <f>IF(Escenarios!$E$14&gt;0,Q179*Escenarios!$E$13/Escenarios!$E$14,0)</f>
        <v>0</v>
      </c>
      <c r="T179" s="170">
        <f>IF(Escenarios!$E$14&gt;0,Observaciones!$I178,0)</f>
        <v>0</v>
      </c>
      <c r="U179" s="170">
        <f>IF(Escenarios!$E$14&gt;0,MAX(0,Constantes!$E$36/((Z178+R179+S179+T179+Observaciones!$F178)^2)+Entradas!$E$77),0)</f>
        <v>0</v>
      </c>
      <c r="V179" s="146">
        <f>IF(ETo!D178&gt;0,ETo!I178*((1-Entradas!$E$81)*ETo!K178+ETo!L178),0)</f>
        <v>2.1784880714791242</v>
      </c>
      <c r="W179" s="170">
        <f>IF(Escenarios!$E$14&gt;0,MIN(V179*1,0.8*(Z178+R179+S179+T179+Observaciones!$F178-U179-Constantes!$E$35)),0)</f>
        <v>1.0324060895072763E-8</v>
      </c>
      <c r="X179" s="170">
        <f>IF(Escenarios!$E$14&gt;0,Observaciones!$J178,0)</f>
        <v>0</v>
      </c>
      <c r="Y179" s="170">
        <f>IF(Escenarios!$E$14&gt;0,MAX(0,Z178+R179+S179+T179+Observaciones!$F178-U179-W179-X179-Constantes!$E$33),0)</f>
        <v>0</v>
      </c>
      <c r="Z179" s="170">
        <f>Z178+R179+S179+T179+Observaciones!$F178-U179-W179-Y179</f>
        <v>41.250000002581018</v>
      </c>
      <c r="AA179" s="170">
        <f>IF(Escenarios!$E$14&gt;0,(Escenarios!$E$13*L179+Escenarios!$E$14*W179)/(Escenarios!$E$16),L179)</f>
        <v>2.0395763450276051E-7</v>
      </c>
      <c r="AB179" s="170">
        <f>IF(Escenarios!$E$14&gt;0,(Escenarios!$E$14*Y179)/(Escenarios!$E$16),K179)</f>
        <v>0</v>
      </c>
      <c r="AC179" s="170">
        <f>IF(Escenarios!$E$14&gt;0,(Escenarios!$E$13*M179+Escenarios!$E$14*U179)/(Escenarios!$E$16),M179)</f>
        <v>0</v>
      </c>
      <c r="AD179" s="76">
        <f t="shared" si="29"/>
        <v>104.70989964917348</v>
      </c>
      <c r="AE179" s="76">
        <f>MAX(0,(AD179-Constantes!$D$13)*(1-EXP(-Constantes!$D$23)))</f>
        <v>0.55138621985297431</v>
      </c>
      <c r="AF179" s="76">
        <f>AB179+O179*Escenarios!$E$13/Escenarios!$E$16+AE179</f>
        <v>0.55138621985297431</v>
      </c>
      <c r="AG179" s="76">
        <f>IF(Entradas!$E$91&gt;0,IF(AF179-Escenarios!$E$38&lt;=0,0,IF(AF179-Escenarios!$E$38&gt;Escenarios!$E$37,Escenarios!$E$37,AF179-Escenarios!$E$38)),0)</f>
        <v>0</v>
      </c>
      <c r="AH179" s="76">
        <f>AG179*Entradas!$E$99</f>
        <v>0</v>
      </c>
      <c r="AI179" s="76">
        <f>IF(Entradas!$E$91&gt;0,D179*Entradas!$D$23/Escenarios!$E$16,0)</f>
        <v>0</v>
      </c>
      <c r="AJ179" s="76">
        <f>IF(Entradas!$E$91&gt;0,Entradas!$D$24*Entradas!$D$22/Escenarios!$E$16,0)</f>
        <v>0</v>
      </c>
      <c r="AK179" s="76">
        <f t="shared" si="38"/>
        <v>2.0395763450276051E-7</v>
      </c>
      <c r="AL179" s="76">
        <f t="shared" si="39"/>
        <v>0</v>
      </c>
      <c r="AM179" s="76">
        <f t="shared" si="30"/>
        <v>0</v>
      </c>
      <c r="AN179" s="76">
        <f>MAX(0,O179*Escenarios!$E$13/Escenarios!$E$16-AM179)</f>
        <v>0</v>
      </c>
      <c r="AO179" s="76">
        <f>AM179+AN179-O179*Escenarios!$E$13/Escenarios!$E$16</f>
        <v>0</v>
      </c>
      <c r="AP179" s="76">
        <f t="shared" si="28"/>
        <v>0.55138621985297431</v>
      </c>
      <c r="AQ179" s="76">
        <f t="shared" si="31"/>
        <v>0</v>
      </c>
      <c r="AR179" s="76">
        <f t="shared" si="32"/>
        <v>0.55138621985297431</v>
      </c>
      <c r="AS179" s="76">
        <f t="shared" si="33"/>
        <v>0</v>
      </c>
      <c r="AT179" s="76">
        <f t="shared" si="34"/>
        <v>0</v>
      </c>
      <c r="AU179" s="76">
        <f t="shared" si="35"/>
        <v>48.75</v>
      </c>
      <c r="AV179" s="76">
        <f>MAX(0,(AU179-Constantes!$D$13)*(1-EXP(-Constantes!$D$24)))</f>
        <v>0</v>
      </c>
      <c r="AW179" s="170">
        <f>AW178+(Entradas!$E$112*AT179-AX178)/(800*Entradas!$D$25)</f>
        <v>0</v>
      </c>
      <c r="AX179" s="170">
        <f>8000*Entradas!$D$26*AW179/Constantes!$E$45</f>
        <v>0</v>
      </c>
      <c r="AY179" s="170">
        <f>IF(Escenarios!$E$17&gt;0,10*Escenarios!$E$16*AL179,0)</f>
        <v>0</v>
      </c>
      <c r="AZ179" s="170">
        <f>IF(Escenarios!$E$17&gt;0,10*Escenarios!$E$16*AX179,0)</f>
        <v>0</v>
      </c>
      <c r="BA179" s="170">
        <f>IF(Escenarios!$E$17&gt;0,0.001*Observaciones!$F178*Escenarios!$E$17,0)</f>
        <v>0</v>
      </c>
      <c r="BB179" s="170">
        <f>IF(Escenarios!$E$17&gt;0,Observaciones!$K178,0)</f>
        <v>0</v>
      </c>
      <c r="BC179" s="170">
        <f>IF(Escenarios!$E$17&gt;0,MIN(0.0005*ETo!$M178*Escenarios!$E$17*(BG178/Constantes!$E$40)^(2/3),BG178+AY179+AZ179+BA179+BB179),0)</f>
        <v>8.5585440944588385</v>
      </c>
      <c r="BD179" s="170">
        <f>IF(Escenarios!$E$17&gt;0,MIN(Constantes!$E$39*(BG178/Constantes!$E$40)^(2/3),BG178+AY179+AZ179+BA179+BB179-BC179),0)</f>
        <v>24.365690861977988</v>
      </c>
      <c r="BE179" s="170">
        <f>IF(Escenarios!$E$17&gt;0,MIN(Entradas!$E$113,BG178+AY179+AZ179+BA179+BB179-BC179-BD179),0)</f>
        <v>1</v>
      </c>
      <c r="BF179" s="170">
        <f>IF(Escenarios!$E$17&gt;0,MAX(0,BG178+AY179+AZ179+BA179+BB179-BC179-BD179-BE179-Constantes!$E$40),0)</f>
        <v>0</v>
      </c>
      <c r="BG179" s="170">
        <f t="shared" si="40"/>
        <v>1086.6531544755944</v>
      </c>
      <c r="BH179" s="170">
        <f>(Escenarios!$E$16*AK179+0.1*BC179)/(Escenarios!$E$19)</f>
        <v>3.3964499954544031E-3</v>
      </c>
      <c r="BI179" s="170">
        <f>IF(Escenarios!$E$17&gt;0,BF179/10/Escenarios!$E$19,AL179)</f>
        <v>0</v>
      </c>
      <c r="BJ179" s="170">
        <f>(Escenarios!$E$16*AT179+0.1*BD179)/(Escenarios!$E$19)</f>
        <v>9.6689249452293607E-3</v>
      </c>
      <c r="BK179" s="76">
        <f>BK178+(0.1*BD179)/(Escenarios!$E$19)-BL178</f>
        <v>50.220172445278081</v>
      </c>
      <c r="BL179" s="76">
        <f>MAX(0,(BK179-Constantes!$D$13)*(1-EXP(-Constantes!$D$23)))</f>
        <v>1.4485959271119916E-2</v>
      </c>
      <c r="BM179" s="76">
        <f t="shared" si="36"/>
        <v>0.56587217912409427</v>
      </c>
      <c r="BN179" s="76">
        <f t="shared" si="41"/>
        <v>0.56587217912409427</v>
      </c>
      <c r="BO179" s="76">
        <f>0.0526*BI179*Observaciones!$F178^1.218</f>
        <v>0</v>
      </c>
      <c r="BP179" s="76">
        <f>BO179*Constantes!$E$51</f>
        <v>0</v>
      </c>
      <c r="BQ179" s="76">
        <f t="shared" si="37"/>
        <v>0</v>
      </c>
      <c r="BR179" s="40"/>
    </row>
    <row r="180" spans="1:70">
      <c r="A180" s="147"/>
      <c r="B180" s="39"/>
      <c r="C180" s="75">
        <v>174</v>
      </c>
      <c r="D180" s="146">
        <f>ETo!$I179*((1-Constantes!$E$19)*ETo!$K179+ETo!$L179)</f>
        <v>2.4876898611466376</v>
      </c>
      <c r="E180" s="76">
        <f>MIN(D180*Constantes!$E$17,0.8*(N179+Observaciones!$F179-F180-M180-Constantes!$D$14))</f>
        <v>-9.6955047541655414E-3</v>
      </c>
      <c r="F180" s="76">
        <f>IF(Observaciones!$F179&gt;0.05*Constantes!$E$18,((Observaciones!$F179-0.05*Constantes!$E$18)^2)/(Observaciones!$F179+0.95*Constantes!$E$18),0)</f>
        <v>0</v>
      </c>
      <c r="G180" s="76">
        <f>IF(Escenarios!$E$11&gt;0,(F180*Escenarios!$E$16*10000)/1000,0)</f>
        <v>0</v>
      </c>
      <c r="H180" s="76">
        <f>IF(Escenarios!$E$11&gt;0,(Observaciones!$F179*Constantes!$E$29)/1000,0)</f>
        <v>0</v>
      </c>
      <c r="I180" s="76">
        <f>IF(Escenarios!$E$11&gt;0,(D180*Constantes!$E$29)/1000,0)</f>
        <v>24.876898611466373</v>
      </c>
      <c r="J180" s="76">
        <f>IF(Escenarios!$E$11&gt;0,MAX(0,G180+H180-I180),0)</f>
        <v>0</v>
      </c>
      <c r="K180" s="76">
        <f>IF(Escenarios!$E$11&gt;0,IF(J180&gt;Constantes!$E$30,1000*((J180-Constantes!$E$30)/(Escenarios!$E$16*10000)),0),F180)</f>
        <v>0</v>
      </c>
      <c r="L180" s="76">
        <f>IF(Escenarios!$E$11&gt;0,I180*1000/Escenarios!$E$16/10000+E180,E180)</f>
        <v>2.5525469042100846E-4</v>
      </c>
      <c r="M180" s="76">
        <f>MAX(0,N179+Observaciones!$F179-K180-Constantes!$D$13)</f>
        <v>0</v>
      </c>
      <c r="N180" s="76">
        <f>N179+Observaciones!$F179-K180-L180-M180-O179</f>
        <v>11.237625364366872</v>
      </c>
      <c r="O180" s="76">
        <f>MAX(0,(N180-Constantes!$D$14)*(1-EXP(-Constantes!$D$22)))</f>
        <v>0</v>
      </c>
      <c r="P180" s="170">
        <f>P179+(Entradas!$E$83*M180-Q179)/(800*Entradas!$D$25)</f>
        <v>0</v>
      </c>
      <c r="Q180" s="170">
        <f>8000*Entradas!$D$26*P180/Constantes!$E$45</f>
        <v>0</v>
      </c>
      <c r="R180" s="170">
        <f>IF(Escenarios!$E$14&gt;0,K180*Escenarios!$E$13/Escenarios!$E$14,0)</f>
        <v>0</v>
      </c>
      <c r="S180" s="170">
        <f>IF(Escenarios!$E$14&gt;0,Q180*Escenarios!$E$13/Escenarios!$E$14,0)</f>
        <v>0</v>
      </c>
      <c r="T180" s="170">
        <f>IF(Escenarios!$E$14&gt;0,Observaciones!$I179,0)</f>
        <v>0</v>
      </c>
      <c r="U180" s="170">
        <f>IF(Escenarios!$E$14&gt;0,MAX(0,Constantes!$E$36/((Z179+R180+S180+T180+Observaciones!$F179)^2)+Entradas!$E$77),0)</f>
        <v>0</v>
      </c>
      <c r="V180" s="146">
        <f>IF(ETo!D179&gt;0,ETo!I179*((1-Entradas!$E$81)*ETo!K179+ETo!L179),0)</f>
        <v>2.2362806992755679</v>
      </c>
      <c r="W180" s="170">
        <f>IF(Escenarios!$E$14&gt;0,MIN(V180*1,0.8*(Z179+R180+S180+T180+Observaciones!$F179-U180-Constantes!$E$35)),0)</f>
        <v>2.0648144527513067E-9</v>
      </c>
      <c r="X180" s="170">
        <f>IF(Escenarios!$E$14&gt;0,Observaciones!$J179,0)</f>
        <v>0</v>
      </c>
      <c r="Y180" s="170">
        <f>IF(Escenarios!$E$14&gt;0,MAX(0,Z179+R180+S180+T180+Observaciones!$F179-U180-W180-X180-Constantes!$E$33),0)</f>
        <v>0</v>
      </c>
      <c r="Z180" s="170">
        <f>Z179+R180+S180+T180+Observaciones!$F179-U180-W180-Y180</f>
        <v>41.250000000516202</v>
      </c>
      <c r="AA180" s="170">
        <f>IF(Escenarios!$E$14&gt;0,(Escenarios!$E$13*L180+Escenarios!$E$14*W180)/(Escenarios!$E$16),L180)</f>
        <v>2.2462437534822178E-4</v>
      </c>
      <c r="AB180" s="170">
        <f>IF(Escenarios!$E$14&gt;0,(Escenarios!$E$14*Y180)/(Escenarios!$E$16),K180)</f>
        <v>0</v>
      </c>
      <c r="AC180" s="170">
        <f>IF(Escenarios!$E$14&gt;0,(Escenarios!$E$13*M180+Escenarios!$E$14*U180)/(Escenarios!$E$16),M180)</f>
        <v>0</v>
      </c>
      <c r="AD180" s="76">
        <f t="shared" si="29"/>
        <v>104.15851342932051</v>
      </c>
      <c r="AE180" s="76">
        <f>MAX(0,(AD180-Constantes!$D$13)*(1-EXP(-Constantes!$D$23)))</f>
        <v>0.54595328009879729</v>
      </c>
      <c r="AF180" s="76">
        <f>AB180+O180*Escenarios!$E$13/Escenarios!$E$16+AE180</f>
        <v>0.54595328009879729</v>
      </c>
      <c r="AG180" s="76">
        <f>IF(Entradas!$E$91&gt;0,IF(AF180-Escenarios!$E$38&lt;=0,0,IF(AF180-Escenarios!$E$38&gt;Escenarios!$E$37,Escenarios!$E$37,AF180-Escenarios!$E$38)),0)</f>
        <v>0</v>
      </c>
      <c r="AH180" s="76">
        <f>AG180*Entradas!$E$99</f>
        <v>0</v>
      </c>
      <c r="AI180" s="76">
        <f>IF(Entradas!$E$91&gt;0,D180*Entradas!$D$23/Escenarios!$E$16,0)</f>
        <v>0</v>
      </c>
      <c r="AJ180" s="76">
        <f>IF(Entradas!$E$91&gt;0,Entradas!$D$24*Entradas!$D$22/Escenarios!$E$16,0)</f>
        <v>0</v>
      </c>
      <c r="AK180" s="76">
        <f t="shared" si="38"/>
        <v>2.2462437534822178E-4</v>
      </c>
      <c r="AL180" s="76">
        <f t="shared" si="39"/>
        <v>0</v>
      </c>
      <c r="AM180" s="76">
        <f t="shared" si="30"/>
        <v>0</v>
      </c>
      <c r="AN180" s="76">
        <f>MAX(0,O180*Escenarios!$E$13/Escenarios!$E$16-AM180)</f>
        <v>0</v>
      </c>
      <c r="AO180" s="76">
        <f>AM180+AN180-O180*Escenarios!$E$13/Escenarios!$E$16</f>
        <v>0</v>
      </c>
      <c r="AP180" s="76">
        <f t="shared" si="28"/>
        <v>0.54595328009879729</v>
      </c>
      <c r="AQ180" s="76">
        <f t="shared" si="31"/>
        <v>0</v>
      </c>
      <c r="AR180" s="76">
        <f t="shared" si="32"/>
        <v>0.54595328009879729</v>
      </c>
      <c r="AS180" s="76">
        <f t="shared" si="33"/>
        <v>0</v>
      </c>
      <c r="AT180" s="76">
        <f t="shared" si="34"/>
        <v>0</v>
      </c>
      <c r="AU180" s="76">
        <f t="shared" si="35"/>
        <v>48.75</v>
      </c>
      <c r="AV180" s="76">
        <f>MAX(0,(AU180-Constantes!$D$13)*(1-EXP(-Constantes!$D$24)))</f>
        <v>0</v>
      </c>
      <c r="AW180" s="170">
        <f>AW179+(Entradas!$E$112*AT180-AX179)/(800*Entradas!$D$25)</f>
        <v>0</v>
      </c>
      <c r="AX180" s="170">
        <f>8000*Entradas!$D$26*AW180/Constantes!$E$45</f>
        <v>0</v>
      </c>
      <c r="AY180" s="170">
        <f>IF(Escenarios!$E$17&gt;0,10*Escenarios!$E$16*AL180,0)</f>
        <v>0</v>
      </c>
      <c r="AZ180" s="170">
        <f>IF(Escenarios!$E$17&gt;0,10*Escenarios!$E$16*AX180,0)</f>
        <v>0</v>
      </c>
      <c r="BA180" s="170">
        <f>IF(Escenarios!$E$17&gt;0,0.001*Observaciones!$F179*Escenarios!$E$17,0)</f>
        <v>0</v>
      </c>
      <c r="BB180" s="170">
        <f>IF(Escenarios!$E$17&gt;0,Observaciones!$K179,0)</f>
        <v>0</v>
      </c>
      <c r="BC180" s="170">
        <f>IF(Escenarios!$E$17&gt;0,MIN(0.0005*ETo!$M179*Escenarios!$E$17*(BG179/Constantes!$E$40)^(2/3),BG179+AY180+AZ180+BA180+BB180),0)</f>
        <v>8.6035244510838744</v>
      </c>
      <c r="BD180" s="170">
        <f>IF(Escenarios!$E$17&gt;0,MIN(Constantes!$E$39*(BG179/Constantes!$E$40)^(2/3),BG179+AY180+AZ180+BA180+BB180-BC180),0)</f>
        <v>23.871412806860505</v>
      </c>
      <c r="BE180" s="170">
        <f>IF(Escenarios!$E$17&gt;0,MIN(Entradas!$E$113,BG179+AY180+AZ180+BA180+BB180-BC180-BD180),0)</f>
        <v>1</v>
      </c>
      <c r="BF180" s="170">
        <f>IF(Escenarios!$E$17&gt;0,MAX(0,BG179+AY180+AZ180+BA180+BB180-BC180-BD180-BE180-Constantes!$E$40),0)</f>
        <v>0</v>
      </c>
      <c r="BG180" s="170">
        <f t="shared" si="40"/>
        <v>1053.1782172176502</v>
      </c>
      <c r="BH180" s="170">
        <f>(Escenarios!$E$16*AK180+0.1*BC180)/(Escenarios!$E$19)</f>
        <v>3.6369386466089007E-3</v>
      </c>
      <c r="BI180" s="170">
        <f>IF(Escenarios!$E$17&gt;0,BF180/10/Escenarios!$E$19,AL180)</f>
        <v>0</v>
      </c>
      <c r="BJ180" s="170">
        <f>(Escenarios!$E$16*AT180+0.1*BD180)/(Escenarios!$E$19)</f>
        <v>9.4727828598652804E-3</v>
      </c>
      <c r="BK180" s="76">
        <f>BK179+(0.1*BD180)/(Escenarios!$E$19)-BL179</f>
        <v>50.215159268866827</v>
      </c>
      <c r="BL180" s="76">
        <f>MAX(0,(BK180-Constantes!$D$13)*(1-EXP(-Constantes!$D$23)))</f>
        <v>1.4436563249894242E-2</v>
      </c>
      <c r="BM180" s="76">
        <f t="shared" si="36"/>
        <v>0.56038984334869157</v>
      </c>
      <c r="BN180" s="76">
        <f t="shared" si="41"/>
        <v>0.56038984334869157</v>
      </c>
      <c r="BO180" s="76">
        <f>0.0526*BI180*Observaciones!$F179^1.218</f>
        <v>0</v>
      </c>
      <c r="BP180" s="76">
        <f>BO180*Constantes!$E$51</f>
        <v>0</v>
      </c>
      <c r="BQ180" s="76">
        <f t="shared" si="37"/>
        <v>0</v>
      </c>
      <c r="BR180" s="40"/>
    </row>
    <row r="181" spans="1:70">
      <c r="A181" s="147"/>
      <c r="B181" s="39"/>
      <c r="C181" s="75">
        <v>175</v>
      </c>
      <c r="D181" s="146">
        <f>ETo!$I180*((1-Constantes!$E$19)*ETo!$K180+ETo!$L180)</f>
        <v>2.4303337045118769</v>
      </c>
      <c r="E181" s="76">
        <f>MIN(D181*Constantes!$E$17,0.8*(N180+Observaciones!$F180-F181-M181-Constantes!$D$14))</f>
        <v>-9.8997085065022361E-3</v>
      </c>
      <c r="F181" s="76">
        <f>IF(Observaciones!$F180&gt;0.05*Constantes!$E$18,((Observaciones!$F180-0.05*Constantes!$E$18)^2)/(Observaciones!$F180+0.95*Constantes!$E$18),0)</f>
        <v>0</v>
      </c>
      <c r="G181" s="76">
        <f>IF(Escenarios!$E$11&gt;0,(F181*Escenarios!$E$16*10000)/1000,0)</f>
        <v>0</v>
      </c>
      <c r="H181" s="76">
        <f>IF(Escenarios!$E$11&gt;0,(Observaciones!$F180*Constantes!$E$29)/1000,0)</f>
        <v>0</v>
      </c>
      <c r="I181" s="76">
        <f>IF(Escenarios!$E$11&gt;0,(D181*Constantes!$E$29)/1000,0)</f>
        <v>24.30333704511877</v>
      </c>
      <c r="J181" s="76">
        <f>IF(Escenarios!$E$11&gt;0,MAX(0,G181+H181-I181),0)</f>
        <v>0</v>
      </c>
      <c r="K181" s="76">
        <f>IF(Escenarios!$E$11&gt;0,IF(J181&gt;Constantes!$E$30,1000*((J181-Constantes!$E$30)/(Escenarios!$E$16*10000)),0),F181)</f>
        <v>0</v>
      </c>
      <c r="L181" s="76">
        <f>IF(Escenarios!$E$11&gt;0,I181*1000/Escenarios!$E$16/10000+E181,E181)</f>
        <v>-1.7837368845472802E-4</v>
      </c>
      <c r="M181" s="76">
        <f>MAX(0,N180+Observaciones!$F180-K181-Constantes!$D$13)</f>
        <v>0</v>
      </c>
      <c r="N181" s="76">
        <f>N180+Observaciones!$F180-K181-L181-M181-O180</f>
        <v>11.237803738055327</v>
      </c>
      <c r="O181" s="76">
        <f>MAX(0,(N181-Constantes!$D$14)*(1-EXP(-Constantes!$D$22)))</f>
        <v>0</v>
      </c>
      <c r="P181" s="170">
        <f>P180+(Entradas!$E$83*M181-Q180)/(800*Entradas!$D$25)</f>
        <v>0</v>
      </c>
      <c r="Q181" s="170">
        <f>8000*Entradas!$D$26*P181/Constantes!$E$45</f>
        <v>0</v>
      </c>
      <c r="R181" s="170">
        <f>IF(Escenarios!$E$14&gt;0,K181*Escenarios!$E$13/Escenarios!$E$14,0)</f>
        <v>0</v>
      </c>
      <c r="S181" s="170">
        <f>IF(Escenarios!$E$14&gt;0,Q181*Escenarios!$E$13/Escenarios!$E$14,0)</f>
        <v>0</v>
      </c>
      <c r="T181" s="170">
        <f>IF(Escenarios!$E$14&gt;0,Observaciones!$I180,0)</f>
        <v>0</v>
      </c>
      <c r="U181" s="170">
        <f>IF(Escenarios!$E$14&gt;0,MAX(0,Constantes!$E$36/((Z180+R181+S181+T181+Observaciones!$F180)^2)+Entradas!$E$77),0)</f>
        <v>0</v>
      </c>
      <c r="V181" s="146">
        <f>IF(ETo!D180&gt;0,ETo!I180*((1-Entradas!$E$81)*ETo!K180+ETo!L180),0)</f>
        <v>2.1843390424657008</v>
      </c>
      <c r="W181" s="170">
        <f>IF(Escenarios!$E$14&gt;0,MIN(V181*1,0.8*(Z180+R181+S181+T181+Observaciones!$F180-U181-Constantes!$E$35)),0)</f>
        <v>4.1296175368188418E-10</v>
      </c>
      <c r="X181" s="170">
        <f>IF(Escenarios!$E$14&gt;0,Observaciones!$J180,0)</f>
        <v>0</v>
      </c>
      <c r="Y181" s="170">
        <f>IF(Escenarios!$E$14&gt;0,MAX(0,Z180+R181+S181+T181+Observaciones!$F180-U181-W181-X181-Constantes!$E$33),0)</f>
        <v>0</v>
      </c>
      <c r="Z181" s="170">
        <f>Z180+R181+S181+T181+Observaciones!$F180-U181-W181-Y181</f>
        <v>41.250000000103242</v>
      </c>
      <c r="AA181" s="170">
        <f>IF(Escenarios!$E$14&gt;0,(Escenarios!$E$13*L181+Escenarios!$E$14*W181)/(Escenarios!$E$16),L181)</f>
        <v>-1.5696879628475022E-4</v>
      </c>
      <c r="AB181" s="170">
        <f>IF(Escenarios!$E$14&gt;0,(Escenarios!$E$14*Y181)/(Escenarios!$E$16),K181)</f>
        <v>0</v>
      </c>
      <c r="AC181" s="170">
        <f>IF(Escenarios!$E$14&gt;0,(Escenarios!$E$13*M181+Escenarios!$E$14*U181)/(Escenarios!$E$16),M181)</f>
        <v>0</v>
      </c>
      <c r="AD181" s="76">
        <f t="shared" si="29"/>
        <v>103.61256014922171</v>
      </c>
      <c r="AE181" s="76">
        <f>MAX(0,(AD181-Constantes!$D$13)*(1-EXP(-Constantes!$D$23)))</f>
        <v>0.54057387239404353</v>
      </c>
      <c r="AF181" s="76">
        <f>AB181+O181*Escenarios!$E$13/Escenarios!$E$16+AE181</f>
        <v>0.54057387239404353</v>
      </c>
      <c r="AG181" s="76">
        <f>IF(Entradas!$E$91&gt;0,IF(AF181-Escenarios!$E$38&lt;=0,0,IF(AF181-Escenarios!$E$38&gt;Escenarios!$E$37,Escenarios!$E$37,AF181-Escenarios!$E$38)),0)</f>
        <v>0</v>
      </c>
      <c r="AH181" s="76">
        <f>AG181*Entradas!$E$99</f>
        <v>0</v>
      </c>
      <c r="AI181" s="76">
        <f>IF(Entradas!$E$91&gt;0,D181*Entradas!$D$23/Escenarios!$E$16,0)</f>
        <v>0</v>
      </c>
      <c r="AJ181" s="76">
        <f>IF(Entradas!$E$91&gt;0,Entradas!$D$24*Entradas!$D$22/Escenarios!$E$16,0)</f>
        <v>0</v>
      </c>
      <c r="AK181" s="76">
        <f t="shared" si="38"/>
        <v>-1.5696879628475022E-4</v>
      </c>
      <c r="AL181" s="76">
        <f t="shared" si="39"/>
        <v>0</v>
      </c>
      <c r="AM181" s="76">
        <f t="shared" si="30"/>
        <v>0</v>
      </c>
      <c r="AN181" s="76">
        <f>MAX(0,O181*Escenarios!$E$13/Escenarios!$E$16-AM181)</f>
        <v>0</v>
      </c>
      <c r="AO181" s="76">
        <f>AM181+AN181-O181*Escenarios!$E$13/Escenarios!$E$16</f>
        <v>0</v>
      </c>
      <c r="AP181" s="76">
        <f t="shared" si="28"/>
        <v>0.54057387239404353</v>
      </c>
      <c r="AQ181" s="76">
        <f t="shared" si="31"/>
        <v>0</v>
      </c>
      <c r="AR181" s="76">
        <f t="shared" si="32"/>
        <v>0.54057387239404353</v>
      </c>
      <c r="AS181" s="76">
        <f t="shared" si="33"/>
        <v>0</v>
      </c>
      <c r="AT181" s="76">
        <f t="shared" si="34"/>
        <v>0</v>
      </c>
      <c r="AU181" s="76">
        <f t="shared" si="35"/>
        <v>48.75</v>
      </c>
      <c r="AV181" s="76">
        <f>MAX(0,(AU181-Constantes!$D$13)*(1-EXP(-Constantes!$D$24)))</f>
        <v>0</v>
      </c>
      <c r="AW181" s="170">
        <f>AW180+(Entradas!$E$112*AT181-AX180)/(800*Entradas!$D$25)</f>
        <v>0</v>
      </c>
      <c r="AX181" s="170">
        <f>8000*Entradas!$D$26*AW181/Constantes!$E$45</f>
        <v>0</v>
      </c>
      <c r="AY181" s="170">
        <f>IF(Escenarios!$E$17&gt;0,10*Escenarios!$E$16*AL181,0)</f>
        <v>0</v>
      </c>
      <c r="AZ181" s="170">
        <f>IF(Escenarios!$E$17&gt;0,10*Escenarios!$E$16*AX181,0)</f>
        <v>0</v>
      </c>
      <c r="BA181" s="170">
        <f>IF(Escenarios!$E$17&gt;0,0.001*Observaciones!$F180*Escenarios!$E$17,0)</f>
        <v>0</v>
      </c>
      <c r="BB181" s="170">
        <f>IF(Escenarios!$E$17&gt;0,Observaciones!$K180,0)</f>
        <v>0</v>
      </c>
      <c r="BC181" s="170">
        <f>IF(Escenarios!$E$17&gt;0,MIN(0.0005*ETo!$M180*Escenarios!$E$17*(BG180/Constantes!$E$40)^(2/3),BG180+AY181+AZ181+BA181+BB181),0)</f>
        <v>8.2334025366148822</v>
      </c>
      <c r="BD181" s="170">
        <f>IF(Escenarios!$E$17&gt;0,MIN(Constantes!$E$39*(BG180/Constantes!$E$40)^(2/3),BG180+AY181+AZ181+BA181+BB181-BC181),0)</f>
        <v>23.378612812397655</v>
      </c>
      <c r="BE181" s="170">
        <f>IF(Escenarios!$E$17&gt;0,MIN(Entradas!$E$113,BG180+AY181+AZ181+BA181+BB181-BC181-BD181),0)</f>
        <v>1</v>
      </c>
      <c r="BF181" s="170">
        <f>IF(Escenarios!$E$17&gt;0,MAX(0,BG180+AY181+AZ181+BA181+BB181-BC181-BD181-BE181-Constantes!$E$40),0)</f>
        <v>0</v>
      </c>
      <c r="BG181" s="170">
        <f t="shared" si="40"/>
        <v>1020.5662018686376</v>
      </c>
      <c r="BH181" s="170">
        <f>(Escenarios!$E$16*AK181+0.1*BC181)/(Escenarios!$E$19)</f>
        <v>3.1115002166281773E-3</v>
      </c>
      <c r="BI181" s="170">
        <f>IF(Escenarios!$E$17&gt;0,BF181/10/Escenarios!$E$19,AL181)</f>
        <v>0</v>
      </c>
      <c r="BJ181" s="170">
        <f>(Escenarios!$E$16*AT181+0.1*BD181)/(Escenarios!$E$19)</f>
        <v>9.2772273065070063E-3</v>
      </c>
      <c r="BK181" s="76">
        <f>BK180+(0.1*BD181)/(Escenarios!$E$19)-BL180</f>
        <v>50.209999932923438</v>
      </c>
      <c r="BL181" s="76">
        <f>MAX(0,(BK181-Constantes!$D$13)*(1-EXP(-Constantes!$D$23)))</f>
        <v>1.4385727083985944E-2</v>
      </c>
      <c r="BM181" s="76">
        <f t="shared" si="36"/>
        <v>0.55495959947802942</v>
      </c>
      <c r="BN181" s="76">
        <f t="shared" si="41"/>
        <v>0.55495959947802942</v>
      </c>
      <c r="BO181" s="76">
        <f>0.0526*BI181*Observaciones!$F180^1.218</f>
        <v>0</v>
      </c>
      <c r="BP181" s="76">
        <f>BO181*Constantes!$E$51</f>
        <v>0</v>
      </c>
      <c r="BQ181" s="76">
        <f t="shared" si="37"/>
        <v>0</v>
      </c>
      <c r="BR181" s="40"/>
    </row>
    <row r="182" spans="1:70">
      <c r="A182" s="147"/>
      <c r="B182" s="39"/>
      <c r="C182" s="75">
        <v>176</v>
      </c>
      <c r="D182" s="146">
        <f>ETo!$I181*((1-Constantes!$E$19)*ETo!$K181+ETo!$L181)</f>
        <v>2.4313555266656808</v>
      </c>
      <c r="E182" s="76">
        <f>MIN(D182*Constantes!$E$17,0.8*(N181+Observaciones!$F181-F182-M182-Constantes!$D$14))</f>
        <v>-9.7570095557387056E-3</v>
      </c>
      <c r="F182" s="76">
        <f>IF(Observaciones!$F181&gt;0.05*Constantes!$E$18,((Observaciones!$F181-0.05*Constantes!$E$18)^2)/(Observaciones!$F181+0.95*Constantes!$E$18),0)</f>
        <v>0</v>
      </c>
      <c r="G182" s="76">
        <f>IF(Escenarios!$E$11&gt;0,(F182*Escenarios!$E$16*10000)/1000,0)</f>
        <v>0</v>
      </c>
      <c r="H182" s="76">
        <f>IF(Escenarios!$E$11&gt;0,(Observaciones!$F181*Constantes!$E$29)/1000,0)</f>
        <v>0</v>
      </c>
      <c r="I182" s="76">
        <f>IF(Escenarios!$E$11&gt;0,(D182*Constantes!$E$29)/1000,0)</f>
        <v>24.313555266656806</v>
      </c>
      <c r="J182" s="76">
        <f>IF(Escenarios!$E$11&gt;0,MAX(0,G182+H182-I182),0)</f>
        <v>0</v>
      </c>
      <c r="K182" s="76">
        <f>IF(Escenarios!$E$11&gt;0,IF(J182&gt;Constantes!$E$30,1000*((J182-Constantes!$E$30)/(Escenarios!$E$16*10000)),0),F182)</f>
        <v>0</v>
      </c>
      <c r="L182" s="76">
        <f>IF(Escenarios!$E$11&gt;0,I182*1000/Escenarios!$E$16/10000+E182,E182)</f>
        <v>-3.1587449075982585E-5</v>
      </c>
      <c r="M182" s="76">
        <f>MAX(0,N181+Observaciones!$F181-K182-Constantes!$D$13)</f>
        <v>0</v>
      </c>
      <c r="N182" s="76">
        <f>N181+Observaciones!$F181-K182-L182-M182-O181</f>
        <v>11.237835325504403</v>
      </c>
      <c r="O182" s="76">
        <f>MAX(0,(N182-Constantes!$D$14)*(1-EXP(-Constantes!$D$22)))</f>
        <v>0</v>
      </c>
      <c r="P182" s="170">
        <f>P181+(Entradas!$E$83*M182-Q181)/(800*Entradas!$D$25)</f>
        <v>0</v>
      </c>
      <c r="Q182" s="170">
        <f>8000*Entradas!$D$26*P182/Constantes!$E$45</f>
        <v>0</v>
      </c>
      <c r="R182" s="170">
        <f>IF(Escenarios!$E$14&gt;0,K182*Escenarios!$E$13/Escenarios!$E$14,0)</f>
        <v>0</v>
      </c>
      <c r="S182" s="170">
        <f>IF(Escenarios!$E$14&gt;0,Q182*Escenarios!$E$13/Escenarios!$E$14,0)</f>
        <v>0</v>
      </c>
      <c r="T182" s="170">
        <f>IF(Escenarios!$E$14&gt;0,Observaciones!$I181,0)</f>
        <v>0</v>
      </c>
      <c r="U182" s="170">
        <f>IF(Escenarios!$E$14&gt;0,MAX(0,Constantes!$E$36/((Z181+R182+S182+T182+Observaciones!$F181)^2)+Entradas!$E$77),0)</f>
        <v>0</v>
      </c>
      <c r="V182" s="146">
        <f>IF(ETo!D181&gt;0,ETo!I181*((1-Entradas!$E$81)*ETo!K181+ETo!L181),0)</f>
        <v>2.185295804781997</v>
      </c>
      <c r="W182" s="170">
        <f>IF(Escenarios!$E$14&gt;0,MIN(V182*1,0.8*(Z181+R182+S182+T182+Observaciones!$F181-U182-Constantes!$E$35)),0)</f>
        <v>8.2593487604754046E-11</v>
      </c>
      <c r="X182" s="170">
        <f>IF(Escenarios!$E$14&gt;0,Observaciones!$J181,0)</f>
        <v>0</v>
      </c>
      <c r="Y182" s="170">
        <f>IF(Escenarios!$E$14&gt;0,MAX(0,Z181+R182+S182+T182+Observaciones!$F181-U182-W182-X182-Constantes!$E$33),0)</f>
        <v>0</v>
      </c>
      <c r="Z182" s="170">
        <f>Z181+R182+S182+T182+Observaciones!$F181-U182-W182-Y182</f>
        <v>41.250000000020648</v>
      </c>
      <c r="AA182" s="170">
        <f>IF(Escenarios!$E$14&gt;0,(Escenarios!$E$13*L182+Escenarios!$E$14*W182)/(Escenarios!$E$16),L182)</f>
        <v>-2.7796945275646162E-5</v>
      </c>
      <c r="AB182" s="170">
        <f>IF(Escenarios!$E$14&gt;0,(Escenarios!$E$14*Y182)/(Escenarios!$E$16),K182)</f>
        <v>0</v>
      </c>
      <c r="AC182" s="170">
        <f>IF(Escenarios!$E$14&gt;0,(Escenarios!$E$13*M182+Escenarios!$E$14*U182)/(Escenarios!$E$16),M182)</f>
        <v>0</v>
      </c>
      <c r="AD182" s="76">
        <f t="shared" si="29"/>
        <v>103.07198627682766</v>
      </c>
      <c r="AE182" s="76">
        <f>MAX(0,(AD182-Constantes!$D$13)*(1-EXP(-Constantes!$D$23)))</f>
        <v>0.53524746927467981</v>
      </c>
      <c r="AF182" s="76">
        <f>AB182+O182*Escenarios!$E$13/Escenarios!$E$16+AE182</f>
        <v>0.53524746927467981</v>
      </c>
      <c r="AG182" s="76">
        <f>IF(Entradas!$E$91&gt;0,IF(AF182-Escenarios!$E$38&lt;=0,0,IF(AF182-Escenarios!$E$38&gt;Escenarios!$E$37,Escenarios!$E$37,AF182-Escenarios!$E$38)),0)</f>
        <v>0</v>
      </c>
      <c r="AH182" s="76">
        <f>AG182*Entradas!$E$99</f>
        <v>0</v>
      </c>
      <c r="AI182" s="76">
        <f>IF(Entradas!$E$91&gt;0,D182*Entradas!$D$23/Escenarios!$E$16,0)</f>
        <v>0</v>
      </c>
      <c r="AJ182" s="76">
        <f>IF(Entradas!$E$91&gt;0,Entradas!$D$24*Entradas!$D$22/Escenarios!$E$16,0)</f>
        <v>0</v>
      </c>
      <c r="AK182" s="76">
        <f t="shared" si="38"/>
        <v>-2.7796945275646162E-5</v>
      </c>
      <c r="AL182" s="76">
        <f t="shared" si="39"/>
        <v>0</v>
      </c>
      <c r="AM182" s="76">
        <f t="shared" si="30"/>
        <v>0</v>
      </c>
      <c r="AN182" s="76">
        <f>MAX(0,O182*Escenarios!$E$13/Escenarios!$E$16-AM182)</f>
        <v>0</v>
      </c>
      <c r="AO182" s="76">
        <f>AM182+AN182-O182*Escenarios!$E$13/Escenarios!$E$16</f>
        <v>0</v>
      </c>
      <c r="AP182" s="76">
        <f t="shared" si="28"/>
        <v>0.53524746927467981</v>
      </c>
      <c r="AQ182" s="76">
        <f t="shared" si="31"/>
        <v>0</v>
      </c>
      <c r="AR182" s="76">
        <f t="shared" si="32"/>
        <v>0.53524746927467981</v>
      </c>
      <c r="AS182" s="76">
        <f t="shared" si="33"/>
        <v>0</v>
      </c>
      <c r="AT182" s="76">
        <f t="shared" si="34"/>
        <v>0</v>
      </c>
      <c r="AU182" s="76">
        <f t="shared" si="35"/>
        <v>48.75</v>
      </c>
      <c r="AV182" s="76">
        <f>MAX(0,(AU182-Constantes!$D$13)*(1-EXP(-Constantes!$D$24)))</f>
        <v>0</v>
      </c>
      <c r="AW182" s="170">
        <f>AW181+(Entradas!$E$112*AT182-AX181)/(800*Entradas!$D$25)</f>
        <v>0</v>
      </c>
      <c r="AX182" s="170">
        <f>8000*Entradas!$D$26*AW182/Constantes!$E$45</f>
        <v>0</v>
      </c>
      <c r="AY182" s="170">
        <f>IF(Escenarios!$E$17&gt;0,10*Escenarios!$E$16*AL182,0)</f>
        <v>0</v>
      </c>
      <c r="AZ182" s="170">
        <f>IF(Escenarios!$E$17&gt;0,10*Escenarios!$E$16*AX182,0)</f>
        <v>0</v>
      </c>
      <c r="BA182" s="170">
        <f>IF(Escenarios!$E$17&gt;0,0.001*Observaciones!$F181*Escenarios!$E$17,0)</f>
        <v>0</v>
      </c>
      <c r="BB182" s="170">
        <f>IF(Escenarios!$E$17&gt;0,Observaciones!$K181,0)</f>
        <v>0</v>
      </c>
      <c r="BC182" s="170">
        <f>IF(Escenarios!$E$17&gt;0,MIN(0.0005*ETo!$M181*Escenarios!$E$17*(BG181/Constantes!$E$40)^(2/3),BG181+AY182+AZ182+BA182+BB182),0)</f>
        <v>8.0657634483158525</v>
      </c>
      <c r="BD182" s="170">
        <f>IF(Escenarios!$E$17&gt;0,MIN(Constantes!$E$39*(BG181/Constantes!$E$40)^(2/3),BG181+AY182+AZ182+BA182+BB182-BC182),0)</f>
        <v>22.893469461155561</v>
      </c>
      <c r="BE182" s="170">
        <f>IF(Escenarios!$E$17&gt;0,MIN(Entradas!$E$113,BG181+AY182+AZ182+BA182+BB182-BC182-BD182),0)</f>
        <v>1</v>
      </c>
      <c r="BF182" s="170">
        <f>IF(Escenarios!$E$17&gt;0,MAX(0,BG181+AY182+AZ182+BA182+BB182-BC182-BD182-BE182-Constantes!$E$40),0)</f>
        <v>0</v>
      </c>
      <c r="BG182" s="170">
        <f t="shared" si="40"/>
        <v>988.60696895916624</v>
      </c>
      <c r="BH182" s="170">
        <f>(Escenarios!$E$16*AK182+0.1*BC182)/(Escenarios!$E$19)</f>
        <v>3.1731234464788638E-3</v>
      </c>
      <c r="BI182" s="170">
        <f>IF(Escenarios!$E$17&gt;0,BF182/10/Escenarios!$E$19,AL182)</f>
        <v>0</v>
      </c>
      <c r="BJ182" s="170">
        <f>(Escenarios!$E$16*AT182+0.1*BD182)/(Escenarios!$E$19)</f>
        <v>9.0847101036331604E-3</v>
      </c>
      <c r="BK182" s="76">
        <f>BK181+(0.1*BD182)/(Escenarios!$E$19)-BL181</f>
        <v>50.204698915943091</v>
      </c>
      <c r="BL182" s="76">
        <f>MAX(0,(BK182-Constantes!$D$13)*(1-EXP(-Constantes!$D$23)))</f>
        <v>1.4333494901074707E-2</v>
      </c>
      <c r="BM182" s="76">
        <f t="shared" si="36"/>
        <v>0.54958096417575453</v>
      </c>
      <c r="BN182" s="76">
        <f t="shared" si="41"/>
        <v>0.54958096417575453</v>
      </c>
      <c r="BO182" s="76">
        <f>0.0526*BI182*Observaciones!$F181^1.218</f>
        <v>0</v>
      </c>
      <c r="BP182" s="76">
        <f>BO182*Constantes!$E$51</f>
        <v>0</v>
      </c>
      <c r="BQ182" s="76">
        <f t="shared" si="37"/>
        <v>0</v>
      </c>
      <c r="BR182" s="40"/>
    </row>
    <row r="183" spans="1:70">
      <c r="A183" s="147"/>
      <c r="B183" s="39"/>
      <c r="C183" s="75">
        <v>177</v>
      </c>
      <c r="D183" s="146">
        <f>ETo!$I182*((1-Constantes!$E$19)*ETo!$K182+ETo!$L182)</f>
        <v>2.531734326915732</v>
      </c>
      <c r="E183" s="76">
        <f>MIN(D183*Constantes!$E$17,0.8*(N182+Observaciones!$F182-F183-M183-Constantes!$D$14))</f>
        <v>-9.7317395964779518E-3</v>
      </c>
      <c r="F183" s="76">
        <f>IF(Observaciones!$F182&gt;0.05*Constantes!$E$18,((Observaciones!$F182-0.05*Constantes!$E$18)^2)/(Observaciones!$F182+0.95*Constantes!$E$18),0)</f>
        <v>0</v>
      </c>
      <c r="G183" s="76">
        <f>IF(Escenarios!$E$11&gt;0,(F183*Escenarios!$E$16*10000)/1000,0)</f>
        <v>0</v>
      </c>
      <c r="H183" s="76">
        <f>IF(Escenarios!$E$11&gt;0,(Observaciones!$F182*Constantes!$E$29)/1000,0)</f>
        <v>0</v>
      </c>
      <c r="I183" s="76">
        <f>IF(Escenarios!$E$11&gt;0,(D183*Constantes!$E$29)/1000,0)</f>
        <v>25.31734326915732</v>
      </c>
      <c r="J183" s="76">
        <f>IF(Escenarios!$E$11&gt;0,MAX(0,G183+H183-I183),0)</f>
        <v>0</v>
      </c>
      <c r="K183" s="76">
        <f>IF(Escenarios!$E$11&gt;0,IF(J183&gt;Constantes!$E$30,1000*((J183-Constantes!$E$30)/(Escenarios!$E$16*10000)),0),F183)</f>
        <v>0</v>
      </c>
      <c r="L183" s="76">
        <f>IF(Escenarios!$E$11&gt;0,I183*1000/Escenarios!$E$16/10000+E183,E183)</f>
        <v>3.951977111849754E-4</v>
      </c>
      <c r="M183" s="76">
        <f>MAX(0,N182+Observaciones!$F182-K183-Constantes!$D$13)</f>
        <v>0</v>
      </c>
      <c r="N183" s="76">
        <f>N182+Observaciones!$F182-K183-L183-M183-O182</f>
        <v>11.237440127793217</v>
      </c>
      <c r="O183" s="76">
        <f>MAX(0,(N183-Constantes!$D$14)*(1-EXP(-Constantes!$D$22)))</f>
        <v>0</v>
      </c>
      <c r="P183" s="170">
        <f>P182+(Entradas!$E$83*M183-Q182)/(800*Entradas!$D$25)</f>
        <v>0</v>
      </c>
      <c r="Q183" s="170">
        <f>8000*Entradas!$D$26*P183/Constantes!$E$45</f>
        <v>0</v>
      </c>
      <c r="R183" s="170">
        <f>IF(Escenarios!$E$14&gt;0,K183*Escenarios!$E$13/Escenarios!$E$14,0)</f>
        <v>0</v>
      </c>
      <c r="S183" s="170">
        <f>IF(Escenarios!$E$14&gt;0,Q183*Escenarios!$E$13/Escenarios!$E$14,0)</f>
        <v>0</v>
      </c>
      <c r="T183" s="170">
        <f>IF(Escenarios!$E$14&gt;0,Observaciones!$I182,0)</f>
        <v>0</v>
      </c>
      <c r="U183" s="170">
        <f>IF(Escenarios!$E$14&gt;0,MAX(0,Constantes!$E$36/((Z182+R183+S183+T183+Observaciones!$F182)^2)+Entradas!$E$77),0)</f>
        <v>0</v>
      </c>
      <c r="V183" s="146">
        <f>IF(ETo!D182&gt;0,ETo!I182*((1-Entradas!$E$81)*ETo!K182+ETo!L182),0)</f>
        <v>2.2763799912103164</v>
      </c>
      <c r="W183" s="170">
        <f>IF(Escenarios!$E$14&gt;0,MIN(V183*1,0.8*(Z182+R183+S183+T183+Observaciones!$F182-U183-Constantes!$E$35)),0)</f>
        <v>1.651869752095081E-11</v>
      </c>
      <c r="X183" s="170">
        <f>IF(Escenarios!$E$14&gt;0,Observaciones!$J182,0)</f>
        <v>0</v>
      </c>
      <c r="Y183" s="170">
        <f>IF(Escenarios!$E$14&gt;0,MAX(0,Z182+R183+S183+T183+Observaciones!$F182-U183-W183-X183-Constantes!$E$33),0)</f>
        <v>0</v>
      </c>
      <c r="Z183" s="170">
        <f>Z182+R183+S183+T183+Observaciones!$F182-U183-W183-Y183</f>
        <v>41.250000000004128</v>
      </c>
      <c r="AA183" s="170">
        <f>IF(Escenarios!$E$14&gt;0,(Escenarios!$E$13*L183+Escenarios!$E$14*W183)/(Escenarios!$E$16),L183)</f>
        <v>3.4777398782502204E-4</v>
      </c>
      <c r="AB183" s="170">
        <f>IF(Escenarios!$E$14&gt;0,(Escenarios!$E$14*Y183)/(Escenarios!$E$16),K183)</f>
        <v>0</v>
      </c>
      <c r="AC183" s="170">
        <f>IF(Escenarios!$E$14&gt;0,(Escenarios!$E$13*M183+Escenarios!$E$14*U183)/(Escenarios!$E$16),M183)</f>
        <v>0</v>
      </c>
      <c r="AD183" s="76">
        <f t="shared" si="29"/>
        <v>102.53673880755298</v>
      </c>
      <c r="AE183" s="76">
        <f>MAX(0,(AD183-Constantes!$D$13)*(1-EXP(-Constantes!$D$23)))</f>
        <v>0.52997354847390155</v>
      </c>
      <c r="AF183" s="76">
        <f>AB183+O183*Escenarios!$E$13/Escenarios!$E$16+AE183</f>
        <v>0.52997354847390155</v>
      </c>
      <c r="AG183" s="76">
        <f>IF(Entradas!$E$91&gt;0,IF(AF183-Escenarios!$E$38&lt;=0,0,IF(AF183-Escenarios!$E$38&gt;Escenarios!$E$37,Escenarios!$E$37,AF183-Escenarios!$E$38)),0)</f>
        <v>0</v>
      </c>
      <c r="AH183" s="76">
        <f>AG183*Entradas!$E$99</f>
        <v>0</v>
      </c>
      <c r="AI183" s="76">
        <f>IF(Entradas!$E$91&gt;0,D183*Entradas!$D$23/Escenarios!$E$16,0)</f>
        <v>0</v>
      </c>
      <c r="AJ183" s="76">
        <f>IF(Entradas!$E$91&gt;0,Entradas!$D$24*Entradas!$D$22/Escenarios!$E$16,0)</f>
        <v>0</v>
      </c>
      <c r="AK183" s="76">
        <f t="shared" si="38"/>
        <v>3.4777398782502204E-4</v>
      </c>
      <c r="AL183" s="76">
        <f t="shared" si="39"/>
        <v>0</v>
      </c>
      <c r="AM183" s="76">
        <f t="shared" si="30"/>
        <v>0</v>
      </c>
      <c r="AN183" s="76">
        <f>MAX(0,O183*Escenarios!$E$13/Escenarios!$E$16-AM183)</f>
        <v>0</v>
      </c>
      <c r="AO183" s="76">
        <f>AM183+AN183-O183*Escenarios!$E$13/Escenarios!$E$16</f>
        <v>0</v>
      </c>
      <c r="AP183" s="76">
        <f t="shared" si="28"/>
        <v>0.52997354847390155</v>
      </c>
      <c r="AQ183" s="76">
        <f t="shared" si="31"/>
        <v>0</v>
      </c>
      <c r="AR183" s="76">
        <f t="shared" si="32"/>
        <v>0.52997354847390155</v>
      </c>
      <c r="AS183" s="76">
        <f t="shared" si="33"/>
        <v>0</v>
      </c>
      <c r="AT183" s="76">
        <f t="shared" si="34"/>
        <v>0</v>
      </c>
      <c r="AU183" s="76">
        <f t="shared" si="35"/>
        <v>48.75</v>
      </c>
      <c r="AV183" s="76">
        <f>MAX(0,(AU183-Constantes!$D$13)*(1-EXP(-Constantes!$D$24)))</f>
        <v>0</v>
      </c>
      <c r="AW183" s="170">
        <f>AW182+(Entradas!$E$112*AT183-AX182)/(800*Entradas!$D$25)</f>
        <v>0</v>
      </c>
      <c r="AX183" s="170">
        <f>8000*Entradas!$D$26*AW183/Constantes!$E$45</f>
        <v>0</v>
      </c>
      <c r="AY183" s="170">
        <f>IF(Escenarios!$E$17&gt;0,10*Escenarios!$E$16*AL183,0)</f>
        <v>0</v>
      </c>
      <c r="AZ183" s="170">
        <f>IF(Escenarios!$E$17&gt;0,10*Escenarios!$E$16*AX183,0)</f>
        <v>0</v>
      </c>
      <c r="BA183" s="170">
        <f>IF(Escenarios!$E$17&gt;0,0.001*Observaciones!$F182*Escenarios!$E$17,0)</f>
        <v>0</v>
      </c>
      <c r="BB183" s="170">
        <f>IF(Escenarios!$E$17&gt;0,Observaciones!$K182,0)</f>
        <v>0</v>
      </c>
      <c r="BC183" s="170">
        <f>IF(Escenarios!$E$17&gt;0,MIN(0.0005*ETo!$M182*Escenarios!$E$17*(BG182/Constantes!$E$40)^(2/3),BG182+AY183+AZ183+BA183+BB183),0)</f>
        <v>8.2186832786900528</v>
      </c>
      <c r="BD183" s="170">
        <f>IF(Escenarios!$E$17&gt;0,MIN(Constantes!$E$39*(BG182/Constantes!$E$40)^(2/3),BG182+AY183+AZ183+BA183+BB183-BC183),0)</f>
        <v>22.412997262918424</v>
      </c>
      <c r="BE183" s="170">
        <f>IF(Escenarios!$E$17&gt;0,MIN(Entradas!$E$113,BG182+AY183+AZ183+BA183+BB183-BC183-BD183),0)</f>
        <v>1</v>
      </c>
      <c r="BF183" s="170">
        <f>IF(Escenarios!$E$17&gt;0,MAX(0,BG182+AY183+AZ183+BA183+BB183-BC183-BD183-BE183-Constantes!$E$40),0)</f>
        <v>0</v>
      </c>
      <c r="BG183" s="170">
        <f t="shared" si="40"/>
        <v>956.97528841755775</v>
      </c>
      <c r="BH183" s="170">
        <f>(Escenarios!$E$16*AK183+0.1*BC183)/(Escenarios!$E$19)</f>
        <v>3.6063961302589716E-3</v>
      </c>
      <c r="BI183" s="170">
        <f>IF(Escenarios!$E$17&gt;0,BF183/10/Escenarios!$E$19,AL183)</f>
        <v>0</v>
      </c>
      <c r="BJ183" s="170">
        <f>(Escenarios!$E$16*AT183+0.1*BD183)/(Escenarios!$E$19)</f>
        <v>8.8940465329041367E-3</v>
      </c>
      <c r="BK183" s="76">
        <f>BK182+(0.1*BD183)/(Escenarios!$E$19)-BL182</f>
        <v>50.199259467574919</v>
      </c>
      <c r="BL183" s="76">
        <f>MAX(0,(BK183-Constantes!$D$13)*(1-EXP(-Constantes!$D$23)))</f>
        <v>1.4279898720727446E-2</v>
      </c>
      <c r="BM183" s="76">
        <f t="shared" si="36"/>
        <v>0.54425344719462898</v>
      </c>
      <c r="BN183" s="76">
        <f t="shared" si="41"/>
        <v>0.54425344719462898</v>
      </c>
      <c r="BO183" s="76">
        <f>0.0526*BI183*Observaciones!$F182^1.218</f>
        <v>0</v>
      </c>
      <c r="BP183" s="76">
        <f>BO183*Constantes!$E$51</f>
        <v>0</v>
      </c>
      <c r="BQ183" s="76">
        <f t="shared" si="37"/>
        <v>0</v>
      </c>
      <c r="BR183" s="40"/>
    </row>
    <row r="184" spans="1:70">
      <c r="A184" s="147"/>
      <c r="B184" s="39"/>
      <c r="C184" s="75">
        <v>178</v>
      </c>
      <c r="D184" s="146">
        <f>ETo!$I183*((1-Constantes!$E$19)*ETo!$K183+ETo!$L183)</f>
        <v>2.43764724649487</v>
      </c>
      <c r="E184" s="76">
        <f>MIN(D184*Constantes!$E$17,0.8*(N183+Observaciones!$F183-F184-M184-Constantes!$D$14))</f>
        <v>-1.0047897765426229E-2</v>
      </c>
      <c r="F184" s="76">
        <f>IF(Observaciones!$F183&gt;0.05*Constantes!$E$18,((Observaciones!$F183-0.05*Constantes!$E$18)^2)/(Observaciones!$F183+0.95*Constantes!$E$18),0)</f>
        <v>0</v>
      </c>
      <c r="G184" s="76">
        <f>IF(Escenarios!$E$11&gt;0,(F184*Escenarios!$E$16*10000)/1000,0)</f>
        <v>0</v>
      </c>
      <c r="H184" s="76">
        <f>IF(Escenarios!$E$11&gt;0,(Observaciones!$F183*Constantes!$E$29)/1000,0)</f>
        <v>0</v>
      </c>
      <c r="I184" s="76">
        <f>IF(Escenarios!$E$11&gt;0,(D184*Constantes!$E$29)/1000,0)</f>
        <v>24.376472464948701</v>
      </c>
      <c r="J184" s="76">
        <f>IF(Escenarios!$E$11&gt;0,MAX(0,G184+H184-I184),0)</f>
        <v>0</v>
      </c>
      <c r="K184" s="76">
        <f>IF(Escenarios!$E$11&gt;0,IF(J184&gt;Constantes!$E$30,1000*((J184-Constantes!$E$30)/(Escenarios!$E$16*10000)),0),F184)</f>
        <v>0</v>
      </c>
      <c r="L184" s="76">
        <f>IF(Escenarios!$E$11&gt;0,I184*1000/Escenarios!$E$16/10000+E184,E184)</f>
        <v>-2.9730877944674806E-4</v>
      </c>
      <c r="M184" s="76">
        <f>MAX(0,N183+Observaciones!$F183-K184-Constantes!$D$13)</f>
        <v>0</v>
      </c>
      <c r="N184" s="76">
        <f>N183+Observaciones!$F183-K184-L184-M184-O183</f>
        <v>11.237737436572663</v>
      </c>
      <c r="O184" s="76">
        <f>MAX(0,(N184-Constantes!$D$14)*(1-EXP(-Constantes!$D$22)))</f>
        <v>0</v>
      </c>
      <c r="P184" s="170">
        <f>P183+(Entradas!$E$83*M184-Q183)/(800*Entradas!$D$25)</f>
        <v>0</v>
      </c>
      <c r="Q184" s="170">
        <f>8000*Entradas!$D$26*P184/Constantes!$E$45</f>
        <v>0</v>
      </c>
      <c r="R184" s="170">
        <f>IF(Escenarios!$E$14&gt;0,K184*Escenarios!$E$13/Escenarios!$E$14,0)</f>
        <v>0</v>
      </c>
      <c r="S184" s="170">
        <f>IF(Escenarios!$E$14&gt;0,Q184*Escenarios!$E$13/Escenarios!$E$14,0)</f>
        <v>0</v>
      </c>
      <c r="T184" s="170">
        <f>IF(Escenarios!$E$14&gt;0,Observaciones!$I183,0)</f>
        <v>0</v>
      </c>
      <c r="U184" s="170">
        <f>IF(Escenarios!$E$14&gt;0,MAX(0,Constantes!$E$36/((Z183+R184+S184+T184+Observaciones!$F183)^2)+Entradas!$E$77),0)</f>
        <v>0</v>
      </c>
      <c r="V184" s="146">
        <f>IF(ETo!D183&gt;0,ETo!I183*((1-Entradas!$E$81)*ETo!K183+ETo!L183),0)</f>
        <v>2.1910951843050475</v>
      </c>
      <c r="W184" s="170">
        <f>IF(Escenarios!$E$14&gt;0,MIN(V184*1,0.8*(Z183+R184+S184+T184+Observaciones!$F183-U184-Constantes!$E$35)),0)</f>
        <v>3.3026026358129457E-12</v>
      </c>
      <c r="X184" s="170">
        <f>IF(Escenarios!$E$14&gt;0,Observaciones!$J183,0)</f>
        <v>0</v>
      </c>
      <c r="Y184" s="170">
        <f>IF(Escenarios!$E$14&gt;0,MAX(0,Z183+R184+S184+T184+Observaciones!$F183-U184-W184-X184-Constantes!$E$33),0)</f>
        <v>0</v>
      </c>
      <c r="Z184" s="170">
        <f>Z183+R184+S184+T184+Observaciones!$F183-U184-W184-Y184</f>
        <v>41.250000000000824</v>
      </c>
      <c r="AA184" s="170">
        <f>IF(Escenarios!$E$14&gt;0,(Escenarios!$E$13*L184+Escenarios!$E$14*W184)/(Escenarios!$E$16),L184)</f>
        <v>-2.61631725516826E-4</v>
      </c>
      <c r="AB184" s="170">
        <f>IF(Escenarios!$E$14&gt;0,(Escenarios!$E$14*Y184)/(Escenarios!$E$16),K184)</f>
        <v>0</v>
      </c>
      <c r="AC184" s="170">
        <f>IF(Escenarios!$E$14&gt;0,(Escenarios!$E$13*M184+Escenarios!$E$14*U184)/(Escenarios!$E$16),M184)</f>
        <v>0</v>
      </c>
      <c r="AD184" s="76">
        <f t="shared" si="29"/>
        <v>102.00676525907907</v>
      </c>
      <c r="AE184" s="76">
        <f>MAX(0,(AD184-Constantes!$D$13)*(1-EXP(-Constantes!$D$23)))</f>
        <v>0.52475159287092354</v>
      </c>
      <c r="AF184" s="76">
        <f>AB184+O184*Escenarios!$E$13/Escenarios!$E$16+AE184</f>
        <v>0.52475159287092354</v>
      </c>
      <c r="AG184" s="76">
        <f>IF(Entradas!$E$91&gt;0,IF(AF184-Escenarios!$E$38&lt;=0,0,IF(AF184-Escenarios!$E$38&gt;Escenarios!$E$37,Escenarios!$E$37,AF184-Escenarios!$E$38)),0)</f>
        <v>0</v>
      </c>
      <c r="AH184" s="76">
        <f>AG184*Entradas!$E$99</f>
        <v>0</v>
      </c>
      <c r="AI184" s="76">
        <f>IF(Entradas!$E$91&gt;0,D184*Entradas!$D$23/Escenarios!$E$16,0)</f>
        <v>0</v>
      </c>
      <c r="AJ184" s="76">
        <f>IF(Entradas!$E$91&gt;0,Entradas!$D$24*Entradas!$D$22/Escenarios!$E$16,0)</f>
        <v>0</v>
      </c>
      <c r="AK184" s="76">
        <f t="shared" si="38"/>
        <v>-2.61631725516826E-4</v>
      </c>
      <c r="AL184" s="76">
        <f t="shared" si="39"/>
        <v>0</v>
      </c>
      <c r="AM184" s="76">
        <f t="shared" si="30"/>
        <v>0</v>
      </c>
      <c r="AN184" s="76">
        <f>MAX(0,O184*Escenarios!$E$13/Escenarios!$E$16-AM184)</f>
        <v>0</v>
      </c>
      <c r="AO184" s="76">
        <f>AM184+AN184-O184*Escenarios!$E$13/Escenarios!$E$16</f>
        <v>0</v>
      </c>
      <c r="AP184" s="76">
        <f t="shared" si="28"/>
        <v>0.52475159287092354</v>
      </c>
      <c r="AQ184" s="76">
        <f t="shared" si="31"/>
        <v>0</v>
      </c>
      <c r="AR184" s="76">
        <f t="shared" si="32"/>
        <v>0.52475159287092354</v>
      </c>
      <c r="AS184" s="76">
        <f t="shared" si="33"/>
        <v>0</v>
      </c>
      <c r="AT184" s="76">
        <f t="shared" si="34"/>
        <v>0</v>
      </c>
      <c r="AU184" s="76">
        <f t="shared" si="35"/>
        <v>48.75</v>
      </c>
      <c r="AV184" s="76">
        <f>MAX(0,(AU184-Constantes!$D$13)*(1-EXP(-Constantes!$D$24)))</f>
        <v>0</v>
      </c>
      <c r="AW184" s="170">
        <f>AW183+(Entradas!$E$112*AT184-AX183)/(800*Entradas!$D$25)</f>
        <v>0</v>
      </c>
      <c r="AX184" s="170">
        <f>8000*Entradas!$D$26*AW184/Constantes!$E$45</f>
        <v>0</v>
      </c>
      <c r="AY184" s="170">
        <f>IF(Escenarios!$E$17&gt;0,10*Escenarios!$E$16*AL184,0)</f>
        <v>0</v>
      </c>
      <c r="AZ184" s="170">
        <f>IF(Escenarios!$E$17&gt;0,10*Escenarios!$E$16*AX184,0)</f>
        <v>0</v>
      </c>
      <c r="BA184" s="170">
        <f>IF(Escenarios!$E$17&gt;0,0.001*Observaciones!$F183*Escenarios!$E$17,0)</f>
        <v>0</v>
      </c>
      <c r="BB184" s="170">
        <f>IF(Escenarios!$E$17&gt;0,Observaciones!$K183,0)</f>
        <v>0</v>
      </c>
      <c r="BC184" s="170">
        <f>IF(Escenarios!$E$17&gt;0,MIN(0.0005*ETo!$M183*Escenarios!$E$17*(BG183/Constantes!$E$40)^(2/3),BG183+AY184+AZ184+BA184+BB184),0)</f>
        <v>7.7465080658683938</v>
      </c>
      <c r="BD184" s="170">
        <f>IF(Escenarios!$E$17&gt;0,MIN(Constantes!$E$39*(BG183/Constantes!$E$40)^(2/3),BG183+AY184+AZ184+BA184+BB184-BC184),0)</f>
        <v>21.932323441256905</v>
      </c>
      <c r="BE184" s="170">
        <f>IF(Escenarios!$E$17&gt;0,MIN(Entradas!$E$113,BG183+AY184+AZ184+BA184+BB184-BC184-BD184),0)</f>
        <v>1</v>
      </c>
      <c r="BF184" s="170">
        <f>IF(Escenarios!$E$17&gt;0,MAX(0,BG183+AY184+AZ184+BA184+BB184-BC184-BD184-BE184-Constantes!$E$40),0)</f>
        <v>0</v>
      </c>
      <c r="BG184" s="170">
        <f t="shared" si="40"/>
        <v>926.29645691043243</v>
      </c>
      <c r="BH184" s="170">
        <f>(Escenarios!$E$16*AK184+0.1*BC184)/(Escenarios!$E$19)</f>
        <v>2.8144558539985429E-3</v>
      </c>
      <c r="BI184" s="170">
        <f>IF(Escenarios!$E$17&gt;0,BF184/10/Escenarios!$E$19,AL184)</f>
        <v>0</v>
      </c>
      <c r="BJ184" s="170">
        <f>(Escenarios!$E$16*AT184+0.1*BD184)/(Escenarios!$E$19)</f>
        <v>8.7033029528797243E-3</v>
      </c>
      <c r="BK184" s="76">
        <f>BK183+(0.1*BD184)/(Escenarios!$E$19)-BL183</f>
        <v>50.19368287180707</v>
      </c>
      <c r="BL184" s="76">
        <f>MAX(0,(BK184-Constantes!$D$13)*(1-EXP(-Constantes!$D$23)))</f>
        <v>1.4224951194385202E-2</v>
      </c>
      <c r="BM184" s="76">
        <f t="shared" si="36"/>
        <v>0.5389765440653087</v>
      </c>
      <c r="BN184" s="76">
        <f t="shared" si="41"/>
        <v>0.5389765440653087</v>
      </c>
      <c r="BO184" s="76">
        <f>0.0526*BI184*Observaciones!$F183^1.218</f>
        <v>0</v>
      </c>
      <c r="BP184" s="76">
        <f>BO184*Constantes!$E$51</f>
        <v>0</v>
      </c>
      <c r="BQ184" s="76">
        <f t="shared" si="37"/>
        <v>0</v>
      </c>
      <c r="BR184" s="40"/>
    </row>
    <row r="185" spans="1:70">
      <c r="A185" s="147"/>
      <c r="B185" s="39"/>
      <c r="C185" s="75">
        <v>179</v>
      </c>
      <c r="D185" s="146">
        <f>ETo!$I184*((1-Constantes!$E$19)*ETo!$K184+ETo!$L184)</f>
        <v>2.5509018362124274</v>
      </c>
      <c r="E185" s="76">
        <f>MIN(D185*Constantes!$E$17,0.8*(N184+Observaciones!$F184-F185-M185-Constantes!$D$14))</f>
        <v>-9.8100507418692473E-3</v>
      </c>
      <c r="F185" s="76">
        <f>IF(Observaciones!$F184&gt;0.05*Constantes!$E$18,((Observaciones!$F184-0.05*Constantes!$E$18)^2)/(Observaciones!$F184+0.95*Constantes!$E$18),0)</f>
        <v>0</v>
      </c>
      <c r="G185" s="76">
        <f>IF(Escenarios!$E$11&gt;0,(F185*Escenarios!$E$16*10000)/1000,0)</f>
        <v>0</v>
      </c>
      <c r="H185" s="76">
        <f>IF(Escenarios!$E$11&gt;0,(Observaciones!$F184*Constantes!$E$29)/1000,0)</f>
        <v>0</v>
      </c>
      <c r="I185" s="76">
        <f>IF(Escenarios!$E$11&gt;0,(D185*Constantes!$E$29)/1000,0)</f>
        <v>25.509018362124273</v>
      </c>
      <c r="J185" s="76">
        <f>IF(Escenarios!$E$11&gt;0,MAX(0,G185+H185-I185),0)</f>
        <v>0</v>
      </c>
      <c r="K185" s="76">
        <f>IF(Escenarios!$E$11&gt;0,IF(J185&gt;Constantes!$E$30,1000*((J185-Constantes!$E$30)/(Escenarios!$E$16*10000)),0),F185)</f>
        <v>0</v>
      </c>
      <c r="L185" s="76">
        <f>IF(Escenarios!$E$11&gt;0,I185*1000/Escenarios!$E$16/10000+E185,E185)</f>
        <v>3.935566029804622E-4</v>
      </c>
      <c r="M185" s="76">
        <f>MAX(0,N184+Observaciones!$F184-K185-Constantes!$D$13)</f>
        <v>0</v>
      </c>
      <c r="N185" s="76">
        <f>N184+Observaciones!$F184-K185-L185-M185-O184</f>
        <v>11.237343879969682</v>
      </c>
      <c r="O185" s="76">
        <f>MAX(0,(N185-Constantes!$D$14)*(1-EXP(-Constantes!$D$22)))</f>
        <v>0</v>
      </c>
      <c r="P185" s="170">
        <f>P184+(Entradas!$E$83*M185-Q184)/(800*Entradas!$D$25)</f>
        <v>0</v>
      </c>
      <c r="Q185" s="170">
        <f>8000*Entradas!$D$26*P185/Constantes!$E$45</f>
        <v>0</v>
      </c>
      <c r="R185" s="170">
        <f>IF(Escenarios!$E$14&gt;0,K185*Escenarios!$E$13/Escenarios!$E$14,0)</f>
        <v>0</v>
      </c>
      <c r="S185" s="170">
        <f>IF(Escenarios!$E$14&gt;0,Q185*Escenarios!$E$13/Escenarios!$E$14,0)</f>
        <v>0</v>
      </c>
      <c r="T185" s="170">
        <f>IF(Escenarios!$E$14&gt;0,Observaciones!$I184,0)</f>
        <v>0</v>
      </c>
      <c r="U185" s="170">
        <f>IF(Escenarios!$E$14&gt;0,MAX(0,Constantes!$E$36/((Z184+R185+S185+T185+Observaciones!$F184)^2)+Entradas!$E$77),0)</f>
        <v>0</v>
      </c>
      <c r="V185" s="146">
        <f>IF(ETo!D184&gt;0,ETo!I184*((1-Entradas!$E$81)*ETo!K184+ETo!L184),0)</f>
        <v>2.293938767875316</v>
      </c>
      <c r="W185" s="170">
        <f>IF(Escenarios!$E$14&gt;0,MIN(V185*1,0.8*(Z184+R185+S185+T185+Observaciones!$F184-U185-Constantes!$E$35)),0)</f>
        <v>6.5938365878537305E-13</v>
      </c>
      <c r="X185" s="170">
        <f>IF(Escenarios!$E$14&gt;0,Observaciones!$J184,0)</f>
        <v>0</v>
      </c>
      <c r="Y185" s="170">
        <f>IF(Escenarios!$E$14&gt;0,MAX(0,Z184+R185+S185+T185+Observaciones!$F184-U185-W185-X185-Constantes!$E$33),0)</f>
        <v>0</v>
      </c>
      <c r="Z185" s="170">
        <f>Z184+R185+S185+T185+Observaciones!$F184-U185-W185-Y185</f>
        <v>41.250000000000163</v>
      </c>
      <c r="AA185" s="170">
        <f>IF(Escenarios!$E$14&gt;0,(Escenarios!$E$13*L185+Escenarios!$E$14*W185)/(Escenarios!$E$16),L185)</f>
        <v>3.4632981070193281E-4</v>
      </c>
      <c r="AB185" s="170">
        <f>IF(Escenarios!$E$14&gt;0,(Escenarios!$E$14*Y185)/(Escenarios!$E$16),K185)</f>
        <v>0</v>
      </c>
      <c r="AC185" s="170">
        <f>IF(Escenarios!$E$14&gt;0,(Escenarios!$E$13*M185+Escenarios!$E$14*U185)/(Escenarios!$E$16),M185)</f>
        <v>0</v>
      </c>
      <c r="AD185" s="76">
        <f t="shared" si="29"/>
        <v>101.48201366620815</v>
      </c>
      <c r="AE185" s="76">
        <f>MAX(0,(AD185-Constantes!$D$13)*(1-EXP(-Constantes!$D$23)))</f>
        <v>0.51958109044027445</v>
      </c>
      <c r="AF185" s="76">
        <f>AB185+O185*Escenarios!$E$13/Escenarios!$E$16+AE185</f>
        <v>0.51958109044027445</v>
      </c>
      <c r="AG185" s="76">
        <f>IF(Entradas!$E$91&gt;0,IF(AF185-Escenarios!$E$38&lt;=0,0,IF(AF185-Escenarios!$E$38&gt;Escenarios!$E$37,Escenarios!$E$37,AF185-Escenarios!$E$38)),0)</f>
        <v>0</v>
      </c>
      <c r="AH185" s="76">
        <f>AG185*Entradas!$E$99</f>
        <v>0</v>
      </c>
      <c r="AI185" s="76">
        <f>IF(Entradas!$E$91&gt;0,D185*Entradas!$D$23/Escenarios!$E$16,0)</f>
        <v>0</v>
      </c>
      <c r="AJ185" s="76">
        <f>IF(Entradas!$E$91&gt;0,Entradas!$D$24*Entradas!$D$22/Escenarios!$E$16,0)</f>
        <v>0</v>
      </c>
      <c r="AK185" s="76">
        <f t="shared" si="38"/>
        <v>3.4632981070193281E-4</v>
      </c>
      <c r="AL185" s="76">
        <f t="shared" si="39"/>
        <v>0</v>
      </c>
      <c r="AM185" s="76">
        <f t="shared" si="30"/>
        <v>0</v>
      </c>
      <c r="AN185" s="76">
        <f>MAX(0,O185*Escenarios!$E$13/Escenarios!$E$16-AM185)</f>
        <v>0</v>
      </c>
      <c r="AO185" s="76">
        <f>AM185+AN185-O185*Escenarios!$E$13/Escenarios!$E$16</f>
        <v>0</v>
      </c>
      <c r="AP185" s="76">
        <f t="shared" si="28"/>
        <v>0.51958109044027445</v>
      </c>
      <c r="AQ185" s="76">
        <f t="shared" si="31"/>
        <v>0</v>
      </c>
      <c r="AR185" s="76">
        <f t="shared" si="32"/>
        <v>0.51958109044027445</v>
      </c>
      <c r="AS185" s="76">
        <f t="shared" si="33"/>
        <v>0</v>
      </c>
      <c r="AT185" s="76">
        <f t="shared" si="34"/>
        <v>0</v>
      </c>
      <c r="AU185" s="76">
        <f t="shared" si="35"/>
        <v>48.75</v>
      </c>
      <c r="AV185" s="76">
        <f>MAX(0,(AU185-Constantes!$D$13)*(1-EXP(-Constantes!$D$24)))</f>
        <v>0</v>
      </c>
      <c r="AW185" s="170">
        <f>AW184+(Entradas!$E$112*AT185-AX184)/(800*Entradas!$D$25)</f>
        <v>0</v>
      </c>
      <c r="AX185" s="170">
        <f>8000*Entradas!$D$26*AW185/Constantes!$E$45</f>
        <v>0</v>
      </c>
      <c r="AY185" s="170">
        <f>IF(Escenarios!$E$17&gt;0,10*Escenarios!$E$16*AL185,0)</f>
        <v>0</v>
      </c>
      <c r="AZ185" s="170">
        <f>IF(Escenarios!$E$17&gt;0,10*Escenarios!$E$16*AX185,0)</f>
        <v>0</v>
      </c>
      <c r="BA185" s="170">
        <f>IF(Escenarios!$E$17&gt;0,0.001*Observaciones!$F184*Escenarios!$E$17,0)</f>
        <v>0</v>
      </c>
      <c r="BB185" s="170">
        <f>IF(Escenarios!$E$17&gt;0,Observaciones!$K184,0)</f>
        <v>0</v>
      </c>
      <c r="BC185" s="170">
        <f>IF(Escenarios!$E$17&gt;0,MIN(0.0005*ETo!$M184*Escenarios!$E$17*(BG184/Constantes!$E$40)^(2/3),BG184+AY185+AZ185+BA185+BB185),0)</f>
        <v>7.9278187521618557</v>
      </c>
      <c r="BD185" s="170">
        <f>IF(Escenarios!$E$17&gt;0,MIN(Constantes!$E$39*(BG184/Constantes!$E$40)^(2/3),BG184+AY185+AZ185+BA185+BB185-BC185),0)</f>
        <v>21.461043175927308</v>
      </c>
      <c r="BE185" s="170">
        <f>IF(Escenarios!$E$17&gt;0,MIN(Entradas!$E$113,BG184+AY185+AZ185+BA185+BB185-BC185-BD185),0)</f>
        <v>1</v>
      </c>
      <c r="BF185" s="170">
        <f>IF(Escenarios!$E$17&gt;0,MAX(0,BG184+AY185+AZ185+BA185+BB185-BC185-BD185-BE185-Constantes!$E$40),0)</f>
        <v>0</v>
      </c>
      <c r="BG185" s="170">
        <f t="shared" si="40"/>
        <v>895.9075949823432</v>
      </c>
      <c r="BH185" s="170">
        <f>(Escenarios!$E$16*AK185+0.1*BC185)/(Escenarios!$E$19)</f>
        <v>3.4895409836970983E-3</v>
      </c>
      <c r="BI185" s="170">
        <f>IF(Escenarios!$E$17&gt;0,BF185/10/Escenarios!$E$19,AL185)</f>
        <v>0</v>
      </c>
      <c r="BJ185" s="170">
        <f>(Escenarios!$E$16*AT185+0.1*BD185)/(Escenarios!$E$19)</f>
        <v>8.5162869745743289E-3</v>
      </c>
      <c r="BK185" s="76">
        <f>BK184+(0.1*BD185)/(Escenarios!$E$19)-BL184</f>
        <v>50.18797420758726</v>
      </c>
      <c r="BL185" s="76">
        <f>MAX(0,(BK185-Constantes!$D$13)*(1-EXP(-Constantes!$D$23)))</f>
        <v>1.4168702366129531E-2</v>
      </c>
      <c r="BM185" s="76">
        <f t="shared" si="36"/>
        <v>0.533749792806404</v>
      </c>
      <c r="BN185" s="76">
        <f t="shared" si="41"/>
        <v>0.533749792806404</v>
      </c>
      <c r="BO185" s="76">
        <f>0.0526*BI185*Observaciones!$F184^1.218</f>
        <v>0</v>
      </c>
      <c r="BP185" s="76">
        <f>BO185*Constantes!$E$51</f>
        <v>0</v>
      </c>
      <c r="BQ185" s="76">
        <f t="shared" si="37"/>
        <v>0</v>
      </c>
      <c r="BR185" s="40"/>
    </row>
    <row r="186" spans="1:70">
      <c r="A186" s="147"/>
      <c r="B186" s="39"/>
      <c r="C186" s="75">
        <v>180</v>
      </c>
      <c r="D186" s="146">
        <f>ETo!$I185*((1-Constantes!$E$19)*ETo!$K185+ETo!$L185)</f>
        <v>2.5774733581670284</v>
      </c>
      <c r="E186" s="76">
        <f>MIN(D186*Constantes!$E$17,0.8*(N185+Observaciones!$F185-F186-M186-Constantes!$D$14))</f>
        <v>-1.0124896024254327E-2</v>
      </c>
      <c r="F186" s="76">
        <f>IF(Observaciones!$F185&gt;0.05*Constantes!$E$18,((Observaciones!$F185-0.05*Constantes!$E$18)^2)/(Observaciones!$F185+0.95*Constantes!$E$18),0)</f>
        <v>0</v>
      </c>
      <c r="G186" s="76">
        <f>IF(Escenarios!$E$11&gt;0,(F186*Escenarios!$E$16*10000)/1000,0)</f>
        <v>0</v>
      </c>
      <c r="H186" s="76">
        <f>IF(Escenarios!$E$11&gt;0,(Observaciones!$F185*Constantes!$E$29)/1000,0)</f>
        <v>0</v>
      </c>
      <c r="I186" s="76">
        <f>IF(Escenarios!$E$11&gt;0,(D186*Constantes!$E$29)/1000,0)</f>
        <v>25.774733581670283</v>
      </c>
      <c r="J186" s="76">
        <f>IF(Escenarios!$E$11&gt;0,MAX(0,G186+H186-I186),0)</f>
        <v>0</v>
      </c>
      <c r="K186" s="76">
        <f>IF(Escenarios!$E$11&gt;0,IF(J186&gt;Constantes!$E$30,1000*((J186-Constantes!$E$30)/(Escenarios!$E$16*10000)),0),F186)</f>
        <v>0</v>
      </c>
      <c r="L186" s="76">
        <f>IF(Escenarios!$E$11&gt;0,I186*1000/Escenarios!$E$16/10000+E186,E186)</f>
        <v>1.8499740841378641E-4</v>
      </c>
      <c r="M186" s="76">
        <f>MAX(0,N185+Observaciones!$F185-K186-Constantes!$D$13)</f>
        <v>0</v>
      </c>
      <c r="N186" s="76">
        <f>N185+Observaciones!$F185-K186-L186-M186-O185</f>
        <v>11.237158882561268</v>
      </c>
      <c r="O186" s="76">
        <f>MAX(0,(N186-Constantes!$D$14)*(1-EXP(-Constantes!$D$22)))</f>
        <v>0</v>
      </c>
      <c r="P186" s="170">
        <f>P185+(Entradas!$E$83*M186-Q185)/(800*Entradas!$D$25)</f>
        <v>0</v>
      </c>
      <c r="Q186" s="170">
        <f>8000*Entradas!$D$26*P186/Constantes!$E$45</f>
        <v>0</v>
      </c>
      <c r="R186" s="170">
        <f>IF(Escenarios!$E$14&gt;0,K186*Escenarios!$E$13/Escenarios!$E$14,0)</f>
        <v>0</v>
      </c>
      <c r="S186" s="170">
        <f>IF(Escenarios!$E$14&gt;0,Q186*Escenarios!$E$13/Escenarios!$E$14,0)</f>
        <v>0</v>
      </c>
      <c r="T186" s="170">
        <f>IF(Escenarios!$E$14&gt;0,Observaciones!$I185,0)</f>
        <v>0</v>
      </c>
      <c r="U186" s="170">
        <f>IF(Escenarios!$E$14&gt;0,MAX(0,Constantes!$E$36/((Z185+R186+S186+T186+Observaciones!$F185)^2)+Entradas!$E$77),0)</f>
        <v>0</v>
      </c>
      <c r="V186" s="146">
        <f>IF(ETo!D185&gt;0,ETo!I185*((1-Entradas!$E$81)*ETo!K185+ETo!L185),0)</f>
        <v>2.3182184713379796</v>
      </c>
      <c r="W186" s="170">
        <f>IF(Escenarios!$E$14&gt;0,MIN(V186*1,0.8*(Z185+R186+S186+T186+Observaciones!$F185-U186-Constantes!$E$35)),0)</f>
        <v>1.3073986337985845E-13</v>
      </c>
      <c r="X186" s="170">
        <f>IF(Escenarios!$E$14&gt;0,Observaciones!$J185,0)</f>
        <v>0</v>
      </c>
      <c r="Y186" s="170">
        <f>IF(Escenarios!$E$14&gt;0,MAX(0,Z185+R186+S186+T186+Observaciones!$F185-U186-W186-X186-Constantes!$E$33),0)</f>
        <v>0</v>
      </c>
      <c r="Z186" s="170">
        <f>Z185+R186+S186+T186+Observaciones!$F185-U186-W186-Y186</f>
        <v>41.250000000000036</v>
      </c>
      <c r="AA186" s="170">
        <f>IF(Escenarios!$E$14&gt;0,(Escenarios!$E$13*L186+Escenarios!$E$14*W186)/(Escenarios!$E$16),L186)</f>
        <v>1.6279771941982081E-4</v>
      </c>
      <c r="AB186" s="170">
        <f>IF(Escenarios!$E$14&gt;0,(Escenarios!$E$14*Y186)/(Escenarios!$E$16),K186)</f>
        <v>0</v>
      </c>
      <c r="AC186" s="170">
        <f>IF(Escenarios!$E$14&gt;0,(Escenarios!$E$13*M186+Escenarios!$E$14*U186)/(Escenarios!$E$16),M186)</f>
        <v>0</v>
      </c>
      <c r="AD186" s="76">
        <f t="shared" si="29"/>
        <v>100.96243257576788</v>
      </c>
      <c r="AE186" s="76">
        <f>MAX(0,(AD186-Constantes!$D$13)*(1-EXP(-Constantes!$D$23)))</f>
        <v>0.51446153420159246</v>
      </c>
      <c r="AF186" s="76">
        <f>AB186+O186*Escenarios!$E$13/Escenarios!$E$16+AE186</f>
        <v>0.51446153420159246</v>
      </c>
      <c r="AG186" s="76">
        <f>IF(Entradas!$E$91&gt;0,IF(AF186-Escenarios!$E$38&lt;=0,0,IF(AF186-Escenarios!$E$38&gt;Escenarios!$E$37,Escenarios!$E$37,AF186-Escenarios!$E$38)),0)</f>
        <v>0</v>
      </c>
      <c r="AH186" s="76">
        <f>AG186*Entradas!$E$99</f>
        <v>0</v>
      </c>
      <c r="AI186" s="76">
        <f>IF(Entradas!$E$91&gt;0,D186*Entradas!$D$23/Escenarios!$E$16,0)</f>
        <v>0</v>
      </c>
      <c r="AJ186" s="76">
        <f>IF(Entradas!$E$91&gt;0,Entradas!$D$24*Entradas!$D$22/Escenarios!$E$16,0)</f>
        <v>0</v>
      </c>
      <c r="AK186" s="76">
        <f t="shared" si="38"/>
        <v>1.6279771941982081E-4</v>
      </c>
      <c r="AL186" s="76">
        <f t="shared" si="39"/>
        <v>0</v>
      </c>
      <c r="AM186" s="76">
        <f t="shared" si="30"/>
        <v>0</v>
      </c>
      <c r="AN186" s="76">
        <f>MAX(0,O186*Escenarios!$E$13/Escenarios!$E$16-AM186)</f>
        <v>0</v>
      </c>
      <c r="AO186" s="76">
        <f>AM186+AN186-O186*Escenarios!$E$13/Escenarios!$E$16</f>
        <v>0</v>
      </c>
      <c r="AP186" s="76">
        <f t="shared" si="28"/>
        <v>0.51446153420159246</v>
      </c>
      <c r="AQ186" s="76">
        <f t="shared" si="31"/>
        <v>0</v>
      </c>
      <c r="AR186" s="76">
        <f t="shared" si="32"/>
        <v>0.51446153420159246</v>
      </c>
      <c r="AS186" s="76">
        <f t="shared" si="33"/>
        <v>0</v>
      </c>
      <c r="AT186" s="76">
        <f t="shared" si="34"/>
        <v>0</v>
      </c>
      <c r="AU186" s="76">
        <f t="shared" si="35"/>
        <v>48.75</v>
      </c>
      <c r="AV186" s="76">
        <f>MAX(0,(AU186-Constantes!$D$13)*(1-EXP(-Constantes!$D$24)))</f>
        <v>0</v>
      </c>
      <c r="AW186" s="170">
        <f>AW185+(Entradas!$E$112*AT186-AX185)/(800*Entradas!$D$25)</f>
        <v>0</v>
      </c>
      <c r="AX186" s="170">
        <f>8000*Entradas!$D$26*AW186/Constantes!$E$45</f>
        <v>0</v>
      </c>
      <c r="AY186" s="170">
        <f>IF(Escenarios!$E$17&gt;0,10*Escenarios!$E$16*AL186,0)</f>
        <v>0</v>
      </c>
      <c r="AZ186" s="170">
        <f>IF(Escenarios!$E$17&gt;0,10*Escenarios!$E$16*AX186,0)</f>
        <v>0</v>
      </c>
      <c r="BA186" s="170">
        <f>IF(Escenarios!$E$17&gt;0,0.001*Observaciones!$F185*Escenarios!$E$17,0)</f>
        <v>0</v>
      </c>
      <c r="BB186" s="170">
        <f>IF(Escenarios!$E$17&gt;0,Observaciones!$K185,0)</f>
        <v>0</v>
      </c>
      <c r="BC186" s="170">
        <f>IF(Escenarios!$E$17&gt;0,MIN(0.0005*ETo!$M185*Escenarios!$E$17*(BG185/Constantes!$E$40)^(2/3),BG185+AY186+AZ186+BA186+BB186),0)</f>
        <v>7.8326408188148982</v>
      </c>
      <c r="BD186" s="170">
        <f>IF(Escenarios!$E$17&gt;0,MIN(Constantes!$E$39*(BG185/Constantes!$E$40)^(2/3),BG185+AY186+AZ186+BA186+BB186-BC186),0)</f>
        <v>20.98905917163032</v>
      </c>
      <c r="BE186" s="170">
        <f>IF(Escenarios!$E$17&gt;0,MIN(Entradas!$E$113,BG185+AY186+AZ186+BA186+BB186-BC186-BD186),0)</f>
        <v>1</v>
      </c>
      <c r="BF186" s="170">
        <f>IF(Escenarios!$E$17&gt;0,MAX(0,BG185+AY186+AZ186+BA186+BB186-BC186-BD186-BE186-Constantes!$E$40),0)</f>
        <v>0</v>
      </c>
      <c r="BG186" s="170">
        <f t="shared" si="40"/>
        <v>866.08589499189804</v>
      </c>
      <c r="BH186" s="170">
        <f>(Escenarios!$E$16*AK186+0.1*BC186)/(Escenarios!$E$19)</f>
        <v>3.2696964751446236E-3</v>
      </c>
      <c r="BI186" s="170">
        <f>IF(Escenarios!$E$17&gt;0,BF186/10/Escenarios!$E$19,AL186)</f>
        <v>0</v>
      </c>
      <c r="BJ186" s="170">
        <f>(Escenarios!$E$16*AT186+0.1*BD186)/(Escenarios!$E$19)</f>
        <v>8.328991734773937E-3</v>
      </c>
      <c r="BK186" s="76">
        <f>BK185+(0.1*BD186)/(Escenarios!$E$19)-BL185</f>
        <v>50.182134496955904</v>
      </c>
      <c r="BL186" s="76">
        <f>MAX(0,(BK186-Constantes!$D$13)*(1-EXP(-Constantes!$D$23)))</f>
        <v>1.411116230636807E-2</v>
      </c>
      <c r="BM186" s="76">
        <f t="shared" si="36"/>
        <v>0.52857269650796057</v>
      </c>
      <c r="BN186" s="76">
        <f t="shared" si="41"/>
        <v>0.52857269650796057</v>
      </c>
      <c r="BO186" s="76">
        <f>0.0526*BI186*Observaciones!$F185^1.218</f>
        <v>0</v>
      </c>
      <c r="BP186" s="76">
        <f>BO186*Constantes!$E$51</f>
        <v>0</v>
      </c>
      <c r="BQ186" s="76">
        <f t="shared" si="37"/>
        <v>0</v>
      </c>
      <c r="BR186" s="40"/>
    </row>
    <row r="187" spans="1:70">
      <c r="A187" s="147"/>
      <c r="B187" s="39"/>
      <c r="C187" s="75">
        <v>181</v>
      </c>
      <c r="D187" s="146">
        <f>ETo!$I186*((1-Constantes!$E$19)*ETo!$K186+ETo!$L186)</f>
        <v>2.4868535562423388</v>
      </c>
      <c r="E187" s="76">
        <f>MIN(D187*Constantes!$E$17,0.8*(N186+Observaciones!$F186-F187-M187-Constantes!$D$14))</f>
        <v>-1.0272893950985918E-2</v>
      </c>
      <c r="F187" s="76">
        <f>IF(Observaciones!$F186&gt;0.05*Constantes!$E$18,((Observaciones!$F186-0.05*Constantes!$E$18)^2)/(Observaciones!$F186+0.95*Constantes!$E$18),0)</f>
        <v>0</v>
      </c>
      <c r="G187" s="76">
        <f>IF(Escenarios!$E$11&gt;0,(F187*Escenarios!$E$16*10000)/1000,0)</f>
        <v>0</v>
      </c>
      <c r="H187" s="76">
        <f>IF(Escenarios!$E$11&gt;0,(Observaciones!$F186*Constantes!$E$29)/1000,0)</f>
        <v>0</v>
      </c>
      <c r="I187" s="76">
        <f>IF(Escenarios!$E$11&gt;0,(D187*Constantes!$E$29)/1000,0)</f>
        <v>24.868535562423389</v>
      </c>
      <c r="J187" s="76">
        <f>IF(Escenarios!$E$11&gt;0,MAX(0,G187+H187-I187),0)</f>
        <v>0</v>
      </c>
      <c r="K187" s="76">
        <f>IF(Escenarios!$E$11&gt;0,IF(J187&gt;Constantes!$E$30,1000*((J187-Constantes!$E$30)/(Escenarios!$E$16*10000)),0),F187)</f>
        <v>0</v>
      </c>
      <c r="L187" s="76">
        <f>IF(Escenarios!$E$11&gt;0,I187*1000/Escenarios!$E$16/10000+E187,E187)</f>
        <v>-3.2547972601656289E-4</v>
      </c>
      <c r="M187" s="76">
        <f>MAX(0,N186+Observaciones!$F186-K187-Constantes!$D$13)</f>
        <v>0</v>
      </c>
      <c r="N187" s="76">
        <f>N186+Observaciones!$F186-K187-L187-M187-O186</f>
        <v>11.237484362287285</v>
      </c>
      <c r="O187" s="76">
        <f>MAX(0,(N187-Constantes!$D$14)*(1-EXP(-Constantes!$D$22)))</f>
        <v>0</v>
      </c>
      <c r="P187" s="170">
        <f>P186+(Entradas!$E$83*M187-Q186)/(800*Entradas!$D$25)</f>
        <v>0</v>
      </c>
      <c r="Q187" s="170">
        <f>8000*Entradas!$D$26*P187/Constantes!$E$45</f>
        <v>0</v>
      </c>
      <c r="R187" s="170">
        <f>IF(Escenarios!$E$14&gt;0,K187*Escenarios!$E$13/Escenarios!$E$14,0)</f>
        <v>0</v>
      </c>
      <c r="S187" s="170">
        <f>IF(Escenarios!$E$14&gt;0,Q187*Escenarios!$E$13/Escenarios!$E$14,0)</f>
        <v>0</v>
      </c>
      <c r="T187" s="170">
        <f>IF(Escenarios!$E$14&gt;0,Observaciones!$I186,0)</f>
        <v>0</v>
      </c>
      <c r="U187" s="170">
        <f>IF(Escenarios!$E$14&gt;0,MAX(0,Constantes!$E$36/((Z186+R187+S187+T187+Observaciones!$F186)^2)+Entradas!$E$77),0)</f>
        <v>0</v>
      </c>
      <c r="V187" s="146">
        <f>IF(ETo!D186&gt;0,ETo!I186*((1-Entradas!$E$81)*ETo!K186+ETo!L186),0)</f>
        <v>2.2359238638755503</v>
      </c>
      <c r="W187" s="170">
        <f>IF(Escenarios!$E$14&gt;0,MIN(V187*1,0.8*(Z186+R187+S187+T187+Observaciones!$F186-U187-Constantes!$E$35)),0)</f>
        <v>2.8421709430404007E-14</v>
      </c>
      <c r="X187" s="170">
        <f>IF(Escenarios!$E$14&gt;0,Observaciones!$J186,0)</f>
        <v>0</v>
      </c>
      <c r="Y187" s="170">
        <f>IF(Escenarios!$E$14&gt;0,MAX(0,Z186+R187+S187+T187+Observaciones!$F186-U187-W187-X187-Constantes!$E$33),0)</f>
        <v>0</v>
      </c>
      <c r="Z187" s="170">
        <f>Z186+R187+S187+T187+Observaciones!$F186-U187-W187-Y187</f>
        <v>41.250000000000007</v>
      </c>
      <c r="AA187" s="170">
        <f>IF(Escenarios!$E$14&gt;0,(Escenarios!$E$13*L187+Escenarios!$E$14*W187)/(Escenarios!$E$16),L187)</f>
        <v>-2.8642215889116475E-4</v>
      </c>
      <c r="AB187" s="170">
        <f>IF(Escenarios!$E$14&gt;0,(Escenarios!$E$14*Y187)/(Escenarios!$E$16),K187)</f>
        <v>0</v>
      </c>
      <c r="AC187" s="170">
        <f>IF(Escenarios!$E$14&gt;0,(Escenarios!$E$13*M187+Escenarios!$E$14*U187)/(Escenarios!$E$16),M187)</f>
        <v>0</v>
      </c>
      <c r="AD187" s="76">
        <f t="shared" si="29"/>
        <v>100.44797104156629</v>
      </c>
      <c r="AE187" s="76">
        <f>MAX(0,(AD187-Constantes!$D$13)*(1-EXP(-Constantes!$D$23)))</f>
        <v>0.50939242216991343</v>
      </c>
      <c r="AF187" s="76">
        <f>AB187+O187*Escenarios!$E$13/Escenarios!$E$16+AE187</f>
        <v>0.50939242216991343</v>
      </c>
      <c r="AG187" s="76">
        <f>IF(Entradas!$E$91&gt;0,IF(AF187-Escenarios!$E$38&lt;=0,0,IF(AF187-Escenarios!$E$38&gt;Escenarios!$E$37,Escenarios!$E$37,AF187-Escenarios!$E$38)),0)</f>
        <v>0</v>
      </c>
      <c r="AH187" s="76">
        <f>AG187*Entradas!$E$99</f>
        <v>0</v>
      </c>
      <c r="AI187" s="76">
        <f>IF(Entradas!$E$91&gt;0,D187*Entradas!$D$23/Escenarios!$E$16,0)</f>
        <v>0</v>
      </c>
      <c r="AJ187" s="76">
        <f>IF(Entradas!$E$91&gt;0,Entradas!$D$24*Entradas!$D$22/Escenarios!$E$16,0)</f>
        <v>0</v>
      </c>
      <c r="AK187" s="76">
        <f t="shared" si="38"/>
        <v>-2.8642215889116475E-4</v>
      </c>
      <c r="AL187" s="76">
        <f t="shared" si="39"/>
        <v>0</v>
      </c>
      <c r="AM187" s="76">
        <f t="shared" si="30"/>
        <v>0</v>
      </c>
      <c r="AN187" s="76">
        <f>MAX(0,O187*Escenarios!$E$13/Escenarios!$E$16-AM187)</f>
        <v>0</v>
      </c>
      <c r="AO187" s="76">
        <f>AM187+AN187-O187*Escenarios!$E$13/Escenarios!$E$16</f>
        <v>0</v>
      </c>
      <c r="AP187" s="76">
        <f t="shared" si="28"/>
        <v>0.50939242216991343</v>
      </c>
      <c r="AQ187" s="76">
        <f t="shared" si="31"/>
        <v>0</v>
      </c>
      <c r="AR187" s="76">
        <f t="shared" si="32"/>
        <v>0.50939242216991343</v>
      </c>
      <c r="AS187" s="76">
        <f t="shared" si="33"/>
        <v>0</v>
      </c>
      <c r="AT187" s="76">
        <f t="shared" si="34"/>
        <v>0</v>
      </c>
      <c r="AU187" s="76">
        <f t="shared" si="35"/>
        <v>48.75</v>
      </c>
      <c r="AV187" s="76">
        <f>MAX(0,(AU187-Constantes!$D$13)*(1-EXP(-Constantes!$D$24)))</f>
        <v>0</v>
      </c>
      <c r="AW187" s="170">
        <f>AW186+(Entradas!$E$112*AT187-AX186)/(800*Entradas!$D$25)</f>
        <v>0</v>
      </c>
      <c r="AX187" s="170">
        <f>8000*Entradas!$D$26*AW187/Constantes!$E$45</f>
        <v>0</v>
      </c>
      <c r="AY187" s="170">
        <f>IF(Escenarios!$E$17&gt;0,10*Escenarios!$E$16*AL187,0)</f>
        <v>0</v>
      </c>
      <c r="AZ187" s="170">
        <f>IF(Escenarios!$E$17&gt;0,10*Escenarios!$E$16*AX187,0)</f>
        <v>0</v>
      </c>
      <c r="BA187" s="170">
        <f>IF(Escenarios!$E$17&gt;0,0.001*Observaciones!$F186*Escenarios!$E$17,0)</f>
        <v>0</v>
      </c>
      <c r="BB187" s="170">
        <f>IF(Escenarios!$E$17&gt;0,Observaciones!$K186,0)</f>
        <v>0</v>
      </c>
      <c r="BC187" s="170">
        <f>IF(Escenarios!$E$17&gt;0,MIN(0.0005*ETo!$M186*Escenarios!$E$17*(BG186/Constantes!$E$40)^(2/3),BG186+AY187+AZ187+BA187+BB187),0)</f>
        <v>7.3917976570500246</v>
      </c>
      <c r="BD187" s="170">
        <f>IF(Escenarios!$E$17&gt;0,MIN(Constantes!$E$39*(BG186/Constantes!$E$40)^(2/3),BG186+AY187+AZ187+BA187+BB187-BC187),0)</f>
        <v>20.520666873020037</v>
      </c>
      <c r="BE187" s="170">
        <f>IF(Escenarios!$E$17&gt;0,MIN(Entradas!$E$113,BG186+AY187+AZ187+BA187+BB187-BC187-BD187),0)</f>
        <v>1</v>
      </c>
      <c r="BF187" s="170">
        <f>IF(Escenarios!$E$17&gt;0,MAX(0,BG186+AY187+AZ187+BA187+BB187-BC187-BD187-BE187-Constantes!$E$40),0)</f>
        <v>0</v>
      </c>
      <c r="BG187" s="170">
        <f t="shared" si="40"/>
        <v>837.17343046182805</v>
      </c>
      <c r="BH187" s="170">
        <f>(Escenarios!$E$16*AK187+0.1*BC187)/(Escenarios!$E$19)</f>
        <v>2.6491040713579818E-3</v>
      </c>
      <c r="BI187" s="170">
        <f>IF(Escenarios!$E$17&gt;0,BF187/10/Escenarios!$E$19,AL187)</f>
        <v>0</v>
      </c>
      <c r="BJ187" s="170">
        <f>(Escenarios!$E$16*AT187+0.1*BD187)/(Escenarios!$E$19)</f>
        <v>8.1431217750079516E-3</v>
      </c>
      <c r="BK187" s="76">
        <f>BK186+(0.1*BD187)/(Escenarios!$E$19)-BL186</f>
        <v>50.176166456424539</v>
      </c>
      <c r="BL187" s="76">
        <f>MAX(0,(BK187-Constantes!$D$13)*(1-EXP(-Constantes!$D$23)))</f>
        <v>1.405235778153603E-2</v>
      </c>
      <c r="BM187" s="76">
        <f t="shared" si="36"/>
        <v>0.52344477995144945</v>
      </c>
      <c r="BN187" s="76">
        <f t="shared" si="41"/>
        <v>0.52344477995144945</v>
      </c>
      <c r="BO187" s="76">
        <f>0.0526*BI187*Observaciones!$F186^1.218</f>
        <v>0</v>
      </c>
      <c r="BP187" s="76">
        <f>BO187*Constantes!$E$51</f>
        <v>0</v>
      </c>
      <c r="BQ187" s="76">
        <f t="shared" si="37"/>
        <v>0</v>
      </c>
      <c r="BR187" s="40"/>
    </row>
    <row r="188" spans="1:70">
      <c r="A188" s="147"/>
      <c r="B188" s="39"/>
      <c r="C188" s="75">
        <v>182</v>
      </c>
      <c r="D188" s="146">
        <f>ETo!$I187*((1-Constantes!$E$19)*ETo!$K187+ETo!$L187)</f>
        <v>2.5493317568706857</v>
      </c>
      <c r="E188" s="76">
        <f>MIN(D188*Constantes!$E$17,0.8*(N187+Observaciones!$F187-F188-M188-Constantes!$D$14))</f>
        <v>-1.0012510170172108E-2</v>
      </c>
      <c r="F188" s="76">
        <f>IF(Observaciones!$F187&gt;0.05*Constantes!$E$18,((Observaciones!$F187-0.05*Constantes!$E$18)^2)/(Observaciones!$F187+0.95*Constantes!$E$18),0)</f>
        <v>0</v>
      </c>
      <c r="G188" s="76">
        <f>IF(Escenarios!$E$11&gt;0,(F188*Escenarios!$E$16*10000)/1000,0)</f>
        <v>0</v>
      </c>
      <c r="H188" s="76">
        <f>IF(Escenarios!$E$11&gt;0,(Observaciones!$F187*Constantes!$E$29)/1000,0)</f>
        <v>0</v>
      </c>
      <c r="I188" s="76">
        <f>IF(Escenarios!$E$11&gt;0,(D188*Constantes!$E$29)/1000,0)</f>
        <v>25.493317568706857</v>
      </c>
      <c r="J188" s="76">
        <f>IF(Escenarios!$E$11&gt;0,MAX(0,G188+H188-I188),0)</f>
        <v>0</v>
      </c>
      <c r="K188" s="76">
        <f>IF(Escenarios!$E$11&gt;0,IF(J188&gt;Constantes!$E$30,1000*((J188-Constantes!$E$30)/(Escenarios!$E$16*10000)),0),F188)</f>
        <v>0</v>
      </c>
      <c r="L188" s="76">
        <f>IF(Escenarios!$E$11&gt;0,I188*1000/Escenarios!$E$16/10000+E188,E188)</f>
        <v>1.8481685731063478E-4</v>
      </c>
      <c r="M188" s="76">
        <f>MAX(0,N187+Observaciones!$F187-K188-Constantes!$D$13)</f>
        <v>0</v>
      </c>
      <c r="N188" s="76">
        <f>N187+Observaciones!$F187-K188-L188-M188-O187</f>
        <v>11.237299545429975</v>
      </c>
      <c r="O188" s="76">
        <f>MAX(0,(N188-Constantes!$D$14)*(1-EXP(-Constantes!$D$22)))</f>
        <v>0</v>
      </c>
      <c r="P188" s="170">
        <f>P187+(Entradas!$E$83*M188-Q187)/(800*Entradas!$D$25)</f>
        <v>0</v>
      </c>
      <c r="Q188" s="170">
        <f>8000*Entradas!$D$26*P188/Constantes!$E$45</f>
        <v>0</v>
      </c>
      <c r="R188" s="170">
        <f>IF(Escenarios!$E$14&gt;0,K188*Escenarios!$E$13/Escenarios!$E$14,0)</f>
        <v>0</v>
      </c>
      <c r="S188" s="170">
        <f>IF(Escenarios!$E$14&gt;0,Q188*Escenarios!$E$13/Escenarios!$E$14,0)</f>
        <v>0</v>
      </c>
      <c r="T188" s="170">
        <f>IF(Escenarios!$E$14&gt;0,Observaciones!$I187,0)</f>
        <v>0</v>
      </c>
      <c r="U188" s="170">
        <f>IF(Escenarios!$E$14&gt;0,MAX(0,Constantes!$E$36/((Z187+R188+S188+T188+Observaciones!$F187)^2)+Entradas!$E$77),0)</f>
        <v>0</v>
      </c>
      <c r="V188" s="146">
        <f>IF(ETo!D187&gt;0,ETo!I187*((1-Entradas!$E$81)*ETo!K187+ETo!L187),0)</f>
        <v>2.2927785061136965</v>
      </c>
      <c r="W188" s="170">
        <f>IF(Escenarios!$E$14&gt;0,MIN(V188*1,0.8*(Z187+R188+S188+T188+Observaciones!$F187-U188-Constantes!$E$35)),0)</f>
        <v>5.6843418860808018E-15</v>
      </c>
      <c r="X188" s="170">
        <f>IF(Escenarios!$E$14&gt;0,Observaciones!$J187,0)</f>
        <v>0</v>
      </c>
      <c r="Y188" s="170">
        <f>IF(Escenarios!$E$14&gt;0,MAX(0,Z187+R188+S188+T188+Observaciones!$F187-U188-W188-X188-Constantes!$E$33),0)</f>
        <v>0</v>
      </c>
      <c r="Z188" s="170">
        <f>Z187+R188+S188+T188+Observaciones!$F187-U188-W188-Y188</f>
        <v>41.25</v>
      </c>
      <c r="AA188" s="170">
        <f>IF(Escenarios!$E$14&gt;0,(Escenarios!$E$13*L188+Escenarios!$E$14*W188)/(Escenarios!$E$16),L188)</f>
        <v>1.6263883443404074E-4</v>
      </c>
      <c r="AB188" s="170">
        <f>IF(Escenarios!$E$14&gt;0,(Escenarios!$E$14*Y188)/(Escenarios!$E$16),K188)</f>
        <v>0</v>
      </c>
      <c r="AC188" s="170">
        <f>IF(Escenarios!$E$14&gt;0,(Escenarios!$E$13*M188+Escenarios!$E$14*U188)/(Escenarios!$E$16),M188)</f>
        <v>0</v>
      </c>
      <c r="AD188" s="76">
        <f t="shared" si="29"/>
        <v>99.938578619396381</v>
      </c>
      <c r="AE188" s="76">
        <f>MAX(0,(AD188-Constantes!$D$13)*(1-EXP(-Constantes!$D$23)))</f>
        <v>0.50437325730645099</v>
      </c>
      <c r="AF188" s="76">
        <f>AB188+O188*Escenarios!$E$13/Escenarios!$E$16+AE188</f>
        <v>0.50437325730645099</v>
      </c>
      <c r="AG188" s="76">
        <f>IF(Entradas!$E$91&gt;0,IF(AF188-Escenarios!$E$38&lt;=0,0,IF(AF188-Escenarios!$E$38&gt;Escenarios!$E$37,Escenarios!$E$37,AF188-Escenarios!$E$38)),0)</f>
        <v>0</v>
      </c>
      <c r="AH188" s="76">
        <f>AG188*Entradas!$E$99</f>
        <v>0</v>
      </c>
      <c r="AI188" s="76">
        <f>IF(Entradas!$E$91&gt;0,D188*Entradas!$D$23/Escenarios!$E$16,0)</f>
        <v>0</v>
      </c>
      <c r="AJ188" s="76">
        <f>IF(Entradas!$E$91&gt;0,Entradas!$D$24*Entradas!$D$22/Escenarios!$E$16,0)</f>
        <v>0</v>
      </c>
      <c r="AK188" s="76">
        <f t="shared" si="38"/>
        <v>1.6263883443404074E-4</v>
      </c>
      <c r="AL188" s="76">
        <f t="shared" si="39"/>
        <v>0</v>
      </c>
      <c r="AM188" s="76">
        <f t="shared" si="30"/>
        <v>0</v>
      </c>
      <c r="AN188" s="76">
        <f>MAX(0,O188*Escenarios!$E$13/Escenarios!$E$16-AM188)</f>
        <v>0</v>
      </c>
      <c r="AO188" s="76">
        <f>AM188+AN188-O188*Escenarios!$E$13/Escenarios!$E$16</f>
        <v>0</v>
      </c>
      <c r="AP188" s="76">
        <f t="shared" si="28"/>
        <v>0.50437325730645099</v>
      </c>
      <c r="AQ188" s="76">
        <f t="shared" si="31"/>
        <v>0</v>
      </c>
      <c r="AR188" s="76">
        <f t="shared" si="32"/>
        <v>0.50437325730645099</v>
      </c>
      <c r="AS188" s="76">
        <f t="shared" si="33"/>
        <v>0</v>
      </c>
      <c r="AT188" s="76">
        <f t="shared" si="34"/>
        <v>0</v>
      </c>
      <c r="AU188" s="76">
        <f t="shared" si="35"/>
        <v>48.75</v>
      </c>
      <c r="AV188" s="76">
        <f>MAX(0,(AU188-Constantes!$D$13)*(1-EXP(-Constantes!$D$24)))</f>
        <v>0</v>
      </c>
      <c r="AW188" s="170">
        <f>AW187+(Entradas!$E$112*AT188-AX187)/(800*Entradas!$D$25)</f>
        <v>0</v>
      </c>
      <c r="AX188" s="170">
        <f>8000*Entradas!$D$26*AW188/Constantes!$E$45</f>
        <v>0</v>
      </c>
      <c r="AY188" s="170">
        <f>IF(Escenarios!$E$17&gt;0,10*Escenarios!$E$16*AL188,0)</f>
        <v>0</v>
      </c>
      <c r="AZ188" s="170">
        <f>IF(Escenarios!$E$17&gt;0,10*Escenarios!$E$16*AX188,0)</f>
        <v>0</v>
      </c>
      <c r="BA188" s="170">
        <f>IF(Escenarios!$E$17&gt;0,0.001*Observaciones!$F187*Escenarios!$E$17,0)</f>
        <v>0</v>
      </c>
      <c r="BB188" s="170">
        <f>IF(Escenarios!$E$17&gt;0,Observaciones!$K187,0)</f>
        <v>0</v>
      </c>
      <c r="BC188" s="170">
        <f>IF(Escenarios!$E$17&gt;0,MIN(0.0005*ETo!$M187*Escenarios!$E$17*(BG187/Constantes!$E$40)^(2/3),BG187+AY188+AZ188+BA188+BB188),0)</f>
        <v>7.4052270357110599</v>
      </c>
      <c r="BD188" s="170">
        <f>IF(Escenarios!$E$17&gt;0,MIN(Constantes!$E$39*(BG187/Constantes!$E$40)^(2/3),BG187+AY188+AZ188+BA188+BB188-BC188),0)</f>
        <v>20.061394462133961</v>
      </c>
      <c r="BE188" s="170">
        <f>IF(Escenarios!$E$17&gt;0,MIN(Entradas!$E$113,BG187+AY188+AZ188+BA188+BB188-BC188-BD188),0)</f>
        <v>1</v>
      </c>
      <c r="BF188" s="170">
        <f>IF(Escenarios!$E$17&gt;0,MAX(0,BG187+AY188+AZ188+BA188+BB188-BC188-BD188-BE188-Constantes!$E$40),0)</f>
        <v>0</v>
      </c>
      <c r="BG188" s="170">
        <f t="shared" si="40"/>
        <v>808.70680896398301</v>
      </c>
      <c r="BH188" s="170">
        <f>(Escenarios!$E$16*AK188+0.1*BC188)/(Escenarios!$E$19)</f>
        <v>3.0999302070619694E-3</v>
      </c>
      <c r="BI188" s="170">
        <f>IF(Escenarios!$E$17&gt;0,BF188/10/Escenarios!$E$19,AL188)</f>
        <v>0</v>
      </c>
      <c r="BJ188" s="170">
        <f>(Escenarios!$E$16*AT188+0.1*BD188)/(Escenarios!$E$19)</f>
        <v>7.960870818307127E-3</v>
      </c>
      <c r="BK188" s="76">
        <f>BK187+(0.1*BD188)/(Escenarios!$E$19)-BL187</f>
        <v>50.170074969461311</v>
      </c>
      <c r="BL188" s="76">
        <f>MAX(0,(BK188-Constantes!$D$13)*(1-EXP(-Constantes!$D$23)))</f>
        <v>1.3992336909608183E-2</v>
      </c>
      <c r="BM188" s="76">
        <f t="shared" si="36"/>
        <v>0.51836559421605921</v>
      </c>
      <c r="BN188" s="76">
        <f t="shared" si="41"/>
        <v>0.51836559421605921</v>
      </c>
      <c r="BO188" s="76">
        <f>0.0526*BI188*Observaciones!$F187^1.218</f>
        <v>0</v>
      </c>
      <c r="BP188" s="76">
        <f>BO188*Constantes!$E$51</f>
        <v>0</v>
      </c>
      <c r="BQ188" s="76">
        <f t="shared" si="37"/>
        <v>0</v>
      </c>
      <c r="BR188" s="40"/>
    </row>
    <row r="189" spans="1:70">
      <c r="A189" s="147"/>
      <c r="B189" s="39"/>
      <c r="C189" s="75">
        <v>183</v>
      </c>
      <c r="D189" s="146">
        <f>ETo!$I188*((1-Constantes!$E$19)*ETo!$K188+ETo!$L188)</f>
        <v>2.5625168878154962</v>
      </c>
      <c r="E189" s="76">
        <f>MIN(D189*Constantes!$E$17,0.8*(N188+Observaciones!$F188-F189-M189-Constantes!$D$14))</f>
        <v>-1.0160363656019911E-2</v>
      </c>
      <c r="F189" s="76">
        <f>IF(Observaciones!$F188&gt;0.05*Constantes!$E$18,((Observaciones!$F188-0.05*Constantes!$E$18)^2)/(Observaciones!$F188+0.95*Constantes!$E$18),0)</f>
        <v>0</v>
      </c>
      <c r="G189" s="76">
        <f>IF(Escenarios!$E$11&gt;0,(F189*Escenarios!$E$16*10000)/1000,0)</f>
        <v>0</v>
      </c>
      <c r="H189" s="76">
        <f>IF(Escenarios!$E$11&gt;0,(Observaciones!$F188*Constantes!$E$29)/1000,0)</f>
        <v>0</v>
      </c>
      <c r="I189" s="76">
        <f>IF(Escenarios!$E$11&gt;0,(D189*Constantes!$E$29)/1000,0)</f>
        <v>25.625168878154962</v>
      </c>
      <c r="J189" s="76">
        <f>IF(Escenarios!$E$11&gt;0,MAX(0,G189+H189-I189),0)</f>
        <v>0</v>
      </c>
      <c r="K189" s="76">
        <f>IF(Escenarios!$E$11&gt;0,IF(J189&gt;Constantes!$E$30,1000*((J189-Constantes!$E$30)/(Escenarios!$E$16*10000)),0),F189)</f>
        <v>0</v>
      </c>
      <c r="L189" s="76">
        <f>IF(Escenarios!$E$11&gt;0,I189*1000/Escenarios!$E$16/10000+E189,E189)</f>
        <v>8.9703895242074921E-5</v>
      </c>
      <c r="M189" s="76">
        <f>MAX(0,N188+Observaciones!$F188-K189-Constantes!$D$13)</f>
        <v>0</v>
      </c>
      <c r="N189" s="76">
        <f>N188+Observaciones!$F188-K189-L189-M189-O188</f>
        <v>11.237209841534733</v>
      </c>
      <c r="O189" s="76">
        <f>MAX(0,(N189-Constantes!$D$14)*(1-EXP(-Constantes!$D$22)))</f>
        <v>0</v>
      </c>
      <c r="P189" s="170">
        <f>P188+(Entradas!$E$83*M189-Q188)/(800*Entradas!$D$25)</f>
        <v>0</v>
      </c>
      <c r="Q189" s="170">
        <f>8000*Entradas!$D$26*P189/Constantes!$E$45</f>
        <v>0</v>
      </c>
      <c r="R189" s="170">
        <f>IF(Escenarios!$E$14&gt;0,K189*Escenarios!$E$13/Escenarios!$E$14,0)</f>
        <v>0</v>
      </c>
      <c r="S189" s="170">
        <f>IF(Escenarios!$E$14&gt;0,Q189*Escenarios!$E$13/Escenarios!$E$14,0)</f>
        <v>0</v>
      </c>
      <c r="T189" s="170">
        <f>IF(Escenarios!$E$14&gt;0,Observaciones!$I188,0)</f>
        <v>0</v>
      </c>
      <c r="U189" s="170">
        <f>IF(Escenarios!$E$14&gt;0,MAX(0,Constantes!$E$36/((Z188+R189+S189+T189+Observaciones!$F188)^2)+Entradas!$E$77),0)</f>
        <v>0</v>
      </c>
      <c r="V189" s="146">
        <f>IF(ETo!D188&gt;0,ETo!I188*((1-Entradas!$E$81)*ETo!K188+ETo!L188),0)</f>
        <v>2.3048911349799379</v>
      </c>
      <c r="W189" s="170">
        <f>IF(Escenarios!$E$14&gt;0,MIN(V189*1,0.8*(Z188+R189+S189+T189+Observaciones!$F188-U189-Constantes!$E$35)),0)</f>
        <v>0</v>
      </c>
      <c r="X189" s="170">
        <f>IF(Escenarios!$E$14&gt;0,Observaciones!$J188,0)</f>
        <v>0</v>
      </c>
      <c r="Y189" s="170">
        <f>IF(Escenarios!$E$14&gt;0,MAX(0,Z188+R189+S189+T189+Observaciones!$F188-U189-W189-X189-Constantes!$E$33),0)</f>
        <v>0</v>
      </c>
      <c r="Z189" s="170">
        <f>Z188+R189+S189+T189+Observaciones!$F188-U189-W189-Y189</f>
        <v>41.25</v>
      </c>
      <c r="AA189" s="170">
        <f>IF(Escenarios!$E$14&gt;0,(Escenarios!$E$13*L189+Escenarios!$E$14*W189)/(Escenarios!$E$16),L189)</f>
        <v>7.8939427813025929E-5</v>
      </c>
      <c r="AB189" s="170">
        <f>IF(Escenarios!$E$14&gt;0,(Escenarios!$E$14*Y189)/(Escenarios!$E$16),K189)</f>
        <v>0</v>
      </c>
      <c r="AC189" s="170">
        <f>IF(Escenarios!$E$14&gt;0,(Escenarios!$E$13*M189+Escenarios!$E$14*U189)/(Escenarios!$E$16),M189)</f>
        <v>0</v>
      </c>
      <c r="AD189" s="76">
        <f t="shared" si="29"/>
        <v>99.434205362089926</v>
      </c>
      <c r="AE189" s="76">
        <f>MAX(0,(AD189-Constantes!$D$13)*(1-EXP(-Constantes!$D$23)))</f>
        <v>0.49940354746986004</v>
      </c>
      <c r="AF189" s="76">
        <f>AB189+O189*Escenarios!$E$13/Escenarios!$E$16+AE189</f>
        <v>0.49940354746986004</v>
      </c>
      <c r="AG189" s="76">
        <f>IF(Entradas!$E$91&gt;0,IF(AF189-Escenarios!$E$38&lt;=0,0,IF(AF189-Escenarios!$E$38&gt;Escenarios!$E$37,Escenarios!$E$37,AF189-Escenarios!$E$38)),0)</f>
        <v>0</v>
      </c>
      <c r="AH189" s="76">
        <f>AG189*Entradas!$E$99</f>
        <v>0</v>
      </c>
      <c r="AI189" s="76">
        <f>IF(Entradas!$E$91&gt;0,D189*Entradas!$D$23/Escenarios!$E$16,0)</f>
        <v>0</v>
      </c>
      <c r="AJ189" s="76">
        <f>IF(Entradas!$E$91&gt;0,Entradas!$D$24*Entradas!$D$22/Escenarios!$E$16,0)</f>
        <v>0</v>
      </c>
      <c r="AK189" s="76">
        <f t="shared" si="38"/>
        <v>7.8939427813025929E-5</v>
      </c>
      <c r="AL189" s="76">
        <f t="shared" si="39"/>
        <v>0</v>
      </c>
      <c r="AM189" s="76">
        <f t="shared" si="30"/>
        <v>0</v>
      </c>
      <c r="AN189" s="76">
        <f>MAX(0,O189*Escenarios!$E$13/Escenarios!$E$16-AM189)</f>
        <v>0</v>
      </c>
      <c r="AO189" s="76">
        <f>AM189+AN189-O189*Escenarios!$E$13/Escenarios!$E$16</f>
        <v>0</v>
      </c>
      <c r="AP189" s="76">
        <f t="shared" si="28"/>
        <v>0.49940354746986004</v>
      </c>
      <c r="AQ189" s="76">
        <f t="shared" si="31"/>
        <v>0</v>
      </c>
      <c r="AR189" s="76">
        <f t="shared" si="32"/>
        <v>0.49940354746986004</v>
      </c>
      <c r="AS189" s="76">
        <f t="shared" si="33"/>
        <v>0</v>
      </c>
      <c r="AT189" s="76">
        <f t="shared" si="34"/>
        <v>0</v>
      </c>
      <c r="AU189" s="76">
        <f t="shared" si="35"/>
        <v>48.75</v>
      </c>
      <c r="AV189" s="76">
        <f>MAX(0,(AU189-Constantes!$D$13)*(1-EXP(-Constantes!$D$24)))</f>
        <v>0</v>
      </c>
      <c r="AW189" s="170">
        <f>AW188+(Entradas!$E$112*AT189-AX188)/(800*Entradas!$D$25)</f>
        <v>0</v>
      </c>
      <c r="AX189" s="170">
        <f>8000*Entradas!$D$26*AW189/Constantes!$E$45</f>
        <v>0</v>
      </c>
      <c r="AY189" s="170">
        <f>IF(Escenarios!$E$17&gt;0,10*Escenarios!$E$16*AL189,0)</f>
        <v>0</v>
      </c>
      <c r="AZ189" s="170">
        <f>IF(Escenarios!$E$17&gt;0,10*Escenarios!$E$16*AX189,0)</f>
        <v>0</v>
      </c>
      <c r="BA189" s="170">
        <f>IF(Escenarios!$E$17&gt;0,0.001*Observaciones!$F188*Escenarios!$E$17,0)</f>
        <v>0</v>
      </c>
      <c r="BB189" s="170">
        <f>IF(Escenarios!$E$17&gt;0,Observaciones!$K188,0)</f>
        <v>0</v>
      </c>
      <c r="BC189" s="170">
        <f>IF(Escenarios!$E$17&gt;0,MIN(0.0005*ETo!$M188*Escenarios!$E$17*(BG188/Constantes!$E$40)^(2/3),BG188+AY189+AZ189+BA189+BB189),0)</f>
        <v>7.2728388200776282</v>
      </c>
      <c r="BD189" s="170">
        <f>IF(Escenarios!$E$17&gt;0,MIN(Constantes!$E$39*(BG188/Constantes!$E$40)^(2/3),BG188+AY189+AZ189+BA189+BB189-BC189),0)</f>
        <v>19.604008982287759</v>
      </c>
      <c r="BE189" s="170">
        <f>IF(Escenarios!$E$17&gt;0,MIN(Entradas!$E$113,BG188+AY189+AZ189+BA189+BB189-BC189-BD189),0)</f>
        <v>1</v>
      </c>
      <c r="BF189" s="170">
        <f>IF(Escenarios!$E$17&gt;0,MAX(0,BG188+AY189+AZ189+BA189+BB189-BC189-BD189-BE189-Constantes!$E$40),0)</f>
        <v>0</v>
      </c>
      <c r="BG189" s="170">
        <f t="shared" si="40"/>
        <v>780.82996116161769</v>
      </c>
      <c r="BH189" s="170">
        <f>(Escenarios!$E$16*AK189+0.1*BC189)/(Escenarios!$E$19)</f>
        <v>2.9643600752421403E-3</v>
      </c>
      <c r="BI189" s="170">
        <f>IF(Escenarios!$E$17&gt;0,BF189/10/Escenarios!$E$19,AL189)</f>
        <v>0</v>
      </c>
      <c r="BJ189" s="170">
        <f>(Escenarios!$E$16*AT189+0.1*BD189)/(Escenarios!$E$19)</f>
        <v>7.7793686437649841E-3</v>
      </c>
      <c r="BK189" s="76">
        <f>BK188+(0.1*BD189)/(Escenarios!$E$19)-BL188</f>
        <v>50.163862001195469</v>
      </c>
      <c r="BL189" s="76">
        <f>MAX(0,(BK189-Constantes!$D$13)*(1-EXP(-Constantes!$D$23)))</f>
        <v>1.3931119053471089E-2</v>
      </c>
      <c r="BM189" s="76">
        <f t="shared" si="36"/>
        <v>0.51333466652333115</v>
      </c>
      <c r="BN189" s="76">
        <f t="shared" si="41"/>
        <v>0.51333466652333115</v>
      </c>
      <c r="BO189" s="76">
        <f>0.0526*BI189*Observaciones!$F188^1.218</f>
        <v>0</v>
      </c>
      <c r="BP189" s="76">
        <f>BO189*Constantes!$E$51</f>
        <v>0</v>
      </c>
      <c r="BQ189" s="76">
        <f t="shared" si="37"/>
        <v>0</v>
      </c>
      <c r="BR189" s="40"/>
    </row>
    <row r="190" spans="1:70">
      <c r="A190" s="147"/>
      <c r="B190" s="39"/>
      <c r="C190" s="75">
        <v>184</v>
      </c>
      <c r="D190" s="146">
        <f>ETo!$I189*((1-Constantes!$E$19)*ETo!$K189+ETo!$L189)</f>
        <v>2.5142072506008422</v>
      </c>
      <c r="E190" s="76">
        <f>MIN(D190*Constantes!$E$17,0.8*(N189+Observaciones!$F189-F190-M190-Constantes!$D$14))</f>
        <v>-1.0232126772213235E-2</v>
      </c>
      <c r="F190" s="76">
        <f>IF(Observaciones!$F189&gt;0.05*Constantes!$E$18,((Observaciones!$F189-0.05*Constantes!$E$18)^2)/(Observaciones!$F189+0.95*Constantes!$E$18),0)</f>
        <v>0</v>
      </c>
      <c r="G190" s="76">
        <f>IF(Escenarios!$E$11&gt;0,(F190*Escenarios!$E$16*10000)/1000,0)</f>
        <v>0</v>
      </c>
      <c r="H190" s="76">
        <f>IF(Escenarios!$E$11&gt;0,(Observaciones!$F189*Constantes!$E$29)/1000,0)</f>
        <v>0</v>
      </c>
      <c r="I190" s="76">
        <f>IF(Escenarios!$E$11&gt;0,(D190*Constantes!$E$29)/1000,0)</f>
        <v>25.142072506008422</v>
      </c>
      <c r="J190" s="76">
        <f>IF(Escenarios!$E$11&gt;0,MAX(0,G190+H190-I190),0)</f>
        <v>0</v>
      </c>
      <c r="K190" s="76">
        <f>IF(Escenarios!$E$11&gt;0,IF(J190&gt;Constantes!$E$30,1000*((J190-Constantes!$E$30)/(Escenarios!$E$16*10000)),0),F190)</f>
        <v>0</v>
      </c>
      <c r="L190" s="76">
        <f>IF(Escenarios!$E$11&gt;0,I190*1000/Escenarios!$E$16/10000+E190,E190)</f>
        <v>-1.752977698098665E-4</v>
      </c>
      <c r="M190" s="76">
        <f>MAX(0,N189+Observaciones!$F189-K190-Constantes!$D$13)</f>
        <v>0</v>
      </c>
      <c r="N190" s="76">
        <f>N189+Observaciones!$F189-K190-L190-M190-O189</f>
        <v>11.237385139304543</v>
      </c>
      <c r="O190" s="76">
        <f>MAX(0,(N190-Constantes!$D$14)*(1-EXP(-Constantes!$D$22)))</f>
        <v>0</v>
      </c>
      <c r="P190" s="170">
        <f>P189+(Entradas!$E$83*M190-Q189)/(800*Entradas!$D$25)</f>
        <v>0</v>
      </c>
      <c r="Q190" s="170">
        <f>8000*Entradas!$D$26*P190/Constantes!$E$45</f>
        <v>0</v>
      </c>
      <c r="R190" s="170">
        <f>IF(Escenarios!$E$14&gt;0,K190*Escenarios!$E$13/Escenarios!$E$14,0)</f>
        <v>0</v>
      </c>
      <c r="S190" s="170">
        <f>IF(Escenarios!$E$14&gt;0,Q190*Escenarios!$E$13/Escenarios!$E$14,0)</f>
        <v>0</v>
      </c>
      <c r="T190" s="170">
        <f>IF(Escenarios!$E$14&gt;0,Observaciones!$I189,0)</f>
        <v>0</v>
      </c>
      <c r="U190" s="170">
        <f>IF(Escenarios!$E$14&gt;0,MAX(0,Constantes!$E$36/((Z189+R190+S190+T190+Observaciones!$F189)^2)+Entradas!$E$77),0)</f>
        <v>0</v>
      </c>
      <c r="V190" s="146">
        <f>IF(ETo!D189&gt;0,ETo!I189*((1-Entradas!$E$81)*ETo!K189+ETo!L189),0)</f>
        <v>2.2611097156184563</v>
      </c>
      <c r="W190" s="170">
        <f>IF(Escenarios!$E$14&gt;0,MIN(V190*1,0.8*(Z189+R190+S190+T190+Observaciones!$F189-U190-Constantes!$E$35)),0)</f>
        <v>0</v>
      </c>
      <c r="X190" s="170">
        <f>IF(Escenarios!$E$14&gt;0,Observaciones!$J189,0)</f>
        <v>0</v>
      </c>
      <c r="Y190" s="170">
        <f>IF(Escenarios!$E$14&gt;0,MAX(0,Z189+R190+S190+T190+Observaciones!$F189-U190-W190-X190-Constantes!$E$33),0)</f>
        <v>0</v>
      </c>
      <c r="Z190" s="170">
        <f>Z189+R190+S190+T190+Observaciones!$F189-U190-W190-Y190</f>
        <v>41.25</v>
      </c>
      <c r="AA190" s="170">
        <f>IF(Escenarios!$E$14&gt;0,(Escenarios!$E$13*L190+Escenarios!$E$14*W190)/(Escenarios!$E$16),L190)</f>
        <v>-1.5426203743268253E-4</v>
      </c>
      <c r="AB190" s="170">
        <f>IF(Escenarios!$E$14&gt;0,(Escenarios!$E$14*Y190)/(Escenarios!$E$16),K190)</f>
        <v>0</v>
      </c>
      <c r="AC190" s="170">
        <f>IF(Escenarios!$E$14&gt;0,(Escenarios!$E$13*M190+Escenarios!$E$14*U190)/(Escenarios!$E$16),M190)</f>
        <v>0</v>
      </c>
      <c r="AD190" s="76">
        <f t="shared" si="29"/>
        <v>98.934801814620073</v>
      </c>
      <c r="AE190" s="76">
        <f>MAX(0,(AD190-Constantes!$D$13)*(1-EXP(-Constantes!$D$23)))</f>
        <v>0.49448280536798184</v>
      </c>
      <c r="AF190" s="76">
        <f>AB190+O190*Escenarios!$E$13/Escenarios!$E$16+AE190</f>
        <v>0.49448280536798184</v>
      </c>
      <c r="AG190" s="76">
        <f>IF(Entradas!$E$91&gt;0,IF(AF190-Escenarios!$E$38&lt;=0,0,IF(AF190-Escenarios!$E$38&gt;Escenarios!$E$37,Escenarios!$E$37,AF190-Escenarios!$E$38)),0)</f>
        <v>0</v>
      </c>
      <c r="AH190" s="76">
        <f>AG190*Entradas!$E$99</f>
        <v>0</v>
      </c>
      <c r="AI190" s="76">
        <f>IF(Entradas!$E$91&gt;0,D190*Entradas!$D$23/Escenarios!$E$16,0)</f>
        <v>0</v>
      </c>
      <c r="AJ190" s="76">
        <f>IF(Entradas!$E$91&gt;0,Entradas!$D$24*Entradas!$D$22/Escenarios!$E$16,0)</f>
        <v>0</v>
      </c>
      <c r="AK190" s="76">
        <f t="shared" si="38"/>
        <v>-1.5426203743268253E-4</v>
      </c>
      <c r="AL190" s="76">
        <f t="shared" si="39"/>
        <v>0</v>
      </c>
      <c r="AM190" s="76">
        <f t="shared" si="30"/>
        <v>0</v>
      </c>
      <c r="AN190" s="76">
        <f>MAX(0,O190*Escenarios!$E$13/Escenarios!$E$16-AM190)</f>
        <v>0</v>
      </c>
      <c r="AO190" s="76">
        <f>AM190+AN190-O190*Escenarios!$E$13/Escenarios!$E$16</f>
        <v>0</v>
      </c>
      <c r="AP190" s="76">
        <f t="shared" si="28"/>
        <v>0.49448280536798184</v>
      </c>
      <c r="AQ190" s="76">
        <f t="shared" si="31"/>
        <v>0</v>
      </c>
      <c r="AR190" s="76">
        <f t="shared" si="32"/>
        <v>0.49448280536798184</v>
      </c>
      <c r="AS190" s="76">
        <f t="shared" si="33"/>
        <v>0</v>
      </c>
      <c r="AT190" s="76">
        <f t="shared" si="34"/>
        <v>0</v>
      </c>
      <c r="AU190" s="76">
        <f t="shared" si="35"/>
        <v>48.75</v>
      </c>
      <c r="AV190" s="76">
        <f>MAX(0,(AU190-Constantes!$D$13)*(1-EXP(-Constantes!$D$24)))</f>
        <v>0</v>
      </c>
      <c r="AW190" s="170">
        <f>AW189+(Entradas!$E$112*AT190-AX189)/(800*Entradas!$D$25)</f>
        <v>0</v>
      </c>
      <c r="AX190" s="170">
        <f>8000*Entradas!$D$26*AW190/Constantes!$E$45</f>
        <v>0</v>
      </c>
      <c r="AY190" s="170">
        <f>IF(Escenarios!$E$17&gt;0,10*Escenarios!$E$16*AL190,0)</f>
        <v>0</v>
      </c>
      <c r="AZ190" s="170">
        <f>IF(Escenarios!$E$17&gt;0,10*Escenarios!$E$16*AX190,0)</f>
        <v>0</v>
      </c>
      <c r="BA190" s="170">
        <f>IF(Escenarios!$E$17&gt;0,0.001*Observaciones!$F189*Escenarios!$E$17,0)</f>
        <v>0</v>
      </c>
      <c r="BB190" s="170">
        <f>IF(Escenarios!$E$17&gt;0,Observaciones!$K189,0)</f>
        <v>0</v>
      </c>
      <c r="BC190" s="170">
        <f>IF(Escenarios!$E$17&gt;0,MIN(0.0005*ETo!$M189*Escenarios!$E$17*(BG189/Constantes!$E$40)^(2/3),BG189+AY190+AZ190+BA190+BB190),0)</f>
        <v>6.9720260580810764</v>
      </c>
      <c r="BD190" s="170">
        <f>IF(Escenarios!$E$17&gt;0,MIN(Constantes!$E$39*(BG189/Constantes!$E$40)^(2/3),BG189+AY190+AZ190+BA190+BB190-BC190),0)</f>
        <v>19.150868426930909</v>
      </c>
      <c r="BE190" s="170">
        <f>IF(Escenarios!$E$17&gt;0,MIN(Entradas!$E$113,BG189+AY190+AZ190+BA190+BB190-BC190-BD190),0)</f>
        <v>1</v>
      </c>
      <c r="BF190" s="170">
        <f>IF(Escenarios!$E$17&gt;0,MAX(0,BG189+AY190+AZ190+BA190+BB190-BC190-BD190-BE190-Constantes!$E$40),0)</f>
        <v>0</v>
      </c>
      <c r="BG190" s="170">
        <f t="shared" si="40"/>
        <v>753.70706667660579</v>
      </c>
      <c r="BH190" s="170">
        <f>(Escenarios!$E$16*AK190+0.1*BC190)/(Escenarios!$E$19)</f>
        <v>2.6136392716267342E-3</v>
      </c>
      <c r="BI190" s="170">
        <f>IF(Escenarios!$E$17&gt;0,BF190/10/Escenarios!$E$19,AL190)</f>
        <v>0</v>
      </c>
      <c r="BJ190" s="170">
        <f>(Escenarios!$E$16*AT190+0.1*BD190)/(Escenarios!$E$19)</f>
        <v>7.5995509630678209E-3</v>
      </c>
      <c r="BK190" s="76">
        <f>BK189+(0.1*BD190)/(Escenarios!$E$19)-BL189</f>
        <v>50.157530433105059</v>
      </c>
      <c r="BL190" s="76">
        <f>MAX(0,(BK190-Constantes!$D$13)*(1-EXP(-Constantes!$D$23)))</f>
        <v>1.3868732605014257E-2</v>
      </c>
      <c r="BM190" s="76">
        <f t="shared" si="36"/>
        <v>0.50835153797299615</v>
      </c>
      <c r="BN190" s="76">
        <f t="shared" si="41"/>
        <v>0.50835153797299615</v>
      </c>
      <c r="BO190" s="76">
        <f>0.0526*BI190*Observaciones!$F189^1.218</f>
        <v>0</v>
      </c>
      <c r="BP190" s="76">
        <f>BO190*Constantes!$E$51</f>
        <v>0</v>
      </c>
      <c r="BQ190" s="76">
        <f t="shared" si="37"/>
        <v>0</v>
      </c>
      <c r="BR190" s="40"/>
    </row>
    <row r="191" spans="1:70">
      <c r="A191" s="147"/>
      <c r="B191" s="39"/>
      <c r="C191" s="75">
        <v>185</v>
      </c>
      <c r="D191" s="146">
        <f>ETo!$I190*((1-Constantes!$E$19)*ETo!$K190+ETo!$L190)</f>
        <v>2.6172320472824881</v>
      </c>
      <c r="E191" s="76">
        <f>MIN(D191*Constantes!$E$17,0.8*(N190+Observaciones!$F190-F191-M191-Constantes!$D$14))</f>
        <v>-1.0091888556365803E-2</v>
      </c>
      <c r="F191" s="76">
        <f>IF(Observaciones!$F190&gt;0.05*Constantes!$E$18,((Observaciones!$F190-0.05*Constantes!$E$18)^2)/(Observaciones!$F190+0.95*Constantes!$E$18),0)</f>
        <v>0</v>
      </c>
      <c r="G191" s="76">
        <f>IF(Escenarios!$E$11&gt;0,(F191*Escenarios!$E$16*10000)/1000,0)</f>
        <v>0</v>
      </c>
      <c r="H191" s="76">
        <f>IF(Escenarios!$E$11&gt;0,(Observaciones!$F190*Constantes!$E$29)/1000,0)</f>
        <v>0</v>
      </c>
      <c r="I191" s="76">
        <f>IF(Escenarios!$E$11&gt;0,(D191*Constantes!$E$29)/1000,0)</f>
        <v>26.172320472824882</v>
      </c>
      <c r="J191" s="76">
        <f>IF(Escenarios!$E$11&gt;0,MAX(0,G191+H191-I191),0)</f>
        <v>0</v>
      </c>
      <c r="K191" s="76">
        <f>IF(Escenarios!$E$11&gt;0,IF(J191&gt;Constantes!$E$30,1000*((J191-Constantes!$E$30)/(Escenarios!$E$16*10000)),0),F191)</f>
        <v>0</v>
      </c>
      <c r="L191" s="76">
        <f>IF(Escenarios!$E$11&gt;0,I191*1000/Escenarios!$E$16/10000+E191,E191)</f>
        <v>3.7703963276415099E-4</v>
      </c>
      <c r="M191" s="76">
        <f>MAX(0,N190+Observaciones!$F190-K191-Constantes!$D$13)</f>
        <v>0</v>
      </c>
      <c r="N191" s="76">
        <f>N190+Observaciones!$F190-K191-L191-M191-O190</f>
        <v>11.237008099671778</v>
      </c>
      <c r="O191" s="76">
        <f>MAX(0,(N191-Constantes!$D$14)*(1-EXP(-Constantes!$D$22)))</f>
        <v>0</v>
      </c>
      <c r="P191" s="170">
        <f>P190+(Entradas!$E$83*M191-Q190)/(800*Entradas!$D$25)</f>
        <v>0</v>
      </c>
      <c r="Q191" s="170">
        <f>8000*Entradas!$D$26*P191/Constantes!$E$45</f>
        <v>0</v>
      </c>
      <c r="R191" s="170">
        <f>IF(Escenarios!$E$14&gt;0,K191*Escenarios!$E$13/Escenarios!$E$14,0)</f>
        <v>0</v>
      </c>
      <c r="S191" s="170">
        <f>IF(Escenarios!$E$14&gt;0,Q191*Escenarios!$E$13/Escenarios!$E$14,0)</f>
        <v>0</v>
      </c>
      <c r="T191" s="170">
        <f>IF(Escenarios!$E$14&gt;0,Observaciones!$I190,0)</f>
        <v>0</v>
      </c>
      <c r="U191" s="170">
        <f>IF(Escenarios!$E$14&gt;0,MAX(0,Constantes!$E$36/((Z190+R191+S191+T191+Observaciones!$F190)^2)+Entradas!$E$77),0)</f>
        <v>0</v>
      </c>
      <c r="V191" s="146">
        <f>IF(ETo!D190&gt;0,ETo!I190*((1-Entradas!$E$81)*ETo!K190+ETo!L190),0)</f>
        <v>2.3550131566270633</v>
      </c>
      <c r="W191" s="170">
        <f>IF(Escenarios!$E$14&gt;0,MIN(V191*1,0.8*(Z190+R191+S191+T191+Observaciones!$F190-U191-Constantes!$E$35)),0)</f>
        <v>0</v>
      </c>
      <c r="X191" s="170">
        <f>IF(Escenarios!$E$14&gt;0,Observaciones!$J190,0)</f>
        <v>0</v>
      </c>
      <c r="Y191" s="170">
        <f>IF(Escenarios!$E$14&gt;0,MAX(0,Z190+R191+S191+T191+Observaciones!$F190-U191-W191-X191-Constantes!$E$33),0)</f>
        <v>0</v>
      </c>
      <c r="Z191" s="170">
        <f>Z190+R191+S191+T191+Observaciones!$F190-U191-W191-Y191</f>
        <v>41.25</v>
      </c>
      <c r="AA191" s="170">
        <f>IF(Escenarios!$E$14&gt;0,(Escenarios!$E$13*L191+Escenarios!$E$14*W191)/(Escenarios!$E$16),L191)</f>
        <v>3.3179487683245289E-4</v>
      </c>
      <c r="AB191" s="170">
        <f>IF(Escenarios!$E$14&gt;0,(Escenarios!$E$14*Y191)/(Escenarios!$E$16),K191)</f>
        <v>0</v>
      </c>
      <c r="AC191" s="170">
        <f>IF(Escenarios!$E$14&gt;0,(Escenarios!$E$13*M191+Escenarios!$E$14*U191)/(Escenarios!$E$16),M191)</f>
        <v>0</v>
      </c>
      <c r="AD191" s="76">
        <f t="shared" si="29"/>
        <v>98.440319009252093</v>
      </c>
      <c r="AE191" s="76">
        <f>MAX(0,(AD191-Constantes!$D$13)*(1-EXP(-Constantes!$D$23)))</f>
        <v>0.48961054851006286</v>
      </c>
      <c r="AF191" s="76">
        <f>AB191+O191*Escenarios!$E$13/Escenarios!$E$16+AE191</f>
        <v>0.48961054851006286</v>
      </c>
      <c r="AG191" s="76">
        <f>IF(Entradas!$E$91&gt;0,IF(AF191-Escenarios!$E$38&lt;=0,0,IF(AF191-Escenarios!$E$38&gt;Escenarios!$E$37,Escenarios!$E$37,AF191-Escenarios!$E$38)),0)</f>
        <v>0</v>
      </c>
      <c r="AH191" s="76">
        <f>AG191*Entradas!$E$99</f>
        <v>0</v>
      </c>
      <c r="AI191" s="76">
        <f>IF(Entradas!$E$91&gt;0,D191*Entradas!$D$23/Escenarios!$E$16,0)</f>
        <v>0</v>
      </c>
      <c r="AJ191" s="76">
        <f>IF(Entradas!$E$91&gt;0,Entradas!$D$24*Entradas!$D$22/Escenarios!$E$16,0)</f>
        <v>0</v>
      </c>
      <c r="AK191" s="76">
        <f t="shared" si="38"/>
        <v>3.3179487683245289E-4</v>
      </c>
      <c r="AL191" s="76">
        <f t="shared" si="39"/>
        <v>0</v>
      </c>
      <c r="AM191" s="76">
        <f t="shared" si="30"/>
        <v>0</v>
      </c>
      <c r="AN191" s="76">
        <f>MAX(0,O191*Escenarios!$E$13/Escenarios!$E$16-AM191)</f>
        <v>0</v>
      </c>
      <c r="AO191" s="76">
        <f>AM191+AN191-O191*Escenarios!$E$13/Escenarios!$E$16</f>
        <v>0</v>
      </c>
      <c r="AP191" s="76">
        <f t="shared" si="28"/>
        <v>0.48961054851006286</v>
      </c>
      <c r="AQ191" s="76">
        <f t="shared" si="31"/>
        <v>0</v>
      </c>
      <c r="AR191" s="76">
        <f t="shared" si="32"/>
        <v>0.48961054851006286</v>
      </c>
      <c r="AS191" s="76">
        <f t="shared" si="33"/>
        <v>0</v>
      </c>
      <c r="AT191" s="76">
        <f t="shared" si="34"/>
        <v>0</v>
      </c>
      <c r="AU191" s="76">
        <f t="shared" si="35"/>
        <v>48.75</v>
      </c>
      <c r="AV191" s="76">
        <f>MAX(0,(AU191-Constantes!$D$13)*(1-EXP(-Constantes!$D$24)))</f>
        <v>0</v>
      </c>
      <c r="AW191" s="170">
        <f>AW190+(Entradas!$E$112*AT191-AX190)/(800*Entradas!$D$25)</f>
        <v>0</v>
      </c>
      <c r="AX191" s="170">
        <f>8000*Entradas!$D$26*AW191/Constantes!$E$45</f>
        <v>0</v>
      </c>
      <c r="AY191" s="170">
        <f>IF(Escenarios!$E$17&gt;0,10*Escenarios!$E$16*AL191,0)</f>
        <v>0</v>
      </c>
      <c r="AZ191" s="170">
        <f>IF(Escenarios!$E$17&gt;0,10*Escenarios!$E$16*AX191,0)</f>
        <v>0</v>
      </c>
      <c r="BA191" s="170">
        <f>IF(Escenarios!$E$17&gt;0,0.001*Observaciones!$F190*Escenarios!$E$17,0)</f>
        <v>0</v>
      </c>
      <c r="BB191" s="170">
        <f>IF(Escenarios!$E$17&gt;0,Observaciones!$K190,0)</f>
        <v>0</v>
      </c>
      <c r="BC191" s="170">
        <f>IF(Escenarios!$E$17&gt;0,MIN(0.0005*ETo!$M190*Escenarios!$E$17*(BG190/Constantes!$E$40)^(2/3),BG190+AY191+AZ191+BA191+BB191),0)</f>
        <v>7.0840632273047532</v>
      </c>
      <c r="BD191" s="170">
        <f>IF(Escenarios!$E$17&gt;0,MIN(Constantes!$E$39*(BG190/Constantes!$E$40)^(2/3),BG190+AY191+AZ191+BA191+BB191-BC191),0)</f>
        <v>18.70477770148343</v>
      </c>
      <c r="BE191" s="170">
        <f>IF(Escenarios!$E$17&gt;0,MIN(Entradas!$E$113,BG190+AY191+AZ191+BA191+BB191-BC191-BD191),0)</f>
        <v>1</v>
      </c>
      <c r="BF191" s="170">
        <f>IF(Escenarios!$E$17&gt;0,MAX(0,BG190+AY191+AZ191+BA191+BB191-BC191-BD191-BE191-Constantes!$E$40),0)</f>
        <v>0</v>
      </c>
      <c r="BG191" s="170">
        <f t="shared" si="40"/>
        <v>726.91822574781759</v>
      </c>
      <c r="BH191" s="170">
        <f>(Escenarios!$E$16*AK191+0.1*BC191)/(Escenarios!$E$19)</f>
        <v>3.1402977854705894E-3</v>
      </c>
      <c r="BI191" s="170">
        <f>IF(Escenarios!$E$17&gt;0,BF191/10/Escenarios!$E$19,AL191)</f>
        <v>0</v>
      </c>
      <c r="BJ191" s="170">
        <f>(Escenarios!$E$16*AT191+0.1*BD191)/(Escenarios!$E$19)</f>
        <v>7.4225308339219958E-3</v>
      </c>
      <c r="BK191" s="76">
        <f>BK190+(0.1*BD191)/(Escenarios!$E$19)-BL190</f>
        <v>50.151084231333968</v>
      </c>
      <c r="BL191" s="76">
        <f>MAX(0,(BK191-Constantes!$D$13)*(1-EXP(-Constantes!$D$23)))</f>
        <v>1.3805216643598055E-2</v>
      </c>
      <c r="BM191" s="76">
        <f t="shared" si="36"/>
        <v>0.50341576515366093</v>
      </c>
      <c r="BN191" s="76">
        <f t="shared" si="41"/>
        <v>0.50341576515366093</v>
      </c>
      <c r="BO191" s="76">
        <f>0.0526*BI191*Observaciones!$F190^1.218</f>
        <v>0</v>
      </c>
      <c r="BP191" s="76">
        <f>BO191*Constantes!$E$51</f>
        <v>0</v>
      </c>
      <c r="BQ191" s="76">
        <f t="shared" si="37"/>
        <v>0</v>
      </c>
      <c r="BR191" s="40"/>
    </row>
    <row r="192" spans="1:70">
      <c r="A192" s="147"/>
      <c r="B192" s="39"/>
      <c r="C192" s="75">
        <v>186</v>
      </c>
      <c r="D192" s="146">
        <f>ETo!$I191*((1-Constantes!$E$19)*ETo!$K191+ETo!$L191)</f>
        <v>2.6110387917616489</v>
      </c>
      <c r="E192" s="76">
        <f>MIN(D192*Constantes!$E$17,0.8*(N191+Observaciones!$F191-F192-M192-Constantes!$D$14))</f>
        <v>-1.0393520262577739E-2</v>
      </c>
      <c r="F192" s="76">
        <f>IF(Observaciones!$F191&gt;0.05*Constantes!$E$18,((Observaciones!$F191-0.05*Constantes!$E$18)^2)/(Observaciones!$F191+0.95*Constantes!$E$18),0)</f>
        <v>0</v>
      </c>
      <c r="G192" s="76">
        <f>IF(Escenarios!$E$11&gt;0,(F192*Escenarios!$E$16*10000)/1000,0)</f>
        <v>0</v>
      </c>
      <c r="H192" s="76">
        <f>IF(Escenarios!$E$11&gt;0,(Observaciones!$F191*Constantes!$E$29)/1000,0)</f>
        <v>0</v>
      </c>
      <c r="I192" s="76">
        <f>IF(Escenarios!$E$11&gt;0,(D192*Constantes!$E$29)/1000,0)</f>
        <v>26.110387917616489</v>
      </c>
      <c r="J192" s="76">
        <f>IF(Escenarios!$E$11&gt;0,MAX(0,G192+H192-I192),0)</f>
        <v>0</v>
      </c>
      <c r="K192" s="76">
        <f>IF(Escenarios!$E$11&gt;0,IF(J192&gt;Constantes!$E$30,1000*((J192-Constantes!$E$30)/(Escenarios!$E$16*10000)),0),F192)</f>
        <v>0</v>
      </c>
      <c r="L192" s="76">
        <f>IF(Escenarios!$E$11&gt;0,I192*1000/Escenarios!$E$16/10000+E192,E192)</f>
        <v>5.0634904468856504E-5</v>
      </c>
      <c r="M192" s="76">
        <f>MAX(0,N191+Observaciones!$F191-K192-Constantes!$D$13)</f>
        <v>0</v>
      </c>
      <c r="N192" s="76">
        <f>N191+Observaciones!$F191-K192-L192-M192-O191</f>
        <v>11.236957464767309</v>
      </c>
      <c r="O192" s="76">
        <f>MAX(0,(N192-Constantes!$D$14)*(1-EXP(-Constantes!$D$22)))</f>
        <v>0</v>
      </c>
      <c r="P192" s="170">
        <f>P191+(Entradas!$E$83*M192-Q191)/(800*Entradas!$D$25)</f>
        <v>0</v>
      </c>
      <c r="Q192" s="170">
        <f>8000*Entradas!$D$26*P192/Constantes!$E$45</f>
        <v>0</v>
      </c>
      <c r="R192" s="170">
        <f>IF(Escenarios!$E$14&gt;0,K192*Escenarios!$E$13/Escenarios!$E$14,0)</f>
        <v>0</v>
      </c>
      <c r="S192" s="170">
        <f>IF(Escenarios!$E$14&gt;0,Q192*Escenarios!$E$13/Escenarios!$E$14,0)</f>
        <v>0</v>
      </c>
      <c r="T192" s="170">
        <f>IF(Escenarios!$E$14&gt;0,Observaciones!$I191,0)</f>
        <v>0</v>
      </c>
      <c r="U192" s="170">
        <f>IF(Escenarios!$E$14&gt;0,MAX(0,Constantes!$E$36/((Z191+R192+S192+T192+Observaciones!$F191)^2)+Entradas!$E$77),0)</f>
        <v>0</v>
      </c>
      <c r="V192" s="146">
        <f>IF(ETo!D191&gt;0,ETo!I191*((1-Entradas!$E$81)*ETo!K191+ETo!L191),0)</f>
        <v>2.349500923516306</v>
      </c>
      <c r="W192" s="170">
        <f>IF(Escenarios!$E$14&gt;0,MIN(V192*1,0.8*(Z191+R192+S192+T192+Observaciones!$F191-U192-Constantes!$E$35)),0)</f>
        <v>0</v>
      </c>
      <c r="X192" s="170">
        <f>IF(Escenarios!$E$14&gt;0,Observaciones!$J191,0)</f>
        <v>0</v>
      </c>
      <c r="Y192" s="170">
        <f>IF(Escenarios!$E$14&gt;0,MAX(0,Z191+R192+S192+T192+Observaciones!$F191-U192-W192-X192-Constantes!$E$33),0)</f>
        <v>0</v>
      </c>
      <c r="Z192" s="170">
        <f>Z191+R192+S192+T192+Observaciones!$F191-U192-W192-Y192</f>
        <v>41.25</v>
      </c>
      <c r="AA192" s="170">
        <f>IF(Escenarios!$E$14&gt;0,(Escenarios!$E$13*L192+Escenarios!$E$14*W192)/(Escenarios!$E$16),L192)</f>
        <v>4.4558715932593722E-5</v>
      </c>
      <c r="AB192" s="170">
        <f>IF(Escenarios!$E$14&gt;0,(Escenarios!$E$14*Y192)/(Escenarios!$E$16),K192)</f>
        <v>0</v>
      </c>
      <c r="AC192" s="170">
        <f>IF(Escenarios!$E$14&gt;0,(Escenarios!$E$13*M192+Escenarios!$E$14*U192)/(Escenarios!$E$16),M192)</f>
        <v>0</v>
      </c>
      <c r="AD192" s="76">
        <f t="shared" si="29"/>
        <v>97.950708460742035</v>
      </c>
      <c r="AE192" s="76">
        <f>MAX(0,(AD192-Constantes!$D$13)*(1-EXP(-Constantes!$D$23)))</f>
        <v>0.48478629915944615</v>
      </c>
      <c r="AF192" s="76">
        <f>AB192+O192*Escenarios!$E$13/Escenarios!$E$16+AE192</f>
        <v>0.48478629915944615</v>
      </c>
      <c r="AG192" s="76">
        <f>IF(Entradas!$E$91&gt;0,IF(AF192-Escenarios!$E$38&lt;=0,0,IF(AF192-Escenarios!$E$38&gt;Escenarios!$E$37,Escenarios!$E$37,AF192-Escenarios!$E$38)),0)</f>
        <v>0</v>
      </c>
      <c r="AH192" s="76">
        <f>AG192*Entradas!$E$99</f>
        <v>0</v>
      </c>
      <c r="AI192" s="76">
        <f>IF(Entradas!$E$91&gt;0,D192*Entradas!$D$23/Escenarios!$E$16,0)</f>
        <v>0</v>
      </c>
      <c r="AJ192" s="76">
        <f>IF(Entradas!$E$91&gt;0,Entradas!$D$24*Entradas!$D$22/Escenarios!$E$16,0)</f>
        <v>0</v>
      </c>
      <c r="AK192" s="76">
        <f t="shared" si="38"/>
        <v>4.4558715932593722E-5</v>
      </c>
      <c r="AL192" s="76">
        <f t="shared" si="39"/>
        <v>0</v>
      </c>
      <c r="AM192" s="76">
        <f t="shared" si="30"/>
        <v>0</v>
      </c>
      <c r="AN192" s="76">
        <f>MAX(0,O192*Escenarios!$E$13/Escenarios!$E$16-AM192)</f>
        <v>0</v>
      </c>
      <c r="AO192" s="76">
        <f>AM192+AN192-O192*Escenarios!$E$13/Escenarios!$E$16</f>
        <v>0</v>
      </c>
      <c r="AP192" s="76">
        <f t="shared" si="28"/>
        <v>0.48478629915944615</v>
      </c>
      <c r="AQ192" s="76">
        <f t="shared" si="31"/>
        <v>0</v>
      </c>
      <c r="AR192" s="76">
        <f t="shared" si="32"/>
        <v>0.48478629915944615</v>
      </c>
      <c r="AS192" s="76">
        <f t="shared" si="33"/>
        <v>0</v>
      </c>
      <c r="AT192" s="76">
        <f t="shared" si="34"/>
        <v>0</v>
      </c>
      <c r="AU192" s="76">
        <f t="shared" si="35"/>
        <v>48.75</v>
      </c>
      <c r="AV192" s="76">
        <f>MAX(0,(AU192-Constantes!$D$13)*(1-EXP(-Constantes!$D$24)))</f>
        <v>0</v>
      </c>
      <c r="AW192" s="170">
        <f>AW191+(Entradas!$E$112*AT192-AX191)/(800*Entradas!$D$25)</f>
        <v>0</v>
      </c>
      <c r="AX192" s="170">
        <f>8000*Entradas!$D$26*AW192/Constantes!$E$45</f>
        <v>0</v>
      </c>
      <c r="AY192" s="170">
        <f>IF(Escenarios!$E$17&gt;0,10*Escenarios!$E$16*AL192,0)</f>
        <v>0</v>
      </c>
      <c r="AZ192" s="170">
        <f>IF(Escenarios!$E$17&gt;0,10*Escenarios!$E$16*AX192,0)</f>
        <v>0</v>
      </c>
      <c r="BA192" s="170">
        <f>IF(Escenarios!$E$17&gt;0,0.001*Observaciones!$F191*Escenarios!$E$17,0)</f>
        <v>0</v>
      </c>
      <c r="BB192" s="170">
        <f>IF(Escenarios!$E$17&gt;0,Observaciones!$K191,0)</f>
        <v>0</v>
      </c>
      <c r="BC192" s="170">
        <f>IF(Escenarios!$E$17&gt;0,MIN(0.0005*ETo!$M191*Escenarios!$E$17*(BG191/Constantes!$E$40)^(2/3),BG191+AY192+AZ192+BA192+BB192),0)</f>
        <v>6.8986135991565209</v>
      </c>
      <c r="BD192" s="170">
        <f>IF(Escenarios!$E$17&gt;0,MIN(Constantes!$E$39*(BG191/Constantes!$E$40)^(2/3),BG191+AY192+AZ192+BA192+BB192-BC192),0)</f>
        <v>18.258896701100873</v>
      </c>
      <c r="BE192" s="170">
        <f>IF(Escenarios!$E$17&gt;0,MIN(Entradas!$E$113,BG191+AY192+AZ192+BA192+BB192-BC192-BD192),0)</f>
        <v>1</v>
      </c>
      <c r="BF192" s="170">
        <f>IF(Escenarios!$E$17&gt;0,MAX(0,BG191+AY192+AZ192+BA192+BB192-BC192-BD192-BE192-Constantes!$E$40),0)</f>
        <v>0</v>
      </c>
      <c r="BG192" s="170">
        <f t="shared" si="40"/>
        <v>700.76071544756019</v>
      </c>
      <c r="BH192" s="170">
        <f>(Escenarios!$E$16*AK192+0.1*BC192)/(Escenarios!$E$19)</f>
        <v>2.7817501543603196E-3</v>
      </c>
      <c r="BI192" s="170">
        <f>IF(Escenarios!$E$17&gt;0,BF192/10/Escenarios!$E$19,AL192)</f>
        <v>0</v>
      </c>
      <c r="BJ192" s="170">
        <f>(Escenarios!$E$16*AT192+0.1*BD192)/(Escenarios!$E$19)</f>
        <v>7.2455939290082842E-3</v>
      </c>
      <c r="BK192" s="76">
        <f>BK191+(0.1*BD192)/(Escenarios!$E$19)-BL191</f>
        <v>50.144524608619378</v>
      </c>
      <c r="BL192" s="76">
        <f>MAX(0,(BK192-Constantes!$D$13)*(1-EXP(-Constantes!$D$23)))</f>
        <v>1.3740583118610792E-2</v>
      </c>
      <c r="BM192" s="76">
        <f t="shared" si="36"/>
        <v>0.49852688227805697</v>
      </c>
      <c r="BN192" s="76">
        <f t="shared" si="41"/>
        <v>0.49852688227805697</v>
      </c>
      <c r="BO192" s="76">
        <f>0.0526*BI192*Observaciones!$F191^1.218</f>
        <v>0</v>
      </c>
      <c r="BP192" s="76">
        <f>BO192*Constantes!$E$51</f>
        <v>0</v>
      </c>
      <c r="BQ192" s="76">
        <f t="shared" si="37"/>
        <v>0</v>
      </c>
      <c r="BR192" s="40"/>
    </row>
    <row r="193" spans="1:70">
      <c r="A193" s="147"/>
      <c r="B193" s="39"/>
      <c r="C193" s="75">
        <v>187</v>
      </c>
      <c r="D193" s="146">
        <f>ETo!$I192*((1-Constantes!$E$19)*ETo!$K192+ETo!$L192)</f>
        <v>2.6322438199065981</v>
      </c>
      <c r="E193" s="76">
        <f>MIN(D193*Constantes!$E$17,0.8*(N192+Observaciones!$F192-F193-M193-Constantes!$D$14))</f>
        <v>-1.0434028186152489E-2</v>
      </c>
      <c r="F193" s="76">
        <f>IF(Observaciones!$F192&gt;0.05*Constantes!$E$18,((Observaciones!$F192-0.05*Constantes!$E$18)^2)/(Observaciones!$F192+0.95*Constantes!$E$18),0)</f>
        <v>0</v>
      </c>
      <c r="G193" s="76">
        <f>IF(Escenarios!$E$11&gt;0,(F193*Escenarios!$E$16*10000)/1000,0)</f>
        <v>0</v>
      </c>
      <c r="H193" s="76">
        <f>IF(Escenarios!$E$11&gt;0,(Observaciones!$F192*Constantes!$E$29)/1000,0)</f>
        <v>0</v>
      </c>
      <c r="I193" s="76">
        <f>IF(Escenarios!$E$11&gt;0,(D193*Constantes!$E$29)/1000,0)</f>
        <v>26.322438199065981</v>
      </c>
      <c r="J193" s="76">
        <f>IF(Escenarios!$E$11&gt;0,MAX(0,G193+H193-I193),0)</f>
        <v>0</v>
      </c>
      <c r="K193" s="76">
        <f>IF(Escenarios!$E$11&gt;0,IF(J193&gt;Constantes!$E$30,1000*((J193-Constantes!$E$30)/(Escenarios!$E$16*10000)),0),F193)</f>
        <v>0</v>
      </c>
      <c r="L193" s="76">
        <f>IF(Escenarios!$E$11&gt;0,I193*1000/Escenarios!$E$16/10000+E193,E193)</f>
        <v>9.4947093473903704E-5</v>
      </c>
      <c r="M193" s="76">
        <f>MAX(0,N192+Observaciones!$F192-K193-Constantes!$D$13)</f>
        <v>0</v>
      </c>
      <c r="N193" s="76">
        <f>N192+Observaciones!$F192-K193-L193-M193-O192</f>
        <v>11.236862517673835</v>
      </c>
      <c r="O193" s="76">
        <f>MAX(0,(N193-Constantes!$D$14)*(1-EXP(-Constantes!$D$22)))</f>
        <v>0</v>
      </c>
      <c r="P193" s="170">
        <f>P192+(Entradas!$E$83*M193-Q192)/(800*Entradas!$D$25)</f>
        <v>0</v>
      </c>
      <c r="Q193" s="170">
        <f>8000*Entradas!$D$26*P193/Constantes!$E$45</f>
        <v>0</v>
      </c>
      <c r="R193" s="170">
        <f>IF(Escenarios!$E$14&gt;0,K193*Escenarios!$E$13/Escenarios!$E$14,0)</f>
        <v>0</v>
      </c>
      <c r="S193" s="170">
        <f>IF(Escenarios!$E$14&gt;0,Q193*Escenarios!$E$13/Escenarios!$E$14,0)</f>
        <v>0</v>
      </c>
      <c r="T193" s="170">
        <f>IF(Escenarios!$E$14&gt;0,Observaciones!$I192,0)</f>
        <v>0</v>
      </c>
      <c r="U193" s="170">
        <f>IF(Escenarios!$E$14&gt;0,MAX(0,Constantes!$E$36/((Z192+R193+S193+T193+Observaciones!$F192)^2)+Entradas!$E$77),0)</f>
        <v>0</v>
      </c>
      <c r="V193" s="146">
        <f>IF(ETo!D192&gt;0,ETo!I192*((1-Entradas!$E$81)*ETo!K192+ETo!L192),0)</f>
        <v>2.3689984996913345</v>
      </c>
      <c r="W193" s="170">
        <f>IF(Escenarios!$E$14&gt;0,MIN(V193*1,0.8*(Z192+R193+S193+T193+Observaciones!$F192-U193-Constantes!$E$35)),0)</f>
        <v>0</v>
      </c>
      <c r="X193" s="170">
        <f>IF(Escenarios!$E$14&gt;0,Observaciones!$J192,0)</f>
        <v>0</v>
      </c>
      <c r="Y193" s="170">
        <f>IF(Escenarios!$E$14&gt;0,MAX(0,Z192+R193+S193+T193+Observaciones!$F192-U193-W193-X193-Constantes!$E$33),0)</f>
        <v>0</v>
      </c>
      <c r="Z193" s="170">
        <f>Z192+R193+S193+T193+Observaciones!$F192-U193-W193-Y193</f>
        <v>41.25</v>
      </c>
      <c r="AA193" s="170">
        <f>IF(Escenarios!$E$14&gt;0,(Escenarios!$E$13*L193+Escenarios!$E$14*W193)/(Escenarios!$E$16),L193)</f>
        <v>8.3553442257035265E-5</v>
      </c>
      <c r="AB193" s="170">
        <f>IF(Escenarios!$E$14&gt;0,(Escenarios!$E$14*Y193)/(Escenarios!$E$16),K193)</f>
        <v>0</v>
      </c>
      <c r="AC193" s="170">
        <f>IF(Escenarios!$E$14&gt;0,(Escenarios!$E$13*M193+Escenarios!$E$14*U193)/(Escenarios!$E$16),M193)</f>
        <v>0</v>
      </c>
      <c r="AD193" s="76">
        <f t="shared" si="29"/>
        <v>97.465922161582583</v>
      </c>
      <c r="AE193" s="76">
        <f>MAX(0,(AD193-Constantes!$D$13)*(1-EXP(-Constantes!$D$23)))</f>
        <v>0.48000958428672758</v>
      </c>
      <c r="AF193" s="76">
        <f>AB193+O193*Escenarios!$E$13/Escenarios!$E$16+AE193</f>
        <v>0.48000958428672758</v>
      </c>
      <c r="AG193" s="76">
        <f>IF(Entradas!$E$91&gt;0,IF(AF193-Escenarios!$E$38&lt;=0,0,IF(AF193-Escenarios!$E$38&gt;Escenarios!$E$37,Escenarios!$E$37,AF193-Escenarios!$E$38)),0)</f>
        <v>0</v>
      </c>
      <c r="AH193" s="76">
        <f>AG193*Entradas!$E$99</f>
        <v>0</v>
      </c>
      <c r="AI193" s="76">
        <f>IF(Entradas!$E$91&gt;0,D193*Entradas!$D$23/Escenarios!$E$16,0)</f>
        <v>0</v>
      </c>
      <c r="AJ193" s="76">
        <f>IF(Entradas!$E$91&gt;0,Entradas!$D$24*Entradas!$D$22/Escenarios!$E$16,0)</f>
        <v>0</v>
      </c>
      <c r="AK193" s="76">
        <f t="shared" si="38"/>
        <v>8.3553442257035265E-5</v>
      </c>
      <c r="AL193" s="76">
        <f t="shared" si="39"/>
        <v>0</v>
      </c>
      <c r="AM193" s="76">
        <f t="shared" si="30"/>
        <v>0</v>
      </c>
      <c r="AN193" s="76">
        <f>MAX(0,O193*Escenarios!$E$13/Escenarios!$E$16-AM193)</f>
        <v>0</v>
      </c>
      <c r="AO193" s="76">
        <f>AM193+AN193-O193*Escenarios!$E$13/Escenarios!$E$16</f>
        <v>0</v>
      </c>
      <c r="AP193" s="76">
        <f t="shared" si="28"/>
        <v>0.48000958428672758</v>
      </c>
      <c r="AQ193" s="76">
        <f t="shared" si="31"/>
        <v>0</v>
      </c>
      <c r="AR193" s="76">
        <f t="shared" si="32"/>
        <v>0.48000958428672758</v>
      </c>
      <c r="AS193" s="76">
        <f t="shared" si="33"/>
        <v>0</v>
      </c>
      <c r="AT193" s="76">
        <f t="shared" si="34"/>
        <v>0</v>
      </c>
      <c r="AU193" s="76">
        <f t="shared" si="35"/>
        <v>48.75</v>
      </c>
      <c r="AV193" s="76">
        <f>MAX(0,(AU193-Constantes!$D$13)*(1-EXP(-Constantes!$D$24)))</f>
        <v>0</v>
      </c>
      <c r="AW193" s="170">
        <f>AW192+(Entradas!$E$112*AT193-AX192)/(800*Entradas!$D$25)</f>
        <v>0</v>
      </c>
      <c r="AX193" s="170">
        <f>8000*Entradas!$D$26*AW193/Constantes!$E$45</f>
        <v>0</v>
      </c>
      <c r="AY193" s="170">
        <f>IF(Escenarios!$E$17&gt;0,10*Escenarios!$E$16*AL193,0)</f>
        <v>0</v>
      </c>
      <c r="AZ193" s="170">
        <f>IF(Escenarios!$E$17&gt;0,10*Escenarios!$E$16*AX193,0)</f>
        <v>0</v>
      </c>
      <c r="BA193" s="170">
        <f>IF(Escenarios!$E$17&gt;0,0.001*Observaciones!$F192*Escenarios!$E$17,0)</f>
        <v>0</v>
      </c>
      <c r="BB193" s="170">
        <f>IF(Escenarios!$E$17&gt;0,Observaciones!$K192,0)</f>
        <v>0</v>
      </c>
      <c r="BC193" s="170">
        <f>IF(Escenarios!$E$17&gt;0,MIN(0.0005*ETo!$M192*Escenarios!$E$17*(BG192/Constantes!$E$40)^(2/3),BG192+AY193+AZ193+BA193+BB193),0)</f>
        <v>6.7853247086290489</v>
      </c>
      <c r="BD193" s="170">
        <f>IF(Escenarios!$E$17&gt;0,MIN(Constantes!$E$39*(BG192/Constantes!$E$40)^(2/3),BG192+AY193+AZ193+BA193+BB193-BC193),0)</f>
        <v>17.818206642741337</v>
      </c>
      <c r="BE193" s="170">
        <f>IF(Escenarios!$E$17&gt;0,MIN(Entradas!$E$113,BG192+AY193+AZ193+BA193+BB193-BC193-BD193),0)</f>
        <v>1</v>
      </c>
      <c r="BF193" s="170">
        <f>IF(Escenarios!$E$17&gt;0,MAX(0,BG192+AY193+AZ193+BA193+BB193-BC193-BD193-BE193-Constantes!$E$40),0)</f>
        <v>0</v>
      </c>
      <c r="BG193" s="170">
        <f t="shared" si="40"/>
        <v>675.15718409618978</v>
      </c>
      <c r="BH193" s="170">
        <f>(Escenarios!$E$16*AK193+0.1*BC193)/(Escenarios!$E$19)</f>
        <v>2.7754794897903324E-3</v>
      </c>
      <c r="BI193" s="170">
        <f>IF(Escenarios!$E$17&gt;0,BF193/10/Escenarios!$E$19,AL193)</f>
        <v>0</v>
      </c>
      <c r="BJ193" s="170">
        <f>(Escenarios!$E$16*AT193+0.1*BD193)/(Escenarios!$E$19)</f>
        <v>7.0707169217227531E-3</v>
      </c>
      <c r="BK193" s="76">
        <f>BK192+(0.1*BD193)/(Escenarios!$E$19)-BL192</f>
        <v>50.137854742422491</v>
      </c>
      <c r="BL193" s="76">
        <f>MAX(0,(BK193-Constantes!$D$13)*(1-EXP(-Constantes!$D$23)))</f>
        <v>1.3674863338334505E-2</v>
      </c>
      <c r="BM193" s="76">
        <f t="shared" si="36"/>
        <v>0.49368444762506208</v>
      </c>
      <c r="BN193" s="76">
        <f t="shared" si="41"/>
        <v>0.49368444762506208</v>
      </c>
      <c r="BO193" s="76">
        <f>0.0526*BI193*Observaciones!$F192^1.218</f>
        <v>0</v>
      </c>
      <c r="BP193" s="76">
        <f>BO193*Constantes!$E$51</f>
        <v>0</v>
      </c>
      <c r="BQ193" s="76">
        <f t="shared" si="37"/>
        <v>0</v>
      </c>
      <c r="BR193" s="40"/>
    </row>
    <row r="194" spans="1:70">
      <c r="A194" s="147"/>
      <c r="B194" s="39"/>
      <c r="C194" s="75">
        <v>188</v>
      </c>
      <c r="D194" s="146">
        <f>ETo!$I193*((1-Constantes!$E$19)*ETo!$K193+ETo!$L193)</f>
        <v>2.5226139767056224</v>
      </c>
      <c r="E194" s="76">
        <f>MIN(D194*Constantes!$E$17,0.8*(N193+Observaciones!$F193-F194-M194-Constantes!$D$14))</f>
        <v>-1.0509985860932148E-2</v>
      </c>
      <c r="F194" s="76">
        <f>IF(Observaciones!$F193&gt;0.05*Constantes!$E$18,((Observaciones!$F193-0.05*Constantes!$E$18)^2)/(Observaciones!$F193+0.95*Constantes!$E$18),0)</f>
        <v>0</v>
      </c>
      <c r="G194" s="76">
        <f>IF(Escenarios!$E$11&gt;0,(F194*Escenarios!$E$16*10000)/1000,0)</f>
        <v>0</v>
      </c>
      <c r="H194" s="76">
        <f>IF(Escenarios!$E$11&gt;0,(Observaciones!$F193*Constantes!$E$29)/1000,0)</f>
        <v>0</v>
      </c>
      <c r="I194" s="76">
        <f>IF(Escenarios!$E$11&gt;0,(D194*Constantes!$E$29)/1000,0)</f>
        <v>25.226139767056225</v>
      </c>
      <c r="J194" s="76">
        <f>IF(Escenarios!$E$11&gt;0,MAX(0,G194+H194-I194),0)</f>
        <v>0</v>
      </c>
      <c r="K194" s="76">
        <f>IF(Escenarios!$E$11&gt;0,IF(J194&gt;Constantes!$E$30,1000*((J194-Constantes!$E$30)/(Escenarios!$E$16*10000)),0),F194)</f>
        <v>0</v>
      </c>
      <c r="L194" s="76">
        <f>IF(Escenarios!$E$11&gt;0,I194*1000/Escenarios!$E$16/10000+E194,E194)</f>
        <v>-4.1952995410965768E-4</v>
      </c>
      <c r="M194" s="76">
        <f>MAX(0,N193+Observaciones!$F193-K194-Constantes!$D$13)</f>
        <v>0</v>
      </c>
      <c r="N194" s="76">
        <f>N193+Observaciones!$F193-K194-L194-M194-O193</f>
        <v>11.237282047627945</v>
      </c>
      <c r="O194" s="76">
        <f>MAX(0,(N194-Constantes!$D$14)*(1-EXP(-Constantes!$D$22)))</f>
        <v>0</v>
      </c>
      <c r="P194" s="170">
        <f>P193+(Entradas!$E$83*M194-Q193)/(800*Entradas!$D$25)</f>
        <v>0</v>
      </c>
      <c r="Q194" s="170">
        <f>8000*Entradas!$D$26*P194/Constantes!$E$45</f>
        <v>0</v>
      </c>
      <c r="R194" s="170">
        <f>IF(Escenarios!$E$14&gt;0,K194*Escenarios!$E$13/Escenarios!$E$14,0)</f>
        <v>0</v>
      </c>
      <c r="S194" s="170">
        <f>IF(Escenarios!$E$14&gt;0,Q194*Escenarios!$E$13/Escenarios!$E$14,0)</f>
        <v>0</v>
      </c>
      <c r="T194" s="170">
        <f>IF(Escenarios!$E$14&gt;0,Observaciones!$I193,0)</f>
        <v>0</v>
      </c>
      <c r="U194" s="170">
        <f>IF(Escenarios!$E$14&gt;0,MAX(0,Constantes!$E$36/((Z193+R194+S194+T194+Observaciones!$F193)^2)+Entradas!$E$77),0)</f>
        <v>0</v>
      </c>
      <c r="V194" s="146">
        <f>IF(ETo!D193&gt;0,ETo!I193*((1-Entradas!$E$81)*ETo!K193+ETo!L193),0)</f>
        <v>2.2694074036351788</v>
      </c>
      <c r="W194" s="170">
        <f>IF(Escenarios!$E$14&gt;0,MIN(V194*1,0.8*(Z193+R194+S194+T194+Observaciones!$F193-U194-Constantes!$E$35)),0)</f>
        <v>0</v>
      </c>
      <c r="X194" s="170">
        <f>IF(Escenarios!$E$14&gt;0,Observaciones!$J193,0)</f>
        <v>0</v>
      </c>
      <c r="Y194" s="170">
        <f>IF(Escenarios!$E$14&gt;0,MAX(0,Z193+R194+S194+T194+Observaciones!$F193-U194-W194-X194-Constantes!$E$33),0)</f>
        <v>0</v>
      </c>
      <c r="Z194" s="170">
        <f>Z193+R194+S194+T194+Observaciones!$F193-U194-W194-Y194</f>
        <v>41.25</v>
      </c>
      <c r="AA194" s="170">
        <f>IF(Escenarios!$E$14&gt;0,(Escenarios!$E$13*L194+Escenarios!$E$14*W194)/(Escenarios!$E$16),L194)</f>
        <v>-3.6918635961649877E-4</v>
      </c>
      <c r="AB194" s="170">
        <f>IF(Escenarios!$E$14&gt;0,(Escenarios!$E$14*Y194)/(Escenarios!$E$16),K194)</f>
        <v>0</v>
      </c>
      <c r="AC194" s="170">
        <f>IF(Escenarios!$E$14&gt;0,(Escenarios!$E$13*M194+Escenarios!$E$14*U194)/(Escenarios!$E$16),M194)</f>
        <v>0</v>
      </c>
      <c r="AD194" s="76">
        <f t="shared" si="29"/>
        <v>96.985912577295849</v>
      </c>
      <c r="AE194" s="76">
        <f>MAX(0,(AD194-Constantes!$D$13)*(1-EXP(-Constantes!$D$23)))</f>
        <v>0.47527993552337483</v>
      </c>
      <c r="AF194" s="76">
        <f>AB194+O194*Escenarios!$E$13/Escenarios!$E$16+AE194</f>
        <v>0.47527993552337483</v>
      </c>
      <c r="AG194" s="76">
        <f>IF(Entradas!$E$91&gt;0,IF(AF194-Escenarios!$E$38&lt;=0,0,IF(AF194-Escenarios!$E$38&gt;Escenarios!$E$37,Escenarios!$E$37,AF194-Escenarios!$E$38)),0)</f>
        <v>0</v>
      </c>
      <c r="AH194" s="76">
        <f>AG194*Entradas!$E$99</f>
        <v>0</v>
      </c>
      <c r="AI194" s="76">
        <f>IF(Entradas!$E$91&gt;0,D194*Entradas!$D$23/Escenarios!$E$16,0)</f>
        <v>0</v>
      </c>
      <c r="AJ194" s="76">
        <f>IF(Entradas!$E$91&gt;0,Entradas!$D$24*Entradas!$D$22/Escenarios!$E$16,0)</f>
        <v>0</v>
      </c>
      <c r="AK194" s="76">
        <f t="shared" si="38"/>
        <v>-3.6918635961649877E-4</v>
      </c>
      <c r="AL194" s="76">
        <f t="shared" si="39"/>
        <v>0</v>
      </c>
      <c r="AM194" s="76">
        <f t="shared" si="30"/>
        <v>0</v>
      </c>
      <c r="AN194" s="76">
        <f>MAX(0,O194*Escenarios!$E$13/Escenarios!$E$16-AM194)</f>
        <v>0</v>
      </c>
      <c r="AO194" s="76">
        <f>AM194+AN194-O194*Escenarios!$E$13/Escenarios!$E$16</f>
        <v>0</v>
      </c>
      <c r="AP194" s="76">
        <f t="shared" si="28"/>
        <v>0.47527993552337483</v>
      </c>
      <c r="AQ194" s="76">
        <f t="shared" si="31"/>
        <v>0</v>
      </c>
      <c r="AR194" s="76">
        <f t="shared" si="32"/>
        <v>0.47527993552337483</v>
      </c>
      <c r="AS194" s="76">
        <f t="shared" si="33"/>
        <v>0</v>
      </c>
      <c r="AT194" s="76">
        <f t="shared" si="34"/>
        <v>0</v>
      </c>
      <c r="AU194" s="76">
        <f t="shared" si="35"/>
        <v>48.75</v>
      </c>
      <c r="AV194" s="76">
        <f>MAX(0,(AU194-Constantes!$D$13)*(1-EXP(-Constantes!$D$24)))</f>
        <v>0</v>
      </c>
      <c r="AW194" s="170">
        <f>AW193+(Entradas!$E$112*AT194-AX193)/(800*Entradas!$D$25)</f>
        <v>0</v>
      </c>
      <c r="AX194" s="170">
        <f>8000*Entradas!$D$26*AW194/Constantes!$E$45</f>
        <v>0</v>
      </c>
      <c r="AY194" s="170">
        <f>IF(Escenarios!$E$17&gt;0,10*Escenarios!$E$16*AL194,0)</f>
        <v>0</v>
      </c>
      <c r="AZ194" s="170">
        <f>IF(Escenarios!$E$17&gt;0,10*Escenarios!$E$16*AX194,0)</f>
        <v>0</v>
      </c>
      <c r="BA194" s="170">
        <f>IF(Escenarios!$E$17&gt;0,0.001*Observaciones!$F193*Escenarios!$E$17,0)</f>
        <v>0</v>
      </c>
      <c r="BB194" s="170">
        <f>IF(Escenarios!$E$17&gt;0,Observaciones!$K193,0)</f>
        <v>0</v>
      </c>
      <c r="BC194" s="170">
        <f>IF(Escenarios!$E$17&gt;0,MIN(0.0005*ETo!$M193*Escenarios!$E$17*(BG193/Constantes!$E$40)^(2/3),BG193+AY194+AZ194+BA194+BB194),0)</f>
        <v>6.3465138385435829</v>
      </c>
      <c r="BD194" s="170">
        <f>IF(Escenarios!$E$17&gt;0,MIN(Constantes!$E$39*(BG193/Constantes!$E$40)^(2/3),BG193+AY194+AZ194+BA194+BB194-BC194),0)</f>
        <v>17.381506766225527</v>
      </c>
      <c r="BE194" s="170">
        <f>IF(Escenarios!$E$17&gt;0,MIN(Entradas!$E$113,BG193+AY194+AZ194+BA194+BB194-BC194-BD194),0)</f>
        <v>1</v>
      </c>
      <c r="BF194" s="170">
        <f>IF(Escenarios!$E$17&gt;0,MAX(0,BG193+AY194+AZ194+BA194+BB194-BC194-BD194-BE194-Constantes!$E$40),0)</f>
        <v>0</v>
      </c>
      <c r="BG194" s="170">
        <f t="shared" si="40"/>
        <v>650.4291634914207</v>
      </c>
      <c r="BH194" s="170">
        <f>(Escenarios!$E$16*AK194+0.1*BC194)/(Escenarios!$E$19)</f>
        <v>2.1522015632945779E-3</v>
      </c>
      <c r="BI194" s="170">
        <f>IF(Escenarios!$E$17&gt;0,BF194/10/Escenarios!$E$19,AL194)</f>
        <v>0</v>
      </c>
      <c r="BJ194" s="170">
        <f>(Escenarios!$E$16*AT194+0.1*BD194)/(Escenarios!$E$19)</f>
        <v>6.8974233199307648E-3</v>
      </c>
      <c r="BK194" s="76">
        <f>BK193+(0.1*BD194)/(Escenarios!$E$19)-BL193</f>
        <v>50.131077302404087</v>
      </c>
      <c r="BL194" s="76">
        <f>MAX(0,(BK194-Constantes!$D$13)*(1-EXP(-Constantes!$D$23)))</f>
        <v>1.360808360757273E-2</v>
      </c>
      <c r="BM194" s="76">
        <f t="shared" si="36"/>
        <v>0.48888801913094754</v>
      </c>
      <c r="BN194" s="76">
        <f t="shared" si="41"/>
        <v>0.48888801913094754</v>
      </c>
      <c r="BO194" s="76">
        <f>0.0526*BI194*Observaciones!$F193^1.218</f>
        <v>0</v>
      </c>
      <c r="BP194" s="76">
        <f>BO194*Constantes!$E$51</f>
        <v>0</v>
      </c>
      <c r="BQ194" s="76">
        <f t="shared" si="37"/>
        <v>0</v>
      </c>
      <c r="BR194" s="40"/>
    </row>
    <row r="195" spans="1:70">
      <c r="A195" s="147"/>
      <c r="B195" s="39"/>
      <c r="C195" s="75">
        <v>189</v>
      </c>
      <c r="D195" s="146">
        <f>ETo!$I194*((1-Constantes!$E$19)*ETo!$K194+ETo!$L194)</f>
        <v>2.4440123662924362</v>
      </c>
      <c r="E195" s="76">
        <f>MIN(D195*Constantes!$E$17,0.8*(N194+Observaciones!$F194-F195-M195-Constantes!$D$14))</f>
        <v>-1.0174361897644247E-2</v>
      </c>
      <c r="F195" s="76">
        <f>IF(Observaciones!$F194&gt;0.05*Constantes!$E$18,((Observaciones!$F194-0.05*Constantes!$E$18)^2)/(Observaciones!$F194+0.95*Constantes!$E$18),0)</f>
        <v>0</v>
      </c>
      <c r="G195" s="76">
        <f>IF(Escenarios!$E$11&gt;0,(F195*Escenarios!$E$16*10000)/1000,0)</f>
        <v>0</v>
      </c>
      <c r="H195" s="76">
        <f>IF(Escenarios!$E$11&gt;0,(Observaciones!$F194*Constantes!$E$29)/1000,0)</f>
        <v>0</v>
      </c>
      <c r="I195" s="76">
        <f>IF(Escenarios!$E$11&gt;0,(D195*Constantes!$E$29)/1000,0)</f>
        <v>24.440123662924361</v>
      </c>
      <c r="J195" s="76">
        <f>IF(Escenarios!$E$11&gt;0,MAX(0,G195+H195-I195),0)</f>
        <v>0</v>
      </c>
      <c r="K195" s="76">
        <f>IF(Escenarios!$E$11&gt;0,IF(J195&gt;Constantes!$E$30,1000*((J195-Constantes!$E$30)/(Escenarios!$E$16*10000)),0),F195)</f>
        <v>0</v>
      </c>
      <c r="L195" s="76">
        <f>IF(Escenarios!$E$11&gt;0,I195*1000/Escenarios!$E$16/10000+E195,E195)</f>
        <v>-3.9831243247450202E-4</v>
      </c>
      <c r="M195" s="76">
        <f>MAX(0,N194+Observaciones!$F194-K195-Constantes!$D$13)</f>
        <v>0</v>
      </c>
      <c r="N195" s="76">
        <f>N194+Observaciones!$F194-K195-L195-M195-O194</f>
        <v>11.23768036006042</v>
      </c>
      <c r="O195" s="76">
        <f>MAX(0,(N195-Constantes!$D$14)*(1-EXP(-Constantes!$D$22)))</f>
        <v>0</v>
      </c>
      <c r="P195" s="170">
        <f>P194+(Entradas!$E$83*M195-Q194)/(800*Entradas!$D$25)</f>
        <v>0</v>
      </c>
      <c r="Q195" s="170">
        <f>8000*Entradas!$D$26*P195/Constantes!$E$45</f>
        <v>0</v>
      </c>
      <c r="R195" s="170">
        <f>IF(Escenarios!$E$14&gt;0,K195*Escenarios!$E$13/Escenarios!$E$14,0)</f>
        <v>0</v>
      </c>
      <c r="S195" s="170">
        <f>IF(Escenarios!$E$14&gt;0,Q195*Escenarios!$E$13/Escenarios!$E$14,0)</f>
        <v>0</v>
      </c>
      <c r="T195" s="170">
        <f>IF(Escenarios!$E$14&gt;0,Observaciones!$I194,0)</f>
        <v>0</v>
      </c>
      <c r="U195" s="170">
        <f>IF(Escenarios!$E$14&gt;0,MAX(0,Constantes!$E$36/((Z194+R195+S195+T195+Observaciones!$F194)^2)+Entradas!$E$77),0)</f>
        <v>0</v>
      </c>
      <c r="V195" s="146">
        <f>IF(ETo!D194&gt;0,ETo!I194*((1-Entradas!$E$81)*ETo!K194+ETo!L194),0)</f>
        <v>2.1984699616118113</v>
      </c>
      <c r="W195" s="170">
        <f>IF(Escenarios!$E$14&gt;0,MIN(V195*1,0.8*(Z194+R195+S195+T195+Observaciones!$F194-U195-Constantes!$E$35)),0)</f>
        <v>0</v>
      </c>
      <c r="X195" s="170">
        <f>IF(Escenarios!$E$14&gt;0,Observaciones!$J194,0)</f>
        <v>0</v>
      </c>
      <c r="Y195" s="170">
        <f>IF(Escenarios!$E$14&gt;0,MAX(0,Z194+R195+S195+T195+Observaciones!$F194-U195-W195-X195-Constantes!$E$33),0)</f>
        <v>0</v>
      </c>
      <c r="Z195" s="170">
        <f>Z194+R195+S195+T195+Observaciones!$F194-U195-W195-Y195</f>
        <v>41.25</v>
      </c>
      <c r="AA195" s="170">
        <f>IF(Escenarios!$E$14&gt;0,(Escenarios!$E$13*L195+Escenarios!$E$14*W195)/(Escenarios!$E$16),L195)</f>
        <v>-3.5051494057756176E-4</v>
      </c>
      <c r="AB195" s="170">
        <f>IF(Escenarios!$E$14&gt;0,(Escenarios!$E$14*Y195)/(Escenarios!$E$16),K195)</f>
        <v>0</v>
      </c>
      <c r="AC195" s="170">
        <f>IF(Escenarios!$E$14&gt;0,(Escenarios!$E$13*M195+Escenarios!$E$14*U195)/(Escenarios!$E$16),M195)</f>
        <v>0</v>
      </c>
      <c r="AD195" s="76">
        <f t="shared" si="29"/>
        <v>96.510632641772474</v>
      </c>
      <c r="AE195" s="76">
        <f>MAX(0,(AD195-Constantes!$D$13)*(1-EXP(-Constantes!$D$23)))</f>
        <v>0.47059688911580194</v>
      </c>
      <c r="AF195" s="76">
        <f>AB195+O195*Escenarios!$E$13/Escenarios!$E$16+AE195</f>
        <v>0.47059688911580194</v>
      </c>
      <c r="AG195" s="76">
        <f>IF(Entradas!$E$91&gt;0,IF(AF195-Escenarios!$E$38&lt;=0,0,IF(AF195-Escenarios!$E$38&gt;Escenarios!$E$37,Escenarios!$E$37,AF195-Escenarios!$E$38)),0)</f>
        <v>0</v>
      </c>
      <c r="AH195" s="76">
        <f>AG195*Entradas!$E$99</f>
        <v>0</v>
      </c>
      <c r="AI195" s="76">
        <f>IF(Entradas!$E$91&gt;0,D195*Entradas!$D$23/Escenarios!$E$16,0)</f>
        <v>0</v>
      </c>
      <c r="AJ195" s="76">
        <f>IF(Entradas!$E$91&gt;0,Entradas!$D$24*Entradas!$D$22/Escenarios!$E$16,0)</f>
        <v>0</v>
      </c>
      <c r="AK195" s="76">
        <f t="shared" si="38"/>
        <v>-3.5051494057756176E-4</v>
      </c>
      <c r="AL195" s="76">
        <f t="shared" si="39"/>
        <v>0</v>
      </c>
      <c r="AM195" s="76">
        <f t="shared" si="30"/>
        <v>0</v>
      </c>
      <c r="AN195" s="76">
        <f>MAX(0,O195*Escenarios!$E$13/Escenarios!$E$16-AM195)</f>
        <v>0</v>
      </c>
      <c r="AO195" s="76">
        <f>AM195+AN195-O195*Escenarios!$E$13/Escenarios!$E$16</f>
        <v>0</v>
      </c>
      <c r="AP195" s="76">
        <f t="shared" si="28"/>
        <v>0.47059688911580194</v>
      </c>
      <c r="AQ195" s="76">
        <f t="shared" si="31"/>
        <v>0</v>
      </c>
      <c r="AR195" s="76">
        <f t="shared" si="32"/>
        <v>0.47059688911580194</v>
      </c>
      <c r="AS195" s="76">
        <f t="shared" si="33"/>
        <v>0</v>
      </c>
      <c r="AT195" s="76">
        <f t="shared" si="34"/>
        <v>0</v>
      </c>
      <c r="AU195" s="76">
        <f t="shared" si="35"/>
        <v>48.75</v>
      </c>
      <c r="AV195" s="76">
        <f>MAX(0,(AU195-Constantes!$D$13)*(1-EXP(-Constantes!$D$24)))</f>
        <v>0</v>
      </c>
      <c r="AW195" s="170">
        <f>AW194+(Entradas!$E$112*AT195-AX194)/(800*Entradas!$D$25)</f>
        <v>0</v>
      </c>
      <c r="AX195" s="170">
        <f>8000*Entradas!$D$26*AW195/Constantes!$E$45</f>
        <v>0</v>
      </c>
      <c r="AY195" s="170">
        <f>IF(Escenarios!$E$17&gt;0,10*Escenarios!$E$16*AL195,0)</f>
        <v>0</v>
      </c>
      <c r="AZ195" s="170">
        <f>IF(Escenarios!$E$17&gt;0,10*Escenarios!$E$16*AX195,0)</f>
        <v>0</v>
      </c>
      <c r="BA195" s="170">
        <f>IF(Escenarios!$E$17&gt;0,0.001*Observaciones!$F194*Escenarios!$E$17,0)</f>
        <v>0</v>
      </c>
      <c r="BB195" s="170">
        <f>IF(Escenarios!$E$17&gt;0,Observaciones!$K194,0)</f>
        <v>0</v>
      </c>
      <c r="BC195" s="170">
        <f>IF(Escenarios!$E$17&gt;0,MIN(0.0005*ETo!$M194*Escenarios!$E$17*(BG194/Constantes!$E$40)^(2/3),BG194+AY195+AZ195+BA195+BB195),0)</f>
        <v>5.9984495343545436</v>
      </c>
      <c r="BD195" s="170">
        <f>IF(Escenarios!$E$17&gt;0,MIN(Constantes!$E$39*(BG194/Constantes!$E$40)^(2/3),BG194+AY195+AZ195+BA195+BB195-BC195),0)</f>
        <v>16.954467862351478</v>
      </c>
      <c r="BE195" s="170">
        <f>IF(Escenarios!$E$17&gt;0,MIN(Entradas!$E$113,BG194+AY195+AZ195+BA195+BB195-BC195-BD195),0)</f>
        <v>1</v>
      </c>
      <c r="BF195" s="170">
        <f>IF(Escenarios!$E$17&gt;0,MAX(0,BG194+AY195+AZ195+BA195+BB195-BC195-BD195-BE195-Constantes!$E$40),0)</f>
        <v>0</v>
      </c>
      <c r="BG195" s="170">
        <f t="shared" si="40"/>
        <v>626.47624609471461</v>
      </c>
      <c r="BH195" s="170">
        <f>(Escenarios!$E$16*AK195+0.1*BC195)/(Escenarios!$E$19)</f>
        <v>2.0326040408375555E-3</v>
      </c>
      <c r="BI195" s="170">
        <f>IF(Escenarios!$E$17&gt;0,BF195/10/Escenarios!$E$19,AL195)</f>
        <v>0</v>
      </c>
      <c r="BJ195" s="170">
        <f>(Escenarios!$E$16*AT195+0.1*BD195)/(Escenarios!$E$19)</f>
        <v>6.7279634374410634E-3</v>
      </c>
      <c r="BK195" s="76">
        <f>BK194+(0.1*BD195)/(Escenarios!$E$19)-BL194</f>
        <v>50.124197182233956</v>
      </c>
      <c r="BL195" s="76">
        <f>MAX(0,(BK195-Constantes!$D$13)*(1-EXP(-Constantes!$D$23)))</f>
        <v>1.354029214481948E-2</v>
      </c>
      <c r="BM195" s="76">
        <f t="shared" si="36"/>
        <v>0.48413718126062144</v>
      </c>
      <c r="BN195" s="76">
        <f t="shared" si="41"/>
        <v>0.48413718126062144</v>
      </c>
      <c r="BO195" s="76">
        <f>0.0526*BI195*Observaciones!$F194^1.218</f>
        <v>0</v>
      </c>
      <c r="BP195" s="76">
        <f>BO195*Constantes!$E$51</f>
        <v>0</v>
      </c>
      <c r="BQ195" s="76">
        <f t="shared" si="37"/>
        <v>0</v>
      </c>
      <c r="BR195" s="40"/>
    </row>
    <row r="196" spans="1:70">
      <c r="A196" s="147"/>
      <c r="B196" s="39"/>
      <c r="C196" s="75">
        <v>190</v>
      </c>
      <c r="D196" s="146">
        <f>ETo!$I195*((1-Constantes!$E$19)*ETo!$K195+ETo!$L195)</f>
        <v>2.3866509526714412</v>
      </c>
      <c r="E196" s="76">
        <f>MIN(D196*Constantes!$E$17,0.8*(N195+Observaciones!$F195-F196-M196-Constantes!$D$14))</f>
        <v>1.1668630377186</v>
      </c>
      <c r="F196" s="76">
        <f>IF(Observaciones!$F195&gt;0.05*Constantes!$E$18,((Observaciones!$F195-0.05*Constantes!$E$18)^2)/(Observaciones!$F195+0.95*Constantes!$E$18),0)</f>
        <v>0</v>
      </c>
      <c r="G196" s="76">
        <f>IF(Escenarios!$E$11&gt;0,(F196*Escenarios!$E$16*10000)/1000,0)</f>
        <v>0</v>
      </c>
      <c r="H196" s="76">
        <f>IF(Escenarios!$E$11&gt;0,(Observaciones!$F195*Constantes!$E$29)/1000,0)</f>
        <v>22</v>
      </c>
      <c r="I196" s="76">
        <f>IF(Escenarios!$E$11&gt;0,(D196*Constantes!$E$29)/1000,0)</f>
        <v>23.866509526714413</v>
      </c>
      <c r="J196" s="76">
        <f>IF(Escenarios!$E$11&gt;0,MAX(0,G196+H196-I196),0)</f>
        <v>0</v>
      </c>
      <c r="K196" s="76">
        <f>IF(Escenarios!$E$11&gt;0,IF(J196&gt;Constantes!$E$30,1000*((J196-Constantes!$E$30)/(Escenarios!$E$16*10000)),0),F196)</f>
        <v>0</v>
      </c>
      <c r="L196" s="76">
        <f>IF(Escenarios!$E$11&gt;0,I196*1000/Escenarios!$E$16/10000+E196,E196)</f>
        <v>1.1764096415292857</v>
      </c>
      <c r="M196" s="76">
        <f>MAX(0,N195+Observaciones!$F195-K196-Constantes!$D$13)</f>
        <v>0</v>
      </c>
      <c r="N196" s="76">
        <f>N195+Observaciones!$F195-K196-L196-M196-O195</f>
        <v>12.261270718531133</v>
      </c>
      <c r="O196" s="76">
        <f>MAX(0,(N196-Constantes!$D$14)*(1-EXP(-Constantes!$D$22)))</f>
        <v>3.4447593123979561E-2</v>
      </c>
      <c r="P196" s="170">
        <f>P195+(Entradas!$E$83*M196-Q195)/(800*Entradas!$D$25)</f>
        <v>0</v>
      </c>
      <c r="Q196" s="170">
        <f>8000*Entradas!$D$26*P196/Constantes!$E$45</f>
        <v>0</v>
      </c>
      <c r="R196" s="170">
        <f>IF(Escenarios!$E$14&gt;0,K196*Escenarios!$E$13/Escenarios!$E$14,0)</f>
        <v>0</v>
      </c>
      <c r="S196" s="170">
        <f>IF(Escenarios!$E$14&gt;0,Q196*Escenarios!$E$13/Escenarios!$E$14,0)</f>
        <v>0</v>
      </c>
      <c r="T196" s="170">
        <f>IF(Escenarios!$E$14&gt;0,Observaciones!$I195,0)</f>
        <v>0</v>
      </c>
      <c r="U196" s="170">
        <f>IF(Escenarios!$E$14&gt;0,MAX(0,Constantes!$E$36/((Z195+R196+S196+T196+Observaciones!$F195)^2)+Entradas!$E$77),0)</f>
        <v>0</v>
      </c>
      <c r="V196" s="146">
        <f>IF(ETo!D195&gt;0,ETo!I195*((1-Entradas!$E$81)*ETo!K195+ETo!L195),0)</f>
        <v>2.1469812245303079</v>
      </c>
      <c r="W196" s="170">
        <f>IF(Escenarios!$E$14&gt;0,MIN(V196*1,0.8*(Z195+R196+S196+T196+Observaciones!$F195-U196-Constantes!$E$35)),0)</f>
        <v>1.7600000000000025</v>
      </c>
      <c r="X196" s="170">
        <f>IF(Escenarios!$E$14&gt;0,Observaciones!$J195,0)</f>
        <v>0</v>
      </c>
      <c r="Y196" s="170">
        <f>IF(Escenarios!$E$14&gt;0,MAX(0,Z195+R196+S196+T196+Observaciones!$F195-U196-W196-X196-Constantes!$E$33),0)</f>
        <v>0</v>
      </c>
      <c r="Z196" s="170">
        <f>Z195+R196+S196+T196+Observaciones!$F195-U196-W196-Y196</f>
        <v>41.69</v>
      </c>
      <c r="AA196" s="170">
        <f>IF(Escenarios!$E$14&gt;0,(Escenarios!$E$13*L196+Escenarios!$E$14*W196)/(Escenarios!$E$16),L196)</f>
        <v>1.2464404845457717</v>
      </c>
      <c r="AB196" s="170">
        <f>IF(Escenarios!$E$14&gt;0,(Escenarios!$E$14*Y196)/(Escenarios!$E$16),K196)</f>
        <v>0</v>
      </c>
      <c r="AC196" s="170">
        <f>IF(Escenarios!$E$14&gt;0,(Escenarios!$E$13*M196+Escenarios!$E$14*U196)/(Escenarios!$E$16),M196)</f>
        <v>0</v>
      </c>
      <c r="AD196" s="76">
        <f t="shared" si="29"/>
        <v>96.040035752656678</v>
      </c>
      <c r="AE196" s="76">
        <f>MAX(0,(AD196-Constantes!$D$13)*(1-EXP(-Constantes!$D$23)))</f>
        <v>0.46595998587989773</v>
      </c>
      <c r="AF196" s="76">
        <f>AB196+O196*Escenarios!$E$13/Escenarios!$E$16+AE196</f>
        <v>0.49627386782899974</v>
      </c>
      <c r="AG196" s="76">
        <f>IF(Entradas!$E$91&gt;0,IF(AF196-Escenarios!$E$38&lt;=0,0,IF(AF196-Escenarios!$E$38&gt;Escenarios!$E$37,Escenarios!$E$37,AF196-Escenarios!$E$38)),0)</f>
        <v>0</v>
      </c>
      <c r="AH196" s="76">
        <f>AG196*Entradas!$E$99</f>
        <v>0</v>
      </c>
      <c r="AI196" s="76">
        <f>IF(Entradas!$E$91&gt;0,D196*Entradas!$D$23/Escenarios!$E$16,0)</f>
        <v>0</v>
      </c>
      <c r="AJ196" s="76">
        <f>IF(Entradas!$E$91&gt;0,Entradas!$D$24*Entradas!$D$22/Escenarios!$E$16,0)</f>
        <v>0</v>
      </c>
      <c r="AK196" s="76">
        <f t="shared" si="38"/>
        <v>1.2464404845457717</v>
      </c>
      <c r="AL196" s="76">
        <f t="shared" si="39"/>
        <v>0</v>
      </c>
      <c r="AM196" s="76">
        <f t="shared" si="30"/>
        <v>0</v>
      </c>
      <c r="AN196" s="76">
        <f>MAX(0,O196*Escenarios!$E$13/Escenarios!$E$16-AM196)</f>
        <v>3.0313881949102017E-2</v>
      </c>
      <c r="AO196" s="76">
        <f>AM196+AN196-O196*Escenarios!$E$13/Escenarios!$E$16</f>
        <v>0</v>
      </c>
      <c r="AP196" s="76">
        <f t="shared" si="28"/>
        <v>0.46595998587989773</v>
      </c>
      <c r="AQ196" s="76">
        <f t="shared" si="31"/>
        <v>0</v>
      </c>
      <c r="AR196" s="76">
        <f t="shared" si="32"/>
        <v>0.49627386782899974</v>
      </c>
      <c r="AS196" s="76">
        <f t="shared" si="33"/>
        <v>0</v>
      </c>
      <c r="AT196" s="76">
        <f t="shared" si="34"/>
        <v>0</v>
      </c>
      <c r="AU196" s="76">
        <f t="shared" si="35"/>
        <v>48.75</v>
      </c>
      <c r="AV196" s="76">
        <f>MAX(0,(AU196-Constantes!$D$13)*(1-EXP(-Constantes!$D$24)))</f>
        <v>0</v>
      </c>
      <c r="AW196" s="170">
        <f>AW195+(Entradas!$E$112*AT196-AX195)/(800*Entradas!$D$25)</f>
        <v>0</v>
      </c>
      <c r="AX196" s="170">
        <f>8000*Entradas!$D$26*AW196/Constantes!$E$45</f>
        <v>0</v>
      </c>
      <c r="AY196" s="170">
        <f>IF(Escenarios!$E$17&gt;0,10*Escenarios!$E$16*AL196,0)</f>
        <v>0</v>
      </c>
      <c r="AZ196" s="170">
        <f>IF(Escenarios!$E$17&gt;0,10*Escenarios!$E$16*AX196,0)</f>
        <v>0</v>
      </c>
      <c r="BA196" s="170">
        <f>IF(Escenarios!$E$17&gt;0,0.001*Observaciones!$F195*Escenarios!$E$17,0)</f>
        <v>44</v>
      </c>
      <c r="BB196" s="170">
        <f>IF(Escenarios!$E$17&gt;0,Observaciones!$K195,0)</f>
        <v>0</v>
      </c>
      <c r="BC196" s="170">
        <f>IF(Escenarios!$E$17&gt;0,MIN(0.0005*ETo!$M195*Escenarios!$E$17*(BG195/Constantes!$E$40)^(2/3),BG195+AY196+AZ196+BA196+BB196),0)</f>
        <v>5.7125995859189773</v>
      </c>
      <c r="BD196" s="170">
        <f>IF(Escenarios!$E$17&gt;0,MIN(Constantes!$E$39*(BG195/Constantes!$E$40)^(2/3),BG195+AY196+AZ196+BA196+BB196-BC196),0)</f>
        <v>16.535623126135093</v>
      </c>
      <c r="BE196" s="170">
        <f>IF(Escenarios!$E$17&gt;0,MIN(Entradas!$E$113,BG195+AY196+AZ196+BA196+BB196-BC196-BD196),0)</f>
        <v>1</v>
      </c>
      <c r="BF196" s="170">
        <f>IF(Escenarios!$E$17&gt;0,MAX(0,BG195+AY196+AZ196+BA196+BB196-BC196-BD196-BE196-Constantes!$E$40),0)</f>
        <v>0</v>
      </c>
      <c r="BG196" s="170">
        <f t="shared" si="40"/>
        <v>647.22802338266058</v>
      </c>
      <c r="BH196" s="170">
        <f>(Escenarios!$E$16*AK196+0.1*BC196)/(Escenarios!$E$19)</f>
        <v>1.2388150043453765</v>
      </c>
      <c r="BI196" s="170">
        <f>IF(Escenarios!$E$17&gt;0,BF196/10/Escenarios!$E$19,AL196)</f>
        <v>0</v>
      </c>
      <c r="BJ196" s="170">
        <f>(Escenarios!$E$16*AT196+0.1*BD196)/(Escenarios!$E$19)</f>
        <v>6.561755208783767E-3</v>
      </c>
      <c r="BK196" s="76">
        <f>BK195+(0.1*BD196)/(Escenarios!$E$19)-BL195</f>
        <v>50.117218645297925</v>
      </c>
      <c r="BL196" s="76">
        <f>MAX(0,(BK196-Constantes!$D$13)*(1-EXP(-Constantes!$D$23)))</f>
        <v>1.3471530958230759E-2</v>
      </c>
      <c r="BM196" s="76">
        <f t="shared" si="36"/>
        <v>0.47943151683812851</v>
      </c>
      <c r="BN196" s="76">
        <f t="shared" si="41"/>
        <v>0.50974539878723046</v>
      </c>
      <c r="BO196" s="76">
        <f>0.0526*BI196*Observaciones!$F195^1.218</f>
        <v>0</v>
      </c>
      <c r="BP196" s="76">
        <f>BO196*Constantes!$E$51</f>
        <v>0</v>
      </c>
      <c r="BQ196" s="76">
        <f t="shared" si="37"/>
        <v>0</v>
      </c>
      <c r="BR196" s="40"/>
    </row>
    <row r="197" spans="1:70">
      <c r="A197" s="147"/>
      <c r="B197" s="39"/>
      <c r="C197" s="75">
        <v>191</v>
      </c>
      <c r="D197" s="146">
        <f>ETo!$I196*((1-Constantes!$E$19)*ETo!$K196+ETo!$L196)</f>
        <v>2.5324917120204371</v>
      </c>
      <c r="E197" s="76">
        <f>MIN(D197*Constantes!$E$17,0.8*(N196+Observaciones!$F196-F197-M197-Constantes!$D$14))</f>
        <v>0.80901657482490641</v>
      </c>
      <c r="F197" s="76">
        <f>IF(Observaciones!$F196&gt;0.05*Constantes!$E$18,((Observaciones!$F196-0.05*Constantes!$E$18)^2)/(Observaciones!$F196+0.95*Constantes!$E$18),0)</f>
        <v>0</v>
      </c>
      <c r="G197" s="76">
        <f>IF(Escenarios!$E$11&gt;0,(F197*Escenarios!$E$16*10000)/1000,0)</f>
        <v>0</v>
      </c>
      <c r="H197" s="76">
        <f>IF(Escenarios!$E$11&gt;0,(Observaciones!$F196*Constantes!$E$29)/1000,0)</f>
        <v>0</v>
      </c>
      <c r="I197" s="76">
        <f>IF(Escenarios!$E$11&gt;0,(D197*Constantes!$E$29)/1000,0)</f>
        <v>25.324917120204372</v>
      </c>
      <c r="J197" s="76">
        <f>IF(Escenarios!$E$11&gt;0,MAX(0,G197+H197-I197),0)</f>
        <v>0</v>
      </c>
      <c r="K197" s="76">
        <f>IF(Escenarios!$E$11&gt;0,IF(J197&gt;Constantes!$E$30,1000*((J197-Constantes!$E$30)/(Escenarios!$E$16*10000)),0),F197)</f>
        <v>0</v>
      </c>
      <c r="L197" s="76">
        <f>IF(Escenarios!$E$11&gt;0,I197*1000/Escenarios!$E$16/10000+E197,E197)</f>
        <v>0.81914654167298817</v>
      </c>
      <c r="M197" s="76">
        <f>MAX(0,N196+Observaciones!$F196-K197-Constantes!$D$13)</f>
        <v>0</v>
      </c>
      <c r="N197" s="76">
        <f>N196+Observaciones!$F196-K197-L197-M197-O196</f>
        <v>11.407676583734164</v>
      </c>
      <c r="O197" s="76">
        <f>MAX(0,(N197-Constantes!$D$14)*(1-EXP(-Constantes!$D$22)))</f>
        <v>5.3710432845745894E-3</v>
      </c>
      <c r="P197" s="170">
        <f>P196+(Entradas!$E$83*M197-Q196)/(800*Entradas!$D$25)</f>
        <v>0</v>
      </c>
      <c r="Q197" s="170">
        <f>8000*Entradas!$D$26*P197/Constantes!$E$45</f>
        <v>0</v>
      </c>
      <c r="R197" s="170">
        <f>IF(Escenarios!$E$14&gt;0,K197*Escenarios!$E$13/Escenarios!$E$14,0)</f>
        <v>0</v>
      </c>
      <c r="S197" s="170">
        <f>IF(Escenarios!$E$14&gt;0,Q197*Escenarios!$E$13/Escenarios!$E$14,0)</f>
        <v>0</v>
      </c>
      <c r="T197" s="170">
        <f>IF(Escenarios!$E$14&gt;0,Observaciones!$I196,0)</f>
        <v>0</v>
      </c>
      <c r="U197" s="170">
        <f>IF(Escenarios!$E$14&gt;0,MAX(0,Constantes!$E$36/((Z196+R197+S197+T197+Observaciones!$F196)^2)+Entradas!$E$77),0)</f>
        <v>0</v>
      </c>
      <c r="V197" s="146">
        <f>IF(ETo!D196&gt;0,ETo!I196*((1-Entradas!$E$81)*ETo!K196+ETo!L196),0)</f>
        <v>2.2790041860325743</v>
      </c>
      <c r="W197" s="170">
        <f>IF(Escenarios!$E$14&gt;0,MIN(V197*1,0.8*(Z196+R197+S197+T197+Observaciones!$F196-U197-Constantes!$E$35)),0)</f>
        <v>0.3519999999999982</v>
      </c>
      <c r="X197" s="170">
        <f>IF(Escenarios!$E$14&gt;0,Observaciones!$J196,0)</f>
        <v>0</v>
      </c>
      <c r="Y197" s="170">
        <f>IF(Escenarios!$E$14&gt;0,MAX(0,Z196+R197+S197+T197+Observaciones!$F196-U197-W197-X197-Constantes!$E$33),0)</f>
        <v>0</v>
      </c>
      <c r="Z197" s="170">
        <f>Z196+R197+S197+T197+Observaciones!$F196-U197-W197-Y197</f>
        <v>41.338000000000001</v>
      </c>
      <c r="AA197" s="170">
        <f>IF(Escenarios!$E$14&gt;0,(Escenarios!$E$13*L197+Escenarios!$E$14*W197)/(Escenarios!$E$16),L197)</f>
        <v>0.76308895667222942</v>
      </c>
      <c r="AB197" s="170">
        <f>IF(Escenarios!$E$14&gt;0,(Escenarios!$E$14*Y197)/(Escenarios!$E$16),K197)</f>
        <v>0</v>
      </c>
      <c r="AC197" s="170">
        <f>IF(Escenarios!$E$14&gt;0,(Escenarios!$E$13*M197+Escenarios!$E$14*U197)/(Escenarios!$E$16),M197)</f>
        <v>0</v>
      </c>
      <c r="AD197" s="76">
        <f t="shared" si="29"/>
        <v>95.574075766776787</v>
      </c>
      <c r="AE197" s="76">
        <f>MAX(0,(AD197-Constantes!$D$13)*(1-EXP(-Constantes!$D$23)))</f>
        <v>0.46136877115600117</v>
      </c>
      <c r="AF197" s="76">
        <f>AB197+O197*Escenarios!$E$13/Escenarios!$E$16+AE197</f>
        <v>0.46609528924642679</v>
      </c>
      <c r="AG197" s="76">
        <f>IF(Entradas!$E$91&gt;0,IF(AF197-Escenarios!$E$38&lt;=0,0,IF(AF197-Escenarios!$E$38&gt;Escenarios!$E$37,Escenarios!$E$37,AF197-Escenarios!$E$38)),0)</f>
        <v>0</v>
      </c>
      <c r="AH197" s="76">
        <f>AG197*Entradas!$E$99</f>
        <v>0</v>
      </c>
      <c r="AI197" s="76">
        <f>IF(Entradas!$E$91&gt;0,D197*Entradas!$D$23/Escenarios!$E$16,0)</f>
        <v>0</v>
      </c>
      <c r="AJ197" s="76">
        <f>IF(Entradas!$E$91&gt;0,Entradas!$D$24*Entradas!$D$22/Escenarios!$E$16,0)</f>
        <v>0</v>
      </c>
      <c r="AK197" s="76">
        <f t="shared" si="38"/>
        <v>0.76308895667222942</v>
      </c>
      <c r="AL197" s="76">
        <f t="shared" si="39"/>
        <v>0</v>
      </c>
      <c r="AM197" s="76">
        <f t="shared" si="30"/>
        <v>0</v>
      </c>
      <c r="AN197" s="76">
        <f>MAX(0,O197*Escenarios!$E$13/Escenarios!$E$16-AM197)</f>
        <v>4.7265180904256391E-3</v>
      </c>
      <c r="AO197" s="76">
        <f>AM197+AN197-O197*Escenarios!$E$13/Escenarios!$E$16</f>
        <v>0</v>
      </c>
      <c r="AP197" s="76">
        <f t="shared" si="28"/>
        <v>0.46136877115600117</v>
      </c>
      <c r="AQ197" s="76">
        <f t="shared" si="31"/>
        <v>0</v>
      </c>
      <c r="AR197" s="76">
        <f t="shared" si="32"/>
        <v>0.46609528924642679</v>
      </c>
      <c r="AS197" s="76">
        <f t="shared" si="33"/>
        <v>0</v>
      </c>
      <c r="AT197" s="76">
        <f t="shared" si="34"/>
        <v>0</v>
      </c>
      <c r="AU197" s="76">
        <f t="shared" si="35"/>
        <v>48.75</v>
      </c>
      <c r="AV197" s="76">
        <f>MAX(0,(AU197-Constantes!$D$13)*(1-EXP(-Constantes!$D$24)))</f>
        <v>0</v>
      </c>
      <c r="AW197" s="170">
        <f>AW196+(Entradas!$E$112*AT197-AX196)/(800*Entradas!$D$25)</f>
        <v>0</v>
      </c>
      <c r="AX197" s="170">
        <f>8000*Entradas!$D$26*AW197/Constantes!$E$45</f>
        <v>0</v>
      </c>
      <c r="AY197" s="170">
        <f>IF(Escenarios!$E$17&gt;0,10*Escenarios!$E$16*AL197,0)</f>
        <v>0</v>
      </c>
      <c r="AZ197" s="170">
        <f>IF(Escenarios!$E$17&gt;0,10*Escenarios!$E$16*AX197,0)</f>
        <v>0</v>
      </c>
      <c r="BA197" s="170">
        <f>IF(Escenarios!$E$17&gt;0,0.001*Observaciones!$F196*Escenarios!$E$17,0)</f>
        <v>0</v>
      </c>
      <c r="BB197" s="170">
        <f>IF(Escenarios!$E$17&gt;0,Observaciones!$K196,0)</f>
        <v>0</v>
      </c>
      <c r="BC197" s="170">
        <f>IF(Escenarios!$E$17&gt;0,MIN(0.0005*ETo!$M196*Escenarios!$E$17*(BG196/Constantes!$E$40)^(2/3),BG196+AY197+AZ197+BA197+BB197),0)</f>
        <v>6.1920597322372268</v>
      </c>
      <c r="BD197" s="170">
        <f>IF(Escenarios!$E$17&gt;0,MIN(Constantes!$E$39*(BG196/Constantes!$E$40)^(2/3),BG196+AY197+AZ197+BA197+BB197-BC197),0)</f>
        <v>16.898793602458205</v>
      </c>
      <c r="BE197" s="170">
        <f>IF(Escenarios!$E$17&gt;0,MIN(Entradas!$E$113,BG196+AY197+AZ197+BA197+BB197-BC197-BD197),0)</f>
        <v>1</v>
      </c>
      <c r="BF197" s="170">
        <f>IF(Escenarios!$E$17&gt;0,MAX(0,BG196+AY197+AZ197+BA197+BB197-BC197-BD197-BE197-Constantes!$E$40),0)</f>
        <v>0</v>
      </c>
      <c r="BG197" s="170">
        <f t="shared" si="40"/>
        <v>623.13717004796513</v>
      </c>
      <c r="BH197" s="170">
        <f>(Escenarios!$E$16*AK197+0.1*BC197)/(Escenarios!$E$19)</f>
        <v>0.75948986167175037</v>
      </c>
      <c r="BI197" s="170">
        <f>IF(Escenarios!$E$17&gt;0,BF197/10/Escenarios!$E$19,AL197)</f>
        <v>0</v>
      </c>
      <c r="BJ197" s="170">
        <f>(Escenarios!$E$16*AT197+0.1*BD197)/(Escenarios!$E$19)</f>
        <v>6.7058704771659552E-3</v>
      </c>
      <c r="BK197" s="76">
        <f>BK196+(0.1*BD197)/(Escenarios!$E$19)-BL196</f>
        <v>50.11045298481686</v>
      </c>
      <c r="BL197" s="76">
        <f>MAX(0,(BK197-Constantes!$D$13)*(1-EXP(-Constantes!$D$23)))</f>
        <v>1.3404867294056046E-2</v>
      </c>
      <c r="BM197" s="76">
        <f t="shared" si="36"/>
        <v>0.47477363845005721</v>
      </c>
      <c r="BN197" s="76">
        <f t="shared" si="41"/>
        <v>0.47950015654048284</v>
      </c>
      <c r="BO197" s="76">
        <f>0.0526*BI197*Observaciones!$F196^1.218</f>
        <v>0</v>
      </c>
      <c r="BP197" s="76">
        <f>BO197*Constantes!$E$51</f>
        <v>0</v>
      </c>
      <c r="BQ197" s="76">
        <f t="shared" si="37"/>
        <v>0</v>
      </c>
      <c r="BR197" s="40"/>
    </row>
    <row r="198" spans="1:70">
      <c r="A198" s="147"/>
      <c r="B198" s="39"/>
      <c r="C198" s="75">
        <v>192</v>
      </c>
      <c r="D198" s="146">
        <f>ETo!$I197*((1-Constantes!$E$19)*ETo!$K197+ETo!$L197)</f>
        <v>2.6245818799753478</v>
      </c>
      <c r="E198" s="76">
        <f>MIN(D198*Constantes!$E$17,0.8*(N197+Observaciones!$F197-F198-M198-Constantes!$D$14))</f>
        <v>0.12614126698733089</v>
      </c>
      <c r="F198" s="76">
        <f>IF(Observaciones!$F197&gt;0.05*Constantes!$E$18,((Observaciones!$F197-0.05*Constantes!$E$18)^2)/(Observaciones!$F197+0.95*Constantes!$E$18),0)</f>
        <v>0</v>
      </c>
      <c r="G198" s="76">
        <f>IF(Escenarios!$E$11&gt;0,(F198*Escenarios!$E$16*10000)/1000,0)</f>
        <v>0</v>
      </c>
      <c r="H198" s="76">
        <f>IF(Escenarios!$E$11&gt;0,(Observaciones!$F197*Constantes!$E$29)/1000,0)</f>
        <v>0</v>
      </c>
      <c r="I198" s="76">
        <f>IF(Escenarios!$E$11&gt;0,(D198*Constantes!$E$29)/1000,0)</f>
        <v>26.245818799753476</v>
      </c>
      <c r="J198" s="76">
        <f>IF(Escenarios!$E$11&gt;0,MAX(0,G198+H198-I198),0)</f>
        <v>0</v>
      </c>
      <c r="K198" s="76">
        <f>IF(Escenarios!$E$11&gt;0,IF(J198&gt;Constantes!$E$30,1000*((J198-Constantes!$E$30)/(Escenarios!$E$16*10000)),0),F198)</f>
        <v>0</v>
      </c>
      <c r="L198" s="76">
        <f>IF(Escenarios!$E$11&gt;0,I198*1000/Escenarios!$E$16/10000+E198,E198)</f>
        <v>0.13663959450723229</v>
      </c>
      <c r="M198" s="76">
        <f>MAX(0,N197+Observaciones!$F197-K198-Constantes!$D$13)</f>
        <v>0</v>
      </c>
      <c r="N198" s="76">
        <f>N197+Observaciones!$F197-K198-L198-M198-O197</f>
        <v>11.265665945942358</v>
      </c>
      <c r="O198" s="76">
        <f>MAX(0,(N198-Constantes!$D$14)*(1-EXP(-Constantes!$D$22)))</f>
        <v>5.3363962966161888E-4</v>
      </c>
      <c r="P198" s="170">
        <f>P197+(Entradas!$E$83*M198-Q197)/(800*Entradas!$D$25)</f>
        <v>0</v>
      </c>
      <c r="Q198" s="170">
        <f>8000*Entradas!$D$26*P198/Constantes!$E$45</f>
        <v>0</v>
      </c>
      <c r="R198" s="170">
        <f>IF(Escenarios!$E$14&gt;0,K198*Escenarios!$E$13/Escenarios!$E$14,0)</f>
        <v>0</v>
      </c>
      <c r="S198" s="170">
        <f>IF(Escenarios!$E$14&gt;0,Q198*Escenarios!$E$13/Escenarios!$E$14,0)</f>
        <v>0</v>
      </c>
      <c r="T198" s="170">
        <f>IF(Escenarios!$E$14&gt;0,Observaciones!$I197,0)</f>
        <v>0</v>
      </c>
      <c r="U198" s="170">
        <f>IF(Escenarios!$E$14&gt;0,MAX(0,Constantes!$E$36/((Z197+R198+S198+T198+Observaciones!$F197)^2)+Entradas!$E$77),0)</f>
        <v>0</v>
      </c>
      <c r="V198" s="146">
        <f>IF(ETo!D197&gt;0,ETo!I197*((1-Entradas!$E$81)*ETo!K197+ETo!L197),0)</f>
        <v>2.3629275728967771</v>
      </c>
      <c r="W198" s="170">
        <f>IF(Escenarios!$E$14&gt;0,MIN(V198*1,0.8*(Z197+R198+S198+T198+Observaciones!$F197-U198-Constantes!$E$35)),0)</f>
        <v>7.0400000000000781E-2</v>
      </c>
      <c r="X198" s="170">
        <f>IF(Escenarios!$E$14&gt;0,Observaciones!$J197,0)</f>
        <v>0</v>
      </c>
      <c r="Y198" s="170">
        <f>IF(Escenarios!$E$14&gt;0,MAX(0,Z197+R198+S198+T198+Observaciones!$F197-U198-W198-X198-Constantes!$E$33),0)</f>
        <v>0</v>
      </c>
      <c r="Z198" s="170">
        <f>Z197+R198+S198+T198+Observaciones!$F197-U198-W198-Y198</f>
        <v>41.267600000000002</v>
      </c>
      <c r="AA198" s="170">
        <f>IF(Escenarios!$E$14&gt;0,(Escenarios!$E$13*L198+Escenarios!$E$14*W198)/(Escenarios!$E$16),L198)</f>
        <v>0.1286908431663645</v>
      </c>
      <c r="AB198" s="170">
        <f>IF(Escenarios!$E$14&gt;0,(Escenarios!$E$14*Y198)/(Escenarios!$E$16),K198)</f>
        <v>0</v>
      </c>
      <c r="AC198" s="170">
        <f>IF(Escenarios!$E$14&gt;0,(Escenarios!$E$13*M198+Escenarios!$E$14*U198)/(Escenarios!$E$16),M198)</f>
        <v>0</v>
      </c>
      <c r="AD198" s="76">
        <f t="shared" si="29"/>
        <v>95.112706995620783</v>
      </c>
      <c r="AE198" s="76">
        <f>MAX(0,(AD198-Constantes!$D$13)*(1-EXP(-Constantes!$D$23)))</f>
        <v>0.45682279476432125</v>
      </c>
      <c r="AF198" s="76">
        <f>AB198+O198*Escenarios!$E$13/Escenarios!$E$16+AE198</f>
        <v>0.4572923976384235</v>
      </c>
      <c r="AG198" s="76">
        <f>IF(Entradas!$E$91&gt;0,IF(AF198-Escenarios!$E$38&lt;=0,0,IF(AF198-Escenarios!$E$38&gt;Escenarios!$E$37,Escenarios!$E$37,AF198-Escenarios!$E$38)),0)</f>
        <v>0</v>
      </c>
      <c r="AH198" s="76">
        <f>AG198*Entradas!$E$99</f>
        <v>0</v>
      </c>
      <c r="AI198" s="76">
        <f>IF(Entradas!$E$91&gt;0,D198*Entradas!$D$23/Escenarios!$E$16,0)</f>
        <v>0</v>
      </c>
      <c r="AJ198" s="76">
        <f>IF(Entradas!$E$91&gt;0,Entradas!$D$24*Entradas!$D$22/Escenarios!$E$16,0)</f>
        <v>0</v>
      </c>
      <c r="AK198" s="76">
        <f t="shared" si="38"/>
        <v>0.1286908431663645</v>
      </c>
      <c r="AL198" s="76">
        <f t="shared" si="39"/>
        <v>0</v>
      </c>
      <c r="AM198" s="76">
        <f t="shared" si="30"/>
        <v>0</v>
      </c>
      <c r="AN198" s="76">
        <f>MAX(0,O198*Escenarios!$E$13/Escenarios!$E$16-AM198)</f>
        <v>4.6960287410222464E-4</v>
      </c>
      <c r="AO198" s="76">
        <f>AM198+AN198-O198*Escenarios!$E$13/Escenarios!$E$16</f>
        <v>0</v>
      </c>
      <c r="AP198" s="76">
        <f t="shared" ref="AP198:AP261" si="42">MAX(0,AE198-AO198)</f>
        <v>0.45682279476432125</v>
      </c>
      <c r="AQ198" s="76">
        <f t="shared" si="31"/>
        <v>0</v>
      </c>
      <c r="AR198" s="76">
        <f t="shared" si="32"/>
        <v>0.4572923976384235</v>
      </c>
      <c r="AS198" s="76">
        <f t="shared" si="33"/>
        <v>0</v>
      </c>
      <c r="AT198" s="76">
        <f t="shared" si="34"/>
        <v>0</v>
      </c>
      <c r="AU198" s="76">
        <f t="shared" si="35"/>
        <v>48.75</v>
      </c>
      <c r="AV198" s="76">
        <f>MAX(0,(AU198-Constantes!$D$13)*(1-EXP(-Constantes!$D$24)))</f>
        <v>0</v>
      </c>
      <c r="AW198" s="170">
        <f>AW197+(Entradas!$E$112*AT198-AX197)/(800*Entradas!$D$25)</f>
        <v>0</v>
      </c>
      <c r="AX198" s="170">
        <f>8000*Entradas!$D$26*AW198/Constantes!$E$45</f>
        <v>0</v>
      </c>
      <c r="AY198" s="170">
        <f>IF(Escenarios!$E$17&gt;0,10*Escenarios!$E$16*AL198,0)</f>
        <v>0</v>
      </c>
      <c r="AZ198" s="170">
        <f>IF(Escenarios!$E$17&gt;0,10*Escenarios!$E$16*AX198,0)</f>
        <v>0</v>
      </c>
      <c r="BA198" s="170">
        <f>IF(Escenarios!$E$17&gt;0,0.001*Observaciones!$F197*Escenarios!$E$17,0)</f>
        <v>0</v>
      </c>
      <c r="BB198" s="170">
        <f>IF(Escenarios!$E$17&gt;0,Observaciones!$K197,0)</f>
        <v>0</v>
      </c>
      <c r="BC198" s="170">
        <f>IF(Escenarios!$E$17&gt;0,MIN(0.0005*ETo!$M197*Escenarios!$E$17*(BG197/Constantes!$E$40)^(2/3),BG197+AY198+AZ198+BA198+BB198),0)</f>
        <v>6.2535745749256373</v>
      </c>
      <c r="BD198" s="170">
        <f>IF(Escenarios!$E$17&gt;0,MIN(Constantes!$E$39*(BG197/Constantes!$E$40)^(2/3),BG197+AY198+AZ198+BA198+BB198-BC198),0)</f>
        <v>16.476814972281733</v>
      </c>
      <c r="BE198" s="170">
        <f>IF(Escenarios!$E$17&gt;0,MIN(Entradas!$E$113,BG197+AY198+AZ198+BA198+BB198-BC198-BD198),0)</f>
        <v>1</v>
      </c>
      <c r="BF198" s="170">
        <f>IF(Escenarios!$E$17&gt;0,MAX(0,BG197+AY198+AZ198+BA198+BB198-BC198-BD198-BE198-Constantes!$E$40),0)</f>
        <v>0</v>
      </c>
      <c r="BG198" s="170">
        <f t="shared" si="40"/>
        <v>599.40678050075769</v>
      </c>
      <c r="BH198" s="170">
        <f>(Escenarios!$E$16*AK198+0.1*BC198)/(Escenarios!$E$19)</f>
        <v>0.13015106448049082</v>
      </c>
      <c r="BI198" s="170">
        <f>IF(Escenarios!$E$17&gt;0,BF198/10/Escenarios!$E$19,AL198)</f>
        <v>0</v>
      </c>
      <c r="BJ198" s="170">
        <f>(Escenarios!$E$16*AT198+0.1*BD198)/(Escenarios!$E$19)</f>
        <v>6.5384186397943389E-3</v>
      </c>
      <c r="BK198" s="76">
        <f>BK197+(0.1*BD198)/(Escenarios!$E$19)-BL197</f>
        <v>50.103586536162595</v>
      </c>
      <c r="BL198" s="76">
        <f>MAX(0,(BK198-Constantes!$D$13)*(1-EXP(-Constantes!$D$23)))</f>
        <v>1.3337210540004928E-2</v>
      </c>
      <c r="BM198" s="76">
        <f t="shared" si="36"/>
        <v>0.47016000530432617</v>
      </c>
      <c r="BN198" s="76">
        <f t="shared" si="41"/>
        <v>0.47062960817842842</v>
      </c>
      <c r="BO198" s="76">
        <f>0.0526*BI198*Observaciones!$F197^1.218</f>
        <v>0</v>
      </c>
      <c r="BP198" s="76">
        <f>BO198*Constantes!$E$51</f>
        <v>0</v>
      </c>
      <c r="BQ198" s="76">
        <f t="shared" si="37"/>
        <v>0</v>
      </c>
      <c r="BR198" s="40"/>
    </row>
    <row r="199" spans="1:70">
      <c r="A199" s="147"/>
      <c r="B199" s="39"/>
      <c r="C199" s="75">
        <v>193</v>
      </c>
      <c r="D199" s="146">
        <f>ETo!$I198*((1-Constantes!$E$19)*ETo!$K198+ETo!$L198)</f>
        <v>2.6242108520026668</v>
      </c>
      <c r="E199" s="76">
        <f>MIN(D199*Constantes!$E$17,0.8*(N198+Observaciones!$F198-F199-M199-Constantes!$D$14))</f>
        <v>1.2532756753886078E-2</v>
      </c>
      <c r="F199" s="76">
        <f>IF(Observaciones!$F198&gt;0.05*Constantes!$E$18,((Observaciones!$F198-0.05*Constantes!$E$18)^2)/(Observaciones!$F198+0.95*Constantes!$E$18),0)</f>
        <v>0</v>
      </c>
      <c r="G199" s="76">
        <f>IF(Escenarios!$E$11&gt;0,(F199*Escenarios!$E$16*10000)/1000,0)</f>
        <v>0</v>
      </c>
      <c r="H199" s="76">
        <f>IF(Escenarios!$E$11&gt;0,(Observaciones!$F198*Constantes!$E$29)/1000,0)</f>
        <v>0</v>
      </c>
      <c r="I199" s="76">
        <f>IF(Escenarios!$E$11&gt;0,(D199*Constantes!$E$29)/1000,0)</f>
        <v>26.242108520026669</v>
      </c>
      <c r="J199" s="76">
        <f>IF(Escenarios!$E$11&gt;0,MAX(0,G199+H199-I199),0)</f>
        <v>0</v>
      </c>
      <c r="K199" s="76">
        <f>IF(Escenarios!$E$11&gt;0,IF(J199&gt;Constantes!$E$30,1000*((J199-Constantes!$E$30)/(Escenarios!$E$16*10000)),0),F199)</f>
        <v>0</v>
      </c>
      <c r="L199" s="76">
        <f>IF(Escenarios!$E$11&gt;0,I199*1000/Escenarios!$E$16/10000+E199,E199)</f>
        <v>2.3029600161896743E-2</v>
      </c>
      <c r="M199" s="76">
        <f>MAX(0,N198+Observaciones!$F198-K199-Constantes!$D$13)</f>
        <v>0</v>
      </c>
      <c r="N199" s="76">
        <f>N198+Observaciones!$F198-K199-L199-M199-O198</f>
        <v>11.242102706150799</v>
      </c>
      <c r="O199" s="76">
        <f>MAX(0,(N199-Constantes!$D$14)*(1-EXP(-Constantes!$D$22)))</f>
        <v>0</v>
      </c>
      <c r="P199" s="170">
        <f>P198+(Entradas!$E$83*M199-Q198)/(800*Entradas!$D$25)</f>
        <v>0</v>
      </c>
      <c r="Q199" s="170">
        <f>8000*Entradas!$D$26*P199/Constantes!$E$45</f>
        <v>0</v>
      </c>
      <c r="R199" s="170">
        <f>IF(Escenarios!$E$14&gt;0,K199*Escenarios!$E$13/Escenarios!$E$14,0)</f>
        <v>0</v>
      </c>
      <c r="S199" s="170">
        <f>IF(Escenarios!$E$14&gt;0,Q199*Escenarios!$E$13/Escenarios!$E$14,0)</f>
        <v>0</v>
      </c>
      <c r="T199" s="170">
        <f>IF(Escenarios!$E$14&gt;0,Observaciones!$I198,0)</f>
        <v>0</v>
      </c>
      <c r="U199" s="170">
        <f>IF(Escenarios!$E$14&gt;0,MAX(0,Constantes!$E$36/((Z198+R199+S199+T199+Observaciones!$F198)^2)+Entradas!$E$77),0)</f>
        <v>0</v>
      </c>
      <c r="V199" s="146">
        <f>IF(ETo!D198&gt;0,ETo!I198*((1-Entradas!$E$81)*ETo!K198+ETo!L198),0)</f>
        <v>2.3628119448934761</v>
      </c>
      <c r="W199" s="170">
        <f>IF(Escenarios!$E$14&gt;0,MIN(V199*1,0.8*(Z198+R199+S199+T199+Observaciones!$F198-U199-Constantes!$E$35)),0)</f>
        <v>1.4080000000001293E-2</v>
      </c>
      <c r="X199" s="170">
        <f>IF(Escenarios!$E$14&gt;0,Observaciones!$J198,0)</f>
        <v>0</v>
      </c>
      <c r="Y199" s="170">
        <f>IF(Escenarios!$E$14&gt;0,MAX(0,Z198+R199+S199+T199+Observaciones!$F198-U199-W199-X199-Constantes!$E$33),0)</f>
        <v>0</v>
      </c>
      <c r="Z199" s="170">
        <f>Z198+R199+S199+T199+Observaciones!$F198-U199-W199-Y199</f>
        <v>41.253520000000002</v>
      </c>
      <c r="AA199" s="170">
        <f>IF(Escenarios!$E$14&gt;0,(Escenarios!$E$13*L199+Escenarios!$E$14*W199)/(Escenarios!$E$16),L199)</f>
        <v>2.1955648142469291E-2</v>
      </c>
      <c r="AB199" s="170">
        <f>IF(Escenarios!$E$14&gt;0,(Escenarios!$E$14*Y199)/(Escenarios!$E$16),K199)</f>
        <v>0</v>
      </c>
      <c r="AC199" s="170">
        <f>IF(Escenarios!$E$14&gt;0,(Escenarios!$E$13*M199+Escenarios!$E$14*U199)/(Escenarios!$E$16),M199)</f>
        <v>0</v>
      </c>
      <c r="AD199" s="76">
        <f t="shared" ref="AD199:AD262" si="43">AD198+AC199-AE198</f>
        <v>94.655884200856462</v>
      </c>
      <c r="AE199" s="76">
        <f>MAX(0,(AD199-Constantes!$D$13)*(1-EXP(-Constantes!$D$23)))</f>
        <v>0.45232161096079582</v>
      </c>
      <c r="AF199" s="76">
        <f>AB199+O199*Escenarios!$E$13/Escenarios!$E$16+AE199</f>
        <v>0.45232161096079582</v>
      </c>
      <c r="AG199" s="76">
        <f>IF(Entradas!$E$91&gt;0,IF(AF199-Escenarios!$E$38&lt;=0,0,IF(AF199-Escenarios!$E$38&gt;Escenarios!$E$37,Escenarios!$E$37,AF199-Escenarios!$E$38)),0)</f>
        <v>0</v>
      </c>
      <c r="AH199" s="76">
        <f>AG199*Entradas!$E$99</f>
        <v>0</v>
      </c>
      <c r="AI199" s="76">
        <f>IF(Entradas!$E$91&gt;0,D199*Entradas!$D$23/Escenarios!$E$16,0)</f>
        <v>0</v>
      </c>
      <c r="AJ199" s="76">
        <f>IF(Entradas!$E$91&gt;0,Entradas!$D$24*Entradas!$D$22/Escenarios!$E$16,0)</f>
        <v>0</v>
      </c>
      <c r="AK199" s="76">
        <f t="shared" si="38"/>
        <v>2.1955648142469291E-2</v>
      </c>
      <c r="AL199" s="76">
        <f t="shared" si="39"/>
        <v>0</v>
      </c>
      <c r="AM199" s="76">
        <f t="shared" ref="AM199:AM262" si="44">AG199+AL199-AB199</f>
        <v>0</v>
      </c>
      <c r="AN199" s="76">
        <f>MAX(0,O199*Escenarios!$E$13/Escenarios!$E$16-AM199)</f>
        <v>0</v>
      </c>
      <c r="AO199" s="76">
        <f>AM199+AN199-O199*Escenarios!$E$13/Escenarios!$E$16</f>
        <v>0</v>
      </c>
      <c r="AP199" s="76">
        <f t="shared" si="42"/>
        <v>0.45232161096079582</v>
      </c>
      <c r="AQ199" s="76">
        <f t="shared" ref="AQ199:AQ262" si="45">AO199+AP199-AE199</f>
        <v>0</v>
      </c>
      <c r="AR199" s="76">
        <f t="shared" ref="AR199:AR262" si="46">AL199+AN199+AP199+AH199</f>
        <v>0.45232161096079582</v>
      </c>
      <c r="AS199" s="76">
        <f t="shared" ref="AS199:AS262" si="47">MAX(0,AG199-AH199-AI199-AJ199)</f>
        <v>0</v>
      </c>
      <c r="AT199" s="76">
        <f t="shared" ref="AT199:AT262" si="48">AC199+AS199</f>
        <v>0</v>
      </c>
      <c r="AU199" s="76">
        <f t="shared" ref="AU199:AU262" si="49">AU198+AS199-AV198</f>
        <v>48.75</v>
      </c>
      <c r="AV199" s="76">
        <f>MAX(0,(AU199-Constantes!$D$13)*(1-EXP(-Constantes!$D$24)))</f>
        <v>0</v>
      </c>
      <c r="AW199" s="170">
        <f>AW198+(Entradas!$E$112*AT199-AX198)/(800*Entradas!$D$25)</f>
        <v>0</v>
      </c>
      <c r="AX199" s="170">
        <f>8000*Entradas!$D$26*AW199/Constantes!$E$45</f>
        <v>0</v>
      </c>
      <c r="AY199" s="170">
        <f>IF(Escenarios!$E$17&gt;0,10*Escenarios!$E$16*AL199,0)</f>
        <v>0</v>
      </c>
      <c r="AZ199" s="170">
        <f>IF(Escenarios!$E$17&gt;0,10*Escenarios!$E$16*AX199,0)</f>
        <v>0</v>
      </c>
      <c r="BA199" s="170">
        <f>IF(Escenarios!$E$17&gt;0,0.001*Observaciones!$F198*Escenarios!$E$17,0)</f>
        <v>0</v>
      </c>
      <c r="BB199" s="170">
        <f>IF(Escenarios!$E$17&gt;0,Observaciones!$K198,0)</f>
        <v>0</v>
      </c>
      <c r="BC199" s="170">
        <f>IF(Escenarios!$E$17&gt;0,MIN(0.0005*ETo!$M198*Escenarios!$E$17*(BG198/Constantes!$E$40)^(2/3),BG198+AY199+AZ199+BA199+BB199),0)</f>
        <v>6.092231946474409</v>
      </c>
      <c r="BD199" s="170">
        <f>IF(Escenarios!$E$17&gt;0,MIN(Constantes!$E$39*(BG198/Constantes!$E$40)^(2/3),BG198+AY199+AZ199+BA199+BB199-BC199),0)</f>
        <v>16.055799171385136</v>
      </c>
      <c r="BE199" s="170">
        <f>IF(Escenarios!$E$17&gt;0,MIN(Entradas!$E$113,BG198+AY199+AZ199+BA199+BB199-BC199-BD199),0)</f>
        <v>1</v>
      </c>
      <c r="BF199" s="170">
        <f>IF(Escenarios!$E$17&gt;0,MAX(0,BG198+AY199+AZ199+BA199+BB199-BC199-BD199-BE199-Constantes!$E$40),0)</f>
        <v>0</v>
      </c>
      <c r="BG199" s="170">
        <f t="shared" si="40"/>
        <v>576.25874938289815</v>
      </c>
      <c r="BH199" s="170">
        <f>(Escenarios!$E$16*AK199+0.1*BC199)/(Escenarios!$E$19)</f>
        <v>2.4198949326447471E-2</v>
      </c>
      <c r="BI199" s="170">
        <f>IF(Escenarios!$E$17&gt;0,BF199/10/Escenarios!$E$19,AL199)</f>
        <v>0</v>
      </c>
      <c r="BJ199" s="170">
        <f>(Escenarios!$E$16*AT199+0.1*BD199)/(Escenarios!$E$19)</f>
        <v>6.3713488775337841E-3</v>
      </c>
      <c r="BK199" s="76">
        <f>BK198+(0.1*BD199)/(Escenarios!$E$19)-BL198</f>
        <v>50.096620674500123</v>
      </c>
      <c r="BL199" s="76">
        <f>MAX(0,(BK199-Constantes!$D$13)*(1-EXP(-Constantes!$D$23)))</f>
        <v>1.3268574245905605E-2</v>
      </c>
      <c r="BM199" s="76">
        <f t="shared" ref="BM199:BM262" si="50">AP199+AV199+BL199</f>
        <v>0.46559018520670142</v>
      </c>
      <c r="BN199" s="76">
        <f t="shared" si="41"/>
        <v>0.46559018520670142</v>
      </c>
      <c r="BO199" s="76">
        <f>0.0526*BI199*Observaciones!$F198^1.218</f>
        <v>0</v>
      </c>
      <c r="BP199" s="76">
        <f>BO199*Constantes!$E$51</f>
        <v>0</v>
      </c>
      <c r="BQ199" s="76">
        <f t="shared" ref="BQ199:BQ262" si="51">BP199*1000000/(BN199/1000*10000)</f>
        <v>0</v>
      </c>
      <c r="BR199" s="40"/>
    </row>
    <row r="200" spans="1:70">
      <c r="A200" s="147"/>
      <c r="B200" s="39"/>
      <c r="C200" s="75">
        <v>194</v>
      </c>
      <c r="D200" s="146">
        <f>ETo!$I199*((1-Constantes!$E$19)*ETo!$K199+ETo!$L199)</f>
        <v>2.5248886019457246</v>
      </c>
      <c r="E200" s="76">
        <f>MIN(D200*Constantes!$E$17,0.8*(N199+Observaciones!$F199-F200-M200-Constantes!$D$14))</f>
        <v>-6.3178350793606343E-3</v>
      </c>
      <c r="F200" s="76">
        <f>IF(Observaciones!$F199&gt;0.05*Constantes!$E$18,((Observaciones!$F199-0.05*Constantes!$E$18)^2)/(Observaciones!$F199+0.95*Constantes!$E$18),0)</f>
        <v>0</v>
      </c>
      <c r="G200" s="76">
        <f>IF(Escenarios!$E$11&gt;0,(F200*Escenarios!$E$16*10000)/1000,0)</f>
        <v>0</v>
      </c>
      <c r="H200" s="76">
        <f>IF(Escenarios!$E$11&gt;0,(Observaciones!$F199*Constantes!$E$29)/1000,0)</f>
        <v>0</v>
      </c>
      <c r="I200" s="76">
        <f>IF(Escenarios!$E$11&gt;0,(D200*Constantes!$E$29)/1000,0)</f>
        <v>25.248886019457245</v>
      </c>
      <c r="J200" s="76">
        <f>IF(Escenarios!$E$11&gt;0,MAX(0,G200+H200-I200),0)</f>
        <v>0</v>
      </c>
      <c r="K200" s="76">
        <f>IF(Escenarios!$E$11&gt;0,IF(J200&gt;Constantes!$E$30,1000*((J200-Constantes!$E$30)/(Escenarios!$E$16*10000)),0),F200)</f>
        <v>0</v>
      </c>
      <c r="L200" s="76">
        <f>IF(Escenarios!$E$11&gt;0,I200*1000/Escenarios!$E$16/10000+E200,E200)</f>
        <v>3.7817193284222636E-3</v>
      </c>
      <c r="M200" s="76">
        <f>MAX(0,N199+Observaciones!$F199-K200-Constantes!$D$13)</f>
        <v>0</v>
      </c>
      <c r="N200" s="76">
        <f>N199+Observaciones!$F199-K200-L200-M200-O199</f>
        <v>11.238320986822377</v>
      </c>
      <c r="O200" s="76">
        <f>MAX(0,(N200-Constantes!$D$14)*(1-EXP(-Constantes!$D$22)))</f>
        <v>0</v>
      </c>
      <c r="P200" s="170">
        <f>P199+(Entradas!$E$83*M200-Q199)/(800*Entradas!$D$25)</f>
        <v>0</v>
      </c>
      <c r="Q200" s="170">
        <f>8000*Entradas!$D$26*P200/Constantes!$E$45</f>
        <v>0</v>
      </c>
      <c r="R200" s="170">
        <f>IF(Escenarios!$E$14&gt;0,K200*Escenarios!$E$13/Escenarios!$E$14,0)</f>
        <v>0</v>
      </c>
      <c r="S200" s="170">
        <f>IF(Escenarios!$E$14&gt;0,Q200*Escenarios!$E$13/Escenarios!$E$14,0)</f>
        <v>0</v>
      </c>
      <c r="T200" s="170">
        <f>IF(Escenarios!$E$14&gt;0,Observaciones!$I199,0)</f>
        <v>0</v>
      </c>
      <c r="U200" s="170">
        <f>IF(Escenarios!$E$14&gt;0,MAX(0,Constantes!$E$36/((Z199+R200+S200+T200+Observaciones!$F199)^2)+Entradas!$E$77),0)</f>
        <v>0</v>
      </c>
      <c r="V200" s="146">
        <f>IF(ETo!D199&gt;0,ETo!I199*((1-Entradas!$E$81)*ETo!K199+ETo!L199),0)</f>
        <v>2.2728735906247342</v>
      </c>
      <c r="W200" s="170">
        <f>IF(Escenarios!$E$14&gt;0,MIN(V200*1,0.8*(Z199+R200+S200+T200+Observaciones!$F199-U200-Constantes!$E$35)),0)</f>
        <v>2.8160000000013955E-3</v>
      </c>
      <c r="X200" s="170">
        <f>IF(Escenarios!$E$14&gt;0,Observaciones!$J199,0)</f>
        <v>0</v>
      </c>
      <c r="Y200" s="170">
        <f>IF(Escenarios!$E$14&gt;0,MAX(0,Z199+R200+S200+T200+Observaciones!$F199-U200-W200-X200-Constantes!$E$33),0)</f>
        <v>0</v>
      </c>
      <c r="Z200" s="170">
        <f>Z199+R200+S200+T200+Observaciones!$F199-U200-W200-Y200</f>
        <v>41.250703999999999</v>
      </c>
      <c r="AA200" s="170">
        <f>IF(Escenarios!$E$14&gt;0,(Escenarios!$E$13*L200+Escenarios!$E$14*W200)/(Escenarios!$E$16),L200)</f>
        <v>3.6658330090117595E-3</v>
      </c>
      <c r="AB200" s="170">
        <f>IF(Escenarios!$E$14&gt;0,(Escenarios!$E$14*Y200)/(Escenarios!$E$16),K200)</f>
        <v>0</v>
      </c>
      <c r="AC200" s="170">
        <f>IF(Escenarios!$E$14&gt;0,(Escenarios!$E$13*M200+Escenarios!$E$14*U200)/(Escenarios!$E$16),M200)</f>
        <v>0</v>
      </c>
      <c r="AD200" s="76">
        <f t="shared" si="43"/>
        <v>94.203562589895668</v>
      </c>
      <c r="AE200" s="76">
        <f>MAX(0,(AD200-Constantes!$D$13)*(1-EXP(-Constantes!$D$23)))</f>
        <v>0.44786477839338495</v>
      </c>
      <c r="AF200" s="76">
        <f>AB200+O200*Escenarios!$E$13/Escenarios!$E$16+AE200</f>
        <v>0.44786477839338495</v>
      </c>
      <c r="AG200" s="76">
        <f>IF(Entradas!$E$91&gt;0,IF(AF200-Escenarios!$E$38&lt;=0,0,IF(AF200-Escenarios!$E$38&gt;Escenarios!$E$37,Escenarios!$E$37,AF200-Escenarios!$E$38)),0)</f>
        <v>0</v>
      </c>
      <c r="AH200" s="76">
        <f>AG200*Entradas!$E$99</f>
        <v>0</v>
      </c>
      <c r="AI200" s="76">
        <f>IF(Entradas!$E$91&gt;0,D200*Entradas!$D$23/Escenarios!$E$16,0)</f>
        <v>0</v>
      </c>
      <c r="AJ200" s="76">
        <f>IF(Entradas!$E$91&gt;0,Entradas!$D$24*Entradas!$D$22/Escenarios!$E$16,0)</f>
        <v>0</v>
      </c>
      <c r="AK200" s="76">
        <f t="shared" ref="AK200:AK263" si="52">AA200+AI200</f>
        <v>3.6658330090117595E-3</v>
      </c>
      <c r="AL200" s="76">
        <f t="shared" ref="AL200:AL263" si="53">MAX(0,AB200-AG200)</f>
        <v>0</v>
      </c>
      <c r="AM200" s="76">
        <f t="shared" si="44"/>
        <v>0</v>
      </c>
      <c r="AN200" s="76">
        <f>MAX(0,O200*Escenarios!$E$13/Escenarios!$E$16-AM200)</f>
        <v>0</v>
      </c>
      <c r="AO200" s="76">
        <f>AM200+AN200-O200*Escenarios!$E$13/Escenarios!$E$16</f>
        <v>0</v>
      </c>
      <c r="AP200" s="76">
        <f t="shared" si="42"/>
        <v>0.44786477839338495</v>
      </c>
      <c r="AQ200" s="76">
        <f t="shared" si="45"/>
        <v>0</v>
      </c>
      <c r="AR200" s="76">
        <f t="shared" si="46"/>
        <v>0.44786477839338495</v>
      </c>
      <c r="AS200" s="76">
        <f t="shared" si="47"/>
        <v>0</v>
      </c>
      <c r="AT200" s="76">
        <f t="shared" si="48"/>
        <v>0</v>
      </c>
      <c r="AU200" s="76">
        <f t="shared" si="49"/>
        <v>48.75</v>
      </c>
      <c r="AV200" s="76">
        <f>MAX(0,(AU200-Constantes!$D$13)*(1-EXP(-Constantes!$D$24)))</f>
        <v>0</v>
      </c>
      <c r="AW200" s="170">
        <f>AW199+(Entradas!$E$112*AT200-AX199)/(800*Entradas!$D$25)</f>
        <v>0</v>
      </c>
      <c r="AX200" s="170">
        <f>8000*Entradas!$D$26*AW200/Constantes!$E$45</f>
        <v>0</v>
      </c>
      <c r="AY200" s="170">
        <f>IF(Escenarios!$E$17&gt;0,10*Escenarios!$E$16*AL200,0)</f>
        <v>0</v>
      </c>
      <c r="AZ200" s="170">
        <f>IF(Escenarios!$E$17&gt;0,10*Escenarios!$E$16*AX200,0)</f>
        <v>0</v>
      </c>
      <c r="BA200" s="170">
        <f>IF(Escenarios!$E$17&gt;0,0.001*Observaciones!$F199*Escenarios!$E$17,0)</f>
        <v>0</v>
      </c>
      <c r="BB200" s="170">
        <f>IF(Escenarios!$E$17&gt;0,Observaciones!$K199,0)</f>
        <v>0</v>
      </c>
      <c r="BC200" s="170">
        <f>IF(Escenarios!$E$17&gt;0,MIN(0.0005*ETo!$M199*Escenarios!$E$17*(BG199/Constantes!$E$40)^(2/3),BG199+AY200+AZ200+BA200+BB200),0)</f>
        <v>5.7113188765846354</v>
      </c>
      <c r="BD200" s="170">
        <f>IF(Escenarios!$E$17&gt;0,MIN(Constantes!$E$39*(BG199/Constantes!$E$40)^(2/3),BG199+AY200+AZ200+BA200+BB200-BC200),0)</f>
        <v>15.63972748031169</v>
      </c>
      <c r="BE200" s="170">
        <f>IF(Escenarios!$E$17&gt;0,MIN(Entradas!$E$113,BG199+AY200+AZ200+BA200+BB200-BC200-BD200),0)</f>
        <v>1</v>
      </c>
      <c r="BF200" s="170">
        <f>IF(Escenarios!$E$17&gt;0,MAX(0,BG199+AY200+AZ200+BA200+BB200-BC200-BD200-BE200-Constantes!$E$40),0)</f>
        <v>0</v>
      </c>
      <c r="BG200" s="170">
        <f t="shared" ref="BG200:BG263" si="54">BG199+AY200+AZ200+BA200+BB200-BF200-BC200-BD200-BE200</f>
        <v>553.90770302600185</v>
      </c>
      <c r="BH200" s="170">
        <f>(Escenarios!$E$16*AK200+0.1*BC200)/(Escenarios!$E$19)</f>
        <v>5.9031354758389025E-3</v>
      </c>
      <c r="BI200" s="170">
        <f>IF(Escenarios!$E$17&gt;0,BF200/10/Escenarios!$E$19,AL200)</f>
        <v>0</v>
      </c>
      <c r="BJ200" s="170">
        <f>(Escenarios!$E$16*AT200+0.1*BD200)/(Escenarios!$E$19)</f>
        <v>6.2062410636157502E-3</v>
      </c>
      <c r="BK200" s="76">
        <f>BK199+(0.1*BD200)/(Escenarios!$E$19)-BL199</f>
        <v>50.089558341317833</v>
      </c>
      <c r="BL200" s="76">
        <f>MAX(0,(BK200-Constantes!$D$13)*(1-EXP(-Constantes!$D$23)))</f>
        <v>1.319898739494379E-2</v>
      </c>
      <c r="BM200" s="76">
        <f t="shared" si="50"/>
        <v>0.46106376578832875</v>
      </c>
      <c r="BN200" s="76">
        <f t="shared" ref="BN200:BN263" si="55">AN200+AP200+AV200+BI200+BL200</f>
        <v>0.46106376578832875</v>
      </c>
      <c r="BO200" s="76">
        <f>0.0526*BI200*Observaciones!$F199^1.218</f>
        <v>0</v>
      </c>
      <c r="BP200" s="76">
        <f>BO200*Constantes!$E$51</f>
        <v>0</v>
      </c>
      <c r="BQ200" s="76">
        <f t="shared" si="51"/>
        <v>0</v>
      </c>
      <c r="BR200" s="40"/>
    </row>
    <row r="201" spans="1:70">
      <c r="A201" s="147"/>
      <c r="B201" s="39"/>
      <c r="C201" s="75">
        <v>195</v>
      </c>
      <c r="D201" s="146">
        <f>ETo!$I200*((1-Constantes!$E$19)*ETo!$K200+ETo!$L200)</f>
        <v>2.4831621359424334</v>
      </c>
      <c r="E201" s="76">
        <f>MIN(D201*Constantes!$E$17,0.8*(N200+Observaciones!$F200-F201-M201-Constantes!$D$14))</f>
        <v>-9.3432105420987455E-3</v>
      </c>
      <c r="F201" s="76">
        <f>IF(Observaciones!$F200&gt;0.05*Constantes!$E$18,((Observaciones!$F200-0.05*Constantes!$E$18)^2)/(Observaciones!$F200+0.95*Constantes!$E$18),0)</f>
        <v>0</v>
      </c>
      <c r="G201" s="76">
        <f>IF(Escenarios!$E$11&gt;0,(F201*Escenarios!$E$16*10000)/1000,0)</f>
        <v>0</v>
      </c>
      <c r="H201" s="76">
        <f>IF(Escenarios!$E$11&gt;0,(Observaciones!$F200*Constantes!$E$29)/1000,0)</f>
        <v>0</v>
      </c>
      <c r="I201" s="76">
        <f>IF(Escenarios!$E$11&gt;0,(D201*Constantes!$E$29)/1000,0)</f>
        <v>24.831621359424336</v>
      </c>
      <c r="J201" s="76">
        <f>IF(Escenarios!$E$11&gt;0,MAX(0,G201+H201-I201),0)</f>
        <v>0</v>
      </c>
      <c r="K201" s="76">
        <f>IF(Escenarios!$E$11&gt;0,IF(J201&gt;Constantes!$E$30,1000*((J201-Constantes!$E$30)/(Escenarios!$E$16*10000)),0),F201)</f>
        <v>0</v>
      </c>
      <c r="L201" s="76">
        <f>IF(Escenarios!$E$11&gt;0,I201*1000/Escenarios!$E$16/10000+E201,E201)</f>
        <v>5.8943800167098916E-4</v>
      </c>
      <c r="M201" s="76">
        <f>MAX(0,N200+Observaciones!$F200-K201-Constantes!$D$13)</f>
        <v>0</v>
      </c>
      <c r="N201" s="76">
        <f>N200+Observaciones!$F200-K201-L201-M201-O200</f>
        <v>11.237731548820706</v>
      </c>
      <c r="O201" s="76">
        <f>MAX(0,(N201-Constantes!$D$14)*(1-EXP(-Constantes!$D$22)))</f>
        <v>0</v>
      </c>
      <c r="P201" s="170">
        <f>P200+(Entradas!$E$83*M201-Q200)/(800*Entradas!$D$25)</f>
        <v>0</v>
      </c>
      <c r="Q201" s="170">
        <f>8000*Entradas!$D$26*P201/Constantes!$E$45</f>
        <v>0</v>
      </c>
      <c r="R201" s="170">
        <f>IF(Escenarios!$E$14&gt;0,K201*Escenarios!$E$13/Escenarios!$E$14,0)</f>
        <v>0</v>
      </c>
      <c r="S201" s="170">
        <f>IF(Escenarios!$E$14&gt;0,Q201*Escenarios!$E$13/Escenarios!$E$14,0)</f>
        <v>0</v>
      </c>
      <c r="T201" s="170">
        <f>IF(Escenarios!$E$14&gt;0,Observaciones!$I200,0)</f>
        <v>0</v>
      </c>
      <c r="U201" s="170">
        <f>IF(Escenarios!$E$14&gt;0,MAX(0,Constantes!$E$36/((Z200+R201+S201+T201+Observaciones!$F200)^2)+Entradas!$E$77),0)</f>
        <v>0</v>
      </c>
      <c r="V201" s="146">
        <f>IF(ETo!D200&gt;0,ETo!I200*((1-Entradas!$E$81)*ETo!K200+ETo!L200),0)</f>
        <v>2.2354198482973415</v>
      </c>
      <c r="W201" s="170">
        <f>IF(Escenarios!$E$14&gt;0,MIN(V201*1,0.8*(Z200+R201+S201+T201+Observaciones!$F200-U201-Constantes!$E$35)),0)</f>
        <v>5.6319999999914221E-4</v>
      </c>
      <c r="X201" s="170">
        <f>IF(Escenarios!$E$14&gt;0,Observaciones!$J200,0)</f>
        <v>0</v>
      </c>
      <c r="Y201" s="170">
        <f>IF(Escenarios!$E$14&gt;0,MAX(0,Z200+R201+S201+T201+Observaciones!$F200-U201-W201-X201-Constantes!$E$33),0)</f>
        <v>0</v>
      </c>
      <c r="Z201" s="170">
        <f>Z200+R201+S201+T201+Observaciones!$F200-U201-W201-Y201</f>
        <v>41.250140799999997</v>
      </c>
      <c r="AA201" s="170">
        <f>IF(Escenarios!$E$14&gt;0,(Escenarios!$E$13*L201+Escenarios!$E$14*W201)/(Escenarios!$E$16),L201)</f>
        <v>5.8628944147036757E-4</v>
      </c>
      <c r="AB201" s="170">
        <f>IF(Escenarios!$E$14&gt;0,(Escenarios!$E$14*Y201)/(Escenarios!$E$16),K201)</f>
        <v>0</v>
      </c>
      <c r="AC201" s="170">
        <f>IF(Escenarios!$E$14&gt;0,(Escenarios!$E$13*M201+Escenarios!$E$14*U201)/(Escenarios!$E$16),M201)</f>
        <v>0</v>
      </c>
      <c r="AD201" s="76">
        <f t="shared" si="43"/>
        <v>93.755697811502287</v>
      </c>
      <c r="AE201" s="76">
        <f>MAX(0,(AD201-Constantes!$D$13)*(1-EXP(-Constantes!$D$23)))</f>
        <v>0.44345186005879561</v>
      </c>
      <c r="AF201" s="76">
        <f>AB201+O201*Escenarios!$E$13/Escenarios!$E$16+AE201</f>
        <v>0.44345186005879561</v>
      </c>
      <c r="AG201" s="76">
        <f>IF(Entradas!$E$91&gt;0,IF(AF201-Escenarios!$E$38&lt;=0,0,IF(AF201-Escenarios!$E$38&gt;Escenarios!$E$37,Escenarios!$E$37,AF201-Escenarios!$E$38)),0)</f>
        <v>0</v>
      </c>
      <c r="AH201" s="76">
        <f>AG201*Entradas!$E$99</f>
        <v>0</v>
      </c>
      <c r="AI201" s="76">
        <f>IF(Entradas!$E$91&gt;0,D201*Entradas!$D$23/Escenarios!$E$16,0)</f>
        <v>0</v>
      </c>
      <c r="AJ201" s="76">
        <f>IF(Entradas!$E$91&gt;0,Entradas!$D$24*Entradas!$D$22/Escenarios!$E$16,0)</f>
        <v>0</v>
      </c>
      <c r="AK201" s="76">
        <f t="shared" si="52"/>
        <v>5.8628944147036757E-4</v>
      </c>
      <c r="AL201" s="76">
        <f t="shared" si="53"/>
        <v>0</v>
      </c>
      <c r="AM201" s="76">
        <f t="shared" si="44"/>
        <v>0</v>
      </c>
      <c r="AN201" s="76">
        <f>MAX(0,O201*Escenarios!$E$13/Escenarios!$E$16-AM201)</f>
        <v>0</v>
      </c>
      <c r="AO201" s="76">
        <f>AM201+AN201-O201*Escenarios!$E$13/Escenarios!$E$16</f>
        <v>0</v>
      </c>
      <c r="AP201" s="76">
        <f t="shared" si="42"/>
        <v>0.44345186005879561</v>
      </c>
      <c r="AQ201" s="76">
        <f t="shared" si="45"/>
        <v>0</v>
      </c>
      <c r="AR201" s="76">
        <f t="shared" si="46"/>
        <v>0.44345186005879561</v>
      </c>
      <c r="AS201" s="76">
        <f t="shared" si="47"/>
        <v>0</v>
      </c>
      <c r="AT201" s="76">
        <f t="shared" si="48"/>
        <v>0</v>
      </c>
      <c r="AU201" s="76">
        <f t="shared" si="49"/>
        <v>48.75</v>
      </c>
      <c r="AV201" s="76">
        <f>MAX(0,(AU201-Constantes!$D$13)*(1-EXP(-Constantes!$D$24)))</f>
        <v>0</v>
      </c>
      <c r="AW201" s="170">
        <f>AW200+(Entradas!$E$112*AT201-AX200)/(800*Entradas!$D$25)</f>
        <v>0</v>
      </c>
      <c r="AX201" s="170">
        <f>8000*Entradas!$D$26*AW201/Constantes!$E$45</f>
        <v>0</v>
      </c>
      <c r="AY201" s="170">
        <f>IF(Escenarios!$E$17&gt;0,10*Escenarios!$E$16*AL201,0)</f>
        <v>0</v>
      </c>
      <c r="AZ201" s="170">
        <f>IF(Escenarios!$E$17&gt;0,10*Escenarios!$E$16*AX201,0)</f>
        <v>0</v>
      </c>
      <c r="BA201" s="170">
        <f>IF(Escenarios!$E$17&gt;0,0.001*Observaciones!$F200*Escenarios!$E$17,0)</f>
        <v>0</v>
      </c>
      <c r="BB201" s="170">
        <f>IF(Escenarios!$E$17&gt;0,Observaciones!$K200,0)</f>
        <v>0</v>
      </c>
      <c r="BC201" s="170">
        <f>IF(Escenarios!$E$17&gt;0,MIN(0.0005*ETo!$M200*Escenarios!$E$17*(BG200/Constantes!$E$40)^(2/3),BG200+AY201+AZ201+BA201+BB201),0)</f>
        <v>5.4704138031984924</v>
      </c>
      <c r="BD201" s="170">
        <f>IF(Escenarios!$E$17&gt;0,MIN(Constantes!$E$39*(BG200/Constantes!$E$40)^(2/3),BG200+AY201+AZ201+BA201+BB201-BC201),0)</f>
        <v>15.232660503298749</v>
      </c>
      <c r="BE201" s="170">
        <f>IF(Escenarios!$E$17&gt;0,MIN(Entradas!$E$113,BG200+AY201+AZ201+BA201+BB201-BC201-BD201),0)</f>
        <v>1</v>
      </c>
      <c r="BF201" s="170">
        <f>IF(Escenarios!$E$17&gt;0,MAX(0,BG200+AY201+AZ201+BA201+BB201-BC201-BD201-BE201-Constantes!$E$40),0)</f>
        <v>0</v>
      </c>
      <c r="BG201" s="170">
        <f t="shared" si="54"/>
        <v>532.20462871950451</v>
      </c>
      <c r="BH201" s="170">
        <f>(Escenarios!$E$16*AK201+0.1*BC201)/(Escenarios!$E$19)</f>
        <v>2.7524354789184176E-3</v>
      </c>
      <c r="BI201" s="170">
        <f>IF(Escenarios!$E$17&gt;0,BF201/10/Escenarios!$E$19,AL201)</f>
        <v>0</v>
      </c>
      <c r="BJ201" s="170">
        <f>(Escenarios!$E$16*AT201+0.1*BD201)/(Escenarios!$E$19)</f>
        <v>6.0447065489280753E-3</v>
      </c>
      <c r="BK201" s="76">
        <f>BK200+(0.1*BD201)/(Escenarios!$E$19)-BL200</f>
        <v>50.082404060471816</v>
      </c>
      <c r="BL201" s="76">
        <f>MAX(0,(BK201-Constantes!$D$13)*(1-EXP(-Constantes!$D$23)))</f>
        <v>1.3128494561751051E-2</v>
      </c>
      <c r="BM201" s="76">
        <f t="shared" si="50"/>
        <v>0.45658035462054664</v>
      </c>
      <c r="BN201" s="76">
        <f t="shared" si="55"/>
        <v>0.45658035462054664</v>
      </c>
      <c r="BO201" s="76">
        <f>0.0526*BI201*Observaciones!$F200^1.218</f>
        <v>0</v>
      </c>
      <c r="BP201" s="76">
        <f>BO201*Constantes!$E$51</f>
        <v>0</v>
      </c>
      <c r="BQ201" s="76">
        <f t="shared" si="51"/>
        <v>0</v>
      </c>
      <c r="BR201" s="40"/>
    </row>
    <row r="202" spans="1:70">
      <c r="A202" s="147"/>
      <c r="B202" s="39"/>
      <c r="C202" s="75">
        <v>196</v>
      </c>
      <c r="D202" s="146">
        <f>ETo!$I201*((1-Constantes!$E$19)*ETo!$K201+ETo!$L201)</f>
        <v>2.5857817051040852</v>
      </c>
      <c r="E202" s="76">
        <f>MIN(D202*Constantes!$E$17,0.8*(N201+Observaciones!$F201-F202-M202-Constantes!$D$14))</f>
        <v>-9.8147609434349192E-3</v>
      </c>
      <c r="F202" s="76">
        <f>IF(Observaciones!$F201&gt;0.05*Constantes!$E$18,((Observaciones!$F201-0.05*Constantes!$E$18)^2)/(Observaciones!$F201+0.95*Constantes!$E$18),0)</f>
        <v>0</v>
      </c>
      <c r="G202" s="76">
        <f>IF(Escenarios!$E$11&gt;0,(F202*Escenarios!$E$16*10000)/1000,0)</f>
        <v>0</v>
      </c>
      <c r="H202" s="76">
        <f>IF(Escenarios!$E$11&gt;0,(Observaciones!$F201*Constantes!$E$29)/1000,0)</f>
        <v>0</v>
      </c>
      <c r="I202" s="76">
        <f>IF(Escenarios!$E$11&gt;0,(D202*Constantes!$E$29)/1000,0)</f>
        <v>25.857817051040854</v>
      </c>
      <c r="J202" s="76">
        <f>IF(Escenarios!$E$11&gt;0,MAX(0,G202+H202-I202),0)</f>
        <v>0</v>
      </c>
      <c r="K202" s="76">
        <f>IF(Escenarios!$E$11&gt;0,IF(J202&gt;Constantes!$E$30,1000*((J202-Constantes!$E$30)/(Escenarios!$E$16*10000)),0),F202)</f>
        <v>0</v>
      </c>
      <c r="L202" s="76">
        <f>IF(Escenarios!$E$11&gt;0,I202*1000/Escenarios!$E$16/10000+E202,E202)</f>
        <v>5.2836587698142264E-4</v>
      </c>
      <c r="M202" s="76">
        <f>MAX(0,N201+Observaciones!$F201-K202-Constantes!$D$13)</f>
        <v>0</v>
      </c>
      <c r="N202" s="76">
        <f>N201+Observaciones!$F201-K202-L202-M202-O201</f>
        <v>11.237203182943725</v>
      </c>
      <c r="O202" s="76">
        <f>MAX(0,(N202-Constantes!$D$14)*(1-EXP(-Constantes!$D$22)))</f>
        <v>0</v>
      </c>
      <c r="P202" s="170">
        <f>P201+(Entradas!$E$83*M202-Q201)/(800*Entradas!$D$25)</f>
        <v>0</v>
      </c>
      <c r="Q202" s="170">
        <f>8000*Entradas!$D$26*P202/Constantes!$E$45</f>
        <v>0</v>
      </c>
      <c r="R202" s="170">
        <f>IF(Escenarios!$E$14&gt;0,K202*Escenarios!$E$13/Escenarios!$E$14,0)</f>
        <v>0</v>
      </c>
      <c r="S202" s="170">
        <f>IF(Escenarios!$E$14&gt;0,Q202*Escenarios!$E$13/Escenarios!$E$14,0)</f>
        <v>0</v>
      </c>
      <c r="T202" s="170">
        <f>IF(Escenarios!$E$14&gt;0,Observaciones!$I201,0)</f>
        <v>0</v>
      </c>
      <c r="U202" s="170">
        <f>IF(Escenarios!$E$14&gt;0,MAX(0,Constantes!$E$36/((Z201+R202+S202+T202+Observaciones!$F201)^2)+Entradas!$E$77),0)</f>
        <v>0</v>
      </c>
      <c r="V202" s="146">
        <f>IF(ETo!D201&gt;0,ETo!I201*((1-Entradas!$E$81)*ETo!K201+ETo!L201),0)</f>
        <v>2.3286396287449835</v>
      </c>
      <c r="W202" s="170">
        <f>IF(Escenarios!$E$14&gt;0,MIN(V202*1,0.8*(Z201+R202+S202+T202+Observaciones!$F201-U202-Constantes!$E$35)),0)</f>
        <v>1.126399999975547E-4</v>
      </c>
      <c r="X202" s="170">
        <f>IF(Escenarios!$E$14&gt;0,Observaciones!$J201,0)</f>
        <v>0</v>
      </c>
      <c r="Y202" s="170">
        <f>IF(Escenarios!$E$14&gt;0,MAX(0,Z201+R202+S202+T202+Observaciones!$F201-U202-W202-X202-Constantes!$E$33),0)</f>
        <v>0</v>
      </c>
      <c r="Z202" s="170">
        <f>Z201+R202+S202+T202+Observaciones!$F201-U202-W202-Y202</f>
        <v>41.250028159999999</v>
      </c>
      <c r="AA202" s="170">
        <f>IF(Escenarios!$E$14&gt;0,(Escenarios!$E$13*L202+Escenarios!$E$14*W202)/(Escenarios!$E$16),L202)</f>
        <v>4.7847877174335852E-4</v>
      </c>
      <c r="AB202" s="170">
        <f>IF(Escenarios!$E$14&gt;0,(Escenarios!$E$14*Y202)/(Escenarios!$E$16),K202)</f>
        <v>0</v>
      </c>
      <c r="AC202" s="170">
        <f>IF(Escenarios!$E$14&gt;0,(Escenarios!$E$13*M202+Escenarios!$E$14*U202)/(Escenarios!$E$16),M202)</f>
        <v>0</v>
      </c>
      <c r="AD202" s="76">
        <f t="shared" si="43"/>
        <v>93.312245951443487</v>
      </c>
      <c r="AE202" s="76">
        <f>MAX(0,(AD202-Constantes!$D$13)*(1-EXP(-Constantes!$D$23)))</f>
        <v>0.43908242325963215</v>
      </c>
      <c r="AF202" s="76">
        <f>AB202+O202*Escenarios!$E$13/Escenarios!$E$16+AE202</f>
        <v>0.43908242325963215</v>
      </c>
      <c r="AG202" s="76">
        <f>IF(Entradas!$E$91&gt;0,IF(AF202-Escenarios!$E$38&lt;=0,0,IF(AF202-Escenarios!$E$38&gt;Escenarios!$E$37,Escenarios!$E$37,AF202-Escenarios!$E$38)),0)</f>
        <v>0</v>
      </c>
      <c r="AH202" s="76">
        <f>AG202*Entradas!$E$99</f>
        <v>0</v>
      </c>
      <c r="AI202" s="76">
        <f>IF(Entradas!$E$91&gt;0,D202*Entradas!$D$23/Escenarios!$E$16,0)</f>
        <v>0</v>
      </c>
      <c r="AJ202" s="76">
        <f>IF(Entradas!$E$91&gt;0,Entradas!$D$24*Entradas!$D$22/Escenarios!$E$16,0)</f>
        <v>0</v>
      </c>
      <c r="AK202" s="76">
        <f t="shared" si="52"/>
        <v>4.7847877174335852E-4</v>
      </c>
      <c r="AL202" s="76">
        <f t="shared" si="53"/>
        <v>0</v>
      </c>
      <c r="AM202" s="76">
        <f t="shared" si="44"/>
        <v>0</v>
      </c>
      <c r="AN202" s="76">
        <f>MAX(0,O202*Escenarios!$E$13/Escenarios!$E$16-AM202)</f>
        <v>0</v>
      </c>
      <c r="AO202" s="76">
        <f>AM202+AN202-O202*Escenarios!$E$13/Escenarios!$E$16</f>
        <v>0</v>
      </c>
      <c r="AP202" s="76">
        <f t="shared" si="42"/>
        <v>0.43908242325963215</v>
      </c>
      <c r="AQ202" s="76">
        <f t="shared" si="45"/>
        <v>0</v>
      </c>
      <c r="AR202" s="76">
        <f t="shared" si="46"/>
        <v>0.43908242325963215</v>
      </c>
      <c r="AS202" s="76">
        <f t="shared" si="47"/>
        <v>0</v>
      </c>
      <c r="AT202" s="76">
        <f t="shared" si="48"/>
        <v>0</v>
      </c>
      <c r="AU202" s="76">
        <f t="shared" si="49"/>
        <v>48.75</v>
      </c>
      <c r="AV202" s="76">
        <f>MAX(0,(AU202-Constantes!$D$13)*(1-EXP(-Constantes!$D$24)))</f>
        <v>0</v>
      </c>
      <c r="AW202" s="170">
        <f>AW201+(Entradas!$E$112*AT202-AX201)/(800*Entradas!$D$25)</f>
        <v>0</v>
      </c>
      <c r="AX202" s="170">
        <f>8000*Entradas!$D$26*AW202/Constantes!$E$45</f>
        <v>0</v>
      </c>
      <c r="AY202" s="170">
        <f>IF(Escenarios!$E$17&gt;0,10*Escenarios!$E$16*AL202,0)</f>
        <v>0</v>
      </c>
      <c r="AZ202" s="170">
        <f>IF(Escenarios!$E$17&gt;0,10*Escenarios!$E$16*AX202,0)</f>
        <v>0</v>
      </c>
      <c r="BA202" s="170">
        <f>IF(Escenarios!$E$17&gt;0,0.001*Observaciones!$F201*Escenarios!$E$17,0)</f>
        <v>0</v>
      </c>
      <c r="BB202" s="170">
        <f>IF(Escenarios!$E$17&gt;0,Observaciones!$K201,0)</f>
        <v>0</v>
      </c>
      <c r="BC202" s="170">
        <f>IF(Escenarios!$E$17&gt;0,MIN(0.0005*ETo!$M201*Escenarios!$E$17*(BG201/Constantes!$E$40)^(2/3),BG201+AY202+AZ202+BA202+BB202),0)</f>
        <v>5.5442511177210871</v>
      </c>
      <c r="BD202" s="170">
        <f>IF(Escenarios!$E$17&gt;0,MIN(Constantes!$E$39*(BG201/Constantes!$E$40)^(2/3),BG201+AY202+AZ202+BA202+BB202-BC202),0)</f>
        <v>14.832120938091915</v>
      </c>
      <c r="BE202" s="170">
        <f>IF(Escenarios!$E$17&gt;0,MIN(Entradas!$E$113,BG201+AY202+AZ202+BA202+BB202-BC202-BD202),0)</f>
        <v>1</v>
      </c>
      <c r="BF202" s="170">
        <f>IF(Escenarios!$E$17&gt;0,MAX(0,BG201+AY202+AZ202+BA202+BB202-BC202-BD202-BE202-Constantes!$E$40),0)</f>
        <v>0</v>
      </c>
      <c r="BG202" s="170">
        <f t="shared" si="54"/>
        <v>510.82825666369155</v>
      </c>
      <c r="BH202" s="170">
        <f>(Escenarios!$E$16*AK202+0.1*BC202)/(Escenarios!$E$19)</f>
        <v>2.6747809710632874E-3</v>
      </c>
      <c r="BI202" s="170">
        <f>IF(Escenarios!$E$17&gt;0,BF202/10/Escenarios!$E$19,AL202)</f>
        <v>0</v>
      </c>
      <c r="BJ202" s="170">
        <f>(Escenarios!$E$16*AT202+0.1*BD202)/(Escenarios!$E$19)</f>
        <v>5.885762277020601E-3</v>
      </c>
      <c r="BK202" s="76">
        <f>BK201+(0.1*BD202)/(Escenarios!$E$19)-BL201</f>
        <v>50.075161328187086</v>
      </c>
      <c r="BL202" s="76">
        <f>MAX(0,(BK202-Constantes!$D$13)*(1-EXP(-Constantes!$D$23)))</f>
        <v>1.3057130195465174E-2</v>
      </c>
      <c r="BM202" s="76">
        <f t="shared" si="50"/>
        <v>0.45213955345509732</v>
      </c>
      <c r="BN202" s="76">
        <f t="shared" si="55"/>
        <v>0.45213955345509732</v>
      </c>
      <c r="BO202" s="76">
        <f>0.0526*BI202*Observaciones!$F201^1.218</f>
        <v>0</v>
      </c>
      <c r="BP202" s="76">
        <f>BO202*Constantes!$E$51</f>
        <v>0</v>
      </c>
      <c r="BQ202" s="76">
        <f t="shared" si="51"/>
        <v>0</v>
      </c>
      <c r="BR202" s="40"/>
    </row>
    <row r="203" spans="1:70">
      <c r="A203" s="147"/>
      <c r="B203" s="39"/>
      <c r="C203" s="75">
        <v>197</v>
      </c>
      <c r="D203" s="146">
        <f>ETo!$I202*((1-Constantes!$E$19)*ETo!$K202+ETo!$L202)</f>
        <v>2.5533927855951712</v>
      </c>
      <c r="E203" s="76">
        <f>MIN(D203*Constantes!$E$17,0.8*(N202+Observaciones!$F202-F203-M203-Constantes!$D$14))</f>
        <v>-1.0237453645019913E-2</v>
      </c>
      <c r="F203" s="76">
        <f>IF(Observaciones!$F202&gt;0.05*Constantes!$E$18,((Observaciones!$F202-0.05*Constantes!$E$18)^2)/(Observaciones!$F202+0.95*Constantes!$E$18),0)</f>
        <v>0</v>
      </c>
      <c r="G203" s="76">
        <f>IF(Escenarios!$E$11&gt;0,(F203*Escenarios!$E$16*10000)/1000,0)</f>
        <v>0</v>
      </c>
      <c r="H203" s="76">
        <f>IF(Escenarios!$E$11&gt;0,(Observaciones!$F202*Constantes!$E$29)/1000,0)</f>
        <v>0</v>
      </c>
      <c r="I203" s="76">
        <f>IF(Escenarios!$E$11&gt;0,(D203*Constantes!$E$29)/1000,0)</f>
        <v>25.53392785595171</v>
      </c>
      <c r="J203" s="76">
        <f>IF(Escenarios!$E$11&gt;0,MAX(0,G203+H203-I203),0)</f>
        <v>0</v>
      </c>
      <c r="K203" s="76">
        <f>IF(Escenarios!$E$11&gt;0,IF(J203&gt;Constantes!$E$30,1000*((J203-Constantes!$E$30)/(Escenarios!$E$16*10000)),0),F203)</f>
        <v>0</v>
      </c>
      <c r="L203" s="76">
        <f>IF(Escenarios!$E$11&gt;0,I203*1000/Escenarios!$E$16/10000+E203,E203)</f>
        <v>-2.3882502639229961E-5</v>
      </c>
      <c r="M203" s="76">
        <f>MAX(0,N202+Observaciones!$F202-K203-Constantes!$D$13)</f>
        <v>0</v>
      </c>
      <c r="N203" s="76">
        <f>N202+Observaciones!$F202-K203-L203-M203-O202</f>
        <v>11.237227065446364</v>
      </c>
      <c r="O203" s="76">
        <f>MAX(0,(N203-Constantes!$D$14)*(1-EXP(-Constantes!$D$22)))</f>
        <v>0</v>
      </c>
      <c r="P203" s="170">
        <f>P202+(Entradas!$E$83*M203-Q202)/(800*Entradas!$D$25)</f>
        <v>0</v>
      </c>
      <c r="Q203" s="170">
        <f>8000*Entradas!$D$26*P203/Constantes!$E$45</f>
        <v>0</v>
      </c>
      <c r="R203" s="170">
        <f>IF(Escenarios!$E$14&gt;0,K203*Escenarios!$E$13/Escenarios!$E$14,0)</f>
        <v>0</v>
      </c>
      <c r="S203" s="170">
        <f>IF(Escenarios!$E$14&gt;0,Q203*Escenarios!$E$13/Escenarios!$E$14,0)</f>
        <v>0</v>
      </c>
      <c r="T203" s="170">
        <f>IF(Escenarios!$E$14&gt;0,Observaciones!$I202,0)</f>
        <v>0</v>
      </c>
      <c r="U203" s="170">
        <f>IF(Escenarios!$E$14&gt;0,MAX(0,Constantes!$E$36/((Z202+R203+S203+T203+Observaciones!$F202)^2)+Entradas!$E$77),0)</f>
        <v>0</v>
      </c>
      <c r="V203" s="146">
        <f>IF(ETo!D202&gt;0,ETo!I202*((1-Entradas!$E$81)*ETo!K202+ETo!L202),0)</f>
        <v>2.2995629011579237</v>
      </c>
      <c r="W203" s="170">
        <f>IF(Escenarios!$E$14&gt;0,MIN(V203*1,0.8*(Z202+R203+S203+T203+Observaciones!$F202-U203-Constantes!$E$35)),0)</f>
        <v>2.2527999999510942E-5</v>
      </c>
      <c r="X203" s="170">
        <f>IF(Escenarios!$E$14&gt;0,Observaciones!$J202,0)</f>
        <v>0</v>
      </c>
      <c r="Y203" s="170">
        <f>IF(Escenarios!$E$14&gt;0,MAX(0,Z202+R203+S203+T203+Observaciones!$F202-U203-W203-X203-Constantes!$E$33),0)</f>
        <v>0</v>
      </c>
      <c r="Z203" s="170">
        <f>Z202+R203+S203+T203+Observaciones!$F202-U203-W203-Y203</f>
        <v>41.250005631999997</v>
      </c>
      <c r="AA203" s="170">
        <f>IF(Escenarios!$E$14&gt;0,(Escenarios!$E$13*L203+Escenarios!$E$14*W203)/(Escenarios!$E$16),L203)</f>
        <v>-1.8313242322581054E-5</v>
      </c>
      <c r="AB203" s="170">
        <f>IF(Escenarios!$E$14&gt;0,(Escenarios!$E$14*Y203)/(Escenarios!$E$16),K203)</f>
        <v>0</v>
      </c>
      <c r="AC203" s="170">
        <f>IF(Escenarios!$E$14&gt;0,(Escenarios!$E$13*M203+Escenarios!$E$14*U203)/(Escenarios!$E$16),M203)</f>
        <v>0</v>
      </c>
      <c r="AD203" s="76">
        <f t="shared" si="43"/>
        <v>92.873163528183852</v>
      </c>
      <c r="AE203" s="76">
        <f>MAX(0,(AD203-Constantes!$D$13)*(1-EXP(-Constantes!$D$23)))</f>
        <v>0.43475603956196968</v>
      </c>
      <c r="AF203" s="76">
        <f>AB203+O203*Escenarios!$E$13/Escenarios!$E$16+AE203</f>
        <v>0.43475603956196968</v>
      </c>
      <c r="AG203" s="76">
        <f>IF(Entradas!$E$91&gt;0,IF(AF203-Escenarios!$E$38&lt;=0,0,IF(AF203-Escenarios!$E$38&gt;Escenarios!$E$37,Escenarios!$E$37,AF203-Escenarios!$E$38)),0)</f>
        <v>0</v>
      </c>
      <c r="AH203" s="76">
        <f>AG203*Entradas!$E$99</f>
        <v>0</v>
      </c>
      <c r="AI203" s="76">
        <f>IF(Entradas!$E$91&gt;0,D203*Entradas!$D$23/Escenarios!$E$16,0)</f>
        <v>0</v>
      </c>
      <c r="AJ203" s="76">
        <f>IF(Entradas!$E$91&gt;0,Entradas!$D$24*Entradas!$D$22/Escenarios!$E$16,0)</f>
        <v>0</v>
      </c>
      <c r="AK203" s="76">
        <f t="shared" si="52"/>
        <v>-1.8313242322581054E-5</v>
      </c>
      <c r="AL203" s="76">
        <f t="shared" si="53"/>
        <v>0</v>
      </c>
      <c r="AM203" s="76">
        <f t="shared" si="44"/>
        <v>0</v>
      </c>
      <c r="AN203" s="76">
        <f>MAX(0,O203*Escenarios!$E$13/Escenarios!$E$16-AM203)</f>
        <v>0</v>
      </c>
      <c r="AO203" s="76">
        <f>AM203+AN203-O203*Escenarios!$E$13/Escenarios!$E$16</f>
        <v>0</v>
      </c>
      <c r="AP203" s="76">
        <f t="shared" si="42"/>
        <v>0.43475603956196968</v>
      </c>
      <c r="AQ203" s="76">
        <f t="shared" si="45"/>
        <v>0</v>
      </c>
      <c r="AR203" s="76">
        <f t="shared" si="46"/>
        <v>0.43475603956196968</v>
      </c>
      <c r="AS203" s="76">
        <f t="shared" si="47"/>
        <v>0</v>
      </c>
      <c r="AT203" s="76">
        <f t="shared" si="48"/>
        <v>0</v>
      </c>
      <c r="AU203" s="76">
        <f t="shared" si="49"/>
        <v>48.75</v>
      </c>
      <c r="AV203" s="76">
        <f>MAX(0,(AU203-Constantes!$D$13)*(1-EXP(-Constantes!$D$24)))</f>
        <v>0</v>
      </c>
      <c r="AW203" s="170">
        <f>AW202+(Entradas!$E$112*AT203-AX202)/(800*Entradas!$D$25)</f>
        <v>0</v>
      </c>
      <c r="AX203" s="170">
        <f>8000*Entradas!$D$26*AW203/Constantes!$E$45</f>
        <v>0</v>
      </c>
      <c r="AY203" s="170">
        <f>IF(Escenarios!$E$17&gt;0,10*Escenarios!$E$16*AL203,0)</f>
        <v>0</v>
      </c>
      <c r="AZ203" s="170">
        <f>IF(Escenarios!$E$17&gt;0,10*Escenarios!$E$16*AX203,0)</f>
        <v>0</v>
      </c>
      <c r="BA203" s="170">
        <f>IF(Escenarios!$E$17&gt;0,0.001*Observaciones!$F202*Escenarios!$E$17,0)</f>
        <v>0</v>
      </c>
      <c r="BB203" s="170">
        <f>IF(Escenarios!$E$17&gt;0,Observaciones!$K202,0)</f>
        <v>0</v>
      </c>
      <c r="BC203" s="170">
        <f>IF(Escenarios!$E$17&gt;0,MIN(0.0005*ETo!$M202*Escenarios!$E$17*(BG202/Constantes!$E$40)^(2/3),BG202+AY203+AZ203+BA203+BB203),0)</f>
        <v>5.3269470273398269</v>
      </c>
      <c r="BD203" s="170">
        <f>IF(Escenarios!$E$17&gt;0,MIN(Constantes!$E$39*(BG202/Constantes!$E$40)^(2/3),BG202+AY203+AZ203+BA203+BB203-BC203),0)</f>
        <v>14.432251929496749</v>
      </c>
      <c r="BE203" s="170">
        <f>IF(Escenarios!$E$17&gt;0,MIN(Entradas!$E$113,BG202+AY203+AZ203+BA203+BB203-BC203-BD203),0)</f>
        <v>1</v>
      </c>
      <c r="BF203" s="170">
        <f>IF(Escenarios!$E$17&gt;0,MAX(0,BG202+AY203+AZ203+BA203+BB203-BC203-BD203-BE203-Constantes!$E$40),0)</f>
        <v>0</v>
      </c>
      <c r="BG203" s="170">
        <f t="shared" si="54"/>
        <v>490.06905770685495</v>
      </c>
      <c r="BH203" s="170">
        <f>(Escenarios!$E$16*AK203+0.1*BC203)/(Escenarios!$E$19)</f>
        <v>2.0956999688624498E-3</v>
      </c>
      <c r="BI203" s="170">
        <f>IF(Escenarios!$E$17&gt;0,BF203/10/Escenarios!$E$19,AL203)</f>
        <v>0</v>
      </c>
      <c r="BJ203" s="170">
        <f>(Escenarios!$E$16*AT203+0.1*BD203)/(Escenarios!$E$19)</f>
        <v>5.7270840990066461E-3</v>
      </c>
      <c r="BK203" s="76">
        <f>BK202+(0.1*BD203)/(Escenarios!$E$19)-BL202</f>
        <v>50.06783128209063</v>
      </c>
      <c r="BL203" s="76">
        <f>MAX(0,(BK203-Constantes!$D$13)*(1-EXP(-Constantes!$D$23)))</f>
        <v>1.2984905505395833E-2</v>
      </c>
      <c r="BM203" s="76">
        <f t="shared" si="50"/>
        <v>0.4477409450673655</v>
      </c>
      <c r="BN203" s="76">
        <f t="shared" si="55"/>
        <v>0.4477409450673655</v>
      </c>
      <c r="BO203" s="76">
        <f>0.0526*BI203*Observaciones!$F202^1.218</f>
        <v>0</v>
      </c>
      <c r="BP203" s="76">
        <f>BO203*Constantes!$E$51</f>
        <v>0</v>
      </c>
      <c r="BQ203" s="76">
        <f t="shared" si="51"/>
        <v>0</v>
      </c>
      <c r="BR203" s="40"/>
    </row>
    <row r="204" spans="1:70">
      <c r="A204" s="147"/>
      <c r="B204" s="39"/>
      <c r="C204" s="75">
        <v>198</v>
      </c>
      <c r="D204" s="146">
        <f>ETo!$I203*((1-Constantes!$E$19)*ETo!$K203+ETo!$L203)</f>
        <v>2.5363704425839249</v>
      </c>
      <c r="E204" s="76">
        <f>MIN(D204*Constantes!$E$17,0.8*(N203+Observaciones!$F203-F204-M204-Constantes!$D$14))</f>
        <v>-1.021834764290901E-2</v>
      </c>
      <c r="F204" s="76">
        <f>IF(Observaciones!$F203&gt;0.05*Constantes!$E$18,((Observaciones!$F203-0.05*Constantes!$E$18)^2)/(Observaciones!$F203+0.95*Constantes!$E$18),0)</f>
        <v>0</v>
      </c>
      <c r="G204" s="76">
        <f>IF(Escenarios!$E$11&gt;0,(F204*Escenarios!$E$16*10000)/1000,0)</f>
        <v>0</v>
      </c>
      <c r="H204" s="76">
        <f>IF(Escenarios!$E$11&gt;0,(Observaciones!$F203*Constantes!$E$29)/1000,0)</f>
        <v>0</v>
      </c>
      <c r="I204" s="76">
        <f>IF(Escenarios!$E$11&gt;0,(D204*Constantes!$E$29)/1000,0)</f>
        <v>25.363704425839249</v>
      </c>
      <c r="J204" s="76">
        <f>IF(Escenarios!$E$11&gt;0,MAX(0,G204+H204-I204),0)</f>
        <v>0</v>
      </c>
      <c r="K204" s="76">
        <f>IF(Escenarios!$E$11&gt;0,IF(J204&gt;Constantes!$E$30,1000*((J204-Constantes!$E$30)/(Escenarios!$E$16*10000)),0),F204)</f>
        <v>0</v>
      </c>
      <c r="L204" s="76">
        <f>IF(Escenarios!$E$11&gt;0,I204*1000/Escenarios!$E$16/10000+E204,E204)</f>
        <v>-7.2865872573310564E-5</v>
      </c>
      <c r="M204" s="76">
        <f>MAX(0,N203+Observaciones!$F203-K204-Constantes!$D$13)</f>
        <v>0</v>
      </c>
      <c r="N204" s="76">
        <f>N203+Observaciones!$F203-K204-L204-M204-O203</f>
        <v>11.237299931318937</v>
      </c>
      <c r="O204" s="76">
        <f>MAX(0,(N204-Constantes!$D$14)*(1-EXP(-Constantes!$D$22)))</f>
        <v>0</v>
      </c>
      <c r="P204" s="170">
        <f>P203+(Entradas!$E$83*M204-Q203)/(800*Entradas!$D$25)</f>
        <v>0</v>
      </c>
      <c r="Q204" s="170">
        <f>8000*Entradas!$D$26*P204/Constantes!$E$45</f>
        <v>0</v>
      </c>
      <c r="R204" s="170">
        <f>IF(Escenarios!$E$14&gt;0,K204*Escenarios!$E$13/Escenarios!$E$14,0)</f>
        <v>0</v>
      </c>
      <c r="S204" s="170">
        <f>IF(Escenarios!$E$14&gt;0,Q204*Escenarios!$E$13/Escenarios!$E$14,0)</f>
        <v>0</v>
      </c>
      <c r="T204" s="170">
        <f>IF(Escenarios!$E$14&gt;0,Observaciones!$I203,0)</f>
        <v>0</v>
      </c>
      <c r="U204" s="170">
        <f>IF(Escenarios!$E$14&gt;0,MAX(0,Constantes!$E$36/((Z203+R204+S204+T204+Observaciones!$F203)^2)+Entradas!$E$77),0)</f>
        <v>0</v>
      </c>
      <c r="V204" s="146">
        <f>IF(ETo!D203&gt;0,ETo!I203*((1-Entradas!$E$81)*ETo!K203+ETo!L203),0)</f>
        <v>2.284466763769557</v>
      </c>
      <c r="W204" s="170">
        <f>IF(Escenarios!$E$14&gt;0,MIN(V204*1,0.8*(Z203+R204+S204+T204+Observaciones!$F203-U204-Constantes!$E$35)),0)</f>
        <v>4.5055999976284514E-6</v>
      </c>
      <c r="X204" s="170">
        <f>IF(Escenarios!$E$14&gt;0,Observaciones!$J203,0)</f>
        <v>0</v>
      </c>
      <c r="Y204" s="170">
        <f>IF(Escenarios!$E$14&gt;0,MAX(0,Z203+R204+S204+T204+Observaciones!$F203-U204-W204-X204-Constantes!$E$33),0)</f>
        <v>0</v>
      </c>
      <c r="Z204" s="170">
        <f>Z203+R204+S204+T204+Observaciones!$F203-U204-W204-Y204</f>
        <v>41.250001126400001</v>
      </c>
      <c r="AA204" s="170">
        <f>IF(Escenarios!$E$14&gt;0,(Escenarios!$E$13*L204+Escenarios!$E$14*W204)/(Escenarios!$E$16),L204)</f>
        <v>-6.3581295864797885E-5</v>
      </c>
      <c r="AB204" s="170">
        <f>IF(Escenarios!$E$14&gt;0,(Escenarios!$E$14*Y204)/(Escenarios!$E$16),K204)</f>
        <v>0</v>
      </c>
      <c r="AC204" s="170">
        <f>IF(Escenarios!$E$14&gt;0,(Escenarios!$E$13*M204+Escenarios!$E$14*U204)/(Escenarios!$E$16),M204)</f>
        <v>0</v>
      </c>
      <c r="AD204" s="76">
        <f t="shared" si="43"/>
        <v>92.438407488621877</v>
      </c>
      <c r="AE204" s="76">
        <f>MAX(0,(AD204-Constantes!$D$13)*(1-EXP(-Constantes!$D$23)))</f>
        <v>0.43047228475334454</v>
      </c>
      <c r="AF204" s="76">
        <f>AB204+O204*Escenarios!$E$13/Escenarios!$E$16+AE204</f>
        <v>0.43047228475334454</v>
      </c>
      <c r="AG204" s="76">
        <f>IF(Entradas!$E$91&gt;0,IF(AF204-Escenarios!$E$38&lt;=0,0,IF(AF204-Escenarios!$E$38&gt;Escenarios!$E$37,Escenarios!$E$37,AF204-Escenarios!$E$38)),0)</f>
        <v>0</v>
      </c>
      <c r="AH204" s="76">
        <f>AG204*Entradas!$E$99</f>
        <v>0</v>
      </c>
      <c r="AI204" s="76">
        <f>IF(Entradas!$E$91&gt;0,D204*Entradas!$D$23/Escenarios!$E$16,0)</f>
        <v>0</v>
      </c>
      <c r="AJ204" s="76">
        <f>IF(Entradas!$E$91&gt;0,Entradas!$D$24*Entradas!$D$22/Escenarios!$E$16,0)</f>
        <v>0</v>
      </c>
      <c r="AK204" s="76">
        <f t="shared" si="52"/>
        <v>-6.3581295864797885E-5</v>
      </c>
      <c r="AL204" s="76">
        <f t="shared" si="53"/>
        <v>0</v>
      </c>
      <c r="AM204" s="76">
        <f t="shared" si="44"/>
        <v>0</v>
      </c>
      <c r="AN204" s="76">
        <f>MAX(0,O204*Escenarios!$E$13/Escenarios!$E$16-AM204)</f>
        <v>0</v>
      </c>
      <c r="AO204" s="76">
        <f>AM204+AN204-O204*Escenarios!$E$13/Escenarios!$E$16</f>
        <v>0</v>
      </c>
      <c r="AP204" s="76">
        <f t="shared" si="42"/>
        <v>0.43047228475334454</v>
      </c>
      <c r="AQ204" s="76">
        <f t="shared" si="45"/>
        <v>0</v>
      </c>
      <c r="AR204" s="76">
        <f t="shared" si="46"/>
        <v>0.43047228475334454</v>
      </c>
      <c r="AS204" s="76">
        <f t="shared" si="47"/>
        <v>0</v>
      </c>
      <c r="AT204" s="76">
        <f t="shared" si="48"/>
        <v>0</v>
      </c>
      <c r="AU204" s="76">
        <f t="shared" si="49"/>
        <v>48.75</v>
      </c>
      <c r="AV204" s="76">
        <f>MAX(0,(AU204-Constantes!$D$13)*(1-EXP(-Constantes!$D$24)))</f>
        <v>0</v>
      </c>
      <c r="AW204" s="170">
        <f>AW203+(Entradas!$E$112*AT204-AX203)/(800*Entradas!$D$25)</f>
        <v>0</v>
      </c>
      <c r="AX204" s="170">
        <f>8000*Entradas!$D$26*AW204/Constantes!$E$45</f>
        <v>0</v>
      </c>
      <c r="AY204" s="170">
        <f>IF(Escenarios!$E$17&gt;0,10*Escenarios!$E$16*AL204,0)</f>
        <v>0</v>
      </c>
      <c r="AZ204" s="170">
        <f>IF(Escenarios!$E$17&gt;0,10*Escenarios!$E$16*AX204,0)</f>
        <v>0</v>
      </c>
      <c r="BA204" s="170">
        <f>IF(Escenarios!$E$17&gt;0,0.001*Observaciones!$F203*Escenarios!$E$17,0)</f>
        <v>0</v>
      </c>
      <c r="BB204" s="170">
        <f>IF(Escenarios!$E$17&gt;0,Observaciones!$K203,0)</f>
        <v>0</v>
      </c>
      <c r="BC204" s="170">
        <f>IF(Escenarios!$E$17&gt;0,MIN(0.0005*ETo!$M203*Escenarios!$E$17*(BG203/Constantes!$E$40)^(2/3),BG203+AY204+AZ204+BA204+BB204),0)</f>
        <v>5.1464428140648808</v>
      </c>
      <c r="BD204" s="170">
        <f>IF(Escenarios!$E$17&gt;0,MIN(Constantes!$E$39*(BG203/Constantes!$E$40)^(2/3),BG203+AY204+AZ204+BA204+BB204-BC204),0)</f>
        <v>14.038553070196533</v>
      </c>
      <c r="BE204" s="170">
        <f>IF(Escenarios!$E$17&gt;0,MIN(Entradas!$E$113,BG203+AY204+AZ204+BA204+BB204-BC204-BD204),0)</f>
        <v>1</v>
      </c>
      <c r="BF204" s="170">
        <f>IF(Escenarios!$E$17&gt;0,MAX(0,BG203+AY204+AZ204+BA204+BB204-BC204-BD204-BE204-Constantes!$E$40),0)</f>
        <v>0</v>
      </c>
      <c r="BG204" s="170">
        <f t="shared" si="54"/>
        <v>469.88406182259354</v>
      </c>
      <c r="BH204" s="170">
        <f>(Escenarios!$E$16*AK204+0.1*BC204)/(Escenarios!$E$19)</f>
        <v>1.9791625295249547E-3</v>
      </c>
      <c r="BI204" s="170">
        <f>IF(Escenarios!$E$17&gt;0,BF204/10/Escenarios!$E$19,AL204)</f>
        <v>0</v>
      </c>
      <c r="BJ204" s="170">
        <f>(Escenarios!$E$16*AT204+0.1*BD204)/(Escenarios!$E$19)</f>
        <v>5.5708543929351324E-3</v>
      </c>
      <c r="BK204" s="76">
        <f>BK203+(0.1*BD204)/(Escenarios!$E$19)-BL203</f>
        <v>50.060417230978167</v>
      </c>
      <c r="BL204" s="76">
        <f>MAX(0,(BK204-Constantes!$D$13)*(1-EXP(-Constantes!$D$23)))</f>
        <v>1.2911853093895344E-2</v>
      </c>
      <c r="BM204" s="76">
        <f t="shared" si="50"/>
        <v>0.4433841378472399</v>
      </c>
      <c r="BN204" s="76">
        <f t="shared" si="55"/>
        <v>0.4433841378472399</v>
      </c>
      <c r="BO204" s="76">
        <f>0.0526*BI204*Observaciones!$F203^1.218</f>
        <v>0</v>
      </c>
      <c r="BP204" s="76">
        <f>BO204*Constantes!$E$51</f>
        <v>0</v>
      </c>
      <c r="BQ204" s="76">
        <f t="shared" si="51"/>
        <v>0</v>
      </c>
      <c r="BR204" s="40"/>
    </row>
    <row r="205" spans="1:70">
      <c r="A205" s="147"/>
      <c r="B205" s="39"/>
      <c r="C205" s="75">
        <v>199</v>
      </c>
      <c r="D205" s="146">
        <f>ETo!$I204*((1-Constantes!$E$19)*ETo!$K204+ETo!$L204)</f>
        <v>2.5894633676266254</v>
      </c>
      <c r="E205" s="76">
        <f>MIN(D205*Constantes!$E$17,0.8*(N204+Observaciones!$F204-F205-M205-Constantes!$D$14))</f>
        <v>0.14983994505514886</v>
      </c>
      <c r="F205" s="76">
        <f>IF(Observaciones!$F204&gt;0.05*Constantes!$E$18,((Observaciones!$F204-0.05*Constantes!$E$18)^2)/(Observaciones!$F204+0.95*Constantes!$E$18),0)</f>
        <v>0</v>
      </c>
      <c r="G205" s="76">
        <f>IF(Escenarios!$E$11&gt;0,(F205*Escenarios!$E$16*10000)/1000,0)</f>
        <v>0</v>
      </c>
      <c r="H205" s="76">
        <f>IF(Escenarios!$E$11&gt;0,(Observaciones!$F204*Constantes!$E$29)/1000,0)</f>
        <v>2</v>
      </c>
      <c r="I205" s="76">
        <f>IF(Escenarios!$E$11&gt;0,(D205*Constantes!$E$29)/1000,0)</f>
        <v>25.894633676266253</v>
      </c>
      <c r="J205" s="76">
        <f>IF(Escenarios!$E$11&gt;0,MAX(0,G205+H205-I205),0)</f>
        <v>0</v>
      </c>
      <c r="K205" s="76">
        <f>IF(Escenarios!$E$11&gt;0,IF(J205&gt;Constantes!$E$30,1000*((J205-Constantes!$E$30)/(Escenarios!$E$16*10000)),0),F205)</f>
        <v>0</v>
      </c>
      <c r="L205" s="76">
        <f>IF(Escenarios!$E$11&gt;0,I205*1000/Escenarios!$E$16/10000+E205,E205)</f>
        <v>0.16019779852565535</v>
      </c>
      <c r="M205" s="76">
        <f>MAX(0,N204+Observaciones!$F204-K205-Constantes!$D$13)</f>
        <v>0</v>
      </c>
      <c r="N205" s="76">
        <f>N204+Observaciones!$F204-K205-L205-M205-O204</f>
        <v>11.277102132793281</v>
      </c>
      <c r="O205" s="76">
        <f>MAX(0,(N205-Constantes!$D$14)*(1-EXP(-Constantes!$D$22)))</f>
        <v>9.2319813690549461E-4</v>
      </c>
      <c r="P205" s="170">
        <f>P204+(Entradas!$E$83*M205-Q204)/(800*Entradas!$D$25)</f>
        <v>0</v>
      </c>
      <c r="Q205" s="170">
        <f>8000*Entradas!$D$26*P205/Constantes!$E$45</f>
        <v>0</v>
      </c>
      <c r="R205" s="170">
        <f>IF(Escenarios!$E$14&gt;0,K205*Escenarios!$E$13/Escenarios!$E$14,0)</f>
        <v>0</v>
      </c>
      <c r="S205" s="170">
        <f>IF(Escenarios!$E$14&gt;0,Q205*Escenarios!$E$13/Escenarios!$E$14,0)</f>
        <v>0</v>
      </c>
      <c r="T205" s="170">
        <f>IF(Escenarios!$E$14&gt;0,Observaciones!$I204,0)</f>
        <v>0</v>
      </c>
      <c r="U205" s="170">
        <f>IF(Escenarios!$E$14&gt;0,MAX(0,Constantes!$E$36/((Z204+R205+S205+T205+Observaciones!$F204)^2)+Entradas!$E$77),0)</f>
        <v>0</v>
      </c>
      <c r="V205" s="146">
        <f>IF(ETo!D204&gt;0,ETo!I204*((1-Entradas!$E$81)*ETo!K204+ETo!L204),0)</f>
        <v>2.3328818901629442</v>
      </c>
      <c r="W205" s="170">
        <f>IF(Escenarios!$E$14&gt;0,MIN(V205*1,0.8*(Z204+R205+S205+T205+Observaciones!$F204-U205-Constantes!$E$35)),0)</f>
        <v>0.16000090112000295</v>
      </c>
      <c r="X205" s="170">
        <f>IF(Escenarios!$E$14&gt;0,Observaciones!$J204,0)</f>
        <v>0</v>
      </c>
      <c r="Y205" s="170">
        <f>IF(Escenarios!$E$14&gt;0,MAX(0,Z204+R205+S205+T205+Observaciones!$F204-U205-W205-X205-Constantes!$E$33),0)</f>
        <v>0</v>
      </c>
      <c r="Z205" s="170">
        <f>Z204+R205+S205+T205+Observaciones!$F204-U205-W205-Y205</f>
        <v>41.290000225280004</v>
      </c>
      <c r="AA205" s="170">
        <f>IF(Escenarios!$E$14&gt;0,(Escenarios!$E$13*L205+Escenarios!$E$14*W205)/(Escenarios!$E$16),L205)</f>
        <v>0.16017417083697705</v>
      </c>
      <c r="AB205" s="170">
        <f>IF(Escenarios!$E$14&gt;0,(Escenarios!$E$14*Y205)/(Escenarios!$E$16),K205)</f>
        <v>0</v>
      </c>
      <c r="AC205" s="170">
        <f>IF(Escenarios!$E$14&gt;0,(Escenarios!$E$13*M205+Escenarios!$E$14*U205)/(Escenarios!$E$16),M205)</f>
        <v>0</v>
      </c>
      <c r="AD205" s="76">
        <f t="shared" si="43"/>
        <v>92.007935203868527</v>
      </c>
      <c r="AE205" s="76">
        <f>MAX(0,(AD205-Constantes!$D$13)*(1-EXP(-Constantes!$D$23)))</f>
        <v>0.42623073880115964</v>
      </c>
      <c r="AF205" s="76">
        <f>AB205+O205*Escenarios!$E$13/Escenarios!$E$16+AE205</f>
        <v>0.42704315316163649</v>
      </c>
      <c r="AG205" s="76">
        <f>IF(Entradas!$E$91&gt;0,IF(AF205-Escenarios!$E$38&lt;=0,0,IF(AF205-Escenarios!$E$38&gt;Escenarios!$E$37,Escenarios!$E$37,AF205-Escenarios!$E$38)),0)</f>
        <v>0</v>
      </c>
      <c r="AH205" s="76">
        <f>AG205*Entradas!$E$99</f>
        <v>0</v>
      </c>
      <c r="AI205" s="76">
        <f>IF(Entradas!$E$91&gt;0,D205*Entradas!$D$23/Escenarios!$E$16,0)</f>
        <v>0</v>
      </c>
      <c r="AJ205" s="76">
        <f>IF(Entradas!$E$91&gt;0,Entradas!$D$24*Entradas!$D$22/Escenarios!$E$16,0)</f>
        <v>0</v>
      </c>
      <c r="AK205" s="76">
        <f t="shared" si="52"/>
        <v>0.16017417083697705</v>
      </c>
      <c r="AL205" s="76">
        <f t="shared" si="53"/>
        <v>0</v>
      </c>
      <c r="AM205" s="76">
        <f t="shared" si="44"/>
        <v>0</v>
      </c>
      <c r="AN205" s="76">
        <f>MAX(0,O205*Escenarios!$E$13/Escenarios!$E$16-AM205)</f>
        <v>8.1241436047683525E-4</v>
      </c>
      <c r="AO205" s="76">
        <f>AM205+AN205-O205*Escenarios!$E$13/Escenarios!$E$16</f>
        <v>0</v>
      </c>
      <c r="AP205" s="76">
        <f t="shared" si="42"/>
        <v>0.42623073880115964</v>
      </c>
      <c r="AQ205" s="76">
        <f t="shared" si="45"/>
        <v>0</v>
      </c>
      <c r="AR205" s="76">
        <f t="shared" si="46"/>
        <v>0.42704315316163649</v>
      </c>
      <c r="AS205" s="76">
        <f t="shared" si="47"/>
        <v>0</v>
      </c>
      <c r="AT205" s="76">
        <f t="shared" si="48"/>
        <v>0</v>
      </c>
      <c r="AU205" s="76">
        <f t="shared" si="49"/>
        <v>48.75</v>
      </c>
      <c r="AV205" s="76">
        <f>MAX(0,(AU205-Constantes!$D$13)*(1-EXP(-Constantes!$D$24)))</f>
        <v>0</v>
      </c>
      <c r="AW205" s="170">
        <f>AW204+(Entradas!$E$112*AT205-AX204)/(800*Entradas!$D$25)</f>
        <v>0</v>
      </c>
      <c r="AX205" s="170">
        <f>8000*Entradas!$D$26*AW205/Constantes!$E$45</f>
        <v>0</v>
      </c>
      <c r="AY205" s="170">
        <f>IF(Escenarios!$E$17&gt;0,10*Escenarios!$E$16*AL205,0)</f>
        <v>0</v>
      </c>
      <c r="AZ205" s="170">
        <f>IF(Escenarios!$E$17&gt;0,10*Escenarios!$E$16*AX205,0)</f>
        <v>0</v>
      </c>
      <c r="BA205" s="170">
        <f>IF(Escenarios!$E$17&gt;0,0.001*Observaciones!$F204*Escenarios!$E$17,0)</f>
        <v>4</v>
      </c>
      <c r="BB205" s="170">
        <f>IF(Escenarios!$E$17&gt;0,Observaciones!$K204,0)</f>
        <v>0</v>
      </c>
      <c r="BC205" s="170">
        <f>IF(Escenarios!$E$17&gt;0,MIN(0.0005*ETo!$M204*Escenarios!$E$17*(BG204/Constantes!$E$40)^(2/3),BG204+AY205+AZ205+BA205+BB205),0)</f>
        <v>5.1072916243230635</v>
      </c>
      <c r="BD205" s="170">
        <f>IF(Escenarios!$E$17&gt;0,MIN(Constantes!$E$39*(BG204/Constantes!$E$40)^(2/3),BG204+AY205+AZ205+BA205+BB205-BC205),0)</f>
        <v>13.650376681474379</v>
      </c>
      <c r="BE205" s="170">
        <f>IF(Escenarios!$E$17&gt;0,MIN(Entradas!$E$113,BG204+AY205+AZ205+BA205+BB205-BC205-BD205),0)</f>
        <v>1</v>
      </c>
      <c r="BF205" s="170">
        <f>IF(Escenarios!$E$17&gt;0,MAX(0,BG204+AY205+AZ205+BA205+BB205-BC205-BD205-BE205-Constantes!$E$40),0)</f>
        <v>0</v>
      </c>
      <c r="BG205" s="170">
        <f t="shared" si="54"/>
        <v>454.1263935167961</v>
      </c>
      <c r="BH205" s="170">
        <f>(Escenarios!$E$16*AK205+0.1*BC205)/(Escenarios!$E$19)</f>
        <v>0.16092965028443082</v>
      </c>
      <c r="BI205" s="170">
        <f>IF(Escenarios!$E$17&gt;0,BF205/10/Escenarios!$E$19,AL205)</f>
        <v>0</v>
      </c>
      <c r="BJ205" s="170">
        <f>(Escenarios!$E$16*AT205+0.1*BD205)/(Escenarios!$E$19)</f>
        <v>5.4168161434422135E-3</v>
      </c>
      <c r="BK205" s="76">
        <f>BK204+(0.1*BD205)/(Escenarios!$E$19)-BL204</f>
        <v>50.052922194027715</v>
      </c>
      <c r="BL205" s="76">
        <f>MAX(0,(BK205-Constantes!$D$13)*(1-EXP(-Constantes!$D$23)))</f>
        <v>1.2838002709643822E-2</v>
      </c>
      <c r="BM205" s="76">
        <f t="shared" si="50"/>
        <v>0.43906874151080344</v>
      </c>
      <c r="BN205" s="76">
        <f t="shared" si="55"/>
        <v>0.43988115587128029</v>
      </c>
      <c r="BO205" s="76">
        <f>0.0526*BI205*Observaciones!$F204^1.218</f>
        <v>0</v>
      </c>
      <c r="BP205" s="76">
        <f>BO205*Constantes!$E$51</f>
        <v>0</v>
      </c>
      <c r="BQ205" s="76">
        <f t="shared" si="51"/>
        <v>0</v>
      </c>
      <c r="BR205" s="40"/>
    </row>
    <row r="206" spans="1:70">
      <c r="A206" s="147"/>
      <c r="B206" s="39"/>
      <c r="C206" s="75">
        <v>200</v>
      </c>
      <c r="D206" s="146">
        <f>ETo!$I205*((1-Constantes!$E$19)*ETo!$K205+ETo!$L205)</f>
        <v>2.5943419721060446</v>
      </c>
      <c r="E206" s="76">
        <f>MIN(D206*Constantes!$E$17,0.8*(N205+Observaciones!$F205-F206-M206-Constantes!$D$14))</f>
        <v>1.2684057344305213</v>
      </c>
      <c r="F206" s="76">
        <f>IF(Observaciones!$F205&gt;0.05*Constantes!$E$18,((Observaciones!$F205-0.05*Constantes!$E$18)^2)/(Observaciones!$F205+0.95*Constantes!$E$18),0)</f>
        <v>0</v>
      </c>
      <c r="G206" s="76">
        <f>IF(Escenarios!$E$11&gt;0,(F206*Escenarios!$E$16*10000)/1000,0)</f>
        <v>0</v>
      </c>
      <c r="H206" s="76">
        <f>IF(Escenarios!$E$11&gt;0,(Observaciones!$F205*Constantes!$E$29)/1000,0)</f>
        <v>16</v>
      </c>
      <c r="I206" s="76">
        <f>IF(Escenarios!$E$11&gt;0,(D206*Constantes!$E$29)/1000,0)</f>
        <v>25.943419721060447</v>
      </c>
      <c r="J206" s="76">
        <f>IF(Escenarios!$E$11&gt;0,MAX(0,G206+H206-I206),0)</f>
        <v>0</v>
      </c>
      <c r="K206" s="76">
        <f>IF(Escenarios!$E$11&gt;0,IF(J206&gt;Constantes!$E$30,1000*((J206-Constantes!$E$30)/(Escenarios!$E$16*10000)),0),F206)</f>
        <v>0</v>
      </c>
      <c r="L206" s="76">
        <f>IF(Escenarios!$E$11&gt;0,I206*1000/Escenarios!$E$16/10000+E206,E206)</f>
        <v>1.2787831023189455</v>
      </c>
      <c r="M206" s="76">
        <f>MAX(0,N205+Observaciones!$F205-K206-Constantes!$D$13)</f>
        <v>0</v>
      </c>
      <c r="N206" s="76">
        <f>N205+Observaciones!$F205-K206-L206-M206-O205</f>
        <v>11.59739583233743</v>
      </c>
      <c r="O206" s="76">
        <f>MAX(0,(N206-Constantes!$D$14)*(1-EXP(-Constantes!$D$22)))</f>
        <v>1.1833577365621694E-2</v>
      </c>
      <c r="P206" s="170">
        <f>P205+(Entradas!$E$83*M206-Q205)/(800*Entradas!$D$25)</f>
        <v>0</v>
      </c>
      <c r="Q206" s="170">
        <f>8000*Entradas!$D$26*P206/Constantes!$E$45</f>
        <v>0</v>
      </c>
      <c r="R206" s="170">
        <f>IF(Escenarios!$E$14&gt;0,K206*Escenarios!$E$13/Escenarios!$E$14,0)</f>
        <v>0</v>
      </c>
      <c r="S206" s="170">
        <f>IF(Escenarios!$E$14&gt;0,Q206*Escenarios!$E$13/Escenarios!$E$14,0)</f>
        <v>0</v>
      </c>
      <c r="T206" s="170">
        <f>IF(Escenarios!$E$14&gt;0,Observaciones!$I205,0)</f>
        <v>0</v>
      </c>
      <c r="U206" s="170">
        <f>IF(Escenarios!$E$14&gt;0,MAX(0,Constantes!$E$36/((Z205+R206+S206+T206+Observaciones!$F205)^2)+Entradas!$E$77),0)</f>
        <v>0</v>
      </c>
      <c r="V206" s="146">
        <f>IF(ETo!D205&gt;0,ETo!I205*((1-Entradas!$E$81)*ETo!K205+ETo!L205),0)</f>
        <v>2.3376307290005278</v>
      </c>
      <c r="W206" s="170">
        <f>IF(Escenarios!$E$14&gt;0,MIN(V206*1,0.8*(Z205+R206+S206+T206+Observaciones!$F205-U206-Constantes!$E$35)),0)</f>
        <v>1.312000180224004</v>
      </c>
      <c r="X206" s="170">
        <f>IF(Escenarios!$E$14&gt;0,Observaciones!$J205,0)</f>
        <v>0</v>
      </c>
      <c r="Y206" s="170">
        <f>IF(Escenarios!$E$14&gt;0,MAX(0,Z205+R206+S206+T206+Observaciones!$F205-U206-W206-X206-Constantes!$E$33),0)</f>
        <v>0</v>
      </c>
      <c r="Z206" s="170">
        <f>Z205+R206+S206+T206+Observaciones!$F205-U206-W206-Y206</f>
        <v>41.578000045056001</v>
      </c>
      <c r="AA206" s="170">
        <f>IF(Escenarios!$E$14&gt;0,(Escenarios!$E$13*L206+Escenarios!$E$14*W206)/(Escenarios!$E$16),L206)</f>
        <v>1.2827691516675526</v>
      </c>
      <c r="AB206" s="170">
        <f>IF(Escenarios!$E$14&gt;0,(Escenarios!$E$14*Y206)/(Escenarios!$E$16),K206)</f>
        <v>0</v>
      </c>
      <c r="AC206" s="170">
        <f>IF(Escenarios!$E$14&gt;0,(Escenarios!$E$13*M206+Escenarios!$E$14*U206)/(Escenarios!$E$16),M206)</f>
        <v>0</v>
      </c>
      <c r="AD206" s="76">
        <f t="shared" si="43"/>
        <v>91.581704465067361</v>
      </c>
      <c r="AE206" s="76">
        <f>MAX(0,(AD206-Constantes!$D$13)*(1-EXP(-Constantes!$D$23)))</f>
        <v>0.42203098581149917</v>
      </c>
      <c r="AF206" s="76">
        <f>AB206+O206*Escenarios!$E$13/Escenarios!$E$16+AE206</f>
        <v>0.43244453389324627</v>
      </c>
      <c r="AG206" s="76">
        <f>IF(Entradas!$E$91&gt;0,IF(AF206-Escenarios!$E$38&lt;=0,0,IF(AF206-Escenarios!$E$38&gt;Escenarios!$E$37,Escenarios!$E$37,AF206-Escenarios!$E$38)),0)</f>
        <v>0</v>
      </c>
      <c r="AH206" s="76">
        <f>AG206*Entradas!$E$99</f>
        <v>0</v>
      </c>
      <c r="AI206" s="76">
        <f>IF(Entradas!$E$91&gt;0,D206*Entradas!$D$23/Escenarios!$E$16,0)</f>
        <v>0</v>
      </c>
      <c r="AJ206" s="76">
        <f>IF(Entradas!$E$91&gt;0,Entradas!$D$24*Entradas!$D$22/Escenarios!$E$16,0)</f>
        <v>0</v>
      </c>
      <c r="AK206" s="76">
        <f t="shared" si="52"/>
        <v>1.2827691516675526</v>
      </c>
      <c r="AL206" s="76">
        <f t="shared" si="53"/>
        <v>0</v>
      </c>
      <c r="AM206" s="76">
        <f t="shared" si="44"/>
        <v>0</v>
      </c>
      <c r="AN206" s="76">
        <f>MAX(0,O206*Escenarios!$E$13/Escenarios!$E$16-AM206)</f>
        <v>1.0413548081747092E-2</v>
      </c>
      <c r="AO206" s="76">
        <f>AM206+AN206-O206*Escenarios!$E$13/Escenarios!$E$16</f>
        <v>0</v>
      </c>
      <c r="AP206" s="76">
        <f t="shared" si="42"/>
        <v>0.42203098581149917</v>
      </c>
      <c r="AQ206" s="76">
        <f t="shared" si="45"/>
        <v>0</v>
      </c>
      <c r="AR206" s="76">
        <f t="shared" si="46"/>
        <v>0.43244453389324627</v>
      </c>
      <c r="AS206" s="76">
        <f t="shared" si="47"/>
        <v>0</v>
      </c>
      <c r="AT206" s="76">
        <f t="shared" si="48"/>
        <v>0</v>
      </c>
      <c r="AU206" s="76">
        <f t="shared" si="49"/>
        <v>48.75</v>
      </c>
      <c r="AV206" s="76">
        <f>MAX(0,(AU206-Constantes!$D$13)*(1-EXP(-Constantes!$D$24)))</f>
        <v>0</v>
      </c>
      <c r="AW206" s="170">
        <f>AW205+(Entradas!$E$112*AT206-AX205)/(800*Entradas!$D$25)</f>
        <v>0</v>
      </c>
      <c r="AX206" s="170">
        <f>8000*Entradas!$D$26*AW206/Constantes!$E$45</f>
        <v>0</v>
      </c>
      <c r="AY206" s="170">
        <f>IF(Escenarios!$E$17&gt;0,10*Escenarios!$E$16*AL206,0)</f>
        <v>0</v>
      </c>
      <c r="AZ206" s="170">
        <f>IF(Escenarios!$E$17&gt;0,10*Escenarios!$E$16*AX206,0)</f>
        <v>0</v>
      </c>
      <c r="BA206" s="170">
        <f>IF(Escenarios!$E$17&gt;0,0.001*Observaciones!$F205*Escenarios!$E$17,0)</f>
        <v>32</v>
      </c>
      <c r="BB206" s="170">
        <f>IF(Escenarios!$E$17&gt;0,Observaciones!$K205,0)</f>
        <v>1.8698277389861999</v>
      </c>
      <c r="BC206" s="170">
        <f>IF(Escenarios!$E$17&gt;0,MIN(0.0005*ETo!$M205*Escenarios!$E$17*(BG205/Constantes!$E$40)^(2/3),BG205+AY206+AZ206+BA206+BB206),0)</f>
        <v>5.00093870652577</v>
      </c>
      <c r="BD206" s="170">
        <f>IF(Escenarios!$E$17&gt;0,MIN(Constantes!$E$39*(BG205/Constantes!$E$40)^(2/3),BG205+AY206+AZ206+BA206+BB206-BC206),0)</f>
        <v>13.34346606235658</v>
      </c>
      <c r="BE206" s="170">
        <f>IF(Escenarios!$E$17&gt;0,MIN(Entradas!$E$113,BG205+AY206+AZ206+BA206+BB206-BC206-BD206),0)</f>
        <v>1</v>
      </c>
      <c r="BF206" s="170">
        <f>IF(Escenarios!$E$17&gt;0,MAX(0,BG205+AY206+AZ206+BA206+BB206-BC206-BD206-BE206-Constantes!$E$40),0)</f>
        <v>0</v>
      </c>
      <c r="BG206" s="170">
        <f t="shared" si="54"/>
        <v>468.65181648689997</v>
      </c>
      <c r="BH206" s="170">
        <f>(Escenarios!$E$16*AK206+0.1*BC206)/(Escenarios!$E$19)</f>
        <v>1.274572943601352</v>
      </c>
      <c r="BI206" s="170">
        <f>IF(Escenarios!$E$17&gt;0,BF206/10/Escenarios!$E$19,AL206)</f>
        <v>0</v>
      </c>
      <c r="BJ206" s="170">
        <f>(Escenarios!$E$16*AT206+0.1*BD206)/(Escenarios!$E$19)</f>
        <v>5.2950262152208659E-3</v>
      </c>
      <c r="BK206" s="76">
        <f>BK205+(0.1*BD206)/(Escenarios!$E$19)-BL205</f>
        <v>50.045379217533295</v>
      </c>
      <c r="BL206" s="76">
        <f>MAX(0,(BK206-Constantes!$D$13)*(1-EXP(-Constantes!$D$23)))</f>
        <v>1.2763679965647269E-2</v>
      </c>
      <c r="BM206" s="76">
        <f t="shared" si="50"/>
        <v>0.43479466577714643</v>
      </c>
      <c r="BN206" s="76">
        <f t="shared" si="55"/>
        <v>0.44520821385889353</v>
      </c>
      <c r="BO206" s="76">
        <f>0.0526*BI206*Observaciones!$F205^1.218</f>
        <v>0</v>
      </c>
      <c r="BP206" s="76">
        <f>BO206*Constantes!$E$51</f>
        <v>0</v>
      </c>
      <c r="BQ206" s="76">
        <f t="shared" si="51"/>
        <v>0</v>
      </c>
      <c r="BR206" s="40"/>
    </row>
    <row r="207" spans="1:70">
      <c r="A207" s="147"/>
      <c r="B207" s="39"/>
      <c r="C207" s="75">
        <v>201</v>
      </c>
      <c r="D207" s="146">
        <f>ETo!$I206*((1-Constantes!$E$19)*ETo!$K206+ETo!$L206)</f>
        <v>2.5413398345772671</v>
      </c>
      <c r="E207" s="76">
        <f>MIN(D207*Constantes!$E$17,0.8*(N206+Observaciones!$F206-F207-M207-Constantes!$D$14))</f>
        <v>1.242492336774621</v>
      </c>
      <c r="F207" s="76">
        <f>IF(Observaciones!$F206&gt;0.05*Constantes!$E$18,((Observaciones!$F206-0.05*Constantes!$E$18)^2)/(Observaciones!$F206+0.95*Constantes!$E$18),0)</f>
        <v>0</v>
      </c>
      <c r="G207" s="76">
        <f>IF(Escenarios!$E$11&gt;0,(F207*Escenarios!$E$16*10000)/1000,0)</f>
        <v>0</v>
      </c>
      <c r="H207" s="76">
        <f>IF(Escenarios!$E$11&gt;0,(Observaciones!$F206*Constantes!$E$29)/1000,0)</f>
        <v>51</v>
      </c>
      <c r="I207" s="76">
        <f>IF(Escenarios!$E$11&gt;0,(D207*Constantes!$E$29)/1000,0)</f>
        <v>25.41339834577267</v>
      </c>
      <c r="J207" s="76">
        <f>IF(Escenarios!$E$11&gt;0,MAX(0,G207+H207-I207),0)</f>
        <v>25.58660165422733</v>
      </c>
      <c r="K207" s="76">
        <f>IF(Escenarios!$E$11&gt;0,IF(J207&gt;Constantes!$E$30,1000*((J207-Constantes!$E$30)/(Escenarios!$E$16*10000)),0),F207)</f>
        <v>0</v>
      </c>
      <c r="L207" s="76">
        <f>IF(Escenarios!$E$11&gt;0,I207*1000/Escenarios!$E$16/10000+E207,E207)</f>
        <v>1.2526576961129301</v>
      </c>
      <c r="M207" s="76">
        <f>MAX(0,N206+Observaciones!$F206-K207-Constantes!$D$13)</f>
        <v>0</v>
      </c>
      <c r="N207" s="76">
        <f>N206+Observaciones!$F206-K207-L207-M207-O206</f>
        <v>15.432904558858876</v>
      </c>
      <c r="O207" s="76">
        <f>MAX(0,(N207-Constantes!$D$14)*(1-EXP(-Constantes!$D$22)))</f>
        <v>0.14248508503173257</v>
      </c>
      <c r="P207" s="170">
        <f>P206+(Entradas!$E$83*M207-Q206)/(800*Entradas!$D$25)</f>
        <v>0</v>
      </c>
      <c r="Q207" s="170">
        <f>8000*Entradas!$D$26*P207/Constantes!$E$45</f>
        <v>0</v>
      </c>
      <c r="R207" s="170">
        <f>IF(Escenarios!$E$14&gt;0,K207*Escenarios!$E$13/Escenarios!$E$14,0)</f>
        <v>0</v>
      </c>
      <c r="S207" s="170">
        <f>IF(Escenarios!$E$14&gt;0,Q207*Escenarios!$E$13/Escenarios!$E$14,0)</f>
        <v>0</v>
      </c>
      <c r="T207" s="170">
        <f>IF(Escenarios!$E$14&gt;0,Observaciones!$I206,0)</f>
        <v>0</v>
      </c>
      <c r="U207" s="170">
        <f>IF(Escenarios!$E$14&gt;0,MAX(0,Constantes!$E$36/((Z206+R207+S207+T207+Observaciones!$F206)^2)+Entradas!$E$77),0)</f>
        <v>0</v>
      </c>
      <c r="V207" s="146">
        <f>IF(ETo!D206&gt;0,ETo!I206*((1-Entradas!$E$81)*ETo!K206+ETo!L206),0)</f>
        <v>2.2899916624011918</v>
      </c>
      <c r="W207" s="170">
        <f>IF(Escenarios!$E$14&gt;0,MIN(V207*1,0.8*(Z206+R207+S207+T207+Observaciones!$F206-U207-Constantes!$E$35)),0)</f>
        <v>2.2899916624011918</v>
      </c>
      <c r="X207" s="170">
        <f>IF(Escenarios!$E$14&gt;0,Observaciones!$J206,0)</f>
        <v>0</v>
      </c>
      <c r="Y207" s="170">
        <f>IF(Escenarios!$E$14&gt;0,MAX(0,Z206+R207+S207+T207+Observaciones!$F206-U207-W207-X207-Constantes!$E$33),0)</f>
        <v>0</v>
      </c>
      <c r="Z207" s="170">
        <f>Z206+R207+S207+T207+Observaciones!$F206-U207-W207-Y207</f>
        <v>44.38800838265481</v>
      </c>
      <c r="AA207" s="170">
        <f>IF(Escenarios!$E$14&gt;0,(Escenarios!$E$13*L207+Escenarios!$E$14*W207)/(Escenarios!$E$16),L207)</f>
        <v>1.3771377720675213</v>
      </c>
      <c r="AB207" s="170">
        <f>IF(Escenarios!$E$14&gt;0,(Escenarios!$E$14*Y207)/(Escenarios!$E$16),K207)</f>
        <v>0</v>
      </c>
      <c r="AC207" s="170">
        <f>IF(Escenarios!$E$14&gt;0,(Escenarios!$E$13*M207+Escenarios!$E$14*U207)/(Escenarios!$E$16),M207)</f>
        <v>0</v>
      </c>
      <c r="AD207" s="76">
        <f t="shared" si="43"/>
        <v>91.159673479255858</v>
      </c>
      <c r="AE207" s="76">
        <f>MAX(0,(AD207-Constantes!$D$13)*(1-EXP(-Constantes!$D$23)))</f>
        <v>0.41787261398834913</v>
      </c>
      <c r="AF207" s="76">
        <f>AB207+O207*Escenarios!$E$13/Escenarios!$E$16+AE207</f>
        <v>0.54325948881627384</v>
      </c>
      <c r="AG207" s="76">
        <f>IF(Entradas!$E$91&gt;0,IF(AF207-Escenarios!$E$38&lt;=0,0,IF(AF207-Escenarios!$E$38&gt;Escenarios!$E$37,Escenarios!$E$37,AF207-Escenarios!$E$38)),0)</f>
        <v>0</v>
      </c>
      <c r="AH207" s="76">
        <f>AG207*Entradas!$E$99</f>
        <v>0</v>
      </c>
      <c r="AI207" s="76">
        <f>IF(Entradas!$E$91&gt;0,D207*Entradas!$D$23/Escenarios!$E$16,0)</f>
        <v>0</v>
      </c>
      <c r="AJ207" s="76">
        <f>IF(Entradas!$E$91&gt;0,Entradas!$D$24*Entradas!$D$22/Escenarios!$E$16,0)</f>
        <v>0</v>
      </c>
      <c r="AK207" s="76">
        <f t="shared" si="52"/>
        <v>1.3771377720675213</v>
      </c>
      <c r="AL207" s="76">
        <f t="shared" si="53"/>
        <v>0</v>
      </c>
      <c r="AM207" s="76">
        <f t="shared" si="44"/>
        <v>0</v>
      </c>
      <c r="AN207" s="76">
        <f>MAX(0,O207*Escenarios!$E$13/Escenarios!$E$16-AM207)</f>
        <v>0.12538687482792465</v>
      </c>
      <c r="AO207" s="76">
        <f>AM207+AN207-O207*Escenarios!$E$13/Escenarios!$E$16</f>
        <v>0</v>
      </c>
      <c r="AP207" s="76">
        <f t="shared" si="42"/>
        <v>0.41787261398834913</v>
      </c>
      <c r="AQ207" s="76">
        <f t="shared" si="45"/>
        <v>0</v>
      </c>
      <c r="AR207" s="76">
        <f t="shared" si="46"/>
        <v>0.54325948881627384</v>
      </c>
      <c r="AS207" s="76">
        <f t="shared" si="47"/>
        <v>0</v>
      </c>
      <c r="AT207" s="76">
        <f t="shared" si="48"/>
        <v>0</v>
      </c>
      <c r="AU207" s="76">
        <f t="shared" si="49"/>
        <v>48.75</v>
      </c>
      <c r="AV207" s="76">
        <f>MAX(0,(AU207-Constantes!$D$13)*(1-EXP(-Constantes!$D$24)))</f>
        <v>0</v>
      </c>
      <c r="AW207" s="170">
        <f>AW206+(Entradas!$E$112*AT207-AX206)/(800*Entradas!$D$25)</f>
        <v>0</v>
      </c>
      <c r="AX207" s="170">
        <f>8000*Entradas!$D$26*AW207/Constantes!$E$45</f>
        <v>0</v>
      </c>
      <c r="AY207" s="170">
        <f>IF(Escenarios!$E$17&gt;0,10*Escenarios!$E$16*AL207,0)</f>
        <v>0</v>
      </c>
      <c r="AZ207" s="170">
        <f>IF(Escenarios!$E$17&gt;0,10*Escenarios!$E$16*AX207,0)</f>
        <v>0</v>
      </c>
      <c r="BA207" s="170">
        <f>IF(Escenarios!$E$17&gt;0,0.001*Observaciones!$F206*Escenarios!$E$17,0)</f>
        <v>101.99999999999999</v>
      </c>
      <c r="BB207" s="170">
        <f>IF(Escenarios!$E$17&gt;0,Observaciones!$K206,0)</f>
        <v>0</v>
      </c>
      <c r="BC207" s="170">
        <f>IF(Escenarios!$E$17&gt;0,MIN(0.0005*ETo!$M206*Escenarios!$E$17*(BG206/Constantes!$E$40)^(2/3),BG206+AY207+AZ207+BA207+BB207),0)</f>
        <v>5.0023628605199342</v>
      </c>
      <c r="BD207" s="170">
        <f>IF(Escenarios!$E$17&gt;0,MIN(Constantes!$E$39*(BG206/Constantes!$E$40)^(2/3),BG206+AY207+AZ207+BA207+BB207-BC207),0)</f>
        <v>13.626501326108848</v>
      </c>
      <c r="BE207" s="170">
        <f>IF(Escenarios!$E$17&gt;0,MIN(Entradas!$E$113,BG206+AY207+AZ207+BA207+BB207-BC207-BD207),0)</f>
        <v>1</v>
      </c>
      <c r="BF207" s="170">
        <f>IF(Escenarios!$E$17&gt;0,MAX(0,BG206+AY207+AZ207+BA207+BB207-BC207-BD207-BE207-Constantes!$E$40),0)</f>
        <v>0</v>
      </c>
      <c r="BG207" s="170">
        <f t="shared" si="54"/>
        <v>551.02295230027119</v>
      </c>
      <c r="BH207" s="170">
        <f>(Escenarios!$E$16*AK207+0.1*BC207)/(Escenarios!$E$19)</f>
        <v>1.368193171837033</v>
      </c>
      <c r="BI207" s="170">
        <f>IF(Escenarios!$E$17&gt;0,BF207/10/Escenarios!$E$19,AL207)</f>
        <v>0</v>
      </c>
      <c r="BJ207" s="170">
        <f>(Escenarios!$E$16*AT207+0.1*BD207)/(Escenarios!$E$19)</f>
        <v>5.4073417960749399E-3</v>
      </c>
      <c r="BK207" s="76">
        <f>BK206+(0.1*BD207)/(Escenarios!$E$19)-BL206</f>
        <v>50.038022879363723</v>
      </c>
      <c r="BL207" s="76">
        <f>MAX(0,(BK207-Constantes!$D$13)*(1-EXP(-Constantes!$D$23)))</f>
        <v>1.2691196213519232E-2</v>
      </c>
      <c r="BM207" s="76">
        <f t="shared" si="50"/>
        <v>0.43056381020186835</v>
      </c>
      <c r="BN207" s="76">
        <f t="shared" si="55"/>
        <v>0.55595068502979306</v>
      </c>
      <c r="BO207" s="76">
        <f>0.0526*BI207*Observaciones!$F206^1.218</f>
        <v>0</v>
      </c>
      <c r="BP207" s="76">
        <f>BO207*Constantes!$E$51</f>
        <v>0</v>
      </c>
      <c r="BQ207" s="76">
        <f t="shared" si="51"/>
        <v>0</v>
      </c>
      <c r="BR207" s="40"/>
    </row>
    <row r="208" spans="1:70">
      <c r="A208" s="147"/>
      <c r="B208" s="39"/>
      <c r="C208" s="75">
        <v>202</v>
      </c>
      <c r="D208" s="146">
        <f>ETo!$I207*((1-Constantes!$E$19)*ETo!$K207+ETo!$L207)</f>
        <v>2.4824236734767786</v>
      </c>
      <c r="E208" s="76">
        <f>MIN(D208*Constantes!$E$17,0.8*(N207+Observaciones!$F207-F208-M208-Constantes!$D$14))</f>
        <v>1.2136875001748308</v>
      </c>
      <c r="F208" s="76">
        <f>IF(Observaciones!$F207&gt;0.05*Constantes!$E$18,((Observaciones!$F207-0.05*Constantes!$E$18)^2)/(Observaciones!$F207+0.95*Constantes!$E$18),0)</f>
        <v>4.7099627951241686E-3</v>
      </c>
      <c r="G208" s="76">
        <f>IF(Escenarios!$E$11&gt;0,(F208*Escenarios!$E$16*10000)/1000,0)</f>
        <v>11.77490698781042</v>
      </c>
      <c r="H208" s="76">
        <f>IF(Escenarios!$E$11&gt;0,(Observaciones!$F207*Constantes!$E$29)/1000,0)</f>
        <v>67</v>
      </c>
      <c r="I208" s="76">
        <f>IF(Escenarios!$E$11&gt;0,(D208*Constantes!$E$29)/1000,0)</f>
        <v>24.824236734767787</v>
      </c>
      <c r="J208" s="76">
        <f>IF(Escenarios!$E$11&gt;0,MAX(0,G208+H208-I208),0)</f>
        <v>53.950670253042638</v>
      </c>
      <c r="K208" s="76">
        <f>IF(Escenarios!$E$11&gt;0,IF(J208&gt;Constantes!$E$30,1000*((J208-Constantes!$E$30)/(Escenarios!$E$16*10000)),0),F208)</f>
        <v>0</v>
      </c>
      <c r="L208" s="76">
        <f>IF(Escenarios!$E$11&gt;0,I208*1000/Escenarios!$E$16/10000+E208,E208)</f>
        <v>1.223617194868738</v>
      </c>
      <c r="M208" s="76">
        <f>MAX(0,N207+Observaciones!$F207-K208-Constantes!$D$13)</f>
        <v>0</v>
      </c>
      <c r="N208" s="76">
        <f>N207+Observaciones!$F207-K208-L208-M208-O207</f>
        <v>20.766802278958405</v>
      </c>
      <c r="O208" s="76">
        <f>MAX(0,(N208-Constantes!$D$14)*(1-EXP(-Constantes!$D$22)))</f>
        <v>0.32417722251771891</v>
      </c>
      <c r="P208" s="170">
        <f>P207+(Entradas!$E$83*M208-Q207)/(800*Entradas!$D$25)</f>
        <v>0</v>
      </c>
      <c r="Q208" s="170">
        <f>8000*Entradas!$D$26*P208/Constantes!$E$45</f>
        <v>0</v>
      </c>
      <c r="R208" s="170">
        <f>IF(Escenarios!$E$14&gt;0,K208*Escenarios!$E$13/Escenarios!$E$14,0)</f>
        <v>0</v>
      </c>
      <c r="S208" s="170">
        <f>IF(Escenarios!$E$14&gt;0,Q208*Escenarios!$E$13/Escenarios!$E$14,0)</f>
        <v>0</v>
      </c>
      <c r="T208" s="170">
        <f>IF(Escenarios!$E$14&gt;0,Observaciones!$I207,0)</f>
        <v>0</v>
      </c>
      <c r="U208" s="170">
        <f>IF(Escenarios!$E$14&gt;0,MAX(0,Constantes!$E$36/((Z207+R208+S208+T208+Observaciones!$F207)^2)+Entradas!$E$77),0)</f>
        <v>0</v>
      </c>
      <c r="V208" s="146">
        <f>IF(ETo!D207&gt;0,ETo!I207*((1-Entradas!$E$81)*ETo!K207+ETo!L207),0)</f>
        <v>2.2371837779201296</v>
      </c>
      <c r="W208" s="170">
        <f>IF(Escenarios!$E$14&gt;0,MIN(V208*1,0.8*(Z207+R208+S208+T208+Observaciones!$F207-U208-Constantes!$E$35)),0)</f>
        <v>2.2371837779201296</v>
      </c>
      <c r="X208" s="170">
        <f>IF(Escenarios!$E$14&gt;0,Observaciones!$J207,0)</f>
        <v>0</v>
      </c>
      <c r="Y208" s="170">
        <f>IF(Escenarios!$E$14&gt;0,MAX(0,Z207+R208+S208+T208+Observaciones!$F207-U208-W208-X208-Constantes!$E$33),0)</f>
        <v>0</v>
      </c>
      <c r="Z208" s="170">
        <f>Z207+R208+S208+T208+Observaciones!$F207-U208-W208-Y208</f>
        <v>48.850824604734683</v>
      </c>
      <c r="AA208" s="170">
        <f>IF(Escenarios!$E$14&gt;0,(Escenarios!$E$13*L208+Escenarios!$E$14*W208)/(Escenarios!$E$16),L208)</f>
        <v>1.345245184834905</v>
      </c>
      <c r="AB208" s="170">
        <f>IF(Escenarios!$E$14&gt;0,(Escenarios!$E$14*Y208)/(Escenarios!$E$16),K208)</f>
        <v>0</v>
      </c>
      <c r="AC208" s="170">
        <f>IF(Escenarios!$E$14&gt;0,(Escenarios!$E$13*M208+Escenarios!$E$14*U208)/(Escenarios!$E$16),M208)</f>
        <v>0</v>
      </c>
      <c r="AD208" s="76">
        <f t="shared" si="43"/>
        <v>90.741800865267507</v>
      </c>
      <c r="AE208" s="76">
        <f>MAX(0,(AD208-Constantes!$D$13)*(1-EXP(-Constantes!$D$23)))</f>
        <v>0.41375521559321954</v>
      </c>
      <c r="AF208" s="76">
        <f>AB208+O208*Escenarios!$E$13/Escenarios!$E$16+AE208</f>
        <v>0.69903117140881221</v>
      </c>
      <c r="AG208" s="76">
        <f>IF(Entradas!$E$91&gt;0,IF(AF208-Escenarios!$E$38&lt;=0,0,IF(AF208-Escenarios!$E$38&gt;Escenarios!$E$37,Escenarios!$E$37,AF208-Escenarios!$E$38)),0)</f>
        <v>0</v>
      </c>
      <c r="AH208" s="76">
        <f>AG208*Entradas!$E$99</f>
        <v>0</v>
      </c>
      <c r="AI208" s="76">
        <f>IF(Entradas!$E$91&gt;0,D208*Entradas!$D$23/Escenarios!$E$16,0)</f>
        <v>0</v>
      </c>
      <c r="AJ208" s="76">
        <f>IF(Entradas!$E$91&gt;0,Entradas!$D$24*Entradas!$D$22/Escenarios!$E$16,0)</f>
        <v>0</v>
      </c>
      <c r="AK208" s="76">
        <f t="shared" si="52"/>
        <v>1.345245184834905</v>
      </c>
      <c r="AL208" s="76">
        <f t="shared" si="53"/>
        <v>0</v>
      </c>
      <c r="AM208" s="76">
        <f t="shared" si="44"/>
        <v>0</v>
      </c>
      <c r="AN208" s="76">
        <f>MAX(0,O208*Escenarios!$E$13/Escenarios!$E$16-AM208)</f>
        <v>0.28527595581559262</v>
      </c>
      <c r="AO208" s="76">
        <f>AM208+AN208-O208*Escenarios!$E$13/Escenarios!$E$16</f>
        <v>0</v>
      </c>
      <c r="AP208" s="76">
        <f t="shared" si="42"/>
        <v>0.41375521559321954</v>
      </c>
      <c r="AQ208" s="76">
        <f t="shared" si="45"/>
        <v>0</v>
      </c>
      <c r="AR208" s="76">
        <f t="shared" si="46"/>
        <v>0.69903117140881221</v>
      </c>
      <c r="AS208" s="76">
        <f t="shared" si="47"/>
        <v>0</v>
      </c>
      <c r="AT208" s="76">
        <f t="shared" si="48"/>
        <v>0</v>
      </c>
      <c r="AU208" s="76">
        <f t="shared" si="49"/>
        <v>48.75</v>
      </c>
      <c r="AV208" s="76">
        <f>MAX(0,(AU208-Constantes!$D$13)*(1-EXP(-Constantes!$D$24)))</f>
        <v>0</v>
      </c>
      <c r="AW208" s="170">
        <f>AW207+(Entradas!$E$112*AT208-AX207)/(800*Entradas!$D$25)</f>
        <v>0</v>
      </c>
      <c r="AX208" s="170">
        <f>8000*Entradas!$D$26*AW208/Constantes!$E$45</f>
        <v>0</v>
      </c>
      <c r="AY208" s="170">
        <f>IF(Escenarios!$E$17&gt;0,10*Escenarios!$E$16*AL208,0)</f>
        <v>0</v>
      </c>
      <c r="AZ208" s="170">
        <f>IF(Escenarios!$E$17&gt;0,10*Escenarios!$E$16*AX208,0)</f>
        <v>0</v>
      </c>
      <c r="BA208" s="170">
        <f>IF(Escenarios!$E$17&gt;0,0.001*Observaciones!$F207*Escenarios!$E$17,0)</f>
        <v>134</v>
      </c>
      <c r="BB208" s="170">
        <f>IF(Escenarios!$E$17&gt;0,Observaciones!$K207,0)</f>
        <v>45.968421531225083</v>
      </c>
      <c r="BC208" s="170">
        <f>IF(Escenarios!$E$17&gt;0,MIN(0.0005*ETo!$M207*Escenarios!$E$17*(BG207/Constantes!$E$40)^(2/3),BG207+AY208+AZ208+BA208+BB208),0)</f>
        <v>5.4425313607722821</v>
      </c>
      <c r="BD208" s="170">
        <f>IF(Escenarios!$E$17&gt;0,MIN(Constantes!$E$39*(BG207/Constantes!$E$40)^(2/3),BG207+AY208+AZ208+BA208+BB208-BC208),0)</f>
        <v>15.179726703706395</v>
      </c>
      <c r="BE208" s="170">
        <f>IF(Escenarios!$E$17&gt;0,MIN(Entradas!$E$113,BG207+AY208+AZ208+BA208+BB208-BC208-BD208),0)</f>
        <v>1</v>
      </c>
      <c r="BF208" s="170">
        <f>IF(Escenarios!$E$17&gt;0,MAX(0,BG207+AY208+AZ208+BA208+BB208-BC208-BD208-BE208-Constantes!$E$40),0)</f>
        <v>0</v>
      </c>
      <c r="BG208" s="170">
        <f t="shared" si="54"/>
        <v>709.36911576701766</v>
      </c>
      <c r="BH208" s="170">
        <f>(Escenarios!$E$16*AK208+0.1*BC208)/(Escenarios!$E$19)</f>
        <v>1.3367283704158865</v>
      </c>
      <c r="BI208" s="170">
        <f>IF(Escenarios!$E$17&gt;0,BF208/10/Escenarios!$E$19,AL208)</f>
        <v>0</v>
      </c>
      <c r="BJ208" s="170">
        <f>(Escenarios!$E$16*AT208+0.1*BD208)/(Escenarios!$E$19)</f>
        <v>6.023701072899363E-3</v>
      </c>
      <c r="BK208" s="76">
        <f>BK207+(0.1*BD208)/(Escenarios!$E$19)-BL207</f>
        <v>50.031355384223104</v>
      </c>
      <c r="BL208" s="76">
        <f>MAX(0,(BK208-Constantes!$D$13)*(1-EXP(-Constantes!$D$23)))</f>
        <v>1.2625499795825102E-2</v>
      </c>
      <c r="BM208" s="76">
        <f t="shared" si="50"/>
        <v>0.42638071538904465</v>
      </c>
      <c r="BN208" s="76">
        <f t="shared" si="55"/>
        <v>0.71165667120463727</v>
      </c>
      <c r="BO208" s="76">
        <f>0.0526*BI208*Observaciones!$F207^1.218</f>
        <v>0</v>
      </c>
      <c r="BP208" s="76">
        <f>BO208*Constantes!$E$51</f>
        <v>0</v>
      </c>
      <c r="BQ208" s="76">
        <f t="shared" si="51"/>
        <v>0</v>
      </c>
      <c r="BR208" s="40"/>
    </row>
    <row r="209" spans="1:70">
      <c r="A209" s="147"/>
      <c r="B209" s="39"/>
      <c r="C209" s="75">
        <v>203</v>
      </c>
      <c r="D209" s="146">
        <f>ETo!$I208*((1-Constantes!$E$19)*ETo!$K208+ETo!$L208)</f>
        <v>2.6572293512022989</v>
      </c>
      <c r="E209" s="76">
        <f>MIN(D209*Constantes!$E$17,0.8*(N208+Observaciones!$F208-F209-M209-Constantes!$D$14))</f>
        <v>1.2991521484062554</v>
      </c>
      <c r="F209" s="76">
        <f>IF(Observaciones!$F208&gt;0.05*Constantes!$E$18,((Observaciones!$F208-0.05*Constantes!$E$18)^2)/(Observaciones!$F208+0.95*Constantes!$E$18),0)</f>
        <v>0</v>
      </c>
      <c r="G209" s="76">
        <f>IF(Escenarios!$E$11&gt;0,(F209*Escenarios!$E$16*10000)/1000,0)</f>
        <v>0</v>
      </c>
      <c r="H209" s="76">
        <f>IF(Escenarios!$E$11&gt;0,(Observaciones!$F208*Constantes!$E$29)/1000,0)</f>
        <v>0</v>
      </c>
      <c r="I209" s="76">
        <f>IF(Escenarios!$E$11&gt;0,(D209*Constantes!$E$29)/1000,0)</f>
        <v>26.572293512022988</v>
      </c>
      <c r="J209" s="76">
        <f>IF(Escenarios!$E$11&gt;0,MAX(0,G209+H209-I209),0)</f>
        <v>0</v>
      </c>
      <c r="K209" s="76">
        <f>IF(Escenarios!$E$11&gt;0,IF(J209&gt;Constantes!$E$30,1000*((J209-Constantes!$E$30)/(Escenarios!$E$16*10000)),0),F209)</f>
        <v>0</v>
      </c>
      <c r="L209" s="76">
        <f>IF(Escenarios!$E$11&gt;0,I209*1000/Escenarios!$E$16/10000+E209,E209)</f>
        <v>1.3097810658110645</v>
      </c>
      <c r="M209" s="76">
        <f>MAX(0,N208+Observaciones!$F208-K209-Constantes!$D$13)</f>
        <v>0</v>
      </c>
      <c r="N209" s="76">
        <f>N208+Observaciones!$F208-K209-L209-M209-O208</f>
        <v>19.13284399062962</v>
      </c>
      <c r="O209" s="76">
        <f>MAX(0,(N209-Constantes!$D$14)*(1-EXP(-Constantes!$D$22)))</f>
        <v>0.26851860483356488</v>
      </c>
      <c r="P209" s="170">
        <f>P208+(Entradas!$E$83*M209-Q208)/(800*Entradas!$D$25)</f>
        <v>0</v>
      </c>
      <c r="Q209" s="170">
        <f>8000*Entradas!$D$26*P209/Constantes!$E$45</f>
        <v>0</v>
      </c>
      <c r="R209" s="170">
        <f>IF(Escenarios!$E$14&gt;0,K209*Escenarios!$E$13/Escenarios!$E$14,0)</f>
        <v>0</v>
      </c>
      <c r="S209" s="170">
        <f>IF(Escenarios!$E$14&gt;0,Q209*Escenarios!$E$13/Escenarios!$E$14,0)</f>
        <v>0</v>
      </c>
      <c r="T209" s="170">
        <f>IF(Escenarios!$E$14&gt;0,Observaciones!$I208,0)</f>
        <v>0</v>
      </c>
      <c r="U209" s="170">
        <f>IF(Escenarios!$E$14&gt;0,MAX(0,Constantes!$E$36/((Z208+R209+S209+T209+Observaciones!$F208)^2)+Entradas!$E$77),0)</f>
        <v>0</v>
      </c>
      <c r="V209" s="146">
        <f>IF(ETo!D208&gt;0,ETo!I208*((1-Entradas!$E$81)*ETo!K208+ETo!L208),0)</f>
        <v>2.3957121580015861</v>
      </c>
      <c r="W209" s="170">
        <f>IF(Escenarios!$E$14&gt;0,MIN(V209*1,0.8*(Z208+R209+S209+T209+Observaciones!$F208-U209-Constantes!$E$35)),0)</f>
        <v>2.3957121580015861</v>
      </c>
      <c r="X209" s="170">
        <f>IF(Escenarios!$E$14&gt;0,Observaciones!$J208,0)</f>
        <v>0</v>
      </c>
      <c r="Y209" s="170">
        <f>IF(Escenarios!$E$14&gt;0,MAX(0,Z208+R209+S209+T209+Observaciones!$F208-U209-W209-X209-Constantes!$E$33),0)</f>
        <v>0</v>
      </c>
      <c r="Z209" s="170">
        <f>Z208+R209+S209+T209+Observaciones!$F208-U209-W209-Y209</f>
        <v>46.455112446733096</v>
      </c>
      <c r="AA209" s="170">
        <f>IF(Escenarios!$E$14&gt;0,(Escenarios!$E$13*L209+Escenarios!$E$14*W209)/(Escenarios!$E$16),L209)</f>
        <v>1.440092796873927</v>
      </c>
      <c r="AB209" s="170">
        <f>IF(Escenarios!$E$14&gt;0,(Escenarios!$E$14*Y209)/(Escenarios!$E$16),K209)</f>
        <v>0</v>
      </c>
      <c r="AC209" s="170">
        <f>IF(Escenarios!$E$14&gt;0,(Escenarios!$E$13*M209+Escenarios!$E$14*U209)/(Escenarios!$E$16),M209)</f>
        <v>0</v>
      </c>
      <c r="AD209" s="76">
        <f t="shared" si="43"/>
        <v>90.328045649674294</v>
      </c>
      <c r="AE209" s="76">
        <f>MAX(0,(AD209-Constantes!$D$13)*(1-EXP(-Constantes!$D$23)))</f>
        <v>0.40967838690516517</v>
      </c>
      <c r="AF209" s="76">
        <f>AB209+O209*Escenarios!$E$13/Escenarios!$E$16+AE209</f>
        <v>0.64597475915870228</v>
      </c>
      <c r="AG209" s="76">
        <f>IF(Entradas!$E$91&gt;0,IF(AF209-Escenarios!$E$38&lt;=0,0,IF(AF209-Escenarios!$E$38&gt;Escenarios!$E$37,Escenarios!$E$37,AF209-Escenarios!$E$38)),0)</f>
        <v>0</v>
      </c>
      <c r="AH209" s="76">
        <f>AG209*Entradas!$E$99</f>
        <v>0</v>
      </c>
      <c r="AI209" s="76">
        <f>IF(Entradas!$E$91&gt;0,D209*Entradas!$D$23/Escenarios!$E$16,0)</f>
        <v>0</v>
      </c>
      <c r="AJ209" s="76">
        <f>IF(Entradas!$E$91&gt;0,Entradas!$D$24*Entradas!$D$22/Escenarios!$E$16,0)</f>
        <v>0</v>
      </c>
      <c r="AK209" s="76">
        <f t="shared" si="52"/>
        <v>1.440092796873927</v>
      </c>
      <c r="AL209" s="76">
        <f t="shared" si="53"/>
        <v>0</v>
      </c>
      <c r="AM209" s="76">
        <f t="shared" si="44"/>
        <v>0</v>
      </c>
      <c r="AN209" s="76">
        <f>MAX(0,O209*Escenarios!$E$13/Escenarios!$E$16-AM209)</f>
        <v>0.23629637225353711</v>
      </c>
      <c r="AO209" s="76">
        <f>AM209+AN209-O209*Escenarios!$E$13/Escenarios!$E$16</f>
        <v>0</v>
      </c>
      <c r="AP209" s="76">
        <f t="shared" si="42"/>
        <v>0.40967838690516517</v>
      </c>
      <c r="AQ209" s="76">
        <f t="shared" si="45"/>
        <v>0</v>
      </c>
      <c r="AR209" s="76">
        <f t="shared" si="46"/>
        <v>0.64597475915870228</v>
      </c>
      <c r="AS209" s="76">
        <f t="shared" si="47"/>
        <v>0</v>
      </c>
      <c r="AT209" s="76">
        <f t="shared" si="48"/>
        <v>0</v>
      </c>
      <c r="AU209" s="76">
        <f t="shared" si="49"/>
        <v>48.75</v>
      </c>
      <c r="AV209" s="76">
        <f>MAX(0,(AU209-Constantes!$D$13)*(1-EXP(-Constantes!$D$24)))</f>
        <v>0</v>
      </c>
      <c r="AW209" s="170">
        <f>AW208+(Entradas!$E$112*AT209-AX208)/(800*Entradas!$D$25)</f>
        <v>0</v>
      </c>
      <c r="AX209" s="170">
        <f>8000*Entradas!$D$26*AW209/Constantes!$E$45</f>
        <v>0</v>
      </c>
      <c r="AY209" s="170">
        <f>IF(Escenarios!$E$17&gt;0,10*Escenarios!$E$16*AL209,0)</f>
        <v>0</v>
      </c>
      <c r="AZ209" s="170">
        <f>IF(Escenarios!$E$17&gt;0,10*Escenarios!$E$16*AX209,0)</f>
        <v>0</v>
      </c>
      <c r="BA209" s="170">
        <f>IF(Escenarios!$E$17&gt;0,0.001*Observaciones!$F208*Escenarios!$E$17,0)</f>
        <v>0</v>
      </c>
      <c r="BB209" s="170">
        <f>IF(Escenarios!$E$17&gt;0,Observaciones!$K208,0)</f>
        <v>0</v>
      </c>
      <c r="BC209" s="170">
        <f>IF(Escenarios!$E$17&gt;0,MIN(0.0005*ETo!$M208*Escenarios!$E$17*(BG208/Constantes!$E$40)^(2/3),BG208+AY209+AZ209+BA209+BB209),0)</f>
        <v>6.8907789407354034</v>
      </c>
      <c r="BD209" s="170">
        <f>IF(Escenarios!$E$17&gt;0,MIN(Constantes!$E$39*(BG208/Constantes!$E$40)^(2/3),BG208+AY209+AZ209+BA209+BB209-BC209),0)</f>
        <v>17.96383306714333</v>
      </c>
      <c r="BE209" s="170">
        <f>IF(Escenarios!$E$17&gt;0,MIN(Entradas!$E$113,BG208+AY209+AZ209+BA209+BB209-BC209-BD209),0)</f>
        <v>1</v>
      </c>
      <c r="BF209" s="170">
        <f>IF(Escenarios!$E$17&gt;0,MAX(0,BG208+AY209+AZ209+BA209+BB209-BC209-BD209-BE209-Constantes!$E$40),0)</f>
        <v>0</v>
      </c>
      <c r="BG209" s="170">
        <f t="shared" si="54"/>
        <v>683.51450375913885</v>
      </c>
      <c r="BH209" s="170">
        <f>(Escenarios!$E$16*AK209+0.1*BC209)/(Escenarios!$E$19)</f>
        <v>1.4313979250498226</v>
      </c>
      <c r="BI209" s="170">
        <f>IF(Escenarios!$E$17&gt;0,BF209/10/Escenarios!$E$19,AL209)</f>
        <v>0</v>
      </c>
      <c r="BJ209" s="170">
        <f>(Escenarios!$E$16*AT209+0.1*BD209)/(Escenarios!$E$19)</f>
        <v>7.1285051853743377E-3</v>
      </c>
      <c r="BK209" s="76">
        <f>BK208+(0.1*BD209)/(Escenarios!$E$19)-BL208</f>
        <v>50.025858389612658</v>
      </c>
      <c r="BL209" s="76">
        <f>MAX(0,(BK209-Constantes!$D$13)*(1-EXP(-Constantes!$D$23)))</f>
        <v>1.2571336598646263E-2</v>
      </c>
      <c r="BM209" s="76">
        <f t="shared" si="50"/>
        <v>0.42224972350381146</v>
      </c>
      <c r="BN209" s="76">
        <f t="shared" si="55"/>
        <v>0.65854609575734857</v>
      </c>
      <c r="BO209" s="76">
        <f>0.0526*BI209*Observaciones!$F208^1.218</f>
        <v>0</v>
      </c>
      <c r="BP209" s="76">
        <f>BO209*Constantes!$E$51</f>
        <v>0</v>
      </c>
      <c r="BQ209" s="76">
        <f t="shared" si="51"/>
        <v>0</v>
      </c>
      <c r="BR209" s="40"/>
    </row>
    <row r="210" spans="1:70">
      <c r="A210" s="147"/>
      <c r="B210" s="39"/>
      <c r="C210" s="75">
        <v>204</v>
      </c>
      <c r="D210" s="146">
        <f>ETo!$I209*((1-Constantes!$E$19)*ETo!$K209+ETo!$L209)</f>
        <v>2.6322483875233469</v>
      </c>
      <c r="E210" s="76">
        <f>MIN(D210*Constantes!$E$17,0.8*(N209+Observaciones!$F209-F210-M210-Constantes!$D$14))</f>
        <v>1.2869386476717084</v>
      </c>
      <c r="F210" s="76">
        <f>IF(Observaciones!$F209&gt;0.05*Constantes!$E$18,((Observaciones!$F209-0.05*Constantes!$E$18)^2)/(Observaciones!$F209+0.95*Constantes!$E$18),0)</f>
        <v>0</v>
      </c>
      <c r="G210" s="76">
        <f>IF(Escenarios!$E$11&gt;0,(F210*Escenarios!$E$16*10000)/1000,0)</f>
        <v>0</v>
      </c>
      <c r="H210" s="76">
        <f>IF(Escenarios!$E$11&gt;0,(Observaciones!$F209*Constantes!$E$29)/1000,0)</f>
        <v>0</v>
      </c>
      <c r="I210" s="76">
        <f>IF(Escenarios!$E$11&gt;0,(D210*Constantes!$E$29)/1000,0)</f>
        <v>26.32248387523347</v>
      </c>
      <c r="J210" s="76">
        <f>IF(Escenarios!$E$11&gt;0,MAX(0,G210+H210-I210),0)</f>
        <v>0</v>
      </c>
      <c r="K210" s="76">
        <f>IF(Escenarios!$E$11&gt;0,IF(J210&gt;Constantes!$E$30,1000*((J210-Constantes!$E$30)/(Escenarios!$E$16*10000)),0),F210)</f>
        <v>0</v>
      </c>
      <c r="L210" s="76">
        <f>IF(Escenarios!$E$11&gt;0,I210*1000/Escenarios!$E$16/10000+E210,E210)</f>
        <v>1.2974676412218018</v>
      </c>
      <c r="M210" s="76">
        <f>MAX(0,N209+Observaciones!$F209-K210-Constantes!$D$13)</f>
        <v>0</v>
      </c>
      <c r="N210" s="76">
        <f>N209+Observaciones!$F209-K210-L210-M210-O209</f>
        <v>17.566857744574254</v>
      </c>
      <c r="O210" s="76">
        <f>MAX(0,(N210-Constantes!$D$14)*(1-EXP(-Constantes!$D$22)))</f>
        <v>0.21517536443971907</v>
      </c>
      <c r="P210" s="170">
        <f>P209+(Entradas!$E$83*M210-Q209)/(800*Entradas!$D$25)</f>
        <v>0</v>
      </c>
      <c r="Q210" s="170">
        <f>8000*Entradas!$D$26*P210/Constantes!$E$45</f>
        <v>0</v>
      </c>
      <c r="R210" s="170">
        <f>IF(Escenarios!$E$14&gt;0,K210*Escenarios!$E$13/Escenarios!$E$14,0)</f>
        <v>0</v>
      </c>
      <c r="S210" s="170">
        <f>IF(Escenarios!$E$14&gt;0,Q210*Escenarios!$E$13/Escenarios!$E$14,0)</f>
        <v>0</v>
      </c>
      <c r="T210" s="170">
        <f>IF(Escenarios!$E$14&gt;0,Observaciones!$I209,0)</f>
        <v>0</v>
      </c>
      <c r="U210" s="170">
        <f>IF(Escenarios!$E$14&gt;0,MAX(0,Constantes!$E$36/((Z209+R210+S210+T210+Observaciones!$F209)^2)+Entradas!$E$77),0)</f>
        <v>0</v>
      </c>
      <c r="V210" s="146">
        <f>IF(ETo!D209&gt;0,ETo!I209*((1-Entradas!$E$81)*ETo!K209+ETo!L209),0)</f>
        <v>2.3733977344240067</v>
      </c>
      <c r="W210" s="170">
        <f>IF(Escenarios!$E$14&gt;0,MIN(V210*1,0.8*(Z209+R210+S210+T210+Observaciones!$F209-U210-Constantes!$E$35)),0)</f>
        <v>2.3733977344240067</v>
      </c>
      <c r="X210" s="170">
        <f>IF(Escenarios!$E$14&gt;0,Observaciones!$J209,0)</f>
        <v>0</v>
      </c>
      <c r="Y210" s="170">
        <f>IF(Escenarios!$E$14&gt;0,MAX(0,Z209+R210+S210+T210+Observaciones!$F209-U210-W210-X210-Constantes!$E$33),0)</f>
        <v>0</v>
      </c>
      <c r="Z210" s="170">
        <f>Z209+R210+S210+T210+Observaciones!$F209-U210-W210-Y210</f>
        <v>44.081714712309093</v>
      </c>
      <c r="AA210" s="170">
        <f>IF(Escenarios!$E$14&gt;0,(Escenarios!$E$13*L210+Escenarios!$E$14*W210)/(Escenarios!$E$16),L210)</f>
        <v>1.4265792524060663</v>
      </c>
      <c r="AB210" s="170">
        <f>IF(Escenarios!$E$14&gt;0,(Escenarios!$E$14*Y210)/(Escenarios!$E$16),K210)</f>
        <v>0</v>
      </c>
      <c r="AC210" s="170">
        <f>IF(Escenarios!$E$14&gt;0,(Escenarios!$E$13*M210+Escenarios!$E$14*U210)/(Escenarios!$E$16),M210)</f>
        <v>0</v>
      </c>
      <c r="AD210" s="76">
        <f t="shared" si="43"/>
        <v>89.918367262769124</v>
      </c>
      <c r="AE210" s="76">
        <f>MAX(0,(AD210-Constantes!$D$13)*(1-EXP(-Constantes!$D$23)))</f>
        <v>0.40564172818119903</v>
      </c>
      <c r="AF210" s="76">
        <f>AB210+O210*Escenarios!$E$13/Escenarios!$E$16+AE210</f>
        <v>0.59499604888815183</v>
      </c>
      <c r="AG210" s="76">
        <f>IF(Entradas!$E$91&gt;0,IF(AF210-Escenarios!$E$38&lt;=0,0,IF(AF210-Escenarios!$E$38&gt;Escenarios!$E$37,Escenarios!$E$37,AF210-Escenarios!$E$38)),0)</f>
        <v>0</v>
      </c>
      <c r="AH210" s="76">
        <f>AG210*Entradas!$E$99</f>
        <v>0</v>
      </c>
      <c r="AI210" s="76">
        <f>IF(Entradas!$E$91&gt;0,D210*Entradas!$D$23/Escenarios!$E$16,0)</f>
        <v>0</v>
      </c>
      <c r="AJ210" s="76">
        <f>IF(Entradas!$E$91&gt;0,Entradas!$D$24*Entradas!$D$22/Escenarios!$E$16,0)</f>
        <v>0</v>
      </c>
      <c r="AK210" s="76">
        <f t="shared" si="52"/>
        <v>1.4265792524060663</v>
      </c>
      <c r="AL210" s="76">
        <f t="shared" si="53"/>
        <v>0</v>
      </c>
      <c r="AM210" s="76">
        <f t="shared" si="44"/>
        <v>0</v>
      </c>
      <c r="AN210" s="76">
        <f>MAX(0,O210*Escenarios!$E$13/Escenarios!$E$16-AM210)</f>
        <v>0.18935432070695279</v>
      </c>
      <c r="AO210" s="76">
        <f>AM210+AN210-O210*Escenarios!$E$13/Escenarios!$E$16</f>
        <v>0</v>
      </c>
      <c r="AP210" s="76">
        <f t="shared" si="42"/>
        <v>0.40564172818119903</v>
      </c>
      <c r="AQ210" s="76">
        <f t="shared" si="45"/>
        <v>0</v>
      </c>
      <c r="AR210" s="76">
        <f t="shared" si="46"/>
        <v>0.59499604888815183</v>
      </c>
      <c r="AS210" s="76">
        <f t="shared" si="47"/>
        <v>0</v>
      </c>
      <c r="AT210" s="76">
        <f t="shared" si="48"/>
        <v>0</v>
      </c>
      <c r="AU210" s="76">
        <f t="shared" si="49"/>
        <v>48.75</v>
      </c>
      <c r="AV210" s="76">
        <f>MAX(0,(AU210-Constantes!$D$13)*(1-EXP(-Constantes!$D$24)))</f>
        <v>0</v>
      </c>
      <c r="AW210" s="170">
        <f>AW209+(Entradas!$E$112*AT210-AX209)/(800*Entradas!$D$25)</f>
        <v>0</v>
      </c>
      <c r="AX210" s="170">
        <f>8000*Entradas!$D$26*AW210/Constantes!$E$45</f>
        <v>0</v>
      </c>
      <c r="AY210" s="170">
        <f>IF(Escenarios!$E$17&gt;0,10*Escenarios!$E$16*AL210,0)</f>
        <v>0</v>
      </c>
      <c r="AZ210" s="170">
        <f>IF(Escenarios!$E$17&gt;0,10*Escenarios!$E$16*AX210,0)</f>
        <v>0</v>
      </c>
      <c r="BA210" s="170">
        <f>IF(Escenarios!$E$17&gt;0,0.001*Observaciones!$F209*Escenarios!$E$17,0)</f>
        <v>0</v>
      </c>
      <c r="BB210" s="170">
        <f>IF(Escenarios!$E$17&gt;0,Observaciones!$K209,0)</f>
        <v>0</v>
      </c>
      <c r="BC210" s="170">
        <f>IF(Escenarios!$E$17&gt;0,MIN(0.0005*ETo!$M209*Escenarios!$E$17*(BG209/Constantes!$E$40)^(2/3),BG209+AY210+AZ210+BA210+BB210),0)</f>
        <v>6.6583971073114103</v>
      </c>
      <c r="BD210" s="170">
        <f>IF(Escenarios!$E$17&gt;0,MIN(Constantes!$E$39*(BG209/Constantes!$E$40)^(2/3),BG209+AY210+AZ210+BA210+BB210-BC210),0)</f>
        <v>17.524648505049711</v>
      </c>
      <c r="BE210" s="170">
        <f>IF(Escenarios!$E$17&gt;0,MIN(Entradas!$E$113,BG209+AY210+AZ210+BA210+BB210-BC210-BD210),0)</f>
        <v>1</v>
      </c>
      <c r="BF210" s="170">
        <f>IF(Escenarios!$E$17&gt;0,MAX(0,BG209+AY210+AZ210+BA210+BB210-BC210-BD210-BE210-Constantes!$E$40),0)</f>
        <v>0</v>
      </c>
      <c r="BG210" s="170">
        <f t="shared" si="54"/>
        <v>658.33145814677766</v>
      </c>
      <c r="BH210" s="170">
        <f>(Escenarios!$E$16*AK210+0.1*BC210)/(Escenarios!$E$19)</f>
        <v>1.4178994159216181</v>
      </c>
      <c r="BI210" s="170">
        <f>IF(Escenarios!$E$17&gt;0,BF210/10/Escenarios!$E$19,AL210)</f>
        <v>0</v>
      </c>
      <c r="BJ210" s="170">
        <f>(Escenarios!$E$16*AT210+0.1*BD210)/(Escenarios!$E$19)</f>
        <v>6.9542255972419491E-3</v>
      </c>
      <c r="BK210" s="76">
        <f>BK209+(0.1*BD210)/(Escenarios!$E$19)-BL209</f>
        <v>50.020241278611252</v>
      </c>
      <c r="BL210" s="76">
        <f>MAX(0,(BK210-Constantes!$D$13)*(1-EXP(-Constantes!$D$23)))</f>
        <v>1.2515989866057802E-2</v>
      </c>
      <c r="BM210" s="76">
        <f t="shared" si="50"/>
        <v>0.41815771804725682</v>
      </c>
      <c r="BN210" s="76">
        <f t="shared" si="55"/>
        <v>0.60751203875420967</v>
      </c>
      <c r="BO210" s="76">
        <f>0.0526*BI210*Observaciones!$F209^1.218</f>
        <v>0</v>
      </c>
      <c r="BP210" s="76">
        <f>BO210*Constantes!$E$51</f>
        <v>0</v>
      </c>
      <c r="BQ210" s="76">
        <f t="shared" si="51"/>
        <v>0</v>
      </c>
      <c r="BR210" s="40"/>
    </row>
    <row r="211" spans="1:70">
      <c r="A211" s="147"/>
      <c r="B211" s="39"/>
      <c r="C211" s="75">
        <v>205</v>
      </c>
      <c r="D211" s="146">
        <f>ETo!$I210*((1-Constantes!$E$19)*ETo!$K210+ETo!$L210)</f>
        <v>2.698066755507833</v>
      </c>
      <c r="E211" s="76">
        <f>MIN(D211*Constantes!$E$17,0.8*(N210+Observaciones!$F210-F211-M211-Constantes!$D$14))</f>
        <v>1.319118058204318</v>
      </c>
      <c r="F211" s="76">
        <f>IF(Observaciones!$F210&gt;0.05*Constantes!$E$18,((Observaciones!$F210-0.05*Constantes!$E$18)^2)/(Observaciones!$F210+0.95*Constantes!$E$18),0)</f>
        <v>0</v>
      </c>
      <c r="G211" s="76">
        <f>IF(Escenarios!$E$11&gt;0,(F211*Escenarios!$E$16*10000)/1000,0)</f>
        <v>0</v>
      </c>
      <c r="H211" s="76">
        <f>IF(Escenarios!$E$11&gt;0,(Observaciones!$F210*Constantes!$E$29)/1000,0)</f>
        <v>0</v>
      </c>
      <c r="I211" s="76">
        <f>IF(Escenarios!$E$11&gt;0,(D211*Constantes!$E$29)/1000,0)</f>
        <v>26.98066755507833</v>
      </c>
      <c r="J211" s="76">
        <f>IF(Escenarios!$E$11&gt;0,MAX(0,G211+H211-I211),0)</f>
        <v>0</v>
      </c>
      <c r="K211" s="76">
        <f>IF(Escenarios!$E$11&gt;0,IF(J211&gt;Constantes!$E$30,1000*((J211-Constantes!$E$30)/(Escenarios!$E$16*10000)),0),F211)</f>
        <v>0</v>
      </c>
      <c r="L211" s="76">
        <f>IF(Escenarios!$E$11&gt;0,I211*1000/Escenarios!$E$16/10000+E211,E211)</f>
        <v>1.3299103252263493</v>
      </c>
      <c r="M211" s="76">
        <f>MAX(0,N210+Observaciones!$F210-K211-Constantes!$D$13)</f>
        <v>0</v>
      </c>
      <c r="N211" s="76">
        <f>N210+Observaciones!$F210-K211-L211-M211-O210</f>
        <v>16.021772054908183</v>
      </c>
      <c r="O211" s="76">
        <f>MAX(0,(N211-Constantes!$D$14)*(1-EXP(-Constantes!$D$22)))</f>
        <v>0.16254407372400595</v>
      </c>
      <c r="P211" s="170">
        <f>P210+(Entradas!$E$83*M211-Q210)/(800*Entradas!$D$25)</f>
        <v>0</v>
      </c>
      <c r="Q211" s="170">
        <f>8000*Entradas!$D$26*P211/Constantes!$E$45</f>
        <v>0</v>
      </c>
      <c r="R211" s="170">
        <f>IF(Escenarios!$E$14&gt;0,K211*Escenarios!$E$13/Escenarios!$E$14,0)</f>
        <v>0</v>
      </c>
      <c r="S211" s="170">
        <f>IF(Escenarios!$E$14&gt;0,Q211*Escenarios!$E$13/Escenarios!$E$14,0)</f>
        <v>0</v>
      </c>
      <c r="T211" s="170">
        <f>IF(Escenarios!$E$14&gt;0,Observaciones!$I210,0)</f>
        <v>0</v>
      </c>
      <c r="U211" s="170">
        <f>IF(Escenarios!$E$14&gt;0,MAX(0,Constantes!$E$36/((Z210+R211+S211+T211+Observaciones!$F210)^2)+Entradas!$E$77),0)</f>
        <v>0</v>
      </c>
      <c r="V211" s="146">
        <f>IF(ETo!D210&gt;0,ETo!I210*((1-Entradas!$E$81)*ETo!K210+ETo!L210),0)</f>
        <v>2.4335173726149204</v>
      </c>
      <c r="W211" s="170">
        <f>IF(Escenarios!$E$14&gt;0,MIN(V211*1,0.8*(Z210+R211+S211+T211+Observaciones!$F210-U211-Constantes!$E$35)),0)</f>
        <v>2.2653717698472748</v>
      </c>
      <c r="X211" s="170">
        <f>IF(Escenarios!$E$14&gt;0,Observaciones!$J210,0)</f>
        <v>0</v>
      </c>
      <c r="Y211" s="170">
        <f>IF(Escenarios!$E$14&gt;0,MAX(0,Z210+R211+S211+T211+Observaciones!$F210-U211-W211-X211-Constantes!$E$33),0)</f>
        <v>0</v>
      </c>
      <c r="Z211" s="170">
        <f>Z210+R211+S211+T211+Observaciones!$F210-U211-W211-Y211</f>
        <v>41.816342942461816</v>
      </c>
      <c r="AA211" s="170">
        <f>IF(Escenarios!$E$14&gt;0,(Escenarios!$E$13*L211+Escenarios!$E$14*W211)/(Escenarios!$E$16),L211)</f>
        <v>1.4421656985808604</v>
      </c>
      <c r="AB211" s="170">
        <f>IF(Escenarios!$E$14&gt;0,(Escenarios!$E$14*Y211)/(Escenarios!$E$16),K211)</f>
        <v>0</v>
      </c>
      <c r="AC211" s="170">
        <f>IF(Escenarios!$E$14&gt;0,(Escenarios!$E$13*M211+Escenarios!$E$14*U211)/(Escenarios!$E$16),M211)</f>
        <v>0</v>
      </c>
      <c r="AD211" s="76">
        <f t="shared" si="43"/>
        <v>89.512725534587929</v>
      </c>
      <c r="AE211" s="76">
        <f>MAX(0,(AD211-Constantes!$D$13)*(1-EXP(-Constantes!$D$23)))</f>
        <v>0.40164484361709746</v>
      </c>
      <c r="AF211" s="76">
        <f>AB211+O211*Escenarios!$E$13/Escenarios!$E$16+AE211</f>
        <v>0.54468362849422269</v>
      </c>
      <c r="AG211" s="76">
        <f>IF(Entradas!$E$91&gt;0,IF(AF211-Escenarios!$E$38&lt;=0,0,IF(AF211-Escenarios!$E$38&gt;Escenarios!$E$37,Escenarios!$E$37,AF211-Escenarios!$E$38)),0)</f>
        <v>0</v>
      </c>
      <c r="AH211" s="76">
        <f>AG211*Entradas!$E$99</f>
        <v>0</v>
      </c>
      <c r="AI211" s="76">
        <f>IF(Entradas!$E$91&gt;0,D211*Entradas!$D$23/Escenarios!$E$16,0)</f>
        <v>0</v>
      </c>
      <c r="AJ211" s="76">
        <f>IF(Entradas!$E$91&gt;0,Entradas!$D$24*Entradas!$D$22/Escenarios!$E$16,0)</f>
        <v>0</v>
      </c>
      <c r="AK211" s="76">
        <f t="shared" si="52"/>
        <v>1.4421656985808604</v>
      </c>
      <c r="AL211" s="76">
        <f t="shared" si="53"/>
        <v>0</v>
      </c>
      <c r="AM211" s="76">
        <f t="shared" si="44"/>
        <v>0</v>
      </c>
      <c r="AN211" s="76">
        <f>MAX(0,O211*Escenarios!$E$13/Escenarios!$E$16-AM211)</f>
        <v>0.14303878487712524</v>
      </c>
      <c r="AO211" s="76">
        <f>AM211+AN211-O211*Escenarios!$E$13/Escenarios!$E$16</f>
        <v>0</v>
      </c>
      <c r="AP211" s="76">
        <f t="shared" si="42"/>
        <v>0.40164484361709746</v>
      </c>
      <c r="AQ211" s="76">
        <f t="shared" si="45"/>
        <v>0</v>
      </c>
      <c r="AR211" s="76">
        <f t="shared" si="46"/>
        <v>0.54468362849422269</v>
      </c>
      <c r="AS211" s="76">
        <f t="shared" si="47"/>
        <v>0</v>
      </c>
      <c r="AT211" s="76">
        <f t="shared" si="48"/>
        <v>0</v>
      </c>
      <c r="AU211" s="76">
        <f t="shared" si="49"/>
        <v>48.75</v>
      </c>
      <c r="AV211" s="76">
        <f>MAX(0,(AU211-Constantes!$D$13)*(1-EXP(-Constantes!$D$24)))</f>
        <v>0</v>
      </c>
      <c r="AW211" s="170">
        <f>AW210+(Entradas!$E$112*AT211-AX210)/(800*Entradas!$D$25)</f>
        <v>0</v>
      </c>
      <c r="AX211" s="170">
        <f>8000*Entradas!$D$26*AW211/Constantes!$E$45</f>
        <v>0</v>
      </c>
      <c r="AY211" s="170">
        <f>IF(Escenarios!$E$17&gt;0,10*Escenarios!$E$16*AL211,0)</f>
        <v>0</v>
      </c>
      <c r="AZ211" s="170">
        <f>IF(Escenarios!$E$17&gt;0,10*Escenarios!$E$16*AX211,0)</f>
        <v>0</v>
      </c>
      <c r="BA211" s="170">
        <f>IF(Escenarios!$E$17&gt;0,0.001*Observaciones!$F210*Escenarios!$E$17,0)</f>
        <v>0</v>
      </c>
      <c r="BB211" s="170">
        <f>IF(Escenarios!$E$17&gt;0,Observaciones!$K210,0)</f>
        <v>0</v>
      </c>
      <c r="BC211" s="170">
        <f>IF(Escenarios!$E$17&gt;0,MIN(0.0005*ETo!$M210*Escenarios!$E$17*(BG210/Constantes!$E$40)^(2/3),BG210+AY211+AZ211+BA211+BB211),0)</f>
        <v>6.6536050633737709</v>
      </c>
      <c r="BD211" s="170">
        <f>IF(Escenarios!$E$17&gt;0,MIN(Constantes!$E$39*(BG210/Constantes!$E$40)^(2/3),BG210+AY211+AZ211+BA211+BB211-BC211),0)</f>
        <v>17.091515183733549</v>
      </c>
      <c r="BE211" s="170">
        <f>IF(Escenarios!$E$17&gt;0,MIN(Entradas!$E$113,BG210+AY211+AZ211+BA211+BB211-BC211-BD211),0)</f>
        <v>1</v>
      </c>
      <c r="BF211" s="170">
        <f>IF(Escenarios!$E$17&gt;0,MAX(0,BG210+AY211+AZ211+BA211+BB211-BC211-BD211-BE211-Constantes!$E$40),0)</f>
        <v>0</v>
      </c>
      <c r="BG211" s="170">
        <f t="shared" si="54"/>
        <v>633.5863378996703</v>
      </c>
      <c r="BH211" s="170">
        <f>(Escenarios!$E$16*AK211+0.1*BC211)/(Escenarios!$E$19)</f>
        <v>1.4333602585379066</v>
      </c>
      <c r="BI211" s="170">
        <f>IF(Escenarios!$E$17&gt;0,BF211/10/Escenarios!$E$19,AL211)</f>
        <v>0</v>
      </c>
      <c r="BJ211" s="170">
        <f>(Escenarios!$E$16*AT211+0.1*BD211)/(Escenarios!$E$19)</f>
        <v>6.7823472951323615E-3</v>
      </c>
      <c r="BK211" s="76">
        <f>BK210+(0.1*BD211)/(Escenarios!$E$19)-BL210</f>
        <v>50.014507636040321</v>
      </c>
      <c r="BL211" s="76">
        <f>MAX(0,(BK211-Constantes!$D$13)*(1-EXP(-Constantes!$D$23)))</f>
        <v>1.2459494920159157E-2</v>
      </c>
      <c r="BM211" s="76">
        <f t="shared" si="50"/>
        <v>0.41410433853725659</v>
      </c>
      <c r="BN211" s="76">
        <f t="shared" si="55"/>
        <v>0.55714312341438188</v>
      </c>
      <c r="BO211" s="76">
        <f>0.0526*BI211*Observaciones!$F210^1.218</f>
        <v>0</v>
      </c>
      <c r="BP211" s="76">
        <f>BO211*Constantes!$E$51</f>
        <v>0</v>
      </c>
      <c r="BQ211" s="76">
        <f t="shared" si="51"/>
        <v>0</v>
      </c>
      <c r="BR211" s="40"/>
    </row>
    <row r="212" spans="1:70">
      <c r="A212" s="147"/>
      <c r="B212" s="39"/>
      <c r="C212" s="75">
        <v>206</v>
      </c>
      <c r="D212" s="146">
        <f>ETo!$I211*((1-Constantes!$E$19)*ETo!$K211+ETo!$L211)</f>
        <v>2.7111653725755427</v>
      </c>
      <c r="E212" s="76">
        <f>MIN(D212*Constantes!$E$17,0.8*(N211+Observaciones!$F211-F212-M212-Constantes!$D$14))</f>
        <v>1.3255221333726757</v>
      </c>
      <c r="F212" s="76">
        <f>IF(Observaciones!$F211&gt;0.05*Constantes!$E$18,((Observaciones!$F211-0.05*Constantes!$E$18)^2)/(Observaciones!$F211+0.95*Constantes!$E$18),0)</f>
        <v>0</v>
      </c>
      <c r="G212" s="76">
        <f>IF(Escenarios!$E$11&gt;0,(F212*Escenarios!$E$16*10000)/1000,0)</f>
        <v>0</v>
      </c>
      <c r="H212" s="76">
        <f>IF(Escenarios!$E$11&gt;0,(Observaciones!$F211*Constantes!$E$29)/1000,0)</f>
        <v>0</v>
      </c>
      <c r="I212" s="76">
        <f>IF(Escenarios!$E$11&gt;0,(D212*Constantes!$E$29)/1000,0)</f>
        <v>27.111653725755428</v>
      </c>
      <c r="J212" s="76">
        <f>IF(Escenarios!$E$11&gt;0,MAX(0,G212+H212-I212),0)</f>
        <v>0</v>
      </c>
      <c r="K212" s="76">
        <f>IF(Escenarios!$E$11&gt;0,IF(J212&gt;Constantes!$E$30,1000*((J212-Constantes!$E$30)/(Escenarios!$E$16*10000)),0),F212)</f>
        <v>0</v>
      </c>
      <c r="L212" s="76">
        <f>IF(Escenarios!$E$11&gt;0,I212*1000/Escenarios!$E$16/10000+E212,E212)</f>
        <v>1.3363667948629778</v>
      </c>
      <c r="M212" s="76">
        <f>MAX(0,N211+Observaciones!$F211-K212-Constantes!$D$13)</f>
        <v>0</v>
      </c>
      <c r="N212" s="76">
        <f>N211+Observaciones!$F211-K212-L212-M212-O211</f>
        <v>14.522861186321201</v>
      </c>
      <c r="O212" s="76">
        <f>MAX(0,(N212-Constantes!$D$14)*(1-EXP(-Constantes!$D$22)))</f>
        <v>0.11148566692548501</v>
      </c>
      <c r="P212" s="170">
        <f>P211+(Entradas!$E$83*M212-Q211)/(800*Entradas!$D$25)</f>
        <v>0</v>
      </c>
      <c r="Q212" s="170">
        <f>8000*Entradas!$D$26*P212/Constantes!$E$45</f>
        <v>0</v>
      </c>
      <c r="R212" s="170">
        <f>IF(Escenarios!$E$14&gt;0,K212*Escenarios!$E$13/Escenarios!$E$14,0)</f>
        <v>0</v>
      </c>
      <c r="S212" s="170">
        <f>IF(Escenarios!$E$14&gt;0,Q212*Escenarios!$E$13/Escenarios!$E$14,0)</f>
        <v>0</v>
      </c>
      <c r="T212" s="170">
        <f>IF(Escenarios!$E$14&gt;0,Observaciones!$I211,0)</f>
        <v>0</v>
      </c>
      <c r="U212" s="170">
        <f>IF(Escenarios!$E$14&gt;0,MAX(0,Constantes!$E$36/((Z211+R212+S212+T212+Observaciones!$F211)^2)+Entradas!$E$77),0)</f>
        <v>0</v>
      </c>
      <c r="V212" s="146">
        <f>IF(ETo!D211&gt;0,ETo!I211*((1-Entradas!$E$81)*ETo!K211+ETo!L211),0)</f>
        <v>2.4457819953374944</v>
      </c>
      <c r="W212" s="170">
        <f>IF(Escenarios!$E$14&gt;0,MIN(V212*1,0.8*(Z211+R212+S212+T212+Observaciones!$F211-U212-Constantes!$E$35)),0)</f>
        <v>0.45307435396945267</v>
      </c>
      <c r="X212" s="170">
        <f>IF(Escenarios!$E$14&gt;0,Observaciones!$J211,0)</f>
        <v>0</v>
      </c>
      <c r="Y212" s="170">
        <f>IF(Escenarios!$E$14&gt;0,MAX(0,Z211+R212+S212+T212+Observaciones!$F211-U212-W212-X212-Constantes!$E$33),0)</f>
        <v>0</v>
      </c>
      <c r="Z212" s="170">
        <f>Z211+R212+S212+T212+Observaciones!$F211-U212-W212-Y212</f>
        <v>41.36326858849236</v>
      </c>
      <c r="AA212" s="170">
        <f>IF(Escenarios!$E$14&gt;0,(Escenarios!$E$13*L212+Escenarios!$E$14*W212)/(Escenarios!$E$16),L212)</f>
        <v>1.2303717019557547</v>
      </c>
      <c r="AB212" s="170">
        <f>IF(Escenarios!$E$14&gt;0,(Escenarios!$E$14*Y212)/(Escenarios!$E$16),K212)</f>
        <v>0</v>
      </c>
      <c r="AC212" s="170">
        <f>IF(Escenarios!$E$14&gt;0,(Escenarios!$E$13*M212+Escenarios!$E$14*U212)/(Escenarios!$E$16),M212)</f>
        <v>0</v>
      </c>
      <c r="AD212" s="76">
        <f t="shared" si="43"/>
        <v>89.111080690970837</v>
      </c>
      <c r="AE212" s="76">
        <f>MAX(0,(AD212-Constantes!$D$13)*(1-EXP(-Constantes!$D$23)))</f>
        <v>0.39768734130858968</v>
      </c>
      <c r="AF212" s="76">
        <f>AB212+O212*Escenarios!$E$13/Escenarios!$E$16+AE212</f>
        <v>0.49579472820301651</v>
      </c>
      <c r="AG212" s="76">
        <f>IF(Entradas!$E$91&gt;0,IF(AF212-Escenarios!$E$38&lt;=0,0,IF(AF212-Escenarios!$E$38&gt;Escenarios!$E$37,Escenarios!$E$37,AF212-Escenarios!$E$38)),0)</f>
        <v>0</v>
      </c>
      <c r="AH212" s="76">
        <f>AG212*Entradas!$E$99</f>
        <v>0</v>
      </c>
      <c r="AI212" s="76">
        <f>IF(Entradas!$E$91&gt;0,D212*Entradas!$D$23/Escenarios!$E$16,0)</f>
        <v>0</v>
      </c>
      <c r="AJ212" s="76">
        <f>IF(Entradas!$E$91&gt;0,Entradas!$D$24*Entradas!$D$22/Escenarios!$E$16,0)</f>
        <v>0</v>
      </c>
      <c r="AK212" s="76">
        <f t="shared" si="52"/>
        <v>1.2303717019557547</v>
      </c>
      <c r="AL212" s="76">
        <f t="shared" si="53"/>
        <v>0</v>
      </c>
      <c r="AM212" s="76">
        <f t="shared" si="44"/>
        <v>0</v>
      </c>
      <c r="AN212" s="76">
        <f>MAX(0,O212*Escenarios!$E$13/Escenarios!$E$16-AM212)</f>
        <v>9.8107386894426815E-2</v>
      </c>
      <c r="AO212" s="76">
        <f>AM212+AN212-O212*Escenarios!$E$13/Escenarios!$E$16</f>
        <v>0</v>
      </c>
      <c r="AP212" s="76">
        <f t="shared" si="42"/>
        <v>0.39768734130858968</v>
      </c>
      <c r="AQ212" s="76">
        <f t="shared" si="45"/>
        <v>0</v>
      </c>
      <c r="AR212" s="76">
        <f t="shared" si="46"/>
        <v>0.49579472820301651</v>
      </c>
      <c r="AS212" s="76">
        <f t="shared" si="47"/>
        <v>0</v>
      </c>
      <c r="AT212" s="76">
        <f t="shared" si="48"/>
        <v>0</v>
      </c>
      <c r="AU212" s="76">
        <f t="shared" si="49"/>
        <v>48.75</v>
      </c>
      <c r="AV212" s="76">
        <f>MAX(0,(AU212-Constantes!$D$13)*(1-EXP(-Constantes!$D$24)))</f>
        <v>0</v>
      </c>
      <c r="AW212" s="170">
        <f>AW211+(Entradas!$E$112*AT212-AX211)/(800*Entradas!$D$25)</f>
        <v>0</v>
      </c>
      <c r="AX212" s="170">
        <f>8000*Entradas!$D$26*AW212/Constantes!$E$45</f>
        <v>0</v>
      </c>
      <c r="AY212" s="170">
        <f>IF(Escenarios!$E$17&gt;0,10*Escenarios!$E$16*AL212,0)</f>
        <v>0</v>
      </c>
      <c r="AZ212" s="170">
        <f>IF(Escenarios!$E$17&gt;0,10*Escenarios!$E$16*AX212,0)</f>
        <v>0</v>
      </c>
      <c r="BA212" s="170">
        <f>IF(Escenarios!$E$17&gt;0,0.001*Observaciones!$F211*Escenarios!$E$17,0)</f>
        <v>0</v>
      </c>
      <c r="BB212" s="170">
        <f>IF(Escenarios!$E$17&gt;0,Observaciones!$K211,0)</f>
        <v>0</v>
      </c>
      <c r="BC212" s="170">
        <f>IF(Escenarios!$E$17&gt;0,MIN(0.0005*ETo!$M211*Escenarios!$E$17*(BG211/Constantes!$E$40)^(2/3),BG211+AY212+AZ212+BA212+BB212),0)</f>
        <v>6.5158255607457907</v>
      </c>
      <c r="BD212" s="170">
        <f>IF(Escenarios!$E$17&gt;0,MIN(Constantes!$E$39*(BG211/Constantes!$E$40)^(2/3),BG211+AY212+AZ212+BA212+BB212-BC212),0)</f>
        <v>16.660499925721638</v>
      </c>
      <c r="BE212" s="170">
        <f>IF(Escenarios!$E$17&gt;0,MIN(Entradas!$E$113,BG211+AY212+AZ212+BA212+BB212-BC212-BD212),0)</f>
        <v>1</v>
      </c>
      <c r="BF212" s="170">
        <f>IF(Escenarios!$E$17&gt;0,MAX(0,BG211+AY212+AZ212+BA212+BB212-BC212-BD212-BE212-Constantes!$E$40),0)</f>
        <v>0</v>
      </c>
      <c r="BG212" s="170">
        <f t="shared" si="54"/>
        <v>609.41001241320282</v>
      </c>
      <c r="BH212" s="170">
        <f>(Escenarios!$E$16*AK212+0.1*BC212)/(Escenarios!$E$19)</f>
        <v>1.2231924922421162</v>
      </c>
      <c r="BI212" s="170">
        <f>IF(Escenarios!$E$17&gt;0,BF212/10/Escenarios!$E$19,AL212)</f>
        <v>0</v>
      </c>
      <c r="BJ212" s="170">
        <f>(Escenarios!$E$16*AT212+0.1*BD212)/(Escenarios!$E$19)</f>
        <v>6.6113094943339836E-3</v>
      </c>
      <c r="BK212" s="76">
        <f>BK211+(0.1*BD212)/(Escenarios!$E$19)-BL211</f>
        <v>50.008659450614495</v>
      </c>
      <c r="BL212" s="76">
        <f>MAX(0,(BK212-Constantes!$D$13)*(1-EXP(-Constantes!$D$23)))</f>
        <v>1.2401871356229246E-2</v>
      </c>
      <c r="BM212" s="76">
        <f t="shared" si="50"/>
        <v>0.4100892126648189</v>
      </c>
      <c r="BN212" s="76">
        <f t="shared" si="55"/>
        <v>0.50819659955924579</v>
      </c>
      <c r="BO212" s="76">
        <f>0.0526*BI212*Observaciones!$F211^1.218</f>
        <v>0</v>
      </c>
      <c r="BP212" s="76">
        <f>BO212*Constantes!$E$51</f>
        <v>0</v>
      </c>
      <c r="BQ212" s="76">
        <f t="shared" si="51"/>
        <v>0</v>
      </c>
      <c r="BR212" s="40"/>
    </row>
    <row r="213" spans="1:70">
      <c r="A213" s="147"/>
      <c r="B213" s="39"/>
      <c r="C213" s="75">
        <v>207</v>
      </c>
      <c r="D213" s="146">
        <f>ETo!$I212*((1-Constantes!$E$19)*ETo!$K212+ETo!$L212)</f>
        <v>2.648754676261726</v>
      </c>
      <c r="E213" s="76">
        <f>MIN(D213*Constantes!$E$17,0.8*(N212+Observaciones!$F212-F213-M213-Constantes!$D$14))</f>
        <v>1.2950087754786952</v>
      </c>
      <c r="F213" s="76">
        <f>IF(Observaciones!$F212&gt;0.05*Constantes!$E$18,((Observaciones!$F212-0.05*Constantes!$E$18)^2)/(Observaciones!$F212+0.95*Constantes!$E$18),0)</f>
        <v>0</v>
      </c>
      <c r="G213" s="76">
        <f>IF(Escenarios!$E$11&gt;0,(F213*Escenarios!$E$16*10000)/1000,0)</f>
        <v>0</v>
      </c>
      <c r="H213" s="76">
        <f>IF(Escenarios!$E$11&gt;0,(Observaciones!$F212*Constantes!$E$29)/1000,0)</f>
        <v>0</v>
      </c>
      <c r="I213" s="76">
        <f>IF(Escenarios!$E$11&gt;0,(D213*Constantes!$E$29)/1000,0)</f>
        <v>26.48754676261726</v>
      </c>
      <c r="J213" s="76">
        <f>IF(Escenarios!$E$11&gt;0,MAX(0,G213+H213-I213),0)</f>
        <v>0</v>
      </c>
      <c r="K213" s="76">
        <f>IF(Escenarios!$E$11&gt;0,IF(J213&gt;Constantes!$E$30,1000*((J213-Constantes!$E$30)/(Escenarios!$E$16*10000)),0),F213)</f>
        <v>0</v>
      </c>
      <c r="L213" s="76">
        <f>IF(Escenarios!$E$11&gt;0,I213*1000/Escenarios!$E$16/10000+E213,E213)</f>
        <v>1.3056037941837422</v>
      </c>
      <c r="M213" s="76">
        <f>MAX(0,N212+Observaciones!$F212-K213-Constantes!$D$13)</f>
        <v>0</v>
      </c>
      <c r="N213" s="76">
        <f>N212+Observaciones!$F212-K213-L213-M213-O212</f>
        <v>13.105771725211973</v>
      </c>
      <c r="O213" s="76">
        <f>MAX(0,(N213-Constantes!$D$14)*(1-EXP(-Constantes!$D$22)))</f>
        <v>6.3214397638192463E-2</v>
      </c>
      <c r="P213" s="170">
        <f>P212+(Entradas!$E$83*M213-Q212)/(800*Entradas!$D$25)</f>
        <v>0</v>
      </c>
      <c r="Q213" s="170">
        <f>8000*Entradas!$D$26*P213/Constantes!$E$45</f>
        <v>0</v>
      </c>
      <c r="R213" s="170">
        <f>IF(Escenarios!$E$14&gt;0,K213*Escenarios!$E$13/Escenarios!$E$14,0)</f>
        <v>0</v>
      </c>
      <c r="S213" s="170">
        <f>IF(Escenarios!$E$14&gt;0,Q213*Escenarios!$E$13/Escenarios!$E$14,0)</f>
        <v>0</v>
      </c>
      <c r="T213" s="170">
        <f>IF(Escenarios!$E$14&gt;0,Observaciones!$I212,0)</f>
        <v>0</v>
      </c>
      <c r="U213" s="170">
        <f>IF(Escenarios!$E$14&gt;0,MAX(0,Constantes!$E$36/((Z212+R213+S213+T213+Observaciones!$F212)^2)+Entradas!$E$77),0)</f>
        <v>0</v>
      </c>
      <c r="V213" s="146">
        <f>IF(ETo!D212&gt;0,ETo!I212*((1-Entradas!$E$81)*ETo!K212+ETo!L212),0)</f>
        <v>2.389505672463013</v>
      </c>
      <c r="W213" s="170">
        <f>IF(Escenarios!$E$14&gt;0,MIN(V213*1,0.8*(Z212+R213+S213+T213+Observaciones!$F212-U213-Constantes!$E$35)),0)</f>
        <v>9.0614870793888261E-2</v>
      </c>
      <c r="X213" s="170">
        <f>IF(Escenarios!$E$14&gt;0,Observaciones!$J212,0)</f>
        <v>0</v>
      </c>
      <c r="Y213" s="170">
        <f>IF(Escenarios!$E$14&gt;0,MAX(0,Z212+R213+S213+T213+Observaciones!$F212-U213-W213-X213-Constantes!$E$33),0)</f>
        <v>0</v>
      </c>
      <c r="Z213" s="170">
        <f>Z212+R213+S213+T213+Observaciones!$F212-U213-W213-Y213</f>
        <v>41.272653717698475</v>
      </c>
      <c r="AA213" s="170">
        <f>IF(Escenarios!$E$14&gt;0,(Escenarios!$E$13*L213+Escenarios!$E$14*W213)/(Escenarios!$E$16),L213)</f>
        <v>1.1598051233769597</v>
      </c>
      <c r="AB213" s="170">
        <f>IF(Escenarios!$E$14&gt;0,(Escenarios!$E$14*Y213)/(Escenarios!$E$16),K213)</f>
        <v>0</v>
      </c>
      <c r="AC213" s="170">
        <f>IF(Escenarios!$E$14&gt;0,(Escenarios!$E$13*M213+Escenarios!$E$14*U213)/(Escenarios!$E$16),M213)</f>
        <v>0</v>
      </c>
      <c r="AD213" s="76">
        <f t="shared" si="43"/>
        <v>88.713393349662255</v>
      </c>
      <c r="AE213" s="76">
        <f>MAX(0,(AD213-Constantes!$D$13)*(1-EXP(-Constantes!$D$23)))</f>
        <v>0.39376883321293127</v>
      </c>
      <c r="AF213" s="76">
        <f>AB213+O213*Escenarios!$E$13/Escenarios!$E$16+AE213</f>
        <v>0.44939750313454063</v>
      </c>
      <c r="AG213" s="76">
        <f>IF(Entradas!$E$91&gt;0,IF(AF213-Escenarios!$E$38&lt;=0,0,IF(AF213-Escenarios!$E$38&gt;Escenarios!$E$37,Escenarios!$E$37,AF213-Escenarios!$E$38)),0)</f>
        <v>0</v>
      </c>
      <c r="AH213" s="76">
        <f>AG213*Entradas!$E$99</f>
        <v>0</v>
      </c>
      <c r="AI213" s="76">
        <f>IF(Entradas!$E$91&gt;0,D213*Entradas!$D$23/Escenarios!$E$16,0)</f>
        <v>0</v>
      </c>
      <c r="AJ213" s="76">
        <f>IF(Entradas!$E$91&gt;0,Entradas!$D$24*Entradas!$D$22/Escenarios!$E$16,0)</f>
        <v>0</v>
      </c>
      <c r="AK213" s="76">
        <f t="shared" si="52"/>
        <v>1.1598051233769597</v>
      </c>
      <c r="AL213" s="76">
        <f t="shared" si="53"/>
        <v>0</v>
      </c>
      <c r="AM213" s="76">
        <f t="shared" si="44"/>
        <v>0</v>
      </c>
      <c r="AN213" s="76">
        <f>MAX(0,O213*Escenarios!$E$13/Escenarios!$E$16-AM213)</f>
        <v>5.5628669921609364E-2</v>
      </c>
      <c r="AO213" s="76">
        <f>AM213+AN213-O213*Escenarios!$E$13/Escenarios!$E$16</f>
        <v>0</v>
      </c>
      <c r="AP213" s="76">
        <f t="shared" si="42"/>
        <v>0.39376883321293127</v>
      </c>
      <c r="AQ213" s="76">
        <f t="shared" si="45"/>
        <v>0</v>
      </c>
      <c r="AR213" s="76">
        <f t="shared" si="46"/>
        <v>0.44939750313454063</v>
      </c>
      <c r="AS213" s="76">
        <f t="shared" si="47"/>
        <v>0</v>
      </c>
      <c r="AT213" s="76">
        <f t="shared" si="48"/>
        <v>0</v>
      </c>
      <c r="AU213" s="76">
        <f t="shared" si="49"/>
        <v>48.75</v>
      </c>
      <c r="AV213" s="76">
        <f>MAX(0,(AU213-Constantes!$D$13)*(1-EXP(-Constantes!$D$24)))</f>
        <v>0</v>
      </c>
      <c r="AW213" s="170">
        <f>AW212+(Entradas!$E$112*AT213-AX212)/(800*Entradas!$D$25)</f>
        <v>0</v>
      </c>
      <c r="AX213" s="170">
        <f>8000*Entradas!$D$26*AW213/Constantes!$E$45</f>
        <v>0</v>
      </c>
      <c r="AY213" s="170">
        <f>IF(Escenarios!$E$17&gt;0,10*Escenarios!$E$16*AL213,0)</f>
        <v>0</v>
      </c>
      <c r="AZ213" s="170">
        <f>IF(Escenarios!$E$17&gt;0,10*Escenarios!$E$16*AX213,0)</f>
        <v>0</v>
      </c>
      <c r="BA213" s="170">
        <f>IF(Escenarios!$E$17&gt;0,0.001*Observaciones!$F212*Escenarios!$E$17,0)</f>
        <v>0</v>
      </c>
      <c r="BB213" s="170">
        <f>IF(Escenarios!$E$17&gt;0,Observaciones!$K212,0)</f>
        <v>0</v>
      </c>
      <c r="BC213" s="170">
        <f>IF(Escenarios!$E$17&gt;0,MIN(0.0005*ETo!$M212*Escenarios!$E$17*(BG212/Constantes!$E$40)^(2/3),BG212+AY213+AZ213+BA213+BB213),0)</f>
        <v>6.2027657313995501</v>
      </c>
      <c r="BD213" s="170">
        <f>IF(Escenarios!$E$17&gt;0,MIN(Constantes!$E$39*(BG212/Constantes!$E$40)^(2/3),BG212+AY213+AZ213+BA213+BB213-BC213),0)</f>
        <v>16.233938007923872</v>
      </c>
      <c r="BE213" s="170">
        <f>IF(Escenarios!$E$17&gt;0,MIN(Entradas!$E$113,BG212+AY213+AZ213+BA213+BB213-BC213-BD213),0)</f>
        <v>1</v>
      </c>
      <c r="BF213" s="170">
        <f>IF(Escenarios!$E$17&gt;0,MAX(0,BG212+AY213+AZ213+BA213+BB213-BC213-BD213-BE213-Constantes!$E$40),0)</f>
        <v>0</v>
      </c>
      <c r="BG213" s="170">
        <f t="shared" si="54"/>
        <v>585.9733086738795</v>
      </c>
      <c r="BH213" s="170">
        <f>(Escenarios!$E$16*AK213+0.1*BC213)/(Escenarios!$E$19)</f>
        <v>1.1530617357832535</v>
      </c>
      <c r="BI213" s="170">
        <f>IF(Escenarios!$E$17&gt;0,BF213/10/Escenarios!$E$19,AL213)</f>
        <v>0</v>
      </c>
      <c r="BJ213" s="170">
        <f>(Escenarios!$E$16*AT213+0.1*BD213)/(Escenarios!$E$19)</f>
        <v>6.4420388920332821E-3</v>
      </c>
      <c r="BK213" s="76">
        <f>BK212+(0.1*BD213)/(Escenarios!$E$19)-BL212</f>
        <v>50.002699618150295</v>
      </c>
      <c r="BL213" s="76">
        <f>MAX(0,(BK213-Constantes!$D$13)*(1-EXP(-Constantes!$D$23)))</f>
        <v>1.2343147707437989E-2</v>
      </c>
      <c r="BM213" s="76">
        <f t="shared" si="50"/>
        <v>0.40611198092036926</v>
      </c>
      <c r="BN213" s="76">
        <f t="shared" si="55"/>
        <v>0.46174065084197863</v>
      </c>
      <c r="BO213" s="76">
        <f>0.0526*BI213*Observaciones!$F212^1.218</f>
        <v>0</v>
      </c>
      <c r="BP213" s="76">
        <f>BO213*Constantes!$E$51</f>
        <v>0</v>
      </c>
      <c r="BQ213" s="76">
        <f t="shared" si="51"/>
        <v>0</v>
      </c>
      <c r="BR213" s="40"/>
    </row>
    <row r="214" spans="1:70">
      <c r="A214" s="147"/>
      <c r="B214" s="39"/>
      <c r="C214" s="75">
        <v>208</v>
      </c>
      <c r="D214" s="146">
        <f>ETo!$I213*((1-Constantes!$E$19)*ETo!$K213+ETo!$L213)</f>
        <v>2.6557493575764024</v>
      </c>
      <c r="E214" s="76">
        <f>MIN(D214*Constantes!$E$17,0.8*(N213+Observaciones!$F213-F214-M214-Constantes!$D$14))</f>
        <v>1.2984285612993161</v>
      </c>
      <c r="F214" s="76">
        <f>IF(Observaciones!$F213&gt;0.05*Constantes!$E$18,((Observaciones!$F213-0.05*Constantes!$E$18)^2)/(Observaciones!$F213+0.95*Constantes!$E$18),0)</f>
        <v>0</v>
      </c>
      <c r="G214" s="76">
        <f>IF(Escenarios!$E$11&gt;0,(F214*Escenarios!$E$16*10000)/1000,0)</f>
        <v>0</v>
      </c>
      <c r="H214" s="76">
        <f>IF(Escenarios!$E$11&gt;0,(Observaciones!$F213*Constantes!$E$29)/1000,0)</f>
        <v>0</v>
      </c>
      <c r="I214" s="76">
        <f>IF(Escenarios!$E$11&gt;0,(D214*Constantes!$E$29)/1000,0)</f>
        <v>26.557493575764024</v>
      </c>
      <c r="J214" s="76">
        <f>IF(Escenarios!$E$11&gt;0,MAX(0,G214+H214-I214),0)</f>
        <v>0</v>
      </c>
      <c r="K214" s="76">
        <f>IF(Escenarios!$E$11&gt;0,IF(J214&gt;Constantes!$E$30,1000*((J214-Constantes!$E$30)/(Escenarios!$E$16*10000)),0),F214)</f>
        <v>0</v>
      </c>
      <c r="L214" s="76">
        <f>IF(Escenarios!$E$11&gt;0,I214*1000/Escenarios!$E$16/10000+E214,E214)</f>
        <v>1.3090515587296216</v>
      </c>
      <c r="M214" s="76">
        <f>MAX(0,N213+Observaciones!$F213-K214-Constantes!$D$13)</f>
        <v>0</v>
      </c>
      <c r="N214" s="76">
        <f>N213+Observaciones!$F213-K214-L214-M214-O213</f>
        <v>11.733505768844159</v>
      </c>
      <c r="O214" s="76">
        <f>MAX(0,(N214-Constantes!$D$14)*(1-EXP(-Constantes!$D$22)))</f>
        <v>1.6469981472847072E-2</v>
      </c>
      <c r="P214" s="170">
        <f>P213+(Entradas!$E$83*M214-Q213)/(800*Entradas!$D$25)</f>
        <v>0</v>
      </c>
      <c r="Q214" s="170">
        <f>8000*Entradas!$D$26*P214/Constantes!$E$45</f>
        <v>0</v>
      </c>
      <c r="R214" s="170">
        <f>IF(Escenarios!$E$14&gt;0,K214*Escenarios!$E$13/Escenarios!$E$14,0)</f>
        <v>0</v>
      </c>
      <c r="S214" s="170">
        <f>IF(Escenarios!$E$14&gt;0,Q214*Escenarios!$E$13/Escenarios!$E$14,0)</f>
        <v>0</v>
      </c>
      <c r="T214" s="170">
        <f>IF(Escenarios!$E$14&gt;0,Observaciones!$I213,0)</f>
        <v>0</v>
      </c>
      <c r="U214" s="170">
        <f>IF(Escenarios!$E$14&gt;0,MAX(0,Constantes!$E$36/((Z213+R214+S214+T214+Observaciones!$F213)^2)+Entradas!$E$77),0)</f>
        <v>0</v>
      </c>
      <c r="V214" s="146">
        <f>IF(ETo!D213&gt;0,ETo!I213*((1-Entradas!$E$81)*ETo!K213+ETo!L213),0)</f>
        <v>2.3962447740621395</v>
      </c>
      <c r="W214" s="170">
        <f>IF(Escenarios!$E$14&gt;0,MIN(V214*1,0.8*(Z213+R214+S214+T214+Observaciones!$F213-U214-Constantes!$E$35)),0)</f>
        <v>1.8122974158779927E-2</v>
      </c>
      <c r="X214" s="170">
        <f>IF(Escenarios!$E$14&gt;0,Observaciones!$J213,0)</f>
        <v>0</v>
      </c>
      <c r="Y214" s="170">
        <f>IF(Escenarios!$E$14&gt;0,MAX(0,Z213+R214+S214+T214+Observaciones!$F213-U214-W214-X214-Constantes!$E$33),0)</f>
        <v>0</v>
      </c>
      <c r="Z214" s="170">
        <f>Z213+R214+S214+T214+Observaciones!$F213-U214-W214-Y214</f>
        <v>41.254530743539696</v>
      </c>
      <c r="AA214" s="170">
        <f>IF(Escenarios!$E$14&gt;0,(Escenarios!$E$13*L214+Escenarios!$E$14*W214)/(Escenarios!$E$16),L214)</f>
        <v>1.1541401285811208</v>
      </c>
      <c r="AB214" s="170">
        <f>IF(Escenarios!$E$14&gt;0,(Escenarios!$E$14*Y214)/(Escenarios!$E$16),K214)</f>
        <v>0</v>
      </c>
      <c r="AC214" s="170">
        <f>IF(Escenarios!$E$14&gt;0,(Escenarios!$E$13*M214+Escenarios!$E$14*U214)/(Escenarios!$E$16),M214)</f>
        <v>0</v>
      </c>
      <c r="AD214" s="76">
        <f t="shared" si="43"/>
        <v>88.319624516449323</v>
      </c>
      <c r="AE214" s="76">
        <f>MAX(0,(AD214-Constantes!$D$13)*(1-EXP(-Constantes!$D$23)))</f>
        <v>0.38988893511085521</v>
      </c>
      <c r="AF214" s="76">
        <f>AB214+O214*Escenarios!$E$13/Escenarios!$E$16+AE214</f>
        <v>0.40438251880696063</v>
      </c>
      <c r="AG214" s="76">
        <f>IF(Entradas!$E$91&gt;0,IF(AF214-Escenarios!$E$38&lt;=0,0,IF(AF214-Escenarios!$E$38&gt;Escenarios!$E$37,Escenarios!$E$37,AF214-Escenarios!$E$38)),0)</f>
        <v>0</v>
      </c>
      <c r="AH214" s="76">
        <f>AG214*Entradas!$E$99</f>
        <v>0</v>
      </c>
      <c r="AI214" s="76">
        <f>IF(Entradas!$E$91&gt;0,D214*Entradas!$D$23/Escenarios!$E$16,0)</f>
        <v>0</v>
      </c>
      <c r="AJ214" s="76">
        <f>IF(Entradas!$E$91&gt;0,Entradas!$D$24*Entradas!$D$22/Escenarios!$E$16,0)</f>
        <v>0</v>
      </c>
      <c r="AK214" s="76">
        <f t="shared" si="52"/>
        <v>1.1541401285811208</v>
      </c>
      <c r="AL214" s="76">
        <f t="shared" si="53"/>
        <v>0</v>
      </c>
      <c r="AM214" s="76">
        <f t="shared" si="44"/>
        <v>0</v>
      </c>
      <c r="AN214" s="76">
        <f>MAX(0,O214*Escenarios!$E$13/Escenarios!$E$16-AM214)</f>
        <v>1.4493583696105422E-2</v>
      </c>
      <c r="AO214" s="76">
        <f>AM214+AN214-O214*Escenarios!$E$13/Escenarios!$E$16</f>
        <v>0</v>
      </c>
      <c r="AP214" s="76">
        <f t="shared" si="42"/>
        <v>0.38988893511085521</v>
      </c>
      <c r="AQ214" s="76">
        <f t="shared" si="45"/>
        <v>0</v>
      </c>
      <c r="AR214" s="76">
        <f t="shared" si="46"/>
        <v>0.40438251880696063</v>
      </c>
      <c r="AS214" s="76">
        <f t="shared" si="47"/>
        <v>0</v>
      </c>
      <c r="AT214" s="76">
        <f t="shared" si="48"/>
        <v>0</v>
      </c>
      <c r="AU214" s="76">
        <f t="shared" si="49"/>
        <v>48.75</v>
      </c>
      <c r="AV214" s="76">
        <f>MAX(0,(AU214-Constantes!$D$13)*(1-EXP(-Constantes!$D$24)))</f>
        <v>0</v>
      </c>
      <c r="AW214" s="170">
        <f>AW213+(Entradas!$E$112*AT214-AX213)/(800*Entradas!$D$25)</f>
        <v>0</v>
      </c>
      <c r="AX214" s="170">
        <f>8000*Entradas!$D$26*AW214/Constantes!$E$45</f>
        <v>0</v>
      </c>
      <c r="AY214" s="170">
        <f>IF(Escenarios!$E$17&gt;0,10*Escenarios!$E$16*AL214,0)</f>
        <v>0</v>
      </c>
      <c r="AZ214" s="170">
        <f>IF(Escenarios!$E$17&gt;0,10*Escenarios!$E$16*AX214,0)</f>
        <v>0</v>
      </c>
      <c r="BA214" s="170">
        <f>IF(Escenarios!$E$17&gt;0,0.001*Observaciones!$F213*Escenarios!$E$17,0)</f>
        <v>0</v>
      </c>
      <c r="BB214" s="170">
        <f>IF(Escenarios!$E$17&gt;0,Observaciones!$K213,0)</f>
        <v>0</v>
      </c>
      <c r="BC214" s="170">
        <f>IF(Escenarios!$E$17&gt;0,MIN(0.0005*ETo!$M213*Escenarios!$E$17*(BG213/Constantes!$E$40)^(2/3),BG213+AY214+AZ214+BA214+BB214),0)</f>
        <v>6.057320479525595</v>
      </c>
      <c r="BD214" s="170">
        <f>IF(Escenarios!$E$17&gt;0,MIN(Constantes!$E$39*(BG213/Constantes!$E$40)^(2/3),BG213+AY214+AZ214+BA214+BB214-BC214),0)</f>
        <v>15.815006781557294</v>
      </c>
      <c r="BE214" s="170">
        <f>IF(Escenarios!$E$17&gt;0,MIN(Entradas!$E$113,BG213+AY214+AZ214+BA214+BB214-BC214-BD214),0)</f>
        <v>1</v>
      </c>
      <c r="BF214" s="170">
        <f>IF(Escenarios!$E$17&gt;0,MAX(0,BG213+AY214+AZ214+BA214+BB214-BC214-BD214-BE214-Constantes!$E$40),0)</f>
        <v>0</v>
      </c>
      <c r="BG214" s="170">
        <f t="shared" si="54"/>
        <v>563.10098141279661</v>
      </c>
      <c r="BH214" s="170">
        <f>(Escenarios!$E$16*AK214+0.1*BC214)/(Escenarios!$E$19)</f>
        <v>1.1473839848937808</v>
      </c>
      <c r="BI214" s="170">
        <f>IF(Escenarios!$E$17&gt;0,BF214/10/Escenarios!$E$19,AL214)</f>
        <v>0</v>
      </c>
      <c r="BJ214" s="170">
        <f>(Escenarios!$E$16*AT214+0.1*BD214)/(Escenarios!$E$19)</f>
        <v>6.2757963418878151E-3</v>
      </c>
      <c r="BK214" s="76">
        <f>BK213+(0.1*BD214)/(Escenarios!$E$19)-BL213</f>
        <v>49.996632266784744</v>
      </c>
      <c r="BL214" s="76">
        <f>MAX(0,(BK214-Constantes!$D$13)*(1-EXP(-Constantes!$D$23)))</f>
        <v>1.2283364649302703E-2</v>
      </c>
      <c r="BM214" s="76">
        <f t="shared" si="50"/>
        <v>0.40217229976015789</v>
      </c>
      <c r="BN214" s="76">
        <f t="shared" si="55"/>
        <v>0.41666588345626332</v>
      </c>
      <c r="BO214" s="76">
        <f>0.0526*BI214*Observaciones!$F213^1.218</f>
        <v>0</v>
      </c>
      <c r="BP214" s="76">
        <f>BO214*Constantes!$E$51</f>
        <v>0</v>
      </c>
      <c r="BQ214" s="76">
        <f t="shared" si="51"/>
        <v>0</v>
      </c>
      <c r="BR214" s="40"/>
    </row>
    <row r="215" spans="1:70">
      <c r="A215" s="147"/>
      <c r="B215" s="39"/>
      <c r="C215" s="75">
        <v>209</v>
      </c>
      <c r="D215" s="146">
        <f>ETo!$I214*((1-Constantes!$E$19)*ETo!$K214+ETo!$L214)</f>
        <v>2.7042933719393716</v>
      </c>
      <c r="E215" s="76">
        <f>MIN(D215*Constantes!$E$17,0.8*(N214+Observaciones!$F214-F215-M215-Constantes!$D$14))</f>
        <v>0.38680461507532726</v>
      </c>
      <c r="F215" s="76">
        <f>IF(Observaciones!$F214&gt;0.05*Constantes!$E$18,((Observaciones!$F214-0.05*Constantes!$E$18)^2)/(Observaciones!$F214+0.95*Constantes!$E$18),0)</f>
        <v>0</v>
      </c>
      <c r="G215" s="76">
        <f>IF(Escenarios!$E$11&gt;0,(F215*Escenarios!$E$16*10000)/1000,0)</f>
        <v>0</v>
      </c>
      <c r="H215" s="76">
        <f>IF(Escenarios!$E$11&gt;0,(Observaciones!$F214*Constantes!$E$29)/1000,0)</f>
        <v>0</v>
      </c>
      <c r="I215" s="76">
        <f>IF(Escenarios!$E$11&gt;0,(D215*Constantes!$E$29)/1000,0)</f>
        <v>27.042933719393716</v>
      </c>
      <c r="J215" s="76">
        <f>IF(Escenarios!$E$11&gt;0,MAX(0,G215+H215-I215),0)</f>
        <v>0</v>
      </c>
      <c r="K215" s="76">
        <f>IF(Escenarios!$E$11&gt;0,IF(J215&gt;Constantes!$E$30,1000*((J215-Constantes!$E$30)/(Escenarios!$E$16*10000)),0),F215)</f>
        <v>0</v>
      </c>
      <c r="L215" s="76">
        <f>IF(Escenarios!$E$11&gt;0,I215*1000/Escenarios!$E$16/10000+E215,E215)</f>
        <v>0.39762178856308472</v>
      </c>
      <c r="M215" s="76">
        <f>MAX(0,N214+Observaciones!$F214-K215-Constantes!$D$13)</f>
        <v>0</v>
      </c>
      <c r="N215" s="76">
        <f>N214+Observaciones!$F214-K215-L215-M215-O214</f>
        <v>11.319413998808228</v>
      </c>
      <c r="O215" s="76">
        <f>MAX(0,(N215-Constantes!$D$14)*(1-EXP(-Constantes!$D$22)))</f>
        <v>2.3644956234146405E-3</v>
      </c>
      <c r="P215" s="170">
        <f>P214+(Entradas!$E$83*M215-Q214)/(800*Entradas!$D$25)</f>
        <v>0</v>
      </c>
      <c r="Q215" s="170">
        <f>8000*Entradas!$D$26*P215/Constantes!$E$45</f>
        <v>0</v>
      </c>
      <c r="R215" s="170">
        <f>IF(Escenarios!$E$14&gt;0,K215*Escenarios!$E$13/Escenarios!$E$14,0)</f>
        <v>0</v>
      </c>
      <c r="S215" s="170">
        <f>IF(Escenarios!$E$14&gt;0,Q215*Escenarios!$E$13/Escenarios!$E$14,0)</f>
        <v>0</v>
      </c>
      <c r="T215" s="170">
        <f>IF(Escenarios!$E$14&gt;0,Observaciones!$I214,0)</f>
        <v>0</v>
      </c>
      <c r="U215" s="170">
        <f>IF(Escenarios!$E$14&gt;0,MAX(0,Constantes!$E$36/((Z214+R215+S215+T215+Observaciones!$F214)^2)+Entradas!$E$77),0)</f>
        <v>0</v>
      </c>
      <c r="V215" s="146">
        <f>IF(ETo!D214&gt;0,ETo!I214*((1-Entradas!$E$81)*ETo!K214+ETo!L214),0)</f>
        <v>2.4406724717295605</v>
      </c>
      <c r="W215" s="170">
        <f>IF(Escenarios!$E$14&gt;0,MIN(V215*1,0.8*(Z214+R215+S215+T215+Observaciones!$F214-U215-Constantes!$E$35)),0)</f>
        <v>3.624594831757122E-3</v>
      </c>
      <c r="X215" s="170">
        <f>IF(Escenarios!$E$14&gt;0,Observaciones!$J214,0)</f>
        <v>0</v>
      </c>
      <c r="Y215" s="170">
        <f>IF(Escenarios!$E$14&gt;0,MAX(0,Z214+R215+S215+T215+Observaciones!$F214-U215-W215-X215-Constantes!$E$33),0)</f>
        <v>0</v>
      </c>
      <c r="Z215" s="170">
        <f>Z214+R215+S215+T215+Observaciones!$F214-U215-W215-Y215</f>
        <v>41.250906148707941</v>
      </c>
      <c r="AA215" s="170">
        <f>IF(Escenarios!$E$14&gt;0,(Escenarios!$E$13*L215+Escenarios!$E$14*W215)/(Escenarios!$E$16),L215)</f>
        <v>0.35034212531532538</v>
      </c>
      <c r="AB215" s="170">
        <f>IF(Escenarios!$E$14&gt;0,(Escenarios!$E$14*Y215)/(Escenarios!$E$16),K215)</f>
        <v>0</v>
      </c>
      <c r="AC215" s="170">
        <f>IF(Escenarios!$E$14&gt;0,(Escenarios!$E$13*M215+Escenarios!$E$14*U215)/(Escenarios!$E$16),M215)</f>
        <v>0</v>
      </c>
      <c r="AD215" s="76">
        <f t="shared" si="43"/>
        <v>87.929735581338463</v>
      </c>
      <c r="AE215" s="76">
        <f>MAX(0,(AD215-Constantes!$D$13)*(1-EXP(-Constantes!$D$23)))</f>
        <v>0.38604726656889859</v>
      </c>
      <c r="AF215" s="76">
        <f>AB215+O215*Escenarios!$E$13/Escenarios!$E$16+AE215</f>
        <v>0.38812802271750346</v>
      </c>
      <c r="AG215" s="76">
        <f>IF(Entradas!$E$91&gt;0,IF(AF215-Escenarios!$E$38&lt;=0,0,IF(AF215-Escenarios!$E$38&gt;Escenarios!$E$37,Escenarios!$E$37,AF215-Escenarios!$E$38)),0)</f>
        <v>0</v>
      </c>
      <c r="AH215" s="76">
        <f>AG215*Entradas!$E$99</f>
        <v>0</v>
      </c>
      <c r="AI215" s="76">
        <f>IF(Entradas!$E$91&gt;0,D215*Entradas!$D$23/Escenarios!$E$16,0)</f>
        <v>0</v>
      </c>
      <c r="AJ215" s="76">
        <f>IF(Entradas!$E$91&gt;0,Entradas!$D$24*Entradas!$D$22/Escenarios!$E$16,0)</f>
        <v>0</v>
      </c>
      <c r="AK215" s="76">
        <f t="shared" si="52"/>
        <v>0.35034212531532538</v>
      </c>
      <c r="AL215" s="76">
        <f t="shared" si="53"/>
        <v>0</v>
      </c>
      <c r="AM215" s="76">
        <f t="shared" si="44"/>
        <v>0</v>
      </c>
      <c r="AN215" s="76">
        <f>MAX(0,O215*Escenarios!$E$13/Escenarios!$E$16-AM215)</f>
        <v>2.0807561486048836E-3</v>
      </c>
      <c r="AO215" s="76">
        <f>AM215+AN215-O215*Escenarios!$E$13/Escenarios!$E$16</f>
        <v>0</v>
      </c>
      <c r="AP215" s="76">
        <f t="shared" si="42"/>
        <v>0.38604726656889859</v>
      </c>
      <c r="AQ215" s="76">
        <f t="shared" si="45"/>
        <v>0</v>
      </c>
      <c r="AR215" s="76">
        <f t="shared" si="46"/>
        <v>0.38812802271750346</v>
      </c>
      <c r="AS215" s="76">
        <f t="shared" si="47"/>
        <v>0</v>
      </c>
      <c r="AT215" s="76">
        <f t="shared" si="48"/>
        <v>0</v>
      </c>
      <c r="AU215" s="76">
        <f t="shared" si="49"/>
        <v>48.75</v>
      </c>
      <c r="AV215" s="76">
        <f>MAX(0,(AU215-Constantes!$D$13)*(1-EXP(-Constantes!$D$24)))</f>
        <v>0</v>
      </c>
      <c r="AW215" s="170">
        <f>AW214+(Entradas!$E$112*AT215-AX214)/(800*Entradas!$D$25)</f>
        <v>0</v>
      </c>
      <c r="AX215" s="170">
        <f>8000*Entradas!$D$26*AW215/Constantes!$E$45</f>
        <v>0</v>
      </c>
      <c r="AY215" s="170">
        <f>IF(Escenarios!$E$17&gt;0,10*Escenarios!$E$16*AL215,0)</f>
        <v>0</v>
      </c>
      <c r="AZ215" s="170">
        <f>IF(Escenarios!$E$17&gt;0,10*Escenarios!$E$16*AX215,0)</f>
        <v>0</v>
      </c>
      <c r="BA215" s="170">
        <f>IF(Escenarios!$E$17&gt;0,0.001*Observaciones!$F214*Escenarios!$E$17,0)</f>
        <v>0</v>
      </c>
      <c r="BB215" s="170">
        <f>IF(Escenarios!$E$17&gt;0,Observaciones!$K214,0)</f>
        <v>0</v>
      </c>
      <c r="BC215" s="170">
        <f>IF(Escenarios!$E$17&gt;0,MIN(0.0005*ETo!$M214*Escenarios!$E$17*(BG214/Constantes!$E$40)^(2/3),BG214+AY215+AZ215+BA215+BB215),0)</f>
        <v>6.0045738884114375</v>
      </c>
      <c r="BD215" s="170">
        <f>IF(Escenarios!$E$17&gt;0,MIN(Constantes!$E$39*(BG214/Constantes!$E$40)^(2/3),BG214+AY215+AZ215+BA215+BB215-BC215),0)</f>
        <v>15.400743315850375</v>
      </c>
      <c r="BE215" s="170">
        <f>IF(Escenarios!$E$17&gt;0,MIN(Entradas!$E$113,BG214+AY215+AZ215+BA215+BB215-BC215-BD215),0)</f>
        <v>1</v>
      </c>
      <c r="BF215" s="170">
        <f>IF(Escenarios!$E$17&gt;0,MAX(0,BG214+AY215+AZ215+BA215+BB215-BC215-BD215-BE215-Constantes!$E$40),0)</f>
        <v>0</v>
      </c>
      <c r="BG215" s="170">
        <f t="shared" si="54"/>
        <v>540.69566420853482</v>
      </c>
      <c r="BH215" s="170">
        <f>(Escenarios!$E$16*AK215+0.1*BC215)/(Escenarios!$E$19)</f>
        <v>0.3499443996733036</v>
      </c>
      <c r="BI215" s="170">
        <f>IF(Escenarios!$E$17&gt;0,BF215/10/Escenarios!$E$19,AL215)</f>
        <v>0</v>
      </c>
      <c r="BJ215" s="170">
        <f>(Escenarios!$E$16*AT215+0.1*BD215)/(Escenarios!$E$19)</f>
        <v>6.1114060777184035E-3</v>
      </c>
      <c r="BK215" s="76">
        <f>BK214+(0.1*BD215)/(Escenarios!$E$19)-BL214</f>
        <v>49.990460308213166</v>
      </c>
      <c r="BL215" s="76">
        <f>MAX(0,(BK215-Constantes!$D$13)*(1-EXP(-Constantes!$D$23)))</f>
        <v>1.2222550871450947E-2</v>
      </c>
      <c r="BM215" s="76">
        <f t="shared" si="50"/>
        <v>0.39826981744034956</v>
      </c>
      <c r="BN215" s="76">
        <f t="shared" si="55"/>
        <v>0.40035057358895443</v>
      </c>
      <c r="BO215" s="76">
        <f>0.0526*BI215*Observaciones!$F214^1.218</f>
        <v>0</v>
      </c>
      <c r="BP215" s="76">
        <f>BO215*Constantes!$E$51</f>
        <v>0</v>
      </c>
      <c r="BQ215" s="76">
        <f t="shared" si="51"/>
        <v>0</v>
      </c>
      <c r="BR215" s="40"/>
    </row>
    <row r="216" spans="1:70">
      <c r="A216" s="147"/>
      <c r="B216" s="39"/>
      <c r="C216" s="75">
        <v>210</v>
      </c>
      <c r="D216" s="146">
        <f>ETo!$I215*((1-Constantes!$E$19)*ETo!$K215+ETo!$L215)</f>
        <v>2.7342955320210103</v>
      </c>
      <c r="E216" s="76">
        <f>MIN(D216*Constantes!$E$17,0.8*(N215+Observaciones!$F215-F216-M216-Constantes!$D$14))</f>
        <v>5.5531199046582463E-2</v>
      </c>
      <c r="F216" s="76">
        <f>IF(Observaciones!$F215&gt;0.05*Constantes!$E$18,((Observaciones!$F215-0.05*Constantes!$E$18)^2)/(Observaciones!$F215+0.95*Constantes!$E$18),0)</f>
        <v>0</v>
      </c>
      <c r="G216" s="76">
        <f>IF(Escenarios!$E$11&gt;0,(F216*Escenarios!$E$16*10000)/1000,0)</f>
        <v>0</v>
      </c>
      <c r="H216" s="76">
        <f>IF(Escenarios!$E$11&gt;0,(Observaciones!$F215*Constantes!$E$29)/1000,0)</f>
        <v>0</v>
      </c>
      <c r="I216" s="76">
        <f>IF(Escenarios!$E$11&gt;0,(D216*Constantes!$E$29)/1000,0)</f>
        <v>27.342955320210102</v>
      </c>
      <c r="J216" s="76">
        <f>IF(Escenarios!$E$11&gt;0,MAX(0,G216+H216-I216),0)</f>
        <v>0</v>
      </c>
      <c r="K216" s="76">
        <f>IF(Escenarios!$E$11&gt;0,IF(J216&gt;Constantes!$E$30,1000*((J216-Constantes!$E$30)/(Escenarios!$E$16*10000)),0),F216)</f>
        <v>0</v>
      </c>
      <c r="L216" s="76">
        <f>IF(Escenarios!$E$11&gt;0,I216*1000/Escenarios!$E$16/10000+E216,E216)</f>
        <v>6.6468381174666497E-2</v>
      </c>
      <c r="M216" s="76">
        <f>MAX(0,N215+Observaciones!$F215-K216-Constantes!$D$13)</f>
        <v>0</v>
      </c>
      <c r="N216" s="76">
        <f>N215+Observaciones!$F215-K216-L216-M216-O215</f>
        <v>11.250581122010146</v>
      </c>
      <c r="O216" s="76">
        <f>MAX(0,(N216-Constantes!$D$14)*(1-EXP(-Constantes!$D$22)))</f>
        <v>1.9795149008158595E-5</v>
      </c>
      <c r="P216" s="170">
        <f>P215+(Entradas!$E$83*M216-Q215)/(800*Entradas!$D$25)</f>
        <v>0</v>
      </c>
      <c r="Q216" s="170">
        <f>8000*Entradas!$D$26*P216/Constantes!$E$45</f>
        <v>0</v>
      </c>
      <c r="R216" s="170">
        <f>IF(Escenarios!$E$14&gt;0,K216*Escenarios!$E$13/Escenarios!$E$14,0)</f>
        <v>0</v>
      </c>
      <c r="S216" s="170">
        <f>IF(Escenarios!$E$14&gt;0,Q216*Escenarios!$E$13/Escenarios!$E$14,0)</f>
        <v>0</v>
      </c>
      <c r="T216" s="170">
        <f>IF(Escenarios!$E$14&gt;0,Observaciones!$I215,0)</f>
        <v>0</v>
      </c>
      <c r="U216" s="170">
        <f>IF(Escenarios!$E$14&gt;0,MAX(0,Constantes!$E$36/((Z215+R216+S216+T216+Observaciones!$F215)^2)+Entradas!$E$77),0)</f>
        <v>0</v>
      </c>
      <c r="V216" s="146">
        <f>IF(ETo!D215&gt;0,ETo!I215*((1-Entradas!$E$81)*ETo!K215+ETo!L215),0)</f>
        <v>2.4683131877256299</v>
      </c>
      <c r="W216" s="170">
        <f>IF(Escenarios!$E$14&gt;0,MIN(V216*1,0.8*(Z215+R216+S216+T216+Observaciones!$F215-U216-Constantes!$E$35)),0)</f>
        <v>7.249189663525613E-4</v>
      </c>
      <c r="X216" s="170">
        <f>IF(Escenarios!$E$14&gt;0,Observaciones!$J215,0)</f>
        <v>0</v>
      </c>
      <c r="Y216" s="170">
        <f>IF(Escenarios!$E$14&gt;0,MAX(0,Z215+R216+S216+T216+Observaciones!$F215-U216-W216-X216-Constantes!$E$33),0)</f>
        <v>0</v>
      </c>
      <c r="Z216" s="170">
        <f>Z215+R216+S216+T216+Observaciones!$F215-U216-W216-Y216</f>
        <v>41.250181229741585</v>
      </c>
      <c r="AA216" s="170">
        <f>IF(Escenarios!$E$14&gt;0,(Escenarios!$E$13*L216+Escenarios!$E$14*W216)/(Escenarios!$E$16),L216)</f>
        <v>5.8579165709668819E-2</v>
      </c>
      <c r="AB216" s="170">
        <f>IF(Escenarios!$E$14&gt;0,(Escenarios!$E$14*Y216)/(Escenarios!$E$16),K216)</f>
        <v>0</v>
      </c>
      <c r="AC216" s="170">
        <f>IF(Escenarios!$E$14&gt;0,(Escenarios!$E$13*M216+Escenarios!$E$14*U216)/(Escenarios!$E$16),M216)</f>
        <v>0</v>
      </c>
      <c r="AD216" s="76">
        <f t="shared" si="43"/>
        <v>87.543688314769568</v>
      </c>
      <c r="AE216" s="76">
        <f>MAX(0,(AD216-Constantes!$D$13)*(1-EXP(-Constantes!$D$23)))</f>
        <v>0.3822434509021001</v>
      </c>
      <c r="AF216" s="76">
        <f>AB216+O216*Escenarios!$E$13/Escenarios!$E$16+AE216</f>
        <v>0.38226087063322728</v>
      </c>
      <c r="AG216" s="76">
        <f>IF(Entradas!$E$91&gt;0,IF(AF216-Escenarios!$E$38&lt;=0,0,IF(AF216-Escenarios!$E$38&gt;Escenarios!$E$37,Escenarios!$E$37,AF216-Escenarios!$E$38)),0)</f>
        <v>0</v>
      </c>
      <c r="AH216" s="76">
        <f>AG216*Entradas!$E$99</f>
        <v>0</v>
      </c>
      <c r="AI216" s="76">
        <f>IF(Entradas!$E$91&gt;0,D216*Entradas!$D$23/Escenarios!$E$16,0)</f>
        <v>0</v>
      </c>
      <c r="AJ216" s="76">
        <f>IF(Entradas!$E$91&gt;0,Entradas!$D$24*Entradas!$D$22/Escenarios!$E$16,0)</f>
        <v>0</v>
      </c>
      <c r="AK216" s="76">
        <f t="shared" si="52"/>
        <v>5.8579165709668819E-2</v>
      </c>
      <c r="AL216" s="76">
        <f t="shared" si="53"/>
        <v>0</v>
      </c>
      <c r="AM216" s="76">
        <f t="shared" si="44"/>
        <v>0</v>
      </c>
      <c r="AN216" s="76">
        <f>MAX(0,O216*Escenarios!$E$13/Escenarios!$E$16-AM216)</f>
        <v>1.7419731127179564E-5</v>
      </c>
      <c r="AO216" s="76">
        <f>AM216+AN216-O216*Escenarios!$E$13/Escenarios!$E$16</f>
        <v>0</v>
      </c>
      <c r="AP216" s="76">
        <f t="shared" si="42"/>
        <v>0.3822434509021001</v>
      </c>
      <c r="AQ216" s="76">
        <f t="shared" si="45"/>
        <v>0</v>
      </c>
      <c r="AR216" s="76">
        <f t="shared" si="46"/>
        <v>0.38226087063322728</v>
      </c>
      <c r="AS216" s="76">
        <f t="shared" si="47"/>
        <v>0</v>
      </c>
      <c r="AT216" s="76">
        <f t="shared" si="48"/>
        <v>0</v>
      </c>
      <c r="AU216" s="76">
        <f t="shared" si="49"/>
        <v>48.75</v>
      </c>
      <c r="AV216" s="76">
        <f>MAX(0,(AU216-Constantes!$D$13)*(1-EXP(-Constantes!$D$24)))</f>
        <v>0</v>
      </c>
      <c r="AW216" s="170">
        <f>AW215+(Entradas!$E$112*AT216-AX215)/(800*Entradas!$D$25)</f>
        <v>0</v>
      </c>
      <c r="AX216" s="170">
        <f>8000*Entradas!$D$26*AW216/Constantes!$E$45</f>
        <v>0</v>
      </c>
      <c r="AY216" s="170">
        <f>IF(Escenarios!$E$17&gt;0,10*Escenarios!$E$16*AL216,0)</f>
        <v>0</v>
      </c>
      <c r="AZ216" s="170">
        <f>IF(Escenarios!$E$17&gt;0,10*Escenarios!$E$16*AX216,0)</f>
        <v>0</v>
      </c>
      <c r="BA216" s="170">
        <f>IF(Escenarios!$E$17&gt;0,0.001*Observaciones!$F215*Escenarios!$E$17,0)</f>
        <v>0</v>
      </c>
      <c r="BB216" s="170">
        <f>IF(Escenarios!$E$17&gt;0,Observaciones!$K215,0)</f>
        <v>0</v>
      </c>
      <c r="BC216" s="170">
        <f>IF(Escenarios!$E$17&gt;0,MIN(0.0005*ETo!$M215*Escenarios!$E$17*(BG215/Constantes!$E$40)^(2/3),BG215+AY216+AZ216+BA216+BB216),0)</f>
        <v>5.9073972940795114</v>
      </c>
      <c r="BD216" s="170">
        <f>IF(Escenarios!$E$17&gt;0,MIN(Constantes!$E$39*(BG215/Constantes!$E$40)^(2/3),BG215+AY216+AZ216+BA216+BB216-BC216),0)</f>
        <v>14.989463342405516</v>
      </c>
      <c r="BE216" s="170">
        <f>IF(Escenarios!$E$17&gt;0,MIN(Entradas!$E$113,BG215+AY216+AZ216+BA216+BB216-BC216-BD216),0)</f>
        <v>1</v>
      </c>
      <c r="BF216" s="170">
        <f>IF(Escenarios!$E$17&gt;0,MAX(0,BG215+AY216+AZ216+BA216+BB216-BC216-BD216-BE216-Constantes!$E$40),0)</f>
        <v>0</v>
      </c>
      <c r="BG216" s="170">
        <f t="shared" si="54"/>
        <v>518.79880357204979</v>
      </c>
      <c r="BH216" s="170">
        <f>(Escenarios!$E$16*AK216+0.1*BC216)/(Escenarios!$E$19)</f>
        <v>6.04584569715284E-2</v>
      </c>
      <c r="BI216" s="170">
        <f>IF(Escenarios!$E$17&gt;0,BF216/10/Escenarios!$E$19,AL216)</f>
        <v>0</v>
      </c>
      <c r="BJ216" s="170">
        <f>(Escenarios!$E$16*AT216+0.1*BD216)/(Escenarios!$E$19)</f>
        <v>5.9481997390498087E-3</v>
      </c>
      <c r="BK216" s="76">
        <f>BK215+(0.1*BD216)/(Escenarios!$E$19)-BL215</f>
        <v>49.984185957080769</v>
      </c>
      <c r="BL216" s="76">
        <f>MAX(0,(BK216-Constantes!$D$13)*(1-EXP(-Constantes!$D$23)))</f>
        <v>1.2160728195309427E-2</v>
      </c>
      <c r="BM216" s="76">
        <f t="shared" si="50"/>
        <v>0.39440417909740955</v>
      </c>
      <c r="BN216" s="76">
        <f t="shared" si="55"/>
        <v>0.39442159882853672</v>
      </c>
      <c r="BO216" s="76">
        <f>0.0526*BI216*Observaciones!$F215^1.218</f>
        <v>0</v>
      </c>
      <c r="BP216" s="76">
        <f>BO216*Constantes!$E$51</f>
        <v>0</v>
      </c>
      <c r="BQ216" s="76">
        <f t="shared" si="51"/>
        <v>0</v>
      </c>
      <c r="BR216" s="40"/>
    </row>
    <row r="217" spans="1:70">
      <c r="A217" s="147"/>
      <c r="B217" s="39"/>
      <c r="C217" s="75">
        <v>211</v>
      </c>
      <c r="D217" s="146">
        <f>ETo!$I216*((1-Constantes!$E$19)*ETo!$K216+ETo!$L216)</f>
        <v>2.9044041832905285</v>
      </c>
      <c r="E217" s="76">
        <f>MIN(D217*Constantes!$E$17,0.8*(N216+Observaciones!$F216-F217-M217-Constantes!$D$14))</f>
        <v>4.6489760811709859E-4</v>
      </c>
      <c r="F217" s="76">
        <f>IF(Observaciones!$F216&gt;0.05*Constantes!$E$18,((Observaciones!$F216-0.05*Constantes!$E$18)^2)/(Observaciones!$F216+0.95*Constantes!$E$18),0)</f>
        <v>0</v>
      </c>
      <c r="G217" s="76">
        <f>IF(Escenarios!$E$11&gt;0,(F217*Escenarios!$E$16*10000)/1000,0)</f>
        <v>0</v>
      </c>
      <c r="H217" s="76">
        <f>IF(Escenarios!$E$11&gt;0,(Observaciones!$F216*Constantes!$E$29)/1000,0)</f>
        <v>0</v>
      </c>
      <c r="I217" s="76">
        <f>IF(Escenarios!$E$11&gt;0,(D217*Constantes!$E$29)/1000,0)</f>
        <v>29.044041832905286</v>
      </c>
      <c r="J217" s="76">
        <f>IF(Escenarios!$E$11&gt;0,MAX(0,G217+H217-I217),0)</f>
        <v>0</v>
      </c>
      <c r="K217" s="76">
        <f>IF(Escenarios!$E$11&gt;0,IF(J217&gt;Constantes!$E$30,1000*((J217-Constantes!$E$30)/(Escenarios!$E$16*10000)),0),F217)</f>
        <v>0</v>
      </c>
      <c r="L217" s="76">
        <f>IF(Escenarios!$E$11&gt;0,I217*1000/Escenarios!$E$16/10000+E217,E217)</f>
        <v>1.2082514341279214E-2</v>
      </c>
      <c r="M217" s="76">
        <f>MAX(0,N216+Observaciones!$F216-K217-Constantes!$D$13)</f>
        <v>0</v>
      </c>
      <c r="N217" s="76">
        <f>N216+Observaciones!$F216-K217-L217-M217-O216</f>
        <v>11.23847881251986</v>
      </c>
      <c r="O217" s="76">
        <f>MAX(0,(N217-Constantes!$D$14)*(1-EXP(-Constantes!$D$22)))</f>
        <v>0</v>
      </c>
      <c r="P217" s="170">
        <f>P216+(Entradas!$E$83*M217-Q216)/(800*Entradas!$D$25)</f>
        <v>0</v>
      </c>
      <c r="Q217" s="170">
        <f>8000*Entradas!$D$26*P217/Constantes!$E$45</f>
        <v>0</v>
      </c>
      <c r="R217" s="170">
        <f>IF(Escenarios!$E$14&gt;0,K217*Escenarios!$E$13/Escenarios!$E$14,0)</f>
        <v>0</v>
      </c>
      <c r="S217" s="170">
        <f>IF(Escenarios!$E$14&gt;0,Q217*Escenarios!$E$13/Escenarios!$E$14,0)</f>
        <v>0</v>
      </c>
      <c r="T217" s="170">
        <f>IF(Escenarios!$E$14&gt;0,Observaciones!$I216,0)</f>
        <v>0</v>
      </c>
      <c r="U217" s="170">
        <f>IF(Escenarios!$E$14&gt;0,MAX(0,Constantes!$E$36/((Z216+R217+S217+T217+Observaciones!$F216)^2)+Entradas!$E$77),0)</f>
        <v>0</v>
      </c>
      <c r="V217" s="146">
        <f>IF(ETo!D216&gt;0,ETo!I216*((1-Entradas!$E$81)*ETo!K216+ETo!L216),0)</f>
        <v>2.6237600983927529</v>
      </c>
      <c r="W217" s="170">
        <f>IF(Escenarios!$E$14&gt;0,MIN(V217*1,0.8*(Z216+R217+S217+T217+Observaciones!$F216-U217-Constantes!$E$35)),0)</f>
        <v>1.4498379326823851E-4</v>
      </c>
      <c r="X217" s="170">
        <f>IF(Escenarios!$E$14&gt;0,Observaciones!$J216,0)</f>
        <v>0</v>
      </c>
      <c r="Y217" s="170">
        <f>IF(Escenarios!$E$14&gt;0,MAX(0,Z216+R217+S217+T217+Observaciones!$F216-U217-W217-X217-Constantes!$E$33),0)</f>
        <v>0</v>
      </c>
      <c r="Z217" s="170">
        <f>Z216+R217+S217+T217+Observaciones!$F216-U217-W217-Y217</f>
        <v>41.250036245948316</v>
      </c>
      <c r="AA217" s="170">
        <f>IF(Escenarios!$E$14&gt;0,(Escenarios!$E$13*L217+Escenarios!$E$14*W217)/(Escenarios!$E$16),L217)</f>
        <v>1.0650010675517898E-2</v>
      </c>
      <c r="AB217" s="170">
        <f>IF(Escenarios!$E$14&gt;0,(Escenarios!$E$14*Y217)/(Escenarios!$E$16),K217)</f>
        <v>0</v>
      </c>
      <c r="AC217" s="170">
        <f>IF(Escenarios!$E$14&gt;0,(Escenarios!$E$13*M217+Escenarios!$E$14*U217)/(Escenarios!$E$16),M217)</f>
        <v>0</v>
      </c>
      <c r="AD217" s="76">
        <f t="shared" si="43"/>
        <v>87.161444863867473</v>
      </c>
      <c r="AE217" s="76">
        <f>MAX(0,(AD217-Constantes!$D$13)*(1-EXP(-Constantes!$D$23)))</f>
        <v>0.37847711513706495</v>
      </c>
      <c r="AF217" s="76">
        <f>AB217+O217*Escenarios!$E$13/Escenarios!$E$16+AE217</f>
        <v>0.37847711513706495</v>
      </c>
      <c r="AG217" s="76">
        <f>IF(Entradas!$E$91&gt;0,IF(AF217-Escenarios!$E$38&lt;=0,0,IF(AF217-Escenarios!$E$38&gt;Escenarios!$E$37,Escenarios!$E$37,AF217-Escenarios!$E$38)),0)</f>
        <v>0</v>
      </c>
      <c r="AH217" s="76">
        <f>AG217*Entradas!$E$99</f>
        <v>0</v>
      </c>
      <c r="AI217" s="76">
        <f>IF(Entradas!$E$91&gt;0,D217*Entradas!$D$23/Escenarios!$E$16,0)</f>
        <v>0</v>
      </c>
      <c r="AJ217" s="76">
        <f>IF(Entradas!$E$91&gt;0,Entradas!$D$24*Entradas!$D$22/Escenarios!$E$16,0)</f>
        <v>0</v>
      </c>
      <c r="AK217" s="76">
        <f t="shared" si="52"/>
        <v>1.0650010675517898E-2</v>
      </c>
      <c r="AL217" s="76">
        <f t="shared" si="53"/>
        <v>0</v>
      </c>
      <c r="AM217" s="76">
        <f t="shared" si="44"/>
        <v>0</v>
      </c>
      <c r="AN217" s="76">
        <f>MAX(0,O217*Escenarios!$E$13/Escenarios!$E$16-AM217)</f>
        <v>0</v>
      </c>
      <c r="AO217" s="76">
        <f>AM217+AN217-O217*Escenarios!$E$13/Escenarios!$E$16</f>
        <v>0</v>
      </c>
      <c r="AP217" s="76">
        <f t="shared" si="42"/>
        <v>0.37847711513706495</v>
      </c>
      <c r="AQ217" s="76">
        <f t="shared" si="45"/>
        <v>0</v>
      </c>
      <c r="AR217" s="76">
        <f t="shared" si="46"/>
        <v>0.37847711513706495</v>
      </c>
      <c r="AS217" s="76">
        <f t="shared" si="47"/>
        <v>0</v>
      </c>
      <c r="AT217" s="76">
        <f t="shared" si="48"/>
        <v>0</v>
      </c>
      <c r="AU217" s="76">
        <f t="shared" si="49"/>
        <v>48.75</v>
      </c>
      <c r="AV217" s="76">
        <f>MAX(0,(AU217-Constantes!$D$13)*(1-EXP(-Constantes!$D$24)))</f>
        <v>0</v>
      </c>
      <c r="AW217" s="170">
        <f>AW216+(Entradas!$E$112*AT217-AX216)/(800*Entradas!$D$25)</f>
        <v>0</v>
      </c>
      <c r="AX217" s="170">
        <f>8000*Entradas!$D$26*AW217/Constantes!$E$45</f>
        <v>0</v>
      </c>
      <c r="AY217" s="170">
        <f>IF(Escenarios!$E$17&gt;0,10*Escenarios!$E$16*AL217,0)</f>
        <v>0</v>
      </c>
      <c r="AZ217" s="170">
        <f>IF(Escenarios!$E$17&gt;0,10*Escenarios!$E$16*AX217,0)</f>
        <v>0</v>
      </c>
      <c r="BA217" s="170">
        <f>IF(Escenarios!$E$17&gt;0,0.001*Observaciones!$F216*Escenarios!$E$17,0)</f>
        <v>0</v>
      </c>
      <c r="BB217" s="170">
        <f>IF(Escenarios!$E$17&gt;0,Observaciones!$K216,0)</f>
        <v>0</v>
      </c>
      <c r="BC217" s="170">
        <f>IF(Escenarios!$E$17&gt;0,MIN(0.0005*ETo!$M216*Escenarios!$E$17*(BG216/Constantes!$E$40)^(2/3),BG216+AY217+AZ217+BA217+BB217),0)</f>
        <v>6.0989281868656828</v>
      </c>
      <c r="BD217" s="170">
        <f>IF(Escenarios!$E$17&gt;0,MIN(Constantes!$E$39*(BG216/Constantes!$E$40)^(2/3),BG216+AY217+AZ217+BA217+BB217-BC217),0)</f>
        <v>14.581990253017484</v>
      </c>
      <c r="BE217" s="170">
        <f>IF(Escenarios!$E$17&gt;0,MIN(Entradas!$E$113,BG216+AY217+AZ217+BA217+BB217-BC217-BD217),0)</f>
        <v>1</v>
      </c>
      <c r="BF217" s="170">
        <f>IF(Escenarios!$E$17&gt;0,MAX(0,BG216+AY217+AZ217+BA217+BB217-BC217-BD217-BE217-Constantes!$E$40),0)</f>
        <v>0</v>
      </c>
      <c r="BG217" s="170">
        <f t="shared" si="54"/>
        <v>497.11788513216663</v>
      </c>
      <c r="BH217" s="170">
        <f>(Escenarios!$E$16*AK217+0.1*BC217)/(Escenarios!$E$19)</f>
        <v>1.2985696379230327E-2</v>
      </c>
      <c r="BI217" s="170">
        <f>IF(Escenarios!$E$17&gt;0,BF217/10/Escenarios!$E$19,AL217)</f>
        <v>0</v>
      </c>
      <c r="BJ217" s="170">
        <f>(Escenarios!$E$16*AT217+0.1*BD217)/(Escenarios!$E$19)</f>
        <v>5.7865040686577319E-3</v>
      </c>
      <c r="BK217" s="76">
        <f>BK216+(0.1*BD217)/(Escenarios!$E$19)-BL216</f>
        <v>49.977811732954116</v>
      </c>
      <c r="BL217" s="76">
        <f>MAX(0,(BK217-Constantes!$D$13)*(1-EXP(-Constantes!$D$23)))</f>
        <v>1.2097921446767619E-2</v>
      </c>
      <c r="BM217" s="76">
        <f t="shared" si="50"/>
        <v>0.39057503658383258</v>
      </c>
      <c r="BN217" s="76">
        <f t="shared" si="55"/>
        <v>0.39057503658383258</v>
      </c>
      <c r="BO217" s="76">
        <f>0.0526*BI217*Observaciones!$F216^1.218</f>
        <v>0</v>
      </c>
      <c r="BP217" s="76">
        <f>BO217*Constantes!$E$51</f>
        <v>0</v>
      </c>
      <c r="BQ217" s="76">
        <f t="shared" si="51"/>
        <v>0</v>
      </c>
      <c r="BR217" s="40"/>
    </row>
    <row r="218" spans="1:70">
      <c r="A218" s="147"/>
      <c r="B218" s="39"/>
      <c r="C218" s="75">
        <v>212</v>
      </c>
      <c r="D218" s="146">
        <f>ETo!$I217*((1-Constantes!$E$19)*ETo!$K217+ETo!$L217)</f>
        <v>2.7988355955371698</v>
      </c>
      <c r="E218" s="76">
        <f>MIN(D218*Constantes!$E$17,0.8*(N217+Observaciones!$F217-F218-M218-Constantes!$D$14))</f>
        <v>-9.216949984111978E-3</v>
      </c>
      <c r="F218" s="76">
        <f>IF(Observaciones!$F217&gt;0.05*Constantes!$E$18,((Observaciones!$F217-0.05*Constantes!$E$18)^2)/(Observaciones!$F217+0.95*Constantes!$E$18),0)</f>
        <v>0</v>
      </c>
      <c r="G218" s="76">
        <f>IF(Escenarios!$E$11&gt;0,(F218*Escenarios!$E$16*10000)/1000,0)</f>
        <v>0</v>
      </c>
      <c r="H218" s="76">
        <f>IF(Escenarios!$E$11&gt;0,(Observaciones!$F217*Constantes!$E$29)/1000,0)</f>
        <v>0</v>
      </c>
      <c r="I218" s="76">
        <f>IF(Escenarios!$E$11&gt;0,(D218*Constantes!$E$29)/1000,0)</f>
        <v>27.988355955371699</v>
      </c>
      <c r="J218" s="76">
        <f>IF(Escenarios!$E$11&gt;0,MAX(0,G218+H218-I218),0)</f>
        <v>0</v>
      </c>
      <c r="K218" s="76">
        <f>IF(Escenarios!$E$11&gt;0,IF(J218&gt;Constantes!$E$30,1000*((J218-Constantes!$E$30)/(Escenarios!$E$16*10000)),0),F218)</f>
        <v>0</v>
      </c>
      <c r="L218" s="76">
        <f>IF(Escenarios!$E$11&gt;0,I218*1000/Escenarios!$E$16/10000+E218,E218)</f>
        <v>1.9783923980367015E-3</v>
      </c>
      <c r="M218" s="76">
        <f>MAX(0,N217+Observaciones!$F217-K218-Constantes!$D$13)</f>
        <v>0</v>
      </c>
      <c r="N218" s="76">
        <f>N217+Observaciones!$F217-K218-L218-M218-O217</f>
        <v>11.236500420121823</v>
      </c>
      <c r="O218" s="76">
        <f>MAX(0,(N218-Constantes!$D$14)*(1-EXP(-Constantes!$D$22)))</f>
        <v>0</v>
      </c>
      <c r="P218" s="170">
        <f>P217+(Entradas!$E$83*M218-Q217)/(800*Entradas!$D$25)</f>
        <v>0</v>
      </c>
      <c r="Q218" s="170">
        <f>8000*Entradas!$D$26*P218/Constantes!$E$45</f>
        <v>0</v>
      </c>
      <c r="R218" s="170">
        <f>IF(Escenarios!$E$14&gt;0,K218*Escenarios!$E$13/Escenarios!$E$14,0)</f>
        <v>0</v>
      </c>
      <c r="S218" s="170">
        <f>IF(Escenarios!$E$14&gt;0,Q218*Escenarios!$E$13/Escenarios!$E$14,0)</f>
        <v>0</v>
      </c>
      <c r="T218" s="170">
        <f>IF(Escenarios!$E$14&gt;0,Observaciones!$I217,0)</f>
        <v>0</v>
      </c>
      <c r="U218" s="170">
        <f>IF(Escenarios!$E$14&gt;0,MAX(0,Constantes!$E$36/((Z217+R218+S218+T218+Observaciones!$F217)^2)+Entradas!$E$77),0)</f>
        <v>0</v>
      </c>
      <c r="V218" s="146">
        <f>IF(ETo!D217&gt;0,ETo!I217*((1-Entradas!$E$81)*ETo!K217+ETo!L217),0)</f>
        <v>2.5277849738346427</v>
      </c>
      <c r="W218" s="170">
        <f>IF(Escenarios!$E$14&gt;0,MIN(V218*1,0.8*(Z217+R218+S218+T218+Observaciones!$F217-U218-Constantes!$E$35)),0)</f>
        <v>2.8996758652510837E-5</v>
      </c>
      <c r="X218" s="170">
        <f>IF(Escenarios!$E$14&gt;0,Observaciones!$J217,0)</f>
        <v>0</v>
      </c>
      <c r="Y218" s="170">
        <f>IF(Escenarios!$E$14&gt;0,MAX(0,Z217+R218+S218+T218+Observaciones!$F217-U218-W218-X218-Constantes!$E$33),0)</f>
        <v>0</v>
      </c>
      <c r="Z218" s="170">
        <f>Z217+R218+S218+T218+Observaciones!$F217-U218-W218-Y218</f>
        <v>41.250007249189665</v>
      </c>
      <c r="AA218" s="170">
        <f>IF(Escenarios!$E$14&gt;0,(Escenarios!$E$13*L218+Escenarios!$E$14*W218)/(Escenarios!$E$16),L218)</f>
        <v>1.7444649213105988E-3</v>
      </c>
      <c r="AB218" s="170">
        <f>IF(Escenarios!$E$14&gt;0,(Escenarios!$E$14*Y218)/(Escenarios!$E$16),K218)</f>
        <v>0</v>
      </c>
      <c r="AC218" s="170">
        <f>IF(Escenarios!$E$14&gt;0,(Escenarios!$E$13*M218+Escenarios!$E$14*U218)/(Escenarios!$E$16),M218)</f>
        <v>0</v>
      </c>
      <c r="AD218" s="76">
        <f t="shared" si="43"/>
        <v>86.782967748730414</v>
      </c>
      <c r="AE218" s="76">
        <f>MAX(0,(AD218-Constantes!$D$13)*(1-EXP(-Constantes!$D$23)))</f>
        <v>0.37474788997539393</v>
      </c>
      <c r="AF218" s="76">
        <f>AB218+O218*Escenarios!$E$13/Escenarios!$E$16+AE218</f>
        <v>0.37474788997539393</v>
      </c>
      <c r="AG218" s="76">
        <f>IF(Entradas!$E$91&gt;0,IF(AF218-Escenarios!$E$38&lt;=0,0,IF(AF218-Escenarios!$E$38&gt;Escenarios!$E$37,Escenarios!$E$37,AF218-Escenarios!$E$38)),0)</f>
        <v>0</v>
      </c>
      <c r="AH218" s="76">
        <f>AG218*Entradas!$E$99</f>
        <v>0</v>
      </c>
      <c r="AI218" s="76">
        <f>IF(Entradas!$E$91&gt;0,D218*Entradas!$D$23/Escenarios!$E$16,0)</f>
        <v>0</v>
      </c>
      <c r="AJ218" s="76">
        <f>IF(Entradas!$E$91&gt;0,Entradas!$D$24*Entradas!$D$22/Escenarios!$E$16,0)</f>
        <v>0</v>
      </c>
      <c r="AK218" s="76">
        <f t="shared" si="52"/>
        <v>1.7444649213105988E-3</v>
      </c>
      <c r="AL218" s="76">
        <f t="shared" si="53"/>
        <v>0</v>
      </c>
      <c r="AM218" s="76">
        <f t="shared" si="44"/>
        <v>0</v>
      </c>
      <c r="AN218" s="76">
        <f>MAX(0,O218*Escenarios!$E$13/Escenarios!$E$16-AM218)</f>
        <v>0</v>
      </c>
      <c r="AO218" s="76">
        <f>AM218+AN218-O218*Escenarios!$E$13/Escenarios!$E$16</f>
        <v>0</v>
      </c>
      <c r="AP218" s="76">
        <f t="shared" si="42"/>
        <v>0.37474788997539393</v>
      </c>
      <c r="AQ218" s="76">
        <f t="shared" si="45"/>
        <v>0</v>
      </c>
      <c r="AR218" s="76">
        <f t="shared" si="46"/>
        <v>0.37474788997539393</v>
      </c>
      <c r="AS218" s="76">
        <f t="shared" si="47"/>
        <v>0</v>
      </c>
      <c r="AT218" s="76">
        <f t="shared" si="48"/>
        <v>0</v>
      </c>
      <c r="AU218" s="76">
        <f t="shared" si="49"/>
        <v>48.75</v>
      </c>
      <c r="AV218" s="76">
        <f>MAX(0,(AU218-Constantes!$D$13)*(1-EXP(-Constantes!$D$24)))</f>
        <v>0</v>
      </c>
      <c r="AW218" s="170">
        <f>AW217+(Entradas!$E$112*AT218-AX217)/(800*Entradas!$D$25)</f>
        <v>0</v>
      </c>
      <c r="AX218" s="170">
        <f>8000*Entradas!$D$26*AW218/Constantes!$E$45</f>
        <v>0</v>
      </c>
      <c r="AY218" s="170">
        <f>IF(Escenarios!$E$17&gt;0,10*Escenarios!$E$16*AL218,0)</f>
        <v>0</v>
      </c>
      <c r="AZ218" s="170">
        <f>IF(Escenarios!$E$17&gt;0,10*Escenarios!$E$16*AX218,0)</f>
        <v>0</v>
      </c>
      <c r="BA218" s="170">
        <f>IF(Escenarios!$E$17&gt;0,0.001*Observaciones!$F217*Escenarios!$E$17,0)</f>
        <v>0</v>
      </c>
      <c r="BB218" s="170">
        <f>IF(Escenarios!$E$17&gt;0,Observaciones!$K217,0)</f>
        <v>0</v>
      </c>
      <c r="BC218" s="170">
        <f>IF(Escenarios!$E$17&gt;0,MIN(0.0005*ETo!$M217*Escenarios!$E$17*(BG217/Constantes!$E$40)^(2/3),BG217+AY218+AZ218+BA218+BB218),0)</f>
        <v>5.7140341629413847</v>
      </c>
      <c r="BD218" s="170">
        <f>IF(Escenarios!$E$17&gt;0,MIN(Constantes!$E$39*(BG217/Constantes!$E$40)^(2/3),BG217+AY218+AZ218+BA218+BB218-BC218),0)</f>
        <v>14.172846556952424</v>
      </c>
      <c r="BE218" s="170">
        <f>IF(Escenarios!$E$17&gt;0,MIN(Entradas!$E$113,BG217+AY218+AZ218+BA218+BB218-BC218-BD218),0)</f>
        <v>1</v>
      </c>
      <c r="BF218" s="170">
        <f>IF(Escenarios!$E$17&gt;0,MAX(0,BG217+AY218+AZ218+BA218+BB218-BC218-BD218-BE218-Constantes!$E$40),0)</f>
        <v>0</v>
      </c>
      <c r="BG218" s="170">
        <f t="shared" si="54"/>
        <v>476.2310044122728</v>
      </c>
      <c r="BH218" s="170">
        <f>(Escenarios!$E$16*AK218+0.1*BC218)/(Escenarios!$E$19)</f>
        <v>3.9980938358007466E-3</v>
      </c>
      <c r="BI218" s="170">
        <f>IF(Escenarios!$E$17&gt;0,BF218/10/Escenarios!$E$19,AL218)</f>
        <v>0</v>
      </c>
      <c r="BJ218" s="170">
        <f>(Escenarios!$E$16*AT218+0.1*BD218)/(Escenarios!$E$19)</f>
        <v>5.6241454591081054E-3</v>
      </c>
      <c r="BK218" s="76">
        <f>BK217+(0.1*BD218)/(Escenarios!$E$19)-BL217</f>
        <v>49.971337956966458</v>
      </c>
      <c r="BL218" s="76">
        <f>MAX(0,(BK218-Constantes!$D$13)*(1-EXP(-Constantes!$D$23)))</f>
        <v>1.2034133790027917E-2</v>
      </c>
      <c r="BM218" s="76">
        <f t="shared" si="50"/>
        <v>0.38678202376542187</v>
      </c>
      <c r="BN218" s="76">
        <f t="shared" si="55"/>
        <v>0.38678202376542187</v>
      </c>
      <c r="BO218" s="76">
        <f>0.0526*BI218*Observaciones!$F217^1.218</f>
        <v>0</v>
      </c>
      <c r="BP218" s="76">
        <f>BO218*Constantes!$E$51</f>
        <v>0</v>
      </c>
      <c r="BQ218" s="76">
        <f t="shared" si="51"/>
        <v>0</v>
      </c>
      <c r="BR218" s="40"/>
    </row>
    <row r="219" spans="1:70">
      <c r="A219" s="147"/>
      <c r="B219" s="39"/>
      <c r="C219" s="75">
        <v>213</v>
      </c>
      <c r="D219" s="146">
        <f>ETo!$I218*((1-Constantes!$E$19)*ETo!$K218+ETo!$L218)</f>
        <v>2.9484805942822208</v>
      </c>
      <c r="E219" s="76">
        <f>MIN(D219*Constantes!$E$17,0.8*(N218+Observaciones!$F218-F219-M219-Constantes!$D$14))</f>
        <v>-1.0799663902541569E-2</v>
      </c>
      <c r="F219" s="76">
        <f>IF(Observaciones!$F218&gt;0.05*Constantes!$E$18,((Observaciones!$F218-0.05*Constantes!$E$18)^2)/(Observaciones!$F218+0.95*Constantes!$E$18),0)</f>
        <v>0</v>
      </c>
      <c r="G219" s="76">
        <f>IF(Escenarios!$E$11&gt;0,(F219*Escenarios!$E$16*10000)/1000,0)</f>
        <v>0</v>
      </c>
      <c r="H219" s="76">
        <f>IF(Escenarios!$E$11&gt;0,(Observaciones!$F218*Constantes!$E$29)/1000,0)</f>
        <v>0</v>
      </c>
      <c r="I219" s="76">
        <f>IF(Escenarios!$E$11&gt;0,(D219*Constantes!$E$29)/1000,0)</f>
        <v>29.484805942822209</v>
      </c>
      <c r="J219" s="76">
        <f>IF(Escenarios!$E$11&gt;0,MAX(0,G219+H219-I219),0)</f>
        <v>0</v>
      </c>
      <c r="K219" s="76">
        <f>IF(Escenarios!$E$11&gt;0,IF(J219&gt;Constantes!$E$30,1000*((J219-Constantes!$E$30)/(Escenarios!$E$16*10000)),0),F219)</f>
        <v>0</v>
      </c>
      <c r="L219" s="76">
        <f>IF(Escenarios!$E$11&gt;0,I219*1000/Escenarios!$E$16/10000+E219,E219)</f>
        <v>9.9425847458731523E-4</v>
      </c>
      <c r="M219" s="76">
        <f>MAX(0,N218+Observaciones!$F218-K219-Constantes!$D$13)</f>
        <v>0</v>
      </c>
      <c r="N219" s="76">
        <f>N218+Observaciones!$F218-K219-L219-M219-O218</f>
        <v>11.235506161647235</v>
      </c>
      <c r="O219" s="76">
        <f>MAX(0,(N219-Constantes!$D$14)*(1-EXP(-Constantes!$D$22)))</f>
        <v>0</v>
      </c>
      <c r="P219" s="170">
        <f>P218+(Entradas!$E$83*M219-Q218)/(800*Entradas!$D$25)</f>
        <v>0</v>
      </c>
      <c r="Q219" s="170">
        <f>8000*Entradas!$D$26*P219/Constantes!$E$45</f>
        <v>0</v>
      </c>
      <c r="R219" s="170">
        <f>IF(Escenarios!$E$14&gt;0,K219*Escenarios!$E$13/Escenarios!$E$14,0)</f>
        <v>0</v>
      </c>
      <c r="S219" s="170">
        <f>IF(Escenarios!$E$14&gt;0,Q219*Escenarios!$E$13/Escenarios!$E$14,0)</f>
        <v>0</v>
      </c>
      <c r="T219" s="170">
        <f>IF(Escenarios!$E$14&gt;0,Observaciones!$I218,0)</f>
        <v>0</v>
      </c>
      <c r="U219" s="170">
        <f>IF(Escenarios!$E$14&gt;0,MAX(0,Constantes!$E$36/((Z218+R219+S219+T219+Observaciones!$F218)^2)+Entradas!$E$77),0)</f>
        <v>0</v>
      </c>
      <c r="V219" s="146">
        <f>IF(ETo!D218&gt;0,ETo!I218*((1-Entradas!$E$81)*ETo!K218+ETo!L218),0)</f>
        <v>2.6647535688932455</v>
      </c>
      <c r="W219" s="170">
        <f>IF(Escenarios!$E$14&gt;0,MIN(V219*1,0.8*(Z218+R219+S219+T219+Observaciones!$F218-U219-Constantes!$E$35)),0)</f>
        <v>5.7993517316390358E-6</v>
      </c>
      <c r="X219" s="170">
        <f>IF(Escenarios!$E$14&gt;0,Observaciones!$J218,0)</f>
        <v>0</v>
      </c>
      <c r="Y219" s="170">
        <f>IF(Escenarios!$E$14&gt;0,MAX(0,Z218+R219+S219+T219+Observaciones!$F218-U219-W219-X219-Constantes!$E$33),0)</f>
        <v>0</v>
      </c>
      <c r="Z219" s="170">
        <f>Z218+R219+S219+T219+Observaciones!$F218-U219-W219-Y219</f>
        <v>41.250001449837931</v>
      </c>
      <c r="AA219" s="170">
        <f>IF(Escenarios!$E$14&gt;0,(Escenarios!$E$13*L219+Escenarios!$E$14*W219)/(Escenarios!$E$16),L219)</f>
        <v>8.756433798446341E-4</v>
      </c>
      <c r="AB219" s="170">
        <f>IF(Escenarios!$E$14&gt;0,(Escenarios!$E$14*Y219)/(Escenarios!$E$16),K219)</f>
        <v>0</v>
      </c>
      <c r="AC219" s="170">
        <f>IF(Escenarios!$E$14&gt;0,(Escenarios!$E$13*M219+Escenarios!$E$14*U219)/(Escenarios!$E$16),M219)</f>
        <v>0</v>
      </c>
      <c r="AD219" s="76">
        <f t="shared" si="43"/>
        <v>86.408219858755018</v>
      </c>
      <c r="AE219" s="76">
        <f>MAX(0,(AD219-Constantes!$D$13)*(1-EXP(-Constantes!$D$23)))</f>
        <v>0.37105540975747303</v>
      </c>
      <c r="AF219" s="76">
        <f>AB219+O219*Escenarios!$E$13/Escenarios!$E$16+AE219</f>
        <v>0.37105540975747303</v>
      </c>
      <c r="AG219" s="76">
        <f>IF(Entradas!$E$91&gt;0,IF(AF219-Escenarios!$E$38&lt;=0,0,IF(AF219-Escenarios!$E$38&gt;Escenarios!$E$37,Escenarios!$E$37,AF219-Escenarios!$E$38)),0)</f>
        <v>0</v>
      </c>
      <c r="AH219" s="76">
        <f>AG219*Entradas!$E$99</f>
        <v>0</v>
      </c>
      <c r="AI219" s="76">
        <f>IF(Entradas!$E$91&gt;0,D219*Entradas!$D$23/Escenarios!$E$16,0)</f>
        <v>0</v>
      </c>
      <c r="AJ219" s="76">
        <f>IF(Entradas!$E$91&gt;0,Entradas!$D$24*Entradas!$D$22/Escenarios!$E$16,0)</f>
        <v>0</v>
      </c>
      <c r="AK219" s="76">
        <f t="shared" si="52"/>
        <v>8.756433798446341E-4</v>
      </c>
      <c r="AL219" s="76">
        <f t="shared" si="53"/>
        <v>0</v>
      </c>
      <c r="AM219" s="76">
        <f t="shared" si="44"/>
        <v>0</v>
      </c>
      <c r="AN219" s="76">
        <f>MAX(0,O219*Escenarios!$E$13/Escenarios!$E$16-AM219)</f>
        <v>0</v>
      </c>
      <c r="AO219" s="76">
        <f>AM219+AN219-O219*Escenarios!$E$13/Escenarios!$E$16</f>
        <v>0</v>
      </c>
      <c r="AP219" s="76">
        <f t="shared" si="42"/>
        <v>0.37105540975747303</v>
      </c>
      <c r="AQ219" s="76">
        <f t="shared" si="45"/>
        <v>0</v>
      </c>
      <c r="AR219" s="76">
        <f t="shared" si="46"/>
        <v>0.37105540975747303</v>
      </c>
      <c r="AS219" s="76">
        <f t="shared" si="47"/>
        <v>0</v>
      </c>
      <c r="AT219" s="76">
        <f t="shared" si="48"/>
        <v>0</v>
      </c>
      <c r="AU219" s="76">
        <f t="shared" si="49"/>
        <v>48.75</v>
      </c>
      <c r="AV219" s="76">
        <f>MAX(0,(AU219-Constantes!$D$13)*(1-EXP(-Constantes!$D$24)))</f>
        <v>0</v>
      </c>
      <c r="AW219" s="170">
        <f>AW218+(Entradas!$E$112*AT219-AX218)/(800*Entradas!$D$25)</f>
        <v>0</v>
      </c>
      <c r="AX219" s="170">
        <f>8000*Entradas!$D$26*AW219/Constantes!$E$45</f>
        <v>0</v>
      </c>
      <c r="AY219" s="170">
        <f>IF(Escenarios!$E$17&gt;0,10*Escenarios!$E$16*AL219,0)</f>
        <v>0</v>
      </c>
      <c r="AZ219" s="170">
        <f>IF(Escenarios!$E$17&gt;0,10*Escenarios!$E$16*AX219,0)</f>
        <v>0</v>
      </c>
      <c r="BA219" s="170">
        <f>IF(Escenarios!$E$17&gt;0,0.001*Observaciones!$F218*Escenarios!$E$17,0)</f>
        <v>0</v>
      </c>
      <c r="BB219" s="170">
        <f>IF(Escenarios!$E$17&gt;0,Observaciones!$K218,0)</f>
        <v>0</v>
      </c>
      <c r="BC219" s="170">
        <f>IF(Escenarios!$E$17&gt;0,MIN(0.0005*ETo!$M218*Escenarios!$E$17*(BG218/Constantes!$E$40)^(2/3),BG218+AY219+AZ219+BA219+BB219),0)</f>
        <v>5.8448119684545565</v>
      </c>
      <c r="BD219" s="170">
        <f>IF(Escenarios!$E$17&gt;0,MIN(Constantes!$E$39*(BG218/Constantes!$E$40)^(2/3),BG218+AY219+AZ219+BA219+BB219-BC219),0)</f>
        <v>13.773022928730621</v>
      </c>
      <c r="BE219" s="170">
        <f>IF(Escenarios!$E$17&gt;0,MIN(Entradas!$E$113,BG218+AY219+AZ219+BA219+BB219-BC219-BD219),0)</f>
        <v>1</v>
      </c>
      <c r="BF219" s="170">
        <f>IF(Escenarios!$E$17&gt;0,MAX(0,BG218+AY219+AZ219+BA219+BB219-BC219-BD219-BE219-Constantes!$E$40),0)</f>
        <v>0</v>
      </c>
      <c r="BG219" s="170">
        <f t="shared" si="54"/>
        <v>455.61316951508763</v>
      </c>
      <c r="BH219" s="170">
        <f>(Escenarios!$E$16*AK219+0.1*BC219)/(Escenarios!$E$19)</f>
        <v>3.1880636579627547E-3</v>
      </c>
      <c r="BI219" s="170">
        <f>IF(Escenarios!$E$17&gt;0,BF219/10/Escenarios!$E$19,AL219)</f>
        <v>0</v>
      </c>
      <c r="BJ219" s="170">
        <f>(Escenarios!$E$16*AT219+0.1*BD219)/(Escenarios!$E$19)</f>
        <v>5.465485289178818E-3</v>
      </c>
      <c r="BK219" s="76">
        <f>BK218+(0.1*BD219)/(Escenarios!$E$19)-BL218</f>
        <v>49.964769308465605</v>
      </c>
      <c r="BL219" s="76">
        <f>MAX(0,(BK219-Constantes!$D$13)*(1-EXP(-Constantes!$D$23)))</f>
        <v>1.1969411331818834E-2</v>
      </c>
      <c r="BM219" s="76">
        <f t="shared" si="50"/>
        <v>0.38302482108929187</v>
      </c>
      <c r="BN219" s="76">
        <f t="shared" si="55"/>
        <v>0.38302482108929187</v>
      </c>
      <c r="BO219" s="76">
        <f>0.0526*BI219*Observaciones!$F218^1.218</f>
        <v>0</v>
      </c>
      <c r="BP219" s="76">
        <f>BO219*Constantes!$E$51</f>
        <v>0</v>
      </c>
      <c r="BQ219" s="76">
        <f t="shared" si="51"/>
        <v>0</v>
      </c>
      <c r="BR219" s="40"/>
    </row>
    <row r="220" spans="1:70">
      <c r="A220" s="147"/>
      <c r="B220" s="39"/>
      <c r="C220" s="75">
        <v>214</v>
      </c>
      <c r="D220" s="146">
        <f>ETo!$I219*((1-Constantes!$E$19)*ETo!$K219+ETo!$L219)</f>
        <v>2.9278417069559133</v>
      </c>
      <c r="E220" s="76">
        <f>MIN(D220*Constantes!$E$17,0.8*(N219+Observaciones!$F219-F220-M220-Constantes!$D$14))</f>
        <v>0.3084049293177884</v>
      </c>
      <c r="F220" s="76">
        <f>IF(Observaciones!$F219&gt;0.05*Constantes!$E$18,((Observaciones!$F219-0.05*Constantes!$E$18)^2)/(Observaciones!$F219+0.95*Constantes!$E$18),0)</f>
        <v>0</v>
      </c>
      <c r="G220" s="76">
        <f>IF(Escenarios!$E$11&gt;0,(F220*Escenarios!$E$16*10000)/1000,0)</f>
        <v>0</v>
      </c>
      <c r="H220" s="76">
        <f>IF(Escenarios!$E$11&gt;0,(Observaciones!$F219*Constantes!$E$29)/1000,0)</f>
        <v>4</v>
      </c>
      <c r="I220" s="76">
        <f>IF(Escenarios!$E$11&gt;0,(D220*Constantes!$E$29)/1000,0)</f>
        <v>29.278417069559133</v>
      </c>
      <c r="J220" s="76">
        <f>IF(Escenarios!$E$11&gt;0,MAX(0,G220+H220-I220),0)</f>
        <v>0</v>
      </c>
      <c r="K220" s="76">
        <f>IF(Escenarios!$E$11&gt;0,IF(J220&gt;Constantes!$E$30,1000*((J220-Constantes!$E$30)/(Escenarios!$E$16*10000)),0),F220)</f>
        <v>0</v>
      </c>
      <c r="L220" s="76">
        <f>IF(Escenarios!$E$11&gt;0,I220*1000/Escenarios!$E$16/10000+E220,E220)</f>
        <v>0.32011629614561204</v>
      </c>
      <c r="M220" s="76">
        <f>MAX(0,N219+Observaciones!$F219-K220-Constantes!$D$13)</f>
        <v>0</v>
      </c>
      <c r="N220" s="76">
        <f>N219+Observaciones!$F219-K220-L220-M220-O219</f>
        <v>11.315389865501624</v>
      </c>
      <c r="O220" s="76">
        <f>MAX(0,(N220-Constantes!$D$14)*(1-EXP(-Constantes!$D$22)))</f>
        <v>2.2274188700959008E-3</v>
      </c>
      <c r="P220" s="170">
        <f>P219+(Entradas!$E$83*M220-Q219)/(800*Entradas!$D$25)</f>
        <v>0</v>
      </c>
      <c r="Q220" s="170">
        <f>8000*Entradas!$D$26*P220/Constantes!$E$45</f>
        <v>0</v>
      </c>
      <c r="R220" s="170">
        <f>IF(Escenarios!$E$14&gt;0,K220*Escenarios!$E$13/Escenarios!$E$14,0)</f>
        <v>0</v>
      </c>
      <c r="S220" s="170">
        <f>IF(Escenarios!$E$14&gt;0,Q220*Escenarios!$E$13/Escenarios!$E$14,0)</f>
        <v>0</v>
      </c>
      <c r="T220" s="170">
        <f>IF(Escenarios!$E$14&gt;0,Observaciones!$I219,0)</f>
        <v>0</v>
      </c>
      <c r="U220" s="170">
        <f>IF(Escenarios!$E$14&gt;0,MAX(0,Constantes!$E$36/((Z219+R220+S220+T220+Observaciones!$F219)^2)+Entradas!$E$77),0)</f>
        <v>0</v>
      </c>
      <c r="V220" s="146">
        <f>IF(ETo!D219&gt;0,ETo!I219*((1-Entradas!$E$81)*ETo!K219+ETo!L219),0)</f>
        <v>2.6462055864044585</v>
      </c>
      <c r="W220" s="170">
        <f>IF(Escenarios!$E$14&gt;0,MIN(V220*1,0.8*(Z219+R220+S220+T220+Observaciones!$F219-U220-Constantes!$E$35)),0)</f>
        <v>0.32000115987034405</v>
      </c>
      <c r="X220" s="170">
        <f>IF(Escenarios!$E$14&gt;0,Observaciones!$J219,0)</f>
        <v>0</v>
      </c>
      <c r="Y220" s="170">
        <f>IF(Escenarios!$E$14&gt;0,MAX(0,Z219+R220+S220+T220+Observaciones!$F219-U220-W220-X220-Constantes!$E$33),0)</f>
        <v>0</v>
      </c>
      <c r="Z220" s="170">
        <f>Z219+R220+S220+T220+Observaciones!$F219-U220-W220-Y220</f>
        <v>41.330000289967586</v>
      </c>
      <c r="AA220" s="170">
        <f>IF(Escenarios!$E$14&gt;0,(Escenarios!$E$13*L220+Escenarios!$E$14*W220)/(Escenarios!$E$16),L220)</f>
        <v>0.32010247979257989</v>
      </c>
      <c r="AB220" s="170">
        <f>IF(Escenarios!$E$14&gt;0,(Escenarios!$E$14*Y220)/(Escenarios!$E$16),K220)</f>
        <v>0</v>
      </c>
      <c r="AC220" s="170">
        <f>IF(Escenarios!$E$14&gt;0,(Escenarios!$E$13*M220+Escenarios!$E$14*U220)/(Escenarios!$E$16),M220)</f>
        <v>0</v>
      </c>
      <c r="AD220" s="76">
        <f t="shared" si="43"/>
        <v>86.037164448997544</v>
      </c>
      <c r="AE220" s="76">
        <f>MAX(0,(AD220-Constantes!$D$13)*(1-EXP(-Constantes!$D$23)))</f>
        <v>0.36739931242661955</v>
      </c>
      <c r="AF220" s="76">
        <f>AB220+O220*Escenarios!$E$13/Escenarios!$E$16+AE220</f>
        <v>0.36935944103230395</v>
      </c>
      <c r="AG220" s="76">
        <f>IF(Entradas!$E$91&gt;0,IF(AF220-Escenarios!$E$38&lt;=0,0,IF(AF220-Escenarios!$E$38&gt;Escenarios!$E$37,Escenarios!$E$37,AF220-Escenarios!$E$38)),0)</f>
        <v>0</v>
      </c>
      <c r="AH220" s="76">
        <f>AG220*Entradas!$E$99</f>
        <v>0</v>
      </c>
      <c r="AI220" s="76">
        <f>IF(Entradas!$E$91&gt;0,D220*Entradas!$D$23/Escenarios!$E$16,0)</f>
        <v>0</v>
      </c>
      <c r="AJ220" s="76">
        <f>IF(Entradas!$E$91&gt;0,Entradas!$D$24*Entradas!$D$22/Escenarios!$E$16,0)</f>
        <v>0</v>
      </c>
      <c r="AK220" s="76">
        <f t="shared" si="52"/>
        <v>0.32010247979257989</v>
      </c>
      <c r="AL220" s="76">
        <f t="shared" si="53"/>
        <v>0</v>
      </c>
      <c r="AM220" s="76">
        <f t="shared" si="44"/>
        <v>0</v>
      </c>
      <c r="AN220" s="76">
        <f>MAX(0,O220*Escenarios!$E$13/Escenarios!$E$16-AM220)</f>
        <v>1.9601286056843926E-3</v>
      </c>
      <c r="AO220" s="76">
        <f>AM220+AN220-O220*Escenarios!$E$13/Escenarios!$E$16</f>
        <v>0</v>
      </c>
      <c r="AP220" s="76">
        <f t="shared" si="42"/>
        <v>0.36739931242661955</v>
      </c>
      <c r="AQ220" s="76">
        <f t="shared" si="45"/>
        <v>0</v>
      </c>
      <c r="AR220" s="76">
        <f t="shared" si="46"/>
        <v>0.36935944103230395</v>
      </c>
      <c r="AS220" s="76">
        <f t="shared" si="47"/>
        <v>0</v>
      </c>
      <c r="AT220" s="76">
        <f t="shared" si="48"/>
        <v>0</v>
      </c>
      <c r="AU220" s="76">
        <f t="shared" si="49"/>
        <v>48.75</v>
      </c>
      <c r="AV220" s="76">
        <f>MAX(0,(AU220-Constantes!$D$13)*(1-EXP(-Constantes!$D$24)))</f>
        <v>0</v>
      </c>
      <c r="AW220" s="170">
        <f>AW219+(Entradas!$E$112*AT220-AX219)/(800*Entradas!$D$25)</f>
        <v>0</v>
      </c>
      <c r="AX220" s="170">
        <f>8000*Entradas!$D$26*AW220/Constantes!$E$45</f>
        <v>0</v>
      </c>
      <c r="AY220" s="170">
        <f>IF(Escenarios!$E$17&gt;0,10*Escenarios!$E$16*AL220,0)</f>
        <v>0</v>
      </c>
      <c r="AZ220" s="170">
        <f>IF(Escenarios!$E$17&gt;0,10*Escenarios!$E$16*AX220,0)</f>
        <v>0</v>
      </c>
      <c r="BA220" s="170">
        <f>IF(Escenarios!$E$17&gt;0,0.001*Observaciones!$F219*Escenarios!$E$17,0)</f>
        <v>8</v>
      </c>
      <c r="BB220" s="170">
        <f>IF(Escenarios!$E$17&gt;0,Observaciones!$K219,0)</f>
        <v>0</v>
      </c>
      <c r="BC220" s="170">
        <f>IF(Escenarios!$E$17&gt;0,MIN(0.0005*ETo!$M219*Escenarios!$E$17*(BG219/Constantes!$E$40)^(2/3),BG219+AY220+AZ220+BA220+BB220),0)</f>
        <v>5.6348757130320903</v>
      </c>
      <c r="BD220" s="170">
        <f>IF(Escenarios!$E$17&gt;0,MIN(Constantes!$E$39*(BG219/Constantes!$E$40)^(2/3),BG219+AY220+AZ220+BA220+BB220-BC220),0)</f>
        <v>13.372573870203679</v>
      </c>
      <c r="BE220" s="170">
        <f>IF(Escenarios!$E$17&gt;0,MIN(Entradas!$E$113,BG219+AY220+AZ220+BA220+BB220-BC220-BD220),0)</f>
        <v>1</v>
      </c>
      <c r="BF220" s="170">
        <f>IF(Escenarios!$E$17&gt;0,MAX(0,BG219+AY220+AZ220+BA220+BB220-BC220-BD220-BE220-Constantes!$E$40),0)</f>
        <v>0</v>
      </c>
      <c r="BG220" s="170">
        <f t="shared" si="54"/>
        <v>443.60571993185187</v>
      </c>
      <c r="BH220" s="170">
        <f>(Escenarios!$E$16*AK220+0.1*BC220)/(Escenarios!$E$19)</f>
        <v>0.31979804571209602</v>
      </c>
      <c r="BI220" s="170">
        <f>IF(Escenarios!$E$17&gt;0,BF220/10/Escenarios!$E$19,AL220)</f>
        <v>0</v>
      </c>
      <c r="BJ220" s="170">
        <f>(Escenarios!$E$16*AT220+0.1*BD220)/(Escenarios!$E$19)</f>
        <v>5.3065769326205072E-3</v>
      </c>
      <c r="BK220" s="76">
        <f>BK219+(0.1*BD220)/(Escenarios!$E$19)-BL219</f>
        <v>49.958106474066405</v>
      </c>
      <c r="BL220" s="76">
        <f>MAX(0,(BK220-Constantes!$D$13)*(1-EXP(-Constantes!$D$23)))</f>
        <v>1.1903760837519995E-2</v>
      </c>
      <c r="BM220" s="76">
        <f t="shared" si="50"/>
        <v>0.37930307326413953</v>
      </c>
      <c r="BN220" s="76">
        <f t="shared" si="55"/>
        <v>0.38126320186982393</v>
      </c>
      <c r="BO220" s="76">
        <f>0.0526*BI220*Observaciones!$F219^1.218</f>
        <v>0</v>
      </c>
      <c r="BP220" s="76">
        <f>BO220*Constantes!$E$51</f>
        <v>0</v>
      </c>
      <c r="BQ220" s="76">
        <f t="shared" si="51"/>
        <v>0</v>
      </c>
      <c r="BR220" s="40"/>
    </row>
    <row r="221" spans="1:70">
      <c r="A221" s="147"/>
      <c r="B221" s="39"/>
      <c r="C221" s="75">
        <v>215</v>
      </c>
      <c r="D221" s="146">
        <f>ETo!$I220*((1-Constantes!$E$19)*ETo!$K220+ETo!$L220)</f>
        <v>2.9437355239545724</v>
      </c>
      <c r="E221" s="76">
        <f>MIN(D221*Constantes!$E$17,0.8*(N220+Observaciones!$F220-F221-M221-Constantes!$D$14))</f>
        <v>5.2311892401299076E-2</v>
      </c>
      <c r="F221" s="76">
        <f>IF(Observaciones!$F220&gt;0.05*Constantes!$E$18,((Observaciones!$F220-0.05*Constantes!$E$18)^2)/(Observaciones!$F220+0.95*Constantes!$E$18),0)</f>
        <v>0</v>
      </c>
      <c r="G221" s="76">
        <f>IF(Escenarios!$E$11&gt;0,(F221*Escenarios!$E$16*10000)/1000,0)</f>
        <v>0</v>
      </c>
      <c r="H221" s="76">
        <f>IF(Escenarios!$E$11&gt;0,(Observaciones!$F220*Constantes!$E$29)/1000,0)</f>
        <v>0</v>
      </c>
      <c r="I221" s="76">
        <f>IF(Escenarios!$E$11&gt;0,(D221*Constantes!$E$29)/1000,0)</f>
        <v>29.437355239545724</v>
      </c>
      <c r="J221" s="76">
        <f>IF(Escenarios!$E$11&gt;0,MAX(0,G221+H221-I221),0)</f>
        <v>0</v>
      </c>
      <c r="K221" s="76">
        <f>IF(Escenarios!$E$11&gt;0,IF(J221&gt;Constantes!$E$30,1000*((J221-Constantes!$E$30)/(Escenarios!$E$16*10000)),0),F221)</f>
        <v>0</v>
      </c>
      <c r="L221" s="76">
        <f>IF(Escenarios!$E$11&gt;0,I221*1000/Escenarios!$E$16/10000+E221,E221)</f>
        <v>6.408683449711737E-2</v>
      </c>
      <c r="M221" s="76">
        <f>MAX(0,N220+Observaciones!$F220-K221-Constantes!$D$13)</f>
        <v>0</v>
      </c>
      <c r="N221" s="76">
        <f>N220+Observaciones!$F220-K221-L221-M221-O220</f>
        <v>11.24907561213441</v>
      </c>
      <c r="O221" s="76">
        <f>MAX(0,(N221-Constantes!$D$14)*(1-EXP(-Constantes!$D$22)))</f>
        <v>0</v>
      </c>
      <c r="P221" s="170">
        <f>P220+(Entradas!$E$83*M221-Q220)/(800*Entradas!$D$25)</f>
        <v>0</v>
      </c>
      <c r="Q221" s="170">
        <f>8000*Entradas!$D$26*P221/Constantes!$E$45</f>
        <v>0</v>
      </c>
      <c r="R221" s="170">
        <f>IF(Escenarios!$E$14&gt;0,K221*Escenarios!$E$13/Escenarios!$E$14,0)</f>
        <v>0</v>
      </c>
      <c r="S221" s="170">
        <f>IF(Escenarios!$E$14&gt;0,Q221*Escenarios!$E$13/Escenarios!$E$14,0)</f>
        <v>0</v>
      </c>
      <c r="T221" s="170">
        <f>IF(Escenarios!$E$14&gt;0,Observaciones!$I220,0)</f>
        <v>0</v>
      </c>
      <c r="U221" s="170">
        <f>IF(Escenarios!$E$14&gt;0,MAX(0,Constantes!$E$36/((Z220+R221+S221+T221+Observaciones!$F220)^2)+Entradas!$E$77),0)</f>
        <v>0</v>
      </c>
      <c r="V221" s="146">
        <f>IF(ETo!D220&gt;0,ETo!I220*((1-Entradas!$E$81)*ETo!K220+ETo!L220),0)</f>
        <v>2.6610874375267977</v>
      </c>
      <c r="W221" s="170">
        <f>IF(Escenarios!$E$14&gt;0,MIN(V221*1,0.8*(Z220+R221+S221+T221+Observaciones!$F220-U221-Constantes!$E$35)),0)</f>
        <v>6.4000231974068816E-2</v>
      </c>
      <c r="X221" s="170">
        <f>IF(Escenarios!$E$14&gt;0,Observaciones!$J220,0)</f>
        <v>0</v>
      </c>
      <c r="Y221" s="170">
        <f>IF(Escenarios!$E$14&gt;0,MAX(0,Z220+R221+S221+T221+Observaciones!$F220-U221-W221-X221-Constantes!$E$33),0)</f>
        <v>0</v>
      </c>
      <c r="Z221" s="170">
        <f>Z220+R221+S221+T221+Observaciones!$F220-U221-W221-Y221</f>
        <v>41.266000057993516</v>
      </c>
      <c r="AA221" s="170">
        <f>IF(Escenarios!$E$14&gt;0,(Escenarios!$E$13*L221+Escenarios!$E$14*W221)/(Escenarios!$E$16),L221)</f>
        <v>6.4076442194351546E-2</v>
      </c>
      <c r="AB221" s="170">
        <f>IF(Escenarios!$E$14&gt;0,(Escenarios!$E$14*Y221)/(Escenarios!$E$16),K221)</f>
        <v>0</v>
      </c>
      <c r="AC221" s="170">
        <f>IF(Escenarios!$E$14&gt;0,(Escenarios!$E$13*M221+Escenarios!$E$14*U221)/(Escenarios!$E$16),M221)</f>
        <v>0</v>
      </c>
      <c r="AD221" s="76">
        <f t="shared" si="43"/>
        <v>85.669765136570931</v>
      </c>
      <c r="AE221" s="76">
        <f>MAX(0,(AD221-Constantes!$D$13)*(1-EXP(-Constantes!$D$23)))</f>
        <v>0.36377923949358165</v>
      </c>
      <c r="AF221" s="76">
        <f>AB221+O221*Escenarios!$E$13/Escenarios!$E$16+AE221</f>
        <v>0.36377923949358165</v>
      </c>
      <c r="AG221" s="76">
        <f>IF(Entradas!$E$91&gt;0,IF(AF221-Escenarios!$E$38&lt;=0,0,IF(AF221-Escenarios!$E$38&gt;Escenarios!$E$37,Escenarios!$E$37,AF221-Escenarios!$E$38)),0)</f>
        <v>0</v>
      </c>
      <c r="AH221" s="76">
        <f>AG221*Entradas!$E$99</f>
        <v>0</v>
      </c>
      <c r="AI221" s="76">
        <f>IF(Entradas!$E$91&gt;0,D221*Entradas!$D$23/Escenarios!$E$16,0)</f>
        <v>0</v>
      </c>
      <c r="AJ221" s="76">
        <f>IF(Entradas!$E$91&gt;0,Entradas!$D$24*Entradas!$D$22/Escenarios!$E$16,0)</f>
        <v>0</v>
      </c>
      <c r="AK221" s="76">
        <f t="shared" si="52"/>
        <v>6.4076442194351546E-2</v>
      </c>
      <c r="AL221" s="76">
        <f t="shared" si="53"/>
        <v>0</v>
      </c>
      <c r="AM221" s="76">
        <f t="shared" si="44"/>
        <v>0</v>
      </c>
      <c r="AN221" s="76">
        <f>MAX(0,O221*Escenarios!$E$13/Escenarios!$E$16-AM221)</f>
        <v>0</v>
      </c>
      <c r="AO221" s="76">
        <f>AM221+AN221-O221*Escenarios!$E$13/Escenarios!$E$16</f>
        <v>0</v>
      </c>
      <c r="AP221" s="76">
        <f t="shared" si="42"/>
        <v>0.36377923949358165</v>
      </c>
      <c r="AQ221" s="76">
        <f t="shared" si="45"/>
        <v>0</v>
      </c>
      <c r="AR221" s="76">
        <f t="shared" si="46"/>
        <v>0.36377923949358165</v>
      </c>
      <c r="AS221" s="76">
        <f t="shared" si="47"/>
        <v>0</v>
      </c>
      <c r="AT221" s="76">
        <f t="shared" si="48"/>
        <v>0</v>
      </c>
      <c r="AU221" s="76">
        <f t="shared" si="49"/>
        <v>48.75</v>
      </c>
      <c r="AV221" s="76">
        <f>MAX(0,(AU221-Constantes!$D$13)*(1-EXP(-Constantes!$D$24)))</f>
        <v>0</v>
      </c>
      <c r="AW221" s="170">
        <f>AW220+(Entradas!$E$112*AT221-AX220)/(800*Entradas!$D$25)</f>
        <v>0</v>
      </c>
      <c r="AX221" s="170">
        <f>8000*Entradas!$D$26*AW221/Constantes!$E$45</f>
        <v>0</v>
      </c>
      <c r="AY221" s="170">
        <f>IF(Escenarios!$E$17&gt;0,10*Escenarios!$E$16*AL221,0)</f>
        <v>0</v>
      </c>
      <c r="AZ221" s="170">
        <f>IF(Escenarios!$E$17&gt;0,10*Escenarios!$E$16*AX221,0)</f>
        <v>0</v>
      </c>
      <c r="BA221" s="170">
        <f>IF(Escenarios!$E$17&gt;0,0.001*Observaciones!$F220*Escenarios!$E$17,0)</f>
        <v>0</v>
      </c>
      <c r="BB221" s="170">
        <f>IF(Escenarios!$E$17&gt;0,Observaciones!$K220,0)</f>
        <v>0</v>
      </c>
      <c r="BC221" s="170">
        <f>IF(Escenarios!$E$17&gt;0,MIN(0.0005*ETo!$M220*Escenarios!$E$17*(BG220/Constantes!$E$40)^(2/3),BG220+AY221+AZ221+BA221+BB221),0)</f>
        <v>5.5641464168114894</v>
      </c>
      <c r="BD221" s="170">
        <f>IF(Escenarios!$E$17&gt;0,MIN(Constantes!$E$39*(BG220/Constantes!$E$40)^(2/3),BG220+AY221+AZ221+BA221+BB221-BC221),0)</f>
        <v>13.136578073930014</v>
      </c>
      <c r="BE221" s="170">
        <f>IF(Escenarios!$E$17&gt;0,MIN(Entradas!$E$113,BG220+AY221+AZ221+BA221+BB221-BC221-BD221),0)</f>
        <v>1</v>
      </c>
      <c r="BF221" s="170">
        <f>IF(Escenarios!$E$17&gt;0,MAX(0,BG220+AY221+AZ221+BA221+BB221-BC221-BD221-BE221-Constantes!$E$40),0)</f>
        <v>0</v>
      </c>
      <c r="BG221" s="170">
        <f t="shared" si="54"/>
        <v>423.90499544111037</v>
      </c>
      <c r="BH221" s="170">
        <f>(Escenarios!$E$16*AK221+0.1*BC221)/(Escenarios!$E$19)</f>
        <v>6.5775893612178699E-2</v>
      </c>
      <c r="BI221" s="170">
        <f>IF(Escenarios!$E$17&gt;0,BF221/10/Escenarios!$E$19,AL221)</f>
        <v>0</v>
      </c>
      <c r="BJ221" s="170">
        <f>(Escenarios!$E$16*AT221+0.1*BD221)/(Escenarios!$E$19)</f>
        <v>5.2129278071150848E-3</v>
      </c>
      <c r="BK221" s="76">
        <f>BK220+(0.1*BD221)/(Escenarios!$E$19)-BL220</f>
        <v>49.951415641036</v>
      </c>
      <c r="BL221" s="76">
        <f>MAX(0,(BK221-Constantes!$D$13)*(1-EXP(-Constantes!$D$23)))</f>
        <v>1.1837834466039152E-2</v>
      </c>
      <c r="BM221" s="76">
        <f t="shared" si="50"/>
        <v>0.3756170739596208</v>
      </c>
      <c r="BN221" s="76">
        <f t="shared" si="55"/>
        <v>0.3756170739596208</v>
      </c>
      <c r="BO221" s="76">
        <f>0.0526*BI221*Observaciones!$F220^1.218</f>
        <v>0</v>
      </c>
      <c r="BP221" s="76">
        <f>BO221*Constantes!$E$51</f>
        <v>0</v>
      </c>
      <c r="BQ221" s="76">
        <f t="shared" si="51"/>
        <v>0</v>
      </c>
      <c r="BR221" s="40"/>
    </row>
    <row r="222" spans="1:70">
      <c r="A222" s="147"/>
      <c r="B222" s="39"/>
      <c r="C222" s="75">
        <v>216</v>
      </c>
      <c r="D222" s="146">
        <f>ETo!$I221*((1-Constantes!$E$19)*ETo!$K221+ETo!$L221)</f>
        <v>2.9598392407359775</v>
      </c>
      <c r="E222" s="76">
        <f>MIN(D222*Constantes!$E$17,0.8*(N221+Observaciones!$F221-F222-M222-Constantes!$D$14))</f>
        <v>-7.3951029247183448E-4</v>
      </c>
      <c r="F222" s="76">
        <f>IF(Observaciones!$F221&gt;0.05*Constantes!$E$18,((Observaciones!$F221-0.05*Constantes!$E$18)^2)/(Observaciones!$F221+0.95*Constantes!$E$18),0)</f>
        <v>0</v>
      </c>
      <c r="G222" s="76">
        <f>IF(Escenarios!$E$11&gt;0,(F222*Escenarios!$E$16*10000)/1000,0)</f>
        <v>0</v>
      </c>
      <c r="H222" s="76">
        <f>IF(Escenarios!$E$11&gt;0,(Observaciones!$F221*Constantes!$E$29)/1000,0)</f>
        <v>0</v>
      </c>
      <c r="I222" s="76">
        <f>IF(Escenarios!$E$11&gt;0,(D222*Constantes!$E$29)/1000,0)</f>
        <v>29.598392407359775</v>
      </c>
      <c r="J222" s="76">
        <f>IF(Escenarios!$E$11&gt;0,MAX(0,G222+H222-I222),0)</f>
        <v>0</v>
      </c>
      <c r="K222" s="76">
        <f>IF(Escenarios!$E$11&gt;0,IF(J222&gt;Constantes!$E$30,1000*((J222-Constantes!$E$30)/(Escenarios!$E$16*10000)),0),F222)</f>
        <v>0</v>
      </c>
      <c r="L222" s="76">
        <f>IF(Escenarios!$E$11&gt;0,I222*1000/Escenarios!$E$16/10000+E222,E222)</f>
        <v>1.1099846670472075E-2</v>
      </c>
      <c r="M222" s="76">
        <f>MAX(0,N221+Observaciones!$F221-K222-Constantes!$D$13)</f>
        <v>0</v>
      </c>
      <c r="N222" s="76">
        <f>N221+Observaciones!$F221-K222-L222-M222-O221</f>
        <v>11.237975765463938</v>
      </c>
      <c r="O222" s="76">
        <f>MAX(0,(N222-Constantes!$D$14)*(1-EXP(-Constantes!$D$22)))</f>
        <v>0</v>
      </c>
      <c r="P222" s="170">
        <f>P221+(Entradas!$E$83*M222-Q221)/(800*Entradas!$D$25)</f>
        <v>0</v>
      </c>
      <c r="Q222" s="170">
        <f>8000*Entradas!$D$26*P222/Constantes!$E$45</f>
        <v>0</v>
      </c>
      <c r="R222" s="170">
        <f>IF(Escenarios!$E$14&gt;0,K222*Escenarios!$E$13/Escenarios!$E$14,0)</f>
        <v>0</v>
      </c>
      <c r="S222" s="170">
        <f>IF(Escenarios!$E$14&gt;0,Q222*Escenarios!$E$13/Escenarios!$E$14,0)</f>
        <v>0</v>
      </c>
      <c r="T222" s="170">
        <f>IF(Escenarios!$E$14&gt;0,Observaciones!$I221,0)</f>
        <v>0</v>
      </c>
      <c r="U222" s="170">
        <f>IF(Escenarios!$E$14&gt;0,MAX(0,Constantes!$E$36/((Z221+R222+S222+T222+Observaciones!$F221)^2)+Entradas!$E$77),0)</f>
        <v>0</v>
      </c>
      <c r="V222" s="146">
        <f>IF(ETo!D221&gt;0,ETo!I221*((1-Entradas!$E$81)*ETo!K221+ETo!L221),0)</f>
        <v>2.6761658240262411</v>
      </c>
      <c r="W222" s="170">
        <f>IF(Escenarios!$E$14&gt;0,MIN(V222*1,0.8*(Z221+R222+S222+T222+Observaciones!$F221-U222-Constantes!$E$35)),0)</f>
        <v>1.2800046394812626E-2</v>
      </c>
      <c r="X222" s="170">
        <f>IF(Escenarios!$E$14&gt;0,Observaciones!$J221,0)</f>
        <v>0</v>
      </c>
      <c r="Y222" s="170">
        <f>IF(Escenarios!$E$14&gt;0,MAX(0,Z221+R222+S222+T222+Observaciones!$F221-U222-W222-X222-Constantes!$E$33),0)</f>
        <v>0</v>
      </c>
      <c r="Z222" s="170">
        <f>Z221+R222+S222+T222+Observaciones!$F221-U222-W222-Y222</f>
        <v>41.2532000115987</v>
      </c>
      <c r="AA222" s="170">
        <f>IF(Escenarios!$E$14&gt;0,(Escenarios!$E$13*L222+Escenarios!$E$14*W222)/(Escenarios!$E$16),L222)</f>
        <v>1.1303870637392941E-2</v>
      </c>
      <c r="AB222" s="170">
        <f>IF(Escenarios!$E$14&gt;0,(Escenarios!$E$14*Y222)/(Escenarios!$E$16),K222)</f>
        <v>0</v>
      </c>
      <c r="AC222" s="170">
        <f>IF(Escenarios!$E$14&gt;0,(Escenarios!$E$13*M222+Escenarios!$E$14*U222)/(Escenarios!$E$16),M222)</f>
        <v>0</v>
      </c>
      <c r="AD222" s="76">
        <f t="shared" si="43"/>
        <v>85.305985897077349</v>
      </c>
      <c r="AE222" s="76">
        <f>MAX(0,(AD222-Constantes!$D$13)*(1-EXP(-Constantes!$D$23)))</f>
        <v>0.36019483600138708</v>
      </c>
      <c r="AF222" s="76">
        <f>AB222+O222*Escenarios!$E$13/Escenarios!$E$16+AE222</f>
        <v>0.36019483600138708</v>
      </c>
      <c r="AG222" s="76">
        <f>IF(Entradas!$E$91&gt;0,IF(AF222-Escenarios!$E$38&lt;=0,0,IF(AF222-Escenarios!$E$38&gt;Escenarios!$E$37,Escenarios!$E$37,AF222-Escenarios!$E$38)),0)</f>
        <v>0</v>
      </c>
      <c r="AH222" s="76">
        <f>AG222*Entradas!$E$99</f>
        <v>0</v>
      </c>
      <c r="AI222" s="76">
        <f>IF(Entradas!$E$91&gt;0,D222*Entradas!$D$23/Escenarios!$E$16,0)</f>
        <v>0</v>
      </c>
      <c r="AJ222" s="76">
        <f>IF(Entradas!$E$91&gt;0,Entradas!$D$24*Entradas!$D$22/Escenarios!$E$16,0)</f>
        <v>0</v>
      </c>
      <c r="AK222" s="76">
        <f t="shared" si="52"/>
        <v>1.1303870637392941E-2</v>
      </c>
      <c r="AL222" s="76">
        <f t="shared" si="53"/>
        <v>0</v>
      </c>
      <c r="AM222" s="76">
        <f t="shared" si="44"/>
        <v>0</v>
      </c>
      <c r="AN222" s="76">
        <f>MAX(0,O222*Escenarios!$E$13/Escenarios!$E$16-AM222)</f>
        <v>0</v>
      </c>
      <c r="AO222" s="76">
        <f>AM222+AN222-O222*Escenarios!$E$13/Escenarios!$E$16</f>
        <v>0</v>
      </c>
      <c r="AP222" s="76">
        <f t="shared" si="42"/>
        <v>0.36019483600138708</v>
      </c>
      <c r="AQ222" s="76">
        <f t="shared" si="45"/>
        <v>0</v>
      </c>
      <c r="AR222" s="76">
        <f t="shared" si="46"/>
        <v>0.36019483600138708</v>
      </c>
      <c r="AS222" s="76">
        <f t="shared" si="47"/>
        <v>0</v>
      </c>
      <c r="AT222" s="76">
        <f t="shared" si="48"/>
        <v>0</v>
      </c>
      <c r="AU222" s="76">
        <f t="shared" si="49"/>
        <v>48.75</v>
      </c>
      <c r="AV222" s="76">
        <f>MAX(0,(AU222-Constantes!$D$13)*(1-EXP(-Constantes!$D$24)))</f>
        <v>0</v>
      </c>
      <c r="AW222" s="170">
        <f>AW221+(Entradas!$E$112*AT222-AX221)/(800*Entradas!$D$25)</f>
        <v>0</v>
      </c>
      <c r="AX222" s="170">
        <f>8000*Entradas!$D$26*AW222/Constantes!$E$45</f>
        <v>0</v>
      </c>
      <c r="AY222" s="170">
        <f>IF(Escenarios!$E$17&gt;0,10*Escenarios!$E$16*AL222,0)</f>
        <v>0</v>
      </c>
      <c r="AZ222" s="170">
        <f>IF(Escenarios!$E$17&gt;0,10*Escenarios!$E$16*AX222,0)</f>
        <v>0</v>
      </c>
      <c r="BA222" s="170">
        <f>IF(Escenarios!$E$17&gt;0,0.001*Observaciones!$F221*Escenarios!$E$17,0)</f>
        <v>0</v>
      </c>
      <c r="BB222" s="170">
        <f>IF(Escenarios!$E$17&gt;0,Observaciones!$K221,0)</f>
        <v>0</v>
      </c>
      <c r="BC222" s="170">
        <f>IF(Escenarios!$E$17&gt;0,MIN(0.0005*ETo!$M221*Escenarios!$E$17*(BG221/Constantes!$E$40)^(2/3),BG221+AY222+AZ222+BA222+BB222),0)</f>
        <v>5.4263898209570858</v>
      </c>
      <c r="BD222" s="170">
        <f>IF(Escenarios!$E$17&gt;0,MIN(Constantes!$E$39*(BG221/Constantes!$E$40)^(2/3),BG221+AY222+AZ222+BA222+BB222-BC222),0)</f>
        <v>12.744706818836018</v>
      </c>
      <c r="BE222" s="170">
        <f>IF(Escenarios!$E$17&gt;0,MIN(Entradas!$E$113,BG221+AY222+AZ222+BA222+BB222-BC222-BD222),0)</f>
        <v>1</v>
      </c>
      <c r="BF222" s="170">
        <f>IF(Escenarios!$E$17&gt;0,MAX(0,BG221+AY222+AZ222+BA222+BB222-BC222-BD222-BE222-Constantes!$E$40),0)</f>
        <v>0</v>
      </c>
      <c r="BG222" s="170">
        <f t="shared" si="54"/>
        <v>404.73389880131731</v>
      </c>
      <c r="BH222" s="170">
        <f>(Escenarios!$E$16*AK222+0.1*BC222)/(Escenarios!$E$19)</f>
        <v>1.3367486672396603E-2</v>
      </c>
      <c r="BI222" s="170">
        <f>IF(Escenarios!$E$17&gt;0,BF222/10/Escenarios!$E$19,AL222)</f>
        <v>0</v>
      </c>
      <c r="BJ222" s="170">
        <f>(Escenarios!$E$16*AT222+0.1*BD222)/(Escenarios!$E$19)</f>
        <v>5.0574233408079445E-3</v>
      </c>
      <c r="BK222" s="76">
        <f>BK221+(0.1*BD222)/(Escenarios!$E$19)-BL221</f>
        <v>49.944635229910773</v>
      </c>
      <c r="BL222" s="76">
        <f>MAX(0,(BK222-Constantes!$D$13)*(1-EXP(-Constantes!$D$23)))</f>
        <v>1.1771025460254179E-2</v>
      </c>
      <c r="BM222" s="76">
        <f t="shared" si="50"/>
        <v>0.37196586146164123</v>
      </c>
      <c r="BN222" s="76">
        <f t="shared" si="55"/>
        <v>0.37196586146164123</v>
      </c>
      <c r="BO222" s="76">
        <f>0.0526*BI222*Observaciones!$F221^1.218</f>
        <v>0</v>
      </c>
      <c r="BP222" s="76">
        <f>BO222*Constantes!$E$51</f>
        <v>0</v>
      </c>
      <c r="BQ222" s="76">
        <f t="shared" si="51"/>
        <v>0</v>
      </c>
      <c r="BR222" s="40"/>
    </row>
    <row r="223" spans="1:70">
      <c r="A223" s="147"/>
      <c r="B223" s="39"/>
      <c r="C223" s="75">
        <v>217</v>
      </c>
      <c r="D223" s="146">
        <f>ETo!$I222*((1-Constantes!$E$19)*ETo!$K222+ETo!$L222)</f>
        <v>3.0706340448221656</v>
      </c>
      <c r="E223" s="76">
        <f>MIN(D223*Constantes!$E$17,0.8*(N222+Observaciones!$F222-F223-M223-Constantes!$D$14))</f>
        <v>-9.6193876288495524E-3</v>
      </c>
      <c r="F223" s="76">
        <f>IF(Observaciones!$F222&gt;0.05*Constantes!$E$18,((Observaciones!$F222-0.05*Constantes!$E$18)^2)/(Observaciones!$F222+0.95*Constantes!$E$18),0)</f>
        <v>0</v>
      </c>
      <c r="G223" s="76">
        <f>IF(Escenarios!$E$11&gt;0,(F223*Escenarios!$E$16*10000)/1000,0)</f>
        <v>0</v>
      </c>
      <c r="H223" s="76">
        <f>IF(Escenarios!$E$11&gt;0,(Observaciones!$F222*Constantes!$E$29)/1000,0)</f>
        <v>0</v>
      </c>
      <c r="I223" s="76">
        <f>IF(Escenarios!$E$11&gt;0,(D223*Constantes!$E$29)/1000,0)</f>
        <v>30.706340448221656</v>
      </c>
      <c r="J223" s="76">
        <f>IF(Escenarios!$E$11&gt;0,MAX(0,G223+H223-I223),0)</f>
        <v>0</v>
      </c>
      <c r="K223" s="76">
        <f>IF(Escenarios!$E$11&gt;0,IF(J223&gt;Constantes!$E$30,1000*((J223-Constantes!$E$30)/(Escenarios!$E$16*10000)),0),F223)</f>
        <v>0</v>
      </c>
      <c r="L223" s="76">
        <f>IF(Escenarios!$E$11&gt;0,I223*1000/Escenarios!$E$16/10000+E223,E223)</f>
        <v>2.6631485504391098E-3</v>
      </c>
      <c r="M223" s="76">
        <f>MAX(0,N222+Observaciones!$F222-K223-Constantes!$D$13)</f>
        <v>0</v>
      </c>
      <c r="N223" s="76">
        <f>N222+Observaciones!$F222-K223-L223-M223-O222</f>
        <v>11.235312616913498</v>
      </c>
      <c r="O223" s="76">
        <f>MAX(0,(N223-Constantes!$D$14)*(1-EXP(-Constantes!$D$22)))</f>
        <v>0</v>
      </c>
      <c r="P223" s="170">
        <f>P222+(Entradas!$E$83*M223-Q222)/(800*Entradas!$D$25)</f>
        <v>0</v>
      </c>
      <c r="Q223" s="170">
        <f>8000*Entradas!$D$26*P223/Constantes!$E$45</f>
        <v>0</v>
      </c>
      <c r="R223" s="170">
        <f>IF(Escenarios!$E$14&gt;0,K223*Escenarios!$E$13/Escenarios!$E$14,0)</f>
        <v>0</v>
      </c>
      <c r="S223" s="170">
        <f>IF(Escenarios!$E$14&gt;0,Q223*Escenarios!$E$13/Escenarios!$E$14,0)</f>
        <v>0</v>
      </c>
      <c r="T223" s="170">
        <f>IF(Escenarios!$E$14&gt;0,Observaciones!$I222,0)</f>
        <v>0</v>
      </c>
      <c r="U223" s="170">
        <f>IF(Escenarios!$E$14&gt;0,MAX(0,Constantes!$E$36/((Z222+R223+S223+T223+Observaciones!$F222)^2)+Entradas!$E$77),0)</f>
        <v>0</v>
      </c>
      <c r="V223" s="146">
        <f>IF(ETo!D222&gt;0,ETo!I222*((1-Entradas!$E$81)*ETo!K222+ETo!L222),0)</f>
        <v>2.7780305413683437</v>
      </c>
      <c r="W223" s="170">
        <f>IF(Escenarios!$E$14&gt;0,MIN(V223*1,0.8*(Z222+R223+S223+T223+Observaciones!$F222-U223-Constantes!$E$35)),0)</f>
        <v>2.5600092789602514E-3</v>
      </c>
      <c r="X223" s="170">
        <f>IF(Escenarios!$E$14&gt;0,Observaciones!$J222,0)</f>
        <v>0</v>
      </c>
      <c r="Y223" s="170">
        <f>IF(Escenarios!$E$14&gt;0,MAX(0,Z222+R223+S223+T223+Observaciones!$F222-U223-W223-X223-Constantes!$E$33),0)</f>
        <v>0</v>
      </c>
      <c r="Z223" s="170">
        <f>Z222+R223+S223+T223+Observaciones!$F222-U223-W223-Y223</f>
        <v>41.250640002319741</v>
      </c>
      <c r="AA223" s="170">
        <f>IF(Escenarios!$E$14&gt;0,(Escenarios!$E$13*L223+Escenarios!$E$14*W223)/(Escenarios!$E$16),L223)</f>
        <v>2.6507718378616469E-3</v>
      </c>
      <c r="AB223" s="170">
        <f>IF(Escenarios!$E$14&gt;0,(Escenarios!$E$14*Y223)/(Escenarios!$E$16),K223)</f>
        <v>0</v>
      </c>
      <c r="AC223" s="170">
        <f>IF(Escenarios!$E$14&gt;0,(Escenarios!$E$13*M223+Escenarios!$E$14*U223)/(Escenarios!$E$16),M223)</f>
        <v>0</v>
      </c>
      <c r="AD223" s="76">
        <f t="shared" si="43"/>
        <v>84.945791061075965</v>
      </c>
      <c r="AE223" s="76">
        <f>MAX(0,(AD223-Constantes!$D$13)*(1-EXP(-Constantes!$D$23)))</f>
        <v>0.35664575049053948</v>
      </c>
      <c r="AF223" s="76">
        <f>AB223+O223*Escenarios!$E$13/Escenarios!$E$16+AE223</f>
        <v>0.35664575049053948</v>
      </c>
      <c r="AG223" s="76">
        <f>IF(Entradas!$E$91&gt;0,IF(AF223-Escenarios!$E$38&lt;=0,0,IF(AF223-Escenarios!$E$38&gt;Escenarios!$E$37,Escenarios!$E$37,AF223-Escenarios!$E$38)),0)</f>
        <v>0</v>
      </c>
      <c r="AH223" s="76">
        <f>AG223*Entradas!$E$99</f>
        <v>0</v>
      </c>
      <c r="AI223" s="76">
        <f>IF(Entradas!$E$91&gt;0,D223*Entradas!$D$23/Escenarios!$E$16,0)</f>
        <v>0</v>
      </c>
      <c r="AJ223" s="76">
        <f>IF(Entradas!$E$91&gt;0,Entradas!$D$24*Entradas!$D$22/Escenarios!$E$16,0)</f>
        <v>0</v>
      </c>
      <c r="AK223" s="76">
        <f t="shared" si="52"/>
        <v>2.6507718378616469E-3</v>
      </c>
      <c r="AL223" s="76">
        <f t="shared" si="53"/>
        <v>0</v>
      </c>
      <c r="AM223" s="76">
        <f t="shared" si="44"/>
        <v>0</v>
      </c>
      <c r="AN223" s="76">
        <f>MAX(0,O223*Escenarios!$E$13/Escenarios!$E$16-AM223)</f>
        <v>0</v>
      </c>
      <c r="AO223" s="76">
        <f>AM223+AN223-O223*Escenarios!$E$13/Escenarios!$E$16</f>
        <v>0</v>
      </c>
      <c r="AP223" s="76">
        <f t="shared" si="42"/>
        <v>0.35664575049053948</v>
      </c>
      <c r="AQ223" s="76">
        <f t="shared" si="45"/>
        <v>0</v>
      </c>
      <c r="AR223" s="76">
        <f t="shared" si="46"/>
        <v>0.35664575049053948</v>
      </c>
      <c r="AS223" s="76">
        <f t="shared" si="47"/>
        <v>0</v>
      </c>
      <c r="AT223" s="76">
        <f t="shared" si="48"/>
        <v>0</v>
      </c>
      <c r="AU223" s="76">
        <f t="shared" si="49"/>
        <v>48.75</v>
      </c>
      <c r="AV223" s="76">
        <f>MAX(0,(AU223-Constantes!$D$13)*(1-EXP(-Constantes!$D$24)))</f>
        <v>0</v>
      </c>
      <c r="AW223" s="170">
        <f>AW222+(Entradas!$E$112*AT223-AX222)/(800*Entradas!$D$25)</f>
        <v>0</v>
      </c>
      <c r="AX223" s="170">
        <f>8000*Entradas!$D$26*AW223/Constantes!$E$45</f>
        <v>0</v>
      </c>
      <c r="AY223" s="170">
        <f>IF(Escenarios!$E$17&gt;0,10*Escenarios!$E$16*AL223,0)</f>
        <v>0</v>
      </c>
      <c r="AZ223" s="170">
        <f>IF(Escenarios!$E$17&gt;0,10*Escenarios!$E$16*AX223,0)</f>
        <v>0</v>
      </c>
      <c r="BA223" s="170">
        <f>IF(Escenarios!$E$17&gt;0,0.001*Observaciones!$F222*Escenarios!$E$17,0)</f>
        <v>0</v>
      </c>
      <c r="BB223" s="170">
        <f>IF(Escenarios!$E$17&gt;0,Observaciones!$K222,0)</f>
        <v>0</v>
      </c>
      <c r="BC223" s="170">
        <f>IF(Escenarios!$E$17&gt;0,MIN(0.0005*ETo!$M222*Escenarios!$E$17*(BG222/Constantes!$E$40)^(2/3),BG222+AY223+AZ223+BA223+BB223),0)</f>
        <v>5.4543744736073858</v>
      </c>
      <c r="BD223" s="170">
        <f>IF(Escenarios!$E$17&gt;0,MIN(Constantes!$E$39*(BG222/Constantes!$E$40)^(2/3),BG222+AY223+AZ223+BA223+BB223-BC223),0)</f>
        <v>12.357497940488976</v>
      </c>
      <c r="BE223" s="170">
        <f>IF(Escenarios!$E$17&gt;0,MIN(Entradas!$E$113,BG222+AY223+AZ223+BA223+BB223-BC223-BD223),0)</f>
        <v>1</v>
      </c>
      <c r="BF223" s="170">
        <f>IF(Escenarios!$E$17&gt;0,MAX(0,BG222+AY223+AZ223+BA223+BB223-BC223-BD223-BE223-Constantes!$E$40),0)</f>
        <v>0</v>
      </c>
      <c r="BG223" s="170">
        <f t="shared" si="54"/>
        <v>385.92202638722091</v>
      </c>
      <c r="BH223" s="170">
        <f>(Escenarios!$E$16*AK223+0.1*BC223)/(Escenarios!$E$19)</f>
        <v>4.794168281056152E-3</v>
      </c>
      <c r="BI223" s="170">
        <f>IF(Escenarios!$E$17&gt;0,BF223/10/Escenarios!$E$19,AL223)</f>
        <v>0</v>
      </c>
      <c r="BJ223" s="170">
        <f>(Escenarios!$E$16*AT223+0.1*BD223)/(Escenarios!$E$19)</f>
        <v>4.9037690240035627E-3</v>
      </c>
      <c r="BK223" s="76">
        <f>BK222+(0.1*BD223)/(Escenarios!$E$19)-BL222</f>
        <v>49.937767973474521</v>
      </c>
      <c r="BL223" s="76">
        <f>MAX(0,(BK223-Constantes!$D$13)*(1-EXP(-Constantes!$D$23)))</f>
        <v>1.1703360746934743E-2</v>
      </c>
      <c r="BM223" s="76">
        <f t="shared" si="50"/>
        <v>0.36834911123747421</v>
      </c>
      <c r="BN223" s="76">
        <f t="shared" si="55"/>
        <v>0.36834911123747421</v>
      </c>
      <c r="BO223" s="76">
        <f>0.0526*BI223*Observaciones!$F222^1.218</f>
        <v>0</v>
      </c>
      <c r="BP223" s="76">
        <f>BO223*Constantes!$E$51</f>
        <v>0</v>
      </c>
      <c r="BQ223" s="76">
        <f t="shared" si="51"/>
        <v>0</v>
      </c>
      <c r="BR223" s="40"/>
    </row>
    <row r="224" spans="1:70">
      <c r="A224" s="147"/>
      <c r="B224" s="39"/>
      <c r="C224" s="75">
        <v>218</v>
      </c>
      <c r="D224" s="146">
        <f>ETo!$I223*((1-Constantes!$E$19)*ETo!$K223+ETo!$L223)</f>
        <v>2.6591790238413018</v>
      </c>
      <c r="E224" s="76">
        <f>MIN(D224*Constantes!$E$17,0.8*(N223+Observaciones!$F223-F224-M224-Constantes!$D$14))</f>
        <v>1.3001053673658847</v>
      </c>
      <c r="F224" s="76">
        <f>IF(Observaciones!$F223&gt;0.05*Constantes!$E$18,((Observaciones!$F223-0.05*Constantes!$E$18)^2)/(Observaciones!$F223+0.95*Constantes!$E$18),0)</f>
        <v>0</v>
      </c>
      <c r="G224" s="76">
        <f>IF(Escenarios!$E$11&gt;0,(F224*Escenarios!$E$16*10000)/1000,0)</f>
        <v>0</v>
      </c>
      <c r="H224" s="76">
        <f>IF(Escenarios!$E$11&gt;0,(Observaciones!$F223*Constantes!$E$29)/1000,0)</f>
        <v>26</v>
      </c>
      <c r="I224" s="76">
        <f>IF(Escenarios!$E$11&gt;0,(D224*Constantes!$E$29)/1000,0)</f>
        <v>26.591790238413019</v>
      </c>
      <c r="J224" s="76">
        <f>IF(Escenarios!$E$11&gt;0,MAX(0,G224+H224-I224),0)</f>
        <v>0</v>
      </c>
      <c r="K224" s="76">
        <f>IF(Escenarios!$E$11&gt;0,IF(J224&gt;Constantes!$E$30,1000*((J224-Constantes!$E$30)/(Escenarios!$E$16*10000)),0),F224)</f>
        <v>0</v>
      </c>
      <c r="L224" s="76">
        <f>IF(Escenarios!$E$11&gt;0,I224*1000/Escenarios!$E$16/10000+E224,E224)</f>
        <v>1.31074208346125</v>
      </c>
      <c r="M224" s="76">
        <f>MAX(0,N223+Observaciones!$F223-K224-Constantes!$D$13)</f>
        <v>0</v>
      </c>
      <c r="N224" s="76">
        <f>N223+Observaciones!$F223-K224-L224-M224-O223</f>
        <v>12.524570533452248</v>
      </c>
      <c r="O224" s="76">
        <f>MAX(0,(N224-Constantes!$D$14)*(1-EXP(-Constantes!$D$22)))</f>
        <v>4.3416551413601463E-2</v>
      </c>
      <c r="P224" s="170">
        <f>P223+(Entradas!$E$83*M224-Q223)/(800*Entradas!$D$25)</f>
        <v>0</v>
      </c>
      <c r="Q224" s="170">
        <f>8000*Entradas!$D$26*P224/Constantes!$E$45</f>
        <v>0</v>
      </c>
      <c r="R224" s="170">
        <f>IF(Escenarios!$E$14&gt;0,K224*Escenarios!$E$13/Escenarios!$E$14,0)</f>
        <v>0</v>
      </c>
      <c r="S224" s="170">
        <f>IF(Escenarios!$E$14&gt;0,Q224*Escenarios!$E$13/Escenarios!$E$14,0)</f>
        <v>0</v>
      </c>
      <c r="T224" s="170">
        <f>IF(Escenarios!$E$14&gt;0,Observaciones!$I223,0)</f>
        <v>0</v>
      </c>
      <c r="U224" s="170">
        <f>IF(Escenarios!$E$14&gt;0,MAX(0,Constantes!$E$36/((Z223+R224+S224+T224+Observaciones!$F223)^2)+Entradas!$E$77),0)</f>
        <v>0</v>
      </c>
      <c r="V224" s="146">
        <f>IF(ETo!D223&gt;0,ETo!I223*((1-Entradas!$E$81)*ETo!K223+ETo!L223),0)</f>
        <v>2.4038748626051198</v>
      </c>
      <c r="W224" s="170">
        <f>IF(Escenarios!$E$14&gt;0,MIN(V224*1,0.8*(Z223+R224+S224+T224+Observaciones!$F223-U224-Constantes!$E$35)),0)</f>
        <v>2.0805120018557943</v>
      </c>
      <c r="X224" s="170">
        <f>IF(Escenarios!$E$14&gt;0,Observaciones!$J223,0)</f>
        <v>0</v>
      </c>
      <c r="Y224" s="170">
        <f>IF(Escenarios!$E$14&gt;0,MAX(0,Z223+R224+S224+T224+Observaciones!$F223-U224-W224-X224-Constantes!$E$33),0)</f>
        <v>0</v>
      </c>
      <c r="Z224" s="170">
        <f>Z223+R224+S224+T224+Observaciones!$F223-U224-W224-Y224</f>
        <v>41.770128000463949</v>
      </c>
      <c r="AA224" s="170">
        <f>IF(Escenarios!$E$14&gt;0,(Escenarios!$E$13*L224+Escenarios!$E$14*W224)/(Escenarios!$E$16),L224)</f>
        <v>1.4031144736685954</v>
      </c>
      <c r="AB224" s="170">
        <f>IF(Escenarios!$E$14&gt;0,(Escenarios!$E$14*Y224)/(Escenarios!$E$16),K224)</f>
        <v>0</v>
      </c>
      <c r="AC224" s="170">
        <f>IF(Escenarios!$E$14&gt;0,(Escenarios!$E$13*M224+Escenarios!$E$14*U224)/(Escenarios!$E$16),M224)</f>
        <v>0</v>
      </c>
      <c r="AD224" s="76">
        <f t="shared" si="43"/>
        <v>84.589145310585423</v>
      </c>
      <c r="AE224" s="76">
        <f>MAX(0,(AD224-Constantes!$D$13)*(1-EXP(-Constantes!$D$23)))</f>
        <v>0.35313163496455657</v>
      </c>
      <c r="AF224" s="76">
        <f>AB224+O224*Escenarios!$E$13/Escenarios!$E$16+AE224</f>
        <v>0.39133820020852583</v>
      </c>
      <c r="AG224" s="76">
        <f>IF(Entradas!$E$91&gt;0,IF(AF224-Escenarios!$E$38&lt;=0,0,IF(AF224-Escenarios!$E$38&gt;Escenarios!$E$37,Escenarios!$E$37,AF224-Escenarios!$E$38)),0)</f>
        <v>0</v>
      </c>
      <c r="AH224" s="76">
        <f>AG224*Entradas!$E$99</f>
        <v>0</v>
      </c>
      <c r="AI224" s="76">
        <f>IF(Entradas!$E$91&gt;0,D224*Entradas!$D$23/Escenarios!$E$16,0)</f>
        <v>0</v>
      </c>
      <c r="AJ224" s="76">
        <f>IF(Entradas!$E$91&gt;0,Entradas!$D$24*Entradas!$D$22/Escenarios!$E$16,0)</f>
        <v>0</v>
      </c>
      <c r="AK224" s="76">
        <f t="shared" si="52"/>
        <v>1.4031144736685954</v>
      </c>
      <c r="AL224" s="76">
        <f t="shared" si="53"/>
        <v>0</v>
      </c>
      <c r="AM224" s="76">
        <f t="shared" si="44"/>
        <v>0</v>
      </c>
      <c r="AN224" s="76">
        <f>MAX(0,O224*Escenarios!$E$13/Escenarios!$E$16-AM224)</f>
        <v>3.8206565243969287E-2</v>
      </c>
      <c r="AO224" s="76">
        <f>AM224+AN224-O224*Escenarios!$E$13/Escenarios!$E$16</f>
        <v>0</v>
      </c>
      <c r="AP224" s="76">
        <f t="shared" si="42"/>
        <v>0.35313163496455657</v>
      </c>
      <c r="AQ224" s="76">
        <f t="shared" si="45"/>
        <v>0</v>
      </c>
      <c r="AR224" s="76">
        <f t="shared" si="46"/>
        <v>0.39133820020852583</v>
      </c>
      <c r="AS224" s="76">
        <f t="shared" si="47"/>
        <v>0</v>
      </c>
      <c r="AT224" s="76">
        <f t="shared" si="48"/>
        <v>0</v>
      </c>
      <c r="AU224" s="76">
        <f t="shared" si="49"/>
        <v>48.75</v>
      </c>
      <c r="AV224" s="76">
        <f>MAX(0,(AU224-Constantes!$D$13)*(1-EXP(-Constantes!$D$24)))</f>
        <v>0</v>
      </c>
      <c r="AW224" s="170">
        <f>AW223+(Entradas!$E$112*AT224-AX223)/(800*Entradas!$D$25)</f>
        <v>0</v>
      </c>
      <c r="AX224" s="170">
        <f>8000*Entradas!$D$26*AW224/Constantes!$E$45</f>
        <v>0</v>
      </c>
      <c r="AY224" s="170">
        <f>IF(Escenarios!$E$17&gt;0,10*Escenarios!$E$16*AL224,0)</f>
        <v>0</v>
      </c>
      <c r="AZ224" s="170">
        <f>IF(Escenarios!$E$17&gt;0,10*Escenarios!$E$16*AX224,0)</f>
        <v>0</v>
      </c>
      <c r="BA224" s="170">
        <f>IF(Escenarios!$E$17&gt;0,0.001*Observaciones!$F223*Escenarios!$E$17,0)</f>
        <v>52.000000000000007</v>
      </c>
      <c r="BB224" s="170">
        <f>IF(Escenarios!$E$17&gt;0,Observaciones!$K223,0)</f>
        <v>0</v>
      </c>
      <c r="BC224" s="170">
        <f>IF(Escenarios!$E$17&gt;0,MIN(0.0005*ETo!$M223*Escenarios!$E$17*(BG223/Constantes!$E$40)^(2/3),BG223+AY224+AZ224+BA224+BB224),0)</f>
        <v>4.5804777134122938</v>
      </c>
      <c r="BD224" s="170">
        <f>IF(Escenarios!$E$17&gt;0,MIN(Constantes!$E$39*(BG223/Constantes!$E$40)^(2/3),BG223+AY224+AZ224+BA224+BB224-BC224),0)</f>
        <v>11.971554235174393</v>
      </c>
      <c r="BE224" s="170">
        <f>IF(Escenarios!$E$17&gt;0,MIN(Entradas!$E$113,BG223+AY224+AZ224+BA224+BB224-BC224-BD224),0)</f>
        <v>1</v>
      </c>
      <c r="BF224" s="170">
        <f>IF(Escenarios!$E$17&gt;0,MAX(0,BG223+AY224+AZ224+BA224+BB224-BC224-BD224-BE224-Constantes!$E$40),0)</f>
        <v>0</v>
      </c>
      <c r="BG224" s="170">
        <f t="shared" si="54"/>
        <v>420.36999443863425</v>
      </c>
      <c r="BH224" s="170">
        <f>(Escenarios!$E$16*AK224+0.1*BC224)/(Escenarios!$E$19)</f>
        <v>1.3937962943987701</v>
      </c>
      <c r="BI224" s="170">
        <f>IF(Escenarios!$E$17&gt;0,BF224/10/Escenarios!$E$19,AL224)</f>
        <v>0</v>
      </c>
      <c r="BJ224" s="170">
        <f>(Escenarios!$E$16*AT224+0.1*BD224)/(Escenarios!$E$19)</f>
        <v>4.7506167599898385E-3</v>
      </c>
      <c r="BK224" s="76">
        <f>BK223+(0.1*BD224)/(Escenarios!$E$19)-BL223</f>
        <v>49.930815229487578</v>
      </c>
      <c r="BL224" s="76">
        <f>MAX(0,(BK224-Constantes!$D$13)*(1-EXP(-Constantes!$D$23)))</f>
        <v>1.1634853704416793E-2</v>
      </c>
      <c r="BM224" s="76">
        <f t="shared" si="50"/>
        <v>0.36476648866897338</v>
      </c>
      <c r="BN224" s="76">
        <f t="shared" si="55"/>
        <v>0.40297305391294264</v>
      </c>
      <c r="BO224" s="76">
        <f>0.0526*BI224*Observaciones!$F223^1.218</f>
        <v>0</v>
      </c>
      <c r="BP224" s="76">
        <f>BO224*Constantes!$E$51</f>
        <v>0</v>
      </c>
      <c r="BQ224" s="76">
        <f t="shared" si="51"/>
        <v>0</v>
      </c>
      <c r="BR224" s="40"/>
    </row>
    <row r="225" spans="1:70">
      <c r="A225" s="147"/>
      <c r="B225" s="39"/>
      <c r="C225" s="75">
        <v>219</v>
      </c>
      <c r="D225" s="146">
        <f>ETo!$I224*((1-Constantes!$E$19)*ETo!$K224+ETo!$L224)</f>
        <v>3.0059074760645119</v>
      </c>
      <c r="E225" s="76">
        <f>MIN(D225*Constantes!$E$17,0.8*(N224+Observaciones!$F224-F225-M225-Constantes!$D$14))</f>
        <v>1.0196564267617987</v>
      </c>
      <c r="F225" s="76">
        <f>IF(Observaciones!$F224&gt;0.05*Constantes!$E$18,((Observaciones!$F224-0.05*Constantes!$E$18)^2)/(Observaciones!$F224+0.95*Constantes!$E$18),0)</f>
        <v>0</v>
      </c>
      <c r="G225" s="76">
        <f>IF(Escenarios!$E$11&gt;0,(F225*Escenarios!$E$16*10000)/1000,0)</f>
        <v>0</v>
      </c>
      <c r="H225" s="76">
        <f>IF(Escenarios!$E$11&gt;0,(Observaciones!$F224*Constantes!$E$29)/1000,0)</f>
        <v>0</v>
      </c>
      <c r="I225" s="76">
        <f>IF(Escenarios!$E$11&gt;0,(D225*Constantes!$E$29)/1000,0)</f>
        <v>30.059074760645117</v>
      </c>
      <c r="J225" s="76">
        <f>IF(Escenarios!$E$11&gt;0,MAX(0,G225+H225-I225),0)</f>
        <v>0</v>
      </c>
      <c r="K225" s="76">
        <f>IF(Escenarios!$E$11&gt;0,IF(J225&gt;Constantes!$E$30,1000*((J225-Constantes!$E$30)/(Escenarios!$E$16*10000)),0),F225)</f>
        <v>0</v>
      </c>
      <c r="L225" s="76">
        <f>IF(Escenarios!$E$11&gt;0,I225*1000/Escenarios!$E$16/10000+E225,E225)</f>
        <v>1.0316800566660567</v>
      </c>
      <c r="M225" s="76">
        <f>MAX(0,N224+Observaciones!$F224-K225-Constantes!$D$13)</f>
        <v>0</v>
      </c>
      <c r="N225" s="76">
        <f>N224+Observaciones!$F224-K225-L225-M225-O224</f>
        <v>11.44947392537259</v>
      </c>
      <c r="O225" s="76">
        <f>MAX(0,(N225-Constantes!$D$14)*(1-EXP(-Constantes!$D$22)))</f>
        <v>6.7948141819618134E-3</v>
      </c>
      <c r="P225" s="170">
        <f>P224+(Entradas!$E$83*M225-Q224)/(800*Entradas!$D$25)</f>
        <v>0</v>
      </c>
      <c r="Q225" s="170">
        <f>8000*Entradas!$D$26*P225/Constantes!$E$45</f>
        <v>0</v>
      </c>
      <c r="R225" s="170">
        <f>IF(Escenarios!$E$14&gt;0,K225*Escenarios!$E$13/Escenarios!$E$14,0)</f>
        <v>0</v>
      </c>
      <c r="S225" s="170">
        <f>IF(Escenarios!$E$14&gt;0,Q225*Escenarios!$E$13/Escenarios!$E$14,0)</f>
        <v>0</v>
      </c>
      <c r="T225" s="170">
        <f>IF(Escenarios!$E$14&gt;0,Observaciones!$I224,0)</f>
        <v>0</v>
      </c>
      <c r="U225" s="170">
        <f>IF(Escenarios!$E$14&gt;0,MAX(0,Constantes!$E$36/((Z224+R225+S225+T225+Observaciones!$F224)^2)+Entradas!$E$77),0)</f>
        <v>0</v>
      </c>
      <c r="V225" s="146">
        <f>IF(ETo!D224&gt;0,ETo!I224*((1-Entradas!$E$81)*ETo!K224+ETo!L224),0)</f>
        <v>2.7193740124404924</v>
      </c>
      <c r="W225" s="170">
        <f>IF(Escenarios!$E$14&gt;0,MIN(V225*1,0.8*(Z224+R225+S225+T225+Observaciones!$F224-U225-Constantes!$E$35)),0)</f>
        <v>0.41610240037115886</v>
      </c>
      <c r="X225" s="170">
        <f>IF(Escenarios!$E$14&gt;0,Observaciones!$J224,0)</f>
        <v>0</v>
      </c>
      <c r="Y225" s="170">
        <f>IF(Escenarios!$E$14&gt;0,MAX(0,Z224+R225+S225+T225+Observaciones!$F224-U225-W225-X225-Constantes!$E$33),0)</f>
        <v>0</v>
      </c>
      <c r="Z225" s="170">
        <f>Z224+R225+S225+T225+Observaciones!$F224-U225-W225-Y225</f>
        <v>41.35402560009279</v>
      </c>
      <c r="AA225" s="170">
        <f>IF(Escenarios!$E$14&gt;0,(Escenarios!$E$13*L225+Escenarios!$E$14*W225)/(Escenarios!$E$16),L225)</f>
        <v>0.95781073791066884</v>
      </c>
      <c r="AB225" s="170">
        <f>IF(Escenarios!$E$14&gt;0,(Escenarios!$E$14*Y225)/(Escenarios!$E$16),K225)</f>
        <v>0</v>
      </c>
      <c r="AC225" s="170">
        <f>IF(Escenarios!$E$14&gt;0,(Escenarios!$E$13*M225+Escenarios!$E$14*U225)/(Escenarios!$E$16),M225)</f>
        <v>0</v>
      </c>
      <c r="AD225" s="76">
        <f t="shared" si="43"/>
        <v>84.236013675620868</v>
      </c>
      <c r="AE225" s="76">
        <f>MAX(0,(AD225-Constantes!$D$13)*(1-EXP(-Constantes!$D$23)))</f>
        <v>0.34965214485584828</v>
      </c>
      <c r="AF225" s="76">
        <f>AB225+O225*Escenarios!$E$13/Escenarios!$E$16+AE225</f>
        <v>0.35563158133597467</v>
      </c>
      <c r="AG225" s="76">
        <f>IF(Entradas!$E$91&gt;0,IF(AF225-Escenarios!$E$38&lt;=0,0,IF(AF225-Escenarios!$E$38&gt;Escenarios!$E$37,Escenarios!$E$37,AF225-Escenarios!$E$38)),0)</f>
        <v>0</v>
      </c>
      <c r="AH225" s="76">
        <f>AG225*Entradas!$E$99</f>
        <v>0</v>
      </c>
      <c r="AI225" s="76">
        <f>IF(Entradas!$E$91&gt;0,D225*Entradas!$D$23/Escenarios!$E$16,0)</f>
        <v>0</v>
      </c>
      <c r="AJ225" s="76">
        <f>IF(Entradas!$E$91&gt;0,Entradas!$D$24*Entradas!$D$22/Escenarios!$E$16,0)</f>
        <v>0</v>
      </c>
      <c r="AK225" s="76">
        <f t="shared" si="52"/>
        <v>0.95781073791066884</v>
      </c>
      <c r="AL225" s="76">
        <f t="shared" si="53"/>
        <v>0</v>
      </c>
      <c r="AM225" s="76">
        <f t="shared" si="44"/>
        <v>0</v>
      </c>
      <c r="AN225" s="76">
        <f>MAX(0,O225*Escenarios!$E$13/Escenarios!$E$16-AM225)</f>
        <v>5.9794364801263964E-3</v>
      </c>
      <c r="AO225" s="76">
        <f>AM225+AN225-O225*Escenarios!$E$13/Escenarios!$E$16</f>
        <v>0</v>
      </c>
      <c r="AP225" s="76">
        <f t="shared" si="42"/>
        <v>0.34965214485584828</v>
      </c>
      <c r="AQ225" s="76">
        <f t="shared" si="45"/>
        <v>0</v>
      </c>
      <c r="AR225" s="76">
        <f t="shared" si="46"/>
        <v>0.35563158133597467</v>
      </c>
      <c r="AS225" s="76">
        <f t="shared" si="47"/>
        <v>0</v>
      </c>
      <c r="AT225" s="76">
        <f t="shared" si="48"/>
        <v>0</v>
      </c>
      <c r="AU225" s="76">
        <f t="shared" si="49"/>
        <v>48.75</v>
      </c>
      <c r="AV225" s="76">
        <f>MAX(0,(AU225-Constantes!$D$13)*(1-EXP(-Constantes!$D$24)))</f>
        <v>0</v>
      </c>
      <c r="AW225" s="170">
        <f>AW224+(Entradas!$E$112*AT225-AX224)/(800*Entradas!$D$25)</f>
        <v>0</v>
      </c>
      <c r="AX225" s="170">
        <f>8000*Entradas!$D$26*AW225/Constantes!$E$45</f>
        <v>0</v>
      </c>
      <c r="AY225" s="170">
        <f>IF(Escenarios!$E$17&gt;0,10*Escenarios!$E$16*AL225,0)</f>
        <v>0</v>
      </c>
      <c r="AZ225" s="170">
        <f>IF(Escenarios!$E$17&gt;0,10*Escenarios!$E$16*AX225,0)</f>
        <v>0</v>
      </c>
      <c r="BA225" s="170">
        <f>IF(Escenarios!$E$17&gt;0,0.001*Observaciones!$F224*Escenarios!$E$17,0)</f>
        <v>0</v>
      </c>
      <c r="BB225" s="170">
        <f>IF(Escenarios!$E$17&gt;0,Observaciones!$K224,0)</f>
        <v>0</v>
      </c>
      <c r="BC225" s="170">
        <f>IF(Escenarios!$E$17&gt;0,MIN(0.0005*ETo!$M224*Escenarios!$E$17*(BG224/Constantes!$E$40)^(2/3),BG224+AY225+AZ225+BA225+BB225),0)</f>
        <v>5.4762918973590891</v>
      </c>
      <c r="BD225" s="170">
        <f>IF(Escenarios!$E$17&gt;0,MIN(Constantes!$E$39*(BG224/Constantes!$E$40)^(2/3),BG224+AY225+AZ225+BA225+BB225-BC225),0)</f>
        <v>12.67375475547659</v>
      </c>
      <c r="BE225" s="170">
        <f>IF(Escenarios!$E$17&gt;0,MIN(Entradas!$E$113,BG224+AY225+AZ225+BA225+BB225-BC225-BD225),0)</f>
        <v>1</v>
      </c>
      <c r="BF225" s="170">
        <f>IF(Escenarios!$E$17&gt;0,MAX(0,BG224+AY225+AZ225+BA225+BB225-BC225-BD225-BE225-Constantes!$E$40),0)</f>
        <v>0</v>
      </c>
      <c r="BG225" s="170">
        <f t="shared" si="54"/>
        <v>401.21994778579858</v>
      </c>
      <c r="BH225" s="170">
        <f>(Escenarios!$E$16*AK225+0.1*BC225)/(Escenarios!$E$19)</f>
        <v>0.95238219709286953</v>
      </c>
      <c r="BI225" s="170">
        <f>IF(Escenarios!$E$17&gt;0,BF225/10/Escenarios!$E$19,AL225)</f>
        <v>0</v>
      </c>
      <c r="BJ225" s="170">
        <f>(Escenarios!$E$16*AT225+0.1*BD225)/(Escenarios!$E$19)</f>
        <v>5.0292677601097586E-3</v>
      </c>
      <c r="BK225" s="76">
        <f>BK224+(0.1*BD225)/(Escenarios!$E$19)-BL224</f>
        <v>49.924209643543271</v>
      </c>
      <c r="BL225" s="76">
        <f>MAX(0,(BK225-Constantes!$D$13)*(1-EXP(-Constantes!$D$23)))</f>
        <v>1.1569767292779544E-2</v>
      </c>
      <c r="BM225" s="76">
        <f t="shared" si="50"/>
        <v>0.36122191214862781</v>
      </c>
      <c r="BN225" s="76">
        <f t="shared" si="55"/>
        <v>0.3672013486287542</v>
      </c>
      <c r="BO225" s="76">
        <f>0.0526*BI225*Observaciones!$F224^1.218</f>
        <v>0</v>
      </c>
      <c r="BP225" s="76">
        <f>BO225*Constantes!$E$51</f>
        <v>0</v>
      </c>
      <c r="BQ225" s="76">
        <f t="shared" si="51"/>
        <v>0</v>
      </c>
      <c r="BR225" s="40"/>
    </row>
    <row r="226" spans="1:70">
      <c r="A226" s="147"/>
      <c r="B226" s="39"/>
      <c r="C226" s="75">
        <v>220</v>
      </c>
      <c r="D226" s="146">
        <f>ETo!$I225*((1-Constantes!$E$19)*ETo!$K225+ETo!$L225)</f>
        <v>2.9411837730658776</v>
      </c>
      <c r="E226" s="76">
        <f>MIN(D226*Constantes!$E$17,0.8*(N225+Observaciones!$F225-F226-M226-Constantes!$D$14))</f>
        <v>0.63957914029807206</v>
      </c>
      <c r="F226" s="76">
        <f>IF(Observaciones!$F225&gt;0.05*Constantes!$E$18,((Observaciones!$F225-0.05*Constantes!$E$18)^2)/(Observaciones!$F225+0.95*Constantes!$E$18),0)</f>
        <v>0</v>
      </c>
      <c r="G226" s="76">
        <f>IF(Escenarios!$E$11&gt;0,(F226*Escenarios!$E$16*10000)/1000,0)</f>
        <v>0</v>
      </c>
      <c r="H226" s="76">
        <f>IF(Escenarios!$E$11&gt;0,(Observaciones!$F225*Constantes!$E$29)/1000,0)</f>
        <v>6</v>
      </c>
      <c r="I226" s="76">
        <f>IF(Escenarios!$E$11&gt;0,(D226*Constantes!$E$29)/1000,0)</f>
        <v>29.411837730658775</v>
      </c>
      <c r="J226" s="76">
        <f>IF(Escenarios!$E$11&gt;0,MAX(0,G226+H226-I226),0)</f>
        <v>0</v>
      </c>
      <c r="K226" s="76">
        <f>IF(Escenarios!$E$11&gt;0,IF(J226&gt;Constantes!$E$30,1000*((J226-Constantes!$E$30)/(Escenarios!$E$16*10000)),0),F226)</f>
        <v>0</v>
      </c>
      <c r="L226" s="76">
        <f>IF(Escenarios!$E$11&gt;0,I226*1000/Escenarios!$E$16/10000+E226,E226)</f>
        <v>0.65134387539033556</v>
      </c>
      <c r="M226" s="76">
        <f>MAX(0,N225+Observaciones!$F225-K226-Constantes!$D$13)</f>
        <v>0</v>
      </c>
      <c r="N226" s="76">
        <f>N225+Observaciones!$F225-K226-L226-M226-O225</f>
        <v>11.391335235800293</v>
      </c>
      <c r="O226" s="76">
        <f>MAX(0,(N226-Constantes!$D$14)*(1-EXP(-Constantes!$D$22)))</f>
        <v>4.8143969836305619E-3</v>
      </c>
      <c r="P226" s="170">
        <f>P225+(Entradas!$E$83*M226-Q225)/(800*Entradas!$D$25)</f>
        <v>0</v>
      </c>
      <c r="Q226" s="170">
        <f>8000*Entradas!$D$26*P226/Constantes!$E$45</f>
        <v>0</v>
      </c>
      <c r="R226" s="170">
        <f>IF(Escenarios!$E$14&gt;0,K226*Escenarios!$E$13/Escenarios!$E$14,0)</f>
        <v>0</v>
      </c>
      <c r="S226" s="170">
        <f>IF(Escenarios!$E$14&gt;0,Q226*Escenarios!$E$13/Escenarios!$E$14,0)</f>
        <v>0</v>
      </c>
      <c r="T226" s="170">
        <f>IF(Escenarios!$E$14&gt;0,Observaciones!$I225,0)</f>
        <v>0</v>
      </c>
      <c r="U226" s="170">
        <f>IF(Escenarios!$E$14&gt;0,MAX(0,Constantes!$E$36/((Z225+R226+S226+T226+Observaciones!$F225)^2)+Entradas!$E$77),0)</f>
        <v>0</v>
      </c>
      <c r="V226" s="146">
        <f>IF(ETo!D225&gt;0,ETo!I225*((1-Entradas!$E$81)*ETo!K225+ETo!L225),0)</f>
        <v>2.6606494379353638</v>
      </c>
      <c r="W226" s="170">
        <f>IF(Escenarios!$E$14&gt;0,MIN(V226*1,0.8*(Z225+R226+S226+T226+Observaciones!$F225-U226-Constantes!$E$35)),0)</f>
        <v>0.56322048007423298</v>
      </c>
      <c r="X226" s="170">
        <f>IF(Escenarios!$E$14&gt;0,Observaciones!$J225,0)</f>
        <v>0</v>
      </c>
      <c r="Y226" s="170">
        <f>IF(Escenarios!$E$14&gt;0,MAX(0,Z225+R226+S226+T226+Observaciones!$F225-U226-W226-X226-Constantes!$E$33),0)</f>
        <v>0</v>
      </c>
      <c r="Z226" s="170">
        <f>Z225+R226+S226+T226+Observaciones!$F225-U226-W226-Y226</f>
        <v>41.390805120018555</v>
      </c>
      <c r="AA226" s="170">
        <f>IF(Escenarios!$E$14&gt;0,(Escenarios!$E$13*L226+Escenarios!$E$14*W226)/(Escenarios!$E$16),L226)</f>
        <v>0.64076906795240329</v>
      </c>
      <c r="AB226" s="170">
        <f>IF(Escenarios!$E$14&gt;0,(Escenarios!$E$14*Y226)/(Escenarios!$E$16),K226)</f>
        <v>0</v>
      </c>
      <c r="AC226" s="170">
        <f>IF(Escenarios!$E$14&gt;0,(Escenarios!$E$13*M226+Escenarios!$E$14*U226)/(Escenarios!$E$16),M226)</f>
        <v>0</v>
      </c>
      <c r="AD226" s="76">
        <f t="shared" si="43"/>
        <v>83.886361530765015</v>
      </c>
      <c r="AE226" s="76">
        <f>MAX(0,(AD226-Constantes!$D$13)*(1-EXP(-Constantes!$D$23)))</f>
        <v>0.34620693899193106</v>
      </c>
      <c r="AF226" s="76">
        <f>AB226+O226*Escenarios!$E$13/Escenarios!$E$16+AE226</f>
        <v>0.35044360833752597</v>
      </c>
      <c r="AG226" s="76">
        <f>IF(Entradas!$E$91&gt;0,IF(AF226-Escenarios!$E$38&lt;=0,0,IF(AF226-Escenarios!$E$38&gt;Escenarios!$E$37,Escenarios!$E$37,AF226-Escenarios!$E$38)),0)</f>
        <v>0</v>
      </c>
      <c r="AH226" s="76">
        <f>AG226*Entradas!$E$99</f>
        <v>0</v>
      </c>
      <c r="AI226" s="76">
        <f>IF(Entradas!$E$91&gt;0,D226*Entradas!$D$23/Escenarios!$E$16,0)</f>
        <v>0</v>
      </c>
      <c r="AJ226" s="76">
        <f>IF(Entradas!$E$91&gt;0,Entradas!$D$24*Entradas!$D$22/Escenarios!$E$16,0)</f>
        <v>0</v>
      </c>
      <c r="AK226" s="76">
        <f t="shared" si="52"/>
        <v>0.64076906795240329</v>
      </c>
      <c r="AL226" s="76">
        <f t="shared" si="53"/>
        <v>0</v>
      </c>
      <c r="AM226" s="76">
        <f t="shared" si="44"/>
        <v>0</v>
      </c>
      <c r="AN226" s="76">
        <f>MAX(0,O226*Escenarios!$E$13/Escenarios!$E$16-AM226)</f>
        <v>4.236669345594894E-3</v>
      </c>
      <c r="AO226" s="76">
        <f>AM226+AN226-O226*Escenarios!$E$13/Escenarios!$E$16</f>
        <v>0</v>
      </c>
      <c r="AP226" s="76">
        <f t="shared" si="42"/>
        <v>0.34620693899193106</v>
      </c>
      <c r="AQ226" s="76">
        <f t="shared" si="45"/>
        <v>0</v>
      </c>
      <c r="AR226" s="76">
        <f t="shared" si="46"/>
        <v>0.35044360833752597</v>
      </c>
      <c r="AS226" s="76">
        <f t="shared" si="47"/>
        <v>0</v>
      </c>
      <c r="AT226" s="76">
        <f t="shared" si="48"/>
        <v>0</v>
      </c>
      <c r="AU226" s="76">
        <f t="shared" si="49"/>
        <v>48.75</v>
      </c>
      <c r="AV226" s="76">
        <f>MAX(0,(AU226-Constantes!$D$13)*(1-EXP(-Constantes!$D$24)))</f>
        <v>0</v>
      </c>
      <c r="AW226" s="170">
        <f>AW225+(Entradas!$E$112*AT226-AX225)/(800*Entradas!$D$25)</f>
        <v>0</v>
      </c>
      <c r="AX226" s="170">
        <f>8000*Entradas!$D$26*AW226/Constantes!$E$45</f>
        <v>0</v>
      </c>
      <c r="AY226" s="170">
        <f>IF(Escenarios!$E$17&gt;0,10*Escenarios!$E$16*AL226,0)</f>
        <v>0</v>
      </c>
      <c r="AZ226" s="170">
        <f>IF(Escenarios!$E$17&gt;0,10*Escenarios!$E$16*AX226,0)</f>
        <v>0</v>
      </c>
      <c r="BA226" s="170">
        <f>IF(Escenarios!$E$17&gt;0,0.001*Observaciones!$F225*Escenarios!$E$17,0)</f>
        <v>11.999999999999998</v>
      </c>
      <c r="BB226" s="170">
        <f>IF(Escenarios!$E$17&gt;0,Observaciones!$K225,0)</f>
        <v>0</v>
      </c>
      <c r="BC226" s="170">
        <f>IF(Escenarios!$E$17&gt;0,MIN(0.0005*ETo!$M225*Escenarios!$E$17*(BG225/Constantes!$E$40)^(2/3),BG225+AY226+AZ226+BA226+BB226),0)</f>
        <v>5.1947917091397002</v>
      </c>
      <c r="BD226" s="170">
        <f>IF(Escenarios!$E$17&gt;0,MIN(Constantes!$E$39*(BG225/Constantes!$E$40)^(2/3),BG225+AY226+AZ226+BA226+BB226-BC226),0)</f>
        <v>12.285867796680431</v>
      </c>
      <c r="BE226" s="170">
        <f>IF(Escenarios!$E$17&gt;0,MIN(Entradas!$E$113,BG225+AY226+AZ226+BA226+BB226-BC226-BD226),0)</f>
        <v>1</v>
      </c>
      <c r="BF226" s="170">
        <f>IF(Escenarios!$E$17&gt;0,MAX(0,BG225+AY226+AZ226+BA226+BB226-BC226-BD226-BE226-Constantes!$E$40),0)</f>
        <v>0</v>
      </c>
      <c r="BG226" s="170">
        <f t="shared" si="54"/>
        <v>394.7392882799785</v>
      </c>
      <c r="BH226" s="170">
        <f>(Escenarios!$E$16*AK226+0.1*BC226)/(Escenarios!$E$19)</f>
        <v>0.63774502444053482</v>
      </c>
      <c r="BI226" s="170">
        <f>IF(Escenarios!$E$17&gt;0,BF226/10/Escenarios!$E$19,AL226)</f>
        <v>0</v>
      </c>
      <c r="BJ226" s="170">
        <f>(Escenarios!$E$16*AT226+0.1*BD226)/(Escenarios!$E$19)</f>
        <v>4.8753443637620762E-3</v>
      </c>
      <c r="BK226" s="76">
        <f>BK225+(0.1*BD226)/(Escenarios!$E$19)-BL225</f>
        <v>49.917515220614256</v>
      </c>
      <c r="BL226" s="76">
        <f>MAX(0,(BK226-Constantes!$D$13)*(1-EXP(-Constantes!$D$23)))</f>
        <v>1.1503805549172635E-2</v>
      </c>
      <c r="BM226" s="76">
        <f t="shared" si="50"/>
        <v>0.35771074454110369</v>
      </c>
      <c r="BN226" s="76">
        <f t="shared" si="55"/>
        <v>0.3619474138866986</v>
      </c>
      <c r="BO226" s="76">
        <f>0.0526*BI226*Observaciones!$F225^1.218</f>
        <v>0</v>
      </c>
      <c r="BP226" s="76">
        <f>BO226*Constantes!$E$51</f>
        <v>0</v>
      </c>
      <c r="BQ226" s="76">
        <f t="shared" si="51"/>
        <v>0</v>
      </c>
      <c r="BR226" s="40"/>
    </row>
    <row r="227" spans="1:70">
      <c r="A227" s="147"/>
      <c r="B227" s="39"/>
      <c r="C227" s="75">
        <v>221</v>
      </c>
      <c r="D227" s="146">
        <f>ETo!$I226*((1-Constantes!$E$19)*ETo!$K226+ETo!$L226)</f>
        <v>3.0980740413248364</v>
      </c>
      <c r="E227" s="76">
        <f>MIN(D227*Constantes!$E$17,0.8*(N226+Observaciones!$F226-F227-M227-Constantes!$D$14))</f>
        <v>0.11306818864023427</v>
      </c>
      <c r="F227" s="76">
        <f>IF(Observaciones!$F226&gt;0.05*Constantes!$E$18,((Observaciones!$F226-0.05*Constantes!$E$18)^2)/(Observaciones!$F226+0.95*Constantes!$E$18),0)</f>
        <v>0</v>
      </c>
      <c r="G227" s="76">
        <f>IF(Escenarios!$E$11&gt;0,(F227*Escenarios!$E$16*10000)/1000,0)</f>
        <v>0</v>
      </c>
      <c r="H227" s="76">
        <f>IF(Escenarios!$E$11&gt;0,(Observaciones!$F226*Constantes!$E$29)/1000,0)</f>
        <v>0</v>
      </c>
      <c r="I227" s="76">
        <f>IF(Escenarios!$E$11&gt;0,(D227*Constantes!$E$29)/1000,0)</f>
        <v>30.980740413248363</v>
      </c>
      <c r="J227" s="76">
        <f>IF(Escenarios!$E$11&gt;0,MAX(0,G227+H227-I227),0)</f>
        <v>0</v>
      </c>
      <c r="K227" s="76">
        <f>IF(Escenarios!$E$11&gt;0,IF(J227&gt;Constantes!$E$30,1000*((J227-Constantes!$E$30)/(Escenarios!$E$16*10000)),0),F227)</f>
        <v>0</v>
      </c>
      <c r="L227" s="76">
        <f>IF(Escenarios!$E$11&gt;0,I227*1000/Escenarios!$E$16/10000+E227,E227)</f>
        <v>0.12546048480553362</v>
      </c>
      <c r="M227" s="76">
        <f>MAX(0,N226+Observaciones!$F226-K227-Constantes!$D$13)</f>
        <v>0</v>
      </c>
      <c r="N227" s="76">
        <f>N226+Observaciones!$F226-K227-L227-M227-O226</f>
        <v>11.261060354011128</v>
      </c>
      <c r="O227" s="76">
        <f>MAX(0,(N227-Constantes!$D$14)*(1-EXP(-Constantes!$D$22)))</f>
        <v>3.767562610098452E-4</v>
      </c>
      <c r="P227" s="170">
        <f>P226+(Entradas!$E$83*M227-Q226)/(800*Entradas!$D$25)</f>
        <v>0</v>
      </c>
      <c r="Q227" s="170">
        <f>8000*Entradas!$D$26*P227/Constantes!$E$45</f>
        <v>0</v>
      </c>
      <c r="R227" s="170">
        <f>IF(Escenarios!$E$14&gt;0,K227*Escenarios!$E$13/Escenarios!$E$14,0)</f>
        <v>0</v>
      </c>
      <c r="S227" s="170">
        <f>IF(Escenarios!$E$14&gt;0,Q227*Escenarios!$E$13/Escenarios!$E$14,0)</f>
        <v>0</v>
      </c>
      <c r="T227" s="170">
        <f>IF(Escenarios!$E$14&gt;0,Observaciones!$I226,0)</f>
        <v>0</v>
      </c>
      <c r="U227" s="170">
        <f>IF(Escenarios!$E$14&gt;0,MAX(0,Constantes!$E$36/((Z226+R227+S227+T227+Observaciones!$F226)^2)+Entradas!$E$77),0)</f>
        <v>0</v>
      </c>
      <c r="V227" s="146">
        <f>IF(ETo!D226&gt;0,ETo!I226*((1-Entradas!$E$81)*ETo!K226+ETo!L226),0)</f>
        <v>2.8044861973241226</v>
      </c>
      <c r="W227" s="170">
        <f>IF(Escenarios!$E$14&gt;0,MIN(V227*1,0.8*(Z226+R227+S227+T227+Observaciones!$F226-U227-Constantes!$E$35)),0)</f>
        <v>0.11264409601484432</v>
      </c>
      <c r="X227" s="170">
        <f>IF(Escenarios!$E$14&gt;0,Observaciones!$J226,0)</f>
        <v>0</v>
      </c>
      <c r="Y227" s="170">
        <f>IF(Escenarios!$E$14&gt;0,MAX(0,Z226+R227+S227+T227+Observaciones!$F226-U227-W227-X227-Constantes!$E$33),0)</f>
        <v>0</v>
      </c>
      <c r="Z227" s="170">
        <f>Z226+R227+S227+T227+Observaciones!$F226-U227-W227-Y227</f>
        <v>41.278161024003708</v>
      </c>
      <c r="AA227" s="170">
        <f>IF(Escenarios!$E$14&gt;0,(Escenarios!$E$13*L227+Escenarios!$E$14*W227)/(Escenarios!$E$16),L227)</f>
        <v>0.1239225181506509</v>
      </c>
      <c r="AB227" s="170">
        <f>IF(Escenarios!$E$14&gt;0,(Escenarios!$E$14*Y227)/(Escenarios!$E$16),K227)</f>
        <v>0</v>
      </c>
      <c r="AC227" s="170">
        <f>IF(Escenarios!$E$14&gt;0,(Escenarios!$E$13*M227+Escenarios!$E$14*U227)/(Escenarios!$E$16),M227)</f>
        <v>0</v>
      </c>
      <c r="AD227" s="76">
        <f t="shared" si="43"/>
        <v>83.540154591773089</v>
      </c>
      <c r="AE227" s="76">
        <f>MAX(0,(AD227-Constantes!$D$13)*(1-EXP(-Constantes!$D$23)))</f>
        <v>0.34279567956197515</v>
      </c>
      <c r="AF227" s="76">
        <f>AB227+O227*Escenarios!$E$13/Escenarios!$E$16+AE227</f>
        <v>0.34312722507166382</v>
      </c>
      <c r="AG227" s="76">
        <f>IF(Entradas!$E$91&gt;0,IF(AF227-Escenarios!$E$38&lt;=0,0,IF(AF227-Escenarios!$E$38&gt;Escenarios!$E$37,Escenarios!$E$37,AF227-Escenarios!$E$38)),0)</f>
        <v>0</v>
      </c>
      <c r="AH227" s="76">
        <f>AG227*Entradas!$E$99</f>
        <v>0</v>
      </c>
      <c r="AI227" s="76">
        <f>IF(Entradas!$E$91&gt;0,D227*Entradas!$D$23/Escenarios!$E$16,0)</f>
        <v>0</v>
      </c>
      <c r="AJ227" s="76">
        <f>IF(Entradas!$E$91&gt;0,Entradas!$D$24*Entradas!$D$22/Escenarios!$E$16,0)</f>
        <v>0</v>
      </c>
      <c r="AK227" s="76">
        <f t="shared" si="52"/>
        <v>0.1239225181506509</v>
      </c>
      <c r="AL227" s="76">
        <f t="shared" si="53"/>
        <v>0</v>
      </c>
      <c r="AM227" s="76">
        <f t="shared" si="44"/>
        <v>0</v>
      </c>
      <c r="AN227" s="76">
        <f>MAX(0,O227*Escenarios!$E$13/Escenarios!$E$16-AM227)</f>
        <v>3.3154550968866376E-4</v>
      </c>
      <c r="AO227" s="76">
        <f>AM227+AN227-O227*Escenarios!$E$13/Escenarios!$E$16</f>
        <v>0</v>
      </c>
      <c r="AP227" s="76">
        <f t="shared" si="42"/>
        <v>0.34279567956197515</v>
      </c>
      <c r="AQ227" s="76">
        <f t="shared" si="45"/>
        <v>0</v>
      </c>
      <c r="AR227" s="76">
        <f t="shared" si="46"/>
        <v>0.34312722507166382</v>
      </c>
      <c r="AS227" s="76">
        <f t="shared" si="47"/>
        <v>0</v>
      </c>
      <c r="AT227" s="76">
        <f t="shared" si="48"/>
        <v>0</v>
      </c>
      <c r="AU227" s="76">
        <f t="shared" si="49"/>
        <v>48.75</v>
      </c>
      <c r="AV227" s="76">
        <f>MAX(0,(AU227-Constantes!$D$13)*(1-EXP(-Constantes!$D$24)))</f>
        <v>0</v>
      </c>
      <c r="AW227" s="170">
        <f>AW226+(Entradas!$E$112*AT227-AX226)/(800*Entradas!$D$25)</f>
        <v>0</v>
      </c>
      <c r="AX227" s="170">
        <f>8000*Entradas!$D$26*AW227/Constantes!$E$45</f>
        <v>0</v>
      </c>
      <c r="AY227" s="170">
        <f>IF(Escenarios!$E$17&gt;0,10*Escenarios!$E$16*AL227,0)</f>
        <v>0</v>
      </c>
      <c r="AZ227" s="170">
        <f>IF(Escenarios!$E$17&gt;0,10*Escenarios!$E$16*AX227,0)</f>
        <v>0</v>
      </c>
      <c r="BA227" s="170">
        <f>IF(Escenarios!$E$17&gt;0,0.001*Observaciones!$F226*Escenarios!$E$17,0)</f>
        <v>0</v>
      </c>
      <c r="BB227" s="170">
        <f>IF(Escenarios!$E$17&gt;0,Observaciones!$K226,0)</f>
        <v>0</v>
      </c>
      <c r="BC227" s="170">
        <f>IF(Escenarios!$E$17&gt;0,MIN(0.0005*ETo!$M226*Escenarios!$E$17*(BG226/Constantes!$E$40)^(2/3),BG226+AY227+AZ227+BA227+BB227),0)</f>
        <v>5.4082447452456393</v>
      </c>
      <c r="BD227" s="170">
        <f>IF(Escenarios!$E$17&gt;0,MIN(Constantes!$E$39*(BG226/Constantes!$E$40)^(2/3),BG226+AY227+AZ227+BA227+BB227-BC227),0)</f>
        <v>12.153211675704238</v>
      </c>
      <c r="BE227" s="170">
        <f>IF(Escenarios!$E$17&gt;0,MIN(Entradas!$E$113,BG226+AY227+AZ227+BA227+BB227-BC227-BD227),0)</f>
        <v>1</v>
      </c>
      <c r="BF227" s="170">
        <f>IF(Escenarios!$E$17&gt;0,MAX(0,BG226+AY227+AZ227+BA227+BB227-BC227-BD227-BE227-Constantes!$E$40),0)</f>
        <v>0</v>
      </c>
      <c r="BG227" s="170">
        <f t="shared" si="54"/>
        <v>376.17783185902863</v>
      </c>
      <c r="BH227" s="170">
        <f>(Escenarios!$E$16*AK227+0.1*BC227)/(Escenarios!$E$19)</f>
        <v>0.12508513496899717</v>
      </c>
      <c r="BI227" s="170">
        <f>IF(Escenarios!$E$17&gt;0,BF227/10/Escenarios!$E$19,AL227)</f>
        <v>0</v>
      </c>
      <c r="BJ227" s="170">
        <f>(Escenarios!$E$16*AT227+0.1*BD227)/(Escenarios!$E$19)</f>
        <v>4.8227030459143802E-3</v>
      </c>
      <c r="BK227" s="76">
        <f>BK226+(0.1*BD227)/(Escenarios!$E$19)-BL226</f>
        <v>49.910834118110998</v>
      </c>
      <c r="BL227" s="76">
        <f>MAX(0,(BK227-Constantes!$D$13)*(1-EXP(-Constantes!$D$23)))</f>
        <v>1.1437975054893398E-2</v>
      </c>
      <c r="BM227" s="76">
        <f t="shared" si="50"/>
        <v>0.35423365461686857</v>
      </c>
      <c r="BN227" s="76">
        <f t="shared" si="55"/>
        <v>0.35456520012655723</v>
      </c>
      <c r="BO227" s="76">
        <f>0.0526*BI227*Observaciones!$F226^1.218</f>
        <v>0</v>
      </c>
      <c r="BP227" s="76">
        <f>BO227*Constantes!$E$51</f>
        <v>0</v>
      </c>
      <c r="BQ227" s="76">
        <f t="shared" si="51"/>
        <v>0</v>
      </c>
      <c r="BR227" s="40"/>
    </row>
    <row r="228" spans="1:70">
      <c r="A228" s="147"/>
      <c r="B228" s="39"/>
      <c r="C228" s="75">
        <v>222</v>
      </c>
      <c r="D228" s="146">
        <f>ETo!$I227*((1-Constantes!$E$19)*ETo!$K227+ETo!$L227)</f>
        <v>3.1362556972975444</v>
      </c>
      <c r="E228" s="76">
        <f>MIN(D228*Constantes!$E$17,0.8*(N227+Observaciones!$F227-F228-M228-Constantes!$D$14))</f>
        <v>8.8482832089027859E-3</v>
      </c>
      <c r="F228" s="76">
        <f>IF(Observaciones!$F227&gt;0.05*Constantes!$E$18,((Observaciones!$F227-0.05*Constantes!$E$18)^2)/(Observaciones!$F227+0.95*Constantes!$E$18),0)</f>
        <v>0</v>
      </c>
      <c r="G228" s="76">
        <f>IF(Escenarios!$E$11&gt;0,(F228*Escenarios!$E$16*10000)/1000,0)</f>
        <v>0</v>
      </c>
      <c r="H228" s="76">
        <f>IF(Escenarios!$E$11&gt;0,(Observaciones!$F227*Constantes!$E$29)/1000,0)</f>
        <v>0</v>
      </c>
      <c r="I228" s="76">
        <f>IF(Escenarios!$E$11&gt;0,(D228*Constantes!$E$29)/1000,0)</f>
        <v>31.362556972975444</v>
      </c>
      <c r="J228" s="76">
        <f>IF(Escenarios!$E$11&gt;0,MAX(0,G228+H228-I228),0)</f>
        <v>0</v>
      </c>
      <c r="K228" s="76">
        <f>IF(Escenarios!$E$11&gt;0,IF(J228&gt;Constantes!$E$30,1000*((J228-Constantes!$E$30)/(Escenarios!$E$16*10000)),0),F228)</f>
        <v>0</v>
      </c>
      <c r="L228" s="76">
        <f>IF(Escenarios!$E$11&gt;0,I228*1000/Escenarios!$E$16/10000+E228,E228)</f>
        <v>2.1393305998092964E-2</v>
      </c>
      <c r="M228" s="76">
        <f>MAX(0,N227+Observaciones!$F227-K228-Constantes!$D$13)</f>
        <v>0</v>
      </c>
      <c r="N228" s="76">
        <f>N227+Observaciones!$F227-K228-L228-M228-O227</f>
        <v>11.239290291752026</v>
      </c>
      <c r="O228" s="76">
        <f>MAX(0,(N228-Constantes!$D$14)*(1-EXP(-Constantes!$D$22)))</f>
        <v>0</v>
      </c>
      <c r="P228" s="170">
        <f>P227+(Entradas!$E$83*M228-Q227)/(800*Entradas!$D$25)</f>
        <v>0</v>
      </c>
      <c r="Q228" s="170">
        <f>8000*Entradas!$D$26*P228/Constantes!$E$45</f>
        <v>0</v>
      </c>
      <c r="R228" s="170">
        <f>IF(Escenarios!$E$14&gt;0,K228*Escenarios!$E$13/Escenarios!$E$14,0)</f>
        <v>0</v>
      </c>
      <c r="S228" s="170">
        <f>IF(Escenarios!$E$14&gt;0,Q228*Escenarios!$E$13/Escenarios!$E$14,0)</f>
        <v>0</v>
      </c>
      <c r="T228" s="170">
        <f>IF(Escenarios!$E$14&gt;0,Observaciones!$I227,0)</f>
        <v>0</v>
      </c>
      <c r="U228" s="170">
        <f>IF(Escenarios!$E$14&gt;0,MAX(0,Constantes!$E$36/((Z227+R228+S228+T228+Observaciones!$F227)^2)+Entradas!$E$77),0)</f>
        <v>0</v>
      </c>
      <c r="V228" s="146">
        <f>IF(ETo!D227&gt;0,ETo!I227*((1-Entradas!$E$81)*ETo!K227+ETo!L227),0)</f>
        <v>2.8398476161758146</v>
      </c>
      <c r="W228" s="170">
        <f>IF(Escenarios!$E$14&gt;0,MIN(V228*1,0.8*(Z227+R228+S228+T228+Observaciones!$F227-U228-Constantes!$E$35)),0)</f>
        <v>2.252881920296659E-2</v>
      </c>
      <c r="X228" s="170">
        <f>IF(Escenarios!$E$14&gt;0,Observaciones!$J227,0)</f>
        <v>0</v>
      </c>
      <c r="Y228" s="170">
        <f>IF(Escenarios!$E$14&gt;0,MAX(0,Z227+R228+S228+T228+Observaciones!$F227-U228-W228-X228-Constantes!$E$33),0)</f>
        <v>0</v>
      </c>
      <c r="Z228" s="170">
        <f>Z227+R228+S228+T228+Observaciones!$F227-U228-W228-Y228</f>
        <v>41.25563220480074</v>
      </c>
      <c r="AA228" s="170">
        <f>IF(Escenarios!$E$14&gt;0,(Escenarios!$E$13*L228+Escenarios!$E$14*W228)/(Escenarios!$E$16),L228)</f>
        <v>2.1529567582677798E-2</v>
      </c>
      <c r="AB228" s="170">
        <f>IF(Escenarios!$E$14&gt;0,(Escenarios!$E$14*Y228)/(Escenarios!$E$16),K228)</f>
        <v>0</v>
      </c>
      <c r="AC228" s="170">
        <f>IF(Escenarios!$E$14&gt;0,(Escenarios!$E$13*M228+Escenarios!$E$14*U228)/(Escenarios!$E$16),M228)</f>
        <v>0</v>
      </c>
      <c r="AD228" s="76">
        <f t="shared" si="43"/>
        <v>83.197358912211115</v>
      </c>
      <c r="AE228" s="76">
        <f>MAX(0,(AD228-Constantes!$D$13)*(1-EXP(-Constantes!$D$23)))</f>
        <v>0.33941803208368132</v>
      </c>
      <c r="AF228" s="76">
        <f>AB228+O228*Escenarios!$E$13/Escenarios!$E$16+AE228</f>
        <v>0.33941803208368132</v>
      </c>
      <c r="AG228" s="76">
        <f>IF(Entradas!$E$91&gt;0,IF(AF228-Escenarios!$E$38&lt;=0,0,IF(AF228-Escenarios!$E$38&gt;Escenarios!$E$37,Escenarios!$E$37,AF228-Escenarios!$E$38)),0)</f>
        <v>0</v>
      </c>
      <c r="AH228" s="76">
        <f>AG228*Entradas!$E$99</f>
        <v>0</v>
      </c>
      <c r="AI228" s="76">
        <f>IF(Entradas!$E$91&gt;0,D228*Entradas!$D$23/Escenarios!$E$16,0)</f>
        <v>0</v>
      </c>
      <c r="AJ228" s="76">
        <f>IF(Entradas!$E$91&gt;0,Entradas!$D$24*Entradas!$D$22/Escenarios!$E$16,0)</f>
        <v>0</v>
      </c>
      <c r="AK228" s="76">
        <f t="shared" si="52"/>
        <v>2.1529567582677798E-2</v>
      </c>
      <c r="AL228" s="76">
        <f t="shared" si="53"/>
        <v>0</v>
      </c>
      <c r="AM228" s="76">
        <f t="shared" si="44"/>
        <v>0</v>
      </c>
      <c r="AN228" s="76">
        <f>MAX(0,O228*Escenarios!$E$13/Escenarios!$E$16-AM228)</f>
        <v>0</v>
      </c>
      <c r="AO228" s="76">
        <f>AM228+AN228-O228*Escenarios!$E$13/Escenarios!$E$16</f>
        <v>0</v>
      </c>
      <c r="AP228" s="76">
        <f t="shared" si="42"/>
        <v>0.33941803208368132</v>
      </c>
      <c r="AQ228" s="76">
        <f t="shared" si="45"/>
        <v>0</v>
      </c>
      <c r="AR228" s="76">
        <f t="shared" si="46"/>
        <v>0.33941803208368132</v>
      </c>
      <c r="AS228" s="76">
        <f t="shared" si="47"/>
        <v>0</v>
      </c>
      <c r="AT228" s="76">
        <f t="shared" si="48"/>
        <v>0</v>
      </c>
      <c r="AU228" s="76">
        <f t="shared" si="49"/>
        <v>48.75</v>
      </c>
      <c r="AV228" s="76">
        <f>MAX(0,(AU228-Constantes!$D$13)*(1-EXP(-Constantes!$D$24)))</f>
        <v>0</v>
      </c>
      <c r="AW228" s="170">
        <f>AW227+(Entradas!$E$112*AT228-AX227)/(800*Entradas!$D$25)</f>
        <v>0</v>
      </c>
      <c r="AX228" s="170">
        <f>8000*Entradas!$D$26*AW228/Constantes!$E$45</f>
        <v>0</v>
      </c>
      <c r="AY228" s="170">
        <f>IF(Escenarios!$E$17&gt;0,10*Escenarios!$E$16*AL228,0)</f>
        <v>0</v>
      </c>
      <c r="AZ228" s="170">
        <f>IF(Escenarios!$E$17&gt;0,10*Escenarios!$E$16*AX228,0)</f>
        <v>0</v>
      </c>
      <c r="BA228" s="170">
        <f>IF(Escenarios!$E$17&gt;0,0.001*Observaciones!$F227*Escenarios!$E$17,0)</f>
        <v>0</v>
      </c>
      <c r="BB228" s="170">
        <f>IF(Escenarios!$E$17&gt;0,Observaciones!$K227,0)</f>
        <v>0</v>
      </c>
      <c r="BC228" s="170">
        <f>IF(Escenarios!$E$17&gt;0,MIN(0.0005*ETo!$M227*Escenarios!$E$17*(BG227/Constantes!$E$40)^(2/3),BG227+AY228+AZ228+BA228+BB228),0)</f>
        <v>5.3000490408852832</v>
      </c>
      <c r="BD228" s="170">
        <f>IF(Escenarios!$E$17&gt;0,MIN(Constantes!$E$39*(BG227/Constantes!$E$40)^(2/3),BG227+AY228+AZ228+BA228+BB228-BC228),0)</f>
        <v>11.769182365617056</v>
      </c>
      <c r="BE228" s="170">
        <f>IF(Escenarios!$E$17&gt;0,MIN(Entradas!$E$113,BG227+AY228+AZ228+BA228+BB228-BC228-BD228),0)</f>
        <v>1</v>
      </c>
      <c r="BF228" s="170">
        <f>IF(Escenarios!$E$17&gt;0,MAX(0,BG227+AY228+AZ228+BA228+BB228-BC228-BD228-BE228-Constantes!$E$40),0)</f>
        <v>0</v>
      </c>
      <c r="BG228" s="170">
        <f t="shared" si="54"/>
        <v>358.10860045252633</v>
      </c>
      <c r="BH228" s="170">
        <f>(Escenarios!$E$16*AK228+0.1*BC228)/(Escenarios!$E$19)</f>
        <v>2.3461892062531658E-2</v>
      </c>
      <c r="BI228" s="170">
        <f>IF(Escenarios!$E$17&gt;0,BF228/10/Escenarios!$E$19,AL228)</f>
        <v>0</v>
      </c>
      <c r="BJ228" s="170">
        <f>(Escenarios!$E$16*AT228+0.1*BD228)/(Escenarios!$E$19)</f>
        <v>4.6703104625464512E-3</v>
      </c>
      <c r="BK228" s="76">
        <f>BK227+(0.1*BD228)/(Escenarios!$E$19)-BL227</f>
        <v>49.904066453518645</v>
      </c>
      <c r="BL228" s="76">
        <f>MAX(0,(BK228-Constantes!$D$13)*(1-EXP(-Constantes!$D$23)))</f>
        <v>1.1371291643732828E-2</v>
      </c>
      <c r="BM228" s="76">
        <f t="shared" si="50"/>
        <v>0.35078932372741417</v>
      </c>
      <c r="BN228" s="76">
        <f t="shared" si="55"/>
        <v>0.35078932372741417</v>
      </c>
      <c r="BO228" s="76">
        <f>0.0526*BI228*Observaciones!$F227^1.218</f>
        <v>0</v>
      </c>
      <c r="BP228" s="76">
        <f>BO228*Constantes!$E$51</f>
        <v>0</v>
      </c>
      <c r="BQ228" s="76">
        <f t="shared" si="51"/>
        <v>0</v>
      </c>
      <c r="BR228" s="40"/>
    </row>
    <row r="229" spans="1:70">
      <c r="A229" s="147"/>
      <c r="B229" s="39"/>
      <c r="C229" s="75">
        <v>223</v>
      </c>
      <c r="D229" s="146">
        <f>ETo!$I228*((1-Constantes!$E$19)*ETo!$K228+ETo!$L228)</f>
        <v>3.0394909260814451</v>
      </c>
      <c r="E229" s="76">
        <f>MIN(D229*Constantes!$E$17,0.8*(N228+Observaciones!$F228-F229-M229-Constantes!$D$14))</f>
        <v>-8.5677665983794789E-3</v>
      </c>
      <c r="F229" s="76">
        <f>IF(Observaciones!$F228&gt;0.05*Constantes!$E$18,((Observaciones!$F228-0.05*Constantes!$E$18)^2)/(Observaciones!$F228+0.95*Constantes!$E$18),0)</f>
        <v>0</v>
      </c>
      <c r="G229" s="76">
        <f>IF(Escenarios!$E$11&gt;0,(F229*Escenarios!$E$16*10000)/1000,0)</f>
        <v>0</v>
      </c>
      <c r="H229" s="76">
        <f>IF(Escenarios!$E$11&gt;0,(Observaciones!$F228*Constantes!$E$29)/1000,0)</f>
        <v>0</v>
      </c>
      <c r="I229" s="76">
        <f>IF(Escenarios!$E$11&gt;0,(D229*Constantes!$E$29)/1000,0)</f>
        <v>30.394909260814451</v>
      </c>
      <c r="J229" s="76">
        <f>IF(Escenarios!$E$11&gt;0,MAX(0,G229+H229-I229),0)</f>
        <v>0</v>
      </c>
      <c r="K229" s="76">
        <f>IF(Escenarios!$E$11&gt;0,IF(J229&gt;Constantes!$E$30,1000*((J229-Constantes!$E$30)/(Escenarios!$E$16*10000)),0),F229)</f>
        <v>0</v>
      </c>
      <c r="L229" s="76">
        <f>IF(Escenarios!$E$11&gt;0,I229*1000/Escenarios!$E$16/10000+E229,E229)</f>
        <v>3.5901971059463019E-3</v>
      </c>
      <c r="M229" s="76">
        <f>MAX(0,N228+Observaciones!$F228-K229-Constantes!$D$13)</f>
        <v>0</v>
      </c>
      <c r="N229" s="76">
        <f>N228+Observaciones!$F228-K229-L229-M229-O228</f>
        <v>11.235700094646079</v>
      </c>
      <c r="O229" s="76">
        <f>MAX(0,(N229-Constantes!$D$14)*(1-EXP(-Constantes!$D$22)))</f>
        <v>0</v>
      </c>
      <c r="P229" s="170">
        <f>P228+(Entradas!$E$83*M229-Q228)/(800*Entradas!$D$25)</f>
        <v>0</v>
      </c>
      <c r="Q229" s="170">
        <f>8000*Entradas!$D$26*P229/Constantes!$E$45</f>
        <v>0</v>
      </c>
      <c r="R229" s="170">
        <f>IF(Escenarios!$E$14&gt;0,K229*Escenarios!$E$13/Escenarios!$E$14,0)</f>
        <v>0</v>
      </c>
      <c r="S229" s="170">
        <f>IF(Escenarios!$E$14&gt;0,Q229*Escenarios!$E$13/Escenarios!$E$14,0)</f>
        <v>0</v>
      </c>
      <c r="T229" s="170">
        <f>IF(Escenarios!$E$14&gt;0,Observaciones!$I228,0)</f>
        <v>0</v>
      </c>
      <c r="U229" s="170">
        <f>IF(Escenarios!$E$14&gt;0,MAX(0,Constantes!$E$36/((Z228+R229+S229+T229+Observaciones!$F228)^2)+Entradas!$E$77),0)</f>
        <v>0</v>
      </c>
      <c r="V229" s="146">
        <f>IF(ETo!D228&gt;0,ETo!I228*((1-Entradas!$E$81)*ETo!K228+ETo!L228),0)</f>
        <v>2.7515732988286765</v>
      </c>
      <c r="W229" s="170">
        <f>IF(Escenarios!$E$14&gt;0,MIN(V229*1,0.8*(Z228+R229+S229+T229+Observaciones!$F228-U229-Constantes!$E$35)),0)</f>
        <v>4.5057638405921812E-3</v>
      </c>
      <c r="X229" s="170">
        <f>IF(Escenarios!$E$14&gt;0,Observaciones!$J228,0)</f>
        <v>0</v>
      </c>
      <c r="Y229" s="170">
        <f>IF(Escenarios!$E$14&gt;0,MAX(0,Z228+R229+S229+T229+Observaciones!$F228-U229-W229-X229-Constantes!$E$33),0)</f>
        <v>0</v>
      </c>
      <c r="Z229" s="170">
        <f>Z228+R229+S229+T229+Observaciones!$F228-U229-W229-Y229</f>
        <v>41.251126440960149</v>
      </c>
      <c r="AA229" s="170">
        <f>IF(Escenarios!$E$14&gt;0,(Escenarios!$E$13*L229+Escenarios!$E$14*W229)/(Escenarios!$E$16),L229)</f>
        <v>3.7000651141038073E-3</v>
      </c>
      <c r="AB229" s="170">
        <f>IF(Escenarios!$E$14&gt;0,(Escenarios!$E$14*Y229)/(Escenarios!$E$16),K229)</f>
        <v>0</v>
      </c>
      <c r="AC229" s="170">
        <f>IF(Escenarios!$E$14&gt;0,(Escenarios!$E$13*M229+Escenarios!$E$14*U229)/(Escenarios!$E$16),M229)</f>
        <v>0</v>
      </c>
      <c r="AD229" s="76">
        <f t="shared" si="43"/>
        <v>82.85794088012743</v>
      </c>
      <c r="AE229" s="76">
        <f>MAX(0,(AD229-Constantes!$D$13)*(1-EXP(-Constantes!$D$23)))</f>
        <v>0.336073665370484</v>
      </c>
      <c r="AF229" s="76">
        <f>AB229+O229*Escenarios!$E$13/Escenarios!$E$16+AE229</f>
        <v>0.336073665370484</v>
      </c>
      <c r="AG229" s="76">
        <f>IF(Entradas!$E$91&gt;0,IF(AF229-Escenarios!$E$38&lt;=0,0,IF(AF229-Escenarios!$E$38&gt;Escenarios!$E$37,Escenarios!$E$37,AF229-Escenarios!$E$38)),0)</f>
        <v>0</v>
      </c>
      <c r="AH229" s="76">
        <f>AG229*Entradas!$E$99</f>
        <v>0</v>
      </c>
      <c r="AI229" s="76">
        <f>IF(Entradas!$E$91&gt;0,D229*Entradas!$D$23/Escenarios!$E$16,0)</f>
        <v>0</v>
      </c>
      <c r="AJ229" s="76">
        <f>IF(Entradas!$E$91&gt;0,Entradas!$D$24*Entradas!$D$22/Escenarios!$E$16,0)</f>
        <v>0</v>
      </c>
      <c r="AK229" s="76">
        <f t="shared" si="52"/>
        <v>3.7000651141038073E-3</v>
      </c>
      <c r="AL229" s="76">
        <f t="shared" si="53"/>
        <v>0</v>
      </c>
      <c r="AM229" s="76">
        <f t="shared" si="44"/>
        <v>0</v>
      </c>
      <c r="AN229" s="76">
        <f>MAX(0,O229*Escenarios!$E$13/Escenarios!$E$16-AM229)</f>
        <v>0</v>
      </c>
      <c r="AO229" s="76">
        <f>AM229+AN229-O229*Escenarios!$E$13/Escenarios!$E$16</f>
        <v>0</v>
      </c>
      <c r="AP229" s="76">
        <f t="shared" si="42"/>
        <v>0.336073665370484</v>
      </c>
      <c r="AQ229" s="76">
        <f t="shared" si="45"/>
        <v>0</v>
      </c>
      <c r="AR229" s="76">
        <f t="shared" si="46"/>
        <v>0.336073665370484</v>
      </c>
      <c r="AS229" s="76">
        <f t="shared" si="47"/>
        <v>0</v>
      </c>
      <c r="AT229" s="76">
        <f t="shared" si="48"/>
        <v>0</v>
      </c>
      <c r="AU229" s="76">
        <f t="shared" si="49"/>
        <v>48.75</v>
      </c>
      <c r="AV229" s="76">
        <f>MAX(0,(AU229-Constantes!$D$13)*(1-EXP(-Constantes!$D$24)))</f>
        <v>0</v>
      </c>
      <c r="AW229" s="170">
        <f>AW228+(Entradas!$E$112*AT229-AX228)/(800*Entradas!$D$25)</f>
        <v>0</v>
      </c>
      <c r="AX229" s="170">
        <f>8000*Entradas!$D$26*AW229/Constantes!$E$45</f>
        <v>0</v>
      </c>
      <c r="AY229" s="170">
        <f>IF(Escenarios!$E$17&gt;0,10*Escenarios!$E$16*AL229,0)</f>
        <v>0</v>
      </c>
      <c r="AZ229" s="170">
        <f>IF(Escenarios!$E$17&gt;0,10*Escenarios!$E$16*AX229,0)</f>
        <v>0</v>
      </c>
      <c r="BA229" s="170">
        <f>IF(Escenarios!$E$17&gt;0,0.001*Observaciones!$F228*Escenarios!$E$17,0)</f>
        <v>0</v>
      </c>
      <c r="BB229" s="170">
        <f>IF(Escenarios!$E$17&gt;0,Observaciones!$K228,0)</f>
        <v>0</v>
      </c>
      <c r="BC229" s="170">
        <f>IF(Escenarios!$E$17&gt;0,MIN(0.0005*ETo!$M228*Escenarios!$E$17*(BG228/Constantes!$E$40)^(2/3),BG228+AY229+AZ229+BA229+BB229),0)</f>
        <v>4.9721602780395386</v>
      </c>
      <c r="BD229" s="170">
        <f>IF(Escenarios!$E$17&gt;0,MIN(Constantes!$E$39*(BG228/Constantes!$E$40)^(2/3),BG228+AY229+AZ229+BA229+BB229-BC229),0)</f>
        <v>11.389220309597185</v>
      </c>
      <c r="BE229" s="170">
        <f>IF(Escenarios!$E$17&gt;0,MIN(Entradas!$E$113,BG228+AY229+AZ229+BA229+BB229-BC229-BD229),0)</f>
        <v>1</v>
      </c>
      <c r="BF229" s="170">
        <f>IF(Escenarios!$E$17&gt;0,MAX(0,BG228+AY229+AZ229+BA229+BB229-BC229-BD229-BE229-Constantes!$E$40),0)</f>
        <v>0</v>
      </c>
      <c r="BG229" s="170">
        <f t="shared" si="54"/>
        <v>340.74721986488959</v>
      </c>
      <c r="BH229" s="170">
        <f>(Escenarios!$E$16*AK229+0.1*BC229)/(Escenarios!$E$19)</f>
        <v>5.6437789933726414E-3</v>
      </c>
      <c r="BI229" s="170">
        <f>IF(Escenarios!$E$17&gt;0,BF229/10/Escenarios!$E$19,AL229)</f>
        <v>0</v>
      </c>
      <c r="BJ229" s="170">
        <f>(Escenarios!$E$16*AT229+0.1*BD229)/(Escenarios!$E$19)</f>
        <v>4.5195318688877719E-3</v>
      </c>
      <c r="BK229" s="76">
        <f>BK228+(0.1*BD229)/(Escenarios!$E$19)-BL228</f>
        <v>49.897214693743798</v>
      </c>
      <c r="BL229" s="76">
        <f>MAX(0,(BK229-Constantes!$D$13)*(1-EXP(-Constantes!$D$23)))</f>
        <v>1.130377962270923E-2</v>
      </c>
      <c r="BM229" s="76">
        <f t="shared" si="50"/>
        <v>0.34737744499319323</v>
      </c>
      <c r="BN229" s="76">
        <f t="shared" si="55"/>
        <v>0.34737744499319323</v>
      </c>
      <c r="BO229" s="76">
        <f>0.0526*BI229*Observaciones!$F228^1.218</f>
        <v>0</v>
      </c>
      <c r="BP229" s="76">
        <f>BO229*Constantes!$E$51</f>
        <v>0</v>
      </c>
      <c r="BQ229" s="76">
        <f t="shared" si="51"/>
        <v>0</v>
      </c>
      <c r="BR229" s="40"/>
    </row>
    <row r="230" spans="1:70">
      <c r="A230" s="147"/>
      <c r="B230" s="39"/>
      <c r="C230" s="75">
        <v>224</v>
      </c>
      <c r="D230" s="146">
        <f>ETo!$I229*((1-Constantes!$E$19)*ETo!$K229+ETo!$L229)</f>
        <v>3.0289505719167718</v>
      </c>
      <c r="E230" s="76">
        <f>MIN(D230*Constantes!$E$17,0.8*(N229+Observaciones!$F229-F230-M230-Constantes!$D$14))</f>
        <v>-1.1439924283136805E-2</v>
      </c>
      <c r="F230" s="76">
        <f>IF(Observaciones!$F229&gt;0.05*Constantes!$E$18,((Observaciones!$F229-0.05*Constantes!$E$18)^2)/(Observaciones!$F229+0.95*Constantes!$E$18),0)</f>
        <v>0</v>
      </c>
      <c r="G230" s="76">
        <f>IF(Escenarios!$E$11&gt;0,(F230*Escenarios!$E$16*10000)/1000,0)</f>
        <v>0</v>
      </c>
      <c r="H230" s="76">
        <f>IF(Escenarios!$E$11&gt;0,(Observaciones!$F229*Constantes!$E$29)/1000,0)</f>
        <v>0</v>
      </c>
      <c r="I230" s="76">
        <f>IF(Escenarios!$E$11&gt;0,(D230*Constantes!$E$29)/1000,0)</f>
        <v>30.289505719167718</v>
      </c>
      <c r="J230" s="76">
        <f>IF(Escenarios!$E$11&gt;0,MAX(0,G230+H230-I230),0)</f>
        <v>0</v>
      </c>
      <c r="K230" s="76">
        <f>IF(Escenarios!$E$11&gt;0,IF(J230&gt;Constantes!$E$30,1000*((J230-Constantes!$E$30)/(Escenarios!$E$16*10000)),0),F230)</f>
        <v>0</v>
      </c>
      <c r="L230" s="76">
        <f>IF(Escenarios!$E$11&gt;0,I230*1000/Escenarios!$E$16/10000+E230,E230)</f>
        <v>6.7587800453028195E-4</v>
      </c>
      <c r="M230" s="76">
        <f>MAX(0,N229+Observaciones!$F229-K230-Constantes!$D$13)</f>
        <v>0</v>
      </c>
      <c r="N230" s="76">
        <f>N229+Observaciones!$F229-K230-L230-M230-O229</f>
        <v>11.235024216641548</v>
      </c>
      <c r="O230" s="76">
        <f>MAX(0,(N230-Constantes!$D$14)*(1-EXP(-Constantes!$D$22)))</f>
        <v>0</v>
      </c>
      <c r="P230" s="170">
        <f>P229+(Entradas!$E$83*M230-Q229)/(800*Entradas!$D$25)</f>
        <v>0</v>
      </c>
      <c r="Q230" s="170">
        <f>8000*Entradas!$D$26*P230/Constantes!$E$45</f>
        <v>0</v>
      </c>
      <c r="R230" s="170">
        <f>IF(Escenarios!$E$14&gt;0,K230*Escenarios!$E$13/Escenarios!$E$14,0)</f>
        <v>0</v>
      </c>
      <c r="S230" s="170">
        <f>IF(Escenarios!$E$14&gt;0,Q230*Escenarios!$E$13/Escenarios!$E$14,0)</f>
        <v>0</v>
      </c>
      <c r="T230" s="170">
        <f>IF(Escenarios!$E$14&gt;0,Observaciones!$I229,0)</f>
        <v>0</v>
      </c>
      <c r="U230" s="170">
        <f>IF(Escenarios!$E$14&gt;0,MAX(0,Constantes!$E$36/((Z229+R230+S230+T230+Observaciones!$F229)^2)+Entradas!$E$77),0)</f>
        <v>0</v>
      </c>
      <c r="V230" s="146">
        <f>IF(ETo!D229&gt;0,ETo!I229*((1-Entradas!$E$81)*ETo!K229+ETo!L229),0)</f>
        <v>2.7423367287504141</v>
      </c>
      <c r="W230" s="170">
        <f>IF(Escenarios!$E$14&gt;0,MIN(V230*1,0.8*(Z229+R230+S230+T230+Observaciones!$F229-U230-Constantes!$E$35)),0)</f>
        <v>9.0115276811957305E-4</v>
      </c>
      <c r="X230" s="170">
        <f>IF(Escenarios!$E$14&gt;0,Observaciones!$J229,0)</f>
        <v>0</v>
      </c>
      <c r="Y230" s="170">
        <f>IF(Escenarios!$E$14&gt;0,MAX(0,Z229+R230+S230+T230+Observaciones!$F229-U230-W230-X230-Constantes!$E$33),0)</f>
        <v>0</v>
      </c>
      <c r="Z230" s="170">
        <f>Z229+R230+S230+T230+Observaciones!$F229-U230-W230-Y230</f>
        <v>41.250225288192027</v>
      </c>
      <c r="AA230" s="170">
        <f>IF(Escenarios!$E$14&gt;0,(Escenarios!$E$13*L230+Escenarios!$E$14*W230)/(Escenarios!$E$16),L230)</f>
        <v>7.0291097616099682E-4</v>
      </c>
      <c r="AB230" s="170">
        <f>IF(Escenarios!$E$14&gt;0,(Escenarios!$E$14*Y230)/(Escenarios!$E$16),K230)</f>
        <v>0</v>
      </c>
      <c r="AC230" s="170">
        <f>IF(Escenarios!$E$14&gt;0,(Escenarios!$E$13*M230+Escenarios!$E$14*U230)/(Escenarios!$E$16),M230)</f>
        <v>0</v>
      </c>
      <c r="AD230" s="76">
        <f t="shared" si="43"/>
        <v>82.521867214756952</v>
      </c>
      <c r="AE230" s="76">
        <f>MAX(0,(AD230-Constantes!$D$13)*(1-EXP(-Constantes!$D$23)))</f>
        <v>0.33276225149907795</v>
      </c>
      <c r="AF230" s="76">
        <f>AB230+O230*Escenarios!$E$13/Escenarios!$E$16+AE230</f>
        <v>0.33276225149907795</v>
      </c>
      <c r="AG230" s="76">
        <f>IF(Entradas!$E$91&gt;0,IF(AF230-Escenarios!$E$38&lt;=0,0,IF(AF230-Escenarios!$E$38&gt;Escenarios!$E$37,Escenarios!$E$37,AF230-Escenarios!$E$38)),0)</f>
        <v>0</v>
      </c>
      <c r="AH230" s="76">
        <f>AG230*Entradas!$E$99</f>
        <v>0</v>
      </c>
      <c r="AI230" s="76">
        <f>IF(Entradas!$E$91&gt;0,D230*Entradas!$D$23/Escenarios!$E$16,0)</f>
        <v>0</v>
      </c>
      <c r="AJ230" s="76">
        <f>IF(Entradas!$E$91&gt;0,Entradas!$D$24*Entradas!$D$22/Escenarios!$E$16,0)</f>
        <v>0</v>
      </c>
      <c r="AK230" s="76">
        <f t="shared" si="52"/>
        <v>7.0291097616099682E-4</v>
      </c>
      <c r="AL230" s="76">
        <f t="shared" si="53"/>
        <v>0</v>
      </c>
      <c r="AM230" s="76">
        <f t="shared" si="44"/>
        <v>0</v>
      </c>
      <c r="AN230" s="76">
        <f>MAX(0,O230*Escenarios!$E$13/Escenarios!$E$16-AM230)</f>
        <v>0</v>
      </c>
      <c r="AO230" s="76">
        <f>AM230+AN230-O230*Escenarios!$E$13/Escenarios!$E$16</f>
        <v>0</v>
      </c>
      <c r="AP230" s="76">
        <f t="shared" si="42"/>
        <v>0.33276225149907795</v>
      </c>
      <c r="AQ230" s="76">
        <f t="shared" si="45"/>
        <v>0</v>
      </c>
      <c r="AR230" s="76">
        <f t="shared" si="46"/>
        <v>0.33276225149907795</v>
      </c>
      <c r="AS230" s="76">
        <f t="shared" si="47"/>
        <v>0</v>
      </c>
      <c r="AT230" s="76">
        <f t="shared" si="48"/>
        <v>0</v>
      </c>
      <c r="AU230" s="76">
        <f t="shared" si="49"/>
        <v>48.75</v>
      </c>
      <c r="AV230" s="76">
        <f>MAX(0,(AU230-Constantes!$D$13)*(1-EXP(-Constantes!$D$24)))</f>
        <v>0</v>
      </c>
      <c r="AW230" s="170">
        <f>AW229+(Entradas!$E$112*AT230-AX229)/(800*Entradas!$D$25)</f>
        <v>0</v>
      </c>
      <c r="AX230" s="170">
        <f>8000*Entradas!$D$26*AW230/Constantes!$E$45</f>
        <v>0</v>
      </c>
      <c r="AY230" s="170">
        <f>IF(Escenarios!$E$17&gt;0,10*Escenarios!$E$16*AL230,0)</f>
        <v>0</v>
      </c>
      <c r="AZ230" s="170">
        <f>IF(Escenarios!$E$17&gt;0,10*Escenarios!$E$16*AX230,0)</f>
        <v>0</v>
      </c>
      <c r="BA230" s="170">
        <f>IF(Escenarios!$E$17&gt;0,0.001*Observaciones!$F229*Escenarios!$E$17,0)</f>
        <v>0</v>
      </c>
      <c r="BB230" s="170">
        <f>IF(Escenarios!$E$17&gt;0,Observaciones!$K229,0)</f>
        <v>0</v>
      </c>
      <c r="BC230" s="170">
        <f>IF(Escenarios!$E$17&gt;0,MIN(0.0005*ETo!$M229*Escenarios!$E$17*(BG229/Constantes!$E$40)^(2/3),BG229+AY230+AZ230+BA230+BB230),0)</f>
        <v>4.7927879037312442</v>
      </c>
      <c r="BD230" s="170">
        <f>IF(Escenarios!$E$17&gt;0,MIN(Constantes!$E$39*(BG229/Constantes!$E$40)^(2/3),BG229+AY230+AZ230+BA230+BB230-BC230),0)</f>
        <v>11.018074564493205</v>
      </c>
      <c r="BE230" s="170">
        <f>IF(Escenarios!$E$17&gt;0,MIN(Entradas!$E$113,BG229+AY230+AZ230+BA230+BB230-BC230-BD230),0)</f>
        <v>1</v>
      </c>
      <c r="BF230" s="170">
        <f>IF(Escenarios!$E$17&gt;0,MAX(0,BG229+AY230+AZ230+BA230+BB230-BC230-BD230-BE230-Constantes!$E$40),0)</f>
        <v>0</v>
      </c>
      <c r="BG230" s="170">
        <f t="shared" si="54"/>
        <v>323.93635739666513</v>
      </c>
      <c r="BH230" s="170">
        <f>(Escenarios!$E$16*AK230+0.1*BC230)/(Escenarios!$E$19)</f>
        <v>2.5992322794181496E-3</v>
      </c>
      <c r="BI230" s="170">
        <f>IF(Escenarios!$E$17&gt;0,BF230/10/Escenarios!$E$19,AL230)</f>
        <v>0</v>
      </c>
      <c r="BJ230" s="170">
        <f>(Escenarios!$E$16*AT230+0.1*BD230)/(Escenarios!$E$19)</f>
        <v>4.3722518113068279E-3</v>
      </c>
      <c r="BK230" s="76">
        <f>BK229+(0.1*BD230)/(Escenarios!$E$19)-BL229</f>
        <v>49.890283165932395</v>
      </c>
      <c r="BL230" s="76">
        <f>MAX(0,(BK230-Constantes!$D$13)*(1-EXP(-Constantes!$D$23)))</f>
        <v>1.1235481628222174E-2</v>
      </c>
      <c r="BM230" s="76">
        <f t="shared" si="50"/>
        <v>0.34399773312730014</v>
      </c>
      <c r="BN230" s="76">
        <f t="shared" si="55"/>
        <v>0.34399773312730014</v>
      </c>
      <c r="BO230" s="76">
        <f>0.0526*BI230*Observaciones!$F229^1.218</f>
        <v>0</v>
      </c>
      <c r="BP230" s="76">
        <f>BO230*Constantes!$E$51</f>
        <v>0</v>
      </c>
      <c r="BQ230" s="76">
        <f t="shared" si="51"/>
        <v>0</v>
      </c>
      <c r="BR230" s="40"/>
    </row>
    <row r="231" spans="1:70">
      <c r="A231" s="147"/>
      <c r="B231" s="39"/>
      <c r="C231" s="75">
        <v>225</v>
      </c>
      <c r="D231" s="146">
        <f>ETo!$I230*((1-Constantes!$E$19)*ETo!$K230+ETo!$L230)</f>
        <v>3.0252311804464882</v>
      </c>
      <c r="E231" s="76">
        <f>MIN(D231*Constantes!$E$17,0.8*(N230+Observaciones!$F230-F231-M231-Constantes!$D$14))</f>
        <v>0.14801937331323814</v>
      </c>
      <c r="F231" s="76">
        <f>IF(Observaciones!$F230&gt;0.05*Constantes!$E$18,((Observaciones!$F230-0.05*Constantes!$E$18)^2)/(Observaciones!$F230+0.95*Constantes!$E$18),0)</f>
        <v>0</v>
      </c>
      <c r="G231" s="76">
        <f>IF(Escenarios!$E$11&gt;0,(F231*Escenarios!$E$16*10000)/1000,0)</f>
        <v>0</v>
      </c>
      <c r="H231" s="76">
        <f>IF(Escenarios!$E$11&gt;0,(Observaciones!$F230*Constantes!$E$29)/1000,0)</f>
        <v>2</v>
      </c>
      <c r="I231" s="76">
        <f>IF(Escenarios!$E$11&gt;0,(D231*Constantes!$E$29)/1000,0)</f>
        <v>30.252311804464885</v>
      </c>
      <c r="J231" s="76">
        <f>IF(Escenarios!$E$11&gt;0,MAX(0,G231+H231-I231),0)</f>
        <v>0</v>
      </c>
      <c r="K231" s="76">
        <f>IF(Escenarios!$E$11&gt;0,IF(J231&gt;Constantes!$E$30,1000*((J231-Constantes!$E$30)/(Escenarios!$E$16*10000)),0),F231)</f>
        <v>0</v>
      </c>
      <c r="L231" s="76">
        <f>IF(Escenarios!$E$11&gt;0,I231*1000/Escenarios!$E$16/10000+E231,E231)</f>
        <v>0.16012029803502409</v>
      </c>
      <c r="M231" s="76">
        <f>MAX(0,N230+Observaciones!$F230-K231-Constantes!$D$13)</f>
        <v>0</v>
      </c>
      <c r="N231" s="76">
        <f>N230+Observaciones!$F230-K231-L231-M231-O230</f>
        <v>11.274903918606524</v>
      </c>
      <c r="O231" s="76">
        <f>MAX(0,(N231-Constantes!$D$14)*(1-EXP(-Constantes!$D$22)))</f>
        <v>8.4831889189506131E-4</v>
      </c>
      <c r="P231" s="170">
        <f>P230+(Entradas!$E$83*M231-Q230)/(800*Entradas!$D$25)</f>
        <v>0</v>
      </c>
      <c r="Q231" s="170">
        <f>8000*Entradas!$D$26*P231/Constantes!$E$45</f>
        <v>0</v>
      </c>
      <c r="R231" s="170">
        <f>IF(Escenarios!$E$14&gt;0,K231*Escenarios!$E$13/Escenarios!$E$14,0)</f>
        <v>0</v>
      </c>
      <c r="S231" s="170">
        <f>IF(Escenarios!$E$14&gt;0,Q231*Escenarios!$E$13/Escenarios!$E$14,0)</f>
        <v>0</v>
      </c>
      <c r="T231" s="170">
        <f>IF(Escenarios!$E$14&gt;0,Observaciones!$I230,0)</f>
        <v>0</v>
      </c>
      <c r="U231" s="170">
        <f>IF(Escenarios!$E$14&gt;0,MAX(0,Constantes!$E$36/((Z230+R231+S231+T231+Observaciones!$F230)^2)+Entradas!$E$77),0)</f>
        <v>0</v>
      </c>
      <c r="V231" s="146">
        <f>IF(ETo!D230&gt;0,ETo!I230*((1-Entradas!$E$81)*ETo!K230+ETo!L230),0)</f>
        <v>2.7393455122617785</v>
      </c>
      <c r="W231" s="170">
        <f>IF(Escenarios!$E$14&gt;0,MIN(V231*1,0.8*(Z230+R231+S231+T231+Observaciones!$F230-U231-Constantes!$E$35)),0)</f>
        <v>0.16018023055362393</v>
      </c>
      <c r="X231" s="170">
        <f>IF(Escenarios!$E$14&gt;0,Observaciones!$J230,0)</f>
        <v>0</v>
      </c>
      <c r="Y231" s="170">
        <f>IF(Escenarios!$E$14&gt;0,MAX(0,Z230+R231+S231+T231+Observaciones!$F230-U231-W231-X231-Constantes!$E$33),0)</f>
        <v>0</v>
      </c>
      <c r="Z231" s="170">
        <f>Z230+R231+S231+T231+Observaciones!$F230-U231-W231-Y231</f>
        <v>41.290045057638409</v>
      </c>
      <c r="AA231" s="170">
        <f>IF(Escenarios!$E$14&gt;0,(Escenarios!$E$13*L231+Escenarios!$E$14*W231)/(Escenarios!$E$16),L231)</f>
        <v>0.16012748993725606</v>
      </c>
      <c r="AB231" s="170">
        <f>IF(Escenarios!$E$14&gt;0,(Escenarios!$E$14*Y231)/(Escenarios!$E$16),K231)</f>
        <v>0</v>
      </c>
      <c r="AC231" s="170">
        <f>IF(Escenarios!$E$14&gt;0,(Escenarios!$E$13*M231+Escenarios!$E$14*U231)/(Escenarios!$E$16),M231)</f>
        <v>0</v>
      </c>
      <c r="AD231" s="76">
        <f t="shared" si="43"/>
        <v>82.189104963257876</v>
      </c>
      <c r="AE231" s="76">
        <f>MAX(0,(AD231-Constantes!$D$13)*(1-EXP(-Constantes!$D$23)))</f>
        <v>0.32948346577726423</v>
      </c>
      <c r="AF231" s="76">
        <f>AB231+O231*Escenarios!$E$13/Escenarios!$E$16+AE231</f>
        <v>0.33022998640213186</v>
      </c>
      <c r="AG231" s="76">
        <f>IF(Entradas!$E$91&gt;0,IF(AF231-Escenarios!$E$38&lt;=0,0,IF(AF231-Escenarios!$E$38&gt;Escenarios!$E$37,Escenarios!$E$37,AF231-Escenarios!$E$38)),0)</f>
        <v>0</v>
      </c>
      <c r="AH231" s="76">
        <f>AG231*Entradas!$E$99</f>
        <v>0</v>
      </c>
      <c r="AI231" s="76">
        <f>IF(Entradas!$E$91&gt;0,D231*Entradas!$D$23/Escenarios!$E$16,0)</f>
        <v>0</v>
      </c>
      <c r="AJ231" s="76">
        <f>IF(Entradas!$E$91&gt;0,Entradas!$D$24*Entradas!$D$22/Escenarios!$E$16,0)</f>
        <v>0</v>
      </c>
      <c r="AK231" s="76">
        <f t="shared" si="52"/>
        <v>0.16012748993725606</v>
      </c>
      <c r="AL231" s="76">
        <f t="shared" si="53"/>
        <v>0</v>
      </c>
      <c r="AM231" s="76">
        <f t="shared" si="44"/>
        <v>0</v>
      </c>
      <c r="AN231" s="76">
        <f>MAX(0,O231*Escenarios!$E$13/Escenarios!$E$16-AM231)</f>
        <v>7.4652062486765391E-4</v>
      </c>
      <c r="AO231" s="76">
        <f>AM231+AN231-O231*Escenarios!$E$13/Escenarios!$E$16</f>
        <v>0</v>
      </c>
      <c r="AP231" s="76">
        <f t="shared" si="42"/>
        <v>0.32948346577726423</v>
      </c>
      <c r="AQ231" s="76">
        <f t="shared" si="45"/>
        <v>0</v>
      </c>
      <c r="AR231" s="76">
        <f t="shared" si="46"/>
        <v>0.33022998640213186</v>
      </c>
      <c r="AS231" s="76">
        <f t="shared" si="47"/>
        <v>0</v>
      </c>
      <c r="AT231" s="76">
        <f t="shared" si="48"/>
        <v>0</v>
      </c>
      <c r="AU231" s="76">
        <f t="shared" si="49"/>
        <v>48.75</v>
      </c>
      <c r="AV231" s="76">
        <f>MAX(0,(AU231-Constantes!$D$13)*(1-EXP(-Constantes!$D$24)))</f>
        <v>0</v>
      </c>
      <c r="AW231" s="170">
        <f>AW230+(Entradas!$E$112*AT231-AX230)/(800*Entradas!$D$25)</f>
        <v>0</v>
      </c>
      <c r="AX231" s="170">
        <f>8000*Entradas!$D$26*AW231/Constantes!$E$45</f>
        <v>0</v>
      </c>
      <c r="AY231" s="170">
        <f>IF(Escenarios!$E$17&gt;0,10*Escenarios!$E$16*AL231,0)</f>
        <v>0</v>
      </c>
      <c r="AZ231" s="170">
        <f>IF(Escenarios!$E$17&gt;0,10*Escenarios!$E$16*AX231,0)</f>
        <v>0</v>
      </c>
      <c r="BA231" s="170">
        <f>IF(Escenarios!$E$17&gt;0,0.001*Observaciones!$F230*Escenarios!$E$17,0)</f>
        <v>4</v>
      </c>
      <c r="BB231" s="170">
        <f>IF(Escenarios!$E$17&gt;0,Observaciones!$K230,0)</f>
        <v>0</v>
      </c>
      <c r="BC231" s="170">
        <f>IF(Escenarios!$E$17&gt;0,MIN(0.0005*ETo!$M230*Escenarios!$E$17*(BG230/Constantes!$E$40)^(2/3),BG230+AY231+AZ231+BA231+BB231),0)</f>
        <v>4.6273483546650329</v>
      </c>
      <c r="BD231" s="170">
        <f>IF(Escenarios!$E$17&gt;0,MIN(Constantes!$E$39*(BG230/Constantes!$E$40)^(2/3),BG230+AY231+AZ231+BA231+BB231-BC231),0)</f>
        <v>10.652640949590653</v>
      </c>
      <c r="BE231" s="170">
        <f>IF(Escenarios!$E$17&gt;0,MIN(Entradas!$E$113,BG230+AY231+AZ231+BA231+BB231-BC231-BD231),0)</f>
        <v>1</v>
      </c>
      <c r="BF231" s="170">
        <f>IF(Escenarios!$E$17&gt;0,MAX(0,BG230+AY231+AZ231+BA231+BB231-BC231-BD231-BE231-Constantes!$E$40),0)</f>
        <v>0</v>
      </c>
      <c r="BG231" s="170">
        <f t="shared" si="54"/>
        <v>311.65636809240942</v>
      </c>
      <c r="BH231" s="170">
        <f>(Escenarios!$E$16*AK231+0.1*BC231)/(Escenarios!$E$19)</f>
        <v>0.16069288618960523</v>
      </c>
      <c r="BI231" s="170">
        <f>IF(Escenarios!$E$17&gt;0,BF231/10/Escenarios!$E$19,AL231)</f>
        <v>0</v>
      </c>
      <c r="BJ231" s="170">
        <f>(Escenarios!$E$16*AT231+0.1*BD231)/(Escenarios!$E$19)</f>
        <v>4.2272384720597831E-3</v>
      </c>
      <c r="BK231" s="76">
        <f>BK230+(0.1*BD231)/(Escenarios!$E$19)-BL230</f>
        <v>49.883274922776238</v>
      </c>
      <c r="BL231" s="76">
        <f>MAX(0,(BK231-Constantes!$D$13)*(1-EXP(-Constantes!$D$23)))</f>
        <v>1.1166427739171087E-2</v>
      </c>
      <c r="BM231" s="76">
        <f t="shared" si="50"/>
        <v>0.34064989351643532</v>
      </c>
      <c r="BN231" s="76">
        <f t="shared" si="55"/>
        <v>0.34139641414130295</v>
      </c>
      <c r="BO231" s="76">
        <f>0.0526*BI231*Observaciones!$F230^1.218</f>
        <v>0</v>
      </c>
      <c r="BP231" s="76">
        <f>BO231*Constantes!$E$51</f>
        <v>0</v>
      </c>
      <c r="BQ231" s="76">
        <f t="shared" si="51"/>
        <v>0</v>
      </c>
      <c r="BR231" s="40"/>
    </row>
    <row r="232" spans="1:70">
      <c r="A232" s="147"/>
      <c r="B232" s="39"/>
      <c r="C232" s="75">
        <v>226</v>
      </c>
      <c r="D232" s="146">
        <f>ETo!$I231*((1-Constantes!$E$19)*ETo!$K231+ETo!$L231)</f>
        <v>3.0318895695682406</v>
      </c>
      <c r="E232" s="76">
        <f>MIN(D232*Constantes!$E$17,0.8*(N231+Observaciones!$F231-F232-M232-Constantes!$D$14))</f>
        <v>1.9923134885219441E-2</v>
      </c>
      <c r="F232" s="76">
        <f>IF(Observaciones!$F231&gt;0.05*Constantes!$E$18,((Observaciones!$F231-0.05*Constantes!$E$18)^2)/(Observaciones!$F231+0.95*Constantes!$E$18),0)</f>
        <v>0</v>
      </c>
      <c r="G232" s="76">
        <f>IF(Escenarios!$E$11&gt;0,(F232*Escenarios!$E$16*10000)/1000,0)</f>
        <v>0</v>
      </c>
      <c r="H232" s="76">
        <f>IF(Escenarios!$E$11&gt;0,(Observaciones!$F231*Constantes!$E$29)/1000,0)</f>
        <v>0</v>
      </c>
      <c r="I232" s="76">
        <f>IF(Escenarios!$E$11&gt;0,(D232*Constantes!$E$29)/1000,0)</f>
        <v>30.318895695682407</v>
      </c>
      <c r="J232" s="76">
        <f>IF(Escenarios!$E$11&gt;0,MAX(0,G232+H232-I232),0)</f>
        <v>0</v>
      </c>
      <c r="K232" s="76">
        <f>IF(Escenarios!$E$11&gt;0,IF(J232&gt;Constantes!$E$30,1000*((J232-Constantes!$E$30)/(Escenarios!$E$16*10000)),0),F232)</f>
        <v>0</v>
      </c>
      <c r="L232" s="76">
        <f>IF(Escenarios!$E$11&gt;0,I232*1000/Escenarios!$E$16/10000+E232,E232)</f>
        <v>3.2050693163492405E-2</v>
      </c>
      <c r="M232" s="76">
        <f>MAX(0,N231+Observaciones!$F231-K232-Constantes!$D$13)</f>
        <v>0</v>
      </c>
      <c r="N232" s="76">
        <f>N231+Observaciones!$F231-K232-L232-M232-O231</f>
        <v>11.242004906551136</v>
      </c>
      <c r="O232" s="76">
        <f>MAX(0,(N232-Constantes!$D$14)*(1-EXP(-Constantes!$D$22)))</f>
        <v>0</v>
      </c>
      <c r="P232" s="170">
        <f>P231+(Entradas!$E$83*M232-Q231)/(800*Entradas!$D$25)</f>
        <v>0</v>
      </c>
      <c r="Q232" s="170">
        <f>8000*Entradas!$D$26*P232/Constantes!$E$45</f>
        <v>0</v>
      </c>
      <c r="R232" s="170">
        <f>IF(Escenarios!$E$14&gt;0,K232*Escenarios!$E$13/Escenarios!$E$14,0)</f>
        <v>0</v>
      </c>
      <c r="S232" s="170">
        <f>IF(Escenarios!$E$14&gt;0,Q232*Escenarios!$E$13/Escenarios!$E$14,0)</f>
        <v>0</v>
      </c>
      <c r="T232" s="170">
        <f>IF(Escenarios!$E$14&gt;0,Observaciones!$I231,0)</f>
        <v>0</v>
      </c>
      <c r="U232" s="170">
        <f>IF(Escenarios!$E$14&gt;0,MAX(0,Constantes!$E$36/((Z231+R232+S232+T232+Observaciones!$F231)^2)+Entradas!$E$77),0)</f>
        <v>0</v>
      </c>
      <c r="V232" s="146">
        <f>IF(ETo!D231&gt;0,ETo!I231*((1-Entradas!$E$81)*ETo!K231+ETo!L231),0)</f>
        <v>2.7458309880598404</v>
      </c>
      <c r="W232" s="170">
        <f>IF(Escenarios!$E$14&gt;0,MIN(V232*1,0.8*(Z231+R232+S232+T232+Observaciones!$F231-U232-Constantes!$E$35)),0)</f>
        <v>3.2036046110727058E-2</v>
      </c>
      <c r="X232" s="170">
        <f>IF(Escenarios!$E$14&gt;0,Observaciones!$J231,0)</f>
        <v>0</v>
      </c>
      <c r="Y232" s="170">
        <f>IF(Escenarios!$E$14&gt;0,MAX(0,Z231+R232+S232+T232+Observaciones!$F231-U232-W232-X232-Constantes!$E$33),0)</f>
        <v>0</v>
      </c>
      <c r="Z232" s="170">
        <f>Z231+R232+S232+T232+Observaciones!$F231-U232-W232-Y232</f>
        <v>41.258009011527683</v>
      </c>
      <c r="AA232" s="170">
        <f>IF(Escenarios!$E$14&gt;0,(Escenarios!$E$13*L232+Escenarios!$E$14*W232)/(Escenarios!$E$16),L232)</f>
        <v>3.2048935517160565E-2</v>
      </c>
      <c r="AB232" s="170">
        <f>IF(Escenarios!$E$14&gt;0,(Escenarios!$E$14*Y232)/(Escenarios!$E$16),K232)</f>
        <v>0</v>
      </c>
      <c r="AC232" s="170">
        <f>IF(Escenarios!$E$14&gt;0,(Escenarios!$E$13*M232+Escenarios!$E$14*U232)/(Escenarios!$E$16),M232)</f>
        <v>0</v>
      </c>
      <c r="AD232" s="76">
        <f t="shared" si="43"/>
        <v>81.859621497480617</v>
      </c>
      <c r="AE232" s="76">
        <f>MAX(0,(AD232-Constantes!$D$13)*(1-EXP(-Constantes!$D$23)))</f>
        <v>0.32623698671211343</v>
      </c>
      <c r="AF232" s="76">
        <f>AB232+O232*Escenarios!$E$13/Escenarios!$E$16+AE232</f>
        <v>0.32623698671211343</v>
      </c>
      <c r="AG232" s="76">
        <f>IF(Entradas!$E$91&gt;0,IF(AF232-Escenarios!$E$38&lt;=0,0,IF(AF232-Escenarios!$E$38&gt;Escenarios!$E$37,Escenarios!$E$37,AF232-Escenarios!$E$38)),0)</f>
        <v>0</v>
      </c>
      <c r="AH232" s="76">
        <f>AG232*Entradas!$E$99</f>
        <v>0</v>
      </c>
      <c r="AI232" s="76">
        <f>IF(Entradas!$E$91&gt;0,D232*Entradas!$D$23/Escenarios!$E$16,0)</f>
        <v>0</v>
      </c>
      <c r="AJ232" s="76">
        <f>IF(Entradas!$E$91&gt;0,Entradas!$D$24*Entradas!$D$22/Escenarios!$E$16,0)</f>
        <v>0</v>
      </c>
      <c r="AK232" s="76">
        <f t="shared" si="52"/>
        <v>3.2048935517160565E-2</v>
      </c>
      <c r="AL232" s="76">
        <f t="shared" si="53"/>
        <v>0</v>
      </c>
      <c r="AM232" s="76">
        <f t="shared" si="44"/>
        <v>0</v>
      </c>
      <c r="AN232" s="76">
        <f>MAX(0,O232*Escenarios!$E$13/Escenarios!$E$16-AM232)</f>
        <v>0</v>
      </c>
      <c r="AO232" s="76">
        <f>AM232+AN232-O232*Escenarios!$E$13/Escenarios!$E$16</f>
        <v>0</v>
      </c>
      <c r="AP232" s="76">
        <f t="shared" si="42"/>
        <v>0.32623698671211343</v>
      </c>
      <c r="AQ232" s="76">
        <f t="shared" si="45"/>
        <v>0</v>
      </c>
      <c r="AR232" s="76">
        <f t="shared" si="46"/>
        <v>0.32623698671211343</v>
      </c>
      <c r="AS232" s="76">
        <f t="shared" si="47"/>
        <v>0</v>
      </c>
      <c r="AT232" s="76">
        <f t="shared" si="48"/>
        <v>0</v>
      </c>
      <c r="AU232" s="76">
        <f t="shared" si="49"/>
        <v>48.75</v>
      </c>
      <c r="AV232" s="76">
        <f>MAX(0,(AU232-Constantes!$D$13)*(1-EXP(-Constantes!$D$24)))</f>
        <v>0</v>
      </c>
      <c r="AW232" s="170">
        <f>AW231+(Entradas!$E$112*AT232-AX231)/(800*Entradas!$D$25)</f>
        <v>0</v>
      </c>
      <c r="AX232" s="170">
        <f>8000*Entradas!$D$26*AW232/Constantes!$E$45</f>
        <v>0</v>
      </c>
      <c r="AY232" s="170">
        <f>IF(Escenarios!$E$17&gt;0,10*Escenarios!$E$16*AL232,0)</f>
        <v>0</v>
      </c>
      <c r="AZ232" s="170">
        <f>IF(Escenarios!$E$17&gt;0,10*Escenarios!$E$16*AX232,0)</f>
        <v>0</v>
      </c>
      <c r="BA232" s="170">
        <f>IF(Escenarios!$E$17&gt;0,0.001*Observaciones!$F231*Escenarios!$E$17,0)</f>
        <v>0</v>
      </c>
      <c r="BB232" s="170">
        <f>IF(Escenarios!$E$17&gt;0,Observaciones!$K231,0)</f>
        <v>0</v>
      </c>
      <c r="BC232" s="170">
        <f>IF(Escenarios!$E$17&gt;0,MIN(0.0005*ETo!$M231*Escenarios!$E$17*(BG231/Constantes!$E$40)^(2/3),BG231+AY232+AZ232+BA232+BB232),0)</f>
        <v>4.5186461657586312</v>
      </c>
      <c r="BD232" s="170">
        <f>IF(Escenarios!$E$17&gt;0,MIN(Constantes!$E$39*(BG231/Constantes!$E$40)^(2/3),BG231+AY232+AZ232+BA232+BB232-BC232),0)</f>
        <v>10.381692548932175</v>
      </c>
      <c r="BE232" s="170">
        <f>IF(Escenarios!$E$17&gt;0,MIN(Entradas!$E$113,BG231+AY232+AZ232+BA232+BB232-BC232-BD232),0)</f>
        <v>1</v>
      </c>
      <c r="BF232" s="170">
        <f>IF(Escenarios!$E$17&gt;0,MAX(0,BG231+AY232+AZ232+BA232+BB232-BC232-BD232-BE232-Constantes!$E$40),0)</f>
        <v>0</v>
      </c>
      <c r="BG232" s="170">
        <f t="shared" si="54"/>
        <v>295.75602937771862</v>
      </c>
      <c r="BH232" s="170">
        <f>(Escenarios!$E$16*AK232+0.1*BC232)/(Escenarios!$E$19)</f>
        <v>3.3587692443912714E-2</v>
      </c>
      <c r="BI232" s="170">
        <f>IF(Escenarios!$E$17&gt;0,BF232/10/Escenarios!$E$19,AL232)</f>
        <v>0</v>
      </c>
      <c r="BJ232" s="170">
        <f>(Escenarios!$E$16*AT232+0.1*BD232)/(Escenarios!$E$19)</f>
        <v>4.1197192654492763E-3</v>
      </c>
      <c r="BK232" s="76">
        <f>BK231+(0.1*BD232)/(Escenarios!$E$19)-BL231</f>
        <v>49.876228214302515</v>
      </c>
      <c r="BL232" s="76">
        <f>MAX(0,(BK232-Constantes!$D$13)*(1-EXP(-Constantes!$D$23)))</f>
        <v>1.1096994842184297E-2</v>
      </c>
      <c r="BM232" s="76">
        <f t="shared" si="50"/>
        <v>0.33733398155429772</v>
      </c>
      <c r="BN232" s="76">
        <f t="shared" si="55"/>
        <v>0.33733398155429772</v>
      </c>
      <c r="BO232" s="76">
        <f>0.0526*BI232*Observaciones!$F231^1.218</f>
        <v>0</v>
      </c>
      <c r="BP232" s="76">
        <f>BO232*Constantes!$E$51</f>
        <v>0</v>
      </c>
      <c r="BQ232" s="76">
        <f t="shared" si="51"/>
        <v>0</v>
      </c>
      <c r="BR232" s="40"/>
    </row>
    <row r="233" spans="1:70">
      <c r="A233" s="147"/>
      <c r="B233" s="39"/>
      <c r="C233" s="75">
        <v>227</v>
      </c>
      <c r="D233" s="146">
        <f>ETo!$I232*((1-Constantes!$E$19)*ETo!$K232+ETo!$L232)</f>
        <v>3.0771681594023539</v>
      </c>
      <c r="E233" s="76">
        <f>MIN(D233*Constantes!$E$17,0.8*(N232+Observaciones!$F232-F233-M233-Constantes!$D$14))</f>
        <v>-6.3960747590911639E-3</v>
      </c>
      <c r="F233" s="76">
        <f>IF(Observaciones!$F232&gt;0.05*Constantes!$E$18,((Observaciones!$F232-0.05*Constantes!$E$18)^2)/(Observaciones!$F232+0.95*Constantes!$E$18),0)</f>
        <v>0</v>
      </c>
      <c r="G233" s="76">
        <f>IF(Escenarios!$E$11&gt;0,(F233*Escenarios!$E$16*10000)/1000,0)</f>
        <v>0</v>
      </c>
      <c r="H233" s="76">
        <f>IF(Escenarios!$E$11&gt;0,(Observaciones!$F232*Constantes!$E$29)/1000,0)</f>
        <v>0</v>
      </c>
      <c r="I233" s="76">
        <f>IF(Escenarios!$E$11&gt;0,(D233*Constantes!$E$29)/1000,0)</f>
        <v>30.771681594023541</v>
      </c>
      <c r="J233" s="76">
        <f>IF(Escenarios!$E$11&gt;0,MAX(0,G233+H233-I233),0)</f>
        <v>0</v>
      </c>
      <c r="K233" s="76">
        <f>IF(Escenarios!$E$11&gt;0,IF(J233&gt;Constantes!$E$30,1000*((J233-Constantes!$E$30)/(Escenarios!$E$16*10000)),0),F233)</f>
        <v>0</v>
      </c>
      <c r="L233" s="76">
        <f>IF(Escenarios!$E$11&gt;0,I233*1000/Escenarios!$E$16/10000+E233,E233)</f>
        <v>5.9125978785182524E-3</v>
      </c>
      <c r="M233" s="76">
        <f>MAX(0,N232+Observaciones!$F232-K233-Constantes!$D$13)</f>
        <v>0</v>
      </c>
      <c r="N233" s="76">
        <f>N232+Observaciones!$F232-K233-L233-M233-O232</f>
        <v>11.236092308672617</v>
      </c>
      <c r="O233" s="76">
        <f>MAX(0,(N233-Constantes!$D$14)*(1-EXP(-Constantes!$D$22)))</f>
        <v>0</v>
      </c>
      <c r="P233" s="170">
        <f>P232+(Entradas!$E$83*M233-Q232)/(800*Entradas!$D$25)</f>
        <v>0</v>
      </c>
      <c r="Q233" s="170">
        <f>8000*Entradas!$D$26*P233/Constantes!$E$45</f>
        <v>0</v>
      </c>
      <c r="R233" s="170">
        <f>IF(Escenarios!$E$14&gt;0,K233*Escenarios!$E$13/Escenarios!$E$14,0)</f>
        <v>0</v>
      </c>
      <c r="S233" s="170">
        <f>IF(Escenarios!$E$14&gt;0,Q233*Escenarios!$E$13/Escenarios!$E$14,0)</f>
        <v>0</v>
      </c>
      <c r="T233" s="170">
        <f>IF(Escenarios!$E$14&gt;0,Observaciones!$I232,0)</f>
        <v>0</v>
      </c>
      <c r="U233" s="170">
        <f>IF(Escenarios!$E$14&gt;0,MAX(0,Constantes!$E$36/((Z232+R233+S233+T233+Observaciones!$F232)^2)+Entradas!$E$77),0)</f>
        <v>0</v>
      </c>
      <c r="V233" s="146">
        <f>IF(ETo!D232&gt;0,ETo!I232*((1-Entradas!$E$81)*ETo!K232+ETo!L232),0)</f>
        <v>2.7875651793124878</v>
      </c>
      <c r="W233" s="170">
        <f>IF(Escenarios!$E$14&gt;0,MIN(V233*1,0.8*(Z232+R233+S233+T233+Observaciones!$F232-U233-Constantes!$E$35)),0)</f>
        <v>6.4072092221465482E-3</v>
      </c>
      <c r="X233" s="170">
        <f>IF(Escenarios!$E$14&gt;0,Observaciones!$J232,0)</f>
        <v>0</v>
      </c>
      <c r="Y233" s="170">
        <f>IF(Escenarios!$E$14&gt;0,MAX(0,Z232+R233+S233+T233+Observaciones!$F232-U233-W233-X233-Constantes!$E$33),0)</f>
        <v>0</v>
      </c>
      <c r="Z233" s="170">
        <f>Z232+R233+S233+T233+Observaciones!$F232-U233-W233-Y233</f>
        <v>41.251601802305537</v>
      </c>
      <c r="AA233" s="170">
        <f>IF(Escenarios!$E$14&gt;0,(Escenarios!$E$13*L233+Escenarios!$E$14*W233)/(Escenarios!$E$16),L233)</f>
        <v>5.971951239753648E-3</v>
      </c>
      <c r="AB233" s="170">
        <f>IF(Escenarios!$E$14&gt;0,(Escenarios!$E$14*Y233)/(Escenarios!$E$16),K233)</f>
        <v>0</v>
      </c>
      <c r="AC233" s="170">
        <f>IF(Escenarios!$E$14&gt;0,(Escenarios!$E$13*M233+Escenarios!$E$14*U233)/(Escenarios!$E$16),M233)</f>
        <v>0</v>
      </c>
      <c r="AD233" s="76">
        <f t="shared" si="43"/>
        <v>81.533384510768499</v>
      </c>
      <c r="AE233" s="76">
        <f>MAX(0,(AD233-Constantes!$D$13)*(1-EXP(-Constantes!$D$23)))</f>
        <v>0.32302249597844257</v>
      </c>
      <c r="AF233" s="76">
        <f>AB233+O233*Escenarios!$E$13/Escenarios!$E$16+AE233</f>
        <v>0.32302249597844257</v>
      </c>
      <c r="AG233" s="76">
        <f>IF(Entradas!$E$91&gt;0,IF(AF233-Escenarios!$E$38&lt;=0,0,IF(AF233-Escenarios!$E$38&gt;Escenarios!$E$37,Escenarios!$E$37,AF233-Escenarios!$E$38)),0)</f>
        <v>0</v>
      </c>
      <c r="AH233" s="76">
        <f>AG233*Entradas!$E$99</f>
        <v>0</v>
      </c>
      <c r="AI233" s="76">
        <f>IF(Entradas!$E$91&gt;0,D233*Entradas!$D$23/Escenarios!$E$16,0)</f>
        <v>0</v>
      </c>
      <c r="AJ233" s="76">
        <f>IF(Entradas!$E$91&gt;0,Entradas!$D$24*Entradas!$D$22/Escenarios!$E$16,0)</f>
        <v>0</v>
      </c>
      <c r="AK233" s="76">
        <f t="shared" si="52"/>
        <v>5.971951239753648E-3</v>
      </c>
      <c r="AL233" s="76">
        <f t="shared" si="53"/>
        <v>0</v>
      </c>
      <c r="AM233" s="76">
        <f t="shared" si="44"/>
        <v>0</v>
      </c>
      <c r="AN233" s="76">
        <f>MAX(0,O233*Escenarios!$E$13/Escenarios!$E$16-AM233)</f>
        <v>0</v>
      </c>
      <c r="AO233" s="76">
        <f>AM233+AN233-O233*Escenarios!$E$13/Escenarios!$E$16</f>
        <v>0</v>
      </c>
      <c r="AP233" s="76">
        <f t="shared" si="42"/>
        <v>0.32302249597844257</v>
      </c>
      <c r="AQ233" s="76">
        <f t="shared" si="45"/>
        <v>0</v>
      </c>
      <c r="AR233" s="76">
        <f t="shared" si="46"/>
        <v>0.32302249597844257</v>
      </c>
      <c r="AS233" s="76">
        <f t="shared" si="47"/>
        <v>0</v>
      </c>
      <c r="AT233" s="76">
        <f t="shared" si="48"/>
        <v>0</v>
      </c>
      <c r="AU233" s="76">
        <f t="shared" si="49"/>
        <v>48.75</v>
      </c>
      <c r="AV233" s="76">
        <f>MAX(0,(AU233-Constantes!$D$13)*(1-EXP(-Constantes!$D$24)))</f>
        <v>0</v>
      </c>
      <c r="AW233" s="170">
        <f>AW232+(Entradas!$E$112*AT233-AX232)/(800*Entradas!$D$25)</f>
        <v>0</v>
      </c>
      <c r="AX233" s="170">
        <f>8000*Entradas!$D$26*AW233/Constantes!$E$45</f>
        <v>0</v>
      </c>
      <c r="AY233" s="170">
        <f>IF(Escenarios!$E$17&gt;0,10*Escenarios!$E$16*AL233,0)</f>
        <v>0</v>
      </c>
      <c r="AZ233" s="170">
        <f>IF(Escenarios!$E$17&gt;0,10*Escenarios!$E$16*AX233,0)</f>
        <v>0</v>
      </c>
      <c r="BA233" s="170">
        <f>IF(Escenarios!$E$17&gt;0,0.001*Observaciones!$F232*Escenarios!$E$17,0)</f>
        <v>0</v>
      </c>
      <c r="BB233" s="170">
        <f>IF(Escenarios!$E$17&gt;0,Observaciones!$K232,0)</f>
        <v>0</v>
      </c>
      <c r="BC233" s="170">
        <f>IF(Escenarios!$E$17&gt;0,MIN(0.0005*ETo!$M232*Escenarios!$E$17*(BG232/Constantes!$E$40)^(2/3),BG232+AY233+AZ233+BA233+BB233),0)</f>
        <v>4.4273500537571593</v>
      </c>
      <c r="BD233" s="170">
        <f>IF(Escenarios!$E$17&gt;0,MIN(Constantes!$E$39*(BG232/Constantes!$E$40)^(2/3),BG232+AY233+AZ233+BA233+BB233-BC233),0)</f>
        <v>10.025512074989557</v>
      </c>
      <c r="BE233" s="170">
        <f>IF(Escenarios!$E$17&gt;0,MIN(Entradas!$E$113,BG232+AY233+AZ233+BA233+BB233-BC233-BD233),0)</f>
        <v>1</v>
      </c>
      <c r="BF233" s="170">
        <f>IF(Escenarios!$E$17&gt;0,MAX(0,BG232+AY233+AZ233+BA233+BB233-BC233-BD233-BE233-Constantes!$E$40),0)</f>
        <v>0</v>
      </c>
      <c r="BG233" s="170">
        <f t="shared" si="54"/>
        <v>280.30316724897193</v>
      </c>
      <c r="BH233" s="170">
        <f>(Escenarios!$E$16*AK233+0.1*BC233)/(Escenarios!$E$19)</f>
        <v>7.6814397433100316E-3</v>
      </c>
      <c r="BI233" s="170">
        <f>IF(Escenarios!$E$17&gt;0,BF233/10/Escenarios!$E$19,AL233)</f>
        <v>0</v>
      </c>
      <c r="BJ233" s="170">
        <f>(Escenarios!$E$16*AT233+0.1*BD233)/(Escenarios!$E$19)</f>
        <v>3.9783778075355384E-3</v>
      </c>
      <c r="BK233" s="76">
        <f>BK232+(0.1*BD233)/(Escenarios!$E$19)-BL232</f>
        <v>49.869109597267865</v>
      </c>
      <c r="BL233" s="76">
        <f>MAX(0,(BK233-Constantes!$D$13)*(1-EXP(-Constantes!$D$23)))</f>
        <v>1.1026853413019417E-2</v>
      </c>
      <c r="BM233" s="76">
        <f t="shared" si="50"/>
        <v>0.33404934939146197</v>
      </c>
      <c r="BN233" s="76">
        <f t="shared" si="55"/>
        <v>0.33404934939146197</v>
      </c>
      <c r="BO233" s="76">
        <f>0.0526*BI233*Observaciones!$F232^1.218</f>
        <v>0</v>
      </c>
      <c r="BP233" s="76">
        <f>BO233*Constantes!$E$51</f>
        <v>0</v>
      </c>
      <c r="BQ233" s="76">
        <f t="shared" si="51"/>
        <v>0</v>
      </c>
      <c r="BR233" s="40"/>
    </row>
    <row r="234" spans="1:70">
      <c r="A234" s="147"/>
      <c r="B234" s="39"/>
      <c r="C234" s="75">
        <v>228</v>
      </c>
      <c r="D234" s="146">
        <f>ETo!$I233*((1-Constantes!$E$19)*ETo!$K233+ETo!$L233)</f>
        <v>3.0945569026957869</v>
      </c>
      <c r="E234" s="76">
        <f>MIN(D234*Constantes!$E$17,0.8*(N233+Observaciones!$F233-F234-M234-Constantes!$D$14))</f>
        <v>-1.1126153061906053E-2</v>
      </c>
      <c r="F234" s="76">
        <f>IF(Observaciones!$F233&gt;0.05*Constantes!$E$18,((Observaciones!$F233-0.05*Constantes!$E$18)^2)/(Observaciones!$F233+0.95*Constantes!$E$18),0)</f>
        <v>0</v>
      </c>
      <c r="G234" s="76">
        <f>IF(Escenarios!$E$11&gt;0,(F234*Escenarios!$E$16*10000)/1000,0)</f>
        <v>0</v>
      </c>
      <c r="H234" s="76">
        <f>IF(Escenarios!$E$11&gt;0,(Observaciones!$F233*Constantes!$E$29)/1000,0)</f>
        <v>0</v>
      </c>
      <c r="I234" s="76">
        <f>IF(Escenarios!$E$11&gt;0,(D234*Constantes!$E$29)/1000,0)</f>
        <v>30.94556902695787</v>
      </c>
      <c r="J234" s="76">
        <f>IF(Escenarios!$E$11&gt;0,MAX(0,G234+H234-I234),0)</f>
        <v>0</v>
      </c>
      <c r="K234" s="76">
        <f>IF(Escenarios!$E$11&gt;0,IF(J234&gt;Constantes!$E$30,1000*((J234-Constantes!$E$30)/(Escenarios!$E$16*10000)),0),F234)</f>
        <v>0</v>
      </c>
      <c r="L234" s="76">
        <f>IF(Escenarios!$E$11&gt;0,I234*1000/Escenarios!$E$16/10000+E234,E234)</f>
        <v>1.2520745488770954E-3</v>
      </c>
      <c r="M234" s="76">
        <f>MAX(0,N233+Observaciones!$F233-K234-Constantes!$D$13)</f>
        <v>0</v>
      </c>
      <c r="N234" s="76">
        <f>N233+Observaciones!$F233-K234-L234-M234-O233</f>
        <v>11.234840234123741</v>
      </c>
      <c r="O234" s="76">
        <f>MAX(0,(N234-Constantes!$D$14)*(1-EXP(-Constantes!$D$22)))</f>
        <v>0</v>
      </c>
      <c r="P234" s="170">
        <f>P233+(Entradas!$E$83*M234-Q233)/(800*Entradas!$D$25)</f>
        <v>0</v>
      </c>
      <c r="Q234" s="170">
        <f>8000*Entradas!$D$26*P234/Constantes!$E$45</f>
        <v>0</v>
      </c>
      <c r="R234" s="170">
        <f>IF(Escenarios!$E$14&gt;0,K234*Escenarios!$E$13/Escenarios!$E$14,0)</f>
        <v>0</v>
      </c>
      <c r="S234" s="170">
        <f>IF(Escenarios!$E$14&gt;0,Q234*Escenarios!$E$13/Escenarios!$E$14,0)</f>
        <v>0</v>
      </c>
      <c r="T234" s="170">
        <f>IF(Escenarios!$E$14&gt;0,Observaciones!$I233,0)</f>
        <v>0</v>
      </c>
      <c r="U234" s="170">
        <f>IF(Escenarios!$E$14&gt;0,MAX(0,Constantes!$E$36/((Z233+R234+S234+T234+Observaciones!$F233)^2)+Entradas!$E$77),0)</f>
        <v>0</v>
      </c>
      <c r="V234" s="146">
        <f>IF(ETo!D233&gt;0,ETo!I233*((1-Entradas!$E$81)*ETo!K233+ETo!L233),0)</f>
        <v>2.8038467741565256</v>
      </c>
      <c r="W234" s="170">
        <f>IF(Escenarios!$E$14&gt;0,MIN(V234*1,0.8*(Z233+R234+S234+T234+Observaciones!$F233-U234-Constantes!$E$35)),0)</f>
        <v>1.2814418444293098E-3</v>
      </c>
      <c r="X234" s="170">
        <f>IF(Escenarios!$E$14&gt;0,Observaciones!$J233,0)</f>
        <v>0</v>
      </c>
      <c r="Y234" s="170">
        <f>IF(Escenarios!$E$14&gt;0,MAX(0,Z233+R234+S234+T234+Observaciones!$F233-U234-W234-X234-Constantes!$E$33),0)</f>
        <v>0</v>
      </c>
      <c r="Z234" s="170">
        <f>Z233+R234+S234+T234+Observaciones!$F233-U234-W234-Y234</f>
        <v>41.25032036046111</v>
      </c>
      <c r="AA234" s="170">
        <f>IF(Escenarios!$E$14&gt;0,(Escenarios!$E$13*L234+Escenarios!$E$14*W234)/(Escenarios!$E$16),L234)</f>
        <v>1.255598624343361E-3</v>
      </c>
      <c r="AB234" s="170">
        <f>IF(Escenarios!$E$14&gt;0,(Escenarios!$E$14*Y234)/(Escenarios!$E$16),K234)</f>
        <v>0</v>
      </c>
      <c r="AC234" s="170">
        <f>IF(Escenarios!$E$14&gt;0,(Escenarios!$E$13*M234+Escenarios!$E$14*U234)/(Escenarios!$E$16),M234)</f>
        <v>0</v>
      </c>
      <c r="AD234" s="76">
        <f t="shared" si="43"/>
        <v>81.21036201479005</v>
      </c>
      <c r="AE234" s="76">
        <f>MAX(0,(AD234-Constantes!$D$13)*(1-EXP(-Constantes!$D$23)))</f>
        <v>0.31983967838760258</v>
      </c>
      <c r="AF234" s="76">
        <f>AB234+O234*Escenarios!$E$13/Escenarios!$E$16+AE234</f>
        <v>0.31983967838760258</v>
      </c>
      <c r="AG234" s="76">
        <f>IF(Entradas!$E$91&gt;0,IF(AF234-Escenarios!$E$38&lt;=0,0,IF(AF234-Escenarios!$E$38&gt;Escenarios!$E$37,Escenarios!$E$37,AF234-Escenarios!$E$38)),0)</f>
        <v>0</v>
      </c>
      <c r="AH234" s="76">
        <f>AG234*Entradas!$E$99</f>
        <v>0</v>
      </c>
      <c r="AI234" s="76">
        <f>IF(Entradas!$E$91&gt;0,D234*Entradas!$D$23/Escenarios!$E$16,0)</f>
        <v>0</v>
      </c>
      <c r="AJ234" s="76">
        <f>IF(Entradas!$E$91&gt;0,Entradas!$D$24*Entradas!$D$22/Escenarios!$E$16,0)</f>
        <v>0</v>
      </c>
      <c r="AK234" s="76">
        <f t="shared" si="52"/>
        <v>1.255598624343361E-3</v>
      </c>
      <c r="AL234" s="76">
        <f t="shared" si="53"/>
        <v>0</v>
      </c>
      <c r="AM234" s="76">
        <f t="shared" si="44"/>
        <v>0</v>
      </c>
      <c r="AN234" s="76">
        <f>MAX(0,O234*Escenarios!$E$13/Escenarios!$E$16-AM234)</f>
        <v>0</v>
      </c>
      <c r="AO234" s="76">
        <f>AM234+AN234-O234*Escenarios!$E$13/Escenarios!$E$16</f>
        <v>0</v>
      </c>
      <c r="AP234" s="76">
        <f t="shared" si="42"/>
        <v>0.31983967838760258</v>
      </c>
      <c r="AQ234" s="76">
        <f t="shared" si="45"/>
        <v>0</v>
      </c>
      <c r="AR234" s="76">
        <f t="shared" si="46"/>
        <v>0.31983967838760258</v>
      </c>
      <c r="AS234" s="76">
        <f t="shared" si="47"/>
        <v>0</v>
      </c>
      <c r="AT234" s="76">
        <f t="shared" si="48"/>
        <v>0</v>
      </c>
      <c r="AU234" s="76">
        <f t="shared" si="49"/>
        <v>48.75</v>
      </c>
      <c r="AV234" s="76">
        <f>MAX(0,(AU234-Constantes!$D$13)*(1-EXP(-Constantes!$D$24)))</f>
        <v>0</v>
      </c>
      <c r="AW234" s="170">
        <f>AW233+(Entradas!$E$112*AT234-AX233)/(800*Entradas!$D$25)</f>
        <v>0</v>
      </c>
      <c r="AX234" s="170">
        <f>8000*Entradas!$D$26*AW234/Constantes!$E$45</f>
        <v>0</v>
      </c>
      <c r="AY234" s="170">
        <f>IF(Escenarios!$E$17&gt;0,10*Escenarios!$E$16*AL234,0)</f>
        <v>0</v>
      </c>
      <c r="AZ234" s="170">
        <f>IF(Escenarios!$E$17&gt;0,10*Escenarios!$E$16*AX234,0)</f>
        <v>0</v>
      </c>
      <c r="BA234" s="170">
        <f>IF(Escenarios!$E$17&gt;0,0.001*Observaciones!$F233*Escenarios!$E$17,0)</f>
        <v>0</v>
      </c>
      <c r="BB234" s="170">
        <f>IF(Escenarios!$E$17&gt;0,Observaciones!$K233,0)</f>
        <v>0</v>
      </c>
      <c r="BC234" s="170">
        <f>IF(Escenarios!$E$17&gt;0,MIN(0.0005*ETo!$M233*Escenarios!$E$17*(BG233/Constantes!$E$40)^(2/3),BG233+AY234+AZ234+BA234+BB234),0)</f>
        <v>4.2948915546537973</v>
      </c>
      <c r="BD234" s="170">
        <f>IF(Escenarios!$E$17&gt;0,MIN(Constantes!$E$39*(BG233/Constantes!$E$40)^(2/3),BG233+AY234+AZ234+BA234+BB234-BC234),0)</f>
        <v>9.6731850588090538</v>
      </c>
      <c r="BE234" s="170">
        <f>IF(Escenarios!$E$17&gt;0,MIN(Entradas!$E$113,BG233+AY234+AZ234+BA234+BB234-BC234-BD234),0)</f>
        <v>1</v>
      </c>
      <c r="BF234" s="170">
        <f>IF(Escenarios!$E$17&gt;0,MAX(0,BG233+AY234+AZ234+BA234+BB234-BC234-BD234-BE234-Constantes!$E$40),0)</f>
        <v>0</v>
      </c>
      <c r="BG234" s="170">
        <f t="shared" si="54"/>
        <v>265.33509063550906</v>
      </c>
      <c r="BH234" s="170">
        <f>(Escenarios!$E$16*AK234+0.1*BC234)/(Escenarios!$E$19)</f>
        <v>2.9499556013937297E-3</v>
      </c>
      <c r="BI234" s="170">
        <f>IF(Escenarios!$E$17&gt;0,BF234/10/Escenarios!$E$19,AL234)</f>
        <v>0</v>
      </c>
      <c r="BJ234" s="170">
        <f>(Escenarios!$E$16*AT234+0.1*BD234)/(Escenarios!$E$19)</f>
        <v>3.8385654995274025E-3</v>
      </c>
      <c r="BK234" s="76">
        <f>BK233+(0.1*BD234)/(Escenarios!$E$19)-BL233</f>
        <v>49.861921309354372</v>
      </c>
      <c r="BL234" s="76">
        <f>MAX(0,(BK234-Constantes!$D$13)*(1-EXP(-Constantes!$D$23)))</f>
        <v>1.0956025500090978E-2</v>
      </c>
      <c r="BM234" s="76">
        <f t="shared" si="50"/>
        <v>0.33079570388769358</v>
      </c>
      <c r="BN234" s="76">
        <f t="shared" si="55"/>
        <v>0.33079570388769358</v>
      </c>
      <c r="BO234" s="76">
        <f>0.0526*BI234*Observaciones!$F233^1.218</f>
        <v>0</v>
      </c>
      <c r="BP234" s="76">
        <f>BO234*Constantes!$E$51</f>
        <v>0</v>
      </c>
      <c r="BQ234" s="76">
        <f t="shared" si="51"/>
        <v>0</v>
      </c>
      <c r="BR234" s="40"/>
    </row>
    <row r="235" spans="1:70">
      <c r="A235" s="147"/>
      <c r="B235" s="39"/>
      <c r="C235" s="75">
        <v>229</v>
      </c>
      <c r="D235" s="146">
        <f>ETo!$I234*((1-Constantes!$E$19)*ETo!$K234+ETo!$L234)</f>
        <v>3.1725148233943288</v>
      </c>
      <c r="E235" s="76">
        <f>MIN(D235*Constantes!$E$17,0.8*(N234+Observaciones!$F234-F235-M235-Constantes!$D$14))</f>
        <v>1.5510815604978059</v>
      </c>
      <c r="F235" s="76">
        <f>IF(Observaciones!$F234&gt;0.05*Constantes!$E$18,((Observaciones!$F234-0.05*Constantes!$E$18)^2)/(Observaciones!$F234+0.95*Constantes!$E$18),0)</f>
        <v>0</v>
      </c>
      <c r="G235" s="76">
        <f>IF(Escenarios!$E$11&gt;0,(F235*Escenarios!$E$16*10000)/1000,0)</f>
        <v>0</v>
      </c>
      <c r="H235" s="76">
        <f>IF(Escenarios!$E$11&gt;0,(Observaciones!$F234*Constantes!$E$29)/1000,0)</f>
        <v>33</v>
      </c>
      <c r="I235" s="76">
        <f>IF(Escenarios!$E$11&gt;0,(D235*Constantes!$E$29)/1000,0)</f>
        <v>31.725148233943287</v>
      </c>
      <c r="J235" s="76">
        <f>IF(Escenarios!$E$11&gt;0,MAX(0,G235+H235-I235),0)</f>
        <v>1.2748517660567131</v>
      </c>
      <c r="K235" s="76">
        <f>IF(Escenarios!$E$11&gt;0,IF(J235&gt;Constantes!$E$30,1000*((J235-Constantes!$E$30)/(Escenarios!$E$16*10000)),0),F235)</f>
        <v>0</v>
      </c>
      <c r="L235" s="76">
        <f>IF(Escenarios!$E$11&gt;0,I235*1000/Escenarios!$E$16/10000+E235,E235)</f>
        <v>1.5637716197913831</v>
      </c>
      <c r="M235" s="76">
        <f>MAX(0,N234+Observaciones!$F234-K235-Constantes!$D$13)</f>
        <v>0</v>
      </c>
      <c r="N235" s="76">
        <f>N234+Observaciones!$F234-K235-L235-M235-O234</f>
        <v>12.971068614332358</v>
      </c>
      <c r="O235" s="76">
        <f>MAX(0,(N235-Constantes!$D$14)*(1-EXP(-Constantes!$D$22)))</f>
        <v>5.8625915176389209E-2</v>
      </c>
      <c r="P235" s="170">
        <f>P234+(Entradas!$E$83*M235-Q234)/(800*Entradas!$D$25)</f>
        <v>0</v>
      </c>
      <c r="Q235" s="170">
        <f>8000*Entradas!$D$26*P235/Constantes!$E$45</f>
        <v>0</v>
      </c>
      <c r="R235" s="170">
        <f>IF(Escenarios!$E$14&gt;0,K235*Escenarios!$E$13/Escenarios!$E$14,0)</f>
        <v>0</v>
      </c>
      <c r="S235" s="170">
        <f>IF(Escenarios!$E$14&gt;0,Q235*Escenarios!$E$13/Escenarios!$E$14,0)</f>
        <v>0</v>
      </c>
      <c r="T235" s="170">
        <f>IF(Escenarios!$E$14&gt;0,Observaciones!$I234,0)</f>
        <v>0</v>
      </c>
      <c r="U235" s="170">
        <f>IF(Escenarios!$E$14&gt;0,MAX(0,Constantes!$E$36/((Z234+R235+S235+T235+Observaciones!$F234)^2)+Entradas!$E$77),0)</f>
        <v>0</v>
      </c>
      <c r="V235" s="146">
        <f>IF(ETo!D234&gt;0,ETo!I234*((1-Entradas!$E$81)*ETo!K234+ETo!L234),0)</f>
        <v>2.8755209216426083</v>
      </c>
      <c r="W235" s="170">
        <f>IF(Escenarios!$E$14&gt;0,MIN(V235*1,0.8*(Z234+R235+S235+T235+Observaciones!$F234-U235-Constantes!$E$35)),0)</f>
        <v>2.640256288368886</v>
      </c>
      <c r="X235" s="170">
        <f>IF(Escenarios!$E$14&gt;0,Observaciones!$J234,0)</f>
        <v>0</v>
      </c>
      <c r="Y235" s="170">
        <f>IF(Escenarios!$E$14&gt;0,MAX(0,Z234+R235+S235+T235+Observaciones!$F234-U235-W235-X235-Constantes!$E$33),0)</f>
        <v>0</v>
      </c>
      <c r="Z235" s="170">
        <f>Z234+R235+S235+T235+Observaciones!$F234-U235-W235-Y235</f>
        <v>41.910064072092219</v>
      </c>
      <c r="AA235" s="170">
        <f>IF(Escenarios!$E$14&gt;0,(Escenarios!$E$13*L235+Escenarios!$E$14*W235)/(Escenarios!$E$16),L235)</f>
        <v>1.6929497800206834</v>
      </c>
      <c r="AB235" s="170">
        <f>IF(Escenarios!$E$14&gt;0,(Escenarios!$E$14*Y235)/(Escenarios!$E$16),K235)</f>
        <v>0</v>
      </c>
      <c r="AC235" s="170">
        <f>IF(Escenarios!$E$14&gt;0,(Escenarios!$E$13*M235+Escenarios!$E$14*U235)/(Escenarios!$E$16),M235)</f>
        <v>0</v>
      </c>
      <c r="AD235" s="76">
        <f t="shared" si="43"/>
        <v>80.890522336402441</v>
      </c>
      <c r="AE235" s="76">
        <f>MAX(0,(AD235-Constantes!$D$13)*(1-EXP(-Constantes!$D$23)))</f>
        <v>0.31668822185657325</v>
      </c>
      <c r="AF235" s="76">
        <f>AB235+O235*Escenarios!$E$13/Escenarios!$E$16+AE235</f>
        <v>0.36827902721179573</v>
      </c>
      <c r="AG235" s="76">
        <f>IF(Entradas!$E$91&gt;0,IF(AF235-Escenarios!$E$38&lt;=0,0,IF(AF235-Escenarios!$E$38&gt;Escenarios!$E$37,Escenarios!$E$37,AF235-Escenarios!$E$38)),0)</f>
        <v>0</v>
      </c>
      <c r="AH235" s="76">
        <f>AG235*Entradas!$E$99</f>
        <v>0</v>
      </c>
      <c r="AI235" s="76">
        <f>IF(Entradas!$E$91&gt;0,D235*Entradas!$D$23/Escenarios!$E$16,0)</f>
        <v>0</v>
      </c>
      <c r="AJ235" s="76">
        <f>IF(Entradas!$E$91&gt;0,Entradas!$D$24*Entradas!$D$22/Escenarios!$E$16,0)</f>
        <v>0</v>
      </c>
      <c r="AK235" s="76">
        <f t="shared" si="52"/>
        <v>1.6929497800206834</v>
      </c>
      <c r="AL235" s="76">
        <f t="shared" si="53"/>
        <v>0</v>
      </c>
      <c r="AM235" s="76">
        <f t="shared" si="44"/>
        <v>0</v>
      </c>
      <c r="AN235" s="76">
        <f>MAX(0,O235*Escenarios!$E$13/Escenarios!$E$16-AM235)</f>
        <v>5.1590805355222508E-2</v>
      </c>
      <c r="AO235" s="76">
        <f>AM235+AN235-O235*Escenarios!$E$13/Escenarios!$E$16</f>
        <v>0</v>
      </c>
      <c r="AP235" s="76">
        <f t="shared" si="42"/>
        <v>0.31668822185657325</v>
      </c>
      <c r="AQ235" s="76">
        <f t="shared" si="45"/>
        <v>0</v>
      </c>
      <c r="AR235" s="76">
        <f t="shared" si="46"/>
        <v>0.36827902721179573</v>
      </c>
      <c r="AS235" s="76">
        <f t="shared" si="47"/>
        <v>0</v>
      </c>
      <c r="AT235" s="76">
        <f t="shared" si="48"/>
        <v>0</v>
      </c>
      <c r="AU235" s="76">
        <f t="shared" si="49"/>
        <v>48.75</v>
      </c>
      <c r="AV235" s="76">
        <f>MAX(0,(AU235-Constantes!$D$13)*(1-EXP(-Constantes!$D$24)))</f>
        <v>0</v>
      </c>
      <c r="AW235" s="170">
        <f>AW234+(Entradas!$E$112*AT235-AX234)/(800*Entradas!$D$25)</f>
        <v>0</v>
      </c>
      <c r="AX235" s="170">
        <f>8000*Entradas!$D$26*AW235/Constantes!$E$45</f>
        <v>0</v>
      </c>
      <c r="AY235" s="170">
        <f>IF(Escenarios!$E$17&gt;0,10*Escenarios!$E$16*AL235,0)</f>
        <v>0</v>
      </c>
      <c r="AZ235" s="170">
        <f>IF(Escenarios!$E$17&gt;0,10*Escenarios!$E$16*AX235,0)</f>
        <v>0</v>
      </c>
      <c r="BA235" s="170">
        <f>IF(Escenarios!$E$17&gt;0,0.001*Observaciones!$F234*Escenarios!$E$17,0)</f>
        <v>66</v>
      </c>
      <c r="BB235" s="170">
        <f>IF(Escenarios!$E$17&gt;0,Observaciones!$K234,0)</f>
        <v>0</v>
      </c>
      <c r="BC235" s="170">
        <f>IF(Escenarios!$E$17&gt;0,MIN(0.0005*ETo!$M234*Escenarios!$E$17*(BG234/Constantes!$E$40)^(2/3),BG234+AY235+AZ235+BA235+BB235),0)</f>
        <v>4.2430029997760146</v>
      </c>
      <c r="BD235" s="170">
        <f>IF(Escenarios!$E$17&gt;0,MIN(Constantes!$E$39*(BG234/Constantes!$E$40)^(2/3),BG234+AY235+AZ235+BA235+BB235-BC235),0)</f>
        <v>9.325682366301498</v>
      </c>
      <c r="BE235" s="170">
        <f>IF(Escenarios!$E$17&gt;0,MIN(Entradas!$E$113,BG234+AY235+AZ235+BA235+BB235-BC235-BD235),0)</f>
        <v>1</v>
      </c>
      <c r="BF235" s="170">
        <f>IF(Escenarios!$E$17&gt;0,MAX(0,BG234+AY235+AZ235+BA235+BB235-BC235-BD235-BE235-Constantes!$E$40),0)</f>
        <v>0</v>
      </c>
      <c r="BG235" s="170">
        <f t="shared" si="54"/>
        <v>316.76640526943152</v>
      </c>
      <c r="BH235" s="170">
        <f>(Escenarios!$E$16*AK235+0.1*BC235)/(Escenarios!$E$19)</f>
        <v>1.6811974020045573</v>
      </c>
      <c r="BI235" s="170">
        <f>IF(Escenarios!$E$17&gt;0,BF235/10/Escenarios!$E$19,AL235)</f>
        <v>0</v>
      </c>
      <c r="BJ235" s="170">
        <f>(Escenarios!$E$16*AT235+0.1*BD235)/(Escenarios!$E$19)</f>
        <v>3.7006676056751979E-3</v>
      </c>
      <c r="BK235" s="76">
        <f>BK234+(0.1*BD235)/(Escenarios!$E$19)-BL234</f>
        <v>49.854665951459957</v>
      </c>
      <c r="BL235" s="76">
        <f>MAX(0,(BK235-Constantes!$D$13)*(1-EXP(-Constantes!$D$23)))</f>
        <v>1.088453673066569E-2</v>
      </c>
      <c r="BM235" s="76">
        <f t="shared" si="50"/>
        <v>0.32757275858723894</v>
      </c>
      <c r="BN235" s="76">
        <f t="shared" si="55"/>
        <v>0.37916356394246142</v>
      </c>
      <c r="BO235" s="76">
        <f>0.0526*BI235*Observaciones!$F234^1.218</f>
        <v>0</v>
      </c>
      <c r="BP235" s="76">
        <f>BO235*Constantes!$E$51</f>
        <v>0</v>
      </c>
      <c r="BQ235" s="76">
        <f t="shared" si="51"/>
        <v>0</v>
      </c>
      <c r="BR235" s="40"/>
    </row>
    <row r="236" spans="1:70">
      <c r="A236" s="147"/>
      <c r="B236" s="39"/>
      <c r="C236" s="75">
        <v>230</v>
      </c>
      <c r="D236" s="146">
        <f>ETo!$I235*((1-Constantes!$E$19)*ETo!$K235+ETo!$L235)</f>
        <v>3.1867449860311465</v>
      </c>
      <c r="E236" s="76">
        <f>MIN(D236*Constantes!$E$17,0.8*(N235+Observaciones!$F235-F236-M236-Constantes!$D$14))</f>
        <v>1.3768548914658867</v>
      </c>
      <c r="F236" s="76">
        <f>IF(Observaciones!$F235&gt;0.05*Constantes!$E$18,((Observaciones!$F235-0.05*Constantes!$E$18)^2)/(Observaciones!$F235+0.95*Constantes!$E$18),0)</f>
        <v>0</v>
      </c>
      <c r="G236" s="76">
        <f>IF(Escenarios!$E$11&gt;0,(F236*Escenarios!$E$16*10000)/1000,0)</f>
        <v>0</v>
      </c>
      <c r="H236" s="76">
        <f>IF(Escenarios!$E$11&gt;0,(Observaciones!$F235*Constantes!$E$29)/1000,0)</f>
        <v>0</v>
      </c>
      <c r="I236" s="76">
        <f>IF(Escenarios!$E$11&gt;0,(D236*Constantes!$E$29)/1000,0)</f>
        <v>31.867449860311467</v>
      </c>
      <c r="J236" s="76">
        <f>IF(Escenarios!$E$11&gt;0,MAX(0,G236+H236-I236),0)</f>
        <v>0</v>
      </c>
      <c r="K236" s="76">
        <f>IF(Escenarios!$E$11&gt;0,IF(J236&gt;Constantes!$E$30,1000*((J236-Constantes!$E$30)/(Escenarios!$E$16*10000)),0),F236)</f>
        <v>0</v>
      </c>
      <c r="L236" s="76">
        <f>IF(Escenarios!$E$11&gt;0,I236*1000/Escenarios!$E$16/10000+E236,E236)</f>
        <v>1.3896018714100113</v>
      </c>
      <c r="M236" s="76">
        <f>MAX(0,N235+Observaciones!$F235-K236-Constantes!$D$13)</f>
        <v>0</v>
      </c>
      <c r="N236" s="76">
        <f>N235+Observaciones!$F235-K236-L236-M236-O235</f>
        <v>11.522840827745958</v>
      </c>
      <c r="O236" s="76">
        <f>MAX(0,(N236-Constantes!$D$14)*(1-EXP(-Constantes!$D$22)))</f>
        <v>9.293960212211157E-3</v>
      </c>
      <c r="P236" s="170">
        <f>P235+(Entradas!$E$83*M236-Q235)/(800*Entradas!$D$25)</f>
        <v>0</v>
      </c>
      <c r="Q236" s="170">
        <f>8000*Entradas!$D$26*P236/Constantes!$E$45</f>
        <v>0</v>
      </c>
      <c r="R236" s="170">
        <f>IF(Escenarios!$E$14&gt;0,K236*Escenarios!$E$13/Escenarios!$E$14,0)</f>
        <v>0</v>
      </c>
      <c r="S236" s="170">
        <f>IF(Escenarios!$E$14&gt;0,Q236*Escenarios!$E$13/Escenarios!$E$14,0)</f>
        <v>0</v>
      </c>
      <c r="T236" s="170">
        <f>IF(Escenarios!$E$14&gt;0,Observaciones!$I235,0)</f>
        <v>0</v>
      </c>
      <c r="U236" s="170">
        <f>IF(Escenarios!$E$14&gt;0,MAX(0,Constantes!$E$36/((Z235+R236+S236+T236+Observaciones!$F235)^2)+Entradas!$E$77),0)</f>
        <v>0</v>
      </c>
      <c r="V236" s="146">
        <f>IF(ETo!D235&gt;0,ETo!I235*((1-Entradas!$E$81)*ETo!K235+ETo!L235),0)</f>
        <v>2.8889194260311202</v>
      </c>
      <c r="W236" s="170">
        <f>IF(Escenarios!$E$14&gt;0,MIN(V236*1,0.8*(Z235+R236+S236+T236+Observaciones!$F235-U236-Constantes!$E$35)),0)</f>
        <v>0.52805125767377492</v>
      </c>
      <c r="X236" s="170">
        <f>IF(Escenarios!$E$14&gt;0,Observaciones!$J235,0)</f>
        <v>0</v>
      </c>
      <c r="Y236" s="170">
        <f>IF(Escenarios!$E$14&gt;0,MAX(0,Z235+R236+S236+T236+Observaciones!$F235-U236-W236-X236-Constantes!$E$33),0)</f>
        <v>0</v>
      </c>
      <c r="Z236" s="170">
        <f>Z235+R236+S236+T236+Observaciones!$F235-U236-W236-Y236</f>
        <v>41.382012814418445</v>
      </c>
      <c r="AA236" s="170">
        <f>IF(Escenarios!$E$14&gt;0,(Escenarios!$E$13*L236+Escenarios!$E$14*W236)/(Escenarios!$E$16),L236)</f>
        <v>1.2862157977616631</v>
      </c>
      <c r="AB236" s="170">
        <f>IF(Escenarios!$E$14&gt;0,(Escenarios!$E$14*Y236)/(Escenarios!$E$16),K236)</f>
        <v>0</v>
      </c>
      <c r="AC236" s="170">
        <f>IF(Escenarios!$E$14&gt;0,(Escenarios!$E$13*M236+Escenarios!$E$14*U236)/(Escenarios!$E$16),M236)</f>
        <v>0</v>
      </c>
      <c r="AD236" s="76">
        <f t="shared" si="43"/>
        <v>80.573834114545861</v>
      </c>
      <c r="AE236" s="76">
        <f>MAX(0,(AD236-Constantes!$D$13)*(1-EXP(-Constantes!$D$23)))</f>
        <v>0.31356781737736261</v>
      </c>
      <c r="AF236" s="76">
        <f>AB236+O236*Escenarios!$E$13/Escenarios!$E$16+AE236</f>
        <v>0.32174650236410846</v>
      </c>
      <c r="AG236" s="76">
        <f>IF(Entradas!$E$91&gt;0,IF(AF236-Escenarios!$E$38&lt;=0,0,IF(AF236-Escenarios!$E$38&gt;Escenarios!$E$37,Escenarios!$E$37,AF236-Escenarios!$E$38)),0)</f>
        <v>0</v>
      </c>
      <c r="AH236" s="76">
        <f>AG236*Entradas!$E$99</f>
        <v>0</v>
      </c>
      <c r="AI236" s="76">
        <f>IF(Entradas!$E$91&gt;0,D236*Entradas!$D$23/Escenarios!$E$16,0)</f>
        <v>0</v>
      </c>
      <c r="AJ236" s="76">
        <f>IF(Entradas!$E$91&gt;0,Entradas!$D$24*Entradas!$D$22/Escenarios!$E$16,0)</f>
        <v>0</v>
      </c>
      <c r="AK236" s="76">
        <f t="shared" si="52"/>
        <v>1.2862157977616631</v>
      </c>
      <c r="AL236" s="76">
        <f t="shared" si="53"/>
        <v>0</v>
      </c>
      <c r="AM236" s="76">
        <f t="shared" si="44"/>
        <v>0</v>
      </c>
      <c r="AN236" s="76">
        <f>MAX(0,O236*Escenarios!$E$13/Escenarios!$E$16-AM236)</f>
        <v>8.1786849867458173E-3</v>
      </c>
      <c r="AO236" s="76">
        <f>AM236+AN236-O236*Escenarios!$E$13/Escenarios!$E$16</f>
        <v>0</v>
      </c>
      <c r="AP236" s="76">
        <f t="shared" si="42"/>
        <v>0.31356781737736261</v>
      </c>
      <c r="AQ236" s="76">
        <f t="shared" si="45"/>
        <v>0</v>
      </c>
      <c r="AR236" s="76">
        <f t="shared" si="46"/>
        <v>0.32174650236410846</v>
      </c>
      <c r="AS236" s="76">
        <f t="shared" si="47"/>
        <v>0</v>
      </c>
      <c r="AT236" s="76">
        <f t="shared" si="48"/>
        <v>0</v>
      </c>
      <c r="AU236" s="76">
        <f t="shared" si="49"/>
        <v>48.75</v>
      </c>
      <c r="AV236" s="76">
        <f>MAX(0,(AU236-Constantes!$D$13)*(1-EXP(-Constantes!$D$24)))</f>
        <v>0</v>
      </c>
      <c r="AW236" s="170">
        <f>AW235+(Entradas!$E$112*AT236-AX235)/(800*Entradas!$D$25)</f>
        <v>0</v>
      </c>
      <c r="AX236" s="170">
        <f>8000*Entradas!$D$26*AW236/Constantes!$E$45</f>
        <v>0</v>
      </c>
      <c r="AY236" s="170">
        <f>IF(Escenarios!$E$17&gt;0,10*Escenarios!$E$16*AL236,0)</f>
        <v>0</v>
      </c>
      <c r="AZ236" s="170">
        <f>IF(Escenarios!$E$17&gt;0,10*Escenarios!$E$16*AX236,0)</f>
        <v>0</v>
      </c>
      <c r="BA236" s="170">
        <f>IF(Escenarios!$E$17&gt;0,0.001*Observaciones!$F235*Escenarios!$E$17,0)</f>
        <v>0</v>
      </c>
      <c r="BB236" s="170">
        <f>IF(Escenarios!$E$17&gt;0,Observaciones!$K235,0)</f>
        <v>0</v>
      </c>
      <c r="BC236" s="170">
        <f>IF(Escenarios!$E$17&gt;0,MIN(0.0005*ETo!$M235*Escenarios!$E$17*(BG235/Constantes!$E$40)^(2/3),BG235+AY236+AZ236+BA236+BB236),0)</f>
        <v>4.7953434463863234</v>
      </c>
      <c r="BD236" s="170">
        <f>IF(Escenarios!$E$17&gt;0,MIN(Constantes!$E$39*(BG235/Constantes!$E$40)^(2/3),BG235+AY236+AZ236+BA236+BB236-BC236),0)</f>
        <v>10.49486614467359</v>
      </c>
      <c r="BE236" s="170">
        <f>IF(Escenarios!$E$17&gt;0,MIN(Entradas!$E$113,BG235+AY236+AZ236+BA236+BB236-BC236-BD236),0)</f>
        <v>1</v>
      </c>
      <c r="BF236" s="170">
        <f>IF(Escenarios!$E$17&gt;0,MAX(0,BG235+AY236+AZ236+BA236+BB236-BC236-BD236-BE236-Constantes!$E$40),0)</f>
        <v>0</v>
      </c>
      <c r="BG236" s="170">
        <f t="shared" si="54"/>
        <v>300.4761956783716</v>
      </c>
      <c r="BH236" s="170">
        <f>(Escenarios!$E$16*AK236+0.1*BC236)/(Escenarios!$E$19)</f>
        <v>1.277910649940692</v>
      </c>
      <c r="BI236" s="170">
        <f>IF(Escenarios!$E$17&gt;0,BF236/10/Escenarios!$E$19,AL236)</f>
        <v>0</v>
      </c>
      <c r="BJ236" s="170">
        <f>(Escenarios!$E$16*AT236+0.1*BD236)/(Escenarios!$E$19)</f>
        <v>4.1646294224895204E-3</v>
      </c>
      <c r="BK236" s="76">
        <f>BK235+(0.1*BD236)/(Escenarios!$E$19)-BL235</f>
        <v>49.847946044151783</v>
      </c>
      <c r="BL236" s="76">
        <f>MAX(0,(BK236-Constantes!$D$13)*(1-EXP(-Constantes!$D$23)))</f>
        <v>1.0818323883401031E-2</v>
      </c>
      <c r="BM236" s="76">
        <f t="shared" si="50"/>
        <v>0.32438614126076365</v>
      </c>
      <c r="BN236" s="76">
        <f t="shared" si="55"/>
        <v>0.33256482624750949</v>
      </c>
      <c r="BO236" s="76">
        <f>0.0526*BI236*Observaciones!$F235^1.218</f>
        <v>0</v>
      </c>
      <c r="BP236" s="76">
        <f>BO236*Constantes!$E$51</f>
        <v>0</v>
      </c>
      <c r="BQ236" s="76">
        <f t="shared" si="51"/>
        <v>0</v>
      </c>
      <c r="BR236" s="40"/>
    </row>
    <row r="237" spans="1:70">
      <c r="A237" s="147"/>
      <c r="B237" s="39"/>
      <c r="C237" s="75">
        <v>231</v>
      </c>
      <c r="D237" s="146">
        <f>ETo!$I236*((1-Constantes!$E$19)*ETo!$K236+ETo!$L236)</f>
        <v>3.211784980033237</v>
      </c>
      <c r="E237" s="76">
        <f>MIN(D237*Constantes!$E$17,0.8*(N236+Observaciones!$F236-F237-M237-Constantes!$D$14))</f>
        <v>0.21827266219676603</v>
      </c>
      <c r="F237" s="76">
        <f>IF(Observaciones!$F236&gt;0.05*Constantes!$E$18,((Observaciones!$F236-0.05*Constantes!$E$18)^2)/(Observaciones!$F236+0.95*Constantes!$E$18),0)</f>
        <v>0</v>
      </c>
      <c r="G237" s="76">
        <f>IF(Escenarios!$E$11&gt;0,(F237*Escenarios!$E$16*10000)/1000,0)</f>
        <v>0</v>
      </c>
      <c r="H237" s="76">
        <f>IF(Escenarios!$E$11&gt;0,(Observaciones!$F236*Constantes!$E$29)/1000,0)</f>
        <v>0</v>
      </c>
      <c r="I237" s="76">
        <f>IF(Escenarios!$E$11&gt;0,(D237*Constantes!$E$29)/1000,0)</f>
        <v>32.117849800332372</v>
      </c>
      <c r="J237" s="76">
        <f>IF(Escenarios!$E$11&gt;0,MAX(0,G237+H237-I237),0)</f>
        <v>0</v>
      </c>
      <c r="K237" s="76">
        <f>IF(Escenarios!$E$11&gt;0,IF(J237&gt;Constantes!$E$30,1000*((J237-Constantes!$E$30)/(Escenarios!$E$16*10000)),0),F237)</f>
        <v>0</v>
      </c>
      <c r="L237" s="76">
        <f>IF(Escenarios!$E$11&gt;0,I237*1000/Escenarios!$E$16/10000+E237,E237)</f>
        <v>0.23111980211689898</v>
      </c>
      <c r="M237" s="76">
        <f>MAX(0,N236+Observaciones!$F236-K237-Constantes!$D$13)</f>
        <v>0</v>
      </c>
      <c r="N237" s="76">
        <f>N236+Observaciones!$F236-K237-L237-M237-O236</f>
        <v>11.282427065416847</v>
      </c>
      <c r="O237" s="76">
        <f>MAX(0,(N237-Constantes!$D$14)*(1-EXP(-Constantes!$D$22)))</f>
        <v>1.1045848902919994E-3</v>
      </c>
      <c r="P237" s="170">
        <f>P236+(Entradas!$E$83*M237-Q236)/(800*Entradas!$D$25)</f>
        <v>0</v>
      </c>
      <c r="Q237" s="170">
        <f>8000*Entradas!$D$26*P237/Constantes!$E$45</f>
        <v>0</v>
      </c>
      <c r="R237" s="170">
        <f>IF(Escenarios!$E$14&gt;0,K237*Escenarios!$E$13/Escenarios!$E$14,0)</f>
        <v>0</v>
      </c>
      <c r="S237" s="170">
        <f>IF(Escenarios!$E$14&gt;0,Q237*Escenarios!$E$13/Escenarios!$E$14,0)</f>
        <v>0</v>
      </c>
      <c r="T237" s="170">
        <f>IF(Escenarios!$E$14&gt;0,Observaciones!$I236,0)</f>
        <v>0</v>
      </c>
      <c r="U237" s="170">
        <f>IF(Escenarios!$E$14&gt;0,MAX(0,Constantes!$E$36/((Z236+R237+S237+T237+Observaciones!$F236)^2)+Entradas!$E$77),0)</f>
        <v>0</v>
      </c>
      <c r="V237" s="146">
        <f>IF(ETo!D236&gt;0,ETo!I236*((1-Entradas!$E$81)*ETo!K236+ETo!L236),0)</f>
        <v>2.912216763493916</v>
      </c>
      <c r="W237" s="170">
        <f>IF(Escenarios!$E$14&gt;0,MIN(V237*1,0.8*(Z236+R237+S237+T237+Observaciones!$F236-U237-Constantes!$E$35)),0)</f>
        <v>0.10561025153475612</v>
      </c>
      <c r="X237" s="170">
        <f>IF(Escenarios!$E$14&gt;0,Observaciones!$J236,0)</f>
        <v>0</v>
      </c>
      <c r="Y237" s="170">
        <f>IF(Escenarios!$E$14&gt;0,MAX(0,Z236+R237+S237+T237+Observaciones!$F236-U237-W237-X237-Constantes!$E$33),0)</f>
        <v>0</v>
      </c>
      <c r="Z237" s="170">
        <f>Z236+R237+S237+T237+Observaciones!$F236-U237-W237-Y237</f>
        <v>41.276402562883689</v>
      </c>
      <c r="AA237" s="170">
        <f>IF(Escenarios!$E$14&gt;0,(Escenarios!$E$13*L237+Escenarios!$E$14*W237)/(Escenarios!$E$16),L237)</f>
        <v>0.21605865604704183</v>
      </c>
      <c r="AB237" s="170">
        <f>IF(Escenarios!$E$14&gt;0,(Escenarios!$E$14*Y237)/(Escenarios!$E$16),K237)</f>
        <v>0</v>
      </c>
      <c r="AC237" s="170">
        <f>IF(Escenarios!$E$14&gt;0,(Escenarios!$E$13*M237+Escenarios!$E$14*U237)/(Escenarios!$E$16),M237)</f>
        <v>0</v>
      </c>
      <c r="AD237" s="76">
        <f t="shared" si="43"/>
        <v>80.260266297168499</v>
      </c>
      <c r="AE237" s="76">
        <f>MAX(0,(AD237-Constantes!$D$13)*(1-EXP(-Constantes!$D$23)))</f>
        <v>0.31047815898670811</v>
      </c>
      <c r="AF237" s="76">
        <f>AB237+O237*Escenarios!$E$13/Escenarios!$E$16+AE237</f>
        <v>0.31145019369016508</v>
      </c>
      <c r="AG237" s="76">
        <f>IF(Entradas!$E$91&gt;0,IF(AF237-Escenarios!$E$38&lt;=0,0,IF(AF237-Escenarios!$E$38&gt;Escenarios!$E$37,Escenarios!$E$37,AF237-Escenarios!$E$38)),0)</f>
        <v>0</v>
      </c>
      <c r="AH237" s="76">
        <f>AG237*Entradas!$E$99</f>
        <v>0</v>
      </c>
      <c r="AI237" s="76">
        <f>IF(Entradas!$E$91&gt;0,D237*Entradas!$D$23/Escenarios!$E$16,0)</f>
        <v>0</v>
      </c>
      <c r="AJ237" s="76">
        <f>IF(Entradas!$E$91&gt;0,Entradas!$D$24*Entradas!$D$22/Escenarios!$E$16,0)</f>
        <v>0</v>
      </c>
      <c r="AK237" s="76">
        <f t="shared" si="52"/>
        <v>0.21605865604704183</v>
      </c>
      <c r="AL237" s="76">
        <f t="shared" si="53"/>
        <v>0</v>
      </c>
      <c r="AM237" s="76">
        <f t="shared" si="44"/>
        <v>0</v>
      </c>
      <c r="AN237" s="76">
        <f>MAX(0,O237*Escenarios!$E$13/Escenarios!$E$16-AM237)</f>
        <v>9.7203470345695955E-4</v>
      </c>
      <c r="AO237" s="76">
        <f>AM237+AN237-O237*Escenarios!$E$13/Escenarios!$E$16</f>
        <v>0</v>
      </c>
      <c r="AP237" s="76">
        <f t="shared" si="42"/>
        <v>0.31047815898670811</v>
      </c>
      <c r="AQ237" s="76">
        <f t="shared" si="45"/>
        <v>0</v>
      </c>
      <c r="AR237" s="76">
        <f t="shared" si="46"/>
        <v>0.31145019369016508</v>
      </c>
      <c r="AS237" s="76">
        <f t="shared" si="47"/>
        <v>0</v>
      </c>
      <c r="AT237" s="76">
        <f t="shared" si="48"/>
        <v>0</v>
      </c>
      <c r="AU237" s="76">
        <f t="shared" si="49"/>
        <v>48.75</v>
      </c>
      <c r="AV237" s="76">
        <f>MAX(0,(AU237-Constantes!$D$13)*(1-EXP(-Constantes!$D$24)))</f>
        <v>0</v>
      </c>
      <c r="AW237" s="170">
        <f>AW236+(Entradas!$E$112*AT237-AX236)/(800*Entradas!$D$25)</f>
        <v>0</v>
      </c>
      <c r="AX237" s="170">
        <f>8000*Entradas!$D$26*AW237/Constantes!$E$45</f>
        <v>0</v>
      </c>
      <c r="AY237" s="170">
        <f>IF(Escenarios!$E$17&gt;0,10*Escenarios!$E$16*AL237,0)</f>
        <v>0</v>
      </c>
      <c r="AZ237" s="170">
        <f>IF(Escenarios!$E$17&gt;0,10*Escenarios!$E$16*AX237,0)</f>
        <v>0</v>
      </c>
      <c r="BA237" s="170">
        <f>IF(Escenarios!$E$17&gt;0,0.001*Observaciones!$F236*Escenarios!$E$17,0)</f>
        <v>0</v>
      </c>
      <c r="BB237" s="170">
        <f>IF(Escenarios!$E$17&gt;0,Observaciones!$K236,0)</f>
        <v>0</v>
      </c>
      <c r="BC237" s="170">
        <f>IF(Escenarios!$E$17&gt;0,MIN(0.0005*ETo!$M236*Escenarios!$E$17*(BG236/Constantes!$E$40)^(2/3),BG236+AY237+AZ237+BA237+BB237),0)</f>
        <v>4.6646814286099945</v>
      </c>
      <c r="BD237" s="170">
        <f>IF(Escenarios!$E$17&gt;0,MIN(Constantes!$E$39*(BG236/Constantes!$E$40)^(2/3),BG236+AY237+AZ237+BA237+BB237-BC237),0)</f>
        <v>10.131899525227475</v>
      </c>
      <c r="BE237" s="170">
        <f>IF(Escenarios!$E$17&gt;0,MIN(Entradas!$E$113,BG236+AY237+AZ237+BA237+BB237-BC237-BD237),0)</f>
        <v>1</v>
      </c>
      <c r="BF237" s="170">
        <f>IF(Escenarios!$E$17&gt;0,MAX(0,BG236+AY237+AZ237+BA237+BB237-BC237-BD237-BE237-Constantes!$E$40),0)</f>
        <v>0</v>
      </c>
      <c r="BG237" s="170">
        <f t="shared" si="54"/>
        <v>284.67961472453413</v>
      </c>
      <c r="BH237" s="170">
        <f>(Escenarios!$E$16*AK237+0.1*BC237)/(Escenarios!$E$19)</f>
        <v>0.21619496886754547</v>
      </c>
      <c r="BI237" s="170">
        <f>IF(Escenarios!$E$17&gt;0,BF237/10/Escenarios!$E$19,AL237)</f>
        <v>0</v>
      </c>
      <c r="BJ237" s="170">
        <f>(Escenarios!$E$16*AT237+0.1*BD237)/(Escenarios!$E$19)</f>
        <v>4.0205950496934421E-3</v>
      </c>
      <c r="BK237" s="76">
        <f>BK236+(0.1*BD237)/(Escenarios!$E$19)-BL236</f>
        <v>49.84114831531808</v>
      </c>
      <c r="BL237" s="76">
        <f>MAX(0,(BK237-Constantes!$D$13)*(1-EXP(-Constantes!$D$23)))</f>
        <v>1.0751344242109686E-2</v>
      </c>
      <c r="BM237" s="76">
        <f t="shared" si="50"/>
        <v>0.32122950322881777</v>
      </c>
      <c r="BN237" s="76">
        <f t="shared" si="55"/>
        <v>0.32220153793227474</v>
      </c>
      <c r="BO237" s="76">
        <f>0.0526*BI237*Observaciones!$F236^1.218</f>
        <v>0</v>
      </c>
      <c r="BP237" s="76">
        <f>BO237*Constantes!$E$51</f>
        <v>0</v>
      </c>
      <c r="BQ237" s="76">
        <f t="shared" si="51"/>
        <v>0</v>
      </c>
      <c r="BR237" s="40"/>
    </row>
    <row r="238" spans="1:70">
      <c r="A238" s="147"/>
      <c r="B238" s="39"/>
      <c r="C238" s="75">
        <v>232</v>
      </c>
      <c r="D238" s="146">
        <f>ETo!$I237*((1-Constantes!$E$19)*ETo!$K237+ETo!$L237)</f>
        <v>3.3386519520747422</v>
      </c>
      <c r="E238" s="76">
        <f>MIN(D238*Constantes!$E$17,0.8*(N237+Observaciones!$F237-F238-M238-Constantes!$D$14))</f>
        <v>2.5941652333477807E-2</v>
      </c>
      <c r="F238" s="76">
        <f>IF(Observaciones!$F237&gt;0.05*Constantes!$E$18,((Observaciones!$F237-0.05*Constantes!$E$18)^2)/(Observaciones!$F237+0.95*Constantes!$E$18),0)</f>
        <v>0</v>
      </c>
      <c r="G238" s="76">
        <f>IF(Escenarios!$E$11&gt;0,(F238*Escenarios!$E$16*10000)/1000,0)</f>
        <v>0</v>
      </c>
      <c r="H238" s="76">
        <f>IF(Escenarios!$E$11&gt;0,(Observaciones!$F237*Constantes!$E$29)/1000,0)</f>
        <v>0</v>
      </c>
      <c r="I238" s="76">
        <f>IF(Escenarios!$E$11&gt;0,(D238*Constantes!$E$29)/1000,0)</f>
        <v>33.386519520747427</v>
      </c>
      <c r="J238" s="76">
        <f>IF(Escenarios!$E$11&gt;0,MAX(0,G238+H238-I238),0)</f>
        <v>0</v>
      </c>
      <c r="K238" s="76">
        <f>IF(Escenarios!$E$11&gt;0,IF(J238&gt;Constantes!$E$30,1000*((J238-Constantes!$E$30)/(Escenarios!$E$16*10000)),0),F238)</f>
        <v>0</v>
      </c>
      <c r="L238" s="76">
        <f>IF(Escenarios!$E$11&gt;0,I238*1000/Escenarios!$E$16/10000+E238,E238)</f>
        <v>3.9296260141776777E-2</v>
      </c>
      <c r="M238" s="76">
        <f>MAX(0,N237+Observaciones!$F237-K238-Constantes!$D$13)</f>
        <v>0</v>
      </c>
      <c r="N238" s="76">
        <f>N237+Observaciones!$F237-K238-L238-M238-O237</f>
        <v>11.242026220384778</v>
      </c>
      <c r="O238" s="76">
        <f>MAX(0,(N238-Constantes!$D$14)*(1-EXP(-Constantes!$D$22)))</f>
        <v>0</v>
      </c>
      <c r="P238" s="170">
        <f>P237+(Entradas!$E$83*M238-Q237)/(800*Entradas!$D$25)</f>
        <v>0</v>
      </c>
      <c r="Q238" s="170">
        <f>8000*Entradas!$D$26*P238/Constantes!$E$45</f>
        <v>0</v>
      </c>
      <c r="R238" s="170">
        <f>IF(Escenarios!$E$14&gt;0,K238*Escenarios!$E$13/Escenarios!$E$14,0)</f>
        <v>0</v>
      </c>
      <c r="S238" s="170">
        <f>IF(Escenarios!$E$14&gt;0,Q238*Escenarios!$E$13/Escenarios!$E$14,0)</f>
        <v>0</v>
      </c>
      <c r="T238" s="170">
        <f>IF(Escenarios!$E$14&gt;0,Observaciones!$I237,0)</f>
        <v>0</v>
      </c>
      <c r="U238" s="170">
        <f>IF(Escenarios!$E$14&gt;0,MAX(0,Constantes!$E$36/((Z237+R238+S238+T238+Observaciones!$F237)^2)+Entradas!$E$77),0)</f>
        <v>0</v>
      </c>
      <c r="V238" s="146">
        <f>IF(ETo!D237&gt;0,ETo!I237*((1-Entradas!$E$81)*ETo!K237+ETo!L237),0)</f>
        <v>3.0289836380467858</v>
      </c>
      <c r="W238" s="170">
        <f>IF(Escenarios!$E$14&gt;0,MIN(V238*1,0.8*(Z237+R238+S238+T238+Observaciones!$F237-U238-Constantes!$E$35)),0)</f>
        <v>2.1122050306951225E-2</v>
      </c>
      <c r="X238" s="170">
        <f>IF(Escenarios!$E$14&gt;0,Observaciones!$J237,0)</f>
        <v>0</v>
      </c>
      <c r="Y238" s="170">
        <f>IF(Escenarios!$E$14&gt;0,MAX(0,Z237+R238+S238+T238+Observaciones!$F237-U238-W238-X238-Constantes!$E$33),0)</f>
        <v>0</v>
      </c>
      <c r="Z238" s="170">
        <f>Z237+R238+S238+T238+Observaciones!$F237-U238-W238-Y238</f>
        <v>41.255280512576739</v>
      </c>
      <c r="AA238" s="170">
        <f>IF(Escenarios!$E$14&gt;0,(Escenarios!$E$13*L238+Escenarios!$E$14*W238)/(Escenarios!$E$16),L238)</f>
        <v>3.7115354961597707E-2</v>
      </c>
      <c r="AB238" s="170">
        <f>IF(Escenarios!$E$14&gt;0,(Escenarios!$E$14*Y238)/(Escenarios!$E$16),K238)</f>
        <v>0</v>
      </c>
      <c r="AC238" s="170">
        <f>IF(Escenarios!$E$14&gt;0,(Escenarios!$E$13*M238+Escenarios!$E$14*U238)/(Escenarios!$E$16),M238)</f>
        <v>0</v>
      </c>
      <c r="AD238" s="76">
        <f t="shared" si="43"/>
        <v>79.949788138181788</v>
      </c>
      <c r="AE238" s="76">
        <f>MAX(0,(AD238-Constantes!$D$13)*(1-EXP(-Constantes!$D$23)))</f>
        <v>0.30741894373607603</v>
      </c>
      <c r="AF238" s="76">
        <f>AB238+O238*Escenarios!$E$13/Escenarios!$E$16+AE238</f>
        <v>0.30741894373607603</v>
      </c>
      <c r="AG238" s="76">
        <f>IF(Entradas!$E$91&gt;0,IF(AF238-Escenarios!$E$38&lt;=0,0,IF(AF238-Escenarios!$E$38&gt;Escenarios!$E$37,Escenarios!$E$37,AF238-Escenarios!$E$38)),0)</f>
        <v>0</v>
      </c>
      <c r="AH238" s="76">
        <f>AG238*Entradas!$E$99</f>
        <v>0</v>
      </c>
      <c r="AI238" s="76">
        <f>IF(Entradas!$E$91&gt;0,D238*Entradas!$D$23/Escenarios!$E$16,0)</f>
        <v>0</v>
      </c>
      <c r="AJ238" s="76">
        <f>IF(Entradas!$E$91&gt;0,Entradas!$D$24*Entradas!$D$22/Escenarios!$E$16,0)</f>
        <v>0</v>
      </c>
      <c r="AK238" s="76">
        <f t="shared" si="52"/>
        <v>3.7115354961597707E-2</v>
      </c>
      <c r="AL238" s="76">
        <f t="shared" si="53"/>
        <v>0</v>
      </c>
      <c r="AM238" s="76">
        <f t="shared" si="44"/>
        <v>0</v>
      </c>
      <c r="AN238" s="76">
        <f>MAX(0,O238*Escenarios!$E$13/Escenarios!$E$16-AM238)</f>
        <v>0</v>
      </c>
      <c r="AO238" s="76">
        <f>AM238+AN238-O238*Escenarios!$E$13/Escenarios!$E$16</f>
        <v>0</v>
      </c>
      <c r="AP238" s="76">
        <f t="shared" si="42"/>
        <v>0.30741894373607603</v>
      </c>
      <c r="AQ238" s="76">
        <f t="shared" si="45"/>
        <v>0</v>
      </c>
      <c r="AR238" s="76">
        <f t="shared" si="46"/>
        <v>0.30741894373607603</v>
      </c>
      <c r="AS238" s="76">
        <f t="shared" si="47"/>
        <v>0</v>
      </c>
      <c r="AT238" s="76">
        <f t="shared" si="48"/>
        <v>0</v>
      </c>
      <c r="AU238" s="76">
        <f t="shared" si="49"/>
        <v>48.75</v>
      </c>
      <c r="AV238" s="76">
        <f>MAX(0,(AU238-Constantes!$D$13)*(1-EXP(-Constantes!$D$24)))</f>
        <v>0</v>
      </c>
      <c r="AW238" s="170">
        <f>AW237+(Entradas!$E$112*AT238-AX237)/(800*Entradas!$D$25)</f>
        <v>0</v>
      </c>
      <c r="AX238" s="170">
        <f>8000*Entradas!$D$26*AW238/Constantes!$E$45</f>
        <v>0</v>
      </c>
      <c r="AY238" s="170">
        <f>IF(Escenarios!$E$17&gt;0,10*Escenarios!$E$16*AL238,0)</f>
        <v>0</v>
      </c>
      <c r="AZ238" s="170">
        <f>IF(Escenarios!$E$17&gt;0,10*Escenarios!$E$16*AX238,0)</f>
        <v>0</v>
      </c>
      <c r="BA238" s="170">
        <f>IF(Escenarios!$E$17&gt;0,0.001*Observaciones!$F237*Escenarios!$E$17,0)</f>
        <v>0</v>
      </c>
      <c r="BB238" s="170">
        <f>IF(Escenarios!$E$17&gt;0,Observaciones!$K237,0)</f>
        <v>0</v>
      </c>
      <c r="BC238" s="170">
        <f>IF(Escenarios!$E$17&gt;0,MIN(0.0005*ETo!$M237*Escenarios!$E$17*(BG237/Constantes!$E$40)^(2/3),BG237+AY238+AZ238+BA238+BB238),0)</f>
        <v>4.6741370444455965</v>
      </c>
      <c r="BD238" s="170">
        <f>IF(Escenarios!$E$17&gt;0,MIN(Constantes!$E$39*(BG237/Constantes!$E$40)^(2/3),BG237+AY238+AZ238+BA238+BB238-BC238),0)</f>
        <v>9.7736115168787521</v>
      </c>
      <c r="BE238" s="170">
        <f>IF(Escenarios!$E$17&gt;0,MIN(Entradas!$E$113,BG237+AY238+AZ238+BA238+BB238-BC238-BD238),0)</f>
        <v>1</v>
      </c>
      <c r="BF238" s="170">
        <f>IF(Escenarios!$E$17&gt;0,MAX(0,BG237+AY238+AZ238+BA238+BB238-BC238-BD238-BE238-Constantes!$E$40),0)</f>
        <v>0</v>
      </c>
      <c r="BG238" s="170">
        <f t="shared" si="54"/>
        <v>269.23186616320976</v>
      </c>
      <c r="BH238" s="170">
        <f>(Escenarios!$E$16*AK238+0.1*BC238)/(Escenarios!$E$19)</f>
        <v>3.867560493985709E-2</v>
      </c>
      <c r="BI238" s="170">
        <f>IF(Escenarios!$E$17&gt;0,BF238/10/Escenarios!$E$19,AL238)</f>
        <v>0</v>
      </c>
      <c r="BJ238" s="170">
        <f>(Escenarios!$E$16*AT238+0.1*BD238)/(Escenarios!$E$19)</f>
        <v>3.8784172686026799E-3</v>
      </c>
      <c r="BK238" s="76">
        <f>BK237+(0.1*BD238)/(Escenarios!$E$19)-BL237</f>
        <v>49.834275388344572</v>
      </c>
      <c r="BL238" s="76">
        <f>MAX(0,(BK238-Constantes!$D$13)*(1-EXP(-Constantes!$D$23)))</f>
        <v>1.0683623655636052E-2</v>
      </c>
      <c r="BM238" s="76">
        <f t="shared" si="50"/>
        <v>0.31810256739171211</v>
      </c>
      <c r="BN238" s="76">
        <f t="shared" si="55"/>
        <v>0.31810256739171211</v>
      </c>
      <c r="BO238" s="76">
        <f>0.0526*BI238*Observaciones!$F237^1.218</f>
        <v>0</v>
      </c>
      <c r="BP238" s="76">
        <f>BO238*Constantes!$E$51</f>
        <v>0</v>
      </c>
      <c r="BQ238" s="76">
        <f t="shared" si="51"/>
        <v>0</v>
      </c>
      <c r="BR238" s="40"/>
    </row>
    <row r="239" spans="1:70">
      <c r="A239" s="147"/>
      <c r="B239" s="39"/>
      <c r="C239" s="75">
        <v>233</v>
      </c>
      <c r="D239" s="146">
        <f>ETo!$I238*((1-Constantes!$E$19)*ETo!$K238+ETo!$L238)</f>
        <v>3.2767429627857596</v>
      </c>
      <c r="E239" s="76">
        <f>MIN(D239*Constantes!$E$17,0.8*(N238+Observaciones!$F238-F239-M239-Constantes!$D$14))</f>
        <v>-6.379023692177555E-3</v>
      </c>
      <c r="F239" s="76">
        <f>IF(Observaciones!$F238&gt;0.05*Constantes!$E$18,((Observaciones!$F238-0.05*Constantes!$E$18)^2)/(Observaciones!$F238+0.95*Constantes!$E$18),0)</f>
        <v>0</v>
      </c>
      <c r="G239" s="76">
        <f>IF(Escenarios!$E$11&gt;0,(F239*Escenarios!$E$16*10000)/1000,0)</f>
        <v>0</v>
      </c>
      <c r="H239" s="76">
        <f>IF(Escenarios!$E$11&gt;0,(Observaciones!$F238*Constantes!$E$29)/1000,0)</f>
        <v>0</v>
      </c>
      <c r="I239" s="76">
        <f>IF(Escenarios!$E$11&gt;0,(D239*Constantes!$E$29)/1000,0)</f>
        <v>32.767429627857595</v>
      </c>
      <c r="J239" s="76">
        <f>IF(Escenarios!$E$11&gt;0,MAX(0,G239+H239-I239),0)</f>
        <v>0</v>
      </c>
      <c r="K239" s="76">
        <f>IF(Escenarios!$E$11&gt;0,IF(J239&gt;Constantes!$E$30,1000*((J239-Constantes!$E$30)/(Escenarios!$E$16*10000)),0),F239)</f>
        <v>0</v>
      </c>
      <c r="L239" s="76">
        <f>IF(Escenarios!$E$11&gt;0,I239*1000/Escenarios!$E$16/10000+E239,E239)</f>
        <v>6.7279481589654832E-3</v>
      </c>
      <c r="M239" s="76">
        <f>MAX(0,N238+Observaciones!$F238-K239-Constantes!$D$13)</f>
        <v>0</v>
      </c>
      <c r="N239" s="76">
        <f>N238+Observaciones!$F238-K239-L239-M239-O238</f>
        <v>11.235298272225812</v>
      </c>
      <c r="O239" s="76">
        <f>MAX(0,(N239-Constantes!$D$14)*(1-EXP(-Constantes!$D$22)))</f>
        <v>0</v>
      </c>
      <c r="P239" s="170">
        <f>P238+(Entradas!$E$83*M239-Q238)/(800*Entradas!$D$25)</f>
        <v>0</v>
      </c>
      <c r="Q239" s="170">
        <f>8000*Entradas!$D$26*P239/Constantes!$E$45</f>
        <v>0</v>
      </c>
      <c r="R239" s="170">
        <f>IF(Escenarios!$E$14&gt;0,K239*Escenarios!$E$13/Escenarios!$E$14,0)</f>
        <v>0</v>
      </c>
      <c r="S239" s="170">
        <f>IF(Escenarios!$E$14&gt;0,Q239*Escenarios!$E$13/Escenarios!$E$14,0)</f>
        <v>0</v>
      </c>
      <c r="T239" s="170">
        <f>IF(Escenarios!$E$14&gt;0,Observaciones!$I238,0)</f>
        <v>0</v>
      </c>
      <c r="U239" s="170">
        <f>IF(Escenarios!$E$14&gt;0,MAX(0,Constantes!$E$36/((Z238+R239+S239+T239+Observaciones!$F238)^2)+Entradas!$E$77),0)</f>
        <v>0</v>
      </c>
      <c r="V239" s="146">
        <f>IF(ETo!D238&gt;0,ETo!I238*((1-Entradas!$E$81)*ETo!K238+ETo!L238),0)</f>
        <v>2.9724621166193881</v>
      </c>
      <c r="W239" s="170">
        <f>IF(Escenarios!$E$14&gt;0,MIN(V239*1,0.8*(Z238+R239+S239+T239+Observaciones!$F238-U239-Constantes!$E$35)),0)</f>
        <v>4.2244100613913821E-3</v>
      </c>
      <c r="X239" s="170">
        <f>IF(Escenarios!$E$14&gt;0,Observaciones!$J238,0)</f>
        <v>0</v>
      </c>
      <c r="Y239" s="170">
        <f>IF(Escenarios!$E$14&gt;0,MAX(0,Z238+R239+S239+T239+Observaciones!$F238-U239-W239-X239-Constantes!$E$33),0)</f>
        <v>0</v>
      </c>
      <c r="Z239" s="170">
        <f>Z238+R239+S239+T239+Observaciones!$F238-U239-W239-Y239</f>
        <v>41.251056102515349</v>
      </c>
      <c r="AA239" s="170">
        <f>IF(Escenarios!$E$14&gt;0,(Escenarios!$E$13*L239+Escenarios!$E$14*W239)/(Escenarios!$E$16),L239)</f>
        <v>6.4275235872565907E-3</v>
      </c>
      <c r="AB239" s="170">
        <f>IF(Escenarios!$E$14&gt;0,(Escenarios!$E$14*Y239)/(Escenarios!$E$16),K239)</f>
        <v>0</v>
      </c>
      <c r="AC239" s="170">
        <f>IF(Escenarios!$E$14&gt;0,(Escenarios!$E$13*M239+Escenarios!$E$14*U239)/(Escenarios!$E$16),M239)</f>
        <v>0</v>
      </c>
      <c r="AD239" s="76">
        <f t="shared" si="43"/>
        <v>79.642369194445706</v>
      </c>
      <c r="AE239" s="76">
        <f>MAX(0,(AD239-Constantes!$D$13)*(1-EXP(-Constantes!$D$23)))</f>
        <v>0.30438987166195669</v>
      </c>
      <c r="AF239" s="76">
        <f>AB239+O239*Escenarios!$E$13/Escenarios!$E$16+AE239</f>
        <v>0.30438987166195669</v>
      </c>
      <c r="AG239" s="76">
        <f>IF(Entradas!$E$91&gt;0,IF(AF239-Escenarios!$E$38&lt;=0,0,IF(AF239-Escenarios!$E$38&gt;Escenarios!$E$37,Escenarios!$E$37,AF239-Escenarios!$E$38)),0)</f>
        <v>0</v>
      </c>
      <c r="AH239" s="76">
        <f>AG239*Entradas!$E$99</f>
        <v>0</v>
      </c>
      <c r="AI239" s="76">
        <f>IF(Entradas!$E$91&gt;0,D239*Entradas!$D$23/Escenarios!$E$16,0)</f>
        <v>0</v>
      </c>
      <c r="AJ239" s="76">
        <f>IF(Entradas!$E$91&gt;0,Entradas!$D$24*Entradas!$D$22/Escenarios!$E$16,0)</f>
        <v>0</v>
      </c>
      <c r="AK239" s="76">
        <f t="shared" si="52"/>
        <v>6.4275235872565907E-3</v>
      </c>
      <c r="AL239" s="76">
        <f t="shared" si="53"/>
        <v>0</v>
      </c>
      <c r="AM239" s="76">
        <f t="shared" si="44"/>
        <v>0</v>
      </c>
      <c r="AN239" s="76">
        <f>MAX(0,O239*Escenarios!$E$13/Escenarios!$E$16-AM239)</f>
        <v>0</v>
      </c>
      <c r="AO239" s="76">
        <f>AM239+AN239-O239*Escenarios!$E$13/Escenarios!$E$16</f>
        <v>0</v>
      </c>
      <c r="AP239" s="76">
        <f t="shared" si="42"/>
        <v>0.30438987166195669</v>
      </c>
      <c r="AQ239" s="76">
        <f t="shared" si="45"/>
        <v>0</v>
      </c>
      <c r="AR239" s="76">
        <f t="shared" si="46"/>
        <v>0.30438987166195669</v>
      </c>
      <c r="AS239" s="76">
        <f t="shared" si="47"/>
        <v>0</v>
      </c>
      <c r="AT239" s="76">
        <f t="shared" si="48"/>
        <v>0</v>
      </c>
      <c r="AU239" s="76">
        <f t="shared" si="49"/>
        <v>48.75</v>
      </c>
      <c r="AV239" s="76">
        <f>MAX(0,(AU239-Constantes!$D$13)*(1-EXP(-Constantes!$D$24)))</f>
        <v>0</v>
      </c>
      <c r="AW239" s="170">
        <f>AW238+(Entradas!$E$112*AT239-AX238)/(800*Entradas!$D$25)</f>
        <v>0</v>
      </c>
      <c r="AX239" s="170">
        <f>8000*Entradas!$D$26*AW239/Constantes!$E$45</f>
        <v>0</v>
      </c>
      <c r="AY239" s="170">
        <f>IF(Escenarios!$E$17&gt;0,10*Escenarios!$E$16*AL239,0)</f>
        <v>0</v>
      </c>
      <c r="AZ239" s="170">
        <f>IF(Escenarios!$E$17&gt;0,10*Escenarios!$E$16*AX239,0)</f>
        <v>0</v>
      </c>
      <c r="BA239" s="170">
        <f>IF(Escenarios!$E$17&gt;0,0.001*Observaciones!$F238*Escenarios!$E$17,0)</f>
        <v>0</v>
      </c>
      <c r="BB239" s="170">
        <f>IF(Escenarios!$E$17&gt;0,Observaciones!$K238,0)</f>
        <v>0</v>
      </c>
      <c r="BC239" s="170">
        <f>IF(Escenarios!$E$17&gt;0,MIN(0.0005*ETo!$M238*Escenarios!$E$17*(BG238/Constantes!$E$40)^(2/3),BG238+AY239+AZ239+BA239+BB239),0)</f>
        <v>4.4206278356477933</v>
      </c>
      <c r="BD239" s="170">
        <f>IF(Escenarios!$E$17&gt;0,MIN(Constantes!$E$39*(BG238/Constantes!$E$40)^(2/3),BG238+AY239+AZ239+BA239+BB239-BC239),0)</f>
        <v>9.4167664781147202</v>
      </c>
      <c r="BE239" s="170">
        <f>IF(Escenarios!$E$17&gt;0,MIN(Entradas!$E$113,BG238+AY239+AZ239+BA239+BB239-BC239-BD239),0)</f>
        <v>1</v>
      </c>
      <c r="BF239" s="170">
        <f>IF(Escenarios!$E$17&gt;0,MAX(0,BG238+AY239+AZ239+BA239+BB239-BC239-BD239-BE239-Constantes!$E$40),0)</f>
        <v>0</v>
      </c>
      <c r="BG239" s="170">
        <f t="shared" si="54"/>
        <v>254.39447184944726</v>
      </c>
      <c r="BH239" s="170">
        <f>(Escenarios!$E$16*AK239+0.1*BC239)/(Escenarios!$E$19)</f>
        <v>8.1307288903925672E-3</v>
      </c>
      <c r="BI239" s="170">
        <f>IF(Escenarios!$E$17&gt;0,BF239/10/Escenarios!$E$19,AL239)</f>
        <v>0</v>
      </c>
      <c r="BJ239" s="170">
        <f>(Escenarios!$E$16*AT239+0.1*BD239)/(Escenarios!$E$19)</f>
        <v>3.7368120944899687E-3</v>
      </c>
      <c r="BK239" s="76">
        <f>BK238+(0.1*BD239)/(Escenarios!$E$19)-BL238</f>
        <v>49.827328576783422</v>
      </c>
      <c r="BL239" s="76">
        <f>MAX(0,(BK239-Constantes!$D$13)*(1-EXP(-Constantes!$D$23)))</f>
        <v>1.0615175066722438E-2</v>
      </c>
      <c r="BM239" s="76">
        <f t="shared" si="50"/>
        <v>0.31500504672867913</v>
      </c>
      <c r="BN239" s="76">
        <f t="shared" si="55"/>
        <v>0.31500504672867913</v>
      </c>
      <c r="BO239" s="76">
        <f>0.0526*BI239*Observaciones!$F238^1.218</f>
        <v>0</v>
      </c>
      <c r="BP239" s="76">
        <f>BO239*Constantes!$E$51</f>
        <v>0</v>
      </c>
      <c r="BQ239" s="76">
        <f t="shared" si="51"/>
        <v>0</v>
      </c>
      <c r="BR239" s="40"/>
    </row>
    <row r="240" spans="1:70">
      <c r="A240" s="147"/>
      <c r="B240" s="39"/>
      <c r="C240" s="75">
        <v>234</v>
      </c>
      <c r="D240" s="146">
        <f>ETo!$I239*((1-Constantes!$E$19)*ETo!$K239+ETo!$L239)</f>
        <v>3.4752630695755418</v>
      </c>
      <c r="E240" s="76">
        <f>MIN(D240*Constantes!$E$17,0.8*(N239+Observaciones!$F239-F240-M240-Constantes!$D$14))</f>
        <v>-1.1761382219350481E-2</v>
      </c>
      <c r="F240" s="76">
        <f>IF(Observaciones!$F239&gt;0.05*Constantes!$E$18,((Observaciones!$F239-0.05*Constantes!$E$18)^2)/(Observaciones!$F239+0.95*Constantes!$E$18),0)</f>
        <v>0</v>
      </c>
      <c r="G240" s="76">
        <f>IF(Escenarios!$E$11&gt;0,(F240*Escenarios!$E$16*10000)/1000,0)</f>
        <v>0</v>
      </c>
      <c r="H240" s="76">
        <f>IF(Escenarios!$E$11&gt;0,(Observaciones!$F239*Constantes!$E$29)/1000,0)</f>
        <v>0</v>
      </c>
      <c r="I240" s="76">
        <f>IF(Escenarios!$E$11&gt;0,(D240*Constantes!$E$29)/1000,0)</f>
        <v>34.752630695755421</v>
      </c>
      <c r="J240" s="76">
        <f>IF(Escenarios!$E$11&gt;0,MAX(0,G240+H240-I240),0)</f>
        <v>0</v>
      </c>
      <c r="K240" s="76">
        <f>IF(Escenarios!$E$11&gt;0,IF(J240&gt;Constantes!$E$30,1000*((J240-Constantes!$E$30)/(Escenarios!$E$16*10000)),0),F240)</f>
        <v>0</v>
      </c>
      <c r="L240" s="76">
        <f>IF(Escenarios!$E$11&gt;0,I240*1000/Escenarios!$E$16/10000+E240,E240)</f>
        <v>2.139670058951687E-3</v>
      </c>
      <c r="M240" s="76">
        <f>MAX(0,N239+Observaciones!$F239-K240-Constantes!$D$13)</f>
        <v>0</v>
      </c>
      <c r="N240" s="76">
        <f>N239+Observaciones!$F239-K240-L240-M240-O239</f>
        <v>11.23315860216686</v>
      </c>
      <c r="O240" s="76">
        <f>MAX(0,(N240-Constantes!$D$14)*(1-EXP(-Constantes!$D$22)))</f>
        <v>0</v>
      </c>
      <c r="P240" s="170">
        <f>P239+(Entradas!$E$83*M240-Q239)/(800*Entradas!$D$25)</f>
        <v>0</v>
      </c>
      <c r="Q240" s="170">
        <f>8000*Entradas!$D$26*P240/Constantes!$E$45</f>
        <v>0</v>
      </c>
      <c r="R240" s="170">
        <f>IF(Escenarios!$E$14&gt;0,K240*Escenarios!$E$13/Escenarios!$E$14,0)</f>
        <v>0</v>
      </c>
      <c r="S240" s="170">
        <f>IF(Escenarios!$E$14&gt;0,Q240*Escenarios!$E$13/Escenarios!$E$14,0)</f>
        <v>0</v>
      </c>
      <c r="T240" s="170">
        <f>IF(Escenarios!$E$14&gt;0,Observaciones!$I239,0)</f>
        <v>0</v>
      </c>
      <c r="U240" s="170">
        <f>IF(Escenarios!$E$14&gt;0,MAX(0,Constantes!$E$36/((Z239+R240+S240+T240+Observaciones!$F239)^2)+Entradas!$E$77),0)</f>
        <v>0</v>
      </c>
      <c r="V240" s="146">
        <f>IF(ETo!D239&gt;0,ETo!I239*((1-Entradas!$E$81)*ETo!K239+ETo!L239),0)</f>
        <v>3.1554128720751762</v>
      </c>
      <c r="W240" s="170">
        <f>IF(Escenarios!$E$14&gt;0,MIN(V240*1,0.8*(Z239+R240+S240+T240+Observaciones!$F239-U240-Constantes!$E$35)),0)</f>
        <v>8.448820122794132E-4</v>
      </c>
      <c r="X240" s="170">
        <f>IF(Escenarios!$E$14&gt;0,Observaciones!$J239,0)</f>
        <v>0</v>
      </c>
      <c r="Y240" s="170">
        <f>IF(Escenarios!$E$14&gt;0,MAX(0,Z239+R240+S240+T240+Observaciones!$F239-U240-W240-X240-Constantes!$E$33),0)</f>
        <v>0</v>
      </c>
      <c r="Z240" s="170">
        <f>Z239+R240+S240+T240+Observaciones!$F239-U240-W240-Y240</f>
        <v>41.250211220503068</v>
      </c>
      <c r="AA240" s="170">
        <f>IF(Escenarios!$E$14&gt;0,(Escenarios!$E$13*L240+Escenarios!$E$14*W240)/(Escenarios!$E$16),L240)</f>
        <v>1.9842954933510142E-3</v>
      </c>
      <c r="AB240" s="170">
        <f>IF(Escenarios!$E$14&gt;0,(Escenarios!$E$14*Y240)/(Escenarios!$E$16),K240)</f>
        <v>0</v>
      </c>
      <c r="AC240" s="170">
        <f>IF(Escenarios!$E$14&gt;0,(Escenarios!$E$13*M240+Escenarios!$E$14*U240)/(Escenarios!$E$16),M240)</f>
        <v>0</v>
      </c>
      <c r="AD240" s="76">
        <f t="shared" si="43"/>
        <v>79.337979322783752</v>
      </c>
      <c r="AE240" s="76">
        <f>MAX(0,(AD240-Constantes!$D$13)*(1-EXP(-Constantes!$D$23)))</f>
        <v>0.30139064575645247</v>
      </c>
      <c r="AF240" s="76">
        <f>AB240+O240*Escenarios!$E$13/Escenarios!$E$16+AE240</f>
        <v>0.30139064575645247</v>
      </c>
      <c r="AG240" s="76">
        <f>IF(Entradas!$E$91&gt;0,IF(AF240-Escenarios!$E$38&lt;=0,0,IF(AF240-Escenarios!$E$38&gt;Escenarios!$E$37,Escenarios!$E$37,AF240-Escenarios!$E$38)),0)</f>
        <v>0</v>
      </c>
      <c r="AH240" s="76">
        <f>AG240*Entradas!$E$99</f>
        <v>0</v>
      </c>
      <c r="AI240" s="76">
        <f>IF(Entradas!$E$91&gt;0,D240*Entradas!$D$23/Escenarios!$E$16,0)</f>
        <v>0</v>
      </c>
      <c r="AJ240" s="76">
        <f>IF(Entradas!$E$91&gt;0,Entradas!$D$24*Entradas!$D$22/Escenarios!$E$16,0)</f>
        <v>0</v>
      </c>
      <c r="AK240" s="76">
        <f t="shared" si="52"/>
        <v>1.9842954933510142E-3</v>
      </c>
      <c r="AL240" s="76">
        <f t="shared" si="53"/>
        <v>0</v>
      </c>
      <c r="AM240" s="76">
        <f t="shared" si="44"/>
        <v>0</v>
      </c>
      <c r="AN240" s="76">
        <f>MAX(0,O240*Escenarios!$E$13/Escenarios!$E$16-AM240)</f>
        <v>0</v>
      </c>
      <c r="AO240" s="76">
        <f>AM240+AN240-O240*Escenarios!$E$13/Escenarios!$E$16</f>
        <v>0</v>
      </c>
      <c r="AP240" s="76">
        <f t="shared" si="42"/>
        <v>0.30139064575645247</v>
      </c>
      <c r="AQ240" s="76">
        <f t="shared" si="45"/>
        <v>0</v>
      </c>
      <c r="AR240" s="76">
        <f t="shared" si="46"/>
        <v>0.30139064575645247</v>
      </c>
      <c r="AS240" s="76">
        <f t="shared" si="47"/>
        <v>0</v>
      </c>
      <c r="AT240" s="76">
        <f t="shared" si="48"/>
        <v>0</v>
      </c>
      <c r="AU240" s="76">
        <f t="shared" si="49"/>
        <v>48.75</v>
      </c>
      <c r="AV240" s="76">
        <f>MAX(0,(AU240-Constantes!$D$13)*(1-EXP(-Constantes!$D$24)))</f>
        <v>0</v>
      </c>
      <c r="AW240" s="170">
        <f>AW239+(Entradas!$E$112*AT240-AX239)/(800*Entradas!$D$25)</f>
        <v>0</v>
      </c>
      <c r="AX240" s="170">
        <f>8000*Entradas!$D$26*AW240/Constantes!$E$45</f>
        <v>0</v>
      </c>
      <c r="AY240" s="170">
        <f>IF(Escenarios!$E$17&gt;0,10*Escenarios!$E$16*AL240,0)</f>
        <v>0</v>
      </c>
      <c r="AZ240" s="170">
        <f>IF(Escenarios!$E$17&gt;0,10*Escenarios!$E$16*AX240,0)</f>
        <v>0</v>
      </c>
      <c r="BA240" s="170">
        <f>IF(Escenarios!$E$17&gt;0,0.001*Observaciones!$F239*Escenarios!$E$17,0)</f>
        <v>0</v>
      </c>
      <c r="BB240" s="170">
        <f>IF(Escenarios!$E$17&gt;0,Observaciones!$K239,0)</f>
        <v>0</v>
      </c>
      <c r="BC240" s="170">
        <f>IF(Escenarios!$E$17&gt;0,MIN(0.0005*ETo!$M239*Escenarios!$E$17*(BG239/Constantes!$E$40)^(2/3),BG239+AY240+AZ240+BA240+BB240),0)</f>
        <v>4.5094631707932384</v>
      </c>
      <c r="BD240" s="170">
        <f>IF(Escenarios!$E$17&gt;0,MIN(Constantes!$E$39*(BG239/Constantes!$E$40)^(2/3),BG239+AY240+AZ240+BA240+BB240-BC240),0)</f>
        <v>9.0675356713657713</v>
      </c>
      <c r="BE240" s="170">
        <f>IF(Escenarios!$E$17&gt;0,MIN(Entradas!$E$113,BG239+AY240+AZ240+BA240+BB240-BC240-BD240),0)</f>
        <v>1</v>
      </c>
      <c r="BF240" s="170">
        <f>IF(Escenarios!$E$17&gt;0,MAX(0,BG239+AY240+AZ240+BA240+BB240-BC240-BD240-BE240-Constantes!$E$40),0)</f>
        <v>0</v>
      </c>
      <c r="BG240" s="170">
        <f t="shared" si="54"/>
        <v>239.81747300728827</v>
      </c>
      <c r="BH240" s="170">
        <f>(Escenarios!$E$16*AK240+0.1*BC240)/(Escenarios!$E$19)</f>
        <v>3.7580166286391961E-3</v>
      </c>
      <c r="BI240" s="170">
        <f>IF(Escenarios!$E$17&gt;0,BF240/10/Escenarios!$E$19,AL240)</f>
        <v>0</v>
      </c>
      <c r="BJ240" s="170">
        <f>(Escenarios!$E$16*AT240+0.1*BD240)/(Escenarios!$E$19)</f>
        <v>3.5982284410181636E-3</v>
      </c>
      <c r="BK240" s="76">
        <f>BK239+(0.1*BD240)/(Escenarios!$E$19)-BL239</f>
        <v>49.820311630157718</v>
      </c>
      <c r="BL240" s="76">
        <f>MAX(0,(BK240-Constantes!$D$13)*(1-EXP(-Constantes!$D$23)))</f>
        <v>1.05460354203129E-2</v>
      </c>
      <c r="BM240" s="76">
        <f t="shared" si="50"/>
        <v>0.31193668117676537</v>
      </c>
      <c r="BN240" s="76">
        <f t="shared" si="55"/>
        <v>0.31193668117676537</v>
      </c>
      <c r="BO240" s="76">
        <f>0.0526*BI240*Observaciones!$F239^1.218</f>
        <v>0</v>
      </c>
      <c r="BP240" s="76">
        <f>BO240*Constantes!$E$51</f>
        <v>0</v>
      </c>
      <c r="BQ240" s="76">
        <f t="shared" si="51"/>
        <v>0</v>
      </c>
      <c r="BR240" s="40"/>
    </row>
    <row r="241" spans="1:70">
      <c r="A241" s="147"/>
      <c r="B241" s="39"/>
      <c r="C241" s="75">
        <v>235</v>
      </c>
      <c r="D241" s="146">
        <f>ETo!$I240*((1-Constantes!$E$19)*ETo!$K240+ETo!$L240)</f>
        <v>3.3423579590570793</v>
      </c>
      <c r="E241" s="76">
        <f>MIN(D241*Constantes!$E$17,0.8*(N240+Observaciones!$F240-F241-M241-Constantes!$D$14))</f>
        <v>-1.3473118266512076E-2</v>
      </c>
      <c r="F241" s="76">
        <f>IF(Observaciones!$F240&gt;0.05*Constantes!$E$18,((Observaciones!$F240-0.05*Constantes!$E$18)^2)/(Observaciones!$F240+0.95*Constantes!$E$18),0)</f>
        <v>0</v>
      </c>
      <c r="G241" s="76">
        <f>IF(Escenarios!$E$11&gt;0,(F241*Escenarios!$E$16*10000)/1000,0)</f>
        <v>0</v>
      </c>
      <c r="H241" s="76">
        <f>IF(Escenarios!$E$11&gt;0,(Observaciones!$F240*Constantes!$E$29)/1000,0)</f>
        <v>0</v>
      </c>
      <c r="I241" s="76">
        <f>IF(Escenarios!$E$11&gt;0,(D241*Constantes!$E$29)/1000,0)</f>
        <v>33.423579590570796</v>
      </c>
      <c r="J241" s="76">
        <f>IF(Escenarios!$E$11&gt;0,MAX(0,G241+H241-I241),0)</f>
        <v>0</v>
      </c>
      <c r="K241" s="76">
        <f>IF(Escenarios!$E$11&gt;0,IF(J241&gt;Constantes!$E$30,1000*((J241-Constantes!$E$30)/(Escenarios!$E$16*10000)),0),F241)</f>
        <v>0</v>
      </c>
      <c r="L241" s="76">
        <f>IF(Escenarios!$E$11&gt;0,I241*1000/Escenarios!$E$16/10000+E241,E241)</f>
        <v>-1.0368643028375694E-4</v>
      </c>
      <c r="M241" s="76">
        <f>MAX(0,N240+Observaciones!$F240-K241-Constantes!$D$13)</f>
        <v>0</v>
      </c>
      <c r="N241" s="76">
        <f>N240+Observaciones!$F240-K241-L241-M241-O240</f>
        <v>11.233262288597144</v>
      </c>
      <c r="O241" s="76">
        <f>MAX(0,(N241-Constantes!$D$14)*(1-EXP(-Constantes!$D$22)))</f>
        <v>0</v>
      </c>
      <c r="P241" s="170">
        <f>P240+(Entradas!$E$83*M241-Q240)/(800*Entradas!$D$25)</f>
        <v>0</v>
      </c>
      <c r="Q241" s="170">
        <f>8000*Entradas!$D$26*P241/Constantes!$E$45</f>
        <v>0</v>
      </c>
      <c r="R241" s="170">
        <f>IF(Escenarios!$E$14&gt;0,K241*Escenarios!$E$13/Escenarios!$E$14,0)</f>
        <v>0</v>
      </c>
      <c r="S241" s="170">
        <f>IF(Escenarios!$E$14&gt;0,Q241*Escenarios!$E$13/Escenarios!$E$14,0)</f>
        <v>0</v>
      </c>
      <c r="T241" s="170">
        <f>IF(Escenarios!$E$14&gt;0,Observaciones!$I240,0)</f>
        <v>0</v>
      </c>
      <c r="U241" s="170">
        <f>IF(Escenarios!$E$14&gt;0,MAX(0,Constantes!$E$36/((Z240+R241+S241+T241+Observaciones!$F240)^2)+Entradas!$E$77),0)</f>
        <v>0</v>
      </c>
      <c r="V241" s="146">
        <f>IF(ETo!D240&gt;0,ETo!I240*((1-Entradas!$E$81)*ETo!K240+ETo!L240),0)</f>
        <v>3.0333496316316371</v>
      </c>
      <c r="W241" s="170">
        <f>IF(Escenarios!$E$14&gt;0,MIN(V241*1,0.8*(Z240+R241+S241+T241+Observaciones!$F240-U241-Constantes!$E$35)),0)</f>
        <v>1.6897640245474579E-4</v>
      </c>
      <c r="X241" s="170">
        <f>IF(Escenarios!$E$14&gt;0,Observaciones!$J240,0)</f>
        <v>0</v>
      </c>
      <c r="Y241" s="170">
        <f>IF(Escenarios!$E$14&gt;0,MAX(0,Z240+R241+S241+T241+Observaciones!$F240-U241-W241-X241-Constantes!$E$33),0)</f>
        <v>0</v>
      </c>
      <c r="Z241" s="170">
        <f>Z240+R241+S241+T241+Observaciones!$F240-U241-W241-Y241</f>
        <v>41.250042244100612</v>
      </c>
      <c r="AA241" s="170">
        <f>IF(Escenarios!$E$14&gt;0,(Escenarios!$E$13*L241+Escenarios!$E$14*W241)/(Escenarios!$E$16),L241)</f>
        <v>-7.0966890355136621E-5</v>
      </c>
      <c r="AB241" s="170">
        <f>IF(Escenarios!$E$14&gt;0,(Escenarios!$E$14*Y241)/(Escenarios!$E$16),K241)</f>
        <v>0</v>
      </c>
      <c r="AC241" s="170">
        <f>IF(Escenarios!$E$14&gt;0,(Escenarios!$E$13*M241+Escenarios!$E$14*U241)/(Escenarios!$E$16),M241)</f>
        <v>0</v>
      </c>
      <c r="AD241" s="76">
        <f t="shared" si="43"/>
        <v>79.036588677027297</v>
      </c>
      <c r="AE241" s="76">
        <f>MAX(0,(AD241-Constantes!$D$13)*(1-EXP(-Constantes!$D$23)))</f>
        <v>0.29842097193815509</v>
      </c>
      <c r="AF241" s="76">
        <f>AB241+O241*Escenarios!$E$13/Escenarios!$E$16+AE241</f>
        <v>0.29842097193815509</v>
      </c>
      <c r="AG241" s="76">
        <f>IF(Entradas!$E$91&gt;0,IF(AF241-Escenarios!$E$38&lt;=0,0,IF(AF241-Escenarios!$E$38&gt;Escenarios!$E$37,Escenarios!$E$37,AF241-Escenarios!$E$38)),0)</f>
        <v>0</v>
      </c>
      <c r="AH241" s="76">
        <f>AG241*Entradas!$E$99</f>
        <v>0</v>
      </c>
      <c r="AI241" s="76">
        <f>IF(Entradas!$E$91&gt;0,D241*Entradas!$D$23/Escenarios!$E$16,0)</f>
        <v>0</v>
      </c>
      <c r="AJ241" s="76">
        <f>IF(Entradas!$E$91&gt;0,Entradas!$D$24*Entradas!$D$22/Escenarios!$E$16,0)</f>
        <v>0</v>
      </c>
      <c r="AK241" s="76">
        <f t="shared" si="52"/>
        <v>-7.0966890355136621E-5</v>
      </c>
      <c r="AL241" s="76">
        <f t="shared" si="53"/>
        <v>0</v>
      </c>
      <c r="AM241" s="76">
        <f t="shared" si="44"/>
        <v>0</v>
      </c>
      <c r="AN241" s="76">
        <f>MAX(0,O241*Escenarios!$E$13/Escenarios!$E$16-AM241)</f>
        <v>0</v>
      </c>
      <c r="AO241" s="76">
        <f>AM241+AN241-O241*Escenarios!$E$13/Escenarios!$E$16</f>
        <v>0</v>
      </c>
      <c r="AP241" s="76">
        <f t="shared" si="42"/>
        <v>0.29842097193815509</v>
      </c>
      <c r="AQ241" s="76">
        <f t="shared" si="45"/>
        <v>0</v>
      </c>
      <c r="AR241" s="76">
        <f t="shared" si="46"/>
        <v>0.29842097193815509</v>
      </c>
      <c r="AS241" s="76">
        <f t="shared" si="47"/>
        <v>0</v>
      </c>
      <c r="AT241" s="76">
        <f t="shared" si="48"/>
        <v>0</v>
      </c>
      <c r="AU241" s="76">
        <f t="shared" si="49"/>
        <v>48.75</v>
      </c>
      <c r="AV241" s="76">
        <f>MAX(0,(AU241-Constantes!$D$13)*(1-EXP(-Constantes!$D$24)))</f>
        <v>0</v>
      </c>
      <c r="AW241" s="170">
        <f>AW240+(Entradas!$E$112*AT241-AX240)/(800*Entradas!$D$25)</f>
        <v>0</v>
      </c>
      <c r="AX241" s="170">
        <f>8000*Entradas!$D$26*AW241/Constantes!$E$45</f>
        <v>0</v>
      </c>
      <c r="AY241" s="170">
        <f>IF(Escenarios!$E$17&gt;0,10*Escenarios!$E$16*AL241,0)</f>
        <v>0</v>
      </c>
      <c r="AZ241" s="170">
        <f>IF(Escenarios!$E$17&gt;0,10*Escenarios!$E$16*AX241,0)</f>
        <v>0</v>
      </c>
      <c r="BA241" s="170">
        <f>IF(Escenarios!$E$17&gt;0,0.001*Observaciones!$F240*Escenarios!$E$17,0)</f>
        <v>0</v>
      </c>
      <c r="BB241" s="170">
        <f>IF(Escenarios!$E$17&gt;0,Observaciones!$K240,0)</f>
        <v>0</v>
      </c>
      <c r="BC241" s="170">
        <f>IF(Escenarios!$E$17&gt;0,MIN(0.0005*ETo!$M240*Escenarios!$E$17*(BG240/Constantes!$E$40)^(2/3),BG240+AY241+AZ241+BA241+BB241),0)</f>
        <v>4.172090965355868</v>
      </c>
      <c r="BD241" s="170">
        <f>IF(Escenarios!$E$17&gt;0,MIN(Constantes!$E$39*(BG240/Constantes!$E$40)^(2/3),BG240+AY241+AZ241+BA241+BB241-BC241),0)</f>
        <v>8.7177559707588728</v>
      </c>
      <c r="BE241" s="170">
        <f>IF(Escenarios!$E$17&gt;0,MIN(Entradas!$E$113,BG240+AY241+AZ241+BA241+BB241-BC241-BD241),0)</f>
        <v>1</v>
      </c>
      <c r="BF241" s="170">
        <f>IF(Escenarios!$E$17&gt;0,MAX(0,BG240+AY241+AZ241+BA241+BB241-BC241-BD241-BE241-Constantes!$E$40),0)</f>
        <v>0</v>
      </c>
      <c r="BG241" s="170">
        <f t="shared" si="54"/>
        <v>225.92762607117353</v>
      </c>
      <c r="BH241" s="170">
        <f>(Escenarios!$E$16*AK241+0.1*BC241)/(Escenarios!$E$19)</f>
        <v>1.5851879918523915E-3</v>
      </c>
      <c r="BI241" s="170">
        <f>IF(Escenarios!$E$17&gt;0,BF241/10/Escenarios!$E$19,AL241)</f>
        <v>0</v>
      </c>
      <c r="BJ241" s="170">
        <f>(Escenarios!$E$16*AT241+0.1*BD241)/(Escenarios!$E$19)</f>
        <v>3.4594269725233624E-3</v>
      </c>
      <c r="BK241" s="76">
        <f>BK240+(0.1*BD241)/(Escenarios!$E$19)-BL240</f>
        <v>49.813225021709933</v>
      </c>
      <c r="BL241" s="76">
        <f>MAX(0,(BK241-Constantes!$D$13)*(1-EXP(-Constantes!$D$23)))</f>
        <v>1.0476209379378239E-2</v>
      </c>
      <c r="BM241" s="76">
        <f t="shared" si="50"/>
        <v>0.30889718131753335</v>
      </c>
      <c r="BN241" s="76">
        <f t="shared" si="55"/>
        <v>0.30889718131753335</v>
      </c>
      <c r="BO241" s="76">
        <f>0.0526*BI241*Observaciones!$F240^1.218</f>
        <v>0</v>
      </c>
      <c r="BP241" s="76">
        <f>BO241*Constantes!$E$51</f>
        <v>0</v>
      </c>
      <c r="BQ241" s="76">
        <f t="shared" si="51"/>
        <v>0</v>
      </c>
      <c r="BR241" s="40"/>
    </row>
    <row r="242" spans="1:70">
      <c r="A242" s="147"/>
      <c r="B242" s="39"/>
      <c r="C242" s="75">
        <v>236</v>
      </c>
      <c r="D242" s="146">
        <f>ETo!$I241*((1-Constantes!$E$19)*ETo!$K241+ETo!$L241)</f>
        <v>3.3827980651644949</v>
      </c>
      <c r="E242" s="76">
        <f>MIN(D242*Constantes!$E$17,0.8*(N241+Observaciones!$F241-F242-M242-Constantes!$D$14))</f>
        <v>-1.3390169122284591E-2</v>
      </c>
      <c r="F242" s="76">
        <f>IF(Observaciones!$F241&gt;0.05*Constantes!$E$18,((Observaciones!$F241-0.05*Constantes!$E$18)^2)/(Observaciones!$F241+0.95*Constantes!$E$18),0)</f>
        <v>0</v>
      </c>
      <c r="G242" s="76">
        <f>IF(Escenarios!$E$11&gt;0,(F242*Escenarios!$E$16*10000)/1000,0)</f>
        <v>0</v>
      </c>
      <c r="H242" s="76">
        <f>IF(Escenarios!$E$11&gt;0,(Observaciones!$F241*Constantes!$E$29)/1000,0)</f>
        <v>0</v>
      </c>
      <c r="I242" s="76">
        <f>IF(Escenarios!$E$11&gt;0,(D242*Constantes!$E$29)/1000,0)</f>
        <v>33.82798065164495</v>
      </c>
      <c r="J242" s="76">
        <f>IF(Escenarios!$E$11&gt;0,MAX(0,G242+H242-I242),0)</f>
        <v>0</v>
      </c>
      <c r="K242" s="76">
        <f>IF(Escenarios!$E$11&gt;0,IF(J242&gt;Constantes!$E$30,1000*((J242-Constantes!$E$30)/(Escenarios!$E$16*10000)),0),F242)</f>
        <v>0</v>
      </c>
      <c r="L242" s="76">
        <f>IF(Escenarios!$E$11&gt;0,I242*1000/Escenarios!$E$16/10000+E242,E242)</f>
        <v>1.4102313837338967E-4</v>
      </c>
      <c r="M242" s="76">
        <f>MAX(0,N241+Observaciones!$F241-K242-Constantes!$D$13)</f>
        <v>0</v>
      </c>
      <c r="N242" s="76">
        <f>N241+Observaciones!$F241-K242-L242-M242-O241</f>
        <v>11.23312126545877</v>
      </c>
      <c r="O242" s="76">
        <f>MAX(0,(N242-Constantes!$D$14)*(1-EXP(-Constantes!$D$22)))</f>
        <v>0</v>
      </c>
      <c r="P242" s="170">
        <f>P241+(Entradas!$E$83*M242-Q241)/(800*Entradas!$D$25)</f>
        <v>0</v>
      </c>
      <c r="Q242" s="170">
        <f>8000*Entradas!$D$26*P242/Constantes!$E$45</f>
        <v>0</v>
      </c>
      <c r="R242" s="170">
        <f>IF(Escenarios!$E$14&gt;0,K242*Escenarios!$E$13/Escenarios!$E$14,0)</f>
        <v>0</v>
      </c>
      <c r="S242" s="170">
        <f>IF(Escenarios!$E$14&gt;0,Q242*Escenarios!$E$13/Escenarios!$E$14,0)</f>
        <v>0</v>
      </c>
      <c r="T242" s="170">
        <f>IF(Escenarios!$E$14&gt;0,Observaciones!$I241,0)</f>
        <v>0</v>
      </c>
      <c r="U242" s="170">
        <f>IF(Escenarios!$E$14&gt;0,MAX(0,Constantes!$E$36/((Z241+R242+S242+T242+Observaciones!$F241)^2)+Entradas!$E$77),0)</f>
        <v>0</v>
      </c>
      <c r="V242" s="146">
        <f>IF(ETo!D241&gt;0,ETo!I241*((1-Entradas!$E$81)*ETo!K241+ETo!L241),0)</f>
        <v>3.0708205344834028</v>
      </c>
      <c r="W242" s="170">
        <f>IF(Escenarios!$E$14&gt;0,MIN(V242*1,0.8*(Z241+R242+S242+T242+Observaciones!$F241-U242-Constantes!$E$35)),0)</f>
        <v>3.3795280489812289E-5</v>
      </c>
      <c r="X242" s="170">
        <f>IF(Escenarios!$E$14&gt;0,Observaciones!$J241,0)</f>
        <v>0</v>
      </c>
      <c r="Y242" s="170">
        <f>IF(Escenarios!$E$14&gt;0,MAX(0,Z241+R242+S242+T242+Observaciones!$F241-U242-W242-X242-Constantes!$E$33),0)</f>
        <v>0</v>
      </c>
      <c r="Z242" s="170">
        <f>Z241+R242+S242+T242+Observaciones!$F241-U242-W242-Y242</f>
        <v>41.250008448820125</v>
      </c>
      <c r="AA242" s="170">
        <f>IF(Escenarios!$E$14&gt;0,(Escenarios!$E$13*L242+Escenarios!$E$14*W242)/(Escenarios!$E$16),L242)</f>
        <v>1.2815579542736039E-4</v>
      </c>
      <c r="AB242" s="170">
        <f>IF(Escenarios!$E$14&gt;0,(Escenarios!$E$14*Y242)/(Escenarios!$E$16),K242)</f>
        <v>0</v>
      </c>
      <c r="AC242" s="170">
        <f>IF(Escenarios!$E$14&gt;0,(Escenarios!$E$13*M242+Escenarios!$E$14*U242)/(Escenarios!$E$16),M242)</f>
        <v>0</v>
      </c>
      <c r="AD242" s="76">
        <f t="shared" si="43"/>
        <v>78.73816770508914</v>
      </c>
      <c r="AE242" s="76">
        <f>MAX(0,(AD242-Constantes!$D$13)*(1-EXP(-Constantes!$D$23)))</f>
        <v>0.29548055902331061</v>
      </c>
      <c r="AF242" s="76">
        <f>AB242+O242*Escenarios!$E$13/Escenarios!$E$16+AE242</f>
        <v>0.29548055902331061</v>
      </c>
      <c r="AG242" s="76">
        <f>IF(Entradas!$E$91&gt;0,IF(AF242-Escenarios!$E$38&lt;=0,0,IF(AF242-Escenarios!$E$38&gt;Escenarios!$E$37,Escenarios!$E$37,AF242-Escenarios!$E$38)),0)</f>
        <v>0</v>
      </c>
      <c r="AH242" s="76">
        <f>AG242*Entradas!$E$99</f>
        <v>0</v>
      </c>
      <c r="AI242" s="76">
        <f>IF(Entradas!$E$91&gt;0,D242*Entradas!$D$23/Escenarios!$E$16,0)</f>
        <v>0</v>
      </c>
      <c r="AJ242" s="76">
        <f>IF(Entradas!$E$91&gt;0,Entradas!$D$24*Entradas!$D$22/Escenarios!$E$16,0)</f>
        <v>0</v>
      </c>
      <c r="AK242" s="76">
        <f t="shared" si="52"/>
        <v>1.2815579542736039E-4</v>
      </c>
      <c r="AL242" s="76">
        <f t="shared" si="53"/>
        <v>0</v>
      </c>
      <c r="AM242" s="76">
        <f t="shared" si="44"/>
        <v>0</v>
      </c>
      <c r="AN242" s="76">
        <f>MAX(0,O242*Escenarios!$E$13/Escenarios!$E$16-AM242)</f>
        <v>0</v>
      </c>
      <c r="AO242" s="76">
        <f>AM242+AN242-O242*Escenarios!$E$13/Escenarios!$E$16</f>
        <v>0</v>
      </c>
      <c r="AP242" s="76">
        <f t="shared" si="42"/>
        <v>0.29548055902331061</v>
      </c>
      <c r="AQ242" s="76">
        <f t="shared" si="45"/>
        <v>0</v>
      </c>
      <c r="AR242" s="76">
        <f t="shared" si="46"/>
        <v>0.29548055902331061</v>
      </c>
      <c r="AS242" s="76">
        <f t="shared" si="47"/>
        <v>0</v>
      </c>
      <c r="AT242" s="76">
        <f t="shared" si="48"/>
        <v>0</v>
      </c>
      <c r="AU242" s="76">
        <f t="shared" si="49"/>
        <v>48.75</v>
      </c>
      <c r="AV242" s="76">
        <f>MAX(0,(AU242-Constantes!$D$13)*(1-EXP(-Constantes!$D$24)))</f>
        <v>0</v>
      </c>
      <c r="AW242" s="170">
        <f>AW241+(Entradas!$E$112*AT242-AX241)/(800*Entradas!$D$25)</f>
        <v>0</v>
      </c>
      <c r="AX242" s="170">
        <f>8000*Entradas!$D$26*AW242/Constantes!$E$45</f>
        <v>0</v>
      </c>
      <c r="AY242" s="170">
        <f>IF(Escenarios!$E$17&gt;0,10*Escenarios!$E$16*AL242,0)</f>
        <v>0</v>
      </c>
      <c r="AZ242" s="170">
        <f>IF(Escenarios!$E$17&gt;0,10*Escenarios!$E$16*AX242,0)</f>
        <v>0</v>
      </c>
      <c r="BA242" s="170">
        <f>IF(Escenarios!$E$17&gt;0,0.001*Observaciones!$F241*Escenarios!$E$17,0)</f>
        <v>0</v>
      </c>
      <c r="BB242" s="170">
        <f>IF(Escenarios!$E$17&gt;0,Observaciones!$K241,0)</f>
        <v>0</v>
      </c>
      <c r="BC242" s="170">
        <f>IF(Escenarios!$E$17&gt;0,MIN(0.0005*ETo!$M241*Escenarios!$E$17*(BG241/Constantes!$E$40)^(2/3),BG241+AY242+AZ242+BA242+BB242),0)</f>
        <v>4.0566432625458422</v>
      </c>
      <c r="BD242" s="170">
        <f>IF(Escenarios!$E$17&gt;0,MIN(Constantes!$E$39*(BG241/Constantes!$E$40)^(2/3),BG241+AY242+AZ242+BA242+BB242-BC242),0)</f>
        <v>8.3778076640904935</v>
      </c>
      <c r="BE242" s="170">
        <f>IF(Escenarios!$E$17&gt;0,MIN(Entradas!$E$113,BG241+AY242+AZ242+BA242+BB242-BC242-BD242),0)</f>
        <v>1</v>
      </c>
      <c r="BF242" s="170">
        <f>IF(Escenarios!$E$17&gt;0,MAX(0,BG241+AY242+AZ242+BA242+BB242-BC242-BD242-BE242-Constantes!$E$40),0)</f>
        <v>0</v>
      </c>
      <c r="BG242" s="170">
        <f t="shared" si="54"/>
        <v>212.49317514453722</v>
      </c>
      <c r="BH242" s="170">
        <f>(Escenarios!$E$16*AK242+0.1*BC242)/(Escenarios!$E$19)</f>
        <v>1.7369177583786682E-3</v>
      </c>
      <c r="BI242" s="170">
        <f>IF(Escenarios!$E$17&gt;0,BF242/10/Escenarios!$E$19,AL242)</f>
        <v>0</v>
      </c>
      <c r="BJ242" s="170">
        <f>(Escenarios!$E$16*AT242+0.1*BD242)/(Escenarios!$E$19)</f>
        <v>3.3245268508295613E-3</v>
      </c>
      <c r="BK242" s="76">
        <f>BK241+(0.1*BD242)/(Escenarios!$E$19)-BL241</f>
        <v>49.806073339181388</v>
      </c>
      <c r="BL242" s="76">
        <f>MAX(0,(BK242-Constantes!$D$13)*(1-EXP(-Constantes!$D$23)))</f>
        <v>1.0405742148026425E-2</v>
      </c>
      <c r="BM242" s="76">
        <f t="shared" si="50"/>
        <v>0.30588630117133703</v>
      </c>
      <c r="BN242" s="76">
        <f t="shared" si="55"/>
        <v>0.30588630117133703</v>
      </c>
      <c r="BO242" s="76">
        <f>0.0526*BI242*Observaciones!$F241^1.218</f>
        <v>0</v>
      </c>
      <c r="BP242" s="76">
        <f>BO242*Constantes!$E$51</f>
        <v>0</v>
      </c>
      <c r="BQ242" s="76">
        <f t="shared" si="51"/>
        <v>0</v>
      </c>
      <c r="BR242" s="40"/>
    </row>
    <row r="243" spans="1:70">
      <c r="A243" s="147"/>
      <c r="B243" s="39"/>
      <c r="C243" s="75">
        <v>237</v>
      </c>
      <c r="D243" s="146">
        <f>ETo!$I242*((1-Constantes!$E$19)*ETo!$K242+ETo!$L242)</f>
        <v>3.1860260754769598</v>
      </c>
      <c r="E243" s="76">
        <f>MIN(D243*Constantes!$E$17,0.8*(N242+Observaciones!$F242-F243-M243-Constantes!$D$14))</f>
        <v>-1.3502987632983833E-2</v>
      </c>
      <c r="F243" s="76">
        <f>IF(Observaciones!$F242&gt;0.05*Constantes!$E$18,((Observaciones!$F242-0.05*Constantes!$E$18)^2)/(Observaciones!$F242+0.95*Constantes!$E$18),0)</f>
        <v>0</v>
      </c>
      <c r="G243" s="76">
        <f>IF(Escenarios!$E$11&gt;0,(F243*Escenarios!$E$16*10000)/1000,0)</f>
        <v>0</v>
      </c>
      <c r="H243" s="76">
        <f>IF(Escenarios!$E$11&gt;0,(Observaciones!$F242*Constantes!$E$29)/1000,0)</f>
        <v>0</v>
      </c>
      <c r="I243" s="76">
        <f>IF(Escenarios!$E$11&gt;0,(D243*Constantes!$E$29)/1000,0)</f>
        <v>31.860260754769598</v>
      </c>
      <c r="J243" s="76">
        <f>IF(Escenarios!$E$11&gt;0,MAX(0,G243+H243-I243),0)</f>
        <v>0</v>
      </c>
      <c r="K243" s="76">
        <f>IF(Escenarios!$E$11&gt;0,IF(J243&gt;Constantes!$E$30,1000*((J243-Constantes!$E$30)/(Escenarios!$E$16*10000)),0),F243)</f>
        <v>0</v>
      </c>
      <c r="L243" s="76">
        <f>IF(Escenarios!$E$11&gt;0,I243*1000/Escenarios!$E$16/10000+E243,E243)</f>
        <v>-7.5888333107599314E-4</v>
      </c>
      <c r="M243" s="76">
        <f>MAX(0,N242+Observaciones!$F242-K243-Constantes!$D$13)</f>
        <v>0</v>
      </c>
      <c r="N243" s="76">
        <f>N242+Observaciones!$F242-K243-L243-M243-O242</f>
        <v>11.233880148789845</v>
      </c>
      <c r="O243" s="76">
        <f>MAX(0,(N243-Constantes!$D$14)*(1-EXP(-Constantes!$D$22)))</f>
        <v>0</v>
      </c>
      <c r="P243" s="170">
        <f>P242+(Entradas!$E$83*M243-Q242)/(800*Entradas!$D$25)</f>
        <v>0</v>
      </c>
      <c r="Q243" s="170">
        <f>8000*Entradas!$D$26*P243/Constantes!$E$45</f>
        <v>0</v>
      </c>
      <c r="R243" s="170">
        <f>IF(Escenarios!$E$14&gt;0,K243*Escenarios!$E$13/Escenarios!$E$14,0)</f>
        <v>0</v>
      </c>
      <c r="S243" s="170">
        <f>IF(Escenarios!$E$14&gt;0,Q243*Escenarios!$E$13/Escenarios!$E$14,0)</f>
        <v>0</v>
      </c>
      <c r="T243" s="170">
        <f>IF(Escenarios!$E$14&gt;0,Observaciones!$I242,0)</f>
        <v>0</v>
      </c>
      <c r="U243" s="170">
        <f>IF(Escenarios!$E$14&gt;0,MAX(0,Constantes!$E$36/((Z242+R243+S243+T243+Observaciones!$F242)^2)+Entradas!$E$77),0)</f>
        <v>0</v>
      </c>
      <c r="V243" s="146">
        <f>IF(ETo!D242&gt;0,ETo!I242*((1-Entradas!$E$81)*ETo!K242+ETo!L242),0)</f>
        <v>2.8910157018804594</v>
      </c>
      <c r="W243" s="170">
        <f>IF(Escenarios!$E$14&gt;0,MIN(V243*1,0.8*(Z242+R243+S243+T243+Observaciones!$F242-U243-Constantes!$E$35)),0)</f>
        <v>6.7590561002361941E-6</v>
      </c>
      <c r="X243" s="170">
        <f>IF(Escenarios!$E$14&gt;0,Observaciones!$J242,0)</f>
        <v>0</v>
      </c>
      <c r="Y243" s="170">
        <f>IF(Escenarios!$E$14&gt;0,MAX(0,Z242+R243+S243+T243+Observaciones!$F242-U243-W243-X243-Constantes!$E$33),0)</f>
        <v>0</v>
      </c>
      <c r="Z243" s="170">
        <f>Z242+R243+S243+T243+Observaciones!$F242-U243-W243-Y243</f>
        <v>41.250001689764026</v>
      </c>
      <c r="AA243" s="170">
        <f>IF(Escenarios!$E$14&gt;0,(Escenarios!$E$13*L243+Escenarios!$E$14*W243)/(Escenarios!$E$16),L243)</f>
        <v>-6.6700624461484557E-4</v>
      </c>
      <c r="AB243" s="170">
        <f>IF(Escenarios!$E$14&gt;0,(Escenarios!$E$14*Y243)/(Escenarios!$E$16),K243)</f>
        <v>0</v>
      </c>
      <c r="AC243" s="170">
        <f>IF(Escenarios!$E$14&gt;0,(Escenarios!$E$13*M243+Escenarios!$E$14*U243)/(Escenarios!$E$16),M243)</f>
        <v>0</v>
      </c>
      <c r="AD243" s="76">
        <f t="shared" si="43"/>
        <v>78.442687146065836</v>
      </c>
      <c r="AE243" s="76">
        <f>MAX(0,(AD243-Constantes!$D$13)*(1-EXP(-Constantes!$D$23)))</f>
        <v>0.29256911869726798</v>
      </c>
      <c r="AF243" s="76">
        <f>AB243+O243*Escenarios!$E$13/Escenarios!$E$16+AE243</f>
        <v>0.29256911869726798</v>
      </c>
      <c r="AG243" s="76">
        <f>IF(Entradas!$E$91&gt;0,IF(AF243-Escenarios!$E$38&lt;=0,0,IF(AF243-Escenarios!$E$38&gt;Escenarios!$E$37,Escenarios!$E$37,AF243-Escenarios!$E$38)),0)</f>
        <v>0</v>
      </c>
      <c r="AH243" s="76">
        <f>AG243*Entradas!$E$99</f>
        <v>0</v>
      </c>
      <c r="AI243" s="76">
        <f>IF(Entradas!$E$91&gt;0,D243*Entradas!$D$23/Escenarios!$E$16,0)</f>
        <v>0</v>
      </c>
      <c r="AJ243" s="76">
        <f>IF(Entradas!$E$91&gt;0,Entradas!$D$24*Entradas!$D$22/Escenarios!$E$16,0)</f>
        <v>0</v>
      </c>
      <c r="AK243" s="76">
        <f t="shared" si="52"/>
        <v>-6.6700624461484557E-4</v>
      </c>
      <c r="AL243" s="76">
        <f t="shared" si="53"/>
        <v>0</v>
      </c>
      <c r="AM243" s="76">
        <f t="shared" si="44"/>
        <v>0</v>
      </c>
      <c r="AN243" s="76">
        <f>MAX(0,O243*Escenarios!$E$13/Escenarios!$E$16-AM243)</f>
        <v>0</v>
      </c>
      <c r="AO243" s="76">
        <f>AM243+AN243-O243*Escenarios!$E$13/Escenarios!$E$16</f>
        <v>0</v>
      </c>
      <c r="AP243" s="76">
        <f t="shared" si="42"/>
        <v>0.29256911869726798</v>
      </c>
      <c r="AQ243" s="76">
        <f t="shared" si="45"/>
        <v>0</v>
      </c>
      <c r="AR243" s="76">
        <f t="shared" si="46"/>
        <v>0.29256911869726798</v>
      </c>
      <c r="AS243" s="76">
        <f t="shared" si="47"/>
        <v>0</v>
      </c>
      <c r="AT243" s="76">
        <f t="shared" si="48"/>
        <v>0</v>
      </c>
      <c r="AU243" s="76">
        <f t="shared" si="49"/>
        <v>48.75</v>
      </c>
      <c r="AV243" s="76">
        <f>MAX(0,(AU243-Constantes!$D$13)*(1-EXP(-Constantes!$D$24)))</f>
        <v>0</v>
      </c>
      <c r="AW243" s="170">
        <f>AW242+(Entradas!$E$112*AT243-AX242)/(800*Entradas!$D$25)</f>
        <v>0</v>
      </c>
      <c r="AX243" s="170">
        <f>8000*Entradas!$D$26*AW243/Constantes!$E$45</f>
        <v>0</v>
      </c>
      <c r="AY243" s="170">
        <f>IF(Escenarios!$E$17&gt;0,10*Escenarios!$E$16*AL243,0)</f>
        <v>0</v>
      </c>
      <c r="AZ243" s="170">
        <f>IF(Escenarios!$E$17&gt;0,10*Escenarios!$E$16*AX243,0)</f>
        <v>0</v>
      </c>
      <c r="BA243" s="170">
        <f>IF(Escenarios!$E$17&gt;0,0.001*Observaciones!$F242*Escenarios!$E$17,0)</f>
        <v>0</v>
      </c>
      <c r="BB243" s="170">
        <f>IF(Escenarios!$E$17&gt;0,Observaciones!$K242,0)</f>
        <v>0</v>
      </c>
      <c r="BC243" s="170">
        <f>IF(Escenarios!$E$17&gt;0,MIN(0.0005*ETo!$M242*Escenarios!$E$17*(BG242/Constantes!$E$40)^(2/3),BG242+AY243+AZ243+BA243+BB243),0)</f>
        <v>3.6695388115054386</v>
      </c>
      <c r="BD243" s="170">
        <f>IF(Escenarios!$E$17&gt;0,MIN(Constantes!$E$39*(BG242/Constantes!$E$40)^(2/3),BG242+AY243+AZ243+BA243+BB243-BC243),0)</f>
        <v>8.0423101393408807</v>
      </c>
      <c r="BE243" s="170">
        <f>IF(Escenarios!$E$17&gt;0,MIN(Entradas!$E$113,BG242+AY243+AZ243+BA243+BB243-BC243-BD243),0)</f>
        <v>1</v>
      </c>
      <c r="BF243" s="170">
        <f>IF(Escenarios!$E$17&gt;0,MAX(0,BG242+AY243+AZ243+BA243+BB243-BC243-BD243-BE243-Constantes!$E$40),0)</f>
        <v>0</v>
      </c>
      <c r="BG243" s="170">
        <f t="shared" si="54"/>
        <v>199.78132619369089</v>
      </c>
      <c r="BH243" s="170">
        <f>(Escenarios!$E$16*AK243+0.1*BC243)/(Escenarios!$E$19)</f>
        <v>7.9445365078108135E-4</v>
      </c>
      <c r="BI243" s="170">
        <f>IF(Escenarios!$E$17&gt;0,BF243/10/Escenarios!$E$19,AL243)</f>
        <v>0</v>
      </c>
      <c r="BJ243" s="170">
        <f>(Escenarios!$E$16*AT243+0.1*BD243)/(Escenarios!$E$19)</f>
        <v>3.1913929124368578E-3</v>
      </c>
      <c r="BK243" s="76">
        <f>BK242+(0.1*BD243)/(Escenarios!$E$19)-BL242</f>
        <v>49.798858989945799</v>
      </c>
      <c r="BL243" s="76">
        <f>MAX(0,(BK243-Constantes!$D$13)*(1-EXP(-Constantes!$D$23)))</f>
        <v>1.0334657446684051E-2</v>
      </c>
      <c r="BM243" s="76">
        <f t="shared" si="50"/>
        <v>0.30290377614395203</v>
      </c>
      <c r="BN243" s="76">
        <f t="shared" si="55"/>
        <v>0.30290377614395203</v>
      </c>
      <c r="BO243" s="76">
        <f>0.0526*BI243*Observaciones!$F242^1.218</f>
        <v>0</v>
      </c>
      <c r="BP243" s="76">
        <f>BO243*Constantes!$E$51</f>
        <v>0</v>
      </c>
      <c r="BQ243" s="76">
        <f t="shared" si="51"/>
        <v>0</v>
      </c>
      <c r="BR243" s="40"/>
    </row>
    <row r="244" spans="1:70">
      <c r="A244" s="147"/>
      <c r="B244" s="39"/>
      <c r="C244" s="75">
        <v>238</v>
      </c>
      <c r="D244" s="146">
        <f>ETo!$I243*((1-Constantes!$E$19)*ETo!$K243+ETo!$L243)</f>
        <v>3.3520638355895023</v>
      </c>
      <c r="E244" s="76">
        <f>MIN(D244*Constantes!$E$17,0.8*(N243+Observaciones!$F243-F244-M244-Constantes!$D$14))</f>
        <v>-1.2895880968123663E-2</v>
      </c>
      <c r="F244" s="76">
        <f>IF(Observaciones!$F243&gt;0.05*Constantes!$E$18,((Observaciones!$F243-0.05*Constantes!$E$18)^2)/(Observaciones!$F243+0.95*Constantes!$E$18),0)</f>
        <v>0</v>
      </c>
      <c r="G244" s="76">
        <f>IF(Escenarios!$E$11&gt;0,(F244*Escenarios!$E$16*10000)/1000,0)</f>
        <v>0</v>
      </c>
      <c r="H244" s="76">
        <f>IF(Escenarios!$E$11&gt;0,(Observaciones!$F243*Constantes!$E$29)/1000,0)</f>
        <v>0</v>
      </c>
      <c r="I244" s="76">
        <f>IF(Escenarios!$E$11&gt;0,(D244*Constantes!$E$29)/1000,0)</f>
        <v>33.520638355895024</v>
      </c>
      <c r="J244" s="76">
        <f>IF(Escenarios!$E$11&gt;0,MAX(0,G244+H244-I244),0)</f>
        <v>0</v>
      </c>
      <c r="K244" s="76">
        <f>IF(Escenarios!$E$11&gt;0,IF(J244&gt;Constantes!$E$30,1000*((J244-Constantes!$E$30)/(Escenarios!$E$16*10000)),0),F244)</f>
        <v>0</v>
      </c>
      <c r="L244" s="76">
        <f>IF(Escenarios!$E$11&gt;0,I244*1000/Escenarios!$E$16/10000+E244,E244)</f>
        <v>5.1237437423434611E-4</v>
      </c>
      <c r="M244" s="76">
        <f>MAX(0,N243+Observaciones!$F243-K244-Constantes!$D$13)</f>
        <v>0</v>
      </c>
      <c r="N244" s="76">
        <f>N243+Observaciones!$F243-K244-L244-M244-O243</f>
        <v>11.233367774415612</v>
      </c>
      <c r="O244" s="76">
        <f>MAX(0,(N244-Constantes!$D$14)*(1-EXP(-Constantes!$D$22)))</f>
        <v>0</v>
      </c>
      <c r="P244" s="170">
        <f>P243+(Entradas!$E$83*M244-Q243)/(800*Entradas!$D$25)</f>
        <v>0</v>
      </c>
      <c r="Q244" s="170">
        <f>8000*Entradas!$D$26*P244/Constantes!$E$45</f>
        <v>0</v>
      </c>
      <c r="R244" s="170">
        <f>IF(Escenarios!$E$14&gt;0,K244*Escenarios!$E$13/Escenarios!$E$14,0)</f>
        <v>0</v>
      </c>
      <c r="S244" s="170">
        <f>IF(Escenarios!$E$14&gt;0,Q244*Escenarios!$E$13/Escenarios!$E$14,0)</f>
        <v>0</v>
      </c>
      <c r="T244" s="170">
        <f>IF(Escenarios!$E$14&gt;0,Observaciones!$I243,0)</f>
        <v>0</v>
      </c>
      <c r="U244" s="170">
        <f>IF(Escenarios!$E$14&gt;0,MAX(0,Constantes!$E$36/((Z243+R244+S244+T244+Observaciones!$F243)^2)+Entradas!$E$77),0)</f>
        <v>0</v>
      </c>
      <c r="V244" s="146">
        <f>IF(ETo!D243&gt;0,ETo!I243*((1-Entradas!$E$81)*ETo!K243+ETo!L243),0)</f>
        <v>3.0432722952863704</v>
      </c>
      <c r="W244" s="170">
        <f>IF(Escenarios!$E$14&gt;0,MIN(V244*1,0.8*(Z243+R244+S244+T244+Observaciones!$F243-U244-Constantes!$E$35)),0)</f>
        <v>1.3518112211841071E-6</v>
      </c>
      <c r="X244" s="170">
        <f>IF(Escenarios!$E$14&gt;0,Observaciones!$J243,0)</f>
        <v>0</v>
      </c>
      <c r="Y244" s="170">
        <f>IF(Escenarios!$E$14&gt;0,MAX(0,Z243+R244+S244+T244+Observaciones!$F243-U244-W244-X244-Constantes!$E$33),0)</f>
        <v>0</v>
      </c>
      <c r="Z244" s="170">
        <f>Z243+R244+S244+T244+Observaciones!$F243-U244-W244-Y244</f>
        <v>41.250000337952805</v>
      </c>
      <c r="AA244" s="170">
        <f>IF(Escenarios!$E$14&gt;0,(Escenarios!$E$13*L244+Escenarios!$E$14*W244)/(Escenarios!$E$16),L244)</f>
        <v>4.5105166667276664E-4</v>
      </c>
      <c r="AB244" s="170">
        <f>IF(Escenarios!$E$14&gt;0,(Escenarios!$E$14*Y244)/(Escenarios!$E$16),K244)</f>
        <v>0</v>
      </c>
      <c r="AC244" s="170">
        <f>IF(Escenarios!$E$14&gt;0,(Escenarios!$E$13*M244+Escenarios!$E$14*U244)/(Escenarios!$E$16),M244)</f>
        <v>0</v>
      </c>
      <c r="AD244" s="76">
        <f t="shared" si="43"/>
        <v>78.150118027368563</v>
      </c>
      <c r="AE244" s="76">
        <f>MAX(0,(AD244-Constantes!$D$13)*(1-EXP(-Constantes!$D$23)))</f>
        <v>0.2896863654862088</v>
      </c>
      <c r="AF244" s="76">
        <f>AB244+O244*Escenarios!$E$13/Escenarios!$E$16+AE244</f>
        <v>0.2896863654862088</v>
      </c>
      <c r="AG244" s="76">
        <f>IF(Entradas!$E$91&gt;0,IF(AF244-Escenarios!$E$38&lt;=0,0,IF(AF244-Escenarios!$E$38&gt;Escenarios!$E$37,Escenarios!$E$37,AF244-Escenarios!$E$38)),0)</f>
        <v>0</v>
      </c>
      <c r="AH244" s="76">
        <f>AG244*Entradas!$E$99</f>
        <v>0</v>
      </c>
      <c r="AI244" s="76">
        <f>IF(Entradas!$E$91&gt;0,D244*Entradas!$D$23/Escenarios!$E$16,0)</f>
        <v>0</v>
      </c>
      <c r="AJ244" s="76">
        <f>IF(Entradas!$E$91&gt;0,Entradas!$D$24*Entradas!$D$22/Escenarios!$E$16,0)</f>
        <v>0</v>
      </c>
      <c r="AK244" s="76">
        <f t="shared" si="52"/>
        <v>4.5105166667276664E-4</v>
      </c>
      <c r="AL244" s="76">
        <f t="shared" si="53"/>
        <v>0</v>
      </c>
      <c r="AM244" s="76">
        <f t="shared" si="44"/>
        <v>0</v>
      </c>
      <c r="AN244" s="76">
        <f>MAX(0,O244*Escenarios!$E$13/Escenarios!$E$16-AM244)</f>
        <v>0</v>
      </c>
      <c r="AO244" s="76">
        <f>AM244+AN244-O244*Escenarios!$E$13/Escenarios!$E$16</f>
        <v>0</v>
      </c>
      <c r="AP244" s="76">
        <f t="shared" si="42"/>
        <v>0.2896863654862088</v>
      </c>
      <c r="AQ244" s="76">
        <f t="shared" si="45"/>
        <v>0</v>
      </c>
      <c r="AR244" s="76">
        <f t="shared" si="46"/>
        <v>0.2896863654862088</v>
      </c>
      <c r="AS244" s="76">
        <f t="shared" si="47"/>
        <v>0</v>
      </c>
      <c r="AT244" s="76">
        <f t="shared" si="48"/>
        <v>0</v>
      </c>
      <c r="AU244" s="76">
        <f t="shared" si="49"/>
        <v>48.75</v>
      </c>
      <c r="AV244" s="76">
        <f>MAX(0,(AU244-Constantes!$D$13)*(1-EXP(-Constantes!$D$24)))</f>
        <v>0</v>
      </c>
      <c r="AW244" s="170">
        <f>AW243+(Entradas!$E$112*AT244-AX243)/(800*Entradas!$D$25)</f>
        <v>0</v>
      </c>
      <c r="AX244" s="170">
        <f>8000*Entradas!$D$26*AW244/Constantes!$E$45</f>
        <v>0</v>
      </c>
      <c r="AY244" s="170">
        <f>IF(Escenarios!$E$17&gt;0,10*Escenarios!$E$16*AL244,0)</f>
        <v>0</v>
      </c>
      <c r="AZ244" s="170">
        <f>IF(Escenarios!$E$17&gt;0,10*Escenarios!$E$16*AX244,0)</f>
        <v>0</v>
      </c>
      <c r="BA244" s="170">
        <f>IF(Escenarios!$E$17&gt;0,0.001*Observaciones!$F243*Escenarios!$E$17,0)</f>
        <v>0</v>
      </c>
      <c r="BB244" s="170">
        <f>IF(Escenarios!$E$17&gt;0,Observaciones!$K243,0)</f>
        <v>0</v>
      </c>
      <c r="BC244" s="170">
        <f>IF(Escenarios!$E$17&gt;0,MIN(0.0005*ETo!$M243*Escenarios!$E$17*(BG243/Constantes!$E$40)^(2/3),BG243+AY244+AZ244+BA244+BB244),0)</f>
        <v>3.7028046860235886</v>
      </c>
      <c r="BD244" s="170">
        <f>IF(Escenarios!$E$17&gt;0,MIN(Constantes!$E$39*(BG243/Constantes!$E$40)^(2/3),BG243+AY244+AZ244+BA244+BB244-BC244),0)</f>
        <v>7.7182839906924725</v>
      </c>
      <c r="BE244" s="170">
        <f>IF(Escenarios!$E$17&gt;0,MIN(Entradas!$E$113,BG243+AY244+AZ244+BA244+BB244-BC244-BD244),0)</f>
        <v>1</v>
      </c>
      <c r="BF244" s="170">
        <f>IF(Escenarios!$E$17&gt;0,MAX(0,BG243+AY244+AZ244+BA244+BB244-BC244-BD244-BE244-Constantes!$E$40),0)</f>
        <v>0</v>
      </c>
      <c r="BG244" s="170">
        <f t="shared" si="54"/>
        <v>187.36023751697482</v>
      </c>
      <c r="BH244" s="170">
        <f>(Escenarios!$E$16*AK244+0.1*BC244)/(Escenarios!$E$19)</f>
        <v>1.9168388304386926E-3</v>
      </c>
      <c r="BI244" s="170">
        <f>IF(Escenarios!$E$17&gt;0,BF244/10/Escenarios!$E$19,AL244)</f>
        <v>0</v>
      </c>
      <c r="BJ244" s="170">
        <f>(Escenarios!$E$16*AT244+0.1*BD244)/(Escenarios!$E$19)</f>
        <v>3.062811107417648E-3</v>
      </c>
      <c r="BK244" s="76">
        <f>BK243+(0.1*BD244)/(Escenarios!$E$19)-BL243</f>
        <v>49.791587143606534</v>
      </c>
      <c r="BL244" s="76">
        <f>MAX(0,(BK244-Constantes!$D$13)*(1-EXP(-Constantes!$D$23)))</f>
        <v>1.026300621268442E-2</v>
      </c>
      <c r="BM244" s="76">
        <f t="shared" si="50"/>
        <v>0.29994937169889324</v>
      </c>
      <c r="BN244" s="76">
        <f t="shared" si="55"/>
        <v>0.29994937169889324</v>
      </c>
      <c r="BO244" s="76">
        <f>0.0526*BI244*Observaciones!$F243^1.218</f>
        <v>0</v>
      </c>
      <c r="BP244" s="76">
        <f>BO244*Constantes!$E$51</f>
        <v>0</v>
      </c>
      <c r="BQ244" s="76">
        <f t="shared" si="51"/>
        <v>0</v>
      </c>
      <c r="BR244" s="40"/>
    </row>
    <row r="245" spans="1:70">
      <c r="A245" s="147"/>
      <c r="B245" s="39"/>
      <c r="C245" s="75">
        <v>239</v>
      </c>
      <c r="D245" s="146">
        <f>ETo!$I244*((1-Constantes!$E$19)*ETo!$K244+ETo!$L244)</f>
        <v>3.4262631496775056</v>
      </c>
      <c r="E245" s="76">
        <f>MIN(D245*Constantes!$E$17,0.8*(N244+Observaciones!$F244-F245-M245-Constantes!$D$14))</f>
        <v>-1.3305780467510431E-2</v>
      </c>
      <c r="F245" s="76">
        <f>IF(Observaciones!$F244&gt;0.05*Constantes!$E$18,((Observaciones!$F244-0.05*Constantes!$E$18)^2)/(Observaciones!$F244+0.95*Constantes!$E$18),0)</f>
        <v>0</v>
      </c>
      <c r="G245" s="76">
        <f>IF(Escenarios!$E$11&gt;0,(F245*Escenarios!$E$16*10000)/1000,0)</f>
        <v>0</v>
      </c>
      <c r="H245" s="76">
        <f>IF(Escenarios!$E$11&gt;0,(Observaciones!$F244*Constantes!$E$29)/1000,0)</f>
        <v>0</v>
      </c>
      <c r="I245" s="76">
        <f>IF(Escenarios!$E$11&gt;0,(D245*Constantes!$E$29)/1000,0)</f>
        <v>34.262631496775057</v>
      </c>
      <c r="J245" s="76">
        <f>IF(Escenarios!$E$11&gt;0,MAX(0,G245+H245-I245),0)</f>
        <v>0</v>
      </c>
      <c r="K245" s="76">
        <f>IF(Escenarios!$E$11&gt;0,IF(J245&gt;Constantes!$E$30,1000*((J245-Constantes!$E$30)/(Escenarios!$E$16*10000)),0),F245)</f>
        <v>0</v>
      </c>
      <c r="L245" s="76">
        <f>IF(Escenarios!$E$11&gt;0,I245*1000/Escenarios!$E$16/10000+E245,E245)</f>
        <v>3.9927213119959198E-4</v>
      </c>
      <c r="M245" s="76">
        <f>MAX(0,N244+Observaciones!$F244-K245-Constantes!$D$13)</f>
        <v>0</v>
      </c>
      <c r="N245" s="76">
        <f>N244+Observaciones!$F244-K245-L245-M245-O244</f>
        <v>11.232968502284413</v>
      </c>
      <c r="O245" s="76">
        <f>MAX(0,(N245-Constantes!$D$14)*(1-EXP(-Constantes!$D$22)))</f>
        <v>0</v>
      </c>
      <c r="P245" s="170">
        <f>P244+(Entradas!$E$83*M245-Q244)/(800*Entradas!$D$25)</f>
        <v>0</v>
      </c>
      <c r="Q245" s="170">
        <f>8000*Entradas!$D$26*P245/Constantes!$E$45</f>
        <v>0</v>
      </c>
      <c r="R245" s="170">
        <f>IF(Escenarios!$E$14&gt;0,K245*Escenarios!$E$13/Escenarios!$E$14,0)</f>
        <v>0</v>
      </c>
      <c r="S245" s="170">
        <f>IF(Escenarios!$E$14&gt;0,Q245*Escenarios!$E$13/Escenarios!$E$14,0)</f>
        <v>0</v>
      </c>
      <c r="T245" s="170">
        <f>IF(Escenarios!$E$14&gt;0,Observaciones!$I244,0)</f>
        <v>0</v>
      </c>
      <c r="U245" s="170">
        <f>IF(Escenarios!$E$14&gt;0,MAX(0,Constantes!$E$36/((Z244+R245+S245+T245+Observaciones!$F244)^2)+Entradas!$E$77),0)</f>
        <v>0</v>
      </c>
      <c r="V245" s="146">
        <f>IF(ETo!D244&gt;0,ETo!I244*((1-Entradas!$E$81)*ETo!K244+ETo!L244),0)</f>
        <v>3.1117134263999673</v>
      </c>
      <c r="W245" s="170">
        <f>IF(Escenarios!$E$14&gt;0,MIN(V245*1,0.8*(Z244+R245+S245+T245+Observaciones!$F244-U245-Constantes!$E$35)),0)</f>
        <v>2.7036224423682145E-7</v>
      </c>
      <c r="X245" s="170">
        <f>IF(Escenarios!$E$14&gt;0,Observaciones!$J244,0)</f>
        <v>0</v>
      </c>
      <c r="Y245" s="170">
        <f>IF(Escenarios!$E$14&gt;0,MAX(0,Z244+R245+S245+T245+Observaciones!$F244-U245-W245-X245-Constantes!$E$33),0)</f>
        <v>0</v>
      </c>
      <c r="Z245" s="170">
        <f>Z244+R245+S245+T245+Observaciones!$F244-U245-W245-Y245</f>
        <v>41.250000067590562</v>
      </c>
      <c r="AA245" s="170">
        <f>IF(Escenarios!$E$14&gt;0,(Escenarios!$E$13*L245+Escenarios!$E$14*W245)/(Escenarios!$E$16),L245)</f>
        <v>3.5139191892494937E-4</v>
      </c>
      <c r="AB245" s="170">
        <f>IF(Escenarios!$E$14&gt;0,(Escenarios!$E$14*Y245)/(Escenarios!$E$16),K245)</f>
        <v>0</v>
      </c>
      <c r="AC245" s="170">
        <f>IF(Escenarios!$E$14&gt;0,(Escenarios!$E$13*M245+Escenarios!$E$14*U245)/(Escenarios!$E$16),M245)</f>
        <v>0</v>
      </c>
      <c r="AD245" s="76">
        <f t="shared" si="43"/>
        <v>77.860431661882359</v>
      </c>
      <c r="AE245" s="76">
        <f>MAX(0,(AD245-Constantes!$D$13)*(1-EXP(-Constantes!$D$23)))</f>
        <v>0.28683201672915654</v>
      </c>
      <c r="AF245" s="76">
        <f>AB245+O245*Escenarios!$E$13/Escenarios!$E$16+AE245</f>
        <v>0.28683201672915654</v>
      </c>
      <c r="AG245" s="76">
        <f>IF(Entradas!$E$91&gt;0,IF(AF245-Escenarios!$E$38&lt;=0,0,IF(AF245-Escenarios!$E$38&gt;Escenarios!$E$37,Escenarios!$E$37,AF245-Escenarios!$E$38)),0)</f>
        <v>0</v>
      </c>
      <c r="AH245" s="76">
        <f>AG245*Entradas!$E$99</f>
        <v>0</v>
      </c>
      <c r="AI245" s="76">
        <f>IF(Entradas!$E$91&gt;0,D245*Entradas!$D$23/Escenarios!$E$16,0)</f>
        <v>0</v>
      </c>
      <c r="AJ245" s="76">
        <f>IF(Entradas!$E$91&gt;0,Entradas!$D$24*Entradas!$D$22/Escenarios!$E$16,0)</f>
        <v>0</v>
      </c>
      <c r="AK245" s="76">
        <f t="shared" si="52"/>
        <v>3.5139191892494937E-4</v>
      </c>
      <c r="AL245" s="76">
        <f t="shared" si="53"/>
        <v>0</v>
      </c>
      <c r="AM245" s="76">
        <f t="shared" si="44"/>
        <v>0</v>
      </c>
      <c r="AN245" s="76">
        <f>MAX(0,O245*Escenarios!$E$13/Escenarios!$E$16-AM245)</f>
        <v>0</v>
      </c>
      <c r="AO245" s="76">
        <f>AM245+AN245-O245*Escenarios!$E$13/Escenarios!$E$16</f>
        <v>0</v>
      </c>
      <c r="AP245" s="76">
        <f t="shared" si="42"/>
        <v>0.28683201672915654</v>
      </c>
      <c r="AQ245" s="76">
        <f t="shared" si="45"/>
        <v>0</v>
      </c>
      <c r="AR245" s="76">
        <f t="shared" si="46"/>
        <v>0.28683201672915654</v>
      </c>
      <c r="AS245" s="76">
        <f t="shared" si="47"/>
        <v>0</v>
      </c>
      <c r="AT245" s="76">
        <f t="shared" si="48"/>
        <v>0</v>
      </c>
      <c r="AU245" s="76">
        <f t="shared" si="49"/>
        <v>48.75</v>
      </c>
      <c r="AV245" s="76">
        <f>MAX(0,(AU245-Constantes!$D$13)*(1-EXP(-Constantes!$D$24)))</f>
        <v>0</v>
      </c>
      <c r="AW245" s="170">
        <f>AW244+(Entradas!$E$112*AT245-AX244)/(800*Entradas!$D$25)</f>
        <v>0</v>
      </c>
      <c r="AX245" s="170">
        <f>8000*Entradas!$D$26*AW245/Constantes!$E$45</f>
        <v>0</v>
      </c>
      <c r="AY245" s="170">
        <f>IF(Escenarios!$E$17&gt;0,10*Escenarios!$E$16*AL245,0)</f>
        <v>0</v>
      </c>
      <c r="AZ245" s="170">
        <f>IF(Escenarios!$E$17&gt;0,10*Escenarios!$E$16*AX245,0)</f>
        <v>0</v>
      </c>
      <c r="BA245" s="170">
        <f>IF(Escenarios!$E$17&gt;0,0.001*Observaciones!$F244*Escenarios!$E$17,0)</f>
        <v>0</v>
      </c>
      <c r="BB245" s="170">
        <f>IF(Escenarios!$E$17&gt;0,Observaciones!$K244,0)</f>
        <v>0</v>
      </c>
      <c r="BC245" s="170">
        <f>IF(Escenarios!$E$17&gt;0,MIN(0.0005*ETo!$M244*Escenarios!$E$17*(BG244/Constantes!$E$40)^(2/3),BG244+AY245+AZ245+BA245+BB245),0)</f>
        <v>3.6246543723636266</v>
      </c>
      <c r="BD245" s="170">
        <f>IF(Escenarios!$E$17&gt;0,MIN(Constantes!$E$39*(BG244/Constantes!$E$40)^(2/3),BG244+AY245+AZ245+BA245+BB245-BC245),0)</f>
        <v>7.3949591375663957</v>
      </c>
      <c r="BE245" s="170">
        <f>IF(Escenarios!$E$17&gt;0,MIN(Entradas!$E$113,BG244+AY245+AZ245+BA245+BB245-BC245-BD245),0)</f>
        <v>1</v>
      </c>
      <c r="BF245" s="170">
        <f>IF(Escenarios!$E$17&gt;0,MAX(0,BG244+AY245+AZ245+BA245+BB245-BC245-BD245-BE245-Constantes!$E$40),0)</f>
        <v>0</v>
      </c>
      <c r="BG245" s="170">
        <f t="shared" si="54"/>
        <v>175.3406240070448</v>
      </c>
      <c r="BH245" s="170">
        <f>(Escenarios!$E$16*AK245+0.1*BC245)/(Escenarios!$E$19)</f>
        <v>1.7869580038396829E-3</v>
      </c>
      <c r="BI245" s="170">
        <f>IF(Escenarios!$E$17&gt;0,BF245/10/Escenarios!$E$19,AL245)</f>
        <v>0</v>
      </c>
      <c r="BJ245" s="170">
        <f>(Escenarios!$E$16*AT245+0.1*BD245)/(Escenarios!$E$19)</f>
        <v>2.9345075942723794E-3</v>
      </c>
      <c r="BK245" s="76">
        <f>BK244+(0.1*BD245)/(Escenarios!$E$19)-BL244</f>
        <v>49.784258644988128</v>
      </c>
      <c r="BL245" s="76">
        <f>MAX(0,(BK245-Constantes!$D$13)*(1-EXP(-Constantes!$D$23)))</f>
        <v>1.0190796770284883E-2</v>
      </c>
      <c r="BM245" s="76">
        <f t="shared" si="50"/>
        <v>0.29702281349944143</v>
      </c>
      <c r="BN245" s="76">
        <f t="shared" si="55"/>
        <v>0.29702281349944143</v>
      </c>
      <c r="BO245" s="76">
        <f>0.0526*BI245*Observaciones!$F244^1.218</f>
        <v>0</v>
      </c>
      <c r="BP245" s="76">
        <f>BO245*Constantes!$E$51</f>
        <v>0</v>
      </c>
      <c r="BQ245" s="76">
        <f t="shared" si="51"/>
        <v>0</v>
      </c>
      <c r="BR245" s="40"/>
    </row>
    <row r="246" spans="1:70">
      <c r="A246" s="147"/>
      <c r="B246" s="39"/>
      <c r="C246" s="75">
        <v>240</v>
      </c>
      <c r="D246" s="146">
        <f>ETo!$I245*((1-Constantes!$E$19)*ETo!$K245+ETo!$L245)</f>
        <v>3.2749876931991948</v>
      </c>
      <c r="E246" s="76">
        <f>MIN(D246*Constantes!$E$17,0.8*(N245+Observaciones!$F245-F246-M246-Constantes!$D$14))</f>
        <v>-1.3625198172469766E-2</v>
      </c>
      <c r="F246" s="76">
        <f>IF(Observaciones!$F245&gt;0.05*Constantes!$E$18,((Observaciones!$F245-0.05*Constantes!$E$18)^2)/(Observaciones!$F245+0.95*Constantes!$E$18),0)</f>
        <v>0</v>
      </c>
      <c r="G246" s="76">
        <f>IF(Escenarios!$E$11&gt;0,(F246*Escenarios!$E$16*10000)/1000,0)</f>
        <v>0</v>
      </c>
      <c r="H246" s="76">
        <f>IF(Escenarios!$E$11&gt;0,(Observaciones!$F245*Constantes!$E$29)/1000,0)</f>
        <v>0</v>
      </c>
      <c r="I246" s="76">
        <f>IF(Escenarios!$E$11&gt;0,(D246*Constantes!$E$29)/1000,0)</f>
        <v>32.749876931991949</v>
      </c>
      <c r="J246" s="76">
        <f>IF(Escenarios!$E$11&gt;0,MAX(0,G246+H246-I246),0)</f>
        <v>0</v>
      </c>
      <c r="K246" s="76">
        <f>IF(Escenarios!$E$11&gt;0,IF(J246&gt;Constantes!$E$30,1000*((J246-Constantes!$E$30)/(Escenarios!$E$16*10000)),0),F246)</f>
        <v>0</v>
      </c>
      <c r="L246" s="76">
        <f>IF(Escenarios!$E$11&gt;0,I246*1000/Escenarios!$E$16/10000+E246,E246)</f>
        <v>-5.2524739967298693E-4</v>
      </c>
      <c r="M246" s="76">
        <f>MAX(0,N245+Observaciones!$F245-K246-Constantes!$D$13)</f>
        <v>0</v>
      </c>
      <c r="N246" s="76">
        <f>N245+Observaciones!$F245-K246-L246-M246-O245</f>
        <v>11.233493749684087</v>
      </c>
      <c r="O246" s="76">
        <f>MAX(0,(N246-Constantes!$D$14)*(1-EXP(-Constantes!$D$22)))</f>
        <v>0</v>
      </c>
      <c r="P246" s="170">
        <f>P245+(Entradas!$E$83*M246-Q245)/(800*Entradas!$D$25)</f>
        <v>0</v>
      </c>
      <c r="Q246" s="170">
        <f>8000*Entradas!$D$26*P246/Constantes!$E$45</f>
        <v>0</v>
      </c>
      <c r="R246" s="170">
        <f>IF(Escenarios!$E$14&gt;0,K246*Escenarios!$E$13/Escenarios!$E$14,0)</f>
        <v>0</v>
      </c>
      <c r="S246" s="170">
        <f>IF(Escenarios!$E$14&gt;0,Q246*Escenarios!$E$13/Escenarios!$E$14,0)</f>
        <v>0</v>
      </c>
      <c r="T246" s="170">
        <f>IF(Escenarios!$E$14&gt;0,Observaciones!$I245,0)</f>
        <v>0</v>
      </c>
      <c r="U246" s="170">
        <f>IF(Escenarios!$E$14&gt;0,MAX(0,Constantes!$E$36/((Z245+R246+S246+T246+Observaciones!$F245)^2)+Entradas!$E$77),0)</f>
        <v>0</v>
      </c>
      <c r="V246" s="146">
        <f>IF(ETo!D245&gt;0,ETo!I245*((1-Entradas!$E$81)*ETo!K245+ETo!L245),0)</f>
        <v>2.9734509540064269</v>
      </c>
      <c r="W246" s="170">
        <f>IF(Escenarios!$E$14&gt;0,MIN(V246*1,0.8*(Z245+R246+S246+T246+Observaciones!$F245-U246-Constantes!$E$35)),0)</f>
        <v>5.4072449984232668E-8</v>
      </c>
      <c r="X246" s="170">
        <f>IF(Escenarios!$E$14&gt;0,Observaciones!$J245,0)</f>
        <v>0</v>
      </c>
      <c r="Y246" s="170">
        <f>IF(Escenarios!$E$14&gt;0,MAX(0,Z245+R246+S246+T246+Observaciones!$F245-U246-W246-X246-Constantes!$E$33),0)</f>
        <v>0</v>
      </c>
      <c r="Z246" s="170">
        <f>Z245+R246+S246+T246+Observaciones!$F245-U246-W246-Y246</f>
        <v>41.250000013518111</v>
      </c>
      <c r="AA246" s="170">
        <f>IF(Escenarios!$E$14&gt;0,(Escenarios!$E$13*L246+Escenarios!$E$14*W246)/(Escenarios!$E$16),L246)</f>
        <v>-4.6221122301823037E-4</v>
      </c>
      <c r="AB246" s="170">
        <f>IF(Escenarios!$E$14&gt;0,(Escenarios!$E$14*Y246)/(Escenarios!$E$16),K246)</f>
        <v>0</v>
      </c>
      <c r="AC246" s="170">
        <f>IF(Escenarios!$E$14&gt;0,(Escenarios!$E$13*M246+Escenarios!$E$14*U246)/(Escenarios!$E$16),M246)</f>
        <v>0</v>
      </c>
      <c r="AD246" s="76">
        <f t="shared" si="43"/>
        <v>77.573599645153209</v>
      </c>
      <c r="AE246" s="76">
        <f>MAX(0,(AD246-Constantes!$D$13)*(1-EXP(-Constantes!$D$23)))</f>
        <v>0.28400579255026048</v>
      </c>
      <c r="AF246" s="76">
        <f>AB246+O246*Escenarios!$E$13/Escenarios!$E$16+AE246</f>
        <v>0.28400579255026048</v>
      </c>
      <c r="AG246" s="76">
        <f>IF(Entradas!$E$91&gt;0,IF(AF246-Escenarios!$E$38&lt;=0,0,IF(AF246-Escenarios!$E$38&gt;Escenarios!$E$37,Escenarios!$E$37,AF246-Escenarios!$E$38)),0)</f>
        <v>0</v>
      </c>
      <c r="AH246" s="76">
        <f>AG246*Entradas!$E$99</f>
        <v>0</v>
      </c>
      <c r="AI246" s="76">
        <f>IF(Entradas!$E$91&gt;0,D246*Entradas!$D$23/Escenarios!$E$16,0)</f>
        <v>0</v>
      </c>
      <c r="AJ246" s="76">
        <f>IF(Entradas!$E$91&gt;0,Entradas!$D$24*Entradas!$D$22/Escenarios!$E$16,0)</f>
        <v>0</v>
      </c>
      <c r="AK246" s="76">
        <f t="shared" si="52"/>
        <v>-4.6221122301823037E-4</v>
      </c>
      <c r="AL246" s="76">
        <f t="shared" si="53"/>
        <v>0</v>
      </c>
      <c r="AM246" s="76">
        <f t="shared" si="44"/>
        <v>0</v>
      </c>
      <c r="AN246" s="76">
        <f>MAX(0,O246*Escenarios!$E$13/Escenarios!$E$16-AM246)</f>
        <v>0</v>
      </c>
      <c r="AO246" s="76">
        <f>AM246+AN246-O246*Escenarios!$E$13/Escenarios!$E$16</f>
        <v>0</v>
      </c>
      <c r="AP246" s="76">
        <f t="shared" si="42"/>
        <v>0.28400579255026048</v>
      </c>
      <c r="AQ246" s="76">
        <f t="shared" si="45"/>
        <v>0</v>
      </c>
      <c r="AR246" s="76">
        <f t="shared" si="46"/>
        <v>0.28400579255026048</v>
      </c>
      <c r="AS246" s="76">
        <f t="shared" si="47"/>
        <v>0</v>
      </c>
      <c r="AT246" s="76">
        <f t="shared" si="48"/>
        <v>0</v>
      </c>
      <c r="AU246" s="76">
        <f t="shared" si="49"/>
        <v>48.75</v>
      </c>
      <c r="AV246" s="76">
        <f>MAX(0,(AU246-Constantes!$D$13)*(1-EXP(-Constantes!$D$24)))</f>
        <v>0</v>
      </c>
      <c r="AW246" s="170">
        <f>AW245+(Entradas!$E$112*AT246-AX245)/(800*Entradas!$D$25)</f>
        <v>0</v>
      </c>
      <c r="AX246" s="170">
        <f>8000*Entradas!$D$26*AW246/Constantes!$E$45</f>
        <v>0</v>
      </c>
      <c r="AY246" s="170">
        <f>IF(Escenarios!$E$17&gt;0,10*Escenarios!$E$16*AL246,0)</f>
        <v>0</v>
      </c>
      <c r="AZ246" s="170">
        <f>IF(Escenarios!$E$17&gt;0,10*Escenarios!$E$16*AX246,0)</f>
        <v>0</v>
      </c>
      <c r="BA246" s="170">
        <f>IF(Escenarios!$E$17&gt;0,0.001*Observaciones!$F245*Escenarios!$E$17,0)</f>
        <v>0</v>
      </c>
      <c r="BB246" s="170">
        <f>IF(Escenarios!$E$17&gt;0,Observaciones!$K245,0)</f>
        <v>0</v>
      </c>
      <c r="BC246" s="170">
        <f>IF(Escenarios!$E$17&gt;0,MIN(0.0005*ETo!$M245*Escenarios!$E$17*(BG245/Constantes!$E$40)^(2/3),BG245+AY246+AZ246+BA246+BB246),0)</f>
        <v>3.3160301045786555</v>
      </c>
      <c r="BD246" s="170">
        <f>IF(Escenarios!$E$17&gt;0,MIN(Constantes!$E$39*(BG245/Constantes!$E$40)^(2/3),BG245+AY246+AZ246+BA246+BB246-BC246),0)</f>
        <v>7.0752076677080513</v>
      </c>
      <c r="BE246" s="170">
        <f>IF(Escenarios!$E$17&gt;0,MIN(Entradas!$E$113,BG245+AY246+AZ246+BA246+BB246-BC246-BD246),0)</f>
        <v>1</v>
      </c>
      <c r="BF246" s="170">
        <f>IF(Escenarios!$E$17&gt;0,MAX(0,BG245+AY246+AZ246+BA246+BB246-BC246-BD246-BE246-Constantes!$E$40),0)</f>
        <v>0</v>
      </c>
      <c r="BG246" s="170">
        <f t="shared" si="54"/>
        <v>163.94938623475809</v>
      </c>
      <c r="BH246" s="170">
        <f>(Escenarios!$E$16*AK246+0.1*BC246)/(Escenarios!$E$19)</f>
        <v>8.5734208215598403E-4</v>
      </c>
      <c r="BI246" s="170">
        <f>IF(Escenarios!$E$17&gt;0,BF246/10/Escenarios!$E$19,AL246)</f>
        <v>0</v>
      </c>
      <c r="BJ246" s="170">
        <f>(Escenarios!$E$16*AT246+0.1*BD246)/(Escenarios!$E$19)</f>
        <v>2.8076220903603382E-3</v>
      </c>
      <c r="BK246" s="76">
        <f>BK245+(0.1*BD246)/(Escenarios!$E$19)-BL245</f>
        <v>49.776875470308205</v>
      </c>
      <c r="BL246" s="76">
        <f>MAX(0,(BK246-Constantes!$D$13)*(1-EXP(-Constantes!$D$23)))</f>
        <v>1.0118048591628402E-2</v>
      </c>
      <c r="BM246" s="76">
        <f t="shared" si="50"/>
        <v>0.29412384114188889</v>
      </c>
      <c r="BN246" s="76">
        <f t="shared" si="55"/>
        <v>0.29412384114188889</v>
      </c>
      <c r="BO246" s="76">
        <f>0.0526*BI246*Observaciones!$F245^1.218</f>
        <v>0</v>
      </c>
      <c r="BP246" s="76">
        <f>BO246*Constantes!$E$51</f>
        <v>0</v>
      </c>
      <c r="BQ246" s="76">
        <f t="shared" si="51"/>
        <v>0</v>
      </c>
      <c r="BR246" s="40"/>
    </row>
    <row r="247" spans="1:70">
      <c r="A247" s="147"/>
      <c r="B247" s="39"/>
      <c r="C247" s="75">
        <v>241</v>
      </c>
      <c r="D247" s="146">
        <f>ETo!$I246*((1-Constantes!$E$19)*ETo!$K246+ETo!$L246)</f>
        <v>3.2545127697611127</v>
      </c>
      <c r="E247" s="76">
        <f>MIN(D247*Constantes!$E$17,0.8*(N246+Observaciones!$F246-F247-M247-Constantes!$D$14))</f>
        <v>-1.320500025273077E-2</v>
      </c>
      <c r="F247" s="76">
        <f>IF(Observaciones!$F246&gt;0.05*Constantes!$E$18,((Observaciones!$F246-0.05*Constantes!$E$18)^2)/(Observaciones!$F246+0.95*Constantes!$E$18),0)</f>
        <v>0</v>
      </c>
      <c r="G247" s="76">
        <f>IF(Escenarios!$E$11&gt;0,(F247*Escenarios!$E$16*10000)/1000,0)</f>
        <v>0</v>
      </c>
      <c r="H247" s="76">
        <f>IF(Escenarios!$E$11&gt;0,(Observaciones!$F246*Constantes!$E$29)/1000,0)</f>
        <v>0</v>
      </c>
      <c r="I247" s="76">
        <f>IF(Escenarios!$E$11&gt;0,(D247*Constantes!$E$29)/1000,0)</f>
        <v>32.545127697611129</v>
      </c>
      <c r="J247" s="76">
        <f>IF(Escenarios!$E$11&gt;0,MAX(0,G247+H247-I247),0)</f>
        <v>0</v>
      </c>
      <c r="K247" s="76">
        <f>IF(Escenarios!$E$11&gt;0,IF(J247&gt;Constantes!$E$30,1000*((J247-Constantes!$E$30)/(Escenarios!$E$16*10000)),0),F247)</f>
        <v>0</v>
      </c>
      <c r="L247" s="76">
        <f>IF(Escenarios!$E$11&gt;0,I247*1000/Escenarios!$E$16/10000+E247,E247)</f>
        <v>-1.8694917368631929E-4</v>
      </c>
      <c r="M247" s="76">
        <f>MAX(0,N246+Observaciones!$F246-K247-Constantes!$D$13)</f>
        <v>0</v>
      </c>
      <c r="N247" s="76">
        <f>N246+Observaciones!$F246-K247-L247-M247-O246</f>
        <v>11.233680698857773</v>
      </c>
      <c r="O247" s="76">
        <f>MAX(0,(N247-Constantes!$D$14)*(1-EXP(-Constantes!$D$22)))</f>
        <v>0</v>
      </c>
      <c r="P247" s="170">
        <f>P246+(Entradas!$E$83*M247-Q246)/(800*Entradas!$D$25)</f>
        <v>0</v>
      </c>
      <c r="Q247" s="170">
        <f>8000*Entradas!$D$26*P247/Constantes!$E$45</f>
        <v>0</v>
      </c>
      <c r="R247" s="170">
        <f>IF(Escenarios!$E$14&gt;0,K247*Escenarios!$E$13/Escenarios!$E$14,0)</f>
        <v>0</v>
      </c>
      <c r="S247" s="170">
        <f>IF(Escenarios!$E$14&gt;0,Q247*Escenarios!$E$13/Escenarios!$E$14,0)</f>
        <v>0</v>
      </c>
      <c r="T247" s="170">
        <f>IF(Escenarios!$E$14&gt;0,Observaciones!$I246,0)</f>
        <v>0</v>
      </c>
      <c r="U247" s="170">
        <f>IF(Escenarios!$E$14&gt;0,MAX(0,Constantes!$E$36/((Z246+R247+S247+T247+Observaciones!$F246)^2)+Entradas!$E$77),0)</f>
        <v>0</v>
      </c>
      <c r="V247" s="146">
        <f>IF(ETo!D246&gt;0,ETo!I246*((1-Entradas!$E$81)*ETo!K246+ETo!L246),0)</f>
        <v>2.955141820124048</v>
      </c>
      <c r="W247" s="170">
        <f>IF(Escenarios!$E$14&gt;0,MIN(V247*1,0.8*(Z246+R247+S247+T247+Observaciones!$F246-U247-Constantes!$E$35)),0)</f>
        <v>1.0814488859978155E-8</v>
      </c>
      <c r="X247" s="170">
        <f>IF(Escenarios!$E$14&gt;0,Observaciones!$J246,0)</f>
        <v>0</v>
      </c>
      <c r="Y247" s="170">
        <f>IF(Escenarios!$E$14&gt;0,MAX(0,Z246+R247+S247+T247+Observaciones!$F246-U247-W247-X247-Constantes!$E$33),0)</f>
        <v>0</v>
      </c>
      <c r="Z247" s="170">
        <f>Z246+R247+S247+T247+Observaciones!$F246-U247-W247-Y247</f>
        <v>41.250000002703622</v>
      </c>
      <c r="AA247" s="170">
        <f>IF(Escenarios!$E$14&gt;0,(Escenarios!$E$13*L247+Escenarios!$E$14*W247)/(Escenarios!$E$16),L247)</f>
        <v>-1.6451397510529778E-4</v>
      </c>
      <c r="AB247" s="170">
        <f>IF(Escenarios!$E$14&gt;0,(Escenarios!$E$14*Y247)/(Escenarios!$E$16),K247)</f>
        <v>0</v>
      </c>
      <c r="AC247" s="170">
        <f>IF(Escenarios!$E$14&gt;0,(Escenarios!$E$13*M247+Escenarios!$E$14*U247)/(Escenarios!$E$16),M247)</f>
        <v>0</v>
      </c>
      <c r="AD247" s="76">
        <f t="shared" si="43"/>
        <v>77.289593852602948</v>
      </c>
      <c r="AE247" s="76">
        <f>MAX(0,(AD247-Constantes!$D$13)*(1-EXP(-Constantes!$D$23)))</f>
        <v>0.28120741583135317</v>
      </c>
      <c r="AF247" s="76">
        <f>AB247+O247*Escenarios!$E$13/Escenarios!$E$16+AE247</f>
        <v>0.28120741583135317</v>
      </c>
      <c r="AG247" s="76">
        <f>IF(Entradas!$E$91&gt;0,IF(AF247-Escenarios!$E$38&lt;=0,0,IF(AF247-Escenarios!$E$38&gt;Escenarios!$E$37,Escenarios!$E$37,AF247-Escenarios!$E$38)),0)</f>
        <v>0</v>
      </c>
      <c r="AH247" s="76">
        <f>AG247*Entradas!$E$99</f>
        <v>0</v>
      </c>
      <c r="AI247" s="76">
        <f>IF(Entradas!$E$91&gt;0,D247*Entradas!$D$23/Escenarios!$E$16,0)</f>
        <v>0</v>
      </c>
      <c r="AJ247" s="76">
        <f>IF(Entradas!$E$91&gt;0,Entradas!$D$24*Entradas!$D$22/Escenarios!$E$16,0)</f>
        <v>0</v>
      </c>
      <c r="AK247" s="76">
        <f t="shared" si="52"/>
        <v>-1.6451397510529778E-4</v>
      </c>
      <c r="AL247" s="76">
        <f t="shared" si="53"/>
        <v>0</v>
      </c>
      <c r="AM247" s="76">
        <f t="shared" si="44"/>
        <v>0</v>
      </c>
      <c r="AN247" s="76">
        <f>MAX(0,O247*Escenarios!$E$13/Escenarios!$E$16-AM247)</f>
        <v>0</v>
      </c>
      <c r="AO247" s="76">
        <f>AM247+AN247-O247*Escenarios!$E$13/Escenarios!$E$16</f>
        <v>0</v>
      </c>
      <c r="AP247" s="76">
        <f t="shared" si="42"/>
        <v>0.28120741583135317</v>
      </c>
      <c r="AQ247" s="76">
        <f t="shared" si="45"/>
        <v>0</v>
      </c>
      <c r="AR247" s="76">
        <f t="shared" si="46"/>
        <v>0.28120741583135317</v>
      </c>
      <c r="AS247" s="76">
        <f t="shared" si="47"/>
        <v>0</v>
      </c>
      <c r="AT247" s="76">
        <f t="shared" si="48"/>
        <v>0</v>
      </c>
      <c r="AU247" s="76">
        <f t="shared" si="49"/>
        <v>48.75</v>
      </c>
      <c r="AV247" s="76">
        <f>MAX(0,(AU247-Constantes!$D$13)*(1-EXP(-Constantes!$D$24)))</f>
        <v>0</v>
      </c>
      <c r="AW247" s="170">
        <f>AW246+(Entradas!$E$112*AT247-AX246)/(800*Entradas!$D$25)</f>
        <v>0</v>
      </c>
      <c r="AX247" s="170">
        <f>8000*Entradas!$D$26*AW247/Constantes!$E$45</f>
        <v>0</v>
      </c>
      <c r="AY247" s="170">
        <f>IF(Escenarios!$E$17&gt;0,10*Escenarios!$E$16*AL247,0)</f>
        <v>0</v>
      </c>
      <c r="AZ247" s="170">
        <f>IF(Escenarios!$E$17&gt;0,10*Escenarios!$E$16*AX247,0)</f>
        <v>0</v>
      </c>
      <c r="BA247" s="170">
        <f>IF(Escenarios!$E$17&gt;0,0.001*Observaciones!$F246*Escenarios!$E$17,0)</f>
        <v>0</v>
      </c>
      <c r="BB247" s="170">
        <f>IF(Escenarios!$E$17&gt;0,Observaciones!$K246,0)</f>
        <v>0</v>
      </c>
      <c r="BC247" s="170">
        <f>IF(Escenarios!$E$17&gt;0,MIN(0.0005*ETo!$M246*Escenarios!$E$17*(BG246/Constantes!$E$40)^(2/3),BG246+AY247+AZ247+BA247+BB247),0)</f>
        <v>3.1506111233496155</v>
      </c>
      <c r="BD247" s="170">
        <f>IF(Escenarios!$E$17&gt;0,MIN(Constantes!$E$39*(BG246/Constantes!$E$40)^(2/3),BG246+AY247+AZ247+BA247+BB247-BC247),0)</f>
        <v>6.7653565491594048</v>
      </c>
      <c r="BE247" s="170">
        <f>IF(Escenarios!$E$17&gt;0,MIN(Entradas!$E$113,BG246+AY247+AZ247+BA247+BB247-BC247-BD247),0)</f>
        <v>1</v>
      </c>
      <c r="BF247" s="170">
        <f>IF(Escenarios!$E$17&gt;0,MAX(0,BG246+AY247+AZ247+BA247+BB247-BC247-BD247-BE247-Constantes!$E$40),0)</f>
        <v>0</v>
      </c>
      <c r="BG247" s="170">
        <f t="shared" si="54"/>
        <v>153.03341856224907</v>
      </c>
      <c r="BH247" s="170">
        <f>(Escenarios!$E$16*AK247+0.1*BC247)/(Escenarios!$E$19)</f>
        <v>1.0870342006295125E-3</v>
      </c>
      <c r="BI247" s="170">
        <f>IF(Escenarios!$E$17&gt;0,BF247/10/Escenarios!$E$19,AL247)</f>
        <v>0</v>
      </c>
      <c r="BJ247" s="170">
        <f>(Escenarios!$E$16*AT247+0.1*BD247)/(Escenarios!$E$19)</f>
        <v>2.6846652972854781E-3</v>
      </c>
      <c r="BK247" s="76">
        <f>BK246+(0.1*BD247)/(Escenarios!$E$19)-BL246</f>
        <v>49.769442087013864</v>
      </c>
      <c r="BL247" s="76">
        <f>MAX(0,(BK247-Constantes!$D$13)*(1-EXP(-Constantes!$D$23)))</f>
        <v>1.0044805695535298E-2</v>
      </c>
      <c r="BM247" s="76">
        <f t="shared" si="50"/>
        <v>0.29125222152688846</v>
      </c>
      <c r="BN247" s="76">
        <f t="shared" si="55"/>
        <v>0.29125222152688846</v>
      </c>
      <c r="BO247" s="76">
        <f>0.0526*BI247*Observaciones!$F246^1.218</f>
        <v>0</v>
      </c>
      <c r="BP247" s="76">
        <f>BO247*Constantes!$E$51</f>
        <v>0</v>
      </c>
      <c r="BQ247" s="76">
        <f t="shared" si="51"/>
        <v>0</v>
      </c>
      <c r="BR247" s="40"/>
    </row>
    <row r="248" spans="1:70">
      <c r="A248" s="147"/>
      <c r="B248" s="39"/>
      <c r="C248" s="75">
        <v>242</v>
      </c>
      <c r="D248" s="146">
        <f>ETo!$I247*((1-Constantes!$E$19)*ETo!$K247+ETo!$L247)</f>
        <v>3.4232473356462449</v>
      </c>
      <c r="E248" s="76">
        <f>MIN(D248*Constantes!$E$17,0.8*(N247+Observaciones!$F247-F248-M248-Constantes!$D$14))</f>
        <v>-1.3055440913781524E-2</v>
      </c>
      <c r="F248" s="76">
        <f>IF(Observaciones!$F247&gt;0.05*Constantes!$E$18,((Observaciones!$F247-0.05*Constantes!$E$18)^2)/(Observaciones!$F247+0.95*Constantes!$E$18),0)</f>
        <v>0</v>
      </c>
      <c r="G248" s="76">
        <f>IF(Escenarios!$E$11&gt;0,(F248*Escenarios!$E$16*10000)/1000,0)</f>
        <v>0</v>
      </c>
      <c r="H248" s="76">
        <f>IF(Escenarios!$E$11&gt;0,(Observaciones!$F247*Constantes!$E$29)/1000,0)</f>
        <v>0</v>
      </c>
      <c r="I248" s="76">
        <f>IF(Escenarios!$E$11&gt;0,(D248*Constantes!$E$29)/1000,0)</f>
        <v>34.232473356462449</v>
      </c>
      <c r="J248" s="76">
        <f>IF(Escenarios!$E$11&gt;0,MAX(0,G248+H248-I248),0)</f>
        <v>0</v>
      </c>
      <c r="K248" s="76">
        <f>IF(Escenarios!$E$11&gt;0,IF(J248&gt;Constantes!$E$30,1000*((J248-Constantes!$E$30)/(Escenarios!$E$16*10000)),0),F248)</f>
        <v>0</v>
      </c>
      <c r="L248" s="76">
        <f>IF(Escenarios!$E$11&gt;0,I248*1000/Escenarios!$E$16/10000+E248,E248)</f>
        <v>6.3754842880345622E-4</v>
      </c>
      <c r="M248" s="76">
        <f>MAX(0,N247+Observaciones!$F247-K248-Constantes!$D$13)</f>
        <v>0</v>
      </c>
      <c r="N248" s="76">
        <f>N247+Observaciones!$F247-K248-L248-M248-O247</f>
        <v>11.233043150428969</v>
      </c>
      <c r="O248" s="76">
        <f>MAX(0,(N248-Constantes!$D$14)*(1-EXP(-Constantes!$D$22)))</f>
        <v>0</v>
      </c>
      <c r="P248" s="170">
        <f>P247+(Entradas!$E$83*M248-Q247)/(800*Entradas!$D$25)</f>
        <v>0</v>
      </c>
      <c r="Q248" s="170">
        <f>8000*Entradas!$D$26*P248/Constantes!$E$45</f>
        <v>0</v>
      </c>
      <c r="R248" s="170">
        <f>IF(Escenarios!$E$14&gt;0,K248*Escenarios!$E$13/Escenarios!$E$14,0)</f>
        <v>0</v>
      </c>
      <c r="S248" s="170">
        <f>IF(Escenarios!$E$14&gt;0,Q248*Escenarios!$E$13/Escenarios!$E$14,0)</f>
        <v>0</v>
      </c>
      <c r="T248" s="170">
        <f>IF(Escenarios!$E$14&gt;0,Observaciones!$I247,0)</f>
        <v>0</v>
      </c>
      <c r="U248" s="170">
        <f>IF(Escenarios!$E$14&gt;0,MAX(0,Constantes!$E$36/((Z247+R248+S248+T248+Observaciones!$F247)^2)+Entradas!$E$77),0)</f>
        <v>0</v>
      </c>
      <c r="V248" s="146">
        <f>IF(ETo!D247&gt;0,ETo!I247*((1-Entradas!$E$81)*ETo!K247+ETo!L247),0)</f>
        <v>3.1099235125679634</v>
      </c>
      <c r="W248" s="170">
        <f>IF(Escenarios!$E$14&gt;0,MIN(V248*1,0.8*(Z247+R248+S248+T248+Observaciones!$F247-U248-Constantes!$E$35)),0)</f>
        <v>2.162897771995631E-9</v>
      </c>
      <c r="X248" s="170">
        <f>IF(Escenarios!$E$14&gt;0,Observaciones!$J247,0)</f>
        <v>0</v>
      </c>
      <c r="Y248" s="170">
        <f>IF(Escenarios!$E$14&gt;0,MAX(0,Z247+R248+S248+T248+Observaciones!$F247-U248-W248-X248-Constantes!$E$33),0)</f>
        <v>0</v>
      </c>
      <c r="Z248" s="170">
        <f>Z247+R248+S248+T248+Observaciones!$F247-U248-W248-Y248</f>
        <v>41.250000000540723</v>
      </c>
      <c r="AA248" s="170">
        <f>IF(Escenarios!$E$14&gt;0,(Escenarios!$E$13*L248+Escenarios!$E$14*W248)/(Escenarios!$E$16),L248)</f>
        <v>5.6104287689477412E-4</v>
      </c>
      <c r="AB248" s="170">
        <f>IF(Escenarios!$E$14&gt;0,(Escenarios!$E$14*Y248)/(Escenarios!$E$16),K248)</f>
        <v>0</v>
      </c>
      <c r="AC248" s="170">
        <f>IF(Escenarios!$E$14&gt;0,(Escenarios!$E$13*M248+Escenarios!$E$14*U248)/(Escenarios!$E$16),M248)</f>
        <v>0</v>
      </c>
      <c r="AD248" s="76">
        <f t="shared" si="43"/>
        <v>77.008386436771602</v>
      </c>
      <c r="AE248" s="76">
        <f>MAX(0,(AD248-Constantes!$D$13)*(1-EXP(-Constantes!$D$23)))</f>
        <v>0.27843661218477878</v>
      </c>
      <c r="AF248" s="76">
        <f>AB248+O248*Escenarios!$E$13/Escenarios!$E$16+AE248</f>
        <v>0.27843661218477878</v>
      </c>
      <c r="AG248" s="76">
        <f>IF(Entradas!$E$91&gt;0,IF(AF248-Escenarios!$E$38&lt;=0,0,IF(AF248-Escenarios!$E$38&gt;Escenarios!$E$37,Escenarios!$E$37,AF248-Escenarios!$E$38)),0)</f>
        <v>0</v>
      </c>
      <c r="AH248" s="76">
        <f>AG248*Entradas!$E$99</f>
        <v>0</v>
      </c>
      <c r="AI248" s="76">
        <f>IF(Entradas!$E$91&gt;0,D248*Entradas!$D$23/Escenarios!$E$16,0)</f>
        <v>0</v>
      </c>
      <c r="AJ248" s="76">
        <f>IF(Entradas!$E$91&gt;0,Entradas!$D$24*Entradas!$D$22/Escenarios!$E$16,0)</f>
        <v>0</v>
      </c>
      <c r="AK248" s="76">
        <f t="shared" si="52"/>
        <v>5.6104287689477412E-4</v>
      </c>
      <c r="AL248" s="76">
        <f t="shared" si="53"/>
        <v>0</v>
      </c>
      <c r="AM248" s="76">
        <f t="shared" si="44"/>
        <v>0</v>
      </c>
      <c r="AN248" s="76">
        <f>MAX(0,O248*Escenarios!$E$13/Escenarios!$E$16-AM248)</f>
        <v>0</v>
      </c>
      <c r="AO248" s="76">
        <f>AM248+AN248-O248*Escenarios!$E$13/Escenarios!$E$16</f>
        <v>0</v>
      </c>
      <c r="AP248" s="76">
        <f t="shared" si="42"/>
        <v>0.27843661218477878</v>
      </c>
      <c r="AQ248" s="76">
        <f t="shared" si="45"/>
        <v>0</v>
      </c>
      <c r="AR248" s="76">
        <f t="shared" si="46"/>
        <v>0.27843661218477878</v>
      </c>
      <c r="AS248" s="76">
        <f t="shared" si="47"/>
        <v>0</v>
      </c>
      <c r="AT248" s="76">
        <f t="shared" si="48"/>
        <v>0</v>
      </c>
      <c r="AU248" s="76">
        <f t="shared" si="49"/>
        <v>48.75</v>
      </c>
      <c r="AV248" s="76">
        <f>MAX(0,(AU248-Constantes!$D$13)*(1-EXP(-Constantes!$D$24)))</f>
        <v>0</v>
      </c>
      <c r="AW248" s="170">
        <f>AW247+(Entradas!$E$112*AT248-AX247)/(800*Entradas!$D$25)</f>
        <v>0</v>
      </c>
      <c r="AX248" s="170">
        <f>8000*Entradas!$D$26*AW248/Constantes!$E$45</f>
        <v>0</v>
      </c>
      <c r="AY248" s="170">
        <f>IF(Escenarios!$E$17&gt;0,10*Escenarios!$E$16*AL248,0)</f>
        <v>0</v>
      </c>
      <c r="AZ248" s="170">
        <f>IF(Escenarios!$E$17&gt;0,10*Escenarios!$E$16*AX248,0)</f>
        <v>0</v>
      </c>
      <c r="BA248" s="170">
        <f>IF(Escenarios!$E$17&gt;0,0.001*Observaciones!$F247*Escenarios!$E$17,0)</f>
        <v>0</v>
      </c>
      <c r="BB248" s="170">
        <f>IF(Escenarios!$E$17&gt;0,Observaciones!$K247,0)</f>
        <v>0</v>
      </c>
      <c r="BC248" s="170">
        <f>IF(Escenarios!$E$17&gt;0,MIN(0.0005*ETo!$M247*Escenarios!$E$17*(BG247/Constantes!$E$40)^(2/3),BG247+AY248+AZ248+BA248+BB248),0)</f>
        <v>3.1631842852745269</v>
      </c>
      <c r="BD248" s="170">
        <f>IF(Escenarios!$E$17&gt;0,MIN(Constantes!$E$39*(BG247/Constantes!$E$40)^(2/3),BG247+AY248+AZ248+BA248+BB248-BC248),0)</f>
        <v>6.461623950788395</v>
      </c>
      <c r="BE248" s="170">
        <f>IF(Escenarios!$E$17&gt;0,MIN(Entradas!$E$113,BG247+AY248+AZ248+BA248+BB248-BC248-BD248),0)</f>
        <v>1</v>
      </c>
      <c r="BF248" s="170">
        <f>IF(Escenarios!$E$17&gt;0,MAX(0,BG247+AY248+AZ248+BA248+BB248-BC248-BD248-BE248-Constantes!$E$40),0)</f>
        <v>0</v>
      </c>
      <c r="BG248" s="170">
        <f t="shared" si="54"/>
        <v>142.40861032618614</v>
      </c>
      <c r="BH248" s="170">
        <f>(Escenarios!$E$16*AK248+0.1*BC248)/(Escenarios!$E$19)</f>
        <v>1.8118220148855011E-3</v>
      </c>
      <c r="BI248" s="170">
        <f>IF(Escenarios!$E$17&gt;0,BF248/10/Escenarios!$E$19,AL248)</f>
        <v>0</v>
      </c>
      <c r="BJ248" s="170">
        <f>(Escenarios!$E$16*AT248+0.1*BD248)/(Escenarios!$E$19)</f>
        <v>2.5641364884080933E-3</v>
      </c>
      <c r="BK248" s="76">
        <f>BK247+(0.1*BD248)/(Escenarios!$E$19)-BL247</f>
        <v>49.761961417806738</v>
      </c>
      <c r="BL248" s="76">
        <f>MAX(0,(BK248-Constantes!$D$13)*(1-EXP(-Constantes!$D$23)))</f>
        <v>9.9710968800808941E-3</v>
      </c>
      <c r="BM248" s="76">
        <f t="shared" si="50"/>
        <v>0.28840770906485969</v>
      </c>
      <c r="BN248" s="76">
        <f t="shared" si="55"/>
        <v>0.28840770906485969</v>
      </c>
      <c r="BO248" s="76">
        <f>0.0526*BI248*Observaciones!$F247^1.218</f>
        <v>0</v>
      </c>
      <c r="BP248" s="76">
        <f>BO248*Constantes!$E$51</f>
        <v>0</v>
      </c>
      <c r="BQ248" s="76">
        <f t="shared" si="51"/>
        <v>0</v>
      </c>
      <c r="BR248" s="40"/>
    </row>
    <row r="249" spans="1:70">
      <c r="A249" s="147"/>
      <c r="B249" s="39"/>
      <c r="C249" s="75">
        <v>243</v>
      </c>
      <c r="D249" s="146">
        <f>ETo!$I248*((1-Constantes!$E$19)*ETo!$K248+ETo!$L248)</f>
        <v>3.4026749875244282</v>
      </c>
      <c r="E249" s="76">
        <f>MIN(D249*Constantes!$E$17,0.8*(N248+Observaciones!$F248-F249-M249-Constantes!$D$14))</f>
        <v>-1.3565479656824664E-2</v>
      </c>
      <c r="F249" s="76">
        <f>IF(Observaciones!$F248&gt;0.05*Constantes!$E$18,((Observaciones!$F248-0.05*Constantes!$E$18)^2)/(Observaciones!$F248+0.95*Constantes!$E$18),0)</f>
        <v>0</v>
      </c>
      <c r="G249" s="76">
        <f>IF(Escenarios!$E$11&gt;0,(F249*Escenarios!$E$16*10000)/1000,0)</f>
        <v>0</v>
      </c>
      <c r="H249" s="76">
        <f>IF(Escenarios!$E$11&gt;0,(Observaciones!$F248*Constantes!$E$29)/1000,0)</f>
        <v>0</v>
      </c>
      <c r="I249" s="76">
        <f>IF(Escenarios!$E$11&gt;0,(D249*Constantes!$E$29)/1000,0)</f>
        <v>34.026749875244285</v>
      </c>
      <c r="J249" s="76">
        <f>IF(Escenarios!$E$11&gt;0,MAX(0,G249+H249-I249),0)</f>
        <v>0</v>
      </c>
      <c r="K249" s="76">
        <f>IF(Escenarios!$E$11&gt;0,IF(J249&gt;Constantes!$E$30,1000*((J249-Constantes!$E$30)/(Escenarios!$E$16*10000)),0),F249)</f>
        <v>0</v>
      </c>
      <c r="L249" s="76">
        <f>IF(Escenarios!$E$11&gt;0,I249*1000/Escenarios!$E$16/10000+E249,E249)</f>
        <v>4.5220293273050272E-5</v>
      </c>
      <c r="M249" s="76">
        <f>MAX(0,N248+Observaciones!$F248-K249-Constantes!$D$13)</f>
        <v>0</v>
      </c>
      <c r="N249" s="76">
        <f>N248+Observaciones!$F248-K249-L249-M249-O248</f>
        <v>11.232997930135696</v>
      </c>
      <c r="O249" s="76">
        <f>MAX(0,(N249-Constantes!$D$14)*(1-EXP(-Constantes!$D$22)))</f>
        <v>0</v>
      </c>
      <c r="P249" s="170">
        <f>P248+(Entradas!$E$83*M249-Q248)/(800*Entradas!$D$25)</f>
        <v>0</v>
      </c>
      <c r="Q249" s="170">
        <f>8000*Entradas!$D$26*P249/Constantes!$E$45</f>
        <v>0</v>
      </c>
      <c r="R249" s="170">
        <f>IF(Escenarios!$E$14&gt;0,K249*Escenarios!$E$13/Escenarios!$E$14,0)</f>
        <v>0</v>
      </c>
      <c r="S249" s="170">
        <f>IF(Escenarios!$E$14&gt;0,Q249*Escenarios!$E$13/Escenarios!$E$14,0)</f>
        <v>0</v>
      </c>
      <c r="T249" s="170">
        <f>IF(Escenarios!$E$14&gt;0,Observaciones!$I248,0)</f>
        <v>0</v>
      </c>
      <c r="U249" s="170">
        <f>IF(Escenarios!$E$14&gt;0,MAX(0,Constantes!$E$36/((Z248+R249+S249+T249+Observaciones!$F248)^2)+Entradas!$E$77),0)</f>
        <v>0</v>
      </c>
      <c r="V249" s="146">
        <f>IF(ETo!D248&gt;0,ETo!I248*((1-Entradas!$E$81)*ETo!K248+ETo!L248),0)</f>
        <v>3.0914027304329901</v>
      </c>
      <c r="W249" s="170">
        <f>IF(Escenarios!$E$14&gt;0,MIN(V249*1,0.8*(Z248+R249+S249+T249+Observaciones!$F248-U249-Constantes!$E$35)),0)</f>
        <v>4.3257841753074899E-10</v>
      </c>
      <c r="X249" s="170">
        <f>IF(Escenarios!$E$14&gt;0,Observaciones!$J248,0)</f>
        <v>0</v>
      </c>
      <c r="Y249" s="170">
        <f>IF(Escenarios!$E$14&gt;0,MAX(0,Z248+R249+S249+T249+Observaciones!$F248-U249-W249-X249-Constantes!$E$33),0)</f>
        <v>0</v>
      </c>
      <c r="Z249" s="170">
        <f>Z248+R249+S249+T249+Observaciones!$F248-U249-W249-Y249</f>
        <v>41.250000000108145</v>
      </c>
      <c r="AA249" s="170">
        <f>IF(Escenarios!$E$14&gt;0,(Escenarios!$E$13*L249+Escenarios!$E$14*W249)/(Escenarios!$E$16),L249)</f>
        <v>3.9793909989694346E-5</v>
      </c>
      <c r="AB249" s="170">
        <f>IF(Escenarios!$E$14&gt;0,(Escenarios!$E$14*Y249)/(Escenarios!$E$16),K249)</f>
        <v>0</v>
      </c>
      <c r="AC249" s="170">
        <f>IF(Escenarios!$E$14&gt;0,(Escenarios!$E$13*M249+Escenarios!$E$14*U249)/(Escenarios!$E$16),M249)</f>
        <v>0</v>
      </c>
      <c r="AD249" s="76">
        <f t="shared" si="43"/>
        <v>76.729949824586825</v>
      </c>
      <c r="AE249" s="76">
        <f>MAX(0,(AD249-Constantes!$D$13)*(1-EXP(-Constantes!$D$23)))</f>
        <v>0.27569310992648799</v>
      </c>
      <c r="AF249" s="76">
        <f>AB249+O249*Escenarios!$E$13/Escenarios!$E$16+AE249</f>
        <v>0.27569310992648799</v>
      </c>
      <c r="AG249" s="76">
        <f>IF(Entradas!$E$91&gt;0,IF(AF249-Escenarios!$E$38&lt;=0,0,IF(AF249-Escenarios!$E$38&gt;Escenarios!$E$37,Escenarios!$E$37,AF249-Escenarios!$E$38)),0)</f>
        <v>0</v>
      </c>
      <c r="AH249" s="76">
        <f>AG249*Entradas!$E$99</f>
        <v>0</v>
      </c>
      <c r="AI249" s="76">
        <f>IF(Entradas!$E$91&gt;0,D249*Entradas!$D$23/Escenarios!$E$16,0)</f>
        <v>0</v>
      </c>
      <c r="AJ249" s="76">
        <f>IF(Entradas!$E$91&gt;0,Entradas!$D$24*Entradas!$D$22/Escenarios!$E$16,0)</f>
        <v>0</v>
      </c>
      <c r="AK249" s="76">
        <f t="shared" si="52"/>
        <v>3.9793909989694346E-5</v>
      </c>
      <c r="AL249" s="76">
        <f t="shared" si="53"/>
        <v>0</v>
      </c>
      <c r="AM249" s="76">
        <f t="shared" si="44"/>
        <v>0</v>
      </c>
      <c r="AN249" s="76">
        <f>MAX(0,O249*Escenarios!$E$13/Escenarios!$E$16-AM249)</f>
        <v>0</v>
      </c>
      <c r="AO249" s="76">
        <f>AM249+AN249-O249*Escenarios!$E$13/Escenarios!$E$16</f>
        <v>0</v>
      </c>
      <c r="AP249" s="76">
        <f t="shared" si="42"/>
        <v>0.27569310992648799</v>
      </c>
      <c r="AQ249" s="76">
        <f t="shared" si="45"/>
        <v>0</v>
      </c>
      <c r="AR249" s="76">
        <f t="shared" si="46"/>
        <v>0.27569310992648799</v>
      </c>
      <c r="AS249" s="76">
        <f t="shared" si="47"/>
        <v>0</v>
      </c>
      <c r="AT249" s="76">
        <f t="shared" si="48"/>
        <v>0</v>
      </c>
      <c r="AU249" s="76">
        <f t="shared" si="49"/>
        <v>48.75</v>
      </c>
      <c r="AV249" s="76">
        <f>MAX(0,(AU249-Constantes!$D$13)*(1-EXP(-Constantes!$D$24)))</f>
        <v>0</v>
      </c>
      <c r="AW249" s="170">
        <f>AW248+(Entradas!$E$112*AT249-AX248)/(800*Entradas!$D$25)</f>
        <v>0</v>
      </c>
      <c r="AX249" s="170">
        <f>8000*Entradas!$D$26*AW249/Constantes!$E$45</f>
        <v>0</v>
      </c>
      <c r="AY249" s="170">
        <f>IF(Escenarios!$E$17&gt;0,10*Escenarios!$E$16*AL249,0)</f>
        <v>0</v>
      </c>
      <c r="AZ249" s="170">
        <f>IF(Escenarios!$E$17&gt;0,10*Escenarios!$E$16*AX249,0)</f>
        <v>0</v>
      </c>
      <c r="BA249" s="170">
        <f>IF(Escenarios!$E$17&gt;0,0.001*Observaciones!$F248*Escenarios!$E$17,0)</f>
        <v>0</v>
      </c>
      <c r="BB249" s="170">
        <f>IF(Escenarios!$E$17&gt;0,Observaciones!$K248,0)</f>
        <v>0</v>
      </c>
      <c r="BC249" s="170">
        <f>IF(Escenarios!$E$17&gt;0,MIN(0.0005*ETo!$M248*Escenarios!$E$17*(BG248/Constantes!$E$40)^(2/3),BG248+AY249+AZ249+BA249+BB249),0)</f>
        <v>2.9967031774979667</v>
      </c>
      <c r="BD249" s="170">
        <f>IF(Escenarios!$E$17&gt;0,MIN(Constantes!$E$39*(BG248/Constantes!$E$40)^(2/3),BG248+AY249+AZ249+BA249+BB249-BC249),0)</f>
        <v>6.15897335626107</v>
      </c>
      <c r="BE249" s="170">
        <f>IF(Escenarios!$E$17&gt;0,MIN(Entradas!$E$113,BG248+AY249+AZ249+BA249+BB249-BC249-BD249),0)</f>
        <v>1</v>
      </c>
      <c r="BF249" s="170">
        <f>IF(Escenarios!$E$17&gt;0,MAX(0,BG248+AY249+AZ249+BA249+BB249-BC249-BD249-BE249-Constantes!$E$40),0)</f>
        <v>0</v>
      </c>
      <c r="BG249" s="170">
        <f t="shared" si="54"/>
        <v>132.25293379242709</v>
      </c>
      <c r="BH249" s="170">
        <f>(Escenarios!$E$16*AK249+0.1*BC249)/(Escenarios!$E$19)</f>
        <v>1.2286460128857945E-3</v>
      </c>
      <c r="BI249" s="170">
        <f>IF(Escenarios!$E$17&gt;0,BF249/10/Escenarios!$E$19,AL249)</f>
        <v>0</v>
      </c>
      <c r="BJ249" s="170">
        <f>(Escenarios!$E$16*AT249+0.1*BD249)/(Escenarios!$E$19)</f>
        <v>2.4440370461353456E-3</v>
      </c>
      <c r="BK249" s="76">
        <f>BK248+(0.1*BD249)/(Escenarios!$E$19)-BL248</f>
        <v>49.754434357972791</v>
      </c>
      <c r="BL249" s="76">
        <f>MAX(0,(BK249-Constantes!$D$13)*(1-EXP(-Constantes!$D$23)))</f>
        <v>9.8969309667310372E-3</v>
      </c>
      <c r="BM249" s="76">
        <f t="shared" si="50"/>
        <v>0.28559004089321904</v>
      </c>
      <c r="BN249" s="76">
        <f t="shared" si="55"/>
        <v>0.28559004089321904</v>
      </c>
      <c r="BO249" s="76">
        <f>0.0526*BI249*Observaciones!$F248^1.218</f>
        <v>0</v>
      </c>
      <c r="BP249" s="76">
        <f>BO249*Constantes!$E$51</f>
        <v>0</v>
      </c>
      <c r="BQ249" s="76">
        <f t="shared" si="51"/>
        <v>0</v>
      </c>
      <c r="BR249" s="40"/>
    </row>
    <row r="250" spans="1:70">
      <c r="A250" s="147"/>
      <c r="B250" s="39"/>
      <c r="C250" s="75">
        <v>244</v>
      </c>
      <c r="D250" s="146">
        <f>ETo!$I249*((1-Constantes!$E$19)*ETo!$K249+ETo!$L249)</f>
        <v>3.4890955891074036</v>
      </c>
      <c r="E250" s="76">
        <f>MIN(D250*Constantes!$E$17,0.8*(N249+Observaciones!$F249-F250-M250-Constantes!$D$14))</f>
        <v>-1.3601655891443444E-2</v>
      </c>
      <c r="F250" s="76">
        <f>IF(Observaciones!$F249&gt;0.05*Constantes!$E$18,((Observaciones!$F249-0.05*Constantes!$E$18)^2)/(Observaciones!$F249+0.95*Constantes!$E$18),0)</f>
        <v>0</v>
      </c>
      <c r="G250" s="76">
        <f>IF(Escenarios!$E$11&gt;0,(F250*Escenarios!$E$16*10000)/1000,0)</f>
        <v>0</v>
      </c>
      <c r="H250" s="76">
        <f>IF(Escenarios!$E$11&gt;0,(Observaciones!$F249*Constantes!$E$29)/1000,0)</f>
        <v>0</v>
      </c>
      <c r="I250" s="76">
        <f>IF(Escenarios!$E$11&gt;0,(D250*Constantes!$E$29)/1000,0)</f>
        <v>34.890955891074036</v>
      </c>
      <c r="J250" s="76">
        <f>IF(Escenarios!$E$11&gt;0,MAX(0,G250+H250-I250),0)</f>
        <v>0</v>
      </c>
      <c r="K250" s="76">
        <f>IF(Escenarios!$E$11&gt;0,IF(J250&gt;Constantes!$E$30,1000*((J250-Constantes!$E$30)/(Escenarios!$E$16*10000)),0),F250)</f>
        <v>0</v>
      </c>
      <c r="L250" s="76">
        <f>IF(Escenarios!$E$11&gt;0,I250*1000/Escenarios!$E$16/10000+E250,E250)</f>
        <v>3.5472646498617075E-4</v>
      </c>
      <c r="M250" s="76">
        <f>MAX(0,N249+Observaciones!$F249-K250-Constantes!$D$13)</f>
        <v>0</v>
      </c>
      <c r="N250" s="76">
        <f>N249+Observaciones!$F249-K250-L250-M250-O249</f>
        <v>11.23264320367071</v>
      </c>
      <c r="O250" s="76">
        <f>MAX(0,(N250-Constantes!$D$14)*(1-EXP(-Constantes!$D$22)))</f>
        <v>0</v>
      </c>
      <c r="P250" s="170">
        <f>P249+(Entradas!$E$83*M250-Q249)/(800*Entradas!$D$25)</f>
        <v>0</v>
      </c>
      <c r="Q250" s="170">
        <f>8000*Entradas!$D$26*P250/Constantes!$E$45</f>
        <v>0</v>
      </c>
      <c r="R250" s="170">
        <f>IF(Escenarios!$E$14&gt;0,K250*Escenarios!$E$13/Escenarios!$E$14,0)</f>
        <v>0</v>
      </c>
      <c r="S250" s="170">
        <f>IF(Escenarios!$E$14&gt;0,Q250*Escenarios!$E$13/Escenarios!$E$14,0)</f>
        <v>0</v>
      </c>
      <c r="T250" s="170">
        <f>IF(Escenarios!$E$14&gt;0,Observaciones!$I249,0)</f>
        <v>0</v>
      </c>
      <c r="U250" s="170">
        <f>IF(Escenarios!$E$14&gt;0,MAX(0,Constantes!$E$36/((Z249+R250+S250+T250+Observaciones!$F249)^2)+Entradas!$E$77),0)</f>
        <v>0</v>
      </c>
      <c r="V250" s="146">
        <f>IF(ETo!D249&gt;0,ETo!I249*((1-Entradas!$E$81)*ETo!K249+ETo!L249),0)</f>
        <v>3.1710158922764857</v>
      </c>
      <c r="W250" s="170">
        <f>IF(Escenarios!$E$14&gt;0,MIN(V250*1,0.8*(Z249+R250+S250+T250+Observaciones!$F249-U250-Constantes!$E$35)),0)</f>
        <v>8.6515683506149799E-11</v>
      </c>
      <c r="X250" s="170">
        <f>IF(Escenarios!$E$14&gt;0,Observaciones!$J249,0)</f>
        <v>0</v>
      </c>
      <c r="Y250" s="170">
        <f>IF(Escenarios!$E$14&gt;0,MAX(0,Z249+R250+S250+T250+Observaciones!$F249-U250-W250-X250-Constantes!$E$33),0)</f>
        <v>0</v>
      </c>
      <c r="Z250" s="170">
        <f>Z249+R250+S250+T250+Observaciones!$F249-U250-W250-Y250</f>
        <v>41.250000000021629</v>
      </c>
      <c r="AA250" s="170">
        <f>IF(Escenarios!$E$14&gt;0,(Escenarios!$E$13*L250+Escenarios!$E$14*W250)/(Escenarios!$E$16),L250)</f>
        <v>3.121592995697123E-4</v>
      </c>
      <c r="AB250" s="170">
        <f>IF(Escenarios!$E$14&gt;0,(Escenarios!$E$14*Y250)/(Escenarios!$E$16),K250)</f>
        <v>0</v>
      </c>
      <c r="AC250" s="170">
        <f>IF(Escenarios!$E$14&gt;0,(Escenarios!$E$13*M250+Escenarios!$E$14*U250)/(Escenarios!$E$16),M250)</f>
        <v>0</v>
      </c>
      <c r="AD250" s="76">
        <f t="shared" si="43"/>
        <v>76.454256714660332</v>
      </c>
      <c r="AE250" s="76">
        <f>MAX(0,(AD250-Constantes!$D$13)*(1-EXP(-Constantes!$D$23)))</f>
        <v>0.27297664004939942</v>
      </c>
      <c r="AF250" s="76">
        <f>AB250+O250*Escenarios!$E$13/Escenarios!$E$16+AE250</f>
        <v>0.27297664004939942</v>
      </c>
      <c r="AG250" s="76">
        <f>IF(Entradas!$E$91&gt;0,IF(AF250-Escenarios!$E$38&lt;=0,0,IF(AF250-Escenarios!$E$38&gt;Escenarios!$E$37,Escenarios!$E$37,AF250-Escenarios!$E$38)),0)</f>
        <v>0</v>
      </c>
      <c r="AH250" s="76">
        <f>AG250*Entradas!$E$99</f>
        <v>0</v>
      </c>
      <c r="AI250" s="76">
        <f>IF(Entradas!$E$91&gt;0,D250*Entradas!$D$23/Escenarios!$E$16,0)</f>
        <v>0</v>
      </c>
      <c r="AJ250" s="76">
        <f>IF(Entradas!$E$91&gt;0,Entradas!$D$24*Entradas!$D$22/Escenarios!$E$16,0)</f>
        <v>0</v>
      </c>
      <c r="AK250" s="76">
        <f t="shared" si="52"/>
        <v>3.121592995697123E-4</v>
      </c>
      <c r="AL250" s="76">
        <f t="shared" si="53"/>
        <v>0</v>
      </c>
      <c r="AM250" s="76">
        <f t="shared" si="44"/>
        <v>0</v>
      </c>
      <c r="AN250" s="76">
        <f>MAX(0,O250*Escenarios!$E$13/Escenarios!$E$16-AM250)</f>
        <v>0</v>
      </c>
      <c r="AO250" s="76">
        <f>AM250+AN250-O250*Escenarios!$E$13/Escenarios!$E$16</f>
        <v>0</v>
      </c>
      <c r="AP250" s="76">
        <f t="shared" si="42"/>
        <v>0.27297664004939942</v>
      </c>
      <c r="AQ250" s="76">
        <f t="shared" si="45"/>
        <v>0</v>
      </c>
      <c r="AR250" s="76">
        <f t="shared" si="46"/>
        <v>0.27297664004939942</v>
      </c>
      <c r="AS250" s="76">
        <f t="shared" si="47"/>
        <v>0</v>
      </c>
      <c r="AT250" s="76">
        <f t="shared" si="48"/>
        <v>0</v>
      </c>
      <c r="AU250" s="76">
        <f t="shared" si="49"/>
        <v>48.75</v>
      </c>
      <c r="AV250" s="76">
        <f>MAX(0,(AU250-Constantes!$D$13)*(1-EXP(-Constantes!$D$24)))</f>
        <v>0</v>
      </c>
      <c r="AW250" s="170">
        <f>AW249+(Entradas!$E$112*AT250-AX249)/(800*Entradas!$D$25)</f>
        <v>0</v>
      </c>
      <c r="AX250" s="170">
        <f>8000*Entradas!$D$26*AW250/Constantes!$E$45</f>
        <v>0</v>
      </c>
      <c r="AY250" s="170">
        <f>IF(Escenarios!$E$17&gt;0,10*Escenarios!$E$16*AL250,0)</f>
        <v>0</v>
      </c>
      <c r="AZ250" s="170">
        <f>IF(Escenarios!$E$17&gt;0,10*Escenarios!$E$16*AX250,0)</f>
        <v>0</v>
      </c>
      <c r="BA250" s="170">
        <f>IF(Escenarios!$E$17&gt;0,0.001*Observaciones!$F249*Escenarios!$E$17,0)</f>
        <v>0</v>
      </c>
      <c r="BB250" s="170">
        <f>IF(Escenarios!$E$17&gt;0,Observaciones!$K249,0)</f>
        <v>0</v>
      </c>
      <c r="BC250" s="170">
        <f>IF(Escenarios!$E$17&gt;0,MIN(0.0005*ETo!$M249*Escenarios!$E$17*(BG249/Constantes!$E$40)^(2/3),BG249+AY250+AZ250+BA250+BB250),0)</f>
        <v>2.9236638341304788</v>
      </c>
      <c r="BD250" s="170">
        <f>IF(Escenarios!$E$17&gt;0,MIN(Constantes!$E$39*(BG249/Constantes!$E$40)^(2/3),BG249+AY250+AZ250+BA250+BB250-BC250),0)</f>
        <v>5.8625654323616221</v>
      </c>
      <c r="BE250" s="170">
        <f>IF(Escenarios!$E$17&gt;0,MIN(Entradas!$E$113,BG249+AY250+AZ250+BA250+BB250-BC250-BD250),0)</f>
        <v>1</v>
      </c>
      <c r="BF250" s="170">
        <f>IF(Escenarios!$E$17&gt;0,MAX(0,BG249+AY250+AZ250+BA250+BB250-BC250-BD250-BE250-Constantes!$E$40),0)</f>
        <v>0</v>
      </c>
      <c r="BG250" s="170">
        <f t="shared" si="54"/>
        <v>122.46670452593499</v>
      </c>
      <c r="BH250" s="170">
        <f>(Escenarios!$E$16*AK250+0.1*BC250)/(Escenarios!$E$19)</f>
        <v>1.4698659059741109E-3</v>
      </c>
      <c r="BI250" s="170">
        <f>IF(Escenarios!$E$17&gt;0,BF250/10/Escenarios!$E$19,AL250)</f>
        <v>0</v>
      </c>
      <c r="BJ250" s="170">
        <f>(Escenarios!$E$16*AT250+0.1*BD250)/(Escenarios!$E$19)</f>
        <v>2.326414854111755E-3</v>
      </c>
      <c r="BK250" s="76">
        <f>BK249+(0.1*BD250)/(Escenarios!$E$19)-BL249</f>
        <v>49.746863841860169</v>
      </c>
      <c r="BL250" s="76">
        <f>MAX(0,(BK250-Constantes!$D$13)*(1-EXP(-Constantes!$D$23)))</f>
        <v>9.8223368683169141E-3</v>
      </c>
      <c r="BM250" s="76">
        <f t="shared" si="50"/>
        <v>0.28279897691771633</v>
      </c>
      <c r="BN250" s="76">
        <f t="shared" si="55"/>
        <v>0.28279897691771633</v>
      </c>
      <c r="BO250" s="76">
        <f>0.0526*BI250*Observaciones!$F249^1.218</f>
        <v>0</v>
      </c>
      <c r="BP250" s="76">
        <f>BO250*Constantes!$E$51</f>
        <v>0</v>
      </c>
      <c r="BQ250" s="76">
        <f t="shared" si="51"/>
        <v>0</v>
      </c>
      <c r="BR250" s="40"/>
    </row>
    <row r="251" spans="1:70">
      <c r="A251" s="147"/>
      <c r="B251" s="39"/>
      <c r="C251" s="75">
        <v>245</v>
      </c>
      <c r="D251" s="146">
        <f>ETo!$I250*((1-Constantes!$E$19)*ETo!$K250+ETo!$L250)</f>
        <v>3.4835003852598567</v>
      </c>
      <c r="E251" s="76">
        <f>MIN(D251*Constantes!$E$17,0.8*(N250+Observaciones!$F250-F251-M251-Constantes!$D$14))</f>
        <v>-1.3885437063431995E-2</v>
      </c>
      <c r="F251" s="76">
        <f>IF(Observaciones!$F250&gt;0.05*Constantes!$E$18,((Observaciones!$F250-0.05*Constantes!$E$18)^2)/(Observaciones!$F250+0.95*Constantes!$E$18),0)</f>
        <v>0</v>
      </c>
      <c r="G251" s="76">
        <f>IF(Escenarios!$E$11&gt;0,(F251*Escenarios!$E$16*10000)/1000,0)</f>
        <v>0</v>
      </c>
      <c r="H251" s="76">
        <f>IF(Escenarios!$E$11&gt;0,(Observaciones!$F250*Constantes!$E$29)/1000,0)</f>
        <v>0</v>
      </c>
      <c r="I251" s="76">
        <f>IF(Escenarios!$E$11&gt;0,(D251*Constantes!$E$29)/1000,0)</f>
        <v>34.835003852598568</v>
      </c>
      <c r="J251" s="76">
        <f>IF(Escenarios!$E$11&gt;0,MAX(0,G251+H251-I251),0)</f>
        <v>0</v>
      </c>
      <c r="K251" s="76">
        <f>IF(Escenarios!$E$11&gt;0,IF(J251&gt;Constantes!$E$30,1000*((J251-Constantes!$E$30)/(Escenarios!$E$16*10000)),0),F251)</f>
        <v>0</v>
      </c>
      <c r="L251" s="76">
        <f>IF(Escenarios!$E$11&gt;0,I251*1000/Escenarios!$E$16/10000+E251,E251)</f>
        <v>4.8564477607431975E-5</v>
      </c>
      <c r="M251" s="76">
        <f>MAX(0,N250+Observaciones!$F250-K251-Constantes!$D$13)</f>
        <v>0</v>
      </c>
      <c r="N251" s="76">
        <f>N250+Observaciones!$F250-K251-L251-M251-O250</f>
        <v>11.232594639193103</v>
      </c>
      <c r="O251" s="76">
        <f>MAX(0,(N251-Constantes!$D$14)*(1-EXP(-Constantes!$D$22)))</f>
        <v>0</v>
      </c>
      <c r="P251" s="170">
        <f>P250+(Entradas!$E$83*M251-Q250)/(800*Entradas!$D$25)</f>
        <v>0</v>
      </c>
      <c r="Q251" s="170">
        <f>8000*Entradas!$D$26*P251/Constantes!$E$45</f>
        <v>0</v>
      </c>
      <c r="R251" s="170">
        <f>IF(Escenarios!$E$14&gt;0,K251*Escenarios!$E$13/Escenarios!$E$14,0)</f>
        <v>0</v>
      </c>
      <c r="S251" s="170">
        <f>IF(Escenarios!$E$14&gt;0,Q251*Escenarios!$E$13/Escenarios!$E$14,0)</f>
        <v>0</v>
      </c>
      <c r="T251" s="170">
        <f>IF(Escenarios!$E$14&gt;0,Observaciones!$I250,0)</f>
        <v>0</v>
      </c>
      <c r="U251" s="170">
        <f>IF(Escenarios!$E$14&gt;0,MAX(0,Constantes!$E$36/((Z250+R251+S251+T251+Observaciones!$F250)^2)+Entradas!$E$77),0)</f>
        <v>0</v>
      </c>
      <c r="V251" s="146">
        <f>IF(ETo!D250&gt;0,ETo!I250*((1-Entradas!$E$81)*ETo!K250+ETo!L250),0)</f>
        <v>3.1661968772485185</v>
      </c>
      <c r="W251" s="170">
        <f>IF(Escenarios!$E$14&gt;0,MIN(V251*1,0.8*(Z250+R251+S251+T251+Observaciones!$F250-U251-Constantes!$E$35)),0)</f>
        <v>1.7303136701229962E-11</v>
      </c>
      <c r="X251" s="170">
        <f>IF(Escenarios!$E$14&gt;0,Observaciones!$J250,0)</f>
        <v>0</v>
      </c>
      <c r="Y251" s="170">
        <f>IF(Escenarios!$E$14&gt;0,MAX(0,Z250+R251+S251+T251+Observaciones!$F250-U251-W251-X251-Constantes!$E$33),0)</f>
        <v>0</v>
      </c>
      <c r="Z251" s="170">
        <f>Z250+R251+S251+T251+Observaciones!$F250-U251-W251-Y251</f>
        <v>41.250000000004327</v>
      </c>
      <c r="AA251" s="170">
        <f>IF(Escenarios!$E$14&gt;0,(Escenarios!$E$13*L251+Escenarios!$E$14*W251)/(Escenarios!$E$16),L251)</f>
        <v>4.2736742370916543E-5</v>
      </c>
      <c r="AB251" s="170">
        <f>IF(Escenarios!$E$14&gt;0,(Escenarios!$E$14*Y251)/(Escenarios!$E$16),K251)</f>
        <v>0</v>
      </c>
      <c r="AC251" s="170">
        <f>IF(Escenarios!$E$14&gt;0,(Escenarios!$E$13*M251+Escenarios!$E$14*U251)/(Escenarios!$E$16),M251)</f>
        <v>0</v>
      </c>
      <c r="AD251" s="76">
        <f t="shared" si="43"/>
        <v>76.181280074610939</v>
      </c>
      <c r="AE251" s="76">
        <f>MAX(0,(AD251-Constantes!$D$13)*(1-EXP(-Constantes!$D$23)))</f>
        <v>0.2702869361970226</v>
      </c>
      <c r="AF251" s="76">
        <f>AB251+O251*Escenarios!$E$13/Escenarios!$E$16+AE251</f>
        <v>0.2702869361970226</v>
      </c>
      <c r="AG251" s="76">
        <f>IF(Entradas!$E$91&gt;0,IF(AF251-Escenarios!$E$38&lt;=0,0,IF(AF251-Escenarios!$E$38&gt;Escenarios!$E$37,Escenarios!$E$37,AF251-Escenarios!$E$38)),0)</f>
        <v>0</v>
      </c>
      <c r="AH251" s="76">
        <f>AG251*Entradas!$E$99</f>
        <v>0</v>
      </c>
      <c r="AI251" s="76">
        <f>IF(Entradas!$E$91&gt;0,D251*Entradas!$D$23/Escenarios!$E$16,0)</f>
        <v>0</v>
      </c>
      <c r="AJ251" s="76">
        <f>IF(Entradas!$E$91&gt;0,Entradas!$D$24*Entradas!$D$22/Escenarios!$E$16,0)</f>
        <v>0</v>
      </c>
      <c r="AK251" s="76">
        <f t="shared" si="52"/>
        <v>4.2736742370916543E-5</v>
      </c>
      <c r="AL251" s="76">
        <f t="shared" si="53"/>
        <v>0</v>
      </c>
      <c r="AM251" s="76">
        <f t="shared" si="44"/>
        <v>0</v>
      </c>
      <c r="AN251" s="76">
        <f>MAX(0,O251*Escenarios!$E$13/Escenarios!$E$16-AM251)</f>
        <v>0</v>
      </c>
      <c r="AO251" s="76">
        <f>AM251+AN251-O251*Escenarios!$E$13/Escenarios!$E$16</f>
        <v>0</v>
      </c>
      <c r="AP251" s="76">
        <f t="shared" si="42"/>
        <v>0.2702869361970226</v>
      </c>
      <c r="AQ251" s="76">
        <f t="shared" si="45"/>
        <v>0</v>
      </c>
      <c r="AR251" s="76">
        <f t="shared" si="46"/>
        <v>0.2702869361970226</v>
      </c>
      <c r="AS251" s="76">
        <f t="shared" si="47"/>
        <v>0</v>
      </c>
      <c r="AT251" s="76">
        <f t="shared" si="48"/>
        <v>0</v>
      </c>
      <c r="AU251" s="76">
        <f t="shared" si="49"/>
        <v>48.75</v>
      </c>
      <c r="AV251" s="76">
        <f>MAX(0,(AU251-Constantes!$D$13)*(1-EXP(-Constantes!$D$24)))</f>
        <v>0</v>
      </c>
      <c r="AW251" s="170">
        <f>AW250+(Entradas!$E$112*AT251-AX250)/(800*Entradas!$D$25)</f>
        <v>0</v>
      </c>
      <c r="AX251" s="170">
        <f>8000*Entradas!$D$26*AW251/Constantes!$E$45</f>
        <v>0</v>
      </c>
      <c r="AY251" s="170">
        <f>IF(Escenarios!$E$17&gt;0,10*Escenarios!$E$16*AL251,0)</f>
        <v>0</v>
      </c>
      <c r="AZ251" s="170">
        <f>IF(Escenarios!$E$17&gt;0,10*Escenarios!$E$16*AX251,0)</f>
        <v>0</v>
      </c>
      <c r="BA251" s="170">
        <f>IF(Escenarios!$E$17&gt;0,0.001*Observaciones!$F250*Escenarios!$E$17,0)</f>
        <v>0</v>
      </c>
      <c r="BB251" s="170">
        <f>IF(Escenarios!$E$17&gt;0,Observaciones!$K250,0)</f>
        <v>0</v>
      </c>
      <c r="BC251" s="170">
        <f>IF(Escenarios!$E$17&gt;0,MIN(0.0005*ETo!$M250*Escenarios!$E$17*(BG250/Constantes!$E$40)^(2/3),BG250+AY251+AZ251+BA251+BB251),0)</f>
        <v>2.7728513289558046</v>
      </c>
      <c r="BD251" s="170">
        <f>IF(Escenarios!$E$17&gt;0,MIN(Constantes!$E$39*(BG250/Constantes!$E$40)^(2/3),BG250+AY251+AZ251+BA251+BB251-BC251),0)</f>
        <v>5.5696706388771116</v>
      </c>
      <c r="BE251" s="170">
        <f>IF(Escenarios!$E$17&gt;0,MIN(Entradas!$E$113,BG250+AY251+AZ251+BA251+BB251-BC251-BD251),0)</f>
        <v>1</v>
      </c>
      <c r="BF251" s="170">
        <f>IF(Escenarios!$E$17&gt;0,MAX(0,BG250+AY251+AZ251+BA251+BB251-BC251-BD251-BE251-Constantes!$E$40),0)</f>
        <v>0</v>
      </c>
      <c r="BG251" s="170">
        <f t="shared" si="54"/>
        <v>113.12418255810206</v>
      </c>
      <c r="BH251" s="170">
        <f>(Escenarios!$E$16*AK251+0.1*BC251)/(Escenarios!$E$19)</f>
        <v>1.1427353908266256E-3</v>
      </c>
      <c r="BI251" s="170">
        <f>IF(Escenarios!$E$17&gt;0,BF251/10/Escenarios!$E$19,AL251)</f>
        <v>0</v>
      </c>
      <c r="BJ251" s="170">
        <f>(Escenarios!$E$16*AT251+0.1*BD251)/(Escenarios!$E$19)</f>
        <v>2.2101867614591716E-3</v>
      </c>
      <c r="BK251" s="76">
        <f>BK250+(0.1*BD251)/(Escenarios!$E$19)-BL250</f>
        <v>49.73925169175331</v>
      </c>
      <c r="BL251" s="76">
        <f>MAX(0,(BK251-Constantes!$D$13)*(1-EXP(-Constantes!$D$23)))</f>
        <v>9.7473325402411392E-3</v>
      </c>
      <c r="BM251" s="76">
        <f t="shared" si="50"/>
        <v>0.28003426873726373</v>
      </c>
      <c r="BN251" s="76">
        <f t="shared" si="55"/>
        <v>0.28003426873726373</v>
      </c>
      <c r="BO251" s="76">
        <f>0.0526*BI251*Observaciones!$F250^1.218</f>
        <v>0</v>
      </c>
      <c r="BP251" s="76">
        <f>BO251*Constantes!$E$51</f>
        <v>0</v>
      </c>
      <c r="BQ251" s="76">
        <f t="shared" si="51"/>
        <v>0</v>
      </c>
      <c r="BR251" s="40"/>
    </row>
    <row r="252" spans="1:70">
      <c r="A252" s="147"/>
      <c r="B252" s="39"/>
      <c r="C252" s="75">
        <v>246</v>
      </c>
      <c r="D252" s="146">
        <f>ETo!$I251*((1-Constantes!$E$19)*ETo!$K251+ETo!$L251)</f>
        <v>3.5163360143668627</v>
      </c>
      <c r="E252" s="76">
        <f>MIN(D252*Constantes!$E$17,0.8*(N251+Observaciones!$F251-F252-M252-Constantes!$D$14))</f>
        <v>-1.3924288645517891E-2</v>
      </c>
      <c r="F252" s="76">
        <f>IF(Observaciones!$F251&gt;0.05*Constantes!$E$18,((Observaciones!$F251-0.05*Constantes!$E$18)^2)/(Observaciones!$F251+0.95*Constantes!$E$18),0)</f>
        <v>0</v>
      </c>
      <c r="G252" s="76">
        <f>IF(Escenarios!$E$11&gt;0,(F252*Escenarios!$E$16*10000)/1000,0)</f>
        <v>0</v>
      </c>
      <c r="H252" s="76">
        <f>IF(Escenarios!$E$11&gt;0,(Observaciones!$F251*Constantes!$E$29)/1000,0)</f>
        <v>0</v>
      </c>
      <c r="I252" s="76">
        <f>IF(Escenarios!$E$11&gt;0,(D252*Constantes!$E$29)/1000,0)</f>
        <v>35.163360143668626</v>
      </c>
      <c r="J252" s="76">
        <f>IF(Escenarios!$E$11&gt;0,MAX(0,G252+H252-I252),0)</f>
        <v>0</v>
      </c>
      <c r="K252" s="76">
        <f>IF(Escenarios!$E$11&gt;0,IF(J252&gt;Constantes!$E$30,1000*((J252-Constantes!$E$30)/(Escenarios!$E$16*10000)),0),F252)</f>
        <v>0</v>
      </c>
      <c r="L252" s="76">
        <f>IF(Escenarios!$E$11&gt;0,I252*1000/Escenarios!$E$16/10000+E252,E252)</f>
        <v>1.4105541194955884E-4</v>
      </c>
      <c r="M252" s="76">
        <f>MAX(0,N251+Observaciones!$F251-K252-Constantes!$D$13)</f>
        <v>0</v>
      </c>
      <c r="N252" s="76">
        <f>N251+Observaciones!$F251-K252-L252-M252-O251</f>
        <v>11.232453583781153</v>
      </c>
      <c r="O252" s="76">
        <f>MAX(0,(N252-Constantes!$D$14)*(1-EXP(-Constantes!$D$22)))</f>
        <v>0</v>
      </c>
      <c r="P252" s="170">
        <f>P251+(Entradas!$E$83*M252-Q251)/(800*Entradas!$D$25)</f>
        <v>0</v>
      </c>
      <c r="Q252" s="170">
        <f>8000*Entradas!$D$26*P252/Constantes!$E$45</f>
        <v>0</v>
      </c>
      <c r="R252" s="170">
        <f>IF(Escenarios!$E$14&gt;0,K252*Escenarios!$E$13/Escenarios!$E$14,0)</f>
        <v>0</v>
      </c>
      <c r="S252" s="170">
        <f>IF(Escenarios!$E$14&gt;0,Q252*Escenarios!$E$13/Escenarios!$E$14,0)</f>
        <v>0</v>
      </c>
      <c r="T252" s="170">
        <f>IF(Escenarios!$E$14&gt;0,Observaciones!$I251,0)</f>
        <v>0</v>
      </c>
      <c r="U252" s="170">
        <f>IF(Escenarios!$E$14&gt;0,MAX(0,Constantes!$E$36/((Z251+R252+S252+T252+Observaciones!$F251)^2)+Entradas!$E$77),0)</f>
        <v>0</v>
      </c>
      <c r="V252" s="146">
        <f>IF(ETo!D251&gt;0,ETo!I251*((1-Entradas!$E$81)*ETo!K251+ETo!L251),0)</f>
        <v>3.1966601978385016</v>
      </c>
      <c r="W252" s="170">
        <f>IF(Escenarios!$E$14&gt;0,MIN(V252*1,0.8*(Z251+R252+S252+T252+Observaciones!$F251-U252-Constantes!$E$35)),0)</f>
        <v>3.4617642086232084E-12</v>
      </c>
      <c r="X252" s="170">
        <f>IF(Escenarios!$E$14&gt;0,Observaciones!$J251,0)</f>
        <v>0</v>
      </c>
      <c r="Y252" s="170">
        <f>IF(Escenarios!$E$14&gt;0,MAX(0,Z251+R252+S252+T252+Observaciones!$F251-U252-W252-X252-Constantes!$E$33),0)</f>
        <v>0</v>
      </c>
      <c r="Z252" s="170">
        <f>Z251+R252+S252+T252+Observaciones!$F251-U252-W252-Y252</f>
        <v>41.250000000000867</v>
      </c>
      <c r="AA252" s="170">
        <f>IF(Escenarios!$E$14&gt;0,(Escenarios!$E$13*L252+Escenarios!$E$14*W252)/(Escenarios!$E$16),L252)</f>
        <v>1.2412876293102349E-4</v>
      </c>
      <c r="AB252" s="170">
        <f>IF(Escenarios!$E$14&gt;0,(Escenarios!$E$14*Y252)/(Escenarios!$E$16),K252)</f>
        <v>0</v>
      </c>
      <c r="AC252" s="170">
        <f>IF(Escenarios!$E$14&gt;0,(Escenarios!$E$13*M252+Escenarios!$E$14*U252)/(Escenarios!$E$16),M252)</f>
        <v>0</v>
      </c>
      <c r="AD252" s="76">
        <f t="shared" si="43"/>
        <v>75.910993138413914</v>
      </c>
      <c r="AE252" s="76">
        <f>MAX(0,(AD252-Constantes!$D$13)*(1-EXP(-Constantes!$D$23)))</f>
        <v>0.26762373463734074</v>
      </c>
      <c r="AF252" s="76">
        <f>AB252+O252*Escenarios!$E$13/Escenarios!$E$16+AE252</f>
        <v>0.26762373463734074</v>
      </c>
      <c r="AG252" s="76">
        <f>IF(Entradas!$E$91&gt;0,IF(AF252-Escenarios!$E$38&lt;=0,0,IF(AF252-Escenarios!$E$38&gt;Escenarios!$E$37,Escenarios!$E$37,AF252-Escenarios!$E$38)),0)</f>
        <v>0</v>
      </c>
      <c r="AH252" s="76">
        <f>AG252*Entradas!$E$99</f>
        <v>0</v>
      </c>
      <c r="AI252" s="76">
        <f>IF(Entradas!$E$91&gt;0,D252*Entradas!$D$23/Escenarios!$E$16,0)</f>
        <v>0</v>
      </c>
      <c r="AJ252" s="76">
        <f>IF(Entradas!$E$91&gt;0,Entradas!$D$24*Entradas!$D$22/Escenarios!$E$16,0)</f>
        <v>0</v>
      </c>
      <c r="AK252" s="76">
        <f t="shared" si="52"/>
        <v>1.2412876293102349E-4</v>
      </c>
      <c r="AL252" s="76">
        <f t="shared" si="53"/>
        <v>0</v>
      </c>
      <c r="AM252" s="76">
        <f t="shared" si="44"/>
        <v>0</v>
      </c>
      <c r="AN252" s="76">
        <f>MAX(0,O252*Escenarios!$E$13/Escenarios!$E$16-AM252)</f>
        <v>0</v>
      </c>
      <c r="AO252" s="76">
        <f>AM252+AN252-O252*Escenarios!$E$13/Escenarios!$E$16</f>
        <v>0</v>
      </c>
      <c r="AP252" s="76">
        <f t="shared" si="42"/>
        <v>0.26762373463734074</v>
      </c>
      <c r="AQ252" s="76">
        <f t="shared" si="45"/>
        <v>0</v>
      </c>
      <c r="AR252" s="76">
        <f t="shared" si="46"/>
        <v>0.26762373463734074</v>
      </c>
      <c r="AS252" s="76">
        <f t="shared" si="47"/>
        <v>0</v>
      </c>
      <c r="AT252" s="76">
        <f t="shared" si="48"/>
        <v>0</v>
      </c>
      <c r="AU252" s="76">
        <f t="shared" si="49"/>
        <v>48.75</v>
      </c>
      <c r="AV252" s="76">
        <f>MAX(0,(AU252-Constantes!$D$13)*(1-EXP(-Constantes!$D$24)))</f>
        <v>0</v>
      </c>
      <c r="AW252" s="170">
        <f>AW251+(Entradas!$E$112*AT252-AX251)/(800*Entradas!$D$25)</f>
        <v>0</v>
      </c>
      <c r="AX252" s="170">
        <f>8000*Entradas!$D$26*AW252/Constantes!$E$45</f>
        <v>0</v>
      </c>
      <c r="AY252" s="170">
        <f>IF(Escenarios!$E$17&gt;0,10*Escenarios!$E$16*AL252,0)</f>
        <v>0</v>
      </c>
      <c r="AZ252" s="170">
        <f>IF(Escenarios!$E$17&gt;0,10*Escenarios!$E$16*AX252,0)</f>
        <v>0</v>
      </c>
      <c r="BA252" s="170">
        <f>IF(Escenarios!$E$17&gt;0,0.001*Observaciones!$F251*Escenarios!$E$17,0)</f>
        <v>0</v>
      </c>
      <c r="BB252" s="170">
        <f>IF(Escenarios!$E$17&gt;0,Observaciones!$K251,0)</f>
        <v>0</v>
      </c>
      <c r="BC252" s="170">
        <f>IF(Escenarios!$E$17&gt;0,MIN(0.0005*ETo!$M251*Escenarios!$E$17*(BG251/Constantes!$E$40)^(2/3),BG251+AY252+AZ252+BA252+BB252),0)</f>
        <v>2.6541219592126644</v>
      </c>
      <c r="BD252" s="170">
        <f>IF(Escenarios!$E$17&gt;0,MIN(Constantes!$E$39*(BG251/Constantes!$E$40)^(2/3),BG251+AY252+AZ252+BA252+BB252-BC252),0)</f>
        <v>5.2826819266886362</v>
      </c>
      <c r="BE252" s="170">
        <f>IF(Escenarios!$E$17&gt;0,MIN(Entradas!$E$113,BG251+AY252+AZ252+BA252+BB252-BC252-BD252),0)</f>
        <v>1</v>
      </c>
      <c r="BF252" s="170">
        <f>IF(Escenarios!$E$17&gt;0,MAX(0,BG251+AY252+AZ252+BA252+BB252-BC252-BD252-BE252-Constantes!$E$40),0)</f>
        <v>0</v>
      </c>
      <c r="BG252" s="170">
        <f t="shared" si="54"/>
        <v>104.18737867220077</v>
      </c>
      <c r="BH252" s="170">
        <f>(Escenarios!$E$16*AK252+0.1*BC252)/(Escenarios!$E$19)</f>
        <v>1.1763666137064378E-3</v>
      </c>
      <c r="BI252" s="170">
        <f>IF(Escenarios!$E$17&gt;0,BF252/10/Escenarios!$E$19,AL252)</f>
        <v>0</v>
      </c>
      <c r="BJ252" s="170">
        <f>(Escenarios!$E$16*AT252+0.1*BD252)/(Escenarios!$E$19)</f>
        <v>2.0963023518605697E-3</v>
      </c>
      <c r="BK252" s="76">
        <f>BK251+(0.1*BD252)/(Escenarios!$E$19)-BL251</f>
        <v>49.731600661564926</v>
      </c>
      <c r="BL252" s="76">
        <f>MAX(0,(BK252-Constantes!$D$13)*(1-EXP(-Constantes!$D$23)))</f>
        <v>9.6719451174615747E-3</v>
      </c>
      <c r="BM252" s="76">
        <f t="shared" si="50"/>
        <v>0.27729567975480229</v>
      </c>
      <c r="BN252" s="76">
        <f t="shared" si="55"/>
        <v>0.27729567975480229</v>
      </c>
      <c r="BO252" s="76">
        <f>0.0526*BI252*Observaciones!$F251^1.218</f>
        <v>0</v>
      </c>
      <c r="BP252" s="76">
        <f>BO252*Constantes!$E$51</f>
        <v>0</v>
      </c>
      <c r="BQ252" s="76">
        <f t="shared" si="51"/>
        <v>0</v>
      </c>
      <c r="BR252" s="40"/>
    </row>
    <row r="253" spans="1:70">
      <c r="A253" s="147"/>
      <c r="B253" s="39"/>
      <c r="C253" s="75">
        <v>247</v>
      </c>
      <c r="D253" s="146">
        <f>ETo!$I252*((1-Constantes!$E$19)*ETo!$K252+ETo!$L252)</f>
        <v>3.4247741052275207</v>
      </c>
      <c r="E253" s="76">
        <f>MIN(D253*Constantes!$E$17,0.8*(N252+Observaciones!$F252-F253-M253-Constantes!$D$14))</f>
        <v>-1.4037132975077783E-2</v>
      </c>
      <c r="F253" s="76">
        <f>IF(Observaciones!$F252&gt;0.05*Constantes!$E$18,((Observaciones!$F252-0.05*Constantes!$E$18)^2)/(Observaciones!$F252+0.95*Constantes!$E$18),0)</f>
        <v>0</v>
      </c>
      <c r="G253" s="76">
        <f>IF(Escenarios!$E$11&gt;0,(F253*Escenarios!$E$16*10000)/1000,0)</f>
        <v>0</v>
      </c>
      <c r="H253" s="76">
        <f>IF(Escenarios!$E$11&gt;0,(Observaciones!$F252*Constantes!$E$29)/1000,0)</f>
        <v>0</v>
      </c>
      <c r="I253" s="76">
        <f>IF(Escenarios!$E$11&gt;0,(D253*Constantes!$E$29)/1000,0)</f>
        <v>34.247741052275202</v>
      </c>
      <c r="J253" s="76">
        <f>IF(Escenarios!$E$11&gt;0,MAX(0,G253+H253-I253),0)</f>
        <v>0</v>
      </c>
      <c r="K253" s="76">
        <f>IF(Escenarios!$E$11&gt;0,IF(J253&gt;Constantes!$E$30,1000*((J253-Constantes!$E$30)/(Escenarios!$E$16*10000)),0),F253)</f>
        <v>0</v>
      </c>
      <c r="L253" s="76">
        <f>IF(Escenarios!$E$11&gt;0,I253*1000/Escenarios!$E$16/10000+E253,E253)</f>
        <v>-3.3803655416770294E-4</v>
      </c>
      <c r="M253" s="76">
        <f>MAX(0,N252+Observaciones!$F252-K253-Constantes!$D$13)</f>
        <v>0</v>
      </c>
      <c r="N253" s="76">
        <f>N252+Observaciones!$F252-K253-L253-M253-O252</f>
        <v>11.23279162033532</v>
      </c>
      <c r="O253" s="76">
        <f>MAX(0,(N253-Constantes!$D$14)*(1-EXP(-Constantes!$D$22)))</f>
        <v>0</v>
      </c>
      <c r="P253" s="170">
        <f>P252+(Entradas!$E$83*M253-Q252)/(800*Entradas!$D$25)</f>
        <v>0</v>
      </c>
      <c r="Q253" s="170">
        <f>8000*Entradas!$D$26*P253/Constantes!$E$45</f>
        <v>0</v>
      </c>
      <c r="R253" s="170">
        <f>IF(Escenarios!$E$14&gt;0,K253*Escenarios!$E$13/Escenarios!$E$14,0)</f>
        <v>0</v>
      </c>
      <c r="S253" s="170">
        <f>IF(Escenarios!$E$14&gt;0,Q253*Escenarios!$E$13/Escenarios!$E$14,0)</f>
        <v>0</v>
      </c>
      <c r="T253" s="170">
        <f>IF(Escenarios!$E$14&gt;0,Observaciones!$I252,0)</f>
        <v>0</v>
      </c>
      <c r="U253" s="170">
        <f>IF(Escenarios!$E$14&gt;0,MAX(0,Constantes!$E$36/((Z252+R253+S253+T253+Observaciones!$F252)^2)+Entradas!$E$77),0)</f>
        <v>0</v>
      </c>
      <c r="V253" s="146">
        <f>IF(ETo!D252&gt;0,ETo!I252*((1-Entradas!$E$81)*ETo!K252+ETo!L252),0)</f>
        <v>3.1130389113585246</v>
      </c>
      <c r="W253" s="170">
        <f>IF(Escenarios!$E$14&gt;0,MIN(V253*1,0.8*(Z252+R253+S253+T253+Observaciones!$F252-U253-Constantes!$E$35)),0)</f>
        <v>6.9348971010185784E-13</v>
      </c>
      <c r="X253" s="170">
        <f>IF(Escenarios!$E$14&gt;0,Observaciones!$J252,0)</f>
        <v>0</v>
      </c>
      <c r="Y253" s="170">
        <f>IF(Escenarios!$E$14&gt;0,MAX(0,Z252+R253+S253+T253+Observaciones!$F252-U253-W253-X253-Constantes!$E$33),0)</f>
        <v>0</v>
      </c>
      <c r="Z253" s="170">
        <f>Z252+R253+S253+T253+Observaciones!$F252-U253-W253-Y253</f>
        <v>41.250000000000171</v>
      </c>
      <c r="AA253" s="170">
        <f>IF(Escenarios!$E$14&gt;0,(Escenarios!$E$13*L253+Escenarios!$E$14*W253)/(Escenarios!$E$16),L253)</f>
        <v>-2.9747216758435981E-4</v>
      </c>
      <c r="AB253" s="170">
        <f>IF(Escenarios!$E$14&gt;0,(Escenarios!$E$14*Y253)/(Escenarios!$E$16),K253)</f>
        <v>0</v>
      </c>
      <c r="AC253" s="170">
        <f>IF(Escenarios!$E$14&gt;0,(Escenarios!$E$13*M253+Escenarios!$E$14*U253)/(Escenarios!$E$16),M253)</f>
        <v>0</v>
      </c>
      <c r="AD253" s="76">
        <f t="shared" si="43"/>
        <v>75.643369403776575</v>
      </c>
      <c r="AE253" s="76">
        <f>MAX(0,(AD253-Constantes!$D$13)*(1-EXP(-Constantes!$D$23)))</f>
        <v>0.26498677423695166</v>
      </c>
      <c r="AF253" s="76">
        <f>AB253+O253*Escenarios!$E$13/Escenarios!$E$16+AE253</f>
        <v>0.26498677423695166</v>
      </c>
      <c r="AG253" s="76">
        <f>IF(Entradas!$E$91&gt;0,IF(AF253-Escenarios!$E$38&lt;=0,0,IF(AF253-Escenarios!$E$38&gt;Escenarios!$E$37,Escenarios!$E$37,AF253-Escenarios!$E$38)),0)</f>
        <v>0</v>
      </c>
      <c r="AH253" s="76">
        <f>AG253*Entradas!$E$99</f>
        <v>0</v>
      </c>
      <c r="AI253" s="76">
        <f>IF(Entradas!$E$91&gt;0,D253*Entradas!$D$23/Escenarios!$E$16,0)</f>
        <v>0</v>
      </c>
      <c r="AJ253" s="76">
        <f>IF(Entradas!$E$91&gt;0,Entradas!$D$24*Entradas!$D$22/Escenarios!$E$16,0)</f>
        <v>0</v>
      </c>
      <c r="AK253" s="76">
        <f t="shared" si="52"/>
        <v>-2.9747216758435981E-4</v>
      </c>
      <c r="AL253" s="76">
        <f t="shared" si="53"/>
        <v>0</v>
      </c>
      <c r="AM253" s="76">
        <f t="shared" si="44"/>
        <v>0</v>
      </c>
      <c r="AN253" s="76">
        <f>MAX(0,O253*Escenarios!$E$13/Escenarios!$E$16-AM253)</f>
        <v>0</v>
      </c>
      <c r="AO253" s="76">
        <f>AM253+AN253-O253*Escenarios!$E$13/Escenarios!$E$16</f>
        <v>0</v>
      </c>
      <c r="AP253" s="76">
        <f t="shared" si="42"/>
        <v>0.26498677423695166</v>
      </c>
      <c r="AQ253" s="76">
        <f t="shared" si="45"/>
        <v>0</v>
      </c>
      <c r="AR253" s="76">
        <f t="shared" si="46"/>
        <v>0.26498677423695166</v>
      </c>
      <c r="AS253" s="76">
        <f t="shared" si="47"/>
        <v>0</v>
      </c>
      <c r="AT253" s="76">
        <f t="shared" si="48"/>
        <v>0</v>
      </c>
      <c r="AU253" s="76">
        <f t="shared" si="49"/>
        <v>48.75</v>
      </c>
      <c r="AV253" s="76">
        <f>MAX(0,(AU253-Constantes!$D$13)*(1-EXP(-Constantes!$D$24)))</f>
        <v>0</v>
      </c>
      <c r="AW253" s="170">
        <f>AW252+(Entradas!$E$112*AT253-AX252)/(800*Entradas!$D$25)</f>
        <v>0</v>
      </c>
      <c r="AX253" s="170">
        <f>8000*Entradas!$D$26*AW253/Constantes!$E$45</f>
        <v>0</v>
      </c>
      <c r="AY253" s="170">
        <f>IF(Escenarios!$E$17&gt;0,10*Escenarios!$E$16*AL253,0)</f>
        <v>0</v>
      </c>
      <c r="AZ253" s="170">
        <f>IF(Escenarios!$E$17&gt;0,10*Escenarios!$E$16*AX253,0)</f>
        <v>0</v>
      </c>
      <c r="BA253" s="170">
        <f>IF(Escenarios!$E$17&gt;0,0.001*Observaciones!$F252*Escenarios!$E$17,0)</f>
        <v>0</v>
      </c>
      <c r="BB253" s="170">
        <f>IF(Escenarios!$E$17&gt;0,Observaciones!$K252,0)</f>
        <v>0</v>
      </c>
      <c r="BC253" s="170">
        <f>IF(Escenarios!$E$17&gt;0,MIN(0.0005*ETo!$M252*Escenarios!$E$17*(BG252/Constantes!$E$40)^(2/3),BG252+AY253+AZ253+BA253+BB253),0)</f>
        <v>2.4473859899107318</v>
      </c>
      <c r="BD253" s="170">
        <f>IF(Escenarios!$E$17&gt;0,MIN(Constantes!$E$39*(BG252/Constantes!$E$40)^(2/3),BG252+AY253+AZ253+BA253+BB253-BC253),0)</f>
        <v>5.0006627622148878</v>
      </c>
      <c r="BE253" s="170">
        <f>IF(Escenarios!$E$17&gt;0,MIN(Entradas!$E$113,BG252+AY253+AZ253+BA253+BB253-BC253-BD253),0)</f>
        <v>1</v>
      </c>
      <c r="BF253" s="170">
        <f>IF(Escenarios!$E$17&gt;0,MAX(0,BG252+AY253+AZ253+BA253+BB253-BC253-BD253-BE253-Constantes!$E$40),0)</f>
        <v>0</v>
      </c>
      <c r="BG253" s="170">
        <f t="shared" si="54"/>
        <v>95.73932992007515</v>
      </c>
      <c r="BH253" s="170">
        <f>(Escenarios!$E$16*AK253+0.1*BC253)/(Escenarios!$E$19)</f>
        <v>6.7607363926580654E-4</v>
      </c>
      <c r="BI253" s="170">
        <f>IF(Escenarios!$E$17&gt;0,BF253/10/Escenarios!$E$19,AL253)</f>
        <v>0</v>
      </c>
      <c r="BJ253" s="170">
        <f>(Escenarios!$E$16*AT253+0.1*BD253)/(Escenarios!$E$19)</f>
        <v>1.984389985005908E-3</v>
      </c>
      <c r="BK253" s="76">
        <f>BK252+(0.1*BD253)/(Escenarios!$E$19)-BL252</f>
        <v>49.72391310643247</v>
      </c>
      <c r="BL253" s="76">
        <f>MAX(0,(BK253-Constantes!$D$13)*(1-EXP(-Constantes!$D$23)))</f>
        <v>9.5961978057085059E-3</v>
      </c>
      <c r="BM253" s="76">
        <f t="shared" si="50"/>
        <v>0.27458297204266019</v>
      </c>
      <c r="BN253" s="76">
        <f t="shared" si="55"/>
        <v>0.27458297204266019</v>
      </c>
      <c r="BO253" s="76">
        <f>0.0526*BI253*Observaciones!$F252^1.218</f>
        <v>0</v>
      </c>
      <c r="BP253" s="76">
        <f>BO253*Constantes!$E$51</f>
        <v>0</v>
      </c>
      <c r="BQ253" s="76">
        <f t="shared" si="51"/>
        <v>0</v>
      </c>
      <c r="BR253" s="40"/>
    </row>
    <row r="254" spans="1:70">
      <c r="A254" s="147"/>
      <c r="B254" s="39"/>
      <c r="C254" s="75">
        <v>248</v>
      </c>
      <c r="D254" s="146">
        <f>ETo!$I253*((1-Constantes!$E$19)*ETo!$K253+ETo!$L253)</f>
        <v>3.5077898978440767</v>
      </c>
      <c r="E254" s="76">
        <f>MIN(D254*Constantes!$E$17,0.8*(N253+Observaciones!$F253-F254-M254-Constantes!$D$14))</f>
        <v>-1.3766703731744202E-2</v>
      </c>
      <c r="F254" s="76">
        <f>IF(Observaciones!$F253&gt;0.05*Constantes!$E$18,((Observaciones!$F253-0.05*Constantes!$E$18)^2)/(Observaciones!$F253+0.95*Constantes!$E$18),0)</f>
        <v>0</v>
      </c>
      <c r="G254" s="76">
        <f>IF(Escenarios!$E$11&gt;0,(F254*Escenarios!$E$16*10000)/1000,0)</f>
        <v>0</v>
      </c>
      <c r="H254" s="76">
        <f>IF(Escenarios!$E$11&gt;0,(Observaciones!$F253*Constantes!$E$29)/1000,0)</f>
        <v>0</v>
      </c>
      <c r="I254" s="76">
        <f>IF(Escenarios!$E$11&gt;0,(D254*Constantes!$E$29)/1000,0)</f>
        <v>35.077898978440764</v>
      </c>
      <c r="J254" s="76">
        <f>IF(Escenarios!$E$11&gt;0,MAX(0,G254+H254-I254),0)</f>
        <v>0</v>
      </c>
      <c r="K254" s="76">
        <f>IF(Escenarios!$E$11&gt;0,IF(J254&gt;Constantes!$E$30,1000*((J254-Constantes!$E$30)/(Escenarios!$E$16*10000)),0),F254)</f>
        <v>0</v>
      </c>
      <c r="L254" s="76">
        <f>IF(Escenarios!$E$11&gt;0,I254*1000/Escenarios!$E$16/10000+E254,E254)</f>
        <v>2.6445585963210359E-4</v>
      </c>
      <c r="M254" s="76">
        <f>MAX(0,N253+Observaciones!$F253-K254-Constantes!$D$13)</f>
        <v>0</v>
      </c>
      <c r="N254" s="76">
        <f>N253+Observaciones!$F253-K254-L254-M254-O253</f>
        <v>11.232527164475687</v>
      </c>
      <c r="O254" s="76">
        <f>MAX(0,(N254-Constantes!$D$14)*(1-EXP(-Constantes!$D$22)))</f>
        <v>0</v>
      </c>
      <c r="P254" s="170">
        <f>P253+(Entradas!$E$83*M254-Q253)/(800*Entradas!$D$25)</f>
        <v>0</v>
      </c>
      <c r="Q254" s="170">
        <f>8000*Entradas!$D$26*P254/Constantes!$E$45</f>
        <v>0</v>
      </c>
      <c r="R254" s="170">
        <f>IF(Escenarios!$E$14&gt;0,K254*Escenarios!$E$13/Escenarios!$E$14,0)</f>
        <v>0</v>
      </c>
      <c r="S254" s="170">
        <f>IF(Escenarios!$E$14&gt;0,Q254*Escenarios!$E$13/Escenarios!$E$14,0)</f>
        <v>0</v>
      </c>
      <c r="T254" s="170">
        <f>IF(Escenarios!$E$14&gt;0,Observaciones!$I253,0)</f>
        <v>0</v>
      </c>
      <c r="U254" s="170">
        <f>IF(Escenarios!$E$14&gt;0,MAX(0,Constantes!$E$36/((Z253+R254+S254+T254+Observaciones!$F253)^2)+Entradas!$E$77),0)</f>
        <v>0</v>
      </c>
      <c r="V254" s="146">
        <f>IF(ETo!D253&gt;0,ETo!I253*((1-Entradas!$E$81)*ETo!K253+ETo!L253),0)</f>
        <v>3.1894488939738328</v>
      </c>
      <c r="W254" s="170">
        <f>IF(Escenarios!$E$14&gt;0,MIN(V254*1,0.8*(Z253+R254+S254+T254+Observaciones!$F253-U254-Constantes!$E$35)),0)</f>
        <v>1.3642420526593926E-13</v>
      </c>
      <c r="X254" s="170">
        <f>IF(Escenarios!$E$14&gt;0,Observaciones!$J253,0)</f>
        <v>0</v>
      </c>
      <c r="Y254" s="170">
        <f>IF(Escenarios!$E$14&gt;0,MAX(0,Z253+R254+S254+T254+Observaciones!$F253-U254-W254-X254-Constantes!$E$33),0)</f>
        <v>0</v>
      </c>
      <c r="Z254" s="170">
        <f>Z253+R254+S254+T254+Observaciones!$F253-U254-W254-Y254</f>
        <v>41.250000000000036</v>
      </c>
      <c r="AA254" s="170">
        <f>IF(Escenarios!$E$14&gt;0,(Escenarios!$E$13*L254+Escenarios!$E$14*W254)/(Escenarios!$E$16),L254)</f>
        <v>2.3272115649262205E-4</v>
      </c>
      <c r="AB254" s="170">
        <f>IF(Escenarios!$E$14&gt;0,(Escenarios!$E$14*Y254)/(Escenarios!$E$16),K254)</f>
        <v>0</v>
      </c>
      <c r="AC254" s="170">
        <f>IF(Escenarios!$E$14&gt;0,(Escenarios!$E$13*M254+Escenarios!$E$14*U254)/(Escenarios!$E$16),M254)</f>
        <v>0</v>
      </c>
      <c r="AD254" s="76">
        <f t="shared" si="43"/>
        <v>75.37838262953963</v>
      </c>
      <c r="AE254" s="76">
        <f>MAX(0,(AD254-Constantes!$D$13)*(1-EXP(-Constantes!$D$23)))</f>
        <v>0.26237579643546266</v>
      </c>
      <c r="AF254" s="76">
        <f>AB254+O254*Escenarios!$E$13/Escenarios!$E$16+AE254</f>
        <v>0.26237579643546266</v>
      </c>
      <c r="AG254" s="76">
        <f>IF(Entradas!$E$91&gt;0,IF(AF254-Escenarios!$E$38&lt;=0,0,IF(AF254-Escenarios!$E$38&gt;Escenarios!$E$37,Escenarios!$E$37,AF254-Escenarios!$E$38)),0)</f>
        <v>0</v>
      </c>
      <c r="AH254" s="76">
        <f>AG254*Entradas!$E$99</f>
        <v>0</v>
      </c>
      <c r="AI254" s="76">
        <f>IF(Entradas!$E$91&gt;0,D254*Entradas!$D$23/Escenarios!$E$16,0)</f>
        <v>0</v>
      </c>
      <c r="AJ254" s="76">
        <f>IF(Entradas!$E$91&gt;0,Entradas!$D$24*Entradas!$D$22/Escenarios!$E$16,0)</f>
        <v>0</v>
      </c>
      <c r="AK254" s="76">
        <f t="shared" si="52"/>
        <v>2.3272115649262205E-4</v>
      </c>
      <c r="AL254" s="76">
        <f t="shared" si="53"/>
        <v>0</v>
      </c>
      <c r="AM254" s="76">
        <f t="shared" si="44"/>
        <v>0</v>
      </c>
      <c r="AN254" s="76">
        <f>MAX(0,O254*Escenarios!$E$13/Escenarios!$E$16-AM254)</f>
        <v>0</v>
      </c>
      <c r="AO254" s="76">
        <f>AM254+AN254-O254*Escenarios!$E$13/Escenarios!$E$16</f>
        <v>0</v>
      </c>
      <c r="AP254" s="76">
        <f t="shared" si="42"/>
        <v>0.26237579643546266</v>
      </c>
      <c r="AQ254" s="76">
        <f t="shared" si="45"/>
        <v>0</v>
      </c>
      <c r="AR254" s="76">
        <f t="shared" si="46"/>
        <v>0.26237579643546266</v>
      </c>
      <c r="AS254" s="76">
        <f t="shared" si="47"/>
        <v>0</v>
      </c>
      <c r="AT254" s="76">
        <f t="shared" si="48"/>
        <v>0</v>
      </c>
      <c r="AU254" s="76">
        <f t="shared" si="49"/>
        <v>48.75</v>
      </c>
      <c r="AV254" s="76">
        <f>MAX(0,(AU254-Constantes!$D$13)*(1-EXP(-Constantes!$D$24)))</f>
        <v>0</v>
      </c>
      <c r="AW254" s="170">
        <f>AW253+(Entradas!$E$112*AT254-AX253)/(800*Entradas!$D$25)</f>
        <v>0</v>
      </c>
      <c r="AX254" s="170">
        <f>8000*Entradas!$D$26*AW254/Constantes!$E$45</f>
        <v>0</v>
      </c>
      <c r="AY254" s="170">
        <f>IF(Escenarios!$E$17&gt;0,10*Escenarios!$E$16*AL254,0)</f>
        <v>0</v>
      </c>
      <c r="AZ254" s="170">
        <f>IF(Escenarios!$E$17&gt;0,10*Escenarios!$E$16*AX254,0)</f>
        <v>0</v>
      </c>
      <c r="BA254" s="170">
        <f>IF(Escenarios!$E$17&gt;0,0.001*Observaciones!$F253*Escenarios!$E$17,0)</f>
        <v>0</v>
      </c>
      <c r="BB254" s="170">
        <f>IF(Escenarios!$E$17&gt;0,Observaciones!$K253,0)</f>
        <v>0</v>
      </c>
      <c r="BC254" s="170">
        <f>IF(Escenarios!$E$17&gt;0,MIN(0.0005*ETo!$M253*Escenarios!$E$17*(BG253/Constantes!$E$40)^(2/3),BG253+AY254+AZ254+BA254+BB254),0)</f>
        <v>2.3684212069911634</v>
      </c>
      <c r="BD254" s="170">
        <f>IF(Escenarios!$E$17&gt;0,MIN(Constantes!$E$39*(BG253/Constantes!$E$40)^(2/3),BG253+AY254+AZ254+BA254+BB254-BC254),0)</f>
        <v>4.7265517296293389</v>
      </c>
      <c r="BE254" s="170">
        <f>IF(Escenarios!$E$17&gt;0,MIN(Entradas!$E$113,BG253+AY254+AZ254+BA254+BB254-BC254-BD254),0)</f>
        <v>1</v>
      </c>
      <c r="BF254" s="170">
        <f>IF(Escenarios!$E$17&gt;0,MAX(0,BG253+AY254+AZ254+BA254+BB254-BC254-BD254-BE254-Constantes!$E$40),0)</f>
        <v>0</v>
      </c>
      <c r="BG254" s="170">
        <f t="shared" si="54"/>
        <v>87.644356983454657</v>
      </c>
      <c r="BH254" s="170">
        <f>(Escenarios!$E$16*AK254+0.1*BC254)/(Escenarios!$E$19)</f>
        <v>1.1707238485010789E-3</v>
      </c>
      <c r="BI254" s="170">
        <f>IF(Escenarios!$E$17&gt;0,BF254/10/Escenarios!$E$19,AL254)</f>
        <v>0</v>
      </c>
      <c r="BJ254" s="170">
        <f>(Escenarios!$E$16*AT254+0.1*BD254)/(Escenarios!$E$19)</f>
        <v>1.8756157657259282E-3</v>
      </c>
      <c r="BK254" s="76">
        <f>BK253+(0.1*BD254)/(Escenarios!$E$19)-BL253</f>
        <v>49.71619252439249</v>
      </c>
      <c r="BL254" s="76">
        <f>MAX(0,(BK254-Constantes!$D$13)*(1-EXP(-Constantes!$D$23)))</f>
        <v>9.5201250719692126E-3</v>
      </c>
      <c r="BM254" s="76">
        <f t="shared" si="50"/>
        <v>0.27189592150743186</v>
      </c>
      <c r="BN254" s="76">
        <f t="shared" si="55"/>
        <v>0.27189592150743186</v>
      </c>
      <c r="BO254" s="76">
        <f>0.0526*BI254*Observaciones!$F253^1.218</f>
        <v>0</v>
      </c>
      <c r="BP254" s="76">
        <f>BO254*Constantes!$E$51</f>
        <v>0</v>
      </c>
      <c r="BQ254" s="76">
        <f t="shared" si="51"/>
        <v>0</v>
      </c>
      <c r="BR254" s="40"/>
    </row>
    <row r="255" spans="1:70">
      <c r="A255" s="147"/>
      <c r="B255" s="39"/>
      <c r="C255" s="75">
        <v>249</v>
      </c>
      <c r="D255" s="146">
        <f>ETo!$I254*((1-Constantes!$E$19)*ETo!$K254+ETo!$L254)</f>
        <v>3.4031542145184766</v>
      </c>
      <c r="E255" s="76">
        <f>MIN(D255*Constantes!$E$17,0.8*(N254+Observaciones!$F254-F255-M255-Constantes!$D$14))</f>
        <v>-1.3978268419450046E-2</v>
      </c>
      <c r="F255" s="76">
        <f>IF(Observaciones!$F254&gt;0.05*Constantes!$E$18,((Observaciones!$F254-0.05*Constantes!$E$18)^2)/(Observaciones!$F254+0.95*Constantes!$E$18),0)</f>
        <v>0</v>
      </c>
      <c r="G255" s="76">
        <f>IF(Escenarios!$E$11&gt;0,(F255*Escenarios!$E$16*10000)/1000,0)</f>
        <v>0</v>
      </c>
      <c r="H255" s="76">
        <f>IF(Escenarios!$E$11&gt;0,(Observaciones!$F254*Constantes!$E$29)/1000,0)</f>
        <v>0</v>
      </c>
      <c r="I255" s="76">
        <f>IF(Escenarios!$E$11&gt;0,(D255*Constantes!$E$29)/1000,0)</f>
        <v>34.031542145184766</v>
      </c>
      <c r="J255" s="76">
        <f>IF(Escenarios!$E$11&gt;0,MAX(0,G255+H255-I255),0)</f>
        <v>0</v>
      </c>
      <c r="K255" s="76">
        <f>IF(Escenarios!$E$11&gt;0,IF(J255&gt;Constantes!$E$30,1000*((J255-Constantes!$E$30)/(Escenarios!$E$16*10000)),0),F255)</f>
        <v>0</v>
      </c>
      <c r="L255" s="76">
        <f>IF(Escenarios!$E$11&gt;0,I255*1000/Escenarios!$E$16/10000+E255,E255)</f>
        <v>-3.6565156137613984E-4</v>
      </c>
      <c r="M255" s="76">
        <f>MAX(0,N254+Observaciones!$F254-K255-Constantes!$D$13)</f>
        <v>0</v>
      </c>
      <c r="N255" s="76">
        <f>N254+Observaciones!$F254-K255-L255-M255-O254</f>
        <v>11.232892816037063</v>
      </c>
      <c r="O255" s="76">
        <f>MAX(0,(N255-Constantes!$D$14)*(1-EXP(-Constantes!$D$22)))</f>
        <v>0</v>
      </c>
      <c r="P255" s="170">
        <f>P254+(Entradas!$E$83*M255-Q254)/(800*Entradas!$D$25)</f>
        <v>0</v>
      </c>
      <c r="Q255" s="170">
        <f>8000*Entradas!$D$26*P255/Constantes!$E$45</f>
        <v>0</v>
      </c>
      <c r="R255" s="170">
        <f>IF(Escenarios!$E$14&gt;0,K255*Escenarios!$E$13/Escenarios!$E$14,0)</f>
        <v>0</v>
      </c>
      <c r="S255" s="170">
        <f>IF(Escenarios!$E$14&gt;0,Q255*Escenarios!$E$13/Escenarios!$E$14,0)</f>
        <v>0</v>
      </c>
      <c r="T255" s="170">
        <f>IF(Escenarios!$E$14&gt;0,Observaciones!$I254,0)</f>
        <v>0</v>
      </c>
      <c r="U255" s="170">
        <f>IF(Escenarios!$E$14&gt;0,MAX(0,Constantes!$E$36/((Z254+R255+S255+T255+Observaciones!$F254)^2)+Entradas!$E$77),0)</f>
        <v>0</v>
      </c>
      <c r="V255" s="146">
        <f>IF(ETo!D254&gt;0,ETo!I254*((1-Entradas!$E$81)*ETo!K254+ETo!L254),0)</f>
        <v>3.0939696937397327</v>
      </c>
      <c r="W255" s="170">
        <f>IF(Escenarios!$E$14&gt;0,MIN(V255*1,0.8*(Z254+R255+S255+T255+Observaciones!$F254-U255-Constantes!$E$35)),0)</f>
        <v>2.8421709430404007E-14</v>
      </c>
      <c r="X255" s="170">
        <f>IF(Escenarios!$E$14&gt;0,Observaciones!$J254,0)</f>
        <v>0</v>
      </c>
      <c r="Y255" s="170">
        <f>IF(Escenarios!$E$14&gt;0,MAX(0,Z254+R255+S255+T255+Observaciones!$F254-U255-W255-X255-Constantes!$E$33),0)</f>
        <v>0</v>
      </c>
      <c r="Z255" s="170">
        <f>Z254+R255+S255+T255+Observaciones!$F254-U255-W255-Y255</f>
        <v>41.250000000000007</v>
      </c>
      <c r="AA255" s="170">
        <f>IF(Escenarios!$E$14&gt;0,(Escenarios!$E$13*L255+Escenarios!$E$14*W255)/(Escenarios!$E$16),L255)</f>
        <v>-3.2177337400759244E-4</v>
      </c>
      <c r="AB255" s="170">
        <f>IF(Escenarios!$E$14&gt;0,(Escenarios!$E$14*Y255)/(Escenarios!$E$16),K255)</f>
        <v>0</v>
      </c>
      <c r="AC255" s="170">
        <f>IF(Escenarios!$E$14&gt;0,(Escenarios!$E$13*M255+Escenarios!$E$14*U255)/(Escenarios!$E$16),M255)</f>
        <v>0</v>
      </c>
      <c r="AD255" s="76">
        <f t="shared" si="43"/>
        <v>75.116006833104166</v>
      </c>
      <c r="AE255" s="76">
        <f>MAX(0,(AD255-Constantes!$D$13)*(1-EXP(-Constantes!$D$23)))</f>
        <v>0.25979054522013817</v>
      </c>
      <c r="AF255" s="76">
        <f>AB255+O255*Escenarios!$E$13/Escenarios!$E$16+AE255</f>
        <v>0.25979054522013817</v>
      </c>
      <c r="AG255" s="76">
        <f>IF(Entradas!$E$91&gt;0,IF(AF255-Escenarios!$E$38&lt;=0,0,IF(AF255-Escenarios!$E$38&gt;Escenarios!$E$37,Escenarios!$E$37,AF255-Escenarios!$E$38)),0)</f>
        <v>0</v>
      </c>
      <c r="AH255" s="76">
        <f>AG255*Entradas!$E$99</f>
        <v>0</v>
      </c>
      <c r="AI255" s="76">
        <f>IF(Entradas!$E$91&gt;0,D255*Entradas!$D$23/Escenarios!$E$16,0)</f>
        <v>0</v>
      </c>
      <c r="AJ255" s="76">
        <f>IF(Entradas!$E$91&gt;0,Entradas!$D$24*Entradas!$D$22/Escenarios!$E$16,0)</f>
        <v>0</v>
      </c>
      <c r="AK255" s="76">
        <f t="shared" si="52"/>
        <v>-3.2177337400759244E-4</v>
      </c>
      <c r="AL255" s="76">
        <f t="shared" si="53"/>
        <v>0</v>
      </c>
      <c r="AM255" s="76">
        <f t="shared" si="44"/>
        <v>0</v>
      </c>
      <c r="AN255" s="76">
        <f>MAX(0,O255*Escenarios!$E$13/Escenarios!$E$16-AM255)</f>
        <v>0</v>
      </c>
      <c r="AO255" s="76">
        <f>AM255+AN255-O255*Escenarios!$E$13/Escenarios!$E$16</f>
        <v>0</v>
      </c>
      <c r="AP255" s="76">
        <f t="shared" si="42"/>
        <v>0.25979054522013817</v>
      </c>
      <c r="AQ255" s="76">
        <f t="shared" si="45"/>
        <v>0</v>
      </c>
      <c r="AR255" s="76">
        <f t="shared" si="46"/>
        <v>0.25979054522013817</v>
      </c>
      <c r="AS255" s="76">
        <f t="shared" si="47"/>
        <v>0</v>
      </c>
      <c r="AT255" s="76">
        <f t="shared" si="48"/>
        <v>0</v>
      </c>
      <c r="AU255" s="76">
        <f t="shared" si="49"/>
        <v>48.75</v>
      </c>
      <c r="AV255" s="76">
        <f>MAX(0,(AU255-Constantes!$D$13)*(1-EXP(-Constantes!$D$24)))</f>
        <v>0</v>
      </c>
      <c r="AW255" s="170">
        <f>AW254+(Entradas!$E$112*AT255-AX254)/(800*Entradas!$D$25)</f>
        <v>0</v>
      </c>
      <c r="AX255" s="170">
        <f>8000*Entradas!$D$26*AW255/Constantes!$E$45</f>
        <v>0</v>
      </c>
      <c r="AY255" s="170">
        <f>IF(Escenarios!$E$17&gt;0,10*Escenarios!$E$16*AL255,0)</f>
        <v>0</v>
      </c>
      <c r="AZ255" s="170">
        <f>IF(Escenarios!$E$17&gt;0,10*Escenarios!$E$16*AX255,0)</f>
        <v>0</v>
      </c>
      <c r="BA255" s="170">
        <f>IF(Escenarios!$E$17&gt;0,0.001*Observaciones!$F254*Escenarios!$E$17,0)</f>
        <v>0</v>
      </c>
      <c r="BB255" s="170">
        <f>IF(Escenarios!$E$17&gt;0,Observaciones!$K254,0)</f>
        <v>0</v>
      </c>
      <c r="BC255" s="170">
        <f>IF(Escenarios!$E$17&gt;0,MIN(0.0005*ETo!$M254*Escenarios!$E$17*(BG254/Constantes!$E$40)^(2/3),BG254+AY255+AZ255+BA255+BB255),0)</f>
        <v>2.1666513314810811</v>
      </c>
      <c r="BD255" s="170">
        <f>IF(Escenarios!$E$17&gt;0,MIN(Constantes!$E$39*(BG254/Constantes!$E$40)^(2/3),BG254+AY255+AZ255+BA255+BB255-BC255),0)</f>
        <v>4.4562218021779874</v>
      </c>
      <c r="BE255" s="170">
        <f>IF(Escenarios!$E$17&gt;0,MIN(Entradas!$E$113,BG254+AY255+AZ255+BA255+BB255-BC255-BD255),0)</f>
        <v>1</v>
      </c>
      <c r="BF255" s="170">
        <f>IF(Escenarios!$E$17&gt;0,MAX(0,BG254+AY255+AZ255+BA255+BB255-BC255-BD255-BE255-Constantes!$E$40),0)</f>
        <v>0</v>
      </c>
      <c r="BG255" s="170">
        <f t="shared" si="54"/>
        <v>80.021483849795587</v>
      </c>
      <c r="BH255" s="170">
        <f>(Escenarios!$E$16*AK255+0.1*BC255)/(Escenarios!$E$19)</f>
        <v>5.405626573262302E-4</v>
      </c>
      <c r="BI255" s="170">
        <f>IF(Escenarios!$E$17&gt;0,BF255/10/Escenarios!$E$19,AL255)</f>
        <v>0</v>
      </c>
      <c r="BJ255" s="170">
        <f>(Escenarios!$E$16*AT255+0.1*BD255)/(Escenarios!$E$19)</f>
        <v>1.7683419849912649E-3</v>
      </c>
      <c r="BK255" s="76">
        <f>BK254+(0.1*BD255)/(Escenarios!$E$19)-BL254</f>
        <v>49.708440741305509</v>
      </c>
      <c r="BL255" s="76">
        <f>MAX(0,(BK255-Constantes!$D$13)*(1-EXP(-Constantes!$D$23)))</f>
        <v>9.4437449068823058E-3</v>
      </c>
      <c r="BM255" s="76">
        <f t="shared" si="50"/>
        <v>0.26923429012702049</v>
      </c>
      <c r="BN255" s="76">
        <f t="shared" si="55"/>
        <v>0.26923429012702049</v>
      </c>
      <c r="BO255" s="76">
        <f>0.0526*BI255*Observaciones!$F254^1.218</f>
        <v>0</v>
      </c>
      <c r="BP255" s="76">
        <f>BO255*Constantes!$E$51</f>
        <v>0</v>
      </c>
      <c r="BQ255" s="76">
        <f t="shared" si="51"/>
        <v>0</v>
      </c>
      <c r="BR255" s="40"/>
    </row>
    <row r="256" spans="1:70">
      <c r="A256" s="147"/>
      <c r="B256" s="39"/>
      <c r="C256" s="75">
        <v>250</v>
      </c>
      <c r="D256" s="146">
        <f>ETo!$I255*((1-Constantes!$E$19)*ETo!$K255+ETo!$L255)</f>
        <v>3.6557020871309649</v>
      </c>
      <c r="E256" s="76">
        <f>MIN(D256*Constantes!$E$17,0.8*(N255+Observaciones!$F255-F256-M256-Constantes!$D$14))</f>
        <v>-1.3685747170349316E-2</v>
      </c>
      <c r="F256" s="76">
        <f>IF(Observaciones!$F255&gt;0.05*Constantes!$E$18,((Observaciones!$F255-0.05*Constantes!$E$18)^2)/(Observaciones!$F255+0.95*Constantes!$E$18),0)</f>
        <v>0</v>
      </c>
      <c r="G256" s="76">
        <f>IF(Escenarios!$E$11&gt;0,(F256*Escenarios!$E$16*10000)/1000,0)</f>
        <v>0</v>
      </c>
      <c r="H256" s="76">
        <f>IF(Escenarios!$E$11&gt;0,(Observaciones!$F255*Constantes!$E$29)/1000,0)</f>
        <v>0</v>
      </c>
      <c r="I256" s="76">
        <f>IF(Escenarios!$E$11&gt;0,(D256*Constantes!$E$29)/1000,0)</f>
        <v>36.557020871309653</v>
      </c>
      <c r="J256" s="76">
        <f>IF(Escenarios!$E$11&gt;0,MAX(0,G256+H256-I256),0)</f>
        <v>0</v>
      </c>
      <c r="K256" s="76">
        <f>IF(Escenarios!$E$11&gt;0,IF(J256&gt;Constantes!$E$30,1000*((J256-Constantes!$E$30)/(Escenarios!$E$16*10000)),0),F256)</f>
        <v>0</v>
      </c>
      <c r="L256" s="76">
        <f>IF(Escenarios!$E$11&gt;0,I256*1000/Escenarios!$E$16/10000+E256,E256)</f>
        <v>9.3706117817454575E-4</v>
      </c>
      <c r="M256" s="76">
        <f>MAX(0,N255+Observaciones!$F255-K256-Constantes!$D$13)</f>
        <v>0</v>
      </c>
      <c r="N256" s="76">
        <f>N255+Observaciones!$F255-K256-L256-M256-O255</f>
        <v>11.231955754858889</v>
      </c>
      <c r="O256" s="76">
        <f>MAX(0,(N256-Constantes!$D$14)*(1-EXP(-Constantes!$D$22)))</f>
        <v>0</v>
      </c>
      <c r="P256" s="170">
        <f>P255+(Entradas!$E$83*M256-Q255)/(800*Entradas!$D$25)</f>
        <v>0</v>
      </c>
      <c r="Q256" s="170">
        <f>8000*Entradas!$D$26*P256/Constantes!$E$45</f>
        <v>0</v>
      </c>
      <c r="R256" s="170">
        <f>IF(Escenarios!$E$14&gt;0,K256*Escenarios!$E$13/Escenarios!$E$14,0)</f>
        <v>0</v>
      </c>
      <c r="S256" s="170">
        <f>IF(Escenarios!$E$14&gt;0,Q256*Escenarios!$E$13/Escenarios!$E$14,0)</f>
        <v>0</v>
      </c>
      <c r="T256" s="170">
        <f>IF(Escenarios!$E$14&gt;0,Observaciones!$I255,0)</f>
        <v>0</v>
      </c>
      <c r="U256" s="170">
        <f>IF(Escenarios!$E$14&gt;0,MAX(0,Constantes!$E$36/((Z255+R256+S256+T256+Observaciones!$F255)^2)+Entradas!$E$77),0)</f>
        <v>0</v>
      </c>
      <c r="V256" s="146">
        <f>IF(ETo!D255&gt;0,ETo!I255*((1-Entradas!$E$81)*ETo!K255+ETo!L255),0)</f>
        <v>3.3259698422851183</v>
      </c>
      <c r="W256" s="170">
        <f>IF(Escenarios!$E$14&gt;0,MIN(V256*1,0.8*(Z255+R256+S256+T256+Observaciones!$F255-U256-Constantes!$E$35)),0)</f>
        <v>5.6843418860808018E-15</v>
      </c>
      <c r="X256" s="170">
        <f>IF(Escenarios!$E$14&gt;0,Observaciones!$J255,0)</f>
        <v>0</v>
      </c>
      <c r="Y256" s="170">
        <f>IF(Escenarios!$E$14&gt;0,MAX(0,Z255+R256+S256+T256+Observaciones!$F255-U256-W256-X256-Constantes!$E$33),0)</f>
        <v>0</v>
      </c>
      <c r="Z256" s="170">
        <f>Z255+R256+S256+T256+Observaciones!$F255-U256-W256-Y256</f>
        <v>41.25</v>
      </c>
      <c r="AA256" s="170">
        <f>IF(Escenarios!$E$14&gt;0,(Escenarios!$E$13*L256+Escenarios!$E$14*W256)/(Escenarios!$E$16),L256)</f>
        <v>8.2461383679428239E-4</v>
      </c>
      <c r="AB256" s="170">
        <f>IF(Escenarios!$E$14&gt;0,(Escenarios!$E$14*Y256)/(Escenarios!$E$16),K256)</f>
        <v>0</v>
      </c>
      <c r="AC256" s="170">
        <f>IF(Escenarios!$E$14&gt;0,(Escenarios!$E$13*M256+Escenarios!$E$14*U256)/(Escenarios!$E$16),M256)</f>
        <v>0</v>
      </c>
      <c r="AD256" s="76">
        <f t="shared" si="43"/>
        <v>74.856216287884024</v>
      </c>
      <c r="AE256" s="76">
        <f>MAX(0,(AD256-Constantes!$D$13)*(1-EXP(-Constantes!$D$23)))</f>
        <v>0.25723076710079706</v>
      </c>
      <c r="AF256" s="76">
        <f>AB256+O256*Escenarios!$E$13/Escenarios!$E$16+AE256</f>
        <v>0.25723076710079706</v>
      </c>
      <c r="AG256" s="76">
        <f>IF(Entradas!$E$91&gt;0,IF(AF256-Escenarios!$E$38&lt;=0,0,IF(AF256-Escenarios!$E$38&gt;Escenarios!$E$37,Escenarios!$E$37,AF256-Escenarios!$E$38)),0)</f>
        <v>0</v>
      </c>
      <c r="AH256" s="76">
        <f>AG256*Entradas!$E$99</f>
        <v>0</v>
      </c>
      <c r="AI256" s="76">
        <f>IF(Entradas!$E$91&gt;0,D256*Entradas!$D$23/Escenarios!$E$16,0)</f>
        <v>0</v>
      </c>
      <c r="AJ256" s="76">
        <f>IF(Entradas!$E$91&gt;0,Entradas!$D$24*Entradas!$D$22/Escenarios!$E$16,0)</f>
        <v>0</v>
      </c>
      <c r="AK256" s="76">
        <f t="shared" si="52"/>
        <v>8.2461383679428239E-4</v>
      </c>
      <c r="AL256" s="76">
        <f t="shared" si="53"/>
        <v>0</v>
      </c>
      <c r="AM256" s="76">
        <f t="shared" si="44"/>
        <v>0</v>
      </c>
      <c r="AN256" s="76">
        <f>MAX(0,O256*Escenarios!$E$13/Escenarios!$E$16-AM256)</f>
        <v>0</v>
      </c>
      <c r="AO256" s="76">
        <f>AM256+AN256-O256*Escenarios!$E$13/Escenarios!$E$16</f>
        <v>0</v>
      </c>
      <c r="AP256" s="76">
        <f t="shared" si="42"/>
        <v>0.25723076710079706</v>
      </c>
      <c r="AQ256" s="76">
        <f t="shared" si="45"/>
        <v>0</v>
      </c>
      <c r="AR256" s="76">
        <f t="shared" si="46"/>
        <v>0.25723076710079706</v>
      </c>
      <c r="AS256" s="76">
        <f t="shared" si="47"/>
        <v>0</v>
      </c>
      <c r="AT256" s="76">
        <f t="shared" si="48"/>
        <v>0</v>
      </c>
      <c r="AU256" s="76">
        <f t="shared" si="49"/>
        <v>48.75</v>
      </c>
      <c r="AV256" s="76">
        <f>MAX(0,(AU256-Constantes!$D$13)*(1-EXP(-Constantes!$D$24)))</f>
        <v>0</v>
      </c>
      <c r="AW256" s="170">
        <f>AW255+(Entradas!$E$112*AT256-AX255)/(800*Entradas!$D$25)</f>
        <v>0</v>
      </c>
      <c r="AX256" s="170">
        <f>8000*Entradas!$D$26*AW256/Constantes!$E$45</f>
        <v>0</v>
      </c>
      <c r="AY256" s="170">
        <f>IF(Escenarios!$E$17&gt;0,10*Escenarios!$E$16*AL256,0)</f>
        <v>0</v>
      </c>
      <c r="AZ256" s="170">
        <f>IF(Escenarios!$E$17&gt;0,10*Escenarios!$E$16*AX256,0)</f>
        <v>0</v>
      </c>
      <c r="BA256" s="170">
        <f>IF(Escenarios!$E$17&gt;0,0.001*Observaciones!$F255*Escenarios!$E$17,0)</f>
        <v>0</v>
      </c>
      <c r="BB256" s="170">
        <f>IF(Escenarios!$E$17&gt;0,Observaciones!$K255,0)</f>
        <v>0</v>
      </c>
      <c r="BC256" s="170">
        <f>IF(Escenarios!$E$17&gt;0,MIN(0.0005*ETo!$M255*Escenarios!$E$17*(BG255/Constantes!$E$40)^(2/3),BG255+AY256+AZ256+BA256+BB256),0)</f>
        <v>2.1884725434403172</v>
      </c>
      <c r="BD256" s="170">
        <f>IF(Escenarios!$E$17&gt;0,MIN(Constantes!$E$39*(BG255/Constantes!$E$40)^(2/3),BG255+AY256+AZ256+BA256+BB256-BC256),0)</f>
        <v>4.1939369119972847</v>
      </c>
      <c r="BE256" s="170">
        <f>IF(Escenarios!$E$17&gt;0,MIN(Entradas!$E$113,BG255+AY256+AZ256+BA256+BB256-BC256-BD256),0)</f>
        <v>1</v>
      </c>
      <c r="BF256" s="170">
        <f>IF(Escenarios!$E$17&gt;0,MAX(0,BG255+AY256+AZ256+BA256+BB256-BC256-BD256-BE256-Constantes!$E$40),0)</f>
        <v>0</v>
      </c>
      <c r="BG256" s="170">
        <f t="shared" si="54"/>
        <v>72.639074394357991</v>
      </c>
      <c r="BH256" s="170">
        <f>(Escenarios!$E$16*AK256+0.1*BC256)/(Escenarios!$E$19)</f>
        <v>1.6865107680261997E-3</v>
      </c>
      <c r="BI256" s="170">
        <f>IF(Escenarios!$E$17&gt;0,BF256/10/Escenarios!$E$19,AL256)</f>
        <v>0</v>
      </c>
      <c r="BJ256" s="170">
        <f>(Escenarios!$E$16*AT256+0.1*BD256)/(Escenarios!$E$19)</f>
        <v>1.6642606793640018E-3</v>
      </c>
      <c r="BK256" s="76">
        <f>BK255+(0.1*BD256)/(Escenarios!$E$19)-BL255</f>
        <v>49.700661257077989</v>
      </c>
      <c r="BL256" s="76">
        <f>MAX(0,(BK256-Constantes!$D$13)*(1-EXP(-Constantes!$D$23)))</f>
        <v>9.3670917958597732E-3</v>
      </c>
      <c r="BM256" s="76">
        <f t="shared" si="50"/>
        <v>0.26659785889665683</v>
      </c>
      <c r="BN256" s="76">
        <f t="shared" si="55"/>
        <v>0.26659785889665683</v>
      </c>
      <c r="BO256" s="76">
        <f>0.0526*BI256*Observaciones!$F255^1.218</f>
        <v>0</v>
      </c>
      <c r="BP256" s="76">
        <f>BO256*Constantes!$E$51</f>
        <v>0</v>
      </c>
      <c r="BQ256" s="76">
        <f t="shared" si="51"/>
        <v>0</v>
      </c>
      <c r="BR256" s="40"/>
    </row>
    <row r="257" spans="1:70">
      <c r="A257" s="147"/>
      <c r="B257" s="39"/>
      <c r="C257" s="75">
        <v>251</v>
      </c>
      <c r="D257" s="146">
        <f>ETo!$I256*((1-Constantes!$E$19)*ETo!$K256+ETo!$L256)</f>
        <v>3.6846121313156157</v>
      </c>
      <c r="E257" s="76">
        <f>MIN(D257*Constantes!$E$17,0.8*(N256+Observaciones!$F256-F257-M257-Constantes!$D$14))</f>
        <v>-1.4435396112888556E-2</v>
      </c>
      <c r="F257" s="76">
        <f>IF(Observaciones!$F256&gt;0.05*Constantes!$E$18,((Observaciones!$F256-0.05*Constantes!$E$18)^2)/(Observaciones!$F256+0.95*Constantes!$E$18),0)</f>
        <v>0</v>
      </c>
      <c r="G257" s="76">
        <f>IF(Escenarios!$E$11&gt;0,(F257*Escenarios!$E$16*10000)/1000,0)</f>
        <v>0</v>
      </c>
      <c r="H257" s="76">
        <f>IF(Escenarios!$E$11&gt;0,(Observaciones!$F256*Constantes!$E$29)/1000,0)</f>
        <v>0</v>
      </c>
      <c r="I257" s="76">
        <f>IF(Escenarios!$E$11&gt;0,(D257*Constantes!$E$29)/1000,0)</f>
        <v>36.846121313156161</v>
      </c>
      <c r="J257" s="76">
        <f>IF(Escenarios!$E$11&gt;0,MAX(0,G257+H257-I257),0)</f>
        <v>0</v>
      </c>
      <c r="K257" s="76">
        <f>IF(Escenarios!$E$11&gt;0,IF(J257&gt;Constantes!$E$30,1000*((J257-Constantes!$E$30)/(Escenarios!$E$16*10000)),0),F257)</f>
        <v>0</v>
      </c>
      <c r="L257" s="76">
        <f>IF(Escenarios!$E$11&gt;0,I257*1000/Escenarios!$E$16/10000+E257,E257)</f>
        <v>3.0305241237390916E-4</v>
      </c>
      <c r="M257" s="76">
        <f>MAX(0,N256+Observaciones!$F256-K257-Constantes!$D$13)</f>
        <v>0</v>
      </c>
      <c r="N257" s="76">
        <f>N256+Observaciones!$F256-K257-L257-M257-O256</f>
        <v>11.231652702446516</v>
      </c>
      <c r="O257" s="76">
        <f>MAX(0,(N257-Constantes!$D$14)*(1-EXP(-Constantes!$D$22)))</f>
        <v>0</v>
      </c>
      <c r="P257" s="170">
        <f>P256+(Entradas!$E$83*M257-Q256)/(800*Entradas!$D$25)</f>
        <v>0</v>
      </c>
      <c r="Q257" s="170">
        <f>8000*Entradas!$D$26*P257/Constantes!$E$45</f>
        <v>0</v>
      </c>
      <c r="R257" s="170">
        <f>IF(Escenarios!$E$14&gt;0,K257*Escenarios!$E$13/Escenarios!$E$14,0)</f>
        <v>0</v>
      </c>
      <c r="S257" s="170">
        <f>IF(Escenarios!$E$14&gt;0,Q257*Escenarios!$E$13/Escenarios!$E$14,0)</f>
        <v>0</v>
      </c>
      <c r="T257" s="170">
        <f>IF(Escenarios!$E$14&gt;0,Observaciones!$I256,0)</f>
        <v>0</v>
      </c>
      <c r="U257" s="170">
        <f>IF(Escenarios!$E$14&gt;0,MAX(0,Constantes!$E$36/((Z256+R257+S257+T257+Observaciones!$F256)^2)+Entradas!$E$77),0)</f>
        <v>0</v>
      </c>
      <c r="V257" s="146">
        <f>IF(ETo!D256&gt;0,ETo!I256*((1-Entradas!$E$81)*ETo!K256+ETo!L256),0)</f>
        <v>3.3528556559893876</v>
      </c>
      <c r="W257" s="170">
        <f>IF(Escenarios!$E$14&gt;0,MIN(V257*1,0.8*(Z256+R257+S257+T257+Observaciones!$F256-U257-Constantes!$E$35)),0)</f>
        <v>0</v>
      </c>
      <c r="X257" s="170">
        <f>IF(Escenarios!$E$14&gt;0,Observaciones!$J256,0)</f>
        <v>0</v>
      </c>
      <c r="Y257" s="170">
        <f>IF(Escenarios!$E$14&gt;0,MAX(0,Z256+R257+S257+T257+Observaciones!$F256-U257-W257-X257-Constantes!$E$33),0)</f>
        <v>0</v>
      </c>
      <c r="Z257" s="170">
        <f>Z256+R257+S257+T257+Observaciones!$F256-U257-W257-Y257</f>
        <v>41.25</v>
      </c>
      <c r="AA257" s="170">
        <f>IF(Escenarios!$E$14&gt;0,(Escenarios!$E$13*L257+Escenarios!$E$14*W257)/(Escenarios!$E$16),L257)</f>
        <v>2.6668612288904001E-4</v>
      </c>
      <c r="AB257" s="170">
        <f>IF(Escenarios!$E$14&gt;0,(Escenarios!$E$14*Y257)/(Escenarios!$E$16),K257)</f>
        <v>0</v>
      </c>
      <c r="AC257" s="170">
        <f>IF(Escenarios!$E$14&gt;0,(Escenarios!$E$13*M257+Escenarios!$E$14*U257)/(Escenarios!$E$16),M257)</f>
        <v>0</v>
      </c>
      <c r="AD257" s="76">
        <f t="shared" si="43"/>
        <v>74.598985520783231</v>
      </c>
      <c r="AE257" s="76">
        <f>MAX(0,(AD257-Constantes!$D$13)*(1-EXP(-Constantes!$D$23)))</f>
        <v>0.25469621108495755</v>
      </c>
      <c r="AF257" s="76">
        <f>AB257+O257*Escenarios!$E$13/Escenarios!$E$16+AE257</f>
        <v>0.25469621108495755</v>
      </c>
      <c r="AG257" s="76">
        <f>IF(Entradas!$E$91&gt;0,IF(AF257-Escenarios!$E$38&lt;=0,0,IF(AF257-Escenarios!$E$38&gt;Escenarios!$E$37,Escenarios!$E$37,AF257-Escenarios!$E$38)),0)</f>
        <v>0</v>
      </c>
      <c r="AH257" s="76">
        <f>AG257*Entradas!$E$99</f>
        <v>0</v>
      </c>
      <c r="AI257" s="76">
        <f>IF(Entradas!$E$91&gt;0,D257*Entradas!$D$23/Escenarios!$E$16,0)</f>
        <v>0</v>
      </c>
      <c r="AJ257" s="76">
        <f>IF(Entradas!$E$91&gt;0,Entradas!$D$24*Entradas!$D$22/Escenarios!$E$16,0)</f>
        <v>0</v>
      </c>
      <c r="AK257" s="76">
        <f t="shared" si="52"/>
        <v>2.6668612288904001E-4</v>
      </c>
      <c r="AL257" s="76">
        <f t="shared" si="53"/>
        <v>0</v>
      </c>
      <c r="AM257" s="76">
        <f t="shared" si="44"/>
        <v>0</v>
      </c>
      <c r="AN257" s="76">
        <f>MAX(0,O257*Escenarios!$E$13/Escenarios!$E$16-AM257)</f>
        <v>0</v>
      </c>
      <c r="AO257" s="76">
        <f>AM257+AN257-O257*Escenarios!$E$13/Escenarios!$E$16</f>
        <v>0</v>
      </c>
      <c r="AP257" s="76">
        <f t="shared" si="42"/>
        <v>0.25469621108495755</v>
      </c>
      <c r="AQ257" s="76">
        <f t="shared" si="45"/>
        <v>0</v>
      </c>
      <c r="AR257" s="76">
        <f t="shared" si="46"/>
        <v>0.25469621108495755</v>
      </c>
      <c r="AS257" s="76">
        <f t="shared" si="47"/>
        <v>0</v>
      </c>
      <c r="AT257" s="76">
        <f t="shared" si="48"/>
        <v>0</v>
      </c>
      <c r="AU257" s="76">
        <f t="shared" si="49"/>
        <v>48.75</v>
      </c>
      <c r="AV257" s="76">
        <f>MAX(0,(AU257-Constantes!$D$13)*(1-EXP(-Constantes!$D$24)))</f>
        <v>0</v>
      </c>
      <c r="AW257" s="170">
        <f>AW256+(Entradas!$E$112*AT257-AX256)/(800*Entradas!$D$25)</f>
        <v>0</v>
      </c>
      <c r="AX257" s="170">
        <f>8000*Entradas!$D$26*AW257/Constantes!$E$45</f>
        <v>0</v>
      </c>
      <c r="AY257" s="170">
        <f>IF(Escenarios!$E$17&gt;0,10*Escenarios!$E$16*AL257,0)</f>
        <v>0</v>
      </c>
      <c r="AZ257" s="170">
        <f>IF(Escenarios!$E$17&gt;0,10*Escenarios!$E$16*AX257,0)</f>
        <v>0</v>
      </c>
      <c r="BA257" s="170">
        <f>IF(Escenarios!$E$17&gt;0,0.001*Observaciones!$F256*Escenarios!$E$17,0)</f>
        <v>0</v>
      </c>
      <c r="BB257" s="170">
        <f>IF(Escenarios!$E$17&gt;0,Observaciones!$K256,0)</f>
        <v>0</v>
      </c>
      <c r="BC257" s="170">
        <f>IF(Escenarios!$E$17&gt;0,MIN(0.0005*ETo!$M256*Escenarios!$E$17*(BG256/Constantes!$E$40)^(2/3),BG256+AY257+AZ257+BA257+BB257),0)</f>
        <v>2.0674886151527585</v>
      </c>
      <c r="BD257" s="170">
        <f>IF(Escenarios!$E$17&gt;0,MIN(Constantes!$E$39*(BG256/Constantes!$E$40)^(2/3),BG256+AY257+AZ257+BA257+BB257-BC257),0)</f>
        <v>3.9318568163600287</v>
      </c>
      <c r="BE257" s="170">
        <f>IF(Escenarios!$E$17&gt;0,MIN(Entradas!$E$113,BG256+AY257+AZ257+BA257+BB257-BC257-BD257),0)</f>
        <v>1</v>
      </c>
      <c r="BF257" s="170">
        <f>IF(Escenarios!$E$17&gt;0,MAX(0,BG256+AY257+AZ257+BA257+BB257-BC257-BD257-BE257-Constantes!$E$40),0)</f>
        <v>0</v>
      </c>
      <c r="BG257" s="170">
        <f t="shared" si="54"/>
        <v>65.639728962845211</v>
      </c>
      <c r="BH257" s="170">
        <f>(Escenarios!$E$16*AK257+0.1*BC257)/(Escenarios!$E$19)</f>
        <v>1.0850015564981583E-3</v>
      </c>
      <c r="BI257" s="170">
        <f>IF(Escenarios!$E$17&gt;0,BF257/10/Escenarios!$E$19,AL257)</f>
        <v>0</v>
      </c>
      <c r="BJ257" s="170">
        <f>(Escenarios!$E$16*AT257+0.1*BD257)/(Escenarios!$E$19)</f>
        <v>1.5602606414127098E-3</v>
      </c>
      <c r="BK257" s="76">
        <f>BK256+(0.1*BD257)/(Escenarios!$E$19)-BL256</f>
        <v>49.692854425923542</v>
      </c>
      <c r="BL257" s="76">
        <f>MAX(0,(BK257-Constantes!$D$13)*(1-EXP(-Constantes!$D$23)))</f>
        <v>9.2901692290526944E-3</v>
      </c>
      <c r="BM257" s="76">
        <f t="shared" si="50"/>
        <v>0.26398638031401023</v>
      </c>
      <c r="BN257" s="76">
        <f t="shared" si="55"/>
        <v>0.26398638031401023</v>
      </c>
      <c r="BO257" s="76">
        <f>0.0526*BI257*Observaciones!$F256^1.218</f>
        <v>0</v>
      </c>
      <c r="BP257" s="76">
        <f>BO257*Constantes!$E$51</f>
        <v>0</v>
      </c>
      <c r="BQ257" s="76">
        <f t="shared" si="51"/>
        <v>0</v>
      </c>
      <c r="BR257" s="40"/>
    </row>
    <row r="258" spans="1:70">
      <c r="A258" s="147"/>
      <c r="B258" s="39"/>
      <c r="C258" s="75">
        <v>252</v>
      </c>
      <c r="D258" s="146">
        <f>ETo!$I257*((1-Constantes!$E$19)*ETo!$K257+ETo!$L257)</f>
        <v>3.725416938942582</v>
      </c>
      <c r="E258" s="76">
        <f>MIN(D258*Constantes!$E$17,0.8*(N257+Observaciones!$F257-F258-M258-Constantes!$D$14))</f>
        <v>-1.4677838042787529E-2</v>
      </c>
      <c r="F258" s="76">
        <f>IF(Observaciones!$F257&gt;0.05*Constantes!$E$18,((Observaciones!$F257-0.05*Constantes!$E$18)^2)/(Observaciones!$F257+0.95*Constantes!$E$18),0)</f>
        <v>0</v>
      </c>
      <c r="G258" s="76">
        <f>IF(Escenarios!$E$11&gt;0,(F258*Escenarios!$E$16*10000)/1000,0)</f>
        <v>0</v>
      </c>
      <c r="H258" s="76">
        <f>IF(Escenarios!$E$11&gt;0,(Observaciones!$F257*Constantes!$E$29)/1000,0)</f>
        <v>0</v>
      </c>
      <c r="I258" s="76">
        <f>IF(Escenarios!$E$11&gt;0,(D258*Constantes!$E$29)/1000,0)</f>
        <v>37.254169389425819</v>
      </c>
      <c r="J258" s="76">
        <f>IF(Escenarios!$E$11&gt;0,MAX(0,G258+H258-I258),0)</f>
        <v>0</v>
      </c>
      <c r="K258" s="76">
        <f>IF(Escenarios!$E$11&gt;0,IF(J258&gt;Constantes!$E$30,1000*((J258-Constantes!$E$30)/(Escenarios!$E$16*10000)),0),F258)</f>
        <v>0</v>
      </c>
      <c r="L258" s="76">
        <f>IF(Escenarios!$E$11&gt;0,I258*1000/Escenarios!$E$16/10000+E258,E258)</f>
        <v>2.2382971298279784E-4</v>
      </c>
      <c r="M258" s="76">
        <f>MAX(0,N257+Observaciones!$F257-K258-Constantes!$D$13)</f>
        <v>0</v>
      </c>
      <c r="N258" s="76">
        <f>N257+Observaciones!$F257-K258-L258-M258-O257</f>
        <v>11.231428872733533</v>
      </c>
      <c r="O258" s="76">
        <f>MAX(0,(N258-Constantes!$D$14)*(1-EXP(-Constantes!$D$22)))</f>
        <v>0</v>
      </c>
      <c r="P258" s="170">
        <f>P257+(Entradas!$E$83*M258-Q257)/(800*Entradas!$D$25)</f>
        <v>0</v>
      </c>
      <c r="Q258" s="170">
        <f>8000*Entradas!$D$26*P258/Constantes!$E$45</f>
        <v>0</v>
      </c>
      <c r="R258" s="170">
        <f>IF(Escenarios!$E$14&gt;0,K258*Escenarios!$E$13/Escenarios!$E$14,0)</f>
        <v>0</v>
      </c>
      <c r="S258" s="170">
        <f>IF(Escenarios!$E$14&gt;0,Q258*Escenarios!$E$13/Escenarios!$E$14,0)</f>
        <v>0</v>
      </c>
      <c r="T258" s="170">
        <f>IF(Escenarios!$E$14&gt;0,Observaciones!$I257,0)</f>
        <v>0</v>
      </c>
      <c r="U258" s="170">
        <f>IF(Escenarios!$E$14&gt;0,MAX(0,Constantes!$E$36/((Z257+R258+S258+T258+Observaciones!$F257)^2)+Entradas!$E$77),0)</f>
        <v>0</v>
      </c>
      <c r="V258" s="146">
        <f>IF(ETo!D257&gt;0,ETo!I257*((1-Entradas!$E$81)*ETo!K257+ETo!L257),0)</f>
        <v>3.3907072393580706</v>
      </c>
      <c r="W258" s="170">
        <f>IF(Escenarios!$E$14&gt;0,MIN(V258*1,0.8*(Z257+R258+S258+T258+Observaciones!$F257-U258-Constantes!$E$35)),0)</f>
        <v>0</v>
      </c>
      <c r="X258" s="170">
        <f>IF(Escenarios!$E$14&gt;0,Observaciones!$J257,0)</f>
        <v>0</v>
      </c>
      <c r="Y258" s="170">
        <f>IF(Escenarios!$E$14&gt;0,MAX(0,Z257+R258+S258+T258+Observaciones!$F257-U258-W258-X258-Constantes!$E$33),0)</f>
        <v>0</v>
      </c>
      <c r="Z258" s="170">
        <f>Z257+R258+S258+T258+Observaciones!$F257-U258-W258-Y258</f>
        <v>41.25</v>
      </c>
      <c r="AA258" s="170">
        <f>IF(Escenarios!$E$14&gt;0,(Escenarios!$E$13*L258+Escenarios!$E$14*W258)/(Escenarios!$E$16),L258)</f>
        <v>1.9697014742486209E-4</v>
      </c>
      <c r="AB258" s="170">
        <f>IF(Escenarios!$E$14&gt;0,(Escenarios!$E$14*Y258)/(Escenarios!$E$16),K258)</f>
        <v>0</v>
      </c>
      <c r="AC258" s="170">
        <f>IF(Escenarios!$E$14&gt;0,(Escenarios!$E$13*M258+Escenarios!$E$14*U258)/(Escenarios!$E$16),M258)</f>
        <v>0</v>
      </c>
      <c r="AD258" s="76">
        <f t="shared" si="43"/>
        <v>74.344289309698269</v>
      </c>
      <c r="AE258" s="76">
        <f>MAX(0,(AD258-Constantes!$D$13)*(1-EXP(-Constantes!$D$23)))</f>
        <v>0.25218662865322627</v>
      </c>
      <c r="AF258" s="76">
        <f>AB258+O258*Escenarios!$E$13/Escenarios!$E$16+AE258</f>
        <v>0.25218662865322627</v>
      </c>
      <c r="AG258" s="76">
        <f>IF(Entradas!$E$91&gt;0,IF(AF258-Escenarios!$E$38&lt;=0,0,IF(AF258-Escenarios!$E$38&gt;Escenarios!$E$37,Escenarios!$E$37,AF258-Escenarios!$E$38)),0)</f>
        <v>0</v>
      </c>
      <c r="AH258" s="76">
        <f>AG258*Entradas!$E$99</f>
        <v>0</v>
      </c>
      <c r="AI258" s="76">
        <f>IF(Entradas!$E$91&gt;0,D258*Entradas!$D$23/Escenarios!$E$16,0)</f>
        <v>0</v>
      </c>
      <c r="AJ258" s="76">
        <f>IF(Entradas!$E$91&gt;0,Entradas!$D$24*Entradas!$D$22/Escenarios!$E$16,0)</f>
        <v>0</v>
      </c>
      <c r="AK258" s="76">
        <f t="shared" si="52"/>
        <v>1.9697014742486209E-4</v>
      </c>
      <c r="AL258" s="76">
        <f t="shared" si="53"/>
        <v>0</v>
      </c>
      <c r="AM258" s="76">
        <f t="shared" si="44"/>
        <v>0</v>
      </c>
      <c r="AN258" s="76">
        <f>MAX(0,O258*Escenarios!$E$13/Escenarios!$E$16-AM258)</f>
        <v>0</v>
      </c>
      <c r="AO258" s="76">
        <f>AM258+AN258-O258*Escenarios!$E$13/Escenarios!$E$16</f>
        <v>0</v>
      </c>
      <c r="AP258" s="76">
        <f t="shared" si="42"/>
        <v>0.25218662865322627</v>
      </c>
      <c r="AQ258" s="76">
        <f t="shared" si="45"/>
        <v>0</v>
      </c>
      <c r="AR258" s="76">
        <f t="shared" si="46"/>
        <v>0.25218662865322627</v>
      </c>
      <c r="AS258" s="76">
        <f t="shared" si="47"/>
        <v>0</v>
      </c>
      <c r="AT258" s="76">
        <f t="shared" si="48"/>
        <v>0</v>
      </c>
      <c r="AU258" s="76">
        <f t="shared" si="49"/>
        <v>48.75</v>
      </c>
      <c r="AV258" s="76">
        <f>MAX(0,(AU258-Constantes!$D$13)*(1-EXP(-Constantes!$D$24)))</f>
        <v>0</v>
      </c>
      <c r="AW258" s="170">
        <f>AW257+(Entradas!$E$112*AT258-AX257)/(800*Entradas!$D$25)</f>
        <v>0</v>
      </c>
      <c r="AX258" s="170">
        <f>8000*Entradas!$D$26*AW258/Constantes!$E$45</f>
        <v>0</v>
      </c>
      <c r="AY258" s="170">
        <f>IF(Escenarios!$E$17&gt;0,10*Escenarios!$E$16*AL258,0)</f>
        <v>0</v>
      </c>
      <c r="AZ258" s="170">
        <f>IF(Escenarios!$E$17&gt;0,10*Escenarios!$E$16*AX258,0)</f>
        <v>0</v>
      </c>
      <c r="BA258" s="170">
        <f>IF(Escenarios!$E$17&gt;0,0.001*Observaciones!$F257*Escenarios!$E$17,0)</f>
        <v>0</v>
      </c>
      <c r="BB258" s="170">
        <f>IF(Escenarios!$E$17&gt;0,Observaciones!$K257,0)</f>
        <v>0</v>
      </c>
      <c r="BC258" s="170">
        <f>IF(Escenarios!$E$17&gt;0,MIN(0.0005*ETo!$M257*Escenarios!$E$17*(BG257/Constantes!$E$40)^(2/3),BG257+AY258+AZ258+BA258+BB258),0)</f>
        <v>1.9533259899062583</v>
      </c>
      <c r="BD258" s="170">
        <f>IF(Escenarios!$E$17&gt;0,MIN(Constantes!$E$39*(BG257/Constantes!$E$40)^(2/3),BG257+AY258+AZ258+BA258+BB258-BC258),0)</f>
        <v>3.6750395094337307</v>
      </c>
      <c r="BE258" s="170">
        <f>IF(Escenarios!$E$17&gt;0,MIN(Entradas!$E$113,BG257+AY258+AZ258+BA258+BB258-BC258-BD258),0)</f>
        <v>1</v>
      </c>
      <c r="BF258" s="170">
        <f>IF(Escenarios!$E$17&gt;0,MAX(0,BG257+AY258+AZ258+BA258+BB258-BC258-BD258-BE258-Constantes!$E$40),0)</f>
        <v>0</v>
      </c>
      <c r="BG258" s="170">
        <f t="shared" si="54"/>
        <v>59.011363463505219</v>
      </c>
      <c r="BH258" s="170">
        <f>(Escenarios!$E$16*AK258+0.1*BC258)/(Escenarios!$E$19)</f>
        <v>9.705362533604815E-4</v>
      </c>
      <c r="BI258" s="170">
        <f>IF(Escenarios!$E$17&gt;0,BF258/10/Escenarios!$E$19,AL258)</f>
        <v>0</v>
      </c>
      <c r="BJ258" s="170">
        <f>(Escenarios!$E$16*AT258+0.1*BD258)/(Escenarios!$E$19)</f>
        <v>1.458349011680052E-3</v>
      </c>
      <c r="BK258" s="76">
        <f>BK257+(0.1*BD258)/(Escenarios!$E$19)-BL257</f>
        <v>49.685022605706166</v>
      </c>
      <c r="BL258" s="76">
        <f>MAX(0,(BK258-Constantes!$D$13)*(1-EXP(-Constantes!$D$23)))</f>
        <v>9.2130004390566442E-3</v>
      </c>
      <c r="BM258" s="76">
        <f t="shared" si="50"/>
        <v>0.26139962909228293</v>
      </c>
      <c r="BN258" s="76">
        <f t="shared" si="55"/>
        <v>0.26139962909228293</v>
      </c>
      <c r="BO258" s="76">
        <f>0.0526*BI258*Observaciones!$F257^1.218</f>
        <v>0</v>
      </c>
      <c r="BP258" s="76">
        <f>BO258*Constantes!$E$51</f>
        <v>0</v>
      </c>
      <c r="BQ258" s="76">
        <f t="shared" si="51"/>
        <v>0</v>
      </c>
      <c r="BR258" s="40"/>
    </row>
    <row r="259" spans="1:70">
      <c r="A259" s="147"/>
      <c r="B259" s="39"/>
      <c r="C259" s="75">
        <v>253</v>
      </c>
      <c r="D259" s="146">
        <f>ETo!$I258*((1-Constantes!$E$19)*ETo!$K258+ETo!$L258)</f>
        <v>3.7222133449370371</v>
      </c>
      <c r="E259" s="76">
        <f>MIN(D259*Constantes!$E$17,0.8*(N258+Observaciones!$F258-F259-M259-Constantes!$D$14))</f>
        <v>-1.4856901813173807E-2</v>
      </c>
      <c r="F259" s="76">
        <f>IF(Observaciones!$F258&gt;0.05*Constantes!$E$18,((Observaciones!$F258-0.05*Constantes!$E$18)^2)/(Observaciones!$F258+0.95*Constantes!$E$18),0)</f>
        <v>0</v>
      </c>
      <c r="G259" s="76">
        <f>IF(Escenarios!$E$11&gt;0,(F259*Escenarios!$E$16*10000)/1000,0)</f>
        <v>0</v>
      </c>
      <c r="H259" s="76">
        <f>IF(Escenarios!$E$11&gt;0,(Observaciones!$F258*Constantes!$E$29)/1000,0)</f>
        <v>0</v>
      </c>
      <c r="I259" s="76">
        <f>IF(Escenarios!$E$11&gt;0,(D259*Constantes!$E$29)/1000,0)</f>
        <v>37.222133449370368</v>
      </c>
      <c r="J259" s="76">
        <f>IF(Escenarios!$E$11&gt;0,MAX(0,G259+H259-I259),0)</f>
        <v>0</v>
      </c>
      <c r="K259" s="76">
        <f>IF(Escenarios!$E$11&gt;0,IF(J259&gt;Constantes!$E$30,1000*((J259-Constantes!$E$30)/(Escenarios!$E$16*10000)),0),F259)</f>
        <v>0</v>
      </c>
      <c r="L259" s="76">
        <f>IF(Escenarios!$E$11&gt;0,I259*1000/Escenarios!$E$16/10000+E259,E259)</f>
        <v>3.1951566574340076E-5</v>
      </c>
      <c r="M259" s="76">
        <f>MAX(0,N258+Observaciones!$F258-K259-Constantes!$D$13)</f>
        <v>0</v>
      </c>
      <c r="N259" s="76">
        <f>N258+Observaciones!$F258-K259-L259-M259-O258</f>
        <v>11.231396921166958</v>
      </c>
      <c r="O259" s="76">
        <f>MAX(0,(N259-Constantes!$D$14)*(1-EXP(-Constantes!$D$22)))</f>
        <v>0</v>
      </c>
      <c r="P259" s="170">
        <f>P258+(Entradas!$E$83*M259-Q258)/(800*Entradas!$D$25)</f>
        <v>0</v>
      </c>
      <c r="Q259" s="170">
        <f>8000*Entradas!$D$26*P259/Constantes!$E$45</f>
        <v>0</v>
      </c>
      <c r="R259" s="170">
        <f>IF(Escenarios!$E$14&gt;0,K259*Escenarios!$E$13/Escenarios!$E$14,0)</f>
        <v>0</v>
      </c>
      <c r="S259" s="170">
        <f>IF(Escenarios!$E$14&gt;0,Q259*Escenarios!$E$13/Escenarios!$E$14,0)</f>
        <v>0</v>
      </c>
      <c r="T259" s="170">
        <f>IF(Escenarios!$E$14&gt;0,Observaciones!$I258,0)</f>
        <v>0</v>
      </c>
      <c r="U259" s="170">
        <f>IF(Escenarios!$E$14&gt;0,MAX(0,Constantes!$E$36/((Z258+R259+S259+T259+Observaciones!$F258)^2)+Entradas!$E$77),0)</f>
        <v>0</v>
      </c>
      <c r="V259" s="146">
        <f>IF(ETo!D258&gt;0,ETo!I258*((1-Entradas!$E$81)*ETo!K258+ETo!L258),0)</f>
        <v>3.3880024895029139</v>
      </c>
      <c r="W259" s="170">
        <f>IF(Escenarios!$E$14&gt;0,MIN(V259*1,0.8*(Z258+R259+S259+T259+Observaciones!$F258-U259-Constantes!$E$35)),0)</f>
        <v>0</v>
      </c>
      <c r="X259" s="170">
        <f>IF(Escenarios!$E$14&gt;0,Observaciones!$J258,0)</f>
        <v>0</v>
      </c>
      <c r="Y259" s="170">
        <f>IF(Escenarios!$E$14&gt;0,MAX(0,Z258+R259+S259+T259+Observaciones!$F258-U259-W259-X259-Constantes!$E$33),0)</f>
        <v>0</v>
      </c>
      <c r="Z259" s="170">
        <f>Z258+R259+S259+T259+Observaciones!$F258-U259-W259-Y259</f>
        <v>41.25</v>
      </c>
      <c r="AA259" s="170">
        <f>IF(Escenarios!$E$14&gt;0,(Escenarios!$E$13*L259+Escenarios!$E$14*W259)/(Escenarios!$E$16),L259)</f>
        <v>2.8117378585419269E-5</v>
      </c>
      <c r="AB259" s="170">
        <f>IF(Escenarios!$E$14&gt;0,(Escenarios!$E$14*Y259)/(Escenarios!$E$16),K259)</f>
        <v>0</v>
      </c>
      <c r="AC259" s="170">
        <f>IF(Escenarios!$E$14&gt;0,(Escenarios!$E$13*M259+Escenarios!$E$14*U259)/(Escenarios!$E$16),M259)</f>
        <v>0</v>
      </c>
      <c r="AD259" s="76">
        <f t="shared" si="43"/>
        <v>74.092102681045048</v>
      </c>
      <c r="AE259" s="76">
        <f>MAX(0,(AD259-Constantes!$D$13)*(1-EXP(-Constantes!$D$23)))</f>
        <v>0.24970177373493088</v>
      </c>
      <c r="AF259" s="76">
        <f>AB259+O259*Escenarios!$E$13/Escenarios!$E$16+AE259</f>
        <v>0.24970177373493088</v>
      </c>
      <c r="AG259" s="76">
        <f>IF(Entradas!$E$91&gt;0,IF(AF259-Escenarios!$E$38&lt;=0,0,IF(AF259-Escenarios!$E$38&gt;Escenarios!$E$37,Escenarios!$E$37,AF259-Escenarios!$E$38)),0)</f>
        <v>0</v>
      </c>
      <c r="AH259" s="76">
        <f>AG259*Entradas!$E$99</f>
        <v>0</v>
      </c>
      <c r="AI259" s="76">
        <f>IF(Entradas!$E$91&gt;0,D259*Entradas!$D$23/Escenarios!$E$16,0)</f>
        <v>0</v>
      </c>
      <c r="AJ259" s="76">
        <f>IF(Entradas!$E$91&gt;0,Entradas!$D$24*Entradas!$D$22/Escenarios!$E$16,0)</f>
        <v>0</v>
      </c>
      <c r="AK259" s="76">
        <f t="shared" si="52"/>
        <v>2.8117378585419269E-5</v>
      </c>
      <c r="AL259" s="76">
        <f t="shared" si="53"/>
        <v>0</v>
      </c>
      <c r="AM259" s="76">
        <f t="shared" si="44"/>
        <v>0</v>
      </c>
      <c r="AN259" s="76">
        <f>MAX(0,O259*Escenarios!$E$13/Escenarios!$E$16-AM259)</f>
        <v>0</v>
      </c>
      <c r="AO259" s="76">
        <f>AM259+AN259-O259*Escenarios!$E$13/Escenarios!$E$16</f>
        <v>0</v>
      </c>
      <c r="AP259" s="76">
        <f t="shared" si="42"/>
        <v>0.24970177373493088</v>
      </c>
      <c r="AQ259" s="76">
        <f t="shared" si="45"/>
        <v>0</v>
      </c>
      <c r="AR259" s="76">
        <f t="shared" si="46"/>
        <v>0.24970177373493088</v>
      </c>
      <c r="AS259" s="76">
        <f t="shared" si="47"/>
        <v>0</v>
      </c>
      <c r="AT259" s="76">
        <f t="shared" si="48"/>
        <v>0</v>
      </c>
      <c r="AU259" s="76">
        <f t="shared" si="49"/>
        <v>48.75</v>
      </c>
      <c r="AV259" s="76">
        <f>MAX(0,(AU259-Constantes!$D$13)*(1-EXP(-Constantes!$D$24)))</f>
        <v>0</v>
      </c>
      <c r="AW259" s="170">
        <f>AW258+(Entradas!$E$112*AT259-AX258)/(800*Entradas!$D$25)</f>
        <v>0</v>
      </c>
      <c r="AX259" s="170">
        <f>8000*Entradas!$D$26*AW259/Constantes!$E$45</f>
        <v>0</v>
      </c>
      <c r="AY259" s="170">
        <f>IF(Escenarios!$E$17&gt;0,10*Escenarios!$E$16*AL259,0)</f>
        <v>0</v>
      </c>
      <c r="AZ259" s="170">
        <f>IF(Escenarios!$E$17&gt;0,10*Escenarios!$E$16*AX259,0)</f>
        <v>0</v>
      </c>
      <c r="BA259" s="170">
        <f>IF(Escenarios!$E$17&gt;0,0.001*Observaciones!$F258*Escenarios!$E$17,0)</f>
        <v>0</v>
      </c>
      <c r="BB259" s="170">
        <f>IF(Escenarios!$E$17&gt;0,Observaciones!$K258,0)</f>
        <v>0</v>
      </c>
      <c r="BC259" s="170">
        <f>IF(Escenarios!$E$17&gt;0,MIN(0.0005*ETo!$M258*Escenarios!$E$17*(BG258/Constantes!$E$40)^(2/3),BG258+AY259+AZ259+BA259+BB259),0)</f>
        <v>1.8178012930444916</v>
      </c>
      <c r="BD259" s="170">
        <f>IF(Escenarios!$E$17&gt;0,MIN(Constantes!$E$39*(BG258/Constantes!$E$40)^(2/3),BG258+AY259+AZ259+BA259+BB259-BC259),0)</f>
        <v>3.423270827651228</v>
      </c>
      <c r="BE259" s="170">
        <f>IF(Escenarios!$E$17&gt;0,MIN(Entradas!$E$113,BG258+AY259+AZ259+BA259+BB259-BC259-BD259),0)</f>
        <v>1</v>
      </c>
      <c r="BF259" s="170">
        <f>IF(Escenarios!$E$17&gt;0,MAX(0,BG258+AY259+AZ259+BA259+BB259-BC259-BD259-BE259-Constantes!$E$40),0)</f>
        <v>0</v>
      </c>
      <c r="BG259" s="170">
        <f t="shared" si="54"/>
        <v>52.7702913428095</v>
      </c>
      <c r="BH259" s="170">
        <f>(Escenarios!$E$16*AK259+0.1*BC259)/(Escenarios!$E$19)</f>
        <v>7.4924394424922224E-4</v>
      </c>
      <c r="BI259" s="170">
        <f>IF(Escenarios!$E$17&gt;0,BF259/10/Escenarios!$E$19,AL259)</f>
        <v>0</v>
      </c>
      <c r="BJ259" s="170">
        <f>(Escenarios!$E$16*AT259+0.1*BD259)/(Escenarios!$E$19)</f>
        <v>1.3584408046235033E-3</v>
      </c>
      <c r="BK259" s="76">
        <f>BK258+(0.1*BD259)/(Escenarios!$E$19)-BL258</f>
        <v>49.677168046071735</v>
      </c>
      <c r="BL259" s="76">
        <f>MAX(0,(BK259-Constantes!$D$13)*(1-EXP(-Constantes!$D$23)))</f>
        <v>9.135607592168242E-3</v>
      </c>
      <c r="BM259" s="76">
        <f t="shared" si="50"/>
        <v>0.2588373813270991</v>
      </c>
      <c r="BN259" s="76">
        <f t="shared" si="55"/>
        <v>0.2588373813270991</v>
      </c>
      <c r="BO259" s="76">
        <f>0.0526*BI259*Observaciones!$F258^1.218</f>
        <v>0</v>
      </c>
      <c r="BP259" s="76">
        <f>BO259*Constantes!$E$51</f>
        <v>0</v>
      </c>
      <c r="BQ259" s="76">
        <f t="shared" si="51"/>
        <v>0</v>
      </c>
      <c r="BR259" s="40"/>
    </row>
    <row r="260" spans="1:70">
      <c r="A260" s="147"/>
      <c r="B260" s="39"/>
      <c r="C260" s="75">
        <v>254</v>
      </c>
      <c r="D260" s="146">
        <f>ETo!$I259*((1-Constantes!$E$19)*ETo!$K259+ETo!$L259)</f>
        <v>3.6946025970908498</v>
      </c>
      <c r="E260" s="76">
        <f>MIN(D260*Constantes!$E$17,0.8*(N259+Observaciones!$F259-F260-M260-Constantes!$D$14))</f>
        <v>-1.4882463066433616E-2</v>
      </c>
      <c r="F260" s="76">
        <f>IF(Observaciones!$F259&gt;0.05*Constantes!$E$18,((Observaciones!$F259-0.05*Constantes!$E$18)^2)/(Observaciones!$F259+0.95*Constantes!$E$18),0)</f>
        <v>0</v>
      </c>
      <c r="G260" s="76">
        <f>IF(Escenarios!$E$11&gt;0,(F260*Escenarios!$E$16*10000)/1000,0)</f>
        <v>0</v>
      </c>
      <c r="H260" s="76">
        <f>IF(Escenarios!$E$11&gt;0,(Observaciones!$F259*Constantes!$E$29)/1000,0)</f>
        <v>0</v>
      </c>
      <c r="I260" s="76">
        <f>IF(Escenarios!$E$11&gt;0,(D260*Constantes!$E$29)/1000,0)</f>
        <v>36.946025970908501</v>
      </c>
      <c r="J260" s="76">
        <f>IF(Escenarios!$E$11&gt;0,MAX(0,G260+H260-I260),0)</f>
        <v>0</v>
      </c>
      <c r="K260" s="76">
        <f>IF(Escenarios!$E$11&gt;0,IF(J260&gt;Constantes!$E$30,1000*((J260-Constantes!$E$30)/(Escenarios!$E$16*10000)),0),F260)</f>
        <v>0</v>
      </c>
      <c r="L260" s="76">
        <f>IF(Escenarios!$E$11&gt;0,I260*1000/Escenarios!$E$16/10000+E260,E260)</f>
        <v>-1.0405267807021487E-4</v>
      </c>
      <c r="M260" s="76">
        <f>MAX(0,N259+Observaciones!$F259-K260-Constantes!$D$13)</f>
        <v>0</v>
      </c>
      <c r="N260" s="76">
        <f>N259+Observaciones!$F259-K260-L260-M260-O259</f>
        <v>11.231500973845028</v>
      </c>
      <c r="O260" s="76">
        <f>MAX(0,(N260-Constantes!$D$14)*(1-EXP(-Constantes!$D$22)))</f>
        <v>0</v>
      </c>
      <c r="P260" s="170">
        <f>P259+(Entradas!$E$83*M260-Q259)/(800*Entradas!$D$25)</f>
        <v>0</v>
      </c>
      <c r="Q260" s="170">
        <f>8000*Entradas!$D$26*P260/Constantes!$E$45</f>
        <v>0</v>
      </c>
      <c r="R260" s="170">
        <f>IF(Escenarios!$E$14&gt;0,K260*Escenarios!$E$13/Escenarios!$E$14,0)</f>
        <v>0</v>
      </c>
      <c r="S260" s="170">
        <f>IF(Escenarios!$E$14&gt;0,Q260*Escenarios!$E$13/Escenarios!$E$14,0)</f>
        <v>0</v>
      </c>
      <c r="T260" s="170">
        <f>IF(Escenarios!$E$14&gt;0,Observaciones!$I259,0)</f>
        <v>0</v>
      </c>
      <c r="U260" s="170">
        <f>IF(Escenarios!$E$14&gt;0,MAX(0,Constantes!$E$36/((Z259+R260+S260+T260+Observaciones!$F259)^2)+Entradas!$E$77),0)</f>
        <v>0</v>
      </c>
      <c r="V260" s="146">
        <f>IF(ETo!D259&gt;0,ETo!I259*((1-Entradas!$E$81)*ETo!K259+ETo!L259),0)</f>
        <v>3.3628369945077257</v>
      </c>
      <c r="W260" s="170">
        <f>IF(Escenarios!$E$14&gt;0,MIN(V260*1,0.8*(Z259+R260+S260+T260+Observaciones!$F259-U260-Constantes!$E$35)),0)</f>
        <v>0</v>
      </c>
      <c r="X260" s="170">
        <f>IF(Escenarios!$E$14&gt;0,Observaciones!$J259,0)</f>
        <v>0</v>
      </c>
      <c r="Y260" s="170">
        <f>IF(Escenarios!$E$14&gt;0,MAX(0,Z259+R260+S260+T260+Observaciones!$F259-U260-W260-X260-Constantes!$E$33),0)</f>
        <v>0</v>
      </c>
      <c r="Z260" s="170">
        <f>Z259+R260+S260+T260+Observaciones!$F259-U260-W260-Y260</f>
        <v>41.25</v>
      </c>
      <c r="AA260" s="170">
        <f>IF(Escenarios!$E$14&gt;0,(Escenarios!$E$13*L260+Escenarios!$E$14*W260)/(Escenarios!$E$16),L260)</f>
        <v>-9.1566356701789088E-5</v>
      </c>
      <c r="AB260" s="170">
        <f>IF(Escenarios!$E$14&gt;0,(Escenarios!$E$14*Y260)/(Escenarios!$E$16),K260)</f>
        <v>0</v>
      </c>
      <c r="AC260" s="170">
        <f>IF(Escenarios!$E$14&gt;0,(Escenarios!$E$13*M260+Escenarios!$E$14*U260)/(Escenarios!$E$16),M260)</f>
        <v>0</v>
      </c>
      <c r="AD260" s="76">
        <f t="shared" si="43"/>
        <v>73.842400907310122</v>
      </c>
      <c r="AE260" s="76">
        <f>MAX(0,(AD260-Constantes!$D$13)*(1-EXP(-Constantes!$D$23)))</f>
        <v>0.24724140268399178</v>
      </c>
      <c r="AF260" s="76">
        <f>AB260+O260*Escenarios!$E$13/Escenarios!$E$16+AE260</f>
        <v>0.24724140268399178</v>
      </c>
      <c r="AG260" s="76">
        <f>IF(Entradas!$E$91&gt;0,IF(AF260-Escenarios!$E$38&lt;=0,0,IF(AF260-Escenarios!$E$38&gt;Escenarios!$E$37,Escenarios!$E$37,AF260-Escenarios!$E$38)),0)</f>
        <v>0</v>
      </c>
      <c r="AH260" s="76">
        <f>AG260*Entradas!$E$99</f>
        <v>0</v>
      </c>
      <c r="AI260" s="76">
        <f>IF(Entradas!$E$91&gt;0,D260*Entradas!$D$23/Escenarios!$E$16,0)</f>
        <v>0</v>
      </c>
      <c r="AJ260" s="76">
        <f>IF(Entradas!$E$91&gt;0,Entradas!$D$24*Entradas!$D$22/Escenarios!$E$16,0)</f>
        <v>0</v>
      </c>
      <c r="AK260" s="76">
        <f t="shared" si="52"/>
        <v>-9.1566356701789088E-5</v>
      </c>
      <c r="AL260" s="76">
        <f t="shared" si="53"/>
        <v>0</v>
      </c>
      <c r="AM260" s="76">
        <f t="shared" si="44"/>
        <v>0</v>
      </c>
      <c r="AN260" s="76">
        <f>MAX(0,O260*Escenarios!$E$13/Escenarios!$E$16-AM260)</f>
        <v>0</v>
      </c>
      <c r="AO260" s="76">
        <f>AM260+AN260-O260*Escenarios!$E$13/Escenarios!$E$16</f>
        <v>0</v>
      </c>
      <c r="AP260" s="76">
        <f t="shared" si="42"/>
        <v>0.24724140268399178</v>
      </c>
      <c r="AQ260" s="76">
        <f t="shared" si="45"/>
        <v>0</v>
      </c>
      <c r="AR260" s="76">
        <f t="shared" si="46"/>
        <v>0.24724140268399178</v>
      </c>
      <c r="AS260" s="76">
        <f t="shared" si="47"/>
        <v>0</v>
      </c>
      <c r="AT260" s="76">
        <f t="shared" si="48"/>
        <v>0</v>
      </c>
      <c r="AU260" s="76">
        <f t="shared" si="49"/>
        <v>48.75</v>
      </c>
      <c r="AV260" s="76">
        <f>MAX(0,(AU260-Constantes!$D$13)*(1-EXP(-Constantes!$D$24)))</f>
        <v>0</v>
      </c>
      <c r="AW260" s="170">
        <f>AW259+(Entradas!$E$112*AT260-AX259)/(800*Entradas!$D$25)</f>
        <v>0</v>
      </c>
      <c r="AX260" s="170">
        <f>8000*Entradas!$D$26*AW260/Constantes!$E$45</f>
        <v>0</v>
      </c>
      <c r="AY260" s="170">
        <f>IF(Escenarios!$E$17&gt;0,10*Escenarios!$E$16*AL260,0)</f>
        <v>0</v>
      </c>
      <c r="AZ260" s="170">
        <f>IF(Escenarios!$E$17&gt;0,10*Escenarios!$E$16*AX260,0)</f>
        <v>0</v>
      </c>
      <c r="BA260" s="170">
        <f>IF(Escenarios!$E$17&gt;0,0.001*Observaciones!$F259*Escenarios!$E$17,0)</f>
        <v>0</v>
      </c>
      <c r="BB260" s="170">
        <f>IF(Escenarios!$E$17&gt;0,Observaciones!$K259,0)</f>
        <v>0</v>
      </c>
      <c r="BC260" s="170">
        <f>IF(Escenarios!$E$17&gt;0,MIN(0.0005*ETo!$M259*Escenarios!$E$17*(BG259/Constantes!$E$40)^(2/3),BG259+AY260+AZ260+BA260+BB260),0)</f>
        <v>1.6747664845090895</v>
      </c>
      <c r="BD260" s="170">
        <f>IF(Escenarios!$E$17&gt;0,MIN(Constantes!$E$39*(BG259/Constantes!$E$40)^(2/3),BG259+AY260+AZ260+BA260+BB260-BC260),0)</f>
        <v>3.1774385062598212</v>
      </c>
      <c r="BE260" s="170">
        <f>IF(Escenarios!$E$17&gt;0,MIN(Entradas!$E$113,BG259+AY260+AZ260+BA260+BB260-BC260-BD260),0)</f>
        <v>1</v>
      </c>
      <c r="BF260" s="170">
        <f>IF(Escenarios!$E$17&gt;0,MAX(0,BG259+AY260+AZ260+BA260+BB260-BC260-BD260-BE260-Constantes!$E$40),0)</f>
        <v>0</v>
      </c>
      <c r="BG260" s="170">
        <f t="shared" si="54"/>
        <v>46.918086352040589</v>
      </c>
      <c r="BH260" s="170">
        <f>(Escenarios!$E$16*AK260+0.1*BC260)/(Escenarios!$E$19)</f>
        <v>5.7375023522008596E-4</v>
      </c>
      <c r="BI260" s="170">
        <f>IF(Escenarios!$E$17&gt;0,BF260/10/Escenarios!$E$19,AL260)</f>
        <v>0</v>
      </c>
      <c r="BJ260" s="170">
        <f>(Escenarios!$E$16*AT260+0.1*BD260)/(Escenarios!$E$19)</f>
        <v>1.2608882961348499E-3</v>
      </c>
      <c r="BK260" s="76">
        <f>BK259+(0.1*BD260)/(Escenarios!$E$19)-BL259</f>
        <v>49.669293326775701</v>
      </c>
      <c r="BL260" s="76">
        <f>MAX(0,(BK260-Constantes!$D$13)*(1-EXP(-Constantes!$D$23)))</f>
        <v>9.0580161073324159E-3</v>
      </c>
      <c r="BM260" s="76">
        <f t="shared" si="50"/>
        <v>0.25629941879132417</v>
      </c>
      <c r="BN260" s="76">
        <f t="shared" si="55"/>
        <v>0.25629941879132417</v>
      </c>
      <c r="BO260" s="76">
        <f>0.0526*BI260*Observaciones!$F259^1.218</f>
        <v>0</v>
      </c>
      <c r="BP260" s="76">
        <f>BO260*Constantes!$E$51</f>
        <v>0</v>
      </c>
      <c r="BQ260" s="76">
        <f t="shared" si="51"/>
        <v>0</v>
      </c>
      <c r="BR260" s="40"/>
    </row>
    <row r="261" spans="1:70">
      <c r="A261" s="147"/>
      <c r="B261" s="39"/>
      <c r="C261" s="75">
        <v>255</v>
      </c>
      <c r="D261" s="146">
        <f>ETo!$I260*((1-Constantes!$E$19)*ETo!$K260+ETo!$L260)</f>
        <v>3.7752822830343455</v>
      </c>
      <c r="E261" s="76">
        <f>MIN(D261*Constantes!$E$17,0.8*(N260+Observaciones!$F260-F261-M261-Constantes!$D$14))</f>
        <v>-1.4799220923977431E-2</v>
      </c>
      <c r="F261" s="76">
        <f>IF(Observaciones!$F260&gt;0.05*Constantes!$E$18,((Observaciones!$F260-0.05*Constantes!$E$18)^2)/(Observaciones!$F260+0.95*Constantes!$E$18),0)</f>
        <v>0</v>
      </c>
      <c r="G261" s="76">
        <f>IF(Escenarios!$E$11&gt;0,(F261*Escenarios!$E$16*10000)/1000,0)</f>
        <v>0</v>
      </c>
      <c r="H261" s="76">
        <f>IF(Escenarios!$E$11&gt;0,(Observaciones!$F260*Constantes!$E$29)/1000,0)</f>
        <v>0</v>
      </c>
      <c r="I261" s="76">
        <f>IF(Escenarios!$E$11&gt;0,(D261*Constantes!$E$29)/1000,0)</f>
        <v>37.752822830343462</v>
      </c>
      <c r="J261" s="76">
        <f>IF(Escenarios!$E$11&gt;0,MAX(0,G261+H261-I261),0)</f>
        <v>0</v>
      </c>
      <c r="K261" s="76">
        <f>IF(Escenarios!$E$11&gt;0,IF(J261&gt;Constantes!$E$30,1000*((J261-Constantes!$E$30)/(Escenarios!$E$16*10000)),0),F261)</f>
        <v>0</v>
      </c>
      <c r="L261" s="76">
        <f>IF(Escenarios!$E$11&gt;0,I261*1000/Escenarios!$E$16/10000+E261,E261)</f>
        <v>3.0190820815995285E-4</v>
      </c>
      <c r="M261" s="76">
        <f>MAX(0,N260+Observaciones!$F260-K261-Constantes!$D$13)</f>
        <v>0</v>
      </c>
      <c r="N261" s="76">
        <f>N260+Observaciones!$F260-K261-L261-M261-O260</f>
        <v>11.231199065636869</v>
      </c>
      <c r="O261" s="76">
        <f>MAX(0,(N261-Constantes!$D$14)*(1-EXP(-Constantes!$D$22)))</f>
        <v>0</v>
      </c>
      <c r="P261" s="170">
        <f>P260+(Entradas!$E$83*M261-Q260)/(800*Entradas!$D$25)</f>
        <v>0</v>
      </c>
      <c r="Q261" s="170">
        <f>8000*Entradas!$D$26*P261/Constantes!$E$45</f>
        <v>0</v>
      </c>
      <c r="R261" s="170">
        <f>IF(Escenarios!$E$14&gt;0,K261*Escenarios!$E$13/Escenarios!$E$14,0)</f>
        <v>0</v>
      </c>
      <c r="S261" s="170">
        <f>IF(Escenarios!$E$14&gt;0,Q261*Escenarios!$E$13/Escenarios!$E$14,0)</f>
        <v>0</v>
      </c>
      <c r="T261" s="170">
        <f>IF(Escenarios!$E$14&gt;0,Observaciones!$I260,0)</f>
        <v>0</v>
      </c>
      <c r="U261" s="170">
        <f>IF(Escenarios!$E$14&gt;0,MAX(0,Constantes!$E$36/((Z260+R261+S261+T261+Observaciones!$F260)^2)+Entradas!$E$77),0)</f>
        <v>0</v>
      </c>
      <c r="V261" s="146">
        <f>IF(ETo!D260&gt;0,ETo!I260*((1-Entradas!$E$81)*ETo!K260+ETo!L260),0)</f>
        <v>3.4373976364477365</v>
      </c>
      <c r="W261" s="170">
        <f>IF(Escenarios!$E$14&gt;0,MIN(V261*1,0.8*(Z260+R261+S261+T261+Observaciones!$F260-U261-Constantes!$E$35)),0)</f>
        <v>0</v>
      </c>
      <c r="X261" s="170">
        <f>IF(Escenarios!$E$14&gt;0,Observaciones!$J260,0)</f>
        <v>0</v>
      </c>
      <c r="Y261" s="170">
        <f>IF(Escenarios!$E$14&gt;0,MAX(0,Z260+R261+S261+T261+Observaciones!$F260-U261-W261-X261-Constantes!$E$33),0)</f>
        <v>0</v>
      </c>
      <c r="Z261" s="170">
        <f>Z260+R261+S261+T261+Observaciones!$F260-U261-W261-Y261</f>
        <v>41.25</v>
      </c>
      <c r="AA261" s="170">
        <f>IF(Escenarios!$E$14&gt;0,(Escenarios!$E$13*L261+Escenarios!$E$14*W261)/(Escenarios!$E$16),L261)</f>
        <v>2.6567922318075854E-4</v>
      </c>
      <c r="AB261" s="170">
        <f>IF(Escenarios!$E$14&gt;0,(Escenarios!$E$14*Y261)/(Escenarios!$E$16),K261)</f>
        <v>0</v>
      </c>
      <c r="AC261" s="170">
        <f>IF(Escenarios!$E$14&gt;0,(Escenarios!$E$13*M261+Escenarios!$E$14*U261)/(Escenarios!$E$16),M261)</f>
        <v>0</v>
      </c>
      <c r="AD261" s="76">
        <f t="shared" si="43"/>
        <v>73.595159504626125</v>
      </c>
      <c r="AE261" s="76">
        <f>MAX(0,(AD261-Constantes!$D$13)*(1-EXP(-Constantes!$D$23)))</f>
        <v>0.24480527425503221</v>
      </c>
      <c r="AF261" s="76">
        <f>AB261+O261*Escenarios!$E$13/Escenarios!$E$16+AE261</f>
        <v>0.24480527425503221</v>
      </c>
      <c r="AG261" s="76">
        <f>IF(Entradas!$E$91&gt;0,IF(AF261-Escenarios!$E$38&lt;=0,0,IF(AF261-Escenarios!$E$38&gt;Escenarios!$E$37,Escenarios!$E$37,AF261-Escenarios!$E$38)),0)</f>
        <v>0</v>
      </c>
      <c r="AH261" s="76">
        <f>AG261*Entradas!$E$99</f>
        <v>0</v>
      </c>
      <c r="AI261" s="76">
        <f>IF(Entradas!$E$91&gt;0,D261*Entradas!$D$23/Escenarios!$E$16,0)</f>
        <v>0</v>
      </c>
      <c r="AJ261" s="76">
        <f>IF(Entradas!$E$91&gt;0,Entradas!$D$24*Entradas!$D$22/Escenarios!$E$16,0)</f>
        <v>0</v>
      </c>
      <c r="AK261" s="76">
        <f t="shared" si="52"/>
        <v>2.6567922318075854E-4</v>
      </c>
      <c r="AL261" s="76">
        <f t="shared" si="53"/>
        <v>0</v>
      </c>
      <c r="AM261" s="76">
        <f t="shared" si="44"/>
        <v>0</v>
      </c>
      <c r="AN261" s="76">
        <f>MAX(0,O261*Escenarios!$E$13/Escenarios!$E$16-AM261)</f>
        <v>0</v>
      </c>
      <c r="AO261" s="76">
        <f>AM261+AN261-O261*Escenarios!$E$13/Escenarios!$E$16</f>
        <v>0</v>
      </c>
      <c r="AP261" s="76">
        <f t="shared" si="42"/>
        <v>0.24480527425503221</v>
      </c>
      <c r="AQ261" s="76">
        <f t="shared" si="45"/>
        <v>0</v>
      </c>
      <c r="AR261" s="76">
        <f t="shared" si="46"/>
        <v>0.24480527425503221</v>
      </c>
      <c r="AS261" s="76">
        <f t="shared" si="47"/>
        <v>0</v>
      </c>
      <c r="AT261" s="76">
        <f t="shared" si="48"/>
        <v>0</v>
      </c>
      <c r="AU261" s="76">
        <f t="shared" si="49"/>
        <v>48.75</v>
      </c>
      <c r="AV261" s="76">
        <f>MAX(0,(AU261-Constantes!$D$13)*(1-EXP(-Constantes!$D$24)))</f>
        <v>0</v>
      </c>
      <c r="AW261" s="170">
        <f>AW260+(Entradas!$E$112*AT261-AX260)/(800*Entradas!$D$25)</f>
        <v>0</v>
      </c>
      <c r="AX261" s="170">
        <f>8000*Entradas!$D$26*AW261/Constantes!$E$45</f>
        <v>0</v>
      </c>
      <c r="AY261" s="170">
        <f>IF(Escenarios!$E$17&gt;0,10*Escenarios!$E$16*AL261,0)</f>
        <v>0</v>
      </c>
      <c r="AZ261" s="170">
        <f>IF(Escenarios!$E$17&gt;0,10*Escenarios!$E$16*AX261,0)</f>
        <v>0</v>
      </c>
      <c r="BA261" s="170">
        <f>IF(Escenarios!$E$17&gt;0,0.001*Observaciones!$F260*Escenarios!$E$17,0)</f>
        <v>0</v>
      </c>
      <c r="BB261" s="170">
        <f>IF(Escenarios!$E$17&gt;0,Observaciones!$K260,0)</f>
        <v>0</v>
      </c>
      <c r="BC261" s="170">
        <f>IF(Escenarios!$E$17&gt;0,MIN(0.0005*ETo!$M260*Escenarios!$E$17*(BG260/Constantes!$E$40)^(2/3),BG260+AY261+AZ261+BA261+BB261),0)</f>
        <v>1.5817016603901715</v>
      </c>
      <c r="BD261" s="170">
        <f>IF(Escenarios!$E$17&gt;0,MIN(Constantes!$E$39*(BG260/Constantes!$E$40)^(2/3),BG260+AY261+AZ261+BA261+BB261-BC261),0)</f>
        <v>2.9379496805859469</v>
      </c>
      <c r="BE261" s="170">
        <f>IF(Escenarios!$E$17&gt;0,MIN(Entradas!$E$113,BG260+AY261+AZ261+BA261+BB261-BC261-BD261),0)</f>
        <v>1</v>
      </c>
      <c r="BF261" s="170">
        <f>IF(Escenarios!$E$17&gt;0,MAX(0,BG260+AY261+AZ261+BA261+BB261-BC261-BD261-BE261-Constantes!$E$40),0)</f>
        <v>0</v>
      </c>
      <c r="BG261" s="170">
        <f t="shared" si="54"/>
        <v>41.398435011064471</v>
      </c>
      <c r="BH261" s="170">
        <f>(Escenarios!$E$16*AK261+0.1*BC261)/(Escenarios!$E$19)</f>
        <v>8.9123004696113801E-4</v>
      </c>
      <c r="BI261" s="170">
        <f>IF(Escenarios!$E$17&gt;0,BF261/10/Escenarios!$E$19,AL261)</f>
        <v>0</v>
      </c>
      <c r="BJ261" s="170">
        <f>(Escenarios!$E$16*AT261+0.1*BD261)/(Escenarios!$E$19)</f>
        <v>1.1658530478515661E-3</v>
      </c>
      <c r="BK261" s="76">
        <f>BK260+(0.1*BD261)/(Escenarios!$E$19)-BL260</f>
        <v>49.661401163716221</v>
      </c>
      <c r="BL261" s="76">
        <f>MAX(0,(BK261-Constantes!$D$13)*(1-EXP(-Constantes!$D$23)))</f>
        <v>8.9802527449405652E-3</v>
      </c>
      <c r="BM261" s="76">
        <f t="shared" si="50"/>
        <v>0.25378552699997275</v>
      </c>
      <c r="BN261" s="76">
        <f t="shared" si="55"/>
        <v>0.25378552699997275</v>
      </c>
      <c r="BO261" s="76">
        <f>0.0526*BI261*Observaciones!$F260^1.218</f>
        <v>0</v>
      </c>
      <c r="BP261" s="76">
        <f>BO261*Constantes!$E$51</f>
        <v>0</v>
      </c>
      <c r="BQ261" s="76">
        <f t="shared" si="51"/>
        <v>0</v>
      </c>
      <c r="BR261" s="40"/>
    </row>
    <row r="262" spans="1:70">
      <c r="A262" s="147"/>
      <c r="B262" s="39"/>
      <c r="C262" s="75">
        <v>256</v>
      </c>
      <c r="D262" s="146">
        <f>ETo!$I261*((1-Constantes!$E$19)*ETo!$K261+ETo!$L261)</f>
        <v>3.7186950849439553</v>
      </c>
      <c r="E262" s="76">
        <f>MIN(D262*Constantes!$E$17,0.8*(N261+Observaciones!$F261-F262-M262-Constantes!$D$14))</f>
        <v>-1.504074749050517E-2</v>
      </c>
      <c r="F262" s="76">
        <f>IF(Observaciones!$F261&gt;0.05*Constantes!$E$18,((Observaciones!$F261-0.05*Constantes!$E$18)^2)/(Observaciones!$F261+0.95*Constantes!$E$18),0)</f>
        <v>0</v>
      </c>
      <c r="G262" s="76">
        <f>IF(Escenarios!$E$11&gt;0,(F262*Escenarios!$E$16*10000)/1000,0)</f>
        <v>0</v>
      </c>
      <c r="H262" s="76">
        <f>IF(Escenarios!$E$11&gt;0,(Observaciones!$F261*Constantes!$E$29)/1000,0)</f>
        <v>0</v>
      </c>
      <c r="I262" s="76">
        <f>IF(Escenarios!$E$11&gt;0,(D262*Constantes!$E$29)/1000,0)</f>
        <v>37.186950849439555</v>
      </c>
      <c r="J262" s="76">
        <f>IF(Escenarios!$E$11&gt;0,MAX(0,G262+H262-I262),0)</f>
        <v>0</v>
      </c>
      <c r="K262" s="76">
        <f>IF(Escenarios!$E$11&gt;0,IF(J262&gt;Constantes!$E$30,1000*((J262-Constantes!$E$30)/(Escenarios!$E$16*10000)),0),F262)</f>
        <v>0</v>
      </c>
      <c r="L262" s="76">
        <f>IF(Escenarios!$E$11&gt;0,I262*1000/Escenarios!$E$16/10000+E262,E262)</f>
        <v>-1.6596715072934691E-4</v>
      </c>
      <c r="M262" s="76">
        <f>MAX(0,N261+Observaciones!$F261-K262-Constantes!$D$13)</f>
        <v>0</v>
      </c>
      <c r="N262" s="76">
        <f>N261+Observaciones!$F261-K262-L262-M262-O261</f>
        <v>11.231365032787599</v>
      </c>
      <c r="O262" s="76">
        <f>MAX(0,(N262-Constantes!$D$14)*(1-EXP(-Constantes!$D$22)))</f>
        <v>0</v>
      </c>
      <c r="P262" s="170">
        <f>P261+(Entradas!$E$83*M262-Q261)/(800*Entradas!$D$25)</f>
        <v>0</v>
      </c>
      <c r="Q262" s="170">
        <f>8000*Entradas!$D$26*P262/Constantes!$E$45</f>
        <v>0</v>
      </c>
      <c r="R262" s="170">
        <f>IF(Escenarios!$E$14&gt;0,K262*Escenarios!$E$13/Escenarios!$E$14,0)</f>
        <v>0</v>
      </c>
      <c r="S262" s="170">
        <f>IF(Escenarios!$E$14&gt;0,Q262*Escenarios!$E$13/Escenarios!$E$14,0)</f>
        <v>0</v>
      </c>
      <c r="T262" s="170">
        <f>IF(Escenarios!$E$14&gt;0,Observaciones!$I261,0)</f>
        <v>0</v>
      </c>
      <c r="U262" s="170">
        <f>IF(Escenarios!$E$14&gt;0,MAX(0,Constantes!$E$36/((Z261+R262+S262+T262+Observaciones!$F261)^2)+Entradas!$E$77),0)</f>
        <v>0</v>
      </c>
      <c r="V262" s="146">
        <f>IF(ETo!D261&gt;0,ETo!I261*((1-Entradas!$E$81)*ETo!K261+ETo!L261),0)</f>
        <v>3.3855260998704253</v>
      </c>
      <c r="W262" s="170">
        <f>IF(Escenarios!$E$14&gt;0,MIN(V262*1,0.8*(Z261+R262+S262+T262+Observaciones!$F261-U262-Constantes!$E$35)),0)</f>
        <v>0</v>
      </c>
      <c r="X262" s="170">
        <f>IF(Escenarios!$E$14&gt;0,Observaciones!$J261,0)</f>
        <v>0</v>
      </c>
      <c r="Y262" s="170">
        <f>IF(Escenarios!$E$14&gt;0,MAX(0,Z261+R262+S262+T262+Observaciones!$F261-U262-W262-X262-Constantes!$E$33),0)</f>
        <v>0</v>
      </c>
      <c r="Z262" s="170">
        <f>Z261+R262+S262+T262+Observaciones!$F261-U262-W262-Y262</f>
        <v>41.25</v>
      </c>
      <c r="AA262" s="170">
        <f>IF(Escenarios!$E$14&gt;0,(Escenarios!$E$13*L262+Escenarios!$E$14*W262)/(Escenarios!$E$16),L262)</f>
        <v>-1.4605109264182527E-4</v>
      </c>
      <c r="AB262" s="170">
        <f>IF(Escenarios!$E$14&gt;0,(Escenarios!$E$14*Y262)/(Escenarios!$E$16),K262)</f>
        <v>0</v>
      </c>
      <c r="AC262" s="170">
        <f>IF(Escenarios!$E$14&gt;0,(Escenarios!$E$13*M262+Escenarios!$E$14*U262)/(Escenarios!$E$16),M262)</f>
        <v>0</v>
      </c>
      <c r="AD262" s="76">
        <f t="shared" si="43"/>
        <v>73.350354230371096</v>
      </c>
      <c r="AE262" s="76">
        <f>MAX(0,(AD262-Constantes!$D$13)*(1-EXP(-Constantes!$D$23)))</f>
        <v>0.24239314957972383</v>
      </c>
      <c r="AF262" s="76">
        <f>AB262+O262*Escenarios!$E$13/Escenarios!$E$16+AE262</f>
        <v>0.24239314957972383</v>
      </c>
      <c r="AG262" s="76">
        <f>IF(Entradas!$E$91&gt;0,IF(AF262-Escenarios!$E$38&lt;=0,0,IF(AF262-Escenarios!$E$38&gt;Escenarios!$E$37,Escenarios!$E$37,AF262-Escenarios!$E$38)),0)</f>
        <v>0</v>
      </c>
      <c r="AH262" s="76">
        <f>AG262*Entradas!$E$99</f>
        <v>0</v>
      </c>
      <c r="AI262" s="76">
        <f>IF(Entradas!$E$91&gt;0,D262*Entradas!$D$23/Escenarios!$E$16,0)</f>
        <v>0</v>
      </c>
      <c r="AJ262" s="76">
        <f>IF(Entradas!$E$91&gt;0,Entradas!$D$24*Entradas!$D$22/Escenarios!$E$16,0)</f>
        <v>0</v>
      </c>
      <c r="AK262" s="76">
        <f t="shared" si="52"/>
        <v>-1.4605109264182527E-4</v>
      </c>
      <c r="AL262" s="76">
        <f t="shared" si="53"/>
        <v>0</v>
      </c>
      <c r="AM262" s="76">
        <f t="shared" si="44"/>
        <v>0</v>
      </c>
      <c r="AN262" s="76">
        <f>MAX(0,O262*Escenarios!$E$13/Escenarios!$E$16-AM262)</f>
        <v>0</v>
      </c>
      <c r="AO262" s="76">
        <f>AM262+AN262-O262*Escenarios!$E$13/Escenarios!$E$16</f>
        <v>0</v>
      </c>
      <c r="AP262" s="76">
        <f t="shared" ref="AP262:AP325" si="56">MAX(0,AE262-AO262)</f>
        <v>0.24239314957972383</v>
      </c>
      <c r="AQ262" s="76">
        <f t="shared" si="45"/>
        <v>0</v>
      </c>
      <c r="AR262" s="76">
        <f t="shared" si="46"/>
        <v>0.24239314957972383</v>
      </c>
      <c r="AS262" s="76">
        <f t="shared" si="47"/>
        <v>0</v>
      </c>
      <c r="AT262" s="76">
        <f t="shared" si="48"/>
        <v>0</v>
      </c>
      <c r="AU262" s="76">
        <f t="shared" si="49"/>
        <v>48.75</v>
      </c>
      <c r="AV262" s="76">
        <f>MAX(0,(AU262-Constantes!$D$13)*(1-EXP(-Constantes!$D$24)))</f>
        <v>0</v>
      </c>
      <c r="AW262" s="170">
        <f>AW261+(Entradas!$E$112*AT262-AX261)/(800*Entradas!$D$25)</f>
        <v>0</v>
      </c>
      <c r="AX262" s="170">
        <f>8000*Entradas!$D$26*AW262/Constantes!$E$45</f>
        <v>0</v>
      </c>
      <c r="AY262" s="170">
        <f>IF(Escenarios!$E$17&gt;0,10*Escenarios!$E$16*AL262,0)</f>
        <v>0</v>
      </c>
      <c r="AZ262" s="170">
        <f>IF(Escenarios!$E$17&gt;0,10*Escenarios!$E$16*AX262,0)</f>
        <v>0</v>
      </c>
      <c r="BA262" s="170">
        <f>IF(Escenarios!$E$17&gt;0,0.001*Observaciones!$F261*Escenarios!$E$17,0)</f>
        <v>0</v>
      </c>
      <c r="BB262" s="170">
        <f>IF(Escenarios!$E$17&gt;0,Observaciones!$K261,0)</f>
        <v>0</v>
      </c>
      <c r="BC262" s="170">
        <f>IF(Escenarios!$E$17&gt;0,MIN(0.0005*ETo!$M261*Escenarios!$E$17*(BG261/Constantes!$E$40)^(2/3),BG261+AY262+AZ262+BA262+BB262),0)</f>
        <v>1.4334558519532865</v>
      </c>
      <c r="BD262" s="170">
        <f>IF(Escenarios!$E$17&gt;0,MIN(Constantes!$E$39*(BG261/Constantes!$E$40)^(2/3),BG261+AY262+AZ262+BA262+BB262-BC262),0)</f>
        <v>2.7027555979566369</v>
      </c>
      <c r="BE262" s="170">
        <f>IF(Escenarios!$E$17&gt;0,MIN(Entradas!$E$113,BG261+AY262+AZ262+BA262+BB262-BC262-BD262),0)</f>
        <v>1</v>
      </c>
      <c r="BF262" s="170">
        <f>IF(Escenarios!$E$17&gt;0,MAX(0,BG261+AY262+AZ262+BA262+BB262-BC262-BD262-BE262-Constantes!$E$40),0)</f>
        <v>0</v>
      </c>
      <c r="BG262" s="170">
        <f t="shared" si="54"/>
        <v>36.262223561154549</v>
      </c>
      <c r="BH262" s="170">
        <f>(Escenarios!$E$16*AK262+0.1*BC262)/(Escenarios!$E$19)</f>
        <v>4.2393973029711252E-4</v>
      </c>
      <c r="BI262" s="170">
        <f>IF(Escenarios!$E$17&gt;0,BF262/10/Escenarios!$E$19,AL262)</f>
        <v>0</v>
      </c>
      <c r="BJ262" s="170">
        <f>(Escenarios!$E$16*AT262+0.1*BD262)/(Escenarios!$E$19)</f>
        <v>1.0725220626812051E-3</v>
      </c>
      <c r="BK262" s="76">
        <f>BK261+(0.1*BD262)/(Escenarios!$E$19)-BL261</f>
        <v>49.653493433033958</v>
      </c>
      <c r="BL262" s="76">
        <f>MAX(0,(BK262-Constantes!$D$13)*(1-EXP(-Constantes!$D$23)))</f>
        <v>8.902335991053523E-3</v>
      </c>
      <c r="BM262" s="76">
        <f t="shared" si="50"/>
        <v>0.25129548557077735</v>
      </c>
      <c r="BN262" s="76">
        <f t="shared" si="55"/>
        <v>0.25129548557077735</v>
      </c>
      <c r="BO262" s="76">
        <f>0.0526*BI262*Observaciones!$F261^1.218</f>
        <v>0</v>
      </c>
      <c r="BP262" s="76">
        <f>BO262*Constantes!$E$51</f>
        <v>0</v>
      </c>
      <c r="BQ262" s="76">
        <f t="shared" si="51"/>
        <v>0</v>
      </c>
      <c r="BR262" s="40"/>
    </row>
    <row r="263" spans="1:70">
      <c r="A263" s="147"/>
      <c r="B263" s="39"/>
      <c r="C263" s="75">
        <v>257</v>
      </c>
      <c r="D263" s="146">
        <f>ETo!$I262*((1-Constantes!$E$19)*ETo!$K262+ETo!$L262)</f>
        <v>3.7060573008743174</v>
      </c>
      <c r="E263" s="76">
        <f>MIN(D263*Constantes!$E$17,0.8*(N262+Observaciones!$F262-F263-M263-Constantes!$D$14))</f>
        <v>-1.4907973769921057E-2</v>
      </c>
      <c r="F263" s="76">
        <f>IF(Observaciones!$F262&gt;0.05*Constantes!$E$18,((Observaciones!$F262-0.05*Constantes!$E$18)^2)/(Observaciones!$F262+0.95*Constantes!$E$18),0)</f>
        <v>0</v>
      </c>
      <c r="G263" s="76">
        <f>IF(Escenarios!$E$11&gt;0,(F263*Escenarios!$E$16*10000)/1000,0)</f>
        <v>0</v>
      </c>
      <c r="H263" s="76">
        <f>IF(Escenarios!$E$11&gt;0,(Observaciones!$F262*Constantes!$E$29)/1000,0)</f>
        <v>0</v>
      </c>
      <c r="I263" s="76">
        <f>IF(Escenarios!$E$11&gt;0,(D263*Constantes!$E$29)/1000,0)</f>
        <v>37.06057300874317</v>
      </c>
      <c r="J263" s="76">
        <f>IF(Escenarios!$E$11&gt;0,MAX(0,G263+H263-I263),0)</f>
        <v>0</v>
      </c>
      <c r="K263" s="76">
        <f>IF(Escenarios!$E$11&gt;0,IF(J263&gt;Constantes!$E$30,1000*((J263-Constantes!$E$30)/(Escenarios!$E$16*10000)),0),F263)</f>
        <v>0</v>
      </c>
      <c r="L263" s="76">
        <f>IF(Escenarios!$E$11&gt;0,I263*1000/Escenarios!$E$16/10000+E263,E263)</f>
        <v>-8.3744566423789996E-5</v>
      </c>
      <c r="M263" s="76">
        <f>MAX(0,N262+Observaciones!$F262-K263-Constantes!$D$13)</f>
        <v>0</v>
      </c>
      <c r="N263" s="76">
        <f>N262+Observaciones!$F262-K263-L263-M263-O262</f>
        <v>11.231448777354023</v>
      </c>
      <c r="O263" s="76">
        <f>MAX(0,(N263-Constantes!$D$14)*(1-EXP(-Constantes!$D$22)))</f>
        <v>0</v>
      </c>
      <c r="P263" s="170">
        <f>P262+(Entradas!$E$83*M263-Q262)/(800*Entradas!$D$25)</f>
        <v>0</v>
      </c>
      <c r="Q263" s="170">
        <f>8000*Entradas!$D$26*P263/Constantes!$E$45</f>
        <v>0</v>
      </c>
      <c r="R263" s="170">
        <f>IF(Escenarios!$E$14&gt;0,K263*Escenarios!$E$13/Escenarios!$E$14,0)</f>
        <v>0</v>
      </c>
      <c r="S263" s="170">
        <f>IF(Escenarios!$E$14&gt;0,Q263*Escenarios!$E$13/Escenarios!$E$14,0)</f>
        <v>0</v>
      </c>
      <c r="T263" s="170">
        <f>IF(Escenarios!$E$14&gt;0,Observaciones!$I262,0)</f>
        <v>0</v>
      </c>
      <c r="U263" s="170">
        <f>IF(Escenarios!$E$14&gt;0,MAX(0,Constantes!$E$36/((Z262+R263+S263+T263+Observaciones!$F262)^2)+Entradas!$E$77),0)</f>
        <v>0</v>
      </c>
      <c r="V263" s="146">
        <f>IF(ETo!D262&gt;0,ETo!I262*((1-Entradas!$E$81)*ETo!K262+ETo!L262),0)</f>
        <v>3.3741635624702249</v>
      </c>
      <c r="W263" s="170">
        <f>IF(Escenarios!$E$14&gt;0,MIN(V263*1,0.8*(Z262+R263+S263+T263+Observaciones!$F262-U263-Constantes!$E$35)),0)</f>
        <v>0</v>
      </c>
      <c r="X263" s="170">
        <f>IF(Escenarios!$E$14&gt;0,Observaciones!$J262,0)</f>
        <v>0</v>
      </c>
      <c r="Y263" s="170">
        <f>IF(Escenarios!$E$14&gt;0,MAX(0,Z262+R263+S263+T263+Observaciones!$F262-U263-W263-X263-Constantes!$E$33),0)</f>
        <v>0</v>
      </c>
      <c r="Z263" s="170">
        <f>Z262+R263+S263+T263+Observaciones!$F262-U263-W263-Y263</f>
        <v>41.25</v>
      </c>
      <c r="AA263" s="170">
        <f>IF(Escenarios!$E$14&gt;0,(Escenarios!$E$13*L263+Escenarios!$E$14*W263)/(Escenarios!$E$16),L263)</f>
        <v>-7.369521845293519E-5</v>
      </c>
      <c r="AB263" s="170">
        <f>IF(Escenarios!$E$14&gt;0,(Escenarios!$E$14*Y263)/(Escenarios!$E$16),K263)</f>
        <v>0</v>
      </c>
      <c r="AC263" s="170">
        <f>IF(Escenarios!$E$14&gt;0,(Escenarios!$E$13*M263+Escenarios!$E$14*U263)/(Escenarios!$E$16),M263)</f>
        <v>0</v>
      </c>
      <c r="AD263" s="76">
        <f t="shared" ref="AD263:AD326" si="57">AD262+AC263-AE262</f>
        <v>73.10796108079137</v>
      </c>
      <c r="AE263" s="76">
        <f>MAX(0,(AD263-Constantes!$D$13)*(1-EXP(-Constantes!$D$23)))</f>
        <v>0.24000479214336456</v>
      </c>
      <c r="AF263" s="76">
        <f>AB263+O263*Escenarios!$E$13/Escenarios!$E$16+AE263</f>
        <v>0.24000479214336456</v>
      </c>
      <c r="AG263" s="76">
        <f>IF(Entradas!$E$91&gt;0,IF(AF263-Escenarios!$E$38&lt;=0,0,IF(AF263-Escenarios!$E$38&gt;Escenarios!$E$37,Escenarios!$E$37,AF263-Escenarios!$E$38)),0)</f>
        <v>0</v>
      </c>
      <c r="AH263" s="76">
        <f>AG263*Entradas!$E$99</f>
        <v>0</v>
      </c>
      <c r="AI263" s="76">
        <f>IF(Entradas!$E$91&gt;0,D263*Entradas!$D$23/Escenarios!$E$16,0)</f>
        <v>0</v>
      </c>
      <c r="AJ263" s="76">
        <f>IF(Entradas!$E$91&gt;0,Entradas!$D$24*Entradas!$D$22/Escenarios!$E$16,0)</f>
        <v>0</v>
      </c>
      <c r="AK263" s="76">
        <f t="shared" si="52"/>
        <v>-7.369521845293519E-5</v>
      </c>
      <c r="AL263" s="76">
        <f t="shared" si="53"/>
        <v>0</v>
      </c>
      <c r="AM263" s="76">
        <f t="shared" ref="AM263:AM326" si="58">AG263+AL263-AB263</f>
        <v>0</v>
      </c>
      <c r="AN263" s="76">
        <f>MAX(0,O263*Escenarios!$E$13/Escenarios!$E$16-AM263)</f>
        <v>0</v>
      </c>
      <c r="AO263" s="76">
        <f>AM263+AN263-O263*Escenarios!$E$13/Escenarios!$E$16</f>
        <v>0</v>
      </c>
      <c r="AP263" s="76">
        <f t="shared" si="56"/>
        <v>0.24000479214336456</v>
      </c>
      <c r="AQ263" s="76">
        <f t="shared" ref="AQ263:AQ326" si="59">AO263+AP263-AE263</f>
        <v>0</v>
      </c>
      <c r="AR263" s="76">
        <f t="shared" ref="AR263:AR326" si="60">AL263+AN263+AP263+AH263</f>
        <v>0.24000479214336456</v>
      </c>
      <c r="AS263" s="76">
        <f t="shared" ref="AS263:AS326" si="61">MAX(0,AG263-AH263-AI263-AJ263)</f>
        <v>0</v>
      </c>
      <c r="AT263" s="76">
        <f t="shared" ref="AT263:AT326" si="62">AC263+AS263</f>
        <v>0</v>
      </c>
      <c r="AU263" s="76">
        <f t="shared" ref="AU263:AU326" si="63">AU262+AS263-AV262</f>
        <v>48.75</v>
      </c>
      <c r="AV263" s="76">
        <f>MAX(0,(AU263-Constantes!$D$13)*(1-EXP(-Constantes!$D$24)))</f>
        <v>0</v>
      </c>
      <c r="AW263" s="170">
        <f>AW262+(Entradas!$E$112*AT263-AX262)/(800*Entradas!$D$25)</f>
        <v>0</v>
      </c>
      <c r="AX263" s="170">
        <f>8000*Entradas!$D$26*AW263/Constantes!$E$45</f>
        <v>0</v>
      </c>
      <c r="AY263" s="170">
        <f>IF(Escenarios!$E$17&gt;0,10*Escenarios!$E$16*AL263,0)</f>
        <v>0</v>
      </c>
      <c r="AZ263" s="170">
        <f>IF(Escenarios!$E$17&gt;0,10*Escenarios!$E$16*AX263,0)</f>
        <v>0</v>
      </c>
      <c r="BA263" s="170">
        <f>IF(Escenarios!$E$17&gt;0,0.001*Observaciones!$F262*Escenarios!$E$17,0)</f>
        <v>0</v>
      </c>
      <c r="BB263" s="170">
        <f>IF(Escenarios!$E$17&gt;0,Observaciones!$K262,0)</f>
        <v>0</v>
      </c>
      <c r="BC263" s="170">
        <f>IF(Escenarios!$E$17&gt;0,MIN(0.0005*ETo!$M262*Escenarios!$E$17*(BG262/Constantes!$E$40)^(2/3),BG262+AY263+AZ263+BA263+BB263),0)</f>
        <v>1.3077652032807472</v>
      </c>
      <c r="BD263" s="170">
        <f>IF(Escenarios!$E$17&gt;0,MIN(Constantes!$E$39*(BG262/Constantes!$E$40)^(2/3),BG262+AY263+AZ263+BA263+BB263-BC263),0)</f>
        <v>2.4743081201533363</v>
      </c>
      <c r="BE263" s="170">
        <f>IF(Escenarios!$E$17&gt;0,MIN(Entradas!$E$113,BG262+AY263+AZ263+BA263+BB263-BC263-BD263),0)</f>
        <v>1</v>
      </c>
      <c r="BF263" s="170">
        <f>IF(Escenarios!$E$17&gt;0,MAX(0,BG262+AY263+AZ263+BA263+BB263-BC263-BD263-BE263-Constantes!$E$40),0)</f>
        <v>0</v>
      </c>
      <c r="BG263" s="170">
        <f t="shared" si="54"/>
        <v>31.480150237720466</v>
      </c>
      <c r="BH263" s="170">
        <f>(Escenarios!$E$16*AK263+0.1*BC263)/(Escenarios!$E$19)</f>
        <v>4.4584410997952742E-4</v>
      </c>
      <c r="BI263" s="170">
        <f>IF(Escenarios!$E$17&gt;0,BF263/10/Escenarios!$E$19,AL263)</f>
        <v>0</v>
      </c>
      <c r="BJ263" s="170">
        <f>(Escenarios!$E$16*AT263+0.1*BD263)/(Escenarios!$E$19)</f>
        <v>9.8186830164814949E-4</v>
      </c>
      <c r="BK263" s="76">
        <f>BK262+(0.1*BD263)/(Escenarios!$E$19)-BL262</f>
        <v>49.645572965344556</v>
      </c>
      <c r="BL263" s="76">
        <f>MAX(0,(BK263-Constantes!$D$13)*(1-EXP(-Constantes!$D$23)))</f>
        <v>8.8242937364014177E-3</v>
      </c>
      <c r="BM263" s="76">
        <f t="shared" ref="BM263:BM326" si="64">AP263+AV263+BL263</f>
        <v>0.24882908587976599</v>
      </c>
      <c r="BN263" s="76">
        <f t="shared" si="55"/>
        <v>0.24882908587976599</v>
      </c>
      <c r="BO263" s="76">
        <f>0.0526*BI263*Observaciones!$F262^1.218</f>
        <v>0</v>
      </c>
      <c r="BP263" s="76">
        <f>BO263*Constantes!$E$51</f>
        <v>0</v>
      </c>
      <c r="BQ263" s="76">
        <f t="shared" ref="BQ263:BQ326" si="65">BP263*1000000/(BN263/1000*10000)</f>
        <v>0</v>
      </c>
      <c r="BR263" s="40"/>
    </row>
    <row r="264" spans="1:70">
      <c r="A264" s="147"/>
      <c r="B264" s="39"/>
      <c r="C264" s="75">
        <v>258</v>
      </c>
      <c r="D264" s="146">
        <f>ETo!$I263*((1-Constantes!$E$19)*ETo!$K263+ETo!$L263)</f>
        <v>3.7092919638932291</v>
      </c>
      <c r="E264" s="76">
        <f>MIN(D264*Constantes!$E$17,0.8*(N263+Observaciones!$F263-F264-M264-Constantes!$D$14))</f>
        <v>0.3851590218832186</v>
      </c>
      <c r="F264" s="76">
        <f>IF(Observaciones!$F263&gt;0.05*Constantes!$E$18,((Observaciones!$F263-0.05*Constantes!$E$18)^2)/(Observaciones!$F263+0.95*Constantes!$E$18),0)</f>
        <v>0</v>
      </c>
      <c r="G264" s="76">
        <f>IF(Escenarios!$E$11&gt;0,(F264*Escenarios!$E$16*10000)/1000,0)</f>
        <v>0</v>
      </c>
      <c r="H264" s="76">
        <f>IF(Escenarios!$E$11&gt;0,(Observaciones!$F263*Constantes!$E$29)/1000,0)</f>
        <v>5</v>
      </c>
      <c r="I264" s="76">
        <f>IF(Escenarios!$E$11&gt;0,(D264*Constantes!$E$29)/1000,0)</f>
        <v>37.092919638932287</v>
      </c>
      <c r="J264" s="76">
        <f>IF(Escenarios!$E$11&gt;0,MAX(0,G264+H264-I264),0)</f>
        <v>0</v>
      </c>
      <c r="K264" s="76">
        <f>IF(Escenarios!$E$11&gt;0,IF(J264&gt;Constantes!$E$30,1000*((J264-Constantes!$E$30)/(Escenarios!$E$16*10000)),0),F264)</f>
        <v>0</v>
      </c>
      <c r="L264" s="76">
        <f>IF(Escenarios!$E$11&gt;0,I264*1000/Escenarios!$E$16/10000+E264,E264)</f>
        <v>0.39999618973879153</v>
      </c>
      <c r="M264" s="76">
        <f>MAX(0,N263+Observaciones!$F263-K264-Constantes!$D$13)</f>
        <v>0</v>
      </c>
      <c r="N264" s="76">
        <f>N263+Observaciones!$F263-K264-L264-M264-O263</f>
        <v>11.331452587615232</v>
      </c>
      <c r="O264" s="76">
        <f>MAX(0,(N264-Constantes!$D$14)*(1-EXP(-Constantes!$D$22)))</f>
        <v>2.7745741527454462E-3</v>
      </c>
      <c r="P264" s="170">
        <f>P263+(Entradas!$E$83*M264-Q263)/(800*Entradas!$D$25)</f>
        <v>0</v>
      </c>
      <c r="Q264" s="170">
        <f>8000*Entradas!$D$26*P264/Constantes!$E$45</f>
        <v>0</v>
      </c>
      <c r="R264" s="170">
        <f>IF(Escenarios!$E$14&gt;0,K264*Escenarios!$E$13/Escenarios!$E$14,0)</f>
        <v>0</v>
      </c>
      <c r="S264" s="170">
        <f>IF(Escenarios!$E$14&gt;0,Q264*Escenarios!$E$13/Escenarios!$E$14,0)</f>
        <v>0</v>
      </c>
      <c r="T264" s="170">
        <f>IF(Escenarios!$E$14&gt;0,Observaciones!$I263,0)</f>
        <v>0</v>
      </c>
      <c r="U264" s="170">
        <f>IF(Escenarios!$E$14&gt;0,MAX(0,Constantes!$E$36/((Z263+R264+S264+T264+Observaciones!$F263)^2)+Entradas!$E$77),0)</f>
        <v>0</v>
      </c>
      <c r="V264" s="146">
        <f>IF(ETo!D263&gt;0,ETo!I263*((1-Entradas!$E$81)*ETo!K263+ETo!L263),0)</f>
        <v>3.3774003424027721</v>
      </c>
      <c r="W264" s="170">
        <f>IF(Escenarios!$E$14&gt;0,MIN(V264*1,0.8*(Z263+R264+S264+T264+Observaciones!$F263-U264-Constantes!$E$35)),0)</f>
        <v>0.4</v>
      </c>
      <c r="X264" s="170">
        <f>IF(Escenarios!$E$14&gt;0,Observaciones!$J263,0)</f>
        <v>0</v>
      </c>
      <c r="Y264" s="170">
        <f>IF(Escenarios!$E$14&gt;0,MAX(0,Z263+R264+S264+T264+Observaciones!$F263-U264-W264-X264-Constantes!$E$33),0)</f>
        <v>0</v>
      </c>
      <c r="Z264" s="170">
        <f>Z263+R264+S264+T264+Observaciones!$F263-U264-W264-Y264</f>
        <v>41.35</v>
      </c>
      <c r="AA264" s="170">
        <f>IF(Escenarios!$E$14&gt;0,(Escenarios!$E$13*L264+Escenarios!$E$14*W264)/(Escenarios!$E$16),L264)</f>
        <v>0.39999664697013659</v>
      </c>
      <c r="AB264" s="170">
        <f>IF(Escenarios!$E$14&gt;0,(Escenarios!$E$14*Y264)/(Escenarios!$E$16),K264)</f>
        <v>0</v>
      </c>
      <c r="AC264" s="170">
        <f>IF(Escenarios!$E$14&gt;0,(Escenarios!$E$13*M264+Escenarios!$E$14*U264)/(Escenarios!$E$16),M264)</f>
        <v>0</v>
      </c>
      <c r="AD264" s="76">
        <f t="shared" si="57"/>
        <v>72.867956288648003</v>
      </c>
      <c r="AE264" s="76">
        <f>MAX(0,(AD264-Constantes!$D$13)*(1-EXP(-Constantes!$D$23)))</f>
        <v>0.23763996776168816</v>
      </c>
      <c r="AF264" s="76">
        <f>AB264+O264*Escenarios!$E$13/Escenarios!$E$16+AE264</f>
        <v>0.24008159301610416</v>
      </c>
      <c r="AG264" s="76">
        <f>IF(Entradas!$E$91&gt;0,IF(AF264-Escenarios!$E$38&lt;=0,0,IF(AF264-Escenarios!$E$38&gt;Escenarios!$E$37,Escenarios!$E$37,AF264-Escenarios!$E$38)),0)</f>
        <v>0</v>
      </c>
      <c r="AH264" s="76">
        <f>AG264*Entradas!$E$99</f>
        <v>0</v>
      </c>
      <c r="AI264" s="76">
        <f>IF(Entradas!$E$91&gt;0,D264*Entradas!$D$23/Escenarios!$E$16,0)</f>
        <v>0</v>
      </c>
      <c r="AJ264" s="76">
        <f>IF(Entradas!$E$91&gt;0,Entradas!$D$24*Entradas!$D$22/Escenarios!$E$16,0)</f>
        <v>0</v>
      </c>
      <c r="AK264" s="76">
        <f t="shared" ref="AK264:AK327" si="66">AA264+AI264</f>
        <v>0.39999664697013659</v>
      </c>
      <c r="AL264" s="76">
        <f t="shared" ref="AL264:AL327" si="67">MAX(0,AB264-AG264)</f>
        <v>0</v>
      </c>
      <c r="AM264" s="76">
        <f t="shared" si="58"/>
        <v>0</v>
      </c>
      <c r="AN264" s="76">
        <f>MAX(0,O264*Escenarios!$E$13/Escenarios!$E$16-AM264)</f>
        <v>2.4416252544159928E-3</v>
      </c>
      <c r="AO264" s="76">
        <f>AM264+AN264-O264*Escenarios!$E$13/Escenarios!$E$16</f>
        <v>0</v>
      </c>
      <c r="AP264" s="76">
        <f t="shared" si="56"/>
        <v>0.23763996776168816</v>
      </c>
      <c r="AQ264" s="76">
        <f t="shared" si="59"/>
        <v>0</v>
      </c>
      <c r="AR264" s="76">
        <f t="shared" si="60"/>
        <v>0.24008159301610416</v>
      </c>
      <c r="AS264" s="76">
        <f t="shared" si="61"/>
        <v>0</v>
      </c>
      <c r="AT264" s="76">
        <f t="shared" si="62"/>
        <v>0</v>
      </c>
      <c r="AU264" s="76">
        <f t="shared" si="63"/>
        <v>48.75</v>
      </c>
      <c r="AV264" s="76">
        <f>MAX(0,(AU264-Constantes!$D$13)*(1-EXP(-Constantes!$D$24)))</f>
        <v>0</v>
      </c>
      <c r="AW264" s="170">
        <f>AW263+(Entradas!$E$112*AT264-AX263)/(800*Entradas!$D$25)</f>
        <v>0</v>
      </c>
      <c r="AX264" s="170">
        <f>8000*Entradas!$D$26*AW264/Constantes!$E$45</f>
        <v>0</v>
      </c>
      <c r="AY264" s="170">
        <f>IF(Escenarios!$E$17&gt;0,10*Escenarios!$E$16*AL264,0)</f>
        <v>0</v>
      </c>
      <c r="AZ264" s="170">
        <f>IF(Escenarios!$E$17&gt;0,10*Escenarios!$E$16*AX264,0)</f>
        <v>0</v>
      </c>
      <c r="BA264" s="170">
        <f>IF(Escenarios!$E$17&gt;0,0.001*Observaciones!$F263*Escenarios!$E$17,0)</f>
        <v>10</v>
      </c>
      <c r="BB264" s="170">
        <f>IF(Escenarios!$E$17&gt;0,Observaciones!$K263,0)</f>
        <v>0</v>
      </c>
      <c r="BC264" s="170">
        <f>IF(Escenarios!$E$17&gt;0,MIN(0.0005*ETo!$M263*Escenarios!$E$17*(BG263/Constantes!$E$40)^(2/3),BG263+AY264+AZ264+BA264+BB264),0)</f>
        <v>1.1910128725623943</v>
      </c>
      <c r="BD264" s="170">
        <f>IF(Escenarios!$E$17&gt;0,MIN(Constantes!$E$39*(BG263/Constantes!$E$40)^(2/3),BG263+AY264+AZ264+BA264+BB264-BC264),0)</f>
        <v>2.2516904744839996</v>
      </c>
      <c r="BE264" s="170">
        <f>IF(Escenarios!$E$17&gt;0,MIN(Entradas!$E$113,BG263+AY264+AZ264+BA264+BB264-BC264-BD264),0)</f>
        <v>1</v>
      </c>
      <c r="BF264" s="170">
        <f>IF(Escenarios!$E$17&gt;0,MAX(0,BG263+AY264+AZ264+BA264+BB264-BC264-BD264-BE264-Constantes!$E$40),0)</f>
        <v>0</v>
      </c>
      <c r="BG264" s="170">
        <f t="shared" ref="BG264:BG327" si="68">BG263+AY264+AZ264+BA264+BB264-BF264-BC264-BD264-BE264</f>
        <v>37.037446890674069</v>
      </c>
      <c r="BH264" s="170">
        <f>(Escenarios!$E$16*AK264+0.1*BC264)/(Escenarios!$E$19)</f>
        <v>0.39729469456266026</v>
      </c>
      <c r="BI264" s="170">
        <f>IF(Escenarios!$E$17&gt;0,BF264/10/Escenarios!$E$19,AL264)</f>
        <v>0</v>
      </c>
      <c r="BJ264" s="170">
        <f>(Escenarios!$E$16*AT264+0.1*BD264)/(Escenarios!$E$19)</f>
        <v>8.9352796606507925E-4</v>
      </c>
      <c r="BK264" s="76">
        <f>BK263+(0.1*BD264)/(Escenarios!$E$19)-BL263</f>
        <v>49.637642199574216</v>
      </c>
      <c r="BL264" s="76">
        <f>MAX(0,(BK264-Constantes!$D$13)*(1-EXP(-Constantes!$D$23)))</f>
        <v>8.7461500123050227E-3</v>
      </c>
      <c r="BM264" s="76">
        <f t="shared" si="64"/>
        <v>0.24638611777399319</v>
      </c>
      <c r="BN264" s="76">
        <f t="shared" ref="BN264:BN327" si="69">AN264+AP264+AV264+BI264+BL264</f>
        <v>0.24882774302840918</v>
      </c>
      <c r="BO264" s="76">
        <f>0.0526*BI264*Observaciones!$F263^1.218</f>
        <v>0</v>
      </c>
      <c r="BP264" s="76">
        <f>BO264*Constantes!$E$51</f>
        <v>0</v>
      </c>
      <c r="BQ264" s="76">
        <f t="shared" si="65"/>
        <v>0</v>
      </c>
      <c r="BR264" s="40"/>
    </row>
    <row r="265" spans="1:70">
      <c r="A265" s="147"/>
      <c r="B265" s="39"/>
      <c r="C265" s="75">
        <v>259</v>
      </c>
      <c r="D265" s="146">
        <f>ETo!$I264*((1-Constantes!$E$19)*ETo!$K264+ETo!$L264)</f>
        <v>3.8963257021301319</v>
      </c>
      <c r="E265" s="76">
        <f>MIN(D265*Constantes!$E$17,0.8*(N264+Observaciones!$F264-F265-M265-Constantes!$D$14))</f>
        <v>6.5162070092185331E-2</v>
      </c>
      <c r="F265" s="76">
        <f>IF(Observaciones!$F264&gt;0.05*Constantes!$E$18,((Observaciones!$F264-0.05*Constantes!$E$18)^2)/(Observaciones!$F264+0.95*Constantes!$E$18),0)</f>
        <v>0</v>
      </c>
      <c r="G265" s="76">
        <f>IF(Escenarios!$E$11&gt;0,(F265*Escenarios!$E$16*10000)/1000,0)</f>
        <v>0</v>
      </c>
      <c r="H265" s="76">
        <f>IF(Escenarios!$E$11&gt;0,(Observaciones!$F264*Constantes!$E$29)/1000,0)</f>
        <v>0</v>
      </c>
      <c r="I265" s="76">
        <f>IF(Escenarios!$E$11&gt;0,(D265*Constantes!$E$29)/1000,0)</f>
        <v>38.963257021301317</v>
      </c>
      <c r="J265" s="76">
        <f>IF(Escenarios!$E$11&gt;0,MAX(0,G265+H265-I265),0)</f>
        <v>0</v>
      </c>
      <c r="K265" s="76">
        <f>IF(Escenarios!$E$11&gt;0,IF(J265&gt;Constantes!$E$30,1000*((J265-Constantes!$E$30)/(Escenarios!$E$16*10000)),0),F265)</f>
        <v>0</v>
      </c>
      <c r="L265" s="76">
        <f>IF(Escenarios!$E$11&gt;0,I265*1000/Escenarios!$E$16/10000+E265,E265)</f>
        <v>8.0747372900705855E-2</v>
      </c>
      <c r="M265" s="76">
        <f>MAX(0,N264+Observaciones!$F264-K265-Constantes!$D$13)</f>
        <v>0</v>
      </c>
      <c r="N265" s="76">
        <f>N264+Observaciones!$F264-K265-L265-M265-O264</f>
        <v>11.24793064056178</v>
      </c>
      <c r="O265" s="76">
        <f>MAX(0,(N265-Constantes!$D$14)*(1-EXP(-Constantes!$D$22)))</f>
        <v>0</v>
      </c>
      <c r="P265" s="170">
        <f>P264+(Entradas!$E$83*M265-Q264)/(800*Entradas!$D$25)</f>
        <v>0</v>
      </c>
      <c r="Q265" s="170">
        <f>8000*Entradas!$D$26*P265/Constantes!$E$45</f>
        <v>0</v>
      </c>
      <c r="R265" s="170">
        <f>IF(Escenarios!$E$14&gt;0,K265*Escenarios!$E$13/Escenarios!$E$14,0)</f>
        <v>0</v>
      </c>
      <c r="S265" s="170">
        <f>IF(Escenarios!$E$14&gt;0,Q265*Escenarios!$E$13/Escenarios!$E$14,0)</f>
        <v>0</v>
      </c>
      <c r="T265" s="170">
        <f>IF(Escenarios!$E$14&gt;0,Observaciones!$I264,0)</f>
        <v>0</v>
      </c>
      <c r="U265" s="170">
        <f>IF(Escenarios!$E$14&gt;0,MAX(0,Constantes!$E$36/((Z264+R265+S265+T265+Observaciones!$F264)^2)+Entradas!$E$77),0)</f>
        <v>0</v>
      </c>
      <c r="V265" s="146">
        <f>IF(ETo!D264&gt;0,ETo!I264*((1-Entradas!$E$81)*ETo!K264+ETo!L264),0)</f>
        <v>3.549967721049434</v>
      </c>
      <c r="W265" s="170">
        <f>IF(Escenarios!$E$14&gt;0,MIN(V265*1,0.8*(Z264+R265+S265+T265+Observaciones!$F264-U265-Constantes!$E$35)),0)</f>
        <v>8.000000000000114E-2</v>
      </c>
      <c r="X265" s="170">
        <f>IF(Escenarios!$E$14&gt;0,Observaciones!$J264,0)</f>
        <v>0</v>
      </c>
      <c r="Y265" s="170">
        <f>IF(Escenarios!$E$14&gt;0,MAX(0,Z264+R265+S265+T265+Observaciones!$F264-U265-W265-X265-Constantes!$E$33),0)</f>
        <v>0</v>
      </c>
      <c r="Z265" s="170">
        <f>Z264+R265+S265+T265+Observaciones!$F264-U265-W265-Y265</f>
        <v>41.27</v>
      </c>
      <c r="AA265" s="170">
        <f>IF(Escenarios!$E$14&gt;0,(Escenarios!$E$13*L265+Escenarios!$E$14*W265)/(Escenarios!$E$16),L265)</f>
        <v>8.0657688152621296E-2</v>
      </c>
      <c r="AB265" s="170">
        <f>IF(Escenarios!$E$14&gt;0,(Escenarios!$E$14*Y265)/(Escenarios!$E$16),K265)</f>
        <v>0</v>
      </c>
      <c r="AC265" s="170">
        <f>IF(Escenarios!$E$14&gt;0,(Escenarios!$E$13*M265+Escenarios!$E$14*U265)/(Escenarios!$E$16),M265)</f>
        <v>0</v>
      </c>
      <c r="AD265" s="76">
        <f t="shared" si="57"/>
        <v>72.630316320886308</v>
      </c>
      <c r="AE265" s="76">
        <f>MAX(0,(AD265-Constantes!$D$13)*(1-EXP(-Constantes!$D$23)))</f>
        <v>0.23529844455790169</v>
      </c>
      <c r="AF265" s="76">
        <f>AB265+O265*Escenarios!$E$13/Escenarios!$E$16+AE265</f>
        <v>0.23529844455790169</v>
      </c>
      <c r="AG265" s="76">
        <f>IF(Entradas!$E$91&gt;0,IF(AF265-Escenarios!$E$38&lt;=0,0,IF(AF265-Escenarios!$E$38&gt;Escenarios!$E$37,Escenarios!$E$37,AF265-Escenarios!$E$38)),0)</f>
        <v>0</v>
      </c>
      <c r="AH265" s="76">
        <f>AG265*Entradas!$E$99</f>
        <v>0</v>
      </c>
      <c r="AI265" s="76">
        <f>IF(Entradas!$E$91&gt;0,D265*Entradas!$D$23/Escenarios!$E$16,0)</f>
        <v>0</v>
      </c>
      <c r="AJ265" s="76">
        <f>IF(Entradas!$E$91&gt;0,Entradas!$D$24*Entradas!$D$22/Escenarios!$E$16,0)</f>
        <v>0</v>
      </c>
      <c r="AK265" s="76">
        <f t="shared" si="66"/>
        <v>8.0657688152621296E-2</v>
      </c>
      <c r="AL265" s="76">
        <f t="shared" si="67"/>
        <v>0</v>
      </c>
      <c r="AM265" s="76">
        <f t="shared" si="58"/>
        <v>0</v>
      </c>
      <c r="AN265" s="76">
        <f>MAX(0,O265*Escenarios!$E$13/Escenarios!$E$16-AM265)</f>
        <v>0</v>
      </c>
      <c r="AO265" s="76">
        <f>AM265+AN265-O265*Escenarios!$E$13/Escenarios!$E$16</f>
        <v>0</v>
      </c>
      <c r="AP265" s="76">
        <f t="shared" si="56"/>
        <v>0.23529844455790169</v>
      </c>
      <c r="AQ265" s="76">
        <f t="shared" si="59"/>
        <v>0</v>
      </c>
      <c r="AR265" s="76">
        <f t="shared" si="60"/>
        <v>0.23529844455790169</v>
      </c>
      <c r="AS265" s="76">
        <f t="shared" si="61"/>
        <v>0</v>
      </c>
      <c r="AT265" s="76">
        <f t="shared" si="62"/>
        <v>0</v>
      </c>
      <c r="AU265" s="76">
        <f t="shared" si="63"/>
        <v>48.75</v>
      </c>
      <c r="AV265" s="76">
        <f>MAX(0,(AU265-Constantes!$D$13)*(1-EXP(-Constantes!$D$24)))</f>
        <v>0</v>
      </c>
      <c r="AW265" s="170">
        <f>AW264+(Entradas!$E$112*AT265-AX264)/(800*Entradas!$D$25)</f>
        <v>0</v>
      </c>
      <c r="AX265" s="170">
        <f>8000*Entradas!$D$26*AW265/Constantes!$E$45</f>
        <v>0</v>
      </c>
      <c r="AY265" s="170">
        <f>IF(Escenarios!$E$17&gt;0,10*Escenarios!$E$16*AL265,0)</f>
        <v>0</v>
      </c>
      <c r="AZ265" s="170">
        <f>IF(Escenarios!$E$17&gt;0,10*Escenarios!$E$16*AX265,0)</f>
        <v>0</v>
      </c>
      <c r="BA265" s="170">
        <f>IF(Escenarios!$E$17&gt;0,0.001*Observaciones!$F264*Escenarios!$E$17,0)</f>
        <v>0</v>
      </c>
      <c r="BB265" s="170">
        <f>IF(Escenarios!$E$17&gt;0,Observaciones!$K264,0)</f>
        <v>0</v>
      </c>
      <c r="BC265" s="170">
        <f>IF(Escenarios!$E$17&gt;0,MIN(0.0005*ETo!$M264*Escenarios!$E$17*(BG264/Constantes!$E$40)^(2/3),BG264+AY265+AZ265+BA265+BB265),0)</f>
        <v>1.3931608472110115</v>
      </c>
      <c r="BD265" s="170">
        <f>IF(Escenarios!$E$17&gt;0,MIN(Constantes!$E$39*(BG264/Constantes!$E$40)^(2/3),BG264+AY265+AZ265+BA265+BB265-BC265),0)</f>
        <v>2.5094479232931377</v>
      </c>
      <c r="BE265" s="170">
        <f>IF(Escenarios!$E$17&gt;0,MIN(Entradas!$E$113,BG264+AY265+AZ265+BA265+BB265-BC265-BD265),0)</f>
        <v>1</v>
      </c>
      <c r="BF265" s="170">
        <f>IF(Escenarios!$E$17&gt;0,MAX(0,BG264+AY265+AZ265+BA265+BB265-BC265-BD265-BE265-Constantes!$E$40),0)</f>
        <v>0</v>
      </c>
      <c r="BG265" s="170">
        <f t="shared" si="68"/>
        <v>32.134838120169917</v>
      </c>
      <c r="BH265" s="170">
        <f>(Escenarios!$E$16*AK265+0.1*BC265)/(Escenarios!$E$19)</f>
        <v>8.0570389376493745E-2</v>
      </c>
      <c r="BI265" s="170">
        <f>IF(Escenarios!$E$17&gt;0,BF265/10/Escenarios!$E$19,AL265)</f>
        <v>0</v>
      </c>
      <c r="BJ265" s="170">
        <f>(Escenarios!$E$16*AT265+0.1*BD265)/(Escenarios!$E$19)</f>
        <v>9.9581266797346734E-4</v>
      </c>
      <c r="BK265" s="76">
        <f>BK264+(0.1*BD265)/(Escenarios!$E$19)-BL264</f>
        <v>49.629891862229883</v>
      </c>
      <c r="BL265" s="76">
        <f>MAX(0,(BK265-Constantes!$D$13)*(1-EXP(-Constantes!$D$23)))</f>
        <v>8.66978409246477E-3</v>
      </c>
      <c r="BM265" s="76">
        <f t="shared" si="64"/>
        <v>0.24396822865036646</v>
      </c>
      <c r="BN265" s="76">
        <f t="shared" si="69"/>
        <v>0.24396822865036646</v>
      </c>
      <c r="BO265" s="76">
        <f>0.0526*BI265*Observaciones!$F264^1.218</f>
        <v>0</v>
      </c>
      <c r="BP265" s="76">
        <f>BO265*Constantes!$E$51</f>
        <v>0</v>
      </c>
      <c r="BQ265" s="76">
        <f t="shared" si="65"/>
        <v>0</v>
      </c>
      <c r="BR265" s="40"/>
    </row>
    <row r="266" spans="1:70">
      <c r="A266" s="147"/>
      <c r="B266" s="39"/>
      <c r="C266" s="75">
        <v>260</v>
      </c>
      <c r="D266" s="146">
        <f>ETo!$I265*((1-Constantes!$E$19)*ETo!$K265+ETo!$L265)</f>
        <v>3.9160197647837025</v>
      </c>
      <c r="E266" s="76">
        <f>MIN(D266*Constantes!$E$17,0.8*(N265+Observaciones!$F265-F266-M266-Constantes!$D$14))</f>
        <v>-1.6554875505761402E-3</v>
      </c>
      <c r="F266" s="76">
        <f>IF(Observaciones!$F265&gt;0.05*Constantes!$E$18,((Observaciones!$F265-0.05*Constantes!$E$18)^2)/(Observaciones!$F265+0.95*Constantes!$E$18),0)</f>
        <v>0</v>
      </c>
      <c r="G266" s="76">
        <f>IF(Escenarios!$E$11&gt;0,(F266*Escenarios!$E$16*10000)/1000,0)</f>
        <v>0</v>
      </c>
      <c r="H266" s="76">
        <f>IF(Escenarios!$E$11&gt;0,(Observaciones!$F265*Constantes!$E$29)/1000,0)</f>
        <v>0</v>
      </c>
      <c r="I266" s="76">
        <f>IF(Escenarios!$E$11&gt;0,(D266*Constantes!$E$29)/1000,0)</f>
        <v>39.16019764783703</v>
      </c>
      <c r="J266" s="76">
        <f>IF(Escenarios!$E$11&gt;0,MAX(0,G266+H266-I266),0)</f>
        <v>0</v>
      </c>
      <c r="K266" s="76">
        <f>IF(Escenarios!$E$11&gt;0,IF(J266&gt;Constantes!$E$30,1000*((J266-Constantes!$E$30)/(Escenarios!$E$16*10000)),0),F266)</f>
        <v>0</v>
      </c>
      <c r="L266" s="76">
        <f>IF(Escenarios!$E$11&gt;0,I266*1000/Escenarios!$E$16/10000+E266,E266)</f>
        <v>1.4008591508558672E-2</v>
      </c>
      <c r="M266" s="76">
        <f>MAX(0,N265+Observaciones!$F265-K266-Constantes!$D$13)</f>
        <v>0</v>
      </c>
      <c r="N266" s="76">
        <f>N265+Observaciones!$F265-K266-L266-M266-O265</f>
        <v>11.233922049053222</v>
      </c>
      <c r="O266" s="76">
        <f>MAX(0,(N266-Constantes!$D$14)*(1-EXP(-Constantes!$D$22)))</f>
        <v>0</v>
      </c>
      <c r="P266" s="170">
        <f>P265+(Entradas!$E$83*M266-Q265)/(800*Entradas!$D$25)</f>
        <v>0</v>
      </c>
      <c r="Q266" s="170">
        <f>8000*Entradas!$D$26*P266/Constantes!$E$45</f>
        <v>0</v>
      </c>
      <c r="R266" s="170">
        <f>IF(Escenarios!$E$14&gt;0,K266*Escenarios!$E$13/Escenarios!$E$14,0)</f>
        <v>0</v>
      </c>
      <c r="S266" s="170">
        <f>IF(Escenarios!$E$14&gt;0,Q266*Escenarios!$E$13/Escenarios!$E$14,0)</f>
        <v>0</v>
      </c>
      <c r="T266" s="170">
        <f>IF(Escenarios!$E$14&gt;0,Observaciones!$I265,0)</f>
        <v>0</v>
      </c>
      <c r="U266" s="170">
        <f>IF(Escenarios!$E$14&gt;0,MAX(0,Constantes!$E$36/((Z265+R266+S266+T266+Observaciones!$F265)^2)+Entradas!$E$77),0)</f>
        <v>0</v>
      </c>
      <c r="V266" s="146">
        <f>IF(ETo!D265&gt;0,ETo!I265*((1-Entradas!$E$81)*ETo!K265+ETo!L265),0)</f>
        <v>3.5683564790004225</v>
      </c>
      <c r="W266" s="170">
        <f>IF(Escenarios!$E$14&gt;0,MIN(V266*1,0.8*(Z265+R266+S266+T266+Observaciones!$F265-U266-Constantes!$E$35)),0)</f>
        <v>1.6000000000002502E-2</v>
      </c>
      <c r="X266" s="170">
        <f>IF(Escenarios!$E$14&gt;0,Observaciones!$J265,0)</f>
        <v>0</v>
      </c>
      <c r="Y266" s="170">
        <f>IF(Escenarios!$E$14&gt;0,MAX(0,Z265+R266+S266+T266+Observaciones!$F265-U266-W266-X266-Constantes!$E$33),0)</f>
        <v>0</v>
      </c>
      <c r="Z266" s="170">
        <f>Z265+R266+S266+T266+Observaciones!$F265-U266-W266-Y266</f>
        <v>41.253999999999998</v>
      </c>
      <c r="AA266" s="170">
        <f>IF(Escenarios!$E$14&gt;0,(Escenarios!$E$13*L266+Escenarios!$E$14*W266)/(Escenarios!$E$16),L266)</f>
        <v>1.4247560527531931E-2</v>
      </c>
      <c r="AB266" s="170">
        <f>IF(Escenarios!$E$14&gt;0,(Escenarios!$E$14*Y266)/(Escenarios!$E$16),K266)</f>
        <v>0</v>
      </c>
      <c r="AC266" s="170">
        <f>IF(Escenarios!$E$14&gt;0,(Escenarios!$E$13*M266+Escenarios!$E$14*U266)/(Escenarios!$E$16),M266)</f>
        <v>0</v>
      </c>
      <c r="AD266" s="76">
        <f t="shared" si="57"/>
        <v>72.39501787632841</v>
      </c>
      <c r="AE266" s="76">
        <f>MAX(0,(AD266-Constantes!$D$13)*(1-EXP(-Constantes!$D$23)))</f>
        <v>0.23297999293994956</v>
      </c>
      <c r="AF266" s="76">
        <f>AB266+O266*Escenarios!$E$13/Escenarios!$E$16+AE266</f>
        <v>0.23297999293994956</v>
      </c>
      <c r="AG266" s="76">
        <f>IF(Entradas!$E$91&gt;0,IF(AF266-Escenarios!$E$38&lt;=0,0,IF(AF266-Escenarios!$E$38&gt;Escenarios!$E$37,Escenarios!$E$37,AF266-Escenarios!$E$38)),0)</f>
        <v>0</v>
      </c>
      <c r="AH266" s="76">
        <f>AG266*Entradas!$E$99</f>
        <v>0</v>
      </c>
      <c r="AI266" s="76">
        <f>IF(Entradas!$E$91&gt;0,D266*Entradas!$D$23/Escenarios!$E$16,0)</f>
        <v>0</v>
      </c>
      <c r="AJ266" s="76">
        <f>IF(Entradas!$E$91&gt;0,Entradas!$D$24*Entradas!$D$22/Escenarios!$E$16,0)</f>
        <v>0</v>
      </c>
      <c r="AK266" s="76">
        <f t="shared" si="66"/>
        <v>1.4247560527531931E-2</v>
      </c>
      <c r="AL266" s="76">
        <f t="shared" si="67"/>
        <v>0</v>
      </c>
      <c r="AM266" s="76">
        <f t="shared" si="58"/>
        <v>0</v>
      </c>
      <c r="AN266" s="76">
        <f>MAX(0,O266*Escenarios!$E$13/Escenarios!$E$16-AM266)</f>
        <v>0</v>
      </c>
      <c r="AO266" s="76">
        <f>AM266+AN266-O266*Escenarios!$E$13/Escenarios!$E$16</f>
        <v>0</v>
      </c>
      <c r="AP266" s="76">
        <f t="shared" si="56"/>
        <v>0.23297999293994956</v>
      </c>
      <c r="AQ266" s="76">
        <f t="shared" si="59"/>
        <v>0</v>
      </c>
      <c r="AR266" s="76">
        <f t="shared" si="60"/>
        <v>0.23297999293994956</v>
      </c>
      <c r="AS266" s="76">
        <f t="shared" si="61"/>
        <v>0</v>
      </c>
      <c r="AT266" s="76">
        <f t="shared" si="62"/>
        <v>0</v>
      </c>
      <c r="AU266" s="76">
        <f t="shared" si="63"/>
        <v>48.75</v>
      </c>
      <c r="AV266" s="76">
        <f>MAX(0,(AU266-Constantes!$D$13)*(1-EXP(-Constantes!$D$24)))</f>
        <v>0</v>
      </c>
      <c r="AW266" s="170">
        <f>AW265+(Entradas!$E$112*AT266-AX265)/(800*Entradas!$D$25)</f>
        <v>0</v>
      </c>
      <c r="AX266" s="170">
        <f>8000*Entradas!$D$26*AW266/Constantes!$E$45</f>
        <v>0</v>
      </c>
      <c r="AY266" s="170">
        <f>IF(Escenarios!$E$17&gt;0,10*Escenarios!$E$16*AL266,0)</f>
        <v>0</v>
      </c>
      <c r="AZ266" s="170">
        <f>IF(Escenarios!$E$17&gt;0,10*Escenarios!$E$16*AX266,0)</f>
        <v>0</v>
      </c>
      <c r="BA266" s="170">
        <f>IF(Escenarios!$E$17&gt;0,0.001*Observaciones!$F265*Escenarios!$E$17,0)</f>
        <v>0</v>
      </c>
      <c r="BB266" s="170">
        <f>IF(Escenarios!$E$17&gt;0,Observaciones!$K265,0)</f>
        <v>0</v>
      </c>
      <c r="BC266" s="170">
        <f>IF(Escenarios!$E$17&gt;0,MIN(0.0005*ETo!$M265*Escenarios!$E$17*(BG265/Constantes!$E$40)^(2/3),BG265+AY266+AZ266+BA266+BB266),0)</f>
        <v>1.2735404511039969</v>
      </c>
      <c r="BD266" s="170">
        <f>IF(Escenarios!$E$17&gt;0,MIN(Constantes!$E$39*(BG265/Constantes!$E$40)^(2/3),BG265+AY266+AZ266+BA266+BB266-BC266),0)</f>
        <v>2.2828019631174925</v>
      </c>
      <c r="BE266" s="170">
        <f>IF(Escenarios!$E$17&gt;0,MIN(Entradas!$E$113,BG265+AY266+AZ266+BA266+BB266-BC266-BD266),0)</f>
        <v>1</v>
      </c>
      <c r="BF266" s="170">
        <f>IF(Escenarios!$E$17&gt;0,MAX(0,BG265+AY266+AZ266+BA266+BB266-BC266-BD266-BE266-Constantes!$E$40),0)</f>
        <v>0</v>
      </c>
      <c r="BG266" s="170">
        <f t="shared" si="68"/>
        <v>27.578495705948427</v>
      </c>
      <c r="BH266" s="170">
        <f>(Escenarios!$E$16*AK266+0.1*BC266)/(Escenarios!$E$19)</f>
        <v>1.4639857845211835E-2</v>
      </c>
      <c r="BI266" s="170">
        <f>IF(Escenarios!$E$17&gt;0,BF266/10/Escenarios!$E$19,AL266)</f>
        <v>0</v>
      </c>
      <c r="BJ266" s="170">
        <f>(Escenarios!$E$16*AT266+0.1*BD266)/(Escenarios!$E$19)</f>
        <v>9.0587379488789386E-4</v>
      </c>
      <c r="BK266" s="76">
        <f>BK265+(0.1*BD266)/(Escenarios!$E$19)-BL265</f>
        <v>49.622127951932306</v>
      </c>
      <c r="BL266" s="76">
        <f>MAX(0,(BK266-Constantes!$D$13)*(1-EXP(-Constantes!$D$23)))</f>
        <v>8.5932844350833874E-3</v>
      </c>
      <c r="BM266" s="76">
        <f t="shared" si="64"/>
        <v>0.24157327737503295</v>
      </c>
      <c r="BN266" s="76">
        <f t="shared" si="69"/>
        <v>0.24157327737503295</v>
      </c>
      <c r="BO266" s="76">
        <f>0.0526*BI266*Observaciones!$F265^1.218</f>
        <v>0</v>
      </c>
      <c r="BP266" s="76">
        <f>BO266*Constantes!$E$51</f>
        <v>0</v>
      </c>
      <c r="BQ266" s="76">
        <f t="shared" si="65"/>
        <v>0</v>
      </c>
      <c r="BR266" s="40"/>
    </row>
    <row r="267" spans="1:70">
      <c r="A267" s="147"/>
      <c r="B267" s="39"/>
      <c r="C267" s="75">
        <v>261</v>
      </c>
      <c r="D267" s="146">
        <f>ETo!$I266*((1-Constantes!$E$19)*ETo!$K266+ETo!$L266)</f>
        <v>3.8777562311123153</v>
      </c>
      <c r="E267" s="76">
        <f>MIN(D267*Constantes!$E$17,0.8*(N266+Observaciones!$F266-F267-M267-Constantes!$D$14))</f>
        <v>-1.2862360757422664E-2</v>
      </c>
      <c r="F267" s="76">
        <f>IF(Observaciones!$F266&gt;0.05*Constantes!$E$18,((Observaciones!$F266-0.05*Constantes!$E$18)^2)/(Observaciones!$F266+0.95*Constantes!$E$18),0)</f>
        <v>0</v>
      </c>
      <c r="G267" s="76">
        <f>IF(Escenarios!$E$11&gt;0,(F267*Escenarios!$E$16*10000)/1000,0)</f>
        <v>0</v>
      </c>
      <c r="H267" s="76">
        <f>IF(Escenarios!$E$11&gt;0,(Observaciones!$F266*Constantes!$E$29)/1000,0)</f>
        <v>0</v>
      </c>
      <c r="I267" s="76">
        <f>IF(Escenarios!$E$11&gt;0,(D267*Constantes!$E$29)/1000,0)</f>
        <v>38.777562311123155</v>
      </c>
      <c r="J267" s="76">
        <f>IF(Escenarios!$E$11&gt;0,MAX(0,G267+H267-I267),0)</f>
        <v>0</v>
      </c>
      <c r="K267" s="76">
        <f>IF(Escenarios!$E$11&gt;0,IF(J267&gt;Constantes!$E$30,1000*((J267-Constantes!$E$30)/(Escenarios!$E$16*10000)),0),F267)</f>
        <v>0</v>
      </c>
      <c r="L267" s="76">
        <f>IF(Escenarios!$E$11&gt;0,I267*1000/Escenarios!$E$16/10000+E267,E267)</f>
        <v>2.6486641670265976E-3</v>
      </c>
      <c r="M267" s="76">
        <f>MAX(0,N266+Observaciones!$F266-K267-Constantes!$D$13)</f>
        <v>0</v>
      </c>
      <c r="N267" s="76">
        <f>N266+Observaciones!$F266-K267-L267-M267-O266</f>
        <v>11.231273384886196</v>
      </c>
      <c r="O267" s="76">
        <f>MAX(0,(N267-Constantes!$D$14)*(1-EXP(-Constantes!$D$22)))</f>
        <v>0</v>
      </c>
      <c r="P267" s="170">
        <f>P266+(Entradas!$E$83*M267-Q266)/(800*Entradas!$D$25)</f>
        <v>0</v>
      </c>
      <c r="Q267" s="170">
        <f>8000*Entradas!$D$26*P267/Constantes!$E$45</f>
        <v>0</v>
      </c>
      <c r="R267" s="170">
        <f>IF(Escenarios!$E$14&gt;0,K267*Escenarios!$E$13/Escenarios!$E$14,0)</f>
        <v>0</v>
      </c>
      <c r="S267" s="170">
        <f>IF(Escenarios!$E$14&gt;0,Q267*Escenarios!$E$13/Escenarios!$E$14,0)</f>
        <v>0</v>
      </c>
      <c r="T267" s="170">
        <f>IF(Escenarios!$E$14&gt;0,Observaciones!$I266,0)</f>
        <v>0</v>
      </c>
      <c r="U267" s="170">
        <f>IF(Escenarios!$E$14&gt;0,MAX(0,Constantes!$E$36/((Z266+R267+S267+T267+Observaciones!$F266)^2)+Entradas!$E$77),0)</f>
        <v>0</v>
      </c>
      <c r="V267" s="146">
        <f>IF(ETo!D266&gt;0,ETo!I266*((1-Entradas!$E$81)*ETo!K266+ETo!L266),0)</f>
        <v>3.5332321741319133</v>
      </c>
      <c r="W267" s="170">
        <f>IF(Escenarios!$E$14&gt;0,MIN(V267*1,0.8*(Z266+R267+S267+T267+Observaciones!$F266-U267-Constantes!$E$35)),0)</f>
        <v>3.1999999999982268E-3</v>
      </c>
      <c r="X267" s="170">
        <f>IF(Escenarios!$E$14&gt;0,Observaciones!$J266,0)</f>
        <v>0</v>
      </c>
      <c r="Y267" s="170">
        <f>IF(Escenarios!$E$14&gt;0,MAX(0,Z266+R267+S267+T267+Observaciones!$F266-U267-W267-X267-Constantes!$E$33),0)</f>
        <v>0</v>
      </c>
      <c r="Z267" s="170">
        <f>Z266+R267+S267+T267+Observaciones!$F266-U267-W267-Y267</f>
        <v>41.250799999999998</v>
      </c>
      <c r="AA267" s="170">
        <f>IF(Escenarios!$E$14&gt;0,(Escenarios!$E$13*L267+Escenarios!$E$14*W267)/(Escenarios!$E$16),L267)</f>
        <v>2.7148244669831932E-3</v>
      </c>
      <c r="AB267" s="170">
        <f>IF(Escenarios!$E$14&gt;0,(Escenarios!$E$14*Y267)/(Escenarios!$E$16),K267)</f>
        <v>0</v>
      </c>
      <c r="AC267" s="170">
        <f>IF(Escenarios!$E$14&gt;0,(Escenarios!$E$13*M267+Escenarios!$E$14*U267)/(Escenarios!$E$16),M267)</f>
        <v>0</v>
      </c>
      <c r="AD267" s="76">
        <f t="shared" si="57"/>
        <v>72.162037883388464</v>
      </c>
      <c r="AE267" s="76">
        <f>MAX(0,(AD267-Constantes!$D$13)*(1-EXP(-Constantes!$D$23)))</f>
        <v>0.23068438557800131</v>
      </c>
      <c r="AF267" s="76">
        <f>AB267+O267*Escenarios!$E$13/Escenarios!$E$16+AE267</f>
        <v>0.23068438557800131</v>
      </c>
      <c r="AG267" s="76">
        <f>IF(Entradas!$E$91&gt;0,IF(AF267-Escenarios!$E$38&lt;=0,0,IF(AF267-Escenarios!$E$38&gt;Escenarios!$E$37,Escenarios!$E$37,AF267-Escenarios!$E$38)),0)</f>
        <v>0</v>
      </c>
      <c r="AH267" s="76">
        <f>AG267*Entradas!$E$99</f>
        <v>0</v>
      </c>
      <c r="AI267" s="76">
        <f>IF(Entradas!$E$91&gt;0,D267*Entradas!$D$23/Escenarios!$E$16,0)</f>
        <v>0</v>
      </c>
      <c r="AJ267" s="76">
        <f>IF(Entradas!$E$91&gt;0,Entradas!$D$24*Entradas!$D$22/Escenarios!$E$16,0)</f>
        <v>0</v>
      </c>
      <c r="AK267" s="76">
        <f t="shared" si="66"/>
        <v>2.7148244669831932E-3</v>
      </c>
      <c r="AL267" s="76">
        <f t="shared" si="67"/>
        <v>0</v>
      </c>
      <c r="AM267" s="76">
        <f t="shared" si="58"/>
        <v>0</v>
      </c>
      <c r="AN267" s="76">
        <f>MAX(0,O267*Escenarios!$E$13/Escenarios!$E$16-AM267)</f>
        <v>0</v>
      </c>
      <c r="AO267" s="76">
        <f>AM267+AN267-O267*Escenarios!$E$13/Escenarios!$E$16</f>
        <v>0</v>
      </c>
      <c r="AP267" s="76">
        <f t="shared" si="56"/>
        <v>0.23068438557800131</v>
      </c>
      <c r="AQ267" s="76">
        <f t="shared" si="59"/>
        <v>0</v>
      </c>
      <c r="AR267" s="76">
        <f t="shared" si="60"/>
        <v>0.23068438557800131</v>
      </c>
      <c r="AS267" s="76">
        <f t="shared" si="61"/>
        <v>0</v>
      </c>
      <c r="AT267" s="76">
        <f t="shared" si="62"/>
        <v>0</v>
      </c>
      <c r="AU267" s="76">
        <f t="shared" si="63"/>
        <v>48.75</v>
      </c>
      <c r="AV267" s="76">
        <f>MAX(0,(AU267-Constantes!$D$13)*(1-EXP(-Constantes!$D$24)))</f>
        <v>0</v>
      </c>
      <c r="AW267" s="170">
        <f>AW266+(Entradas!$E$112*AT267-AX266)/(800*Entradas!$D$25)</f>
        <v>0</v>
      </c>
      <c r="AX267" s="170">
        <f>8000*Entradas!$D$26*AW267/Constantes!$E$45</f>
        <v>0</v>
      </c>
      <c r="AY267" s="170">
        <f>IF(Escenarios!$E$17&gt;0,10*Escenarios!$E$16*AL267,0)</f>
        <v>0</v>
      </c>
      <c r="AZ267" s="170">
        <f>IF(Escenarios!$E$17&gt;0,10*Escenarios!$E$16*AX267,0)</f>
        <v>0</v>
      </c>
      <c r="BA267" s="170">
        <f>IF(Escenarios!$E$17&gt;0,0.001*Observaciones!$F266*Escenarios!$E$17,0)</f>
        <v>0</v>
      </c>
      <c r="BB267" s="170">
        <f>IF(Escenarios!$E$17&gt;0,Observaciones!$K266,0)</f>
        <v>0</v>
      </c>
      <c r="BC267" s="170">
        <f>IF(Escenarios!$E$17&gt;0,MIN(0.0005*ETo!$M266*Escenarios!$E$17*(BG266/Constantes!$E$40)^(2/3),BG266+AY267+AZ267+BA267+BB267),0)</f>
        <v>1.1389846529701855</v>
      </c>
      <c r="BD267" s="170">
        <f>IF(Escenarios!$E$17&gt;0,MIN(Constantes!$E$39*(BG266/Constantes!$E$40)^(2/3),BG266+AY267+AZ267+BA267+BB267-BC267),0)</f>
        <v>2.0615690014036852</v>
      </c>
      <c r="BE267" s="170">
        <f>IF(Escenarios!$E$17&gt;0,MIN(Entradas!$E$113,BG266+AY267+AZ267+BA267+BB267-BC267-BD267),0)</f>
        <v>1</v>
      </c>
      <c r="BF267" s="170">
        <f>IF(Escenarios!$E$17&gt;0,MAX(0,BG266+AY267+AZ267+BA267+BB267-BC267-BD267-BE267-Constantes!$E$40),0)</f>
        <v>0</v>
      </c>
      <c r="BG267" s="170">
        <f t="shared" si="68"/>
        <v>23.377942051574554</v>
      </c>
      <c r="BH267" s="170">
        <f>(Escenarios!$E$16*AK267+0.1*BC267)/(Escenarios!$E$19)</f>
        <v>3.1452562779476856E-3</v>
      </c>
      <c r="BI267" s="170">
        <f>IF(Escenarios!$E$17&gt;0,BF267/10/Escenarios!$E$19,AL267)</f>
        <v>0</v>
      </c>
      <c r="BJ267" s="170">
        <f>(Escenarios!$E$16*AT267+0.1*BD267)/(Escenarios!$E$19)</f>
        <v>8.1808293706495442E-4</v>
      </c>
      <c r="BK267" s="76">
        <f>BK266+(0.1*BD267)/(Escenarios!$E$19)-BL266</f>
        <v>49.614352750434286</v>
      </c>
      <c r="BL267" s="76">
        <f>MAX(0,(BK267-Constantes!$D$13)*(1-EXP(-Constantes!$D$23)))</f>
        <v>8.5166735228146759E-3</v>
      </c>
      <c r="BM267" s="76">
        <f t="shared" si="64"/>
        <v>0.23920105910081599</v>
      </c>
      <c r="BN267" s="76">
        <f t="shared" si="69"/>
        <v>0.23920105910081599</v>
      </c>
      <c r="BO267" s="76">
        <f>0.0526*BI267*Observaciones!$F266^1.218</f>
        <v>0</v>
      </c>
      <c r="BP267" s="76">
        <f>BO267*Constantes!$E$51</f>
        <v>0</v>
      </c>
      <c r="BQ267" s="76">
        <f t="shared" si="65"/>
        <v>0</v>
      </c>
      <c r="BR267" s="40"/>
    </row>
    <row r="268" spans="1:70">
      <c r="A268" s="147"/>
      <c r="B268" s="39"/>
      <c r="C268" s="75">
        <v>262</v>
      </c>
      <c r="D268" s="146">
        <f>ETo!$I267*((1-Constantes!$E$19)*ETo!$K267+ETo!$L267)</f>
        <v>3.9920900968534561</v>
      </c>
      <c r="E268" s="76">
        <f>MIN(D268*Constantes!$E$17,0.8*(N267+Observaciones!$F267-F268-M268-Constantes!$D$14))</f>
        <v>-1.4981292091043485E-2</v>
      </c>
      <c r="F268" s="76">
        <f>IF(Observaciones!$F267&gt;0.05*Constantes!$E$18,((Observaciones!$F267-0.05*Constantes!$E$18)^2)/(Observaciones!$F267+0.95*Constantes!$E$18),0)</f>
        <v>0</v>
      </c>
      <c r="G268" s="76">
        <f>IF(Escenarios!$E$11&gt;0,(F268*Escenarios!$E$16*10000)/1000,0)</f>
        <v>0</v>
      </c>
      <c r="H268" s="76">
        <f>IF(Escenarios!$E$11&gt;0,(Observaciones!$F267*Constantes!$E$29)/1000,0)</f>
        <v>0</v>
      </c>
      <c r="I268" s="76">
        <f>IF(Escenarios!$E$11&gt;0,(D268*Constantes!$E$29)/1000,0)</f>
        <v>39.920900968534561</v>
      </c>
      <c r="J268" s="76">
        <f>IF(Escenarios!$E$11&gt;0,MAX(0,G268+H268-I268),0)</f>
        <v>0</v>
      </c>
      <c r="K268" s="76">
        <f>IF(Escenarios!$E$11&gt;0,IF(J268&gt;Constantes!$E$30,1000*((J268-Constantes!$E$30)/(Escenarios!$E$16*10000)),0),F268)</f>
        <v>0</v>
      </c>
      <c r="L268" s="76">
        <f>IF(Escenarios!$E$11&gt;0,I268*1000/Escenarios!$E$16/10000+E268,E268)</f>
        <v>9.8706829637033866E-4</v>
      </c>
      <c r="M268" s="76">
        <f>MAX(0,N267+Observaciones!$F267-K268-Constantes!$D$13)</f>
        <v>0</v>
      </c>
      <c r="N268" s="76">
        <f>N267+Observaciones!$F267-K268-L268-M268-O267</f>
        <v>11.230286316589826</v>
      </c>
      <c r="O268" s="76">
        <f>MAX(0,(N268-Constantes!$D$14)*(1-EXP(-Constantes!$D$22)))</f>
        <v>0</v>
      </c>
      <c r="P268" s="170">
        <f>P267+(Entradas!$E$83*M268-Q267)/(800*Entradas!$D$25)</f>
        <v>0</v>
      </c>
      <c r="Q268" s="170">
        <f>8000*Entradas!$D$26*P268/Constantes!$E$45</f>
        <v>0</v>
      </c>
      <c r="R268" s="170">
        <f>IF(Escenarios!$E$14&gt;0,K268*Escenarios!$E$13/Escenarios!$E$14,0)</f>
        <v>0</v>
      </c>
      <c r="S268" s="170">
        <f>IF(Escenarios!$E$14&gt;0,Q268*Escenarios!$E$13/Escenarios!$E$14,0)</f>
        <v>0</v>
      </c>
      <c r="T268" s="170">
        <f>IF(Escenarios!$E$14&gt;0,Observaciones!$I267,0)</f>
        <v>0</v>
      </c>
      <c r="U268" s="170">
        <f>IF(Escenarios!$E$14&gt;0,MAX(0,Constantes!$E$36/((Z267+R268+S268+T268+Observaciones!$F267)^2)+Entradas!$E$77),0)</f>
        <v>0</v>
      </c>
      <c r="V268" s="146">
        <f>IF(ETo!D267&gt;0,ETo!I267*((1-Entradas!$E$81)*ETo!K267+ETo!L267),0)</f>
        <v>3.6390482783666918</v>
      </c>
      <c r="W268" s="170">
        <f>IF(Escenarios!$E$14&gt;0,MIN(V268*1,0.8*(Z267+R268+S268+T268+Observaciones!$F267-U268-Constantes!$E$35)),0)</f>
        <v>6.3999999999850852E-4</v>
      </c>
      <c r="X268" s="170">
        <f>IF(Escenarios!$E$14&gt;0,Observaciones!$J267,0)</f>
        <v>0</v>
      </c>
      <c r="Y268" s="170">
        <f>IF(Escenarios!$E$14&gt;0,MAX(0,Z267+R268+S268+T268+Observaciones!$F267-U268-W268-X268-Constantes!$E$33),0)</f>
        <v>0</v>
      </c>
      <c r="Z268" s="170">
        <f>Z267+R268+S268+T268+Observaciones!$F267-U268-W268-Y268</f>
        <v>41.250160000000001</v>
      </c>
      <c r="AA268" s="170">
        <f>IF(Escenarios!$E$14&gt;0,(Escenarios!$E$13*L268+Escenarios!$E$14*W268)/(Escenarios!$E$16),L268)</f>
        <v>9.4542010080571901E-4</v>
      </c>
      <c r="AB268" s="170">
        <f>IF(Escenarios!$E$14&gt;0,(Escenarios!$E$14*Y268)/(Escenarios!$E$16),K268)</f>
        <v>0</v>
      </c>
      <c r="AC268" s="170">
        <f>IF(Escenarios!$E$14&gt;0,(Escenarios!$E$13*M268+Escenarios!$E$14*U268)/(Escenarios!$E$16),M268)</f>
        <v>0</v>
      </c>
      <c r="AD268" s="76">
        <f t="shared" si="57"/>
        <v>71.931353497810463</v>
      </c>
      <c r="AE268" s="76">
        <f>MAX(0,(AD268-Constantes!$D$13)*(1-EXP(-Constantes!$D$23)))</f>
        <v>0.22841139738216132</v>
      </c>
      <c r="AF268" s="76">
        <f>AB268+O268*Escenarios!$E$13/Escenarios!$E$16+AE268</f>
        <v>0.22841139738216132</v>
      </c>
      <c r="AG268" s="76">
        <f>IF(Entradas!$E$91&gt;0,IF(AF268-Escenarios!$E$38&lt;=0,0,IF(AF268-Escenarios!$E$38&gt;Escenarios!$E$37,Escenarios!$E$37,AF268-Escenarios!$E$38)),0)</f>
        <v>0</v>
      </c>
      <c r="AH268" s="76">
        <f>AG268*Entradas!$E$99</f>
        <v>0</v>
      </c>
      <c r="AI268" s="76">
        <f>IF(Entradas!$E$91&gt;0,D268*Entradas!$D$23/Escenarios!$E$16,0)</f>
        <v>0</v>
      </c>
      <c r="AJ268" s="76">
        <f>IF(Entradas!$E$91&gt;0,Entradas!$D$24*Entradas!$D$22/Escenarios!$E$16,0)</f>
        <v>0</v>
      </c>
      <c r="AK268" s="76">
        <f t="shared" si="66"/>
        <v>9.4542010080571901E-4</v>
      </c>
      <c r="AL268" s="76">
        <f t="shared" si="67"/>
        <v>0</v>
      </c>
      <c r="AM268" s="76">
        <f t="shared" si="58"/>
        <v>0</v>
      </c>
      <c r="AN268" s="76">
        <f>MAX(0,O268*Escenarios!$E$13/Escenarios!$E$16-AM268)</f>
        <v>0</v>
      </c>
      <c r="AO268" s="76">
        <f>AM268+AN268-O268*Escenarios!$E$13/Escenarios!$E$16</f>
        <v>0</v>
      </c>
      <c r="AP268" s="76">
        <f t="shared" si="56"/>
        <v>0.22841139738216132</v>
      </c>
      <c r="AQ268" s="76">
        <f t="shared" si="59"/>
        <v>0</v>
      </c>
      <c r="AR268" s="76">
        <f t="shared" si="60"/>
        <v>0.22841139738216132</v>
      </c>
      <c r="AS268" s="76">
        <f t="shared" si="61"/>
        <v>0</v>
      </c>
      <c r="AT268" s="76">
        <f t="shared" si="62"/>
        <v>0</v>
      </c>
      <c r="AU268" s="76">
        <f t="shared" si="63"/>
        <v>48.75</v>
      </c>
      <c r="AV268" s="76">
        <f>MAX(0,(AU268-Constantes!$D$13)*(1-EXP(-Constantes!$D$24)))</f>
        <v>0</v>
      </c>
      <c r="AW268" s="170">
        <f>AW267+(Entradas!$E$112*AT268-AX267)/(800*Entradas!$D$25)</f>
        <v>0</v>
      </c>
      <c r="AX268" s="170">
        <f>8000*Entradas!$D$26*AW268/Constantes!$E$45</f>
        <v>0</v>
      </c>
      <c r="AY268" s="170">
        <f>IF(Escenarios!$E$17&gt;0,10*Escenarios!$E$16*AL268,0)</f>
        <v>0</v>
      </c>
      <c r="AZ268" s="170">
        <f>IF(Escenarios!$E$17&gt;0,10*Escenarios!$E$16*AX268,0)</f>
        <v>0</v>
      </c>
      <c r="BA268" s="170">
        <f>IF(Escenarios!$E$17&gt;0,0.001*Observaciones!$F267*Escenarios!$E$17,0)</f>
        <v>0</v>
      </c>
      <c r="BB268" s="170">
        <f>IF(Escenarios!$E$17&gt;0,Observaciones!$K267,0)</f>
        <v>0</v>
      </c>
      <c r="BC268" s="170">
        <f>IF(Escenarios!$E$17&gt;0,MIN(0.0005*ETo!$M267*Escenarios!$E$17*(BG267/Constantes!$E$40)^(2/3),BG267+AY268+AZ268+BA268+BB268),0)</f>
        <v>1.0496594197529563</v>
      </c>
      <c r="BD268" s="170">
        <f>IF(Escenarios!$E$17&gt;0,MIN(Constantes!$E$39*(BG267/Constantes!$E$40)^(2/3),BG267+AY268+AZ268+BA268+BB268-BC268),0)</f>
        <v>1.8465242331334695</v>
      </c>
      <c r="BE268" s="170">
        <f>IF(Escenarios!$E$17&gt;0,MIN(Entradas!$E$113,BG267+AY268+AZ268+BA268+BB268-BC268-BD268),0)</f>
        <v>1</v>
      </c>
      <c r="BF268" s="170">
        <f>IF(Escenarios!$E$17&gt;0,MAX(0,BG267+AY268+AZ268+BA268+BB268-BC268-BD268-BE268-Constantes!$E$40),0)</f>
        <v>0</v>
      </c>
      <c r="BG268" s="170">
        <f t="shared" si="68"/>
        <v>19.481758398688129</v>
      </c>
      <c r="BH268" s="170">
        <f>(Escenarios!$E$16*AK268+0.1*BC268)/(Escenarios!$E$19)</f>
        <v>1.354448282447323E-3</v>
      </c>
      <c r="BI268" s="170">
        <f>IF(Escenarios!$E$17&gt;0,BF268/10/Escenarios!$E$19,AL268)</f>
        <v>0</v>
      </c>
      <c r="BJ268" s="170">
        <f>(Escenarios!$E$16*AT268+0.1*BD268)/(Escenarios!$E$19)</f>
        <v>7.3274771156090065E-4</v>
      </c>
      <c r="BK268" s="76">
        <f>BK267+(0.1*BD268)/(Escenarios!$E$19)-BL267</f>
        <v>49.606568824623032</v>
      </c>
      <c r="BL268" s="76">
        <f>MAX(0,(BK268-Constantes!$D$13)*(1-EXP(-Constantes!$D$23)))</f>
        <v>8.4399766478097122E-3</v>
      </c>
      <c r="BM268" s="76">
        <f t="shared" si="64"/>
        <v>0.23685137402997103</v>
      </c>
      <c r="BN268" s="76">
        <f t="shared" si="69"/>
        <v>0.23685137402997103</v>
      </c>
      <c r="BO268" s="76">
        <f>0.0526*BI268*Observaciones!$F267^1.218</f>
        <v>0</v>
      </c>
      <c r="BP268" s="76">
        <f>BO268*Constantes!$E$51</f>
        <v>0</v>
      </c>
      <c r="BQ268" s="76">
        <f t="shared" si="65"/>
        <v>0</v>
      </c>
      <c r="BR268" s="40"/>
    </row>
    <row r="269" spans="1:70">
      <c r="A269" s="147"/>
      <c r="B269" s="39"/>
      <c r="C269" s="75">
        <v>263</v>
      </c>
      <c r="D269" s="146">
        <f>ETo!$I268*((1-Constantes!$E$19)*ETo!$K268+ETo!$L268)</f>
        <v>4.0862477228186007</v>
      </c>
      <c r="E269" s="76">
        <f>MIN(D269*Constantes!$E$17,0.8*(N268+Observaciones!$F268-F269-M269-Constantes!$D$14))</f>
        <v>-1.5770946728139279E-2</v>
      </c>
      <c r="F269" s="76">
        <f>IF(Observaciones!$F268&gt;0.05*Constantes!$E$18,((Observaciones!$F268-0.05*Constantes!$E$18)^2)/(Observaciones!$F268+0.95*Constantes!$E$18),0)</f>
        <v>0</v>
      </c>
      <c r="G269" s="76">
        <f>IF(Escenarios!$E$11&gt;0,(F269*Escenarios!$E$16*10000)/1000,0)</f>
        <v>0</v>
      </c>
      <c r="H269" s="76">
        <f>IF(Escenarios!$E$11&gt;0,(Observaciones!$F268*Constantes!$E$29)/1000,0)</f>
        <v>0</v>
      </c>
      <c r="I269" s="76">
        <f>IF(Escenarios!$E$11&gt;0,(D269*Constantes!$E$29)/1000,0)</f>
        <v>40.862477228186009</v>
      </c>
      <c r="J269" s="76">
        <f>IF(Escenarios!$E$11&gt;0,MAX(0,G269+H269-I269),0)</f>
        <v>0</v>
      </c>
      <c r="K269" s="76">
        <f>IF(Escenarios!$E$11&gt;0,IF(J269&gt;Constantes!$E$30,1000*((J269-Constantes!$E$30)/(Escenarios!$E$16*10000)),0),F269)</f>
        <v>0</v>
      </c>
      <c r="L269" s="76">
        <f>IF(Escenarios!$E$11&gt;0,I269*1000/Escenarios!$E$16/10000+E269,E269)</f>
        <v>5.7404416313512618E-4</v>
      </c>
      <c r="M269" s="76">
        <f>MAX(0,N268+Observaciones!$F268-K269-Constantes!$D$13)</f>
        <v>0</v>
      </c>
      <c r="N269" s="76">
        <f>N268+Observaciones!$F268-K269-L269-M269-O268</f>
        <v>11.22971227242669</v>
      </c>
      <c r="O269" s="76">
        <f>MAX(0,(N269-Constantes!$D$14)*(1-EXP(-Constantes!$D$22)))</f>
        <v>0</v>
      </c>
      <c r="P269" s="170">
        <f>P268+(Entradas!$E$83*M269-Q268)/(800*Entradas!$D$25)</f>
        <v>0</v>
      </c>
      <c r="Q269" s="170">
        <f>8000*Entradas!$D$26*P269/Constantes!$E$45</f>
        <v>0</v>
      </c>
      <c r="R269" s="170">
        <f>IF(Escenarios!$E$14&gt;0,K269*Escenarios!$E$13/Escenarios!$E$14,0)</f>
        <v>0</v>
      </c>
      <c r="S269" s="170">
        <f>IF(Escenarios!$E$14&gt;0,Q269*Escenarios!$E$13/Escenarios!$E$14,0)</f>
        <v>0</v>
      </c>
      <c r="T269" s="170">
        <f>IF(Escenarios!$E$14&gt;0,Observaciones!$I268,0)</f>
        <v>0</v>
      </c>
      <c r="U269" s="170">
        <f>IF(Escenarios!$E$14&gt;0,MAX(0,Constantes!$E$36/((Z268+R269+S269+T269+Observaciones!$F268)^2)+Entradas!$E$77),0)</f>
        <v>0</v>
      </c>
      <c r="V269" s="146">
        <f>IF(ETo!D268&gt;0,ETo!I268*((1-Entradas!$E$81)*ETo!K268+ETo!L268),0)</f>
        <v>3.7264180171208032</v>
      </c>
      <c r="W269" s="170">
        <f>IF(Escenarios!$E$14&gt;0,MIN(V269*1,0.8*(Z268+R269+S269+T269+Observaciones!$F268-U269-Constantes!$E$35)),0)</f>
        <v>1.2800000000083857E-4</v>
      </c>
      <c r="X269" s="170">
        <f>IF(Escenarios!$E$14&gt;0,Observaciones!$J268,0)</f>
        <v>0</v>
      </c>
      <c r="Y269" s="170">
        <f>IF(Escenarios!$E$14&gt;0,MAX(0,Z268+R269+S269+T269+Observaciones!$F268-U269-W269-X269-Constantes!$E$33),0)</f>
        <v>0</v>
      </c>
      <c r="Z269" s="170">
        <f>Z268+R269+S269+T269+Observaciones!$F268-U269-W269-Y269</f>
        <v>41.250031999999997</v>
      </c>
      <c r="AA269" s="170">
        <f>IF(Escenarios!$E$14&gt;0,(Escenarios!$E$13*L269+Escenarios!$E$14*W269)/(Escenarios!$E$16),L269)</f>
        <v>5.2051886355901171E-4</v>
      </c>
      <c r="AB269" s="170">
        <f>IF(Escenarios!$E$14&gt;0,(Escenarios!$E$14*Y269)/(Escenarios!$E$16),K269)</f>
        <v>0</v>
      </c>
      <c r="AC269" s="170">
        <f>IF(Escenarios!$E$14&gt;0,(Escenarios!$E$13*M269+Escenarios!$E$14*U269)/(Escenarios!$E$16),M269)</f>
        <v>0</v>
      </c>
      <c r="AD269" s="76">
        <f t="shared" si="57"/>
        <v>71.702942100428302</v>
      </c>
      <c r="AE269" s="76">
        <f>MAX(0,(AD269-Constantes!$D$13)*(1-EXP(-Constantes!$D$23)))</f>
        <v>0.2261608054803986</v>
      </c>
      <c r="AF269" s="76">
        <f>AB269+O269*Escenarios!$E$13/Escenarios!$E$16+AE269</f>
        <v>0.2261608054803986</v>
      </c>
      <c r="AG269" s="76">
        <f>IF(Entradas!$E$91&gt;0,IF(AF269-Escenarios!$E$38&lt;=0,0,IF(AF269-Escenarios!$E$38&gt;Escenarios!$E$37,Escenarios!$E$37,AF269-Escenarios!$E$38)),0)</f>
        <v>0</v>
      </c>
      <c r="AH269" s="76">
        <f>AG269*Entradas!$E$99</f>
        <v>0</v>
      </c>
      <c r="AI269" s="76">
        <f>IF(Entradas!$E$91&gt;0,D269*Entradas!$D$23/Escenarios!$E$16,0)</f>
        <v>0</v>
      </c>
      <c r="AJ269" s="76">
        <f>IF(Entradas!$E$91&gt;0,Entradas!$D$24*Entradas!$D$22/Escenarios!$E$16,0)</f>
        <v>0</v>
      </c>
      <c r="AK269" s="76">
        <f t="shared" si="66"/>
        <v>5.2051886355901171E-4</v>
      </c>
      <c r="AL269" s="76">
        <f t="shared" si="67"/>
        <v>0</v>
      </c>
      <c r="AM269" s="76">
        <f t="shared" si="58"/>
        <v>0</v>
      </c>
      <c r="AN269" s="76">
        <f>MAX(0,O269*Escenarios!$E$13/Escenarios!$E$16-AM269)</f>
        <v>0</v>
      </c>
      <c r="AO269" s="76">
        <f>AM269+AN269-O269*Escenarios!$E$13/Escenarios!$E$16</f>
        <v>0</v>
      </c>
      <c r="AP269" s="76">
        <f t="shared" si="56"/>
        <v>0.2261608054803986</v>
      </c>
      <c r="AQ269" s="76">
        <f t="shared" si="59"/>
        <v>0</v>
      </c>
      <c r="AR269" s="76">
        <f t="shared" si="60"/>
        <v>0.2261608054803986</v>
      </c>
      <c r="AS269" s="76">
        <f t="shared" si="61"/>
        <v>0</v>
      </c>
      <c r="AT269" s="76">
        <f t="shared" si="62"/>
        <v>0</v>
      </c>
      <c r="AU269" s="76">
        <f t="shared" si="63"/>
        <v>48.75</v>
      </c>
      <c r="AV269" s="76">
        <f>MAX(0,(AU269-Constantes!$D$13)*(1-EXP(-Constantes!$D$24)))</f>
        <v>0</v>
      </c>
      <c r="AW269" s="170">
        <f>AW268+(Entradas!$E$112*AT269-AX268)/(800*Entradas!$D$25)</f>
        <v>0</v>
      </c>
      <c r="AX269" s="170">
        <f>8000*Entradas!$D$26*AW269/Constantes!$E$45</f>
        <v>0</v>
      </c>
      <c r="AY269" s="170">
        <f>IF(Escenarios!$E$17&gt;0,10*Escenarios!$E$16*AL269,0)</f>
        <v>0</v>
      </c>
      <c r="AZ269" s="170">
        <f>IF(Escenarios!$E$17&gt;0,10*Escenarios!$E$16*AX269,0)</f>
        <v>0</v>
      </c>
      <c r="BA269" s="170">
        <f>IF(Escenarios!$E$17&gt;0,0.001*Observaciones!$F268*Escenarios!$E$17,0)</f>
        <v>0</v>
      </c>
      <c r="BB269" s="170">
        <f>IF(Escenarios!$E$17&gt;0,Observaciones!$K268,0)</f>
        <v>0</v>
      </c>
      <c r="BC269" s="170">
        <f>IF(Escenarios!$E$17&gt;0,MIN(0.0005*ETo!$M268*Escenarios!$E$17*(BG268/Constantes!$E$40)^(2/3),BG268+AY269+AZ269+BA269+BB269),0)</f>
        <v>0.95095804111130799</v>
      </c>
      <c r="BD269" s="170">
        <f>IF(Escenarios!$E$17&gt;0,MIN(Constantes!$E$39*(BG268/Constantes!$E$40)^(2/3),BG268+AY269+AZ269+BA269+BB269-BC269),0)</f>
        <v>1.6351951681171792</v>
      </c>
      <c r="BE269" s="170">
        <f>IF(Escenarios!$E$17&gt;0,MIN(Entradas!$E$113,BG268+AY269+AZ269+BA269+BB269-BC269-BD269),0)</f>
        <v>1</v>
      </c>
      <c r="BF269" s="170">
        <f>IF(Escenarios!$E$17&gt;0,MAX(0,BG268+AY269+AZ269+BA269+BB269-BC269-BD269-BE269-Constantes!$E$40),0)</f>
        <v>0</v>
      </c>
      <c r="BG269" s="170">
        <f t="shared" si="68"/>
        <v>15.895605189459644</v>
      </c>
      <c r="BH269" s="170">
        <f>(Escenarios!$E$16*AK269+0.1*BC269)/(Escenarios!$E$19)</f>
        <v>8.9375206349557028E-4</v>
      </c>
      <c r="BI269" s="170">
        <f>IF(Escenarios!$E$17&gt;0,BF269/10/Escenarios!$E$19,AL269)</f>
        <v>0</v>
      </c>
      <c r="BJ269" s="170">
        <f>(Escenarios!$E$16*AT269+0.1*BD269)/(Escenarios!$E$19)</f>
        <v>6.4888697147507117E-4</v>
      </c>
      <c r="BK269" s="76">
        <f>BK268+(0.1*BD269)/(Escenarios!$E$19)-BL268</f>
        <v>49.598777734946701</v>
      </c>
      <c r="BL269" s="76">
        <f>MAX(0,(BK269-Constantes!$D$13)*(1-EXP(-Constantes!$D$23)))</f>
        <v>8.3632091855358349E-3</v>
      </c>
      <c r="BM269" s="76">
        <f t="shared" si="64"/>
        <v>0.23452401466593445</v>
      </c>
      <c r="BN269" s="76">
        <f t="shared" si="69"/>
        <v>0.23452401466593445</v>
      </c>
      <c r="BO269" s="76">
        <f>0.0526*BI269*Observaciones!$F268^1.218</f>
        <v>0</v>
      </c>
      <c r="BP269" s="76">
        <f>BO269*Constantes!$E$51</f>
        <v>0</v>
      </c>
      <c r="BQ269" s="76">
        <f t="shared" si="65"/>
        <v>0</v>
      </c>
      <c r="BR269" s="40"/>
    </row>
    <row r="270" spans="1:70">
      <c r="A270" s="147"/>
      <c r="B270" s="39"/>
      <c r="C270" s="75">
        <v>264</v>
      </c>
      <c r="D270" s="146">
        <f>ETo!$I269*((1-Constantes!$E$19)*ETo!$K269+ETo!$L269)</f>
        <v>4.0093836930916726</v>
      </c>
      <c r="E270" s="76">
        <f>MIN(D270*Constantes!$E$17,0.8*(N269+Observaciones!$F269-F270-M270-Constantes!$D$14))</f>
        <v>-1.6230182058647815E-2</v>
      </c>
      <c r="F270" s="76">
        <f>IF(Observaciones!$F269&gt;0.05*Constantes!$E$18,((Observaciones!$F269-0.05*Constantes!$E$18)^2)/(Observaciones!$F269+0.95*Constantes!$E$18),0)</f>
        <v>0</v>
      </c>
      <c r="G270" s="76">
        <f>IF(Escenarios!$E$11&gt;0,(F270*Escenarios!$E$16*10000)/1000,0)</f>
        <v>0</v>
      </c>
      <c r="H270" s="76">
        <f>IF(Escenarios!$E$11&gt;0,(Observaciones!$F269*Constantes!$E$29)/1000,0)</f>
        <v>0</v>
      </c>
      <c r="I270" s="76">
        <f>IF(Escenarios!$E$11&gt;0,(D270*Constantes!$E$29)/1000,0)</f>
        <v>40.093836930916723</v>
      </c>
      <c r="J270" s="76">
        <f>IF(Escenarios!$E$11&gt;0,MAX(0,G270+H270-I270),0)</f>
        <v>0</v>
      </c>
      <c r="K270" s="76">
        <f>IF(Escenarios!$E$11&gt;0,IF(J270&gt;Constantes!$E$30,1000*((J270-Constantes!$E$30)/(Escenarios!$E$16*10000)),0),F270)</f>
        <v>0</v>
      </c>
      <c r="L270" s="76">
        <f>IF(Escenarios!$E$11&gt;0,I270*1000/Escenarios!$E$16/10000+E270,E270)</f>
        <v>-1.9264728628112446E-4</v>
      </c>
      <c r="M270" s="76">
        <f>MAX(0,N269+Observaciones!$F269-K270-Constantes!$D$13)</f>
        <v>0</v>
      </c>
      <c r="N270" s="76">
        <f>N269+Observaciones!$F269-K270-L270-M270-O269</f>
        <v>11.229904919712972</v>
      </c>
      <c r="O270" s="76">
        <f>MAX(0,(N270-Constantes!$D$14)*(1-EXP(-Constantes!$D$22)))</f>
        <v>0</v>
      </c>
      <c r="P270" s="170">
        <f>P269+(Entradas!$E$83*M270-Q269)/(800*Entradas!$D$25)</f>
        <v>0</v>
      </c>
      <c r="Q270" s="170">
        <f>8000*Entradas!$D$26*P270/Constantes!$E$45</f>
        <v>0</v>
      </c>
      <c r="R270" s="170">
        <f>IF(Escenarios!$E$14&gt;0,K270*Escenarios!$E$13/Escenarios!$E$14,0)</f>
        <v>0</v>
      </c>
      <c r="S270" s="170">
        <f>IF(Escenarios!$E$14&gt;0,Q270*Escenarios!$E$13/Escenarios!$E$14,0)</f>
        <v>0</v>
      </c>
      <c r="T270" s="170">
        <f>IF(Escenarios!$E$14&gt;0,Observaciones!$I269,0)</f>
        <v>0</v>
      </c>
      <c r="U270" s="170">
        <f>IF(Escenarios!$E$14&gt;0,MAX(0,Constantes!$E$36/((Z269+R270+S270+T270+Observaciones!$F269)^2)+Entradas!$E$77),0)</f>
        <v>0</v>
      </c>
      <c r="V270" s="146">
        <f>IF(ETo!D269&gt;0,ETo!I269*((1-Entradas!$E$81)*ETo!K269+ETo!L269),0)</f>
        <v>3.6553812394671747</v>
      </c>
      <c r="W270" s="170">
        <f>IF(Escenarios!$E$14&gt;0,MIN(V270*1,0.8*(Z269+R270+S270+T270+Observaciones!$F269-U270-Constantes!$E$35)),0)</f>
        <v>2.5599999997893977E-5</v>
      </c>
      <c r="X270" s="170">
        <f>IF(Escenarios!$E$14&gt;0,Observaciones!$J269,0)</f>
        <v>0</v>
      </c>
      <c r="Y270" s="170">
        <f>IF(Escenarios!$E$14&gt;0,MAX(0,Z269+R270+S270+T270+Observaciones!$F269-U270-W270-X270-Constantes!$E$33),0)</f>
        <v>0</v>
      </c>
      <c r="Z270" s="170">
        <f>Z269+R270+S270+T270+Observaciones!$F269-U270-W270-Y270</f>
        <v>41.250006399999997</v>
      </c>
      <c r="AA270" s="170">
        <f>IF(Escenarios!$E$14&gt;0,(Escenarios!$E$13*L270+Escenarios!$E$14*W270)/(Escenarios!$E$16),L270)</f>
        <v>-1.6645761192764225E-4</v>
      </c>
      <c r="AB270" s="170">
        <f>IF(Escenarios!$E$14&gt;0,(Escenarios!$E$14*Y270)/(Escenarios!$E$16),K270)</f>
        <v>0</v>
      </c>
      <c r="AC270" s="170">
        <f>IF(Escenarios!$E$14&gt;0,(Escenarios!$E$13*M270+Escenarios!$E$14*U270)/(Escenarios!$E$16),M270)</f>
        <v>0</v>
      </c>
      <c r="AD270" s="76">
        <f t="shared" si="57"/>
        <v>71.476781294947898</v>
      </c>
      <c r="AE270" s="76">
        <f>MAX(0,(AD270-Constantes!$D$13)*(1-EXP(-Constantes!$D$23)))</f>
        <v>0.22393238919669309</v>
      </c>
      <c r="AF270" s="76">
        <f>AB270+O270*Escenarios!$E$13/Escenarios!$E$16+AE270</f>
        <v>0.22393238919669309</v>
      </c>
      <c r="AG270" s="76">
        <f>IF(Entradas!$E$91&gt;0,IF(AF270-Escenarios!$E$38&lt;=0,0,IF(AF270-Escenarios!$E$38&gt;Escenarios!$E$37,Escenarios!$E$37,AF270-Escenarios!$E$38)),0)</f>
        <v>0</v>
      </c>
      <c r="AH270" s="76">
        <f>AG270*Entradas!$E$99</f>
        <v>0</v>
      </c>
      <c r="AI270" s="76">
        <f>IF(Entradas!$E$91&gt;0,D270*Entradas!$D$23/Escenarios!$E$16,0)</f>
        <v>0</v>
      </c>
      <c r="AJ270" s="76">
        <f>IF(Entradas!$E$91&gt;0,Entradas!$D$24*Entradas!$D$22/Escenarios!$E$16,0)</f>
        <v>0</v>
      </c>
      <c r="AK270" s="76">
        <f t="shared" si="66"/>
        <v>-1.6645761192764225E-4</v>
      </c>
      <c r="AL270" s="76">
        <f t="shared" si="67"/>
        <v>0</v>
      </c>
      <c r="AM270" s="76">
        <f t="shared" si="58"/>
        <v>0</v>
      </c>
      <c r="AN270" s="76">
        <f>MAX(0,O270*Escenarios!$E$13/Escenarios!$E$16-AM270)</f>
        <v>0</v>
      </c>
      <c r="AO270" s="76">
        <f>AM270+AN270-O270*Escenarios!$E$13/Escenarios!$E$16</f>
        <v>0</v>
      </c>
      <c r="AP270" s="76">
        <f t="shared" si="56"/>
        <v>0.22393238919669309</v>
      </c>
      <c r="AQ270" s="76">
        <f t="shared" si="59"/>
        <v>0</v>
      </c>
      <c r="AR270" s="76">
        <f t="shared" si="60"/>
        <v>0.22393238919669309</v>
      </c>
      <c r="AS270" s="76">
        <f t="shared" si="61"/>
        <v>0</v>
      </c>
      <c r="AT270" s="76">
        <f t="shared" si="62"/>
        <v>0</v>
      </c>
      <c r="AU270" s="76">
        <f t="shared" si="63"/>
        <v>48.75</v>
      </c>
      <c r="AV270" s="76">
        <f>MAX(0,(AU270-Constantes!$D$13)*(1-EXP(-Constantes!$D$24)))</f>
        <v>0</v>
      </c>
      <c r="AW270" s="170">
        <f>AW269+(Entradas!$E$112*AT270-AX269)/(800*Entradas!$D$25)</f>
        <v>0</v>
      </c>
      <c r="AX270" s="170">
        <f>8000*Entradas!$D$26*AW270/Constantes!$E$45</f>
        <v>0</v>
      </c>
      <c r="AY270" s="170">
        <f>IF(Escenarios!$E$17&gt;0,10*Escenarios!$E$16*AL270,0)</f>
        <v>0</v>
      </c>
      <c r="AZ270" s="170">
        <f>IF(Escenarios!$E$17&gt;0,10*Escenarios!$E$16*AX270,0)</f>
        <v>0</v>
      </c>
      <c r="BA270" s="170">
        <f>IF(Escenarios!$E$17&gt;0,0.001*Observaciones!$F269*Escenarios!$E$17,0)</f>
        <v>0</v>
      </c>
      <c r="BB270" s="170">
        <f>IF(Escenarios!$E$17&gt;0,Observaciones!$K269,0)</f>
        <v>0</v>
      </c>
      <c r="BC270" s="170">
        <f>IF(Escenarios!$E$17&gt;0,MIN(0.0005*ETo!$M269*Escenarios!$E$17*(BG269/Constantes!$E$40)^(2/3),BG269+AY270+AZ270+BA270+BB270),0)</f>
        <v>0.81499407090696563</v>
      </c>
      <c r="BD270" s="170">
        <f>IF(Escenarios!$E$17&gt;0,MIN(Constantes!$E$39*(BG269/Constantes!$E$40)^(2/3),BG269+AY270+AZ270+BA270+BB270-BC270),0)</f>
        <v>1.4278049105501924</v>
      </c>
      <c r="BE270" s="170">
        <f>IF(Escenarios!$E$17&gt;0,MIN(Entradas!$E$113,BG269+AY270+AZ270+BA270+BB270-BC270-BD270),0)</f>
        <v>1</v>
      </c>
      <c r="BF270" s="170">
        <f>IF(Escenarios!$E$17&gt;0,MAX(0,BG269+AY270+AZ270+BA270+BB270-BC270-BD270-BE270-Constantes!$E$40),0)</f>
        <v>0</v>
      </c>
      <c r="BG270" s="170">
        <f t="shared" si="68"/>
        <v>12.652806208002486</v>
      </c>
      <c r="BH270" s="170">
        <f>(Escenarios!$E$16*AK270+0.1*BC270)/(Escenarios!$E$19)</f>
        <v>1.582738258285159E-4</v>
      </c>
      <c r="BI270" s="170">
        <f>IF(Escenarios!$E$17&gt;0,BF270/10/Escenarios!$E$19,AL270)</f>
        <v>0</v>
      </c>
      <c r="BJ270" s="170">
        <f>(Escenarios!$E$16*AT270+0.1*BD270)/(Escenarios!$E$19)</f>
        <v>5.6658925021833037E-4</v>
      </c>
      <c r="BK270" s="76">
        <f>BK269+(0.1*BD270)/(Escenarios!$E$19)-BL269</f>
        <v>49.590981115011381</v>
      </c>
      <c r="BL270" s="76">
        <f>MAX(0,(BK270-Constantes!$D$13)*(1-EXP(-Constantes!$D$23)))</f>
        <v>8.2863872323029383E-3</v>
      </c>
      <c r="BM270" s="76">
        <f t="shared" si="64"/>
        <v>0.23221877642899602</v>
      </c>
      <c r="BN270" s="76">
        <f t="shared" si="69"/>
        <v>0.23221877642899602</v>
      </c>
      <c r="BO270" s="76">
        <f>0.0526*BI270*Observaciones!$F269^1.218</f>
        <v>0</v>
      </c>
      <c r="BP270" s="76">
        <f>BO270*Constantes!$E$51</f>
        <v>0</v>
      </c>
      <c r="BQ270" s="76">
        <f t="shared" si="65"/>
        <v>0</v>
      </c>
      <c r="BR270" s="40"/>
    </row>
    <row r="271" spans="1:70">
      <c r="A271" s="147"/>
      <c r="B271" s="39"/>
      <c r="C271" s="75">
        <v>265</v>
      </c>
      <c r="D271" s="146">
        <f>ETo!$I270*((1-Constantes!$E$19)*ETo!$K270+ETo!$L270)</f>
        <v>3.9444420022182776</v>
      </c>
      <c r="E271" s="76">
        <f>MIN(D271*Constantes!$E$17,0.8*(N270+Observaciones!$F270-F271-M271-Constantes!$D$14))</f>
        <v>-1.6076064229622489E-2</v>
      </c>
      <c r="F271" s="76">
        <f>IF(Observaciones!$F270&gt;0.05*Constantes!$E$18,((Observaciones!$F270-0.05*Constantes!$E$18)^2)/(Observaciones!$F270+0.95*Constantes!$E$18),0)</f>
        <v>0</v>
      </c>
      <c r="G271" s="76">
        <f>IF(Escenarios!$E$11&gt;0,(F271*Escenarios!$E$16*10000)/1000,0)</f>
        <v>0</v>
      </c>
      <c r="H271" s="76">
        <f>IF(Escenarios!$E$11&gt;0,(Observaciones!$F270*Constantes!$E$29)/1000,0)</f>
        <v>0</v>
      </c>
      <c r="I271" s="76">
        <f>IF(Escenarios!$E$11&gt;0,(D271*Constantes!$E$29)/1000,0)</f>
        <v>39.444420022182776</v>
      </c>
      <c r="J271" s="76">
        <f>IF(Escenarios!$E$11&gt;0,MAX(0,G271+H271-I271),0)</f>
        <v>0</v>
      </c>
      <c r="K271" s="76">
        <f>IF(Escenarios!$E$11&gt;0,IF(J271&gt;Constantes!$E$30,1000*((J271-Constantes!$E$30)/(Escenarios!$E$16*10000)),0),F271)</f>
        <v>0</v>
      </c>
      <c r="L271" s="76">
        <f>IF(Escenarios!$E$11&gt;0,I271*1000/Escenarios!$E$16/10000+E271,E271)</f>
        <v>-2.9829622074937709E-4</v>
      </c>
      <c r="M271" s="76">
        <f>MAX(0,N270+Observaciones!$F270-K271-Constantes!$D$13)</f>
        <v>0</v>
      </c>
      <c r="N271" s="76">
        <f>N270+Observaciones!$F270-K271-L271-M271-O270</f>
        <v>11.230203215933722</v>
      </c>
      <c r="O271" s="76">
        <f>MAX(0,(N271-Constantes!$D$14)*(1-EXP(-Constantes!$D$22)))</f>
        <v>0</v>
      </c>
      <c r="P271" s="170">
        <f>P270+(Entradas!$E$83*M271-Q270)/(800*Entradas!$D$25)</f>
        <v>0</v>
      </c>
      <c r="Q271" s="170">
        <f>8000*Entradas!$D$26*P271/Constantes!$E$45</f>
        <v>0</v>
      </c>
      <c r="R271" s="170">
        <f>IF(Escenarios!$E$14&gt;0,K271*Escenarios!$E$13/Escenarios!$E$14,0)</f>
        <v>0</v>
      </c>
      <c r="S271" s="170">
        <f>IF(Escenarios!$E$14&gt;0,Q271*Escenarios!$E$13/Escenarios!$E$14,0)</f>
        <v>0</v>
      </c>
      <c r="T271" s="170">
        <f>IF(Escenarios!$E$14&gt;0,Observaciones!$I270,0)</f>
        <v>0</v>
      </c>
      <c r="U271" s="170">
        <f>IF(Escenarios!$E$14&gt;0,MAX(0,Constantes!$E$36/((Z270+R271+S271+T271+Observaciones!$F270)^2)+Entradas!$E$77),0)</f>
        <v>0</v>
      </c>
      <c r="V271" s="146">
        <f>IF(ETo!D270&gt;0,ETo!I270*((1-Entradas!$E$81)*ETo!K270+ETo!L270),0)</f>
        <v>3.5955589602402145</v>
      </c>
      <c r="W271" s="170">
        <f>IF(Escenarios!$E$14&gt;0,MIN(V271*1,0.8*(Z270+R271+S271+T271+Observaciones!$F270-U271-Constantes!$E$35)),0)</f>
        <v>5.1199999973050581E-6</v>
      </c>
      <c r="X271" s="170">
        <f>IF(Escenarios!$E$14&gt;0,Observaciones!$J270,0)</f>
        <v>0</v>
      </c>
      <c r="Y271" s="170">
        <f>IF(Escenarios!$E$14&gt;0,MAX(0,Z270+R271+S271+T271+Observaciones!$F270-U271-W271-X271-Constantes!$E$33),0)</f>
        <v>0</v>
      </c>
      <c r="Z271" s="170">
        <f>Z270+R271+S271+T271+Observaciones!$F270-U271-W271-Y271</f>
        <v>41.250001279999999</v>
      </c>
      <c r="AA271" s="170">
        <f>IF(Escenarios!$E$14&gt;0,(Escenarios!$E$13*L271+Escenarios!$E$14*W271)/(Escenarios!$E$16),L271)</f>
        <v>-2.6188627425977523E-4</v>
      </c>
      <c r="AB271" s="170">
        <f>IF(Escenarios!$E$14&gt;0,(Escenarios!$E$14*Y271)/(Escenarios!$E$16),K271)</f>
        <v>0</v>
      </c>
      <c r="AC271" s="170">
        <f>IF(Escenarios!$E$14&gt;0,(Escenarios!$E$13*M271+Escenarios!$E$14*U271)/(Escenarios!$E$16),M271)</f>
        <v>0</v>
      </c>
      <c r="AD271" s="76">
        <f t="shared" si="57"/>
        <v>71.252848905751208</v>
      </c>
      <c r="AE271" s="76">
        <f>MAX(0,(AD271-Constantes!$D$13)*(1-EXP(-Constantes!$D$23)))</f>
        <v>0.22172593002939844</v>
      </c>
      <c r="AF271" s="76">
        <f>AB271+O271*Escenarios!$E$13/Escenarios!$E$16+AE271</f>
        <v>0.22172593002939844</v>
      </c>
      <c r="AG271" s="76">
        <f>IF(Entradas!$E$91&gt;0,IF(AF271-Escenarios!$E$38&lt;=0,0,IF(AF271-Escenarios!$E$38&gt;Escenarios!$E$37,Escenarios!$E$37,AF271-Escenarios!$E$38)),0)</f>
        <v>0</v>
      </c>
      <c r="AH271" s="76">
        <f>AG271*Entradas!$E$99</f>
        <v>0</v>
      </c>
      <c r="AI271" s="76">
        <f>IF(Entradas!$E$91&gt;0,D271*Entradas!$D$23/Escenarios!$E$16,0)</f>
        <v>0</v>
      </c>
      <c r="AJ271" s="76">
        <f>IF(Entradas!$E$91&gt;0,Entradas!$D$24*Entradas!$D$22/Escenarios!$E$16,0)</f>
        <v>0</v>
      </c>
      <c r="AK271" s="76">
        <f t="shared" si="66"/>
        <v>-2.6188627425977523E-4</v>
      </c>
      <c r="AL271" s="76">
        <f t="shared" si="67"/>
        <v>0</v>
      </c>
      <c r="AM271" s="76">
        <f t="shared" si="58"/>
        <v>0</v>
      </c>
      <c r="AN271" s="76">
        <f>MAX(0,O271*Escenarios!$E$13/Escenarios!$E$16-AM271)</f>
        <v>0</v>
      </c>
      <c r="AO271" s="76">
        <f>AM271+AN271-O271*Escenarios!$E$13/Escenarios!$E$16</f>
        <v>0</v>
      </c>
      <c r="AP271" s="76">
        <f t="shared" si="56"/>
        <v>0.22172593002939844</v>
      </c>
      <c r="AQ271" s="76">
        <f t="shared" si="59"/>
        <v>0</v>
      </c>
      <c r="AR271" s="76">
        <f t="shared" si="60"/>
        <v>0.22172593002939844</v>
      </c>
      <c r="AS271" s="76">
        <f t="shared" si="61"/>
        <v>0</v>
      </c>
      <c r="AT271" s="76">
        <f t="shared" si="62"/>
        <v>0</v>
      </c>
      <c r="AU271" s="76">
        <f t="shared" si="63"/>
        <v>48.75</v>
      </c>
      <c r="AV271" s="76">
        <f>MAX(0,(AU271-Constantes!$D$13)*(1-EXP(-Constantes!$D$24)))</f>
        <v>0</v>
      </c>
      <c r="AW271" s="170">
        <f>AW270+(Entradas!$E$112*AT271-AX270)/(800*Entradas!$D$25)</f>
        <v>0</v>
      </c>
      <c r="AX271" s="170">
        <f>8000*Entradas!$D$26*AW271/Constantes!$E$45</f>
        <v>0</v>
      </c>
      <c r="AY271" s="170">
        <f>IF(Escenarios!$E$17&gt;0,10*Escenarios!$E$16*AL271,0)</f>
        <v>0</v>
      </c>
      <c r="AZ271" s="170">
        <f>IF(Escenarios!$E$17&gt;0,10*Escenarios!$E$16*AX271,0)</f>
        <v>0</v>
      </c>
      <c r="BA271" s="170">
        <f>IF(Escenarios!$E$17&gt;0,0.001*Observaciones!$F270*Escenarios!$E$17,0)</f>
        <v>0</v>
      </c>
      <c r="BB271" s="170">
        <f>IF(Escenarios!$E$17&gt;0,Observaciones!$K270,0)</f>
        <v>0</v>
      </c>
      <c r="BC271" s="170">
        <f>IF(Escenarios!$E$17&gt;0,MIN(0.0005*ETo!$M270*Escenarios!$E$17*(BG270/Constantes!$E$40)^(2/3),BG270+AY271+AZ271+BA271+BB271),0)</f>
        <v>0.68880411269877029</v>
      </c>
      <c r="BD271" s="170">
        <f>IF(Escenarios!$E$17&gt;0,MIN(Constantes!$E$39*(BG270/Constantes!$E$40)^(2/3),BG270+AY271+AZ271+BA271+BB271-BC271),0)</f>
        <v>1.2263338910351813</v>
      </c>
      <c r="BE271" s="170">
        <f>IF(Escenarios!$E$17&gt;0,MIN(Entradas!$E$113,BG270+AY271+AZ271+BA271+BB271-BC271-BD271),0)</f>
        <v>1</v>
      </c>
      <c r="BF271" s="170">
        <f>IF(Escenarios!$E$17&gt;0,MAX(0,BG270+AY271+AZ271+BA271+BB271-BC271-BD271-BE271-Constantes!$E$40),0)</f>
        <v>0</v>
      </c>
      <c r="BG271" s="170">
        <f t="shared" si="68"/>
        <v>9.7376682042685339</v>
      </c>
      <c r="BH271" s="170">
        <f>(Escenarios!$E$16*AK271+0.1*BC271)/(Escenarios!$E$19)</f>
        <v>1.3527153591004835E-5</v>
      </c>
      <c r="BI271" s="170">
        <f>IF(Escenarios!$E$17&gt;0,BF271/10/Escenarios!$E$19,AL271)</f>
        <v>0</v>
      </c>
      <c r="BJ271" s="170">
        <f>(Escenarios!$E$16*AT271+0.1*BD271)/(Escenarios!$E$19)</f>
        <v>4.8664043295046876E-4</v>
      </c>
      <c r="BK271" s="76">
        <f>BK270+(0.1*BD271)/(Escenarios!$E$19)-BL270</f>
        <v>49.583181368212031</v>
      </c>
      <c r="BL271" s="76">
        <f>MAX(0,(BK271-Constantes!$D$13)*(1-EXP(-Constantes!$D$23)))</f>
        <v>8.2095344693339945E-3</v>
      </c>
      <c r="BM271" s="76">
        <f t="shared" si="64"/>
        <v>0.22993546449873245</v>
      </c>
      <c r="BN271" s="76">
        <f t="shared" si="69"/>
        <v>0.22993546449873245</v>
      </c>
      <c r="BO271" s="76">
        <f>0.0526*BI271*Observaciones!$F270^1.218</f>
        <v>0</v>
      </c>
      <c r="BP271" s="76">
        <f>BO271*Constantes!$E$51</f>
        <v>0</v>
      </c>
      <c r="BQ271" s="76">
        <f t="shared" si="65"/>
        <v>0</v>
      </c>
      <c r="BR271" s="40"/>
    </row>
    <row r="272" spans="1:70">
      <c r="A272" s="147"/>
      <c r="B272" s="39"/>
      <c r="C272" s="75">
        <v>266</v>
      </c>
      <c r="D272" s="146">
        <f>ETo!$I271*((1-Constantes!$E$19)*ETo!$K271+ETo!$L271)</f>
        <v>3.8453726835784074</v>
      </c>
      <c r="E272" s="76">
        <f>MIN(D272*Constantes!$E$17,0.8*(N271+Observaciones!$F271-F272-M272-Constantes!$D$14))</f>
        <v>-1.5837427253022441E-2</v>
      </c>
      <c r="F272" s="76">
        <f>IF(Observaciones!$F271&gt;0.05*Constantes!$E$18,((Observaciones!$F271-0.05*Constantes!$E$18)^2)/(Observaciones!$F271+0.95*Constantes!$E$18),0)</f>
        <v>0</v>
      </c>
      <c r="G272" s="76">
        <f>IF(Escenarios!$E$11&gt;0,(F272*Escenarios!$E$16*10000)/1000,0)</f>
        <v>0</v>
      </c>
      <c r="H272" s="76">
        <f>IF(Escenarios!$E$11&gt;0,(Observaciones!$F271*Constantes!$E$29)/1000,0)</f>
        <v>0</v>
      </c>
      <c r="I272" s="76">
        <f>IF(Escenarios!$E$11&gt;0,(D272*Constantes!$E$29)/1000,0)</f>
        <v>38.453726835784074</v>
      </c>
      <c r="J272" s="76">
        <f>IF(Escenarios!$E$11&gt;0,MAX(0,G272+H272-I272),0)</f>
        <v>0</v>
      </c>
      <c r="K272" s="76">
        <f>IF(Escenarios!$E$11&gt;0,IF(J272&gt;Constantes!$E$30,1000*((J272-Constantes!$E$30)/(Escenarios!$E$16*10000)),0),F272)</f>
        <v>0</v>
      </c>
      <c r="L272" s="76">
        <f>IF(Escenarios!$E$11&gt;0,I272*1000/Escenarios!$E$16/10000+E272,E272)</f>
        <v>-4.5593651870881081E-4</v>
      </c>
      <c r="M272" s="76">
        <f>MAX(0,N271+Observaciones!$F271-K272-Constantes!$D$13)</f>
        <v>0</v>
      </c>
      <c r="N272" s="76">
        <f>N271+Observaciones!$F271-K272-L272-M272-O271</f>
        <v>11.23065915245243</v>
      </c>
      <c r="O272" s="76">
        <f>MAX(0,(N272-Constantes!$D$14)*(1-EXP(-Constantes!$D$22)))</f>
        <v>0</v>
      </c>
      <c r="P272" s="170">
        <f>P271+(Entradas!$E$83*M272-Q271)/(800*Entradas!$D$25)</f>
        <v>0</v>
      </c>
      <c r="Q272" s="170">
        <f>8000*Entradas!$D$26*P272/Constantes!$E$45</f>
        <v>0</v>
      </c>
      <c r="R272" s="170">
        <f>IF(Escenarios!$E$14&gt;0,K272*Escenarios!$E$13/Escenarios!$E$14,0)</f>
        <v>0</v>
      </c>
      <c r="S272" s="170">
        <f>IF(Escenarios!$E$14&gt;0,Q272*Escenarios!$E$13/Escenarios!$E$14,0)</f>
        <v>0</v>
      </c>
      <c r="T272" s="170">
        <f>IF(Escenarios!$E$14&gt;0,Observaciones!$I271,0)</f>
        <v>0</v>
      </c>
      <c r="U272" s="170">
        <f>IF(Escenarios!$E$14&gt;0,MAX(0,Constantes!$E$36/((Z271+R272+S272+T272+Observaciones!$F271)^2)+Entradas!$E$77),0)</f>
        <v>0</v>
      </c>
      <c r="V272" s="146">
        <f>IF(ETo!D271&gt;0,ETo!I271*((1-Entradas!$E$81)*ETo!K271+ETo!L271),0)</f>
        <v>3.5044720868514712</v>
      </c>
      <c r="W272" s="170">
        <f>IF(Escenarios!$E$14&gt;0,MIN(V272*1,0.8*(Z271+R272+S272+T272+Observaciones!$F271-U272-Constantes!$E$35)),0)</f>
        <v>1.0239999994610116E-6</v>
      </c>
      <c r="X272" s="170">
        <f>IF(Escenarios!$E$14&gt;0,Observaciones!$J271,0)</f>
        <v>0</v>
      </c>
      <c r="Y272" s="170">
        <f>IF(Escenarios!$E$14&gt;0,MAX(0,Z271+R272+S272+T272+Observaciones!$F271-U272-W272-X272-Constantes!$E$33),0)</f>
        <v>0</v>
      </c>
      <c r="Z272" s="170">
        <f>Z271+R272+S272+T272+Observaciones!$F271-U272-W272-Y272</f>
        <v>41.250000256</v>
      </c>
      <c r="AA272" s="170">
        <f>IF(Escenarios!$E$14&gt;0,(Escenarios!$E$13*L272+Escenarios!$E$14*W272)/(Escenarios!$E$16),L272)</f>
        <v>-4.0110125646381823E-4</v>
      </c>
      <c r="AB272" s="170">
        <f>IF(Escenarios!$E$14&gt;0,(Escenarios!$E$14*Y272)/(Escenarios!$E$16),K272)</f>
        <v>0</v>
      </c>
      <c r="AC272" s="170">
        <f>IF(Escenarios!$E$14&gt;0,(Escenarios!$E$13*M272+Escenarios!$E$14*U272)/(Escenarios!$E$16),M272)</f>
        <v>0</v>
      </c>
      <c r="AD272" s="76">
        <f t="shared" si="57"/>
        <v>71.031122975721814</v>
      </c>
      <c r="AE272" s="76">
        <f>MAX(0,(AD272-Constantes!$D$13)*(1-EXP(-Constantes!$D$23)))</f>
        <v>0.21954121162981677</v>
      </c>
      <c r="AF272" s="76">
        <f>AB272+O272*Escenarios!$E$13/Escenarios!$E$16+AE272</f>
        <v>0.21954121162981677</v>
      </c>
      <c r="AG272" s="76">
        <f>IF(Entradas!$E$91&gt;0,IF(AF272-Escenarios!$E$38&lt;=0,0,IF(AF272-Escenarios!$E$38&gt;Escenarios!$E$37,Escenarios!$E$37,AF272-Escenarios!$E$38)),0)</f>
        <v>0</v>
      </c>
      <c r="AH272" s="76">
        <f>AG272*Entradas!$E$99</f>
        <v>0</v>
      </c>
      <c r="AI272" s="76">
        <f>IF(Entradas!$E$91&gt;0,D272*Entradas!$D$23/Escenarios!$E$16,0)</f>
        <v>0</v>
      </c>
      <c r="AJ272" s="76">
        <f>IF(Entradas!$E$91&gt;0,Entradas!$D$24*Entradas!$D$22/Escenarios!$E$16,0)</f>
        <v>0</v>
      </c>
      <c r="AK272" s="76">
        <f t="shared" si="66"/>
        <v>-4.0110125646381823E-4</v>
      </c>
      <c r="AL272" s="76">
        <f t="shared" si="67"/>
        <v>0</v>
      </c>
      <c r="AM272" s="76">
        <f t="shared" si="58"/>
        <v>0</v>
      </c>
      <c r="AN272" s="76">
        <f>MAX(0,O272*Escenarios!$E$13/Escenarios!$E$16-AM272)</f>
        <v>0</v>
      </c>
      <c r="AO272" s="76">
        <f>AM272+AN272-O272*Escenarios!$E$13/Escenarios!$E$16</f>
        <v>0</v>
      </c>
      <c r="AP272" s="76">
        <f t="shared" si="56"/>
        <v>0.21954121162981677</v>
      </c>
      <c r="AQ272" s="76">
        <f t="shared" si="59"/>
        <v>0</v>
      </c>
      <c r="AR272" s="76">
        <f t="shared" si="60"/>
        <v>0.21954121162981677</v>
      </c>
      <c r="AS272" s="76">
        <f t="shared" si="61"/>
        <v>0</v>
      </c>
      <c r="AT272" s="76">
        <f t="shared" si="62"/>
        <v>0</v>
      </c>
      <c r="AU272" s="76">
        <f t="shared" si="63"/>
        <v>48.75</v>
      </c>
      <c r="AV272" s="76">
        <f>MAX(0,(AU272-Constantes!$D$13)*(1-EXP(-Constantes!$D$24)))</f>
        <v>0</v>
      </c>
      <c r="AW272" s="170">
        <f>AW271+(Entradas!$E$112*AT272-AX271)/(800*Entradas!$D$25)</f>
        <v>0</v>
      </c>
      <c r="AX272" s="170">
        <f>8000*Entradas!$D$26*AW272/Constantes!$E$45</f>
        <v>0</v>
      </c>
      <c r="AY272" s="170">
        <f>IF(Escenarios!$E$17&gt;0,10*Escenarios!$E$16*AL272,0)</f>
        <v>0</v>
      </c>
      <c r="AZ272" s="170">
        <f>IF(Escenarios!$E$17&gt;0,10*Escenarios!$E$16*AX272,0)</f>
        <v>0</v>
      </c>
      <c r="BA272" s="170">
        <f>IF(Escenarios!$E$17&gt;0,0.001*Observaciones!$F271*Escenarios!$E$17,0)</f>
        <v>0</v>
      </c>
      <c r="BB272" s="170">
        <f>IF(Escenarios!$E$17&gt;0,Observaciones!$K271,0)</f>
        <v>0</v>
      </c>
      <c r="BC272" s="170">
        <f>IF(Escenarios!$E$17&gt;0,MIN(0.0005*ETo!$M271*Escenarios!$E$17*(BG271/Constantes!$E$40)^(2/3),BG271+AY272+AZ272+BA272+BB272),0)</f>
        <v>0.56409081432391339</v>
      </c>
      <c r="BD272" s="170">
        <f>IF(Escenarios!$E$17&gt;0,MIN(Constantes!$E$39*(BG271/Constantes!$E$40)^(2/3),BG271+AY272+AZ272+BA272+BB272-BC272),0)</f>
        <v>1.0298820166143792</v>
      </c>
      <c r="BE272" s="170">
        <f>IF(Escenarios!$E$17&gt;0,MIN(Entradas!$E$113,BG271+AY272+AZ272+BA272+BB272-BC272-BD272),0)</f>
        <v>1</v>
      </c>
      <c r="BF272" s="170">
        <f>IF(Escenarios!$E$17&gt;0,MAX(0,BG271+AY272+AZ272+BA272+BB272-BC272-BD272-BE272-Constantes!$E$40),0)</f>
        <v>0</v>
      </c>
      <c r="BG272" s="170">
        <f t="shared" si="68"/>
        <v>7.1436953733302406</v>
      </c>
      <c r="BH272" s="170">
        <f>(Escenarios!$E$16*AK272+0.1*BC272)/(Escenarios!$E$19)</f>
        <v>-1.7407235191890162E-4</v>
      </c>
      <c r="BI272" s="170">
        <f>IF(Escenarios!$E$17&gt;0,BF272/10/Escenarios!$E$19,AL272)</f>
        <v>0</v>
      </c>
      <c r="BJ272" s="170">
        <f>(Escenarios!$E$16*AT272+0.1*BD272)/(Escenarios!$E$19)</f>
        <v>4.0868333992634094E-4</v>
      </c>
      <c r="BK272" s="76">
        <f>BK271+(0.1*BD272)/(Escenarios!$E$19)-BL271</f>
        <v>49.575380517082621</v>
      </c>
      <c r="BL272" s="76">
        <f>MAX(0,(BK272-Constantes!$D$13)*(1-EXP(-Constantes!$D$23)))</f>
        <v>8.1326708251379352E-3</v>
      </c>
      <c r="BM272" s="76">
        <f t="shared" si="64"/>
        <v>0.22767388245495471</v>
      </c>
      <c r="BN272" s="76">
        <f t="shared" si="69"/>
        <v>0.22767388245495471</v>
      </c>
      <c r="BO272" s="76">
        <f>0.0526*BI272*Observaciones!$F271^1.218</f>
        <v>0</v>
      </c>
      <c r="BP272" s="76">
        <f>BO272*Constantes!$E$51</f>
        <v>0</v>
      </c>
      <c r="BQ272" s="76">
        <f t="shared" si="65"/>
        <v>0</v>
      </c>
      <c r="BR272" s="40"/>
    </row>
    <row r="273" spans="1:70">
      <c r="A273" s="147"/>
      <c r="B273" s="39"/>
      <c r="C273" s="75">
        <v>267</v>
      </c>
      <c r="D273" s="146">
        <f>ETo!$I272*((1-Constantes!$E$19)*ETo!$K272+ETo!$L272)</f>
        <v>3.9133410297937008</v>
      </c>
      <c r="E273" s="76">
        <f>MIN(D273*Constantes!$E$17,0.8*(N272+Observaciones!$F272-F273-M273-Constantes!$D$14))</f>
        <v>1.5845273219619445</v>
      </c>
      <c r="F273" s="76">
        <f>IF(Observaciones!$F272&gt;0.05*Constantes!$E$18,((Observaciones!$F272-0.05*Constantes!$E$18)^2)/(Observaciones!$F272+0.95*Constantes!$E$18),0)</f>
        <v>0</v>
      </c>
      <c r="G273" s="76">
        <f>IF(Escenarios!$E$11&gt;0,(F273*Escenarios!$E$16*10000)/1000,0)</f>
        <v>0</v>
      </c>
      <c r="H273" s="76">
        <f>IF(Escenarios!$E$11&gt;0,(Observaciones!$F272*Constantes!$E$29)/1000,0)</f>
        <v>20</v>
      </c>
      <c r="I273" s="76">
        <f>IF(Escenarios!$E$11&gt;0,(D273*Constantes!$E$29)/1000,0)</f>
        <v>39.133410297937004</v>
      </c>
      <c r="J273" s="76">
        <f>IF(Escenarios!$E$11&gt;0,MAX(0,G273+H273-I273),0)</f>
        <v>0</v>
      </c>
      <c r="K273" s="76">
        <f>IF(Escenarios!$E$11&gt;0,IF(J273&gt;Constantes!$E$30,1000*((J273-Constantes!$E$30)/(Escenarios!$E$16*10000)),0),F273)</f>
        <v>0</v>
      </c>
      <c r="L273" s="76">
        <f>IF(Escenarios!$E$11&gt;0,I273*1000/Escenarios!$E$16/10000+E273,E273)</f>
        <v>1.6001806860811192</v>
      </c>
      <c r="M273" s="76">
        <f>MAX(0,N272+Observaciones!$F272-K273-Constantes!$D$13)</f>
        <v>0</v>
      </c>
      <c r="N273" s="76">
        <f>N272+Observaciones!$F272-K273-L273-M273-O272</f>
        <v>11.630478466371311</v>
      </c>
      <c r="O273" s="76">
        <f>MAX(0,(N273-Constantes!$D$14)*(1-EXP(-Constantes!$D$22)))</f>
        <v>1.2960493329651547E-2</v>
      </c>
      <c r="P273" s="170">
        <f>P272+(Entradas!$E$83*M273-Q272)/(800*Entradas!$D$25)</f>
        <v>0</v>
      </c>
      <c r="Q273" s="170">
        <f>8000*Entradas!$D$26*P273/Constantes!$E$45</f>
        <v>0</v>
      </c>
      <c r="R273" s="170">
        <f>IF(Escenarios!$E$14&gt;0,K273*Escenarios!$E$13/Escenarios!$E$14,0)</f>
        <v>0</v>
      </c>
      <c r="S273" s="170">
        <f>IF(Escenarios!$E$14&gt;0,Q273*Escenarios!$E$13/Escenarios!$E$14,0)</f>
        <v>0</v>
      </c>
      <c r="T273" s="170">
        <f>IF(Escenarios!$E$14&gt;0,Observaciones!$I272,0)</f>
        <v>0</v>
      </c>
      <c r="U273" s="170">
        <f>IF(Escenarios!$E$14&gt;0,MAX(0,Constantes!$E$36/((Z272+R273+S273+T273+Observaciones!$F272)^2)+Entradas!$E$77),0)</f>
        <v>0</v>
      </c>
      <c r="V273" s="146">
        <f>IF(ETo!D272&gt;0,ETo!I272*((1-Entradas!$E$81)*ETo!K272+ETo!L272),0)</f>
        <v>3.5672668536414744</v>
      </c>
      <c r="W273" s="170">
        <f>IF(Escenarios!$E$14&gt;0,MIN(V273*1,0.8*(Z272+R273+S273+T273+Observaciones!$F272-U273-Constantes!$E$35)),0)</f>
        <v>1.6000002047999999</v>
      </c>
      <c r="X273" s="170">
        <f>IF(Escenarios!$E$14&gt;0,Observaciones!$J272,0)</f>
        <v>0</v>
      </c>
      <c r="Y273" s="170">
        <f>IF(Escenarios!$E$14&gt;0,MAX(0,Z272+R273+S273+T273+Observaciones!$F272-U273-W273-X273-Constantes!$E$33),0)</f>
        <v>0</v>
      </c>
      <c r="Z273" s="170">
        <f>Z272+R273+S273+T273+Observaciones!$F272-U273-W273-Y273</f>
        <v>41.650000051200003</v>
      </c>
      <c r="AA273" s="170">
        <f>IF(Escenarios!$E$14&gt;0,(Escenarios!$E$13*L273+Escenarios!$E$14*W273)/(Escenarios!$E$16),L273)</f>
        <v>1.600159028327385</v>
      </c>
      <c r="AB273" s="170">
        <f>IF(Escenarios!$E$14&gt;0,(Escenarios!$E$14*Y273)/(Escenarios!$E$16),K273)</f>
        <v>0</v>
      </c>
      <c r="AC273" s="170">
        <f>IF(Escenarios!$E$14&gt;0,(Escenarios!$E$13*M273+Escenarios!$E$14*U273)/(Escenarios!$E$16),M273)</f>
        <v>0</v>
      </c>
      <c r="AD273" s="76">
        <f t="shared" si="57"/>
        <v>70.811581764091997</v>
      </c>
      <c r="AE273" s="76">
        <f>MAX(0,(AD273-Constantes!$D$13)*(1-EXP(-Constantes!$D$23)))</f>
        <v>0.21737801978098553</v>
      </c>
      <c r="AF273" s="76">
        <f>AB273+O273*Escenarios!$E$13/Escenarios!$E$16+AE273</f>
        <v>0.2287832539110789</v>
      </c>
      <c r="AG273" s="76">
        <f>IF(Entradas!$E$91&gt;0,IF(AF273-Escenarios!$E$38&lt;=0,0,IF(AF273-Escenarios!$E$38&gt;Escenarios!$E$37,Escenarios!$E$37,AF273-Escenarios!$E$38)),0)</f>
        <v>0</v>
      </c>
      <c r="AH273" s="76">
        <f>AG273*Entradas!$E$99</f>
        <v>0</v>
      </c>
      <c r="AI273" s="76">
        <f>IF(Entradas!$E$91&gt;0,D273*Entradas!$D$23/Escenarios!$E$16,0)</f>
        <v>0</v>
      </c>
      <c r="AJ273" s="76">
        <f>IF(Entradas!$E$91&gt;0,Entradas!$D$24*Entradas!$D$22/Escenarios!$E$16,0)</f>
        <v>0</v>
      </c>
      <c r="AK273" s="76">
        <f t="shared" si="66"/>
        <v>1.600159028327385</v>
      </c>
      <c r="AL273" s="76">
        <f t="shared" si="67"/>
        <v>0</v>
      </c>
      <c r="AM273" s="76">
        <f t="shared" si="58"/>
        <v>0</v>
      </c>
      <c r="AN273" s="76">
        <f>MAX(0,O273*Escenarios!$E$13/Escenarios!$E$16-AM273)</f>
        <v>1.1405234130093362E-2</v>
      </c>
      <c r="AO273" s="76">
        <f>AM273+AN273-O273*Escenarios!$E$13/Escenarios!$E$16</f>
        <v>0</v>
      </c>
      <c r="AP273" s="76">
        <f t="shared" si="56"/>
        <v>0.21737801978098553</v>
      </c>
      <c r="AQ273" s="76">
        <f t="shared" si="59"/>
        <v>0</v>
      </c>
      <c r="AR273" s="76">
        <f t="shared" si="60"/>
        <v>0.2287832539110789</v>
      </c>
      <c r="AS273" s="76">
        <f t="shared" si="61"/>
        <v>0</v>
      </c>
      <c r="AT273" s="76">
        <f t="shared" si="62"/>
        <v>0</v>
      </c>
      <c r="AU273" s="76">
        <f t="shared" si="63"/>
        <v>48.75</v>
      </c>
      <c r="AV273" s="76">
        <f>MAX(0,(AU273-Constantes!$D$13)*(1-EXP(-Constantes!$D$24)))</f>
        <v>0</v>
      </c>
      <c r="AW273" s="170">
        <f>AW272+(Entradas!$E$112*AT273-AX272)/(800*Entradas!$D$25)</f>
        <v>0</v>
      </c>
      <c r="AX273" s="170">
        <f>8000*Entradas!$D$26*AW273/Constantes!$E$45</f>
        <v>0</v>
      </c>
      <c r="AY273" s="170">
        <f>IF(Escenarios!$E$17&gt;0,10*Escenarios!$E$16*AL273,0)</f>
        <v>0</v>
      </c>
      <c r="AZ273" s="170">
        <f>IF(Escenarios!$E$17&gt;0,10*Escenarios!$E$16*AX273,0)</f>
        <v>0</v>
      </c>
      <c r="BA273" s="170">
        <f>IF(Escenarios!$E$17&gt;0,0.001*Observaciones!$F272*Escenarios!$E$17,0)</f>
        <v>40</v>
      </c>
      <c r="BB273" s="170">
        <f>IF(Escenarios!$E$17&gt;0,Observaciones!$K272,0)</f>
        <v>0</v>
      </c>
      <c r="BC273" s="170">
        <f>IF(Escenarios!$E$17&gt;0,MIN(0.0005*ETo!$M272*Escenarios!$E$17*(BG272/Constantes!$E$40)^(2/3),BG272+AY273+AZ273+BA273+BB273),0)</f>
        <v>0.46680948798669941</v>
      </c>
      <c r="BD273" s="170">
        <f>IF(Escenarios!$E$17&gt;0,MIN(Constantes!$E$39*(BG272/Constantes!$E$40)^(2/3),BG272+AY273+AZ273+BA273+BB273-BC273),0)</f>
        <v>0.83772108049997929</v>
      </c>
      <c r="BE273" s="170">
        <f>IF(Escenarios!$E$17&gt;0,MIN(Entradas!$E$113,BG272+AY273+AZ273+BA273+BB273-BC273-BD273),0)</f>
        <v>1</v>
      </c>
      <c r="BF273" s="170">
        <f>IF(Escenarios!$E$17&gt;0,MAX(0,BG272+AY273+AZ273+BA273+BB273-BC273-BD273-BE273-Constantes!$E$40),0)</f>
        <v>0</v>
      </c>
      <c r="BG273" s="170">
        <f t="shared" si="68"/>
        <v>44.839164804843556</v>
      </c>
      <c r="BH273" s="170">
        <f>(Escenarios!$E$16*AK273+0.1*BC273)/(Escenarios!$E$19)</f>
        <v>1.587644595359702</v>
      </c>
      <c r="BI273" s="170">
        <f>IF(Escenarios!$E$17&gt;0,BF273/10/Escenarios!$E$19,AL273)</f>
        <v>0</v>
      </c>
      <c r="BJ273" s="170">
        <f>(Escenarios!$E$16*AT273+0.1*BD273)/(Escenarios!$E$19)</f>
        <v>3.3242900019840452E-4</v>
      </c>
      <c r="BK273" s="76">
        <f>BK272+(0.1*BD273)/(Escenarios!$E$19)-BL272</f>
        <v>49.567580275257676</v>
      </c>
      <c r="BL273" s="76">
        <f>MAX(0,(BK273-Constantes!$D$13)*(1-EXP(-Constantes!$D$23)))</f>
        <v>8.0558131845638922E-3</v>
      </c>
      <c r="BM273" s="76">
        <f t="shared" si="64"/>
        <v>0.22543383296554942</v>
      </c>
      <c r="BN273" s="76">
        <f t="shared" si="69"/>
        <v>0.23683906709564279</v>
      </c>
      <c r="BO273" s="76">
        <f>0.0526*BI273*Observaciones!$F272^1.218</f>
        <v>0</v>
      </c>
      <c r="BP273" s="76">
        <f>BO273*Constantes!$E$51</f>
        <v>0</v>
      </c>
      <c r="BQ273" s="76">
        <f t="shared" si="65"/>
        <v>0</v>
      </c>
      <c r="BR273" s="40"/>
    </row>
    <row r="274" spans="1:70">
      <c r="A274" s="147"/>
      <c r="B274" s="39"/>
      <c r="C274" s="75">
        <v>268</v>
      </c>
      <c r="D274" s="146">
        <f>ETo!$I273*((1-Constantes!$E$19)*ETo!$K273+ETo!$L273)</f>
        <v>3.9224216525434383</v>
      </c>
      <c r="E274" s="76">
        <f>MIN(D274*Constantes!$E$17,0.8*(N273+Observaciones!$F273-F274-M274-Constantes!$D$14))</f>
        <v>1.9177202429106655</v>
      </c>
      <c r="F274" s="76">
        <f>IF(Observaciones!$F273&gt;0.05*Constantes!$E$18,((Observaciones!$F273-0.05*Constantes!$E$18)^2)/(Observaciones!$F273+0.95*Constantes!$E$18),0)</f>
        <v>0</v>
      </c>
      <c r="G274" s="76">
        <f>IF(Escenarios!$E$11&gt;0,(F274*Escenarios!$E$16*10000)/1000,0)</f>
        <v>0</v>
      </c>
      <c r="H274" s="76">
        <f>IF(Escenarios!$E$11&gt;0,(Observaciones!$F273*Constantes!$E$29)/1000,0)</f>
        <v>45</v>
      </c>
      <c r="I274" s="76">
        <f>IF(Escenarios!$E$11&gt;0,(D274*Constantes!$E$29)/1000,0)</f>
        <v>39.224216525434386</v>
      </c>
      <c r="J274" s="76">
        <f>IF(Escenarios!$E$11&gt;0,MAX(0,G274+H274-I274),0)</f>
        <v>5.775783474565614</v>
      </c>
      <c r="K274" s="76">
        <f>IF(Escenarios!$E$11&gt;0,IF(J274&gt;Constantes!$E$30,1000*((J274-Constantes!$E$30)/(Escenarios!$E$16*10000)),0),F274)</f>
        <v>0</v>
      </c>
      <c r="L274" s="76">
        <f>IF(Escenarios!$E$11&gt;0,I274*1000/Escenarios!$E$16/10000+E274,E274)</f>
        <v>1.9334099295208391</v>
      </c>
      <c r="M274" s="76">
        <f>MAX(0,N273+Observaciones!$F273-K274-Constantes!$D$13)</f>
        <v>0</v>
      </c>
      <c r="N274" s="76">
        <f>N273+Observaciones!$F273-K274-L274-M274-O273</f>
        <v>14.184108043520821</v>
      </c>
      <c r="O274" s="76">
        <f>MAX(0,(N274-Constantes!$D$14)*(1-EXP(-Constantes!$D$22)))</f>
        <v>9.9946491293458048E-2</v>
      </c>
      <c r="P274" s="170">
        <f>P273+(Entradas!$E$83*M274-Q273)/(800*Entradas!$D$25)</f>
        <v>0</v>
      </c>
      <c r="Q274" s="170">
        <f>8000*Entradas!$D$26*P274/Constantes!$E$45</f>
        <v>0</v>
      </c>
      <c r="R274" s="170">
        <f>IF(Escenarios!$E$14&gt;0,K274*Escenarios!$E$13/Escenarios!$E$14,0)</f>
        <v>0</v>
      </c>
      <c r="S274" s="170">
        <f>IF(Escenarios!$E$14&gt;0,Q274*Escenarios!$E$13/Escenarios!$E$14,0)</f>
        <v>0</v>
      </c>
      <c r="T274" s="170">
        <f>IF(Escenarios!$E$14&gt;0,Observaciones!$I273,0)</f>
        <v>0</v>
      </c>
      <c r="U274" s="170">
        <f>IF(Escenarios!$E$14&gt;0,MAX(0,Constantes!$E$36/((Z273+R274+S274+T274+Observaciones!$F273)^2)+Entradas!$E$77),0)</f>
        <v>0</v>
      </c>
      <c r="V274" s="146">
        <f>IF(ETo!D273&gt;0,ETo!I273*((1-Entradas!$E$81)*ETo!K273+ETo!L273),0)</f>
        <v>3.5758317916678783</v>
      </c>
      <c r="W274" s="170">
        <f>IF(Escenarios!$E$14&gt;0,MIN(V274*1,0.8*(Z273+R274+S274+T274+Observaciones!$F273-U274-Constantes!$E$35)),0)</f>
        <v>3.5758317916678783</v>
      </c>
      <c r="X274" s="170">
        <f>IF(Escenarios!$E$14&gt;0,Observaciones!$J273,0)</f>
        <v>0</v>
      </c>
      <c r="Y274" s="170">
        <f>IF(Escenarios!$E$14&gt;0,MAX(0,Z273+R274+S274+T274+Observaciones!$F273-U274-W274-X274-Constantes!$E$33),0)</f>
        <v>0</v>
      </c>
      <c r="Z274" s="170">
        <f>Z273+R274+S274+T274+Observaciones!$F273-U274-W274-Y274</f>
        <v>42.574168259532122</v>
      </c>
      <c r="AA274" s="170">
        <f>IF(Escenarios!$E$14&gt;0,(Escenarios!$E$13*L274+Escenarios!$E$14*W274)/(Escenarios!$E$16),L274)</f>
        <v>2.130500552978484</v>
      </c>
      <c r="AB274" s="170">
        <f>IF(Escenarios!$E$14&gt;0,(Escenarios!$E$14*Y274)/(Escenarios!$E$16),K274)</f>
        <v>0</v>
      </c>
      <c r="AC274" s="170">
        <f>IF(Escenarios!$E$14&gt;0,(Escenarios!$E$13*M274+Escenarios!$E$14*U274)/(Escenarios!$E$16),M274)</f>
        <v>0</v>
      </c>
      <c r="AD274" s="76">
        <f t="shared" si="57"/>
        <v>70.594203744311017</v>
      </c>
      <c r="AE274" s="76">
        <f>MAX(0,(AD274-Constantes!$D$13)*(1-EXP(-Constantes!$D$23)))</f>
        <v>0.21523614237667302</v>
      </c>
      <c r="AF274" s="76">
        <f>AB274+O274*Escenarios!$E$13/Escenarios!$E$16+AE274</f>
        <v>0.30318905471491608</v>
      </c>
      <c r="AG274" s="76">
        <f>IF(Entradas!$E$91&gt;0,IF(AF274-Escenarios!$E$38&lt;=0,0,IF(AF274-Escenarios!$E$38&gt;Escenarios!$E$37,Escenarios!$E$37,AF274-Escenarios!$E$38)),0)</f>
        <v>0</v>
      </c>
      <c r="AH274" s="76">
        <f>AG274*Entradas!$E$99</f>
        <v>0</v>
      </c>
      <c r="AI274" s="76">
        <f>IF(Entradas!$E$91&gt;0,D274*Entradas!$D$23/Escenarios!$E$16,0)</f>
        <v>0</v>
      </c>
      <c r="AJ274" s="76">
        <f>IF(Entradas!$E$91&gt;0,Entradas!$D$24*Entradas!$D$22/Escenarios!$E$16,0)</f>
        <v>0</v>
      </c>
      <c r="AK274" s="76">
        <f t="shared" si="66"/>
        <v>2.130500552978484</v>
      </c>
      <c r="AL274" s="76">
        <f t="shared" si="67"/>
        <v>0</v>
      </c>
      <c r="AM274" s="76">
        <f t="shared" si="58"/>
        <v>0</v>
      </c>
      <c r="AN274" s="76">
        <f>MAX(0,O274*Escenarios!$E$13/Escenarios!$E$16-AM274)</f>
        <v>8.7952912338243081E-2</v>
      </c>
      <c r="AO274" s="76">
        <f>AM274+AN274-O274*Escenarios!$E$13/Escenarios!$E$16</f>
        <v>0</v>
      </c>
      <c r="AP274" s="76">
        <f t="shared" si="56"/>
        <v>0.21523614237667302</v>
      </c>
      <c r="AQ274" s="76">
        <f t="shared" si="59"/>
        <v>0</v>
      </c>
      <c r="AR274" s="76">
        <f t="shared" si="60"/>
        <v>0.30318905471491608</v>
      </c>
      <c r="AS274" s="76">
        <f t="shared" si="61"/>
        <v>0</v>
      </c>
      <c r="AT274" s="76">
        <f t="shared" si="62"/>
        <v>0</v>
      </c>
      <c r="AU274" s="76">
        <f t="shared" si="63"/>
        <v>48.75</v>
      </c>
      <c r="AV274" s="76">
        <f>MAX(0,(AU274-Constantes!$D$13)*(1-EXP(-Constantes!$D$24)))</f>
        <v>0</v>
      </c>
      <c r="AW274" s="170">
        <f>AW273+(Entradas!$E$112*AT274-AX273)/(800*Entradas!$D$25)</f>
        <v>0</v>
      </c>
      <c r="AX274" s="170">
        <f>8000*Entradas!$D$26*AW274/Constantes!$E$45</f>
        <v>0</v>
      </c>
      <c r="AY274" s="170">
        <f>IF(Escenarios!$E$17&gt;0,10*Escenarios!$E$16*AL274,0)</f>
        <v>0</v>
      </c>
      <c r="AZ274" s="170">
        <f>IF(Escenarios!$E$17&gt;0,10*Escenarios!$E$16*AX274,0)</f>
        <v>0</v>
      </c>
      <c r="BA274" s="170">
        <f>IF(Escenarios!$E$17&gt;0,0.001*Observaciones!$F273*Escenarios!$E$17,0)</f>
        <v>90.000000000000014</v>
      </c>
      <c r="BB274" s="170">
        <f>IF(Escenarios!$E$17&gt;0,Observaciones!$K273,0)</f>
        <v>0</v>
      </c>
      <c r="BC274" s="170">
        <f>IF(Escenarios!$E$17&gt;0,MIN(0.0005*ETo!$M273*Escenarios!$E$17*(BG273/Constantes!$E$40)^(2/3),BG273+AY274+AZ274+BA274+BB274),0)</f>
        <v>1.5919351203323222</v>
      </c>
      <c r="BD274" s="170">
        <f>IF(Escenarios!$E$17&gt;0,MIN(Constantes!$E$39*(BG273/Constantes!$E$40)^(2/3),BG273+AY274+AZ274+BA274+BB274-BC274),0)</f>
        <v>2.8505095659529052</v>
      </c>
      <c r="BE274" s="170">
        <f>IF(Escenarios!$E$17&gt;0,MIN(Entradas!$E$113,BG273+AY274+AZ274+BA274+BB274-BC274-BD274),0)</f>
        <v>1</v>
      </c>
      <c r="BF274" s="170">
        <f>IF(Escenarios!$E$17&gt;0,MAX(0,BG273+AY274+AZ274+BA274+BB274-BC274-BD274-BE274-Constantes!$E$40),0)</f>
        <v>0</v>
      </c>
      <c r="BG274" s="170">
        <f t="shared" si="68"/>
        <v>129.39672011855833</v>
      </c>
      <c r="BH274" s="170">
        <f>(Escenarios!$E$16*AK274+0.1*BC274)/(Escenarios!$E$19)</f>
        <v>2.1142235387168817</v>
      </c>
      <c r="BI274" s="170">
        <f>IF(Escenarios!$E$17&gt;0,BF274/10/Escenarios!$E$19,AL274)</f>
        <v>0</v>
      </c>
      <c r="BJ274" s="170">
        <f>(Escenarios!$E$16*AT274+0.1*BD274)/(Escenarios!$E$19)</f>
        <v>1.1311545896638513E-3</v>
      </c>
      <c r="BK274" s="76">
        <f>BK273+(0.1*BD274)/(Escenarios!$E$19)-BL273</f>
        <v>49.560655616662778</v>
      </c>
      <c r="BL274" s="76">
        <f>MAX(0,(BK274-Constantes!$D$13)*(1-EXP(-Constantes!$D$23)))</f>
        <v>7.9875828741031892E-3</v>
      </c>
      <c r="BM274" s="76">
        <f t="shared" si="64"/>
        <v>0.22322372525077622</v>
      </c>
      <c r="BN274" s="76">
        <f t="shared" si="69"/>
        <v>0.31117663758901926</v>
      </c>
      <c r="BO274" s="76">
        <f>0.0526*BI274*Observaciones!$F273^1.218</f>
        <v>0</v>
      </c>
      <c r="BP274" s="76">
        <f>BO274*Constantes!$E$51</f>
        <v>0</v>
      </c>
      <c r="BQ274" s="76">
        <f t="shared" si="65"/>
        <v>0</v>
      </c>
      <c r="BR274" s="40"/>
    </row>
    <row r="275" spans="1:70">
      <c r="A275" s="147"/>
      <c r="B275" s="39"/>
      <c r="C275" s="75">
        <v>269</v>
      </c>
      <c r="D275" s="146">
        <f>ETo!$I274*((1-Constantes!$E$19)*ETo!$K274+ETo!$L274)</f>
        <v>3.9016462701495458</v>
      </c>
      <c r="E275" s="76">
        <f>MIN(D275*Constantes!$E$17,0.8*(N274+Observaciones!$F274-F275-M275-Constantes!$D$14))</f>
        <v>1.9075629026499255</v>
      </c>
      <c r="F275" s="76">
        <f>IF(Observaciones!$F274&gt;0.05*Constantes!$E$18,((Observaciones!$F274-0.05*Constantes!$E$18)^2)/(Observaciones!$F274+0.95*Constantes!$E$18),0)</f>
        <v>0</v>
      </c>
      <c r="G275" s="76">
        <f>IF(Escenarios!$E$11&gt;0,(F275*Escenarios!$E$16*10000)/1000,0)</f>
        <v>0</v>
      </c>
      <c r="H275" s="76">
        <f>IF(Escenarios!$E$11&gt;0,(Observaciones!$F274*Constantes!$E$29)/1000,0)</f>
        <v>0</v>
      </c>
      <c r="I275" s="76">
        <f>IF(Escenarios!$E$11&gt;0,(D275*Constantes!$E$29)/1000,0)</f>
        <v>39.016462701495463</v>
      </c>
      <c r="J275" s="76">
        <f>IF(Escenarios!$E$11&gt;0,MAX(0,G275+H275-I275),0)</f>
        <v>0</v>
      </c>
      <c r="K275" s="76">
        <f>IF(Escenarios!$E$11&gt;0,IF(J275&gt;Constantes!$E$30,1000*((J275-Constantes!$E$30)/(Escenarios!$E$16*10000)),0),F275)</f>
        <v>0</v>
      </c>
      <c r="L275" s="76">
        <f>IF(Escenarios!$E$11&gt;0,I275*1000/Escenarios!$E$16/10000+E275,E275)</f>
        <v>1.9231694877305237</v>
      </c>
      <c r="M275" s="76">
        <f>MAX(0,N274+Observaciones!$F274-K275-Constantes!$D$13)</f>
        <v>0</v>
      </c>
      <c r="N275" s="76">
        <f>N274+Observaciones!$F274-K275-L275-M275-O274</f>
        <v>12.160992064496838</v>
      </c>
      <c r="O275" s="76">
        <f>MAX(0,(N275-Constantes!$D$14)*(1-EXP(-Constantes!$D$22)))</f>
        <v>3.1031734037096144E-2</v>
      </c>
      <c r="P275" s="170">
        <f>P274+(Entradas!$E$83*M275-Q274)/(800*Entradas!$D$25)</f>
        <v>0</v>
      </c>
      <c r="Q275" s="170">
        <f>8000*Entradas!$D$26*P275/Constantes!$E$45</f>
        <v>0</v>
      </c>
      <c r="R275" s="170">
        <f>IF(Escenarios!$E$14&gt;0,K275*Escenarios!$E$13/Escenarios!$E$14,0)</f>
        <v>0</v>
      </c>
      <c r="S275" s="170">
        <f>IF(Escenarios!$E$14&gt;0,Q275*Escenarios!$E$13/Escenarios!$E$14,0)</f>
        <v>0</v>
      </c>
      <c r="T275" s="170">
        <f>IF(Escenarios!$E$14&gt;0,Observaciones!$I274,0)</f>
        <v>0</v>
      </c>
      <c r="U275" s="170">
        <f>IF(Escenarios!$E$14&gt;0,MAX(0,Constantes!$E$36/((Z274+R275+S275+T275+Observaciones!$F274)^2)+Entradas!$E$77),0)</f>
        <v>0</v>
      </c>
      <c r="V275" s="146">
        <f>IF(ETo!D274&gt;0,ETo!I274*((1-Entradas!$E$81)*ETo!K274+ETo!L274),0)</f>
        <v>3.5568946512798423</v>
      </c>
      <c r="W275" s="170">
        <f>IF(Escenarios!$E$14&gt;0,MIN(V275*1,0.8*(Z274+R275+S275+T275+Observaciones!$F274-U275-Constantes!$E$35)),0)</f>
        <v>1.0593346076256978</v>
      </c>
      <c r="X275" s="170">
        <f>IF(Escenarios!$E$14&gt;0,Observaciones!$J274,0)</f>
        <v>0</v>
      </c>
      <c r="Y275" s="170">
        <f>IF(Escenarios!$E$14&gt;0,MAX(0,Z274+R275+S275+T275+Observaciones!$F274-U275-W275-X275-Constantes!$E$33),0)</f>
        <v>0</v>
      </c>
      <c r="Z275" s="170">
        <f>Z274+R275+S275+T275+Observaciones!$F274-U275-W275-Y275</f>
        <v>41.514833651906422</v>
      </c>
      <c r="AA275" s="170">
        <f>IF(Escenarios!$E$14&gt;0,(Escenarios!$E$13*L275+Escenarios!$E$14*W275)/(Escenarios!$E$16),L275)</f>
        <v>1.8195093021179445</v>
      </c>
      <c r="AB275" s="170">
        <f>IF(Escenarios!$E$14&gt;0,(Escenarios!$E$14*Y275)/(Escenarios!$E$16),K275)</f>
        <v>0</v>
      </c>
      <c r="AC275" s="170">
        <f>IF(Escenarios!$E$14&gt;0,(Escenarios!$E$13*M275+Escenarios!$E$14*U275)/(Escenarios!$E$16),M275)</f>
        <v>0</v>
      </c>
      <c r="AD275" s="76">
        <f t="shared" si="57"/>
        <v>70.378967601934349</v>
      </c>
      <c r="AE275" s="76">
        <f>MAX(0,(AD275-Constantes!$D$13)*(1-EXP(-Constantes!$D$23)))</f>
        <v>0.21311536940058068</v>
      </c>
      <c r="AF275" s="76">
        <f>AB275+O275*Escenarios!$E$13/Escenarios!$E$16+AE275</f>
        <v>0.24042329535322529</v>
      </c>
      <c r="AG275" s="76">
        <f>IF(Entradas!$E$91&gt;0,IF(AF275-Escenarios!$E$38&lt;=0,0,IF(AF275-Escenarios!$E$38&gt;Escenarios!$E$37,Escenarios!$E$37,AF275-Escenarios!$E$38)),0)</f>
        <v>0</v>
      </c>
      <c r="AH275" s="76">
        <f>AG275*Entradas!$E$99</f>
        <v>0</v>
      </c>
      <c r="AI275" s="76">
        <f>IF(Entradas!$E$91&gt;0,D275*Entradas!$D$23/Escenarios!$E$16,0)</f>
        <v>0</v>
      </c>
      <c r="AJ275" s="76">
        <f>IF(Entradas!$E$91&gt;0,Entradas!$D$24*Entradas!$D$22/Escenarios!$E$16,0)</f>
        <v>0</v>
      </c>
      <c r="AK275" s="76">
        <f t="shared" si="66"/>
        <v>1.8195093021179445</v>
      </c>
      <c r="AL275" s="76">
        <f t="shared" si="67"/>
        <v>0</v>
      </c>
      <c r="AM275" s="76">
        <f t="shared" si="58"/>
        <v>0</v>
      </c>
      <c r="AN275" s="76">
        <f>MAX(0,O275*Escenarios!$E$13/Escenarios!$E$16-AM275)</f>
        <v>2.7307925952644606E-2</v>
      </c>
      <c r="AO275" s="76">
        <f>AM275+AN275-O275*Escenarios!$E$13/Escenarios!$E$16</f>
        <v>0</v>
      </c>
      <c r="AP275" s="76">
        <f t="shared" si="56"/>
        <v>0.21311536940058068</v>
      </c>
      <c r="AQ275" s="76">
        <f t="shared" si="59"/>
        <v>0</v>
      </c>
      <c r="AR275" s="76">
        <f t="shared" si="60"/>
        <v>0.24042329535322529</v>
      </c>
      <c r="AS275" s="76">
        <f t="shared" si="61"/>
        <v>0</v>
      </c>
      <c r="AT275" s="76">
        <f t="shared" si="62"/>
        <v>0</v>
      </c>
      <c r="AU275" s="76">
        <f t="shared" si="63"/>
        <v>48.75</v>
      </c>
      <c r="AV275" s="76">
        <f>MAX(0,(AU275-Constantes!$D$13)*(1-EXP(-Constantes!$D$24)))</f>
        <v>0</v>
      </c>
      <c r="AW275" s="170">
        <f>AW274+(Entradas!$E$112*AT275-AX274)/(800*Entradas!$D$25)</f>
        <v>0</v>
      </c>
      <c r="AX275" s="170">
        <f>8000*Entradas!$D$26*AW275/Constantes!$E$45</f>
        <v>0</v>
      </c>
      <c r="AY275" s="170">
        <f>IF(Escenarios!$E$17&gt;0,10*Escenarios!$E$16*AL275,0)</f>
        <v>0</v>
      </c>
      <c r="AZ275" s="170">
        <f>IF(Escenarios!$E$17&gt;0,10*Escenarios!$E$16*AX275,0)</f>
        <v>0</v>
      </c>
      <c r="BA275" s="170">
        <f>IF(Escenarios!$E$17&gt;0,0.001*Observaciones!$F274*Escenarios!$E$17,0)</f>
        <v>0</v>
      </c>
      <c r="BB275" s="170">
        <f>IF(Escenarios!$E$17&gt;0,Observaciones!$K274,0)</f>
        <v>0</v>
      </c>
      <c r="BC275" s="170">
        <f>IF(Escenarios!$E$17&gt;0,MIN(0.0005*ETo!$M274*Escenarios!$E$17*(BG274/Constantes!$E$40)^(2/3),BG274+AY275+AZ275+BA275+BB275),0)</f>
        <v>3.2096851279237546</v>
      </c>
      <c r="BD275" s="170">
        <f>IF(Escenarios!$E$17&gt;0,MIN(Constantes!$E$39*(BG274/Constantes!$E$40)^(2/3),BG274+AY275+AZ275+BA275+BB275-BC275),0)</f>
        <v>5.7778510064825719</v>
      </c>
      <c r="BE275" s="170">
        <f>IF(Escenarios!$E$17&gt;0,MIN(Entradas!$E$113,BG274+AY275+AZ275+BA275+BB275-BC275-BD275),0)</f>
        <v>1</v>
      </c>
      <c r="BF275" s="170">
        <f>IF(Escenarios!$E$17&gt;0,MAX(0,BG274+AY275+AZ275+BA275+BB275-BC275-BD275-BE275-Constantes!$E$40),0)</f>
        <v>0</v>
      </c>
      <c r="BG275" s="170">
        <f t="shared" si="68"/>
        <v>119.40918398415201</v>
      </c>
      <c r="BH275" s="170">
        <f>(Escenarios!$E$16*AK275+0.1*BC275)/(Escenarios!$E$19)</f>
        <v>1.8063424366757084</v>
      </c>
      <c r="BI275" s="170">
        <f>IF(Escenarios!$E$17&gt;0,BF275/10/Escenarios!$E$19,AL275)</f>
        <v>0</v>
      </c>
      <c r="BJ275" s="170">
        <f>(Escenarios!$E$16*AT275+0.1*BD275)/(Escenarios!$E$19)</f>
        <v>2.2927980184454647E-3</v>
      </c>
      <c r="BK275" s="76">
        <f>BK274+(0.1*BD275)/(Escenarios!$E$19)-BL274</f>
        <v>49.554960831807122</v>
      </c>
      <c r="BL275" s="76">
        <f>MAX(0,(BK275-Constantes!$D$13)*(1-EXP(-Constantes!$D$23)))</f>
        <v>7.9314708025283332E-3</v>
      </c>
      <c r="BM275" s="76">
        <f t="shared" si="64"/>
        <v>0.22104684020310902</v>
      </c>
      <c r="BN275" s="76">
        <f t="shared" si="69"/>
        <v>0.24835476615575364</v>
      </c>
      <c r="BO275" s="76">
        <f>0.0526*BI275*Observaciones!$F274^1.218</f>
        <v>0</v>
      </c>
      <c r="BP275" s="76">
        <f>BO275*Constantes!$E$51</f>
        <v>0</v>
      </c>
      <c r="BQ275" s="76">
        <f t="shared" si="65"/>
        <v>0</v>
      </c>
      <c r="BR275" s="40"/>
    </row>
    <row r="276" spans="1:70">
      <c r="A276" s="147"/>
      <c r="B276" s="39"/>
      <c r="C276" s="75">
        <v>270</v>
      </c>
      <c r="D276" s="146">
        <f>ETo!$I275*((1-Constantes!$E$19)*ETo!$K275+ETo!$L275)</f>
        <v>3.8549997840683918</v>
      </c>
      <c r="E276" s="76">
        <f>MIN(D276*Constantes!$E$17,0.8*(N275+Observaciones!$F275-F276-M276-Constantes!$D$14))</f>
        <v>0.72879365159747067</v>
      </c>
      <c r="F276" s="76">
        <f>IF(Observaciones!$F275&gt;0.05*Constantes!$E$18,((Observaciones!$F275-0.05*Constantes!$E$18)^2)/(Observaciones!$F275+0.95*Constantes!$E$18),0)</f>
        <v>0</v>
      </c>
      <c r="G276" s="76">
        <f>IF(Escenarios!$E$11&gt;0,(F276*Escenarios!$E$16*10000)/1000,0)</f>
        <v>0</v>
      </c>
      <c r="H276" s="76">
        <f>IF(Escenarios!$E$11&gt;0,(Observaciones!$F275*Constantes!$E$29)/1000,0)</f>
        <v>0</v>
      </c>
      <c r="I276" s="76">
        <f>IF(Escenarios!$E$11&gt;0,(D276*Constantes!$E$29)/1000,0)</f>
        <v>38.549997840683922</v>
      </c>
      <c r="J276" s="76">
        <f>IF(Escenarios!$E$11&gt;0,MAX(0,G276+H276-I276),0)</f>
        <v>0</v>
      </c>
      <c r="K276" s="76">
        <f>IF(Escenarios!$E$11&gt;0,IF(J276&gt;Constantes!$E$30,1000*((J276-Constantes!$E$30)/(Escenarios!$E$16*10000)),0),F276)</f>
        <v>0</v>
      </c>
      <c r="L276" s="76">
        <f>IF(Escenarios!$E$11&gt;0,I276*1000/Escenarios!$E$16/10000+E276,E276)</f>
        <v>0.74421365073374424</v>
      </c>
      <c r="M276" s="76">
        <f>MAX(0,N275+Observaciones!$F275-K276-Constantes!$D$13)</f>
        <v>0</v>
      </c>
      <c r="N276" s="76">
        <f>N275+Observaciones!$F275-K276-L276-M276-O275</f>
        <v>11.385746679725997</v>
      </c>
      <c r="O276" s="76">
        <f>MAX(0,(N276-Constantes!$D$14)*(1-EXP(-Constantes!$D$22)))</f>
        <v>4.6240302477307061E-3</v>
      </c>
      <c r="P276" s="170">
        <f>P275+(Entradas!$E$83*M276-Q275)/(800*Entradas!$D$25)</f>
        <v>0</v>
      </c>
      <c r="Q276" s="170">
        <f>8000*Entradas!$D$26*P276/Constantes!$E$45</f>
        <v>0</v>
      </c>
      <c r="R276" s="170">
        <f>IF(Escenarios!$E$14&gt;0,K276*Escenarios!$E$13/Escenarios!$E$14,0)</f>
        <v>0</v>
      </c>
      <c r="S276" s="170">
        <f>IF(Escenarios!$E$14&gt;0,Q276*Escenarios!$E$13/Escenarios!$E$14,0)</f>
        <v>0</v>
      </c>
      <c r="T276" s="170">
        <f>IF(Escenarios!$E$14&gt;0,Observaciones!$I275,0)</f>
        <v>0</v>
      </c>
      <c r="U276" s="170">
        <f>IF(Escenarios!$E$14&gt;0,MAX(0,Constantes!$E$36/((Z275+R276+S276+T276+Observaciones!$F275)^2)+Entradas!$E$77),0)</f>
        <v>0</v>
      </c>
      <c r="V276" s="146">
        <f>IF(ETo!D275&gt;0,ETo!I275*((1-Entradas!$E$81)*ETo!K275+ETo!L275),0)</f>
        <v>3.5141861047235321</v>
      </c>
      <c r="W276" s="170">
        <f>IF(Escenarios!$E$14&gt;0,MIN(V276*1,0.8*(Z275+R276+S276+T276+Observaciones!$F275-U276-Constantes!$E$35)),0)</f>
        <v>0.21186692152513731</v>
      </c>
      <c r="X276" s="170">
        <f>IF(Escenarios!$E$14&gt;0,Observaciones!$J275,0)</f>
        <v>0</v>
      </c>
      <c r="Y276" s="170">
        <f>IF(Escenarios!$E$14&gt;0,MAX(0,Z275+R276+S276+T276+Observaciones!$F275-U276-W276-X276-Constantes!$E$33),0)</f>
        <v>0</v>
      </c>
      <c r="Z276" s="170">
        <f>Z275+R276+S276+T276+Observaciones!$F275-U276-W276-Y276</f>
        <v>41.302966730381286</v>
      </c>
      <c r="AA276" s="170">
        <f>IF(Escenarios!$E$14&gt;0,(Escenarios!$E$13*L276+Escenarios!$E$14*W276)/(Escenarios!$E$16),L276)</f>
        <v>0.68033204322871144</v>
      </c>
      <c r="AB276" s="170">
        <f>IF(Escenarios!$E$14&gt;0,(Escenarios!$E$14*Y276)/(Escenarios!$E$16),K276)</f>
        <v>0</v>
      </c>
      <c r="AC276" s="170">
        <f>IF(Escenarios!$E$14&gt;0,(Escenarios!$E$13*M276+Escenarios!$E$14*U276)/(Escenarios!$E$16),M276)</f>
        <v>0</v>
      </c>
      <c r="AD276" s="76">
        <f t="shared" si="57"/>
        <v>70.165852232533766</v>
      </c>
      <c r="AE276" s="76">
        <f>MAX(0,(AD276-Constantes!$D$13)*(1-EXP(-Constantes!$D$23)))</f>
        <v>0.21101549290575045</v>
      </c>
      <c r="AF276" s="76">
        <f>AB276+O276*Escenarios!$E$13/Escenarios!$E$16+AE276</f>
        <v>0.21508463952375348</v>
      </c>
      <c r="AG276" s="76">
        <f>IF(Entradas!$E$91&gt;0,IF(AF276-Escenarios!$E$38&lt;=0,0,IF(AF276-Escenarios!$E$38&gt;Escenarios!$E$37,Escenarios!$E$37,AF276-Escenarios!$E$38)),0)</f>
        <v>0</v>
      </c>
      <c r="AH276" s="76">
        <f>AG276*Entradas!$E$99</f>
        <v>0</v>
      </c>
      <c r="AI276" s="76">
        <f>IF(Entradas!$E$91&gt;0,D276*Entradas!$D$23/Escenarios!$E$16,0)</f>
        <v>0</v>
      </c>
      <c r="AJ276" s="76">
        <f>IF(Entradas!$E$91&gt;0,Entradas!$D$24*Entradas!$D$22/Escenarios!$E$16,0)</f>
        <v>0</v>
      </c>
      <c r="AK276" s="76">
        <f t="shared" si="66"/>
        <v>0.68033204322871144</v>
      </c>
      <c r="AL276" s="76">
        <f t="shared" si="67"/>
        <v>0</v>
      </c>
      <c r="AM276" s="76">
        <f t="shared" si="58"/>
        <v>0</v>
      </c>
      <c r="AN276" s="76">
        <f>MAX(0,O276*Escenarios!$E$13/Escenarios!$E$16-AM276)</f>
        <v>4.0691466180030212E-3</v>
      </c>
      <c r="AO276" s="76">
        <f>AM276+AN276-O276*Escenarios!$E$13/Escenarios!$E$16</f>
        <v>0</v>
      </c>
      <c r="AP276" s="76">
        <f t="shared" si="56"/>
        <v>0.21101549290575045</v>
      </c>
      <c r="AQ276" s="76">
        <f t="shared" si="59"/>
        <v>0</v>
      </c>
      <c r="AR276" s="76">
        <f t="shared" si="60"/>
        <v>0.21508463952375348</v>
      </c>
      <c r="AS276" s="76">
        <f t="shared" si="61"/>
        <v>0</v>
      </c>
      <c r="AT276" s="76">
        <f t="shared" si="62"/>
        <v>0</v>
      </c>
      <c r="AU276" s="76">
        <f t="shared" si="63"/>
        <v>48.75</v>
      </c>
      <c r="AV276" s="76">
        <f>MAX(0,(AU276-Constantes!$D$13)*(1-EXP(-Constantes!$D$24)))</f>
        <v>0</v>
      </c>
      <c r="AW276" s="170">
        <f>AW275+(Entradas!$E$112*AT276-AX275)/(800*Entradas!$D$25)</f>
        <v>0</v>
      </c>
      <c r="AX276" s="170">
        <f>8000*Entradas!$D$26*AW276/Constantes!$E$45</f>
        <v>0</v>
      </c>
      <c r="AY276" s="170">
        <f>IF(Escenarios!$E$17&gt;0,10*Escenarios!$E$16*AL276,0)</f>
        <v>0</v>
      </c>
      <c r="AZ276" s="170">
        <f>IF(Escenarios!$E$17&gt;0,10*Escenarios!$E$16*AX276,0)</f>
        <v>0</v>
      </c>
      <c r="BA276" s="170">
        <f>IF(Escenarios!$E$17&gt;0,0.001*Observaciones!$F275*Escenarios!$E$17,0)</f>
        <v>0</v>
      </c>
      <c r="BB276" s="170">
        <f>IF(Escenarios!$E$17&gt;0,Observaciones!$K275,0)</f>
        <v>0</v>
      </c>
      <c r="BC276" s="170">
        <f>IF(Escenarios!$E$17&gt;0,MIN(0.0005*ETo!$M275*Escenarios!$E$17*(BG275/Constantes!$E$40)^(2/3),BG275+AY276+AZ276+BA276+BB276),0)</f>
        <v>3.0061487689655593</v>
      </c>
      <c r="BD276" s="170">
        <f>IF(Escenarios!$E$17&gt;0,MIN(Constantes!$E$39*(BG275/Constantes!$E$40)^(2/3),BG275+AY276+AZ276+BA276+BB276-BC276),0)</f>
        <v>5.4765784523773533</v>
      </c>
      <c r="BE276" s="170">
        <f>IF(Escenarios!$E$17&gt;0,MIN(Entradas!$E$113,BG275+AY276+AZ276+BA276+BB276-BC276-BD276),0)</f>
        <v>1</v>
      </c>
      <c r="BF276" s="170">
        <f>IF(Escenarios!$E$17&gt;0,MAX(0,BG275+AY276+AZ276+BA276+BB276-BC276-BD276-BE276-Constantes!$E$40),0)</f>
        <v>0</v>
      </c>
      <c r="BG276" s="170">
        <f t="shared" si="68"/>
        <v>109.9264567628091</v>
      </c>
      <c r="BH276" s="170">
        <f>(Escenarios!$E$16*AK276+0.1*BC276)/(Escenarios!$E$19)</f>
        <v>0.6761254987463271</v>
      </c>
      <c r="BI276" s="170">
        <f>IF(Escenarios!$E$17&gt;0,BF276/10/Escenarios!$E$19,AL276)</f>
        <v>0</v>
      </c>
      <c r="BJ276" s="170">
        <f>(Escenarios!$E$16*AT276+0.1*BD276)/(Escenarios!$E$19)</f>
        <v>2.1732454176100605E-3</v>
      </c>
      <c r="BK276" s="76">
        <f>BK275+(0.1*BD276)/(Escenarios!$E$19)-BL275</f>
        <v>49.549202606422206</v>
      </c>
      <c r="BL276" s="76">
        <f>MAX(0,(BK276-Constantes!$D$13)*(1-EXP(-Constantes!$D$23)))</f>
        <v>7.8747336363083204E-3</v>
      </c>
      <c r="BM276" s="76">
        <f t="shared" si="64"/>
        <v>0.21889022654205875</v>
      </c>
      <c r="BN276" s="76">
        <f t="shared" si="69"/>
        <v>0.22295937316006181</v>
      </c>
      <c r="BO276" s="76">
        <f>0.0526*BI276*Observaciones!$F275^1.218</f>
        <v>0</v>
      </c>
      <c r="BP276" s="76">
        <f>BO276*Constantes!$E$51</f>
        <v>0</v>
      </c>
      <c r="BQ276" s="76">
        <f t="shared" si="65"/>
        <v>0</v>
      </c>
      <c r="BR276" s="40"/>
    </row>
    <row r="277" spans="1:70">
      <c r="A277" s="147"/>
      <c r="B277" s="39"/>
      <c r="C277" s="75">
        <v>271</v>
      </c>
      <c r="D277" s="146">
        <f>ETo!$I276*((1-Constantes!$E$19)*ETo!$K276+ETo!$L276)</f>
        <v>3.9394438633738469</v>
      </c>
      <c r="E277" s="76">
        <f>MIN(D277*Constantes!$E$17,0.8*(N276+Observaciones!$F276-F277-M277-Constantes!$D$14))</f>
        <v>0.10859734378079794</v>
      </c>
      <c r="F277" s="76">
        <f>IF(Observaciones!$F276&gt;0.05*Constantes!$E$18,((Observaciones!$F276-0.05*Constantes!$E$18)^2)/(Observaciones!$F276+0.95*Constantes!$E$18),0)</f>
        <v>0</v>
      </c>
      <c r="G277" s="76">
        <f>IF(Escenarios!$E$11&gt;0,(F277*Escenarios!$E$16*10000)/1000,0)</f>
        <v>0</v>
      </c>
      <c r="H277" s="76">
        <f>IF(Escenarios!$E$11&gt;0,(Observaciones!$F276*Constantes!$E$29)/1000,0)</f>
        <v>0</v>
      </c>
      <c r="I277" s="76">
        <f>IF(Escenarios!$E$11&gt;0,(D277*Constantes!$E$29)/1000,0)</f>
        <v>39.394438633738474</v>
      </c>
      <c r="J277" s="76">
        <f>IF(Escenarios!$E$11&gt;0,MAX(0,G277+H277-I277),0)</f>
        <v>0</v>
      </c>
      <c r="K277" s="76">
        <f>IF(Escenarios!$E$11&gt;0,IF(J277&gt;Constantes!$E$30,1000*((J277-Constantes!$E$30)/(Escenarios!$E$16*10000)),0),F277)</f>
        <v>0</v>
      </c>
      <c r="L277" s="76">
        <f>IF(Escenarios!$E$11&gt;0,I277*1000/Escenarios!$E$16/10000+E277,E277)</f>
        <v>0.12435511923429332</v>
      </c>
      <c r="M277" s="76">
        <f>MAX(0,N276+Observaciones!$F276-K277-Constantes!$D$13)</f>
        <v>0</v>
      </c>
      <c r="N277" s="76">
        <f>N276+Observaciones!$F276-K277-L277-M277-O276</f>
        <v>11.256767530243973</v>
      </c>
      <c r="O277" s="76">
        <f>MAX(0,(N277-Constantes!$D$14)*(1-EXP(-Constantes!$D$22)))</f>
        <v>2.305269242218605E-4</v>
      </c>
      <c r="P277" s="170">
        <f>P276+(Entradas!$E$83*M277-Q276)/(800*Entradas!$D$25)</f>
        <v>0</v>
      </c>
      <c r="Q277" s="170">
        <f>8000*Entradas!$D$26*P277/Constantes!$E$45</f>
        <v>0</v>
      </c>
      <c r="R277" s="170">
        <f>IF(Escenarios!$E$14&gt;0,K277*Escenarios!$E$13/Escenarios!$E$14,0)</f>
        <v>0</v>
      </c>
      <c r="S277" s="170">
        <f>IF(Escenarios!$E$14&gt;0,Q277*Escenarios!$E$13/Escenarios!$E$14,0)</f>
        <v>0</v>
      </c>
      <c r="T277" s="170">
        <f>IF(Escenarios!$E$14&gt;0,Observaciones!$I276,0)</f>
        <v>0</v>
      </c>
      <c r="U277" s="170">
        <f>IF(Escenarios!$E$14&gt;0,MAX(0,Constantes!$E$36/((Z276+R277+S277+T277+Observaciones!$F276)^2)+Entradas!$E$77),0)</f>
        <v>0</v>
      </c>
      <c r="V277" s="146">
        <f>IF(ETo!D276&gt;0,ETo!I276*((1-Entradas!$E$81)*ETo!K276+ETo!L276),0)</f>
        <v>3.5920891164955502</v>
      </c>
      <c r="W277" s="170">
        <f>IF(Escenarios!$E$14&gt;0,MIN(V277*1,0.8*(Z276+R277+S277+T277+Observaciones!$F276-U277-Constantes!$E$35)),0)</f>
        <v>4.23733843050286E-2</v>
      </c>
      <c r="X277" s="170">
        <f>IF(Escenarios!$E$14&gt;0,Observaciones!$J276,0)</f>
        <v>0</v>
      </c>
      <c r="Y277" s="170">
        <f>IF(Escenarios!$E$14&gt;0,MAX(0,Z276+R277+S277+T277+Observaciones!$F276-U277-W277-X277-Constantes!$E$33),0)</f>
        <v>0</v>
      </c>
      <c r="Z277" s="170">
        <f>Z276+R277+S277+T277+Observaciones!$F276-U277-W277-Y277</f>
        <v>41.260593346076256</v>
      </c>
      <c r="AA277" s="170">
        <f>IF(Escenarios!$E$14&gt;0,(Escenarios!$E$13*L277+Escenarios!$E$14*W277)/(Escenarios!$E$16),L277)</f>
        <v>0.11451731104278155</v>
      </c>
      <c r="AB277" s="170">
        <f>IF(Escenarios!$E$14&gt;0,(Escenarios!$E$14*Y277)/(Escenarios!$E$16),K277)</f>
        <v>0</v>
      </c>
      <c r="AC277" s="170">
        <f>IF(Escenarios!$E$14&gt;0,(Escenarios!$E$13*M277+Escenarios!$E$14*U277)/(Escenarios!$E$16),M277)</f>
        <v>0</v>
      </c>
      <c r="AD277" s="76">
        <f t="shared" si="57"/>
        <v>69.954836739628021</v>
      </c>
      <c r="AE277" s="76">
        <f>MAX(0,(AD277-Constantes!$D$13)*(1-EXP(-Constantes!$D$23)))</f>
        <v>0.20893630699417548</v>
      </c>
      <c r="AF277" s="76">
        <f>AB277+O277*Escenarios!$E$13/Escenarios!$E$16+AE277</f>
        <v>0.20913917068749072</v>
      </c>
      <c r="AG277" s="76">
        <f>IF(Entradas!$E$91&gt;0,IF(AF277-Escenarios!$E$38&lt;=0,0,IF(AF277-Escenarios!$E$38&gt;Escenarios!$E$37,Escenarios!$E$37,AF277-Escenarios!$E$38)),0)</f>
        <v>0</v>
      </c>
      <c r="AH277" s="76">
        <f>AG277*Entradas!$E$99</f>
        <v>0</v>
      </c>
      <c r="AI277" s="76">
        <f>IF(Entradas!$E$91&gt;0,D277*Entradas!$D$23/Escenarios!$E$16,0)</f>
        <v>0</v>
      </c>
      <c r="AJ277" s="76">
        <f>IF(Entradas!$E$91&gt;0,Entradas!$D$24*Entradas!$D$22/Escenarios!$E$16,0)</f>
        <v>0</v>
      </c>
      <c r="AK277" s="76">
        <f t="shared" si="66"/>
        <v>0.11451731104278155</v>
      </c>
      <c r="AL277" s="76">
        <f t="shared" si="67"/>
        <v>0</v>
      </c>
      <c r="AM277" s="76">
        <f t="shared" si="58"/>
        <v>0</v>
      </c>
      <c r="AN277" s="76">
        <f>MAX(0,O277*Escenarios!$E$13/Escenarios!$E$16-AM277)</f>
        <v>2.0286369331523724E-4</v>
      </c>
      <c r="AO277" s="76">
        <f>AM277+AN277-O277*Escenarios!$E$13/Escenarios!$E$16</f>
        <v>0</v>
      </c>
      <c r="AP277" s="76">
        <f t="shared" si="56"/>
        <v>0.20893630699417548</v>
      </c>
      <c r="AQ277" s="76">
        <f t="shared" si="59"/>
        <v>0</v>
      </c>
      <c r="AR277" s="76">
        <f t="shared" si="60"/>
        <v>0.20913917068749072</v>
      </c>
      <c r="AS277" s="76">
        <f t="shared" si="61"/>
        <v>0</v>
      </c>
      <c r="AT277" s="76">
        <f t="shared" si="62"/>
        <v>0</v>
      </c>
      <c r="AU277" s="76">
        <f t="shared" si="63"/>
        <v>48.75</v>
      </c>
      <c r="AV277" s="76">
        <f>MAX(0,(AU277-Constantes!$D$13)*(1-EXP(-Constantes!$D$24)))</f>
        <v>0</v>
      </c>
      <c r="AW277" s="170">
        <f>AW276+(Entradas!$E$112*AT277-AX276)/(800*Entradas!$D$25)</f>
        <v>0</v>
      </c>
      <c r="AX277" s="170">
        <f>8000*Entradas!$D$26*AW277/Constantes!$E$45</f>
        <v>0</v>
      </c>
      <c r="AY277" s="170">
        <f>IF(Escenarios!$E$17&gt;0,10*Escenarios!$E$16*AL277,0)</f>
        <v>0</v>
      </c>
      <c r="AZ277" s="170">
        <f>IF(Escenarios!$E$17&gt;0,10*Escenarios!$E$16*AX277,0)</f>
        <v>0</v>
      </c>
      <c r="BA277" s="170">
        <f>IF(Escenarios!$E$17&gt;0,0.001*Observaciones!$F276*Escenarios!$E$17,0)</f>
        <v>0</v>
      </c>
      <c r="BB277" s="170">
        <f>IF(Escenarios!$E$17&gt;0,Observaciones!$K276,0)</f>
        <v>0</v>
      </c>
      <c r="BC277" s="170">
        <f>IF(Escenarios!$E$17&gt;0,MIN(0.0005*ETo!$M276*Escenarios!$E$17*(BG276/Constantes!$E$40)^(2/3),BG276+AY277+AZ277+BA277+BB277),0)</f>
        <v>2.9061847462997368</v>
      </c>
      <c r="BD277" s="170">
        <f>IF(Escenarios!$E$17&gt;0,MIN(Constantes!$E$39*(BG276/Constantes!$E$40)^(2/3),BG276+AY277+AZ277+BA277+BB277-BC277),0)</f>
        <v>5.18265515761109</v>
      </c>
      <c r="BE277" s="170">
        <f>IF(Escenarios!$E$17&gt;0,MIN(Entradas!$E$113,BG276+AY277+AZ277+BA277+BB277-BC277-BD277),0)</f>
        <v>1</v>
      </c>
      <c r="BF277" s="170">
        <f>IF(Escenarios!$E$17&gt;0,MAX(0,BG276+AY277+AZ277+BA277+BB277-BC277-BD277-BE277-Constantes!$E$40),0)</f>
        <v>0</v>
      </c>
      <c r="BG277" s="170">
        <f t="shared" si="68"/>
        <v>100.83761685889826</v>
      </c>
      <c r="BH277" s="170">
        <f>(Escenarios!$E$16*AK277+0.1*BC277)/(Escenarios!$E$19)</f>
        <v>0.11476169141002128</v>
      </c>
      <c r="BI277" s="170">
        <f>IF(Escenarios!$E$17&gt;0,BF277/10/Escenarios!$E$19,AL277)</f>
        <v>0</v>
      </c>
      <c r="BJ277" s="170">
        <f>(Escenarios!$E$16*AT277+0.1*BD277)/(Escenarios!$E$19)</f>
        <v>2.0566091895282104E-3</v>
      </c>
      <c r="BK277" s="76">
        <f>BK276+(0.1*BD277)/(Escenarios!$E$19)-BL276</f>
        <v>49.54338448197543</v>
      </c>
      <c r="BL277" s="76">
        <f>MAX(0,(BK277-Constantes!$D$13)*(1-EXP(-Constantes!$D$23)))</f>
        <v>7.8174062703649568E-3</v>
      </c>
      <c r="BM277" s="76">
        <f t="shared" si="64"/>
        <v>0.21675371326454043</v>
      </c>
      <c r="BN277" s="76">
        <f t="shared" si="69"/>
        <v>0.21695657695785567</v>
      </c>
      <c r="BO277" s="76">
        <f>0.0526*BI277*Observaciones!$F276^1.218</f>
        <v>0</v>
      </c>
      <c r="BP277" s="76">
        <f>BO277*Constantes!$E$51</f>
        <v>0</v>
      </c>
      <c r="BQ277" s="76">
        <f t="shared" si="65"/>
        <v>0</v>
      </c>
      <c r="BR277" s="40"/>
    </row>
    <row r="278" spans="1:70">
      <c r="A278" s="147"/>
      <c r="B278" s="39"/>
      <c r="C278" s="75">
        <v>272</v>
      </c>
      <c r="D278" s="146">
        <f>ETo!$I277*((1-Constantes!$E$19)*ETo!$K277+ETo!$L277)</f>
        <v>4.0368309010874501</v>
      </c>
      <c r="E278" s="76">
        <f>MIN(D278*Constantes!$E$17,0.8*(N277+Observaciones!$F277-F278-M278-Constantes!$D$14))</f>
        <v>5.414024195178513E-3</v>
      </c>
      <c r="F278" s="76">
        <f>IF(Observaciones!$F277&gt;0.05*Constantes!$E$18,((Observaciones!$F277-0.05*Constantes!$E$18)^2)/(Observaciones!$F277+0.95*Constantes!$E$18),0)</f>
        <v>0</v>
      </c>
      <c r="G278" s="76">
        <f>IF(Escenarios!$E$11&gt;0,(F278*Escenarios!$E$16*10000)/1000,0)</f>
        <v>0</v>
      </c>
      <c r="H278" s="76">
        <f>IF(Escenarios!$E$11&gt;0,(Observaciones!$F277*Constantes!$E$29)/1000,0)</f>
        <v>0</v>
      </c>
      <c r="I278" s="76">
        <f>IF(Escenarios!$E$11&gt;0,(D278*Constantes!$E$29)/1000,0)</f>
        <v>40.368309010874505</v>
      </c>
      <c r="J278" s="76">
        <f>IF(Escenarios!$E$11&gt;0,MAX(0,G278+H278-I278),0)</f>
        <v>0</v>
      </c>
      <c r="K278" s="76">
        <f>IF(Escenarios!$E$11&gt;0,IF(J278&gt;Constantes!$E$30,1000*((J278-Constantes!$E$30)/(Escenarios!$E$16*10000)),0),F278)</f>
        <v>0</v>
      </c>
      <c r="L278" s="76">
        <f>IF(Escenarios!$E$11&gt;0,I278*1000/Escenarios!$E$16/10000+E278,E278)</f>
        <v>2.1561347799528313E-2</v>
      </c>
      <c r="M278" s="76">
        <f>MAX(0,N277+Observaciones!$F277-K278-Constantes!$D$13)</f>
        <v>0</v>
      </c>
      <c r="N278" s="76">
        <f>N277+Observaciones!$F277-K278-L278-M278-O277</f>
        <v>11.234975655520223</v>
      </c>
      <c r="O278" s="76">
        <f>MAX(0,(N278-Constantes!$D$14)*(1-EXP(-Constantes!$D$22)))</f>
        <v>0</v>
      </c>
      <c r="P278" s="170">
        <f>P277+(Entradas!$E$83*M278-Q277)/(800*Entradas!$D$25)</f>
        <v>0</v>
      </c>
      <c r="Q278" s="170">
        <f>8000*Entradas!$D$26*P278/Constantes!$E$45</f>
        <v>0</v>
      </c>
      <c r="R278" s="170">
        <f>IF(Escenarios!$E$14&gt;0,K278*Escenarios!$E$13/Escenarios!$E$14,0)</f>
        <v>0</v>
      </c>
      <c r="S278" s="170">
        <f>IF(Escenarios!$E$14&gt;0,Q278*Escenarios!$E$13/Escenarios!$E$14,0)</f>
        <v>0</v>
      </c>
      <c r="T278" s="170">
        <f>IF(Escenarios!$E$14&gt;0,Observaciones!$I277,0)</f>
        <v>0</v>
      </c>
      <c r="U278" s="170">
        <f>IF(Escenarios!$E$14&gt;0,MAX(0,Constantes!$E$36/((Z277+R278+S278+T278+Observaciones!$F277)^2)+Entradas!$E$77),0)</f>
        <v>0</v>
      </c>
      <c r="V278" s="146">
        <f>IF(ETo!D277&gt;0,ETo!I277*((1-Entradas!$E$81)*ETo!K277+ETo!L277),0)</f>
        <v>3.6820654198555447</v>
      </c>
      <c r="W278" s="170">
        <f>IF(Escenarios!$E$14&gt;0,MIN(V278*1,0.8*(Z277+R278+S278+T278+Observaciones!$F277-U278-Constantes!$E$35)),0)</f>
        <v>8.4746768610045823E-3</v>
      </c>
      <c r="X278" s="170">
        <f>IF(Escenarios!$E$14&gt;0,Observaciones!$J277,0)</f>
        <v>0</v>
      </c>
      <c r="Y278" s="170">
        <f>IF(Escenarios!$E$14&gt;0,MAX(0,Z277+R278+S278+T278+Observaciones!$F277-U278-W278-X278-Constantes!$E$33),0)</f>
        <v>0</v>
      </c>
      <c r="Z278" s="170">
        <f>Z277+R278+S278+T278+Observaciones!$F277-U278-W278-Y278</f>
        <v>41.25211866921525</v>
      </c>
      <c r="AA278" s="170">
        <f>IF(Escenarios!$E$14&gt;0,(Escenarios!$E$13*L278+Escenarios!$E$14*W278)/(Escenarios!$E$16),L278)</f>
        <v>1.9990947286905467E-2</v>
      </c>
      <c r="AB278" s="170">
        <f>IF(Escenarios!$E$14&gt;0,(Escenarios!$E$14*Y278)/(Escenarios!$E$16),K278)</f>
        <v>0</v>
      </c>
      <c r="AC278" s="170">
        <f>IF(Escenarios!$E$14&gt;0,(Escenarios!$E$13*M278+Escenarios!$E$14*U278)/(Escenarios!$E$16),M278)</f>
        <v>0</v>
      </c>
      <c r="AD278" s="76">
        <f t="shared" si="57"/>
        <v>69.745900432633846</v>
      </c>
      <c r="AE278" s="76">
        <f>MAX(0,(AD278-Constantes!$D$13)*(1-EXP(-Constantes!$D$23)))</f>
        <v>0.20687760779661069</v>
      </c>
      <c r="AF278" s="76">
        <f>AB278+O278*Escenarios!$E$13/Escenarios!$E$16+AE278</f>
        <v>0.20687760779661069</v>
      </c>
      <c r="AG278" s="76">
        <f>IF(Entradas!$E$91&gt;0,IF(AF278-Escenarios!$E$38&lt;=0,0,IF(AF278-Escenarios!$E$38&gt;Escenarios!$E$37,Escenarios!$E$37,AF278-Escenarios!$E$38)),0)</f>
        <v>0</v>
      </c>
      <c r="AH278" s="76">
        <f>AG278*Entradas!$E$99</f>
        <v>0</v>
      </c>
      <c r="AI278" s="76">
        <f>IF(Entradas!$E$91&gt;0,D278*Entradas!$D$23/Escenarios!$E$16,0)</f>
        <v>0</v>
      </c>
      <c r="AJ278" s="76">
        <f>IF(Entradas!$E$91&gt;0,Entradas!$D$24*Entradas!$D$22/Escenarios!$E$16,0)</f>
        <v>0</v>
      </c>
      <c r="AK278" s="76">
        <f t="shared" si="66"/>
        <v>1.9990947286905467E-2</v>
      </c>
      <c r="AL278" s="76">
        <f t="shared" si="67"/>
        <v>0</v>
      </c>
      <c r="AM278" s="76">
        <f t="shared" si="58"/>
        <v>0</v>
      </c>
      <c r="AN278" s="76">
        <f>MAX(0,O278*Escenarios!$E$13/Escenarios!$E$16-AM278)</f>
        <v>0</v>
      </c>
      <c r="AO278" s="76">
        <f>AM278+AN278-O278*Escenarios!$E$13/Escenarios!$E$16</f>
        <v>0</v>
      </c>
      <c r="AP278" s="76">
        <f t="shared" si="56"/>
        <v>0.20687760779661069</v>
      </c>
      <c r="AQ278" s="76">
        <f t="shared" si="59"/>
        <v>0</v>
      </c>
      <c r="AR278" s="76">
        <f t="shared" si="60"/>
        <v>0.20687760779661069</v>
      </c>
      <c r="AS278" s="76">
        <f t="shared" si="61"/>
        <v>0</v>
      </c>
      <c r="AT278" s="76">
        <f t="shared" si="62"/>
        <v>0</v>
      </c>
      <c r="AU278" s="76">
        <f t="shared" si="63"/>
        <v>48.75</v>
      </c>
      <c r="AV278" s="76">
        <f>MAX(0,(AU278-Constantes!$D$13)*(1-EXP(-Constantes!$D$24)))</f>
        <v>0</v>
      </c>
      <c r="AW278" s="170">
        <f>AW277+(Entradas!$E$112*AT278-AX277)/(800*Entradas!$D$25)</f>
        <v>0</v>
      </c>
      <c r="AX278" s="170">
        <f>8000*Entradas!$D$26*AW278/Constantes!$E$45</f>
        <v>0</v>
      </c>
      <c r="AY278" s="170">
        <f>IF(Escenarios!$E$17&gt;0,10*Escenarios!$E$16*AL278,0)</f>
        <v>0</v>
      </c>
      <c r="AZ278" s="170">
        <f>IF(Escenarios!$E$17&gt;0,10*Escenarios!$E$16*AX278,0)</f>
        <v>0</v>
      </c>
      <c r="BA278" s="170">
        <f>IF(Escenarios!$E$17&gt;0,0.001*Observaciones!$F277*Escenarios!$E$17,0)</f>
        <v>0</v>
      </c>
      <c r="BB278" s="170">
        <f>IF(Escenarios!$E$17&gt;0,Observaciones!$K277,0)</f>
        <v>0</v>
      </c>
      <c r="BC278" s="170">
        <f>IF(Escenarios!$E$17&gt;0,MIN(0.0005*ETo!$M277*Escenarios!$E$17*(BG277/Constantes!$E$40)^(2/3),BG277+AY278+AZ278+BA278+BB278),0)</f>
        <v>2.8103960754870037</v>
      </c>
      <c r="BD278" s="170">
        <f>IF(Escenarios!$E$17&gt;0,MIN(Constantes!$E$39*(BG277/Constantes!$E$40)^(2/3),BG277+AY278+AZ278+BA278+BB278-BC278),0)</f>
        <v>4.8928947651888688</v>
      </c>
      <c r="BE278" s="170">
        <f>IF(Escenarios!$E$17&gt;0,MIN(Entradas!$E$113,BG277+AY278+AZ278+BA278+BB278-BC278-BD278),0)</f>
        <v>1</v>
      </c>
      <c r="BF278" s="170">
        <f>IF(Escenarios!$E$17&gt;0,MAX(0,BG277+AY278+AZ278+BA278+BB278-BC278-BD278-BE278-Constantes!$E$40),0)</f>
        <v>0</v>
      </c>
      <c r="BG278" s="170">
        <f t="shared" si="68"/>
        <v>92.134326018222382</v>
      </c>
      <c r="BH278" s="170">
        <f>(Escenarios!$E$16*AK278+0.1*BC278)/(Escenarios!$E$19)</f>
        <v>2.0947525512996296E-2</v>
      </c>
      <c r="BI278" s="170">
        <f>IF(Escenarios!$E$17&gt;0,BF278/10/Escenarios!$E$19,AL278)</f>
        <v>0</v>
      </c>
      <c r="BJ278" s="170">
        <f>(Escenarios!$E$16*AT278+0.1*BD278)/(Escenarios!$E$19)</f>
        <v>1.9416249068209797E-3</v>
      </c>
      <c r="BK278" s="76">
        <f>BK277+(0.1*BD278)/(Escenarios!$E$19)-BL277</f>
        <v>49.537508700611887</v>
      </c>
      <c r="BL278" s="76">
        <f>MAX(0,(BK278-Constantes!$D$13)*(1-EXP(-Constantes!$D$23)))</f>
        <v>7.7595107970878877E-3</v>
      </c>
      <c r="BM278" s="76">
        <f t="shared" si="64"/>
        <v>0.21463711859369858</v>
      </c>
      <c r="BN278" s="76">
        <f t="shared" si="69"/>
        <v>0.21463711859369858</v>
      </c>
      <c r="BO278" s="76">
        <f>0.0526*BI278*Observaciones!$F277^1.218</f>
        <v>0</v>
      </c>
      <c r="BP278" s="76">
        <f>BO278*Constantes!$E$51</f>
        <v>0</v>
      </c>
      <c r="BQ278" s="76">
        <f t="shared" si="65"/>
        <v>0</v>
      </c>
      <c r="BR278" s="40"/>
    </row>
    <row r="279" spans="1:70">
      <c r="A279" s="147"/>
      <c r="B279" s="39"/>
      <c r="C279" s="75">
        <v>273</v>
      </c>
      <c r="D279" s="146">
        <f>ETo!$I278*((1-Constantes!$E$19)*ETo!$K278+ETo!$L278)</f>
        <v>4.1515839605504574</v>
      </c>
      <c r="E279" s="76">
        <f>MIN(D279*Constantes!$E$17,0.8*(N278+Observaciones!$F278-F279-M279-Constantes!$D$14))</f>
        <v>-1.2019475583821305E-2</v>
      </c>
      <c r="F279" s="76">
        <f>IF(Observaciones!$F278&gt;0.05*Constantes!$E$18,((Observaciones!$F278-0.05*Constantes!$E$18)^2)/(Observaciones!$F278+0.95*Constantes!$E$18),0)</f>
        <v>0</v>
      </c>
      <c r="G279" s="76">
        <f>IF(Escenarios!$E$11&gt;0,(F279*Escenarios!$E$16*10000)/1000,0)</f>
        <v>0</v>
      </c>
      <c r="H279" s="76">
        <f>IF(Escenarios!$E$11&gt;0,(Observaciones!$F278*Constantes!$E$29)/1000,0)</f>
        <v>0</v>
      </c>
      <c r="I279" s="76">
        <f>IF(Escenarios!$E$11&gt;0,(D279*Constantes!$E$29)/1000,0)</f>
        <v>41.515839605504574</v>
      </c>
      <c r="J279" s="76">
        <f>IF(Escenarios!$E$11&gt;0,MAX(0,G279+H279-I279),0)</f>
        <v>0</v>
      </c>
      <c r="K279" s="76">
        <f>IF(Escenarios!$E$11&gt;0,IF(J279&gt;Constantes!$E$30,1000*((J279-Constantes!$E$30)/(Escenarios!$E$16*10000)),0),F279)</f>
        <v>0</v>
      </c>
      <c r="L279" s="76">
        <f>IF(Escenarios!$E$11&gt;0,I279*1000/Escenarios!$E$16/10000+E279,E279)</f>
        <v>4.5868602583805235E-3</v>
      </c>
      <c r="M279" s="76">
        <f>MAX(0,N278+Observaciones!$F278-K279-Constantes!$D$13)</f>
        <v>0</v>
      </c>
      <c r="N279" s="76">
        <f>N278+Observaciones!$F278-K279-L279-M279-O278</f>
        <v>11.230388795261844</v>
      </c>
      <c r="O279" s="76">
        <f>MAX(0,(N279-Constantes!$D$14)*(1-EXP(-Constantes!$D$22)))</f>
        <v>0</v>
      </c>
      <c r="P279" s="170">
        <f>P278+(Entradas!$E$83*M279-Q278)/(800*Entradas!$D$25)</f>
        <v>0</v>
      </c>
      <c r="Q279" s="170">
        <f>8000*Entradas!$D$26*P279/Constantes!$E$45</f>
        <v>0</v>
      </c>
      <c r="R279" s="170">
        <f>IF(Escenarios!$E$14&gt;0,K279*Escenarios!$E$13/Escenarios!$E$14,0)</f>
        <v>0</v>
      </c>
      <c r="S279" s="170">
        <f>IF(Escenarios!$E$14&gt;0,Q279*Escenarios!$E$13/Escenarios!$E$14,0)</f>
        <v>0</v>
      </c>
      <c r="T279" s="170">
        <f>IF(Escenarios!$E$14&gt;0,Observaciones!$I278,0)</f>
        <v>0</v>
      </c>
      <c r="U279" s="170">
        <f>IF(Escenarios!$E$14&gt;0,MAX(0,Constantes!$E$36/((Z278+R279+S279+T279+Observaciones!$F278)^2)+Entradas!$E$77),0)</f>
        <v>0</v>
      </c>
      <c r="V279" s="146">
        <f>IF(ETo!D278&gt;0,ETo!I278*((1-Entradas!$E$81)*ETo!K278+ETo!L278),0)</f>
        <v>3.7882957625388736</v>
      </c>
      <c r="W279" s="170">
        <f>IF(Escenarios!$E$14&gt;0,MIN(V279*1,0.8*(Z278+R279+S279+T279+Observaciones!$F278-U279-Constantes!$E$35)),0)</f>
        <v>1.6949353721997795E-3</v>
      </c>
      <c r="X279" s="170">
        <f>IF(Escenarios!$E$14&gt;0,Observaciones!$J278,0)</f>
        <v>0</v>
      </c>
      <c r="Y279" s="170">
        <f>IF(Escenarios!$E$14&gt;0,MAX(0,Z278+R279+S279+T279+Observaciones!$F278-U279-W279-X279-Constantes!$E$33),0)</f>
        <v>0</v>
      </c>
      <c r="Z279" s="170">
        <f>Z278+R279+S279+T279+Observaciones!$F278-U279-W279-Y279</f>
        <v>41.25042373384305</v>
      </c>
      <c r="AA279" s="170">
        <f>IF(Escenarios!$E$14&gt;0,(Escenarios!$E$13*L279+Escenarios!$E$14*W279)/(Escenarios!$E$16),L279)</f>
        <v>4.2398292720388347E-3</v>
      </c>
      <c r="AB279" s="170">
        <f>IF(Escenarios!$E$14&gt;0,(Escenarios!$E$14*Y279)/(Escenarios!$E$16),K279)</f>
        <v>0</v>
      </c>
      <c r="AC279" s="170">
        <f>IF(Escenarios!$E$14&gt;0,(Escenarios!$E$13*M279+Escenarios!$E$14*U279)/(Escenarios!$E$16),M279)</f>
        <v>0</v>
      </c>
      <c r="AD279" s="76">
        <f t="shared" si="57"/>
        <v>69.539022824837232</v>
      </c>
      <c r="AE279" s="76">
        <f>MAX(0,(AD279-Constantes!$D$13)*(1-EXP(-Constantes!$D$23)))</f>
        <v>0.20483919345258345</v>
      </c>
      <c r="AF279" s="76">
        <f>AB279+O279*Escenarios!$E$13/Escenarios!$E$16+AE279</f>
        <v>0.20483919345258345</v>
      </c>
      <c r="AG279" s="76">
        <f>IF(Entradas!$E$91&gt;0,IF(AF279-Escenarios!$E$38&lt;=0,0,IF(AF279-Escenarios!$E$38&gt;Escenarios!$E$37,Escenarios!$E$37,AF279-Escenarios!$E$38)),0)</f>
        <v>0</v>
      </c>
      <c r="AH279" s="76">
        <f>AG279*Entradas!$E$99</f>
        <v>0</v>
      </c>
      <c r="AI279" s="76">
        <f>IF(Entradas!$E$91&gt;0,D279*Entradas!$D$23/Escenarios!$E$16,0)</f>
        <v>0</v>
      </c>
      <c r="AJ279" s="76">
        <f>IF(Entradas!$E$91&gt;0,Entradas!$D$24*Entradas!$D$22/Escenarios!$E$16,0)</f>
        <v>0</v>
      </c>
      <c r="AK279" s="76">
        <f t="shared" si="66"/>
        <v>4.2398292720388347E-3</v>
      </c>
      <c r="AL279" s="76">
        <f t="shared" si="67"/>
        <v>0</v>
      </c>
      <c r="AM279" s="76">
        <f t="shared" si="58"/>
        <v>0</v>
      </c>
      <c r="AN279" s="76">
        <f>MAX(0,O279*Escenarios!$E$13/Escenarios!$E$16-AM279)</f>
        <v>0</v>
      </c>
      <c r="AO279" s="76">
        <f>AM279+AN279-O279*Escenarios!$E$13/Escenarios!$E$16</f>
        <v>0</v>
      </c>
      <c r="AP279" s="76">
        <f t="shared" si="56"/>
        <v>0.20483919345258345</v>
      </c>
      <c r="AQ279" s="76">
        <f t="shared" si="59"/>
        <v>0</v>
      </c>
      <c r="AR279" s="76">
        <f t="shared" si="60"/>
        <v>0.20483919345258345</v>
      </c>
      <c r="AS279" s="76">
        <f t="shared" si="61"/>
        <v>0</v>
      </c>
      <c r="AT279" s="76">
        <f t="shared" si="62"/>
        <v>0</v>
      </c>
      <c r="AU279" s="76">
        <f t="shared" si="63"/>
        <v>48.75</v>
      </c>
      <c r="AV279" s="76">
        <f>MAX(0,(AU279-Constantes!$D$13)*(1-EXP(-Constantes!$D$24)))</f>
        <v>0</v>
      </c>
      <c r="AW279" s="170">
        <f>AW278+(Entradas!$E$112*AT279-AX278)/(800*Entradas!$D$25)</f>
        <v>0</v>
      </c>
      <c r="AX279" s="170">
        <f>8000*Entradas!$D$26*AW279/Constantes!$E$45</f>
        <v>0</v>
      </c>
      <c r="AY279" s="170">
        <f>IF(Escenarios!$E$17&gt;0,10*Escenarios!$E$16*AL279,0)</f>
        <v>0</v>
      </c>
      <c r="AZ279" s="170">
        <f>IF(Escenarios!$E$17&gt;0,10*Escenarios!$E$16*AX279,0)</f>
        <v>0</v>
      </c>
      <c r="BA279" s="170">
        <f>IF(Escenarios!$E$17&gt;0,0.001*Observaciones!$F278*Escenarios!$E$17,0)</f>
        <v>0</v>
      </c>
      <c r="BB279" s="170">
        <f>IF(Escenarios!$E$17&gt;0,Observaciones!$K278,0)</f>
        <v>0</v>
      </c>
      <c r="BC279" s="170">
        <f>IF(Escenarios!$E$17&gt;0,MIN(0.0005*ETo!$M278*Escenarios!$E$17*(BG278/Constantes!$E$40)^(2/3),BG278+AY279+AZ279+BA279+BB279),0)</f>
        <v>2.7200743975535175</v>
      </c>
      <c r="BD279" s="170">
        <f>IF(Escenarios!$E$17&gt;0,MIN(Constantes!$E$39*(BG278/Constantes!$E$40)^(2/3),BG278+AY279+AZ279+BA279+BB279-BC279),0)</f>
        <v>4.6071441608676516</v>
      </c>
      <c r="BE279" s="170">
        <f>IF(Escenarios!$E$17&gt;0,MIN(Entradas!$E$113,BG278+AY279+AZ279+BA279+BB279-BC279-BD279),0)</f>
        <v>1</v>
      </c>
      <c r="BF279" s="170">
        <f>IF(Escenarios!$E$17&gt;0,MAX(0,BG278+AY279+AZ279+BA279+BB279-BC279-BD279-BE279-Constantes!$E$40),0)</f>
        <v>0</v>
      </c>
      <c r="BG279" s="170">
        <f t="shared" si="68"/>
        <v>83.807107459801216</v>
      </c>
      <c r="BH279" s="170">
        <f>(Escenarios!$E$16*AK279+0.1*BC279)/(Escenarios!$E$19)</f>
        <v>5.2855744355756367E-3</v>
      </c>
      <c r="BI279" s="170">
        <f>IF(Escenarios!$E$17&gt;0,BF279/10/Escenarios!$E$19,AL279)</f>
        <v>0</v>
      </c>
      <c r="BJ279" s="170">
        <f>(Escenarios!$E$16*AT279+0.1*BD279)/(Escenarios!$E$19)</f>
        <v>1.8282318098681158E-3</v>
      </c>
      <c r="BK279" s="76">
        <f>BK278+(0.1*BD279)/(Escenarios!$E$19)-BL278</f>
        <v>49.531577421624668</v>
      </c>
      <c r="BL279" s="76">
        <f>MAX(0,(BK279-Constantes!$D$13)*(1-EXP(-Constantes!$D$23)))</f>
        <v>7.7010684925062243E-3</v>
      </c>
      <c r="BM279" s="76">
        <f t="shared" si="64"/>
        <v>0.21254026194508968</v>
      </c>
      <c r="BN279" s="76">
        <f t="shared" si="69"/>
        <v>0.21254026194508968</v>
      </c>
      <c r="BO279" s="76">
        <f>0.0526*BI279*Observaciones!$F278^1.218</f>
        <v>0</v>
      </c>
      <c r="BP279" s="76">
        <f>BO279*Constantes!$E$51</f>
        <v>0</v>
      </c>
      <c r="BQ279" s="76">
        <f t="shared" si="65"/>
        <v>0</v>
      </c>
      <c r="BR279" s="40"/>
    </row>
    <row r="280" spans="1:70">
      <c r="A280" s="147"/>
      <c r="B280" s="39"/>
      <c r="C280" s="75">
        <v>274</v>
      </c>
      <c r="D280" s="146">
        <f>ETo!$I279*((1-Constantes!$E$19)*ETo!$K279+ETo!$L279)</f>
        <v>4.0607942470166973</v>
      </c>
      <c r="E280" s="76">
        <f>MIN(D280*Constantes!$E$17,0.8*(N279+Observaciones!$F279-F280-M280-Constantes!$D$14))</f>
        <v>-1.568896379052518E-2</v>
      </c>
      <c r="F280" s="76">
        <f>IF(Observaciones!$F279&gt;0.05*Constantes!$E$18,((Observaciones!$F279-0.05*Constantes!$E$18)^2)/(Observaciones!$F279+0.95*Constantes!$E$18),0)</f>
        <v>0</v>
      </c>
      <c r="G280" s="76">
        <f>IF(Escenarios!$E$11&gt;0,(F280*Escenarios!$E$16*10000)/1000,0)</f>
        <v>0</v>
      </c>
      <c r="H280" s="76">
        <f>IF(Escenarios!$E$11&gt;0,(Observaciones!$F279*Constantes!$E$29)/1000,0)</f>
        <v>0</v>
      </c>
      <c r="I280" s="76">
        <f>IF(Escenarios!$E$11&gt;0,(D280*Constantes!$E$29)/1000,0)</f>
        <v>40.607942470166968</v>
      </c>
      <c r="J280" s="76">
        <f>IF(Escenarios!$E$11&gt;0,MAX(0,G280+H280-I280),0)</f>
        <v>0</v>
      </c>
      <c r="K280" s="76">
        <f>IF(Escenarios!$E$11&gt;0,IF(J280&gt;Constantes!$E$30,1000*((J280-Constantes!$E$30)/(Escenarios!$E$16*10000)),0),F280)</f>
        <v>0</v>
      </c>
      <c r="L280" s="76">
        <f>IF(Escenarios!$E$11&gt;0,I280*1000/Escenarios!$E$16/10000+E280,E280)</f>
        <v>5.5421319754160592E-4</v>
      </c>
      <c r="M280" s="76">
        <f>MAX(0,N279+Observaciones!$F279-K280-Constantes!$D$13)</f>
        <v>0</v>
      </c>
      <c r="N280" s="76">
        <f>N279+Observaciones!$F279-K280-L280-M280-O279</f>
        <v>11.229834582064301</v>
      </c>
      <c r="O280" s="76">
        <f>MAX(0,(N280-Constantes!$D$14)*(1-EXP(-Constantes!$D$22)))</f>
        <v>0</v>
      </c>
      <c r="P280" s="170">
        <f>P279+(Entradas!$E$83*M280-Q279)/(800*Entradas!$D$25)</f>
        <v>0</v>
      </c>
      <c r="Q280" s="170">
        <f>8000*Entradas!$D$26*P280/Constantes!$E$45</f>
        <v>0</v>
      </c>
      <c r="R280" s="170">
        <f>IF(Escenarios!$E$14&gt;0,K280*Escenarios!$E$13/Escenarios!$E$14,0)</f>
        <v>0</v>
      </c>
      <c r="S280" s="170">
        <f>IF(Escenarios!$E$14&gt;0,Q280*Escenarios!$E$13/Escenarios!$E$14,0)</f>
        <v>0</v>
      </c>
      <c r="T280" s="170">
        <f>IF(Escenarios!$E$14&gt;0,Observaciones!$I279,0)</f>
        <v>0</v>
      </c>
      <c r="U280" s="170">
        <f>IF(Escenarios!$E$14&gt;0,MAX(0,Constantes!$E$36/((Z279+R280+S280+T280+Observaciones!$F279)^2)+Entradas!$E$77),0)</f>
        <v>0</v>
      </c>
      <c r="V280" s="146">
        <f>IF(ETo!D279&gt;0,ETo!I279*((1-Entradas!$E$81)*ETo!K279+ETo!L279),0)</f>
        <v>3.7045030096769374</v>
      </c>
      <c r="W280" s="170">
        <f>IF(Escenarios!$E$14&gt;0,MIN(V280*1,0.8*(Z279+R280+S280+T280+Observaciones!$F279-U280-Constantes!$E$35)),0)</f>
        <v>3.3898707443995595E-4</v>
      </c>
      <c r="X280" s="170">
        <f>IF(Escenarios!$E$14&gt;0,Observaciones!$J279,0)</f>
        <v>0</v>
      </c>
      <c r="Y280" s="170">
        <f>IF(Escenarios!$E$14&gt;0,MAX(0,Z279+R280+S280+T280+Observaciones!$F279-U280-W280-X280-Constantes!$E$33),0)</f>
        <v>0</v>
      </c>
      <c r="Z280" s="170">
        <f>Z279+R280+S280+T280+Observaciones!$F279-U280-W280-Y280</f>
        <v>41.250084746768607</v>
      </c>
      <c r="AA280" s="170">
        <f>IF(Escenarios!$E$14&gt;0,(Escenarios!$E$13*L280+Escenarios!$E$14*W280)/(Escenarios!$E$16),L280)</f>
        <v>5.2838606276940788E-4</v>
      </c>
      <c r="AB280" s="170">
        <f>IF(Escenarios!$E$14&gt;0,(Escenarios!$E$14*Y280)/(Escenarios!$E$16),K280)</f>
        <v>0</v>
      </c>
      <c r="AC280" s="170">
        <f>IF(Escenarios!$E$14&gt;0,(Escenarios!$E$13*M280+Escenarios!$E$14*U280)/(Escenarios!$E$16),M280)</f>
        <v>0</v>
      </c>
      <c r="AD280" s="76">
        <f t="shared" si="57"/>
        <v>69.334183631384647</v>
      </c>
      <c r="AE280" s="76">
        <f>MAX(0,(AD280-Constantes!$D$13)*(1-EXP(-Constantes!$D$23)))</f>
        <v>0.20282086409060038</v>
      </c>
      <c r="AF280" s="76">
        <f>AB280+O280*Escenarios!$E$13/Escenarios!$E$16+AE280</f>
        <v>0.20282086409060038</v>
      </c>
      <c r="AG280" s="76">
        <f>IF(Entradas!$E$91&gt;0,IF(AF280-Escenarios!$E$38&lt;=0,0,IF(AF280-Escenarios!$E$38&gt;Escenarios!$E$37,Escenarios!$E$37,AF280-Escenarios!$E$38)),0)</f>
        <v>0</v>
      </c>
      <c r="AH280" s="76">
        <f>AG280*Entradas!$E$99</f>
        <v>0</v>
      </c>
      <c r="AI280" s="76">
        <f>IF(Entradas!$E$91&gt;0,D280*Entradas!$D$23/Escenarios!$E$16,0)</f>
        <v>0</v>
      </c>
      <c r="AJ280" s="76">
        <f>IF(Entradas!$E$91&gt;0,Entradas!$D$24*Entradas!$D$22/Escenarios!$E$16,0)</f>
        <v>0</v>
      </c>
      <c r="AK280" s="76">
        <f t="shared" si="66"/>
        <v>5.2838606276940788E-4</v>
      </c>
      <c r="AL280" s="76">
        <f t="shared" si="67"/>
        <v>0</v>
      </c>
      <c r="AM280" s="76">
        <f t="shared" si="58"/>
        <v>0</v>
      </c>
      <c r="AN280" s="76">
        <f>MAX(0,O280*Escenarios!$E$13/Escenarios!$E$16-AM280)</f>
        <v>0</v>
      </c>
      <c r="AO280" s="76">
        <f>AM280+AN280-O280*Escenarios!$E$13/Escenarios!$E$16</f>
        <v>0</v>
      </c>
      <c r="AP280" s="76">
        <f t="shared" si="56"/>
        <v>0.20282086409060038</v>
      </c>
      <c r="AQ280" s="76">
        <f t="shared" si="59"/>
        <v>0</v>
      </c>
      <c r="AR280" s="76">
        <f t="shared" si="60"/>
        <v>0.20282086409060038</v>
      </c>
      <c r="AS280" s="76">
        <f t="shared" si="61"/>
        <v>0</v>
      </c>
      <c r="AT280" s="76">
        <f t="shared" si="62"/>
        <v>0</v>
      </c>
      <c r="AU280" s="76">
        <f t="shared" si="63"/>
        <v>48.75</v>
      </c>
      <c r="AV280" s="76">
        <f>MAX(0,(AU280-Constantes!$D$13)*(1-EXP(-Constantes!$D$24)))</f>
        <v>0</v>
      </c>
      <c r="AW280" s="170">
        <f>AW279+(Entradas!$E$112*AT280-AX279)/(800*Entradas!$D$25)</f>
        <v>0</v>
      </c>
      <c r="AX280" s="170">
        <f>8000*Entradas!$D$26*AW280/Constantes!$E$45</f>
        <v>0</v>
      </c>
      <c r="AY280" s="170">
        <f>IF(Escenarios!$E$17&gt;0,10*Escenarios!$E$16*AL280,0)</f>
        <v>0</v>
      </c>
      <c r="AZ280" s="170">
        <f>IF(Escenarios!$E$17&gt;0,10*Escenarios!$E$16*AX280,0)</f>
        <v>0</v>
      </c>
      <c r="BA280" s="170">
        <f>IF(Escenarios!$E$17&gt;0,0.001*Observaciones!$F279*Escenarios!$E$17,0)</f>
        <v>0</v>
      </c>
      <c r="BB280" s="170">
        <f>IF(Escenarios!$E$17&gt;0,Observaciones!$K279,0)</f>
        <v>0</v>
      </c>
      <c r="BC280" s="170">
        <f>IF(Escenarios!$E$17&gt;0,MIN(0.0005*ETo!$M279*Escenarios!$E$17*(BG279/Constantes!$E$40)^(2/3),BG279+AY280+AZ280+BA280+BB280),0)</f>
        <v>2.4985671430160754</v>
      </c>
      <c r="BD280" s="170">
        <f>IF(Escenarios!$E$17&gt;0,MIN(Constantes!$E$39*(BG279/Constantes!$E$40)^(2/3),BG279+AY280+AZ280+BA280+BB280-BC280),0)</f>
        <v>4.3251853908154434</v>
      </c>
      <c r="BE280" s="170">
        <f>IF(Escenarios!$E$17&gt;0,MIN(Entradas!$E$113,BG279+AY280+AZ280+BA280+BB280-BC280-BD280),0)</f>
        <v>1</v>
      </c>
      <c r="BF280" s="170">
        <f>IF(Escenarios!$E$17&gt;0,MAX(0,BG279+AY280+AZ280+BA280+BB280-BC280-BD280-BE280-Constantes!$E$40),0)</f>
        <v>0</v>
      </c>
      <c r="BG280" s="170">
        <f t="shared" si="68"/>
        <v>75.983354925969692</v>
      </c>
      <c r="BH280" s="170">
        <f>(Escenarios!$E$16*AK280+0.1*BC280)/(Escenarios!$E$19)</f>
        <v>1.5156874206109505E-3</v>
      </c>
      <c r="BI280" s="170">
        <f>IF(Escenarios!$E$17&gt;0,BF280/10/Escenarios!$E$19,AL280)</f>
        <v>0</v>
      </c>
      <c r="BJ280" s="170">
        <f>(Escenarios!$E$16*AT280+0.1*BD280)/(Escenarios!$E$19)</f>
        <v>1.7163434090537474E-3</v>
      </c>
      <c r="BK280" s="76">
        <f>BK279+(0.1*BD280)/(Escenarios!$E$19)-BL279</f>
        <v>49.52559269654121</v>
      </c>
      <c r="BL280" s="76">
        <f>MAX(0,(BK280-Constantes!$D$13)*(1-EXP(-Constantes!$D$23)))</f>
        <v>7.6420995708084546E-3</v>
      </c>
      <c r="BM280" s="76">
        <f t="shared" si="64"/>
        <v>0.21046296366140882</v>
      </c>
      <c r="BN280" s="76">
        <f t="shared" si="69"/>
        <v>0.21046296366140882</v>
      </c>
      <c r="BO280" s="76">
        <f>0.0526*BI280*Observaciones!$F279^1.218</f>
        <v>0</v>
      </c>
      <c r="BP280" s="76">
        <f>BO280*Constantes!$E$51</f>
        <v>0</v>
      </c>
      <c r="BQ280" s="76">
        <f t="shared" si="65"/>
        <v>0</v>
      </c>
      <c r="BR280" s="40"/>
    </row>
    <row r="281" spans="1:70">
      <c r="A281" s="147"/>
      <c r="B281" s="39"/>
      <c r="C281" s="75">
        <v>275</v>
      </c>
      <c r="D281" s="146">
        <f>ETo!$I280*((1-Constantes!$E$19)*ETo!$K280+ETo!$L280)</f>
        <v>4.1712027788347852</v>
      </c>
      <c r="E281" s="76">
        <f>MIN(D281*Constantes!$E$17,0.8*(N280+Observaciones!$F280-F281-M281-Constantes!$D$14))</f>
        <v>-1.6132334348559142E-2</v>
      </c>
      <c r="F281" s="76">
        <f>IF(Observaciones!$F280&gt;0.05*Constantes!$E$18,((Observaciones!$F280-0.05*Constantes!$E$18)^2)/(Observaciones!$F280+0.95*Constantes!$E$18),0)</f>
        <v>0</v>
      </c>
      <c r="G281" s="76">
        <f>IF(Escenarios!$E$11&gt;0,(F281*Escenarios!$E$16*10000)/1000,0)</f>
        <v>0</v>
      </c>
      <c r="H281" s="76">
        <f>IF(Escenarios!$E$11&gt;0,(Observaciones!$F280*Constantes!$E$29)/1000,0)</f>
        <v>0</v>
      </c>
      <c r="I281" s="76">
        <f>IF(Escenarios!$E$11&gt;0,(D281*Constantes!$E$29)/1000,0)</f>
        <v>41.712027788347847</v>
      </c>
      <c r="J281" s="76">
        <f>IF(Escenarios!$E$11&gt;0,MAX(0,G281+H281-I281),0)</f>
        <v>0</v>
      </c>
      <c r="K281" s="76">
        <f>IF(Escenarios!$E$11&gt;0,IF(J281&gt;Constantes!$E$30,1000*((J281-Constantes!$E$30)/(Escenarios!$E$16*10000)),0),F281)</f>
        <v>0</v>
      </c>
      <c r="L281" s="76">
        <f>IF(Escenarios!$E$11&gt;0,I281*1000/Escenarios!$E$16/10000+E281,E281)</f>
        <v>5.524767667799968E-4</v>
      </c>
      <c r="M281" s="76">
        <f>MAX(0,N280+Observaciones!$F280-K281-Constantes!$D$13)</f>
        <v>0</v>
      </c>
      <c r="N281" s="76">
        <f>N280+Observaciones!$F280-K281-L281-M281-O280</f>
        <v>11.229282105297521</v>
      </c>
      <c r="O281" s="76">
        <f>MAX(0,(N281-Constantes!$D$14)*(1-EXP(-Constantes!$D$22)))</f>
        <v>0</v>
      </c>
      <c r="P281" s="170">
        <f>P280+(Entradas!$E$83*M281-Q280)/(800*Entradas!$D$25)</f>
        <v>0</v>
      </c>
      <c r="Q281" s="170">
        <f>8000*Entradas!$D$26*P281/Constantes!$E$45</f>
        <v>0</v>
      </c>
      <c r="R281" s="170">
        <f>IF(Escenarios!$E$14&gt;0,K281*Escenarios!$E$13/Escenarios!$E$14,0)</f>
        <v>0</v>
      </c>
      <c r="S281" s="170">
        <f>IF(Escenarios!$E$14&gt;0,Q281*Escenarios!$E$13/Escenarios!$E$14,0)</f>
        <v>0</v>
      </c>
      <c r="T281" s="170">
        <f>IF(Escenarios!$E$14&gt;0,Observaciones!$I280,0)</f>
        <v>0</v>
      </c>
      <c r="U281" s="170">
        <f>IF(Escenarios!$E$14&gt;0,MAX(0,Constantes!$E$36/((Z280+R281+S281+T281+Observaciones!$F280)^2)+Entradas!$E$77),0)</f>
        <v>0</v>
      </c>
      <c r="V281" s="146">
        <f>IF(ETo!D280&gt;0,ETo!I280*((1-Entradas!$E$81)*ETo!K280+ETo!L280),0)</f>
        <v>3.8067108822068723</v>
      </c>
      <c r="W281" s="170">
        <f>IF(Escenarios!$E$14&gt;0,MIN(V281*1,0.8*(Z280+R281+S281+T281+Observaciones!$F280-U281-Constantes!$E$35)),0)</f>
        <v>6.7797414885717444E-5</v>
      </c>
      <c r="X281" s="170">
        <f>IF(Escenarios!$E$14&gt;0,Observaciones!$J280,0)</f>
        <v>0</v>
      </c>
      <c r="Y281" s="170">
        <f>IF(Escenarios!$E$14&gt;0,MAX(0,Z280+R281+S281+T281+Observaciones!$F280-U281-W281-X281-Constantes!$E$33),0)</f>
        <v>0</v>
      </c>
      <c r="Z281" s="170">
        <f>Z280+R281+S281+T281+Observaciones!$F280-U281-W281-Y281</f>
        <v>41.250016949353721</v>
      </c>
      <c r="AA281" s="170">
        <f>IF(Escenarios!$E$14&gt;0,(Escenarios!$E$13*L281+Escenarios!$E$14*W281)/(Escenarios!$E$16),L281)</f>
        <v>4.9431524455268328E-4</v>
      </c>
      <c r="AB281" s="170">
        <f>IF(Escenarios!$E$14&gt;0,(Escenarios!$E$14*Y281)/(Escenarios!$E$16),K281)</f>
        <v>0</v>
      </c>
      <c r="AC281" s="170">
        <f>IF(Escenarios!$E$14&gt;0,(Escenarios!$E$13*M281+Escenarios!$E$14*U281)/(Escenarios!$E$16),M281)</f>
        <v>0</v>
      </c>
      <c r="AD281" s="76">
        <f t="shared" si="57"/>
        <v>69.13136276729405</v>
      </c>
      <c r="AE281" s="76">
        <f>MAX(0,(AD281-Constantes!$D$13)*(1-EXP(-Constantes!$D$23)))</f>
        <v>0.20082242180854956</v>
      </c>
      <c r="AF281" s="76">
        <f>AB281+O281*Escenarios!$E$13/Escenarios!$E$16+AE281</f>
        <v>0.20082242180854956</v>
      </c>
      <c r="AG281" s="76">
        <f>IF(Entradas!$E$91&gt;0,IF(AF281-Escenarios!$E$38&lt;=0,0,IF(AF281-Escenarios!$E$38&gt;Escenarios!$E$37,Escenarios!$E$37,AF281-Escenarios!$E$38)),0)</f>
        <v>0</v>
      </c>
      <c r="AH281" s="76">
        <f>AG281*Entradas!$E$99</f>
        <v>0</v>
      </c>
      <c r="AI281" s="76">
        <f>IF(Entradas!$E$91&gt;0,D281*Entradas!$D$23/Escenarios!$E$16,0)</f>
        <v>0</v>
      </c>
      <c r="AJ281" s="76">
        <f>IF(Entradas!$E$91&gt;0,Entradas!$D$24*Entradas!$D$22/Escenarios!$E$16,0)</f>
        <v>0</v>
      </c>
      <c r="AK281" s="76">
        <f t="shared" si="66"/>
        <v>4.9431524455268328E-4</v>
      </c>
      <c r="AL281" s="76">
        <f t="shared" si="67"/>
        <v>0</v>
      </c>
      <c r="AM281" s="76">
        <f t="shared" si="58"/>
        <v>0</v>
      </c>
      <c r="AN281" s="76">
        <f>MAX(0,O281*Escenarios!$E$13/Escenarios!$E$16-AM281)</f>
        <v>0</v>
      </c>
      <c r="AO281" s="76">
        <f>AM281+AN281-O281*Escenarios!$E$13/Escenarios!$E$16</f>
        <v>0</v>
      </c>
      <c r="AP281" s="76">
        <f t="shared" si="56"/>
        <v>0.20082242180854956</v>
      </c>
      <c r="AQ281" s="76">
        <f t="shared" si="59"/>
        <v>0</v>
      </c>
      <c r="AR281" s="76">
        <f t="shared" si="60"/>
        <v>0.20082242180854956</v>
      </c>
      <c r="AS281" s="76">
        <f t="shared" si="61"/>
        <v>0</v>
      </c>
      <c r="AT281" s="76">
        <f t="shared" si="62"/>
        <v>0</v>
      </c>
      <c r="AU281" s="76">
        <f t="shared" si="63"/>
        <v>48.75</v>
      </c>
      <c r="AV281" s="76">
        <f>MAX(0,(AU281-Constantes!$D$13)*(1-EXP(-Constantes!$D$24)))</f>
        <v>0</v>
      </c>
      <c r="AW281" s="170">
        <f>AW280+(Entradas!$E$112*AT281-AX280)/(800*Entradas!$D$25)</f>
        <v>0</v>
      </c>
      <c r="AX281" s="170">
        <f>8000*Entradas!$D$26*AW281/Constantes!$E$45</f>
        <v>0</v>
      </c>
      <c r="AY281" s="170">
        <f>IF(Escenarios!$E$17&gt;0,10*Escenarios!$E$16*AL281,0)</f>
        <v>0</v>
      </c>
      <c r="AZ281" s="170">
        <f>IF(Escenarios!$E$17&gt;0,10*Escenarios!$E$16*AX281,0)</f>
        <v>0</v>
      </c>
      <c r="BA281" s="170">
        <f>IF(Escenarios!$E$17&gt;0,0.001*Observaciones!$F280*Escenarios!$E$17,0)</f>
        <v>0</v>
      </c>
      <c r="BB281" s="170">
        <f>IF(Escenarios!$E$17&gt;0,Observaciones!$K280,0)</f>
        <v>0</v>
      </c>
      <c r="BC281" s="170">
        <f>IF(Escenarios!$E$17&gt;0,MIN(0.0005*ETo!$M280*Escenarios!$E$17*(BG280/Constantes!$E$40)^(2/3),BG280+AY281+AZ281+BA281+BB281),0)</f>
        <v>2.4029922630942417</v>
      </c>
      <c r="BD281" s="170">
        <f>IF(Escenarios!$E$17&gt;0,MIN(Constantes!$E$39*(BG280/Constantes!$E$40)^(2/3),BG280+AY281+AZ281+BA281+BB281-BC281),0)</f>
        <v>4.0516302333256862</v>
      </c>
      <c r="BE281" s="170">
        <f>IF(Escenarios!$E$17&gt;0,MIN(Entradas!$E$113,BG280+AY281+AZ281+BA281+BB281-BC281-BD281),0)</f>
        <v>1</v>
      </c>
      <c r="BF281" s="170">
        <f>IF(Escenarios!$E$17&gt;0,MAX(0,BG280+AY281+AZ281+BA281+BB281-BC281-BD281-BE281-Constantes!$E$40),0)</f>
        <v>0</v>
      </c>
      <c r="BG281" s="170">
        <f t="shared" si="68"/>
        <v>68.528732429549763</v>
      </c>
      <c r="BH281" s="170">
        <f>(Escenarios!$E$16*AK281+0.1*BC281)/(Escenarios!$E$19)</f>
        <v>1.443960466061885E-3</v>
      </c>
      <c r="BI281" s="170">
        <f>IF(Escenarios!$E$17&gt;0,BF281/10/Escenarios!$E$19,AL281)</f>
        <v>0</v>
      </c>
      <c r="BJ281" s="170">
        <f>(Escenarios!$E$16*AT281+0.1*BD281)/(Escenarios!$E$19)</f>
        <v>1.6077897751292406E-3</v>
      </c>
      <c r="BK281" s="76">
        <f>BK280+(0.1*BD281)/(Escenarios!$E$19)-BL280</f>
        <v>49.51955838674553</v>
      </c>
      <c r="BL281" s="76">
        <f>MAX(0,(BK281-Constantes!$D$13)*(1-EXP(-Constantes!$D$23)))</f>
        <v>7.582642079131E-3</v>
      </c>
      <c r="BM281" s="76">
        <f t="shared" si="64"/>
        <v>0.20840506388768057</v>
      </c>
      <c r="BN281" s="76">
        <f t="shared" si="69"/>
        <v>0.20840506388768057</v>
      </c>
      <c r="BO281" s="76">
        <f>0.0526*BI281*Observaciones!$F280^1.218</f>
        <v>0</v>
      </c>
      <c r="BP281" s="76">
        <f>BO281*Constantes!$E$51</f>
        <v>0</v>
      </c>
      <c r="BQ281" s="76">
        <f t="shared" si="65"/>
        <v>0</v>
      </c>
      <c r="BR281" s="40"/>
    </row>
    <row r="282" spans="1:70">
      <c r="A282" s="147"/>
      <c r="B282" s="39"/>
      <c r="C282" s="75">
        <v>276</v>
      </c>
      <c r="D282" s="146">
        <f>ETo!$I281*((1-Constantes!$E$19)*ETo!$K281+ETo!$L281)</f>
        <v>4.1439420133923859</v>
      </c>
      <c r="E282" s="76">
        <f>MIN(D282*Constantes!$E$17,0.8*(N281+Observaciones!$F281-F282-M282-Constantes!$D$14))</f>
        <v>-1.6574315761982917E-2</v>
      </c>
      <c r="F282" s="76">
        <f>IF(Observaciones!$F281&gt;0.05*Constantes!$E$18,((Observaciones!$F281-0.05*Constantes!$E$18)^2)/(Observaciones!$F281+0.95*Constantes!$E$18),0)</f>
        <v>0</v>
      </c>
      <c r="G282" s="76">
        <f>IF(Escenarios!$E$11&gt;0,(F282*Escenarios!$E$16*10000)/1000,0)</f>
        <v>0</v>
      </c>
      <c r="H282" s="76">
        <f>IF(Escenarios!$E$11&gt;0,(Observaciones!$F281*Constantes!$E$29)/1000,0)</f>
        <v>0</v>
      </c>
      <c r="I282" s="76">
        <f>IF(Escenarios!$E$11&gt;0,(D282*Constantes!$E$29)/1000,0)</f>
        <v>41.439420133923861</v>
      </c>
      <c r="J282" s="76">
        <f>IF(Escenarios!$E$11&gt;0,MAX(0,G282+H282-I282),0)</f>
        <v>0</v>
      </c>
      <c r="K282" s="76">
        <f>IF(Escenarios!$E$11&gt;0,IF(J282&gt;Constantes!$E$30,1000*((J282-Constantes!$E$30)/(Escenarios!$E$16*10000)),0),F282)</f>
        <v>0</v>
      </c>
      <c r="L282" s="76">
        <f>IF(Escenarios!$E$11&gt;0,I282*1000/Escenarios!$E$16/10000+E282,E282)</f>
        <v>1.4522915866288511E-6</v>
      </c>
      <c r="M282" s="76">
        <f>MAX(0,N281+Observaciones!$F281-K282-Constantes!$D$13)</f>
        <v>0</v>
      </c>
      <c r="N282" s="76">
        <f>N281+Observaciones!$F281-K282-L282-M282-O281</f>
        <v>11.229280653005935</v>
      </c>
      <c r="O282" s="76">
        <f>MAX(0,(N282-Constantes!$D$14)*(1-EXP(-Constantes!$D$22)))</f>
        <v>0</v>
      </c>
      <c r="P282" s="170">
        <f>P281+(Entradas!$E$83*M282-Q281)/(800*Entradas!$D$25)</f>
        <v>0</v>
      </c>
      <c r="Q282" s="170">
        <f>8000*Entradas!$D$26*P282/Constantes!$E$45</f>
        <v>0</v>
      </c>
      <c r="R282" s="170">
        <f>IF(Escenarios!$E$14&gt;0,K282*Escenarios!$E$13/Escenarios!$E$14,0)</f>
        <v>0</v>
      </c>
      <c r="S282" s="170">
        <f>IF(Escenarios!$E$14&gt;0,Q282*Escenarios!$E$13/Escenarios!$E$14,0)</f>
        <v>0</v>
      </c>
      <c r="T282" s="170">
        <f>IF(Escenarios!$E$14&gt;0,Observaciones!$I281,0)</f>
        <v>0</v>
      </c>
      <c r="U282" s="170">
        <f>IF(Escenarios!$E$14&gt;0,MAX(0,Constantes!$E$36/((Z281+R282+S282+T282+Observaciones!$F281)^2)+Entradas!$E$77),0)</f>
        <v>0</v>
      </c>
      <c r="V282" s="146">
        <f>IF(ETo!D281&gt;0,ETo!I281*((1-Entradas!$E$81)*ETo!K281+ETo!L281),0)</f>
        <v>3.781615417172135</v>
      </c>
      <c r="W282" s="170">
        <f>IF(Escenarios!$E$14&gt;0,MIN(V282*1,0.8*(Z281+R282+S282+T282+Observaciones!$F281-U282-Constantes!$E$35)),0)</f>
        <v>1.355948297714349E-5</v>
      </c>
      <c r="X282" s="170">
        <f>IF(Escenarios!$E$14&gt;0,Observaciones!$J281,0)</f>
        <v>0</v>
      </c>
      <c r="Y282" s="170">
        <f>IF(Escenarios!$E$14&gt;0,MAX(0,Z281+R282+S282+T282+Observaciones!$F281-U282-W282-X282-Constantes!$E$33),0)</f>
        <v>0</v>
      </c>
      <c r="Z282" s="170">
        <f>Z281+R282+S282+T282+Observaciones!$F281-U282-W282-Y282</f>
        <v>41.250003389870741</v>
      </c>
      <c r="AA282" s="170">
        <f>IF(Escenarios!$E$14&gt;0,(Escenarios!$E$13*L282+Escenarios!$E$14*W282)/(Escenarios!$E$16),L282)</f>
        <v>2.9051545534906078E-6</v>
      </c>
      <c r="AB282" s="170">
        <f>IF(Escenarios!$E$14&gt;0,(Escenarios!$E$14*Y282)/(Escenarios!$E$16),K282)</f>
        <v>0</v>
      </c>
      <c r="AC282" s="170">
        <f>IF(Escenarios!$E$14&gt;0,(Escenarios!$E$13*M282+Escenarios!$E$14*U282)/(Escenarios!$E$16),M282)</f>
        <v>0</v>
      </c>
      <c r="AD282" s="76">
        <f t="shared" si="57"/>
        <v>68.930540345485497</v>
      </c>
      <c r="AE282" s="76">
        <f>MAX(0,(AD282-Constantes!$D$13)*(1-EXP(-Constantes!$D$23)))</f>
        <v>0.19884367065429562</v>
      </c>
      <c r="AF282" s="76">
        <f>AB282+O282*Escenarios!$E$13/Escenarios!$E$16+AE282</f>
        <v>0.19884367065429562</v>
      </c>
      <c r="AG282" s="76">
        <f>IF(Entradas!$E$91&gt;0,IF(AF282-Escenarios!$E$38&lt;=0,0,IF(AF282-Escenarios!$E$38&gt;Escenarios!$E$37,Escenarios!$E$37,AF282-Escenarios!$E$38)),0)</f>
        <v>0</v>
      </c>
      <c r="AH282" s="76">
        <f>AG282*Entradas!$E$99</f>
        <v>0</v>
      </c>
      <c r="AI282" s="76">
        <f>IF(Entradas!$E$91&gt;0,D282*Entradas!$D$23/Escenarios!$E$16,0)</f>
        <v>0</v>
      </c>
      <c r="AJ282" s="76">
        <f>IF(Entradas!$E$91&gt;0,Entradas!$D$24*Entradas!$D$22/Escenarios!$E$16,0)</f>
        <v>0</v>
      </c>
      <c r="AK282" s="76">
        <f t="shared" si="66"/>
        <v>2.9051545534906078E-6</v>
      </c>
      <c r="AL282" s="76">
        <f t="shared" si="67"/>
        <v>0</v>
      </c>
      <c r="AM282" s="76">
        <f t="shared" si="58"/>
        <v>0</v>
      </c>
      <c r="AN282" s="76">
        <f>MAX(0,O282*Escenarios!$E$13/Escenarios!$E$16-AM282)</f>
        <v>0</v>
      </c>
      <c r="AO282" s="76">
        <f>AM282+AN282-O282*Escenarios!$E$13/Escenarios!$E$16</f>
        <v>0</v>
      </c>
      <c r="AP282" s="76">
        <f t="shared" si="56"/>
        <v>0.19884367065429562</v>
      </c>
      <c r="AQ282" s="76">
        <f t="shared" si="59"/>
        <v>0</v>
      </c>
      <c r="AR282" s="76">
        <f t="shared" si="60"/>
        <v>0.19884367065429562</v>
      </c>
      <c r="AS282" s="76">
        <f t="shared" si="61"/>
        <v>0</v>
      </c>
      <c r="AT282" s="76">
        <f t="shared" si="62"/>
        <v>0</v>
      </c>
      <c r="AU282" s="76">
        <f t="shared" si="63"/>
        <v>48.75</v>
      </c>
      <c r="AV282" s="76">
        <f>MAX(0,(AU282-Constantes!$D$13)*(1-EXP(-Constantes!$D$24)))</f>
        <v>0</v>
      </c>
      <c r="AW282" s="170">
        <f>AW281+(Entradas!$E$112*AT282-AX281)/(800*Entradas!$D$25)</f>
        <v>0</v>
      </c>
      <c r="AX282" s="170">
        <f>8000*Entradas!$D$26*AW282/Constantes!$E$45</f>
        <v>0</v>
      </c>
      <c r="AY282" s="170">
        <f>IF(Escenarios!$E$17&gt;0,10*Escenarios!$E$16*AL282,0)</f>
        <v>0</v>
      </c>
      <c r="AZ282" s="170">
        <f>IF(Escenarios!$E$17&gt;0,10*Escenarios!$E$16*AX282,0)</f>
        <v>0</v>
      </c>
      <c r="BA282" s="170">
        <f>IF(Escenarios!$E$17&gt;0,0.001*Observaciones!$F281*Escenarios!$E$17,0)</f>
        <v>0</v>
      </c>
      <c r="BB282" s="170">
        <f>IF(Escenarios!$E$17&gt;0,Observaciones!$K281,0)</f>
        <v>0</v>
      </c>
      <c r="BC282" s="170">
        <f>IF(Escenarios!$E$17&gt;0,MIN(0.0005*ETo!$M281*Escenarios!$E$17*(BG281/Constantes!$E$40)^(2/3),BG281+AY282+AZ282+BA282+BB282),0)</f>
        <v>2.2286352454657958</v>
      </c>
      <c r="BD282" s="170">
        <f>IF(Escenarios!$E$17&gt;0,MIN(Constantes!$E$39*(BG281/Constantes!$E$40)^(2/3),BG281+AY282+AZ282+BA282+BB282-BC282),0)</f>
        <v>3.7820966732846175</v>
      </c>
      <c r="BE282" s="170">
        <f>IF(Escenarios!$E$17&gt;0,MIN(Entradas!$E$113,BG281+AY282+AZ282+BA282+BB282-BC282-BD282),0)</f>
        <v>1</v>
      </c>
      <c r="BF282" s="170">
        <f>IF(Escenarios!$E$17&gt;0,MAX(0,BG281+AY282+AZ282+BA282+BB282-BC282-BD282-BE282-Constantes!$E$40),0)</f>
        <v>0</v>
      </c>
      <c r="BG282" s="170">
        <f t="shared" si="68"/>
        <v>61.518000510799347</v>
      </c>
      <c r="BH282" s="170">
        <f>(Escenarios!$E$16*AK282+0.1*BC282)/(Escenarios!$E$19)</f>
        <v>8.872611634323502E-4</v>
      </c>
      <c r="BI282" s="170">
        <f>IF(Escenarios!$E$17&gt;0,BF282/10/Escenarios!$E$19,AL282)</f>
        <v>0</v>
      </c>
      <c r="BJ282" s="170">
        <f>(Escenarios!$E$16*AT282+0.1*BD282)/(Escenarios!$E$19)</f>
        <v>1.5008320132081816E-3</v>
      </c>
      <c r="BK282" s="76">
        <f>BK281+(0.1*BD282)/(Escenarios!$E$19)-BL281</f>
        <v>49.513476576679608</v>
      </c>
      <c r="BL282" s="76">
        <f>MAX(0,(BK282-Constantes!$D$13)*(1-EXP(-Constantes!$D$23)))</f>
        <v>7.5227165559771719E-3</v>
      </c>
      <c r="BM282" s="76">
        <f t="shared" si="64"/>
        <v>0.20636638721027278</v>
      </c>
      <c r="BN282" s="76">
        <f t="shared" si="69"/>
        <v>0.20636638721027278</v>
      </c>
      <c r="BO282" s="76">
        <f>0.0526*BI282*Observaciones!$F281^1.218</f>
        <v>0</v>
      </c>
      <c r="BP282" s="76">
        <f>BO282*Constantes!$E$51</f>
        <v>0</v>
      </c>
      <c r="BQ282" s="76">
        <f t="shared" si="65"/>
        <v>0</v>
      </c>
      <c r="BR282" s="40"/>
    </row>
    <row r="283" spans="1:70">
      <c r="A283" s="147"/>
      <c r="B283" s="39"/>
      <c r="C283" s="75">
        <v>277</v>
      </c>
      <c r="D283" s="146">
        <f>ETo!$I282*((1-Constantes!$E$19)*ETo!$K282+ETo!$L282)</f>
        <v>3.7319118112909688</v>
      </c>
      <c r="E283" s="76">
        <f>MIN(D283*Constantes!$E$17,0.8*(N282+Observaciones!$F282-F283-M283-Constantes!$D$14))</f>
        <v>-1.6575477595252155E-2</v>
      </c>
      <c r="F283" s="76">
        <f>IF(Observaciones!$F282&gt;0.05*Constantes!$E$18,((Observaciones!$F282-0.05*Constantes!$E$18)^2)/(Observaciones!$F282+0.95*Constantes!$E$18),0)</f>
        <v>0</v>
      </c>
      <c r="G283" s="76">
        <f>IF(Escenarios!$E$11&gt;0,(F283*Escenarios!$E$16*10000)/1000,0)</f>
        <v>0</v>
      </c>
      <c r="H283" s="76">
        <f>IF(Escenarios!$E$11&gt;0,(Observaciones!$F282*Constantes!$E$29)/1000,0)</f>
        <v>0</v>
      </c>
      <c r="I283" s="76">
        <f>IF(Escenarios!$E$11&gt;0,(D283*Constantes!$E$29)/1000,0)</f>
        <v>37.319118112909685</v>
      </c>
      <c r="J283" s="76">
        <f>IF(Escenarios!$E$11&gt;0,MAX(0,G283+H283-I283),0)</f>
        <v>0</v>
      </c>
      <c r="K283" s="76">
        <f>IF(Escenarios!$E$11&gt;0,IF(J283&gt;Constantes!$E$30,1000*((J283-Constantes!$E$30)/(Escenarios!$E$16*10000)),0),F283)</f>
        <v>0</v>
      </c>
      <c r="L283" s="76">
        <f>IF(Escenarios!$E$11&gt;0,I283*1000/Escenarios!$E$16/10000+E283,E283)</f>
        <v>-1.6478303500882807E-3</v>
      </c>
      <c r="M283" s="76">
        <f>MAX(0,N282+Observaciones!$F282-K283-Constantes!$D$13)</f>
        <v>0</v>
      </c>
      <c r="N283" s="76">
        <f>N282+Observaciones!$F282-K283-L283-M283-O282</f>
        <v>11.230928483356022</v>
      </c>
      <c r="O283" s="76">
        <f>MAX(0,(N283-Constantes!$D$14)*(1-EXP(-Constantes!$D$22)))</f>
        <v>0</v>
      </c>
      <c r="P283" s="170">
        <f>P282+(Entradas!$E$83*M283-Q282)/(800*Entradas!$D$25)</f>
        <v>0</v>
      </c>
      <c r="Q283" s="170">
        <f>8000*Entradas!$D$26*P283/Constantes!$E$45</f>
        <v>0</v>
      </c>
      <c r="R283" s="170">
        <f>IF(Escenarios!$E$14&gt;0,K283*Escenarios!$E$13/Escenarios!$E$14,0)</f>
        <v>0</v>
      </c>
      <c r="S283" s="170">
        <f>IF(Escenarios!$E$14&gt;0,Q283*Escenarios!$E$13/Escenarios!$E$14,0)</f>
        <v>0</v>
      </c>
      <c r="T283" s="170">
        <f>IF(Escenarios!$E$14&gt;0,Observaciones!$I282,0)</f>
        <v>0</v>
      </c>
      <c r="U283" s="170">
        <f>IF(Escenarios!$E$14&gt;0,MAX(0,Constantes!$E$36/((Z282+R283+S283+T283+Observaciones!$F282)^2)+Entradas!$E$77),0)</f>
        <v>0</v>
      </c>
      <c r="V283" s="146">
        <f>IF(ETo!D282&gt;0,ETo!I282*((1-Entradas!$E$81)*ETo!K282+ETo!L282),0)</f>
        <v>3.4027710278628169</v>
      </c>
      <c r="W283" s="170">
        <f>IF(Escenarios!$E$14&gt;0,MIN(V283*1,0.8*(Z282+R283+S283+T283+Observaciones!$F282-U283-Constantes!$E$35)),0)</f>
        <v>2.7118965931549613E-6</v>
      </c>
      <c r="X283" s="170">
        <f>IF(Escenarios!$E$14&gt;0,Observaciones!$J282,0)</f>
        <v>0</v>
      </c>
      <c r="Y283" s="170">
        <f>IF(Escenarios!$E$14&gt;0,MAX(0,Z282+R283+S283+T283+Observaciones!$F282-U283-W283-X283-Constantes!$E$33),0)</f>
        <v>0</v>
      </c>
      <c r="Z283" s="170">
        <f>Z282+R283+S283+T283+Observaciones!$F282-U283-W283-Y283</f>
        <v>41.25000067797415</v>
      </c>
      <c r="AA283" s="170">
        <f>IF(Escenarios!$E$14&gt;0,(Escenarios!$E$13*L283+Escenarios!$E$14*W283)/(Escenarios!$E$16),L283)</f>
        <v>-1.4497652804865084E-3</v>
      </c>
      <c r="AB283" s="170">
        <f>IF(Escenarios!$E$14&gt;0,(Escenarios!$E$14*Y283)/(Escenarios!$E$16),K283)</f>
        <v>0</v>
      </c>
      <c r="AC283" s="170">
        <f>IF(Escenarios!$E$14&gt;0,(Escenarios!$E$13*M283+Escenarios!$E$14*U283)/(Escenarios!$E$16),M283)</f>
        <v>0</v>
      </c>
      <c r="AD283" s="76">
        <f t="shared" si="57"/>
        <v>68.731696674831198</v>
      </c>
      <c r="AE283" s="76">
        <f>MAX(0,(AD283-Constantes!$D$13)*(1-EXP(-Constantes!$D$23)))</f>
        <v>0.19688441660646633</v>
      </c>
      <c r="AF283" s="76">
        <f>AB283+O283*Escenarios!$E$13/Escenarios!$E$16+AE283</f>
        <v>0.19688441660646633</v>
      </c>
      <c r="AG283" s="76">
        <f>IF(Entradas!$E$91&gt;0,IF(AF283-Escenarios!$E$38&lt;=0,0,IF(AF283-Escenarios!$E$38&gt;Escenarios!$E$37,Escenarios!$E$37,AF283-Escenarios!$E$38)),0)</f>
        <v>0</v>
      </c>
      <c r="AH283" s="76">
        <f>AG283*Entradas!$E$99</f>
        <v>0</v>
      </c>
      <c r="AI283" s="76">
        <f>IF(Entradas!$E$91&gt;0,D283*Entradas!$D$23/Escenarios!$E$16,0)</f>
        <v>0</v>
      </c>
      <c r="AJ283" s="76">
        <f>IF(Entradas!$E$91&gt;0,Entradas!$D$24*Entradas!$D$22/Escenarios!$E$16,0)</f>
        <v>0</v>
      </c>
      <c r="AK283" s="76">
        <f t="shared" si="66"/>
        <v>-1.4497652804865084E-3</v>
      </c>
      <c r="AL283" s="76">
        <f t="shared" si="67"/>
        <v>0</v>
      </c>
      <c r="AM283" s="76">
        <f t="shared" si="58"/>
        <v>0</v>
      </c>
      <c r="AN283" s="76">
        <f>MAX(0,O283*Escenarios!$E$13/Escenarios!$E$16-AM283)</f>
        <v>0</v>
      </c>
      <c r="AO283" s="76">
        <f>AM283+AN283-O283*Escenarios!$E$13/Escenarios!$E$16</f>
        <v>0</v>
      </c>
      <c r="AP283" s="76">
        <f t="shared" si="56"/>
        <v>0.19688441660646633</v>
      </c>
      <c r="AQ283" s="76">
        <f t="shared" si="59"/>
        <v>0</v>
      </c>
      <c r="AR283" s="76">
        <f t="shared" si="60"/>
        <v>0.19688441660646633</v>
      </c>
      <c r="AS283" s="76">
        <f t="shared" si="61"/>
        <v>0</v>
      </c>
      <c r="AT283" s="76">
        <f t="shared" si="62"/>
        <v>0</v>
      </c>
      <c r="AU283" s="76">
        <f t="shared" si="63"/>
        <v>48.75</v>
      </c>
      <c r="AV283" s="76">
        <f>MAX(0,(AU283-Constantes!$D$13)*(1-EXP(-Constantes!$D$24)))</f>
        <v>0</v>
      </c>
      <c r="AW283" s="170">
        <f>AW282+(Entradas!$E$112*AT283-AX282)/(800*Entradas!$D$25)</f>
        <v>0</v>
      </c>
      <c r="AX283" s="170">
        <f>8000*Entradas!$D$26*AW283/Constantes!$E$45</f>
        <v>0</v>
      </c>
      <c r="AY283" s="170">
        <f>IF(Escenarios!$E$17&gt;0,10*Escenarios!$E$16*AL283,0)</f>
        <v>0</v>
      </c>
      <c r="AZ283" s="170">
        <f>IF(Escenarios!$E$17&gt;0,10*Escenarios!$E$16*AX283,0)</f>
        <v>0</v>
      </c>
      <c r="BA283" s="170">
        <f>IF(Escenarios!$E$17&gt;0,0.001*Observaciones!$F282*Escenarios!$E$17,0)</f>
        <v>0</v>
      </c>
      <c r="BB283" s="170">
        <f>IF(Escenarios!$E$17&gt;0,Observaciones!$K282,0)</f>
        <v>0</v>
      </c>
      <c r="BC283" s="170">
        <f>IF(Escenarios!$E$17&gt;0,MIN(0.0005*ETo!$M282*Escenarios!$E$17*(BG282/Constantes!$E$40)^(2/3),BG282+AY283+AZ283+BA283+BB283),0)</f>
        <v>1.869677252957137</v>
      </c>
      <c r="BD283" s="170">
        <f>IF(Escenarios!$E$17&gt;0,MIN(Constantes!$E$39*(BG282/Constantes!$E$40)^(2/3),BG282+AY283+AZ283+BA283+BB283-BC283),0)</f>
        <v>3.5195378002500521</v>
      </c>
      <c r="BE283" s="170">
        <f>IF(Escenarios!$E$17&gt;0,MIN(Entradas!$E$113,BG282+AY283+AZ283+BA283+BB283-BC283-BD283),0)</f>
        <v>1</v>
      </c>
      <c r="BF283" s="170">
        <f>IF(Escenarios!$E$17&gt;0,MAX(0,BG282+AY283+AZ283+BA283+BB283-BC283-BD283-BE283-Constantes!$E$40),0)</f>
        <v>0</v>
      </c>
      <c r="BG283" s="170">
        <f t="shared" si="68"/>
        <v>55.128785457592159</v>
      </c>
      <c r="BH283" s="170">
        <f>(Escenarios!$E$16*AK283+0.1*BC283)/(Escenarios!$E$19)</f>
        <v>-6.9632378899171983E-4</v>
      </c>
      <c r="BI283" s="170">
        <f>IF(Escenarios!$E$17&gt;0,BF283/10/Escenarios!$E$19,AL283)</f>
        <v>0</v>
      </c>
      <c r="BJ283" s="170">
        <f>(Escenarios!$E$16*AT283+0.1*BD283)/(Escenarios!$E$19)</f>
        <v>1.3966419842262111E-3</v>
      </c>
      <c r="BK283" s="76">
        <f>BK282+(0.1*BD283)/(Escenarios!$E$19)-BL282</f>
        <v>49.507350502107862</v>
      </c>
      <c r="BL283" s="76">
        <f>MAX(0,(BK283-Constantes!$D$13)*(1-EXP(-Constantes!$D$23)))</f>
        <v>7.4623548841044728E-3</v>
      </c>
      <c r="BM283" s="76">
        <f t="shared" si="64"/>
        <v>0.20434677149057079</v>
      </c>
      <c r="BN283" s="76">
        <f t="shared" si="69"/>
        <v>0.20434677149057079</v>
      </c>
      <c r="BO283" s="76">
        <f>0.0526*BI283*Observaciones!$F282^1.218</f>
        <v>0</v>
      </c>
      <c r="BP283" s="76">
        <f>BO283*Constantes!$E$51</f>
        <v>0</v>
      </c>
      <c r="BQ283" s="76">
        <f t="shared" si="65"/>
        <v>0</v>
      </c>
      <c r="BR283" s="40"/>
    </row>
    <row r="284" spans="1:70">
      <c r="A284" s="147"/>
      <c r="B284" s="39"/>
      <c r="C284" s="75">
        <v>278</v>
      </c>
      <c r="D284" s="146">
        <f>ETo!$I283*((1-Constantes!$E$19)*ETo!$K283+ETo!$L283)</f>
        <v>4.2049106822583813</v>
      </c>
      <c r="E284" s="76">
        <f>MIN(D284*Constantes!$E$17,0.8*(N283+Observaciones!$F283-F284-M284-Constantes!$D$14))</f>
        <v>-1.5257213315182129E-2</v>
      </c>
      <c r="F284" s="76">
        <f>IF(Observaciones!$F283&gt;0.05*Constantes!$E$18,((Observaciones!$F283-0.05*Constantes!$E$18)^2)/(Observaciones!$F283+0.95*Constantes!$E$18),0)</f>
        <v>0</v>
      </c>
      <c r="G284" s="76">
        <f>IF(Escenarios!$E$11&gt;0,(F284*Escenarios!$E$16*10000)/1000,0)</f>
        <v>0</v>
      </c>
      <c r="H284" s="76">
        <f>IF(Escenarios!$E$11&gt;0,(Observaciones!$F283*Constantes!$E$29)/1000,0)</f>
        <v>0</v>
      </c>
      <c r="I284" s="76">
        <f>IF(Escenarios!$E$11&gt;0,(D284*Constantes!$E$29)/1000,0)</f>
        <v>42.049106822583809</v>
      </c>
      <c r="J284" s="76">
        <f>IF(Escenarios!$E$11&gt;0,MAX(0,G284+H284-I284),0)</f>
        <v>0</v>
      </c>
      <c r="K284" s="76">
        <f>IF(Escenarios!$E$11&gt;0,IF(J284&gt;Constantes!$E$30,1000*((J284-Constantes!$E$30)/(Escenarios!$E$16*10000)),0),F284)</f>
        <v>0</v>
      </c>
      <c r="L284" s="76">
        <f>IF(Escenarios!$E$11&gt;0,I284*1000/Escenarios!$E$16/10000+E284,E284)</f>
        <v>1.5624294138513947E-3</v>
      </c>
      <c r="M284" s="76">
        <f>MAX(0,N283+Observaciones!$F283-K284-Constantes!$D$13)</f>
        <v>0</v>
      </c>
      <c r="N284" s="76">
        <f>N283+Observaciones!$F283-K284-L284-M284-O283</f>
        <v>11.22936605394217</v>
      </c>
      <c r="O284" s="76">
        <f>MAX(0,(N284-Constantes!$D$14)*(1-EXP(-Constantes!$D$22)))</f>
        <v>0</v>
      </c>
      <c r="P284" s="170">
        <f>P283+(Entradas!$E$83*M284-Q283)/(800*Entradas!$D$25)</f>
        <v>0</v>
      </c>
      <c r="Q284" s="170">
        <f>8000*Entradas!$D$26*P284/Constantes!$E$45</f>
        <v>0</v>
      </c>
      <c r="R284" s="170">
        <f>IF(Escenarios!$E$14&gt;0,K284*Escenarios!$E$13/Escenarios!$E$14,0)</f>
        <v>0</v>
      </c>
      <c r="S284" s="170">
        <f>IF(Escenarios!$E$14&gt;0,Q284*Escenarios!$E$13/Escenarios!$E$14,0)</f>
        <v>0</v>
      </c>
      <c r="T284" s="170">
        <f>IF(Escenarios!$E$14&gt;0,Observaciones!$I283,0)</f>
        <v>0</v>
      </c>
      <c r="U284" s="170">
        <f>IF(Escenarios!$E$14&gt;0,MAX(0,Constantes!$E$36/((Z283+R284+S284+T284+Observaciones!$F283)^2)+Entradas!$E$77),0)</f>
        <v>0</v>
      </c>
      <c r="V284" s="146">
        <f>IF(ETo!D283&gt;0,ETo!I283*((1-Entradas!$E$81)*ETo!K283+ETo!L283),0)</f>
        <v>3.8382725895323362</v>
      </c>
      <c r="W284" s="170">
        <f>IF(Escenarios!$E$14&gt;0,MIN(V284*1,0.8*(Z283+R284+S284+T284+Observaciones!$F283-U284-Constantes!$E$35)),0)</f>
        <v>5.423793197678606E-7</v>
      </c>
      <c r="X284" s="170">
        <f>IF(Escenarios!$E$14&gt;0,Observaciones!$J283,0)</f>
        <v>0</v>
      </c>
      <c r="Y284" s="170">
        <f>IF(Escenarios!$E$14&gt;0,MAX(0,Z283+R284+S284+T284+Observaciones!$F283-U284-W284-X284-Constantes!$E$33),0)</f>
        <v>0</v>
      </c>
      <c r="Z284" s="170">
        <f>Z283+R284+S284+T284+Observaciones!$F283-U284-W284-Y284</f>
        <v>41.250000135594831</v>
      </c>
      <c r="AA284" s="170">
        <f>IF(Escenarios!$E$14&gt;0,(Escenarios!$E$13*L284+Escenarios!$E$14*W284)/(Escenarios!$E$16),L284)</f>
        <v>1.3750029697075993E-3</v>
      </c>
      <c r="AB284" s="170">
        <f>IF(Escenarios!$E$14&gt;0,(Escenarios!$E$14*Y284)/(Escenarios!$E$16),K284)</f>
        <v>0</v>
      </c>
      <c r="AC284" s="170">
        <f>IF(Escenarios!$E$14&gt;0,(Escenarios!$E$13*M284+Escenarios!$E$14*U284)/(Escenarios!$E$16),M284)</f>
        <v>0</v>
      </c>
      <c r="AD284" s="76">
        <f t="shared" si="57"/>
        <v>68.534812258224733</v>
      </c>
      <c r="AE284" s="76">
        <f>MAX(0,(AD284-Constantes!$D$13)*(1-EXP(-Constantes!$D$23)))</f>
        <v>0.1949444675554283</v>
      </c>
      <c r="AF284" s="76">
        <f>AB284+O284*Escenarios!$E$13/Escenarios!$E$16+AE284</f>
        <v>0.1949444675554283</v>
      </c>
      <c r="AG284" s="76">
        <f>IF(Entradas!$E$91&gt;0,IF(AF284-Escenarios!$E$38&lt;=0,0,IF(AF284-Escenarios!$E$38&gt;Escenarios!$E$37,Escenarios!$E$37,AF284-Escenarios!$E$38)),0)</f>
        <v>0</v>
      </c>
      <c r="AH284" s="76">
        <f>AG284*Entradas!$E$99</f>
        <v>0</v>
      </c>
      <c r="AI284" s="76">
        <f>IF(Entradas!$E$91&gt;0,D284*Entradas!$D$23/Escenarios!$E$16,0)</f>
        <v>0</v>
      </c>
      <c r="AJ284" s="76">
        <f>IF(Entradas!$E$91&gt;0,Entradas!$D$24*Entradas!$D$22/Escenarios!$E$16,0)</f>
        <v>0</v>
      </c>
      <c r="AK284" s="76">
        <f t="shared" si="66"/>
        <v>1.3750029697075993E-3</v>
      </c>
      <c r="AL284" s="76">
        <f t="shared" si="67"/>
        <v>0</v>
      </c>
      <c r="AM284" s="76">
        <f t="shared" si="58"/>
        <v>0</v>
      </c>
      <c r="AN284" s="76">
        <f>MAX(0,O284*Escenarios!$E$13/Escenarios!$E$16-AM284)</f>
        <v>0</v>
      </c>
      <c r="AO284" s="76">
        <f>AM284+AN284-O284*Escenarios!$E$13/Escenarios!$E$16</f>
        <v>0</v>
      </c>
      <c r="AP284" s="76">
        <f t="shared" si="56"/>
        <v>0.1949444675554283</v>
      </c>
      <c r="AQ284" s="76">
        <f t="shared" si="59"/>
        <v>0</v>
      </c>
      <c r="AR284" s="76">
        <f t="shared" si="60"/>
        <v>0.1949444675554283</v>
      </c>
      <c r="AS284" s="76">
        <f t="shared" si="61"/>
        <v>0</v>
      </c>
      <c r="AT284" s="76">
        <f t="shared" si="62"/>
        <v>0</v>
      </c>
      <c r="AU284" s="76">
        <f t="shared" si="63"/>
        <v>48.75</v>
      </c>
      <c r="AV284" s="76">
        <f>MAX(0,(AU284-Constantes!$D$13)*(1-EXP(-Constantes!$D$24)))</f>
        <v>0</v>
      </c>
      <c r="AW284" s="170">
        <f>AW283+(Entradas!$E$112*AT284-AX283)/(800*Entradas!$D$25)</f>
        <v>0</v>
      </c>
      <c r="AX284" s="170">
        <f>8000*Entradas!$D$26*AW284/Constantes!$E$45</f>
        <v>0</v>
      </c>
      <c r="AY284" s="170">
        <f>IF(Escenarios!$E$17&gt;0,10*Escenarios!$E$16*AL284,0)</f>
        <v>0</v>
      </c>
      <c r="AZ284" s="170">
        <f>IF(Escenarios!$E$17&gt;0,10*Escenarios!$E$16*AX284,0)</f>
        <v>0</v>
      </c>
      <c r="BA284" s="170">
        <f>IF(Escenarios!$E$17&gt;0,0.001*Observaciones!$F283*Escenarios!$E$17,0)</f>
        <v>0</v>
      </c>
      <c r="BB284" s="170">
        <f>IF(Escenarios!$E$17&gt;0,Observaciones!$K283,0)</f>
        <v>0</v>
      </c>
      <c r="BC284" s="170">
        <f>IF(Escenarios!$E$17&gt;0,MIN(0.0005*ETo!$M283*Escenarios!$E$17*(BG283/Constantes!$E$40)^(2/3),BG283+AY284+AZ284+BA284+BB284),0)</f>
        <v>1.9554209809239691</v>
      </c>
      <c r="BD284" s="170">
        <f>IF(Escenarios!$E$17&gt;0,MIN(Constantes!$E$39*(BG283/Constantes!$E$40)^(2/3),BG283+AY284+AZ284+BA284+BB284-BC284),0)</f>
        <v>3.2714210421948655</v>
      </c>
      <c r="BE284" s="170">
        <f>IF(Escenarios!$E$17&gt;0,MIN(Entradas!$E$113,BG283+AY284+AZ284+BA284+BB284-BC284-BD284),0)</f>
        <v>1</v>
      </c>
      <c r="BF284" s="170">
        <f>IF(Escenarios!$E$17&gt;0,MAX(0,BG283+AY284+AZ284+BA284+BB284-BC284-BD284-BE284-Constantes!$E$40),0)</f>
        <v>0</v>
      </c>
      <c r="BG284" s="170">
        <f t="shared" si="68"/>
        <v>48.901943434473324</v>
      </c>
      <c r="BH284" s="170">
        <f>(Escenarios!$E$16*AK284+0.1*BC284)/(Escenarios!$E$19)</f>
        <v>2.1400509544416534E-3</v>
      </c>
      <c r="BI284" s="170">
        <f>IF(Escenarios!$E$17&gt;0,BF284/10/Escenarios!$E$19,AL284)</f>
        <v>0</v>
      </c>
      <c r="BJ284" s="170">
        <f>(Escenarios!$E$16*AT284+0.1*BD284)/(Escenarios!$E$19)</f>
        <v>1.2981829532519309E-3</v>
      </c>
      <c r="BK284" s="76">
        <f>BK283+(0.1*BD284)/(Escenarios!$E$19)-BL283</f>
        <v>49.501186330177006</v>
      </c>
      <c r="BL284" s="76">
        <f>MAX(0,(BK284-Constantes!$D$13)*(1-EXP(-Constantes!$D$23)))</f>
        <v>7.4016178298783875E-3</v>
      </c>
      <c r="BM284" s="76">
        <f t="shared" si="64"/>
        <v>0.20234608538530668</v>
      </c>
      <c r="BN284" s="76">
        <f t="shared" si="69"/>
        <v>0.20234608538530668</v>
      </c>
      <c r="BO284" s="76">
        <f>0.0526*BI284*Observaciones!$F283^1.218</f>
        <v>0</v>
      </c>
      <c r="BP284" s="76">
        <f>BO284*Constantes!$E$51</f>
        <v>0</v>
      </c>
      <c r="BQ284" s="76">
        <f t="shared" si="65"/>
        <v>0</v>
      </c>
      <c r="BR284" s="40"/>
    </row>
    <row r="285" spans="1:70">
      <c r="A285" s="147"/>
      <c r="B285" s="39"/>
      <c r="C285" s="75">
        <v>279</v>
      </c>
      <c r="D285" s="146">
        <f>ETo!$I284*((1-Constantes!$E$19)*ETo!$K284+ETo!$L284)</f>
        <v>4.1288282948584403</v>
      </c>
      <c r="E285" s="76">
        <f>MIN(D285*Constantes!$E$17,0.8*(N284+Observaciones!$F284-F285-M285-Constantes!$D$14))</f>
        <v>-1.6507156846263627E-2</v>
      </c>
      <c r="F285" s="76">
        <f>IF(Observaciones!$F284&gt;0.05*Constantes!$E$18,((Observaciones!$F284-0.05*Constantes!$E$18)^2)/(Observaciones!$F284+0.95*Constantes!$E$18),0)</f>
        <v>0</v>
      </c>
      <c r="G285" s="76">
        <f>IF(Escenarios!$E$11&gt;0,(F285*Escenarios!$E$16*10000)/1000,0)</f>
        <v>0</v>
      </c>
      <c r="H285" s="76">
        <f>IF(Escenarios!$E$11&gt;0,(Observaciones!$F284*Constantes!$E$29)/1000,0)</f>
        <v>0</v>
      </c>
      <c r="I285" s="76">
        <f>IF(Escenarios!$E$11&gt;0,(D285*Constantes!$E$29)/1000,0)</f>
        <v>41.288282948584403</v>
      </c>
      <c r="J285" s="76">
        <f>IF(Escenarios!$E$11&gt;0,MAX(0,G285+H285-I285),0)</f>
        <v>0</v>
      </c>
      <c r="K285" s="76">
        <f>IF(Escenarios!$E$11&gt;0,IF(J285&gt;Constantes!$E$30,1000*((J285-Constantes!$E$30)/(Escenarios!$E$16*10000)),0),F285)</f>
        <v>0</v>
      </c>
      <c r="L285" s="76">
        <f>IF(Escenarios!$E$11&gt;0,I285*1000/Escenarios!$E$16/10000+E285,E285)</f>
        <v>8.1563331701325903E-6</v>
      </c>
      <c r="M285" s="76">
        <f>MAX(0,N284+Observaciones!$F284-K285-Constantes!$D$13)</f>
        <v>0</v>
      </c>
      <c r="N285" s="76">
        <f>N284+Observaciones!$F284-K285-L285-M285-O284</f>
        <v>11.229357897609001</v>
      </c>
      <c r="O285" s="76">
        <f>MAX(0,(N285-Constantes!$D$14)*(1-EXP(-Constantes!$D$22)))</f>
        <v>0</v>
      </c>
      <c r="P285" s="170">
        <f>P284+(Entradas!$E$83*M285-Q284)/(800*Entradas!$D$25)</f>
        <v>0</v>
      </c>
      <c r="Q285" s="170">
        <f>8000*Entradas!$D$26*P285/Constantes!$E$45</f>
        <v>0</v>
      </c>
      <c r="R285" s="170">
        <f>IF(Escenarios!$E$14&gt;0,K285*Escenarios!$E$13/Escenarios!$E$14,0)</f>
        <v>0</v>
      </c>
      <c r="S285" s="170">
        <f>IF(Escenarios!$E$14&gt;0,Q285*Escenarios!$E$13/Escenarios!$E$14,0)</f>
        <v>0</v>
      </c>
      <c r="T285" s="170">
        <f>IF(Escenarios!$E$14&gt;0,Observaciones!$I284,0)</f>
        <v>0</v>
      </c>
      <c r="U285" s="170">
        <f>IF(Escenarios!$E$14&gt;0,MAX(0,Constantes!$E$36/((Z284+R285+S285+T285+Observaciones!$F284)^2)+Entradas!$E$77),0)</f>
        <v>0</v>
      </c>
      <c r="V285" s="146">
        <f>IF(ETo!D284&gt;0,ETo!I284*((1-Entradas!$E$81)*ETo!K284+ETo!L284),0)</f>
        <v>3.7680390344283619</v>
      </c>
      <c r="W285" s="170">
        <f>IF(Escenarios!$E$14&gt;0,MIN(V285*1,0.8*(Z284+R285+S285+T285+Observaciones!$F284-U285-Constantes!$E$35)),0)</f>
        <v>1.084758650904405E-7</v>
      </c>
      <c r="X285" s="170">
        <f>IF(Escenarios!$E$14&gt;0,Observaciones!$J284,0)</f>
        <v>0</v>
      </c>
      <c r="Y285" s="170">
        <f>IF(Escenarios!$E$14&gt;0,MAX(0,Z284+R285+S285+T285+Observaciones!$F284-U285-W285-X285-Constantes!$E$33),0)</f>
        <v>0</v>
      </c>
      <c r="Z285" s="170">
        <f>Z284+R285+S285+T285+Observaciones!$F284-U285-W285-Y285</f>
        <v>41.250000027118965</v>
      </c>
      <c r="AA285" s="170">
        <f>IF(Escenarios!$E$14&gt;0,(Escenarios!$E$13*L285+Escenarios!$E$14*W285)/(Escenarios!$E$16),L285)</f>
        <v>7.1905902935275326E-6</v>
      </c>
      <c r="AB285" s="170">
        <f>IF(Escenarios!$E$14&gt;0,(Escenarios!$E$14*Y285)/(Escenarios!$E$16),K285)</f>
        <v>0</v>
      </c>
      <c r="AC285" s="170">
        <f>IF(Escenarios!$E$14&gt;0,(Escenarios!$E$13*M285+Escenarios!$E$14*U285)/(Escenarios!$E$16),M285)</f>
        <v>0</v>
      </c>
      <c r="AD285" s="76">
        <f t="shared" si="57"/>
        <v>68.339867790669302</v>
      </c>
      <c r="AE285" s="76">
        <f>MAX(0,(AD285-Constantes!$D$13)*(1-EXP(-Constantes!$D$23)))</f>
        <v>0.19302363328444999</v>
      </c>
      <c r="AF285" s="76">
        <f>AB285+O285*Escenarios!$E$13/Escenarios!$E$16+AE285</f>
        <v>0.19302363328444999</v>
      </c>
      <c r="AG285" s="76">
        <f>IF(Entradas!$E$91&gt;0,IF(AF285-Escenarios!$E$38&lt;=0,0,IF(AF285-Escenarios!$E$38&gt;Escenarios!$E$37,Escenarios!$E$37,AF285-Escenarios!$E$38)),0)</f>
        <v>0</v>
      </c>
      <c r="AH285" s="76">
        <f>AG285*Entradas!$E$99</f>
        <v>0</v>
      </c>
      <c r="AI285" s="76">
        <f>IF(Entradas!$E$91&gt;0,D285*Entradas!$D$23/Escenarios!$E$16,0)</f>
        <v>0</v>
      </c>
      <c r="AJ285" s="76">
        <f>IF(Entradas!$E$91&gt;0,Entradas!$D$24*Entradas!$D$22/Escenarios!$E$16,0)</f>
        <v>0</v>
      </c>
      <c r="AK285" s="76">
        <f t="shared" si="66"/>
        <v>7.1905902935275326E-6</v>
      </c>
      <c r="AL285" s="76">
        <f t="shared" si="67"/>
        <v>0</v>
      </c>
      <c r="AM285" s="76">
        <f t="shared" si="58"/>
        <v>0</v>
      </c>
      <c r="AN285" s="76">
        <f>MAX(0,O285*Escenarios!$E$13/Escenarios!$E$16-AM285)</f>
        <v>0</v>
      </c>
      <c r="AO285" s="76">
        <f>AM285+AN285-O285*Escenarios!$E$13/Escenarios!$E$16</f>
        <v>0</v>
      </c>
      <c r="AP285" s="76">
        <f t="shared" si="56"/>
        <v>0.19302363328444999</v>
      </c>
      <c r="AQ285" s="76">
        <f t="shared" si="59"/>
        <v>0</v>
      </c>
      <c r="AR285" s="76">
        <f t="shared" si="60"/>
        <v>0.19302363328444999</v>
      </c>
      <c r="AS285" s="76">
        <f t="shared" si="61"/>
        <v>0</v>
      </c>
      <c r="AT285" s="76">
        <f t="shared" si="62"/>
        <v>0</v>
      </c>
      <c r="AU285" s="76">
        <f t="shared" si="63"/>
        <v>48.75</v>
      </c>
      <c r="AV285" s="76">
        <f>MAX(0,(AU285-Constantes!$D$13)*(1-EXP(-Constantes!$D$24)))</f>
        <v>0</v>
      </c>
      <c r="AW285" s="170">
        <f>AW284+(Entradas!$E$112*AT285-AX284)/(800*Entradas!$D$25)</f>
        <v>0</v>
      </c>
      <c r="AX285" s="170">
        <f>8000*Entradas!$D$26*AW285/Constantes!$E$45</f>
        <v>0</v>
      </c>
      <c r="AY285" s="170">
        <f>IF(Escenarios!$E$17&gt;0,10*Escenarios!$E$16*AL285,0)</f>
        <v>0</v>
      </c>
      <c r="AZ285" s="170">
        <f>IF(Escenarios!$E$17&gt;0,10*Escenarios!$E$16*AX285,0)</f>
        <v>0</v>
      </c>
      <c r="BA285" s="170">
        <f>IF(Escenarios!$E$17&gt;0,0.001*Observaciones!$F284*Escenarios!$E$17,0)</f>
        <v>0</v>
      </c>
      <c r="BB285" s="170">
        <f>IF(Escenarios!$E$17&gt;0,Observaciones!$K284,0)</f>
        <v>0</v>
      </c>
      <c r="BC285" s="170">
        <f>IF(Escenarios!$E$17&gt;0,MIN(0.0005*ETo!$M284*Escenarios!$E$17*(BG284/Constantes!$E$40)^(2/3),BG284+AY285+AZ285+BA285+BB285),0)</f>
        <v>1.7730583122578942</v>
      </c>
      <c r="BD285" s="170">
        <f>IF(Escenarios!$E$17&gt;0,MIN(Constantes!$E$39*(BG284/Constantes!$E$40)^(2/3),BG284+AY285+AZ285+BA285+BB285-BC285),0)</f>
        <v>3.0201944535705483</v>
      </c>
      <c r="BE285" s="170">
        <f>IF(Escenarios!$E$17&gt;0,MIN(Entradas!$E$113,BG284+AY285+AZ285+BA285+BB285-BC285-BD285),0)</f>
        <v>1</v>
      </c>
      <c r="BF285" s="170">
        <f>IF(Escenarios!$E$17&gt;0,MAX(0,BG284+AY285+AZ285+BA285+BB285-BC285-BD285-BE285-Constantes!$E$40),0)</f>
        <v>0</v>
      </c>
      <c r="BG285" s="170">
        <f t="shared" si="68"/>
        <v>43.108690668644883</v>
      </c>
      <c r="BH285" s="170">
        <f>(Escenarios!$E$16*AK285+0.1*BC285)/(Escenarios!$E$19)</f>
        <v>7.1072809047290205E-4</v>
      </c>
      <c r="BI285" s="170">
        <f>IF(Escenarios!$E$17&gt;0,BF285/10/Escenarios!$E$19,AL285)</f>
        <v>0</v>
      </c>
      <c r="BJ285" s="170">
        <f>(Escenarios!$E$16*AT285+0.1*BD285)/(Escenarios!$E$19)</f>
        <v>1.1984898625279953E-3</v>
      </c>
      <c r="BK285" s="76">
        <f>BK284+(0.1*BD285)/(Escenarios!$E$19)-BL284</f>
        <v>49.49498320220966</v>
      </c>
      <c r="BL285" s="76">
        <f>MAX(0,(BK285-Constantes!$D$13)*(1-EXP(-Constantes!$D$23)))</f>
        <v>7.3404969325461525E-3</v>
      </c>
      <c r="BM285" s="76">
        <f t="shared" si="64"/>
        <v>0.20036413021699614</v>
      </c>
      <c r="BN285" s="76">
        <f t="shared" si="69"/>
        <v>0.20036413021699614</v>
      </c>
      <c r="BO285" s="76">
        <f>0.0526*BI285*Observaciones!$F284^1.218</f>
        <v>0</v>
      </c>
      <c r="BP285" s="76">
        <f>BO285*Constantes!$E$51</f>
        <v>0</v>
      </c>
      <c r="BQ285" s="76">
        <f t="shared" si="65"/>
        <v>0</v>
      </c>
      <c r="BR285" s="40"/>
    </row>
    <row r="286" spans="1:70">
      <c r="A286" s="147"/>
      <c r="B286" s="39"/>
      <c r="C286" s="75">
        <v>280</v>
      </c>
      <c r="D286" s="146">
        <f>ETo!$I285*((1-Constantes!$E$19)*ETo!$K285+ETo!$L285)</f>
        <v>4.0695043795927761</v>
      </c>
      <c r="E286" s="76">
        <f>MIN(D286*Constantes!$E$17,0.8*(N285+Observaciones!$F285-F286-M286-Constantes!$D$14))</f>
        <v>-1.6513681912799429E-2</v>
      </c>
      <c r="F286" s="76">
        <f>IF(Observaciones!$F285&gt;0.05*Constantes!$E$18,((Observaciones!$F285-0.05*Constantes!$E$18)^2)/(Observaciones!$F285+0.95*Constantes!$E$18),0)</f>
        <v>0</v>
      </c>
      <c r="G286" s="76">
        <f>IF(Escenarios!$E$11&gt;0,(F286*Escenarios!$E$16*10000)/1000,0)</f>
        <v>0</v>
      </c>
      <c r="H286" s="76">
        <f>IF(Escenarios!$E$11&gt;0,(Observaciones!$F285*Constantes!$E$29)/1000,0)</f>
        <v>0</v>
      </c>
      <c r="I286" s="76">
        <f>IF(Escenarios!$E$11&gt;0,(D286*Constantes!$E$29)/1000,0)</f>
        <v>40.695043795927759</v>
      </c>
      <c r="J286" s="76">
        <f>IF(Escenarios!$E$11&gt;0,MAX(0,G286+H286-I286),0)</f>
        <v>0</v>
      </c>
      <c r="K286" s="76">
        <f>IF(Escenarios!$E$11&gt;0,IF(J286&gt;Constantes!$E$30,1000*((J286-Constantes!$E$30)/(Escenarios!$E$16*10000)),0),F286)</f>
        <v>0</v>
      </c>
      <c r="L286" s="76">
        <f>IF(Escenarios!$E$11&gt;0,I286*1000/Escenarios!$E$16/10000+E286,E286)</f>
        <v>-2.3566439442832335E-4</v>
      </c>
      <c r="M286" s="76">
        <f>MAX(0,N285+Observaciones!$F285-K286-Constantes!$D$13)</f>
        <v>0</v>
      </c>
      <c r="N286" s="76">
        <f>N285+Observaciones!$F285-K286-L286-M286-O285</f>
        <v>11.229593562003428</v>
      </c>
      <c r="O286" s="76">
        <f>MAX(0,(N286-Constantes!$D$14)*(1-EXP(-Constantes!$D$22)))</f>
        <v>0</v>
      </c>
      <c r="P286" s="170">
        <f>P285+(Entradas!$E$83*M286-Q285)/(800*Entradas!$D$25)</f>
        <v>0</v>
      </c>
      <c r="Q286" s="170">
        <f>8000*Entradas!$D$26*P286/Constantes!$E$45</f>
        <v>0</v>
      </c>
      <c r="R286" s="170">
        <f>IF(Escenarios!$E$14&gt;0,K286*Escenarios!$E$13/Escenarios!$E$14,0)</f>
        <v>0</v>
      </c>
      <c r="S286" s="170">
        <f>IF(Escenarios!$E$14&gt;0,Q286*Escenarios!$E$13/Escenarios!$E$14,0)</f>
        <v>0</v>
      </c>
      <c r="T286" s="170">
        <f>IF(Escenarios!$E$14&gt;0,Observaciones!$I285,0)</f>
        <v>0</v>
      </c>
      <c r="U286" s="170">
        <f>IF(Escenarios!$E$14&gt;0,MAX(0,Constantes!$E$36/((Z285+R286+S286+T286+Observaciones!$F285)^2)+Entradas!$E$77),0)</f>
        <v>0</v>
      </c>
      <c r="V286" s="146">
        <f>IF(ETo!D285&gt;0,ETo!I285*((1-Entradas!$E$81)*ETo!K285+ETo!L285),0)</f>
        <v>3.7134251723055409</v>
      </c>
      <c r="W286" s="170">
        <f>IF(Escenarios!$E$14&gt;0,MIN(V286*1,0.8*(Z285+R286+S286+T286+Observaciones!$F285-U286-Constantes!$E$35)),0)</f>
        <v>2.1695171881219721E-8</v>
      </c>
      <c r="X286" s="170">
        <f>IF(Escenarios!$E$14&gt;0,Observaciones!$J285,0)</f>
        <v>0</v>
      </c>
      <c r="Y286" s="170">
        <f>IF(Escenarios!$E$14&gt;0,MAX(0,Z285+R286+S286+T286+Observaciones!$F285-U286-W286-X286-Constantes!$E$33),0)</f>
        <v>0</v>
      </c>
      <c r="Z286" s="170">
        <f>Z285+R286+S286+T286+Observaciones!$F285-U286-W286-Y286</f>
        <v>41.250000005423793</v>
      </c>
      <c r="AA286" s="170">
        <f>IF(Escenarios!$E$14&gt;0,(Escenarios!$E$13*L286+Escenarios!$E$14*W286)/(Escenarios!$E$16),L286)</f>
        <v>-2.0738206367629881E-4</v>
      </c>
      <c r="AB286" s="170">
        <f>IF(Escenarios!$E$14&gt;0,(Escenarios!$E$14*Y286)/(Escenarios!$E$16),K286)</f>
        <v>0</v>
      </c>
      <c r="AC286" s="170">
        <f>IF(Escenarios!$E$14&gt;0,(Escenarios!$E$13*M286+Escenarios!$E$14*U286)/(Escenarios!$E$16),M286)</f>
        <v>0</v>
      </c>
      <c r="AD286" s="76">
        <f t="shared" si="57"/>
        <v>68.146844157384848</v>
      </c>
      <c r="AE286" s="76">
        <f>MAX(0,(AD286-Constantes!$D$13)*(1-EXP(-Constantes!$D$23)))</f>
        <v>0.19112172545105069</v>
      </c>
      <c r="AF286" s="76">
        <f>AB286+O286*Escenarios!$E$13/Escenarios!$E$16+AE286</f>
        <v>0.19112172545105069</v>
      </c>
      <c r="AG286" s="76">
        <f>IF(Entradas!$E$91&gt;0,IF(AF286-Escenarios!$E$38&lt;=0,0,IF(AF286-Escenarios!$E$38&gt;Escenarios!$E$37,Escenarios!$E$37,AF286-Escenarios!$E$38)),0)</f>
        <v>0</v>
      </c>
      <c r="AH286" s="76">
        <f>AG286*Entradas!$E$99</f>
        <v>0</v>
      </c>
      <c r="AI286" s="76">
        <f>IF(Entradas!$E$91&gt;0,D286*Entradas!$D$23/Escenarios!$E$16,0)</f>
        <v>0</v>
      </c>
      <c r="AJ286" s="76">
        <f>IF(Entradas!$E$91&gt;0,Entradas!$D$24*Entradas!$D$22/Escenarios!$E$16,0)</f>
        <v>0</v>
      </c>
      <c r="AK286" s="76">
        <f t="shared" si="66"/>
        <v>-2.0738206367629881E-4</v>
      </c>
      <c r="AL286" s="76">
        <f t="shared" si="67"/>
        <v>0</v>
      </c>
      <c r="AM286" s="76">
        <f t="shared" si="58"/>
        <v>0</v>
      </c>
      <c r="AN286" s="76">
        <f>MAX(0,O286*Escenarios!$E$13/Escenarios!$E$16-AM286)</f>
        <v>0</v>
      </c>
      <c r="AO286" s="76">
        <f>AM286+AN286-O286*Escenarios!$E$13/Escenarios!$E$16</f>
        <v>0</v>
      </c>
      <c r="AP286" s="76">
        <f t="shared" si="56"/>
        <v>0.19112172545105069</v>
      </c>
      <c r="AQ286" s="76">
        <f t="shared" si="59"/>
        <v>0</v>
      </c>
      <c r="AR286" s="76">
        <f t="shared" si="60"/>
        <v>0.19112172545105069</v>
      </c>
      <c r="AS286" s="76">
        <f t="shared" si="61"/>
        <v>0</v>
      </c>
      <c r="AT286" s="76">
        <f t="shared" si="62"/>
        <v>0</v>
      </c>
      <c r="AU286" s="76">
        <f t="shared" si="63"/>
        <v>48.75</v>
      </c>
      <c r="AV286" s="76">
        <f>MAX(0,(AU286-Constantes!$D$13)*(1-EXP(-Constantes!$D$24)))</f>
        <v>0</v>
      </c>
      <c r="AW286" s="170">
        <f>AW285+(Entradas!$E$112*AT286-AX285)/(800*Entradas!$D$25)</f>
        <v>0</v>
      </c>
      <c r="AX286" s="170">
        <f>8000*Entradas!$D$26*AW286/Constantes!$E$45</f>
        <v>0</v>
      </c>
      <c r="AY286" s="170">
        <f>IF(Escenarios!$E$17&gt;0,10*Escenarios!$E$16*AL286,0)</f>
        <v>0</v>
      </c>
      <c r="AZ286" s="170">
        <f>IF(Escenarios!$E$17&gt;0,10*Escenarios!$E$16*AX286,0)</f>
        <v>0</v>
      </c>
      <c r="BA286" s="170">
        <f>IF(Escenarios!$E$17&gt;0,0.001*Observaciones!$F285*Escenarios!$E$17,0)</f>
        <v>0</v>
      </c>
      <c r="BB286" s="170">
        <f>IF(Escenarios!$E$17&gt;0,Observaciones!$K285,0)</f>
        <v>0</v>
      </c>
      <c r="BC286" s="170">
        <f>IF(Escenarios!$E$17&gt;0,MIN(0.0005*ETo!$M285*Escenarios!$E$17*(BG285/Constantes!$E$40)^(2/3),BG285+AY286+AZ286+BA286+BB286),0)</f>
        <v>1.6069417687093528</v>
      </c>
      <c r="BD286" s="170">
        <f>IF(Escenarios!$E$17&gt;0,MIN(Constantes!$E$39*(BG285/Constantes!$E$40)^(2/3),BG285+AY286+AZ286+BA286+BB286-BC286),0)</f>
        <v>2.7766899043239306</v>
      </c>
      <c r="BE286" s="170">
        <f>IF(Escenarios!$E$17&gt;0,MIN(Entradas!$E$113,BG285+AY286+AZ286+BA286+BB286-BC286-BD286),0)</f>
        <v>1</v>
      </c>
      <c r="BF286" s="170">
        <f>IF(Escenarios!$E$17&gt;0,MAX(0,BG285+AY286+AZ286+BA286+BB286-BC286-BD286-BE286-Constantes!$E$40),0)</f>
        <v>0</v>
      </c>
      <c r="BG286" s="170">
        <f t="shared" si="68"/>
        <v>37.725058995611597</v>
      </c>
      <c r="BH286" s="170">
        <f>(Escenarios!$E$16*AK286+0.1*BC286)/(Escenarios!$E$19)</f>
        <v>4.3193913076135156E-4</v>
      </c>
      <c r="BI286" s="170">
        <f>IF(Escenarios!$E$17&gt;0,BF286/10/Escenarios!$E$19,AL286)</f>
        <v>0</v>
      </c>
      <c r="BJ286" s="170">
        <f>(Escenarios!$E$16*AT286+0.1*BD286)/(Escenarios!$E$19)</f>
        <v>1.1018610731444169E-3</v>
      </c>
      <c r="BK286" s="76">
        <f>BK285+(0.1*BD286)/(Escenarios!$E$19)-BL285</f>
        <v>49.488744566350256</v>
      </c>
      <c r="BL286" s="76">
        <f>MAX(0,(BK286-Constantes!$D$13)*(1-EXP(-Constantes!$D$23)))</f>
        <v>7.2790261674961516E-3</v>
      </c>
      <c r="BM286" s="76">
        <f t="shared" si="64"/>
        <v>0.19840075161854684</v>
      </c>
      <c r="BN286" s="76">
        <f t="shared" si="69"/>
        <v>0.19840075161854684</v>
      </c>
      <c r="BO286" s="76">
        <f>0.0526*BI286*Observaciones!$F285^1.218</f>
        <v>0</v>
      </c>
      <c r="BP286" s="76">
        <f>BO286*Constantes!$E$51</f>
        <v>0</v>
      </c>
      <c r="BQ286" s="76">
        <f t="shared" si="65"/>
        <v>0</v>
      </c>
      <c r="BR286" s="40"/>
    </row>
    <row r="287" spans="1:70">
      <c r="A287" s="147"/>
      <c r="B287" s="39"/>
      <c r="C287" s="75">
        <v>281</v>
      </c>
      <c r="D287" s="146">
        <f>ETo!$I286*((1-Constantes!$E$19)*ETo!$K286+ETo!$L286)</f>
        <v>3.8352499006863119</v>
      </c>
      <c r="E287" s="76">
        <f>MIN(D287*Constantes!$E$17,0.8*(N286+Observaciones!$F286-F287-M287-Constantes!$D$14))</f>
        <v>-1.632515039725746E-2</v>
      </c>
      <c r="F287" s="76">
        <f>IF(Observaciones!$F286&gt;0.05*Constantes!$E$18,((Observaciones!$F286-0.05*Constantes!$E$18)^2)/(Observaciones!$F286+0.95*Constantes!$E$18),0)</f>
        <v>0</v>
      </c>
      <c r="G287" s="76">
        <f>IF(Escenarios!$E$11&gt;0,(F287*Escenarios!$E$16*10000)/1000,0)</f>
        <v>0</v>
      </c>
      <c r="H287" s="76">
        <f>IF(Escenarios!$E$11&gt;0,(Observaciones!$F286*Constantes!$E$29)/1000,0)</f>
        <v>0</v>
      </c>
      <c r="I287" s="76">
        <f>IF(Escenarios!$E$11&gt;0,(D287*Constantes!$E$29)/1000,0)</f>
        <v>38.352499006863113</v>
      </c>
      <c r="J287" s="76">
        <f>IF(Escenarios!$E$11&gt;0,MAX(0,G287+H287-I287),0)</f>
        <v>0</v>
      </c>
      <c r="K287" s="76">
        <f>IF(Escenarios!$E$11&gt;0,IF(J287&gt;Constantes!$E$30,1000*((J287-Constantes!$E$30)/(Escenarios!$E$16*10000)),0),F287)</f>
        <v>0</v>
      </c>
      <c r="L287" s="76">
        <f>IF(Escenarios!$E$11&gt;0,I287*1000/Escenarios!$E$16/10000+E287,E287)</f>
        <v>-9.8415079451221431E-4</v>
      </c>
      <c r="M287" s="76">
        <f>MAX(0,N286+Observaciones!$F286-K287-Constantes!$D$13)</f>
        <v>0</v>
      </c>
      <c r="N287" s="76">
        <f>N286+Observaciones!$F286-K287-L287-M287-O286</f>
        <v>11.23057771279794</v>
      </c>
      <c r="O287" s="76">
        <f>MAX(0,(N287-Constantes!$D$14)*(1-EXP(-Constantes!$D$22)))</f>
        <v>0</v>
      </c>
      <c r="P287" s="170">
        <f>P286+(Entradas!$E$83*M287-Q286)/(800*Entradas!$D$25)</f>
        <v>0</v>
      </c>
      <c r="Q287" s="170">
        <f>8000*Entradas!$D$26*P287/Constantes!$E$45</f>
        <v>0</v>
      </c>
      <c r="R287" s="170">
        <f>IF(Escenarios!$E$14&gt;0,K287*Escenarios!$E$13/Escenarios!$E$14,0)</f>
        <v>0</v>
      </c>
      <c r="S287" s="170">
        <f>IF(Escenarios!$E$14&gt;0,Q287*Escenarios!$E$13/Escenarios!$E$14,0)</f>
        <v>0</v>
      </c>
      <c r="T287" s="170">
        <f>IF(Escenarios!$E$14&gt;0,Observaciones!$I286,0)</f>
        <v>0</v>
      </c>
      <c r="U287" s="170">
        <f>IF(Escenarios!$E$14&gt;0,MAX(0,Constantes!$E$36/((Z286+R287+S287+T287+Observaciones!$F286)^2)+Entradas!$E$77),0)</f>
        <v>0</v>
      </c>
      <c r="V287" s="146">
        <f>IF(ETo!D286&gt;0,ETo!I286*((1-Entradas!$E$81)*ETo!K286+ETo!L286),0)</f>
        <v>3.4982103531877722</v>
      </c>
      <c r="W287" s="170">
        <f>IF(Escenarios!$E$14&gt;0,MIN(V287*1,0.8*(Z286+R287+S287+T287+Observaciones!$F286-U287-Constantes!$E$35)),0)</f>
        <v>4.3390343762439446E-9</v>
      </c>
      <c r="X287" s="170">
        <f>IF(Escenarios!$E$14&gt;0,Observaciones!$J286,0)</f>
        <v>0</v>
      </c>
      <c r="Y287" s="170">
        <f>IF(Escenarios!$E$14&gt;0,MAX(0,Z286+R287+S287+T287+Observaciones!$F286-U287-W287-X287-Constantes!$E$33),0)</f>
        <v>0</v>
      </c>
      <c r="Z287" s="170">
        <f>Z286+R287+S287+T287+Observaciones!$F286-U287-W287-Y287</f>
        <v>41.250000001084757</v>
      </c>
      <c r="AA287" s="170">
        <f>IF(Escenarios!$E$14&gt;0,(Escenarios!$E$13*L287+Escenarios!$E$14*W287)/(Escenarios!$E$16),L287)</f>
        <v>-8.6605217848662345E-4</v>
      </c>
      <c r="AB287" s="170">
        <f>IF(Escenarios!$E$14&gt;0,(Escenarios!$E$14*Y287)/(Escenarios!$E$16),K287)</f>
        <v>0</v>
      </c>
      <c r="AC287" s="170">
        <f>IF(Escenarios!$E$14&gt;0,(Escenarios!$E$13*M287+Escenarios!$E$14*U287)/(Escenarios!$E$16),M287)</f>
        <v>0</v>
      </c>
      <c r="AD287" s="76">
        <f t="shared" si="57"/>
        <v>67.955722431933793</v>
      </c>
      <c r="AE287" s="76">
        <f>MAX(0,(AD287-Constantes!$D$13)*(1-EXP(-Constantes!$D$23)))</f>
        <v>0.18923855756853303</v>
      </c>
      <c r="AF287" s="76">
        <f>AB287+O287*Escenarios!$E$13/Escenarios!$E$16+AE287</f>
        <v>0.18923855756853303</v>
      </c>
      <c r="AG287" s="76">
        <f>IF(Entradas!$E$91&gt;0,IF(AF287-Escenarios!$E$38&lt;=0,0,IF(AF287-Escenarios!$E$38&gt;Escenarios!$E$37,Escenarios!$E$37,AF287-Escenarios!$E$38)),0)</f>
        <v>0</v>
      </c>
      <c r="AH287" s="76">
        <f>AG287*Entradas!$E$99</f>
        <v>0</v>
      </c>
      <c r="AI287" s="76">
        <f>IF(Entradas!$E$91&gt;0,D287*Entradas!$D$23/Escenarios!$E$16,0)</f>
        <v>0</v>
      </c>
      <c r="AJ287" s="76">
        <f>IF(Entradas!$E$91&gt;0,Entradas!$D$24*Entradas!$D$22/Escenarios!$E$16,0)</f>
        <v>0</v>
      </c>
      <c r="AK287" s="76">
        <f t="shared" si="66"/>
        <v>-8.6605217848662345E-4</v>
      </c>
      <c r="AL287" s="76">
        <f t="shared" si="67"/>
        <v>0</v>
      </c>
      <c r="AM287" s="76">
        <f t="shared" si="58"/>
        <v>0</v>
      </c>
      <c r="AN287" s="76">
        <f>MAX(0,O287*Escenarios!$E$13/Escenarios!$E$16-AM287)</f>
        <v>0</v>
      </c>
      <c r="AO287" s="76">
        <f>AM287+AN287-O287*Escenarios!$E$13/Escenarios!$E$16</f>
        <v>0</v>
      </c>
      <c r="AP287" s="76">
        <f t="shared" si="56"/>
        <v>0.18923855756853303</v>
      </c>
      <c r="AQ287" s="76">
        <f t="shared" si="59"/>
        <v>0</v>
      </c>
      <c r="AR287" s="76">
        <f t="shared" si="60"/>
        <v>0.18923855756853303</v>
      </c>
      <c r="AS287" s="76">
        <f t="shared" si="61"/>
        <v>0</v>
      </c>
      <c r="AT287" s="76">
        <f t="shared" si="62"/>
        <v>0</v>
      </c>
      <c r="AU287" s="76">
        <f t="shared" si="63"/>
        <v>48.75</v>
      </c>
      <c r="AV287" s="76">
        <f>MAX(0,(AU287-Constantes!$D$13)*(1-EXP(-Constantes!$D$24)))</f>
        <v>0</v>
      </c>
      <c r="AW287" s="170">
        <f>AW286+(Entradas!$E$112*AT287-AX286)/(800*Entradas!$D$25)</f>
        <v>0</v>
      </c>
      <c r="AX287" s="170">
        <f>8000*Entradas!$D$26*AW287/Constantes!$E$45</f>
        <v>0</v>
      </c>
      <c r="AY287" s="170">
        <f>IF(Escenarios!$E$17&gt;0,10*Escenarios!$E$16*AL287,0)</f>
        <v>0</v>
      </c>
      <c r="AZ287" s="170">
        <f>IF(Escenarios!$E$17&gt;0,10*Escenarios!$E$16*AX287,0)</f>
        <v>0</v>
      </c>
      <c r="BA287" s="170">
        <f>IF(Escenarios!$E$17&gt;0,0.001*Observaciones!$F286*Escenarios!$E$17,0)</f>
        <v>0</v>
      </c>
      <c r="BB287" s="170">
        <f>IF(Escenarios!$E$17&gt;0,Observaciones!$K286,0)</f>
        <v>0</v>
      </c>
      <c r="BC287" s="170">
        <f>IF(Escenarios!$E$17&gt;0,MIN(0.0005*ETo!$M286*Escenarios!$E$17*(BG286/Constantes!$E$40)^(2/3),BG286+AY287+AZ287+BA287+BB287),0)</f>
        <v>1.3863000016928273</v>
      </c>
      <c r="BD287" s="170">
        <f>IF(Escenarios!$E$17&gt;0,MIN(Constantes!$E$39*(BG286/Constantes!$E$40)^(2/3),BG286+AY287+AZ287+BA287+BB287-BC287),0)</f>
        <v>2.5404117421095251</v>
      </c>
      <c r="BE287" s="170">
        <f>IF(Escenarios!$E$17&gt;0,MIN(Entradas!$E$113,BG286+AY287+AZ287+BA287+BB287-BC287-BD287),0)</f>
        <v>1</v>
      </c>
      <c r="BF287" s="170">
        <f>IF(Escenarios!$E$17&gt;0,MAX(0,BG286+AY287+AZ287+BA287+BB287-BC287-BD287-BE287-Constantes!$E$40),0)</f>
        <v>0</v>
      </c>
      <c r="BG287" s="170">
        <f t="shared" si="68"/>
        <v>32.798347251809247</v>
      </c>
      <c r="BH287" s="170">
        <f>(Escenarios!$E$16*AK287+0.1*BC287)/(Escenarios!$E$19)</f>
        <v>-3.0905970020782985E-4</v>
      </c>
      <c r="BI287" s="170">
        <f>IF(Escenarios!$E$17&gt;0,BF287/10/Escenarios!$E$19,AL287)</f>
        <v>0</v>
      </c>
      <c r="BJ287" s="170">
        <f>(Escenarios!$E$16*AT287+0.1*BD287)/(Escenarios!$E$19)</f>
        <v>1.00809989766251E-3</v>
      </c>
      <c r="BK287" s="76">
        <f>BK286+(0.1*BD287)/(Escenarios!$E$19)-BL286</f>
        <v>49.482473640080421</v>
      </c>
      <c r="BL287" s="76">
        <f>MAX(0,(BK287-Constantes!$D$13)*(1-EXP(-Constantes!$D$23)))</f>
        <v>7.2172372373411984E-3</v>
      </c>
      <c r="BM287" s="76">
        <f t="shared" si="64"/>
        <v>0.19645579480587422</v>
      </c>
      <c r="BN287" s="76">
        <f t="shared" si="69"/>
        <v>0.19645579480587422</v>
      </c>
      <c r="BO287" s="76">
        <f>0.0526*BI287*Observaciones!$F286^1.218</f>
        <v>0</v>
      </c>
      <c r="BP287" s="76">
        <f>BO287*Constantes!$E$51</f>
        <v>0</v>
      </c>
      <c r="BQ287" s="76">
        <f t="shared" si="65"/>
        <v>0</v>
      </c>
      <c r="BR287" s="40"/>
    </row>
    <row r="288" spans="1:70">
      <c r="A288" s="147"/>
      <c r="B288" s="39"/>
      <c r="C288" s="75">
        <v>282</v>
      </c>
      <c r="D288" s="146">
        <f>ETo!$I287*((1-Constantes!$E$19)*ETo!$K287+ETo!$L287)</f>
        <v>4.1411042593947034</v>
      </c>
      <c r="E288" s="76">
        <f>MIN(D288*Constantes!$E$17,0.8*(N287+Observaciones!$F287-F288-M288-Constantes!$D$14))</f>
        <v>-1.553782976164797E-2</v>
      </c>
      <c r="F288" s="76">
        <f>IF(Observaciones!$F287&gt;0.05*Constantes!$E$18,((Observaciones!$F287-0.05*Constantes!$E$18)^2)/(Observaciones!$F287+0.95*Constantes!$E$18),0)</f>
        <v>0</v>
      </c>
      <c r="G288" s="76">
        <f>IF(Escenarios!$E$11&gt;0,(F288*Escenarios!$E$16*10000)/1000,0)</f>
        <v>0</v>
      </c>
      <c r="H288" s="76">
        <f>IF(Escenarios!$E$11&gt;0,(Observaciones!$F287*Constantes!$E$29)/1000,0)</f>
        <v>0</v>
      </c>
      <c r="I288" s="76">
        <f>IF(Escenarios!$E$11&gt;0,(D288*Constantes!$E$29)/1000,0)</f>
        <v>41.411042593947037</v>
      </c>
      <c r="J288" s="76">
        <f>IF(Escenarios!$E$11&gt;0,MAX(0,G288+H288-I288),0)</f>
        <v>0</v>
      </c>
      <c r="K288" s="76">
        <f>IF(Escenarios!$E$11&gt;0,IF(J288&gt;Constantes!$E$30,1000*((J288-Constantes!$E$30)/(Escenarios!$E$16*10000)),0),F288)</f>
        <v>0</v>
      </c>
      <c r="L288" s="76">
        <f>IF(Escenarios!$E$11&gt;0,I288*1000/Escenarios!$E$16/10000+E288,E288)</f>
        <v>1.0265872759308466E-3</v>
      </c>
      <c r="M288" s="76">
        <f>MAX(0,N287+Observaciones!$F287-K288-Constantes!$D$13)</f>
        <v>0</v>
      </c>
      <c r="N288" s="76">
        <f>N287+Observaciones!$F287-K288-L288-M288-O287</f>
        <v>11.22955112552201</v>
      </c>
      <c r="O288" s="76">
        <f>MAX(0,(N288-Constantes!$D$14)*(1-EXP(-Constantes!$D$22)))</f>
        <v>0</v>
      </c>
      <c r="P288" s="170">
        <f>P287+(Entradas!$E$83*M288-Q287)/(800*Entradas!$D$25)</f>
        <v>0</v>
      </c>
      <c r="Q288" s="170">
        <f>8000*Entradas!$D$26*P288/Constantes!$E$45</f>
        <v>0</v>
      </c>
      <c r="R288" s="170">
        <f>IF(Escenarios!$E$14&gt;0,K288*Escenarios!$E$13/Escenarios!$E$14,0)</f>
        <v>0</v>
      </c>
      <c r="S288" s="170">
        <f>IF(Escenarios!$E$14&gt;0,Q288*Escenarios!$E$13/Escenarios!$E$14,0)</f>
        <v>0</v>
      </c>
      <c r="T288" s="170">
        <f>IF(Escenarios!$E$14&gt;0,Observaciones!$I287,0)</f>
        <v>0</v>
      </c>
      <c r="U288" s="170">
        <f>IF(Escenarios!$E$14&gt;0,MAX(0,Constantes!$E$36/((Z287+R288+S288+T288+Observaciones!$F287)^2)+Entradas!$E$77),0)</f>
        <v>0</v>
      </c>
      <c r="V288" s="146">
        <f>IF(ETo!D287&gt;0,ETo!I287*((1-Entradas!$E$81)*ETo!K287+ETo!L287),0)</f>
        <v>3.7797559652019905</v>
      </c>
      <c r="W288" s="170">
        <f>IF(Escenarios!$E$14&gt;0,MIN(V288*1,0.8*(Z287+R288+S288+T288+Observaciones!$F287-U288-Constantes!$E$35)),0)</f>
        <v>8.6780573838041166E-10</v>
      </c>
      <c r="X288" s="170">
        <f>IF(Escenarios!$E$14&gt;0,Observaciones!$J287,0)</f>
        <v>0</v>
      </c>
      <c r="Y288" s="170">
        <f>IF(Escenarios!$E$14&gt;0,MAX(0,Z287+R288+S288+T288+Observaciones!$F287-U288-W288-X288-Constantes!$E$33),0)</f>
        <v>0</v>
      </c>
      <c r="Z288" s="170">
        <f>Z287+R288+S288+T288+Observaciones!$F287-U288-W288-Y288</f>
        <v>41.25000000021695</v>
      </c>
      <c r="AA288" s="170">
        <f>IF(Escenarios!$E$14&gt;0,(Escenarios!$E$13*L288+Escenarios!$E$14*W288)/(Escenarios!$E$16),L288)</f>
        <v>9.0339690695583367E-4</v>
      </c>
      <c r="AB288" s="170">
        <f>IF(Escenarios!$E$14&gt;0,(Escenarios!$E$14*Y288)/(Escenarios!$E$16),K288)</f>
        <v>0</v>
      </c>
      <c r="AC288" s="170">
        <f>IF(Escenarios!$E$14&gt;0,(Escenarios!$E$13*M288+Escenarios!$E$14*U288)/(Escenarios!$E$16),M288)</f>
        <v>0</v>
      </c>
      <c r="AD288" s="76">
        <f t="shared" si="57"/>
        <v>67.766483874365264</v>
      </c>
      <c r="AE288" s="76">
        <f>MAX(0,(AD288-Constantes!$D$13)*(1-EXP(-Constantes!$D$23)))</f>
        <v>0.18737394498769752</v>
      </c>
      <c r="AF288" s="76">
        <f>AB288+O288*Escenarios!$E$13/Escenarios!$E$16+AE288</f>
        <v>0.18737394498769752</v>
      </c>
      <c r="AG288" s="76">
        <f>IF(Entradas!$E$91&gt;0,IF(AF288-Escenarios!$E$38&lt;=0,0,IF(AF288-Escenarios!$E$38&gt;Escenarios!$E$37,Escenarios!$E$37,AF288-Escenarios!$E$38)),0)</f>
        <v>0</v>
      </c>
      <c r="AH288" s="76">
        <f>AG288*Entradas!$E$99</f>
        <v>0</v>
      </c>
      <c r="AI288" s="76">
        <f>IF(Entradas!$E$91&gt;0,D288*Entradas!$D$23/Escenarios!$E$16,0)</f>
        <v>0</v>
      </c>
      <c r="AJ288" s="76">
        <f>IF(Entradas!$E$91&gt;0,Entradas!$D$24*Entradas!$D$22/Escenarios!$E$16,0)</f>
        <v>0</v>
      </c>
      <c r="AK288" s="76">
        <f t="shared" si="66"/>
        <v>9.0339690695583367E-4</v>
      </c>
      <c r="AL288" s="76">
        <f t="shared" si="67"/>
        <v>0</v>
      </c>
      <c r="AM288" s="76">
        <f t="shared" si="58"/>
        <v>0</v>
      </c>
      <c r="AN288" s="76">
        <f>MAX(0,O288*Escenarios!$E$13/Escenarios!$E$16-AM288)</f>
        <v>0</v>
      </c>
      <c r="AO288" s="76">
        <f>AM288+AN288-O288*Escenarios!$E$13/Escenarios!$E$16</f>
        <v>0</v>
      </c>
      <c r="AP288" s="76">
        <f t="shared" si="56"/>
        <v>0.18737394498769752</v>
      </c>
      <c r="AQ288" s="76">
        <f t="shared" si="59"/>
        <v>0</v>
      </c>
      <c r="AR288" s="76">
        <f t="shared" si="60"/>
        <v>0.18737394498769752</v>
      </c>
      <c r="AS288" s="76">
        <f t="shared" si="61"/>
        <v>0</v>
      </c>
      <c r="AT288" s="76">
        <f t="shared" si="62"/>
        <v>0</v>
      </c>
      <c r="AU288" s="76">
        <f t="shared" si="63"/>
        <v>48.75</v>
      </c>
      <c r="AV288" s="76">
        <f>MAX(0,(AU288-Constantes!$D$13)*(1-EXP(-Constantes!$D$24)))</f>
        <v>0</v>
      </c>
      <c r="AW288" s="170">
        <f>AW287+(Entradas!$E$112*AT288-AX287)/(800*Entradas!$D$25)</f>
        <v>0</v>
      </c>
      <c r="AX288" s="170">
        <f>8000*Entradas!$D$26*AW288/Constantes!$E$45</f>
        <v>0</v>
      </c>
      <c r="AY288" s="170">
        <f>IF(Escenarios!$E$17&gt;0,10*Escenarios!$E$16*AL288,0)</f>
        <v>0</v>
      </c>
      <c r="AZ288" s="170">
        <f>IF(Escenarios!$E$17&gt;0,10*Escenarios!$E$16*AX288,0)</f>
        <v>0</v>
      </c>
      <c r="BA288" s="170">
        <f>IF(Escenarios!$E$17&gt;0,0.001*Observaciones!$F287*Escenarios!$E$17,0)</f>
        <v>0</v>
      </c>
      <c r="BB288" s="170">
        <f>IF(Escenarios!$E$17&gt;0,Observaciones!$K287,0)</f>
        <v>0</v>
      </c>
      <c r="BC288" s="170">
        <f>IF(Escenarios!$E$17&gt;0,MIN(0.0005*ETo!$M287*Escenarios!$E$17*(BG287/Constantes!$E$40)^(2/3),BG287+AY288+AZ288+BA288+BB288),0)</f>
        <v>1.3623490522231905</v>
      </c>
      <c r="BD288" s="170">
        <f>IF(Escenarios!$E$17&gt;0,MIN(Constantes!$E$39*(BG287/Constantes!$E$40)^(2/3),BG287+AY288+AZ288+BA288+BB288-BC288),0)</f>
        <v>2.3141178171340639</v>
      </c>
      <c r="BE288" s="170">
        <f>IF(Escenarios!$E$17&gt;0,MIN(Entradas!$E$113,BG287+AY288+AZ288+BA288+BB288-BC288-BD288),0)</f>
        <v>1</v>
      </c>
      <c r="BF288" s="170">
        <f>IF(Escenarios!$E$17&gt;0,MAX(0,BG287+AY288+AZ288+BA288+BB288-BC288-BD288-BE288-Constantes!$E$40),0)</f>
        <v>0</v>
      </c>
      <c r="BG288" s="170">
        <f t="shared" si="68"/>
        <v>28.121880382451991</v>
      </c>
      <c r="BH288" s="170">
        <f>(Escenarios!$E$16*AK288+0.1*BC288)/(Escenarios!$E$19)</f>
        <v>1.4368417934971327E-3</v>
      </c>
      <c r="BI288" s="170">
        <f>IF(Escenarios!$E$17&gt;0,BF288/10/Escenarios!$E$19,AL288)</f>
        <v>0</v>
      </c>
      <c r="BJ288" s="170">
        <f>(Escenarios!$E$16*AT288+0.1*BD288)/(Escenarios!$E$19)</f>
        <v>9.1830072108494603E-4</v>
      </c>
      <c r="BK288" s="76">
        <f>BK287+(0.1*BD288)/(Escenarios!$E$19)-BL287</f>
        <v>49.476174703564162</v>
      </c>
      <c r="BL288" s="76">
        <f>MAX(0,(BK288-Constantes!$D$13)*(1-EXP(-Constantes!$D$23)))</f>
        <v>7.1551723155567045E-3</v>
      </c>
      <c r="BM288" s="76">
        <f t="shared" si="64"/>
        <v>0.19452911730325423</v>
      </c>
      <c r="BN288" s="76">
        <f t="shared" si="69"/>
        <v>0.19452911730325423</v>
      </c>
      <c r="BO288" s="76">
        <f>0.0526*BI288*Observaciones!$F287^1.218</f>
        <v>0</v>
      </c>
      <c r="BP288" s="76">
        <f>BO288*Constantes!$E$51</f>
        <v>0</v>
      </c>
      <c r="BQ288" s="76">
        <f t="shared" si="65"/>
        <v>0</v>
      </c>
      <c r="BR288" s="40"/>
    </row>
    <row r="289" spans="1:70">
      <c r="A289" s="147"/>
      <c r="B289" s="39"/>
      <c r="C289" s="75">
        <v>283</v>
      </c>
      <c r="D289" s="146">
        <f>ETo!$I288*((1-Constantes!$E$19)*ETo!$K288+ETo!$L288)</f>
        <v>4.0804731911250318</v>
      </c>
      <c r="E289" s="76">
        <f>MIN(D289*Constantes!$E$17,0.8*(N288+Observaciones!$F288-F289-M289-Constantes!$D$14))</f>
        <v>1.9949935862200361</v>
      </c>
      <c r="F289" s="76">
        <f>IF(Observaciones!$F288&gt;0.05*Constantes!$E$18,((Observaciones!$F288-0.05*Constantes!$E$18)^2)/(Observaciones!$F288+0.95*Constantes!$E$18),0)</f>
        <v>0</v>
      </c>
      <c r="G289" s="76">
        <f>IF(Escenarios!$E$11&gt;0,(F289*Escenarios!$E$16*10000)/1000,0)</f>
        <v>0</v>
      </c>
      <c r="H289" s="76">
        <f>IF(Escenarios!$E$11&gt;0,(Observaciones!$F288*Constantes!$E$29)/1000,0)</f>
        <v>30</v>
      </c>
      <c r="I289" s="76">
        <f>IF(Escenarios!$E$11&gt;0,(D289*Constantes!$E$29)/1000,0)</f>
        <v>40.804731911250315</v>
      </c>
      <c r="J289" s="76">
        <f>IF(Escenarios!$E$11&gt;0,MAX(0,G289+H289-I289),0)</f>
        <v>0</v>
      </c>
      <c r="K289" s="76">
        <f>IF(Escenarios!$E$11&gt;0,IF(J289&gt;Constantes!$E$30,1000*((J289-Constantes!$E$30)/(Escenarios!$E$16*10000)),0),F289)</f>
        <v>0</v>
      </c>
      <c r="L289" s="76">
        <f>IF(Escenarios!$E$11&gt;0,I289*1000/Escenarios!$E$16/10000+E289,E289)</f>
        <v>2.0113154789845362</v>
      </c>
      <c r="M289" s="76">
        <f>MAX(0,N288+Observaciones!$F288-K289-Constantes!$D$13)</f>
        <v>0</v>
      </c>
      <c r="N289" s="76">
        <f>N288+Observaciones!$F288-K289-L289-M289-O288</f>
        <v>12.218235646537472</v>
      </c>
      <c r="O289" s="76">
        <f>MAX(0,(N289-Constantes!$D$14)*(1-EXP(-Constantes!$D$22)))</f>
        <v>3.298166058689192E-2</v>
      </c>
      <c r="P289" s="170">
        <f>P288+(Entradas!$E$83*M289-Q288)/(800*Entradas!$D$25)</f>
        <v>0</v>
      </c>
      <c r="Q289" s="170">
        <f>8000*Entradas!$D$26*P289/Constantes!$E$45</f>
        <v>0</v>
      </c>
      <c r="R289" s="170">
        <f>IF(Escenarios!$E$14&gt;0,K289*Escenarios!$E$13/Escenarios!$E$14,0)</f>
        <v>0</v>
      </c>
      <c r="S289" s="170">
        <f>IF(Escenarios!$E$14&gt;0,Q289*Escenarios!$E$13/Escenarios!$E$14,0)</f>
        <v>0</v>
      </c>
      <c r="T289" s="170">
        <f>IF(Escenarios!$E$14&gt;0,Observaciones!$I288,0)</f>
        <v>0</v>
      </c>
      <c r="U289" s="170">
        <f>IF(Escenarios!$E$14&gt;0,MAX(0,Constantes!$E$36/((Z288+R289+S289+T289+Observaciones!$F288)^2)+Entradas!$E$77),0)</f>
        <v>0</v>
      </c>
      <c r="V289" s="146">
        <f>IF(ETo!D288&gt;0,ETo!I288*((1-Entradas!$E$81)*ETo!K288+ETo!L288),0)</f>
        <v>3.7239463931678443</v>
      </c>
      <c r="W289" s="170">
        <f>IF(Escenarios!$E$14&gt;0,MIN(V289*1,0.8*(Z288+R289+S289+T289+Observaciones!$F288-U289-Constantes!$E$35)),0)</f>
        <v>2.4000000001735602</v>
      </c>
      <c r="X289" s="170">
        <f>IF(Escenarios!$E$14&gt;0,Observaciones!$J288,0)</f>
        <v>0</v>
      </c>
      <c r="Y289" s="170">
        <f>IF(Escenarios!$E$14&gt;0,MAX(0,Z288+R289+S289+T289+Observaciones!$F288-U289-W289-X289-Constantes!$E$33),0)</f>
        <v>0</v>
      </c>
      <c r="Z289" s="170">
        <f>Z288+R289+S289+T289+Observaciones!$F288-U289-W289-Y289</f>
        <v>41.850000000043387</v>
      </c>
      <c r="AA289" s="170">
        <f>IF(Escenarios!$E$14&gt;0,(Escenarios!$E$13*L289+Escenarios!$E$14*W289)/(Escenarios!$E$16),L289)</f>
        <v>2.0579576215272191</v>
      </c>
      <c r="AB289" s="170">
        <f>IF(Escenarios!$E$14&gt;0,(Escenarios!$E$14*Y289)/(Escenarios!$E$16),K289)</f>
        <v>0</v>
      </c>
      <c r="AC289" s="170">
        <f>IF(Escenarios!$E$14&gt;0,(Escenarios!$E$13*M289+Escenarios!$E$14*U289)/(Escenarios!$E$16),M289)</f>
        <v>0</v>
      </c>
      <c r="AD289" s="76">
        <f t="shared" si="57"/>
        <v>67.579109929377566</v>
      </c>
      <c r="AE289" s="76">
        <f>MAX(0,(AD289-Constantes!$D$13)*(1-EXP(-Constantes!$D$23)))</f>
        <v>0.18552770487873707</v>
      </c>
      <c r="AF289" s="76">
        <f>AB289+O289*Escenarios!$E$13/Escenarios!$E$16+AE289</f>
        <v>0.21455156619520196</v>
      </c>
      <c r="AG289" s="76">
        <f>IF(Entradas!$E$91&gt;0,IF(AF289-Escenarios!$E$38&lt;=0,0,IF(AF289-Escenarios!$E$38&gt;Escenarios!$E$37,Escenarios!$E$37,AF289-Escenarios!$E$38)),0)</f>
        <v>0</v>
      </c>
      <c r="AH289" s="76">
        <f>AG289*Entradas!$E$99</f>
        <v>0</v>
      </c>
      <c r="AI289" s="76">
        <f>IF(Entradas!$E$91&gt;0,D289*Entradas!$D$23/Escenarios!$E$16,0)</f>
        <v>0</v>
      </c>
      <c r="AJ289" s="76">
        <f>IF(Entradas!$E$91&gt;0,Entradas!$D$24*Entradas!$D$22/Escenarios!$E$16,0)</f>
        <v>0</v>
      </c>
      <c r="AK289" s="76">
        <f t="shared" si="66"/>
        <v>2.0579576215272191</v>
      </c>
      <c r="AL289" s="76">
        <f t="shared" si="67"/>
        <v>0</v>
      </c>
      <c r="AM289" s="76">
        <f t="shared" si="58"/>
        <v>0</v>
      </c>
      <c r="AN289" s="76">
        <f>MAX(0,O289*Escenarios!$E$13/Escenarios!$E$16-AM289)</f>
        <v>2.9023861316464887E-2</v>
      </c>
      <c r="AO289" s="76">
        <f>AM289+AN289-O289*Escenarios!$E$13/Escenarios!$E$16</f>
        <v>0</v>
      </c>
      <c r="AP289" s="76">
        <f t="shared" si="56"/>
        <v>0.18552770487873707</v>
      </c>
      <c r="AQ289" s="76">
        <f t="shared" si="59"/>
        <v>0</v>
      </c>
      <c r="AR289" s="76">
        <f t="shared" si="60"/>
        <v>0.21455156619520196</v>
      </c>
      <c r="AS289" s="76">
        <f t="shared" si="61"/>
        <v>0</v>
      </c>
      <c r="AT289" s="76">
        <f t="shared" si="62"/>
        <v>0</v>
      </c>
      <c r="AU289" s="76">
        <f t="shared" si="63"/>
        <v>48.75</v>
      </c>
      <c r="AV289" s="76">
        <f>MAX(0,(AU289-Constantes!$D$13)*(1-EXP(-Constantes!$D$24)))</f>
        <v>0</v>
      </c>
      <c r="AW289" s="170">
        <f>AW288+(Entradas!$E$112*AT289-AX288)/(800*Entradas!$D$25)</f>
        <v>0</v>
      </c>
      <c r="AX289" s="170">
        <f>8000*Entradas!$D$26*AW289/Constantes!$E$45</f>
        <v>0</v>
      </c>
      <c r="AY289" s="170">
        <f>IF(Escenarios!$E$17&gt;0,10*Escenarios!$E$16*AL289,0)</f>
        <v>0</v>
      </c>
      <c r="AZ289" s="170">
        <f>IF(Escenarios!$E$17&gt;0,10*Escenarios!$E$16*AX289,0)</f>
        <v>0</v>
      </c>
      <c r="BA289" s="170">
        <f>IF(Escenarios!$E$17&gt;0,0.001*Observaciones!$F288*Escenarios!$E$17,0)</f>
        <v>60</v>
      </c>
      <c r="BB289" s="170">
        <f>IF(Escenarios!$E$17&gt;0,Observaciones!$K288,0)</f>
        <v>0</v>
      </c>
      <c r="BC289" s="170">
        <f>IF(Escenarios!$E$17&gt;0,MIN(0.0005*ETo!$M288*Escenarios!$E$17*(BG288/Constantes!$E$40)^(2/3),BG288+AY289+AZ289+BA289+BB289),0)</f>
        <v>1.2117511176724207</v>
      </c>
      <c r="BD289" s="170">
        <f>IF(Escenarios!$E$17&gt;0,MIN(Constantes!$E$39*(BG288/Constantes!$E$40)^(2/3),BG288+AY289+AZ289+BA289+BB289-BC289),0)</f>
        <v>2.0885605191292154</v>
      </c>
      <c r="BE289" s="170">
        <f>IF(Escenarios!$E$17&gt;0,MIN(Entradas!$E$113,BG288+AY289+AZ289+BA289+BB289-BC289-BD289),0)</f>
        <v>1</v>
      </c>
      <c r="BF289" s="170">
        <f>IF(Escenarios!$E$17&gt;0,MAX(0,BG288+AY289+AZ289+BA289+BB289-BC289-BD289-BE289-Constantes!$E$40),0)</f>
        <v>0</v>
      </c>
      <c r="BG289" s="170">
        <f t="shared" si="68"/>
        <v>83.821568745650353</v>
      </c>
      <c r="BH289" s="170">
        <f>(Escenarios!$E$16*AK289+0.1*BC289)/(Escenarios!$E$19)</f>
        <v>2.0421054781490953</v>
      </c>
      <c r="BI289" s="170">
        <f>IF(Escenarios!$E$17&gt;0,BF289/10/Escenarios!$E$19,AL289)</f>
        <v>0</v>
      </c>
      <c r="BJ289" s="170">
        <f>(Escenarios!$E$16*AT289+0.1*BD289)/(Escenarios!$E$19)</f>
        <v>8.2879385679730778E-4</v>
      </c>
      <c r="BK289" s="76">
        <f>BK288+(0.1*BD289)/(Escenarios!$E$19)-BL288</f>
        <v>49.469848325105403</v>
      </c>
      <c r="BL289" s="76">
        <f>MAX(0,(BK289-Constantes!$D$13)*(1-EXP(-Constantes!$D$23)))</f>
        <v>7.0928370017765991E-3</v>
      </c>
      <c r="BM289" s="76">
        <f t="shared" si="64"/>
        <v>0.19262054188051367</v>
      </c>
      <c r="BN289" s="76">
        <f t="shared" si="69"/>
        <v>0.22164440319697856</v>
      </c>
      <c r="BO289" s="76">
        <f>0.0526*BI289*Observaciones!$F288^1.218</f>
        <v>0</v>
      </c>
      <c r="BP289" s="76">
        <f>BO289*Constantes!$E$51</f>
        <v>0</v>
      </c>
      <c r="BQ289" s="76">
        <f t="shared" si="65"/>
        <v>0</v>
      </c>
      <c r="BR289" s="40"/>
    </row>
    <row r="290" spans="1:70">
      <c r="A290" s="147"/>
      <c r="B290" s="39"/>
      <c r="C290" s="75">
        <v>284</v>
      </c>
      <c r="D290" s="146">
        <f>ETo!$I289*((1-Constantes!$E$19)*ETo!$K289+ETo!$L289)</f>
        <v>4.1682105857298364</v>
      </c>
      <c r="E290" s="76">
        <f>MIN(D290*Constantes!$E$17,0.8*(N289+Observaciones!$F289-F290-M290-Constantes!$D$14))</f>
        <v>1.0145885172299784</v>
      </c>
      <c r="F290" s="76">
        <f>IF(Observaciones!$F289&gt;0.05*Constantes!$E$18,((Observaciones!$F289-0.05*Constantes!$E$18)^2)/(Observaciones!$F289+0.95*Constantes!$E$18),0)</f>
        <v>0</v>
      </c>
      <c r="G290" s="76">
        <f>IF(Escenarios!$E$11&gt;0,(F290*Escenarios!$E$16*10000)/1000,0)</f>
        <v>0</v>
      </c>
      <c r="H290" s="76">
        <f>IF(Escenarios!$E$11&gt;0,(Observaciones!$F289*Constantes!$E$29)/1000,0)</f>
        <v>3</v>
      </c>
      <c r="I290" s="76">
        <f>IF(Escenarios!$E$11&gt;0,(D290*Constantes!$E$29)/1000,0)</f>
        <v>41.68210585729836</v>
      </c>
      <c r="J290" s="76">
        <f>IF(Escenarios!$E$11&gt;0,MAX(0,G290+H290-I290),0)</f>
        <v>0</v>
      </c>
      <c r="K290" s="76">
        <f>IF(Escenarios!$E$11&gt;0,IF(J290&gt;Constantes!$E$30,1000*((J290-Constantes!$E$30)/(Escenarios!$E$16*10000)),0),F290)</f>
        <v>0</v>
      </c>
      <c r="L290" s="76">
        <f>IF(Escenarios!$E$11&gt;0,I290*1000/Escenarios!$E$16/10000+E290,E290)</f>
        <v>1.0312613595728979</v>
      </c>
      <c r="M290" s="76">
        <f>MAX(0,N289+Observaciones!$F289-K290-Constantes!$D$13)</f>
        <v>0</v>
      </c>
      <c r="N290" s="76">
        <f>N289+Observaciones!$F289-K290-L290-M290-O289</f>
        <v>11.453992626377683</v>
      </c>
      <c r="O290" s="76">
        <f>MAX(0,(N290-Constantes!$D$14)*(1-EXP(-Constantes!$D$22)))</f>
        <v>6.9487377266862745E-3</v>
      </c>
      <c r="P290" s="170">
        <f>P289+(Entradas!$E$83*M290-Q289)/(800*Entradas!$D$25)</f>
        <v>0</v>
      </c>
      <c r="Q290" s="170">
        <f>8000*Entradas!$D$26*P290/Constantes!$E$45</f>
        <v>0</v>
      </c>
      <c r="R290" s="170">
        <f>IF(Escenarios!$E$14&gt;0,K290*Escenarios!$E$13/Escenarios!$E$14,0)</f>
        <v>0</v>
      </c>
      <c r="S290" s="170">
        <f>IF(Escenarios!$E$14&gt;0,Q290*Escenarios!$E$13/Escenarios!$E$14,0)</f>
        <v>0</v>
      </c>
      <c r="T290" s="170">
        <f>IF(Escenarios!$E$14&gt;0,Observaciones!$I289,0)</f>
        <v>0</v>
      </c>
      <c r="U290" s="170">
        <f>IF(Escenarios!$E$14&gt;0,MAX(0,Constantes!$E$36/((Z289+R290+S290+T290+Observaciones!$F289)^2)+Entradas!$E$77),0)</f>
        <v>0</v>
      </c>
      <c r="V290" s="146">
        <f>IF(ETo!D289&gt;0,ETo!I289*((1-Entradas!$E$81)*ETo!K289+ETo!L289),0)</f>
        <v>3.8050242368371179</v>
      </c>
      <c r="W290" s="170">
        <f>IF(Escenarios!$E$14&gt;0,MIN(V290*1,0.8*(Z289+R290+S290+T290+Observaciones!$F289-U290-Constantes!$E$35)),0)</f>
        <v>0.72000000003470754</v>
      </c>
      <c r="X290" s="170">
        <f>IF(Escenarios!$E$14&gt;0,Observaciones!$J289,0)</f>
        <v>0</v>
      </c>
      <c r="Y290" s="170">
        <f>IF(Escenarios!$E$14&gt;0,MAX(0,Z289+R290+S290+T290+Observaciones!$F289-U290-W290-X290-Constantes!$E$33),0)</f>
        <v>0</v>
      </c>
      <c r="Z290" s="170">
        <f>Z289+R290+S290+T290+Observaciones!$F289-U290-W290-Y290</f>
        <v>41.430000000008675</v>
      </c>
      <c r="AA290" s="170">
        <f>IF(Escenarios!$E$14&gt;0,(Escenarios!$E$13*L290+Escenarios!$E$14*W290)/(Escenarios!$E$16),L290)</f>
        <v>0.99390999642831501</v>
      </c>
      <c r="AB290" s="170">
        <f>IF(Escenarios!$E$14&gt;0,(Escenarios!$E$14*Y290)/(Escenarios!$E$16),K290)</f>
        <v>0</v>
      </c>
      <c r="AC290" s="170">
        <f>IF(Escenarios!$E$14&gt;0,(Escenarios!$E$13*M290+Escenarios!$E$14*U290)/(Escenarios!$E$16),M290)</f>
        <v>0</v>
      </c>
      <c r="AD290" s="76">
        <f t="shared" si="57"/>
        <v>67.393582224498829</v>
      </c>
      <c r="AE290" s="76">
        <f>MAX(0,(AD290-Constantes!$D$13)*(1-EXP(-Constantes!$D$23)))</f>
        <v>0.18369965621331033</v>
      </c>
      <c r="AF290" s="76">
        <f>AB290+O290*Escenarios!$E$13/Escenarios!$E$16+AE290</f>
        <v>0.18981454541279424</v>
      </c>
      <c r="AG290" s="76">
        <f>IF(Entradas!$E$91&gt;0,IF(AF290-Escenarios!$E$38&lt;=0,0,IF(AF290-Escenarios!$E$38&gt;Escenarios!$E$37,Escenarios!$E$37,AF290-Escenarios!$E$38)),0)</f>
        <v>0</v>
      </c>
      <c r="AH290" s="76">
        <f>AG290*Entradas!$E$99</f>
        <v>0</v>
      </c>
      <c r="AI290" s="76">
        <f>IF(Entradas!$E$91&gt;0,D290*Entradas!$D$23/Escenarios!$E$16,0)</f>
        <v>0</v>
      </c>
      <c r="AJ290" s="76">
        <f>IF(Entradas!$E$91&gt;0,Entradas!$D$24*Entradas!$D$22/Escenarios!$E$16,0)</f>
        <v>0</v>
      </c>
      <c r="AK290" s="76">
        <f t="shared" si="66"/>
        <v>0.99390999642831501</v>
      </c>
      <c r="AL290" s="76">
        <f t="shared" si="67"/>
        <v>0</v>
      </c>
      <c r="AM290" s="76">
        <f t="shared" si="58"/>
        <v>0</v>
      </c>
      <c r="AN290" s="76">
        <f>MAX(0,O290*Escenarios!$E$13/Escenarios!$E$16-AM290)</f>
        <v>6.1148891994839217E-3</v>
      </c>
      <c r="AO290" s="76">
        <f>AM290+AN290-O290*Escenarios!$E$13/Escenarios!$E$16</f>
        <v>0</v>
      </c>
      <c r="AP290" s="76">
        <f t="shared" si="56"/>
        <v>0.18369965621331033</v>
      </c>
      <c r="AQ290" s="76">
        <f t="shared" si="59"/>
        <v>0</v>
      </c>
      <c r="AR290" s="76">
        <f t="shared" si="60"/>
        <v>0.18981454541279424</v>
      </c>
      <c r="AS290" s="76">
        <f t="shared" si="61"/>
        <v>0</v>
      </c>
      <c r="AT290" s="76">
        <f t="shared" si="62"/>
        <v>0</v>
      </c>
      <c r="AU290" s="76">
        <f t="shared" si="63"/>
        <v>48.75</v>
      </c>
      <c r="AV290" s="76">
        <f>MAX(0,(AU290-Constantes!$D$13)*(1-EXP(-Constantes!$D$24)))</f>
        <v>0</v>
      </c>
      <c r="AW290" s="170">
        <f>AW289+(Entradas!$E$112*AT290-AX289)/(800*Entradas!$D$25)</f>
        <v>0</v>
      </c>
      <c r="AX290" s="170">
        <f>8000*Entradas!$D$26*AW290/Constantes!$E$45</f>
        <v>0</v>
      </c>
      <c r="AY290" s="170">
        <f>IF(Escenarios!$E$17&gt;0,10*Escenarios!$E$16*AL290,0)</f>
        <v>0</v>
      </c>
      <c r="AZ290" s="170">
        <f>IF(Escenarios!$E$17&gt;0,10*Escenarios!$E$16*AX290,0)</f>
        <v>0</v>
      </c>
      <c r="BA290" s="170">
        <f>IF(Escenarios!$E$17&gt;0,0.001*Observaciones!$F289*Escenarios!$E$17,0)</f>
        <v>5.9999999999999991</v>
      </c>
      <c r="BB290" s="170">
        <f>IF(Escenarios!$E$17&gt;0,Observaciones!$K289,0)</f>
        <v>0</v>
      </c>
      <c r="BC290" s="170">
        <f>IF(Escenarios!$E$17&gt;0,MIN(0.0005*ETo!$M289*Escenarios!$E$17*(BG289/Constantes!$E$40)^(2/3),BG289+AY290+AZ290+BA290+BB290),0)</f>
        <v>2.5628022125222407</v>
      </c>
      <c r="BD290" s="170">
        <f>IF(Escenarios!$E$17&gt;0,MIN(Constantes!$E$39*(BG289/Constantes!$E$40)^(2/3),BG289+AY290+AZ290+BA290+BB290-BC290),0)</f>
        <v>4.325682929711653</v>
      </c>
      <c r="BE290" s="170">
        <f>IF(Escenarios!$E$17&gt;0,MIN(Entradas!$E$113,BG289+AY290+AZ290+BA290+BB290-BC290-BD290),0)</f>
        <v>1</v>
      </c>
      <c r="BF290" s="170">
        <f>IF(Escenarios!$E$17&gt;0,MAX(0,BG289+AY290+AZ290+BA290+BB290-BC290-BD290-BE290-Constantes!$E$40),0)</f>
        <v>0</v>
      </c>
      <c r="BG290" s="170">
        <f t="shared" si="68"/>
        <v>81.933083603416463</v>
      </c>
      <c r="BH290" s="170">
        <f>(Escenarios!$E$16*AK290+0.1*BC290)/(Escenarios!$E$19)</f>
        <v>0.98703880685845624</v>
      </c>
      <c r="BI290" s="170">
        <f>IF(Escenarios!$E$17&gt;0,BF290/10/Escenarios!$E$19,AL290)</f>
        <v>0</v>
      </c>
      <c r="BJ290" s="170">
        <f>(Escenarios!$E$16*AT290+0.1*BD290)/(Escenarios!$E$19)</f>
        <v>1.7165408451236719E-3</v>
      </c>
      <c r="BK290" s="76">
        <f>BK289+(0.1*BD290)/(Escenarios!$E$19)-BL289</f>
        <v>49.464472028948748</v>
      </c>
      <c r="BL290" s="76">
        <f>MAX(0,(BK290-Constantes!$D$13)*(1-EXP(-Constantes!$D$23)))</f>
        <v>7.0398630752111007E-3</v>
      </c>
      <c r="BM290" s="76">
        <f t="shared" si="64"/>
        <v>0.19073951928852143</v>
      </c>
      <c r="BN290" s="76">
        <f t="shared" si="69"/>
        <v>0.19685440848800534</v>
      </c>
      <c r="BO290" s="76">
        <f>0.0526*BI290*Observaciones!$F289^1.218</f>
        <v>0</v>
      </c>
      <c r="BP290" s="76">
        <f>BO290*Constantes!$E$51</f>
        <v>0</v>
      </c>
      <c r="BQ290" s="76">
        <f t="shared" si="65"/>
        <v>0</v>
      </c>
      <c r="BR290" s="40"/>
    </row>
    <row r="291" spans="1:70">
      <c r="A291" s="147"/>
      <c r="B291" s="39"/>
      <c r="C291" s="75">
        <v>285</v>
      </c>
      <c r="D291" s="146">
        <f>ETo!$I290*((1-Constantes!$E$19)*ETo!$K290+ETo!$L290)</f>
        <v>4.2076997627061896</v>
      </c>
      <c r="E291" s="76">
        <f>MIN(D291*Constantes!$E$17,0.8*(N290+Observaciones!$F290-F291-M291-Constantes!$D$14))</f>
        <v>2.0571962236134689</v>
      </c>
      <c r="F291" s="76">
        <f>IF(Observaciones!$F290&gt;0.05*Constantes!$E$18,((Observaciones!$F290-0.05*Constantes!$E$18)^2)/(Observaciones!$F290+0.95*Constantes!$E$18),0)</f>
        <v>1.0321555455750776E-3</v>
      </c>
      <c r="G291" s="76">
        <f>IF(Escenarios!$E$11&gt;0,(F291*Escenarios!$E$16*10000)/1000,0)</f>
        <v>2.580388863937694</v>
      </c>
      <c r="H291" s="76">
        <f>IF(Escenarios!$E$11&gt;0,(Observaciones!$F290*Constantes!$E$29)/1000,0)</f>
        <v>63</v>
      </c>
      <c r="I291" s="76">
        <f>IF(Escenarios!$E$11&gt;0,(D291*Constantes!$E$29)/1000,0)</f>
        <v>42.076997627061893</v>
      </c>
      <c r="J291" s="76">
        <f>IF(Escenarios!$E$11&gt;0,MAX(0,G291+H291-I291),0)</f>
        <v>23.503391236875807</v>
      </c>
      <c r="K291" s="76">
        <f>IF(Escenarios!$E$11&gt;0,IF(J291&gt;Constantes!$E$30,1000*((J291-Constantes!$E$30)/(Escenarios!$E$16*10000)),0),F291)</f>
        <v>0</v>
      </c>
      <c r="L291" s="76">
        <f>IF(Escenarios!$E$11&gt;0,I291*1000/Escenarios!$E$16/10000+E291,E291)</f>
        <v>2.0740270226642936</v>
      </c>
      <c r="M291" s="76">
        <f>MAX(0,N290+Observaciones!$F290-K291-Constantes!$D$13)</f>
        <v>0</v>
      </c>
      <c r="N291" s="76">
        <f>N290+Observaciones!$F290-K291-L291-M291-O290</f>
        <v>15.673016865986705</v>
      </c>
      <c r="O291" s="76">
        <f>MAX(0,(N291-Constantes!$D$14)*(1-EXP(-Constantes!$D$22)))</f>
        <v>0.15066419168283141</v>
      </c>
      <c r="P291" s="170">
        <f>P290+(Entradas!$E$83*M291-Q290)/(800*Entradas!$D$25)</f>
        <v>0</v>
      </c>
      <c r="Q291" s="170">
        <f>8000*Entradas!$D$26*P291/Constantes!$E$45</f>
        <v>0</v>
      </c>
      <c r="R291" s="170">
        <f>IF(Escenarios!$E$14&gt;0,K291*Escenarios!$E$13/Escenarios!$E$14,0)</f>
        <v>0</v>
      </c>
      <c r="S291" s="170">
        <f>IF(Escenarios!$E$14&gt;0,Q291*Escenarios!$E$13/Escenarios!$E$14,0)</f>
        <v>0</v>
      </c>
      <c r="T291" s="170">
        <f>IF(Escenarios!$E$14&gt;0,Observaciones!$I290,0)</f>
        <v>0</v>
      </c>
      <c r="U291" s="170">
        <f>IF(Escenarios!$E$14&gt;0,MAX(0,Constantes!$E$36/((Z290+R291+S291+T291+Observaciones!$F290)^2)+Entradas!$E$77),0)</f>
        <v>0</v>
      </c>
      <c r="V291" s="146">
        <f>IF(ETo!D290&gt;0,ETo!I290*((1-Entradas!$E$81)*ETo!K290+ETo!L290),0)</f>
        <v>3.8416205742816962</v>
      </c>
      <c r="W291" s="170">
        <f>IF(Escenarios!$E$14&gt;0,MIN(V291*1,0.8*(Z290+R291+S291+T291+Observaciones!$F290-U291-Constantes!$E$35)),0)</f>
        <v>3.8416205742816962</v>
      </c>
      <c r="X291" s="170">
        <f>IF(Escenarios!$E$14&gt;0,Observaciones!$J290,0)</f>
        <v>0</v>
      </c>
      <c r="Y291" s="170">
        <f>IF(Escenarios!$E$14&gt;0,MAX(0,Z290+R291+S291+T291+Observaciones!$F290-U291-W291-X291-Constantes!$E$33),0)</f>
        <v>0</v>
      </c>
      <c r="Z291" s="170">
        <f>Z290+R291+S291+T291+Observaciones!$F290-U291-W291-Y291</f>
        <v>43.888379425726974</v>
      </c>
      <c r="AA291" s="170">
        <f>IF(Escenarios!$E$14&gt;0,(Escenarios!$E$13*L291+Escenarios!$E$14*W291)/(Escenarios!$E$16),L291)</f>
        <v>2.2861382488583821</v>
      </c>
      <c r="AB291" s="170">
        <f>IF(Escenarios!$E$14&gt;0,(Escenarios!$E$14*Y291)/(Escenarios!$E$16),K291)</f>
        <v>0</v>
      </c>
      <c r="AC291" s="170">
        <f>IF(Escenarios!$E$14&gt;0,(Escenarios!$E$13*M291+Escenarios!$E$14*U291)/(Escenarios!$E$16),M291)</f>
        <v>0</v>
      </c>
      <c r="AD291" s="76">
        <f t="shared" si="57"/>
        <v>67.209882568285522</v>
      </c>
      <c r="AE291" s="76">
        <f>MAX(0,(AD291-Constantes!$D$13)*(1-EXP(-Constantes!$D$23)))</f>
        <v>0.18188961974679138</v>
      </c>
      <c r="AF291" s="76">
        <f>AB291+O291*Escenarios!$E$13/Escenarios!$E$16+AE291</f>
        <v>0.31447410842768303</v>
      </c>
      <c r="AG291" s="76">
        <f>IF(Entradas!$E$91&gt;0,IF(AF291-Escenarios!$E$38&lt;=0,0,IF(AF291-Escenarios!$E$38&gt;Escenarios!$E$37,Escenarios!$E$37,AF291-Escenarios!$E$38)),0)</f>
        <v>0</v>
      </c>
      <c r="AH291" s="76">
        <f>AG291*Entradas!$E$99</f>
        <v>0</v>
      </c>
      <c r="AI291" s="76">
        <f>IF(Entradas!$E$91&gt;0,D291*Entradas!$D$23/Escenarios!$E$16,0)</f>
        <v>0</v>
      </c>
      <c r="AJ291" s="76">
        <f>IF(Entradas!$E$91&gt;0,Entradas!$D$24*Entradas!$D$22/Escenarios!$E$16,0)</f>
        <v>0</v>
      </c>
      <c r="AK291" s="76">
        <f t="shared" si="66"/>
        <v>2.2861382488583821</v>
      </c>
      <c r="AL291" s="76">
        <f t="shared" si="67"/>
        <v>0</v>
      </c>
      <c r="AM291" s="76">
        <f t="shared" si="58"/>
        <v>0</v>
      </c>
      <c r="AN291" s="76">
        <f>MAX(0,O291*Escenarios!$E$13/Escenarios!$E$16-AM291)</f>
        <v>0.13258448868089165</v>
      </c>
      <c r="AO291" s="76">
        <f>AM291+AN291-O291*Escenarios!$E$13/Escenarios!$E$16</f>
        <v>0</v>
      </c>
      <c r="AP291" s="76">
        <f t="shared" si="56"/>
        <v>0.18188961974679138</v>
      </c>
      <c r="AQ291" s="76">
        <f t="shared" si="59"/>
        <v>0</v>
      </c>
      <c r="AR291" s="76">
        <f t="shared" si="60"/>
        <v>0.31447410842768303</v>
      </c>
      <c r="AS291" s="76">
        <f t="shared" si="61"/>
        <v>0</v>
      </c>
      <c r="AT291" s="76">
        <f t="shared" si="62"/>
        <v>0</v>
      </c>
      <c r="AU291" s="76">
        <f t="shared" si="63"/>
        <v>48.75</v>
      </c>
      <c r="AV291" s="76">
        <f>MAX(0,(AU291-Constantes!$D$13)*(1-EXP(-Constantes!$D$24)))</f>
        <v>0</v>
      </c>
      <c r="AW291" s="170">
        <f>AW290+(Entradas!$E$112*AT291-AX290)/(800*Entradas!$D$25)</f>
        <v>0</v>
      </c>
      <c r="AX291" s="170">
        <f>8000*Entradas!$D$26*AW291/Constantes!$E$45</f>
        <v>0</v>
      </c>
      <c r="AY291" s="170">
        <f>IF(Escenarios!$E$17&gt;0,10*Escenarios!$E$16*AL291,0)</f>
        <v>0</v>
      </c>
      <c r="AZ291" s="170">
        <f>IF(Escenarios!$E$17&gt;0,10*Escenarios!$E$16*AX291,0)</f>
        <v>0</v>
      </c>
      <c r="BA291" s="170">
        <f>IF(Escenarios!$E$17&gt;0,0.001*Observaciones!$F290*Escenarios!$E$17,0)</f>
        <v>126</v>
      </c>
      <c r="BB291" s="170">
        <f>IF(Escenarios!$E$17&gt;0,Observaciones!$K290,0)</f>
        <v>0</v>
      </c>
      <c r="BC291" s="170">
        <f>IF(Escenarios!$E$17&gt;0,MIN(0.0005*ETo!$M290*Escenarios!$E$17*(BG290/Constantes!$E$40)^(2/3),BG290+AY291+AZ291+BA291+BB291),0)</f>
        <v>2.5476176892910454</v>
      </c>
      <c r="BD291" s="170">
        <f>IF(Escenarios!$E$17&gt;0,MIN(Constantes!$E$39*(BG290/Constantes!$E$40)^(2/3),BG290+AY291+AZ291+BA291+BB291-BC291),0)</f>
        <v>4.2604652407342778</v>
      </c>
      <c r="BE291" s="170">
        <f>IF(Escenarios!$E$17&gt;0,MIN(Entradas!$E$113,BG290+AY291+AZ291+BA291+BB291-BC291-BD291),0)</f>
        <v>1</v>
      </c>
      <c r="BF291" s="170">
        <f>IF(Escenarios!$E$17&gt;0,MAX(0,BG290+AY291+AZ291+BA291+BB291-BC291-BD291-BE291-Constantes!$E$40),0)</f>
        <v>0</v>
      </c>
      <c r="BG291" s="170">
        <f t="shared" si="68"/>
        <v>200.12500067339113</v>
      </c>
      <c r="BH291" s="170">
        <f>(Escenarios!$E$16*AK291+0.1*BC291)/(Escenarios!$E$19)</f>
        <v>2.269005253902876</v>
      </c>
      <c r="BI291" s="170">
        <f>IF(Escenarios!$E$17&gt;0,BF291/10/Escenarios!$E$19,AL291)</f>
        <v>0</v>
      </c>
      <c r="BJ291" s="170">
        <f>(Escenarios!$E$16*AT291+0.1*BD291)/(Escenarios!$E$19)</f>
        <v>1.6906608098151896E-3</v>
      </c>
      <c r="BK291" s="76">
        <f>BK290+(0.1*BD291)/(Escenarios!$E$19)-BL290</f>
        <v>49.459122826683348</v>
      </c>
      <c r="BL291" s="76">
        <f>MAX(0,(BK291-Constantes!$D$13)*(1-EXP(-Constantes!$D$23)))</f>
        <v>6.9871561112093998E-3</v>
      </c>
      <c r="BM291" s="76">
        <f t="shared" si="64"/>
        <v>0.18887677585800078</v>
      </c>
      <c r="BN291" s="76">
        <f t="shared" si="69"/>
        <v>0.32146126453889246</v>
      </c>
      <c r="BO291" s="76">
        <f>0.0526*BI291*Observaciones!$F290^1.218</f>
        <v>0</v>
      </c>
      <c r="BP291" s="76">
        <f>BO291*Constantes!$E$51</f>
        <v>0</v>
      </c>
      <c r="BQ291" s="76">
        <f t="shared" si="65"/>
        <v>0</v>
      </c>
      <c r="BR291" s="40"/>
    </row>
    <row r="292" spans="1:70">
      <c r="A292" s="147"/>
      <c r="B292" s="39"/>
      <c r="C292" s="75">
        <v>286</v>
      </c>
      <c r="D292" s="146">
        <f>ETo!$I291*((1-Constantes!$E$19)*ETo!$K291+ETo!$L291)</f>
        <v>4.0095909190439727</v>
      </c>
      <c r="E292" s="76">
        <f>MIN(D292*Constantes!$E$17,0.8*(N291+Observaciones!$F291-F292-M292-Constantes!$D$14))</f>
        <v>1.9603383706224971</v>
      </c>
      <c r="F292" s="76">
        <f>IF(Observaciones!$F291&gt;0.05*Constantes!$E$18,((Observaciones!$F291-0.05*Constantes!$E$18)^2)/(Observaciones!$F291+0.95*Constantes!$E$18),0)</f>
        <v>0</v>
      </c>
      <c r="G292" s="76">
        <f>IF(Escenarios!$E$11&gt;0,(F292*Escenarios!$E$16*10000)/1000,0)</f>
        <v>0</v>
      </c>
      <c r="H292" s="76">
        <f>IF(Escenarios!$E$11&gt;0,(Observaciones!$F291*Constantes!$E$29)/1000,0)</f>
        <v>33</v>
      </c>
      <c r="I292" s="76">
        <f>IF(Escenarios!$E$11&gt;0,(D292*Constantes!$E$29)/1000,0)</f>
        <v>40.095909190439727</v>
      </c>
      <c r="J292" s="76">
        <f>IF(Escenarios!$E$11&gt;0,MAX(0,G292+H292-I292),0)</f>
        <v>0</v>
      </c>
      <c r="K292" s="76">
        <f>IF(Escenarios!$E$11&gt;0,IF(J292&gt;Constantes!$E$30,1000*((J292-Constantes!$E$30)/(Escenarios!$E$16*10000)),0),F292)</f>
        <v>0</v>
      </c>
      <c r="L292" s="76">
        <f>IF(Escenarios!$E$11&gt;0,I292*1000/Escenarios!$E$16/10000+E292,E292)</f>
        <v>1.9763767342986729</v>
      </c>
      <c r="M292" s="76">
        <f>MAX(0,N291+Observaciones!$F291-K292-Constantes!$D$13)</f>
        <v>0</v>
      </c>
      <c r="N292" s="76">
        <f>N291+Observaciones!$F291-K292-L292-M292-O291</f>
        <v>16.8459759400052</v>
      </c>
      <c r="O292" s="76">
        <f>MAX(0,(N292-Constantes!$D$14)*(1-EXP(-Constantes!$D$22)))</f>
        <v>0.19061948376481508</v>
      </c>
      <c r="P292" s="170">
        <f>P291+(Entradas!$E$83*M292-Q291)/(800*Entradas!$D$25)</f>
        <v>0</v>
      </c>
      <c r="Q292" s="170">
        <f>8000*Entradas!$D$26*P292/Constantes!$E$45</f>
        <v>0</v>
      </c>
      <c r="R292" s="170">
        <f>IF(Escenarios!$E$14&gt;0,K292*Escenarios!$E$13/Escenarios!$E$14,0)</f>
        <v>0</v>
      </c>
      <c r="S292" s="170">
        <f>IF(Escenarios!$E$14&gt;0,Q292*Escenarios!$E$13/Escenarios!$E$14,0)</f>
        <v>0</v>
      </c>
      <c r="T292" s="170">
        <f>IF(Escenarios!$E$14&gt;0,Observaciones!$I291,0)</f>
        <v>0</v>
      </c>
      <c r="U292" s="170">
        <f>IF(Escenarios!$E$14&gt;0,MAX(0,Constantes!$E$36/((Z291+R292+S292+T292+Observaciones!$F291)^2)+Entradas!$E$77),0)</f>
        <v>0</v>
      </c>
      <c r="V292" s="146">
        <f>IF(ETo!D291&gt;0,ETo!I291*((1-Entradas!$E$81)*ETo!K291+ETo!L291),0)</f>
        <v>3.6590793804944024</v>
      </c>
      <c r="W292" s="170">
        <f>IF(Escenarios!$E$14&gt;0,MIN(V292*1,0.8*(Z291+R292+S292+T292+Observaciones!$F291-U292-Constantes!$E$35)),0)</f>
        <v>3.6590793804944024</v>
      </c>
      <c r="X292" s="170">
        <f>IF(Escenarios!$E$14&gt;0,Observaciones!$J291,0)</f>
        <v>0</v>
      </c>
      <c r="Y292" s="170">
        <f>IF(Escenarios!$E$14&gt;0,MAX(0,Z291+R292+S292+T292+Observaciones!$F291-U292-W292-X292-Constantes!$E$33),0)</f>
        <v>0</v>
      </c>
      <c r="Z292" s="170">
        <f>Z291+R292+S292+T292+Observaciones!$F291-U292-W292-Y292</f>
        <v>43.529300045232567</v>
      </c>
      <c r="AA292" s="170">
        <f>IF(Escenarios!$E$14&gt;0,(Escenarios!$E$13*L292+Escenarios!$E$14*W292)/(Escenarios!$E$16),L292)</f>
        <v>2.1783010518421606</v>
      </c>
      <c r="AB292" s="170">
        <f>IF(Escenarios!$E$14&gt;0,(Escenarios!$E$14*Y292)/(Escenarios!$E$16),K292)</f>
        <v>0</v>
      </c>
      <c r="AC292" s="170">
        <f>IF(Escenarios!$E$14&gt;0,(Escenarios!$E$13*M292+Escenarios!$E$14*U292)/(Escenarios!$E$16),M292)</f>
        <v>0</v>
      </c>
      <c r="AD292" s="76">
        <f t="shared" si="57"/>
        <v>67.027992948538724</v>
      </c>
      <c r="AE292" s="76">
        <f>MAX(0,(AD292-Constantes!$D$13)*(1-EXP(-Constantes!$D$23)))</f>
        <v>0.18009741800069401</v>
      </c>
      <c r="AF292" s="76">
        <f>AB292+O292*Escenarios!$E$13/Escenarios!$E$16+AE292</f>
        <v>0.34784256371373123</v>
      </c>
      <c r="AG292" s="76">
        <f>IF(Entradas!$E$91&gt;0,IF(AF292-Escenarios!$E$38&lt;=0,0,IF(AF292-Escenarios!$E$38&gt;Escenarios!$E$37,Escenarios!$E$37,AF292-Escenarios!$E$38)),0)</f>
        <v>0</v>
      </c>
      <c r="AH292" s="76">
        <f>AG292*Entradas!$E$99</f>
        <v>0</v>
      </c>
      <c r="AI292" s="76">
        <f>IF(Entradas!$E$91&gt;0,D292*Entradas!$D$23/Escenarios!$E$16,0)</f>
        <v>0</v>
      </c>
      <c r="AJ292" s="76">
        <f>IF(Entradas!$E$91&gt;0,Entradas!$D$24*Entradas!$D$22/Escenarios!$E$16,0)</f>
        <v>0</v>
      </c>
      <c r="AK292" s="76">
        <f t="shared" si="66"/>
        <v>2.1783010518421606</v>
      </c>
      <c r="AL292" s="76">
        <f t="shared" si="67"/>
        <v>0</v>
      </c>
      <c r="AM292" s="76">
        <f t="shared" si="58"/>
        <v>0</v>
      </c>
      <c r="AN292" s="76">
        <f>MAX(0,O292*Escenarios!$E$13/Escenarios!$E$16-AM292)</f>
        <v>0.16774514571303725</v>
      </c>
      <c r="AO292" s="76">
        <f>AM292+AN292-O292*Escenarios!$E$13/Escenarios!$E$16</f>
        <v>0</v>
      </c>
      <c r="AP292" s="76">
        <f t="shared" si="56"/>
        <v>0.18009741800069401</v>
      </c>
      <c r="AQ292" s="76">
        <f t="shared" si="59"/>
        <v>0</v>
      </c>
      <c r="AR292" s="76">
        <f t="shared" si="60"/>
        <v>0.34784256371373123</v>
      </c>
      <c r="AS292" s="76">
        <f t="shared" si="61"/>
        <v>0</v>
      </c>
      <c r="AT292" s="76">
        <f t="shared" si="62"/>
        <v>0</v>
      </c>
      <c r="AU292" s="76">
        <f t="shared" si="63"/>
        <v>48.75</v>
      </c>
      <c r="AV292" s="76">
        <f>MAX(0,(AU292-Constantes!$D$13)*(1-EXP(-Constantes!$D$24)))</f>
        <v>0</v>
      </c>
      <c r="AW292" s="170">
        <f>AW291+(Entradas!$E$112*AT292-AX291)/(800*Entradas!$D$25)</f>
        <v>0</v>
      </c>
      <c r="AX292" s="170">
        <f>8000*Entradas!$D$26*AW292/Constantes!$E$45</f>
        <v>0</v>
      </c>
      <c r="AY292" s="170">
        <f>IF(Escenarios!$E$17&gt;0,10*Escenarios!$E$16*AL292,0)</f>
        <v>0</v>
      </c>
      <c r="AZ292" s="170">
        <f>IF(Escenarios!$E$17&gt;0,10*Escenarios!$E$16*AX292,0)</f>
        <v>0</v>
      </c>
      <c r="BA292" s="170">
        <f>IF(Escenarios!$E$17&gt;0,0.001*Observaciones!$F291*Escenarios!$E$17,0)</f>
        <v>66</v>
      </c>
      <c r="BB292" s="170">
        <f>IF(Escenarios!$E$17&gt;0,Observaciones!$K291,0)</f>
        <v>0</v>
      </c>
      <c r="BC292" s="170">
        <f>IF(Escenarios!$E$17&gt;0,MIN(0.0005*ETo!$M291*Escenarios!$E$17*(BG291/Constantes!$E$40)^(2/3),BG291+AY292+AZ292+BA292+BB292),0)</f>
        <v>4.4055583954554196</v>
      </c>
      <c r="BD292" s="170">
        <f>IF(Escenarios!$E$17&gt;0,MIN(Constantes!$E$39*(BG291/Constantes!$E$40)^(2/3),BG291+AY292+AZ292+BA292+BB292-BC292),0)</f>
        <v>7.72713305698122</v>
      </c>
      <c r="BE292" s="170">
        <f>IF(Escenarios!$E$17&gt;0,MIN(Entradas!$E$113,BG291+AY292+AZ292+BA292+BB292-BC292-BD292),0)</f>
        <v>1</v>
      </c>
      <c r="BF292" s="170">
        <f>IF(Escenarios!$E$17&gt;0,MAX(0,BG291+AY292+AZ292+BA292+BB292-BC292-BD292-BE292-Constantes!$E$40),0)</f>
        <v>0</v>
      </c>
      <c r="BG292" s="170">
        <f t="shared" si="68"/>
        <v>252.99230922095447</v>
      </c>
      <c r="BH292" s="170">
        <f>(Escenarios!$E$16*AK292+0.1*BC292)/(Escenarios!$E$19)</f>
        <v>2.1627611857146261</v>
      </c>
      <c r="BI292" s="170">
        <f>IF(Escenarios!$E$17&gt;0,BF292/10/Escenarios!$E$19,AL292)</f>
        <v>0</v>
      </c>
      <c r="BJ292" s="170">
        <f>(Escenarios!$E$16*AT292+0.1*BD292)/(Escenarios!$E$19)</f>
        <v>3.0663226416592143E-3</v>
      </c>
      <c r="BK292" s="76">
        <f>BK291+(0.1*BD292)/(Escenarios!$E$19)-BL291</f>
        <v>49.455201993213798</v>
      </c>
      <c r="BL292" s="76">
        <f>MAX(0,(BK292-Constantes!$D$13)*(1-EXP(-Constantes!$D$23)))</f>
        <v>6.9485232051641468E-3</v>
      </c>
      <c r="BM292" s="76">
        <f t="shared" si="64"/>
        <v>0.18704594120585816</v>
      </c>
      <c r="BN292" s="76">
        <f t="shared" si="69"/>
        <v>0.35479108691889538</v>
      </c>
      <c r="BO292" s="76">
        <f>0.0526*BI292*Observaciones!$F291^1.218</f>
        <v>0</v>
      </c>
      <c r="BP292" s="76">
        <f>BO292*Constantes!$E$51</f>
        <v>0</v>
      </c>
      <c r="BQ292" s="76">
        <f t="shared" si="65"/>
        <v>0</v>
      </c>
      <c r="BR292" s="40"/>
    </row>
    <row r="293" spans="1:70">
      <c r="A293" s="147"/>
      <c r="B293" s="39"/>
      <c r="C293" s="75">
        <v>287</v>
      </c>
      <c r="D293" s="146">
        <f>ETo!$I292*((1-Constantes!$E$19)*ETo!$K292+ETo!$L292)</f>
        <v>4.1672819436027186</v>
      </c>
      <c r="E293" s="76">
        <f>MIN(D293*Constantes!$E$17,0.8*(N292+Observaciones!$F292-F293-M293-Constantes!$D$14))</f>
        <v>2.0374354541870696</v>
      </c>
      <c r="F293" s="76">
        <f>IF(Observaciones!$F292&gt;0.05*Constantes!$E$18,((Observaciones!$F292-0.05*Constantes!$E$18)^2)/(Observaciones!$F292+0.95*Constantes!$E$18),0)</f>
        <v>1.4840754273750125</v>
      </c>
      <c r="G293" s="76">
        <f>IF(Escenarios!$E$11&gt;0,(F293*Escenarios!$E$16*10000)/1000,0)</f>
        <v>3710.1885684375316</v>
      </c>
      <c r="H293" s="76">
        <f>IF(Escenarios!$E$11&gt;0,(Observaciones!$F292*Constantes!$E$29)/1000,0)</f>
        <v>200</v>
      </c>
      <c r="I293" s="76">
        <f>IF(Escenarios!$E$11&gt;0,(D293*Constantes!$E$29)/1000,0)</f>
        <v>41.67281943602719</v>
      </c>
      <c r="J293" s="76">
        <f>IF(Escenarios!$E$11&gt;0,MAX(0,G293+H293-I293),0)</f>
        <v>3868.5157490015044</v>
      </c>
      <c r="K293" s="76">
        <f>IF(Escenarios!$E$11&gt;0,IF(J293&gt;Constantes!$E$30,1000*((J293-Constantes!$E$30)/(Escenarios!$E$16*10000)),0),F293)</f>
        <v>1.0327004172476606</v>
      </c>
      <c r="L293" s="76">
        <f>IF(Escenarios!$E$11&gt;0,I293*1000/Escenarios!$E$16/10000+E293,E293)</f>
        <v>2.0541045819614805</v>
      </c>
      <c r="M293" s="76">
        <f>MAX(0,N292+Observaciones!$F292-K293-Constantes!$D$13)</f>
        <v>0</v>
      </c>
      <c r="N293" s="76">
        <f>N292+Observaciones!$F292-K293-L293-M293-O292</f>
        <v>33.568551457031248</v>
      </c>
      <c r="O293" s="76">
        <f>MAX(0,(N293-Constantes!$D$14)*(1-EXP(-Constantes!$D$22)))</f>
        <v>0.76025179570622037</v>
      </c>
      <c r="P293" s="170">
        <f>P292+(Entradas!$E$83*M293-Q292)/(800*Entradas!$D$25)</f>
        <v>0</v>
      </c>
      <c r="Q293" s="170">
        <f>8000*Entradas!$D$26*P293/Constantes!$E$45</f>
        <v>0</v>
      </c>
      <c r="R293" s="170">
        <f>IF(Escenarios!$E$14&gt;0,K293*Escenarios!$E$13/Escenarios!$E$14,0)</f>
        <v>7.573136393149511</v>
      </c>
      <c r="S293" s="170">
        <f>IF(Escenarios!$E$14&gt;0,Q293*Escenarios!$E$13/Escenarios!$E$14,0)</f>
        <v>0</v>
      </c>
      <c r="T293" s="170">
        <f>IF(Escenarios!$E$14&gt;0,Observaciones!$I292,0)</f>
        <v>0</v>
      </c>
      <c r="U293" s="170">
        <f>IF(Escenarios!$E$14&gt;0,MAX(0,Constantes!$E$36/((Z292+R293+S293+T293+Observaciones!$F292)^2)+Entradas!$E$77),0)</f>
        <v>0.96921465202634183</v>
      </c>
      <c r="V293" s="146">
        <f>IF(ETo!D292&gt;0,ETo!I292*((1-Entradas!$E$81)*ETo!K292+ETo!L292),0)</f>
        <v>3.8044966079099463</v>
      </c>
      <c r="W293" s="170">
        <f>IF(Escenarios!$E$14&gt;0,MIN(V293*1,0.8*(Z292+R293+S293+T293+Observaciones!$F292-U293-Constantes!$E$35)),0)</f>
        <v>3.8044966079099463</v>
      </c>
      <c r="X293" s="170">
        <f>IF(Escenarios!$E$14&gt;0,Observaciones!$J292,0)</f>
        <v>0</v>
      </c>
      <c r="Y293" s="170">
        <f>IF(Escenarios!$E$14&gt;0,MAX(0,Z292+R293+S293+T293+Observaciones!$F292-U293-W293-X293-Constantes!$E$33),0)</f>
        <v>0</v>
      </c>
      <c r="Z293" s="170">
        <f>Z292+R293+S293+T293+Observaciones!$F292-U293-W293-Y293</f>
        <v>66.328725178445808</v>
      </c>
      <c r="AA293" s="170">
        <f>IF(Escenarios!$E$14&gt;0,(Escenarios!$E$13*L293+Escenarios!$E$14*W293)/(Escenarios!$E$16),L293)</f>
        <v>2.2641516250752964</v>
      </c>
      <c r="AB293" s="170">
        <f>IF(Escenarios!$E$14&gt;0,(Escenarios!$E$14*Y293)/(Escenarios!$E$16),K293)</f>
        <v>0</v>
      </c>
      <c r="AC293" s="170">
        <f>IF(Escenarios!$E$14&gt;0,(Escenarios!$E$13*M293+Escenarios!$E$14*U293)/(Escenarios!$E$16),M293)</f>
        <v>0.11630575824316103</v>
      </c>
      <c r="AD293" s="76">
        <f t="shared" si="57"/>
        <v>66.964201288781183</v>
      </c>
      <c r="AE293" s="76">
        <f>MAX(0,(AD293-Constantes!$D$13)*(1-EXP(-Constantes!$D$23)))</f>
        <v>0.17946886358311337</v>
      </c>
      <c r="AF293" s="76">
        <f>AB293+O293*Escenarios!$E$13/Escenarios!$E$16+AE293</f>
        <v>0.84849044380458727</v>
      </c>
      <c r="AG293" s="76">
        <f>IF(Entradas!$E$91&gt;0,IF(AF293-Escenarios!$E$38&lt;=0,0,IF(AF293-Escenarios!$E$38&gt;Escenarios!$E$37,Escenarios!$E$37,AF293-Escenarios!$E$38)),0)</f>
        <v>0</v>
      </c>
      <c r="AH293" s="76">
        <f>AG293*Entradas!$E$99</f>
        <v>0</v>
      </c>
      <c r="AI293" s="76">
        <f>IF(Entradas!$E$91&gt;0,D293*Entradas!$D$23/Escenarios!$E$16,0)</f>
        <v>0</v>
      </c>
      <c r="AJ293" s="76">
        <f>IF(Entradas!$E$91&gt;0,Entradas!$D$24*Entradas!$D$22/Escenarios!$E$16,0)</f>
        <v>0</v>
      </c>
      <c r="AK293" s="76">
        <f t="shared" si="66"/>
        <v>2.2641516250752964</v>
      </c>
      <c r="AL293" s="76">
        <f t="shared" si="67"/>
        <v>0</v>
      </c>
      <c r="AM293" s="76">
        <f t="shared" si="58"/>
        <v>0</v>
      </c>
      <c r="AN293" s="76">
        <f>MAX(0,O293*Escenarios!$E$13/Escenarios!$E$16-AM293)</f>
        <v>0.66902158022147384</v>
      </c>
      <c r="AO293" s="76">
        <f>AM293+AN293-O293*Escenarios!$E$13/Escenarios!$E$16</f>
        <v>0</v>
      </c>
      <c r="AP293" s="76">
        <f t="shared" si="56"/>
        <v>0.17946886358311337</v>
      </c>
      <c r="AQ293" s="76">
        <f t="shared" si="59"/>
        <v>0</v>
      </c>
      <c r="AR293" s="76">
        <f t="shared" si="60"/>
        <v>0.84849044380458727</v>
      </c>
      <c r="AS293" s="76">
        <f t="shared" si="61"/>
        <v>0</v>
      </c>
      <c r="AT293" s="76">
        <f t="shared" si="62"/>
        <v>0.11630575824316103</v>
      </c>
      <c r="AU293" s="76">
        <f t="shared" si="63"/>
        <v>48.75</v>
      </c>
      <c r="AV293" s="76">
        <f>MAX(0,(AU293-Constantes!$D$13)*(1-EXP(-Constantes!$D$24)))</f>
        <v>0</v>
      </c>
      <c r="AW293" s="170">
        <f>AW292+(Entradas!$E$112*AT293-AX292)/(800*Entradas!$D$25)</f>
        <v>0</v>
      </c>
      <c r="AX293" s="170">
        <f>8000*Entradas!$D$26*AW293/Constantes!$E$45</f>
        <v>0</v>
      </c>
      <c r="AY293" s="170">
        <f>IF(Escenarios!$E$17&gt;0,10*Escenarios!$E$16*AL293,0)</f>
        <v>0</v>
      </c>
      <c r="AZ293" s="170">
        <f>IF(Escenarios!$E$17&gt;0,10*Escenarios!$E$16*AX293,0)</f>
        <v>0</v>
      </c>
      <c r="BA293" s="170">
        <f>IF(Escenarios!$E$17&gt;0,0.001*Observaciones!$F292*Escenarios!$E$17,0)</f>
        <v>400</v>
      </c>
      <c r="BB293" s="170">
        <f>IF(Escenarios!$E$17&gt;0,Observaciones!$K292,0)</f>
        <v>0</v>
      </c>
      <c r="BC293" s="170">
        <f>IF(Escenarios!$E$17&gt;0,MIN(0.0005*ETo!$M292*Escenarios!$E$17*(BG292/Constantes!$E$40)^(2/3),BG292+AY293+AZ293+BA293+BB293),0)</f>
        <v>5.3506496336180476</v>
      </c>
      <c r="BD293" s="170">
        <f>IF(Escenarios!$E$17&gt;0,MIN(Constantes!$E$39*(BG292/Constantes!$E$40)^(2/3),BG292+AY293+AZ293+BA293+BB293-BC293),0)</f>
        <v>9.0341862361644516</v>
      </c>
      <c r="BE293" s="170">
        <f>IF(Escenarios!$E$17&gt;0,MIN(Entradas!$E$113,BG292+AY293+AZ293+BA293+BB293-BC293-BD293),0)</f>
        <v>1</v>
      </c>
      <c r="BF293" s="170">
        <f>IF(Escenarios!$E$17&gt;0,MAX(0,BG292+AY293+AZ293+BA293+BB293-BC293-BD293-BE293-Constantes!$E$40),0)</f>
        <v>0</v>
      </c>
      <c r="BG293" s="170">
        <f t="shared" si="68"/>
        <v>637.60747335117185</v>
      </c>
      <c r="BH293" s="170">
        <f>(Escenarios!$E$16*AK293+0.1*BC293)/(Escenarios!$E$19)</f>
        <v>2.2483054413975636</v>
      </c>
      <c r="BI293" s="170">
        <f>IF(Escenarios!$E$17&gt;0,BF293/10/Escenarios!$E$19,AL293)</f>
        <v>0</v>
      </c>
      <c r="BJ293" s="170">
        <f>(Escenarios!$E$16*AT293+0.1*BD293)/(Escenarios!$E$19)</f>
        <v>0.11896769120796311</v>
      </c>
      <c r="BK293" s="76">
        <f>BK292+(0.1*BD293)/(Escenarios!$E$19)-BL292</f>
        <v>49.451838464546789</v>
      </c>
      <c r="BL293" s="76">
        <f>MAX(0,(BK293-Constantes!$D$13)*(1-EXP(-Constantes!$D$23)))</f>
        <v>6.9153815560779944E-3</v>
      </c>
      <c r="BM293" s="76">
        <f t="shared" si="64"/>
        <v>0.18638424513919136</v>
      </c>
      <c r="BN293" s="76">
        <f t="shared" si="69"/>
        <v>0.85540582536066523</v>
      </c>
      <c r="BO293" s="76">
        <f>0.0526*BI293*Observaciones!$F292^1.218</f>
        <v>0</v>
      </c>
      <c r="BP293" s="76">
        <f>BO293*Constantes!$E$51</f>
        <v>0</v>
      </c>
      <c r="BQ293" s="76">
        <f t="shared" si="65"/>
        <v>0</v>
      </c>
      <c r="BR293" s="40"/>
    </row>
    <row r="294" spans="1:70">
      <c r="A294" s="147"/>
      <c r="B294" s="39"/>
      <c r="C294" s="75">
        <v>288</v>
      </c>
      <c r="D294" s="146">
        <f>ETo!$I293*((1-Constantes!$E$19)*ETo!$K293+ETo!$L293)</f>
        <v>4.250169476268705</v>
      </c>
      <c r="E294" s="76">
        <f>MIN(D294*Constantes!$E$17,0.8*(N293+Observaciones!$F293-F294-M294-Constantes!$D$14))</f>
        <v>2.0779601895059785</v>
      </c>
      <c r="F294" s="76">
        <f>IF(Observaciones!$F293&gt;0.05*Constantes!$E$18,((Observaciones!$F293-0.05*Constantes!$E$18)^2)/(Observaciones!$F293+0.95*Constantes!$E$18),0)</f>
        <v>0</v>
      </c>
      <c r="G294" s="76">
        <f>IF(Escenarios!$E$11&gt;0,(F294*Escenarios!$E$16*10000)/1000,0)</f>
        <v>0</v>
      </c>
      <c r="H294" s="76">
        <f>IF(Escenarios!$E$11&gt;0,(Observaciones!$F293*Constantes!$E$29)/1000,0)</f>
        <v>42</v>
      </c>
      <c r="I294" s="76">
        <f>IF(Escenarios!$E$11&gt;0,(D294*Constantes!$E$29)/1000,0)</f>
        <v>42.501694762687052</v>
      </c>
      <c r="J294" s="76">
        <f>IF(Escenarios!$E$11&gt;0,MAX(0,G294+H294-I294),0)</f>
        <v>0</v>
      </c>
      <c r="K294" s="76">
        <f>IF(Escenarios!$E$11&gt;0,IF(J294&gt;Constantes!$E$30,1000*((J294-Constantes!$E$30)/(Escenarios!$E$16*10000)),0),F294)</f>
        <v>0</v>
      </c>
      <c r="L294" s="76">
        <f>IF(Escenarios!$E$11&gt;0,I294*1000/Escenarios!$E$16/10000+E294,E294)</f>
        <v>2.0949608674110531</v>
      </c>
      <c r="M294" s="76">
        <f>MAX(0,N293+Observaciones!$F293-K294-Constantes!$D$13)</f>
        <v>0</v>
      </c>
      <c r="N294" s="76">
        <f>N293+Observaciones!$F293-K294-L294-M294-O293</f>
        <v>34.913338793913979</v>
      </c>
      <c r="O294" s="76">
        <f>MAX(0,(N294-Constantes!$D$14)*(1-EXP(-Constantes!$D$22)))</f>
        <v>0.80606018921582667</v>
      </c>
      <c r="P294" s="170">
        <f>P293+(Entradas!$E$83*M294-Q293)/(800*Entradas!$D$25)</f>
        <v>0</v>
      </c>
      <c r="Q294" s="170">
        <f>8000*Entradas!$D$26*P294/Constantes!$E$45</f>
        <v>0</v>
      </c>
      <c r="R294" s="170">
        <f>IF(Escenarios!$E$14&gt;0,K294*Escenarios!$E$13/Escenarios!$E$14,0)</f>
        <v>0</v>
      </c>
      <c r="S294" s="170">
        <f>IF(Escenarios!$E$14&gt;0,Q294*Escenarios!$E$13/Escenarios!$E$14,0)</f>
        <v>0</v>
      </c>
      <c r="T294" s="170">
        <f>IF(Escenarios!$E$14&gt;0,Observaciones!$I293,0)</f>
        <v>0</v>
      </c>
      <c r="U294" s="170">
        <f>IF(Escenarios!$E$14&gt;0,MAX(0,Constantes!$E$36/((Z293+R294+S294+T294+Observaciones!$F293)^2)+Entradas!$E$77),0)</f>
        <v>0.93604169820228478</v>
      </c>
      <c r="V294" s="146">
        <f>IF(ETo!D293&gt;0,ETo!I293*((1-Entradas!$E$81)*ETo!K293+ETo!L293),0)</f>
        <v>3.8811798179648771</v>
      </c>
      <c r="W294" s="170">
        <f>IF(Escenarios!$E$14&gt;0,MIN(V294*1,0.8*(Z293+R294+S294+T294+Observaciones!$F293-U294-Constantes!$E$35)),0)</f>
        <v>3.8811798179648771</v>
      </c>
      <c r="X294" s="170">
        <f>IF(Escenarios!$E$14&gt;0,Observaciones!$J293,0)</f>
        <v>0</v>
      </c>
      <c r="Y294" s="170">
        <f>IF(Escenarios!$E$14&gt;0,MAX(0,Z293+R294+S294+T294+Observaciones!$F293-U294-W294-X294-Constantes!$E$33),0)</f>
        <v>0</v>
      </c>
      <c r="Z294" s="170">
        <f>Z293+R294+S294+T294+Observaciones!$F293-U294-W294-Y294</f>
        <v>65.711503662278645</v>
      </c>
      <c r="AA294" s="170">
        <f>IF(Escenarios!$E$14&gt;0,(Escenarios!$E$13*L294+Escenarios!$E$14*W294)/(Escenarios!$E$16),L294)</f>
        <v>2.3093071414775124</v>
      </c>
      <c r="AB294" s="170">
        <f>IF(Escenarios!$E$14&gt;0,(Escenarios!$E$14*Y294)/(Escenarios!$E$16),K294)</f>
        <v>0</v>
      </c>
      <c r="AC294" s="170">
        <f>IF(Escenarios!$E$14&gt;0,(Escenarios!$E$13*M294+Escenarios!$E$14*U294)/(Escenarios!$E$16),M294)</f>
        <v>0.11232500378427418</v>
      </c>
      <c r="AD294" s="76">
        <f t="shared" si="57"/>
        <v>66.89705742898235</v>
      </c>
      <c r="AE294" s="76">
        <f>MAX(0,(AD294-Constantes!$D$13)*(1-EXP(-Constantes!$D$23)))</f>
        <v>0.17880727914009403</v>
      </c>
      <c r="AF294" s="76">
        <f>AB294+O294*Escenarios!$E$13/Escenarios!$E$16+AE294</f>
        <v>0.88814024565002159</v>
      </c>
      <c r="AG294" s="76">
        <f>IF(Entradas!$E$91&gt;0,IF(AF294-Escenarios!$E$38&lt;=0,0,IF(AF294-Escenarios!$E$38&gt;Escenarios!$E$37,Escenarios!$E$37,AF294-Escenarios!$E$38)),0)</f>
        <v>0</v>
      </c>
      <c r="AH294" s="76">
        <f>AG294*Entradas!$E$99</f>
        <v>0</v>
      </c>
      <c r="AI294" s="76">
        <f>IF(Entradas!$E$91&gt;0,D294*Entradas!$D$23/Escenarios!$E$16,0)</f>
        <v>0</v>
      </c>
      <c r="AJ294" s="76">
        <f>IF(Entradas!$E$91&gt;0,Entradas!$D$24*Entradas!$D$22/Escenarios!$E$16,0)</f>
        <v>0</v>
      </c>
      <c r="AK294" s="76">
        <f t="shared" si="66"/>
        <v>2.3093071414775124</v>
      </c>
      <c r="AL294" s="76">
        <f t="shared" si="67"/>
        <v>0</v>
      </c>
      <c r="AM294" s="76">
        <f t="shared" si="58"/>
        <v>0</v>
      </c>
      <c r="AN294" s="76">
        <f>MAX(0,O294*Escenarios!$E$13/Escenarios!$E$16-AM294)</f>
        <v>0.7093329665099275</v>
      </c>
      <c r="AO294" s="76">
        <f>AM294+AN294-O294*Escenarios!$E$13/Escenarios!$E$16</f>
        <v>0</v>
      </c>
      <c r="AP294" s="76">
        <f t="shared" si="56"/>
        <v>0.17880727914009403</v>
      </c>
      <c r="AQ294" s="76">
        <f t="shared" si="59"/>
        <v>0</v>
      </c>
      <c r="AR294" s="76">
        <f t="shared" si="60"/>
        <v>0.88814024565002159</v>
      </c>
      <c r="AS294" s="76">
        <f t="shared" si="61"/>
        <v>0</v>
      </c>
      <c r="AT294" s="76">
        <f t="shared" si="62"/>
        <v>0.11232500378427418</v>
      </c>
      <c r="AU294" s="76">
        <f t="shared" si="63"/>
        <v>48.75</v>
      </c>
      <c r="AV294" s="76">
        <f>MAX(0,(AU294-Constantes!$D$13)*(1-EXP(-Constantes!$D$24)))</f>
        <v>0</v>
      </c>
      <c r="AW294" s="170">
        <f>AW293+(Entradas!$E$112*AT294-AX293)/(800*Entradas!$D$25)</f>
        <v>0</v>
      </c>
      <c r="AX294" s="170">
        <f>8000*Entradas!$D$26*AW294/Constantes!$E$45</f>
        <v>0</v>
      </c>
      <c r="AY294" s="170">
        <f>IF(Escenarios!$E$17&gt;0,10*Escenarios!$E$16*AL294,0)</f>
        <v>0</v>
      </c>
      <c r="AZ294" s="170">
        <f>IF(Escenarios!$E$17&gt;0,10*Escenarios!$E$16*AX294,0)</f>
        <v>0</v>
      </c>
      <c r="BA294" s="170">
        <f>IF(Escenarios!$E$17&gt;0,0.001*Observaciones!$F293*Escenarios!$E$17,0)</f>
        <v>84.000000000000014</v>
      </c>
      <c r="BB294" s="170">
        <f>IF(Escenarios!$E$17&gt;0,Observaciones!$K293,0)</f>
        <v>0</v>
      </c>
      <c r="BC294" s="170">
        <f>IF(Escenarios!$E$17&gt;0,MIN(0.0005*ETo!$M293*Escenarios!$E$17*(BG293/Constantes!$E$40)^(2/3),BG293+AY294+AZ294+BA294+BB294),0)</f>
        <v>10.102934351958474</v>
      </c>
      <c r="BD294" s="170">
        <f>IF(Escenarios!$E$17&gt;0,MIN(Constantes!$E$39*(BG293/Constantes!$E$40)^(2/3),BG293+AY294+AZ294+BA294+BB294-BC294),0)</f>
        <v>16.730917544280818</v>
      </c>
      <c r="BE294" s="170">
        <f>IF(Escenarios!$E$17&gt;0,MIN(Entradas!$E$113,BG293+AY294+AZ294+BA294+BB294-BC294-BD294),0)</f>
        <v>1</v>
      </c>
      <c r="BF294" s="170">
        <f>IF(Escenarios!$E$17&gt;0,MAX(0,BG293+AY294+AZ294+BA294+BB294-BC294-BD294-BE294-Constantes!$E$40),0)</f>
        <v>0</v>
      </c>
      <c r="BG294" s="170">
        <f t="shared" si="68"/>
        <v>693.7736214549326</v>
      </c>
      <c r="BH294" s="170">
        <f>(Escenarios!$E$16*AK294+0.1*BC294)/(Escenarios!$E$19)</f>
        <v>2.2949884079546585</v>
      </c>
      <c r="BI294" s="170">
        <f>IF(Escenarios!$E$17&gt;0,BF294/10/Escenarios!$E$19,AL294)</f>
        <v>0</v>
      </c>
      <c r="BJ294" s="170">
        <f>(Escenarios!$E$16*AT294+0.1*BD294)/(Escenarios!$E$19)</f>
        <v>0.11807278849403423</v>
      </c>
      <c r="BK294" s="76">
        <f>BK293+(0.1*BD294)/(Escenarios!$E$19)-BL293</f>
        <v>49.451562335984477</v>
      </c>
      <c r="BL294" s="76">
        <f>MAX(0,(BK294-Constantes!$D$13)*(1-EXP(-Constantes!$D$23)))</f>
        <v>6.9126607955848317E-3</v>
      </c>
      <c r="BM294" s="76">
        <f t="shared" si="64"/>
        <v>0.18571993993567887</v>
      </c>
      <c r="BN294" s="76">
        <f t="shared" si="69"/>
        <v>0.89505290644560642</v>
      </c>
      <c r="BO294" s="76">
        <f>0.0526*BI294*Observaciones!$F293^1.218</f>
        <v>0</v>
      </c>
      <c r="BP294" s="76">
        <f>BO294*Constantes!$E$51</f>
        <v>0</v>
      </c>
      <c r="BQ294" s="76">
        <f t="shared" si="65"/>
        <v>0</v>
      </c>
      <c r="BR294" s="40"/>
    </row>
    <row r="295" spans="1:70">
      <c r="A295" s="147"/>
      <c r="B295" s="39"/>
      <c r="C295" s="75">
        <v>289</v>
      </c>
      <c r="D295" s="146">
        <f>ETo!$I294*((1-Constantes!$E$19)*ETo!$K294+ETo!$L294)</f>
        <v>4.3330435050352278</v>
      </c>
      <c r="E295" s="76">
        <f>MIN(D295*Constantes!$E$17,0.8*(N294+Observaciones!$F294-F295-M295-Constantes!$D$14))</f>
        <v>2.118478322602166</v>
      </c>
      <c r="F295" s="76">
        <f>IF(Observaciones!$F294&gt;0.05*Constantes!$E$18,((Observaciones!$F294-0.05*Constantes!$E$18)^2)/(Observaciones!$F294+0.95*Constantes!$E$18),0)</f>
        <v>0.35210171807487228</v>
      </c>
      <c r="G295" s="76">
        <f>IF(Escenarios!$E$11&gt;0,(F295*Escenarios!$E$16*10000)/1000,0)</f>
        <v>880.25429518718079</v>
      </c>
      <c r="H295" s="76">
        <f>IF(Escenarios!$E$11&gt;0,(Observaciones!$F294*Constantes!$E$29)/1000,0)</f>
        <v>126</v>
      </c>
      <c r="I295" s="76">
        <f>IF(Escenarios!$E$11&gt;0,(D295*Constantes!$E$29)/1000,0)</f>
        <v>43.330435050352278</v>
      </c>
      <c r="J295" s="76">
        <f>IF(Escenarios!$E$11&gt;0,MAX(0,G295+H295-I295),0)</f>
        <v>962.92386013682847</v>
      </c>
      <c r="K295" s="76">
        <f>IF(Escenarios!$E$11&gt;0,IF(J295&gt;Constantes!$E$30,1000*((J295-Constantes!$E$30)/(Escenarios!$E$16*10000)),0),F295)</f>
        <v>0</v>
      </c>
      <c r="L295" s="76">
        <f>IF(Escenarios!$E$11&gt;0,I295*1000/Escenarios!$E$16/10000+E295,E295)</f>
        <v>2.135810496622307</v>
      </c>
      <c r="M295" s="76">
        <f>MAX(0,N294+Observaciones!$F294-K295-Constantes!$D$13)</f>
        <v>0</v>
      </c>
      <c r="N295" s="76">
        <f>N294+Observaciones!$F294-K295-L295-M295-O294</f>
        <v>44.571468108075848</v>
      </c>
      <c r="O295" s="76">
        <f>MAX(0,(N295-Constantes!$D$14)*(1-EXP(-Constantes!$D$22)))</f>
        <v>1.1350515293747432</v>
      </c>
      <c r="P295" s="170">
        <f>P294+(Entradas!$E$83*M295-Q294)/(800*Entradas!$D$25)</f>
        <v>0</v>
      </c>
      <c r="Q295" s="170">
        <f>8000*Entradas!$D$26*P295/Constantes!$E$45</f>
        <v>0</v>
      </c>
      <c r="R295" s="170">
        <f>IF(Escenarios!$E$14&gt;0,K295*Escenarios!$E$13/Escenarios!$E$14,0)</f>
        <v>0</v>
      </c>
      <c r="S295" s="170">
        <f>IF(Escenarios!$E$14&gt;0,Q295*Escenarios!$E$13/Escenarios!$E$14,0)</f>
        <v>0</v>
      </c>
      <c r="T295" s="170">
        <f>IF(Escenarios!$E$14&gt;0,Observaciones!$I294,0)</f>
        <v>0</v>
      </c>
      <c r="U295" s="170">
        <f>IF(Escenarios!$E$14&gt;0,MAX(0,Constantes!$E$36/((Z294+R295+S295+T295+Observaciones!$F294)^2)+Entradas!$E$77),0)</f>
        <v>1.3258982091629405</v>
      </c>
      <c r="V295" s="146">
        <f>IF(ETo!D294&gt;0,ETo!I294*((1-Entradas!$E$81)*ETo!K294+ETo!L294),0)</f>
        <v>3.9579814294571261</v>
      </c>
      <c r="W295" s="170">
        <f>IF(Escenarios!$E$14&gt;0,MIN(V295*1,0.8*(Z294+R295+S295+T295+Observaciones!$F294-U295-Constantes!$E$35)),0)</f>
        <v>3.9579814294571261</v>
      </c>
      <c r="X295" s="170">
        <f>IF(Escenarios!$E$14&gt;0,Observaciones!$J294,0)</f>
        <v>0</v>
      </c>
      <c r="Y295" s="170">
        <f>IF(Escenarios!$E$14&gt;0,MAX(0,Z294+R295+S295+T295+Observaciones!$F294-U295-W295-X295-Constantes!$E$33),0)</f>
        <v>0</v>
      </c>
      <c r="Z295" s="170">
        <f>Z294+R295+S295+T295+Observaciones!$F294-U295-W295-Y295</f>
        <v>73.027624023658575</v>
      </c>
      <c r="AA295" s="170">
        <f>IF(Escenarios!$E$14&gt;0,(Escenarios!$E$13*L295+Escenarios!$E$14*W295)/(Escenarios!$E$16),L295)</f>
        <v>2.3544710085624851</v>
      </c>
      <c r="AB295" s="170">
        <f>IF(Escenarios!$E$14&gt;0,(Escenarios!$E$14*Y295)/(Escenarios!$E$16),K295)</f>
        <v>0</v>
      </c>
      <c r="AC295" s="170">
        <f>IF(Escenarios!$E$14&gt;0,(Escenarios!$E$13*M295+Escenarios!$E$14*U295)/(Escenarios!$E$16),M295)</f>
        <v>0.15910778509955287</v>
      </c>
      <c r="AD295" s="76">
        <f t="shared" si="57"/>
        <v>66.877357934941813</v>
      </c>
      <c r="AE295" s="76">
        <f>MAX(0,(AD295-Constantes!$D$13)*(1-EXP(-Constantes!$D$23)))</f>
        <v>0.17861317533325868</v>
      </c>
      <c r="AF295" s="76">
        <f>AB295+O295*Escenarios!$E$13/Escenarios!$E$16+AE295</f>
        <v>1.1774585211830326</v>
      </c>
      <c r="AG295" s="76">
        <f>IF(Entradas!$E$91&gt;0,IF(AF295-Escenarios!$E$38&lt;=0,0,IF(AF295-Escenarios!$E$38&gt;Escenarios!$E$37,Escenarios!$E$37,AF295-Escenarios!$E$38)),0)</f>
        <v>0</v>
      </c>
      <c r="AH295" s="76">
        <f>AG295*Entradas!$E$99</f>
        <v>0</v>
      </c>
      <c r="AI295" s="76">
        <f>IF(Entradas!$E$91&gt;0,D295*Entradas!$D$23/Escenarios!$E$16,0)</f>
        <v>0</v>
      </c>
      <c r="AJ295" s="76">
        <f>IF(Entradas!$E$91&gt;0,Entradas!$D$24*Entradas!$D$22/Escenarios!$E$16,0)</f>
        <v>0</v>
      </c>
      <c r="AK295" s="76">
        <f t="shared" si="66"/>
        <v>2.3544710085624851</v>
      </c>
      <c r="AL295" s="76">
        <f t="shared" si="67"/>
        <v>0</v>
      </c>
      <c r="AM295" s="76">
        <f t="shared" si="58"/>
        <v>0</v>
      </c>
      <c r="AN295" s="76">
        <f>MAX(0,O295*Escenarios!$E$13/Escenarios!$E$16-AM295)</f>
        <v>0.99884534584977402</v>
      </c>
      <c r="AO295" s="76">
        <f>AM295+AN295-O295*Escenarios!$E$13/Escenarios!$E$16</f>
        <v>0</v>
      </c>
      <c r="AP295" s="76">
        <f t="shared" si="56"/>
        <v>0.17861317533325868</v>
      </c>
      <c r="AQ295" s="76">
        <f t="shared" si="59"/>
        <v>0</v>
      </c>
      <c r="AR295" s="76">
        <f t="shared" si="60"/>
        <v>1.1774585211830326</v>
      </c>
      <c r="AS295" s="76">
        <f t="shared" si="61"/>
        <v>0</v>
      </c>
      <c r="AT295" s="76">
        <f t="shared" si="62"/>
        <v>0.15910778509955287</v>
      </c>
      <c r="AU295" s="76">
        <f t="shared" si="63"/>
        <v>48.75</v>
      </c>
      <c r="AV295" s="76">
        <f>MAX(0,(AU295-Constantes!$D$13)*(1-EXP(-Constantes!$D$24)))</f>
        <v>0</v>
      </c>
      <c r="AW295" s="170">
        <f>AW294+(Entradas!$E$112*AT295-AX294)/(800*Entradas!$D$25)</f>
        <v>0</v>
      </c>
      <c r="AX295" s="170">
        <f>8000*Entradas!$D$26*AW295/Constantes!$E$45</f>
        <v>0</v>
      </c>
      <c r="AY295" s="170">
        <f>IF(Escenarios!$E$17&gt;0,10*Escenarios!$E$16*AL295,0)</f>
        <v>0</v>
      </c>
      <c r="AZ295" s="170">
        <f>IF(Escenarios!$E$17&gt;0,10*Escenarios!$E$16*AX295,0)</f>
        <v>0</v>
      </c>
      <c r="BA295" s="170">
        <f>IF(Escenarios!$E$17&gt;0,0.001*Observaciones!$F294*Escenarios!$E$17,0)</f>
        <v>252</v>
      </c>
      <c r="BB295" s="170">
        <f>IF(Escenarios!$E$17&gt;0,Observaciones!$K294,0)</f>
        <v>0</v>
      </c>
      <c r="BC295" s="170">
        <f>IF(Escenarios!$E$17&gt;0,MIN(0.0005*ETo!$M294*Escenarios!$E$17*(BG294/Constantes!$E$40)^(2/3),BG294+AY295+AZ295+BA295+BB295),0)</f>
        <v>10.892347080652163</v>
      </c>
      <c r="BD295" s="170">
        <f>IF(Escenarios!$E$17&gt;0,MIN(Constantes!$E$39*(BG294/Constantes!$E$40)^(2/3),BG294+AY295+AZ295+BA295+BB295-BC295),0)</f>
        <v>17.699568623195134</v>
      </c>
      <c r="BE295" s="170">
        <f>IF(Escenarios!$E$17&gt;0,MIN(Entradas!$E$113,BG294+AY295+AZ295+BA295+BB295-BC295-BD295),0)</f>
        <v>1</v>
      </c>
      <c r="BF295" s="170">
        <f>IF(Escenarios!$E$17&gt;0,MAX(0,BG294+AY295+AZ295+BA295+BB295-BC295-BD295-BE295-Constantes!$E$40),0)</f>
        <v>0</v>
      </c>
      <c r="BG295" s="170">
        <f t="shared" si="68"/>
        <v>916.18170575108536</v>
      </c>
      <c r="BH295" s="170">
        <f>(Escenarios!$E$16*AK295+0.1*BC295)/(Escenarios!$E$19)</f>
        <v>2.3401070906693908</v>
      </c>
      <c r="BI295" s="170">
        <f>IF(Escenarios!$E$17&gt;0,BF295/10/Escenarios!$E$19,AL295)</f>
        <v>0</v>
      </c>
      <c r="BJ295" s="170">
        <f>(Escenarios!$E$16*AT295+0.1*BD295)/(Escenarios!$E$19)</f>
        <v>0.16486866324288782</v>
      </c>
      <c r="BK295" s="76">
        <f>BK294+(0.1*BD295)/(Escenarios!$E$19)-BL294</f>
        <v>49.45167331353143</v>
      </c>
      <c r="BL295" s="76">
        <f>MAX(0,(BK295-Constantes!$D$13)*(1-EXP(-Constantes!$D$23)))</f>
        <v>6.9137542837877514E-3</v>
      </c>
      <c r="BM295" s="76">
        <f t="shared" si="64"/>
        <v>0.18552692961704642</v>
      </c>
      <c r="BN295" s="76">
        <f t="shared" si="69"/>
        <v>1.1843722754668204</v>
      </c>
      <c r="BO295" s="76">
        <f>0.0526*BI295*Observaciones!$F294^1.218</f>
        <v>0</v>
      </c>
      <c r="BP295" s="76">
        <f>BO295*Constantes!$E$51</f>
        <v>0</v>
      </c>
      <c r="BQ295" s="76">
        <f t="shared" si="65"/>
        <v>0</v>
      </c>
      <c r="BR295" s="40"/>
    </row>
    <row r="296" spans="1:70">
      <c r="A296" s="147"/>
      <c r="B296" s="39"/>
      <c r="C296" s="75">
        <v>290</v>
      </c>
      <c r="D296" s="146">
        <f>ETo!$I295*((1-Constantes!$E$19)*ETo!$K295+ETo!$L295)</f>
        <v>4.340642627699963</v>
      </c>
      <c r="E296" s="76">
        <f>MIN(D296*Constantes!$E$17,0.8*(N295+Observaciones!$F295-F296-M296-Constantes!$D$14))</f>
        <v>2.122193627241348</v>
      </c>
      <c r="F296" s="76">
        <f>IF(Observaciones!$F295&gt;0.05*Constantes!$E$18,((Observaciones!$F295-0.05*Constantes!$E$18)^2)/(Observaciones!$F295+0.95*Constantes!$E$18),0)</f>
        <v>0</v>
      </c>
      <c r="G296" s="76">
        <f>IF(Escenarios!$E$11&gt;0,(F296*Escenarios!$E$16*10000)/1000,0)</f>
        <v>0</v>
      </c>
      <c r="H296" s="76">
        <f>IF(Escenarios!$E$11&gt;0,(Observaciones!$F295*Constantes!$E$29)/1000,0)</f>
        <v>0</v>
      </c>
      <c r="I296" s="76">
        <f>IF(Escenarios!$E$11&gt;0,(D296*Constantes!$E$29)/1000,0)</f>
        <v>43.406426276999625</v>
      </c>
      <c r="J296" s="76">
        <f>IF(Escenarios!$E$11&gt;0,MAX(0,G296+H296-I296),0)</f>
        <v>0</v>
      </c>
      <c r="K296" s="76">
        <f>IF(Escenarios!$E$11&gt;0,IF(J296&gt;Constantes!$E$30,1000*((J296-Constantes!$E$30)/(Escenarios!$E$16*10000)),0),F296)</f>
        <v>0</v>
      </c>
      <c r="L296" s="76">
        <f>IF(Escenarios!$E$11&gt;0,I296*1000/Escenarios!$E$16/10000+E296,E296)</f>
        <v>2.1395561977521478</v>
      </c>
      <c r="M296" s="76">
        <f>MAX(0,N295+Observaciones!$F295-K296-Constantes!$D$13)</f>
        <v>0</v>
      </c>
      <c r="N296" s="76">
        <f>N295+Observaciones!$F295-K296-L296-M296-O295</f>
        <v>41.296860380948957</v>
      </c>
      <c r="O296" s="76">
        <f>MAX(0,(N296-Constantes!$D$14)*(1-EXP(-Constantes!$D$22)))</f>
        <v>1.0235063688577337</v>
      </c>
      <c r="P296" s="170">
        <f>P295+(Entradas!$E$83*M296-Q295)/(800*Entradas!$D$25)</f>
        <v>0</v>
      </c>
      <c r="Q296" s="170">
        <f>8000*Entradas!$D$26*P296/Constantes!$E$45</f>
        <v>0</v>
      </c>
      <c r="R296" s="170">
        <f>IF(Escenarios!$E$14&gt;0,K296*Escenarios!$E$13/Escenarios!$E$14,0)</f>
        <v>0</v>
      </c>
      <c r="S296" s="170">
        <f>IF(Escenarios!$E$14&gt;0,Q296*Escenarios!$E$13/Escenarios!$E$14,0)</f>
        <v>0</v>
      </c>
      <c r="T296" s="170">
        <f>IF(Escenarios!$E$14&gt;0,Observaciones!$I295,0)</f>
        <v>0</v>
      </c>
      <c r="U296" s="170">
        <f>IF(Escenarios!$E$14&gt;0,MAX(0,Constantes!$E$36/((Z295+R296+S296+T296+Observaciones!$F295)^2)+Entradas!$E$77),0)</f>
        <v>1.0748762807015839</v>
      </c>
      <c r="V296" s="146">
        <f>IF(ETo!D295&gt;0,ETo!I295*((1-Entradas!$E$81)*ETo!K295+ETo!L295),0)</f>
        <v>3.9650967128510728</v>
      </c>
      <c r="W296" s="170">
        <f>IF(Escenarios!$E$14&gt;0,MIN(V296*1,0.8*(Z295+R296+S296+T296+Observaciones!$F295-U296-Constantes!$E$35)),0)</f>
        <v>3.9650967128510728</v>
      </c>
      <c r="X296" s="170">
        <f>IF(Escenarios!$E$14&gt;0,Observaciones!$J295,0)</f>
        <v>0</v>
      </c>
      <c r="Y296" s="170">
        <f>IF(Escenarios!$E$14&gt;0,MAX(0,Z295+R296+S296+T296+Observaciones!$F295-U296-W296-X296-Constantes!$E$33),0)</f>
        <v>0</v>
      </c>
      <c r="Z296" s="170">
        <f>Z295+R296+S296+T296+Observaciones!$F295-U296-W296-Y296</f>
        <v>67.987651030105908</v>
      </c>
      <c r="AA296" s="170">
        <f>IF(Escenarios!$E$14&gt;0,(Escenarios!$E$13*L296+Escenarios!$E$14*W296)/(Escenarios!$E$16),L296)</f>
        <v>2.3586210595640185</v>
      </c>
      <c r="AB296" s="170">
        <f>IF(Escenarios!$E$14&gt;0,(Escenarios!$E$14*Y296)/(Escenarios!$E$16),K296)</f>
        <v>0</v>
      </c>
      <c r="AC296" s="170">
        <f>IF(Escenarios!$E$14&gt;0,(Escenarios!$E$13*M296+Escenarios!$E$14*U296)/(Escenarios!$E$16),M296)</f>
        <v>0.12898515368419006</v>
      </c>
      <c r="AD296" s="76">
        <f t="shared" si="57"/>
        <v>66.827729913292742</v>
      </c>
      <c r="AE296" s="76">
        <f>MAX(0,(AD296-Constantes!$D$13)*(1-EXP(-Constantes!$D$23)))</f>
        <v>0.17812417861547658</v>
      </c>
      <c r="AF296" s="76">
        <f>AB296+O296*Escenarios!$E$13/Escenarios!$E$16+AE296</f>
        <v>1.0788097832102823</v>
      </c>
      <c r="AG296" s="76">
        <f>IF(Entradas!$E$91&gt;0,IF(AF296-Escenarios!$E$38&lt;=0,0,IF(AF296-Escenarios!$E$38&gt;Escenarios!$E$37,Escenarios!$E$37,AF296-Escenarios!$E$38)),0)</f>
        <v>0</v>
      </c>
      <c r="AH296" s="76">
        <f>AG296*Entradas!$E$99</f>
        <v>0</v>
      </c>
      <c r="AI296" s="76">
        <f>IF(Entradas!$E$91&gt;0,D296*Entradas!$D$23/Escenarios!$E$16,0)</f>
        <v>0</v>
      </c>
      <c r="AJ296" s="76">
        <f>IF(Entradas!$E$91&gt;0,Entradas!$D$24*Entradas!$D$22/Escenarios!$E$16,0)</f>
        <v>0</v>
      </c>
      <c r="AK296" s="76">
        <f t="shared" si="66"/>
        <v>2.3586210595640185</v>
      </c>
      <c r="AL296" s="76">
        <f t="shared" si="67"/>
        <v>0</v>
      </c>
      <c r="AM296" s="76">
        <f t="shared" si="58"/>
        <v>0</v>
      </c>
      <c r="AN296" s="76">
        <f>MAX(0,O296*Escenarios!$E$13/Escenarios!$E$16-AM296)</f>
        <v>0.90068560459480573</v>
      </c>
      <c r="AO296" s="76">
        <f>AM296+AN296-O296*Escenarios!$E$13/Escenarios!$E$16</f>
        <v>0</v>
      </c>
      <c r="AP296" s="76">
        <f t="shared" si="56"/>
        <v>0.17812417861547658</v>
      </c>
      <c r="AQ296" s="76">
        <f t="shared" si="59"/>
        <v>0</v>
      </c>
      <c r="AR296" s="76">
        <f t="shared" si="60"/>
        <v>1.0788097832102823</v>
      </c>
      <c r="AS296" s="76">
        <f t="shared" si="61"/>
        <v>0</v>
      </c>
      <c r="AT296" s="76">
        <f t="shared" si="62"/>
        <v>0.12898515368419006</v>
      </c>
      <c r="AU296" s="76">
        <f t="shared" si="63"/>
        <v>48.75</v>
      </c>
      <c r="AV296" s="76">
        <f>MAX(0,(AU296-Constantes!$D$13)*(1-EXP(-Constantes!$D$24)))</f>
        <v>0</v>
      </c>
      <c r="AW296" s="170">
        <f>AW295+(Entradas!$E$112*AT296-AX295)/(800*Entradas!$D$25)</f>
        <v>0</v>
      </c>
      <c r="AX296" s="170">
        <f>8000*Entradas!$D$26*AW296/Constantes!$E$45</f>
        <v>0</v>
      </c>
      <c r="AY296" s="170">
        <f>IF(Escenarios!$E$17&gt;0,10*Escenarios!$E$16*AL296,0)</f>
        <v>0</v>
      </c>
      <c r="AZ296" s="170">
        <f>IF(Escenarios!$E$17&gt;0,10*Escenarios!$E$16*AX296,0)</f>
        <v>0</v>
      </c>
      <c r="BA296" s="170">
        <f>IF(Escenarios!$E$17&gt;0,0.001*Observaciones!$F295*Escenarios!$E$17,0)</f>
        <v>0</v>
      </c>
      <c r="BB296" s="170">
        <f>IF(Escenarios!$E$17&gt;0,Observaciones!$K295,0)</f>
        <v>0</v>
      </c>
      <c r="BC296" s="170">
        <f>IF(Escenarios!$E$17&gt;0,MIN(0.0005*ETo!$M295*Escenarios!$E$17*(BG295/Constantes!$E$40)^(2/3),BG295+AY296+AZ296+BA296+BB296),0)</f>
        <v>13.133109754544982</v>
      </c>
      <c r="BD296" s="170">
        <f>IF(Escenarios!$E$17&gt;0,MIN(Constantes!$E$39*(BG295/Constantes!$E$40)^(2/3),BG295+AY296+AZ296+BA296+BB296-BC296),0)</f>
        <v>21.30452733877032</v>
      </c>
      <c r="BE296" s="170">
        <f>IF(Escenarios!$E$17&gt;0,MIN(Entradas!$E$113,BG295+AY296+AZ296+BA296+BB296-BC296-BD296),0)</f>
        <v>1</v>
      </c>
      <c r="BF296" s="170">
        <f>IF(Escenarios!$E$17&gt;0,MAX(0,BG295+AY296+AZ296+BA296+BB296-BC296-BD296-BE296-Constantes!$E$40),0)</f>
        <v>0</v>
      </c>
      <c r="BG296" s="170">
        <f t="shared" si="68"/>
        <v>880.74406865777007</v>
      </c>
      <c r="BH296" s="170">
        <f>(Escenarios!$E$16*AK296+0.1*BC296)/(Escenarios!$E$19)</f>
        <v>2.3451133962954724</v>
      </c>
      <c r="BI296" s="170">
        <f>IF(Escenarios!$E$17&gt;0,BF296/10/Escenarios!$E$19,AL296)</f>
        <v>0</v>
      </c>
      <c r="BJ296" s="170">
        <f>(Escenarios!$E$16*AT296+0.1*BD296)/(Escenarios!$E$19)</f>
        <v>0.13641563950366883</v>
      </c>
      <c r="BK296" s="76">
        <f>BK295+(0.1*BD296)/(Escenarios!$E$19)-BL295</f>
        <v>49.453213736763026</v>
      </c>
      <c r="BL296" s="76">
        <f>MAX(0,(BK296-Constantes!$D$13)*(1-EXP(-Constantes!$D$23)))</f>
        <v>6.9289324407888946E-3</v>
      </c>
      <c r="BM296" s="76">
        <f t="shared" si="64"/>
        <v>0.18505311105626548</v>
      </c>
      <c r="BN296" s="76">
        <f t="shared" si="69"/>
        <v>1.0857387156510712</v>
      </c>
      <c r="BO296" s="76">
        <f>0.0526*BI296*Observaciones!$F295^1.218</f>
        <v>0</v>
      </c>
      <c r="BP296" s="76">
        <f>BO296*Constantes!$E$51</f>
        <v>0</v>
      </c>
      <c r="BQ296" s="76">
        <f t="shared" si="65"/>
        <v>0</v>
      </c>
      <c r="BR296" s="40"/>
    </row>
    <row r="297" spans="1:70">
      <c r="A297" s="147"/>
      <c r="B297" s="39"/>
      <c r="C297" s="75">
        <v>291</v>
      </c>
      <c r="D297" s="146">
        <f>ETo!$I296*((1-Constantes!$E$19)*ETo!$K296+ETo!$L296)</f>
        <v>4.2283201407663862</v>
      </c>
      <c r="E297" s="76">
        <f>MIN(D297*Constantes!$E$17,0.8*(N296+Observaciones!$F296-F297-M297-Constantes!$D$14))</f>
        <v>2.0672777803468882</v>
      </c>
      <c r="F297" s="76">
        <f>IF(Observaciones!$F296&gt;0.05*Constantes!$E$18,((Observaciones!$F296-0.05*Constantes!$E$18)^2)/(Observaciones!$F296+0.95*Constantes!$E$18),0)</f>
        <v>0</v>
      </c>
      <c r="G297" s="76">
        <f>IF(Escenarios!$E$11&gt;0,(F297*Escenarios!$E$16*10000)/1000,0)</f>
        <v>0</v>
      </c>
      <c r="H297" s="76">
        <f>IF(Escenarios!$E$11&gt;0,(Observaciones!$F296*Constantes!$E$29)/1000,0)</f>
        <v>0</v>
      </c>
      <c r="I297" s="76">
        <f>IF(Escenarios!$E$11&gt;0,(D297*Constantes!$E$29)/1000,0)</f>
        <v>42.28320140766386</v>
      </c>
      <c r="J297" s="76">
        <f>IF(Escenarios!$E$11&gt;0,MAX(0,G297+H297-I297),0)</f>
        <v>0</v>
      </c>
      <c r="K297" s="76">
        <f>IF(Escenarios!$E$11&gt;0,IF(J297&gt;Constantes!$E$30,1000*((J297-Constantes!$E$30)/(Escenarios!$E$16*10000)),0),F297)</f>
        <v>0</v>
      </c>
      <c r="L297" s="76">
        <f>IF(Escenarios!$E$11&gt;0,I297*1000/Escenarios!$E$16/10000+E297,E297)</f>
        <v>2.0841910609099537</v>
      </c>
      <c r="M297" s="76">
        <f>MAX(0,N296+Observaciones!$F296-K297-Constantes!$D$13)</f>
        <v>0</v>
      </c>
      <c r="N297" s="76">
        <f>N296+Observaciones!$F296-K297-L297-M297-O296</f>
        <v>38.189162951181274</v>
      </c>
      <c r="O297" s="76">
        <f>MAX(0,(N297-Constantes!$D$14)*(1-EXP(-Constantes!$D$22)))</f>
        <v>0.91764678580902459</v>
      </c>
      <c r="P297" s="170">
        <f>P296+(Entradas!$E$83*M297-Q296)/(800*Entradas!$D$25)</f>
        <v>0</v>
      </c>
      <c r="Q297" s="170">
        <f>8000*Entradas!$D$26*P297/Constantes!$E$45</f>
        <v>0</v>
      </c>
      <c r="R297" s="170">
        <f>IF(Escenarios!$E$14&gt;0,K297*Escenarios!$E$13/Escenarios!$E$14,0)</f>
        <v>0</v>
      </c>
      <c r="S297" s="170">
        <f>IF(Escenarios!$E$14&gt;0,Q297*Escenarios!$E$13/Escenarios!$E$14,0)</f>
        <v>0</v>
      </c>
      <c r="T297" s="170">
        <f>IF(Escenarios!$E$14&gt;0,Observaciones!$I296,0)</f>
        <v>0</v>
      </c>
      <c r="U297" s="170">
        <f>IF(Escenarios!$E$14&gt;0,MAX(0,Constantes!$E$36/((Z296+R297+S297+T297+Observaciones!$F296)^2)+Entradas!$E$77),0)</f>
        <v>0.77887544313935475</v>
      </c>
      <c r="V297" s="146">
        <f>IF(ETo!D296&gt;0,ETo!I296*((1-Entradas!$E$81)*ETo!K296+ETo!L296),0)</f>
        <v>3.861251169106152</v>
      </c>
      <c r="W297" s="170">
        <f>IF(Escenarios!$E$14&gt;0,MIN(V297*1,0.8*(Z296+R297+S297+T297+Observaciones!$F296-U297-Constantes!$E$35)),0)</f>
        <v>3.861251169106152</v>
      </c>
      <c r="X297" s="170">
        <f>IF(Escenarios!$E$14&gt;0,Observaciones!$J296,0)</f>
        <v>0</v>
      </c>
      <c r="Y297" s="170">
        <f>IF(Escenarios!$E$14&gt;0,MAX(0,Z296+R297+S297+T297+Observaciones!$F296-U297-W297-X297-Constantes!$E$33),0)</f>
        <v>0</v>
      </c>
      <c r="Z297" s="170">
        <f>Z296+R297+S297+T297+Observaciones!$F296-U297-W297-Y297</f>
        <v>63.347524417860399</v>
      </c>
      <c r="AA297" s="170">
        <f>IF(Escenarios!$E$14&gt;0,(Escenarios!$E$13*L297+Escenarios!$E$14*W297)/(Escenarios!$E$16),L297)</f>
        <v>2.2974382738934973</v>
      </c>
      <c r="AB297" s="170">
        <f>IF(Escenarios!$E$14&gt;0,(Escenarios!$E$14*Y297)/(Escenarios!$E$16),K297)</f>
        <v>0</v>
      </c>
      <c r="AC297" s="170">
        <f>IF(Escenarios!$E$14&gt;0,(Escenarios!$E$13*M297+Escenarios!$E$14*U297)/(Escenarios!$E$16),M297)</f>
        <v>9.346505317672256E-2</v>
      </c>
      <c r="AD297" s="76">
        <f t="shared" si="57"/>
        <v>66.743070787853995</v>
      </c>
      <c r="AE297" s="76">
        <f>MAX(0,(AD297-Constantes!$D$13)*(1-EXP(-Constantes!$D$23)))</f>
        <v>0.1772900120882959</v>
      </c>
      <c r="AF297" s="76">
        <f>AB297+O297*Escenarios!$E$13/Escenarios!$E$16+AE297</f>
        <v>0.98481918360023746</v>
      </c>
      <c r="AG297" s="76">
        <f>IF(Entradas!$E$91&gt;0,IF(AF297-Escenarios!$E$38&lt;=0,0,IF(AF297-Escenarios!$E$38&gt;Escenarios!$E$37,Escenarios!$E$37,AF297-Escenarios!$E$38)),0)</f>
        <v>0</v>
      </c>
      <c r="AH297" s="76">
        <f>AG297*Entradas!$E$99</f>
        <v>0</v>
      </c>
      <c r="AI297" s="76">
        <f>IF(Entradas!$E$91&gt;0,D297*Entradas!$D$23/Escenarios!$E$16,0)</f>
        <v>0</v>
      </c>
      <c r="AJ297" s="76">
        <f>IF(Entradas!$E$91&gt;0,Entradas!$D$24*Entradas!$D$22/Escenarios!$E$16,0)</f>
        <v>0</v>
      </c>
      <c r="AK297" s="76">
        <f t="shared" si="66"/>
        <v>2.2974382738934973</v>
      </c>
      <c r="AL297" s="76">
        <f t="shared" si="67"/>
        <v>0</v>
      </c>
      <c r="AM297" s="76">
        <f t="shared" si="58"/>
        <v>0</v>
      </c>
      <c r="AN297" s="76">
        <f>MAX(0,O297*Escenarios!$E$13/Escenarios!$E$16-AM297)</f>
        <v>0.80752917151194159</v>
      </c>
      <c r="AO297" s="76">
        <f>AM297+AN297-O297*Escenarios!$E$13/Escenarios!$E$16</f>
        <v>0</v>
      </c>
      <c r="AP297" s="76">
        <f t="shared" si="56"/>
        <v>0.1772900120882959</v>
      </c>
      <c r="AQ297" s="76">
        <f t="shared" si="59"/>
        <v>0</v>
      </c>
      <c r="AR297" s="76">
        <f t="shared" si="60"/>
        <v>0.98481918360023746</v>
      </c>
      <c r="AS297" s="76">
        <f t="shared" si="61"/>
        <v>0</v>
      </c>
      <c r="AT297" s="76">
        <f t="shared" si="62"/>
        <v>9.346505317672256E-2</v>
      </c>
      <c r="AU297" s="76">
        <f t="shared" si="63"/>
        <v>48.75</v>
      </c>
      <c r="AV297" s="76">
        <f>MAX(0,(AU297-Constantes!$D$13)*(1-EXP(-Constantes!$D$24)))</f>
        <v>0</v>
      </c>
      <c r="AW297" s="170">
        <f>AW296+(Entradas!$E$112*AT297-AX296)/(800*Entradas!$D$25)</f>
        <v>0</v>
      </c>
      <c r="AX297" s="170">
        <f>8000*Entradas!$D$26*AW297/Constantes!$E$45</f>
        <v>0</v>
      </c>
      <c r="AY297" s="170">
        <f>IF(Escenarios!$E$17&gt;0,10*Escenarios!$E$16*AL297,0)</f>
        <v>0</v>
      </c>
      <c r="AZ297" s="170">
        <f>IF(Escenarios!$E$17&gt;0,10*Escenarios!$E$16*AX297,0)</f>
        <v>0</v>
      </c>
      <c r="BA297" s="170">
        <f>IF(Escenarios!$E$17&gt;0,0.001*Observaciones!$F296*Escenarios!$E$17,0)</f>
        <v>0</v>
      </c>
      <c r="BB297" s="170">
        <f>IF(Escenarios!$E$17&gt;0,Observaciones!$K296,0)</f>
        <v>0</v>
      </c>
      <c r="BC297" s="170">
        <f>IF(Escenarios!$E$17&gt;0,MIN(0.0005*ETo!$M296*Escenarios!$E$17*(BG296/Constantes!$E$40)^(2/3),BG296+AY297+AZ297+BA297+BB297),0)</f>
        <v>12.466273455599538</v>
      </c>
      <c r="BD297" s="170">
        <f>IF(Escenarios!$E$17&gt;0,MIN(Constantes!$E$39*(BG296/Constantes!$E$40)^(2/3),BG296+AY297+AZ297+BA297+BB297-BC297),0)</f>
        <v>20.751554937434946</v>
      </c>
      <c r="BE297" s="170">
        <f>IF(Escenarios!$E$17&gt;0,MIN(Entradas!$E$113,BG296+AY297+AZ297+BA297+BB297-BC297-BD297),0)</f>
        <v>1</v>
      </c>
      <c r="BF297" s="170">
        <f>IF(Escenarios!$E$17&gt;0,MAX(0,BG296+AY297+AZ297+BA297+BB297-BC297-BD297-BE297-Constantes!$E$40),0)</f>
        <v>0</v>
      </c>
      <c r="BG297" s="170">
        <f t="shared" si="68"/>
        <v>846.52624026473563</v>
      </c>
      <c r="BH297" s="170">
        <f>(Escenarios!$E$16*AK297+0.1*BC297)/(Escenarios!$E$19)</f>
        <v>2.284151570710057</v>
      </c>
      <c r="BI297" s="170">
        <f>IF(Escenarios!$E$17&gt;0,BF297/10/Escenarios!$E$19,AL297)</f>
        <v>0</v>
      </c>
      <c r="BJ297" s="170">
        <f>(Escenarios!$E$16*AT297+0.1*BD297)/(Escenarios!$E$19)</f>
        <v>0.10095801106319101</v>
      </c>
      <c r="BK297" s="76">
        <f>BK296+(0.1*BD297)/(Escenarios!$E$19)-BL296</f>
        <v>49.454519548345033</v>
      </c>
      <c r="BL297" s="76">
        <f>MAX(0,(BK297-Constantes!$D$13)*(1-EXP(-Constantes!$D$23)))</f>
        <v>6.9417989133264994E-3</v>
      </c>
      <c r="BM297" s="76">
        <f t="shared" si="64"/>
        <v>0.18423181100162239</v>
      </c>
      <c r="BN297" s="76">
        <f t="shared" si="69"/>
        <v>0.99176098251356393</v>
      </c>
      <c r="BO297" s="76">
        <f>0.0526*BI297*Observaciones!$F296^1.218</f>
        <v>0</v>
      </c>
      <c r="BP297" s="76">
        <f>BO297*Constantes!$E$51</f>
        <v>0</v>
      </c>
      <c r="BQ297" s="76">
        <f t="shared" si="65"/>
        <v>0</v>
      </c>
      <c r="BR297" s="40"/>
    </row>
    <row r="298" spans="1:70">
      <c r="A298" s="147"/>
      <c r="B298" s="39"/>
      <c r="C298" s="75">
        <v>292</v>
      </c>
      <c r="D298" s="146">
        <f>ETo!$I297*((1-Constantes!$E$19)*ETo!$K297+ETo!$L297)</f>
        <v>4.2618349954726273</v>
      </c>
      <c r="E298" s="76">
        <f>MIN(D298*Constantes!$E$17,0.8*(N297+Observaciones!$F297-F298-M298-Constantes!$D$14))</f>
        <v>2.0836636054829221</v>
      </c>
      <c r="F298" s="76">
        <f>IF(Observaciones!$F297&gt;0.05*Constantes!$E$18,((Observaciones!$F297-0.05*Constantes!$E$18)^2)/(Observaciones!$F297+0.95*Constantes!$E$18),0)</f>
        <v>4.9469534717427641E-2</v>
      </c>
      <c r="G298" s="76">
        <f>IF(Escenarios!$E$11&gt;0,(F298*Escenarios!$E$16*10000)/1000,0)</f>
        <v>123.67383679356911</v>
      </c>
      <c r="H298" s="76">
        <f>IF(Escenarios!$E$11&gt;0,(Observaciones!$F297*Constantes!$E$29)/1000,0)</f>
        <v>84</v>
      </c>
      <c r="I298" s="76">
        <f>IF(Escenarios!$E$11&gt;0,(D298*Constantes!$E$29)/1000,0)</f>
        <v>42.618349954726277</v>
      </c>
      <c r="J298" s="76">
        <f>IF(Escenarios!$E$11&gt;0,MAX(0,G298+H298-I298),0)</f>
        <v>165.05548683884282</v>
      </c>
      <c r="K298" s="76">
        <f>IF(Escenarios!$E$11&gt;0,IF(J298&gt;Constantes!$E$30,1000*((J298-Constantes!$E$30)/(Escenarios!$E$16*10000)),0),F298)</f>
        <v>0</v>
      </c>
      <c r="L298" s="76">
        <f>IF(Escenarios!$E$11&gt;0,I298*1000/Escenarios!$E$16/10000+E298,E298)</f>
        <v>2.1007109454648125</v>
      </c>
      <c r="M298" s="76">
        <f>MAX(0,N297+Observaciones!$F297-K298-Constantes!$D$13)</f>
        <v>0</v>
      </c>
      <c r="N298" s="76">
        <f>N297+Observaciones!$F297-K298-L298-M298-O297</f>
        <v>43.570805219907434</v>
      </c>
      <c r="O298" s="76">
        <f>MAX(0,(N298-Constantes!$D$14)*(1-EXP(-Constantes!$D$22)))</f>
        <v>1.1009652778950603</v>
      </c>
      <c r="P298" s="170">
        <f>P297+(Entradas!$E$83*M298-Q297)/(800*Entradas!$D$25)</f>
        <v>0</v>
      </c>
      <c r="Q298" s="170">
        <f>8000*Entradas!$D$26*P298/Constantes!$E$45</f>
        <v>0</v>
      </c>
      <c r="R298" s="170">
        <f>IF(Escenarios!$E$14&gt;0,K298*Escenarios!$E$13/Escenarios!$E$14,0)</f>
        <v>0</v>
      </c>
      <c r="S298" s="170">
        <f>IF(Escenarios!$E$14&gt;0,Q298*Escenarios!$E$13/Escenarios!$E$14,0)</f>
        <v>0</v>
      </c>
      <c r="T298" s="170">
        <f>IF(Escenarios!$E$14&gt;0,Observaciones!$I297,0)</f>
        <v>0</v>
      </c>
      <c r="U298" s="170">
        <f>IF(Escenarios!$E$14&gt;0,MAX(0,Constantes!$E$36/((Z297+R298+S298+T298+Observaciones!$F297)^2)+Entradas!$E$77),0)</f>
        <v>1.0055684052597895</v>
      </c>
      <c r="V298" s="146">
        <f>IF(ETo!D297&gt;0,ETo!I297*((1-Entradas!$E$81)*ETo!K297+ETo!L297),0)</f>
        <v>3.8923089944749893</v>
      </c>
      <c r="W298" s="170">
        <f>IF(Escenarios!$E$14&gt;0,MIN(V298*1,0.8*(Z297+R298+S298+T298+Observaciones!$F297-U298-Constantes!$E$35)),0)</f>
        <v>3.8923089944749893</v>
      </c>
      <c r="X298" s="170">
        <f>IF(Escenarios!$E$14&gt;0,Observaciones!$J297,0)</f>
        <v>0</v>
      </c>
      <c r="Y298" s="170">
        <f>IF(Escenarios!$E$14&gt;0,MAX(0,Z297+R298+S298+T298+Observaciones!$F297-U298-W298-X298-Constantes!$E$33),0)</f>
        <v>0</v>
      </c>
      <c r="Z298" s="170">
        <f>Z297+R298+S298+T298+Observaciones!$F297-U298-W298-Y298</f>
        <v>66.849647018125623</v>
      </c>
      <c r="AA298" s="170">
        <f>IF(Escenarios!$E$14&gt;0,(Escenarios!$E$13*L298+Escenarios!$E$14*W298)/(Escenarios!$E$16),L298)</f>
        <v>2.3157027113460336</v>
      </c>
      <c r="AB298" s="170">
        <f>IF(Escenarios!$E$14&gt;0,(Escenarios!$E$14*Y298)/(Escenarios!$E$16),K298)</f>
        <v>0</v>
      </c>
      <c r="AC298" s="170">
        <f>IF(Escenarios!$E$14&gt;0,(Escenarios!$E$13*M298+Escenarios!$E$14*U298)/(Escenarios!$E$16),M298)</f>
        <v>0.12066820863117474</v>
      </c>
      <c r="AD298" s="76">
        <f t="shared" si="57"/>
        <v>66.686448984396876</v>
      </c>
      <c r="AE298" s="76">
        <f>MAX(0,(AD298-Constantes!$D$13)*(1-EXP(-Constantes!$D$23)))</f>
        <v>0.17673210397257003</v>
      </c>
      <c r="AF298" s="76">
        <f>AB298+O298*Escenarios!$E$13/Escenarios!$E$16+AE298</f>
        <v>1.1455815485202232</v>
      </c>
      <c r="AG298" s="76">
        <f>IF(Entradas!$E$91&gt;0,IF(AF298-Escenarios!$E$38&lt;=0,0,IF(AF298-Escenarios!$E$38&gt;Escenarios!$E$37,Escenarios!$E$37,AF298-Escenarios!$E$38)),0)</f>
        <v>0</v>
      </c>
      <c r="AH298" s="76">
        <f>AG298*Entradas!$E$99</f>
        <v>0</v>
      </c>
      <c r="AI298" s="76">
        <f>IF(Entradas!$E$91&gt;0,D298*Entradas!$D$23/Escenarios!$E$16,0)</f>
        <v>0</v>
      </c>
      <c r="AJ298" s="76">
        <f>IF(Entradas!$E$91&gt;0,Entradas!$D$24*Entradas!$D$22/Escenarios!$E$16,0)</f>
        <v>0</v>
      </c>
      <c r="AK298" s="76">
        <f t="shared" si="66"/>
        <v>2.3157027113460336</v>
      </c>
      <c r="AL298" s="76">
        <f t="shared" si="67"/>
        <v>0</v>
      </c>
      <c r="AM298" s="76">
        <f t="shared" si="58"/>
        <v>0</v>
      </c>
      <c r="AN298" s="76">
        <f>MAX(0,O298*Escenarios!$E$13/Escenarios!$E$16-AM298)</f>
        <v>0.96884944454765309</v>
      </c>
      <c r="AO298" s="76">
        <f>AM298+AN298-O298*Escenarios!$E$13/Escenarios!$E$16</f>
        <v>0</v>
      </c>
      <c r="AP298" s="76">
        <f t="shared" si="56"/>
        <v>0.17673210397257003</v>
      </c>
      <c r="AQ298" s="76">
        <f t="shared" si="59"/>
        <v>0</v>
      </c>
      <c r="AR298" s="76">
        <f t="shared" si="60"/>
        <v>1.1455815485202232</v>
      </c>
      <c r="AS298" s="76">
        <f t="shared" si="61"/>
        <v>0</v>
      </c>
      <c r="AT298" s="76">
        <f t="shared" si="62"/>
        <v>0.12066820863117474</v>
      </c>
      <c r="AU298" s="76">
        <f t="shared" si="63"/>
        <v>48.75</v>
      </c>
      <c r="AV298" s="76">
        <f>MAX(0,(AU298-Constantes!$D$13)*(1-EXP(-Constantes!$D$24)))</f>
        <v>0</v>
      </c>
      <c r="AW298" s="170">
        <f>AW297+(Entradas!$E$112*AT298-AX297)/(800*Entradas!$D$25)</f>
        <v>0</v>
      </c>
      <c r="AX298" s="170">
        <f>8000*Entradas!$D$26*AW298/Constantes!$E$45</f>
        <v>0</v>
      </c>
      <c r="AY298" s="170">
        <f>IF(Escenarios!$E$17&gt;0,10*Escenarios!$E$16*AL298,0)</f>
        <v>0</v>
      </c>
      <c r="AZ298" s="170">
        <f>IF(Escenarios!$E$17&gt;0,10*Escenarios!$E$16*AX298,0)</f>
        <v>0</v>
      </c>
      <c r="BA298" s="170">
        <f>IF(Escenarios!$E$17&gt;0,0.001*Observaciones!$F297*Escenarios!$E$17,0)</f>
        <v>168.00000000000003</v>
      </c>
      <c r="BB298" s="170">
        <f>IF(Escenarios!$E$17&gt;0,Observaciones!$K297,0)</f>
        <v>0</v>
      </c>
      <c r="BC298" s="170">
        <f>IF(Escenarios!$E$17&gt;0,MIN(0.0005*ETo!$M297*Escenarios!$E$17*(BG297/Constantes!$E$40)^(2/3),BG297+AY298+AZ298+BA298+BB298),0)</f>
        <v>12.235697002474195</v>
      </c>
      <c r="BD298" s="170">
        <f>IF(Escenarios!$E$17&gt;0,MIN(Constantes!$E$39*(BG297/Constantes!$E$40)^(2/3),BG297+AY298+AZ298+BA298+BB298-BC298),0)</f>
        <v>20.210533425104185</v>
      </c>
      <c r="BE298" s="170">
        <f>IF(Escenarios!$E$17&gt;0,MIN(Entradas!$E$113,BG297+AY298+AZ298+BA298+BB298-BC298-BD298),0)</f>
        <v>1</v>
      </c>
      <c r="BF298" s="170">
        <f>IF(Escenarios!$E$17&gt;0,MAX(0,BG297+AY298+AZ298+BA298+BB298-BC298-BD298-BE298-Constantes!$E$40),0)</f>
        <v>0</v>
      </c>
      <c r="BG298" s="170">
        <f t="shared" si="68"/>
        <v>981.08000983715726</v>
      </c>
      <c r="BH298" s="170">
        <f>(Escenarios!$E$16*AK298+0.1*BC298)/(Escenarios!$E$19)</f>
        <v>2.3021795537172847</v>
      </c>
      <c r="BI298" s="170">
        <f>IF(Escenarios!$E$17&gt;0,BF298/10/Escenarios!$E$19,AL298)</f>
        <v>0</v>
      </c>
      <c r="BJ298" s="170">
        <f>(Escenarios!$E$16*AT298+0.1*BD298)/(Escenarios!$E$19)</f>
        <v>0.12773057738215915</v>
      </c>
      <c r="BK298" s="76">
        <f>BK297+(0.1*BD298)/(Escenarios!$E$19)-BL297</f>
        <v>49.455597802378179</v>
      </c>
      <c r="BL298" s="76">
        <f>MAX(0,(BK298-Constantes!$D$13)*(1-EXP(-Constantes!$D$23)))</f>
        <v>6.9524232071351911E-3</v>
      </c>
      <c r="BM298" s="76">
        <f t="shared" si="64"/>
        <v>0.18368452717970521</v>
      </c>
      <c r="BN298" s="76">
        <f t="shared" si="69"/>
        <v>1.1525339717273584</v>
      </c>
      <c r="BO298" s="76">
        <f>0.0526*BI298*Observaciones!$F297^1.218</f>
        <v>0</v>
      </c>
      <c r="BP298" s="76">
        <f>BO298*Constantes!$E$51</f>
        <v>0</v>
      </c>
      <c r="BQ298" s="76">
        <f t="shared" si="65"/>
        <v>0</v>
      </c>
      <c r="BR298" s="40"/>
    </row>
    <row r="299" spans="1:70">
      <c r="A299" s="147"/>
      <c r="B299" s="39"/>
      <c r="C299" s="75">
        <v>293</v>
      </c>
      <c r="D299" s="146">
        <f>ETo!$I298*((1-Constantes!$E$19)*ETo!$K298+ETo!$L298)</f>
        <v>4.1751809293693478</v>
      </c>
      <c r="E299" s="76">
        <f>MIN(D299*Constantes!$E$17,0.8*(N298+Observaciones!$F298-F299-M299-Constantes!$D$14))</f>
        <v>2.0412973655889979</v>
      </c>
      <c r="F299" s="76">
        <f>IF(Observaciones!$F298&gt;0.05*Constantes!$E$18,((Observaciones!$F298-0.05*Constantes!$E$18)^2)/(Observaciones!$F298+0.95*Constantes!$E$18),0)</f>
        <v>0</v>
      </c>
      <c r="G299" s="76">
        <f>IF(Escenarios!$E$11&gt;0,(F299*Escenarios!$E$16*10000)/1000,0)</f>
        <v>0</v>
      </c>
      <c r="H299" s="76">
        <f>IF(Escenarios!$E$11&gt;0,(Observaciones!$F298*Constantes!$E$29)/1000,0)</f>
        <v>34</v>
      </c>
      <c r="I299" s="76">
        <f>IF(Escenarios!$E$11&gt;0,(D299*Constantes!$E$29)/1000,0)</f>
        <v>41.751809293693476</v>
      </c>
      <c r="J299" s="76">
        <f>IF(Escenarios!$E$11&gt;0,MAX(0,G299+H299-I299),0)</f>
        <v>0</v>
      </c>
      <c r="K299" s="76">
        <f>IF(Escenarios!$E$11&gt;0,IF(J299&gt;Constantes!$E$30,1000*((J299-Constantes!$E$30)/(Escenarios!$E$16*10000)),0),F299)</f>
        <v>0</v>
      </c>
      <c r="L299" s="76">
        <f>IF(Escenarios!$E$11&gt;0,I299*1000/Escenarios!$E$16/10000+E299,E299)</f>
        <v>2.0579980893064751</v>
      </c>
      <c r="M299" s="76">
        <f>MAX(0,N298+Observaciones!$F298-K299-Constantes!$D$13)</f>
        <v>0</v>
      </c>
      <c r="N299" s="76">
        <f>N298+Observaciones!$F298-K299-L299-M299-O298</f>
        <v>43.811841852705896</v>
      </c>
      <c r="O299" s="76">
        <f>MAX(0,(N299-Constantes!$D$14)*(1-EXP(-Constantes!$D$22)))</f>
        <v>1.1091758704717698</v>
      </c>
      <c r="P299" s="170">
        <f>P298+(Entradas!$E$83*M299-Q298)/(800*Entradas!$D$25)</f>
        <v>0</v>
      </c>
      <c r="Q299" s="170">
        <f>8000*Entradas!$D$26*P299/Constantes!$E$45</f>
        <v>0</v>
      </c>
      <c r="R299" s="170">
        <f>IF(Escenarios!$E$14&gt;0,K299*Escenarios!$E$13/Escenarios!$E$14,0)</f>
        <v>0</v>
      </c>
      <c r="S299" s="170">
        <f>IF(Escenarios!$E$14&gt;0,Q299*Escenarios!$E$13/Escenarios!$E$14,0)</f>
        <v>0</v>
      </c>
      <c r="T299" s="170">
        <f>IF(Escenarios!$E$14&gt;0,Observaciones!$I298,0)</f>
        <v>0</v>
      </c>
      <c r="U299" s="170">
        <f>IF(Escenarios!$E$14&gt;0,MAX(0,Constantes!$E$36/((Z298+R299+S299+T299+Observaciones!$F298)^2)+Entradas!$E$77),0)</f>
        <v>0.91961030392414944</v>
      </c>
      <c r="V299" s="146">
        <f>IF(ETo!D298&gt;0,ETo!I298*((1-Entradas!$E$81)*ETo!K298+ETo!L298),0)</f>
        <v>3.8123732526206831</v>
      </c>
      <c r="W299" s="170">
        <f>IF(Escenarios!$E$14&gt;0,MIN(V299*1,0.8*(Z298+R299+S299+T299+Observaciones!$F298-U299-Constantes!$E$35)),0)</f>
        <v>3.8123732526206831</v>
      </c>
      <c r="X299" s="170">
        <f>IF(Escenarios!$E$14&gt;0,Observaciones!$J298,0)</f>
        <v>0</v>
      </c>
      <c r="Y299" s="170">
        <f>IF(Escenarios!$E$14&gt;0,MAX(0,Z298+R299+S299+T299+Observaciones!$F298-U299-W299-X299-Constantes!$E$33),0)</f>
        <v>0</v>
      </c>
      <c r="Z299" s="170">
        <f>Z298+R299+S299+T299+Observaciones!$F298-U299-W299-Y299</f>
        <v>65.517663461580796</v>
      </c>
      <c r="AA299" s="170">
        <f>IF(Escenarios!$E$14&gt;0,(Escenarios!$E$13*L299+Escenarios!$E$14*W299)/(Escenarios!$E$16),L299)</f>
        <v>2.26852310890418</v>
      </c>
      <c r="AB299" s="170">
        <f>IF(Escenarios!$E$14&gt;0,(Escenarios!$E$14*Y299)/(Escenarios!$E$16),K299)</f>
        <v>0</v>
      </c>
      <c r="AC299" s="170">
        <f>IF(Escenarios!$E$14&gt;0,(Escenarios!$E$13*M299+Escenarios!$E$14*U299)/(Escenarios!$E$16),M299)</f>
        <v>0.11035323647089794</v>
      </c>
      <c r="AD299" s="76">
        <f t="shared" si="57"/>
        <v>66.620070116895207</v>
      </c>
      <c r="AE299" s="76">
        <f>MAX(0,(AD299-Constantes!$D$13)*(1-EXP(-Constantes!$D$23)))</f>
        <v>0.17607805718086161</v>
      </c>
      <c r="AF299" s="76">
        <f>AB299+O299*Escenarios!$E$13/Escenarios!$E$16+AE299</f>
        <v>1.152152823196019</v>
      </c>
      <c r="AG299" s="76">
        <f>IF(Entradas!$E$91&gt;0,IF(AF299-Escenarios!$E$38&lt;=0,0,IF(AF299-Escenarios!$E$38&gt;Escenarios!$E$37,Escenarios!$E$37,AF299-Escenarios!$E$38)),0)</f>
        <v>0</v>
      </c>
      <c r="AH299" s="76">
        <f>AG299*Entradas!$E$99</f>
        <v>0</v>
      </c>
      <c r="AI299" s="76">
        <f>IF(Entradas!$E$91&gt;0,D299*Entradas!$D$23/Escenarios!$E$16,0)</f>
        <v>0</v>
      </c>
      <c r="AJ299" s="76">
        <f>IF(Entradas!$E$91&gt;0,Entradas!$D$24*Entradas!$D$22/Escenarios!$E$16,0)</f>
        <v>0</v>
      </c>
      <c r="AK299" s="76">
        <f t="shared" si="66"/>
        <v>2.26852310890418</v>
      </c>
      <c r="AL299" s="76">
        <f t="shared" si="67"/>
        <v>0</v>
      </c>
      <c r="AM299" s="76">
        <f t="shared" si="58"/>
        <v>0</v>
      </c>
      <c r="AN299" s="76">
        <f>MAX(0,O299*Escenarios!$E$13/Escenarios!$E$16-AM299)</f>
        <v>0.97607476601515741</v>
      </c>
      <c r="AO299" s="76">
        <f>AM299+AN299-O299*Escenarios!$E$13/Escenarios!$E$16</f>
        <v>0</v>
      </c>
      <c r="AP299" s="76">
        <f t="shared" si="56"/>
        <v>0.17607805718086161</v>
      </c>
      <c r="AQ299" s="76">
        <f t="shared" si="59"/>
        <v>0</v>
      </c>
      <c r="AR299" s="76">
        <f t="shared" si="60"/>
        <v>1.152152823196019</v>
      </c>
      <c r="AS299" s="76">
        <f t="shared" si="61"/>
        <v>0</v>
      </c>
      <c r="AT299" s="76">
        <f t="shared" si="62"/>
        <v>0.11035323647089794</v>
      </c>
      <c r="AU299" s="76">
        <f t="shared" si="63"/>
        <v>48.75</v>
      </c>
      <c r="AV299" s="76">
        <f>MAX(0,(AU299-Constantes!$D$13)*(1-EXP(-Constantes!$D$24)))</f>
        <v>0</v>
      </c>
      <c r="AW299" s="170">
        <f>AW298+(Entradas!$E$112*AT299-AX298)/(800*Entradas!$D$25)</f>
        <v>0</v>
      </c>
      <c r="AX299" s="170">
        <f>8000*Entradas!$D$26*AW299/Constantes!$E$45</f>
        <v>0</v>
      </c>
      <c r="AY299" s="170">
        <f>IF(Escenarios!$E$17&gt;0,10*Escenarios!$E$16*AL299,0)</f>
        <v>0</v>
      </c>
      <c r="AZ299" s="170">
        <f>IF(Escenarios!$E$17&gt;0,10*Escenarios!$E$16*AX299,0)</f>
        <v>0</v>
      </c>
      <c r="BA299" s="170">
        <f>IF(Escenarios!$E$17&gt;0,0.001*Observaciones!$F298*Escenarios!$E$17,0)</f>
        <v>68</v>
      </c>
      <c r="BB299" s="170">
        <f>IF(Escenarios!$E$17&gt;0,Observaciones!$K298,0)</f>
        <v>0</v>
      </c>
      <c r="BC299" s="170">
        <f>IF(Escenarios!$E$17&gt;0,MIN(0.0005*ETo!$M298*Escenarios!$E$17*(BG298/Constantes!$E$40)^(2/3),BG298+AY299+AZ299+BA299+BB299),0)</f>
        <v>13.229127910679392</v>
      </c>
      <c r="BD299" s="170">
        <f>IF(Escenarios!$E$17&gt;0,MIN(Constantes!$E$39*(BG298/Constantes!$E$40)^(2/3),BG298+AY299+AZ299+BA299+BB299-BC299),0)</f>
        <v>22.299088486064001</v>
      </c>
      <c r="BE299" s="170">
        <f>IF(Escenarios!$E$17&gt;0,MIN(Entradas!$E$113,BG298+AY299+AZ299+BA299+BB299-BC299-BD299),0)</f>
        <v>1</v>
      </c>
      <c r="BF299" s="170">
        <f>IF(Escenarios!$E$17&gt;0,MAX(0,BG298+AY299+AZ299+BA299+BB299-BC299-BD299-BE299-Constantes!$E$40),0)</f>
        <v>0</v>
      </c>
      <c r="BG299" s="170">
        <f t="shared" si="68"/>
        <v>1012.551793440414</v>
      </c>
      <c r="BH299" s="170">
        <f>(Escenarios!$E$16*AK299+0.1*BC299)/(Escenarios!$E$19)</f>
        <v>2.2557686111790192</v>
      </c>
      <c r="BI299" s="170">
        <f>IF(Escenarios!$E$17&gt;0,BF299/10/Escenarios!$E$19,AL299)</f>
        <v>0</v>
      </c>
      <c r="BJ299" s="170">
        <f>(Escenarios!$E$16*AT299+0.1*BD299)/(Escenarios!$E$19)</f>
        <v>0.11832626177115431</v>
      </c>
      <c r="BK299" s="76">
        <f>BK298+(0.1*BD299)/(Escenarios!$E$19)-BL298</f>
        <v>49.457494223808368</v>
      </c>
      <c r="BL299" s="76">
        <f>MAX(0,(BK299-Constantes!$D$13)*(1-EXP(-Constantes!$D$23)))</f>
        <v>6.9711090991792348E-3</v>
      </c>
      <c r="BM299" s="76">
        <f t="shared" si="64"/>
        <v>0.18304916628004084</v>
      </c>
      <c r="BN299" s="76">
        <f t="shared" si="69"/>
        <v>1.1591239322951983</v>
      </c>
      <c r="BO299" s="76">
        <f>0.0526*BI299*Observaciones!$F298^1.218</f>
        <v>0</v>
      </c>
      <c r="BP299" s="76">
        <f>BO299*Constantes!$E$51</f>
        <v>0</v>
      </c>
      <c r="BQ299" s="76">
        <f t="shared" si="65"/>
        <v>0</v>
      </c>
      <c r="BR299" s="40"/>
    </row>
    <row r="300" spans="1:70">
      <c r="A300" s="147"/>
      <c r="B300" s="39"/>
      <c r="C300" s="75">
        <v>294</v>
      </c>
      <c r="D300" s="146">
        <f>ETo!$I299*((1-Constantes!$E$19)*ETo!$K299+ETo!$L299)</f>
        <v>4.2660157266466925</v>
      </c>
      <c r="E300" s="76">
        <f>MIN(D300*Constantes!$E$17,0.8*(N299+Observaciones!$F299-F300-M300-Constantes!$D$14))</f>
        <v>2.0857076164314834</v>
      </c>
      <c r="F300" s="76">
        <f>IF(Observaciones!$F299&gt;0.05*Constantes!$E$18,((Observaciones!$F299-0.05*Constantes!$E$18)^2)/(Observaciones!$F299+0.95*Constantes!$E$18),0)</f>
        <v>0</v>
      </c>
      <c r="G300" s="76">
        <f>IF(Escenarios!$E$11&gt;0,(F300*Escenarios!$E$16*10000)/1000,0)</f>
        <v>0</v>
      </c>
      <c r="H300" s="76">
        <f>IF(Escenarios!$E$11&gt;0,(Observaciones!$F299*Constantes!$E$29)/1000,0)</f>
        <v>0</v>
      </c>
      <c r="I300" s="76">
        <f>IF(Escenarios!$E$11&gt;0,(D300*Constantes!$E$29)/1000,0)</f>
        <v>42.660157266466925</v>
      </c>
      <c r="J300" s="76">
        <f>IF(Escenarios!$E$11&gt;0,MAX(0,G300+H300-I300),0)</f>
        <v>0</v>
      </c>
      <c r="K300" s="76">
        <f>IF(Escenarios!$E$11&gt;0,IF(J300&gt;Constantes!$E$30,1000*((J300-Constantes!$E$30)/(Escenarios!$E$16*10000)),0),F300)</f>
        <v>0</v>
      </c>
      <c r="L300" s="76">
        <f>IF(Escenarios!$E$11&gt;0,I300*1000/Escenarios!$E$16/10000+E300,E300)</f>
        <v>2.10277167933807</v>
      </c>
      <c r="M300" s="76">
        <f>MAX(0,N299+Observaciones!$F299-K300-Constantes!$D$13)</f>
        <v>0</v>
      </c>
      <c r="N300" s="76">
        <f>N299+Observaciones!$F299-K300-L300-M300-O299</f>
        <v>40.599894302896061</v>
      </c>
      <c r="O300" s="76">
        <f>MAX(0,(N300-Constantes!$D$14)*(1-EXP(-Constantes!$D$22)))</f>
        <v>0.99976514562439944</v>
      </c>
      <c r="P300" s="170">
        <f>P299+(Entradas!$E$83*M300-Q299)/(800*Entradas!$D$25)</f>
        <v>0</v>
      </c>
      <c r="Q300" s="170">
        <f>8000*Entradas!$D$26*P300/Constantes!$E$45</f>
        <v>0</v>
      </c>
      <c r="R300" s="170">
        <f>IF(Escenarios!$E$14&gt;0,K300*Escenarios!$E$13/Escenarios!$E$14,0)</f>
        <v>0</v>
      </c>
      <c r="S300" s="170">
        <f>IF(Escenarios!$E$14&gt;0,Q300*Escenarios!$E$13/Escenarios!$E$14,0)</f>
        <v>0</v>
      </c>
      <c r="T300" s="170">
        <f>IF(Escenarios!$E$14&gt;0,Observaciones!$I299,0)</f>
        <v>0</v>
      </c>
      <c r="U300" s="170">
        <f>IF(Escenarios!$E$14&gt;0,MAX(0,Constantes!$E$36/((Z299+R300+S300+T300+Observaciones!$F299)^2)+Entradas!$E$77),0)</f>
        <v>0.60824778366876187</v>
      </c>
      <c r="V300" s="146">
        <f>IF(ETo!D299&gt;0,ETo!I299*((1-Entradas!$E$81)*ETo!K299+ETo!L299),0)</f>
        <v>3.8963294480472377</v>
      </c>
      <c r="W300" s="170">
        <f>IF(Escenarios!$E$14&gt;0,MIN(V300*1,0.8*(Z299+R300+S300+T300+Observaciones!$F299-U300-Constantes!$E$35)),0)</f>
        <v>3.8963294480472377</v>
      </c>
      <c r="X300" s="170">
        <f>IF(Escenarios!$E$14&gt;0,Observaciones!$J299,0)</f>
        <v>0</v>
      </c>
      <c r="Y300" s="170">
        <f>IF(Escenarios!$E$14&gt;0,MAX(0,Z299+R300+S300+T300+Observaciones!$F299-U300-W300-X300-Constantes!$E$33),0)</f>
        <v>0</v>
      </c>
      <c r="Z300" s="170">
        <f>Z299+R300+S300+T300+Observaciones!$F299-U300-W300-Y300</f>
        <v>61.013086229864797</v>
      </c>
      <c r="AA300" s="170">
        <f>IF(Escenarios!$E$14&gt;0,(Escenarios!$E$13*L300+Escenarios!$E$14*W300)/(Escenarios!$E$16),L300)</f>
        <v>2.3179986115831701</v>
      </c>
      <c r="AB300" s="170">
        <f>IF(Escenarios!$E$14&gt;0,(Escenarios!$E$14*Y300)/(Escenarios!$E$16),K300)</f>
        <v>0</v>
      </c>
      <c r="AC300" s="170">
        <f>IF(Escenarios!$E$14&gt;0,(Escenarios!$E$13*M300+Escenarios!$E$14*U300)/(Escenarios!$E$16),M300)</f>
        <v>7.2989734040251414E-2</v>
      </c>
      <c r="AD300" s="76">
        <f t="shared" si="57"/>
        <v>66.516981793754596</v>
      </c>
      <c r="AE300" s="76">
        <f>MAX(0,(AD300-Constantes!$D$13)*(1-EXP(-Constantes!$D$23)))</f>
        <v>0.17506230337923159</v>
      </c>
      <c r="AF300" s="76">
        <f>AB300+O300*Escenarios!$E$13/Escenarios!$E$16+AE300</f>
        <v>1.0548556315287032</v>
      </c>
      <c r="AG300" s="76">
        <f>IF(Entradas!$E$91&gt;0,IF(AF300-Escenarios!$E$38&lt;=0,0,IF(AF300-Escenarios!$E$38&gt;Escenarios!$E$37,Escenarios!$E$37,AF300-Escenarios!$E$38)),0)</f>
        <v>0</v>
      </c>
      <c r="AH300" s="76">
        <f>AG300*Entradas!$E$99</f>
        <v>0</v>
      </c>
      <c r="AI300" s="76">
        <f>IF(Entradas!$E$91&gt;0,D300*Entradas!$D$23/Escenarios!$E$16,0)</f>
        <v>0</v>
      </c>
      <c r="AJ300" s="76">
        <f>IF(Entradas!$E$91&gt;0,Entradas!$D$24*Entradas!$D$22/Escenarios!$E$16,0)</f>
        <v>0</v>
      </c>
      <c r="AK300" s="76">
        <f t="shared" si="66"/>
        <v>2.3179986115831701</v>
      </c>
      <c r="AL300" s="76">
        <f t="shared" si="67"/>
        <v>0</v>
      </c>
      <c r="AM300" s="76">
        <f t="shared" si="58"/>
        <v>0</v>
      </c>
      <c r="AN300" s="76">
        <f>MAX(0,O300*Escenarios!$E$13/Escenarios!$E$16-AM300)</f>
        <v>0.87979332814947153</v>
      </c>
      <c r="AO300" s="76">
        <f>AM300+AN300-O300*Escenarios!$E$13/Escenarios!$E$16</f>
        <v>0</v>
      </c>
      <c r="AP300" s="76">
        <f t="shared" si="56"/>
        <v>0.17506230337923159</v>
      </c>
      <c r="AQ300" s="76">
        <f t="shared" si="59"/>
        <v>0</v>
      </c>
      <c r="AR300" s="76">
        <f t="shared" si="60"/>
        <v>1.0548556315287032</v>
      </c>
      <c r="AS300" s="76">
        <f t="shared" si="61"/>
        <v>0</v>
      </c>
      <c r="AT300" s="76">
        <f t="shared" si="62"/>
        <v>7.2989734040251414E-2</v>
      </c>
      <c r="AU300" s="76">
        <f t="shared" si="63"/>
        <v>48.75</v>
      </c>
      <c r="AV300" s="76">
        <f>MAX(0,(AU300-Constantes!$D$13)*(1-EXP(-Constantes!$D$24)))</f>
        <v>0</v>
      </c>
      <c r="AW300" s="170">
        <f>AW299+(Entradas!$E$112*AT300-AX299)/(800*Entradas!$D$25)</f>
        <v>0</v>
      </c>
      <c r="AX300" s="170">
        <f>8000*Entradas!$D$26*AW300/Constantes!$E$45</f>
        <v>0</v>
      </c>
      <c r="AY300" s="170">
        <f>IF(Escenarios!$E$17&gt;0,10*Escenarios!$E$16*AL300,0)</f>
        <v>0</v>
      </c>
      <c r="AZ300" s="170">
        <f>IF(Escenarios!$E$17&gt;0,10*Escenarios!$E$16*AX300,0)</f>
        <v>0</v>
      </c>
      <c r="BA300" s="170">
        <f>IF(Escenarios!$E$17&gt;0,0.001*Observaciones!$F299*Escenarios!$E$17,0)</f>
        <v>0</v>
      </c>
      <c r="BB300" s="170">
        <f>IF(Escenarios!$E$17&gt;0,Observaciones!$K299,0)</f>
        <v>0</v>
      </c>
      <c r="BC300" s="170">
        <f>IF(Escenarios!$E$17&gt;0,MIN(0.0005*ETo!$M299*Escenarios!$E$17*(BG299/Constantes!$E$40)^(2/3),BG299+AY300+AZ300+BA300+BB300),0)</f>
        <v>13.799941477077635</v>
      </c>
      <c r="BD300" s="170">
        <f>IF(Escenarios!$E$17&gt;0,MIN(Constantes!$E$39*(BG299/Constantes!$E$40)^(2/3),BG299+AY300+AZ300+BA300+BB300-BC300),0)</f>
        <v>22.773458565939485</v>
      </c>
      <c r="BE300" s="170">
        <f>IF(Escenarios!$E$17&gt;0,MIN(Entradas!$E$113,BG299+AY300+AZ300+BA300+BB300-BC300-BD300),0)</f>
        <v>1</v>
      </c>
      <c r="BF300" s="170">
        <f>IF(Escenarios!$E$17&gt;0,MAX(0,BG299+AY300+AZ300+BA300+BB300-BC300-BD300-BE300-Constantes!$E$40),0)</f>
        <v>0</v>
      </c>
      <c r="BG300" s="170">
        <f t="shared" si="68"/>
        <v>974.97839339739699</v>
      </c>
      <c r="BH300" s="170">
        <f>(Escenarios!$E$16*AK300+0.1*BC300)/(Escenarios!$E$19)</f>
        <v>2.3050779644583348</v>
      </c>
      <c r="BI300" s="170">
        <f>IF(Escenarios!$E$17&gt;0,BF300/10/Escenarios!$E$19,AL300)</f>
        <v>0</v>
      </c>
      <c r="BJ300" s="170">
        <f>(Escenarios!$E$16*AT300+0.1*BD300)/(Escenarios!$E$19)</f>
        <v>8.144753716927304E-2</v>
      </c>
      <c r="BK300" s="76">
        <f>BK299+(0.1*BD300)/(Escenarios!$E$19)-BL299</f>
        <v>49.459560201441711</v>
      </c>
      <c r="BL300" s="76">
        <f>MAX(0,(BK300-Constantes!$D$13)*(1-EXP(-Constantes!$D$23)))</f>
        <v>6.9914656688781001E-3</v>
      </c>
      <c r="BM300" s="76">
        <f t="shared" si="64"/>
        <v>0.18205376904810969</v>
      </c>
      <c r="BN300" s="76">
        <f t="shared" si="69"/>
        <v>1.0618470971975813</v>
      </c>
      <c r="BO300" s="76">
        <f>0.0526*BI300*Observaciones!$F299^1.218</f>
        <v>0</v>
      </c>
      <c r="BP300" s="76">
        <f>BO300*Constantes!$E$51</f>
        <v>0</v>
      </c>
      <c r="BQ300" s="76">
        <f t="shared" si="65"/>
        <v>0</v>
      </c>
      <c r="BR300" s="40"/>
    </row>
    <row r="301" spans="1:70">
      <c r="A301" s="147"/>
      <c r="B301" s="39"/>
      <c r="C301" s="75">
        <v>295</v>
      </c>
      <c r="D301" s="146">
        <f>ETo!$I300*((1-Constantes!$E$19)*ETo!$K300+ETo!$L300)</f>
        <v>4.3077997207092231</v>
      </c>
      <c r="E301" s="76">
        <f>MIN(D301*Constantes!$E$17,0.8*(N300+Observaciones!$F300-F301-M301-Constantes!$D$14))</f>
        <v>2.1061363256171504</v>
      </c>
      <c r="F301" s="76">
        <f>IF(Observaciones!$F300&gt;0.05*Constantes!$E$18,((Observaciones!$F300-0.05*Constantes!$E$18)^2)/(Observaciones!$F300+0.95*Constantes!$E$18),0)</f>
        <v>0</v>
      </c>
      <c r="G301" s="76">
        <f>IF(Escenarios!$E$11&gt;0,(F301*Escenarios!$E$16*10000)/1000,0)</f>
        <v>0</v>
      </c>
      <c r="H301" s="76">
        <f>IF(Escenarios!$E$11&gt;0,(Observaciones!$F300*Constantes!$E$29)/1000,0)</f>
        <v>25</v>
      </c>
      <c r="I301" s="76">
        <f>IF(Escenarios!$E$11&gt;0,(D301*Constantes!$E$29)/1000,0)</f>
        <v>43.077997207092231</v>
      </c>
      <c r="J301" s="76">
        <f>IF(Escenarios!$E$11&gt;0,MAX(0,G301+H301-I301),0)</f>
        <v>0</v>
      </c>
      <c r="K301" s="76">
        <f>IF(Escenarios!$E$11&gt;0,IF(J301&gt;Constantes!$E$30,1000*((J301-Constantes!$E$30)/(Escenarios!$E$16*10000)),0),F301)</f>
        <v>0</v>
      </c>
      <c r="L301" s="76">
        <f>IF(Escenarios!$E$11&gt;0,I301*1000/Escenarios!$E$16/10000+E301,E301)</f>
        <v>2.1233675244999874</v>
      </c>
      <c r="M301" s="76">
        <f>MAX(0,N300+Observaciones!$F300-K301-Constantes!$D$13)</f>
        <v>0</v>
      </c>
      <c r="N301" s="76">
        <f>N300+Observaciones!$F300-K301-L301-M301-O300</f>
        <v>39.976761632771669</v>
      </c>
      <c r="O301" s="76">
        <f>MAX(0,(N301-Constantes!$D$14)*(1-EXP(-Constantes!$D$22)))</f>
        <v>0.97853895931309953</v>
      </c>
      <c r="P301" s="170">
        <f>P300+(Entradas!$E$83*M301-Q300)/(800*Entradas!$D$25)</f>
        <v>0</v>
      </c>
      <c r="Q301" s="170">
        <f>8000*Entradas!$D$26*P301/Constantes!$E$45</f>
        <v>0</v>
      </c>
      <c r="R301" s="170">
        <f>IF(Escenarios!$E$14&gt;0,K301*Escenarios!$E$13/Escenarios!$E$14,0)</f>
        <v>0</v>
      </c>
      <c r="S301" s="170">
        <f>IF(Escenarios!$E$14&gt;0,Q301*Escenarios!$E$13/Escenarios!$E$14,0)</f>
        <v>0</v>
      </c>
      <c r="T301" s="170">
        <f>IF(Escenarios!$E$14&gt;0,Observaciones!$I300,0)</f>
        <v>0</v>
      </c>
      <c r="U301" s="170">
        <f>IF(Escenarios!$E$14&gt;0,MAX(0,Constantes!$E$36/((Z300+R301+S301+T301+Observaciones!$F300)^2)+Entradas!$E$77),0)</f>
        <v>0.45489002031501169</v>
      </c>
      <c r="V301" s="146">
        <f>IF(ETo!D300&gt;0,ETo!I300*((1-Entradas!$E$81)*ETo!K300+ETo!L300),0)</f>
        <v>3.9350402367571888</v>
      </c>
      <c r="W301" s="170">
        <f>IF(Escenarios!$E$14&gt;0,MIN(V301*1,0.8*(Z300+R301+S301+T301+Observaciones!$F300-U301-Constantes!$E$35)),0)</f>
        <v>3.9350402367571888</v>
      </c>
      <c r="X301" s="170">
        <f>IF(Escenarios!$E$14&gt;0,Observaciones!$J300,0)</f>
        <v>0</v>
      </c>
      <c r="Y301" s="170">
        <f>IF(Escenarios!$E$14&gt;0,MAX(0,Z300+R301+S301+T301+Observaciones!$F300-U301-W301-X301-Constantes!$E$33),0)</f>
        <v>0</v>
      </c>
      <c r="Z301" s="170">
        <f>Z300+R301+S301+T301+Observaciones!$F300-U301-W301-Y301</f>
        <v>59.123155972792595</v>
      </c>
      <c r="AA301" s="170">
        <f>IF(Escenarios!$E$14&gt;0,(Escenarios!$E$13*L301+Escenarios!$E$14*W301)/(Escenarios!$E$16),L301)</f>
        <v>2.3407682499708518</v>
      </c>
      <c r="AB301" s="170">
        <f>IF(Escenarios!$E$14&gt;0,(Escenarios!$E$14*Y301)/(Escenarios!$E$16),K301)</f>
        <v>0</v>
      </c>
      <c r="AC301" s="170">
        <f>IF(Escenarios!$E$14&gt;0,(Escenarios!$E$13*M301+Escenarios!$E$14*U301)/(Escenarios!$E$16),M301)</f>
        <v>5.4586802437801403E-2</v>
      </c>
      <c r="AD301" s="76">
        <f t="shared" si="57"/>
        <v>66.396506292813157</v>
      </c>
      <c r="AE301" s="76">
        <f>MAX(0,(AD301-Constantes!$D$13)*(1-EXP(-Constantes!$D$23)))</f>
        <v>0.17387522957342688</v>
      </c>
      <c r="AF301" s="76">
        <f>AB301+O301*Escenarios!$E$13/Escenarios!$E$16+AE301</f>
        <v>1.0349895137689544</v>
      </c>
      <c r="AG301" s="76">
        <f>IF(Entradas!$E$91&gt;0,IF(AF301-Escenarios!$E$38&lt;=0,0,IF(AF301-Escenarios!$E$38&gt;Escenarios!$E$37,Escenarios!$E$37,AF301-Escenarios!$E$38)),0)</f>
        <v>0</v>
      </c>
      <c r="AH301" s="76">
        <f>AG301*Entradas!$E$99</f>
        <v>0</v>
      </c>
      <c r="AI301" s="76">
        <f>IF(Entradas!$E$91&gt;0,D301*Entradas!$D$23/Escenarios!$E$16,0)</f>
        <v>0</v>
      </c>
      <c r="AJ301" s="76">
        <f>IF(Entradas!$E$91&gt;0,Entradas!$D$24*Entradas!$D$22/Escenarios!$E$16,0)</f>
        <v>0</v>
      </c>
      <c r="AK301" s="76">
        <f t="shared" si="66"/>
        <v>2.3407682499708518</v>
      </c>
      <c r="AL301" s="76">
        <f t="shared" si="67"/>
        <v>0</v>
      </c>
      <c r="AM301" s="76">
        <f t="shared" si="58"/>
        <v>0</v>
      </c>
      <c r="AN301" s="76">
        <f>MAX(0,O301*Escenarios!$E$13/Escenarios!$E$16-AM301)</f>
        <v>0.8611142841955276</v>
      </c>
      <c r="AO301" s="76">
        <f>AM301+AN301-O301*Escenarios!$E$13/Escenarios!$E$16</f>
        <v>0</v>
      </c>
      <c r="AP301" s="76">
        <f t="shared" si="56"/>
        <v>0.17387522957342688</v>
      </c>
      <c r="AQ301" s="76">
        <f t="shared" si="59"/>
        <v>0</v>
      </c>
      <c r="AR301" s="76">
        <f t="shared" si="60"/>
        <v>1.0349895137689544</v>
      </c>
      <c r="AS301" s="76">
        <f t="shared" si="61"/>
        <v>0</v>
      </c>
      <c r="AT301" s="76">
        <f t="shared" si="62"/>
        <v>5.4586802437801403E-2</v>
      </c>
      <c r="AU301" s="76">
        <f t="shared" si="63"/>
        <v>48.75</v>
      </c>
      <c r="AV301" s="76">
        <f>MAX(0,(AU301-Constantes!$D$13)*(1-EXP(-Constantes!$D$24)))</f>
        <v>0</v>
      </c>
      <c r="AW301" s="170">
        <f>AW300+(Entradas!$E$112*AT301-AX300)/(800*Entradas!$D$25)</f>
        <v>0</v>
      </c>
      <c r="AX301" s="170">
        <f>8000*Entradas!$D$26*AW301/Constantes!$E$45</f>
        <v>0</v>
      </c>
      <c r="AY301" s="170">
        <f>IF(Escenarios!$E$17&gt;0,10*Escenarios!$E$16*AL301,0)</f>
        <v>0</v>
      </c>
      <c r="AZ301" s="170">
        <f>IF(Escenarios!$E$17&gt;0,10*Escenarios!$E$16*AX301,0)</f>
        <v>0</v>
      </c>
      <c r="BA301" s="170">
        <f>IF(Escenarios!$E$17&gt;0,0.001*Observaciones!$F300*Escenarios!$E$17,0)</f>
        <v>50</v>
      </c>
      <c r="BB301" s="170">
        <f>IF(Escenarios!$E$17&gt;0,Observaciones!$K300,0)</f>
        <v>0</v>
      </c>
      <c r="BC301" s="170">
        <f>IF(Escenarios!$E$17&gt;0,MIN(0.0005*ETo!$M300*Escenarios!$E$17*(BG300/Constantes!$E$40)^(2/3),BG300+AY301+AZ301+BA301+BB301),0)</f>
        <v>13.585813714506907</v>
      </c>
      <c r="BD301" s="170">
        <f>IF(Escenarios!$E$17&gt;0,MIN(Constantes!$E$39*(BG300/Constantes!$E$40)^(2/3),BG300+AY301+AZ301+BA301+BB301-BC301),0)</f>
        <v>22.206536123397321</v>
      </c>
      <c r="BE301" s="170">
        <f>IF(Escenarios!$E$17&gt;0,MIN(Entradas!$E$113,BG300+AY301+AZ301+BA301+BB301-BC301-BD301),0)</f>
        <v>1</v>
      </c>
      <c r="BF301" s="170">
        <f>IF(Escenarios!$E$17&gt;0,MAX(0,BG300+AY301+AZ301+BA301+BB301-BC301-BD301-BE301-Constantes!$E$40),0)</f>
        <v>0</v>
      </c>
      <c r="BG301" s="170">
        <f t="shared" si="68"/>
        <v>988.18604355949276</v>
      </c>
      <c r="BH301" s="170">
        <f>(Escenarios!$E$16*AK301+0.1*BC301)/(Escenarios!$E$19)</f>
        <v>2.3275819200958874</v>
      </c>
      <c r="BI301" s="170">
        <f>IF(Escenarios!$E$17&gt;0,BF301/10/Escenarios!$E$19,AL301)</f>
        <v>0</v>
      </c>
      <c r="BJ301" s="170">
        <f>(Escenarios!$E$16*AT301+0.1*BD301)/(Escenarios!$E$19)</f>
        <v>6.2965691356309861E-2</v>
      </c>
      <c r="BK301" s="76">
        <f>BK300+(0.1*BD301)/(Escenarios!$E$19)-BL300</f>
        <v>49.461380853282122</v>
      </c>
      <c r="BL301" s="76">
        <f>MAX(0,(BK301-Constantes!$D$13)*(1-EXP(-Constantes!$D$23)))</f>
        <v>7.0094049851071559E-3</v>
      </c>
      <c r="BM301" s="76">
        <f t="shared" si="64"/>
        <v>0.18088463455853404</v>
      </c>
      <c r="BN301" s="76">
        <f t="shared" si="69"/>
        <v>1.0419989187540615</v>
      </c>
      <c r="BO301" s="76">
        <f>0.0526*BI301*Observaciones!$F300^1.218</f>
        <v>0</v>
      </c>
      <c r="BP301" s="76">
        <f>BO301*Constantes!$E$51</f>
        <v>0</v>
      </c>
      <c r="BQ301" s="76">
        <f t="shared" si="65"/>
        <v>0</v>
      </c>
      <c r="BR301" s="40"/>
    </row>
    <row r="302" spans="1:70">
      <c r="A302" s="147"/>
      <c r="B302" s="39"/>
      <c r="C302" s="75">
        <v>296</v>
      </c>
      <c r="D302" s="146">
        <f>ETo!$I301*((1-Constantes!$E$19)*ETo!$K301+ETo!$L301)</f>
        <v>4.362801815260382</v>
      </c>
      <c r="E302" s="76">
        <f>MIN(D302*Constantes!$E$17,0.8*(N301+Observaciones!$F301-F302-M302-Constantes!$D$14))</f>
        <v>2.1330275268868681</v>
      </c>
      <c r="F302" s="76">
        <f>IF(Observaciones!$F301&gt;0.05*Constantes!$E$18,((Observaciones!$F301-0.05*Constantes!$E$18)^2)/(Observaciones!$F301+0.95*Constantes!$E$18),0)</f>
        <v>0</v>
      </c>
      <c r="G302" s="76">
        <f>IF(Escenarios!$E$11&gt;0,(F302*Escenarios!$E$16*10000)/1000,0)</f>
        <v>0</v>
      </c>
      <c r="H302" s="76">
        <f>IF(Escenarios!$E$11&gt;0,(Observaciones!$F301*Constantes!$E$29)/1000,0)</f>
        <v>32</v>
      </c>
      <c r="I302" s="76">
        <f>IF(Escenarios!$E$11&gt;0,(D302*Constantes!$E$29)/1000,0)</f>
        <v>43.628018152603822</v>
      </c>
      <c r="J302" s="76">
        <f>IF(Escenarios!$E$11&gt;0,MAX(0,G302+H302-I302),0)</f>
        <v>0</v>
      </c>
      <c r="K302" s="76">
        <f>IF(Escenarios!$E$11&gt;0,IF(J302&gt;Constantes!$E$30,1000*((J302-Constantes!$E$30)/(Escenarios!$E$16*10000)),0),F302)</f>
        <v>0</v>
      </c>
      <c r="L302" s="76">
        <f>IF(Escenarios!$E$11&gt;0,I302*1000/Escenarios!$E$16/10000+E302,E302)</f>
        <v>2.1504787341479097</v>
      </c>
      <c r="M302" s="76">
        <f>MAX(0,N301+Observaciones!$F301-K302-Constantes!$D$13)</f>
        <v>0</v>
      </c>
      <c r="N302" s="76">
        <f>N301+Observaciones!$F301-K302-L302-M302-O301</f>
        <v>40.047743939310664</v>
      </c>
      <c r="O302" s="76">
        <f>MAX(0,(N302-Constantes!$D$14)*(1-EXP(-Constantes!$D$22)))</f>
        <v>0.98095687725519953</v>
      </c>
      <c r="P302" s="170">
        <f>P301+(Entradas!$E$83*M302-Q301)/(800*Entradas!$D$25)</f>
        <v>0</v>
      </c>
      <c r="Q302" s="170">
        <f>8000*Entradas!$D$26*P302/Constantes!$E$45</f>
        <v>0</v>
      </c>
      <c r="R302" s="170">
        <f>IF(Escenarios!$E$14&gt;0,K302*Escenarios!$E$13/Escenarios!$E$14,0)</f>
        <v>0</v>
      </c>
      <c r="S302" s="170">
        <f>IF(Escenarios!$E$14&gt;0,Q302*Escenarios!$E$13/Escenarios!$E$14,0)</f>
        <v>0</v>
      </c>
      <c r="T302" s="170">
        <f>IF(Escenarios!$E$14&gt;0,Observaciones!$I301,0)</f>
        <v>0</v>
      </c>
      <c r="U302" s="170">
        <f>IF(Escenarios!$E$14&gt;0,MAX(0,Constantes!$E$36/((Z301+R302+S302+T302+Observaciones!$F301)^2)+Entradas!$E$77),0)</f>
        <v>0.35677512891780605</v>
      </c>
      <c r="V302" s="146">
        <f>IF(ETo!D301&gt;0,ETo!I301*((1-Entradas!$E$81)*ETo!K301+ETo!L301),0)</f>
        <v>3.986020310647524</v>
      </c>
      <c r="W302" s="170">
        <f>IF(Escenarios!$E$14&gt;0,MIN(V302*1,0.8*(Z301+R302+S302+T302+Observaciones!$F301-U302-Constantes!$E$35)),0)</f>
        <v>3.986020310647524</v>
      </c>
      <c r="X302" s="170">
        <f>IF(Escenarios!$E$14&gt;0,Observaciones!$J301,0)</f>
        <v>0</v>
      </c>
      <c r="Y302" s="170">
        <f>IF(Escenarios!$E$14&gt;0,MAX(0,Z301+R302+S302+T302+Observaciones!$F301-U302-W302-X302-Constantes!$E$33),0)</f>
        <v>0</v>
      </c>
      <c r="Z302" s="170">
        <f>Z301+R302+S302+T302+Observaciones!$F301-U302-W302-Y302</f>
        <v>57.98036053322727</v>
      </c>
      <c r="AA302" s="170">
        <f>IF(Escenarios!$E$14&gt;0,(Escenarios!$E$13*L302+Escenarios!$E$14*W302)/(Escenarios!$E$16),L302)</f>
        <v>2.3707437233278634</v>
      </c>
      <c r="AB302" s="170">
        <f>IF(Escenarios!$E$14&gt;0,(Escenarios!$E$14*Y302)/(Escenarios!$E$16),K302)</f>
        <v>0</v>
      </c>
      <c r="AC302" s="170">
        <f>IF(Escenarios!$E$14&gt;0,(Escenarios!$E$13*M302+Escenarios!$E$14*U302)/(Escenarios!$E$16),M302)</f>
        <v>4.2813015470136724E-2</v>
      </c>
      <c r="AD302" s="76">
        <f t="shared" si="57"/>
        <v>66.265444078709862</v>
      </c>
      <c r="AE302" s="76">
        <f>MAX(0,(AD302-Constantes!$D$13)*(1-EXP(-Constantes!$D$23)))</f>
        <v>0.1725838423612798</v>
      </c>
      <c r="AF302" s="76">
        <f>AB302+O302*Escenarios!$E$13/Escenarios!$E$16+AE302</f>
        <v>1.0358258943458554</v>
      </c>
      <c r="AG302" s="76">
        <f>IF(Entradas!$E$91&gt;0,IF(AF302-Escenarios!$E$38&lt;=0,0,IF(AF302-Escenarios!$E$38&gt;Escenarios!$E$37,Escenarios!$E$37,AF302-Escenarios!$E$38)),0)</f>
        <v>0</v>
      </c>
      <c r="AH302" s="76">
        <f>AG302*Entradas!$E$99</f>
        <v>0</v>
      </c>
      <c r="AI302" s="76">
        <f>IF(Entradas!$E$91&gt;0,D302*Entradas!$D$23/Escenarios!$E$16,0)</f>
        <v>0</v>
      </c>
      <c r="AJ302" s="76">
        <f>IF(Entradas!$E$91&gt;0,Entradas!$D$24*Entradas!$D$22/Escenarios!$E$16,0)</f>
        <v>0</v>
      </c>
      <c r="AK302" s="76">
        <f t="shared" si="66"/>
        <v>2.3707437233278634</v>
      </c>
      <c r="AL302" s="76">
        <f t="shared" si="67"/>
        <v>0</v>
      </c>
      <c r="AM302" s="76">
        <f t="shared" si="58"/>
        <v>0</v>
      </c>
      <c r="AN302" s="76">
        <f>MAX(0,O302*Escenarios!$E$13/Escenarios!$E$16-AM302)</f>
        <v>0.8632420519845756</v>
      </c>
      <c r="AO302" s="76">
        <f>AM302+AN302-O302*Escenarios!$E$13/Escenarios!$E$16</f>
        <v>0</v>
      </c>
      <c r="AP302" s="76">
        <f t="shared" si="56"/>
        <v>0.1725838423612798</v>
      </c>
      <c r="AQ302" s="76">
        <f t="shared" si="59"/>
        <v>0</v>
      </c>
      <c r="AR302" s="76">
        <f t="shared" si="60"/>
        <v>1.0358258943458554</v>
      </c>
      <c r="AS302" s="76">
        <f t="shared" si="61"/>
        <v>0</v>
      </c>
      <c r="AT302" s="76">
        <f t="shared" si="62"/>
        <v>4.2813015470136724E-2</v>
      </c>
      <c r="AU302" s="76">
        <f t="shared" si="63"/>
        <v>48.75</v>
      </c>
      <c r="AV302" s="76">
        <f>MAX(0,(AU302-Constantes!$D$13)*(1-EXP(-Constantes!$D$24)))</f>
        <v>0</v>
      </c>
      <c r="AW302" s="170">
        <f>AW301+(Entradas!$E$112*AT302-AX301)/(800*Entradas!$D$25)</f>
        <v>0</v>
      </c>
      <c r="AX302" s="170">
        <f>8000*Entradas!$D$26*AW302/Constantes!$E$45</f>
        <v>0</v>
      </c>
      <c r="AY302" s="170">
        <f>IF(Escenarios!$E$17&gt;0,10*Escenarios!$E$16*AL302,0)</f>
        <v>0</v>
      </c>
      <c r="AZ302" s="170">
        <f>IF(Escenarios!$E$17&gt;0,10*Escenarios!$E$16*AX302,0)</f>
        <v>0</v>
      </c>
      <c r="BA302" s="170">
        <f>IF(Escenarios!$E$17&gt;0,0.001*Observaciones!$F301*Escenarios!$E$17,0)</f>
        <v>64</v>
      </c>
      <c r="BB302" s="170">
        <f>IF(Escenarios!$E$17&gt;0,Observaciones!$K301,0)</f>
        <v>0</v>
      </c>
      <c r="BC302" s="170">
        <f>IF(Escenarios!$E$17&gt;0,MIN(0.0005*ETo!$M301*Escenarios!$E$17*(BG301/Constantes!$E$40)^(2/3),BG301+AY302+AZ302+BA302+BB302),0)</f>
        <v>13.880010095849972</v>
      </c>
      <c r="BD302" s="170">
        <f>IF(Escenarios!$E$17&gt;0,MIN(Constantes!$E$39*(BG301/Constantes!$E$40)^(2/3),BG301+AY302+AZ302+BA302+BB302-BC302),0)</f>
        <v>22.406634862942056</v>
      </c>
      <c r="BE302" s="170">
        <f>IF(Escenarios!$E$17&gt;0,MIN(Entradas!$E$113,BG301+AY302+AZ302+BA302+BB302-BC302-BD302),0)</f>
        <v>1</v>
      </c>
      <c r="BF302" s="170">
        <f>IF(Escenarios!$E$17&gt;0,MAX(0,BG301+AY302+AZ302+BA302+BB302-BC302-BD302-BE302-Constantes!$E$40),0)</f>
        <v>0</v>
      </c>
      <c r="BG302" s="170">
        <f t="shared" si="68"/>
        <v>1014.8993986007007</v>
      </c>
      <c r="BH302" s="170">
        <f>(Escenarios!$E$16*AK302+0.1*BC302)/(Escenarios!$E$19)</f>
        <v>2.3574362374664712</v>
      </c>
      <c r="BI302" s="170">
        <f>IF(Escenarios!$E$17&gt;0,BF302/10/Escenarios!$E$19,AL302)</f>
        <v>0</v>
      </c>
      <c r="BJ302" s="170">
        <f>(Escenarios!$E$16*AT302+0.1*BD302)/(Escenarios!$E$19)</f>
        <v>5.1364751404080901E-2</v>
      </c>
      <c r="BK302" s="76">
        <f>BK301+(0.1*BD302)/(Escenarios!$E$19)-BL301</f>
        <v>49.463262970068023</v>
      </c>
      <c r="BL302" s="76">
        <f>MAX(0,(BK302-Constantes!$D$13)*(1-EXP(-Constantes!$D$23)))</f>
        <v>7.0279499300839234E-3</v>
      </c>
      <c r="BM302" s="76">
        <f t="shared" si="64"/>
        <v>0.17961179229136373</v>
      </c>
      <c r="BN302" s="76">
        <f t="shared" si="69"/>
        <v>1.0428538442759392</v>
      </c>
      <c r="BO302" s="76">
        <f>0.0526*BI302*Observaciones!$F301^1.218</f>
        <v>0</v>
      </c>
      <c r="BP302" s="76">
        <f>BO302*Constantes!$E$51</f>
        <v>0</v>
      </c>
      <c r="BQ302" s="76">
        <f t="shared" si="65"/>
        <v>0</v>
      </c>
      <c r="BR302" s="40"/>
    </row>
    <row r="303" spans="1:70">
      <c r="A303" s="147"/>
      <c r="B303" s="39"/>
      <c r="C303" s="75">
        <v>297</v>
      </c>
      <c r="D303" s="146">
        <f>ETo!$I302*((1-Constantes!$E$19)*ETo!$K302+ETo!$L302)</f>
        <v>4.0736755314024888</v>
      </c>
      <c r="E303" s="76">
        <f>MIN(D303*Constantes!$E$17,0.8*(N302+Observaciones!$F302-F303-M303-Constantes!$D$14))</f>
        <v>1.9916701266817465</v>
      </c>
      <c r="F303" s="76">
        <f>IF(Observaciones!$F302&gt;0.05*Constantes!$E$18,((Observaciones!$F302-0.05*Constantes!$E$18)^2)/(Observaciones!$F302+0.95*Constantes!$E$18),0)</f>
        <v>0</v>
      </c>
      <c r="G303" s="76">
        <f>IF(Escenarios!$E$11&gt;0,(F303*Escenarios!$E$16*10000)/1000,0)</f>
        <v>0</v>
      </c>
      <c r="H303" s="76">
        <f>IF(Escenarios!$E$11&gt;0,(Observaciones!$F302*Constantes!$E$29)/1000,0)</f>
        <v>18</v>
      </c>
      <c r="I303" s="76">
        <f>IF(Escenarios!$E$11&gt;0,(D303*Constantes!$E$29)/1000,0)</f>
        <v>40.736755314024883</v>
      </c>
      <c r="J303" s="76">
        <f>IF(Escenarios!$E$11&gt;0,MAX(0,G303+H303-I303),0)</f>
        <v>0</v>
      </c>
      <c r="K303" s="76">
        <f>IF(Escenarios!$E$11&gt;0,IF(J303&gt;Constantes!$E$30,1000*((J303-Constantes!$E$30)/(Escenarios!$E$16*10000)),0),F303)</f>
        <v>0</v>
      </c>
      <c r="L303" s="76">
        <f>IF(Escenarios!$E$11&gt;0,I303*1000/Escenarios!$E$16/10000+E303,E303)</f>
        <v>2.0079648288073564</v>
      </c>
      <c r="M303" s="76">
        <f>MAX(0,N302+Observaciones!$F302-K303-Constantes!$D$13)</f>
        <v>0</v>
      </c>
      <c r="N303" s="76">
        <f>N302+Observaciones!$F302-K303-L303-M303-O302</f>
        <v>38.858822233248098</v>
      </c>
      <c r="O303" s="76">
        <f>MAX(0,(N303-Constantes!$D$14)*(1-EXP(-Constantes!$D$22)))</f>
        <v>0.94045783932577298</v>
      </c>
      <c r="P303" s="170">
        <f>P302+(Entradas!$E$83*M303-Q302)/(800*Entradas!$D$25)</f>
        <v>0</v>
      </c>
      <c r="Q303" s="170">
        <f>8000*Entradas!$D$26*P303/Constantes!$E$45</f>
        <v>0</v>
      </c>
      <c r="R303" s="170">
        <f>IF(Escenarios!$E$14&gt;0,K303*Escenarios!$E$13/Escenarios!$E$14,0)</f>
        <v>0</v>
      </c>
      <c r="S303" s="170">
        <f>IF(Escenarios!$E$14&gt;0,Q303*Escenarios!$E$13/Escenarios!$E$14,0)</f>
        <v>0</v>
      </c>
      <c r="T303" s="170">
        <f>IF(Escenarios!$E$14&gt;0,Observaciones!$I302,0)</f>
        <v>0</v>
      </c>
      <c r="U303" s="170">
        <f>IF(Escenarios!$E$14&gt;0,MAX(0,Constantes!$E$36/((Z302+R303+S303+T303+Observaciones!$F302)^2)+Entradas!$E$77),0)</f>
        <v>0.12713031210189785</v>
      </c>
      <c r="V303" s="146">
        <f>IF(ETo!D302&gt;0,ETo!I302*((1-Entradas!$E$81)*ETo!K302+ETo!L302),0)</f>
        <v>3.7192303883714928</v>
      </c>
      <c r="W303" s="170">
        <f>IF(Escenarios!$E$14&gt;0,MIN(V303*1,0.8*(Z302+R303+S303+T303+Observaciones!$F302-U303-Constantes!$E$35)),0)</f>
        <v>3.7192303883714928</v>
      </c>
      <c r="X303" s="170">
        <f>IF(Escenarios!$E$14&gt;0,Observaciones!$J302,0)</f>
        <v>0</v>
      </c>
      <c r="Y303" s="170">
        <f>IF(Escenarios!$E$14&gt;0,MAX(0,Z302+R303+S303+T303+Observaciones!$F302-U303-W303-X303-Constantes!$E$33),0)</f>
        <v>0</v>
      </c>
      <c r="Z303" s="170">
        <f>Z302+R303+S303+T303+Observaciones!$F302-U303-W303-Y303</f>
        <v>55.933999832753877</v>
      </c>
      <c r="AA303" s="170">
        <f>IF(Escenarios!$E$14&gt;0,(Escenarios!$E$13*L303+Escenarios!$E$14*W303)/(Escenarios!$E$16),L303)</f>
        <v>2.2133166959550525</v>
      </c>
      <c r="AB303" s="170">
        <f>IF(Escenarios!$E$14&gt;0,(Escenarios!$E$14*Y303)/(Escenarios!$E$16),K303)</f>
        <v>0</v>
      </c>
      <c r="AC303" s="170">
        <f>IF(Escenarios!$E$14&gt;0,(Escenarios!$E$13*M303+Escenarios!$E$14*U303)/(Escenarios!$E$16),M303)</f>
        <v>1.5255637452227742E-2</v>
      </c>
      <c r="AD303" s="76">
        <f t="shared" si="57"/>
        <v>66.108115873800813</v>
      </c>
      <c r="AE303" s="76">
        <f>MAX(0,(AD303-Constantes!$D$13)*(1-EXP(-Constantes!$D$23)))</f>
        <v>0.17103365008565202</v>
      </c>
      <c r="AF303" s="76">
        <f>AB303+O303*Escenarios!$E$13/Escenarios!$E$16+AE303</f>
        <v>0.99863654869233232</v>
      </c>
      <c r="AG303" s="76">
        <f>IF(Entradas!$E$91&gt;0,IF(AF303-Escenarios!$E$38&lt;=0,0,IF(AF303-Escenarios!$E$38&gt;Escenarios!$E$37,Escenarios!$E$37,AF303-Escenarios!$E$38)),0)</f>
        <v>0</v>
      </c>
      <c r="AH303" s="76">
        <f>AG303*Entradas!$E$99</f>
        <v>0</v>
      </c>
      <c r="AI303" s="76">
        <f>IF(Entradas!$E$91&gt;0,D303*Entradas!$D$23/Escenarios!$E$16,0)</f>
        <v>0</v>
      </c>
      <c r="AJ303" s="76">
        <f>IF(Entradas!$E$91&gt;0,Entradas!$D$24*Entradas!$D$22/Escenarios!$E$16,0)</f>
        <v>0</v>
      </c>
      <c r="AK303" s="76">
        <f t="shared" si="66"/>
        <v>2.2133166959550525</v>
      </c>
      <c r="AL303" s="76">
        <f t="shared" si="67"/>
        <v>0</v>
      </c>
      <c r="AM303" s="76">
        <f t="shared" si="58"/>
        <v>0</v>
      </c>
      <c r="AN303" s="76">
        <f>MAX(0,O303*Escenarios!$E$13/Escenarios!$E$16-AM303)</f>
        <v>0.82760289860668024</v>
      </c>
      <c r="AO303" s="76">
        <f>AM303+AN303-O303*Escenarios!$E$13/Escenarios!$E$16</f>
        <v>0</v>
      </c>
      <c r="AP303" s="76">
        <f t="shared" si="56"/>
        <v>0.17103365008565202</v>
      </c>
      <c r="AQ303" s="76">
        <f t="shared" si="59"/>
        <v>0</v>
      </c>
      <c r="AR303" s="76">
        <f t="shared" si="60"/>
        <v>0.99863654869233232</v>
      </c>
      <c r="AS303" s="76">
        <f t="shared" si="61"/>
        <v>0</v>
      </c>
      <c r="AT303" s="76">
        <f t="shared" si="62"/>
        <v>1.5255637452227742E-2</v>
      </c>
      <c r="AU303" s="76">
        <f t="shared" si="63"/>
        <v>48.75</v>
      </c>
      <c r="AV303" s="76">
        <f>MAX(0,(AU303-Constantes!$D$13)*(1-EXP(-Constantes!$D$24)))</f>
        <v>0</v>
      </c>
      <c r="AW303" s="170">
        <f>AW302+(Entradas!$E$112*AT303-AX302)/(800*Entradas!$D$25)</f>
        <v>0</v>
      </c>
      <c r="AX303" s="170">
        <f>8000*Entradas!$D$26*AW303/Constantes!$E$45</f>
        <v>0</v>
      </c>
      <c r="AY303" s="170">
        <f>IF(Escenarios!$E$17&gt;0,10*Escenarios!$E$16*AL303,0)</f>
        <v>0</v>
      </c>
      <c r="AZ303" s="170">
        <f>IF(Escenarios!$E$17&gt;0,10*Escenarios!$E$16*AX303,0)</f>
        <v>0</v>
      </c>
      <c r="BA303" s="170">
        <f>IF(Escenarios!$E$17&gt;0,0.001*Observaciones!$F302*Escenarios!$E$17,0)</f>
        <v>36</v>
      </c>
      <c r="BB303" s="170">
        <f>IF(Escenarios!$E$17&gt;0,Observaciones!$K302,0)</f>
        <v>0</v>
      </c>
      <c r="BC303" s="170">
        <f>IF(Escenarios!$E$17&gt;0,MIN(0.0005*ETo!$M302*Escenarios!$E$17*(BG302/Constantes!$E$40)^(2/3),BG302+AY303+AZ303+BA303+BB303),0)</f>
        <v>13.2045102928126</v>
      </c>
      <c r="BD303" s="170">
        <f>IF(Escenarios!$E$17&gt;0,MIN(Constantes!$E$39*(BG302/Constantes!$E$40)^(2/3),BG302+AY303+AZ303+BA303+BB303-BC303),0)</f>
        <v>22.808645211133168</v>
      </c>
      <c r="BE303" s="170">
        <f>IF(Escenarios!$E$17&gt;0,MIN(Entradas!$E$113,BG302+AY303+AZ303+BA303+BB303-BC303-BD303),0)</f>
        <v>1</v>
      </c>
      <c r="BF303" s="170">
        <f>IF(Escenarios!$E$17&gt;0,MAX(0,BG302+AY303+AZ303+BA303+BB303-BC303-BD303-BE303-Constantes!$E$40),0)</f>
        <v>0</v>
      </c>
      <c r="BG303" s="170">
        <f t="shared" si="68"/>
        <v>1013.8862430967552</v>
      </c>
      <c r="BH303" s="170">
        <f>(Escenarios!$E$16*AK303+0.1*BC303)/(Escenarios!$E$19)</f>
        <v>2.2009905754684302</v>
      </c>
      <c r="BI303" s="170">
        <f>IF(Escenarios!$E$17&gt;0,BF303/10/Escenarios!$E$19,AL303)</f>
        <v>0</v>
      </c>
      <c r="BJ303" s="170">
        <f>(Escenarios!$E$16*AT303+0.1*BD303)/(Escenarios!$E$19)</f>
        <v>2.4185610651469253E-2</v>
      </c>
      <c r="BK303" s="76">
        <f>BK302+(0.1*BD303)/(Escenarios!$E$19)-BL302</f>
        <v>49.465286069824899</v>
      </c>
      <c r="BL303" s="76">
        <f>MAX(0,(BK303-Constantes!$D$13)*(1-EXP(-Constantes!$D$23)))</f>
        <v>7.0478840138532431E-3</v>
      </c>
      <c r="BM303" s="76">
        <f t="shared" si="64"/>
        <v>0.17808153409950528</v>
      </c>
      <c r="BN303" s="76">
        <f t="shared" si="69"/>
        <v>1.0056844327061856</v>
      </c>
      <c r="BO303" s="76">
        <f>0.0526*BI303*Observaciones!$F302^1.218</f>
        <v>0</v>
      </c>
      <c r="BP303" s="76">
        <f>BO303*Constantes!$E$51</f>
        <v>0</v>
      </c>
      <c r="BQ303" s="76">
        <f t="shared" si="65"/>
        <v>0</v>
      </c>
      <c r="BR303" s="40"/>
    </row>
    <row r="304" spans="1:70">
      <c r="A304" s="147"/>
      <c r="B304" s="39"/>
      <c r="C304" s="75">
        <v>298</v>
      </c>
      <c r="D304" s="146">
        <f>ETo!$I303*((1-Constantes!$E$19)*ETo!$K303+ETo!$L303)</f>
        <v>4.0922847924979804</v>
      </c>
      <c r="E304" s="76">
        <f>MIN(D304*Constantes!$E$17,0.8*(N303+Observaciones!$F303-F304-M304-Constantes!$D$14))</f>
        <v>2.0007684235681338</v>
      </c>
      <c r="F304" s="76">
        <f>IF(Observaciones!$F303&gt;0.05*Constantes!$E$18,((Observaciones!$F303-0.05*Constantes!$E$18)^2)/(Observaciones!$F303+0.95*Constantes!$E$18),0)</f>
        <v>0</v>
      </c>
      <c r="G304" s="76">
        <f>IF(Escenarios!$E$11&gt;0,(F304*Escenarios!$E$16*10000)/1000,0)</f>
        <v>0</v>
      </c>
      <c r="H304" s="76">
        <f>IF(Escenarios!$E$11&gt;0,(Observaciones!$F303*Constantes!$E$29)/1000,0)</f>
        <v>58</v>
      </c>
      <c r="I304" s="76">
        <f>IF(Escenarios!$E$11&gt;0,(D304*Constantes!$E$29)/1000,0)</f>
        <v>40.922847924979806</v>
      </c>
      <c r="J304" s="76">
        <f>IF(Escenarios!$E$11&gt;0,MAX(0,G304+H304-I304),0)</f>
        <v>17.077152075020194</v>
      </c>
      <c r="K304" s="76">
        <f>IF(Escenarios!$E$11&gt;0,IF(J304&gt;Constantes!$E$30,1000*((J304-Constantes!$E$30)/(Escenarios!$E$16*10000)),0),F304)</f>
        <v>0</v>
      </c>
      <c r="L304" s="76">
        <f>IF(Escenarios!$E$11&gt;0,I304*1000/Escenarios!$E$16/10000+E304,E304)</f>
        <v>2.0171375627381258</v>
      </c>
      <c r="M304" s="76">
        <f>MAX(0,N303+Observaciones!$F303-K304-Constantes!$D$13)</f>
        <v>0</v>
      </c>
      <c r="N304" s="76">
        <f>N303+Observaciones!$F303-K304-L304-M304-O303</f>
        <v>41.701226831184194</v>
      </c>
      <c r="O304" s="76">
        <f>MAX(0,(N304-Constantes!$D$14)*(1-EXP(-Constantes!$D$22)))</f>
        <v>1.0372805746123746</v>
      </c>
      <c r="P304" s="170">
        <f>P303+(Entradas!$E$83*M304-Q303)/(800*Entradas!$D$25)</f>
        <v>0</v>
      </c>
      <c r="Q304" s="170">
        <f>8000*Entradas!$D$26*P304/Constantes!$E$45</f>
        <v>0</v>
      </c>
      <c r="R304" s="170">
        <f>IF(Escenarios!$E$14&gt;0,K304*Escenarios!$E$13/Escenarios!$E$14,0)</f>
        <v>0</v>
      </c>
      <c r="S304" s="170">
        <f>IF(Escenarios!$E$14&gt;0,Q304*Escenarios!$E$13/Escenarios!$E$14,0)</f>
        <v>0</v>
      </c>
      <c r="T304" s="170">
        <f>IF(Escenarios!$E$14&gt;0,Observaciones!$I303,0)</f>
        <v>0</v>
      </c>
      <c r="U304" s="170">
        <f>IF(Escenarios!$E$14&gt;0,MAX(0,Constantes!$E$36/((Z303+R304+S304+T304+Observaciones!$F303)^2)+Entradas!$E$77),0)</f>
        <v>0.30608335287443866</v>
      </c>
      <c r="V304" s="146">
        <f>IF(ETo!D303&gt;0,ETo!I303*((1-Entradas!$E$81)*ETo!K303+ETo!L303),0)</f>
        <v>3.7364353811345938</v>
      </c>
      <c r="W304" s="170">
        <f>IF(Escenarios!$E$14&gt;0,MIN(V304*1,0.8*(Z303+R304+S304+T304+Observaciones!$F303-U304-Constantes!$E$35)),0)</f>
        <v>3.7364353811345938</v>
      </c>
      <c r="X304" s="170">
        <f>IF(Escenarios!$E$14&gt;0,Observaciones!$J303,0)</f>
        <v>0</v>
      </c>
      <c r="Y304" s="170">
        <f>IF(Escenarios!$E$14&gt;0,MAX(0,Z303+R304+S304+T304+Observaciones!$F303-U304-W304-X304-Constantes!$E$33),0)</f>
        <v>0</v>
      </c>
      <c r="Z304" s="170">
        <f>Z303+R304+S304+T304+Observaciones!$F303-U304-W304-Y304</f>
        <v>57.691481098744845</v>
      </c>
      <c r="AA304" s="170">
        <f>IF(Escenarios!$E$14&gt;0,(Escenarios!$E$13*L304+Escenarios!$E$14*W304)/(Escenarios!$E$16),L304)</f>
        <v>2.2234533009457018</v>
      </c>
      <c r="AB304" s="170">
        <f>IF(Escenarios!$E$14&gt;0,(Escenarios!$E$14*Y304)/(Escenarios!$E$16),K304)</f>
        <v>0</v>
      </c>
      <c r="AC304" s="170">
        <f>IF(Escenarios!$E$14&gt;0,(Escenarios!$E$13*M304+Escenarios!$E$14*U304)/(Escenarios!$E$16),M304)</f>
        <v>3.6730002344932643E-2</v>
      </c>
      <c r="AD304" s="76">
        <f t="shared" si="57"/>
        <v>65.973812226060105</v>
      </c>
      <c r="AE304" s="76">
        <f>MAX(0,(AD304-Constantes!$D$13)*(1-EXP(-Constantes!$D$23)))</f>
        <v>0.16971032425582613</v>
      </c>
      <c r="AF304" s="76">
        <f>AB304+O304*Escenarios!$E$13/Escenarios!$E$16+AE304</f>
        <v>1.0825172299147157</v>
      </c>
      <c r="AG304" s="76">
        <f>IF(Entradas!$E$91&gt;0,IF(AF304-Escenarios!$E$38&lt;=0,0,IF(AF304-Escenarios!$E$38&gt;Escenarios!$E$37,Escenarios!$E$37,AF304-Escenarios!$E$38)),0)</f>
        <v>0</v>
      </c>
      <c r="AH304" s="76">
        <f>AG304*Entradas!$E$99</f>
        <v>0</v>
      </c>
      <c r="AI304" s="76">
        <f>IF(Entradas!$E$91&gt;0,D304*Entradas!$D$23/Escenarios!$E$16,0)</f>
        <v>0</v>
      </c>
      <c r="AJ304" s="76">
        <f>IF(Entradas!$E$91&gt;0,Entradas!$D$24*Entradas!$D$22/Escenarios!$E$16,0)</f>
        <v>0</v>
      </c>
      <c r="AK304" s="76">
        <f t="shared" si="66"/>
        <v>2.2234533009457018</v>
      </c>
      <c r="AL304" s="76">
        <f t="shared" si="67"/>
        <v>0</v>
      </c>
      <c r="AM304" s="76">
        <f t="shared" si="58"/>
        <v>0</v>
      </c>
      <c r="AN304" s="76">
        <f>MAX(0,O304*Escenarios!$E$13/Escenarios!$E$16-AM304)</f>
        <v>0.91280690565888956</v>
      </c>
      <c r="AO304" s="76">
        <f>AM304+AN304-O304*Escenarios!$E$13/Escenarios!$E$16</f>
        <v>0</v>
      </c>
      <c r="AP304" s="76">
        <f t="shared" si="56"/>
        <v>0.16971032425582613</v>
      </c>
      <c r="AQ304" s="76">
        <f t="shared" si="59"/>
        <v>0</v>
      </c>
      <c r="AR304" s="76">
        <f t="shared" si="60"/>
        <v>1.0825172299147157</v>
      </c>
      <c r="AS304" s="76">
        <f t="shared" si="61"/>
        <v>0</v>
      </c>
      <c r="AT304" s="76">
        <f t="shared" si="62"/>
        <v>3.6730002344932643E-2</v>
      </c>
      <c r="AU304" s="76">
        <f t="shared" si="63"/>
        <v>48.75</v>
      </c>
      <c r="AV304" s="76">
        <f>MAX(0,(AU304-Constantes!$D$13)*(1-EXP(-Constantes!$D$24)))</f>
        <v>0</v>
      </c>
      <c r="AW304" s="170">
        <f>AW303+(Entradas!$E$112*AT304-AX303)/(800*Entradas!$D$25)</f>
        <v>0</v>
      </c>
      <c r="AX304" s="170">
        <f>8000*Entradas!$D$26*AW304/Constantes!$E$45</f>
        <v>0</v>
      </c>
      <c r="AY304" s="170">
        <f>IF(Escenarios!$E$17&gt;0,10*Escenarios!$E$16*AL304,0)</f>
        <v>0</v>
      </c>
      <c r="AZ304" s="170">
        <f>IF(Escenarios!$E$17&gt;0,10*Escenarios!$E$16*AX304,0)</f>
        <v>0</v>
      </c>
      <c r="BA304" s="170">
        <f>IF(Escenarios!$E$17&gt;0,0.001*Observaciones!$F303*Escenarios!$E$17,0)</f>
        <v>115.99999999999999</v>
      </c>
      <c r="BB304" s="170">
        <f>IF(Escenarios!$E$17&gt;0,Observaciones!$K303,0)</f>
        <v>0</v>
      </c>
      <c r="BC304" s="170">
        <f>IF(Escenarios!$E$17&gt;0,MIN(0.0005*ETo!$M303*Escenarios!$E$17*(BG303/Constantes!$E$40)^(2/3),BG303+AY304+AZ304+BA304+BB304),0)</f>
        <v>13.25503785584883</v>
      </c>
      <c r="BD304" s="170">
        <f>IF(Escenarios!$E$17&gt;0,MIN(Constantes!$E$39*(BG303/Constantes!$E$40)^(2/3),BG303+AY304+AZ304+BA304+BB304-BC304),0)</f>
        <v>22.793463048904567</v>
      </c>
      <c r="BE304" s="170">
        <f>IF(Escenarios!$E$17&gt;0,MIN(Entradas!$E$113,BG303+AY304+AZ304+BA304+BB304-BC304-BD304),0)</f>
        <v>1</v>
      </c>
      <c r="BF304" s="170">
        <f>IF(Escenarios!$E$17&gt;0,MAX(0,BG303+AY304+AZ304+BA304+BB304-BC304-BD304-BE304-Constantes!$E$40),0)</f>
        <v>0</v>
      </c>
      <c r="BG304" s="170">
        <f t="shared" si="68"/>
        <v>1092.8377421920018</v>
      </c>
      <c r="BH304" s="170">
        <f>(Escenarios!$E$16*AK304+0.1*BC304)/(Escenarios!$E$19)</f>
        <v>2.2110667818333742</v>
      </c>
      <c r="BI304" s="170">
        <f>IF(Escenarios!$E$17&gt;0,BF304/10/Escenarios!$E$19,AL304)</f>
        <v>0</v>
      </c>
      <c r="BJ304" s="170">
        <f>(Escenarios!$E$16*AT304+0.1*BD304)/(Escenarios!$E$19)</f>
        <v>4.5483519409220706E-2</v>
      </c>
      <c r="BK304" s="76">
        <f>BK303+(0.1*BD304)/(Escenarios!$E$19)-BL303</f>
        <v>49.467283210830452</v>
      </c>
      <c r="BL304" s="76">
        <f>MAX(0,(BK304-Constantes!$D$13)*(1-EXP(-Constantes!$D$23)))</f>
        <v>7.0675623198628865E-3</v>
      </c>
      <c r="BM304" s="76">
        <f t="shared" si="64"/>
        <v>0.17677788657568902</v>
      </c>
      <c r="BN304" s="76">
        <f t="shared" si="69"/>
        <v>1.0895847922345785</v>
      </c>
      <c r="BO304" s="76">
        <f>0.0526*BI304*Observaciones!$F303^1.218</f>
        <v>0</v>
      </c>
      <c r="BP304" s="76">
        <f>BO304*Constantes!$E$51</f>
        <v>0</v>
      </c>
      <c r="BQ304" s="76">
        <f t="shared" si="65"/>
        <v>0</v>
      </c>
      <c r="BR304" s="40"/>
    </row>
    <row r="305" spans="1:70">
      <c r="A305" s="147"/>
      <c r="B305" s="39"/>
      <c r="C305" s="75">
        <v>299</v>
      </c>
      <c r="D305" s="146">
        <f>ETo!$I304*((1-Constantes!$E$19)*ETo!$K304+ETo!$L304)</f>
        <v>4.2271590452680767</v>
      </c>
      <c r="E305" s="76">
        <f>MIN(D305*Constantes!$E$17,0.8*(N304+Observaciones!$F304-F305-M305-Constantes!$D$14))</f>
        <v>2.0667101064611355</v>
      </c>
      <c r="F305" s="76">
        <f>IF(Observaciones!$F304&gt;0.05*Constantes!$E$18,((Observaciones!$F304-0.05*Constantes!$E$18)^2)/(Observaciones!$F304+0.95*Constantes!$E$18),0)</f>
        <v>0</v>
      </c>
      <c r="G305" s="76">
        <f>IF(Escenarios!$E$11&gt;0,(F305*Escenarios!$E$16*10000)/1000,0)</f>
        <v>0</v>
      </c>
      <c r="H305" s="76">
        <f>IF(Escenarios!$E$11&gt;0,(Observaciones!$F304*Constantes!$E$29)/1000,0)</f>
        <v>17</v>
      </c>
      <c r="I305" s="76">
        <f>IF(Escenarios!$E$11&gt;0,(D305*Constantes!$E$29)/1000,0)</f>
        <v>42.271590452680762</v>
      </c>
      <c r="J305" s="76">
        <f>IF(Escenarios!$E$11&gt;0,MAX(0,G305+H305-I305),0)</f>
        <v>0</v>
      </c>
      <c r="K305" s="76">
        <f>IF(Escenarios!$E$11&gt;0,IF(J305&gt;Constantes!$E$30,1000*((J305-Constantes!$E$30)/(Escenarios!$E$16*10000)),0),F305)</f>
        <v>0</v>
      </c>
      <c r="L305" s="76">
        <f>IF(Escenarios!$E$11&gt;0,I305*1000/Escenarios!$E$16/10000+E305,E305)</f>
        <v>2.0836187426422077</v>
      </c>
      <c r="M305" s="76">
        <f>MAX(0,N304+Observaciones!$F304-K305-Constantes!$D$13)</f>
        <v>0</v>
      </c>
      <c r="N305" s="76">
        <f>N304+Observaciones!$F304-K305-L305-M305-O304</f>
        <v>40.280327513929613</v>
      </c>
      <c r="O305" s="76">
        <f>MAX(0,(N305-Constantes!$D$14)*(1-EXP(-Constantes!$D$22)))</f>
        <v>0.98887952763850306</v>
      </c>
      <c r="P305" s="170">
        <f>P304+(Entradas!$E$83*M305-Q304)/(800*Entradas!$D$25)</f>
        <v>0</v>
      </c>
      <c r="Q305" s="170">
        <f>8000*Entradas!$D$26*P305/Constantes!$E$45</f>
        <v>0</v>
      </c>
      <c r="R305" s="170">
        <f>IF(Escenarios!$E$14&gt;0,K305*Escenarios!$E$13/Escenarios!$E$14,0)</f>
        <v>0</v>
      </c>
      <c r="S305" s="170">
        <f>IF(Escenarios!$E$14&gt;0,Q305*Escenarios!$E$13/Escenarios!$E$14,0)</f>
        <v>0</v>
      </c>
      <c r="T305" s="170">
        <f>IF(Escenarios!$E$14&gt;0,Observaciones!$I304,0)</f>
        <v>0</v>
      </c>
      <c r="U305" s="170">
        <f>IF(Escenarios!$E$14&gt;0,MAX(0,Constantes!$E$36/((Z304+R305+S305+T305+Observaciones!$F304)^2)+Entradas!$E$77),0)</f>
        <v>8.9385589084241435E-2</v>
      </c>
      <c r="V305" s="146">
        <f>IF(ETo!D304&gt;0,ETo!I304*((1-Entradas!$E$81)*ETo!K304+ETo!L304),0)</f>
        <v>3.8607980890638123</v>
      </c>
      <c r="W305" s="170">
        <f>IF(Escenarios!$E$14&gt;0,MIN(V305*1,0.8*(Z304+R305+S305+T305+Observaciones!$F304-U305-Constantes!$E$35)),0)</f>
        <v>3.8607980890638123</v>
      </c>
      <c r="X305" s="170">
        <f>IF(Escenarios!$E$14&gt;0,Observaciones!$J304,0)</f>
        <v>0</v>
      </c>
      <c r="Y305" s="170">
        <f>IF(Escenarios!$E$14&gt;0,MAX(0,Z304+R305+S305+T305+Observaciones!$F304-U305-W305-X305-Constantes!$E$33),0)</f>
        <v>0</v>
      </c>
      <c r="Z305" s="170">
        <f>Z304+R305+S305+T305+Observaciones!$F304-U305-W305-Y305</f>
        <v>55.44129742059679</v>
      </c>
      <c r="AA305" s="170">
        <f>IF(Escenarios!$E$14&gt;0,(Escenarios!$E$13*L305+Escenarios!$E$14*W305)/(Escenarios!$E$16),L305)</f>
        <v>2.2968802642128003</v>
      </c>
      <c r="AB305" s="170">
        <f>IF(Escenarios!$E$14&gt;0,(Escenarios!$E$14*Y305)/(Escenarios!$E$16),K305)</f>
        <v>0</v>
      </c>
      <c r="AC305" s="170">
        <f>IF(Escenarios!$E$14&gt;0,(Escenarios!$E$13*M305+Escenarios!$E$14*U305)/(Escenarios!$E$16),M305)</f>
        <v>1.0726270690108973E-2</v>
      </c>
      <c r="AD305" s="76">
        <f t="shared" si="57"/>
        <v>65.814828172494387</v>
      </c>
      <c r="AE305" s="76">
        <f>MAX(0,(AD305-Constantes!$D$13)*(1-EXP(-Constantes!$D$23)))</f>
        <v>0.16814381650899179</v>
      </c>
      <c r="AF305" s="76">
        <f>AB305+O305*Escenarios!$E$13/Escenarios!$E$16+AE305</f>
        <v>1.0383578008308745</v>
      </c>
      <c r="AG305" s="76">
        <f>IF(Entradas!$E$91&gt;0,IF(AF305-Escenarios!$E$38&lt;=0,0,IF(AF305-Escenarios!$E$38&gt;Escenarios!$E$37,Escenarios!$E$37,AF305-Escenarios!$E$38)),0)</f>
        <v>0</v>
      </c>
      <c r="AH305" s="76">
        <f>AG305*Entradas!$E$99</f>
        <v>0</v>
      </c>
      <c r="AI305" s="76">
        <f>IF(Entradas!$E$91&gt;0,D305*Entradas!$D$23/Escenarios!$E$16,0)</f>
        <v>0</v>
      </c>
      <c r="AJ305" s="76">
        <f>IF(Entradas!$E$91&gt;0,Entradas!$D$24*Entradas!$D$22/Escenarios!$E$16,0)</f>
        <v>0</v>
      </c>
      <c r="AK305" s="76">
        <f t="shared" si="66"/>
        <v>2.2968802642128003</v>
      </c>
      <c r="AL305" s="76">
        <f t="shared" si="67"/>
        <v>0</v>
      </c>
      <c r="AM305" s="76">
        <f t="shared" si="58"/>
        <v>0</v>
      </c>
      <c r="AN305" s="76">
        <f>MAX(0,O305*Escenarios!$E$13/Escenarios!$E$16-AM305)</f>
        <v>0.87021398432188268</v>
      </c>
      <c r="AO305" s="76">
        <f>AM305+AN305-O305*Escenarios!$E$13/Escenarios!$E$16</f>
        <v>0</v>
      </c>
      <c r="AP305" s="76">
        <f t="shared" si="56"/>
        <v>0.16814381650899179</v>
      </c>
      <c r="AQ305" s="76">
        <f t="shared" si="59"/>
        <v>0</v>
      </c>
      <c r="AR305" s="76">
        <f t="shared" si="60"/>
        <v>1.0383578008308745</v>
      </c>
      <c r="AS305" s="76">
        <f t="shared" si="61"/>
        <v>0</v>
      </c>
      <c r="AT305" s="76">
        <f t="shared" si="62"/>
        <v>1.0726270690108973E-2</v>
      </c>
      <c r="AU305" s="76">
        <f t="shared" si="63"/>
        <v>48.75</v>
      </c>
      <c r="AV305" s="76">
        <f>MAX(0,(AU305-Constantes!$D$13)*(1-EXP(-Constantes!$D$24)))</f>
        <v>0</v>
      </c>
      <c r="AW305" s="170">
        <f>AW304+(Entradas!$E$112*AT305-AX304)/(800*Entradas!$D$25)</f>
        <v>0</v>
      </c>
      <c r="AX305" s="170">
        <f>8000*Entradas!$D$26*AW305/Constantes!$E$45</f>
        <v>0</v>
      </c>
      <c r="AY305" s="170">
        <f>IF(Escenarios!$E$17&gt;0,10*Escenarios!$E$16*AL305,0)</f>
        <v>0</v>
      </c>
      <c r="AZ305" s="170">
        <f>IF(Escenarios!$E$17&gt;0,10*Escenarios!$E$16*AX305,0)</f>
        <v>0</v>
      </c>
      <c r="BA305" s="170">
        <f>IF(Escenarios!$E$17&gt;0,0.001*Observaciones!$F304*Escenarios!$E$17,0)</f>
        <v>34</v>
      </c>
      <c r="BB305" s="170">
        <f>IF(Escenarios!$E$17&gt;0,Observaciones!$K304,0)</f>
        <v>0</v>
      </c>
      <c r="BC305" s="170">
        <f>IF(Escenarios!$E$17&gt;0,MIN(0.0005*ETo!$M304*Escenarios!$E$17*(BG304/Constantes!$E$40)^(2/3),BG304+AY305+AZ305+BA305+BB305),0)</f>
        <v>14.388040081957612</v>
      </c>
      <c r="BD305" s="170">
        <f>IF(Escenarios!$E$17&gt;0,MIN(Constantes!$E$39*(BG304/Constantes!$E$40)^(2/3),BG304+AY305+AZ305+BA305+BB305-BC305),0)</f>
        <v>23.961901758898009</v>
      </c>
      <c r="BE305" s="170">
        <f>IF(Escenarios!$E$17&gt;0,MIN(Entradas!$E$113,BG304+AY305+AZ305+BA305+BB305-BC305-BD305),0)</f>
        <v>1</v>
      </c>
      <c r="BF305" s="170">
        <f>IF(Escenarios!$E$17&gt;0,MAX(0,BG304+AY305+AZ305+BA305+BB305-BC305-BD305-BE305-Constantes!$E$40),0)</f>
        <v>0</v>
      </c>
      <c r="BG305" s="170">
        <f t="shared" si="68"/>
        <v>1087.4878003511462</v>
      </c>
      <c r="BH305" s="170">
        <f>(Escenarios!$E$16*AK305+0.1*BC305)/(Escenarios!$E$19)</f>
        <v>2.2843605954817296</v>
      </c>
      <c r="BI305" s="170">
        <f>IF(Escenarios!$E$17&gt;0,BF305/10/Escenarios!$E$19,AL305)</f>
        <v>0</v>
      </c>
      <c r="BJ305" s="170">
        <f>(Escenarios!$E$16*AT305+0.1*BD305)/(Escenarios!$E$19)</f>
        <v>2.0149832731813665E-2</v>
      </c>
      <c r="BK305" s="76">
        <f>BK304+(0.1*BD305)/(Escenarios!$E$19)-BL304</f>
        <v>49.46972433968476</v>
      </c>
      <c r="BL305" s="76">
        <f>MAX(0,(BK305-Constantes!$D$13)*(1-EXP(-Constantes!$D$23)))</f>
        <v>7.091615343895975E-3</v>
      </c>
      <c r="BM305" s="76">
        <f t="shared" si="64"/>
        <v>0.17523543185288776</v>
      </c>
      <c r="BN305" s="76">
        <f t="shared" si="69"/>
        <v>1.0454494161747705</v>
      </c>
      <c r="BO305" s="76">
        <f>0.0526*BI305*Observaciones!$F304^1.218</f>
        <v>0</v>
      </c>
      <c r="BP305" s="76">
        <f>BO305*Constantes!$E$51</f>
        <v>0</v>
      </c>
      <c r="BQ305" s="76">
        <f t="shared" si="65"/>
        <v>0</v>
      </c>
      <c r="BR305" s="40"/>
    </row>
    <row r="306" spans="1:70">
      <c r="A306" s="147"/>
      <c r="B306" s="39"/>
      <c r="C306" s="75">
        <v>300</v>
      </c>
      <c r="D306" s="146">
        <f>ETo!$I305*((1-Constantes!$E$19)*ETo!$K305+ETo!$L305)</f>
        <v>4.3619439163145328</v>
      </c>
      <c r="E306" s="76">
        <f>MIN(D306*Constantes!$E$17,0.8*(N305+Observaciones!$F305-F306-M306-Constantes!$D$14))</f>
        <v>2.1326080895288877</v>
      </c>
      <c r="F306" s="76">
        <f>IF(Observaciones!$F305&gt;0.05*Constantes!$E$18,((Observaciones!$F305-0.05*Constantes!$E$18)^2)/(Observaciones!$F305+0.95*Constantes!$E$18),0)</f>
        <v>0</v>
      </c>
      <c r="G306" s="76">
        <f>IF(Escenarios!$E$11&gt;0,(F306*Escenarios!$E$16*10000)/1000,0)</f>
        <v>0</v>
      </c>
      <c r="H306" s="76">
        <f>IF(Escenarios!$E$11&gt;0,(Observaciones!$F305*Constantes!$E$29)/1000,0)</f>
        <v>3</v>
      </c>
      <c r="I306" s="76">
        <f>IF(Escenarios!$E$11&gt;0,(D306*Constantes!$E$29)/1000,0)</f>
        <v>43.619439163145323</v>
      </c>
      <c r="J306" s="76">
        <f>IF(Escenarios!$E$11&gt;0,MAX(0,G306+H306-I306),0)</f>
        <v>0</v>
      </c>
      <c r="K306" s="76">
        <f>IF(Escenarios!$E$11&gt;0,IF(J306&gt;Constantes!$E$30,1000*((J306-Constantes!$E$30)/(Escenarios!$E$16*10000)),0),F306)</f>
        <v>0</v>
      </c>
      <c r="L306" s="76">
        <f>IF(Escenarios!$E$11&gt;0,I306*1000/Escenarios!$E$16/10000+E306,E306)</f>
        <v>2.1500558651941457</v>
      </c>
      <c r="M306" s="76">
        <f>MAX(0,N305+Observaciones!$F305-K306-Constantes!$D$13)</f>
        <v>0</v>
      </c>
      <c r="N306" s="76">
        <f>N305+Observaciones!$F305-K306-L306-M306-O305</f>
        <v>37.44139212109696</v>
      </c>
      <c r="O306" s="76">
        <f>MAX(0,(N306-Constantes!$D$14)*(1-EXP(-Constantes!$D$22)))</f>
        <v>0.89217496621343739</v>
      </c>
      <c r="P306" s="170">
        <f>P305+(Entradas!$E$83*M306-Q305)/(800*Entradas!$D$25)</f>
        <v>0</v>
      </c>
      <c r="Q306" s="170">
        <f>8000*Entradas!$D$26*P306/Constantes!$E$45</f>
        <v>0</v>
      </c>
      <c r="R306" s="170">
        <f>IF(Escenarios!$E$14&gt;0,K306*Escenarios!$E$13/Escenarios!$E$14,0)</f>
        <v>0</v>
      </c>
      <c r="S306" s="170">
        <f>IF(Escenarios!$E$14&gt;0,Q306*Escenarios!$E$13/Escenarios!$E$14,0)</f>
        <v>0</v>
      </c>
      <c r="T306" s="170">
        <f>IF(Escenarios!$E$14&gt;0,Observaciones!$I305,0)</f>
        <v>0</v>
      </c>
      <c r="U306" s="170">
        <f>IF(Escenarios!$E$14&gt;0,MAX(0,Constantes!$E$36/((Z305+R306+S306+T306+Observaciones!$F305)^2)+Entradas!$E$77),0)</f>
        <v>0</v>
      </c>
      <c r="V306" s="146">
        <f>IF(ETo!D305&gt;0,ETo!I305*((1-Entradas!$E$81)*ETo!K305+ETo!L305),0)</f>
        <v>3.9854465309424061</v>
      </c>
      <c r="W306" s="170">
        <f>IF(Escenarios!$E$14&gt;0,MIN(V306*1,0.8*(Z305+R306+S306+T306+Observaciones!$F305-U306-Constantes!$E$35)),0)</f>
        <v>3.9854465309424061</v>
      </c>
      <c r="X306" s="170">
        <f>IF(Escenarios!$E$14&gt;0,Observaciones!$J305,0)</f>
        <v>0</v>
      </c>
      <c r="Y306" s="170">
        <f>IF(Escenarios!$E$14&gt;0,MAX(0,Z305+R306+S306+T306+Observaciones!$F305-U306-W306-X306-Constantes!$E$33),0)</f>
        <v>0</v>
      </c>
      <c r="Z306" s="170">
        <f>Z305+R306+S306+T306+Observaciones!$F305-U306-W306-Y306</f>
        <v>51.755850889654383</v>
      </c>
      <c r="AA306" s="170">
        <f>IF(Escenarios!$E$14&gt;0,(Escenarios!$E$13*L306+Escenarios!$E$14*W306)/(Escenarios!$E$16),L306)</f>
        <v>2.3703027450839369</v>
      </c>
      <c r="AB306" s="170">
        <f>IF(Escenarios!$E$14&gt;0,(Escenarios!$E$14*Y306)/(Escenarios!$E$16),K306)</f>
        <v>0</v>
      </c>
      <c r="AC306" s="170">
        <f>IF(Escenarios!$E$14&gt;0,(Escenarios!$E$13*M306+Escenarios!$E$14*U306)/(Escenarios!$E$16),M306)</f>
        <v>0</v>
      </c>
      <c r="AD306" s="76">
        <f t="shared" si="57"/>
        <v>65.6466843559854</v>
      </c>
      <c r="AE306" s="76">
        <f>MAX(0,(AD306-Constantes!$D$13)*(1-EXP(-Constantes!$D$23)))</f>
        <v>0.16648705543619183</v>
      </c>
      <c r="AF306" s="76">
        <f>AB306+O306*Escenarios!$E$13/Escenarios!$E$16+AE306</f>
        <v>0.95160102570401672</v>
      </c>
      <c r="AG306" s="76">
        <f>IF(Entradas!$E$91&gt;0,IF(AF306-Escenarios!$E$38&lt;=0,0,IF(AF306-Escenarios!$E$38&gt;Escenarios!$E$37,Escenarios!$E$37,AF306-Escenarios!$E$38)),0)</f>
        <v>0</v>
      </c>
      <c r="AH306" s="76">
        <f>AG306*Entradas!$E$99</f>
        <v>0</v>
      </c>
      <c r="AI306" s="76">
        <f>IF(Entradas!$E$91&gt;0,D306*Entradas!$D$23/Escenarios!$E$16,0)</f>
        <v>0</v>
      </c>
      <c r="AJ306" s="76">
        <f>IF(Entradas!$E$91&gt;0,Entradas!$D$24*Entradas!$D$22/Escenarios!$E$16,0)</f>
        <v>0</v>
      </c>
      <c r="AK306" s="76">
        <f t="shared" si="66"/>
        <v>2.3703027450839369</v>
      </c>
      <c r="AL306" s="76">
        <f t="shared" si="67"/>
        <v>0</v>
      </c>
      <c r="AM306" s="76">
        <f t="shared" si="58"/>
        <v>0</v>
      </c>
      <c r="AN306" s="76">
        <f>MAX(0,O306*Escenarios!$E$13/Escenarios!$E$16-AM306)</f>
        <v>0.78511397026782492</v>
      </c>
      <c r="AO306" s="76">
        <f>AM306+AN306-O306*Escenarios!$E$13/Escenarios!$E$16</f>
        <v>0</v>
      </c>
      <c r="AP306" s="76">
        <f t="shared" si="56"/>
        <v>0.16648705543619183</v>
      </c>
      <c r="AQ306" s="76">
        <f t="shared" si="59"/>
        <v>0</v>
      </c>
      <c r="AR306" s="76">
        <f t="shared" si="60"/>
        <v>0.95160102570401672</v>
      </c>
      <c r="AS306" s="76">
        <f t="shared" si="61"/>
        <v>0</v>
      </c>
      <c r="AT306" s="76">
        <f t="shared" si="62"/>
        <v>0</v>
      </c>
      <c r="AU306" s="76">
        <f t="shared" si="63"/>
        <v>48.75</v>
      </c>
      <c r="AV306" s="76">
        <f>MAX(0,(AU306-Constantes!$D$13)*(1-EXP(-Constantes!$D$24)))</f>
        <v>0</v>
      </c>
      <c r="AW306" s="170">
        <f>AW305+(Entradas!$E$112*AT306-AX305)/(800*Entradas!$D$25)</f>
        <v>0</v>
      </c>
      <c r="AX306" s="170">
        <f>8000*Entradas!$D$26*AW306/Constantes!$E$45</f>
        <v>0</v>
      </c>
      <c r="AY306" s="170">
        <f>IF(Escenarios!$E$17&gt;0,10*Escenarios!$E$16*AL306,0)</f>
        <v>0</v>
      </c>
      <c r="AZ306" s="170">
        <f>IF(Escenarios!$E$17&gt;0,10*Escenarios!$E$16*AX306,0)</f>
        <v>0</v>
      </c>
      <c r="BA306" s="170">
        <f>IF(Escenarios!$E$17&gt;0,0.001*Observaciones!$F305*Escenarios!$E$17,0)</f>
        <v>5.9999999999999991</v>
      </c>
      <c r="BB306" s="170">
        <f>IF(Escenarios!$E$17&gt;0,Observaciones!$K305,0)</f>
        <v>0</v>
      </c>
      <c r="BC306" s="170">
        <f>IF(Escenarios!$E$17&gt;0,MIN(0.0005*ETo!$M305*Escenarios!$E$17*(BG305/Constantes!$E$40)^(2/3),BG305+AY306+AZ306+BA306+BB306),0)</f>
        <v>14.791056301882691</v>
      </c>
      <c r="BD306" s="170">
        <f>IF(Escenarios!$E$17&gt;0,MIN(Constantes!$E$39*(BG305/Constantes!$E$40)^(2/3),BG305+AY306+AZ306+BA306+BB306-BC306),0)</f>
        <v>23.883634815598928</v>
      </c>
      <c r="BE306" s="170">
        <f>IF(Escenarios!$E$17&gt;0,MIN(Entradas!$E$113,BG305+AY306+AZ306+BA306+BB306-BC306-BD306),0)</f>
        <v>1</v>
      </c>
      <c r="BF306" s="170">
        <f>IF(Escenarios!$E$17&gt;0,MAX(0,BG305+AY306+AZ306+BA306+BB306-BC306-BD306-BE306-Constantes!$E$40),0)</f>
        <v>0</v>
      </c>
      <c r="BG306" s="170">
        <f t="shared" si="68"/>
        <v>1053.8131092336646</v>
      </c>
      <c r="BH306" s="170">
        <f>(Escenarios!$E$16*AK306+0.1*BC306)/(Escenarios!$E$19)</f>
        <v>2.3573602853221129</v>
      </c>
      <c r="BI306" s="170">
        <f>IF(Escenarios!$E$17&gt;0,BF306/10/Escenarios!$E$19,AL306)</f>
        <v>0</v>
      </c>
      <c r="BJ306" s="170">
        <f>(Escenarios!$E$16*AT306+0.1*BD306)/(Escenarios!$E$19)</f>
        <v>9.4776328633329084E-3</v>
      </c>
      <c r="BK306" s="76">
        <f>BK305+(0.1*BD306)/(Escenarios!$E$19)-BL305</f>
        <v>49.472110357204194</v>
      </c>
      <c r="BL306" s="76">
        <f>MAX(0,(BK306-Constantes!$D$13)*(1-EXP(-Constantes!$D$23)))</f>
        <v>7.1151253428200587E-3</v>
      </c>
      <c r="BM306" s="76">
        <f t="shared" si="64"/>
        <v>0.17360218077901188</v>
      </c>
      <c r="BN306" s="76">
        <f t="shared" si="69"/>
        <v>0.95871615104683683</v>
      </c>
      <c r="BO306" s="76">
        <f>0.0526*BI306*Observaciones!$F305^1.218</f>
        <v>0</v>
      </c>
      <c r="BP306" s="76">
        <f>BO306*Constantes!$E$51</f>
        <v>0</v>
      </c>
      <c r="BQ306" s="76">
        <f t="shared" si="65"/>
        <v>0</v>
      </c>
      <c r="BR306" s="40"/>
    </row>
    <row r="307" spans="1:70">
      <c r="A307" s="147"/>
      <c r="B307" s="39"/>
      <c r="C307" s="75">
        <v>301</v>
      </c>
      <c r="D307" s="146">
        <f>ETo!$I306*((1-Constantes!$E$19)*ETo!$K306+ETo!$L306)</f>
        <v>4.4922846455882945</v>
      </c>
      <c r="E307" s="76">
        <f>MIN(D307*Constantes!$E$17,0.8*(N306+Observaciones!$F306-F307-M307-Constantes!$D$14))</f>
        <v>2.1963332769630206</v>
      </c>
      <c r="F307" s="76">
        <f>IF(Observaciones!$F306&gt;0.05*Constantes!$E$18,((Observaciones!$F306-0.05*Constantes!$E$18)^2)/(Observaciones!$F306+0.95*Constantes!$E$18),0)</f>
        <v>0</v>
      </c>
      <c r="G307" s="76">
        <f>IF(Escenarios!$E$11&gt;0,(F307*Escenarios!$E$16*10000)/1000,0)</f>
        <v>0</v>
      </c>
      <c r="H307" s="76">
        <f>IF(Escenarios!$E$11&gt;0,(Observaciones!$F306*Constantes!$E$29)/1000,0)</f>
        <v>14</v>
      </c>
      <c r="I307" s="76">
        <f>IF(Escenarios!$E$11&gt;0,(D307*Constantes!$E$29)/1000,0)</f>
        <v>44.922846455882947</v>
      </c>
      <c r="J307" s="76">
        <f>IF(Escenarios!$E$11&gt;0,MAX(0,G307+H307-I307),0)</f>
        <v>0</v>
      </c>
      <c r="K307" s="76">
        <f>IF(Escenarios!$E$11&gt;0,IF(J307&gt;Constantes!$E$30,1000*((J307-Constantes!$E$30)/(Escenarios!$E$16*10000)),0),F307)</f>
        <v>0</v>
      </c>
      <c r="L307" s="76">
        <f>IF(Escenarios!$E$11&gt;0,I307*1000/Escenarios!$E$16/10000+E307,E307)</f>
        <v>2.2143024155453737</v>
      </c>
      <c r="M307" s="76">
        <f>MAX(0,N306+Observaciones!$F306-K307-Constantes!$D$13)</f>
        <v>0</v>
      </c>
      <c r="N307" s="76">
        <f>N306+Observaciones!$F306-K307-L307-M307-O306</f>
        <v>35.734914739338144</v>
      </c>
      <c r="O307" s="76">
        <f>MAX(0,(N307-Constantes!$D$14)*(1-EXP(-Constantes!$D$22)))</f>
        <v>0.83404608198401442</v>
      </c>
      <c r="P307" s="170">
        <f>P306+(Entradas!$E$83*M307-Q306)/(800*Entradas!$D$25)</f>
        <v>0</v>
      </c>
      <c r="Q307" s="170">
        <f>8000*Entradas!$D$26*P307/Constantes!$E$45</f>
        <v>0</v>
      </c>
      <c r="R307" s="170">
        <f>IF(Escenarios!$E$14&gt;0,K307*Escenarios!$E$13/Escenarios!$E$14,0)</f>
        <v>0</v>
      </c>
      <c r="S307" s="170">
        <f>IF(Escenarios!$E$14&gt;0,Q307*Escenarios!$E$13/Escenarios!$E$14,0)</f>
        <v>0</v>
      </c>
      <c r="T307" s="170">
        <f>IF(Escenarios!$E$14&gt;0,Observaciones!$I306,0)</f>
        <v>0</v>
      </c>
      <c r="U307" s="170">
        <f>IF(Escenarios!$E$14&gt;0,MAX(0,Constantes!$E$36/((Z306+R307+S307+T307+Observaciones!$F306)^2)+Entradas!$E$77),0)</f>
        <v>0</v>
      </c>
      <c r="V307" s="146">
        <f>IF(ETo!D306&gt;0,ETo!I306*((1-Entradas!$E$81)*ETo!K306+ETo!L306),0)</f>
        <v>4.1063529117969786</v>
      </c>
      <c r="W307" s="170">
        <f>IF(Escenarios!$E$14&gt;0,MIN(V307*1,0.8*(Z306+R307+S307+T307+Observaciones!$F306-U307-Constantes!$E$35)),0)</f>
        <v>4.1063529117969786</v>
      </c>
      <c r="X307" s="170">
        <f>IF(Escenarios!$E$14&gt;0,Observaciones!$J306,0)</f>
        <v>0</v>
      </c>
      <c r="Y307" s="170">
        <f>IF(Escenarios!$E$14&gt;0,MAX(0,Z306+R307+S307+T307+Observaciones!$F306-U307-W307-X307-Constantes!$E$33),0)</f>
        <v>0</v>
      </c>
      <c r="Z307" s="170">
        <f>Z306+R307+S307+T307+Observaciones!$F306-U307-W307-Y307</f>
        <v>49.049497977857399</v>
      </c>
      <c r="AA307" s="170">
        <f>IF(Escenarios!$E$14&gt;0,(Escenarios!$E$13*L307+Escenarios!$E$14*W307)/(Escenarios!$E$16),L307)</f>
        <v>2.4413484750955665</v>
      </c>
      <c r="AB307" s="170">
        <f>IF(Escenarios!$E$14&gt;0,(Escenarios!$E$14*Y307)/(Escenarios!$E$16),K307)</f>
        <v>0</v>
      </c>
      <c r="AC307" s="170">
        <f>IF(Escenarios!$E$14&gt;0,(Escenarios!$E$13*M307+Escenarios!$E$14*U307)/(Escenarios!$E$16),M307)</f>
        <v>0</v>
      </c>
      <c r="AD307" s="76">
        <f t="shared" si="57"/>
        <v>65.480197300549207</v>
      </c>
      <c r="AE307" s="76">
        <f>MAX(0,(AD307-Constantes!$D$13)*(1-EXP(-Constantes!$D$23)))</f>
        <v>0.16484661882485185</v>
      </c>
      <c r="AF307" s="76">
        <f>AB307+O307*Escenarios!$E$13/Escenarios!$E$16+AE307</f>
        <v>0.89880717097078444</v>
      </c>
      <c r="AG307" s="76">
        <f>IF(Entradas!$E$91&gt;0,IF(AF307-Escenarios!$E$38&lt;=0,0,IF(AF307-Escenarios!$E$38&gt;Escenarios!$E$37,Escenarios!$E$37,AF307-Escenarios!$E$38)),0)</f>
        <v>0</v>
      </c>
      <c r="AH307" s="76">
        <f>AG307*Entradas!$E$99</f>
        <v>0</v>
      </c>
      <c r="AI307" s="76">
        <f>IF(Entradas!$E$91&gt;0,D307*Entradas!$D$23/Escenarios!$E$16,0)</f>
        <v>0</v>
      </c>
      <c r="AJ307" s="76">
        <f>IF(Entradas!$E$91&gt;0,Entradas!$D$24*Entradas!$D$22/Escenarios!$E$16,0)</f>
        <v>0</v>
      </c>
      <c r="AK307" s="76">
        <f t="shared" si="66"/>
        <v>2.4413484750955665</v>
      </c>
      <c r="AL307" s="76">
        <f t="shared" si="67"/>
        <v>0</v>
      </c>
      <c r="AM307" s="76">
        <f t="shared" si="58"/>
        <v>0</v>
      </c>
      <c r="AN307" s="76">
        <f>MAX(0,O307*Escenarios!$E$13/Escenarios!$E$16-AM307)</f>
        <v>0.73396055214593259</v>
      </c>
      <c r="AO307" s="76">
        <f>AM307+AN307-O307*Escenarios!$E$13/Escenarios!$E$16</f>
        <v>0</v>
      </c>
      <c r="AP307" s="76">
        <f t="shared" si="56"/>
        <v>0.16484661882485185</v>
      </c>
      <c r="AQ307" s="76">
        <f t="shared" si="59"/>
        <v>0</v>
      </c>
      <c r="AR307" s="76">
        <f t="shared" si="60"/>
        <v>0.89880717097078444</v>
      </c>
      <c r="AS307" s="76">
        <f t="shared" si="61"/>
        <v>0</v>
      </c>
      <c r="AT307" s="76">
        <f t="shared" si="62"/>
        <v>0</v>
      </c>
      <c r="AU307" s="76">
        <f t="shared" si="63"/>
        <v>48.75</v>
      </c>
      <c r="AV307" s="76">
        <f>MAX(0,(AU307-Constantes!$D$13)*(1-EXP(-Constantes!$D$24)))</f>
        <v>0</v>
      </c>
      <c r="AW307" s="170">
        <f>AW306+(Entradas!$E$112*AT307-AX306)/(800*Entradas!$D$25)</f>
        <v>0</v>
      </c>
      <c r="AX307" s="170">
        <f>8000*Entradas!$D$26*AW307/Constantes!$E$45</f>
        <v>0</v>
      </c>
      <c r="AY307" s="170">
        <f>IF(Escenarios!$E$17&gt;0,10*Escenarios!$E$16*AL307,0)</f>
        <v>0</v>
      </c>
      <c r="AZ307" s="170">
        <f>IF(Escenarios!$E$17&gt;0,10*Escenarios!$E$16*AX307,0)</f>
        <v>0</v>
      </c>
      <c r="BA307" s="170">
        <f>IF(Escenarios!$E$17&gt;0,0.001*Observaciones!$F306*Escenarios!$E$17,0)</f>
        <v>28</v>
      </c>
      <c r="BB307" s="170">
        <f>IF(Escenarios!$E$17&gt;0,Observaciones!$K306,0)</f>
        <v>0</v>
      </c>
      <c r="BC307" s="170">
        <f>IF(Escenarios!$E$17&gt;0,MIN(0.0005*ETo!$M306*Escenarios!$E$17*(BG306/Constantes!$E$40)^(2/3),BG306+AY307+AZ307+BA307+BB307),0)</f>
        <v>14.90856720514558</v>
      </c>
      <c r="BD307" s="170">
        <f>IF(Escenarios!$E$17&gt;0,MIN(Constantes!$E$39*(BG306/Constantes!$E$40)^(2/3),BG306+AY307+AZ307+BA307+BB307-BC307),0)</f>
        <v>23.38800748937048</v>
      </c>
      <c r="BE307" s="170">
        <f>IF(Escenarios!$E$17&gt;0,MIN(Entradas!$E$113,BG306+AY307+AZ307+BA307+BB307-BC307-BD307),0)</f>
        <v>1</v>
      </c>
      <c r="BF307" s="170">
        <f>IF(Escenarios!$E$17&gt;0,MAX(0,BG306+AY307+AZ307+BA307+BB307-BC307-BD307-BE307-Constantes!$E$40),0)</f>
        <v>0</v>
      </c>
      <c r="BG307" s="170">
        <f t="shared" si="68"/>
        <v>1042.5165345391486</v>
      </c>
      <c r="BH307" s="170">
        <f>(Escenarios!$E$16*AK307+0.1*BC307)/(Escenarios!$E$19)</f>
        <v>2.4278887916444689</v>
      </c>
      <c r="BI307" s="170">
        <f>IF(Escenarios!$E$17&gt;0,BF307/10/Escenarios!$E$19,AL307)</f>
        <v>0</v>
      </c>
      <c r="BJ307" s="170">
        <f>(Escenarios!$E$16*AT307+0.1*BD307)/(Escenarios!$E$19)</f>
        <v>9.280955352924794E-3</v>
      </c>
      <c r="BK307" s="76">
        <f>BK306+(0.1*BD307)/(Escenarios!$E$19)-BL306</f>
        <v>49.474276187214301</v>
      </c>
      <c r="BL307" s="76">
        <f>MAX(0,(BK307-Constantes!$D$13)*(1-EXP(-Constantes!$D$23)))</f>
        <v>7.1364657817701562E-3</v>
      </c>
      <c r="BM307" s="76">
        <f t="shared" si="64"/>
        <v>0.17198308460662201</v>
      </c>
      <c r="BN307" s="76">
        <f t="shared" si="69"/>
        <v>0.90594363675255463</v>
      </c>
      <c r="BO307" s="76">
        <f>0.0526*BI307*Observaciones!$F306^1.218</f>
        <v>0</v>
      </c>
      <c r="BP307" s="76">
        <f>BO307*Constantes!$E$51</f>
        <v>0</v>
      </c>
      <c r="BQ307" s="76">
        <f t="shared" si="65"/>
        <v>0</v>
      </c>
      <c r="BR307" s="40"/>
    </row>
    <row r="308" spans="1:70">
      <c r="A308" s="147"/>
      <c r="B308" s="39"/>
      <c r="C308" s="75">
        <v>302</v>
      </c>
      <c r="D308" s="146">
        <f>ETo!$I307*((1-Constantes!$E$19)*ETo!$K307+ETo!$L307)</f>
        <v>4.4834709682230818</v>
      </c>
      <c r="E308" s="76">
        <f>MIN(D308*Constantes!$E$17,0.8*(N307+Observaciones!$F307-F308-M308-Constantes!$D$14))</f>
        <v>2.1920241615758997</v>
      </c>
      <c r="F308" s="76">
        <f>IF(Observaciones!$F307&gt;0.05*Constantes!$E$18,((Observaciones!$F307-0.05*Constantes!$E$18)^2)/(Observaciones!$F307+0.95*Constantes!$E$18),0)</f>
        <v>0</v>
      </c>
      <c r="G308" s="76">
        <f>IF(Escenarios!$E$11&gt;0,(F308*Escenarios!$E$16*10000)/1000,0)</f>
        <v>0</v>
      </c>
      <c r="H308" s="76">
        <f>IF(Escenarios!$E$11&gt;0,(Observaciones!$F307*Constantes!$E$29)/1000,0)</f>
        <v>0</v>
      </c>
      <c r="I308" s="76">
        <f>IF(Escenarios!$E$11&gt;0,(D308*Constantes!$E$29)/1000,0)</f>
        <v>44.834709682230816</v>
      </c>
      <c r="J308" s="76">
        <f>IF(Escenarios!$E$11&gt;0,MAX(0,G308+H308-I308),0)</f>
        <v>0</v>
      </c>
      <c r="K308" s="76">
        <f>IF(Escenarios!$E$11&gt;0,IF(J308&gt;Constantes!$E$30,1000*((J308-Constantes!$E$30)/(Escenarios!$E$16*10000)),0),F308)</f>
        <v>0</v>
      </c>
      <c r="L308" s="76">
        <f>IF(Escenarios!$E$11&gt;0,I308*1000/Escenarios!$E$16/10000+E308,E308)</f>
        <v>2.2099580454487922</v>
      </c>
      <c r="M308" s="76">
        <f>MAX(0,N307+Observaciones!$F307-K308-Constantes!$D$13)</f>
        <v>0</v>
      </c>
      <c r="N308" s="76">
        <f>N307+Observaciones!$F307-K308-L308-M308-O307</f>
        <v>32.690910611905338</v>
      </c>
      <c r="O308" s="76">
        <f>MAX(0,(N308-Constantes!$D$14)*(1-EXP(-Constantes!$D$22)))</f>
        <v>0.73035612663573091</v>
      </c>
      <c r="P308" s="170">
        <f>P307+(Entradas!$E$83*M308-Q307)/(800*Entradas!$D$25)</f>
        <v>0</v>
      </c>
      <c r="Q308" s="170">
        <f>8000*Entradas!$D$26*P308/Constantes!$E$45</f>
        <v>0</v>
      </c>
      <c r="R308" s="170">
        <f>IF(Escenarios!$E$14&gt;0,K308*Escenarios!$E$13/Escenarios!$E$14,0)</f>
        <v>0</v>
      </c>
      <c r="S308" s="170">
        <f>IF(Escenarios!$E$14&gt;0,Q308*Escenarios!$E$13/Escenarios!$E$14,0)</f>
        <v>0</v>
      </c>
      <c r="T308" s="170">
        <f>IF(Escenarios!$E$14&gt;0,Observaciones!$I307,0)</f>
        <v>0</v>
      </c>
      <c r="U308" s="170">
        <f>IF(Escenarios!$E$14&gt;0,MAX(0,Constantes!$E$36/((Z307+R308+S308+T308+Observaciones!$F307)^2)+Entradas!$E$77),0)</f>
        <v>0</v>
      </c>
      <c r="V308" s="146">
        <f>IF(ETo!D307&gt;0,ETo!I307*((1-Entradas!$E$81)*ETo!K307+ETo!L307),0)</f>
        <v>4.0982044950645147</v>
      </c>
      <c r="W308" s="170">
        <f>IF(Escenarios!$E$14&gt;0,MIN(V308*1,0.8*(Z307+R308+S308+T308+Observaciones!$F307-U308-Constantes!$E$35)),0)</f>
        <v>4.0982044950645147</v>
      </c>
      <c r="X308" s="170">
        <f>IF(Escenarios!$E$14&gt;0,Observaciones!$J307,0)</f>
        <v>0</v>
      </c>
      <c r="Y308" s="170">
        <f>IF(Escenarios!$E$14&gt;0,MAX(0,Z307+R308+S308+T308+Observaciones!$F307-U308-W308-X308-Constantes!$E$33),0)</f>
        <v>0</v>
      </c>
      <c r="Z308" s="170">
        <f>Z307+R308+S308+T308+Observaciones!$F307-U308-W308-Y308</f>
        <v>44.951293482792885</v>
      </c>
      <c r="AA308" s="170">
        <f>IF(Escenarios!$E$14&gt;0,(Escenarios!$E$13*L308+Escenarios!$E$14*W308)/(Escenarios!$E$16),L308)</f>
        <v>2.4365476194026785</v>
      </c>
      <c r="AB308" s="170">
        <f>IF(Escenarios!$E$14&gt;0,(Escenarios!$E$14*Y308)/(Escenarios!$E$16),K308)</f>
        <v>0</v>
      </c>
      <c r="AC308" s="170">
        <f>IF(Escenarios!$E$14&gt;0,(Escenarios!$E$13*M308+Escenarios!$E$14*U308)/(Escenarios!$E$16),M308)</f>
        <v>0</v>
      </c>
      <c r="AD308" s="76">
        <f t="shared" si="57"/>
        <v>65.315350681724354</v>
      </c>
      <c r="AE308" s="76">
        <f>MAX(0,(AD308-Constantes!$D$13)*(1-EXP(-Constantes!$D$23)))</f>
        <v>0.16322234582616499</v>
      </c>
      <c r="AF308" s="76">
        <f>AB308+O308*Escenarios!$E$13/Escenarios!$E$16+AE308</f>
        <v>0.80593573726560819</v>
      </c>
      <c r="AG308" s="76">
        <f>IF(Entradas!$E$91&gt;0,IF(AF308-Escenarios!$E$38&lt;=0,0,IF(AF308-Escenarios!$E$38&gt;Escenarios!$E$37,Escenarios!$E$37,AF308-Escenarios!$E$38)),0)</f>
        <v>0</v>
      </c>
      <c r="AH308" s="76">
        <f>AG308*Entradas!$E$99</f>
        <v>0</v>
      </c>
      <c r="AI308" s="76">
        <f>IF(Entradas!$E$91&gt;0,D308*Entradas!$D$23/Escenarios!$E$16,0)</f>
        <v>0</v>
      </c>
      <c r="AJ308" s="76">
        <f>IF(Entradas!$E$91&gt;0,Entradas!$D$24*Entradas!$D$22/Escenarios!$E$16,0)</f>
        <v>0</v>
      </c>
      <c r="AK308" s="76">
        <f t="shared" si="66"/>
        <v>2.4365476194026785</v>
      </c>
      <c r="AL308" s="76">
        <f t="shared" si="67"/>
        <v>0</v>
      </c>
      <c r="AM308" s="76">
        <f t="shared" si="58"/>
        <v>0</v>
      </c>
      <c r="AN308" s="76">
        <f>MAX(0,O308*Escenarios!$E$13/Escenarios!$E$16-AM308)</f>
        <v>0.64271339143944317</v>
      </c>
      <c r="AO308" s="76">
        <f>AM308+AN308-O308*Escenarios!$E$13/Escenarios!$E$16</f>
        <v>0</v>
      </c>
      <c r="AP308" s="76">
        <f t="shared" si="56"/>
        <v>0.16322234582616499</v>
      </c>
      <c r="AQ308" s="76">
        <f t="shared" si="59"/>
        <v>0</v>
      </c>
      <c r="AR308" s="76">
        <f t="shared" si="60"/>
        <v>0.80593573726560819</v>
      </c>
      <c r="AS308" s="76">
        <f t="shared" si="61"/>
        <v>0</v>
      </c>
      <c r="AT308" s="76">
        <f t="shared" si="62"/>
        <v>0</v>
      </c>
      <c r="AU308" s="76">
        <f t="shared" si="63"/>
        <v>48.75</v>
      </c>
      <c r="AV308" s="76">
        <f>MAX(0,(AU308-Constantes!$D$13)*(1-EXP(-Constantes!$D$24)))</f>
        <v>0</v>
      </c>
      <c r="AW308" s="170">
        <f>AW307+(Entradas!$E$112*AT308-AX307)/(800*Entradas!$D$25)</f>
        <v>0</v>
      </c>
      <c r="AX308" s="170">
        <f>8000*Entradas!$D$26*AW308/Constantes!$E$45</f>
        <v>0</v>
      </c>
      <c r="AY308" s="170">
        <f>IF(Escenarios!$E$17&gt;0,10*Escenarios!$E$16*AL308,0)</f>
        <v>0</v>
      </c>
      <c r="AZ308" s="170">
        <f>IF(Escenarios!$E$17&gt;0,10*Escenarios!$E$16*AX308,0)</f>
        <v>0</v>
      </c>
      <c r="BA308" s="170">
        <f>IF(Escenarios!$E$17&gt;0,0.001*Observaciones!$F307*Escenarios!$E$17,0)</f>
        <v>0</v>
      </c>
      <c r="BB308" s="170">
        <f>IF(Escenarios!$E$17&gt;0,Observaciones!$K307,0)</f>
        <v>0</v>
      </c>
      <c r="BC308" s="170">
        <f>IF(Escenarios!$E$17&gt;0,MIN(0.0005*ETo!$M307*Escenarios!$E$17*(BG307/Constantes!$E$40)^(2/3),BG307+AY308+AZ308+BA308+BB308),0)</f>
        <v>14.773211472476108</v>
      </c>
      <c r="BD308" s="170">
        <f>IF(Escenarios!$E$17&gt;0,MIN(Constantes!$E$39*(BG307/Constantes!$E$40)^(2/3),BG307+AY308+AZ308+BA308+BB308-BC308),0)</f>
        <v>23.220565611329501</v>
      </c>
      <c r="BE308" s="170">
        <f>IF(Escenarios!$E$17&gt;0,MIN(Entradas!$E$113,BG307+AY308+AZ308+BA308+BB308-BC308-BD308),0)</f>
        <v>1</v>
      </c>
      <c r="BF308" s="170">
        <f>IF(Escenarios!$E$17&gt;0,MAX(0,BG307+AY308+AZ308+BA308+BB308-BC308-BD308-BE308-Constantes!$E$40),0)</f>
        <v>0</v>
      </c>
      <c r="BG308" s="170">
        <f t="shared" si="68"/>
        <v>1003.522757455343</v>
      </c>
      <c r="BH308" s="170">
        <f>(Escenarios!$E$16*AK308+0.1*BC308)/(Escenarios!$E$19)</f>
        <v>2.4230723253885609</v>
      </c>
      <c r="BI308" s="170">
        <f>IF(Escenarios!$E$17&gt;0,BF308/10/Escenarios!$E$19,AL308)</f>
        <v>0</v>
      </c>
      <c r="BJ308" s="170">
        <f>(Escenarios!$E$16*AT308+0.1*BD308)/(Escenarios!$E$19)</f>
        <v>9.2145101632259922E-3</v>
      </c>
      <c r="BK308" s="76">
        <f>BK307+(0.1*BD308)/(Escenarios!$E$19)-BL307</f>
        <v>49.476354231595757</v>
      </c>
      <c r="BL308" s="76">
        <f>MAX(0,(BK308-Constantes!$D$13)*(1-EXP(-Constantes!$D$23)))</f>
        <v>7.1569412480122514E-3</v>
      </c>
      <c r="BM308" s="76">
        <f t="shared" si="64"/>
        <v>0.17037928707417724</v>
      </c>
      <c r="BN308" s="76">
        <f t="shared" si="69"/>
        <v>0.81309267851362044</v>
      </c>
      <c r="BO308" s="76">
        <f>0.0526*BI308*Observaciones!$F307^1.218</f>
        <v>0</v>
      </c>
      <c r="BP308" s="76">
        <f>BO308*Constantes!$E$51</f>
        <v>0</v>
      </c>
      <c r="BQ308" s="76">
        <f t="shared" si="65"/>
        <v>0</v>
      </c>
      <c r="BR308" s="40"/>
    </row>
    <row r="309" spans="1:70">
      <c r="A309" s="147"/>
      <c r="B309" s="39"/>
      <c r="C309" s="75">
        <v>303</v>
      </c>
      <c r="D309" s="146">
        <f>ETo!$I308*((1-Constantes!$E$19)*ETo!$K308+ETo!$L308)</f>
        <v>4.3576252381245846</v>
      </c>
      <c r="E309" s="76">
        <f>MIN(D309*Constantes!$E$17,0.8*(N308+Observaciones!$F308-F309-M309-Constantes!$D$14))</f>
        <v>2.1304966345857128</v>
      </c>
      <c r="F309" s="76">
        <f>IF(Observaciones!$F308&gt;0.05*Constantes!$E$18,((Observaciones!$F308-0.05*Constantes!$E$18)^2)/(Observaciones!$F308+0.95*Constantes!$E$18),0)</f>
        <v>0</v>
      </c>
      <c r="G309" s="76">
        <f>IF(Escenarios!$E$11&gt;0,(F309*Escenarios!$E$16*10000)/1000,0)</f>
        <v>0</v>
      </c>
      <c r="H309" s="76">
        <f>IF(Escenarios!$E$11&gt;0,(Observaciones!$F308*Constantes!$E$29)/1000,0)</f>
        <v>25</v>
      </c>
      <c r="I309" s="76">
        <f>IF(Escenarios!$E$11&gt;0,(D309*Constantes!$E$29)/1000,0)</f>
        <v>43.576252381245844</v>
      </c>
      <c r="J309" s="76">
        <f>IF(Escenarios!$E$11&gt;0,MAX(0,G309+H309-I309),0)</f>
        <v>0</v>
      </c>
      <c r="K309" s="76">
        <f>IF(Escenarios!$E$11&gt;0,IF(J309&gt;Constantes!$E$30,1000*((J309-Constantes!$E$30)/(Escenarios!$E$16*10000)),0),F309)</f>
        <v>0</v>
      </c>
      <c r="L309" s="76">
        <f>IF(Escenarios!$E$11&gt;0,I309*1000/Escenarios!$E$16/10000+E309,E309)</f>
        <v>2.147927135538211</v>
      </c>
      <c r="M309" s="76">
        <f>MAX(0,N308+Observaciones!$F308-K309-Constantes!$D$13)</f>
        <v>0</v>
      </c>
      <c r="N309" s="76">
        <f>N308+Observaciones!$F308-K309-L309-M309-O308</f>
        <v>32.312627349731393</v>
      </c>
      <c r="O309" s="76">
        <f>MAX(0,(N309-Constantes!$D$14)*(1-EXP(-Constantes!$D$22)))</f>
        <v>0.71747041001980127</v>
      </c>
      <c r="P309" s="170">
        <f>P308+(Entradas!$E$83*M309-Q308)/(800*Entradas!$D$25)</f>
        <v>0</v>
      </c>
      <c r="Q309" s="170">
        <f>8000*Entradas!$D$26*P309/Constantes!$E$45</f>
        <v>0</v>
      </c>
      <c r="R309" s="170">
        <f>IF(Escenarios!$E$14&gt;0,K309*Escenarios!$E$13/Escenarios!$E$14,0)</f>
        <v>0</v>
      </c>
      <c r="S309" s="170">
        <f>IF(Escenarios!$E$14&gt;0,Q309*Escenarios!$E$13/Escenarios!$E$14,0)</f>
        <v>0</v>
      </c>
      <c r="T309" s="170">
        <f>IF(Escenarios!$E$14&gt;0,Observaciones!$I308,0)</f>
        <v>0</v>
      </c>
      <c r="U309" s="170">
        <f>IF(Escenarios!$E$14&gt;0,MAX(0,Constantes!$E$36/((Z308+R309+S309+T309+Observaciones!$F308)^2)+Entradas!$E$77),0)</f>
        <v>0</v>
      </c>
      <c r="V309" s="146">
        <f>IF(ETo!D308&gt;0,ETo!I308*((1-Entradas!$E$81)*ETo!K308+ETo!L308),0)</f>
        <v>3.9815946778327072</v>
      </c>
      <c r="W309" s="170">
        <f>IF(Escenarios!$E$14&gt;0,MIN(V309*1,0.8*(Z308+R309+S309+T309+Observaciones!$F308-U309-Constantes!$E$35)),0)</f>
        <v>3.9815946778327072</v>
      </c>
      <c r="X309" s="170">
        <f>IF(Escenarios!$E$14&gt;0,Observaciones!$J308,0)</f>
        <v>0</v>
      </c>
      <c r="Y309" s="170">
        <f>IF(Escenarios!$E$14&gt;0,MAX(0,Z308+R309+S309+T309+Observaciones!$F308-U309-W309-X309-Constantes!$E$33),0)</f>
        <v>0</v>
      </c>
      <c r="Z309" s="170">
        <f>Z308+R309+S309+T309+Observaciones!$F308-U309-W309-Y309</f>
        <v>43.469698804960174</v>
      </c>
      <c r="AA309" s="170">
        <f>IF(Escenarios!$E$14&gt;0,(Escenarios!$E$13*L309+Escenarios!$E$14*W309)/(Escenarios!$E$16),L309)</f>
        <v>2.3679672406135506</v>
      </c>
      <c r="AB309" s="170">
        <f>IF(Escenarios!$E$14&gt;0,(Escenarios!$E$14*Y309)/(Escenarios!$E$16),K309)</f>
        <v>0</v>
      </c>
      <c r="AC309" s="170">
        <f>IF(Escenarios!$E$14&gt;0,(Escenarios!$E$13*M309+Escenarios!$E$14*U309)/(Escenarios!$E$16),M309)</f>
        <v>0</v>
      </c>
      <c r="AD309" s="76">
        <f t="shared" si="57"/>
        <v>65.152128335898183</v>
      </c>
      <c r="AE309" s="76">
        <f>MAX(0,(AD309-Constantes!$D$13)*(1-EXP(-Constantes!$D$23)))</f>
        <v>0.16161407717620579</v>
      </c>
      <c r="AF309" s="76">
        <f>AB309+O309*Escenarios!$E$13/Escenarios!$E$16+AE309</f>
        <v>0.79298803799363093</v>
      </c>
      <c r="AG309" s="76">
        <f>IF(Entradas!$E$91&gt;0,IF(AF309-Escenarios!$E$38&lt;=0,0,IF(AF309-Escenarios!$E$38&gt;Escenarios!$E$37,Escenarios!$E$37,AF309-Escenarios!$E$38)),0)</f>
        <v>0</v>
      </c>
      <c r="AH309" s="76">
        <f>AG309*Entradas!$E$99</f>
        <v>0</v>
      </c>
      <c r="AI309" s="76">
        <f>IF(Entradas!$E$91&gt;0,D309*Entradas!$D$23/Escenarios!$E$16,0)</f>
        <v>0</v>
      </c>
      <c r="AJ309" s="76">
        <f>IF(Entradas!$E$91&gt;0,Entradas!$D$24*Entradas!$D$22/Escenarios!$E$16,0)</f>
        <v>0</v>
      </c>
      <c r="AK309" s="76">
        <f t="shared" si="66"/>
        <v>2.3679672406135506</v>
      </c>
      <c r="AL309" s="76">
        <f t="shared" si="67"/>
        <v>0</v>
      </c>
      <c r="AM309" s="76">
        <f t="shared" si="58"/>
        <v>0</v>
      </c>
      <c r="AN309" s="76">
        <f>MAX(0,O309*Escenarios!$E$13/Escenarios!$E$16-AM309)</f>
        <v>0.63137396081742514</v>
      </c>
      <c r="AO309" s="76">
        <f>AM309+AN309-O309*Escenarios!$E$13/Escenarios!$E$16</f>
        <v>0</v>
      </c>
      <c r="AP309" s="76">
        <f t="shared" si="56"/>
        <v>0.16161407717620579</v>
      </c>
      <c r="AQ309" s="76">
        <f t="shared" si="59"/>
        <v>0</v>
      </c>
      <c r="AR309" s="76">
        <f t="shared" si="60"/>
        <v>0.79298803799363093</v>
      </c>
      <c r="AS309" s="76">
        <f t="shared" si="61"/>
        <v>0</v>
      </c>
      <c r="AT309" s="76">
        <f t="shared" si="62"/>
        <v>0</v>
      </c>
      <c r="AU309" s="76">
        <f t="shared" si="63"/>
        <v>48.75</v>
      </c>
      <c r="AV309" s="76">
        <f>MAX(0,(AU309-Constantes!$D$13)*(1-EXP(-Constantes!$D$24)))</f>
        <v>0</v>
      </c>
      <c r="AW309" s="170">
        <f>AW308+(Entradas!$E$112*AT309-AX308)/(800*Entradas!$D$25)</f>
        <v>0</v>
      </c>
      <c r="AX309" s="170">
        <f>8000*Entradas!$D$26*AW309/Constantes!$E$45</f>
        <v>0</v>
      </c>
      <c r="AY309" s="170">
        <f>IF(Escenarios!$E$17&gt;0,10*Escenarios!$E$16*AL309,0)</f>
        <v>0</v>
      </c>
      <c r="AZ309" s="170">
        <f>IF(Escenarios!$E$17&gt;0,10*Escenarios!$E$16*AX309,0)</f>
        <v>0</v>
      </c>
      <c r="BA309" s="170">
        <f>IF(Escenarios!$E$17&gt;0,0.001*Observaciones!$F308*Escenarios!$E$17,0)</f>
        <v>50</v>
      </c>
      <c r="BB309" s="170">
        <f>IF(Escenarios!$E$17&gt;0,Observaciones!$K308,0)</f>
        <v>0</v>
      </c>
      <c r="BC309" s="170">
        <f>IF(Escenarios!$E$17&gt;0,MIN(0.0005*ETo!$M308*Escenarios!$E$17*(BG308/Constantes!$E$40)^(2/3),BG308+AY309+AZ309+BA309+BB309),0)</f>
        <v>14.005261571465923</v>
      </c>
      <c r="BD309" s="170">
        <f>IF(Escenarios!$E$17&gt;0,MIN(Constantes!$E$39*(BG308/Constantes!$E$40)^(2/3),BG308+AY309+AZ309+BA309+BB309-BC309),0)</f>
        <v>22.637874267218425</v>
      </c>
      <c r="BE309" s="170">
        <f>IF(Escenarios!$E$17&gt;0,MIN(Entradas!$E$113,BG308+AY309+AZ309+BA309+BB309-BC309-BD309),0)</f>
        <v>1</v>
      </c>
      <c r="BF309" s="170">
        <f>IF(Escenarios!$E$17&gt;0,MAX(0,BG308+AY309+AZ309+BA309+BB309-BC309-BD309-BE309-Constantes!$E$40),0)</f>
        <v>0</v>
      </c>
      <c r="BG309" s="170">
        <f t="shared" si="68"/>
        <v>1015.8796216166586</v>
      </c>
      <c r="BH309" s="170">
        <f>(Escenarios!$E$16*AK309+0.1*BC309)/(Escenarios!$E$19)</f>
        <v>2.3547314932957706</v>
      </c>
      <c r="BI309" s="170">
        <f>IF(Escenarios!$E$17&gt;0,BF309/10/Escenarios!$E$19,AL309)</f>
        <v>0</v>
      </c>
      <c r="BJ309" s="170">
        <f>(Escenarios!$E$16*AT309+0.1*BD309)/(Escenarios!$E$19)</f>
        <v>8.9832834393723908E-3</v>
      </c>
      <c r="BK309" s="76">
        <f>BK308+(0.1*BD309)/(Escenarios!$E$19)-BL308</f>
        <v>49.478180573787114</v>
      </c>
      <c r="BL309" s="76">
        <f>MAX(0,(BK309-Constantes!$D$13)*(1-EXP(-Constantes!$D$23)))</f>
        <v>7.1749366326245142E-3</v>
      </c>
      <c r="BM309" s="76">
        <f t="shared" si="64"/>
        <v>0.1687890138088303</v>
      </c>
      <c r="BN309" s="76">
        <f t="shared" si="69"/>
        <v>0.80016297462625541</v>
      </c>
      <c r="BO309" s="76">
        <f>0.0526*BI309*Observaciones!$F308^1.218</f>
        <v>0</v>
      </c>
      <c r="BP309" s="76">
        <f>BO309*Constantes!$E$51</f>
        <v>0</v>
      </c>
      <c r="BQ309" s="76">
        <f t="shared" si="65"/>
        <v>0</v>
      </c>
      <c r="BR309" s="40"/>
    </row>
    <row r="310" spans="1:70">
      <c r="A310" s="147"/>
      <c r="B310" s="39"/>
      <c r="C310" s="75">
        <v>304</v>
      </c>
      <c r="D310" s="146">
        <f>ETo!$I309*((1-Constantes!$E$19)*ETo!$K309+ETo!$L309)</f>
        <v>4.429145051377156</v>
      </c>
      <c r="E310" s="76">
        <f>MIN(D310*Constantes!$E$17,0.8*(N309+Observaciones!$F309-F310-M310-Constantes!$D$14))</f>
        <v>2.1654635519120817</v>
      </c>
      <c r="F310" s="76">
        <f>IF(Observaciones!$F309&gt;0.05*Constantes!$E$18,((Observaciones!$F309-0.05*Constantes!$E$18)^2)/(Observaciones!$F309+0.95*Constantes!$E$18),0)</f>
        <v>0</v>
      </c>
      <c r="G310" s="76">
        <f>IF(Escenarios!$E$11&gt;0,(F310*Escenarios!$E$16*10000)/1000,0)</f>
        <v>0</v>
      </c>
      <c r="H310" s="76">
        <f>IF(Escenarios!$E$11&gt;0,(Observaciones!$F309*Constantes!$E$29)/1000,0)</f>
        <v>0</v>
      </c>
      <c r="I310" s="76">
        <f>IF(Escenarios!$E$11&gt;0,(D310*Constantes!$E$29)/1000,0)</f>
        <v>44.291450513771558</v>
      </c>
      <c r="J310" s="76">
        <f>IF(Escenarios!$E$11&gt;0,MAX(0,G310+H310-I310),0)</f>
        <v>0</v>
      </c>
      <c r="K310" s="76">
        <f>IF(Escenarios!$E$11&gt;0,IF(J310&gt;Constantes!$E$30,1000*((J310-Constantes!$E$30)/(Escenarios!$E$16*10000)),0),F310)</f>
        <v>0</v>
      </c>
      <c r="L310" s="76">
        <f>IF(Escenarios!$E$11&gt;0,I310*1000/Escenarios!$E$16/10000+E310,E310)</f>
        <v>2.1831801321175903</v>
      </c>
      <c r="M310" s="76">
        <f>MAX(0,N309+Observaciones!$F309-K310-Constantes!$D$13)</f>
        <v>0</v>
      </c>
      <c r="N310" s="76">
        <f>N309+Observaciones!$F309-K310-L310-M310-O309</f>
        <v>29.411976807594002</v>
      </c>
      <c r="O310" s="76">
        <f>MAX(0,(N310-Constantes!$D$14)*(1-EXP(-Constantes!$D$22)))</f>
        <v>0.61866360404846488</v>
      </c>
      <c r="P310" s="170">
        <f>P309+(Entradas!$E$83*M310-Q309)/(800*Entradas!$D$25)</f>
        <v>0</v>
      </c>
      <c r="Q310" s="170">
        <f>8000*Entradas!$D$26*P310/Constantes!$E$45</f>
        <v>0</v>
      </c>
      <c r="R310" s="170">
        <f>IF(Escenarios!$E$14&gt;0,K310*Escenarios!$E$13/Escenarios!$E$14,0)</f>
        <v>0</v>
      </c>
      <c r="S310" s="170">
        <f>IF(Escenarios!$E$14&gt;0,Q310*Escenarios!$E$13/Escenarios!$E$14,0)</f>
        <v>0</v>
      </c>
      <c r="T310" s="170">
        <f>IF(Escenarios!$E$14&gt;0,Observaciones!$I309,0)</f>
        <v>0</v>
      </c>
      <c r="U310" s="170">
        <f>IF(Escenarios!$E$14&gt;0,MAX(0,Constantes!$E$36/((Z309+R310+S310+T310+Observaciones!$F309)^2)+Entradas!$E$77),0)</f>
        <v>0</v>
      </c>
      <c r="V310" s="146">
        <f>IF(ETo!D309&gt;0,ETo!I309*((1-Entradas!$E$81)*ETo!K309+ETo!L309),0)</f>
        <v>4.0478792835999</v>
      </c>
      <c r="W310" s="170">
        <f>IF(Escenarios!$E$14&gt;0,MIN(V310*1,0.8*(Z309+R310+S310+T310+Observaciones!$F309-U310-Constantes!$E$35)),0)</f>
        <v>1.7757590439681394</v>
      </c>
      <c r="X310" s="170">
        <f>IF(Escenarios!$E$14&gt;0,Observaciones!$J309,0)</f>
        <v>0</v>
      </c>
      <c r="Y310" s="170">
        <f>IF(Escenarios!$E$14&gt;0,MAX(0,Z309+R310+S310+T310+Observaciones!$F309-U310-W310-X310-Constantes!$E$33),0)</f>
        <v>0</v>
      </c>
      <c r="Z310" s="170">
        <f>Z309+R310+S310+T310+Observaciones!$F309-U310-W310-Y310</f>
        <v>41.693939760992038</v>
      </c>
      <c r="AA310" s="170">
        <f>IF(Escenarios!$E$14&gt;0,(Escenarios!$E$13*L310+Escenarios!$E$14*W310)/(Escenarios!$E$16),L310)</f>
        <v>2.1342896015396562</v>
      </c>
      <c r="AB310" s="170">
        <f>IF(Escenarios!$E$14&gt;0,(Escenarios!$E$14*Y310)/(Escenarios!$E$16),K310)</f>
        <v>0</v>
      </c>
      <c r="AC310" s="170">
        <f>IF(Escenarios!$E$14&gt;0,(Escenarios!$E$13*M310+Escenarios!$E$14*U310)/(Escenarios!$E$16),M310)</f>
        <v>0</v>
      </c>
      <c r="AD310" s="76">
        <f t="shared" si="57"/>
        <v>64.990514258721973</v>
      </c>
      <c r="AE310" s="76">
        <f>MAX(0,(AD310-Constantes!$D$13)*(1-EXP(-Constantes!$D$23)))</f>
        <v>0.16002165518031444</v>
      </c>
      <c r="AF310" s="76">
        <f>AB310+O310*Escenarios!$E$13/Escenarios!$E$16+AE310</f>
        <v>0.70444562674296352</v>
      </c>
      <c r="AG310" s="76">
        <f>IF(Entradas!$E$91&gt;0,IF(AF310-Escenarios!$E$38&lt;=0,0,IF(AF310-Escenarios!$E$38&gt;Escenarios!$E$37,Escenarios!$E$37,AF310-Escenarios!$E$38)),0)</f>
        <v>0</v>
      </c>
      <c r="AH310" s="76">
        <f>AG310*Entradas!$E$99</f>
        <v>0</v>
      </c>
      <c r="AI310" s="76">
        <f>IF(Entradas!$E$91&gt;0,D310*Entradas!$D$23/Escenarios!$E$16,0)</f>
        <v>0</v>
      </c>
      <c r="AJ310" s="76">
        <f>IF(Entradas!$E$91&gt;0,Entradas!$D$24*Entradas!$D$22/Escenarios!$E$16,0)</f>
        <v>0</v>
      </c>
      <c r="AK310" s="76">
        <f t="shared" si="66"/>
        <v>2.1342896015396562</v>
      </c>
      <c r="AL310" s="76">
        <f t="shared" si="67"/>
        <v>0</v>
      </c>
      <c r="AM310" s="76">
        <f t="shared" si="58"/>
        <v>0</v>
      </c>
      <c r="AN310" s="76">
        <f>MAX(0,O310*Escenarios!$E$13/Escenarios!$E$16-AM310)</f>
        <v>0.5444239715626491</v>
      </c>
      <c r="AO310" s="76">
        <f>AM310+AN310-O310*Escenarios!$E$13/Escenarios!$E$16</f>
        <v>0</v>
      </c>
      <c r="AP310" s="76">
        <f t="shared" si="56"/>
        <v>0.16002165518031444</v>
      </c>
      <c r="AQ310" s="76">
        <f t="shared" si="59"/>
        <v>0</v>
      </c>
      <c r="AR310" s="76">
        <f t="shared" si="60"/>
        <v>0.70444562674296352</v>
      </c>
      <c r="AS310" s="76">
        <f t="shared" si="61"/>
        <v>0</v>
      </c>
      <c r="AT310" s="76">
        <f t="shared" si="62"/>
        <v>0</v>
      </c>
      <c r="AU310" s="76">
        <f t="shared" si="63"/>
        <v>48.75</v>
      </c>
      <c r="AV310" s="76">
        <f>MAX(0,(AU310-Constantes!$D$13)*(1-EXP(-Constantes!$D$24)))</f>
        <v>0</v>
      </c>
      <c r="AW310" s="170">
        <f>AW309+(Entradas!$E$112*AT310-AX309)/(800*Entradas!$D$25)</f>
        <v>0</v>
      </c>
      <c r="AX310" s="170">
        <f>8000*Entradas!$D$26*AW310/Constantes!$E$45</f>
        <v>0</v>
      </c>
      <c r="AY310" s="170">
        <f>IF(Escenarios!$E$17&gt;0,10*Escenarios!$E$16*AL310,0)</f>
        <v>0</v>
      </c>
      <c r="AZ310" s="170">
        <f>IF(Escenarios!$E$17&gt;0,10*Escenarios!$E$16*AX310,0)</f>
        <v>0</v>
      </c>
      <c r="BA310" s="170">
        <f>IF(Escenarios!$E$17&gt;0,0.001*Observaciones!$F309*Escenarios!$E$17,0)</f>
        <v>0</v>
      </c>
      <c r="BB310" s="170">
        <f>IF(Escenarios!$E$17&gt;0,Observaciones!$K309,0)</f>
        <v>0</v>
      </c>
      <c r="BC310" s="170">
        <f>IF(Escenarios!$E$17&gt;0,MIN(0.0005*ETo!$M309*Escenarios!$E$17*(BG309/Constantes!$E$40)^(2/3),BG309+AY310+AZ310+BA310+BB310),0)</f>
        <v>14.347537624313025</v>
      </c>
      <c r="BD310" s="170">
        <f>IF(Escenarios!$E$17&gt;0,MIN(Constantes!$E$39*(BG309/Constantes!$E$40)^(2/3),BG309+AY310+AZ310+BA310+BB310-BC310),0)</f>
        <v>22.82332907151055</v>
      </c>
      <c r="BE310" s="170">
        <f>IF(Escenarios!$E$17&gt;0,MIN(Entradas!$E$113,BG309+AY310+AZ310+BA310+BB310-BC310-BD310),0)</f>
        <v>1</v>
      </c>
      <c r="BF310" s="170">
        <f>IF(Escenarios!$E$17&gt;0,MAX(0,BG309+AY310+AZ310+BA310+BB310-BC310-BD310-BE310-Constantes!$E$40),0)</f>
        <v>0</v>
      </c>
      <c r="BG310" s="170">
        <f t="shared" si="68"/>
        <v>977.70875492083496</v>
      </c>
      <c r="BH310" s="170">
        <f>(Escenarios!$E$16*AK310+0.1*BC310)/(Escenarios!$E$19)</f>
        <v>2.1230442624894659</v>
      </c>
      <c r="BI310" s="170">
        <f>IF(Escenarios!$E$17&gt;0,BF310/10/Escenarios!$E$19,AL310)</f>
        <v>0</v>
      </c>
      <c r="BJ310" s="170">
        <f>(Escenarios!$E$16*AT310+0.1*BD310)/(Escenarios!$E$19)</f>
        <v>9.0568766156787894E-3</v>
      </c>
      <c r="BK310" s="76">
        <f>BK309+(0.1*BD310)/(Escenarios!$E$19)-BL309</f>
        <v>49.480062513770172</v>
      </c>
      <c r="BL310" s="76">
        <f>MAX(0,(BK310-Constantes!$D$13)*(1-EXP(-Constantes!$D$23)))</f>
        <v>7.1934798355207628E-3</v>
      </c>
      <c r="BM310" s="76">
        <f t="shared" si="64"/>
        <v>0.16721513501583521</v>
      </c>
      <c r="BN310" s="76">
        <f t="shared" si="69"/>
        <v>0.71163910657848428</v>
      </c>
      <c r="BO310" s="76">
        <f>0.0526*BI310*Observaciones!$F309^1.218</f>
        <v>0</v>
      </c>
      <c r="BP310" s="76">
        <f>BO310*Constantes!$E$51</f>
        <v>0</v>
      </c>
      <c r="BQ310" s="76">
        <f t="shared" si="65"/>
        <v>0</v>
      </c>
      <c r="BR310" s="40"/>
    </row>
    <row r="311" spans="1:70">
      <c r="A311" s="147"/>
      <c r="B311" s="39"/>
      <c r="C311" s="75">
        <v>305</v>
      </c>
      <c r="D311" s="146">
        <f>ETo!$I310*((1-Constantes!$E$19)*ETo!$K310+ETo!$L310)</f>
        <v>4.3970950662250567</v>
      </c>
      <c r="E311" s="76">
        <f>MIN(D311*Constantes!$E$17,0.8*(N310+Observaciones!$F310-F311-M311-Constantes!$D$14))</f>
        <v>2.1497939195380833</v>
      </c>
      <c r="F311" s="76">
        <f>IF(Observaciones!$F310&gt;0.05*Constantes!$E$18,((Observaciones!$F310-0.05*Constantes!$E$18)^2)/(Observaciones!$F310+0.95*Constantes!$E$18),0)</f>
        <v>0</v>
      </c>
      <c r="G311" s="76">
        <f>IF(Escenarios!$E$11&gt;0,(F311*Escenarios!$E$16*10000)/1000,0)</f>
        <v>0</v>
      </c>
      <c r="H311" s="76">
        <f>IF(Escenarios!$E$11&gt;0,(Observaciones!$F310*Constantes!$E$29)/1000,0)</f>
        <v>4</v>
      </c>
      <c r="I311" s="76">
        <f>IF(Escenarios!$E$11&gt;0,(D311*Constantes!$E$29)/1000,0)</f>
        <v>43.970950662250566</v>
      </c>
      <c r="J311" s="76">
        <f>IF(Escenarios!$E$11&gt;0,MAX(0,G311+H311-I311),0)</f>
        <v>0</v>
      </c>
      <c r="K311" s="76">
        <f>IF(Escenarios!$E$11&gt;0,IF(J311&gt;Constantes!$E$30,1000*((J311-Constantes!$E$30)/(Escenarios!$E$16*10000)),0),F311)</f>
        <v>0</v>
      </c>
      <c r="L311" s="76">
        <f>IF(Escenarios!$E$11&gt;0,I311*1000/Escenarios!$E$16/10000+E311,E311)</f>
        <v>2.1673822998029837</v>
      </c>
      <c r="M311" s="76">
        <f>MAX(0,N310+Observaciones!$F310-K311-Constantes!$D$13)</f>
        <v>0</v>
      </c>
      <c r="N311" s="76">
        <f>N310+Observaciones!$F310-K311-L311-M311-O310</f>
        <v>27.025930903742552</v>
      </c>
      <c r="O311" s="76">
        <f>MAX(0,(N311-Constantes!$D$14)*(1-EXP(-Constantes!$D$22)))</f>
        <v>0.53738612120944962</v>
      </c>
      <c r="P311" s="170">
        <f>P310+(Entradas!$E$83*M311-Q310)/(800*Entradas!$D$25)</f>
        <v>0</v>
      </c>
      <c r="Q311" s="170">
        <f>8000*Entradas!$D$26*P311/Constantes!$E$45</f>
        <v>0</v>
      </c>
      <c r="R311" s="170">
        <f>IF(Escenarios!$E$14&gt;0,K311*Escenarios!$E$13/Escenarios!$E$14,0)</f>
        <v>0</v>
      </c>
      <c r="S311" s="170">
        <f>IF(Escenarios!$E$14&gt;0,Q311*Escenarios!$E$13/Escenarios!$E$14,0)</f>
        <v>0</v>
      </c>
      <c r="T311" s="170">
        <f>IF(Escenarios!$E$14&gt;0,Observaciones!$I310,0)</f>
        <v>0</v>
      </c>
      <c r="U311" s="170">
        <f>IF(Escenarios!$E$14&gt;0,MAX(0,Constantes!$E$36/((Z310+R311+S311+T311+Observaciones!$F310)^2)+Entradas!$E$77),0)</f>
        <v>0</v>
      </c>
      <c r="V311" s="146">
        <f>IF(ETo!D310&gt;0,ETo!I310*((1-Entradas!$E$81)*ETo!K310+ETo!L310),0)</f>
        <v>4.0182205145947671</v>
      </c>
      <c r="W311" s="170">
        <f>IF(Escenarios!$E$14&gt;0,MIN(V311*1,0.8*(Z310+R311+S311+T311+Observaciones!$F310-U311-Constantes!$E$35)),0)</f>
        <v>0.67515180879362902</v>
      </c>
      <c r="X311" s="170">
        <f>IF(Escenarios!$E$14&gt;0,Observaciones!$J310,0)</f>
        <v>0</v>
      </c>
      <c r="Y311" s="170">
        <f>IF(Escenarios!$E$14&gt;0,MAX(0,Z310+R311+S311+T311+Observaciones!$F310-U311-W311-X311-Constantes!$E$33),0)</f>
        <v>0</v>
      </c>
      <c r="Z311" s="170">
        <f>Z310+R311+S311+T311+Observaciones!$F310-U311-W311-Y311</f>
        <v>41.418787952198407</v>
      </c>
      <c r="AA311" s="170">
        <f>IF(Escenarios!$E$14&gt;0,(Escenarios!$E$13*L311+Escenarios!$E$14*W311)/(Escenarios!$E$16),L311)</f>
        <v>1.9883146408818611</v>
      </c>
      <c r="AB311" s="170">
        <f>IF(Escenarios!$E$14&gt;0,(Escenarios!$E$14*Y311)/(Escenarios!$E$16),K311)</f>
        <v>0</v>
      </c>
      <c r="AC311" s="170">
        <f>IF(Escenarios!$E$14&gt;0,(Escenarios!$E$13*M311+Escenarios!$E$14*U311)/(Escenarios!$E$16),M311)</f>
        <v>0</v>
      </c>
      <c r="AD311" s="76">
        <f t="shared" si="57"/>
        <v>64.830492603541657</v>
      </c>
      <c r="AE311" s="76">
        <f>MAX(0,(AD311-Constantes!$D$13)*(1-EXP(-Constantes!$D$23)))</f>
        <v>0.15844492369763399</v>
      </c>
      <c r="AF311" s="76">
        <f>AB311+O311*Escenarios!$E$13/Escenarios!$E$16+AE311</f>
        <v>0.63134471036194972</v>
      </c>
      <c r="AG311" s="76">
        <f>IF(Entradas!$E$91&gt;0,IF(AF311-Escenarios!$E$38&lt;=0,0,IF(AF311-Escenarios!$E$38&gt;Escenarios!$E$37,Escenarios!$E$37,AF311-Escenarios!$E$38)),0)</f>
        <v>0</v>
      </c>
      <c r="AH311" s="76">
        <f>AG311*Entradas!$E$99</f>
        <v>0</v>
      </c>
      <c r="AI311" s="76">
        <f>IF(Entradas!$E$91&gt;0,D311*Entradas!$D$23/Escenarios!$E$16,0)</f>
        <v>0</v>
      </c>
      <c r="AJ311" s="76">
        <f>IF(Entradas!$E$91&gt;0,Entradas!$D$24*Entradas!$D$22/Escenarios!$E$16,0)</f>
        <v>0</v>
      </c>
      <c r="AK311" s="76">
        <f t="shared" si="66"/>
        <v>1.9883146408818611</v>
      </c>
      <c r="AL311" s="76">
        <f t="shared" si="67"/>
        <v>0</v>
      </c>
      <c r="AM311" s="76">
        <f t="shared" si="58"/>
        <v>0</v>
      </c>
      <c r="AN311" s="76">
        <f>MAX(0,O311*Escenarios!$E$13/Escenarios!$E$16-AM311)</f>
        <v>0.4728997866643157</v>
      </c>
      <c r="AO311" s="76">
        <f>AM311+AN311-O311*Escenarios!$E$13/Escenarios!$E$16</f>
        <v>0</v>
      </c>
      <c r="AP311" s="76">
        <f t="shared" si="56"/>
        <v>0.15844492369763399</v>
      </c>
      <c r="AQ311" s="76">
        <f t="shared" si="59"/>
        <v>0</v>
      </c>
      <c r="AR311" s="76">
        <f t="shared" si="60"/>
        <v>0.63134471036194972</v>
      </c>
      <c r="AS311" s="76">
        <f t="shared" si="61"/>
        <v>0</v>
      </c>
      <c r="AT311" s="76">
        <f t="shared" si="62"/>
        <v>0</v>
      </c>
      <c r="AU311" s="76">
        <f t="shared" si="63"/>
        <v>48.75</v>
      </c>
      <c r="AV311" s="76">
        <f>MAX(0,(AU311-Constantes!$D$13)*(1-EXP(-Constantes!$D$24)))</f>
        <v>0</v>
      </c>
      <c r="AW311" s="170">
        <f>AW310+(Entradas!$E$112*AT311-AX310)/(800*Entradas!$D$25)</f>
        <v>0</v>
      </c>
      <c r="AX311" s="170">
        <f>8000*Entradas!$D$26*AW311/Constantes!$E$45</f>
        <v>0</v>
      </c>
      <c r="AY311" s="170">
        <f>IF(Escenarios!$E$17&gt;0,10*Escenarios!$E$16*AL311,0)</f>
        <v>0</v>
      </c>
      <c r="AZ311" s="170">
        <f>IF(Escenarios!$E$17&gt;0,10*Escenarios!$E$16*AX311,0)</f>
        <v>0</v>
      </c>
      <c r="BA311" s="170">
        <f>IF(Escenarios!$E$17&gt;0,0.001*Observaciones!$F310*Escenarios!$E$17,0)</f>
        <v>8</v>
      </c>
      <c r="BB311" s="170">
        <f>IF(Escenarios!$E$17&gt;0,Observaciones!$K310,0)</f>
        <v>0</v>
      </c>
      <c r="BC311" s="170">
        <f>IF(Escenarios!$E$17&gt;0,MIN(0.0005*ETo!$M310*Escenarios!$E$17*(BG310/Constantes!$E$40)^(2/3),BG310+AY311+AZ311+BA311+BB311),0)</f>
        <v>13.886255494855984</v>
      </c>
      <c r="BD311" s="170">
        <f>IF(Escenarios!$E$17&gt;0,MIN(Constantes!$E$39*(BG310/Constantes!$E$40)^(2/3),BG310+AY311+AZ311+BA311+BB311-BC311),0)</f>
        <v>22.247975405968646</v>
      </c>
      <c r="BE311" s="170">
        <f>IF(Escenarios!$E$17&gt;0,MIN(Entradas!$E$113,BG310+AY311+AZ311+BA311+BB311-BC311-BD311),0)</f>
        <v>1</v>
      </c>
      <c r="BF311" s="170">
        <f>IF(Escenarios!$E$17&gt;0,MAX(0,BG310+AY311+AZ311+BA311+BB311-BC311-BD311-BE311-Constantes!$E$40),0)</f>
        <v>0</v>
      </c>
      <c r="BG311" s="170">
        <f t="shared" si="68"/>
        <v>948.57452402001036</v>
      </c>
      <c r="BH311" s="170">
        <f>(Escenarios!$E$16*AK311+0.1*BC311)/(Escenarios!$E$19)</f>
        <v>1.9780447848013925</v>
      </c>
      <c r="BI311" s="170">
        <f>IF(Escenarios!$E$17&gt;0,BF311/10/Escenarios!$E$19,AL311)</f>
        <v>0</v>
      </c>
      <c r="BJ311" s="170">
        <f>(Escenarios!$E$16*AT311+0.1*BD311)/(Escenarios!$E$19)</f>
        <v>8.8285616690351783E-3</v>
      </c>
      <c r="BK311" s="76">
        <f>BK310+(0.1*BD311)/(Escenarios!$E$19)-BL310</f>
        <v>49.481697595603684</v>
      </c>
      <c r="BL311" s="76">
        <f>MAX(0,(BK311-Constantes!$D$13)*(1-EXP(-Constantes!$D$23)))</f>
        <v>7.2095906862725146E-3</v>
      </c>
      <c r="BM311" s="76">
        <f t="shared" si="64"/>
        <v>0.16565451438390652</v>
      </c>
      <c r="BN311" s="76">
        <f t="shared" si="69"/>
        <v>0.63855430104822219</v>
      </c>
      <c r="BO311" s="76">
        <f>0.0526*BI311*Observaciones!$F310^1.218</f>
        <v>0</v>
      </c>
      <c r="BP311" s="76">
        <f>BO311*Constantes!$E$51</f>
        <v>0</v>
      </c>
      <c r="BQ311" s="76">
        <f t="shared" si="65"/>
        <v>0</v>
      </c>
      <c r="BR311" s="40"/>
    </row>
    <row r="312" spans="1:70">
      <c r="A312" s="147"/>
      <c r="B312" s="39"/>
      <c r="C312" s="75">
        <v>306</v>
      </c>
      <c r="D312" s="146">
        <f>ETo!$I311*((1-Constantes!$E$19)*ETo!$K311+ETo!$L311)</f>
        <v>4.4098026358268445</v>
      </c>
      <c r="E312" s="76">
        <f>MIN(D312*Constantes!$E$17,0.8*(N311+Observaciones!$F311-F312-M312-Constantes!$D$14))</f>
        <v>2.1560068067853639</v>
      </c>
      <c r="F312" s="76">
        <f>IF(Observaciones!$F311&gt;0.05*Constantes!$E$18,((Observaciones!$F311-0.05*Constantes!$E$18)^2)/(Observaciones!$F311+0.95*Constantes!$E$18),0)</f>
        <v>0</v>
      </c>
      <c r="G312" s="76">
        <f>IF(Escenarios!$E$11&gt;0,(F312*Escenarios!$E$16*10000)/1000,0)</f>
        <v>0</v>
      </c>
      <c r="H312" s="76">
        <f>IF(Escenarios!$E$11&gt;0,(Observaciones!$F311*Constantes!$E$29)/1000,0)</f>
        <v>22</v>
      </c>
      <c r="I312" s="76">
        <f>IF(Escenarios!$E$11&gt;0,(D312*Constantes!$E$29)/1000,0)</f>
        <v>44.098026358268442</v>
      </c>
      <c r="J312" s="76">
        <f>IF(Escenarios!$E$11&gt;0,MAX(0,G312+H312-I312),0)</f>
        <v>0</v>
      </c>
      <c r="K312" s="76">
        <f>IF(Escenarios!$E$11&gt;0,IF(J312&gt;Constantes!$E$30,1000*((J312-Constantes!$E$30)/(Escenarios!$E$16*10000)),0),F312)</f>
        <v>0</v>
      </c>
      <c r="L312" s="76">
        <f>IF(Escenarios!$E$11&gt;0,I312*1000/Escenarios!$E$16/10000+E312,E312)</f>
        <v>2.1736460173286711</v>
      </c>
      <c r="M312" s="76">
        <f>MAX(0,N311+Observaciones!$F311-K312-Constantes!$D$13)</f>
        <v>0</v>
      </c>
      <c r="N312" s="76">
        <f>N311+Observaciones!$F311-K312-L312-M312-O311</f>
        <v>26.514898765204428</v>
      </c>
      <c r="O312" s="76">
        <f>MAX(0,(N312-Constantes!$D$14)*(1-EXP(-Constantes!$D$22)))</f>
        <v>0.51997849053345424</v>
      </c>
      <c r="P312" s="170">
        <f>P311+(Entradas!$E$83*M312-Q311)/(800*Entradas!$D$25)</f>
        <v>0</v>
      </c>
      <c r="Q312" s="170">
        <f>8000*Entradas!$D$26*P312/Constantes!$E$45</f>
        <v>0</v>
      </c>
      <c r="R312" s="170">
        <f>IF(Escenarios!$E$14&gt;0,K312*Escenarios!$E$13/Escenarios!$E$14,0)</f>
        <v>0</v>
      </c>
      <c r="S312" s="170">
        <f>IF(Escenarios!$E$14&gt;0,Q312*Escenarios!$E$13/Escenarios!$E$14,0)</f>
        <v>0</v>
      </c>
      <c r="T312" s="170">
        <f>IF(Escenarios!$E$14&gt;0,Observaciones!$I311,0)</f>
        <v>0</v>
      </c>
      <c r="U312" s="170">
        <f>IF(Escenarios!$E$14&gt;0,MAX(0,Constantes!$E$36/((Z311+R312+S312+T312+Observaciones!$F311)^2)+Entradas!$E$77),0)</f>
        <v>0</v>
      </c>
      <c r="V312" s="146">
        <f>IF(ETo!D311&gt;0,ETo!I311*((1-Entradas!$E$81)*ETo!K311+ETo!L311),0)</f>
        <v>4.0300285696048856</v>
      </c>
      <c r="W312" s="170">
        <f>IF(Escenarios!$E$14&gt;0,MIN(V312*1,0.8*(Z311+R312+S312+T312+Observaciones!$F311-U312-Constantes!$E$35)),0)</f>
        <v>1.8950303617587281</v>
      </c>
      <c r="X312" s="170">
        <f>IF(Escenarios!$E$14&gt;0,Observaciones!$J311,0)</f>
        <v>0</v>
      </c>
      <c r="Y312" s="170">
        <f>IF(Escenarios!$E$14&gt;0,MAX(0,Z311+R312+S312+T312+Observaciones!$F311-U312-W312-X312-Constantes!$E$33),0)</f>
        <v>0</v>
      </c>
      <c r="Z312" s="170">
        <f>Z311+R312+S312+T312+Observaciones!$F311-U312-W312-Y312</f>
        <v>41.723757590439682</v>
      </c>
      <c r="AA312" s="170">
        <f>IF(Escenarios!$E$14&gt;0,(Escenarios!$E$13*L312+Escenarios!$E$14*W312)/(Escenarios!$E$16),L312)</f>
        <v>2.1402121386602779</v>
      </c>
      <c r="AB312" s="170">
        <f>IF(Escenarios!$E$14&gt;0,(Escenarios!$E$14*Y312)/(Escenarios!$E$16),K312)</f>
        <v>0</v>
      </c>
      <c r="AC312" s="170">
        <f>IF(Escenarios!$E$14&gt;0,(Escenarios!$E$13*M312+Escenarios!$E$14*U312)/(Escenarios!$E$16),M312)</f>
        <v>0</v>
      </c>
      <c r="AD312" s="76">
        <f t="shared" si="57"/>
        <v>64.672047679844027</v>
      </c>
      <c r="AE312" s="76">
        <f>MAX(0,(AD312-Constantes!$D$13)*(1-EXP(-Constantes!$D$23)))</f>
        <v>0.15688372812580062</v>
      </c>
      <c r="AF312" s="76">
        <f>AB312+O312*Escenarios!$E$13/Escenarios!$E$16+AE312</f>
        <v>0.61446479979524038</v>
      </c>
      <c r="AG312" s="76">
        <f>IF(Entradas!$E$91&gt;0,IF(AF312-Escenarios!$E$38&lt;=0,0,IF(AF312-Escenarios!$E$38&gt;Escenarios!$E$37,Escenarios!$E$37,AF312-Escenarios!$E$38)),0)</f>
        <v>0</v>
      </c>
      <c r="AH312" s="76">
        <f>AG312*Entradas!$E$99</f>
        <v>0</v>
      </c>
      <c r="AI312" s="76">
        <f>IF(Entradas!$E$91&gt;0,D312*Entradas!$D$23/Escenarios!$E$16,0)</f>
        <v>0</v>
      </c>
      <c r="AJ312" s="76">
        <f>IF(Entradas!$E$91&gt;0,Entradas!$D$24*Entradas!$D$22/Escenarios!$E$16,0)</f>
        <v>0</v>
      </c>
      <c r="AK312" s="76">
        <f t="shared" si="66"/>
        <v>2.1402121386602779</v>
      </c>
      <c r="AL312" s="76">
        <f t="shared" si="67"/>
        <v>0</v>
      </c>
      <c r="AM312" s="76">
        <f t="shared" si="58"/>
        <v>0</v>
      </c>
      <c r="AN312" s="76">
        <f>MAX(0,O312*Escenarios!$E$13/Escenarios!$E$16-AM312)</f>
        <v>0.45758107166943973</v>
      </c>
      <c r="AO312" s="76">
        <f>AM312+AN312-O312*Escenarios!$E$13/Escenarios!$E$16</f>
        <v>0</v>
      </c>
      <c r="AP312" s="76">
        <f t="shared" si="56"/>
        <v>0.15688372812580062</v>
      </c>
      <c r="AQ312" s="76">
        <f t="shared" si="59"/>
        <v>0</v>
      </c>
      <c r="AR312" s="76">
        <f t="shared" si="60"/>
        <v>0.61446479979524038</v>
      </c>
      <c r="AS312" s="76">
        <f t="shared" si="61"/>
        <v>0</v>
      </c>
      <c r="AT312" s="76">
        <f t="shared" si="62"/>
        <v>0</v>
      </c>
      <c r="AU312" s="76">
        <f t="shared" si="63"/>
        <v>48.75</v>
      </c>
      <c r="AV312" s="76">
        <f>MAX(0,(AU312-Constantes!$D$13)*(1-EXP(-Constantes!$D$24)))</f>
        <v>0</v>
      </c>
      <c r="AW312" s="170">
        <f>AW311+(Entradas!$E$112*AT312-AX311)/(800*Entradas!$D$25)</f>
        <v>0</v>
      </c>
      <c r="AX312" s="170">
        <f>8000*Entradas!$D$26*AW312/Constantes!$E$45</f>
        <v>0</v>
      </c>
      <c r="AY312" s="170">
        <f>IF(Escenarios!$E$17&gt;0,10*Escenarios!$E$16*AL312,0)</f>
        <v>0</v>
      </c>
      <c r="AZ312" s="170">
        <f>IF(Escenarios!$E$17&gt;0,10*Escenarios!$E$16*AX312,0)</f>
        <v>0</v>
      </c>
      <c r="BA312" s="170">
        <f>IF(Escenarios!$E$17&gt;0,0.001*Observaciones!$F311*Escenarios!$E$17,0)</f>
        <v>44</v>
      </c>
      <c r="BB312" s="170">
        <f>IF(Escenarios!$E$17&gt;0,Observaciones!$K311,0)</f>
        <v>0</v>
      </c>
      <c r="BC312" s="170">
        <f>IF(Escenarios!$E$17&gt;0,MIN(0.0005*ETo!$M311*Escenarios!$E$17*(BG311/Constantes!$E$40)^(2/3),BG311+AY312+AZ312+BA312+BB312),0)</f>
        <v>13.647499295842637</v>
      </c>
      <c r="BD312" s="170">
        <f>IF(Escenarios!$E$17&gt;0,MIN(Constantes!$E$39*(BG311/Constantes!$E$40)^(2/3),BG311+AY312+AZ312+BA312+BB312-BC312),0)</f>
        <v>21.803780304347352</v>
      </c>
      <c r="BE312" s="170">
        <f>IF(Escenarios!$E$17&gt;0,MIN(Entradas!$E$113,BG311+AY312+AZ312+BA312+BB312-BC312-BD312),0)</f>
        <v>1</v>
      </c>
      <c r="BF312" s="170">
        <f>IF(Escenarios!$E$17&gt;0,MAX(0,BG311+AY312+AZ312+BA312+BB312-BC312-BD312-BE312-Constantes!$E$40),0)</f>
        <v>0</v>
      </c>
      <c r="BG312" s="170">
        <f t="shared" si="68"/>
        <v>956.12324441982037</v>
      </c>
      <c r="BH312" s="170">
        <f>(Escenarios!$E$16*AK312+0.1*BC312)/(Escenarios!$E$19)</f>
        <v>2.128642002359737</v>
      </c>
      <c r="BI312" s="170">
        <f>IF(Escenarios!$E$17&gt;0,BF312/10/Escenarios!$E$19,AL312)</f>
        <v>0</v>
      </c>
      <c r="BJ312" s="170">
        <f>(Escenarios!$E$16*AT312+0.1*BD312)/(Escenarios!$E$19)</f>
        <v>8.6522937715664099E-3</v>
      </c>
      <c r="BK312" s="76">
        <f>BK311+(0.1*BD312)/(Escenarios!$E$19)-BL311</f>
        <v>49.48314029868898</v>
      </c>
      <c r="BL312" s="76">
        <f>MAX(0,(BK312-Constantes!$D$13)*(1-EXP(-Constantes!$D$23)))</f>
        <v>7.2238059833970364E-3</v>
      </c>
      <c r="BM312" s="76">
        <f t="shared" si="64"/>
        <v>0.16410753410919765</v>
      </c>
      <c r="BN312" s="76">
        <f t="shared" si="69"/>
        <v>0.62168860577863738</v>
      </c>
      <c r="BO312" s="76">
        <f>0.0526*BI312*Observaciones!$F311^1.218</f>
        <v>0</v>
      </c>
      <c r="BP312" s="76">
        <f>BO312*Constantes!$E$51</f>
        <v>0</v>
      </c>
      <c r="BQ312" s="76">
        <f t="shared" si="65"/>
        <v>0</v>
      </c>
      <c r="BR312" s="40"/>
    </row>
    <row r="313" spans="1:70">
      <c r="A313" s="147"/>
      <c r="B313" s="39"/>
      <c r="C313" s="75">
        <v>307</v>
      </c>
      <c r="D313" s="146">
        <f>ETo!$I312*((1-Constantes!$E$19)*ETo!$K312+ETo!$L312)</f>
        <v>4.4493514641470657</v>
      </c>
      <c r="E313" s="76">
        <f>MIN(D313*Constantes!$E$17,0.8*(N312+Observaciones!$F312-F313-M313-Constantes!$D$14))</f>
        <v>2.1753427159179037</v>
      </c>
      <c r="F313" s="76">
        <f>IF(Observaciones!$F312&gt;0.05*Constantes!$E$18,((Observaciones!$F312-0.05*Constantes!$E$18)^2)/(Observaciones!$F312+0.95*Constantes!$E$18),0)</f>
        <v>0</v>
      </c>
      <c r="G313" s="76">
        <f>IF(Escenarios!$E$11&gt;0,(F313*Escenarios!$E$16*10000)/1000,0)</f>
        <v>0</v>
      </c>
      <c r="H313" s="76">
        <f>IF(Escenarios!$E$11&gt;0,(Observaciones!$F312*Constantes!$E$29)/1000,0)</f>
        <v>0</v>
      </c>
      <c r="I313" s="76">
        <f>IF(Escenarios!$E$11&gt;0,(D313*Constantes!$E$29)/1000,0)</f>
        <v>44.493514641470654</v>
      </c>
      <c r="J313" s="76">
        <f>IF(Escenarios!$E$11&gt;0,MAX(0,G313+H313-I313),0)</f>
        <v>0</v>
      </c>
      <c r="K313" s="76">
        <f>IF(Escenarios!$E$11&gt;0,IF(J313&gt;Constantes!$E$30,1000*((J313-Constantes!$E$30)/(Escenarios!$E$16*10000)),0),F313)</f>
        <v>0</v>
      </c>
      <c r="L313" s="76">
        <f>IF(Escenarios!$E$11&gt;0,I313*1000/Escenarios!$E$16/10000+E313,E313)</f>
        <v>2.1931401217744919</v>
      </c>
      <c r="M313" s="76">
        <f>MAX(0,N312+Observaciones!$F312-K313-Constantes!$D$13)</f>
        <v>0</v>
      </c>
      <c r="N313" s="76">
        <f>N312+Observaciones!$F312-K313-L313-M313-O312</f>
        <v>23.801780152896484</v>
      </c>
      <c r="O313" s="76">
        <f>MAX(0,(N313-Constantes!$D$14)*(1-EXP(-Constantes!$D$22)))</f>
        <v>0.42755971053591701</v>
      </c>
      <c r="P313" s="170">
        <f>P312+(Entradas!$E$83*M313-Q312)/(800*Entradas!$D$25)</f>
        <v>0</v>
      </c>
      <c r="Q313" s="170">
        <f>8000*Entradas!$D$26*P313/Constantes!$E$45</f>
        <v>0</v>
      </c>
      <c r="R313" s="170">
        <f>IF(Escenarios!$E$14&gt;0,K313*Escenarios!$E$13/Escenarios!$E$14,0)</f>
        <v>0</v>
      </c>
      <c r="S313" s="170">
        <f>IF(Escenarios!$E$14&gt;0,Q313*Escenarios!$E$13/Escenarios!$E$14,0)</f>
        <v>0</v>
      </c>
      <c r="T313" s="170">
        <f>IF(Escenarios!$E$14&gt;0,Observaciones!$I312,0)</f>
        <v>0</v>
      </c>
      <c r="U313" s="170">
        <f>IF(Escenarios!$E$14&gt;0,MAX(0,Constantes!$E$36/((Z312+R313+S313+T313+Observaciones!$F312)^2)+Entradas!$E$77),0)</f>
        <v>0</v>
      </c>
      <c r="V313" s="146">
        <f>IF(ETo!D312&gt;0,ETo!I312*((1-Entradas!$E$81)*ETo!K312+ETo!L312),0)</f>
        <v>4.0667161382072052</v>
      </c>
      <c r="W313" s="170">
        <f>IF(Escenarios!$E$14&gt;0,MIN(V313*1,0.8*(Z312+R313+S313+T313+Observaciones!$F312-U313-Constantes!$E$35)),0)</f>
        <v>0.37900607235174566</v>
      </c>
      <c r="X313" s="170">
        <f>IF(Escenarios!$E$14&gt;0,Observaciones!$J312,0)</f>
        <v>0</v>
      </c>
      <c r="Y313" s="170">
        <f>IF(Escenarios!$E$14&gt;0,MAX(0,Z312+R313+S313+T313+Observaciones!$F312-U313-W313-X313-Constantes!$E$33),0)</f>
        <v>0</v>
      </c>
      <c r="Z313" s="170">
        <f>Z312+R313+S313+T313+Observaciones!$F312-U313-W313-Y313</f>
        <v>41.344751518087939</v>
      </c>
      <c r="AA313" s="170">
        <f>IF(Escenarios!$E$14&gt;0,(Escenarios!$E$13*L313+Escenarios!$E$14*W313)/(Escenarios!$E$16),L313)</f>
        <v>1.9754440358437624</v>
      </c>
      <c r="AB313" s="170">
        <f>IF(Escenarios!$E$14&gt;0,(Escenarios!$E$14*Y313)/(Escenarios!$E$16),K313)</f>
        <v>0</v>
      </c>
      <c r="AC313" s="170">
        <f>IF(Escenarios!$E$14&gt;0,(Escenarios!$E$13*M313+Escenarios!$E$14*U313)/(Escenarios!$E$16),M313)</f>
        <v>0</v>
      </c>
      <c r="AD313" s="76">
        <f t="shared" si="57"/>
        <v>64.515163951718222</v>
      </c>
      <c r="AE313" s="76">
        <f>MAX(0,(AD313-Constantes!$D$13)*(1-EXP(-Constantes!$D$23)))</f>
        <v>0.15533791538578426</v>
      </c>
      <c r="AF313" s="76">
        <f>AB313+O313*Escenarios!$E$13/Escenarios!$E$16+AE313</f>
        <v>0.53159046065739124</v>
      </c>
      <c r="AG313" s="76">
        <f>IF(Entradas!$E$91&gt;0,IF(AF313-Escenarios!$E$38&lt;=0,0,IF(AF313-Escenarios!$E$38&gt;Escenarios!$E$37,Escenarios!$E$37,AF313-Escenarios!$E$38)),0)</f>
        <v>0</v>
      </c>
      <c r="AH313" s="76">
        <f>AG313*Entradas!$E$99</f>
        <v>0</v>
      </c>
      <c r="AI313" s="76">
        <f>IF(Entradas!$E$91&gt;0,D313*Entradas!$D$23/Escenarios!$E$16,0)</f>
        <v>0</v>
      </c>
      <c r="AJ313" s="76">
        <f>IF(Entradas!$E$91&gt;0,Entradas!$D$24*Entradas!$D$22/Escenarios!$E$16,0)</f>
        <v>0</v>
      </c>
      <c r="AK313" s="76">
        <f t="shared" si="66"/>
        <v>1.9754440358437624</v>
      </c>
      <c r="AL313" s="76">
        <f t="shared" si="67"/>
        <v>0</v>
      </c>
      <c r="AM313" s="76">
        <f t="shared" si="58"/>
        <v>0</v>
      </c>
      <c r="AN313" s="76">
        <f>MAX(0,O313*Escenarios!$E$13/Escenarios!$E$16-AM313)</f>
        <v>0.37625254527160695</v>
      </c>
      <c r="AO313" s="76">
        <f>AM313+AN313-O313*Escenarios!$E$13/Escenarios!$E$16</f>
        <v>0</v>
      </c>
      <c r="AP313" s="76">
        <f t="shared" si="56"/>
        <v>0.15533791538578426</v>
      </c>
      <c r="AQ313" s="76">
        <f t="shared" si="59"/>
        <v>0</v>
      </c>
      <c r="AR313" s="76">
        <f t="shared" si="60"/>
        <v>0.53159046065739124</v>
      </c>
      <c r="AS313" s="76">
        <f t="shared" si="61"/>
        <v>0</v>
      </c>
      <c r="AT313" s="76">
        <f t="shared" si="62"/>
        <v>0</v>
      </c>
      <c r="AU313" s="76">
        <f t="shared" si="63"/>
        <v>48.75</v>
      </c>
      <c r="AV313" s="76">
        <f>MAX(0,(AU313-Constantes!$D$13)*(1-EXP(-Constantes!$D$24)))</f>
        <v>0</v>
      </c>
      <c r="AW313" s="170">
        <f>AW312+(Entradas!$E$112*AT313-AX312)/(800*Entradas!$D$25)</f>
        <v>0</v>
      </c>
      <c r="AX313" s="170">
        <f>8000*Entradas!$D$26*AW313/Constantes!$E$45</f>
        <v>0</v>
      </c>
      <c r="AY313" s="170">
        <f>IF(Escenarios!$E$17&gt;0,10*Escenarios!$E$16*AL313,0)</f>
        <v>0</v>
      </c>
      <c r="AZ313" s="170">
        <f>IF(Escenarios!$E$17&gt;0,10*Escenarios!$E$16*AX313,0)</f>
        <v>0</v>
      </c>
      <c r="BA313" s="170">
        <f>IF(Escenarios!$E$17&gt;0,0.001*Observaciones!$F312*Escenarios!$E$17,0)</f>
        <v>0</v>
      </c>
      <c r="BB313" s="170">
        <f>IF(Escenarios!$E$17&gt;0,Observaciones!$K312,0)</f>
        <v>0</v>
      </c>
      <c r="BC313" s="170">
        <f>IF(Escenarios!$E$17&gt;0,MIN(0.0005*ETo!$M312*Escenarios!$E$17*(BG312/Constantes!$E$40)^(2/3),BG312+AY313+AZ313+BA313+BB313),0)</f>
        <v>13.840503983006336</v>
      </c>
      <c r="BD313" s="170">
        <f>IF(Escenarios!$E$17&gt;0,MIN(Constantes!$E$39*(BG312/Constantes!$E$40)^(2/3),BG312+AY313+AZ313+BA313+BB313-BC313),0)</f>
        <v>21.919303196525167</v>
      </c>
      <c r="BE313" s="170">
        <f>IF(Escenarios!$E$17&gt;0,MIN(Entradas!$E$113,BG312+AY313+AZ313+BA313+BB313-BC313-BD313),0)</f>
        <v>1</v>
      </c>
      <c r="BF313" s="170">
        <f>IF(Escenarios!$E$17&gt;0,MAX(0,BG312+AY313+AZ313+BA313+BB313-BC313-BD313-BE313-Constantes!$E$40),0)</f>
        <v>0</v>
      </c>
      <c r="BG313" s="170">
        <f t="shared" si="68"/>
        <v>919.36343724028882</v>
      </c>
      <c r="BH313" s="170">
        <f>(Escenarios!$E$16*AK313+0.1*BC313)/(Escenarios!$E$19)</f>
        <v>1.9652581720604811</v>
      </c>
      <c r="BI313" s="170">
        <f>IF(Escenarios!$E$17&gt;0,BF313/10/Escenarios!$E$19,AL313)</f>
        <v>0</v>
      </c>
      <c r="BJ313" s="170">
        <f>(Escenarios!$E$16*AT313+0.1*BD313)/(Escenarios!$E$19)</f>
        <v>8.6981361890972886E-3</v>
      </c>
      <c r="BK313" s="76">
        <f>BK312+(0.1*BD313)/(Escenarios!$E$19)-BL312</f>
        <v>49.484614628894683</v>
      </c>
      <c r="BL313" s="76">
        <f>MAX(0,(BK313-Constantes!$D$13)*(1-EXP(-Constantes!$D$23)))</f>
        <v>7.2383329100719216E-3</v>
      </c>
      <c r="BM313" s="76">
        <f t="shared" si="64"/>
        <v>0.16257624829585618</v>
      </c>
      <c r="BN313" s="76">
        <f t="shared" si="69"/>
        <v>0.53882879356746316</v>
      </c>
      <c r="BO313" s="76">
        <f>0.0526*BI313*Observaciones!$F312^1.218</f>
        <v>0</v>
      </c>
      <c r="BP313" s="76">
        <f>BO313*Constantes!$E$51</f>
        <v>0</v>
      </c>
      <c r="BQ313" s="76">
        <f t="shared" si="65"/>
        <v>0</v>
      </c>
      <c r="BR313" s="40"/>
    </row>
    <row r="314" spans="1:70">
      <c r="A314" s="147"/>
      <c r="B314" s="39"/>
      <c r="C314" s="75">
        <v>308</v>
      </c>
      <c r="D314" s="146">
        <f>ETo!$I313*((1-Constantes!$E$19)*ETo!$K313+ETo!$L313)</f>
        <v>4.3850756661278645</v>
      </c>
      <c r="E314" s="76">
        <f>MIN(D314*Constantes!$E$17,0.8*(N313+Observaciones!$F313-F314-M314-Constantes!$D$14))</f>
        <v>2.1439174868350666</v>
      </c>
      <c r="F314" s="76">
        <f>IF(Observaciones!$F313&gt;0.05*Constantes!$E$18,((Observaciones!$F313-0.05*Constantes!$E$18)^2)/(Observaciones!$F313+0.95*Constantes!$E$18),0)</f>
        <v>0</v>
      </c>
      <c r="G314" s="76">
        <f>IF(Escenarios!$E$11&gt;0,(F314*Escenarios!$E$16*10000)/1000,0)</f>
        <v>0</v>
      </c>
      <c r="H314" s="76">
        <f>IF(Escenarios!$E$11&gt;0,(Observaciones!$F313*Constantes!$E$29)/1000,0)</f>
        <v>26</v>
      </c>
      <c r="I314" s="76">
        <f>IF(Escenarios!$E$11&gt;0,(D314*Constantes!$E$29)/1000,0)</f>
        <v>43.850756661278645</v>
      </c>
      <c r="J314" s="76">
        <f>IF(Escenarios!$E$11&gt;0,MAX(0,G314+H314-I314),0)</f>
        <v>0</v>
      </c>
      <c r="K314" s="76">
        <f>IF(Escenarios!$E$11&gt;0,IF(J314&gt;Constantes!$E$30,1000*((J314-Constantes!$E$30)/(Escenarios!$E$16*10000)),0),F314)</f>
        <v>0</v>
      </c>
      <c r="L314" s="76">
        <f>IF(Escenarios!$E$11&gt;0,I314*1000/Escenarios!$E$16/10000+E314,E314)</f>
        <v>2.1614577894995781</v>
      </c>
      <c r="M314" s="76">
        <f>MAX(0,N313+Observaciones!$F313-K314-Constantes!$D$13)</f>
        <v>0</v>
      </c>
      <c r="N314" s="76">
        <f>N313+Observaciones!$F313-K314-L314-M314-O313</f>
        <v>23.812762652860989</v>
      </c>
      <c r="O314" s="76">
        <f>MAX(0,(N314-Constantes!$D$14)*(1-EXP(-Constantes!$D$22)))</f>
        <v>0.42793381480229087</v>
      </c>
      <c r="P314" s="170">
        <f>P313+(Entradas!$E$83*M314-Q313)/(800*Entradas!$D$25)</f>
        <v>0</v>
      </c>
      <c r="Q314" s="170">
        <f>8000*Entradas!$D$26*P314/Constantes!$E$45</f>
        <v>0</v>
      </c>
      <c r="R314" s="170">
        <f>IF(Escenarios!$E$14&gt;0,K314*Escenarios!$E$13/Escenarios!$E$14,0)</f>
        <v>0</v>
      </c>
      <c r="S314" s="170">
        <f>IF(Escenarios!$E$14&gt;0,Q314*Escenarios!$E$13/Escenarios!$E$14,0)</f>
        <v>0</v>
      </c>
      <c r="T314" s="170">
        <f>IF(Escenarios!$E$14&gt;0,Observaciones!$I313,0)</f>
        <v>0</v>
      </c>
      <c r="U314" s="170">
        <f>IF(Escenarios!$E$14&gt;0,MAX(0,Constantes!$E$36/((Z313+R314+S314+T314+Observaciones!$F313)^2)+Entradas!$E$77),0)</f>
        <v>0</v>
      </c>
      <c r="V314" s="146">
        <f>IF(ETo!D313&gt;0,ETo!I313*((1-Entradas!$E$81)*ETo!K313+ETo!L313),0)</f>
        <v>4.0072004847457352</v>
      </c>
      <c r="W314" s="170">
        <f>IF(Escenarios!$E$14&gt;0,MIN(V314*1,0.8*(Z313+R314+S314+T314+Observaciones!$F313-U314-Constantes!$E$35)),0)</f>
        <v>2.1558012144703524</v>
      </c>
      <c r="X314" s="170">
        <f>IF(Escenarios!$E$14&gt;0,Observaciones!$J313,0)</f>
        <v>0</v>
      </c>
      <c r="Y314" s="170">
        <f>IF(Escenarios!$E$14&gt;0,MAX(0,Z313+R314+S314+T314+Observaciones!$F313-U314-W314-X314-Constantes!$E$33),0)</f>
        <v>0</v>
      </c>
      <c r="Z314" s="170">
        <f>Z313+R314+S314+T314+Observaciones!$F313-U314-W314-Y314</f>
        <v>41.78895030361759</v>
      </c>
      <c r="AA314" s="170">
        <f>IF(Escenarios!$E$14&gt;0,(Escenarios!$E$13*L314+Escenarios!$E$14*W314)/(Escenarios!$E$16),L314)</f>
        <v>2.160779000496071</v>
      </c>
      <c r="AB314" s="170">
        <f>IF(Escenarios!$E$14&gt;0,(Escenarios!$E$14*Y314)/(Escenarios!$E$16),K314)</f>
        <v>0</v>
      </c>
      <c r="AC314" s="170">
        <f>IF(Escenarios!$E$14&gt;0,(Escenarios!$E$13*M314+Escenarios!$E$14*U314)/(Escenarios!$E$16),M314)</f>
        <v>0</v>
      </c>
      <c r="AD314" s="76">
        <f t="shared" si="57"/>
        <v>64.359826036332436</v>
      </c>
      <c r="AE314" s="76">
        <f>MAX(0,(AD314-Constantes!$D$13)*(1-EXP(-Constantes!$D$23)))</f>
        <v>0.1538073339068792</v>
      </c>
      <c r="AF314" s="76">
        <f>AB314+O314*Escenarios!$E$13/Escenarios!$E$16+AE314</f>
        <v>0.53038909093289521</v>
      </c>
      <c r="AG314" s="76">
        <f>IF(Entradas!$E$91&gt;0,IF(AF314-Escenarios!$E$38&lt;=0,0,IF(AF314-Escenarios!$E$38&gt;Escenarios!$E$37,Escenarios!$E$37,AF314-Escenarios!$E$38)),0)</f>
        <v>0</v>
      </c>
      <c r="AH314" s="76">
        <f>AG314*Entradas!$E$99</f>
        <v>0</v>
      </c>
      <c r="AI314" s="76">
        <f>IF(Entradas!$E$91&gt;0,D314*Entradas!$D$23/Escenarios!$E$16,0)</f>
        <v>0</v>
      </c>
      <c r="AJ314" s="76">
        <f>IF(Entradas!$E$91&gt;0,Entradas!$D$24*Entradas!$D$22/Escenarios!$E$16,0)</f>
        <v>0</v>
      </c>
      <c r="AK314" s="76">
        <f t="shared" si="66"/>
        <v>2.160779000496071</v>
      </c>
      <c r="AL314" s="76">
        <f t="shared" si="67"/>
        <v>0</v>
      </c>
      <c r="AM314" s="76">
        <f t="shared" si="58"/>
        <v>0</v>
      </c>
      <c r="AN314" s="76">
        <f>MAX(0,O314*Escenarios!$E$13/Escenarios!$E$16-AM314)</f>
        <v>0.37658175702601598</v>
      </c>
      <c r="AO314" s="76">
        <f>AM314+AN314-O314*Escenarios!$E$13/Escenarios!$E$16</f>
        <v>0</v>
      </c>
      <c r="AP314" s="76">
        <f t="shared" si="56"/>
        <v>0.1538073339068792</v>
      </c>
      <c r="AQ314" s="76">
        <f t="shared" si="59"/>
        <v>0</v>
      </c>
      <c r="AR314" s="76">
        <f t="shared" si="60"/>
        <v>0.53038909093289521</v>
      </c>
      <c r="AS314" s="76">
        <f t="shared" si="61"/>
        <v>0</v>
      </c>
      <c r="AT314" s="76">
        <f t="shared" si="62"/>
        <v>0</v>
      </c>
      <c r="AU314" s="76">
        <f t="shared" si="63"/>
        <v>48.75</v>
      </c>
      <c r="AV314" s="76">
        <f>MAX(0,(AU314-Constantes!$D$13)*(1-EXP(-Constantes!$D$24)))</f>
        <v>0</v>
      </c>
      <c r="AW314" s="170">
        <f>AW313+(Entradas!$E$112*AT314-AX313)/(800*Entradas!$D$25)</f>
        <v>0</v>
      </c>
      <c r="AX314" s="170">
        <f>8000*Entradas!$D$26*AW314/Constantes!$E$45</f>
        <v>0</v>
      </c>
      <c r="AY314" s="170">
        <f>IF(Escenarios!$E$17&gt;0,10*Escenarios!$E$16*AL314,0)</f>
        <v>0</v>
      </c>
      <c r="AZ314" s="170">
        <f>IF(Escenarios!$E$17&gt;0,10*Escenarios!$E$16*AX314,0)</f>
        <v>0</v>
      </c>
      <c r="BA314" s="170">
        <f>IF(Escenarios!$E$17&gt;0,0.001*Observaciones!$F313*Escenarios!$E$17,0)</f>
        <v>52.000000000000007</v>
      </c>
      <c r="BB314" s="170">
        <f>IF(Escenarios!$E$17&gt;0,Observaciones!$K313,0)</f>
        <v>0</v>
      </c>
      <c r="BC314" s="170">
        <f>IF(Escenarios!$E$17&gt;0,MIN(0.0005*ETo!$M313*Escenarios!$E$17*(BG313/Constantes!$E$40)^(2/3),BG313+AY314+AZ314+BA314+BB314),0)</f>
        <v>13.291883186967164</v>
      </c>
      <c r="BD314" s="170">
        <f>IF(Escenarios!$E$17&gt;0,MIN(Constantes!$E$39*(BG313/Constantes!$E$40)^(2/3),BG313+AY314+AZ314+BA314+BB314-BC314),0)</f>
        <v>21.353823318079147</v>
      </c>
      <c r="BE314" s="170">
        <f>IF(Escenarios!$E$17&gt;0,MIN(Entradas!$E$113,BG313+AY314+AZ314+BA314+BB314-BC314-BD314),0)</f>
        <v>1</v>
      </c>
      <c r="BF314" s="170">
        <f>IF(Escenarios!$E$17&gt;0,MAX(0,BG313+AY314+AZ314+BA314+BB314-BC314-BD314-BE314-Constantes!$E$40),0)</f>
        <v>0</v>
      </c>
      <c r="BG314" s="170">
        <f t="shared" si="68"/>
        <v>935.71773073524253</v>
      </c>
      <c r="BH314" s="170">
        <f>(Escenarios!$E$16*AK314+0.1*BC314)/(Escenarios!$E$19)</f>
        <v>2.1489045176298198</v>
      </c>
      <c r="BI314" s="170">
        <f>IF(Escenarios!$E$17&gt;0,BF314/10/Escenarios!$E$19,AL314)</f>
        <v>0</v>
      </c>
      <c r="BJ314" s="170">
        <f>(Escenarios!$E$16*AT314+0.1*BD314)/(Escenarios!$E$19)</f>
        <v>8.4737394119361702E-3</v>
      </c>
      <c r="BK314" s="76">
        <f>BK313+(0.1*BD314)/(Escenarios!$E$19)-BL313</f>
        <v>49.485850035396545</v>
      </c>
      <c r="BL314" s="76">
        <f>MAX(0,(BK314-Constantes!$D$13)*(1-EXP(-Constantes!$D$23)))</f>
        <v>7.250505664585679E-3</v>
      </c>
      <c r="BM314" s="76">
        <f t="shared" si="64"/>
        <v>0.16105783957146488</v>
      </c>
      <c r="BN314" s="76">
        <f t="shared" si="69"/>
        <v>0.53763959659748084</v>
      </c>
      <c r="BO314" s="76">
        <f>0.0526*BI314*Observaciones!$F313^1.218</f>
        <v>0</v>
      </c>
      <c r="BP314" s="76">
        <f>BO314*Constantes!$E$51</f>
        <v>0</v>
      </c>
      <c r="BQ314" s="76">
        <f t="shared" si="65"/>
        <v>0</v>
      </c>
      <c r="BR314" s="40"/>
    </row>
    <row r="315" spans="1:70">
      <c r="A315" s="147"/>
      <c r="B315" s="39"/>
      <c r="C315" s="75">
        <v>309</v>
      </c>
      <c r="D315" s="146">
        <f>ETo!$I314*((1-Constantes!$E$19)*ETo!$K314+ETo!$L314)</f>
        <v>4.5099723758777213</v>
      </c>
      <c r="E315" s="76">
        <f>MIN(D315*Constantes!$E$17,0.8*(N314+Observaciones!$F314-F315-M315-Constantes!$D$14))</f>
        <v>2.204981026091466</v>
      </c>
      <c r="F315" s="76">
        <f>IF(Observaciones!$F314&gt;0.05*Constantes!$E$18,((Observaciones!$F314-0.05*Constantes!$E$18)^2)/(Observaciones!$F314+0.95*Constantes!$E$18),0)</f>
        <v>0</v>
      </c>
      <c r="G315" s="76">
        <f>IF(Escenarios!$E$11&gt;0,(F315*Escenarios!$E$16*10000)/1000,0)</f>
        <v>0</v>
      </c>
      <c r="H315" s="76">
        <f>IF(Escenarios!$E$11&gt;0,(Observaciones!$F314*Constantes!$E$29)/1000,0)</f>
        <v>11</v>
      </c>
      <c r="I315" s="76">
        <f>IF(Escenarios!$E$11&gt;0,(D315*Constantes!$E$29)/1000,0)</f>
        <v>45.099723758777209</v>
      </c>
      <c r="J315" s="76">
        <f>IF(Escenarios!$E$11&gt;0,MAX(0,G315+H315-I315),0)</f>
        <v>0</v>
      </c>
      <c r="K315" s="76">
        <f>IF(Escenarios!$E$11&gt;0,IF(J315&gt;Constantes!$E$30,1000*((J315-Constantes!$E$30)/(Escenarios!$E$16*10000)),0),F315)</f>
        <v>0</v>
      </c>
      <c r="L315" s="76">
        <f>IF(Escenarios!$E$11&gt;0,I315*1000/Escenarios!$E$16/10000+E315,E315)</f>
        <v>2.2230209155949767</v>
      </c>
      <c r="M315" s="76">
        <f>MAX(0,N314+Observaciones!$F314-K315-Constantes!$D$13)</f>
        <v>0</v>
      </c>
      <c r="N315" s="76">
        <f>N314+Observaciones!$F314-K315-L315-M315-O314</f>
        <v>22.261807922463724</v>
      </c>
      <c r="O315" s="76">
        <f>MAX(0,(N315-Constantes!$D$14)*(1-EXP(-Constantes!$D$22)))</f>
        <v>0.37510260301358361</v>
      </c>
      <c r="P315" s="170">
        <f>P314+(Entradas!$E$83*M315-Q314)/(800*Entradas!$D$25)</f>
        <v>0</v>
      </c>
      <c r="Q315" s="170">
        <f>8000*Entradas!$D$26*P315/Constantes!$E$45</f>
        <v>0</v>
      </c>
      <c r="R315" s="170">
        <f>IF(Escenarios!$E$14&gt;0,K315*Escenarios!$E$13/Escenarios!$E$14,0)</f>
        <v>0</v>
      </c>
      <c r="S315" s="170">
        <f>IF(Escenarios!$E$14&gt;0,Q315*Escenarios!$E$13/Escenarios!$E$14,0)</f>
        <v>0</v>
      </c>
      <c r="T315" s="170">
        <f>IF(Escenarios!$E$14&gt;0,Observaciones!$I314,0)</f>
        <v>0</v>
      </c>
      <c r="U315" s="170">
        <f>IF(Escenarios!$E$14&gt;0,MAX(0,Constantes!$E$36/((Z314+R315+S315+T315+Observaciones!$F314)^2)+Entradas!$E$77),0)</f>
        <v>0</v>
      </c>
      <c r="V315" s="146">
        <f>IF(ETo!D314&gt;0,ETo!I314*((1-Entradas!$E$81)*ETo!K314+ETo!L314),0)</f>
        <v>4.1230185471755991</v>
      </c>
      <c r="W315" s="170">
        <f>IF(Escenarios!$E$14&gt;0,MIN(V315*1,0.8*(Z314+R315+S315+T315+Observaciones!$F314-U315-Constantes!$E$35)),0)</f>
        <v>1.311160242894073</v>
      </c>
      <c r="X315" s="170">
        <f>IF(Escenarios!$E$14&gt;0,Observaciones!$J314,0)</f>
        <v>0</v>
      </c>
      <c r="Y315" s="170">
        <f>IF(Escenarios!$E$14&gt;0,MAX(0,Z314+R315+S315+T315+Observaciones!$F314-U315-W315-X315-Constantes!$E$33),0)</f>
        <v>0</v>
      </c>
      <c r="Z315" s="170">
        <f>Z314+R315+S315+T315+Observaciones!$F314-U315-W315-Y315</f>
        <v>41.577790060723515</v>
      </c>
      <c r="AA315" s="170">
        <f>IF(Escenarios!$E$14&gt;0,(Escenarios!$E$13*L315+Escenarios!$E$14*W315)/(Escenarios!$E$16),L315)</f>
        <v>2.1135976348708683</v>
      </c>
      <c r="AB315" s="170">
        <f>IF(Escenarios!$E$14&gt;0,(Escenarios!$E$14*Y315)/(Escenarios!$E$16),K315)</f>
        <v>0</v>
      </c>
      <c r="AC315" s="170">
        <f>IF(Escenarios!$E$14&gt;0,(Escenarios!$E$13*M315+Escenarios!$E$14*U315)/(Escenarios!$E$16),M315)</f>
        <v>0</v>
      </c>
      <c r="AD315" s="76">
        <f t="shared" si="57"/>
        <v>64.206018702425553</v>
      </c>
      <c r="AE315" s="76">
        <f>MAX(0,(AD315-Constantes!$D$13)*(1-EXP(-Constantes!$D$23)))</f>
        <v>0.1522918336118419</v>
      </c>
      <c r="AF315" s="76">
        <f>AB315+O315*Escenarios!$E$13/Escenarios!$E$16+AE315</f>
        <v>0.48238212426379545</v>
      </c>
      <c r="AG315" s="76">
        <f>IF(Entradas!$E$91&gt;0,IF(AF315-Escenarios!$E$38&lt;=0,0,IF(AF315-Escenarios!$E$38&gt;Escenarios!$E$37,Escenarios!$E$37,AF315-Escenarios!$E$38)),0)</f>
        <v>0</v>
      </c>
      <c r="AH315" s="76">
        <f>AG315*Entradas!$E$99</f>
        <v>0</v>
      </c>
      <c r="AI315" s="76">
        <f>IF(Entradas!$E$91&gt;0,D315*Entradas!$D$23/Escenarios!$E$16,0)</f>
        <v>0</v>
      </c>
      <c r="AJ315" s="76">
        <f>IF(Entradas!$E$91&gt;0,Entradas!$D$24*Entradas!$D$22/Escenarios!$E$16,0)</f>
        <v>0</v>
      </c>
      <c r="AK315" s="76">
        <f t="shared" si="66"/>
        <v>2.1135976348708683</v>
      </c>
      <c r="AL315" s="76">
        <f t="shared" si="67"/>
        <v>0</v>
      </c>
      <c r="AM315" s="76">
        <f t="shared" si="58"/>
        <v>0</v>
      </c>
      <c r="AN315" s="76">
        <f>MAX(0,O315*Escenarios!$E$13/Escenarios!$E$16-AM315)</f>
        <v>0.33009029065195356</v>
      </c>
      <c r="AO315" s="76">
        <f>AM315+AN315-O315*Escenarios!$E$13/Escenarios!$E$16</f>
        <v>0</v>
      </c>
      <c r="AP315" s="76">
        <f t="shared" si="56"/>
        <v>0.1522918336118419</v>
      </c>
      <c r="AQ315" s="76">
        <f t="shared" si="59"/>
        <v>0</v>
      </c>
      <c r="AR315" s="76">
        <f t="shared" si="60"/>
        <v>0.48238212426379545</v>
      </c>
      <c r="AS315" s="76">
        <f t="shared" si="61"/>
        <v>0</v>
      </c>
      <c r="AT315" s="76">
        <f t="shared" si="62"/>
        <v>0</v>
      </c>
      <c r="AU315" s="76">
        <f t="shared" si="63"/>
        <v>48.75</v>
      </c>
      <c r="AV315" s="76">
        <f>MAX(0,(AU315-Constantes!$D$13)*(1-EXP(-Constantes!$D$24)))</f>
        <v>0</v>
      </c>
      <c r="AW315" s="170">
        <f>AW314+(Entradas!$E$112*AT315-AX314)/(800*Entradas!$D$25)</f>
        <v>0</v>
      </c>
      <c r="AX315" s="170">
        <f>8000*Entradas!$D$26*AW315/Constantes!$E$45</f>
        <v>0</v>
      </c>
      <c r="AY315" s="170">
        <f>IF(Escenarios!$E$17&gt;0,10*Escenarios!$E$16*AL315,0)</f>
        <v>0</v>
      </c>
      <c r="AZ315" s="170">
        <f>IF(Escenarios!$E$17&gt;0,10*Escenarios!$E$16*AX315,0)</f>
        <v>0</v>
      </c>
      <c r="BA315" s="170">
        <f>IF(Escenarios!$E$17&gt;0,0.001*Observaciones!$F314*Escenarios!$E$17,0)</f>
        <v>22</v>
      </c>
      <c r="BB315" s="170">
        <f>IF(Escenarios!$E$17&gt;0,Observaciones!$K314,0)</f>
        <v>0</v>
      </c>
      <c r="BC315" s="170">
        <f>IF(Escenarios!$E$17&gt;0,MIN(0.0005*ETo!$M314*Escenarios!$E$17*(BG314/Constantes!$E$40)^(2/3),BG314+AY315+AZ315+BA315+BB315),0)</f>
        <v>13.824951753604436</v>
      </c>
      <c r="BD315" s="170">
        <f>IF(Escenarios!$E$17&gt;0,MIN(Constantes!$E$39*(BG314/Constantes!$E$40)^(2/3),BG314+AY315+AZ315+BA315+BB315-BC315),0)</f>
        <v>21.60631643759384</v>
      </c>
      <c r="BE315" s="170">
        <f>IF(Escenarios!$E$17&gt;0,MIN(Entradas!$E$113,BG314+AY315+AZ315+BA315+BB315-BC315-BD315),0)</f>
        <v>1</v>
      </c>
      <c r="BF315" s="170">
        <f>IF(Escenarios!$E$17&gt;0,MAX(0,BG314+AY315+AZ315+BA315+BB315-BC315-BD315-BE315-Constantes!$E$40),0)</f>
        <v>0</v>
      </c>
      <c r="BG315" s="170">
        <f t="shared" si="68"/>
        <v>921.2864625440443</v>
      </c>
      <c r="BH315" s="170">
        <f>(Escenarios!$E$16*AK315+0.1*BC315)/(Escenarios!$E$19)</f>
        <v>2.1023091424328473</v>
      </c>
      <c r="BI315" s="170">
        <f>IF(Escenarios!$E$17&gt;0,BF315/10/Escenarios!$E$19,AL315)</f>
        <v>0</v>
      </c>
      <c r="BJ315" s="170">
        <f>(Escenarios!$E$16*AT315+0.1*BD315)/(Escenarios!$E$19)</f>
        <v>8.57393509428327E-3</v>
      </c>
      <c r="BK315" s="76">
        <f>BK314+(0.1*BD315)/(Escenarios!$E$19)-BL314</f>
        <v>49.487173464826242</v>
      </c>
      <c r="BL315" s="76">
        <f>MAX(0,(BK315-Constantes!$D$13)*(1-EXP(-Constantes!$D$23)))</f>
        <v>7.2635457299728094E-3</v>
      </c>
      <c r="BM315" s="76">
        <f t="shared" si="64"/>
        <v>0.15955537934181471</v>
      </c>
      <c r="BN315" s="76">
        <f t="shared" si="69"/>
        <v>0.48964566999376824</v>
      </c>
      <c r="BO315" s="76">
        <f>0.0526*BI315*Observaciones!$F314^1.218</f>
        <v>0</v>
      </c>
      <c r="BP315" s="76">
        <f>BO315*Constantes!$E$51</f>
        <v>0</v>
      </c>
      <c r="BQ315" s="76">
        <f t="shared" si="65"/>
        <v>0</v>
      </c>
      <c r="BR315" s="40"/>
    </row>
    <row r="316" spans="1:70">
      <c r="A316" s="147"/>
      <c r="B316" s="39"/>
      <c r="C316" s="75">
        <v>310</v>
      </c>
      <c r="D316" s="146">
        <f>ETo!$I315*((1-Constantes!$E$19)*ETo!$K315+ETo!$L315)</f>
        <v>4.4587996149815732</v>
      </c>
      <c r="E316" s="76">
        <f>MIN(D316*Constantes!$E$17,0.8*(N315+Observaciones!$F315-F316-M316-Constantes!$D$14))</f>
        <v>2.179962033196468</v>
      </c>
      <c r="F316" s="76">
        <f>IF(Observaciones!$F315&gt;0.05*Constantes!$E$18,((Observaciones!$F315-0.05*Constantes!$E$18)^2)/(Observaciones!$F315+0.95*Constantes!$E$18),0)</f>
        <v>0</v>
      </c>
      <c r="G316" s="76">
        <f>IF(Escenarios!$E$11&gt;0,(F316*Escenarios!$E$16*10000)/1000,0)</f>
        <v>0</v>
      </c>
      <c r="H316" s="76">
        <f>IF(Escenarios!$E$11&gt;0,(Observaciones!$F315*Constantes!$E$29)/1000,0)</f>
        <v>1</v>
      </c>
      <c r="I316" s="76">
        <f>IF(Escenarios!$E$11&gt;0,(D316*Constantes!$E$29)/1000,0)</f>
        <v>44.587996149815737</v>
      </c>
      <c r="J316" s="76">
        <f>IF(Escenarios!$E$11&gt;0,MAX(0,G316+H316-I316),0)</f>
        <v>0</v>
      </c>
      <c r="K316" s="76">
        <f>IF(Escenarios!$E$11&gt;0,IF(J316&gt;Constantes!$E$30,1000*((J316-Constantes!$E$30)/(Escenarios!$E$16*10000)),0),F316)</f>
        <v>0</v>
      </c>
      <c r="L316" s="76">
        <f>IF(Escenarios!$E$11&gt;0,I316*1000/Escenarios!$E$16/10000+E316,E316)</f>
        <v>2.1977972316563941</v>
      </c>
      <c r="M316" s="76">
        <f>MAX(0,N315+Observaciones!$F315-K316-Constantes!$D$13)</f>
        <v>0</v>
      </c>
      <c r="N316" s="76">
        <f>N315+Observaciones!$F315-K316-L316-M316-O315</f>
        <v>19.788908087793747</v>
      </c>
      <c r="O316" s="76">
        <f>MAX(0,(N316-Constantes!$D$14)*(1-EXP(-Constantes!$D$22)))</f>
        <v>0.29086655644358184</v>
      </c>
      <c r="P316" s="170">
        <f>P315+(Entradas!$E$83*M316-Q315)/(800*Entradas!$D$25)</f>
        <v>0</v>
      </c>
      <c r="Q316" s="170">
        <f>8000*Entradas!$D$26*P316/Constantes!$E$45</f>
        <v>0</v>
      </c>
      <c r="R316" s="170">
        <f>IF(Escenarios!$E$14&gt;0,K316*Escenarios!$E$13/Escenarios!$E$14,0)</f>
        <v>0</v>
      </c>
      <c r="S316" s="170">
        <f>IF(Escenarios!$E$14&gt;0,Q316*Escenarios!$E$13/Escenarios!$E$14,0)</f>
        <v>0</v>
      </c>
      <c r="T316" s="170">
        <f>IF(Escenarios!$E$14&gt;0,Observaciones!$I315,0)</f>
        <v>0</v>
      </c>
      <c r="U316" s="170">
        <f>IF(Escenarios!$E$14&gt;0,MAX(0,Constantes!$E$36/((Z315+R316+S316+T316+Observaciones!$F315)^2)+Entradas!$E$77),0)</f>
        <v>0</v>
      </c>
      <c r="V316" s="146">
        <f>IF(ETo!D315&gt;0,ETo!I315*((1-Entradas!$E$81)*ETo!K315+ETo!L315),0)</f>
        <v>4.075562721385583</v>
      </c>
      <c r="W316" s="170">
        <f>IF(Escenarios!$E$14&gt;0,MIN(V316*1,0.8*(Z315+R316+S316+T316+Observaciones!$F315-U316-Constantes!$E$35)),0)</f>
        <v>0.34223204857881345</v>
      </c>
      <c r="X316" s="170">
        <f>IF(Escenarios!$E$14&gt;0,Observaciones!$J315,0)</f>
        <v>0</v>
      </c>
      <c r="Y316" s="170">
        <f>IF(Escenarios!$E$14&gt;0,MAX(0,Z315+R316+S316+T316+Observaciones!$F315-U316-W316-X316-Constantes!$E$33),0)</f>
        <v>0</v>
      </c>
      <c r="Z316" s="170">
        <f>Z315+R316+S316+T316+Observaciones!$F315-U316-W316-Y316</f>
        <v>41.335558012144702</v>
      </c>
      <c r="AA316" s="170">
        <f>IF(Escenarios!$E$14&gt;0,(Escenarios!$E$13*L316+Escenarios!$E$14*W316)/(Escenarios!$E$16),L316)</f>
        <v>1.9751294096870844</v>
      </c>
      <c r="AB316" s="170">
        <f>IF(Escenarios!$E$14&gt;0,(Escenarios!$E$14*Y316)/(Escenarios!$E$16),K316)</f>
        <v>0</v>
      </c>
      <c r="AC316" s="170">
        <f>IF(Escenarios!$E$14&gt;0,(Escenarios!$E$13*M316+Escenarios!$E$14*U316)/(Escenarios!$E$16),M316)</f>
        <v>0</v>
      </c>
      <c r="AD316" s="76">
        <f t="shared" si="57"/>
        <v>64.053726868813712</v>
      </c>
      <c r="AE316" s="76">
        <f>MAX(0,(AD316-Constantes!$D$13)*(1-EXP(-Constantes!$D$23)))</f>
        <v>0.1507912659021757</v>
      </c>
      <c r="AF316" s="76">
        <f>AB316+O316*Escenarios!$E$13/Escenarios!$E$16+AE316</f>
        <v>0.40675383557252776</v>
      </c>
      <c r="AG316" s="76">
        <f>IF(Entradas!$E$91&gt;0,IF(AF316-Escenarios!$E$38&lt;=0,0,IF(AF316-Escenarios!$E$38&gt;Escenarios!$E$37,Escenarios!$E$37,AF316-Escenarios!$E$38)),0)</f>
        <v>0</v>
      </c>
      <c r="AH316" s="76">
        <f>AG316*Entradas!$E$99</f>
        <v>0</v>
      </c>
      <c r="AI316" s="76">
        <f>IF(Entradas!$E$91&gt;0,D316*Entradas!$D$23/Escenarios!$E$16,0)</f>
        <v>0</v>
      </c>
      <c r="AJ316" s="76">
        <f>IF(Entradas!$E$91&gt;0,Entradas!$D$24*Entradas!$D$22/Escenarios!$E$16,0)</f>
        <v>0</v>
      </c>
      <c r="AK316" s="76">
        <f t="shared" si="66"/>
        <v>1.9751294096870844</v>
      </c>
      <c r="AL316" s="76">
        <f t="shared" si="67"/>
        <v>0</v>
      </c>
      <c r="AM316" s="76">
        <f t="shared" si="58"/>
        <v>0</v>
      </c>
      <c r="AN316" s="76">
        <f>MAX(0,O316*Escenarios!$E$13/Escenarios!$E$16-AM316)</f>
        <v>0.25596256967035202</v>
      </c>
      <c r="AO316" s="76">
        <f>AM316+AN316-O316*Escenarios!$E$13/Escenarios!$E$16</f>
        <v>0</v>
      </c>
      <c r="AP316" s="76">
        <f t="shared" si="56"/>
        <v>0.1507912659021757</v>
      </c>
      <c r="AQ316" s="76">
        <f t="shared" si="59"/>
        <v>0</v>
      </c>
      <c r="AR316" s="76">
        <f t="shared" si="60"/>
        <v>0.40675383557252776</v>
      </c>
      <c r="AS316" s="76">
        <f t="shared" si="61"/>
        <v>0</v>
      </c>
      <c r="AT316" s="76">
        <f t="shared" si="62"/>
        <v>0</v>
      </c>
      <c r="AU316" s="76">
        <f t="shared" si="63"/>
        <v>48.75</v>
      </c>
      <c r="AV316" s="76">
        <f>MAX(0,(AU316-Constantes!$D$13)*(1-EXP(-Constantes!$D$24)))</f>
        <v>0</v>
      </c>
      <c r="AW316" s="170">
        <f>AW315+(Entradas!$E$112*AT316-AX315)/(800*Entradas!$D$25)</f>
        <v>0</v>
      </c>
      <c r="AX316" s="170">
        <f>8000*Entradas!$D$26*AW316/Constantes!$E$45</f>
        <v>0</v>
      </c>
      <c r="AY316" s="170">
        <f>IF(Escenarios!$E$17&gt;0,10*Escenarios!$E$16*AL316,0)</f>
        <v>0</v>
      </c>
      <c r="AZ316" s="170">
        <f>IF(Escenarios!$E$17&gt;0,10*Escenarios!$E$16*AX316,0)</f>
        <v>0</v>
      </c>
      <c r="BA316" s="170">
        <f>IF(Escenarios!$E$17&gt;0,0.001*Observaciones!$F315*Escenarios!$E$17,0)</f>
        <v>2</v>
      </c>
      <c r="BB316" s="170">
        <f>IF(Escenarios!$E$17&gt;0,Observaciones!$K315,0)</f>
        <v>0</v>
      </c>
      <c r="BC316" s="170">
        <f>IF(Escenarios!$E$17&gt;0,MIN(0.0005*ETo!$M315*Escenarios!$E$17*(BG315/Constantes!$E$40)^(2/3),BG315+AY316+AZ316+BA316+BB316),0)</f>
        <v>13.530023253015253</v>
      </c>
      <c r="BD316" s="170">
        <f>IF(Escenarios!$E$17&gt;0,MIN(Constantes!$E$39*(BG315/Constantes!$E$40)^(2/3),BG315+AY316+AZ316+BA316+BB316-BC316),0)</f>
        <v>21.383590030335839</v>
      </c>
      <c r="BE316" s="170">
        <f>IF(Escenarios!$E$17&gt;0,MIN(Entradas!$E$113,BG315+AY316+AZ316+BA316+BB316-BC316-BD316),0)</f>
        <v>1</v>
      </c>
      <c r="BF316" s="170">
        <f>IF(Escenarios!$E$17&gt;0,MAX(0,BG315+AY316+AZ316+BA316+BB316-BC316-BD316-BE316-Constantes!$E$40),0)</f>
        <v>0</v>
      </c>
      <c r="BG316" s="170">
        <f t="shared" si="68"/>
        <v>887.37284926069322</v>
      </c>
      <c r="BH316" s="170">
        <f>(Escenarios!$E$16*AK316+0.1*BC316)/(Escenarios!$E$19)</f>
        <v>1.9648228362979074</v>
      </c>
      <c r="BI316" s="170">
        <f>IF(Escenarios!$E$17&gt;0,BF316/10/Escenarios!$E$19,AL316)</f>
        <v>0</v>
      </c>
      <c r="BJ316" s="170">
        <f>(Escenarios!$E$16*AT316+0.1*BD316)/(Escenarios!$E$19)</f>
        <v>8.4855515993396188E-3</v>
      </c>
      <c r="BK316" s="76">
        <f>BK315+(0.1*BD316)/(Escenarios!$E$19)-BL315</f>
        <v>49.488395470695615</v>
      </c>
      <c r="BL316" s="76">
        <f>MAX(0,(BK316-Constantes!$D$13)*(1-EXP(-Constantes!$D$23)))</f>
        <v>7.2755864448628615E-3</v>
      </c>
      <c r="BM316" s="76">
        <f t="shared" si="64"/>
        <v>0.15806685234703857</v>
      </c>
      <c r="BN316" s="76">
        <f t="shared" si="69"/>
        <v>0.41402942201739062</v>
      </c>
      <c r="BO316" s="76">
        <f>0.0526*BI316*Observaciones!$F315^1.218</f>
        <v>0</v>
      </c>
      <c r="BP316" s="76">
        <f>BO316*Constantes!$E$51</f>
        <v>0</v>
      </c>
      <c r="BQ316" s="76">
        <f t="shared" si="65"/>
        <v>0</v>
      </c>
      <c r="BR316" s="40"/>
    </row>
    <row r="317" spans="1:70">
      <c r="A317" s="147"/>
      <c r="B317" s="39"/>
      <c r="C317" s="75">
        <v>311</v>
      </c>
      <c r="D317" s="146">
        <f>ETo!$I316*((1-Constantes!$E$19)*ETo!$K316+ETo!$L316)</f>
        <v>4.4390057689837299</v>
      </c>
      <c r="E317" s="76">
        <f>MIN(D317*Constantes!$E$17,0.8*(N316+Observaciones!$F316-F317-M317-Constantes!$D$14))</f>
        <v>2.1702845781654654</v>
      </c>
      <c r="F317" s="76">
        <f>IF(Observaciones!$F316&gt;0.05*Constantes!$E$18,((Observaciones!$F316-0.05*Constantes!$E$18)^2)/(Observaciones!$F316+0.95*Constantes!$E$18),0)</f>
        <v>0</v>
      </c>
      <c r="G317" s="76">
        <f>IF(Escenarios!$E$11&gt;0,(F317*Escenarios!$E$16*10000)/1000,0)</f>
        <v>0</v>
      </c>
      <c r="H317" s="76">
        <f>IF(Escenarios!$E$11&gt;0,(Observaciones!$F316*Constantes!$E$29)/1000,0)</f>
        <v>20</v>
      </c>
      <c r="I317" s="76">
        <f>IF(Escenarios!$E$11&gt;0,(D317*Constantes!$E$29)/1000,0)</f>
        <v>44.390057689837299</v>
      </c>
      <c r="J317" s="76">
        <f>IF(Escenarios!$E$11&gt;0,MAX(0,G317+H317-I317),0)</f>
        <v>0</v>
      </c>
      <c r="K317" s="76">
        <f>IF(Escenarios!$E$11&gt;0,IF(J317&gt;Constantes!$E$30,1000*((J317-Constantes!$E$30)/(Escenarios!$E$16*10000)),0),F317)</f>
        <v>0</v>
      </c>
      <c r="L317" s="76">
        <f>IF(Escenarios!$E$11&gt;0,I317*1000/Escenarios!$E$16/10000+E317,E317)</f>
        <v>2.1880406012414002</v>
      </c>
      <c r="M317" s="76">
        <f>MAX(0,N316+Observaciones!$F316-K317-Constantes!$D$13)</f>
        <v>0</v>
      </c>
      <c r="N317" s="76">
        <f>N316+Observaciones!$F316-K317-L317-M317-O316</f>
        <v>19.310000930108764</v>
      </c>
      <c r="O317" s="76">
        <f>MAX(0,(N317-Constantes!$D$14)*(1-EXP(-Constantes!$D$22)))</f>
        <v>0.27455322054866343</v>
      </c>
      <c r="P317" s="170">
        <f>P316+(Entradas!$E$83*M317-Q316)/(800*Entradas!$D$25)</f>
        <v>0</v>
      </c>
      <c r="Q317" s="170">
        <f>8000*Entradas!$D$26*P317/Constantes!$E$45</f>
        <v>0</v>
      </c>
      <c r="R317" s="170">
        <f>IF(Escenarios!$E$14&gt;0,K317*Escenarios!$E$13/Escenarios!$E$14,0)</f>
        <v>0</v>
      </c>
      <c r="S317" s="170">
        <f>IF(Escenarios!$E$14&gt;0,Q317*Escenarios!$E$13/Escenarios!$E$14,0)</f>
        <v>0</v>
      </c>
      <c r="T317" s="170">
        <f>IF(Escenarios!$E$14&gt;0,Observaciones!$I316,0)</f>
        <v>0</v>
      </c>
      <c r="U317" s="170">
        <f>IF(Escenarios!$E$14&gt;0,MAX(0,Constantes!$E$36/((Z316+R317+S317+T317+Observaciones!$F316)^2)+Entradas!$E$77),0)</f>
        <v>0</v>
      </c>
      <c r="V317" s="146">
        <f>IF(ETo!D316&gt;0,ETo!I316*((1-Entradas!$E$81)*ETo!K316+ETo!L316),0)</f>
        <v>4.0572401619119898</v>
      </c>
      <c r="W317" s="170">
        <f>IF(Escenarios!$E$14&gt;0,MIN(V317*1,0.8*(Z316+R317+S317+T317+Observaciones!$F316-U317-Constantes!$E$35)),0)</f>
        <v>1.6684464097157616</v>
      </c>
      <c r="X317" s="170">
        <f>IF(Escenarios!$E$14&gt;0,Observaciones!$J316,0)</f>
        <v>0</v>
      </c>
      <c r="Y317" s="170">
        <f>IF(Escenarios!$E$14&gt;0,MAX(0,Z316+R317+S317+T317+Observaciones!$F316-U317-W317-X317-Constantes!$E$33),0)</f>
        <v>0</v>
      </c>
      <c r="Z317" s="170">
        <f>Z316+R317+S317+T317+Observaciones!$F316-U317-W317-Y317</f>
        <v>41.667111602428939</v>
      </c>
      <c r="AA317" s="170">
        <f>IF(Escenarios!$E$14&gt;0,(Escenarios!$E$13*L317+Escenarios!$E$14*W317)/(Escenarios!$E$16),L317)</f>
        <v>2.1256892982583238</v>
      </c>
      <c r="AB317" s="170">
        <f>IF(Escenarios!$E$14&gt;0,(Escenarios!$E$14*Y317)/(Escenarios!$E$16),K317)</f>
        <v>0</v>
      </c>
      <c r="AC317" s="170">
        <f>IF(Escenarios!$E$14&gt;0,(Escenarios!$E$13*M317+Escenarios!$E$14*U317)/(Escenarios!$E$16),M317)</f>
        <v>0</v>
      </c>
      <c r="AD317" s="76">
        <f t="shared" si="57"/>
        <v>63.902935602911533</v>
      </c>
      <c r="AE317" s="76">
        <f>MAX(0,(AD317-Constantes!$D$13)*(1-EXP(-Constantes!$D$23)))</f>
        <v>0.14930548364356019</v>
      </c>
      <c r="AF317" s="76">
        <f>AB317+O317*Escenarios!$E$13/Escenarios!$E$16+AE317</f>
        <v>0.39091231772638402</v>
      </c>
      <c r="AG317" s="76">
        <f>IF(Entradas!$E$91&gt;0,IF(AF317-Escenarios!$E$38&lt;=0,0,IF(AF317-Escenarios!$E$38&gt;Escenarios!$E$37,Escenarios!$E$37,AF317-Escenarios!$E$38)),0)</f>
        <v>0</v>
      </c>
      <c r="AH317" s="76">
        <f>AG317*Entradas!$E$99</f>
        <v>0</v>
      </c>
      <c r="AI317" s="76">
        <f>IF(Entradas!$E$91&gt;0,D317*Entradas!$D$23/Escenarios!$E$16,0)</f>
        <v>0</v>
      </c>
      <c r="AJ317" s="76">
        <f>IF(Entradas!$E$91&gt;0,Entradas!$D$24*Entradas!$D$22/Escenarios!$E$16,0)</f>
        <v>0</v>
      </c>
      <c r="AK317" s="76">
        <f t="shared" si="66"/>
        <v>2.1256892982583238</v>
      </c>
      <c r="AL317" s="76">
        <f t="shared" si="67"/>
        <v>0</v>
      </c>
      <c r="AM317" s="76">
        <f t="shared" si="58"/>
        <v>0</v>
      </c>
      <c r="AN317" s="76">
        <f>MAX(0,O317*Escenarios!$E$13/Escenarios!$E$16-AM317)</f>
        <v>0.2416068340828238</v>
      </c>
      <c r="AO317" s="76">
        <f>AM317+AN317-O317*Escenarios!$E$13/Escenarios!$E$16</f>
        <v>0</v>
      </c>
      <c r="AP317" s="76">
        <f t="shared" si="56"/>
        <v>0.14930548364356019</v>
      </c>
      <c r="AQ317" s="76">
        <f t="shared" si="59"/>
        <v>0</v>
      </c>
      <c r="AR317" s="76">
        <f t="shared" si="60"/>
        <v>0.39091231772638402</v>
      </c>
      <c r="AS317" s="76">
        <f t="shared" si="61"/>
        <v>0</v>
      </c>
      <c r="AT317" s="76">
        <f t="shared" si="62"/>
        <v>0</v>
      </c>
      <c r="AU317" s="76">
        <f t="shared" si="63"/>
        <v>48.75</v>
      </c>
      <c r="AV317" s="76">
        <f>MAX(0,(AU317-Constantes!$D$13)*(1-EXP(-Constantes!$D$24)))</f>
        <v>0</v>
      </c>
      <c r="AW317" s="170">
        <f>AW316+(Entradas!$E$112*AT317-AX316)/(800*Entradas!$D$25)</f>
        <v>0</v>
      </c>
      <c r="AX317" s="170">
        <f>8000*Entradas!$D$26*AW317/Constantes!$E$45</f>
        <v>0</v>
      </c>
      <c r="AY317" s="170">
        <f>IF(Escenarios!$E$17&gt;0,10*Escenarios!$E$16*AL317,0)</f>
        <v>0</v>
      </c>
      <c r="AZ317" s="170">
        <f>IF(Escenarios!$E$17&gt;0,10*Escenarios!$E$16*AX317,0)</f>
        <v>0</v>
      </c>
      <c r="BA317" s="170">
        <f>IF(Escenarios!$E$17&gt;0,0.001*Observaciones!$F316*Escenarios!$E$17,0)</f>
        <v>40</v>
      </c>
      <c r="BB317" s="170">
        <f>IF(Escenarios!$E$17&gt;0,Observaciones!$K316,0)</f>
        <v>0</v>
      </c>
      <c r="BC317" s="170">
        <f>IF(Escenarios!$E$17&gt;0,MIN(0.0005*ETo!$M316*Escenarios!$E$17*(BG316/Constantes!$E$40)^(2/3),BG316+AY317+AZ317+BA317+BB317),0)</f>
        <v>13.138278141638709</v>
      </c>
      <c r="BD317" s="170">
        <f>IF(Escenarios!$E$17&gt;0,MIN(Constantes!$E$39*(BG316/Constantes!$E$40)^(2/3),BG316+AY317+AZ317+BA317+BB317-BC317),0)</f>
        <v>20.855546954802001</v>
      </c>
      <c r="BE317" s="170">
        <f>IF(Escenarios!$E$17&gt;0,MIN(Entradas!$E$113,BG316+AY317+AZ317+BA317+BB317-BC317-BD317),0)</f>
        <v>1</v>
      </c>
      <c r="BF317" s="170">
        <f>IF(Escenarios!$E$17&gt;0,MAX(0,BG316+AY317+AZ317+BA317+BB317-BC317-BD317-BE317-Constantes!$E$40),0)</f>
        <v>0</v>
      </c>
      <c r="BG317" s="170">
        <f t="shared" si="68"/>
        <v>892.37902416425254</v>
      </c>
      <c r="BH317" s="170">
        <f>(Escenarios!$E$16*AK317+0.1*BC317)/(Escenarios!$E$19)</f>
        <v>2.1140323507093046</v>
      </c>
      <c r="BI317" s="170">
        <f>IF(Escenarios!$E$17&gt;0,BF317/10/Escenarios!$E$19,AL317)</f>
        <v>0</v>
      </c>
      <c r="BJ317" s="170">
        <f>(Escenarios!$E$16*AT317+0.1*BD317)/(Escenarios!$E$19)</f>
        <v>8.2760106963500005E-3</v>
      </c>
      <c r="BK317" s="76">
        <f>BK316+(0.1*BD317)/(Escenarios!$E$19)-BL316</f>
        <v>49.489395894947101</v>
      </c>
      <c r="BL317" s="76">
        <f>MAX(0,(BK317-Constantes!$D$13)*(1-EXP(-Constantes!$D$23)))</f>
        <v>7.2854438632952529E-3</v>
      </c>
      <c r="BM317" s="76">
        <f t="shared" si="64"/>
        <v>0.15659092750685544</v>
      </c>
      <c r="BN317" s="76">
        <f t="shared" si="69"/>
        <v>0.39819776158967929</v>
      </c>
      <c r="BO317" s="76">
        <f>0.0526*BI317*Observaciones!$F316^1.218</f>
        <v>0</v>
      </c>
      <c r="BP317" s="76">
        <f>BO317*Constantes!$E$51</f>
        <v>0</v>
      </c>
      <c r="BQ317" s="76">
        <f t="shared" si="65"/>
        <v>0</v>
      </c>
      <c r="BR317" s="40"/>
    </row>
    <row r="318" spans="1:70">
      <c r="A318" s="147"/>
      <c r="B318" s="39"/>
      <c r="C318" s="75">
        <v>312</v>
      </c>
      <c r="D318" s="146">
        <f>ETo!$I317*((1-Constantes!$E$19)*ETo!$K317+ETo!$L317)</f>
        <v>4.4416043724736367</v>
      </c>
      <c r="E318" s="76">
        <f>MIN(D318*Constantes!$E$17,0.8*(N317+Observaciones!$F317-F318-M318-Constantes!$D$14))</f>
        <v>2.1715550674084212</v>
      </c>
      <c r="F318" s="76">
        <f>IF(Observaciones!$F317&gt;0.05*Constantes!$E$18,((Observaciones!$F317-0.05*Constantes!$E$18)^2)/(Observaciones!$F317+0.95*Constantes!$E$18),0)</f>
        <v>0</v>
      </c>
      <c r="G318" s="76">
        <f>IF(Escenarios!$E$11&gt;0,(F318*Escenarios!$E$16*10000)/1000,0)</f>
        <v>0</v>
      </c>
      <c r="H318" s="76">
        <f>IF(Escenarios!$E$11&gt;0,(Observaciones!$F317*Constantes!$E$29)/1000,0)</f>
        <v>0</v>
      </c>
      <c r="I318" s="76">
        <f>IF(Escenarios!$E$11&gt;0,(D318*Constantes!$E$29)/1000,0)</f>
        <v>44.416043724736369</v>
      </c>
      <c r="J318" s="76">
        <f>IF(Escenarios!$E$11&gt;0,MAX(0,G318+H318-I318),0)</f>
        <v>0</v>
      </c>
      <c r="K318" s="76">
        <f>IF(Escenarios!$E$11&gt;0,IF(J318&gt;Constantes!$E$30,1000*((J318-Constantes!$E$30)/(Escenarios!$E$16*10000)),0),F318)</f>
        <v>0</v>
      </c>
      <c r="L318" s="76">
        <f>IF(Escenarios!$E$11&gt;0,I318*1000/Escenarios!$E$16/10000+E318,E318)</f>
        <v>2.1893214848983158</v>
      </c>
      <c r="M318" s="76">
        <f>MAX(0,N317+Observaciones!$F317-K318-Constantes!$D$13)</f>
        <v>0</v>
      </c>
      <c r="N318" s="76">
        <f>N317+Observaciones!$F317-K318-L318-M318-O317</f>
        <v>16.846126224661784</v>
      </c>
      <c r="O318" s="76">
        <f>MAX(0,(N318-Constantes!$D$14)*(1-EXP(-Constantes!$D$22)))</f>
        <v>0.1906246030119246</v>
      </c>
      <c r="P318" s="170">
        <f>P317+(Entradas!$E$83*M318-Q317)/(800*Entradas!$D$25)</f>
        <v>0</v>
      </c>
      <c r="Q318" s="170">
        <f>8000*Entradas!$D$26*P318/Constantes!$E$45</f>
        <v>0</v>
      </c>
      <c r="R318" s="170">
        <f>IF(Escenarios!$E$14&gt;0,K318*Escenarios!$E$13/Escenarios!$E$14,0)</f>
        <v>0</v>
      </c>
      <c r="S318" s="170">
        <f>IF(Escenarios!$E$14&gt;0,Q318*Escenarios!$E$13/Escenarios!$E$14,0)</f>
        <v>0</v>
      </c>
      <c r="T318" s="170">
        <f>IF(Escenarios!$E$14&gt;0,Observaciones!$I317,0)</f>
        <v>0</v>
      </c>
      <c r="U318" s="170">
        <f>IF(Escenarios!$E$14&gt;0,MAX(0,Constantes!$E$36/((Z317+R318+S318+T318+Observaciones!$F317)^2)+Entradas!$E$77),0)</f>
        <v>0</v>
      </c>
      <c r="V318" s="146">
        <f>IF(ETo!D317&gt;0,ETo!I317*((1-Entradas!$E$81)*ETo!K317+ETo!L317),0)</f>
        <v>4.0596733112471073</v>
      </c>
      <c r="W318" s="170">
        <f>IF(Escenarios!$E$14&gt;0,MIN(V318*1,0.8*(Z317+R318+S318+T318+Observaciones!$F317-U318-Constantes!$E$35)),0)</f>
        <v>0.33368928194315117</v>
      </c>
      <c r="X318" s="170">
        <f>IF(Escenarios!$E$14&gt;0,Observaciones!$J317,0)</f>
        <v>0</v>
      </c>
      <c r="Y318" s="170">
        <f>IF(Escenarios!$E$14&gt;0,MAX(0,Z317+R318+S318+T318+Observaciones!$F317-U318-W318-X318-Constantes!$E$33),0)</f>
        <v>0</v>
      </c>
      <c r="Z318" s="170">
        <f>Z317+R318+S318+T318+Observaciones!$F317-U318-W318-Y318</f>
        <v>41.333422320485788</v>
      </c>
      <c r="AA318" s="170">
        <f>IF(Escenarios!$E$14&gt;0,(Escenarios!$E$13*L318+Escenarios!$E$14*W318)/(Escenarios!$E$16),L318)</f>
        <v>1.966645620543696</v>
      </c>
      <c r="AB318" s="170">
        <f>IF(Escenarios!$E$14&gt;0,(Escenarios!$E$14*Y318)/(Escenarios!$E$16),K318)</f>
        <v>0</v>
      </c>
      <c r="AC318" s="170">
        <f>IF(Escenarios!$E$14&gt;0,(Escenarios!$E$13*M318+Escenarios!$E$14*U318)/(Escenarios!$E$16),M318)</f>
        <v>0</v>
      </c>
      <c r="AD318" s="76">
        <f t="shared" si="57"/>
        <v>63.753630119267974</v>
      </c>
      <c r="AE318" s="76">
        <f>MAX(0,(AD318-Constantes!$D$13)*(1-EXP(-Constantes!$D$23)))</f>
        <v>0.1478343411514246</v>
      </c>
      <c r="AF318" s="76">
        <f>AB318+O318*Escenarios!$E$13/Escenarios!$E$16+AE318</f>
        <v>0.31558399180191826</v>
      </c>
      <c r="AG318" s="76">
        <f>IF(Entradas!$E$91&gt;0,IF(AF318-Escenarios!$E$38&lt;=0,0,IF(AF318-Escenarios!$E$38&gt;Escenarios!$E$37,Escenarios!$E$37,AF318-Escenarios!$E$38)),0)</f>
        <v>0</v>
      </c>
      <c r="AH318" s="76">
        <f>AG318*Entradas!$E$99</f>
        <v>0</v>
      </c>
      <c r="AI318" s="76">
        <f>IF(Entradas!$E$91&gt;0,D318*Entradas!$D$23/Escenarios!$E$16,0)</f>
        <v>0</v>
      </c>
      <c r="AJ318" s="76">
        <f>IF(Entradas!$E$91&gt;0,Entradas!$D$24*Entradas!$D$22/Escenarios!$E$16,0)</f>
        <v>0</v>
      </c>
      <c r="AK318" s="76">
        <f t="shared" si="66"/>
        <v>1.966645620543696</v>
      </c>
      <c r="AL318" s="76">
        <f t="shared" si="67"/>
        <v>0</v>
      </c>
      <c r="AM318" s="76">
        <f t="shared" si="58"/>
        <v>0</v>
      </c>
      <c r="AN318" s="76">
        <f>MAX(0,O318*Escenarios!$E$13/Escenarios!$E$16-AM318)</f>
        <v>0.16774965065049366</v>
      </c>
      <c r="AO318" s="76">
        <f>AM318+AN318-O318*Escenarios!$E$13/Escenarios!$E$16</f>
        <v>0</v>
      </c>
      <c r="AP318" s="76">
        <f t="shared" si="56"/>
        <v>0.1478343411514246</v>
      </c>
      <c r="AQ318" s="76">
        <f t="shared" si="59"/>
        <v>0</v>
      </c>
      <c r="AR318" s="76">
        <f t="shared" si="60"/>
        <v>0.31558399180191826</v>
      </c>
      <c r="AS318" s="76">
        <f t="shared" si="61"/>
        <v>0</v>
      </c>
      <c r="AT318" s="76">
        <f t="shared" si="62"/>
        <v>0</v>
      </c>
      <c r="AU318" s="76">
        <f t="shared" si="63"/>
        <v>48.75</v>
      </c>
      <c r="AV318" s="76">
        <f>MAX(0,(AU318-Constantes!$D$13)*(1-EXP(-Constantes!$D$24)))</f>
        <v>0</v>
      </c>
      <c r="AW318" s="170">
        <f>AW317+(Entradas!$E$112*AT318-AX317)/(800*Entradas!$D$25)</f>
        <v>0</v>
      </c>
      <c r="AX318" s="170">
        <f>8000*Entradas!$D$26*AW318/Constantes!$E$45</f>
        <v>0</v>
      </c>
      <c r="AY318" s="170">
        <f>IF(Escenarios!$E$17&gt;0,10*Escenarios!$E$16*AL318,0)</f>
        <v>0</v>
      </c>
      <c r="AZ318" s="170">
        <f>IF(Escenarios!$E$17&gt;0,10*Escenarios!$E$16*AX318,0)</f>
        <v>0</v>
      </c>
      <c r="BA318" s="170">
        <f>IF(Escenarios!$E$17&gt;0,0.001*Observaciones!$F317*Escenarios!$E$17,0)</f>
        <v>0</v>
      </c>
      <c r="BB318" s="170">
        <f>IF(Escenarios!$E$17&gt;0,Observaciones!$K317,0)</f>
        <v>0</v>
      </c>
      <c r="BC318" s="170">
        <f>IF(Escenarios!$E$17&gt;0,MIN(0.0005*ETo!$M317*Escenarios!$E$17*(BG317/Constantes!$E$40)^(2/3),BG317+AY318+AZ318+BA318+BB318),0)</f>
        <v>13.195126589139601</v>
      </c>
      <c r="BD318" s="170">
        <f>IF(Escenarios!$E$17&gt;0,MIN(Constantes!$E$39*(BG317/Constantes!$E$40)^(2/3),BG317+AY318+AZ318+BA318+BB318-BC318),0)</f>
        <v>20.933912053733717</v>
      </c>
      <c r="BE318" s="170">
        <f>IF(Escenarios!$E$17&gt;0,MIN(Entradas!$E$113,BG317+AY318+AZ318+BA318+BB318-BC318-BD318),0)</f>
        <v>1</v>
      </c>
      <c r="BF318" s="170">
        <f>IF(Escenarios!$E$17&gt;0,MAX(0,BG317+AY318+AZ318+BA318+BB318-BC318-BD318-BE318-Constantes!$E$40),0)</f>
        <v>0</v>
      </c>
      <c r="BG318" s="170">
        <f t="shared" si="68"/>
        <v>857.24998552137924</v>
      </c>
      <c r="BH318" s="170">
        <f>(Escenarios!$E$16*AK318+0.1*BC318)/(Escenarios!$E$19)</f>
        <v>1.956273483312849</v>
      </c>
      <c r="BI318" s="170">
        <f>IF(Escenarios!$E$17&gt;0,BF318/10/Escenarios!$E$19,AL318)</f>
        <v>0</v>
      </c>
      <c r="BJ318" s="170">
        <f>(Escenarios!$E$16*AT318+0.1*BD318)/(Escenarios!$E$19)</f>
        <v>8.30710795783084E-3</v>
      </c>
      <c r="BK318" s="76">
        <f>BK317+(0.1*BD318)/(Escenarios!$E$19)-BL317</f>
        <v>49.490417559041639</v>
      </c>
      <c r="BL318" s="76">
        <f>MAX(0,(BK318-Constantes!$D$13)*(1-EXP(-Constantes!$D$23)))</f>
        <v>7.2955105629601575E-3</v>
      </c>
      <c r="BM318" s="76">
        <f t="shared" si="64"/>
        <v>0.15512985171438476</v>
      </c>
      <c r="BN318" s="76">
        <f t="shared" si="69"/>
        <v>0.32287950236487845</v>
      </c>
      <c r="BO318" s="76">
        <f>0.0526*BI318*Observaciones!$F317^1.218</f>
        <v>0</v>
      </c>
      <c r="BP318" s="76">
        <f>BO318*Constantes!$E$51</f>
        <v>0</v>
      </c>
      <c r="BQ318" s="76">
        <f t="shared" si="65"/>
        <v>0</v>
      </c>
      <c r="BR318" s="40"/>
    </row>
    <row r="319" spans="1:70">
      <c r="A319" s="147"/>
      <c r="B319" s="39"/>
      <c r="C319" s="75">
        <v>313</v>
      </c>
      <c r="D319" s="146">
        <f>ETo!$I318*((1-Constantes!$E$19)*ETo!$K318+ETo!$L318)</f>
        <v>4.489235345049325</v>
      </c>
      <c r="E319" s="76">
        <f>MIN(D319*Constantes!$E$17,0.8*(N318+Observaciones!$F318-F319-M319-Constantes!$D$14))</f>
        <v>2.1948424363833219</v>
      </c>
      <c r="F319" s="76">
        <f>IF(Observaciones!$F318&gt;0.05*Constantes!$E$18,((Observaciones!$F318-0.05*Constantes!$E$18)^2)/(Observaciones!$F318+0.95*Constantes!$E$18),0)</f>
        <v>0</v>
      </c>
      <c r="G319" s="76">
        <f>IF(Escenarios!$E$11&gt;0,(F319*Escenarios!$E$16*10000)/1000,0)</f>
        <v>0</v>
      </c>
      <c r="H319" s="76">
        <f>IF(Escenarios!$E$11&gt;0,(Observaciones!$F318*Constantes!$E$29)/1000,0)</f>
        <v>4</v>
      </c>
      <c r="I319" s="76">
        <f>IF(Escenarios!$E$11&gt;0,(D319*Constantes!$E$29)/1000,0)</f>
        <v>44.892353450493246</v>
      </c>
      <c r="J319" s="76">
        <f>IF(Escenarios!$E$11&gt;0,MAX(0,G319+H319-I319),0)</f>
        <v>0</v>
      </c>
      <c r="K319" s="76">
        <f>IF(Escenarios!$E$11&gt;0,IF(J319&gt;Constantes!$E$30,1000*((J319-Constantes!$E$30)/(Escenarios!$E$16*10000)),0),F319)</f>
        <v>0</v>
      </c>
      <c r="L319" s="76">
        <f>IF(Escenarios!$E$11&gt;0,I319*1000/Escenarios!$E$16/10000+E319,E319)</f>
        <v>2.2127993777635191</v>
      </c>
      <c r="M319" s="76">
        <f>MAX(0,N318+Observaciones!$F318-K319-Constantes!$D$13)</f>
        <v>0</v>
      </c>
      <c r="N319" s="76">
        <f>N318+Observaciones!$F318-K319-L319-M319-O318</f>
        <v>14.84270224388634</v>
      </c>
      <c r="O319" s="76">
        <f>MAX(0,(N319-Constantes!$D$14)*(1-EXP(-Constantes!$D$22)))</f>
        <v>0.12238062750671341</v>
      </c>
      <c r="P319" s="170">
        <f>P318+(Entradas!$E$83*M319-Q318)/(800*Entradas!$D$25)</f>
        <v>0</v>
      </c>
      <c r="Q319" s="170">
        <f>8000*Entradas!$D$26*P319/Constantes!$E$45</f>
        <v>0</v>
      </c>
      <c r="R319" s="170">
        <f>IF(Escenarios!$E$14&gt;0,K319*Escenarios!$E$13/Escenarios!$E$14,0)</f>
        <v>0</v>
      </c>
      <c r="S319" s="170">
        <f>IF(Escenarios!$E$14&gt;0,Q319*Escenarios!$E$13/Escenarios!$E$14,0)</f>
        <v>0</v>
      </c>
      <c r="T319" s="170">
        <f>IF(Escenarios!$E$14&gt;0,Observaciones!$I318,0)</f>
        <v>0</v>
      </c>
      <c r="U319" s="170">
        <f>IF(Escenarios!$E$14&gt;0,MAX(0,Constantes!$E$36/((Z318+R319+S319+T319+Observaciones!$F318)^2)+Entradas!$E$77),0)</f>
        <v>0</v>
      </c>
      <c r="V319" s="146">
        <f>IF(ETo!D318&gt;0,ETo!I318*((1-Entradas!$E$81)*ETo!K318+ETo!L318),0)</f>
        <v>4.1038612424281906</v>
      </c>
      <c r="W319" s="170">
        <f>IF(Escenarios!$E$14&gt;0,MIN(V319*1,0.8*(Z318+R319+S319+T319+Observaciones!$F318-U319-Constantes!$E$35)),0)</f>
        <v>0.38673785638862912</v>
      </c>
      <c r="X319" s="170">
        <f>IF(Escenarios!$E$14&gt;0,Observaciones!$J318,0)</f>
        <v>0</v>
      </c>
      <c r="Y319" s="170">
        <f>IF(Escenarios!$E$14&gt;0,MAX(0,Z318+R319+S319+T319+Observaciones!$F318-U319-W319-X319-Constantes!$E$33),0)</f>
        <v>0</v>
      </c>
      <c r="Z319" s="170">
        <f>Z318+R319+S319+T319+Observaciones!$F318-U319-W319-Y319</f>
        <v>41.346684464097159</v>
      </c>
      <c r="AA319" s="170">
        <f>IF(Escenarios!$E$14&gt;0,(Escenarios!$E$13*L319+Escenarios!$E$14*W319)/(Escenarios!$E$16),L319)</f>
        <v>1.9936719951985324</v>
      </c>
      <c r="AB319" s="170">
        <f>IF(Escenarios!$E$14&gt;0,(Escenarios!$E$14*Y319)/(Escenarios!$E$16),K319)</f>
        <v>0</v>
      </c>
      <c r="AC319" s="170">
        <f>IF(Escenarios!$E$14&gt;0,(Escenarios!$E$13*M319+Escenarios!$E$14*U319)/(Escenarios!$E$16),M319)</f>
        <v>0</v>
      </c>
      <c r="AD319" s="76">
        <f t="shared" si="57"/>
        <v>63.605795778116551</v>
      </c>
      <c r="AE319" s="76">
        <f>MAX(0,(AD319-Constantes!$D$13)*(1-EXP(-Constantes!$D$23)))</f>
        <v>0.14637769417666288</v>
      </c>
      <c r="AF319" s="76">
        <f>AB319+O319*Escenarios!$E$13/Escenarios!$E$16+AE319</f>
        <v>0.25407264638257071</v>
      </c>
      <c r="AG319" s="76">
        <f>IF(Entradas!$E$91&gt;0,IF(AF319-Escenarios!$E$38&lt;=0,0,IF(AF319-Escenarios!$E$38&gt;Escenarios!$E$37,Escenarios!$E$37,AF319-Escenarios!$E$38)),0)</f>
        <v>0</v>
      </c>
      <c r="AH319" s="76">
        <f>AG319*Entradas!$E$99</f>
        <v>0</v>
      </c>
      <c r="AI319" s="76">
        <f>IF(Entradas!$E$91&gt;0,D319*Entradas!$D$23/Escenarios!$E$16,0)</f>
        <v>0</v>
      </c>
      <c r="AJ319" s="76">
        <f>IF(Entradas!$E$91&gt;0,Entradas!$D$24*Entradas!$D$22/Escenarios!$E$16,0)</f>
        <v>0</v>
      </c>
      <c r="AK319" s="76">
        <f t="shared" si="66"/>
        <v>1.9936719951985324</v>
      </c>
      <c r="AL319" s="76">
        <f t="shared" si="67"/>
        <v>0</v>
      </c>
      <c r="AM319" s="76">
        <f t="shared" si="58"/>
        <v>0</v>
      </c>
      <c r="AN319" s="76">
        <f>MAX(0,O319*Escenarios!$E$13/Escenarios!$E$16-AM319)</f>
        <v>0.10769495220590782</v>
      </c>
      <c r="AO319" s="76">
        <f>AM319+AN319-O319*Escenarios!$E$13/Escenarios!$E$16</f>
        <v>0</v>
      </c>
      <c r="AP319" s="76">
        <f t="shared" si="56"/>
        <v>0.14637769417666288</v>
      </c>
      <c r="AQ319" s="76">
        <f t="shared" si="59"/>
        <v>0</v>
      </c>
      <c r="AR319" s="76">
        <f t="shared" si="60"/>
        <v>0.25407264638257071</v>
      </c>
      <c r="AS319" s="76">
        <f t="shared" si="61"/>
        <v>0</v>
      </c>
      <c r="AT319" s="76">
        <f t="shared" si="62"/>
        <v>0</v>
      </c>
      <c r="AU319" s="76">
        <f t="shared" si="63"/>
        <v>48.75</v>
      </c>
      <c r="AV319" s="76">
        <f>MAX(0,(AU319-Constantes!$D$13)*(1-EXP(-Constantes!$D$24)))</f>
        <v>0</v>
      </c>
      <c r="AW319" s="170">
        <f>AW318+(Entradas!$E$112*AT319-AX318)/(800*Entradas!$D$25)</f>
        <v>0</v>
      </c>
      <c r="AX319" s="170">
        <f>8000*Entradas!$D$26*AW319/Constantes!$E$45</f>
        <v>0</v>
      </c>
      <c r="AY319" s="170">
        <f>IF(Escenarios!$E$17&gt;0,10*Escenarios!$E$16*AL319,0)</f>
        <v>0</v>
      </c>
      <c r="AZ319" s="170">
        <f>IF(Escenarios!$E$17&gt;0,10*Escenarios!$E$16*AX319,0)</f>
        <v>0</v>
      </c>
      <c r="BA319" s="170">
        <f>IF(Escenarios!$E$17&gt;0,0.001*Observaciones!$F318*Escenarios!$E$17,0)</f>
        <v>8</v>
      </c>
      <c r="BB319" s="170">
        <f>IF(Escenarios!$E$17&gt;0,Observaciones!$K318,0)</f>
        <v>0</v>
      </c>
      <c r="BC319" s="170">
        <f>IF(Escenarios!$E$17&gt;0,MIN(0.0005*ETo!$M318*Escenarios!$E$17*(BG318/Constantes!$E$40)^(2/3),BG318+AY319+AZ319+BA319+BB319),0)</f>
        <v>12.981671765057168</v>
      </c>
      <c r="BD319" s="170">
        <f>IF(Escenarios!$E$17&gt;0,MIN(Constantes!$E$39*(BG318/Constantes!$E$40)^(2/3),BG318+AY319+AZ319+BA319+BB319-BC319),0)</f>
        <v>20.380858979455496</v>
      </c>
      <c r="BE319" s="170">
        <f>IF(Escenarios!$E$17&gt;0,MIN(Entradas!$E$113,BG318+AY319+AZ319+BA319+BB319-BC319-BD319),0)</f>
        <v>1</v>
      </c>
      <c r="BF319" s="170">
        <f>IF(Escenarios!$E$17&gt;0,MAX(0,BG318+AY319+AZ319+BA319+BB319-BC319-BD319-BE319-Constantes!$E$40),0)</f>
        <v>0</v>
      </c>
      <c r="BG319" s="170">
        <f t="shared" si="68"/>
        <v>830.88745477686655</v>
      </c>
      <c r="BH319" s="170">
        <f>(Escenarios!$E$16*AK319+0.1*BC319)/(Escenarios!$E$19)</f>
        <v>1.9830006586354716</v>
      </c>
      <c r="BI319" s="170">
        <f>IF(Escenarios!$E$17&gt;0,BF319/10/Escenarios!$E$19,AL319)</f>
        <v>0</v>
      </c>
      <c r="BJ319" s="170">
        <f>(Escenarios!$E$16*AT319+0.1*BD319)/(Escenarios!$E$19)</f>
        <v>8.0876424521648792E-3</v>
      </c>
      <c r="BK319" s="76">
        <f>BK318+(0.1*BD319)/(Escenarios!$E$19)-BL318</f>
        <v>49.491209690930845</v>
      </c>
      <c r="BL319" s="76">
        <f>MAX(0,(BK319-Constantes!$D$13)*(1-EXP(-Constantes!$D$23)))</f>
        <v>7.3033156271356198E-3</v>
      </c>
      <c r="BM319" s="76">
        <f t="shared" si="64"/>
        <v>0.15368100980379851</v>
      </c>
      <c r="BN319" s="76">
        <f t="shared" si="69"/>
        <v>0.26137596200970631</v>
      </c>
      <c r="BO319" s="76">
        <f>0.0526*BI319*Observaciones!$F318^1.218</f>
        <v>0</v>
      </c>
      <c r="BP319" s="76">
        <f>BO319*Constantes!$E$51</f>
        <v>0</v>
      </c>
      <c r="BQ319" s="76">
        <f t="shared" si="65"/>
        <v>0</v>
      </c>
      <c r="BR319" s="40"/>
    </row>
    <row r="320" spans="1:70">
      <c r="A320" s="147"/>
      <c r="B320" s="39"/>
      <c r="C320" s="75">
        <v>314</v>
      </c>
      <c r="D320" s="146">
        <f>ETo!$I319*((1-Constantes!$E$19)*ETo!$K319+ETo!$L319)</f>
        <v>4.4282208603341608</v>
      </c>
      <c r="E320" s="76">
        <f>MIN(D320*Constantes!$E$17,0.8*(N319+Observaciones!$F319-F320-M320-Constantes!$D$14))</f>
        <v>2.1650117035315488</v>
      </c>
      <c r="F320" s="76">
        <f>IF(Observaciones!$F319&gt;0.05*Constantes!$E$18,((Observaciones!$F319-0.05*Constantes!$E$18)^2)/(Observaciones!$F319+0.95*Constantes!$E$18),0)</f>
        <v>0</v>
      </c>
      <c r="G320" s="76">
        <f>IF(Escenarios!$E$11&gt;0,(F320*Escenarios!$E$16*10000)/1000,0)</f>
        <v>0</v>
      </c>
      <c r="H320" s="76">
        <f>IF(Escenarios!$E$11&gt;0,(Observaciones!$F319*Constantes!$E$29)/1000,0)</f>
        <v>0</v>
      </c>
      <c r="I320" s="76">
        <f>IF(Escenarios!$E$11&gt;0,(D320*Constantes!$E$29)/1000,0)</f>
        <v>44.282208603341608</v>
      </c>
      <c r="J320" s="76">
        <f>IF(Escenarios!$E$11&gt;0,MAX(0,G320+H320-I320),0)</f>
        <v>0</v>
      </c>
      <c r="K320" s="76">
        <f>IF(Escenarios!$E$11&gt;0,IF(J320&gt;Constantes!$E$30,1000*((J320-Constantes!$E$30)/(Escenarios!$E$16*10000)),0),F320)</f>
        <v>0</v>
      </c>
      <c r="L320" s="76">
        <f>IF(Escenarios!$E$11&gt;0,I320*1000/Escenarios!$E$16/10000+E320,E320)</f>
        <v>2.1827245869728853</v>
      </c>
      <c r="M320" s="76">
        <f>MAX(0,N319+Observaciones!$F319-K320-Constantes!$D$13)</f>
        <v>0</v>
      </c>
      <c r="N320" s="76">
        <f>N319+Observaciones!$F319-K320-L320-M320-O319</f>
        <v>12.537597029406742</v>
      </c>
      <c r="O320" s="76">
        <f>MAX(0,(N320-Constantes!$D$14)*(1-EXP(-Constantes!$D$22)))</f>
        <v>4.3860281687057162E-2</v>
      </c>
      <c r="P320" s="170">
        <f>P319+(Entradas!$E$83*M320-Q319)/(800*Entradas!$D$25)</f>
        <v>0</v>
      </c>
      <c r="Q320" s="170">
        <f>8000*Entradas!$D$26*P320/Constantes!$E$45</f>
        <v>0</v>
      </c>
      <c r="R320" s="170">
        <f>IF(Escenarios!$E$14&gt;0,K320*Escenarios!$E$13/Escenarios!$E$14,0)</f>
        <v>0</v>
      </c>
      <c r="S320" s="170">
        <f>IF(Escenarios!$E$14&gt;0,Q320*Escenarios!$E$13/Escenarios!$E$14,0)</f>
        <v>0</v>
      </c>
      <c r="T320" s="170">
        <f>IF(Escenarios!$E$14&gt;0,Observaciones!$I319,0)</f>
        <v>0</v>
      </c>
      <c r="U320" s="170">
        <f>IF(Escenarios!$E$14&gt;0,MAX(0,Constantes!$E$36/((Z319+R320+S320+T320+Observaciones!$F319)^2)+Entradas!$E$77),0)</f>
        <v>0</v>
      </c>
      <c r="V320" s="146">
        <f>IF(ETo!D319&gt;0,ETo!I319*((1-Entradas!$E$81)*ETo!K319+ETo!L319),0)</f>
        <v>4.0473190769430909</v>
      </c>
      <c r="W320" s="170">
        <f>IF(Escenarios!$E$14&gt;0,MIN(V320*1,0.8*(Z319+R320+S320+T320+Observaciones!$F319-U320-Constantes!$E$35)),0)</f>
        <v>7.7347571277726956E-2</v>
      </c>
      <c r="X320" s="170">
        <f>IF(Escenarios!$E$14&gt;0,Observaciones!$J319,0)</f>
        <v>0</v>
      </c>
      <c r="Y320" s="170">
        <f>IF(Escenarios!$E$14&gt;0,MAX(0,Z319+R320+S320+T320+Observaciones!$F319-U320-W320-X320-Constantes!$E$33),0)</f>
        <v>0</v>
      </c>
      <c r="Z320" s="170">
        <f>Z319+R320+S320+T320+Observaciones!$F319-U320-W320-Y320</f>
        <v>41.269336892819432</v>
      </c>
      <c r="AA320" s="170">
        <f>IF(Escenarios!$E$14&gt;0,(Escenarios!$E$13*L320+Escenarios!$E$14*W320)/(Escenarios!$E$16),L320)</f>
        <v>1.9300793450894662</v>
      </c>
      <c r="AB320" s="170">
        <f>IF(Escenarios!$E$14&gt;0,(Escenarios!$E$14*Y320)/(Escenarios!$E$16),K320)</f>
        <v>0</v>
      </c>
      <c r="AC320" s="170">
        <f>IF(Escenarios!$E$14&gt;0,(Escenarios!$E$13*M320+Escenarios!$E$14*U320)/(Escenarios!$E$16),M320)</f>
        <v>0</v>
      </c>
      <c r="AD320" s="76">
        <f t="shared" si="57"/>
        <v>63.459418083939887</v>
      </c>
      <c r="AE320" s="76">
        <f>MAX(0,(AD320-Constantes!$D$13)*(1-EXP(-Constantes!$D$23)))</f>
        <v>0.14493539989148974</v>
      </c>
      <c r="AF320" s="76">
        <f>AB320+O320*Escenarios!$E$13/Escenarios!$E$16+AE320</f>
        <v>0.18353244777610003</v>
      </c>
      <c r="AG320" s="76">
        <f>IF(Entradas!$E$91&gt;0,IF(AF320-Escenarios!$E$38&lt;=0,0,IF(AF320-Escenarios!$E$38&gt;Escenarios!$E$37,Escenarios!$E$37,AF320-Escenarios!$E$38)),0)</f>
        <v>0</v>
      </c>
      <c r="AH320" s="76">
        <f>AG320*Entradas!$E$99</f>
        <v>0</v>
      </c>
      <c r="AI320" s="76">
        <f>IF(Entradas!$E$91&gt;0,D320*Entradas!$D$23/Escenarios!$E$16,0)</f>
        <v>0</v>
      </c>
      <c r="AJ320" s="76">
        <f>IF(Entradas!$E$91&gt;0,Entradas!$D$24*Entradas!$D$22/Escenarios!$E$16,0)</f>
        <v>0</v>
      </c>
      <c r="AK320" s="76">
        <f t="shared" si="66"/>
        <v>1.9300793450894662</v>
      </c>
      <c r="AL320" s="76">
        <f t="shared" si="67"/>
        <v>0</v>
      </c>
      <c r="AM320" s="76">
        <f t="shared" si="58"/>
        <v>0</v>
      </c>
      <c r="AN320" s="76">
        <f>MAX(0,O320*Escenarios!$E$13/Escenarios!$E$16-AM320)</f>
        <v>3.8597047884610304E-2</v>
      </c>
      <c r="AO320" s="76">
        <f>AM320+AN320-O320*Escenarios!$E$13/Escenarios!$E$16</f>
        <v>0</v>
      </c>
      <c r="AP320" s="76">
        <f t="shared" si="56"/>
        <v>0.14493539989148974</v>
      </c>
      <c r="AQ320" s="76">
        <f t="shared" si="59"/>
        <v>0</v>
      </c>
      <c r="AR320" s="76">
        <f t="shared" si="60"/>
        <v>0.18353244777610003</v>
      </c>
      <c r="AS320" s="76">
        <f t="shared" si="61"/>
        <v>0</v>
      </c>
      <c r="AT320" s="76">
        <f t="shared" si="62"/>
        <v>0</v>
      </c>
      <c r="AU320" s="76">
        <f t="shared" si="63"/>
        <v>48.75</v>
      </c>
      <c r="AV320" s="76">
        <f>MAX(0,(AU320-Constantes!$D$13)*(1-EXP(-Constantes!$D$24)))</f>
        <v>0</v>
      </c>
      <c r="AW320" s="170">
        <f>AW319+(Entradas!$E$112*AT320-AX319)/(800*Entradas!$D$25)</f>
        <v>0</v>
      </c>
      <c r="AX320" s="170">
        <f>8000*Entradas!$D$26*AW320/Constantes!$E$45</f>
        <v>0</v>
      </c>
      <c r="AY320" s="170">
        <f>IF(Escenarios!$E$17&gt;0,10*Escenarios!$E$16*AL320,0)</f>
        <v>0</v>
      </c>
      <c r="AZ320" s="170">
        <f>IF(Escenarios!$E$17&gt;0,10*Escenarios!$E$16*AX320,0)</f>
        <v>0</v>
      </c>
      <c r="BA320" s="170">
        <f>IF(Escenarios!$E$17&gt;0,0.001*Observaciones!$F319*Escenarios!$E$17,0)</f>
        <v>0</v>
      </c>
      <c r="BB320" s="170">
        <f>IF(Escenarios!$E$17&gt;0,Observaciones!$K319,0)</f>
        <v>0</v>
      </c>
      <c r="BC320" s="170">
        <f>IF(Escenarios!$E$17&gt;0,MIN(0.0005*ETo!$M319*Escenarios!$E$17*(BG319/Constantes!$E$40)^(2/3),BG319+AY320+AZ320+BA320+BB320),0)</f>
        <v>12.544346797157392</v>
      </c>
      <c r="BD320" s="170">
        <f>IF(Escenarios!$E$17&gt;0,MIN(Constantes!$E$39*(BG319/Constantes!$E$40)^(2/3),BG319+AY320+AZ320+BA320+BB320-BC320),0)</f>
        <v>19.960846774651571</v>
      </c>
      <c r="BE320" s="170">
        <f>IF(Escenarios!$E$17&gt;0,MIN(Entradas!$E$113,BG319+AY320+AZ320+BA320+BB320-BC320-BD320),0)</f>
        <v>1</v>
      </c>
      <c r="BF320" s="170">
        <f>IF(Escenarios!$E$17&gt;0,MAX(0,BG319+AY320+AZ320+BA320+BB320-BC320-BD320-BE320-Constantes!$E$40),0)</f>
        <v>0</v>
      </c>
      <c r="BG320" s="170">
        <f t="shared" si="68"/>
        <v>797.3822612050576</v>
      </c>
      <c r="BH320" s="170">
        <f>(Escenarios!$E$16*AK320+0.1*BC320)/(Escenarios!$E$19)</f>
        <v>1.919739170444771</v>
      </c>
      <c r="BI320" s="170">
        <f>IF(Escenarios!$E$17&gt;0,BF320/10/Escenarios!$E$19,AL320)</f>
        <v>0</v>
      </c>
      <c r="BJ320" s="170">
        <f>(Escenarios!$E$16*AT320+0.1*BD320)/(Escenarios!$E$19)</f>
        <v>7.9209709423220531E-3</v>
      </c>
      <c r="BK320" s="76">
        <f>BK319+(0.1*BD320)/(Escenarios!$E$19)-BL319</f>
        <v>49.491827346246033</v>
      </c>
      <c r="BL320" s="76">
        <f>MAX(0,(BK320-Constantes!$D$13)*(1-EXP(-Constantes!$D$23)))</f>
        <v>7.30940153207021E-3</v>
      </c>
      <c r="BM320" s="76">
        <f t="shared" si="64"/>
        <v>0.15224480142355995</v>
      </c>
      <c r="BN320" s="76">
        <f t="shared" si="69"/>
        <v>0.19084184930817025</v>
      </c>
      <c r="BO320" s="76">
        <f>0.0526*BI320*Observaciones!$F319^1.218</f>
        <v>0</v>
      </c>
      <c r="BP320" s="76">
        <f>BO320*Constantes!$E$51</f>
        <v>0</v>
      </c>
      <c r="BQ320" s="76">
        <f t="shared" si="65"/>
        <v>0</v>
      </c>
      <c r="BR320" s="40"/>
    </row>
    <row r="321" spans="1:70">
      <c r="A321" s="147"/>
      <c r="B321" s="39"/>
      <c r="C321" s="75">
        <v>315</v>
      </c>
      <c r="D321" s="146">
        <f>ETo!$I320*((1-Constantes!$E$19)*ETo!$K320+ETo!$L320)</f>
        <v>4.2900655420293221</v>
      </c>
      <c r="E321" s="76">
        <f>MIN(D321*Constantes!$E$17,0.8*(N320+Observaciones!$F320-F321-M321-Constantes!$D$14))</f>
        <v>1.0300776235253934</v>
      </c>
      <c r="F321" s="76">
        <f>IF(Observaciones!$F320&gt;0.05*Constantes!$E$18,((Observaciones!$F320-0.05*Constantes!$E$18)^2)/(Observaciones!$F320+0.95*Constantes!$E$18),0)</f>
        <v>0</v>
      </c>
      <c r="G321" s="76">
        <f>IF(Escenarios!$E$11&gt;0,(F321*Escenarios!$E$16*10000)/1000,0)</f>
        <v>0</v>
      </c>
      <c r="H321" s="76">
        <f>IF(Escenarios!$E$11&gt;0,(Observaciones!$F320*Constantes!$E$29)/1000,0)</f>
        <v>0</v>
      </c>
      <c r="I321" s="76">
        <f>IF(Escenarios!$E$11&gt;0,(D321*Constantes!$E$29)/1000,0)</f>
        <v>42.900655420293226</v>
      </c>
      <c r="J321" s="76">
        <f>IF(Escenarios!$E$11&gt;0,MAX(0,G321+H321-I321),0)</f>
        <v>0</v>
      </c>
      <c r="K321" s="76">
        <f>IF(Escenarios!$E$11&gt;0,IF(J321&gt;Constantes!$E$30,1000*((J321-Constantes!$E$30)/(Escenarios!$E$16*10000)),0),F321)</f>
        <v>0</v>
      </c>
      <c r="L321" s="76">
        <f>IF(Escenarios!$E$11&gt;0,I321*1000/Escenarios!$E$16/10000+E321,E321)</f>
        <v>1.0472378856935107</v>
      </c>
      <c r="M321" s="76">
        <f>MAX(0,N320+Observaciones!$F320-K321-Constantes!$D$13)</f>
        <v>0</v>
      </c>
      <c r="N321" s="76">
        <f>N320+Observaciones!$F320-K321-L321-M321-O320</f>
        <v>11.446498862026175</v>
      </c>
      <c r="O321" s="76">
        <f>MAX(0,(N321-Constantes!$D$14)*(1-EXP(-Constantes!$D$22)))</f>
        <v>6.6934726027017711E-3</v>
      </c>
      <c r="P321" s="170">
        <f>P320+(Entradas!$E$83*M321-Q320)/(800*Entradas!$D$25)</f>
        <v>0</v>
      </c>
      <c r="Q321" s="170">
        <f>8000*Entradas!$D$26*P321/Constantes!$E$45</f>
        <v>0</v>
      </c>
      <c r="R321" s="170">
        <f>IF(Escenarios!$E$14&gt;0,K321*Escenarios!$E$13/Escenarios!$E$14,0)</f>
        <v>0</v>
      </c>
      <c r="S321" s="170">
        <f>IF(Escenarios!$E$14&gt;0,Q321*Escenarios!$E$13/Escenarios!$E$14,0)</f>
        <v>0</v>
      </c>
      <c r="T321" s="170">
        <f>IF(Escenarios!$E$14&gt;0,Observaciones!$I320,0)</f>
        <v>0</v>
      </c>
      <c r="U321" s="170">
        <f>IF(Escenarios!$E$14&gt;0,MAX(0,Constantes!$E$36/((Z320+R321+S321+T321+Observaciones!$F320)^2)+Entradas!$E$77),0)</f>
        <v>0</v>
      </c>
      <c r="V321" s="146">
        <f>IF(ETo!D320&gt;0,ETo!I320*((1-Entradas!$E$81)*ETo!K320+ETo!L320),0)</f>
        <v>3.9195800318183336</v>
      </c>
      <c r="W321" s="170">
        <f>IF(Escenarios!$E$14&gt;0,MIN(V321*1,0.8*(Z320+R321+S321+T321+Observaciones!$F320-U321-Constantes!$E$35)),0)</f>
        <v>1.5469514255545392E-2</v>
      </c>
      <c r="X321" s="170">
        <f>IF(Escenarios!$E$14&gt;0,Observaciones!$J320,0)</f>
        <v>0</v>
      </c>
      <c r="Y321" s="170">
        <f>IF(Escenarios!$E$14&gt;0,MAX(0,Z320+R321+S321+T321+Observaciones!$F320-U321-W321-X321-Constantes!$E$33),0)</f>
        <v>0</v>
      </c>
      <c r="Z321" s="170">
        <f>Z320+R321+S321+T321+Observaciones!$F320-U321-W321-Y321</f>
        <v>41.253867378563889</v>
      </c>
      <c r="AA321" s="170">
        <f>IF(Escenarios!$E$14&gt;0,(Escenarios!$E$13*L321+Escenarios!$E$14*W321)/(Escenarios!$E$16),L321)</f>
        <v>0.92342568112095491</v>
      </c>
      <c r="AB321" s="170">
        <f>IF(Escenarios!$E$14&gt;0,(Escenarios!$E$14*Y321)/(Escenarios!$E$16),K321)</f>
        <v>0</v>
      </c>
      <c r="AC321" s="170">
        <f>IF(Escenarios!$E$14&gt;0,(Escenarios!$E$13*M321+Escenarios!$E$14*U321)/(Escenarios!$E$16),M321)</f>
        <v>0</v>
      </c>
      <c r="AD321" s="76">
        <f t="shared" si="57"/>
        <v>63.3144826840484</v>
      </c>
      <c r="AE321" s="76">
        <f>MAX(0,(AD321-Constantes!$D$13)*(1-EXP(-Constantes!$D$23)))</f>
        <v>0.14350731687543616</v>
      </c>
      <c r="AF321" s="76">
        <f>AB321+O321*Escenarios!$E$13/Escenarios!$E$16+AE321</f>
        <v>0.14939757276581372</v>
      </c>
      <c r="AG321" s="76">
        <f>IF(Entradas!$E$91&gt;0,IF(AF321-Escenarios!$E$38&lt;=0,0,IF(AF321-Escenarios!$E$38&gt;Escenarios!$E$37,Escenarios!$E$37,AF321-Escenarios!$E$38)),0)</f>
        <v>0</v>
      </c>
      <c r="AH321" s="76">
        <f>AG321*Entradas!$E$99</f>
        <v>0</v>
      </c>
      <c r="AI321" s="76">
        <f>IF(Entradas!$E$91&gt;0,D321*Entradas!$D$23/Escenarios!$E$16,0)</f>
        <v>0</v>
      </c>
      <c r="AJ321" s="76">
        <f>IF(Entradas!$E$91&gt;0,Entradas!$D$24*Entradas!$D$22/Escenarios!$E$16,0)</f>
        <v>0</v>
      </c>
      <c r="AK321" s="76">
        <f t="shared" si="66"/>
        <v>0.92342568112095491</v>
      </c>
      <c r="AL321" s="76">
        <f t="shared" si="67"/>
        <v>0</v>
      </c>
      <c r="AM321" s="76">
        <f t="shared" si="58"/>
        <v>0</v>
      </c>
      <c r="AN321" s="76">
        <f>MAX(0,O321*Escenarios!$E$13/Escenarios!$E$16-AM321)</f>
        <v>5.8902558903775578E-3</v>
      </c>
      <c r="AO321" s="76">
        <f>AM321+AN321-O321*Escenarios!$E$13/Escenarios!$E$16</f>
        <v>0</v>
      </c>
      <c r="AP321" s="76">
        <f t="shared" si="56"/>
        <v>0.14350731687543616</v>
      </c>
      <c r="AQ321" s="76">
        <f t="shared" si="59"/>
        <v>0</v>
      </c>
      <c r="AR321" s="76">
        <f t="shared" si="60"/>
        <v>0.14939757276581372</v>
      </c>
      <c r="AS321" s="76">
        <f t="shared" si="61"/>
        <v>0</v>
      </c>
      <c r="AT321" s="76">
        <f t="shared" si="62"/>
        <v>0</v>
      </c>
      <c r="AU321" s="76">
        <f t="shared" si="63"/>
        <v>48.75</v>
      </c>
      <c r="AV321" s="76">
        <f>MAX(0,(AU321-Constantes!$D$13)*(1-EXP(-Constantes!$D$24)))</f>
        <v>0</v>
      </c>
      <c r="AW321" s="170">
        <f>AW320+(Entradas!$E$112*AT321-AX320)/(800*Entradas!$D$25)</f>
        <v>0</v>
      </c>
      <c r="AX321" s="170">
        <f>8000*Entradas!$D$26*AW321/Constantes!$E$45</f>
        <v>0</v>
      </c>
      <c r="AY321" s="170">
        <f>IF(Escenarios!$E$17&gt;0,10*Escenarios!$E$16*AL321,0)</f>
        <v>0</v>
      </c>
      <c r="AZ321" s="170">
        <f>IF(Escenarios!$E$17&gt;0,10*Escenarios!$E$16*AX321,0)</f>
        <v>0</v>
      </c>
      <c r="BA321" s="170">
        <f>IF(Escenarios!$E$17&gt;0,0.001*Observaciones!$F320*Escenarios!$E$17,0)</f>
        <v>0</v>
      </c>
      <c r="BB321" s="170">
        <f>IF(Escenarios!$E$17&gt;0,Observaciones!$K320,0)</f>
        <v>0</v>
      </c>
      <c r="BC321" s="170">
        <f>IF(Escenarios!$E$17&gt;0,MIN(0.0005*ETo!$M320*Escenarios!$E$17*(BG320/Constantes!$E$40)^(2/3),BG320+AY321+AZ321+BA321+BB321),0)</f>
        <v>11.829637902515794</v>
      </c>
      <c r="BD321" s="170">
        <f>IF(Escenarios!$E$17&gt;0,MIN(Constantes!$E$39*(BG320/Constantes!$E$40)^(2/3),BG320+AY321+AZ321+BA321+BB321-BC321),0)</f>
        <v>19.42056555430749</v>
      </c>
      <c r="BE321" s="170">
        <f>IF(Escenarios!$E$17&gt;0,MIN(Entradas!$E$113,BG320+AY321+AZ321+BA321+BB321-BC321-BD321),0)</f>
        <v>1</v>
      </c>
      <c r="BF321" s="170">
        <f>IF(Escenarios!$E$17&gt;0,MAX(0,BG320+AY321+AZ321+BA321+BB321-BC321-BD321-BE321-Constantes!$E$40),0)</f>
        <v>0</v>
      </c>
      <c r="BG321" s="170">
        <f t="shared" si="68"/>
        <v>765.13205774823439</v>
      </c>
      <c r="BH321" s="170">
        <f>(Escenarios!$E$16*AK321+0.1*BC321)/(Escenarios!$E$19)</f>
        <v>0.92079120662892977</v>
      </c>
      <c r="BI321" s="170">
        <f>IF(Escenarios!$E$17&gt;0,BF321/10/Escenarios!$E$19,AL321)</f>
        <v>0</v>
      </c>
      <c r="BJ321" s="170">
        <f>(Escenarios!$E$16*AT321+0.1*BD321)/(Escenarios!$E$19)</f>
        <v>7.706573632661703E-3</v>
      </c>
      <c r="BK321" s="76">
        <f>BK320+(0.1*BD321)/(Escenarios!$E$19)-BL320</f>
        <v>49.492224518346625</v>
      </c>
      <c r="BL321" s="76">
        <f>MAX(0,(BK321-Constantes!$D$13)*(1-EXP(-Constantes!$D$23)))</f>
        <v>7.3133149633763583E-3</v>
      </c>
      <c r="BM321" s="76">
        <f t="shared" si="64"/>
        <v>0.15082063183881253</v>
      </c>
      <c r="BN321" s="76">
        <f t="shared" si="69"/>
        <v>0.15671088772919009</v>
      </c>
      <c r="BO321" s="76">
        <f>0.0526*BI321*Observaciones!$F320^1.218</f>
        <v>0</v>
      </c>
      <c r="BP321" s="76">
        <f>BO321*Constantes!$E$51</f>
        <v>0</v>
      </c>
      <c r="BQ321" s="76">
        <f t="shared" si="65"/>
        <v>0</v>
      </c>
      <c r="BR321" s="40"/>
    </row>
    <row r="322" spans="1:70">
      <c r="A322" s="147"/>
      <c r="B322" s="39"/>
      <c r="C322" s="75">
        <v>316</v>
      </c>
      <c r="D322" s="146">
        <f>ETo!$I321*((1-Constantes!$E$19)*ETo!$K321+ETo!$L321)</f>
        <v>4.4141892217641372</v>
      </c>
      <c r="E322" s="76">
        <f>MIN(D322*Constantes!$E$17,0.8*(N321+Observaciones!$F321-F322-M322-Constantes!$D$14))</f>
        <v>0.15719908962093998</v>
      </c>
      <c r="F322" s="76">
        <f>IF(Observaciones!$F321&gt;0.05*Constantes!$E$18,((Observaciones!$F321-0.05*Constantes!$E$18)^2)/(Observaciones!$F321+0.95*Constantes!$E$18),0)</f>
        <v>0</v>
      </c>
      <c r="G322" s="76">
        <f>IF(Escenarios!$E$11&gt;0,(F322*Escenarios!$E$16*10000)/1000,0)</f>
        <v>0</v>
      </c>
      <c r="H322" s="76">
        <f>IF(Escenarios!$E$11&gt;0,(Observaciones!$F321*Constantes!$E$29)/1000,0)</f>
        <v>0</v>
      </c>
      <c r="I322" s="76">
        <f>IF(Escenarios!$E$11&gt;0,(D322*Constantes!$E$29)/1000,0)</f>
        <v>44.14189221764137</v>
      </c>
      <c r="J322" s="76">
        <f>IF(Escenarios!$E$11&gt;0,MAX(0,G322+H322-I322),0)</f>
        <v>0</v>
      </c>
      <c r="K322" s="76">
        <f>IF(Escenarios!$E$11&gt;0,IF(J322&gt;Constantes!$E$30,1000*((J322-Constantes!$E$30)/(Escenarios!$E$16*10000)),0),F322)</f>
        <v>0</v>
      </c>
      <c r="L322" s="76">
        <f>IF(Escenarios!$E$11&gt;0,I322*1000/Escenarios!$E$16/10000+E322,E322)</f>
        <v>0.17485584650799652</v>
      </c>
      <c r="M322" s="76">
        <f>MAX(0,N321+Observaciones!$F321-K322-Constantes!$D$13)</f>
        <v>0</v>
      </c>
      <c r="N322" s="76">
        <f>N321+Observaciones!$F321-K322-L322-M322-O321</f>
        <v>11.264949542915476</v>
      </c>
      <c r="O322" s="76">
        <f>MAX(0,(N322-Constantes!$D$14)*(1-EXP(-Constantes!$D$22)))</f>
        <v>5.0923631259667201E-4</v>
      </c>
      <c r="P322" s="170">
        <f>P321+(Entradas!$E$83*M322-Q321)/(800*Entradas!$D$25)</f>
        <v>0</v>
      </c>
      <c r="Q322" s="170">
        <f>8000*Entradas!$D$26*P322/Constantes!$E$45</f>
        <v>0</v>
      </c>
      <c r="R322" s="170">
        <f>IF(Escenarios!$E$14&gt;0,K322*Escenarios!$E$13/Escenarios!$E$14,0)</f>
        <v>0</v>
      </c>
      <c r="S322" s="170">
        <f>IF(Escenarios!$E$14&gt;0,Q322*Escenarios!$E$13/Escenarios!$E$14,0)</f>
        <v>0</v>
      </c>
      <c r="T322" s="170">
        <f>IF(Escenarios!$E$14&gt;0,Observaciones!$I321,0)</f>
        <v>0</v>
      </c>
      <c r="U322" s="170">
        <f>IF(Escenarios!$E$14&gt;0,MAX(0,Constantes!$E$36/((Z321+R322+S322+T322+Observaciones!$F321)^2)+Entradas!$E$77),0)</f>
        <v>0</v>
      </c>
      <c r="V322" s="146">
        <f>IF(ETo!D321&gt;0,ETo!I321*((1-Entradas!$E$81)*ETo!K321+ETo!L321),0)</f>
        <v>4.0343653562697508</v>
      </c>
      <c r="W322" s="170">
        <f>IF(Escenarios!$E$14&gt;0,MIN(V322*1,0.8*(Z321+R322+S322+T322+Observaciones!$F321-U322-Constantes!$E$35)),0)</f>
        <v>3.0939028511113523E-3</v>
      </c>
      <c r="X322" s="170">
        <f>IF(Escenarios!$E$14&gt;0,Observaciones!$J321,0)</f>
        <v>0</v>
      </c>
      <c r="Y322" s="170">
        <f>IF(Escenarios!$E$14&gt;0,MAX(0,Z321+R322+S322+T322+Observaciones!$F321-U322-W322-X322-Constantes!$E$33),0)</f>
        <v>0</v>
      </c>
      <c r="Z322" s="170">
        <f>Z321+R322+S322+T322+Observaciones!$F321-U322-W322-Y322</f>
        <v>41.250773475712776</v>
      </c>
      <c r="AA322" s="170">
        <f>IF(Escenarios!$E$14&gt;0,(Escenarios!$E$13*L322+Escenarios!$E$14*W322)/(Escenarios!$E$16),L322)</f>
        <v>0.15424441326917032</v>
      </c>
      <c r="AB322" s="170">
        <f>IF(Escenarios!$E$14&gt;0,(Escenarios!$E$14*Y322)/(Escenarios!$E$16),K322)</f>
        <v>0</v>
      </c>
      <c r="AC322" s="170">
        <f>IF(Escenarios!$E$14&gt;0,(Escenarios!$E$13*M322+Escenarios!$E$14*U322)/(Escenarios!$E$16),M322)</f>
        <v>0</v>
      </c>
      <c r="AD322" s="76">
        <f t="shared" si="57"/>
        <v>63.170975367172964</v>
      </c>
      <c r="AE322" s="76">
        <f>MAX(0,(AD322-Constantes!$D$13)*(1-EXP(-Constantes!$D$23)))</f>
        <v>0.14209330510148263</v>
      </c>
      <c r="AF322" s="76">
        <f>AB322+O322*Escenarios!$E$13/Escenarios!$E$16+AE322</f>
        <v>0.14254143305656769</v>
      </c>
      <c r="AG322" s="76">
        <f>IF(Entradas!$E$91&gt;0,IF(AF322-Escenarios!$E$38&lt;=0,0,IF(AF322-Escenarios!$E$38&gt;Escenarios!$E$37,Escenarios!$E$37,AF322-Escenarios!$E$38)),0)</f>
        <v>0</v>
      </c>
      <c r="AH322" s="76">
        <f>AG322*Entradas!$E$99</f>
        <v>0</v>
      </c>
      <c r="AI322" s="76">
        <f>IF(Entradas!$E$91&gt;0,D322*Entradas!$D$23/Escenarios!$E$16,0)</f>
        <v>0</v>
      </c>
      <c r="AJ322" s="76">
        <f>IF(Entradas!$E$91&gt;0,Entradas!$D$24*Entradas!$D$22/Escenarios!$E$16,0)</f>
        <v>0</v>
      </c>
      <c r="AK322" s="76">
        <f t="shared" si="66"/>
        <v>0.15424441326917032</v>
      </c>
      <c r="AL322" s="76">
        <f t="shared" si="67"/>
        <v>0</v>
      </c>
      <c r="AM322" s="76">
        <f t="shared" si="58"/>
        <v>0</v>
      </c>
      <c r="AN322" s="76">
        <f>MAX(0,O322*Escenarios!$E$13/Escenarios!$E$16-AM322)</f>
        <v>4.4812795508507135E-4</v>
      </c>
      <c r="AO322" s="76">
        <f>AM322+AN322-O322*Escenarios!$E$13/Escenarios!$E$16</f>
        <v>0</v>
      </c>
      <c r="AP322" s="76">
        <f t="shared" si="56"/>
        <v>0.14209330510148263</v>
      </c>
      <c r="AQ322" s="76">
        <f t="shared" si="59"/>
        <v>0</v>
      </c>
      <c r="AR322" s="76">
        <f t="shared" si="60"/>
        <v>0.14254143305656769</v>
      </c>
      <c r="AS322" s="76">
        <f t="shared" si="61"/>
        <v>0</v>
      </c>
      <c r="AT322" s="76">
        <f t="shared" si="62"/>
        <v>0</v>
      </c>
      <c r="AU322" s="76">
        <f t="shared" si="63"/>
        <v>48.75</v>
      </c>
      <c r="AV322" s="76">
        <f>MAX(0,(AU322-Constantes!$D$13)*(1-EXP(-Constantes!$D$24)))</f>
        <v>0</v>
      </c>
      <c r="AW322" s="170">
        <f>AW321+(Entradas!$E$112*AT322-AX321)/(800*Entradas!$D$25)</f>
        <v>0</v>
      </c>
      <c r="AX322" s="170">
        <f>8000*Entradas!$D$26*AW322/Constantes!$E$45</f>
        <v>0</v>
      </c>
      <c r="AY322" s="170">
        <f>IF(Escenarios!$E$17&gt;0,10*Escenarios!$E$16*AL322,0)</f>
        <v>0</v>
      </c>
      <c r="AZ322" s="170">
        <f>IF(Escenarios!$E$17&gt;0,10*Escenarios!$E$16*AX322,0)</f>
        <v>0</v>
      </c>
      <c r="BA322" s="170">
        <f>IF(Escenarios!$E$17&gt;0,0.001*Observaciones!$F321*Escenarios!$E$17,0)</f>
        <v>0</v>
      </c>
      <c r="BB322" s="170">
        <f>IF(Escenarios!$E$17&gt;0,Observaciones!$K321,0)</f>
        <v>0</v>
      </c>
      <c r="BC322" s="170">
        <f>IF(Escenarios!$E$17&gt;0,MIN(0.0005*ETo!$M321*Escenarios!$E$17*(BG321/Constantes!$E$40)^(2/3),BG321+AY322+AZ322+BA322+BB322),0)</f>
        <v>11.836322347537727</v>
      </c>
      <c r="BD322" s="170">
        <f>IF(Escenarios!$E$17&gt;0,MIN(Constantes!$E$39*(BG321/Constantes!$E$40)^(2/3),BG321+AY322+AZ322+BA322+BB322-BC322),0)</f>
        <v>18.893326309390147</v>
      </c>
      <c r="BE322" s="170">
        <f>IF(Escenarios!$E$17&gt;0,MIN(Entradas!$E$113,BG321+AY322+AZ322+BA322+BB322-BC322-BD322),0)</f>
        <v>1</v>
      </c>
      <c r="BF322" s="170">
        <f>IF(Escenarios!$E$17&gt;0,MAX(0,BG321+AY322+AZ322+BA322+BB322-BC322-BD322-BE322-Constantes!$E$40),0)</f>
        <v>0</v>
      </c>
      <c r="BG322" s="170">
        <f t="shared" si="68"/>
        <v>733.40240909130648</v>
      </c>
      <c r="BH322" s="170">
        <f>(Escenarios!$E$16*AK322+0.1*BC322)/(Escenarios!$E$19)</f>
        <v>0.15771720457161251</v>
      </c>
      <c r="BI322" s="170">
        <f>IF(Escenarios!$E$17&gt;0,BF322/10/Escenarios!$E$19,AL322)</f>
        <v>0</v>
      </c>
      <c r="BJ322" s="170">
        <f>(Escenarios!$E$16*AT322+0.1*BD322)/(Escenarios!$E$19)</f>
        <v>7.4973517100754552E-3</v>
      </c>
      <c r="BK322" s="76">
        <f>BK321+(0.1*BD322)/(Escenarios!$E$19)-BL321</f>
        <v>49.492408555093327</v>
      </c>
      <c r="BL322" s="76">
        <f>MAX(0,(BK322-Constantes!$D$13)*(1-EXP(-Constantes!$D$23)))</f>
        <v>7.3151283212757566E-3</v>
      </c>
      <c r="BM322" s="76">
        <f t="shared" si="64"/>
        <v>0.14940843342275839</v>
      </c>
      <c r="BN322" s="76">
        <f t="shared" si="69"/>
        <v>0.14985656137784345</v>
      </c>
      <c r="BO322" s="76">
        <f>0.0526*BI322*Observaciones!$F321^1.218</f>
        <v>0</v>
      </c>
      <c r="BP322" s="76">
        <f>BO322*Constantes!$E$51</f>
        <v>0</v>
      </c>
      <c r="BQ322" s="76">
        <f t="shared" si="65"/>
        <v>0</v>
      </c>
      <c r="BR322" s="40"/>
    </row>
    <row r="323" spans="1:70">
      <c r="A323" s="147"/>
      <c r="B323" s="39"/>
      <c r="C323" s="75">
        <v>317</v>
      </c>
      <c r="D323" s="146">
        <f>ETo!$I322*((1-Constantes!$E$19)*ETo!$K322+ETo!$L322)</f>
        <v>4.5472914525102039</v>
      </c>
      <c r="E323" s="76">
        <f>MIN(D323*Constantes!$E$17,0.8*(N322+Observaciones!$F322-F323-M323-Constantes!$D$14))</f>
        <v>1.931959634332381</v>
      </c>
      <c r="F323" s="76">
        <f>IF(Observaciones!$F322&gt;0.05*Constantes!$E$18,((Observaciones!$F322-0.05*Constantes!$E$18)^2)/(Observaciones!$F322+0.95*Constantes!$E$18),0)</f>
        <v>0</v>
      </c>
      <c r="G323" s="76">
        <f>IF(Escenarios!$E$11&gt;0,(F323*Escenarios!$E$16*10000)/1000,0)</f>
        <v>0</v>
      </c>
      <c r="H323" s="76">
        <f>IF(Escenarios!$E$11&gt;0,(Observaciones!$F322*Constantes!$E$29)/1000,0)</f>
        <v>24</v>
      </c>
      <c r="I323" s="76">
        <f>IF(Escenarios!$E$11&gt;0,(D323*Constantes!$E$29)/1000,0)</f>
        <v>45.472914525102041</v>
      </c>
      <c r="J323" s="76">
        <f>IF(Escenarios!$E$11&gt;0,MAX(0,G323+H323-I323),0)</f>
        <v>0</v>
      </c>
      <c r="K323" s="76">
        <f>IF(Escenarios!$E$11&gt;0,IF(J323&gt;Constantes!$E$30,1000*((J323-Constantes!$E$30)/(Escenarios!$E$16*10000)),0),F323)</f>
        <v>0</v>
      </c>
      <c r="L323" s="76">
        <f>IF(Escenarios!$E$11&gt;0,I323*1000/Escenarios!$E$16/10000+E323,E323)</f>
        <v>1.9501488001424219</v>
      </c>
      <c r="M323" s="76">
        <f>MAX(0,N322+Observaciones!$F322-K323-Constantes!$D$13)</f>
        <v>0</v>
      </c>
      <c r="N323" s="76">
        <f>N322+Observaciones!$F322-K323-L323-M323-O322</f>
        <v>11.714291506460457</v>
      </c>
      <c r="O323" s="76">
        <f>MAX(0,(N323-Constantes!$D$14)*(1-EXP(-Constantes!$D$22)))</f>
        <v>1.5815473159056927E-2</v>
      </c>
      <c r="P323" s="170">
        <f>P322+(Entradas!$E$83*M323-Q322)/(800*Entradas!$D$25)</f>
        <v>0</v>
      </c>
      <c r="Q323" s="170">
        <f>8000*Entradas!$D$26*P323/Constantes!$E$45</f>
        <v>0</v>
      </c>
      <c r="R323" s="170">
        <f>IF(Escenarios!$E$14&gt;0,K323*Escenarios!$E$13/Escenarios!$E$14,0)</f>
        <v>0</v>
      </c>
      <c r="S323" s="170">
        <f>IF(Escenarios!$E$14&gt;0,Q323*Escenarios!$E$13/Escenarios!$E$14,0)</f>
        <v>0</v>
      </c>
      <c r="T323" s="170">
        <f>IF(Escenarios!$E$14&gt;0,Observaciones!$I322,0)</f>
        <v>0</v>
      </c>
      <c r="U323" s="170">
        <f>IF(Escenarios!$E$14&gt;0,MAX(0,Constantes!$E$36/((Z322+R323+S323+T323+Observaciones!$F322)^2)+Entradas!$E$77),0)</f>
        <v>0</v>
      </c>
      <c r="V323" s="146">
        <f>IF(ETo!D322&gt;0,ETo!I322*((1-Entradas!$E$81)*ETo!K322+ETo!L322),0)</f>
        <v>4.1578236634085668</v>
      </c>
      <c r="W323" s="170">
        <f>IF(Escenarios!$E$14&gt;0,MIN(V323*1,0.8*(Z322+R323+S323+T323+Observaciones!$F322-U323-Constantes!$E$35)),0)</f>
        <v>1.9206187805702202</v>
      </c>
      <c r="X323" s="170">
        <f>IF(Escenarios!$E$14&gt;0,Observaciones!$J322,0)</f>
        <v>0</v>
      </c>
      <c r="Y323" s="170">
        <f>IF(Escenarios!$E$14&gt;0,MAX(0,Z322+R323+S323+T323+Observaciones!$F322-U323-W323-X323-Constantes!$E$33),0)</f>
        <v>0</v>
      </c>
      <c r="Z323" s="170">
        <f>Z322+R323+S323+T323+Observaciones!$F322-U323-W323-Y323</f>
        <v>41.730154695142552</v>
      </c>
      <c r="AA323" s="170">
        <f>IF(Escenarios!$E$14&gt;0,(Escenarios!$E$13*L323+Escenarios!$E$14*W323)/(Escenarios!$E$16),L323)</f>
        <v>1.9466051977937577</v>
      </c>
      <c r="AB323" s="170">
        <f>IF(Escenarios!$E$14&gt;0,(Escenarios!$E$14*Y323)/(Escenarios!$E$16),K323)</f>
        <v>0</v>
      </c>
      <c r="AC323" s="170">
        <f>IF(Escenarios!$E$14&gt;0,(Escenarios!$E$13*M323+Escenarios!$E$14*U323)/(Escenarios!$E$16),M323)</f>
        <v>0</v>
      </c>
      <c r="AD323" s="76">
        <f t="shared" si="57"/>
        <v>63.028882062071482</v>
      </c>
      <c r="AE323" s="76">
        <f>MAX(0,(AD323-Constantes!$D$13)*(1-EXP(-Constantes!$D$23)))</f>
        <v>0.14069322592232922</v>
      </c>
      <c r="AF323" s="76">
        <f>AB323+O323*Escenarios!$E$13/Escenarios!$E$16+AE323</f>
        <v>0.15461084230229932</v>
      </c>
      <c r="AG323" s="76">
        <f>IF(Entradas!$E$91&gt;0,IF(AF323-Escenarios!$E$38&lt;=0,0,IF(AF323-Escenarios!$E$38&gt;Escenarios!$E$37,Escenarios!$E$37,AF323-Escenarios!$E$38)),0)</f>
        <v>0</v>
      </c>
      <c r="AH323" s="76">
        <f>AG323*Entradas!$E$99</f>
        <v>0</v>
      </c>
      <c r="AI323" s="76">
        <f>IF(Entradas!$E$91&gt;0,D323*Entradas!$D$23/Escenarios!$E$16,0)</f>
        <v>0</v>
      </c>
      <c r="AJ323" s="76">
        <f>IF(Entradas!$E$91&gt;0,Entradas!$D$24*Entradas!$D$22/Escenarios!$E$16,0)</f>
        <v>0</v>
      </c>
      <c r="AK323" s="76">
        <f t="shared" si="66"/>
        <v>1.9466051977937577</v>
      </c>
      <c r="AL323" s="76">
        <f t="shared" si="67"/>
        <v>0</v>
      </c>
      <c r="AM323" s="76">
        <f t="shared" si="58"/>
        <v>0</v>
      </c>
      <c r="AN323" s="76">
        <f>MAX(0,O323*Escenarios!$E$13/Escenarios!$E$16-AM323)</f>
        <v>1.3917616379970098E-2</v>
      </c>
      <c r="AO323" s="76">
        <f>AM323+AN323-O323*Escenarios!$E$13/Escenarios!$E$16</f>
        <v>0</v>
      </c>
      <c r="AP323" s="76">
        <f t="shared" si="56"/>
        <v>0.14069322592232922</v>
      </c>
      <c r="AQ323" s="76">
        <f t="shared" si="59"/>
        <v>0</v>
      </c>
      <c r="AR323" s="76">
        <f t="shared" si="60"/>
        <v>0.15461084230229932</v>
      </c>
      <c r="AS323" s="76">
        <f t="shared" si="61"/>
        <v>0</v>
      </c>
      <c r="AT323" s="76">
        <f t="shared" si="62"/>
        <v>0</v>
      </c>
      <c r="AU323" s="76">
        <f t="shared" si="63"/>
        <v>48.75</v>
      </c>
      <c r="AV323" s="76">
        <f>MAX(0,(AU323-Constantes!$D$13)*(1-EXP(-Constantes!$D$24)))</f>
        <v>0</v>
      </c>
      <c r="AW323" s="170">
        <f>AW322+(Entradas!$E$112*AT323-AX322)/(800*Entradas!$D$25)</f>
        <v>0</v>
      </c>
      <c r="AX323" s="170">
        <f>8000*Entradas!$D$26*AW323/Constantes!$E$45</f>
        <v>0</v>
      </c>
      <c r="AY323" s="170">
        <f>IF(Escenarios!$E$17&gt;0,10*Escenarios!$E$16*AL323,0)</f>
        <v>0</v>
      </c>
      <c r="AZ323" s="170">
        <f>IF(Escenarios!$E$17&gt;0,10*Escenarios!$E$16*AX323,0)</f>
        <v>0</v>
      </c>
      <c r="BA323" s="170">
        <f>IF(Escenarios!$E$17&gt;0,0.001*Observaciones!$F322*Escenarios!$E$17,0)</f>
        <v>47.999999999999993</v>
      </c>
      <c r="BB323" s="170">
        <f>IF(Escenarios!$E$17&gt;0,Observaciones!$K322,0)</f>
        <v>0</v>
      </c>
      <c r="BC323" s="170">
        <f>IF(Escenarios!$E$17&gt;0,MIN(0.0005*ETo!$M322*Escenarios!$E$17*(BG322/Constantes!$E$40)^(2/3),BG322+AY323+AZ323+BA323+BB323),0)</f>
        <v>11.847218829961241</v>
      </c>
      <c r="BD323" s="170">
        <f>IF(Escenarios!$E$17&gt;0,MIN(Constantes!$E$39*(BG322/Constantes!$E$40)^(2/3),BG322+AY323+AZ323+BA323+BB323-BC323),0)</f>
        <v>18.367316703453419</v>
      </c>
      <c r="BE323" s="170">
        <f>IF(Escenarios!$E$17&gt;0,MIN(Entradas!$E$113,BG322+AY323+AZ323+BA323+BB323-BC323-BD323),0)</f>
        <v>1</v>
      </c>
      <c r="BF323" s="170">
        <f>IF(Escenarios!$E$17&gt;0,MAX(0,BG322+AY323+AZ323+BA323+BB323-BC323-BD323-BE323-Constantes!$E$40),0)</f>
        <v>0</v>
      </c>
      <c r="BG323" s="170">
        <f t="shared" si="68"/>
        <v>750.18787355789186</v>
      </c>
      <c r="BH323" s="170">
        <f>(Escenarios!$E$16*AK323+0.1*BC323)/(Escenarios!$E$19)</f>
        <v>1.9358572275056967</v>
      </c>
      <c r="BI323" s="170">
        <f>IF(Escenarios!$E$17&gt;0,BF323/10/Escenarios!$E$19,AL323)</f>
        <v>0</v>
      </c>
      <c r="BJ323" s="170">
        <f>(Escenarios!$E$16*AT323+0.1*BD323)/(Escenarios!$E$19)</f>
        <v>7.2886177394656431E-3</v>
      </c>
      <c r="BK323" s="76">
        <f>BK322+(0.1*BD323)/(Escenarios!$E$19)-BL322</f>
        <v>49.492382044511515</v>
      </c>
      <c r="BL323" s="76">
        <f>MAX(0,(BK323-Constantes!$D$13)*(1-EXP(-Constantes!$D$23)))</f>
        <v>7.314867106198838E-3</v>
      </c>
      <c r="BM323" s="76">
        <f t="shared" si="64"/>
        <v>0.14800809302852805</v>
      </c>
      <c r="BN323" s="76">
        <f t="shared" si="69"/>
        <v>0.16192570940849815</v>
      </c>
      <c r="BO323" s="76">
        <f>0.0526*BI323*Observaciones!$F322^1.218</f>
        <v>0</v>
      </c>
      <c r="BP323" s="76">
        <f>BO323*Constantes!$E$51</f>
        <v>0</v>
      </c>
      <c r="BQ323" s="76">
        <f t="shared" si="65"/>
        <v>0</v>
      </c>
      <c r="BR323" s="40"/>
    </row>
    <row r="324" spans="1:70">
      <c r="A324" s="147"/>
      <c r="B324" s="39"/>
      <c r="C324" s="75">
        <v>318</v>
      </c>
      <c r="D324" s="146">
        <f>ETo!$I323*((1-Constantes!$E$19)*ETo!$K323+ETo!$L323)</f>
        <v>4.5354191278462439</v>
      </c>
      <c r="E324" s="76">
        <f>MIN(D324*Constantes!$E$17,0.8*(N323+Observaciones!$F323-F324-M324-Constantes!$D$14))</f>
        <v>0.85143320516836529</v>
      </c>
      <c r="F324" s="76">
        <f>IF(Observaciones!$F323&gt;0.05*Constantes!$E$18,((Observaciones!$F323-0.05*Constantes!$E$18)^2)/(Observaciones!$F323+0.95*Constantes!$E$18),0)</f>
        <v>0</v>
      </c>
      <c r="G324" s="76">
        <f>IF(Escenarios!$E$11&gt;0,(F324*Escenarios!$E$16*10000)/1000,0)</f>
        <v>0</v>
      </c>
      <c r="H324" s="76">
        <f>IF(Escenarios!$E$11&gt;0,(Observaciones!$F323*Constantes!$E$29)/1000,0)</f>
        <v>6</v>
      </c>
      <c r="I324" s="76">
        <f>IF(Escenarios!$E$11&gt;0,(D324*Constantes!$E$29)/1000,0)</f>
        <v>45.354191278462437</v>
      </c>
      <c r="J324" s="76">
        <f>IF(Escenarios!$E$11&gt;0,MAX(0,G324+H324-I324),0)</f>
        <v>0</v>
      </c>
      <c r="K324" s="76">
        <f>IF(Escenarios!$E$11&gt;0,IF(J324&gt;Constantes!$E$30,1000*((J324-Constantes!$E$30)/(Escenarios!$E$16*10000)),0),F324)</f>
        <v>0</v>
      </c>
      <c r="L324" s="76">
        <f>IF(Escenarios!$E$11&gt;0,I324*1000/Escenarios!$E$16/10000+E324,E324)</f>
        <v>0.86957488167975028</v>
      </c>
      <c r="M324" s="76">
        <f>MAX(0,N323+Observaciones!$F323-K324-Constantes!$D$13)</f>
        <v>0</v>
      </c>
      <c r="N324" s="76">
        <f>N323+Observaciones!$F323-K324-L324-M324-O323</f>
        <v>11.42890115162165</v>
      </c>
      <c r="O324" s="76">
        <f>MAX(0,(N324-Constantes!$D$14)*(1-EXP(-Constantes!$D$22)))</f>
        <v>6.0940299838062144E-3</v>
      </c>
      <c r="P324" s="170">
        <f>P323+(Entradas!$E$83*M324-Q323)/(800*Entradas!$D$25)</f>
        <v>0</v>
      </c>
      <c r="Q324" s="170">
        <f>8000*Entradas!$D$26*P324/Constantes!$E$45</f>
        <v>0</v>
      </c>
      <c r="R324" s="170">
        <f>IF(Escenarios!$E$14&gt;0,K324*Escenarios!$E$13/Escenarios!$E$14,0)</f>
        <v>0</v>
      </c>
      <c r="S324" s="170">
        <f>IF(Escenarios!$E$14&gt;0,Q324*Escenarios!$E$13/Escenarios!$E$14,0)</f>
        <v>0</v>
      </c>
      <c r="T324" s="170">
        <f>IF(Escenarios!$E$14&gt;0,Observaciones!$I323,0)</f>
        <v>0</v>
      </c>
      <c r="U324" s="170">
        <f>IF(Escenarios!$E$14&gt;0,MAX(0,Constantes!$E$36/((Z323+R324+S324+T324+Observaciones!$F323)^2)+Entradas!$E$77),0)</f>
        <v>0</v>
      </c>
      <c r="V324" s="146">
        <f>IF(ETo!D323&gt;0,ETo!I323*((1-Entradas!$E$81)*ETo!K323+ETo!L323),0)</f>
        <v>4.1468099240221052</v>
      </c>
      <c r="W324" s="170">
        <f>IF(Escenarios!$E$14&gt;0,MIN(V324*1,0.8*(Z323+R324+S324+T324+Observaciones!$F323-U324-Constantes!$E$35)),0)</f>
        <v>0.86412375611404291</v>
      </c>
      <c r="X324" s="170">
        <f>IF(Escenarios!$E$14&gt;0,Observaciones!$J323,0)</f>
        <v>0</v>
      </c>
      <c r="Y324" s="170">
        <f>IF(Escenarios!$E$14&gt;0,MAX(0,Z323+R324+S324+T324+Observaciones!$F323-U324-W324-X324-Constantes!$E$33),0)</f>
        <v>0</v>
      </c>
      <c r="Z324" s="170">
        <f>Z323+R324+S324+T324+Observaciones!$F323-U324-W324-Y324</f>
        <v>41.466030939028514</v>
      </c>
      <c r="AA324" s="170">
        <f>IF(Escenarios!$E$14&gt;0,(Escenarios!$E$13*L324+Escenarios!$E$14*W324)/(Escenarios!$E$16),L324)</f>
        <v>0.86892074661186536</v>
      </c>
      <c r="AB324" s="170">
        <f>IF(Escenarios!$E$14&gt;0,(Escenarios!$E$14*Y324)/(Escenarios!$E$16),K324)</f>
        <v>0</v>
      </c>
      <c r="AC324" s="170">
        <f>IF(Escenarios!$E$14&gt;0,(Escenarios!$E$13*M324+Escenarios!$E$14*U324)/(Escenarios!$E$16),M324)</f>
        <v>0</v>
      </c>
      <c r="AD324" s="76">
        <f t="shared" si="57"/>
        <v>62.888188836149155</v>
      </c>
      <c r="AE324" s="76">
        <f>MAX(0,(AD324-Constantes!$D$13)*(1-EXP(-Constantes!$D$23)))</f>
        <v>0.13930694205680091</v>
      </c>
      <c r="AF324" s="76">
        <f>AB324+O324*Escenarios!$E$13/Escenarios!$E$16+AE324</f>
        <v>0.14466968844255038</v>
      </c>
      <c r="AG324" s="76">
        <f>IF(Entradas!$E$91&gt;0,IF(AF324-Escenarios!$E$38&lt;=0,0,IF(AF324-Escenarios!$E$38&gt;Escenarios!$E$37,Escenarios!$E$37,AF324-Escenarios!$E$38)),0)</f>
        <v>0</v>
      </c>
      <c r="AH324" s="76">
        <f>AG324*Entradas!$E$99</f>
        <v>0</v>
      </c>
      <c r="AI324" s="76">
        <f>IF(Entradas!$E$91&gt;0,D324*Entradas!$D$23/Escenarios!$E$16,0)</f>
        <v>0</v>
      </c>
      <c r="AJ324" s="76">
        <f>IF(Entradas!$E$91&gt;0,Entradas!$D$24*Entradas!$D$22/Escenarios!$E$16,0)</f>
        <v>0</v>
      </c>
      <c r="AK324" s="76">
        <f t="shared" si="66"/>
        <v>0.86892074661186536</v>
      </c>
      <c r="AL324" s="76">
        <f t="shared" si="67"/>
        <v>0</v>
      </c>
      <c r="AM324" s="76">
        <f t="shared" si="58"/>
        <v>0</v>
      </c>
      <c r="AN324" s="76">
        <f>MAX(0,O324*Escenarios!$E$13/Escenarios!$E$16-AM324)</f>
        <v>5.3627463857494687E-3</v>
      </c>
      <c r="AO324" s="76">
        <f>AM324+AN324-O324*Escenarios!$E$13/Escenarios!$E$16</f>
        <v>0</v>
      </c>
      <c r="AP324" s="76">
        <f t="shared" si="56"/>
        <v>0.13930694205680091</v>
      </c>
      <c r="AQ324" s="76">
        <f t="shared" si="59"/>
        <v>0</v>
      </c>
      <c r="AR324" s="76">
        <f t="shared" si="60"/>
        <v>0.14466968844255038</v>
      </c>
      <c r="AS324" s="76">
        <f t="shared" si="61"/>
        <v>0</v>
      </c>
      <c r="AT324" s="76">
        <f t="shared" si="62"/>
        <v>0</v>
      </c>
      <c r="AU324" s="76">
        <f t="shared" si="63"/>
        <v>48.75</v>
      </c>
      <c r="AV324" s="76">
        <f>MAX(0,(AU324-Constantes!$D$13)*(1-EXP(-Constantes!$D$24)))</f>
        <v>0</v>
      </c>
      <c r="AW324" s="170">
        <f>AW323+(Entradas!$E$112*AT324-AX323)/(800*Entradas!$D$25)</f>
        <v>0</v>
      </c>
      <c r="AX324" s="170">
        <f>8000*Entradas!$D$26*AW324/Constantes!$E$45</f>
        <v>0</v>
      </c>
      <c r="AY324" s="170">
        <f>IF(Escenarios!$E$17&gt;0,10*Escenarios!$E$16*AL324,0)</f>
        <v>0</v>
      </c>
      <c r="AZ324" s="170">
        <f>IF(Escenarios!$E$17&gt;0,10*Escenarios!$E$16*AX324,0)</f>
        <v>0</v>
      </c>
      <c r="BA324" s="170">
        <f>IF(Escenarios!$E$17&gt;0,0.001*Observaciones!$F323*Escenarios!$E$17,0)</f>
        <v>11.999999999999998</v>
      </c>
      <c r="BB324" s="170">
        <f>IF(Escenarios!$E$17&gt;0,Observaciones!$K323,0)</f>
        <v>0</v>
      </c>
      <c r="BC324" s="170">
        <f>IF(Escenarios!$E$17&gt;0,MIN(0.0005*ETo!$M323*Escenarios!$E$17*(BG323/Constantes!$E$40)^(2/3),BG323+AY324+AZ324+BA324+BB324),0)</f>
        <v>11.996480856120758</v>
      </c>
      <c r="BD324" s="170">
        <f>IF(Escenarios!$E$17&gt;0,MIN(Constantes!$E$39*(BG323/Constantes!$E$40)^(2/3),BG323+AY324+AZ324+BA324+BB324-BC324),0)</f>
        <v>18.646508328825693</v>
      </c>
      <c r="BE324" s="170">
        <f>IF(Escenarios!$E$17&gt;0,MIN(Entradas!$E$113,BG323+AY324+AZ324+BA324+BB324-BC324-BD324),0)</f>
        <v>1</v>
      </c>
      <c r="BF324" s="170">
        <f>IF(Escenarios!$E$17&gt;0,MAX(0,BG323+AY324+AZ324+BA324+BB324-BC324-BD324-BE324-Constantes!$E$40),0)</f>
        <v>0</v>
      </c>
      <c r="BG324" s="170">
        <f t="shared" si="68"/>
        <v>730.54488437294538</v>
      </c>
      <c r="BH324" s="170">
        <f>(Escenarios!$E$16*AK324+0.1*BC324)/(Escenarios!$E$19)</f>
        <v>0.86678505848642229</v>
      </c>
      <c r="BI324" s="170">
        <f>IF(Escenarios!$E$17&gt;0,BF324/10/Escenarios!$E$19,AL324)</f>
        <v>0</v>
      </c>
      <c r="BJ324" s="170">
        <f>(Escenarios!$E$16*AT324+0.1*BD324)/(Escenarios!$E$19)</f>
        <v>7.3994080669943221E-3</v>
      </c>
      <c r="BK324" s="76">
        <f>BK323+(0.1*BD324)/(Escenarios!$E$19)-BL323</f>
        <v>49.492466585472314</v>
      </c>
      <c r="BL324" s="76">
        <f>MAX(0,(BK324-Constantes!$D$13)*(1-EXP(-Constantes!$D$23)))</f>
        <v>7.3157001084216793E-3</v>
      </c>
      <c r="BM324" s="76">
        <f t="shared" si="64"/>
        <v>0.14662264216522258</v>
      </c>
      <c r="BN324" s="76">
        <f t="shared" si="69"/>
        <v>0.15198538855097204</v>
      </c>
      <c r="BO324" s="76">
        <f>0.0526*BI324*Observaciones!$F323^1.218</f>
        <v>0</v>
      </c>
      <c r="BP324" s="76">
        <f>BO324*Constantes!$E$51</f>
        <v>0</v>
      </c>
      <c r="BQ324" s="76">
        <f t="shared" si="65"/>
        <v>0</v>
      </c>
      <c r="BR324" s="40"/>
    </row>
    <row r="325" spans="1:70">
      <c r="A325" s="147"/>
      <c r="B325" s="39"/>
      <c r="C325" s="75">
        <v>319</v>
      </c>
      <c r="D325" s="146">
        <f>ETo!$I324*((1-Constantes!$E$19)*ETo!$K324+ETo!$L324)</f>
        <v>4.505285416730004</v>
      </c>
      <c r="E325" s="76">
        <f>MIN(D325*Constantes!$E$17,0.8*(N324+Observaciones!$F324-F325-M325-Constantes!$D$14))</f>
        <v>2.2026895140533749</v>
      </c>
      <c r="F325" s="76">
        <f>IF(Observaciones!$F324&gt;0.05*Constantes!$E$18,((Observaciones!$F324-0.05*Constantes!$E$18)^2)/(Observaciones!$F324+0.95*Constantes!$E$18),0)</f>
        <v>0.45061308139674633</v>
      </c>
      <c r="G325" s="76">
        <f>IF(Escenarios!$E$11&gt;0,(F325*Escenarios!$E$16*10000)/1000,0)</f>
        <v>1126.532703491866</v>
      </c>
      <c r="H325" s="76">
        <f>IF(Escenarios!$E$11&gt;0,(Observaciones!$F324*Constantes!$E$29)/1000,0)</f>
        <v>135</v>
      </c>
      <c r="I325" s="76">
        <f>IF(Escenarios!$E$11&gt;0,(D325*Constantes!$E$29)/1000,0)</f>
        <v>45.05285416730004</v>
      </c>
      <c r="J325" s="76">
        <f>IF(Escenarios!$E$11&gt;0,MAX(0,G325+H325-I325),0)</f>
        <v>1216.479849324566</v>
      </c>
      <c r="K325" s="76">
        <f>IF(Escenarios!$E$11&gt;0,IF(J325&gt;Constantes!$E$30,1000*((J325-Constantes!$E$30)/(Escenarios!$E$16*10000)),0),F325)</f>
        <v>0</v>
      </c>
      <c r="L325" s="76">
        <f>IF(Escenarios!$E$11&gt;0,I325*1000/Escenarios!$E$16/10000+E325,E325)</f>
        <v>2.2207106557202949</v>
      </c>
      <c r="M325" s="76">
        <f>MAX(0,N324+Observaciones!$F324-K325-Constantes!$D$13)</f>
        <v>0</v>
      </c>
      <c r="N325" s="76">
        <f>N324+Observaciones!$F324-K325-L325-M325-O324</f>
        <v>22.702096465917549</v>
      </c>
      <c r="O325" s="76">
        <f>MAX(0,(N325-Constantes!$D$14)*(1-EXP(-Constantes!$D$22)))</f>
        <v>0.39010044713595354</v>
      </c>
      <c r="P325" s="170">
        <f>P324+(Entradas!$E$83*M325-Q324)/(800*Entradas!$D$25)</f>
        <v>0</v>
      </c>
      <c r="Q325" s="170">
        <f>8000*Entradas!$D$26*P325/Constantes!$E$45</f>
        <v>0</v>
      </c>
      <c r="R325" s="170">
        <f>IF(Escenarios!$E$14&gt;0,K325*Escenarios!$E$13/Escenarios!$E$14,0)</f>
        <v>0</v>
      </c>
      <c r="S325" s="170">
        <f>IF(Escenarios!$E$14&gt;0,Q325*Escenarios!$E$13/Escenarios!$E$14,0)</f>
        <v>0</v>
      </c>
      <c r="T325" s="170">
        <f>IF(Escenarios!$E$14&gt;0,Observaciones!$I324,0)</f>
        <v>0</v>
      </c>
      <c r="U325" s="170">
        <f>IF(Escenarios!$E$14&gt;0,MAX(0,Constantes!$E$36/((Z324+R325+S325+T325+Observaciones!$F324)^2)+Entradas!$E$77),0)</f>
        <v>0</v>
      </c>
      <c r="V325" s="146">
        <f>IF(ETo!D324&gt;0,ETo!I324*((1-Entradas!$E$81)*ETo!K324+ETo!L324),0)</f>
        <v>4.1188509329123244</v>
      </c>
      <c r="W325" s="170">
        <f>IF(Escenarios!$E$14&gt;0,MIN(V325*1,0.8*(Z324+R325+S325+T325+Observaciones!$F324-U325-Constantes!$E$35)),0)</f>
        <v>4.1188509329123244</v>
      </c>
      <c r="X325" s="170">
        <f>IF(Escenarios!$E$14&gt;0,Observaciones!$J324,0)</f>
        <v>0</v>
      </c>
      <c r="Y325" s="170">
        <f>IF(Escenarios!$E$14&gt;0,MAX(0,Z324+R325+S325+T325+Observaciones!$F324-U325-W325-X325-Constantes!$E$33),0)</f>
        <v>0</v>
      </c>
      <c r="Z325" s="170">
        <f>Z324+R325+S325+T325+Observaciones!$F324-U325-W325-Y325</f>
        <v>50.84718000611619</v>
      </c>
      <c r="AA325" s="170">
        <f>IF(Escenarios!$E$14&gt;0,(Escenarios!$E$13*L325+Escenarios!$E$14*W325)/(Escenarios!$E$16),L325)</f>
        <v>2.4484874889833388</v>
      </c>
      <c r="AB325" s="170">
        <f>IF(Escenarios!$E$14&gt;0,(Escenarios!$E$14*Y325)/(Escenarios!$E$16),K325)</f>
        <v>0</v>
      </c>
      <c r="AC325" s="170">
        <f>IF(Escenarios!$E$14&gt;0,(Escenarios!$E$13*M325+Escenarios!$E$14*U325)/(Escenarios!$E$16),M325)</f>
        <v>0</v>
      </c>
      <c r="AD325" s="76">
        <f t="shared" si="57"/>
        <v>62.748881894092357</v>
      </c>
      <c r="AE325" s="76">
        <f>MAX(0,(AD325-Constantes!$D$13)*(1-EXP(-Constantes!$D$23)))</f>
        <v>0.13793431757638677</v>
      </c>
      <c r="AF325" s="76">
        <f>AB325+O325*Escenarios!$E$13/Escenarios!$E$16+AE325</f>
        <v>0.48122271105602588</v>
      </c>
      <c r="AG325" s="76">
        <f>IF(Entradas!$E$91&gt;0,IF(AF325-Escenarios!$E$38&lt;=0,0,IF(AF325-Escenarios!$E$38&gt;Escenarios!$E$37,Escenarios!$E$37,AF325-Escenarios!$E$38)),0)</f>
        <v>0</v>
      </c>
      <c r="AH325" s="76">
        <f>AG325*Entradas!$E$99</f>
        <v>0</v>
      </c>
      <c r="AI325" s="76">
        <f>IF(Entradas!$E$91&gt;0,D325*Entradas!$D$23/Escenarios!$E$16,0)</f>
        <v>0</v>
      </c>
      <c r="AJ325" s="76">
        <f>IF(Entradas!$E$91&gt;0,Entradas!$D$24*Entradas!$D$22/Escenarios!$E$16,0)</f>
        <v>0</v>
      </c>
      <c r="AK325" s="76">
        <f t="shared" si="66"/>
        <v>2.4484874889833388</v>
      </c>
      <c r="AL325" s="76">
        <f t="shared" si="67"/>
        <v>0</v>
      </c>
      <c r="AM325" s="76">
        <f t="shared" si="58"/>
        <v>0</v>
      </c>
      <c r="AN325" s="76">
        <f>MAX(0,O325*Escenarios!$E$13/Escenarios!$E$16-AM325)</f>
        <v>0.34328839347963913</v>
      </c>
      <c r="AO325" s="76">
        <f>AM325+AN325-O325*Escenarios!$E$13/Escenarios!$E$16</f>
        <v>0</v>
      </c>
      <c r="AP325" s="76">
        <f t="shared" si="56"/>
        <v>0.13793431757638677</v>
      </c>
      <c r="AQ325" s="76">
        <f t="shared" si="59"/>
        <v>0</v>
      </c>
      <c r="AR325" s="76">
        <f t="shared" si="60"/>
        <v>0.48122271105602588</v>
      </c>
      <c r="AS325" s="76">
        <f t="shared" si="61"/>
        <v>0</v>
      </c>
      <c r="AT325" s="76">
        <f t="shared" si="62"/>
        <v>0</v>
      </c>
      <c r="AU325" s="76">
        <f t="shared" si="63"/>
        <v>48.75</v>
      </c>
      <c r="AV325" s="76">
        <f>MAX(0,(AU325-Constantes!$D$13)*(1-EXP(-Constantes!$D$24)))</f>
        <v>0</v>
      </c>
      <c r="AW325" s="170">
        <f>AW324+(Entradas!$E$112*AT325-AX324)/(800*Entradas!$D$25)</f>
        <v>0</v>
      </c>
      <c r="AX325" s="170">
        <f>8000*Entradas!$D$26*AW325/Constantes!$E$45</f>
        <v>0</v>
      </c>
      <c r="AY325" s="170">
        <f>IF(Escenarios!$E$17&gt;0,10*Escenarios!$E$16*AL325,0)</f>
        <v>0</v>
      </c>
      <c r="AZ325" s="170">
        <f>IF(Escenarios!$E$17&gt;0,10*Escenarios!$E$16*AX325,0)</f>
        <v>0</v>
      </c>
      <c r="BA325" s="170">
        <f>IF(Escenarios!$E$17&gt;0,0.001*Observaciones!$F324*Escenarios!$E$17,0)</f>
        <v>270</v>
      </c>
      <c r="BB325" s="170">
        <f>IF(Escenarios!$E$17&gt;0,Observaciones!$K324,0)</f>
        <v>0</v>
      </c>
      <c r="BC325" s="170">
        <f>IF(Escenarios!$E$17&gt;0,MIN(0.0005*ETo!$M324*Escenarios!$E$17*(BG324/Constantes!$E$40)^(2/3),BG324+AY325+AZ325+BA325+BB325),0)</f>
        <v>11.709304096732707</v>
      </c>
      <c r="BD325" s="170">
        <f>IF(Escenarios!$E$17&gt;0,MIN(Constantes!$E$39*(BG324/Constantes!$E$40)^(2/3),BG324+AY325+AZ325+BA325+BB325-BC325),0)</f>
        <v>18.319576470127515</v>
      </c>
      <c r="BE325" s="170">
        <f>IF(Escenarios!$E$17&gt;0,MIN(Entradas!$E$113,BG324+AY325+AZ325+BA325+BB325-BC325-BD325),0)</f>
        <v>1</v>
      </c>
      <c r="BF325" s="170">
        <f>IF(Escenarios!$E$17&gt;0,MAX(0,BG324+AY325+AZ325+BA325+BB325-BC325-BD325-BE325-Constantes!$E$40),0)</f>
        <v>0</v>
      </c>
      <c r="BG325" s="170">
        <f t="shared" si="68"/>
        <v>969.51600380608511</v>
      </c>
      <c r="BH325" s="170">
        <f>(Escenarios!$E$16*AK325+0.1*BC325)/(Escenarios!$E$19)</f>
        <v>2.4337015978393173</v>
      </c>
      <c r="BI325" s="170">
        <f>IF(Escenarios!$E$17&gt;0,BF325/10/Escenarios!$E$19,AL325)</f>
        <v>0</v>
      </c>
      <c r="BJ325" s="170">
        <f>(Escenarios!$E$16*AT325+0.1*BD325)/(Escenarios!$E$19)</f>
        <v>7.2696732024315541E-3</v>
      </c>
      <c r="BK325" s="76">
        <f>BK324+(0.1*BD325)/(Escenarios!$E$19)-BL324</f>
        <v>49.492420558566323</v>
      </c>
      <c r="BL325" s="76">
        <f>MAX(0,(BK325-Constantes!$D$13)*(1-EXP(-Constantes!$D$23)))</f>
        <v>7.3152465943541909E-3</v>
      </c>
      <c r="BM325" s="76">
        <f t="shared" si="64"/>
        <v>0.14524956417074097</v>
      </c>
      <c r="BN325" s="76">
        <f t="shared" si="69"/>
        <v>0.48853795765038005</v>
      </c>
      <c r="BO325" s="76">
        <f>0.0526*BI325*Observaciones!$F324^1.218</f>
        <v>0</v>
      </c>
      <c r="BP325" s="76">
        <f>BO325*Constantes!$E$51</f>
        <v>0</v>
      </c>
      <c r="BQ325" s="76">
        <f t="shared" si="65"/>
        <v>0</v>
      </c>
      <c r="BR325" s="40"/>
    </row>
    <row r="326" spans="1:70">
      <c r="A326" s="147"/>
      <c r="B326" s="39"/>
      <c r="C326" s="75">
        <v>320</v>
      </c>
      <c r="D326" s="146">
        <f>ETo!$I325*((1-Constantes!$E$19)*ETo!$K325+ETo!$L325)</f>
        <v>4.4795430578948983</v>
      </c>
      <c r="E326" s="76">
        <f>MIN(D326*Constantes!$E$17,0.8*(N325+Observaciones!$F325-F326-M326-Constantes!$D$14))</f>
        <v>2.1901037578518863</v>
      </c>
      <c r="F326" s="76">
        <f>IF(Observaciones!$F325&gt;0.05*Constantes!$E$18,((Observaciones!$F325-0.05*Constantes!$E$18)^2)/(Observaciones!$F325+0.95*Constantes!$E$18),0)</f>
        <v>0.10290611115465358</v>
      </c>
      <c r="G326" s="76">
        <f>IF(Escenarios!$E$11&gt;0,(F326*Escenarios!$E$16*10000)/1000,0)</f>
        <v>257.26527788663395</v>
      </c>
      <c r="H326" s="76">
        <f>IF(Escenarios!$E$11&gt;0,(Observaciones!$F325*Constantes!$E$29)/1000,0)</f>
        <v>95</v>
      </c>
      <c r="I326" s="76">
        <f>IF(Escenarios!$E$11&gt;0,(D326*Constantes!$E$29)/1000,0)</f>
        <v>44.795430578948981</v>
      </c>
      <c r="J326" s="76">
        <f>IF(Escenarios!$E$11&gt;0,MAX(0,G326+H326-I326),0)</f>
        <v>307.46984730768497</v>
      </c>
      <c r="K326" s="76">
        <f>IF(Escenarios!$E$11&gt;0,IF(J326&gt;Constantes!$E$30,1000*((J326-Constantes!$E$30)/(Escenarios!$E$16*10000)),0),F326)</f>
        <v>0</v>
      </c>
      <c r="L326" s="76">
        <f>IF(Escenarios!$E$11&gt;0,I326*1000/Escenarios!$E$16/10000+E326,E326)</f>
        <v>2.2080219300834658</v>
      </c>
      <c r="M326" s="76">
        <f>MAX(0,N325+Observaciones!$F325-K326-Constantes!$D$13)</f>
        <v>0</v>
      </c>
      <c r="N326" s="76">
        <f>N325+Observaciones!$F325-K326-L326-M326-O325</f>
        <v>29.603974088698131</v>
      </c>
      <c r="O326" s="76">
        <f>MAX(0,(N326-Constantes!$D$14)*(1-EXP(-Constantes!$D$22)))</f>
        <v>0.62520373627931991</v>
      </c>
      <c r="P326" s="170">
        <f>P325+(Entradas!$E$83*M326-Q325)/(800*Entradas!$D$25)</f>
        <v>0</v>
      </c>
      <c r="Q326" s="170">
        <f>8000*Entradas!$D$26*P326/Constantes!$E$45</f>
        <v>0</v>
      </c>
      <c r="R326" s="170">
        <f>IF(Escenarios!$E$14&gt;0,K326*Escenarios!$E$13/Escenarios!$E$14,0)</f>
        <v>0</v>
      </c>
      <c r="S326" s="170">
        <f>IF(Escenarios!$E$14&gt;0,Q326*Escenarios!$E$13/Escenarios!$E$14,0)</f>
        <v>0</v>
      </c>
      <c r="T326" s="170">
        <f>IF(Escenarios!$E$14&gt;0,Observaciones!$I325,0)</f>
        <v>0</v>
      </c>
      <c r="U326" s="170">
        <f>IF(Escenarios!$E$14&gt;0,MAX(0,Constantes!$E$36/((Z325+R326+S326+T326+Observaciones!$F325)^2)+Entradas!$E$77),0)</f>
        <v>0.18084453701888581</v>
      </c>
      <c r="V326" s="146">
        <f>IF(ETo!D325&gt;0,ETo!I325*((1-Entradas!$E$81)*ETo!K325+ETo!L325),0)</f>
        <v>4.0949854207426304</v>
      </c>
      <c r="W326" s="170">
        <f>IF(Escenarios!$E$14&gt;0,MIN(V326*1,0.8*(Z325+R326+S326+T326+Observaciones!$F325-U326-Constantes!$E$35)),0)</f>
        <v>4.0949854207426304</v>
      </c>
      <c r="X326" s="170">
        <f>IF(Escenarios!$E$14&gt;0,Observaciones!$J325,0)</f>
        <v>0</v>
      </c>
      <c r="Y326" s="170">
        <f>IF(Escenarios!$E$14&gt;0,MAX(0,Z325+R326+S326+T326+Observaciones!$F325-U326-W326-X326-Constantes!$E$33),0)</f>
        <v>0</v>
      </c>
      <c r="Z326" s="170">
        <f>Z325+R326+S326+T326+Observaciones!$F325-U326-W326-Y326</f>
        <v>56.071350048354674</v>
      </c>
      <c r="AA326" s="170">
        <f>IF(Escenarios!$E$14&gt;0,(Escenarios!$E$13*L326+Escenarios!$E$14*W326)/(Escenarios!$E$16),L326)</f>
        <v>2.4344575489625653</v>
      </c>
      <c r="AB326" s="170">
        <f>IF(Escenarios!$E$14&gt;0,(Escenarios!$E$14*Y326)/(Escenarios!$E$16),K326)</f>
        <v>0</v>
      </c>
      <c r="AC326" s="170">
        <f>IF(Escenarios!$E$14&gt;0,(Escenarios!$E$13*M326+Escenarios!$E$14*U326)/(Escenarios!$E$16),M326)</f>
        <v>2.1701344442266297E-2</v>
      </c>
      <c r="AD326" s="76">
        <f t="shared" si="57"/>
        <v>62.632648920958232</v>
      </c>
      <c r="AE326" s="76">
        <f>MAX(0,(AD326-Constantes!$D$13)*(1-EXP(-Constantes!$D$23)))</f>
        <v>0.13678904640755893</v>
      </c>
      <c r="AF326" s="76">
        <f>AB326+O326*Escenarios!$E$13/Escenarios!$E$16+AE326</f>
        <v>0.68696833433336046</v>
      </c>
      <c r="AG326" s="76">
        <f>IF(Entradas!$E$91&gt;0,IF(AF326-Escenarios!$E$38&lt;=0,0,IF(AF326-Escenarios!$E$38&gt;Escenarios!$E$37,Escenarios!$E$37,AF326-Escenarios!$E$38)),0)</f>
        <v>0</v>
      </c>
      <c r="AH326" s="76">
        <f>AG326*Entradas!$E$99</f>
        <v>0</v>
      </c>
      <c r="AI326" s="76">
        <f>IF(Entradas!$E$91&gt;0,D326*Entradas!$D$23/Escenarios!$E$16,0)</f>
        <v>0</v>
      </c>
      <c r="AJ326" s="76">
        <f>IF(Entradas!$E$91&gt;0,Entradas!$D$24*Entradas!$D$22/Escenarios!$E$16,0)</f>
        <v>0</v>
      </c>
      <c r="AK326" s="76">
        <f t="shared" si="66"/>
        <v>2.4344575489625653</v>
      </c>
      <c r="AL326" s="76">
        <f t="shared" si="67"/>
        <v>0</v>
      </c>
      <c r="AM326" s="76">
        <f t="shared" si="58"/>
        <v>0</v>
      </c>
      <c r="AN326" s="76">
        <f>MAX(0,O326*Escenarios!$E$13/Escenarios!$E$16-AM326)</f>
        <v>0.55017928792580151</v>
      </c>
      <c r="AO326" s="76">
        <f>AM326+AN326-O326*Escenarios!$E$13/Escenarios!$E$16</f>
        <v>0</v>
      </c>
      <c r="AP326" s="76">
        <f t="shared" ref="AP326:AP389" si="70">MAX(0,AE326-AO326)</f>
        <v>0.13678904640755893</v>
      </c>
      <c r="AQ326" s="76">
        <f t="shared" si="59"/>
        <v>0</v>
      </c>
      <c r="AR326" s="76">
        <f t="shared" si="60"/>
        <v>0.68696833433336046</v>
      </c>
      <c r="AS326" s="76">
        <f t="shared" si="61"/>
        <v>0</v>
      </c>
      <c r="AT326" s="76">
        <f t="shared" si="62"/>
        <v>2.1701344442266297E-2</v>
      </c>
      <c r="AU326" s="76">
        <f t="shared" si="63"/>
        <v>48.75</v>
      </c>
      <c r="AV326" s="76">
        <f>MAX(0,(AU326-Constantes!$D$13)*(1-EXP(-Constantes!$D$24)))</f>
        <v>0</v>
      </c>
      <c r="AW326" s="170">
        <f>AW325+(Entradas!$E$112*AT326-AX325)/(800*Entradas!$D$25)</f>
        <v>0</v>
      </c>
      <c r="AX326" s="170">
        <f>8000*Entradas!$D$26*AW326/Constantes!$E$45</f>
        <v>0</v>
      </c>
      <c r="AY326" s="170">
        <f>IF(Escenarios!$E$17&gt;0,10*Escenarios!$E$16*AL326,0)</f>
        <v>0</v>
      </c>
      <c r="AZ326" s="170">
        <f>IF(Escenarios!$E$17&gt;0,10*Escenarios!$E$16*AX326,0)</f>
        <v>0</v>
      </c>
      <c r="BA326" s="170">
        <f>IF(Escenarios!$E$17&gt;0,0.001*Observaciones!$F325*Escenarios!$E$17,0)</f>
        <v>190</v>
      </c>
      <c r="BB326" s="170">
        <f>IF(Escenarios!$E$17&gt;0,Observaciones!$K325,0)</f>
        <v>0</v>
      </c>
      <c r="BC326" s="170">
        <f>IF(Escenarios!$E$17&gt;0,MIN(0.0005*ETo!$M325*Escenarios!$E$17*(BG325/Constantes!$E$40)^(2/3),BG325+AY326+AZ326+BA326+BB326),0)</f>
        <v>14.06130799565795</v>
      </c>
      <c r="BD326" s="170">
        <f>IF(Escenarios!$E$17&gt;0,MIN(Constantes!$E$39*(BG325/Constantes!$E$40)^(2/3),BG325+AY326+AZ326+BA326+BB326-BC326),0)</f>
        <v>22.123515958262089</v>
      </c>
      <c r="BE326" s="170">
        <f>IF(Escenarios!$E$17&gt;0,MIN(Entradas!$E$113,BG325+AY326+AZ326+BA326+BB326-BC326-BD326),0)</f>
        <v>1</v>
      </c>
      <c r="BF326" s="170">
        <f>IF(Escenarios!$E$17&gt;0,MAX(0,BG325+AY326+AZ326+BA326+BB326-BC326-BD326-BE326-Constantes!$E$40),0)</f>
        <v>0</v>
      </c>
      <c r="BG326" s="170">
        <f t="shared" si="68"/>
        <v>1122.3311798521652</v>
      </c>
      <c r="BH326" s="170">
        <f>(Escenarios!$E$16*AK326+0.1*BC326)/(Escenarios!$E$19)</f>
        <v>2.4207163414293933</v>
      </c>
      <c r="BI326" s="170">
        <f>IF(Escenarios!$E$17&gt;0,BF326/10/Escenarios!$E$19,AL326)</f>
        <v>0</v>
      </c>
      <c r="BJ326" s="170">
        <f>(Escenarios!$E$16*AT326+0.1*BD326)/(Escenarios!$E$19)</f>
        <v>3.0308284549177715E-2</v>
      </c>
      <c r="BK326" s="76">
        <f>BK325+(0.1*BD326)/(Escenarios!$E$19)-BL325</f>
        <v>49.493884484971282</v>
      </c>
      <c r="BL326" s="76">
        <f>MAX(0,(BK326-Constantes!$D$13)*(1-EXP(-Constantes!$D$23)))</f>
        <v>7.3296710099023579E-3</v>
      </c>
      <c r="BM326" s="76">
        <f t="shared" si="64"/>
        <v>0.1441187174174613</v>
      </c>
      <c r="BN326" s="76">
        <f t="shared" si="69"/>
        <v>0.6942980053432628</v>
      </c>
      <c r="BO326" s="76">
        <f>0.0526*BI326*Observaciones!$F325^1.218</f>
        <v>0</v>
      </c>
      <c r="BP326" s="76">
        <f>BO326*Constantes!$E$51</f>
        <v>0</v>
      </c>
      <c r="BQ326" s="76">
        <f t="shared" si="65"/>
        <v>0</v>
      </c>
      <c r="BR326" s="40"/>
    </row>
    <row r="327" spans="1:70">
      <c r="A327" s="147"/>
      <c r="B327" s="39"/>
      <c r="C327" s="75">
        <v>321</v>
      </c>
      <c r="D327" s="146">
        <f>ETo!$I326*((1-Constantes!$E$19)*ETo!$K326+ETo!$L326)</f>
        <v>4.5443172655095978</v>
      </c>
      <c r="E327" s="76">
        <f>MIN(D327*Constantes!$E$17,0.8*(N326+Observaciones!$F326-F327-M327-Constantes!$D$14))</f>
        <v>2.2217726655229062</v>
      </c>
      <c r="F327" s="76">
        <f>IF(Observaciones!$F326&gt;0.05*Constantes!$E$18,((Observaciones!$F326-0.05*Constantes!$E$18)^2)/(Observaciones!$F326+0.95*Constantes!$E$18),0)</f>
        <v>0</v>
      </c>
      <c r="G327" s="76">
        <f>IF(Escenarios!$E$11&gt;0,(F327*Escenarios!$E$16*10000)/1000,0)</f>
        <v>0</v>
      </c>
      <c r="H327" s="76">
        <f>IF(Escenarios!$E$11&gt;0,(Observaciones!$F326*Constantes!$E$29)/1000,0)</f>
        <v>5</v>
      </c>
      <c r="I327" s="76">
        <f>IF(Escenarios!$E$11&gt;0,(D327*Constantes!$E$29)/1000,0)</f>
        <v>45.443172655095978</v>
      </c>
      <c r="J327" s="76">
        <f>IF(Escenarios!$E$11&gt;0,MAX(0,G327+H327-I327),0)</f>
        <v>0</v>
      </c>
      <c r="K327" s="76">
        <f>IF(Escenarios!$E$11&gt;0,IF(J327&gt;Constantes!$E$30,1000*((J327-Constantes!$E$30)/(Escenarios!$E$16*10000)),0),F327)</f>
        <v>0</v>
      </c>
      <c r="L327" s="76">
        <f>IF(Escenarios!$E$11&gt;0,I327*1000/Escenarios!$E$16/10000+E327,E327)</f>
        <v>2.2399499345849447</v>
      </c>
      <c r="M327" s="76">
        <f>MAX(0,N326+Observaciones!$F326-K327-Constantes!$D$13)</f>
        <v>0</v>
      </c>
      <c r="N327" s="76">
        <f>N326+Observaciones!$F326-K327-L327-M327-O326</f>
        <v>27.238820417833864</v>
      </c>
      <c r="O327" s="76">
        <f>MAX(0,(N327-Constantes!$D$14)*(1-EXP(-Constantes!$D$22)))</f>
        <v>0.5446379195928055</v>
      </c>
      <c r="P327" s="170">
        <f>P326+(Entradas!$E$83*M327-Q326)/(800*Entradas!$D$25)</f>
        <v>0</v>
      </c>
      <c r="Q327" s="170">
        <f>8000*Entradas!$D$26*P327/Constantes!$E$45</f>
        <v>0</v>
      </c>
      <c r="R327" s="170">
        <f>IF(Escenarios!$E$14&gt;0,K327*Escenarios!$E$13/Escenarios!$E$14,0)</f>
        <v>0</v>
      </c>
      <c r="S327" s="170">
        <f>IF(Escenarios!$E$14&gt;0,Q327*Escenarios!$E$13/Escenarios!$E$14,0)</f>
        <v>0</v>
      </c>
      <c r="T327" s="170">
        <f>IF(Escenarios!$E$14&gt;0,Observaciones!$I326,0)</f>
        <v>0</v>
      </c>
      <c r="U327" s="170">
        <f>IF(Escenarios!$E$14&gt;0,MAX(0,Constantes!$E$36/((Z326+R327+S327+T327+Observaciones!$F326)^2)+Entradas!$E$77),0)</f>
        <v>0</v>
      </c>
      <c r="V327" s="146">
        <f>IF(ETo!D326&gt;0,ETo!I326*((1-Entradas!$E$81)*ETo!K326+ETo!L326),0)</f>
        <v>4.1551068167008767</v>
      </c>
      <c r="W327" s="170">
        <f>IF(Escenarios!$E$14&gt;0,MIN(V327*1,0.8*(Z326+R327+S327+T327+Observaciones!$F326-U327-Constantes!$E$35)),0)</f>
        <v>4.1551068167008767</v>
      </c>
      <c r="X327" s="170">
        <f>IF(Escenarios!$E$14&gt;0,Observaciones!$J326,0)</f>
        <v>0</v>
      </c>
      <c r="Y327" s="170">
        <f>IF(Escenarios!$E$14&gt;0,MAX(0,Z326+R327+S327+T327+Observaciones!$F326-U327-W327-X327-Constantes!$E$33),0)</f>
        <v>0</v>
      </c>
      <c r="Z327" s="170">
        <f>Z326+R327+S327+T327+Observaciones!$F326-U327-W327-Y327</f>
        <v>52.416243231653795</v>
      </c>
      <c r="AA327" s="170">
        <f>IF(Escenarios!$E$14&gt;0,(Escenarios!$E$13*L327+Escenarios!$E$14*W327)/(Escenarios!$E$16),L327)</f>
        <v>2.4697687604388565</v>
      </c>
      <c r="AB327" s="170">
        <f>IF(Escenarios!$E$14&gt;0,(Escenarios!$E$14*Y327)/(Escenarios!$E$16),K327)</f>
        <v>0</v>
      </c>
      <c r="AC327" s="170">
        <f>IF(Escenarios!$E$14&gt;0,(Escenarios!$E$13*M327+Escenarios!$E$14*U327)/(Escenarios!$E$16),M327)</f>
        <v>0</v>
      </c>
      <c r="AD327" s="76">
        <f t="shared" ref="AD327:AD390" si="71">AD326+AC327-AE326</f>
        <v>62.495859874550675</v>
      </c>
      <c r="AE327" s="76">
        <f>MAX(0,(AD327-Constantes!$D$13)*(1-EXP(-Constantes!$D$23)))</f>
        <v>0.13544123135269276</v>
      </c>
      <c r="AF327" s="76">
        <f>AB327+O327*Escenarios!$E$13/Escenarios!$E$16+AE327</f>
        <v>0.61472260059436157</v>
      </c>
      <c r="AG327" s="76">
        <f>IF(Entradas!$E$91&gt;0,IF(AF327-Escenarios!$E$38&lt;=0,0,IF(AF327-Escenarios!$E$38&gt;Escenarios!$E$37,Escenarios!$E$37,AF327-Escenarios!$E$38)),0)</f>
        <v>0</v>
      </c>
      <c r="AH327" s="76">
        <f>AG327*Entradas!$E$99</f>
        <v>0</v>
      </c>
      <c r="AI327" s="76">
        <f>IF(Entradas!$E$91&gt;0,D327*Entradas!$D$23/Escenarios!$E$16,0)</f>
        <v>0</v>
      </c>
      <c r="AJ327" s="76">
        <f>IF(Entradas!$E$91&gt;0,Entradas!$D$24*Entradas!$D$22/Escenarios!$E$16,0)</f>
        <v>0</v>
      </c>
      <c r="AK327" s="76">
        <f t="shared" si="66"/>
        <v>2.4697687604388565</v>
      </c>
      <c r="AL327" s="76">
        <f t="shared" si="67"/>
        <v>0</v>
      </c>
      <c r="AM327" s="76">
        <f t="shared" ref="AM327:AM390" si="72">AG327+AL327-AB327</f>
        <v>0</v>
      </c>
      <c r="AN327" s="76">
        <f>MAX(0,O327*Escenarios!$E$13/Escenarios!$E$16-AM327)</f>
        <v>0.47928136924166881</v>
      </c>
      <c r="AO327" s="76">
        <f>AM327+AN327-O327*Escenarios!$E$13/Escenarios!$E$16</f>
        <v>0</v>
      </c>
      <c r="AP327" s="76">
        <f t="shared" si="70"/>
        <v>0.13544123135269276</v>
      </c>
      <c r="AQ327" s="76">
        <f t="shared" ref="AQ327:AQ390" si="73">AO327+AP327-AE327</f>
        <v>0</v>
      </c>
      <c r="AR327" s="76">
        <f t="shared" ref="AR327:AR390" si="74">AL327+AN327+AP327+AH327</f>
        <v>0.61472260059436157</v>
      </c>
      <c r="AS327" s="76">
        <f t="shared" ref="AS327:AS390" si="75">MAX(0,AG327-AH327-AI327-AJ327)</f>
        <v>0</v>
      </c>
      <c r="AT327" s="76">
        <f t="shared" ref="AT327:AT390" si="76">AC327+AS327</f>
        <v>0</v>
      </c>
      <c r="AU327" s="76">
        <f t="shared" ref="AU327:AU390" si="77">AU326+AS327-AV326</f>
        <v>48.75</v>
      </c>
      <c r="AV327" s="76">
        <f>MAX(0,(AU327-Constantes!$D$13)*(1-EXP(-Constantes!$D$24)))</f>
        <v>0</v>
      </c>
      <c r="AW327" s="170">
        <f>AW326+(Entradas!$E$112*AT327-AX326)/(800*Entradas!$D$25)</f>
        <v>0</v>
      </c>
      <c r="AX327" s="170">
        <f>8000*Entradas!$D$26*AW327/Constantes!$E$45</f>
        <v>0</v>
      </c>
      <c r="AY327" s="170">
        <f>IF(Escenarios!$E$17&gt;0,10*Escenarios!$E$16*AL327,0)</f>
        <v>0</v>
      </c>
      <c r="AZ327" s="170">
        <f>IF(Escenarios!$E$17&gt;0,10*Escenarios!$E$16*AX327,0)</f>
        <v>0</v>
      </c>
      <c r="BA327" s="170">
        <f>IF(Escenarios!$E$17&gt;0,0.001*Observaciones!$F326*Escenarios!$E$17,0)</f>
        <v>10</v>
      </c>
      <c r="BB327" s="170">
        <f>IF(Escenarios!$E$17&gt;0,Observaciones!$K326,0)</f>
        <v>0</v>
      </c>
      <c r="BC327" s="170">
        <f>IF(Escenarios!$E$17&gt;0,MIN(0.0005*ETo!$M326*Escenarios!$E$17*(BG326/Constantes!$E$40)^(2/3),BG326+AY327+AZ327+BA327+BB327),0)</f>
        <v>15.722359276151943</v>
      </c>
      <c r="BD327" s="170">
        <f>IF(Escenarios!$E$17&gt;0,MIN(Constantes!$E$39*(BG326/Constantes!$E$40)^(2/3),BG326+AY327+AZ327+BA327+BB327-BC327),0)</f>
        <v>24.391107030939345</v>
      </c>
      <c r="BE327" s="170">
        <f>IF(Escenarios!$E$17&gt;0,MIN(Entradas!$E$113,BG326+AY327+AZ327+BA327+BB327-BC327-BD327),0)</f>
        <v>1</v>
      </c>
      <c r="BF327" s="170">
        <f>IF(Escenarios!$E$17&gt;0,MAX(0,BG326+AY327+AZ327+BA327+BB327-BC327-BD327-BE327-Constantes!$E$40),0)</f>
        <v>0</v>
      </c>
      <c r="BG327" s="170">
        <f t="shared" si="68"/>
        <v>1091.2177135450738</v>
      </c>
      <c r="BH327" s="170">
        <f>(Escenarios!$E$16*AK327+0.1*BC327)/(Escenarios!$E$19)</f>
        <v>2.4564064525290847</v>
      </c>
      <c r="BI327" s="170">
        <f>IF(Escenarios!$E$17&gt;0,BF327/10/Escenarios!$E$19,AL327)</f>
        <v>0</v>
      </c>
      <c r="BJ327" s="170">
        <f>(Escenarios!$E$16*AT327+0.1*BD327)/(Escenarios!$E$19)</f>
        <v>9.6790107265632315E-3</v>
      </c>
      <c r="BK327" s="76">
        <f>BK326+(0.1*BD327)/(Escenarios!$E$19)-BL326</f>
        <v>49.496233824687941</v>
      </c>
      <c r="BL327" s="76">
        <f>MAX(0,(BK327-Constantes!$D$13)*(1-EXP(-Constantes!$D$23)))</f>
        <v>7.352819613699723E-3</v>
      </c>
      <c r="BM327" s="76">
        <f t="shared" ref="BM327:BM390" si="78">AP327+AV327+BL327</f>
        <v>0.14279405096639247</v>
      </c>
      <c r="BN327" s="76">
        <f t="shared" si="69"/>
        <v>0.62207542020806128</v>
      </c>
      <c r="BO327" s="76">
        <f>0.0526*BI327*Observaciones!$F326^1.218</f>
        <v>0</v>
      </c>
      <c r="BP327" s="76">
        <f>BO327*Constantes!$E$51</f>
        <v>0</v>
      </c>
      <c r="BQ327" s="76">
        <f t="shared" ref="BQ327:BQ390" si="79">BP327*1000000/(BN327/1000*10000)</f>
        <v>0</v>
      </c>
      <c r="BR327" s="40"/>
    </row>
    <row r="328" spans="1:70">
      <c r="A328" s="147"/>
      <c r="B328" s="39"/>
      <c r="C328" s="75">
        <v>322</v>
      </c>
      <c r="D328" s="146">
        <f>ETo!$I327*((1-Constantes!$E$19)*ETo!$K327+ETo!$L327)</f>
        <v>4.5999615459816914</v>
      </c>
      <c r="E328" s="76">
        <f>MIN(D328*Constantes!$E$17,0.8*(N327+Observaciones!$F327-F328-M328-Constantes!$D$14))</f>
        <v>2.2489778393966371</v>
      </c>
      <c r="F328" s="76">
        <f>IF(Observaciones!$F327&gt;0.05*Constantes!$E$18,((Observaciones!$F327-0.05*Constantes!$E$18)^2)/(Observaciones!$F327+0.95*Constantes!$E$18),0)</f>
        <v>0</v>
      </c>
      <c r="G328" s="76">
        <f>IF(Escenarios!$E$11&gt;0,(F328*Escenarios!$E$16*10000)/1000,0)</f>
        <v>0</v>
      </c>
      <c r="H328" s="76">
        <f>IF(Escenarios!$E$11&gt;0,(Observaciones!$F327*Constantes!$E$29)/1000,0)</f>
        <v>6</v>
      </c>
      <c r="I328" s="76">
        <f>IF(Escenarios!$E$11&gt;0,(D328*Constantes!$E$29)/1000,0)</f>
        <v>45.999615459816916</v>
      </c>
      <c r="J328" s="76">
        <f>IF(Escenarios!$E$11&gt;0,MAX(0,G328+H328-I328),0)</f>
        <v>0</v>
      </c>
      <c r="K328" s="76">
        <f>IF(Escenarios!$E$11&gt;0,IF(J328&gt;Constantes!$E$30,1000*((J328-Constantes!$E$30)/(Escenarios!$E$16*10000)),0),F328)</f>
        <v>0</v>
      </c>
      <c r="L328" s="76">
        <f>IF(Escenarios!$E$11&gt;0,I328*1000/Escenarios!$E$16/10000+E328,E328)</f>
        <v>2.2673776855805641</v>
      </c>
      <c r="M328" s="76">
        <f>MAX(0,N327+Observaciones!$F327-K328-Constantes!$D$13)</f>
        <v>0</v>
      </c>
      <c r="N328" s="76">
        <f>N327+Observaciones!$F327-K328-L328-M328-O327</f>
        <v>25.026804812660497</v>
      </c>
      <c r="O328" s="76">
        <f>MAX(0,(N328-Constantes!$D$14)*(1-EXP(-Constantes!$D$22)))</f>
        <v>0.46928854760507133</v>
      </c>
      <c r="P328" s="170">
        <f>P327+(Entradas!$E$83*M328-Q327)/(800*Entradas!$D$25)</f>
        <v>0</v>
      </c>
      <c r="Q328" s="170">
        <f>8000*Entradas!$D$26*P328/Constantes!$E$45</f>
        <v>0</v>
      </c>
      <c r="R328" s="170">
        <f>IF(Escenarios!$E$14&gt;0,K328*Escenarios!$E$13/Escenarios!$E$14,0)</f>
        <v>0</v>
      </c>
      <c r="S328" s="170">
        <f>IF(Escenarios!$E$14&gt;0,Q328*Escenarios!$E$13/Escenarios!$E$14,0)</f>
        <v>0</v>
      </c>
      <c r="T328" s="170">
        <f>IF(Escenarios!$E$14&gt;0,Observaciones!$I327,0)</f>
        <v>0</v>
      </c>
      <c r="U328" s="170">
        <f>IF(Escenarios!$E$14&gt;0,MAX(0,Constantes!$E$36/((Z327+R328+S328+T328+Observaciones!$F327)^2)+Entradas!$E$77),0)</f>
        <v>0</v>
      </c>
      <c r="V328" s="146">
        <f>IF(ETo!D327&gt;0,ETo!I327*((1-Entradas!$E$81)*ETo!K327+ETo!L327),0)</f>
        <v>4.2068289229410212</v>
      </c>
      <c r="W328" s="170">
        <f>IF(Escenarios!$E$14&gt;0,MIN(V328*1,0.8*(Z327+R328+S328+T328+Observaciones!$F327-U328-Constantes!$E$35)),0)</f>
        <v>4.2068289229410212</v>
      </c>
      <c r="X328" s="170">
        <f>IF(Escenarios!$E$14&gt;0,Observaciones!$J327,0)</f>
        <v>0</v>
      </c>
      <c r="Y328" s="170">
        <f>IF(Escenarios!$E$14&gt;0,MAX(0,Z327+R328+S328+T328+Observaciones!$F327-U328-W328-X328-Constantes!$E$33),0)</f>
        <v>0</v>
      </c>
      <c r="Z328" s="170">
        <f>Z327+R328+S328+T328+Observaciones!$F327-U328-W328-Y328</f>
        <v>48.809414308712775</v>
      </c>
      <c r="AA328" s="170">
        <f>IF(Escenarios!$E$14&gt;0,(Escenarios!$E$13*L328+Escenarios!$E$14*W328)/(Escenarios!$E$16),L328)</f>
        <v>2.5001118340638189</v>
      </c>
      <c r="AB328" s="170">
        <f>IF(Escenarios!$E$14&gt;0,(Escenarios!$E$14*Y328)/(Escenarios!$E$16),K328)</f>
        <v>0</v>
      </c>
      <c r="AC328" s="170">
        <f>IF(Escenarios!$E$14&gt;0,(Escenarios!$E$13*M328+Escenarios!$E$14*U328)/(Escenarios!$E$16),M328)</f>
        <v>0</v>
      </c>
      <c r="AD328" s="76">
        <f t="shared" si="71"/>
        <v>62.360418643197981</v>
      </c>
      <c r="AE328" s="76">
        <f>MAX(0,(AD328-Constantes!$D$13)*(1-EXP(-Constantes!$D$23)))</f>
        <v>0.13410669664058669</v>
      </c>
      <c r="AF328" s="76">
        <f>AB328+O328*Escenarios!$E$13/Escenarios!$E$16+AE328</f>
        <v>0.54708061853304946</v>
      </c>
      <c r="AG328" s="76">
        <f>IF(Entradas!$E$91&gt;0,IF(AF328-Escenarios!$E$38&lt;=0,0,IF(AF328-Escenarios!$E$38&gt;Escenarios!$E$37,Escenarios!$E$37,AF328-Escenarios!$E$38)),0)</f>
        <v>0</v>
      </c>
      <c r="AH328" s="76">
        <f>AG328*Entradas!$E$99</f>
        <v>0</v>
      </c>
      <c r="AI328" s="76">
        <f>IF(Entradas!$E$91&gt;0,D328*Entradas!$D$23/Escenarios!$E$16,0)</f>
        <v>0</v>
      </c>
      <c r="AJ328" s="76">
        <f>IF(Entradas!$E$91&gt;0,Entradas!$D$24*Entradas!$D$22/Escenarios!$E$16,0)</f>
        <v>0</v>
      </c>
      <c r="AK328" s="76">
        <f t="shared" ref="AK328:AK391" si="80">AA328+AI328</f>
        <v>2.5001118340638189</v>
      </c>
      <c r="AL328" s="76">
        <f t="shared" ref="AL328:AL391" si="81">MAX(0,AB328-AG328)</f>
        <v>0</v>
      </c>
      <c r="AM328" s="76">
        <f t="shared" si="72"/>
        <v>0</v>
      </c>
      <c r="AN328" s="76">
        <f>MAX(0,O328*Escenarios!$E$13/Escenarios!$E$16-AM328)</f>
        <v>0.41297392189246279</v>
      </c>
      <c r="AO328" s="76">
        <f>AM328+AN328-O328*Escenarios!$E$13/Escenarios!$E$16</f>
        <v>0</v>
      </c>
      <c r="AP328" s="76">
        <f t="shared" si="70"/>
        <v>0.13410669664058669</v>
      </c>
      <c r="AQ328" s="76">
        <f t="shared" si="73"/>
        <v>0</v>
      </c>
      <c r="AR328" s="76">
        <f t="shared" si="74"/>
        <v>0.54708061853304946</v>
      </c>
      <c r="AS328" s="76">
        <f t="shared" si="75"/>
        <v>0</v>
      </c>
      <c r="AT328" s="76">
        <f t="shared" si="76"/>
        <v>0</v>
      </c>
      <c r="AU328" s="76">
        <f t="shared" si="77"/>
        <v>48.75</v>
      </c>
      <c r="AV328" s="76">
        <f>MAX(0,(AU328-Constantes!$D$13)*(1-EXP(-Constantes!$D$24)))</f>
        <v>0</v>
      </c>
      <c r="AW328" s="170">
        <f>AW327+(Entradas!$E$112*AT328-AX327)/(800*Entradas!$D$25)</f>
        <v>0</v>
      </c>
      <c r="AX328" s="170">
        <f>8000*Entradas!$D$26*AW328/Constantes!$E$45</f>
        <v>0</v>
      </c>
      <c r="AY328" s="170">
        <f>IF(Escenarios!$E$17&gt;0,10*Escenarios!$E$16*AL328,0)</f>
        <v>0</v>
      </c>
      <c r="AZ328" s="170">
        <f>IF(Escenarios!$E$17&gt;0,10*Escenarios!$E$16*AX328,0)</f>
        <v>0</v>
      </c>
      <c r="BA328" s="170">
        <f>IF(Escenarios!$E$17&gt;0,0.001*Observaciones!$F327*Escenarios!$E$17,0)</f>
        <v>11.999999999999998</v>
      </c>
      <c r="BB328" s="170">
        <f>IF(Escenarios!$E$17&gt;0,Observaciones!$K327,0)</f>
        <v>0</v>
      </c>
      <c r="BC328" s="170">
        <f>IF(Escenarios!$E$17&gt;0,MIN(0.0005*ETo!$M327*Escenarios!$E$17*(BG327/Constantes!$E$40)^(2/3),BG327+AY328+AZ328+BA328+BB328),0)</f>
        <v>15.615398270102665</v>
      </c>
      <c r="BD328" s="170">
        <f>IF(Escenarios!$E$17&gt;0,MIN(Constantes!$E$39*(BG327/Constantes!$E$40)^(2/3),BG327+AY328+AZ328+BA328+BB328-BC328),0)</f>
        <v>23.938215068112566</v>
      </c>
      <c r="BE328" s="170">
        <f>IF(Escenarios!$E$17&gt;0,MIN(Entradas!$E$113,BG327+AY328+AZ328+BA328+BB328-BC328-BD328),0)</f>
        <v>1</v>
      </c>
      <c r="BF328" s="170">
        <f>IF(Escenarios!$E$17&gt;0,MAX(0,BG327+AY328+AZ328+BA328+BB328-BC328-BD328-BE328-Constantes!$E$40),0)</f>
        <v>0</v>
      </c>
      <c r="BG328" s="170">
        <f t="shared" ref="BG328:BG391" si="82">BG327+AY328+AZ328+BA328+BB328-BF328-BC328-BD328-BE328</f>
        <v>1062.6641002068586</v>
      </c>
      <c r="BH328" s="170">
        <f>(Escenarios!$E$16*AK328+0.1*BC328)/(Escenarios!$E$19)</f>
        <v>2.4864662632657342</v>
      </c>
      <c r="BI328" s="170">
        <f>IF(Escenarios!$E$17&gt;0,BF328/10/Escenarios!$E$19,AL328)</f>
        <v>0</v>
      </c>
      <c r="BJ328" s="170">
        <f>(Escenarios!$E$16*AT328+0.1*BD328)/(Escenarios!$E$19)</f>
        <v>9.4992916936954622E-3</v>
      </c>
      <c r="BK328" s="76">
        <f>BK327+(0.1*BD328)/(Escenarios!$E$19)-BL327</f>
        <v>49.498380296767934</v>
      </c>
      <c r="BL328" s="76">
        <f>MAX(0,(BK328-Constantes!$D$13)*(1-EXP(-Constantes!$D$23)))</f>
        <v>7.3739693143537082E-3</v>
      </c>
      <c r="BM328" s="76">
        <f t="shared" si="78"/>
        <v>0.14148066595494041</v>
      </c>
      <c r="BN328" s="76">
        <f t="shared" ref="BN328:BN391" si="83">AN328+AP328+AV328+BI328+BL328</f>
        <v>0.5544545878474032</v>
      </c>
      <c r="BO328" s="76">
        <f>0.0526*BI328*Observaciones!$F327^1.218</f>
        <v>0</v>
      </c>
      <c r="BP328" s="76">
        <f>BO328*Constantes!$E$51</f>
        <v>0</v>
      </c>
      <c r="BQ328" s="76">
        <f t="shared" si="79"/>
        <v>0</v>
      </c>
      <c r="BR328" s="40"/>
    </row>
    <row r="329" spans="1:70">
      <c r="A329" s="147"/>
      <c r="B329" s="39"/>
      <c r="C329" s="75">
        <v>323</v>
      </c>
      <c r="D329" s="146">
        <f>ETo!$I328*((1-Constantes!$E$19)*ETo!$K328+ETo!$L328)</f>
        <v>4.3698027319526416</v>
      </c>
      <c r="E329" s="76">
        <f>MIN(D329*Constantes!$E$17,0.8*(N328+Observaciones!$F328-F329-M329-Constantes!$D$14))</f>
        <v>2.1364503612603656</v>
      </c>
      <c r="F329" s="76">
        <f>IF(Observaciones!$F328&gt;0.05*Constantes!$E$18,((Observaciones!$F328-0.05*Constantes!$E$18)^2)/(Observaciones!$F328+0.95*Constantes!$E$18),0)</f>
        <v>0</v>
      </c>
      <c r="G329" s="76">
        <f>IF(Escenarios!$E$11&gt;0,(F329*Escenarios!$E$16*10000)/1000,0)</f>
        <v>0</v>
      </c>
      <c r="H329" s="76">
        <f>IF(Escenarios!$E$11&gt;0,(Observaciones!$F328*Constantes!$E$29)/1000,0)</f>
        <v>37</v>
      </c>
      <c r="I329" s="76">
        <f>IF(Escenarios!$E$11&gt;0,(D329*Constantes!$E$29)/1000,0)</f>
        <v>43.698027319526418</v>
      </c>
      <c r="J329" s="76">
        <f>IF(Escenarios!$E$11&gt;0,MAX(0,G329+H329-I329),0)</f>
        <v>0</v>
      </c>
      <c r="K329" s="76">
        <f>IF(Escenarios!$E$11&gt;0,IF(J329&gt;Constantes!$E$30,1000*((J329-Constantes!$E$30)/(Escenarios!$E$16*10000)),0),F329)</f>
        <v>0</v>
      </c>
      <c r="L329" s="76">
        <f>IF(Escenarios!$E$11&gt;0,I329*1000/Escenarios!$E$16/10000+E329,E329)</f>
        <v>2.1539295721881762</v>
      </c>
      <c r="M329" s="76">
        <f>MAX(0,N328+Observaciones!$F328-K329-Constantes!$D$13)</f>
        <v>0</v>
      </c>
      <c r="N329" s="76">
        <f>N328+Observaciones!$F328-K329-L329-M329-O328</f>
        <v>26.10358669286725</v>
      </c>
      <c r="O329" s="76">
        <f>MAX(0,(N329-Constantes!$D$14)*(1-EXP(-Constantes!$D$22)))</f>
        <v>0.50596769139212039</v>
      </c>
      <c r="P329" s="170">
        <f>P328+(Entradas!$E$83*M329-Q328)/(800*Entradas!$D$25)</f>
        <v>0</v>
      </c>
      <c r="Q329" s="170">
        <f>8000*Entradas!$D$26*P329/Constantes!$E$45</f>
        <v>0</v>
      </c>
      <c r="R329" s="170">
        <f>IF(Escenarios!$E$14&gt;0,K329*Escenarios!$E$13/Escenarios!$E$14,0)</f>
        <v>0</v>
      </c>
      <c r="S329" s="170">
        <f>IF(Escenarios!$E$14&gt;0,Q329*Escenarios!$E$13/Escenarios!$E$14,0)</f>
        <v>0</v>
      </c>
      <c r="T329" s="170">
        <f>IF(Escenarios!$E$14&gt;0,Observaciones!$I328,0)</f>
        <v>0</v>
      </c>
      <c r="U329" s="170">
        <f>IF(Escenarios!$E$14&gt;0,MAX(0,Constantes!$E$36/((Z328+R329+S329+T329+Observaciones!$F328)^2)+Entradas!$E$77),0)</f>
        <v>0</v>
      </c>
      <c r="V329" s="146">
        <f>IF(ETo!D328&gt;0,ETo!I328*((1-Entradas!$E$81)*ETo!K328+ETo!L328),0)</f>
        <v>3.9934023806922312</v>
      </c>
      <c r="W329" s="170">
        <f>IF(Escenarios!$E$14&gt;0,MIN(V329*1,0.8*(Z328+R329+S329+T329+Observaciones!$F328-U329-Constantes!$E$35)),0)</f>
        <v>3.9934023806922312</v>
      </c>
      <c r="X329" s="170">
        <f>IF(Escenarios!$E$14&gt;0,Observaciones!$J328,0)</f>
        <v>0</v>
      </c>
      <c r="Y329" s="170">
        <f>IF(Escenarios!$E$14&gt;0,MAX(0,Z328+R329+S329+T329+Observaciones!$F328-U329-W329-X329-Constantes!$E$33),0)</f>
        <v>0</v>
      </c>
      <c r="Z329" s="170">
        <f>Z328+R329+S329+T329+Observaciones!$F328-U329-W329-Y329</f>
        <v>48.516011928020546</v>
      </c>
      <c r="AA329" s="170">
        <f>IF(Escenarios!$E$14&gt;0,(Escenarios!$E$13*L329+Escenarios!$E$14*W329)/(Escenarios!$E$16),L329)</f>
        <v>2.3746663092086626</v>
      </c>
      <c r="AB329" s="170">
        <f>IF(Escenarios!$E$14&gt;0,(Escenarios!$E$14*Y329)/(Escenarios!$E$16),K329)</f>
        <v>0</v>
      </c>
      <c r="AC329" s="170">
        <f>IF(Escenarios!$E$14&gt;0,(Escenarios!$E$13*M329+Escenarios!$E$14*U329)/(Escenarios!$E$16),M329)</f>
        <v>0</v>
      </c>
      <c r="AD329" s="76">
        <f t="shared" si="71"/>
        <v>62.226311946557395</v>
      </c>
      <c r="AE329" s="76">
        <f>MAX(0,(AD329-Constantes!$D$13)*(1-EXP(-Constantes!$D$23)))</f>
        <v>0.13278531141686042</v>
      </c>
      <c r="AF329" s="76">
        <f>AB329+O329*Escenarios!$E$13/Escenarios!$E$16+AE329</f>
        <v>0.57803687984192642</v>
      </c>
      <c r="AG329" s="76">
        <f>IF(Entradas!$E$91&gt;0,IF(AF329-Escenarios!$E$38&lt;=0,0,IF(AF329-Escenarios!$E$38&gt;Escenarios!$E$37,Escenarios!$E$37,AF329-Escenarios!$E$38)),0)</f>
        <v>0</v>
      </c>
      <c r="AH329" s="76">
        <f>AG329*Entradas!$E$99</f>
        <v>0</v>
      </c>
      <c r="AI329" s="76">
        <f>IF(Entradas!$E$91&gt;0,D329*Entradas!$D$23/Escenarios!$E$16,0)</f>
        <v>0</v>
      </c>
      <c r="AJ329" s="76">
        <f>IF(Entradas!$E$91&gt;0,Entradas!$D$24*Entradas!$D$22/Escenarios!$E$16,0)</f>
        <v>0</v>
      </c>
      <c r="AK329" s="76">
        <f t="shared" si="80"/>
        <v>2.3746663092086626</v>
      </c>
      <c r="AL329" s="76">
        <f t="shared" si="81"/>
        <v>0</v>
      </c>
      <c r="AM329" s="76">
        <f t="shared" si="72"/>
        <v>0</v>
      </c>
      <c r="AN329" s="76">
        <f>MAX(0,O329*Escenarios!$E$13/Escenarios!$E$16-AM329)</f>
        <v>0.44525156842506597</v>
      </c>
      <c r="AO329" s="76">
        <f>AM329+AN329-O329*Escenarios!$E$13/Escenarios!$E$16</f>
        <v>0</v>
      </c>
      <c r="AP329" s="76">
        <f t="shared" si="70"/>
        <v>0.13278531141686042</v>
      </c>
      <c r="AQ329" s="76">
        <f t="shared" si="73"/>
        <v>0</v>
      </c>
      <c r="AR329" s="76">
        <f t="shared" si="74"/>
        <v>0.57803687984192642</v>
      </c>
      <c r="AS329" s="76">
        <f t="shared" si="75"/>
        <v>0</v>
      </c>
      <c r="AT329" s="76">
        <f t="shared" si="76"/>
        <v>0</v>
      </c>
      <c r="AU329" s="76">
        <f t="shared" si="77"/>
        <v>48.75</v>
      </c>
      <c r="AV329" s="76">
        <f>MAX(0,(AU329-Constantes!$D$13)*(1-EXP(-Constantes!$D$24)))</f>
        <v>0</v>
      </c>
      <c r="AW329" s="170">
        <f>AW328+(Entradas!$E$112*AT329-AX328)/(800*Entradas!$D$25)</f>
        <v>0</v>
      </c>
      <c r="AX329" s="170">
        <f>8000*Entradas!$D$26*AW329/Constantes!$E$45</f>
        <v>0</v>
      </c>
      <c r="AY329" s="170">
        <f>IF(Escenarios!$E$17&gt;0,10*Escenarios!$E$16*AL329,0)</f>
        <v>0</v>
      </c>
      <c r="AZ329" s="170">
        <f>IF(Escenarios!$E$17&gt;0,10*Escenarios!$E$16*AX329,0)</f>
        <v>0</v>
      </c>
      <c r="BA329" s="170">
        <f>IF(Escenarios!$E$17&gt;0,0.001*Observaciones!$F328*Escenarios!$E$17,0)</f>
        <v>74</v>
      </c>
      <c r="BB329" s="170">
        <f>IF(Escenarios!$E$17&gt;0,Observaciones!$K328,0)</f>
        <v>0</v>
      </c>
      <c r="BC329" s="170">
        <f>IF(Escenarios!$E$17&gt;0,MIN(0.0005*ETo!$M328*Escenarios!$E$17*(BG328/Constantes!$E$40)^(2/3),BG328+AY329+AZ329+BA329+BB329),0)</f>
        <v>14.587759201302557</v>
      </c>
      <c r="BD329" s="170">
        <f>IF(Escenarios!$E$17&gt;0,MIN(Constantes!$E$39*(BG328/Constantes!$E$40)^(2/3),BG328+AY329+AZ329+BA329+BB329-BC329),0)</f>
        <v>23.518782318386613</v>
      </c>
      <c r="BE329" s="170">
        <f>IF(Escenarios!$E$17&gt;0,MIN(Entradas!$E$113,BG328+AY329+AZ329+BA329+BB329-BC329-BD329),0)</f>
        <v>1</v>
      </c>
      <c r="BF329" s="170">
        <f>IF(Escenarios!$E$17&gt;0,MAX(0,BG328+AY329+AZ329+BA329+BB329-BC329-BD329-BE329-Constantes!$E$40),0)</f>
        <v>0</v>
      </c>
      <c r="BG329" s="170">
        <f t="shared" si="82"/>
        <v>1097.5575586871694</v>
      </c>
      <c r="BH329" s="170">
        <f>(Escenarios!$E$16*AK329+0.1*BC329)/(Escenarios!$E$19)</f>
        <v>2.3616085445329205</v>
      </c>
      <c r="BI329" s="170">
        <f>IF(Escenarios!$E$17&gt;0,BF329/10/Escenarios!$E$19,AL329)</f>
        <v>0</v>
      </c>
      <c r="BJ329" s="170">
        <f>(Escenarios!$E$16*AT329+0.1*BD329)/(Escenarios!$E$19)</f>
        <v>9.3328501263438939E-3</v>
      </c>
      <c r="BK329" s="76">
        <f>BK328+(0.1*BD329)/(Escenarios!$E$19)-BL328</f>
        <v>49.500339177579924</v>
      </c>
      <c r="BL329" s="76">
        <f>MAX(0,(BK329-Constantes!$D$13)*(1-EXP(-Constantes!$D$23)))</f>
        <v>7.3932706335633107E-3</v>
      </c>
      <c r="BM329" s="76">
        <f t="shared" si="78"/>
        <v>0.14017858205042374</v>
      </c>
      <c r="BN329" s="76">
        <f t="shared" si="83"/>
        <v>0.58543015047548974</v>
      </c>
      <c r="BO329" s="76">
        <f>0.0526*BI329*Observaciones!$F328^1.218</f>
        <v>0</v>
      </c>
      <c r="BP329" s="76">
        <f>BO329*Constantes!$E$51</f>
        <v>0</v>
      </c>
      <c r="BQ329" s="76">
        <f t="shared" si="79"/>
        <v>0</v>
      </c>
      <c r="BR329" s="40"/>
    </row>
    <row r="330" spans="1:70">
      <c r="A330" s="147"/>
      <c r="B330" s="39"/>
      <c r="C330" s="75">
        <v>324</v>
      </c>
      <c r="D330" s="146">
        <f>ETo!$I329*((1-Constantes!$E$19)*ETo!$K329+ETo!$L329)</f>
        <v>4.4025235632922399</v>
      </c>
      <c r="E330" s="76">
        <f>MIN(D330*Constantes!$E$17,0.8*(N329+Observaciones!$F329-F330-M330-Constantes!$D$14))</f>
        <v>2.1524479785955966</v>
      </c>
      <c r="F330" s="76">
        <f>IF(Observaciones!$F329&gt;0.05*Constantes!$E$18,((Observaciones!$F329-0.05*Constantes!$E$18)^2)/(Observaciones!$F329+0.95*Constantes!$E$18),0)</f>
        <v>0.46226204185953151</v>
      </c>
      <c r="G330" s="76">
        <f>IF(Escenarios!$E$11&gt;0,(F330*Escenarios!$E$16*10000)/1000,0)</f>
        <v>1155.6551046488287</v>
      </c>
      <c r="H330" s="76">
        <f>IF(Escenarios!$E$11&gt;0,(Observaciones!$F329*Constantes!$E$29)/1000,0)</f>
        <v>136</v>
      </c>
      <c r="I330" s="76">
        <f>IF(Escenarios!$E$11&gt;0,(D330*Constantes!$E$29)/1000,0)</f>
        <v>44.025235632922396</v>
      </c>
      <c r="J330" s="76">
        <f>IF(Escenarios!$E$11&gt;0,MAX(0,G330+H330-I330),0)</f>
        <v>1247.6298690159063</v>
      </c>
      <c r="K330" s="76">
        <f>IF(Escenarios!$E$11&gt;0,IF(J330&gt;Constantes!$E$30,1000*((J330-Constantes!$E$30)/(Escenarios!$E$16*10000)),0),F330)</f>
        <v>0</v>
      </c>
      <c r="L330" s="76">
        <f>IF(Escenarios!$E$11&gt;0,I330*1000/Escenarios!$E$16/10000+E330,E330)</f>
        <v>2.1700580728487657</v>
      </c>
      <c r="M330" s="76">
        <f>MAX(0,N329+Observaciones!$F329-K330-Constantes!$D$13)</f>
        <v>0</v>
      </c>
      <c r="N330" s="76">
        <f>N329+Observaciones!$F329-K330-L330-M330-O329</f>
        <v>37.027560928626357</v>
      </c>
      <c r="O330" s="76">
        <f>MAX(0,(N330-Constantes!$D$14)*(1-EXP(-Constantes!$D$22)))</f>
        <v>0.8780783565924799</v>
      </c>
      <c r="P330" s="170">
        <f>P329+(Entradas!$E$83*M330-Q329)/(800*Entradas!$D$25)</f>
        <v>0</v>
      </c>
      <c r="Q330" s="170">
        <f>8000*Entradas!$D$26*P330/Constantes!$E$45</f>
        <v>0</v>
      </c>
      <c r="R330" s="170">
        <f>IF(Escenarios!$E$14&gt;0,K330*Escenarios!$E$13/Escenarios!$E$14,0)</f>
        <v>0</v>
      </c>
      <c r="S330" s="170">
        <f>IF(Escenarios!$E$14&gt;0,Q330*Escenarios!$E$13/Escenarios!$E$14,0)</f>
        <v>0</v>
      </c>
      <c r="T330" s="170">
        <f>IF(Escenarios!$E$14&gt;0,Observaciones!$I329,0)</f>
        <v>0</v>
      </c>
      <c r="U330" s="170">
        <f>IF(Escenarios!$E$14&gt;0,MAX(0,Constantes!$E$36/((Z329+R330+S330+T330+Observaciones!$F329)^2)+Entradas!$E$77),0)</f>
        <v>0.33911651817367261</v>
      </c>
      <c r="V330" s="146">
        <f>IF(ETo!D329&gt;0,ETo!I329*((1-Entradas!$E$81)*ETo!K329+ETo!L329),0)</f>
        <v>4.0236834129968129</v>
      </c>
      <c r="W330" s="170">
        <f>IF(Escenarios!$E$14&gt;0,MIN(V330*1,0.8*(Z329+R330+S330+T330+Observaciones!$F329-U330-Constantes!$E$35)),0)</f>
        <v>4.0236834129968129</v>
      </c>
      <c r="X330" s="170">
        <f>IF(Escenarios!$E$14&gt;0,Observaciones!$J329,0)</f>
        <v>0</v>
      </c>
      <c r="Y330" s="170">
        <f>IF(Escenarios!$E$14&gt;0,MAX(0,Z329+R330+S330+T330+Observaciones!$F329-U330-W330-X330-Constantes!$E$33),0)</f>
        <v>0</v>
      </c>
      <c r="Z330" s="170">
        <f>Z329+R330+S330+T330+Observaciones!$F329-U330-W330-Y330</f>
        <v>57.753211996850062</v>
      </c>
      <c r="AA330" s="170">
        <f>IF(Escenarios!$E$14&gt;0,(Escenarios!$E$13*L330+Escenarios!$E$14*W330)/(Escenarios!$E$16),L330)</f>
        <v>2.3924931136665313</v>
      </c>
      <c r="AB330" s="170">
        <f>IF(Escenarios!$E$14&gt;0,(Escenarios!$E$14*Y330)/(Escenarios!$E$16),K330)</f>
        <v>0</v>
      </c>
      <c r="AC330" s="170">
        <f>IF(Escenarios!$E$14&gt;0,(Escenarios!$E$13*M330+Escenarios!$E$14*U330)/(Escenarios!$E$16),M330)</f>
        <v>4.0693982180840714E-2</v>
      </c>
      <c r="AD330" s="76">
        <f t="shared" si="71"/>
        <v>62.134220617321375</v>
      </c>
      <c r="AE330" s="76">
        <f>MAX(0,(AD330-Constantes!$D$13)*(1-EXP(-Constantes!$D$23)))</f>
        <v>0.1318779136154522</v>
      </c>
      <c r="AF330" s="76">
        <f>AB330+O330*Escenarios!$E$13/Escenarios!$E$16+AE330</f>
        <v>0.90458686741683458</v>
      </c>
      <c r="AG330" s="76">
        <f>IF(Entradas!$E$91&gt;0,IF(AF330-Escenarios!$E$38&lt;=0,0,IF(AF330-Escenarios!$E$38&gt;Escenarios!$E$37,Escenarios!$E$37,AF330-Escenarios!$E$38)),0)</f>
        <v>0</v>
      </c>
      <c r="AH330" s="76">
        <f>AG330*Entradas!$E$99</f>
        <v>0</v>
      </c>
      <c r="AI330" s="76">
        <f>IF(Entradas!$E$91&gt;0,D330*Entradas!$D$23/Escenarios!$E$16,0)</f>
        <v>0</v>
      </c>
      <c r="AJ330" s="76">
        <f>IF(Entradas!$E$91&gt;0,Entradas!$D$24*Entradas!$D$22/Escenarios!$E$16,0)</f>
        <v>0</v>
      </c>
      <c r="AK330" s="76">
        <f t="shared" si="80"/>
        <v>2.3924931136665313</v>
      </c>
      <c r="AL330" s="76">
        <f t="shared" si="81"/>
        <v>0</v>
      </c>
      <c r="AM330" s="76">
        <f t="shared" si="72"/>
        <v>0</v>
      </c>
      <c r="AN330" s="76">
        <f>MAX(0,O330*Escenarios!$E$13/Escenarios!$E$16-AM330)</f>
        <v>0.77270895380138238</v>
      </c>
      <c r="AO330" s="76">
        <f>AM330+AN330-O330*Escenarios!$E$13/Escenarios!$E$16</f>
        <v>0</v>
      </c>
      <c r="AP330" s="76">
        <f t="shared" si="70"/>
        <v>0.1318779136154522</v>
      </c>
      <c r="AQ330" s="76">
        <f t="shared" si="73"/>
        <v>0</v>
      </c>
      <c r="AR330" s="76">
        <f t="shared" si="74"/>
        <v>0.90458686741683458</v>
      </c>
      <c r="AS330" s="76">
        <f t="shared" si="75"/>
        <v>0</v>
      </c>
      <c r="AT330" s="76">
        <f t="shared" si="76"/>
        <v>4.0693982180840714E-2</v>
      </c>
      <c r="AU330" s="76">
        <f t="shared" si="77"/>
        <v>48.75</v>
      </c>
      <c r="AV330" s="76">
        <f>MAX(0,(AU330-Constantes!$D$13)*(1-EXP(-Constantes!$D$24)))</f>
        <v>0</v>
      </c>
      <c r="AW330" s="170">
        <f>AW329+(Entradas!$E$112*AT330-AX329)/(800*Entradas!$D$25)</f>
        <v>0</v>
      </c>
      <c r="AX330" s="170">
        <f>8000*Entradas!$D$26*AW330/Constantes!$E$45</f>
        <v>0</v>
      </c>
      <c r="AY330" s="170">
        <f>IF(Escenarios!$E$17&gt;0,10*Escenarios!$E$16*AL330,0)</f>
        <v>0</v>
      </c>
      <c r="AZ330" s="170">
        <f>IF(Escenarios!$E$17&gt;0,10*Escenarios!$E$16*AX330,0)</f>
        <v>0</v>
      </c>
      <c r="BA330" s="170">
        <f>IF(Escenarios!$E$17&gt;0,0.001*Observaciones!$F329*Escenarios!$E$17,0)</f>
        <v>272</v>
      </c>
      <c r="BB330" s="170">
        <f>IF(Escenarios!$E$17&gt;0,Observaciones!$K329,0)</f>
        <v>0</v>
      </c>
      <c r="BC330" s="170">
        <f>IF(Escenarios!$E$17&gt;0,MIN(0.0005*ETo!$M329*Escenarios!$E$17*(BG329/Constantes!$E$40)^(2/3),BG329+AY330+AZ330+BA330+BB330),0)</f>
        <v>15.01519149338451</v>
      </c>
      <c r="BD330" s="170">
        <f>IF(Escenarios!$E$17&gt;0,MIN(Constantes!$E$39*(BG329/Constantes!$E$40)^(2/3),BG329+AY330+AZ330+BA330+BB330-BC330),0)</f>
        <v>24.03084430675808</v>
      </c>
      <c r="BE330" s="170">
        <f>IF(Escenarios!$E$17&gt;0,MIN(Entradas!$E$113,BG329+AY330+AZ330+BA330+BB330-BC330-BD330),0)</f>
        <v>1</v>
      </c>
      <c r="BF330" s="170">
        <f>IF(Escenarios!$E$17&gt;0,MAX(0,BG329+AY330+AZ330+BA330+BB330-BC330-BD330-BE330-Constantes!$E$40),0)</f>
        <v>0</v>
      </c>
      <c r="BG330" s="170">
        <f t="shared" si="82"/>
        <v>1329.5115228870268</v>
      </c>
      <c r="BH330" s="170">
        <f>(Escenarios!$E$16*AK330+0.1*BC330)/(Escenarios!$E$19)</f>
        <v>2.3794634824046481</v>
      </c>
      <c r="BI330" s="170">
        <f>IF(Escenarios!$E$17&gt;0,BF330/10/Escenarios!$E$19,AL330)</f>
        <v>0</v>
      </c>
      <c r="BJ330" s="170">
        <f>(Escenarios!$E$16*AT330+0.1*BD330)/(Escenarios!$E$19)</f>
        <v>4.9907063396372957E-2</v>
      </c>
      <c r="BK330" s="76">
        <f>BK329+(0.1*BD330)/(Escenarios!$E$19)-BL329</f>
        <v>49.502481956274437</v>
      </c>
      <c r="BL330" s="76">
        <f>MAX(0,(BK330-Constantes!$D$13)*(1-EXP(-Constantes!$D$23)))</f>
        <v>7.4143839424104649E-3</v>
      </c>
      <c r="BM330" s="76">
        <f t="shared" si="78"/>
        <v>0.13929229755786265</v>
      </c>
      <c r="BN330" s="76">
        <f t="shared" si="83"/>
        <v>0.91200125135924504</v>
      </c>
      <c r="BO330" s="76">
        <f>0.0526*BI330*Observaciones!$F329^1.218</f>
        <v>0</v>
      </c>
      <c r="BP330" s="76">
        <f>BO330*Constantes!$E$51</f>
        <v>0</v>
      </c>
      <c r="BQ330" s="76">
        <f t="shared" si="79"/>
        <v>0</v>
      </c>
      <c r="BR330" s="40"/>
    </row>
    <row r="331" spans="1:70">
      <c r="A331" s="147"/>
      <c r="B331" s="39"/>
      <c r="C331" s="75">
        <v>325</v>
      </c>
      <c r="D331" s="146">
        <f>ETo!$I330*((1-Constantes!$E$19)*ETo!$K330+ETo!$L330)</f>
        <v>4.5122630107501029</v>
      </c>
      <c r="E331" s="76">
        <f>MIN(D331*Constantes!$E$17,0.8*(N330+Observaciones!$F330-F331-M331-Constantes!$D$14))</f>
        <v>2.20610094568528</v>
      </c>
      <c r="F331" s="76">
        <f>IF(Observaciones!$F330&gt;0.05*Constantes!$E$18,((Observaciones!$F330-0.05*Constantes!$E$18)^2)/(Observaciones!$F330+0.95*Constantes!$E$18),0)</f>
        <v>7.5402347932643698E-3</v>
      </c>
      <c r="G331" s="76">
        <f>IF(Escenarios!$E$11&gt;0,(F331*Escenarios!$E$16*10000)/1000,0)</f>
        <v>18.850586983160923</v>
      </c>
      <c r="H331" s="76">
        <f>IF(Escenarios!$E$11&gt;0,(Observaciones!$F330*Constantes!$E$29)/1000,0)</f>
        <v>69</v>
      </c>
      <c r="I331" s="76">
        <f>IF(Escenarios!$E$11&gt;0,(D331*Constantes!$E$29)/1000,0)</f>
        <v>45.122630107501024</v>
      </c>
      <c r="J331" s="76">
        <f>IF(Escenarios!$E$11&gt;0,MAX(0,G331+H331-I331),0)</f>
        <v>42.727956875659899</v>
      </c>
      <c r="K331" s="76">
        <f>IF(Escenarios!$E$11&gt;0,IF(J331&gt;Constantes!$E$30,1000*((J331-Constantes!$E$30)/(Escenarios!$E$16*10000)),0),F331)</f>
        <v>0</v>
      </c>
      <c r="L331" s="76">
        <f>IF(Escenarios!$E$11&gt;0,I331*1000/Escenarios!$E$16/10000+E331,E331)</f>
        <v>2.2241499977282806</v>
      </c>
      <c r="M331" s="76">
        <f>MAX(0,N330+Observaciones!$F330-K331-Constantes!$D$13)</f>
        <v>0</v>
      </c>
      <c r="N331" s="76">
        <f>N330+Observaciones!$F330-K331-L331-M331-O330</f>
        <v>40.825332574305591</v>
      </c>
      <c r="O331" s="76">
        <f>MAX(0,(N331-Constantes!$D$14)*(1-EXP(-Constantes!$D$22)))</f>
        <v>1.0074444007494452</v>
      </c>
      <c r="P331" s="170">
        <f>P330+(Entradas!$E$83*M331-Q330)/(800*Entradas!$D$25)</f>
        <v>0</v>
      </c>
      <c r="Q331" s="170">
        <f>8000*Entradas!$D$26*P331/Constantes!$E$45</f>
        <v>0</v>
      </c>
      <c r="R331" s="170">
        <f>IF(Escenarios!$E$14&gt;0,K331*Escenarios!$E$13/Escenarios!$E$14,0)</f>
        <v>0</v>
      </c>
      <c r="S331" s="170">
        <f>IF(Escenarios!$E$14&gt;0,Q331*Escenarios!$E$13/Escenarios!$E$14,0)</f>
        <v>0</v>
      </c>
      <c r="T331" s="170">
        <f>IF(Escenarios!$E$14&gt;0,Observaciones!$I330,0)</f>
        <v>0</v>
      </c>
      <c r="U331" s="170">
        <f>IF(Escenarios!$E$14&gt;0,MAX(0,Constantes!$E$36/((Z330+R331+S331+T331+Observaciones!$F330)^2)+Entradas!$E$77),0)</f>
        <v>0.54386193656685089</v>
      </c>
      <c r="V331" s="146">
        <f>IF(ETo!D330&gt;0,ETo!I330*((1-Entradas!$E$81)*ETo!K330+ETo!L330),0)</f>
        <v>4.1253842606465003</v>
      </c>
      <c r="W331" s="170">
        <f>IF(Escenarios!$E$14&gt;0,MIN(V331*1,0.8*(Z330+R331+S331+T331+Observaciones!$F330-U331-Constantes!$E$35)),0)</f>
        <v>4.1253842606465003</v>
      </c>
      <c r="X331" s="170">
        <f>IF(Escenarios!$E$14&gt;0,Observaciones!$J330,0)</f>
        <v>0</v>
      </c>
      <c r="Y331" s="170">
        <f>IF(Escenarios!$E$14&gt;0,MAX(0,Z330+R331+S331+T331+Observaciones!$F330-U331-W331-X331-Constantes!$E$33),0)</f>
        <v>0</v>
      </c>
      <c r="Z331" s="170">
        <f>Z330+R331+S331+T331+Observaciones!$F330-U331-W331-Y331</f>
        <v>59.983965799636707</v>
      </c>
      <c r="AA331" s="170">
        <f>IF(Escenarios!$E$14&gt;0,(Escenarios!$E$13*L331+Escenarios!$E$14*W331)/(Escenarios!$E$16),L331)</f>
        <v>2.452298109278467</v>
      </c>
      <c r="AB331" s="170">
        <f>IF(Escenarios!$E$14&gt;0,(Escenarios!$E$14*Y331)/(Escenarios!$E$16),K331)</f>
        <v>0</v>
      </c>
      <c r="AC331" s="170">
        <f>IF(Escenarios!$E$14&gt;0,(Escenarios!$E$13*M331+Escenarios!$E$14*U331)/(Escenarios!$E$16),M331)</f>
        <v>6.5263432388022111E-2</v>
      </c>
      <c r="AD331" s="76">
        <f t="shared" si="71"/>
        <v>62.067606136093943</v>
      </c>
      <c r="AE331" s="76">
        <f>MAX(0,(AD331-Constantes!$D$13)*(1-EXP(-Constantes!$D$23)))</f>
        <v>0.13122154526558505</v>
      </c>
      <c r="AF331" s="76">
        <f>AB331+O331*Escenarios!$E$13/Escenarios!$E$16+AE331</f>
        <v>1.0177726179250968</v>
      </c>
      <c r="AG331" s="76">
        <f>IF(Entradas!$E$91&gt;0,IF(AF331-Escenarios!$E$38&lt;=0,0,IF(AF331-Escenarios!$E$38&gt;Escenarios!$E$37,Escenarios!$E$37,AF331-Escenarios!$E$38)),0)</f>
        <v>0</v>
      </c>
      <c r="AH331" s="76">
        <f>AG331*Entradas!$E$99</f>
        <v>0</v>
      </c>
      <c r="AI331" s="76">
        <f>IF(Entradas!$E$91&gt;0,D331*Entradas!$D$23/Escenarios!$E$16,0)</f>
        <v>0</v>
      </c>
      <c r="AJ331" s="76">
        <f>IF(Entradas!$E$91&gt;0,Entradas!$D$24*Entradas!$D$22/Escenarios!$E$16,0)</f>
        <v>0</v>
      </c>
      <c r="AK331" s="76">
        <f t="shared" si="80"/>
        <v>2.452298109278467</v>
      </c>
      <c r="AL331" s="76">
        <f t="shared" si="81"/>
        <v>0</v>
      </c>
      <c r="AM331" s="76">
        <f t="shared" si="72"/>
        <v>0</v>
      </c>
      <c r="AN331" s="76">
        <f>MAX(0,O331*Escenarios!$E$13/Escenarios!$E$16-AM331)</f>
        <v>0.88655107265951172</v>
      </c>
      <c r="AO331" s="76">
        <f>AM331+AN331-O331*Escenarios!$E$13/Escenarios!$E$16</f>
        <v>0</v>
      </c>
      <c r="AP331" s="76">
        <f t="shared" si="70"/>
        <v>0.13122154526558505</v>
      </c>
      <c r="AQ331" s="76">
        <f t="shared" si="73"/>
        <v>0</v>
      </c>
      <c r="AR331" s="76">
        <f t="shared" si="74"/>
        <v>1.0177726179250968</v>
      </c>
      <c r="AS331" s="76">
        <f t="shared" si="75"/>
        <v>0</v>
      </c>
      <c r="AT331" s="76">
        <f t="shared" si="76"/>
        <v>6.5263432388022111E-2</v>
      </c>
      <c r="AU331" s="76">
        <f t="shared" si="77"/>
        <v>48.75</v>
      </c>
      <c r="AV331" s="76">
        <f>MAX(0,(AU331-Constantes!$D$13)*(1-EXP(-Constantes!$D$24)))</f>
        <v>0</v>
      </c>
      <c r="AW331" s="170">
        <f>AW330+(Entradas!$E$112*AT331-AX330)/(800*Entradas!$D$25)</f>
        <v>0</v>
      </c>
      <c r="AX331" s="170">
        <f>8000*Entradas!$D$26*AW331/Constantes!$E$45</f>
        <v>0</v>
      </c>
      <c r="AY331" s="170">
        <f>IF(Escenarios!$E$17&gt;0,10*Escenarios!$E$16*AL331,0)</f>
        <v>0</v>
      </c>
      <c r="AZ331" s="170">
        <f>IF(Escenarios!$E$17&gt;0,10*Escenarios!$E$16*AX331,0)</f>
        <v>0</v>
      </c>
      <c r="BA331" s="170">
        <f>IF(Escenarios!$E$17&gt;0,0.001*Observaciones!$F330*Escenarios!$E$17,0)</f>
        <v>138.00000000000003</v>
      </c>
      <c r="BB331" s="170">
        <f>IF(Escenarios!$E$17&gt;0,Observaciones!$K330,0)</f>
        <v>0</v>
      </c>
      <c r="BC331" s="170">
        <f>IF(Escenarios!$E$17&gt;0,MIN(0.0005*ETo!$M330*Escenarios!$E$17*(BG330/Constantes!$E$40)^(2/3),BG330+AY331+AZ331+BA331+BB331),0)</f>
        <v>17.480186784707787</v>
      </c>
      <c r="BD331" s="170">
        <f>IF(Escenarios!$E$17&gt;0,MIN(Constantes!$E$39*(BG330/Constantes!$E$40)^(2/3),BG330+AY331+AZ331+BA331+BB331-BC331),0)</f>
        <v>27.307308507157405</v>
      </c>
      <c r="BE331" s="170">
        <f>IF(Escenarios!$E$17&gt;0,MIN(Entradas!$E$113,BG330+AY331+AZ331+BA331+BB331-BC331-BD331),0)</f>
        <v>1</v>
      </c>
      <c r="BF331" s="170">
        <f>IF(Escenarios!$E$17&gt;0,MAX(0,BG330+AY331+AZ331+BA331+BB331-BC331-BD331-BE331-Constantes!$E$40),0)</f>
        <v>0</v>
      </c>
      <c r="BG331" s="170">
        <f t="shared" si="82"/>
        <v>1421.7240275951617</v>
      </c>
      <c r="BH331" s="170">
        <f>(Escenarios!$E$16*AK331+0.1*BC331)/(Escenarios!$E$19)</f>
        <v>2.4397720079289189</v>
      </c>
      <c r="BI331" s="170">
        <f>IF(Escenarios!$E$17&gt;0,BF331/10/Escenarios!$E$19,AL331)</f>
        <v>0</v>
      </c>
      <c r="BJ331" s="170">
        <f>(Escenarios!$E$16*AT331+0.1*BD331)/(Escenarios!$E$19)</f>
        <v>7.5581702173497092E-2</v>
      </c>
      <c r="BK331" s="76">
        <f>BK330+(0.1*BD331)/(Escenarios!$E$19)-BL330</f>
        <v>49.505903805866609</v>
      </c>
      <c r="BL331" s="76">
        <f>MAX(0,(BK331-Constantes!$D$13)*(1-EXP(-Constantes!$D$23)))</f>
        <v>7.4481002414632106E-3</v>
      </c>
      <c r="BM331" s="76">
        <f t="shared" si="78"/>
        <v>0.13866964550704827</v>
      </c>
      <c r="BN331" s="76">
        <f t="shared" si="83"/>
        <v>1.02522071816656</v>
      </c>
      <c r="BO331" s="76">
        <f>0.0526*BI331*Observaciones!$F330^1.218</f>
        <v>0</v>
      </c>
      <c r="BP331" s="76">
        <f>BO331*Constantes!$E$51</f>
        <v>0</v>
      </c>
      <c r="BQ331" s="76">
        <f t="shared" si="79"/>
        <v>0</v>
      </c>
      <c r="BR331" s="40"/>
    </row>
    <row r="332" spans="1:70">
      <c r="A332" s="147"/>
      <c r="B332" s="39"/>
      <c r="C332" s="75">
        <v>326</v>
      </c>
      <c r="D332" s="146">
        <f>ETo!$I331*((1-Constantes!$E$19)*ETo!$K331+ETo!$L331)</f>
        <v>4.5357571913388233</v>
      </c>
      <c r="E332" s="76">
        <f>MIN(D332*Constantes!$E$17,0.8*(N331+Observaciones!$F331-F332-M332-Constantes!$D$14))</f>
        <v>2.2175875398601752</v>
      </c>
      <c r="F332" s="76">
        <f>IF(Observaciones!$F331&gt;0.05*Constantes!$E$18,((Observaciones!$F331-0.05*Constantes!$E$18)^2)/(Observaciones!$F331+0.95*Constantes!$E$18),0)</f>
        <v>0</v>
      </c>
      <c r="G332" s="76">
        <f>IF(Escenarios!$E$11&gt;0,(F332*Escenarios!$E$16*10000)/1000,0)</f>
        <v>0</v>
      </c>
      <c r="H332" s="76">
        <f>IF(Escenarios!$E$11&gt;0,(Observaciones!$F331*Constantes!$E$29)/1000,0)</f>
        <v>0</v>
      </c>
      <c r="I332" s="76">
        <f>IF(Escenarios!$E$11&gt;0,(D332*Constantes!$E$29)/1000,0)</f>
        <v>45.357571913388227</v>
      </c>
      <c r="J332" s="76">
        <f>IF(Escenarios!$E$11&gt;0,MAX(0,G332+H332-I332),0)</f>
        <v>0</v>
      </c>
      <c r="K332" s="76">
        <f>IF(Escenarios!$E$11&gt;0,IF(J332&gt;Constantes!$E$30,1000*((J332-Constantes!$E$30)/(Escenarios!$E$16*10000)),0),F332)</f>
        <v>0</v>
      </c>
      <c r="L332" s="76">
        <f>IF(Escenarios!$E$11&gt;0,I332*1000/Escenarios!$E$16/10000+E332,E332)</f>
        <v>2.2357305686255304</v>
      </c>
      <c r="M332" s="76">
        <f>MAX(0,N331+Observaciones!$F331-K332-Constantes!$D$13)</f>
        <v>0</v>
      </c>
      <c r="N332" s="76">
        <f>N331+Observaciones!$F331-K332-L332-M332-O331</f>
        <v>37.582157604930622</v>
      </c>
      <c r="O332" s="76">
        <f>MAX(0,(N332-Constantes!$D$14)*(1-EXP(-Constantes!$D$22)))</f>
        <v>0.89696995535348223</v>
      </c>
      <c r="P332" s="170">
        <f>P331+(Entradas!$E$83*M332-Q331)/(800*Entradas!$D$25)</f>
        <v>0</v>
      </c>
      <c r="Q332" s="170">
        <f>8000*Entradas!$D$26*P332/Constantes!$E$45</f>
        <v>0</v>
      </c>
      <c r="R332" s="170">
        <f>IF(Escenarios!$E$14&gt;0,K332*Escenarios!$E$13/Escenarios!$E$14,0)</f>
        <v>0</v>
      </c>
      <c r="S332" s="170">
        <f>IF(Escenarios!$E$14&gt;0,Q332*Escenarios!$E$13/Escenarios!$E$14,0)</f>
        <v>0</v>
      </c>
      <c r="T332" s="170">
        <f>IF(Escenarios!$E$14&gt;0,Observaciones!$I331,0)</f>
        <v>0</v>
      </c>
      <c r="U332" s="170">
        <f>IF(Escenarios!$E$14&gt;0,MAX(0,Constantes!$E$36/((Z331+R332+S332+T332+Observaciones!$F331)^2)+Entradas!$E$77),0)</f>
        <v>0.14660013760646429</v>
      </c>
      <c r="V332" s="146">
        <f>IF(ETo!D331&gt;0,ETo!I331*((1-Entradas!$E$81)*ETo!K331+ETo!L331),0)</f>
        <v>4.1471972752803348</v>
      </c>
      <c r="W332" s="170">
        <f>IF(Escenarios!$E$14&gt;0,MIN(V332*1,0.8*(Z331+R332+S332+T332+Observaciones!$F331-U332-Constantes!$E$35)),0)</f>
        <v>4.1471972752803348</v>
      </c>
      <c r="X332" s="170">
        <f>IF(Escenarios!$E$14&gt;0,Observaciones!$J331,0)</f>
        <v>0</v>
      </c>
      <c r="Y332" s="170">
        <f>IF(Escenarios!$E$14&gt;0,MAX(0,Z331+R332+S332+T332+Observaciones!$F331-U332-W332-X332-Constantes!$E$33),0)</f>
        <v>0</v>
      </c>
      <c r="Z332" s="170">
        <f>Z331+R332+S332+T332+Observaciones!$F331-U332-W332-Y332</f>
        <v>55.69016838674991</v>
      </c>
      <c r="AA332" s="170">
        <f>IF(Escenarios!$E$14&gt;0,(Escenarios!$E$13*L332+Escenarios!$E$14*W332)/(Escenarios!$E$16),L332)</f>
        <v>2.4651065734241069</v>
      </c>
      <c r="AB332" s="170">
        <f>IF(Escenarios!$E$14&gt;0,(Escenarios!$E$14*Y332)/(Escenarios!$E$16),K332)</f>
        <v>0</v>
      </c>
      <c r="AC332" s="170">
        <f>IF(Escenarios!$E$14&gt;0,(Escenarios!$E$13*M332+Escenarios!$E$14*U332)/(Escenarios!$E$16),M332)</f>
        <v>1.7592016512775713E-2</v>
      </c>
      <c r="AD332" s="76">
        <f t="shared" si="71"/>
        <v>61.95397660734114</v>
      </c>
      <c r="AE332" s="76">
        <f>MAX(0,(AD332-Constantes!$D$13)*(1-EXP(-Constantes!$D$23)))</f>
        <v>0.13010192645433852</v>
      </c>
      <c r="AF332" s="76">
        <f>AB332+O332*Escenarios!$E$13/Escenarios!$E$16+AE332</f>
        <v>0.91943548716540291</v>
      </c>
      <c r="AG332" s="76">
        <f>IF(Entradas!$E$91&gt;0,IF(AF332-Escenarios!$E$38&lt;=0,0,IF(AF332-Escenarios!$E$38&gt;Escenarios!$E$37,Escenarios!$E$37,AF332-Escenarios!$E$38)),0)</f>
        <v>0</v>
      </c>
      <c r="AH332" s="76">
        <f>AG332*Entradas!$E$99</f>
        <v>0</v>
      </c>
      <c r="AI332" s="76">
        <f>IF(Entradas!$E$91&gt;0,D332*Entradas!$D$23/Escenarios!$E$16,0)</f>
        <v>0</v>
      </c>
      <c r="AJ332" s="76">
        <f>IF(Entradas!$E$91&gt;0,Entradas!$D$24*Entradas!$D$22/Escenarios!$E$16,0)</f>
        <v>0</v>
      </c>
      <c r="AK332" s="76">
        <f t="shared" si="80"/>
        <v>2.4651065734241069</v>
      </c>
      <c r="AL332" s="76">
        <f t="shared" si="81"/>
        <v>0</v>
      </c>
      <c r="AM332" s="76">
        <f t="shared" si="72"/>
        <v>0</v>
      </c>
      <c r="AN332" s="76">
        <f>MAX(0,O332*Escenarios!$E$13/Escenarios!$E$16-AM332)</f>
        <v>0.78933356071106442</v>
      </c>
      <c r="AO332" s="76">
        <f>AM332+AN332-O332*Escenarios!$E$13/Escenarios!$E$16</f>
        <v>0</v>
      </c>
      <c r="AP332" s="76">
        <f t="shared" si="70"/>
        <v>0.13010192645433852</v>
      </c>
      <c r="AQ332" s="76">
        <f t="shared" si="73"/>
        <v>0</v>
      </c>
      <c r="AR332" s="76">
        <f t="shared" si="74"/>
        <v>0.91943548716540291</v>
      </c>
      <c r="AS332" s="76">
        <f t="shared" si="75"/>
        <v>0</v>
      </c>
      <c r="AT332" s="76">
        <f t="shared" si="76"/>
        <v>1.7592016512775713E-2</v>
      </c>
      <c r="AU332" s="76">
        <f t="shared" si="77"/>
        <v>48.75</v>
      </c>
      <c r="AV332" s="76">
        <f>MAX(0,(AU332-Constantes!$D$13)*(1-EXP(-Constantes!$D$24)))</f>
        <v>0</v>
      </c>
      <c r="AW332" s="170">
        <f>AW331+(Entradas!$E$112*AT332-AX331)/(800*Entradas!$D$25)</f>
        <v>0</v>
      </c>
      <c r="AX332" s="170">
        <f>8000*Entradas!$D$26*AW332/Constantes!$E$45</f>
        <v>0</v>
      </c>
      <c r="AY332" s="170">
        <f>IF(Escenarios!$E$17&gt;0,10*Escenarios!$E$16*AL332,0)</f>
        <v>0</v>
      </c>
      <c r="AZ332" s="170">
        <f>IF(Escenarios!$E$17&gt;0,10*Escenarios!$E$16*AX332,0)</f>
        <v>0</v>
      </c>
      <c r="BA332" s="170">
        <f>IF(Escenarios!$E$17&gt;0,0.001*Observaciones!$F331*Escenarios!$E$17,0)</f>
        <v>0</v>
      </c>
      <c r="BB332" s="170">
        <f>IF(Escenarios!$E$17&gt;0,Observaciones!$K331,0)</f>
        <v>0</v>
      </c>
      <c r="BC332" s="170">
        <f>IF(Escenarios!$E$17&gt;0,MIN(0.0005*ETo!$M331*Escenarios!$E$17*(BG331/Constantes!$E$40)^(2/3),BG331+AY332+AZ332+BA332+BB332),0)</f>
        <v>18.372687518483595</v>
      </c>
      <c r="BD332" s="170">
        <f>IF(Escenarios!$E$17&gt;0,MIN(Constantes!$E$39*(BG331/Constantes!$E$40)^(2/3),BG331+AY332+AZ332+BA332+BB332-BC332),0)</f>
        <v>28.555801989382047</v>
      </c>
      <c r="BE332" s="170">
        <f>IF(Escenarios!$E$17&gt;0,MIN(Entradas!$E$113,BG331+AY332+AZ332+BA332+BB332-BC332-BD332),0)</f>
        <v>1</v>
      </c>
      <c r="BF332" s="170">
        <f>IF(Escenarios!$E$17&gt;0,MAX(0,BG331+AY332+AZ332+BA332+BB332-BC332-BD332-BE332-Constantes!$E$40),0)</f>
        <v>0</v>
      </c>
      <c r="BG332" s="170">
        <f t="shared" si="82"/>
        <v>1373.7955380872961</v>
      </c>
      <c r="BH332" s="170">
        <f>(Escenarios!$E$16*AK332+0.1*BC332)/(Escenarios!$E$19)</f>
        <v>2.45283298455506</v>
      </c>
      <c r="BI332" s="170">
        <f>IF(Escenarios!$E$17&gt;0,BF332/10/Escenarios!$E$19,AL332)</f>
        <v>0</v>
      </c>
      <c r="BJ332" s="170">
        <f>(Escenarios!$E$16*AT332+0.1*BD332)/(Escenarios!$E$19)</f>
        <v>2.8784064790206877E-2</v>
      </c>
      <c r="BK332" s="76">
        <f>BK331+(0.1*BD332)/(Escenarios!$E$19)-BL331</f>
        <v>49.509787373081252</v>
      </c>
      <c r="BL332" s="76">
        <f>MAX(0,(BK332-Constantes!$D$13)*(1-EXP(-Constantes!$D$23)))</f>
        <v>7.4863659542227365E-3</v>
      </c>
      <c r="BM332" s="76">
        <f t="shared" si="78"/>
        <v>0.13758829240856124</v>
      </c>
      <c r="BN332" s="76">
        <f t="shared" si="83"/>
        <v>0.92692185311962561</v>
      </c>
      <c r="BO332" s="76">
        <f>0.0526*BI332*Observaciones!$F331^1.218</f>
        <v>0</v>
      </c>
      <c r="BP332" s="76">
        <f>BO332*Constantes!$E$51</f>
        <v>0</v>
      </c>
      <c r="BQ332" s="76">
        <f t="shared" si="79"/>
        <v>0</v>
      </c>
      <c r="BR332" s="40"/>
    </row>
    <row r="333" spans="1:70">
      <c r="A333" s="147"/>
      <c r="B333" s="39"/>
      <c r="C333" s="75">
        <v>327</v>
      </c>
      <c r="D333" s="146">
        <f>ETo!$I332*((1-Constantes!$E$19)*ETo!$K332+ETo!$L332)</f>
        <v>4.5727910089357069</v>
      </c>
      <c r="E333" s="76">
        <f>MIN(D333*Constantes!$E$17,0.8*(N332+Observaciones!$F332-F333-M333-Constantes!$D$14))</f>
        <v>2.2356938292826172</v>
      </c>
      <c r="F333" s="76">
        <f>IF(Observaciones!$F332&gt;0.05*Constantes!$E$18,((Observaciones!$F332-0.05*Constantes!$E$18)^2)/(Observaciones!$F332+0.95*Constantes!$E$18),0)</f>
        <v>0</v>
      </c>
      <c r="G333" s="76">
        <f>IF(Escenarios!$E$11&gt;0,(F333*Escenarios!$E$16*10000)/1000,0)</f>
        <v>0</v>
      </c>
      <c r="H333" s="76">
        <f>IF(Escenarios!$E$11&gt;0,(Observaciones!$F332*Constantes!$E$29)/1000,0)</f>
        <v>0</v>
      </c>
      <c r="I333" s="76">
        <f>IF(Escenarios!$E$11&gt;0,(D333*Constantes!$E$29)/1000,0)</f>
        <v>45.727910089357074</v>
      </c>
      <c r="J333" s="76">
        <f>IF(Escenarios!$E$11&gt;0,MAX(0,G333+H333-I333),0)</f>
        <v>0</v>
      </c>
      <c r="K333" s="76">
        <f>IF(Escenarios!$E$11&gt;0,IF(J333&gt;Constantes!$E$30,1000*((J333-Constantes!$E$30)/(Escenarios!$E$16*10000)),0),F333)</f>
        <v>0</v>
      </c>
      <c r="L333" s="76">
        <f>IF(Escenarios!$E$11&gt;0,I333*1000/Escenarios!$E$16/10000+E333,E333)</f>
        <v>2.25398499331836</v>
      </c>
      <c r="M333" s="76">
        <f>MAX(0,N332+Observaciones!$F332-K333-Constantes!$D$13)</f>
        <v>0</v>
      </c>
      <c r="N333" s="76">
        <f>N332+Observaciones!$F332-K333-L333-M333-O332</f>
        <v>34.431202656258776</v>
      </c>
      <c r="O333" s="76">
        <f>MAX(0,(N333-Constantes!$D$14)*(1-EXP(-Constantes!$D$22)))</f>
        <v>0.78963686240929443</v>
      </c>
      <c r="P333" s="170">
        <f>P332+(Entradas!$E$83*M333-Q332)/(800*Entradas!$D$25)</f>
        <v>0</v>
      </c>
      <c r="Q333" s="170">
        <f>8000*Entradas!$D$26*P333/Constantes!$E$45</f>
        <v>0</v>
      </c>
      <c r="R333" s="170">
        <f>IF(Escenarios!$E$14&gt;0,K333*Escenarios!$E$13/Escenarios!$E$14,0)</f>
        <v>0</v>
      </c>
      <c r="S333" s="170">
        <f>IF(Escenarios!$E$14&gt;0,Q333*Escenarios!$E$13/Escenarios!$E$14,0)</f>
        <v>0</v>
      </c>
      <c r="T333" s="170">
        <f>IF(Escenarios!$E$14&gt;0,Observaciones!$I332,0)</f>
        <v>0</v>
      </c>
      <c r="U333" s="170">
        <f>IF(Escenarios!$E$14&gt;0,MAX(0,Constantes!$E$36/((Z332+R333+S333+T333+Observaciones!$F332)^2)+Entradas!$E$77),0)</f>
        <v>0</v>
      </c>
      <c r="V333" s="146">
        <f>IF(ETo!D332&gt;0,ETo!I332*((1-Entradas!$E$81)*ETo!K332+ETo!L332),0)</f>
        <v>4.1816012543771031</v>
      </c>
      <c r="W333" s="170">
        <f>IF(Escenarios!$E$14&gt;0,MIN(V333*1,0.8*(Z332+R333+S333+T333+Observaciones!$F332-U333-Constantes!$E$35)),0)</f>
        <v>4.1816012543771031</v>
      </c>
      <c r="X333" s="170">
        <f>IF(Escenarios!$E$14&gt;0,Observaciones!$J332,0)</f>
        <v>0</v>
      </c>
      <c r="Y333" s="170">
        <f>IF(Escenarios!$E$14&gt;0,MAX(0,Z332+R333+S333+T333+Observaciones!$F332-U333-W333-X333-Constantes!$E$33),0)</f>
        <v>0</v>
      </c>
      <c r="Z333" s="170">
        <f>Z332+R333+S333+T333+Observaciones!$F332-U333-W333-Y333</f>
        <v>51.508567132372804</v>
      </c>
      <c r="AA333" s="170">
        <f>IF(Escenarios!$E$14&gt;0,(Escenarios!$E$13*L333+Escenarios!$E$14*W333)/(Escenarios!$E$16),L333)</f>
        <v>2.4852989446454092</v>
      </c>
      <c r="AB333" s="170">
        <f>IF(Escenarios!$E$14&gt;0,(Escenarios!$E$14*Y333)/(Escenarios!$E$16),K333)</f>
        <v>0</v>
      </c>
      <c r="AC333" s="170">
        <f>IF(Escenarios!$E$14&gt;0,(Escenarios!$E$13*M333+Escenarios!$E$14*U333)/(Escenarios!$E$16),M333)</f>
        <v>0</v>
      </c>
      <c r="AD333" s="76">
        <f t="shared" si="71"/>
        <v>61.823874680886803</v>
      </c>
      <c r="AE333" s="76">
        <f>MAX(0,(AD333-Constantes!$D$13)*(1-EXP(-Constantes!$D$23)))</f>
        <v>0.1288200011851193</v>
      </c>
      <c r="AF333" s="76">
        <f>AB333+O333*Escenarios!$E$13/Escenarios!$E$16+AE333</f>
        <v>0.82370044010529841</v>
      </c>
      <c r="AG333" s="76">
        <f>IF(Entradas!$E$91&gt;0,IF(AF333-Escenarios!$E$38&lt;=0,0,IF(AF333-Escenarios!$E$38&gt;Escenarios!$E$37,Escenarios!$E$37,AF333-Escenarios!$E$38)),0)</f>
        <v>0</v>
      </c>
      <c r="AH333" s="76">
        <f>AG333*Entradas!$E$99</f>
        <v>0</v>
      </c>
      <c r="AI333" s="76">
        <f>IF(Entradas!$E$91&gt;0,D333*Entradas!$D$23/Escenarios!$E$16,0)</f>
        <v>0</v>
      </c>
      <c r="AJ333" s="76">
        <f>IF(Entradas!$E$91&gt;0,Entradas!$D$24*Entradas!$D$22/Escenarios!$E$16,0)</f>
        <v>0</v>
      </c>
      <c r="AK333" s="76">
        <f t="shared" si="80"/>
        <v>2.4852989446454092</v>
      </c>
      <c r="AL333" s="76">
        <f t="shared" si="81"/>
        <v>0</v>
      </c>
      <c r="AM333" s="76">
        <f t="shared" si="72"/>
        <v>0</v>
      </c>
      <c r="AN333" s="76">
        <f>MAX(0,O333*Escenarios!$E$13/Escenarios!$E$16-AM333)</f>
        <v>0.69488043892017914</v>
      </c>
      <c r="AO333" s="76">
        <f>AM333+AN333-O333*Escenarios!$E$13/Escenarios!$E$16</f>
        <v>0</v>
      </c>
      <c r="AP333" s="76">
        <f t="shared" si="70"/>
        <v>0.1288200011851193</v>
      </c>
      <c r="AQ333" s="76">
        <f t="shared" si="73"/>
        <v>0</v>
      </c>
      <c r="AR333" s="76">
        <f t="shared" si="74"/>
        <v>0.82370044010529841</v>
      </c>
      <c r="AS333" s="76">
        <f t="shared" si="75"/>
        <v>0</v>
      </c>
      <c r="AT333" s="76">
        <f t="shared" si="76"/>
        <v>0</v>
      </c>
      <c r="AU333" s="76">
        <f t="shared" si="77"/>
        <v>48.75</v>
      </c>
      <c r="AV333" s="76">
        <f>MAX(0,(AU333-Constantes!$D$13)*(1-EXP(-Constantes!$D$24)))</f>
        <v>0</v>
      </c>
      <c r="AW333" s="170">
        <f>AW332+(Entradas!$E$112*AT333-AX332)/(800*Entradas!$D$25)</f>
        <v>0</v>
      </c>
      <c r="AX333" s="170">
        <f>8000*Entradas!$D$26*AW333/Constantes!$E$45</f>
        <v>0</v>
      </c>
      <c r="AY333" s="170">
        <f>IF(Escenarios!$E$17&gt;0,10*Escenarios!$E$16*AL333,0)</f>
        <v>0</v>
      </c>
      <c r="AZ333" s="170">
        <f>IF(Escenarios!$E$17&gt;0,10*Escenarios!$E$16*AX333,0)</f>
        <v>0</v>
      </c>
      <c r="BA333" s="170">
        <f>IF(Escenarios!$E$17&gt;0,0.001*Observaciones!$F332*Escenarios!$E$17,0)</f>
        <v>0</v>
      </c>
      <c r="BB333" s="170">
        <f>IF(Escenarios!$E$17&gt;0,Observaciones!$K332,0)</f>
        <v>0</v>
      </c>
      <c r="BC333" s="170">
        <f>IF(Escenarios!$E$17&gt;0,MIN(0.0005*ETo!$M332*Escenarios!$E$17*(BG332/Constantes!$E$40)^(2/3),BG332+AY333+AZ333+BA333+BB333),0)</f>
        <v>18.101058335399113</v>
      </c>
      <c r="BD333" s="170">
        <f>IF(Escenarios!$E$17&gt;0,MIN(Constantes!$E$39*(BG332/Constantes!$E$40)^(2/3),BG332+AY333+AZ333+BA333+BB333-BC333),0)</f>
        <v>27.910367869863894</v>
      </c>
      <c r="BE333" s="170">
        <f>IF(Escenarios!$E$17&gt;0,MIN(Entradas!$E$113,BG332+AY333+AZ333+BA333+BB333-BC333-BD333),0)</f>
        <v>1</v>
      </c>
      <c r="BF333" s="170">
        <f>IF(Escenarios!$E$17&gt;0,MAX(0,BG332+AY333+AZ333+BA333+BB333-BC333-BD333-BE333-Constantes!$E$40),0)</f>
        <v>0</v>
      </c>
      <c r="BG333" s="170">
        <f t="shared" si="82"/>
        <v>1326.7841118820331</v>
      </c>
      <c r="BH333" s="170">
        <f>(Escenarios!$E$16*AK333+0.1*BC333)/(Escenarios!$E$19)</f>
        <v>2.4727573095035407</v>
      </c>
      <c r="BI333" s="170">
        <f>IF(Escenarios!$E$17&gt;0,BF333/10/Escenarios!$E$19,AL333)</f>
        <v>0</v>
      </c>
      <c r="BJ333" s="170">
        <f>(Escenarios!$E$16*AT333+0.1*BD333)/(Escenarios!$E$19)</f>
        <v>1.1075542805501545E-2</v>
      </c>
      <c r="BK333" s="76">
        <f>BK332+(0.1*BD333)/(Escenarios!$E$19)-BL332</f>
        <v>49.513376549932531</v>
      </c>
      <c r="BL333" s="76">
        <f>MAX(0,(BK333-Constantes!$D$13)*(1-EXP(-Constantes!$D$23)))</f>
        <v>7.5217309686137048E-3</v>
      </c>
      <c r="BM333" s="76">
        <f t="shared" si="78"/>
        <v>0.13634173215373299</v>
      </c>
      <c r="BN333" s="76">
        <f t="shared" si="83"/>
        <v>0.83122217107391216</v>
      </c>
      <c r="BO333" s="76">
        <f>0.0526*BI333*Observaciones!$F332^1.218</f>
        <v>0</v>
      </c>
      <c r="BP333" s="76">
        <f>BO333*Constantes!$E$51</f>
        <v>0</v>
      </c>
      <c r="BQ333" s="76">
        <f t="shared" si="79"/>
        <v>0</v>
      </c>
      <c r="BR333" s="40"/>
    </row>
    <row r="334" spans="1:70">
      <c r="A334" s="147"/>
      <c r="B334" s="39"/>
      <c r="C334" s="75">
        <v>328</v>
      </c>
      <c r="D334" s="146">
        <f>ETo!$I333*((1-Constantes!$E$19)*ETo!$K333+ETo!$L333)</f>
        <v>4.4554505584034052</v>
      </c>
      <c r="E334" s="76">
        <f>MIN(D334*Constantes!$E$17,0.8*(N333+Observaciones!$F333-F334-M334-Constantes!$D$14))</f>
        <v>2.1783246381982937</v>
      </c>
      <c r="F334" s="76">
        <f>IF(Observaciones!$F333&gt;0.05*Constantes!$E$18,((Observaciones!$F333-0.05*Constantes!$E$18)^2)/(Observaciones!$F333+0.95*Constantes!$E$18),0)</f>
        <v>0</v>
      </c>
      <c r="G334" s="76">
        <f>IF(Escenarios!$E$11&gt;0,(F334*Escenarios!$E$16*10000)/1000,0)</f>
        <v>0</v>
      </c>
      <c r="H334" s="76">
        <f>IF(Escenarios!$E$11&gt;0,(Observaciones!$F333*Constantes!$E$29)/1000,0)</f>
        <v>0</v>
      </c>
      <c r="I334" s="76">
        <f>IF(Escenarios!$E$11&gt;0,(D334*Constantes!$E$29)/1000,0)</f>
        <v>44.554505584034047</v>
      </c>
      <c r="J334" s="76">
        <f>IF(Escenarios!$E$11&gt;0,MAX(0,G334+H334-I334),0)</f>
        <v>0</v>
      </c>
      <c r="K334" s="76">
        <f>IF(Escenarios!$E$11&gt;0,IF(J334&gt;Constantes!$E$30,1000*((J334-Constantes!$E$30)/(Escenarios!$E$16*10000)),0),F334)</f>
        <v>0</v>
      </c>
      <c r="L334" s="76">
        <f>IF(Escenarios!$E$11&gt;0,I334*1000/Escenarios!$E$16/10000+E334,E334)</f>
        <v>2.1961464404319071</v>
      </c>
      <c r="M334" s="76">
        <f>MAX(0,N333+Observaciones!$F333-K334-Constantes!$D$13)</f>
        <v>0</v>
      </c>
      <c r="N334" s="76">
        <f>N333+Observaciones!$F333-K334-L334-M334-O333</f>
        <v>31.44541935341757</v>
      </c>
      <c r="O334" s="76">
        <f>MAX(0,(N334-Constantes!$D$14)*(1-EXP(-Constantes!$D$22)))</f>
        <v>0.68793012207962345</v>
      </c>
      <c r="P334" s="170">
        <f>P333+(Entradas!$E$83*M334-Q333)/(800*Entradas!$D$25)</f>
        <v>0</v>
      </c>
      <c r="Q334" s="170">
        <f>8000*Entradas!$D$26*P334/Constantes!$E$45</f>
        <v>0</v>
      </c>
      <c r="R334" s="170">
        <f>IF(Escenarios!$E$14&gt;0,K334*Escenarios!$E$13/Escenarios!$E$14,0)</f>
        <v>0</v>
      </c>
      <c r="S334" s="170">
        <f>IF(Escenarios!$E$14&gt;0,Q334*Escenarios!$E$13/Escenarios!$E$14,0)</f>
        <v>0</v>
      </c>
      <c r="T334" s="170">
        <f>IF(Escenarios!$E$14&gt;0,Observaciones!$I333,0)</f>
        <v>0</v>
      </c>
      <c r="U334" s="170">
        <f>IF(Escenarios!$E$14&gt;0,MAX(0,Constantes!$E$36/((Z333+R334+S334+T334+Observaciones!$F333)^2)+Entradas!$E$77),0)</f>
        <v>0</v>
      </c>
      <c r="V334" s="146">
        <f>IF(ETo!D333&gt;0,ETo!I333*((1-Entradas!$E$81)*ETo!K333+ETo!L333),0)</f>
        <v>4.0727255528133242</v>
      </c>
      <c r="W334" s="170">
        <f>IF(Escenarios!$E$14&gt;0,MIN(V334*1,0.8*(Z333+R334+S334+T334+Observaciones!$F333-U334-Constantes!$E$35)),0)</f>
        <v>4.0727255528133242</v>
      </c>
      <c r="X334" s="170">
        <f>IF(Escenarios!$E$14&gt;0,Observaciones!$J333,0)</f>
        <v>0</v>
      </c>
      <c r="Y334" s="170">
        <f>IF(Escenarios!$E$14&gt;0,MAX(0,Z333+R334+S334+T334+Observaciones!$F333-U334-W334-X334-Constantes!$E$33),0)</f>
        <v>0</v>
      </c>
      <c r="Z334" s="170">
        <f>Z333+R334+S334+T334+Observaciones!$F333-U334-W334-Y334</f>
        <v>47.435841579559479</v>
      </c>
      <c r="AA334" s="170">
        <f>IF(Escenarios!$E$14&gt;0,(Escenarios!$E$13*L334+Escenarios!$E$14*W334)/(Escenarios!$E$16),L334)</f>
        <v>2.421335933917677</v>
      </c>
      <c r="AB334" s="170">
        <f>IF(Escenarios!$E$14&gt;0,(Escenarios!$E$14*Y334)/(Escenarios!$E$16),K334)</f>
        <v>0</v>
      </c>
      <c r="AC334" s="170">
        <f>IF(Escenarios!$E$14&gt;0,(Escenarios!$E$13*M334+Escenarios!$E$14*U334)/(Escenarios!$E$16),M334)</f>
        <v>0</v>
      </c>
      <c r="AD334" s="76">
        <f t="shared" si="71"/>
        <v>61.695054679701684</v>
      </c>
      <c r="AE334" s="76">
        <f>MAX(0,(AD334-Constantes!$D$13)*(1-EXP(-Constantes!$D$23)))</f>
        <v>0.12755070703090851</v>
      </c>
      <c r="AF334" s="76">
        <f>AB334+O334*Escenarios!$E$13/Escenarios!$E$16+AE334</f>
        <v>0.73292921446097725</v>
      </c>
      <c r="AG334" s="76">
        <f>IF(Entradas!$E$91&gt;0,IF(AF334-Escenarios!$E$38&lt;=0,0,IF(AF334-Escenarios!$E$38&gt;Escenarios!$E$37,Escenarios!$E$37,AF334-Escenarios!$E$38)),0)</f>
        <v>0</v>
      </c>
      <c r="AH334" s="76">
        <f>AG334*Entradas!$E$99</f>
        <v>0</v>
      </c>
      <c r="AI334" s="76">
        <f>IF(Entradas!$E$91&gt;0,D334*Entradas!$D$23/Escenarios!$E$16,0)</f>
        <v>0</v>
      </c>
      <c r="AJ334" s="76">
        <f>IF(Entradas!$E$91&gt;0,Entradas!$D$24*Entradas!$D$22/Escenarios!$E$16,0)</f>
        <v>0</v>
      </c>
      <c r="AK334" s="76">
        <f t="shared" si="80"/>
        <v>2.421335933917677</v>
      </c>
      <c r="AL334" s="76">
        <f t="shared" si="81"/>
        <v>0</v>
      </c>
      <c r="AM334" s="76">
        <f t="shared" si="72"/>
        <v>0</v>
      </c>
      <c r="AN334" s="76">
        <f>MAX(0,O334*Escenarios!$E$13/Escenarios!$E$16-AM334)</f>
        <v>0.60537850743006871</v>
      </c>
      <c r="AO334" s="76">
        <f>AM334+AN334-O334*Escenarios!$E$13/Escenarios!$E$16</f>
        <v>0</v>
      </c>
      <c r="AP334" s="76">
        <f t="shared" si="70"/>
        <v>0.12755070703090851</v>
      </c>
      <c r="AQ334" s="76">
        <f t="shared" si="73"/>
        <v>0</v>
      </c>
      <c r="AR334" s="76">
        <f t="shared" si="74"/>
        <v>0.73292921446097725</v>
      </c>
      <c r="AS334" s="76">
        <f t="shared" si="75"/>
        <v>0</v>
      </c>
      <c r="AT334" s="76">
        <f t="shared" si="76"/>
        <v>0</v>
      </c>
      <c r="AU334" s="76">
        <f t="shared" si="77"/>
        <v>48.75</v>
      </c>
      <c r="AV334" s="76">
        <f>MAX(0,(AU334-Constantes!$D$13)*(1-EXP(-Constantes!$D$24)))</f>
        <v>0</v>
      </c>
      <c r="AW334" s="170">
        <f>AW333+(Entradas!$E$112*AT334-AX333)/(800*Entradas!$D$25)</f>
        <v>0</v>
      </c>
      <c r="AX334" s="170">
        <f>8000*Entradas!$D$26*AW334/Constantes!$E$45</f>
        <v>0</v>
      </c>
      <c r="AY334" s="170">
        <f>IF(Escenarios!$E$17&gt;0,10*Escenarios!$E$16*AL334,0)</f>
        <v>0</v>
      </c>
      <c r="AZ334" s="170">
        <f>IF(Escenarios!$E$17&gt;0,10*Escenarios!$E$16*AX334,0)</f>
        <v>0</v>
      </c>
      <c r="BA334" s="170">
        <f>IF(Escenarios!$E$17&gt;0,0.001*Observaciones!$F333*Escenarios!$E$17,0)</f>
        <v>0</v>
      </c>
      <c r="BB334" s="170">
        <f>IF(Escenarios!$E$17&gt;0,Observaciones!$K333,0)</f>
        <v>0</v>
      </c>
      <c r="BC334" s="170">
        <f>IF(Escenarios!$E$17&gt;0,MIN(0.0005*ETo!$M333*Escenarios!$E$17*(BG333/Constantes!$E$40)^(2/3),BG333+AY334+AZ334+BA334+BB334),0)</f>
        <v>17.240333481499249</v>
      </c>
      <c r="BD334" s="170">
        <f>IF(Escenarios!$E$17&gt;0,MIN(Constantes!$E$39*(BG333/Constantes!$E$40)^(2/3),BG333+AY334+AZ334+BA334+BB334-BC334),0)</f>
        <v>27.26994955223622</v>
      </c>
      <c r="BE334" s="170">
        <f>IF(Escenarios!$E$17&gt;0,MIN(Entradas!$E$113,BG333+AY334+AZ334+BA334+BB334-BC334-BD334),0)</f>
        <v>1</v>
      </c>
      <c r="BF334" s="170">
        <f>IF(Escenarios!$E$17&gt;0,MAX(0,BG333+AY334+AZ334+BA334+BB334-BC334-BD334-BE334-Constantes!$E$40),0)</f>
        <v>0</v>
      </c>
      <c r="BG334" s="170">
        <f t="shared" si="82"/>
        <v>1281.2738288482976</v>
      </c>
      <c r="BH334" s="170">
        <f>(Escenarios!$E$16*AK334+0.1*BC334)/(Escenarios!$E$19)</f>
        <v>2.4089603842363854</v>
      </c>
      <c r="BI334" s="170">
        <f>IF(Escenarios!$E$17&gt;0,BF334/10/Escenarios!$E$19,AL334)</f>
        <v>0</v>
      </c>
      <c r="BJ334" s="170">
        <f>(Escenarios!$E$16*AT334+0.1*BD334)/(Escenarios!$E$19)</f>
        <v>1.0821408552474692E-2</v>
      </c>
      <c r="BK334" s="76">
        <f>BK333+(0.1*BD334)/(Escenarios!$E$19)-BL333</f>
        <v>49.516676227516392</v>
      </c>
      <c r="BL334" s="76">
        <f>MAX(0,(BK334-Constantes!$D$13)*(1-EXP(-Constantes!$D$23)))</f>
        <v>7.5542434777694581E-3</v>
      </c>
      <c r="BM334" s="76">
        <f t="shared" si="78"/>
        <v>0.13510495050867796</v>
      </c>
      <c r="BN334" s="76">
        <f t="shared" si="83"/>
        <v>0.7404834579387467</v>
      </c>
      <c r="BO334" s="76">
        <f>0.0526*BI334*Observaciones!$F333^1.218</f>
        <v>0</v>
      </c>
      <c r="BP334" s="76">
        <f>BO334*Constantes!$E$51</f>
        <v>0</v>
      </c>
      <c r="BQ334" s="76">
        <f t="shared" si="79"/>
        <v>0</v>
      </c>
      <c r="BR334" s="40"/>
    </row>
    <row r="335" spans="1:70">
      <c r="A335" s="147"/>
      <c r="B335" s="39"/>
      <c r="C335" s="75">
        <v>329</v>
      </c>
      <c r="D335" s="146">
        <f>ETo!$I334*((1-Constantes!$E$19)*ETo!$K334+ETo!$L334)</f>
        <v>4.5104681706992089</v>
      </c>
      <c r="E335" s="76">
        <f>MIN(D335*Constantes!$E$17,0.8*(N334+Observaciones!$F334-F335-M335-Constantes!$D$14))</f>
        <v>2.205223426284439</v>
      </c>
      <c r="F335" s="76">
        <f>IF(Observaciones!$F334&gt;0.05*Constantes!$E$18,((Observaciones!$F334-0.05*Constantes!$E$18)^2)/(Observaciones!$F334+0.95*Constantes!$E$18),0)</f>
        <v>2.2594782008235545E-2</v>
      </c>
      <c r="G335" s="76">
        <f>IF(Escenarios!$E$11&gt;0,(F335*Escenarios!$E$16*10000)/1000,0)</f>
        <v>56.486955020588859</v>
      </c>
      <c r="H335" s="76">
        <f>IF(Escenarios!$E$11&gt;0,(Observaciones!$F334*Constantes!$E$29)/1000,0)</f>
        <v>76</v>
      </c>
      <c r="I335" s="76">
        <f>IF(Escenarios!$E$11&gt;0,(D335*Constantes!$E$29)/1000,0)</f>
        <v>45.104681706992089</v>
      </c>
      <c r="J335" s="76">
        <f>IF(Escenarios!$E$11&gt;0,MAX(0,G335+H335-I335),0)</f>
        <v>87.382273313596755</v>
      </c>
      <c r="K335" s="76">
        <f>IF(Escenarios!$E$11&gt;0,IF(J335&gt;Constantes!$E$30,1000*((J335-Constantes!$E$30)/(Escenarios!$E$16*10000)),0),F335)</f>
        <v>0</v>
      </c>
      <c r="L335" s="76">
        <f>IF(Escenarios!$E$11&gt;0,I335*1000/Escenarios!$E$16/10000+E335,E335)</f>
        <v>2.2232652989672359</v>
      </c>
      <c r="M335" s="76">
        <f>MAX(0,N334+Observaciones!$F334-K335-Constantes!$D$13)</f>
        <v>0</v>
      </c>
      <c r="N335" s="76">
        <f>N334+Observaciones!$F334-K335-L335-M335-O334</f>
        <v>36.134223932370716</v>
      </c>
      <c r="O335" s="76">
        <f>MAX(0,(N335-Constantes!$D$14)*(1-EXP(-Constantes!$D$22)))</f>
        <v>0.84764801899276121</v>
      </c>
      <c r="P335" s="170">
        <f>P334+(Entradas!$E$83*M335-Q334)/(800*Entradas!$D$25)</f>
        <v>0</v>
      </c>
      <c r="Q335" s="170">
        <f>8000*Entradas!$D$26*P335/Constantes!$E$45</f>
        <v>0</v>
      </c>
      <c r="R335" s="170">
        <f>IF(Escenarios!$E$14&gt;0,K335*Escenarios!$E$13/Escenarios!$E$14,0)</f>
        <v>0</v>
      </c>
      <c r="S335" s="170">
        <f>IF(Escenarios!$E$14&gt;0,Q335*Escenarios!$E$13/Escenarios!$E$14,0)</f>
        <v>0</v>
      </c>
      <c r="T335" s="170">
        <f>IF(Escenarios!$E$14&gt;0,Observaciones!$I334,0)</f>
        <v>0</v>
      </c>
      <c r="U335" s="170">
        <f>IF(Escenarios!$E$14&gt;0,MAX(0,Constantes!$E$36/((Z334+R335+S335+T335+Observaciones!$F334)^2)+Entradas!$E$77),0)</f>
        <v>0</v>
      </c>
      <c r="V335" s="146">
        <f>IF(ETo!D334&gt;0,ETo!I334*((1-Entradas!$E$81)*ETo!K334+ETo!L334),0)</f>
        <v>4.1237421653213415</v>
      </c>
      <c r="W335" s="170">
        <f>IF(Escenarios!$E$14&gt;0,MIN(V335*1,0.8*(Z334+R335+S335+T335+Observaciones!$F334-U335-Constantes!$E$35)),0)</f>
        <v>4.1237421653213415</v>
      </c>
      <c r="X335" s="170">
        <f>IF(Escenarios!$E$14&gt;0,Observaciones!$J334,0)</f>
        <v>0</v>
      </c>
      <c r="Y335" s="170">
        <f>IF(Escenarios!$E$14&gt;0,MAX(0,Z334+R335+S335+T335+Observaciones!$F334-U335-W335-X335-Constantes!$E$33),0)</f>
        <v>0</v>
      </c>
      <c r="Z335" s="170">
        <f>Z334+R335+S335+T335+Observaciones!$F334-U335-W335-Y335</f>
        <v>50.912099414238142</v>
      </c>
      <c r="AA335" s="170">
        <f>IF(Escenarios!$E$14&gt;0,(Escenarios!$E$13*L335+Escenarios!$E$14*W335)/(Escenarios!$E$16),L335)</f>
        <v>2.4513225229297286</v>
      </c>
      <c r="AB335" s="170">
        <f>IF(Escenarios!$E$14&gt;0,(Escenarios!$E$14*Y335)/(Escenarios!$E$16),K335)</f>
        <v>0</v>
      </c>
      <c r="AC335" s="170">
        <f>IF(Escenarios!$E$14&gt;0,(Escenarios!$E$13*M335+Escenarios!$E$14*U335)/(Escenarios!$E$16),M335)</f>
        <v>0</v>
      </c>
      <c r="AD335" s="76">
        <f t="shared" si="71"/>
        <v>61.567503972670778</v>
      </c>
      <c r="AE335" s="76">
        <f>MAX(0,(AD335-Constantes!$D$13)*(1-EXP(-Constantes!$D$23)))</f>
        <v>0.12629391953432148</v>
      </c>
      <c r="AF335" s="76">
        <f>AB335+O335*Escenarios!$E$13/Escenarios!$E$16+AE335</f>
        <v>0.87222417624795134</v>
      </c>
      <c r="AG335" s="76">
        <f>IF(Entradas!$E$91&gt;0,IF(AF335-Escenarios!$E$38&lt;=0,0,IF(AF335-Escenarios!$E$38&gt;Escenarios!$E$37,Escenarios!$E$37,AF335-Escenarios!$E$38)),0)</f>
        <v>0</v>
      </c>
      <c r="AH335" s="76">
        <f>AG335*Entradas!$E$99</f>
        <v>0</v>
      </c>
      <c r="AI335" s="76">
        <f>IF(Entradas!$E$91&gt;0,D335*Entradas!$D$23/Escenarios!$E$16,0)</f>
        <v>0</v>
      </c>
      <c r="AJ335" s="76">
        <f>IF(Entradas!$E$91&gt;0,Entradas!$D$24*Entradas!$D$22/Escenarios!$E$16,0)</f>
        <v>0</v>
      </c>
      <c r="AK335" s="76">
        <f t="shared" si="80"/>
        <v>2.4513225229297286</v>
      </c>
      <c r="AL335" s="76">
        <f t="shared" si="81"/>
        <v>0</v>
      </c>
      <c r="AM335" s="76">
        <f t="shared" si="72"/>
        <v>0</v>
      </c>
      <c r="AN335" s="76">
        <f>MAX(0,O335*Escenarios!$E$13/Escenarios!$E$16-AM335)</f>
        <v>0.74593025671362989</v>
      </c>
      <c r="AO335" s="76">
        <f>AM335+AN335-O335*Escenarios!$E$13/Escenarios!$E$16</f>
        <v>0</v>
      </c>
      <c r="AP335" s="76">
        <f t="shared" si="70"/>
        <v>0.12629391953432148</v>
      </c>
      <c r="AQ335" s="76">
        <f t="shared" si="73"/>
        <v>0</v>
      </c>
      <c r="AR335" s="76">
        <f t="shared" si="74"/>
        <v>0.87222417624795134</v>
      </c>
      <c r="AS335" s="76">
        <f t="shared" si="75"/>
        <v>0</v>
      </c>
      <c r="AT335" s="76">
        <f t="shared" si="76"/>
        <v>0</v>
      </c>
      <c r="AU335" s="76">
        <f t="shared" si="77"/>
        <v>48.75</v>
      </c>
      <c r="AV335" s="76">
        <f>MAX(0,(AU335-Constantes!$D$13)*(1-EXP(-Constantes!$D$24)))</f>
        <v>0</v>
      </c>
      <c r="AW335" s="170">
        <f>AW334+(Entradas!$E$112*AT335-AX334)/(800*Entradas!$D$25)</f>
        <v>0</v>
      </c>
      <c r="AX335" s="170">
        <f>8000*Entradas!$D$26*AW335/Constantes!$E$45</f>
        <v>0</v>
      </c>
      <c r="AY335" s="170">
        <f>IF(Escenarios!$E$17&gt;0,10*Escenarios!$E$16*AL335,0)</f>
        <v>0</v>
      </c>
      <c r="AZ335" s="170">
        <f>IF(Escenarios!$E$17&gt;0,10*Escenarios!$E$16*AX335,0)</f>
        <v>0</v>
      </c>
      <c r="BA335" s="170">
        <f>IF(Escenarios!$E$17&gt;0,0.001*Observaciones!$F334*Escenarios!$E$17,0)</f>
        <v>152</v>
      </c>
      <c r="BB335" s="170">
        <f>IF(Escenarios!$E$17&gt;0,Observaciones!$K334,0)</f>
        <v>0</v>
      </c>
      <c r="BC335" s="170">
        <f>IF(Escenarios!$E$17&gt;0,MIN(0.0005*ETo!$M334*Escenarios!$E$17*(BG334/Constantes!$E$40)^(2/3),BG334+AY335+AZ335+BA335+BB335),0)</f>
        <v>17.047996127046829</v>
      </c>
      <c r="BD335" s="170">
        <f>IF(Escenarios!$E$17&gt;0,MIN(Constantes!$E$39*(BG334/Constantes!$E$40)^(2/3),BG334+AY335+AZ335+BA335+BB335-BC335),0)</f>
        <v>26.6427344783461</v>
      </c>
      <c r="BE335" s="170">
        <f>IF(Escenarios!$E$17&gt;0,MIN(Entradas!$E$113,BG334+AY335+AZ335+BA335+BB335-BC335-BD335),0)</f>
        <v>1</v>
      </c>
      <c r="BF335" s="170">
        <f>IF(Escenarios!$E$17&gt;0,MAX(0,BG334+AY335+AZ335+BA335+BB335-BC335-BD335-BE335-Constantes!$E$40),0)</f>
        <v>0</v>
      </c>
      <c r="BG335" s="170">
        <f t="shared" si="82"/>
        <v>1388.5830982429047</v>
      </c>
      <c r="BH335" s="170">
        <f>(Escenarios!$E$16*AK335+0.1*BC335)/(Escenarios!$E$19)</f>
        <v>2.4386326600997497</v>
      </c>
      <c r="BI335" s="170">
        <f>IF(Escenarios!$E$17&gt;0,BF335/10/Escenarios!$E$19,AL335)</f>
        <v>0</v>
      </c>
      <c r="BJ335" s="170">
        <f>(Escenarios!$E$16*AT335+0.1*BD335)/(Escenarios!$E$19)</f>
        <v>1.0572513681883373E-2</v>
      </c>
      <c r="BK335" s="76">
        <f>BK334+(0.1*BD335)/(Escenarios!$E$19)-BL334</f>
        <v>49.519694497720508</v>
      </c>
      <c r="BL335" s="76">
        <f>MAX(0,(BK335-Constantes!$D$13)*(1-EXP(-Constantes!$D$23)))</f>
        <v>7.5839832129865666E-3</v>
      </c>
      <c r="BM335" s="76">
        <f t="shared" si="78"/>
        <v>0.13387790274730804</v>
      </c>
      <c r="BN335" s="76">
        <f t="shared" si="83"/>
        <v>0.87980815946093793</v>
      </c>
      <c r="BO335" s="76">
        <f>0.0526*BI335*Observaciones!$F334^1.218</f>
        <v>0</v>
      </c>
      <c r="BP335" s="76">
        <f>BO335*Constantes!$E$51</f>
        <v>0</v>
      </c>
      <c r="BQ335" s="76">
        <f t="shared" si="79"/>
        <v>0</v>
      </c>
      <c r="BR335" s="40"/>
    </row>
    <row r="336" spans="1:70">
      <c r="A336" s="147"/>
      <c r="B336" s="39"/>
      <c r="C336" s="75">
        <v>330</v>
      </c>
      <c r="D336" s="146">
        <f>ETo!$I335*((1-Constantes!$E$19)*ETo!$K335+ETo!$L335)</f>
        <v>4.5790588901904181</v>
      </c>
      <c r="E336" s="76">
        <f>MIN(D336*Constantes!$E$17,0.8*(N335+Observaciones!$F335-F336-M336-Constantes!$D$14))</f>
        <v>2.2387582736047937</v>
      </c>
      <c r="F336" s="76">
        <f>IF(Observaciones!$F335&gt;0.05*Constantes!$E$18,((Observaciones!$F335-0.05*Constantes!$E$18)^2)/(Observaciones!$F335+0.95*Constantes!$E$18),0)</f>
        <v>0.37300231785429283</v>
      </c>
      <c r="G336" s="76">
        <f>IF(Escenarios!$E$11&gt;0,(F336*Escenarios!$E$16*10000)/1000,0)</f>
        <v>932.50579463573206</v>
      </c>
      <c r="H336" s="76">
        <f>IF(Escenarios!$E$11&gt;0,(Observaciones!$F335*Constantes!$E$29)/1000,0)</f>
        <v>128</v>
      </c>
      <c r="I336" s="76">
        <f>IF(Escenarios!$E$11&gt;0,(D336*Constantes!$E$29)/1000,0)</f>
        <v>45.790588901904179</v>
      </c>
      <c r="J336" s="76">
        <f>IF(Escenarios!$E$11&gt;0,MAX(0,G336+H336-I336),0)</f>
        <v>1014.7152057338278</v>
      </c>
      <c r="K336" s="76">
        <f>IF(Escenarios!$E$11&gt;0,IF(J336&gt;Constantes!$E$30,1000*((J336-Constantes!$E$30)/(Escenarios!$E$16*10000)),0),F336)</f>
        <v>0</v>
      </c>
      <c r="L336" s="76">
        <f>IF(Escenarios!$E$11&gt;0,I336*1000/Escenarios!$E$16/10000+E336,E336)</f>
        <v>2.2570745091655553</v>
      </c>
      <c r="M336" s="76">
        <f>MAX(0,N335+Observaciones!$F335-K336-Constantes!$D$13)</f>
        <v>0.18422393237071333</v>
      </c>
      <c r="N336" s="76">
        <f>N335+Observaciones!$F335-K336-L336-M336-O335</f>
        <v>45.64527747184168</v>
      </c>
      <c r="O336" s="76">
        <f>MAX(0,(N336-Constantes!$D$14)*(1-EXP(-Constantes!$D$22)))</f>
        <v>1.1716294183394833</v>
      </c>
      <c r="P336" s="170">
        <f>P335+(Entradas!$E$83*M336-Q335)/(800*Entradas!$D$25)</f>
        <v>0</v>
      </c>
      <c r="Q336" s="170">
        <f>8000*Entradas!$D$26*P336/Constantes!$E$45</f>
        <v>0</v>
      </c>
      <c r="R336" s="170">
        <f>IF(Escenarios!$E$14&gt;0,K336*Escenarios!$E$13/Escenarios!$E$14,0)</f>
        <v>0</v>
      </c>
      <c r="S336" s="170">
        <f>IF(Escenarios!$E$14&gt;0,Q336*Escenarios!$E$13/Escenarios!$E$14,0)</f>
        <v>0</v>
      </c>
      <c r="T336" s="170">
        <f>IF(Escenarios!$E$14&gt;0,Observaciones!$I335,0)</f>
        <v>0</v>
      </c>
      <c r="U336" s="170">
        <f>IF(Escenarios!$E$14&gt;0,MAX(0,Constantes!$E$36/((Z335+R336+S336+T336+Observaciones!$F335)^2)+Entradas!$E$77),0)</f>
        <v>0.47076516397056434</v>
      </c>
      <c r="V336" s="146">
        <f>IF(ETo!D335&gt;0,ETo!I335*((1-Entradas!$E$81)*ETo!K335+ETo!L335),0)</f>
        <v>4.1874382091876337</v>
      </c>
      <c r="W336" s="170">
        <f>IF(Escenarios!$E$14&gt;0,MIN(V336*1,0.8*(Z335+R336+S336+T336+Observaciones!$F335-U336-Constantes!$E$35)),0)</f>
        <v>4.1874382091876337</v>
      </c>
      <c r="X336" s="170">
        <f>IF(Escenarios!$E$14&gt;0,Observaciones!$J335,0)</f>
        <v>0</v>
      </c>
      <c r="Y336" s="170">
        <f>IF(Escenarios!$E$14&gt;0,MAX(0,Z335+R336+S336+T336+Observaciones!$F335-U336-W336-X336-Constantes!$E$33),0)</f>
        <v>0</v>
      </c>
      <c r="Z336" s="170">
        <f>Z335+R336+S336+T336+Observaciones!$F335-U336-W336-Y336</f>
        <v>59.053896041079945</v>
      </c>
      <c r="AA336" s="170">
        <f>IF(Escenarios!$E$14&gt;0,(Escenarios!$E$13*L336+Escenarios!$E$14*W336)/(Escenarios!$E$16),L336)</f>
        <v>2.4887181531682043</v>
      </c>
      <c r="AB336" s="170">
        <f>IF(Escenarios!$E$14&gt;0,(Escenarios!$E$14*Y336)/(Escenarios!$E$16),K336)</f>
        <v>0</v>
      </c>
      <c r="AC336" s="170">
        <f>IF(Escenarios!$E$14&gt;0,(Escenarios!$E$13*M336+Escenarios!$E$14*U336)/(Escenarios!$E$16),M336)</f>
        <v>0.21860888016269545</v>
      </c>
      <c r="AD336" s="76">
        <f t="shared" si="71"/>
        <v>61.659818933299157</v>
      </c>
      <c r="AE336" s="76">
        <f>MAX(0,(AD336-Constantes!$D$13)*(1-EXP(-Constantes!$D$23)))</f>
        <v>0.12720352082910347</v>
      </c>
      <c r="AF336" s="76">
        <f>AB336+O336*Escenarios!$E$13/Escenarios!$E$16+AE336</f>
        <v>1.1582374089678487</v>
      </c>
      <c r="AG336" s="76">
        <f>IF(Entradas!$E$91&gt;0,IF(AF336-Escenarios!$E$38&lt;=0,0,IF(AF336-Escenarios!$E$38&gt;Escenarios!$E$37,Escenarios!$E$37,AF336-Escenarios!$E$38)),0)</f>
        <v>0</v>
      </c>
      <c r="AH336" s="76">
        <f>AG336*Entradas!$E$99</f>
        <v>0</v>
      </c>
      <c r="AI336" s="76">
        <f>IF(Entradas!$E$91&gt;0,D336*Entradas!$D$23/Escenarios!$E$16,0)</f>
        <v>0</v>
      </c>
      <c r="AJ336" s="76">
        <f>IF(Entradas!$E$91&gt;0,Entradas!$D$24*Entradas!$D$22/Escenarios!$E$16,0)</f>
        <v>0</v>
      </c>
      <c r="AK336" s="76">
        <f t="shared" si="80"/>
        <v>2.4887181531682043</v>
      </c>
      <c r="AL336" s="76">
        <f t="shared" si="81"/>
        <v>0</v>
      </c>
      <c r="AM336" s="76">
        <f t="shared" si="72"/>
        <v>0</v>
      </c>
      <c r="AN336" s="76">
        <f>MAX(0,O336*Escenarios!$E$13/Escenarios!$E$16-AM336)</f>
        <v>1.0310338881387453</v>
      </c>
      <c r="AO336" s="76">
        <f>AM336+AN336-O336*Escenarios!$E$13/Escenarios!$E$16</f>
        <v>0</v>
      </c>
      <c r="AP336" s="76">
        <f t="shared" si="70"/>
        <v>0.12720352082910347</v>
      </c>
      <c r="AQ336" s="76">
        <f t="shared" si="73"/>
        <v>0</v>
      </c>
      <c r="AR336" s="76">
        <f t="shared" si="74"/>
        <v>1.1582374089678487</v>
      </c>
      <c r="AS336" s="76">
        <f t="shared" si="75"/>
        <v>0</v>
      </c>
      <c r="AT336" s="76">
        <f t="shared" si="76"/>
        <v>0.21860888016269545</v>
      </c>
      <c r="AU336" s="76">
        <f t="shared" si="77"/>
        <v>48.75</v>
      </c>
      <c r="AV336" s="76">
        <f>MAX(0,(AU336-Constantes!$D$13)*(1-EXP(-Constantes!$D$24)))</f>
        <v>0</v>
      </c>
      <c r="AW336" s="170">
        <f>AW335+(Entradas!$E$112*AT336-AX335)/(800*Entradas!$D$25)</f>
        <v>0</v>
      </c>
      <c r="AX336" s="170">
        <f>8000*Entradas!$D$26*AW336/Constantes!$E$45</f>
        <v>0</v>
      </c>
      <c r="AY336" s="170">
        <f>IF(Escenarios!$E$17&gt;0,10*Escenarios!$E$16*AL336,0)</f>
        <v>0</v>
      </c>
      <c r="AZ336" s="170">
        <f>IF(Escenarios!$E$17&gt;0,10*Escenarios!$E$16*AX336,0)</f>
        <v>0</v>
      </c>
      <c r="BA336" s="170">
        <f>IF(Escenarios!$E$17&gt;0,0.001*Observaciones!$F335*Escenarios!$E$17,0)</f>
        <v>256</v>
      </c>
      <c r="BB336" s="170">
        <f>IF(Escenarios!$E$17&gt;0,Observaciones!$K335,0)</f>
        <v>0</v>
      </c>
      <c r="BC336" s="170">
        <f>IF(Escenarios!$E$17&gt;0,MIN(0.0005*ETo!$M335*Escenarios!$E$17*(BG335/Constantes!$E$40)^(2/3),BG335+AY336+AZ336+BA336+BB336),0)</f>
        <v>18.255126439953013</v>
      </c>
      <c r="BD336" s="170">
        <f>IF(Escenarios!$E$17&gt;0,MIN(Constantes!$E$39*(BG335/Constantes!$E$40)^(2/3),BG335+AY336+AZ336+BA336+BB336-BC336),0)</f>
        <v>28.110295404171232</v>
      </c>
      <c r="BE336" s="170">
        <f>IF(Escenarios!$E$17&gt;0,MIN(Entradas!$E$113,BG335+AY336+AZ336+BA336+BB336-BC336-BD336),0)</f>
        <v>1</v>
      </c>
      <c r="BF336" s="170">
        <f>IF(Escenarios!$E$17&gt;0,MAX(0,BG335+AY336+AZ336+BA336+BB336-BC336-BD336-BE336-Constantes!$E$40),0)</f>
        <v>0</v>
      </c>
      <c r="BG336" s="170">
        <f t="shared" si="82"/>
        <v>1597.2176763987804</v>
      </c>
      <c r="BH336" s="170">
        <f>(Escenarios!$E$16*AK336+0.1*BC336)/(Escenarios!$E$19)</f>
        <v>2.4762105195874859</v>
      </c>
      <c r="BI336" s="170">
        <f>IF(Escenarios!$E$17&gt;0,BF336/10/Escenarios!$E$19,AL336)</f>
        <v>0</v>
      </c>
      <c r="BJ336" s="170">
        <f>(Escenarios!$E$16*AT336+0.1*BD336)/(Escenarios!$E$19)</f>
        <v>0.22802876817893247</v>
      </c>
      <c r="BK336" s="76">
        <f>BK335+(0.1*BD336)/(Escenarios!$E$19)-BL335</f>
        <v>49.523265393636159</v>
      </c>
      <c r="BL336" s="76">
        <f>MAX(0,(BK336-Constantes!$D$13)*(1-EXP(-Constantes!$D$23)))</f>
        <v>7.6191681009646177E-3</v>
      </c>
      <c r="BM336" s="76">
        <f t="shared" si="78"/>
        <v>0.13482268893006807</v>
      </c>
      <c r="BN336" s="76">
        <f t="shared" si="83"/>
        <v>1.1658565770688132</v>
      </c>
      <c r="BO336" s="76">
        <f>0.0526*BI336*Observaciones!$F335^1.218</f>
        <v>0</v>
      </c>
      <c r="BP336" s="76">
        <f>BO336*Constantes!$E$51</f>
        <v>0</v>
      </c>
      <c r="BQ336" s="76">
        <f t="shared" si="79"/>
        <v>0</v>
      </c>
      <c r="BR336" s="40"/>
    </row>
    <row r="337" spans="1:70">
      <c r="A337" s="147"/>
      <c r="B337" s="39"/>
      <c r="C337" s="75">
        <v>331</v>
      </c>
      <c r="D337" s="146">
        <f>ETo!$I336*((1-Constantes!$E$19)*ETo!$K336+ETo!$L336)</f>
        <v>4.5522540918033378</v>
      </c>
      <c r="E337" s="76">
        <f>MIN(D337*Constantes!$E$17,0.8*(N336+Observaciones!$F336-F337-M337-Constantes!$D$14))</f>
        <v>2.2256530776244712</v>
      </c>
      <c r="F337" s="76">
        <f>IF(Observaciones!$F336&gt;0.05*Constantes!$E$18,((Observaciones!$F336-0.05*Constantes!$E$18)^2)/(Observaciones!$F336+0.95*Constantes!$E$18),0)</f>
        <v>0</v>
      </c>
      <c r="G337" s="76">
        <f>IF(Escenarios!$E$11&gt;0,(F337*Escenarios!$E$16*10000)/1000,0)</f>
        <v>0</v>
      </c>
      <c r="H337" s="76">
        <f>IF(Escenarios!$E$11&gt;0,(Observaciones!$F336*Constantes!$E$29)/1000,0)</f>
        <v>3</v>
      </c>
      <c r="I337" s="76">
        <f>IF(Escenarios!$E$11&gt;0,(D337*Constantes!$E$29)/1000,0)</f>
        <v>45.522540918033378</v>
      </c>
      <c r="J337" s="76">
        <f>IF(Escenarios!$E$11&gt;0,MAX(0,G337+H337-I337),0)</f>
        <v>0</v>
      </c>
      <c r="K337" s="76">
        <f>IF(Escenarios!$E$11&gt;0,IF(J337&gt;Constantes!$E$30,1000*((J337-Constantes!$E$30)/(Escenarios!$E$16*10000)),0),F337)</f>
        <v>0</v>
      </c>
      <c r="L337" s="76">
        <f>IF(Escenarios!$E$11&gt;0,I337*1000/Escenarios!$E$16/10000+E337,E337)</f>
        <v>2.2438620939916847</v>
      </c>
      <c r="M337" s="76">
        <f>MAX(0,N336+Observaciones!$F336-K337-Constantes!$D$13)</f>
        <v>0</v>
      </c>
      <c r="N337" s="76">
        <f>N336+Observaciones!$F336-K337-L337-M337-O336</f>
        <v>42.529785959510505</v>
      </c>
      <c r="O337" s="76">
        <f>MAX(0,(N337-Constantes!$D$14)*(1-EXP(-Constantes!$D$22)))</f>
        <v>1.0655043402259987</v>
      </c>
      <c r="P337" s="170">
        <f>P336+(Entradas!$E$83*M337-Q336)/(800*Entradas!$D$25)</f>
        <v>0</v>
      </c>
      <c r="Q337" s="170">
        <f>8000*Entradas!$D$26*P337/Constantes!$E$45</f>
        <v>0</v>
      </c>
      <c r="R337" s="170">
        <f>IF(Escenarios!$E$14&gt;0,K337*Escenarios!$E$13/Escenarios!$E$14,0)</f>
        <v>0</v>
      </c>
      <c r="S337" s="170">
        <f>IF(Escenarios!$E$14&gt;0,Q337*Escenarios!$E$13/Escenarios!$E$14,0)</f>
        <v>0</v>
      </c>
      <c r="T337" s="170">
        <f>IF(Escenarios!$E$14&gt;0,Observaciones!$I336,0)</f>
        <v>0</v>
      </c>
      <c r="U337" s="170">
        <f>IF(Escenarios!$E$14&gt;0,MAX(0,Constantes!$E$36/((Z336+R337+S337+T337+Observaciones!$F336)^2)+Entradas!$E$77),0)</f>
        <v>8.5698206977108171E-2</v>
      </c>
      <c r="V337" s="146">
        <f>IF(ETo!D336&gt;0,ETo!I336*((1-Entradas!$E$81)*ETo!K336+ETo!L336),0)</f>
        <v>4.1625383019946405</v>
      </c>
      <c r="W337" s="170">
        <f>IF(Escenarios!$E$14&gt;0,MIN(V337*1,0.8*(Z336+R337+S337+T337+Observaciones!$F336-U337-Constantes!$E$35)),0)</f>
        <v>4.1625383019946405</v>
      </c>
      <c r="X337" s="170">
        <f>IF(Escenarios!$E$14&gt;0,Observaciones!$J336,0)</f>
        <v>0</v>
      </c>
      <c r="Y337" s="170">
        <f>IF(Escenarios!$E$14&gt;0,MAX(0,Z336+R337+S337+T337+Observaciones!$F336-U337-W337-X337-Constantes!$E$33),0)</f>
        <v>0</v>
      </c>
      <c r="Z337" s="170">
        <f>Z336+R337+S337+T337+Observaciones!$F336-U337-W337-Y337</f>
        <v>55.105659532108191</v>
      </c>
      <c r="AA337" s="170">
        <f>IF(Escenarios!$E$14&gt;0,(Escenarios!$E$13*L337+Escenarios!$E$14*W337)/(Escenarios!$E$16),L337)</f>
        <v>2.474103238952039</v>
      </c>
      <c r="AB337" s="170">
        <f>IF(Escenarios!$E$14&gt;0,(Escenarios!$E$14*Y337)/(Escenarios!$E$16),K337)</f>
        <v>0</v>
      </c>
      <c r="AC337" s="170">
        <f>IF(Escenarios!$E$14&gt;0,(Escenarios!$E$13*M337+Escenarios!$E$14*U337)/(Escenarios!$E$16),M337)</f>
        <v>1.0283784837252981E-2</v>
      </c>
      <c r="AD337" s="76">
        <f t="shared" si="71"/>
        <v>61.542899197307307</v>
      </c>
      <c r="AE337" s="76">
        <f>MAX(0,(AD337-Constantes!$D$13)*(1-EXP(-Constantes!$D$23)))</f>
        <v>0.1260514828222643</v>
      </c>
      <c r="AF337" s="76">
        <f>AB337+O337*Escenarios!$E$13/Escenarios!$E$16+AE337</f>
        <v>1.0636953022211433</v>
      </c>
      <c r="AG337" s="76">
        <f>IF(Entradas!$E$91&gt;0,IF(AF337-Escenarios!$E$38&lt;=0,0,IF(AF337-Escenarios!$E$38&gt;Escenarios!$E$37,Escenarios!$E$37,AF337-Escenarios!$E$38)),0)</f>
        <v>0</v>
      </c>
      <c r="AH337" s="76">
        <f>AG337*Entradas!$E$99</f>
        <v>0</v>
      </c>
      <c r="AI337" s="76">
        <f>IF(Entradas!$E$91&gt;0,D337*Entradas!$D$23/Escenarios!$E$16,0)</f>
        <v>0</v>
      </c>
      <c r="AJ337" s="76">
        <f>IF(Entradas!$E$91&gt;0,Entradas!$D$24*Entradas!$D$22/Escenarios!$E$16,0)</f>
        <v>0</v>
      </c>
      <c r="AK337" s="76">
        <f t="shared" si="80"/>
        <v>2.474103238952039</v>
      </c>
      <c r="AL337" s="76">
        <f t="shared" si="81"/>
        <v>0</v>
      </c>
      <c r="AM337" s="76">
        <f t="shared" si="72"/>
        <v>0</v>
      </c>
      <c r="AN337" s="76">
        <f>MAX(0,O337*Escenarios!$E$13/Escenarios!$E$16-AM337)</f>
        <v>0.93764381939887886</v>
      </c>
      <c r="AO337" s="76">
        <f>AM337+AN337-O337*Escenarios!$E$13/Escenarios!$E$16</f>
        <v>0</v>
      </c>
      <c r="AP337" s="76">
        <f t="shared" si="70"/>
        <v>0.1260514828222643</v>
      </c>
      <c r="AQ337" s="76">
        <f t="shared" si="73"/>
        <v>0</v>
      </c>
      <c r="AR337" s="76">
        <f t="shared" si="74"/>
        <v>1.0636953022211433</v>
      </c>
      <c r="AS337" s="76">
        <f t="shared" si="75"/>
        <v>0</v>
      </c>
      <c r="AT337" s="76">
        <f t="shared" si="76"/>
        <v>1.0283784837252981E-2</v>
      </c>
      <c r="AU337" s="76">
        <f t="shared" si="77"/>
        <v>48.75</v>
      </c>
      <c r="AV337" s="76">
        <f>MAX(0,(AU337-Constantes!$D$13)*(1-EXP(-Constantes!$D$24)))</f>
        <v>0</v>
      </c>
      <c r="AW337" s="170">
        <f>AW336+(Entradas!$E$112*AT337-AX336)/(800*Entradas!$D$25)</f>
        <v>0</v>
      </c>
      <c r="AX337" s="170">
        <f>8000*Entradas!$D$26*AW337/Constantes!$E$45</f>
        <v>0</v>
      </c>
      <c r="AY337" s="170">
        <f>IF(Escenarios!$E$17&gt;0,10*Escenarios!$E$16*AL337,0)</f>
        <v>0</v>
      </c>
      <c r="AZ337" s="170">
        <f>IF(Escenarios!$E$17&gt;0,10*Escenarios!$E$16*AX337,0)</f>
        <v>0</v>
      </c>
      <c r="BA337" s="170">
        <f>IF(Escenarios!$E$17&gt;0,0.001*Observaciones!$F336*Escenarios!$E$17,0)</f>
        <v>5.9999999999999991</v>
      </c>
      <c r="BB337" s="170">
        <f>IF(Escenarios!$E$17&gt;0,Observaciones!$K336,0)</f>
        <v>0</v>
      </c>
      <c r="BC337" s="170">
        <f>IF(Escenarios!$E$17&gt;0,MIN(0.0005*ETo!$M336*Escenarios!$E$17*(BG336/Constantes!$E$40)^(2/3),BG336+AY337+AZ337+BA337+BB337),0)</f>
        <v>19.925743889045524</v>
      </c>
      <c r="BD337" s="170">
        <f>IF(Escenarios!$E$17&gt;0,MIN(Constantes!$E$39*(BG336/Constantes!$E$40)^(2/3),BG336+AY337+AZ337+BA337+BB337-BC337),0)</f>
        <v>30.859832533208348</v>
      </c>
      <c r="BE337" s="170">
        <f>IF(Escenarios!$E$17&gt;0,MIN(Entradas!$E$113,BG336+AY337+AZ337+BA337+BB337-BC337-BD337),0)</f>
        <v>1</v>
      </c>
      <c r="BF337" s="170">
        <f>IF(Escenarios!$E$17&gt;0,MAX(0,BG336+AY337+AZ337+BA337+BB337-BC337-BD337-BE337-Constantes!$E$40),0)</f>
        <v>0</v>
      </c>
      <c r="BG337" s="170">
        <f t="shared" si="82"/>
        <v>1551.4320999765264</v>
      </c>
      <c r="BH337" s="170">
        <f>(Escenarios!$E$16*AK337+0.1*BC337)/(Escenarios!$E$19)</f>
        <v>2.4623745401861683</v>
      </c>
      <c r="BI337" s="170">
        <f>IF(Escenarios!$E$17&gt;0,BF337/10/Escenarios!$E$19,AL337)</f>
        <v>0</v>
      </c>
      <c r="BJ337" s="170">
        <f>(Escenarios!$E$16*AT337+0.1*BD337)/(Escenarios!$E$19)</f>
        <v>2.2448132788230477E-2</v>
      </c>
      <c r="BK337" s="76">
        <f>BK336+(0.1*BD337)/(Escenarios!$E$19)-BL336</f>
        <v>49.527892190826151</v>
      </c>
      <c r="BL337" s="76">
        <f>MAX(0,(BK337-Constantes!$D$13)*(1-EXP(-Constantes!$D$23)))</f>
        <v>7.6647570356948441E-3</v>
      </c>
      <c r="BM337" s="76">
        <f t="shared" si="78"/>
        <v>0.13371623985795916</v>
      </c>
      <c r="BN337" s="76">
        <f t="shared" si="83"/>
        <v>1.0713600592568382</v>
      </c>
      <c r="BO337" s="76">
        <f>0.0526*BI337*Observaciones!$F336^1.218</f>
        <v>0</v>
      </c>
      <c r="BP337" s="76">
        <f>BO337*Constantes!$E$51</f>
        <v>0</v>
      </c>
      <c r="BQ337" s="76">
        <f t="shared" si="79"/>
        <v>0</v>
      </c>
      <c r="BR337" s="40"/>
    </row>
    <row r="338" spans="1:70">
      <c r="A338" s="147"/>
      <c r="B338" s="39"/>
      <c r="C338" s="75">
        <v>332</v>
      </c>
      <c r="D338" s="146">
        <f>ETo!$I337*((1-Constantes!$E$19)*ETo!$K337+ETo!$L337)</f>
        <v>4.5571705227729691</v>
      </c>
      <c r="E338" s="76">
        <f>MIN(D338*Constantes!$E$17,0.8*(N337+Observaciones!$F337-F338-M338-Constantes!$D$14))</f>
        <v>2.2280567812617948</v>
      </c>
      <c r="F338" s="76">
        <f>IF(Observaciones!$F337&gt;0.05*Constantes!$E$18,((Observaciones!$F337-0.05*Constantes!$E$18)^2)/(Observaciones!$F337+0.95*Constantes!$E$18),0)</f>
        <v>0</v>
      </c>
      <c r="G338" s="76">
        <f>IF(Escenarios!$E$11&gt;0,(F338*Escenarios!$E$16*10000)/1000,0)</f>
        <v>0</v>
      </c>
      <c r="H338" s="76">
        <f>IF(Escenarios!$E$11&gt;0,(Observaciones!$F337*Constantes!$E$29)/1000,0)</f>
        <v>0</v>
      </c>
      <c r="I338" s="76">
        <f>IF(Escenarios!$E$11&gt;0,(D338*Constantes!$E$29)/1000,0)</f>
        <v>45.571705227729687</v>
      </c>
      <c r="J338" s="76">
        <f>IF(Escenarios!$E$11&gt;0,MAX(0,G338+H338-I338),0)</f>
        <v>0</v>
      </c>
      <c r="K338" s="76">
        <f>IF(Escenarios!$E$11&gt;0,IF(J338&gt;Constantes!$E$30,1000*((J338-Constantes!$E$30)/(Escenarios!$E$16*10000)),0),F338)</f>
        <v>0</v>
      </c>
      <c r="L338" s="76">
        <f>IF(Escenarios!$E$11&gt;0,I338*1000/Escenarios!$E$16/10000+E338,E338)</f>
        <v>2.2462854633528866</v>
      </c>
      <c r="M338" s="76">
        <f>MAX(0,N337+Observaciones!$F337-K338-Constantes!$D$13)</f>
        <v>0</v>
      </c>
      <c r="N338" s="76">
        <f>N337+Observaciones!$F337-K338-L338-M338-O337</f>
        <v>39.217996155931623</v>
      </c>
      <c r="O338" s="76">
        <f>MAX(0,(N338-Constantes!$D$14)*(1-EXP(-Constantes!$D$22)))</f>
        <v>0.95269262168683744</v>
      </c>
      <c r="P338" s="170">
        <f>P337+(Entradas!$E$83*M338-Q337)/(800*Entradas!$D$25)</f>
        <v>0</v>
      </c>
      <c r="Q338" s="170">
        <f>8000*Entradas!$D$26*P338/Constantes!$E$45</f>
        <v>0</v>
      </c>
      <c r="R338" s="170">
        <f>IF(Escenarios!$E$14&gt;0,K338*Escenarios!$E$13/Escenarios!$E$14,0)</f>
        <v>0</v>
      </c>
      <c r="S338" s="170">
        <f>IF(Escenarios!$E$14&gt;0,Q338*Escenarios!$E$13/Escenarios!$E$14,0)</f>
        <v>0</v>
      </c>
      <c r="T338" s="170">
        <f>IF(Escenarios!$E$14&gt;0,Observaciones!$I337,0)</f>
        <v>0</v>
      </c>
      <c r="U338" s="170">
        <f>IF(Escenarios!$E$14&gt;0,MAX(0,Constantes!$E$36/((Z337+R338+S338+T338+Observaciones!$F337)^2)+Entradas!$E$77),0)</f>
        <v>0</v>
      </c>
      <c r="V338" s="146">
        <f>IF(ETo!D337&gt;0,ETo!I337*((1-Entradas!$E$81)*ETo!K337+ETo!L337),0)</f>
        <v>4.1671074784492941</v>
      </c>
      <c r="W338" s="170">
        <f>IF(Escenarios!$E$14&gt;0,MIN(V338*1,0.8*(Z337+R338+S338+T338+Observaciones!$F337-U338-Constantes!$E$35)),0)</f>
        <v>4.1671074784492941</v>
      </c>
      <c r="X338" s="170">
        <f>IF(Escenarios!$E$14&gt;0,Observaciones!$J337,0)</f>
        <v>0</v>
      </c>
      <c r="Y338" s="170">
        <f>IF(Escenarios!$E$14&gt;0,MAX(0,Z337+R338+S338+T338+Observaciones!$F337-U338-W338-X338-Constantes!$E$33),0)</f>
        <v>0</v>
      </c>
      <c r="Z338" s="170">
        <f>Z337+R338+S338+T338+Observaciones!$F337-U338-W338-Y338</f>
        <v>50.938552053658896</v>
      </c>
      <c r="AA338" s="170">
        <f>IF(Escenarios!$E$14&gt;0,(Escenarios!$E$13*L338+Escenarios!$E$14*W338)/(Escenarios!$E$16),L338)</f>
        <v>2.4767841051644557</v>
      </c>
      <c r="AB338" s="170">
        <f>IF(Escenarios!$E$14&gt;0,(Escenarios!$E$14*Y338)/(Escenarios!$E$16),K338)</f>
        <v>0</v>
      </c>
      <c r="AC338" s="170">
        <f>IF(Escenarios!$E$14&gt;0,(Escenarios!$E$13*M338+Escenarios!$E$14*U338)/(Escenarios!$E$16),M338)</f>
        <v>0</v>
      </c>
      <c r="AD338" s="76">
        <f t="shared" si="71"/>
        <v>61.416847714485044</v>
      </c>
      <c r="AE338" s="76">
        <f>MAX(0,(AD338-Constantes!$D$13)*(1-EXP(-Constantes!$D$23)))</f>
        <v>0.12480946753889242</v>
      </c>
      <c r="AF338" s="76">
        <f>AB338+O338*Escenarios!$E$13/Escenarios!$E$16+AE338</f>
        <v>0.96317897462330937</v>
      </c>
      <c r="AG338" s="76">
        <f>IF(Entradas!$E$91&gt;0,IF(AF338-Escenarios!$E$38&lt;=0,0,IF(AF338-Escenarios!$E$38&gt;Escenarios!$E$37,Escenarios!$E$37,AF338-Escenarios!$E$38)),0)</f>
        <v>0</v>
      </c>
      <c r="AH338" s="76">
        <f>AG338*Entradas!$E$99</f>
        <v>0</v>
      </c>
      <c r="AI338" s="76">
        <f>IF(Entradas!$E$91&gt;0,D338*Entradas!$D$23/Escenarios!$E$16,0)</f>
        <v>0</v>
      </c>
      <c r="AJ338" s="76">
        <f>IF(Entradas!$E$91&gt;0,Entradas!$D$24*Entradas!$D$22/Escenarios!$E$16,0)</f>
        <v>0</v>
      </c>
      <c r="AK338" s="76">
        <f t="shared" si="80"/>
        <v>2.4767841051644557</v>
      </c>
      <c r="AL338" s="76">
        <f t="shared" si="81"/>
        <v>0</v>
      </c>
      <c r="AM338" s="76">
        <f t="shared" si="72"/>
        <v>0</v>
      </c>
      <c r="AN338" s="76">
        <f>MAX(0,O338*Escenarios!$E$13/Escenarios!$E$16-AM338)</f>
        <v>0.83836950708441693</v>
      </c>
      <c r="AO338" s="76">
        <f>AM338+AN338-O338*Escenarios!$E$13/Escenarios!$E$16</f>
        <v>0</v>
      </c>
      <c r="AP338" s="76">
        <f t="shared" si="70"/>
        <v>0.12480946753889242</v>
      </c>
      <c r="AQ338" s="76">
        <f t="shared" si="73"/>
        <v>0</v>
      </c>
      <c r="AR338" s="76">
        <f t="shared" si="74"/>
        <v>0.96317897462330937</v>
      </c>
      <c r="AS338" s="76">
        <f t="shared" si="75"/>
        <v>0</v>
      </c>
      <c r="AT338" s="76">
        <f t="shared" si="76"/>
        <v>0</v>
      </c>
      <c r="AU338" s="76">
        <f t="shared" si="77"/>
        <v>48.75</v>
      </c>
      <c r="AV338" s="76">
        <f>MAX(0,(AU338-Constantes!$D$13)*(1-EXP(-Constantes!$D$24)))</f>
        <v>0</v>
      </c>
      <c r="AW338" s="170">
        <f>AW337+(Entradas!$E$112*AT338-AX337)/(800*Entradas!$D$25)</f>
        <v>0</v>
      </c>
      <c r="AX338" s="170">
        <f>8000*Entradas!$D$26*AW338/Constantes!$E$45</f>
        <v>0</v>
      </c>
      <c r="AY338" s="170">
        <f>IF(Escenarios!$E$17&gt;0,10*Escenarios!$E$16*AL338,0)</f>
        <v>0</v>
      </c>
      <c r="AZ338" s="170">
        <f>IF(Escenarios!$E$17&gt;0,10*Escenarios!$E$16*AX338,0)</f>
        <v>0</v>
      </c>
      <c r="BA338" s="170">
        <f>IF(Escenarios!$E$17&gt;0,0.001*Observaciones!$F337*Escenarios!$E$17,0)</f>
        <v>0</v>
      </c>
      <c r="BB338" s="170">
        <f>IF(Escenarios!$E$17&gt;0,Observaciones!$K337,0)</f>
        <v>0</v>
      </c>
      <c r="BC338" s="170">
        <f>IF(Escenarios!$E$17&gt;0,MIN(0.0005*ETo!$M337*Escenarios!$E$17*(BG337/Constantes!$E$40)^(2/3),BG337+AY338+AZ338+BA338+BB338),0)</f>
        <v>19.563777139667327</v>
      </c>
      <c r="BD338" s="170">
        <f>IF(Escenarios!$E$17&gt;0,MIN(Constantes!$E$39*(BG337/Constantes!$E$40)^(2/3),BG337+AY338+AZ338+BA338+BB338-BC338),0)</f>
        <v>30.26722986496932</v>
      </c>
      <c r="BE338" s="170">
        <f>IF(Escenarios!$E$17&gt;0,MIN(Entradas!$E$113,BG337+AY338+AZ338+BA338+BB338-BC338-BD338),0)</f>
        <v>1</v>
      </c>
      <c r="BF338" s="170">
        <f>IF(Escenarios!$E$17&gt;0,MAX(0,BG337+AY338+AZ338+BA338+BB338-BC338-BD338-BE338-Constantes!$E$40),0)</f>
        <v>0</v>
      </c>
      <c r="BG338" s="170">
        <f t="shared" si="82"/>
        <v>1500.6010929718898</v>
      </c>
      <c r="BH338" s="170">
        <f>(Escenarios!$E$16*AK338+0.1*BC338)/(Escenarios!$E$19)</f>
        <v>2.464890492083653</v>
      </c>
      <c r="BI338" s="170">
        <f>IF(Escenarios!$E$17&gt;0,BF338/10/Escenarios!$E$19,AL338)</f>
        <v>0</v>
      </c>
      <c r="BJ338" s="170">
        <f>(Escenarios!$E$16*AT338+0.1*BD338)/(Escenarios!$E$19)</f>
        <v>1.2010805501971953E-2</v>
      </c>
      <c r="BK338" s="76">
        <f>BK337+(0.1*BD338)/(Escenarios!$E$19)-BL337</f>
        <v>49.532238239292425</v>
      </c>
      <c r="BL338" s="76">
        <f>MAX(0,(BK338-Constantes!$D$13)*(1-EXP(-Constantes!$D$23)))</f>
        <v>7.7075796863811438E-3</v>
      </c>
      <c r="BM338" s="76">
        <f t="shared" si="78"/>
        <v>0.13251704722527358</v>
      </c>
      <c r="BN338" s="76">
        <f t="shared" si="83"/>
        <v>0.97088655430969051</v>
      </c>
      <c r="BO338" s="76">
        <f>0.0526*BI338*Observaciones!$F337^1.218</f>
        <v>0</v>
      </c>
      <c r="BP338" s="76">
        <f>BO338*Constantes!$E$51</f>
        <v>0</v>
      </c>
      <c r="BQ338" s="76">
        <f t="shared" si="79"/>
        <v>0</v>
      </c>
      <c r="BR338" s="40"/>
    </row>
    <row r="339" spans="1:70">
      <c r="A339" s="147"/>
      <c r="B339" s="39"/>
      <c r="C339" s="75">
        <v>333</v>
      </c>
      <c r="D339" s="146">
        <f>ETo!$I338*((1-Constantes!$E$19)*ETo!$K338+ETo!$L338)</f>
        <v>4.4394599406136486</v>
      </c>
      <c r="E339" s="76">
        <f>MIN(D339*Constantes!$E$17,0.8*(N338+Observaciones!$F338-F339-M339-Constantes!$D$14))</f>
        <v>2.1705066282675718</v>
      </c>
      <c r="F339" s="76">
        <f>IF(Observaciones!$F338&gt;0.05*Constantes!$E$18,((Observaciones!$F338-0.05*Constantes!$E$18)^2)/(Observaciones!$F338+0.95*Constantes!$E$18),0)</f>
        <v>0</v>
      </c>
      <c r="G339" s="76">
        <f>IF(Escenarios!$E$11&gt;0,(F339*Escenarios!$E$16*10000)/1000,0)</f>
        <v>0</v>
      </c>
      <c r="H339" s="76">
        <f>IF(Escenarios!$E$11&gt;0,(Observaciones!$F338*Constantes!$E$29)/1000,0)</f>
        <v>0</v>
      </c>
      <c r="I339" s="76">
        <f>IF(Escenarios!$E$11&gt;0,(D339*Constantes!$E$29)/1000,0)</f>
        <v>44.394599406136486</v>
      </c>
      <c r="J339" s="76">
        <f>IF(Escenarios!$E$11&gt;0,MAX(0,G339+H339-I339),0)</f>
        <v>0</v>
      </c>
      <c r="K339" s="76">
        <f>IF(Escenarios!$E$11&gt;0,IF(J339&gt;Constantes!$E$30,1000*((J339-Constantes!$E$30)/(Escenarios!$E$16*10000)),0),F339)</f>
        <v>0</v>
      </c>
      <c r="L339" s="76">
        <f>IF(Escenarios!$E$11&gt;0,I339*1000/Escenarios!$E$16/10000+E339,E339)</f>
        <v>2.1882644680300265</v>
      </c>
      <c r="M339" s="76">
        <f>MAX(0,N338+Observaciones!$F338-K339-Constantes!$D$13)</f>
        <v>0</v>
      </c>
      <c r="N339" s="76">
        <f>N338+Observaciones!$F338-K339-L339-M339-O338</f>
        <v>36.077039066214759</v>
      </c>
      <c r="O339" s="76">
        <f>MAX(0,(N339-Constantes!$D$14)*(1-EXP(-Constantes!$D$22)))</f>
        <v>0.84570009252154799</v>
      </c>
      <c r="P339" s="170">
        <f>P338+(Entradas!$E$83*M339-Q338)/(800*Entradas!$D$25)</f>
        <v>0</v>
      </c>
      <c r="Q339" s="170">
        <f>8000*Entradas!$D$26*P339/Constantes!$E$45</f>
        <v>0</v>
      </c>
      <c r="R339" s="170">
        <f>IF(Escenarios!$E$14&gt;0,K339*Escenarios!$E$13/Escenarios!$E$14,0)</f>
        <v>0</v>
      </c>
      <c r="S339" s="170">
        <f>IF(Escenarios!$E$14&gt;0,Q339*Escenarios!$E$13/Escenarios!$E$14,0)</f>
        <v>0</v>
      </c>
      <c r="T339" s="170">
        <f>IF(Escenarios!$E$14&gt;0,Observaciones!$I338,0)</f>
        <v>0</v>
      </c>
      <c r="U339" s="170">
        <f>IF(Escenarios!$E$14&gt;0,MAX(0,Constantes!$E$36/((Z338+R339+S339+T339+Observaciones!$F338)^2)+Entradas!$E$77),0)</f>
        <v>0</v>
      </c>
      <c r="V339" s="146">
        <f>IF(ETo!D338&gt;0,ETo!I338*((1-Entradas!$E$81)*ETo!K338+ETo!L338),0)</f>
        <v>4.0579338998649988</v>
      </c>
      <c r="W339" s="170">
        <f>IF(Escenarios!$E$14&gt;0,MIN(V339*1,0.8*(Z338+R339+S339+T339+Observaciones!$F338-U339-Constantes!$E$35)),0)</f>
        <v>4.0579338998649988</v>
      </c>
      <c r="X339" s="170">
        <f>IF(Escenarios!$E$14&gt;0,Observaciones!$J338,0)</f>
        <v>0</v>
      </c>
      <c r="Y339" s="170">
        <f>IF(Escenarios!$E$14&gt;0,MAX(0,Z338+R339+S339+T339+Observaciones!$F338-U339-W339-X339-Constantes!$E$33),0)</f>
        <v>0</v>
      </c>
      <c r="Z339" s="170">
        <f>Z338+R339+S339+T339+Observaciones!$F338-U339-W339-Y339</f>
        <v>46.880618153793897</v>
      </c>
      <c r="AA339" s="170">
        <f>IF(Escenarios!$E$14&gt;0,(Escenarios!$E$13*L339+Escenarios!$E$14*W339)/(Escenarios!$E$16),L339)</f>
        <v>2.412624799850223</v>
      </c>
      <c r="AB339" s="170">
        <f>IF(Escenarios!$E$14&gt;0,(Escenarios!$E$14*Y339)/(Escenarios!$E$16),K339)</f>
        <v>0</v>
      </c>
      <c r="AC339" s="170">
        <f>IF(Escenarios!$E$14&gt;0,(Escenarios!$E$13*M339+Escenarios!$E$14*U339)/(Escenarios!$E$16),M339)</f>
        <v>0</v>
      </c>
      <c r="AD339" s="76">
        <f t="shared" si="71"/>
        <v>61.292038246946149</v>
      </c>
      <c r="AE339" s="76">
        <f>MAX(0,(AD339-Constantes!$D$13)*(1-EXP(-Constantes!$D$23)))</f>
        <v>0.12357969012793257</v>
      </c>
      <c r="AF339" s="76">
        <f>AB339+O339*Escenarios!$E$13/Escenarios!$E$16+AE339</f>
        <v>0.8677957715468948</v>
      </c>
      <c r="AG339" s="76">
        <f>IF(Entradas!$E$91&gt;0,IF(AF339-Escenarios!$E$38&lt;=0,0,IF(AF339-Escenarios!$E$38&gt;Escenarios!$E$37,Escenarios!$E$37,AF339-Escenarios!$E$38)),0)</f>
        <v>0</v>
      </c>
      <c r="AH339" s="76">
        <f>AG339*Entradas!$E$99</f>
        <v>0</v>
      </c>
      <c r="AI339" s="76">
        <f>IF(Entradas!$E$91&gt;0,D339*Entradas!$D$23/Escenarios!$E$16,0)</f>
        <v>0</v>
      </c>
      <c r="AJ339" s="76">
        <f>IF(Entradas!$E$91&gt;0,Entradas!$D$24*Entradas!$D$22/Escenarios!$E$16,0)</f>
        <v>0</v>
      </c>
      <c r="AK339" s="76">
        <f t="shared" si="80"/>
        <v>2.412624799850223</v>
      </c>
      <c r="AL339" s="76">
        <f t="shared" si="81"/>
        <v>0</v>
      </c>
      <c r="AM339" s="76">
        <f t="shared" si="72"/>
        <v>0</v>
      </c>
      <c r="AN339" s="76">
        <f>MAX(0,O339*Escenarios!$E$13/Escenarios!$E$16-AM339)</f>
        <v>0.74421608141896223</v>
      </c>
      <c r="AO339" s="76">
        <f>AM339+AN339-O339*Escenarios!$E$13/Escenarios!$E$16</f>
        <v>0</v>
      </c>
      <c r="AP339" s="76">
        <f t="shared" si="70"/>
        <v>0.12357969012793257</v>
      </c>
      <c r="AQ339" s="76">
        <f t="shared" si="73"/>
        <v>0</v>
      </c>
      <c r="AR339" s="76">
        <f t="shared" si="74"/>
        <v>0.8677957715468948</v>
      </c>
      <c r="AS339" s="76">
        <f t="shared" si="75"/>
        <v>0</v>
      </c>
      <c r="AT339" s="76">
        <f t="shared" si="76"/>
        <v>0</v>
      </c>
      <c r="AU339" s="76">
        <f t="shared" si="77"/>
        <v>48.75</v>
      </c>
      <c r="AV339" s="76">
        <f>MAX(0,(AU339-Constantes!$D$13)*(1-EXP(-Constantes!$D$24)))</f>
        <v>0</v>
      </c>
      <c r="AW339" s="170">
        <f>AW338+(Entradas!$E$112*AT339-AX338)/(800*Entradas!$D$25)</f>
        <v>0</v>
      </c>
      <c r="AX339" s="170">
        <f>8000*Entradas!$D$26*AW339/Constantes!$E$45</f>
        <v>0</v>
      </c>
      <c r="AY339" s="170">
        <f>IF(Escenarios!$E$17&gt;0,10*Escenarios!$E$16*AL339,0)</f>
        <v>0</v>
      </c>
      <c r="AZ339" s="170">
        <f>IF(Escenarios!$E$17&gt;0,10*Escenarios!$E$16*AX339,0)</f>
        <v>0</v>
      </c>
      <c r="BA339" s="170">
        <f>IF(Escenarios!$E$17&gt;0,0.001*Observaciones!$F338*Escenarios!$E$17,0)</f>
        <v>0</v>
      </c>
      <c r="BB339" s="170">
        <f>IF(Escenarios!$E$17&gt;0,Observaciones!$K338,0)</f>
        <v>0</v>
      </c>
      <c r="BC339" s="170">
        <f>IF(Escenarios!$E$17&gt;0,MIN(0.0005*ETo!$M338*Escenarios!$E$17*(BG338/Constantes!$E$40)^(2/3),BG338+AY339+AZ339+BA339+BB339),0)</f>
        <v>18.648812661436619</v>
      </c>
      <c r="BD339" s="170">
        <f>IF(Escenarios!$E$17&gt;0,MIN(Constantes!$E$39*(BG338/Constantes!$E$40)^(2/3),BG338+AY339+AZ339+BA339+BB339-BC339),0)</f>
        <v>29.602450618656245</v>
      </c>
      <c r="BE339" s="170">
        <f>IF(Escenarios!$E$17&gt;0,MIN(Entradas!$E$113,BG338+AY339+AZ339+BA339+BB339-BC339-BD339),0)</f>
        <v>1</v>
      </c>
      <c r="BF339" s="170">
        <f>IF(Escenarios!$E$17&gt;0,MAX(0,BG338+AY339+AZ339+BA339+BB339-BC339-BD339-BE339-Constantes!$E$40),0)</f>
        <v>0</v>
      </c>
      <c r="BG339" s="170">
        <f t="shared" si="82"/>
        <v>1451.3498296917969</v>
      </c>
      <c r="BH339" s="170">
        <f>(Escenarios!$E$16*AK339+0.1*BC339)/(Escenarios!$E$19)</f>
        <v>2.4008773064630931</v>
      </c>
      <c r="BI339" s="170">
        <f>IF(Escenarios!$E$17&gt;0,BF339/10/Escenarios!$E$19,AL339)</f>
        <v>0</v>
      </c>
      <c r="BJ339" s="170">
        <f>(Escenarios!$E$16*AT339+0.1*BD339)/(Escenarios!$E$19)</f>
        <v>1.1747004213752479E-2</v>
      </c>
      <c r="BK339" s="76">
        <f>BK338+(0.1*BD339)/(Escenarios!$E$19)-BL338</f>
        <v>49.536277663819796</v>
      </c>
      <c r="BL339" s="76">
        <f>MAX(0,(BK339-Constantes!$D$13)*(1-EXP(-Constantes!$D$23)))</f>
        <v>7.7473810983652866E-3</v>
      </c>
      <c r="BM339" s="76">
        <f t="shared" si="78"/>
        <v>0.13132707122629786</v>
      </c>
      <c r="BN339" s="76">
        <f t="shared" si="83"/>
        <v>0.87554315264526006</v>
      </c>
      <c r="BO339" s="76">
        <f>0.0526*BI339*Observaciones!$F338^1.218</f>
        <v>0</v>
      </c>
      <c r="BP339" s="76">
        <f>BO339*Constantes!$E$51</f>
        <v>0</v>
      </c>
      <c r="BQ339" s="76">
        <f t="shared" si="79"/>
        <v>0</v>
      </c>
      <c r="BR339" s="40"/>
    </row>
    <row r="340" spans="1:70">
      <c r="A340" s="147"/>
      <c r="B340" s="39"/>
      <c r="C340" s="75">
        <v>334</v>
      </c>
      <c r="D340" s="146">
        <f>ETo!$I339*((1-Constantes!$E$19)*ETo!$K339+ETo!$L339)</f>
        <v>4.3398291995322316</v>
      </c>
      <c r="E340" s="76">
        <f>MIN(D340*Constantes!$E$17,0.8*(N339+Observaciones!$F339-F340-M340-Constantes!$D$14))</f>
        <v>2.1217959321943609</v>
      </c>
      <c r="F340" s="76">
        <f>IF(Observaciones!$F339&gt;0.05*Constantes!$E$18,((Observaciones!$F339-0.05*Constantes!$E$18)^2)/(Observaciones!$F339+0.95*Constantes!$E$18),0)</f>
        <v>0</v>
      </c>
      <c r="G340" s="76">
        <f>IF(Escenarios!$E$11&gt;0,(F340*Escenarios!$E$16*10000)/1000,0)</f>
        <v>0</v>
      </c>
      <c r="H340" s="76">
        <f>IF(Escenarios!$E$11&gt;0,(Observaciones!$F339*Constantes!$E$29)/1000,0)</f>
        <v>0</v>
      </c>
      <c r="I340" s="76">
        <f>IF(Escenarios!$E$11&gt;0,(D340*Constantes!$E$29)/1000,0)</f>
        <v>43.398291995322317</v>
      </c>
      <c r="J340" s="76">
        <f>IF(Escenarios!$E$11&gt;0,MAX(0,G340+H340-I340),0)</f>
        <v>0</v>
      </c>
      <c r="K340" s="76">
        <f>IF(Escenarios!$E$11&gt;0,IF(J340&gt;Constantes!$E$30,1000*((J340-Constantes!$E$30)/(Escenarios!$E$16*10000)),0),F340)</f>
        <v>0</v>
      </c>
      <c r="L340" s="76">
        <f>IF(Escenarios!$E$11&gt;0,I340*1000/Escenarios!$E$16/10000+E340,E340)</f>
        <v>2.1391552489924899</v>
      </c>
      <c r="M340" s="76">
        <f>MAX(0,N339+Observaciones!$F339-K340-Constantes!$D$13)</f>
        <v>0</v>
      </c>
      <c r="N340" s="76">
        <f>N339+Observaciones!$F339-K340-L340-M340-O339</f>
        <v>33.092183724700725</v>
      </c>
      <c r="O340" s="76">
        <f>MAX(0,(N340-Constantes!$D$14)*(1-EXP(-Constantes!$D$22)))</f>
        <v>0.74402496196129631</v>
      </c>
      <c r="P340" s="170">
        <f>P339+(Entradas!$E$83*M340-Q339)/(800*Entradas!$D$25)</f>
        <v>0</v>
      </c>
      <c r="Q340" s="170">
        <f>8000*Entradas!$D$26*P340/Constantes!$E$45</f>
        <v>0</v>
      </c>
      <c r="R340" s="170">
        <f>IF(Escenarios!$E$14&gt;0,K340*Escenarios!$E$13/Escenarios!$E$14,0)</f>
        <v>0</v>
      </c>
      <c r="S340" s="170">
        <f>IF(Escenarios!$E$14&gt;0,Q340*Escenarios!$E$13/Escenarios!$E$14,0)</f>
        <v>0</v>
      </c>
      <c r="T340" s="170">
        <f>IF(Escenarios!$E$14&gt;0,Observaciones!$I339,0)</f>
        <v>0</v>
      </c>
      <c r="U340" s="170">
        <f>IF(Escenarios!$E$14&gt;0,MAX(0,Constantes!$E$36/((Z339+R340+S340+T340+Observaciones!$F339)^2)+Entradas!$E$77),0)</f>
        <v>0</v>
      </c>
      <c r="V340" s="146">
        <f>IF(ETo!D339&gt;0,ETo!I339*((1-Entradas!$E$81)*ETo!K339+ETo!L339),0)</f>
        <v>3.9657716918075887</v>
      </c>
      <c r="W340" s="170">
        <f>IF(Escenarios!$E$14&gt;0,MIN(V340*1,0.8*(Z339+R340+S340+T340+Observaciones!$F339-U340-Constantes!$E$35)),0)</f>
        <v>3.9657716918075887</v>
      </c>
      <c r="X340" s="170">
        <f>IF(Escenarios!$E$14&gt;0,Observaciones!$J339,0)</f>
        <v>0</v>
      </c>
      <c r="Y340" s="170">
        <f>IF(Escenarios!$E$14&gt;0,MAX(0,Z339+R340+S340+T340+Observaciones!$F339-U340-W340-X340-Constantes!$E$33),0)</f>
        <v>0</v>
      </c>
      <c r="Z340" s="170">
        <f>Z339+R340+S340+T340+Observaciones!$F339-U340-W340-Y340</f>
        <v>42.914846461986308</v>
      </c>
      <c r="AA340" s="170">
        <f>IF(Escenarios!$E$14&gt;0,(Escenarios!$E$13*L340+Escenarios!$E$14*W340)/(Escenarios!$E$16),L340)</f>
        <v>2.3583492221303017</v>
      </c>
      <c r="AB340" s="170">
        <f>IF(Escenarios!$E$14&gt;0,(Escenarios!$E$14*Y340)/(Escenarios!$E$16),K340)</f>
        <v>0</v>
      </c>
      <c r="AC340" s="170">
        <f>IF(Escenarios!$E$14&gt;0,(Escenarios!$E$13*M340+Escenarios!$E$14*U340)/(Escenarios!$E$16),M340)</f>
        <v>0</v>
      </c>
      <c r="AD340" s="76">
        <f t="shared" si="71"/>
        <v>61.168458556818216</v>
      </c>
      <c r="AE340" s="76">
        <f>MAX(0,(AD340-Constantes!$D$13)*(1-EXP(-Constantes!$D$23)))</f>
        <v>0.12236203000671309</v>
      </c>
      <c r="AF340" s="76">
        <f>AB340+O340*Escenarios!$E$13/Escenarios!$E$16+AE340</f>
        <v>0.77710399653265383</v>
      </c>
      <c r="AG340" s="76">
        <f>IF(Entradas!$E$91&gt;0,IF(AF340-Escenarios!$E$38&lt;=0,0,IF(AF340-Escenarios!$E$38&gt;Escenarios!$E$37,Escenarios!$E$37,AF340-Escenarios!$E$38)),0)</f>
        <v>0</v>
      </c>
      <c r="AH340" s="76">
        <f>AG340*Entradas!$E$99</f>
        <v>0</v>
      </c>
      <c r="AI340" s="76">
        <f>IF(Entradas!$E$91&gt;0,D340*Entradas!$D$23/Escenarios!$E$16,0)</f>
        <v>0</v>
      </c>
      <c r="AJ340" s="76">
        <f>IF(Entradas!$E$91&gt;0,Entradas!$D$24*Entradas!$D$22/Escenarios!$E$16,0)</f>
        <v>0</v>
      </c>
      <c r="AK340" s="76">
        <f t="shared" si="80"/>
        <v>2.3583492221303017</v>
      </c>
      <c r="AL340" s="76">
        <f t="shared" si="81"/>
        <v>0</v>
      </c>
      <c r="AM340" s="76">
        <f t="shared" si="72"/>
        <v>0</v>
      </c>
      <c r="AN340" s="76">
        <f>MAX(0,O340*Escenarios!$E$13/Escenarios!$E$16-AM340)</f>
        <v>0.65474196652594074</v>
      </c>
      <c r="AO340" s="76">
        <f>AM340+AN340-O340*Escenarios!$E$13/Escenarios!$E$16</f>
        <v>0</v>
      </c>
      <c r="AP340" s="76">
        <f t="shared" si="70"/>
        <v>0.12236203000671309</v>
      </c>
      <c r="AQ340" s="76">
        <f t="shared" si="73"/>
        <v>0</v>
      </c>
      <c r="AR340" s="76">
        <f t="shared" si="74"/>
        <v>0.77710399653265383</v>
      </c>
      <c r="AS340" s="76">
        <f t="shared" si="75"/>
        <v>0</v>
      </c>
      <c r="AT340" s="76">
        <f t="shared" si="76"/>
        <v>0</v>
      </c>
      <c r="AU340" s="76">
        <f t="shared" si="77"/>
        <v>48.75</v>
      </c>
      <c r="AV340" s="76">
        <f>MAX(0,(AU340-Constantes!$D$13)*(1-EXP(-Constantes!$D$24)))</f>
        <v>0</v>
      </c>
      <c r="AW340" s="170">
        <f>AW339+(Entradas!$E$112*AT340-AX339)/(800*Entradas!$D$25)</f>
        <v>0</v>
      </c>
      <c r="AX340" s="170">
        <f>8000*Entradas!$D$26*AW340/Constantes!$E$45</f>
        <v>0</v>
      </c>
      <c r="AY340" s="170">
        <f>IF(Escenarios!$E$17&gt;0,10*Escenarios!$E$16*AL340,0)</f>
        <v>0</v>
      </c>
      <c r="AZ340" s="170">
        <f>IF(Escenarios!$E$17&gt;0,10*Escenarios!$E$16*AX340,0)</f>
        <v>0</v>
      </c>
      <c r="BA340" s="170">
        <f>IF(Escenarios!$E$17&gt;0,0.001*Observaciones!$F339*Escenarios!$E$17,0)</f>
        <v>0</v>
      </c>
      <c r="BB340" s="170">
        <f>IF(Escenarios!$E$17&gt;0,Observaciones!$K339,0)</f>
        <v>0</v>
      </c>
      <c r="BC340" s="170">
        <f>IF(Escenarios!$E$17&gt;0,MIN(0.0005*ETo!$M339*Escenarios!$E$17*(BG339/Constantes!$E$40)^(2/3),BG339+AY340+AZ340+BA340+BB340),0)</f>
        <v>17.835416715604254</v>
      </c>
      <c r="BD340" s="170">
        <f>IF(Escenarios!$E$17&gt;0,MIN(Constantes!$E$39*(BG339/Constantes!$E$40)^(2/3),BG339+AY340+AZ340+BA340+BB340-BC340),0)</f>
        <v>28.951132961566692</v>
      </c>
      <c r="BE340" s="170">
        <f>IF(Escenarios!$E$17&gt;0,MIN(Entradas!$E$113,BG339+AY340+AZ340+BA340+BB340-BC340-BD340),0)</f>
        <v>1</v>
      </c>
      <c r="BF340" s="170">
        <f>IF(Escenarios!$E$17&gt;0,MAX(0,BG339+AY340+AZ340+BA340+BB340-BC340-BD340-BE340-Constantes!$E$40),0)</f>
        <v>0</v>
      </c>
      <c r="BG340" s="170">
        <f t="shared" si="82"/>
        <v>1403.5632800146261</v>
      </c>
      <c r="BH340" s="170">
        <f>(Escenarios!$E$16*AK340+0.1*BC340)/(Escenarios!$E$19)</f>
        <v>2.3467097111275232</v>
      </c>
      <c r="BI340" s="170">
        <f>IF(Escenarios!$E$17&gt;0,BF340/10/Escenarios!$E$19,AL340)</f>
        <v>0</v>
      </c>
      <c r="BJ340" s="170">
        <f>(Escenarios!$E$16*AT340+0.1*BD340)/(Escenarios!$E$19)</f>
        <v>1.1488544826018529E-2</v>
      </c>
      <c r="BK340" s="76">
        <f>BK339+(0.1*BD340)/(Escenarios!$E$19)-BL339</f>
        <v>49.540018827547449</v>
      </c>
      <c r="BL340" s="76">
        <f>MAX(0,(BK340-Constantes!$D$13)*(1-EXP(-Constantes!$D$23)))</f>
        <v>7.7842436756496323E-3</v>
      </c>
      <c r="BM340" s="76">
        <f t="shared" si="78"/>
        <v>0.13014627368236273</v>
      </c>
      <c r="BN340" s="76">
        <f t="shared" si="83"/>
        <v>0.7848882402083035</v>
      </c>
      <c r="BO340" s="76">
        <f>0.0526*BI340*Observaciones!$F339^1.218</f>
        <v>0</v>
      </c>
      <c r="BP340" s="76">
        <f>BO340*Constantes!$E$51</f>
        <v>0</v>
      </c>
      <c r="BQ340" s="76">
        <f t="shared" si="79"/>
        <v>0</v>
      </c>
      <c r="BR340" s="40"/>
    </row>
    <row r="341" spans="1:70">
      <c r="A341" s="147"/>
      <c r="B341" s="39"/>
      <c r="C341" s="75">
        <v>335</v>
      </c>
      <c r="D341" s="146">
        <f>ETo!$I340*((1-Constantes!$E$19)*ETo!$K340+ETo!$L340)</f>
        <v>4.2536956406752937</v>
      </c>
      <c r="E341" s="76">
        <f>MIN(D341*Constantes!$E$17,0.8*(N340+Observaciones!$F340-F341-M341-Constantes!$D$14))</f>
        <v>2.0796841747022059</v>
      </c>
      <c r="F341" s="76">
        <f>IF(Observaciones!$F340&gt;0.05*Constantes!$E$18,((Observaciones!$F340-0.05*Constantes!$E$18)^2)/(Observaciones!$F340+0.95*Constantes!$E$18),0)</f>
        <v>0</v>
      </c>
      <c r="G341" s="76">
        <f>IF(Escenarios!$E$11&gt;0,(F341*Escenarios!$E$16*10000)/1000,0)</f>
        <v>0</v>
      </c>
      <c r="H341" s="76">
        <f>IF(Escenarios!$E$11&gt;0,(Observaciones!$F340*Constantes!$E$29)/1000,0)</f>
        <v>0</v>
      </c>
      <c r="I341" s="76">
        <f>IF(Escenarios!$E$11&gt;0,(D341*Constantes!$E$29)/1000,0)</f>
        <v>42.536956406752935</v>
      </c>
      <c r="J341" s="76">
        <f>IF(Escenarios!$E$11&gt;0,MAX(0,G341+H341-I341),0)</f>
        <v>0</v>
      </c>
      <c r="K341" s="76">
        <f>IF(Escenarios!$E$11&gt;0,IF(J341&gt;Constantes!$E$30,1000*((J341-Constantes!$E$30)/(Escenarios!$E$16*10000)),0),F341)</f>
        <v>0</v>
      </c>
      <c r="L341" s="76">
        <f>IF(Escenarios!$E$11&gt;0,I341*1000/Escenarios!$E$16/10000+E341,E341)</f>
        <v>2.0966989572649073</v>
      </c>
      <c r="M341" s="76">
        <f>MAX(0,N340+Observaciones!$F340-K341-Constantes!$D$13)</f>
        <v>0</v>
      </c>
      <c r="N341" s="76">
        <f>N340+Observaciones!$F340-K341-L341-M341-O340</f>
        <v>30.251459805474521</v>
      </c>
      <c r="O341" s="76">
        <f>MAX(0,(N341-Constantes!$D$14)*(1-EXP(-Constantes!$D$22)))</f>
        <v>0.64725947676145146</v>
      </c>
      <c r="P341" s="170">
        <f>P340+(Entradas!$E$83*M341-Q340)/(800*Entradas!$D$25)</f>
        <v>0</v>
      </c>
      <c r="Q341" s="170">
        <f>8000*Entradas!$D$26*P341/Constantes!$E$45</f>
        <v>0</v>
      </c>
      <c r="R341" s="170">
        <f>IF(Escenarios!$E$14&gt;0,K341*Escenarios!$E$13/Escenarios!$E$14,0)</f>
        <v>0</v>
      </c>
      <c r="S341" s="170">
        <f>IF(Escenarios!$E$14&gt;0,Q341*Escenarios!$E$13/Escenarios!$E$14,0)</f>
        <v>0</v>
      </c>
      <c r="T341" s="170">
        <f>IF(Escenarios!$E$14&gt;0,Observaciones!$I340,0)</f>
        <v>0</v>
      </c>
      <c r="U341" s="170">
        <f>IF(Escenarios!$E$14&gt;0,MAX(0,Constantes!$E$36/((Z340+R341+S341+T341+Observaciones!$F340)^2)+Entradas!$E$77),0)</f>
        <v>0</v>
      </c>
      <c r="V341" s="146">
        <f>IF(ETo!D340&gt;0,ETo!I340*((1-Entradas!$E$81)*ETo!K340+ETo!L340),0)</f>
        <v>3.8862677025646755</v>
      </c>
      <c r="W341" s="170">
        <f>IF(Escenarios!$E$14&gt;0,MIN(V341*1,0.8*(Z340+R341+S341+T341+Observaciones!$F340-U341-Constantes!$E$35)),0)</f>
        <v>1.3318771695890463</v>
      </c>
      <c r="X341" s="170">
        <f>IF(Escenarios!$E$14&gt;0,Observaciones!$J340,0)</f>
        <v>0</v>
      </c>
      <c r="Y341" s="170">
        <f>IF(Escenarios!$E$14&gt;0,MAX(0,Z340+R341+S341+T341+Observaciones!$F340-U341-W341-X341-Constantes!$E$33),0)</f>
        <v>0</v>
      </c>
      <c r="Z341" s="170">
        <f>Z340+R341+S341+T341+Observaciones!$F340-U341-W341-Y341</f>
        <v>41.582969292397259</v>
      </c>
      <c r="AA341" s="170">
        <f>IF(Escenarios!$E$14&gt;0,(Escenarios!$E$13*L341+Escenarios!$E$14*W341)/(Escenarios!$E$16),L341)</f>
        <v>2.0049203427438038</v>
      </c>
      <c r="AB341" s="170">
        <f>IF(Escenarios!$E$14&gt;0,(Escenarios!$E$14*Y341)/(Escenarios!$E$16),K341)</f>
        <v>0</v>
      </c>
      <c r="AC341" s="170">
        <f>IF(Escenarios!$E$14&gt;0,(Escenarios!$E$13*M341+Escenarios!$E$14*U341)/(Escenarios!$E$16),M341)</f>
        <v>0</v>
      </c>
      <c r="AD341" s="76">
        <f t="shared" si="71"/>
        <v>61.046096526811503</v>
      </c>
      <c r="AE341" s="76">
        <f>MAX(0,(AD341-Constantes!$D$13)*(1-EXP(-Constantes!$D$23)))</f>
        <v>0.12115636778069203</v>
      </c>
      <c r="AF341" s="76">
        <f>AB341+O341*Escenarios!$E$13/Escenarios!$E$16+AE341</f>
        <v>0.69074470733076931</v>
      </c>
      <c r="AG341" s="76">
        <f>IF(Entradas!$E$91&gt;0,IF(AF341-Escenarios!$E$38&lt;=0,0,IF(AF341-Escenarios!$E$38&gt;Escenarios!$E$37,Escenarios!$E$37,AF341-Escenarios!$E$38)),0)</f>
        <v>0</v>
      </c>
      <c r="AH341" s="76">
        <f>AG341*Entradas!$E$99</f>
        <v>0</v>
      </c>
      <c r="AI341" s="76">
        <f>IF(Entradas!$E$91&gt;0,D341*Entradas!$D$23/Escenarios!$E$16,0)</f>
        <v>0</v>
      </c>
      <c r="AJ341" s="76">
        <f>IF(Entradas!$E$91&gt;0,Entradas!$D$24*Entradas!$D$22/Escenarios!$E$16,0)</f>
        <v>0</v>
      </c>
      <c r="AK341" s="76">
        <f t="shared" si="80"/>
        <v>2.0049203427438038</v>
      </c>
      <c r="AL341" s="76">
        <f t="shared" si="81"/>
        <v>0</v>
      </c>
      <c r="AM341" s="76">
        <f t="shared" si="72"/>
        <v>0</v>
      </c>
      <c r="AN341" s="76">
        <f>MAX(0,O341*Escenarios!$E$13/Escenarios!$E$16-AM341)</f>
        <v>0.56958833955007726</v>
      </c>
      <c r="AO341" s="76">
        <f>AM341+AN341-O341*Escenarios!$E$13/Escenarios!$E$16</f>
        <v>0</v>
      </c>
      <c r="AP341" s="76">
        <f t="shared" si="70"/>
        <v>0.12115636778069203</v>
      </c>
      <c r="AQ341" s="76">
        <f t="shared" si="73"/>
        <v>0</v>
      </c>
      <c r="AR341" s="76">
        <f t="shared" si="74"/>
        <v>0.69074470733076931</v>
      </c>
      <c r="AS341" s="76">
        <f t="shared" si="75"/>
        <v>0</v>
      </c>
      <c r="AT341" s="76">
        <f t="shared" si="76"/>
        <v>0</v>
      </c>
      <c r="AU341" s="76">
        <f t="shared" si="77"/>
        <v>48.75</v>
      </c>
      <c r="AV341" s="76">
        <f>MAX(0,(AU341-Constantes!$D$13)*(1-EXP(-Constantes!$D$24)))</f>
        <v>0</v>
      </c>
      <c r="AW341" s="170">
        <f>AW340+(Entradas!$E$112*AT341-AX340)/(800*Entradas!$D$25)</f>
        <v>0</v>
      </c>
      <c r="AX341" s="170">
        <f>8000*Entradas!$D$26*AW341/Constantes!$E$45</f>
        <v>0</v>
      </c>
      <c r="AY341" s="170">
        <f>IF(Escenarios!$E$17&gt;0,10*Escenarios!$E$16*AL341,0)</f>
        <v>0</v>
      </c>
      <c r="AZ341" s="170">
        <f>IF(Escenarios!$E$17&gt;0,10*Escenarios!$E$16*AX341,0)</f>
        <v>0</v>
      </c>
      <c r="BA341" s="170">
        <f>IF(Escenarios!$E$17&gt;0,0.001*Observaciones!$F340*Escenarios!$E$17,0)</f>
        <v>0</v>
      </c>
      <c r="BB341" s="170">
        <f>IF(Escenarios!$E$17&gt;0,Observaciones!$K340,0)</f>
        <v>0</v>
      </c>
      <c r="BC341" s="170">
        <f>IF(Escenarios!$E$17&gt;0,MIN(0.0005*ETo!$M340*Escenarios!$E$17*(BG340/Constantes!$E$40)^(2/3),BG340+AY341+AZ341+BA341+BB341),0)</f>
        <v>17.099995730342485</v>
      </c>
      <c r="BD341" s="170">
        <f>IF(Escenarios!$E$17&gt;0,MIN(Constantes!$E$39*(BG340/Constantes!$E$40)^(2/3),BG340+AY341+AZ341+BA341+BB341-BC341),0)</f>
        <v>28.31210486134578</v>
      </c>
      <c r="BE341" s="170">
        <f>IF(Escenarios!$E$17&gt;0,MIN(Entradas!$E$113,BG340+AY341+AZ341+BA341+BB341-BC341-BD341),0)</f>
        <v>1</v>
      </c>
      <c r="BF341" s="170">
        <f>IF(Escenarios!$E$17&gt;0,MAX(0,BG340+AY341+AZ341+BA341+BB341-BC341-BD341-BE341-Constantes!$E$40),0)</f>
        <v>0</v>
      </c>
      <c r="BG341" s="170">
        <f t="shared" si="82"/>
        <v>1357.151179422938</v>
      </c>
      <c r="BH341" s="170">
        <f>(Escenarios!$E$16*AK341+0.1*BC341)/(Escenarios!$E$19)</f>
        <v>1.995793989122957</v>
      </c>
      <c r="BI341" s="170">
        <f>IF(Escenarios!$E$17&gt;0,BF341/10/Escenarios!$E$19,AL341)</f>
        <v>0</v>
      </c>
      <c r="BJ341" s="170">
        <f>(Escenarios!$E$16*AT341+0.1*BD341)/(Escenarios!$E$19)</f>
        <v>1.1234962246565788E-2</v>
      </c>
      <c r="BK341" s="76">
        <f>BK340+(0.1*BD341)/(Escenarios!$E$19)-BL340</f>
        <v>49.543469546118367</v>
      </c>
      <c r="BL341" s="76">
        <f>MAX(0,(BK341-Constantes!$D$13)*(1-EXP(-Constantes!$D$23)))</f>
        <v>7.8182444276260112E-3</v>
      </c>
      <c r="BM341" s="76">
        <f t="shared" si="78"/>
        <v>0.12897461220831805</v>
      </c>
      <c r="BN341" s="76">
        <f t="shared" si="83"/>
        <v>0.69856295175839533</v>
      </c>
      <c r="BO341" s="76">
        <f>0.0526*BI341*Observaciones!$F340^1.218</f>
        <v>0</v>
      </c>
      <c r="BP341" s="76">
        <f>BO341*Constantes!$E$51</f>
        <v>0</v>
      </c>
      <c r="BQ341" s="76">
        <f t="shared" si="79"/>
        <v>0</v>
      </c>
      <c r="BR341" s="40"/>
    </row>
    <row r="342" spans="1:70">
      <c r="A342" s="147"/>
      <c r="B342" s="39"/>
      <c r="C342" s="75">
        <v>336</v>
      </c>
      <c r="D342" s="146">
        <f>ETo!$I341*((1-Constantes!$E$19)*ETo!$K341+ETo!$L341)</f>
        <v>4.2675090719425617</v>
      </c>
      <c r="E342" s="76">
        <f>MIN(D342*Constantes!$E$17,0.8*(N341+Observaciones!$F341-F342-M342-Constantes!$D$14))</f>
        <v>2.0864377313342719</v>
      </c>
      <c r="F342" s="76">
        <f>IF(Observaciones!$F341&gt;0.05*Constantes!$E$18,((Observaciones!$F341-0.05*Constantes!$E$18)^2)/(Observaciones!$F341+0.95*Constantes!$E$18),0)</f>
        <v>0</v>
      </c>
      <c r="G342" s="76">
        <f>IF(Escenarios!$E$11&gt;0,(F342*Escenarios!$E$16*10000)/1000,0)</f>
        <v>0</v>
      </c>
      <c r="H342" s="76">
        <f>IF(Escenarios!$E$11&gt;0,(Observaciones!$F341*Constantes!$E$29)/1000,0)</f>
        <v>0</v>
      </c>
      <c r="I342" s="76">
        <f>IF(Escenarios!$E$11&gt;0,(D342*Constantes!$E$29)/1000,0)</f>
        <v>42.675090719425611</v>
      </c>
      <c r="J342" s="76">
        <f>IF(Escenarios!$E$11&gt;0,MAX(0,G342+H342-I342),0)</f>
        <v>0</v>
      </c>
      <c r="K342" s="76">
        <f>IF(Escenarios!$E$11&gt;0,IF(J342&gt;Constantes!$E$30,1000*((J342-Constantes!$E$30)/(Escenarios!$E$16*10000)),0),F342)</f>
        <v>0</v>
      </c>
      <c r="L342" s="76">
        <f>IF(Escenarios!$E$11&gt;0,I342*1000/Escenarios!$E$16/10000+E342,E342)</f>
        <v>2.1035077676220419</v>
      </c>
      <c r="M342" s="76">
        <f>MAX(0,N341+Observaciones!$F341-K342-Constantes!$D$13)</f>
        <v>0</v>
      </c>
      <c r="N342" s="76">
        <f>N341+Observaciones!$F341-K342-L342-M342-O341</f>
        <v>27.500692561091029</v>
      </c>
      <c r="O342" s="76">
        <f>MAX(0,(N342-Constantes!$D$14)*(1-EXP(-Constantes!$D$22)))</f>
        <v>0.55355824614446325</v>
      </c>
      <c r="P342" s="170">
        <f>P341+(Entradas!$E$83*M342-Q341)/(800*Entradas!$D$25)</f>
        <v>0</v>
      </c>
      <c r="Q342" s="170">
        <f>8000*Entradas!$D$26*P342/Constantes!$E$45</f>
        <v>0</v>
      </c>
      <c r="R342" s="170">
        <f>IF(Escenarios!$E$14&gt;0,K342*Escenarios!$E$13/Escenarios!$E$14,0)</f>
        <v>0</v>
      </c>
      <c r="S342" s="170">
        <f>IF(Escenarios!$E$14&gt;0,Q342*Escenarios!$E$13/Escenarios!$E$14,0)</f>
        <v>0</v>
      </c>
      <c r="T342" s="170">
        <f>IF(Escenarios!$E$14&gt;0,Observaciones!$I341,0)</f>
        <v>0</v>
      </c>
      <c r="U342" s="170">
        <f>IF(Escenarios!$E$14&gt;0,MAX(0,Constantes!$E$36/((Z341+R342+S342+T342+Observaciones!$F341)^2)+Entradas!$E$77),0)</f>
        <v>0</v>
      </c>
      <c r="V342" s="146">
        <f>IF(ETo!D341&gt;0,ETo!I341*((1-Entradas!$E$81)*ETo!K341+ETo!L341),0)</f>
        <v>3.8990102703996672</v>
      </c>
      <c r="W342" s="170">
        <f>IF(Escenarios!$E$14&gt;0,MIN(V342*1,0.8*(Z341+R342+S342+T342+Observaciones!$F341-U342-Constantes!$E$35)),0)</f>
        <v>0.26637543391780699</v>
      </c>
      <c r="X342" s="170">
        <f>IF(Escenarios!$E$14&gt;0,Observaciones!$J341,0)</f>
        <v>0</v>
      </c>
      <c r="Y342" s="170">
        <f>IF(Escenarios!$E$14&gt;0,MAX(0,Z341+R342+S342+T342+Observaciones!$F341-U342-W342-X342-Constantes!$E$33),0)</f>
        <v>0</v>
      </c>
      <c r="Z342" s="170">
        <f>Z341+R342+S342+T342+Observaciones!$F341-U342-W342-Y342</f>
        <v>41.31659385847945</v>
      </c>
      <c r="AA342" s="170">
        <f>IF(Escenarios!$E$14&gt;0,(Escenarios!$E$13*L342+Escenarios!$E$14*W342)/(Escenarios!$E$16),L342)</f>
        <v>1.8830518875775337</v>
      </c>
      <c r="AB342" s="170">
        <f>IF(Escenarios!$E$14&gt;0,(Escenarios!$E$14*Y342)/(Escenarios!$E$16),K342)</f>
        <v>0</v>
      </c>
      <c r="AC342" s="170">
        <f>IF(Escenarios!$E$14&gt;0,(Escenarios!$E$13*M342+Escenarios!$E$14*U342)/(Escenarios!$E$16),M342)</f>
        <v>0</v>
      </c>
      <c r="AD342" s="76">
        <f t="shared" si="71"/>
        <v>60.924940159030811</v>
      </c>
      <c r="AE342" s="76">
        <f>MAX(0,(AD342-Constantes!$D$13)*(1-EXP(-Constantes!$D$23)))</f>
        <v>0.11996258523175032</v>
      </c>
      <c r="AF342" s="76">
        <f>AB342+O342*Escenarios!$E$13/Escenarios!$E$16+AE342</f>
        <v>0.60709384183887805</v>
      </c>
      <c r="AG342" s="76">
        <f>IF(Entradas!$E$91&gt;0,IF(AF342-Escenarios!$E$38&lt;=0,0,IF(AF342-Escenarios!$E$38&gt;Escenarios!$E$37,Escenarios!$E$37,AF342-Escenarios!$E$38)),0)</f>
        <v>0</v>
      </c>
      <c r="AH342" s="76">
        <f>AG342*Entradas!$E$99</f>
        <v>0</v>
      </c>
      <c r="AI342" s="76">
        <f>IF(Entradas!$E$91&gt;0,D342*Entradas!$D$23/Escenarios!$E$16,0)</f>
        <v>0</v>
      </c>
      <c r="AJ342" s="76">
        <f>IF(Entradas!$E$91&gt;0,Entradas!$D$24*Entradas!$D$22/Escenarios!$E$16,0)</f>
        <v>0</v>
      </c>
      <c r="AK342" s="76">
        <f t="shared" si="80"/>
        <v>1.8830518875775337</v>
      </c>
      <c r="AL342" s="76">
        <f t="shared" si="81"/>
        <v>0</v>
      </c>
      <c r="AM342" s="76">
        <f t="shared" si="72"/>
        <v>0</v>
      </c>
      <c r="AN342" s="76">
        <f>MAX(0,O342*Escenarios!$E$13/Escenarios!$E$16-AM342)</f>
        <v>0.48713125660712769</v>
      </c>
      <c r="AO342" s="76">
        <f>AM342+AN342-O342*Escenarios!$E$13/Escenarios!$E$16</f>
        <v>0</v>
      </c>
      <c r="AP342" s="76">
        <f t="shared" si="70"/>
        <v>0.11996258523175032</v>
      </c>
      <c r="AQ342" s="76">
        <f t="shared" si="73"/>
        <v>0</v>
      </c>
      <c r="AR342" s="76">
        <f t="shared" si="74"/>
        <v>0.60709384183887805</v>
      </c>
      <c r="AS342" s="76">
        <f t="shared" si="75"/>
        <v>0</v>
      </c>
      <c r="AT342" s="76">
        <f t="shared" si="76"/>
        <v>0</v>
      </c>
      <c r="AU342" s="76">
        <f t="shared" si="77"/>
        <v>48.75</v>
      </c>
      <c r="AV342" s="76">
        <f>MAX(0,(AU342-Constantes!$D$13)*(1-EXP(-Constantes!$D$24)))</f>
        <v>0</v>
      </c>
      <c r="AW342" s="170">
        <f>AW341+(Entradas!$E$112*AT342-AX341)/(800*Entradas!$D$25)</f>
        <v>0</v>
      </c>
      <c r="AX342" s="170">
        <f>8000*Entradas!$D$26*AW342/Constantes!$E$45</f>
        <v>0</v>
      </c>
      <c r="AY342" s="170">
        <f>IF(Escenarios!$E$17&gt;0,10*Escenarios!$E$16*AL342,0)</f>
        <v>0</v>
      </c>
      <c r="AZ342" s="170">
        <f>IF(Escenarios!$E$17&gt;0,10*Escenarios!$E$16*AX342,0)</f>
        <v>0</v>
      </c>
      <c r="BA342" s="170">
        <f>IF(Escenarios!$E$17&gt;0,0.001*Observaciones!$F341*Escenarios!$E$17,0)</f>
        <v>0</v>
      </c>
      <c r="BB342" s="170">
        <f>IF(Escenarios!$E$17&gt;0,Observaciones!$K341,0)</f>
        <v>0</v>
      </c>
      <c r="BC342" s="170">
        <f>IF(Escenarios!$E$17&gt;0,MIN(0.0005*ETo!$M341*Escenarios!$E$17*(BG341/Constantes!$E$40)^(2/3),BG341+AY342+AZ342+BA342+BB342),0)</f>
        <v>16.774552855859735</v>
      </c>
      <c r="BD342" s="170">
        <f>IF(Escenarios!$E$17&gt;0,MIN(Constantes!$E$39*(BG341/Constantes!$E$40)^(2/3),BG341+AY342+AZ342+BA342+BB342-BC342),0)</f>
        <v>27.684476268453423</v>
      </c>
      <c r="BE342" s="170">
        <f>IF(Escenarios!$E$17&gt;0,MIN(Entradas!$E$113,BG341+AY342+AZ342+BA342+BB342-BC342-BD342),0)</f>
        <v>1</v>
      </c>
      <c r="BF342" s="170">
        <f>IF(Escenarios!$E$17&gt;0,MAX(0,BG341+AY342+AZ342+BA342+BB342-BC342-BD342-BE342-Constantes!$E$40),0)</f>
        <v>0</v>
      </c>
      <c r="BG342" s="170">
        <f t="shared" si="82"/>
        <v>1311.6921502986247</v>
      </c>
      <c r="BH342" s="170">
        <f>(Escenarios!$E$16*AK342+0.1*BC342)/(Escenarios!$E$19)</f>
        <v>1.8747635999205134</v>
      </c>
      <c r="BI342" s="170">
        <f>IF(Escenarios!$E$17&gt;0,BF342/10/Escenarios!$E$19,AL342)</f>
        <v>0</v>
      </c>
      <c r="BJ342" s="170">
        <f>(Escenarios!$E$16*AT342+0.1*BD342)/(Escenarios!$E$19)</f>
        <v>1.0985903281132312E-2</v>
      </c>
      <c r="BK342" s="76">
        <f>BK341+(0.1*BD342)/(Escenarios!$E$19)-BL341</f>
        <v>49.546637204971873</v>
      </c>
      <c r="BL342" s="76">
        <f>MAX(0,(BK342-Constantes!$D$13)*(1-EXP(-Constantes!$D$23)))</f>
        <v>7.8494561247871679E-3</v>
      </c>
      <c r="BM342" s="76">
        <f t="shared" si="78"/>
        <v>0.12781204135653748</v>
      </c>
      <c r="BN342" s="76">
        <f t="shared" si="83"/>
        <v>0.6149432979636652</v>
      </c>
      <c r="BO342" s="76">
        <f>0.0526*BI342*Observaciones!$F341^1.218</f>
        <v>0</v>
      </c>
      <c r="BP342" s="76">
        <f>BO342*Constantes!$E$51</f>
        <v>0</v>
      </c>
      <c r="BQ342" s="76">
        <f t="shared" si="79"/>
        <v>0</v>
      </c>
      <c r="BR342" s="40"/>
    </row>
    <row r="343" spans="1:70">
      <c r="A343" s="147"/>
      <c r="B343" s="39"/>
      <c r="C343" s="75">
        <v>337</v>
      </c>
      <c r="D343" s="146">
        <f>ETo!$I342*((1-Constantes!$E$19)*ETo!$K342+ETo!$L342)</f>
        <v>4.381238212969178</v>
      </c>
      <c r="E343" s="76">
        <f>MIN(D343*Constantes!$E$17,0.8*(N342+Observaciones!$F342-F343-M343-Constantes!$D$14))</f>
        <v>2.1420413087350241</v>
      </c>
      <c r="F343" s="76">
        <f>IF(Observaciones!$F342&gt;0.05*Constantes!$E$18,((Observaciones!$F342-0.05*Constantes!$E$18)^2)/(Observaciones!$F342+0.95*Constantes!$E$18),0)</f>
        <v>0</v>
      </c>
      <c r="G343" s="76">
        <f>IF(Escenarios!$E$11&gt;0,(F343*Escenarios!$E$16*10000)/1000,0)</f>
        <v>0</v>
      </c>
      <c r="H343" s="76">
        <f>IF(Escenarios!$E$11&gt;0,(Observaciones!$F342*Constantes!$E$29)/1000,0)</f>
        <v>0</v>
      </c>
      <c r="I343" s="76">
        <f>IF(Escenarios!$E$11&gt;0,(D343*Constantes!$E$29)/1000,0)</f>
        <v>43.812382129691784</v>
      </c>
      <c r="J343" s="76">
        <f>IF(Escenarios!$E$11&gt;0,MAX(0,G343+H343-I343),0)</f>
        <v>0</v>
      </c>
      <c r="K343" s="76">
        <f>IF(Escenarios!$E$11&gt;0,IF(J343&gt;Constantes!$E$30,1000*((J343-Constantes!$E$30)/(Escenarios!$E$16*10000)),0),F343)</f>
        <v>0</v>
      </c>
      <c r="L343" s="76">
        <f>IF(Escenarios!$E$11&gt;0,I343*1000/Escenarios!$E$16/10000+E343,E343)</f>
        <v>2.1595662615869009</v>
      </c>
      <c r="M343" s="76">
        <f>MAX(0,N342+Observaciones!$F342-K343-Constantes!$D$13)</f>
        <v>0</v>
      </c>
      <c r="N343" s="76">
        <f>N342+Observaciones!$F342-K343-L343-M343-O342</f>
        <v>24.787568053359667</v>
      </c>
      <c r="O343" s="76">
        <f>MAX(0,(N343-Constantes!$D$14)*(1-EXP(-Constantes!$D$22)))</f>
        <v>0.46113926532716193</v>
      </c>
      <c r="P343" s="170">
        <f>P342+(Entradas!$E$83*M343-Q342)/(800*Entradas!$D$25)</f>
        <v>0</v>
      </c>
      <c r="Q343" s="170">
        <f>8000*Entradas!$D$26*P343/Constantes!$E$45</f>
        <v>0</v>
      </c>
      <c r="R343" s="170">
        <f>IF(Escenarios!$E$14&gt;0,K343*Escenarios!$E$13/Escenarios!$E$14,0)</f>
        <v>0</v>
      </c>
      <c r="S343" s="170">
        <f>IF(Escenarios!$E$14&gt;0,Q343*Escenarios!$E$13/Escenarios!$E$14,0)</f>
        <v>0</v>
      </c>
      <c r="T343" s="170">
        <f>IF(Escenarios!$E$14&gt;0,Observaciones!$I342,0)</f>
        <v>0</v>
      </c>
      <c r="U343" s="170">
        <f>IF(Escenarios!$E$14&gt;0,MAX(0,Constantes!$E$36/((Z342+R343+S343+T343+Observaciones!$F342)^2)+Entradas!$E$77),0)</f>
        <v>0</v>
      </c>
      <c r="V343" s="146">
        <f>IF(ETo!D342&gt;0,ETo!I342*((1-Entradas!$E$81)*ETo!K342+ETo!L342),0)</f>
        <v>4.0040574804245797</v>
      </c>
      <c r="W343" s="170">
        <f>IF(Escenarios!$E$14&gt;0,MIN(V343*1,0.8*(Z342+R343+S343+T343+Observaciones!$F342-U343-Constantes!$E$35)),0)</f>
        <v>5.3275086783560258E-2</v>
      </c>
      <c r="X343" s="170">
        <f>IF(Escenarios!$E$14&gt;0,Observaciones!$J342,0)</f>
        <v>0</v>
      </c>
      <c r="Y343" s="170">
        <f>IF(Escenarios!$E$14&gt;0,MAX(0,Z342+R343+S343+T343+Observaciones!$F342-U343-W343-X343-Constantes!$E$33),0)</f>
        <v>0</v>
      </c>
      <c r="Z343" s="170">
        <f>Z342+R343+S343+T343+Observaciones!$F342-U343-W343-Y343</f>
        <v>41.263318771695893</v>
      </c>
      <c r="AA343" s="170">
        <f>IF(Escenarios!$E$14&gt;0,(Escenarios!$E$13*L343+Escenarios!$E$14*W343)/(Escenarios!$E$16),L343)</f>
        <v>1.9068113206105</v>
      </c>
      <c r="AB343" s="170">
        <f>IF(Escenarios!$E$14&gt;0,(Escenarios!$E$14*Y343)/(Escenarios!$E$16),K343)</f>
        <v>0</v>
      </c>
      <c r="AC343" s="170">
        <f>IF(Escenarios!$E$14&gt;0,(Escenarios!$E$13*M343+Escenarios!$E$14*U343)/(Escenarios!$E$16),M343)</f>
        <v>0</v>
      </c>
      <c r="AD343" s="76">
        <f t="shared" si="71"/>
        <v>60.804977573799057</v>
      </c>
      <c r="AE343" s="76">
        <f>MAX(0,(AD343-Constantes!$D$13)*(1-EXP(-Constantes!$D$23)))</f>
        <v>0.11878056530660015</v>
      </c>
      <c r="AF343" s="76">
        <f>AB343+O343*Escenarios!$E$13/Escenarios!$E$16+AE343</f>
        <v>0.5245831187945027</v>
      </c>
      <c r="AG343" s="76">
        <f>IF(Entradas!$E$91&gt;0,IF(AF343-Escenarios!$E$38&lt;=0,0,IF(AF343-Escenarios!$E$38&gt;Escenarios!$E$37,Escenarios!$E$37,AF343-Escenarios!$E$38)),0)</f>
        <v>0</v>
      </c>
      <c r="AH343" s="76">
        <f>AG343*Entradas!$E$99</f>
        <v>0</v>
      </c>
      <c r="AI343" s="76">
        <f>IF(Entradas!$E$91&gt;0,D343*Entradas!$D$23/Escenarios!$E$16,0)</f>
        <v>0</v>
      </c>
      <c r="AJ343" s="76">
        <f>IF(Entradas!$E$91&gt;0,Entradas!$D$24*Entradas!$D$22/Escenarios!$E$16,0)</f>
        <v>0</v>
      </c>
      <c r="AK343" s="76">
        <f t="shared" si="80"/>
        <v>1.9068113206105</v>
      </c>
      <c r="AL343" s="76">
        <f t="shared" si="81"/>
        <v>0</v>
      </c>
      <c r="AM343" s="76">
        <f t="shared" si="72"/>
        <v>0</v>
      </c>
      <c r="AN343" s="76">
        <f>MAX(0,O343*Escenarios!$E$13/Escenarios!$E$16-AM343)</f>
        <v>0.40580255348790251</v>
      </c>
      <c r="AO343" s="76">
        <f>AM343+AN343-O343*Escenarios!$E$13/Escenarios!$E$16</f>
        <v>0</v>
      </c>
      <c r="AP343" s="76">
        <f t="shared" si="70"/>
        <v>0.11878056530660015</v>
      </c>
      <c r="AQ343" s="76">
        <f t="shared" si="73"/>
        <v>0</v>
      </c>
      <c r="AR343" s="76">
        <f t="shared" si="74"/>
        <v>0.5245831187945027</v>
      </c>
      <c r="AS343" s="76">
        <f t="shared" si="75"/>
        <v>0</v>
      </c>
      <c r="AT343" s="76">
        <f t="shared" si="76"/>
        <v>0</v>
      </c>
      <c r="AU343" s="76">
        <f t="shared" si="77"/>
        <v>48.75</v>
      </c>
      <c r="AV343" s="76">
        <f>MAX(0,(AU343-Constantes!$D$13)*(1-EXP(-Constantes!$D$24)))</f>
        <v>0</v>
      </c>
      <c r="AW343" s="170">
        <f>AW342+(Entradas!$E$112*AT343-AX342)/(800*Entradas!$D$25)</f>
        <v>0</v>
      </c>
      <c r="AX343" s="170">
        <f>8000*Entradas!$D$26*AW343/Constantes!$E$45</f>
        <v>0</v>
      </c>
      <c r="AY343" s="170">
        <f>IF(Escenarios!$E$17&gt;0,10*Escenarios!$E$16*AL343,0)</f>
        <v>0</v>
      </c>
      <c r="AZ343" s="170">
        <f>IF(Escenarios!$E$17&gt;0,10*Escenarios!$E$16*AX343,0)</f>
        <v>0</v>
      </c>
      <c r="BA343" s="170">
        <f>IF(Escenarios!$E$17&gt;0,0.001*Observaciones!$F342*Escenarios!$E$17,0)</f>
        <v>0</v>
      </c>
      <c r="BB343" s="170">
        <f>IF(Escenarios!$E$17&gt;0,Observaciones!$K342,0)</f>
        <v>0</v>
      </c>
      <c r="BC343" s="170">
        <f>IF(Escenarios!$E$17&gt;0,MIN(0.0005*ETo!$M342*Escenarios!$E$17*(BG342/Constantes!$E$40)^(2/3),BG342+AY343+AZ343+BA343+BB343),0)</f>
        <v>16.82878589694915</v>
      </c>
      <c r="BD343" s="170">
        <f>IF(Escenarios!$E$17&gt;0,MIN(Constantes!$E$39*(BG342/Constantes!$E$40)^(2/3),BG342+AY343+AZ343+BA343+BB343-BC343),0)</f>
        <v>27.062761243321599</v>
      </c>
      <c r="BE343" s="170">
        <f>IF(Escenarios!$E$17&gt;0,MIN(Entradas!$E$113,BG342+AY343+AZ343+BA343+BB343-BC343-BD343),0)</f>
        <v>1</v>
      </c>
      <c r="BF343" s="170">
        <f>IF(Escenarios!$E$17&gt;0,MAX(0,BG342+AY343+AZ343+BA343+BB343-BC343-BD343-BE343-Constantes!$E$40),0)</f>
        <v>0</v>
      </c>
      <c r="BG343" s="170">
        <f t="shared" si="82"/>
        <v>1266.8006031583541</v>
      </c>
      <c r="BH343" s="170">
        <f>(Escenarios!$E$16*AK343+0.1*BC343)/(Escenarios!$E$19)</f>
        <v>1.898355987072698</v>
      </c>
      <c r="BI343" s="170">
        <f>IF(Escenarios!$E$17&gt;0,BF343/10/Escenarios!$E$19,AL343)</f>
        <v>0</v>
      </c>
      <c r="BJ343" s="170">
        <f>(Escenarios!$E$16*AT343+0.1*BD343)/(Escenarios!$E$19)</f>
        <v>1.0739190969572064E-2</v>
      </c>
      <c r="BK343" s="76">
        <f>BK342+(0.1*BD343)/(Escenarios!$E$19)-BL342</f>
        <v>49.549526939816658</v>
      </c>
      <c r="BL343" s="76">
        <f>MAX(0,(BK343-Constantes!$D$13)*(1-EXP(-Constantes!$D$23)))</f>
        <v>7.8779293704940561E-3</v>
      </c>
      <c r="BM343" s="76">
        <f t="shared" si="78"/>
        <v>0.1266584946770942</v>
      </c>
      <c r="BN343" s="76">
        <f t="shared" si="83"/>
        <v>0.53246104816499673</v>
      </c>
      <c r="BO343" s="76">
        <f>0.0526*BI343*Observaciones!$F342^1.218</f>
        <v>0</v>
      </c>
      <c r="BP343" s="76">
        <f>BO343*Constantes!$E$51</f>
        <v>0</v>
      </c>
      <c r="BQ343" s="76">
        <f t="shared" si="79"/>
        <v>0</v>
      </c>
      <c r="BR343" s="40"/>
    </row>
    <row r="344" spans="1:70">
      <c r="A344" s="147"/>
      <c r="B344" s="39"/>
      <c r="C344" s="75">
        <v>338</v>
      </c>
      <c r="D344" s="146">
        <f>ETo!$I343*((1-Constantes!$E$19)*ETo!$K343+ETo!$L343)</f>
        <v>4.3768060130286548</v>
      </c>
      <c r="E344" s="76">
        <f>MIN(D344*Constantes!$E$17,0.8*(N343+Observaciones!$F343-F344-M344-Constantes!$D$14))</f>
        <v>2.1398743516101932</v>
      </c>
      <c r="F344" s="76">
        <f>IF(Observaciones!$F343&gt;0.05*Constantes!$E$18,((Observaciones!$F343-0.05*Constantes!$E$18)^2)/(Observaciones!$F343+0.95*Constantes!$E$18),0)</f>
        <v>0</v>
      </c>
      <c r="G344" s="76">
        <f>IF(Escenarios!$E$11&gt;0,(F344*Escenarios!$E$16*10000)/1000,0)</f>
        <v>0</v>
      </c>
      <c r="H344" s="76">
        <f>IF(Escenarios!$E$11&gt;0,(Observaciones!$F343*Constantes!$E$29)/1000,0)</f>
        <v>0</v>
      </c>
      <c r="I344" s="76">
        <f>IF(Escenarios!$E$11&gt;0,(D344*Constantes!$E$29)/1000,0)</f>
        <v>43.76806013028655</v>
      </c>
      <c r="J344" s="76">
        <f>IF(Escenarios!$E$11&gt;0,MAX(0,G344+H344-I344),0)</f>
        <v>0</v>
      </c>
      <c r="K344" s="76">
        <f>IF(Escenarios!$E$11&gt;0,IF(J344&gt;Constantes!$E$30,1000*((J344-Constantes!$E$30)/(Escenarios!$E$16*10000)),0),F344)</f>
        <v>0</v>
      </c>
      <c r="L344" s="76">
        <f>IF(Escenarios!$E$11&gt;0,I344*1000/Escenarios!$E$16/10000+E344,E344)</f>
        <v>2.157381575662308</v>
      </c>
      <c r="M344" s="76">
        <f>MAX(0,N343+Observaciones!$F343-K344-Constantes!$D$13)</f>
        <v>0</v>
      </c>
      <c r="N344" s="76">
        <f>N343+Observaciones!$F343-K344-L344-M344-O343</f>
        <v>22.169047212370195</v>
      </c>
      <c r="O344" s="76">
        <f>MAX(0,(N344-Constantes!$D$14)*(1-EXP(-Constantes!$D$22)))</f>
        <v>0.37194283269625988</v>
      </c>
      <c r="P344" s="170">
        <f>P343+(Entradas!$E$83*M344-Q343)/(800*Entradas!$D$25)</f>
        <v>0</v>
      </c>
      <c r="Q344" s="170">
        <f>8000*Entradas!$D$26*P344/Constantes!$E$45</f>
        <v>0</v>
      </c>
      <c r="R344" s="170">
        <f>IF(Escenarios!$E$14&gt;0,K344*Escenarios!$E$13/Escenarios!$E$14,0)</f>
        <v>0</v>
      </c>
      <c r="S344" s="170">
        <f>IF(Escenarios!$E$14&gt;0,Q344*Escenarios!$E$13/Escenarios!$E$14,0)</f>
        <v>0</v>
      </c>
      <c r="T344" s="170">
        <f>IF(Escenarios!$E$14&gt;0,Observaciones!$I343,0)</f>
        <v>0</v>
      </c>
      <c r="U344" s="170">
        <f>IF(Escenarios!$E$14&gt;0,MAX(0,Constantes!$E$36/((Z343+R344+S344+T344+Observaciones!$F343)^2)+Entradas!$E$77),0)</f>
        <v>0</v>
      </c>
      <c r="V344" s="146">
        <f>IF(ETo!D343&gt;0,ETo!I343*((1-Entradas!$E$81)*ETo!K343+ETo!L343),0)</f>
        <v>3.9999597599768881</v>
      </c>
      <c r="W344" s="170">
        <f>IF(Escenarios!$E$14&gt;0,MIN(V344*1,0.8*(Z343+R344+S344+T344+Observaciones!$F343-U344-Constantes!$E$35)),0)</f>
        <v>1.0655017356714326E-2</v>
      </c>
      <c r="X344" s="170">
        <f>IF(Escenarios!$E$14&gt;0,Observaciones!$J343,0)</f>
        <v>0</v>
      </c>
      <c r="Y344" s="170">
        <f>IF(Escenarios!$E$14&gt;0,MAX(0,Z343+R344+S344+T344+Observaciones!$F343-U344-W344-X344-Constantes!$E$33),0)</f>
        <v>0</v>
      </c>
      <c r="Z344" s="170">
        <f>Z343+R344+S344+T344+Observaciones!$F343-U344-W344-Y344</f>
        <v>41.252663754339181</v>
      </c>
      <c r="AA344" s="170">
        <f>IF(Escenarios!$E$14&gt;0,(Escenarios!$E$13*L344+Escenarios!$E$14*W344)/(Escenarios!$E$16),L344)</f>
        <v>1.8997743886656366</v>
      </c>
      <c r="AB344" s="170">
        <f>IF(Escenarios!$E$14&gt;0,(Escenarios!$E$14*Y344)/(Escenarios!$E$16),K344)</f>
        <v>0</v>
      </c>
      <c r="AC344" s="170">
        <f>IF(Escenarios!$E$14&gt;0,(Escenarios!$E$13*M344+Escenarios!$E$14*U344)/(Escenarios!$E$16),M344)</f>
        <v>0</v>
      </c>
      <c r="AD344" s="76">
        <f t="shared" si="71"/>
        <v>60.686197008492456</v>
      </c>
      <c r="AE344" s="76">
        <f>MAX(0,(AD344-Constantes!$D$13)*(1-EXP(-Constantes!$D$23)))</f>
        <v>0.11761019210530772</v>
      </c>
      <c r="AF344" s="76">
        <f>AB344+O344*Escenarios!$E$13/Escenarios!$E$16+AE344</f>
        <v>0.44491988487801637</v>
      </c>
      <c r="AG344" s="76">
        <f>IF(Entradas!$E$91&gt;0,IF(AF344-Escenarios!$E$38&lt;=0,0,IF(AF344-Escenarios!$E$38&gt;Escenarios!$E$37,Escenarios!$E$37,AF344-Escenarios!$E$38)),0)</f>
        <v>0</v>
      </c>
      <c r="AH344" s="76">
        <f>AG344*Entradas!$E$99</f>
        <v>0</v>
      </c>
      <c r="AI344" s="76">
        <f>IF(Entradas!$E$91&gt;0,D344*Entradas!$D$23/Escenarios!$E$16,0)</f>
        <v>0</v>
      </c>
      <c r="AJ344" s="76">
        <f>IF(Entradas!$E$91&gt;0,Entradas!$D$24*Entradas!$D$22/Escenarios!$E$16,0)</f>
        <v>0</v>
      </c>
      <c r="AK344" s="76">
        <f t="shared" si="80"/>
        <v>1.8997743886656366</v>
      </c>
      <c r="AL344" s="76">
        <f t="shared" si="81"/>
        <v>0</v>
      </c>
      <c r="AM344" s="76">
        <f t="shared" si="72"/>
        <v>0</v>
      </c>
      <c r="AN344" s="76">
        <f>MAX(0,O344*Escenarios!$E$13/Escenarios!$E$16-AM344)</f>
        <v>0.32730969277270866</v>
      </c>
      <c r="AO344" s="76">
        <f>AM344+AN344-O344*Escenarios!$E$13/Escenarios!$E$16</f>
        <v>0</v>
      </c>
      <c r="AP344" s="76">
        <f t="shared" si="70"/>
        <v>0.11761019210530772</v>
      </c>
      <c r="AQ344" s="76">
        <f t="shared" si="73"/>
        <v>0</v>
      </c>
      <c r="AR344" s="76">
        <f t="shared" si="74"/>
        <v>0.44491988487801637</v>
      </c>
      <c r="AS344" s="76">
        <f t="shared" si="75"/>
        <v>0</v>
      </c>
      <c r="AT344" s="76">
        <f t="shared" si="76"/>
        <v>0</v>
      </c>
      <c r="AU344" s="76">
        <f t="shared" si="77"/>
        <v>48.75</v>
      </c>
      <c r="AV344" s="76">
        <f>MAX(0,(AU344-Constantes!$D$13)*(1-EXP(-Constantes!$D$24)))</f>
        <v>0</v>
      </c>
      <c r="AW344" s="170">
        <f>AW343+(Entradas!$E$112*AT344-AX343)/(800*Entradas!$D$25)</f>
        <v>0</v>
      </c>
      <c r="AX344" s="170">
        <f>8000*Entradas!$D$26*AW344/Constantes!$E$45</f>
        <v>0</v>
      </c>
      <c r="AY344" s="170">
        <f>IF(Escenarios!$E$17&gt;0,10*Escenarios!$E$16*AL344,0)</f>
        <v>0</v>
      </c>
      <c r="AZ344" s="170">
        <f>IF(Escenarios!$E$17&gt;0,10*Escenarios!$E$16*AX344,0)</f>
        <v>0</v>
      </c>
      <c r="BA344" s="170">
        <f>IF(Escenarios!$E$17&gt;0,0.001*Observaciones!$F343*Escenarios!$E$17,0)</f>
        <v>0</v>
      </c>
      <c r="BB344" s="170">
        <f>IF(Escenarios!$E$17&gt;0,Observaciones!$K343,0)</f>
        <v>0</v>
      </c>
      <c r="BC344" s="170">
        <f>IF(Escenarios!$E$17&gt;0,MIN(0.0005*ETo!$M343*Escenarios!$E$17*(BG343/Constantes!$E$40)^(2/3),BG343+AY344+AZ344+BA344+BB344),0)</f>
        <v>16.426205545800212</v>
      </c>
      <c r="BD344" s="170">
        <f>IF(Escenarios!$E$17&gt;0,MIN(Constantes!$E$39*(BG343/Constantes!$E$40)^(2/3),BG343+AY344+AZ344+BA344+BB344-BC344),0)</f>
        <v>26.441717888331539</v>
      </c>
      <c r="BE344" s="170">
        <f>IF(Escenarios!$E$17&gt;0,MIN(Entradas!$E$113,BG343+AY344+AZ344+BA344+BB344-BC344-BD344),0)</f>
        <v>1</v>
      </c>
      <c r="BF344" s="170">
        <f>IF(Escenarios!$E$17&gt;0,MAX(0,BG343+AY344+AZ344+BA344+BB344-BC344-BD344-BE344-Constantes!$E$40),0)</f>
        <v>0</v>
      </c>
      <c r="BG344" s="170">
        <f t="shared" si="82"/>
        <v>1222.9326797242222</v>
      </c>
      <c r="BH344" s="170">
        <f>(Escenarios!$E$16*AK344+0.1*BC344)/(Escenarios!$E$19)</f>
        <v>1.8912151496864651</v>
      </c>
      <c r="BI344" s="170">
        <f>IF(Escenarios!$E$17&gt;0,BF344/10/Escenarios!$E$19,AL344)</f>
        <v>0</v>
      </c>
      <c r="BJ344" s="170">
        <f>(Escenarios!$E$16*AT344+0.1*BD344)/(Escenarios!$E$19)</f>
        <v>1.0492745193782358E-2</v>
      </c>
      <c r="BK344" s="76">
        <f>BK343+(0.1*BD344)/(Escenarios!$E$19)-BL343</f>
        <v>49.552141755639944</v>
      </c>
      <c r="BL344" s="76">
        <f>MAX(0,(BK344-Constantes!$D$13)*(1-EXP(-Constantes!$D$23)))</f>
        <v>7.9036937736014969E-3</v>
      </c>
      <c r="BM344" s="76">
        <f t="shared" si="78"/>
        <v>0.12551388587890921</v>
      </c>
      <c r="BN344" s="76">
        <f t="shared" si="83"/>
        <v>0.45282357865161788</v>
      </c>
      <c r="BO344" s="76">
        <f>0.0526*BI344*Observaciones!$F343^1.218</f>
        <v>0</v>
      </c>
      <c r="BP344" s="76">
        <f>BO344*Constantes!$E$51</f>
        <v>0</v>
      </c>
      <c r="BQ344" s="76">
        <f t="shared" si="79"/>
        <v>0</v>
      </c>
      <c r="BR344" s="40"/>
    </row>
    <row r="345" spans="1:70">
      <c r="A345" s="147"/>
      <c r="B345" s="39"/>
      <c r="C345" s="75">
        <v>339</v>
      </c>
      <c r="D345" s="146">
        <f>ETo!$I344*((1-Constantes!$E$19)*ETo!$K344+ETo!$L344)</f>
        <v>4.3768870889205846</v>
      </c>
      <c r="E345" s="76">
        <f>MIN(D345*Constantes!$E$17,0.8*(N344+Observaciones!$F344-F345-M345-Constantes!$D$14))</f>
        <v>2.1399139906120497</v>
      </c>
      <c r="F345" s="76">
        <f>IF(Observaciones!$F344&gt;0.05*Constantes!$E$18,((Observaciones!$F344-0.05*Constantes!$E$18)^2)/(Observaciones!$F344+0.95*Constantes!$E$18),0)</f>
        <v>0</v>
      </c>
      <c r="G345" s="76">
        <f>IF(Escenarios!$E$11&gt;0,(F345*Escenarios!$E$16*10000)/1000,0)</f>
        <v>0</v>
      </c>
      <c r="H345" s="76">
        <f>IF(Escenarios!$E$11&gt;0,(Observaciones!$F344*Constantes!$E$29)/1000,0)</f>
        <v>0</v>
      </c>
      <c r="I345" s="76">
        <f>IF(Escenarios!$E$11&gt;0,(D345*Constantes!$E$29)/1000,0)</f>
        <v>43.76887088920585</v>
      </c>
      <c r="J345" s="76">
        <f>IF(Escenarios!$E$11&gt;0,MAX(0,G345+H345-I345),0)</f>
        <v>0</v>
      </c>
      <c r="K345" s="76">
        <f>IF(Escenarios!$E$11&gt;0,IF(J345&gt;Constantes!$E$30,1000*((J345-Constantes!$E$30)/(Escenarios!$E$16*10000)),0),F345)</f>
        <v>0</v>
      </c>
      <c r="L345" s="76">
        <f>IF(Escenarios!$E$11&gt;0,I345*1000/Escenarios!$E$16/10000+E345,E345)</f>
        <v>2.157421538967732</v>
      </c>
      <c r="M345" s="76">
        <f>MAX(0,N344+Observaciones!$F344-K345-Constantes!$D$13)</f>
        <v>0</v>
      </c>
      <c r="N345" s="76">
        <f>N344+Observaciones!$F344-K345-L345-M345-O344</f>
        <v>19.639682840706204</v>
      </c>
      <c r="O345" s="76">
        <f>MAX(0,(N345-Constantes!$D$14)*(1-EXP(-Constantes!$D$22)))</f>
        <v>0.28578339671068309</v>
      </c>
      <c r="P345" s="170">
        <f>P344+(Entradas!$E$83*M345-Q344)/(800*Entradas!$D$25)</f>
        <v>0</v>
      </c>
      <c r="Q345" s="170">
        <f>8000*Entradas!$D$26*P345/Constantes!$E$45</f>
        <v>0</v>
      </c>
      <c r="R345" s="170">
        <f>IF(Escenarios!$E$14&gt;0,K345*Escenarios!$E$13/Escenarios!$E$14,0)</f>
        <v>0</v>
      </c>
      <c r="S345" s="170">
        <f>IF(Escenarios!$E$14&gt;0,Q345*Escenarios!$E$13/Escenarios!$E$14,0)</f>
        <v>0</v>
      </c>
      <c r="T345" s="170">
        <f>IF(Escenarios!$E$14&gt;0,Observaciones!$I344,0)</f>
        <v>0</v>
      </c>
      <c r="U345" s="170">
        <f>IF(Escenarios!$E$14&gt;0,MAX(0,Constantes!$E$36/((Z344+R345+S345+T345+Observaciones!$F344)^2)+Entradas!$E$77),0)</f>
        <v>0</v>
      </c>
      <c r="V345" s="146">
        <f>IF(ETo!D344&gt;0,ETo!I344*((1-Entradas!$E$81)*ETo!K344+ETo!L344),0)</f>
        <v>4.0000356737333762</v>
      </c>
      <c r="W345" s="170">
        <f>IF(Escenarios!$E$14&gt;0,MIN(V345*1,0.8*(Z344+R345+S345+T345+Observaciones!$F344-U345-Constantes!$E$35)),0)</f>
        <v>2.1310034713451389E-3</v>
      </c>
      <c r="X345" s="170">
        <f>IF(Escenarios!$E$14&gt;0,Observaciones!$J344,0)</f>
        <v>0</v>
      </c>
      <c r="Y345" s="170">
        <f>IF(Escenarios!$E$14&gt;0,MAX(0,Z344+R345+S345+T345+Observaciones!$F344-U345-W345-X345-Constantes!$E$33),0)</f>
        <v>0</v>
      </c>
      <c r="Z345" s="170">
        <f>Z344+R345+S345+T345+Observaciones!$F344-U345-W345-Y345</f>
        <v>41.250532750867833</v>
      </c>
      <c r="AA345" s="170">
        <f>IF(Escenarios!$E$14&gt;0,(Escenarios!$E$13*L345+Escenarios!$E$14*W345)/(Escenarios!$E$16),L345)</f>
        <v>1.8987866747081656</v>
      </c>
      <c r="AB345" s="170">
        <f>IF(Escenarios!$E$14&gt;0,(Escenarios!$E$14*Y345)/(Escenarios!$E$16),K345)</f>
        <v>0</v>
      </c>
      <c r="AC345" s="170">
        <f>IF(Escenarios!$E$14&gt;0,(Escenarios!$E$13*M345+Escenarios!$E$14*U345)/(Escenarios!$E$16),M345)</f>
        <v>0</v>
      </c>
      <c r="AD345" s="76">
        <f t="shared" si="71"/>
        <v>60.568586816387146</v>
      </c>
      <c r="AE345" s="76">
        <f>MAX(0,(AD345-Constantes!$D$13)*(1-EXP(-Constantes!$D$23)))</f>
        <v>0.11645135086992879</v>
      </c>
      <c r="AF345" s="76">
        <f>AB345+O345*Escenarios!$E$13/Escenarios!$E$16+AE345</f>
        <v>0.36794073997532994</v>
      </c>
      <c r="AG345" s="76">
        <f>IF(Entradas!$E$91&gt;0,IF(AF345-Escenarios!$E$38&lt;=0,0,IF(AF345-Escenarios!$E$38&gt;Escenarios!$E$37,Escenarios!$E$37,AF345-Escenarios!$E$38)),0)</f>
        <v>0</v>
      </c>
      <c r="AH345" s="76">
        <f>AG345*Entradas!$E$99</f>
        <v>0</v>
      </c>
      <c r="AI345" s="76">
        <f>IF(Entradas!$E$91&gt;0,D345*Entradas!$D$23/Escenarios!$E$16,0)</f>
        <v>0</v>
      </c>
      <c r="AJ345" s="76">
        <f>IF(Entradas!$E$91&gt;0,Entradas!$D$24*Entradas!$D$22/Escenarios!$E$16,0)</f>
        <v>0</v>
      </c>
      <c r="AK345" s="76">
        <f t="shared" si="80"/>
        <v>1.8987866747081656</v>
      </c>
      <c r="AL345" s="76">
        <f t="shared" si="81"/>
        <v>0</v>
      </c>
      <c r="AM345" s="76">
        <f t="shared" si="72"/>
        <v>0</v>
      </c>
      <c r="AN345" s="76">
        <f>MAX(0,O345*Escenarios!$E$13/Escenarios!$E$16-AM345)</f>
        <v>0.25148938910540114</v>
      </c>
      <c r="AO345" s="76">
        <f>AM345+AN345-O345*Escenarios!$E$13/Escenarios!$E$16</f>
        <v>0</v>
      </c>
      <c r="AP345" s="76">
        <f t="shared" si="70"/>
        <v>0.11645135086992879</v>
      </c>
      <c r="AQ345" s="76">
        <f t="shared" si="73"/>
        <v>0</v>
      </c>
      <c r="AR345" s="76">
        <f t="shared" si="74"/>
        <v>0.36794073997532994</v>
      </c>
      <c r="AS345" s="76">
        <f t="shared" si="75"/>
        <v>0</v>
      </c>
      <c r="AT345" s="76">
        <f t="shared" si="76"/>
        <v>0</v>
      </c>
      <c r="AU345" s="76">
        <f t="shared" si="77"/>
        <v>48.75</v>
      </c>
      <c r="AV345" s="76">
        <f>MAX(0,(AU345-Constantes!$D$13)*(1-EXP(-Constantes!$D$24)))</f>
        <v>0</v>
      </c>
      <c r="AW345" s="170">
        <f>AW344+(Entradas!$E$112*AT345-AX344)/(800*Entradas!$D$25)</f>
        <v>0</v>
      </c>
      <c r="AX345" s="170">
        <f>8000*Entradas!$D$26*AW345/Constantes!$E$45</f>
        <v>0</v>
      </c>
      <c r="AY345" s="170">
        <f>IF(Escenarios!$E$17&gt;0,10*Escenarios!$E$16*AL345,0)</f>
        <v>0</v>
      </c>
      <c r="AZ345" s="170">
        <f>IF(Escenarios!$E$17&gt;0,10*Escenarios!$E$16*AX345,0)</f>
        <v>0</v>
      </c>
      <c r="BA345" s="170">
        <f>IF(Escenarios!$E$17&gt;0,0.001*Observaciones!$F344*Escenarios!$E$17,0)</f>
        <v>0</v>
      </c>
      <c r="BB345" s="170">
        <f>IF(Escenarios!$E$17&gt;0,Observaciones!$K344,0)</f>
        <v>0</v>
      </c>
      <c r="BC345" s="170">
        <f>IF(Escenarios!$E$17&gt;0,MIN(0.0005*ETo!$M344*Escenarios!$E$17*(BG344/Constantes!$E$40)^(2/3),BG344+AY345+AZ345+BA345+BB345),0)</f>
        <v>16.045056119240762</v>
      </c>
      <c r="BD345" s="170">
        <f>IF(Escenarios!$E$17&gt;0,MIN(Constantes!$E$39*(BG344/Constantes!$E$40)^(2/3),BG344+AY345+AZ345+BA345+BB345-BC345),0)</f>
        <v>25.827707542115679</v>
      </c>
      <c r="BE345" s="170">
        <f>IF(Escenarios!$E$17&gt;0,MIN(Entradas!$E$113,BG344+AY345+AZ345+BA345+BB345-BC345-BD345),0)</f>
        <v>1</v>
      </c>
      <c r="BF345" s="170">
        <f>IF(Escenarios!$E$17&gt;0,MAX(0,BG344+AY345+AZ345+BA345+BB345-BC345-BD345-BE345-Constantes!$E$40),0)</f>
        <v>0</v>
      </c>
      <c r="BG345" s="170">
        <f t="shared" si="82"/>
        <v>1180.0599160628658</v>
      </c>
      <c r="BH345" s="170">
        <f>(Escenarios!$E$16*AK345+0.1*BC345)/(Escenarios!$E$19)</f>
        <v>1.8900840249562123</v>
      </c>
      <c r="BI345" s="170">
        <f>IF(Escenarios!$E$17&gt;0,BF345/10/Escenarios!$E$19,AL345)</f>
        <v>0</v>
      </c>
      <c r="BJ345" s="170">
        <f>(Escenarios!$E$16*AT345+0.1*BD345)/(Escenarios!$E$19)</f>
        <v>1.0249090294490349E-2</v>
      </c>
      <c r="BK345" s="76">
        <f>BK344+(0.1*BD345)/(Escenarios!$E$19)-BL344</f>
        <v>49.554487152160839</v>
      </c>
      <c r="BL345" s="76">
        <f>MAX(0,(BK345-Constantes!$D$13)*(1-EXP(-Constantes!$D$23)))</f>
        <v>7.926803524151798E-3</v>
      </c>
      <c r="BM345" s="76">
        <f t="shared" si="78"/>
        <v>0.12437815439408059</v>
      </c>
      <c r="BN345" s="76">
        <f t="shared" si="83"/>
        <v>0.37586754349948176</v>
      </c>
      <c r="BO345" s="76">
        <f>0.0526*BI345*Observaciones!$F344^1.218</f>
        <v>0</v>
      </c>
      <c r="BP345" s="76">
        <f>BO345*Constantes!$E$51</f>
        <v>0</v>
      </c>
      <c r="BQ345" s="76">
        <f t="shared" si="79"/>
        <v>0</v>
      </c>
      <c r="BR345" s="40"/>
    </row>
    <row r="346" spans="1:70">
      <c r="A346" s="147"/>
      <c r="B346" s="39"/>
      <c r="C346" s="75">
        <v>340</v>
      </c>
      <c r="D346" s="146">
        <f>ETo!$I345*((1-Constantes!$E$19)*ETo!$K345+ETo!$L345)</f>
        <v>4.4087322594092981</v>
      </c>
      <c r="E346" s="76">
        <f>MIN(D346*Constantes!$E$17,0.8*(N345+Observaciones!$F345-F346-M346-Constantes!$D$14))</f>
        <v>2.1554834865752248</v>
      </c>
      <c r="F346" s="76">
        <f>IF(Observaciones!$F345&gt;0.05*Constantes!$E$18,((Observaciones!$F345-0.05*Constantes!$E$18)^2)/(Observaciones!$F345+0.95*Constantes!$E$18),0)</f>
        <v>0</v>
      </c>
      <c r="G346" s="76">
        <f>IF(Escenarios!$E$11&gt;0,(F346*Escenarios!$E$16*10000)/1000,0)</f>
        <v>0</v>
      </c>
      <c r="H346" s="76">
        <f>IF(Escenarios!$E$11&gt;0,(Observaciones!$F345*Constantes!$E$29)/1000,0)</f>
        <v>0</v>
      </c>
      <c r="I346" s="76">
        <f>IF(Escenarios!$E$11&gt;0,(D346*Constantes!$E$29)/1000,0)</f>
        <v>44.087322594092981</v>
      </c>
      <c r="J346" s="76">
        <f>IF(Escenarios!$E$11&gt;0,MAX(0,G346+H346-I346),0)</f>
        <v>0</v>
      </c>
      <c r="K346" s="76">
        <f>IF(Escenarios!$E$11&gt;0,IF(J346&gt;Constantes!$E$30,1000*((J346-Constantes!$E$30)/(Escenarios!$E$16*10000)),0),F346)</f>
        <v>0</v>
      </c>
      <c r="L346" s="76">
        <f>IF(Escenarios!$E$11&gt;0,I346*1000/Escenarios!$E$16/10000+E346,E346)</f>
        <v>2.173118415612862</v>
      </c>
      <c r="M346" s="76">
        <f>MAX(0,N345+Observaciones!$F345-K346-Constantes!$D$13)</f>
        <v>0</v>
      </c>
      <c r="N346" s="76">
        <f>N345+Observaciones!$F345-K346-L346-M346-O345</f>
        <v>17.180781028382658</v>
      </c>
      <c r="O346" s="76">
        <f>MAX(0,(N346-Constantes!$D$14)*(1-EXP(-Constantes!$D$22)))</f>
        <v>0.20202417416959281</v>
      </c>
      <c r="P346" s="170">
        <f>P345+(Entradas!$E$83*M346-Q345)/(800*Entradas!$D$25)</f>
        <v>0</v>
      </c>
      <c r="Q346" s="170">
        <f>8000*Entradas!$D$26*P346/Constantes!$E$45</f>
        <v>0</v>
      </c>
      <c r="R346" s="170">
        <f>IF(Escenarios!$E$14&gt;0,K346*Escenarios!$E$13/Escenarios!$E$14,0)</f>
        <v>0</v>
      </c>
      <c r="S346" s="170">
        <f>IF(Escenarios!$E$14&gt;0,Q346*Escenarios!$E$13/Escenarios!$E$14,0)</f>
        <v>0</v>
      </c>
      <c r="T346" s="170">
        <f>IF(Escenarios!$E$14&gt;0,Observaciones!$I345,0)</f>
        <v>0</v>
      </c>
      <c r="U346" s="170">
        <f>IF(Escenarios!$E$14&gt;0,MAX(0,Constantes!$E$36/((Z345+R346+S346+T346+Observaciones!$F345)^2)+Entradas!$E$77),0)</f>
        <v>0</v>
      </c>
      <c r="V346" s="146">
        <f>IF(ETo!D345&gt;0,ETo!I345*((1-Entradas!$E$81)*ETo!K345+ETo!L345),0)</f>
        <v>4.0294967988742076</v>
      </c>
      <c r="W346" s="170">
        <f>IF(Escenarios!$E$14&gt;0,MIN(V346*1,0.8*(Z345+R346+S346+T346+Observaciones!$F345-U346-Constantes!$E$35)),0)</f>
        <v>4.2620069426675401E-4</v>
      </c>
      <c r="X346" s="170">
        <f>IF(Escenarios!$E$14&gt;0,Observaciones!$J345,0)</f>
        <v>0</v>
      </c>
      <c r="Y346" s="170">
        <f>IF(Escenarios!$E$14&gt;0,MAX(0,Z345+R346+S346+T346+Observaciones!$F345-U346-W346-X346-Constantes!$E$33),0)</f>
        <v>0</v>
      </c>
      <c r="Z346" s="170">
        <f>Z345+R346+S346+T346+Observaciones!$F345-U346-W346-Y346</f>
        <v>41.25010655017357</v>
      </c>
      <c r="AA346" s="170">
        <f>IF(Escenarios!$E$14&gt;0,(Escenarios!$E$13*L346+Escenarios!$E$14*W346)/(Escenarios!$E$16),L346)</f>
        <v>1.9123953498226305</v>
      </c>
      <c r="AB346" s="170">
        <f>IF(Escenarios!$E$14&gt;0,(Escenarios!$E$14*Y346)/(Escenarios!$E$16),K346)</f>
        <v>0</v>
      </c>
      <c r="AC346" s="170">
        <f>IF(Escenarios!$E$14&gt;0,(Escenarios!$E$13*M346+Escenarios!$E$14*U346)/(Escenarios!$E$16),M346)</f>
        <v>0</v>
      </c>
      <c r="AD346" s="76">
        <f t="shared" si="71"/>
        <v>60.452135465517216</v>
      </c>
      <c r="AE346" s="76">
        <f>MAX(0,(AD346-Constantes!$D$13)*(1-EXP(-Constantes!$D$23)))</f>
        <v>0.11530392797325655</v>
      </c>
      <c r="AF346" s="76">
        <f>AB346+O346*Escenarios!$E$13/Escenarios!$E$16+AE346</f>
        <v>0.29308520124249821</v>
      </c>
      <c r="AG346" s="76">
        <f>IF(Entradas!$E$91&gt;0,IF(AF346-Escenarios!$E$38&lt;=0,0,IF(AF346-Escenarios!$E$38&gt;Escenarios!$E$37,Escenarios!$E$37,AF346-Escenarios!$E$38)),0)</f>
        <v>0</v>
      </c>
      <c r="AH346" s="76">
        <f>AG346*Entradas!$E$99</f>
        <v>0</v>
      </c>
      <c r="AI346" s="76">
        <f>IF(Entradas!$E$91&gt;0,D346*Entradas!$D$23/Escenarios!$E$16,0)</f>
        <v>0</v>
      </c>
      <c r="AJ346" s="76">
        <f>IF(Entradas!$E$91&gt;0,Entradas!$D$24*Entradas!$D$22/Escenarios!$E$16,0)</f>
        <v>0</v>
      </c>
      <c r="AK346" s="76">
        <f t="shared" si="80"/>
        <v>1.9123953498226305</v>
      </c>
      <c r="AL346" s="76">
        <f t="shared" si="81"/>
        <v>0</v>
      </c>
      <c r="AM346" s="76">
        <f t="shared" si="72"/>
        <v>0</v>
      </c>
      <c r="AN346" s="76">
        <f>MAX(0,O346*Escenarios!$E$13/Escenarios!$E$16-AM346)</f>
        <v>0.17778127326924167</v>
      </c>
      <c r="AO346" s="76">
        <f>AM346+AN346-O346*Escenarios!$E$13/Escenarios!$E$16</f>
        <v>0</v>
      </c>
      <c r="AP346" s="76">
        <f t="shared" si="70"/>
        <v>0.11530392797325655</v>
      </c>
      <c r="AQ346" s="76">
        <f t="shared" si="73"/>
        <v>0</v>
      </c>
      <c r="AR346" s="76">
        <f t="shared" si="74"/>
        <v>0.29308520124249821</v>
      </c>
      <c r="AS346" s="76">
        <f t="shared" si="75"/>
        <v>0</v>
      </c>
      <c r="AT346" s="76">
        <f t="shared" si="76"/>
        <v>0</v>
      </c>
      <c r="AU346" s="76">
        <f t="shared" si="77"/>
        <v>48.75</v>
      </c>
      <c r="AV346" s="76">
        <f>MAX(0,(AU346-Constantes!$D$13)*(1-EXP(-Constantes!$D$24)))</f>
        <v>0</v>
      </c>
      <c r="AW346" s="170">
        <f>AW345+(Entradas!$E$112*AT346-AX345)/(800*Entradas!$D$25)</f>
        <v>0</v>
      </c>
      <c r="AX346" s="170">
        <f>8000*Entradas!$D$26*AW346/Constantes!$E$45</f>
        <v>0</v>
      </c>
      <c r="AY346" s="170">
        <f>IF(Escenarios!$E$17&gt;0,10*Escenarios!$E$16*AL346,0)</f>
        <v>0</v>
      </c>
      <c r="AZ346" s="170">
        <f>IF(Escenarios!$E$17&gt;0,10*Escenarios!$E$16*AX346,0)</f>
        <v>0</v>
      </c>
      <c r="BA346" s="170">
        <f>IF(Escenarios!$E$17&gt;0,0.001*Observaciones!$F345*Escenarios!$E$17,0)</f>
        <v>0</v>
      </c>
      <c r="BB346" s="170">
        <f>IF(Escenarios!$E$17&gt;0,Observaciones!$K345,0)</f>
        <v>0</v>
      </c>
      <c r="BC346" s="170">
        <f>IF(Escenarios!$E$17&gt;0,MIN(0.0005*ETo!$M345*Escenarios!$E$17*(BG345/Constantes!$E$40)^(2/3),BG345+AY346+AZ346+BA346+BB346),0)</f>
        <v>15.780052491719323</v>
      </c>
      <c r="BD346" s="170">
        <f>IF(Escenarios!$E$17&gt;0,MIN(Constantes!$E$39*(BG345/Constantes!$E$40)^(2/3),BG345+AY346+AZ346+BA346+BB346-BC346),0)</f>
        <v>25.220490699094825</v>
      </c>
      <c r="BE346" s="170">
        <f>IF(Escenarios!$E$17&gt;0,MIN(Entradas!$E$113,BG345+AY346+AZ346+BA346+BB346-BC346-BD346),0)</f>
        <v>1</v>
      </c>
      <c r="BF346" s="170">
        <f>IF(Escenarios!$E$17&gt;0,MAX(0,BG345+AY346+AZ346+BA346+BB346-BC346-BD346-BE346-Constantes!$E$40),0)</f>
        <v>0</v>
      </c>
      <c r="BG346" s="170">
        <f t="shared" si="82"/>
        <v>1138.0593728720517</v>
      </c>
      <c r="BH346" s="170">
        <f>(Escenarios!$E$16*AK346+0.1*BC346)/(Escenarios!$E$19)</f>
        <v>1.9034795345429747</v>
      </c>
      <c r="BI346" s="170">
        <f>IF(Escenarios!$E$17&gt;0,BF346/10/Escenarios!$E$19,AL346)</f>
        <v>0</v>
      </c>
      <c r="BJ346" s="170">
        <f>(Escenarios!$E$16*AT346+0.1*BD346)/(Escenarios!$E$19)</f>
        <v>1.0008131229799534E-2</v>
      </c>
      <c r="BK346" s="76">
        <f>BK345+(0.1*BD346)/(Escenarios!$E$19)-BL345</f>
        <v>49.556568479866492</v>
      </c>
      <c r="BL346" s="76">
        <f>MAX(0,(BK346-Constantes!$D$13)*(1-EXP(-Constantes!$D$23)))</f>
        <v>7.9473113417692365E-3</v>
      </c>
      <c r="BM346" s="76">
        <f t="shared" si="78"/>
        <v>0.12325123931502578</v>
      </c>
      <c r="BN346" s="76">
        <f t="shared" si="83"/>
        <v>0.30103251258426744</v>
      </c>
      <c r="BO346" s="76">
        <f>0.0526*BI346*Observaciones!$F345^1.218</f>
        <v>0</v>
      </c>
      <c r="BP346" s="76">
        <f>BO346*Constantes!$E$51</f>
        <v>0</v>
      </c>
      <c r="BQ346" s="76">
        <f t="shared" si="79"/>
        <v>0</v>
      </c>
      <c r="BR346" s="40"/>
    </row>
    <row r="347" spans="1:70">
      <c r="A347" s="147"/>
      <c r="B347" s="39"/>
      <c r="C347" s="75">
        <v>341</v>
      </c>
      <c r="D347" s="146">
        <f>ETo!$I346*((1-Constantes!$E$19)*ETo!$K346+ETo!$L346)</f>
        <v>4.3769793262290229</v>
      </c>
      <c r="E347" s="76">
        <f>MIN(D347*Constantes!$E$17,0.8*(N346+Observaciones!$F346-F347-M347-Constantes!$D$14))</f>
        <v>2.1399590865678677</v>
      </c>
      <c r="F347" s="76">
        <f>IF(Observaciones!$F346&gt;0.05*Constantes!$E$18,((Observaciones!$F346-0.05*Constantes!$E$18)^2)/(Observaciones!$F346+0.95*Constantes!$E$18),0)</f>
        <v>0</v>
      </c>
      <c r="G347" s="76">
        <f>IF(Escenarios!$E$11&gt;0,(F347*Escenarios!$E$16*10000)/1000,0)</f>
        <v>0</v>
      </c>
      <c r="H347" s="76">
        <f>IF(Escenarios!$E$11&gt;0,(Observaciones!$F346*Constantes!$E$29)/1000,0)</f>
        <v>1</v>
      </c>
      <c r="I347" s="76">
        <f>IF(Escenarios!$E$11&gt;0,(D347*Constantes!$E$29)/1000,0)</f>
        <v>43.769793262290229</v>
      </c>
      <c r="J347" s="76">
        <f>IF(Escenarios!$E$11&gt;0,MAX(0,G347+H347-I347),0)</f>
        <v>0</v>
      </c>
      <c r="K347" s="76">
        <f>IF(Escenarios!$E$11&gt;0,IF(J347&gt;Constantes!$E$30,1000*((J347-Constantes!$E$30)/(Escenarios!$E$16*10000)),0),F347)</f>
        <v>0</v>
      </c>
      <c r="L347" s="76">
        <f>IF(Escenarios!$E$11&gt;0,I347*1000/Escenarios!$E$16/10000+E347,E347)</f>
        <v>2.1574670038727839</v>
      </c>
      <c r="M347" s="76">
        <f>MAX(0,N346+Observaciones!$F346-K347-Constantes!$D$13)</f>
        <v>0</v>
      </c>
      <c r="N347" s="76">
        <f>N346+Observaciones!$F346-K347-L347-M347-O346</f>
        <v>14.921289850340283</v>
      </c>
      <c r="O347" s="76">
        <f>MAX(0,(N347-Constantes!$D$14)*(1-EXP(-Constantes!$D$22)))</f>
        <v>0.12505760988354422</v>
      </c>
      <c r="P347" s="170">
        <f>P346+(Entradas!$E$83*M347-Q346)/(800*Entradas!$D$25)</f>
        <v>0</v>
      </c>
      <c r="Q347" s="170">
        <f>8000*Entradas!$D$26*P347/Constantes!$E$45</f>
        <v>0</v>
      </c>
      <c r="R347" s="170">
        <f>IF(Escenarios!$E$14&gt;0,K347*Escenarios!$E$13/Escenarios!$E$14,0)</f>
        <v>0</v>
      </c>
      <c r="S347" s="170">
        <f>IF(Escenarios!$E$14&gt;0,Q347*Escenarios!$E$13/Escenarios!$E$14,0)</f>
        <v>0</v>
      </c>
      <c r="T347" s="170">
        <f>IF(Escenarios!$E$14&gt;0,Observaciones!$I346,0)</f>
        <v>0</v>
      </c>
      <c r="U347" s="170">
        <f>IF(Escenarios!$E$14&gt;0,MAX(0,Constantes!$E$36/((Z346+R347+S347+T347+Observaciones!$F346)^2)+Entradas!$E$77),0)</f>
        <v>0</v>
      </c>
      <c r="V347" s="146">
        <f>IF(ETo!D346&gt;0,ETo!I346*((1-Entradas!$E$81)*ETo!K346+ETo!L346),0)</f>
        <v>4.0001220382543856</v>
      </c>
      <c r="W347" s="170">
        <f>IF(Escenarios!$E$14&gt;0,MIN(V347*1,0.8*(Z346+R347+S347+T347+Observaciones!$F346-U347-Constantes!$E$35)),0)</f>
        <v>8.0085240138856761E-2</v>
      </c>
      <c r="X347" s="170">
        <f>IF(Escenarios!$E$14&gt;0,Observaciones!$J346,0)</f>
        <v>0</v>
      </c>
      <c r="Y347" s="170">
        <f>IF(Escenarios!$E$14&gt;0,MAX(0,Z346+R347+S347+T347+Observaciones!$F346-U347-W347-X347-Constantes!$E$33),0)</f>
        <v>0</v>
      </c>
      <c r="Z347" s="170">
        <f>Z346+R347+S347+T347+Observaciones!$F346-U347-W347-Y347</f>
        <v>41.270021310034714</v>
      </c>
      <c r="AA347" s="170">
        <f>IF(Escenarios!$E$14&gt;0,(Escenarios!$E$13*L347+Escenarios!$E$14*W347)/(Escenarios!$E$16),L347)</f>
        <v>1.9081811922247127</v>
      </c>
      <c r="AB347" s="170">
        <f>IF(Escenarios!$E$14&gt;0,(Escenarios!$E$14*Y347)/(Escenarios!$E$16),K347)</f>
        <v>0</v>
      </c>
      <c r="AC347" s="170">
        <f>IF(Escenarios!$E$14&gt;0,(Escenarios!$E$13*M347+Escenarios!$E$14*U347)/(Escenarios!$E$16),M347)</f>
        <v>0</v>
      </c>
      <c r="AD347" s="76">
        <f t="shared" si="71"/>
        <v>60.336831537543958</v>
      </c>
      <c r="AE347" s="76">
        <f>MAX(0,(AD347-Constantes!$D$13)*(1-EXP(-Constantes!$D$23)))</f>
        <v>0.11416781090768005</v>
      </c>
      <c r="AF347" s="76">
        <f>AB347+O347*Escenarios!$E$13/Escenarios!$E$16+AE347</f>
        <v>0.22421850760519896</v>
      </c>
      <c r="AG347" s="76">
        <f>IF(Entradas!$E$91&gt;0,IF(AF347-Escenarios!$E$38&lt;=0,0,IF(AF347-Escenarios!$E$38&gt;Escenarios!$E$37,Escenarios!$E$37,AF347-Escenarios!$E$38)),0)</f>
        <v>0</v>
      </c>
      <c r="AH347" s="76">
        <f>AG347*Entradas!$E$99</f>
        <v>0</v>
      </c>
      <c r="AI347" s="76">
        <f>IF(Entradas!$E$91&gt;0,D347*Entradas!$D$23/Escenarios!$E$16,0)</f>
        <v>0</v>
      </c>
      <c r="AJ347" s="76">
        <f>IF(Entradas!$E$91&gt;0,Entradas!$D$24*Entradas!$D$22/Escenarios!$E$16,0)</f>
        <v>0</v>
      </c>
      <c r="AK347" s="76">
        <f t="shared" si="80"/>
        <v>1.9081811922247127</v>
      </c>
      <c r="AL347" s="76">
        <f t="shared" si="81"/>
        <v>0</v>
      </c>
      <c r="AM347" s="76">
        <f t="shared" si="72"/>
        <v>0</v>
      </c>
      <c r="AN347" s="76">
        <f>MAX(0,O347*Escenarios!$E$13/Escenarios!$E$16-AM347)</f>
        <v>0.11005069669751892</v>
      </c>
      <c r="AO347" s="76">
        <f>AM347+AN347-O347*Escenarios!$E$13/Escenarios!$E$16</f>
        <v>0</v>
      </c>
      <c r="AP347" s="76">
        <f t="shared" si="70"/>
        <v>0.11416781090768005</v>
      </c>
      <c r="AQ347" s="76">
        <f t="shared" si="73"/>
        <v>0</v>
      </c>
      <c r="AR347" s="76">
        <f t="shared" si="74"/>
        <v>0.22421850760519896</v>
      </c>
      <c r="AS347" s="76">
        <f t="shared" si="75"/>
        <v>0</v>
      </c>
      <c r="AT347" s="76">
        <f t="shared" si="76"/>
        <v>0</v>
      </c>
      <c r="AU347" s="76">
        <f t="shared" si="77"/>
        <v>48.75</v>
      </c>
      <c r="AV347" s="76">
        <f>MAX(0,(AU347-Constantes!$D$13)*(1-EXP(-Constantes!$D$24)))</f>
        <v>0</v>
      </c>
      <c r="AW347" s="170">
        <f>AW346+(Entradas!$E$112*AT347-AX346)/(800*Entradas!$D$25)</f>
        <v>0</v>
      </c>
      <c r="AX347" s="170">
        <f>8000*Entradas!$D$26*AW347/Constantes!$E$45</f>
        <v>0</v>
      </c>
      <c r="AY347" s="170">
        <f>IF(Escenarios!$E$17&gt;0,10*Escenarios!$E$16*AL347,0)</f>
        <v>0</v>
      </c>
      <c r="AZ347" s="170">
        <f>IF(Escenarios!$E$17&gt;0,10*Escenarios!$E$16*AX347,0)</f>
        <v>0</v>
      </c>
      <c r="BA347" s="170">
        <f>IF(Escenarios!$E$17&gt;0,0.001*Observaciones!$F346*Escenarios!$E$17,0)</f>
        <v>2</v>
      </c>
      <c r="BB347" s="170">
        <f>IF(Escenarios!$E$17&gt;0,Observaciones!$K346,0)</f>
        <v>0</v>
      </c>
      <c r="BC347" s="170">
        <f>IF(Escenarios!$E$17&gt;0,MIN(0.0005*ETo!$M346*Escenarios!$E$17*(BG346/Constantes!$E$40)^(2/3),BG346+AY347+AZ347+BA347+BB347),0)</f>
        <v>15.294138578479778</v>
      </c>
      <c r="BD347" s="170">
        <f>IF(Escenarios!$E$17&gt;0,MIN(Constantes!$E$39*(BG346/Constantes!$E$40)^(2/3),BG346+AY347+AZ347+BA347+BB347-BC347),0)</f>
        <v>24.618453803109492</v>
      </c>
      <c r="BE347" s="170">
        <f>IF(Escenarios!$E$17&gt;0,MIN(Entradas!$E$113,BG346+AY347+AZ347+BA347+BB347-BC347-BD347),0)</f>
        <v>1</v>
      </c>
      <c r="BF347" s="170">
        <f>IF(Escenarios!$E$17&gt;0,MAX(0,BG346+AY347+AZ347+BA347+BB347-BC347-BD347-BE347-Constantes!$E$40),0)</f>
        <v>0</v>
      </c>
      <c r="BG347" s="170">
        <f t="shared" si="82"/>
        <v>1099.1467804904623</v>
      </c>
      <c r="BH347" s="170">
        <f>(Escenarios!$E$16*AK347+0.1*BC347)/(Escenarios!$E$19)</f>
        <v>1.899105999658834</v>
      </c>
      <c r="BI347" s="170">
        <f>IF(Escenarios!$E$17&gt;0,BF347/10/Escenarios!$E$19,AL347)</f>
        <v>0</v>
      </c>
      <c r="BJ347" s="170">
        <f>(Escenarios!$E$16*AT347+0.1*BD347)/(Escenarios!$E$19)</f>
        <v>9.7692276996466237E-3</v>
      </c>
      <c r="BK347" s="76">
        <f>BK346+(0.1*BD347)/(Escenarios!$E$19)-BL346</f>
        <v>49.558390396224375</v>
      </c>
      <c r="BL347" s="76">
        <f>MAX(0,(BK347-Constantes!$D$13)*(1-EXP(-Constantes!$D$23)))</f>
        <v>7.9652631175901305E-3</v>
      </c>
      <c r="BM347" s="76">
        <f t="shared" si="78"/>
        <v>0.12213307402527018</v>
      </c>
      <c r="BN347" s="76">
        <f t="shared" si="83"/>
        <v>0.23218377072278909</v>
      </c>
      <c r="BO347" s="76">
        <f>0.0526*BI347*Observaciones!$F346^1.218</f>
        <v>0</v>
      </c>
      <c r="BP347" s="76">
        <f>BO347*Constantes!$E$51</f>
        <v>0</v>
      </c>
      <c r="BQ347" s="76">
        <f t="shared" si="79"/>
        <v>0</v>
      </c>
      <c r="BR347" s="40"/>
    </row>
    <row r="348" spans="1:70">
      <c r="A348" s="147"/>
      <c r="B348" s="39"/>
      <c r="C348" s="75">
        <v>342</v>
      </c>
      <c r="D348" s="146">
        <f>ETo!$I347*((1-Constantes!$E$19)*ETo!$K347+ETo!$L347)</f>
        <v>4.3724554282008468</v>
      </c>
      <c r="E348" s="76">
        <f>MIN(D348*Constantes!$E$17,0.8*(N347+Observaciones!$F347-F348-M348-Constantes!$D$14))</f>
        <v>2.1377472971189002</v>
      </c>
      <c r="F348" s="76">
        <f>IF(Observaciones!$F347&gt;0.05*Constantes!$E$18,((Observaciones!$F347-0.05*Constantes!$E$18)^2)/(Observaciones!$F347+0.95*Constantes!$E$18),0)</f>
        <v>0</v>
      </c>
      <c r="G348" s="76">
        <f>IF(Escenarios!$E$11&gt;0,(F348*Escenarios!$E$16*10000)/1000,0)</f>
        <v>0</v>
      </c>
      <c r="H348" s="76">
        <f>IF(Escenarios!$E$11&gt;0,(Observaciones!$F347*Constantes!$E$29)/1000,0)</f>
        <v>0</v>
      </c>
      <c r="I348" s="76">
        <f>IF(Escenarios!$E$11&gt;0,(D348*Constantes!$E$29)/1000,0)</f>
        <v>43.724554282008469</v>
      </c>
      <c r="J348" s="76">
        <f>IF(Escenarios!$E$11&gt;0,MAX(0,G348+H348-I348),0)</f>
        <v>0</v>
      </c>
      <c r="K348" s="76">
        <f>IF(Escenarios!$E$11&gt;0,IF(J348&gt;Constantes!$E$30,1000*((J348-Constantes!$E$30)/(Escenarios!$E$16*10000)),0),F348)</f>
        <v>0</v>
      </c>
      <c r="L348" s="76">
        <f>IF(Escenarios!$E$11&gt;0,I348*1000/Escenarios!$E$16/10000+E348,E348)</f>
        <v>2.1552371188317037</v>
      </c>
      <c r="M348" s="76">
        <f>MAX(0,N347+Observaciones!$F347-K348-Constantes!$D$13)</f>
        <v>0</v>
      </c>
      <c r="N348" s="76">
        <f>N347+Observaciones!$F347-K348-L348-M348-O347</f>
        <v>12.640995121625036</v>
      </c>
      <c r="O348" s="76">
        <f>MAX(0,(N348-Constantes!$D$14)*(1-EXP(-Constantes!$D$22)))</f>
        <v>4.7382400290179601E-2</v>
      </c>
      <c r="P348" s="170">
        <f>P347+(Entradas!$E$83*M348-Q347)/(800*Entradas!$D$25)</f>
        <v>0</v>
      </c>
      <c r="Q348" s="170">
        <f>8000*Entradas!$D$26*P348/Constantes!$E$45</f>
        <v>0</v>
      </c>
      <c r="R348" s="170">
        <f>IF(Escenarios!$E$14&gt;0,K348*Escenarios!$E$13/Escenarios!$E$14,0)</f>
        <v>0</v>
      </c>
      <c r="S348" s="170">
        <f>IF(Escenarios!$E$14&gt;0,Q348*Escenarios!$E$13/Escenarios!$E$14,0)</f>
        <v>0</v>
      </c>
      <c r="T348" s="170">
        <f>IF(Escenarios!$E$14&gt;0,Observaciones!$I347,0)</f>
        <v>0</v>
      </c>
      <c r="U348" s="170">
        <f>IF(Escenarios!$E$14&gt;0,MAX(0,Constantes!$E$36/((Z347+R348+S348+T348+Observaciones!$F347)^2)+Entradas!$E$77),0)</f>
        <v>0</v>
      </c>
      <c r="V348" s="146">
        <f>IF(ETo!D347&gt;0,ETo!I347*((1-Entradas!$E$81)*ETo!K347+ETo!L347),0)</f>
        <v>3.9959389091498951</v>
      </c>
      <c r="W348" s="170">
        <f>IF(Escenarios!$E$14&gt;0,MIN(V348*1,0.8*(Z347+R348+S348+T348+Observaciones!$F347-U348-Constantes!$E$35)),0)</f>
        <v>1.6017048027771354E-2</v>
      </c>
      <c r="X348" s="170">
        <f>IF(Escenarios!$E$14&gt;0,Observaciones!$J347,0)</f>
        <v>0</v>
      </c>
      <c r="Y348" s="170">
        <f>IF(Escenarios!$E$14&gt;0,MAX(0,Z347+R348+S348+T348+Observaciones!$F347-U348-W348-X348-Constantes!$E$33),0)</f>
        <v>0</v>
      </c>
      <c r="Z348" s="170">
        <f>Z347+R348+S348+T348+Observaciones!$F347-U348-W348-Y348</f>
        <v>41.254004262006944</v>
      </c>
      <c r="AA348" s="170">
        <f>IF(Escenarios!$E$14&gt;0,(Escenarios!$E$13*L348+Escenarios!$E$14*W348)/(Escenarios!$E$16),L348)</f>
        <v>1.8985307103352318</v>
      </c>
      <c r="AB348" s="170">
        <f>IF(Escenarios!$E$14&gt;0,(Escenarios!$E$14*Y348)/(Escenarios!$E$16),K348)</f>
        <v>0</v>
      </c>
      <c r="AC348" s="170">
        <f>IF(Escenarios!$E$14&gt;0,(Escenarios!$E$13*M348+Escenarios!$E$14*U348)/(Escenarios!$E$16),M348)</f>
        <v>0</v>
      </c>
      <c r="AD348" s="76">
        <f t="shared" si="71"/>
        <v>60.222663726636277</v>
      </c>
      <c r="AE348" s="76">
        <f>MAX(0,(AD348-Constantes!$D$13)*(1-EXP(-Constantes!$D$23)))</f>
        <v>0.11304288827415268</v>
      </c>
      <c r="AF348" s="76">
        <f>AB348+O348*Escenarios!$E$13/Escenarios!$E$16+AE348</f>
        <v>0.15473940052951074</v>
      </c>
      <c r="AG348" s="76">
        <f>IF(Entradas!$E$91&gt;0,IF(AF348-Escenarios!$E$38&lt;=0,0,IF(AF348-Escenarios!$E$38&gt;Escenarios!$E$37,Escenarios!$E$37,AF348-Escenarios!$E$38)),0)</f>
        <v>0</v>
      </c>
      <c r="AH348" s="76">
        <f>AG348*Entradas!$E$99</f>
        <v>0</v>
      </c>
      <c r="AI348" s="76">
        <f>IF(Entradas!$E$91&gt;0,D348*Entradas!$D$23/Escenarios!$E$16,0)</f>
        <v>0</v>
      </c>
      <c r="AJ348" s="76">
        <f>IF(Entradas!$E$91&gt;0,Entradas!$D$24*Entradas!$D$22/Escenarios!$E$16,0)</f>
        <v>0</v>
      </c>
      <c r="AK348" s="76">
        <f t="shared" si="80"/>
        <v>1.8985307103352318</v>
      </c>
      <c r="AL348" s="76">
        <f t="shared" si="81"/>
        <v>0</v>
      </c>
      <c r="AM348" s="76">
        <f t="shared" si="72"/>
        <v>0</v>
      </c>
      <c r="AN348" s="76">
        <f>MAX(0,O348*Escenarios!$E$13/Escenarios!$E$16-AM348)</f>
        <v>4.1696512255358052E-2</v>
      </c>
      <c r="AO348" s="76">
        <f>AM348+AN348-O348*Escenarios!$E$13/Escenarios!$E$16</f>
        <v>0</v>
      </c>
      <c r="AP348" s="76">
        <f t="shared" si="70"/>
        <v>0.11304288827415268</v>
      </c>
      <c r="AQ348" s="76">
        <f t="shared" si="73"/>
        <v>0</v>
      </c>
      <c r="AR348" s="76">
        <f t="shared" si="74"/>
        <v>0.15473940052951074</v>
      </c>
      <c r="AS348" s="76">
        <f t="shared" si="75"/>
        <v>0</v>
      </c>
      <c r="AT348" s="76">
        <f t="shared" si="76"/>
        <v>0</v>
      </c>
      <c r="AU348" s="76">
        <f t="shared" si="77"/>
        <v>48.75</v>
      </c>
      <c r="AV348" s="76">
        <f>MAX(0,(AU348-Constantes!$D$13)*(1-EXP(-Constantes!$D$24)))</f>
        <v>0</v>
      </c>
      <c r="AW348" s="170">
        <f>AW347+(Entradas!$E$112*AT348-AX347)/(800*Entradas!$D$25)</f>
        <v>0</v>
      </c>
      <c r="AX348" s="170">
        <f>8000*Entradas!$D$26*AW348/Constantes!$E$45</f>
        <v>0</v>
      </c>
      <c r="AY348" s="170">
        <f>IF(Escenarios!$E$17&gt;0,10*Escenarios!$E$16*AL348,0)</f>
        <v>0</v>
      </c>
      <c r="AZ348" s="170">
        <f>IF(Escenarios!$E$17&gt;0,10*Escenarios!$E$16*AX348,0)</f>
        <v>0</v>
      </c>
      <c r="BA348" s="170">
        <f>IF(Escenarios!$E$17&gt;0,0.001*Observaciones!$F347*Escenarios!$E$17,0)</f>
        <v>0</v>
      </c>
      <c r="BB348" s="170">
        <f>IF(Escenarios!$E$17&gt;0,Observaciones!$K347,0)</f>
        <v>0</v>
      </c>
      <c r="BC348" s="170">
        <f>IF(Escenarios!$E$17&gt;0,MIN(0.0005*ETo!$M347*Escenarios!$E$17*(BG347/Constantes!$E$40)^(2/3),BG347+AY348+AZ348+BA348+BB348),0)</f>
        <v>14.928281180951126</v>
      </c>
      <c r="BD348" s="170">
        <f>IF(Escenarios!$E$17&gt;0,MIN(Constantes!$E$39*(BG347/Constantes!$E$40)^(2/3),BG347+AY348+AZ348+BA348+BB348-BC348),0)</f>
        <v>24.054035880925749</v>
      </c>
      <c r="BE348" s="170">
        <f>IF(Escenarios!$E$17&gt;0,MIN(Entradas!$E$113,BG347+AY348+AZ348+BA348+BB348-BC348-BD348),0)</f>
        <v>1</v>
      </c>
      <c r="BF348" s="170">
        <f>IF(Escenarios!$E$17&gt;0,MAX(0,BG347+AY348+AZ348+BA348+BB348-BC348-BD348-BE348-Constantes!$E$40),0)</f>
        <v>0</v>
      </c>
      <c r="BG348" s="170">
        <f t="shared" si="82"/>
        <v>1059.1644634285853</v>
      </c>
      <c r="BH348" s="170">
        <f>(Escenarios!$E$16*AK348+0.1*BC348)/(Escenarios!$E$19)</f>
        <v>1.8893869273885042</v>
      </c>
      <c r="BI348" s="170">
        <f>IF(Escenarios!$E$17&gt;0,BF348/10/Escenarios!$E$19,AL348)</f>
        <v>0</v>
      </c>
      <c r="BJ348" s="170">
        <f>(Escenarios!$E$16*AT348+0.1*BD348)/(Escenarios!$E$19)</f>
        <v>9.5452523337006961E-3</v>
      </c>
      <c r="BK348" s="76">
        <f>BK347+(0.1*BD348)/(Escenarios!$E$19)-BL347</f>
        <v>49.559970385440486</v>
      </c>
      <c r="BL348" s="76">
        <f>MAX(0,(BK348-Constantes!$D$13)*(1-EXP(-Constantes!$D$23)))</f>
        <v>7.980831127660586E-3</v>
      </c>
      <c r="BM348" s="76">
        <f t="shared" si="78"/>
        <v>0.12102371940181327</v>
      </c>
      <c r="BN348" s="76">
        <f t="shared" si="83"/>
        <v>0.16272023165717134</v>
      </c>
      <c r="BO348" s="76">
        <f>0.0526*BI348*Observaciones!$F347^1.218</f>
        <v>0</v>
      </c>
      <c r="BP348" s="76">
        <f>BO348*Constantes!$E$51</f>
        <v>0</v>
      </c>
      <c r="BQ348" s="76">
        <f t="shared" si="79"/>
        <v>0</v>
      </c>
      <c r="BR348" s="40"/>
    </row>
    <row r="349" spans="1:70">
      <c r="A349" s="147"/>
      <c r="B349" s="39"/>
      <c r="C349" s="75">
        <v>343</v>
      </c>
      <c r="D349" s="146">
        <f>ETo!$I348*((1-Constantes!$E$19)*ETo!$K348+ETo!$L348)</f>
        <v>4.4995977609412208</v>
      </c>
      <c r="E349" s="76">
        <f>MIN(D349*Constantes!$E$17,0.8*(N348+Observaciones!$F348-F349-M349-Constantes!$D$14))</f>
        <v>1.1127960973000286</v>
      </c>
      <c r="F349" s="76">
        <f>IF(Observaciones!$F348&gt;0.05*Constantes!$E$18,((Observaciones!$F348-0.05*Constantes!$E$18)^2)/(Observaciones!$F348+0.95*Constantes!$E$18),0)</f>
        <v>0</v>
      </c>
      <c r="G349" s="76">
        <f>IF(Escenarios!$E$11&gt;0,(F349*Escenarios!$E$16*10000)/1000,0)</f>
        <v>0</v>
      </c>
      <c r="H349" s="76">
        <f>IF(Escenarios!$E$11&gt;0,(Observaciones!$F348*Constantes!$E$29)/1000,0)</f>
        <v>0</v>
      </c>
      <c r="I349" s="76">
        <f>IF(Escenarios!$E$11&gt;0,(D349*Constantes!$E$29)/1000,0)</f>
        <v>44.995977609412208</v>
      </c>
      <c r="J349" s="76">
        <f>IF(Escenarios!$E$11&gt;0,MAX(0,G349+H349-I349),0)</f>
        <v>0</v>
      </c>
      <c r="K349" s="76">
        <f>IF(Escenarios!$E$11&gt;0,IF(J349&gt;Constantes!$E$30,1000*((J349-Constantes!$E$30)/(Escenarios!$E$16*10000)),0),F349)</f>
        <v>0</v>
      </c>
      <c r="L349" s="76">
        <f>IF(Escenarios!$E$11&gt;0,I349*1000/Escenarios!$E$16/10000+E349,E349)</f>
        <v>1.1307944883437935</v>
      </c>
      <c r="M349" s="76">
        <f>MAX(0,N348+Observaciones!$F348-K349-Constantes!$D$13)</f>
        <v>0</v>
      </c>
      <c r="N349" s="76">
        <f>N348+Observaciones!$F348-K349-L349-M349-O348</f>
        <v>11.462818232991062</v>
      </c>
      <c r="O349" s="76">
        <f>MAX(0,(N349-Constantes!$D$14)*(1-EXP(-Constantes!$D$22)))</f>
        <v>7.2493702874030915E-3</v>
      </c>
      <c r="P349" s="170">
        <f>P348+(Entradas!$E$83*M349-Q348)/(800*Entradas!$D$25)</f>
        <v>0</v>
      </c>
      <c r="Q349" s="170">
        <f>8000*Entradas!$D$26*P349/Constantes!$E$45</f>
        <v>0</v>
      </c>
      <c r="R349" s="170">
        <f>IF(Escenarios!$E$14&gt;0,K349*Escenarios!$E$13/Escenarios!$E$14,0)</f>
        <v>0</v>
      </c>
      <c r="S349" s="170">
        <f>IF(Escenarios!$E$14&gt;0,Q349*Escenarios!$E$13/Escenarios!$E$14,0)</f>
        <v>0</v>
      </c>
      <c r="T349" s="170">
        <f>IF(Escenarios!$E$14&gt;0,Observaciones!$I348,0)</f>
        <v>0</v>
      </c>
      <c r="U349" s="170">
        <f>IF(Escenarios!$E$14&gt;0,MAX(0,Constantes!$E$36/((Z348+R349+S349+T349+Observaciones!$F348)^2)+Entradas!$E$77),0)</f>
        <v>0</v>
      </c>
      <c r="V349" s="146">
        <f>IF(ETo!D348&gt;0,ETo!I348*((1-Entradas!$E$81)*ETo!K348+ETo!L348),0)</f>
        <v>4.1136820891725847</v>
      </c>
      <c r="W349" s="170">
        <f>IF(Escenarios!$E$14&gt;0,MIN(V349*1,0.8*(Z348+R349+S349+T349+Observaciones!$F348-U349-Constantes!$E$35)),0)</f>
        <v>3.2034096055554074E-3</v>
      </c>
      <c r="X349" s="170">
        <f>IF(Escenarios!$E$14&gt;0,Observaciones!$J348,0)</f>
        <v>0</v>
      </c>
      <c r="Y349" s="170">
        <f>IF(Escenarios!$E$14&gt;0,MAX(0,Z348+R349+S349+T349+Observaciones!$F348-U349-W349-X349-Constantes!$E$33),0)</f>
        <v>0</v>
      </c>
      <c r="Z349" s="170">
        <f>Z348+R349+S349+T349+Observaciones!$F348-U349-W349-Y349</f>
        <v>41.25080085240139</v>
      </c>
      <c r="AA349" s="170">
        <f>IF(Escenarios!$E$14&gt;0,(Escenarios!$E$13*L349+Escenarios!$E$14*W349)/(Escenarios!$E$16),L349)</f>
        <v>0.99548355889520501</v>
      </c>
      <c r="AB349" s="170">
        <f>IF(Escenarios!$E$14&gt;0,(Escenarios!$E$14*Y349)/(Escenarios!$E$16),K349)</f>
        <v>0</v>
      </c>
      <c r="AC349" s="170">
        <f>IF(Escenarios!$E$14&gt;0,(Escenarios!$E$13*M349+Escenarios!$E$14*U349)/(Escenarios!$E$16),M349)</f>
        <v>0</v>
      </c>
      <c r="AD349" s="76">
        <f t="shared" si="71"/>
        <v>60.109620838362126</v>
      </c>
      <c r="AE349" s="76">
        <f>MAX(0,(AD349-Constantes!$D$13)*(1-EXP(-Constantes!$D$23)))</f>
        <v>0.11192904977126918</v>
      </c>
      <c r="AF349" s="76">
        <f>AB349+O349*Escenarios!$E$13/Escenarios!$E$16+AE349</f>
        <v>0.1183084956241839</v>
      </c>
      <c r="AG349" s="76">
        <f>IF(Entradas!$E$91&gt;0,IF(AF349-Escenarios!$E$38&lt;=0,0,IF(AF349-Escenarios!$E$38&gt;Escenarios!$E$37,Escenarios!$E$37,AF349-Escenarios!$E$38)),0)</f>
        <v>0</v>
      </c>
      <c r="AH349" s="76">
        <f>AG349*Entradas!$E$99</f>
        <v>0</v>
      </c>
      <c r="AI349" s="76">
        <f>IF(Entradas!$E$91&gt;0,D349*Entradas!$D$23/Escenarios!$E$16,0)</f>
        <v>0</v>
      </c>
      <c r="AJ349" s="76">
        <f>IF(Entradas!$E$91&gt;0,Entradas!$D$24*Entradas!$D$22/Escenarios!$E$16,0)</f>
        <v>0</v>
      </c>
      <c r="AK349" s="76">
        <f t="shared" si="80"/>
        <v>0.99548355889520501</v>
      </c>
      <c r="AL349" s="76">
        <f t="shared" si="81"/>
        <v>0</v>
      </c>
      <c r="AM349" s="76">
        <f t="shared" si="72"/>
        <v>0</v>
      </c>
      <c r="AN349" s="76">
        <f>MAX(0,O349*Escenarios!$E$13/Escenarios!$E$16-AM349)</f>
        <v>6.3794458529147207E-3</v>
      </c>
      <c r="AO349" s="76">
        <f>AM349+AN349-O349*Escenarios!$E$13/Escenarios!$E$16</f>
        <v>0</v>
      </c>
      <c r="AP349" s="76">
        <f t="shared" si="70"/>
        <v>0.11192904977126918</v>
      </c>
      <c r="AQ349" s="76">
        <f t="shared" si="73"/>
        <v>0</v>
      </c>
      <c r="AR349" s="76">
        <f t="shared" si="74"/>
        <v>0.1183084956241839</v>
      </c>
      <c r="AS349" s="76">
        <f t="shared" si="75"/>
        <v>0</v>
      </c>
      <c r="AT349" s="76">
        <f t="shared" si="76"/>
        <v>0</v>
      </c>
      <c r="AU349" s="76">
        <f t="shared" si="77"/>
        <v>48.75</v>
      </c>
      <c r="AV349" s="76">
        <f>MAX(0,(AU349-Constantes!$D$13)*(1-EXP(-Constantes!$D$24)))</f>
        <v>0</v>
      </c>
      <c r="AW349" s="170">
        <f>AW348+(Entradas!$E$112*AT349-AX348)/(800*Entradas!$D$25)</f>
        <v>0</v>
      </c>
      <c r="AX349" s="170">
        <f>8000*Entradas!$D$26*AW349/Constantes!$E$45</f>
        <v>0</v>
      </c>
      <c r="AY349" s="170">
        <f>IF(Escenarios!$E$17&gt;0,10*Escenarios!$E$16*AL349,0)</f>
        <v>0</v>
      </c>
      <c r="AZ349" s="170">
        <f>IF(Escenarios!$E$17&gt;0,10*Escenarios!$E$16*AX349,0)</f>
        <v>0</v>
      </c>
      <c r="BA349" s="170">
        <f>IF(Escenarios!$E$17&gt;0,0.001*Observaciones!$F348*Escenarios!$E$17,0)</f>
        <v>0</v>
      </c>
      <c r="BB349" s="170">
        <f>IF(Escenarios!$E$17&gt;0,Observaciones!$K348,0)</f>
        <v>0</v>
      </c>
      <c r="BC349" s="170">
        <f>IF(Escenarios!$E$17&gt;0,MIN(0.0005*ETo!$M348*Escenarios!$E$17*(BG348/Constantes!$E$40)^(2/3),BG348+AY349+AZ349+BA349+BB349),0)</f>
        <v>14.980373993980935</v>
      </c>
      <c r="BD349" s="170">
        <f>IF(Escenarios!$E$17&gt;0,MIN(Constantes!$E$39*(BG348/Constantes!$E$40)^(2/3),BG348+AY349+AZ349+BA349+BB349-BC349),0)</f>
        <v>23.467118179540325</v>
      </c>
      <c r="BE349" s="170">
        <f>IF(Escenarios!$E$17&gt;0,MIN(Entradas!$E$113,BG348+AY349+AZ349+BA349+BB349-BC349-BD349),0)</f>
        <v>1</v>
      </c>
      <c r="BF349" s="170">
        <f>IF(Escenarios!$E$17&gt;0,MAX(0,BG348+AY349+AZ349+BA349+BB349-BC349-BD349-BE349-Constantes!$E$40),0)</f>
        <v>0</v>
      </c>
      <c r="BG349" s="170">
        <f t="shared" si="82"/>
        <v>1019.7169712550641</v>
      </c>
      <c r="BH349" s="170">
        <f>(Escenarios!$E$16*AK349+0.1*BC349)/(Escenarios!$E$19)</f>
        <v>0.99352748858412432</v>
      </c>
      <c r="BI349" s="170">
        <f>IF(Escenarios!$E$17&gt;0,BF349/10/Escenarios!$E$19,AL349)</f>
        <v>0</v>
      </c>
      <c r="BJ349" s="170">
        <f>(Escenarios!$E$16*AT349+0.1*BD349)/(Escenarios!$E$19)</f>
        <v>9.3123484839445735E-3</v>
      </c>
      <c r="BK349" s="76">
        <f>BK348+(0.1*BD349)/(Escenarios!$E$19)-BL348</f>
        <v>49.561301902796771</v>
      </c>
      <c r="BL349" s="76">
        <f>MAX(0,(BK349-Constantes!$D$13)*(1-EXP(-Constantes!$D$23)))</f>
        <v>7.993950885314783E-3</v>
      </c>
      <c r="BM349" s="76">
        <f t="shared" si="78"/>
        <v>0.11992300065658396</v>
      </c>
      <c r="BN349" s="76">
        <f t="shared" si="83"/>
        <v>0.12630244650949868</v>
      </c>
      <c r="BO349" s="76">
        <f>0.0526*BI349*Observaciones!$F348^1.218</f>
        <v>0</v>
      </c>
      <c r="BP349" s="76">
        <f>BO349*Constantes!$E$51</f>
        <v>0</v>
      </c>
      <c r="BQ349" s="76">
        <f t="shared" si="79"/>
        <v>0</v>
      </c>
      <c r="BR349" s="40"/>
    </row>
    <row r="350" spans="1:70">
      <c r="A350" s="147"/>
      <c r="B350" s="39"/>
      <c r="C350" s="75">
        <v>344</v>
      </c>
      <c r="D350" s="146">
        <f>ETo!$I349*((1-Constantes!$E$19)*ETo!$K349+ETo!$L349)</f>
        <v>4.1951435456963937</v>
      </c>
      <c r="E350" s="76">
        <f>MIN(D350*Constantes!$E$17,0.8*(N349+Observaciones!$F349-F350-M350-Constantes!$D$14))</f>
        <v>0.17025458639284921</v>
      </c>
      <c r="F350" s="76">
        <f>IF(Observaciones!$F349&gt;0.05*Constantes!$E$18,((Observaciones!$F349-0.05*Constantes!$E$18)^2)/(Observaciones!$F349+0.95*Constantes!$E$18),0)</f>
        <v>0</v>
      </c>
      <c r="G350" s="76">
        <f>IF(Escenarios!$E$11&gt;0,(F350*Escenarios!$E$16*10000)/1000,0)</f>
        <v>0</v>
      </c>
      <c r="H350" s="76">
        <f>IF(Escenarios!$E$11&gt;0,(Observaciones!$F349*Constantes!$E$29)/1000,0)</f>
        <v>0</v>
      </c>
      <c r="I350" s="76">
        <f>IF(Escenarios!$E$11&gt;0,(D350*Constantes!$E$29)/1000,0)</f>
        <v>41.951435456963942</v>
      </c>
      <c r="J350" s="76">
        <f>IF(Escenarios!$E$11&gt;0,MAX(0,G350+H350-I350),0)</f>
        <v>0</v>
      </c>
      <c r="K350" s="76">
        <f>IF(Escenarios!$E$11&gt;0,IF(J350&gt;Constantes!$E$30,1000*((J350-Constantes!$E$30)/(Escenarios!$E$16*10000)),0),F350)</f>
        <v>0</v>
      </c>
      <c r="L350" s="76">
        <f>IF(Escenarios!$E$11&gt;0,I350*1000/Escenarios!$E$16/10000+E350,E350)</f>
        <v>0.1870351605756348</v>
      </c>
      <c r="M350" s="76">
        <f>MAX(0,N349+Observaciones!$F349-K350-Constantes!$D$13)</f>
        <v>0</v>
      </c>
      <c r="N350" s="76">
        <f>N349+Observaciones!$F349-K350-L350-M350-O349</f>
        <v>11.268533702128025</v>
      </c>
      <c r="O350" s="76">
        <f>MAX(0,(N350-Constantes!$D$14)*(1-EXP(-Constantes!$D$22)))</f>
        <v>6.3132593309392403E-4</v>
      </c>
      <c r="P350" s="170">
        <f>P349+(Entradas!$E$83*M350-Q349)/(800*Entradas!$D$25)</f>
        <v>0</v>
      </c>
      <c r="Q350" s="170">
        <f>8000*Entradas!$D$26*P350/Constantes!$E$45</f>
        <v>0</v>
      </c>
      <c r="R350" s="170">
        <f>IF(Escenarios!$E$14&gt;0,K350*Escenarios!$E$13/Escenarios!$E$14,0)</f>
        <v>0</v>
      </c>
      <c r="S350" s="170">
        <f>IF(Escenarios!$E$14&gt;0,Q350*Escenarios!$E$13/Escenarios!$E$14,0)</f>
        <v>0</v>
      </c>
      <c r="T350" s="170">
        <f>IF(Escenarios!$E$14&gt;0,Observaciones!$I349,0)</f>
        <v>0</v>
      </c>
      <c r="U350" s="170">
        <f>IF(Escenarios!$E$14&gt;0,MAX(0,Constantes!$E$36/((Z349+R350+S350+T350+Observaciones!$F349)^2)+Entradas!$E$77),0)</f>
        <v>0</v>
      </c>
      <c r="V350" s="146">
        <f>IF(ETo!D349&gt;0,ETo!I349*((1-Entradas!$E$81)*ETo!K349+ETo!L349),0)</f>
        <v>3.8323175538289558</v>
      </c>
      <c r="W350" s="170">
        <f>IF(Escenarios!$E$14&gt;0,MIN(V350*1,0.8*(Z349+R350+S350+T350+Observaciones!$F349-U350-Constantes!$E$35)),0)</f>
        <v>6.4068192111221833E-4</v>
      </c>
      <c r="X350" s="170">
        <f>IF(Escenarios!$E$14&gt;0,Observaciones!$J349,0)</f>
        <v>0</v>
      </c>
      <c r="Y350" s="170">
        <f>IF(Escenarios!$E$14&gt;0,MAX(0,Z349+R350+S350+T350+Observaciones!$F349-U350-W350-X350-Constantes!$E$33),0)</f>
        <v>0</v>
      </c>
      <c r="Z350" s="170">
        <f>Z349+R350+S350+T350+Observaciones!$F349-U350-W350-Y350</f>
        <v>41.250160170480278</v>
      </c>
      <c r="AA350" s="170">
        <f>IF(Escenarios!$E$14&gt;0,(Escenarios!$E$13*L350+Escenarios!$E$14*W350)/(Escenarios!$E$16),L350)</f>
        <v>0.16466782313709208</v>
      </c>
      <c r="AB350" s="170">
        <f>IF(Escenarios!$E$14&gt;0,(Escenarios!$E$14*Y350)/(Escenarios!$E$16),K350)</f>
        <v>0</v>
      </c>
      <c r="AC350" s="170">
        <f>IF(Escenarios!$E$14&gt;0,(Escenarios!$E$13*M350+Escenarios!$E$14*U350)/(Escenarios!$E$16),M350)</f>
        <v>0</v>
      </c>
      <c r="AD350" s="76">
        <f t="shared" si="71"/>
        <v>59.997691788590856</v>
      </c>
      <c r="AE350" s="76">
        <f>MAX(0,(AD350-Constantes!$D$13)*(1-EXP(-Constantes!$D$23)))</f>
        <v>0.11082618618445023</v>
      </c>
      <c r="AF350" s="76">
        <f>AB350+O350*Escenarios!$E$13/Escenarios!$E$16+AE350</f>
        <v>0.11138175300557288</v>
      </c>
      <c r="AG350" s="76">
        <f>IF(Entradas!$E$91&gt;0,IF(AF350-Escenarios!$E$38&lt;=0,0,IF(AF350-Escenarios!$E$38&gt;Escenarios!$E$37,Escenarios!$E$37,AF350-Escenarios!$E$38)),0)</f>
        <v>0</v>
      </c>
      <c r="AH350" s="76">
        <f>AG350*Entradas!$E$99</f>
        <v>0</v>
      </c>
      <c r="AI350" s="76">
        <f>IF(Entradas!$E$91&gt;0,D350*Entradas!$D$23/Escenarios!$E$16,0)</f>
        <v>0</v>
      </c>
      <c r="AJ350" s="76">
        <f>IF(Entradas!$E$91&gt;0,Entradas!$D$24*Entradas!$D$22/Escenarios!$E$16,0)</f>
        <v>0</v>
      </c>
      <c r="AK350" s="76">
        <f t="shared" si="80"/>
        <v>0.16466782313709208</v>
      </c>
      <c r="AL350" s="76">
        <f t="shared" si="81"/>
        <v>0</v>
      </c>
      <c r="AM350" s="76">
        <f t="shared" si="72"/>
        <v>0</v>
      </c>
      <c r="AN350" s="76">
        <f>MAX(0,O350*Escenarios!$E$13/Escenarios!$E$16-AM350)</f>
        <v>5.5556682112265312E-4</v>
      </c>
      <c r="AO350" s="76">
        <f>AM350+AN350-O350*Escenarios!$E$13/Escenarios!$E$16</f>
        <v>0</v>
      </c>
      <c r="AP350" s="76">
        <f t="shared" si="70"/>
        <v>0.11082618618445023</v>
      </c>
      <c r="AQ350" s="76">
        <f t="shared" si="73"/>
        <v>0</v>
      </c>
      <c r="AR350" s="76">
        <f t="shared" si="74"/>
        <v>0.11138175300557288</v>
      </c>
      <c r="AS350" s="76">
        <f t="shared" si="75"/>
        <v>0</v>
      </c>
      <c r="AT350" s="76">
        <f t="shared" si="76"/>
        <v>0</v>
      </c>
      <c r="AU350" s="76">
        <f t="shared" si="77"/>
        <v>48.75</v>
      </c>
      <c r="AV350" s="76">
        <f>MAX(0,(AU350-Constantes!$D$13)*(1-EXP(-Constantes!$D$24)))</f>
        <v>0</v>
      </c>
      <c r="AW350" s="170">
        <f>AW349+(Entradas!$E$112*AT350-AX349)/(800*Entradas!$D$25)</f>
        <v>0</v>
      </c>
      <c r="AX350" s="170">
        <f>8000*Entradas!$D$26*AW350/Constantes!$E$45</f>
        <v>0</v>
      </c>
      <c r="AY350" s="170">
        <f>IF(Escenarios!$E$17&gt;0,10*Escenarios!$E$16*AL350,0)</f>
        <v>0</v>
      </c>
      <c r="AZ350" s="170">
        <f>IF(Escenarios!$E$17&gt;0,10*Escenarios!$E$16*AX350,0)</f>
        <v>0</v>
      </c>
      <c r="BA350" s="170">
        <f>IF(Escenarios!$E$17&gt;0,0.001*Observaciones!$F349*Escenarios!$E$17,0)</f>
        <v>0</v>
      </c>
      <c r="BB350" s="170">
        <f>IF(Escenarios!$E$17&gt;0,Observaciones!$K349,0)</f>
        <v>0</v>
      </c>
      <c r="BC350" s="170">
        <f>IF(Escenarios!$E$17&gt;0,MIN(0.0005*ETo!$M349*Escenarios!$E$17*(BG349/Constantes!$E$40)^(2/3),BG349+AY350+AZ350+BA350+BB350),0)</f>
        <v>13.631391561198893</v>
      </c>
      <c r="BD350" s="170">
        <f>IF(Escenarios!$E$17&gt;0,MIN(Constantes!$E$39*(BG349/Constantes!$E$40)^(2/3),BG349+AY350+AZ350+BA350+BB350-BC350),0)</f>
        <v>22.880767667194938</v>
      </c>
      <c r="BE350" s="170">
        <f>IF(Escenarios!$E$17&gt;0,MIN(Entradas!$E$113,BG349+AY350+AZ350+BA350+BB350-BC350-BD350),0)</f>
        <v>1</v>
      </c>
      <c r="BF350" s="170">
        <f>IF(Escenarios!$E$17&gt;0,MAX(0,BG349+AY350+AZ350+BA350+BB350-BC350-BD350-BE350-Constantes!$E$40),0)</f>
        <v>0</v>
      </c>
      <c r="BG350" s="170">
        <f t="shared" si="82"/>
        <v>982.2048120266702</v>
      </c>
      <c r="BH350" s="170">
        <f>(Escenarios!$E$16*AK350+0.1*BC350)/(Escenarios!$E$19)</f>
        <v>0.16877021801743219</v>
      </c>
      <c r="BI350" s="170">
        <f>IF(Escenarios!$E$17&gt;0,BF350/10/Escenarios!$E$19,AL350)</f>
        <v>0</v>
      </c>
      <c r="BJ350" s="170">
        <f>(Escenarios!$E$16*AT350+0.1*BD350)/(Escenarios!$E$19)</f>
        <v>9.0796697092043414E-3</v>
      </c>
      <c r="BK350" s="76">
        <f>BK349+(0.1*BD350)/(Escenarios!$E$19)-BL349</f>
        <v>49.562387621620658</v>
      </c>
      <c r="BL350" s="76">
        <f>MAX(0,(BK350-Constantes!$D$13)*(1-EXP(-Constantes!$D$23)))</f>
        <v>8.0046487314846208E-3</v>
      </c>
      <c r="BM350" s="76">
        <f t="shared" si="78"/>
        <v>0.11883083491593485</v>
      </c>
      <c r="BN350" s="76">
        <f t="shared" si="83"/>
        <v>0.1193864017370575</v>
      </c>
      <c r="BO350" s="76">
        <f>0.0526*BI350*Observaciones!$F349^1.218</f>
        <v>0</v>
      </c>
      <c r="BP350" s="76">
        <f>BO350*Constantes!$E$51</f>
        <v>0</v>
      </c>
      <c r="BQ350" s="76">
        <f t="shared" si="79"/>
        <v>0</v>
      </c>
      <c r="BR350" s="40"/>
    </row>
    <row r="351" spans="1:70">
      <c r="A351" s="147"/>
      <c r="B351" s="39"/>
      <c r="C351" s="75">
        <v>345</v>
      </c>
      <c r="D351" s="146">
        <f>ETo!$I350*((1-Constantes!$E$19)*ETo!$K350+ETo!$L350)</f>
        <v>4.4314662566210785</v>
      </c>
      <c r="E351" s="76">
        <f>MIN(D351*Constantes!$E$17,0.8*(N350+Observaciones!$F350-F351-M351-Constantes!$D$14))</f>
        <v>1.4826961702419796E-2</v>
      </c>
      <c r="F351" s="76">
        <f>IF(Observaciones!$F350&gt;0.05*Constantes!$E$18,((Observaciones!$F350-0.05*Constantes!$E$18)^2)/(Observaciones!$F350+0.95*Constantes!$E$18),0)</f>
        <v>0</v>
      </c>
      <c r="G351" s="76">
        <f>IF(Escenarios!$E$11&gt;0,(F351*Escenarios!$E$16*10000)/1000,0)</f>
        <v>0</v>
      </c>
      <c r="H351" s="76">
        <f>IF(Escenarios!$E$11&gt;0,(Observaciones!$F350*Constantes!$E$29)/1000,0)</f>
        <v>0</v>
      </c>
      <c r="I351" s="76">
        <f>IF(Escenarios!$E$11&gt;0,(D351*Constantes!$E$29)/1000,0)</f>
        <v>44.314662566210785</v>
      </c>
      <c r="J351" s="76">
        <f>IF(Escenarios!$E$11&gt;0,MAX(0,G351+H351-I351),0)</f>
        <v>0</v>
      </c>
      <c r="K351" s="76">
        <f>IF(Escenarios!$E$11&gt;0,IF(J351&gt;Constantes!$E$30,1000*((J351-Constantes!$E$30)/(Escenarios!$E$16*10000)),0),F351)</f>
        <v>0</v>
      </c>
      <c r="L351" s="76">
        <f>IF(Escenarios!$E$11&gt;0,I351*1000/Escenarios!$E$16/10000+E351,E351)</f>
        <v>3.2552826728904111E-2</v>
      </c>
      <c r="M351" s="76">
        <f>MAX(0,N350+Observaciones!$F350-K351-Constantes!$D$13)</f>
        <v>0</v>
      </c>
      <c r="N351" s="76">
        <f>N350+Observaciones!$F350-K351-L351-M351-O350</f>
        <v>11.235349549466026</v>
      </c>
      <c r="O351" s="76">
        <f>MAX(0,(N351-Constantes!$D$14)*(1-EXP(-Constantes!$D$22)))</f>
        <v>0</v>
      </c>
      <c r="P351" s="170">
        <f>P350+(Entradas!$E$83*M351-Q350)/(800*Entradas!$D$25)</f>
        <v>0</v>
      </c>
      <c r="Q351" s="170">
        <f>8000*Entradas!$D$26*P351/Constantes!$E$45</f>
        <v>0</v>
      </c>
      <c r="R351" s="170">
        <f>IF(Escenarios!$E$14&gt;0,K351*Escenarios!$E$13/Escenarios!$E$14,0)</f>
        <v>0</v>
      </c>
      <c r="S351" s="170">
        <f>IF(Escenarios!$E$14&gt;0,Q351*Escenarios!$E$13/Escenarios!$E$14,0)</f>
        <v>0</v>
      </c>
      <c r="T351" s="170">
        <f>IF(Escenarios!$E$14&gt;0,Observaciones!$I350,0)</f>
        <v>0</v>
      </c>
      <c r="U351" s="170">
        <f>IF(Escenarios!$E$14&gt;0,MAX(0,Constantes!$E$36/((Z350+R351+S351+T351+Observaciones!$F350)^2)+Entradas!$E$77),0)</f>
        <v>0</v>
      </c>
      <c r="V351" s="146">
        <f>IF(ETo!D350&gt;0,ETo!I350*((1-Entradas!$E$81)*ETo!K350+ETo!L350),0)</f>
        <v>4.0505423551994699</v>
      </c>
      <c r="W351" s="170">
        <f>IF(Escenarios!$E$14&gt;0,MIN(V351*1,0.8*(Z350+R351+S351+T351+Observaciones!$F350-U351-Constantes!$E$35)),0)</f>
        <v>1.2813638422244368E-4</v>
      </c>
      <c r="X351" s="170">
        <f>IF(Escenarios!$E$14&gt;0,Observaciones!$J350,0)</f>
        <v>0</v>
      </c>
      <c r="Y351" s="170">
        <f>IF(Escenarios!$E$14&gt;0,MAX(0,Z350+R351+S351+T351+Observaciones!$F350-U351-W351-X351-Constantes!$E$33),0)</f>
        <v>0</v>
      </c>
      <c r="Z351" s="170">
        <f>Z350+R351+S351+T351+Observaciones!$F350-U351-W351-Y351</f>
        <v>41.250032034096058</v>
      </c>
      <c r="AA351" s="170">
        <f>IF(Escenarios!$E$14&gt;0,(Escenarios!$E$13*L351+Escenarios!$E$14*W351)/(Escenarios!$E$16),L351)</f>
        <v>2.866186388754231E-2</v>
      </c>
      <c r="AB351" s="170">
        <f>IF(Escenarios!$E$14&gt;0,(Escenarios!$E$14*Y351)/(Escenarios!$E$16),K351)</f>
        <v>0</v>
      </c>
      <c r="AC351" s="170">
        <f>IF(Escenarios!$E$14&gt;0,(Escenarios!$E$13*M351+Escenarios!$E$14*U351)/(Escenarios!$E$16),M351)</f>
        <v>0</v>
      </c>
      <c r="AD351" s="76">
        <f t="shared" si="71"/>
        <v>59.886865602406409</v>
      </c>
      <c r="AE351" s="76">
        <f>MAX(0,(AD351-Constantes!$D$13)*(1-EXP(-Constantes!$D$23)))</f>
        <v>0.1097341893752339</v>
      </c>
      <c r="AF351" s="76">
        <f>AB351+O351*Escenarios!$E$13/Escenarios!$E$16+AE351</f>
        <v>0.1097341893752339</v>
      </c>
      <c r="AG351" s="76">
        <f>IF(Entradas!$E$91&gt;0,IF(AF351-Escenarios!$E$38&lt;=0,0,IF(AF351-Escenarios!$E$38&gt;Escenarios!$E$37,Escenarios!$E$37,AF351-Escenarios!$E$38)),0)</f>
        <v>0</v>
      </c>
      <c r="AH351" s="76">
        <f>AG351*Entradas!$E$99</f>
        <v>0</v>
      </c>
      <c r="AI351" s="76">
        <f>IF(Entradas!$E$91&gt;0,D351*Entradas!$D$23/Escenarios!$E$16,0)</f>
        <v>0</v>
      </c>
      <c r="AJ351" s="76">
        <f>IF(Entradas!$E$91&gt;0,Entradas!$D$24*Entradas!$D$22/Escenarios!$E$16,0)</f>
        <v>0</v>
      </c>
      <c r="AK351" s="76">
        <f t="shared" si="80"/>
        <v>2.866186388754231E-2</v>
      </c>
      <c r="AL351" s="76">
        <f t="shared" si="81"/>
        <v>0</v>
      </c>
      <c r="AM351" s="76">
        <f t="shared" si="72"/>
        <v>0</v>
      </c>
      <c r="AN351" s="76">
        <f>MAX(0,O351*Escenarios!$E$13/Escenarios!$E$16-AM351)</f>
        <v>0</v>
      </c>
      <c r="AO351" s="76">
        <f>AM351+AN351-O351*Escenarios!$E$13/Escenarios!$E$16</f>
        <v>0</v>
      </c>
      <c r="AP351" s="76">
        <f t="shared" si="70"/>
        <v>0.1097341893752339</v>
      </c>
      <c r="AQ351" s="76">
        <f t="shared" si="73"/>
        <v>0</v>
      </c>
      <c r="AR351" s="76">
        <f t="shared" si="74"/>
        <v>0.1097341893752339</v>
      </c>
      <c r="AS351" s="76">
        <f t="shared" si="75"/>
        <v>0</v>
      </c>
      <c r="AT351" s="76">
        <f t="shared" si="76"/>
        <v>0</v>
      </c>
      <c r="AU351" s="76">
        <f t="shared" si="77"/>
        <v>48.75</v>
      </c>
      <c r="AV351" s="76">
        <f>MAX(0,(AU351-Constantes!$D$13)*(1-EXP(-Constantes!$D$24)))</f>
        <v>0</v>
      </c>
      <c r="AW351" s="170">
        <f>AW350+(Entradas!$E$112*AT351-AX350)/(800*Entradas!$D$25)</f>
        <v>0</v>
      </c>
      <c r="AX351" s="170">
        <f>8000*Entradas!$D$26*AW351/Constantes!$E$45</f>
        <v>0</v>
      </c>
      <c r="AY351" s="170">
        <f>IF(Escenarios!$E$17&gt;0,10*Escenarios!$E$16*AL351,0)</f>
        <v>0</v>
      </c>
      <c r="AZ351" s="170">
        <f>IF(Escenarios!$E$17&gt;0,10*Escenarios!$E$16*AX351,0)</f>
        <v>0</v>
      </c>
      <c r="BA351" s="170">
        <f>IF(Escenarios!$E$17&gt;0,0.001*Observaciones!$F350*Escenarios!$E$17,0)</f>
        <v>0</v>
      </c>
      <c r="BB351" s="170">
        <f>IF(Escenarios!$E$17&gt;0,Observaciones!$K350,0)</f>
        <v>0</v>
      </c>
      <c r="BC351" s="170">
        <f>IF(Escenarios!$E$17&gt;0,MIN(0.0005*ETo!$M350*Escenarios!$E$17*(BG350/Constantes!$E$40)^(2/3),BG350+AY351+AZ351+BA351+BB351),0)</f>
        <v>14.033668541273249</v>
      </c>
      <c r="BD351" s="170">
        <f>IF(Escenarios!$E$17&gt;0,MIN(Constantes!$E$39*(BG350/Constantes!$E$40)^(2/3),BG350+AY351+AZ351+BA351+BB351-BC351),0)</f>
        <v>22.316129076028652</v>
      </c>
      <c r="BE351" s="170">
        <f>IF(Escenarios!$E$17&gt;0,MIN(Entradas!$E$113,BG350+AY351+AZ351+BA351+BB351-BC351-BD351),0)</f>
        <v>1</v>
      </c>
      <c r="BF351" s="170">
        <f>IF(Escenarios!$E$17&gt;0,MAX(0,BG350+AY351+AZ351+BA351+BB351-BC351-BD351-BE351-Constantes!$E$40),0)</f>
        <v>0</v>
      </c>
      <c r="BG351" s="170">
        <f t="shared" si="82"/>
        <v>944.85501440936821</v>
      </c>
      <c r="BH351" s="170">
        <f>(Escenarios!$E$16*AK351+0.1*BC351)/(Escenarios!$E$19)</f>
        <v>3.4003304865130569E-2</v>
      </c>
      <c r="BI351" s="170">
        <f>IF(Escenarios!$E$17&gt;0,BF351/10/Escenarios!$E$19,AL351)</f>
        <v>0</v>
      </c>
      <c r="BJ351" s="170">
        <f>(Escenarios!$E$16*AT351+0.1*BD351)/(Escenarios!$E$19)</f>
        <v>8.8556067762018478E-3</v>
      </c>
      <c r="BK351" s="76">
        <f>BK350+(0.1*BD351)/(Escenarios!$E$19)-BL350</f>
        <v>49.563238579665374</v>
      </c>
      <c r="BL351" s="76">
        <f>MAX(0,(BK351-Constantes!$D$13)*(1-EXP(-Constantes!$D$23)))</f>
        <v>8.0130334237816167E-3</v>
      </c>
      <c r="BM351" s="76">
        <f t="shared" si="78"/>
        <v>0.11774722279901551</v>
      </c>
      <c r="BN351" s="76">
        <f t="shared" si="83"/>
        <v>0.11774722279901551</v>
      </c>
      <c r="BO351" s="76">
        <f>0.0526*BI351*Observaciones!$F350^1.218</f>
        <v>0</v>
      </c>
      <c r="BP351" s="76">
        <f>BO351*Constantes!$E$51</f>
        <v>0</v>
      </c>
      <c r="BQ351" s="76">
        <f t="shared" si="79"/>
        <v>0</v>
      </c>
      <c r="BR351" s="40"/>
    </row>
    <row r="352" spans="1:70">
      <c r="A352" s="147"/>
      <c r="B352" s="39"/>
      <c r="C352" s="75">
        <v>346</v>
      </c>
      <c r="D352" s="146">
        <f>ETo!$I351*((1-Constantes!$E$19)*ETo!$K351+ETo!$L351)</f>
        <v>4.3496971563559423</v>
      </c>
      <c r="E352" s="76">
        <f>MIN(D352*Constantes!$E$17,0.8*(N351+Observaciones!$F351-F352-M352-Constantes!$D$14))</f>
        <v>-1.1720360427179345E-2</v>
      </c>
      <c r="F352" s="76">
        <f>IF(Observaciones!$F351&gt;0.05*Constantes!$E$18,((Observaciones!$F351-0.05*Constantes!$E$18)^2)/(Observaciones!$F351+0.95*Constantes!$E$18),0)</f>
        <v>0</v>
      </c>
      <c r="G352" s="76">
        <f>IF(Escenarios!$E$11&gt;0,(F352*Escenarios!$E$16*10000)/1000,0)</f>
        <v>0</v>
      </c>
      <c r="H352" s="76">
        <f>IF(Escenarios!$E$11&gt;0,(Observaciones!$F351*Constantes!$E$29)/1000,0)</f>
        <v>0</v>
      </c>
      <c r="I352" s="76">
        <f>IF(Escenarios!$E$11&gt;0,(D352*Constantes!$E$29)/1000,0)</f>
        <v>43.496971563559427</v>
      </c>
      <c r="J352" s="76">
        <f>IF(Escenarios!$E$11&gt;0,MAX(0,G352+H352-I352),0)</f>
        <v>0</v>
      </c>
      <c r="K352" s="76">
        <f>IF(Escenarios!$E$11&gt;0,IF(J352&gt;Constantes!$E$30,1000*((J352-Constantes!$E$30)/(Escenarios!$E$16*10000)),0),F352)</f>
        <v>0</v>
      </c>
      <c r="L352" s="76">
        <f>IF(Escenarios!$E$11&gt;0,I352*1000/Escenarios!$E$16/10000+E352,E352)</f>
        <v>5.6784281982444253E-3</v>
      </c>
      <c r="M352" s="76">
        <f>MAX(0,N351+Observaciones!$F351-K352-Constantes!$D$13)</f>
        <v>0</v>
      </c>
      <c r="N352" s="76">
        <f>N351+Observaciones!$F351-K352-L352-M352-O351</f>
        <v>11.229671121267781</v>
      </c>
      <c r="O352" s="76">
        <f>MAX(0,(N352-Constantes!$D$14)*(1-EXP(-Constantes!$D$22)))</f>
        <v>0</v>
      </c>
      <c r="P352" s="170">
        <f>P351+(Entradas!$E$83*M352-Q351)/(800*Entradas!$D$25)</f>
        <v>0</v>
      </c>
      <c r="Q352" s="170">
        <f>8000*Entradas!$D$26*P352/Constantes!$E$45</f>
        <v>0</v>
      </c>
      <c r="R352" s="170">
        <f>IF(Escenarios!$E$14&gt;0,K352*Escenarios!$E$13/Escenarios!$E$14,0)</f>
        <v>0</v>
      </c>
      <c r="S352" s="170">
        <f>IF(Escenarios!$E$14&gt;0,Q352*Escenarios!$E$13/Escenarios!$E$14,0)</f>
        <v>0</v>
      </c>
      <c r="T352" s="170">
        <f>IF(Escenarios!$E$14&gt;0,Observaciones!$I351,0)</f>
        <v>0</v>
      </c>
      <c r="U352" s="170">
        <f>IF(Escenarios!$E$14&gt;0,MAX(0,Constantes!$E$36/((Z351+R352+S352+T352+Observaciones!$F351)^2)+Entradas!$E$77),0)</f>
        <v>0</v>
      </c>
      <c r="V352" s="146">
        <f>IF(ETo!D351&gt;0,ETo!I351*((1-Entradas!$E$81)*ETo!K351+ETo!L351),0)</f>
        <v>3.974900060107609</v>
      </c>
      <c r="W352" s="170">
        <f>IF(Escenarios!$E$14&gt;0,MIN(V352*1,0.8*(Z351+R352+S352+T352+Observaciones!$F351-U352-Constantes!$E$35)),0)</f>
        <v>2.5627276846762471E-5</v>
      </c>
      <c r="X352" s="170">
        <f>IF(Escenarios!$E$14&gt;0,Observaciones!$J351,0)</f>
        <v>0</v>
      </c>
      <c r="Y352" s="170">
        <f>IF(Escenarios!$E$14&gt;0,MAX(0,Z351+R352+S352+T352+Observaciones!$F351-U352-W352-X352-Constantes!$E$33),0)</f>
        <v>0</v>
      </c>
      <c r="Z352" s="170">
        <f>Z351+R352+S352+T352+Observaciones!$F351-U352-W352-Y352</f>
        <v>41.25000640681921</v>
      </c>
      <c r="AA352" s="170">
        <f>IF(Escenarios!$E$14&gt;0,(Escenarios!$E$13*L352+Escenarios!$E$14*W352)/(Escenarios!$E$16),L352)</f>
        <v>5.0000920876767056E-3</v>
      </c>
      <c r="AB352" s="170">
        <f>IF(Escenarios!$E$14&gt;0,(Escenarios!$E$14*Y352)/(Escenarios!$E$16),K352)</f>
        <v>0</v>
      </c>
      <c r="AC352" s="170">
        <f>IF(Escenarios!$E$14&gt;0,(Escenarios!$E$13*M352+Escenarios!$E$14*U352)/(Escenarios!$E$16),M352)</f>
        <v>0</v>
      </c>
      <c r="AD352" s="76">
        <f t="shared" si="71"/>
        <v>59.777131413031178</v>
      </c>
      <c r="AE352" s="76">
        <f>MAX(0,(AD352-Constantes!$D$13)*(1-EXP(-Constantes!$D$23)))</f>
        <v>0.10865295227067212</v>
      </c>
      <c r="AF352" s="76">
        <f>AB352+O352*Escenarios!$E$13/Escenarios!$E$16+AE352</f>
        <v>0.10865295227067212</v>
      </c>
      <c r="AG352" s="76">
        <f>IF(Entradas!$E$91&gt;0,IF(AF352-Escenarios!$E$38&lt;=0,0,IF(AF352-Escenarios!$E$38&gt;Escenarios!$E$37,Escenarios!$E$37,AF352-Escenarios!$E$38)),0)</f>
        <v>0</v>
      </c>
      <c r="AH352" s="76">
        <f>AG352*Entradas!$E$99</f>
        <v>0</v>
      </c>
      <c r="AI352" s="76">
        <f>IF(Entradas!$E$91&gt;0,D352*Entradas!$D$23/Escenarios!$E$16,0)</f>
        <v>0</v>
      </c>
      <c r="AJ352" s="76">
        <f>IF(Entradas!$E$91&gt;0,Entradas!$D$24*Entradas!$D$22/Escenarios!$E$16,0)</f>
        <v>0</v>
      </c>
      <c r="AK352" s="76">
        <f t="shared" si="80"/>
        <v>5.0000920876767056E-3</v>
      </c>
      <c r="AL352" s="76">
        <f t="shared" si="81"/>
        <v>0</v>
      </c>
      <c r="AM352" s="76">
        <f t="shared" si="72"/>
        <v>0</v>
      </c>
      <c r="AN352" s="76">
        <f>MAX(0,O352*Escenarios!$E$13/Escenarios!$E$16-AM352)</f>
        <v>0</v>
      </c>
      <c r="AO352" s="76">
        <f>AM352+AN352-O352*Escenarios!$E$13/Escenarios!$E$16</f>
        <v>0</v>
      </c>
      <c r="AP352" s="76">
        <f t="shared" si="70"/>
        <v>0.10865295227067212</v>
      </c>
      <c r="AQ352" s="76">
        <f t="shared" si="73"/>
        <v>0</v>
      </c>
      <c r="AR352" s="76">
        <f t="shared" si="74"/>
        <v>0.10865295227067212</v>
      </c>
      <c r="AS352" s="76">
        <f t="shared" si="75"/>
        <v>0</v>
      </c>
      <c r="AT352" s="76">
        <f t="shared" si="76"/>
        <v>0</v>
      </c>
      <c r="AU352" s="76">
        <f t="shared" si="77"/>
        <v>48.75</v>
      </c>
      <c r="AV352" s="76">
        <f>MAX(0,(AU352-Constantes!$D$13)*(1-EXP(-Constantes!$D$24)))</f>
        <v>0</v>
      </c>
      <c r="AW352" s="170">
        <f>AW351+(Entradas!$E$112*AT352-AX351)/(800*Entradas!$D$25)</f>
        <v>0</v>
      </c>
      <c r="AX352" s="170">
        <f>8000*Entradas!$D$26*AW352/Constantes!$E$45</f>
        <v>0</v>
      </c>
      <c r="AY352" s="170">
        <f>IF(Escenarios!$E$17&gt;0,10*Escenarios!$E$16*AL352,0)</f>
        <v>0</v>
      </c>
      <c r="AZ352" s="170">
        <f>IF(Escenarios!$E$17&gt;0,10*Escenarios!$E$16*AX352,0)</f>
        <v>0</v>
      </c>
      <c r="BA352" s="170">
        <f>IF(Escenarios!$E$17&gt;0,0.001*Observaciones!$F351*Escenarios!$E$17,0)</f>
        <v>0</v>
      </c>
      <c r="BB352" s="170">
        <f>IF(Escenarios!$E$17&gt;0,Observaciones!$K351,0)</f>
        <v>0</v>
      </c>
      <c r="BC352" s="170">
        <f>IF(Escenarios!$E$17&gt;0,MIN(0.0005*ETo!$M351*Escenarios!$E$17*(BG351/Constantes!$E$40)^(2/3),BG351+AY352+AZ352+BA352+BB352),0)</f>
        <v>13.427124170521266</v>
      </c>
      <c r="BD352" s="170">
        <f>IF(Escenarios!$E$17&gt;0,MIN(Constantes!$E$39*(BG351/Constantes!$E$40)^(2/3),BG351+AY352+AZ352+BA352+BB352-BC352),0)</f>
        <v>21.746745626541497</v>
      </c>
      <c r="BE352" s="170">
        <f>IF(Escenarios!$E$17&gt;0,MIN(Entradas!$E$113,BG351+AY352+AZ352+BA352+BB352-BC352-BD352),0)</f>
        <v>1</v>
      </c>
      <c r="BF352" s="170">
        <f>IF(Escenarios!$E$17&gt;0,MAX(0,BG351+AY352+AZ352+BA352+BB352-BC352-BD352-BE352-Constantes!$E$40),0)</f>
        <v>0</v>
      </c>
      <c r="BG352" s="170">
        <f t="shared" si="82"/>
        <v>908.6811446123055</v>
      </c>
      <c r="BH352" s="170">
        <f>(Escenarios!$E$16*AK352+0.1*BC352)/(Escenarios!$E$19)</f>
        <v>1.0288632694330568E-2</v>
      </c>
      <c r="BI352" s="170">
        <f>IF(Escenarios!$E$17&gt;0,BF352/10/Escenarios!$E$19,AL352)</f>
        <v>0</v>
      </c>
      <c r="BJ352" s="170">
        <f>(Escenarios!$E$16*AT352+0.1*BD352)/(Escenarios!$E$19)</f>
        <v>8.6296609629132933E-3</v>
      </c>
      <c r="BK352" s="76">
        <f>BK351+(0.1*BD352)/(Escenarios!$E$19)-BL351</f>
        <v>49.563855207204504</v>
      </c>
      <c r="BL352" s="76">
        <f>MAX(0,(BK352-Constantes!$D$13)*(1-EXP(-Constantes!$D$23)))</f>
        <v>8.0191092017939097E-3</v>
      </c>
      <c r="BM352" s="76">
        <f t="shared" si="78"/>
        <v>0.11667206147246603</v>
      </c>
      <c r="BN352" s="76">
        <f t="shared" si="83"/>
        <v>0.11667206147246603</v>
      </c>
      <c r="BO352" s="76">
        <f>0.0526*BI352*Observaciones!$F351^1.218</f>
        <v>0</v>
      </c>
      <c r="BP352" s="76">
        <f>BO352*Constantes!$E$51</f>
        <v>0</v>
      </c>
      <c r="BQ352" s="76">
        <f t="shared" si="79"/>
        <v>0</v>
      </c>
      <c r="BR352" s="40"/>
    </row>
    <row r="353" spans="1:70">
      <c r="A353" s="147"/>
      <c r="B353" s="39"/>
      <c r="C353" s="75">
        <v>347</v>
      </c>
      <c r="D353" s="146">
        <f>ETo!$I352*((1-Constantes!$E$19)*ETo!$K352+ETo!$L352)</f>
        <v>4.2178321401136953</v>
      </c>
      <c r="E353" s="76">
        <f>MIN(D353*Constantes!$E$17,0.8*(N352+Observaciones!$F352-F353-M353-Constantes!$D$14))</f>
        <v>2.0621500676884894</v>
      </c>
      <c r="F353" s="76">
        <f>IF(Observaciones!$F352&gt;0.05*Constantes!$E$18,((Observaciones!$F352-0.05*Constantes!$E$18)^2)/(Observaciones!$F352+0.95*Constantes!$E$18),0)</f>
        <v>0</v>
      </c>
      <c r="G353" s="76">
        <f>IF(Escenarios!$E$11&gt;0,(F353*Escenarios!$E$16*10000)/1000,0)</f>
        <v>0</v>
      </c>
      <c r="H353" s="76">
        <f>IF(Escenarios!$E$11&gt;0,(Observaciones!$F352*Constantes!$E$29)/1000,0)</f>
        <v>41</v>
      </c>
      <c r="I353" s="76">
        <f>IF(Escenarios!$E$11&gt;0,(D353*Constantes!$E$29)/1000,0)</f>
        <v>42.178321401136955</v>
      </c>
      <c r="J353" s="76">
        <f>IF(Escenarios!$E$11&gt;0,MAX(0,G353+H353-I353),0)</f>
        <v>0</v>
      </c>
      <c r="K353" s="76">
        <f>IF(Escenarios!$E$11&gt;0,IF(J353&gt;Constantes!$E$30,1000*((J353-Constantes!$E$30)/(Escenarios!$E$16*10000)),0),F353)</f>
        <v>0</v>
      </c>
      <c r="L353" s="76">
        <f>IF(Escenarios!$E$11&gt;0,I353*1000/Escenarios!$E$16/10000+E353,E353)</f>
        <v>2.0790213962489443</v>
      </c>
      <c r="M353" s="76">
        <f>MAX(0,N352+Observaciones!$F352-K353-Constantes!$D$13)</f>
        <v>0</v>
      </c>
      <c r="N353" s="76">
        <f>N352+Observaciones!$F352-K353-L353-M353-O352</f>
        <v>13.250649725018837</v>
      </c>
      <c r="O353" s="76">
        <f>MAX(0,(N353-Constantes!$D$14)*(1-EXP(-Constantes!$D$22)))</f>
        <v>6.8149474169639762E-2</v>
      </c>
      <c r="P353" s="170">
        <f>P352+(Entradas!$E$83*M353-Q352)/(800*Entradas!$D$25)</f>
        <v>0</v>
      </c>
      <c r="Q353" s="170">
        <f>8000*Entradas!$D$26*P353/Constantes!$E$45</f>
        <v>0</v>
      </c>
      <c r="R353" s="170">
        <f>IF(Escenarios!$E$14&gt;0,K353*Escenarios!$E$13/Escenarios!$E$14,0)</f>
        <v>0</v>
      </c>
      <c r="S353" s="170">
        <f>IF(Escenarios!$E$14&gt;0,Q353*Escenarios!$E$13/Escenarios!$E$14,0)</f>
        <v>0</v>
      </c>
      <c r="T353" s="170">
        <f>IF(Escenarios!$E$14&gt;0,Observaciones!$I352,0)</f>
        <v>0</v>
      </c>
      <c r="U353" s="170">
        <f>IF(Escenarios!$E$14&gt;0,MAX(0,Constantes!$E$36/((Z352+R353+S353+T353+Observaciones!$F352)^2)+Entradas!$E$77),0)</f>
        <v>0</v>
      </c>
      <c r="V353" s="146">
        <f>IF(ETo!D352&gt;0,ETo!I352*((1-Entradas!$E$81)*ETo!K352+ETo!L352),0)</f>
        <v>3.8532168963414408</v>
      </c>
      <c r="W353" s="170">
        <f>IF(Escenarios!$E$14&gt;0,MIN(V353*1,0.8*(Z352+R353+S353+T353+Observaciones!$F352-U353-Constantes!$E$35)),0)</f>
        <v>3.2800051254553697</v>
      </c>
      <c r="X353" s="170">
        <f>IF(Escenarios!$E$14&gt;0,Observaciones!$J352,0)</f>
        <v>0</v>
      </c>
      <c r="Y353" s="170">
        <f>IF(Escenarios!$E$14&gt;0,MAX(0,Z352+R353+S353+T353+Observaciones!$F352-U353-W353-X353-Constantes!$E$33),0)</f>
        <v>0</v>
      </c>
      <c r="Z353" s="170">
        <f>Z352+R353+S353+T353+Observaciones!$F352-U353-W353-Y353</f>
        <v>42.070001281363844</v>
      </c>
      <c r="AA353" s="170">
        <f>IF(Escenarios!$E$14&gt;0,(Escenarios!$E$13*L353+Escenarios!$E$14*W353)/(Escenarios!$E$16),L353)</f>
        <v>2.2231394437537157</v>
      </c>
      <c r="AB353" s="170">
        <f>IF(Escenarios!$E$14&gt;0,(Escenarios!$E$14*Y353)/(Escenarios!$E$16),K353)</f>
        <v>0</v>
      </c>
      <c r="AC353" s="170">
        <f>IF(Escenarios!$E$14&gt;0,(Escenarios!$E$13*M353+Escenarios!$E$14*U353)/(Escenarios!$E$16),M353)</f>
        <v>0</v>
      </c>
      <c r="AD353" s="76">
        <f t="shared" si="71"/>
        <v>59.668478460760504</v>
      </c>
      <c r="AE353" s="76">
        <f>MAX(0,(AD353-Constantes!$D$13)*(1-EXP(-Constantes!$D$23)))</f>
        <v>0.10758236885283218</v>
      </c>
      <c r="AF353" s="76">
        <f>AB353+O353*Escenarios!$E$13/Escenarios!$E$16+AE353</f>
        <v>0.16755390612211518</v>
      </c>
      <c r="AG353" s="76">
        <f>IF(Entradas!$E$91&gt;0,IF(AF353-Escenarios!$E$38&lt;=0,0,IF(AF353-Escenarios!$E$38&gt;Escenarios!$E$37,Escenarios!$E$37,AF353-Escenarios!$E$38)),0)</f>
        <v>0</v>
      </c>
      <c r="AH353" s="76">
        <f>AG353*Entradas!$E$99</f>
        <v>0</v>
      </c>
      <c r="AI353" s="76">
        <f>IF(Entradas!$E$91&gt;0,D353*Entradas!$D$23/Escenarios!$E$16,0)</f>
        <v>0</v>
      </c>
      <c r="AJ353" s="76">
        <f>IF(Entradas!$E$91&gt;0,Entradas!$D$24*Entradas!$D$22/Escenarios!$E$16,0)</f>
        <v>0</v>
      </c>
      <c r="AK353" s="76">
        <f t="shared" si="80"/>
        <v>2.2231394437537157</v>
      </c>
      <c r="AL353" s="76">
        <f t="shared" si="81"/>
        <v>0</v>
      </c>
      <c r="AM353" s="76">
        <f t="shared" si="72"/>
        <v>0</v>
      </c>
      <c r="AN353" s="76">
        <f>MAX(0,O353*Escenarios!$E$13/Escenarios!$E$16-AM353)</f>
        <v>5.997153726928299E-2</v>
      </c>
      <c r="AO353" s="76">
        <f>AM353+AN353-O353*Escenarios!$E$13/Escenarios!$E$16</f>
        <v>0</v>
      </c>
      <c r="AP353" s="76">
        <f t="shared" si="70"/>
        <v>0.10758236885283218</v>
      </c>
      <c r="AQ353" s="76">
        <f t="shared" si="73"/>
        <v>0</v>
      </c>
      <c r="AR353" s="76">
        <f t="shared" si="74"/>
        <v>0.16755390612211518</v>
      </c>
      <c r="AS353" s="76">
        <f t="shared" si="75"/>
        <v>0</v>
      </c>
      <c r="AT353" s="76">
        <f t="shared" si="76"/>
        <v>0</v>
      </c>
      <c r="AU353" s="76">
        <f t="shared" si="77"/>
        <v>48.75</v>
      </c>
      <c r="AV353" s="76">
        <f>MAX(0,(AU353-Constantes!$D$13)*(1-EXP(-Constantes!$D$24)))</f>
        <v>0</v>
      </c>
      <c r="AW353" s="170">
        <f>AW352+(Entradas!$E$112*AT353-AX352)/(800*Entradas!$D$25)</f>
        <v>0</v>
      </c>
      <c r="AX353" s="170">
        <f>8000*Entradas!$D$26*AW353/Constantes!$E$45</f>
        <v>0</v>
      </c>
      <c r="AY353" s="170">
        <f>IF(Escenarios!$E$17&gt;0,10*Escenarios!$E$16*AL353,0)</f>
        <v>0</v>
      </c>
      <c r="AZ353" s="170">
        <f>IF(Escenarios!$E$17&gt;0,10*Escenarios!$E$16*AX353,0)</f>
        <v>0</v>
      </c>
      <c r="BA353" s="170">
        <f>IF(Escenarios!$E$17&gt;0,0.001*Observaciones!$F352*Escenarios!$E$17,0)</f>
        <v>81.999999999999986</v>
      </c>
      <c r="BB353" s="170">
        <f>IF(Escenarios!$E$17&gt;0,Observaciones!$K352,0)</f>
        <v>0</v>
      </c>
      <c r="BC353" s="170">
        <f>IF(Escenarios!$E$17&gt;0,MIN(0.0005*ETo!$M352*Escenarios!$E$17*(BG352/Constantes!$E$40)^(2/3),BG352+AY353+AZ353+BA353+BB353),0)</f>
        <v>12.690514502528533</v>
      </c>
      <c r="BD353" s="170">
        <f>IF(Escenarios!$E$17&gt;0,MIN(Constantes!$E$39*(BG352/Constantes!$E$40)^(2/3),BG352+AY353+AZ353+BA353+BB353-BC353),0)</f>
        <v>21.188091380601609</v>
      </c>
      <c r="BE353" s="170">
        <f>IF(Escenarios!$E$17&gt;0,MIN(Entradas!$E$113,BG352+AY353+AZ353+BA353+BB353-BC353-BD353),0)</f>
        <v>1</v>
      </c>
      <c r="BF353" s="170">
        <f>IF(Escenarios!$E$17&gt;0,MAX(0,BG352+AY353+AZ353+BA353+BB353-BC353-BD353-BE353-Constantes!$E$40),0)</f>
        <v>0</v>
      </c>
      <c r="BG353" s="170">
        <f t="shared" si="82"/>
        <v>955.80253872917535</v>
      </c>
      <c r="BH353" s="170">
        <f>(Escenarios!$E$16*AK353+0.1*BC353)/(Escenarios!$E$19)</f>
        <v>2.2105313983677846</v>
      </c>
      <c r="BI353" s="170">
        <f>IF(Escenarios!$E$17&gt;0,BF353/10/Escenarios!$E$19,AL353)</f>
        <v>0</v>
      </c>
      <c r="BJ353" s="170">
        <f>(Escenarios!$E$16*AT353+0.1*BD353)/(Escenarios!$E$19)</f>
        <v>8.4079727700800029E-3</v>
      </c>
      <c r="BK353" s="76">
        <f>BK352+(0.1*BD353)/(Escenarios!$E$19)-BL352</f>
        <v>49.564244070772787</v>
      </c>
      <c r="BL353" s="76">
        <f>MAX(0,(BK353-Constantes!$D$13)*(1-EXP(-Constantes!$D$23)))</f>
        <v>8.0229407671522854E-3</v>
      </c>
      <c r="BM353" s="76">
        <f t="shared" si="78"/>
        <v>0.11560530961998447</v>
      </c>
      <c r="BN353" s="76">
        <f t="shared" si="83"/>
        <v>0.17557684688926747</v>
      </c>
      <c r="BO353" s="76">
        <f>0.0526*BI353*Observaciones!$F352^1.218</f>
        <v>0</v>
      </c>
      <c r="BP353" s="76">
        <f>BO353*Constantes!$E$51</f>
        <v>0</v>
      </c>
      <c r="BQ353" s="76">
        <f t="shared" si="79"/>
        <v>0</v>
      </c>
      <c r="BR353" s="40"/>
    </row>
    <row r="354" spans="1:70">
      <c r="A354" s="147"/>
      <c r="B354" s="39"/>
      <c r="C354" s="75">
        <v>348</v>
      </c>
      <c r="D354" s="146">
        <f>ETo!$I353*((1-Constantes!$E$19)*ETo!$K353+ETo!$L353)</f>
        <v>4.5131062653797276</v>
      </c>
      <c r="E354" s="76">
        <f>MIN(D354*Constantes!$E$17,0.8*(N353+Observaciones!$F353-F354-M354-Constantes!$D$14))</f>
        <v>1.92051978001507</v>
      </c>
      <c r="F354" s="76">
        <f>IF(Observaciones!$F353&gt;0.05*Constantes!$E$18,((Observaciones!$F353-0.05*Constantes!$E$18)^2)/(Observaciones!$F353+0.95*Constantes!$E$18),0)</f>
        <v>0</v>
      </c>
      <c r="G354" s="76">
        <f>IF(Escenarios!$E$11&gt;0,(F354*Escenarios!$E$16*10000)/1000,0)</f>
        <v>0</v>
      </c>
      <c r="H354" s="76">
        <f>IF(Escenarios!$E$11&gt;0,(Observaciones!$F353*Constantes!$E$29)/1000,0)</f>
        <v>4</v>
      </c>
      <c r="I354" s="76">
        <f>IF(Escenarios!$E$11&gt;0,(D354*Constantes!$E$29)/1000,0)</f>
        <v>45.131062653797279</v>
      </c>
      <c r="J354" s="76">
        <f>IF(Escenarios!$E$11&gt;0,MAX(0,G354+H354-I354),0)</f>
        <v>0</v>
      </c>
      <c r="K354" s="76">
        <f>IF(Escenarios!$E$11&gt;0,IF(J354&gt;Constantes!$E$30,1000*((J354-Constantes!$E$30)/(Escenarios!$E$16*10000)),0),F354)</f>
        <v>0</v>
      </c>
      <c r="L354" s="76">
        <f>IF(Escenarios!$E$11&gt;0,I354*1000/Escenarios!$E$16/10000+E354,E354)</f>
        <v>1.9385722050765888</v>
      </c>
      <c r="M354" s="76">
        <f>MAX(0,N353+Observaciones!$F353-K354-Constantes!$D$13)</f>
        <v>0</v>
      </c>
      <c r="N354" s="76">
        <f>N353+Observaciones!$F353-K354-L354-M354-O353</f>
        <v>11.643928045772608</v>
      </c>
      <c r="O354" s="76">
        <f>MAX(0,(N354-Constantes!$D$14)*(1-EXP(-Constantes!$D$22)))</f>
        <v>1.3418635378476478E-2</v>
      </c>
      <c r="P354" s="170">
        <f>P353+(Entradas!$E$83*M354-Q353)/(800*Entradas!$D$25)</f>
        <v>0</v>
      </c>
      <c r="Q354" s="170">
        <f>8000*Entradas!$D$26*P354/Constantes!$E$45</f>
        <v>0</v>
      </c>
      <c r="R354" s="170">
        <f>IF(Escenarios!$E$14&gt;0,K354*Escenarios!$E$13/Escenarios!$E$14,0)</f>
        <v>0</v>
      </c>
      <c r="S354" s="170">
        <f>IF(Escenarios!$E$14&gt;0,Q354*Escenarios!$E$13/Escenarios!$E$14,0)</f>
        <v>0</v>
      </c>
      <c r="T354" s="170">
        <f>IF(Escenarios!$E$14&gt;0,Observaciones!$I353,0)</f>
        <v>0</v>
      </c>
      <c r="U354" s="170">
        <f>IF(Escenarios!$E$14&gt;0,MAX(0,Constantes!$E$36/((Z353+R354+S354+T354+Observaciones!$F353)^2)+Entradas!$E$77),0)</f>
        <v>0</v>
      </c>
      <c r="V354" s="146">
        <f>IF(ETo!D353&gt;0,ETo!I353*((1-Entradas!$E$81)*ETo!K353+ETo!L353),0)</f>
        <v>4.126212291426695</v>
      </c>
      <c r="W354" s="170">
        <f>IF(Escenarios!$E$14&gt;0,MIN(V354*1,0.8*(Z353+R354+S354+T354+Observaciones!$F353-U354-Constantes!$E$35)),0)</f>
        <v>0.97600102509107389</v>
      </c>
      <c r="X354" s="170">
        <f>IF(Escenarios!$E$14&gt;0,Observaciones!$J353,0)</f>
        <v>0</v>
      </c>
      <c r="Y354" s="170">
        <f>IF(Escenarios!$E$14&gt;0,MAX(0,Z353+R354+S354+T354+Observaciones!$F353-U354-W354-X354-Constantes!$E$33),0)</f>
        <v>0</v>
      </c>
      <c r="Z354" s="170">
        <f>Z353+R354+S354+T354+Observaciones!$F353-U354-W354-Y354</f>
        <v>41.49400025627277</v>
      </c>
      <c r="AA354" s="170">
        <f>IF(Escenarios!$E$14&gt;0,(Escenarios!$E$13*L354+Escenarios!$E$14*W354)/(Escenarios!$E$16),L354)</f>
        <v>1.823063663478327</v>
      </c>
      <c r="AB354" s="170">
        <f>IF(Escenarios!$E$14&gt;0,(Escenarios!$E$14*Y354)/(Escenarios!$E$16),K354)</f>
        <v>0</v>
      </c>
      <c r="AC354" s="170">
        <f>IF(Escenarios!$E$14&gt;0,(Escenarios!$E$13*M354+Escenarios!$E$14*U354)/(Escenarios!$E$16),M354)</f>
        <v>0</v>
      </c>
      <c r="AD354" s="76">
        <f t="shared" si="71"/>
        <v>59.560896091907672</v>
      </c>
      <c r="AE354" s="76">
        <f>MAX(0,(AD354-Constantes!$D$13)*(1-EXP(-Constantes!$D$23)))</f>
        <v>0.10652233414840134</v>
      </c>
      <c r="AF354" s="76">
        <f>AB354+O354*Escenarios!$E$13/Escenarios!$E$16+AE354</f>
        <v>0.11833073328146064</v>
      </c>
      <c r="AG354" s="76">
        <f>IF(Entradas!$E$91&gt;0,IF(AF354-Escenarios!$E$38&lt;=0,0,IF(AF354-Escenarios!$E$38&gt;Escenarios!$E$37,Escenarios!$E$37,AF354-Escenarios!$E$38)),0)</f>
        <v>0</v>
      </c>
      <c r="AH354" s="76">
        <f>AG354*Entradas!$E$99</f>
        <v>0</v>
      </c>
      <c r="AI354" s="76">
        <f>IF(Entradas!$E$91&gt;0,D354*Entradas!$D$23/Escenarios!$E$16,0)</f>
        <v>0</v>
      </c>
      <c r="AJ354" s="76">
        <f>IF(Entradas!$E$91&gt;0,Entradas!$D$24*Entradas!$D$22/Escenarios!$E$16,0)</f>
        <v>0</v>
      </c>
      <c r="AK354" s="76">
        <f t="shared" si="80"/>
        <v>1.823063663478327</v>
      </c>
      <c r="AL354" s="76">
        <f t="shared" si="81"/>
        <v>0</v>
      </c>
      <c r="AM354" s="76">
        <f t="shared" si="72"/>
        <v>0</v>
      </c>
      <c r="AN354" s="76">
        <f>MAX(0,O354*Escenarios!$E$13/Escenarios!$E$16-AM354)</f>
        <v>1.18083991330593E-2</v>
      </c>
      <c r="AO354" s="76">
        <f>AM354+AN354-O354*Escenarios!$E$13/Escenarios!$E$16</f>
        <v>0</v>
      </c>
      <c r="AP354" s="76">
        <f t="shared" si="70"/>
        <v>0.10652233414840134</v>
      </c>
      <c r="AQ354" s="76">
        <f t="shared" si="73"/>
        <v>0</v>
      </c>
      <c r="AR354" s="76">
        <f t="shared" si="74"/>
        <v>0.11833073328146064</v>
      </c>
      <c r="AS354" s="76">
        <f t="shared" si="75"/>
        <v>0</v>
      </c>
      <c r="AT354" s="76">
        <f t="shared" si="76"/>
        <v>0</v>
      </c>
      <c r="AU354" s="76">
        <f t="shared" si="77"/>
        <v>48.75</v>
      </c>
      <c r="AV354" s="76">
        <f>MAX(0,(AU354-Constantes!$D$13)*(1-EXP(-Constantes!$D$24)))</f>
        <v>0</v>
      </c>
      <c r="AW354" s="170">
        <f>AW353+(Entradas!$E$112*AT354-AX353)/(800*Entradas!$D$25)</f>
        <v>0</v>
      </c>
      <c r="AX354" s="170">
        <f>8000*Entradas!$D$26*AW354/Constantes!$E$45</f>
        <v>0</v>
      </c>
      <c r="AY354" s="170">
        <f>IF(Escenarios!$E$17&gt;0,10*Escenarios!$E$16*AL354,0)</f>
        <v>0</v>
      </c>
      <c r="AZ354" s="170">
        <f>IF(Escenarios!$E$17&gt;0,10*Escenarios!$E$16*AX354,0)</f>
        <v>0</v>
      </c>
      <c r="BA354" s="170">
        <f>IF(Escenarios!$E$17&gt;0,0.001*Observaciones!$F353*Escenarios!$E$17,0)</f>
        <v>8</v>
      </c>
      <c r="BB354" s="170">
        <f>IF(Escenarios!$E$17&gt;0,Observaciones!$K353,0)</f>
        <v>0</v>
      </c>
      <c r="BC354" s="170">
        <f>IF(Escenarios!$E$17&gt;0,MIN(0.0005*ETo!$M353*Escenarios!$E$17*(BG353/Constantes!$E$40)^(2/3),BG353+AY354+AZ354+BA354+BB354),0)</f>
        <v>14.030408745896407</v>
      </c>
      <c r="BD354" s="170">
        <f>IF(Escenarios!$E$17&gt;0,MIN(Constantes!$E$39*(BG353/Constantes!$E$40)^(2/3),BG353+AY354+AZ354+BA354+BB354-BC354),0)</f>
        <v>21.914401430737271</v>
      </c>
      <c r="BE354" s="170">
        <f>IF(Escenarios!$E$17&gt;0,MIN(Entradas!$E$113,BG353+AY354+AZ354+BA354+BB354-BC354-BD354),0)</f>
        <v>1</v>
      </c>
      <c r="BF354" s="170">
        <f>IF(Escenarios!$E$17&gt;0,MAX(0,BG353+AY354+AZ354+BA354+BB354-BC354-BD354-BE354-Constantes!$E$40),0)</f>
        <v>0</v>
      </c>
      <c r="BG354" s="170">
        <f t="shared" si="82"/>
        <v>926.85772855254174</v>
      </c>
      <c r="BH354" s="170">
        <f>(Escenarios!$E$16*AK354+0.1*BC354)/(Escenarios!$E$19)</f>
        <v>1.8141625267625849</v>
      </c>
      <c r="BI354" s="170">
        <f>IF(Escenarios!$E$17&gt;0,BF354/10/Escenarios!$E$19,AL354)</f>
        <v>0</v>
      </c>
      <c r="BJ354" s="170">
        <f>(Escenarios!$E$16*AT354+0.1*BD354)/(Escenarios!$E$19)</f>
        <v>8.6961910439433618E-3</v>
      </c>
      <c r="BK354" s="76">
        <f>BK353+(0.1*BD354)/(Escenarios!$E$19)-BL353</f>
        <v>49.564917321049577</v>
      </c>
      <c r="BL354" s="76">
        <f>MAX(0,(BK354-Constantes!$D$13)*(1-EXP(-Constantes!$D$23)))</f>
        <v>8.0295744624852231E-3</v>
      </c>
      <c r="BM354" s="76">
        <f t="shared" si="78"/>
        <v>0.11455190861088657</v>
      </c>
      <c r="BN354" s="76">
        <f t="shared" si="83"/>
        <v>0.12636030774394585</v>
      </c>
      <c r="BO354" s="76">
        <f>0.0526*BI354*Observaciones!$F353^1.218</f>
        <v>0</v>
      </c>
      <c r="BP354" s="76">
        <f>BO354*Constantes!$E$51</f>
        <v>0</v>
      </c>
      <c r="BQ354" s="76">
        <f t="shared" si="79"/>
        <v>0</v>
      </c>
      <c r="BR354" s="40"/>
    </row>
    <row r="355" spans="1:70">
      <c r="A355" s="147"/>
      <c r="B355" s="39"/>
      <c r="C355" s="75">
        <v>349</v>
      </c>
      <c r="D355" s="146">
        <f>ETo!$I354*((1-Constantes!$E$19)*ETo!$K354+ETo!$L354)</f>
        <v>4.4222688219952193</v>
      </c>
      <c r="E355" s="76">
        <f>MIN(D355*Constantes!$E$17,0.8*(N354+Observaciones!$F354-F355-M355-Constantes!$D$14))</f>
        <v>0.31514243661808622</v>
      </c>
      <c r="F355" s="76">
        <f>IF(Observaciones!$F354&gt;0.05*Constantes!$E$18,((Observaciones!$F354-0.05*Constantes!$E$18)^2)/(Observaciones!$F354+0.95*Constantes!$E$18),0)</f>
        <v>0</v>
      </c>
      <c r="G355" s="76">
        <f>IF(Escenarios!$E$11&gt;0,(F355*Escenarios!$E$16*10000)/1000,0)</f>
        <v>0</v>
      </c>
      <c r="H355" s="76">
        <f>IF(Escenarios!$E$11&gt;0,(Observaciones!$F354*Constantes!$E$29)/1000,0)</f>
        <v>0</v>
      </c>
      <c r="I355" s="76">
        <f>IF(Escenarios!$E$11&gt;0,(D355*Constantes!$E$29)/1000,0)</f>
        <v>44.222688219952197</v>
      </c>
      <c r="J355" s="76">
        <f>IF(Escenarios!$E$11&gt;0,MAX(0,G355+H355-I355),0)</f>
        <v>0</v>
      </c>
      <c r="K355" s="76">
        <f>IF(Escenarios!$E$11&gt;0,IF(J355&gt;Constantes!$E$30,1000*((J355-Constantes!$E$30)/(Escenarios!$E$16*10000)),0),F355)</f>
        <v>0</v>
      </c>
      <c r="L355" s="76">
        <f>IF(Escenarios!$E$11&gt;0,I355*1000/Escenarios!$E$16/10000+E355,E355)</f>
        <v>0.33283151190606708</v>
      </c>
      <c r="M355" s="76">
        <f>MAX(0,N354+Observaciones!$F354-K355-Constantes!$D$13)</f>
        <v>0</v>
      </c>
      <c r="N355" s="76">
        <f>N354+Observaciones!$F354-K355-L355-M355-O354</f>
        <v>11.297677898488065</v>
      </c>
      <c r="O355" s="76">
        <f>MAX(0,(N355-Constantes!$D$14)*(1-EXP(-Constantes!$D$22)))</f>
        <v>1.6240842516520332E-3</v>
      </c>
      <c r="P355" s="170">
        <f>P354+(Entradas!$E$83*M355-Q354)/(800*Entradas!$D$25)</f>
        <v>0</v>
      </c>
      <c r="Q355" s="170">
        <f>8000*Entradas!$D$26*P355/Constantes!$E$45</f>
        <v>0</v>
      </c>
      <c r="R355" s="170">
        <f>IF(Escenarios!$E$14&gt;0,K355*Escenarios!$E$13/Escenarios!$E$14,0)</f>
        <v>0</v>
      </c>
      <c r="S355" s="170">
        <f>IF(Escenarios!$E$14&gt;0,Q355*Escenarios!$E$13/Escenarios!$E$14,0)</f>
        <v>0</v>
      </c>
      <c r="T355" s="170">
        <f>IF(Escenarios!$E$14&gt;0,Observaciones!$I354,0)</f>
        <v>0</v>
      </c>
      <c r="U355" s="170">
        <f>IF(Escenarios!$E$14&gt;0,MAX(0,Constantes!$E$36/((Z354+R355+S355+T355+Observaciones!$F354)^2)+Entradas!$E$77),0)</f>
        <v>0</v>
      </c>
      <c r="V355" s="146">
        <f>IF(ETo!D354&gt;0,ETo!I354*((1-Entradas!$E$81)*ETo!K354+ETo!L354),0)</f>
        <v>4.0420255370559923</v>
      </c>
      <c r="W355" s="170">
        <f>IF(Escenarios!$E$14&gt;0,MIN(V355*1,0.8*(Z354+R355+S355+T355+Observaciones!$F354-U355-Constantes!$E$35)),0)</f>
        <v>0.19520020501821592</v>
      </c>
      <c r="X355" s="170">
        <f>IF(Escenarios!$E$14&gt;0,Observaciones!$J354,0)</f>
        <v>0</v>
      </c>
      <c r="Y355" s="170">
        <f>IF(Escenarios!$E$14&gt;0,MAX(0,Z354+R355+S355+T355+Observaciones!$F354-U355-W355-X355-Constantes!$E$33),0)</f>
        <v>0</v>
      </c>
      <c r="Z355" s="170">
        <f>Z354+R355+S355+T355+Observaciones!$F354-U355-W355-Y355</f>
        <v>41.298800051254553</v>
      </c>
      <c r="AA355" s="170">
        <f>IF(Escenarios!$E$14&gt;0,(Escenarios!$E$13*L355+Escenarios!$E$14*W355)/(Escenarios!$E$16),L355)</f>
        <v>0.31631575507952492</v>
      </c>
      <c r="AB355" s="170">
        <f>IF(Escenarios!$E$14&gt;0,(Escenarios!$E$14*Y355)/(Escenarios!$E$16),K355)</f>
        <v>0</v>
      </c>
      <c r="AC355" s="170">
        <f>IF(Escenarios!$E$14&gt;0,(Escenarios!$E$13*M355+Escenarios!$E$14*U355)/(Escenarios!$E$16),M355)</f>
        <v>0</v>
      </c>
      <c r="AD355" s="76">
        <f t="shared" si="71"/>
        <v>59.454373757759271</v>
      </c>
      <c r="AE355" s="76">
        <f>MAX(0,(AD355-Constantes!$D$13)*(1-EXP(-Constantes!$D$23)))</f>
        <v>0.10547274421839384</v>
      </c>
      <c r="AF355" s="76">
        <f>AB355+O355*Escenarios!$E$13/Escenarios!$E$16+AE355</f>
        <v>0.10690193835984763</v>
      </c>
      <c r="AG355" s="76">
        <f>IF(Entradas!$E$91&gt;0,IF(AF355-Escenarios!$E$38&lt;=0,0,IF(AF355-Escenarios!$E$38&gt;Escenarios!$E$37,Escenarios!$E$37,AF355-Escenarios!$E$38)),0)</f>
        <v>0</v>
      </c>
      <c r="AH355" s="76">
        <f>AG355*Entradas!$E$99</f>
        <v>0</v>
      </c>
      <c r="AI355" s="76">
        <f>IF(Entradas!$E$91&gt;0,D355*Entradas!$D$23/Escenarios!$E$16,0)</f>
        <v>0</v>
      </c>
      <c r="AJ355" s="76">
        <f>IF(Entradas!$E$91&gt;0,Entradas!$D$24*Entradas!$D$22/Escenarios!$E$16,0)</f>
        <v>0</v>
      </c>
      <c r="AK355" s="76">
        <f t="shared" si="80"/>
        <v>0.31631575507952492</v>
      </c>
      <c r="AL355" s="76">
        <f t="shared" si="81"/>
        <v>0</v>
      </c>
      <c r="AM355" s="76">
        <f t="shared" si="72"/>
        <v>0</v>
      </c>
      <c r="AN355" s="76">
        <f>MAX(0,O355*Escenarios!$E$13/Escenarios!$E$16-AM355)</f>
        <v>1.4291941414537892E-3</v>
      </c>
      <c r="AO355" s="76">
        <f>AM355+AN355-O355*Escenarios!$E$13/Escenarios!$E$16</f>
        <v>0</v>
      </c>
      <c r="AP355" s="76">
        <f t="shared" si="70"/>
        <v>0.10547274421839384</v>
      </c>
      <c r="AQ355" s="76">
        <f t="shared" si="73"/>
        <v>0</v>
      </c>
      <c r="AR355" s="76">
        <f t="shared" si="74"/>
        <v>0.10690193835984763</v>
      </c>
      <c r="AS355" s="76">
        <f t="shared" si="75"/>
        <v>0</v>
      </c>
      <c r="AT355" s="76">
        <f t="shared" si="76"/>
        <v>0</v>
      </c>
      <c r="AU355" s="76">
        <f t="shared" si="77"/>
        <v>48.75</v>
      </c>
      <c r="AV355" s="76">
        <f>MAX(0,(AU355-Constantes!$D$13)*(1-EXP(-Constantes!$D$24)))</f>
        <v>0</v>
      </c>
      <c r="AW355" s="170">
        <f>AW354+(Entradas!$E$112*AT355-AX354)/(800*Entradas!$D$25)</f>
        <v>0</v>
      </c>
      <c r="AX355" s="170">
        <f>8000*Entradas!$D$26*AW355/Constantes!$E$45</f>
        <v>0</v>
      </c>
      <c r="AY355" s="170">
        <f>IF(Escenarios!$E$17&gt;0,10*Escenarios!$E$16*AL355,0)</f>
        <v>0</v>
      </c>
      <c r="AZ355" s="170">
        <f>IF(Escenarios!$E$17&gt;0,10*Escenarios!$E$16*AX355,0)</f>
        <v>0</v>
      </c>
      <c r="BA355" s="170">
        <f>IF(Escenarios!$E$17&gt;0,0.001*Observaciones!$F354*Escenarios!$E$17,0)</f>
        <v>0</v>
      </c>
      <c r="BB355" s="170">
        <f>IF(Escenarios!$E$17&gt;0,Observaciones!$K354,0)</f>
        <v>22.348143596588173</v>
      </c>
      <c r="BC355" s="170">
        <f>IF(Escenarios!$E$17&gt;0,MIN(0.0005*ETo!$M354*Escenarios!$E$17*(BG354/Constantes!$E$40)^(2/3),BG354+AY355+AZ355+BA355+BB355),0)</f>
        <v>13.473834956786339</v>
      </c>
      <c r="BD355" s="170">
        <f>IF(Escenarios!$E$17&gt;0,MIN(Constantes!$E$39*(BG354/Constantes!$E$40)^(2/3),BG354+AY355+AZ355+BA355+BB355-BC355),0)</f>
        <v>21.469711573413601</v>
      </c>
      <c r="BE355" s="170">
        <f>IF(Escenarios!$E$17&gt;0,MIN(Entradas!$E$113,BG354+AY355+AZ355+BA355+BB355-BC355-BD355),0)</f>
        <v>1</v>
      </c>
      <c r="BF355" s="170">
        <f>IF(Escenarios!$E$17&gt;0,MAX(0,BG354+AY355+AZ355+BA355+BB355-BC355-BD355-BE355-Constantes!$E$40),0)</f>
        <v>0</v>
      </c>
      <c r="BG355" s="170">
        <f t="shared" si="82"/>
        <v>913.26232561892994</v>
      </c>
      <c r="BH355" s="170">
        <f>(Escenarios!$E$16*AK355+0.1*BC355)/(Escenarios!$E$19)</f>
        <v>0.31915207248238042</v>
      </c>
      <c r="BI355" s="170">
        <f>IF(Escenarios!$E$17&gt;0,BF355/10/Escenarios!$E$19,AL355)</f>
        <v>0</v>
      </c>
      <c r="BJ355" s="170">
        <f>(Escenarios!$E$16*AT355+0.1*BD355)/(Escenarios!$E$19)</f>
        <v>8.5197268148466676E-3</v>
      </c>
      <c r="BK355" s="76">
        <f>BK354+(0.1*BD355)/(Escenarios!$E$19)-BL354</f>
        <v>49.56540747340194</v>
      </c>
      <c r="BL355" s="76">
        <f>MAX(0,(BK355-Constantes!$D$13)*(1-EXP(-Constantes!$D$23)))</f>
        <v>8.034404050358249E-3</v>
      </c>
      <c r="BM355" s="76">
        <f t="shared" si="78"/>
        <v>0.11350714826875209</v>
      </c>
      <c r="BN355" s="76">
        <f t="shared" si="83"/>
        <v>0.11493634241020588</v>
      </c>
      <c r="BO355" s="76">
        <f>0.0526*BI355*Observaciones!$F354^1.218</f>
        <v>0</v>
      </c>
      <c r="BP355" s="76">
        <f>BO355*Constantes!$E$51</f>
        <v>0</v>
      </c>
      <c r="BQ355" s="76">
        <f t="shared" si="79"/>
        <v>0</v>
      </c>
      <c r="BR355" s="40"/>
    </row>
    <row r="356" spans="1:70">
      <c r="A356" s="147"/>
      <c r="B356" s="39"/>
      <c r="C356" s="75">
        <v>350</v>
      </c>
      <c r="D356" s="146">
        <f>ETo!$I355*((1-Constantes!$E$19)*ETo!$K355+ETo!$L355)</f>
        <v>4.4812610607615406</v>
      </c>
      <c r="E356" s="76">
        <f>MIN(D356*Constantes!$E$17,0.8*(N355+Observaciones!$F355-F356-M356-Constantes!$D$14))</f>
        <v>2.1909437106072462</v>
      </c>
      <c r="F356" s="76">
        <f>IF(Observaciones!$F355&gt;0.05*Constantes!$E$18,((Observaciones!$F355-0.05*Constantes!$E$18)^2)/(Observaciones!$F355+0.95*Constantes!$E$18),0)</f>
        <v>3.4754601831912223E-2</v>
      </c>
      <c r="G356" s="76">
        <f>IF(Escenarios!$E$11&gt;0,(F356*Escenarios!$E$16*10000)/1000,0)</f>
        <v>86.886504579780564</v>
      </c>
      <c r="H356" s="76">
        <f>IF(Escenarios!$E$11&gt;0,(Observaciones!$F355*Constantes!$E$29)/1000,0)</f>
        <v>80</v>
      </c>
      <c r="I356" s="76">
        <f>IF(Escenarios!$E$11&gt;0,(D356*Constantes!$E$29)/1000,0)</f>
        <v>44.812610607615404</v>
      </c>
      <c r="J356" s="76">
        <f>IF(Escenarios!$E$11&gt;0,MAX(0,G356+H356-I356),0)</f>
        <v>122.07389397216517</v>
      </c>
      <c r="K356" s="76">
        <f>IF(Escenarios!$E$11&gt;0,IF(J356&gt;Constantes!$E$30,1000*((J356-Constantes!$E$30)/(Escenarios!$E$16*10000)),0),F356)</f>
        <v>0</v>
      </c>
      <c r="L356" s="76">
        <f>IF(Escenarios!$E$11&gt;0,I356*1000/Escenarios!$E$16/10000+E356,E356)</f>
        <v>2.2088687548502923</v>
      </c>
      <c r="M356" s="76">
        <f>MAX(0,N355+Observaciones!$F355-K356-Constantes!$D$13)</f>
        <v>0</v>
      </c>
      <c r="N356" s="76">
        <f>N355+Observaciones!$F355-K356-L356-M356-O355</f>
        <v>17.087185059386119</v>
      </c>
      <c r="O356" s="76">
        <f>MAX(0,(N356-Constantes!$D$14)*(1-EXP(-Constantes!$D$22)))</f>
        <v>0.19883595186773437</v>
      </c>
      <c r="P356" s="170">
        <f>P355+(Entradas!$E$83*M356-Q355)/(800*Entradas!$D$25)</f>
        <v>0</v>
      </c>
      <c r="Q356" s="170">
        <f>8000*Entradas!$D$26*P356/Constantes!$E$45</f>
        <v>0</v>
      </c>
      <c r="R356" s="170">
        <f>IF(Escenarios!$E$14&gt;0,K356*Escenarios!$E$13/Escenarios!$E$14,0)</f>
        <v>0</v>
      </c>
      <c r="S356" s="170">
        <f>IF(Escenarios!$E$14&gt;0,Q356*Escenarios!$E$13/Escenarios!$E$14,0)</f>
        <v>0</v>
      </c>
      <c r="T356" s="170">
        <f>IF(Escenarios!$E$14&gt;0,Observaciones!$I355,0)</f>
        <v>0</v>
      </c>
      <c r="U356" s="170">
        <f>IF(Escenarios!$E$14&gt;0,MAX(0,Constantes!$E$36/((Z355+R356+S356+T356+Observaciones!$F355)^2)+Entradas!$E$77),0)</f>
        <v>0</v>
      </c>
      <c r="V356" s="146">
        <f>IF(ETo!D355&gt;0,ETo!I355*((1-Entradas!$E$81)*ETo!K355+ETo!L355),0)</f>
        <v>4.0966770451957668</v>
      </c>
      <c r="W356" s="170">
        <f>IF(Escenarios!$E$14&gt;0,MIN(V356*1,0.8*(Z355+R356+S356+T356+Observaciones!$F355-U356-Constantes!$E$35)),0)</f>
        <v>4.0966770451957668</v>
      </c>
      <c r="X356" s="170">
        <f>IF(Escenarios!$E$14&gt;0,Observaciones!$J355,0)</f>
        <v>0</v>
      </c>
      <c r="Y356" s="170">
        <f>IF(Escenarios!$E$14&gt;0,MAX(0,Z355+R356+S356+T356+Observaciones!$F355-U356-W356-X356-Constantes!$E$33),0)</f>
        <v>0</v>
      </c>
      <c r="Z356" s="170">
        <f>Z355+R356+S356+T356+Observaciones!$F355-U356-W356-Y356</f>
        <v>45.202123006058784</v>
      </c>
      <c r="AA356" s="170">
        <f>IF(Escenarios!$E$14&gt;0,(Escenarios!$E$13*L356+Escenarios!$E$14*W356)/(Escenarios!$E$16),L356)</f>
        <v>2.4354057496917494</v>
      </c>
      <c r="AB356" s="170">
        <f>IF(Escenarios!$E$14&gt;0,(Escenarios!$E$14*Y356)/(Escenarios!$E$16),K356)</f>
        <v>0</v>
      </c>
      <c r="AC356" s="170">
        <f>IF(Escenarios!$E$14&gt;0,(Escenarios!$E$13*M356+Escenarios!$E$14*U356)/(Escenarios!$E$16),M356)</f>
        <v>0</v>
      </c>
      <c r="AD356" s="76">
        <f t="shared" si="71"/>
        <v>59.348901013540875</v>
      </c>
      <c r="AE356" s="76">
        <f>MAX(0,(AD356-Constantes!$D$13)*(1-EXP(-Constantes!$D$23)))</f>
        <v>0.10443349614795953</v>
      </c>
      <c r="AF356" s="76">
        <f>AB356+O356*Escenarios!$E$13/Escenarios!$E$16+AE356</f>
        <v>0.27940913379156579</v>
      </c>
      <c r="AG356" s="76">
        <f>IF(Entradas!$E$91&gt;0,IF(AF356-Escenarios!$E$38&lt;=0,0,IF(AF356-Escenarios!$E$38&gt;Escenarios!$E$37,Escenarios!$E$37,AF356-Escenarios!$E$38)),0)</f>
        <v>0</v>
      </c>
      <c r="AH356" s="76">
        <f>AG356*Entradas!$E$99</f>
        <v>0</v>
      </c>
      <c r="AI356" s="76">
        <f>IF(Entradas!$E$91&gt;0,D356*Entradas!$D$23/Escenarios!$E$16,0)</f>
        <v>0</v>
      </c>
      <c r="AJ356" s="76">
        <f>IF(Entradas!$E$91&gt;0,Entradas!$D$24*Entradas!$D$22/Escenarios!$E$16,0)</f>
        <v>0</v>
      </c>
      <c r="AK356" s="76">
        <f t="shared" si="80"/>
        <v>2.4354057496917494</v>
      </c>
      <c r="AL356" s="76">
        <f t="shared" si="81"/>
        <v>0</v>
      </c>
      <c r="AM356" s="76">
        <f t="shared" si="72"/>
        <v>0</v>
      </c>
      <c r="AN356" s="76">
        <f>MAX(0,O356*Escenarios!$E$13/Escenarios!$E$16-AM356)</f>
        <v>0.17497563764360624</v>
      </c>
      <c r="AO356" s="76">
        <f>AM356+AN356-O356*Escenarios!$E$13/Escenarios!$E$16</f>
        <v>0</v>
      </c>
      <c r="AP356" s="76">
        <f t="shared" si="70"/>
        <v>0.10443349614795953</v>
      </c>
      <c r="AQ356" s="76">
        <f t="shared" si="73"/>
        <v>0</v>
      </c>
      <c r="AR356" s="76">
        <f t="shared" si="74"/>
        <v>0.27940913379156579</v>
      </c>
      <c r="AS356" s="76">
        <f t="shared" si="75"/>
        <v>0</v>
      </c>
      <c r="AT356" s="76">
        <f t="shared" si="76"/>
        <v>0</v>
      </c>
      <c r="AU356" s="76">
        <f t="shared" si="77"/>
        <v>48.75</v>
      </c>
      <c r="AV356" s="76">
        <f>MAX(0,(AU356-Constantes!$D$13)*(1-EXP(-Constantes!$D$24)))</f>
        <v>0</v>
      </c>
      <c r="AW356" s="170">
        <f>AW355+(Entradas!$E$112*AT356-AX355)/(800*Entradas!$D$25)</f>
        <v>0</v>
      </c>
      <c r="AX356" s="170">
        <f>8000*Entradas!$D$26*AW356/Constantes!$E$45</f>
        <v>0</v>
      </c>
      <c r="AY356" s="170">
        <f>IF(Escenarios!$E$17&gt;0,10*Escenarios!$E$16*AL356,0)</f>
        <v>0</v>
      </c>
      <c r="AZ356" s="170">
        <f>IF(Escenarios!$E$17&gt;0,10*Escenarios!$E$16*AX356,0)</f>
        <v>0</v>
      </c>
      <c r="BA356" s="170">
        <f>IF(Escenarios!$E$17&gt;0,0.001*Observaciones!$F355*Escenarios!$E$17,0)</f>
        <v>160</v>
      </c>
      <c r="BB356" s="170">
        <f>IF(Escenarios!$E$17&gt;0,Observaciones!$K355,0)</f>
        <v>0</v>
      </c>
      <c r="BC356" s="170">
        <f>IF(Escenarios!$E$17&gt;0,MIN(0.0005*ETo!$M355*Escenarios!$E$17*(BG355/Constantes!$E$40)^(2/3),BG355+AY356+AZ356+BA356+BB356),0)</f>
        <v>13.5166692316694</v>
      </c>
      <c r="BD356" s="170">
        <f>IF(Escenarios!$E$17&gt;0,MIN(Constantes!$E$39*(BG355/Constantes!$E$40)^(2/3),BG355+AY356+AZ356+BA356+BB356-BC356),0)</f>
        <v>21.259245861520952</v>
      </c>
      <c r="BE356" s="170">
        <f>IF(Escenarios!$E$17&gt;0,MIN(Entradas!$E$113,BG355+AY356+AZ356+BA356+BB356-BC356-BD356),0)</f>
        <v>1</v>
      </c>
      <c r="BF356" s="170">
        <f>IF(Escenarios!$E$17&gt;0,MAX(0,BG355+AY356+AZ356+BA356+BB356-BC356-BD356-BE356-Constantes!$E$40),0)</f>
        <v>0</v>
      </c>
      <c r="BG356" s="170">
        <f t="shared" si="82"/>
        <v>1037.4864105257398</v>
      </c>
      <c r="BH356" s="170">
        <f>(Escenarios!$E$16*AK356+0.1*BC356)/(Escenarios!$E$19)</f>
        <v>2.4214408902623186</v>
      </c>
      <c r="BI356" s="170">
        <f>IF(Escenarios!$E$17&gt;0,BF356/10/Escenarios!$E$19,AL356)</f>
        <v>0</v>
      </c>
      <c r="BJ356" s="170">
        <f>(Escenarios!$E$16*AT356+0.1*BD356)/(Escenarios!$E$19)</f>
        <v>8.4362086752067279E-3</v>
      </c>
      <c r="BK356" s="76">
        <f>BK355+(0.1*BD356)/(Escenarios!$E$19)-BL355</f>
        <v>49.565809278026791</v>
      </c>
      <c r="BL356" s="76">
        <f>MAX(0,(BK356-Constantes!$D$13)*(1-EXP(-Constantes!$D$23)))</f>
        <v>8.0383631270293052E-3</v>
      </c>
      <c r="BM356" s="76">
        <f t="shared" si="78"/>
        <v>0.11247185927498884</v>
      </c>
      <c r="BN356" s="76">
        <f t="shared" si="83"/>
        <v>0.28744749691859511</v>
      </c>
      <c r="BO356" s="76">
        <f>0.0526*BI356*Observaciones!$F355^1.218</f>
        <v>0</v>
      </c>
      <c r="BP356" s="76">
        <f>BO356*Constantes!$E$51</f>
        <v>0</v>
      </c>
      <c r="BQ356" s="76">
        <f t="shared" si="79"/>
        <v>0</v>
      </c>
      <c r="BR356" s="40"/>
    </row>
    <row r="357" spans="1:70">
      <c r="A357" s="147"/>
      <c r="B357" s="39"/>
      <c r="C357" s="75">
        <v>351</v>
      </c>
      <c r="D357" s="146">
        <f>ETo!$I356*((1-Constantes!$E$19)*ETo!$K356+ETo!$L356)</f>
        <v>4.3313775404966188</v>
      </c>
      <c r="E357" s="76">
        <f>MIN(D357*Constantes!$E$17,0.8*(N356+Observaciones!$F356-F357-M357-Constantes!$D$14))</f>
        <v>2.1176638120261315</v>
      </c>
      <c r="F357" s="76">
        <f>IF(Observaciones!$F356&gt;0.05*Constantes!$E$18,((Observaciones!$F356-0.05*Constantes!$E$18)^2)/(Observaciones!$F356+0.95*Constantes!$E$18),0)</f>
        <v>0</v>
      </c>
      <c r="G357" s="76">
        <f>IF(Escenarios!$E$11&gt;0,(F357*Escenarios!$E$16*10000)/1000,0)</f>
        <v>0</v>
      </c>
      <c r="H357" s="76">
        <f>IF(Escenarios!$E$11&gt;0,(Observaciones!$F356*Constantes!$E$29)/1000,0)</f>
        <v>18</v>
      </c>
      <c r="I357" s="76">
        <f>IF(Escenarios!$E$11&gt;0,(D357*Constantes!$E$29)/1000,0)</f>
        <v>43.313775404966186</v>
      </c>
      <c r="J357" s="76">
        <f>IF(Escenarios!$E$11&gt;0,MAX(0,G357+H357-I357),0)</f>
        <v>0</v>
      </c>
      <c r="K357" s="76">
        <f>IF(Escenarios!$E$11&gt;0,IF(J357&gt;Constantes!$E$30,1000*((J357-Constantes!$E$30)/(Escenarios!$E$16*10000)),0),F357)</f>
        <v>0</v>
      </c>
      <c r="L357" s="76">
        <f>IF(Escenarios!$E$11&gt;0,I357*1000/Escenarios!$E$16/10000+E357,E357)</f>
        <v>2.134989322188118</v>
      </c>
      <c r="M357" s="76">
        <f>MAX(0,N356+Observaciones!$F356-K357-Constantes!$D$13)</f>
        <v>0</v>
      </c>
      <c r="N357" s="76">
        <f>N356+Observaciones!$F356-K357-L357-M357-O356</f>
        <v>16.553359785330265</v>
      </c>
      <c r="O357" s="76">
        <f>MAX(0,(N357-Constantes!$D$14)*(1-EXP(-Constantes!$D$22)))</f>
        <v>0.18065190332069161</v>
      </c>
      <c r="P357" s="170">
        <f>P356+(Entradas!$E$83*M357-Q356)/(800*Entradas!$D$25)</f>
        <v>0</v>
      </c>
      <c r="Q357" s="170">
        <f>8000*Entradas!$D$26*P357/Constantes!$E$45</f>
        <v>0</v>
      </c>
      <c r="R357" s="170">
        <f>IF(Escenarios!$E$14&gt;0,K357*Escenarios!$E$13/Escenarios!$E$14,0)</f>
        <v>0</v>
      </c>
      <c r="S357" s="170">
        <f>IF(Escenarios!$E$14&gt;0,Q357*Escenarios!$E$13/Escenarios!$E$14,0)</f>
        <v>0</v>
      </c>
      <c r="T357" s="170">
        <f>IF(Escenarios!$E$14&gt;0,Observaciones!$I356,0)</f>
        <v>0</v>
      </c>
      <c r="U357" s="170">
        <f>IF(Escenarios!$E$14&gt;0,MAX(0,Constantes!$E$36/((Z356+R357+S357+T357+Observaciones!$F356)^2)+Entradas!$E$77),0)</f>
        <v>0</v>
      </c>
      <c r="V357" s="146">
        <f>IF(ETo!D356&gt;0,ETo!I356*((1-Entradas!$E$81)*ETo!K356+ETo!L356),0)</f>
        <v>3.9579712278625352</v>
      </c>
      <c r="W357" s="170">
        <f>IF(Escenarios!$E$14&gt;0,MIN(V357*1,0.8*(Z356+R357+S357+T357+Observaciones!$F356-U357-Constantes!$E$35)),0)</f>
        <v>3.9579712278625352</v>
      </c>
      <c r="X357" s="170">
        <f>IF(Escenarios!$E$14&gt;0,Observaciones!$J356,0)</f>
        <v>0</v>
      </c>
      <c r="Y357" s="170">
        <f>IF(Escenarios!$E$14&gt;0,MAX(0,Z356+R357+S357+T357+Observaciones!$F356-U357-W357-X357-Constantes!$E$33),0)</f>
        <v>0</v>
      </c>
      <c r="Z357" s="170">
        <f>Z356+R357+S357+T357+Observaciones!$F356-U357-W357-Y357</f>
        <v>43.044151778196245</v>
      </c>
      <c r="AA357" s="170">
        <f>IF(Escenarios!$E$14&gt;0,(Escenarios!$E$13*L357+Escenarios!$E$14*W357)/(Escenarios!$E$16),L357)</f>
        <v>2.3537471508690482</v>
      </c>
      <c r="AB357" s="170">
        <f>IF(Escenarios!$E$14&gt;0,(Escenarios!$E$14*Y357)/(Escenarios!$E$16),K357)</f>
        <v>0</v>
      </c>
      <c r="AC357" s="170">
        <f>IF(Escenarios!$E$14&gt;0,(Escenarios!$E$13*M357+Escenarios!$E$14*U357)/(Escenarios!$E$16),M357)</f>
        <v>0</v>
      </c>
      <c r="AD357" s="76">
        <f t="shared" si="71"/>
        <v>59.244467517392913</v>
      </c>
      <c r="AE357" s="76">
        <f>MAX(0,(AD357-Constantes!$D$13)*(1-EXP(-Constantes!$D$23)))</f>
        <v>0.10340448803629282</v>
      </c>
      <c r="AF357" s="76">
        <f>AB357+O357*Escenarios!$E$13/Escenarios!$E$16+AE357</f>
        <v>0.26237816295850147</v>
      </c>
      <c r="AG357" s="76">
        <f>IF(Entradas!$E$91&gt;0,IF(AF357-Escenarios!$E$38&lt;=0,0,IF(AF357-Escenarios!$E$38&gt;Escenarios!$E$37,Escenarios!$E$37,AF357-Escenarios!$E$38)),0)</f>
        <v>0</v>
      </c>
      <c r="AH357" s="76">
        <f>AG357*Entradas!$E$99</f>
        <v>0</v>
      </c>
      <c r="AI357" s="76">
        <f>IF(Entradas!$E$91&gt;0,D357*Entradas!$D$23/Escenarios!$E$16,0)</f>
        <v>0</v>
      </c>
      <c r="AJ357" s="76">
        <f>IF(Entradas!$E$91&gt;0,Entradas!$D$24*Entradas!$D$22/Escenarios!$E$16,0)</f>
        <v>0</v>
      </c>
      <c r="AK357" s="76">
        <f t="shared" si="80"/>
        <v>2.3537471508690482</v>
      </c>
      <c r="AL357" s="76">
        <f t="shared" si="81"/>
        <v>0</v>
      </c>
      <c r="AM357" s="76">
        <f t="shared" si="72"/>
        <v>0</v>
      </c>
      <c r="AN357" s="76">
        <f>MAX(0,O357*Escenarios!$E$13/Escenarios!$E$16-AM357)</f>
        <v>0.15897367492220862</v>
      </c>
      <c r="AO357" s="76">
        <f>AM357+AN357-O357*Escenarios!$E$13/Escenarios!$E$16</f>
        <v>0</v>
      </c>
      <c r="AP357" s="76">
        <f t="shared" si="70"/>
        <v>0.10340448803629282</v>
      </c>
      <c r="AQ357" s="76">
        <f t="shared" si="73"/>
        <v>0</v>
      </c>
      <c r="AR357" s="76">
        <f t="shared" si="74"/>
        <v>0.26237816295850147</v>
      </c>
      <c r="AS357" s="76">
        <f t="shared" si="75"/>
        <v>0</v>
      </c>
      <c r="AT357" s="76">
        <f t="shared" si="76"/>
        <v>0</v>
      </c>
      <c r="AU357" s="76">
        <f t="shared" si="77"/>
        <v>48.75</v>
      </c>
      <c r="AV357" s="76">
        <f>MAX(0,(AU357-Constantes!$D$13)*(1-EXP(-Constantes!$D$24)))</f>
        <v>0</v>
      </c>
      <c r="AW357" s="170">
        <f>AW356+(Entradas!$E$112*AT357-AX356)/(800*Entradas!$D$25)</f>
        <v>0</v>
      </c>
      <c r="AX357" s="170">
        <f>8000*Entradas!$D$26*AW357/Constantes!$E$45</f>
        <v>0</v>
      </c>
      <c r="AY357" s="170">
        <f>IF(Escenarios!$E$17&gt;0,10*Escenarios!$E$16*AL357,0)</f>
        <v>0</v>
      </c>
      <c r="AZ357" s="170">
        <f>IF(Escenarios!$E$17&gt;0,10*Escenarios!$E$16*AX357,0)</f>
        <v>0</v>
      </c>
      <c r="BA357" s="170">
        <f>IF(Escenarios!$E$17&gt;0,0.001*Observaciones!$F356*Escenarios!$E$17,0)</f>
        <v>36</v>
      </c>
      <c r="BB357" s="170">
        <f>IF(Escenarios!$E$17&gt;0,Observaciones!$K356,0)</f>
        <v>0</v>
      </c>
      <c r="BC357" s="170">
        <f>IF(Escenarios!$E$17&gt;0,MIN(0.0005*ETo!$M356*Escenarios!$E$17*(BG356/Constantes!$E$40)^(2/3),BG356+AY357+AZ357+BA357+BB357),0)</f>
        <v>14.231617803776384</v>
      </c>
      <c r="BD357" s="170">
        <f>IF(Escenarios!$E$17&gt;0,MIN(Constantes!$E$39*(BG356/Constantes!$E$40)^(2/3),BG356+AY357+AZ357+BA357+BB357-BC357),0)</f>
        <v>23.145812868966523</v>
      </c>
      <c r="BE357" s="170">
        <f>IF(Escenarios!$E$17&gt;0,MIN(Entradas!$E$113,BG356+AY357+AZ357+BA357+BB357-BC357-BD357),0)</f>
        <v>1</v>
      </c>
      <c r="BF357" s="170">
        <f>IF(Escenarios!$E$17&gt;0,MAX(0,BG356+AY357+AZ357+BA357+BB357-BC357-BD357-BE357-Constantes!$E$40),0)</f>
        <v>0</v>
      </c>
      <c r="BG357" s="170">
        <f t="shared" si="82"/>
        <v>1035.108979852997</v>
      </c>
      <c r="BH357" s="170">
        <f>(Escenarios!$E$16*AK357+0.1*BC357)/(Escenarios!$E$19)</f>
        <v>2.3407140853080941</v>
      </c>
      <c r="BI357" s="170">
        <f>IF(Escenarios!$E$17&gt;0,BF357/10/Escenarios!$E$19,AL357)</f>
        <v>0</v>
      </c>
      <c r="BJ357" s="170">
        <f>(Escenarios!$E$16*AT357+0.1*BD357)/(Escenarios!$E$19)</f>
        <v>9.1848463765740167E-3</v>
      </c>
      <c r="BK357" s="76">
        <f>BK356+(0.1*BD357)/(Escenarios!$E$19)-BL356</f>
        <v>49.56695576127634</v>
      </c>
      <c r="BL357" s="76">
        <f>MAX(0,(BK357-Constantes!$D$13)*(1-EXP(-Constantes!$D$23)))</f>
        <v>8.0496596995581482E-3</v>
      </c>
      <c r="BM357" s="76">
        <f t="shared" si="78"/>
        <v>0.11145414773585097</v>
      </c>
      <c r="BN357" s="76">
        <f t="shared" si="83"/>
        <v>0.27042782265805965</v>
      </c>
      <c r="BO357" s="76">
        <f>0.0526*BI357*Observaciones!$F356^1.218</f>
        <v>0</v>
      </c>
      <c r="BP357" s="76">
        <f>BO357*Constantes!$E$51</f>
        <v>0</v>
      </c>
      <c r="BQ357" s="76">
        <f t="shared" si="79"/>
        <v>0</v>
      </c>
      <c r="BR357" s="40"/>
    </row>
    <row r="358" spans="1:70">
      <c r="A358" s="147"/>
      <c r="B358" s="39"/>
      <c r="C358" s="75">
        <v>352</v>
      </c>
      <c r="D358" s="146">
        <f>ETo!$I357*((1-Constantes!$E$19)*ETo!$K357+ETo!$L357)</f>
        <v>4.2995457323292596</v>
      </c>
      <c r="E358" s="76">
        <f>MIN(D358*Constantes!$E$17,0.8*(N357+Observaciones!$F357-F358-M358-Constantes!$D$14))</f>
        <v>2.1021008490663973</v>
      </c>
      <c r="F358" s="76">
        <f>IF(Observaciones!$F357&gt;0.05*Constantes!$E$18,((Observaciones!$F357-0.05*Constantes!$E$18)^2)/(Observaciones!$F357+0.95*Constantes!$E$18),0)</f>
        <v>0</v>
      </c>
      <c r="G358" s="76">
        <f>IF(Escenarios!$E$11&gt;0,(F358*Escenarios!$E$16*10000)/1000,0)</f>
        <v>0</v>
      </c>
      <c r="H358" s="76">
        <f>IF(Escenarios!$E$11&gt;0,(Observaciones!$F357*Constantes!$E$29)/1000,0)</f>
        <v>6</v>
      </c>
      <c r="I358" s="76">
        <f>IF(Escenarios!$E$11&gt;0,(D358*Constantes!$E$29)/1000,0)</f>
        <v>42.995457323292598</v>
      </c>
      <c r="J358" s="76">
        <f>IF(Escenarios!$E$11&gt;0,MAX(0,G358+H358-I358),0)</f>
        <v>0</v>
      </c>
      <c r="K358" s="76">
        <f>IF(Escenarios!$E$11&gt;0,IF(J358&gt;Constantes!$E$30,1000*((J358-Constantes!$E$30)/(Escenarios!$E$16*10000)),0),F358)</f>
        <v>0</v>
      </c>
      <c r="L358" s="76">
        <f>IF(Escenarios!$E$11&gt;0,I358*1000/Escenarios!$E$16/10000+E358,E358)</f>
        <v>2.1192990319957143</v>
      </c>
      <c r="M358" s="76">
        <f>MAX(0,N357+Observaciones!$F357-K358-Constantes!$D$13)</f>
        <v>0</v>
      </c>
      <c r="N358" s="76">
        <f>N357+Observaciones!$F357-K358-L358-M358-O357</f>
        <v>14.85340885001386</v>
      </c>
      <c r="O358" s="76">
        <f>MAX(0,(N358-Constantes!$D$14)*(1-EXP(-Constantes!$D$22)))</f>
        <v>0.1227453338161725</v>
      </c>
      <c r="P358" s="170">
        <f>P357+(Entradas!$E$83*M358-Q357)/(800*Entradas!$D$25)</f>
        <v>0</v>
      </c>
      <c r="Q358" s="170">
        <f>8000*Entradas!$D$26*P358/Constantes!$E$45</f>
        <v>0</v>
      </c>
      <c r="R358" s="170">
        <f>IF(Escenarios!$E$14&gt;0,K358*Escenarios!$E$13/Escenarios!$E$14,0)</f>
        <v>0</v>
      </c>
      <c r="S358" s="170">
        <f>IF(Escenarios!$E$14&gt;0,Q358*Escenarios!$E$13/Escenarios!$E$14,0)</f>
        <v>0</v>
      </c>
      <c r="T358" s="170">
        <f>IF(Escenarios!$E$14&gt;0,Observaciones!$I357,0)</f>
        <v>0</v>
      </c>
      <c r="U358" s="170">
        <f>IF(Escenarios!$E$14&gt;0,MAX(0,Constantes!$E$36/((Z357+R358+S358+T358+Observaciones!$F357)^2)+Entradas!$E$77),0)</f>
        <v>0</v>
      </c>
      <c r="V358" s="146">
        <f>IF(ETo!D357&gt;0,ETo!I357*((1-Entradas!$E$81)*ETo!K357+ETo!L357),0)</f>
        <v>3.9285758859375788</v>
      </c>
      <c r="W358" s="170">
        <f>IF(Escenarios!$E$14&gt;0,MIN(V358*1,0.8*(Z357+R358+S358+T358+Observaciones!$F357-U358-Constantes!$E$35)),0)</f>
        <v>1.915321422556997</v>
      </c>
      <c r="X358" s="170">
        <f>IF(Escenarios!$E$14&gt;0,Observaciones!$J357,0)</f>
        <v>0</v>
      </c>
      <c r="Y358" s="170">
        <f>IF(Escenarios!$E$14&gt;0,MAX(0,Z357+R358+S358+T358+Observaciones!$F357-U358-W358-X358-Constantes!$E$33),0)</f>
        <v>0</v>
      </c>
      <c r="Z358" s="170">
        <f>Z357+R358+S358+T358+Observaciones!$F357-U358-W358-Y358</f>
        <v>41.728830355639246</v>
      </c>
      <c r="AA358" s="170">
        <f>IF(Escenarios!$E$14&gt;0,(Escenarios!$E$13*L358+Escenarios!$E$14*W358)/(Escenarios!$E$16),L358)</f>
        <v>2.0948217188630682</v>
      </c>
      <c r="AB358" s="170">
        <f>IF(Escenarios!$E$14&gt;0,(Escenarios!$E$14*Y358)/(Escenarios!$E$16),K358)</f>
        <v>0</v>
      </c>
      <c r="AC358" s="170">
        <f>IF(Escenarios!$E$14&gt;0,(Escenarios!$E$13*M358+Escenarios!$E$14*U358)/(Escenarios!$E$16),M358)</f>
        <v>0</v>
      </c>
      <c r="AD358" s="76">
        <f t="shared" si="71"/>
        <v>59.141063029356623</v>
      </c>
      <c r="AE358" s="76">
        <f>MAX(0,(AD358-Constantes!$D$13)*(1-EXP(-Constantes!$D$23)))</f>
        <v>0.10238561898664104</v>
      </c>
      <c r="AF358" s="76">
        <f>AB358+O358*Escenarios!$E$13/Escenarios!$E$16+AE358</f>
        <v>0.21040151274487284</v>
      </c>
      <c r="AG358" s="76">
        <f>IF(Entradas!$E$91&gt;0,IF(AF358-Escenarios!$E$38&lt;=0,0,IF(AF358-Escenarios!$E$38&gt;Escenarios!$E$37,Escenarios!$E$37,AF358-Escenarios!$E$38)),0)</f>
        <v>0</v>
      </c>
      <c r="AH358" s="76">
        <f>AG358*Entradas!$E$99</f>
        <v>0</v>
      </c>
      <c r="AI358" s="76">
        <f>IF(Entradas!$E$91&gt;0,D358*Entradas!$D$23/Escenarios!$E$16,0)</f>
        <v>0</v>
      </c>
      <c r="AJ358" s="76">
        <f>IF(Entradas!$E$91&gt;0,Entradas!$D$24*Entradas!$D$22/Escenarios!$E$16,0)</f>
        <v>0</v>
      </c>
      <c r="AK358" s="76">
        <f t="shared" si="80"/>
        <v>2.0948217188630682</v>
      </c>
      <c r="AL358" s="76">
        <f t="shared" si="81"/>
        <v>0</v>
      </c>
      <c r="AM358" s="76">
        <f t="shared" si="72"/>
        <v>0</v>
      </c>
      <c r="AN358" s="76">
        <f>MAX(0,O358*Escenarios!$E$13/Escenarios!$E$16-AM358)</f>
        <v>0.1080158937582318</v>
      </c>
      <c r="AO358" s="76">
        <f>AM358+AN358-O358*Escenarios!$E$13/Escenarios!$E$16</f>
        <v>0</v>
      </c>
      <c r="AP358" s="76">
        <f t="shared" si="70"/>
        <v>0.10238561898664104</v>
      </c>
      <c r="AQ358" s="76">
        <f t="shared" si="73"/>
        <v>0</v>
      </c>
      <c r="AR358" s="76">
        <f t="shared" si="74"/>
        <v>0.21040151274487284</v>
      </c>
      <c r="AS358" s="76">
        <f t="shared" si="75"/>
        <v>0</v>
      </c>
      <c r="AT358" s="76">
        <f t="shared" si="76"/>
        <v>0</v>
      </c>
      <c r="AU358" s="76">
        <f t="shared" si="77"/>
        <v>48.75</v>
      </c>
      <c r="AV358" s="76">
        <f>MAX(0,(AU358-Constantes!$D$13)*(1-EXP(-Constantes!$D$24)))</f>
        <v>0</v>
      </c>
      <c r="AW358" s="170">
        <f>AW357+(Entradas!$E$112*AT358-AX357)/(800*Entradas!$D$25)</f>
        <v>0</v>
      </c>
      <c r="AX358" s="170">
        <f>8000*Entradas!$D$26*AW358/Constantes!$E$45</f>
        <v>0</v>
      </c>
      <c r="AY358" s="170">
        <f>IF(Escenarios!$E$17&gt;0,10*Escenarios!$E$16*AL358,0)</f>
        <v>0</v>
      </c>
      <c r="AZ358" s="170">
        <f>IF(Escenarios!$E$17&gt;0,10*Escenarios!$E$16*AX358,0)</f>
        <v>0</v>
      </c>
      <c r="BA358" s="170">
        <f>IF(Escenarios!$E$17&gt;0,0.001*Observaciones!$F357*Escenarios!$E$17,0)</f>
        <v>11.999999999999998</v>
      </c>
      <c r="BB358" s="170">
        <f>IF(Escenarios!$E$17&gt;0,Observaciones!$K357,0)</f>
        <v>0</v>
      </c>
      <c r="BC358" s="170">
        <f>IF(Escenarios!$E$17&gt;0,MIN(0.0005*ETo!$M357*Escenarios!$E$17*(BG357/Constantes!$E$40)^(2/3),BG357+AY358+AZ358+BA358+BB358),0)</f>
        <v>14.106836909624294</v>
      </c>
      <c r="BD358" s="170">
        <f>IF(Escenarios!$E$17&gt;0,MIN(Constantes!$E$39*(BG357/Constantes!$E$40)^(2/3),BG357+AY358+AZ358+BA358+BB358-BC358),0)</f>
        <v>23.110439809265635</v>
      </c>
      <c r="BE358" s="170">
        <f>IF(Escenarios!$E$17&gt;0,MIN(Entradas!$E$113,BG357+AY358+AZ358+BA358+BB358-BC358-BD358),0)</f>
        <v>1</v>
      </c>
      <c r="BF358" s="170">
        <f>IF(Escenarios!$E$17&gt;0,MAX(0,BG357+AY358+AZ358+BA358+BB358-BC358-BD358-BE358-Constantes!$E$40),0)</f>
        <v>0</v>
      </c>
      <c r="BG358" s="170">
        <f t="shared" si="82"/>
        <v>1008.8917031341072</v>
      </c>
      <c r="BH358" s="170">
        <f>(Escenarios!$E$16*AK358+0.1*BC358)/(Escenarios!$E$19)</f>
        <v>2.0837941008203549</v>
      </c>
      <c r="BI358" s="170">
        <f>IF(Escenarios!$E$17&gt;0,BF358/10/Escenarios!$E$19,AL358)</f>
        <v>0</v>
      </c>
      <c r="BJ358" s="170">
        <f>(Escenarios!$E$16*AT358+0.1*BD358)/(Escenarios!$E$19)</f>
        <v>9.1708094481212851E-3</v>
      </c>
      <c r="BK358" s="76">
        <f>BK357+(0.1*BD358)/(Escenarios!$E$19)-BL357</f>
        <v>49.568076911024903</v>
      </c>
      <c r="BL358" s="76">
        <f>MAX(0,(BK358-Constantes!$D$13)*(1-EXP(-Constantes!$D$23)))</f>
        <v>8.0607066550678064E-3</v>
      </c>
      <c r="BM358" s="76">
        <f t="shared" si="78"/>
        <v>0.11044632564170885</v>
      </c>
      <c r="BN358" s="76">
        <f t="shared" si="83"/>
        <v>0.21846221939994065</v>
      </c>
      <c r="BO358" s="76">
        <f>0.0526*BI358*Observaciones!$F357^1.218</f>
        <v>0</v>
      </c>
      <c r="BP358" s="76">
        <f>BO358*Constantes!$E$51</f>
        <v>0</v>
      </c>
      <c r="BQ358" s="76">
        <f t="shared" si="79"/>
        <v>0</v>
      </c>
      <c r="BR358" s="40"/>
    </row>
    <row r="359" spans="1:70">
      <c r="A359" s="147"/>
      <c r="B359" s="39"/>
      <c r="C359" s="75">
        <v>353</v>
      </c>
      <c r="D359" s="146">
        <f>ETo!$I358*((1-Constantes!$E$19)*ETo!$K358+ETo!$L358)</f>
        <v>4.2995268093838694</v>
      </c>
      <c r="E359" s="76">
        <f>MIN(D359*Constantes!$E$17,0.8*(N358+Observaciones!$F358-F359-M359-Constantes!$D$14))</f>
        <v>2.1020915974053969</v>
      </c>
      <c r="F359" s="76">
        <f>IF(Observaciones!$F358&gt;0.05*Constantes!$E$18,((Observaciones!$F358-0.05*Constantes!$E$18)^2)/(Observaciones!$F358+0.95*Constantes!$E$18),0)</f>
        <v>0.97198928061675927</v>
      </c>
      <c r="G359" s="76">
        <f>IF(Escenarios!$E$11&gt;0,(F359*Escenarios!$E$16*10000)/1000,0)</f>
        <v>2429.9732015418981</v>
      </c>
      <c r="H359" s="76">
        <f>IF(Escenarios!$E$11&gt;0,(Observaciones!$F358*Constantes!$E$29)/1000,0)</f>
        <v>172</v>
      </c>
      <c r="I359" s="76">
        <f>IF(Escenarios!$E$11&gt;0,(D359*Constantes!$E$29)/1000,0)</f>
        <v>42.995268093838689</v>
      </c>
      <c r="J359" s="76">
        <f>IF(Escenarios!$E$11&gt;0,MAX(0,G359+H359-I359),0)</f>
        <v>2558.9779334480595</v>
      </c>
      <c r="K359" s="76">
        <f>IF(Escenarios!$E$11&gt;0,IF(J359&gt;Constantes!$E$30,1000*((J359-Constantes!$E$30)/(Escenarios!$E$16*10000)),0),F359)</f>
        <v>0.50888529102628266</v>
      </c>
      <c r="L359" s="76">
        <f>IF(Escenarios!$E$11&gt;0,I359*1000/Escenarios!$E$16/10000+E359,E359)</f>
        <v>2.1192897046429322</v>
      </c>
      <c r="M359" s="76">
        <f>MAX(0,N358+Observaciones!$F358-K359-Constantes!$D$13)</f>
        <v>0</v>
      </c>
      <c r="N359" s="76">
        <f>N358+Observaciones!$F358-K359-L359-M359-O358</f>
        <v>29.302488520528474</v>
      </c>
      <c r="O359" s="76">
        <f>MAX(0,(N359-Constantes!$D$14)*(1-EXP(-Constantes!$D$22)))</f>
        <v>0.61493403105128264</v>
      </c>
      <c r="P359" s="170">
        <f>P358+(Entradas!$E$83*M359-Q358)/(800*Entradas!$D$25)</f>
        <v>0</v>
      </c>
      <c r="Q359" s="170">
        <f>8000*Entradas!$D$26*P359/Constantes!$E$45</f>
        <v>0</v>
      </c>
      <c r="R359" s="170">
        <f>IF(Escenarios!$E$14&gt;0,K359*Escenarios!$E$13/Escenarios!$E$14,0)</f>
        <v>3.7318254675260727</v>
      </c>
      <c r="S359" s="170">
        <f>IF(Escenarios!$E$14&gt;0,Q359*Escenarios!$E$13/Escenarios!$E$14,0)</f>
        <v>0</v>
      </c>
      <c r="T359" s="170">
        <f>IF(Escenarios!$E$14&gt;0,Observaciones!$I358,0)</f>
        <v>0</v>
      </c>
      <c r="U359" s="170">
        <f>IF(Escenarios!$E$14&gt;0,MAX(0,Constantes!$E$36/((Z358+R359+S359+T359+Observaciones!$F358)^2)+Entradas!$E$77),0)</f>
        <v>0.3851720719687699</v>
      </c>
      <c r="V359" s="146">
        <f>IF(ETo!D358&gt;0,ETo!I358*((1-Entradas!$E$81)*ETo!K358+ETo!L358),0)</f>
        <v>3.928558167823919</v>
      </c>
      <c r="W359" s="170">
        <f>IF(Escenarios!$E$14&gt;0,MIN(V359*1,0.8*(Z358+R359+S359+T359+Observaciones!$F358-U359-Constantes!$E$35)),0)</f>
        <v>3.928558167823919</v>
      </c>
      <c r="X359" s="170">
        <f>IF(Escenarios!$E$14&gt;0,Observaciones!$J358,0)</f>
        <v>0</v>
      </c>
      <c r="Y359" s="170">
        <f>IF(Escenarios!$E$14&gt;0,MAX(0,Z358+R359+S359+T359+Observaciones!$F358-U359-W359-X359-Constantes!$E$33),0)</f>
        <v>0</v>
      </c>
      <c r="Z359" s="170">
        <f>Z358+R359+S359+T359+Observaciones!$F358-U359-W359-Y359</f>
        <v>58.346925583372624</v>
      </c>
      <c r="AA359" s="170">
        <f>IF(Escenarios!$E$14&gt;0,(Escenarios!$E$13*L359+Escenarios!$E$14*W359)/(Escenarios!$E$16),L359)</f>
        <v>2.3364019202246511</v>
      </c>
      <c r="AB359" s="170">
        <f>IF(Escenarios!$E$14&gt;0,(Escenarios!$E$14*Y359)/(Escenarios!$E$16),K359)</f>
        <v>0</v>
      </c>
      <c r="AC359" s="170">
        <f>IF(Escenarios!$E$14&gt;0,(Escenarios!$E$13*M359+Escenarios!$E$14*U359)/(Escenarios!$E$16),M359)</f>
        <v>4.6220648636252394E-2</v>
      </c>
      <c r="AD359" s="76">
        <f t="shared" si="71"/>
        <v>59.084898059006235</v>
      </c>
      <c r="AE359" s="76">
        <f>MAX(0,(AD359-Constantes!$D$13)*(1-EXP(-Constantes!$D$23)))</f>
        <v>0.10183221215632497</v>
      </c>
      <c r="AF359" s="76">
        <f>AB359+O359*Escenarios!$E$13/Escenarios!$E$16+AE359</f>
        <v>0.64297415948145376</v>
      </c>
      <c r="AG359" s="76">
        <f>IF(Entradas!$E$91&gt;0,IF(AF359-Escenarios!$E$38&lt;=0,0,IF(AF359-Escenarios!$E$38&gt;Escenarios!$E$37,Escenarios!$E$37,AF359-Escenarios!$E$38)),0)</f>
        <v>0</v>
      </c>
      <c r="AH359" s="76">
        <f>AG359*Entradas!$E$99</f>
        <v>0</v>
      </c>
      <c r="AI359" s="76">
        <f>IF(Entradas!$E$91&gt;0,D359*Entradas!$D$23/Escenarios!$E$16,0)</f>
        <v>0</v>
      </c>
      <c r="AJ359" s="76">
        <f>IF(Entradas!$E$91&gt;0,Entradas!$D$24*Entradas!$D$22/Escenarios!$E$16,0)</f>
        <v>0</v>
      </c>
      <c r="AK359" s="76">
        <f t="shared" si="80"/>
        <v>2.3364019202246511</v>
      </c>
      <c r="AL359" s="76">
        <f t="shared" si="81"/>
        <v>0</v>
      </c>
      <c r="AM359" s="76">
        <f t="shared" si="72"/>
        <v>0</v>
      </c>
      <c r="AN359" s="76">
        <f>MAX(0,O359*Escenarios!$E$13/Escenarios!$E$16-AM359)</f>
        <v>0.54114194732512877</v>
      </c>
      <c r="AO359" s="76">
        <f>AM359+AN359-O359*Escenarios!$E$13/Escenarios!$E$16</f>
        <v>0</v>
      </c>
      <c r="AP359" s="76">
        <f t="shared" si="70"/>
        <v>0.10183221215632497</v>
      </c>
      <c r="AQ359" s="76">
        <f t="shared" si="73"/>
        <v>0</v>
      </c>
      <c r="AR359" s="76">
        <f t="shared" si="74"/>
        <v>0.64297415948145376</v>
      </c>
      <c r="AS359" s="76">
        <f t="shared" si="75"/>
        <v>0</v>
      </c>
      <c r="AT359" s="76">
        <f t="shared" si="76"/>
        <v>4.6220648636252394E-2</v>
      </c>
      <c r="AU359" s="76">
        <f t="shared" si="77"/>
        <v>48.75</v>
      </c>
      <c r="AV359" s="76">
        <f>MAX(0,(AU359-Constantes!$D$13)*(1-EXP(-Constantes!$D$24)))</f>
        <v>0</v>
      </c>
      <c r="AW359" s="170">
        <f>AW358+(Entradas!$E$112*AT359-AX358)/(800*Entradas!$D$25)</f>
        <v>0</v>
      </c>
      <c r="AX359" s="170">
        <f>8000*Entradas!$D$26*AW359/Constantes!$E$45</f>
        <v>0</v>
      </c>
      <c r="AY359" s="170">
        <f>IF(Escenarios!$E$17&gt;0,10*Escenarios!$E$16*AL359,0)</f>
        <v>0</v>
      </c>
      <c r="AZ359" s="170">
        <f>IF(Escenarios!$E$17&gt;0,10*Escenarios!$E$16*AX359,0)</f>
        <v>0</v>
      </c>
      <c r="BA359" s="170">
        <f>IF(Escenarios!$E$17&gt;0,0.001*Observaciones!$F358*Escenarios!$E$17,0)</f>
        <v>344</v>
      </c>
      <c r="BB359" s="170">
        <f>IF(Escenarios!$E$17&gt;0,Observaciones!$K358,0)</f>
        <v>0</v>
      </c>
      <c r="BC359" s="170">
        <f>IF(Escenarios!$E$17&gt;0,MIN(0.0005*ETo!$M358*Escenarios!$E$17*(BG358/Constantes!$E$40)^(2/3),BG358+AY359+AZ359+BA359+BB359),0)</f>
        <v>13.867561805338578</v>
      </c>
      <c r="BD359" s="170">
        <f>IF(Escenarios!$E$17&gt;0,MIN(Constantes!$E$39*(BG358/Constantes!$E$40)^(2/3),BG358+AY359+AZ359+BA359+BB359-BC359),0)</f>
        <v>22.71854567980203</v>
      </c>
      <c r="BE359" s="170">
        <f>IF(Escenarios!$E$17&gt;0,MIN(Entradas!$E$113,BG358+AY359+AZ359+BA359+BB359-BC359-BD359),0)</f>
        <v>1</v>
      </c>
      <c r="BF359" s="170">
        <f>IF(Escenarios!$E$17&gt;0,MAX(0,BG358+AY359+AZ359+BA359+BB359-BC359-BD359-BE359-Constantes!$E$40),0)</f>
        <v>0</v>
      </c>
      <c r="BG359" s="170">
        <f t="shared" si="82"/>
        <v>1315.3055956489666</v>
      </c>
      <c r="BH359" s="170">
        <f>(Escenarios!$E$16*AK359+0.1*BC359)/(Escenarios!$E$19)</f>
        <v>2.32336204855832</v>
      </c>
      <c r="BI359" s="170">
        <f>IF(Escenarios!$E$17&gt;0,BF359/10/Escenarios!$E$19,AL359)</f>
        <v>0</v>
      </c>
      <c r="BJ359" s="170">
        <f>(Escenarios!$E$16*AT359+0.1*BD359)/(Escenarios!$E$19)</f>
        <v>5.4869113996203575E-2</v>
      </c>
      <c r="BK359" s="76">
        <f>BK358+(0.1*BD359)/(Escenarios!$E$19)-BL358</f>
        <v>49.569031500274519</v>
      </c>
      <c r="BL359" s="76">
        <f>MAX(0,(BK359-Constantes!$D$13)*(1-EXP(-Constantes!$D$23)))</f>
        <v>8.0701124503097226E-3</v>
      </c>
      <c r="BM359" s="76">
        <f t="shared" si="78"/>
        <v>0.1099023246066347</v>
      </c>
      <c r="BN359" s="76">
        <f t="shared" si="83"/>
        <v>0.65104427193176351</v>
      </c>
      <c r="BO359" s="76">
        <f>0.0526*BI359*Observaciones!$F358^1.218</f>
        <v>0</v>
      </c>
      <c r="BP359" s="76">
        <f>BO359*Constantes!$E$51</f>
        <v>0</v>
      </c>
      <c r="BQ359" s="76">
        <f t="shared" si="79"/>
        <v>0</v>
      </c>
      <c r="BR359" s="40"/>
    </row>
    <row r="360" spans="1:70">
      <c r="A360" s="147"/>
      <c r="B360" s="39"/>
      <c r="C360" s="75">
        <v>354</v>
      </c>
      <c r="D360" s="146">
        <f>ETo!$I359*((1-Constantes!$E$19)*ETo!$K359+ETo!$L359)</f>
        <v>4.38128545048533</v>
      </c>
      <c r="E360" s="76">
        <f>MIN(D360*Constantes!$E$17,0.8*(N359+Observaciones!$F359-F360-M360-Constantes!$D$14))</f>
        <v>2.1420644037383085</v>
      </c>
      <c r="F360" s="76">
        <f>IF(Observaciones!$F359&gt;0.05*Constantes!$E$18,((Observaciones!$F359-0.05*Constantes!$E$18)^2)/(Observaciones!$F359+0.95*Constantes!$E$18),0)</f>
        <v>0</v>
      </c>
      <c r="G360" s="76">
        <f>IF(Escenarios!$E$11&gt;0,(F360*Escenarios!$E$16*10000)/1000,0)</f>
        <v>0</v>
      </c>
      <c r="H360" s="76">
        <f>IF(Escenarios!$E$11&gt;0,(Observaciones!$F359*Constantes!$E$29)/1000,0)</f>
        <v>0</v>
      </c>
      <c r="I360" s="76">
        <f>IF(Escenarios!$E$11&gt;0,(D360*Constantes!$E$29)/1000,0)</f>
        <v>43.812854504853298</v>
      </c>
      <c r="J360" s="76">
        <f>IF(Escenarios!$E$11&gt;0,MAX(0,G360+H360-I360),0)</f>
        <v>0</v>
      </c>
      <c r="K360" s="76">
        <f>IF(Escenarios!$E$11&gt;0,IF(J360&gt;Constantes!$E$30,1000*((J360-Constantes!$E$30)/(Escenarios!$E$16*10000)),0),F360)</f>
        <v>0</v>
      </c>
      <c r="L360" s="76">
        <f>IF(Escenarios!$E$11&gt;0,I360*1000/Escenarios!$E$16/10000+E360,E360)</f>
        <v>2.1595895455402498</v>
      </c>
      <c r="M360" s="76">
        <f>MAX(0,N359+Observaciones!$F359-K360-Constantes!$D$13)</f>
        <v>0</v>
      </c>
      <c r="N360" s="76">
        <f>N359+Observaciones!$F359-K360-L360-M360-O359</f>
        <v>26.52796494393694</v>
      </c>
      <c r="O360" s="76">
        <f>MAX(0,(N360-Constantes!$D$14)*(1-EXP(-Constantes!$D$22)))</f>
        <v>0.52042357254800764</v>
      </c>
      <c r="P360" s="170">
        <f>P359+(Entradas!$E$83*M360-Q359)/(800*Entradas!$D$25)</f>
        <v>0</v>
      </c>
      <c r="Q360" s="170">
        <f>8000*Entradas!$D$26*P360/Constantes!$E$45</f>
        <v>0</v>
      </c>
      <c r="R360" s="170">
        <f>IF(Escenarios!$E$14&gt;0,K360*Escenarios!$E$13/Escenarios!$E$14,0)</f>
        <v>0</v>
      </c>
      <c r="S360" s="170">
        <f>IF(Escenarios!$E$14&gt;0,Q360*Escenarios!$E$13/Escenarios!$E$14,0)</f>
        <v>0</v>
      </c>
      <c r="T360" s="170">
        <f>IF(Escenarios!$E$14&gt;0,Observaciones!$I359,0)</f>
        <v>0</v>
      </c>
      <c r="U360" s="170">
        <f>IF(Escenarios!$E$14&gt;0,MAX(0,Constantes!$E$36/((Z359+R360+S360+T360+Observaciones!$F359)^2)+Entradas!$E$77),0)</f>
        <v>0</v>
      </c>
      <c r="V360" s="146">
        <f>IF(ETo!D359&gt;0,ETo!I359*((1-Entradas!$E$81)*ETo!K359+ETo!L359),0)</f>
        <v>4.0041017103086167</v>
      </c>
      <c r="W360" s="170">
        <f>IF(Escenarios!$E$14&gt;0,MIN(V360*1,0.8*(Z359+R360+S360+T360+Observaciones!$F359-U360-Constantes!$E$35)),0)</f>
        <v>4.0041017103086167</v>
      </c>
      <c r="X360" s="170">
        <f>IF(Escenarios!$E$14&gt;0,Observaciones!$J359,0)</f>
        <v>0</v>
      </c>
      <c r="Y360" s="170">
        <f>IF(Escenarios!$E$14&gt;0,MAX(0,Z359+R360+S360+T360+Observaciones!$F359-U360-W360-X360-Constantes!$E$33),0)</f>
        <v>0</v>
      </c>
      <c r="Z360" s="170">
        <f>Z359+R360+S360+T360+Observaciones!$F359-U360-W360-Y360</f>
        <v>54.342823873064006</v>
      </c>
      <c r="AA360" s="170">
        <f>IF(Escenarios!$E$14&gt;0,(Escenarios!$E$13*L360+Escenarios!$E$14*W360)/(Escenarios!$E$16),L360)</f>
        <v>2.3809310053124535</v>
      </c>
      <c r="AB360" s="170">
        <f>IF(Escenarios!$E$14&gt;0,(Escenarios!$E$14*Y360)/(Escenarios!$E$16),K360)</f>
        <v>0</v>
      </c>
      <c r="AC360" s="170">
        <f>IF(Escenarios!$E$14&gt;0,(Escenarios!$E$13*M360+Escenarios!$E$14*U360)/(Escenarios!$E$16),M360)</f>
        <v>0</v>
      </c>
      <c r="AD360" s="76">
        <f t="shared" si="71"/>
        <v>58.983065846849911</v>
      </c>
      <c r="AE360" s="76">
        <f>MAX(0,(AD360-Constantes!$D$13)*(1-EXP(-Constantes!$D$23)))</f>
        <v>0.10082883511540544</v>
      </c>
      <c r="AF360" s="76">
        <f>AB360+O360*Escenarios!$E$13/Escenarios!$E$16+AE360</f>
        <v>0.55880157895765215</v>
      </c>
      <c r="AG360" s="76">
        <f>IF(Entradas!$E$91&gt;0,IF(AF360-Escenarios!$E$38&lt;=0,0,IF(AF360-Escenarios!$E$38&gt;Escenarios!$E$37,Escenarios!$E$37,AF360-Escenarios!$E$38)),0)</f>
        <v>0</v>
      </c>
      <c r="AH360" s="76">
        <f>AG360*Entradas!$E$99</f>
        <v>0</v>
      </c>
      <c r="AI360" s="76">
        <f>IF(Entradas!$E$91&gt;0,D360*Entradas!$D$23/Escenarios!$E$16,0)</f>
        <v>0</v>
      </c>
      <c r="AJ360" s="76">
        <f>IF(Entradas!$E$91&gt;0,Entradas!$D$24*Entradas!$D$22/Escenarios!$E$16,0)</f>
        <v>0</v>
      </c>
      <c r="AK360" s="76">
        <f t="shared" si="80"/>
        <v>2.3809310053124535</v>
      </c>
      <c r="AL360" s="76">
        <f t="shared" si="81"/>
        <v>0</v>
      </c>
      <c r="AM360" s="76">
        <f t="shared" si="72"/>
        <v>0</v>
      </c>
      <c r="AN360" s="76">
        <f>MAX(0,O360*Escenarios!$E$13/Escenarios!$E$16-AM360)</f>
        <v>0.45797274384224668</v>
      </c>
      <c r="AO360" s="76">
        <f>AM360+AN360-O360*Escenarios!$E$13/Escenarios!$E$16</f>
        <v>0</v>
      </c>
      <c r="AP360" s="76">
        <f t="shared" si="70"/>
        <v>0.10082883511540544</v>
      </c>
      <c r="AQ360" s="76">
        <f t="shared" si="73"/>
        <v>0</v>
      </c>
      <c r="AR360" s="76">
        <f t="shared" si="74"/>
        <v>0.55880157895765215</v>
      </c>
      <c r="AS360" s="76">
        <f t="shared" si="75"/>
        <v>0</v>
      </c>
      <c r="AT360" s="76">
        <f t="shared" si="76"/>
        <v>0</v>
      </c>
      <c r="AU360" s="76">
        <f t="shared" si="77"/>
        <v>48.75</v>
      </c>
      <c r="AV360" s="76">
        <f>MAX(0,(AU360-Constantes!$D$13)*(1-EXP(-Constantes!$D$24)))</f>
        <v>0</v>
      </c>
      <c r="AW360" s="170">
        <f>AW359+(Entradas!$E$112*AT360-AX359)/(800*Entradas!$D$25)</f>
        <v>0</v>
      </c>
      <c r="AX360" s="170">
        <f>8000*Entradas!$D$26*AW360/Constantes!$E$45</f>
        <v>0</v>
      </c>
      <c r="AY360" s="170">
        <f>IF(Escenarios!$E$17&gt;0,10*Escenarios!$E$16*AL360,0)</f>
        <v>0</v>
      </c>
      <c r="AZ360" s="170">
        <f>IF(Escenarios!$E$17&gt;0,10*Escenarios!$E$16*AX360,0)</f>
        <v>0</v>
      </c>
      <c r="BA360" s="170">
        <f>IF(Escenarios!$E$17&gt;0,0.001*Observaciones!$F359*Escenarios!$E$17,0)</f>
        <v>0</v>
      </c>
      <c r="BB360" s="170">
        <f>IF(Escenarios!$E$17&gt;0,Observaciones!$K359,0)</f>
        <v>0</v>
      </c>
      <c r="BC360" s="170">
        <f>IF(Escenarios!$E$17&gt;0,MIN(0.0005*ETo!$M359*Escenarios!$E$17*(BG359/Constantes!$E$40)^(2/3),BG359+AY360+AZ360+BA360+BB360),0)</f>
        <v>16.859854444101369</v>
      </c>
      <c r="BD360" s="170">
        <f>IF(Escenarios!$E$17&gt;0,MIN(Constantes!$E$39*(BG359/Constantes!$E$40)^(2/3),BG359+AY360+AZ360+BA360+BB360-BC360),0)</f>
        <v>27.112440057126843</v>
      </c>
      <c r="BE360" s="170">
        <f>IF(Escenarios!$E$17&gt;0,MIN(Entradas!$E$113,BG359+AY360+AZ360+BA360+BB360-BC360-BD360),0)</f>
        <v>1</v>
      </c>
      <c r="BF360" s="170">
        <f>IF(Escenarios!$E$17&gt;0,MAX(0,BG359+AY360+AZ360+BA360+BB360-BC360-BD360-BE360-Constantes!$E$40),0)</f>
        <v>0</v>
      </c>
      <c r="BG360" s="170">
        <f t="shared" si="82"/>
        <v>1270.3333011477384</v>
      </c>
      <c r="BH360" s="170">
        <f>(Escenarios!$E$16*AK360+0.1*BC360)/(Escenarios!$E$19)</f>
        <v>2.3687251459227125</v>
      </c>
      <c r="BI360" s="170">
        <f>IF(Escenarios!$E$17&gt;0,BF360/10/Escenarios!$E$19,AL360)</f>
        <v>0</v>
      </c>
      <c r="BJ360" s="170">
        <f>(Escenarios!$E$16*AT360+0.1*BD360)/(Escenarios!$E$19)</f>
        <v>1.0758904784574145E-2</v>
      </c>
      <c r="BK360" s="76">
        <f>BK359+(0.1*BD360)/(Escenarios!$E$19)-BL359</f>
        <v>49.571720292608781</v>
      </c>
      <c r="BL360" s="76">
        <f>MAX(0,(BK360-Constantes!$D$13)*(1-EXP(-Constantes!$D$23)))</f>
        <v>8.0966057615996373E-3</v>
      </c>
      <c r="BM360" s="76">
        <f t="shared" si="78"/>
        <v>0.10892544087700508</v>
      </c>
      <c r="BN360" s="76">
        <f t="shared" si="83"/>
        <v>0.5668981847192518</v>
      </c>
      <c r="BO360" s="76">
        <f>0.0526*BI360*Observaciones!$F359^1.218</f>
        <v>0</v>
      </c>
      <c r="BP360" s="76">
        <f>BO360*Constantes!$E$51</f>
        <v>0</v>
      </c>
      <c r="BQ360" s="76">
        <f t="shared" si="79"/>
        <v>0</v>
      </c>
      <c r="BR360" s="40"/>
    </row>
    <row r="361" spans="1:70">
      <c r="A361" s="147"/>
      <c r="B361" s="39"/>
      <c r="C361" s="75">
        <v>355</v>
      </c>
      <c r="D361" s="146">
        <f>ETo!$I360*((1-Constantes!$E$19)*ETo!$K360+ETo!$L360)</f>
        <v>4.3812776248234204</v>
      </c>
      <c r="E361" s="76">
        <f>MIN(D361*Constantes!$E$17,0.8*(N360+Observaciones!$F360-F361-M361-Constantes!$D$14))</f>
        <v>2.1420605776758435</v>
      </c>
      <c r="F361" s="76">
        <f>IF(Observaciones!$F360&gt;0.05*Constantes!$E$18,((Observaciones!$F360-0.05*Constantes!$E$18)^2)/(Observaciones!$F360+0.95*Constantes!$E$18),0)</f>
        <v>0</v>
      </c>
      <c r="G361" s="76">
        <f>IF(Escenarios!$E$11&gt;0,(F361*Escenarios!$E$16*10000)/1000,0)</f>
        <v>0</v>
      </c>
      <c r="H361" s="76">
        <f>IF(Escenarios!$E$11&gt;0,(Observaciones!$F360*Constantes!$E$29)/1000,0)</f>
        <v>0</v>
      </c>
      <c r="I361" s="76">
        <f>IF(Escenarios!$E$11&gt;0,(D361*Constantes!$E$29)/1000,0)</f>
        <v>43.812776248234208</v>
      </c>
      <c r="J361" s="76">
        <f>IF(Escenarios!$E$11&gt;0,MAX(0,G361+H361-I361),0)</f>
        <v>0</v>
      </c>
      <c r="K361" s="76">
        <f>IF(Escenarios!$E$11&gt;0,IF(J361&gt;Constantes!$E$30,1000*((J361-Constantes!$E$30)/(Escenarios!$E$16*10000)),0),F361)</f>
        <v>0</v>
      </c>
      <c r="L361" s="76">
        <f>IF(Escenarios!$E$11&gt;0,I361*1000/Escenarios!$E$16/10000+E361,E361)</f>
        <v>2.1595856881751372</v>
      </c>
      <c r="M361" s="76">
        <f>MAX(0,N360+Observaciones!$F360-K361-Constantes!$D$13)</f>
        <v>0</v>
      </c>
      <c r="N361" s="76">
        <f>N360+Observaciones!$F360-K361-L361-M361-O360</f>
        <v>23.847955683213794</v>
      </c>
      <c r="O361" s="76">
        <f>MAX(0,(N361-Constantes!$D$14)*(1-EXP(-Constantes!$D$22)))</f>
        <v>0.42913261861236668</v>
      </c>
      <c r="P361" s="170">
        <f>P360+(Entradas!$E$83*M361-Q360)/(800*Entradas!$D$25)</f>
        <v>0</v>
      </c>
      <c r="Q361" s="170">
        <f>8000*Entradas!$D$26*P361/Constantes!$E$45</f>
        <v>0</v>
      </c>
      <c r="R361" s="170">
        <f>IF(Escenarios!$E$14&gt;0,K361*Escenarios!$E$13/Escenarios!$E$14,0)</f>
        <v>0</v>
      </c>
      <c r="S361" s="170">
        <f>IF(Escenarios!$E$14&gt;0,Q361*Escenarios!$E$13/Escenarios!$E$14,0)</f>
        <v>0</v>
      </c>
      <c r="T361" s="170">
        <f>IF(Escenarios!$E$14&gt;0,Observaciones!$I360,0)</f>
        <v>0</v>
      </c>
      <c r="U361" s="170">
        <f>IF(Escenarios!$E$14&gt;0,MAX(0,Constantes!$E$36/((Z360+R361+S361+T361+Observaciones!$F360)^2)+Entradas!$E$77),0)</f>
        <v>0</v>
      </c>
      <c r="V361" s="146">
        <f>IF(ETo!D360&gt;0,ETo!I360*((1-Entradas!$E$81)*ETo!K360+ETo!L360),0)</f>
        <v>4.0040943829098259</v>
      </c>
      <c r="W361" s="170">
        <f>IF(Escenarios!$E$14&gt;0,MIN(V361*1,0.8*(Z360+R361+S361+T361+Observaciones!$F360-U361-Constantes!$E$35)),0)</f>
        <v>4.0040943829098259</v>
      </c>
      <c r="X361" s="170">
        <f>IF(Escenarios!$E$14&gt;0,Observaciones!$J360,0)</f>
        <v>0</v>
      </c>
      <c r="Y361" s="170">
        <f>IF(Escenarios!$E$14&gt;0,MAX(0,Z360+R361+S361+T361+Observaciones!$F360-U361-W361-X361-Constantes!$E$33),0)</f>
        <v>0</v>
      </c>
      <c r="Z361" s="170">
        <f>Z360+R361+S361+T361+Observaciones!$F360-U361-W361-Y361</f>
        <v>50.338729490154179</v>
      </c>
      <c r="AA361" s="170">
        <f>IF(Escenarios!$E$14&gt;0,(Escenarios!$E$13*L361+Escenarios!$E$14*W361)/(Escenarios!$E$16),L361)</f>
        <v>2.3809267315432998</v>
      </c>
      <c r="AB361" s="170">
        <f>IF(Escenarios!$E$14&gt;0,(Escenarios!$E$14*Y361)/(Escenarios!$E$16),K361)</f>
        <v>0</v>
      </c>
      <c r="AC361" s="170">
        <f>IF(Escenarios!$E$14&gt;0,(Escenarios!$E$13*M361+Escenarios!$E$14*U361)/(Escenarios!$E$16),M361)</f>
        <v>0</v>
      </c>
      <c r="AD361" s="76">
        <f t="shared" si="71"/>
        <v>58.882237011734503</v>
      </c>
      <c r="AE361" s="76">
        <f>MAX(0,(AD361-Constantes!$D$13)*(1-EXP(-Constantes!$D$23)))</f>
        <v>9.983534458745584E-2</v>
      </c>
      <c r="AF361" s="76">
        <f>AB361+O361*Escenarios!$E$13/Escenarios!$E$16+AE361</f>
        <v>0.47747204896633849</v>
      </c>
      <c r="AG361" s="76">
        <f>IF(Entradas!$E$91&gt;0,IF(AF361-Escenarios!$E$38&lt;=0,0,IF(AF361-Escenarios!$E$38&gt;Escenarios!$E$37,Escenarios!$E$37,AF361-Escenarios!$E$38)),0)</f>
        <v>0</v>
      </c>
      <c r="AH361" s="76">
        <f>AG361*Entradas!$E$99</f>
        <v>0</v>
      </c>
      <c r="AI361" s="76">
        <f>IF(Entradas!$E$91&gt;0,D361*Entradas!$D$23/Escenarios!$E$16,0)</f>
        <v>0</v>
      </c>
      <c r="AJ361" s="76">
        <f>IF(Entradas!$E$91&gt;0,Entradas!$D$24*Entradas!$D$22/Escenarios!$E$16,0)</f>
        <v>0</v>
      </c>
      <c r="AK361" s="76">
        <f t="shared" si="80"/>
        <v>2.3809267315432998</v>
      </c>
      <c r="AL361" s="76">
        <f t="shared" si="81"/>
        <v>0</v>
      </c>
      <c r="AM361" s="76">
        <f t="shared" si="72"/>
        <v>0</v>
      </c>
      <c r="AN361" s="76">
        <f>MAX(0,O361*Escenarios!$E$13/Escenarios!$E$16-AM361)</f>
        <v>0.37763670437888264</v>
      </c>
      <c r="AO361" s="76">
        <f>AM361+AN361-O361*Escenarios!$E$13/Escenarios!$E$16</f>
        <v>0</v>
      </c>
      <c r="AP361" s="76">
        <f t="shared" si="70"/>
        <v>9.983534458745584E-2</v>
      </c>
      <c r="AQ361" s="76">
        <f t="shared" si="73"/>
        <v>0</v>
      </c>
      <c r="AR361" s="76">
        <f t="shared" si="74"/>
        <v>0.47747204896633849</v>
      </c>
      <c r="AS361" s="76">
        <f t="shared" si="75"/>
        <v>0</v>
      </c>
      <c r="AT361" s="76">
        <f t="shared" si="76"/>
        <v>0</v>
      </c>
      <c r="AU361" s="76">
        <f t="shared" si="77"/>
        <v>48.75</v>
      </c>
      <c r="AV361" s="76">
        <f>MAX(0,(AU361-Constantes!$D$13)*(1-EXP(-Constantes!$D$24)))</f>
        <v>0</v>
      </c>
      <c r="AW361" s="170">
        <f>AW360+(Entradas!$E$112*AT361-AX360)/(800*Entradas!$D$25)</f>
        <v>0</v>
      </c>
      <c r="AX361" s="170">
        <f>8000*Entradas!$D$26*AW361/Constantes!$E$45</f>
        <v>0</v>
      </c>
      <c r="AY361" s="170">
        <f>IF(Escenarios!$E$17&gt;0,10*Escenarios!$E$16*AL361,0)</f>
        <v>0</v>
      </c>
      <c r="AZ361" s="170">
        <f>IF(Escenarios!$E$17&gt;0,10*Escenarios!$E$16*AX361,0)</f>
        <v>0</v>
      </c>
      <c r="BA361" s="170">
        <f>IF(Escenarios!$E$17&gt;0,0.001*Observaciones!$F360*Escenarios!$E$17,0)</f>
        <v>0</v>
      </c>
      <c r="BB361" s="170">
        <f>IF(Escenarios!$E$17&gt;0,Observaciones!$K360,0)</f>
        <v>0</v>
      </c>
      <c r="BC361" s="170">
        <f>IF(Escenarios!$E$17&gt;0,MIN(0.0005*ETo!$M360*Escenarios!$E$17*(BG360/Constantes!$E$40)^(2/3),BG360+AY361+AZ361+BA361+BB361),0)</f>
        <v>16.473292614426619</v>
      </c>
      <c r="BD361" s="170">
        <f>IF(Escenarios!$E$17&gt;0,MIN(Constantes!$E$39*(BG360/Constantes!$E$40)^(2/3),BG360+AY361+AZ361+BA361+BB361-BC361),0)</f>
        <v>26.49085334646767</v>
      </c>
      <c r="BE361" s="170">
        <f>IF(Escenarios!$E$17&gt;0,MIN(Entradas!$E$113,BG360+AY361+AZ361+BA361+BB361-BC361-BD361),0)</f>
        <v>1</v>
      </c>
      <c r="BF361" s="170">
        <f>IF(Escenarios!$E$17&gt;0,MAX(0,BG360+AY361+AZ361+BA361+BB361-BC361-BD361-BE361-Constantes!$E$40),0)</f>
        <v>0</v>
      </c>
      <c r="BG361" s="170">
        <f t="shared" si="82"/>
        <v>1226.3691551868442</v>
      </c>
      <c r="BH361" s="170">
        <f>(Escenarios!$E$16*AK361+0.1*BC361)/(Escenarios!$E$19)</f>
        <v>2.3685675085209033</v>
      </c>
      <c r="BI361" s="170">
        <f>IF(Escenarios!$E$17&gt;0,BF361/10/Escenarios!$E$19,AL361)</f>
        <v>0</v>
      </c>
      <c r="BJ361" s="170">
        <f>(Escenarios!$E$16*AT361+0.1*BD361)/(Escenarios!$E$19)</f>
        <v>1.0512243391455425E-2</v>
      </c>
      <c r="BK361" s="76">
        <f>BK360+(0.1*BD361)/(Escenarios!$E$19)-BL360</f>
        <v>49.574135930238633</v>
      </c>
      <c r="BL361" s="76">
        <f>MAX(0,(BK361-Constantes!$D$13)*(1-EXP(-Constantes!$D$23)))</f>
        <v>8.1204076145266271E-3</v>
      </c>
      <c r="BM361" s="76">
        <f t="shared" si="78"/>
        <v>0.10795575220198247</v>
      </c>
      <c r="BN361" s="76">
        <f t="shared" si="83"/>
        <v>0.48559245658086514</v>
      </c>
      <c r="BO361" s="76">
        <f>0.0526*BI361*Observaciones!$F360^1.218</f>
        <v>0</v>
      </c>
      <c r="BP361" s="76">
        <f>BO361*Constantes!$E$51</f>
        <v>0</v>
      </c>
      <c r="BQ361" s="76">
        <f t="shared" si="79"/>
        <v>0</v>
      </c>
      <c r="BR361" s="40"/>
    </row>
    <row r="362" spans="1:70">
      <c r="A362" s="147"/>
      <c r="B362" s="39"/>
      <c r="C362" s="75">
        <v>356</v>
      </c>
      <c r="D362" s="146">
        <f>ETo!$I361*((1-Constantes!$E$19)*ETo!$K361+ETo!$L361)</f>
        <v>4.3994403772959858</v>
      </c>
      <c r="E362" s="76">
        <f>MIN(D362*Constantes!$E$17,0.8*(N361+Observaciones!$F361-F362-M362-Constantes!$D$14))</f>
        <v>2.150940570998598</v>
      </c>
      <c r="F362" s="76">
        <f>IF(Observaciones!$F361&gt;0.05*Constantes!$E$18,((Observaciones!$F361-0.05*Constantes!$E$18)^2)/(Observaciones!$F361+0.95*Constantes!$E$18),0)</f>
        <v>0.56044562837312639</v>
      </c>
      <c r="G362" s="76">
        <f>IF(Escenarios!$E$11&gt;0,(F362*Escenarios!$E$16*10000)/1000,0)</f>
        <v>1401.114070932816</v>
      </c>
      <c r="H362" s="76">
        <f>IF(Escenarios!$E$11&gt;0,(Observaciones!$F361*Constantes!$E$29)/1000,0)</f>
        <v>144</v>
      </c>
      <c r="I362" s="76">
        <f>IF(Escenarios!$E$11&gt;0,(D362*Constantes!$E$29)/1000,0)</f>
        <v>43.994403772959856</v>
      </c>
      <c r="J362" s="76">
        <f>IF(Escenarios!$E$11&gt;0,MAX(0,G362+H362-I362),0)</f>
        <v>1501.1196671598561</v>
      </c>
      <c r="K362" s="76">
        <f>IF(Escenarios!$E$11&gt;0,IF(J362&gt;Constantes!$E$30,1000*((J362-Constantes!$E$30)/(Escenarios!$E$16*10000)),0),F362)</f>
        <v>8.5741984511001276E-2</v>
      </c>
      <c r="L362" s="76">
        <f>IF(Escenarios!$E$11&gt;0,I362*1000/Escenarios!$E$16/10000+E362,E362)</f>
        <v>2.1685383325077821</v>
      </c>
      <c r="M362" s="76">
        <f>MAX(0,N361+Observaciones!$F361-K362-Constantes!$D$13)</f>
        <v>0</v>
      </c>
      <c r="N362" s="76">
        <f>N361+Observaciones!$F361-K362-L362-M362-O361</f>
        <v>35.564542747582649</v>
      </c>
      <c r="O362" s="76">
        <f>MAX(0,(N362-Constantes!$D$14)*(1-EXP(-Constantes!$D$22)))</f>
        <v>0.82824258649643634</v>
      </c>
      <c r="P362" s="170">
        <f>P361+(Entradas!$E$83*M362-Q361)/(800*Entradas!$D$25)</f>
        <v>0</v>
      </c>
      <c r="Q362" s="170">
        <f>8000*Entradas!$D$26*P362/Constantes!$E$45</f>
        <v>0</v>
      </c>
      <c r="R362" s="170">
        <f>IF(Escenarios!$E$14&gt;0,K362*Escenarios!$E$13/Escenarios!$E$14,0)</f>
        <v>0.62877455308067609</v>
      </c>
      <c r="S362" s="170">
        <f>IF(Escenarios!$E$14&gt;0,Q362*Escenarios!$E$13/Escenarios!$E$14,0)</f>
        <v>0</v>
      </c>
      <c r="T362" s="170">
        <f>IF(Escenarios!$E$14&gt;0,Observaciones!$I361,0)</f>
        <v>0</v>
      </c>
      <c r="U362" s="170">
        <f>IF(Escenarios!$E$14&gt;0,MAX(0,Constantes!$E$36/((Z361+R362+S362+T362+Observaciones!$F361)^2)+Entradas!$E$77),0)</f>
        <v>0.59724670195062091</v>
      </c>
      <c r="V362" s="146">
        <f>IF(ETo!D361&gt;0,ETo!I361*((1-Entradas!$E$81)*ETo!K361+ETo!L361),0)</f>
        <v>4.0208961100274845</v>
      </c>
      <c r="W362" s="170">
        <f>IF(Escenarios!$E$14&gt;0,MIN(V362*1,0.8*(Z361+R362+S362+T362+Observaciones!$F361-U362-Constantes!$E$35)),0)</f>
        <v>4.0208961100274845</v>
      </c>
      <c r="X362" s="170">
        <f>IF(Escenarios!$E$14&gt;0,Observaciones!$J361,0)</f>
        <v>0</v>
      </c>
      <c r="Y362" s="170">
        <f>IF(Escenarios!$E$14&gt;0,MAX(0,Z361+R362+S362+T362+Observaciones!$F361-U362-W362-X362-Constantes!$E$33),0)</f>
        <v>0</v>
      </c>
      <c r="Z362" s="170">
        <f>Z361+R362+S362+T362+Observaciones!$F361-U362-W362-Y362</f>
        <v>60.749361231256749</v>
      </c>
      <c r="AA362" s="170">
        <f>IF(Escenarios!$E$14&gt;0,(Escenarios!$E$13*L362+Escenarios!$E$14*W362)/(Escenarios!$E$16),L362)</f>
        <v>2.3908212658101462</v>
      </c>
      <c r="AB362" s="170">
        <f>IF(Escenarios!$E$14&gt;0,(Escenarios!$E$14*Y362)/(Escenarios!$E$16),K362)</f>
        <v>0</v>
      </c>
      <c r="AC362" s="170">
        <f>IF(Escenarios!$E$14&gt;0,(Escenarios!$E$13*M362+Escenarios!$E$14*U362)/(Escenarios!$E$16),M362)</f>
        <v>7.1669604234074508E-2</v>
      </c>
      <c r="AD362" s="76">
        <f t="shared" si="71"/>
        <v>58.854071271381123</v>
      </c>
      <c r="AE362" s="76">
        <f>MAX(0,(AD362-Constantes!$D$13)*(1-EXP(-Constantes!$D$23)))</f>
        <v>9.95578208391973E-2</v>
      </c>
      <c r="AF362" s="76">
        <f>AB362+O362*Escenarios!$E$13/Escenarios!$E$16+AE362</f>
        <v>0.82841129695606119</v>
      </c>
      <c r="AG362" s="76">
        <f>IF(Entradas!$E$91&gt;0,IF(AF362-Escenarios!$E$38&lt;=0,0,IF(AF362-Escenarios!$E$38&gt;Escenarios!$E$37,Escenarios!$E$37,AF362-Escenarios!$E$38)),0)</f>
        <v>0</v>
      </c>
      <c r="AH362" s="76">
        <f>AG362*Entradas!$E$99</f>
        <v>0</v>
      </c>
      <c r="AI362" s="76">
        <f>IF(Entradas!$E$91&gt;0,D362*Entradas!$D$23/Escenarios!$E$16,0)</f>
        <v>0</v>
      </c>
      <c r="AJ362" s="76">
        <f>IF(Entradas!$E$91&gt;0,Entradas!$D$24*Entradas!$D$22/Escenarios!$E$16,0)</f>
        <v>0</v>
      </c>
      <c r="AK362" s="76">
        <f t="shared" si="80"/>
        <v>2.3908212658101462</v>
      </c>
      <c r="AL362" s="76">
        <f t="shared" si="81"/>
        <v>0</v>
      </c>
      <c r="AM362" s="76">
        <f t="shared" si="72"/>
        <v>0</v>
      </c>
      <c r="AN362" s="76">
        <f>MAX(0,O362*Escenarios!$E$13/Escenarios!$E$16-AM362)</f>
        <v>0.72885347611686391</v>
      </c>
      <c r="AO362" s="76">
        <f>AM362+AN362-O362*Escenarios!$E$13/Escenarios!$E$16</f>
        <v>0</v>
      </c>
      <c r="AP362" s="76">
        <f t="shared" si="70"/>
        <v>9.95578208391973E-2</v>
      </c>
      <c r="AQ362" s="76">
        <f t="shared" si="73"/>
        <v>0</v>
      </c>
      <c r="AR362" s="76">
        <f t="shared" si="74"/>
        <v>0.82841129695606119</v>
      </c>
      <c r="AS362" s="76">
        <f t="shared" si="75"/>
        <v>0</v>
      </c>
      <c r="AT362" s="76">
        <f t="shared" si="76"/>
        <v>7.1669604234074508E-2</v>
      </c>
      <c r="AU362" s="76">
        <f t="shared" si="77"/>
        <v>48.75</v>
      </c>
      <c r="AV362" s="76">
        <f>MAX(0,(AU362-Constantes!$D$13)*(1-EXP(-Constantes!$D$24)))</f>
        <v>0</v>
      </c>
      <c r="AW362" s="170">
        <f>AW361+(Entradas!$E$112*AT362-AX361)/(800*Entradas!$D$25)</f>
        <v>0</v>
      </c>
      <c r="AX362" s="170">
        <f>8000*Entradas!$D$26*AW362/Constantes!$E$45</f>
        <v>0</v>
      </c>
      <c r="AY362" s="170">
        <f>IF(Escenarios!$E$17&gt;0,10*Escenarios!$E$16*AL362,0)</f>
        <v>0</v>
      </c>
      <c r="AZ362" s="170">
        <f>IF(Escenarios!$E$17&gt;0,10*Escenarios!$E$16*AX362,0)</f>
        <v>0</v>
      </c>
      <c r="BA362" s="170">
        <f>IF(Escenarios!$E$17&gt;0,0.001*Observaciones!$F361*Escenarios!$E$17,0)</f>
        <v>288</v>
      </c>
      <c r="BB362" s="170">
        <f>IF(Escenarios!$E$17&gt;0,Observaciones!$K361,0)</f>
        <v>0</v>
      </c>
      <c r="BC362" s="170">
        <f>IF(Escenarios!$E$17&gt;0,MIN(0.0005*ETo!$M361*Escenarios!$E$17*(BG361/Constantes!$E$40)^(2/3),BG361+AY362+AZ362+BA362+BB362),0)</f>
        <v>16.156664838147673</v>
      </c>
      <c r="BD362" s="170">
        <f>IF(Escenarios!$E$17&gt;0,MIN(Constantes!$E$39*(BG361/Constantes!$E$40)^(2/3),BG361+AY362+AZ362+BA362+BB362-BC362),0)</f>
        <v>25.876069303194619</v>
      </c>
      <c r="BE362" s="170">
        <f>IF(Escenarios!$E$17&gt;0,MIN(Entradas!$E$113,BG361+AY362+AZ362+BA362+BB362-BC362-BD362),0)</f>
        <v>1</v>
      </c>
      <c r="BF362" s="170">
        <f>IF(Escenarios!$E$17&gt;0,MAX(0,BG361+AY362+AZ362+BA362+BB362-BC362-BD362-BE362-Constantes!$E$40),0)</f>
        <v>0</v>
      </c>
      <c r="BG362" s="170">
        <f t="shared" si="82"/>
        <v>1471.336421045502</v>
      </c>
      <c r="BH362" s="170">
        <f>(Escenarios!$E$16*AK362+0.1*BC362)/(Escenarios!$E$19)</f>
        <v>2.3782578687950444</v>
      </c>
      <c r="BI362" s="170">
        <f>IF(Escenarios!$E$17&gt;0,BF362/10/Escenarios!$E$19,AL362)</f>
        <v>0</v>
      </c>
      <c r="BJ362" s="170">
        <f>(Escenarios!$E$16*AT362+0.1*BD362)/(Escenarios!$E$19)</f>
        <v>8.1369079320786075E-2</v>
      </c>
      <c r="BK362" s="76">
        <f>BK361+(0.1*BD362)/(Escenarios!$E$19)-BL361</f>
        <v>49.576283804093627</v>
      </c>
      <c r="BL362" s="76">
        <f>MAX(0,(BK362-Constantes!$D$13)*(1-EXP(-Constantes!$D$23)))</f>
        <v>8.141571127203583E-3</v>
      </c>
      <c r="BM362" s="76">
        <f t="shared" si="78"/>
        <v>0.10769939196640088</v>
      </c>
      <c r="BN362" s="76">
        <f t="shared" si="83"/>
        <v>0.83655286808326479</v>
      </c>
      <c r="BO362" s="76">
        <f>0.0526*BI362*Observaciones!$F361^1.218</f>
        <v>0</v>
      </c>
      <c r="BP362" s="76">
        <f>BO362*Constantes!$E$51</f>
        <v>0</v>
      </c>
      <c r="BQ362" s="76">
        <f t="shared" si="79"/>
        <v>0</v>
      </c>
      <c r="BR362" s="40"/>
    </row>
    <row r="363" spans="1:70">
      <c r="A363" s="147"/>
      <c r="B363" s="39"/>
      <c r="C363" s="75">
        <v>357</v>
      </c>
      <c r="D363" s="146">
        <f>ETo!$I362*((1-Constantes!$E$19)*ETo!$K362+ETo!$L362)</f>
        <v>4.535654264902016</v>
      </c>
      <c r="E363" s="76">
        <f>MIN(D363*Constantes!$E$17,0.8*(N362+Observaciones!$F362-F363-M363-Constantes!$D$14))</f>
        <v>2.2175372178578816</v>
      </c>
      <c r="F363" s="76">
        <f>IF(Observaciones!$F362&gt;0.05*Constantes!$E$18,((Observaciones!$F362-0.05*Constantes!$E$18)^2)/(Observaciones!$F362+0.95*Constantes!$E$18),0)</f>
        <v>0</v>
      </c>
      <c r="G363" s="76">
        <f>IF(Escenarios!$E$11&gt;0,(F363*Escenarios!$E$16*10000)/1000,0)</f>
        <v>0</v>
      </c>
      <c r="H363" s="76">
        <f>IF(Escenarios!$E$11&gt;0,(Observaciones!$F362*Constantes!$E$29)/1000,0)</f>
        <v>22</v>
      </c>
      <c r="I363" s="76">
        <f>IF(Escenarios!$E$11&gt;0,(D363*Constantes!$E$29)/1000,0)</f>
        <v>45.356542649020156</v>
      </c>
      <c r="J363" s="76">
        <f>IF(Escenarios!$E$11&gt;0,MAX(0,G363+H363-I363),0)</f>
        <v>0</v>
      </c>
      <c r="K363" s="76">
        <f>IF(Escenarios!$E$11&gt;0,IF(J363&gt;Constantes!$E$30,1000*((J363-Constantes!$E$30)/(Escenarios!$E$16*10000)),0),F363)</f>
        <v>0</v>
      </c>
      <c r="L363" s="76">
        <f>IF(Escenarios!$E$11&gt;0,I363*1000/Escenarios!$E$16/10000+E363,E363)</f>
        <v>2.2356798349174896</v>
      </c>
      <c r="M363" s="76">
        <f>MAX(0,N362+Observaciones!$F362-K363-Constantes!$D$13)</f>
        <v>0</v>
      </c>
      <c r="N363" s="76">
        <f>N362+Observaciones!$F362-K363-L363-M363-O362</f>
        <v>34.700620326168725</v>
      </c>
      <c r="O363" s="76">
        <f>MAX(0,(N363-Constantes!$D$14)*(1-EXP(-Constantes!$D$22)))</f>
        <v>0.79881421729894142</v>
      </c>
      <c r="P363" s="170">
        <f>P362+(Entradas!$E$83*M363-Q362)/(800*Entradas!$D$25)</f>
        <v>0</v>
      </c>
      <c r="Q363" s="170">
        <f>8000*Entradas!$D$26*P363/Constantes!$E$45</f>
        <v>0</v>
      </c>
      <c r="R363" s="170">
        <f>IF(Escenarios!$E$14&gt;0,K363*Escenarios!$E$13/Escenarios!$E$14,0)</f>
        <v>0</v>
      </c>
      <c r="S363" s="170">
        <f>IF(Escenarios!$E$14&gt;0,Q363*Escenarios!$E$13/Escenarios!$E$14,0)</f>
        <v>0</v>
      </c>
      <c r="T363" s="170">
        <f>IF(Escenarios!$E$14&gt;0,Observaciones!$I362,0)</f>
        <v>0</v>
      </c>
      <c r="U363" s="170">
        <f>IF(Escenarios!$E$14&gt;0,MAX(0,Constantes!$E$36/((Z362+R363+S363+T363+Observaciones!$F362)^2)+Entradas!$E$77),0)</f>
        <v>0.40910190418807257</v>
      </c>
      <c r="V363" s="146">
        <f>IF(ETo!D362&gt;0,ETo!I362*((1-Entradas!$E$81)*ETo!K362+ETo!L362),0)</f>
        <v>4.1471370166821417</v>
      </c>
      <c r="W363" s="170">
        <f>IF(Escenarios!$E$14&gt;0,MIN(V363*1,0.8*(Z362+R363+S363+T363+Observaciones!$F362-U363-Constantes!$E$35)),0)</f>
        <v>4.1471370166821417</v>
      </c>
      <c r="X363" s="170">
        <f>IF(Escenarios!$E$14&gt;0,Observaciones!$J362,0)</f>
        <v>0</v>
      </c>
      <c r="Y363" s="170">
        <f>IF(Escenarios!$E$14&gt;0,MAX(0,Z362+R363+S363+T363+Observaciones!$F362-U363-W363-X363-Constantes!$E$33),0)</f>
        <v>0</v>
      </c>
      <c r="Z363" s="170">
        <f>Z362+R363+S363+T363+Observaciones!$F362-U363-W363-Y363</f>
        <v>58.393122310386538</v>
      </c>
      <c r="AA363" s="170">
        <f>IF(Escenarios!$E$14&gt;0,(Escenarios!$E$13*L363+Escenarios!$E$14*W363)/(Escenarios!$E$16),L363)</f>
        <v>2.4650546967292479</v>
      </c>
      <c r="AB363" s="170">
        <f>IF(Escenarios!$E$14&gt;0,(Escenarios!$E$14*Y363)/(Escenarios!$E$16),K363)</f>
        <v>0</v>
      </c>
      <c r="AC363" s="170">
        <f>IF(Escenarios!$E$14&gt;0,(Escenarios!$E$13*M363+Escenarios!$E$14*U363)/(Escenarios!$E$16),M363)</f>
        <v>4.9092228502568711E-2</v>
      </c>
      <c r="AD363" s="76">
        <f t="shared" si="71"/>
        <v>58.803605679044495</v>
      </c>
      <c r="AE363" s="76">
        <f>MAX(0,(AD363-Constantes!$D$13)*(1-EXP(-Constantes!$D$23)))</f>
        <v>9.9060571337936873E-2</v>
      </c>
      <c r="AF363" s="76">
        <f>AB363+O363*Escenarios!$E$13/Escenarios!$E$16+AE363</f>
        <v>0.80201708256100535</v>
      </c>
      <c r="AG363" s="76">
        <f>IF(Entradas!$E$91&gt;0,IF(AF363-Escenarios!$E$38&lt;=0,0,IF(AF363-Escenarios!$E$38&gt;Escenarios!$E$37,Escenarios!$E$37,AF363-Escenarios!$E$38)),0)</f>
        <v>0</v>
      </c>
      <c r="AH363" s="76">
        <f>AG363*Entradas!$E$99</f>
        <v>0</v>
      </c>
      <c r="AI363" s="76">
        <f>IF(Entradas!$E$91&gt;0,D363*Entradas!$D$23/Escenarios!$E$16,0)</f>
        <v>0</v>
      </c>
      <c r="AJ363" s="76">
        <f>IF(Entradas!$E$91&gt;0,Entradas!$D$24*Entradas!$D$22/Escenarios!$E$16,0)</f>
        <v>0</v>
      </c>
      <c r="AK363" s="76">
        <f t="shared" si="80"/>
        <v>2.4650546967292479</v>
      </c>
      <c r="AL363" s="76">
        <f t="shared" si="81"/>
        <v>0</v>
      </c>
      <c r="AM363" s="76">
        <f t="shared" si="72"/>
        <v>0</v>
      </c>
      <c r="AN363" s="76">
        <f>MAX(0,O363*Escenarios!$E$13/Escenarios!$E$16-AM363)</f>
        <v>0.70295651122306846</v>
      </c>
      <c r="AO363" s="76">
        <f>AM363+AN363-O363*Escenarios!$E$13/Escenarios!$E$16</f>
        <v>0</v>
      </c>
      <c r="AP363" s="76">
        <f t="shared" si="70"/>
        <v>9.9060571337936873E-2</v>
      </c>
      <c r="AQ363" s="76">
        <f t="shared" si="73"/>
        <v>0</v>
      </c>
      <c r="AR363" s="76">
        <f t="shared" si="74"/>
        <v>0.80201708256100535</v>
      </c>
      <c r="AS363" s="76">
        <f t="shared" si="75"/>
        <v>0</v>
      </c>
      <c r="AT363" s="76">
        <f t="shared" si="76"/>
        <v>4.9092228502568711E-2</v>
      </c>
      <c r="AU363" s="76">
        <f t="shared" si="77"/>
        <v>48.75</v>
      </c>
      <c r="AV363" s="76">
        <f>MAX(0,(AU363-Constantes!$D$13)*(1-EXP(-Constantes!$D$24)))</f>
        <v>0</v>
      </c>
      <c r="AW363" s="170">
        <f>AW362+(Entradas!$E$112*AT363-AX362)/(800*Entradas!$D$25)</f>
        <v>0</v>
      </c>
      <c r="AX363" s="170">
        <f>8000*Entradas!$D$26*AW363/Constantes!$E$45</f>
        <v>0</v>
      </c>
      <c r="AY363" s="170">
        <f>IF(Escenarios!$E$17&gt;0,10*Escenarios!$E$16*AL363,0)</f>
        <v>0</v>
      </c>
      <c r="AZ363" s="170">
        <f>IF(Escenarios!$E$17&gt;0,10*Escenarios!$E$16*AX363,0)</f>
        <v>0</v>
      </c>
      <c r="BA363" s="170">
        <f>IF(Escenarios!$E$17&gt;0,0.001*Observaciones!$F362*Escenarios!$E$17,0)</f>
        <v>44</v>
      </c>
      <c r="BB363" s="170">
        <f>IF(Escenarios!$E$17&gt;0,Observaciones!$K362,0)</f>
        <v>0</v>
      </c>
      <c r="BC363" s="170">
        <f>IF(Escenarios!$E$17&gt;0,MIN(0.0005*ETo!$M362*Escenarios!$E$17*(BG362/Constantes!$E$40)^(2/3),BG362+AY363+AZ363+BA363+BB363),0)</f>
        <v>18.797039783375141</v>
      </c>
      <c r="BD363" s="170">
        <f>IF(Escenarios!$E$17&gt;0,MIN(Constantes!$E$39*(BG362/Constantes!$E$40)^(2/3),BG362+AY363+AZ363+BA363+BB363-BC363),0)</f>
        <v>29.216318032524885</v>
      </c>
      <c r="BE363" s="170">
        <f>IF(Escenarios!$E$17&gt;0,MIN(Entradas!$E$113,BG362+AY363+AZ363+BA363+BB363-BC363-BD363),0)</f>
        <v>1</v>
      </c>
      <c r="BF363" s="170">
        <f>IF(Escenarios!$E$17&gt;0,MAX(0,BG362+AY363+AZ363+BA363+BB363-BC363-BD363-BE363-Constantes!$E$40),0)</f>
        <v>0</v>
      </c>
      <c r="BG363" s="170">
        <f t="shared" si="82"/>
        <v>1466.323063229602</v>
      </c>
      <c r="BH363" s="170">
        <f>(Escenarios!$E$16*AK363+0.1*BC363)/(Escenarios!$E$19)</f>
        <v>2.4529499133359107</v>
      </c>
      <c r="BI363" s="170">
        <f>IF(Escenarios!$E$17&gt;0,BF363/10/Escenarios!$E$19,AL363)</f>
        <v>0</v>
      </c>
      <c r="BJ363" s="170">
        <f>(Escenarios!$E$16*AT363+0.1*BD363)/(Escenarios!$E$19)</f>
        <v>6.0296384638470896E-2</v>
      </c>
      <c r="BK363" s="76">
        <f>BK362+(0.1*BD363)/(Escenarios!$E$19)-BL362</f>
        <v>49.579736009963455</v>
      </c>
      <c r="BL363" s="76">
        <f>MAX(0,(BK363-Constantes!$D$13)*(1-EXP(-Constantes!$D$23)))</f>
        <v>8.175586533890368E-3</v>
      </c>
      <c r="BM363" s="76">
        <f t="shared" si="78"/>
        <v>0.10723615787182725</v>
      </c>
      <c r="BN363" s="76">
        <f t="shared" si="83"/>
        <v>0.81019266909489573</v>
      </c>
      <c r="BO363" s="76">
        <f>0.0526*BI363*Observaciones!$F362^1.218</f>
        <v>0</v>
      </c>
      <c r="BP363" s="76">
        <f>BO363*Constantes!$E$51</f>
        <v>0</v>
      </c>
      <c r="BQ363" s="76">
        <f t="shared" si="79"/>
        <v>0</v>
      </c>
      <c r="BR363" s="40"/>
    </row>
    <row r="364" spans="1:70">
      <c r="A364" s="147"/>
      <c r="B364" s="39"/>
      <c r="C364" s="75">
        <v>358</v>
      </c>
      <c r="D364" s="146">
        <f>ETo!$I363*((1-Constantes!$E$19)*ETo!$K363+ETo!$L363)</f>
        <v>4.385832906967714</v>
      </c>
      <c r="E364" s="76">
        <f>MIN(D364*Constantes!$E$17,0.8*(N363+Observaciones!$F363-F364-M364-Constantes!$D$14))</f>
        <v>2.1442877112056147</v>
      </c>
      <c r="F364" s="76">
        <f>IF(Observaciones!$F363&gt;0.05*Constantes!$E$18,((Observaciones!$F363-0.05*Constantes!$E$18)^2)/(Observaciones!$F363+0.95*Constantes!$E$18),0)</f>
        <v>0</v>
      </c>
      <c r="G364" s="76">
        <f>IF(Escenarios!$E$11&gt;0,(F364*Escenarios!$E$16*10000)/1000,0)</f>
        <v>0</v>
      </c>
      <c r="H364" s="76">
        <f>IF(Escenarios!$E$11&gt;0,(Observaciones!$F363*Constantes!$E$29)/1000,0)</f>
        <v>0</v>
      </c>
      <c r="I364" s="76">
        <f>IF(Escenarios!$E$11&gt;0,(D364*Constantes!$E$29)/1000,0)</f>
        <v>43.85832906967714</v>
      </c>
      <c r="J364" s="76">
        <f>IF(Escenarios!$E$11&gt;0,MAX(0,G364+H364-I364),0)</f>
        <v>0</v>
      </c>
      <c r="K364" s="76">
        <f>IF(Escenarios!$E$11&gt;0,IF(J364&gt;Constantes!$E$30,1000*((J364-Constantes!$E$30)/(Escenarios!$E$16*10000)),0),F364)</f>
        <v>0</v>
      </c>
      <c r="L364" s="76">
        <f>IF(Escenarios!$E$11&gt;0,I364*1000/Escenarios!$E$16/10000+E364,E364)</f>
        <v>2.1618310428334855</v>
      </c>
      <c r="M364" s="76">
        <f>MAX(0,N363+Observaciones!$F363-K364-Constantes!$D$13)</f>
        <v>0</v>
      </c>
      <c r="N364" s="76">
        <f>N363+Observaciones!$F363-K364-L364-M364-O363</f>
        <v>31.739975066036301</v>
      </c>
      <c r="O364" s="76">
        <f>MAX(0,(N364-Constantes!$D$14)*(1-EXP(-Constantes!$D$22)))</f>
        <v>0.69796377098757567</v>
      </c>
      <c r="P364" s="170">
        <f>P363+(Entradas!$E$83*M364-Q363)/(800*Entradas!$D$25)</f>
        <v>0</v>
      </c>
      <c r="Q364" s="170">
        <f>8000*Entradas!$D$26*P364/Constantes!$E$45</f>
        <v>0</v>
      </c>
      <c r="R364" s="170">
        <f>IF(Escenarios!$E$14&gt;0,K364*Escenarios!$E$13/Escenarios!$E$14,0)</f>
        <v>0</v>
      </c>
      <c r="S364" s="170">
        <f>IF(Escenarios!$E$14&gt;0,Q364*Escenarios!$E$13/Escenarios!$E$14,0)</f>
        <v>0</v>
      </c>
      <c r="T364" s="170">
        <f>IF(Escenarios!$E$14&gt;0,Observaciones!$I363,0)</f>
        <v>0</v>
      </c>
      <c r="U364" s="170">
        <f>IF(Escenarios!$E$14&gt;0,MAX(0,Constantes!$E$36/((Z363+R364+S364+T364+Observaciones!$F363)^2)+Entradas!$E$77),0)</f>
        <v>0</v>
      </c>
      <c r="V364" s="146">
        <f>IF(ETo!D363&gt;0,ETo!I363*((1-Entradas!$E$81)*ETo!K363+ETo!L363),0)</f>
        <v>4.0083078004853725</v>
      </c>
      <c r="W364" s="170">
        <f>IF(Escenarios!$E$14&gt;0,MIN(V364*1,0.8*(Z363+R364+S364+T364+Observaciones!$F363-U364-Constantes!$E$35)),0)</f>
        <v>4.0083078004853725</v>
      </c>
      <c r="X364" s="170">
        <f>IF(Escenarios!$E$14&gt;0,Observaciones!$J363,0)</f>
        <v>0</v>
      </c>
      <c r="Y364" s="170">
        <f>IF(Escenarios!$E$14&gt;0,MAX(0,Z363+R364+S364+T364+Observaciones!$F363-U364-W364-X364-Constantes!$E$33),0)</f>
        <v>0</v>
      </c>
      <c r="Z364" s="170">
        <f>Z363+R364+S364+T364+Observaciones!$F363-U364-W364-Y364</f>
        <v>54.384814509901162</v>
      </c>
      <c r="AA364" s="170">
        <f>IF(Escenarios!$E$14&gt;0,(Escenarios!$E$13*L364+Escenarios!$E$14*W364)/(Escenarios!$E$16),L364)</f>
        <v>2.3834082537517118</v>
      </c>
      <c r="AB364" s="170">
        <f>IF(Escenarios!$E$14&gt;0,(Escenarios!$E$14*Y364)/(Escenarios!$E$16),K364)</f>
        <v>0</v>
      </c>
      <c r="AC364" s="170">
        <f>IF(Escenarios!$E$14&gt;0,(Escenarios!$E$13*M364+Escenarios!$E$14*U364)/(Escenarios!$E$16),M364)</f>
        <v>0</v>
      </c>
      <c r="AD364" s="76">
        <f t="shared" si="71"/>
        <v>58.704545107706558</v>
      </c>
      <c r="AE364" s="76">
        <f>MAX(0,(AD364-Constantes!$D$13)*(1-EXP(-Constantes!$D$23)))</f>
        <v>9.8084503934154327E-2</v>
      </c>
      <c r="AF364" s="76">
        <f>AB364+O364*Escenarios!$E$13/Escenarios!$E$16+AE364</f>
        <v>0.71229262240322089</v>
      </c>
      <c r="AG364" s="76">
        <f>IF(Entradas!$E$91&gt;0,IF(AF364-Escenarios!$E$38&lt;=0,0,IF(AF364-Escenarios!$E$38&gt;Escenarios!$E$37,Escenarios!$E$37,AF364-Escenarios!$E$38)),0)</f>
        <v>0</v>
      </c>
      <c r="AH364" s="76">
        <f>AG364*Entradas!$E$99</f>
        <v>0</v>
      </c>
      <c r="AI364" s="76">
        <f>IF(Entradas!$E$91&gt;0,D364*Entradas!$D$23/Escenarios!$E$16,0)</f>
        <v>0</v>
      </c>
      <c r="AJ364" s="76">
        <f>IF(Entradas!$E$91&gt;0,Entradas!$D$24*Entradas!$D$22/Escenarios!$E$16,0)</f>
        <v>0</v>
      </c>
      <c r="AK364" s="76">
        <f t="shared" si="80"/>
        <v>2.3834082537517118</v>
      </c>
      <c r="AL364" s="76">
        <f t="shared" si="81"/>
        <v>0</v>
      </c>
      <c r="AM364" s="76">
        <f t="shared" si="72"/>
        <v>0</v>
      </c>
      <c r="AN364" s="76">
        <f>MAX(0,O364*Escenarios!$E$13/Escenarios!$E$16-AM364)</f>
        <v>0.61420811846906653</v>
      </c>
      <c r="AO364" s="76">
        <f>AM364+AN364-O364*Escenarios!$E$13/Escenarios!$E$16</f>
        <v>0</v>
      </c>
      <c r="AP364" s="76">
        <f t="shared" si="70"/>
        <v>9.8084503934154327E-2</v>
      </c>
      <c r="AQ364" s="76">
        <f t="shared" si="73"/>
        <v>0</v>
      </c>
      <c r="AR364" s="76">
        <f t="shared" si="74"/>
        <v>0.71229262240322089</v>
      </c>
      <c r="AS364" s="76">
        <f t="shared" si="75"/>
        <v>0</v>
      </c>
      <c r="AT364" s="76">
        <f t="shared" si="76"/>
        <v>0</v>
      </c>
      <c r="AU364" s="76">
        <f t="shared" si="77"/>
        <v>48.75</v>
      </c>
      <c r="AV364" s="76">
        <f>MAX(0,(AU364-Constantes!$D$13)*(1-EXP(-Constantes!$D$24)))</f>
        <v>0</v>
      </c>
      <c r="AW364" s="170">
        <f>AW363+(Entradas!$E$112*AT364-AX363)/(800*Entradas!$D$25)</f>
        <v>0</v>
      </c>
      <c r="AX364" s="170">
        <f>8000*Entradas!$D$26*AW364/Constantes!$E$45</f>
        <v>0</v>
      </c>
      <c r="AY364" s="170">
        <f>IF(Escenarios!$E$17&gt;0,10*Escenarios!$E$16*AL364,0)</f>
        <v>0</v>
      </c>
      <c r="AZ364" s="170">
        <f>IF(Escenarios!$E$17&gt;0,10*Escenarios!$E$16*AX364,0)</f>
        <v>0</v>
      </c>
      <c r="BA364" s="170">
        <f>IF(Escenarios!$E$17&gt;0,0.001*Observaciones!$F363*Escenarios!$E$17,0)</f>
        <v>0</v>
      </c>
      <c r="BB364" s="170">
        <f>IF(Escenarios!$E$17&gt;0,Observaciones!$K363,0)</f>
        <v>0</v>
      </c>
      <c r="BC364" s="170">
        <f>IF(Escenarios!$E$17&gt;0,MIN(0.0005*ETo!$M363*Escenarios!$E$17*(BG363/Constantes!$E$40)^(2/3),BG363+AY364+AZ364+BA364+BB364),0)</f>
        <v>18.145383036677121</v>
      </c>
      <c r="BD364" s="170">
        <f>IF(Escenarios!$E$17&gt;0,MIN(Constantes!$E$39*(BG363/Constantes!$E$40)^(2/3),BG363+AY364+AZ364+BA364+BB364-BC364),0)</f>
        <v>29.149913476493602</v>
      </c>
      <c r="BE364" s="170">
        <f>IF(Escenarios!$E$17&gt;0,MIN(Entradas!$E$113,BG363+AY364+AZ364+BA364+BB364-BC364-BD364),0)</f>
        <v>1</v>
      </c>
      <c r="BF364" s="170">
        <f>IF(Escenarios!$E$17&gt;0,MAX(0,BG363+AY364+AZ364+BA364+BB364-BC364-BD364-BE364-Constantes!$E$40),0)</f>
        <v>0</v>
      </c>
      <c r="BG364" s="170">
        <f t="shared" si="82"/>
        <v>1418.0277667164312</v>
      </c>
      <c r="BH364" s="170">
        <f>(Escenarios!$E$16*AK364+0.1*BC364)/(Escenarios!$E$19)</f>
        <v>2.3716928640539514</v>
      </c>
      <c r="BI364" s="170">
        <f>IF(Escenarios!$E$17&gt;0,BF364/10/Escenarios!$E$19,AL364)</f>
        <v>0</v>
      </c>
      <c r="BJ364" s="170">
        <f>(Escenarios!$E$16*AT364+0.1*BD364)/(Escenarios!$E$19)</f>
        <v>1.1567425982735557E-2</v>
      </c>
      <c r="BK364" s="76">
        <f>BK363+(0.1*BD364)/(Escenarios!$E$19)-BL363</f>
        <v>49.5831278494123</v>
      </c>
      <c r="BL364" s="76">
        <f>MAX(0,(BK364-Constantes!$D$13)*(1-EXP(-Constantes!$D$23)))</f>
        <v>8.2090071358530553E-3</v>
      </c>
      <c r="BM364" s="76">
        <f t="shared" si="78"/>
        <v>0.10629351107000738</v>
      </c>
      <c r="BN364" s="76">
        <f t="shared" si="83"/>
        <v>0.72050162953907393</v>
      </c>
      <c r="BO364" s="76">
        <f>0.0526*BI364*Observaciones!$F363^1.218</f>
        <v>0</v>
      </c>
      <c r="BP364" s="76">
        <f>BO364*Constantes!$E$51</f>
        <v>0</v>
      </c>
      <c r="BQ364" s="76">
        <f t="shared" si="79"/>
        <v>0</v>
      </c>
      <c r="BR364" s="40"/>
    </row>
    <row r="365" spans="1:70">
      <c r="A365" s="147"/>
      <c r="B365" s="39"/>
      <c r="C365" s="75">
        <v>359</v>
      </c>
      <c r="D365" s="146">
        <f>ETo!$I364*((1-Constantes!$E$19)*ETo!$K364+ETo!$L364)</f>
        <v>4.3903906828590387</v>
      </c>
      <c r="E365" s="76">
        <f>MIN(D365*Constantes!$E$17,0.8*(N364+Observaciones!$F364-F365-M365-Constantes!$D$14))</f>
        <v>2.1465160639590155</v>
      </c>
      <c r="F365" s="76">
        <f>IF(Observaciones!$F364&gt;0.05*Constantes!$E$18,((Observaciones!$F364-0.05*Constantes!$E$18)^2)/(Observaciones!$F364+0.95*Constantes!$E$18),0)</f>
        <v>2.1372569496048697</v>
      </c>
      <c r="G365" s="76">
        <f>IF(Escenarios!$E$11&gt;0,(F365*Escenarios!$E$16*10000)/1000,0)</f>
        <v>5343.1423740121745</v>
      </c>
      <c r="H365" s="76">
        <f>IF(Escenarios!$E$11&gt;0,(Observaciones!$F364*Constantes!$E$29)/1000,0)</f>
        <v>230</v>
      </c>
      <c r="I365" s="76">
        <f>IF(Escenarios!$E$11&gt;0,(D365*Constantes!$E$29)/1000,0)</f>
        <v>43.903906828590387</v>
      </c>
      <c r="J365" s="76">
        <f>IF(Escenarios!$E$11&gt;0,MAX(0,G365+H365-I365),0)</f>
        <v>5529.2384671835844</v>
      </c>
      <c r="K365" s="76">
        <f>IF(Escenarios!$E$11&gt;0,IF(J365&gt;Constantes!$E$30,1000*((J365-Constantes!$E$30)/(Escenarios!$E$16*10000)),0),F365)</f>
        <v>1.6969895045204926</v>
      </c>
      <c r="L365" s="76">
        <f>IF(Escenarios!$E$11&gt;0,I365*1000/Escenarios!$E$16/10000+E365,E365)</f>
        <v>2.1640776266904518</v>
      </c>
      <c r="M365" s="76">
        <f>MAX(0,N364+Observaciones!$F364-K365-Constantes!$D$13)</f>
        <v>4.2929855615158061</v>
      </c>
      <c r="N365" s="76">
        <f>N364+Observaciones!$F364-K365-L365-M365-O364</f>
        <v>45.887958602321973</v>
      </c>
      <c r="O365" s="76">
        <f>MAX(0,(N365-Constantes!$D$14)*(1-EXP(-Constantes!$D$22)))</f>
        <v>1.1798960285443105</v>
      </c>
      <c r="P365" s="170">
        <f>P364+(Entradas!$E$83*M365-Q364)/(800*Entradas!$D$25)</f>
        <v>0</v>
      </c>
      <c r="Q365" s="170">
        <f>8000*Entradas!$D$26*P365/Constantes!$E$45</f>
        <v>0</v>
      </c>
      <c r="R365" s="170">
        <f>IF(Escenarios!$E$14&gt;0,K365*Escenarios!$E$13/Escenarios!$E$14,0)</f>
        <v>12.444589699816946</v>
      </c>
      <c r="S365" s="170">
        <f>IF(Escenarios!$E$14&gt;0,Q365*Escenarios!$E$13/Escenarios!$E$14,0)</f>
        <v>0</v>
      </c>
      <c r="T365" s="170">
        <f>IF(Escenarios!$E$14&gt;0,Observaciones!$I364,0)</f>
        <v>0</v>
      </c>
      <c r="U365" s="170">
        <f>IF(Escenarios!$E$14&gt;0,MAX(0,Constantes!$E$36/((Z364+R365+S365+T365+Observaciones!$F364)^2)+Entradas!$E$77),0)</f>
        <v>1.7276811884234557</v>
      </c>
      <c r="V365" s="146">
        <f>IF(ETo!D364&gt;0,ETo!I364*((1-Entradas!$E$81)*ETo!K364+ETo!L364),0)</f>
        <v>4.0125240052881894</v>
      </c>
      <c r="W365" s="170">
        <f>IF(Escenarios!$E$14&gt;0,MIN(V365*1,0.8*(Z364+R365+S365+T365+Observaciones!$F364-U365-Constantes!$E$35)),0)</f>
        <v>4.0125240052881894</v>
      </c>
      <c r="X365" s="170">
        <f>IF(Escenarios!$E$14&gt;0,Observaciones!$J364,0)</f>
        <v>0</v>
      </c>
      <c r="Y365" s="170">
        <f>IF(Escenarios!$E$14&gt;0,MAX(0,Z364+R365+S365+T365+Observaciones!$F364-U365-W365-X365-Constantes!$E$33),0)</f>
        <v>0</v>
      </c>
      <c r="Z365" s="170">
        <f>Z364+R365+S365+T365+Observaciones!$F364-U365-W365-Y365</f>
        <v>84.089199016006461</v>
      </c>
      <c r="AA365" s="170">
        <f>IF(Escenarios!$E$14&gt;0,(Escenarios!$E$13*L365+Escenarios!$E$14*W365)/(Escenarios!$E$16),L365)</f>
        <v>2.3858911921221804</v>
      </c>
      <c r="AB365" s="170">
        <f>IF(Escenarios!$E$14&gt;0,(Escenarios!$E$14*Y365)/(Escenarios!$E$16),K365)</f>
        <v>0</v>
      </c>
      <c r="AC365" s="170">
        <f>IF(Escenarios!$E$14&gt;0,(Escenarios!$E$13*M365+Escenarios!$E$14*U365)/(Escenarios!$E$16),M365)</f>
        <v>3.985149036744724</v>
      </c>
      <c r="AD365" s="76">
        <f t="shared" si="71"/>
        <v>62.591609640517127</v>
      </c>
      <c r="AE365" s="76">
        <f>MAX(0,(AD365-Constantes!$D$13)*(1-EXP(-Constantes!$D$23)))</f>
        <v>0.13638467660257766</v>
      </c>
      <c r="AF365" s="76">
        <f>AB365+O365*Escenarios!$E$13/Escenarios!$E$16+AE365</f>
        <v>1.1746931817215709</v>
      </c>
      <c r="AG365" s="76">
        <f>IF(Entradas!$E$91&gt;0,IF(AF365-Escenarios!$E$38&lt;=0,0,IF(AF365-Escenarios!$E$38&gt;Escenarios!$E$37,Escenarios!$E$37,AF365-Escenarios!$E$38)),0)</f>
        <v>0</v>
      </c>
      <c r="AH365" s="76">
        <f>AG365*Entradas!$E$99</f>
        <v>0</v>
      </c>
      <c r="AI365" s="76">
        <f>IF(Entradas!$E$91&gt;0,D365*Entradas!$D$23/Escenarios!$E$16,0)</f>
        <v>0</v>
      </c>
      <c r="AJ365" s="76">
        <f>IF(Entradas!$E$91&gt;0,Entradas!$D$24*Entradas!$D$22/Escenarios!$E$16,0)</f>
        <v>0</v>
      </c>
      <c r="AK365" s="76">
        <f t="shared" si="80"/>
        <v>2.3858911921221804</v>
      </c>
      <c r="AL365" s="76">
        <f t="shared" si="81"/>
        <v>0</v>
      </c>
      <c r="AM365" s="76">
        <f t="shared" si="72"/>
        <v>0</v>
      </c>
      <c r="AN365" s="76">
        <f>MAX(0,O365*Escenarios!$E$13/Escenarios!$E$16-AM365)</f>
        <v>1.0383085051189933</v>
      </c>
      <c r="AO365" s="76">
        <f>AM365+AN365-O365*Escenarios!$E$13/Escenarios!$E$16</f>
        <v>0</v>
      </c>
      <c r="AP365" s="76">
        <f t="shared" si="70"/>
        <v>0.13638467660257766</v>
      </c>
      <c r="AQ365" s="76">
        <f t="shared" si="73"/>
        <v>0</v>
      </c>
      <c r="AR365" s="76">
        <f t="shared" si="74"/>
        <v>1.1746931817215709</v>
      </c>
      <c r="AS365" s="76">
        <f t="shared" si="75"/>
        <v>0</v>
      </c>
      <c r="AT365" s="76">
        <f t="shared" si="76"/>
        <v>3.985149036744724</v>
      </c>
      <c r="AU365" s="76">
        <f t="shared" si="77"/>
        <v>48.75</v>
      </c>
      <c r="AV365" s="76">
        <f>MAX(0,(AU365-Constantes!$D$13)*(1-EXP(-Constantes!$D$24)))</f>
        <v>0</v>
      </c>
      <c r="AW365" s="170">
        <f>AW364+(Entradas!$E$112*AT365-AX364)/(800*Entradas!$D$25)</f>
        <v>0</v>
      </c>
      <c r="AX365" s="170">
        <f>8000*Entradas!$D$26*AW365/Constantes!$E$45</f>
        <v>0</v>
      </c>
      <c r="AY365" s="170">
        <f>IF(Escenarios!$E$17&gt;0,10*Escenarios!$E$16*AL365,0)</f>
        <v>0</v>
      </c>
      <c r="AZ365" s="170">
        <f>IF(Escenarios!$E$17&gt;0,10*Escenarios!$E$16*AX365,0)</f>
        <v>0</v>
      </c>
      <c r="BA365" s="170">
        <f>IF(Escenarios!$E$17&gt;0,0.001*Observaciones!$F364*Escenarios!$E$17,0)</f>
        <v>460</v>
      </c>
      <c r="BB365" s="170">
        <f>IF(Escenarios!$E$17&gt;0,Observaciones!$K364,0)</f>
        <v>0</v>
      </c>
      <c r="BC365" s="170">
        <f>IF(Escenarios!$E$17&gt;0,MIN(0.0005*ETo!$M364*Escenarios!$E$17*(BG364/Constantes!$E$40)^(2/3),BG364+AY365+AZ365+BA365+BB365),0)</f>
        <v>17.762890905572526</v>
      </c>
      <c r="BD365" s="170">
        <f>IF(Escenarios!$E$17&gt;0,MIN(Constantes!$E$39*(BG364/Constantes!$E$40)^(2/3),BG364+AY365+AZ365+BA365+BB365-BC365),0)</f>
        <v>28.506286762286731</v>
      </c>
      <c r="BE365" s="170">
        <f>IF(Escenarios!$E$17&gt;0,MIN(Entradas!$E$113,BG364+AY365+AZ365+BA365+BB365-BC365-BD365),0)</f>
        <v>1</v>
      </c>
      <c r="BF365" s="170">
        <f>IF(Escenarios!$E$17&gt;0,MAX(0,BG364+AY365+AZ365+BA365+BB365-BC365-BD365-BE365-Constantes!$E$40),0)</f>
        <v>0</v>
      </c>
      <c r="BG365" s="170">
        <f t="shared" si="82"/>
        <v>1830.758589048572</v>
      </c>
      <c r="BH365" s="170">
        <f>(Escenarios!$E$16*AK365+0.1*BC365)/(Escenarios!$E$19)</f>
        <v>2.3740043139726281</v>
      </c>
      <c r="BI365" s="170">
        <f>IF(Escenarios!$E$17&gt;0,BF365/10/Escenarios!$E$19,AL365)</f>
        <v>0</v>
      </c>
      <c r="BJ365" s="170">
        <f>(Escenarios!$E$16*AT365+0.1*BD365)/(Escenarios!$E$19)</f>
        <v>3.9648328883428956</v>
      </c>
      <c r="BK365" s="76">
        <f>BK364+(0.1*BD365)/(Escenarios!$E$19)-BL364</f>
        <v>49.586230860832906</v>
      </c>
      <c r="BL365" s="76">
        <f>MAX(0,(BK365-Constantes!$D$13)*(1-EXP(-Constantes!$D$23)))</f>
        <v>8.2395818464600264E-3</v>
      </c>
      <c r="BM365" s="76">
        <f t="shared" si="78"/>
        <v>0.1446242584490377</v>
      </c>
      <c r="BN365" s="76">
        <f t="shared" si="83"/>
        <v>1.1829327635680309</v>
      </c>
      <c r="BO365" s="76">
        <f>0.0526*BI365*Observaciones!$F364^1.218</f>
        <v>0</v>
      </c>
      <c r="BP365" s="76">
        <f>BO365*Constantes!$E$51</f>
        <v>0</v>
      </c>
      <c r="BQ365" s="76">
        <f t="shared" si="79"/>
        <v>0</v>
      </c>
      <c r="BR365" s="40"/>
    </row>
    <row r="366" spans="1:70">
      <c r="A366" s="147"/>
      <c r="B366" s="39"/>
      <c r="C366" s="75">
        <v>360</v>
      </c>
      <c r="D366" s="146">
        <f>ETo!$I365*((1-Constantes!$E$19)*ETo!$K365+ETo!$L365)</f>
        <v>4.3449940158913511</v>
      </c>
      <c r="E366" s="76">
        <f>MIN(D366*Constantes!$E$17,0.8*(N365+Observaciones!$F365-F366-M366-Constantes!$D$14))</f>
        <v>2.1243210745069874</v>
      </c>
      <c r="F366" s="76">
        <f>IF(Observaciones!$F365&gt;0.05*Constantes!$E$18,((Observaciones!$F365-0.05*Constantes!$E$18)^2)/(Observaciones!$F365+0.95*Constantes!$E$18),0)</f>
        <v>0</v>
      </c>
      <c r="G366" s="76">
        <f>IF(Escenarios!$E$11&gt;0,(F366*Escenarios!$E$16*10000)/1000,0)</f>
        <v>0</v>
      </c>
      <c r="H366" s="76">
        <f>IF(Escenarios!$E$11&gt;0,(Observaciones!$F365*Constantes!$E$29)/1000,0)</f>
        <v>38</v>
      </c>
      <c r="I366" s="76">
        <f>IF(Escenarios!$E$11&gt;0,(D366*Constantes!$E$29)/1000,0)</f>
        <v>43.449940158913506</v>
      </c>
      <c r="J366" s="76">
        <f>IF(Escenarios!$E$11&gt;0,MAX(0,G366+H366-I366),0)</f>
        <v>0</v>
      </c>
      <c r="K366" s="76">
        <f>IF(Escenarios!$E$11&gt;0,IF(J366&gt;Constantes!$E$30,1000*((J366-Constantes!$E$30)/(Escenarios!$E$16*10000)),0),F366)</f>
        <v>0</v>
      </c>
      <c r="L366" s="76">
        <f>IF(Escenarios!$E$11&gt;0,I366*1000/Escenarios!$E$16/10000+E366,E366)</f>
        <v>2.1417010505705529</v>
      </c>
      <c r="M366" s="76">
        <f>MAX(0,N365+Observaciones!$F365-K366-Constantes!$D$13)</f>
        <v>0.93795860232197015</v>
      </c>
      <c r="N366" s="76">
        <f>N365+Observaciones!$F365-K366-L366-M366-O365</f>
        <v>45.428402920885134</v>
      </c>
      <c r="O366" s="76">
        <f>MAX(0,(N366-Constantes!$D$14)*(1-EXP(-Constantes!$D$22)))</f>
        <v>1.1642418749711276</v>
      </c>
      <c r="P366" s="170">
        <f>P365+(Entradas!$E$83*M366-Q365)/(800*Entradas!$D$25)</f>
        <v>0</v>
      </c>
      <c r="Q366" s="170">
        <f>8000*Entradas!$D$26*P366/Constantes!$E$45</f>
        <v>0</v>
      </c>
      <c r="R366" s="170">
        <f>IF(Escenarios!$E$14&gt;0,K366*Escenarios!$E$13/Escenarios!$E$14,0)</f>
        <v>0</v>
      </c>
      <c r="S366" s="170">
        <f>IF(Escenarios!$E$14&gt;0,Q366*Escenarios!$E$13/Escenarios!$E$14,0)</f>
        <v>0</v>
      </c>
      <c r="T366" s="170">
        <f>IF(Escenarios!$E$14&gt;0,Observaciones!$I365,0)</f>
        <v>0</v>
      </c>
      <c r="U366" s="170">
        <f>IF(Escenarios!$E$14&gt;0,MAX(0,Constantes!$E$36/((Z365+R366+S366+T366+Observaciones!$F365)^2)+Entradas!$E$77),0)</f>
        <v>1.6708867918783088</v>
      </c>
      <c r="V366" s="146">
        <f>IF(ETo!D365&gt;0,ETo!I365*((1-Entradas!$E$81)*ETo!K365+ETo!L365),0)</f>
        <v>3.9705517931681236</v>
      </c>
      <c r="W366" s="170">
        <f>IF(Escenarios!$E$14&gt;0,MIN(V366*1,0.8*(Z365+R366+S366+T366+Observaciones!$F365-U366-Constantes!$E$35)),0)</f>
        <v>3.9705517931681236</v>
      </c>
      <c r="X366" s="170">
        <f>IF(Escenarios!$E$14&gt;0,Observaciones!$J365,0)</f>
        <v>0</v>
      </c>
      <c r="Y366" s="170">
        <f>IF(Escenarios!$E$14&gt;0,MAX(0,Z365+R366+S366+T366+Observaciones!$F365-U366-W366-X366-Constantes!$E$33),0)</f>
        <v>0</v>
      </c>
      <c r="Z366" s="170">
        <f>Z365+R366+S366+T366+Observaciones!$F365-U366-W366-Y366</f>
        <v>82.247760430960028</v>
      </c>
      <c r="AA366" s="170">
        <f>IF(Escenarios!$E$14&gt;0,(Escenarios!$E$13*L366+Escenarios!$E$14*W366)/(Escenarios!$E$16),L366)</f>
        <v>2.3611631396822612</v>
      </c>
      <c r="AB366" s="170">
        <f>IF(Escenarios!$E$14&gt;0,(Escenarios!$E$14*Y366)/(Escenarios!$E$16),K366)</f>
        <v>0</v>
      </c>
      <c r="AC366" s="170">
        <f>IF(Escenarios!$E$14&gt;0,(Escenarios!$E$13*M366+Escenarios!$E$14*U366)/(Escenarios!$E$16),M366)</f>
        <v>1.0259099850687308</v>
      </c>
      <c r="AD366" s="76">
        <f t="shared" si="71"/>
        <v>63.481134948983282</v>
      </c>
      <c r="AE366" s="76">
        <f>MAX(0,(AD366-Constantes!$D$13)*(1-EXP(-Constantes!$D$23)))</f>
        <v>0.14514938133531657</v>
      </c>
      <c r="AF366" s="76">
        <f>AB366+O366*Escenarios!$E$13/Escenarios!$E$16+AE366</f>
        <v>1.1696822313099091</v>
      </c>
      <c r="AG366" s="76">
        <f>IF(Entradas!$E$91&gt;0,IF(AF366-Escenarios!$E$38&lt;=0,0,IF(AF366-Escenarios!$E$38&gt;Escenarios!$E$37,Escenarios!$E$37,AF366-Escenarios!$E$38)),0)</f>
        <v>0</v>
      </c>
      <c r="AH366" s="76">
        <f>AG366*Entradas!$E$99</f>
        <v>0</v>
      </c>
      <c r="AI366" s="76">
        <f>IF(Entradas!$E$91&gt;0,D366*Entradas!$D$23/Escenarios!$E$16,0)</f>
        <v>0</v>
      </c>
      <c r="AJ366" s="76">
        <f>IF(Entradas!$E$91&gt;0,Entradas!$D$24*Entradas!$D$22/Escenarios!$E$16,0)</f>
        <v>0</v>
      </c>
      <c r="AK366" s="76">
        <f t="shared" si="80"/>
        <v>2.3611631396822612</v>
      </c>
      <c r="AL366" s="76">
        <f t="shared" si="81"/>
        <v>0</v>
      </c>
      <c r="AM366" s="76">
        <f t="shared" si="72"/>
        <v>0</v>
      </c>
      <c r="AN366" s="76">
        <f>MAX(0,O366*Escenarios!$E$13/Escenarios!$E$16-AM366)</f>
        <v>1.0245328499745925</v>
      </c>
      <c r="AO366" s="76">
        <f>AM366+AN366-O366*Escenarios!$E$13/Escenarios!$E$16</f>
        <v>0</v>
      </c>
      <c r="AP366" s="76">
        <f t="shared" si="70"/>
        <v>0.14514938133531657</v>
      </c>
      <c r="AQ366" s="76">
        <f t="shared" si="73"/>
        <v>0</v>
      </c>
      <c r="AR366" s="76">
        <f t="shared" si="74"/>
        <v>1.1696822313099091</v>
      </c>
      <c r="AS366" s="76">
        <f t="shared" si="75"/>
        <v>0</v>
      </c>
      <c r="AT366" s="76">
        <f t="shared" si="76"/>
        <v>1.0259099850687308</v>
      </c>
      <c r="AU366" s="76">
        <f t="shared" si="77"/>
        <v>48.75</v>
      </c>
      <c r="AV366" s="76">
        <f>MAX(0,(AU366-Constantes!$D$13)*(1-EXP(-Constantes!$D$24)))</f>
        <v>0</v>
      </c>
      <c r="AW366" s="170">
        <f>AW365+(Entradas!$E$112*AT366-AX365)/(800*Entradas!$D$25)</f>
        <v>0</v>
      </c>
      <c r="AX366" s="170">
        <f>8000*Entradas!$D$26*AW366/Constantes!$E$45</f>
        <v>0</v>
      </c>
      <c r="AY366" s="170">
        <f>IF(Escenarios!$E$17&gt;0,10*Escenarios!$E$16*AL366,0)</f>
        <v>0</v>
      </c>
      <c r="AZ366" s="170">
        <f>IF(Escenarios!$E$17&gt;0,10*Escenarios!$E$16*AX366,0)</f>
        <v>0</v>
      </c>
      <c r="BA366" s="170">
        <f>IF(Escenarios!$E$17&gt;0,0.001*Observaciones!$F365*Escenarios!$E$17,0)</f>
        <v>76</v>
      </c>
      <c r="BB366" s="170">
        <f>IF(Escenarios!$E$17&gt;0,Observaciones!$K365,0)</f>
        <v>0</v>
      </c>
      <c r="BC366" s="170">
        <f>IF(Escenarios!$E$17&gt;0,MIN(0.0005*ETo!$M365*Escenarios!$E$17*(BG365/Constantes!$E$40)^(2/3),BG365+AY366+AZ366+BA366+BB366),0)</f>
        <v>20.846384793030406</v>
      </c>
      <c r="BD366" s="170">
        <f>IF(Escenarios!$E$17&gt;0,MIN(Constantes!$E$39*(BG365/Constantes!$E$40)^(2/3),BG365+AY366+AZ366+BA366+BB366-BC366),0)</f>
        <v>33.799080064081885</v>
      </c>
      <c r="BE366" s="170">
        <f>IF(Escenarios!$E$17&gt;0,MIN(Entradas!$E$113,BG365+AY366+AZ366+BA366+BB366-BC366-BD366),0)</f>
        <v>1</v>
      </c>
      <c r="BF366" s="170">
        <f>IF(Escenarios!$E$17&gt;0,MAX(0,BG365+AY366+AZ366+BA366+BB366-BC366-BD366-BE366-Constantes!$E$40),0)</f>
        <v>0</v>
      </c>
      <c r="BG366" s="170">
        <f t="shared" si="82"/>
        <v>1851.1131241914597</v>
      </c>
      <c r="BH366" s="170">
        <f>(Escenarios!$E$16*AK366+0.1*BC366)/(Escenarios!$E$19)</f>
        <v>2.3506961246026523</v>
      </c>
      <c r="BI366" s="170">
        <f>IF(Escenarios!$E$17&gt;0,BF366/10/Escenarios!$E$19,AL366)</f>
        <v>0</v>
      </c>
      <c r="BJ366" s="170">
        <f>(Escenarios!$E$16*AT366+0.1*BD366)/(Escenarios!$E$19)</f>
        <v>1.0311801756888526</v>
      </c>
      <c r="BK366" s="76">
        <f>BK365+(0.1*BD366)/(Escenarios!$E$19)-BL365</f>
        <v>49.591403612345211</v>
      </c>
      <c r="BL366" s="76">
        <f>MAX(0,(BK366-Constantes!$D$13)*(1-EXP(-Constantes!$D$23)))</f>
        <v>8.2905501991641858E-3</v>
      </c>
      <c r="BM366" s="76">
        <f t="shared" si="78"/>
        <v>0.15343993153448077</v>
      </c>
      <c r="BN366" s="76">
        <f t="shared" si="83"/>
        <v>1.1779727815090733</v>
      </c>
      <c r="BO366" s="76">
        <f>0.0526*BI366*Observaciones!$F365^1.218</f>
        <v>0</v>
      </c>
      <c r="BP366" s="76">
        <f>BO366*Constantes!$E$51</f>
        <v>0</v>
      </c>
      <c r="BQ366" s="76">
        <f t="shared" si="79"/>
        <v>0</v>
      </c>
      <c r="BR366" s="40"/>
    </row>
    <row r="367" spans="1:70">
      <c r="A367" s="147"/>
      <c r="B367" s="39"/>
      <c r="C367" s="75">
        <v>361</v>
      </c>
      <c r="D367" s="146">
        <f>ETo!$I366*((1-Constantes!$E$19)*ETo!$K366+ETo!$L366)</f>
        <v>4.4903268313070424</v>
      </c>
      <c r="E367" s="76">
        <f>MIN(D367*Constantes!$E$17,0.8*(N366+Observaciones!$F366-F367-M367-Constantes!$D$14))</f>
        <v>2.1953760774542475</v>
      </c>
      <c r="F367" s="76">
        <f>IF(Observaciones!$F366&gt;0.05*Constantes!$E$18,((Observaciones!$F366-0.05*Constantes!$E$18)^2)/(Observaciones!$F366+0.95*Constantes!$E$18),0)</f>
        <v>0</v>
      </c>
      <c r="G367" s="76">
        <f>IF(Escenarios!$E$11&gt;0,(F367*Escenarios!$E$16*10000)/1000,0)</f>
        <v>0</v>
      </c>
      <c r="H367" s="76">
        <f>IF(Escenarios!$E$11&gt;0,(Observaciones!$F366*Constantes!$E$29)/1000,0)</f>
        <v>28</v>
      </c>
      <c r="I367" s="76">
        <f>IF(Escenarios!$E$11&gt;0,(D367*Constantes!$E$29)/1000,0)</f>
        <v>44.903268313070427</v>
      </c>
      <c r="J367" s="76">
        <f>IF(Escenarios!$E$11&gt;0,MAX(0,G367+H367-I367),0)</f>
        <v>0</v>
      </c>
      <c r="K367" s="76">
        <f>IF(Escenarios!$E$11&gt;0,IF(J367&gt;Constantes!$E$30,1000*((J367-Constantes!$E$30)/(Escenarios!$E$16*10000)),0),F367)</f>
        <v>0</v>
      </c>
      <c r="L367" s="76">
        <f>IF(Escenarios!$E$11&gt;0,I367*1000/Escenarios!$E$16/10000+E367,E367)</f>
        <v>2.2133373847794755</v>
      </c>
      <c r="M367" s="76">
        <f>MAX(0,N366+Observaciones!$F366-K367-Constantes!$D$13)</f>
        <v>0</v>
      </c>
      <c r="N367" s="76">
        <f>N366+Observaciones!$F366-K367-L367-M367-O366</f>
        <v>44.850823661134527</v>
      </c>
      <c r="O367" s="76">
        <f>MAX(0,(N367-Constantes!$D$14)*(1-EXP(-Constantes!$D$22)))</f>
        <v>1.1445674050471517</v>
      </c>
      <c r="P367" s="170">
        <f>P366+(Entradas!$E$83*M367-Q366)/(800*Entradas!$D$25)</f>
        <v>0</v>
      </c>
      <c r="Q367" s="170">
        <f>8000*Entradas!$D$26*P367/Constantes!$E$45</f>
        <v>0</v>
      </c>
      <c r="R367" s="170">
        <f>IF(Escenarios!$E$14&gt;0,K367*Escenarios!$E$13/Escenarios!$E$14,0)</f>
        <v>0</v>
      </c>
      <c r="S367" s="170">
        <f>IF(Escenarios!$E$14&gt;0,Q367*Escenarios!$E$13/Escenarios!$E$14,0)</f>
        <v>0</v>
      </c>
      <c r="T367" s="170">
        <f>IF(Escenarios!$E$14&gt;0,Observaciones!$I366,0)</f>
        <v>0</v>
      </c>
      <c r="U367" s="170">
        <f>IF(Escenarios!$E$14&gt;0,MAX(0,Constantes!$E$36/((Z366+R367+S367+T367+Observaciones!$F366)^2)+Entradas!$E$77),0)</f>
        <v>1.5805920828379605</v>
      </c>
      <c r="V367" s="146">
        <f>IF(ETo!D366&gt;0,ETo!I366*((1-Entradas!$E$81)*ETo!K366+ETo!L366),0)</f>
        <v>4.1050825868588703</v>
      </c>
      <c r="W367" s="170">
        <f>IF(Escenarios!$E$14&gt;0,MIN(V367*1,0.8*(Z366+R367+S367+T367+Observaciones!$F366-U367-Constantes!$E$35)),0)</f>
        <v>4.1050825868588703</v>
      </c>
      <c r="X367" s="170">
        <f>IF(Escenarios!$E$14&gt;0,Observaciones!$J366,0)</f>
        <v>0</v>
      </c>
      <c r="Y367" s="170">
        <f>IF(Escenarios!$E$14&gt;0,MAX(0,Z366+R367+S367+T367+Observaciones!$F366-U367-W367-X367-Constantes!$E$33),0)</f>
        <v>0</v>
      </c>
      <c r="Z367" s="170">
        <f>Z366+R367+S367+T367+Observaciones!$F366-U367-W367-Y367</f>
        <v>79.362085761263188</v>
      </c>
      <c r="AA367" s="170">
        <f>IF(Escenarios!$E$14&gt;0,(Escenarios!$E$13*L367+Escenarios!$E$14*W367)/(Escenarios!$E$16),L367)</f>
        <v>2.4403468090290028</v>
      </c>
      <c r="AB367" s="170">
        <f>IF(Escenarios!$E$14&gt;0,(Escenarios!$E$14*Y367)/(Escenarios!$E$16),K367)</f>
        <v>0</v>
      </c>
      <c r="AC367" s="170">
        <f>IF(Escenarios!$E$14&gt;0,(Escenarios!$E$13*M367+Escenarios!$E$14*U367)/(Escenarios!$E$16),M367)</f>
        <v>0.18967104994055525</v>
      </c>
      <c r="AD367" s="76">
        <f t="shared" si="71"/>
        <v>63.525656617588524</v>
      </c>
      <c r="AE367" s="76">
        <f>MAX(0,(AD367-Constantes!$D$13)*(1-EXP(-Constantes!$D$23)))</f>
        <v>0.14558806394031931</v>
      </c>
      <c r="AF367" s="76">
        <f>AB367+O367*Escenarios!$E$13/Escenarios!$E$16+AE367</f>
        <v>1.1528073803818129</v>
      </c>
      <c r="AG367" s="76">
        <f>IF(Entradas!$E$91&gt;0,IF(AF367-Escenarios!$E$38&lt;=0,0,IF(AF367-Escenarios!$E$38&gt;Escenarios!$E$37,Escenarios!$E$37,AF367-Escenarios!$E$38)),0)</f>
        <v>0</v>
      </c>
      <c r="AH367" s="76">
        <f>AG367*Entradas!$E$99</f>
        <v>0</v>
      </c>
      <c r="AI367" s="76">
        <f>IF(Entradas!$E$91&gt;0,D367*Entradas!$D$23/Escenarios!$E$16,0)</f>
        <v>0</v>
      </c>
      <c r="AJ367" s="76">
        <f>IF(Entradas!$E$91&gt;0,Entradas!$D$24*Entradas!$D$22/Escenarios!$E$16,0)</f>
        <v>0</v>
      </c>
      <c r="AK367" s="76">
        <f t="shared" si="80"/>
        <v>2.4403468090290028</v>
      </c>
      <c r="AL367" s="76">
        <f t="shared" si="81"/>
        <v>0</v>
      </c>
      <c r="AM367" s="76">
        <f t="shared" si="72"/>
        <v>0</v>
      </c>
      <c r="AN367" s="76">
        <f>MAX(0,O367*Escenarios!$E$13/Escenarios!$E$16-AM367)</f>
        <v>1.0072193164414935</v>
      </c>
      <c r="AO367" s="76">
        <f>AM367+AN367-O367*Escenarios!$E$13/Escenarios!$E$16</f>
        <v>0</v>
      </c>
      <c r="AP367" s="76">
        <f t="shared" si="70"/>
        <v>0.14558806394031931</v>
      </c>
      <c r="AQ367" s="76">
        <f t="shared" si="73"/>
        <v>0</v>
      </c>
      <c r="AR367" s="76">
        <f t="shared" si="74"/>
        <v>1.1528073803818129</v>
      </c>
      <c r="AS367" s="76">
        <f t="shared" si="75"/>
        <v>0</v>
      </c>
      <c r="AT367" s="76">
        <f t="shared" si="76"/>
        <v>0.18967104994055525</v>
      </c>
      <c r="AU367" s="76">
        <f t="shared" si="77"/>
        <v>48.75</v>
      </c>
      <c r="AV367" s="76">
        <f>MAX(0,(AU367-Constantes!$D$13)*(1-EXP(-Constantes!$D$24)))</f>
        <v>0</v>
      </c>
      <c r="AW367" s="170">
        <f>AW366+(Entradas!$E$112*AT367-AX366)/(800*Entradas!$D$25)</f>
        <v>0</v>
      </c>
      <c r="AX367" s="170">
        <f>8000*Entradas!$D$26*AW367/Constantes!$E$45</f>
        <v>0</v>
      </c>
      <c r="AY367" s="170">
        <f>IF(Escenarios!$E$17&gt;0,10*Escenarios!$E$16*AL367,0)</f>
        <v>0</v>
      </c>
      <c r="AZ367" s="170">
        <f>IF(Escenarios!$E$17&gt;0,10*Escenarios!$E$16*AX367,0)</f>
        <v>0</v>
      </c>
      <c r="BA367" s="170">
        <f>IF(Escenarios!$E$17&gt;0,0.001*Observaciones!$F366*Escenarios!$E$17,0)</f>
        <v>56</v>
      </c>
      <c r="BB367" s="170">
        <f>IF(Escenarios!$E$17&gt;0,Observaciones!$K366,0)</f>
        <v>0</v>
      </c>
      <c r="BC367" s="170">
        <f>IF(Escenarios!$E$17&gt;0,MIN(0.0005*ETo!$M366*Escenarios!$E$17*(BG366/Constantes!$E$40)^(2/3),BG366+AY367+AZ367+BA367+BB367),0)</f>
        <v>21.691514584248477</v>
      </c>
      <c r="BD367" s="170">
        <f>IF(Escenarios!$E$17&gt;0,MIN(Constantes!$E$39*(BG366/Constantes!$E$40)^(2/3),BG366+AY367+AZ367+BA367+BB367-BC367),0)</f>
        <v>34.04913888938362</v>
      </c>
      <c r="BE367" s="170">
        <f>IF(Escenarios!$E$17&gt;0,MIN(Entradas!$E$113,BG366+AY367+AZ367+BA367+BB367-BC367-BD367),0)</f>
        <v>1</v>
      </c>
      <c r="BF367" s="170">
        <f>IF(Escenarios!$E$17&gt;0,MAX(0,BG366+AY367+AZ367+BA367+BB367-BC367-BD367-BE367-Constantes!$E$40),0)</f>
        <v>0</v>
      </c>
      <c r="BG367" s="170">
        <f t="shared" si="82"/>
        <v>1850.3724707178276</v>
      </c>
      <c r="BH367" s="170">
        <f>(Escenarios!$E$16*AK367+0.1*BC367)/(Escenarios!$E$19)</f>
        <v>2.4295867210939508</v>
      </c>
      <c r="BI367" s="170">
        <f>IF(Escenarios!$E$17&gt;0,BF367/10/Escenarios!$E$19,AL367)</f>
        <v>0</v>
      </c>
      <c r="BJ367" s="170">
        <f>(Escenarios!$E$16*AT367+0.1*BD367)/(Escenarios!$E$19)</f>
        <v>0.20167728719871894</v>
      </c>
      <c r="BK367" s="76">
        <f>BK366+(0.1*BD367)/(Escenarios!$E$19)-BL366</f>
        <v>49.596624625197393</v>
      </c>
      <c r="BL367" s="76">
        <f>MAX(0,(BK367-Constantes!$D$13)*(1-EXP(-Constantes!$D$23)))</f>
        <v>8.3419940823451135E-3</v>
      </c>
      <c r="BM367" s="76">
        <f t="shared" si="78"/>
        <v>0.15393005802266443</v>
      </c>
      <c r="BN367" s="76">
        <f t="shared" si="83"/>
        <v>1.1611493744641579</v>
      </c>
      <c r="BO367" s="76">
        <f>0.0526*BI367*Observaciones!$F366^1.218</f>
        <v>0</v>
      </c>
      <c r="BP367" s="76">
        <f>BO367*Constantes!$E$51</f>
        <v>0</v>
      </c>
      <c r="BQ367" s="76">
        <f t="shared" si="79"/>
        <v>0</v>
      </c>
      <c r="BR367" s="40"/>
    </row>
    <row r="368" spans="1:70">
      <c r="A368" s="147"/>
      <c r="B368" s="39"/>
      <c r="C368" s="75">
        <v>362</v>
      </c>
      <c r="D368" s="146">
        <f>ETo!$I367*((1-Constantes!$E$19)*ETo!$K367+ETo!$L367)</f>
        <v>4.5357616737524848</v>
      </c>
      <c r="E368" s="76">
        <f>MIN(D368*Constantes!$E$17,0.8*(N367+Observaciones!$F367-F368-M368-Constantes!$D$14))</f>
        <v>2.2175897313674064</v>
      </c>
      <c r="F368" s="76">
        <f>IF(Observaciones!$F367&gt;0.05*Constantes!$E$18,((Observaciones!$F367-0.05*Constantes!$E$18)^2)/(Observaciones!$F367+0.95*Constantes!$E$18),0)</f>
        <v>1.0321555455750776E-3</v>
      </c>
      <c r="G368" s="76">
        <f>IF(Escenarios!$E$11&gt;0,(F368*Escenarios!$E$16*10000)/1000,0)</f>
        <v>2.580388863937694</v>
      </c>
      <c r="H368" s="76">
        <f>IF(Escenarios!$E$11&gt;0,(Observaciones!$F367*Constantes!$E$29)/1000,0)</f>
        <v>63</v>
      </c>
      <c r="I368" s="76">
        <f>IF(Escenarios!$E$11&gt;0,(D368*Constantes!$E$29)/1000,0)</f>
        <v>45.35761673752485</v>
      </c>
      <c r="J368" s="76">
        <f>IF(Escenarios!$E$11&gt;0,MAX(0,G368+H368-I368),0)</f>
        <v>20.222772126412849</v>
      </c>
      <c r="K368" s="76">
        <f>IF(Escenarios!$E$11&gt;0,IF(J368&gt;Constantes!$E$30,1000*((J368-Constantes!$E$30)/(Escenarios!$E$16*10000)),0),F368)</f>
        <v>0</v>
      </c>
      <c r="L368" s="76">
        <f>IF(Escenarios!$E$11&gt;0,I368*1000/Escenarios!$E$16/10000+E368,E368)</f>
        <v>2.2357327780624163</v>
      </c>
      <c r="M368" s="76">
        <f>MAX(0,N367+Observaciones!$F367-K368-Constantes!$D$13)</f>
        <v>2.4008236611345239</v>
      </c>
      <c r="N368" s="76">
        <f>N367+Observaciones!$F367-K368-L368-M368-O367</f>
        <v>45.369699816890432</v>
      </c>
      <c r="O368" s="76">
        <f>MAX(0,(N368-Constantes!$D$14)*(1-EXP(-Constantes!$D$22)))</f>
        <v>1.1622422317455614</v>
      </c>
      <c r="P368" s="170">
        <f>P367+(Entradas!$E$83*M368-Q367)/(800*Entradas!$D$25)</f>
        <v>0</v>
      </c>
      <c r="Q368" s="170">
        <f>8000*Entradas!$D$26*P368/Constantes!$E$45</f>
        <v>0</v>
      </c>
      <c r="R368" s="170">
        <f>IF(Escenarios!$E$14&gt;0,K368*Escenarios!$E$13/Escenarios!$E$14,0)</f>
        <v>0</v>
      </c>
      <c r="S368" s="170">
        <f>IF(Escenarios!$E$14&gt;0,Q368*Escenarios!$E$13/Escenarios!$E$14,0)</f>
        <v>0</v>
      </c>
      <c r="T368" s="170">
        <f>IF(Escenarios!$E$14&gt;0,Observaciones!$I367,0)</f>
        <v>0</v>
      </c>
      <c r="U368" s="170">
        <f>IF(Escenarios!$E$14&gt;0,MAX(0,Constantes!$E$36/((Z367+R368+S368+T368+Observaciones!$F367)^2)+Entradas!$E$77),0)</f>
        <v>1.6008776394053974</v>
      </c>
      <c r="V368" s="146">
        <f>IF(ETo!D367&gt;0,ETo!I367*((1-Entradas!$E$81)*ETo!K367+ETo!L367),0)</f>
        <v>4.1472375867668507</v>
      </c>
      <c r="W368" s="170">
        <f>IF(Escenarios!$E$14&gt;0,MIN(V368*1,0.8*(Z367+R368+S368+T368+Observaciones!$F367-U368-Constantes!$E$35)),0)</f>
        <v>4.1472375867668507</v>
      </c>
      <c r="X368" s="170">
        <f>IF(Escenarios!$E$14&gt;0,Observaciones!$J367,0)</f>
        <v>0</v>
      </c>
      <c r="Y368" s="170">
        <f>IF(Escenarios!$E$14&gt;0,MAX(0,Z367+R368+S368+T368+Observaciones!$F367-U368-W368-X368-Constantes!$E$33),0)</f>
        <v>0</v>
      </c>
      <c r="Z368" s="170">
        <f>Z367+R368+S368+T368+Observaciones!$F367-U368-W368-Y368</f>
        <v>79.91397053509094</v>
      </c>
      <c r="AA368" s="170">
        <f>IF(Escenarios!$E$14&gt;0,(Escenarios!$E$13*L368+Escenarios!$E$14*W368)/(Escenarios!$E$16),L368)</f>
        <v>2.4651133551069484</v>
      </c>
      <c r="AB368" s="170">
        <f>IF(Escenarios!$E$14&gt;0,(Escenarios!$E$14*Y368)/(Escenarios!$E$16),K368)</f>
        <v>0</v>
      </c>
      <c r="AC368" s="170">
        <f>IF(Escenarios!$E$14&gt;0,(Escenarios!$E$13*M368+Escenarios!$E$14*U368)/(Escenarios!$E$16),M368)</f>
        <v>2.3048301385270289</v>
      </c>
      <c r="AD368" s="76">
        <f t="shared" si="71"/>
        <v>65.684898692175224</v>
      </c>
      <c r="AE368" s="76">
        <f>MAX(0,(AD368-Constantes!$D$13)*(1-EXP(-Constantes!$D$23)))</f>
        <v>0.16686359039261592</v>
      </c>
      <c r="AF368" s="76">
        <f>AB368+O368*Escenarios!$E$13/Escenarios!$E$16+AE368</f>
        <v>1.1896367543287101</v>
      </c>
      <c r="AG368" s="76">
        <f>IF(Entradas!$E$91&gt;0,IF(AF368-Escenarios!$E$38&lt;=0,0,IF(AF368-Escenarios!$E$38&gt;Escenarios!$E$37,Escenarios!$E$37,AF368-Escenarios!$E$38)),0)</f>
        <v>0</v>
      </c>
      <c r="AH368" s="76">
        <f>AG368*Entradas!$E$99</f>
        <v>0</v>
      </c>
      <c r="AI368" s="76">
        <f>IF(Entradas!$E$91&gt;0,D368*Entradas!$D$23/Escenarios!$E$16,0)</f>
        <v>0</v>
      </c>
      <c r="AJ368" s="76">
        <f>IF(Entradas!$E$91&gt;0,Entradas!$D$24*Entradas!$D$22/Escenarios!$E$16,0)</f>
        <v>0</v>
      </c>
      <c r="AK368" s="76">
        <f t="shared" si="80"/>
        <v>2.4651133551069484</v>
      </c>
      <c r="AL368" s="76">
        <f t="shared" si="81"/>
        <v>0</v>
      </c>
      <c r="AM368" s="76">
        <f t="shared" si="72"/>
        <v>0</v>
      </c>
      <c r="AN368" s="76">
        <f>MAX(0,O368*Escenarios!$E$13/Escenarios!$E$16-AM368)</f>
        <v>1.0227731639360942</v>
      </c>
      <c r="AO368" s="76">
        <f>AM368+AN368-O368*Escenarios!$E$13/Escenarios!$E$16</f>
        <v>0</v>
      </c>
      <c r="AP368" s="76">
        <f t="shared" si="70"/>
        <v>0.16686359039261592</v>
      </c>
      <c r="AQ368" s="76">
        <f t="shared" si="73"/>
        <v>0</v>
      </c>
      <c r="AR368" s="76">
        <f t="shared" si="74"/>
        <v>1.1896367543287101</v>
      </c>
      <c r="AS368" s="76">
        <f t="shared" si="75"/>
        <v>0</v>
      </c>
      <c r="AT368" s="76">
        <f t="shared" si="76"/>
        <v>2.3048301385270289</v>
      </c>
      <c r="AU368" s="76">
        <f t="shared" si="77"/>
        <v>48.75</v>
      </c>
      <c r="AV368" s="76">
        <f>MAX(0,(AU368-Constantes!$D$13)*(1-EXP(-Constantes!$D$24)))</f>
        <v>0</v>
      </c>
      <c r="AW368" s="170">
        <f>AW367+(Entradas!$E$112*AT368-AX367)/(800*Entradas!$D$25)</f>
        <v>0</v>
      </c>
      <c r="AX368" s="170">
        <f>8000*Entradas!$D$26*AW368/Constantes!$E$45</f>
        <v>0</v>
      </c>
      <c r="AY368" s="170">
        <f>IF(Escenarios!$E$17&gt;0,10*Escenarios!$E$16*AL368,0)</f>
        <v>0</v>
      </c>
      <c r="AZ368" s="170">
        <f>IF(Escenarios!$E$17&gt;0,10*Escenarios!$E$16*AX368,0)</f>
        <v>0</v>
      </c>
      <c r="BA368" s="170">
        <f>IF(Escenarios!$E$17&gt;0,0.001*Observaciones!$F367*Escenarios!$E$17,0)</f>
        <v>126</v>
      </c>
      <c r="BB368" s="170">
        <f>IF(Escenarios!$E$17&gt;0,Observaciones!$K367,0)</f>
        <v>0</v>
      </c>
      <c r="BC368" s="170">
        <f>IF(Escenarios!$E$17&gt;0,MIN(0.0005*ETo!$M367*Escenarios!$E$17*(BG367/Constantes!$E$40)^(2/3),BG367+AY368+AZ368+BA368+BB368),0)</f>
        <v>21.901013527923311</v>
      </c>
      <c r="BD368" s="170">
        <f>IF(Escenarios!$E$17&gt;0,MIN(Constantes!$E$39*(BG367/Constantes!$E$40)^(2/3),BG367+AY368+AZ368+BA368+BB368-BC368),0)</f>
        <v>34.040055959883603</v>
      </c>
      <c r="BE368" s="170">
        <f>IF(Escenarios!$E$17&gt;0,MIN(Entradas!$E$113,BG367+AY368+AZ368+BA368+BB368-BC368-BD368),0)</f>
        <v>1</v>
      </c>
      <c r="BF368" s="170">
        <f>IF(Escenarios!$E$17&gt;0,MAX(0,BG367+AY368+AZ368+BA368+BB368-BC368-BD368-BE368-Constantes!$E$40),0)</f>
        <v>0</v>
      </c>
      <c r="BG368" s="170">
        <f t="shared" si="82"/>
        <v>1919.4314012300206</v>
      </c>
      <c r="BH368" s="170">
        <f>(Escenarios!$E$16*AK368+0.1*BC368)/(Escenarios!$E$19)</f>
        <v>2.4542398417838469</v>
      </c>
      <c r="BI368" s="170">
        <f>IF(Escenarios!$E$17&gt;0,BF368/10/Escenarios!$E$19,AL368)</f>
        <v>0</v>
      </c>
      <c r="BJ368" s="170">
        <f>(Escenarios!$E$16*AT368+0.1*BD368)/(Escenarios!$E$19)</f>
        <v>2.3000457945545456</v>
      </c>
      <c r="BK368" s="76">
        <f>BK367+(0.1*BD368)/(Escenarios!$E$19)-BL367</f>
        <v>49.601790589829292</v>
      </c>
      <c r="BL368" s="76">
        <f>MAX(0,(BK368-Constantes!$D$13)*(1-EXP(-Constantes!$D$23)))</f>
        <v>8.3928955623001327E-3</v>
      </c>
      <c r="BM368" s="76">
        <f t="shared" si="78"/>
        <v>0.17525648595491605</v>
      </c>
      <c r="BN368" s="76">
        <f t="shared" si="83"/>
        <v>1.1980296498910101</v>
      </c>
      <c r="BO368" s="76">
        <f>0.0526*BI368*Observaciones!$F367^1.218</f>
        <v>0</v>
      </c>
      <c r="BP368" s="76">
        <f>BO368*Constantes!$E$51</f>
        <v>0</v>
      </c>
      <c r="BQ368" s="76">
        <f t="shared" si="79"/>
        <v>0</v>
      </c>
      <c r="BR368" s="40"/>
    </row>
    <row r="369" spans="1:70">
      <c r="A369" s="147"/>
      <c r="B369" s="39"/>
      <c r="C369" s="75">
        <v>363</v>
      </c>
      <c r="D369" s="146">
        <f>ETo!$I368*((1-Constantes!$E$19)*ETo!$K368+ETo!$L368)</f>
        <v>4.3496222135749552</v>
      </c>
      <c r="E369" s="76">
        <f>MIN(D369*Constantes!$E$17,0.8*(N368+Observaciones!$F368-F369-M369-Constantes!$D$14))</f>
        <v>2.1265838573417404</v>
      </c>
      <c r="F369" s="76">
        <f>IF(Observaciones!$F368&gt;0.05*Constantes!$E$18,((Observaciones!$F368-0.05*Constantes!$E$18)^2)/(Observaciones!$F368+0.95*Constantes!$E$18),0)</f>
        <v>0</v>
      </c>
      <c r="G369" s="76">
        <f>IF(Escenarios!$E$11&gt;0,(F369*Escenarios!$E$16*10000)/1000,0)</f>
        <v>0</v>
      </c>
      <c r="H369" s="76">
        <f>IF(Escenarios!$E$11&gt;0,(Observaciones!$F368*Constantes!$E$29)/1000,0)</f>
        <v>39</v>
      </c>
      <c r="I369" s="76">
        <f>IF(Escenarios!$E$11&gt;0,(D369*Constantes!$E$29)/1000,0)</f>
        <v>43.496222135749548</v>
      </c>
      <c r="J369" s="76">
        <f>IF(Escenarios!$E$11&gt;0,MAX(0,G369+H369-I369),0)</f>
        <v>0</v>
      </c>
      <c r="K369" s="76">
        <f>IF(Escenarios!$E$11&gt;0,IF(J369&gt;Constantes!$E$30,1000*((J369-Constantes!$E$30)/(Escenarios!$E$16*10000)),0),F369)</f>
        <v>0</v>
      </c>
      <c r="L369" s="76">
        <f>IF(Escenarios!$E$11&gt;0,I369*1000/Escenarios!$E$16/10000+E369,E369)</f>
        <v>2.1439823461960401</v>
      </c>
      <c r="M369" s="76">
        <f>MAX(0,N368+Observaciones!$F368-K369-Constantes!$D$13)</f>
        <v>0.5196998168904301</v>
      </c>
      <c r="N369" s="76">
        <f>N368+Observaciones!$F368-K369-L369-M369-O368</f>
        <v>45.443775422058401</v>
      </c>
      <c r="O369" s="76">
        <f>MAX(0,(N369-Constantes!$D$14)*(1-EXP(-Constantes!$D$22)))</f>
        <v>1.1647655187946961</v>
      </c>
      <c r="P369" s="170">
        <f>P368+(Entradas!$E$83*M369-Q368)/(800*Entradas!$D$25)</f>
        <v>0</v>
      </c>
      <c r="Q369" s="170">
        <f>8000*Entradas!$D$26*P369/Constantes!$E$45</f>
        <v>0</v>
      </c>
      <c r="R369" s="170">
        <f>IF(Escenarios!$E$14&gt;0,K369*Escenarios!$E$13/Escenarios!$E$14,0)</f>
        <v>0</v>
      </c>
      <c r="S369" s="170">
        <f>IF(Escenarios!$E$14&gt;0,Q369*Escenarios!$E$13/Escenarios!$E$14,0)</f>
        <v>0</v>
      </c>
      <c r="T369" s="170">
        <f>IF(Escenarios!$E$14&gt;0,Observaciones!$I368,0)</f>
        <v>0</v>
      </c>
      <c r="U369" s="170">
        <f>IF(Escenarios!$E$14&gt;0,MAX(0,Constantes!$E$36/((Z368+R369+S369+T369+Observaciones!$F368)^2)+Entradas!$E$77),0)</f>
        <v>1.5384955004290664</v>
      </c>
      <c r="V369" s="146">
        <f>IF(ETo!D368&gt;0,ETo!I368*((1-Entradas!$E$81)*ETo!K368+ETo!L368),0)</f>
        <v>3.9748298889643623</v>
      </c>
      <c r="W369" s="170">
        <f>IF(Escenarios!$E$14&gt;0,MIN(V369*1,0.8*(Z368+R369+S369+T369+Observaciones!$F368-U369-Constantes!$E$35)),0)</f>
        <v>3.9748298889643623</v>
      </c>
      <c r="X369" s="170">
        <f>IF(Escenarios!$E$14&gt;0,Observaciones!$J368,0)</f>
        <v>0</v>
      </c>
      <c r="Y369" s="170">
        <f>IF(Escenarios!$E$14&gt;0,MAX(0,Z368+R369+S369+T369+Observaciones!$F368-U369-W369-X369-Constantes!$E$33),0)</f>
        <v>0</v>
      </c>
      <c r="Z369" s="170">
        <f>Z368+R369+S369+T369+Observaciones!$F368-U369-W369-Y369</f>
        <v>78.300645145697516</v>
      </c>
      <c r="AA369" s="170">
        <f>IF(Escenarios!$E$14&gt;0,(Escenarios!$E$13*L369+Escenarios!$E$14*W369)/(Escenarios!$E$16),L369)</f>
        <v>2.3636840513282387</v>
      </c>
      <c r="AB369" s="170">
        <f>IF(Escenarios!$E$14&gt;0,(Escenarios!$E$14*Y369)/(Escenarios!$E$16),K369)</f>
        <v>0</v>
      </c>
      <c r="AC369" s="170">
        <f>IF(Escenarios!$E$14&gt;0,(Escenarios!$E$13*M369+Escenarios!$E$14*U369)/(Escenarios!$E$16),M369)</f>
        <v>0.64195529891506642</v>
      </c>
      <c r="AD369" s="76">
        <f t="shared" si="71"/>
        <v>66.159990400697666</v>
      </c>
      <c r="AE369" s="76">
        <f>MAX(0,(AD369-Constantes!$D$13)*(1-EXP(-Constantes!$D$23)))</f>
        <v>0.17154478215471639</v>
      </c>
      <c r="AF369" s="76">
        <f>AB369+O369*Escenarios!$E$13/Escenarios!$E$16+AE369</f>
        <v>1.196538438694049</v>
      </c>
      <c r="AG369" s="76">
        <f>IF(Entradas!$E$91&gt;0,IF(AF369-Escenarios!$E$38&lt;=0,0,IF(AF369-Escenarios!$E$38&gt;Escenarios!$E$37,Escenarios!$E$37,AF369-Escenarios!$E$38)),0)</f>
        <v>0</v>
      </c>
      <c r="AH369" s="76">
        <f>AG369*Entradas!$E$99</f>
        <v>0</v>
      </c>
      <c r="AI369" s="76">
        <f>IF(Entradas!$E$91&gt;0,D369*Entradas!$D$23/Escenarios!$E$16,0)</f>
        <v>0</v>
      </c>
      <c r="AJ369" s="76">
        <f>IF(Entradas!$E$91&gt;0,Entradas!$D$24*Entradas!$D$22/Escenarios!$E$16,0)</f>
        <v>0</v>
      </c>
      <c r="AK369" s="76">
        <f t="shared" si="80"/>
        <v>2.3636840513282387</v>
      </c>
      <c r="AL369" s="76">
        <f t="shared" si="81"/>
        <v>0</v>
      </c>
      <c r="AM369" s="76">
        <f t="shared" si="72"/>
        <v>0</v>
      </c>
      <c r="AN369" s="76">
        <f>MAX(0,O369*Escenarios!$E$13/Escenarios!$E$16-AM369)</f>
        <v>1.0249936565393325</v>
      </c>
      <c r="AO369" s="76">
        <f>AM369+AN369-O369*Escenarios!$E$13/Escenarios!$E$16</f>
        <v>0</v>
      </c>
      <c r="AP369" s="76">
        <f t="shared" si="70"/>
        <v>0.17154478215471639</v>
      </c>
      <c r="AQ369" s="76">
        <f t="shared" si="73"/>
        <v>0</v>
      </c>
      <c r="AR369" s="76">
        <f t="shared" si="74"/>
        <v>1.196538438694049</v>
      </c>
      <c r="AS369" s="76">
        <f t="shared" si="75"/>
        <v>0</v>
      </c>
      <c r="AT369" s="76">
        <f t="shared" si="76"/>
        <v>0.64195529891506642</v>
      </c>
      <c r="AU369" s="76">
        <f t="shared" si="77"/>
        <v>48.75</v>
      </c>
      <c r="AV369" s="76">
        <f>MAX(0,(AU369-Constantes!$D$13)*(1-EXP(-Constantes!$D$24)))</f>
        <v>0</v>
      </c>
      <c r="AW369" s="170">
        <f>AW368+(Entradas!$E$112*AT369-AX368)/(800*Entradas!$D$25)</f>
        <v>0</v>
      </c>
      <c r="AX369" s="170">
        <f>8000*Entradas!$D$26*AW369/Constantes!$E$45</f>
        <v>0</v>
      </c>
      <c r="AY369" s="170">
        <f>IF(Escenarios!$E$17&gt;0,10*Escenarios!$E$16*AL369,0)</f>
        <v>0</v>
      </c>
      <c r="AZ369" s="170">
        <f>IF(Escenarios!$E$17&gt;0,10*Escenarios!$E$16*AX369,0)</f>
        <v>0</v>
      </c>
      <c r="BA369" s="170">
        <f>IF(Escenarios!$E$17&gt;0,0.001*Observaciones!$F368*Escenarios!$E$17,0)</f>
        <v>78</v>
      </c>
      <c r="BB369" s="170">
        <f>IF(Escenarios!$E$17&gt;0,Observaciones!$K368,0)</f>
        <v>0</v>
      </c>
      <c r="BC369" s="170">
        <f>IF(Escenarios!$E$17&gt;0,MIN(0.0005*ETo!$M368*Escenarios!$E$17*(BG368/Constantes!$E$40)^(2/3),BG368+AY369+AZ369+BA369+BB369),0)</f>
        <v>21.536776667033241</v>
      </c>
      <c r="BD369" s="170">
        <f>IF(Escenarios!$E$17&gt;0,MIN(Constantes!$E$39*(BG368/Constantes!$E$40)^(2/3),BG368+AY369+AZ369+BA369+BB369-BC369),0)</f>
        <v>34.881826958793596</v>
      </c>
      <c r="BE369" s="170">
        <f>IF(Escenarios!$E$17&gt;0,MIN(Entradas!$E$113,BG368+AY369+AZ369+BA369+BB369-BC369-BD369),0)</f>
        <v>1</v>
      </c>
      <c r="BF369" s="170">
        <f>IF(Escenarios!$E$17&gt;0,MAX(0,BG368+AY369+AZ369+BA369+BB369-BC369-BD369-BE369-Constantes!$E$40),0)</f>
        <v>0</v>
      </c>
      <c r="BG369" s="170">
        <f t="shared" si="82"/>
        <v>1940.0127976041936</v>
      </c>
      <c r="BH369" s="170">
        <f>(Escenarios!$E$16*AK369+0.1*BC369)/(Escenarios!$E$19)</f>
        <v>2.3534709940427101</v>
      </c>
      <c r="BI369" s="170">
        <f>IF(Escenarios!$E$17&gt;0,BF369/10/Escenarios!$E$19,AL369)</f>
        <v>0</v>
      </c>
      <c r="BJ369" s="170">
        <f>(Escenarios!$E$16*AT369+0.1*BD369)/(Escenarios!$E$19)</f>
        <v>0.65070241041526189</v>
      </c>
      <c r="BK369" s="76">
        <f>BK368+(0.1*BD369)/(Escenarios!$E$19)-BL368</f>
        <v>49.607239689091905</v>
      </c>
      <c r="BL369" s="76">
        <f>MAX(0,(BK369-Constantes!$D$13)*(1-EXP(-Constantes!$D$23)))</f>
        <v>8.4465868352089843E-3</v>
      </c>
      <c r="BM369" s="76">
        <f t="shared" si="78"/>
        <v>0.17999136898992538</v>
      </c>
      <c r="BN369" s="76">
        <f t="shared" si="83"/>
        <v>1.204985025529258</v>
      </c>
      <c r="BO369" s="76">
        <f>0.0526*BI369*Observaciones!$F368^1.218</f>
        <v>0</v>
      </c>
      <c r="BP369" s="76">
        <f>BO369*Constantes!$E$51</f>
        <v>0</v>
      </c>
      <c r="BQ369" s="76">
        <f t="shared" si="79"/>
        <v>0</v>
      </c>
      <c r="BR369" s="40"/>
    </row>
    <row r="370" spans="1:70">
      <c r="A370" s="147"/>
      <c r="B370" s="39"/>
      <c r="C370" s="75">
        <v>364</v>
      </c>
      <c r="D370" s="146">
        <f>ETo!$I369*((1-Constantes!$E$19)*ETo!$K369+ETo!$L369)</f>
        <v>4.3541959412166698</v>
      </c>
      <c r="E370" s="76">
        <f>MIN(D370*Constantes!$E$17,0.8*(N369+Observaciones!$F369-F370-M370-Constantes!$D$14))</f>
        <v>2.1288200091023217</v>
      </c>
      <c r="F370" s="76">
        <f>IF(Observaciones!$F369&gt;0.05*Constantes!$E$18,((Observaciones!$F369-0.05*Constantes!$E$18)^2)/(Observaciones!$F369+0.95*Constantes!$E$18),0)</f>
        <v>0</v>
      </c>
      <c r="G370" s="76">
        <f>IF(Escenarios!$E$11&gt;0,(F370*Escenarios!$E$16*10000)/1000,0)</f>
        <v>0</v>
      </c>
      <c r="H370" s="76">
        <f>IF(Escenarios!$E$11&gt;0,(Observaciones!$F369*Constantes!$E$29)/1000,0)</f>
        <v>41</v>
      </c>
      <c r="I370" s="76">
        <f>IF(Escenarios!$E$11&gt;0,(D370*Constantes!$E$29)/1000,0)</f>
        <v>43.541959412166698</v>
      </c>
      <c r="J370" s="76">
        <f>IF(Escenarios!$E$11&gt;0,MAX(0,G370+H370-I370),0)</f>
        <v>0</v>
      </c>
      <c r="K370" s="76">
        <f>IF(Escenarios!$E$11&gt;0,IF(J370&gt;Constantes!$E$30,1000*((J370-Constantes!$E$30)/(Escenarios!$E$16*10000)),0),F370)</f>
        <v>0</v>
      </c>
      <c r="L370" s="76">
        <f>IF(Escenarios!$E$11&gt;0,I370*1000/Escenarios!$E$16/10000+E370,E370)</f>
        <v>2.1462367928671884</v>
      </c>
      <c r="M370" s="76">
        <f>MAX(0,N369+Observaciones!$F369-K370-Constantes!$D$13)</f>
        <v>0.79377542205840257</v>
      </c>
      <c r="N370" s="76">
        <f>N369+Observaciones!$F369-K370-L370-M370-O369</f>
        <v>45.438997688338119</v>
      </c>
      <c r="O370" s="76">
        <f>MAX(0,(N370-Constantes!$D$14)*(1-EXP(-Constantes!$D$22)))</f>
        <v>1.1646027716447638</v>
      </c>
      <c r="P370" s="170">
        <f>P369+(Entradas!$E$83*M370-Q369)/(800*Entradas!$D$25)</f>
        <v>0</v>
      </c>
      <c r="Q370" s="170">
        <f>8000*Entradas!$D$26*P370/Constantes!$E$45</f>
        <v>0</v>
      </c>
      <c r="R370" s="170">
        <f>IF(Escenarios!$E$14&gt;0,K370*Escenarios!$E$13/Escenarios!$E$14,0)</f>
        <v>0</v>
      </c>
      <c r="S370" s="170">
        <f>IF(Escenarios!$E$14&gt;0,Q370*Escenarios!$E$13/Escenarios!$E$14,0)</f>
        <v>0</v>
      </c>
      <c r="T370" s="170">
        <f>IF(Escenarios!$E$14&gt;0,Observaciones!$I369,0)</f>
        <v>0</v>
      </c>
      <c r="U370" s="170">
        <f>IF(Escenarios!$E$14&gt;0,MAX(0,Constantes!$E$36/((Z369+R370+S370+T370+Observaciones!$F369)^2)+Entradas!$E$77),0)</f>
        <v>1.4879304664492863</v>
      </c>
      <c r="V370" s="146">
        <f>IF(ETo!D369&gt;0,ETo!I369*((1-Entradas!$E$81)*ETo!K369+ETo!L369),0)</f>
        <v>3.9790574298948695</v>
      </c>
      <c r="W370" s="170">
        <f>IF(Escenarios!$E$14&gt;0,MIN(V370*1,0.8*(Z369+R370+S370+T370+Observaciones!$F369-U370-Constantes!$E$35)),0)</f>
        <v>3.9790574298948695</v>
      </c>
      <c r="X370" s="170">
        <f>IF(Escenarios!$E$14&gt;0,Observaciones!$J369,0)</f>
        <v>0</v>
      </c>
      <c r="Y370" s="170">
        <f>IF(Escenarios!$E$14&gt;0,MAX(0,Z369+R370+S370+T370+Observaciones!$F369-U370-W370-X370-Constantes!$E$33),0)</f>
        <v>0</v>
      </c>
      <c r="Z370" s="170">
        <f>Z369+R370+S370+T370+Observaciones!$F369-U370-W370-Y370</f>
        <v>76.933657249353359</v>
      </c>
      <c r="AA370" s="170">
        <f>IF(Escenarios!$E$14&gt;0,(Escenarios!$E$13*L370+Escenarios!$E$14*W370)/(Escenarios!$E$16),L370)</f>
        <v>2.36617526931051</v>
      </c>
      <c r="AB370" s="170">
        <f>IF(Escenarios!$E$14&gt;0,(Escenarios!$E$14*Y370)/(Escenarios!$E$16),K370)</f>
        <v>0</v>
      </c>
      <c r="AC370" s="170">
        <f>IF(Escenarios!$E$14&gt;0,(Escenarios!$E$13*M370+Escenarios!$E$14*U370)/(Escenarios!$E$16),M370)</f>
        <v>0.87707402738530871</v>
      </c>
      <c r="AD370" s="76">
        <f t="shared" si="71"/>
        <v>66.865519645928259</v>
      </c>
      <c r="AE370" s="76">
        <f>MAX(0,(AD370-Constantes!$D$13)*(1-EXP(-Constantes!$D$23)))</f>
        <v>0.17849652985194739</v>
      </c>
      <c r="AF370" s="76">
        <f>AB370+O370*Escenarios!$E$13/Escenarios!$E$16+AE370</f>
        <v>1.2033469688993397</v>
      </c>
      <c r="AG370" s="76">
        <f>IF(Entradas!$E$91&gt;0,IF(AF370-Escenarios!$E$38&lt;=0,0,IF(AF370-Escenarios!$E$38&gt;Escenarios!$E$37,Escenarios!$E$37,AF370-Escenarios!$E$38)),0)</f>
        <v>0</v>
      </c>
      <c r="AH370" s="76">
        <f>AG370*Entradas!$E$99</f>
        <v>0</v>
      </c>
      <c r="AI370" s="76">
        <f>IF(Entradas!$E$91&gt;0,D370*Entradas!$D$23/Escenarios!$E$16,0)</f>
        <v>0</v>
      </c>
      <c r="AJ370" s="76">
        <f>IF(Entradas!$E$91&gt;0,Entradas!$D$24*Entradas!$D$22/Escenarios!$E$16,0)</f>
        <v>0</v>
      </c>
      <c r="AK370" s="76">
        <f t="shared" si="80"/>
        <v>2.36617526931051</v>
      </c>
      <c r="AL370" s="76">
        <f t="shared" si="81"/>
        <v>0</v>
      </c>
      <c r="AM370" s="76">
        <f t="shared" si="72"/>
        <v>0</v>
      </c>
      <c r="AN370" s="76">
        <f>MAX(0,O370*Escenarios!$E$13/Escenarios!$E$16-AM370)</f>
        <v>1.0248504390473923</v>
      </c>
      <c r="AO370" s="76">
        <f>AM370+AN370-O370*Escenarios!$E$13/Escenarios!$E$16</f>
        <v>0</v>
      </c>
      <c r="AP370" s="76">
        <f t="shared" si="70"/>
        <v>0.17849652985194739</v>
      </c>
      <c r="AQ370" s="76">
        <f t="shared" si="73"/>
        <v>0</v>
      </c>
      <c r="AR370" s="76">
        <f t="shared" si="74"/>
        <v>1.2033469688993397</v>
      </c>
      <c r="AS370" s="76">
        <f t="shared" si="75"/>
        <v>0</v>
      </c>
      <c r="AT370" s="76">
        <f t="shared" si="76"/>
        <v>0.87707402738530871</v>
      </c>
      <c r="AU370" s="76">
        <f t="shared" si="77"/>
        <v>48.75</v>
      </c>
      <c r="AV370" s="76">
        <f>MAX(0,(AU370-Constantes!$D$13)*(1-EXP(-Constantes!$D$24)))</f>
        <v>0</v>
      </c>
      <c r="AW370" s="170">
        <f>AW369+(Entradas!$E$112*AT370-AX369)/(800*Entradas!$D$25)</f>
        <v>0</v>
      </c>
      <c r="AX370" s="170">
        <f>8000*Entradas!$D$26*AW370/Constantes!$E$45</f>
        <v>0</v>
      </c>
      <c r="AY370" s="170">
        <f>IF(Escenarios!$E$17&gt;0,10*Escenarios!$E$16*AL370,0)</f>
        <v>0</v>
      </c>
      <c r="AZ370" s="170">
        <f>IF(Escenarios!$E$17&gt;0,10*Escenarios!$E$16*AX370,0)</f>
        <v>0</v>
      </c>
      <c r="BA370" s="170">
        <f>IF(Escenarios!$E$17&gt;0,0.001*Observaciones!$F369*Escenarios!$E$17,0)</f>
        <v>81.999999999999986</v>
      </c>
      <c r="BB370" s="170">
        <f>IF(Escenarios!$E$17&gt;0,Observaciones!$K369,0)</f>
        <v>0</v>
      </c>
      <c r="BC370" s="170">
        <f>IF(Escenarios!$E$17&gt;0,MIN(0.0005*ETo!$M369*Escenarios!$E$17*(BG369/Constantes!$E$40)^(2/3),BG369+AY370+AZ370+BA370+BB370),0)</f>
        <v>21.712934007165366</v>
      </c>
      <c r="BD370" s="170">
        <f>IF(Escenarios!$E$17&gt;0,MIN(Constantes!$E$39*(BG369/Constantes!$E$40)^(2/3),BG369+AY370+AZ370+BA370+BB370-BC370),0)</f>
        <v>35.130733931096998</v>
      </c>
      <c r="BE370" s="170">
        <f>IF(Escenarios!$E$17&gt;0,MIN(Entradas!$E$113,BG369+AY370+AZ370+BA370+BB370-BC370-BD370),0)</f>
        <v>1</v>
      </c>
      <c r="BF370" s="170">
        <f>IF(Escenarios!$E$17&gt;0,MAX(0,BG369+AY370+AZ370+BA370+BB370-BC370-BD370-BE370-Constantes!$E$40),0)</f>
        <v>0</v>
      </c>
      <c r="BG370" s="170">
        <f t="shared" si="82"/>
        <v>1964.1691296659312</v>
      </c>
      <c r="BH370" s="170">
        <f>(Escenarios!$E$16*AK370+0.1*BC370)/(Escenarios!$E$19)</f>
        <v>2.3560123441600953</v>
      </c>
      <c r="BI370" s="170">
        <f>IF(Escenarios!$E$17&gt;0,BF370/10/Escenarios!$E$19,AL370)</f>
        <v>0</v>
      </c>
      <c r="BJ370" s="170">
        <f>(Escenarios!$E$16*AT370+0.1*BD370)/(Escenarios!$E$19)</f>
        <v>0.88405388983903521</v>
      </c>
      <c r="BK370" s="76">
        <f>BK369+(0.1*BD370)/(Escenarios!$E$19)-BL369</f>
        <v>49.612733869689677</v>
      </c>
      <c r="BL370" s="76">
        <f>MAX(0,(BK370-Constantes!$D$13)*(1-EXP(-Constantes!$D$23)))</f>
        <v>8.500722305250695E-3</v>
      </c>
      <c r="BM370" s="76">
        <f t="shared" si="78"/>
        <v>0.18699725215719809</v>
      </c>
      <c r="BN370" s="76">
        <f t="shared" si="83"/>
        <v>1.2118476912045903</v>
      </c>
      <c r="BO370" s="76">
        <f>0.0526*BI370*Observaciones!$F369^1.218</f>
        <v>0</v>
      </c>
      <c r="BP370" s="76">
        <f>BO370*Constantes!$E$51</f>
        <v>0</v>
      </c>
      <c r="BQ370" s="76">
        <f t="shared" si="79"/>
        <v>0</v>
      </c>
      <c r="BR370" s="40"/>
    </row>
    <row r="371" spans="1:70">
      <c r="A371" s="147"/>
      <c r="B371" s="39"/>
      <c r="C371" s="75">
        <v>365</v>
      </c>
      <c r="D371" s="146">
        <f>ETo!$I370*((1-Constantes!$E$19)*ETo!$K370+ETo!$L370)</f>
        <v>4.1768776565896193</v>
      </c>
      <c r="E371" s="76">
        <f>MIN(D371*Constantes!$E$17,0.8*(N370+Observaciones!$F370-F371-M371-Constantes!$D$14))</f>
        <v>2.0421269164188791</v>
      </c>
      <c r="F371" s="76">
        <f>IF(Observaciones!$F370&gt;0.05*Constantes!$E$18,((Observaciones!$F370-0.05*Constantes!$E$18)^2)/(Observaciones!$F370+0.95*Constantes!$E$18),0)</f>
        <v>0</v>
      </c>
      <c r="G371" s="76">
        <f>IF(Escenarios!$E$11&gt;0,(F371*Escenarios!$E$16*10000)/1000,0)</f>
        <v>0</v>
      </c>
      <c r="H371" s="76">
        <f>IF(Escenarios!$E$11&gt;0,(Observaciones!$F370*Constantes!$E$29)/1000,0)</f>
        <v>25</v>
      </c>
      <c r="I371" s="76">
        <f>IF(Escenarios!$E$11&gt;0,(D371*Constantes!$E$29)/1000,0)</f>
        <v>41.768776565896196</v>
      </c>
      <c r="J371" s="76">
        <f>IF(Escenarios!$E$11&gt;0,MAX(0,G371+H371-I371),0)</f>
        <v>0</v>
      </c>
      <c r="K371" s="76">
        <f>IF(Escenarios!$E$11&gt;0,IF(J371&gt;Constantes!$E$30,1000*((J371-Constantes!$E$30)/(Escenarios!$E$16*10000)),0),F371)</f>
        <v>0</v>
      </c>
      <c r="L371" s="76">
        <f>IF(Escenarios!$E$11&gt;0,I371*1000/Escenarios!$E$16/10000+E371,E371)</f>
        <v>2.0588344270452374</v>
      </c>
      <c r="M371" s="76">
        <f>MAX(0,N370+Observaciones!$F370-K371-Constantes!$D$13)</f>
        <v>0</v>
      </c>
      <c r="N371" s="76">
        <f>N370+Observaciones!$F370-K371-L371-M371-O370</f>
        <v>44.715560489648112</v>
      </c>
      <c r="O371" s="76">
        <f>MAX(0,(N371-Constantes!$D$14)*(1-EXP(-Constantes!$D$22)))</f>
        <v>1.1399598448650563</v>
      </c>
      <c r="P371" s="170">
        <f>P370+(Entradas!$E$83*M371-Q370)/(800*Entradas!$D$25)</f>
        <v>0</v>
      </c>
      <c r="Q371" s="170">
        <f>8000*Entradas!$D$26*P371/Constantes!$E$45</f>
        <v>0</v>
      </c>
      <c r="R371" s="170">
        <f>IF(Escenarios!$E$14&gt;0,K371*Escenarios!$E$13/Escenarios!$E$14,0)</f>
        <v>0</v>
      </c>
      <c r="S371" s="170">
        <f>IF(Escenarios!$E$14&gt;0,Q371*Escenarios!$E$13/Escenarios!$E$14,0)</f>
        <v>0</v>
      </c>
      <c r="T371" s="170">
        <f>IF(Escenarios!$E$14&gt;0,Observaciones!$I370,0)</f>
        <v>0</v>
      </c>
      <c r="U371" s="170">
        <f>IF(Escenarios!$E$14&gt;0,MAX(0,Constantes!$E$36/((Z370+R371+S371+T371+Observaciones!$F370)^2)+Entradas!$E$77),0)</f>
        <v>1.3728639406982741</v>
      </c>
      <c r="V371" s="146">
        <f>IF(ETo!D370&gt;0,ETo!I370*((1-Entradas!$E$81)*ETo!K370+ETo!L370),0)</f>
        <v>3.8154979966692331</v>
      </c>
      <c r="W371" s="170">
        <f>IF(Escenarios!$E$14&gt;0,MIN(V371*1,0.8*(Z370+R371+S371+T371+Observaciones!$F370-U371-Constantes!$E$35)),0)</f>
        <v>3.8154979966692331</v>
      </c>
      <c r="X371" s="170">
        <f>IF(Escenarios!$E$14&gt;0,Observaciones!$J370,0)</f>
        <v>0</v>
      </c>
      <c r="Y371" s="170">
        <f>IF(Escenarios!$E$14&gt;0,MAX(0,Z370+R371+S371+T371+Observaciones!$F370-U371-W371-X371-Constantes!$E$33),0)</f>
        <v>0</v>
      </c>
      <c r="Z371" s="170">
        <f>Z370+R371+S371+T371+Observaciones!$F370-U371-W371-Y371</f>
        <v>74.245295311985842</v>
      </c>
      <c r="AA371" s="170">
        <f>IF(Escenarios!$E$14&gt;0,(Escenarios!$E$13*L371+Escenarios!$E$14*W371)/(Escenarios!$E$16),L371)</f>
        <v>2.2696340554001169</v>
      </c>
      <c r="AB371" s="170">
        <f>IF(Escenarios!$E$14&gt;0,(Escenarios!$E$14*Y371)/(Escenarios!$E$16),K371)</f>
        <v>0</v>
      </c>
      <c r="AC371" s="170">
        <f>IF(Escenarios!$E$14&gt;0,(Escenarios!$E$13*M371+Escenarios!$E$14*U371)/(Escenarios!$E$16),M371)</f>
        <v>0.16474367288379291</v>
      </c>
      <c r="AD371" s="76">
        <f t="shared" si="71"/>
        <v>66.851766788960106</v>
      </c>
      <c r="AE371" s="76">
        <f>MAX(0,(AD371-Constantes!$D$13)*(1-EXP(-Constantes!$D$23)))</f>
        <v>0.17836101967656484</v>
      </c>
      <c r="AF371" s="76">
        <f>AB371+O371*Escenarios!$E$13/Escenarios!$E$16+AE371</f>
        <v>1.1815256831578145</v>
      </c>
      <c r="AG371" s="76">
        <f>IF(Entradas!$E$91&gt;0,IF(AF371-Escenarios!$E$38&lt;=0,0,IF(AF371-Escenarios!$E$38&gt;Escenarios!$E$37,Escenarios!$E$37,AF371-Escenarios!$E$38)),0)</f>
        <v>0</v>
      </c>
      <c r="AH371" s="76">
        <f>AG371*Entradas!$E$99</f>
        <v>0</v>
      </c>
      <c r="AI371" s="76">
        <f>IF(Entradas!$E$91&gt;0,D371*Entradas!$D$23/Escenarios!$E$16,0)</f>
        <v>0</v>
      </c>
      <c r="AJ371" s="76">
        <f>IF(Entradas!$E$91&gt;0,Entradas!$D$24*Entradas!$D$22/Escenarios!$E$16,0)</f>
        <v>0</v>
      </c>
      <c r="AK371" s="76">
        <f t="shared" si="80"/>
        <v>2.2696340554001169</v>
      </c>
      <c r="AL371" s="76">
        <f t="shared" si="81"/>
        <v>0</v>
      </c>
      <c r="AM371" s="76">
        <f t="shared" si="72"/>
        <v>0</v>
      </c>
      <c r="AN371" s="76">
        <f>MAX(0,O371*Escenarios!$E$13/Escenarios!$E$16-AM371)</f>
        <v>1.0031646634812497</v>
      </c>
      <c r="AO371" s="76">
        <f>AM371+AN371-O371*Escenarios!$E$13/Escenarios!$E$16</f>
        <v>0</v>
      </c>
      <c r="AP371" s="76">
        <f t="shared" si="70"/>
        <v>0.17836101967656484</v>
      </c>
      <c r="AQ371" s="76">
        <f t="shared" si="73"/>
        <v>0</v>
      </c>
      <c r="AR371" s="76">
        <f t="shared" si="74"/>
        <v>1.1815256831578145</v>
      </c>
      <c r="AS371" s="76">
        <f t="shared" si="75"/>
        <v>0</v>
      </c>
      <c r="AT371" s="76">
        <f t="shared" si="76"/>
        <v>0.16474367288379291</v>
      </c>
      <c r="AU371" s="76">
        <f t="shared" si="77"/>
        <v>48.75</v>
      </c>
      <c r="AV371" s="76">
        <f>MAX(0,(AU371-Constantes!$D$13)*(1-EXP(-Constantes!$D$24)))</f>
        <v>0</v>
      </c>
      <c r="AW371" s="170">
        <f>AW370+(Entradas!$E$112*AT371-AX370)/(800*Entradas!$D$25)</f>
        <v>0</v>
      </c>
      <c r="AX371" s="170">
        <f>8000*Entradas!$D$26*AW371/Constantes!$E$45</f>
        <v>0</v>
      </c>
      <c r="AY371" s="170">
        <f>IF(Escenarios!$E$17&gt;0,10*Escenarios!$E$16*AL371,0)</f>
        <v>0</v>
      </c>
      <c r="AZ371" s="170">
        <f>IF(Escenarios!$E$17&gt;0,10*Escenarios!$E$16*AX371,0)</f>
        <v>0</v>
      </c>
      <c r="BA371" s="170">
        <f>IF(Escenarios!$E$17&gt;0,0.001*Observaciones!$F370*Escenarios!$E$17,0)</f>
        <v>50</v>
      </c>
      <c r="BB371" s="170">
        <f>IF(Escenarios!$E$17&gt;0,Observaciones!$K370,0)</f>
        <v>0</v>
      </c>
      <c r="BC371" s="170">
        <f>IF(Escenarios!$E$17&gt;0,MIN(0.0005*ETo!$M370*Escenarios!$E$17*(BG370/Constantes!$E$40)^(2/3),BG370+AY371+AZ371+BA371+BB371),0)</f>
        <v>21.011827487150416</v>
      </c>
      <c r="BD371" s="170">
        <f>IF(Escenarios!$E$17&gt;0,MIN(Constantes!$E$39*(BG370/Constantes!$E$40)^(2/3),BG370+AY371+AZ371+BA371+BB371-BC371),0)</f>
        <v>35.421755452057042</v>
      </c>
      <c r="BE371" s="170">
        <f>IF(Escenarios!$E$17&gt;0,MIN(Entradas!$E$113,BG370+AY371+AZ371+BA371+BB371-BC371-BD371),0)</f>
        <v>1</v>
      </c>
      <c r="BF371" s="170">
        <f>IF(Escenarios!$E$17&gt;0,MAX(0,BG370+AY371+AZ371+BA371+BB371-BC371-BD371-BE371-Constantes!$E$40),0)</f>
        <v>0</v>
      </c>
      <c r="BG371" s="170">
        <f t="shared" si="82"/>
        <v>1956.7355467267237</v>
      </c>
      <c r="BH371" s="170">
        <f>(Escenarios!$E$16*AK371+0.1*BC371)/(Escenarios!$E$19)</f>
        <v>2.25995911348708</v>
      </c>
      <c r="BI371" s="170">
        <f>IF(Escenarios!$E$17&gt;0,BF371/10/Escenarios!$E$19,AL371)</f>
        <v>0</v>
      </c>
      <c r="BJ371" s="170">
        <f>(Escenarios!$E$16*AT371+0.1*BD371)/(Escenarios!$E$19)</f>
        <v>0.1774924355799759</v>
      </c>
      <c r="BK371" s="76">
        <f>BK370+(0.1*BD371)/(Escenarios!$E$19)-BL370</f>
        <v>49.61828939954794</v>
      </c>
      <c r="BL371" s="76">
        <f>MAX(0,(BK371-Constantes!$D$13)*(1-EXP(-Constantes!$D$23)))</f>
        <v>8.5554622641682843E-3</v>
      </c>
      <c r="BM371" s="76">
        <f t="shared" si="78"/>
        <v>0.18691648194073313</v>
      </c>
      <c r="BN371" s="76">
        <f t="shared" si="83"/>
        <v>1.1900811454219828</v>
      </c>
      <c r="BO371" s="76">
        <f>0.0526*BI371*Observaciones!$F370^1.218</f>
        <v>0</v>
      </c>
      <c r="BP371" s="76">
        <f>BO371*Constantes!$E$51</f>
        <v>0</v>
      </c>
      <c r="BQ371" s="76">
        <f t="shared" si="79"/>
        <v>0</v>
      </c>
      <c r="BR371" s="40"/>
    </row>
    <row r="372" spans="1:70">
      <c r="A372" s="147"/>
      <c r="B372" s="39"/>
      <c r="C372" s="75">
        <v>366</v>
      </c>
      <c r="D372" s="146">
        <f>ETo!$I371*((1-Constantes!$E$19)*ETo!$K371+ETo!$L371)</f>
        <v>4.3905871742119427</v>
      </c>
      <c r="E372" s="76">
        <f>MIN(D372*Constantes!$E$17,0.8*(N371+Observaciones!$F371-F372-M372-Constantes!$D$14))</f>
        <v>2.1466121310008583</v>
      </c>
      <c r="F372" s="76">
        <f>IF(Observaciones!$F371&gt;0.05*Constantes!$E$18,((Observaciones!$F371-0.05*Constantes!$E$18)^2)/(Observaciones!$F371+0.95*Constantes!$E$18),0)</f>
        <v>1.5041441265922859</v>
      </c>
      <c r="G372" s="76">
        <f>IF(Escenarios!$E$11&gt;0,(F372*Escenarios!$E$16*10000)/1000,0)</f>
        <v>3760.3603164807146</v>
      </c>
      <c r="H372" s="76">
        <f>IF(Escenarios!$E$11&gt;0,(Observaciones!$F371*Constantes!$E$29)/1000,0)</f>
        <v>201</v>
      </c>
      <c r="I372" s="76">
        <f>IF(Escenarios!$E$11&gt;0,(D372*Constantes!$E$29)/1000,0)</f>
        <v>43.905871742119423</v>
      </c>
      <c r="J372" s="76">
        <f>IF(Escenarios!$E$11&gt;0,MAX(0,G372+H372-I372),0)</f>
        <v>3917.4544447385952</v>
      </c>
      <c r="K372" s="76">
        <f>IF(Escenarios!$E$11&gt;0,IF(J372&gt;Constantes!$E$30,1000*((J372-Constantes!$E$30)/(Escenarios!$E$16*10000)),0),F372)</f>
        <v>1.0522758955424969</v>
      </c>
      <c r="L372" s="76">
        <f>IF(Escenarios!$E$11&gt;0,I372*1000/Escenarios!$E$16/10000+E372,E372)</f>
        <v>2.164174479697706</v>
      </c>
      <c r="M372" s="76">
        <f>MAX(0,N371+Observaciones!$F371-K372-Constantes!$D$13)</f>
        <v>15.013284594105613</v>
      </c>
      <c r="N372" s="76">
        <f>N371+Observaciones!$F371-K372-L372-M372-O371</f>
        <v>45.44586567543724</v>
      </c>
      <c r="O372" s="76">
        <f>MAX(0,(N372-Constantes!$D$14)*(1-EXP(-Constantes!$D$22)))</f>
        <v>1.1648367204982566</v>
      </c>
      <c r="P372" s="170">
        <f>P371+(Entradas!$E$83*M372-Q371)/(800*Entradas!$D$25)</f>
        <v>0</v>
      </c>
      <c r="Q372" s="170">
        <f>8000*Entradas!$D$26*P372/Constantes!$E$45</f>
        <v>0</v>
      </c>
      <c r="R372" s="170">
        <f>IF(Escenarios!$E$14&gt;0,K372*Escenarios!$E$13/Escenarios!$E$14,0)</f>
        <v>7.7166899006449778</v>
      </c>
      <c r="S372" s="170">
        <f>IF(Escenarios!$E$14&gt;0,Q372*Escenarios!$E$13/Escenarios!$E$14,0)</f>
        <v>0</v>
      </c>
      <c r="T372" s="170">
        <f>IF(Escenarios!$E$14&gt;0,Observaciones!$I371,0)</f>
        <v>0</v>
      </c>
      <c r="U372" s="170">
        <f>IF(Escenarios!$E$14&gt;0,MAX(0,Constantes!$E$36/((Z371+R372+S372+T372+Observaciones!$F371)^2)+Entradas!$E$77),0)</f>
        <v>2.0143903118991298</v>
      </c>
      <c r="V372" s="146">
        <f>IF(ETo!D371&gt;0,ETo!I371*((1-Entradas!$E$81)*ETo!K371+ETo!L371),0)</f>
        <v>4.0127079859557035</v>
      </c>
      <c r="W372" s="170">
        <f>IF(Escenarios!$E$14&gt;0,MIN(V372*1,0.8*(Z371+R372+S372+T372+Observaciones!$F371-U372-Constantes!$E$35)),0)</f>
        <v>4.0127079859557035</v>
      </c>
      <c r="X372" s="170">
        <f>IF(Escenarios!$E$14&gt;0,Observaciones!$J371,0)</f>
        <v>0</v>
      </c>
      <c r="Y372" s="170">
        <f>IF(Escenarios!$E$14&gt;0,MAX(0,Z371+R372+S372+T372+Observaciones!$F371-U372-W372-X372-Constantes!$E$33),0)</f>
        <v>0</v>
      </c>
      <c r="Z372" s="170">
        <f>Z371+R372+S372+T372+Observaciones!$F371-U372-W372-Y372</f>
        <v>96.034886914775981</v>
      </c>
      <c r="AA372" s="170">
        <f>IF(Escenarios!$E$14&gt;0,(Escenarios!$E$13*L372+Escenarios!$E$14*W372)/(Escenarios!$E$16),L372)</f>
        <v>2.3859985004486659</v>
      </c>
      <c r="AB372" s="170">
        <f>IF(Escenarios!$E$14&gt;0,(Escenarios!$E$14*Y372)/(Escenarios!$E$16),K372)</f>
        <v>0</v>
      </c>
      <c r="AC372" s="170">
        <f>IF(Escenarios!$E$14&gt;0,(Escenarios!$E$13*M372+Escenarios!$E$14*U372)/(Escenarios!$E$16),M372)</f>
        <v>13.453417280240835</v>
      </c>
      <c r="AD372" s="76">
        <f t="shared" si="71"/>
        <v>80.12682304952439</v>
      </c>
      <c r="AE372" s="76">
        <f>MAX(0,(AD372-Constantes!$D$13)*(1-EXP(-Constantes!$D$23)))</f>
        <v>0.30916331088396537</v>
      </c>
      <c r="AF372" s="76">
        <f>AB372+O372*Escenarios!$E$13/Escenarios!$E$16+AE372</f>
        <v>1.3342196249224312</v>
      </c>
      <c r="AG372" s="76">
        <f>IF(Entradas!$E$91&gt;0,IF(AF372-Escenarios!$E$38&lt;=0,0,IF(AF372-Escenarios!$E$38&gt;Escenarios!$E$37,Escenarios!$E$37,AF372-Escenarios!$E$38)),0)</f>
        <v>0</v>
      </c>
      <c r="AH372" s="76">
        <f>AG372*Entradas!$E$99</f>
        <v>0</v>
      </c>
      <c r="AI372" s="76">
        <f>IF(Entradas!$E$91&gt;0,D372*Entradas!$D$23/Escenarios!$E$16,0)</f>
        <v>0</v>
      </c>
      <c r="AJ372" s="76">
        <f>IF(Entradas!$E$91&gt;0,Entradas!$D$24*Entradas!$D$22/Escenarios!$E$16,0)</f>
        <v>0</v>
      </c>
      <c r="AK372" s="76">
        <f t="shared" si="80"/>
        <v>2.3859985004486659</v>
      </c>
      <c r="AL372" s="76">
        <f t="shared" si="81"/>
        <v>0</v>
      </c>
      <c r="AM372" s="76">
        <f t="shared" si="72"/>
        <v>0</v>
      </c>
      <c r="AN372" s="76">
        <f>MAX(0,O372*Escenarios!$E$13/Escenarios!$E$16-AM372)</f>
        <v>1.0250563140384659</v>
      </c>
      <c r="AO372" s="76">
        <f>AM372+AN372-O372*Escenarios!$E$13/Escenarios!$E$16</f>
        <v>0</v>
      </c>
      <c r="AP372" s="76">
        <f t="shared" si="70"/>
        <v>0.30916331088396537</v>
      </c>
      <c r="AQ372" s="76">
        <f t="shared" si="73"/>
        <v>0</v>
      </c>
      <c r="AR372" s="76">
        <f t="shared" si="74"/>
        <v>1.3342196249224312</v>
      </c>
      <c r="AS372" s="76">
        <f t="shared" si="75"/>
        <v>0</v>
      </c>
      <c r="AT372" s="76">
        <f t="shared" si="76"/>
        <v>13.453417280240835</v>
      </c>
      <c r="AU372" s="76">
        <f t="shared" si="77"/>
        <v>48.75</v>
      </c>
      <c r="AV372" s="76">
        <f>MAX(0,(AU372-Constantes!$D$13)*(1-EXP(-Constantes!$D$24)))</f>
        <v>0</v>
      </c>
      <c r="AW372" s="170">
        <f>AW371+(Entradas!$E$112*AT372-AX371)/(800*Entradas!$D$25)</f>
        <v>0</v>
      </c>
      <c r="AX372" s="170">
        <f>8000*Entradas!$D$26*AW372/Constantes!$E$45</f>
        <v>0</v>
      </c>
      <c r="AY372" s="170">
        <f>IF(Escenarios!$E$17&gt;0,10*Escenarios!$E$16*AL372,0)</f>
        <v>0</v>
      </c>
      <c r="AZ372" s="170">
        <f>IF(Escenarios!$E$17&gt;0,10*Escenarios!$E$16*AX372,0)</f>
        <v>0</v>
      </c>
      <c r="BA372" s="170">
        <f>IF(Escenarios!$E$17&gt;0,0.001*Observaciones!$F371*Escenarios!$E$17,0)</f>
        <v>402.00000000000006</v>
      </c>
      <c r="BB372" s="170">
        <f>IF(Escenarios!$E$17&gt;0,Observaciones!$K371,0)</f>
        <v>0</v>
      </c>
      <c r="BC372" s="170">
        <f>IF(Escenarios!$E$17&gt;0,MIN(0.0005*ETo!$M371*Escenarios!$E$17*(BG371/Constantes!$E$40)^(2/3),BG371+AY372+AZ372+BA372+BB372),0)</f>
        <v>22.017301084278426</v>
      </c>
      <c r="BD372" s="170">
        <f>IF(Escenarios!$E$17&gt;0,MIN(Constantes!$E$39*(BG371/Constantes!$E$40)^(2/3),BG371+AY372+AZ372+BA372+BB372-BC372),0)</f>
        <v>35.332327673062494</v>
      </c>
      <c r="BE372" s="170">
        <f>IF(Escenarios!$E$17&gt;0,MIN(Entradas!$E$113,BG371+AY372+AZ372+BA372+BB372-BC372-BD372),0)</f>
        <v>1</v>
      </c>
      <c r="BF372" s="170">
        <f>IF(Escenarios!$E$17&gt;0,MAX(0,BG371+AY372+AZ372+BA372+BB372-BC372-BD372-BE372-Constantes!$E$40),0)</f>
        <v>0</v>
      </c>
      <c r="BG372" s="170">
        <f t="shared" si="82"/>
        <v>2300.3859179693827</v>
      </c>
      <c r="BH372" s="170">
        <f>(Escenarios!$E$16*AK372+0.1*BC372)/(Escenarios!$E$19)</f>
        <v>2.3757990286531516</v>
      </c>
      <c r="BI372" s="170">
        <f>IF(Escenarios!$E$17&gt;0,BF372/10/Escenarios!$E$19,AL372)</f>
        <v>0</v>
      </c>
      <c r="BJ372" s="170">
        <f>(Escenarios!$E$16*AT372+0.1*BD372)/(Escenarios!$E$19)</f>
        <v>13.36066489217268</v>
      </c>
      <c r="BK372" s="76">
        <f>BK371+(0.1*BD372)/(Escenarios!$E$19)-BL371</f>
        <v>49.623754702233398</v>
      </c>
      <c r="BL372" s="76">
        <f>MAX(0,(BK372-Constantes!$D$13)*(1-EXP(-Constantes!$D$23)))</f>
        <v>8.6093131932617837E-3</v>
      </c>
      <c r="BM372" s="76">
        <f t="shared" si="78"/>
        <v>0.31777262407722717</v>
      </c>
      <c r="BN372" s="76">
        <f t="shared" si="83"/>
        <v>1.342828938115693</v>
      </c>
      <c r="BO372" s="76">
        <f>0.0526*BI372*Observaciones!$F371^1.218</f>
        <v>0</v>
      </c>
      <c r="BP372" s="76">
        <f>BO372*Constantes!$E$51</f>
        <v>0</v>
      </c>
      <c r="BQ372" s="76">
        <f t="shared" si="79"/>
        <v>0</v>
      </c>
      <c r="BR372" s="40"/>
    </row>
    <row r="373" spans="1:70">
      <c r="A373" s="147"/>
      <c r="B373" s="39"/>
      <c r="C373" s="75">
        <v>367</v>
      </c>
      <c r="D373" s="146">
        <f>ETo!$I372*((1-Constantes!$E$19)*ETo!$K372+ETo!$L372)</f>
        <v>4.3769840179453174</v>
      </c>
      <c r="E373" s="76">
        <f>MIN(D373*Constantes!$E$17,0.8*(N372+Observaciones!$F372-F373-M373-Constantes!$D$14))</f>
        <v>2.1399613804057336</v>
      </c>
      <c r="F373" s="76">
        <f>IF(Observaciones!$F372&gt;0.05*Constantes!$E$18,((Observaciones!$F372-0.05*Constantes!$E$18)^2)/(Observaciones!$F372+0.95*Constantes!$E$18),0)</f>
        <v>0</v>
      </c>
      <c r="G373" s="76">
        <f>IF(Escenarios!$E$11&gt;0,(F373*Escenarios!$E$16*10000)/1000,0)</f>
        <v>0</v>
      </c>
      <c r="H373" s="76">
        <f>IF(Escenarios!$E$11&gt;0,(Observaciones!$F372*Constantes!$E$29)/1000,0)</f>
        <v>8</v>
      </c>
      <c r="I373" s="76">
        <f>IF(Escenarios!$E$11&gt;0,(D373*Constantes!$E$29)/1000,0)</f>
        <v>43.769840179453176</v>
      </c>
      <c r="J373" s="76">
        <f>IF(Escenarios!$E$11&gt;0,MAX(0,G373+H373-I373),0)</f>
        <v>0</v>
      </c>
      <c r="K373" s="76">
        <f>IF(Escenarios!$E$11&gt;0,IF(J373&gt;Constantes!$E$30,1000*((J373-Constantes!$E$30)/(Escenarios!$E$16*10000)),0),F373)</f>
        <v>0</v>
      </c>
      <c r="L373" s="76">
        <f>IF(Escenarios!$E$11&gt;0,I373*1000/Escenarios!$E$16/10000+E373,E373)</f>
        <v>2.1574693164775147</v>
      </c>
      <c r="M373" s="76">
        <f>MAX(0,N372+Observaciones!$F372-K373-Constantes!$D$13)</f>
        <v>0</v>
      </c>
      <c r="N373" s="76">
        <f>N372+Observaciones!$F372-K373-L373-M373-O372</f>
        <v>42.923559638461462</v>
      </c>
      <c r="O373" s="76">
        <f>MAX(0,(N373-Constantes!$D$14)*(1-EXP(-Constantes!$D$22)))</f>
        <v>1.0789177173038376</v>
      </c>
      <c r="P373" s="170">
        <f>P372+(Entradas!$E$83*M373-Q372)/(800*Entradas!$D$25)</f>
        <v>0</v>
      </c>
      <c r="Q373" s="170">
        <f>8000*Entradas!$D$26*P373/Constantes!$E$45</f>
        <v>0</v>
      </c>
      <c r="R373" s="170">
        <f>IF(Escenarios!$E$14&gt;0,K373*Escenarios!$E$13/Escenarios!$E$14,0)</f>
        <v>0</v>
      </c>
      <c r="S373" s="170">
        <f>IF(Escenarios!$E$14&gt;0,Q373*Escenarios!$E$13/Escenarios!$E$14,0)</f>
        <v>0</v>
      </c>
      <c r="T373" s="170">
        <f>IF(Escenarios!$E$14&gt;0,Observaciones!$I372,0)</f>
        <v>0</v>
      </c>
      <c r="U373" s="170">
        <f>IF(Escenarios!$E$14&gt;0,MAX(0,Constantes!$E$36/((Z372+R373+S373+T373+Observaciones!$F372)^2)+Entradas!$E$77),0)</f>
        <v>1.9051130297629049</v>
      </c>
      <c r="V373" s="146">
        <f>IF(ETo!D372&gt;0,ETo!I372*((1-Entradas!$E$81)*ETo!K372+ETo!L372),0)</f>
        <v>4.0001264312471712</v>
      </c>
      <c r="W373" s="170">
        <f>IF(Escenarios!$E$14&gt;0,MIN(V373*1,0.8*(Z372+R373+S373+T373+Observaciones!$F372-U373-Constantes!$E$35)),0)</f>
        <v>4.0001264312471712</v>
      </c>
      <c r="X373" s="170">
        <f>IF(Escenarios!$E$14&gt;0,Observaciones!$J372,0)</f>
        <v>0</v>
      </c>
      <c r="Y373" s="170">
        <f>IF(Escenarios!$E$14&gt;0,MAX(0,Z372+R373+S373+T373+Observaciones!$F372-U373-W373-X373-Constantes!$E$33),0)</f>
        <v>0</v>
      </c>
      <c r="Z373" s="170">
        <f>Z372+R373+S373+T373+Observaciones!$F372-U373-W373-Y373</f>
        <v>90.929647453765909</v>
      </c>
      <c r="AA373" s="170">
        <f>IF(Escenarios!$E$14&gt;0,(Escenarios!$E$13*L373+Escenarios!$E$14*W373)/(Escenarios!$E$16),L373)</f>
        <v>2.3785881702498735</v>
      </c>
      <c r="AB373" s="170">
        <f>IF(Escenarios!$E$14&gt;0,(Escenarios!$E$14*Y373)/(Escenarios!$E$16),K373)</f>
        <v>0</v>
      </c>
      <c r="AC373" s="170">
        <f>IF(Escenarios!$E$14&gt;0,(Escenarios!$E$13*M373+Escenarios!$E$14*U373)/(Escenarios!$E$16),M373)</f>
        <v>0.22861356357154858</v>
      </c>
      <c r="AD373" s="76">
        <f t="shared" si="71"/>
        <v>80.046273302211972</v>
      </c>
      <c r="AE373" s="76">
        <f>MAX(0,(AD373-Constantes!$D$13)*(1-EXP(-Constantes!$D$23)))</f>
        <v>0.30836963503824105</v>
      </c>
      <c r="AF373" s="76">
        <f>AB373+O373*Escenarios!$E$13/Escenarios!$E$16+AE373</f>
        <v>1.2578172262656182</v>
      </c>
      <c r="AG373" s="76">
        <f>IF(Entradas!$E$91&gt;0,IF(AF373-Escenarios!$E$38&lt;=0,0,IF(AF373-Escenarios!$E$38&gt;Escenarios!$E$37,Escenarios!$E$37,AF373-Escenarios!$E$38)),0)</f>
        <v>0</v>
      </c>
      <c r="AH373" s="76">
        <f>AG373*Entradas!$E$99</f>
        <v>0</v>
      </c>
      <c r="AI373" s="76">
        <f>IF(Entradas!$E$91&gt;0,D373*Entradas!$D$23/Escenarios!$E$16,0)</f>
        <v>0</v>
      </c>
      <c r="AJ373" s="76">
        <f>IF(Entradas!$E$91&gt;0,Entradas!$D$24*Entradas!$D$22/Escenarios!$E$16,0)</f>
        <v>0</v>
      </c>
      <c r="AK373" s="76">
        <f t="shared" si="80"/>
        <v>2.3785881702498735</v>
      </c>
      <c r="AL373" s="76">
        <f t="shared" si="81"/>
        <v>0</v>
      </c>
      <c r="AM373" s="76">
        <f t="shared" si="72"/>
        <v>0</v>
      </c>
      <c r="AN373" s="76">
        <f>MAX(0,O373*Escenarios!$E$13/Escenarios!$E$16-AM373)</f>
        <v>0.9494475912273771</v>
      </c>
      <c r="AO373" s="76">
        <f>AM373+AN373-O373*Escenarios!$E$13/Escenarios!$E$16</f>
        <v>0</v>
      </c>
      <c r="AP373" s="76">
        <f t="shared" si="70"/>
        <v>0.30836963503824105</v>
      </c>
      <c r="AQ373" s="76">
        <f t="shared" si="73"/>
        <v>0</v>
      </c>
      <c r="AR373" s="76">
        <f t="shared" si="74"/>
        <v>1.2578172262656182</v>
      </c>
      <c r="AS373" s="76">
        <f t="shared" si="75"/>
        <v>0</v>
      </c>
      <c r="AT373" s="76">
        <f t="shared" si="76"/>
        <v>0.22861356357154858</v>
      </c>
      <c r="AU373" s="76">
        <f t="shared" si="77"/>
        <v>48.75</v>
      </c>
      <c r="AV373" s="76">
        <f>MAX(0,(AU373-Constantes!$D$13)*(1-EXP(-Constantes!$D$24)))</f>
        <v>0</v>
      </c>
      <c r="AW373" s="170">
        <f>AW372+(Entradas!$E$112*AT373-AX372)/(800*Entradas!$D$25)</f>
        <v>0</v>
      </c>
      <c r="AX373" s="170">
        <f>8000*Entradas!$D$26*AW373/Constantes!$E$45</f>
        <v>0</v>
      </c>
      <c r="AY373" s="170">
        <f>IF(Escenarios!$E$17&gt;0,10*Escenarios!$E$16*AL373,0)</f>
        <v>0</v>
      </c>
      <c r="AZ373" s="170">
        <f>IF(Escenarios!$E$17&gt;0,10*Escenarios!$E$16*AX373,0)</f>
        <v>0</v>
      </c>
      <c r="BA373" s="170">
        <f>IF(Escenarios!$E$17&gt;0,0.001*Observaciones!$F372*Escenarios!$E$17,0)</f>
        <v>16</v>
      </c>
      <c r="BB373" s="170">
        <f>IF(Escenarios!$E$17&gt;0,Observaciones!$K372,0)</f>
        <v>0</v>
      </c>
      <c r="BC373" s="170">
        <f>IF(Escenarios!$E$17&gt;0,MIN(0.0005*ETo!$M372*Escenarios!$E$17*(BG372/Constantes!$E$40)^(2/3),BG372+AY373+AZ373+BA373+BB373),0)</f>
        <v>24.450213682028455</v>
      </c>
      <c r="BD373" s="170">
        <f>IF(Escenarios!$E$17&gt;0,MIN(Constantes!$E$39*(BG372/Constantes!$E$40)^(2/3),BG372+AY373+AZ373+BA373+BB373-BC373),0)</f>
        <v>39.356635077179789</v>
      </c>
      <c r="BE373" s="170">
        <f>IF(Escenarios!$E$17&gt;0,MIN(Entradas!$E$113,BG372+AY373+AZ373+BA373+BB373-BC373-BD373),0)</f>
        <v>1</v>
      </c>
      <c r="BF373" s="170">
        <f>IF(Escenarios!$E$17&gt;0,MAX(0,BG372+AY373+AZ373+BA373+BB373-BC373-BD373-BE373-Constantes!$E$40),0)</f>
        <v>0</v>
      </c>
      <c r="BG373" s="170">
        <f t="shared" si="82"/>
        <v>2251.5790692101746</v>
      </c>
      <c r="BH373" s="170">
        <f>(Escenarios!$E$16*AK373+0.1*BC373)/(Escenarios!$E$19)</f>
        <v>2.3694129521058387</v>
      </c>
      <c r="BI373" s="170">
        <f>IF(Escenarios!$E$17&gt;0,BF373/10/Escenarios!$E$19,AL373)</f>
        <v>0</v>
      </c>
      <c r="BJ373" s="170">
        <f>(Escenarios!$E$16*AT373+0.1*BD373)/(Escenarios!$E$19)</f>
        <v>0.24241688254208382</v>
      </c>
      <c r="BK373" s="76">
        <f>BK372+(0.1*BD373)/(Escenarios!$E$19)-BL372</f>
        <v>49.630763101372352</v>
      </c>
      <c r="BL373" s="76">
        <f>MAX(0,(BK373-Constantes!$D$13)*(1-EXP(-Constantes!$D$23)))</f>
        <v>8.6783686192485176E-3</v>
      </c>
      <c r="BM373" s="76">
        <f t="shared" si="78"/>
        <v>0.31704800365748959</v>
      </c>
      <c r="BN373" s="76">
        <f t="shared" si="83"/>
        <v>1.2664955948848666</v>
      </c>
      <c r="BO373" s="76">
        <f>0.0526*BI373*Observaciones!$F372^1.218</f>
        <v>0</v>
      </c>
      <c r="BP373" s="76">
        <f>BO373*Constantes!$E$51</f>
        <v>0</v>
      </c>
      <c r="BQ373" s="76">
        <f t="shared" si="79"/>
        <v>0</v>
      </c>
      <c r="BR373" s="40"/>
    </row>
    <row r="374" spans="1:70">
      <c r="A374" s="147"/>
      <c r="B374" s="39"/>
      <c r="C374" s="75">
        <v>368</v>
      </c>
      <c r="D374" s="146">
        <f>ETo!$I373*((1-Constantes!$E$19)*ETo!$K373+ETo!$L373)</f>
        <v>4.4496513739453656</v>
      </c>
      <c r="E374" s="76">
        <f>MIN(D374*Constantes!$E$17,0.8*(N373+Observaciones!$F373-F374-M374-Constantes!$D$14))</f>
        <v>2.1754893455110977</v>
      </c>
      <c r="F374" s="76">
        <f>IF(Observaciones!$F373&gt;0.05*Constantes!$E$18,((Observaciones!$F373-0.05*Constantes!$E$18)^2)/(Observaciones!$F373+0.95*Constantes!$E$18),0)</f>
        <v>0.70971296901424996</v>
      </c>
      <c r="G374" s="76">
        <f>IF(Escenarios!$E$11&gt;0,(F374*Escenarios!$E$16*10000)/1000,0)</f>
        <v>1774.2824225356251</v>
      </c>
      <c r="H374" s="76">
        <f>IF(Escenarios!$E$11&gt;0,(Observaciones!$F373*Constantes!$E$29)/1000,0)</f>
        <v>155</v>
      </c>
      <c r="I374" s="76">
        <f>IF(Escenarios!$E$11&gt;0,(D374*Constantes!$E$29)/1000,0)</f>
        <v>44.496513739453661</v>
      </c>
      <c r="J374" s="76">
        <f>IF(Escenarios!$E$11&gt;0,MAX(0,G374+H374-I374),0)</f>
        <v>1884.7859087961715</v>
      </c>
      <c r="K374" s="76">
        <f>IF(Escenarios!$E$11&gt;0,IF(J374&gt;Constantes!$E$30,1000*((J374-Constantes!$E$30)/(Escenarios!$E$16*10000)),0),F374)</f>
        <v>0.23920848116552743</v>
      </c>
      <c r="L374" s="76">
        <f>IF(Escenarios!$E$11&gt;0,I374*1000/Escenarios!$E$16/10000+E374,E374)</f>
        <v>2.1932879510068792</v>
      </c>
      <c r="M374" s="76">
        <f>MAX(0,N373+Observaciones!$F373-K374-Constantes!$D$13)</f>
        <v>9.4343511572959358</v>
      </c>
      <c r="N374" s="76">
        <f>N373+Observaciones!$F373-K374-L374-M374-O373</f>
        <v>45.477794331689282</v>
      </c>
      <c r="O374" s="76">
        <f>MAX(0,(N374-Constantes!$D$14)*(1-EXP(-Constantes!$D$22)))</f>
        <v>1.1659243277426978</v>
      </c>
      <c r="P374" s="170">
        <f>P373+(Entradas!$E$83*M374-Q373)/(800*Entradas!$D$25)</f>
        <v>0</v>
      </c>
      <c r="Q374" s="170">
        <f>8000*Entradas!$D$26*P374/Constantes!$E$45</f>
        <v>0</v>
      </c>
      <c r="R374" s="170">
        <f>IF(Escenarios!$E$14&gt;0,K374*Escenarios!$E$13/Escenarios!$E$14,0)</f>
        <v>1.7541955285472011</v>
      </c>
      <c r="S374" s="170">
        <f>IF(Escenarios!$E$14&gt;0,Q374*Escenarios!$E$13/Escenarios!$E$14,0)</f>
        <v>0</v>
      </c>
      <c r="T374" s="170">
        <f>IF(Escenarios!$E$14&gt;0,Observaciones!$I373,0)</f>
        <v>0</v>
      </c>
      <c r="U374" s="170">
        <f>IF(Escenarios!$E$14&gt;0,MAX(0,Constantes!$E$36/((Z373+R374+S374+T374+Observaciones!$F373)^2)+Entradas!$E$77),0)</f>
        <v>2.1227807013600191</v>
      </c>
      <c r="V374" s="146">
        <f>IF(ETo!D373&gt;0,ETo!I373*((1-Entradas!$E$81)*ETo!K373+ETo!L373),0)</f>
        <v>4.0673851009236195</v>
      </c>
      <c r="W374" s="170">
        <f>IF(Escenarios!$E$14&gt;0,MIN(V374*1,0.8*(Z373+R374+S374+T374+Observaciones!$F373-U374-Constantes!$E$35)),0)</f>
        <v>4.0673851009236195</v>
      </c>
      <c r="X374" s="170">
        <f>IF(Escenarios!$E$14&gt;0,Observaciones!$J373,0)</f>
        <v>0</v>
      </c>
      <c r="Y374" s="170">
        <f>IF(Escenarios!$E$14&gt;0,MAX(0,Z373+R374+S374+T374+Observaciones!$F373-U374-W374-X374-Constantes!$E$33),0)</f>
        <v>0</v>
      </c>
      <c r="Z374" s="170">
        <f>Z373+R374+S374+T374+Observaciones!$F373-U374-W374-Y374</f>
        <v>101.99367718002948</v>
      </c>
      <c r="AA374" s="170">
        <f>IF(Escenarios!$E$14&gt;0,(Escenarios!$E$13*L374+Escenarios!$E$14*W374)/(Escenarios!$E$16),L374)</f>
        <v>2.4181796089968883</v>
      </c>
      <c r="AB374" s="170">
        <f>IF(Escenarios!$E$14&gt;0,(Escenarios!$E$14*Y374)/(Escenarios!$E$16),K374)</f>
        <v>0</v>
      </c>
      <c r="AC374" s="170">
        <f>IF(Escenarios!$E$14&gt;0,(Escenarios!$E$13*M374+Escenarios!$E$14*U374)/(Escenarios!$E$16),M374)</f>
        <v>8.5569627025836255</v>
      </c>
      <c r="AD374" s="76">
        <f t="shared" si="71"/>
        <v>88.294866369757358</v>
      </c>
      <c r="AE374" s="76">
        <f>MAX(0,(AD374-Constantes!$D$13)*(1-EXP(-Constantes!$D$23)))</f>
        <v>0.38964498719456814</v>
      </c>
      <c r="AF374" s="76">
        <f>AB374+O374*Escenarios!$E$13/Escenarios!$E$16+AE374</f>
        <v>1.4156583956081423</v>
      </c>
      <c r="AG374" s="76">
        <f>IF(Entradas!$E$91&gt;0,IF(AF374-Escenarios!$E$38&lt;=0,0,IF(AF374-Escenarios!$E$38&gt;Escenarios!$E$37,Escenarios!$E$37,AF374-Escenarios!$E$38)),0)</f>
        <v>0</v>
      </c>
      <c r="AH374" s="76">
        <f>AG374*Entradas!$E$99</f>
        <v>0</v>
      </c>
      <c r="AI374" s="76">
        <f>IF(Entradas!$E$91&gt;0,D374*Entradas!$D$23/Escenarios!$E$16,0)</f>
        <v>0</v>
      </c>
      <c r="AJ374" s="76">
        <f>IF(Entradas!$E$91&gt;0,Entradas!$D$24*Entradas!$D$22/Escenarios!$E$16,0)</f>
        <v>0</v>
      </c>
      <c r="AK374" s="76">
        <f t="shared" si="80"/>
        <v>2.4181796089968883</v>
      </c>
      <c r="AL374" s="76">
        <f t="shared" si="81"/>
        <v>0</v>
      </c>
      <c r="AM374" s="76">
        <f t="shared" si="72"/>
        <v>0</v>
      </c>
      <c r="AN374" s="76">
        <f>MAX(0,O374*Escenarios!$E$13/Escenarios!$E$16-AM374)</f>
        <v>1.0260134084135741</v>
      </c>
      <c r="AO374" s="76">
        <f>AM374+AN374-O374*Escenarios!$E$13/Escenarios!$E$16</f>
        <v>0</v>
      </c>
      <c r="AP374" s="76">
        <f t="shared" si="70"/>
        <v>0.38964498719456814</v>
      </c>
      <c r="AQ374" s="76">
        <f t="shared" si="73"/>
        <v>0</v>
      </c>
      <c r="AR374" s="76">
        <f t="shared" si="74"/>
        <v>1.4156583956081423</v>
      </c>
      <c r="AS374" s="76">
        <f t="shared" si="75"/>
        <v>0</v>
      </c>
      <c r="AT374" s="76">
        <f t="shared" si="76"/>
        <v>8.5569627025836255</v>
      </c>
      <c r="AU374" s="76">
        <f t="shared" si="77"/>
        <v>48.75</v>
      </c>
      <c r="AV374" s="76">
        <f>MAX(0,(AU374-Constantes!$D$13)*(1-EXP(-Constantes!$D$24)))</f>
        <v>0</v>
      </c>
      <c r="AW374" s="170">
        <f>AW373+(Entradas!$E$112*AT374-AX373)/(800*Entradas!$D$25)</f>
        <v>0</v>
      </c>
      <c r="AX374" s="170">
        <f>8000*Entradas!$D$26*AW374/Constantes!$E$45</f>
        <v>0</v>
      </c>
      <c r="AY374" s="170">
        <f>IF(Escenarios!$E$17&gt;0,10*Escenarios!$E$16*AL374,0)</f>
        <v>0</v>
      </c>
      <c r="AZ374" s="170">
        <f>IF(Escenarios!$E$17&gt;0,10*Escenarios!$E$16*AX374,0)</f>
        <v>0</v>
      </c>
      <c r="BA374" s="170">
        <f>IF(Escenarios!$E$17&gt;0,0.001*Observaciones!$F373*Escenarios!$E$17,0)</f>
        <v>310</v>
      </c>
      <c r="BB374" s="170">
        <f>IF(Escenarios!$E$17&gt;0,Observaciones!$K373,0)</f>
        <v>0</v>
      </c>
      <c r="BC374" s="170">
        <f>IF(Escenarios!$E$17&gt;0,MIN(0.0005*ETo!$M373*Escenarios!$E$17*(BG373/Constantes!$E$40)^(2/3),BG373+AY374+AZ374+BA374+BB374),0)</f>
        <v>24.496835135393596</v>
      </c>
      <c r="BD374" s="170">
        <f>IF(Escenarios!$E$17&gt;0,MIN(Constantes!$E$39*(BG373/Constantes!$E$40)^(2/3),BG373+AY374+AZ374+BA374+BB374-BC374),0)</f>
        <v>38.797966306882252</v>
      </c>
      <c r="BE374" s="170">
        <f>IF(Escenarios!$E$17&gt;0,MIN(Entradas!$E$113,BG373+AY374+AZ374+BA374+BB374-BC374-BD374),0)</f>
        <v>1</v>
      </c>
      <c r="BF374" s="170">
        <f>IF(Escenarios!$E$17&gt;0,MAX(0,BG373+AY374+AZ374+BA374+BB374-BC374-BD374-BE374-Constantes!$E$40),0)</f>
        <v>0</v>
      </c>
      <c r="BG374" s="170">
        <f t="shared" si="82"/>
        <v>2497.2842677678987</v>
      </c>
      <c r="BH374" s="170">
        <f>(Escenarios!$E$16*AK374+0.1*BC374)/(Escenarios!$E$19)</f>
        <v>2.408708673661752</v>
      </c>
      <c r="BI374" s="170">
        <f>IF(Escenarios!$E$17&gt;0,BF374/10/Escenarios!$E$19,AL374)</f>
        <v>0</v>
      </c>
      <c r="BJ374" s="170">
        <f>(Escenarios!$E$16*AT374+0.1*BD374)/(Escenarios!$E$19)</f>
        <v>8.5044463185579158</v>
      </c>
      <c r="BK374" s="76">
        <f>BK373+(0.1*BD374)/(Escenarios!$E$19)-BL373</f>
        <v>49.637480751128848</v>
      </c>
      <c r="BL374" s="76">
        <f>MAX(0,(BK374-Constantes!$D$13)*(1-EXP(-Constantes!$D$23)))</f>
        <v>8.7445592223187856E-3</v>
      </c>
      <c r="BM374" s="76">
        <f t="shared" si="78"/>
        <v>0.3983895464168869</v>
      </c>
      <c r="BN374" s="76">
        <f t="shared" si="83"/>
        <v>1.4244029548304611</v>
      </c>
      <c r="BO374" s="76">
        <f>0.0526*BI374*Observaciones!$F373^1.218</f>
        <v>0</v>
      </c>
      <c r="BP374" s="76">
        <f>BO374*Constantes!$E$51</f>
        <v>0</v>
      </c>
      <c r="BQ374" s="76">
        <f t="shared" si="79"/>
        <v>0</v>
      </c>
      <c r="BR374" s="40"/>
    </row>
    <row r="375" spans="1:70">
      <c r="A375" s="147"/>
      <c r="B375" s="39"/>
      <c r="C375" s="75">
        <v>369</v>
      </c>
      <c r="D375" s="146">
        <f>ETo!$I374*((1-Constantes!$E$19)*ETo!$K374+ETo!$L374)</f>
        <v>4.4178709767785174</v>
      </c>
      <c r="E375" s="76">
        <f>MIN(D375*Constantes!$E$17,0.8*(N374+Observaciones!$F374-F375-M375-Constantes!$D$14))</f>
        <v>2.1599515180225395</v>
      </c>
      <c r="F375" s="76">
        <f>IF(Observaciones!$F374&gt;0.05*Constantes!$E$18,((Observaciones!$F374-0.05*Constantes!$E$18)^2)/(Observaciones!$F374+0.95*Constantes!$E$18),0)</f>
        <v>0</v>
      </c>
      <c r="G375" s="76">
        <f>IF(Escenarios!$E$11&gt;0,(F375*Escenarios!$E$16*10000)/1000,0)</f>
        <v>0</v>
      </c>
      <c r="H375" s="76">
        <f>IF(Escenarios!$E$11&gt;0,(Observaciones!$F374*Constantes!$E$29)/1000,0)</f>
        <v>23</v>
      </c>
      <c r="I375" s="76">
        <f>IF(Escenarios!$E$11&gt;0,(D375*Constantes!$E$29)/1000,0)</f>
        <v>44.178709767785172</v>
      </c>
      <c r="J375" s="76">
        <f>IF(Escenarios!$E$11&gt;0,MAX(0,G375+H375-I375),0)</f>
        <v>0</v>
      </c>
      <c r="K375" s="76">
        <f>IF(Escenarios!$E$11&gt;0,IF(J375&gt;Constantes!$E$30,1000*((J375-Constantes!$E$30)/(Escenarios!$E$16*10000)),0),F375)</f>
        <v>0</v>
      </c>
      <c r="L375" s="76">
        <f>IF(Escenarios!$E$11&gt;0,I375*1000/Escenarios!$E$16/10000+E375,E375)</f>
        <v>2.1776230019296534</v>
      </c>
      <c r="M375" s="76">
        <f>MAX(0,N374+Observaciones!$F374-K375-Constantes!$D$13)</f>
        <v>0</v>
      </c>
      <c r="N375" s="76">
        <f>N374+Observaciones!$F374-K375-L375-M375-O374</f>
        <v>44.434247002016924</v>
      </c>
      <c r="O375" s="76">
        <f>MAX(0,(N375-Constantes!$D$14)*(1-EXP(-Constantes!$D$22)))</f>
        <v>1.1303772747533831</v>
      </c>
      <c r="P375" s="170">
        <f>P374+(Entradas!$E$83*M375-Q374)/(800*Entradas!$D$25)</f>
        <v>0</v>
      </c>
      <c r="Q375" s="170">
        <f>8000*Entradas!$D$26*P375/Constantes!$E$45</f>
        <v>0</v>
      </c>
      <c r="R375" s="170">
        <f>IF(Escenarios!$E$14&gt;0,K375*Escenarios!$E$13/Escenarios!$E$14,0)</f>
        <v>0</v>
      </c>
      <c r="S375" s="170">
        <f>IF(Escenarios!$E$14&gt;0,Q375*Escenarios!$E$13/Escenarios!$E$14,0)</f>
        <v>0</v>
      </c>
      <c r="T375" s="170">
        <f>IF(Escenarios!$E$14&gt;0,Observaciones!$I374,0)</f>
        <v>0</v>
      </c>
      <c r="U375" s="170">
        <f>IF(Escenarios!$E$14&gt;0,MAX(0,Constantes!$E$36/((Z374+R375+S375+T375+Observaciones!$F374)^2)+Entradas!$E$77),0)</f>
        <v>2.0561194720700153</v>
      </c>
      <c r="V375" s="146">
        <f>IF(ETo!D374&gt;0,ETo!I374*((1-Entradas!$E$81)*ETo!K374+ETo!L374),0)</f>
        <v>4.0379558966518694</v>
      </c>
      <c r="W375" s="170">
        <f>IF(Escenarios!$E$14&gt;0,MIN(V375*1,0.8*(Z374+R375+S375+T375+Observaciones!$F374-U375-Constantes!$E$35)),0)</f>
        <v>4.0379558966518694</v>
      </c>
      <c r="X375" s="170">
        <f>IF(Escenarios!$E$14&gt;0,Observaciones!$J374,0)</f>
        <v>0</v>
      </c>
      <c r="Y375" s="170">
        <f>IF(Escenarios!$E$14&gt;0,MAX(0,Z374+R375+S375+T375+Observaciones!$F374-U375-W375-X375-Constantes!$E$33),0)</f>
        <v>0</v>
      </c>
      <c r="Z375" s="170">
        <f>Z374+R375+S375+T375+Observaciones!$F374-U375-W375-Y375</f>
        <v>98.199601811307602</v>
      </c>
      <c r="AA375" s="170">
        <f>IF(Escenarios!$E$14&gt;0,(Escenarios!$E$13*L375+Escenarios!$E$14*W375)/(Escenarios!$E$16),L375)</f>
        <v>2.4008629492963194</v>
      </c>
      <c r="AB375" s="170">
        <f>IF(Escenarios!$E$14&gt;0,(Escenarios!$E$14*Y375)/(Escenarios!$E$16),K375)</f>
        <v>0</v>
      </c>
      <c r="AC375" s="170">
        <f>IF(Escenarios!$E$14&gt;0,(Escenarios!$E$13*M375+Escenarios!$E$14*U375)/(Escenarios!$E$16),M375)</f>
        <v>0.24673433664840183</v>
      </c>
      <c r="AD375" s="76">
        <f t="shared" si="71"/>
        <v>88.151955719211188</v>
      </c>
      <c r="AE375" s="76">
        <f>MAX(0,(AD375-Constantes!$D$13)*(1-EXP(-Constantes!$D$23)))</f>
        <v>0.38823685451607171</v>
      </c>
      <c r="AF375" s="76">
        <f>AB375+O375*Escenarios!$E$13/Escenarios!$E$16+AE375</f>
        <v>1.382968856299049</v>
      </c>
      <c r="AG375" s="76">
        <f>IF(Entradas!$E$91&gt;0,IF(AF375-Escenarios!$E$38&lt;=0,0,IF(AF375-Escenarios!$E$38&gt;Escenarios!$E$37,Escenarios!$E$37,AF375-Escenarios!$E$38)),0)</f>
        <v>0</v>
      </c>
      <c r="AH375" s="76">
        <f>AG375*Entradas!$E$99</f>
        <v>0</v>
      </c>
      <c r="AI375" s="76">
        <f>IF(Entradas!$E$91&gt;0,D375*Entradas!$D$23/Escenarios!$E$16,0)</f>
        <v>0</v>
      </c>
      <c r="AJ375" s="76">
        <f>IF(Entradas!$E$91&gt;0,Entradas!$D$24*Entradas!$D$22/Escenarios!$E$16,0)</f>
        <v>0</v>
      </c>
      <c r="AK375" s="76">
        <f t="shared" si="80"/>
        <v>2.4008629492963194</v>
      </c>
      <c r="AL375" s="76">
        <f t="shared" si="81"/>
        <v>0</v>
      </c>
      <c r="AM375" s="76">
        <f t="shared" si="72"/>
        <v>0</v>
      </c>
      <c r="AN375" s="76">
        <f>MAX(0,O375*Escenarios!$E$13/Escenarios!$E$16-AM375)</f>
        <v>0.99473200178297716</v>
      </c>
      <c r="AO375" s="76">
        <f>AM375+AN375-O375*Escenarios!$E$13/Escenarios!$E$16</f>
        <v>0</v>
      </c>
      <c r="AP375" s="76">
        <f t="shared" si="70"/>
        <v>0.38823685451607171</v>
      </c>
      <c r="AQ375" s="76">
        <f t="shared" si="73"/>
        <v>0</v>
      </c>
      <c r="AR375" s="76">
        <f t="shared" si="74"/>
        <v>1.382968856299049</v>
      </c>
      <c r="AS375" s="76">
        <f t="shared" si="75"/>
        <v>0</v>
      </c>
      <c r="AT375" s="76">
        <f t="shared" si="76"/>
        <v>0.24673433664840183</v>
      </c>
      <c r="AU375" s="76">
        <f t="shared" si="77"/>
        <v>48.75</v>
      </c>
      <c r="AV375" s="76">
        <f>MAX(0,(AU375-Constantes!$D$13)*(1-EXP(-Constantes!$D$24)))</f>
        <v>0</v>
      </c>
      <c r="AW375" s="170">
        <f>AW374+(Entradas!$E$112*AT375-AX374)/(800*Entradas!$D$25)</f>
        <v>0</v>
      </c>
      <c r="AX375" s="170">
        <f>8000*Entradas!$D$26*AW375/Constantes!$E$45</f>
        <v>0</v>
      </c>
      <c r="AY375" s="170">
        <f>IF(Escenarios!$E$17&gt;0,10*Escenarios!$E$16*AL375,0)</f>
        <v>0</v>
      </c>
      <c r="AZ375" s="170">
        <f>IF(Escenarios!$E$17&gt;0,10*Escenarios!$E$16*AX375,0)</f>
        <v>0</v>
      </c>
      <c r="BA375" s="170">
        <f>IF(Escenarios!$E$17&gt;0,0.001*Observaciones!$F374*Escenarios!$E$17,0)</f>
        <v>46</v>
      </c>
      <c r="BB375" s="170">
        <f>IF(Escenarios!$E$17&gt;0,Observaciones!$K374,0)</f>
        <v>0</v>
      </c>
      <c r="BC375" s="170">
        <f>IF(Escenarios!$E$17&gt;0,MIN(0.0005*ETo!$M374*Escenarios!$E$17*(BG374/Constantes!$E$40)^(2/3),BG374+AY375+AZ375+BA375+BB375),0)</f>
        <v>26.063687124324126</v>
      </c>
      <c r="BD375" s="170">
        <f>IF(Escenarios!$E$17&gt;0,MIN(Constantes!$E$39*(BG374/Constantes!$E$40)^(2/3),BG374+AY375+AZ375+BA375+BB375-BC375),0)</f>
        <v>41.571543266831938</v>
      </c>
      <c r="BE375" s="170">
        <f>IF(Escenarios!$E$17&gt;0,MIN(Entradas!$E$113,BG374+AY375+AZ375+BA375+BB375-BC375-BD375),0)</f>
        <v>1</v>
      </c>
      <c r="BF375" s="170">
        <f>IF(Escenarios!$E$17&gt;0,MAX(0,BG374+AY375+AZ375+BA375+BB375-BC375-BD375-BE375-Constantes!$E$40),0)</f>
        <v>0</v>
      </c>
      <c r="BG375" s="170">
        <f t="shared" si="82"/>
        <v>2474.6490373767424</v>
      </c>
      <c r="BH375" s="170">
        <f>(Escenarios!$E$16*AK375+0.1*BC375)/(Escenarios!$E$19)</f>
        <v>2.3921512144306045</v>
      </c>
      <c r="BI375" s="170">
        <f>IF(Escenarios!$E$17&gt;0,BF375/10/Escenarios!$E$19,AL375)</f>
        <v>0</v>
      </c>
      <c r="BJ375" s="170">
        <f>(Escenarios!$E$16*AT375+0.1*BD375)/(Escenarios!$E$19)</f>
        <v>0.26127277178088754</v>
      </c>
      <c r="BK375" s="76">
        <f>BK374+(0.1*BD375)/(Escenarios!$E$19)-BL374</f>
        <v>49.645232836060032</v>
      </c>
      <c r="BL375" s="76">
        <f>MAX(0,(BK375-Constantes!$D$13)*(1-EXP(-Constantes!$D$23)))</f>
        <v>8.8209423615485186E-3</v>
      </c>
      <c r="BM375" s="76">
        <f t="shared" si="78"/>
        <v>0.39705779687762022</v>
      </c>
      <c r="BN375" s="76">
        <f t="shared" si="83"/>
        <v>1.3917897986605976</v>
      </c>
      <c r="BO375" s="76">
        <f>0.0526*BI375*Observaciones!$F374^1.218</f>
        <v>0</v>
      </c>
      <c r="BP375" s="76">
        <f>BO375*Constantes!$E$51</f>
        <v>0</v>
      </c>
      <c r="BQ375" s="76">
        <f t="shared" si="79"/>
        <v>0</v>
      </c>
      <c r="BR375" s="40"/>
    </row>
    <row r="376" spans="1:70">
      <c r="A376" s="147"/>
      <c r="B376" s="39"/>
      <c r="C376" s="75">
        <v>370</v>
      </c>
      <c r="D376" s="146">
        <f>ETo!$I375*((1-Constantes!$E$19)*ETo!$K375+ETo!$L375)</f>
        <v>4.3769902873009157</v>
      </c>
      <c r="E376" s="76">
        <f>MIN(D376*Constantes!$E$17,0.8*(N375+Observaciones!$F375-F376-M376-Constantes!$D$14))</f>
        <v>2.1399644455708806</v>
      </c>
      <c r="F376" s="76">
        <f>IF(Observaciones!$F375&gt;0.05*Constantes!$E$18,((Observaciones!$F375-0.05*Constantes!$E$18)^2)/(Observaciones!$F375+0.95*Constantes!$E$18),0)</f>
        <v>0.10869498409708679</v>
      </c>
      <c r="G376" s="76">
        <f>IF(Escenarios!$E$11&gt;0,(F376*Escenarios!$E$16*10000)/1000,0)</f>
        <v>271.73746024271696</v>
      </c>
      <c r="H376" s="76">
        <f>IF(Escenarios!$E$11&gt;0,(Observaciones!$F375*Constantes!$E$29)/1000,0)</f>
        <v>96</v>
      </c>
      <c r="I376" s="76">
        <f>IF(Escenarios!$E$11&gt;0,(D376*Constantes!$E$29)/1000,0)</f>
        <v>43.769902873009158</v>
      </c>
      <c r="J376" s="76">
        <f>IF(Escenarios!$E$11&gt;0,MAX(0,G376+H376-I376),0)</f>
        <v>323.96755736970783</v>
      </c>
      <c r="K376" s="76">
        <f>IF(Escenarios!$E$11&gt;0,IF(J376&gt;Constantes!$E$30,1000*((J376-Constantes!$E$30)/(Escenarios!$E$16*10000)),0),F376)</f>
        <v>0</v>
      </c>
      <c r="L376" s="76">
        <f>IF(Escenarios!$E$11&gt;0,I376*1000/Escenarios!$E$16/10000+E376,E376)</f>
        <v>2.1574724067200841</v>
      </c>
      <c r="M376" s="76">
        <f>MAX(0,N375+Observaciones!$F375-K376-Constantes!$D$13)</f>
        <v>5.2842470020169259</v>
      </c>
      <c r="N376" s="76">
        <f>N375+Observaciones!$F375-K376-L376-M376-O375</f>
        <v>45.462150318526533</v>
      </c>
      <c r="O376" s="76">
        <f>MAX(0,(N376-Constantes!$D$14)*(1-EXP(-Constantes!$D$22)))</f>
        <v>1.1653914352240267</v>
      </c>
      <c r="P376" s="170">
        <f>P375+(Entradas!$E$83*M376-Q375)/(800*Entradas!$D$25)</f>
        <v>0</v>
      </c>
      <c r="Q376" s="170">
        <f>8000*Entradas!$D$26*P376/Constantes!$E$45</f>
        <v>0</v>
      </c>
      <c r="R376" s="170">
        <f>IF(Escenarios!$E$14&gt;0,K376*Escenarios!$E$13/Escenarios!$E$14,0)</f>
        <v>0</v>
      </c>
      <c r="S376" s="170">
        <f>IF(Escenarios!$E$14&gt;0,Q376*Escenarios!$E$13/Escenarios!$E$14,0)</f>
        <v>0</v>
      </c>
      <c r="T376" s="170">
        <f>IF(Escenarios!$E$14&gt;0,Observaciones!$I375,0)</f>
        <v>0</v>
      </c>
      <c r="U376" s="170">
        <f>IF(Escenarios!$E$14&gt;0,MAX(0,Constantes!$E$36/((Z375+R376+S376+T376+Observaciones!$F375)^2)+Entradas!$E$77),0)</f>
        <v>2.1165160309838971</v>
      </c>
      <c r="V376" s="146">
        <f>IF(ETo!D375&gt;0,ETo!I375*((1-Entradas!$E$81)*ETo!K375+ETo!L375),0)</f>
        <v>4.0001323014303152</v>
      </c>
      <c r="W376" s="170">
        <f>IF(Escenarios!$E$14&gt;0,MIN(V376*1,0.8*(Z375+R376+S376+T376+Observaciones!$F375-U376-Constantes!$E$35)),0)</f>
        <v>4.0001323014303152</v>
      </c>
      <c r="X376" s="170">
        <f>IF(Escenarios!$E$14&gt;0,Observaciones!$J375,0)</f>
        <v>0</v>
      </c>
      <c r="Y376" s="170">
        <f>IF(Escenarios!$E$14&gt;0,MAX(0,Z375+R376+S376+T376+Observaciones!$F375-U376-W376-X376-Constantes!$E$33),0)</f>
        <v>0</v>
      </c>
      <c r="Z376" s="170">
        <f>Z375+R376+S376+T376+Observaciones!$F375-U376-W376-Y376</f>
        <v>101.68295347889338</v>
      </c>
      <c r="AA376" s="170">
        <f>IF(Escenarios!$E$14&gt;0,(Escenarios!$E$13*L376+Escenarios!$E$14*W376)/(Escenarios!$E$16),L376)</f>
        <v>2.3785915940853117</v>
      </c>
      <c r="AB376" s="170">
        <f>IF(Escenarios!$E$14&gt;0,(Escenarios!$E$14*Y376)/(Escenarios!$E$16),K376)</f>
        <v>0</v>
      </c>
      <c r="AC376" s="170">
        <f>IF(Escenarios!$E$14&gt;0,(Escenarios!$E$13*M376+Escenarios!$E$14*U376)/(Escenarios!$E$16),M376)</f>
        <v>4.9041192854929623</v>
      </c>
      <c r="AD376" s="76">
        <f t="shared" si="71"/>
        <v>92.667838150188089</v>
      </c>
      <c r="AE376" s="76">
        <f>MAX(0,(AD376-Constantes!$D$13)*(1-EXP(-Constantes!$D$23)))</f>
        <v>0.43273291970788252</v>
      </c>
      <c r="AF376" s="76">
        <f>AB376+O376*Escenarios!$E$13/Escenarios!$E$16+AE376</f>
        <v>1.4582773827050262</v>
      </c>
      <c r="AG376" s="76">
        <f>IF(Entradas!$E$91&gt;0,IF(AF376-Escenarios!$E$38&lt;=0,0,IF(AF376-Escenarios!$E$38&gt;Escenarios!$E$37,Escenarios!$E$37,AF376-Escenarios!$E$38)),0)</f>
        <v>0</v>
      </c>
      <c r="AH376" s="76">
        <f>AG376*Entradas!$E$99</f>
        <v>0</v>
      </c>
      <c r="AI376" s="76">
        <f>IF(Entradas!$E$91&gt;0,D376*Entradas!$D$23/Escenarios!$E$16,0)</f>
        <v>0</v>
      </c>
      <c r="AJ376" s="76">
        <f>IF(Entradas!$E$91&gt;0,Entradas!$D$24*Entradas!$D$22/Escenarios!$E$16,0)</f>
        <v>0</v>
      </c>
      <c r="AK376" s="76">
        <f t="shared" si="80"/>
        <v>2.3785915940853117</v>
      </c>
      <c r="AL376" s="76">
        <f t="shared" si="81"/>
        <v>0</v>
      </c>
      <c r="AM376" s="76">
        <f t="shared" si="72"/>
        <v>0</v>
      </c>
      <c r="AN376" s="76">
        <f>MAX(0,O376*Escenarios!$E$13/Escenarios!$E$16-AM376)</f>
        <v>1.0255444629971435</v>
      </c>
      <c r="AO376" s="76">
        <f>AM376+AN376-O376*Escenarios!$E$13/Escenarios!$E$16</f>
        <v>0</v>
      </c>
      <c r="AP376" s="76">
        <f t="shared" si="70"/>
        <v>0.43273291970788252</v>
      </c>
      <c r="AQ376" s="76">
        <f t="shared" si="73"/>
        <v>0</v>
      </c>
      <c r="AR376" s="76">
        <f t="shared" si="74"/>
        <v>1.4582773827050262</v>
      </c>
      <c r="AS376" s="76">
        <f t="shared" si="75"/>
        <v>0</v>
      </c>
      <c r="AT376" s="76">
        <f t="shared" si="76"/>
        <v>4.9041192854929623</v>
      </c>
      <c r="AU376" s="76">
        <f t="shared" si="77"/>
        <v>48.75</v>
      </c>
      <c r="AV376" s="76">
        <f>MAX(0,(AU376-Constantes!$D$13)*(1-EXP(-Constantes!$D$24)))</f>
        <v>0</v>
      </c>
      <c r="AW376" s="170">
        <f>AW375+(Entradas!$E$112*AT376-AX375)/(800*Entradas!$D$25)</f>
        <v>0</v>
      </c>
      <c r="AX376" s="170">
        <f>8000*Entradas!$D$26*AW376/Constantes!$E$45</f>
        <v>0</v>
      </c>
      <c r="AY376" s="170">
        <f>IF(Escenarios!$E$17&gt;0,10*Escenarios!$E$16*AL376,0)</f>
        <v>0</v>
      </c>
      <c r="AZ376" s="170">
        <f>IF(Escenarios!$E$17&gt;0,10*Escenarios!$E$16*AX376,0)</f>
        <v>0</v>
      </c>
      <c r="BA376" s="170">
        <f>IF(Escenarios!$E$17&gt;0,0.001*Observaciones!$F375*Escenarios!$E$17,0)</f>
        <v>191.99999999999997</v>
      </c>
      <c r="BB376" s="170">
        <f>IF(Escenarios!$E$17&gt;0,Observaciones!$K375,0)</f>
        <v>0</v>
      </c>
      <c r="BC376" s="170">
        <f>IF(Escenarios!$E$17&gt;0,MIN(0.0005*ETo!$M375*Escenarios!$E$17*(BG375/Constantes!$E$40)^(2/3),BG375+AY376+AZ376+BA376+BB376),0)</f>
        <v>25.669960744905097</v>
      </c>
      <c r="BD376" s="170">
        <f>IF(Escenarios!$E$17&gt;0,MIN(Constantes!$E$39*(BG375/Constantes!$E$40)^(2/3),BG375+AY376+AZ376+BA376+BB376-BC376),0)</f>
        <v>41.319960983837795</v>
      </c>
      <c r="BE376" s="170">
        <f>IF(Escenarios!$E$17&gt;0,MIN(Entradas!$E$113,BG375+AY376+AZ376+BA376+BB376-BC376-BD376),0)</f>
        <v>1</v>
      </c>
      <c r="BF376" s="170">
        <f>IF(Escenarios!$E$17&gt;0,MAX(0,BG375+AY376+AZ376+BA376+BB376-BC376-BD376-BE376-Constantes!$E$40),0)</f>
        <v>0</v>
      </c>
      <c r="BG376" s="170">
        <f t="shared" si="82"/>
        <v>2598.6591156479994</v>
      </c>
      <c r="BH376" s="170">
        <f>(Escenarios!$E$16*AK376+0.1*BC376)/(Escenarios!$E$19)</f>
        <v>2.3699003753802321</v>
      </c>
      <c r="BI376" s="170">
        <f>IF(Escenarios!$E$17&gt;0,BF376/10/Escenarios!$E$19,AL376)</f>
        <v>0</v>
      </c>
      <c r="BJ376" s="170">
        <f>(Escenarios!$E$16*AT376+0.1*BD376)/(Escenarios!$E$19)</f>
        <v>4.8815945137762871</v>
      </c>
      <c r="BK376" s="76">
        <f>BK375+(0.1*BD376)/(Escenarios!$E$19)-BL375</f>
        <v>49.652808703612706</v>
      </c>
      <c r="BL376" s="76">
        <f>MAX(0,(BK376-Constantes!$D$13)*(1-EXP(-Constantes!$D$23)))</f>
        <v>8.8955891889760854E-3</v>
      </c>
      <c r="BM376" s="76">
        <f t="shared" si="78"/>
        <v>0.44162850889685862</v>
      </c>
      <c r="BN376" s="76">
        <f t="shared" si="83"/>
        <v>1.4671729718940023</v>
      </c>
      <c r="BO376" s="76">
        <f>0.0526*BI376*Observaciones!$F375^1.218</f>
        <v>0</v>
      </c>
      <c r="BP376" s="76">
        <f>BO376*Constantes!$E$51</f>
        <v>0</v>
      </c>
      <c r="BQ376" s="76">
        <f t="shared" si="79"/>
        <v>0</v>
      </c>
      <c r="BR376" s="40"/>
    </row>
    <row r="377" spans="1:70">
      <c r="A377" s="147"/>
      <c r="B377" s="39"/>
      <c r="C377" s="75">
        <v>371</v>
      </c>
      <c r="D377" s="146">
        <f>ETo!$I376*((1-Constantes!$E$19)*ETo!$K376+ETo!$L376)</f>
        <v>4.3497110924145739</v>
      </c>
      <c r="E377" s="76">
        <f>MIN(D377*Constantes!$E$17,0.8*(N376+Observaciones!$F376-F377-M377-Constantes!$D$14))</f>
        <v>2.1266273113007998</v>
      </c>
      <c r="F377" s="76">
        <f>IF(Observaciones!$F376&gt;0.05*Constantes!$E$18,((Observaciones!$F376-0.05*Constantes!$E$18)^2)/(Observaciones!$F376+0.95*Constantes!$E$18),0)</f>
        <v>0.95552143110694354</v>
      </c>
      <c r="G377" s="76">
        <f>IF(Escenarios!$E$11&gt;0,(F377*Escenarios!$E$16*10000)/1000,0)</f>
        <v>2388.8035777673585</v>
      </c>
      <c r="H377" s="76">
        <f>IF(Escenarios!$E$11&gt;0,(Observaciones!$F376*Constantes!$E$29)/1000,0)</f>
        <v>171</v>
      </c>
      <c r="I377" s="76">
        <f>IF(Escenarios!$E$11&gt;0,(D377*Constantes!$E$29)/1000,0)</f>
        <v>43.497110924145737</v>
      </c>
      <c r="J377" s="76">
        <f>IF(Escenarios!$E$11&gt;0,MAX(0,G377+H377-I377),0)</f>
        <v>2516.306466843213</v>
      </c>
      <c r="K377" s="76">
        <f>IF(Escenarios!$E$11&gt;0,IF(J377&gt;Constantes!$E$30,1000*((J377-Constantes!$E$30)/(Escenarios!$E$16*10000)),0),F377)</f>
        <v>0.49181670438434399</v>
      </c>
      <c r="L377" s="76">
        <f>IF(Escenarios!$E$11&gt;0,I377*1000/Escenarios!$E$16/10000+E377,E377)</f>
        <v>2.1440261556704581</v>
      </c>
      <c r="M377" s="76">
        <f>MAX(0,N376+Observaciones!$F376-K377-Constantes!$D$13)</f>
        <v>13.320333614142193</v>
      </c>
      <c r="N377" s="76">
        <f>N376+Observaciones!$F376-K377-L377-M377-O376</f>
        <v>45.440582409105517</v>
      </c>
      <c r="O377" s="76">
        <f>MAX(0,(N377-Constantes!$D$14)*(1-EXP(-Constantes!$D$22)))</f>
        <v>1.1646567530517304</v>
      </c>
      <c r="P377" s="170">
        <f>P376+(Entradas!$E$83*M377-Q376)/(800*Entradas!$D$25)</f>
        <v>0</v>
      </c>
      <c r="Q377" s="170">
        <f>8000*Entradas!$D$26*P377/Constantes!$E$45</f>
        <v>0</v>
      </c>
      <c r="R377" s="170">
        <f>IF(Escenarios!$E$14&gt;0,K377*Escenarios!$E$13/Escenarios!$E$14,0)</f>
        <v>3.6066558321518563</v>
      </c>
      <c r="S377" s="170">
        <f>IF(Escenarios!$E$14&gt;0,Q377*Escenarios!$E$13/Escenarios!$E$14,0)</f>
        <v>0</v>
      </c>
      <c r="T377" s="170">
        <f>IF(Escenarios!$E$14&gt;0,Observaciones!$I376,0)</f>
        <v>0</v>
      </c>
      <c r="U377" s="170">
        <f>IF(Escenarios!$E$14&gt;0,MAX(0,Constantes!$E$36/((Z376+R377+S377+T377+Observaciones!$F376)^2)+Entradas!$E$77),0)</f>
        <v>2.3146003315723811</v>
      </c>
      <c r="V377" s="146">
        <f>IF(ETo!D376&gt;0,ETo!I376*((1-Entradas!$E$81)*ETo!K376+ETo!L376),0)</f>
        <v>3.9749131088516454</v>
      </c>
      <c r="W377" s="170">
        <f>IF(Escenarios!$E$14&gt;0,MIN(V377*1,0.8*(Z376+R377+S377+T377+Observaciones!$F376-U377-Constantes!$E$35)),0)</f>
        <v>3.9749131088516454</v>
      </c>
      <c r="X377" s="170">
        <f>IF(Escenarios!$E$14&gt;0,Observaciones!$J376,0)</f>
        <v>0</v>
      </c>
      <c r="Y377" s="170">
        <f>IF(Escenarios!$E$14&gt;0,MAX(0,Z376+R377+S377+T377+Observaciones!$F376-U377-W377-X377-Constantes!$E$33),0)</f>
        <v>0</v>
      </c>
      <c r="Z377" s="170">
        <f>Z376+R377+S377+T377+Observaciones!$F376-U377-W377-Y377</f>
        <v>116.1000958706212</v>
      </c>
      <c r="AA377" s="170">
        <f>IF(Escenarios!$E$14&gt;0,(Escenarios!$E$13*L377+Escenarios!$E$14*W377)/(Escenarios!$E$16),L377)</f>
        <v>2.3637325900522006</v>
      </c>
      <c r="AB377" s="170">
        <f>IF(Escenarios!$E$14&gt;0,(Escenarios!$E$14*Y377)/(Escenarios!$E$16),K377)</f>
        <v>0</v>
      </c>
      <c r="AC377" s="170">
        <f>IF(Escenarios!$E$14&gt;0,(Escenarios!$E$13*M377+Escenarios!$E$14*U377)/(Escenarios!$E$16),M377)</f>
        <v>11.999645620233816</v>
      </c>
      <c r="AD377" s="76">
        <f t="shared" si="71"/>
        <v>104.23475085071402</v>
      </c>
      <c r="AE377" s="76">
        <f>MAX(0,(AD377-Constantes!$D$13)*(1-EXP(-Constantes!$D$23)))</f>
        <v>0.54670446557012664</v>
      </c>
      <c r="AF377" s="76">
        <f>AB377+O377*Escenarios!$E$13/Escenarios!$E$16+AE377</f>
        <v>1.5716024082556497</v>
      </c>
      <c r="AG377" s="76">
        <f>IF(Entradas!$E$91&gt;0,IF(AF377-Escenarios!$E$38&lt;=0,0,IF(AF377-Escenarios!$E$38&gt;Escenarios!$E$37,Escenarios!$E$37,AF377-Escenarios!$E$38)),0)</f>
        <v>0</v>
      </c>
      <c r="AH377" s="76">
        <f>AG377*Entradas!$E$99</f>
        <v>0</v>
      </c>
      <c r="AI377" s="76">
        <f>IF(Entradas!$E$91&gt;0,D377*Entradas!$D$23/Escenarios!$E$16,0)</f>
        <v>0</v>
      </c>
      <c r="AJ377" s="76">
        <f>IF(Entradas!$E$91&gt;0,Entradas!$D$24*Entradas!$D$22/Escenarios!$E$16,0)</f>
        <v>0</v>
      </c>
      <c r="AK377" s="76">
        <f t="shared" si="80"/>
        <v>2.3637325900522006</v>
      </c>
      <c r="AL377" s="76">
        <f t="shared" si="81"/>
        <v>0</v>
      </c>
      <c r="AM377" s="76">
        <f t="shared" si="72"/>
        <v>0</v>
      </c>
      <c r="AN377" s="76">
        <f>MAX(0,O377*Escenarios!$E$13/Escenarios!$E$16-AM377)</f>
        <v>1.0248979426855229</v>
      </c>
      <c r="AO377" s="76">
        <f>AM377+AN377-O377*Escenarios!$E$13/Escenarios!$E$16</f>
        <v>0</v>
      </c>
      <c r="AP377" s="76">
        <f t="shared" si="70"/>
        <v>0.54670446557012664</v>
      </c>
      <c r="AQ377" s="76">
        <f t="shared" si="73"/>
        <v>0</v>
      </c>
      <c r="AR377" s="76">
        <f t="shared" si="74"/>
        <v>1.5716024082556497</v>
      </c>
      <c r="AS377" s="76">
        <f t="shared" si="75"/>
        <v>0</v>
      </c>
      <c r="AT377" s="76">
        <f t="shared" si="76"/>
        <v>11.999645620233816</v>
      </c>
      <c r="AU377" s="76">
        <f t="shared" si="77"/>
        <v>48.75</v>
      </c>
      <c r="AV377" s="76">
        <f>MAX(0,(AU377-Constantes!$D$13)*(1-EXP(-Constantes!$D$24)))</f>
        <v>0</v>
      </c>
      <c r="AW377" s="170">
        <f>AW376+(Entradas!$E$112*AT377-AX376)/(800*Entradas!$D$25)</f>
        <v>0</v>
      </c>
      <c r="AX377" s="170">
        <f>8000*Entradas!$D$26*AW377/Constantes!$E$45</f>
        <v>0</v>
      </c>
      <c r="AY377" s="170">
        <f>IF(Escenarios!$E$17&gt;0,10*Escenarios!$E$16*AL377,0)</f>
        <v>0</v>
      </c>
      <c r="AZ377" s="170">
        <f>IF(Escenarios!$E$17&gt;0,10*Escenarios!$E$16*AX377,0)</f>
        <v>0</v>
      </c>
      <c r="BA377" s="170">
        <f>IF(Escenarios!$E$17&gt;0,0.001*Observaciones!$F376*Escenarios!$E$17,0)</f>
        <v>342</v>
      </c>
      <c r="BB377" s="170">
        <f>IF(Escenarios!$E$17&gt;0,Observaciones!$K376,0)</f>
        <v>0</v>
      </c>
      <c r="BC377" s="170">
        <f>IF(Escenarios!$E$17&gt;0,MIN(0.0005*ETo!$M376*Escenarios!$E$17*(BG376/Constantes!$E$40)^(2/3),BG376+AY377+AZ377+BA377+BB377),0)</f>
        <v>26.357675946934133</v>
      </c>
      <c r="BD377" s="170">
        <f>IF(Escenarios!$E$17&gt;0,MIN(Constantes!$E$39*(BG376/Constantes!$E$40)^(2/3),BG376+AY377+AZ377+BA377+BB377-BC377),0)</f>
        <v>42.689103610911545</v>
      </c>
      <c r="BE377" s="170">
        <f>IF(Escenarios!$E$17&gt;0,MIN(Entradas!$E$113,BG376+AY377+AZ377+BA377+BB377-BC377-BD377),0)</f>
        <v>1</v>
      </c>
      <c r="BF377" s="170">
        <f>IF(Escenarios!$E$17&gt;0,MAX(0,BG376+AY377+AZ377+BA377+BB377-BC377-BD377-BE377-Constantes!$E$40),0)</f>
        <v>0</v>
      </c>
      <c r="BG377" s="170">
        <f t="shared" si="82"/>
        <v>2870.6123360901538</v>
      </c>
      <c r="BH377" s="170">
        <f>(Escenarios!$E$16*AK377+0.1*BC377)/(Escenarios!$E$19)</f>
        <v>2.3554322028085064</v>
      </c>
      <c r="BI377" s="170">
        <f>IF(Escenarios!$E$17&gt;0,BF377/10/Escenarios!$E$19,AL377)</f>
        <v>0</v>
      </c>
      <c r="BJ377" s="170">
        <f>(Escenarios!$E$16*AT377+0.1*BD377)/(Escenarios!$E$19)</f>
        <v>11.921350458014068</v>
      </c>
      <c r="BK377" s="76">
        <f>BK376+(0.1*BD377)/(Escenarios!$E$19)-BL376</f>
        <v>49.660853234904252</v>
      </c>
      <c r="BL377" s="76">
        <f>MAX(0,(BK377-Constantes!$D$13)*(1-EXP(-Constantes!$D$23)))</f>
        <v>8.9748538718497604E-3</v>
      </c>
      <c r="BM377" s="76">
        <f t="shared" si="78"/>
        <v>0.55567931944197635</v>
      </c>
      <c r="BN377" s="76">
        <f t="shared" si="83"/>
        <v>1.5805772621274994</v>
      </c>
      <c r="BO377" s="76">
        <f>0.0526*BI377*Observaciones!$F376^1.218</f>
        <v>0</v>
      </c>
      <c r="BP377" s="76">
        <f>BO377*Constantes!$E$51</f>
        <v>0</v>
      </c>
      <c r="BQ377" s="76">
        <f t="shared" si="79"/>
        <v>0</v>
      </c>
      <c r="BR377" s="40"/>
    </row>
    <row r="378" spans="1:70">
      <c r="A378" s="147"/>
      <c r="B378" s="39"/>
      <c r="C378" s="75">
        <v>372</v>
      </c>
      <c r="D378" s="146">
        <f>ETo!$I377*((1-Constantes!$E$19)*ETo!$K377+ETo!$L377)</f>
        <v>4.3814598030263285</v>
      </c>
      <c r="E378" s="76">
        <f>MIN(D378*Constantes!$E$17,0.8*(N377+Observaciones!$F377-F378-M378-Constantes!$D$14))</f>
        <v>2.1421496468424146</v>
      </c>
      <c r="F378" s="76">
        <f>IF(Observaciones!$F377&gt;0.05*Constantes!$E$18,((Observaciones!$F377-0.05*Constantes!$E$18)^2)/(Observaciones!$F377+0.95*Constantes!$E$18),0)</f>
        <v>0</v>
      </c>
      <c r="G378" s="76">
        <f>IF(Escenarios!$E$11&gt;0,(F378*Escenarios!$E$16*10000)/1000,0)</f>
        <v>0</v>
      </c>
      <c r="H378" s="76">
        <f>IF(Escenarios!$E$11&gt;0,(Observaciones!$F377*Constantes!$E$29)/1000,0)</f>
        <v>7</v>
      </c>
      <c r="I378" s="76">
        <f>IF(Escenarios!$E$11&gt;0,(D378*Constantes!$E$29)/1000,0)</f>
        <v>43.814598030263291</v>
      </c>
      <c r="J378" s="76">
        <f>IF(Escenarios!$E$11&gt;0,MAX(0,G378+H378-I378),0)</f>
        <v>0</v>
      </c>
      <c r="K378" s="76">
        <f>IF(Escenarios!$E$11&gt;0,IF(J378&gt;Constantes!$E$30,1000*((J378-Constantes!$E$30)/(Escenarios!$E$16*10000)),0),F378)</f>
        <v>0</v>
      </c>
      <c r="L378" s="76">
        <f>IF(Escenarios!$E$11&gt;0,I378*1000/Escenarios!$E$16/10000+E378,E378)</f>
        <v>2.1596754860545198</v>
      </c>
      <c r="M378" s="76">
        <f>MAX(0,N377+Observaciones!$F377-K378-Constantes!$D$13)</f>
        <v>0</v>
      </c>
      <c r="N378" s="76">
        <f>N377+Observaciones!$F377-K378-L378-M378-O377</f>
        <v>42.816250169999272</v>
      </c>
      <c r="O378" s="76">
        <f>MAX(0,(N378-Constantes!$D$14)*(1-EXP(-Constantes!$D$22)))</f>
        <v>1.0752623628668918</v>
      </c>
      <c r="P378" s="170">
        <f>P377+(Entradas!$E$83*M378-Q377)/(800*Entradas!$D$25)</f>
        <v>0</v>
      </c>
      <c r="Q378" s="170">
        <f>8000*Entradas!$D$26*P378/Constantes!$E$45</f>
        <v>0</v>
      </c>
      <c r="R378" s="170">
        <f>IF(Escenarios!$E$14&gt;0,K378*Escenarios!$E$13/Escenarios!$E$14,0)</f>
        <v>0</v>
      </c>
      <c r="S378" s="170">
        <f>IF(Escenarios!$E$14&gt;0,Q378*Escenarios!$E$13/Escenarios!$E$14,0)</f>
        <v>0</v>
      </c>
      <c r="T378" s="170">
        <f>IF(Escenarios!$E$14&gt;0,Observaciones!$I377,0)</f>
        <v>0</v>
      </c>
      <c r="U378" s="170">
        <f>IF(Escenarios!$E$14&gt;0,MAX(0,Constantes!$E$36/((Z377+R378+S378+T378+Observaciones!$F377)^2)+Entradas!$E$77),0)</f>
        <v>2.2474305432307089</v>
      </c>
      <c r="V378" s="146">
        <f>IF(ETo!D377&gt;0,ETo!I377*((1-Entradas!$E$81)*ETo!K377+ETo!L377),0)</f>
        <v>4.0042649617514998</v>
      </c>
      <c r="W378" s="170">
        <f>IF(Escenarios!$E$14&gt;0,MIN(V378*1,0.8*(Z377+R378+S378+T378+Observaciones!$F377-U378-Constantes!$E$35)),0)</f>
        <v>4.0042649617514998</v>
      </c>
      <c r="X378" s="170">
        <f>IF(Escenarios!$E$14&gt;0,Observaciones!$J377,0)</f>
        <v>0</v>
      </c>
      <c r="Y378" s="170">
        <f>IF(Escenarios!$E$14&gt;0,MAX(0,Z377+R378+S378+T378+Observaciones!$F377-U378-W378-X378-Constantes!$E$33),0)</f>
        <v>0</v>
      </c>
      <c r="Z378" s="170">
        <f>Z377+R378+S378+T378+Observaciones!$F377-U378-W378-Y378</f>
        <v>110.548400365639</v>
      </c>
      <c r="AA378" s="170">
        <f>IF(Escenarios!$E$14&gt;0,(Escenarios!$E$13*L378+Escenarios!$E$14*W378)/(Escenarios!$E$16),L378)</f>
        <v>2.3810262231381576</v>
      </c>
      <c r="AB378" s="170">
        <f>IF(Escenarios!$E$14&gt;0,(Escenarios!$E$14*Y378)/(Escenarios!$E$16),K378)</f>
        <v>0</v>
      </c>
      <c r="AC378" s="170">
        <f>IF(Escenarios!$E$14&gt;0,(Escenarios!$E$13*M378+Escenarios!$E$14*U378)/(Escenarios!$E$16),M378)</f>
        <v>0.26969166518768511</v>
      </c>
      <c r="AD378" s="76">
        <f t="shared" si="71"/>
        <v>103.95773805033157</v>
      </c>
      <c r="AE378" s="76">
        <f>MAX(0,(AD378-Constantes!$D$13)*(1-EXP(-Constantes!$D$23)))</f>
        <v>0.54397499246864967</v>
      </c>
      <c r="AF378" s="76">
        <f>AB378+O378*Escenarios!$E$13/Escenarios!$E$16+AE378</f>
        <v>1.4902058717915145</v>
      </c>
      <c r="AG378" s="76">
        <f>IF(Entradas!$E$91&gt;0,IF(AF378-Escenarios!$E$38&lt;=0,0,IF(AF378-Escenarios!$E$38&gt;Escenarios!$E$37,Escenarios!$E$37,AF378-Escenarios!$E$38)),0)</f>
        <v>0</v>
      </c>
      <c r="AH378" s="76">
        <f>AG378*Entradas!$E$99</f>
        <v>0</v>
      </c>
      <c r="AI378" s="76">
        <f>IF(Entradas!$E$91&gt;0,D378*Entradas!$D$23/Escenarios!$E$16,0)</f>
        <v>0</v>
      </c>
      <c r="AJ378" s="76">
        <f>IF(Entradas!$E$91&gt;0,Entradas!$D$24*Entradas!$D$22/Escenarios!$E$16,0)</f>
        <v>0</v>
      </c>
      <c r="AK378" s="76">
        <f t="shared" si="80"/>
        <v>2.3810262231381576</v>
      </c>
      <c r="AL378" s="76">
        <f t="shared" si="81"/>
        <v>0</v>
      </c>
      <c r="AM378" s="76">
        <f t="shared" si="72"/>
        <v>0</v>
      </c>
      <c r="AN378" s="76">
        <f>MAX(0,O378*Escenarios!$E$13/Escenarios!$E$16-AM378)</f>
        <v>0.94623087932286476</v>
      </c>
      <c r="AO378" s="76">
        <f>AM378+AN378-O378*Escenarios!$E$13/Escenarios!$E$16</f>
        <v>0</v>
      </c>
      <c r="AP378" s="76">
        <f t="shared" si="70"/>
        <v>0.54397499246864967</v>
      </c>
      <c r="AQ378" s="76">
        <f t="shared" si="73"/>
        <v>0</v>
      </c>
      <c r="AR378" s="76">
        <f t="shared" si="74"/>
        <v>1.4902058717915145</v>
      </c>
      <c r="AS378" s="76">
        <f t="shared" si="75"/>
        <v>0</v>
      </c>
      <c r="AT378" s="76">
        <f t="shared" si="76"/>
        <v>0.26969166518768511</v>
      </c>
      <c r="AU378" s="76">
        <f t="shared" si="77"/>
        <v>48.75</v>
      </c>
      <c r="AV378" s="76">
        <f>MAX(0,(AU378-Constantes!$D$13)*(1-EXP(-Constantes!$D$24)))</f>
        <v>0</v>
      </c>
      <c r="AW378" s="170">
        <f>AW377+(Entradas!$E$112*AT378-AX377)/(800*Entradas!$D$25)</f>
        <v>0</v>
      </c>
      <c r="AX378" s="170">
        <f>8000*Entradas!$D$26*AW378/Constantes!$E$45</f>
        <v>0</v>
      </c>
      <c r="AY378" s="170">
        <f>IF(Escenarios!$E$17&gt;0,10*Escenarios!$E$16*AL378,0)</f>
        <v>0</v>
      </c>
      <c r="AZ378" s="170">
        <f>IF(Escenarios!$E$17&gt;0,10*Escenarios!$E$16*AX378,0)</f>
        <v>0</v>
      </c>
      <c r="BA378" s="170">
        <f>IF(Escenarios!$E$17&gt;0,0.001*Observaciones!$F377*Escenarios!$E$17,0)</f>
        <v>14</v>
      </c>
      <c r="BB378" s="170">
        <f>IF(Escenarios!$E$17&gt;0,Observaciones!$K377,0)</f>
        <v>5.5224609817910317E-2</v>
      </c>
      <c r="BC378" s="170">
        <f>IF(Escenarios!$E$17&gt;0,MIN(0.0005*ETo!$M377*Escenarios!$E$17*(BG377/Constantes!$E$40)^(2/3),BG377+AY378+AZ378+BA378+BB378),0)</f>
        <v>28.368463827169052</v>
      </c>
      <c r="BD378" s="170">
        <f>IF(Escenarios!$E$17&gt;0,MIN(Constantes!$E$39*(BG377/Constantes!$E$40)^(2/3),BG377+AY378+AZ378+BA378+BB378-BC378),0)</f>
        <v>45.617749662793194</v>
      </c>
      <c r="BE378" s="170">
        <f>IF(Escenarios!$E$17&gt;0,MIN(Entradas!$E$113,BG377+AY378+AZ378+BA378+BB378-BC378-BD378),0)</f>
        <v>1</v>
      </c>
      <c r="BF378" s="170">
        <f>IF(Escenarios!$E$17&gt;0,MAX(0,BG377+AY378+AZ378+BA378+BB378-BC378-BD378-BE378-Constantes!$E$40),0)</f>
        <v>0</v>
      </c>
      <c r="BG378" s="170">
        <f t="shared" si="82"/>
        <v>2809.6813472100093</v>
      </c>
      <c r="BH378" s="170">
        <f>(Escenarios!$E$16*AK378+0.1*BC378)/(Escenarios!$E$19)</f>
        <v>2.3733865165367312</v>
      </c>
      <c r="BI378" s="170">
        <f>IF(Escenarios!$E$17&gt;0,BF378/10/Escenarios!$E$19,AL378)</f>
        <v>0</v>
      </c>
      <c r="BJ378" s="170">
        <f>(Escenarios!$E$16*AT378+0.1*BD378)/(Escenarios!$E$19)</f>
        <v>0.28565353675873251</v>
      </c>
      <c r="BK378" s="76">
        <f>BK377+(0.1*BD378)/(Escenarios!$E$19)-BL377</f>
        <v>49.669980662644626</v>
      </c>
      <c r="BL378" s="76">
        <f>MAX(0,(BK378-Constantes!$D$13)*(1-EXP(-Constantes!$D$23)))</f>
        <v>9.0647885913595801E-3</v>
      </c>
      <c r="BM378" s="76">
        <f t="shared" si="78"/>
        <v>0.55303978106000928</v>
      </c>
      <c r="BN378" s="76">
        <f t="shared" si="83"/>
        <v>1.499270660382874</v>
      </c>
      <c r="BO378" s="76">
        <f>0.0526*BI378*Observaciones!$F377^1.218</f>
        <v>0</v>
      </c>
      <c r="BP378" s="76">
        <f>BO378*Constantes!$E$51</f>
        <v>0</v>
      </c>
      <c r="BQ378" s="76">
        <f t="shared" si="79"/>
        <v>0</v>
      </c>
      <c r="BR378" s="40"/>
    </row>
    <row r="379" spans="1:70">
      <c r="A379" s="147"/>
      <c r="B379" s="39"/>
      <c r="C379" s="75">
        <v>373</v>
      </c>
      <c r="D379" s="146">
        <f>ETo!$I378*((1-Constantes!$E$19)*ETo!$K378+ETo!$L378)</f>
        <v>4.4177191193862768</v>
      </c>
      <c r="E379" s="76">
        <f>MIN(D379*Constantes!$E$17,0.8*(N378+Observaciones!$F378-F379-M379-Constantes!$D$14))</f>
        <v>2.1598772730736449</v>
      </c>
      <c r="F379" s="76">
        <f>IF(Observaciones!$F378&gt;0.05*Constantes!$E$18,((Observaciones!$F378-0.05*Constantes!$E$18)^2)/(Observaciones!$F378+0.95*Constantes!$E$18),0)</f>
        <v>0</v>
      </c>
      <c r="G379" s="76">
        <f>IF(Escenarios!$E$11&gt;0,(F379*Escenarios!$E$16*10000)/1000,0)</f>
        <v>0</v>
      </c>
      <c r="H379" s="76">
        <f>IF(Escenarios!$E$11&gt;0,(Observaciones!$F378*Constantes!$E$29)/1000,0)</f>
        <v>0</v>
      </c>
      <c r="I379" s="76">
        <f>IF(Escenarios!$E$11&gt;0,(D379*Constantes!$E$29)/1000,0)</f>
        <v>44.177191193862768</v>
      </c>
      <c r="J379" s="76">
        <f>IF(Escenarios!$E$11&gt;0,MAX(0,G379+H379-I379),0)</f>
        <v>0</v>
      </c>
      <c r="K379" s="76">
        <f>IF(Escenarios!$E$11&gt;0,IF(J379&gt;Constantes!$E$30,1000*((J379-Constantes!$E$30)/(Escenarios!$E$16*10000)),0),F379)</f>
        <v>0</v>
      </c>
      <c r="L379" s="76">
        <f>IF(Escenarios!$E$11&gt;0,I379*1000/Escenarios!$E$16/10000+E379,E379)</f>
        <v>2.1775481495511899</v>
      </c>
      <c r="M379" s="76">
        <f>MAX(0,N378+Observaciones!$F378-K379-Constantes!$D$13)</f>
        <v>0</v>
      </c>
      <c r="N379" s="76">
        <f>N378+Observaciones!$F378-K379-L379-M379-O378</f>
        <v>39.563439657581185</v>
      </c>
      <c r="O379" s="76">
        <f>MAX(0,(N379-Constantes!$D$14)*(1-EXP(-Constantes!$D$22)))</f>
        <v>0.96445969550207766</v>
      </c>
      <c r="P379" s="170">
        <f>P378+(Entradas!$E$83*M379-Q378)/(800*Entradas!$D$25)</f>
        <v>0</v>
      </c>
      <c r="Q379" s="170">
        <f>8000*Entradas!$D$26*P379/Constantes!$E$45</f>
        <v>0</v>
      </c>
      <c r="R379" s="170">
        <f>IF(Escenarios!$E$14&gt;0,K379*Escenarios!$E$13/Escenarios!$E$14,0)</f>
        <v>0</v>
      </c>
      <c r="S379" s="170">
        <f>IF(Escenarios!$E$14&gt;0,Q379*Escenarios!$E$13/Escenarios!$E$14,0)</f>
        <v>0</v>
      </c>
      <c r="T379" s="170">
        <f>IF(Escenarios!$E$14&gt;0,Observaciones!$I378,0)</f>
        <v>0</v>
      </c>
      <c r="U379" s="170">
        <f>IF(Escenarios!$E$14&gt;0,MAX(0,Constantes!$E$36/((Z378+R379+S379+T379+Observaciones!$F378)^2)+Entradas!$E$77),0)</f>
        <v>2.1599056547605828</v>
      </c>
      <c r="V379" s="146">
        <f>IF(ETo!D378&gt;0,ETo!I378*((1-Entradas!$E$81)*ETo!K378+ETo!L378),0)</f>
        <v>4.0378137080823562</v>
      </c>
      <c r="W379" s="170">
        <f>IF(Escenarios!$E$14&gt;0,MIN(V379*1,0.8*(Z378+R379+S379+T379+Observaciones!$F378-U379-Constantes!$E$35)),0)</f>
        <v>4.0378137080823562</v>
      </c>
      <c r="X379" s="170">
        <f>IF(Escenarios!$E$14&gt;0,Observaciones!$J378,0)</f>
        <v>0</v>
      </c>
      <c r="Y379" s="170">
        <f>IF(Escenarios!$E$14&gt;0,MAX(0,Z378+R379+S379+T379+Observaciones!$F378-U379-W379-X379-Constantes!$E$33),0)</f>
        <v>0</v>
      </c>
      <c r="Z379" s="170">
        <f>Z378+R379+S379+T379+Observaciones!$F378-U379-W379-Y379</f>
        <v>104.35068100279607</v>
      </c>
      <c r="AA379" s="170">
        <f>IF(Escenarios!$E$14&gt;0,(Escenarios!$E$13*L379+Escenarios!$E$14*W379)/(Escenarios!$E$16),L379)</f>
        <v>2.40078001657493</v>
      </c>
      <c r="AB379" s="170">
        <f>IF(Escenarios!$E$14&gt;0,(Escenarios!$E$14*Y379)/(Escenarios!$E$16),K379)</f>
        <v>0</v>
      </c>
      <c r="AC379" s="170">
        <f>IF(Escenarios!$E$14&gt;0,(Escenarios!$E$13*M379+Escenarios!$E$14*U379)/(Escenarios!$E$16),M379)</f>
        <v>0.25918867857126993</v>
      </c>
      <c r="AD379" s="76">
        <f t="shared" si="71"/>
        <v>103.67295173643419</v>
      </c>
      <c r="AE379" s="76">
        <f>MAX(0,(AD379-Constantes!$D$13)*(1-EXP(-Constantes!$D$23)))</f>
        <v>0.54116892508700343</v>
      </c>
      <c r="AF379" s="76">
        <f>AB379+O379*Escenarios!$E$13/Escenarios!$E$16+AE379</f>
        <v>1.3898934571288317</v>
      </c>
      <c r="AG379" s="76">
        <f>IF(Entradas!$E$91&gt;0,IF(AF379-Escenarios!$E$38&lt;=0,0,IF(AF379-Escenarios!$E$38&gt;Escenarios!$E$37,Escenarios!$E$37,AF379-Escenarios!$E$38)),0)</f>
        <v>0</v>
      </c>
      <c r="AH379" s="76">
        <f>AG379*Entradas!$E$99</f>
        <v>0</v>
      </c>
      <c r="AI379" s="76">
        <f>IF(Entradas!$E$91&gt;0,D379*Entradas!$D$23/Escenarios!$E$16,0)</f>
        <v>0</v>
      </c>
      <c r="AJ379" s="76">
        <f>IF(Entradas!$E$91&gt;0,Entradas!$D$24*Entradas!$D$22/Escenarios!$E$16,0)</f>
        <v>0</v>
      </c>
      <c r="AK379" s="76">
        <f t="shared" si="80"/>
        <v>2.40078001657493</v>
      </c>
      <c r="AL379" s="76">
        <f t="shared" si="81"/>
        <v>0</v>
      </c>
      <c r="AM379" s="76">
        <f t="shared" si="72"/>
        <v>0</v>
      </c>
      <c r="AN379" s="76">
        <f>MAX(0,O379*Escenarios!$E$13/Escenarios!$E$16-AM379)</f>
        <v>0.84872453204182829</v>
      </c>
      <c r="AO379" s="76">
        <f>AM379+AN379-O379*Escenarios!$E$13/Escenarios!$E$16</f>
        <v>0</v>
      </c>
      <c r="AP379" s="76">
        <f t="shared" si="70"/>
        <v>0.54116892508700343</v>
      </c>
      <c r="AQ379" s="76">
        <f t="shared" si="73"/>
        <v>0</v>
      </c>
      <c r="AR379" s="76">
        <f t="shared" si="74"/>
        <v>1.3898934571288317</v>
      </c>
      <c r="AS379" s="76">
        <f t="shared" si="75"/>
        <v>0</v>
      </c>
      <c r="AT379" s="76">
        <f t="shared" si="76"/>
        <v>0.25918867857126993</v>
      </c>
      <c r="AU379" s="76">
        <f t="shared" si="77"/>
        <v>48.75</v>
      </c>
      <c r="AV379" s="76">
        <f>MAX(0,(AU379-Constantes!$D$13)*(1-EXP(-Constantes!$D$24)))</f>
        <v>0</v>
      </c>
      <c r="AW379" s="170">
        <f>AW378+(Entradas!$E$112*AT379-AX378)/(800*Entradas!$D$25)</f>
        <v>0</v>
      </c>
      <c r="AX379" s="170">
        <f>8000*Entradas!$D$26*AW379/Constantes!$E$45</f>
        <v>0</v>
      </c>
      <c r="AY379" s="170">
        <f>IF(Escenarios!$E$17&gt;0,10*Escenarios!$E$16*AL379,0)</f>
        <v>0</v>
      </c>
      <c r="AZ379" s="170">
        <f>IF(Escenarios!$E$17&gt;0,10*Escenarios!$E$16*AX379,0)</f>
        <v>0</v>
      </c>
      <c r="BA379" s="170">
        <f>IF(Escenarios!$E$17&gt;0,0.001*Observaciones!$F378*Escenarios!$E$17,0)</f>
        <v>0</v>
      </c>
      <c r="BB379" s="170">
        <f>IF(Escenarios!$E$17&gt;0,Observaciones!$K378,0)</f>
        <v>28.741965391781282</v>
      </c>
      <c r="BC379" s="170">
        <f>IF(Escenarios!$E$17&gt;0,MIN(0.0005*ETo!$M378*Escenarios!$E$17*(BG378/Constantes!$E$40)^(2/3),BG378+AY379+AZ379+BA379+BB379),0)</f>
        <v>28.193399486262479</v>
      </c>
      <c r="BD379" s="170">
        <f>IF(Escenarios!$E$17&gt;0,MIN(Constantes!$E$39*(BG378/Constantes!$E$40)^(2/3),BG378+AY379+AZ379+BA379+BB379-BC379),0)</f>
        <v>44.969929346101438</v>
      </c>
      <c r="BE379" s="170">
        <f>IF(Escenarios!$E$17&gt;0,MIN(Entradas!$E$113,BG378+AY379+AZ379+BA379+BB379-BC379-BD379),0)</f>
        <v>1</v>
      </c>
      <c r="BF379" s="170">
        <f>IF(Escenarios!$E$17&gt;0,MAX(0,BG378+AY379+AZ379+BA379+BB379-BC379-BD379-BE379-Constantes!$E$40),0)</f>
        <v>0</v>
      </c>
      <c r="BG379" s="170">
        <f t="shared" si="82"/>
        <v>2764.259983769427</v>
      </c>
      <c r="BH379" s="170">
        <f>(Escenarios!$E$16*AK379+0.1*BC379)/(Escenarios!$E$19)</f>
        <v>2.3929140638585666</v>
      </c>
      <c r="BI379" s="170">
        <f>IF(Escenarios!$E$17&gt;0,BF379/10/Escenarios!$E$19,AL379)</f>
        <v>0</v>
      </c>
      <c r="BJ379" s="170">
        <f>(Escenarios!$E$16*AT379+0.1*BD379)/(Escenarios!$E$19)</f>
        <v>0.27497683562471281</v>
      </c>
      <c r="BK379" s="76">
        <f>BK378+(0.1*BD379)/(Escenarios!$E$19)-BL378</f>
        <v>49.678761084111244</v>
      </c>
      <c r="BL379" s="76">
        <f>MAX(0,(BK379-Constantes!$D$13)*(1-EXP(-Constantes!$D$23)))</f>
        <v>9.1513041754036246E-3</v>
      </c>
      <c r="BM379" s="76">
        <f t="shared" si="78"/>
        <v>0.55032022926240709</v>
      </c>
      <c r="BN379" s="76">
        <f t="shared" si="83"/>
        <v>1.3990447613042354</v>
      </c>
      <c r="BO379" s="76">
        <f>0.0526*BI379*Observaciones!$F378^1.218</f>
        <v>0</v>
      </c>
      <c r="BP379" s="76">
        <f>BO379*Constantes!$E$51</f>
        <v>0</v>
      </c>
      <c r="BQ379" s="76">
        <f t="shared" si="79"/>
        <v>0</v>
      </c>
      <c r="BR379" s="40"/>
    </row>
    <row r="380" spans="1:70">
      <c r="A380" s="147"/>
      <c r="B380" s="39"/>
      <c r="C380" s="75">
        <v>374</v>
      </c>
      <c r="D380" s="146">
        <f>ETo!$I379*((1-Constantes!$E$19)*ETo!$K379+ETo!$L379)</f>
        <v>4.4085425348070242</v>
      </c>
      <c r="E380" s="76">
        <f>MIN(D380*Constantes!$E$17,0.8*(N379+Observaciones!$F379-F380-M380-Constantes!$D$14))</f>
        <v>2.1553907278810844</v>
      </c>
      <c r="F380" s="76">
        <f>IF(Observaciones!$F379&gt;0.05*Constantes!$E$18,((Observaciones!$F379-0.05*Constantes!$E$18)^2)/(Observaciones!$F379+0.95*Constantes!$E$18),0)</f>
        <v>0</v>
      </c>
      <c r="G380" s="76">
        <f>IF(Escenarios!$E$11&gt;0,(F380*Escenarios!$E$16*10000)/1000,0)</f>
        <v>0</v>
      </c>
      <c r="H380" s="76">
        <f>IF(Escenarios!$E$11&gt;0,(Observaciones!$F379*Constantes!$E$29)/1000,0)</f>
        <v>0</v>
      </c>
      <c r="I380" s="76">
        <f>IF(Escenarios!$E$11&gt;0,(D380*Constantes!$E$29)/1000,0)</f>
        <v>44.085425348070238</v>
      </c>
      <c r="J380" s="76">
        <f>IF(Escenarios!$E$11&gt;0,MAX(0,G380+H380-I380),0)</f>
        <v>0</v>
      </c>
      <c r="K380" s="76">
        <f>IF(Escenarios!$E$11&gt;0,IF(J380&gt;Constantes!$E$30,1000*((J380-Constantes!$E$30)/(Escenarios!$E$16*10000)),0),F380)</f>
        <v>0</v>
      </c>
      <c r="L380" s="76">
        <f>IF(Escenarios!$E$11&gt;0,I380*1000/Escenarios!$E$16/10000+E380,E380)</f>
        <v>2.1730248980203126</v>
      </c>
      <c r="M380" s="76">
        <f>MAX(0,N379+Observaciones!$F379-K380-Constantes!$D$13)</f>
        <v>0</v>
      </c>
      <c r="N380" s="76">
        <f>N379+Observaciones!$F379-K380-L380-M380-O379</f>
        <v>36.42595506405879</v>
      </c>
      <c r="O380" s="76">
        <f>MAX(0,(N380-Constantes!$D$14)*(1-EXP(-Constantes!$D$22)))</f>
        <v>0.85758545230496641</v>
      </c>
      <c r="P380" s="170">
        <f>P379+(Entradas!$E$83*M380-Q379)/(800*Entradas!$D$25)</f>
        <v>0</v>
      </c>
      <c r="Q380" s="170">
        <f>8000*Entradas!$D$26*P380/Constantes!$E$45</f>
        <v>0</v>
      </c>
      <c r="R380" s="170">
        <f>IF(Escenarios!$E$14&gt;0,K380*Escenarios!$E$13/Escenarios!$E$14,0)</f>
        <v>0</v>
      </c>
      <c r="S380" s="170">
        <f>IF(Escenarios!$E$14&gt;0,Q380*Escenarios!$E$13/Escenarios!$E$14,0)</f>
        <v>0</v>
      </c>
      <c r="T380" s="170">
        <f>IF(Escenarios!$E$14&gt;0,Observaciones!$I379,0)</f>
        <v>0</v>
      </c>
      <c r="U380" s="170">
        <f>IF(Escenarios!$E$14&gt;0,MAX(0,Constantes!$E$36/((Z379+R380+S380+T380+Observaciones!$F379)^2)+Entradas!$E$77),0)</f>
        <v>2.0571504208245615</v>
      </c>
      <c r="V380" s="146">
        <f>IF(ETo!D379&gt;0,ETo!I379*((1-Entradas!$E$81)*ETo!K379+ETo!L379),0)</f>
        <v>4.0293191541155231</v>
      </c>
      <c r="W380" s="170">
        <f>IF(Escenarios!$E$14&gt;0,MIN(V380*1,0.8*(Z379+R380+S380+T380+Observaciones!$F379-U380-Constantes!$E$35)),0)</f>
        <v>4.0293191541155231</v>
      </c>
      <c r="X380" s="170">
        <f>IF(Escenarios!$E$14&gt;0,Observaciones!$J379,0)</f>
        <v>0</v>
      </c>
      <c r="Y380" s="170">
        <f>IF(Escenarios!$E$14&gt;0,MAX(0,Z379+R380+S380+T380+Observaciones!$F379-U380-W380-X380-Constantes!$E$33),0)</f>
        <v>0</v>
      </c>
      <c r="Z380" s="170">
        <f>Z379+R380+S380+T380+Observaciones!$F379-U380-W380-Y380</f>
        <v>98.264211427855983</v>
      </c>
      <c r="AA380" s="170">
        <f>IF(Escenarios!$E$14&gt;0,(Escenarios!$E$13*L380+Escenarios!$E$14*W380)/(Escenarios!$E$16),L380)</f>
        <v>2.3957802087517379</v>
      </c>
      <c r="AB380" s="170">
        <f>IF(Escenarios!$E$14&gt;0,(Escenarios!$E$14*Y380)/(Escenarios!$E$16),K380)</f>
        <v>0</v>
      </c>
      <c r="AC380" s="170">
        <f>IF(Escenarios!$E$14&gt;0,(Escenarios!$E$13*M380+Escenarios!$E$14*U380)/(Escenarios!$E$16),M380)</f>
        <v>0.24685805049894735</v>
      </c>
      <c r="AD380" s="76">
        <f t="shared" si="71"/>
        <v>103.37864086184612</v>
      </c>
      <c r="AE380" s="76">
        <f>MAX(0,(AD380-Constantes!$D$13)*(1-EXP(-Constantes!$D$23)))</f>
        <v>0.53826900994029836</v>
      </c>
      <c r="AF380" s="76">
        <f>AB380+O380*Escenarios!$E$13/Escenarios!$E$16+AE380</f>
        <v>1.2929442079686688</v>
      </c>
      <c r="AG380" s="76">
        <f>IF(Entradas!$E$91&gt;0,IF(AF380-Escenarios!$E$38&lt;=0,0,IF(AF380-Escenarios!$E$38&gt;Escenarios!$E$37,Escenarios!$E$37,AF380-Escenarios!$E$38)),0)</f>
        <v>0</v>
      </c>
      <c r="AH380" s="76">
        <f>AG380*Entradas!$E$99</f>
        <v>0</v>
      </c>
      <c r="AI380" s="76">
        <f>IF(Entradas!$E$91&gt;0,D380*Entradas!$D$23/Escenarios!$E$16,0)</f>
        <v>0</v>
      </c>
      <c r="AJ380" s="76">
        <f>IF(Entradas!$E$91&gt;0,Entradas!$D$24*Entradas!$D$22/Escenarios!$E$16,0)</f>
        <v>0</v>
      </c>
      <c r="AK380" s="76">
        <f t="shared" si="80"/>
        <v>2.3957802087517379</v>
      </c>
      <c r="AL380" s="76">
        <f t="shared" si="81"/>
        <v>0</v>
      </c>
      <c r="AM380" s="76">
        <f t="shared" si="72"/>
        <v>0</v>
      </c>
      <c r="AN380" s="76">
        <f>MAX(0,O380*Escenarios!$E$13/Escenarios!$E$16-AM380)</f>
        <v>0.75467519802837046</v>
      </c>
      <c r="AO380" s="76">
        <f>AM380+AN380-O380*Escenarios!$E$13/Escenarios!$E$16</f>
        <v>0</v>
      </c>
      <c r="AP380" s="76">
        <f t="shared" si="70"/>
        <v>0.53826900994029836</v>
      </c>
      <c r="AQ380" s="76">
        <f t="shared" si="73"/>
        <v>0</v>
      </c>
      <c r="AR380" s="76">
        <f t="shared" si="74"/>
        <v>1.2929442079686688</v>
      </c>
      <c r="AS380" s="76">
        <f t="shared" si="75"/>
        <v>0</v>
      </c>
      <c r="AT380" s="76">
        <f t="shared" si="76"/>
        <v>0.24685805049894735</v>
      </c>
      <c r="AU380" s="76">
        <f t="shared" si="77"/>
        <v>48.75</v>
      </c>
      <c r="AV380" s="76">
        <f>MAX(0,(AU380-Constantes!$D$13)*(1-EXP(-Constantes!$D$24)))</f>
        <v>0</v>
      </c>
      <c r="AW380" s="170">
        <f>AW379+(Entradas!$E$112*AT380-AX379)/(800*Entradas!$D$25)</f>
        <v>0</v>
      </c>
      <c r="AX380" s="170">
        <f>8000*Entradas!$D$26*AW380/Constantes!$E$45</f>
        <v>0</v>
      </c>
      <c r="AY380" s="170">
        <f>IF(Escenarios!$E$17&gt;0,10*Escenarios!$E$16*AL380,0)</f>
        <v>0</v>
      </c>
      <c r="AZ380" s="170">
        <f>IF(Escenarios!$E$17&gt;0,10*Escenarios!$E$16*AX380,0)</f>
        <v>0</v>
      </c>
      <c r="BA380" s="170">
        <f>IF(Escenarios!$E$17&gt;0,0.001*Observaciones!$F379*Escenarios!$E$17,0)</f>
        <v>0</v>
      </c>
      <c r="BB380" s="170">
        <f>IF(Escenarios!$E$17&gt;0,Observaciones!$K379,0)</f>
        <v>0</v>
      </c>
      <c r="BC380" s="170">
        <f>IF(Escenarios!$E$17&gt;0,MIN(0.0005*ETo!$M379*Escenarios!$E$17*(BG379/Constantes!$E$40)^(2/3),BG379+AY380+AZ380+BA380+BB380),0)</f>
        <v>27.831730997091334</v>
      </c>
      <c r="BD380" s="170">
        <f>IF(Escenarios!$E$17&gt;0,MIN(Constantes!$E$39*(BG379/Constantes!$E$40)^(2/3),BG379+AY380+AZ380+BA380+BB380-BC380),0)</f>
        <v>44.483957543603864</v>
      </c>
      <c r="BE380" s="170">
        <f>IF(Escenarios!$E$17&gt;0,MIN(Entradas!$E$113,BG379+AY380+AZ380+BA380+BB380-BC380-BD380),0)</f>
        <v>1</v>
      </c>
      <c r="BF380" s="170">
        <f>IF(Escenarios!$E$17&gt;0,MAX(0,BG379+AY380+AZ380+BA380+BB380-BC380-BD380-BE380-Constantes!$E$40),0)</f>
        <v>0</v>
      </c>
      <c r="BG380" s="170">
        <f t="shared" si="82"/>
        <v>2690.9442952287318</v>
      </c>
      <c r="BH380" s="170">
        <f>(Escenarios!$E$16*AK380+0.1*BC380)/(Escenarios!$E$19)</f>
        <v>2.3878104178081099</v>
      </c>
      <c r="BI380" s="170">
        <f>IF(Escenarios!$E$17&gt;0,BF380/10/Escenarios!$E$19,AL380)</f>
        <v>0</v>
      </c>
      <c r="BJ380" s="170">
        <f>(Escenarios!$E$16*AT380+0.1*BD380)/(Escenarios!$E$19)</f>
        <v>0.2625512237265763</v>
      </c>
      <c r="BK380" s="76">
        <f>BK379+(0.1*BD380)/(Escenarios!$E$19)-BL379</f>
        <v>49.687262144040446</v>
      </c>
      <c r="BL380" s="76">
        <f>MAX(0,(BK380-Constantes!$D$13)*(1-EXP(-Constantes!$D$23)))</f>
        <v>9.2350671436807752E-3</v>
      </c>
      <c r="BM380" s="76">
        <f t="shared" si="78"/>
        <v>0.54750407708397919</v>
      </c>
      <c r="BN380" s="76">
        <f t="shared" si="83"/>
        <v>1.3021792751123495</v>
      </c>
      <c r="BO380" s="76">
        <f>0.0526*BI380*Observaciones!$F379^1.218</f>
        <v>0</v>
      </c>
      <c r="BP380" s="76">
        <f>BO380*Constantes!$E$51</f>
        <v>0</v>
      </c>
      <c r="BQ380" s="76">
        <f t="shared" si="79"/>
        <v>0</v>
      </c>
      <c r="BR380" s="40"/>
    </row>
    <row r="381" spans="1:70">
      <c r="A381" s="147"/>
      <c r="B381" s="39"/>
      <c r="C381" s="75">
        <v>375</v>
      </c>
      <c r="D381" s="146">
        <f>ETo!$I380*((1-Constantes!$E$19)*ETo!$K380+ETo!$L380)</f>
        <v>4.4129576288936878</v>
      </c>
      <c r="E381" s="76">
        <f>MIN(D381*Constantes!$E$17,0.8*(N380+Observaciones!$F380-F381-M381-Constantes!$D$14))</f>
        <v>2.1575493217433377</v>
      </c>
      <c r="F381" s="76">
        <f>IF(Observaciones!$F380&gt;0.05*Constantes!$E$18,((Observaciones!$F380-0.05*Constantes!$E$18)^2)/(Observaciones!$F380+0.95*Constantes!$E$18),0)</f>
        <v>0</v>
      </c>
      <c r="G381" s="76">
        <f>IF(Escenarios!$E$11&gt;0,(F381*Escenarios!$E$16*10000)/1000,0)</f>
        <v>0</v>
      </c>
      <c r="H381" s="76">
        <f>IF(Escenarios!$E$11&gt;0,(Observaciones!$F380*Constantes!$E$29)/1000,0)</f>
        <v>1</v>
      </c>
      <c r="I381" s="76">
        <f>IF(Escenarios!$E$11&gt;0,(D381*Constantes!$E$29)/1000,0)</f>
        <v>44.129576288936875</v>
      </c>
      <c r="J381" s="76">
        <f>IF(Escenarios!$E$11&gt;0,MAX(0,G381+H381-I381),0)</f>
        <v>0</v>
      </c>
      <c r="K381" s="76">
        <f>IF(Escenarios!$E$11&gt;0,IF(J381&gt;Constantes!$E$30,1000*((J381-Constantes!$E$30)/(Escenarios!$E$16*10000)),0),F381)</f>
        <v>0</v>
      </c>
      <c r="L381" s="76">
        <f>IF(Escenarios!$E$11&gt;0,I381*1000/Escenarios!$E$16/10000+E381,E381)</f>
        <v>2.1752011522589125</v>
      </c>
      <c r="M381" s="76">
        <f>MAX(0,N380+Observaciones!$F380-K381-Constantes!$D$13)</f>
        <v>0</v>
      </c>
      <c r="N381" s="76">
        <f>N380+Observaciones!$F380-K381-L381-M381-O380</f>
        <v>33.49316845949491</v>
      </c>
      <c r="O381" s="76">
        <f>MAX(0,(N381-Constantes!$D$14)*(1-EXP(-Constantes!$D$22)))</f>
        <v>0.75768397407348342</v>
      </c>
      <c r="P381" s="170">
        <f>P380+(Entradas!$E$83*M381-Q380)/(800*Entradas!$D$25)</f>
        <v>0</v>
      </c>
      <c r="Q381" s="170">
        <f>8000*Entradas!$D$26*P381/Constantes!$E$45</f>
        <v>0</v>
      </c>
      <c r="R381" s="170">
        <f>IF(Escenarios!$E$14&gt;0,K381*Escenarios!$E$13/Escenarios!$E$14,0)</f>
        <v>0</v>
      </c>
      <c r="S381" s="170">
        <f>IF(Escenarios!$E$14&gt;0,Q381*Escenarios!$E$13/Escenarios!$E$14,0)</f>
        <v>0</v>
      </c>
      <c r="T381" s="170">
        <f>IF(Escenarios!$E$14&gt;0,Observaciones!$I380,0)</f>
        <v>0</v>
      </c>
      <c r="U381" s="170">
        <f>IF(Escenarios!$E$14&gt;0,MAX(0,Constantes!$E$36/((Z380+R381+S381+T381+Observaciones!$F380)^2)+Entradas!$E$77),0)</f>
        <v>1.938894030822198</v>
      </c>
      <c r="V381" s="146">
        <f>IF(ETo!D380&gt;0,ETo!I380*((1-Entradas!$E$81)*ETo!K380+ETo!L380),0)</f>
        <v>4.0334040324854259</v>
      </c>
      <c r="W381" s="170">
        <f>IF(Escenarios!$E$14&gt;0,MIN(V381*1,0.8*(Z380+R381+S381+T381+Observaciones!$F380-U381-Constantes!$E$35)),0)</f>
        <v>4.0334040324854259</v>
      </c>
      <c r="X381" s="170">
        <f>IF(Escenarios!$E$14&gt;0,Observaciones!$J380,0)</f>
        <v>0</v>
      </c>
      <c r="Y381" s="170">
        <f>IF(Escenarios!$E$14&gt;0,MAX(0,Z380+R381+S381+T381+Observaciones!$F380-U381-W381-X381-Constantes!$E$33),0)</f>
        <v>0</v>
      </c>
      <c r="Z381" s="170">
        <f>Z380+R381+S381+T381+Observaciones!$F380-U381-W381-Y381</f>
        <v>92.391913364548358</v>
      </c>
      <c r="AA381" s="170">
        <f>IF(Escenarios!$E$14&gt;0,(Escenarios!$E$13*L381+Escenarios!$E$14*W381)/(Escenarios!$E$16),L381)</f>
        <v>2.3981854978860944</v>
      </c>
      <c r="AB381" s="170">
        <f>IF(Escenarios!$E$14&gt;0,(Escenarios!$E$14*Y381)/(Escenarios!$E$16),K381)</f>
        <v>0</v>
      </c>
      <c r="AC381" s="170">
        <f>IF(Escenarios!$E$14&gt;0,(Escenarios!$E$13*M381+Escenarios!$E$14*U381)/(Escenarios!$E$16),M381)</f>
        <v>0.23266728369866377</v>
      </c>
      <c r="AD381" s="76">
        <f t="shared" si="71"/>
        <v>103.07303913560449</v>
      </c>
      <c r="AE381" s="76">
        <f>MAX(0,(AD381-Constantes!$D$13)*(1-EXP(-Constantes!$D$23)))</f>
        <v>0.53525784334297932</v>
      </c>
      <c r="AF381" s="76">
        <f>AB381+O381*Escenarios!$E$13/Escenarios!$E$16+AE381</f>
        <v>1.2020197405276447</v>
      </c>
      <c r="AG381" s="76">
        <f>IF(Entradas!$E$91&gt;0,IF(AF381-Escenarios!$E$38&lt;=0,0,IF(AF381-Escenarios!$E$38&gt;Escenarios!$E$37,Escenarios!$E$37,AF381-Escenarios!$E$38)),0)</f>
        <v>0</v>
      </c>
      <c r="AH381" s="76">
        <f>AG381*Entradas!$E$99</f>
        <v>0</v>
      </c>
      <c r="AI381" s="76">
        <f>IF(Entradas!$E$91&gt;0,D381*Entradas!$D$23/Escenarios!$E$16,0)</f>
        <v>0</v>
      </c>
      <c r="AJ381" s="76">
        <f>IF(Entradas!$E$91&gt;0,Entradas!$D$24*Entradas!$D$22/Escenarios!$E$16,0)</f>
        <v>0</v>
      </c>
      <c r="AK381" s="76">
        <f t="shared" si="80"/>
        <v>2.3981854978860944</v>
      </c>
      <c r="AL381" s="76">
        <f t="shared" si="81"/>
        <v>0</v>
      </c>
      <c r="AM381" s="76">
        <f t="shared" si="72"/>
        <v>0</v>
      </c>
      <c r="AN381" s="76">
        <f>MAX(0,O381*Escenarios!$E$13/Escenarios!$E$16-AM381)</f>
        <v>0.66676189718466539</v>
      </c>
      <c r="AO381" s="76">
        <f>AM381+AN381-O381*Escenarios!$E$13/Escenarios!$E$16</f>
        <v>0</v>
      </c>
      <c r="AP381" s="76">
        <f t="shared" si="70"/>
        <v>0.53525784334297932</v>
      </c>
      <c r="AQ381" s="76">
        <f t="shared" si="73"/>
        <v>0</v>
      </c>
      <c r="AR381" s="76">
        <f t="shared" si="74"/>
        <v>1.2020197405276447</v>
      </c>
      <c r="AS381" s="76">
        <f t="shared" si="75"/>
        <v>0</v>
      </c>
      <c r="AT381" s="76">
        <f t="shared" si="76"/>
        <v>0.23266728369866377</v>
      </c>
      <c r="AU381" s="76">
        <f t="shared" si="77"/>
        <v>48.75</v>
      </c>
      <c r="AV381" s="76">
        <f>MAX(0,(AU381-Constantes!$D$13)*(1-EXP(-Constantes!$D$24)))</f>
        <v>0</v>
      </c>
      <c r="AW381" s="170">
        <f>AW380+(Entradas!$E$112*AT381-AX380)/(800*Entradas!$D$25)</f>
        <v>0</v>
      </c>
      <c r="AX381" s="170">
        <f>8000*Entradas!$D$26*AW381/Constantes!$E$45</f>
        <v>0</v>
      </c>
      <c r="AY381" s="170">
        <f>IF(Escenarios!$E$17&gt;0,10*Escenarios!$E$16*AL381,0)</f>
        <v>0</v>
      </c>
      <c r="AZ381" s="170">
        <f>IF(Escenarios!$E$17&gt;0,10*Escenarios!$E$16*AX381,0)</f>
        <v>0</v>
      </c>
      <c r="BA381" s="170">
        <f>IF(Escenarios!$E$17&gt;0,0.001*Observaciones!$F380*Escenarios!$E$17,0)</f>
        <v>2</v>
      </c>
      <c r="BB381" s="170">
        <f>IF(Escenarios!$E$17&gt;0,Observaciones!$K380,0)</f>
        <v>0</v>
      </c>
      <c r="BC381" s="170">
        <f>IF(Escenarios!$E$17&gt;0,MIN(0.0005*ETo!$M380*Escenarios!$E$17*(BG380/Constantes!$E$40)^(2/3),BG380+AY381+AZ381+BA381+BB381),0)</f>
        <v>27.364366153690291</v>
      </c>
      <c r="BD381" s="170">
        <f>IF(Escenarios!$E$17&gt;0,MIN(Constantes!$E$39*(BG380/Constantes!$E$40)^(2/3),BG380+AY381+AZ381+BA381+BB381-BC381),0)</f>
        <v>43.69388199436105</v>
      </c>
      <c r="BE381" s="170">
        <f>IF(Escenarios!$E$17&gt;0,MIN(Entradas!$E$113,BG380+AY381+AZ381+BA381+BB381-BC381-BD381),0)</f>
        <v>1</v>
      </c>
      <c r="BF381" s="170">
        <f>IF(Escenarios!$E$17&gt;0,MAX(0,BG380+AY381+AZ381+BA381+BB381-BC381-BD381-BE381-Constantes!$E$40),0)</f>
        <v>0</v>
      </c>
      <c r="BG381" s="170">
        <f t="shared" si="82"/>
        <v>2620.8860470806803</v>
      </c>
      <c r="BH381" s="170">
        <f>(Escenarios!$E$16*AK381+0.1*BC381)/(Escenarios!$E$19)</f>
        <v>2.3900111551067167</v>
      </c>
      <c r="BI381" s="170">
        <f>IF(Escenarios!$E$17&gt;0,BF381/10/Escenarios!$E$19,AL381)</f>
        <v>0</v>
      </c>
      <c r="BJ381" s="170">
        <f>(Escenarios!$E$16*AT381+0.1*BD381)/(Escenarios!$E$19)</f>
        <v>0.24815956001627795</v>
      </c>
      <c r="BK381" s="76">
        <f>BK380+(0.1*BD381)/(Escenarios!$E$19)-BL380</f>
        <v>49.695365918958025</v>
      </c>
      <c r="BL381" s="76">
        <f>MAX(0,(BK381-Constantes!$D$13)*(1-EXP(-Constantes!$D$23)))</f>
        <v>9.3149155681124893E-3</v>
      </c>
      <c r="BM381" s="76">
        <f t="shared" si="78"/>
        <v>0.5445727589110918</v>
      </c>
      <c r="BN381" s="76">
        <f t="shared" si="83"/>
        <v>1.2113346560957572</v>
      </c>
      <c r="BO381" s="76">
        <f>0.0526*BI381*Observaciones!$F380^1.218</f>
        <v>0</v>
      </c>
      <c r="BP381" s="76">
        <f>BO381*Constantes!$E$51</f>
        <v>0</v>
      </c>
      <c r="BQ381" s="76">
        <f t="shared" si="79"/>
        <v>0</v>
      </c>
      <c r="BR381" s="40"/>
    </row>
    <row r="382" spans="1:70">
      <c r="A382" s="147"/>
      <c r="B382" s="39"/>
      <c r="C382" s="75">
        <v>376</v>
      </c>
      <c r="D382" s="146">
        <f>ETo!$I381*((1-Constantes!$E$19)*ETo!$K381+ETo!$L381)</f>
        <v>4.3310516122240452</v>
      </c>
      <c r="E382" s="76">
        <f>MIN(D382*Constantes!$E$17,0.8*(N381+Observaciones!$F381-F382-M382-Constantes!$D$14))</f>
        <v>2.1175044616804986</v>
      </c>
      <c r="F382" s="76">
        <f>IF(Observaciones!$F381&gt;0.05*Constantes!$E$18,((Observaciones!$F381-0.05*Constantes!$E$18)^2)/(Observaciones!$F381+0.95*Constantes!$E$18),0)</f>
        <v>0</v>
      </c>
      <c r="G382" s="76">
        <f>IF(Escenarios!$E$11&gt;0,(F382*Escenarios!$E$16*10000)/1000,0)</f>
        <v>0</v>
      </c>
      <c r="H382" s="76">
        <f>IF(Escenarios!$E$11&gt;0,(Observaciones!$F381*Constantes!$E$29)/1000,0)</f>
        <v>29</v>
      </c>
      <c r="I382" s="76">
        <f>IF(Escenarios!$E$11&gt;0,(D382*Constantes!$E$29)/1000,0)</f>
        <v>43.31051612224045</v>
      </c>
      <c r="J382" s="76">
        <f>IF(Escenarios!$E$11&gt;0,MAX(0,G382+H382-I382),0)</f>
        <v>0</v>
      </c>
      <c r="K382" s="76">
        <f>IF(Escenarios!$E$11&gt;0,IF(J382&gt;Constantes!$E$30,1000*((J382-Constantes!$E$30)/(Escenarios!$E$16*10000)),0),F382)</f>
        <v>0</v>
      </c>
      <c r="L382" s="76">
        <f>IF(Escenarios!$E$11&gt;0,I382*1000/Escenarios!$E$16/10000+E382,E382)</f>
        <v>2.1348286681293946</v>
      </c>
      <c r="M382" s="76">
        <f>MAX(0,N381+Observaciones!$F381-K382-Constantes!$D$13)</f>
        <v>0</v>
      </c>
      <c r="N382" s="76">
        <f>N381+Observaciones!$F381-K382-L382-M382-O381</f>
        <v>33.500655817292028</v>
      </c>
      <c r="O382" s="76">
        <f>MAX(0,(N382-Constantes!$D$14)*(1-EXP(-Constantes!$D$22)))</f>
        <v>0.7579390209667064</v>
      </c>
      <c r="P382" s="170">
        <f>P381+(Entradas!$E$83*M382-Q381)/(800*Entradas!$D$25)</f>
        <v>0</v>
      </c>
      <c r="Q382" s="170">
        <f>8000*Entradas!$D$26*P382/Constantes!$E$45</f>
        <v>0</v>
      </c>
      <c r="R382" s="170">
        <f>IF(Escenarios!$E$14&gt;0,K382*Escenarios!$E$13/Escenarios!$E$14,0)</f>
        <v>0</v>
      </c>
      <c r="S382" s="170">
        <f>IF(Escenarios!$E$14&gt;0,Q382*Escenarios!$E$13/Escenarios!$E$14,0)</f>
        <v>0</v>
      </c>
      <c r="T382" s="170">
        <f>IF(Escenarios!$E$14&gt;0,Observaciones!$I381,0)</f>
        <v>0</v>
      </c>
      <c r="U382" s="170">
        <f>IF(Escenarios!$E$14&gt;0,MAX(0,Constantes!$E$36/((Z381+R382+S382+T382+Observaciones!$F381)^2)+Entradas!$E$77),0)</f>
        <v>1.8693689908361801</v>
      </c>
      <c r="V382" s="146">
        <f>IF(ETo!D381&gt;0,ETo!I381*((1-Entradas!$E$81)*ETo!K381+ETo!L381),0)</f>
        <v>3.9576660515773541</v>
      </c>
      <c r="W382" s="170">
        <f>IF(Escenarios!$E$14&gt;0,MIN(V382*1,0.8*(Z381+R382+S382+T382+Observaciones!$F381-U382-Constantes!$E$35)),0)</f>
        <v>3.9576660515773541</v>
      </c>
      <c r="X382" s="170">
        <f>IF(Escenarios!$E$14&gt;0,Observaciones!$J381,0)</f>
        <v>0</v>
      </c>
      <c r="Y382" s="170">
        <f>IF(Escenarios!$E$14&gt;0,MAX(0,Z381+R382+S382+T382+Observaciones!$F381-U382-W382-X382-Constantes!$E$33),0)</f>
        <v>0</v>
      </c>
      <c r="Z382" s="170">
        <f>Z381+R382+S382+T382+Observaciones!$F381-U382-W382-Y382</f>
        <v>89.464878322134837</v>
      </c>
      <c r="AA382" s="170">
        <f>IF(Escenarios!$E$14&gt;0,(Escenarios!$E$13*L382+Escenarios!$E$14*W382)/(Escenarios!$E$16),L382)</f>
        <v>2.3535691541431496</v>
      </c>
      <c r="AB382" s="170">
        <f>IF(Escenarios!$E$14&gt;0,(Escenarios!$E$14*Y382)/(Escenarios!$E$16),K382)</f>
        <v>0</v>
      </c>
      <c r="AC382" s="170">
        <f>IF(Escenarios!$E$14&gt;0,(Escenarios!$E$13*M382+Escenarios!$E$14*U382)/(Escenarios!$E$16),M382)</f>
        <v>0.22432427890034162</v>
      </c>
      <c r="AD382" s="76">
        <f t="shared" si="71"/>
        <v>102.76210557116185</v>
      </c>
      <c r="AE382" s="76">
        <f>MAX(0,(AD382-Constantes!$D$13)*(1-EXP(-Constantes!$D$23)))</f>
        <v>0.53219414087392092</v>
      </c>
      <c r="AF382" s="76">
        <f>AB382+O382*Escenarios!$E$13/Escenarios!$E$16+AE382</f>
        <v>1.1991804793246226</v>
      </c>
      <c r="AG382" s="76">
        <f>IF(Entradas!$E$91&gt;0,IF(AF382-Escenarios!$E$38&lt;=0,0,IF(AF382-Escenarios!$E$38&gt;Escenarios!$E$37,Escenarios!$E$37,AF382-Escenarios!$E$38)),0)</f>
        <v>0</v>
      </c>
      <c r="AH382" s="76">
        <f>AG382*Entradas!$E$99</f>
        <v>0</v>
      </c>
      <c r="AI382" s="76">
        <f>IF(Entradas!$E$91&gt;0,D382*Entradas!$D$23/Escenarios!$E$16,0)</f>
        <v>0</v>
      </c>
      <c r="AJ382" s="76">
        <f>IF(Entradas!$E$91&gt;0,Entradas!$D$24*Entradas!$D$22/Escenarios!$E$16,0)</f>
        <v>0</v>
      </c>
      <c r="AK382" s="76">
        <f t="shared" si="80"/>
        <v>2.3535691541431496</v>
      </c>
      <c r="AL382" s="76">
        <f t="shared" si="81"/>
        <v>0</v>
      </c>
      <c r="AM382" s="76">
        <f t="shared" si="72"/>
        <v>0</v>
      </c>
      <c r="AN382" s="76">
        <f>MAX(0,O382*Escenarios!$E$13/Escenarios!$E$16-AM382)</f>
        <v>0.66698633845070165</v>
      </c>
      <c r="AO382" s="76">
        <f>AM382+AN382-O382*Escenarios!$E$13/Escenarios!$E$16</f>
        <v>0</v>
      </c>
      <c r="AP382" s="76">
        <f t="shared" si="70"/>
        <v>0.53219414087392092</v>
      </c>
      <c r="AQ382" s="76">
        <f t="shared" si="73"/>
        <v>0</v>
      </c>
      <c r="AR382" s="76">
        <f t="shared" si="74"/>
        <v>1.1991804793246226</v>
      </c>
      <c r="AS382" s="76">
        <f t="shared" si="75"/>
        <v>0</v>
      </c>
      <c r="AT382" s="76">
        <f t="shared" si="76"/>
        <v>0.22432427890034162</v>
      </c>
      <c r="AU382" s="76">
        <f t="shared" si="77"/>
        <v>48.75</v>
      </c>
      <c r="AV382" s="76">
        <f>MAX(0,(AU382-Constantes!$D$13)*(1-EXP(-Constantes!$D$24)))</f>
        <v>0</v>
      </c>
      <c r="AW382" s="170">
        <f>AW381+(Entradas!$E$112*AT382-AX381)/(800*Entradas!$D$25)</f>
        <v>0</v>
      </c>
      <c r="AX382" s="170">
        <f>8000*Entradas!$D$26*AW382/Constantes!$E$45</f>
        <v>0</v>
      </c>
      <c r="AY382" s="170">
        <f>IF(Escenarios!$E$17&gt;0,10*Escenarios!$E$16*AL382,0)</f>
        <v>0</v>
      </c>
      <c r="AZ382" s="170">
        <f>IF(Escenarios!$E$17&gt;0,10*Escenarios!$E$16*AX382,0)</f>
        <v>0</v>
      </c>
      <c r="BA382" s="170">
        <f>IF(Escenarios!$E$17&gt;0,0.001*Observaciones!$F381*Escenarios!$E$17,0)</f>
        <v>57.999999999999993</v>
      </c>
      <c r="BB382" s="170">
        <f>IF(Escenarios!$E$17&gt;0,Observaciones!$K381,0)</f>
        <v>506.44223431713607</v>
      </c>
      <c r="BC382" s="170">
        <f>IF(Escenarios!$E$17&gt;0,MIN(0.0005*ETo!$M381*Escenarios!$E$17*(BG381/Constantes!$E$40)^(2/3),BG381+AY382+AZ382+BA382+BB382),0)</f>
        <v>26.395694479125545</v>
      </c>
      <c r="BD382" s="170">
        <f>IF(Escenarios!$E$17&gt;0,MIN(Constantes!$E$39*(BG381/Constantes!$E$40)^(2/3),BG381+AY382+AZ382+BA382+BB382-BC382),0)</f>
        <v>42.932177759046688</v>
      </c>
      <c r="BE382" s="170">
        <f>IF(Escenarios!$E$17&gt;0,MIN(Entradas!$E$113,BG381+AY382+AZ382+BA382+BB382-BC382-BD382),0)</f>
        <v>1</v>
      </c>
      <c r="BF382" s="170">
        <f>IF(Escenarios!$E$17&gt;0,MAX(0,BG381+AY382+AZ382+BA382+BB382-BC382-BD382-BE382-Constantes!$E$40),0)</f>
        <v>0</v>
      </c>
      <c r="BG382" s="170">
        <f t="shared" si="82"/>
        <v>3115.0004091596438</v>
      </c>
      <c r="BH382" s="170">
        <f>(Escenarios!$E$16*AK382+0.1*BC382)/(Escenarios!$E$19)</f>
        <v>2.3453645158083334</v>
      </c>
      <c r="BI382" s="170">
        <f>IF(Escenarios!$E$17&gt;0,BF382/10/Escenarios!$E$19,AL382)</f>
        <v>0</v>
      </c>
      <c r="BJ382" s="170">
        <f>(Escenarios!$E$16*AT382+0.1*BD382)/(Escenarios!$E$19)</f>
        <v>0.23958050595630984</v>
      </c>
      <c r="BK382" s="76">
        <f>BK381+(0.1*BD382)/(Escenarios!$E$19)-BL381</f>
        <v>49.703087581865724</v>
      </c>
      <c r="BL382" s="76">
        <f>MAX(0,(BK382-Constantes!$D$13)*(1-EXP(-Constantes!$D$23)))</f>
        <v>9.3909989518988594E-3</v>
      </c>
      <c r="BM382" s="76">
        <f t="shared" si="78"/>
        <v>0.54158513982581979</v>
      </c>
      <c r="BN382" s="76">
        <f t="shared" si="83"/>
        <v>1.2085714782765213</v>
      </c>
      <c r="BO382" s="76">
        <f>0.0526*BI382*Observaciones!$F381^1.218</f>
        <v>0</v>
      </c>
      <c r="BP382" s="76">
        <f>BO382*Constantes!$E$51</f>
        <v>0</v>
      </c>
      <c r="BQ382" s="76">
        <f t="shared" si="79"/>
        <v>0</v>
      </c>
      <c r="BR382" s="40"/>
    </row>
    <row r="383" spans="1:70">
      <c r="A383" s="147"/>
      <c r="B383" s="39"/>
      <c r="C383" s="75">
        <v>377</v>
      </c>
      <c r="D383" s="146">
        <f>ETo!$I382*((1-Constantes!$E$19)*ETo!$K382+ETo!$L382)</f>
        <v>4.2490476837702902</v>
      </c>
      <c r="E383" s="76">
        <f>MIN(D383*Constantes!$E$17,0.8*(N382+Observaciones!$F382-F383-M383-Constantes!$D$14))</f>
        <v>2.0774117313408142</v>
      </c>
      <c r="F383" s="76">
        <f>IF(Observaciones!$F382&gt;0.05*Constantes!$E$18,((Observaciones!$F382-0.05*Constantes!$E$18)^2)/(Observaciones!$F382+0.95*Constantes!$E$18),0)</f>
        <v>1.0562454016966618</v>
      </c>
      <c r="G383" s="76">
        <f>IF(Escenarios!$E$11&gt;0,(F383*Escenarios!$E$16*10000)/1000,0)</f>
        <v>2640.613504241654</v>
      </c>
      <c r="H383" s="76">
        <f>IF(Escenarios!$E$11&gt;0,(Observaciones!$F382*Constantes!$E$29)/1000,0)</f>
        <v>177</v>
      </c>
      <c r="I383" s="76">
        <f>IF(Escenarios!$E$11&gt;0,(D383*Constantes!$E$29)/1000,0)</f>
        <v>42.4904768377029</v>
      </c>
      <c r="J383" s="76">
        <f>IF(Escenarios!$E$11&gt;0,MAX(0,G383+H383-I383),0)</f>
        <v>2775.1230274039513</v>
      </c>
      <c r="K383" s="76">
        <f>IF(Escenarios!$E$11&gt;0,IF(J383&gt;Constantes!$E$30,1000*((J383-Constantes!$E$30)/(Escenarios!$E$16*10000)),0),F383)</f>
        <v>0.59534332860863937</v>
      </c>
      <c r="L383" s="76">
        <f>IF(Escenarios!$E$11&gt;0,I383*1000/Escenarios!$E$16/10000+E383,E383)</f>
        <v>2.0944079220758955</v>
      </c>
      <c r="M383" s="76">
        <f>MAX(0,N382+Observaciones!$F382-K383-Constantes!$D$13)</f>
        <v>1.8553124886833885</v>
      </c>
      <c r="N383" s="76">
        <f>N382+Observaciones!$F382-K383-L383-M383-O382</f>
        <v>45.897653056957395</v>
      </c>
      <c r="O383" s="76">
        <f>MAX(0,(N383-Constantes!$D$14)*(1-EXP(-Constantes!$D$22)))</f>
        <v>1.1802262572582645</v>
      </c>
      <c r="P383" s="170">
        <f>P382+(Entradas!$E$83*M383-Q382)/(800*Entradas!$D$25)</f>
        <v>0</v>
      </c>
      <c r="Q383" s="170">
        <f>8000*Entradas!$D$26*P383/Constantes!$E$45</f>
        <v>0</v>
      </c>
      <c r="R383" s="170">
        <f>IF(Escenarios!$E$14&gt;0,K383*Escenarios!$E$13/Escenarios!$E$14,0)</f>
        <v>4.3658510764633558</v>
      </c>
      <c r="S383" s="170">
        <f>IF(Escenarios!$E$14&gt;0,Q383*Escenarios!$E$13/Escenarios!$E$14,0)</f>
        <v>0</v>
      </c>
      <c r="T383" s="170">
        <f>IF(Escenarios!$E$14&gt;0,Observaciones!$I382,0)</f>
        <v>0</v>
      </c>
      <c r="U383" s="170">
        <f>IF(Escenarios!$E$14&gt;0,MAX(0,Constantes!$E$36/((Z382+R383+S383+T383+Observaciones!$F382)^2)+Entradas!$E$77),0)</f>
        <v>2.1746390793104511</v>
      </c>
      <c r="V383" s="146">
        <f>IF(ETo!D382&gt;0,ETo!I382*((1-Entradas!$E$81)*ETo!K382+ETo!L382),0)</f>
        <v>3.8819803340952155</v>
      </c>
      <c r="W383" s="170">
        <f>IF(Escenarios!$E$14&gt;0,MIN(V383*1,0.8*(Z382+R383+S383+T383+Observaciones!$F382-U383-Constantes!$E$35)),0)</f>
        <v>3.8819803340952155</v>
      </c>
      <c r="X383" s="170">
        <f>IF(Escenarios!$E$14&gt;0,Observaciones!$J382,0)</f>
        <v>0</v>
      </c>
      <c r="Y383" s="170">
        <f>IF(Escenarios!$E$14&gt;0,MAX(0,Z382+R383+S383+T383+Observaciones!$F382-U383-W383-X383-Constantes!$E$33),0)</f>
        <v>0</v>
      </c>
      <c r="Z383" s="170">
        <f>Z382+R383+S383+T383+Observaciones!$F382-U383-W383-Y383</f>
        <v>105.47410998519253</v>
      </c>
      <c r="AA383" s="170">
        <f>IF(Escenarios!$E$14&gt;0,(Escenarios!$E$13*L383+Escenarios!$E$14*W383)/(Escenarios!$E$16),L383)</f>
        <v>2.3089166115182138</v>
      </c>
      <c r="AB383" s="170">
        <f>IF(Escenarios!$E$14&gt;0,(Escenarios!$E$14*Y383)/(Escenarios!$E$16),K383)</f>
        <v>0</v>
      </c>
      <c r="AC383" s="170">
        <f>IF(Escenarios!$E$14&gt;0,(Escenarios!$E$13*M383+Escenarios!$E$14*U383)/(Escenarios!$E$16),M383)</f>
        <v>1.8936316795586361</v>
      </c>
      <c r="AD383" s="76">
        <f t="shared" si="71"/>
        <v>104.12354310984657</v>
      </c>
      <c r="AE383" s="76">
        <f>MAX(0,(AD383-Constantes!$D$13)*(1-EXP(-Constantes!$D$23)))</f>
        <v>0.54560870921173932</v>
      </c>
      <c r="AF383" s="76">
        <f>AB383+O383*Escenarios!$E$13/Escenarios!$E$16+AE383</f>
        <v>1.584207815599012</v>
      </c>
      <c r="AG383" s="76">
        <f>IF(Entradas!$E$91&gt;0,IF(AF383-Escenarios!$E$38&lt;=0,0,IF(AF383-Escenarios!$E$38&gt;Escenarios!$E$37,Escenarios!$E$37,AF383-Escenarios!$E$38)),0)</f>
        <v>0</v>
      </c>
      <c r="AH383" s="76">
        <f>AG383*Entradas!$E$99</f>
        <v>0</v>
      </c>
      <c r="AI383" s="76">
        <f>IF(Entradas!$E$91&gt;0,D383*Entradas!$D$23/Escenarios!$E$16,0)</f>
        <v>0</v>
      </c>
      <c r="AJ383" s="76">
        <f>IF(Entradas!$E$91&gt;0,Entradas!$D$24*Entradas!$D$22/Escenarios!$E$16,0)</f>
        <v>0</v>
      </c>
      <c r="AK383" s="76">
        <f t="shared" si="80"/>
        <v>2.3089166115182138</v>
      </c>
      <c r="AL383" s="76">
        <f t="shared" si="81"/>
        <v>0</v>
      </c>
      <c r="AM383" s="76">
        <f t="shared" si="72"/>
        <v>0</v>
      </c>
      <c r="AN383" s="76">
        <f>MAX(0,O383*Escenarios!$E$13/Escenarios!$E$16-AM383)</f>
        <v>1.0385991063872728</v>
      </c>
      <c r="AO383" s="76">
        <f>AM383+AN383-O383*Escenarios!$E$13/Escenarios!$E$16</f>
        <v>0</v>
      </c>
      <c r="AP383" s="76">
        <f t="shared" si="70"/>
        <v>0.54560870921173932</v>
      </c>
      <c r="AQ383" s="76">
        <f t="shared" si="73"/>
        <v>0</v>
      </c>
      <c r="AR383" s="76">
        <f t="shared" si="74"/>
        <v>1.584207815599012</v>
      </c>
      <c r="AS383" s="76">
        <f t="shared" si="75"/>
        <v>0</v>
      </c>
      <c r="AT383" s="76">
        <f t="shared" si="76"/>
        <v>1.8936316795586361</v>
      </c>
      <c r="AU383" s="76">
        <f t="shared" si="77"/>
        <v>48.75</v>
      </c>
      <c r="AV383" s="76">
        <f>MAX(0,(AU383-Constantes!$D$13)*(1-EXP(-Constantes!$D$24)))</f>
        <v>0</v>
      </c>
      <c r="AW383" s="170">
        <f>AW382+(Entradas!$E$112*AT383-AX382)/(800*Entradas!$D$25)</f>
        <v>0</v>
      </c>
      <c r="AX383" s="170">
        <f>8000*Entradas!$D$26*AW383/Constantes!$E$45</f>
        <v>0</v>
      </c>
      <c r="AY383" s="170">
        <f>IF(Escenarios!$E$17&gt;0,10*Escenarios!$E$16*AL383,0)</f>
        <v>0</v>
      </c>
      <c r="AZ383" s="170">
        <f>IF(Escenarios!$E$17&gt;0,10*Escenarios!$E$16*AX383,0)</f>
        <v>0</v>
      </c>
      <c r="BA383" s="170">
        <f>IF(Escenarios!$E$17&gt;0,0.001*Observaciones!$F382*Escenarios!$E$17,0)</f>
        <v>354</v>
      </c>
      <c r="BB383" s="170">
        <f>IF(Escenarios!$E$17&gt;0,Observaciones!$K382,0)</f>
        <v>0</v>
      </c>
      <c r="BC383" s="170">
        <f>IF(Escenarios!$E$17&gt;0,MIN(0.0005*ETo!$M382*Escenarios!$E$17*(BG382/Constantes!$E$40)^(2/3),BG382+AY383+AZ383+BA383+BB383),0)</f>
        <v>29.063264322863748</v>
      </c>
      <c r="BD383" s="170">
        <f>IF(Escenarios!$E$17&gt;0,MIN(Constantes!$E$39*(BG382/Constantes!$E$40)^(2/3),BG382+AY383+AZ383+BA383+BB383-BC383),0)</f>
        <v>48.171432910299316</v>
      </c>
      <c r="BE383" s="170">
        <f>IF(Escenarios!$E$17&gt;0,MIN(Entradas!$E$113,BG382+AY383+AZ383+BA383+BB383-BC383-BD383),0)</f>
        <v>1</v>
      </c>
      <c r="BF383" s="170">
        <f>IF(Escenarios!$E$17&gt;0,MAX(0,BG382+AY383+AZ383+BA383+BB383-BC383-BD383-BE383-Constantes!$E$40),0)</f>
        <v>0</v>
      </c>
      <c r="BG383" s="170">
        <f t="shared" si="82"/>
        <v>3390.7657119264809</v>
      </c>
      <c r="BH383" s="170">
        <f>(Escenarios!$E$16*AK383+0.1*BC383)/(Escenarios!$E$19)</f>
        <v>2.3021249179041265</v>
      </c>
      <c r="BI383" s="170">
        <f>IF(Escenarios!$E$17&gt;0,BF383/10/Escenarios!$E$19,AL383)</f>
        <v>0</v>
      </c>
      <c r="BJ383" s="170">
        <f>(Escenarios!$E$16*AT383+0.1*BD383)/(Escenarios!$E$19)</f>
        <v>1.8977185046852736</v>
      </c>
      <c r="BK383" s="76">
        <f>BK382+(0.1*BD383)/(Escenarios!$E$19)-BL382</f>
        <v>49.712812230894102</v>
      </c>
      <c r="BL383" s="76">
        <f>MAX(0,(BK383-Constantes!$D$13)*(1-EXP(-Constantes!$D$23)))</f>
        <v>9.4868182350064095E-3</v>
      </c>
      <c r="BM383" s="76">
        <f t="shared" si="78"/>
        <v>0.55509552744674573</v>
      </c>
      <c r="BN383" s="76">
        <f t="shared" si="83"/>
        <v>1.5936946338340183</v>
      </c>
      <c r="BO383" s="76">
        <f>0.0526*BI383*Observaciones!$F382^1.218</f>
        <v>0</v>
      </c>
      <c r="BP383" s="76">
        <f>BO383*Constantes!$E$51</f>
        <v>0</v>
      </c>
      <c r="BQ383" s="76">
        <f t="shared" si="79"/>
        <v>0</v>
      </c>
      <c r="BR383" s="40"/>
    </row>
    <row r="384" spans="1:70">
      <c r="A384" s="147"/>
      <c r="B384" s="39"/>
      <c r="C384" s="75">
        <v>378</v>
      </c>
      <c r="D384" s="146">
        <f>ETo!$I383*((1-Constantes!$E$19)*ETo!$K383+ETo!$L383)</f>
        <v>4.38511840988357</v>
      </c>
      <c r="E384" s="76">
        <f>MIN(D384*Constantes!$E$17,0.8*(N383+Observaciones!$F383-F384-M384-Constantes!$D$14))</f>
        <v>2.1439383847835369</v>
      </c>
      <c r="F384" s="76">
        <f>IF(Observaciones!$F383&gt;0.05*Constantes!$E$18,((Observaciones!$F383-0.05*Constantes!$E$18)^2)/(Observaciones!$F383+0.95*Constantes!$E$18),0)</f>
        <v>0</v>
      </c>
      <c r="G384" s="76">
        <f>IF(Escenarios!$E$11&gt;0,(F384*Escenarios!$E$16*10000)/1000,0)</f>
        <v>0</v>
      </c>
      <c r="H384" s="76">
        <f>IF(Escenarios!$E$11&gt;0,(Observaciones!$F383*Constantes!$E$29)/1000,0)</f>
        <v>4</v>
      </c>
      <c r="I384" s="76">
        <f>IF(Escenarios!$E$11&gt;0,(D384*Constantes!$E$29)/1000,0)</f>
        <v>43.851184098835702</v>
      </c>
      <c r="J384" s="76">
        <f>IF(Escenarios!$E$11&gt;0,MAX(0,G384+H384-I384),0)</f>
        <v>0</v>
      </c>
      <c r="K384" s="76">
        <f>IF(Escenarios!$E$11&gt;0,IF(J384&gt;Constantes!$E$30,1000*((J384-Constantes!$E$30)/(Escenarios!$E$16*10000)),0),F384)</f>
        <v>0</v>
      </c>
      <c r="L384" s="76">
        <f>IF(Escenarios!$E$11&gt;0,I384*1000/Escenarios!$E$16/10000+E384,E384)</f>
        <v>2.1614788584230711</v>
      </c>
      <c r="M384" s="76">
        <f>MAX(0,N383+Observaciones!$F383-K384-Constantes!$D$13)</f>
        <v>0</v>
      </c>
      <c r="N384" s="76">
        <f>N383+Observaciones!$F383-K384-L384-M384-O383</f>
        <v>42.955947941276058</v>
      </c>
      <c r="O384" s="76">
        <f>MAX(0,(N384-Constantes!$D$14)*(1-EXP(-Constantes!$D$22)))</f>
        <v>1.0800209817975965</v>
      </c>
      <c r="P384" s="170">
        <f>P383+(Entradas!$E$83*M384-Q383)/(800*Entradas!$D$25)</f>
        <v>0</v>
      </c>
      <c r="Q384" s="170">
        <f>8000*Entradas!$D$26*P384/Constantes!$E$45</f>
        <v>0</v>
      </c>
      <c r="R384" s="170">
        <f>IF(Escenarios!$E$14&gt;0,K384*Escenarios!$E$13/Escenarios!$E$14,0)</f>
        <v>0</v>
      </c>
      <c r="S384" s="170">
        <f>IF(Escenarios!$E$14&gt;0,Q384*Escenarios!$E$13/Escenarios!$E$14,0)</f>
        <v>0</v>
      </c>
      <c r="T384" s="170">
        <f>IF(Escenarios!$E$14&gt;0,Observaciones!$I383,0)</f>
        <v>0</v>
      </c>
      <c r="U384" s="170">
        <f>IF(Escenarios!$E$14&gt;0,MAX(0,Constantes!$E$36/((Z383+R384+S384+T384+Observaciones!$F383)^2)+Entradas!$E$77),0)</f>
        <v>2.0840886478973131</v>
      </c>
      <c r="V384" s="146">
        <f>IF(ETo!D383&gt;0,ETo!I383*((1-Entradas!$E$81)*ETo!K383+ETo!L383),0)</f>
        <v>4.0076387957249384</v>
      </c>
      <c r="W384" s="170">
        <f>IF(Escenarios!$E$14&gt;0,MIN(V384*1,0.8*(Z383+R384+S384+T384+Observaciones!$F383-U384-Constantes!$E$35)),0)</f>
        <v>4.0076387957249384</v>
      </c>
      <c r="X384" s="170">
        <f>IF(Escenarios!$E$14&gt;0,Observaciones!$J383,0)</f>
        <v>0</v>
      </c>
      <c r="Y384" s="170">
        <f>IF(Escenarios!$E$14&gt;0,MAX(0,Z383+R384+S384+T384+Observaciones!$F383-U384-W384-X384-Constantes!$E$33),0)</f>
        <v>0</v>
      </c>
      <c r="Z384" s="170">
        <f>Z383+R384+S384+T384+Observaciones!$F383-U384-W384-Y384</f>
        <v>99.782382541570271</v>
      </c>
      <c r="AA384" s="170">
        <f>IF(Escenarios!$E$14&gt;0,(Escenarios!$E$13*L384+Escenarios!$E$14*W384)/(Escenarios!$E$16),L384)</f>
        <v>2.3830180508992953</v>
      </c>
      <c r="AB384" s="170">
        <f>IF(Escenarios!$E$14&gt;0,(Escenarios!$E$14*Y384)/(Escenarios!$E$16),K384)</f>
        <v>0</v>
      </c>
      <c r="AC384" s="170">
        <f>IF(Escenarios!$E$14&gt;0,(Escenarios!$E$13*M384+Escenarios!$E$14*U384)/(Escenarios!$E$16),M384)</f>
        <v>0.25009063774767754</v>
      </c>
      <c r="AD384" s="76">
        <f t="shared" si="71"/>
        <v>103.82802503838251</v>
      </c>
      <c r="AE384" s="76">
        <f>MAX(0,(AD384-Constantes!$D$13)*(1-EXP(-Constantes!$D$23)))</f>
        <v>0.54269689926668319</v>
      </c>
      <c r="AF384" s="76">
        <f>AB384+O384*Escenarios!$E$13/Escenarios!$E$16+AE384</f>
        <v>1.4931153632485681</v>
      </c>
      <c r="AG384" s="76">
        <f>IF(Entradas!$E$91&gt;0,IF(AF384-Escenarios!$E$38&lt;=0,0,IF(AF384-Escenarios!$E$38&gt;Escenarios!$E$37,Escenarios!$E$37,AF384-Escenarios!$E$38)),0)</f>
        <v>0</v>
      </c>
      <c r="AH384" s="76">
        <f>AG384*Entradas!$E$99</f>
        <v>0</v>
      </c>
      <c r="AI384" s="76">
        <f>IF(Entradas!$E$91&gt;0,D384*Entradas!$D$23/Escenarios!$E$16,0)</f>
        <v>0</v>
      </c>
      <c r="AJ384" s="76">
        <f>IF(Entradas!$E$91&gt;0,Entradas!$D$24*Entradas!$D$22/Escenarios!$E$16,0)</f>
        <v>0</v>
      </c>
      <c r="AK384" s="76">
        <f t="shared" si="80"/>
        <v>2.3830180508992953</v>
      </c>
      <c r="AL384" s="76">
        <f t="shared" si="81"/>
        <v>0</v>
      </c>
      <c r="AM384" s="76">
        <f t="shared" si="72"/>
        <v>0</v>
      </c>
      <c r="AN384" s="76">
        <f>MAX(0,O384*Escenarios!$E$13/Escenarios!$E$16-AM384)</f>
        <v>0.95041846398188501</v>
      </c>
      <c r="AO384" s="76">
        <f>AM384+AN384-O384*Escenarios!$E$13/Escenarios!$E$16</f>
        <v>0</v>
      </c>
      <c r="AP384" s="76">
        <f t="shared" si="70"/>
        <v>0.54269689926668319</v>
      </c>
      <c r="AQ384" s="76">
        <f t="shared" si="73"/>
        <v>0</v>
      </c>
      <c r="AR384" s="76">
        <f t="shared" si="74"/>
        <v>1.4931153632485681</v>
      </c>
      <c r="AS384" s="76">
        <f t="shared" si="75"/>
        <v>0</v>
      </c>
      <c r="AT384" s="76">
        <f t="shared" si="76"/>
        <v>0.25009063774767754</v>
      </c>
      <c r="AU384" s="76">
        <f t="shared" si="77"/>
        <v>48.75</v>
      </c>
      <c r="AV384" s="76">
        <f>MAX(0,(AU384-Constantes!$D$13)*(1-EXP(-Constantes!$D$24)))</f>
        <v>0</v>
      </c>
      <c r="AW384" s="170">
        <f>AW383+(Entradas!$E$112*AT384-AX383)/(800*Entradas!$D$25)</f>
        <v>0</v>
      </c>
      <c r="AX384" s="170">
        <f>8000*Entradas!$D$26*AW384/Constantes!$E$45</f>
        <v>0</v>
      </c>
      <c r="AY384" s="170">
        <f>IF(Escenarios!$E$17&gt;0,10*Escenarios!$E$16*AL384,0)</f>
        <v>0</v>
      </c>
      <c r="AZ384" s="170">
        <f>IF(Escenarios!$E$17&gt;0,10*Escenarios!$E$16*AX384,0)</f>
        <v>0</v>
      </c>
      <c r="BA384" s="170">
        <f>IF(Escenarios!$E$17&gt;0,0.001*Observaciones!$F383*Escenarios!$E$17,0)</f>
        <v>8</v>
      </c>
      <c r="BB384" s="170">
        <f>IF(Escenarios!$E$17&gt;0,Observaciones!$K383,0)</f>
        <v>0</v>
      </c>
      <c r="BC384" s="170">
        <f>IF(Escenarios!$E$17&gt;0,MIN(0.0005*ETo!$M383*Escenarios!$E$17*(BG383/Constantes!$E$40)^(2/3),BG383+AY384+AZ384+BA384+BB384),0)</f>
        <v>31.725586476153136</v>
      </c>
      <c r="BD384" s="170">
        <f>IF(Escenarios!$E$17&gt;0,MIN(Constantes!$E$39*(BG383/Constantes!$E$40)^(2/3),BG383+AY384+AZ384+BA384+BB384-BC384),0)</f>
        <v>50.974074371917624</v>
      </c>
      <c r="BE384" s="170">
        <f>IF(Escenarios!$E$17&gt;0,MIN(Entradas!$E$113,BG383+AY384+AZ384+BA384+BB384-BC384-BD384),0)</f>
        <v>1</v>
      </c>
      <c r="BF384" s="170">
        <f>IF(Escenarios!$E$17&gt;0,MAX(0,BG383+AY384+AZ384+BA384+BB384-BC384-BD384-BE384-Constantes!$E$40),0)</f>
        <v>0</v>
      </c>
      <c r="BG384" s="170">
        <f t="shared" si="82"/>
        <v>3315.0660510784101</v>
      </c>
      <c r="BH384" s="170">
        <f>(Escenarios!$E$16*AK384+0.1*BC384)/(Escenarios!$E$19)</f>
        <v>2.3766947276684096</v>
      </c>
      <c r="BI384" s="170">
        <f>IF(Escenarios!$E$17&gt;0,BF384/10/Escenarios!$E$19,AL384)</f>
        <v>0</v>
      </c>
      <c r="BJ384" s="170">
        <f>(Escenarios!$E$16*AT384+0.1*BD384)/(Escenarios!$E$19)</f>
        <v>0.26833359870679024</v>
      </c>
      <c r="BK384" s="76">
        <f>BK383+(0.1*BD384)/(Escenarios!$E$19)-BL383</f>
        <v>49.723553219949544</v>
      </c>
      <c r="BL384" s="76">
        <f>MAX(0,(BK384-Constantes!$D$13)*(1-EXP(-Constantes!$D$23)))</f>
        <v>9.5926517584739579E-3</v>
      </c>
      <c r="BM384" s="76">
        <f t="shared" si="78"/>
        <v>0.55228955102515709</v>
      </c>
      <c r="BN384" s="76">
        <f t="shared" si="83"/>
        <v>1.502708015007042</v>
      </c>
      <c r="BO384" s="76">
        <f>0.0526*BI384*Observaciones!$F383^1.218</f>
        <v>0</v>
      </c>
      <c r="BP384" s="76">
        <f>BO384*Constantes!$E$51</f>
        <v>0</v>
      </c>
      <c r="BQ384" s="76">
        <f t="shared" si="79"/>
        <v>0</v>
      </c>
      <c r="BR384" s="40"/>
    </row>
    <row r="385" spans="1:70">
      <c r="A385" s="147"/>
      <c r="B385" s="39"/>
      <c r="C385" s="75">
        <v>379</v>
      </c>
      <c r="D385" s="146">
        <f>ETo!$I384*((1-Constantes!$E$19)*ETo!$K384+ETo!$L384)</f>
        <v>4.3757518638093007</v>
      </c>
      <c r="E385" s="76">
        <f>MIN(D385*Constantes!$E$17,0.8*(N384+Observaciones!$F384-F385-M385-Constantes!$D$14))</f>
        <v>2.139358965077057</v>
      </c>
      <c r="F385" s="76">
        <f>IF(Observaciones!$F384&gt;0.05*Constantes!$E$18,((Observaciones!$F384-0.05*Constantes!$E$18)^2)/(Observaciones!$F384+0.95*Constantes!$E$18),0)</f>
        <v>0</v>
      </c>
      <c r="G385" s="76">
        <f>IF(Escenarios!$E$11&gt;0,(F385*Escenarios!$E$16*10000)/1000,0)</f>
        <v>0</v>
      </c>
      <c r="H385" s="76">
        <f>IF(Escenarios!$E$11&gt;0,(Observaciones!$F384*Constantes!$E$29)/1000,0)</f>
        <v>4</v>
      </c>
      <c r="I385" s="76">
        <f>IF(Escenarios!$E$11&gt;0,(D385*Constantes!$E$29)/1000,0)</f>
        <v>43.757518638093011</v>
      </c>
      <c r="J385" s="76">
        <f>IF(Escenarios!$E$11&gt;0,MAX(0,G385+H385-I385),0)</f>
        <v>0</v>
      </c>
      <c r="K385" s="76">
        <f>IF(Escenarios!$E$11&gt;0,IF(J385&gt;Constantes!$E$30,1000*((J385-Constantes!$E$30)/(Escenarios!$E$16*10000)),0),F385)</f>
        <v>0</v>
      </c>
      <c r="L385" s="76">
        <f>IF(Escenarios!$E$11&gt;0,I385*1000/Escenarios!$E$16/10000+E385,E385)</f>
        <v>2.1568619725322944</v>
      </c>
      <c r="M385" s="76">
        <f>MAX(0,N384+Observaciones!$F384-K385-Constantes!$D$13)</f>
        <v>0</v>
      </c>
      <c r="N385" s="76">
        <f>N384+Observaciones!$F384-K385-L385-M385-O384</f>
        <v>40.119064986946164</v>
      </c>
      <c r="O385" s="76">
        <f>MAX(0,(N385-Constantes!$D$14)*(1-EXP(-Constantes!$D$22)))</f>
        <v>0.98338633396259068</v>
      </c>
      <c r="P385" s="170">
        <f>P384+(Entradas!$E$83*M385-Q384)/(800*Entradas!$D$25)</f>
        <v>0</v>
      </c>
      <c r="Q385" s="170">
        <f>8000*Entradas!$D$26*P385/Constantes!$E$45</f>
        <v>0</v>
      </c>
      <c r="R385" s="170">
        <f>IF(Escenarios!$E$14&gt;0,K385*Escenarios!$E$13/Escenarios!$E$14,0)</f>
        <v>0</v>
      </c>
      <c r="S385" s="170">
        <f>IF(Escenarios!$E$14&gt;0,Q385*Escenarios!$E$13/Escenarios!$E$14,0)</f>
        <v>0</v>
      </c>
      <c r="T385" s="170">
        <f>IF(Escenarios!$E$14&gt;0,Observaciones!$I384,0)</f>
        <v>0</v>
      </c>
      <c r="U385" s="170">
        <f>IF(Escenarios!$E$14&gt;0,MAX(0,Constantes!$E$36/((Z384+R385+S385+T385+Observaciones!$F384)^2)+Entradas!$E$77),0)</f>
        <v>1.9770597315668881</v>
      </c>
      <c r="V385" s="146">
        <f>IF(ETo!D384&gt;0,ETo!I384*((1-Entradas!$E$81)*ETo!K384+ETo!L384),0)</f>
        <v>3.9989727288726247</v>
      </c>
      <c r="W385" s="170">
        <f>IF(Escenarios!$E$14&gt;0,MIN(V385*1,0.8*(Z384+R385+S385+T385+Observaciones!$F384-U385-Constantes!$E$35)),0)</f>
        <v>3.9989727288726247</v>
      </c>
      <c r="X385" s="170">
        <f>IF(Escenarios!$E$14&gt;0,Observaciones!$J384,0)</f>
        <v>0</v>
      </c>
      <c r="Y385" s="170">
        <f>IF(Escenarios!$E$14&gt;0,MAX(0,Z384+R385+S385+T385+Observaciones!$F384-U385-W385-X385-Constantes!$E$33),0)</f>
        <v>0</v>
      </c>
      <c r="Z385" s="170">
        <f>Z384+R385+S385+T385+Observaciones!$F384-U385-W385-Y385</f>
        <v>94.206350081130765</v>
      </c>
      <c r="AA385" s="170">
        <f>IF(Escenarios!$E$14&gt;0,(Escenarios!$E$13*L385+Escenarios!$E$14*W385)/(Escenarios!$E$16),L385)</f>
        <v>2.3779152632931342</v>
      </c>
      <c r="AB385" s="170">
        <f>IF(Escenarios!$E$14&gt;0,(Escenarios!$E$14*Y385)/(Escenarios!$E$16),K385)</f>
        <v>0</v>
      </c>
      <c r="AC385" s="170">
        <f>IF(Escenarios!$E$14&gt;0,(Escenarios!$E$13*M385+Escenarios!$E$14*U385)/(Escenarios!$E$16),M385)</f>
        <v>0.23724716778802657</v>
      </c>
      <c r="AD385" s="76">
        <f t="shared" si="71"/>
        <v>103.52257530690385</v>
      </c>
      <c r="AE385" s="76">
        <f>MAX(0,(AD385-Constantes!$D$13)*(1-EXP(-Constantes!$D$23)))</f>
        <v>0.53968723030996602</v>
      </c>
      <c r="AF385" s="76">
        <f>AB385+O385*Escenarios!$E$13/Escenarios!$E$16+AE385</f>
        <v>1.4050672041970458</v>
      </c>
      <c r="AG385" s="76">
        <f>IF(Entradas!$E$91&gt;0,IF(AF385-Escenarios!$E$38&lt;=0,0,IF(AF385-Escenarios!$E$38&gt;Escenarios!$E$37,Escenarios!$E$37,AF385-Escenarios!$E$38)),0)</f>
        <v>0</v>
      </c>
      <c r="AH385" s="76">
        <f>AG385*Entradas!$E$99</f>
        <v>0</v>
      </c>
      <c r="AI385" s="76">
        <f>IF(Entradas!$E$91&gt;0,D385*Entradas!$D$23/Escenarios!$E$16,0)</f>
        <v>0</v>
      </c>
      <c r="AJ385" s="76">
        <f>IF(Entradas!$E$91&gt;0,Entradas!$D$24*Entradas!$D$22/Escenarios!$E$16,0)</f>
        <v>0</v>
      </c>
      <c r="AK385" s="76">
        <f t="shared" si="80"/>
        <v>2.3779152632931342</v>
      </c>
      <c r="AL385" s="76">
        <f t="shared" si="81"/>
        <v>0</v>
      </c>
      <c r="AM385" s="76">
        <f t="shared" si="72"/>
        <v>0</v>
      </c>
      <c r="AN385" s="76">
        <f>MAX(0,O385*Escenarios!$E$13/Escenarios!$E$16-AM385)</f>
        <v>0.86537997388707977</v>
      </c>
      <c r="AO385" s="76">
        <f>AM385+AN385-O385*Escenarios!$E$13/Escenarios!$E$16</f>
        <v>0</v>
      </c>
      <c r="AP385" s="76">
        <f t="shared" si="70"/>
        <v>0.53968723030996602</v>
      </c>
      <c r="AQ385" s="76">
        <f t="shared" si="73"/>
        <v>0</v>
      </c>
      <c r="AR385" s="76">
        <f t="shared" si="74"/>
        <v>1.4050672041970458</v>
      </c>
      <c r="AS385" s="76">
        <f t="shared" si="75"/>
        <v>0</v>
      </c>
      <c r="AT385" s="76">
        <f t="shared" si="76"/>
        <v>0.23724716778802657</v>
      </c>
      <c r="AU385" s="76">
        <f t="shared" si="77"/>
        <v>48.75</v>
      </c>
      <c r="AV385" s="76">
        <f>MAX(0,(AU385-Constantes!$D$13)*(1-EXP(-Constantes!$D$24)))</f>
        <v>0</v>
      </c>
      <c r="AW385" s="170">
        <f>AW384+(Entradas!$E$112*AT385-AX384)/(800*Entradas!$D$25)</f>
        <v>0</v>
      </c>
      <c r="AX385" s="170">
        <f>8000*Entradas!$D$26*AW385/Constantes!$E$45</f>
        <v>0</v>
      </c>
      <c r="AY385" s="170">
        <f>IF(Escenarios!$E$17&gt;0,10*Escenarios!$E$16*AL385,0)</f>
        <v>0</v>
      </c>
      <c r="AZ385" s="170">
        <f>IF(Escenarios!$E$17&gt;0,10*Escenarios!$E$16*AX385,0)</f>
        <v>0</v>
      </c>
      <c r="BA385" s="170">
        <f>IF(Escenarios!$E$17&gt;0,0.001*Observaciones!$F384*Escenarios!$E$17,0)</f>
        <v>8</v>
      </c>
      <c r="BB385" s="170">
        <f>IF(Escenarios!$E$17&gt;0,Observaciones!$K384,0)</f>
        <v>0</v>
      </c>
      <c r="BC385" s="170">
        <f>IF(Escenarios!$E$17&gt;0,MIN(0.0005*ETo!$M384*Escenarios!$E$17*(BG384/Constantes!$E$40)^(2/3),BG384+AY385+AZ385+BA385+BB385),0)</f>
        <v>31.185916331551422</v>
      </c>
      <c r="BD385" s="170">
        <f>IF(Escenarios!$E$17&gt;0,MIN(Constantes!$E$39*(BG384/Constantes!$E$40)^(2/3),BG384+AY385+AZ385+BA385+BB385-BC385),0)</f>
        <v>50.212550746341378</v>
      </c>
      <c r="BE385" s="170">
        <f>IF(Escenarios!$E$17&gt;0,MIN(Entradas!$E$113,BG384+AY385+AZ385+BA385+BB385-BC385-BD385),0)</f>
        <v>1</v>
      </c>
      <c r="BF385" s="170">
        <f>IF(Escenarios!$E$17&gt;0,MAX(0,BG384+AY385+AZ385+BA385+BB385-BC385-BD385-BE385-Constantes!$E$40),0)</f>
        <v>0</v>
      </c>
      <c r="BG385" s="170">
        <f t="shared" si="82"/>
        <v>3240.6675840005173</v>
      </c>
      <c r="BH385" s="170">
        <f>(Escenarios!$E$16*AK385+0.1*BC385)/(Escenarios!$E$19)</f>
        <v>2.3714182835572961</v>
      </c>
      <c r="BI385" s="170">
        <f>IF(Escenarios!$E$17&gt;0,BF385/10/Escenarios!$E$19,AL385)</f>
        <v>0</v>
      </c>
      <c r="BJ385" s="170">
        <f>(Escenarios!$E$16*AT385+0.1*BD385)/(Escenarios!$E$19)</f>
        <v>0.25528986913349516</v>
      </c>
      <c r="BK385" s="76">
        <f>BK384+(0.1*BD385)/(Escenarios!$E$19)-BL384</f>
        <v>49.733886183566604</v>
      </c>
      <c r="BL385" s="76">
        <f>MAX(0,(BK385-Constantes!$D$13)*(1-EXP(-Constantes!$D$23)))</f>
        <v>9.6944649101130369E-3</v>
      </c>
      <c r="BM385" s="76">
        <f t="shared" si="78"/>
        <v>0.54938169522007907</v>
      </c>
      <c r="BN385" s="76">
        <f t="shared" si="83"/>
        <v>1.4147616691071587</v>
      </c>
      <c r="BO385" s="76">
        <f>0.0526*BI385*Observaciones!$F384^1.218</f>
        <v>0</v>
      </c>
      <c r="BP385" s="76">
        <f>BO385*Constantes!$E$51</f>
        <v>0</v>
      </c>
      <c r="BQ385" s="76">
        <f t="shared" si="79"/>
        <v>0</v>
      </c>
      <c r="BR385" s="40"/>
    </row>
    <row r="386" spans="1:70">
      <c r="A386" s="147"/>
      <c r="B386" s="39"/>
      <c r="C386" s="75">
        <v>380</v>
      </c>
      <c r="D386" s="146">
        <f>ETo!$I385*((1-Constantes!$E$19)*ETo!$K385+ETo!$L385)</f>
        <v>4.3708753064578652</v>
      </c>
      <c r="E386" s="76">
        <f>MIN(D386*Constantes!$E$17,0.8*(N385+Observaciones!$F385-F386-M386-Constantes!$D$14))</f>
        <v>2.1369747561426351</v>
      </c>
      <c r="F386" s="76">
        <f>IF(Observaciones!$F385&gt;0.05*Constantes!$E$18,((Observaciones!$F385-0.05*Constantes!$E$18)^2)/(Observaciones!$F385+0.95*Constantes!$E$18),0)</f>
        <v>0</v>
      </c>
      <c r="G386" s="76">
        <f>IF(Escenarios!$E$11&gt;0,(F386*Escenarios!$E$16*10000)/1000,0)</f>
        <v>0</v>
      </c>
      <c r="H386" s="76">
        <f>IF(Escenarios!$E$11&gt;0,(Observaciones!$F385*Constantes!$E$29)/1000,0)</f>
        <v>5</v>
      </c>
      <c r="I386" s="76">
        <f>IF(Escenarios!$E$11&gt;0,(D386*Constantes!$E$29)/1000,0)</f>
        <v>43.708753064578652</v>
      </c>
      <c r="J386" s="76">
        <f>IF(Escenarios!$E$11&gt;0,MAX(0,G386+H386-I386),0)</f>
        <v>0</v>
      </c>
      <c r="K386" s="76">
        <f>IF(Escenarios!$E$11&gt;0,IF(J386&gt;Constantes!$E$30,1000*((J386-Constantes!$E$30)/(Escenarios!$E$16*10000)),0),F386)</f>
        <v>0</v>
      </c>
      <c r="L386" s="76">
        <f>IF(Escenarios!$E$11&gt;0,I386*1000/Escenarios!$E$16/10000+E386,E386)</f>
        <v>2.1544582573684665</v>
      </c>
      <c r="M386" s="76">
        <f>MAX(0,N385+Observaciones!$F385-K386-Constantes!$D$13)</f>
        <v>0</v>
      </c>
      <c r="N386" s="76">
        <f>N385+Observaciones!$F385-K386-L386-M386-O385</f>
        <v>37.481220395615104</v>
      </c>
      <c r="O386" s="76">
        <f>MAX(0,(N386-Constantes!$D$14)*(1-EXP(-Constantes!$D$22)))</f>
        <v>0.89353166345611434</v>
      </c>
      <c r="P386" s="170">
        <f>P385+(Entradas!$E$83*M386-Q385)/(800*Entradas!$D$25)</f>
        <v>0</v>
      </c>
      <c r="Q386" s="170">
        <f>8000*Entradas!$D$26*P386/Constantes!$E$45</f>
        <v>0</v>
      </c>
      <c r="R386" s="170">
        <f>IF(Escenarios!$E$14&gt;0,K386*Escenarios!$E$13/Escenarios!$E$14,0)</f>
        <v>0</v>
      </c>
      <c r="S386" s="170">
        <f>IF(Escenarios!$E$14&gt;0,Q386*Escenarios!$E$13/Escenarios!$E$14,0)</f>
        <v>0</v>
      </c>
      <c r="T386" s="170">
        <f>IF(Escenarios!$E$14&gt;0,Observaciones!$I385,0)</f>
        <v>0</v>
      </c>
      <c r="U386" s="170">
        <f>IF(Escenarios!$E$14&gt;0,MAX(0,Constantes!$E$36/((Z385+R386+S386+T386+Observaciones!$F385)^2)+Entradas!$E$77),0)</f>
        <v>1.8553445303774023</v>
      </c>
      <c r="V386" s="146">
        <f>IF(ETo!D385&gt;0,ETo!I385*((1-Entradas!$E$81)*ETo!K385+ETo!L385),0)</f>
        <v>3.9944593944092763</v>
      </c>
      <c r="W386" s="170">
        <f>IF(Escenarios!$E$14&gt;0,MIN(V386*1,0.8*(Z385+R386+S386+T386+Observaciones!$F385-U386-Constantes!$E$35)),0)</f>
        <v>3.9944593944092763</v>
      </c>
      <c r="X386" s="170">
        <f>IF(Escenarios!$E$14&gt;0,Observaciones!$J385,0)</f>
        <v>0</v>
      </c>
      <c r="Y386" s="170">
        <f>IF(Escenarios!$E$14&gt;0,MAX(0,Z385+R386+S386+T386+Observaciones!$F385-U386-W386-X386-Constantes!$E$33),0)</f>
        <v>0</v>
      </c>
      <c r="Z386" s="170">
        <f>Z385+R386+S386+T386+Observaciones!$F385-U386-W386-Y386</f>
        <v>88.856546156344081</v>
      </c>
      <c r="AA386" s="170">
        <f>IF(Escenarios!$E$14&gt;0,(Escenarios!$E$13*L386+Escenarios!$E$14*W386)/(Escenarios!$E$16),L386)</f>
        <v>2.3752583938133633</v>
      </c>
      <c r="AB386" s="170">
        <f>IF(Escenarios!$E$14&gt;0,(Escenarios!$E$14*Y386)/(Escenarios!$E$16),K386)</f>
        <v>0</v>
      </c>
      <c r="AC386" s="170">
        <f>IF(Escenarios!$E$14&gt;0,(Escenarios!$E$13*M386+Escenarios!$E$14*U386)/(Escenarios!$E$16),M386)</f>
        <v>0.22264134364528829</v>
      </c>
      <c r="AD386" s="76">
        <f t="shared" si="71"/>
        <v>103.20552942023917</v>
      </c>
      <c r="AE386" s="76">
        <f>MAX(0,(AD386-Constantes!$D$13)*(1-EXP(-Constantes!$D$23)))</f>
        <v>0.53656330167421207</v>
      </c>
      <c r="AF386" s="76">
        <f>AB386+O386*Escenarios!$E$13/Escenarios!$E$16+AE386</f>
        <v>1.3228711655155927</v>
      </c>
      <c r="AG386" s="76">
        <f>IF(Entradas!$E$91&gt;0,IF(AF386-Escenarios!$E$38&lt;=0,0,IF(AF386-Escenarios!$E$38&gt;Escenarios!$E$37,Escenarios!$E$37,AF386-Escenarios!$E$38)),0)</f>
        <v>0</v>
      </c>
      <c r="AH386" s="76">
        <f>AG386*Entradas!$E$99</f>
        <v>0</v>
      </c>
      <c r="AI386" s="76">
        <f>IF(Entradas!$E$91&gt;0,D386*Entradas!$D$23/Escenarios!$E$16,0)</f>
        <v>0</v>
      </c>
      <c r="AJ386" s="76">
        <f>IF(Entradas!$E$91&gt;0,Entradas!$D$24*Entradas!$D$22/Escenarios!$E$16,0)</f>
        <v>0</v>
      </c>
      <c r="AK386" s="76">
        <f t="shared" si="80"/>
        <v>2.3752583938133633</v>
      </c>
      <c r="AL386" s="76">
        <f t="shared" si="81"/>
        <v>0</v>
      </c>
      <c r="AM386" s="76">
        <f t="shared" si="72"/>
        <v>0</v>
      </c>
      <c r="AN386" s="76">
        <f>MAX(0,O386*Escenarios!$E$13/Escenarios!$E$16-AM386)</f>
        <v>0.78630786384138063</v>
      </c>
      <c r="AO386" s="76">
        <f>AM386+AN386-O386*Escenarios!$E$13/Escenarios!$E$16</f>
        <v>0</v>
      </c>
      <c r="AP386" s="76">
        <f t="shared" si="70"/>
        <v>0.53656330167421207</v>
      </c>
      <c r="AQ386" s="76">
        <f t="shared" si="73"/>
        <v>0</v>
      </c>
      <c r="AR386" s="76">
        <f t="shared" si="74"/>
        <v>1.3228711655155927</v>
      </c>
      <c r="AS386" s="76">
        <f t="shared" si="75"/>
        <v>0</v>
      </c>
      <c r="AT386" s="76">
        <f t="shared" si="76"/>
        <v>0.22264134364528829</v>
      </c>
      <c r="AU386" s="76">
        <f t="shared" si="77"/>
        <v>48.75</v>
      </c>
      <c r="AV386" s="76">
        <f>MAX(0,(AU386-Constantes!$D$13)*(1-EXP(-Constantes!$D$24)))</f>
        <v>0</v>
      </c>
      <c r="AW386" s="170">
        <f>AW385+(Entradas!$E$112*AT386-AX385)/(800*Entradas!$D$25)</f>
        <v>0</v>
      </c>
      <c r="AX386" s="170">
        <f>8000*Entradas!$D$26*AW386/Constantes!$E$45</f>
        <v>0</v>
      </c>
      <c r="AY386" s="170">
        <f>IF(Escenarios!$E$17&gt;0,10*Escenarios!$E$16*AL386,0)</f>
        <v>0</v>
      </c>
      <c r="AZ386" s="170">
        <f>IF(Escenarios!$E$17&gt;0,10*Escenarios!$E$16*AX386,0)</f>
        <v>0</v>
      </c>
      <c r="BA386" s="170">
        <f>IF(Escenarios!$E$17&gt;0,0.001*Observaciones!$F385*Escenarios!$E$17,0)</f>
        <v>10</v>
      </c>
      <c r="BB386" s="170">
        <f>IF(Escenarios!$E$17&gt;0,Observaciones!$K385,0)</f>
        <v>45.968421531225083</v>
      </c>
      <c r="BC386" s="170">
        <f>IF(Escenarios!$E$17&gt;0,MIN(0.0005*ETo!$M385*Escenarios!$E$17*(BG385/Constantes!$E$40)^(2/3),BG385+AY386+AZ386+BA386+BB386),0)</f>
        <v>30.683877723132284</v>
      </c>
      <c r="BD386" s="170">
        <f>IF(Escenarios!$E$17&gt;0,MIN(Constantes!$E$39*(BG385/Constantes!$E$40)^(2/3),BG385+AY386+AZ386+BA386+BB386-BC386),0)</f>
        <v>49.458447870952334</v>
      </c>
      <c r="BE386" s="170">
        <f>IF(Escenarios!$E$17&gt;0,MIN(Entradas!$E$113,BG385+AY386+AZ386+BA386+BB386-BC386-BD386),0)</f>
        <v>1</v>
      </c>
      <c r="BF386" s="170">
        <f>IF(Escenarios!$E$17&gt;0,MAX(0,BG385+AY386+AZ386+BA386+BB386-BC386-BD386-BE386-Constantes!$E$40),0)</f>
        <v>0</v>
      </c>
      <c r="BG386" s="170">
        <f t="shared" si="82"/>
        <v>3215.4936799376578</v>
      </c>
      <c r="BH386" s="170">
        <f>(Escenarios!$E$16*AK386+0.1*BC386)/(Escenarios!$E$19)</f>
        <v>2.3685832786732308</v>
      </c>
      <c r="BI386" s="170">
        <f>IF(Escenarios!$E$17&gt;0,BF386/10/Escenarios!$E$19,AL386)</f>
        <v>0</v>
      </c>
      <c r="BJ386" s="170">
        <f>(Escenarios!$E$16*AT386+0.1*BD386)/(Escenarios!$E$19)</f>
        <v>0.24050071705721152</v>
      </c>
      <c r="BK386" s="76">
        <f>BK385+(0.1*BD386)/(Escenarios!$E$19)-BL385</f>
        <v>49.74381808685925</v>
      </c>
      <c r="BL386" s="76">
        <f>MAX(0,(BK386-Constantes!$D$13)*(1-EXP(-Constantes!$D$23)))</f>
        <v>9.7923263188505385E-3</v>
      </c>
      <c r="BM386" s="76">
        <f t="shared" si="78"/>
        <v>0.54635562799306259</v>
      </c>
      <c r="BN386" s="76">
        <f t="shared" si="83"/>
        <v>1.3326634918344433</v>
      </c>
      <c r="BO386" s="76">
        <f>0.0526*BI386*Observaciones!$F385^1.218</f>
        <v>0</v>
      </c>
      <c r="BP386" s="76">
        <f>BO386*Constantes!$E$51</f>
        <v>0</v>
      </c>
      <c r="BQ386" s="76">
        <f t="shared" si="79"/>
        <v>0</v>
      </c>
      <c r="BR386" s="40"/>
    </row>
    <row r="387" spans="1:70">
      <c r="A387" s="147"/>
      <c r="B387" s="39"/>
      <c r="C387" s="75">
        <v>381</v>
      </c>
      <c r="D387" s="146">
        <f>ETo!$I386*((1-Constantes!$E$19)*ETo!$K386+ETo!$L386)</f>
        <v>4.3977216999236264</v>
      </c>
      <c r="E387" s="76">
        <f>MIN(D387*Constantes!$E$17,0.8*(N386+Observaciones!$F386-F387-M387-Constantes!$D$14))</f>
        <v>2.1501002884690874</v>
      </c>
      <c r="F387" s="76">
        <f>IF(Observaciones!$F386&gt;0.05*Constantes!$E$18,((Observaciones!$F386-0.05*Constantes!$E$18)^2)/(Observaciones!$F386+0.95*Constantes!$E$18),0)</f>
        <v>0</v>
      </c>
      <c r="G387" s="76">
        <f>IF(Escenarios!$E$11&gt;0,(F387*Escenarios!$E$16*10000)/1000,0)</f>
        <v>0</v>
      </c>
      <c r="H387" s="76">
        <f>IF(Escenarios!$E$11&gt;0,(Observaciones!$F386*Constantes!$E$29)/1000,0)</f>
        <v>0</v>
      </c>
      <c r="I387" s="76">
        <f>IF(Escenarios!$E$11&gt;0,(D387*Constantes!$E$29)/1000,0)</f>
        <v>43.977216999236262</v>
      </c>
      <c r="J387" s="76">
        <f>IF(Escenarios!$E$11&gt;0,MAX(0,G387+H387-I387),0)</f>
        <v>0</v>
      </c>
      <c r="K387" s="76">
        <f>IF(Escenarios!$E$11&gt;0,IF(J387&gt;Constantes!$E$30,1000*((J387-Constantes!$E$30)/(Escenarios!$E$16*10000)),0),F387)</f>
        <v>0</v>
      </c>
      <c r="L387" s="76">
        <f>IF(Escenarios!$E$11&gt;0,I387*1000/Escenarios!$E$16/10000+E387,E387)</f>
        <v>2.1676911752687817</v>
      </c>
      <c r="M387" s="76">
        <f>MAX(0,N386+Observaciones!$F386-K387-Constantes!$D$13)</f>
        <v>0</v>
      </c>
      <c r="N387" s="76">
        <f>N386+Observaciones!$F386-K387-L387-M387-O386</f>
        <v>34.419997556890209</v>
      </c>
      <c r="O387" s="76">
        <f>MAX(0,(N387-Constantes!$D$14)*(1-EXP(-Constantes!$D$22)))</f>
        <v>0.7892551755900391</v>
      </c>
      <c r="P387" s="170">
        <f>P386+(Entradas!$E$83*M387-Q386)/(800*Entradas!$D$25)</f>
        <v>0</v>
      </c>
      <c r="Q387" s="170">
        <f>8000*Entradas!$D$26*P387/Constantes!$E$45</f>
        <v>0</v>
      </c>
      <c r="R387" s="170">
        <f>IF(Escenarios!$E$14&gt;0,K387*Escenarios!$E$13/Escenarios!$E$14,0)</f>
        <v>0</v>
      </c>
      <c r="S387" s="170">
        <f>IF(Escenarios!$E$14&gt;0,Q387*Escenarios!$E$13/Escenarios!$E$14,0)</f>
        <v>0</v>
      </c>
      <c r="T387" s="170">
        <f>IF(Escenarios!$E$14&gt;0,Observaciones!$I386,0)</f>
        <v>0</v>
      </c>
      <c r="U387" s="170">
        <f>IF(Escenarios!$E$14&gt;0,MAX(0,Constantes!$E$36/((Z386+R387+S387+T387+Observaciones!$F386)^2)+Entradas!$E$77),0)</f>
        <v>1.6996683590113157</v>
      </c>
      <c r="V387" s="146">
        <f>IF(ETo!D386&gt;0,ETo!I386*((1-Entradas!$E$81)*ETo!K386+ETo!L386),0)</f>
        <v>4.0192868615514925</v>
      </c>
      <c r="W387" s="170">
        <f>IF(Escenarios!$E$14&gt;0,MIN(V387*1,0.8*(Z386+R387+S387+T387+Observaciones!$F386-U387-Constantes!$E$35)),0)</f>
        <v>4.0192868615514925</v>
      </c>
      <c r="X387" s="170">
        <f>IF(Escenarios!$E$14&gt;0,Observaciones!$J386,0)</f>
        <v>0</v>
      </c>
      <c r="Y387" s="170">
        <f>IF(Escenarios!$E$14&gt;0,MAX(0,Z386+R387+S387+T387+Observaciones!$F386-U387-W387-X387-Constantes!$E$33),0)</f>
        <v>0</v>
      </c>
      <c r="Z387" s="170">
        <f>Z386+R387+S387+T387+Observaciones!$F386-U387-W387-Y387</f>
        <v>83.137590935781276</v>
      </c>
      <c r="AA387" s="170">
        <f>IF(Escenarios!$E$14&gt;0,(Escenarios!$E$13*L387+Escenarios!$E$14*W387)/(Escenarios!$E$16),L387)</f>
        <v>2.389882657622707</v>
      </c>
      <c r="AB387" s="170">
        <f>IF(Escenarios!$E$14&gt;0,(Escenarios!$E$14*Y387)/(Escenarios!$E$16),K387)</f>
        <v>0</v>
      </c>
      <c r="AC387" s="170">
        <f>IF(Escenarios!$E$14&gt;0,(Escenarios!$E$13*M387+Escenarios!$E$14*U387)/(Escenarios!$E$16),M387)</f>
        <v>0.2039602030813579</v>
      </c>
      <c r="AD387" s="76">
        <f t="shared" si="71"/>
        <v>102.87292632164632</v>
      </c>
      <c r="AE387" s="76">
        <f>MAX(0,(AD387-Constantes!$D$13)*(1-EXP(-Constantes!$D$23)))</f>
        <v>0.53328608412389056</v>
      </c>
      <c r="AF387" s="76">
        <f>AB387+O387*Escenarios!$E$13/Escenarios!$E$16+AE387</f>
        <v>1.227830638643125</v>
      </c>
      <c r="AG387" s="76">
        <f>IF(Entradas!$E$91&gt;0,IF(AF387-Escenarios!$E$38&lt;=0,0,IF(AF387-Escenarios!$E$38&gt;Escenarios!$E$37,Escenarios!$E$37,AF387-Escenarios!$E$38)),0)</f>
        <v>0</v>
      </c>
      <c r="AH387" s="76">
        <f>AG387*Entradas!$E$99</f>
        <v>0</v>
      </c>
      <c r="AI387" s="76">
        <f>IF(Entradas!$E$91&gt;0,D387*Entradas!$D$23/Escenarios!$E$16,0)</f>
        <v>0</v>
      </c>
      <c r="AJ387" s="76">
        <f>IF(Entradas!$E$91&gt;0,Entradas!$D$24*Entradas!$D$22/Escenarios!$E$16,0)</f>
        <v>0</v>
      </c>
      <c r="AK387" s="76">
        <f t="shared" si="80"/>
        <v>2.389882657622707</v>
      </c>
      <c r="AL387" s="76">
        <f t="shared" si="81"/>
        <v>0</v>
      </c>
      <c r="AM387" s="76">
        <f t="shared" si="72"/>
        <v>0</v>
      </c>
      <c r="AN387" s="76">
        <f>MAX(0,O387*Escenarios!$E$13/Escenarios!$E$16-AM387)</f>
        <v>0.69454455451923447</v>
      </c>
      <c r="AO387" s="76">
        <f>AM387+AN387-O387*Escenarios!$E$13/Escenarios!$E$16</f>
        <v>0</v>
      </c>
      <c r="AP387" s="76">
        <f t="shared" si="70"/>
        <v>0.53328608412389056</v>
      </c>
      <c r="AQ387" s="76">
        <f t="shared" si="73"/>
        <v>0</v>
      </c>
      <c r="AR387" s="76">
        <f t="shared" si="74"/>
        <v>1.227830638643125</v>
      </c>
      <c r="AS387" s="76">
        <f t="shared" si="75"/>
        <v>0</v>
      </c>
      <c r="AT387" s="76">
        <f t="shared" si="76"/>
        <v>0.2039602030813579</v>
      </c>
      <c r="AU387" s="76">
        <f t="shared" si="77"/>
        <v>48.75</v>
      </c>
      <c r="AV387" s="76">
        <f>MAX(0,(AU387-Constantes!$D$13)*(1-EXP(-Constantes!$D$24)))</f>
        <v>0</v>
      </c>
      <c r="AW387" s="170">
        <f>AW386+(Entradas!$E$112*AT387-AX386)/(800*Entradas!$D$25)</f>
        <v>0</v>
      </c>
      <c r="AX387" s="170">
        <f>8000*Entradas!$D$26*AW387/Constantes!$E$45</f>
        <v>0</v>
      </c>
      <c r="AY387" s="170">
        <f>IF(Escenarios!$E$17&gt;0,10*Escenarios!$E$16*AL387,0)</f>
        <v>0</v>
      </c>
      <c r="AZ387" s="170">
        <f>IF(Escenarios!$E$17&gt;0,10*Escenarios!$E$16*AX387,0)</f>
        <v>0</v>
      </c>
      <c r="BA387" s="170">
        <f>IF(Escenarios!$E$17&gt;0,0.001*Observaciones!$F386*Escenarios!$E$17,0)</f>
        <v>0</v>
      </c>
      <c r="BB387" s="170">
        <f>IF(Escenarios!$E$17&gt;0,Observaciones!$K386,0)</f>
        <v>59.605670222384049</v>
      </c>
      <c r="BC387" s="170">
        <f>IF(Escenarios!$E$17&gt;0,MIN(0.0005*ETo!$M386*Escenarios!$E$17*(BG386/Constantes!$E$40)^(2/3),BG386+AY387+AZ387+BA387+BB387),0)</f>
        <v>30.709417514446635</v>
      </c>
      <c r="BD387" s="170">
        <f>IF(Escenarios!$E$17&gt;0,MIN(Constantes!$E$39*(BG386/Constantes!$E$40)^(2/3),BG386+AY387+AZ387+BA387+BB387-BC387),0)</f>
        <v>49.201982241323712</v>
      </c>
      <c r="BE387" s="170">
        <f>IF(Escenarios!$E$17&gt;0,MIN(Entradas!$E$113,BG386+AY387+AZ387+BA387+BB387-BC387-BD387),0)</f>
        <v>1</v>
      </c>
      <c r="BF387" s="170">
        <f>IF(Escenarios!$E$17&gt;0,MAX(0,BG386+AY387+AZ387+BA387+BB387-BC387-BD387-BE387-Constantes!$E$40),0)</f>
        <v>0</v>
      </c>
      <c r="BG387" s="170">
        <f t="shared" si="82"/>
        <v>3194.1879504042718</v>
      </c>
      <c r="BH387" s="170">
        <f>(Escenarios!$E$16*AK387+0.1*BC387)/(Escenarios!$E$19)</f>
        <v>2.3831016117346091</v>
      </c>
      <c r="BI387" s="170">
        <f>IF(Escenarios!$E$17&gt;0,BF387/10/Escenarios!$E$19,AL387)</f>
        <v>0</v>
      </c>
      <c r="BJ387" s="170">
        <f>(Escenarios!$E$16*AT387+0.1*BD387)/(Escenarios!$E$19)</f>
        <v>0.22186606743838033</v>
      </c>
      <c r="BK387" s="76">
        <f>BK386+(0.1*BD387)/(Escenarios!$E$19)-BL386</f>
        <v>49.753550356667908</v>
      </c>
      <c r="BL387" s="76">
        <f>MAX(0,(BK387-Constantes!$D$13)*(1-EXP(-Constantes!$D$23)))</f>
        <v>9.8882206913213228E-3</v>
      </c>
      <c r="BM387" s="76">
        <f t="shared" si="78"/>
        <v>0.54317430481521189</v>
      </c>
      <c r="BN387" s="76">
        <f t="shared" si="83"/>
        <v>1.2377188593344464</v>
      </c>
      <c r="BO387" s="76">
        <f>0.0526*BI387*Observaciones!$F386^1.218</f>
        <v>0</v>
      </c>
      <c r="BP387" s="76">
        <f>BO387*Constantes!$E$51</f>
        <v>0</v>
      </c>
      <c r="BQ387" s="76">
        <f t="shared" si="79"/>
        <v>0</v>
      </c>
      <c r="BR387" s="40"/>
    </row>
    <row r="388" spans="1:70">
      <c r="A388" s="147"/>
      <c r="B388" s="39"/>
      <c r="C388" s="75">
        <v>382</v>
      </c>
      <c r="D388" s="146">
        <f>ETo!$I387*((1-Constantes!$E$19)*ETo!$K387+ETo!$L387)</f>
        <v>4.3609520193285114</v>
      </c>
      <c r="E388" s="76">
        <f>MIN(D388*Constantes!$E$17,0.8*(N387+Observaciones!$F387-F388-M388-Constantes!$D$14))</f>
        <v>2.1321231388791428</v>
      </c>
      <c r="F388" s="76">
        <f>IF(Observaciones!$F387&gt;0.05*Constantes!$E$18,((Observaciones!$F387-0.05*Constantes!$E$18)^2)/(Observaciones!$F387+0.95*Constantes!$E$18),0)</f>
        <v>6.6714413721169735E-2</v>
      </c>
      <c r="G388" s="76">
        <f>IF(Escenarios!$E$11&gt;0,(F388*Escenarios!$E$16*10000)/1000,0)</f>
        <v>166.78603430292432</v>
      </c>
      <c r="H388" s="76">
        <f>IF(Escenarios!$E$11&gt;0,(Observaciones!$F387*Constantes!$E$29)/1000,0)</f>
        <v>88</v>
      </c>
      <c r="I388" s="76">
        <f>IF(Escenarios!$E$11&gt;0,(D388*Constantes!$E$29)/1000,0)</f>
        <v>43.609520193285114</v>
      </c>
      <c r="J388" s="76">
        <f>IF(Escenarios!$E$11&gt;0,MAX(0,G388+H388-I388),0)</f>
        <v>211.17651410963921</v>
      </c>
      <c r="K388" s="76">
        <f>IF(Escenarios!$E$11&gt;0,IF(J388&gt;Constantes!$E$30,1000*((J388-Constantes!$E$30)/(Escenarios!$E$16*10000)),0),F388)</f>
        <v>0</v>
      </c>
      <c r="L388" s="76">
        <f>IF(Escenarios!$E$11&gt;0,I388*1000/Escenarios!$E$16/10000+E388,E388)</f>
        <v>2.1495669469564569</v>
      </c>
      <c r="M388" s="76">
        <f>MAX(0,N387+Observaciones!$F387-K388-Constantes!$D$13)</f>
        <v>0</v>
      </c>
      <c r="N388" s="76">
        <f>N387+Observaciones!$F387-K388-L388-M388-O387</f>
        <v>40.281175434343716</v>
      </c>
      <c r="O388" s="76">
        <f>MAX(0,(N388-Constantes!$D$14)*(1-EXP(-Constantes!$D$22)))</f>
        <v>0.98890841092058701</v>
      </c>
      <c r="P388" s="170">
        <f>P387+(Entradas!$E$83*M388-Q387)/(800*Entradas!$D$25)</f>
        <v>0</v>
      </c>
      <c r="Q388" s="170">
        <f>8000*Entradas!$D$26*P388/Constantes!$E$45</f>
        <v>0</v>
      </c>
      <c r="R388" s="170">
        <f>IF(Escenarios!$E$14&gt;0,K388*Escenarios!$E$13/Escenarios!$E$14,0)</f>
        <v>0</v>
      </c>
      <c r="S388" s="170">
        <f>IF(Escenarios!$E$14&gt;0,Q388*Escenarios!$E$13/Escenarios!$E$14,0)</f>
        <v>0</v>
      </c>
      <c r="T388" s="170">
        <f>IF(Escenarios!$E$14&gt;0,Observaciones!$I387,0)</f>
        <v>0</v>
      </c>
      <c r="U388" s="170">
        <f>IF(Escenarios!$E$14&gt;0,MAX(0,Constantes!$E$36/((Z387+R388+S388+T388+Observaciones!$F387)^2)+Entradas!$E$77),0)</f>
        <v>1.7853623252792046</v>
      </c>
      <c r="V388" s="146">
        <f>IF(ETo!D387&gt;0,ETo!I387*((1-Entradas!$E$81)*ETo!K387+ETo!L387),0)</f>
        <v>3.9852747383434242</v>
      </c>
      <c r="W388" s="170">
        <f>IF(Escenarios!$E$14&gt;0,MIN(V388*1,0.8*(Z387+R388+S388+T388+Observaciones!$F387-U388-Constantes!$E$35)),0)</f>
        <v>3.9852747383434242</v>
      </c>
      <c r="X388" s="170">
        <f>IF(Escenarios!$E$14&gt;0,Observaciones!$J387,0)</f>
        <v>0</v>
      </c>
      <c r="Y388" s="170">
        <f>IF(Escenarios!$E$14&gt;0,MAX(0,Z387+R388+S388+T388+Observaciones!$F387-U388-W388-X388-Constantes!$E$33),0)</f>
        <v>0</v>
      </c>
      <c r="Z388" s="170">
        <f>Z387+R388+S388+T388+Observaciones!$F387-U388-W388-Y388</f>
        <v>86.166953872158643</v>
      </c>
      <c r="AA388" s="170">
        <f>IF(Escenarios!$E$14&gt;0,(Escenarios!$E$13*L388+Escenarios!$E$14*W388)/(Escenarios!$E$16),L388)</f>
        <v>2.3698518819228931</v>
      </c>
      <c r="AB388" s="170">
        <f>IF(Escenarios!$E$14&gt;0,(Escenarios!$E$14*Y388)/(Escenarios!$E$16),K388)</f>
        <v>0</v>
      </c>
      <c r="AC388" s="170">
        <f>IF(Escenarios!$E$14&gt;0,(Escenarios!$E$13*M388+Escenarios!$E$14*U388)/(Escenarios!$E$16),M388)</f>
        <v>0.21424347903350455</v>
      </c>
      <c r="AD388" s="76">
        <f t="shared" si="71"/>
        <v>102.55388371655593</v>
      </c>
      <c r="AE388" s="76">
        <f>MAX(0,(AD388-Constantes!$D$13)*(1-EXP(-Constantes!$D$23)))</f>
        <v>0.5301424813459068</v>
      </c>
      <c r="AF388" s="76">
        <f>AB388+O388*Escenarios!$E$13/Escenarios!$E$16+AE388</f>
        <v>1.4003818829560233</v>
      </c>
      <c r="AG388" s="76">
        <f>IF(Entradas!$E$91&gt;0,IF(AF388-Escenarios!$E$38&lt;=0,0,IF(AF388-Escenarios!$E$38&gt;Escenarios!$E$37,Escenarios!$E$37,AF388-Escenarios!$E$38)),0)</f>
        <v>0</v>
      </c>
      <c r="AH388" s="76">
        <f>AG388*Entradas!$E$99</f>
        <v>0</v>
      </c>
      <c r="AI388" s="76">
        <f>IF(Entradas!$E$91&gt;0,D388*Entradas!$D$23/Escenarios!$E$16,0)</f>
        <v>0</v>
      </c>
      <c r="AJ388" s="76">
        <f>IF(Entradas!$E$91&gt;0,Entradas!$D$24*Entradas!$D$22/Escenarios!$E$16,0)</f>
        <v>0</v>
      </c>
      <c r="AK388" s="76">
        <f t="shared" si="80"/>
        <v>2.3698518819228931</v>
      </c>
      <c r="AL388" s="76">
        <f t="shared" si="81"/>
        <v>0</v>
      </c>
      <c r="AM388" s="76">
        <f t="shared" si="72"/>
        <v>0</v>
      </c>
      <c r="AN388" s="76">
        <f>MAX(0,O388*Escenarios!$E$13/Escenarios!$E$16-AM388)</f>
        <v>0.87023940161011659</v>
      </c>
      <c r="AO388" s="76">
        <f>AM388+AN388-O388*Escenarios!$E$13/Escenarios!$E$16</f>
        <v>0</v>
      </c>
      <c r="AP388" s="76">
        <f t="shared" si="70"/>
        <v>0.5301424813459068</v>
      </c>
      <c r="AQ388" s="76">
        <f t="shared" si="73"/>
        <v>0</v>
      </c>
      <c r="AR388" s="76">
        <f t="shared" si="74"/>
        <v>1.4003818829560233</v>
      </c>
      <c r="AS388" s="76">
        <f t="shared" si="75"/>
        <v>0</v>
      </c>
      <c r="AT388" s="76">
        <f t="shared" si="76"/>
        <v>0.21424347903350455</v>
      </c>
      <c r="AU388" s="76">
        <f t="shared" si="77"/>
        <v>48.75</v>
      </c>
      <c r="AV388" s="76">
        <f>MAX(0,(AU388-Constantes!$D$13)*(1-EXP(-Constantes!$D$24)))</f>
        <v>0</v>
      </c>
      <c r="AW388" s="170">
        <f>AW387+(Entradas!$E$112*AT388-AX387)/(800*Entradas!$D$25)</f>
        <v>0</v>
      </c>
      <c r="AX388" s="170">
        <f>8000*Entradas!$D$26*AW388/Constantes!$E$45</f>
        <v>0</v>
      </c>
      <c r="AY388" s="170">
        <f>IF(Escenarios!$E$17&gt;0,10*Escenarios!$E$16*AL388,0)</f>
        <v>0</v>
      </c>
      <c r="AZ388" s="170">
        <f>IF(Escenarios!$E$17&gt;0,10*Escenarios!$E$16*AX388,0)</f>
        <v>0</v>
      </c>
      <c r="BA388" s="170">
        <f>IF(Escenarios!$E$17&gt;0,0.001*Observaciones!$F387*Escenarios!$E$17,0)</f>
        <v>176</v>
      </c>
      <c r="BB388" s="170">
        <f>IF(Escenarios!$E$17&gt;0,Observaciones!$K387,0)</f>
        <v>0</v>
      </c>
      <c r="BC388" s="170">
        <f>IF(Escenarios!$E$17&gt;0,MIN(0.0005*ETo!$M387*Escenarios!$E$17*(BG387/Constantes!$E$40)^(2/3),BG387+AY388+AZ388+BA388+BB388),0)</f>
        <v>30.321903259332352</v>
      </c>
      <c r="BD388" s="170">
        <f>IF(Escenarios!$E$17&gt;0,MIN(Constantes!$E$39*(BG387/Constantes!$E$40)^(2/3),BG387+AY388+AZ388+BA388+BB388-BC388),0)</f>
        <v>48.984401303337947</v>
      </c>
      <c r="BE388" s="170">
        <f>IF(Escenarios!$E$17&gt;0,MIN(Entradas!$E$113,BG387+AY388+AZ388+BA388+BB388-BC388-BD388),0)</f>
        <v>1</v>
      </c>
      <c r="BF388" s="170">
        <f>IF(Escenarios!$E$17&gt;0,MAX(0,BG387+AY388+AZ388+BA388+BB388-BC388-BD388-BE388-Constantes!$E$40),0)</f>
        <v>0</v>
      </c>
      <c r="BG388" s="170">
        <f t="shared" si="82"/>
        <v>3289.8816458416013</v>
      </c>
      <c r="BH388" s="170">
        <f>(Escenarios!$E$16*AK388+0.1*BC388)/(Escenarios!$E$19)</f>
        <v>2.3630760349470497</v>
      </c>
      <c r="BI388" s="170">
        <f>IF(Escenarios!$E$17&gt;0,BF388/10/Escenarios!$E$19,AL388)</f>
        <v>0</v>
      </c>
      <c r="BJ388" s="170">
        <f>(Escenarios!$E$16*AT388+0.1*BD388)/(Escenarios!$E$19)</f>
        <v>0.23198138844726163</v>
      </c>
      <c r="BK388" s="76">
        <f>BK387+(0.1*BD388)/(Escenarios!$E$19)-BL387</f>
        <v>49.763100390462036</v>
      </c>
      <c r="BL388" s="76">
        <f>MAX(0,(BK388-Constantes!$D$13)*(1-EXP(-Constantes!$D$23)))</f>
        <v>9.9823194489356924E-3</v>
      </c>
      <c r="BM388" s="76">
        <f t="shared" si="78"/>
        <v>0.54012480079484249</v>
      </c>
      <c r="BN388" s="76">
        <f t="shared" si="83"/>
        <v>1.410364202404959</v>
      </c>
      <c r="BO388" s="76">
        <f>0.0526*BI388*Observaciones!$F387^1.218</f>
        <v>0</v>
      </c>
      <c r="BP388" s="76">
        <f>BO388*Constantes!$E$51</f>
        <v>0</v>
      </c>
      <c r="BQ388" s="76">
        <f t="shared" si="79"/>
        <v>0</v>
      </c>
      <c r="BR388" s="40"/>
    </row>
    <row r="389" spans="1:70">
      <c r="A389" s="147"/>
      <c r="B389" s="39"/>
      <c r="C389" s="75">
        <v>383</v>
      </c>
      <c r="D389" s="146">
        <f>ETo!$I388*((1-Constantes!$E$19)*ETo!$K388+ETo!$L388)</f>
        <v>4.2014125664483188</v>
      </c>
      <c r="E389" s="76">
        <f>MIN(D389*Constantes!$E$17,0.8*(N388+Observaciones!$F388-F389-M389-Constantes!$D$14))</f>
        <v>2.0541223359484206</v>
      </c>
      <c r="F389" s="76">
        <f>IF(Observaciones!$F388&gt;0.05*Constantes!$E$18,((Observaciones!$F388-0.05*Constantes!$E$18)^2)/(Observaciones!$F388+0.95*Constantes!$E$18),0)</f>
        <v>0</v>
      </c>
      <c r="G389" s="76">
        <f>IF(Escenarios!$E$11&gt;0,(F389*Escenarios!$E$16*10000)/1000,0)</f>
        <v>0</v>
      </c>
      <c r="H389" s="76">
        <f>IF(Escenarios!$E$11&gt;0,(Observaciones!$F388*Constantes!$E$29)/1000,0)</f>
        <v>25</v>
      </c>
      <c r="I389" s="76">
        <f>IF(Escenarios!$E$11&gt;0,(D389*Constantes!$E$29)/1000,0)</f>
        <v>42.014125664483188</v>
      </c>
      <c r="J389" s="76">
        <f>IF(Escenarios!$E$11&gt;0,MAX(0,G389+H389-I389),0)</f>
        <v>0</v>
      </c>
      <c r="K389" s="76">
        <f>IF(Escenarios!$E$11&gt;0,IF(J389&gt;Constantes!$E$30,1000*((J389-Constantes!$E$30)/(Escenarios!$E$16*10000)),0),F389)</f>
        <v>0</v>
      </c>
      <c r="L389" s="76">
        <f>IF(Escenarios!$E$11&gt;0,I389*1000/Escenarios!$E$16/10000+E389,E389)</f>
        <v>2.070927986214214</v>
      </c>
      <c r="M389" s="76">
        <f>MAX(0,N388+Observaciones!$F388-K389-Constantes!$D$13)</f>
        <v>0</v>
      </c>
      <c r="N389" s="76">
        <f>N388+Observaciones!$F388-K389-L389-M389-O388</f>
        <v>39.721339037208914</v>
      </c>
      <c r="O389" s="76">
        <f>MAX(0,(N389-Constantes!$D$14)*(1-EXP(-Constantes!$D$22)))</f>
        <v>0.96983832803268766</v>
      </c>
      <c r="P389" s="170">
        <f>P388+(Entradas!$E$83*M389-Q388)/(800*Entradas!$D$25)</f>
        <v>0</v>
      </c>
      <c r="Q389" s="170">
        <f>8000*Entradas!$D$26*P389/Constantes!$E$45</f>
        <v>0</v>
      </c>
      <c r="R389" s="170">
        <f>IF(Escenarios!$E$14&gt;0,K389*Escenarios!$E$13/Escenarios!$E$14,0)</f>
        <v>0</v>
      </c>
      <c r="S389" s="170">
        <f>IF(Escenarios!$E$14&gt;0,Q389*Escenarios!$E$13/Escenarios!$E$14,0)</f>
        <v>0</v>
      </c>
      <c r="T389" s="170">
        <f>IF(Escenarios!$E$14&gt;0,Observaciones!$I388,0)</f>
        <v>0</v>
      </c>
      <c r="U389" s="170">
        <f>IF(Escenarios!$E$14&gt;0,MAX(0,Constantes!$E$36/((Z388+R389+S389+T389+Observaciones!$F388)^2)+Entradas!$E$77),0)</f>
        <v>1.694101540486459</v>
      </c>
      <c r="V389" s="146">
        <f>IF(ETo!D388&gt;0,ETo!I388*((1-Entradas!$E$81)*ETo!K388+ETo!L388),0)</f>
        <v>3.8380482869337542</v>
      </c>
      <c r="W389" s="170">
        <f>IF(Escenarios!$E$14&gt;0,MIN(V389*1,0.8*(Z388+R389+S389+T389+Observaciones!$F388-U389-Constantes!$E$35)),0)</f>
        <v>3.8380482869337542</v>
      </c>
      <c r="X389" s="170">
        <f>IF(Escenarios!$E$14&gt;0,Observaciones!$J388,0)</f>
        <v>0</v>
      </c>
      <c r="Y389" s="170">
        <f>IF(Escenarios!$E$14&gt;0,MAX(0,Z388+R389+S389+T389+Observaciones!$F388-U389-W389-X389-Constantes!$E$33),0)</f>
        <v>0</v>
      </c>
      <c r="Z389" s="170">
        <f>Z388+R389+S389+T389+Observaciones!$F388-U389-W389-Y389</f>
        <v>83.134804044738431</v>
      </c>
      <c r="AA389" s="170">
        <f>IF(Escenarios!$E$14&gt;0,(Escenarios!$E$13*L389+Escenarios!$E$14*W389)/(Escenarios!$E$16),L389)</f>
        <v>2.282982422300559</v>
      </c>
      <c r="AB389" s="170">
        <f>IF(Escenarios!$E$14&gt;0,(Escenarios!$E$14*Y389)/(Escenarios!$E$16),K389)</f>
        <v>0</v>
      </c>
      <c r="AC389" s="170">
        <f>IF(Escenarios!$E$14&gt;0,(Escenarios!$E$13*M389+Escenarios!$E$14*U389)/(Escenarios!$E$16),M389)</f>
        <v>0.20329218485837511</v>
      </c>
      <c r="AD389" s="76">
        <f t="shared" si="71"/>
        <v>102.22703342006839</v>
      </c>
      <c r="AE389" s="76">
        <f>MAX(0,(AD389-Constantes!$D$13)*(1-EXP(-Constantes!$D$23)))</f>
        <v>0.52692194752493982</v>
      </c>
      <c r="AF389" s="76">
        <f>AB389+O389*Escenarios!$E$13/Escenarios!$E$16+AE389</f>
        <v>1.3803796761937051</v>
      </c>
      <c r="AG389" s="76">
        <f>IF(Entradas!$E$91&gt;0,IF(AF389-Escenarios!$E$38&lt;=0,0,IF(AF389-Escenarios!$E$38&gt;Escenarios!$E$37,Escenarios!$E$37,AF389-Escenarios!$E$38)),0)</f>
        <v>0</v>
      </c>
      <c r="AH389" s="76">
        <f>AG389*Entradas!$E$99</f>
        <v>0</v>
      </c>
      <c r="AI389" s="76">
        <f>IF(Entradas!$E$91&gt;0,D389*Entradas!$D$23/Escenarios!$E$16,0)</f>
        <v>0</v>
      </c>
      <c r="AJ389" s="76">
        <f>IF(Entradas!$E$91&gt;0,Entradas!$D$24*Entradas!$D$22/Escenarios!$E$16,0)</f>
        <v>0</v>
      </c>
      <c r="AK389" s="76">
        <f t="shared" si="80"/>
        <v>2.282982422300559</v>
      </c>
      <c r="AL389" s="76">
        <f t="shared" si="81"/>
        <v>0</v>
      </c>
      <c r="AM389" s="76">
        <f t="shared" si="72"/>
        <v>0</v>
      </c>
      <c r="AN389" s="76">
        <f>MAX(0,O389*Escenarios!$E$13/Escenarios!$E$16-AM389)</f>
        <v>0.85345772866876524</v>
      </c>
      <c r="AO389" s="76">
        <f>AM389+AN389-O389*Escenarios!$E$13/Escenarios!$E$16</f>
        <v>0</v>
      </c>
      <c r="AP389" s="76">
        <f t="shared" si="70"/>
        <v>0.52692194752493982</v>
      </c>
      <c r="AQ389" s="76">
        <f t="shared" si="73"/>
        <v>0</v>
      </c>
      <c r="AR389" s="76">
        <f t="shared" si="74"/>
        <v>1.3803796761937051</v>
      </c>
      <c r="AS389" s="76">
        <f t="shared" si="75"/>
        <v>0</v>
      </c>
      <c r="AT389" s="76">
        <f t="shared" si="76"/>
        <v>0.20329218485837511</v>
      </c>
      <c r="AU389" s="76">
        <f t="shared" si="77"/>
        <v>48.75</v>
      </c>
      <c r="AV389" s="76">
        <f>MAX(0,(AU389-Constantes!$D$13)*(1-EXP(-Constantes!$D$24)))</f>
        <v>0</v>
      </c>
      <c r="AW389" s="170">
        <f>AW388+(Entradas!$E$112*AT389-AX388)/(800*Entradas!$D$25)</f>
        <v>0</v>
      </c>
      <c r="AX389" s="170">
        <f>8000*Entradas!$D$26*AW389/Constantes!$E$45</f>
        <v>0</v>
      </c>
      <c r="AY389" s="170">
        <f>IF(Escenarios!$E$17&gt;0,10*Escenarios!$E$16*AL389,0)</f>
        <v>0</v>
      </c>
      <c r="AZ389" s="170">
        <f>IF(Escenarios!$E$17&gt;0,10*Escenarios!$E$16*AX389,0)</f>
        <v>0</v>
      </c>
      <c r="BA389" s="170">
        <f>IF(Escenarios!$E$17&gt;0,0.001*Observaciones!$F388*Escenarios!$E$17,0)</f>
        <v>50</v>
      </c>
      <c r="BB389" s="170">
        <f>IF(Escenarios!$E$17&gt;0,Observaciones!$K388,0)</f>
        <v>5.2866259044669099E-3</v>
      </c>
      <c r="BC389" s="170">
        <f>IF(Escenarios!$E$17&gt;0,MIN(0.0005*ETo!$M388*Escenarios!$E$17*(BG388/Constantes!$E$40)^(2/3),BG388+AY389+AZ389+BA389+BB389),0)</f>
        <v>29.807248627706276</v>
      </c>
      <c r="BD389" s="170">
        <f>IF(Escenarios!$E$17&gt;0,MIN(Constantes!$E$39*(BG388/Constantes!$E$40)^(2/3),BG388+AY389+AZ389+BA389+BB389-BC389),0)</f>
        <v>49.95791935789935</v>
      </c>
      <c r="BE389" s="170">
        <f>IF(Escenarios!$E$17&gt;0,MIN(Entradas!$E$113,BG388+AY389+AZ389+BA389+BB389-BC389-BD389),0)</f>
        <v>1</v>
      </c>
      <c r="BF389" s="170">
        <f>IF(Escenarios!$E$17&gt;0,MAX(0,BG388+AY389+AZ389+BA389+BB389-BC389-BD389-BE389-Constantes!$E$40),0)</f>
        <v>0</v>
      </c>
      <c r="BG389" s="170">
        <f t="shared" si="82"/>
        <v>3259.1217644818998</v>
      </c>
      <c r="BH389" s="170">
        <f>(Escenarios!$E$16*AK389+0.1*BC389)/(Escenarios!$E$19)</f>
        <v>2.2766917874520254</v>
      </c>
      <c r="BI389" s="170">
        <f>IF(Escenarios!$E$17&gt;0,BF389/10/Escenarios!$E$19,AL389)</f>
        <v>0</v>
      </c>
      <c r="BJ389" s="170">
        <f>(Escenarios!$E$16*AT389+0.1*BD389)/(Escenarios!$E$19)</f>
        <v>0.22150332599358616</v>
      </c>
      <c r="BK389" s="76">
        <f>BK388+(0.1*BD389)/(Escenarios!$E$19)-BL388</f>
        <v>49.772942642186869</v>
      </c>
      <c r="BL389" s="76">
        <f>MAX(0,(BK389-Constantes!$D$13)*(1-EXP(-Constantes!$D$23)))</f>
        <v>1.0079297499422202E-2</v>
      </c>
      <c r="BM389" s="76">
        <f t="shared" si="78"/>
        <v>0.53700124502436197</v>
      </c>
      <c r="BN389" s="76">
        <f t="shared" si="83"/>
        <v>1.3904589736931272</v>
      </c>
      <c r="BO389" s="76">
        <f>0.0526*BI389*Observaciones!$F388^1.218</f>
        <v>0</v>
      </c>
      <c r="BP389" s="76">
        <f>BO389*Constantes!$E$51</f>
        <v>0</v>
      </c>
      <c r="BQ389" s="76">
        <f t="shared" si="79"/>
        <v>0</v>
      </c>
      <c r="BR389" s="40"/>
    </row>
    <row r="390" spans="1:70">
      <c r="A390" s="147"/>
      <c r="B390" s="39"/>
      <c r="C390" s="75">
        <v>384</v>
      </c>
      <c r="D390" s="146">
        <f>ETo!$I389*((1-Constantes!$E$19)*ETo!$K389+ETo!$L389)</f>
        <v>4.2917431442066443</v>
      </c>
      <c r="E390" s="76">
        <f>MIN(D390*Constantes!$E$17,0.8*(N389+Observaciones!$F389-F390-M390-Constantes!$D$14))</f>
        <v>2.0982860676595765</v>
      </c>
      <c r="F390" s="76">
        <f>IF(Observaciones!$F389&gt;0.05*Constantes!$E$18,((Observaciones!$F389-0.05*Constantes!$E$18)^2)/(Observaciones!$F389+0.95*Constantes!$E$18),0)</f>
        <v>3.1474114626397952E-2</v>
      </c>
      <c r="G390" s="76">
        <f>IF(Escenarios!$E$11&gt;0,(F390*Escenarios!$E$16*10000)/1000,0)</f>
        <v>78.685286565994886</v>
      </c>
      <c r="H390" s="76">
        <f>IF(Escenarios!$E$11&gt;0,(Observaciones!$F389*Constantes!$E$29)/1000,0)</f>
        <v>79</v>
      </c>
      <c r="I390" s="76">
        <f>IF(Escenarios!$E$11&gt;0,(D390*Constantes!$E$29)/1000,0)</f>
        <v>42.917431442066444</v>
      </c>
      <c r="J390" s="76">
        <f>IF(Escenarios!$E$11&gt;0,MAX(0,G390+H390-I390),0)</f>
        <v>114.76785512392844</v>
      </c>
      <c r="K390" s="76">
        <f>IF(Escenarios!$E$11&gt;0,IF(J390&gt;Constantes!$E$30,1000*((J390-Constantes!$E$30)/(Escenarios!$E$16*10000)),0),F390)</f>
        <v>0</v>
      </c>
      <c r="L390" s="76">
        <f>IF(Escenarios!$E$11&gt;0,I390*1000/Escenarios!$E$16/10000+E390,E390)</f>
        <v>2.1154530402364031</v>
      </c>
      <c r="M390" s="76">
        <f>MAX(0,N389+Observaciones!$F389-K390-Constantes!$D$13)</f>
        <v>0</v>
      </c>
      <c r="N390" s="76">
        <f>N389+Observaciones!$F389-K390-L390-M390-O389</f>
        <v>44.536047668939823</v>
      </c>
      <c r="O390" s="76">
        <f>MAX(0,(N390-Constantes!$D$14)*(1-EXP(-Constantes!$D$22)))</f>
        <v>1.133844979186676</v>
      </c>
      <c r="P390" s="170">
        <f>P389+(Entradas!$E$83*M390-Q389)/(800*Entradas!$D$25)</f>
        <v>0</v>
      </c>
      <c r="Q390" s="170">
        <f>8000*Entradas!$D$26*P390/Constantes!$E$45</f>
        <v>0</v>
      </c>
      <c r="R390" s="170">
        <f>IF(Escenarios!$E$14&gt;0,K390*Escenarios!$E$13/Escenarios!$E$14,0)</f>
        <v>0</v>
      </c>
      <c r="S390" s="170">
        <f>IF(Escenarios!$E$14&gt;0,Q390*Escenarios!$E$13/Escenarios!$E$14,0)</f>
        <v>0</v>
      </c>
      <c r="T390" s="170">
        <f>IF(Escenarios!$E$14&gt;0,Observaciones!$I389,0)</f>
        <v>0</v>
      </c>
      <c r="U390" s="170">
        <f>IF(Escenarios!$E$14&gt;0,MAX(0,Constantes!$E$36/((Z389+R390+S390+T390+Observaciones!$F389)^2)+Entradas!$E$77),0)</f>
        <v>1.7611518875759999</v>
      </c>
      <c r="V390" s="146">
        <f>IF(ETo!D389&gt;0,ETo!I389*((1-Entradas!$E$81)*ETo!K389+ETo!L389),0)</f>
        <v>3.9213303871607632</v>
      </c>
      <c r="W390" s="170">
        <f>IF(Escenarios!$E$14&gt;0,MIN(V390*1,0.8*(Z389+R390+S390+T390+Observaciones!$F389-U390-Constantes!$E$35)),0)</f>
        <v>3.9213303871607632</v>
      </c>
      <c r="X390" s="170">
        <f>IF(Escenarios!$E$14&gt;0,Observaciones!$J389,0)</f>
        <v>0</v>
      </c>
      <c r="Y390" s="170">
        <f>IF(Escenarios!$E$14&gt;0,MAX(0,Z389+R390+S390+T390+Observaciones!$F389-U390-W390-X390-Constantes!$E$33),0)</f>
        <v>0</v>
      </c>
      <c r="Z390" s="170">
        <f>Z389+R390+S390+T390+Observaciones!$F389-U390-W390-Y390</f>
        <v>85.352321770001666</v>
      </c>
      <c r="AA390" s="170">
        <f>IF(Escenarios!$E$14&gt;0,(Escenarios!$E$13*L390+Escenarios!$E$14*W390)/(Escenarios!$E$16),L390)</f>
        <v>2.3321583218673263</v>
      </c>
      <c r="AB390" s="170">
        <f>IF(Escenarios!$E$14&gt;0,(Escenarios!$E$14*Y390)/(Escenarios!$E$16),K390)</f>
        <v>0</v>
      </c>
      <c r="AC390" s="170">
        <f>IF(Escenarios!$E$14&gt;0,(Escenarios!$E$13*M390+Escenarios!$E$14*U390)/(Escenarios!$E$16),M390)</f>
        <v>0.21133822650912001</v>
      </c>
      <c r="AD390" s="76">
        <f t="shared" si="71"/>
        <v>101.91144969905257</v>
      </c>
      <c r="AE390" s="76">
        <f>MAX(0,(AD390-Constantes!$D$13)*(1-EXP(-Constantes!$D$23)))</f>
        <v>0.52381242595558464</v>
      </c>
      <c r="AF390" s="76">
        <f>AB390+O390*Escenarios!$E$13/Escenarios!$E$16+AE390</f>
        <v>1.5215960076398596</v>
      </c>
      <c r="AG390" s="76">
        <f>IF(Entradas!$E$91&gt;0,IF(AF390-Escenarios!$E$38&lt;=0,0,IF(AF390-Escenarios!$E$38&gt;Escenarios!$E$37,Escenarios!$E$37,AF390-Escenarios!$E$38)),0)</f>
        <v>0</v>
      </c>
      <c r="AH390" s="76">
        <f>AG390*Entradas!$E$99</f>
        <v>0</v>
      </c>
      <c r="AI390" s="76">
        <f>IF(Entradas!$E$91&gt;0,D390*Entradas!$D$23/Escenarios!$E$16,0)</f>
        <v>0</v>
      </c>
      <c r="AJ390" s="76">
        <f>IF(Entradas!$E$91&gt;0,Entradas!$D$24*Entradas!$D$22/Escenarios!$E$16,0)</f>
        <v>0</v>
      </c>
      <c r="AK390" s="76">
        <f t="shared" si="80"/>
        <v>2.3321583218673263</v>
      </c>
      <c r="AL390" s="76">
        <f t="shared" si="81"/>
        <v>0</v>
      </c>
      <c r="AM390" s="76">
        <f t="shared" si="72"/>
        <v>0</v>
      </c>
      <c r="AN390" s="76">
        <f>MAX(0,O390*Escenarios!$E$13/Escenarios!$E$16-AM390)</f>
        <v>0.99778358168427495</v>
      </c>
      <c r="AO390" s="76">
        <f>AM390+AN390-O390*Escenarios!$E$13/Escenarios!$E$16</f>
        <v>0</v>
      </c>
      <c r="AP390" s="76">
        <f t="shared" ref="AP390:AP453" si="84">MAX(0,AE390-AO390)</f>
        <v>0.52381242595558464</v>
      </c>
      <c r="AQ390" s="76">
        <f t="shared" si="73"/>
        <v>0</v>
      </c>
      <c r="AR390" s="76">
        <f t="shared" si="74"/>
        <v>1.5215960076398596</v>
      </c>
      <c r="AS390" s="76">
        <f t="shared" si="75"/>
        <v>0</v>
      </c>
      <c r="AT390" s="76">
        <f t="shared" si="76"/>
        <v>0.21133822650912001</v>
      </c>
      <c r="AU390" s="76">
        <f t="shared" si="77"/>
        <v>48.75</v>
      </c>
      <c r="AV390" s="76">
        <f>MAX(0,(AU390-Constantes!$D$13)*(1-EXP(-Constantes!$D$24)))</f>
        <v>0</v>
      </c>
      <c r="AW390" s="170">
        <f>AW389+(Entradas!$E$112*AT390-AX389)/(800*Entradas!$D$25)</f>
        <v>0</v>
      </c>
      <c r="AX390" s="170">
        <f>8000*Entradas!$D$26*AW390/Constantes!$E$45</f>
        <v>0</v>
      </c>
      <c r="AY390" s="170">
        <f>IF(Escenarios!$E$17&gt;0,10*Escenarios!$E$16*AL390,0)</f>
        <v>0</v>
      </c>
      <c r="AZ390" s="170">
        <f>IF(Escenarios!$E$17&gt;0,10*Escenarios!$E$16*AX390,0)</f>
        <v>0</v>
      </c>
      <c r="BA390" s="170">
        <f>IF(Escenarios!$E$17&gt;0,0.001*Observaciones!$F389*Escenarios!$E$17,0)</f>
        <v>158.00000000000003</v>
      </c>
      <c r="BB390" s="170">
        <f>IF(Escenarios!$E$17&gt;0,Observaciones!$K389,0)</f>
        <v>0</v>
      </c>
      <c r="BC390" s="170">
        <f>IF(Escenarios!$E$17&gt;0,MIN(0.0005*ETo!$M389*Escenarios!$E$17*(BG389/Constantes!$E$40)^(2/3),BG389+AY390+AZ390+BA390+BB390),0)</f>
        <v>30.250559758585602</v>
      </c>
      <c r="BD390" s="170">
        <f>IF(Escenarios!$E$17&gt;0,MIN(Constantes!$E$39*(BG389/Constantes!$E$40)^(2/3),BG389+AY390+AZ390+BA390+BB390-BC390),0)</f>
        <v>49.646032894266312</v>
      </c>
      <c r="BE390" s="170">
        <f>IF(Escenarios!$E$17&gt;0,MIN(Entradas!$E$113,BG389+AY390+AZ390+BA390+BB390-BC390-BD390),0)</f>
        <v>1</v>
      </c>
      <c r="BF390" s="170">
        <f>IF(Escenarios!$E$17&gt;0,MAX(0,BG389+AY390+AZ390+BA390+BB390-BC390-BD390-BE390-Constantes!$E$40),0)</f>
        <v>0</v>
      </c>
      <c r="BG390" s="170">
        <f t="shared" si="82"/>
        <v>3336.2251718290481</v>
      </c>
      <c r="BH390" s="170">
        <f>(Escenarios!$E$16*AK390+0.1*BC390)/(Escenarios!$E$19)</f>
        <v>2.3256533192170243</v>
      </c>
      <c r="BI390" s="170">
        <f>IF(Escenarios!$E$17&gt;0,BF390/10/Escenarios!$E$19,AL390)</f>
        <v>0</v>
      </c>
      <c r="BJ390" s="170">
        <f>(Escenarios!$E$16*AT390+0.1*BD390)/(Escenarios!$E$19)</f>
        <v>0.22936174570121681</v>
      </c>
      <c r="BK390" s="76">
        <f>BK389+(0.1*BD390)/(Escenarios!$E$19)-BL389</f>
        <v>49.782564151391519</v>
      </c>
      <c r="BL390" s="76">
        <f>MAX(0,(BK390-Constantes!$D$13)*(1-EXP(-Constantes!$D$23)))</f>
        <v>1.0174100521280561E-2</v>
      </c>
      <c r="BM390" s="76">
        <f t="shared" si="78"/>
        <v>0.53398652647686518</v>
      </c>
      <c r="BN390" s="76">
        <f t="shared" si="83"/>
        <v>1.5317701081611401</v>
      </c>
      <c r="BO390" s="76">
        <f>0.0526*BI390*Observaciones!$F389^1.218</f>
        <v>0</v>
      </c>
      <c r="BP390" s="76">
        <f>BO390*Constantes!$E$51</f>
        <v>0</v>
      </c>
      <c r="BQ390" s="76">
        <f t="shared" si="79"/>
        <v>0</v>
      </c>
      <c r="BR390" s="40"/>
    </row>
    <row r="391" spans="1:70">
      <c r="A391" s="147"/>
      <c r="B391" s="39"/>
      <c r="C391" s="75">
        <v>385</v>
      </c>
      <c r="D391" s="146">
        <f>ETo!$I390*((1-Constantes!$E$19)*ETo!$K390+ETo!$L390)</f>
        <v>4.2365734291985797</v>
      </c>
      <c r="E391" s="76">
        <f>MIN(D391*Constantes!$E$17,0.8*(N390+Observaciones!$F390-F391-M391-Constantes!$D$14))</f>
        <v>2.0713129146845586</v>
      </c>
      <c r="F391" s="76">
        <f>IF(Observaciones!$F390&gt;0.05*Constantes!$E$18,((Observaciones!$F390-0.05*Constantes!$E$18)^2)/(Observaciones!$F390+0.95*Constantes!$E$18),0)</f>
        <v>0</v>
      </c>
      <c r="G391" s="76">
        <f>IF(Escenarios!$E$11&gt;0,(F391*Escenarios!$E$16*10000)/1000,0)</f>
        <v>0</v>
      </c>
      <c r="H391" s="76">
        <f>IF(Escenarios!$E$11&gt;0,(Observaciones!$F390*Constantes!$E$29)/1000,0)</f>
        <v>50</v>
      </c>
      <c r="I391" s="76">
        <f>IF(Escenarios!$E$11&gt;0,(D391*Constantes!$E$29)/1000,0)</f>
        <v>42.365734291985795</v>
      </c>
      <c r="J391" s="76">
        <f>IF(Escenarios!$E$11&gt;0,MAX(0,G391+H391-I391),0)</f>
        <v>7.6342657080142047</v>
      </c>
      <c r="K391" s="76">
        <f>IF(Escenarios!$E$11&gt;0,IF(J391&gt;Constantes!$E$30,1000*((J391-Constantes!$E$30)/(Escenarios!$E$16*10000)),0),F391)</f>
        <v>0</v>
      </c>
      <c r="L391" s="76">
        <f>IF(Escenarios!$E$11&gt;0,I391*1000/Escenarios!$E$16/10000+E391,E391)</f>
        <v>2.0882592084013529</v>
      </c>
      <c r="M391" s="76">
        <f>MAX(0,N390+Observaciones!$F390-K391-Constantes!$D$13)</f>
        <v>0.78604766893982259</v>
      </c>
      <c r="N391" s="76">
        <f>N390+Observaciones!$F390-K391-L391-M391-O390</f>
        <v>45.52789581241197</v>
      </c>
      <c r="O391" s="76">
        <f>MAX(0,(N391-Constantes!$D$14)*(1-EXP(-Constantes!$D$22)))</f>
        <v>1.1676309681024137</v>
      </c>
      <c r="P391" s="170">
        <f>P390+(Entradas!$E$83*M391-Q390)/(800*Entradas!$D$25)</f>
        <v>0</v>
      </c>
      <c r="Q391" s="170">
        <f>8000*Entradas!$D$26*P391/Constantes!$E$45</f>
        <v>0</v>
      </c>
      <c r="R391" s="170">
        <f>IF(Escenarios!$E$14&gt;0,K391*Escenarios!$E$13/Escenarios!$E$14,0)</f>
        <v>0</v>
      </c>
      <c r="S391" s="170">
        <f>IF(Escenarios!$E$14&gt;0,Q391*Escenarios!$E$13/Escenarios!$E$14,0)</f>
        <v>0</v>
      </c>
      <c r="T391" s="170">
        <f>IF(Escenarios!$E$14&gt;0,Observaciones!$I390,0)</f>
        <v>0</v>
      </c>
      <c r="U391" s="170">
        <f>IF(Escenarios!$E$14&gt;0,MAX(0,Constantes!$E$36/((Z390+R391+S391+T391+Observaciones!$F390)^2)+Entradas!$E$77),0)</f>
        <v>1.7423657600969322</v>
      </c>
      <c r="V391" s="146">
        <f>IF(ETo!D390&gt;0,ETo!I390*((1-Entradas!$E$81)*ETo!K390+ETo!L390),0)</f>
        <v>3.8704309165882385</v>
      </c>
      <c r="W391" s="170">
        <f>IF(Escenarios!$E$14&gt;0,MIN(V391*1,0.8*(Z390+R391+S391+T391+Observaciones!$F390-U391-Constantes!$E$35)),0)</f>
        <v>3.8704309165882385</v>
      </c>
      <c r="X391" s="170">
        <f>IF(Escenarios!$E$14&gt;0,Observaciones!$J390,0)</f>
        <v>0</v>
      </c>
      <c r="Y391" s="170">
        <f>IF(Escenarios!$E$14&gt;0,MAX(0,Z390+R391+S391+T391+Observaciones!$F390-U391-W391-X391-Constantes!$E$33),0)</f>
        <v>0</v>
      </c>
      <c r="Z391" s="170">
        <f>Z390+R391+S391+T391+Observaciones!$F390-U391-W391-Y391</f>
        <v>84.739525093316502</v>
      </c>
      <c r="AA391" s="170">
        <f>IF(Escenarios!$E$14&gt;0,(Escenarios!$E$13*L391+Escenarios!$E$14*W391)/(Escenarios!$E$16),L391)</f>
        <v>2.3021198133837792</v>
      </c>
      <c r="AB391" s="170">
        <f>IF(Escenarios!$E$14&gt;0,(Escenarios!$E$14*Y391)/(Escenarios!$E$16),K391)</f>
        <v>0</v>
      </c>
      <c r="AC391" s="170">
        <f>IF(Escenarios!$E$14&gt;0,(Escenarios!$E$13*M391+Escenarios!$E$14*U391)/(Escenarios!$E$16),M391)</f>
        <v>0.9008058398786758</v>
      </c>
      <c r="AD391" s="76">
        <f t="shared" ref="AD391:AD454" si="85">AD390+AC391-AE390</f>
        <v>102.28844311297566</v>
      </c>
      <c r="AE391" s="76">
        <f>MAX(0,(AD391-Constantes!$D$13)*(1-EXP(-Constantes!$D$23)))</f>
        <v>0.5275270318558043</v>
      </c>
      <c r="AF391" s="76">
        <f>AB391+O391*Escenarios!$E$13/Escenarios!$E$16+AE391</f>
        <v>1.5550422837859283</v>
      </c>
      <c r="AG391" s="76">
        <f>IF(Entradas!$E$91&gt;0,IF(AF391-Escenarios!$E$38&lt;=0,0,IF(AF391-Escenarios!$E$38&gt;Escenarios!$E$37,Escenarios!$E$37,AF391-Escenarios!$E$38)),0)</f>
        <v>0</v>
      </c>
      <c r="AH391" s="76">
        <f>AG391*Entradas!$E$99</f>
        <v>0</v>
      </c>
      <c r="AI391" s="76">
        <f>IF(Entradas!$E$91&gt;0,D391*Entradas!$D$23/Escenarios!$E$16,0)</f>
        <v>0</v>
      </c>
      <c r="AJ391" s="76">
        <f>IF(Entradas!$E$91&gt;0,Entradas!$D$24*Entradas!$D$22/Escenarios!$E$16,0)</f>
        <v>0</v>
      </c>
      <c r="AK391" s="76">
        <f t="shared" si="80"/>
        <v>2.3021198133837792</v>
      </c>
      <c r="AL391" s="76">
        <f t="shared" si="81"/>
        <v>0</v>
      </c>
      <c r="AM391" s="76">
        <f t="shared" ref="AM391:AM454" si="86">AG391+AL391-AB391</f>
        <v>0</v>
      </c>
      <c r="AN391" s="76">
        <f>MAX(0,O391*Escenarios!$E$13/Escenarios!$E$16-AM391)</f>
        <v>1.0275152519301241</v>
      </c>
      <c r="AO391" s="76">
        <f>AM391+AN391-O391*Escenarios!$E$13/Escenarios!$E$16</f>
        <v>0</v>
      </c>
      <c r="AP391" s="76">
        <f t="shared" si="84"/>
        <v>0.5275270318558043</v>
      </c>
      <c r="AQ391" s="76">
        <f t="shared" ref="AQ391:AQ454" si="87">AO391+AP391-AE391</f>
        <v>0</v>
      </c>
      <c r="AR391" s="76">
        <f t="shared" ref="AR391:AR454" si="88">AL391+AN391+AP391+AH391</f>
        <v>1.5550422837859283</v>
      </c>
      <c r="AS391" s="76">
        <f t="shared" ref="AS391:AS454" si="89">MAX(0,AG391-AH391-AI391-AJ391)</f>
        <v>0</v>
      </c>
      <c r="AT391" s="76">
        <f t="shared" ref="AT391:AT454" si="90">AC391+AS391</f>
        <v>0.9008058398786758</v>
      </c>
      <c r="AU391" s="76">
        <f t="shared" ref="AU391:AU454" si="91">AU390+AS391-AV390</f>
        <v>48.75</v>
      </c>
      <c r="AV391" s="76">
        <f>MAX(0,(AU391-Constantes!$D$13)*(1-EXP(-Constantes!$D$24)))</f>
        <v>0</v>
      </c>
      <c r="AW391" s="170">
        <f>AW390+(Entradas!$E$112*AT391-AX390)/(800*Entradas!$D$25)</f>
        <v>0</v>
      </c>
      <c r="AX391" s="170">
        <f>8000*Entradas!$D$26*AW391/Constantes!$E$45</f>
        <v>0</v>
      </c>
      <c r="AY391" s="170">
        <f>IF(Escenarios!$E$17&gt;0,10*Escenarios!$E$16*AL391,0)</f>
        <v>0</v>
      </c>
      <c r="AZ391" s="170">
        <f>IF(Escenarios!$E$17&gt;0,10*Escenarios!$E$16*AX391,0)</f>
        <v>0</v>
      </c>
      <c r="BA391" s="170">
        <f>IF(Escenarios!$E$17&gt;0,0.001*Observaciones!$F390*Escenarios!$E$17,0)</f>
        <v>100</v>
      </c>
      <c r="BB391" s="170">
        <f>IF(Escenarios!$E$17&gt;0,Observaciones!$K390,0)</f>
        <v>62.043936092893496</v>
      </c>
      <c r="BC391" s="170">
        <f>IF(Escenarios!$E$17&gt;0,MIN(0.0005*ETo!$M390*Escenarios!$E$17*(BG390/Constantes!$E$40)^(2/3),BG390+AY391+AZ391+BA391+BB391),0)</f>
        <v>30.335702178635703</v>
      </c>
      <c r="BD391" s="170">
        <f>IF(Escenarios!$E$17&gt;0,MIN(Constantes!$E$39*(BG390/Constantes!$E$40)^(2/3),BG390+AY391+AZ391+BA391+BB391-BC391),0)</f>
        <v>50.425985688416553</v>
      </c>
      <c r="BE391" s="170">
        <f>IF(Escenarios!$E$17&gt;0,MIN(Entradas!$E$113,BG390+AY391+AZ391+BA391+BB391-BC391-BD391),0)</f>
        <v>1</v>
      </c>
      <c r="BF391" s="170">
        <f>IF(Escenarios!$E$17&gt;0,MAX(0,BG390+AY391+AZ391+BA391+BB391-BC391-BD391-BE391-Constantes!$E$40),0)</f>
        <v>0</v>
      </c>
      <c r="BG391" s="170">
        <f t="shared" si="82"/>
        <v>3416.5074200548897</v>
      </c>
      <c r="BH391" s="170">
        <f>(Escenarios!$E$16*AK391+0.1*BC391)/(Escenarios!$E$19)</f>
        <v>2.295886998269081</v>
      </c>
      <c r="BI391" s="170">
        <f>IF(Escenarios!$E$17&gt;0,BF391/10/Escenarios!$E$19,AL391)</f>
        <v>0</v>
      </c>
      <c r="BJ391" s="170">
        <f>(Escenarios!$E$16*AT391+0.1*BD391)/(Escenarios!$E$19)</f>
        <v>0.91366689896234365</v>
      </c>
      <c r="BK391" s="76">
        <f>BK390+(0.1*BD391)/(Escenarios!$E$19)-BL390</f>
        <v>49.792400362651357</v>
      </c>
      <c r="BL391" s="76">
        <f>MAX(0,(BK391-Constantes!$D$13)*(1-EXP(-Constantes!$D$23)))</f>
        <v>1.0271019053626739E-2</v>
      </c>
      <c r="BM391" s="76">
        <f t="shared" ref="BM391:BM454" si="92">AP391+AV391+BL391</f>
        <v>0.537798050909431</v>
      </c>
      <c r="BN391" s="76">
        <f t="shared" si="83"/>
        <v>1.5653133028395552</v>
      </c>
      <c r="BO391" s="76">
        <f>0.0526*BI391*Observaciones!$F390^1.218</f>
        <v>0</v>
      </c>
      <c r="BP391" s="76">
        <f>BO391*Constantes!$E$51</f>
        <v>0</v>
      </c>
      <c r="BQ391" s="76">
        <f t="shared" ref="BQ391:BQ454" si="93">BP391*1000000/(BN391/1000*10000)</f>
        <v>0</v>
      </c>
      <c r="BR391" s="40"/>
    </row>
    <row r="392" spans="1:70">
      <c r="A392" s="147"/>
      <c r="B392" s="39"/>
      <c r="C392" s="75">
        <v>386</v>
      </c>
      <c r="D392" s="146">
        <f>ETo!$I391*((1-Constantes!$E$19)*ETo!$K391+ETo!$L391)</f>
        <v>4.4401023676060651</v>
      </c>
      <c r="E392" s="76">
        <f>MIN(D392*Constantes!$E$17,0.8*(N391+Observaciones!$F391-F392-M392-Constantes!$D$14))</f>
        <v>2.1708207187344013</v>
      </c>
      <c r="F392" s="76">
        <f>IF(Observaciones!$F391&gt;0.05*Constantes!$E$18,((Observaciones!$F391-0.05*Constantes!$E$18)^2)/(Observaciones!$F391+0.95*Constantes!$E$18),0)</f>
        <v>5.2819898802982865E-4</v>
      </c>
      <c r="G392" s="76">
        <f>IF(Escenarios!$E$11&gt;0,(F392*Escenarios!$E$16*10000)/1000,0)</f>
        <v>1.3204974700745717</v>
      </c>
      <c r="H392" s="76">
        <f>IF(Escenarios!$E$11&gt;0,(Observaciones!$F391*Constantes!$E$29)/1000,0)</f>
        <v>62</v>
      </c>
      <c r="I392" s="76">
        <f>IF(Escenarios!$E$11&gt;0,(D392*Constantes!$E$29)/1000,0)</f>
        <v>44.401023676060646</v>
      </c>
      <c r="J392" s="76">
        <f>IF(Escenarios!$E$11&gt;0,MAX(0,G392+H392-I392),0)</f>
        <v>18.919473794013925</v>
      </c>
      <c r="K392" s="76">
        <f>IF(Escenarios!$E$11&gt;0,IF(J392&gt;Constantes!$E$30,1000*((J392-Constantes!$E$30)/(Escenarios!$E$16*10000)),0),F392)</f>
        <v>0</v>
      </c>
      <c r="L392" s="76">
        <f>IF(Escenarios!$E$11&gt;0,I392*1000/Escenarios!$E$16/10000+E392,E392)</f>
        <v>2.1885811282048255</v>
      </c>
      <c r="M392" s="76">
        <f>MAX(0,N391+Observaciones!$F391-K392-Constantes!$D$13)</f>
        <v>2.9778958124119725</v>
      </c>
      <c r="N392" s="76">
        <f>N391+Observaciones!$F391-K392-L392-M392-O391</f>
        <v>45.393787903692761</v>
      </c>
      <c r="O392" s="76">
        <f>MAX(0,(N392-Constantes!$D$14)*(1-EXP(-Constantes!$D$22)))</f>
        <v>1.1630627604112258</v>
      </c>
      <c r="P392" s="170">
        <f>P391+(Entradas!$E$83*M392-Q391)/(800*Entradas!$D$25)</f>
        <v>0</v>
      </c>
      <c r="Q392" s="170">
        <f>8000*Entradas!$D$26*P392/Constantes!$E$45</f>
        <v>0</v>
      </c>
      <c r="R392" s="170">
        <f>IF(Escenarios!$E$14&gt;0,K392*Escenarios!$E$13/Escenarios!$E$14,0)</f>
        <v>0</v>
      </c>
      <c r="S392" s="170">
        <f>IF(Escenarios!$E$14&gt;0,Q392*Escenarios!$E$13/Escenarios!$E$14,0)</f>
        <v>0</v>
      </c>
      <c r="T392" s="170">
        <f>IF(Escenarios!$E$14&gt;0,Observaciones!$I391,0)</f>
        <v>0</v>
      </c>
      <c r="U392" s="170">
        <f>IF(Escenarios!$E$14&gt;0,MAX(0,Constantes!$E$36/((Z391+R392+S392+T392+Observaciones!$F391)^2)+Entradas!$E$77),0)</f>
        <v>1.7585546014502187</v>
      </c>
      <c r="V392" s="146">
        <f>IF(ETo!D391&gt;0,ETo!I391*((1-Entradas!$E$81)*ETo!K391+ETo!L391),0)</f>
        <v>4.0584895233784835</v>
      </c>
      <c r="W392" s="170">
        <f>IF(Escenarios!$E$14&gt;0,MIN(V392*1,0.8*(Z391+R392+S392+T392+Observaciones!$F391-U392-Constantes!$E$35)),0)</f>
        <v>4.0584895233784835</v>
      </c>
      <c r="X392" s="170">
        <f>IF(Escenarios!$E$14&gt;0,Observaciones!$J391,0)</f>
        <v>0</v>
      </c>
      <c r="Y392" s="170">
        <f>IF(Escenarios!$E$14&gt;0,MAX(0,Z391+R392+S392+T392+Observaciones!$F391-U392-W392-X392-Constantes!$E$33),0)</f>
        <v>0</v>
      </c>
      <c r="Z392" s="170">
        <f>Z391+R392+S392+T392+Observaciones!$F391-U392-W392-Y392</f>
        <v>85.122480968487807</v>
      </c>
      <c r="AA392" s="170">
        <f>IF(Escenarios!$E$14&gt;0,(Escenarios!$E$13*L392+Escenarios!$E$14*W392)/(Escenarios!$E$16),L392)</f>
        <v>2.4129701356256645</v>
      </c>
      <c r="AB392" s="170">
        <f>IF(Escenarios!$E$14&gt;0,(Escenarios!$E$14*Y392)/(Escenarios!$E$16),K392)</f>
        <v>0</v>
      </c>
      <c r="AC392" s="170">
        <f>IF(Escenarios!$E$14&gt;0,(Escenarios!$E$13*M392+Escenarios!$E$14*U392)/(Escenarios!$E$16),M392)</f>
        <v>2.8315748670965619</v>
      </c>
      <c r="AD392" s="76">
        <f t="shared" si="85"/>
        <v>104.59249094821641</v>
      </c>
      <c r="AE392" s="76">
        <f>MAX(0,(AD392-Constantes!$D$13)*(1-EXP(-Constantes!$D$23)))</f>
        <v>0.55022936395787037</v>
      </c>
      <c r="AF392" s="76">
        <f>AB392+O392*Escenarios!$E$13/Escenarios!$E$16+AE392</f>
        <v>1.573724593119749</v>
      </c>
      <c r="AG392" s="76">
        <f>IF(Entradas!$E$91&gt;0,IF(AF392-Escenarios!$E$38&lt;=0,0,IF(AF392-Escenarios!$E$38&gt;Escenarios!$E$37,Escenarios!$E$37,AF392-Escenarios!$E$38)),0)</f>
        <v>0</v>
      </c>
      <c r="AH392" s="76">
        <f>AG392*Entradas!$E$99</f>
        <v>0</v>
      </c>
      <c r="AI392" s="76">
        <f>IF(Entradas!$E$91&gt;0,D392*Entradas!$D$23/Escenarios!$E$16,0)</f>
        <v>0</v>
      </c>
      <c r="AJ392" s="76">
        <f>IF(Entradas!$E$91&gt;0,Entradas!$D$24*Entradas!$D$22/Escenarios!$E$16,0)</f>
        <v>0</v>
      </c>
      <c r="AK392" s="76">
        <f t="shared" ref="AK392:AK455" si="94">AA392+AI392</f>
        <v>2.4129701356256645</v>
      </c>
      <c r="AL392" s="76">
        <f t="shared" ref="AL392:AL455" si="95">MAX(0,AB392-AG392)</f>
        <v>0</v>
      </c>
      <c r="AM392" s="76">
        <f t="shared" si="86"/>
        <v>0</v>
      </c>
      <c r="AN392" s="76">
        <f>MAX(0,O392*Escenarios!$E$13/Escenarios!$E$16-AM392)</f>
        <v>1.0234952291618786</v>
      </c>
      <c r="AO392" s="76">
        <f>AM392+AN392-O392*Escenarios!$E$13/Escenarios!$E$16</f>
        <v>0</v>
      </c>
      <c r="AP392" s="76">
        <f t="shared" si="84"/>
        <v>0.55022936395787037</v>
      </c>
      <c r="AQ392" s="76">
        <f t="shared" si="87"/>
        <v>0</v>
      </c>
      <c r="AR392" s="76">
        <f t="shared" si="88"/>
        <v>1.573724593119749</v>
      </c>
      <c r="AS392" s="76">
        <f t="shared" si="89"/>
        <v>0</v>
      </c>
      <c r="AT392" s="76">
        <f t="shared" si="90"/>
        <v>2.8315748670965619</v>
      </c>
      <c r="AU392" s="76">
        <f t="shared" si="91"/>
        <v>48.75</v>
      </c>
      <c r="AV392" s="76">
        <f>MAX(0,(AU392-Constantes!$D$13)*(1-EXP(-Constantes!$D$24)))</f>
        <v>0</v>
      </c>
      <c r="AW392" s="170">
        <f>AW391+(Entradas!$E$112*AT392-AX391)/(800*Entradas!$D$25)</f>
        <v>0</v>
      </c>
      <c r="AX392" s="170">
        <f>8000*Entradas!$D$26*AW392/Constantes!$E$45</f>
        <v>0</v>
      </c>
      <c r="AY392" s="170">
        <f>IF(Escenarios!$E$17&gt;0,10*Escenarios!$E$16*AL392,0)</f>
        <v>0</v>
      </c>
      <c r="AZ392" s="170">
        <f>IF(Escenarios!$E$17&gt;0,10*Escenarios!$E$16*AX392,0)</f>
        <v>0</v>
      </c>
      <c r="BA392" s="170">
        <f>IF(Escenarios!$E$17&gt;0,0.001*Observaciones!$F391*Escenarios!$E$17,0)</f>
        <v>124.00000000000001</v>
      </c>
      <c r="BB392" s="170">
        <f>IF(Escenarios!$E$17&gt;0,Observaciones!$K391,0)</f>
        <v>300.83094288980993</v>
      </c>
      <c r="BC392" s="170">
        <f>IF(Escenarios!$E$17&gt;0,MIN(0.0005*ETo!$M391*Escenarios!$E$17*(BG391/Constantes!$E$40)^(2/3),BG391+AY392+AZ392+BA392+BB392),0)</f>
        <v>32.279716927048149</v>
      </c>
      <c r="BD392" s="170">
        <f>IF(Escenarios!$E$17&gt;0,MIN(Constantes!$E$39*(BG391/Constantes!$E$40)^(2/3),BG391+AY392+AZ392+BA392+BB392-BC392),0)</f>
        <v>51.231735949898713</v>
      </c>
      <c r="BE392" s="170">
        <f>IF(Escenarios!$E$17&gt;0,MIN(Entradas!$E$113,BG391+AY392+AZ392+BA392+BB392-BC392-BD392),0)</f>
        <v>1</v>
      </c>
      <c r="BF392" s="170">
        <f>IF(Escenarios!$E$17&gt;0,MAX(0,BG391+AY392+AZ392+BA392+BB392-BC392-BD392-BE392-Constantes!$E$40),0)</f>
        <v>0</v>
      </c>
      <c r="BG392" s="170">
        <f t="shared" ref="BG392:BG455" si="96">BG391+AY392+AZ392+BA392+BB392-BF392-BC392-BD392-BE392</f>
        <v>3756.826910067753</v>
      </c>
      <c r="BH392" s="170">
        <f>(Escenarios!$E$16*AK392+0.1*BC392)/(Escenarios!$E$19)</f>
        <v>2.4066289904727025</v>
      </c>
      <c r="BI392" s="170">
        <f>IF(Escenarios!$E$17&gt;0,BF392/10/Escenarios!$E$19,AL392)</f>
        <v>0</v>
      </c>
      <c r="BJ392" s="170">
        <f>(Escenarios!$E$16*AT392+0.1*BD392)/(Escenarios!$E$19)</f>
        <v>2.8294321046394062</v>
      </c>
      <c r="BK392" s="76">
        <f>BK391+(0.1*BD392)/(Escenarios!$E$19)-BL391</f>
        <v>49.802459397546102</v>
      </c>
      <c r="BL392" s="76">
        <f>MAX(0,(BK392-Constantes!$D$13)*(1-EXP(-Constantes!$D$23)))</f>
        <v>1.037013312032011E-2</v>
      </c>
      <c r="BM392" s="76">
        <f t="shared" si="92"/>
        <v>0.56059949707819046</v>
      </c>
      <c r="BN392" s="76">
        <f t="shared" ref="BN392:BN455" si="97">AN392+AP392+AV392+BI392+BL392</f>
        <v>1.5840947262400691</v>
      </c>
      <c r="BO392" s="76">
        <f>0.0526*BI392*Observaciones!$F391^1.218</f>
        <v>0</v>
      </c>
      <c r="BP392" s="76">
        <f>BO392*Constantes!$E$51</f>
        <v>0</v>
      </c>
      <c r="BQ392" s="76">
        <f t="shared" si="93"/>
        <v>0</v>
      </c>
      <c r="BR392" s="40"/>
    </row>
    <row r="393" spans="1:70">
      <c r="A393" s="147"/>
      <c r="B393" s="39"/>
      <c r="C393" s="75">
        <v>387</v>
      </c>
      <c r="D393" s="146">
        <f>ETo!$I392*((1-Constantes!$E$19)*ETo!$K392+ETo!$L392)</f>
        <v>4.3349271755858201</v>
      </c>
      <c r="E393" s="76">
        <f>MIN(D393*Constantes!$E$17,0.8*(N392+Observaciones!$F392-F393-M393-Constantes!$D$14))</f>
        <v>2.1193992723280841</v>
      </c>
      <c r="F393" s="76">
        <f>IF(Observaciones!$F392&gt;0.05*Constantes!$E$18,((Observaciones!$F392-0.05*Constantes!$E$18)^2)/(Observaciones!$F392+0.95*Constantes!$E$18),0)</f>
        <v>0</v>
      </c>
      <c r="G393" s="76">
        <f>IF(Escenarios!$E$11&gt;0,(F393*Escenarios!$E$16*10000)/1000,0)</f>
        <v>0</v>
      </c>
      <c r="H393" s="76">
        <f>IF(Escenarios!$E$11&gt;0,(Observaciones!$F392*Constantes!$E$29)/1000,0)</f>
        <v>1</v>
      </c>
      <c r="I393" s="76">
        <f>IF(Escenarios!$E$11&gt;0,(D393*Constantes!$E$29)/1000,0)</f>
        <v>43.349271755858197</v>
      </c>
      <c r="J393" s="76">
        <f>IF(Escenarios!$E$11&gt;0,MAX(0,G393+H393-I393),0)</f>
        <v>0</v>
      </c>
      <c r="K393" s="76">
        <f>IF(Escenarios!$E$11&gt;0,IF(J393&gt;Constantes!$E$30,1000*((J393-Constantes!$E$30)/(Escenarios!$E$16*10000)),0),F393)</f>
        <v>0</v>
      </c>
      <c r="L393" s="76">
        <f>IF(Escenarios!$E$11&gt;0,I393*1000/Escenarios!$E$16/10000+E393,E393)</f>
        <v>2.1367389810304274</v>
      </c>
      <c r="M393" s="76">
        <f>MAX(0,N392+Observaciones!$F392-K393-Constantes!$D$13)</f>
        <v>0</v>
      </c>
      <c r="N393" s="76">
        <f>N392+Observaciones!$F392-K393-L393-M393-O392</f>
        <v>42.193986162251107</v>
      </c>
      <c r="O393" s="76">
        <f>MAX(0,(N393-Constantes!$D$14)*(1-EXP(-Constantes!$D$22)))</f>
        <v>1.054065766385051</v>
      </c>
      <c r="P393" s="170">
        <f>P392+(Entradas!$E$83*M393-Q392)/(800*Entradas!$D$25)</f>
        <v>0</v>
      </c>
      <c r="Q393" s="170">
        <f>8000*Entradas!$D$26*P393/Constantes!$E$45</f>
        <v>0</v>
      </c>
      <c r="R393" s="170">
        <f>IF(Escenarios!$E$14&gt;0,K393*Escenarios!$E$13/Escenarios!$E$14,0)</f>
        <v>0</v>
      </c>
      <c r="S393" s="170">
        <f>IF(Escenarios!$E$14&gt;0,Q393*Escenarios!$E$13/Escenarios!$E$14,0)</f>
        <v>0</v>
      </c>
      <c r="T393" s="170">
        <f>IF(Escenarios!$E$14&gt;0,Observaciones!$I392,0)</f>
        <v>0</v>
      </c>
      <c r="U393" s="170">
        <f>IF(Escenarios!$E$14&gt;0,MAX(0,Constantes!$E$36/((Z392+R393+S393+T393+Observaciones!$F392)^2)+Entradas!$E$77),0)</f>
        <v>1.5864061706398642</v>
      </c>
      <c r="V393" s="146">
        <f>IF(ETo!D392&gt;0,ETo!I392*((1-Entradas!$E$81)*ETo!K392+ETo!L392),0)</f>
        <v>3.9611817817454047</v>
      </c>
      <c r="W393" s="170">
        <f>IF(Escenarios!$E$14&gt;0,MIN(V393*1,0.8*(Z392+R393+S393+T393+Observaciones!$F392-U393-Constantes!$E$35)),0)</f>
        <v>3.9611817817454047</v>
      </c>
      <c r="X393" s="170">
        <f>IF(Escenarios!$E$14&gt;0,Observaciones!$J392,0)</f>
        <v>0</v>
      </c>
      <c r="Y393" s="170">
        <f>IF(Escenarios!$E$14&gt;0,MAX(0,Z392+R393+S393+T393+Observaciones!$F392-U393-W393-X393-Constantes!$E$33),0)</f>
        <v>0</v>
      </c>
      <c r="Z393" s="170">
        <f>Z392+R393+S393+T393+Observaciones!$F392-U393-W393-Y393</f>
        <v>79.67489301610253</v>
      </c>
      <c r="AA393" s="170">
        <f>IF(Escenarios!$E$14&gt;0,(Escenarios!$E$13*L393+Escenarios!$E$14*W393)/(Escenarios!$E$16),L393)</f>
        <v>2.3556721171162249</v>
      </c>
      <c r="AB393" s="170">
        <f>IF(Escenarios!$E$14&gt;0,(Escenarios!$E$14*Y393)/(Escenarios!$E$16),K393)</f>
        <v>0</v>
      </c>
      <c r="AC393" s="170">
        <f>IF(Escenarios!$E$14&gt;0,(Escenarios!$E$13*M393+Escenarios!$E$14*U393)/(Escenarios!$E$16),M393)</f>
        <v>0.1903687404767837</v>
      </c>
      <c r="AD393" s="76">
        <f t="shared" si="85"/>
        <v>104.23263032473533</v>
      </c>
      <c r="AE393" s="76">
        <f>MAX(0,(AD393-Constantes!$D$13)*(1-EXP(-Constantes!$D$23)))</f>
        <v>0.54668357152258862</v>
      </c>
      <c r="AF393" s="76">
        <f>AB393+O393*Escenarios!$E$13/Escenarios!$E$16+AE393</f>
        <v>1.4742614459414334</v>
      </c>
      <c r="AG393" s="76">
        <f>IF(Entradas!$E$91&gt;0,IF(AF393-Escenarios!$E$38&lt;=0,0,IF(AF393-Escenarios!$E$38&gt;Escenarios!$E$37,Escenarios!$E$37,AF393-Escenarios!$E$38)),0)</f>
        <v>0</v>
      </c>
      <c r="AH393" s="76">
        <f>AG393*Entradas!$E$99</f>
        <v>0</v>
      </c>
      <c r="AI393" s="76">
        <f>IF(Entradas!$E$91&gt;0,D393*Entradas!$D$23/Escenarios!$E$16,0)</f>
        <v>0</v>
      </c>
      <c r="AJ393" s="76">
        <f>IF(Entradas!$E$91&gt;0,Entradas!$D$24*Entradas!$D$22/Escenarios!$E$16,0)</f>
        <v>0</v>
      </c>
      <c r="AK393" s="76">
        <f t="shared" si="94"/>
        <v>2.3556721171162249</v>
      </c>
      <c r="AL393" s="76">
        <f t="shared" si="95"/>
        <v>0</v>
      </c>
      <c r="AM393" s="76">
        <f t="shared" si="86"/>
        <v>0</v>
      </c>
      <c r="AN393" s="76">
        <f>MAX(0,O393*Escenarios!$E$13/Escenarios!$E$16-AM393)</f>
        <v>0.92757787441884487</v>
      </c>
      <c r="AO393" s="76">
        <f>AM393+AN393-O393*Escenarios!$E$13/Escenarios!$E$16</f>
        <v>0</v>
      </c>
      <c r="AP393" s="76">
        <f t="shared" si="84"/>
        <v>0.54668357152258862</v>
      </c>
      <c r="AQ393" s="76">
        <f t="shared" si="87"/>
        <v>0</v>
      </c>
      <c r="AR393" s="76">
        <f t="shared" si="88"/>
        <v>1.4742614459414334</v>
      </c>
      <c r="AS393" s="76">
        <f t="shared" si="89"/>
        <v>0</v>
      </c>
      <c r="AT393" s="76">
        <f t="shared" si="90"/>
        <v>0.1903687404767837</v>
      </c>
      <c r="AU393" s="76">
        <f t="shared" si="91"/>
        <v>48.75</v>
      </c>
      <c r="AV393" s="76">
        <f>MAX(0,(AU393-Constantes!$D$13)*(1-EXP(-Constantes!$D$24)))</f>
        <v>0</v>
      </c>
      <c r="AW393" s="170">
        <f>AW392+(Entradas!$E$112*AT393-AX392)/(800*Entradas!$D$25)</f>
        <v>0</v>
      </c>
      <c r="AX393" s="170">
        <f>8000*Entradas!$D$26*AW393/Constantes!$E$45</f>
        <v>0</v>
      </c>
      <c r="AY393" s="170">
        <f>IF(Escenarios!$E$17&gt;0,10*Escenarios!$E$16*AL393,0)</f>
        <v>0</v>
      </c>
      <c r="AZ393" s="170">
        <f>IF(Escenarios!$E$17&gt;0,10*Escenarios!$E$16*AX393,0)</f>
        <v>0</v>
      </c>
      <c r="BA393" s="170">
        <f>IF(Escenarios!$E$17&gt;0,0.001*Observaciones!$F392*Escenarios!$E$17,0)</f>
        <v>2</v>
      </c>
      <c r="BB393" s="170">
        <f>IF(Escenarios!$E$17&gt;0,Observaciones!$K392,0)</f>
        <v>0</v>
      </c>
      <c r="BC393" s="170">
        <f>IF(Escenarios!$E$17&gt;0,MIN(0.0005*ETo!$M392*Escenarios!$E$17*(BG392/Constantes!$E$40)^(2/3),BG392+AY393+AZ393+BA393+BB393),0)</f>
        <v>33.587200562036564</v>
      </c>
      <c r="BD393" s="170">
        <f>IF(Escenarios!$E$17&gt;0,MIN(Constantes!$E$39*(BG392/Constantes!$E$40)^(2/3),BG392+AY393+AZ393+BA393+BB393-BC393),0)</f>
        <v>54.579759427161378</v>
      </c>
      <c r="BE393" s="170">
        <f>IF(Escenarios!$E$17&gt;0,MIN(Entradas!$E$113,BG392+AY393+AZ393+BA393+BB393-BC393-BD393),0)</f>
        <v>1</v>
      </c>
      <c r="BF393" s="170">
        <f>IF(Escenarios!$E$17&gt;0,MAX(0,BG392+AY393+AZ393+BA393+BB393-BC393-BD393-BE393-Constantes!$E$40),0)</f>
        <v>0</v>
      </c>
      <c r="BG393" s="170">
        <f t="shared" si="96"/>
        <v>3669.6599500785551</v>
      </c>
      <c r="BH393" s="170">
        <f>(Escenarios!$E$16*AK393+0.1*BC393)/(Escenarios!$E$19)</f>
        <v>2.3503045608542057</v>
      </c>
      <c r="BI393" s="170">
        <f>IF(Escenarios!$E$17&gt;0,BF393/10/Escenarios!$E$19,AL393)</f>
        <v>0</v>
      </c>
      <c r="BJ393" s="170">
        <f>(Escenarios!$E$16*AT393+0.1*BD393)/(Escenarios!$E$19)</f>
        <v>0.2105165121504447</v>
      </c>
      <c r="BK393" s="76">
        <f>BK392+(0.1*BD393)/(Escenarios!$E$19)-BL392</f>
        <v>49.8137478991191</v>
      </c>
      <c r="BL393" s="76">
        <f>MAX(0,(BK393-Constantes!$D$13)*(1-EXP(-Constantes!$D$23)))</f>
        <v>1.0481361415030465E-2</v>
      </c>
      <c r="BM393" s="76">
        <f t="shared" si="92"/>
        <v>0.55716493293761904</v>
      </c>
      <c r="BN393" s="76">
        <f t="shared" si="97"/>
        <v>1.4847428073564639</v>
      </c>
      <c r="BO393" s="76">
        <f>0.0526*BI393*Observaciones!$F392^1.218</f>
        <v>0</v>
      </c>
      <c r="BP393" s="76">
        <f>BO393*Constantes!$E$51</f>
        <v>0</v>
      </c>
      <c r="BQ393" s="76">
        <f t="shared" si="93"/>
        <v>0</v>
      </c>
      <c r="BR393" s="40"/>
    </row>
    <row r="394" spans="1:70">
      <c r="A394" s="147"/>
      <c r="B394" s="39"/>
      <c r="C394" s="75">
        <v>388</v>
      </c>
      <c r="D394" s="146">
        <f>ETo!$I393*((1-Constantes!$E$19)*ETo!$K393+ETo!$L393)</f>
        <v>4.2704728892129724</v>
      </c>
      <c r="E394" s="76">
        <f>MIN(D394*Constantes!$E$17,0.8*(N393+Observaciones!$F393-F394-M394-Constantes!$D$14))</f>
        <v>2.0878867780914123</v>
      </c>
      <c r="F394" s="76">
        <f>IF(Observaciones!$F393&gt;0.05*Constantes!$E$18,((Observaciones!$F393-0.05*Constantes!$E$18)^2)/(Observaciones!$F393+0.95*Constantes!$E$18),0)</f>
        <v>1.424591971275833</v>
      </c>
      <c r="G394" s="76">
        <f>IF(Escenarios!$E$11&gt;0,(F394*Escenarios!$E$16*10000)/1000,0)</f>
        <v>3561.4799281895826</v>
      </c>
      <c r="H394" s="76">
        <f>IF(Escenarios!$E$11&gt;0,(Observaciones!$F393*Constantes!$E$29)/1000,0)</f>
        <v>197</v>
      </c>
      <c r="I394" s="76">
        <f>IF(Escenarios!$E$11&gt;0,(D394*Constantes!$E$29)/1000,0)</f>
        <v>42.704728892129722</v>
      </c>
      <c r="J394" s="76">
        <f>IF(Escenarios!$E$11&gt;0,MAX(0,G394+H394-I394),0)</f>
        <v>3715.7751992974527</v>
      </c>
      <c r="K394" s="76">
        <f>IF(Escenarios!$E$11&gt;0,IF(J394&gt;Constantes!$E$30,1000*((J394-Constantes!$E$30)/(Escenarios!$E$16*10000)),0),F394)</f>
        <v>0.97160419736603976</v>
      </c>
      <c r="L394" s="76">
        <f>IF(Escenarios!$E$11&gt;0,I394*1000/Escenarios!$E$16/10000+E394,E394)</f>
        <v>2.1049686696482643</v>
      </c>
      <c r="M394" s="76">
        <f>MAX(0,N393+Observaciones!$F393-K394-Constantes!$D$13)</f>
        <v>12.172381964885069</v>
      </c>
      <c r="N394" s="76">
        <f>N393+Observaciones!$F393-K394-L394-M394-O393</f>
        <v>45.590965563966684</v>
      </c>
      <c r="O394" s="76">
        <f>MAX(0,(N394-Constantes!$D$14)*(1-EXP(-Constantes!$D$22)))</f>
        <v>1.1697793553741653</v>
      </c>
      <c r="P394" s="170">
        <f>P393+(Entradas!$E$83*M394-Q393)/(800*Entradas!$D$25)</f>
        <v>0</v>
      </c>
      <c r="Q394" s="170">
        <f>8000*Entradas!$D$26*P394/Constantes!$E$45</f>
        <v>0</v>
      </c>
      <c r="R394" s="170">
        <f>IF(Escenarios!$E$14&gt;0,K394*Escenarios!$E$13/Escenarios!$E$14,0)</f>
        <v>7.1250974473509583</v>
      </c>
      <c r="S394" s="170">
        <f>IF(Escenarios!$E$14&gt;0,Q394*Escenarios!$E$13/Escenarios!$E$14,0)</f>
        <v>0</v>
      </c>
      <c r="T394" s="170">
        <f>IF(Escenarios!$E$14&gt;0,Observaciones!$I393,0)</f>
        <v>0</v>
      </c>
      <c r="U394" s="170">
        <f>IF(Escenarios!$E$14&gt;0,MAX(0,Constantes!$E$36/((Z393+R394+S394+T394+Observaciones!$F393)^2)+Entradas!$E$77),0)</f>
        <v>2.0948222937535959</v>
      </c>
      <c r="V394" s="146">
        <f>IF(ETo!D393&gt;0,ETo!I393*((1-Entradas!$E$81)*ETo!K393+ETo!L393),0)</f>
        <v>3.901659980438545</v>
      </c>
      <c r="W394" s="170">
        <f>IF(Escenarios!$E$14&gt;0,MIN(V394*1,0.8*(Z393+R394+S394+T394+Observaciones!$F393-U394-Constantes!$E$35)),0)</f>
        <v>3.901659980438545</v>
      </c>
      <c r="X394" s="170">
        <f>IF(Escenarios!$E$14&gt;0,Observaciones!$J393,0)</f>
        <v>0</v>
      </c>
      <c r="Y394" s="170">
        <f>IF(Escenarios!$E$14&gt;0,MAX(0,Z393+R394+S394+T394+Observaciones!$F393-U394-W394-X394-Constantes!$E$33),0)</f>
        <v>0</v>
      </c>
      <c r="Z394" s="170">
        <f>Z393+R394+S394+T394+Observaciones!$F393-U394-W394-Y394</f>
        <v>100.50350818926134</v>
      </c>
      <c r="AA394" s="170">
        <f>IF(Escenarios!$E$14&gt;0,(Escenarios!$E$13*L394+Escenarios!$E$14*W394)/(Escenarios!$E$16),L394)</f>
        <v>2.320571626943098</v>
      </c>
      <c r="AB394" s="170">
        <f>IF(Escenarios!$E$14&gt;0,(Escenarios!$E$14*Y394)/(Escenarios!$E$16),K394)</f>
        <v>0</v>
      </c>
      <c r="AC394" s="170">
        <f>IF(Escenarios!$E$14&gt;0,(Escenarios!$E$13*M394+Escenarios!$E$14*U394)/(Escenarios!$E$16),M394)</f>
        <v>10.963074804349292</v>
      </c>
      <c r="AD394" s="76">
        <f t="shared" si="85"/>
        <v>114.64902155756202</v>
      </c>
      <c r="AE394" s="76">
        <f>MAX(0,(AD394-Constantes!$D$13)*(1-EXP(-Constantes!$D$23)))</f>
        <v>0.64931875533072836</v>
      </c>
      <c r="AF394" s="76">
        <f>AB394+O394*Escenarios!$E$13/Escenarios!$E$16+AE394</f>
        <v>1.6787245880599939</v>
      </c>
      <c r="AG394" s="76">
        <f>IF(Entradas!$E$91&gt;0,IF(AF394-Escenarios!$E$38&lt;=0,0,IF(AF394-Escenarios!$E$38&gt;Escenarios!$E$37,Escenarios!$E$37,AF394-Escenarios!$E$38)),0)</f>
        <v>0</v>
      </c>
      <c r="AH394" s="76">
        <f>AG394*Entradas!$E$99</f>
        <v>0</v>
      </c>
      <c r="AI394" s="76">
        <f>IF(Entradas!$E$91&gt;0,D394*Entradas!$D$23/Escenarios!$E$16,0)</f>
        <v>0</v>
      </c>
      <c r="AJ394" s="76">
        <f>IF(Entradas!$E$91&gt;0,Entradas!$D$24*Entradas!$D$22/Escenarios!$E$16,0)</f>
        <v>0</v>
      </c>
      <c r="AK394" s="76">
        <f t="shared" si="94"/>
        <v>2.320571626943098</v>
      </c>
      <c r="AL394" s="76">
        <f t="shared" si="95"/>
        <v>0</v>
      </c>
      <c r="AM394" s="76">
        <f t="shared" si="86"/>
        <v>0</v>
      </c>
      <c r="AN394" s="76">
        <f>MAX(0,O394*Escenarios!$E$13/Escenarios!$E$16-AM394)</f>
        <v>1.0294058327292654</v>
      </c>
      <c r="AO394" s="76">
        <f>AM394+AN394-O394*Escenarios!$E$13/Escenarios!$E$16</f>
        <v>0</v>
      </c>
      <c r="AP394" s="76">
        <f t="shared" si="84"/>
        <v>0.64931875533072836</v>
      </c>
      <c r="AQ394" s="76">
        <f t="shared" si="87"/>
        <v>0</v>
      </c>
      <c r="AR394" s="76">
        <f t="shared" si="88"/>
        <v>1.6787245880599939</v>
      </c>
      <c r="AS394" s="76">
        <f t="shared" si="89"/>
        <v>0</v>
      </c>
      <c r="AT394" s="76">
        <f t="shared" si="90"/>
        <v>10.963074804349292</v>
      </c>
      <c r="AU394" s="76">
        <f t="shared" si="91"/>
        <v>48.75</v>
      </c>
      <c r="AV394" s="76">
        <f>MAX(0,(AU394-Constantes!$D$13)*(1-EXP(-Constantes!$D$24)))</f>
        <v>0</v>
      </c>
      <c r="AW394" s="170">
        <f>AW393+(Entradas!$E$112*AT394-AX393)/(800*Entradas!$D$25)</f>
        <v>0</v>
      </c>
      <c r="AX394" s="170">
        <f>8000*Entradas!$D$26*AW394/Constantes!$E$45</f>
        <v>0</v>
      </c>
      <c r="AY394" s="170">
        <f>IF(Escenarios!$E$17&gt;0,10*Escenarios!$E$16*AL394,0)</f>
        <v>0</v>
      </c>
      <c r="AZ394" s="170">
        <f>IF(Escenarios!$E$17&gt;0,10*Escenarios!$E$16*AX394,0)</f>
        <v>0</v>
      </c>
      <c r="BA394" s="170">
        <f>IF(Escenarios!$E$17&gt;0,0.001*Observaciones!$F393*Escenarios!$E$17,0)</f>
        <v>394</v>
      </c>
      <c r="BB394" s="170">
        <f>IF(Escenarios!$E$17&gt;0,Observaciones!$K393,0)</f>
        <v>5.4432146480880519</v>
      </c>
      <c r="BC394" s="170">
        <f>IF(Escenarios!$E$17&gt;0,MIN(0.0005*ETo!$M393*Escenarios!$E$17*(BG393/Constantes!$E$40)^(2/3),BG393+AY394+AZ394+BA394+BB394),0)</f>
        <v>32.580598724834353</v>
      </c>
      <c r="BD394" s="170">
        <f>IF(Escenarios!$E$17&gt;0,MIN(Constantes!$E$39*(BG393/Constantes!$E$40)^(2/3),BG393+AY394+AZ394+BA394+BB394-BC394),0)</f>
        <v>53.732210538258478</v>
      </c>
      <c r="BE394" s="170">
        <f>IF(Escenarios!$E$17&gt;0,MIN(Entradas!$E$113,BG393+AY394+AZ394+BA394+BB394-BC394-BD394),0)</f>
        <v>1</v>
      </c>
      <c r="BF394" s="170">
        <f>IF(Escenarios!$E$17&gt;0,MAX(0,BG393+AY394+AZ394+BA394+BB394-BC394-BD394-BE394-Constantes!$E$40),0)</f>
        <v>0</v>
      </c>
      <c r="BG394" s="170">
        <f t="shared" si="96"/>
        <v>3981.79035546355</v>
      </c>
      <c r="BH394" s="170">
        <f>(Escenarios!$E$16*AK394+0.1*BC394)/(Escenarios!$E$19)</f>
        <v>2.3150832008264204</v>
      </c>
      <c r="BI394" s="170">
        <f>IF(Escenarios!$E$17&gt;0,BF394/10/Escenarios!$E$19,AL394)</f>
        <v>0</v>
      </c>
      <c r="BJ394" s="170">
        <f>(Escenarios!$E$16*AT394+0.1*BD394)/(Escenarios!$E$19)</f>
        <v>10.897388579925193</v>
      </c>
      <c r="BK394" s="76">
        <f>BK393+(0.1*BD394)/(Escenarios!$E$19)-BL393</f>
        <v>49.824588843473222</v>
      </c>
      <c r="BL394" s="76">
        <f>MAX(0,(BK394-Constantes!$D$13)*(1-EXP(-Constantes!$D$23)))</f>
        <v>1.0588179821863402E-2</v>
      </c>
      <c r="BM394" s="76">
        <f t="shared" si="92"/>
        <v>0.6599069351525918</v>
      </c>
      <c r="BN394" s="76">
        <f t="shared" si="97"/>
        <v>1.6893127678818574</v>
      </c>
      <c r="BO394" s="76">
        <f>0.0526*BI394*Observaciones!$F393^1.218</f>
        <v>0</v>
      </c>
      <c r="BP394" s="76">
        <f>BO394*Constantes!$E$51</f>
        <v>0</v>
      </c>
      <c r="BQ394" s="76">
        <f t="shared" si="93"/>
        <v>0</v>
      </c>
      <c r="BR394" s="40"/>
    </row>
    <row r="395" spans="1:70">
      <c r="A395" s="147"/>
      <c r="B395" s="39"/>
      <c r="C395" s="75">
        <v>389</v>
      </c>
      <c r="D395" s="146">
        <f>ETo!$I394*((1-Constantes!$E$19)*ETo!$K394+ETo!$L394)</f>
        <v>4.1695359461475929</v>
      </c>
      <c r="E395" s="76">
        <f>MIN(D395*Constantes!$E$17,0.8*(N394+Observaciones!$F394-F395-M395-Constantes!$D$14))</f>
        <v>2.0385374637849094</v>
      </c>
      <c r="F395" s="76">
        <f>IF(Observaciones!$F394&gt;0.05*Constantes!$E$18,((Observaciones!$F394-0.05*Constantes!$E$18)^2)/(Observaciones!$F394+0.95*Constantes!$E$18),0)</f>
        <v>0</v>
      </c>
      <c r="G395" s="76">
        <f>IF(Escenarios!$E$11&gt;0,(F395*Escenarios!$E$16*10000)/1000,0)</f>
        <v>0</v>
      </c>
      <c r="H395" s="76">
        <f>IF(Escenarios!$E$11&gt;0,(Observaciones!$F394*Constantes!$E$29)/1000,0)</f>
        <v>24</v>
      </c>
      <c r="I395" s="76">
        <f>IF(Escenarios!$E$11&gt;0,(D395*Constantes!$E$29)/1000,0)</f>
        <v>41.695359461475931</v>
      </c>
      <c r="J395" s="76">
        <f>IF(Escenarios!$E$11&gt;0,MAX(0,G395+H395-I395),0)</f>
        <v>0</v>
      </c>
      <c r="K395" s="76">
        <f>IF(Escenarios!$E$11&gt;0,IF(J395&gt;Constantes!$E$30,1000*((J395-Constantes!$E$30)/(Escenarios!$E$16*10000)),0),F395)</f>
        <v>0</v>
      </c>
      <c r="L395" s="76">
        <f>IF(Escenarios!$E$11&gt;0,I395*1000/Escenarios!$E$16/10000+E395,E395)</f>
        <v>2.0552156075694996</v>
      </c>
      <c r="M395" s="76">
        <f>MAX(0,N394+Observaciones!$F394-K395-Constantes!$D$13)</f>
        <v>0</v>
      </c>
      <c r="N395" s="76">
        <f>N394+Observaciones!$F394-K395-L395-M395-O394</f>
        <v>44.765970601023014</v>
      </c>
      <c r="O395" s="76">
        <f>MAX(0,(N395-Constantes!$D$14)*(1-EXP(-Constantes!$D$22)))</f>
        <v>1.1416769983177928</v>
      </c>
      <c r="P395" s="170">
        <f>P394+(Entradas!$E$83*M395-Q394)/(800*Entradas!$D$25)</f>
        <v>0</v>
      </c>
      <c r="Q395" s="170">
        <f>8000*Entradas!$D$26*P395/Constantes!$E$45</f>
        <v>0</v>
      </c>
      <c r="R395" s="170">
        <f>IF(Escenarios!$E$14&gt;0,K395*Escenarios!$E$13/Escenarios!$E$14,0)</f>
        <v>0</v>
      </c>
      <c r="S395" s="170">
        <f>IF(Escenarios!$E$14&gt;0,Q395*Escenarios!$E$13/Escenarios!$E$14,0)</f>
        <v>0</v>
      </c>
      <c r="T395" s="170">
        <f>IF(Escenarios!$E$14&gt;0,Observaciones!$I394,0)</f>
        <v>0</v>
      </c>
      <c r="U395" s="170">
        <f>IF(Escenarios!$E$14&gt;0,MAX(0,Constantes!$E$36/((Z394+R395+S395+T395+Observaciones!$F394)^2)+Entradas!$E$77),0)</f>
        <v>2.0304446103541531</v>
      </c>
      <c r="V395" s="146">
        <f>IF(ETo!D394&gt;0,ETo!I394*((1-Entradas!$E$81)*ETo!K394+ETo!L394),0)</f>
        <v>3.8086237359557242</v>
      </c>
      <c r="W395" s="170">
        <f>IF(Escenarios!$E$14&gt;0,MIN(V395*1,0.8*(Z394+R395+S395+T395+Observaciones!$F394-U395-Constantes!$E$35)),0)</f>
        <v>3.8086237359557242</v>
      </c>
      <c r="X395" s="170">
        <f>IF(Escenarios!$E$14&gt;0,Observaciones!$J394,0)</f>
        <v>0</v>
      </c>
      <c r="Y395" s="170">
        <f>IF(Escenarios!$E$14&gt;0,MAX(0,Z394+R395+S395+T395+Observaciones!$F394-U395-W395-X395-Constantes!$E$33),0)</f>
        <v>0</v>
      </c>
      <c r="Z395" s="170">
        <f>Z394+R395+S395+T395+Observaciones!$F394-U395-W395-Y395</f>
        <v>97.064439842951472</v>
      </c>
      <c r="AA395" s="170">
        <f>IF(Escenarios!$E$14&gt;0,(Escenarios!$E$13*L395+Escenarios!$E$14*W395)/(Escenarios!$E$16),L395)</f>
        <v>2.2656245829758466</v>
      </c>
      <c r="AB395" s="170">
        <f>IF(Escenarios!$E$14&gt;0,(Escenarios!$E$14*Y395)/(Escenarios!$E$16),K395)</f>
        <v>0</v>
      </c>
      <c r="AC395" s="170">
        <f>IF(Escenarios!$E$14&gt;0,(Escenarios!$E$13*M395+Escenarios!$E$14*U395)/(Escenarios!$E$16),M395)</f>
        <v>0.24365335324249837</v>
      </c>
      <c r="AD395" s="76">
        <f t="shared" si="85"/>
        <v>114.24335615547379</v>
      </c>
      <c r="AE395" s="76">
        <f>MAX(0,(AD395-Constantes!$D$13)*(1-EXP(-Constantes!$D$23)))</f>
        <v>0.64532163750198202</v>
      </c>
      <c r="AF395" s="76">
        <f>AB395+O395*Escenarios!$E$13/Escenarios!$E$16+AE395</f>
        <v>1.6499973960216394</v>
      </c>
      <c r="AG395" s="76">
        <f>IF(Entradas!$E$91&gt;0,IF(AF395-Escenarios!$E$38&lt;=0,0,IF(AF395-Escenarios!$E$38&gt;Escenarios!$E$37,Escenarios!$E$37,AF395-Escenarios!$E$38)),0)</f>
        <v>0</v>
      </c>
      <c r="AH395" s="76">
        <f>AG395*Entradas!$E$99</f>
        <v>0</v>
      </c>
      <c r="AI395" s="76">
        <f>IF(Entradas!$E$91&gt;0,D395*Entradas!$D$23/Escenarios!$E$16,0)</f>
        <v>0</v>
      </c>
      <c r="AJ395" s="76">
        <f>IF(Entradas!$E$91&gt;0,Entradas!$D$24*Entradas!$D$22/Escenarios!$E$16,0)</f>
        <v>0</v>
      </c>
      <c r="AK395" s="76">
        <f t="shared" si="94"/>
        <v>2.2656245829758466</v>
      </c>
      <c r="AL395" s="76">
        <f t="shared" si="95"/>
        <v>0</v>
      </c>
      <c r="AM395" s="76">
        <f t="shared" si="86"/>
        <v>0</v>
      </c>
      <c r="AN395" s="76">
        <f>MAX(0,O395*Escenarios!$E$13/Escenarios!$E$16-AM395)</f>
        <v>1.0046757585196575</v>
      </c>
      <c r="AO395" s="76">
        <f>AM395+AN395-O395*Escenarios!$E$13/Escenarios!$E$16</f>
        <v>0</v>
      </c>
      <c r="AP395" s="76">
        <f t="shared" si="84"/>
        <v>0.64532163750198202</v>
      </c>
      <c r="AQ395" s="76">
        <f t="shared" si="87"/>
        <v>0</v>
      </c>
      <c r="AR395" s="76">
        <f t="shared" si="88"/>
        <v>1.6499973960216394</v>
      </c>
      <c r="AS395" s="76">
        <f t="shared" si="89"/>
        <v>0</v>
      </c>
      <c r="AT395" s="76">
        <f t="shared" si="90"/>
        <v>0.24365335324249837</v>
      </c>
      <c r="AU395" s="76">
        <f t="shared" si="91"/>
        <v>48.75</v>
      </c>
      <c r="AV395" s="76">
        <f>MAX(0,(AU395-Constantes!$D$13)*(1-EXP(-Constantes!$D$24)))</f>
        <v>0</v>
      </c>
      <c r="AW395" s="170">
        <f>AW394+(Entradas!$E$112*AT395-AX394)/(800*Entradas!$D$25)</f>
        <v>0</v>
      </c>
      <c r="AX395" s="170">
        <f>8000*Entradas!$D$26*AW395/Constantes!$E$45</f>
        <v>0</v>
      </c>
      <c r="AY395" s="170">
        <f>IF(Escenarios!$E$17&gt;0,10*Escenarios!$E$16*AL395,0)</f>
        <v>0</v>
      </c>
      <c r="AZ395" s="170">
        <f>IF(Escenarios!$E$17&gt;0,10*Escenarios!$E$16*AX395,0)</f>
        <v>0</v>
      </c>
      <c r="BA395" s="170">
        <f>IF(Escenarios!$E$17&gt;0,0.001*Observaciones!$F394*Escenarios!$E$17,0)</f>
        <v>47.999999999999993</v>
      </c>
      <c r="BB395" s="170">
        <f>IF(Escenarios!$E$17&gt;0,Observaciones!$K394,0)</f>
        <v>0</v>
      </c>
      <c r="BC395" s="170">
        <f>IF(Escenarios!$E$17&gt;0,MIN(0.0005*ETo!$M394*Escenarios!$E$17*(BG394/Constantes!$E$40)^(2/3),BG394+AY395+AZ395+BA395+BB395),0)</f>
        <v>33.59879216133556</v>
      </c>
      <c r="BD395" s="170">
        <f>IF(Escenarios!$E$17&gt;0,MIN(Constantes!$E$39*(BG394/Constantes!$E$40)^(2/3),BG394+AY395+AZ395+BA395+BB395-BC395),0)</f>
        <v>56.737442190446899</v>
      </c>
      <c r="BE395" s="170">
        <f>IF(Escenarios!$E$17&gt;0,MIN(Entradas!$E$113,BG394+AY395+AZ395+BA395+BB395-BC395-BD395),0)</f>
        <v>1</v>
      </c>
      <c r="BF395" s="170">
        <f>IF(Escenarios!$E$17&gt;0,MAX(0,BG394+AY395+AZ395+BA395+BB395-BC395-BD395-BE395-Constantes!$E$40),0)</f>
        <v>0</v>
      </c>
      <c r="BG395" s="170">
        <f t="shared" si="96"/>
        <v>3938.4541211117676</v>
      </c>
      <c r="BH395" s="170">
        <f>(Escenarios!$E$16*AK395+0.1*BC395)/(Escenarios!$E$19)</f>
        <v>2.2609762895241872</v>
      </c>
      <c r="BI395" s="170">
        <f>IF(Escenarios!$E$17&gt;0,BF395/10/Escenarios!$E$19,AL395)</f>
        <v>0</v>
      </c>
      <c r="BJ395" s="170">
        <f>(Escenarios!$E$16*AT395+0.1*BD395)/(Escenarios!$E$19)</f>
        <v>0.26423445448281463</v>
      </c>
      <c r="BK395" s="76">
        <f>BK394+(0.1*BD395)/(Escenarios!$E$19)-BL394</f>
        <v>49.836515521663436</v>
      </c>
      <c r="BL395" s="76">
        <f>MAX(0,(BK395-Constantes!$D$13)*(1-EXP(-Constantes!$D$23)))</f>
        <v>1.0705696222785006E-2</v>
      </c>
      <c r="BM395" s="76">
        <f t="shared" si="92"/>
        <v>0.65602733372476707</v>
      </c>
      <c r="BN395" s="76">
        <f t="shared" si="97"/>
        <v>1.6607030922444244</v>
      </c>
      <c r="BO395" s="76">
        <f>0.0526*BI395*Observaciones!$F394^1.218</f>
        <v>0</v>
      </c>
      <c r="BP395" s="76">
        <f>BO395*Constantes!$E$51</f>
        <v>0</v>
      </c>
      <c r="BQ395" s="76">
        <f t="shared" si="93"/>
        <v>0</v>
      </c>
      <c r="BR395" s="40"/>
    </row>
    <row r="396" spans="1:70">
      <c r="A396" s="147"/>
      <c r="B396" s="39"/>
      <c r="C396" s="75">
        <v>390</v>
      </c>
      <c r="D396" s="146">
        <f>ETo!$I395*((1-Constantes!$E$19)*ETo!$K395+ETo!$L395)</f>
        <v>4.3500205035297306</v>
      </c>
      <c r="E396" s="76">
        <f>MIN(D396*Constantes!$E$17,0.8*(N395+Observaciones!$F395-F396-M396-Constantes!$D$14))</f>
        <v>2.1267785862047952</v>
      </c>
      <c r="F396" s="76">
        <f>IF(Observaciones!$F395&gt;0.05*Constantes!$E$18,((Observaciones!$F395-0.05*Constantes!$E$18)^2)/(Observaciones!$F395+0.95*Constantes!$E$18),0)</f>
        <v>0</v>
      </c>
      <c r="G396" s="76">
        <f>IF(Escenarios!$E$11&gt;0,(F396*Escenarios!$E$16*10000)/1000,0)</f>
        <v>0</v>
      </c>
      <c r="H396" s="76">
        <f>IF(Escenarios!$E$11&gt;0,(Observaciones!$F395*Constantes!$E$29)/1000,0)</f>
        <v>0</v>
      </c>
      <c r="I396" s="76">
        <f>IF(Escenarios!$E$11&gt;0,(D396*Constantes!$E$29)/1000,0)</f>
        <v>43.500205035297306</v>
      </c>
      <c r="J396" s="76">
        <f>IF(Escenarios!$E$11&gt;0,MAX(0,G396+H396-I396),0)</f>
        <v>0</v>
      </c>
      <c r="K396" s="76">
        <f>IF(Escenarios!$E$11&gt;0,IF(J396&gt;Constantes!$E$30,1000*((J396-Constantes!$E$30)/(Escenarios!$E$16*10000)),0),F396)</f>
        <v>0</v>
      </c>
      <c r="L396" s="76">
        <f>IF(Escenarios!$E$11&gt;0,I396*1000/Escenarios!$E$16/10000+E396,E396)</f>
        <v>2.1441786682189141</v>
      </c>
      <c r="M396" s="76">
        <f>MAX(0,N395+Observaciones!$F395-K396-Constantes!$D$13)</f>
        <v>0</v>
      </c>
      <c r="N396" s="76">
        <f>N395+Observaciones!$F395-K396-L396-M396-O395</f>
        <v>41.480114934486309</v>
      </c>
      <c r="O396" s="76">
        <f>MAX(0,(N396-Constantes!$D$14)*(1-EXP(-Constantes!$D$22)))</f>
        <v>1.0297486916924543</v>
      </c>
      <c r="P396" s="170">
        <f>P395+(Entradas!$E$83*M396-Q395)/(800*Entradas!$D$25)</f>
        <v>0</v>
      </c>
      <c r="Q396" s="170">
        <f>8000*Entradas!$D$26*P396/Constantes!$E$45</f>
        <v>0</v>
      </c>
      <c r="R396" s="170">
        <f>IF(Escenarios!$E$14&gt;0,K396*Escenarios!$E$13/Escenarios!$E$14,0)</f>
        <v>0</v>
      </c>
      <c r="S396" s="170">
        <f>IF(Escenarios!$E$14&gt;0,Q396*Escenarios!$E$13/Escenarios!$E$14,0)</f>
        <v>0</v>
      </c>
      <c r="T396" s="170">
        <f>IF(Escenarios!$E$14&gt;0,Observaciones!$I395,0)</f>
        <v>0</v>
      </c>
      <c r="U396" s="170">
        <f>IF(Escenarios!$E$14&gt;0,MAX(0,Constantes!$E$36/((Z395+R396+S396+T396+Observaciones!$F395)^2)+Entradas!$E$77),0)</f>
        <v>1.9102856205320278</v>
      </c>
      <c r="V396" s="146">
        <f>IF(ETo!D395&gt;0,ETo!I395*((1-Entradas!$E$81)*ETo!K395+ETo!L395),0)</f>
        <v>3.9750933161674782</v>
      </c>
      <c r="W396" s="170">
        <f>IF(Escenarios!$E$14&gt;0,MIN(V396*1,0.8*(Z395+R396+S396+T396+Observaciones!$F395-U396-Constantes!$E$35)),0)</f>
        <v>3.9750933161674782</v>
      </c>
      <c r="X396" s="170">
        <f>IF(Escenarios!$E$14&gt;0,Observaciones!$J395,0)</f>
        <v>0</v>
      </c>
      <c r="Y396" s="170">
        <f>IF(Escenarios!$E$14&gt;0,MAX(0,Z395+R396+S396+T396+Observaciones!$F395-U396-W396-X396-Constantes!$E$33),0)</f>
        <v>0</v>
      </c>
      <c r="Z396" s="170">
        <f>Z395+R396+S396+T396+Observaciones!$F395-U396-W396-Y396</f>
        <v>91.179060906251976</v>
      </c>
      <c r="AA396" s="170">
        <f>IF(Escenarios!$E$14&gt;0,(Escenarios!$E$13*L396+Escenarios!$E$14*W396)/(Escenarios!$E$16),L396)</f>
        <v>2.3638884259727417</v>
      </c>
      <c r="AB396" s="170">
        <f>IF(Escenarios!$E$14&gt;0,(Escenarios!$E$14*Y396)/(Escenarios!$E$16),K396)</f>
        <v>0</v>
      </c>
      <c r="AC396" s="170">
        <f>IF(Escenarios!$E$14&gt;0,(Escenarios!$E$13*M396+Escenarios!$E$14*U396)/(Escenarios!$E$16),M396)</f>
        <v>0.22923427446384331</v>
      </c>
      <c r="AD396" s="76">
        <f t="shared" si="85"/>
        <v>113.82726879243566</v>
      </c>
      <c r="AE396" s="76">
        <f>MAX(0,(AD396-Constantes!$D$13)*(1-EXP(-Constantes!$D$23)))</f>
        <v>0.64122182960967866</v>
      </c>
      <c r="AF396" s="76">
        <f>AB396+O396*Escenarios!$E$13/Escenarios!$E$16+AE396</f>
        <v>1.5474006782990384</v>
      </c>
      <c r="AG396" s="76">
        <f>IF(Entradas!$E$91&gt;0,IF(AF396-Escenarios!$E$38&lt;=0,0,IF(AF396-Escenarios!$E$38&gt;Escenarios!$E$37,Escenarios!$E$37,AF396-Escenarios!$E$38)),0)</f>
        <v>0</v>
      </c>
      <c r="AH396" s="76">
        <f>AG396*Entradas!$E$99</f>
        <v>0</v>
      </c>
      <c r="AI396" s="76">
        <f>IF(Entradas!$E$91&gt;0,D396*Entradas!$D$23/Escenarios!$E$16,0)</f>
        <v>0</v>
      </c>
      <c r="AJ396" s="76">
        <f>IF(Entradas!$E$91&gt;0,Entradas!$D$24*Entradas!$D$22/Escenarios!$E$16,0)</f>
        <v>0</v>
      </c>
      <c r="AK396" s="76">
        <f t="shared" si="94"/>
        <v>2.3638884259727417</v>
      </c>
      <c r="AL396" s="76">
        <f t="shared" si="95"/>
        <v>0</v>
      </c>
      <c r="AM396" s="76">
        <f t="shared" si="86"/>
        <v>0</v>
      </c>
      <c r="AN396" s="76">
        <f>MAX(0,O396*Escenarios!$E$13/Escenarios!$E$16-AM396)</f>
        <v>0.90617884868935983</v>
      </c>
      <c r="AO396" s="76">
        <f>AM396+AN396-O396*Escenarios!$E$13/Escenarios!$E$16</f>
        <v>0</v>
      </c>
      <c r="AP396" s="76">
        <f t="shared" si="84"/>
        <v>0.64122182960967866</v>
      </c>
      <c r="AQ396" s="76">
        <f t="shared" si="87"/>
        <v>0</v>
      </c>
      <c r="AR396" s="76">
        <f t="shared" si="88"/>
        <v>1.5474006782990384</v>
      </c>
      <c r="AS396" s="76">
        <f t="shared" si="89"/>
        <v>0</v>
      </c>
      <c r="AT396" s="76">
        <f t="shared" si="90"/>
        <v>0.22923427446384331</v>
      </c>
      <c r="AU396" s="76">
        <f t="shared" si="91"/>
        <v>48.75</v>
      </c>
      <c r="AV396" s="76">
        <f>MAX(0,(AU396-Constantes!$D$13)*(1-EXP(-Constantes!$D$24)))</f>
        <v>0</v>
      </c>
      <c r="AW396" s="170">
        <f>AW395+(Entradas!$E$112*AT396-AX395)/(800*Entradas!$D$25)</f>
        <v>0</v>
      </c>
      <c r="AX396" s="170">
        <f>8000*Entradas!$D$26*AW396/Constantes!$E$45</f>
        <v>0</v>
      </c>
      <c r="AY396" s="170">
        <f>IF(Escenarios!$E$17&gt;0,10*Escenarios!$E$16*AL396,0)</f>
        <v>0</v>
      </c>
      <c r="AZ396" s="170">
        <f>IF(Escenarios!$E$17&gt;0,10*Escenarios!$E$16*AX396,0)</f>
        <v>0</v>
      </c>
      <c r="BA396" s="170">
        <f>IF(Escenarios!$E$17&gt;0,0.001*Observaciones!$F395*Escenarios!$E$17,0)</f>
        <v>0</v>
      </c>
      <c r="BB396" s="170">
        <f>IF(Escenarios!$E$17&gt;0,Observaciones!$K395,0)</f>
        <v>0</v>
      </c>
      <c r="BC396" s="170">
        <f>IF(Escenarios!$E$17&gt;0,MIN(0.0005*ETo!$M395*Escenarios!$E$17*(BG395/Constantes!$E$40)^(2/3),BG395+AY396+AZ396+BA396+BB396),0)</f>
        <v>34.780555150411089</v>
      </c>
      <c r="BD396" s="170">
        <f>IF(Escenarios!$E$17&gt;0,MIN(Constantes!$E$39*(BG395/Constantes!$E$40)^(2/3),BG395+AY396+AZ396+BA396+BB396-BC396),0)</f>
        <v>56.325019860880616</v>
      </c>
      <c r="BE396" s="170">
        <f>IF(Escenarios!$E$17&gt;0,MIN(Entradas!$E$113,BG395+AY396+AZ396+BA396+BB396-BC396-BD396),0)</f>
        <v>1</v>
      </c>
      <c r="BF396" s="170">
        <f>IF(Escenarios!$E$17&gt;0,MAX(0,BG395+AY396+AZ396+BA396+BB396-BC396-BD396-BE396-Constantes!$E$40),0)</f>
        <v>0</v>
      </c>
      <c r="BG396" s="170">
        <f t="shared" si="96"/>
        <v>3846.3485461004757</v>
      </c>
      <c r="BH396" s="170">
        <f>(Escenarios!$E$16*AK396+0.1*BC396)/(Escenarios!$E$19)</f>
        <v>2.3589292143183589</v>
      </c>
      <c r="BI396" s="170">
        <f>IF(Escenarios!$E$17&gt;0,BF396/10/Escenarios!$E$19,AL396)</f>
        <v>0</v>
      </c>
      <c r="BJ396" s="170">
        <f>(Escenarios!$E$16*AT396+0.1*BD396)/(Escenarios!$E$19)</f>
        <v>0.24976615318273371</v>
      </c>
      <c r="BK396" s="76">
        <f>BK395+(0.1*BD396)/(Escenarios!$E$19)-BL395</f>
        <v>49.848161023798141</v>
      </c>
      <c r="BL396" s="76">
        <f>MAX(0,(BK396-Constantes!$D$13)*(1-EXP(-Constantes!$D$23)))</f>
        <v>1.0820442129060763E-2</v>
      </c>
      <c r="BM396" s="76">
        <f t="shared" si="92"/>
        <v>0.65204227173873941</v>
      </c>
      <c r="BN396" s="76">
        <f t="shared" si="97"/>
        <v>1.5582211204280991</v>
      </c>
      <c r="BO396" s="76">
        <f>0.0526*BI396*Observaciones!$F395^1.218</f>
        <v>0</v>
      </c>
      <c r="BP396" s="76">
        <f>BO396*Constantes!$E$51</f>
        <v>0</v>
      </c>
      <c r="BQ396" s="76">
        <f t="shared" si="93"/>
        <v>0</v>
      </c>
      <c r="BR396" s="40"/>
    </row>
    <row r="397" spans="1:70">
      <c r="A397" s="147"/>
      <c r="B397" s="39"/>
      <c r="C397" s="75">
        <v>391</v>
      </c>
      <c r="D397" s="146">
        <f>ETo!$I396*((1-Constantes!$E$19)*ETo!$K396+ETo!$L396)</f>
        <v>4.3533259333334851</v>
      </c>
      <c r="E397" s="76">
        <f>MIN(D397*Constantes!$E$17,0.8*(N396+Observaciones!$F396-F397-M397-Constantes!$D$14))</f>
        <v>2.1283946515357801</v>
      </c>
      <c r="F397" s="76">
        <f>IF(Observaciones!$F396&gt;0.05*Constantes!$E$18,((Observaciones!$F396-0.05*Constantes!$E$18)^2)/(Observaciones!$F396+0.95*Constantes!$E$18),0)</f>
        <v>0</v>
      </c>
      <c r="G397" s="76">
        <f>IF(Escenarios!$E$11&gt;0,(F397*Escenarios!$E$16*10000)/1000,0)</f>
        <v>0</v>
      </c>
      <c r="H397" s="76">
        <f>IF(Escenarios!$E$11&gt;0,(Observaciones!$F396*Constantes!$E$29)/1000,0)</f>
        <v>40</v>
      </c>
      <c r="I397" s="76">
        <f>IF(Escenarios!$E$11&gt;0,(D397*Constantes!$E$29)/1000,0)</f>
        <v>43.533259333334847</v>
      </c>
      <c r="J397" s="76">
        <f>IF(Escenarios!$E$11&gt;0,MAX(0,G397+H397-I397),0)</f>
        <v>0</v>
      </c>
      <c r="K397" s="76">
        <f>IF(Escenarios!$E$11&gt;0,IF(J397&gt;Constantes!$E$30,1000*((J397-Constantes!$E$30)/(Escenarios!$E$16*10000)),0),F397)</f>
        <v>0</v>
      </c>
      <c r="L397" s="76">
        <f>IF(Escenarios!$E$11&gt;0,I397*1000/Escenarios!$E$16/10000+E397,E397)</f>
        <v>2.1458079552691141</v>
      </c>
      <c r="M397" s="76">
        <f>MAX(0,N396+Observaciones!$F396-K397-Constantes!$D$13)</f>
        <v>0</v>
      </c>
      <c r="N397" s="76">
        <f>N396+Observaciones!$F396-K397-L397-M397-O396</f>
        <v>42.304558287524742</v>
      </c>
      <c r="O397" s="76">
        <f>MAX(0,(N397-Constantes!$D$14)*(1-EXP(-Constantes!$D$22)))</f>
        <v>1.057832258890453</v>
      </c>
      <c r="P397" s="170">
        <f>P396+(Entradas!$E$83*M397-Q396)/(800*Entradas!$D$25)</f>
        <v>0</v>
      </c>
      <c r="Q397" s="170">
        <f>8000*Entradas!$D$26*P397/Constantes!$E$45</f>
        <v>0</v>
      </c>
      <c r="R397" s="170">
        <f>IF(Escenarios!$E$14&gt;0,K397*Escenarios!$E$13/Escenarios!$E$14,0)</f>
        <v>0</v>
      </c>
      <c r="S397" s="170">
        <f>IF(Escenarios!$E$14&gt;0,Q397*Escenarios!$E$13/Escenarios!$E$14,0)</f>
        <v>0</v>
      </c>
      <c r="T397" s="170">
        <f>IF(Escenarios!$E$14&gt;0,Observaciones!$I396,0)</f>
        <v>0</v>
      </c>
      <c r="U397" s="170">
        <f>IF(Escenarios!$E$14&gt;0,MAX(0,Constantes!$E$36/((Z396+R397+S397+T397+Observaciones!$F396)^2)+Entradas!$E$77),0)</f>
        <v>1.8666862551361298</v>
      </c>
      <c r="V397" s="146">
        <f>IF(ETo!D396&gt;0,ETo!I396*((1-Entradas!$E$81)*ETo!K396+ETo!L396),0)</f>
        <v>3.9781342083855336</v>
      </c>
      <c r="W397" s="170">
        <f>IF(Escenarios!$E$14&gt;0,MIN(V397*1,0.8*(Z396+R397+S397+T397+Observaciones!$F396-U397-Constantes!$E$35)),0)</f>
        <v>3.9781342083855336</v>
      </c>
      <c r="X397" s="170">
        <f>IF(Escenarios!$E$14&gt;0,Observaciones!$J396,0)</f>
        <v>0</v>
      </c>
      <c r="Y397" s="170">
        <f>IF(Escenarios!$E$14&gt;0,MAX(0,Z396+R397+S397+T397+Observaciones!$F396-U397-W397-X397-Constantes!$E$33),0)</f>
        <v>0</v>
      </c>
      <c r="Z397" s="170">
        <f>Z396+R397+S397+T397+Observaciones!$F396-U397-W397-Y397</f>
        <v>89.334240442730305</v>
      </c>
      <c r="AA397" s="170">
        <f>IF(Escenarios!$E$14&gt;0,(Escenarios!$E$13*L397+Escenarios!$E$14*W397)/(Escenarios!$E$16),L397)</f>
        <v>2.3656871056430844</v>
      </c>
      <c r="AB397" s="170">
        <f>IF(Escenarios!$E$14&gt;0,(Escenarios!$E$14*Y397)/(Escenarios!$E$16),K397)</f>
        <v>0</v>
      </c>
      <c r="AC397" s="170">
        <f>IF(Escenarios!$E$14&gt;0,(Escenarios!$E$13*M397+Escenarios!$E$14*U397)/(Escenarios!$E$16),M397)</f>
        <v>0.22400235061633558</v>
      </c>
      <c r="AD397" s="76">
        <f t="shared" si="85"/>
        <v>113.41004931344231</v>
      </c>
      <c r="AE397" s="76">
        <f>MAX(0,(AD397-Constantes!$D$13)*(1-EXP(-Constantes!$D$23)))</f>
        <v>0.63711086670921946</v>
      </c>
      <c r="AF397" s="76">
        <f>AB397+O397*Escenarios!$E$13/Escenarios!$E$16+AE397</f>
        <v>1.568003254532818</v>
      </c>
      <c r="AG397" s="76">
        <f>IF(Entradas!$E$91&gt;0,IF(AF397-Escenarios!$E$38&lt;=0,0,IF(AF397-Escenarios!$E$38&gt;Escenarios!$E$37,Escenarios!$E$37,AF397-Escenarios!$E$38)),0)</f>
        <v>0</v>
      </c>
      <c r="AH397" s="76">
        <f>AG397*Entradas!$E$99</f>
        <v>0</v>
      </c>
      <c r="AI397" s="76">
        <f>IF(Entradas!$E$91&gt;0,D397*Entradas!$D$23/Escenarios!$E$16,0)</f>
        <v>0</v>
      </c>
      <c r="AJ397" s="76">
        <f>IF(Entradas!$E$91&gt;0,Entradas!$D$24*Entradas!$D$22/Escenarios!$E$16,0)</f>
        <v>0</v>
      </c>
      <c r="AK397" s="76">
        <f t="shared" si="94"/>
        <v>2.3656871056430844</v>
      </c>
      <c r="AL397" s="76">
        <f t="shared" si="95"/>
        <v>0</v>
      </c>
      <c r="AM397" s="76">
        <f t="shared" si="86"/>
        <v>0</v>
      </c>
      <c r="AN397" s="76">
        <f>MAX(0,O397*Escenarios!$E$13/Escenarios!$E$16-AM397)</f>
        <v>0.93089238782359862</v>
      </c>
      <c r="AO397" s="76">
        <f>AM397+AN397-O397*Escenarios!$E$13/Escenarios!$E$16</f>
        <v>0</v>
      </c>
      <c r="AP397" s="76">
        <f t="shared" si="84"/>
        <v>0.63711086670921946</v>
      </c>
      <c r="AQ397" s="76">
        <f t="shared" si="87"/>
        <v>0</v>
      </c>
      <c r="AR397" s="76">
        <f t="shared" si="88"/>
        <v>1.568003254532818</v>
      </c>
      <c r="AS397" s="76">
        <f t="shared" si="89"/>
        <v>0</v>
      </c>
      <c r="AT397" s="76">
        <f t="shared" si="90"/>
        <v>0.22400235061633558</v>
      </c>
      <c r="AU397" s="76">
        <f t="shared" si="91"/>
        <v>48.75</v>
      </c>
      <c r="AV397" s="76">
        <f>MAX(0,(AU397-Constantes!$D$13)*(1-EXP(-Constantes!$D$24)))</f>
        <v>0</v>
      </c>
      <c r="AW397" s="170">
        <f>AW396+(Entradas!$E$112*AT397-AX396)/(800*Entradas!$D$25)</f>
        <v>0</v>
      </c>
      <c r="AX397" s="170">
        <f>8000*Entradas!$D$26*AW397/Constantes!$E$45</f>
        <v>0</v>
      </c>
      <c r="AY397" s="170">
        <f>IF(Escenarios!$E$17&gt;0,10*Escenarios!$E$16*AL397,0)</f>
        <v>0</v>
      </c>
      <c r="AZ397" s="170">
        <f>IF(Escenarios!$E$17&gt;0,10*Escenarios!$E$16*AX397,0)</f>
        <v>0</v>
      </c>
      <c r="BA397" s="170">
        <f>IF(Escenarios!$E$17&gt;0,0.001*Observaciones!$F396*Escenarios!$E$17,0)</f>
        <v>80</v>
      </c>
      <c r="BB397" s="170">
        <f>IF(Escenarios!$E$17&gt;0,Observaciones!$K396,0)</f>
        <v>0</v>
      </c>
      <c r="BC397" s="170">
        <f>IF(Escenarios!$E$17&gt;0,MIN(0.0005*ETo!$M396*Escenarios!$E$17*(BG396/Constantes!$E$40)^(2/3),BG396+AY397+AZ397+BA397+BB397),0)</f>
        <v>34.261954935583482</v>
      </c>
      <c r="BD397" s="170">
        <f>IF(Escenarios!$E$17&gt;0,MIN(Constantes!$E$39*(BG396/Constantes!$E$40)^(2/3),BG396+AY397+AZ397+BA397+BB397-BC397),0)</f>
        <v>55.443407945137686</v>
      </c>
      <c r="BE397" s="170">
        <f>IF(Escenarios!$E$17&gt;0,MIN(Entradas!$E$113,BG396+AY397+AZ397+BA397+BB397-BC397-BD397),0)</f>
        <v>1</v>
      </c>
      <c r="BF397" s="170">
        <f>IF(Escenarios!$E$17&gt;0,MAX(0,BG396+AY397+AZ397+BA397+BB397-BC397-BD397-BE397-Constantes!$E$40),0)</f>
        <v>0</v>
      </c>
      <c r="BG397" s="170">
        <f t="shared" si="96"/>
        <v>3835.6431832197545</v>
      </c>
      <c r="BH397" s="170">
        <f>(Escenarios!$E$16*AK397+0.1*BC397)/(Escenarios!$E$19)</f>
        <v>2.3605078250171805</v>
      </c>
      <c r="BI397" s="170">
        <f>IF(Escenarios!$E$17&gt;0,BF397/10/Escenarios!$E$19,AL397)</f>
        <v>0</v>
      </c>
      <c r="BJ397" s="170">
        <f>(Escenarios!$E$16*AT397+0.1*BD397)/(Escenarios!$E$19)</f>
        <v>0.2442259065420542</v>
      </c>
      <c r="BK397" s="76">
        <f>BK396+(0.1*BD397)/(Escenarios!$E$19)-BL396</f>
        <v>49.859341934028265</v>
      </c>
      <c r="BL397" s="76">
        <f>MAX(0,(BK397-Constantes!$D$13)*(1-EXP(-Constantes!$D$23)))</f>
        <v>1.0930610300643507E-2</v>
      </c>
      <c r="BM397" s="76">
        <f t="shared" si="92"/>
        <v>0.64804147700986292</v>
      </c>
      <c r="BN397" s="76">
        <f t="shared" si="97"/>
        <v>1.5789338648334614</v>
      </c>
      <c r="BO397" s="76">
        <f>0.0526*BI397*Observaciones!$F396^1.218</f>
        <v>0</v>
      </c>
      <c r="BP397" s="76">
        <f>BO397*Constantes!$E$51</f>
        <v>0</v>
      </c>
      <c r="BQ397" s="76">
        <f t="shared" si="93"/>
        <v>0</v>
      </c>
      <c r="BR397" s="40"/>
    </row>
    <row r="398" spans="1:70">
      <c r="A398" s="147"/>
      <c r="B398" s="39"/>
      <c r="C398" s="75">
        <v>392</v>
      </c>
      <c r="D398" s="146">
        <f>ETo!$I397*((1-Constantes!$E$19)*ETo!$K397+ETo!$L397)</f>
        <v>4.4018251920436891</v>
      </c>
      <c r="E398" s="76">
        <f>MIN(D398*Constantes!$E$17,0.8*(N397+Observaciones!$F397-F398-M398-Constantes!$D$14))</f>
        <v>2.1521065362930982</v>
      </c>
      <c r="F398" s="76">
        <f>IF(Observaciones!$F397&gt;0.05*Constantes!$E$18,((Observaciones!$F397-0.05*Constantes!$E$18)^2)/(Observaciones!$F397+0.95*Constantes!$E$18),0)</f>
        <v>0</v>
      </c>
      <c r="G398" s="76">
        <f>IF(Escenarios!$E$11&gt;0,(F398*Escenarios!$E$16*10000)/1000,0)</f>
        <v>0</v>
      </c>
      <c r="H398" s="76">
        <f>IF(Escenarios!$E$11&gt;0,(Observaciones!$F397*Constantes!$E$29)/1000,0)</f>
        <v>1</v>
      </c>
      <c r="I398" s="76">
        <f>IF(Escenarios!$E$11&gt;0,(D398*Constantes!$E$29)/1000,0)</f>
        <v>44.018251920436889</v>
      </c>
      <c r="J398" s="76">
        <f>IF(Escenarios!$E$11&gt;0,MAX(0,G398+H398-I398),0)</f>
        <v>0</v>
      </c>
      <c r="K398" s="76">
        <f>IF(Escenarios!$E$11&gt;0,IF(J398&gt;Constantes!$E$30,1000*((J398-Constantes!$E$30)/(Escenarios!$E$16*10000)),0),F398)</f>
        <v>0</v>
      </c>
      <c r="L398" s="76">
        <f>IF(Escenarios!$E$11&gt;0,I398*1000/Escenarios!$E$16/10000+E398,E398)</f>
        <v>2.169713837061273</v>
      </c>
      <c r="M398" s="76">
        <f>MAX(0,N397+Observaciones!$F397-K398-Constantes!$D$13)</f>
        <v>0</v>
      </c>
      <c r="N398" s="76">
        <f>N397+Observaciones!$F397-K398-L398-M398-O397</f>
        <v>39.17701219157302</v>
      </c>
      <c r="O398" s="76">
        <f>MAX(0,(N398-Constantes!$D$14)*(1-EXP(-Constantes!$D$22)))</f>
        <v>0.95129655740557018</v>
      </c>
      <c r="P398" s="170">
        <f>P397+(Entradas!$E$83*M398-Q397)/(800*Entradas!$D$25)</f>
        <v>0</v>
      </c>
      <c r="Q398" s="170">
        <f>8000*Entradas!$D$26*P398/Constantes!$E$45</f>
        <v>0</v>
      </c>
      <c r="R398" s="170">
        <f>IF(Escenarios!$E$14&gt;0,K398*Escenarios!$E$13/Escenarios!$E$14,0)</f>
        <v>0</v>
      </c>
      <c r="S398" s="170">
        <f>IF(Escenarios!$E$14&gt;0,Q398*Escenarios!$E$13/Escenarios!$E$14,0)</f>
        <v>0</v>
      </c>
      <c r="T398" s="170">
        <f>IF(Escenarios!$E$14&gt;0,Observaciones!$I397,0)</f>
        <v>0</v>
      </c>
      <c r="U398" s="170">
        <f>IF(Escenarios!$E$14&gt;0,MAX(0,Constantes!$E$36/((Z397+R398+S398+T398+Observaciones!$F397)^2)+Entradas!$E$77),0)</f>
        <v>1.7164129081316188</v>
      </c>
      <c r="V398" s="146">
        <f>IF(ETo!D397&gt;0,ETo!I397*((1-Entradas!$E$81)*ETo!K397+ETo!L397),0)</f>
        <v>4.0229804024760645</v>
      </c>
      <c r="W398" s="170">
        <f>IF(Escenarios!$E$14&gt;0,MIN(V398*1,0.8*(Z397+R398+S398+T398+Observaciones!$F397-U398-Constantes!$E$35)),0)</f>
        <v>4.0229804024760645</v>
      </c>
      <c r="X398" s="170">
        <f>IF(Escenarios!$E$14&gt;0,Observaciones!$J397,0)</f>
        <v>0</v>
      </c>
      <c r="Y398" s="170">
        <f>IF(Escenarios!$E$14&gt;0,MAX(0,Z397+R398+S398+T398+Observaciones!$F397-U398-W398-X398-Constantes!$E$33),0)</f>
        <v>0</v>
      </c>
      <c r="Z398" s="170">
        <f>Z397+R398+S398+T398+Observaciones!$F397-U398-W398-Y398</f>
        <v>83.694847132122618</v>
      </c>
      <c r="AA398" s="170">
        <f>IF(Escenarios!$E$14&gt;0,(Escenarios!$E$13*L398+Escenarios!$E$14*W398)/(Escenarios!$E$16),L398)</f>
        <v>2.3921058249110478</v>
      </c>
      <c r="AB398" s="170">
        <f>IF(Escenarios!$E$14&gt;0,(Escenarios!$E$14*Y398)/(Escenarios!$E$16),K398)</f>
        <v>0</v>
      </c>
      <c r="AC398" s="170">
        <f>IF(Escenarios!$E$14&gt;0,(Escenarios!$E$13*M398+Escenarios!$E$14*U398)/(Escenarios!$E$16),M398)</f>
        <v>0.20596954897579425</v>
      </c>
      <c r="AD398" s="76">
        <f t="shared" si="85"/>
        <v>112.97890799570889</v>
      </c>
      <c r="AE398" s="76">
        <f>MAX(0,(AD398-Constantes!$D$13)*(1-EXP(-Constantes!$D$23)))</f>
        <v>0.63286272861573079</v>
      </c>
      <c r="AF398" s="76">
        <f>AB398+O398*Escenarios!$E$13/Escenarios!$E$16+AE398</f>
        <v>1.4700036991326326</v>
      </c>
      <c r="AG398" s="76">
        <f>IF(Entradas!$E$91&gt;0,IF(AF398-Escenarios!$E$38&lt;=0,0,IF(AF398-Escenarios!$E$38&gt;Escenarios!$E$37,Escenarios!$E$37,AF398-Escenarios!$E$38)),0)</f>
        <v>0</v>
      </c>
      <c r="AH398" s="76">
        <f>AG398*Entradas!$E$99</f>
        <v>0</v>
      </c>
      <c r="AI398" s="76">
        <f>IF(Entradas!$E$91&gt;0,D398*Entradas!$D$23/Escenarios!$E$16,0)</f>
        <v>0</v>
      </c>
      <c r="AJ398" s="76">
        <f>IF(Entradas!$E$91&gt;0,Entradas!$D$24*Entradas!$D$22/Escenarios!$E$16,0)</f>
        <v>0</v>
      </c>
      <c r="AK398" s="76">
        <f t="shared" si="94"/>
        <v>2.3921058249110478</v>
      </c>
      <c r="AL398" s="76">
        <f t="shared" si="95"/>
        <v>0</v>
      </c>
      <c r="AM398" s="76">
        <f t="shared" si="86"/>
        <v>0</v>
      </c>
      <c r="AN398" s="76">
        <f>MAX(0,O398*Escenarios!$E$13/Escenarios!$E$16-AM398)</f>
        <v>0.83714097051690184</v>
      </c>
      <c r="AO398" s="76">
        <f>AM398+AN398-O398*Escenarios!$E$13/Escenarios!$E$16</f>
        <v>0</v>
      </c>
      <c r="AP398" s="76">
        <f t="shared" si="84"/>
        <v>0.63286272861573079</v>
      </c>
      <c r="AQ398" s="76">
        <f t="shared" si="87"/>
        <v>0</v>
      </c>
      <c r="AR398" s="76">
        <f t="shared" si="88"/>
        <v>1.4700036991326326</v>
      </c>
      <c r="AS398" s="76">
        <f t="shared" si="89"/>
        <v>0</v>
      </c>
      <c r="AT398" s="76">
        <f t="shared" si="90"/>
        <v>0.20596954897579425</v>
      </c>
      <c r="AU398" s="76">
        <f t="shared" si="91"/>
        <v>48.75</v>
      </c>
      <c r="AV398" s="76">
        <f>MAX(0,(AU398-Constantes!$D$13)*(1-EXP(-Constantes!$D$24)))</f>
        <v>0</v>
      </c>
      <c r="AW398" s="170">
        <f>AW397+(Entradas!$E$112*AT398-AX397)/(800*Entradas!$D$25)</f>
        <v>0</v>
      </c>
      <c r="AX398" s="170">
        <f>8000*Entradas!$D$26*AW398/Constantes!$E$45</f>
        <v>0</v>
      </c>
      <c r="AY398" s="170">
        <f>IF(Escenarios!$E$17&gt;0,10*Escenarios!$E$16*AL398,0)</f>
        <v>0</v>
      </c>
      <c r="AZ398" s="170">
        <f>IF(Escenarios!$E$17&gt;0,10*Escenarios!$E$16*AX398,0)</f>
        <v>0</v>
      </c>
      <c r="BA398" s="170">
        <f>IF(Escenarios!$E$17&gt;0,0.001*Observaciones!$F397*Escenarios!$E$17,0)</f>
        <v>2</v>
      </c>
      <c r="BB398" s="170">
        <f>IF(Escenarios!$E$17&gt;0,Observaciones!$K397,0)</f>
        <v>0</v>
      </c>
      <c r="BC398" s="170">
        <f>IF(Escenarios!$E$17&gt;0,MIN(0.0005*ETo!$M397*Escenarios!$E$17*(BG397/Constantes!$E$40)^(2/3),BG397+AY398+AZ398+BA398+BB398),0)</f>
        <v>34.573612387669719</v>
      </c>
      <c r="BD398" s="170">
        <f>IF(Escenarios!$E$17&gt;0,MIN(Constantes!$E$39*(BG397/Constantes!$E$40)^(2/3),BG397+AY398+AZ398+BA398+BB398-BC398),0)</f>
        <v>55.340484793485096</v>
      </c>
      <c r="BE398" s="170">
        <f>IF(Escenarios!$E$17&gt;0,MIN(Entradas!$E$113,BG397+AY398+AZ398+BA398+BB398-BC398-BD398),0)</f>
        <v>1</v>
      </c>
      <c r="BF398" s="170">
        <f>IF(Escenarios!$E$17&gt;0,MAX(0,BG397+AY398+AZ398+BA398+BB398-BC398-BD398-BE398-Constantes!$E$40),0)</f>
        <v>0</v>
      </c>
      <c r="BG398" s="170">
        <f t="shared" si="96"/>
        <v>3746.7290860385997</v>
      </c>
      <c r="BH398" s="170">
        <f>(Escenarios!$E$16*AK398+0.1*BC398)/(Escenarios!$E$19)</f>
        <v>2.3868405455020993</v>
      </c>
      <c r="BI398" s="170">
        <f>IF(Escenarios!$E$17&gt;0,BF398/10/Escenarios!$E$19,AL398)</f>
        <v>0</v>
      </c>
      <c r="BJ398" s="170">
        <f>(Escenarios!$E$16*AT398+0.1*BD398)/(Escenarios!$E$19)</f>
        <v>0.22629537985435344</v>
      </c>
      <c r="BK398" s="76">
        <f>BK397+(0.1*BD398)/(Escenarios!$E$19)-BL397</f>
        <v>49.87037183356631</v>
      </c>
      <c r="BL398" s="76">
        <f>MAX(0,(BK398-Constantes!$D$13)*(1-EXP(-Constantes!$D$23)))</f>
        <v>1.1039290527909255E-2</v>
      </c>
      <c r="BM398" s="76">
        <f t="shared" si="92"/>
        <v>0.64390201914364009</v>
      </c>
      <c r="BN398" s="76">
        <f t="shared" si="97"/>
        <v>1.4810429896605419</v>
      </c>
      <c r="BO398" s="76">
        <f>0.0526*BI398*Observaciones!$F397^1.218</f>
        <v>0</v>
      </c>
      <c r="BP398" s="76">
        <f>BO398*Constantes!$E$51</f>
        <v>0</v>
      </c>
      <c r="BQ398" s="76">
        <f t="shared" si="93"/>
        <v>0</v>
      </c>
      <c r="BR398" s="40"/>
    </row>
    <row r="399" spans="1:70">
      <c r="A399" s="147"/>
      <c r="B399" s="39"/>
      <c r="C399" s="75">
        <v>393</v>
      </c>
      <c r="D399" s="146">
        <f>ETo!$I398*((1-Constantes!$E$19)*ETo!$K398+ETo!$L398)</f>
        <v>4.3641113423779503</v>
      </c>
      <c r="E399" s="76">
        <f>MIN(D399*Constantes!$E$17,0.8*(N398+Observaciones!$F398-F399-M399-Constantes!$D$14))</f>
        <v>2.1336677708189229</v>
      </c>
      <c r="F399" s="76">
        <f>IF(Observaciones!$F398&gt;0.05*Constantes!$E$18,((Observaciones!$F398-0.05*Constantes!$E$18)^2)/(Observaciones!$F398+0.95*Constantes!$E$18),0)</f>
        <v>0</v>
      </c>
      <c r="G399" s="76">
        <f>IF(Escenarios!$E$11&gt;0,(F399*Escenarios!$E$16*10000)/1000,0)</f>
        <v>0</v>
      </c>
      <c r="H399" s="76">
        <f>IF(Escenarios!$E$11&gt;0,(Observaciones!$F398*Constantes!$E$29)/1000,0)</f>
        <v>0</v>
      </c>
      <c r="I399" s="76">
        <f>IF(Escenarios!$E$11&gt;0,(D399*Constantes!$E$29)/1000,0)</f>
        <v>43.641113423779508</v>
      </c>
      <c r="J399" s="76">
        <f>IF(Escenarios!$E$11&gt;0,MAX(0,G399+H399-I399),0)</f>
        <v>0</v>
      </c>
      <c r="K399" s="76">
        <f>IF(Escenarios!$E$11&gt;0,IF(J399&gt;Constantes!$E$30,1000*((J399-Constantes!$E$30)/(Escenarios!$E$16*10000)),0),F399)</f>
        <v>0</v>
      </c>
      <c r="L399" s="76">
        <f>IF(Escenarios!$E$11&gt;0,I399*1000/Escenarios!$E$16/10000+E399,E399)</f>
        <v>2.1511242161884345</v>
      </c>
      <c r="M399" s="76">
        <f>MAX(0,N398+Observaciones!$F398-K399-Constantes!$D$13)</f>
        <v>0</v>
      </c>
      <c r="N399" s="76">
        <f>N398+Observaciones!$F398-K399-L399-M399-O398</f>
        <v>36.074591417979015</v>
      </c>
      <c r="O399" s="76">
        <f>MAX(0,(N399-Constantes!$D$14)*(1-EXP(-Constantes!$D$22)))</f>
        <v>0.84561671663713789</v>
      </c>
      <c r="P399" s="170">
        <f>P398+(Entradas!$E$83*M399-Q398)/(800*Entradas!$D$25)</f>
        <v>0</v>
      </c>
      <c r="Q399" s="170">
        <f>8000*Entradas!$D$26*P399/Constantes!$E$45</f>
        <v>0</v>
      </c>
      <c r="R399" s="170">
        <f>IF(Escenarios!$E$14&gt;0,K399*Escenarios!$E$13/Escenarios!$E$14,0)</f>
        <v>0</v>
      </c>
      <c r="S399" s="170">
        <f>IF(Escenarios!$E$14&gt;0,Q399*Escenarios!$E$13/Escenarios!$E$14,0)</f>
        <v>0</v>
      </c>
      <c r="T399" s="170">
        <f>IF(Escenarios!$E$14&gt;0,Observaciones!$I398,0)</f>
        <v>0</v>
      </c>
      <c r="U399" s="170">
        <f>IF(Escenarios!$E$14&gt;0,MAX(0,Constantes!$E$36/((Z398+R399+S399+T399+Observaciones!$F398)^2)+Entradas!$E$77),0)</f>
        <v>1.5343322025967387</v>
      </c>
      <c r="V399" s="146">
        <f>IF(ETo!D398&gt;0,ETo!I398*((1-Entradas!$E$81)*ETo!K398+ETo!L398),0)</f>
        <v>3.988073364236528</v>
      </c>
      <c r="W399" s="170">
        <f>IF(Escenarios!$E$14&gt;0,MIN(V399*1,0.8*(Z398+R399+S399+T399+Observaciones!$F398-U399-Constantes!$E$35)),0)</f>
        <v>3.988073364236528</v>
      </c>
      <c r="X399" s="170">
        <f>IF(Escenarios!$E$14&gt;0,Observaciones!$J398,0)</f>
        <v>0</v>
      </c>
      <c r="Y399" s="170">
        <f>IF(Escenarios!$E$14&gt;0,MAX(0,Z398+R399+S399+T399+Observaciones!$F398-U399-W399-X399-Constantes!$E$33),0)</f>
        <v>0</v>
      </c>
      <c r="Z399" s="170">
        <f>Z398+R399+S399+T399+Observaciones!$F398-U399-W399-Y399</f>
        <v>78.172441565289347</v>
      </c>
      <c r="AA399" s="170">
        <f>IF(Escenarios!$E$14&gt;0,(Escenarios!$E$13*L399+Escenarios!$E$14*W399)/(Escenarios!$E$16),L399)</f>
        <v>2.3715581139542059</v>
      </c>
      <c r="AB399" s="170">
        <f>IF(Escenarios!$E$14&gt;0,(Escenarios!$E$14*Y399)/(Escenarios!$E$16),K399)</f>
        <v>0</v>
      </c>
      <c r="AC399" s="170">
        <f>IF(Escenarios!$E$14&gt;0,(Escenarios!$E$13*M399+Escenarios!$E$14*U399)/(Escenarios!$E$16),M399)</f>
        <v>0.18411986431160865</v>
      </c>
      <c r="AD399" s="76">
        <f t="shared" si="85"/>
        <v>112.53016513140477</v>
      </c>
      <c r="AE399" s="76">
        <f>MAX(0,(AD399-Constantes!$D$13)*(1-EXP(-Constantes!$D$23)))</f>
        <v>0.62844115829151914</v>
      </c>
      <c r="AF399" s="76">
        <f>AB399+O399*Escenarios!$E$13/Escenarios!$E$16+AE399</f>
        <v>1.3725838689322005</v>
      </c>
      <c r="AG399" s="76">
        <f>IF(Entradas!$E$91&gt;0,IF(AF399-Escenarios!$E$38&lt;=0,0,IF(AF399-Escenarios!$E$38&gt;Escenarios!$E$37,Escenarios!$E$37,AF399-Escenarios!$E$38)),0)</f>
        <v>0</v>
      </c>
      <c r="AH399" s="76">
        <f>AG399*Entradas!$E$99</f>
        <v>0</v>
      </c>
      <c r="AI399" s="76">
        <f>IF(Entradas!$E$91&gt;0,D399*Entradas!$D$23/Escenarios!$E$16,0)</f>
        <v>0</v>
      </c>
      <c r="AJ399" s="76">
        <f>IF(Entradas!$E$91&gt;0,Entradas!$D$24*Entradas!$D$22/Escenarios!$E$16,0)</f>
        <v>0</v>
      </c>
      <c r="AK399" s="76">
        <f t="shared" si="94"/>
        <v>2.3715581139542059</v>
      </c>
      <c r="AL399" s="76">
        <f t="shared" si="95"/>
        <v>0</v>
      </c>
      <c r="AM399" s="76">
        <f t="shared" si="86"/>
        <v>0</v>
      </c>
      <c r="AN399" s="76">
        <f>MAX(0,O399*Escenarios!$E$13/Escenarios!$E$16-AM399)</f>
        <v>0.74414271064068138</v>
      </c>
      <c r="AO399" s="76">
        <f>AM399+AN399-O399*Escenarios!$E$13/Escenarios!$E$16</f>
        <v>0</v>
      </c>
      <c r="AP399" s="76">
        <f t="shared" si="84"/>
        <v>0.62844115829151914</v>
      </c>
      <c r="AQ399" s="76">
        <f t="shared" si="87"/>
        <v>0</v>
      </c>
      <c r="AR399" s="76">
        <f t="shared" si="88"/>
        <v>1.3725838689322005</v>
      </c>
      <c r="AS399" s="76">
        <f t="shared" si="89"/>
        <v>0</v>
      </c>
      <c r="AT399" s="76">
        <f t="shared" si="90"/>
        <v>0.18411986431160865</v>
      </c>
      <c r="AU399" s="76">
        <f t="shared" si="91"/>
        <v>48.75</v>
      </c>
      <c r="AV399" s="76">
        <f>MAX(0,(AU399-Constantes!$D$13)*(1-EXP(-Constantes!$D$24)))</f>
        <v>0</v>
      </c>
      <c r="AW399" s="170">
        <f>AW398+(Entradas!$E$112*AT399-AX398)/(800*Entradas!$D$25)</f>
        <v>0</v>
      </c>
      <c r="AX399" s="170">
        <f>8000*Entradas!$D$26*AW399/Constantes!$E$45</f>
        <v>0</v>
      </c>
      <c r="AY399" s="170">
        <f>IF(Escenarios!$E$17&gt;0,10*Escenarios!$E$16*AL399,0)</f>
        <v>0</v>
      </c>
      <c r="AZ399" s="170">
        <f>IF(Escenarios!$E$17&gt;0,10*Escenarios!$E$16*AX399,0)</f>
        <v>0</v>
      </c>
      <c r="BA399" s="170">
        <f>IF(Escenarios!$E$17&gt;0,0.001*Observaciones!$F398*Escenarios!$E$17,0)</f>
        <v>0</v>
      </c>
      <c r="BB399" s="170">
        <f>IF(Escenarios!$E$17&gt;0,Observaciones!$K398,0)</f>
        <v>0</v>
      </c>
      <c r="BC399" s="170">
        <f>IF(Escenarios!$E$17&gt;0,MIN(0.0005*ETo!$M398*Escenarios!$E$17*(BG398/Constantes!$E$40)^(2/3),BG398+AY399+AZ399+BA399+BB399),0)</f>
        <v>33.750307190781093</v>
      </c>
      <c r="BD399" s="170">
        <f>IF(Escenarios!$E$17&gt;0,MIN(Constantes!$E$39*(BG398/Constantes!$E$40)^(2/3),BG398+AY399+AZ399+BA399+BB399-BC399),0)</f>
        <v>54.481913734281704</v>
      </c>
      <c r="BE399" s="170">
        <f>IF(Escenarios!$E$17&gt;0,MIN(Entradas!$E$113,BG398+AY399+AZ399+BA399+BB399-BC399-BD399),0)</f>
        <v>1</v>
      </c>
      <c r="BF399" s="170">
        <f>IF(Escenarios!$E$17&gt;0,MAX(0,BG398+AY399+AZ399+BA399+BB399-BC399-BD399-BE399-Constantes!$E$40),0)</f>
        <v>0</v>
      </c>
      <c r="BG399" s="170">
        <f t="shared" si="96"/>
        <v>3657.4968651135368</v>
      </c>
      <c r="BH399" s="170">
        <f>(Escenarios!$E$16*AK399+0.1*BC399)/(Escenarios!$E$19)</f>
        <v>2.3661292032048795</v>
      </c>
      <c r="BI399" s="170">
        <f>IF(Escenarios!$E$17&gt;0,BF399/10/Escenarios!$E$19,AL399)</f>
        <v>0</v>
      </c>
      <c r="BJ399" s="170">
        <f>(Escenarios!$E$16*AT399+0.1*BD399)/(Escenarios!$E$19)</f>
        <v>0.20427840258464416</v>
      </c>
      <c r="BK399" s="76">
        <f>BK398+(0.1*BD399)/(Escenarios!$E$19)-BL398</f>
        <v>49.880952350075809</v>
      </c>
      <c r="BL399" s="76">
        <f>MAX(0,(BK399-Constantes!$D$13)*(1-EXP(-Constantes!$D$23)))</f>
        <v>1.1143542877160044E-2</v>
      </c>
      <c r="BM399" s="76">
        <f t="shared" si="92"/>
        <v>0.63958470116867916</v>
      </c>
      <c r="BN399" s="76">
        <f t="shared" si="97"/>
        <v>1.3837274118093605</v>
      </c>
      <c r="BO399" s="76">
        <f>0.0526*BI399*Observaciones!$F398^1.218</f>
        <v>0</v>
      </c>
      <c r="BP399" s="76">
        <f>BO399*Constantes!$E$51</f>
        <v>0</v>
      </c>
      <c r="BQ399" s="76">
        <f t="shared" si="93"/>
        <v>0</v>
      </c>
      <c r="BR399" s="40"/>
    </row>
    <row r="400" spans="1:70">
      <c r="A400" s="147"/>
      <c r="B400" s="39"/>
      <c r="C400" s="75">
        <v>394</v>
      </c>
      <c r="D400" s="146">
        <f>ETo!$I399*((1-Constantes!$E$19)*ETo!$K399+ETo!$L399)</f>
        <v>4.1630526243087651</v>
      </c>
      <c r="E400" s="76">
        <f>MIN(D400*Constantes!$E$17,0.8*(N399+Observaciones!$F399-F400-M400-Constantes!$D$14))</f>
        <v>2.0353676879084266</v>
      </c>
      <c r="F400" s="76">
        <f>IF(Observaciones!$F399&gt;0.05*Constantes!$E$18,((Observaciones!$F399-0.05*Constantes!$E$18)^2)/(Observaciones!$F399+0.95*Constantes!$E$18),0)</f>
        <v>0</v>
      </c>
      <c r="G400" s="76">
        <f>IF(Escenarios!$E$11&gt;0,(F400*Escenarios!$E$16*10000)/1000,0)</f>
        <v>0</v>
      </c>
      <c r="H400" s="76">
        <f>IF(Escenarios!$E$11&gt;0,(Observaciones!$F399*Constantes!$E$29)/1000,0)</f>
        <v>17</v>
      </c>
      <c r="I400" s="76">
        <f>IF(Escenarios!$E$11&gt;0,(D400*Constantes!$E$29)/1000,0)</f>
        <v>41.630526243087651</v>
      </c>
      <c r="J400" s="76">
        <f>IF(Escenarios!$E$11&gt;0,MAX(0,G400+H400-I400),0)</f>
        <v>0</v>
      </c>
      <c r="K400" s="76">
        <f>IF(Escenarios!$E$11&gt;0,IF(J400&gt;Constantes!$E$30,1000*((J400-Constantes!$E$30)/(Escenarios!$E$16*10000)),0),F400)</f>
        <v>0</v>
      </c>
      <c r="L400" s="76">
        <f>IF(Escenarios!$E$11&gt;0,I400*1000/Escenarios!$E$16/10000+E400,E400)</f>
        <v>2.0520198984056615</v>
      </c>
      <c r="M400" s="76">
        <f>MAX(0,N399+Observaciones!$F399-K400-Constantes!$D$13)</f>
        <v>0</v>
      </c>
      <c r="N400" s="76">
        <f>N399+Observaciones!$F399-K400-L400-M400-O399</f>
        <v>34.876954802936218</v>
      </c>
      <c r="O400" s="76">
        <f>MAX(0,(N400-Constantes!$D$14)*(1-EXP(-Constantes!$D$22)))</f>
        <v>0.80482081691475882</v>
      </c>
      <c r="P400" s="170">
        <f>P399+(Entradas!$E$83*M400-Q399)/(800*Entradas!$D$25)</f>
        <v>0</v>
      </c>
      <c r="Q400" s="170">
        <f>8000*Entradas!$D$26*P400/Constantes!$E$45</f>
        <v>0</v>
      </c>
      <c r="R400" s="170">
        <f>IF(Escenarios!$E$14&gt;0,K400*Escenarios!$E$13/Escenarios!$E$14,0)</f>
        <v>0</v>
      </c>
      <c r="S400" s="170">
        <f>IF(Escenarios!$E$14&gt;0,Q400*Escenarios!$E$13/Escenarios!$E$14,0)</f>
        <v>0</v>
      </c>
      <c r="T400" s="170">
        <f>IF(Escenarios!$E$14&gt;0,Observaciones!$I399,0)</f>
        <v>0</v>
      </c>
      <c r="U400" s="170">
        <f>IF(Escenarios!$E$14&gt;0,MAX(0,Constantes!$E$36/((Z399+R400+S400+T400+Observaciones!$F399)^2)+Entradas!$E$77),0)</f>
        <v>1.3906923849433337</v>
      </c>
      <c r="V400" s="146">
        <f>IF(ETo!D399&gt;0,ETo!I399*((1-Entradas!$E$81)*ETo!K399+ETo!L399),0)</f>
        <v>3.8025532098894073</v>
      </c>
      <c r="W400" s="170">
        <f>IF(Escenarios!$E$14&gt;0,MIN(V400*1,0.8*(Z399+R400+S400+T400+Observaciones!$F399-U400-Constantes!$E$35)),0)</f>
        <v>3.8025532098894073</v>
      </c>
      <c r="X400" s="170">
        <f>IF(Escenarios!$E$14&gt;0,Observaciones!$J399,0)</f>
        <v>0</v>
      </c>
      <c r="Y400" s="170">
        <f>IF(Escenarios!$E$14&gt;0,MAX(0,Z399+R400+S400+T400+Observaciones!$F399-U400-W400-X400-Constantes!$E$33),0)</f>
        <v>0</v>
      </c>
      <c r="Z400" s="170">
        <f>Z399+R400+S400+T400+Observaciones!$F399-U400-W400-Y400</f>
        <v>74.679195970456604</v>
      </c>
      <c r="AA400" s="170">
        <f>IF(Escenarios!$E$14&gt;0,(Escenarios!$E$13*L400+Escenarios!$E$14*W400)/(Escenarios!$E$16),L400)</f>
        <v>2.2620838957837108</v>
      </c>
      <c r="AB400" s="170">
        <f>IF(Escenarios!$E$14&gt;0,(Escenarios!$E$14*Y400)/(Escenarios!$E$16),K400)</f>
        <v>0</v>
      </c>
      <c r="AC400" s="170">
        <f>IF(Escenarios!$E$14&gt;0,(Escenarios!$E$13*M400+Escenarios!$E$14*U400)/(Escenarios!$E$16),M400)</f>
        <v>0.16688308619320003</v>
      </c>
      <c r="AD400" s="76">
        <f t="shared" si="85"/>
        <v>112.06860705930644</v>
      </c>
      <c r="AE400" s="76">
        <f>MAX(0,(AD400-Constantes!$D$13)*(1-EXP(-Constantes!$D$23)))</f>
        <v>0.62389331667256653</v>
      </c>
      <c r="AF400" s="76">
        <f>AB400+O400*Escenarios!$E$13/Escenarios!$E$16+AE400</f>
        <v>1.3321356355575542</v>
      </c>
      <c r="AG400" s="76">
        <f>IF(Entradas!$E$91&gt;0,IF(AF400-Escenarios!$E$38&lt;=0,0,IF(AF400-Escenarios!$E$38&gt;Escenarios!$E$37,Escenarios!$E$37,AF400-Escenarios!$E$38)),0)</f>
        <v>0</v>
      </c>
      <c r="AH400" s="76">
        <f>AG400*Entradas!$E$99</f>
        <v>0</v>
      </c>
      <c r="AI400" s="76">
        <f>IF(Entradas!$E$91&gt;0,D400*Entradas!$D$23/Escenarios!$E$16,0)</f>
        <v>0</v>
      </c>
      <c r="AJ400" s="76">
        <f>IF(Entradas!$E$91&gt;0,Entradas!$D$24*Entradas!$D$22/Escenarios!$E$16,0)</f>
        <v>0</v>
      </c>
      <c r="AK400" s="76">
        <f t="shared" si="94"/>
        <v>2.2620838957837108</v>
      </c>
      <c r="AL400" s="76">
        <f t="shared" si="95"/>
        <v>0</v>
      </c>
      <c r="AM400" s="76">
        <f t="shared" si="86"/>
        <v>0</v>
      </c>
      <c r="AN400" s="76">
        <f>MAX(0,O400*Escenarios!$E$13/Escenarios!$E$16-AM400)</f>
        <v>0.70824231888498779</v>
      </c>
      <c r="AO400" s="76">
        <f>AM400+AN400-O400*Escenarios!$E$13/Escenarios!$E$16</f>
        <v>0</v>
      </c>
      <c r="AP400" s="76">
        <f t="shared" si="84"/>
        <v>0.62389331667256653</v>
      </c>
      <c r="AQ400" s="76">
        <f t="shared" si="87"/>
        <v>0</v>
      </c>
      <c r="AR400" s="76">
        <f t="shared" si="88"/>
        <v>1.3321356355575542</v>
      </c>
      <c r="AS400" s="76">
        <f t="shared" si="89"/>
        <v>0</v>
      </c>
      <c r="AT400" s="76">
        <f t="shared" si="90"/>
        <v>0.16688308619320003</v>
      </c>
      <c r="AU400" s="76">
        <f t="shared" si="91"/>
        <v>48.75</v>
      </c>
      <c r="AV400" s="76">
        <f>MAX(0,(AU400-Constantes!$D$13)*(1-EXP(-Constantes!$D$24)))</f>
        <v>0</v>
      </c>
      <c r="AW400" s="170">
        <f>AW399+(Entradas!$E$112*AT400-AX399)/(800*Entradas!$D$25)</f>
        <v>0</v>
      </c>
      <c r="AX400" s="170">
        <f>8000*Entradas!$D$26*AW400/Constantes!$E$45</f>
        <v>0</v>
      </c>
      <c r="AY400" s="170">
        <f>IF(Escenarios!$E$17&gt;0,10*Escenarios!$E$16*AL400,0)</f>
        <v>0</v>
      </c>
      <c r="AZ400" s="170">
        <f>IF(Escenarios!$E$17&gt;0,10*Escenarios!$E$16*AX400,0)</f>
        <v>0</v>
      </c>
      <c r="BA400" s="170">
        <f>IF(Escenarios!$E$17&gt;0,0.001*Observaciones!$F399*Escenarios!$E$17,0)</f>
        <v>34</v>
      </c>
      <c r="BB400" s="170">
        <f>IF(Escenarios!$E$17&gt;0,Observaciones!$K399,0)</f>
        <v>0</v>
      </c>
      <c r="BC400" s="170">
        <f>IF(Escenarios!$E$17&gt;0,MIN(0.0005*ETo!$M399*Escenarios!$E$17*(BG399/Constantes!$E$40)^(2/3),BG399+AY400+AZ400+BA400+BB400),0)</f>
        <v>31.701002578651387</v>
      </c>
      <c r="BD400" s="170">
        <f>IF(Escenarios!$E$17&gt;0,MIN(Constantes!$E$39*(BG399/Constantes!$E$40)^(2/3),BG399+AY400+AZ400+BA400+BB400-BC400),0)</f>
        <v>53.613414607042714</v>
      </c>
      <c r="BE400" s="170">
        <f>IF(Escenarios!$E$17&gt;0,MIN(Entradas!$E$113,BG399+AY400+AZ400+BA400+BB400-BC400-BD400),0)</f>
        <v>1</v>
      </c>
      <c r="BF400" s="170">
        <f>IF(Escenarios!$E$17&gt;0,MAX(0,BG399+AY400+AZ400+BA400+BB400-BC400-BD400-BE400-Constantes!$E$40),0)</f>
        <v>0</v>
      </c>
      <c r="BG400" s="170">
        <f t="shared" si="96"/>
        <v>3605.182447927843</v>
      </c>
      <c r="BH400" s="170">
        <f>(Escenarios!$E$16*AK400+0.1*BC400)/(Escenarios!$E$19)</f>
        <v>2.2567106119198126</v>
      </c>
      <c r="BI400" s="170">
        <f>IF(Escenarios!$E$17&gt;0,BF400/10/Escenarios!$E$19,AL400)</f>
        <v>0</v>
      </c>
      <c r="BJ400" s="170">
        <f>(Escenarios!$E$16*AT400+0.1*BD400)/(Escenarios!$E$19)</f>
        <v>0.18683378178176302</v>
      </c>
      <c r="BK400" s="76">
        <f>BK399+(0.1*BD400)/(Escenarios!$E$19)-BL399</f>
        <v>49.891083971725259</v>
      </c>
      <c r="BL400" s="76">
        <f>MAX(0,(BK400-Constantes!$D$13)*(1-EXP(-Constantes!$D$23)))</f>
        <v>1.1243372158436338E-2</v>
      </c>
      <c r="BM400" s="76">
        <f t="shared" si="92"/>
        <v>0.63513668883100283</v>
      </c>
      <c r="BN400" s="76">
        <f t="shared" si="97"/>
        <v>1.3433790077159906</v>
      </c>
      <c r="BO400" s="76">
        <f>0.0526*BI400*Observaciones!$F399^1.218</f>
        <v>0</v>
      </c>
      <c r="BP400" s="76">
        <f>BO400*Constantes!$E$51</f>
        <v>0</v>
      </c>
      <c r="BQ400" s="76">
        <f t="shared" si="93"/>
        <v>0</v>
      </c>
      <c r="BR400" s="40"/>
    </row>
    <row r="401" spans="1:70">
      <c r="A401" s="147"/>
      <c r="B401" s="39"/>
      <c r="C401" s="75">
        <v>395</v>
      </c>
      <c r="D401" s="146">
        <f>ETo!$I400*((1-Constantes!$E$19)*ETo!$K400+ETo!$L400)</f>
        <v>4.3426857739382836</v>
      </c>
      <c r="E401" s="76">
        <f>MIN(D401*Constantes!$E$17,0.8*(N400+Observaciones!$F400-F401-M401-Constantes!$D$14))</f>
        <v>2.1231925465946291</v>
      </c>
      <c r="F401" s="76">
        <f>IF(Observaciones!$F400&gt;0.05*Constantes!$E$18,((Observaciones!$F400-0.05*Constantes!$E$18)^2)/(Observaciones!$F400+0.95*Constantes!$E$18),0)</f>
        <v>0</v>
      </c>
      <c r="G401" s="76">
        <f>IF(Escenarios!$E$11&gt;0,(F401*Escenarios!$E$16*10000)/1000,0)</f>
        <v>0</v>
      </c>
      <c r="H401" s="76">
        <f>IF(Escenarios!$E$11&gt;0,(Observaciones!$F400*Constantes!$E$29)/1000,0)</f>
        <v>52</v>
      </c>
      <c r="I401" s="76">
        <f>IF(Escenarios!$E$11&gt;0,(D401*Constantes!$E$29)/1000,0)</f>
        <v>43.426857739382839</v>
      </c>
      <c r="J401" s="76">
        <f>IF(Escenarios!$E$11&gt;0,MAX(0,G401+H401-I401),0)</f>
        <v>8.5731422606171606</v>
      </c>
      <c r="K401" s="76">
        <f>IF(Escenarios!$E$11&gt;0,IF(J401&gt;Constantes!$E$30,1000*((J401-Constantes!$E$30)/(Escenarios!$E$16*10000)),0),F401)</f>
        <v>0</v>
      </c>
      <c r="L401" s="76">
        <f>IF(Escenarios!$E$11&gt;0,I401*1000/Escenarios!$E$16/10000+E401,E401)</f>
        <v>2.1405632896903821</v>
      </c>
      <c r="M401" s="76">
        <f>MAX(0,N400+Observaciones!$F400-K401-Constantes!$D$13)</f>
        <v>0</v>
      </c>
      <c r="N401" s="76">
        <f>N400+Observaciones!$F400-K401-L401-M401-O400</f>
        <v>37.131570696331082</v>
      </c>
      <c r="O401" s="76">
        <f>MAX(0,(N401-Constantes!$D$14)*(1-EXP(-Constantes!$D$22)))</f>
        <v>0.88162131110817676</v>
      </c>
      <c r="P401" s="170">
        <f>P400+(Entradas!$E$83*M401-Q400)/(800*Entradas!$D$25)</f>
        <v>0</v>
      </c>
      <c r="Q401" s="170">
        <f>8000*Entradas!$D$26*P401/Constantes!$E$45</f>
        <v>0</v>
      </c>
      <c r="R401" s="170">
        <f>IF(Escenarios!$E$14&gt;0,K401*Escenarios!$E$13/Escenarios!$E$14,0)</f>
        <v>0</v>
      </c>
      <c r="S401" s="170">
        <f>IF(Escenarios!$E$14&gt;0,Q401*Escenarios!$E$13/Escenarios!$E$14,0)</f>
        <v>0</v>
      </c>
      <c r="T401" s="170">
        <f>IF(Escenarios!$E$14&gt;0,Observaciones!$I400,0)</f>
        <v>0</v>
      </c>
      <c r="U401" s="170">
        <f>IF(Escenarios!$E$14&gt;0,MAX(0,Constantes!$E$36/((Z400+R401+S401+T401+Observaciones!$F400)^2)+Entradas!$E$77),0)</f>
        <v>1.3909645323021294</v>
      </c>
      <c r="V401" s="146">
        <f>IF(ETo!D400&gt;0,ETo!I400*((1-Entradas!$E$81)*ETo!K400+ETo!L400),0)</f>
        <v>3.9682255918309188</v>
      </c>
      <c r="W401" s="170">
        <f>IF(Escenarios!$E$14&gt;0,MIN(V401*1,0.8*(Z400+R401+S401+T401+Observaciones!$F400-U401-Constantes!$E$35)),0)</f>
        <v>3.9682255918309188</v>
      </c>
      <c r="X401" s="170">
        <f>IF(Escenarios!$E$14&gt;0,Observaciones!$J400,0)</f>
        <v>0</v>
      </c>
      <c r="Y401" s="170">
        <f>IF(Escenarios!$E$14&gt;0,MAX(0,Z400+R401+S401+T401+Observaciones!$F400-U401-W401-X401-Constantes!$E$33),0)</f>
        <v>0</v>
      </c>
      <c r="Z401" s="170">
        <f>Z400+R401+S401+T401+Observaciones!$F400-U401-W401-Y401</f>
        <v>74.520005846323556</v>
      </c>
      <c r="AA401" s="170">
        <f>IF(Escenarios!$E$14&gt;0,(Escenarios!$E$13*L401+Escenarios!$E$14*W401)/(Escenarios!$E$16),L401)</f>
        <v>2.3598827659472468</v>
      </c>
      <c r="AB401" s="170">
        <f>IF(Escenarios!$E$14&gt;0,(Escenarios!$E$14*Y401)/(Escenarios!$E$16),K401)</f>
        <v>0</v>
      </c>
      <c r="AC401" s="170">
        <f>IF(Escenarios!$E$14&gt;0,(Escenarios!$E$13*M401+Escenarios!$E$14*U401)/(Escenarios!$E$16),M401)</f>
        <v>0.16691574387625555</v>
      </c>
      <c r="AD401" s="76">
        <f t="shared" si="85"/>
        <v>111.61162948651014</v>
      </c>
      <c r="AE401" s="76">
        <f>MAX(0,(AD401-Constantes!$D$13)*(1-EXP(-Constantes!$D$23)))</f>
        <v>0.61939060780422661</v>
      </c>
      <c r="AF401" s="76">
        <f>AB401+O401*Escenarios!$E$13/Escenarios!$E$16+AE401</f>
        <v>1.3952173615794221</v>
      </c>
      <c r="AG401" s="76">
        <f>IF(Entradas!$E$91&gt;0,IF(AF401-Escenarios!$E$38&lt;=0,0,IF(AF401-Escenarios!$E$38&gt;Escenarios!$E$37,Escenarios!$E$37,AF401-Escenarios!$E$38)),0)</f>
        <v>0</v>
      </c>
      <c r="AH401" s="76">
        <f>AG401*Entradas!$E$99</f>
        <v>0</v>
      </c>
      <c r="AI401" s="76">
        <f>IF(Entradas!$E$91&gt;0,D401*Entradas!$D$23/Escenarios!$E$16,0)</f>
        <v>0</v>
      </c>
      <c r="AJ401" s="76">
        <f>IF(Entradas!$E$91&gt;0,Entradas!$D$24*Entradas!$D$22/Escenarios!$E$16,0)</f>
        <v>0</v>
      </c>
      <c r="AK401" s="76">
        <f t="shared" si="94"/>
        <v>2.3598827659472468</v>
      </c>
      <c r="AL401" s="76">
        <f t="shared" si="95"/>
        <v>0</v>
      </c>
      <c r="AM401" s="76">
        <f t="shared" si="86"/>
        <v>0</v>
      </c>
      <c r="AN401" s="76">
        <f>MAX(0,O401*Escenarios!$E$13/Escenarios!$E$16-AM401)</f>
        <v>0.77582675377519561</v>
      </c>
      <c r="AO401" s="76">
        <f>AM401+AN401-O401*Escenarios!$E$13/Escenarios!$E$16</f>
        <v>0</v>
      </c>
      <c r="AP401" s="76">
        <f t="shared" si="84"/>
        <v>0.61939060780422661</v>
      </c>
      <c r="AQ401" s="76">
        <f t="shared" si="87"/>
        <v>0</v>
      </c>
      <c r="AR401" s="76">
        <f t="shared" si="88"/>
        <v>1.3952173615794221</v>
      </c>
      <c r="AS401" s="76">
        <f t="shared" si="89"/>
        <v>0</v>
      </c>
      <c r="AT401" s="76">
        <f t="shared" si="90"/>
        <v>0.16691574387625555</v>
      </c>
      <c r="AU401" s="76">
        <f t="shared" si="91"/>
        <v>48.75</v>
      </c>
      <c r="AV401" s="76">
        <f>MAX(0,(AU401-Constantes!$D$13)*(1-EXP(-Constantes!$D$24)))</f>
        <v>0</v>
      </c>
      <c r="AW401" s="170">
        <f>AW400+(Entradas!$E$112*AT401-AX400)/(800*Entradas!$D$25)</f>
        <v>0</v>
      </c>
      <c r="AX401" s="170">
        <f>8000*Entradas!$D$26*AW401/Constantes!$E$45</f>
        <v>0</v>
      </c>
      <c r="AY401" s="170">
        <f>IF(Escenarios!$E$17&gt;0,10*Escenarios!$E$16*AL401,0)</f>
        <v>0</v>
      </c>
      <c r="AZ401" s="170">
        <f>IF(Escenarios!$E$17&gt;0,10*Escenarios!$E$16*AX401,0)</f>
        <v>0</v>
      </c>
      <c r="BA401" s="170">
        <f>IF(Escenarios!$E$17&gt;0,0.001*Observaciones!$F400*Escenarios!$E$17,0)</f>
        <v>104.00000000000001</v>
      </c>
      <c r="BB401" s="170">
        <f>IF(Escenarios!$E$17&gt;0,Observaciones!$K400,0)</f>
        <v>0</v>
      </c>
      <c r="BC401" s="170">
        <f>IF(Escenarios!$E$17&gt;0,MIN(0.0005*ETo!$M400*Escenarios!$E$17*(BG400/Constantes!$E$40)^(2/3),BG400+AY401+AZ401+BA401+BB401),0)</f>
        <v>32.736140094280657</v>
      </c>
      <c r="BD401" s="170">
        <f>IF(Escenarios!$E$17&gt;0,MIN(Constantes!$E$39*(BG400/Constantes!$E$40)^(2/3),BG400+AY401+AZ401+BA401+BB401-BC401),0)</f>
        <v>53.100954176565949</v>
      </c>
      <c r="BE401" s="170">
        <f>IF(Escenarios!$E$17&gt;0,MIN(Entradas!$E$113,BG400+AY401+AZ401+BA401+BB401-BC401-BD401),0)</f>
        <v>1</v>
      </c>
      <c r="BF401" s="170">
        <f>IF(Escenarios!$E$17&gt;0,MAX(0,BG400+AY401+AZ401+BA401+BB401-BC401-BD401-BE401-Constantes!$E$40),0)</f>
        <v>0</v>
      </c>
      <c r="BG401" s="170">
        <f t="shared" si="96"/>
        <v>3622.3453536569964</v>
      </c>
      <c r="BH401" s="170">
        <f>(Escenarios!$E$16*AK401+0.1*BC401)/(Escenarios!$E$19)</f>
        <v>2.3541440694295228</v>
      </c>
      <c r="BI401" s="170">
        <f>IF(Escenarios!$E$17&gt;0,BF401/10/Escenarios!$E$19,AL401)</f>
        <v>0</v>
      </c>
      <c r="BJ401" s="170">
        <f>(Escenarios!$E$16*AT401+0.1*BD401)/(Escenarios!$E$19)</f>
        <v>0.18666282296317652</v>
      </c>
      <c r="BK401" s="76">
        <f>BK400+(0.1*BD401)/(Escenarios!$E$19)-BL400</f>
        <v>49.900912406779739</v>
      </c>
      <c r="BL401" s="76">
        <f>MAX(0,(BK401-Constantes!$D$13)*(1-EXP(-Constantes!$D$23)))</f>
        <v>1.1340214069978979E-2</v>
      </c>
      <c r="BM401" s="76">
        <f t="shared" si="92"/>
        <v>0.63073082187420559</v>
      </c>
      <c r="BN401" s="76">
        <f t="shared" si="97"/>
        <v>1.4065575756494011</v>
      </c>
      <c r="BO401" s="76">
        <f>0.0526*BI401*Observaciones!$F400^1.218</f>
        <v>0</v>
      </c>
      <c r="BP401" s="76">
        <f>BO401*Constantes!$E$51</f>
        <v>0</v>
      </c>
      <c r="BQ401" s="76">
        <f t="shared" si="93"/>
        <v>0</v>
      </c>
      <c r="BR401" s="40"/>
    </row>
    <row r="402" spans="1:70">
      <c r="A402" s="147"/>
      <c r="B402" s="39"/>
      <c r="C402" s="75">
        <v>396</v>
      </c>
      <c r="D402" s="146">
        <f>ETo!$I401*((1-Constantes!$E$19)*ETo!$K401+ETo!$L401)</f>
        <v>4.3000915148167351</v>
      </c>
      <c r="E402" s="76">
        <f>MIN(D402*Constantes!$E$17,0.8*(N401+Observaciones!$F401-F402-M402-Constantes!$D$14))</f>
        <v>2.1023676888447724</v>
      </c>
      <c r="F402" s="76">
        <f>IF(Observaciones!$F401&gt;0.05*Constantes!$E$18,((Observaciones!$F401-0.05*Constantes!$E$18)^2)/(Observaciones!$F401+0.95*Constantes!$E$18),0)</f>
        <v>0</v>
      </c>
      <c r="G402" s="76">
        <f>IF(Escenarios!$E$11&gt;0,(F402*Escenarios!$E$16*10000)/1000,0)</f>
        <v>0</v>
      </c>
      <c r="H402" s="76">
        <f>IF(Escenarios!$E$11&gt;0,(Observaciones!$F401*Constantes!$E$29)/1000,0)</f>
        <v>31</v>
      </c>
      <c r="I402" s="76">
        <f>IF(Escenarios!$E$11&gt;0,(D402*Constantes!$E$29)/1000,0)</f>
        <v>43.000915148167351</v>
      </c>
      <c r="J402" s="76">
        <f>IF(Escenarios!$E$11&gt;0,MAX(0,G402+H402-I402),0)</f>
        <v>0</v>
      </c>
      <c r="K402" s="76">
        <f>IF(Escenarios!$E$11&gt;0,IF(J402&gt;Constantes!$E$30,1000*((J402-Constantes!$E$30)/(Escenarios!$E$16*10000)),0),F402)</f>
        <v>0</v>
      </c>
      <c r="L402" s="76">
        <f>IF(Escenarios!$E$11&gt;0,I402*1000/Escenarios!$E$16/10000+E402,E402)</f>
        <v>2.1195680549040392</v>
      </c>
      <c r="M402" s="76">
        <f>MAX(0,N401+Observaciones!$F401-K402-Constantes!$D$13)</f>
        <v>0</v>
      </c>
      <c r="N402" s="76">
        <f>N401+Observaciones!$F401-K402-L402-M402-O401</f>
        <v>37.23038133031887</v>
      </c>
      <c r="O402" s="76">
        <f>MAX(0,(N402-Constantes!$D$14)*(1-EXP(-Constantes!$D$22)))</f>
        <v>0.88498716404306432</v>
      </c>
      <c r="P402" s="170">
        <f>P401+(Entradas!$E$83*M402-Q401)/(800*Entradas!$D$25)</f>
        <v>0</v>
      </c>
      <c r="Q402" s="170">
        <f>8000*Entradas!$D$26*P402/Constantes!$E$45</f>
        <v>0</v>
      </c>
      <c r="R402" s="170">
        <f>IF(Escenarios!$E$14&gt;0,K402*Escenarios!$E$13/Escenarios!$E$14,0)</f>
        <v>0</v>
      </c>
      <c r="S402" s="170">
        <f>IF(Escenarios!$E$14&gt;0,Q402*Escenarios!$E$13/Escenarios!$E$14,0)</f>
        <v>0</v>
      </c>
      <c r="T402" s="170">
        <f>IF(Escenarios!$E$14&gt;0,Observaciones!$I401,0)</f>
        <v>0</v>
      </c>
      <c r="U402" s="170">
        <f>IF(Escenarios!$E$14&gt;0,MAX(0,Constantes!$E$36/((Z401+R402+S402+T402+Observaciones!$F401)^2)+Entradas!$E$77),0)</f>
        <v>1.2959370084045572</v>
      </c>
      <c r="V402" s="146">
        <f>IF(ETo!D401&gt;0,ETo!I401*((1-Entradas!$E$81)*ETo!K401+ETo!L401),0)</f>
        <v>3.9288501390092119</v>
      </c>
      <c r="W402" s="170">
        <f>IF(Escenarios!$E$14&gt;0,MIN(V402*1,0.8*(Z401+R402+S402+T402+Observaciones!$F401-U402-Constantes!$E$35)),0)</f>
        <v>3.9288501390092119</v>
      </c>
      <c r="X402" s="170">
        <f>IF(Escenarios!$E$14&gt;0,Observaciones!$J401,0)</f>
        <v>0</v>
      </c>
      <c r="Y402" s="170">
        <f>IF(Escenarios!$E$14&gt;0,MAX(0,Z401+R402+S402+T402+Observaciones!$F401-U402-W402-X402-Constantes!$E$33),0)</f>
        <v>0</v>
      </c>
      <c r="Z402" s="170">
        <f>Z401+R402+S402+T402+Observaciones!$F401-U402-W402-Y402</f>
        <v>72.395218698909787</v>
      </c>
      <c r="AA402" s="170">
        <f>IF(Escenarios!$E$14&gt;0,(Escenarios!$E$13*L402+Escenarios!$E$14*W402)/(Escenarios!$E$16),L402)</f>
        <v>2.3366819049966598</v>
      </c>
      <c r="AB402" s="170">
        <f>IF(Escenarios!$E$14&gt;0,(Escenarios!$E$14*Y402)/(Escenarios!$E$16),K402)</f>
        <v>0</v>
      </c>
      <c r="AC402" s="170">
        <f>IF(Escenarios!$E$14&gt;0,(Escenarios!$E$13*M402+Escenarios!$E$14*U402)/(Escenarios!$E$16),M402)</f>
        <v>0.15551244100854686</v>
      </c>
      <c r="AD402" s="76">
        <f t="shared" si="85"/>
        <v>111.14775131971446</v>
      </c>
      <c r="AE402" s="76">
        <f>MAX(0,(AD402-Constantes!$D$13)*(1-EXP(-Constantes!$D$23)))</f>
        <v>0.61481990573961753</v>
      </c>
      <c r="AF402" s="76">
        <f>AB402+O402*Escenarios!$E$13/Escenarios!$E$16+AE402</f>
        <v>1.3936086100975142</v>
      </c>
      <c r="AG402" s="76">
        <f>IF(Entradas!$E$91&gt;0,IF(AF402-Escenarios!$E$38&lt;=0,0,IF(AF402-Escenarios!$E$38&gt;Escenarios!$E$37,Escenarios!$E$37,AF402-Escenarios!$E$38)),0)</f>
        <v>0</v>
      </c>
      <c r="AH402" s="76">
        <f>AG402*Entradas!$E$99</f>
        <v>0</v>
      </c>
      <c r="AI402" s="76">
        <f>IF(Entradas!$E$91&gt;0,D402*Entradas!$D$23/Escenarios!$E$16,0)</f>
        <v>0</v>
      </c>
      <c r="AJ402" s="76">
        <f>IF(Entradas!$E$91&gt;0,Entradas!$D$24*Entradas!$D$22/Escenarios!$E$16,0)</f>
        <v>0</v>
      </c>
      <c r="AK402" s="76">
        <f t="shared" si="94"/>
        <v>2.3366819049966598</v>
      </c>
      <c r="AL402" s="76">
        <f t="shared" si="95"/>
        <v>0</v>
      </c>
      <c r="AM402" s="76">
        <f t="shared" si="86"/>
        <v>0</v>
      </c>
      <c r="AN402" s="76">
        <f>MAX(0,O402*Escenarios!$E$13/Escenarios!$E$16-AM402)</f>
        <v>0.7787887043578966</v>
      </c>
      <c r="AO402" s="76">
        <f>AM402+AN402-O402*Escenarios!$E$13/Escenarios!$E$16</f>
        <v>0</v>
      </c>
      <c r="AP402" s="76">
        <f t="shared" si="84"/>
        <v>0.61481990573961753</v>
      </c>
      <c r="AQ402" s="76">
        <f t="shared" si="87"/>
        <v>0</v>
      </c>
      <c r="AR402" s="76">
        <f t="shared" si="88"/>
        <v>1.3936086100975142</v>
      </c>
      <c r="AS402" s="76">
        <f t="shared" si="89"/>
        <v>0</v>
      </c>
      <c r="AT402" s="76">
        <f t="shared" si="90"/>
        <v>0.15551244100854686</v>
      </c>
      <c r="AU402" s="76">
        <f t="shared" si="91"/>
        <v>48.75</v>
      </c>
      <c r="AV402" s="76">
        <f>MAX(0,(AU402-Constantes!$D$13)*(1-EXP(-Constantes!$D$24)))</f>
        <v>0</v>
      </c>
      <c r="AW402" s="170">
        <f>AW401+(Entradas!$E$112*AT402-AX401)/(800*Entradas!$D$25)</f>
        <v>0</v>
      </c>
      <c r="AX402" s="170">
        <f>8000*Entradas!$D$26*AW402/Constantes!$E$45</f>
        <v>0</v>
      </c>
      <c r="AY402" s="170">
        <f>IF(Escenarios!$E$17&gt;0,10*Escenarios!$E$16*AL402,0)</f>
        <v>0</v>
      </c>
      <c r="AZ402" s="170">
        <f>IF(Escenarios!$E$17&gt;0,10*Escenarios!$E$16*AX402,0)</f>
        <v>0</v>
      </c>
      <c r="BA402" s="170">
        <f>IF(Escenarios!$E$17&gt;0,0.001*Observaciones!$F401*Escenarios!$E$17,0)</f>
        <v>62.000000000000007</v>
      </c>
      <c r="BB402" s="170">
        <f>IF(Escenarios!$E$17&gt;0,Observaciones!$K401,0)</f>
        <v>0</v>
      </c>
      <c r="BC402" s="170">
        <f>IF(Escenarios!$E$17&gt;0,MIN(0.0005*ETo!$M401*Escenarios!$E$17*(BG401/Constantes!$E$40)^(2/3),BG401+AY402+AZ402+BA402+BB402),0)</f>
        <v>32.522607599860507</v>
      </c>
      <c r="BD402" s="170">
        <f>IF(Escenarios!$E$17&gt;0,MIN(Constantes!$E$39*(BG401/Constantes!$E$40)^(2/3),BG401+AY402+AZ402+BA402+BB402-BC402),0)</f>
        <v>53.269349738185113</v>
      </c>
      <c r="BE402" s="170">
        <f>IF(Escenarios!$E$17&gt;0,MIN(Entradas!$E$113,BG401+AY402+AZ402+BA402+BB402-BC402-BD402),0)</f>
        <v>1</v>
      </c>
      <c r="BF402" s="170">
        <f>IF(Escenarios!$E$17&gt;0,MAX(0,BG401+AY402+AZ402+BA402+BB402-BC402-BD402-BE402-Constantes!$E$40),0)</f>
        <v>0</v>
      </c>
      <c r="BG402" s="170">
        <f t="shared" si="96"/>
        <v>3597.5533963189509</v>
      </c>
      <c r="BH402" s="170">
        <f>(Escenarios!$E$16*AK402+0.1*BC402)/(Escenarios!$E$19)</f>
        <v>2.3310426071791706</v>
      </c>
      <c r="BI402" s="170">
        <f>IF(Escenarios!$E$17&gt;0,BF402/10/Escenarios!$E$19,AL402)</f>
        <v>0</v>
      </c>
      <c r="BJ402" s="170">
        <f>(Escenarios!$E$16*AT402+0.1*BD402)/(Escenarios!$E$19)</f>
        <v>0.17541684613474295</v>
      </c>
      <c r="BK402" s="76">
        <f>BK401+(0.1*BD402)/(Escenarios!$E$19)-BL401</f>
        <v>49.91071082355824</v>
      </c>
      <c r="BL402" s="76">
        <f>MAX(0,(BK402-Constantes!$D$13)*(1-EXP(-Constantes!$D$23)))</f>
        <v>1.1436760204298603E-2</v>
      </c>
      <c r="BM402" s="76">
        <f t="shared" si="92"/>
        <v>0.62625666594391616</v>
      </c>
      <c r="BN402" s="76">
        <f t="shared" si="97"/>
        <v>1.4050453703018129</v>
      </c>
      <c r="BO402" s="76">
        <f>0.0526*BI402*Observaciones!$F401^1.218</f>
        <v>0</v>
      </c>
      <c r="BP402" s="76">
        <f>BO402*Constantes!$E$51</f>
        <v>0</v>
      </c>
      <c r="BQ402" s="76">
        <f t="shared" si="93"/>
        <v>0</v>
      </c>
      <c r="BR402" s="40"/>
    </row>
    <row r="403" spans="1:70">
      <c r="A403" s="147"/>
      <c r="B403" s="39"/>
      <c r="C403" s="75">
        <v>397</v>
      </c>
      <c r="D403" s="146">
        <f>ETo!$I402*((1-Constantes!$E$19)*ETo!$K402+ETo!$L402)</f>
        <v>4.3750214203415805</v>
      </c>
      <c r="E403" s="76">
        <f>MIN(D403*Constantes!$E$17,0.8*(N402+Observaciones!$F402-F403-M403-Constantes!$D$14))</f>
        <v>2.1390018422716999</v>
      </c>
      <c r="F403" s="76">
        <f>IF(Observaciones!$F402&gt;0.05*Constantes!$E$18,((Observaciones!$F402-0.05*Constantes!$E$18)^2)/(Observaciones!$F402+0.95*Constantes!$E$18),0)</f>
        <v>0</v>
      </c>
      <c r="G403" s="76">
        <f>IF(Escenarios!$E$11&gt;0,(F403*Escenarios!$E$16*10000)/1000,0)</f>
        <v>0</v>
      </c>
      <c r="H403" s="76">
        <f>IF(Escenarios!$E$11&gt;0,(Observaciones!$F402*Constantes!$E$29)/1000,0)</f>
        <v>14</v>
      </c>
      <c r="I403" s="76">
        <f>IF(Escenarios!$E$11&gt;0,(D403*Constantes!$E$29)/1000,0)</f>
        <v>43.750214203415801</v>
      </c>
      <c r="J403" s="76">
        <f>IF(Escenarios!$E$11&gt;0,MAX(0,G403+H403-I403),0)</f>
        <v>0</v>
      </c>
      <c r="K403" s="76">
        <f>IF(Escenarios!$E$11&gt;0,IF(J403&gt;Constantes!$E$30,1000*((J403-Constantes!$E$30)/(Escenarios!$E$16*10000)),0),F403)</f>
        <v>0</v>
      </c>
      <c r="L403" s="76">
        <f>IF(Escenarios!$E$11&gt;0,I403*1000/Escenarios!$E$16/10000+E403,E403)</f>
        <v>2.1565019279530664</v>
      </c>
      <c r="M403" s="76">
        <f>MAX(0,N402+Observaciones!$F402-K403-Constantes!$D$13)</f>
        <v>0</v>
      </c>
      <c r="N403" s="76">
        <f>N402+Observaciones!$F402-K403-L403-M403-O402</f>
        <v>35.588892238322735</v>
      </c>
      <c r="O403" s="76">
        <f>MAX(0,(N403-Constantes!$D$14)*(1-EXP(-Constantes!$D$22)))</f>
        <v>0.8290720195398541</v>
      </c>
      <c r="P403" s="170">
        <f>P402+(Entradas!$E$83*M403-Q402)/(800*Entradas!$D$25)</f>
        <v>0</v>
      </c>
      <c r="Q403" s="170">
        <f>8000*Entradas!$D$26*P403/Constantes!$E$45</f>
        <v>0</v>
      </c>
      <c r="R403" s="170">
        <f>IF(Escenarios!$E$14&gt;0,K403*Escenarios!$E$13/Escenarios!$E$14,0)</f>
        <v>0</v>
      </c>
      <c r="S403" s="170">
        <f>IF(Escenarios!$E$14&gt;0,Q403*Escenarios!$E$13/Escenarios!$E$14,0)</f>
        <v>0</v>
      </c>
      <c r="T403" s="170">
        <f>IF(Escenarios!$E$14&gt;0,Observaciones!$I402,0)</f>
        <v>0</v>
      </c>
      <c r="U403" s="170">
        <f>IF(Escenarios!$E$14&gt;0,MAX(0,Constantes!$E$36/((Z402+R403+S403+T403+Observaciones!$F402)^2)+Entradas!$E$77),0)</f>
        <v>1.1147170557543282</v>
      </c>
      <c r="V403" s="146">
        <f>IF(ETo!D402&gt;0,ETo!I402*((1-Entradas!$E$81)*ETo!K402+ETo!L402),0)</f>
        <v>3.9980823873215012</v>
      </c>
      <c r="W403" s="170">
        <f>IF(Escenarios!$E$14&gt;0,MIN(V403*1,0.8*(Z402+R403+S403+T403+Observaciones!$F402-U403-Constantes!$E$35)),0)</f>
        <v>3.9980823873215012</v>
      </c>
      <c r="X403" s="170">
        <f>IF(Escenarios!$E$14&gt;0,Observaciones!$J402,0)</f>
        <v>0</v>
      </c>
      <c r="Y403" s="170">
        <f>IF(Escenarios!$E$14&gt;0,MAX(0,Z402+R403+S403+T403+Observaciones!$F402-U403-W403-X403-Constantes!$E$33),0)</f>
        <v>0</v>
      </c>
      <c r="Z403" s="170">
        <f>Z402+R403+S403+T403+Observaciones!$F402-U403-W403-Y403</f>
        <v>68.682419255833963</v>
      </c>
      <c r="AA403" s="170">
        <f>IF(Escenarios!$E$14&gt;0,(Escenarios!$E$13*L403+Escenarios!$E$14*W403)/(Escenarios!$E$16),L403)</f>
        <v>2.3774915830772785</v>
      </c>
      <c r="AB403" s="170">
        <f>IF(Escenarios!$E$14&gt;0,(Escenarios!$E$14*Y403)/(Escenarios!$E$16),K403)</f>
        <v>0</v>
      </c>
      <c r="AC403" s="170">
        <f>IF(Escenarios!$E$14&gt;0,(Escenarios!$E$13*M403+Escenarios!$E$14*U403)/(Escenarios!$E$16),M403)</f>
        <v>0.13376604669051936</v>
      </c>
      <c r="AD403" s="76">
        <f t="shared" si="85"/>
        <v>110.66669746066536</v>
      </c>
      <c r="AE403" s="76">
        <f>MAX(0,(AD403-Constantes!$D$13)*(1-EXP(-Constantes!$D$23)))</f>
        <v>0.61007996748830429</v>
      </c>
      <c r="AF403" s="76">
        <f>AB403+O403*Escenarios!$E$13/Escenarios!$E$16+AE403</f>
        <v>1.3396633446833759</v>
      </c>
      <c r="AG403" s="76">
        <f>IF(Entradas!$E$91&gt;0,IF(AF403-Escenarios!$E$38&lt;=0,0,IF(AF403-Escenarios!$E$38&gt;Escenarios!$E$37,Escenarios!$E$37,AF403-Escenarios!$E$38)),0)</f>
        <v>0</v>
      </c>
      <c r="AH403" s="76">
        <f>AG403*Entradas!$E$99</f>
        <v>0</v>
      </c>
      <c r="AI403" s="76">
        <f>IF(Entradas!$E$91&gt;0,D403*Entradas!$D$23/Escenarios!$E$16,0)</f>
        <v>0</v>
      </c>
      <c r="AJ403" s="76">
        <f>IF(Entradas!$E$91&gt;0,Entradas!$D$24*Entradas!$D$22/Escenarios!$E$16,0)</f>
        <v>0</v>
      </c>
      <c r="AK403" s="76">
        <f t="shared" si="94"/>
        <v>2.3774915830772785</v>
      </c>
      <c r="AL403" s="76">
        <f t="shared" si="95"/>
        <v>0</v>
      </c>
      <c r="AM403" s="76">
        <f t="shared" si="86"/>
        <v>0</v>
      </c>
      <c r="AN403" s="76">
        <f>MAX(0,O403*Escenarios!$E$13/Escenarios!$E$16-AM403)</f>
        <v>0.7295833771950716</v>
      </c>
      <c r="AO403" s="76">
        <f>AM403+AN403-O403*Escenarios!$E$13/Escenarios!$E$16</f>
        <v>0</v>
      </c>
      <c r="AP403" s="76">
        <f t="shared" si="84"/>
        <v>0.61007996748830429</v>
      </c>
      <c r="AQ403" s="76">
        <f t="shared" si="87"/>
        <v>0</v>
      </c>
      <c r="AR403" s="76">
        <f t="shared" si="88"/>
        <v>1.3396633446833759</v>
      </c>
      <c r="AS403" s="76">
        <f t="shared" si="89"/>
        <v>0</v>
      </c>
      <c r="AT403" s="76">
        <f t="shared" si="90"/>
        <v>0.13376604669051936</v>
      </c>
      <c r="AU403" s="76">
        <f t="shared" si="91"/>
        <v>48.75</v>
      </c>
      <c r="AV403" s="76">
        <f>MAX(0,(AU403-Constantes!$D$13)*(1-EXP(-Constantes!$D$24)))</f>
        <v>0</v>
      </c>
      <c r="AW403" s="170">
        <f>AW402+(Entradas!$E$112*AT403-AX402)/(800*Entradas!$D$25)</f>
        <v>0</v>
      </c>
      <c r="AX403" s="170">
        <f>8000*Entradas!$D$26*AW403/Constantes!$E$45</f>
        <v>0</v>
      </c>
      <c r="AY403" s="170">
        <f>IF(Escenarios!$E$17&gt;0,10*Escenarios!$E$16*AL403,0)</f>
        <v>0</v>
      </c>
      <c r="AZ403" s="170">
        <f>IF(Escenarios!$E$17&gt;0,10*Escenarios!$E$16*AX403,0)</f>
        <v>0</v>
      </c>
      <c r="BA403" s="170">
        <f>IF(Escenarios!$E$17&gt;0,0.001*Observaciones!$F402*Escenarios!$E$17,0)</f>
        <v>28</v>
      </c>
      <c r="BB403" s="170">
        <f>IF(Escenarios!$E$17&gt;0,Observaciones!$K402,0)</f>
        <v>338.0710502155946</v>
      </c>
      <c r="BC403" s="170">
        <f>IF(Escenarios!$E$17&gt;0,MIN(0.0005*ETo!$M402*Escenarios!$E$17*(BG402/Constantes!$E$40)^(2/3),BG402+AY403+AZ403+BA403+BB403),0)</f>
        <v>32.930123673277791</v>
      </c>
      <c r="BD403" s="170">
        <f>IF(Escenarios!$E$17&gt;0,MIN(Constantes!$E$39*(BG402/Constantes!$E$40)^(2/3),BG402+AY403+AZ403+BA403+BB403-BC403),0)</f>
        <v>53.026015217045014</v>
      </c>
      <c r="BE403" s="170">
        <f>IF(Escenarios!$E$17&gt;0,MIN(Entradas!$E$113,BG402+AY403+AZ403+BA403+BB403-BC403-BD403),0)</f>
        <v>1</v>
      </c>
      <c r="BF403" s="170">
        <f>IF(Escenarios!$E$17&gt;0,MAX(0,BG402+AY403+AZ403+BA403+BB403-BC403-BD403-BE403-Constantes!$E$40),0)</f>
        <v>0</v>
      </c>
      <c r="BG403" s="170">
        <f t="shared" si="96"/>
        <v>3876.6683076442228</v>
      </c>
      <c r="BH403" s="170">
        <f>(Escenarios!$E$16*AK403+0.1*BC403)/(Escenarios!$E$19)</f>
        <v>2.3716901116533626</v>
      </c>
      <c r="BI403" s="170">
        <f>IF(Escenarios!$E$17&gt;0,BF403/10/Escenarios!$E$19,AL403)</f>
        <v>0</v>
      </c>
      <c r="BJ403" s="170">
        <f>(Escenarios!$E$16*AT403+0.1*BD403)/(Escenarios!$E$19)</f>
        <v>0.1537464809298982</v>
      </c>
      <c r="BK403" s="76">
        <f>BK402+(0.1*BD403)/(Escenarios!$E$19)-BL402</f>
        <v>49.920316132884516</v>
      </c>
      <c r="BL403" s="76">
        <f>MAX(0,(BK403-Constantes!$D$13)*(1-EXP(-Constantes!$D$23)))</f>
        <v>1.1531403604896833E-2</v>
      </c>
      <c r="BM403" s="76">
        <f t="shared" si="92"/>
        <v>0.62161137109320108</v>
      </c>
      <c r="BN403" s="76">
        <f t="shared" si="97"/>
        <v>1.3511947482882727</v>
      </c>
      <c r="BO403" s="76">
        <f>0.0526*BI403*Observaciones!$F402^1.218</f>
        <v>0</v>
      </c>
      <c r="BP403" s="76">
        <f>BO403*Constantes!$E$51</f>
        <v>0</v>
      </c>
      <c r="BQ403" s="76">
        <f t="shared" si="93"/>
        <v>0</v>
      </c>
      <c r="BR403" s="40"/>
    </row>
    <row r="404" spans="1:70">
      <c r="A404" s="147"/>
      <c r="B404" s="39"/>
      <c r="C404" s="75">
        <v>398</v>
      </c>
      <c r="D404" s="146">
        <f>ETo!$I403*((1-Constantes!$E$19)*ETo!$K403+ETo!$L403)</f>
        <v>4.4768371066037984</v>
      </c>
      <c r="E404" s="76">
        <f>MIN(D404*Constantes!$E$17,0.8*(N403+Observaciones!$F403-F404-M404-Constantes!$D$14))</f>
        <v>2.1887807849471481</v>
      </c>
      <c r="F404" s="76">
        <f>IF(Observaciones!$F403&gt;0.05*Constantes!$E$18,((Observaciones!$F403-0.05*Constantes!$E$18)^2)/(Observaciones!$F403+0.95*Constantes!$E$18),0)</f>
        <v>0</v>
      </c>
      <c r="G404" s="76">
        <f>IF(Escenarios!$E$11&gt;0,(F404*Escenarios!$E$16*10000)/1000,0)</f>
        <v>0</v>
      </c>
      <c r="H404" s="76">
        <f>IF(Escenarios!$E$11&gt;0,(Observaciones!$F403*Constantes!$E$29)/1000,0)</f>
        <v>22</v>
      </c>
      <c r="I404" s="76">
        <f>IF(Escenarios!$E$11&gt;0,(D404*Constantes!$E$29)/1000,0)</f>
        <v>44.768371066037986</v>
      </c>
      <c r="J404" s="76">
        <f>IF(Escenarios!$E$11&gt;0,MAX(0,G404+H404-I404),0)</f>
        <v>0</v>
      </c>
      <c r="K404" s="76">
        <f>IF(Escenarios!$E$11&gt;0,IF(J404&gt;Constantes!$E$30,1000*((J404-Constantes!$E$30)/(Escenarios!$E$16*10000)),0),F404)</f>
        <v>0</v>
      </c>
      <c r="L404" s="76">
        <f>IF(Escenarios!$E$11&gt;0,I404*1000/Escenarios!$E$16/10000+E404,E404)</f>
        <v>2.2066881333735635</v>
      </c>
      <c r="M404" s="76">
        <f>MAX(0,N403+Observaciones!$F403-K404-Constantes!$D$13)</f>
        <v>0</v>
      </c>
      <c r="N404" s="76">
        <f>N403+Observaciones!$F403-K404-L404-M404-O403</f>
        <v>34.753132085409327</v>
      </c>
      <c r="O404" s="76">
        <f>MAX(0,(N404-Constantes!$D$14)*(1-EXP(-Constantes!$D$22)))</f>
        <v>0.80060296059329095</v>
      </c>
      <c r="P404" s="170">
        <f>P403+(Entradas!$E$83*M404-Q403)/(800*Entradas!$D$25)</f>
        <v>0</v>
      </c>
      <c r="Q404" s="170">
        <f>8000*Entradas!$D$26*P404/Constantes!$E$45</f>
        <v>0</v>
      </c>
      <c r="R404" s="170">
        <f>IF(Escenarios!$E$14&gt;0,K404*Escenarios!$E$13/Escenarios!$E$14,0)</f>
        <v>0</v>
      </c>
      <c r="S404" s="170">
        <f>IF(Escenarios!$E$14&gt;0,Q404*Escenarios!$E$13/Escenarios!$E$14,0)</f>
        <v>0</v>
      </c>
      <c r="T404" s="170">
        <f>IF(Escenarios!$E$14&gt;0,Observaciones!$I403,0)</f>
        <v>0</v>
      </c>
      <c r="U404" s="170">
        <f>IF(Escenarios!$E$14&gt;0,MAX(0,Constantes!$E$36/((Z403+R404+S404+T404+Observaciones!$F403)^2)+Entradas!$E$77),0)</f>
        <v>0.95658807649454181</v>
      </c>
      <c r="V404" s="146">
        <f>IF(ETo!D403&gt;0,ETo!I403*((1-Entradas!$E$81)*ETo!K403+ETo!L403),0)</f>
        <v>4.0923706150738752</v>
      </c>
      <c r="W404" s="170">
        <f>IF(Escenarios!$E$14&gt;0,MIN(V404*1,0.8*(Z403+R404+S404+T404+Observaciones!$F403-U404-Constantes!$E$35)),0)</f>
        <v>4.0923706150738752</v>
      </c>
      <c r="X404" s="170">
        <f>IF(Escenarios!$E$14&gt;0,Observaciones!$J403,0)</f>
        <v>0</v>
      </c>
      <c r="Y404" s="170">
        <f>IF(Escenarios!$E$14&gt;0,MAX(0,Z403+R404+S404+T404+Observaciones!$F403-U404-W404-X404-Constantes!$E$33),0)</f>
        <v>0</v>
      </c>
      <c r="Z404" s="170">
        <f>Z403+R404+S404+T404+Observaciones!$F403-U404-W404-Y404</f>
        <v>65.83346056426555</v>
      </c>
      <c r="AA404" s="170">
        <f>IF(Escenarios!$E$14&gt;0,(Escenarios!$E$13*L404+Escenarios!$E$14*W404)/(Escenarios!$E$16),L404)</f>
        <v>2.432970031177601</v>
      </c>
      <c r="AB404" s="170">
        <f>IF(Escenarios!$E$14&gt;0,(Escenarios!$E$14*Y404)/(Escenarios!$E$16),K404)</f>
        <v>0</v>
      </c>
      <c r="AC404" s="170">
        <f>IF(Escenarios!$E$14&gt;0,(Escenarios!$E$13*M404+Escenarios!$E$14*U404)/(Escenarios!$E$16),M404)</f>
        <v>0.11479056917934502</v>
      </c>
      <c r="AD404" s="76">
        <f t="shared" si="85"/>
        <v>110.17140806235641</v>
      </c>
      <c r="AE404" s="76">
        <f>MAX(0,(AD404-Constantes!$D$13)*(1-EXP(-Constantes!$D$23)))</f>
        <v>0.60519976307802237</v>
      </c>
      <c r="AF404" s="76">
        <f>AB404+O404*Escenarios!$E$13/Escenarios!$E$16+AE404</f>
        <v>1.3097303684001185</v>
      </c>
      <c r="AG404" s="76">
        <f>IF(Entradas!$E$91&gt;0,IF(AF404-Escenarios!$E$38&lt;=0,0,IF(AF404-Escenarios!$E$38&gt;Escenarios!$E$37,Escenarios!$E$37,AF404-Escenarios!$E$38)),0)</f>
        <v>0</v>
      </c>
      <c r="AH404" s="76">
        <f>AG404*Entradas!$E$99</f>
        <v>0</v>
      </c>
      <c r="AI404" s="76">
        <f>IF(Entradas!$E$91&gt;0,D404*Entradas!$D$23/Escenarios!$E$16,0)</f>
        <v>0</v>
      </c>
      <c r="AJ404" s="76">
        <f>IF(Entradas!$E$91&gt;0,Entradas!$D$24*Entradas!$D$22/Escenarios!$E$16,0)</f>
        <v>0</v>
      </c>
      <c r="AK404" s="76">
        <f t="shared" si="94"/>
        <v>2.432970031177601</v>
      </c>
      <c r="AL404" s="76">
        <f t="shared" si="95"/>
        <v>0</v>
      </c>
      <c r="AM404" s="76">
        <f t="shared" si="86"/>
        <v>0</v>
      </c>
      <c r="AN404" s="76">
        <f>MAX(0,O404*Escenarios!$E$13/Escenarios!$E$16-AM404)</f>
        <v>0.70453060532209599</v>
      </c>
      <c r="AO404" s="76">
        <f>AM404+AN404-O404*Escenarios!$E$13/Escenarios!$E$16</f>
        <v>0</v>
      </c>
      <c r="AP404" s="76">
        <f t="shared" si="84"/>
        <v>0.60519976307802237</v>
      </c>
      <c r="AQ404" s="76">
        <f t="shared" si="87"/>
        <v>0</v>
      </c>
      <c r="AR404" s="76">
        <f t="shared" si="88"/>
        <v>1.3097303684001185</v>
      </c>
      <c r="AS404" s="76">
        <f t="shared" si="89"/>
        <v>0</v>
      </c>
      <c r="AT404" s="76">
        <f t="shared" si="90"/>
        <v>0.11479056917934502</v>
      </c>
      <c r="AU404" s="76">
        <f t="shared" si="91"/>
        <v>48.75</v>
      </c>
      <c r="AV404" s="76">
        <f>MAX(0,(AU404-Constantes!$D$13)*(1-EXP(-Constantes!$D$24)))</f>
        <v>0</v>
      </c>
      <c r="AW404" s="170">
        <f>AW403+(Entradas!$E$112*AT404-AX403)/(800*Entradas!$D$25)</f>
        <v>0</v>
      </c>
      <c r="AX404" s="170">
        <f>8000*Entradas!$D$26*AW404/Constantes!$E$45</f>
        <v>0</v>
      </c>
      <c r="AY404" s="170">
        <f>IF(Escenarios!$E$17&gt;0,10*Escenarios!$E$16*AL404,0)</f>
        <v>0</v>
      </c>
      <c r="AZ404" s="170">
        <f>IF(Escenarios!$E$17&gt;0,10*Escenarios!$E$16*AX404,0)</f>
        <v>0</v>
      </c>
      <c r="BA404" s="170">
        <f>IF(Escenarios!$E$17&gt;0,0.001*Observaciones!$F403*Escenarios!$E$17,0)</f>
        <v>44</v>
      </c>
      <c r="BB404" s="170">
        <f>IF(Escenarios!$E$17&gt;0,Observaciones!$K403,0)</f>
        <v>0</v>
      </c>
      <c r="BC404" s="170">
        <f>IF(Escenarios!$E$17&gt;0,MIN(0.0005*ETo!$M403*Escenarios!$E$17*(BG403/Constantes!$E$40)^(2/3),BG403+AY404+AZ404+BA404+BB404),0)</f>
        <v>35.403923019432433</v>
      </c>
      <c r="BD404" s="170">
        <f>IF(Escenarios!$E$17&gt;0,MIN(Constantes!$E$39*(BG403/Constantes!$E$40)^(2/3),BG403+AY404+AZ404+BA404+BB404-BC404),0)</f>
        <v>55.734390430416894</v>
      </c>
      <c r="BE404" s="170">
        <f>IF(Escenarios!$E$17&gt;0,MIN(Entradas!$E$113,BG403+AY404+AZ404+BA404+BB404-BC404-BD404),0)</f>
        <v>1</v>
      </c>
      <c r="BF404" s="170">
        <f>IF(Escenarios!$E$17&gt;0,MAX(0,BG403+AY404+AZ404+BA404+BB404-BC404-BD404-BE404-Constantes!$E$40),0)</f>
        <v>0</v>
      </c>
      <c r="BG404" s="170">
        <f t="shared" si="96"/>
        <v>3828.5299941943731</v>
      </c>
      <c r="BH404" s="170">
        <f>(Escenarios!$E$16*AK404+0.1*BC404)/(Escenarios!$E$19)</f>
        <v>2.4277099210172359</v>
      </c>
      <c r="BI404" s="170">
        <f>IF(Escenarios!$E$17&gt;0,BF404/10/Escenarios!$E$19,AL404)</f>
        <v>0</v>
      </c>
      <c r="BJ404" s="170">
        <f>(Escenarios!$E$16*AT404+0.1*BD404)/(Escenarios!$E$19)</f>
        <v>0.13599635451538866</v>
      </c>
      <c r="BK404" s="76">
        <f>BK403+(0.1*BD404)/(Escenarios!$E$19)-BL403</f>
        <v>49.930901550878986</v>
      </c>
      <c r="BL404" s="76">
        <f>MAX(0,(BK404-Constantes!$D$13)*(1-EXP(-Constantes!$D$23)))</f>
        <v>1.1635704249646482E-2</v>
      </c>
      <c r="BM404" s="76">
        <f t="shared" si="92"/>
        <v>0.61683546732766881</v>
      </c>
      <c r="BN404" s="76">
        <f t="shared" si="97"/>
        <v>1.3213660726497649</v>
      </c>
      <c r="BO404" s="76">
        <f>0.0526*BI404*Observaciones!$F403^1.218</f>
        <v>0</v>
      </c>
      <c r="BP404" s="76">
        <f>BO404*Constantes!$E$51</f>
        <v>0</v>
      </c>
      <c r="BQ404" s="76">
        <f t="shared" si="93"/>
        <v>0</v>
      </c>
      <c r="BR404" s="40"/>
    </row>
    <row r="405" spans="1:70">
      <c r="A405" s="147"/>
      <c r="B405" s="39"/>
      <c r="C405" s="75">
        <v>399</v>
      </c>
      <c r="D405" s="146">
        <f>ETo!$I404*((1-Constantes!$E$19)*ETo!$K404+ETo!$L404)</f>
        <v>4.537749423958922</v>
      </c>
      <c r="E405" s="76">
        <f>MIN(D405*Constantes!$E$17,0.8*(N404+Observaciones!$F404-F405-M405-Constantes!$D$14))</f>
        <v>2.2185615669186056</v>
      </c>
      <c r="F405" s="76">
        <f>IF(Observaciones!$F404&gt;0.05*Constantes!$E$18,((Observaciones!$F404-0.05*Constantes!$E$18)^2)/(Observaciones!$F404+0.95*Constantes!$E$18),0)</f>
        <v>0</v>
      </c>
      <c r="G405" s="76">
        <f>IF(Escenarios!$E$11&gt;0,(F405*Escenarios!$E$16*10000)/1000,0)</f>
        <v>0</v>
      </c>
      <c r="H405" s="76">
        <f>IF(Escenarios!$E$11&gt;0,(Observaciones!$F404*Constantes!$E$29)/1000,0)</f>
        <v>0</v>
      </c>
      <c r="I405" s="76">
        <f>IF(Escenarios!$E$11&gt;0,(D405*Constantes!$E$29)/1000,0)</f>
        <v>45.377494239589218</v>
      </c>
      <c r="J405" s="76">
        <f>IF(Escenarios!$E$11&gt;0,MAX(0,G405+H405-I405),0)</f>
        <v>0</v>
      </c>
      <c r="K405" s="76">
        <f>IF(Escenarios!$E$11&gt;0,IF(J405&gt;Constantes!$E$30,1000*((J405-Constantes!$E$30)/(Escenarios!$E$16*10000)),0),F405)</f>
        <v>0</v>
      </c>
      <c r="L405" s="76">
        <f>IF(Escenarios!$E$11&gt;0,I405*1000/Escenarios!$E$16/10000+E405,E405)</f>
        <v>2.2367125646144412</v>
      </c>
      <c r="M405" s="76">
        <f>MAX(0,N404+Observaciones!$F404-K405-Constantes!$D$13)</f>
        <v>0</v>
      </c>
      <c r="N405" s="76">
        <f>N404+Observaciones!$F404-K405-L405-M405-O404</f>
        <v>31.715816560201592</v>
      </c>
      <c r="O405" s="76">
        <f>MAX(0,(N405-Constantes!$D$14)*(1-EXP(-Constantes!$D$22)))</f>
        <v>0.69714084359115491</v>
      </c>
      <c r="P405" s="170">
        <f>P404+(Entradas!$E$83*M405-Q404)/(800*Entradas!$D$25)</f>
        <v>0</v>
      </c>
      <c r="Q405" s="170">
        <f>8000*Entradas!$D$26*P405/Constantes!$E$45</f>
        <v>0</v>
      </c>
      <c r="R405" s="170">
        <f>IF(Escenarios!$E$14&gt;0,K405*Escenarios!$E$13/Escenarios!$E$14,0)</f>
        <v>0</v>
      </c>
      <c r="S405" s="170">
        <f>IF(Escenarios!$E$14&gt;0,Q405*Escenarios!$E$13/Escenarios!$E$14,0)</f>
        <v>0</v>
      </c>
      <c r="T405" s="170">
        <f>IF(Escenarios!$E$14&gt;0,Observaciones!$I404,0)</f>
        <v>0</v>
      </c>
      <c r="U405" s="170">
        <f>IF(Escenarios!$E$14&gt;0,MAX(0,Constantes!$E$36/((Z404+R405+S405+T405+Observaciones!$F404)^2)+Entradas!$E$77),0)</f>
        <v>0.6311387828966879</v>
      </c>
      <c r="V405" s="146">
        <f>IF(ETo!D404&gt;0,ETo!I404*((1-Entradas!$E$81)*ETo!K404+ETo!L404),0)</f>
        <v>4.148889179746317</v>
      </c>
      <c r="W405" s="170">
        <f>IF(Escenarios!$E$14&gt;0,MIN(V405*1,0.8*(Z404+R405+S405+T405+Observaciones!$F404-U405-Constantes!$E$35)),0)</f>
        <v>4.148889179746317</v>
      </c>
      <c r="X405" s="170">
        <f>IF(Escenarios!$E$14&gt;0,Observaciones!$J404,0)</f>
        <v>0</v>
      </c>
      <c r="Y405" s="170">
        <f>IF(Escenarios!$E$14&gt;0,MAX(0,Z404+R405+S405+T405+Observaciones!$F404-U405-W405-X405-Constantes!$E$33),0)</f>
        <v>0</v>
      </c>
      <c r="Z405" s="170">
        <f>Z404+R405+S405+T405+Observaciones!$F404-U405-W405-Y405</f>
        <v>61.053432601622546</v>
      </c>
      <c r="AA405" s="170">
        <f>IF(Escenarios!$E$14&gt;0,(Escenarios!$E$13*L405+Escenarios!$E$14*W405)/(Escenarios!$E$16),L405)</f>
        <v>2.4661737584302665</v>
      </c>
      <c r="AB405" s="170">
        <f>IF(Escenarios!$E$14&gt;0,(Escenarios!$E$14*Y405)/(Escenarios!$E$16),K405)</f>
        <v>0</v>
      </c>
      <c r="AC405" s="170">
        <f>IF(Escenarios!$E$14&gt;0,(Escenarios!$E$13*M405+Escenarios!$E$14*U405)/(Escenarios!$E$16),M405)</f>
        <v>7.5736653947602553E-2</v>
      </c>
      <c r="AD405" s="76">
        <f t="shared" si="85"/>
        <v>109.64194495322599</v>
      </c>
      <c r="AE405" s="76">
        <f>MAX(0,(AD405-Constantes!$D$13)*(1-EXP(-Constantes!$D$23)))</f>
        <v>0.59998283695547283</v>
      </c>
      <c r="AF405" s="76">
        <f>AB405+O405*Escenarios!$E$13/Escenarios!$E$16+AE405</f>
        <v>1.2134667793156892</v>
      </c>
      <c r="AG405" s="76">
        <f>IF(Entradas!$E$91&gt;0,IF(AF405-Escenarios!$E$38&lt;=0,0,IF(AF405-Escenarios!$E$38&gt;Escenarios!$E$37,Escenarios!$E$37,AF405-Escenarios!$E$38)),0)</f>
        <v>0</v>
      </c>
      <c r="AH405" s="76">
        <f>AG405*Entradas!$E$99</f>
        <v>0</v>
      </c>
      <c r="AI405" s="76">
        <f>IF(Entradas!$E$91&gt;0,D405*Entradas!$D$23/Escenarios!$E$16,0)</f>
        <v>0</v>
      </c>
      <c r="AJ405" s="76">
        <f>IF(Entradas!$E$91&gt;0,Entradas!$D$24*Entradas!$D$22/Escenarios!$E$16,0)</f>
        <v>0</v>
      </c>
      <c r="AK405" s="76">
        <f t="shared" si="94"/>
        <v>2.4661737584302665</v>
      </c>
      <c r="AL405" s="76">
        <f t="shared" si="95"/>
        <v>0</v>
      </c>
      <c r="AM405" s="76">
        <f t="shared" si="86"/>
        <v>0</v>
      </c>
      <c r="AN405" s="76">
        <f>MAX(0,O405*Escenarios!$E$13/Escenarios!$E$16-AM405)</f>
        <v>0.61348394236021631</v>
      </c>
      <c r="AO405" s="76">
        <f>AM405+AN405-O405*Escenarios!$E$13/Escenarios!$E$16</f>
        <v>0</v>
      </c>
      <c r="AP405" s="76">
        <f t="shared" si="84"/>
        <v>0.59998283695547283</v>
      </c>
      <c r="AQ405" s="76">
        <f t="shared" si="87"/>
        <v>0</v>
      </c>
      <c r="AR405" s="76">
        <f t="shared" si="88"/>
        <v>1.2134667793156892</v>
      </c>
      <c r="AS405" s="76">
        <f t="shared" si="89"/>
        <v>0</v>
      </c>
      <c r="AT405" s="76">
        <f t="shared" si="90"/>
        <v>7.5736653947602553E-2</v>
      </c>
      <c r="AU405" s="76">
        <f t="shared" si="91"/>
        <v>48.75</v>
      </c>
      <c r="AV405" s="76">
        <f>MAX(0,(AU405-Constantes!$D$13)*(1-EXP(-Constantes!$D$24)))</f>
        <v>0</v>
      </c>
      <c r="AW405" s="170">
        <f>AW404+(Entradas!$E$112*AT405-AX404)/(800*Entradas!$D$25)</f>
        <v>0</v>
      </c>
      <c r="AX405" s="170">
        <f>8000*Entradas!$D$26*AW405/Constantes!$E$45</f>
        <v>0</v>
      </c>
      <c r="AY405" s="170">
        <f>IF(Escenarios!$E$17&gt;0,10*Escenarios!$E$16*AL405,0)</f>
        <v>0</v>
      </c>
      <c r="AZ405" s="170">
        <f>IF(Escenarios!$E$17&gt;0,10*Escenarios!$E$16*AX405,0)</f>
        <v>0</v>
      </c>
      <c r="BA405" s="170">
        <f>IF(Escenarios!$E$17&gt;0,0.001*Observaciones!$F404*Escenarios!$E$17,0)</f>
        <v>0</v>
      </c>
      <c r="BB405" s="170">
        <f>IF(Escenarios!$E$17&gt;0,Observaciones!$K404,0)</f>
        <v>0</v>
      </c>
      <c r="BC405" s="170">
        <f>IF(Escenarios!$E$17&gt;0,MIN(0.0005*ETo!$M404*Escenarios!$E$17*(BG404/Constantes!$E$40)^(2/3),BG404+AY405+AZ405+BA405+BB405),0)</f>
        <v>35.578839246972613</v>
      </c>
      <c r="BD405" s="170">
        <f>IF(Escenarios!$E$17&gt;0,MIN(Constantes!$E$39*(BG404/Constantes!$E$40)^(2/3),BG404+AY405+AZ405+BA405+BB405-BC405),0)</f>
        <v>55.272044451094835</v>
      </c>
      <c r="BE405" s="170">
        <f>IF(Escenarios!$E$17&gt;0,MIN(Entradas!$E$113,BG404+AY405+AZ405+BA405+BB405-BC405-BD405),0)</f>
        <v>1</v>
      </c>
      <c r="BF405" s="170">
        <f>IF(Escenarios!$E$17&gt;0,MAX(0,BG404+AY405+AZ405+BA405+BB405-BC405-BD405-BE405-Constantes!$E$40),0)</f>
        <v>0</v>
      </c>
      <c r="BG405" s="170">
        <f t="shared" si="96"/>
        <v>3736.6791104963058</v>
      </c>
      <c r="BH405" s="170">
        <f>(Escenarios!$E$16*AK405+0.1*BC405)/(Escenarios!$E$19)</f>
        <v>2.4607195378264439</v>
      </c>
      <c r="BI405" s="170">
        <f>IF(Escenarios!$E$17&gt;0,BF405/10/Escenarios!$E$19,AL405)</f>
        <v>0</v>
      </c>
      <c r="BJ405" s="170">
        <f>(Escenarios!$E$16*AT405+0.1*BD405)/(Escenarios!$E$19)</f>
        <v>9.7068920365119521E-2</v>
      </c>
      <c r="BK405" s="76">
        <f>BK404+(0.1*BD405)/(Escenarios!$E$19)-BL404</f>
        <v>49.941199197601996</v>
      </c>
      <c r="BL405" s="76">
        <f>MAX(0,(BK405-Constantes!$D$13)*(1-EXP(-Constantes!$D$23)))</f>
        <v>1.1737169415516667E-2</v>
      </c>
      <c r="BM405" s="76">
        <f t="shared" si="92"/>
        <v>0.61172000637098944</v>
      </c>
      <c r="BN405" s="76">
        <f t="shared" si="97"/>
        <v>1.2252039487312059</v>
      </c>
      <c r="BO405" s="76">
        <f>0.0526*BI405*Observaciones!$F404^1.218</f>
        <v>0</v>
      </c>
      <c r="BP405" s="76">
        <f>BO405*Constantes!$E$51</f>
        <v>0</v>
      </c>
      <c r="BQ405" s="76">
        <f t="shared" si="93"/>
        <v>0</v>
      </c>
      <c r="BR405" s="40"/>
    </row>
    <row r="406" spans="1:70">
      <c r="A406" s="147"/>
      <c r="B406" s="39"/>
      <c r="C406" s="75">
        <v>400</v>
      </c>
      <c r="D406" s="146">
        <f>ETo!$I405*((1-Constantes!$E$19)*ETo!$K405+ETo!$L405)</f>
        <v>4.3951622468278115</v>
      </c>
      <c r="E406" s="76">
        <f>MIN(D406*Constantes!$E$17,0.8*(N405+Observaciones!$F405-F406-M406-Constantes!$D$14))</f>
        <v>2.1488489403358644</v>
      </c>
      <c r="F406" s="76">
        <f>IF(Observaciones!$F405&gt;0.05*Constantes!$E$18,((Observaciones!$F405-0.05*Constantes!$E$18)^2)/(Observaciones!$F405+0.95*Constantes!$E$18),0)</f>
        <v>0</v>
      </c>
      <c r="G406" s="76">
        <f>IF(Escenarios!$E$11&gt;0,(F406*Escenarios!$E$16*10000)/1000,0)</f>
        <v>0</v>
      </c>
      <c r="H406" s="76">
        <f>IF(Escenarios!$E$11&gt;0,(Observaciones!$F405*Constantes!$E$29)/1000,0)</f>
        <v>33</v>
      </c>
      <c r="I406" s="76">
        <f>IF(Escenarios!$E$11&gt;0,(D406*Constantes!$E$29)/1000,0)</f>
        <v>43.951622468278117</v>
      </c>
      <c r="J406" s="76">
        <f>IF(Escenarios!$E$11&gt;0,MAX(0,G406+H406-I406),0)</f>
        <v>0</v>
      </c>
      <c r="K406" s="76">
        <f>IF(Escenarios!$E$11&gt;0,IF(J406&gt;Constantes!$E$30,1000*((J406-Constantes!$E$30)/(Escenarios!$E$16*10000)),0),F406)</f>
        <v>0</v>
      </c>
      <c r="L406" s="76">
        <f>IF(Escenarios!$E$11&gt;0,I406*1000/Escenarios!$E$16/10000+E406,E406)</f>
        <v>2.1664295893231755</v>
      </c>
      <c r="M406" s="76">
        <f>MAX(0,N405+Observaciones!$F405-K406-Constantes!$D$13)</f>
        <v>0</v>
      </c>
      <c r="N406" s="76">
        <f>N405+Observaciones!$F405-K406-L406-M406-O405</f>
        <v>32.152246127287263</v>
      </c>
      <c r="O406" s="76">
        <f>MAX(0,(N406-Constantes!$D$14)*(1-EXP(-Constantes!$D$22)))</f>
        <v>0.7120072368118332</v>
      </c>
      <c r="P406" s="170">
        <f>P405+(Entradas!$E$83*M406-Q405)/(800*Entradas!$D$25)</f>
        <v>0</v>
      </c>
      <c r="Q406" s="170">
        <f>8000*Entradas!$D$26*P406/Constantes!$E$45</f>
        <v>0</v>
      </c>
      <c r="R406" s="170">
        <f>IF(Escenarios!$E$14&gt;0,K406*Escenarios!$E$13/Escenarios!$E$14,0)</f>
        <v>0</v>
      </c>
      <c r="S406" s="170">
        <f>IF(Escenarios!$E$14&gt;0,Q406*Escenarios!$E$13/Escenarios!$E$14,0)</f>
        <v>0</v>
      </c>
      <c r="T406" s="170">
        <f>IF(Escenarios!$E$14&gt;0,Observaciones!$I405,0)</f>
        <v>0</v>
      </c>
      <c r="U406" s="170">
        <f>IF(Escenarios!$E$14&gt;0,MAX(0,Constantes!$E$36/((Z405+R406+S406+T406+Observaciones!$F405)^2)+Entradas!$E$77),0)</f>
        <v>0.5209256450315598</v>
      </c>
      <c r="V406" s="146">
        <f>IF(ETo!D405&gt;0,ETo!I405*((1-Entradas!$E$81)*ETo!K405+ETo!L405),0)</f>
        <v>4.0166448486969974</v>
      </c>
      <c r="W406" s="170">
        <f>IF(Escenarios!$E$14&gt;0,MIN(V406*1,0.8*(Z405+R406+S406+T406+Observaciones!$F405-U406-Constantes!$E$35)),0)</f>
        <v>4.0166448486969974</v>
      </c>
      <c r="X406" s="170">
        <f>IF(Escenarios!$E$14&gt;0,Observaciones!$J405,0)</f>
        <v>0</v>
      </c>
      <c r="Y406" s="170">
        <f>IF(Escenarios!$E$14&gt;0,MAX(0,Z405+R406+S406+T406+Observaciones!$F405-U406-W406-X406-Constantes!$E$33),0)</f>
        <v>0</v>
      </c>
      <c r="Z406" s="170">
        <f>Z405+R406+S406+T406+Observaciones!$F405-U406-W406-Y406</f>
        <v>59.815862107893985</v>
      </c>
      <c r="AA406" s="170">
        <f>IF(Escenarios!$E$14&gt;0,(Escenarios!$E$13*L406+Escenarios!$E$14*W406)/(Escenarios!$E$16),L406)</f>
        <v>2.3884554204480342</v>
      </c>
      <c r="AB406" s="170">
        <f>IF(Escenarios!$E$14&gt;0,(Escenarios!$E$14*Y406)/(Escenarios!$E$16),K406)</f>
        <v>0</v>
      </c>
      <c r="AC406" s="170">
        <f>IF(Escenarios!$E$14&gt;0,(Escenarios!$E$13*M406+Escenarios!$E$14*U406)/(Escenarios!$E$16),M406)</f>
        <v>6.2511077403787182E-2</v>
      </c>
      <c r="AD406" s="76">
        <f t="shared" si="85"/>
        <v>109.10447319367429</v>
      </c>
      <c r="AE406" s="76">
        <f>MAX(0,(AD406-Constantes!$D$13)*(1-EXP(-Constantes!$D$23)))</f>
        <v>0.59468699969281058</v>
      </c>
      <c r="AF406" s="76">
        <f>AB406+O406*Escenarios!$E$13/Escenarios!$E$16+AE406</f>
        <v>1.2212533680872237</v>
      </c>
      <c r="AG406" s="76">
        <f>IF(Entradas!$E$91&gt;0,IF(AF406-Escenarios!$E$38&lt;=0,0,IF(AF406-Escenarios!$E$38&gt;Escenarios!$E$37,Escenarios!$E$37,AF406-Escenarios!$E$38)),0)</f>
        <v>0</v>
      </c>
      <c r="AH406" s="76">
        <f>AG406*Entradas!$E$99</f>
        <v>0</v>
      </c>
      <c r="AI406" s="76">
        <f>IF(Entradas!$E$91&gt;0,D406*Entradas!$D$23/Escenarios!$E$16,0)</f>
        <v>0</v>
      </c>
      <c r="AJ406" s="76">
        <f>IF(Entradas!$E$91&gt;0,Entradas!$D$24*Entradas!$D$22/Escenarios!$E$16,0)</f>
        <v>0</v>
      </c>
      <c r="AK406" s="76">
        <f t="shared" si="94"/>
        <v>2.3884554204480342</v>
      </c>
      <c r="AL406" s="76">
        <f t="shared" si="95"/>
        <v>0</v>
      </c>
      <c r="AM406" s="76">
        <f t="shared" si="86"/>
        <v>0</v>
      </c>
      <c r="AN406" s="76">
        <f>MAX(0,O406*Escenarios!$E$13/Escenarios!$E$16-AM406)</f>
        <v>0.62656636839441315</v>
      </c>
      <c r="AO406" s="76">
        <f>AM406+AN406-O406*Escenarios!$E$13/Escenarios!$E$16</f>
        <v>0</v>
      </c>
      <c r="AP406" s="76">
        <f t="shared" si="84"/>
        <v>0.59468699969281058</v>
      </c>
      <c r="AQ406" s="76">
        <f t="shared" si="87"/>
        <v>0</v>
      </c>
      <c r="AR406" s="76">
        <f t="shared" si="88"/>
        <v>1.2212533680872237</v>
      </c>
      <c r="AS406" s="76">
        <f t="shared" si="89"/>
        <v>0</v>
      </c>
      <c r="AT406" s="76">
        <f t="shared" si="90"/>
        <v>6.2511077403787182E-2</v>
      </c>
      <c r="AU406" s="76">
        <f t="shared" si="91"/>
        <v>48.75</v>
      </c>
      <c r="AV406" s="76">
        <f>MAX(0,(AU406-Constantes!$D$13)*(1-EXP(-Constantes!$D$24)))</f>
        <v>0</v>
      </c>
      <c r="AW406" s="170">
        <f>AW405+(Entradas!$E$112*AT406-AX405)/(800*Entradas!$D$25)</f>
        <v>0</v>
      </c>
      <c r="AX406" s="170">
        <f>8000*Entradas!$D$26*AW406/Constantes!$E$45</f>
        <v>0</v>
      </c>
      <c r="AY406" s="170">
        <f>IF(Escenarios!$E$17&gt;0,10*Escenarios!$E$16*AL406,0)</f>
        <v>0</v>
      </c>
      <c r="AZ406" s="170">
        <f>IF(Escenarios!$E$17&gt;0,10*Escenarios!$E$16*AX406,0)</f>
        <v>0</v>
      </c>
      <c r="BA406" s="170">
        <f>IF(Escenarios!$E$17&gt;0,0.001*Observaciones!$F405*Escenarios!$E$17,0)</f>
        <v>66</v>
      </c>
      <c r="BB406" s="170">
        <f>IF(Escenarios!$E$17&gt;0,Observaciones!$K405,0)</f>
        <v>0</v>
      </c>
      <c r="BC406" s="170">
        <f>IF(Escenarios!$E$17&gt;0,MIN(0.0005*ETo!$M405*Escenarios!$E$17*(BG405/Constantes!$E$40)^(2/3),BG405+AY406+AZ406+BA406+BB406),0)</f>
        <v>33.927535113650258</v>
      </c>
      <c r="BD406" s="170">
        <f>IF(Escenarios!$E$17&gt;0,MIN(Constantes!$E$39*(BG405/Constantes!$E$40)^(2/3),BG405+AY406+AZ406+BA406+BB406-BC406),0)</f>
        <v>54.384444366227484</v>
      </c>
      <c r="BE406" s="170">
        <f>IF(Escenarios!$E$17&gt;0,MIN(Entradas!$E$113,BG405+AY406+AZ406+BA406+BB406-BC406-BD406),0)</f>
        <v>1</v>
      </c>
      <c r="BF406" s="170">
        <f>IF(Escenarios!$E$17&gt;0,MAX(0,BG405+AY406+AZ406+BA406+BB406-BC406-BD406-BE406-Constantes!$E$40),0)</f>
        <v>0</v>
      </c>
      <c r="BG406" s="170">
        <f t="shared" si="96"/>
        <v>3713.3671310164282</v>
      </c>
      <c r="BH406" s="170">
        <f>(Escenarios!$E$16*AK406+0.1*BC406)/(Escenarios!$E$19)</f>
        <v>2.3829627326324347</v>
      </c>
      <c r="BI406" s="170">
        <f>IF(Escenarios!$E$17&gt;0,BF406/10/Escenarios!$E$19,AL406)</f>
        <v>0</v>
      </c>
      <c r="BJ406" s="170">
        <f>(Escenarios!$E$16*AT406+0.1*BD406)/(Escenarios!$E$19)</f>
        <v>8.3596086458609303E-2</v>
      </c>
      <c r="BK406" s="76">
        <f>BK405+(0.1*BD406)/(Escenarios!$E$19)-BL405</f>
        <v>49.951043156903232</v>
      </c>
      <c r="BL406" s="76">
        <f>MAX(0,(BK406-Constantes!$D$13)*(1-EXP(-Constantes!$D$23)))</f>
        <v>1.1834164291160179E-2</v>
      </c>
      <c r="BM406" s="76">
        <f t="shared" si="92"/>
        <v>0.60652116398397071</v>
      </c>
      <c r="BN406" s="76">
        <f t="shared" si="97"/>
        <v>1.2330875323783839</v>
      </c>
      <c r="BO406" s="76">
        <f>0.0526*BI406*Observaciones!$F405^1.218</f>
        <v>0</v>
      </c>
      <c r="BP406" s="76">
        <f>BO406*Constantes!$E$51</f>
        <v>0</v>
      </c>
      <c r="BQ406" s="76">
        <f t="shared" si="93"/>
        <v>0</v>
      </c>
      <c r="BR406" s="40"/>
    </row>
    <row r="407" spans="1:70">
      <c r="A407" s="147"/>
      <c r="B407" s="39"/>
      <c r="C407" s="75">
        <v>401</v>
      </c>
      <c r="D407" s="146">
        <f>ETo!$I406*((1-Constantes!$E$19)*ETo!$K406+ETo!$L406)</f>
        <v>4.5685961684797549</v>
      </c>
      <c r="E407" s="76">
        <f>MIN(D407*Constantes!$E$17,0.8*(N406+Observaciones!$F406-F407-M407-Constantes!$D$14))</f>
        <v>2.2336429201324131</v>
      </c>
      <c r="F407" s="76">
        <f>IF(Observaciones!$F406&gt;0.05*Constantes!$E$18,((Observaciones!$F406-0.05*Constantes!$E$18)^2)/(Observaciones!$F406+0.95*Constantes!$E$18),0)</f>
        <v>0</v>
      </c>
      <c r="G407" s="76">
        <f>IF(Escenarios!$E$11&gt;0,(F407*Escenarios!$E$16*10000)/1000,0)</f>
        <v>0</v>
      </c>
      <c r="H407" s="76">
        <f>IF(Escenarios!$E$11&gt;0,(Observaciones!$F406*Constantes!$E$29)/1000,0)</f>
        <v>0</v>
      </c>
      <c r="I407" s="76">
        <f>IF(Escenarios!$E$11&gt;0,(D407*Constantes!$E$29)/1000,0)</f>
        <v>45.685961684797547</v>
      </c>
      <c r="J407" s="76">
        <f>IF(Escenarios!$E$11&gt;0,MAX(0,G407+H407-I407),0)</f>
        <v>0</v>
      </c>
      <c r="K407" s="76">
        <f>IF(Escenarios!$E$11&gt;0,IF(J407&gt;Constantes!$E$30,1000*((J407-Constantes!$E$30)/(Escenarios!$E$16*10000)),0),F407)</f>
        <v>0</v>
      </c>
      <c r="L407" s="76">
        <f>IF(Escenarios!$E$11&gt;0,I407*1000/Escenarios!$E$16/10000+E407,E407)</f>
        <v>2.2519173048063319</v>
      </c>
      <c r="M407" s="76">
        <f>MAX(0,N406+Observaciones!$F406-K407-Constantes!$D$13)</f>
        <v>0</v>
      </c>
      <c r="N407" s="76">
        <f>N406+Observaciones!$F406-K407-L407-M407-O406</f>
        <v>29.188321585669097</v>
      </c>
      <c r="O407" s="76">
        <f>MAX(0,(N407-Constantes!$D$14)*(1-EXP(-Constantes!$D$22)))</f>
        <v>0.6110450861345742</v>
      </c>
      <c r="P407" s="170">
        <f>P406+(Entradas!$E$83*M407-Q406)/(800*Entradas!$D$25)</f>
        <v>0</v>
      </c>
      <c r="Q407" s="170">
        <f>8000*Entradas!$D$26*P407/Constantes!$E$45</f>
        <v>0</v>
      </c>
      <c r="R407" s="170">
        <f>IF(Escenarios!$E$14&gt;0,K407*Escenarios!$E$13/Escenarios!$E$14,0)</f>
        <v>0</v>
      </c>
      <c r="S407" s="170">
        <f>IF(Escenarios!$E$14&gt;0,Q407*Escenarios!$E$13/Escenarios!$E$14,0)</f>
        <v>0</v>
      </c>
      <c r="T407" s="170">
        <f>IF(Escenarios!$E$14&gt;0,Observaciones!$I406,0)</f>
        <v>0</v>
      </c>
      <c r="U407" s="170">
        <f>IF(Escenarios!$E$14&gt;0,MAX(0,Constantes!$E$36/((Z406+R407+S407+T407+Observaciones!$F406)^2)+Entradas!$E$77),0)</f>
        <v>0.13053947908398866</v>
      </c>
      <c r="V407" s="146">
        <f>IF(ETo!D406&gt;0,ETo!I406*((1-Entradas!$E$81)*ETo!K406+ETo!L406),0)</f>
        <v>4.1775190327746099</v>
      </c>
      <c r="W407" s="170">
        <f>IF(Escenarios!$E$14&gt;0,MIN(V407*1,0.8*(Z406+R407+S407+T407+Observaciones!$F406-U407-Constantes!$E$35)),0)</f>
        <v>4.1775190327746099</v>
      </c>
      <c r="X407" s="170">
        <f>IF(Escenarios!$E$14&gt;0,Observaciones!$J406,0)</f>
        <v>0</v>
      </c>
      <c r="Y407" s="170">
        <f>IF(Escenarios!$E$14&gt;0,MAX(0,Z406+R407+S407+T407+Observaciones!$F406-U407-W407-X407-Constantes!$E$33),0)</f>
        <v>0</v>
      </c>
      <c r="Z407" s="170">
        <f>Z406+R407+S407+T407+Observaciones!$F406-U407-W407-Y407</f>
        <v>55.507803596035387</v>
      </c>
      <c r="AA407" s="170">
        <f>IF(Escenarios!$E$14&gt;0,(Escenarios!$E$13*L407+Escenarios!$E$14*W407)/(Escenarios!$E$16),L407)</f>
        <v>2.4829895121625256</v>
      </c>
      <c r="AB407" s="170">
        <f>IF(Escenarios!$E$14&gt;0,(Escenarios!$E$14*Y407)/(Escenarios!$E$16),K407)</f>
        <v>0</v>
      </c>
      <c r="AC407" s="170">
        <f>IF(Escenarios!$E$14&gt;0,(Escenarios!$E$13*M407+Escenarios!$E$14*U407)/(Escenarios!$E$16),M407)</f>
        <v>1.5664737490078639E-2</v>
      </c>
      <c r="AD407" s="76">
        <f t="shared" si="85"/>
        <v>108.52545093147157</v>
      </c>
      <c r="AE407" s="76">
        <f>MAX(0,(AD407-Constantes!$D$13)*(1-EXP(-Constantes!$D$23)))</f>
        <v>0.58898175543096887</v>
      </c>
      <c r="AF407" s="76">
        <f>AB407+O407*Escenarios!$E$13/Escenarios!$E$16+AE407</f>
        <v>1.1267014312293941</v>
      </c>
      <c r="AG407" s="76">
        <f>IF(Entradas!$E$91&gt;0,IF(AF407-Escenarios!$E$38&lt;=0,0,IF(AF407-Escenarios!$E$38&gt;Escenarios!$E$37,Escenarios!$E$37,AF407-Escenarios!$E$38)),0)</f>
        <v>0</v>
      </c>
      <c r="AH407" s="76">
        <f>AG407*Entradas!$E$99</f>
        <v>0</v>
      </c>
      <c r="AI407" s="76">
        <f>IF(Entradas!$E$91&gt;0,D407*Entradas!$D$23/Escenarios!$E$16,0)</f>
        <v>0</v>
      </c>
      <c r="AJ407" s="76">
        <f>IF(Entradas!$E$91&gt;0,Entradas!$D$24*Entradas!$D$22/Escenarios!$E$16,0)</f>
        <v>0</v>
      </c>
      <c r="AK407" s="76">
        <f t="shared" si="94"/>
        <v>2.4829895121625256</v>
      </c>
      <c r="AL407" s="76">
        <f t="shared" si="95"/>
        <v>0</v>
      </c>
      <c r="AM407" s="76">
        <f t="shared" si="86"/>
        <v>0</v>
      </c>
      <c r="AN407" s="76">
        <f>MAX(0,O407*Escenarios!$E$13/Escenarios!$E$16-AM407)</f>
        <v>0.53771967579842528</v>
      </c>
      <c r="AO407" s="76">
        <f>AM407+AN407-O407*Escenarios!$E$13/Escenarios!$E$16</f>
        <v>0</v>
      </c>
      <c r="AP407" s="76">
        <f t="shared" si="84"/>
        <v>0.58898175543096887</v>
      </c>
      <c r="AQ407" s="76">
        <f t="shared" si="87"/>
        <v>0</v>
      </c>
      <c r="AR407" s="76">
        <f t="shared" si="88"/>
        <v>1.1267014312293941</v>
      </c>
      <c r="AS407" s="76">
        <f t="shared" si="89"/>
        <v>0</v>
      </c>
      <c r="AT407" s="76">
        <f t="shared" si="90"/>
        <v>1.5664737490078639E-2</v>
      </c>
      <c r="AU407" s="76">
        <f t="shared" si="91"/>
        <v>48.75</v>
      </c>
      <c r="AV407" s="76">
        <f>MAX(0,(AU407-Constantes!$D$13)*(1-EXP(-Constantes!$D$24)))</f>
        <v>0</v>
      </c>
      <c r="AW407" s="170">
        <f>AW406+(Entradas!$E$112*AT407-AX406)/(800*Entradas!$D$25)</f>
        <v>0</v>
      </c>
      <c r="AX407" s="170">
        <f>8000*Entradas!$D$26*AW407/Constantes!$E$45</f>
        <v>0</v>
      </c>
      <c r="AY407" s="170">
        <f>IF(Escenarios!$E$17&gt;0,10*Escenarios!$E$16*AL407,0)</f>
        <v>0</v>
      </c>
      <c r="AZ407" s="170">
        <f>IF(Escenarios!$E$17&gt;0,10*Escenarios!$E$16*AX407,0)</f>
        <v>0</v>
      </c>
      <c r="BA407" s="170">
        <f>IF(Escenarios!$E$17&gt;0,0.001*Observaciones!$F406*Escenarios!$E$17,0)</f>
        <v>0</v>
      </c>
      <c r="BB407" s="170">
        <f>IF(Escenarios!$E$17&gt;0,Observaciones!$K406,0)</f>
        <v>0</v>
      </c>
      <c r="BC407" s="170">
        <f>IF(Escenarios!$E$17&gt;0,MIN(0.0005*ETo!$M406*Escenarios!$E$17*(BG406/Constantes!$E$40)^(2/3),BG406+AY407+AZ407+BA407+BB407),0)</f>
        <v>35.094175139376937</v>
      </c>
      <c r="BD407" s="170">
        <f>IF(Escenarios!$E$17&gt;0,MIN(Constantes!$E$39*(BG406/Constantes!$E$40)^(2/3),BG406+AY407+AZ407+BA407+BB407-BC407),0)</f>
        <v>54.158016759161868</v>
      </c>
      <c r="BE407" s="170">
        <f>IF(Escenarios!$E$17&gt;0,MIN(Entradas!$E$113,BG406+AY407+AZ407+BA407+BB407-BC407-BD407),0)</f>
        <v>1</v>
      </c>
      <c r="BF407" s="170">
        <f>IF(Escenarios!$E$17&gt;0,MAX(0,BG406+AY407+AZ407+BA407+BB407-BC407-BD407-BE407-Constantes!$E$40),0)</f>
        <v>0</v>
      </c>
      <c r="BG407" s="170">
        <f t="shared" si="96"/>
        <v>3623.1149391178892</v>
      </c>
      <c r="BH407" s="170">
        <f>(Escenarios!$E$16*AK407+0.1*BC407)/(Escenarios!$E$19)</f>
        <v>2.4772095061689248</v>
      </c>
      <c r="BI407" s="170">
        <f>IF(Escenarios!$E$17&gt;0,BF407/10/Escenarios!$E$19,AL407)</f>
        <v>0</v>
      </c>
      <c r="BJ407" s="170">
        <f>(Escenarios!$E$16*AT407+0.1*BD407)/(Escenarios!$E$19)</f>
        <v>3.7031690668396219E-2</v>
      </c>
      <c r="BK407" s="76">
        <f>BK406+(0.1*BD407)/(Escenarios!$E$19)-BL406</f>
        <v>49.960700269103803</v>
      </c>
      <c r="BL407" s="76">
        <f>MAX(0,(BK407-Constantes!$D$13)*(1-EXP(-Constantes!$D$23)))</f>
        <v>1.192931811781733E-2</v>
      </c>
      <c r="BM407" s="76">
        <f t="shared" si="92"/>
        <v>0.60091107354878615</v>
      </c>
      <c r="BN407" s="76">
        <f t="shared" si="97"/>
        <v>1.1386307493472114</v>
      </c>
      <c r="BO407" s="76">
        <f>0.0526*BI407*Observaciones!$F406^1.218</f>
        <v>0</v>
      </c>
      <c r="BP407" s="76">
        <f>BO407*Constantes!$E$51</f>
        <v>0</v>
      </c>
      <c r="BQ407" s="76">
        <f t="shared" si="93"/>
        <v>0</v>
      </c>
      <c r="BR407" s="40"/>
    </row>
    <row r="408" spans="1:70">
      <c r="A408" s="147"/>
      <c r="B408" s="39"/>
      <c r="C408" s="75">
        <v>402</v>
      </c>
      <c r="D408" s="146">
        <f>ETo!$I407*((1-Constantes!$E$19)*ETo!$K407+ETo!$L407)</f>
        <v>4.633437959959986</v>
      </c>
      <c r="E408" s="76">
        <f>MIN(D408*Constantes!$E$17,0.8*(N407+Observaciones!$F407-F408-M408-Constantes!$D$14))</f>
        <v>2.2653448703874552</v>
      </c>
      <c r="F408" s="76">
        <f>IF(Observaciones!$F407&gt;0.05*Constantes!$E$18,((Observaciones!$F407-0.05*Constantes!$E$18)^2)/(Observaciones!$F407+0.95*Constantes!$E$18),0)</f>
        <v>0</v>
      </c>
      <c r="G408" s="76">
        <f>IF(Escenarios!$E$11&gt;0,(F408*Escenarios!$E$16*10000)/1000,0)</f>
        <v>0</v>
      </c>
      <c r="H408" s="76">
        <f>IF(Escenarios!$E$11&gt;0,(Observaciones!$F407*Constantes!$E$29)/1000,0)</f>
        <v>0</v>
      </c>
      <c r="I408" s="76">
        <f>IF(Escenarios!$E$11&gt;0,(D408*Constantes!$E$29)/1000,0)</f>
        <v>46.334379599599856</v>
      </c>
      <c r="J408" s="76">
        <f>IF(Escenarios!$E$11&gt;0,MAX(0,G408+H408-I408),0)</f>
        <v>0</v>
      </c>
      <c r="K408" s="76">
        <f>IF(Escenarios!$E$11&gt;0,IF(J408&gt;Constantes!$E$30,1000*((J408-Constantes!$E$30)/(Escenarios!$E$16*10000)),0),F408)</f>
        <v>0</v>
      </c>
      <c r="L408" s="76">
        <f>IF(Escenarios!$E$11&gt;0,I408*1000/Escenarios!$E$16/10000+E408,E408)</f>
        <v>2.2838786222272951</v>
      </c>
      <c r="M408" s="76">
        <f>MAX(0,N407+Observaciones!$F407-K408-Constantes!$D$13)</f>
        <v>0</v>
      </c>
      <c r="N408" s="76">
        <f>N407+Observaciones!$F407-K408-L408-M408-O407</f>
        <v>26.293397877307228</v>
      </c>
      <c r="O408" s="76">
        <f>MAX(0,(N408-Constantes!$D$14)*(1-EXP(-Constantes!$D$22)))</f>
        <v>0.51243335714526939</v>
      </c>
      <c r="P408" s="170">
        <f>P407+(Entradas!$E$83*M408-Q407)/(800*Entradas!$D$25)</f>
        <v>0</v>
      </c>
      <c r="Q408" s="170">
        <f>8000*Entradas!$D$26*P408/Constantes!$E$45</f>
        <v>0</v>
      </c>
      <c r="R408" s="170">
        <f>IF(Escenarios!$E$14&gt;0,K408*Escenarios!$E$13/Escenarios!$E$14,0)</f>
        <v>0</v>
      </c>
      <c r="S408" s="170">
        <f>IF(Escenarios!$E$14&gt;0,Q408*Escenarios!$E$13/Escenarios!$E$14,0)</f>
        <v>0</v>
      </c>
      <c r="T408" s="170">
        <f>IF(Escenarios!$E$14&gt;0,Observaciones!$I407,0)</f>
        <v>0</v>
      </c>
      <c r="U408" s="170">
        <f>IF(Escenarios!$E$14&gt;0,MAX(0,Constantes!$E$36/((Z407+R408+S408+T408+Observaciones!$F407)^2)+Entradas!$E$77),0)</f>
        <v>0</v>
      </c>
      <c r="V408" s="146">
        <f>IF(ETo!D407&gt;0,ETo!I407*((1-Entradas!$E$81)*ETo!K407+ETo!L407),0)</f>
        <v>4.2378409355744786</v>
      </c>
      <c r="W408" s="170">
        <f>IF(Escenarios!$E$14&gt;0,MIN(V408*1,0.8*(Z407+R408+S408+T408+Observaciones!$F407-U408-Constantes!$E$35)),0)</f>
        <v>4.2378409355744786</v>
      </c>
      <c r="X408" s="170">
        <f>IF(Escenarios!$E$14&gt;0,Observaciones!$J407,0)</f>
        <v>0</v>
      </c>
      <c r="Y408" s="170">
        <f>IF(Escenarios!$E$14&gt;0,MAX(0,Z407+R408+S408+T408+Observaciones!$F407-U408-W408-X408-Constantes!$E$33),0)</f>
        <v>0</v>
      </c>
      <c r="Z408" s="170">
        <f>Z407+R408+S408+T408+Observaciones!$F407-U408-W408-Y408</f>
        <v>51.269962660460905</v>
      </c>
      <c r="AA408" s="170">
        <f>IF(Escenarios!$E$14&gt;0,(Escenarios!$E$13*L408+Escenarios!$E$14*W408)/(Escenarios!$E$16),L408)</f>
        <v>2.5183540998289571</v>
      </c>
      <c r="AB408" s="170">
        <f>IF(Escenarios!$E$14&gt;0,(Escenarios!$E$14*Y408)/(Escenarios!$E$16),K408)</f>
        <v>0</v>
      </c>
      <c r="AC408" s="170">
        <f>IF(Escenarios!$E$14&gt;0,(Escenarios!$E$13*M408+Escenarios!$E$14*U408)/(Escenarios!$E$16),M408)</f>
        <v>0</v>
      </c>
      <c r="AD408" s="76">
        <f t="shared" si="85"/>
        <v>107.9364691760406</v>
      </c>
      <c r="AE408" s="76">
        <f>MAX(0,(AD408-Constantes!$D$13)*(1-EXP(-Constantes!$D$23)))</f>
        <v>0.58317837791018301</v>
      </c>
      <c r="AF408" s="76">
        <f>AB408+O408*Escenarios!$E$13/Escenarios!$E$16+AE408</f>
        <v>1.03411973219802</v>
      </c>
      <c r="AG408" s="76">
        <f>IF(Entradas!$E$91&gt;0,IF(AF408-Escenarios!$E$38&lt;=0,0,IF(AF408-Escenarios!$E$38&gt;Escenarios!$E$37,Escenarios!$E$37,AF408-Escenarios!$E$38)),0)</f>
        <v>0</v>
      </c>
      <c r="AH408" s="76">
        <f>AG408*Entradas!$E$99</f>
        <v>0</v>
      </c>
      <c r="AI408" s="76">
        <f>IF(Entradas!$E$91&gt;0,D408*Entradas!$D$23/Escenarios!$E$16,0)</f>
        <v>0</v>
      </c>
      <c r="AJ408" s="76">
        <f>IF(Entradas!$E$91&gt;0,Entradas!$D$24*Entradas!$D$22/Escenarios!$E$16,0)</f>
        <v>0</v>
      </c>
      <c r="AK408" s="76">
        <f t="shared" si="94"/>
        <v>2.5183540998289571</v>
      </c>
      <c r="AL408" s="76">
        <f t="shared" si="95"/>
        <v>0</v>
      </c>
      <c r="AM408" s="76">
        <f t="shared" si="86"/>
        <v>0</v>
      </c>
      <c r="AN408" s="76">
        <f>MAX(0,O408*Escenarios!$E$13/Escenarios!$E$16-AM408)</f>
        <v>0.45094135428783705</v>
      </c>
      <c r="AO408" s="76">
        <f>AM408+AN408-O408*Escenarios!$E$13/Escenarios!$E$16</f>
        <v>0</v>
      </c>
      <c r="AP408" s="76">
        <f t="shared" si="84"/>
        <v>0.58317837791018301</v>
      </c>
      <c r="AQ408" s="76">
        <f t="shared" si="87"/>
        <v>0</v>
      </c>
      <c r="AR408" s="76">
        <f t="shared" si="88"/>
        <v>1.03411973219802</v>
      </c>
      <c r="AS408" s="76">
        <f t="shared" si="89"/>
        <v>0</v>
      </c>
      <c r="AT408" s="76">
        <f t="shared" si="90"/>
        <v>0</v>
      </c>
      <c r="AU408" s="76">
        <f t="shared" si="91"/>
        <v>48.75</v>
      </c>
      <c r="AV408" s="76">
        <f>MAX(0,(AU408-Constantes!$D$13)*(1-EXP(-Constantes!$D$24)))</f>
        <v>0</v>
      </c>
      <c r="AW408" s="170">
        <f>AW407+(Entradas!$E$112*AT408-AX407)/(800*Entradas!$D$25)</f>
        <v>0</v>
      </c>
      <c r="AX408" s="170">
        <f>8000*Entradas!$D$26*AW408/Constantes!$E$45</f>
        <v>0</v>
      </c>
      <c r="AY408" s="170">
        <f>IF(Escenarios!$E$17&gt;0,10*Escenarios!$E$16*AL408,0)</f>
        <v>0</v>
      </c>
      <c r="AZ408" s="170">
        <f>IF(Escenarios!$E$17&gt;0,10*Escenarios!$E$16*AX408,0)</f>
        <v>0</v>
      </c>
      <c r="BA408" s="170">
        <f>IF(Escenarios!$E$17&gt;0,0.001*Observaciones!$F407*Escenarios!$E$17,0)</f>
        <v>0</v>
      </c>
      <c r="BB408" s="170">
        <f>IF(Escenarios!$E$17&gt;0,Observaciones!$K407,0)</f>
        <v>0</v>
      </c>
      <c r="BC408" s="170">
        <f>IF(Escenarios!$E$17&gt;0,MIN(0.0005*ETo!$M407*Escenarios!$E$17*(BG407/Constantes!$E$40)^(2/3),BG407+AY408+AZ408+BA408+BB408),0)</f>
        <v>35.002396905073162</v>
      </c>
      <c r="BD408" s="170">
        <f>IF(Escenarios!$E$17&gt;0,MIN(Constantes!$E$39*(BG407/Constantes!$E$40)^(2/3),BG407+AY408+AZ408+BA408+BB408-BC408),0)</f>
        <v>53.276894364956682</v>
      </c>
      <c r="BE408" s="170">
        <f>IF(Escenarios!$E$17&gt;0,MIN(Entradas!$E$113,BG407+AY408+AZ408+BA408+BB408-BC408-BD408),0)</f>
        <v>1</v>
      </c>
      <c r="BF408" s="170">
        <f>IF(Escenarios!$E$17&gt;0,MAX(0,BG407+AY408+AZ408+BA408+BB408-BC408-BD408-BE408-Constantes!$E$40),0)</f>
        <v>0</v>
      </c>
      <c r="BG408" s="170">
        <f t="shared" si="96"/>
        <v>3533.8356478478595</v>
      </c>
      <c r="BH408" s="170">
        <f>(Escenarios!$E$16*AK408+0.1*BC408)/(Escenarios!$E$19)</f>
        <v>2.5122570025704234</v>
      </c>
      <c r="BI408" s="170">
        <f>IF(Escenarios!$E$17&gt;0,BF408/10/Escenarios!$E$19,AL408)</f>
        <v>0</v>
      </c>
      <c r="BJ408" s="170">
        <f>(Escenarios!$E$16*AT408+0.1*BD408)/(Escenarios!$E$19)</f>
        <v>2.1141624747998685E-2</v>
      </c>
      <c r="BK408" s="76">
        <f>BK407+(0.1*BD408)/(Escenarios!$E$19)-BL407</f>
        <v>49.969912575733986</v>
      </c>
      <c r="BL408" s="76">
        <f>MAX(0,(BK408-Constantes!$D$13)*(1-EXP(-Constantes!$D$23)))</f>
        <v>1.2020089169245006E-2</v>
      </c>
      <c r="BM408" s="76">
        <f t="shared" si="92"/>
        <v>0.59519846707942803</v>
      </c>
      <c r="BN408" s="76">
        <f t="shared" si="97"/>
        <v>1.046139821367265</v>
      </c>
      <c r="BO408" s="76">
        <f>0.0526*BI408*Observaciones!$F407^1.218</f>
        <v>0</v>
      </c>
      <c r="BP408" s="76">
        <f>BO408*Constantes!$E$51</f>
        <v>0</v>
      </c>
      <c r="BQ408" s="76">
        <f t="shared" si="93"/>
        <v>0</v>
      </c>
      <c r="BR408" s="40"/>
    </row>
    <row r="409" spans="1:70">
      <c r="A409" s="147"/>
      <c r="B409" s="39"/>
      <c r="C409" s="75">
        <v>403</v>
      </c>
      <c r="D409" s="146">
        <f>ETo!$I408*((1-Constantes!$E$19)*ETo!$K408+ETo!$L408)</f>
        <v>4.5309624839363627</v>
      </c>
      <c r="E409" s="76">
        <f>MIN(D409*Constantes!$E$17,0.8*(N408+Observaciones!$F408-F409-M409-Constantes!$D$14))</f>
        <v>2.21524334837363</v>
      </c>
      <c r="F409" s="76">
        <f>IF(Observaciones!$F408&gt;0.05*Constantes!$E$18,((Observaciones!$F408-0.05*Constantes!$E$18)^2)/(Observaciones!$F408+0.95*Constantes!$E$18),0)</f>
        <v>0.45061308139674633</v>
      </c>
      <c r="G409" s="76">
        <f>IF(Escenarios!$E$11&gt;0,(F409*Escenarios!$E$16*10000)/1000,0)</f>
        <v>1126.532703491866</v>
      </c>
      <c r="H409" s="76">
        <f>IF(Escenarios!$E$11&gt;0,(Observaciones!$F408*Constantes!$E$29)/1000,0)</f>
        <v>135</v>
      </c>
      <c r="I409" s="76">
        <f>IF(Escenarios!$E$11&gt;0,(D409*Constantes!$E$29)/1000,0)</f>
        <v>45.309624839363629</v>
      </c>
      <c r="J409" s="76">
        <f>IF(Escenarios!$E$11&gt;0,MAX(0,G409+H409-I409),0)</f>
        <v>1216.2230786525024</v>
      </c>
      <c r="K409" s="76">
        <f>IF(Escenarios!$E$11&gt;0,IF(J409&gt;Constantes!$E$30,1000*((J409-Constantes!$E$30)/(Escenarios!$E$16*10000)),0),F409)</f>
        <v>0</v>
      </c>
      <c r="L409" s="76">
        <f>IF(Escenarios!$E$11&gt;0,I409*1000/Escenarios!$E$16/10000+E409,E409)</f>
        <v>2.2333671983093755</v>
      </c>
      <c r="M409" s="76">
        <f>MAX(0,N408+Observaciones!$F408-K409-Constantes!$D$13)</f>
        <v>0</v>
      </c>
      <c r="N409" s="76">
        <f>N408+Observaciones!$F408-K409-L409-M409-O408</f>
        <v>37.047597321852585</v>
      </c>
      <c r="O409" s="76">
        <f>MAX(0,(N409-Constantes!$D$14)*(1-EXP(-Constantes!$D$22)))</f>
        <v>0.87876086970087053</v>
      </c>
      <c r="P409" s="170">
        <f>P408+(Entradas!$E$83*M409-Q408)/(800*Entradas!$D$25)</f>
        <v>0</v>
      </c>
      <c r="Q409" s="170">
        <f>8000*Entradas!$D$26*P409/Constantes!$E$45</f>
        <v>0</v>
      </c>
      <c r="R409" s="170">
        <f>IF(Escenarios!$E$14&gt;0,K409*Escenarios!$E$13/Escenarios!$E$14,0)</f>
        <v>0</v>
      </c>
      <c r="S409" s="170">
        <f>IF(Escenarios!$E$14&gt;0,Q409*Escenarios!$E$13/Escenarios!$E$14,0)</f>
        <v>0</v>
      </c>
      <c r="T409" s="170">
        <f>IF(Escenarios!$E$14&gt;0,Observaciones!$I408,0)</f>
        <v>0</v>
      </c>
      <c r="U409" s="170">
        <f>IF(Escenarios!$E$14&gt;0,MAX(0,Constantes!$E$36/((Z408+R409+S409+T409+Observaciones!$F408)^2)+Entradas!$E$77),0)</f>
        <v>0.55270854669993419</v>
      </c>
      <c r="V409" s="146">
        <f>IF(ETo!D408&gt;0,ETo!I408*((1-Entradas!$E$81)*ETo!K408+ETo!L408),0)</f>
        <v>4.1425010923283656</v>
      </c>
      <c r="W409" s="170">
        <f>IF(Escenarios!$E$14&gt;0,MIN(V409*1,0.8*(Z408+R409+S409+T409+Observaciones!$F408-U409-Constantes!$E$35)),0)</f>
        <v>4.1425010923283656</v>
      </c>
      <c r="X409" s="170">
        <f>IF(Escenarios!$E$14&gt;0,Observaciones!$J408,0)</f>
        <v>0</v>
      </c>
      <c r="Y409" s="170">
        <f>IF(Escenarios!$E$14&gt;0,MAX(0,Z408+R409+S409+T409+Observaciones!$F408-U409-W409-X409-Constantes!$E$33),0)</f>
        <v>0</v>
      </c>
      <c r="Z409" s="170">
        <f>Z408+R409+S409+T409+Observaciones!$F408-U409-W409-Y409</f>
        <v>60.074753021432606</v>
      </c>
      <c r="AA409" s="170">
        <f>IF(Escenarios!$E$14&gt;0,(Escenarios!$E$13*L409+Escenarios!$E$14*W409)/(Escenarios!$E$16),L409)</f>
        <v>2.4624632655916545</v>
      </c>
      <c r="AB409" s="170">
        <f>IF(Escenarios!$E$14&gt;0,(Escenarios!$E$14*Y409)/(Escenarios!$E$16),K409)</f>
        <v>0</v>
      </c>
      <c r="AC409" s="170">
        <f>IF(Escenarios!$E$14&gt;0,(Escenarios!$E$13*M409+Escenarios!$E$14*U409)/(Escenarios!$E$16),M409)</f>
        <v>6.6325025603992102E-2</v>
      </c>
      <c r="AD409" s="76">
        <f t="shared" si="85"/>
        <v>107.4196158237344</v>
      </c>
      <c r="AE409" s="76">
        <f>MAX(0,(AD409-Constantes!$D$13)*(1-EXP(-Constantes!$D$23)))</f>
        <v>0.57808569872503257</v>
      </c>
      <c r="AF409" s="76">
        <f>AB409+O409*Escenarios!$E$13/Escenarios!$E$16+AE409</f>
        <v>1.3513952640617986</v>
      </c>
      <c r="AG409" s="76">
        <f>IF(Entradas!$E$91&gt;0,IF(AF409-Escenarios!$E$38&lt;=0,0,IF(AF409-Escenarios!$E$38&gt;Escenarios!$E$37,Escenarios!$E$37,AF409-Escenarios!$E$38)),0)</f>
        <v>0</v>
      </c>
      <c r="AH409" s="76">
        <f>AG409*Entradas!$E$99</f>
        <v>0</v>
      </c>
      <c r="AI409" s="76">
        <f>IF(Entradas!$E$91&gt;0,D409*Entradas!$D$23/Escenarios!$E$16,0)</f>
        <v>0</v>
      </c>
      <c r="AJ409" s="76">
        <f>IF(Entradas!$E$91&gt;0,Entradas!$D$24*Entradas!$D$22/Escenarios!$E$16,0)</f>
        <v>0</v>
      </c>
      <c r="AK409" s="76">
        <f t="shared" si="94"/>
        <v>2.4624632655916545</v>
      </c>
      <c r="AL409" s="76">
        <f t="shared" si="95"/>
        <v>0</v>
      </c>
      <c r="AM409" s="76">
        <f t="shared" si="86"/>
        <v>0</v>
      </c>
      <c r="AN409" s="76">
        <f>MAX(0,O409*Escenarios!$E$13/Escenarios!$E$16-AM409)</f>
        <v>0.77330956533676598</v>
      </c>
      <c r="AO409" s="76">
        <f>AM409+AN409-O409*Escenarios!$E$13/Escenarios!$E$16</f>
        <v>0</v>
      </c>
      <c r="AP409" s="76">
        <f t="shared" si="84"/>
        <v>0.57808569872503257</v>
      </c>
      <c r="AQ409" s="76">
        <f t="shared" si="87"/>
        <v>0</v>
      </c>
      <c r="AR409" s="76">
        <f t="shared" si="88"/>
        <v>1.3513952640617986</v>
      </c>
      <c r="AS409" s="76">
        <f t="shared" si="89"/>
        <v>0</v>
      </c>
      <c r="AT409" s="76">
        <f t="shared" si="90"/>
        <v>6.6325025603992102E-2</v>
      </c>
      <c r="AU409" s="76">
        <f t="shared" si="91"/>
        <v>48.75</v>
      </c>
      <c r="AV409" s="76">
        <f>MAX(0,(AU409-Constantes!$D$13)*(1-EXP(-Constantes!$D$24)))</f>
        <v>0</v>
      </c>
      <c r="AW409" s="170">
        <f>AW408+(Entradas!$E$112*AT409-AX408)/(800*Entradas!$D$25)</f>
        <v>0</v>
      </c>
      <c r="AX409" s="170">
        <f>8000*Entradas!$D$26*AW409/Constantes!$E$45</f>
        <v>0</v>
      </c>
      <c r="AY409" s="170">
        <f>IF(Escenarios!$E$17&gt;0,10*Escenarios!$E$16*AL409,0)</f>
        <v>0</v>
      </c>
      <c r="AZ409" s="170">
        <f>IF(Escenarios!$E$17&gt;0,10*Escenarios!$E$16*AX409,0)</f>
        <v>0</v>
      </c>
      <c r="BA409" s="170">
        <f>IF(Escenarios!$E$17&gt;0,0.001*Observaciones!$F408*Escenarios!$E$17,0)</f>
        <v>270</v>
      </c>
      <c r="BB409" s="170">
        <f>IF(Escenarios!$E$17&gt;0,Observaciones!$K408,0)</f>
        <v>0</v>
      </c>
      <c r="BC409" s="170">
        <f>IF(Escenarios!$E$17&gt;0,MIN(0.0005*ETo!$M408*Escenarios!$E$17*(BG408/Constantes!$E$40)^(2/3),BG408+AY409+AZ409+BA409+BB409),0)</f>
        <v>33.680268692699343</v>
      </c>
      <c r="BD409" s="170">
        <f>IF(Escenarios!$E$17&gt;0,MIN(Constantes!$E$39*(BG408/Constantes!$E$40)^(2/3),BG408+AY409+AZ409+BA409+BB409-BC409),0)</f>
        <v>52.398041917236313</v>
      </c>
      <c r="BE409" s="170">
        <f>IF(Escenarios!$E$17&gt;0,MIN(Entradas!$E$113,BG408+AY409+AZ409+BA409+BB409-BC409-BD409),0)</f>
        <v>1</v>
      </c>
      <c r="BF409" s="170">
        <f>IF(Escenarios!$E$17&gt;0,MAX(0,BG408+AY409+AZ409+BA409+BB409-BC409-BD409-BE409-Constantes!$E$40),0)</f>
        <v>0</v>
      </c>
      <c r="BG409" s="170">
        <f t="shared" si="96"/>
        <v>3716.7573372379238</v>
      </c>
      <c r="BH409" s="170">
        <f>(Escenarios!$E$16*AK409+0.1*BC409)/(Escenarios!$E$19)</f>
        <v>2.4562850923300932</v>
      </c>
      <c r="BI409" s="170">
        <f>IF(Escenarios!$E$17&gt;0,BF409/10/Escenarios!$E$19,AL409)</f>
        <v>0</v>
      </c>
      <c r="BJ409" s="170">
        <f>(Escenarios!$E$16*AT409+0.1*BD409)/(Escenarios!$E$19)</f>
        <v>8.6591510288578005E-2</v>
      </c>
      <c r="BK409" s="76">
        <f>BK408+(0.1*BD409)/(Escenarios!$E$19)-BL408</f>
        <v>49.978685360341416</v>
      </c>
      <c r="BL409" s="76">
        <f>MAX(0,(BK409-Constantes!$D$13)*(1-EXP(-Constantes!$D$23)))</f>
        <v>1.2106529505496516E-2</v>
      </c>
      <c r="BM409" s="76">
        <f t="shared" si="92"/>
        <v>0.59019222823052908</v>
      </c>
      <c r="BN409" s="76">
        <f t="shared" si="97"/>
        <v>1.3635017935672951</v>
      </c>
      <c r="BO409" s="76">
        <f>0.0526*BI409*Observaciones!$F408^1.218</f>
        <v>0</v>
      </c>
      <c r="BP409" s="76">
        <f>BO409*Constantes!$E$51</f>
        <v>0</v>
      </c>
      <c r="BQ409" s="76">
        <f t="shared" si="93"/>
        <v>0</v>
      </c>
      <c r="BR409" s="40"/>
    </row>
    <row r="410" spans="1:70">
      <c r="A410" s="147"/>
      <c r="B410" s="39"/>
      <c r="C410" s="75">
        <v>404</v>
      </c>
      <c r="D410" s="146">
        <f>ETo!$I409*((1-Constantes!$E$19)*ETo!$K409+ETo!$L409)</f>
        <v>4.5727755988346246</v>
      </c>
      <c r="E410" s="76">
        <f>MIN(D410*Constantes!$E$17,0.8*(N409+Observaciones!$F409-F410-M410-Constantes!$D$14))</f>
        <v>2.2356862950944527</v>
      </c>
      <c r="F410" s="76">
        <f>IF(Observaciones!$F409&gt;0.05*Constantes!$E$18,((Observaciones!$F409-0.05*Constantes!$E$18)^2)/(Observaciones!$F409+0.95*Constantes!$E$18),0)</f>
        <v>0</v>
      </c>
      <c r="G410" s="76">
        <f>IF(Escenarios!$E$11&gt;0,(F410*Escenarios!$E$16*10000)/1000,0)</f>
        <v>0</v>
      </c>
      <c r="H410" s="76">
        <f>IF(Escenarios!$E$11&gt;0,(Observaciones!$F409*Constantes!$E$29)/1000,0)</f>
        <v>0</v>
      </c>
      <c r="I410" s="76">
        <f>IF(Escenarios!$E$11&gt;0,(D410*Constantes!$E$29)/1000,0)</f>
        <v>45.727755988346246</v>
      </c>
      <c r="J410" s="76">
        <f>IF(Escenarios!$E$11&gt;0,MAX(0,G410+H410-I410),0)</f>
        <v>0</v>
      </c>
      <c r="K410" s="76">
        <f>IF(Escenarios!$E$11&gt;0,IF(J410&gt;Constantes!$E$30,1000*((J410-Constantes!$E$30)/(Escenarios!$E$16*10000)),0),F410)</f>
        <v>0</v>
      </c>
      <c r="L410" s="76">
        <f>IF(Escenarios!$E$11&gt;0,I410*1000/Escenarios!$E$16/10000+E410,E410)</f>
        <v>2.2539773974897912</v>
      </c>
      <c r="M410" s="76">
        <f>MAX(0,N409+Observaciones!$F409-K410-Constantes!$D$13)</f>
        <v>0</v>
      </c>
      <c r="N410" s="76">
        <f>N409+Observaciones!$F409-K410-L410-M410-O409</f>
        <v>33.914859054661925</v>
      </c>
      <c r="O410" s="76">
        <f>MAX(0,(N410-Constantes!$D$14)*(1-EXP(-Constantes!$D$22)))</f>
        <v>0.7720483038027387</v>
      </c>
      <c r="P410" s="170">
        <f>P409+(Entradas!$E$83*M410-Q409)/(800*Entradas!$D$25)</f>
        <v>0</v>
      </c>
      <c r="Q410" s="170">
        <f>8000*Entradas!$D$26*P410/Constantes!$E$45</f>
        <v>0</v>
      </c>
      <c r="R410" s="170">
        <f>IF(Escenarios!$E$14&gt;0,K410*Escenarios!$E$13/Escenarios!$E$14,0)</f>
        <v>0</v>
      </c>
      <c r="S410" s="170">
        <f>IF(Escenarios!$E$14&gt;0,Q410*Escenarios!$E$13/Escenarios!$E$14,0)</f>
        <v>0</v>
      </c>
      <c r="T410" s="170">
        <f>IF(Escenarios!$E$14&gt;0,Observaciones!$I409,0)</f>
        <v>0</v>
      </c>
      <c r="U410" s="170">
        <f>IF(Escenarios!$E$14&gt;0,MAX(0,Constantes!$E$36/((Z409+R410+S410+T410+Observaciones!$F409)^2)+Entradas!$E$77),0)</f>
        <v>0.15521795086149037</v>
      </c>
      <c r="V410" s="146">
        <f>IF(ETo!D409&gt;0,ETo!I409*((1-Entradas!$E$81)*ETo!K409+ETo!L409),0)</f>
        <v>4.1813454148836957</v>
      </c>
      <c r="W410" s="170">
        <f>IF(Escenarios!$E$14&gt;0,MIN(V410*1,0.8*(Z409+R410+S410+T410+Observaciones!$F409-U410-Constantes!$E$35)),0)</f>
        <v>4.1813454148836957</v>
      </c>
      <c r="X410" s="170">
        <f>IF(Escenarios!$E$14&gt;0,Observaciones!$J409,0)</f>
        <v>0</v>
      </c>
      <c r="Y410" s="170">
        <f>IF(Escenarios!$E$14&gt;0,MAX(0,Z409+R410+S410+T410+Observaciones!$F409-U410-W410-X410-Constantes!$E$33),0)</f>
        <v>0</v>
      </c>
      <c r="Z410" s="170">
        <f>Z409+R410+S410+T410+Observaciones!$F409-U410-W410-Y410</f>
        <v>55.738189655687421</v>
      </c>
      <c r="AA410" s="170">
        <f>IF(Escenarios!$E$14&gt;0,(Escenarios!$E$13*L410+Escenarios!$E$14*W410)/(Escenarios!$E$16),L410)</f>
        <v>2.4852615595770597</v>
      </c>
      <c r="AB410" s="170">
        <f>IF(Escenarios!$E$14&gt;0,(Escenarios!$E$14*Y410)/(Escenarios!$E$16),K410)</f>
        <v>0</v>
      </c>
      <c r="AC410" s="170">
        <f>IF(Escenarios!$E$14&gt;0,(Escenarios!$E$13*M410+Escenarios!$E$14*U410)/(Escenarios!$E$16),M410)</f>
        <v>1.8626154103378846E-2</v>
      </c>
      <c r="AD410" s="76">
        <f t="shared" si="85"/>
        <v>106.86015627911274</v>
      </c>
      <c r="AE410" s="76">
        <f>MAX(0,(AD410-Constantes!$D$13)*(1-EXP(-Constantes!$D$23)))</f>
        <v>0.57257321057899357</v>
      </c>
      <c r="AF410" s="76">
        <f>AB410+O410*Escenarios!$E$13/Escenarios!$E$16+AE410</f>
        <v>1.2519757179254036</v>
      </c>
      <c r="AG410" s="76">
        <f>IF(Entradas!$E$91&gt;0,IF(AF410-Escenarios!$E$38&lt;=0,0,IF(AF410-Escenarios!$E$38&gt;Escenarios!$E$37,Escenarios!$E$37,AF410-Escenarios!$E$38)),0)</f>
        <v>0</v>
      </c>
      <c r="AH410" s="76">
        <f>AG410*Entradas!$E$99</f>
        <v>0</v>
      </c>
      <c r="AI410" s="76">
        <f>IF(Entradas!$E$91&gt;0,D410*Entradas!$D$23/Escenarios!$E$16,0)</f>
        <v>0</v>
      </c>
      <c r="AJ410" s="76">
        <f>IF(Entradas!$E$91&gt;0,Entradas!$D$24*Entradas!$D$22/Escenarios!$E$16,0)</f>
        <v>0</v>
      </c>
      <c r="AK410" s="76">
        <f t="shared" si="94"/>
        <v>2.4852615595770597</v>
      </c>
      <c r="AL410" s="76">
        <f t="shared" si="95"/>
        <v>0</v>
      </c>
      <c r="AM410" s="76">
        <f t="shared" si="86"/>
        <v>0</v>
      </c>
      <c r="AN410" s="76">
        <f>MAX(0,O410*Escenarios!$E$13/Escenarios!$E$16-AM410)</f>
        <v>0.67940250734641006</v>
      </c>
      <c r="AO410" s="76">
        <f>AM410+AN410-O410*Escenarios!$E$13/Escenarios!$E$16</f>
        <v>0</v>
      </c>
      <c r="AP410" s="76">
        <f t="shared" si="84"/>
        <v>0.57257321057899357</v>
      </c>
      <c r="AQ410" s="76">
        <f t="shared" si="87"/>
        <v>0</v>
      </c>
      <c r="AR410" s="76">
        <f t="shared" si="88"/>
        <v>1.2519757179254036</v>
      </c>
      <c r="AS410" s="76">
        <f t="shared" si="89"/>
        <v>0</v>
      </c>
      <c r="AT410" s="76">
        <f t="shared" si="90"/>
        <v>1.8626154103378846E-2</v>
      </c>
      <c r="AU410" s="76">
        <f t="shared" si="91"/>
        <v>48.75</v>
      </c>
      <c r="AV410" s="76">
        <f>MAX(0,(AU410-Constantes!$D$13)*(1-EXP(-Constantes!$D$24)))</f>
        <v>0</v>
      </c>
      <c r="AW410" s="170">
        <f>AW409+(Entradas!$E$112*AT410-AX409)/(800*Entradas!$D$25)</f>
        <v>0</v>
      </c>
      <c r="AX410" s="170">
        <f>8000*Entradas!$D$26*AW410/Constantes!$E$45</f>
        <v>0</v>
      </c>
      <c r="AY410" s="170">
        <f>IF(Escenarios!$E$17&gt;0,10*Escenarios!$E$16*AL410,0)</f>
        <v>0</v>
      </c>
      <c r="AZ410" s="170">
        <f>IF(Escenarios!$E$17&gt;0,10*Escenarios!$E$16*AX410,0)</f>
        <v>0</v>
      </c>
      <c r="BA410" s="170">
        <f>IF(Escenarios!$E$17&gt;0,0.001*Observaciones!$F409*Escenarios!$E$17,0)</f>
        <v>0</v>
      </c>
      <c r="BB410" s="170">
        <f>IF(Escenarios!$E$17&gt;0,Observaciones!$K409,0)</f>
        <v>0</v>
      </c>
      <c r="BC410" s="170">
        <f>IF(Escenarios!$E$17&gt;0,MIN(0.0005*ETo!$M409*Escenarios!$E$17*(BG409/Constantes!$E$40)^(2/3),BG409+AY410+AZ410+BA410+BB410),0)</f>
        <v>35.147605954792745</v>
      </c>
      <c r="BD410" s="170">
        <f>IF(Escenarios!$E$17&gt;0,MIN(Constantes!$E$39*(BG409/Constantes!$E$40)^(2/3),BG409+AY410+AZ410+BA410+BB410-BC410),0)</f>
        <v>54.190974972409606</v>
      </c>
      <c r="BE410" s="170">
        <f>IF(Escenarios!$E$17&gt;0,MIN(Entradas!$E$113,BG409+AY410+AZ410+BA410+BB410-BC410-BD410),0)</f>
        <v>1</v>
      </c>
      <c r="BF410" s="170">
        <f>IF(Escenarios!$E$17&gt;0,MAX(0,BG409+AY410+AZ410+BA410+BB410-BC410-BD410-BE410-Constantes!$E$40),0)</f>
        <v>0</v>
      </c>
      <c r="BG410" s="170">
        <f t="shared" si="96"/>
        <v>3626.4187563107216</v>
      </c>
      <c r="BH410" s="170">
        <f>(Escenarios!$E$16*AK410+0.1*BC410)/(Escenarios!$E$19)</f>
        <v>2.4794847241656517</v>
      </c>
      <c r="BI410" s="170">
        <f>IF(Escenarios!$E$17&gt;0,BF410/10/Escenarios!$E$19,AL410)</f>
        <v>0</v>
      </c>
      <c r="BJ410" s="170">
        <f>(Escenarios!$E$16*AT410+0.1*BD410)/(Escenarios!$E$19)</f>
        <v>3.998268263129235E-2</v>
      </c>
      <c r="BK410" s="76">
        <f>BK409+(0.1*BD410)/(Escenarios!$E$19)-BL409</f>
        <v>49.988083185983704</v>
      </c>
      <c r="BL410" s="76">
        <f>MAX(0,(BK410-Constantes!$D$13)*(1-EXP(-Constantes!$D$23)))</f>
        <v>1.2199128519937661E-2</v>
      </c>
      <c r="BM410" s="76">
        <f t="shared" si="92"/>
        <v>0.58477233909893123</v>
      </c>
      <c r="BN410" s="76">
        <f t="shared" si="97"/>
        <v>1.2641748464453413</v>
      </c>
      <c r="BO410" s="76">
        <f>0.0526*BI410*Observaciones!$F409^1.218</f>
        <v>0</v>
      </c>
      <c r="BP410" s="76">
        <f>BO410*Constantes!$E$51</f>
        <v>0</v>
      </c>
      <c r="BQ410" s="76">
        <f t="shared" si="93"/>
        <v>0</v>
      </c>
      <c r="BR410" s="40"/>
    </row>
    <row r="411" spans="1:70">
      <c r="A411" s="147"/>
      <c r="B411" s="39"/>
      <c r="C411" s="75">
        <v>405</v>
      </c>
      <c r="D411" s="146">
        <f>ETo!$I410*((1-Constantes!$E$19)*ETo!$K410+ETo!$L410)</f>
        <v>4.3080039652340769</v>
      </c>
      <c r="E411" s="76">
        <f>MIN(D411*Constantes!$E$17,0.8*(N410+Observaciones!$F410-F411-M411-Constantes!$D$14))</f>
        <v>2.1062361832802248</v>
      </c>
      <c r="F411" s="76">
        <f>IF(Observaciones!$F410&gt;0.05*Constantes!$E$18,((Observaciones!$F410-0.05*Constantes!$E$18)^2)/(Observaciones!$F410+0.95*Constantes!$E$18),0)</f>
        <v>0</v>
      </c>
      <c r="G411" s="76">
        <f>IF(Escenarios!$E$11&gt;0,(F411*Escenarios!$E$16*10000)/1000,0)</f>
        <v>0</v>
      </c>
      <c r="H411" s="76">
        <f>IF(Escenarios!$E$11&gt;0,(Observaciones!$F410*Constantes!$E$29)/1000,0)</f>
        <v>20</v>
      </c>
      <c r="I411" s="76">
        <f>IF(Escenarios!$E$11&gt;0,(D411*Constantes!$E$29)/1000,0)</f>
        <v>43.080039652340766</v>
      </c>
      <c r="J411" s="76">
        <f>IF(Escenarios!$E$11&gt;0,MAX(0,G411+H411-I411),0)</f>
        <v>0</v>
      </c>
      <c r="K411" s="76">
        <f>IF(Escenarios!$E$11&gt;0,IF(J411&gt;Constantes!$E$30,1000*((J411-Constantes!$E$30)/(Escenarios!$E$16*10000)),0),F411)</f>
        <v>0</v>
      </c>
      <c r="L411" s="76">
        <f>IF(Escenarios!$E$11&gt;0,I411*1000/Escenarios!$E$16/10000+E411,E411)</f>
        <v>2.1234681991411613</v>
      </c>
      <c r="M411" s="76">
        <f>MAX(0,N410+Observaciones!$F410-K411-Constantes!$D$13)</f>
        <v>0</v>
      </c>
      <c r="N411" s="76">
        <f>N410+Observaciones!$F410-K411-L411-M411-O410</f>
        <v>33.019342551718019</v>
      </c>
      <c r="O411" s="76">
        <f>MAX(0,(N411-Constantes!$D$14)*(1-EXP(-Constantes!$D$22)))</f>
        <v>0.74154372420408499</v>
      </c>
      <c r="P411" s="170">
        <f>P410+(Entradas!$E$83*M411-Q410)/(800*Entradas!$D$25)</f>
        <v>0</v>
      </c>
      <c r="Q411" s="170">
        <f>8000*Entradas!$D$26*P411/Constantes!$E$45</f>
        <v>0</v>
      </c>
      <c r="R411" s="170">
        <f>IF(Escenarios!$E$14&gt;0,K411*Escenarios!$E$13/Escenarios!$E$14,0)</f>
        <v>0</v>
      </c>
      <c r="S411" s="170">
        <f>IF(Escenarios!$E$14&gt;0,Q411*Escenarios!$E$13/Escenarios!$E$14,0)</f>
        <v>0</v>
      </c>
      <c r="T411" s="170">
        <f>IF(Escenarios!$E$14&gt;0,Observaciones!$I410,0)</f>
        <v>0</v>
      </c>
      <c r="U411" s="170">
        <f>IF(Escenarios!$E$14&gt;0,MAX(0,Constantes!$E$36/((Z410+R411+S411+T411+Observaciones!$F410)^2)+Entradas!$E$77),0)</f>
        <v>0</v>
      </c>
      <c r="V411" s="146">
        <f>IF(ETo!D410&gt;0,ETo!I410*((1-Entradas!$E$81)*ETo!K410+ETo!L410),0)</f>
        <v>3.9358614916414423</v>
      </c>
      <c r="W411" s="170">
        <f>IF(Escenarios!$E$14&gt;0,MIN(V411*1,0.8*(Z410+R411+S411+T411+Observaciones!$F410-U411-Constantes!$E$35)),0)</f>
        <v>3.9358614916414423</v>
      </c>
      <c r="X411" s="170">
        <f>IF(Escenarios!$E$14&gt;0,Observaciones!$J410,0)</f>
        <v>0</v>
      </c>
      <c r="Y411" s="170">
        <f>IF(Escenarios!$E$14&gt;0,MAX(0,Z410+R411+S411+T411+Observaciones!$F410-U411-W411-X411-Constantes!$E$33),0)</f>
        <v>0</v>
      </c>
      <c r="Z411" s="170">
        <f>Z410+R411+S411+T411+Observaciones!$F410-U411-W411-Y411</f>
        <v>53.802328164045981</v>
      </c>
      <c r="AA411" s="170">
        <f>IF(Escenarios!$E$14&gt;0,(Escenarios!$E$13*L411+Escenarios!$E$14*W411)/(Escenarios!$E$16),L411)</f>
        <v>2.3409553942411949</v>
      </c>
      <c r="AB411" s="170">
        <f>IF(Escenarios!$E$14&gt;0,(Escenarios!$E$14*Y411)/(Escenarios!$E$16),K411)</f>
        <v>0</v>
      </c>
      <c r="AC411" s="170">
        <f>IF(Escenarios!$E$14&gt;0,(Escenarios!$E$13*M411+Escenarios!$E$14*U411)/(Escenarios!$E$16),M411)</f>
        <v>0</v>
      </c>
      <c r="AD411" s="76">
        <f t="shared" si="85"/>
        <v>106.28758306853375</v>
      </c>
      <c r="AE411" s="76">
        <f>MAX(0,(AD411-Constantes!$D$13)*(1-EXP(-Constantes!$D$23)))</f>
        <v>0.56693151035884493</v>
      </c>
      <c r="AF411" s="76">
        <f>AB411+O411*Escenarios!$E$13/Escenarios!$E$16+AE411</f>
        <v>1.2194899876584397</v>
      </c>
      <c r="AG411" s="76">
        <f>IF(Entradas!$E$91&gt;0,IF(AF411-Escenarios!$E$38&lt;=0,0,IF(AF411-Escenarios!$E$38&gt;Escenarios!$E$37,Escenarios!$E$37,AF411-Escenarios!$E$38)),0)</f>
        <v>0</v>
      </c>
      <c r="AH411" s="76">
        <f>AG411*Entradas!$E$99</f>
        <v>0</v>
      </c>
      <c r="AI411" s="76">
        <f>IF(Entradas!$E$91&gt;0,D411*Entradas!$D$23/Escenarios!$E$16,0)</f>
        <v>0</v>
      </c>
      <c r="AJ411" s="76">
        <f>IF(Entradas!$E$91&gt;0,Entradas!$D$24*Entradas!$D$22/Escenarios!$E$16,0)</f>
        <v>0</v>
      </c>
      <c r="AK411" s="76">
        <f t="shared" si="94"/>
        <v>2.3409553942411949</v>
      </c>
      <c r="AL411" s="76">
        <f t="shared" si="95"/>
        <v>0</v>
      </c>
      <c r="AM411" s="76">
        <f t="shared" si="86"/>
        <v>0</v>
      </c>
      <c r="AN411" s="76">
        <f>MAX(0,O411*Escenarios!$E$13/Escenarios!$E$16-AM411)</f>
        <v>0.65255847729959471</v>
      </c>
      <c r="AO411" s="76">
        <f>AM411+AN411-O411*Escenarios!$E$13/Escenarios!$E$16</f>
        <v>0</v>
      </c>
      <c r="AP411" s="76">
        <f t="shared" si="84"/>
        <v>0.56693151035884493</v>
      </c>
      <c r="AQ411" s="76">
        <f t="shared" si="87"/>
        <v>0</v>
      </c>
      <c r="AR411" s="76">
        <f t="shared" si="88"/>
        <v>1.2194899876584397</v>
      </c>
      <c r="AS411" s="76">
        <f t="shared" si="89"/>
        <v>0</v>
      </c>
      <c r="AT411" s="76">
        <f t="shared" si="90"/>
        <v>0</v>
      </c>
      <c r="AU411" s="76">
        <f t="shared" si="91"/>
        <v>48.75</v>
      </c>
      <c r="AV411" s="76">
        <f>MAX(0,(AU411-Constantes!$D$13)*(1-EXP(-Constantes!$D$24)))</f>
        <v>0</v>
      </c>
      <c r="AW411" s="170">
        <f>AW410+(Entradas!$E$112*AT411-AX410)/(800*Entradas!$D$25)</f>
        <v>0</v>
      </c>
      <c r="AX411" s="170">
        <f>8000*Entradas!$D$26*AW411/Constantes!$E$45</f>
        <v>0</v>
      </c>
      <c r="AY411" s="170">
        <f>IF(Escenarios!$E$17&gt;0,10*Escenarios!$E$16*AL411,0)</f>
        <v>0</v>
      </c>
      <c r="AZ411" s="170">
        <f>IF(Escenarios!$E$17&gt;0,10*Escenarios!$E$16*AX411,0)</f>
        <v>0</v>
      </c>
      <c r="BA411" s="170">
        <f>IF(Escenarios!$E$17&gt;0,0.001*Observaciones!$F410*Escenarios!$E$17,0)</f>
        <v>40</v>
      </c>
      <c r="BB411" s="170">
        <f>IF(Escenarios!$E$17&gt;0,Observaciones!$K410,0)</f>
        <v>6.2178808977914031</v>
      </c>
      <c r="BC411" s="170">
        <f>IF(Escenarios!$E$17&gt;0,MIN(0.0005*ETo!$M410*Escenarios!$E$17*(BG410/Constantes!$E$40)^(2/3),BG410+AY411+AZ411+BA411+BB411),0)</f>
        <v>32.60915890354034</v>
      </c>
      <c r="BD411" s="170">
        <f>IF(Escenarios!$E$17&gt;0,MIN(Constantes!$E$39*(BG410/Constantes!$E$40)^(2/3),BG410+AY411+AZ411+BA411+BB411-BC411),0)</f>
        <v>53.309277251419218</v>
      </c>
      <c r="BE411" s="170">
        <f>IF(Escenarios!$E$17&gt;0,MIN(Entradas!$E$113,BG410+AY411+AZ411+BA411+BB411-BC411-BD411),0)</f>
        <v>1</v>
      </c>
      <c r="BF411" s="170">
        <f>IF(Escenarios!$E$17&gt;0,MAX(0,BG410+AY411+AZ411+BA411+BB411-BC411-BD411-BE411-Constantes!$E$40),0)</f>
        <v>0</v>
      </c>
      <c r="BG411" s="170">
        <f t="shared" si="96"/>
        <v>3585.7182010535535</v>
      </c>
      <c r="BH411" s="170">
        <f>(Escenarios!$E$16*AK411+0.1*BC411)/(Escenarios!$E$19)</f>
        <v>2.3353165255978281</v>
      </c>
      <c r="BI411" s="170">
        <f>IF(Escenarios!$E$17&gt;0,BF411/10/Escenarios!$E$19,AL411)</f>
        <v>0</v>
      </c>
      <c r="BJ411" s="170">
        <f>(Escenarios!$E$16*AT411+0.1*BD411)/(Escenarios!$E$19)</f>
        <v>2.1154475099769535E-2</v>
      </c>
      <c r="BK411" s="76">
        <f>BK410+(0.1*BD411)/(Escenarios!$E$19)-BL410</f>
        <v>49.997038532563536</v>
      </c>
      <c r="BL411" s="76">
        <f>MAX(0,(BK411-Constantes!$D$13)*(1-EXP(-Constantes!$D$23)))</f>
        <v>1.2287367682786118E-2</v>
      </c>
      <c r="BM411" s="76">
        <f t="shared" si="92"/>
        <v>0.57921887804163108</v>
      </c>
      <c r="BN411" s="76">
        <f t="shared" si="97"/>
        <v>1.2317773553412259</v>
      </c>
      <c r="BO411" s="76">
        <f>0.0526*BI411*Observaciones!$F410^1.218</f>
        <v>0</v>
      </c>
      <c r="BP411" s="76">
        <f>BO411*Constantes!$E$51</f>
        <v>0</v>
      </c>
      <c r="BQ411" s="76">
        <f t="shared" si="93"/>
        <v>0</v>
      </c>
      <c r="BR411" s="40"/>
    </row>
    <row r="412" spans="1:70">
      <c r="A412" s="147"/>
      <c r="B412" s="39"/>
      <c r="C412" s="75">
        <v>406</v>
      </c>
      <c r="D412" s="146">
        <f>ETo!$I411*((1-Constantes!$E$19)*ETo!$K411+ETo!$L411)</f>
        <v>4.3899728717321951</v>
      </c>
      <c r="E412" s="76">
        <f>MIN(D412*Constantes!$E$17,0.8*(N411+Observaciones!$F411-F412-M412-Constantes!$D$14))</f>
        <v>2.1463117909545715</v>
      </c>
      <c r="F412" s="76">
        <f>IF(Observaciones!$F411&gt;0.05*Constantes!$E$18,((Observaciones!$F411-0.05*Constantes!$E$18)^2)/(Observaciones!$F411+0.95*Constantes!$E$18),0)</f>
        <v>1.8634523676130172</v>
      </c>
      <c r="G412" s="76">
        <f>IF(Escenarios!$E$11&gt;0,(F412*Escenarios!$E$16*10000)/1000,0)</f>
        <v>4658.6309190325428</v>
      </c>
      <c r="H412" s="76">
        <f>IF(Escenarios!$E$11&gt;0,(Observaciones!$F411*Constantes!$E$29)/1000,0)</f>
        <v>218</v>
      </c>
      <c r="I412" s="76">
        <f>IF(Escenarios!$E$11&gt;0,(D412*Constantes!$E$29)/1000,0)</f>
        <v>43.899728717321949</v>
      </c>
      <c r="J412" s="76">
        <f>IF(Escenarios!$E$11&gt;0,MAX(0,G412+H412-I412),0)</f>
        <v>4832.7311903152213</v>
      </c>
      <c r="K412" s="76">
        <f>IF(Escenarios!$E$11&gt;0,IF(J412&gt;Constantes!$E$30,1000*((J412-Constantes!$E$30)/(Escenarios!$E$16*10000)),0),F412)</f>
        <v>1.4183865937731472</v>
      </c>
      <c r="L412" s="76">
        <f>IF(Escenarios!$E$11&gt;0,I412*1000/Escenarios!$E$16/10000+E412,E412)</f>
        <v>2.1638716824415001</v>
      </c>
      <c r="M412" s="76">
        <f>MAX(0,N411+Observaciones!$F411-K412-Constantes!$D$13)</f>
        <v>4.6509559579448734</v>
      </c>
      <c r="N412" s="76">
        <f>N411+Observaciones!$F411-K412-L412-M412-O411</f>
        <v>45.844584593354412</v>
      </c>
      <c r="O412" s="76">
        <f>MAX(0,(N412-Constantes!$D$14)*(1-EXP(-Constantes!$D$22)))</f>
        <v>1.1784185505696287</v>
      </c>
      <c r="P412" s="170">
        <f>P411+(Entradas!$E$83*M412-Q411)/(800*Entradas!$D$25)</f>
        <v>0</v>
      </c>
      <c r="Q412" s="170">
        <f>8000*Entradas!$D$26*P412/Constantes!$E$45</f>
        <v>0</v>
      </c>
      <c r="R412" s="170">
        <f>IF(Escenarios!$E$14&gt;0,K412*Escenarios!$E$13/Escenarios!$E$14,0)</f>
        <v>10.401501687669747</v>
      </c>
      <c r="S412" s="170">
        <f>IF(Escenarios!$E$14&gt;0,Q412*Escenarios!$E$13/Escenarios!$E$14,0)</f>
        <v>0</v>
      </c>
      <c r="T412" s="170">
        <f>IF(Escenarios!$E$14&gt;0,Observaciones!$I411,0)</f>
        <v>0</v>
      </c>
      <c r="U412" s="170">
        <f>IF(Escenarios!$E$14&gt;0,MAX(0,Constantes!$E$36/((Z411+R412+S412+T412+Observaciones!$F411)^2)+Entradas!$E$77),0)</f>
        <v>1.6119746296039463</v>
      </c>
      <c r="V412" s="146">
        <f>IF(ETo!D411&gt;0,ETo!I411*((1-Entradas!$E$81)*ETo!K411+ETo!L411),0)</f>
        <v>4.0116440526006034</v>
      </c>
      <c r="W412" s="170">
        <f>IF(Escenarios!$E$14&gt;0,MIN(V412*1,0.8*(Z411+R412+S412+T412+Observaciones!$F411-U412-Constantes!$E$35)),0)</f>
        <v>4.0116440526006034</v>
      </c>
      <c r="X412" s="170">
        <f>IF(Escenarios!$E$14&gt;0,Observaciones!$J411,0)</f>
        <v>0</v>
      </c>
      <c r="Y412" s="170">
        <f>IF(Escenarios!$E$14&gt;0,MAX(0,Z411+R412+S412+T412+Observaciones!$F411-U412-W412-X412-Constantes!$E$33),0)</f>
        <v>0</v>
      </c>
      <c r="Z412" s="170">
        <f>Z411+R412+S412+T412+Observaciones!$F411-U412-W412-Y412</f>
        <v>80.380211169511171</v>
      </c>
      <c r="AA412" s="170">
        <f>IF(Escenarios!$E$14&gt;0,(Escenarios!$E$13*L412+Escenarios!$E$14*W412)/(Escenarios!$E$16),L412)</f>
        <v>2.3856043668605924</v>
      </c>
      <c r="AB412" s="170">
        <f>IF(Escenarios!$E$14&gt;0,(Escenarios!$E$14*Y412)/(Escenarios!$E$16),K412)</f>
        <v>0</v>
      </c>
      <c r="AC412" s="170">
        <f>IF(Escenarios!$E$14&gt;0,(Escenarios!$E$13*M412+Escenarios!$E$14*U412)/(Escenarios!$E$16),M412)</f>
        <v>4.286278198543962</v>
      </c>
      <c r="AD412" s="76">
        <f t="shared" si="85"/>
        <v>110.00692975671888</v>
      </c>
      <c r="AE412" s="76">
        <f>MAX(0,(AD412-Constantes!$D$13)*(1-EXP(-Constantes!$D$23)))</f>
        <v>0.60357911915689555</v>
      </c>
      <c r="AF412" s="76">
        <f>AB412+O412*Escenarios!$E$13/Escenarios!$E$16+AE412</f>
        <v>1.6405874436581689</v>
      </c>
      <c r="AG412" s="76">
        <f>IF(Entradas!$E$91&gt;0,IF(AF412-Escenarios!$E$38&lt;=0,0,IF(AF412-Escenarios!$E$38&gt;Escenarios!$E$37,Escenarios!$E$37,AF412-Escenarios!$E$38)),0)</f>
        <v>0</v>
      </c>
      <c r="AH412" s="76">
        <f>AG412*Entradas!$E$99</f>
        <v>0</v>
      </c>
      <c r="AI412" s="76">
        <f>IF(Entradas!$E$91&gt;0,D412*Entradas!$D$23/Escenarios!$E$16,0)</f>
        <v>0</v>
      </c>
      <c r="AJ412" s="76">
        <f>IF(Entradas!$E$91&gt;0,Entradas!$D$24*Entradas!$D$22/Escenarios!$E$16,0)</f>
        <v>0</v>
      </c>
      <c r="AK412" s="76">
        <f t="shared" si="94"/>
        <v>2.3856043668605924</v>
      </c>
      <c r="AL412" s="76">
        <f t="shared" si="95"/>
        <v>0</v>
      </c>
      <c r="AM412" s="76">
        <f t="shared" si="86"/>
        <v>0</v>
      </c>
      <c r="AN412" s="76">
        <f>MAX(0,O412*Escenarios!$E$13/Escenarios!$E$16-AM412)</f>
        <v>1.0370083245012733</v>
      </c>
      <c r="AO412" s="76">
        <f>AM412+AN412-O412*Escenarios!$E$13/Escenarios!$E$16</f>
        <v>0</v>
      </c>
      <c r="AP412" s="76">
        <f t="shared" si="84"/>
        <v>0.60357911915689555</v>
      </c>
      <c r="AQ412" s="76">
        <f t="shared" si="87"/>
        <v>0</v>
      </c>
      <c r="AR412" s="76">
        <f t="shared" si="88"/>
        <v>1.6405874436581689</v>
      </c>
      <c r="AS412" s="76">
        <f t="shared" si="89"/>
        <v>0</v>
      </c>
      <c r="AT412" s="76">
        <f t="shared" si="90"/>
        <v>4.286278198543962</v>
      </c>
      <c r="AU412" s="76">
        <f t="shared" si="91"/>
        <v>48.75</v>
      </c>
      <c r="AV412" s="76">
        <f>MAX(0,(AU412-Constantes!$D$13)*(1-EXP(-Constantes!$D$24)))</f>
        <v>0</v>
      </c>
      <c r="AW412" s="170">
        <f>AW411+(Entradas!$E$112*AT412-AX411)/(800*Entradas!$D$25)</f>
        <v>0</v>
      </c>
      <c r="AX412" s="170">
        <f>8000*Entradas!$D$26*AW412/Constantes!$E$45</f>
        <v>0</v>
      </c>
      <c r="AY412" s="170">
        <f>IF(Escenarios!$E$17&gt;0,10*Escenarios!$E$16*AL412,0)</f>
        <v>0</v>
      </c>
      <c r="AZ412" s="170">
        <f>IF(Escenarios!$E$17&gt;0,10*Escenarios!$E$16*AX412,0)</f>
        <v>0</v>
      </c>
      <c r="BA412" s="170">
        <f>IF(Escenarios!$E$17&gt;0,0.001*Observaciones!$F411*Escenarios!$E$17,0)</f>
        <v>436</v>
      </c>
      <c r="BB412" s="170">
        <f>IF(Escenarios!$E$17&gt;0,Observaciones!$K411,0)</f>
        <v>300.83094288980993</v>
      </c>
      <c r="BC412" s="170">
        <f>IF(Escenarios!$E$17&gt;0,MIN(0.0005*ETo!$M411*Escenarios!$E$17*(BG411/Constantes!$E$40)^(2/3),BG411+AY412+AZ412+BA412+BB412),0)</f>
        <v>32.971209717457775</v>
      </c>
      <c r="BD412" s="170">
        <f>IF(Escenarios!$E$17&gt;0,MIN(Constantes!$E$39*(BG411/Constantes!$E$40)^(2/3),BG411+AY412+AZ412+BA412+BB412-BC412),0)</f>
        <v>52.909655054731992</v>
      </c>
      <c r="BE412" s="170">
        <f>IF(Escenarios!$E$17&gt;0,MIN(Entradas!$E$113,BG411+AY412+AZ412+BA412+BB412-BC412-BD412),0)</f>
        <v>1</v>
      </c>
      <c r="BF412" s="170">
        <f>IF(Escenarios!$E$17&gt;0,MAX(0,BG411+AY412+AZ412+BA412+BB412-BC412-BD412-BE412-Constantes!$E$40),0)</f>
        <v>0</v>
      </c>
      <c r="BG412" s="170">
        <f t="shared" si="96"/>
        <v>4235.6682791711737</v>
      </c>
      <c r="BH412" s="170">
        <f>(Escenarios!$E$16*AK412+0.1*BC412)/(Escenarios!$E$19)</f>
        <v>2.3797548122495793</v>
      </c>
      <c r="BI412" s="170">
        <f>IF(Escenarios!$E$17&gt;0,BF412/10/Escenarios!$E$19,AL412)</f>
        <v>0</v>
      </c>
      <c r="BJ412" s="170">
        <f>(Escenarios!$E$16*AT412+0.1*BD412)/(Escenarios!$E$19)</f>
        <v>4.2732560124661259</v>
      </c>
      <c r="BK412" s="76">
        <f>BK411+(0.1*BD412)/(Escenarios!$E$19)-BL411</f>
        <v>50.00574705974374</v>
      </c>
      <c r="BL412" s="76">
        <f>MAX(0,(BK412-Constantes!$D$13)*(1-EXP(-Constantes!$D$23)))</f>
        <v>1.2373174875302239E-2</v>
      </c>
      <c r="BM412" s="76">
        <f t="shared" si="92"/>
        <v>0.61595229403219776</v>
      </c>
      <c r="BN412" s="76">
        <f t="shared" si="97"/>
        <v>1.6529606185334711</v>
      </c>
      <c r="BO412" s="76">
        <f>0.0526*BI412*Observaciones!$F411^1.218</f>
        <v>0</v>
      </c>
      <c r="BP412" s="76">
        <f>BO412*Constantes!$E$51</f>
        <v>0</v>
      </c>
      <c r="BQ412" s="76">
        <f t="shared" si="93"/>
        <v>0</v>
      </c>
      <c r="BR412" s="40"/>
    </row>
    <row r="413" spans="1:70">
      <c r="A413" s="147"/>
      <c r="B413" s="39"/>
      <c r="C413" s="75">
        <v>407</v>
      </c>
      <c r="D413" s="146">
        <f>ETo!$I412*((1-Constantes!$E$19)*ETo!$K412+ETo!$L412)</f>
        <v>4.246749926227972</v>
      </c>
      <c r="E413" s="76">
        <f>MIN(D413*Constantes!$E$17,0.8*(N412+Observaciones!$F412-F413-M413-Constantes!$D$14))</f>
        <v>2.0762883293859664</v>
      </c>
      <c r="F413" s="76">
        <f>IF(Observaciones!$F412&gt;0.05*Constantes!$E$18,((Observaciones!$F412-0.05*Constantes!$E$18)^2)/(Observaciones!$F412+0.95*Constantes!$E$18),0)</f>
        <v>0</v>
      </c>
      <c r="G413" s="76">
        <f>IF(Escenarios!$E$11&gt;0,(F413*Escenarios!$E$16*10000)/1000,0)</f>
        <v>0</v>
      </c>
      <c r="H413" s="76">
        <f>IF(Escenarios!$E$11&gt;0,(Observaciones!$F412*Constantes!$E$29)/1000,0)</f>
        <v>0</v>
      </c>
      <c r="I413" s="76">
        <f>IF(Escenarios!$E$11&gt;0,(D413*Constantes!$E$29)/1000,0)</f>
        <v>42.467499262279723</v>
      </c>
      <c r="J413" s="76">
        <f>IF(Escenarios!$E$11&gt;0,MAX(0,G413+H413-I413),0)</f>
        <v>0</v>
      </c>
      <c r="K413" s="76">
        <f>IF(Escenarios!$E$11&gt;0,IF(J413&gt;Constantes!$E$30,1000*((J413-Constantes!$E$30)/(Escenarios!$E$16*10000)),0),F413)</f>
        <v>0</v>
      </c>
      <c r="L413" s="76">
        <f>IF(Escenarios!$E$11&gt;0,I413*1000/Escenarios!$E$16/10000+E413,E413)</f>
        <v>2.0932753290908783</v>
      </c>
      <c r="M413" s="76">
        <f>MAX(0,N412+Observaciones!$F412-K413-Constantes!$D$13)</f>
        <v>0</v>
      </c>
      <c r="N413" s="76">
        <f>N412+Observaciones!$F412-K413-L413-M413-O412</f>
        <v>42.572890713693901</v>
      </c>
      <c r="O413" s="76">
        <f>MAX(0,(N413-Constantes!$D$14)*(1-EXP(-Constantes!$D$22)))</f>
        <v>1.0669726463942772</v>
      </c>
      <c r="P413" s="170">
        <f>P412+(Entradas!$E$83*M413-Q412)/(800*Entradas!$D$25)</f>
        <v>0</v>
      </c>
      <c r="Q413" s="170">
        <f>8000*Entradas!$D$26*P413/Constantes!$E$45</f>
        <v>0</v>
      </c>
      <c r="R413" s="170">
        <f>IF(Escenarios!$E$14&gt;0,K413*Escenarios!$E$13/Escenarios!$E$14,0)</f>
        <v>0</v>
      </c>
      <c r="S413" s="170">
        <f>IF(Escenarios!$E$14&gt;0,Q413*Escenarios!$E$13/Escenarios!$E$14,0)</f>
        <v>0</v>
      </c>
      <c r="T413" s="170">
        <f>IF(Escenarios!$E$14&gt;0,Observaciones!$I412,0)</f>
        <v>0</v>
      </c>
      <c r="U413" s="170">
        <f>IF(Escenarios!$E$14&gt;0,MAX(0,Constantes!$E$36/((Z412+R413+S413+T413+Observaciones!$F412)^2)+Entradas!$E$77),0)</f>
        <v>1.4109604695199194</v>
      </c>
      <c r="V413" s="146">
        <f>IF(ETo!D412&gt;0,ETo!I412*((1-Entradas!$E$81)*ETo!K412+ETo!L412),0)</f>
        <v>3.8792019059073235</v>
      </c>
      <c r="W413" s="170">
        <f>IF(Escenarios!$E$14&gt;0,MIN(V413*1,0.8*(Z412+R413+S413+T413+Observaciones!$F412-U413-Constantes!$E$35)),0)</f>
        <v>3.8792019059073235</v>
      </c>
      <c r="X413" s="170">
        <f>IF(Escenarios!$E$14&gt;0,Observaciones!$J412,0)</f>
        <v>0</v>
      </c>
      <c r="Y413" s="170">
        <f>IF(Escenarios!$E$14&gt;0,MAX(0,Z412+R413+S413+T413+Observaciones!$F412-U413-W413-X413-Constantes!$E$33),0)</f>
        <v>0</v>
      </c>
      <c r="Z413" s="170">
        <f>Z412+R413+S413+T413+Observaciones!$F412-U413-W413-Y413</f>
        <v>75.090048794083927</v>
      </c>
      <c r="AA413" s="170">
        <f>IF(Escenarios!$E$14&gt;0,(Escenarios!$E$13*L413+Escenarios!$E$14*W413)/(Escenarios!$E$16),L413)</f>
        <v>2.3075865183088515</v>
      </c>
      <c r="AB413" s="170">
        <f>IF(Escenarios!$E$14&gt;0,(Escenarios!$E$14*Y413)/(Escenarios!$E$16),K413)</f>
        <v>0</v>
      </c>
      <c r="AC413" s="170">
        <f>IF(Escenarios!$E$14&gt;0,(Escenarios!$E$13*M413+Escenarios!$E$14*U413)/(Escenarios!$E$16),M413)</f>
        <v>0.16931525634239031</v>
      </c>
      <c r="AD413" s="76">
        <f t="shared" si="85"/>
        <v>109.57266589390437</v>
      </c>
      <c r="AE413" s="76">
        <f>MAX(0,(AD413-Constantes!$D$13)*(1-EXP(-Constantes!$D$23)))</f>
        <v>0.5993002138829906</v>
      </c>
      <c r="AF413" s="76">
        <f>AB413+O413*Escenarios!$E$13/Escenarios!$E$16+AE413</f>
        <v>1.5382361427099545</v>
      </c>
      <c r="AG413" s="76">
        <f>IF(Entradas!$E$91&gt;0,IF(AF413-Escenarios!$E$38&lt;=0,0,IF(AF413-Escenarios!$E$38&gt;Escenarios!$E$37,Escenarios!$E$37,AF413-Escenarios!$E$38)),0)</f>
        <v>0</v>
      </c>
      <c r="AH413" s="76">
        <f>AG413*Entradas!$E$99</f>
        <v>0</v>
      </c>
      <c r="AI413" s="76">
        <f>IF(Entradas!$E$91&gt;0,D413*Entradas!$D$23/Escenarios!$E$16,0)</f>
        <v>0</v>
      </c>
      <c r="AJ413" s="76">
        <f>IF(Entradas!$E$91&gt;0,Entradas!$D$24*Entradas!$D$22/Escenarios!$E$16,0)</f>
        <v>0</v>
      </c>
      <c r="AK413" s="76">
        <f t="shared" si="94"/>
        <v>2.3075865183088515</v>
      </c>
      <c r="AL413" s="76">
        <f t="shared" si="95"/>
        <v>0</v>
      </c>
      <c r="AM413" s="76">
        <f t="shared" si="86"/>
        <v>0</v>
      </c>
      <c r="AN413" s="76">
        <f>MAX(0,O413*Escenarios!$E$13/Escenarios!$E$16-AM413)</f>
        <v>0.93893592882696397</v>
      </c>
      <c r="AO413" s="76">
        <f>AM413+AN413-O413*Escenarios!$E$13/Escenarios!$E$16</f>
        <v>0</v>
      </c>
      <c r="AP413" s="76">
        <f t="shared" si="84"/>
        <v>0.5993002138829906</v>
      </c>
      <c r="AQ413" s="76">
        <f t="shared" si="87"/>
        <v>0</v>
      </c>
      <c r="AR413" s="76">
        <f t="shared" si="88"/>
        <v>1.5382361427099545</v>
      </c>
      <c r="AS413" s="76">
        <f t="shared" si="89"/>
        <v>0</v>
      </c>
      <c r="AT413" s="76">
        <f t="shared" si="90"/>
        <v>0.16931525634239031</v>
      </c>
      <c r="AU413" s="76">
        <f t="shared" si="91"/>
        <v>48.75</v>
      </c>
      <c r="AV413" s="76">
        <f>MAX(0,(AU413-Constantes!$D$13)*(1-EXP(-Constantes!$D$24)))</f>
        <v>0</v>
      </c>
      <c r="AW413" s="170">
        <f>AW412+(Entradas!$E$112*AT413-AX412)/(800*Entradas!$D$25)</f>
        <v>0</v>
      </c>
      <c r="AX413" s="170">
        <f>8000*Entradas!$D$26*AW413/Constantes!$E$45</f>
        <v>0</v>
      </c>
      <c r="AY413" s="170">
        <f>IF(Escenarios!$E$17&gt;0,10*Escenarios!$E$16*AL413,0)</f>
        <v>0</v>
      </c>
      <c r="AZ413" s="170">
        <f>IF(Escenarios!$E$17&gt;0,10*Escenarios!$E$16*AX413,0)</f>
        <v>0</v>
      </c>
      <c r="BA413" s="170">
        <f>IF(Escenarios!$E$17&gt;0,0.001*Observaciones!$F412*Escenarios!$E$17,0)</f>
        <v>0</v>
      </c>
      <c r="BB413" s="170">
        <f>IF(Escenarios!$E$17&gt;0,Observaciones!$K412,0)</f>
        <v>0</v>
      </c>
      <c r="BC413" s="170">
        <f>IF(Escenarios!$E$17&gt;0,MIN(0.0005*ETo!$M412*Escenarios!$E$17*(BG412/Constantes!$E$40)^(2/3),BG412+AY413+AZ413+BA413+BB413),0)</f>
        <v>35.660018493308833</v>
      </c>
      <c r="BD413" s="170">
        <f>IF(Escenarios!$E$17&gt;0,MIN(Constantes!$E$39*(BG412/Constantes!$E$40)^(2/3),BG412+AY413+AZ413+BA413+BB413-BC413),0)</f>
        <v>59.124223956269503</v>
      </c>
      <c r="BE413" s="170">
        <f>IF(Escenarios!$E$17&gt;0,MIN(Entradas!$E$113,BG412+AY413+AZ413+BA413+BB413-BC413-BD413),0)</f>
        <v>1</v>
      </c>
      <c r="BF413" s="170">
        <f>IF(Escenarios!$E$17&gt;0,MAX(0,BG412+AY413+AZ413+BA413+BB413-BC413-BD413-BE413-Constantes!$E$40),0)</f>
        <v>0</v>
      </c>
      <c r="BG413" s="170">
        <f t="shared" si="96"/>
        <v>4139.8840367215953</v>
      </c>
      <c r="BH413" s="170">
        <f>(Escenarios!$E$16*AK413+0.1*BC413)/(Escenarios!$E$19)</f>
        <v>2.3034231405815229</v>
      </c>
      <c r="BI413" s="170">
        <f>IF(Escenarios!$E$17&gt;0,BF413/10/Escenarios!$E$19,AL413)</f>
        <v>0</v>
      </c>
      <c r="BJ413" s="170">
        <f>(Escenarios!$E$16*AT413+0.1*BD413)/(Escenarios!$E$19)</f>
        <v>0.19143347810009737</v>
      </c>
      <c r="BK413" s="76">
        <f>BK412+(0.1*BD413)/(Escenarios!$E$19)-BL412</f>
        <v>50.01683587850188</v>
      </c>
      <c r="BL413" s="76">
        <f>MAX(0,(BK413-Constantes!$D$13)*(1-EXP(-Constantes!$D$23)))</f>
        <v>1.2482435647677046E-2</v>
      </c>
      <c r="BM413" s="76">
        <f t="shared" si="92"/>
        <v>0.61178264953066763</v>
      </c>
      <c r="BN413" s="76">
        <f t="shared" si="97"/>
        <v>1.5507185783576316</v>
      </c>
      <c r="BO413" s="76">
        <f>0.0526*BI413*Observaciones!$F412^1.218</f>
        <v>0</v>
      </c>
      <c r="BP413" s="76">
        <f>BO413*Constantes!$E$51</f>
        <v>0</v>
      </c>
      <c r="BQ413" s="76">
        <f t="shared" si="93"/>
        <v>0</v>
      </c>
      <c r="BR413" s="40"/>
    </row>
    <row r="414" spans="1:70">
      <c r="A414" s="147"/>
      <c r="B414" s="39"/>
      <c r="C414" s="75">
        <v>408</v>
      </c>
      <c r="D414" s="146">
        <f>ETo!$I413*((1-Constantes!$E$19)*ETo!$K413+ETo!$L413)</f>
        <v>4.4315904961803048</v>
      </c>
      <c r="E414" s="76">
        <f>MIN(D414*Constantes!$E$17,0.8*(N413+Observaciones!$F413-F414-M414-Constantes!$D$14))</f>
        <v>2.1666591599872307</v>
      </c>
      <c r="F414" s="76">
        <f>IF(Observaciones!$F413&gt;0.05*Constantes!$E$18,((Observaciones!$F413-0.05*Constantes!$E$18)^2)/(Observaciones!$F413+0.95*Constantes!$E$18),0)</f>
        <v>0</v>
      </c>
      <c r="G414" s="76">
        <f>IF(Escenarios!$E$11&gt;0,(F414*Escenarios!$E$16*10000)/1000,0)</f>
        <v>0</v>
      </c>
      <c r="H414" s="76">
        <f>IF(Escenarios!$E$11&gt;0,(Observaciones!$F413*Constantes!$E$29)/1000,0)</f>
        <v>19</v>
      </c>
      <c r="I414" s="76">
        <f>IF(Escenarios!$E$11&gt;0,(D414*Constantes!$E$29)/1000,0)</f>
        <v>44.315904961803049</v>
      </c>
      <c r="J414" s="76">
        <f>IF(Escenarios!$E$11&gt;0,MAX(0,G414+H414-I414),0)</f>
        <v>0</v>
      </c>
      <c r="K414" s="76">
        <f>IF(Escenarios!$E$11&gt;0,IF(J414&gt;Constantes!$E$30,1000*((J414-Constantes!$E$30)/(Escenarios!$E$16*10000)),0),F414)</f>
        <v>0</v>
      </c>
      <c r="L414" s="76">
        <f>IF(Escenarios!$E$11&gt;0,I414*1000/Escenarios!$E$16/10000+E414,E414)</f>
        <v>2.1843855219719521</v>
      </c>
      <c r="M414" s="76">
        <f>MAX(0,N413+Observaciones!$F413-K414-Constantes!$D$13)</f>
        <v>0</v>
      </c>
      <c r="N414" s="76">
        <f>N413+Observaciones!$F413-K414-L414-M414-O413</f>
        <v>41.221532545327669</v>
      </c>
      <c r="O414" s="76">
        <f>MAX(0,(N414-Constantes!$D$14)*(1-EXP(-Constantes!$D$22)))</f>
        <v>1.0209404262423269</v>
      </c>
      <c r="P414" s="170">
        <f>P413+(Entradas!$E$83*M414-Q413)/(800*Entradas!$D$25)</f>
        <v>0</v>
      </c>
      <c r="Q414" s="170">
        <f>8000*Entradas!$D$26*P414/Constantes!$E$45</f>
        <v>0</v>
      </c>
      <c r="R414" s="170">
        <f>IF(Escenarios!$E$14&gt;0,K414*Escenarios!$E$13/Escenarios!$E$14,0)</f>
        <v>0</v>
      </c>
      <c r="S414" s="170">
        <f>IF(Escenarios!$E$14&gt;0,Q414*Escenarios!$E$13/Escenarios!$E$14,0)</f>
        <v>0</v>
      </c>
      <c r="T414" s="170">
        <f>IF(Escenarios!$E$14&gt;0,Observaciones!$I413,0)</f>
        <v>0</v>
      </c>
      <c r="U414" s="170">
        <f>IF(Escenarios!$E$14&gt;0,MAX(0,Constantes!$E$36/((Z413+R414+S414+T414+Observaciones!$F413)^2)+Entradas!$E$77),0)</f>
        <v>1.2679365506887224</v>
      </c>
      <c r="V414" s="146">
        <f>IF(ETo!D413&gt;0,ETo!I413*((1-Entradas!$E$81)*ETo!K413+ETo!L413),0)</f>
        <v>4.0501272894215647</v>
      </c>
      <c r="W414" s="170">
        <f>IF(Escenarios!$E$14&gt;0,MIN(V414*1,0.8*(Z413+R414+S414+T414+Observaciones!$F413-U414-Constantes!$E$35)),0)</f>
        <v>4.0501272894215647</v>
      </c>
      <c r="X414" s="170">
        <f>IF(Escenarios!$E$14&gt;0,Observaciones!$J413,0)</f>
        <v>0</v>
      </c>
      <c r="Y414" s="170">
        <f>IF(Escenarios!$E$14&gt;0,MAX(0,Z413+R414+S414+T414+Observaciones!$F413-U414-W414-X414-Constantes!$E$33),0)</f>
        <v>0</v>
      </c>
      <c r="Z414" s="170">
        <f>Z413+R414+S414+T414+Observaciones!$F413-U414-W414-Y414</f>
        <v>71.671984953973649</v>
      </c>
      <c r="AA414" s="170">
        <f>IF(Escenarios!$E$14&gt;0,(Escenarios!$E$13*L414+Escenarios!$E$14*W414)/(Escenarios!$E$16),L414)</f>
        <v>2.4082745340659057</v>
      </c>
      <c r="AB414" s="170">
        <f>IF(Escenarios!$E$14&gt;0,(Escenarios!$E$14*Y414)/(Escenarios!$E$16),K414)</f>
        <v>0</v>
      </c>
      <c r="AC414" s="170">
        <f>IF(Escenarios!$E$14&gt;0,(Escenarios!$E$13*M414+Escenarios!$E$14*U414)/(Escenarios!$E$16),M414)</f>
        <v>0.15215238608264667</v>
      </c>
      <c r="AD414" s="76">
        <f t="shared" si="85"/>
        <v>109.12551806610404</v>
      </c>
      <c r="AE414" s="76">
        <f>MAX(0,(AD414-Constantes!$D$13)*(1-EXP(-Constantes!$D$23)))</f>
        <v>0.59489435983335881</v>
      </c>
      <c r="AF414" s="76">
        <f>AB414+O414*Escenarios!$E$13/Escenarios!$E$16+AE414</f>
        <v>1.4933219349266065</v>
      </c>
      <c r="AG414" s="76">
        <f>IF(Entradas!$E$91&gt;0,IF(AF414-Escenarios!$E$38&lt;=0,0,IF(AF414-Escenarios!$E$38&gt;Escenarios!$E$37,Escenarios!$E$37,AF414-Escenarios!$E$38)),0)</f>
        <v>0</v>
      </c>
      <c r="AH414" s="76">
        <f>AG414*Entradas!$E$99</f>
        <v>0</v>
      </c>
      <c r="AI414" s="76">
        <f>IF(Entradas!$E$91&gt;0,D414*Entradas!$D$23/Escenarios!$E$16,0)</f>
        <v>0</v>
      </c>
      <c r="AJ414" s="76">
        <f>IF(Entradas!$E$91&gt;0,Entradas!$D$24*Entradas!$D$22/Escenarios!$E$16,0)</f>
        <v>0</v>
      </c>
      <c r="AK414" s="76">
        <f t="shared" si="94"/>
        <v>2.4082745340659057</v>
      </c>
      <c r="AL414" s="76">
        <f t="shared" si="95"/>
        <v>0</v>
      </c>
      <c r="AM414" s="76">
        <f t="shared" si="86"/>
        <v>0</v>
      </c>
      <c r="AN414" s="76">
        <f>MAX(0,O414*Escenarios!$E$13/Escenarios!$E$16-AM414)</f>
        <v>0.89842757509324767</v>
      </c>
      <c r="AO414" s="76">
        <f>AM414+AN414-O414*Escenarios!$E$13/Escenarios!$E$16</f>
        <v>0</v>
      </c>
      <c r="AP414" s="76">
        <f t="shared" si="84"/>
        <v>0.59489435983335881</v>
      </c>
      <c r="AQ414" s="76">
        <f t="shared" si="87"/>
        <v>0</v>
      </c>
      <c r="AR414" s="76">
        <f t="shared" si="88"/>
        <v>1.4933219349266065</v>
      </c>
      <c r="AS414" s="76">
        <f t="shared" si="89"/>
        <v>0</v>
      </c>
      <c r="AT414" s="76">
        <f t="shared" si="90"/>
        <v>0.15215238608264667</v>
      </c>
      <c r="AU414" s="76">
        <f t="shared" si="91"/>
        <v>48.75</v>
      </c>
      <c r="AV414" s="76">
        <f>MAX(0,(AU414-Constantes!$D$13)*(1-EXP(-Constantes!$D$24)))</f>
        <v>0</v>
      </c>
      <c r="AW414" s="170">
        <f>AW413+(Entradas!$E$112*AT414-AX413)/(800*Entradas!$D$25)</f>
        <v>0</v>
      </c>
      <c r="AX414" s="170">
        <f>8000*Entradas!$D$26*AW414/Constantes!$E$45</f>
        <v>0</v>
      </c>
      <c r="AY414" s="170">
        <f>IF(Escenarios!$E$17&gt;0,10*Escenarios!$E$16*AL414,0)</f>
        <v>0</v>
      </c>
      <c r="AZ414" s="170">
        <f>IF(Escenarios!$E$17&gt;0,10*Escenarios!$E$16*AX414,0)</f>
        <v>0</v>
      </c>
      <c r="BA414" s="170">
        <f>IF(Escenarios!$E$17&gt;0,0.001*Observaciones!$F413*Escenarios!$E$17,0)</f>
        <v>38</v>
      </c>
      <c r="BB414" s="170">
        <f>IF(Escenarios!$E$17&gt;0,Observaciones!$K413,0)</f>
        <v>0</v>
      </c>
      <c r="BC414" s="170">
        <f>IF(Escenarios!$E$17&gt;0,MIN(0.0005*ETo!$M413*Escenarios!$E$17*(BG413/Constantes!$E$40)^(2/3),BG413+AY414+AZ414+BA414+BB414),0)</f>
        <v>36.625137878376393</v>
      </c>
      <c r="BD414" s="170">
        <f>IF(Escenarios!$E$17&gt;0,MIN(Constantes!$E$39*(BG413/Constantes!$E$40)^(2/3),BG413+AY414+AZ414+BA414+BB414-BC414),0)</f>
        <v>58.229484291883409</v>
      </c>
      <c r="BE414" s="170">
        <f>IF(Escenarios!$E$17&gt;0,MIN(Entradas!$E$113,BG413+AY414+AZ414+BA414+BB414-BC414-BD414),0)</f>
        <v>1</v>
      </c>
      <c r="BF414" s="170">
        <f>IF(Escenarios!$E$17&gt;0,MAX(0,BG413+AY414+AZ414+BA414+BB414-BC414-BD414-BE414-Constantes!$E$40),0)</f>
        <v>0</v>
      </c>
      <c r="BG414" s="170">
        <f t="shared" si="96"/>
        <v>4082.0294145513353</v>
      </c>
      <c r="BH414" s="170">
        <f>(Escenarios!$E$16*AK414+0.1*BC414)/(Escenarios!$E$19)</f>
        <v>2.4036950289853731</v>
      </c>
      <c r="BI414" s="170">
        <f>IF(Escenarios!$E$17&gt;0,BF414/10/Escenarios!$E$19,AL414)</f>
        <v>0</v>
      </c>
      <c r="BJ414" s="170">
        <f>(Escenarios!$E$16*AT414+0.1*BD414)/(Escenarios!$E$19)</f>
        <v>0.17405176567400799</v>
      </c>
      <c r="BK414" s="76">
        <f>BK413+(0.1*BD414)/(Escenarios!$E$19)-BL413</f>
        <v>50.027460381065268</v>
      </c>
      <c r="BL414" s="76">
        <f>MAX(0,(BK414-Constantes!$D$13)*(1-EXP(-Constantes!$D$23)))</f>
        <v>1.2587121401993464E-2</v>
      </c>
      <c r="BM414" s="76">
        <f t="shared" si="92"/>
        <v>0.60748148123535228</v>
      </c>
      <c r="BN414" s="76">
        <f t="shared" si="97"/>
        <v>1.5059090563285999</v>
      </c>
      <c r="BO414" s="76">
        <f>0.0526*BI414*Observaciones!$F413^1.218</f>
        <v>0</v>
      </c>
      <c r="BP414" s="76">
        <f>BO414*Constantes!$E$51</f>
        <v>0</v>
      </c>
      <c r="BQ414" s="76">
        <f t="shared" si="93"/>
        <v>0</v>
      </c>
      <c r="BR414" s="40"/>
    </row>
    <row r="415" spans="1:70">
      <c r="A415" s="147"/>
      <c r="B415" s="39"/>
      <c r="C415" s="75">
        <v>409</v>
      </c>
      <c r="D415" s="146">
        <f>ETo!$I414*((1-Constantes!$E$19)*ETo!$K414+ETo!$L414)</f>
        <v>4.5036778840726726</v>
      </c>
      <c r="E415" s="76">
        <f>MIN(D415*Constantes!$E$17,0.8*(N414+Observaciones!$F414-F415-M415-Constantes!$D$14))</f>
        <v>2.2019035715435722</v>
      </c>
      <c r="F415" s="76">
        <f>IF(Observaciones!$F414&gt;0.05*Constantes!$E$18,((Observaciones!$F414-0.05*Constantes!$E$18)^2)/(Observaciones!$F414+0.95*Constantes!$E$18),0)</f>
        <v>0</v>
      </c>
      <c r="G415" s="76">
        <f>IF(Escenarios!$E$11&gt;0,(F415*Escenarios!$E$16*10000)/1000,0)</f>
        <v>0</v>
      </c>
      <c r="H415" s="76">
        <f>IF(Escenarios!$E$11&gt;0,(Observaciones!$F414*Constantes!$E$29)/1000,0)</f>
        <v>8</v>
      </c>
      <c r="I415" s="76">
        <f>IF(Escenarios!$E$11&gt;0,(D415*Constantes!$E$29)/1000,0)</f>
        <v>45.036778840726726</v>
      </c>
      <c r="J415" s="76">
        <f>IF(Escenarios!$E$11&gt;0,MAX(0,G415+H415-I415),0)</f>
        <v>0</v>
      </c>
      <c r="K415" s="76">
        <f>IF(Escenarios!$E$11&gt;0,IF(J415&gt;Constantes!$E$30,1000*((J415-Constantes!$E$30)/(Escenarios!$E$16*10000)),0),F415)</f>
        <v>0</v>
      </c>
      <c r="L415" s="76">
        <f>IF(Escenarios!$E$11&gt;0,I415*1000/Escenarios!$E$16/10000+E415,E415)</f>
        <v>2.2199182830798629</v>
      </c>
      <c r="M415" s="76">
        <f>MAX(0,N414+Observaciones!$F414-K415-Constantes!$D$13)</f>
        <v>0</v>
      </c>
      <c r="N415" s="76">
        <f>N414+Observaciones!$F414-K415-L415-M415-O414</f>
        <v>38.780673836005477</v>
      </c>
      <c r="O415" s="76">
        <f>MAX(0,(N415-Constantes!$D$14)*(1-EXP(-Constantes!$D$22)))</f>
        <v>0.93779581802704981</v>
      </c>
      <c r="P415" s="170">
        <f>P414+(Entradas!$E$83*M415-Q414)/(800*Entradas!$D$25)</f>
        <v>0</v>
      </c>
      <c r="Q415" s="170">
        <f>8000*Entradas!$D$26*P415/Constantes!$E$45</f>
        <v>0</v>
      </c>
      <c r="R415" s="170">
        <f>IF(Escenarios!$E$14&gt;0,K415*Escenarios!$E$13/Escenarios!$E$14,0)</f>
        <v>0</v>
      </c>
      <c r="S415" s="170">
        <f>IF(Escenarios!$E$14&gt;0,Q415*Escenarios!$E$13/Escenarios!$E$14,0)</f>
        <v>0</v>
      </c>
      <c r="T415" s="170">
        <f>IF(Escenarios!$E$14&gt;0,Observaciones!$I414,0)</f>
        <v>0</v>
      </c>
      <c r="U415" s="170">
        <f>IF(Escenarios!$E$14&gt;0,MAX(0,Constantes!$E$36/((Z414+R415+S415+T415+Observaciones!$F414)^2)+Entradas!$E$77),0)</f>
        <v>1.0452434640665016</v>
      </c>
      <c r="V415" s="146">
        <f>IF(ETo!D414&gt;0,ETo!I414*((1-Entradas!$E$81)*ETo!K414+ETo!L414),0)</f>
        <v>4.1169869888415889</v>
      </c>
      <c r="W415" s="170">
        <f>IF(Escenarios!$E$14&gt;0,MIN(V415*1,0.8*(Z414+R415+S415+T415+Observaciones!$F414-U415-Constantes!$E$35)),0)</f>
        <v>4.1169869888415889</v>
      </c>
      <c r="X415" s="170">
        <f>IF(Escenarios!$E$14&gt;0,Observaciones!$J414,0)</f>
        <v>0</v>
      </c>
      <c r="Y415" s="170">
        <f>IF(Escenarios!$E$14&gt;0,MAX(0,Z414+R415+S415+T415+Observaciones!$F414-U415-W415-X415-Constantes!$E$33),0)</f>
        <v>0</v>
      </c>
      <c r="Z415" s="170">
        <f>Z414+R415+S415+T415+Observaciones!$F414-U415-W415-Y415</f>
        <v>67.309754501065555</v>
      </c>
      <c r="AA415" s="170">
        <f>IF(Escenarios!$E$14&gt;0,(Escenarios!$E$13*L415+Escenarios!$E$14*W415)/(Escenarios!$E$16),L415)</f>
        <v>2.4475665277712699</v>
      </c>
      <c r="AB415" s="170">
        <f>IF(Escenarios!$E$14&gt;0,(Escenarios!$E$14*Y415)/(Escenarios!$E$16),K415)</f>
        <v>0</v>
      </c>
      <c r="AC415" s="170">
        <f>IF(Escenarios!$E$14&gt;0,(Escenarios!$E$13*M415+Escenarios!$E$14*U415)/(Escenarios!$E$16),M415)</f>
        <v>0.12542921568798018</v>
      </c>
      <c r="AD415" s="76">
        <f t="shared" si="85"/>
        <v>108.65605292195866</v>
      </c>
      <c r="AE415" s="76">
        <f>MAX(0,(AD415-Constantes!$D$13)*(1-EXP(-Constantes!$D$23)))</f>
        <v>0.59026860795020886</v>
      </c>
      <c r="AF415" s="76">
        <f>AB415+O415*Escenarios!$E$13/Escenarios!$E$16+AE415</f>
        <v>1.4155289278140128</v>
      </c>
      <c r="AG415" s="76">
        <f>IF(Entradas!$E$91&gt;0,IF(AF415-Escenarios!$E$38&lt;=0,0,IF(AF415-Escenarios!$E$38&gt;Escenarios!$E$37,Escenarios!$E$37,AF415-Escenarios!$E$38)),0)</f>
        <v>0</v>
      </c>
      <c r="AH415" s="76">
        <f>AG415*Entradas!$E$99</f>
        <v>0</v>
      </c>
      <c r="AI415" s="76">
        <f>IF(Entradas!$E$91&gt;0,D415*Entradas!$D$23/Escenarios!$E$16,0)</f>
        <v>0</v>
      </c>
      <c r="AJ415" s="76">
        <f>IF(Entradas!$E$91&gt;0,Entradas!$D$24*Entradas!$D$22/Escenarios!$E$16,0)</f>
        <v>0</v>
      </c>
      <c r="AK415" s="76">
        <f t="shared" si="94"/>
        <v>2.4475665277712699</v>
      </c>
      <c r="AL415" s="76">
        <f t="shared" si="95"/>
        <v>0</v>
      </c>
      <c r="AM415" s="76">
        <f t="shared" si="86"/>
        <v>0</v>
      </c>
      <c r="AN415" s="76">
        <f>MAX(0,O415*Escenarios!$E$13/Escenarios!$E$16-AM415)</f>
        <v>0.82526031986380388</v>
      </c>
      <c r="AO415" s="76">
        <f>AM415+AN415-O415*Escenarios!$E$13/Escenarios!$E$16</f>
        <v>0</v>
      </c>
      <c r="AP415" s="76">
        <f t="shared" si="84"/>
        <v>0.59026860795020886</v>
      </c>
      <c r="AQ415" s="76">
        <f t="shared" si="87"/>
        <v>0</v>
      </c>
      <c r="AR415" s="76">
        <f t="shared" si="88"/>
        <v>1.4155289278140128</v>
      </c>
      <c r="AS415" s="76">
        <f t="shared" si="89"/>
        <v>0</v>
      </c>
      <c r="AT415" s="76">
        <f t="shared" si="90"/>
        <v>0.12542921568798018</v>
      </c>
      <c r="AU415" s="76">
        <f t="shared" si="91"/>
        <v>48.75</v>
      </c>
      <c r="AV415" s="76">
        <f>MAX(0,(AU415-Constantes!$D$13)*(1-EXP(-Constantes!$D$24)))</f>
        <v>0</v>
      </c>
      <c r="AW415" s="170">
        <f>AW414+(Entradas!$E$112*AT415-AX414)/(800*Entradas!$D$25)</f>
        <v>0</v>
      </c>
      <c r="AX415" s="170">
        <f>8000*Entradas!$D$26*AW415/Constantes!$E$45</f>
        <v>0</v>
      </c>
      <c r="AY415" s="170">
        <f>IF(Escenarios!$E$17&gt;0,10*Escenarios!$E$16*AL415,0)</f>
        <v>0</v>
      </c>
      <c r="AZ415" s="170">
        <f>IF(Escenarios!$E$17&gt;0,10*Escenarios!$E$16*AX415,0)</f>
        <v>0</v>
      </c>
      <c r="BA415" s="170">
        <f>IF(Escenarios!$E$17&gt;0,0.001*Observaciones!$F414*Escenarios!$E$17,0)</f>
        <v>16</v>
      </c>
      <c r="BB415" s="170">
        <f>IF(Escenarios!$E$17&gt;0,Observaciones!$K414,0)</f>
        <v>3.4255179115241083</v>
      </c>
      <c r="BC415" s="170">
        <f>IF(Escenarios!$E$17&gt;0,MIN(0.0005*ETo!$M414*Escenarios!$E$17*(BG414/Constantes!$E$40)^(2/3),BG414+AY415+AZ415+BA415+BB415),0)</f>
        <v>36.862231746509309</v>
      </c>
      <c r="BD415" s="170">
        <f>IF(Escenarios!$E$17&gt;0,MIN(Constantes!$E$39*(BG414/Constantes!$E$40)^(2/3),BG414+AY415+AZ415+BA415+BB415-BC415),0)</f>
        <v>57.68571052337677</v>
      </c>
      <c r="BE415" s="170">
        <f>IF(Escenarios!$E$17&gt;0,MIN(Entradas!$E$113,BG414+AY415+AZ415+BA415+BB415-BC415-BD415),0)</f>
        <v>1</v>
      </c>
      <c r="BF415" s="170">
        <f>IF(Escenarios!$E$17&gt;0,MAX(0,BG414+AY415+AZ415+BA415+BB415-BC415-BD415-BE415-Constantes!$E$40),0)</f>
        <v>0</v>
      </c>
      <c r="BG415" s="170">
        <f t="shared" si="96"/>
        <v>4005.9069901929738</v>
      </c>
      <c r="BH415" s="170">
        <f>(Escenarios!$E$16*AK415+0.1*BC415)/(Escenarios!$E$19)</f>
        <v>2.4427692663391603</v>
      </c>
      <c r="BI415" s="170">
        <f>IF(Escenarios!$E$17&gt;0,BF415/10/Escenarios!$E$19,AL415)</f>
        <v>0</v>
      </c>
      <c r="BJ415" s="170">
        <f>(Escenarios!$E$16*AT415+0.1*BD415)/(Escenarios!$E$19)</f>
        <v>0.14732490069179652</v>
      </c>
      <c r="BK415" s="76">
        <f>BK414+(0.1*BD415)/(Escenarios!$E$19)-BL414</f>
        <v>50.037764414632868</v>
      </c>
      <c r="BL415" s="76">
        <f>MAX(0,(BK415-Constantes!$D$13)*(1-EXP(-Constantes!$D$23)))</f>
        <v>1.2688649498964614E-2</v>
      </c>
      <c r="BM415" s="76">
        <f t="shared" si="92"/>
        <v>0.6029572574491735</v>
      </c>
      <c r="BN415" s="76">
        <f t="shared" si="97"/>
        <v>1.4282175773129775</v>
      </c>
      <c r="BO415" s="76">
        <f>0.0526*BI415*Observaciones!$F414^1.218</f>
        <v>0</v>
      </c>
      <c r="BP415" s="76">
        <f>BO415*Constantes!$E$51</f>
        <v>0</v>
      </c>
      <c r="BQ415" s="76">
        <f t="shared" si="93"/>
        <v>0</v>
      </c>
      <c r="BR415" s="40"/>
    </row>
    <row r="416" spans="1:70">
      <c r="A416" s="147"/>
      <c r="B416" s="39"/>
      <c r="C416" s="75">
        <v>410</v>
      </c>
      <c r="D416" s="146">
        <f>ETo!$I415*((1-Constantes!$E$19)*ETo!$K415+ETo!$L415)</f>
        <v>4.4183599409762335</v>
      </c>
      <c r="E416" s="76">
        <f>MIN(D416*Constantes!$E$17,0.8*(N415+Observaciones!$F415-F416-M416-Constantes!$D$14))</f>
        <v>2.1601905786394444</v>
      </c>
      <c r="F416" s="76">
        <f>IF(Observaciones!$F415&gt;0.05*Constantes!$E$18,((Observaciones!$F415-0.05*Constantes!$E$18)^2)/(Observaciones!$F415+0.95*Constantes!$E$18),0)</f>
        <v>0</v>
      </c>
      <c r="G416" s="76">
        <f>IF(Escenarios!$E$11&gt;0,(F416*Escenarios!$E$16*10000)/1000,0)</f>
        <v>0</v>
      </c>
      <c r="H416" s="76">
        <f>IF(Escenarios!$E$11&gt;0,(Observaciones!$F415*Constantes!$E$29)/1000,0)</f>
        <v>0</v>
      </c>
      <c r="I416" s="76">
        <f>IF(Escenarios!$E$11&gt;0,(D416*Constantes!$E$29)/1000,0)</f>
        <v>44.18359940976233</v>
      </c>
      <c r="J416" s="76">
        <f>IF(Escenarios!$E$11&gt;0,MAX(0,G416+H416-I416),0)</f>
        <v>0</v>
      </c>
      <c r="K416" s="76">
        <f>IF(Escenarios!$E$11&gt;0,IF(J416&gt;Constantes!$E$30,1000*((J416-Constantes!$E$30)/(Escenarios!$E$16*10000)),0),F416)</f>
        <v>0</v>
      </c>
      <c r="L416" s="76">
        <f>IF(Escenarios!$E$11&gt;0,I416*1000/Escenarios!$E$16/10000+E416,E416)</f>
        <v>2.1778640184033495</v>
      </c>
      <c r="M416" s="76">
        <f>MAX(0,N415+Observaciones!$F415-K416-Constantes!$D$13)</f>
        <v>0</v>
      </c>
      <c r="N416" s="76">
        <f>N415+Observaciones!$F415-K416-L416-M416-O415</f>
        <v>35.665013999575081</v>
      </c>
      <c r="O416" s="76">
        <f>MAX(0,(N416-Constantes!$D$14)*(1-EXP(-Constantes!$D$22)))</f>
        <v>0.83166500617681538</v>
      </c>
      <c r="P416" s="170">
        <f>P415+(Entradas!$E$83*M416-Q415)/(800*Entradas!$D$25)</f>
        <v>0</v>
      </c>
      <c r="Q416" s="170">
        <f>8000*Entradas!$D$26*P416/Constantes!$E$45</f>
        <v>0</v>
      </c>
      <c r="R416" s="170">
        <f>IF(Escenarios!$E$14&gt;0,K416*Escenarios!$E$13/Escenarios!$E$14,0)</f>
        <v>0</v>
      </c>
      <c r="S416" s="170">
        <f>IF(Escenarios!$E$14&gt;0,Q416*Escenarios!$E$13/Escenarios!$E$14,0)</f>
        <v>0</v>
      </c>
      <c r="T416" s="170">
        <f>IF(Escenarios!$E$14&gt;0,Observaciones!$I415,0)</f>
        <v>0</v>
      </c>
      <c r="U416" s="170">
        <f>IF(Escenarios!$E$14&gt;0,MAX(0,Constantes!$E$36/((Z415+R416+S416+T416+Observaciones!$F415)^2)+Entradas!$E$77),0)</f>
        <v>0.73391094199961859</v>
      </c>
      <c r="V416" s="146">
        <f>IF(ETo!D415&gt;0,ETo!I415*((1-Entradas!$E$81)*ETo!K415+ETo!L415),0)</f>
        <v>4.0377808656215093</v>
      </c>
      <c r="W416" s="170">
        <f>IF(Escenarios!$E$14&gt;0,MIN(V416*1,0.8*(Z415+R416+S416+T416+Observaciones!$F415-U416-Constantes!$E$35)),0)</f>
        <v>4.0377808656215093</v>
      </c>
      <c r="X416" s="170">
        <f>IF(Escenarios!$E$14&gt;0,Observaciones!$J415,0)</f>
        <v>0</v>
      </c>
      <c r="Y416" s="170">
        <f>IF(Escenarios!$E$14&gt;0,MAX(0,Z415+R416+S416+T416+Observaciones!$F415-U416-W416-X416-Constantes!$E$33),0)</f>
        <v>0</v>
      </c>
      <c r="Z416" s="170">
        <f>Z415+R416+S416+T416+Observaciones!$F415-U416-W416-Y416</f>
        <v>62.538062693444424</v>
      </c>
      <c r="AA416" s="170">
        <f>IF(Escenarios!$E$14&gt;0,(Escenarios!$E$13*L416+Escenarios!$E$14*W416)/(Escenarios!$E$16),L416)</f>
        <v>2.4010540400695284</v>
      </c>
      <c r="AB416" s="170">
        <f>IF(Escenarios!$E$14&gt;0,(Escenarios!$E$14*Y416)/(Escenarios!$E$16),K416)</f>
        <v>0</v>
      </c>
      <c r="AC416" s="170">
        <f>IF(Escenarios!$E$14&gt;0,(Escenarios!$E$13*M416+Escenarios!$E$14*U416)/(Escenarios!$E$16),M416)</f>
        <v>8.8069313039954245E-2</v>
      </c>
      <c r="AD416" s="76">
        <f t="shared" si="85"/>
        <v>108.15385362704841</v>
      </c>
      <c r="AE416" s="76">
        <f>MAX(0,(AD416-Constantes!$D$13)*(1-EXP(-Constantes!$D$23)))</f>
        <v>0.58532031868290524</v>
      </c>
      <c r="AF416" s="76">
        <f>AB416+O416*Escenarios!$E$13/Escenarios!$E$16+AE416</f>
        <v>1.3171855241185026</v>
      </c>
      <c r="AG416" s="76">
        <f>IF(Entradas!$E$91&gt;0,IF(AF416-Escenarios!$E$38&lt;=0,0,IF(AF416-Escenarios!$E$38&gt;Escenarios!$E$37,Escenarios!$E$37,AF416-Escenarios!$E$38)),0)</f>
        <v>0</v>
      </c>
      <c r="AH416" s="76">
        <f>AG416*Entradas!$E$99</f>
        <v>0</v>
      </c>
      <c r="AI416" s="76">
        <f>IF(Entradas!$E$91&gt;0,D416*Entradas!$D$23/Escenarios!$E$16,0)</f>
        <v>0</v>
      </c>
      <c r="AJ416" s="76">
        <f>IF(Entradas!$E$91&gt;0,Entradas!$D$24*Entradas!$D$22/Escenarios!$E$16,0)</f>
        <v>0</v>
      </c>
      <c r="AK416" s="76">
        <f t="shared" si="94"/>
        <v>2.4010540400695284</v>
      </c>
      <c r="AL416" s="76">
        <f t="shared" si="95"/>
        <v>0</v>
      </c>
      <c r="AM416" s="76">
        <f t="shared" si="86"/>
        <v>0</v>
      </c>
      <c r="AN416" s="76">
        <f>MAX(0,O416*Escenarios!$E$13/Escenarios!$E$16-AM416)</f>
        <v>0.73186520543559752</v>
      </c>
      <c r="AO416" s="76">
        <f>AM416+AN416-O416*Escenarios!$E$13/Escenarios!$E$16</f>
        <v>0</v>
      </c>
      <c r="AP416" s="76">
        <f t="shared" si="84"/>
        <v>0.58532031868290524</v>
      </c>
      <c r="AQ416" s="76">
        <f t="shared" si="87"/>
        <v>0</v>
      </c>
      <c r="AR416" s="76">
        <f t="shared" si="88"/>
        <v>1.3171855241185026</v>
      </c>
      <c r="AS416" s="76">
        <f t="shared" si="89"/>
        <v>0</v>
      </c>
      <c r="AT416" s="76">
        <f t="shared" si="90"/>
        <v>8.8069313039954245E-2</v>
      </c>
      <c r="AU416" s="76">
        <f t="shared" si="91"/>
        <v>48.75</v>
      </c>
      <c r="AV416" s="76">
        <f>MAX(0,(AU416-Constantes!$D$13)*(1-EXP(-Constantes!$D$24)))</f>
        <v>0</v>
      </c>
      <c r="AW416" s="170">
        <f>AW415+(Entradas!$E$112*AT416-AX415)/(800*Entradas!$D$25)</f>
        <v>0</v>
      </c>
      <c r="AX416" s="170">
        <f>8000*Entradas!$D$26*AW416/Constantes!$E$45</f>
        <v>0</v>
      </c>
      <c r="AY416" s="170">
        <f>IF(Escenarios!$E$17&gt;0,10*Escenarios!$E$16*AL416,0)</f>
        <v>0</v>
      </c>
      <c r="AZ416" s="170">
        <f>IF(Escenarios!$E$17&gt;0,10*Escenarios!$E$16*AX416,0)</f>
        <v>0</v>
      </c>
      <c r="BA416" s="170">
        <f>IF(Escenarios!$E$17&gt;0,0.001*Observaciones!$F415*Escenarios!$E$17,0)</f>
        <v>0</v>
      </c>
      <c r="BB416" s="170">
        <f>IF(Escenarios!$E$17&gt;0,Observaciones!$K415,0)</f>
        <v>39.792677602929452</v>
      </c>
      <c r="BC416" s="170">
        <f>IF(Escenarios!$E$17&gt;0,MIN(0.0005*ETo!$M415*Escenarios!$E$17*(BG415/Constantes!$E$40)^(2/3),BG415+AY416+AZ416+BA416+BB416),0)</f>
        <v>35.726507202450122</v>
      </c>
      <c r="BD416" s="170">
        <f>IF(Escenarios!$E$17&gt;0,MIN(Constantes!$E$39*(BG415/Constantes!$E$40)^(2/3),BG415+AY416+AZ416+BA416+BB416-BC416),0)</f>
        <v>56.966307181305339</v>
      </c>
      <c r="BE416" s="170">
        <f>IF(Escenarios!$E$17&gt;0,MIN(Entradas!$E$113,BG415+AY416+AZ416+BA416+BB416-BC416-BD416),0)</f>
        <v>1</v>
      </c>
      <c r="BF416" s="170">
        <f>IF(Escenarios!$E$17&gt;0,MAX(0,BG415+AY416+AZ416+BA416+BB416-BC416-BD416-BE416-Constantes!$E$40),0)</f>
        <v>0</v>
      </c>
      <c r="BG416" s="170">
        <f t="shared" si="96"/>
        <v>3952.0068534121478</v>
      </c>
      <c r="BH416" s="170">
        <f>(Escenarios!$E$16*AK416+0.1*BC416)/(Escenarios!$E$19)</f>
        <v>2.39617524102233</v>
      </c>
      <c r="BI416" s="170">
        <f>IF(Escenarios!$E$17&gt;0,BF416/10/Escenarios!$E$19,AL416)</f>
        <v>0</v>
      </c>
      <c r="BJ416" s="170">
        <f>(Escenarios!$E$16*AT416+0.1*BD416)/(Escenarios!$E$19)</f>
        <v>0.10997602769094879</v>
      </c>
      <c r="BK416" s="76">
        <f>BK415+(0.1*BD416)/(Escenarios!$E$19)-BL415</f>
        <v>50.047681442586807</v>
      </c>
      <c r="BL416" s="76">
        <f>MAX(0,(BK416-Constantes!$D$13)*(1-EXP(-Constantes!$D$23)))</f>
        <v>1.278636433744681E-2</v>
      </c>
      <c r="BM416" s="76">
        <f t="shared" si="92"/>
        <v>0.59810668302035208</v>
      </c>
      <c r="BN416" s="76">
        <f t="shared" si="97"/>
        <v>1.3299718884559495</v>
      </c>
      <c r="BO416" s="76">
        <f>0.0526*BI416*Observaciones!$F415^1.218</f>
        <v>0</v>
      </c>
      <c r="BP416" s="76">
        <f>BO416*Constantes!$E$51</f>
        <v>0</v>
      </c>
      <c r="BQ416" s="76">
        <f t="shared" si="93"/>
        <v>0</v>
      </c>
      <c r="BR416" s="40"/>
    </row>
    <row r="417" spans="1:70">
      <c r="A417" s="147"/>
      <c r="B417" s="39"/>
      <c r="C417" s="75">
        <v>411</v>
      </c>
      <c r="D417" s="146">
        <f>ETo!$I416*((1-Constantes!$E$19)*ETo!$K416+ETo!$L416)</f>
        <v>4.4450322827294553</v>
      </c>
      <c r="E417" s="76">
        <f>MIN(D417*Constantes!$E$17,0.8*(N416+Observaciones!$F416-F417-M417-Constantes!$D$14))</f>
        <v>2.1732310149405283</v>
      </c>
      <c r="F417" s="76">
        <f>IF(Observaciones!$F416&gt;0.05*Constantes!$E$18,((Observaciones!$F416-0.05*Constantes!$E$18)^2)/(Observaciones!$F416+0.95*Constantes!$E$18),0)</f>
        <v>0</v>
      </c>
      <c r="G417" s="76">
        <f>IF(Escenarios!$E$11&gt;0,(F417*Escenarios!$E$16*10000)/1000,0)</f>
        <v>0</v>
      </c>
      <c r="H417" s="76">
        <f>IF(Escenarios!$E$11&gt;0,(Observaciones!$F416*Constantes!$E$29)/1000,0)</f>
        <v>17</v>
      </c>
      <c r="I417" s="76">
        <f>IF(Escenarios!$E$11&gt;0,(D417*Constantes!$E$29)/1000,0)</f>
        <v>44.450322827294556</v>
      </c>
      <c r="J417" s="76">
        <f>IF(Escenarios!$E$11&gt;0,MAX(0,G417+H417-I417),0)</f>
        <v>0</v>
      </c>
      <c r="K417" s="76">
        <f>IF(Escenarios!$E$11&gt;0,IF(J417&gt;Constantes!$E$30,1000*((J417-Constantes!$E$30)/(Escenarios!$E$16*10000)),0),F417)</f>
        <v>0</v>
      </c>
      <c r="L417" s="76">
        <f>IF(Escenarios!$E$11&gt;0,I417*1000/Escenarios!$E$16/10000+E417,E417)</f>
        <v>2.1910111440714459</v>
      </c>
      <c r="M417" s="76">
        <f>MAX(0,N416+Observaciones!$F416-K417-Constantes!$D$13)</f>
        <v>0</v>
      </c>
      <c r="N417" s="76">
        <f>N416+Observaciones!$F416-K417-L417-M417-O416</f>
        <v>34.342337849326825</v>
      </c>
      <c r="O417" s="76">
        <f>MAX(0,(N417-Constantes!$D$14)*(1-EXP(-Constantes!$D$22)))</f>
        <v>0.78660980085580734</v>
      </c>
      <c r="P417" s="170">
        <f>P416+(Entradas!$E$83*M417-Q416)/(800*Entradas!$D$25)</f>
        <v>0</v>
      </c>
      <c r="Q417" s="170">
        <f>8000*Entradas!$D$26*P417/Constantes!$E$45</f>
        <v>0</v>
      </c>
      <c r="R417" s="170">
        <f>IF(Escenarios!$E$14&gt;0,K417*Escenarios!$E$13/Escenarios!$E$14,0)</f>
        <v>0</v>
      </c>
      <c r="S417" s="170">
        <f>IF(Escenarios!$E$14&gt;0,Q417*Escenarios!$E$13/Escenarios!$E$14,0)</f>
        <v>0</v>
      </c>
      <c r="T417" s="170">
        <f>IF(Escenarios!$E$14&gt;0,Observaciones!$I416,0)</f>
        <v>0</v>
      </c>
      <c r="U417" s="170">
        <f>IF(Escenarios!$E$14&gt;0,MAX(0,Constantes!$E$36/((Z416+R417+S417+T417+Observaciones!$F416)^2)+Entradas!$E$77),0)</f>
        <v>0.51201294117595131</v>
      </c>
      <c r="V417" s="146">
        <f>IF(ETo!D416&gt;0,ETo!I416*((1-Entradas!$E$81)*ETo!K416+ETo!L416),0)</f>
        <v>4.0624726072972264</v>
      </c>
      <c r="W417" s="170">
        <f>IF(Escenarios!$E$14&gt;0,MIN(V417*1,0.8*(Z416+R417+S417+T417+Observaciones!$F416-U417-Constantes!$E$35)),0)</f>
        <v>4.0624726072972264</v>
      </c>
      <c r="X417" s="170">
        <f>IF(Escenarios!$E$14&gt;0,Observaciones!$J416,0)</f>
        <v>0</v>
      </c>
      <c r="Y417" s="170">
        <f>IF(Escenarios!$E$14&gt;0,MAX(0,Z416+R417+S417+T417+Observaciones!$F416-U417-W417-X417-Constantes!$E$33),0)</f>
        <v>0</v>
      </c>
      <c r="Z417" s="170">
        <f>Z416+R417+S417+T417+Observaciones!$F416-U417-W417-Y417</f>
        <v>59.663577144971242</v>
      </c>
      <c r="AA417" s="170">
        <f>IF(Escenarios!$E$14&gt;0,(Escenarios!$E$13*L417+Escenarios!$E$14*W417)/(Escenarios!$E$16),L417)</f>
        <v>2.4155865196585395</v>
      </c>
      <c r="AB417" s="170">
        <f>IF(Escenarios!$E$14&gt;0,(Escenarios!$E$14*Y417)/(Escenarios!$E$16),K417)</f>
        <v>0</v>
      </c>
      <c r="AC417" s="170">
        <f>IF(Escenarios!$E$14&gt;0,(Escenarios!$E$13*M417+Escenarios!$E$14*U417)/(Escenarios!$E$16),M417)</f>
        <v>6.1441552941114155E-2</v>
      </c>
      <c r="AD417" s="76">
        <f t="shared" si="85"/>
        <v>107.62997486130662</v>
      </c>
      <c r="AE417" s="76">
        <f>MAX(0,(AD417-Constantes!$D$13)*(1-EXP(-Constantes!$D$23)))</f>
        <v>0.58015841642585086</v>
      </c>
      <c r="AF417" s="76">
        <f>AB417+O417*Escenarios!$E$13/Escenarios!$E$16+AE417</f>
        <v>1.2723750411789614</v>
      </c>
      <c r="AG417" s="76">
        <f>IF(Entradas!$E$91&gt;0,IF(AF417-Escenarios!$E$38&lt;=0,0,IF(AF417-Escenarios!$E$38&gt;Escenarios!$E$37,Escenarios!$E$37,AF417-Escenarios!$E$38)),0)</f>
        <v>0</v>
      </c>
      <c r="AH417" s="76">
        <f>AG417*Entradas!$E$99</f>
        <v>0</v>
      </c>
      <c r="AI417" s="76">
        <f>IF(Entradas!$E$91&gt;0,D417*Entradas!$D$23/Escenarios!$E$16,0)</f>
        <v>0</v>
      </c>
      <c r="AJ417" s="76">
        <f>IF(Entradas!$E$91&gt;0,Entradas!$D$24*Entradas!$D$22/Escenarios!$E$16,0)</f>
        <v>0</v>
      </c>
      <c r="AK417" s="76">
        <f t="shared" si="94"/>
        <v>2.4155865196585395</v>
      </c>
      <c r="AL417" s="76">
        <f t="shared" si="95"/>
        <v>0</v>
      </c>
      <c r="AM417" s="76">
        <f t="shared" si="86"/>
        <v>0</v>
      </c>
      <c r="AN417" s="76">
        <f>MAX(0,O417*Escenarios!$E$13/Escenarios!$E$16-AM417)</f>
        <v>0.69221662475311041</v>
      </c>
      <c r="AO417" s="76">
        <f>AM417+AN417-O417*Escenarios!$E$13/Escenarios!$E$16</f>
        <v>0</v>
      </c>
      <c r="AP417" s="76">
        <f t="shared" si="84"/>
        <v>0.58015841642585086</v>
      </c>
      <c r="AQ417" s="76">
        <f t="shared" si="87"/>
        <v>0</v>
      </c>
      <c r="AR417" s="76">
        <f t="shared" si="88"/>
        <v>1.2723750411789614</v>
      </c>
      <c r="AS417" s="76">
        <f t="shared" si="89"/>
        <v>0</v>
      </c>
      <c r="AT417" s="76">
        <f t="shared" si="90"/>
        <v>6.1441552941114155E-2</v>
      </c>
      <c r="AU417" s="76">
        <f t="shared" si="91"/>
        <v>48.75</v>
      </c>
      <c r="AV417" s="76">
        <f>MAX(0,(AU417-Constantes!$D$13)*(1-EXP(-Constantes!$D$24)))</f>
        <v>0</v>
      </c>
      <c r="AW417" s="170">
        <f>AW416+(Entradas!$E$112*AT417-AX416)/(800*Entradas!$D$25)</f>
        <v>0</v>
      </c>
      <c r="AX417" s="170">
        <f>8000*Entradas!$D$26*AW417/Constantes!$E$45</f>
        <v>0</v>
      </c>
      <c r="AY417" s="170">
        <f>IF(Escenarios!$E$17&gt;0,10*Escenarios!$E$16*AL417,0)</f>
        <v>0</v>
      </c>
      <c r="AZ417" s="170">
        <f>IF(Escenarios!$E$17&gt;0,10*Escenarios!$E$16*AX417,0)</f>
        <v>0</v>
      </c>
      <c r="BA417" s="170">
        <f>IF(Escenarios!$E$17&gt;0,0.001*Observaciones!$F416*Escenarios!$E$17,0)</f>
        <v>34</v>
      </c>
      <c r="BB417" s="170">
        <f>IF(Escenarios!$E$17&gt;0,Observaciones!$K416,0)</f>
        <v>134.4068951621245</v>
      </c>
      <c r="BC417" s="170">
        <f>IF(Escenarios!$E$17&gt;0,MIN(0.0005*ETo!$M416*Escenarios!$E$17*(BG416/Constantes!$E$40)^(2/3),BG416+AY417+AZ417+BA417+BB417),0)</f>
        <v>35.615526758529825</v>
      </c>
      <c r="BD417" s="170">
        <f>IF(Escenarios!$E$17&gt;0,MIN(Constantes!$E$39*(BG416/Constantes!$E$40)^(2/3),BG416+AY417+AZ417+BA417+BB417-BC417),0)</f>
        <v>56.454160340616035</v>
      </c>
      <c r="BE417" s="170">
        <f>IF(Escenarios!$E$17&gt;0,MIN(Entradas!$E$113,BG416+AY417+AZ417+BA417+BB417-BC417-BD417),0)</f>
        <v>1</v>
      </c>
      <c r="BF417" s="170">
        <f>IF(Escenarios!$E$17&gt;0,MAX(0,BG416+AY417+AZ417+BA417+BB417-BC417-BD417-BE417-Constantes!$E$40),0)</f>
        <v>0</v>
      </c>
      <c r="BG417" s="170">
        <f t="shared" si="96"/>
        <v>4027.3440614751262</v>
      </c>
      <c r="BH417" s="170">
        <f>(Escenarios!$E$16*AK417+0.1*BC417)/(Escenarios!$E$19)</f>
        <v>2.4105483436130473</v>
      </c>
      <c r="BI417" s="170">
        <f>IF(Escenarios!$E$17&gt;0,BF417/10/Escenarios!$E$19,AL417)</f>
        <v>0</v>
      </c>
      <c r="BJ417" s="170">
        <f>(Escenarios!$E$16*AT417+0.1*BD417)/(Escenarios!$E$19)</f>
        <v>8.3356366148175168E-2</v>
      </c>
      <c r="BK417" s="76">
        <f>BK416+(0.1*BD417)/(Escenarios!$E$19)-BL416</f>
        <v>50.057297522828975</v>
      </c>
      <c r="BL417" s="76">
        <f>MAX(0,(BK417-Constantes!$D$13)*(1-EXP(-Constantes!$D$23)))</f>
        <v>1.2881113866444761E-2</v>
      </c>
      <c r="BM417" s="76">
        <f t="shared" si="92"/>
        <v>0.59303953029229561</v>
      </c>
      <c r="BN417" s="76">
        <f t="shared" si="97"/>
        <v>1.2852561550454062</v>
      </c>
      <c r="BO417" s="76">
        <f>0.0526*BI417*Observaciones!$F416^1.218</f>
        <v>0</v>
      </c>
      <c r="BP417" s="76">
        <f>BO417*Constantes!$E$51</f>
        <v>0</v>
      </c>
      <c r="BQ417" s="76">
        <f t="shared" si="93"/>
        <v>0</v>
      </c>
      <c r="BR417" s="40"/>
    </row>
    <row r="418" spans="1:70">
      <c r="A418" s="147"/>
      <c r="B418" s="39"/>
      <c r="C418" s="75">
        <v>412</v>
      </c>
      <c r="D418" s="146">
        <f>ETo!$I417*((1-Constantes!$E$19)*ETo!$K417+ETo!$L417)</f>
        <v>4.4087210929749636</v>
      </c>
      <c r="E418" s="76">
        <f>MIN(D418*Constantes!$E$17,0.8*(N417+Observaciones!$F417-F418-M418-Constantes!$D$14))</f>
        <v>2.1554780271679861</v>
      </c>
      <c r="F418" s="76">
        <f>IF(Observaciones!$F417&gt;0.05*Constantes!$E$18,((Observaciones!$F417-0.05*Constantes!$E$18)^2)/(Observaciones!$F417+0.95*Constantes!$E$18),0)</f>
        <v>1.1259330053080276</v>
      </c>
      <c r="G418" s="76">
        <f>IF(Escenarios!$E$11&gt;0,(F418*Escenarios!$E$16*10000)/1000,0)</f>
        <v>2814.8325132700688</v>
      </c>
      <c r="H418" s="76">
        <f>IF(Escenarios!$E$11&gt;0,(Observaciones!$F417*Constantes!$E$29)/1000,0)</f>
        <v>181</v>
      </c>
      <c r="I418" s="76">
        <f>IF(Escenarios!$E$11&gt;0,(D418*Constantes!$E$29)/1000,0)</f>
        <v>44.087210929749638</v>
      </c>
      <c r="J418" s="76">
        <f>IF(Escenarios!$E$11&gt;0,MAX(0,G418+H418-I418),0)</f>
        <v>2951.7453023403191</v>
      </c>
      <c r="K418" s="76">
        <f>IF(Escenarios!$E$11&gt;0,IF(J418&gt;Constantes!$E$30,1000*((J418-Constantes!$E$30)/(Escenarios!$E$16*10000)),0),F418)</f>
        <v>0.66599223858318646</v>
      </c>
      <c r="L418" s="76">
        <f>IF(Escenarios!$E$11&gt;0,I418*1000/Escenarios!$E$16/10000+E418,E418)</f>
        <v>2.1731129115398859</v>
      </c>
      <c r="M418" s="76">
        <f>MAX(0,N417+Observaciones!$F417-K418-Constantes!$D$13)</f>
        <v>3.0263456107436397</v>
      </c>
      <c r="N418" s="76">
        <f>N417+Observaciones!$F417-K418-L418-M418-O417</f>
        <v>45.790277287604304</v>
      </c>
      <c r="O418" s="76">
        <f>MAX(0,(N418-Constantes!$D$14)*(1-EXP(-Constantes!$D$22)))</f>
        <v>1.1765686443695793</v>
      </c>
      <c r="P418" s="170">
        <f>P417+(Entradas!$E$83*M418-Q417)/(800*Entradas!$D$25)</f>
        <v>0</v>
      </c>
      <c r="Q418" s="170">
        <f>8000*Entradas!$D$26*P418/Constantes!$E$45</f>
        <v>0</v>
      </c>
      <c r="R418" s="170">
        <f>IF(Escenarios!$E$14&gt;0,K418*Escenarios!$E$13/Escenarios!$E$14,0)</f>
        <v>4.8839430829433672</v>
      </c>
      <c r="S418" s="170">
        <f>IF(Escenarios!$E$14&gt;0,Q418*Escenarios!$E$13/Escenarios!$E$14,0)</f>
        <v>0</v>
      </c>
      <c r="T418" s="170">
        <f>IF(Escenarios!$E$14&gt;0,Observaciones!$I417,0)</f>
        <v>0</v>
      </c>
      <c r="U418" s="170">
        <f>IF(Escenarios!$E$14&gt;0,MAX(0,Constantes!$E$36/((Z417+R418+S418+T418+Observaciones!$F417)^2)+Entradas!$E$77),0)</f>
        <v>1.4969503320587665</v>
      </c>
      <c r="V418" s="146">
        <f>IF(ETo!D417&gt;0,ETo!I417*((1-Entradas!$E$81)*ETo!K417+ETo!L417),0)</f>
        <v>4.0287557270435403</v>
      </c>
      <c r="W418" s="170">
        <f>IF(Escenarios!$E$14&gt;0,MIN(V418*1,0.8*(Z417+R418+S418+T418+Observaciones!$F417-U418-Constantes!$E$35)),0)</f>
        <v>4.0287557270435403</v>
      </c>
      <c r="X418" s="170">
        <f>IF(Escenarios!$E$14&gt;0,Observaciones!$J417,0)</f>
        <v>0</v>
      </c>
      <c r="Y418" s="170">
        <f>IF(Escenarios!$E$14&gt;0,MAX(0,Z417+R418+S418+T418+Observaciones!$F417-U418-W418-X418-Constantes!$E$33),0)</f>
        <v>0</v>
      </c>
      <c r="Z418" s="170">
        <f>Z417+R418+S418+T418+Observaciones!$F417-U418-W418-Y418</f>
        <v>77.121814168812293</v>
      </c>
      <c r="AA418" s="170">
        <f>IF(Escenarios!$E$14&gt;0,(Escenarios!$E$13*L418+Escenarios!$E$14*W418)/(Escenarios!$E$16),L418)</f>
        <v>2.3957900494003246</v>
      </c>
      <c r="AB418" s="170">
        <f>IF(Escenarios!$E$14&gt;0,(Escenarios!$E$14*Y418)/(Escenarios!$E$16),K418)</f>
        <v>0</v>
      </c>
      <c r="AC418" s="170">
        <f>IF(Escenarios!$E$14&gt;0,(Escenarios!$E$13*M418+Escenarios!$E$14*U418)/(Escenarios!$E$16),M418)</f>
        <v>2.8428181773014547</v>
      </c>
      <c r="AD418" s="76">
        <f t="shared" si="85"/>
        <v>109.89263462218223</v>
      </c>
      <c r="AE418" s="76">
        <f>MAX(0,(AD418-Constantes!$D$13)*(1-EXP(-Constantes!$D$23)))</f>
        <v>0.60245294197332588</v>
      </c>
      <c r="AF418" s="76">
        <f>AB418+O418*Escenarios!$E$13/Escenarios!$E$16+AE418</f>
        <v>1.6378333490185555</v>
      </c>
      <c r="AG418" s="76">
        <f>IF(Entradas!$E$91&gt;0,IF(AF418-Escenarios!$E$38&lt;=0,0,IF(AF418-Escenarios!$E$38&gt;Escenarios!$E$37,Escenarios!$E$37,AF418-Escenarios!$E$38)),0)</f>
        <v>0</v>
      </c>
      <c r="AH418" s="76">
        <f>AG418*Entradas!$E$99</f>
        <v>0</v>
      </c>
      <c r="AI418" s="76">
        <f>IF(Entradas!$E$91&gt;0,D418*Entradas!$D$23/Escenarios!$E$16,0)</f>
        <v>0</v>
      </c>
      <c r="AJ418" s="76">
        <f>IF(Entradas!$E$91&gt;0,Entradas!$D$24*Entradas!$D$22/Escenarios!$E$16,0)</f>
        <v>0</v>
      </c>
      <c r="AK418" s="76">
        <f t="shared" si="94"/>
        <v>2.3957900494003246</v>
      </c>
      <c r="AL418" s="76">
        <f t="shared" si="95"/>
        <v>0</v>
      </c>
      <c r="AM418" s="76">
        <f t="shared" si="86"/>
        <v>0</v>
      </c>
      <c r="AN418" s="76">
        <f>MAX(0,O418*Escenarios!$E$13/Escenarios!$E$16-AM418)</f>
        <v>1.0353804070452297</v>
      </c>
      <c r="AO418" s="76">
        <f>AM418+AN418-O418*Escenarios!$E$13/Escenarios!$E$16</f>
        <v>0</v>
      </c>
      <c r="AP418" s="76">
        <f t="shared" si="84"/>
        <v>0.60245294197332588</v>
      </c>
      <c r="AQ418" s="76">
        <f t="shared" si="87"/>
        <v>0</v>
      </c>
      <c r="AR418" s="76">
        <f t="shared" si="88"/>
        <v>1.6378333490185555</v>
      </c>
      <c r="AS418" s="76">
        <f t="shared" si="89"/>
        <v>0</v>
      </c>
      <c r="AT418" s="76">
        <f t="shared" si="90"/>
        <v>2.8428181773014547</v>
      </c>
      <c r="AU418" s="76">
        <f t="shared" si="91"/>
        <v>48.75</v>
      </c>
      <c r="AV418" s="76">
        <f>MAX(0,(AU418-Constantes!$D$13)*(1-EXP(-Constantes!$D$24)))</f>
        <v>0</v>
      </c>
      <c r="AW418" s="170">
        <f>AW417+(Entradas!$E$112*AT418-AX417)/(800*Entradas!$D$25)</f>
        <v>0</v>
      </c>
      <c r="AX418" s="170">
        <f>8000*Entradas!$D$26*AW418/Constantes!$E$45</f>
        <v>0</v>
      </c>
      <c r="AY418" s="170">
        <f>IF(Escenarios!$E$17&gt;0,10*Escenarios!$E$16*AL418,0)</f>
        <v>0</v>
      </c>
      <c r="AZ418" s="170">
        <f>IF(Escenarios!$E$17&gt;0,10*Escenarios!$E$16*AX418,0)</f>
        <v>0</v>
      </c>
      <c r="BA418" s="170">
        <f>IF(Escenarios!$E$17&gt;0,0.001*Observaciones!$F417*Escenarios!$E$17,0)</f>
        <v>362.00000000000006</v>
      </c>
      <c r="BB418" s="170">
        <f>IF(Escenarios!$E$17&gt;0,Observaciones!$K417,0)</f>
        <v>0</v>
      </c>
      <c r="BC418" s="170">
        <f>IF(Escenarios!$E$17&gt;0,MIN(0.0005*ETo!$M417*Escenarios!$E$17*(BG417/Constantes!$E$40)^(2/3),BG417+AY418+AZ418+BA418+BB418),0)</f>
        <v>35.778069024648595</v>
      </c>
      <c r="BD418" s="170">
        <f>IF(Escenarios!$E$17&gt;0,MIN(Constantes!$E$39*(BG417/Constantes!$E$40)^(2/3),BG417+AY418+AZ418+BA418+BB418-BC418),0)</f>
        <v>57.169358025994832</v>
      </c>
      <c r="BE418" s="170">
        <f>IF(Escenarios!$E$17&gt;0,MIN(Entradas!$E$113,BG417+AY418+AZ418+BA418+BB418-BC418-BD418),0)</f>
        <v>1</v>
      </c>
      <c r="BF418" s="170">
        <f>IF(Escenarios!$E$17&gt;0,MAX(0,BG417+AY418+AZ418+BA418+BB418-BC418-BD418-BE418-Constantes!$E$40),0)</f>
        <v>0</v>
      </c>
      <c r="BG418" s="170">
        <f t="shared" si="96"/>
        <v>4295.3966344244827</v>
      </c>
      <c r="BH418" s="170">
        <f>(Escenarios!$E$16*AK418+0.1*BC418)/(Escenarios!$E$19)</f>
        <v>2.390973489097405</v>
      </c>
      <c r="BI418" s="170">
        <f>IF(Escenarios!$E$17&gt;0,BF418/10/Escenarios!$E$19,AL418)</f>
        <v>0</v>
      </c>
      <c r="BJ418" s="170">
        <f>(Escenarios!$E$16*AT418+0.1*BD418)/(Escenarios!$E$19)</f>
        <v>2.8429423814601713</v>
      </c>
      <c r="BK418" s="76">
        <f>BK417+(0.1*BD418)/(Escenarios!$E$19)-BL417</f>
        <v>50.067102662147455</v>
      </c>
      <c r="BL418" s="76">
        <f>MAX(0,(BK418-Constantes!$D$13)*(1-EXP(-Constantes!$D$23)))</f>
        <v>1.2977726239551983E-2</v>
      </c>
      <c r="BM418" s="76">
        <f t="shared" si="92"/>
        <v>0.61543066821287784</v>
      </c>
      <c r="BN418" s="76">
        <f t="shared" si="97"/>
        <v>1.6508110752581076</v>
      </c>
      <c r="BO418" s="76">
        <f>0.0526*BI418*Observaciones!$F417^1.218</f>
        <v>0</v>
      </c>
      <c r="BP418" s="76">
        <f>BO418*Constantes!$E$51</f>
        <v>0</v>
      </c>
      <c r="BQ418" s="76">
        <f t="shared" si="93"/>
        <v>0</v>
      </c>
      <c r="BR418" s="40"/>
    </row>
    <row r="419" spans="1:70">
      <c r="A419" s="147"/>
      <c r="B419" s="39"/>
      <c r="C419" s="75">
        <v>413</v>
      </c>
      <c r="D419" s="146">
        <f>ETo!$I418*((1-Constantes!$E$19)*ETo!$K418+ETo!$L418)</f>
        <v>4.4080244931766703</v>
      </c>
      <c r="E419" s="76">
        <f>MIN(D419*Constantes!$E$17,0.8*(N418+Observaciones!$F418-F419-M419-Constantes!$D$14))</f>
        <v>2.1551374509493306</v>
      </c>
      <c r="F419" s="76">
        <f>IF(Observaciones!$F418&gt;0.05*Constantes!$E$18,((Observaciones!$F418-0.05*Constantes!$E$18)^2)/(Observaciones!$F418+0.95*Constantes!$E$18),0)</f>
        <v>0</v>
      </c>
      <c r="G419" s="76">
        <f>IF(Escenarios!$E$11&gt;0,(F419*Escenarios!$E$16*10000)/1000,0)</f>
        <v>0</v>
      </c>
      <c r="H419" s="76">
        <f>IF(Escenarios!$E$11&gt;0,(Observaciones!$F418*Constantes!$E$29)/1000,0)</f>
        <v>14</v>
      </c>
      <c r="I419" s="76">
        <f>IF(Escenarios!$E$11&gt;0,(D419*Constantes!$E$29)/1000,0)</f>
        <v>44.080244931766707</v>
      </c>
      <c r="J419" s="76">
        <f>IF(Escenarios!$E$11&gt;0,MAX(0,G419+H419-I419),0)</f>
        <v>0</v>
      </c>
      <c r="K419" s="76">
        <f>IF(Escenarios!$E$11&gt;0,IF(J419&gt;Constantes!$E$30,1000*((J419-Constantes!$E$30)/(Escenarios!$E$16*10000)),0),F419)</f>
        <v>0</v>
      </c>
      <c r="L419" s="76">
        <f>IF(Escenarios!$E$11&gt;0,I419*1000/Escenarios!$E$16/10000+E419,E419)</f>
        <v>2.1727695489220373</v>
      </c>
      <c r="M419" s="76">
        <f>MAX(0,N418+Observaciones!$F418-K419-Constantes!$D$13)</f>
        <v>0</v>
      </c>
      <c r="N419" s="76">
        <f>N418+Observaciones!$F418-K419-L419-M419-O418</f>
        <v>43.840939094312688</v>
      </c>
      <c r="O419" s="76">
        <f>MAX(0,(N419-Constantes!$D$14)*(1-EXP(-Constantes!$D$22)))</f>
        <v>1.1101670293390578</v>
      </c>
      <c r="P419" s="170">
        <f>P418+(Entradas!$E$83*M419-Q418)/(800*Entradas!$D$25)</f>
        <v>0</v>
      </c>
      <c r="Q419" s="170">
        <f>8000*Entradas!$D$26*P419/Constantes!$E$45</f>
        <v>0</v>
      </c>
      <c r="R419" s="170">
        <f>IF(Escenarios!$E$14&gt;0,K419*Escenarios!$E$13/Escenarios!$E$14,0)</f>
        <v>0</v>
      </c>
      <c r="S419" s="170">
        <f>IF(Escenarios!$E$14&gt;0,Q419*Escenarios!$E$13/Escenarios!$E$14,0)</f>
        <v>0</v>
      </c>
      <c r="T419" s="170">
        <f>IF(Escenarios!$E$14&gt;0,Observaciones!$I418,0)</f>
        <v>0</v>
      </c>
      <c r="U419" s="170">
        <f>IF(Escenarios!$E$14&gt;0,MAX(0,Constantes!$E$36/((Z418+R419+S419+T419+Observaciones!$F418)^2)+Entradas!$E$77),0)</f>
        <v>1.3348539292365813</v>
      </c>
      <c r="V419" s="146">
        <f>IF(ETo!D418&gt;0,ETo!I418*((1-Entradas!$E$81)*ETo!K418+ETo!L418),0)</f>
        <v>4.0280617435380126</v>
      </c>
      <c r="W419" s="170">
        <f>IF(Escenarios!$E$14&gt;0,MIN(V419*1,0.8*(Z418+R419+S419+T419+Observaciones!$F418-U419-Constantes!$E$35)),0)</f>
        <v>4.0280617435380126</v>
      </c>
      <c r="X419" s="170">
        <f>IF(Escenarios!$E$14&gt;0,Observaciones!$J418,0)</f>
        <v>0</v>
      </c>
      <c r="Y419" s="170">
        <f>IF(Escenarios!$E$14&gt;0,MAX(0,Z418+R419+S419+T419+Observaciones!$F418-U419-W419-X419-Constantes!$E$33),0)</f>
        <v>0</v>
      </c>
      <c r="Z419" s="170">
        <f>Z418+R419+S419+T419+Observaciones!$F418-U419-W419-Y419</f>
        <v>73.158898496037693</v>
      </c>
      <c r="AA419" s="170">
        <f>IF(Escenarios!$E$14&gt;0,(Escenarios!$E$13*L419+Escenarios!$E$14*W419)/(Escenarios!$E$16),L419)</f>
        <v>2.3954046122759545</v>
      </c>
      <c r="AB419" s="170">
        <f>IF(Escenarios!$E$14&gt;0,(Escenarios!$E$14*Y419)/(Escenarios!$E$16),K419)</f>
        <v>0</v>
      </c>
      <c r="AC419" s="170">
        <f>IF(Escenarios!$E$14&gt;0,(Escenarios!$E$13*M419+Escenarios!$E$14*U419)/(Escenarios!$E$16),M419)</f>
        <v>0.16018247150838977</v>
      </c>
      <c r="AD419" s="76">
        <f t="shared" si="85"/>
        <v>109.4503641517173</v>
      </c>
      <c r="AE419" s="76">
        <f>MAX(0,(AD419-Constantes!$D$13)*(1-EXP(-Constantes!$D$23)))</f>
        <v>0.59809514568721589</v>
      </c>
      <c r="AF419" s="76">
        <f>AB419+O419*Escenarios!$E$13/Escenarios!$E$16+AE419</f>
        <v>1.5750421315055867</v>
      </c>
      <c r="AG419" s="76">
        <f>IF(Entradas!$E$91&gt;0,IF(AF419-Escenarios!$E$38&lt;=0,0,IF(AF419-Escenarios!$E$38&gt;Escenarios!$E$37,Escenarios!$E$37,AF419-Escenarios!$E$38)),0)</f>
        <v>0</v>
      </c>
      <c r="AH419" s="76">
        <f>AG419*Entradas!$E$99</f>
        <v>0</v>
      </c>
      <c r="AI419" s="76">
        <f>IF(Entradas!$E$91&gt;0,D419*Entradas!$D$23/Escenarios!$E$16,0)</f>
        <v>0</v>
      </c>
      <c r="AJ419" s="76">
        <f>IF(Entradas!$E$91&gt;0,Entradas!$D$24*Entradas!$D$22/Escenarios!$E$16,0)</f>
        <v>0</v>
      </c>
      <c r="AK419" s="76">
        <f t="shared" si="94"/>
        <v>2.3954046122759545</v>
      </c>
      <c r="AL419" s="76">
        <f t="shared" si="95"/>
        <v>0</v>
      </c>
      <c r="AM419" s="76">
        <f t="shared" si="86"/>
        <v>0</v>
      </c>
      <c r="AN419" s="76">
        <f>MAX(0,O419*Escenarios!$E$13/Escenarios!$E$16-AM419)</f>
        <v>0.97694698581837092</v>
      </c>
      <c r="AO419" s="76">
        <f>AM419+AN419-O419*Escenarios!$E$13/Escenarios!$E$16</f>
        <v>0</v>
      </c>
      <c r="AP419" s="76">
        <f t="shared" si="84"/>
        <v>0.59809514568721589</v>
      </c>
      <c r="AQ419" s="76">
        <f t="shared" si="87"/>
        <v>0</v>
      </c>
      <c r="AR419" s="76">
        <f t="shared" si="88"/>
        <v>1.5750421315055867</v>
      </c>
      <c r="AS419" s="76">
        <f t="shared" si="89"/>
        <v>0</v>
      </c>
      <c r="AT419" s="76">
        <f t="shared" si="90"/>
        <v>0.16018247150838977</v>
      </c>
      <c r="AU419" s="76">
        <f t="shared" si="91"/>
        <v>48.75</v>
      </c>
      <c r="AV419" s="76">
        <f>MAX(0,(AU419-Constantes!$D$13)*(1-EXP(-Constantes!$D$24)))</f>
        <v>0</v>
      </c>
      <c r="AW419" s="170">
        <f>AW418+(Entradas!$E$112*AT419-AX418)/(800*Entradas!$D$25)</f>
        <v>0</v>
      </c>
      <c r="AX419" s="170">
        <f>8000*Entradas!$D$26*AW419/Constantes!$E$45</f>
        <v>0</v>
      </c>
      <c r="AY419" s="170">
        <f>IF(Escenarios!$E$17&gt;0,10*Escenarios!$E$16*AL419,0)</f>
        <v>0</v>
      </c>
      <c r="AZ419" s="170">
        <f>IF(Escenarios!$E$17&gt;0,10*Escenarios!$E$16*AX419,0)</f>
        <v>0</v>
      </c>
      <c r="BA419" s="170">
        <f>IF(Escenarios!$E$17&gt;0,0.001*Observaciones!$F418*Escenarios!$E$17,0)</f>
        <v>28</v>
      </c>
      <c r="BB419" s="170">
        <f>IF(Escenarios!$E$17&gt;0,Observaciones!$K418,0)</f>
        <v>9.8238347283588343</v>
      </c>
      <c r="BC419" s="170">
        <f>IF(Escenarios!$E$17&gt;0,MIN(0.0005*ETo!$M418*Escenarios!$E$17*(BG418/Constantes!$E$40)^(2/3),BG418+AY419+AZ419+BA419+BB419),0)</f>
        <v>37.343280730985697</v>
      </c>
      <c r="BD419" s="170">
        <f>IF(Escenarios!$E$17&gt;0,MIN(Constantes!$E$39*(BG418/Constantes!$E$40)^(2/3),BG418+AY419+AZ419+BA419+BB419-BC419),0)</f>
        <v>59.678744043607679</v>
      </c>
      <c r="BE419" s="170">
        <f>IF(Escenarios!$E$17&gt;0,MIN(Entradas!$E$113,BG418+AY419+AZ419+BA419+BB419-BC419-BD419),0)</f>
        <v>1</v>
      </c>
      <c r="BF419" s="170">
        <f>IF(Escenarios!$E$17&gt;0,MAX(0,BG418+AY419+AZ419+BA419+BB419-BC419-BD419-BE419-Constantes!$E$40),0)</f>
        <v>0</v>
      </c>
      <c r="BG419" s="170">
        <f t="shared" si="96"/>
        <v>4235.1984443782485</v>
      </c>
      <c r="BH419" s="170">
        <f>(Escenarios!$E$16*AK419+0.1*BC419)/(Escenarios!$E$19)</f>
        <v>2.3912122267543143</v>
      </c>
      <c r="BI419" s="170">
        <f>IF(Escenarios!$E$17&gt;0,BF419/10/Escenarios!$E$19,AL419)</f>
        <v>0</v>
      </c>
      <c r="BJ419" s="170">
        <f>(Escenarios!$E$16*AT419+0.1*BD419)/(Escenarios!$E$19)</f>
        <v>0.1825932233391199</v>
      </c>
      <c r="BK419" s="76">
        <f>BK418+(0.1*BD419)/(Escenarios!$E$19)-BL418</f>
        <v>50.077806977195046</v>
      </c>
      <c r="BL419" s="76">
        <f>MAX(0,(BK419-Constantes!$D$13)*(1-EXP(-Constantes!$D$23)))</f>
        <v>1.3083198405285098E-2</v>
      </c>
      <c r="BM419" s="76">
        <f t="shared" si="92"/>
        <v>0.61117834409250094</v>
      </c>
      <c r="BN419" s="76">
        <f t="shared" si="97"/>
        <v>1.5881253299108717</v>
      </c>
      <c r="BO419" s="76">
        <f>0.0526*BI419*Observaciones!$F418^1.218</f>
        <v>0</v>
      </c>
      <c r="BP419" s="76">
        <f>BO419*Constantes!$E$51</f>
        <v>0</v>
      </c>
      <c r="BQ419" s="76">
        <f t="shared" si="93"/>
        <v>0</v>
      </c>
      <c r="BR419" s="40"/>
    </row>
    <row r="420" spans="1:70">
      <c r="A420" s="147"/>
      <c r="B420" s="39"/>
      <c r="C420" s="75">
        <v>414</v>
      </c>
      <c r="D420" s="146">
        <f>ETo!$I419*((1-Constantes!$E$19)*ETo!$K419+ETo!$L419)</f>
        <v>4.4875472397255809</v>
      </c>
      <c r="E420" s="76">
        <f>MIN(D420*Constantes!$E$17,0.8*(N419+Observaciones!$F419-F420-M420-Constantes!$D$14))</f>
        <v>2.1940171009048148</v>
      </c>
      <c r="F420" s="76">
        <f>IF(Observaciones!$F419&gt;0.05*Constantes!$E$18,((Observaciones!$F419-0.05*Constantes!$E$18)^2)/(Observaciones!$F419+0.95*Constantes!$E$18),0)</f>
        <v>0.34186542687573257</v>
      </c>
      <c r="G420" s="76">
        <f>IF(Escenarios!$E$11&gt;0,(F420*Escenarios!$E$16*10000)/1000,0)</f>
        <v>854.66356718933139</v>
      </c>
      <c r="H420" s="76">
        <f>IF(Escenarios!$E$11&gt;0,(Observaciones!$F419*Constantes!$E$29)/1000,0)</f>
        <v>125</v>
      </c>
      <c r="I420" s="76">
        <f>IF(Escenarios!$E$11&gt;0,(D420*Constantes!$E$29)/1000,0)</f>
        <v>44.875472397255805</v>
      </c>
      <c r="J420" s="76">
        <f>IF(Escenarios!$E$11&gt;0,MAX(0,G420+H420-I420),0)</f>
        <v>934.78809479207553</v>
      </c>
      <c r="K420" s="76">
        <f>IF(Escenarios!$E$11&gt;0,IF(J420&gt;Constantes!$E$30,1000*((J420-Constantes!$E$30)/(Escenarios!$E$16*10000)),0),F420)</f>
        <v>0</v>
      </c>
      <c r="L420" s="76">
        <f>IF(Escenarios!$E$11&gt;0,I420*1000/Escenarios!$E$16/10000+E420,E420)</f>
        <v>2.211967289863717</v>
      </c>
      <c r="M420" s="76">
        <f>MAX(0,N419+Observaciones!$F419-K420-Constantes!$D$13)</f>
        <v>7.590939094312688</v>
      </c>
      <c r="N420" s="76">
        <f>N419+Observaciones!$F419-K420-L420-M420-O419</f>
        <v>45.427865680797225</v>
      </c>
      <c r="O420" s="76">
        <f>MAX(0,(N420-Constantes!$D$14)*(1-EXP(-Constantes!$D$22)))</f>
        <v>1.1642235746014846</v>
      </c>
      <c r="P420" s="170">
        <f>P419+(Entradas!$E$83*M420-Q419)/(800*Entradas!$D$25)</f>
        <v>0</v>
      </c>
      <c r="Q420" s="170">
        <f>8000*Entradas!$D$26*P420/Constantes!$E$45</f>
        <v>0</v>
      </c>
      <c r="R420" s="170">
        <f>IF(Escenarios!$E$14&gt;0,K420*Escenarios!$E$13/Escenarios!$E$14,0)</f>
        <v>0</v>
      </c>
      <c r="S420" s="170">
        <f>IF(Escenarios!$E$14&gt;0,Q420*Escenarios!$E$13/Escenarios!$E$14,0)</f>
        <v>0</v>
      </c>
      <c r="T420" s="170">
        <f>IF(Escenarios!$E$14&gt;0,Observaciones!$I419,0)</f>
        <v>0</v>
      </c>
      <c r="U420" s="170">
        <f>IF(Escenarios!$E$14&gt;0,MAX(0,Constantes!$E$36/((Z419+R420+S420+T420+Observaciones!$F419)^2)+Entradas!$E$77),0)</f>
        <v>1.6007735181269682</v>
      </c>
      <c r="V420" s="146">
        <f>IF(ETo!D419&gt;0,ETo!I419*((1-Entradas!$E$81)*ETo!K419+ETo!L419),0)</f>
        <v>4.1018173150367536</v>
      </c>
      <c r="W420" s="170">
        <f>IF(Escenarios!$E$14&gt;0,MIN(V420*1,0.8*(Z419+R420+S420+T420+Observaciones!$F419-U420-Constantes!$E$35)),0)</f>
        <v>4.1018173150367536</v>
      </c>
      <c r="X420" s="170">
        <f>IF(Escenarios!$E$14&gt;0,Observaciones!$J419,0)</f>
        <v>0</v>
      </c>
      <c r="Y420" s="170">
        <f>IF(Escenarios!$E$14&gt;0,MAX(0,Z419+R420+S420+T420+Observaciones!$F419-U420-W420-X420-Constantes!$E$33),0)</f>
        <v>0</v>
      </c>
      <c r="Z420" s="170">
        <f>Z419+R420+S420+T420+Observaciones!$F419-U420-W420-Y420</f>
        <v>79.956307662873968</v>
      </c>
      <c r="AA420" s="170">
        <f>IF(Escenarios!$E$14&gt;0,(Escenarios!$E$13*L420+Escenarios!$E$14*W420)/(Escenarios!$E$16),L420)</f>
        <v>2.4387492928844812</v>
      </c>
      <c r="AB420" s="170">
        <f>IF(Escenarios!$E$14&gt;0,(Escenarios!$E$14*Y420)/(Escenarios!$E$16),K420)</f>
        <v>0</v>
      </c>
      <c r="AC420" s="170">
        <f>IF(Escenarios!$E$14&gt;0,(Escenarios!$E$13*M420+Escenarios!$E$14*U420)/(Escenarios!$E$16),M420)</f>
        <v>6.8721192251704011</v>
      </c>
      <c r="AD420" s="76">
        <f t="shared" si="85"/>
        <v>115.72438823120049</v>
      </c>
      <c r="AE420" s="76">
        <f>MAX(0,(AD420-Constantes!$D$13)*(1-EXP(-Constantes!$D$23)))</f>
        <v>0.65991459929847462</v>
      </c>
      <c r="AF420" s="76">
        <f>AB420+O420*Escenarios!$E$13/Escenarios!$E$16+AE420</f>
        <v>1.684431344947781</v>
      </c>
      <c r="AG420" s="76">
        <f>IF(Entradas!$E$91&gt;0,IF(AF420-Escenarios!$E$38&lt;=0,0,IF(AF420-Escenarios!$E$38&gt;Escenarios!$E$37,Escenarios!$E$37,AF420-Escenarios!$E$38)),0)</f>
        <v>0</v>
      </c>
      <c r="AH420" s="76">
        <f>AG420*Entradas!$E$99</f>
        <v>0</v>
      </c>
      <c r="AI420" s="76">
        <f>IF(Entradas!$E$91&gt;0,D420*Entradas!$D$23/Escenarios!$E$16,0)</f>
        <v>0</v>
      </c>
      <c r="AJ420" s="76">
        <f>IF(Entradas!$E$91&gt;0,Entradas!$D$24*Entradas!$D$22/Escenarios!$E$16,0)</f>
        <v>0</v>
      </c>
      <c r="AK420" s="76">
        <f t="shared" si="94"/>
        <v>2.4387492928844812</v>
      </c>
      <c r="AL420" s="76">
        <f t="shared" si="95"/>
        <v>0</v>
      </c>
      <c r="AM420" s="76">
        <f t="shared" si="86"/>
        <v>0</v>
      </c>
      <c r="AN420" s="76">
        <f>MAX(0,O420*Escenarios!$E$13/Escenarios!$E$16-AM420)</f>
        <v>1.0245167456493063</v>
      </c>
      <c r="AO420" s="76">
        <f>AM420+AN420-O420*Escenarios!$E$13/Escenarios!$E$16</f>
        <v>0</v>
      </c>
      <c r="AP420" s="76">
        <f t="shared" si="84"/>
        <v>0.65991459929847462</v>
      </c>
      <c r="AQ420" s="76">
        <f t="shared" si="87"/>
        <v>0</v>
      </c>
      <c r="AR420" s="76">
        <f t="shared" si="88"/>
        <v>1.684431344947781</v>
      </c>
      <c r="AS420" s="76">
        <f t="shared" si="89"/>
        <v>0</v>
      </c>
      <c r="AT420" s="76">
        <f t="shared" si="90"/>
        <v>6.8721192251704011</v>
      </c>
      <c r="AU420" s="76">
        <f t="shared" si="91"/>
        <v>48.75</v>
      </c>
      <c r="AV420" s="76">
        <f>MAX(0,(AU420-Constantes!$D$13)*(1-EXP(-Constantes!$D$24)))</f>
        <v>0</v>
      </c>
      <c r="AW420" s="170">
        <f>AW419+(Entradas!$E$112*AT420-AX419)/(800*Entradas!$D$25)</f>
        <v>0</v>
      </c>
      <c r="AX420" s="170">
        <f>8000*Entradas!$D$26*AW420/Constantes!$E$45</f>
        <v>0</v>
      </c>
      <c r="AY420" s="170">
        <f>IF(Escenarios!$E$17&gt;0,10*Escenarios!$E$16*AL420,0)</f>
        <v>0</v>
      </c>
      <c r="AZ420" s="170">
        <f>IF(Escenarios!$E$17&gt;0,10*Escenarios!$E$16*AX420,0)</f>
        <v>0</v>
      </c>
      <c r="BA420" s="170">
        <f>IF(Escenarios!$E$17&gt;0,0.001*Observaciones!$F419*Escenarios!$E$17,0)</f>
        <v>250</v>
      </c>
      <c r="BB420" s="170">
        <f>IF(Escenarios!$E$17&gt;0,Observaciones!$K419,0)</f>
        <v>0</v>
      </c>
      <c r="BC420" s="170">
        <f>IF(Escenarios!$E$17&gt;0,MIN(0.0005*ETo!$M419*Escenarios!$E$17*(BG419/Constantes!$E$40)^(2/3),BG419+AY420+AZ420+BA420+BB420),0)</f>
        <v>37.648294712416678</v>
      </c>
      <c r="BD420" s="170">
        <f>IF(Escenarios!$E$17&gt;0,MIN(Constantes!$E$39*(BG419/Constantes!$E$40)^(2/3),BG419+AY420+AZ420+BA420+BB420-BC420),0)</f>
        <v>59.119851701525008</v>
      </c>
      <c r="BE420" s="170">
        <f>IF(Escenarios!$E$17&gt;0,MIN(Entradas!$E$113,BG419+AY420+AZ420+BA420+BB420-BC420-BD420),0)</f>
        <v>1</v>
      </c>
      <c r="BF420" s="170">
        <f>IF(Escenarios!$E$17&gt;0,MAX(0,BG419+AY420+AZ420+BA420+BB420-BC420-BD420-BE420-Constantes!$E$40),0)</f>
        <v>0</v>
      </c>
      <c r="BG420" s="170">
        <f t="shared" si="96"/>
        <v>4387.4302979643071</v>
      </c>
      <c r="BH420" s="170">
        <f>(Escenarios!$E$16*AK420+0.1*BC420)/(Escenarios!$E$19)</f>
        <v>2.4343339392554046</v>
      </c>
      <c r="BI420" s="170">
        <f>IF(Escenarios!$E$17&gt;0,BF420/10/Escenarios!$E$19,AL420)</f>
        <v>0</v>
      </c>
      <c r="BJ420" s="170">
        <f>(Escenarios!$E$16*AT420+0.1*BD420)/(Escenarios!$E$19)</f>
        <v>6.8410388550109245</v>
      </c>
      <c r="BK420" s="76">
        <f>BK419+(0.1*BD420)/(Escenarios!$E$19)-BL419</f>
        <v>50.088184037401476</v>
      </c>
      <c r="BL420" s="76">
        <f>MAX(0,(BK420-Constantes!$D$13)*(1-EXP(-Constantes!$D$23)))</f>
        <v>1.3185446051122231E-2</v>
      </c>
      <c r="BM420" s="76">
        <f t="shared" si="92"/>
        <v>0.67310004534959689</v>
      </c>
      <c r="BN420" s="76">
        <f t="shared" si="97"/>
        <v>1.6976167909989033</v>
      </c>
      <c r="BO420" s="76">
        <f>0.0526*BI420*Observaciones!$F419^1.218</f>
        <v>0</v>
      </c>
      <c r="BP420" s="76">
        <f>BO420*Constantes!$E$51</f>
        <v>0</v>
      </c>
      <c r="BQ420" s="76">
        <f t="shared" si="93"/>
        <v>0</v>
      </c>
      <c r="BR420" s="40"/>
    </row>
    <row r="421" spans="1:70">
      <c r="A421" s="147"/>
      <c r="B421" s="39"/>
      <c r="C421" s="75">
        <v>415</v>
      </c>
      <c r="D421" s="146">
        <f>ETo!$I420*((1-Constantes!$E$19)*ETo!$K420+ETo!$L420)</f>
        <v>4.365706802083074</v>
      </c>
      <c r="E421" s="76">
        <f>MIN(D421*Constantes!$E$17,0.8*(N420+Observaciones!$F420-F421-M421-Constantes!$D$14))</f>
        <v>2.1344478107137363</v>
      </c>
      <c r="F421" s="76">
        <f>IF(Observaciones!$F420&gt;0.05*Constantes!$E$18,((Observaciones!$F420-0.05*Constantes!$E$18)^2)/(Observaciones!$F420+0.95*Constantes!$E$18),0)</f>
        <v>0</v>
      </c>
      <c r="G421" s="76">
        <f>IF(Escenarios!$E$11&gt;0,(F421*Escenarios!$E$16*10000)/1000,0)</f>
        <v>0</v>
      </c>
      <c r="H421" s="76">
        <f>IF(Escenarios!$E$11&gt;0,(Observaciones!$F420*Constantes!$E$29)/1000,0)</f>
        <v>0</v>
      </c>
      <c r="I421" s="76">
        <f>IF(Escenarios!$E$11&gt;0,(D421*Constantes!$E$29)/1000,0)</f>
        <v>43.657068020830735</v>
      </c>
      <c r="J421" s="76">
        <f>IF(Escenarios!$E$11&gt;0,MAX(0,G421+H421-I421),0)</f>
        <v>0</v>
      </c>
      <c r="K421" s="76">
        <f>IF(Escenarios!$E$11&gt;0,IF(J421&gt;Constantes!$E$30,1000*((J421-Constantes!$E$30)/(Escenarios!$E$16*10000)),0),F421)</f>
        <v>0</v>
      </c>
      <c r="L421" s="76">
        <f>IF(Escenarios!$E$11&gt;0,I421*1000/Escenarios!$E$16/10000+E421,E421)</f>
        <v>2.1519106379220685</v>
      </c>
      <c r="M421" s="76">
        <f>MAX(0,N420+Observaciones!$F420-K421-Constantes!$D$13)</f>
        <v>0</v>
      </c>
      <c r="N421" s="76">
        <f>N420+Observaciones!$F420-K421-L421-M421-O420</f>
        <v>42.111731468273668</v>
      </c>
      <c r="O421" s="76">
        <f>MAX(0,(N421-Constantes!$D$14)*(1-EXP(-Constantes!$D$22)))</f>
        <v>1.051263869545016</v>
      </c>
      <c r="P421" s="170">
        <f>P420+(Entradas!$E$83*M421-Q420)/(800*Entradas!$D$25)</f>
        <v>0</v>
      </c>
      <c r="Q421" s="170">
        <f>8000*Entradas!$D$26*P421/Constantes!$E$45</f>
        <v>0</v>
      </c>
      <c r="R421" s="170">
        <f>IF(Escenarios!$E$14&gt;0,K421*Escenarios!$E$13/Escenarios!$E$14,0)</f>
        <v>0</v>
      </c>
      <c r="S421" s="170">
        <f>IF(Escenarios!$E$14&gt;0,Q421*Escenarios!$E$13/Escenarios!$E$14,0)</f>
        <v>0</v>
      </c>
      <c r="T421" s="170">
        <f>IF(Escenarios!$E$14&gt;0,Observaciones!$I420,0)</f>
        <v>0</v>
      </c>
      <c r="U421" s="170">
        <f>IF(Escenarios!$E$14&gt;0,MAX(0,Constantes!$E$36/((Z420+R421+S421+T421+Observaciones!$F420)^2)+Entradas!$E$77),0)</f>
        <v>1.3940666169555684</v>
      </c>
      <c r="V421" s="146">
        <f>IF(ETo!D420&gt;0,ETo!I420*((1-Entradas!$E$81)*ETo!K420+ETo!L420),0)</f>
        <v>3.9887403357624045</v>
      </c>
      <c r="W421" s="170">
        <f>IF(Escenarios!$E$14&gt;0,MIN(V421*1,0.8*(Z420+R421+S421+T421+Observaciones!$F420-U421-Constantes!$E$35)),0)</f>
        <v>3.9887403357624045</v>
      </c>
      <c r="X421" s="170">
        <f>IF(Escenarios!$E$14&gt;0,Observaciones!$J420,0)</f>
        <v>0</v>
      </c>
      <c r="Y421" s="170">
        <f>IF(Escenarios!$E$14&gt;0,MAX(0,Z420+R421+S421+T421+Observaciones!$F420-U421-W421-X421-Constantes!$E$33),0)</f>
        <v>0</v>
      </c>
      <c r="Z421" s="170">
        <f>Z420+R421+S421+T421+Observaciones!$F420-U421-W421-Y421</f>
        <v>74.573500710155997</v>
      </c>
      <c r="AA421" s="170">
        <f>IF(Escenarios!$E$14&gt;0,(Escenarios!$E$13*L421+Escenarios!$E$14*W421)/(Escenarios!$E$16),L421)</f>
        <v>2.3723302016629084</v>
      </c>
      <c r="AB421" s="170">
        <f>IF(Escenarios!$E$14&gt;0,(Escenarios!$E$14*Y421)/(Escenarios!$E$16),K421)</f>
        <v>0</v>
      </c>
      <c r="AC421" s="170">
        <f>IF(Escenarios!$E$14&gt;0,(Escenarios!$E$13*M421+Escenarios!$E$14*U421)/(Escenarios!$E$16),M421)</f>
        <v>0.16728799403466821</v>
      </c>
      <c r="AD421" s="76">
        <f t="shared" si="85"/>
        <v>115.23176162593668</v>
      </c>
      <c r="AE421" s="76">
        <f>MAX(0,(AD421-Constantes!$D$13)*(1-EXP(-Constantes!$D$23)))</f>
        <v>0.65506063202229448</v>
      </c>
      <c r="AF421" s="76">
        <f>AB421+O421*Escenarios!$E$13/Escenarios!$E$16+AE421</f>
        <v>1.5801728372219086</v>
      </c>
      <c r="AG421" s="76">
        <f>IF(Entradas!$E$91&gt;0,IF(AF421-Escenarios!$E$38&lt;=0,0,IF(AF421-Escenarios!$E$38&gt;Escenarios!$E$37,Escenarios!$E$37,AF421-Escenarios!$E$38)),0)</f>
        <v>0</v>
      </c>
      <c r="AH421" s="76">
        <f>AG421*Entradas!$E$99</f>
        <v>0</v>
      </c>
      <c r="AI421" s="76">
        <f>IF(Entradas!$E$91&gt;0,D421*Entradas!$D$23/Escenarios!$E$16,0)</f>
        <v>0</v>
      </c>
      <c r="AJ421" s="76">
        <f>IF(Entradas!$E$91&gt;0,Entradas!$D$24*Entradas!$D$22/Escenarios!$E$16,0)</f>
        <v>0</v>
      </c>
      <c r="AK421" s="76">
        <f t="shared" si="94"/>
        <v>2.3723302016629084</v>
      </c>
      <c r="AL421" s="76">
        <f t="shared" si="95"/>
        <v>0</v>
      </c>
      <c r="AM421" s="76">
        <f t="shared" si="86"/>
        <v>0</v>
      </c>
      <c r="AN421" s="76">
        <f>MAX(0,O421*Escenarios!$E$13/Escenarios!$E$16-AM421)</f>
        <v>0.92511220519961412</v>
      </c>
      <c r="AO421" s="76">
        <f>AM421+AN421-O421*Escenarios!$E$13/Escenarios!$E$16</f>
        <v>0</v>
      </c>
      <c r="AP421" s="76">
        <f t="shared" si="84"/>
        <v>0.65506063202229448</v>
      </c>
      <c r="AQ421" s="76">
        <f t="shared" si="87"/>
        <v>0</v>
      </c>
      <c r="AR421" s="76">
        <f t="shared" si="88"/>
        <v>1.5801728372219086</v>
      </c>
      <c r="AS421" s="76">
        <f t="shared" si="89"/>
        <v>0</v>
      </c>
      <c r="AT421" s="76">
        <f t="shared" si="90"/>
        <v>0.16728799403466821</v>
      </c>
      <c r="AU421" s="76">
        <f t="shared" si="91"/>
        <v>48.75</v>
      </c>
      <c r="AV421" s="76">
        <f>MAX(0,(AU421-Constantes!$D$13)*(1-EXP(-Constantes!$D$24)))</f>
        <v>0</v>
      </c>
      <c r="AW421" s="170">
        <f>AW420+(Entradas!$E$112*AT421-AX420)/(800*Entradas!$D$25)</f>
        <v>0</v>
      </c>
      <c r="AX421" s="170">
        <f>8000*Entradas!$D$26*AW421/Constantes!$E$45</f>
        <v>0</v>
      </c>
      <c r="AY421" s="170">
        <f>IF(Escenarios!$E$17&gt;0,10*Escenarios!$E$16*AL421,0)</f>
        <v>0</v>
      </c>
      <c r="AZ421" s="170">
        <f>IF(Escenarios!$E$17&gt;0,10*Escenarios!$E$16*AX421,0)</f>
        <v>0</v>
      </c>
      <c r="BA421" s="170">
        <f>IF(Escenarios!$E$17&gt;0,0.001*Observaciones!$F420*Escenarios!$E$17,0)</f>
        <v>0</v>
      </c>
      <c r="BB421" s="170">
        <f>IF(Escenarios!$E$17&gt;0,Observaciones!$K420,0)</f>
        <v>0</v>
      </c>
      <c r="BC421" s="170">
        <f>IF(Escenarios!$E$17&gt;0,MIN(0.0005*ETo!$M420*Escenarios!$E$17*(BG420/Constantes!$E$40)^(2/3),BG420+AY421+AZ421+BA421+BB421),0)</f>
        <v>37.518959649676326</v>
      </c>
      <c r="BD421" s="170">
        <f>IF(Escenarios!$E$17&gt;0,MIN(Constantes!$E$39*(BG420/Constantes!$E$40)^(2/3),BG420+AY421+AZ421+BA421+BB421-BC421),0)</f>
        <v>60.528184306057767</v>
      </c>
      <c r="BE421" s="170">
        <f>IF(Escenarios!$E$17&gt;0,MIN(Entradas!$E$113,BG420+AY421+AZ421+BA421+BB421-BC421-BD421),0)</f>
        <v>1</v>
      </c>
      <c r="BF421" s="170">
        <f>IF(Escenarios!$E$17&gt;0,MAX(0,BG420+AY421+AZ421+BA421+BB421-BC421-BD421-BE421-Constantes!$E$40),0)</f>
        <v>0</v>
      </c>
      <c r="BG421" s="170">
        <f t="shared" si="96"/>
        <v>4288.383154008573</v>
      </c>
      <c r="BH421" s="170">
        <f>(Escenarios!$E$16*AK421+0.1*BC421)/(Escenarios!$E$19)</f>
        <v>2.3683906602408524</v>
      </c>
      <c r="BI421" s="170">
        <f>IF(Escenarios!$E$17&gt;0,BF421/10/Escenarios!$E$19,AL421)</f>
        <v>0</v>
      </c>
      <c r="BJ421" s="170">
        <f>(Escenarios!$E$16*AT421+0.1*BD421)/(Escenarios!$E$19)</f>
        <v>0.18997943229870168</v>
      </c>
      <c r="BK421" s="76">
        <f>BK420+(0.1*BD421)/(Escenarios!$E$19)-BL420</f>
        <v>50.099017712106722</v>
      </c>
      <c r="BL421" s="76">
        <f>MAX(0,(BK421-Constantes!$D$13)*(1-EXP(-Constantes!$D$23)))</f>
        <v>1.3292192828373302E-2</v>
      </c>
      <c r="BM421" s="76">
        <f t="shared" si="92"/>
        <v>0.66835282485066783</v>
      </c>
      <c r="BN421" s="76">
        <f t="shared" si="97"/>
        <v>1.5934650300502819</v>
      </c>
      <c r="BO421" s="76">
        <f>0.0526*BI421*Observaciones!$F420^1.218</f>
        <v>0</v>
      </c>
      <c r="BP421" s="76">
        <f>BO421*Constantes!$E$51</f>
        <v>0</v>
      </c>
      <c r="BQ421" s="76">
        <f t="shared" si="93"/>
        <v>0</v>
      </c>
      <c r="BR421" s="40"/>
    </row>
    <row r="422" spans="1:70">
      <c r="A422" s="147"/>
      <c r="B422" s="39"/>
      <c r="C422" s="75">
        <v>416</v>
      </c>
      <c r="D422" s="146">
        <f>ETo!$I421*((1-Constantes!$E$19)*ETo!$K421+ETo!$L421)</f>
        <v>4.2171878215673804</v>
      </c>
      <c r="E422" s="76">
        <f>MIN(D422*Constantes!$E$17,0.8*(N421+Observaciones!$F421-F422-M422-Constantes!$D$14))</f>
        <v>2.0618350524176683</v>
      </c>
      <c r="F422" s="76">
        <f>IF(Observaciones!$F421&gt;0.05*Constantes!$E$18,((Observaciones!$F421-0.05*Constantes!$E$18)^2)/(Observaciones!$F421+0.95*Constantes!$E$18),0)</f>
        <v>2.3778188950383043</v>
      </c>
      <c r="G422" s="76">
        <f>IF(Escenarios!$E$11&gt;0,(F422*Escenarios!$E$16*10000)/1000,0)</f>
        <v>5944.5472375957606</v>
      </c>
      <c r="H422" s="76">
        <f>IF(Escenarios!$E$11&gt;0,(Observaciones!$F421*Constantes!$E$29)/1000,0)</f>
        <v>240</v>
      </c>
      <c r="I422" s="76">
        <f>IF(Escenarios!$E$11&gt;0,(D422*Constantes!$E$29)/1000,0)</f>
        <v>42.1718782156738</v>
      </c>
      <c r="J422" s="76">
        <f>IF(Escenarios!$E$11&gt;0,MAX(0,G422+H422-I422),0)</f>
        <v>6142.3753593800866</v>
      </c>
      <c r="K422" s="76">
        <f>IF(Escenarios!$E$11&gt;0,IF(J422&gt;Constantes!$E$30,1000*((J422-Constantes!$E$30)/(Escenarios!$E$16*10000)),0),F422)</f>
        <v>1.9422442613990933</v>
      </c>
      <c r="L422" s="76">
        <f>IF(Escenarios!$E$11&gt;0,I422*1000/Escenarios!$E$16/10000+E422,E422)</f>
        <v>2.0787038037039376</v>
      </c>
      <c r="M422" s="76">
        <f>MAX(0,N421+Observaciones!$F421-K422-Constantes!$D$13)</f>
        <v>15.419487206874564</v>
      </c>
      <c r="N422" s="76">
        <f>N421+Observaciones!$F421-K422-L422-M422-O421</f>
        <v>45.620032326751044</v>
      </c>
      <c r="O422" s="76">
        <f>MAX(0,(N422-Constantes!$D$14)*(1-EXP(-Constantes!$D$22)))</f>
        <v>1.1707694760208713</v>
      </c>
      <c r="P422" s="170">
        <f>P421+(Entradas!$E$83*M422-Q421)/(800*Entradas!$D$25)</f>
        <v>0</v>
      </c>
      <c r="Q422" s="170">
        <f>8000*Entradas!$D$26*P422/Constantes!$E$45</f>
        <v>0</v>
      </c>
      <c r="R422" s="170">
        <f>IF(Escenarios!$E$14&gt;0,K422*Escenarios!$E$13/Escenarios!$E$14,0)</f>
        <v>14.243124583593351</v>
      </c>
      <c r="S422" s="170">
        <f>IF(Escenarios!$E$14&gt;0,Q422*Escenarios!$E$13/Escenarios!$E$14,0)</f>
        <v>0</v>
      </c>
      <c r="T422" s="170">
        <f>IF(Escenarios!$E$14&gt;0,Observaciones!$I421,0)</f>
        <v>0</v>
      </c>
      <c r="U422" s="170">
        <f>IF(Escenarios!$E$14&gt;0,MAX(0,Constantes!$E$36/((Z421+R422+S422+T422+Observaciones!$F421)^2)+Entradas!$E$77),0)</f>
        <v>2.1933469541686859</v>
      </c>
      <c r="V422" s="146">
        <f>IF(ETo!D421&gt;0,ETo!I421*((1-Entradas!$E$81)*ETo!K421+ETo!L421),0)</f>
        <v>3.8513424658427327</v>
      </c>
      <c r="W422" s="170">
        <f>IF(Escenarios!$E$14&gt;0,MIN(V422*1,0.8*(Z421+R422+S422+T422+Observaciones!$F421-U422-Constantes!$E$35)),0)</f>
        <v>3.8513424658427327</v>
      </c>
      <c r="X422" s="170">
        <f>IF(Escenarios!$E$14&gt;0,Observaciones!$J421,0)</f>
        <v>0</v>
      </c>
      <c r="Y422" s="170">
        <f>IF(Escenarios!$E$14&gt;0,MAX(0,Z421+R422+S422+T422+Observaciones!$F421-U422-W422-X422-Constantes!$E$33),0)</f>
        <v>0</v>
      </c>
      <c r="Z422" s="170">
        <f>Z421+R422+S422+T422+Observaciones!$F421-U422-W422-Y422</f>
        <v>106.77193587373793</v>
      </c>
      <c r="AA422" s="170">
        <f>IF(Escenarios!$E$14&gt;0,(Escenarios!$E$13*L422+Escenarios!$E$14*W422)/(Escenarios!$E$16),L422)</f>
        <v>2.2914204431605931</v>
      </c>
      <c r="AB422" s="170">
        <f>IF(Escenarios!$E$14&gt;0,(Escenarios!$E$14*Y422)/(Escenarios!$E$16),K422)</f>
        <v>0</v>
      </c>
      <c r="AC422" s="170">
        <f>IF(Escenarios!$E$14&gt;0,(Escenarios!$E$13*M422+Escenarios!$E$14*U422)/(Escenarios!$E$16),M422)</f>
        <v>13.83235037654986</v>
      </c>
      <c r="AD422" s="76">
        <f t="shared" si="85"/>
        <v>128.40905137046425</v>
      </c>
      <c r="AE422" s="76">
        <f>MAX(0,(AD422-Constantes!$D$13)*(1-EXP(-Constantes!$D$23)))</f>
        <v>0.78489960646101531</v>
      </c>
      <c r="AF422" s="76">
        <f>AB422+O422*Escenarios!$E$13/Escenarios!$E$16+AE422</f>
        <v>1.8151767453593819</v>
      </c>
      <c r="AG422" s="76">
        <f>IF(Entradas!$E$91&gt;0,IF(AF422-Escenarios!$E$38&lt;=0,0,IF(AF422-Escenarios!$E$38&gt;Escenarios!$E$37,Escenarios!$E$37,AF422-Escenarios!$E$38)),0)</f>
        <v>0</v>
      </c>
      <c r="AH422" s="76">
        <f>AG422*Entradas!$E$99</f>
        <v>0</v>
      </c>
      <c r="AI422" s="76">
        <f>IF(Entradas!$E$91&gt;0,D422*Entradas!$D$23/Escenarios!$E$16,0)</f>
        <v>0</v>
      </c>
      <c r="AJ422" s="76">
        <f>IF(Entradas!$E$91&gt;0,Entradas!$D$24*Entradas!$D$22/Escenarios!$E$16,0)</f>
        <v>0</v>
      </c>
      <c r="AK422" s="76">
        <f t="shared" si="94"/>
        <v>2.2914204431605931</v>
      </c>
      <c r="AL422" s="76">
        <f t="shared" si="95"/>
        <v>0</v>
      </c>
      <c r="AM422" s="76">
        <f t="shared" si="86"/>
        <v>0</v>
      </c>
      <c r="AN422" s="76">
        <f>MAX(0,O422*Escenarios!$E$13/Escenarios!$E$16-AM422)</f>
        <v>1.0302771388983667</v>
      </c>
      <c r="AO422" s="76">
        <f>AM422+AN422-O422*Escenarios!$E$13/Escenarios!$E$16</f>
        <v>0</v>
      </c>
      <c r="AP422" s="76">
        <f t="shared" si="84"/>
        <v>0.78489960646101531</v>
      </c>
      <c r="AQ422" s="76">
        <f t="shared" si="87"/>
        <v>0</v>
      </c>
      <c r="AR422" s="76">
        <f t="shared" si="88"/>
        <v>1.8151767453593819</v>
      </c>
      <c r="AS422" s="76">
        <f t="shared" si="89"/>
        <v>0</v>
      </c>
      <c r="AT422" s="76">
        <f t="shared" si="90"/>
        <v>13.83235037654986</v>
      </c>
      <c r="AU422" s="76">
        <f t="shared" si="91"/>
        <v>48.75</v>
      </c>
      <c r="AV422" s="76">
        <f>MAX(0,(AU422-Constantes!$D$13)*(1-EXP(-Constantes!$D$24)))</f>
        <v>0</v>
      </c>
      <c r="AW422" s="170">
        <f>AW421+(Entradas!$E$112*AT422-AX421)/(800*Entradas!$D$25)</f>
        <v>0</v>
      </c>
      <c r="AX422" s="170">
        <f>8000*Entradas!$D$26*AW422/Constantes!$E$45</f>
        <v>0</v>
      </c>
      <c r="AY422" s="170">
        <f>IF(Escenarios!$E$17&gt;0,10*Escenarios!$E$16*AL422,0)</f>
        <v>0</v>
      </c>
      <c r="AZ422" s="170">
        <f>IF(Escenarios!$E$17&gt;0,10*Escenarios!$E$16*AX422,0)</f>
        <v>0</v>
      </c>
      <c r="BA422" s="170">
        <f>IF(Escenarios!$E$17&gt;0,0.001*Observaciones!$F421*Escenarios!$E$17,0)</f>
        <v>480</v>
      </c>
      <c r="BB422" s="170">
        <f>IF(Escenarios!$E$17&gt;0,Observaciones!$K421,0)</f>
        <v>0</v>
      </c>
      <c r="BC422" s="170">
        <f>IF(Escenarios!$E$17&gt;0,MIN(0.0005*ETo!$M421*Escenarios!$E$17*(BG421/Constantes!$E$40)^(2/3),BG421+AY422+AZ422+BA422+BB422),0)</f>
        <v>35.71502543387566</v>
      </c>
      <c r="BD422" s="170">
        <f>IF(Escenarios!$E$17&gt;0,MIN(Constantes!$E$39*(BG421/Constantes!$E$40)^(2/3),BG421+AY422+AZ422+BA422+BB422-BC422),0)</f>
        <v>59.613764450612194</v>
      </c>
      <c r="BE422" s="170">
        <f>IF(Escenarios!$E$17&gt;0,MIN(Entradas!$E$113,BG421+AY422+AZ422+BA422+BB422-BC422-BD422),0)</f>
        <v>1</v>
      </c>
      <c r="BF422" s="170">
        <f>IF(Escenarios!$E$17&gt;0,MAX(0,BG421+AY422+AZ422+BA422+BB422-BC422-BD422-BE422-Constantes!$E$40),0)</f>
        <v>0</v>
      </c>
      <c r="BG422" s="170">
        <f t="shared" si="96"/>
        <v>4672.0543641240847</v>
      </c>
      <c r="BH422" s="170">
        <f>(Escenarios!$E$16*AK422+0.1*BC422)/(Escenarios!$E$19)</f>
        <v>2.2874071957679991</v>
      </c>
      <c r="BI422" s="170">
        <f>IF(Escenarios!$E$17&gt;0,BF422/10/Escenarios!$E$19,AL422)</f>
        <v>0</v>
      </c>
      <c r="BJ422" s="170">
        <f>(Escenarios!$E$16*AT422+0.1*BD422)/(Escenarios!$E$19)</f>
        <v>13.746226073740184</v>
      </c>
      <c r="BK422" s="76">
        <f>BK421+(0.1*BD422)/(Escenarios!$E$19)-BL421</f>
        <v>50.109381775012722</v>
      </c>
      <c r="BL422" s="76">
        <f>MAX(0,(BK422-Constantes!$D$13)*(1-EXP(-Constantes!$D$23)))</f>
        <v>1.3394312408713577E-2</v>
      </c>
      <c r="BM422" s="76">
        <f t="shared" si="92"/>
        <v>0.79829391886972889</v>
      </c>
      <c r="BN422" s="76">
        <f t="shared" si="97"/>
        <v>1.8285710577680954</v>
      </c>
      <c r="BO422" s="76">
        <f>0.0526*BI422*Observaciones!$F421^1.218</f>
        <v>0</v>
      </c>
      <c r="BP422" s="76">
        <f>BO422*Constantes!$E$51</f>
        <v>0</v>
      </c>
      <c r="BQ422" s="76">
        <f t="shared" si="93"/>
        <v>0</v>
      </c>
      <c r="BR422" s="40"/>
    </row>
    <row r="423" spans="1:70">
      <c r="A423" s="147"/>
      <c r="B423" s="39"/>
      <c r="C423" s="75">
        <v>417</v>
      </c>
      <c r="D423" s="146">
        <f>ETo!$I422*((1-Constantes!$E$19)*ETo!$K422+ETo!$L422)</f>
        <v>4.050807973898662</v>
      </c>
      <c r="E423" s="76">
        <f>MIN(D423*Constantes!$E$17,0.8*(N422+Observaciones!$F422-F423-M423-Constantes!$D$14))</f>
        <v>1.9804898962486985</v>
      </c>
      <c r="F423" s="76">
        <f>IF(Observaciones!$F422&gt;0.05*Constantes!$E$18,((Observaciones!$F422-0.05*Constantes!$E$18)^2)/(Observaciones!$F422+0.95*Constantes!$E$18),0)</f>
        <v>0.30235496792119593</v>
      </c>
      <c r="G423" s="76">
        <f>IF(Escenarios!$E$11&gt;0,(F423*Escenarios!$E$16*10000)/1000,0)</f>
        <v>755.88741980298983</v>
      </c>
      <c r="H423" s="76">
        <f>IF(Escenarios!$E$11&gt;0,(Observaciones!$F422*Constantes!$E$29)/1000,0)</f>
        <v>121</v>
      </c>
      <c r="I423" s="76">
        <f>IF(Escenarios!$E$11&gt;0,(D423*Constantes!$E$29)/1000,0)</f>
        <v>40.508079738986623</v>
      </c>
      <c r="J423" s="76">
        <f>IF(Escenarios!$E$11&gt;0,MAX(0,G423+H423-I423),0)</f>
        <v>836.37934006400315</v>
      </c>
      <c r="K423" s="76">
        <f>IF(Escenarios!$E$11&gt;0,IF(J423&gt;Constantes!$E$30,1000*((J423-Constantes!$E$30)/(Escenarios!$E$16*10000)),0),F423)</f>
        <v>0</v>
      </c>
      <c r="L423" s="76">
        <f>IF(Escenarios!$E$11&gt;0,I423*1000/Escenarios!$E$16/10000+E423,E423)</f>
        <v>1.9966931281442932</v>
      </c>
      <c r="M423" s="76">
        <f>MAX(0,N422+Observaciones!$F422-K423-Constantes!$D$13)</f>
        <v>8.9700323267510456</v>
      </c>
      <c r="N423" s="76">
        <f>N422+Observaciones!$F422-K423-L423-M423-O422</f>
        <v>45.582537395834834</v>
      </c>
      <c r="O423" s="76">
        <f>MAX(0,(N423-Constantes!$D$14)*(1-EXP(-Constantes!$D$22)))</f>
        <v>1.1694922610271559</v>
      </c>
      <c r="P423" s="170">
        <f>P422+(Entradas!$E$83*M423-Q422)/(800*Entradas!$D$25)</f>
        <v>0</v>
      </c>
      <c r="Q423" s="170">
        <f>8000*Entradas!$D$26*P423/Constantes!$E$45</f>
        <v>0</v>
      </c>
      <c r="R423" s="170">
        <f>IF(Escenarios!$E$14&gt;0,K423*Escenarios!$E$13/Escenarios!$E$14,0)</f>
        <v>0</v>
      </c>
      <c r="S423" s="170">
        <f>IF(Escenarios!$E$14&gt;0,Q423*Escenarios!$E$13/Escenarios!$E$14,0)</f>
        <v>0</v>
      </c>
      <c r="T423" s="170">
        <f>IF(Escenarios!$E$14&gt;0,Observaciones!$I422,0)</f>
        <v>0</v>
      </c>
      <c r="U423" s="170">
        <f>IF(Escenarios!$E$14&gt;0,MAX(0,Constantes!$E$36/((Z422+R423+S423+T423+Observaciones!$F422)^2)+Entradas!$E$77),0)</f>
        <v>2.2734352629722996</v>
      </c>
      <c r="V423" s="146">
        <f>IF(ETo!D422&gt;0,ETo!I422*((1-Entradas!$E$81)*ETo!K422+ETo!L422),0)</f>
        <v>3.6979671674801069</v>
      </c>
      <c r="W423" s="170">
        <f>IF(Escenarios!$E$14&gt;0,MIN(V423*1,0.8*(Z422+R423+S423+T423+Observaciones!$F422-U423-Constantes!$E$35)),0)</f>
        <v>3.6979671674801069</v>
      </c>
      <c r="X423" s="170">
        <f>IF(Escenarios!$E$14&gt;0,Observaciones!$J422,0)</f>
        <v>0</v>
      </c>
      <c r="Y423" s="170">
        <f>IF(Escenarios!$E$14&gt;0,MAX(0,Z422+R423+S423+T423+Observaciones!$F422-U423-W423-X423-Constantes!$E$33),0)</f>
        <v>0</v>
      </c>
      <c r="Z423" s="170">
        <f>Z422+R423+S423+T423+Observaciones!$F422-U423-W423-Y423</f>
        <v>112.90053344328552</v>
      </c>
      <c r="AA423" s="170">
        <f>IF(Escenarios!$E$14&gt;0,(Escenarios!$E$13*L423+Escenarios!$E$14*W423)/(Escenarios!$E$16),L423)</f>
        <v>2.200846012864591</v>
      </c>
      <c r="AB423" s="170">
        <f>IF(Escenarios!$E$14&gt;0,(Escenarios!$E$14*Y423)/(Escenarios!$E$16),K423)</f>
        <v>0</v>
      </c>
      <c r="AC423" s="170">
        <f>IF(Escenarios!$E$14&gt;0,(Escenarios!$E$13*M423+Escenarios!$E$14*U423)/(Escenarios!$E$16),M423)</f>
        <v>8.1664406790975956</v>
      </c>
      <c r="AD423" s="76">
        <f t="shared" si="85"/>
        <v>135.79059244310085</v>
      </c>
      <c r="AE423" s="76">
        <f>MAX(0,(AD423-Constantes!$D$13)*(1-EXP(-Constantes!$D$23)))</f>
        <v>0.85763168879581053</v>
      </c>
      <c r="AF423" s="76">
        <f>AB423+O423*Escenarios!$E$13/Escenarios!$E$16+AE423</f>
        <v>1.8867848784997077</v>
      </c>
      <c r="AG423" s="76">
        <f>IF(Entradas!$E$91&gt;0,IF(AF423-Escenarios!$E$38&lt;=0,0,IF(AF423-Escenarios!$E$38&gt;Escenarios!$E$37,Escenarios!$E$37,AF423-Escenarios!$E$38)),0)</f>
        <v>0</v>
      </c>
      <c r="AH423" s="76">
        <f>AG423*Entradas!$E$99</f>
        <v>0</v>
      </c>
      <c r="AI423" s="76">
        <f>IF(Entradas!$E$91&gt;0,D423*Entradas!$D$23/Escenarios!$E$16,0)</f>
        <v>0</v>
      </c>
      <c r="AJ423" s="76">
        <f>IF(Entradas!$E$91&gt;0,Entradas!$D$24*Entradas!$D$22/Escenarios!$E$16,0)</f>
        <v>0</v>
      </c>
      <c r="AK423" s="76">
        <f t="shared" si="94"/>
        <v>2.200846012864591</v>
      </c>
      <c r="AL423" s="76">
        <f t="shared" si="95"/>
        <v>0</v>
      </c>
      <c r="AM423" s="76">
        <f t="shared" si="86"/>
        <v>0</v>
      </c>
      <c r="AN423" s="76">
        <f>MAX(0,O423*Escenarios!$E$13/Escenarios!$E$16-AM423)</f>
        <v>1.0291531897038972</v>
      </c>
      <c r="AO423" s="76">
        <f>AM423+AN423-O423*Escenarios!$E$13/Escenarios!$E$16</f>
        <v>0</v>
      </c>
      <c r="AP423" s="76">
        <f t="shared" si="84"/>
        <v>0.85763168879581053</v>
      </c>
      <c r="AQ423" s="76">
        <f t="shared" si="87"/>
        <v>0</v>
      </c>
      <c r="AR423" s="76">
        <f t="shared" si="88"/>
        <v>1.8867848784997077</v>
      </c>
      <c r="AS423" s="76">
        <f t="shared" si="89"/>
        <v>0</v>
      </c>
      <c r="AT423" s="76">
        <f t="shared" si="90"/>
        <v>8.1664406790975956</v>
      </c>
      <c r="AU423" s="76">
        <f t="shared" si="91"/>
        <v>48.75</v>
      </c>
      <c r="AV423" s="76">
        <f>MAX(0,(AU423-Constantes!$D$13)*(1-EXP(-Constantes!$D$24)))</f>
        <v>0</v>
      </c>
      <c r="AW423" s="170">
        <f>AW422+(Entradas!$E$112*AT423-AX422)/(800*Entradas!$D$25)</f>
        <v>0</v>
      </c>
      <c r="AX423" s="170">
        <f>8000*Entradas!$D$26*AW423/Constantes!$E$45</f>
        <v>0</v>
      </c>
      <c r="AY423" s="170">
        <f>IF(Escenarios!$E$17&gt;0,10*Escenarios!$E$16*AL423,0)</f>
        <v>0</v>
      </c>
      <c r="AZ423" s="170">
        <f>IF(Escenarios!$E$17&gt;0,10*Escenarios!$E$16*AX423,0)</f>
        <v>0</v>
      </c>
      <c r="BA423" s="170">
        <f>IF(Escenarios!$E$17&gt;0,0.001*Observaciones!$F422*Escenarios!$E$17,0)</f>
        <v>242</v>
      </c>
      <c r="BB423" s="170">
        <f>IF(Escenarios!$E$17&gt;0,Observaciones!$K422,0)</f>
        <v>0</v>
      </c>
      <c r="BC423" s="170">
        <f>IF(Escenarios!$E$17&gt;0,MIN(0.0005*ETo!$M422*Escenarios!$E$17*(BG422/Constantes!$E$40)^(2/3),BG422+AY423+AZ423+BA423+BB423),0)</f>
        <v>36.340532866023445</v>
      </c>
      <c r="BD423" s="170">
        <f>IF(Escenarios!$E$17&gt;0,MIN(Constantes!$E$39*(BG422/Constantes!$E$40)^(2/3),BG422+AY423+AZ423+BA423+BB423-BC423),0)</f>
        <v>63.118415031818884</v>
      </c>
      <c r="BE423" s="170">
        <f>IF(Escenarios!$E$17&gt;0,MIN(Entradas!$E$113,BG422+AY423+AZ423+BA423+BB423-BC423-BD423),0)</f>
        <v>1</v>
      </c>
      <c r="BF423" s="170">
        <f>IF(Escenarios!$E$17&gt;0,MAX(0,BG422+AY423+AZ423+BA423+BB423-BC423-BD423-BE423-Constantes!$E$40),0)</f>
        <v>0</v>
      </c>
      <c r="BG423" s="170">
        <f t="shared" si="96"/>
        <v>4813.5954162262424</v>
      </c>
      <c r="BH423" s="170">
        <f>(Escenarios!$E$16*AK423+0.1*BC423)/(Escenarios!$E$19)</f>
        <v>2.1977998273918655</v>
      </c>
      <c r="BI423" s="170">
        <f>IF(Escenarios!$E$17&gt;0,BF423/10/Escenarios!$E$19,AL423)</f>
        <v>0</v>
      </c>
      <c r="BJ423" s="170">
        <f>(Escenarios!$E$16*AT423+0.1*BD423)/(Escenarios!$E$19)</f>
        <v>8.1266746479269081</v>
      </c>
      <c r="BK423" s="76">
        <f>BK422+(0.1*BD423)/(Escenarios!$E$19)-BL422</f>
        <v>50.121034452696001</v>
      </c>
      <c r="BL423" s="76">
        <f>MAX(0,(BK423-Constantes!$D$13)*(1-EXP(-Constantes!$D$23)))</f>
        <v>1.3509129017378524E-2</v>
      </c>
      <c r="BM423" s="76">
        <f t="shared" si="92"/>
        <v>0.87114081781318908</v>
      </c>
      <c r="BN423" s="76">
        <f t="shared" si="97"/>
        <v>1.9002940075170862</v>
      </c>
      <c r="BO423" s="76">
        <f>0.0526*BI423*Observaciones!$F422^1.218</f>
        <v>0</v>
      </c>
      <c r="BP423" s="76">
        <f>BO423*Constantes!$E$51</f>
        <v>0</v>
      </c>
      <c r="BQ423" s="76">
        <f t="shared" si="93"/>
        <v>0</v>
      </c>
      <c r="BR423" s="40"/>
    </row>
    <row r="424" spans="1:70">
      <c r="A424" s="147"/>
      <c r="B424" s="39"/>
      <c r="C424" s="75">
        <v>418</v>
      </c>
      <c r="D424" s="146">
        <f>ETo!$I423*((1-Constantes!$E$19)*ETo!$K423+ETo!$L423)</f>
        <v>4.0002589710993472</v>
      </c>
      <c r="E424" s="76">
        <f>MIN(D424*Constantes!$E$17,0.8*(N423+Observaciones!$F423-F424-M424-Constantes!$D$14))</f>
        <v>1.9557758663676084</v>
      </c>
      <c r="F424" s="76">
        <f>IF(Observaciones!$F423&gt;0.05*Constantes!$E$18,((Observaciones!$F423-0.05*Constantes!$E$18)^2)/(Observaciones!$F423+0.95*Constantes!$E$18),0)</f>
        <v>6.0428294711895227E-3</v>
      </c>
      <c r="G424" s="76">
        <f>IF(Escenarios!$E$11&gt;0,(F424*Escenarios!$E$16*10000)/1000,0)</f>
        <v>15.107073677973805</v>
      </c>
      <c r="H424" s="76">
        <f>IF(Escenarios!$E$11&gt;0,(Observaciones!$F423*Constantes!$E$29)/1000,0)</f>
        <v>68</v>
      </c>
      <c r="I424" s="76">
        <f>IF(Escenarios!$E$11&gt;0,(D424*Constantes!$E$29)/1000,0)</f>
        <v>40.002589710993476</v>
      </c>
      <c r="J424" s="76">
        <f>IF(Escenarios!$E$11&gt;0,MAX(0,G424+H424-I424),0)</f>
        <v>43.104483966980325</v>
      </c>
      <c r="K424" s="76">
        <f>IF(Escenarios!$E$11&gt;0,IF(J424&gt;Constantes!$E$30,1000*((J424-Constantes!$E$30)/(Escenarios!$E$16*10000)),0),F424)</f>
        <v>0</v>
      </c>
      <c r="L424" s="76">
        <f>IF(Escenarios!$E$11&gt;0,I424*1000/Escenarios!$E$16/10000+E424,E424)</f>
        <v>1.9717769022520057</v>
      </c>
      <c r="M424" s="76">
        <f>MAX(0,N423+Observaciones!$F423-K424-Constantes!$D$13)</f>
        <v>3.6325373958348308</v>
      </c>
      <c r="N424" s="76">
        <f>N423+Observaciones!$F423-K424-L424-M424-O423</f>
        <v>45.608730836720838</v>
      </c>
      <c r="O424" s="76">
        <f>MAX(0,(N424-Constantes!$D$14)*(1-EXP(-Constantes!$D$22)))</f>
        <v>1.1703845057818232</v>
      </c>
      <c r="P424" s="170">
        <f>P423+(Entradas!$E$83*M424-Q423)/(800*Entradas!$D$25)</f>
        <v>0</v>
      </c>
      <c r="Q424" s="170">
        <f>8000*Entradas!$D$26*P424/Constantes!$E$45</f>
        <v>0</v>
      </c>
      <c r="R424" s="170">
        <f>IF(Escenarios!$E$14&gt;0,K424*Escenarios!$E$13/Escenarios!$E$14,0)</f>
        <v>0</v>
      </c>
      <c r="S424" s="170">
        <f>IF(Escenarios!$E$14&gt;0,Q424*Escenarios!$E$13/Escenarios!$E$14,0)</f>
        <v>0</v>
      </c>
      <c r="T424" s="170">
        <f>IF(Escenarios!$E$14&gt;0,Observaciones!$I423,0)</f>
        <v>0</v>
      </c>
      <c r="U424" s="170">
        <f>IF(Escenarios!$E$14&gt;0,MAX(0,Constantes!$E$36/((Z423+R424+S424+T424+Observaciones!$F423)^2)+Entradas!$E$77),0)</f>
        <v>2.283459379929317</v>
      </c>
      <c r="V424" s="146">
        <f>IF(ETo!D423&gt;0,ETo!I423*((1-Entradas!$E$81)*ETo!K423+ETo!L423),0)</f>
        <v>3.6514030662886081</v>
      </c>
      <c r="W424" s="170">
        <f>IF(Escenarios!$E$14&gt;0,MIN(V424*1,0.8*(Z423+R424+S424+T424+Observaciones!$F423-U424-Constantes!$E$35)),0)</f>
        <v>3.6514030662886081</v>
      </c>
      <c r="X424" s="170">
        <f>IF(Escenarios!$E$14&gt;0,Observaciones!$J423,0)</f>
        <v>0</v>
      </c>
      <c r="Y424" s="170">
        <f>IF(Escenarios!$E$14&gt;0,MAX(0,Z423+R424+S424+T424+Observaciones!$F423-U424-W424-X424-Constantes!$E$33),0)</f>
        <v>0</v>
      </c>
      <c r="Z424" s="170">
        <f>Z423+R424+S424+T424+Observaciones!$F423-U424-W424-Y424</f>
        <v>113.7656709970676</v>
      </c>
      <c r="AA424" s="170">
        <f>IF(Escenarios!$E$14&gt;0,(Escenarios!$E$13*L424+Escenarios!$E$14*W424)/(Escenarios!$E$16),L424)</f>
        <v>2.1733320419363982</v>
      </c>
      <c r="AB424" s="170">
        <f>IF(Escenarios!$E$14&gt;0,(Escenarios!$E$14*Y424)/(Escenarios!$E$16),K424)</f>
        <v>0</v>
      </c>
      <c r="AC424" s="170">
        <f>IF(Escenarios!$E$14&gt;0,(Escenarios!$E$13*M424+Escenarios!$E$14*U424)/(Escenarios!$E$16),M424)</f>
        <v>3.4706480339261687</v>
      </c>
      <c r="AD424" s="76">
        <f t="shared" si="85"/>
        <v>138.40360878823122</v>
      </c>
      <c r="AE424" s="76">
        <f>MAX(0,(AD424-Constantes!$D$13)*(1-EXP(-Constantes!$D$23)))</f>
        <v>0.88337836121638469</v>
      </c>
      <c r="AF424" s="76">
        <f>AB424+O424*Escenarios!$E$13/Escenarios!$E$16+AE424</f>
        <v>1.9133167263043891</v>
      </c>
      <c r="AG424" s="76">
        <f>IF(Entradas!$E$91&gt;0,IF(AF424-Escenarios!$E$38&lt;=0,0,IF(AF424-Escenarios!$E$38&gt;Escenarios!$E$37,Escenarios!$E$37,AF424-Escenarios!$E$38)),0)</f>
        <v>0</v>
      </c>
      <c r="AH424" s="76">
        <f>AG424*Entradas!$E$99</f>
        <v>0</v>
      </c>
      <c r="AI424" s="76">
        <f>IF(Entradas!$E$91&gt;0,D424*Entradas!$D$23/Escenarios!$E$16,0)</f>
        <v>0</v>
      </c>
      <c r="AJ424" s="76">
        <f>IF(Entradas!$E$91&gt;0,Entradas!$D$24*Entradas!$D$22/Escenarios!$E$16,0)</f>
        <v>0</v>
      </c>
      <c r="AK424" s="76">
        <f t="shared" si="94"/>
        <v>2.1733320419363982</v>
      </c>
      <c r="AL424" s="76">
        <f t="shared" si="95"/>
        <v>0</v>
      </c>
      <c r="AM424" s="76">
        <f t="shared" si="86"/>
        <v>0</v>
      </c>
      <c r="AN424" s="76">
        <f>MAX(0,O424*Escenarios!$E$13/Escenarios!$E$16-AM424)</f>
        <v>1.0299383650880045</v>
      </c>
      <c r="AO424" s="76">
        <f>AM424+AN424-O424*Escenarios!$E$13/Escenarios!$E$16</f>
        <v>0</v>
      </c>
      <c r="AP424" s="76">
        <f t="shared" si="84"/>
        <v>0.88337836121638469</v>
      </c>
      <c r="AQ424" s="76">
        <f t="shared" si="87"/>
        <v>0</v>
      </c>
      <c r="AR424" s="76">
        <f t="shared" si="88"/>
        <v>1.9133167263043891</v>
      </c>
      <c r="AS424" s="76">
        <f t="shared" si="89"/>
        <v>0</v>
      </c>
      <c r="AT424" s="76">
        <f t="shared" si="90"/>
        <v>3.4706480339261687</v>
      </c>
      <c r="AU424" s="76">
        <f t="shared" si="91"/>
        <v>48.75</v>
      </c>
      <c r="AV424" s="76">
        <f>MAX(0,(AU424-Constantes!$D$13)*(1-EXP(-Constantes!$D$24)))</f>
        <v>0</v>
      </c>
      <c r="AW424" s="170">
        <f>AW423+(Entradas!$E$112*AT424-AX423)/(800*Entradas!$D$25)</f>
        <v>0</v>
      </c>
      <c r="AX424" s="170">
        <f>8000*Entradas!$D$26*AW424/Constantes!$E$45</f>
        <v>0</v>
      </c>
      <c r="AY424" s="170">
        <f>IF(Escenarios!$E$17&gt;0,10*Escenarios!$E$16*AL424,0)</f>
        <v>0</v>
      </c>
      <c r="AZ424" s="170">
        <f>IF(Escenarios!$E$17&gt;0,10*Escenarios!$E$16*AX424,0)</f>
        <v>0</v>
      </c>
      <c r="BA424" s="170">
        <f>IF(Escenarios!$E$17&gt;0,0.001*Observaciones!$F423*Escenarios!$E$17,0)</f>
        <v>136</v>
      </c>
      <c r="BB424" s="170">
        <f>IF(Escenarios!$E$17&gt;0,Observaciones!$K423,0)</f>
        <v>16.741517492921258</v>
      </c>
      <c r="BC424" s="170">
        <f>IF(Escenarios!$E$17&gt;0,MIN(0.0005*ETo!$M423*Escenarios!$E$17*(BG423/Constantes!$E$40)^(2/3),BG423+AY424+AZ424+BA424+BB424),0)</f>
        <v>36.613537123173771</v>
      </c>
      <c r="BD424" s="170">
        <f>IF(Escenarios!$E$17&gt;0,MIN(Constantes!$E$39*(BG423/Constantes!$E$40)^(2/3),BG423+AY424+AZ424+BA424+BB424-BC424),0)</f>
        <v>64.386855589778975</v>
      </c>
      <c r="BE424" s="170">
        <f>IF(Escenarios!$E$17&gt;0,MIN(Entradas!$E$113,BG423+AY424+AZ424+BA424+BB424-BC424-BD424),0)</f>
        <v>1</v>
      </c>
      <c r="BF424" s="170">
        <f>IF(Escenarios!$E$17&gt;0,MAX(0,BG423+AY424+AZ424+BA424+BB424-BC424-BD424-BE424-Constantes!$E$40),0)</f>
        <v>0</v>
      </c>
      <c r="BG424" s="170">
        <f t="shared" si="96"/>
        <v>4864.3365410062106</v>
      </c>
      <c r="BH424" s="170">
        <f>(Escenarios!$E$16*AK424+0.1*BC424)/(Escenarios!$E$19)</f>
        <v>2.1706125563349876</v>
      </c>
      <c r="BI424" s="170">
        <f>IF(Escenarios!$E$17&gt;0,BF424/10/Escenarios!$E$19,AL424)</f>
        <v>0</v>
      </c>
      <c r="BJ424" s="170">
        <f>(Escenarios!$E$16*AT424+0.1*BD424)/(Escenarios!$E$19)</f>
        <v>3.4686535477798417</v>
      </c>
      <c r="BK424" s="76">
        <f>BK423+(0.1*BD424)/(Escenarios!$E$19)-BL423</f>
        <v>50.133075663198376</v>
      </c>
      <c r="BL424" s="76">
        <f>MAX(0,(BK424-Constantes!$D$13)*(1-EXP(-Constantes!$D$23)))</f>
        <v>1.3627773932451317E-2</v>
      </c>
      <c r="BM424" s="76">
        <f t="shared" si="92"/>
        <v>0.89700613514883598</v>
      </c>
      <c r="BN424" s="76">
        <f t="shared" si="97"/>
        <v>1.9269445002368404</v>
      </c>
      <c r="BO424" s="76">
        <f>0.0526*BI424*Observaciones!$F423^1.218</f>
        <v>0</v>
      </c>
      <c r="BP424" s="76">
        <f>BO424*Constantes!$E$51</f>
        <v>0</v>
      </c>
      <c r="BQ424" s="76">
        <f t="shared" si="93"/>
        <v>0</v>
      </c>
      <c r="BR424" s="40"/>
    </row>
    <row r="425" spans="1:70">
      <c r="A425" s="147"/>
      <c r="B425" s="39"/>
      <c r="C425" s="75">
        <v>419</v>
      </c>
      <c r="D425" s="146">
        <f>ETo!$I424*((1-Constantes!$E$19)*ETo!$K424+ETo!$L424)</f>
        <v>4.3096058141583864</v>
      </c>
      <c r="E425" s="76">
        <f>MIN(D425*Constantes!$E$17,0.8*(N424+Observaciones!$F424-F425-M425-Constantes!$D$14))</f>
        <v>2.1070193469429692</v>
      </c>
      <c r="F425" s="76">
        <f>IF(Observaciones!$F424&gt;0.05*Constantes!$E$18,((Observaciones!$F424-0.05*Constantes!$E$18)^2)/(Observaciones!$F424+0.95*Constantes!$E$18),0)</f>
        <v>3.3617405770589968</v>
      </c>
      <c r="G425" s="76">
        <f>IF(Escenarios!$E$11&gt;0,(F425*Escenarios!$E$16*10000)/1000,0)</f>
        <v>8404.3514426474921</v>
      </c>
      <c r="H425" s="76">
        <f>IF(Escenarios!$E$11&gt;0,(Observaciones!$F424*Constantes!$E$29)/1000,0)</f>
        <v>277</v>
      </c>
      <c r="I425" s="76">
        <f>IF(Escenarios!$E$11&gt;0,(D425*Constantes!$E$29)/1000,0)</f>
        <v>43.09605814158386</v>
      </c>
      <c r="J425" s="76">
        <f>IF(Escenarios!$E$11&gt;0,MAX(0,G425+H425-I425),0)</f>
        <v>8638.2553845059083</v>
      </c>
      <c r="K425" s="76">
        <f>IF(Escenarios!$E$11&gt;0,IF(J425&gt;Constantes!$E$30,1000*((J425-Constantes!$E$30)/(Escenarios!$E$16*10000)),0),F425)</f>
        <v>2.9405962714494223</v>
      </c>
      <c r="L425" s="76">
        <f>IF(Escenarios!$E$11&gt;0,I425*1000/Escenarios!$E$16/10000+E425,E425)</f>
        <v>2.1242577701996028</v>
      </c>
      <c r="M425" s="76">
        <f>MAX(0,N424+Observaciones!$F424-K425-Constantes!$D$13)</f>
        <v>21.618134565271419</v>
      </c>
      <c r="N425" s="76">
        <f>N424+Observaciones!$F424-K425-L425-M425-O424</f>
        <v>45.455357724018569</v>
      </c>
      <c r="O425" s="76">
        <f>MAX(0,(N425-Constantes!$D$14)*(1-EXP(-Constantes!$D$22)))</f>
        <v>1.1651600545189604</v>
      </c>
      <c r="P425" s="170">
        <f>P424+(Entradas!$E$83*M425-Q424)/(800*Entradas!$D$25)</f>
        <v>0</v>
      </c>
      <c r="Q425" s="170">
        <f>8000*Entradas!$D$26*P425/Constantes!$E$45</f>
        <v>0</v>
      </c>
      <c r="R425" s="170">
        <f>IF(Escenarios!$E$14&gt;0,K425*Escenarios!$E$13/Escenarios!$E$14,0)</f>
        <v>21.564372657295767</v>
      </c>
      <c r="S425" s="170">
        <f>IF(Escenarios!$E$14&gt;0,Q425*Escenarios!$E$13/Escenarios!$E$14,0)</f>
        <v>0</v>
      </c>
      <c r="T425" s="170">
        <f>IF(Escenarios!$E$14&gt;0,Observaciones!$I424,0)</f>
        <v>0</v>
      </c>
      <c r="U425" s="170">
        <f>IF(Escenarios!$E$14&gt;0,MAX(0,Constantes!$E$36/((Z424+R425+S425+T425+Observaciones!$F424)^2)+Entradas!$E$77),0)</f>
        <v>2.6137240251764311</v>
      </c>
      <c r="V425" s="146">
        <f>IF(ETo!D424&gt;0,ETo!I424*((1-Entradas!$E$81)*ETo!K424+ETo!L424),0)</f>
        <v>3.9365358293436037</v>
      </c>
      <c r="W425" s="170">
        <f>IF(Escenarios!$E$14&gt;0,MIN(V425*1,0.8*(Z424+R425+S425+T425+Observaciones!$F424-U425-Constantes!$E$35)),0)</f>
        <v>3.9365358293436037</v>
      </c>
      <c r="X425" s="170">
        <f>IF(Escenarios!$E$14&gt;0,Observaciones!$J424,0)</f>
        <v>0</v>
      </c>
      <c r="Y425" s="170">
        <f>IF(Escenarios!$E$14&gt;0,MAX(0,Z424+R425+S425+T425+Observaciones!$F424-U425-W425-X425-Constantes!$E$33),0)</f>
        <v>0</v>
      </c>
      <c r="Z425" s="170">
        <f>Z424+R425+S425+T425+Observaciones!$F424-U425-W425-Y425</f>
        <v>156.47978379984335</v>
      </c>
      <c r="AA425" s="170">
        <f>IF(Escenarios!$E$14&gt;0,(Escenarios!$E$13*L425+Escenarios!$E$14*W425)/(Escenarios!$E$16),L425)</f>
        <v>2.341731137296883</v>
      </c>
      <c r="AB425" s="170">
        <f>IF(Escenarios!$E$14&gt;0,(Escenarios!$E$14*Y425)/(Escenarios!$E$16),K425)</f>
        <v>0</v>
      </c>
      <c r="AC425" s="170">
        <f>IF(Escenarios!$E$14&gt;0,(Escenarios!$E$13*M425+Escenarios!$E$14*U425)/(Escenarios!$E$16),M425)</f>
        <v>19.337605300460019</v>
      </c>
      <c r="AD425" s="76">
        <f t="shared" si="85"/>
        <v>156.85783572747485</v>
      </c>
      <c r="AE425" s="76">
        <f>MAX(0,(AD425-Constantes!$D$13)*(1-EXP(-Constantes!$D$23)))</f>
        <v>1.0652122547031604</v>
      </c>
      <c r="AF425" s="76">
        <f>AB425+O425*Escenarios!$E$13/Escenarios!$E$16+AE425</f>
        <v>2.0905531026798458</v>
      </c>
      <c r="AG425" s="76">
        <f>IF(Entradas!$E$91&gt;0,IF(AF425-Escenarios!$E$38&lt;=0,0,IF(AF425-Escenarios!$E$38&gt;Escenarios!$E$37,Escenarios!$E$37,AF425-Escenarios!$E$38)),0)</f>
        <v>0</v>
      </c>
      <c r="AH425" s="76">
        <f>AG425*Entradas!$E$99</f>
        <v>0</v>
      </c>
      <c r="AI425" s="76">
        <f>IF(Entradas!$E$91&gt;0,D425*Entradas!$D$23/Escenarios!$E$16,0)</f>
        <v>0</v>
      </c>
      <c r="AJ425" s="76">
        <f>IF(Entradas!$E$91&gt;0,Entradas!$D$24*Entradas!$D$22/Escenarios!$E$16,0)</f>
        <v>0</v>
      </c>
      <c r="AK425" s="76">
        <f t="shared" si="94"/>
        <v>2.341731137296883</v>
      </c>
      <c r="AL425" s="76">
        <f t="shared" si="95"/>
        <v>0</v>
      </c>
      <c r="AM425" s="76">
        <f t="shared" si="86"/>
        <v>0</v>
      </c>
      <c r="AN425" s="76">
        <f>MAX(0,O425*Escenarios!$E$13/Escenarios!$E$16-AM425)</f>
        <v>1.0253408479766852</v>
      </c>
      <c r="AO425" s="76">
        <f>AM425+AN425-O425*Escenarios!$E$13/Escenarios!$E$16</f>
        <v>0</v>
      </c>
      <c r="AP425" s="76">
        <f t="shared" si="84"/>
        <v>1.0652122547031604</v>
      </c>
      <c r="AQ425" s="76">
        <f t="shared" si="87"/>
        <v>0</v>
      </c>
      <c r="AR425" s="76">
        <f t="shared" si="88"/>
        <v>2.0905531026798458</v>
      </c>
      <c r="AS425" s="76">
        <f t="shared" si="89"/>
        <v>0</v>
      </c>
      <c r="AT425" s="76">
        <f t="shared" si="90"/>
        <v>19.337605300460019</v>
      </c>
      <c r="AU425" s="76">
        <f t="shared" si="91"/>
        <v>48.75</v>
      </c>
      <c r="AV425" s="76">
        <f>MAX(0,(AU425-Constantes!$D$13)*(1-EXP(-Constantes!$D$24)))</f>
        <v>0</v>
      </c>
      <c r="AW425" s="170">
        <f>AW424+(Entradas!$E$112*AT425-AX424)/(800*Entradas!$D$25)</f>
        <v>0</v>
      </c>
      <c r="AX425" s="170">
        <f>8000*Entradas!$D$26*AW425/Constantes!$E$45</f>
        <v>0</v>
      </c>
      <c r="AY425" s="170">
        <f>IF(Escenarios!$E$17&gt;0,10*Escenarios!$E$16*AL425,0)</f>
        <v>0</v>
      </c>
      <c r="AZ425" s="170">
        <f>IF(Escenarios!$E$17&gt;0,10*Escenarios!$E$16*AX425,0)</f>
        <v>0</v>
      </c>
      <c r="BA425" s="170">
        <f>IF(Escenarios!$E$17&gt;0,0.001*Observaciones!$F424*Escenarios!$E$17,0)</f>
        <v>554</v>
      </c>
      <c r="BB425" s="170">
        <f>IF(Escenarios!$E$17&gt;0,Observaciones!$K424,0)</f>
        <v>265.59205535887259</v>
      </c>
      <c r="BC425" s="170">
        <f>IF(Escenarios!$E$17&gt;0,MIN(0.0005*ETo!$M424*Escenarios!$E$17*(BG424/Constantes!$E$40)^(2/3),BG424+AY425+AZ425+BA425+BB425),0)</f>
        <v>39.686393875135849</v>
      </c>
      <c r="BD425" s="170">
        <f>IF(Escenarios!$E$17&gt;0,MIN(Constantes!$E$39*(BG424/Constantes!$E$40)^(2/3),BG424+AY425+AZ425+BA425+BB425-BC425),0)</f>
        <v>64.838541300901426</v>
      </c>
      <c r="BE425" s="170">
        <f>IF(Escenarios!$E$17&gt;0,MIN(Entradas!$E$113,BG424+AY425+AZ425+BA425+BB425-BC425-BD425),0)</f>
        <v>1</v>
      </c>
      <c r="BF425" s="170">
        <f>IF(Escenarios!$E$17&gt;0,MAX(0,BG424+AY425+AZ425+BA425+BB425-BC425-BD425-BE425-Constantes!$E$40),0)</f>
        <v>0</v>
      </c>
      <c r="BG425" s="170">
        <f t="shared" si="96"/>
        <v>5578.403661189046</v>
      </c>
      <c r="BH425" s="170">
        <f>(Escenarios!$E$16*AK425+0.1*BC425)/(Escenarios!$E$19)</f>
        <v>2.3388945385386282</v>
      </c>
      <c r="BI425" s="170">
        <f>IF(Escenarios!$E$17&gt;0,BF425/10/Escenarios!$E$19,AL425)</f>
        <v>0</v>
      </c>
      <c r="BJ425" s="170">
        <f>(Escenarios!$E$16*AT425+0.1*BD425)/(Escenarios!$E$19)</f>
        <v>19.209861822401169</v>
      </c>
      <c r="BK425" s="76">
        <f>BK424+(0.1*BD425)/(Escenarios!$E$19)-BL424</f>
        <v>50.145177469147235</v>
      </c>
      <c r="BL425" s="76">
        <f>MAX(0,(BK425-Constantes!$D$13)*(1-EXP(-Constantes!$D$23)))</f>
        <v>1.3747015908891035E-2</v>
      </c>
      <c r="BM425" s="76">
        <f t="shared" si="92"/>
        <v>1.0789592706120514</v>
      </c>
      <c r="BN425" s="76">
        <f t="shared" si="97"/>
        <v>2.1043001185887369</v>
      </c>
      <c r="BO425" s="76">
        <f>0.0526*BI425*Observaciones!$F424^1.218</f>
        <v>0</v>
      </c>
      <c r="BP425" s="76">
        <f>BO425*Constantes!$E$51</f>
        <v>0</v>
      </c>
      <c r="BQ425" s="76">
        <f t="shared" si="93"/>
        <v>0</v>
      </c>
      <c r="BR425" s="40"/>
    </row>
    <row r="426" spans="1:70">
      <c r="A426" s="147"/>
      <c r="B426" s="39"/>
      <c r="C426" s="75">
        <v>420</v>
      </c>
      <c r="D426" s="146">
        <f>ETo!$I425*((1-Constantes!$E$19)*ETo!$K425+ETo!$L425)</f>
        <v>4.3249204896830902</v>
      </c>
      <c r="E426" s="76">
        <f>MIN(D426*Constantes!$E$17,0.8*(N425+Observaciones!$F425-F426-M426-Constantes!$D$14))</f>
        <v>2.1145068803773945</v>
      </c>
      <c r="F426" s="76">
        <f>IF(Observaciones!$F425&gt;0.05*Constantes!$E$18,((Observaciones!$F425-0.05*Constantes!$E$18)^2)/(Observaciones!$F425+0.95*Constantes!$E$18),0)</f>
        <v>7.6277808574240935E-2</v>
      </c>
      <c r="G426" s="76">
        <f>IF(Escenarios!$E$11&gt;0,(F426*Escenarios!$E$16*10000)/1000,0)</f>
        <v>190.69452143560233</v>
      </c>
      <c r="H426" s="76">
        <f>IF(Escenarios!$E$11&gt;0,(Observaciones!$F425*Constantes!$E$29)/1000,0)</f>
        <v>90</v>
      </c>
      <c r="I426" s="76">
        <f>IF(Escenarios!$E$11&gt;0,(D426*Constantes!$E$29)/1000,0)</f>
        <v>43.249204896830904</v>
      </c>
      <c r="J426" s="76">
        <f>IF(Escenarios!$E$11&gt;0,MAX(0,G426+H426-I426),0)</f>
        <v>237.44531653877141</v>
      </c>
      <c r="K426" s="76">
        <f>IF(Escenarios!$E$11&gt;0,IF(J426&gt;Constantes!$E$30,1000*((J426-Constantes!$E$30)/(Escenarios!$E$16*10000)),0),F426)</f>
        <v>0</v>
      </c>
      <c r="L426" s="76">
        <f>IF(Escenarios!$E$11&gt;0,I426*1000/Escenarios!$E$16/10000+E426,E426)</f>
        <v>2.1318065623361271</v>
      </c>
      <c r="M426" s="76">
        <f>MAX(0,N425+Observaciones!$F425-K426-Constantes!$D$13)</f>
        <v>5.7053577240185689</v>
      </c>
      <c r="N426" s="76">
        <f>N425+Observaciones!$F425-K426-L426-M426-O425</f>
        <v>45.453033383144913</v>
      </c>
      <c r="O426" s="76">
        <f>MAX(0,(N426-Constantes!$D$14)*(1-EXP(-Constantes!$D$22)))</f>
        <v>1.1650808789359737</v>
      </c>
      <c r="P426" s="170">
        <f>P425+(Entradas!$E$83*M426-Q425)/(800*Entradas!$D$25)</f>
        <v>0</v>
      </c>
      <c r="Q426" s="170">
        <f>8000*Entradas!$D$26*P426/Constantes!$E$45</f>
        <v>0</v>
      </c>
      <c r="R426" s="170">
        <f>IF(Escenarios!$E$14&gt;0,K426*Escenarios!$E$13/Escenarios!$E$14,0)</f>
        <v>0</v>
      </c>
      <c r="S426" s="170">
        <f>IF(Escenarios!$E$14&gt;0,Q426*Escenarios!$E$13/Escenarios!$E$14,0)</f>
        <v>0</v>
      </c>
      <c r="T426" s="170">
        <f>IF(Escenarios!$E$14&gt;0,Observaciones!$I425,0)</f>
        <v>0</v>
      </c>
      <c r="U426" s="170">
        <f>IF(Escenarios!$E$14&gt;0,MAX(0,Constantes!$E$36/((Z425+R426+S426+T426+Observaciones!$F425)^2)+Entradas!$E$77),0)</f>
        <v>2.6250761247808501</v>
      </c>
      <c r="V426" s="146">
        <f>IF(ETo!D425&gt;0,ETo!I425*((1-Entradas!$E$81)*ETo!K425+ETo!L425),0)</f>
        <v>3.9506413230760722</v>
      </c>
      <c r="W426" s="170">
        <f>IF(Escenarios!$E$14&gt;0,MIN(V426*1,0.8*(Z425+R426+S426+T426+Observaciones!$F425-U426-Constantes!$E$35)),0)</f>
        <v>3.9506413230760722</v>
      </c>
      <c r="X426" s="170">
        <f>IF(Escenarios!$E$14&gt;0,Observaciones!$J425,0)</f>
        <v>0</v>
      </c>
      <c r="Y426" s="170">
        <f>IF(Escenarios!$E$14&gt;0,MAX(0,Z425+R426+S426+T426+Observaciones!$F425-U426-W426-X426-Constantes!$E$33),0)</f>
        <v>0</v>
      </c>
      <c r="Z426" s="170">
        <f>Z425+R426+S426+T426+Observaciones!$F425-U426-W426-Y426</f>
        <v>158.90406635198642</v>
      </c>
      <c r="AA426" s="170">
        <f>IF(Escenarios!$E$14&gt;0,(Escenarios!$E$13*L426+Escenarios!$E$14*W426)/(Escenarios!$E$16),L426)</f>
        <v>2.3500667336249208</v>
      </c>
      <c r="AB426" s="170">
        <f>IF(Escenarios!$E$14&gt;0,(Escenarios!$E$14*Y426)/(Escenarios!$E$16),K426)</f>
        <v>0</v>
      </c>
      <c r="AC426" s="170">
        <f>IF(Escenarios!$E$14&gt;0,(Escenarios!$E$13*M426+Escenarios!$E$14*U426)/(Escenarios!$E$16),M426)</f>
        <v>5.3357239321100431</v>
      </c>
      <c r="AD426" s="76">
        <f t="shared" si="85"/>
        <v>161.12834740488174</v>
      </c>
      <c r="AE426" s="76">
        <f>MAX(0,(AD426-Constantes!$D$13)*(1-EXP(-Constantes!$D$23)))</f>
        <v>1.1072906234172855</v>
      </c>
      <c r="AF426" s="76">
        <f>AB426+O426*Escenarios!$E$13/Escenarios!$E$16+AE426</f>
        <v>2.1325617968809425</v>
      </c>
      <c r="AG426" s="76">
        <f>IF(Entradas!$E$91&gt;0,IF(AF426-Escenarios!$E$38&lt;=0,0,IF(AF426-Escenarios!$E$38&gt;Escenarios!$E$37,Escenarios!$E$37,AF426-Escenarios!$E$38)),0)</f>
        <v>0</v>
      </c>
      <c r="AH426" s="76">
        <f>AG426*Entradas!$E$99</f>
        <v>0</v>
      </c>
      <c r="AI426" s="76">
        <f>IF(Entradas!$E$91&gt;0,D426*Entradas!$D$23/Escenarios!$E$16,0)</f>
        <v>0</v>
      </c>
      <c r="AJ426" s="76">
        <f>IF(Entradas!$E$91&gt;0,Entradas!$D$24*Entradas!$D$22/Escenarios!$E$16,0)</f>
        <v>0</v>
      </c>
      <c r="AK426" s="76">
        <f t="shared" si="94"/>
        <v>2.3500667336249208</v>
      </c>
      <c r="AL426" s="76">
        <f t="shared" si="95"/>
        <v>0</v>
      </c>
      <c r="AM426" s="76">
        <f t="shared" si="86"/>
        <v>0</v>
      </c>
      <c r="AN426" s="76">
        <f>MAX(0,O426*Escenarios!$E$13/Escenarios!$E$16-AM426)</f>
        <v>1.0252711734636568</v>
      </c>
      <c r="AO426" s="76">
        <f>AM426+AN426-O426*Escenarios!$E$13/Escenarios!$E$16</f>
        <v>0</v>
      </c>
      <c r="AP426" s="76">
        <f t="shared" si="84"/>
        <v>1.1072906234172855</v>
      </c>
      <c r="AQ426" s="76">
        <f t="shared" si="87"/>
        <v>0</v>
      </c>
      <c r="AR426" s="76">
        <f t="shared" si="88"/>
        <v>2.1325617968809425</v>
      </c>
      <c r="AS426" s="76">
        <f t="shared" si="89"/>
        <v>0</v>
      </c>
      <c r="AT426" s="76">
        <f t="shared" si="90"/>
        <v>5.3357239321100431</v>
      </c>
      <c r="AU426" s="76">
        <f t="shared" si="91"/>
        <v>48.75</v>
      </c>
      <c r="AV426" s="76">
        <f>MAX(0,(AU426-Constantes!$D$13)*(1-EXP(-Constantes!$D$24)))</f>
        <v>0</v>
      </c>
      <c r="AW426" s="170">
        <f>AW425+(Entradas!$E$112*AT426-AX425)/(800*Entradas!$D$25)</f>
        <v>0</v>
      </c>
      <c r="AX426" s="170">
        <f>8000*Entradas!$D$26*AW426/Constantes!$E$45</f>
        <v>0</v>
      </c>
      <c r="AY426" s="170">
        <f>IF(Escenarios!$E$17&gt;0,10*Escenarios!$E$16*AL426,0)</f>
        <v>0</v>
      </c>
      <c r="AZ426" s="170">
        <f>IF(Escenarios!$E$17&gt;0,10*Escenarios!$E$16*AX426,0)</f>
        <v>0</v>
      </c>
      <c r="BA426" s="170">
        <f>IF(Escenarios!$E$17&gt;0,0.001*Observaciones!$F425*Escenarios!$E$17,0)</f>
        <v>180.00000000000003</v>
      </c>
      <c r="BB426" s="170">
        <f>IF(Escenarios!$E$17&gt;0,Observaciones!$K425,0)</f>
        <v>0</v>
      </c>
      <c r="BC426" s="170">
        <f>IF(Escenarios!$E$17&gt;0,MIN(0.0005*ETo!$M425*Escenarios!$E$17*(BG425/Constantes!$E$40)^(2/3),BG425+AY426+AZ426+BA426+BB426),0)</f>
        <v>43.633852157332782</v>
      </c>
      <c r="BD426" s="170">
        <f>IF(Escenarios!$E$17&gt;0,MIN(Constantes!$E$39*(BG425/Constantes!$E$40)^(2/3),BG425+AY426+AZ426+BA426+BB426-BC426),0)</f>
        <v>71.038009597848614</v>
      </c>
      <c r="BE426" s="170">
        <f>IF(Escenarios!$E$17&gt;0,MIN(Entradas!$E$113,BG425+AY426+AZ426+BA426+BB426-BC426-BD426),0)</f>
        <v>1</v>
      </c>
      <c r="BF426" s="170">
        <f>IF(Escenarios!$E$17&gt;0,MAX(0,BG425+AY426+AZ426+BA426+BB426-BC426-BD426-BE426-Constantes!$E$40),0)</f>
        <v>0</v>
      </c>
      <c r="BG426" s="170">
        <f t="shared" si="96"/>
        <v>5642.7317994338646</v>
      </c>
      <c r="BH426" s="170">
        <f>(Escenarios!$E$16*AK426+0.1*BC426)/(Escenarios!$E$19)</f>
        <v>2.3487304310395376</v>
      </c>
      <c r="BI426" s="170">
        <f>IF(Escenarios!$E$17&gt;0,BF426/10/Escenarios!$E$19,AL426)</f>
        <v>0</v>
      </c>
      <c r="BJ426" s="170">
        <f>(Escenarios!$E$16*AT426+0.1*BD426)/(Escenarios!$E$19)</f>
        <v>5.3215666031241895</v>
      </c>
      <c r="BK426" s="76">
        <f>BK425+(0.1*BD426)/(Escenarios!$E$19)-BL425</f>
        <v>50.1596201395867</v>
      </c>
      <c r="BL426" s="76">
        <f>MAX(0,(BK426-Constantes!$D$13)*(1-EXP(-Constantes!$D$23)))</f>
        <v>1.3889322980707171E-2</v>
      </c>
      <c r="BM426" s="76">
        <f t="shared" si="92"/>
        <v>1.1211799463979926</v>
      </c>
      <c r="BN426" s="76">
        <f t="shared" si="97"/>
        <v>2.1464511198616498</v>
      </c>
      <c r="BO426" s="76">
        <f>0.0526*BI426*Observaciones!$F425^1.218</f>
        <v>0</v>
      </c>
      <c r="BP426" s="76">
        <f>BO426*Constantes!$E$51</f>
        <v>0</v>
      </c>
      <c r="BQ426" s="76">
        <f t="shared" si="93"/>
        <v>0</v>
      </c>
      <c r="BR426" s="40"/>
    </row>
    <row r="427" spans="1:70">
      <c r="A427" s="147"/>
      <c r="B427" s="39"/>
      <c r="C427" s="75">
        <v>421</v>
      </c>
      <c r="D427" s="146">
        <f>ETo!$I426*((1-Constantes!$E$19)*ETo!$K426+ETo!$L426)</f>
        <v>4.2867665315916206</v>
      </c>
      <c r="E427" s="76">
        <f>MIN(D427*Constantes!$E$17,0.8*(N426+Observaciones!$F426-F427-M427-Constantes!$D$14))</f>
        <v>2.095852940474801</v>
      </c>
      <c r="F427" s="76">
        <f>IF(Observaciones!$F426&gt;0.05*Constantes!$E$18,((Observaciones!$F426-0.05*Constantes!$E$18)^2)/(Observaciones!$F426+0.95*Constantes!$E$18),0)</f>
        <v>0</v>
      </c>
      <c r="G427" s="76">
        <f>IF(Escenarios!$E$11&gt;0,(F427*Escenarios!$E$16*10000)/1000,0)</f>
        <v>0</v>
      </c>
      <c r="H427" s="76">
        <f>IF(Escenarios!$E$11&gt;0,(Observaciones!$F426*Constantes!$E$29)/1000,0)</f>
        <v>5</v>
      </c>
      <c r="I427" s="76">
        <f>IF(Escenarios!$E$11&gt;0,(D427*Constantes!$E$29)/1000,0)</f>
        <v>42.867665315916206</v>
      </c>
      <c r="J427" s="76">
        <f>IF(Escenarios!$E$11&gt;0,MAX(0,G427+H427-I427),0)</f>
        <v>0</v>
      </c>
      <c r="K427" s="76">
        <f>IF(Escenarios!$E$11&gt;0,IF(J427&gt;Constantes!$E$30,1000*((J427-Constantes!$E$30)/(Escenarios!$E$16*10000)),0),F427)</f>
        <v>0</v>
      </c>
      <c r="L427" s="76">
        <f>IF(Escenarios!$E$11&gt;0,I427*1000/Escenarios!$E$16/10000+E427,E427)</f>
        <v>2.1130000066011676</v>
      </c>
      <c r="M427" s="76">
        <f>MAX(0,N426+Observaciones!$F426-K427-Constantes!$D$13)</f>
        <v>0</v>
      </c>
      <c r="N427" s="76">
        <f>N426+Observaciones!$F426-K427-L427-M427-O426</f>
        <v>42.674952497607769</v>
      </c>
      <c r="O427" s="76">
        <f>MAX(0,(N427-Constantes!$D$14)*(1-EXP(-Constantes!$D$22)))</f>
        <v>1.0704492454308627</v>
      </c>
      <c r="P427" s="170">
        <f>P426+(Entradas!$E$83*M427-Q426)/(800*Entradas!$D$25)</f>
        <v>0</v>
      </c>
      <c r="Q427" s="170">
        <f>8000*Entradas!$D$26*P427/Constantes!$E$45</f>
        <v>0</v>
      </c>
      <c r="R427" s="170">
        <f>IF(Escenarios!$E$14&gt;0,K427*Escenarios!$E$13/Escenarios!$E$14,0)</f>
        <v>0</v>
      </c>
      <c r="S427" s="170">
        <f>IF(Escenarios!$E$14&gt;0,Q427*Escenarios!$E$13/Escenarios!$E$14,0)</f>
        <v>0</v>
      </c>
      <c r="T427" s="170">
        <f>IF(Escenarios!$E$14&gt;0,Observaciones!$I426,0)</f>
        <v>0</v>
      </c>
      <c r="U427" s="170">
        <f>IF(Escenarios!$E$14&gt;0,MAX(0,Constantes!$E$36/((Z426+R427+S427+T427+Observaciones!$F426)^2)+Entradas!$E$77),0)</f>
        <v>2.5959508522789823</v>
      </c>
      <c r="V427" s="146">
        <f>IF(ETo!D426&gt;0,ETo!I426*((1-Entradas!$E$81)*ETo!K426+ETo!L426),0)</f>
        <v>3.9152475743374233</v>
      </c>
      <c r="W427" s="170">
        <f>IF(Escenarios!$E$14&gt;0,MIN(V427*1,0.8*(Z426+R427+S427+T427+Observaciones!$F426-U427-Constantes!$E$35)),0)</f>
        <v>3.9152475743374233</v>
      </c>
      <c r="X427" s="170">
        <f>IF(Escenarios!$E$14&gt;0,Observaciones!$J426,0)</f>
        <v>0</v>
      </c>
      <c r="Y427" s="170">
        <f>IF(Escenarios!$E$14&gt;0,MAX(0,Z426+R427+S427+T427+Observaciones!$F426-U427-W427-X427-Constantes!$E$33),0)</f>
        <v>0</v>
      </c>
      <c r="Z427" s="170">
        <f>Z426+R427+S427+T427+Observaciones!$F426-U427-W427-Y427</f>
        <v>152.89286792537001</v>
      </c>
      <c r="AA427" s="170">
        <f>IF(Escenarios!$E$14&gt;0,(Escenarios!$E$13*L427+Escenarios!$E$14*W427)/(Escenarios!$E$16),L427)</f>
        <v>2.3292697147295183</v>
      </c>
      <c r="AB427" s="170">
        <f>IF(Escenarios!$E$14&gt;0,(Escenarios!$E$14*Y427)/(Escenarios!$E$16),K427)</f>
        <v>0</v>
      </c>
      <c r="AC427" s="170">
        <f>IF(Escenarios!$E$14&gt;0,(Escenarios!$E$13*M427+Escenarios!$E$14*U427)/(Escenarios!$E$16),M427)</f>
        <v>0.31151410227347787</v>
      </c>
      <c r="AD427" s="76">
        <f t="shared" si="85"/>
        <v>160.33257088373793</v>
      </c>
      <c r="AE427" s="76">
        <f>MAX(0,(AD427-Constantes!$D$13)*(1-EXP(-Constantes!$D$23)))</f>
        <v>1.0994496478152553</v>
      </c>
      <c r="AF427" s="76">
        <f>AB427+O427*Escenarios!$E$13/Escenarios!$E$16+AE427</f>
        <v>2.0414449837944146</v>
      </c>
      <c r="AG427" s="76">
        <f>IF(Entradas!$E$91&gt;0,IF(AF427-Escenarios!$E$38&lt;=0,0,IF(AF427-Escenarios!$E$38&gt;Escenarios!$E$37,Escenarios!$E$37,AF427-Escenarios!$E$38)),0)</f>
        <v>0</v>
      </c>
      <c r="AH427" s="76">
        <f>AG427*Entradas!$E$99</f>
        <v>0</v>
      </c>
      <c r="AI427" s="76">
        <f>IF(Entradas!$E$91&gt;0,D427*Entradas!$D$23/Escenarios!$E$16,0)</f>
        <v>0</v>
      </c>
      <c r="AJ427" s="76">
        <f>IF(Entradas!$E$91&gt;0,Entradas!$D$24*Entradas!$D$22/Escenarios!$E$16,0)</f>
        <v>0</v>
      </c>
      <c r="AK427" s="76">
        <f t="shared" si="94"/>
        <v>2.3292697147295183</v>
      </c>
      <c r="AL427" s="76">
        <f t="shared" si="95"/>
        <v>0</v>
      </c>
      <c r="AM427" s="76">
        <f t="shared" si="86"/>
        <v>0</v>
      </c>
      <c r="AN427" s="76">
        <f>MAX(0,O427*Escenarios!$E$13/Escenarios!$E$16-AM427)</f>
        <v>0.94199533597915919</v>
      </c>
      <c r="AO427" s="76">
        <f>AM427+AN427-O427*Escenarios!$E$13/Escenarios!$E$16</f>
        <v>0</v>
      </c>
      <c r="AP427" s="76">
        <f t="shared" si="84"/>
        <v>1.0994496478152553</v>
      </c>
      <c r="AQ427" s="76">
        <f t="shared" si="87"/>
        <v>0</v>
      </c>
      <c r="AR427" s="76">
        <f t="shared" si="88"/>
        <v>2.0414449837944146</v>
      </c>
      <c r="AS427" s="76">
        <f t="shared" si="89"/>
        <v>0</v>
      </c>
      <c r="AT427" s="76">
        <f t="shared" si="90"/>
        <v>0.31151410227347787</v>
      </c>
      <c r="AU427" s="76">
        <f t="shared" si="91"/>
        <v>48.75</v>
      </c>
      <c r="AV427" s="76">
        <f>MAX(0,(AU427-Constantes!$D$13)*(1-EXP(-Constantes!$D$24)))</f>
        <v>0</v>
      </c>
      <c r="AW427" s="170">
        <f>AW426+(Entradas!$E$112*AT427-AX426)/(800*Entradas!$D$25)</f>
        <v>0</v>
      </c>
      <c r="AX427" s="170">
        <f>8000*Entradas!$D$26*AW427/Constantes!$E$45</f>
        <v>0</v>
      </c>
      <c r="AY427" s="170">
        <f>IF(Escenarios!$E$17&gt;0,10*Escenarios!$E$16*AL427,0)</f>
        <v>0</v>
      </c>
      <c r="AZ427" s="170">
        <f>IF(Escenarios!$E$17&gt;0,10*Escenarios!$E$16*AX427,0)</f>
        <v>0</v>
      </c>
      <c r="BA427" s="170">
        <f>IF(Escenarios!$E$17&gt;0,0.001*Observaciones!$F426*Escenarios!$E$17,0)</f>
        <v>10</v>
      </c>
      <c r="BB427" s="170">
        <f>IF(Escenarios!$E$17&gt;0,Observaciones!$K426,0)</f>
        <v>0.31269447813933815</v>
      </c>
      <c r="BC427" s="170">
        <f>IF(Escenarios!$E$17&gt;0,MIN(0.0005*ETo!$M426*Escenarios!$E$17*(BG426/Constantes!$E$40)^(2/3),BG426+AY427+AZ427+BA427+BB427),0)</f>
        <v>43.588396930870665</v>
      </c>
      <c r="BD427" s="170">
        <f>IF(Escenarios!$E$17&gt;0,MIN(Constantes!$E$39*(BG426/Constantes!$E$40)^(2/3),BG426+AY427+AZ427+BA427+BB427-BC427),0)</f>
        <v>71.583088455618494</v>
      </c>
      <c r="BE427" s="170">
        <f>IF(Escenarios!$E$17&gt;0,MIN(Entradas!$E$113,BG426+AY427+AZ427+BA427+BB427-BC427-BD427),0)</f>
        <v>1</v>
      </c>
      <c r="BF427" s="170">
        <f>IF(Escenarios!$E$17&gt;0,MAX(0,BG426+AY427+AZ427+BA427+BB427-BC427-BD427-BE427-Constantes!$E$40),0)</f>
        <v>0</v>
      </c>
      <c r="BG427" s="170">
        <f t="shared" si="96"/>
        <v>5536.8730085255156</v>
      </c>
      <c r="BH427" s="170">
        <f>(Escenarios!$E$16*AK427+0.1*BC427)/(Escenarios!$E$19)</f>
        <v>2.3280804300613753</v>
      </c>
      <c r="BI427" s="170">
        <f>IF(Escenarios!$E$17&gt;0,BF427/10/Escenarios!$E$19,AL427)</f>
        <v>0</v>
      </c>
      <c r="BJ427" s="170">
        <f>(Escenarios!$E$16*AT427+0.1*BD427)/(Escenarios!$E$19)</f>
        <v>0.33744775561083856</v>
      </c>
      <c r="BK427" s="76">
        <f>BK426+(0.1*BD427)/(Escenarios!$E$19)-BL426</f>
        <v>50.174136804088377</v>
      </c>
      <c r="BL427" s="76">
        <f>MAX(0,(BK427-Constantes!$D$13)*(1-EXP(-Constantes!$D$23)))</f>
        <v>1.40323591336423E-2</v>
      </c>
      <c r="BM427" s="76">
        <f t="shared" si="92"/>
        <v>1.1134820069488975</v>
      </c>
      <c r="BN427" s="76">
        <f t="shared" si="97"/>
        <v>2.0554773429280568</v>
      </c>
      <c r="BO427" s="76">
        <f>0.0526*BI427*Observaciones!$F426^1.218</f>
        <v>0</v>
      </c>
      <c r="BP427" s="76">
        <f>BO427*Constantes!$E$51</f>
        <v>0</v>
      </c>
      <c r="BQ427" s="76">
        <f t="shared" si="93"/>
        <v>0</v>
      </c>
      <c r="BR427" s="40"/>
    </row>
    <row r="428" spans="1:70">
      <c r="A428" s="147"/>
      <c r="B428" s="39"/>
      <c r="C428" s="75">
        <v>422</v>
      </c>
      <c r="D428" s="146">
        <f>ETo!$I427*((1-Constantes!$E$19)*ETo!$K427+ETo!$L427)</f>
        <v>4.3855433862909248</v>
      </c>
      <c r="E428" s="76">
        <f>MIN(D428*Constantes!$E$17,0.8*(N427+Observaciones!$F427-F428-M428-Constantes!$D$14))</f>
        <v>2.1441461609818493</v>
      </c>
      <c r="F428" s="76">
        <f>IF(Observaciones!$F427&gt;0.05*Constantes!$E$18,((Observaciones!$F427-0.05*Constantes!$E$18)^2)/(Observaciones!$F427+0.95*Constantes!$E$18),0)</f>
        <v>0</v>
      </c>
      <c r="G428" s="76">
        <f>IF(Escenarios!$E$11&gt;0,(F428*Escenarios!$E$16*10000)/1000,0)</f>
        <v>0</v>
      </c>
      <c r="H428" s="76">
        <f>IF(Escenarios!$E$11&gt;0,(Observaciones!$F427*Constantes!$E$29)/1000,0)</f>
        <v>0</v>
      </c>
      <c r="I428" s="76">
        <f>IF(Escenarios!$E$11&gt;0,(D428*Constantes!$E$29)/1000,0)</f>
        <v>43.855433862909244</v>
      </c>
      <c r="J428" s="76">
        <f>IF(Escenarios!$E$11&gt;0,MAX(0,G428+H428-I428),0)</f>
        <v>0</v>
      </c>
      <c r="K428" s="76">
        <f>IF(Escenarios!$E$11&gt;0,IF(J428&gt;Constantes!$E$30,1000*((J428-Constantes!$E$30)/(Escenarios!$E$16*10000)),0),F428)</f>
        <v>0</v>
      </c>
      <c r="L428" s="76">
        <f>IF(Escenarios!$E$11&gt;0,I428*1000/Escenarios!$E$16/10000+E428,E428)</f>
        <v>2.161688334527013</v>
      </c>
      <c r="M428" s="76">
        <f>MAX(0,N427+Observaciones!$F427-K428-Constantes!$D$13)</f>
        <v>0</v>
      </c>
      <c r="N428" s="76">
        <f>N427+Observaciones!$F427-K428-L428-M428-O427</f>
        <v>39.442814917649891</v>
      </c>
      <c r="O428" s="76">
        <f>MAX(0,(N428-Constantes!$D$14)*(1-EXP(-Constantes!$D$22)))</f>
        <v>0.96035077403753211</v>
      </c>
      <c r="P428" s="170">
        <f>P427+(Entradas!$E$83*M428-Q427)/(800*Entradas!$D$25)</f>
        <v>0</v>
      </c>
      <c r="Q428" s="170">
        <f>8000*Entradas!$D$26*P428/Constantes!$E$45</f>
        <v>0</v>
      </c>
      <c r="R428" s="170">
        <f>IF(Escenarios!$E$14&gt;0,K428*Escenarios!$E$13/Escenarios!$E$14,0)</f>
        <v>0</v>
      </c>
      <c r="S428" s="170">
        <f>IF(Escenarios!$E$14&gt;0,Q428*Escenarios!$E$13/Escenarios!$E$14,0)</f>
        <v>0</v>
      </c>
      <c r="T428" s="170">
        <f>IF(Escenarios!$E$14&gt;0,Observaciones!$I427,0)</f>
        <v>0</v>
      </c>
      <c r="U428" s="170">
        <f>IF(Escenarios!$E$14&gt;0,MAX(0,Constantes!$E$36/((Z427+R428+S428+T428+Observaciones!$F427)^2)+Entradas!$E$77),0)</f>
        <v>2.560803841690011</v>
      </c>
      <c r="V428" s="146">
        <f>IF(ETo!D427&gt;0,ETo!I427*((1-Entradas!$E$81)*ETo!K427+ETo!L427),0)</f>
        <v>4.0066949297003953</v>
      </c>
      <c r="W428" s="170">
        <f>IF(Escenarios!$E$14&gt;0,MIN(V428*1,0.8*(Z427+R428+S428+T428+Observaciones!$F427-U428-Constantes!$E$35)),0)</f>
        <v>4.0066949297003953</v>
      </c>
      <c r="X428" s="170">
        <f>IF(Escenarios!$E$14&gt;0,Observaciones!$J427,0)</f>
        <v>0</v>
      </c>
      <c r="Y428" s="170">
        <f>IF(Escenarios!$E$14&gt;0,MAX(0,Z427+R428+S428+T428+Observaciones!$F427-U428-W428-X428-Constantes!$E$33),0)</f>
        <v>0</v>
      </c>
      <c r="Z428" s="170">
        <f>Z427+R428+S428+T428+Observaciones!$F427-U428-W428-Y428</f>
        <v>146.32536915397961</v>
      </c>
      <c r="AA428" s="170">
        <f>IF(Escenarios!$E$14&gt;0,(Escenarios!$E$13*L428+Escenarios!$E$14*W428)/(Escenarios!$E$16),L428)</f>
        <v>2.3830891259478189</v>
      </c>
      <c r="AB428" s="170">
        <f>IF(Escenarios!$E$14&gt;0,(Escenarios!$E$14*Y428)/(Escenarios!$E$16),K428)</f>
        <v>0</v>
      </c>
      <c r="AC428" s="170">
        <f>IF(Escenarios!$E$14&gt;0,(Escenarios!$E$13*M428+Escenarios!$E$14*U428)/(Escenarios!$E$16),M428)</f>
        <v>0.30729646100280134</v>
      </c>
      <c r="AD428" s="76">
        <f t="shared" si="85"/>
        <v>159.54041769692549</v>
      </c>
      <c r="AE428" s="76">
        <f>MAX(0,(AD428-Constantes!$D$13)*(1-EXP(-Constantes!$D$23)))</f>
        <v>1.0916443737894028</v>
      </c>
      <c r="AF428" s="76">
        <f>AB428+O428*Escenarios!$E$13/Escenarios!$E$16+AE428</f>
        <v>1.936753054942431</v>
      </c>
      <c r="AG428" s="76">
        <f>IF(Entradas!$E$91&gt;0,IF(AF428-Escenarios!$E$38&lt;=0,0,IF(AF428-Escenarios!$E$38&gt;Escenarios!$E$37,Escenarios!$E$37,AF428-Escenarios!$E$38)),0)</f>
        <v>0</v>
      </c>
      <c r="AH428" s="76">
        <f>AG428*Entradas!$E$99</f>
        <v>0</v>
      </c>
      <c r="AI428" s="76">
        <f>IF(Entradas!$E$91&gt;0,D428*Entradas!$D$23/Escenarios!$E$16,0)</f>
        <v>0</v>
      </c>
      <c r="AJ428" s="76">
        <f>IF(Entradas!$E$91&gt;0,Entradas!$D$24*Entradas!$D$22/Escenarios!$E$16,0)</f>
        <v>0</v>
      </c>
      <c r="AK428" s="76">
        <f t="shared" si="94"/>
        <v>2.3830891259478189</v>
      </c>
      <c r="AL428" s="76">
        <f t="shared" si="95"/>
        <v>0</v>
      </c>
      <c r="AM428" s="76">
        <f t="shared" si="86"/>
        <v>0</v>
      </c>
      <c r="AN428" s="76">
        <f>MAX(0,O428*Escenarios!$E$13/Escenarios!$E$16-AM428)</f>
        <v>0.84510868115302817</v>
      </c>
      <c r="AO428" s="76">
        <f>AM428+AN428-O428*Escenarios!$E$13/Escenarios!$E$16</f>
        <v>0</v>
      </c>
      <c r="AP428" s="76">
        <f t="shared" si="84"/>
        <v>1.0916443737894028</v>
      </c>
      <c r="AQ428" s="76">
        <f t="shared" si="87"/>
        <v>0</v>
      </c>
      <c r="AR428" s="76">
        <f t="shared" si="88"/>
        <v>1.936753054942431</v>
      </c>
      <c r="AS428" s="76">
        <f t="shared" si="89"/>
        <v>0</v>
      </c>
      <c r="AT428" s="76">
        <f t="shared" si="90"/>
        <v>0.30729646100280134</v>
      </c>
      <c r="AU428" s="76">
        <f t="shared" si="91"/>
        <v>48.75</v>
      </c>
      <c r="AV428" s="76">
        <f>MAX(0,(AU428-Constantes!$D$13)*(1-EXP(-Constantes!$D$24)))</f>
        <v>0</v>
      </c>
      <c r="AW428" s="170">
        <f>AW427+(Entradas!$E$112*AT428-AX427)/(800*Entradas!$D$25)</f>
        <v>0</v>
      </c>
      <c r="AX428" s="170">
        <f>8000*Entradas!$D$26*AW428/Constantes!$E$45</f>
        <v>0</v>
      </c>
      <c r="AY428" s="170">
        <f>IF(Escenarios!$E$17&gt;0,10*Escenarios!$E$16*AL428,0)</f>
        <v>0</v>
      </c>
      <c r="AZ428" s="170">
        <f>IF(Escenarios!$E$17&gt;0,10*Escenarios!$E$16*AX428,0)</f>
        <v>0</v>
      </c>
      <c r="BA428" s="170">
        <f>IF(Escenarios!$E$17&gt;0,0.001*Observaciones!$F427*Escenarios!$E$17,0)</f>
        <v>0</v>
      </c>
      <c r="BB428" s="170">
        <f>IF(Escenarios!$E$17&gt;0,Observaciones!$K427,0)</f>
        <v>0</v>
      </c>
      <c r="BC428" s="170">
        <f>IF(Escenarios!$E$17&gt;0,MIN(0.0005*ETo!$M427*Escenarios!$E$17*(BG427/Constantes!$E$40)^(2/3),BG427+AY428+AZ428+BA428+BB428),0)</f>
        <v>44.01618459077239</v>
      </c>
      <c r="BD428" s="170">
        <f>IF(Escenarios!$E$17&gt;0,MIN(Constantes!$E$39*(BG427/Constantes!$E$40)^(2/3),BG427+AY428+AZ428+BA428+BB428-BC428),0)</f>
        <v>70.684990111439134</v>
      </c>
      <c r="BE428" s="170">
        <f>IF(Escenarios!$E$17&gt;0,MIN(Entradas!$E$113,BG427+AY428+AZ428+BA428+BB428-BC428-BD428),0)</f>
        <v>1</v>
      </c>
      <c r="BF428" s="170">
        <f>IF(Escenarios!$E$17&gt;0,MAX(0,BG427+AY428+AZ428+BA428+BB428-BC428-BD428-BE428-Constantes!$E$40),0)</f>
        <v>0</v>
      </c>
      <c r="BG428" s="170">
        <f t="shared" si="96"/>
        <v>5421.171833823304</v>
      </c>
      <c r="BH428" s="170">
        <f>(Escenarios!$E$16*AK428+0.1*BC428)/(Escenarios!$E$19)</f>
        <v>2.3816424601033015</v>
      </c>
      <c r="BI428" s="170">
        <f>IF(Escenarios!$E$17&gt;0,BF428/10/Escenarios!$E$19,AL428)</f>
        <v>0</v>
      </c>
      <c r="BJ428" s="170">
        <f>(Escenarios!$E$16*AT428+0.1*BD428)/(Escenarios!$E$19)</f>
        <v>0.33290719945176289</v>
      </c>
      <c r="BK428" s="76">
        <f>BK427+(0.1*BD428)/(Escenarios!$E$19)-BL427</f>
        <v>50.188154044205305</v>
      </c>
      <c r="BL428" s="76">
        <f>MAX(0,(BK428-Constantes!$D$13)*(1-EXP(-Constantes!$D$23)))</f>
        <v>1.4170474339160875E-2</v>
      </c>
      <c r="BM428" s="76">
        <f t="shared" si="92"/>
        <v>1.1058148481285637</v>
      </c>
      <c r="BN428" s="76">
        <f t="shared" si="97"/>
        <v>1.9509235292815919</v>
      </c>
      <c r="BO428" s="76">
        <f>0.0526*BI428*Observaciones!$F427^1.218</f>
        <v>0</v>
      </c>
      <c r="BP428" s="76">
        <f>BO428*Constantes!$E$51</f>
        <v>0</v>
      </c>
      <c r="BQ428" s="76">
        <f t="shared" si="93"/>
        <v>0</v>
      </c>
      <c r="BR428" s="40"/>
    </row>
    <row r="429" spans="1:70">
      <c r="A429" s="147"/>
      <c r="B429" s="39"/>
      <c r="C429" s="75">
        <v>423</v>
      </c>
      <c r="D429" s="146">
        <f>ETo!$I428*((1-Constantes!$E$19)*ETo!$K428+ETo!$L428)</f>
        <v>4.1613809833505488</v>
      </c>
      <c r="E429" s="76">
        <f>MIN(D429*Constantes!$E$17,0.8*(N428+Observaciones!$F428-F429-M429-Constantes!$D$14))</f>
        <v>2.0345504020609524</v>
      </c>
      <c r="F429" s="76">
        <f>IF(Observaciones!$F428&gt;0.05*Constantes!$E$18,((Observaciones!$F428-0.05*Constantes!$E$18)^2)/(Observaciones!$F428+0.95*Constantes!$E$18),0)</f>
        <v>0</v>
      </c>
      <c r="G429" s="76">
        <f>IF(Escenarios!$E$11&gt;0,(F429*Escenarios!$E$16*10000)/1000,0)</f>
        <v>0</v>
      </c>
      <c r="H429" s="76">
        <f>IF(Escenarios!$E$11&gt;0,(Observaciones!$F428*Constantes!$E$29)/1000,0)</f>
        <v>11</v>
      </c>
      <c r="I429" s="76">
        <f>IF(Escenarios!$E$11&gt;0,(D429*Constantes!$E$29)/1000,0)</f>
        <v>41.613809833505492</v>
      </c>
      <c r="J429" s="76">
        <f>IF(Escenarios!$E$11&gt;0,MAX(0,G429+H429-I429),0)</f>
        <v>0</v>
      </c>
      <c r="K429" s="76">
        <f>IF(Escenarios!$E$11&gt;0,IF(J429&gt;Constantes!$E$30,1000*((J429-Constantes!$E$30)/(Escenarios!$E$16*10000)),0),F429)</f>
        <v>0</v>
      </c>
      <c r="L429" s="76">
        <f>IF(Escenarios!$E$11&gt;0,I429*1000/Escenarios!$E$16/10000+E429,E429)</f>
        <v>2.0511959259943544</v>
      </c>
      <c r="M429" s="76">
        <f>MAX(0,N428+Observaciones!$F428-K429-Constantes!$D$13)</f>
        <v>0</v>
      </c>
      <c r="N429" s="76">
        <f>N428+Observaciones!$F428-K429-L429-M429-O428</f>
        <v>37.531268217618006</v>
      </c>
      <c r="O429" s="76">
        <f>MAX(0,(N429-Constantes!$D$14)*(1-EXP(-Constantes!$D$22)))</f>
        <v>0.89523647600284917</v>
      </c>
      <c r="P429" s="170">
        <f>P428+(Entradas!$E$83*M429-Q428)/(800*Entradas!$D$25)</f>
        <v>0</v>
      </c>
      <c r="Q429" s="170">
        <f>8000*Entradas!$D$26*P429/Constantes!$E$45</f>
        <v>0</v>
      </c>
      <c r="R429" s="170">
        <f>IF(Escenarios!$E$14&gt;0,K429*Escenarios!$E$13/Escenarios!$E$14,0)</f>
        <v>0</v>
      </c>
      <c r="S429" s="170">
        <f>IF(Escenarios!$E$14&gt;0,Q429*Escenarios!$E$13/Escenarios!$E$14,0)</f>
        <v>0</v>
      </c>
      <c r="T429" s="170">
        <f>IF(Escenarios!$E$14&gt;0,Observaciones!$I428,0)</f>
        <v>0</v>
      </c>
      <c r="U429" s="170">
        <f>IF(Escenarios!$E$14&gt;0,MAX(0,Constantes!$E$36/((Z428+R429+S429+T429+Observaciones!$F428)^2)+Entradas!$E$77),0)</f>
        <v>2.5276232226076787</v>
      </c>
      <c r="V429" s="146">
        <f>IF(ETo!D428&gt;0,ETo!I428*((1-Entradas!$E$81)*ETo!K428+ETo!L428),0)</f>
        <v>3.7992081434481495</v>
      </c>
      <c r="W429" s="170">
        <f>IF(Escenarios!$E$14&gt;0,MIN(V429*1,0.8*(Z428+R429+S429+T429+Observaciones!$F428-U429-Constantes!$E$35)),0)</f>
        <v>3.7992081434481495</v>
      </c>
      <c r="X429" s="170">
        <f>IF(Escenarios!$E$14&gt;0,Observaciones!$J428,0)</f>
        <v>0</v>
      </c>
      <c r="Y429" s="170">
        <f>IF(Escenarios!$E$14&gt;0,MAX(0,Z428+R429+S429+T429+Observaciones!$F428-U429-W429-X429-Constantes!$E$33),0)</f>
        <v>0</v>
      </c>
      <c r="Z429" s="170">
        <f>Z428+R429+S429+T429+Observaciones!$F428-U429-W429-Y429</f>
        <v>141.09853778792379</v>
      </c>
      <c r="AA429" s="170">
        <f>IF(Escenarios!$E$14&gt;0,(Escenarios!$E$13*L429+Escenarios!$E$14*W429)/(Escenarios!$E$16),L429)</f>
        <v>2.2609573920888097</v>
      </c>
      <c r="AB429" s="170">
        <f>IF(Escenarios!$E$14&gt;0,(Escenarios!$E$14*Y429)/(Escenarios!$E$16),K429)</f>
        <v>0</v>
      </c>
      <c r="AC429" s="170">
        <f>IF(Escenarios!$E$14&gt;0,(Escenarios!$E$13*M429+Escenarios!$E$14*U429)/(Escenarios!$E$16),M429)</f>
        <v>0.30331478671292145</v>
      </c>
      <c r="AD429" s="76">
        <f t="shared" si="85"/>
        <v>158.75208810984901</v>
      </c>
      <c r="AE429" s="76">
        <f>MAX(0,(AD429-Constantes!$D$13)*(1-EXP(-Constantes!$D$23)))</f>
        <v>1.0838767746024596</v>
      </c>
      <c r="AF429" s="76">
        <f>AB429+O429*Escenarios!$E$13/Escenarios!$E$16+AE429</f>
        <v>1.8716848734849667</v>
      </c>
      <c r="AG429" s="76">
        <f>IF(Entradas!$E$91&gt;0,IF(AF429-Escenarios!$E$38&lt;=0,0,IF(AF429-Escenarios!$E$38&gt;Escenarios!$E$37,Escenarios!$E$37,AF429-Escenarios!$E$38)),0)</f>
        <v>0</v>
      </c>
      <c r="AH429" s="76">
        <f>AG429*Entradas!$E$99</f>
        <v>0</v>
      </c>
      <c r="AI429" s="76">
        <f>IF(Entradas!$E$91&gt;0,D429*Entradas!$D$23/Escenarios!$E$16,0)</f>
        <v>0</v>
      </c>
      <c r="AJ429" s="76">
        <f>IF(Entradas!$E$91&gt;0,Entradas!$D$24*Entradas!$D$22/Escenarios!$E$16,0)</f>
        <v>0</v>
      </c>
      <c r="AK429" s="76">
        <f t="shared" si="94"/>
        <v>2.2609573920888097</v>
      </c>
      <c r="AL429" s="76">
        <f t="shared" si="95"/>
        <v>0</v>
      </c>
      <c r="AM429" s="76">
        <f t="shared" si="86"/>
        <v>0</v>
      </c>
      <c r="AN429" s="76">
        <f>MAX(0,O429*Escenarios!$E$13/Escenarios!$E$16-AM429)</f>
        <v>0.78780809888250725</v>
      </c>
      <c r="AO429" s="76">
        <f>AM429+AN429-O429*Escenarios!$E$13/Escenarios!$E$16</f>
        <v>0</v>
      </c>
      <c r="AP429" s="76">
        <f t="shared" si="84"/>
        <v>1.0838767746024596</v>
      </c>
      <c r="AQ429" s="76">
        <f t="shared" si="87"/>
        <v>0</v>
      </c>
      <c r="AR429" s="76">
        <f t="shared" si="88"/>
        <v>1.8716848734849667</v>
      </c>
      <c r="AS429" s="76">
        <f t="shared" si="89"/>
        <v>0</v>
      </c>
      <c r="AT429" s="76">
        <f t="shared" si="90"/>
        <v>0.30331478671292145</v>
      </c>
      <c r="AU429" s="76">
        <f t="shared" si="91"/>
        <v>48.75</v>
      </c>
      <c r="AV429" s="76">
        <f>MAX(0,(AU429-Constantes!$D$13)*(1-EXP(-Constantes!$D$24)))</f>
        <v>0</v>
      </c>
      <c r="AW429" s="170">
        <f>AW428+(Entradas!$E$112*AT429-AX428)/(800*Entradas!$D$25)</f>
        <v>0</v>
      </c>
      <c r="AX429" s="170">
        <f>8000*Entradas!$D$26*AW429/Constantes!$E$45</f>
        <v>0</v>
      </c>
      <c r="AY429" s="170">
        <f>IF(Escenarios!$E$17&gt;0,10*Escenarios!$E$16*AL429,0)</f>
        <v>0</v>
      </c>
      <c r="AZ429" s="170">
        <f>IF(Escenarios!$E$17&gt;0,10*Escenarios!$E$16*AX429,0)</f>
        <v>0</v>
      </c>
      <c r="BA429" s="170">
        <f>IF(Escenarios!$E$17&gt;0,0.001*Observaciones!$F428*Escenarios!$E$17,0)</f>
        <v>22</v>
      </c>
      <c r="BB429" s="170">
        <f>IF(Escenarios!$E$17&gt;0,Observaciones!$K428,0)</f>
        <v>0</v>
      </c>
      <c r="BC429" s="170">
        <f>IF(Escenarios!$E$17&gt;0,MIN(0.0005*ETo!$M428*Escenarios!$E$17*(BG428/Constantes!$E$40)^(2/3),BG428+AY429+AZ429+BA429+BB429),0)</f>
        <v>41.219312374783783</v>
      </c>
      <c r="BD429" s="170">
        <f>IF(Escenarios!$E$17&gt;0,MIN(Constantes!$E$39*(BG428/Constantes!$E$40)^(2/3),BG428+AY429+AZ429+BA429+BB429-BC429),0)</f>
        <v>69.696816551232217</v>
      </c>
      <c r="BE429" s="170">
        <f>IF(Escenarios!$E$17&gt;0,MIN(Entradas!$E$113,BG428+AY429+AZ429+BA429+BB429-BC429-BD429),0)</f>
        <v>1</v>
      </c>
      <c r="BF429" s="170">
        <f>IF(Escenarios!$E$17&gt;0,MAX(0,BG428+AY429+AZ429+BA429+BB429-BC429-BD429-BE429-Constantes!$E$40),0)</f>
        <v>0</v>
      </c>
      <c r="BG429" s="170">
        <f t="shared" si="96"/>
        <v>5331.2557048972876</v>
      </c>
      <c r="BH429" s="170">
        <f>(Escenarios!$E$16*AK429+0.1*BC429)/(Escenarios!$E$19)</f>
        <v>2.2593701557923844</v>
      </c>
      <c r="BI429" s="170">
        <f>IF(Escenarios!$E$17&gt;0,BF429/10/Escenarios!$E$19,AL429)</f>
        <v>0</v>
      </c>
      <c r="BJ429" s="170">
        <f>(Escenarios!$E$16*AT429+0.1*BD429)/(Escenarios!$E$19)</f>
        <v>0.32856499338632372</v>
      </c>
      <c r="BK429" s="76">
        <f>BK428+(0.1*BD429)/(Escenarios!$E$19)-BL428</f>
        <v>50.201641036751553</v>
      </c>
      <c r="BL429" s="76">
        <f>MAX(0,(BK429-Constantes!$D$13)*(1-EXP(-Constantes!$D$23)))</f>
        <v>1.430336488907041E-2</v>
      </c>
      <c r="BM429" s="76">
        <f t="shared" si="92"/>
        <v>1.09818013949153</v>
      </c>
      <c r="BN429" s="76">
        <f t="shared" si="97"/>
        <v>1.8859882383740372</v>
      </c>
      <c r="BO429" s="76">
        <f>0.0526*BI429*Observaciones!$F428^1.218</f>
        <v>0</v>
      </c>
      <c r="BP429" s="76">
        <f>BO429*Constantes!$E$51</f>
        <v>0</v>
      </c>
      <c r="BQ429" s="76">
        <f t="shared" si="93"/>
        <v>0</v>
      </c>
      <c r="BR429" s="40"/>
    </row>
    <row r="430" spans="1:70">
      <c r="A430" s="147"/>
      <c r="B430" s="39"/>
      <c r="C430" s="75">
        <v>424</v>
      </c>
      <c r="D430" s="146">
        <f>ETo!$I429*((1-Constantes!$E$19)*ETo!$K429+ETo!$L429)</f>
        <v>4.2902669623850072</v>
      </c>
      <c r="E430" s="76">
        <f>MIN(D430*Constantes!$E$17,0.8*(N429+Observaciones!$F429-F430-M430-Constantes!$D$14))</f>
        <v>2.0975643441906744</v>
      </c>
      <c r="F430" s="76">
        <f>IF(Observaciones!$F429&gt;0.05*Constantes!$E$18,((Observaciones!$F429-0.05*Constantes!$E$18)^2)/(Observaciones!$F429+0.95*Constantes!$E$18),0)</f>
        <v>0</v>
      </c>
      <c r="G430" s="76">
        <f>IF(Escenarios!$E$11&gt;0,(F430*Escenarios!$E$16*10000)/1000,0)</f>
        <v>0</v>
      </c>
      <c r="H430" s="76">
        <f>IF(Escenarios!$E$11&gt;0,(Observaciones!$F429*Constantes!$E$29)/1000,0)</f>
        <v>4</v>
      </c>
      <c r="I430" s="76">
        <f>IF(Escenarios!$E$11&gt;0,(D430*Constantes!$E$29)/1000,0)</f>
        <v>42.902669623850073</v>
      </c>
      <c r="J430" s="76">
        <f>IF(Escenarios!$E$11&gt;0,MAX(0,G430+H430-I430),0)</f>
        <v>0</v>
      </c>
      <c r="K430" s="76">
        <f>IF(Escenarios!$E$11&gt;0,IF(J430&gt;Constantes!$E$30,1000*((J430-Constantes!$E$30)/(Escenarios!$E$16*10000)),0),F430)</f>
        <v>0</v>
      </c>
      <c r="L430" s="76">
        <f>IF(Escenarios!$E$11&gt;0,I430*1000/Escenarios!$E$16/10000+E430,E430)</f>
        <v>2.1147254120402144</v>
      </c>
      <c r="M430" s="76">
        <f>MAX(0,N429+Observaciones!$F429-K430-Constantes!$D$13)</f>
        <v>0</v>
      </c>
      <c r="N430" s="76">
        <f>N429+Observaciones!$F429-K430-L430-M430-O429</f>
        <v>34.921306329574939</v>
      </c>
      <c r="O430" s="76">
        <f>MAX(0,(N430-Constantes!$D$14)*(1-EXP(-Constantes!$D$22)))</f>
        <v>0.8063315927298611</v>
      </c>
      <c r="P430" s="170">
        <f>P429+(Entradas!$E$83*M430-Q429)/(800*Entradas!$D$25)</f>
        <v>0</v>
      </c>
      <c r="Q430" s="170">
        <f>8000*Entradas!$D$26*P430/Constantes!$E$45</f>
        <v>0</v>
      </c>
      <c r="R430" s="170">
        <f>IF(Escenarios!$E$14&gt;0,K430*Escenarios!$E$13/Escenarios!$E$14,0)</f>
        <v>0</v>
      </c>
      <c r="S430" s="170">
        <f>IF(Escenarios!$E$14&gt;0,Q430*Escenarios!$E$13/Escenarios!$E$14,0)</f>
        <v>0</v>
      </c>
      <c r="T430" s="170">
        <f>IF(Escenarios!$E$14&gt;0,Observaciones!$I429,0)</f>
        <v>0</v>
      </c>
      <c r="U430" s="170">
        <f>IF(Escenarios!$E$14&gt;0,MAX(0,Constantes!$E$36/((Z429+R430+S430+T430+Observaciones!$F429)^2)+Entradas!$E$77),0)</f>
        <v>2.4872223556604003</v>
      </c>
      <c r="V430" s="146">
        <f>IF(ETo!D429&gt;0,ETo!I429*((1-Entradas!$E$81)*ETo!K429+ETo!L429),0)</f>
        <v>3.9182401000254474</v>
      </c>
      <c r="W430" s="170">
        <f>IF(Escenarios!$E$14&gt;0,MIN(V430*1,0.8*(Z429+R430+S430+T430+Observaciones!$F429-U430-Constantes!$E$35)),0)</f>
        <v>3.9182401000254474</v>
      </c>
      <c r="X430" s="170">
        <f>IF(Escenarios!$E$14&gt;0,Observaciones!$J429,0)</f>
        <v>0</v>
      </c>
      <c r="Y430" s="170">
        <f>IF(Escenarios!$E$14&gt;0,MAX(0,Z429+R430+S430+T430+Observaciones!$F429-U430-W430-X430-Constantes!$E$33),0)</f>
        <v>0</v>
      </c>
      <c r="Z430" s="170">
        <f>Z429+R430+S430+T430+Observaciones!$F429-U430-W430-Y430</f>
        <v>135.09307533223793</v>
      </c>
      <c r="AA430" s="170">
        <f>IF(Escenarios!$E$14&gt;0,(Escenarios!$E$13*L430+Escenarios!$E$14*W430)/(Escenarios!$E$16),L430)</f>
        <v>2.3311471745984425</v>
      </c>
      <c r="AB430" s="170">
        <f>IF(Escenarios!$E$14&gt;0,(Escenarios!$E$14*Y430)/(Escenarios!$E$16),K430)</f>
        <v>0</v>
      </c>
      <c r="AC430" s="170">
        <f>IF(Escenarios!$E$14&gt;0,(Escenarios!$E$13*M430+Escenarios!$E$14*U430)/(Escenarios!$E$16),M430)</f>
        <v>0.29846668267924803</v>
      </c>
      <c r="AD430" s="76">
        <f t="shared" si="85"/>
        <v>157.9666780179258</v>
      </c>
      <c r="AE430" s="76">
        <f>MAX(0,(AD430-Constantes!$D$13)*(1-EXP(-Constantes!$D$23)))</f>
        <v>1.0761379418966308</v>
      </c>
      <c r="AF430" s="76">
        <f>AB430+O430*Escenarios!$E$13/Escenarios!$E$16+AE430</f>
        <v>1.7857097434989087</v>
      </c>
      <c r="AG430" s="76">
        <f>IF(Entradas!$E$91&gt;0,IF(AF430-Escenarios!$E$38&lt;=0,0,IF(AF430-Escenarios!$E$38&gt;Escenarios!$E$37,Escenarios!$E$37,AF430-Escenarios!$E$38)),0)</f>
        <v>0</v>
      </c>
      <c r="AH430" s="76">
        <f>AG430*Entradas!$E$99</f>
        <v>0</v>
      </c>
      <c r="AI430" s="76">
        <f>IF(Entradas!$E$91&gt;0,D430*Entradas!$D$23/Escenarios!$E$16,0)</f>
        <v>0</v>
      </c>
      <c r="AJ430" s="76">
        <f>IF(Entradas!$E$91&gt;0,Entradas!$D$24*Entradas!$D$22/Escenarios!$E$16,0)</f>
        <v>0</v>
      </c>
      <c r="AK430" s="76">
        <f t="shared" si="94"/>
        <v>2.3311471745984425</v>
      </c>
      <c r="AL430" s="76">
        <f t="shared" si="95"/>
        <v>0</v>
      </c>
      <c r="AM430" s="76">
        <f t="shared" si="86"/>
        <v>0</v>
      </c>
      <c r="AN430" s="76">
        <f>MAX(0,O430*Escenarios!$E$13/Escenarios!$E$16-AM430)</f>
        <v>0.70957180160227784</v>
      </c>
      <c r="AO430" s="76">
        <f>AM430+AN430-O430*Escenarios!$E$13/Escenarios!$E$16</f>
        <v>0</v>
      </c>
      <c r="AP430" s="76">
        <f t="shared" si="84"/>
        <v>1.0761379418966308</v>
      </c>
      <c r="AQ430" s="76">
        <f t="shared" si="87"/>
        <v>0</v>
      </c>
      <c r="AR430" s="76">
        <f t="shared" si="88"/>
        <v>1.7857097434989087</v>
      </c>
      <c r="AS430" s="76">
        <f t="shared" si="89"/>
        <v>0</v>
      </c>
      <c r="AT430" s="76">
        <f t="shared" si="90"/>
        <v>0.29846668267924803</v>
      </c>
      <c r="AU430" s="76">
        <f t="shared" si="91"/>
        <v>48.75</v>
      </c>
      <c r="AV430" s="76">
        <f>MAX(0,(AU430-Constantes!$D$13)*(1-EXP(-Constantes!$D$24)))</f>
        <v>0</v>
      </c>
      <c r="AW430" s="170">
        <f>AW429+(Entradas!$E$112*AT430-AX429)/(800*Entradas!$D$25)</f>
        <v>0</v>
      </c>
      <c r="AX430" s="170">
        <f>8000*Entradas!$D$26*AW430/Constantes!$E$45</f>
        <v>0</v>
      </c>
      <c r="AY430" s="170">
        <f>IF(Escenarios!$E$17&gt;0,10*Escenarios!$E$16*AL430,0)</f>
        <v>0</v>
      </c>
      <c r="AZ430" s="170">
        <f>IF(Escenarios!$E$17&gt;0,10*Escenarios!$E$16*AX430,0)</f>
        <v>0</v>
      </c>
      <c r="BA430" s="170">
        <f>IF(Escenarios!$E$17&gt;0,0.001*Observaciones!$F429*Escenarios!$E$17,0)</f>
        <v>8</v>
      </c>
      <c r="BB430" s="170">
        <f>IF(Escenarios!$E$17&gt;0,Observaciones!$K429,0)</f>
        <v>0</v>
      </c>
      <c r="BC430" s="170">
        <f>IF(Escenarios!$E$17&gt;0,MIN(0.0005*ETo!$M429*Escenarios!$E$17*(BG429/Constantes!$E$40)^(2/3),BG429+AY430+AZ430+BA430+BB430),0)</f>
        <v>42.00627016295612</v>
      </c>
      <c r="BD430" s="170">
        <f>IF(Escenarios!$E$17&gt;0,MIN(Constantes!$E$39*(BG429/Constantes!$E$40)^(2/3),BG429+AY430+AZ430+BA430+BB430-BC430),0)</f>
        <v>68.924004459253595</v>
      </c>
      <c r="BE430" s="170">
        <f>IF(Escenarios!$E$17&gt;0,MIN(Entradas!$E$113,BG429+AY430+AZ430+BA430+BB430-BC430-BD430),0)</f>
        <v>1</v>
      </c>
      <c r="BF430" s="170">
        <f>IF(Escenarios!$E$17&gt;0,MAX(0,BG429+AY430+AZ430+BA430+BB430-BC430-BD430-BE430-Constantes!$E$40),0)</f>
        <v>0</v>
      </c>
      <c r="BG430" s="170">
        <f t="shared" si="96"/>
        <v>5227.3254302750784</v>
      </c>
      <c r="BH430" s="170">
        <f>(Escenarios!$E$16*AK430+0.1*BC430)/(Escenarios!$E$19)</f>
        <v>2.3293151613726435</v>
      </c>
      <c r="BI430" s="170">
        <f>IF(Escenarios!$E$17&gt;0,BF430/10/Escenarios!$E$19,AL430)</f>
        <v>0</v>
      </c>
      <c r="BJ430" s="170">
        <f>(Escenarios!$E$16*AT430+0.1*BD430)/(Escenarios!$E$19)</f>
        <v>0.32344869490371975</v>
      </c>
      <c r="BK430" s="76">
        <f>BK429+(0.1*BD430)/(Escenarios!$E$19)-BL429</f>
        <v>50.214688467282819</v>
      </c>
      <c r="BL430" s="76">
        <f>MAX(0,(BK430-Constantes!$D$13)*(1-EXP(-Constantes!$D$23)))</f>
        <v>1.4431924329750809E-2</v>
      </c>
      <c r="BM430" s="76">
        <f t="shared" si="92"/>
        <v>1.0905698662263816</v>
      </c>
      <c r="BN430" s="76">
        <f t="shared" si="97"/>
        <v>1.8001416678286595</v>
      </c>
      <c r="BO430" s="76">
        <f>0.0526*BI430*Observaciones!$F429^1.218</f>
        <v>0</v>
      </c>
      <c r="BP430" s="76">
        <f>BO430*Constantes!$E$51</f>
        <v>0</v>
      </c>
      <c r="BQ430" s="76">
        <f t="shared" si="93"/>
        <v>0</v>
      </c>
      <c r="BR430" s="40"/>
    </row>
    <row r="431" spans="1:70">
      <c r="A431" s="147"/>
      <c r="B431" s="39"/>
      <c r="C431" s="75">
        <v>425</v>
      </c>
      <c r="D431" s="146">
        <f>ETo!$I430*((1-Constantes!$E$19)*ETo!$K430+ETo!$L430)</f>
        <v>4.2864284429406148</v>
      </c>
      <c r="E431" s="76">
        <f>MIN(D431*Constantes!$E$17,0.8*(N430+Observaciones!$F430-F431-M431-Constantes!$D$14))</f>
        <v>2.0956876447704209</v>
      </c>
      <c r="F431" s="76">
        <f>IF(Observaciones!$F430&gt;0.05*Constantes!$E$18,((Observaciones!$F430-0.05*Constantes!$E$18)^2)/(Observaciones!$F430+0.95*Constantes!$E$18),0)</f>
        <v>0</v>
      </c>
      <c r="G431" s="76">
        <f>IF(Escenarios!$E$11&gt;0,(F431*Escenarios!$E$16*10000)/1000,0)</f>
        <v>0</v>
      </c>
      <c r="H431" s="76">
        <f>IF(Escenarios!$E$11&gt;0,(Observaciones!$F430*Constantes!$E$29)/1000,0)</f>
        <v>0</v>
      </c>
      <c r="I431" s="76">
        <f>IF(Escenarios!$E$11&gt;0,(D431*Constantes!$E$29)/1000,0)</f>
        <v>42.864284429406148</v>
      </c>
      <c r="J431" s="76">
        <f>IF(Escenarios!$E$11&gt;0,MAX(0,G431+H431-I431),0)</f>
        <v>0</v>
      </c>
      <c r="K431" s="76">
        <f>IF(Escenarios!$E$11&gt;0,IF(J431&gt;Constantes!$E$30,1000*((J431-Constantes!$E$30)/(Escenarios!$E$16*10000)),0),F431)</f>
        <v>0</v>
      </c>
      <c r="L431" s="76">
        <f>IF(Escenarios!$E$11&gt;0,I431*1000/Escenarios!$E$16/10000+E431,E431)</f>
        <v>2.1128333585421832</v>
      </c>
      <c r="M431" s="76">
        <f>MAX(0,N430+Observaciones!$F430-K431-Constantes!$D$13)</f>
        <v>0</v>
      </c>
      <c r="N431" s="76">
        <f>N430+Observaciones!$F430-K431-L431-M431-O430</f>
        <v>32.002141378302895</v>
      </c>
      <c r="O431" s="76">
        <f>MAX(0,(N431-Constantes!$D$14)*(1-EXP(-Constantes!$D$22)))</f>
        <v>0.70689411801561108</v>
      </c>
      <c r="P431" s="170">
        <f>P430+(Entradas!$E$83*M431-Q430)/(800*Entradas!$D$25)</f>
        <v>0</v>
      </c>
      <c r="Q431" s="170">
        <f>8000*Entradas!$D$26*P431/Constantes!$E$45</f>
        <v>0</v>
      </c>
      <c r="R431" s="170">
        <f>IF(Escenarios!$E$14&gt;0,K431*Escenarios!$E$13/Escenarios!$E$14,0)</f>
        <v>0</v>
      </c>
      <c r="S431" s="170">
        <f>IF(Escenarios!$E$14&gt;0,Q431*Escenarios!$E$13/Escenarios!$E$14,0)</f>
        <v>0</v>
      </c>
      <c r="T431" s="170">
        <f>IF(Escenarios!$E$14&gt;0,Observaciones!$I430,0)</f>
        <v>0</v>
      </c>
      <c r="U431" s="170">
        <f>IF(Escenarios!$E$14&gt;0,MAX(0,Constantes!$E$36/((Z430+R431+S431+T431+Observaciones!$F430)^2)+Entradas!$E$77),0)</f>
        <v>2.4374426409317276</v>
      </c>
      <c r="V431" s="146">
        <f>IF(ETo!D430&gt;0,ETo!I430*((1-Entradas!$E$81)*ETo!K430+ETo!L430),0)</f>
        <v>3.9146000808078369</v>
      </c>
      <c r="W431" s="170">
        <f>IF(Escenarios!$E$14&gt;0,MIN(V431*1,0.8*(Z430+R431+S431+T431+Observaciones!$F430-U431-Constantes!$E$35)),0)</f>
        <v>3.9146000808078369</v>
      </c>
      <c r="X431" s="170">
        <f>IF(Escenarios!$E$14&gt;0,Observaciones!$J430,0)</f>
        <v>0</v>
      </c>
      <c r="Y431" s="170">
        <f>IF(Escenarios!$E$14&gt;0,MAX(0,Z430+R431+S431+T431+Observaciones!$F430-U431-W431-X431-Constantes!$E$33),0)</f>
        <v>0</v>
      </c>
      <c r="Z431" s="170">
        <f>Z430+R431+S431+T431+Observaciones!$F430-U431-W431-Y431</f>
        <v>128.74103261049837</v>
      </c>
      <c r="AA431" s="170">
        <f>IF(Escenarios!$E$14&gt;0,(Escenarios!$E$13*L431+Escenarios!$E$14*W431)/(Escenarios!$E$16),L431)</f>
        <v>2.3290453652140619</v>
      </c>
      <c r="AB431" s="170">
        <f>IF(Escenarios!$E$14&gt;0,(Escenarios!$E$14*Y431)/(Escenarios!$E$16),K431)</f>
        <v>0</v>
      </c>
      <c r="AC431" s="170">
        <f>IF(Escenarios!$E$14&gt;0,(Escenarios!$E$13*M431+Escenarios!$E$14*U431)/(Escenarios!$E$16),M431)</f>
        <v>0.29249311691180729</v>
      </c>
      <c r="AD431" s="76">
        <f t="shared" si="85"/>
        <v>157.18303319294097</v>
      </c>
      <c r="AE431" s="76">
        <f>MAX(0,(AD431-Constantes!$D$13)*(1-EXP(-Constantes!$D$23)))</f>
        <v>1.0684165027863997</v>
      </c>
      <c r="AF431" s="76">
        <f>AB431+O431*Escenarios!$E$13/Escenarios!$E$16+AE431</f>
        <v>1.6904833266401376</v>
      </c>
      <c r="AG431" s="76">
        <f>IF(Entradas!$E$91&gt;0,IF(AF431-Escenarios!$E$38&lt;=0,0,IF(AF431-Escenarios!$E$38&gt;Escenarios!$E$37,Escenarios!$E$37,AF431-Escenarios!$E$38)),0)</f>
        <v>0</v>
      </c>
      <c r="AH431" s="76">
        <f>AG431*Entradas!$E$99</f>
        <v>0</v>
      </c>
      <c r="AI431" s="76">
        <f>IF(Entradas!$E$91&gt;0,D431*Entradas!$D$23/Escenarios!$E$16,0)</f>
        <v>0</v>
      </c>
      <c r="AJ431" s="76">
        <f>IF(Entradas!$E$91&gt;0,Entradas!$D$24*Entradas!$D$22/Escenarios!$E$16,0)</f>
        <v>0</v>
      </c>
      <c r="AK431" s="76">
        <f t="shared" si="94"/>
        <v>2.3290453652140619</v>
      </c>
      <c r="AL431" s="76">
        <f t="shared" si="95"/>
        <v>0</v>
      </c>
      <c r="AM431" s="76">
        <f t="shared" si="86"/>
        <v>0</v>
      </c>
      <c r="AN431" s="76">
        <f>MAX(0,O431*Escenarios!$E$13/Escenarios!$E$16-AM431)</f>
        <v>0.62206682385373779</v>
      </c>
      <c r="AO431" s="76">
        <f>AM431+AN431-O431*Escenarios!$E$13/Escenarios!$E$16</f>
        <v>0</v>
      </c>
      <c r="AP431" s="76">
        <f t="shared" si="84"/>
        <v>1.0684165027863997</v>
      </c>
      <c r="AQ431" s="76">
        <f t="shared" si="87"/>
        <v>0</v>
      </c>
      <c r="AR431" s="76">
        <f t="shared" si="88"/>
        <v>1.6904833266401376</v>
      </c>
      <c r="AS431" s="76">
        <f t="shared" si="89"/>
        <v>0</v>
      </c>
      <c r="AT431" s="76">
        <f t="shared" si="90"/>
        <v>0.29249311691180729</v>
      </c>
      <c r="AU431" s="76">
        <f t="shared" si="91"/>
        <v>48.75</v>
      </c>
      <c r="AV431" s="76">
        <f>MAX(0,(AU431-Constantes!$D$13)*(1-EXP(-Constantes!$D$24)))</f>
        <v>0</v>
      </c>
      <c r="AW431" s="170">
        <f>AW430+(Entradas!$E$112*AT431-AX430)/(800*Entradas!$D$25)</f>
        <v>0</v>
      </c>
      <c r="AX431" s="170">
        <f>8000*Entradas!$D$26*AW431/Constantes!$E$45</f>
        <v>0</v>
      </c>
      <c r="AY431" s="170">
        <f>IF(Escenarios!$E$17&gt;0,10*Escenarios!$E$16*AL431,0)</f>
        <v>0</v>
      </c>
      <c r="AZ431" s="170">
        <f>IF(Escenarios!$E$17&gt;0,10*Escenarios!$E$16*AX431,0)</f>
        <v>0</v>
      </c>
      <c r="BA431" s="170">
        <f>IF(Escenarios!$E$17&gt;0,0.001*Observaciones!$F430*Escenarios!$E$17,0)</f>
        <v>0</v>
      </c>
      <c r="BB431" s="170">
        <f>IF(Escenarios!$E$17&gt;0,Observaciones!$K430,0)</f>
        <v>0</v>
      </c>
      <c r="BC431" s="170">
        <f>IF(Escenarios!$E$17&gt;0,MIN(0.0005*ETo!$M430*Escenarios!$E$17*(BG430/Constantes!$E$40)^(2/3),BG430+AY431+AZ431+BA431+BB431),0)</f>
        <v>41.423257294247144</v>
      </c>
      <c r="BD431" s="170">
        <f>IF(Escenarios!$E$17&gt;0,MIN(Constantes!$E$39*(BG430/Constantes!$E$40)^(2/3),BG430+AY431+AZ431+BA431+BB431-BC431),0)</f>
        <v>68.025308262270443</v>
      </c>
      <c r="BE431" s="170">
        <f>IF(Escenarios!$E$17&gt;0,MIN(Entradas!$E$113,BG430+AY431+AZ431+BA431+BB431-BC431-BD431),0)</f>
        <v>1</v>
      </c>
      <c r="BF431" s="170">
        <f>IF(Escenarios!$E$17&gt;0,MAX(0,BG430+AY431+AZ431+BA431+BB431-BC431-BD431-BE431-Constantes!$E$40),0)</f>
        <v>0</v>
      </c>
      <c r="BG431" s="170">
        <f t="shared" si="96"/>
        <v>5116.8768647185607</v>
      </c>
      <c r="BH431" s="170">
        <f>(Escenarios!$E$16*AK431+0.1*BC431)/(Escenarios!$E$19)</f>
        <v>2.3269986787021435</v>
      </c>
      <c r="BI431" s="170">
        <f>IF(Escenarios!$E$17&gt;0,BF431/10/Escenarios!$E$19,AL431)</f>
        <v>0</v>
      </c>
      <c r="BJ431" s="170">
        <f>(Escenarios!$E$16*AT431+0.1*BD431)/(Escenarios!$E$19)</f>
        <v>0.31716591291340823</v>
      </c>
      <c r="BK431" s="76">
        <f>BK430+(0.1*BD431)/(Escenarios!$E$19)-BL430</f>
        <v>50.227250712898417</v>
      </c>
      <c r="BL431" s="76">
        <f>MAX(0,(BK431-Constantes!$D$13)*(1-EXP(-Constantes!$D$23)))</f>
        <v>1.455570312789509E-2</v>
      </c>
      <c r="BM431" s="76">
        <f t="shared" si="92"/>
        <v>1.0829722059142948</v>
      </c>
      <c r="BN431" s="76">
        <f t="shared" si="97"/>
        <v>1.7050390297680327</v>
      </c>
      <c r="BO431" s="76">
        <f>0.0526*BI431*Observaciones!$F430^1.218</f>
        <v>0</v>
      </c>
      <c r="BP431" s="76">
        <f>BO431*Constantes!$E$51</f>
        <v>0</v>
      </c>
      <c r="BQ431" s="76">
        <f t="shared" si="93"/>
        <v>0</v>
      </c>
      <c r="BR431" s="40"/>
    </row>
    <row r="432" spans="1:70">
      <c r="A432" s="147"/>
      <c r="B432" s="39"/>
      <c r="C432" s="75">
        <v>426</v>
      </c>
      <c r="D432" s="146">
        <f>ETo!$I431*((1-Constantes!$E$19)*ETo!$K431+ETo!$L431)</f>
        <v>4.2427567015621621</v>
      </c>
      <c r="E432" s="76">
        <f>MIN(D432*Constantes!$E$17,0.8*(N431+Observaciones!$F431-F432-M432-Constantes!$D$14))</f>
        <v>2.0743359926780687</v>
      </c>
      <c r="F432" s="76">
        <f>IF(Observaciones!$F431&gt;0.05*Constantes!$E$18,((Observaciones!$F431-0.05*Constantes!$E$18)^2)/(Observaciones!$F431+0.95*Constantes!$E$18),0)</f>
        <v>0</v>
      </c>
      <c r="G432" s="76">
        <f>IF(Escenarios!$E$11&gt;0,(F432*Escenarios!$E$16*10000)/1000,0)</f>
        <v>0</v>
      </c>
      <c r="H432" s="76">
        <f>IF(Escenarios!$E$11&gt;0,(Observaciones!$F431*Constantes!$E$29)/1000,0)</f>
        <v>34</v>
      </c>
      <c r="I432" s="76">
        <f>IF(Escenarios!$E$11&gt;0,(D432*Constantes!$E$29)/1000,0)</f>
        <v>42.427567015621619</v>
      </c>
      <c r="J432" s="76">
        <f>IF(Escenarios!$E$11&gt;0,MAX(0,G432+H432-I432),0)</f>
        <v>0</v>
      </c>
      <c r="K432" s="76">
        <f>IF(Escenarios!$E$11&gt;0,IF(J432&gt;Constantes!$E$30,1000*((J432-Constantes!$E$30)/(Escenarios!$E$16*10000)),0),F432)</f>
        <v>0</v>
      </c>
      <c r="L432" s="76">
        <f>IF(Escenarios!$E$11&gt;0,I432*1000/Escenarios!$E$16/10000+E432,E432)</f>
        <v>2.0913070194843173</v>
      </c>
      <c r="M432" s="76">
        <f>MAX(0,N431+Observaciones!$F431-K432-Constantes!$D$13)</f>
        <v>0</v>
      </c>
      <c r="N432" s="76">
        <f>N431+Observaciones!$F431-K432-L432-M432-O431</f>
        <v>32.603940240802963</v>
      </c>
      <c r="O432" s="76">
        <f>MAX(0,(N432-Constantes!$D$14)*(1-EXP(-Constantes!$D$22)))</f>
        <v>0.72739359652121549</v>
      </c>
      <c r="P432" s="170">
        <f>P431+(Entradas!$E$83*M432-Q431)/(800*Entradas!$D$25)</f>
        <v>0</v>
      </c>
      <c r="Q432" s="170">
        <f>8000*Entradas!$D$26*P432/Constantes!$E$45</f>
        <v>0</v>
      </c>
      <c r="R432" s="170">
        <f>IF(Escenarios!$E$14&gt;0,K432*Escenarios!$E$13/Escenarios!$E$14,0)</f>
        <v>0</v>
      </c>
      <c r="S432" s="170">
        <f>IF(Escenarios!$E$14&gt;0,Q432*Escenarios!$E$13/Escenarios!$E$14,0)</f>
        <v>0</v>
      </c>
      <c r="T432" s="170">
        <f>IF(Escenarios!$E$14&gt;0,Observaciones!$I431,0)</f>
        <v>0</v>
      </c>
      <c r="U432" s="170">
        <f>IF(Escenarios!$E$14&gt;0,MAX(0,Constantes!$E$36/((Z431+R432+S432+T432+Observaciones!$F431)^2)+Entradas!$E$77),0)</f>
        <v>2.4120267145572098</v>
      </c>
      <c r="V432" s="146">
        <f>IF(ETo!D431&gt;0,ETo!I431*((1-Entradas!$E$81)*ETo!K431+ETo!L431),0)</f>
        <v>3.8740889731746422</v>
      </c>
      <c r="W432" s="170">
        <f>IF(Escenarios!$E$14&gt;0,MIN(V432*1,0.8*(Z431+R432+S432+T432+Observaciones!$F431-U432-Constantes!$E$35)),0)</f>
        <v>3.8740889731746422</v>
      </c>
      <c r="X432" s="170">
        <f>IF(Escenarios!$E$14&gt;0,Observaciones!$J431,0)</f>
        <v>0</v>
      </c>
      <c r="Y432" s="170">
        <f>IF(Escenarios!$E$14&gt;0,MAX(0,Z431+R432+S432+T432+Observaciones!$F431-U432-W432-X432-Constantes!$E$33),0)</f>
        <v>0</v>
      </c>
      <c r="Z432" s="170">
        <f>Z431+R432+S432+T432+Observaciones!$F431-U432-W432-Y432</f>
        <v>125.85491692276652</v>
      </c>
      <c r="AA432" s="170">
        <f>IF(Escenarios!$E$14&gt;0,(Escenarios!$E$13*L432+Escenarios!$E$14*W432)/(Escenarios!$E$16),L432)</f>
        <v>2.3052408539271565</v>
      </c>
      <c r="AB432" s="170">
        <f>IF(Escenarios!$E$14&gt;0,(Escenarios!$E$14*Y432)/(Escenarios!$E$16),K432)</f>
        <v>0</v>
      </c>
      <c r="AC432" s="170">
        <f>IF(Escenarios!$E$14&gt;0,(Escenarios!$E$13*M432+Escenarios!$E$14*U432)/(Escenarios!$E$16),M432)</f>
        <v>0.28944320574686522</v>
      </c>
      <c r="AD432" s="76">
        <f t="shared" si="85"/>
        <v>156.40405989590144</v>
      </c>
      <c r="AE432" s="76">
        <f>MAX(0,(AD432-Constantes!$D$13)*(1-EXP(-Constantes!$D$23)))</f>
        <v>1.0607410933536849</v>
      </c>
      <c r="AF432" s="76">
        <f>AB432+O432*Escenarios!$E$13/Escenarios!$E$16+AE432</f>
        <v>1.7008474582923547</v>
      </c>
      <c r="AG432" s="76">
        <f>IF(Entradas!$E$91&gt;0,IF(AF432-Escenarios!$E$38&lt;=0,0,IF(AF432-Escenarios!$E$38&gt;Escenarios!$E$37,Escenarios!$E$37,AF432-Escenarios!$E$38)),0)</f>
        <v>0</v>
      </c>
      <c r="AH432" s="76">
        <f>AG432*Entradas!$E$99</f>
        <v>0</v>
      </c>
      <c r="AI432" s="76">
        <f>IF(Entradas!$E$91&gt;0,D432*Entradas!$D$23/Escenarios!$E$16,0)</f>
        <v>0</v>
      </c>
      <c r="AJ432" s="76">
        <f>IF(Entradas!$E$91&gt;0,Entradas!$D$24*Entradas!$D$22/Escenarios!$E$16,0)</f>
        <v>0</v>
      </c>
      <c r="AK432" s="76">
        <f t="shared" si="94"/>
        <v>2.3052408539271565</v>
      </c>
      <c r="AL432" s="76">
        <f t="shared" si="95"/>
        <v>0</v>
      </c>
      <c r="AM432" s="76">
        <f t="shared" si="86"/>
        <v>0</v>
      </c>
      <c r="AN432" s="76">
        <f>MAX(0,O432*Escenarios!$E$13/Escenarios!$E$16-AM432)</f>
        <v>0.64010636493866968</v>
      </c>
      <c r="AO432" s="76">
        <f>AM432+AN432-O432*Escenarios!$E$13/Escenarios!$E$16</f>
        <v>0</v>
      </c>
      <c r="AP432" s="76">
        <f t="shared" si="84"/>
        <v>1.0607410933536849</v>
      </c>
      <c r="AQ432" s="76">
        <f t="shared" si="87"/>
        <v>0</v>
      </c>
      <c r="AR432" s="76">
        <f t="shared" si="88"/>
        <v>1.7008474582923547</v>
      </c>
      <c r="AS432" s="76">
        <f t="shared" si="89"/>
        <v>0</v>
      </c>
      <c r="AT432" s="76">
        <f t="shared" si="90"/>
        <v>0.28944320574686522</v>
      </c>
      <c r="AU432" s="76">
        <f t="shared" si="91"/>
        <v>48.75</v>
      </c>
      <c r="AV432" s="76">
        <f>MAX(0,(AU432-Constantes!$D$13)*(1-EXP(-Constantes!$D$24)))</f>
        <v>0</v>
      </c>
      <c r="AW432" s="170">
        <f>AW431+(Entradas!$E$112*AT432-AX431)/(800*Entradas!$D$25)</f>
        <v>0</v>
      </c>
      <c r="AX432" s="170">
        <f>8000*Entradas!$D$26*AW432/Constantes!$E$45</f>
        <v>0</v>
      </c>
      <c r="AY432" s="170">
        <f>IF(Escenarios!$E$17&gt;0,10*Escenarios!$E$16*AL432,0)</f>
        <v>0</v>
      </c>
      <c r="AZ432" s="170">
        <f>IF(Escenarios!$E$17&gt;0,10*Escenarios!$E$16*AX432,0)</f>
        <v>0</v>
      </c>
      <c r="BA432" s="170">
        <f>IF(Escenarios!$E$17&gt;0,0.001*Observaciones!$F431*Escenarios!$E$17,0)</f>
        <v>68</v>
      </c>
      <c r="BB432" s="170">
        <f>IF(Escenarios!$E$17&gt;0,Observaciones!$K431,0)</f>
        <v>0</v>
      </c>
      <c r="BC432" s="170">
        <f>IF(Escenarios!$E$17&gt;0,MIN(0.0005*ETo!$M431*Escenarios!$E$17*(BG431/Constantes!$E$40)^(2/3),BG431+AY432+AZ432+BA432+BB432),0)</f>
        <v>40.429902898650667</v>
      </c>
      <c r="BD432" s="170">
        <f>IF(Escenarios!$E$17&gt;0,MIN(Constantes!$E$39*(BG431/Constantes!$E$40)^(2/3),BG431+AY432+AZ432+BA432+BB432-BC432),0)</f>
        <v>67.063693817565252</v>
      </c>
      <c r="BE432" s="170">
        <f>IF(Escenarios!$E$17&gt;0,MIN(Entradas!$E$113,BG431+AY432+AZ432+BA432+BB432-BC432-BD432),0)</f>
        <v>1</v>
      </c>
      <c r="BF432" s="170">
        <f>IF(Escenarios!$E$17&gt;0,MAX(0,BG431+AY432+AZ432+BA432+BB432-BC432-BD432-BE432-Constantes!$E$40),0)</f>
        <v>0</v>
      </c>
      <c r="BG432" s="170">
        <f t="shared" si="96"/>
        <v>5076.3832680023452</v>
      </c>
      <c r="BH432" s="170">
        <f>(Escenarios!$E$16*AK432+0.1*BC432)/(Escenarios!$E$19)</f>
        <v>2.3029889038557707</v>
      </c>
      <c r="BI432" s="170">
        <f>IF(Escenarios!$E$17&gt;0,BF432/10/Escenarios!$E$19,AL432)</f>
        <v>0</v>
      </c>
      <c r="BJ432" s="170">
        <f>(Escenarios!$E$16*AT432+0.1*BD432)/(Escenarios!$E$19)</f>
        <v>0.31375861435901919</v>
      </c>
      <c r="BK432" s="76">
        <f>BK431+(0.1*BD432)/(Escenarios!$E$19)-BL431</f>
        <v>50.239307586682251</v>
      </c>
      <c r="BL432" s="76">
        <f>MAX(0,(BK432-Constantes!$D$13)*(1-EXP(-Constantes!$D$23)))</f>
        <v>1.4674502377010805E-2</v>
      </c>
      <c r="BM432" s="76">
        <f t="shared" si="92"/>
        <v>1.0754155957306957</v>
      </c>
      <c r="BN432" s="76">
        <f t="shared" si="97"/>
        <v>1.7155219606693655</v>
      </c>
      <c r="BO432" s="76">
        <f>0.0526*BI432*Observaciones!$F431^1.218</f>
        <v>0</v>
      </c>
      <c r="BP432" s="76">
        <f>BO432*Constantes!$E$51</f>
        <v>0</v>
      </c>
      <c r="BQ432" s="76">
        <f t="shared" si="93"/>
        <v>0</v>
      </c>
      <c r="BR432" s="40"/>
    </row>
    <row r="433" spans="1:70">
      <c r="A433" s="147"/>
      <c r="B433" s="39"/>
      <c r="C433" s="75">
        <v>427</v>
      </c>
      <c r="D433" s="146">
        <f>ETo!$I432*((1-Constantes!$E$19)*ETo!$K432+ETo!$L432)</f>
        <v>4.2340118685148882</v>
      </c>
      <c r="E433" s="76">
        <f>MIN(D433*Constantes!$E$17,0.8*(N432+Observaciones!$F432-F433-M433-Constantes!$D$14))</f>
        <v>2.0700605361256712</v>
      </c>
      <c r="F433" s="76">
        <f>IF(Observaciones!$F432&gt;0.05*Constantes!$E$18,((Observaciones!$F432-0.05*Constantes!$E$18)^2)/(Observaciones!$F432+0.95*Constantes!$E$18),0)</f>
        <v>0</v>
      </c>
      <c r="G433" s="76">
        <f>IF(Escenarios!$E$11&gt;0,(F433*Escenarios!$E$16*10000)/1000,0)</f>
        <v>0</v>
      </c>
      <c r="H433" s="76">
        <f>IF(Escenarios!$E$11&gt;0,(Observaciones!$F432*Constantes!$E$29)/1000,0)</f>
        <v>0</v>
      </c>
      <c r="I433" s="76">
        <f>IF(Escenarios!$E$11&gt;0,(D433*Constantes!$E$29)/1000,0)</f>
        <v>42.34011868514888</v>
      </c>
      <c r="J433" s="76">
        <f>IF(Escenarios!$E$11&gt;0,MAX(0,G433+H433-I433),0)</f>
        <v>0</v>
      </c>
      <c r="K433" s="76">
        <f>IF(Escenarios!$E$11&gt;0,IF(J433&gt;Constantes!$E$30,1000*((J433-Constantes!$E$30)/(Escenarios!$E$16*10000)),0),F433)</f>
        <v>0</v>
      </c>
      <c r="L433" s="76">
        <f>IF(Escenarios!$E$11&gt;0,I433*1000/Escenarios!$E$16/10000+E433,E433)</f>
        <v>2.0869965835997308</v>
      </c>
      <c r="M433" s="76">
        <f>MAX(0,N432+Observaciones!$F432-K433-Constantes!$D$13)</f>
        <v>0</v>
      </c>
      <c r="N433" s="76">
        <f>N432+Observaciones!$F432-K433-L433-M433-O432</f>
        <v>29.789550060682018</v>
      </c>
      <c r="O433" s="76">
        <f>MAX(0,(N433-Constantes!$D$14)*(1-EXP(-Constantes!$D$22)))</f>
        <v>0.631525135148431</v>
      </c>
      <c r="P433" s="170">
        <f>P432+(Entradas!$E$83*M433-Q432)/(800*Entradas!$D$25)</f>
        <v>0</v>
      </c>
      <c r="Q433" s="170">
        <f>8000*Entradas!$D$26*P433/Constantes!$E$45</f>
        <v>0</v>
      </c>
      <c r="R433" s="170">
        <f>IF(Escenarios!$E$14&gt;0,K433*Escenarios!$E$13/Escenarios!$E$14,0)</f>
        <v>0</v>
      </c>
      <c r="S433" s="170">
        <f>IF(Escenarios!$E$14&gt;0,Q433*Escenarios!$E$13/Escenarios!$E$14,0)</f>
        <v>0</v>
      </c>
      <c r="T433" s="170">
        <f>IF(Escenarios!$E$14&gt;0,Observaciones!$I432,0)</f>
        <v>0</v>
      </c>
      <c r="U433" s="170">
        <f>IF(Escenarios!$E$14&gt;0,MAX(0,Constantes!$E$36/((Z432+R433+S433+T433+Observaciones!$F432)^2)+Entradas!$E$77),0)</f>
        <v>2.3518244986670234</v>
      </c>
      <c r="V433" s="146">
        <f>IF(ETo!D432&gt;0,ETo!I432*((1-Entradas!$E$81)*ETo!K432+ETo!L432),0)</f>
        <v>3.8659009272502276</v>
      </c>
      <c r="W433" s="170">
        <f>IF(Escenarios!$E$14&gt;0,MIN(V433*1,0.8*(Z432+R433+S433+T433+Observaciones!$F432-U433-Constantes!$E$35)),0)</f>
        <v>3.8659009272502276</v>
      </c>
      <c r="X433" s="170">
        <f>IF(Escenarios!$E$14&gt;0,Observaciones!$J432,0)</f>
        <v>0</v>
      </c>
      <c r="Y433" s="170">
        <f>IF(Escenarios!$E$14&gt;0,MAX(0,Z432+R433+S433+T433+Observaciones!$F432-U433-W433-X433-Constantes!$E$33),0)</f>
        <v>0</v>
      </c>
      <c r="Z433" s="170">
        <f>Z432+R433+S433+T433+Observaciones!$F432-U433-W433-Y433</f>
        <v>119.63719149684927</v>
      </c>
      <c r="AA433" s="170">
        <f>IF(Escenarios!$E$14&gt;0,(Escenarios!$E$13*L433+Escenarios!$E$14*W433)/(Escenarios!$E$16),L433)</f>
        <v>2.3004651048377904</v>
      </c>
      <c r="AB433" s="170">
        <f>IF(Escenarios!$E$14&gt;0,(Escenarios!$E$14*Y433)/(Escenarios!$E$16),K433)</f>
        <v>0</v>
      </c>
      <c r="AC433" s="170">
        <f>IF(Escenarios!$E$14&gt;0,(Escenarios!$E$13*M433+Escenarios!$E$14*U433)/(Escenarios!$E$16),M433)</f>
        <v>0.28221893984004282</v>
      </c>
      <c r="AD433" s="76">
        <f t="shared" si="85"/>
        <v>155.62553774238779</v>
      </c>
      <c r="AE433" s="76">
        <f>MAX(0,(AD433-Constantes!$D$13)*(1-EXP(-Constantes!$D$23)))</f>
        <v>1.0530701291455848</v>
      </c>
      <c r="AF433" s="76">
        <f>AB433+O433*Escenarios!$E$13/Escenarios!$E$16+AE433</f>
        <v>1.6088122480762042</v>
      </c>
      <c r="AG433" s="76">
        <f>IF(Entradas!$E$91&gt;0,IF(AF433-Escenarios!$E$38&lt;=0,0,IF(AF433-Escenarios!$E$38&gt;Escenarios!$E$37,Escenarios!$E$37,AF433-Escenarios!$E$38)),0)</f>
        <v>0</v>
      </c>
      <c r="AH433" s="76">
        <f>AG433*Entradas!$E$99</f>
        <v>0</v>
      </c>
      <c r="AI433" s="76">
        <f>IF(Entradas!$E$91&gt;0,D433*Entradas!$D$23/Escenarios!$E$16,0)</f>
        <v>0</v>
      </c>
      <c r="AJ433" s="76">
        <f>IF(Entradas!$E$91&gt;0,Entradas!$D$24*Entradas!$D$22/Escenarios!$E$16,0)</f>
        <v>0</v>
      </c>
      <c r="AK433" s="76">
        <f t="shared" si="94"/>
        <v>2.3004651048377904</v>
      </c>
      <c r="AL433" s="76">
        <f t="shared" si="95"/>
        <v>0</v>
      </c>
      <c r="AM433" s="76">
        <f t="shared" si="86"/>
        <v>0</v>
      </c>
      <c r="AN433" s="76">
        <f>MAX(0,O433*Escenarios!$E$13/Escenarios!$E$16-AM433)</f>
        <v>0.55574211893061931</v>
      </c>
      <c r="AO433" s="76">
        <f>AM433+AN433-O433*Escenarios!$E$13/Escenarios!$E$16</f>
        <v>0</v>
      </c>
      <c r="AP433" s="76">
        <f t="shared" si="84"/>
        <v>1.0530701291455848</v>
      </c>
      <c r="AQ433" s="76">
        <f t="shared" si="87"/>
        <v>0</v>
      </c>
      <c r="AR433" s="76">
        <f t="shared" si="88"/>
        <v>1.6088122480762042</v>
      </c>
      <c r="AS433" s="76">
        <f t="shared" si="89"/>
        <v>0</v>
      </c>
      <c r="AT433" s="76">
        <f t="shared" si="90"/>
        <v>0.28221893984004282</v>
      </c>
      <c r="AU433" s="76">
        <f t="shared" si="91"/>
        <v>48.75</v>
      </c>
      <c r="AV433" s="76">
        <f>MAX(0,(AU433-Constantes!$D$13)*(1-EXP(-Constantes!$D$24)))</f>
        <v>0</v>
      </c>
      <c r="AW433" s="170">
        <f>AW432+(Entradas!$E$112*AT433-AX432)/(800*Entradas!$D$25)</f>
        <v>0</v>
      </c>
      <c r="AX433" s="170">
        <f>8000*Entradas!$D$26*AW433/Constantes!$E$45</f>
        <v>0</v>
      </c>
      <c r="AY433" s="170">
        <f>IF(Escenarios!$E$17&gt;0,10*Escenarios!$E$16*AL433,0)</f>
        <v>0</v>
      </c>
      <c r="AZ433" s="170">
        <f>IF(Escenarios!$E$17&gt;0,10*Escenarios!$E$16*AX433,0)</f>
        <v>0</v>
      </c>
      <c r="BA433" s="170">
        <f>IF(Escenarios!$E$17&gt;0,0.001*Observaciones!$F432*Escenarios!$E$17,0)</f>
        <v>0</v>
      </c>
      <c r="BB433" s="170">
        <f>IF(Escenarios!$E$17&gt;0,Observaciones!$K432,0)</f>
        <v>0</v>
      </c>
      <c r="BC433" s="170">
        <f>IF(Escenarios!$E$17&gt;0,MIN(0.0005*ETo!$M432*Escenarios!$E$17*(BG432/Constantes!$E$40)^(2/3),BG432+AY433+AZ433+BA433+BB433),0)</f>
        <v>40.136093582404357</v>
      </c>
      <c r="BD433" s="170">
        <f>IF(Escenarios!$E$17&gt;0,MIN(Constantes!$E$39*(BG432/Constantes!$E$40)^(2/3),BG432+AY433+AZ433+BA433+BB433-BC433),0)</f>
        <v>66.709409394752953</v>
      </c>
      <c r="BE433" s="170">
        <f>IF(Escenarios!$E$17&gt;0,MIN(Entradas!$E$113,BG432+AY433+AZ433+BA433+BB433-BC433-BD433),0)</f>
        <v>1</v>
      </c>
      <c r="BF433" s="170">
        <f>IF(Escenarios!$E$17&gt;0,MAX(0,BG432+AY433+AZ433+BA433+BB433-BC433-BD433-BE433-Constantes!$E$40),0)</f>
        <v>0</v>
      </c>
      <c r="BG433" s="170">
        <f t="shared" si="96"/>
        <v>4968.5377650251885</v>
      </c>
      <c r="BH433" s="170">
        <f>(Escenarios!$E$16*AK433+0.1*BC433)/(Escenarios!$E$19)</f>
        <v>2.2981344665384444</v>
      </c>
      <c r="BI433" s="170">
        <f>IF(Escenarios!$E$17&gt;0,BF433/10/Escenarios!$E$19,AL433)</f>
        <v>0</v>
      </c>
      <c r="BJ433" s="170">
        <f>(Escenarios!$E$16*AT433+0.1*BD433)/(Escenarios!$E$19)</f>
        <v>0.30645109483923016</v>
      </c>
      <c r="BK433" s="76">
        <f>BK432+(0.1*BD433)/(Escenarios!$E$19)-BL432</f>
        <v>50.2511050721603</v>
      </c>
      <c r="BL433" s="76">
        <f>MAX(0,(BK433-Constantes!$D$13)*(1-EXP(-Constantes!$D$23)))</f>
        <v>1.4790745811368137E-2</v>
      </c>
      <c r="BM433" s="76">
        <f t="shared" si="92"/>
        <v>1.0678608749569529</v>
      </c>
      <c r="BN433" s="76">
        <f t="shared" si="97"/>
        <v>1.6236029938875722</v>
      </c>
      <c r="BO433" s="76">
        <f>0.0526*BI433*Observaciones!$F432^1.218</f>
        <v>0</v>
      </c>
      <c r="BP433" s="76">
        <f>BO433*Constantes!$E$51</f>
        <v>0</v>
      </c>
      <c r="BQ433" s="76">
        <f t="shared" si="93"/>
        <v>0</v>
      </c>
      <c r="BR433" s="40"/>
    </row>
    <row r="434" spans="1:70">
      <c r="A434" s="147"/>
      <c r="B434" s="39"/>
      <c r="C434" s="75">
        <v>428</v>
      </c>
      <c r="D434" s="146">
        <f>ETo!$I433*((1-Constantes!$E$19)*ETo!$K433+ETo!$L433)</f>
        <v>4.2950375107407348</v>
      </c>
      <c r="E434" s="76">
        <f>MIN(D434*Constantes!$E$17,0.8*(N433+Observaciones!$F433-F434-M434-Constantes!$D$14))</f>
        <v>2.0998967240218001</v>
      </c>
      <c r="F434" s="76">
        <f>IF(Observaciones!$F433&gt;0.05*Constantes!$E$18,((Observaciones!$F433-0.05*Constantes!$E$18)^2)/(Observaciones!$F433+0.95*Constantes!$E$18),0)</f>
        <v>0</v>
      </c>
      <c r="G434" s="76">
        <f>IF(Escenarios!$E$11&gt;0,(F434*Escenarios!$E$16*10000)/1000,0)</f>
        <v>0</v>
      </c>
      <c r="H434" s="76">
        <f>IF(Escenarios!$E$11&gt;0,(Observaciones!$F433*Constantes!$E$29)/1000,0)</f>
        <v>26</v>
      </c>
      <c r="I434" s="76">
        <f>IF(Escenarios!$E$11&gt;0,(D434*Constantes!$E$29)/1000,0)</f>
        <v>42.950375107407353</v>
      </c>
      <c r="J434" s="76">
        <f>IF(Escenarios!$E$11&gt;0,MAX(0,G434+H434-I434),0)</f>
        <v>0</v>
      </c>
      <c r="K434" s="76">
        <f>IF(Escenarios!$E$11&gt;0,IF(J434&gt;Constantes!$E$30,1000*((J434-Constantes!$E$30)/(Escenarios!$E$16*10000)),0),F434)</f>
        <v>0</v>
      </c>
      <c r="L434" s="76">
        <f>IF(Escenarios!$E$11&gt;0,I434*1000/Escenarios!$E$16/10000+E434,E434)</f>
        <v>2.1170768740647632</v>
      </c>
      <c r="M434" s="76">
        <f>MAX(0,N433+Observaciones!$F433-K434-Constantes!$D$13)</f>
        <v>0</v>
      </c>
      <c r="N434" s="76">
        <f>N433+Observaciones!$F433-K434-L434-M434-O433</f>
        <v>29.640948051468825</v>
      </c>
      <c r="O434" s="76">
        <f>MAX(0,(N434-Constantes!$D$14)*(1-EXP(-Constantes!$D$22)))</f>
        <v>0.62646320518548582</v>
      </c>
      <c r="P434" s="170">
        <f>P433+(Entradas!$E$83*M434-Q433)/(800*Entradas!$D$25)</f>
        <v>0</v>
      </c>
      <c r="Q434" s="170">
        <f>8000*Entradas!$D$26*P434/Constantes!$E$45</f>
        <v>0</v>
      </c>
      <c r="R434" s="170">
        <f>IF(Escenarios!$E$14&gt;0,K434*Escenarios!$E$13/Escenarios!$E$14,0)</f>
        <v>0</v>
      </c>
      <c r="S434" s="170">
        <f>IF(Escenarios!$E$14&gt;0,Q434*Escenarios!$E$13/Escenarios!$E$14,0)</f>
        <v>0</v>
      </c>
      <c r="T434" s="170">
        <f>IF(Escenarios!$E$14&gt;0,Observaciones!$I433,0)</f>
        <v>0</v>
      </c>
      <c r="U434" s="170">
        <f>IF(Escenarios!$E$14&gt;0,MAX(0,Constantes!$E$36/((Z433+R434+S434+T434+Observaciones!$F433)^2)+Entradas!$E$77),0)</f>
        <v>2.3128900133268617</v>
      </c>
      <c r="V434" s="146">
        <f>IF(ETo!D433&gt;0,ETo!I433*((1-Entradas!$E$81)*ETo!K433+ETo!L433),0)</f>
        <v>3.9223104253260974</v>
      </c>
      <c r="W434" s="170">
        <f>IF(Escenarios!$E$14&gt;0,MIN(V434*1,0.8*(Z433+R434+S434+T434+Observaciones!$F433-U434-Constantes!$E$35)),0)</f>
        <v>3.9223104253260974</v>
      </c>
      <c r="X434" s="170">
        <f>IF(Escenarios!$E$14&gt;0,Observaciones!$J433,0)</f>
        <v>0</v>
      </c>
      <c r="Y434" s="170">
        <f>IF(Escenarios!$E$14&gt;0,MAX(0,Z433+R434+S434+T434+Observaciones!$F433-U434-W434-X434-Constantes!$E$33),0)</f>
        <v>0</v>
      </c>
      <c r="Z434" s="170">
        <f>Z433+R434+S434+T434+Observaciones!$F433-U434-W434-Y434</f>
        <v>116.0019910581963</v>
      </c>
      <c r="AA434" s="170">
        <f>IF(Escenarios!$E$14&gt;0,(Escenarios!$E$13*L434+Escenarios!$E$14*W434)/(Escenarios!$E$16),L434)</f>
        <v>2.3337049002161234</v>
      </c>
      <c r="AB434" s="170">
        <f>IF(Escenarios!$E$14&gt;0,(Escenarios!$E$14*Y434)/(Escenarios!$E$16),K434)</f>
        <v>0</v>
      </c>
      <c r="AC434" s="170">
        <f>IF(Escenarios!$E$14&gt;0,(Escenarios!$E$13*M434+Escenarios!$E$14*U434)/(Escenarios!$E$16),M434)</f>
        <v>0.2775468015992234</v>
      </c>
      <c r="AD434" s="76">
        <f t="shared" si="85"/>
        <v>154.85001441484141</v>
      </c>
      <c r="AE434" s="76">
        <f>MAX(0,(AD434-Constantes!$D$13)*(1-EXP(-Constantes!$D$23)))</f>
        <v>1.0454287130840048</v>
      </c>
      <c r="AF434" s="76">
        <f>AB434+O434*Escenarios!$E$13/Escenarios!$E$16+AE434</f>
        <v>1.5967163336472323</v>
      </c>
      <c r="AG434" s="76">
        <f>IF(Entradas!$E$91&gt;0,IF(AF434-Escenarios!$E$38&lt;=0,0,IF(AF434-Escenarios!$E$38&gt;Escenarios!$E$37,Escenarios!$E$37,AF434-Escenarios!$E$38)),0)</f>
        <v>0</v>
      </c>
      <c r="AH434" s="76">
        <f>AG434*Entradas!$E$99</f>
        <v>0</v>
      </c>
      <c r="AI434" s="76">
        <f>IF(Entradas!$E$91&gt;0,D434*Entradas!$D$23/Escenarios!$E$16,0)</f>
        <v>0</v>
      </c>
      <c r="AJ434" s="76">
        <f>IF(Entradas!$E$91&gt;0,Entradas!$D$24*Entradas!$D$22/Escenarios!$E$16,0)</f>
        <v>0</v>
      </c>
      <c r="AK434" s="76">
        <f t="shared" si="94"/>
        <v>2.3337049002161234</v>
      </c>
      <c r="AL434" s="76">
        <f t="shared" si="95"/>
        <v>0</v>
      </c>
      <c r="AM434" s="76">
        <f t="shared" si="86"/>
        <v>0</v>
      </c>
      <c r="AN434" s="76">
        <f>MAX(0,O434*Escenarios!$E$13/Escenarios!$E$16-AM434)</f>
        <v>0.55128762056322755</v>
      </c>
      <c r="AO434" s="76">
        <f>AM434+AN434-O434*Escenarios!$E$13/Escenarios!$E$16</f>
        <v>0</v>
      </c>
      <c r="AP434" s="76">
        <f t="shared" si="84"/>
        <v>1.0454287130840048</v>
      </c>
      <c r="AQ434" s="76">
        <f t="shared" si="87"/>
        <v>0</v>
      </c>
      <c r="AR434" s="76">
        <f t="shared" si="88"/>
        <v>1.5967163336472323</v>
      </c>
      <c r="AS434" s="76">
        <f t="shared" si="89"/>
        <v>0</v>
      </c>
      <c r="AT434" s="76">
        <f t="shared" si="90"/>
        <v>0.2775468015992234</v>
      </c>
      <c r="AU434" s="76">
        <f t="shared" si="91"/>
        <v>48.75</v>
      </c>
      <c r="AV434" s="76">
        <f>MAX(0,(AU434-Constantes!$D$13)*(1-EXP(-Constantes!$D$24)))</f>
        <v>0</v>
      </c>
      <c r="AW434" s="170">
        <f>AW433+(Entradas!$E$112*AT434-AX433)/(800*Entradas!$D$25)</f>
        <v>0</v>
      </c>
      <c r="AX434" s="170">
        <f>8000*Entradas!$D$26*AW434/Constantes!$E$45</f>
        <v>0</v>
      </c>
      <c r="AY434" s="170">
        <f>IF(Escenarios!$E$17&gt;0,10*Escenarios!$E$16*AL434,0)</f>
        <v>0</v>
      </c>
      <c r="AZ434" s="170">
        <f>IF(Escenarios!$E$17&gt;0,10*Escenarios!$E$16*AX434,0)</f>
        <v>0</v>
      </c>
      <c r="BA434" s="170">
        <f>IF(Escenarios!$E$17&gt;0,0.001*Observaciones!$F433*Escenarios!$E$17,0)</f>
        <v>52.000000000000007</v>
      </c>
      <c r="BB434" s="170">
        <f>IF(Escenarios!$E$17&gt;0,Observaciones!$K433,0)</f>
        <v>285.48171270647629</v>
      </c>
      <c r="BC434" s="170">
        <f>IF(Escenarios!$E$17&gt;0,MIN(0.0005*ETo!$M433*Escenarios!$E$17*(BG433/Constantes!$E$40)^(2/3),BG433+AY434+AZ434+BA434+BB434),0)</f>
        <v>40.126960975026257</v>
      </c>
      <c r="BD434" s="170">
        <f>IF(Escenarios!$E$17&gt;0,MIN(Constantes!$E$39*(BG433/Constantes!$E$40)^(2/3),BG433+AY434+AZ434+BA434+BB434-BC434),0)</f>
        <v>65.761224267687709</v>
      </c>
      <c r="BE434" s="170">
        <f>IF(Escenarios!$E$17&gt;0,MIN(Entradas!$E$113,BG433+AY434+AZ434+BA434+BB434-BC434-BD434),0)</f>
        <v>1</v>
      </c>
      <c r="BF434" s="170">
        <f>IF(Escenarios!$E$17&gt;0,MAX(0,BG433+AY434+AZ434+BA434+BB434-BC434-BD434-BE434-Constantes!$E$40),0)</f>
        <v>0</v>
      </c>
      <c r="BG434" s="170">
        <f t="shared" si="96"/>
        <v>5199.1312924889507</v>
      </c>
      <c r="BH434" s="170">
        <f>(Escenarios!$E$16*AK434+0.1*BC434)/(Escenarios!$E$19)</f>
        <v>2.3311068299664028</v>
      </c>
      <c r="BI434" s="170">
        <f>IF(Escenarios!$E$17&gt;0,BF434/10/Escenarios!$E$19,AL434)</f>
        <v>0</v>
      </c>
      <c r="BJ434" s="170">
        <f>(Escenarios!$E$16*AT434+0.1*BD434)/(Escenarios!$E$19)</f>
        <v>0.30143977312132786</v>
      </c>
      <c r="BK434" s="76">
        <f>BK433+(0.1*BD434)/(Escenarios!$E$19)-BL433</f>
        <v>50.262410050264684</v>
      </c>
      <c r="BL434" s="76">
        <f>MAX(0,(BK434-Constantes!$D$13)*(1-EXP(-Constantes!$D$23)))</f>
        <v>1.4902136453266636E-2</v>
      </c>
      <c r="BM434" s="76">
        <f t="shared" si="92"/>
        <v>1.0603308495372714</v>
      </c>
      <c r="BN434" s="76">
        <f t="shared" si="97"/>
        <v>1.611618470100499</v>
      </c>
      <c r="BO434" s="76">
        <f>0.0526*BI434*Observaciones!$F433^1.218</f>
        <v>0</v>
      </c>
      <c r="BP434" s="76">
        <f>BO434*Constantes!$E$51</f>
        <v>0</v>
      </c>
      <c r="BQ434" s="76">
        <f t="shared" si="93"/>
        <v>0</v>
      </c>
      <c r="BR434" s="40"/>
    </row>
    <row r="435" spans="1:70">
      <c r="A435" s="147"/>
      <c r="B435" s="39"/>
      <c r="C435" s="75">
        <v>429</v>
      </c>
      <c r="D435" s="146">
        <f>ETo!$I434*((1-Constantes!$E$19)*ETo!$K434+ETo!$L434)</f>
        <v>4.2069420021488559</v>
      </c>
      <c r="E435" s="76">
        <f>MIN(D435*Constantes!$E$17,0.8*(N434+Observaciones!$F434-F435-M435-Constantes!$D$14))</f>
        <v>2.0568257451466434</v>
      </c>
      <c r="F435" s="76">
        <f>IF(Observaciones!$F434&gt;0.05*Constantes!$E$18,((Observaciones!$F434-0.05*Constantes!$E$18)^2)/(Observaciones!$F434+0.95*Constantes!$E$18),0)</f>
        <v>0</v>
      </c>
      <c r="G435" s="76">
        <f>IF(Escenarios!$E$11&gt;0,(F435*Escenarios!$E$16*10000)/1000,0)</f>
        <v>0</v>
      </c>
      <c r="H435" s="76">
        <f>IF(Escenarios!$E$11&gt;0,(Observaciones!$F434*Constantes!$E$29)/1000,0)</f>
        <v>0</v>
      </c>
      <c r="I435" s="76">
        <f>IF(Escenarios!$E$11&gt;0,(D435*Constantes!$E$29)/1000,0)</f>
        <v>42.069420021488554</v>
      </c>
      <c r="J435" s="76">
        <f>IF(Escenarios!$E$11&gt;0,MAX(0,G435+H435-I435),0)</f>
        <v>0</v>
      </c>
      <c r="K435" s="76">
        <f>IF(Escenarios!$E$11&gt;0,IF(J435&gt;Constantes!$E$30,1000*((J435-Constantes!$E$30)/(Escenarios!$E$16*10000)),0),F435)</f>
        <v>0</v>
      </c>
      <c r="L435" s="76">
        <f>IF(Escenarios!$E$11&gt;0,I435*1000/Escenarios!$E$16/10000+E435,E435)</f>
        <v>2.0736535131552389</v>
      </c>
      <c r="M435" s="76">
        <f>MAX(0,N434+Observaciones!$F434-K435-Constantes!$D$13)</f>
        <v>0</v>
      </c>
      <c r="N435" s="76">
        <f>N434+Observaciones!$F434-K435-L435-M435-O434</f>
        <v>26.940831333128099</v>
      </c>
      <c r="O435" s="76">
        <f>MAX(0,(N435-Constantes!$D$14)*(1-EXP(-Constantes!$D$22)))</f>
        <v>0.53448731742740196</v>
      </c>
      <c r="P435" s="170">
        <f>P434+(Entradas!$E$83*M435-Q434)/(800*Entradas!$D$25)</f>
        <v>0</v>
      </c>
      <c r="Q435" s="170">
        <f>8000*Entradas!$D$26*P435/Constantes!$E$45</f>
        <v>0</v>
      </c>
      <c r="R435" s="170">
        <f>IF(Escenarios!$E$14&gt;0,K435*Escenarios!$E$13/Escenarios!$E$14,0)</f>
        <v>0</v>
      </c>
      <c r="S435" s="170">
        <f>IF(Escenarios!$E$14&gt;0,Q435*Escenarios!$E$13/Escenarios!$E$14,0)</f>
        <v>0</v>
      </c>
      <c r="T435" s="170">
        <f>IF(Escenarios!$E$14&gt;0,Observaciones!$I434,0)</f>
        <v>0</v>
      </c>
      <c r="U435" s="170">
        <f>IF(Escenarios!$E$14&gt;0,MAX(0,Constantes!$E$36/((Z434+R435+S435+T435+Observaciones!$F434)^2)+Entradas!$E$77),0)</f>
        <v>2.2370394198850505</v>
      </c>
      <c r="V435" s="146">
        <f>IF(ETo!D434&gt;0,ETo!I434*((1-Entradas!$E$81)*ETo!K434+ETo!L434),0)</f>
        <v>3.8406541857324199</v>
      </c>
      <c r="W435" s="170">
        <f>IF(Escenarios!$E$14&gt;0,MIN(V435*1,0.8*(Z434+R435+S435+T435+Observaciones!$F434-U435-Constantes!$E$35)),0)</f>
        <v>3.8406541857324199</v>
      </c>
      <c r="X435" s="170">
        <f>IF(Escenarios!$E$14&gt;0,Observaciones!$J434,0)</f>
        <v>0</v>
      </c>
      <c r="Y435" s="170">
        <f>IF(Escenarios!$E$14&gt;0,MAX(0,Z434+R435+S435+T435+Observaciones!$F434-U435-W435-X435-Constantes!$E$33),0)</f>
        <v>0</v>
      </c>
      <c r="Z435" s="170">
        <f>Z434+R435+S435+T435+Observaciones!$F434-U435-W435-Y435</f>
        <v>109.92429745257883</v>
      </c>
      <c r="AA435" s="170">
        <f>IF(Escenarios!$E$14&gt;0,(Escenarios!$E$13*L435+Escenarios!$E$14*W435)/(Escenarios!$E$16),L435)</f>
        <v>2.2856935938645004</v>
      </c>
      <c r="AB435" s="170">
        <f>IF(Escenarios!$E$14&gt;0,(Escenarios!$E$14*Y435)/(Escenarios!$E$16),K435)</f>
        <v>0</v>
      </c>
      <c r="AC435" s="170">
        <f>IF(Escenarios!$E$14&gt;0,(Escenarios!$E$13*M435+Escenarios!$E$14*U435)/(Escenarios!$E$16),M435)</f>
        <v>0.26844473038620609</v>
      </c>
      <c r="AD435" s="76">
        <f t="shared" si="85"/>
        <v>154.07303043214361</v>
      </c>
      <c r="AE435" s="76">
        <f>MAX(0,(AD435-Constantes!$D$13)*(1-EXP(-Constantes!$D$23)))</f>
        <v>1.0377729048393169</v>
      </c>
      <c r="AF435" s="76">
        <f>AB435+O435*Escenarios!$E$13/Escenarios!$E$16+AE435</f>
        <v>1.5081217441754307</v>
      </c>
      <c r="AG435" s="76">
        <f>IF(Entradas!$E$91&gt;0,IF(AF435-Escenarios!$E$38&lt;=0,0,IF(AF435-Escenarios!$E$38&gt;Escenarios!$E$37,Escenarios!$E$37,AF435-Escenarios!$E$38)),0)</f>
        <v>0</v>
      </c>
      <c r="AH435" s="76">
        <f>AG435*Entradas!$E$99</f>
        <v>0</v>
      </c>
      <c r="AI435" s="76">
        <f>IF(Entradas!$E$91&gt;0,D435*Entradas!$D$23/Escenarios!$E$16,0)</f>
        <v>0</v>
      </c>
      <c r="AJ435" s="76">
        <f>IF(Entradas!$E$91&gt;0,Entradas!$D$24*Entradas!$D$22/Escenarios!$E$16,0)</f>
        <v>0</v>
      </c>
      <c r="AK435" s="76">
        <f t="shared" si="94"/>
        <v>2.2856935938645004</v>
      </c>
      <c r="AL435" s="76">
        <f t="shared" si="95"/>
        <v>0</v>
      </c>
      <c r="AM435" s="76">
        <f t="shared" si="86"/>
        <v>0</v>
      </c>
      <c r="AN435" s="76">
        <f>MAX(0,O435*Escenarios!$E$13/Escenarios!$E$16-AM435)</f>
        <v>0.47034883933611371</v>
      </c>
      <c r="AO435" s="76">
        <f>AM435+AN435-O435*Escenarios!$E$13/Escenarios!$E$16</f>
        <v>0</v>
      </c>
      <c r="AP435" s="76">
        <f t="shared" si="84"/>
        <v>1.0377729048393169</v>
      </c>
      <c r="AQ435" s="76">
        <f t="shared" si="87"/>
        <v>0</v>
      </c>
      <c r="AR435" s="76">
        <f t="shared" si="88"/>
        <v>1.5081217441754307</v>
      </c>
      <c r="AS435" s="76">
        <f t="shared" si="89"/>
        <v>0</v>
      </c>
      <c r="AT435" s="76">
        <f t="shared" si="90"/>
        <v>0.26844473038620609</v>
      </c>
      <c r="AU435" s="76">
        <f t="shared" si="91"/>
        <v>48.75</v>
      </c>
      <c r="AV435" s="76">
        <f>MAX(0,(AU435-Constantes!$D$13)*(1-EXP(-Constantes!$D$24)))</f>
        <v>0</v>
      </c>
      <c r="AW435" s="170">
        <f>AW434+(Entradas!$E$112*AT435-AX434)/(800*Entradas!$D$25)</f>
        <v>0</v>
      </c>
      <c r="AX435" s="170">
        <f>8000*Entradas!$D$26*AW435/Constantes!$E$45</f>
        <v>0</v>
      </c>
      <c r="AY435" s="170">
        <f>IF(Escenarios!$E$17&gt;0,10*Escenarios!$E$16*AL435,0)</f>
        <v>0</v>
      </c>
      <c r="AZ435" s="170">
        <f>IF(Escenarios!$E$17&gt;0,10*Escenarios!$E$16*AX435,0)</f>
        <v>0</v>
      </c>
      <c r="BA435" s="170">
        <f>IF(Escenarios!$E$17&gt;0,0.001*Observaciones!$F434*Escenarios!$E$17,0)</f>
        <v>0</v>
      </c>
      <c r="BB435" s="170">
        <f>IF(Escenarios!$E$17&gt;0,Observaciones!$K434,0)</f>
        <v>0</v>
      </c>
      <c r="BC435" s="170">
        <f>IF(Escenarios!$E$17&gt;0,MIN(0.0005*ETo!$M434*Escenarios!$E$17*(BG434/Constantes!$E$40)^(2/3),BG434+AY435+AZ435+BA435+BB435),0)</f>
        <v>40.52685662111476</v>
      </c>
      <c r="BD435" s="170">
        <f>IF(Escenarios!$E$17&gt;0,MIN(Constantes!$E$39*(BG434/Constantes!$E$40)^(2/3),BG434+AY435+AZ435+BA435+BB435-BC435),0)</f>
        <v>67.780486678020978</v>
      </c>
      <c r="BE435" s="170">
        <f>IF(Escenarios!$E$17&gt;0,MIN(Entradas!$E$113,BG434+AY435+AZ435+BA435+BB435-BC435-BD435),0)</f>
        <v>1</v>
      </c>
      <c r="BF435" s="170">
        <f>IF(Escenarios!$E$17&gt;0,MAX(0,BG434+AY435+AZ435+BA435+BB435-BC435-BD435-BE435-Constantes!$E$40),0)</f>
        <v>0</v>
      </c>
      <c r="BG435" s="170">
        <f t="shared" si="96"/>
        <v>5089.8239491898157</v>
      </c>
      <c r="BH435" s="170">
        <f>(Escenarios!$E$16*AK435+0.1*BC435)/(Escenarios!$E$19)</f>
        <v>2.2836352544771295</v>
      </c>
      <c r="BI435" s="170">
        <f>IF(Escenarios!$E$17&gt;0,BF435/10/Escenarios!$E$19,AL435)</f>
        <v>0</v>
      </c>
      <c r="BJ435" s="170">
        <f>(Escenarios!$E$16*AT435+0.1*BD435)/(Escenarios!$E$19)</f>
        <v>0.29321123517600639</v>
      </c>
      <c r="BK435" s="76">
        <f>BK434+(0.1*BD435)/(Escenarios!$E$19)-BL434</f>
        <v>50.274404932334441</v>
      </c>
      <c r="BL435" s="76">
        <f>MAX(0,(BK435-Constantes!$D$13)*(1-EXP(-Constantes!$D$23)))</f>
        <v>1.5020324883258279E-2</v>
      </c>
      <c r="BM435" s="76">
        <f t="shared" si="92"/>
        <v>1.0527932297225753</v>
      </c>
      <c r="BN435" s="76">
        <f t="shared" si="97"/>
        <v>1.523142069058689</v>
      </c>
      <c r="BO435" s="76">
        <f>0.0526*BI435*Observaciones!$F434^1.218</f>
        <v>0</v>
      </c>
      <c r="BP435" s="76">
        <f>BO435*Constantes!$E$51</f>
        <v>0</v>
      </c>
      <c r="BQ435" s="76">
        <f t="shared" si="93"/>
        <v>0</v>
      </c>
      <c r="BR435" s="40"/>
    </row>
    <row r="436" spans="1:70">
      <c r="A436" s="147"/>
      <c r="B436" s="39"/>
      <c r="C436" s="75">
        <v>430</v>
      </c>
      <c r="D436" s="146">
        <f>ETo!$I435*((1-Constantes!$E$19)*ETo!$K435+ETo!$L435)</f>
        <v>4.1189097742594267</v>
      </c>
      <c r="E436" s="76">
        <f>MIN(D436*Constantes!$E$17,0.8*(N435+Observaciones!$F435-F436-M436-Constantes!$D$14))</f>
        <v>2.0137857049860926</v>
      </c>
      <c r="F436" s="76">
        <f>IF(Observaciones!$F435&gt;0.05*Constantes!$E$18,((Observaciones!$F435-0.05*Constantes!$E$18)^2)/(Observaciones!$F435+0.95*Constantes!$E$18),0)</f>
        <v>0</v>
      </c>
      <c r="G436" s="76">
        <f>IF(Escenarios!$E$11&gt;0,(F436*Escenarios!$E$16*10000)/1000,0)</f>
        <v>0</v>
      </c>
      <c r="H436" s="76">
        <f>IF(Escenarios!$E$11&gt;0,(Observaciones!$F435*Constantes!$E$29)/1000,0)</f>
        <v>58</v>
      </c>
      <c r="I436" s="76">
        <f>IF(Escenarios!$E$11&gt;0,(D436*Constantes!$E$29)/1000,0)</f>
        <v>41.189097742594271</v>
      </c>
      <c r="J436" s="76">
        <f>IF(Escenarios!$E$11&gt;0,MAX(0,G436+H436-I436),0)</f>
        <v>16.810902257405729</v>
      </c>
      <c r="K436" s="76">
        <f>IF(Escenarios!$E$11&gt;0,IF(J436&gt;Constantes!$E$30,1000*((J436-Constantes!$E$30)/(Escenarios!$E$16*10000)),0),F436)</f>
        <v>0</v>
      </c>
      <c r="L436" s="76">
        <f>IF(Escenarios!$E$11&gt;0,I436*1000/Escenarios!$E$16/10000+E436,E436)</f>
        <v>2.0302613440831303</v>
      </c>
      <c r="M436" s="76">
        <f>MAX(0,N435+Observaciones!$F435-K436-Constantes!$D$13)</f>
        <v>0</v>
      </c>
      <c r="N436" s="76">
        <f>N435+Observaciones!$F435-K436-L436-M436-O435</f>
        <v>30.176082671617568</v>
      </c>
      <c r="O436" s="76">
        <f>MAX(0,(N436-Constantes!$D$14)*(1-EXP(-Constantes!$D$22)))</f>
        <v>0.6446918548671603</v>
      </c>
      <c r="P436" s="170">
        <f>P435+(Entradas!$E$83*M436-Q435)/(800*Entradas!$D$25)</f>
        <v>0</v>
      </c>
      <c r="Q436" s="170">
        <f>8000*Entradas!$D$26*P436/Constantes!$E$45</f>
        <v>0</v>
      </c>
      <c r="R436" s="170">
        <f>IF(Escenarios!$E$14&gt;0,K436*Escenarios!$E$13/Escenarios!$E$14,0)</f>
        <v>0</v>
      </c>
      <c r="S436" s="170">
        <f>IF(Escenarios!$E$14&gt;0,Q436*Escenarios!$E$13/Escenarios!$E$14,0)</f>
        <v>0</v>
      </c>
      <c r="T436" s="170">
        <f>IF(Escenarios!$E$14&gt;0,Observaciones!$I435,0)</f>
        <v>0</v>
      </c>
      <c r="U436" s="170">
        <f>IF(Escenarios!$E$14&gt;0,MAX(0,Constantes!$E$36/((Z435+R436+S436+T436+Observaciones!$F435)^2)+Entradas!$E$77),0)</f>
        <v>2.2333734053780074</v>
      </c>
      <c r="V436" s="146">
        <f>IF(ETo!D435&gt;0,ETo!I435*((1-Entradas!$E$81)*ETo!K435+ETo!L435),0)</f>
        <v>3.7592043145173513</v>
      </c>
      <c r="W436" s="170">
        <f>IF(Escenarios!$E$14&gt;0,MIN(V436*1,0.8*(Z435+R436+S436+T436+Observaciones!$F435-U436-Constantes!$E$35)),0)</f>
        <v>3.7592043145173513</v>
      </c>
      <c r="X436" s="170">
        <f>IF(Escenarios!$E$14&gt;0,Observaciones!$J435,0)</f>
        <v>0</v>
      </c>
      <c r="Y436" s="170">
        <f>IF(Escenarios!$E$14&gt;0,MAX(0,Z435+R436+S436+T436+Observaciones!$F435-U436-W436-X436-Constantes!$E$33),0)</f>
        <v>0</v>
      </c>
      <c r="Z436" s="170">
        <f>Z435+R436+S436+T436+Observaciones!$F435-U436-W436-Y436</f>
        <v>109.73171973268347</v>
      </c>
      <c r="AA436" s="170">
        <f>IF(Escenarios!$E$14&gt;0,(Escenarios!$E$13*L436+Escenarios!$E$14*W436)/(Escenarios!$E$16),L436)</f>
        <v>2.2377345005352369</v>
      </c>
      <c r="AB436" s="170">
        <f>IF(Escenarios!$E$14&gt;0,(Escenarios!$E$14*Y436)/(Escenarios!$E$16),K436)</f>
        <v>0</v>
      </c>
      <c r="AC436" s="170">
        <f>IF(Escenarios!$E$14&gt;0,(Escenarios!$E$13*M436+Escenarios!$E$14*U436)/(Escenarios!$E$16),M436)</f>
        <v>0.26800480864536086</v>
      </c>
      <c r="AD436" s="76">
        <f t="shared" si="85"/>
        <v>153.30326233594965</v>
      </c>
      <c r="AE436" s="76">
        <f>MAX(0,(AD436-Constantes!$D$13)*(1-EXP(-Constantes!$D$23)))</f>
        <v>1.0301881964430417</v>
      </c>
      <c r="AF436" s="76">
        <f>AB436+O436*Escenarios!$E$13/Escenarios!$E$16+AE436</f>
        <v>1.5975170287261427</v>
      </c>
      <c r="AG436" s="76">
        <f>IF(Entradas!$E$91&gt;0,IF(AF436-Escenarios!$E$38&lt;=0,0,IF(AF436-Escenarios!$E$38&gt;Escenarios!$E$37,Escenarios!$E$37,AF436-Escenarios!$E$38)),0)</f>
        <v>0</v>
      </c>
      <c r="AH436" s="76">
        <f>AG436*Entradas!$E$99</f>
        <v>0</v>
      </c>
      <c r="AI436" s="76">
        <f>IF(Entradas!$E$91&gt;0,D436*Entradas!$D$23/Escenarios!$E$16,0)</f>
        <v>0</v>
      </c>
      <c r="AJ436" s="76">
        <f>IF(Entradas!$E$91&gt;0,Entradas!$D$24*Entradas!$D$22/Escenarios!$E$16,0)</f>
        <v>0</v>
      </c>
      <c r="AK436" s="76">
        <f t="shared" si="94"/>
        <v>2.2377345005352369</v>
      </c>
      <c r="AL436" s="76">
        <f t="shared" si="95"/>
        <v>0</v>
      </c>
      <c r="AM436" s="76">
        <f t="shared" si="86"/>
        <v>0</v>
      </c>
      <c r="AN436" s="76">
        <f>MAX(0,O436*Escenarios!$E$13/Escenarios!$E$16-AM436)</f>
        <v>0.56732883228310105</v>
      </c>
      <c r="AO436" s="76">
        <f>AM436+AN436-O436*Escenarios!$E$13/Escenarios!$E$16</f>
        <v>0</v>
      </c>
      <c r="AP436" s="76">
        <f t="shared" si="84"/>
        <v>1.0301881964430417</v>
      </c>
      <c r="AQ436" s="76">
        <f t="shared" si="87"/>
        <v>0</v>
      </c>
      <c r="AR436" s="76">
        <f t="shared" si="88"/>
        <v>1.5975170287261427</v>
      </c>
      <c r="AS436" s="76">
        <f t="shared" si="89"/>
        <v>0</v>
      </c>
      <c r="AT436" s="76">
        <f t="shared" si="90"/>
        <v>0.26800480864536086</v>
      </c>
      <c r="AU436" s="76">
        <f t="shared" si="91"/>
        <v>48.75</v>
      </c>
      <c r="AV436" s="76">
        <f>MAX(0,(AU436-Constantes!$D$13)*(1-EXP(-Constantes!$D$24)))</f>
        <v>0</v>
      </c>
      <c r="AW436" s="170">
        <f>AW435+(Entradas!$E$112*AT436-AX435)/(800*Entradas!$D$25)</f>
        <v>0</v>
      </c>
      <c r="AX436" s="170">
        <f>8000*Entradas!$D$26*AW436/Constantes!$E$45</f>
        <v>0</v>
      </c>
      <c r="AY436" s="170">
        <f>IF(Escenarios!$E$17&gt;0,10*Escenarios!$E$16*AL436,0)</f>
        <v>0</v>
      </c>
      <c r="AZ436" s="170">
        <f>IF(Escenarios!$E$17&gt;0,10*Escenarios!$E$16*AX436,0)</f>
        <v>0</v>
      </c>
      <c r="BA436" s="170">
        <f>IF(Escenarios!$E$17&gt;0,0.001*Observaciones!$F435*Escenarios!$E$17,0)</f>
        <v>115.99999999999999</v>
      </c>
      <c r="BB436" s="170">
        <f>IF(Escenarios!$E$17&gt;0,Observaciones!$K435,0)</f>
        <v>0</v>
      </c>
      <c r="BC436" s="170">
        <f>IF(Escenarios!$E$17&gt;0,MIN(0.0005*ETo!$M435*Escenarios!$E$17*(BG435/Constantes!$E$40)^(2/3),BG435+AY436+AZ436+BA436+BB436),0)</f>
        <v>39.134930901295213</v>
      </c>
      <c r="BD436" s="170">
        <f>IF(Escenarios!$E$17&gt;0,MIN(Constantes!$E$39*(BG435/Constantes!$E$40)^(2/3),BG435+AY436+AZ436+BA436+BB436-BC436),0)</f>
        <v>66.82710798181806</v>
      </c>
      <c r="BE436" s="170">
        <f>IF(Escenarios!$E$17&gt;0,MIN(Entradas!$E$113,BG435+AY436+AZ436+BA436+BB436-BC436-BD436),0)</f>
        <v>1</v>
      </c>
      <c r="BF436" s="170">
        <f>IF(Escenarios!$E$17&gt;0,MAX(0,BG435+AY436+AZ436+BA436+BB436-BC436-BD436-BE436-Constantes!$E$40),0)</f>
        <v>0</v>
      </c>
      <c r="BG436" s="170">
        <f t="shared" si="96"/>
        <v>5098.8619103067031</v>
      </c>
      <c r="BH436" s="170">
        <f>(Escenarios!$E$16*AK436+0.1*BC436)/(Escenarios!$E$19)</f>
        <v>2.2355044373965822</v>
      </c>
      <c r="BI436" s="170">
        <f>IF(Escenarios!$E$17&gt;0,BF436/10/Escenarios!$E$19,AL436)</f>
        <v>0</v>
      </c>
      <c r="BJ436" s="170">
        <f>(Escenarios!$E$16*AT436+0.1*BD436)/(Escenarios!$E$19)</f>
        <v>0.29239647999810325</v>
      </c>
      <c r="BK436" s="76">
        <f>BK435+(0.1*BD436)/(Escenarios!$E$19)-BL435</f>
        <v>50.285903301094763</v>
      </c>
      <c r="BL436" s="76">
        <f>MAX(0,(BK436-Constantes!$D$13)*(1-EXP(-Constantes!$D$23)))</f>
        <v>1.5133621049351793E-2</v>
      </c>
      <c r="BM436" s="76">
        <f t="shared" si="92"/>
        <v>1.0453218174923935</v>
      </c>
      <c r="BN436" s="76">
        <f t="shared" si="97"/>
        <v>1.6126506497754944</v>
      </c>
      <c r="BO436" s="76">
        <f>0.0526*BI436*Observaciones!$F435^1.218</f>
        <v>0</v>
      </c>
      <c r="BP436" s="76">
        <f>BO436*Constantes!$E$51</f>
        <v>0</v>
      </c>
      <c r="BQ436" s="76">
        <f t="shared" si="93"/>
        <v>0</v>
      </c>
      <c r="BR436" s="40"/>
    </row>
    <row r="437" spans="1:70">
      <c r="A437" s="147"/>
      <c r="B437" s="39"/>
      <c r="C437" s="75">
        <v>431</v>
      </c>
      <c r="D437" s="146">
        <f>ETo!$I436*((1-Constantes!$E$19)*ETo!$K436+ETo!$L436)</f>
        <v>4.0657217185880166</v>
      </c>
      <c r="E437" s="76">
        <f>MIN(D437*Constantes!$E$17,0.8*(N436+Observaciones!$F436-F437-M437-Constantes!$D$14))</f>
        <v>1.9877814096610393</v>
      </c>
      <c r="F437" s="76">
        <f>IF(Observaciones!$F436&gt;0.05*Constantes!$E$18,((Observaciones!$F436-0.05*Constantes!$E$18)^2)/(Observaciones!$F436+0.95*Constantes!$E$18),0)</f>
        <v>0</v>
      </c>
      <c r="G437" s="76">
        <f>IF(Escenarios!$E$11&gt;0,(F437*Escenarios!$E$16*10000)/1000,0)</f>
        <v>0</v>
      </c>
      <c r="H437" s="76">
        <f>IF(Escenarios!$E$11&gt;0,(Observaciones!$F436*Constantes!$E$29)/1000,0)</f>
        <v>0</v>
      </c>
      <c r="I437" s="76">
        <f>IF(Escenarios!$E$11&gt;0,(D437*Constantes!$E$29)/1000,0)</f>
        <v>40.657217185880164</v>
      </c>
      <c r="J437" s="76">
        <f>IF(Escenarios!$E$11&gt;0,MAX(0,G437+H437-I437),0)</f>
        <v>0</v>
      </c>
      <c r="K437" s="76">
        <f>IF(Escenarios!$E$11&gt;0,IF(J437&gt;Constantes!$E$30,1000*((J437-Constantes!$E$30)/(Escenarios!$E$16*10000)),0),F437)</f>
        <v>0</v>
      </c>
      <c r="L437" s="76">
        <f>IF(Escenarios!$E$11&gt;0,I437*1000/Escenarios!$E$16/10000+E437,E437)</f>
        <v>2.0040442965353913</v>
      </c>
      <c r="M437" s="76">
        <f>MAX(0,N436+Observaciones!$F436-K437-Constantes!$D$13)</f>
        <v>0</v>
      </c>
      <c r="N437" s="76">
        <f>N436+Observaciones!$F436-K437-L437-M437-O436</f>
        <v>27.527346520215016</v>
      </c>
      <c r="O437" s="76">
        <f>MAX(0,(N437-Constantes!$D$14)*(1-EXP(-Constantes!$D$22)))</f>
        <v>0.55446617784091334</v>
      </c>
      <c r="P437" s="170">
        <f>P436+(Entradas!$E$83*M437-Q436)/(800*Entradas!$D$25)</f>
        <v>0</v>
      </c>
      <c r="Q437" s="170">
        <f>8000*Entradas!$D$26*P437/Constantes!$E$45</f>
        <v>0</v>
      </c>
      <c r="R437" s="170">
        <f>IF(Escenarios!$E$14&gt;0,K437*Escenarios!$E$13/Escenarios!$E$14,0)</f>
        <v>0</v>
      </c>
      <c r="S437" s="170">
        <f>IF(Escenarios!$E$14&gt;0,Q437*Escenarios!$E$13/Escenarios!$E$14,0)</f>
        <v>0</v>
      </c>
      <c r="T437" s="170">
        <f>IF(Escenarios!$E$14&gt;0,Observaciones!$I436,0)</f>
        <v>0</v>
      </c>
      <c r="U437" s="170">
        <f>IF(Escenarios!$E$14&gt;0,MAX(0,Constantes!$E$36/((Z436+R437+S437+T437+Observaciones!$F436)^2)+Entradas!$E$77),0)</f>
        <v>2.1473542813129312</v>
      </c>
      <c r="V437" s="146">
        <f>IF(ETo!D436&gt;0,ETo!I436*((1-Entradas!$E$81)*ETo!K436+ETo!L436),0)</f>
        <v>3.7100078834699173</v>
      </c>
      <c r="W437" s="170">
        <f>IF(Escenarios!$E$14&gt;0,MIN(V437*1,0.8*(Z436+R437+S437+T437+Observaciones!$F436-U437-Constantes!$E$35)),0)</f>
        <v>3.7100078834699173</v>
      </c>
      <c r="X437" s="170">
        <f>IF(Escenarios!$E$14&gt;0,Observaciones!$J436,0)</f>
        <v>0</v>
      </c>
      <c r="Y437" s="170">
        <f>IF(Escenarios!$E$14&gt;0,MAX(0,Z436+R437+S437+T437+Observaciones!$F436-U437-W437-X437-Constantes!$E$33),0)</f>
        <v>0</v>
      </c>
      <c r="Z437" s="170">
        <f>Z436+R437+S437+T437+Observaciones!$F436-U437-W437-Y437</f>
        <v>103.87435756790063</v>
      </c>
      <c r="AA437" s="170">
        <f>IF(Escenarios!$E$14&gt;0,(Escenarios!$E$13*L437+Escenarios!$E$14*W437)/(Escenarios!$E$16),L437)</f>
        <v>2.2087599269675344</v>
      </c>
      <c r="AB437" s="170">
        <f>IF(Escenarios!$E$14&gt;0,(Escenarios!$E$14*Y437)/(Escenarios!$E$16),K437)</f>
        <v>0</v>
      </c>
      <c r="AC437" s="170">
        <f>IF(Escenarios!$E$14&gt;0,(Escenarios!$E$13*M437+Escenarios!$E$14*U437)/(Escenarios!$E$16),M437)</f>
        <v>0.25768251375755175</v>
      </c>
      <c r="AD437" s="76">
        <f t="shared" si="85"/>
        <v>152.53075665326415</v>
      </c>
      <c r="AE437" s="76">
        <f>MAX(0,(AD437-Constantes!$D$13)*(1-EXP(-Constantes!$D$23)))</f>
        <v>1.0225765139550229</v>
      </c>
      <c r="AF437" s="76">
        <f>AB437+O437*Escenarios!$E$13/Escenarios!$E$16+AE437</f>
        <v>1.5105067504550267</v>
      </c>
      <c r="AG437" s="76">
        <f>IF(Entradas!$E$91&gt;0,IF(AF437-Escenarios!$E$38&lt;=0,0,IF(AF437-Escenarios!$E$38&gt;Escenarios!$E$37,Escenarios!$E$37,AF437-Escenarios!$E$38)),0)</f>
        <v>0</v>
      </c>
      <c r="AH437" s="76">
        <f>AG437*Entradas!$E$99</f>
        <v>0</v>
      </c>
      <c r="AI437" s="76">
        <f>IF(Entradas!$E$91&gt;0,D437*Entradas!$D$23/Escenarios!$E$16,0)</f>
        <v>0</v>
      </c>
      <c r="AJ437" s="76">
        <f>IF(Entradas!$E$91&gt;0,Entradas!$D$24*Entradas!$D$22/Escenarios!$E$16,0)</f>
        <v>0</v>
      </c>
      <c r="AK437" s="76">
        <f t="shared" si="94"/>
        <v>2.2087599269675344</v>
      </c>
      <c r="AL437" s="76">
        <f t="shared" si="95"/>
        <v>0</v>
      </c>
      <c r="AM437" s="76">
        <f t="shared" si="86"/>
        <v>0</v>
      </c>
      <c r="AN437" s="76">
        <f>MAX(0,O437*Escenarios!$E$13/Escenarios!$E$16-AM437)</f>
        <v>0.48793023650000372</v>
      </c>
      <c r="AO437" s="76">
        <f>AM437+AN437-O437*Escenarios!$E$13/Escenarios!$E$16</f>
        <v>0</v>
      </c>
      <c r="AP437" s="76">
        <f t="shared" si="84"/>
        <v>1.0225765139550229</v>
      </c>
      <c r="AQ437" s="76">
        <f t="shared" si="87"/>
        <v>0</v>
      </c>
      <c r="AR437" s="76">
        <f t="shared" si="88"/>
        <v>1.5105067504550267</v>
      </c>
      <c r="AS437" s="76">
        <f t="shared" si="89"/>
        <v>0</v>
      </c>
      <c r="AT437" s="76">
        <f t="shared" si="90"/>
        <v>0.25768251375755175</v>
      </c>
      <c r="AU437" s="76">
        <f t="shared" si="91"/>
        <v>48.75</v>
      </c>
      <c r="AV437" s="76">
        <f>MAX(0,(AU437-Constantes!$D$13)*(1-EXP(-Constantes!$D$24)))</f>
        <v>0</v>
      </c>
      <c r="AW437" s="170">
        <f>AW436+(Entradas!$E$112*AT437-AX436)/(800*Entradas!$D$25)</f>
        <v>0</v>
      </c>
      <c r="AX437" s="170">
        <f>8000*Entradas!$D$26*AW437/Constantes!$E$45</f>
        <v>0</v>
      </c>
      <c r="AY437" s="170">
        <f>IF(Escenarios!$E$17&gt;0,10*Escenarios!$E$16*AL437,0)</f>
        <v>0</v>
      </c>
      <c r="AZ437" s="170">
        <f>IF(Escenarios!$E$17&gt;0,10*Escenarios!$E$16*AX437,0)</f>
        <v>0</v>
      </c>
      <c r="BA437" s="170">
        <f>IF(Escenarios!$E$17&gt;0,0.001*Observaciones!$F436*Escenarios!$E$17,0)</f>
        <v>0</v>
      </c>
      <c r="BB437" s="170">
        <f>IF(Escenarios!$E$17&gt;0,Observaciones!$K436,0)</f>
        <v>0</v>
      </c>
      <c r="BC437" s="170">
        <f>IF(Escenarios!$E$17&gt;0,MIN(0.0005*ETo!$M436*Escenarios!$E$17*(BG436/Constantes!$E$40)^(2/3),BG436+AY437+AZ437+BA437+BB437),0)</f>
        <v>38.683889420393562</v>
      </c>
      <c r="BD437" s="170">
        <f>IF(Escenarios!$E$17&gt;0,MIN(Constantes!$E$39*(BG436/Constantes!$E$40)^(2/3),BG436+AY437+AZ437+BA437+BB437-BC437),0)</f>
        <v>66.906194174595385</v>
      </c>
      <c r="BE437" s="170">
        <f>IF(Escenarios!$E$17&gt;0,MIN(Entradas!$E$113,BG436+AY437+AZ437+BA437+BB437-BC437-BD437),0)</f>
        <v>1</v>
      </c>
      <c r="BF437" s="170">
        <f>IF(Escenarios!$E$17&gt;0,MAX(0,BG436+AY437+AZ437+BA437+BB437-BC437-BD437-BE437-Constantes!$E$40),0)</f>
        <v>0</v>
      </c>
      <c r="BG437" s="170">
        <f t="shared" si="96"/>
        <v>4992.2718267117143</v>
      </c>
      <c r="BH437" s="170">
        <f>(Escenarios!$E$16*AK437+0.1*BC437)/(Escenarios!$E$19)</f>
        <v>2.2065808360473134</v>
      </c>
      <c r="BI437" s="170">
        <f>IF(Escenarios!$E$17&gt;0,BF437/10/Escenarios!$E$19,AL437)</f>
        <v>0</v>
      </c>
      <c r="BJ437" s="170">
        <f>(Escenarios!$E$16*AT437+0.1*BD437)/(Escenarios!$E$19)</f>
        <v>0.28218749149542655</v>
      </c>
      <c r="BK437" s="76">
        <f>BK436+(0.1*BD437)/(Escenarios!$E$19)-BL436</f>
        <v>50.297319757098819</v>
      </c>
      <c r="BL437" s="76">
        <f>MAX(0,(BK437-Constantes!$D$13)*(1-EXP(-Constantes!$D$23)))</f>
        <v>1.5246110109547729E-2</v>
      </c>
      <c r="BM437" s="76">
        <f t="shared" si="92"/>
        <v>1.0378226240645707</v>
      </c>
      <c r="BN437" s="76">
        <f t="shared" si="97"/>
        <v>1.5257528605645745</v>
      </c>
      <c r="BO437" s="76">
        <f>0.0526*BI437*Observaciones!$F436^1.218</f>
        <v>0</v>
      </c>
      <c r="BP437" s="76">
        <f>BO437*Constantes!$E$51</f>
        <v>0</v>
      </c>
      <c r="BQ437" s="76">
        <f t="shared" si="93"/>
        <v>0</v>
      </c>
      <c r="BR437" s="40"/>
    </row>
    <row r="438" spans="1:70">
      <c r="A438" s="147"/>
      <c r="B438" s="39"/>
      <c r="C438" s="75">
        <v>432</v>
      </c>
      <c r="D438" s="146">
        <f>ETo!$I437*((1-Constantes!$E$19)*ETo!$K437+ETo!$L437)</f>
        <v>4.2077664156369954</v>
      </c>
      <c r="E438" s="76">
        <f>MIN(D438*Constantes!$E$17,0.8*(N437+Observaciones!$F437-F438-M438-Constantes!$D$14))</f>
        <v>2.0572288110520409</v>
      </c>
      <c r="F438" s="76">
        <f>IF(Observaciones!$F437&gt;0.05*Constantes!$E$18,((Observaciones!$F437-0.05*Constantes!$E$18)^2)/(Observaciones!$F437+0.95*Constantes!$E$18),0)</f>
        <v>5.3171302003027243</v>
      </c>
      <c r="G438" s="76">
        <f>IF(Escenarios!$E$11&gt;0,(F438*Escenarios!$E$16*10000)/1000,0)</f>
        <v>13292.82550075681</v>
      </c>
      <c r="H438" s="76">
        <f>IF(Escenarios!$E$11&gt;0,(Observaciones!$F437*Constantes!$E$29)/1000,0)</f>
        <v>339</v>
      </c>
      <c r="I438" s="76">
        <f>IF(Escenarios!$E$11&gt;0,(D438*Constantes!$E$29)/1000,0)</f>
        <v>42.077664156369956</v>
      </c>
      <c r="J438" s="76">
        <f>IF(Escenarios!$E$11&gt;0,MAX(0,G438+H438-I438),0)</f>
        <v>13589.74783660044</v>
      </c>
      <c r="K438" s="76">
        <f>IF(Escenarios!$E$11&gt;0,IF(J438&gt;Constantes!$E$30,1000*((J438-Constantes!$E$30)/(Escenarios!$E$16*10000)),0),F438)</f>
        <v>4.9211932522872344</v>
      </c>
      <c r="L438" s="76">
        <f>IF(Escenarios!$E$11&gt;0,I438*1000/Escenarios!$E$16/10000+E438,E438)</f>
        <v>2.074059876714589</v>
      </c>
      <c r="M438" s="76">
        <f>MAX(0,N437+Observaciones!$F437-K438-Constantes!$D$13)</f>
        <v>7.7561532679277789</v>
      </c>
      <c r="N438" s="76">
        <f>N437+Observaciones!$F437-K438-L438-M438-O437</f>
        <v>46.121473945444492</v>
      </c>
      <c r="O438" s="76">
        <f>MAX(0,(N438-Constantes!$D$14)*(1-EXP(-Constantes!$D$22)))</f>
        <v>1.1878504183834377</v>
      </c>
      <c r="P438" s="170">
        <f>P437+(Entradas!$E$83*M438-Q437)/(800*Entradas!$D$25)</f>
        <v>0</v>
      </c>
      <c r="Q438" s="170">
        <f>8000*Entradas!$D$26*P438/Constantes!$E$45</f>
        <v>0</v>
      </c>
      <c r="R438" s="170">
        <f>IF(Escenarios!$E$14&gt;0,K438*Escenarios!$E$13/Escenarios!$E$14,0)</f>
        <v>36.088750516773054</v>
      </c>
      <c r="S438" s="170">
        <f>IF(Escenarios!$E$14&gt;0,Q438*Escenarios!$E$13/Escenarios!$E$14,0)</f>
        <v>0</v>
      </c>
      <c r="T438" s="170">
        <f>IF(Escenarios!$E$14&gt;0,Observaciones!$I437,0)</f>
        <v>0</v>
      </c>
      <c r="U438" s="170">
        <f>IF(Escenarios!$E$14&gt;0,MAX(0,Constantes!$E$36/((Z437+R438+S438+T438+Observaciones!$F437)^2)+Entradas!$E$77),0)</f>
        <v>2.6603605657943352</v>
      </c>
      <c r="V438" s="146">
        <f>IF(ETo!D437&gt;0,ETo!I437*((1-Entradas!$E$81)*ETo!K437+ETo!L437),0)</f>
        <v>3.8410855752518263</v>
      </c>
      <c r="W438" s="170">
        <f>IF(Escenarios!$E$14&gt;0,MIN(V438*1,0.8*(Z437+R438+S438+T438+Observaciones!$F437-U438-Constantes!$E$35)),0)</f>
        <v>3.8410855752518263</v>
      </c>
      <c r="X438" s="170">
        <f>IF(Escenarios!$E$14&gt;0,Observaciones!$J437,0)</f>
        <v>0</v>
      </c>
      <c r="Y438" s="170">
        <f>IF(Escenarios!$E$14&gt;0,MAX(0,Z437+R438+S438+T438+Observaciones!$F437-U438-W438-X438-Constantes!$E$33),0)</f>
        <v>0</v>
      </c>
      <c r="Z438" s="170">
        <f>Z437+R438+S438+T438+Observaciones!$F437-U438-W438-Y438</f>
        <v>167.3616619436275</v>
      </c>
      <c r="AA438" s="170">
        <f>IF(Escenarios!$E$14&gt;0,(Escenarios!$E$13*L438+Escenarios!$E$14*W438)/(Escenarios!$E$16),L438)</f>
        <v>2.2861029605390577</v>
      </c>
      <c r="AB438" s="170">
        <f>IF(Escenarios!$E$14&gt;0,(Escenarios!$E$14*Y438)/(Escenarios!$E$16),K438)</f>
        <v>0</v>
      </c>
      <c r="AC438" s="170">
        <f>IF(Escenarios!$E$14&gt;0,(Escenarios!$E$13*M438+Escenarios!$E$14*U438)/(Escenarios!$E$16),M438)</f>
        <v>7.1446581436717649</v>
      </c>
      <c r="AD438" s="76">
        <f t="shared" si="85"/>
        <v>158.65283828298089</v>
      </c>
      <c r="AE438" s="76">
        <f>MAX(0,(AD438-Constantes!$D$13)*(1-EXP(-Constantes!$D$23)))</f>
        <v>1.0828988424188608</v>
      </c>
      <c r="AF438" s="76">
        <f>AB438+O438*Escenarios!$E$13/Escenarios!$E$16+AE438</f>
        <v>2.1282072105962859</v>
      </c>
      <c r="AG438" s="76">
        <f>IF(Entradas!$E$91&gt;0,IF(AF438-Escenarios!$E$38&lt;=0,0,IF(AF438-Escenarios!$E$38&gt;Escenarios!$E$37,Escenarios!$E$37,AF438-Escenarios!$E$38)),0)</f>
        <v>0</v>
      </c>
      <c r="AH438" s="76">
        <f>AG438*Entradas!$E$99</f>
        <v>0</v>
      </c>
      <c r="AI438" s="76">
        <f>IF(Entradas!$E$91&gt;0,D438*Entradas!$D$23/Escenarios!$E$16,0)</f>
        <v>0</v>
      </c>
      <c r="AJ438" s="76">
        <f>IF(Entradas!$E$91&gt;0,Entradas!$D$24*Entradas!$D$22/Escenarios!$E$16,0)</f>
        <v>0</v>
      </c>
      <c r="AK438" s="76">
        <f t="shared" si="94"/>
        <v>2.2861029605390577</v>
      </c>
      <c r="AL438" s="76">
        <f t="shared" si="95"/>
        <v>0</v>
      </c>
      <c r="AM438" s="76">
        <f t="shared" si="86"/>
        <v>0</v>
      </c>
      <c r="AN438" s="76">
        <f>MAX(0,O438*Escenarios!$E$13/Escenarios!$E$16-AM438)</f>
        <v>1.0453083681774251</v>
      </c>
      <c r="AO438" s="76">
        <f>AM438+AN438-O438*Escenarios!$E$13/Escenarios!$E$16</f>
        <v>0</v>
      </c>
      <c r="AP438" s="76">
        <f t="shared" si="84"/>
        <v>1.0828988424188608</v>
      </c>
      <c r="AQ438" s="76">
        <f t="shared" si="87"/>
        <v>0</v>
      </c>
      <c r="AR438" s="76">
        <f t="shared" si="88"/>
        <v>2.1282072105962859</v>
      </c>
      <c r="AS438" s="76">
        <f t="shared" si="89"/>
        <v>0</v>
      </c>
      <c r="AT438" s="76">
        <f t="shared" si="90"/>
        <v>7.1446581436717649</v>
      </c>
      <c r="AU438" s="76">
        <f t="shared" si="91"/>
        <v>48.75</v>
      </c>
      <c r="AV438" s="76">
        <f>MAX(0,(AU438-Constantes!$D$13)*(1-EXP(-Constantes!$D$24)))</f>
        <v>0</v>
      </c>
      <c r="AW438" s="170">
        <f>AW437+(Entradas!$E$112*AT438-AX437)/(800*Entradas!$D$25)</f>
        <v>0</v>
      </c>
      <c r="AX438" s="170">
        <f>8000*Entradas!$D$26*AW438/Constantes!$E$45</f>
        <v>0</v>
      </c>
      <c r="AY438" s="170">
        <f>IF(Escenarios!$E$17&gt;0,10*Escenarios!$E$16*AL438,0)</f>
        <v>0</v>
      </c>
      <c r="AZ438" s="170">
        <f>IF(Escenarios!$E$17&gt;0,10*Escenarios!$E$16*AX438,0)</f>
        <v>0</v>
      </c>
      <c r="BA438" s="170">
        <f>IF(Escenarios!$E$17&gt;0,0.001*Observaciones!$F437*Escenarios!$E$17,0)</f>
        <v>678</v>
      </c>
      <c r="BB438" s="170">
        <f>IF(Escenarios!$E$17&gt;0,Observaciones!$K437,0)</f>
        <v>0</v>
      </c>
      <c r="BC438" s="170">
        <f>IF(Escenarios!$E$17&gt;0,MIN(0.0005*ETo!$M437*Escenarios!$E$17*(BG437/Constantes!$E$40)^(2/3),BG437+AY438+AZ438+BA438+BB438),0)</f>
        <v>39.456527548396522</v>
      </c>
      <c r="BD438" s="170">
        <f>IF(Escenarios!$E$17&gt;0,MIN(Constantes!$E$39*(BG437/Constantes!$E$40)^(2/3),BG437+AY438+AZ438+BA438+BB438-BC438),0)</f>
        <v>65.970479793801303</v>
      </c>
      <c r="BE438" s="170">
        <f>IF(Escenarios!$E$17&gt;0,MIN(Entradas!$E$113,BG437+AY438+AZ438+BA438+BB438-BC438-BD438),0)</f>
        <v>1</v>
      </c>
      <c r="BF438" s="170">
        <f>IF(Escenarios!$E$17&gt;0,MAX(0,BG437+AY438+AZ438+BA438+BB438-BC438-BD438-BE438-Constantes!$E$40),0)</f>
        <v>0</v>
      </c>
      <c r="BG438" s="170">
        <f t="shared" si="96"/>
        <v>5563.8448193695167</v>
      </c>
      <c r="BH438" s="170">
        <f>(Escenarios!$E$16*AK438+0.1*BC438)/(Escenarios!$E$19)</f>
        <v>2.2836166384508099</v>
      </c>
      <c r="BI438" s="170">
        <f>IF(Escenarios!$E$17&gt;0,BF438/10/Escenarios!$E$19,AL438)</f>
        <v>0</v>
      </c>
      <c r="BJ438" s="170">
        <f>(Escenarios!$E$16*AT438+0.1*BD438)/(Escenarios!$E$19)</f>
        <v>7.1141332694338146</v>
      </c>
      <c r="BK438" s="76">
        <f>BK437+(0.1*BD438)/(Escenarios!$E$19)-BL437</f>
        <v>50.308252408812209</v>
      </c>
      <c r="BL438" s="76">
        <f>MAX(0,(BK438-Constantes!$D$13)*(1-EXP(-Constantes!$D$23)))</f>
        <v>1.535383213083452E-2</v>
      </c>
      <c r="BM438" s="76">
        <f t="shared" si="92"/>
        <v>1.0982526745496952</v>
      </c>
      <c r="BN438" s="76">
        <f t="shared" si="97"/>
        <v>2.1435610427271206</v>
      </c>
      <c r="BO438" s="76">
        <f>0.0526*BI438*Observaciones!$F437^1.218</f>
        <v>0</v>
      </c>
      <c r="BP438" s="76">
        <f>BO438*Constantes!$E$51</f>
        <v>0</v>
      </c>
      <c r="BQ438" s="76">
        <f t="shared" si="93"/>
        <v>0</v>
      </c>
      <c r="BR438" s="40"/>
    </row>
    <row r="439" spans="1:70">
      <c r="A439" s="147"/>
      <c r="B439" s="39"/>
      <c r="C439" s="75">
        <v>433</v>
      </c>
      <c r="D439" s="146">
        <f>ETo!$I438*((1-Constantes!$E$19)*ETo!$K438+ETo!$L438)</f>
        <v>4.088981973673171</v>
      </c>
      <c r="E439" s="76">
        <f>MIN(D439*Constantes!$E$17,0.8*(N438+Observaciones!$F438-F439-M439-Constantes!$D$14))</f>
        <v>1.9991536347769041</v>
      </c>
      <c r="F439" s="76">
        <f>IF(Observaciones!$F438&gt;0.05*Constantes!$E$18,((Observaciones!$F438-0.05*Constantes!$E$18)^2)/(Observaciones!$F438+0.95*Constantes!$E$18),0)</f>
        <v>0</v>
      </c>
      <c r="G439" s="76">
        <f>IF(Escenarios!$E$11&gt;0,(F439*Escenarios!$E$16*10000)/1000,0)</f>
        <v>0</v>
      </c>
      <c r="H439" s="76">
        <f>IF(Escenarios!$E$11&gt;0,(Observaciones!$F438*Constantes!$E$29)/1000,0)</f>
        <v>20</v>
      </c>
      <c r="I439" s="76">
        <f>IF(Escenarios!$E$11&gt;0,(D439*Constantes!$E$29)/1000,0)</f>
        <v>40.88981973673171</v>
      </c>
      <c r="J439" s="76">
        <f>IF(Escenarios!$E$11&gt;0,MAX(0,G439+H439-I439),0)</f>
        <v>0</v>
      </c>
      <c r="K439" s="76">
        <f>IF(Escenarios!$E$11&gt;0,IF(J439&gt;Constantes!$E$30,1000*((J439-Constantes!$E$30)/(Escenarios!$E$16*10000)),0),F439)</f>
        <v>0</v>
      </c>
      <c r="L439" s="76">
        <f>IF(Escenarios!$E$11&gt;0,I439*1000/Escenarios!$E$16/10000+E439,E439)</f>
        <v>2.0155095626715966</v>
      </c>
      <c r="M439" s="76">
        <f>MAX(0,N438+Observaciones!$F438-K439-Constantes!$D$13)</f>
        <v>0</v>
      </c>
      <c r="N439" s="76">
        <f>N438+Observaciones!$F438-K439-L439-M439-O438</f>
        <v>44.918113964389455</v>
      </c>
      <c r="O439" s="76">
        <f>MAX(0,(N439-Constantes!$D$14)*(1-EXP(-Constantes!$D$22)))</f>
        <v>1.146859559803775</v>
      </c>
      <c r="P439" s="170">
        <f>P438+(Entradas!$E$83*M439-Q438)/(800*Entradas!$D$25)</f>
        <v>0</v>
      </c>
      <c r="Q439" s="170">
        <f>8000*Entradas!$D$26*P439/Constantes!$E$45</f>
        <v>0</v>
      </c>
      <c r="R439" s="170">
        <f>IF(Escenarios!$E$14&gt;0,K439*Escenarios!$E$13/Escenarios!$E$14,0)</f>
        <v>0</v>
      </c>
      <c r="S439" s="170">
        <f>IF(Escenarios!$E$14&gt;0,Q439*Escenarios!$E$13/Escenarios!$E$14,0)</f>
        <v>0</v>
      </c>
      <c r="T439" s="170">
        <f>IF(Escenarios!$E$14&gt;0,Observaciones!$I438,0)</f>
        <v>0</v>
      </c>
      <c r="U439" s="170">
        <f>IF(Escenarios!$E$14&gt;0,MAX(0,Constantes!$E$36/((Z438+R439+S439+T439+Observaciones!$F438)^2)+Entradas!$E$77),0)</f>
        <v>2.6420661487067361</v>
      </c>
      <c r="V439" s="146">
        <f>IF(ETo!D438&gt;0,ETo!I438*((1-Entradas!$E$81)*ETo!K438+ETo!L438),0)</f>
        <v>3.7311820293242275</v>
      </c>
      <c r="W439" s="170">
        <f>IF(Escenarios!$E$14&gt;0,MIN(V439*1,0.8*(Z438+R439+S439+T439+Observaciones!$F438-U439-Constantes!$E$35)),0)</f>
        <v>3.7311820293242275</v>
      </c>
      <c r="X439" s="170">
        <f>IF(Escenarios!$E$14&gt;0,Observaciones!$J438,0)</f>
        <v>0</v>
      </c>
      <c r="Y439" s="170">
        <f>IF(Escenarios!$E$14&gt;0,MAX(0,Z438+R439+S439+T439+Observaciones!$F438-U439-W439-X439-Constantes!$E$33),0)</f>
        <v>0</v>
      </c>
      <c r="Z439" s="170">
        <f>Z438+R439+S439+T439+Observaciones!$F438-U439-W439-Y439</f>
        <v>162.98841376559653</v>
      </c>
      <c r="AA439" s="170">
        <f>IF(Escenarios!$E$14&gt;0,(Escenarios!$E$13*L439+Escenarios!$E$14*W439)/(Escenarios!$E$16),L439)</f>
        <v>2.2213902586699121</v>
      </c>
      <c r="AB439" s="170">
        <f>IF(Escenarios!$E$14&gt;0,(Escenarios!$E$14*Y439)/(Escenarios!$E$16),K439)</f>
        <v>0</v>
      </c>
      <c r="AC439" s="170">
        <f>IF(Escenarios!$E$14&gt;0,(Escenarios!$E$13*M439+Escenarios!$E$14*U439)/(Escenarios!$E$16),M439)</f>
        <v>0.31704793784480828</v>
      </c>
      <c r="AD439" s="76">
        <f t="shared" si="85"/>
        <v>157.88698737840684</v>
      </c>
      <c r="AE439" s="76">
        <f>MAX(0,(AD439-Constantes!$D$13)*(1-EXP(-Constantes!$D$23)))</f>
        <v>1.0753527310446189</v>
      </c>
      <c r="AF439" s="76">
        <f>AB439+O439*Escenarios!$E$13/Escenarios!$E$16+AE439</f>
        <v>2.0845891436719413</v>
      </c>
      <c r="AG439" s="76">
        <f>IF(Entradas!$E$91&gt;0,IF(AF439-Escenarios!$E$38&lt;=0,0,IF(AF439-Escenarios!$E$38&gt;Escenarios!$E$37,Escenarios!$E$37,AF439-Escenarios!$E$38)),0)</f>
        <v>0</v>
      </c>
      <c r="AH439" s="76">
        <f>AG439*Entradas!$E$99</f>
        <v>0</v>
      </c>
      <c r="AI439" s="76">
        <f>IF(Entradas!$E$91&gt;0,D439*Entradas!$D$23/Escenarios!$E$16,0)</f>
        <v>0</v>
      </c>
      <c r="AJ439" s="76">
        <f>IF(Entradas!$E$91&gt;0,Entradas!$D$24*Entradas!$D$22/Escenarios!$E$16,0)</f>
        <v>0</v>
      </c>
      <c r="AK439" s="76">
        <f t="shared" si="94"/>
        <v>2.2213902586699121</v>
      </c>
      <c r="AL439" s="76">
        <f t="shared" si="95"/>
        <v>0</v>
      </c>
      <c r="AM439" s="76">
        <f t="shared" si="86"/>
        <v>0</v>
      </c>
      <c r="AN439" s="76">
        <f>MAX(0,O439*Escenarios!$E$13/Escenarios!$E$16-AM439)</f>
        <v>1.0092364126273221</v>
      </c>
      <c r="AO439" s="76">
        <f>AM439+AN439-O439*Escenarios!$E$13/Escenarios!$E$16</f>
        <v>0</v>
      </c>
      <c r="AP439" s="76">
        <f t="shared" si="84"/>
        <v>1.0753527310446189</v>
      </c>
      <c r="AQ439" s="76">
        <f t="shared" si="87"/>
        <v>0</v>
      </c>
      <c r="AR439" s="76">
        <f t="shared" si="88"/>
        <v>2.0845891436719413</v>
      </c>
      <c r="AS439" s="76">
        <f t="shared" si="89"/>
        <v>0</v>
      </c>
      <c r="AT439" s="76">
        <f t="shared" si="90"/>
        <v>0.31704793784480828</v>
      </c>
      <c r="AU439" s="76">
        <f t="shared" si="91"/>
        <v>48.75</v>
      </c>
      <c r="AV439" s="76">
        <f>MAX(0,(AU439-Constantes!$D$13)*(1-EXP(-Constantes!$D$24)))</f>
        <v>0</v>
      </c>
      <c r="AW439" s="170">
        <f>AW438+(Entradas!$E$112*AT439-AX438)/(800*Entradas!$D$25)</f>
        <v>0</v>
      </c>
      <c r="AX439" s="170">
        <f>8000*Entradas!$D$26*AW439/Constantes!$E$45</f>
        <v>0</v>
      </c>
      <c r="AY439" s="170">
        <f>IF(Escenarios!$E$17&gt;0,10*Escenarios!$E$16*AL439,0)</f>
        <v>0</v>
      </c>
      <c r="AZ439" s="170">
        <f>IF(Escenarios!$E$17&gt;0,10*Escenarios!$E$16*AX439,0)</f>
        <v>0</v>
      </c>
      <c r="BA439" s="170">
        <f>IF(Escenarios!$E$17&gt;0,0.001*Observaciones!$F438*Escenarios!$E$17,0)</f>
        <v>40</v>
      </c>
      <c r="BB439" s="170">
        <f>IF(Escenarios!$E$17&gt;0,Observaciones!$K438,0)</f>
        <v>0</v>
      </c>
      <c r="BC439" s="170">
        <f>IF(Escenarios!$E$17&gt;0,MIN(0.0005*ETo!$M438*Escenarios!$E$17*(BG438/Constantes!$E$40)^(2/3),BG438+AY439+AZ439+BA439+BB439),0)</f>
        <v>41.236615869304877</v>
      </c>
      <c r="BD439" s="170">
        <f>IF(Escenarios!$E$17&gt;0,MIN(Constantes!$E$39*(BG438/Constantes!$E$40)^(2/3),BG438+AY439+AZ439+BA439+BB439-BC439),0)</f>
        <v>70.914356357429853</v>
      </c>
      <c r="BE439" s="170">
        <f>IF(Escenarios!$E$17&gt;0,MIN(Entradas!$E$113,BG438+AY439+AZ439+BA439+BB439-BC439-BD439),0)</f>
        <v>1</v>
      </c>
      <c r="BF439" s="170">
        <f>IF(Escenarios!$E$17&gt;0,MAX(0,BG438+AY439+AZ439+BA439+BB439-BC439-BD439-BE439-Constantes!$E$40),0)</f>
        <v>0</v>
      </c>
      <c r="BG439" s="170">
        <f t="shared" si="96"/>
        <v>5490.693847142782</v>
      </c>
      <c r="BH439" s="170">
        <f>(Escenarios!$E$16*AK439+0.1*BC439)/(Escenarios!$E$19)</f>
        <v>2.2201239137079702</v>
      </c>
      <c r="BI439" s="170">
        <f>IF(Escenarios!$E$17&gt;0,BF439/10/Escenarios!$E$19,AL439)</f>
        <v>0</v>
      </c>
      <c r="BJ439" s="170">
        <f>(Escenarios!$E$16*AT439+0.1*BD439)/(Escenarios!$E$19)</f>
        <v>0.34267230197200421</v>
      </c>
      <c r="BK439" s="76">
        <f>BK438+(0.1*BD439)/(Escenarios!$E$19)-BL438</f>
        <v>50.321039194283529</v>
      </c>
      <c r="BL439" s="76">
        <f>MAX(0,(BK439-Constantes!$D$13)*(1-EXP(-Constantes!$D$23)))</f>
        <v>1.5479823373658457E-2</v>
      </c>
      <c r="BM439" s="76">
        <f t="shared" si="92"/>
        <v>1.0908325544182773</v>
      </c>
      <c r="BN439" s="76">
        <f t="shared" si="97"/>
        <v>2.1000689670455999</v>
      </c>
      <c r="BO439" s="76">
        <f>0.0526*BI439*Observaciones!$F438^1.218</f>
        <v>0</v>
      </c>
      <c r="BP439" s="76">
        <f>BO439*Constantes!$E$51</f>
        <v>0</v>
      </c>
      <c r="BQ439" s="76">
        <f t="shared" si="93"/>
        <v>0</v>
      </c>
      <c r="BR439" s="40"/>
    </row>
    <row r="440" spans="1:70">
      <c r="A440" s="147"/>
      <c r="B440" s="39"/>
      <c r="C440" s="75">
        <v>434</v>
      </c>
      <c r="D440" s="146">
        <f>ETo!$I439*((1-Constantes!$E$19)*ETo!$K439+ETo!$L439)</f>
        <v>4.2167742004890911</v>
      </c>
      <c r="E440" s="76">
        <f>MIN(D440*Constantes!$E$17,0.8*(N439+Observaciones!$F439-F440-M440-Constantes!$D$14))</f>
        <v>2.0616328279795546</v>
      </c>
      <c r="F440" s="76">
        <f>IF(Observaciones!$F439&gt;0.05*Constantes!$E$18,((Observaciones!$F439-0.05*Constantes!$E$18)^2)/(Observaciones!$F439+0.95*Constantes!$E$18),0)</f>
        <v>0.40541817085830878</v>
      </c>
      <c r="G440" s="76">
        <f>IF(Escenarios!$E$11&gt;0,(F440*Escenarios!$E$16*10000)/1000,0)</f>
        <v>1013.5454271457719</v>
      </c>
      <c r="H440" s="76">
        <f>IF(Escenarios!$E$11&gt;0,(Observaciones!$F439*Constantes!$E$29)/1000,0)</f>
        <v>131</v>
      </c>
      <c r="I440" s="76">
        <f>IF(Escenarios!$E$11&gt;0,(D440*Constantes!$E$29)/1000,0)</f>
        <v>42.167742004890911</v>
      </c>
      <c r="J440" s="76">
        <f>IF(Escenarios!$E$11&gt;0,MAX(0,G440+H440-I440),0)</f>
        <v>1102.3776851408811</v>
      </c>
      <c r="K440" s="76">
        <f>IF(Escenarios!$E$11&gt;0,IF(J440&gt;Constantes!$E$30,1000*((J440-Constantes!$E$30)/(Escenarios!$E$16*10000)),0),F440)</f>
        <v>0</v>
      </c>
      <c r="L440" s="76">
        <f>IF(Escenarios!$E$11&gt;0,I440*1000/Escenarios!$E$16/10000+E440,E440)</f>
        <v>2.0784999247815108</v>
      </c>
      <c r="M440" s="76">
        <f>MAX(0,N439+Observaciones!$F439-K440-Constantes!$D$13)</f>
        <v>9.2681139643894568</v>
      </c>
      <c r="N440" s="76">
        <f>N439+Observaciones!$F439-K440-L440-M440-O439</f>
        <v>45.524640515414717</v>
      </c>
      <c r="O440" s="76">
        <f>MAX(0,(N440-Constantes!$D$14)*(1-EXP(-Constantes!$D$22)))</f>
        <v>1.1675200807362474</v>
      </c>
      <c r="P440" s="170">
        <f>P439+(Entradas!$E$83*M440-Q439)/(800*Entradas!$D$25)</f>
        <v>0</v>
      </c>
      <c r="Q440" s="170">
        <f>8000*Entradas!$D$26*P440/Constantes!$E$45</f>
        <v>0</v>
      </c>
      <c r="R440" s="170">
        <f>IF(Escenarios!$E$14&gt;0,K440*Escenarios!$E$13/Escenarios!$E$14,0)</f>
        <v>0</v>
      </c>
      <c r="S440" s="170">
        <f>IF(Escenarios!$E$14&gt;0,Q440*Escenarios!$E$13/Escenarios!$E$14,0)</f>
        <v>0</v>
      </c>
      <c r="T440" s="170">
        <f>IF(Escenarios!$E$14&gt;0,Observaciones!$I439,0)</f>
        <v>0</v>
      </c>
      <c r="U440" s="170">
        <f>IF(Escenarios!$E$14&gt;0,MAX(0,Constantes!$E$36/((Z439+R440+S440+T440+Observaciones!$F439)^2)+Entradas!$E$77),0)</f>
        <v>2.668890665534779</v>
      </c>
      <c r="V440" s="146">
        <f>IF(ETo!D439&gt;0,ETo!I439*((1-Entradas!$E$81)*ETo!K439+ETo!L439),0)</f>
        <v>3.8492017616343404</v>
      </c>
      <c r="W440" s="170">
        <f>IF(Escenarios!$E$14&gt;0,MIN(V440*1,0.8*(Z439+R440+S440+T440+Observaciones!$F439-U440-Constantes!$E$35)),0)</f>
        <v>3.8492017616343404</v>
      </c>
      <c r="X440" s="170">
        <f>IF(Escenarios!$E$14&gt;0,Observaciones!$J439,0)</f>
        <v>0</v>
      </c>
      <c r="Y440" s="170">
        <f>IF(Escenarios!$E$14&gt;0,MAX(0,Z439+R440+S440+T440+Observaciones!$F439-U440-W440-X440-Constantes!$E$33),0)</f>
        <v>0</v>
      </c>
      <c r="Z440" s="170">
        <f>Z439+R440+S440+T440+Observaciones!$F439-U440-W440-Y440</f>
        <v>169.57032133842742</v>
      </c>
      <c r="AA440" s="170">
        <f>IF(Escenarios!$E$14&gt;0,(Escenarios!$E$13*L440+Escenarios!$E$14*W440)/(Escenarios!$E$16),L440)</f>
        <v>2.2909841452038502</v>
      </c>
      <c r="AB440" s="170">
        <f>IF(Escenarios!$E$14&gt;0,(Escenarios!$E$14*Y440)/(Escenarios!$E$16),K440)</f>
        <v>0</v>
      </c>
      <c r="AC440" s="170">
        <f>IF(Escenarios!$E$14&gt;0,(Escenarios!$E$13*M440+Escenarios!$E$14*U440)/(Escenarios!$E$16),M440)</f>
        <v>8.476207168526896</v>
      </c>
      <c r="AD440" s="76">
        <f t="shared" si="85"/>
        <v>165.2878418158891</v>
      </c>
      <c r="AE440" s="76">
        <f>MAX(0,(AD440-Constantes!$D$13)*(1-EXP(-Constantes!$D$23)))</f>
        <v>1.1482751125633235</v>
      </c>
      <c r="AF440" s="76">
        <f>AB440+O440*Escenarios!$E$13/Escenarios!$E$16+AE440</f>
        <v>2.175692783611221</v>
      </c>
      <c r="AG440" s="76">
        <f>IF(Entradas!$E$91&gt;0,IF(AF440-Escenarios!$E$38&lt;=0,0,IF(AF440-Escenarios!$E$38&gt;Escenarios!$E$37,Escenarios!$E$37,AF440-Escenarios!$E$38)),0)</f>
        <v>0</v>
      </c>
      <c r="AH440" s="76">
        <f>AG440*Entradas!$E$99</f>
        <v>0</v>
      </c>
      <c r="AI440" s="76">
        <f>IF(Entradas!$E$91&gt;0,D440*Entradas!$D$23/Escenarios!$E$16,0)</f>
        <v>0</v>
      </c>
      <c r="AJ440" s="76">
        <f>IF(Entradas!$E$91&gt;0,Entradas!$D$24*Entradas!$D$22/Escenarios!$E$16,0)</f>
        <v>0</v>
      </c>
      <c r="AK440" s="76">
        <f t="shared" si="94"/>
        <v>2.2909841452038502</v>
      </c>
      <c r="AL440" s="76">
        <f t="shared" si="95"/>
        <v>0</v>
      </c>
      <c r="AM440" s="76">
        <f t="shared" si="86"/>
        <v>0</v>
      </c>
      <c r="AN440" s="76">
        <f>MAX(0,O440*Escenarios!$E$13/Escenarios!$E$16-AM440)</f>
        <v>1.0274176710478977</v>
      </c>
      <c r="AO440" s="76">
        <f>AM440+AN440-O440*Escenarios!$E$13/Escenarios!$E$16</f>
        <v>0</v>
      </c>
      <c r="AP440" s="76">
        <f t="shared" si="84"/>
        <v>1.1482751125633235</v>
      </c>
      <c r="AQ440" s="76">
        <f t="shared" si="87"/>
        <v>0</v>
      </c>
      <c r="AR440" s="76">
        <f t="shared" si="88"/>
        <v>2.175692783611221</v>
      </c>
      <c r="AS440" s="76">
        <f t="shared" si="89"/>
        <v>0</v>
      </c>
      <c r="AT440" s="76">
        <f t="shared" si="90"/>
        <v>8.476207168526896</v>
      </c>
      <c r="AU440" s="76">
        <f t="shared" si="91"/>
        <v>48.75</v>
      </c>
      <c r="AV440" s="76">
        <f>MAX(0,(AU440-Constantes!$D$13)*(1-EXP(-Constantes!$D$24)))</f>
        <v>0</v>
      </c>
      <c r="AW440" s="170">
        <f>AW439+(Entradas!$E$112*AT440-AX439)/(800*Entradas!$D$25)</f>
        <v>0</v>
      </c>
      <c r="AX440" s="170">
        <f>8000*Entradas!$D$26*AW440/Constantes!$E$45</f>
        <v>0</v>
      </c>
      <c r="AY440" s="170">
        <f>IF(Escenarios!$E$17&gt;0,10*Escenarios!$E$16*AL440,0)</f>
        <v>0</v>
      </c>
      <c r="AZ440" s="170">
        <f>IF(Escenarios!$E$17&gt;0,10*Escenarios!$E$16*AX440,0)</f>
        <v>0</v>
      </c>
      <c r="BA440" s="170">
        <f>IF(Escenarios!$E$17&gt;0,0.001*Observaciones!$F439*Escenarios!$E$17,0)</f>
        <v>262</v>
      </c>
      <c r="BB440" s="170">
        <f>IF(Escenarios!$E$17&gt;0,Observaciones!$K439,0)</f>
        <v>0</v>
      </c>
      <c r="BC440" s="170">
        <f>IF(Escenarios!$E$17&gt;0,MIN(0.0005*ETo!$M439*Escenarios!$E$17*(BG439/Constantes!$E$40)^(2/3),BG439+AY440+AZ440+BA440+BB440),0)</f>
        <v>42.132327384351385</v>
      </c>
      <c r="BD440" s="170">
        <f>IF(Escenarios!$E$17&gt;0,MIN(Constantes!$E$39*(BG439/Constantes!$E$40)^(2/3),BG439+AY440+AZ440+BA440+BB440-BC440),0)</f>
        <v>70.291419248790731</v>
      </c>
      <c r="BE440" s="170">
        <f>IF(Escenarios!$E$17&gt;0,MIN(Entradas!$E$113,BG439+AY440+AZ440+BA440+BB440-BC440-BD440),0)</f>
        <v>1</v>
      </c>
      <c r="BF440" s="170">
        <f>IF(Escenarios!$E$17&gt;0,MAX(0,BG439+AY440+AZ440+BA440+BB440-BC440-BD440-BE440-Constantes!$E$40),0)</f>
        <v>0</v>
      </c>
      <c r="BG440" s="170">
        <f t="shared" si="96"/>
        <v>5639.2701005096396</v>
      </c>
      <c r="BH440" s="170">
        <f>(Escenarios!$E$16*AK440+0.1*BC440)/(Escenarios!$E$19)</f>
        <v>2.289520908886499</v>
      </c>
      <c r="BI440" s="170">
        <f>IF(Escenarios!$E$17&gt;0,BF440/10/Escenarios!$E$19,AL440)</f>
        <v>0</v>
      </c>
      <c r="BJ440" s="170">
        <f>(Escenarios!$E$16*AT440+0.1*BD440)/(Escenarios!$E$19)</f>
        <v>8.4368291033992193</v>
      </c>
      <c r="BK440" s="76">
        <f>BK439+(0.1*BD440)/(Escenarios!$E$19)-BL439</f>
        <v>50.333452791246692</v>
      </c>
      <c r="BL440" s="76">
        <f>MAX(0,(BK440-Constantes!$D$13)*(1-EXP(-Constantes!$D$23)))</f>
        <v>1.5602137501224951E-2</v>
      </c>
      <c r="BM440" s="76">
        <f t="shared" si="92"/>
        <v>1.1638772500645485</v>
      </c>
      <c r="BN440" s="76">
        <f t="shared" si="97"/>
        <v>2.1912949211124459</v>
      </c>
      <c r="BO440" s="76">
        <f>0.0526*BI440*Observaciones!$F439^1.218</f>
        <v>0</v>
      </c>
      <c r="BP440" s="76">
        <f>BO440*Constantes!$E$51</f>
        <v>0</v>
      </c>
      <c r="BQ440" s="76">
        <f t="shared" si="93"/>
        <v>0</v>
      </c>
      <c r="BR440" s="40"/>
    </row>
    <row r="441" spans="1:70">
      <c r="A441" s="147"/>
      <c r="B441" s="39"/>
      <c r="C441" s="75">
        <v>435</v>
      </c>
      <c r="D441" s="146">
        <f>ETo!$I440*((1-Constantes!$E$19)*ETo!$K440+ETo!$L440)</f>
        <v>4.1021173360501857</v>
      </c>
      <c r="E441" s="76">
        <f>MIN(D441*Constantes!$E$17,0.8*(N440+Observaciones!$F440-F441-M441-Constantes!$D$14))</f>
        <v>2.0055756751794278</v>
      </c>
      <c r="F441" s="76">
        <f>IF(Observaciones!$F440&gt;0.05*Constantes!$E$18,((Observaciones!$F440-0.05*Constantes!$E$18)^2)/(Observaciones!$F440+0.95*Constantes!$E$18),0)</f>
        <v>0</v>
      </c>
      <c r="G441" s="76">
        <f>IF(Escenarios!$E$11&gt;0,(F441*Escenarios!$E$16*10000)/1000,0)</f>
        <v>0</v>
      </c>
      <c r="H441" s="76">
        <f>IF(Escenarios!$E$11&gt;0,(Observaciones!$F440*Constantes!$E$29)/1000,0)</f>
        <v>54</v>
      </c>
      <c r="I441" s="76">
        <f>IF(Escenarios!$E$11&gt;0,(D441*Constantes!$E$29)/1000,0)</f>
        <v>41.021173360501862</v>
      </c>
      <c r="J441" s="76">
        <f>IF(Escenarios!$E$11&gt;0,MAX(0,G441+H441-I441),0)</f>
        <v>12.978826639498138</v>
      </c>
      <c r="K441" s="76">
        <f>IF(Escenarios!$E$11&gt;0,IF(J441&gt;Constantes!$E$30,1000*((J441-Constantes!$E$30)/(Escenarios!$E$16*10000)),0),F441)</f>
        <v>0</v>
      </c>
      <c r="L441" s="76">
        <f>IF(Escenarios!$E$11&gt;0,I441*1000/Escenarios!$E$16/10000+E441,E441)</f>
        <v>2.0219841445236284</v>
      </c>
      <c r="M441" s="76">
        <f>MAX(0,N440+Observaciones!$F440-K441-Constantes!$D$13)</f>
        <v>2.1746405154147155</v>
      </c>
      <c r="N441" s="76">
        <f>N440+Observaciones!$F440-K441-L441-M441-O440</f>
        <v>45.560495774740126</v>
      </c>
      <c r="O441" s="76">
        <f>MAX(0,(N441-Constantes!$D$14)*(1-EXP(-Constantes!$D$22)))</f>
        <v>1.1687414424962226</v>
      </c>
      <c r="P441" s="170">
        <f>P440+(Entradas!$E$83*M441-Q440)/(800*Entradas!$D$25)</f>
        <v>0</v>
      </c>
      <c r="Q441" s="170">
        <f>8000*Entradas!$D$26*P441/Constantes!$E$45</f>
        <v>0</v>
      </c>
      <c r="R441" s="170">
        <f>IF(Escenarios!$E$14&gt;0,K441*Escenarios!$E$13/Escenarios!$E$14,0)</f>
        <v>0</v>
      </c>
      <c r="S441" s="170">
        <f>IF(Escenarios!$E$14&gt;0,Q441*Escenarios!$E$13/Escenarios!$E$14,0)</f>
        <v>0</v>
      </c>
      <c r="T441" s="170">
        <f>IF(Escenarios!$E$14&gt;0,Observaciones!$I440,0)</f>
        <v>0</v>
      </c>
      <c r="U441" s="170">
        <f>IF(Escenarios!$E$14&gt;0,MAX(0,Constantes!$E$36/((Z440+R441+S441+T441+Observaciones!$F440)^2)+Entradas!$E$77),0)</f>
        <v>2.6646454461838252</v>
      </c>
      <c r="V441" s="146">
        <f>IF(ETo!D440&gt;0,ETo!I440*((1-Entradas!$E$81)*ETo!K440+ETo!L440),0)</f>
        <v>3.7430287733719441</v>
      </c>
      <c r="W441" s="170">
        <f>IF(Escenarios!$E$14&gt;0,MIN(V441*1,0.8*(Z440+R441+S441+T441+Observaciones!$F440-U441-Constantes!$E$35)),0)</f>
        <v>3.7430287733719441</v>
      </c>
      <c r="X441" s="170">
        <f>IF(Escenarios!$E$14&gt;0,Observaciones!$J440,0)</f>
        <v>0</v>
      </c>
      <c r="Y441" s="170">
        <f>IF(Escenarios!$E$14&gt;0,MAX(0,Z440+R441+S441+T441+Observaciones!$F440-U441-W441-X441-Constantes!$E$33),0)</f>
        <v>0</v>
      </c>
      <c r="Z441" s="170">
        <f>Z440+R441+S441+T441+Observaciones!$F440-U441-W441-Y441</f>
        <v>168.56264711887167</v>
      </c>
      <c r="AA441" s="170">
        <f>IF(Escenarios!$E$14&gt;0,(Escenarios!$E$13*L441+Escenarios!$E$14*W441)/(Escenarios!$E$16),L441)</f>
        <v>2.2285094999854262</v>
      </c>
      <c r="AB441" s="170">
        <f>IF(Escenarios!$E$14&gt;0,(Escenarios!$E$14*Y441)/(Escenarios!$E$16),K441)</f>
        <v>0</v>
      </c>
      <c r="AC441" s="170">
        <f>IF(Escenarios!$E$14&gt;0,(Escenarios!$E$13*M441+Escenarios!$E$14*U441)/(Escenarios!$E$16),M441)</f>
        <v>2.2334411071070086</v>
      </c>
      <c r="AD441" s="76">
        <f t="shared" si="85"/>
        <v>166.3730078104328</v>
      </c>
      <c r="AE441" s="76">
        <f>MAX(0,(AD441-Constantes!$D$13)*(1-EXP(-Constantes!$D$23)))</f>
        <v>1.1589675115739655</v>
      </c>
      <c r="AF441" s="76">
        <f>AB441+O441*Escenarios!$E$13/Escenarios!$E$16+AE441</f>
        <v>2.1874599809706412</v>
      </c>
      <c r="AG441" s="76">
        <f>IF(Entradas!$E$91&gt;0,IF(AF441-Escenarios!$E$38&lt;=0,0,IF(AF441-Escenarios!$E$38&gt;Escenarios!$E$37,Escenarios!$E$37,AF441-Escenarios!$E$38)),0)</f>
        <v>0</v>
      </c>
      <c r="AH441" s="76">
        <f>AG441*Entradas!$E$99</f>
        <v>0</v>
      </c>
      <c r="AI441" s="76">
        <f>IF(Entradas!$E$91&gt;0,D441*Entradas!$D$23/Escenarios!$E$16,0)</f>
        <v>0</v>
      </c>
      <c r="AJ441" s="76">
        <f>IF(Entradas!$E$91&gt;0,Entradas!$D$24*Entradas!$D$22/Escenarios!$E$16,0)</f>
        <v>0</v>
      </c>
      <c r="AK441" s="76">
        <f t="shared" si="94"/>
        <v>2.2285094999854262</v>
      </c>
      <c r="AL441" s="76">
        <f t="shared" si="95"/>
        <v>0</v>
      </c>
      <c r="AM441" s="76">
        <f t="shared" si="86"/>
        <v>0</v>
      </c>
      <c r="AN441" s="76">
        <f>MAX(0,O441*Escenarios!$E$13/Escenarios!$E$16-AM441)</f>
        <v>1.0284924693966759</v>
      </c>
      <c r="AO441" s="76">
        <f>AM441+AN441-O441*Escenarios!$E$13/Escenarios!$E$16</f>
        <v>0</v>
      </c>
      <c r="AP441" s="76">
        <f t="shared" si="84"/>
        <v>1.1589675115739655</v>
      </c>
      <c r="AQ441" s="76">
        <f t="shared" si="87"/>
        <v>0</v>
      </c>
      <c r="AR441" s="76">
        <f t="shared" si="88"/>
        <v>2.1874599809706412</v>
      </c>
      <c r="AS441" s="76">
        <f t="shared" si="89"/>
        <v>0</v>
      </c>
      <c r="AT441" s="76">
        <f t="shared" si="90"/>
        <v>2.2334411071070086</v>
      </c>
      <c r="AU441" s="76">
        <f t="shared" si="91"/>
        <v>48.75</v>
      </c>
      <c r="AV441" s="76">
        <f>MAX(0,(AU441-Constantes!$D$13)*(1-EXP(-Constantes!$D$24)))</f>
        <v>0</v>
      </c>
      <c r="AW441" s="170">
        <f>AW440+(Entradas!$E$112*AT441-AX440)/(800*Entradas!$D$25)</f>
        <v>0</v>
      </c>
      <c r="AX441" s="170">
        <f>8000*Entradas!$D$26*AW441/Constantes!$E$45</f>
        <v>0</v>
      </c>
      <c r="AY441" s="170">
        <f>IF(Escenarios!$E$17&gt;0,10*Escenarios!$E$16*AL441,0)</f>
        <v>0</v>
      </c>
      <c r="AZ441" s="170">
        <f>IF(Escenarios!$E$17&gt;0,10*Escenarios!$E$16*AX441,0)</f>
        <v>0</v>
      </c>
      <c r="BA441" s="170">
        <f>IF(Escenarios!$E$17&gt;0,0.001*Observaciones!$F440*Escenarios!$E$17,0)</f>
        <v>108</v>
      </c>
      <c r="BB441" s="170">
        <f>IF(Escenarios!$E$17&gt;0,Observaciones!$K440,0)</f>
        <v>214.33512376174872</v>
      </c>
      <c r="BC441" s="170">
        <f>IF(Escenarios!$E$17&gt;0,MIN(0.0005*ETo!$M440*Escenarios!$E$17*(BG440/Constantes!$E$40)^(2/3),BG440+AY441+AZ441+BA441+BB441),0)</f>
        <v>41.744078489098065</v>
      </c>
      <c r="BD441" s="170">
        <f>IF(Escenarios!$E$17&gt;0,MIN(Constantes!$E$39*(BG440/Constantes!$E$40)^(2/3),BG440+AY441+AZ441+BA441+BB441-BC441),0)</f>
        <v>71.55380896799673</v>
      </c>
      <c r="BE441" s="170">
        <f>IF(Escenarios!$E$17&gt;0,MIN(Entradas!$E$113,BG440+AY441+AZ441+BA441+BB441-BC441-BD441),0)</f>
        <v>1</v>
      </c>
      <c r="BF441" s="170">
        <f>IF(Escenarios!$E$17&gt;0,MAX(0,BG440+AY441+AZ441+BA441+BB441-BC441-BD441-BE441-Constantes!$E$40),0)</f>
        <v>0</v>
      </c>
      <c r="BG441" s="170">
        <f t="shared" si="96"/>
        <v>5847.3073368142941</v>
      </c>
      <c r="BH441" s="170">
        <f>(Escenarios!$E$16*AK441+0.1*BC441)/(Escenarios!$E$19)</f>
        <v>2.2273880271637556</v>
      </c>
      <c r="BI441" s="170">
        <f>IF(Escenarios!$E$17&gt;0,BF441/10/Escenarios!$E$19,AL441)</f>
        <v>0</v>
      </c>
      <c r="BJ441" s="170">
        <f>(Escenarios!$E$16*AT441+0.1*BD441)/(Escenarios!$E$19)</f>
        <v>2.2441097526728244</v>
      </c>
      <c r="BK441" s="76">
        <f>BK440+(0.1*BD441)/(Escenarios!$E$19)-BL440</f>
        <v>50.346245022383563</v>
      </c>
      <c r="BL441" s="76">
        <f>MAX(0,(BK441-Constantes!$D$13)*(1-EXP(-Constantes!$D$23)))</f>
        <v>1.5728182401488613E-2</v>
      </c>
      <c r="BM441" s="76">
        <f t="shared" si="92"/>
        <v>1.174695693975454</v>
      </c>
      <c r="BN441" s="76">
        <f t="shared" si="97"/>
        <v>2.20318816337213</v>
      </c>
      <c r="BO441" s="76">
        <f>0.0526*BI441*Observaciones!$F440^1.218</f>
        <v>0</v>
      </c>
      <c r="BP441" s="76">
        <f>BO441*Constantes!$E$51</f>
        <v>0</v>
      </c>
      <c r="BQ441" s="76">
        <f t="shared" si="93"/>
        <v>0</v>
      </c>
      <c r="BR441" s="40"/>
    </row>
    <row r="442" spans="1:70">
      <c r="A442" s="147"/>
      <c r="B442" s="39"/>
      <c r="C442" s="75">
        <v>436</v>
      </c>
      <c r="D442" s="146">
        <f>ETo!$I441*((1-Constantes!$E$19)*ETo!$K441+ETo!$L441)</f>
        <v>4.1339590925417156</v>
      </c>
      <c r="E442" s="76">
        <f>MIN(D442*Constantes!$E$17,0.8*(N441+Observaciones!$F441-F442-M442-Constantes!$D$14))</f>
        <v>2.0211435019973436</v>
      </c>
      <c r="F442" s="76">
        <f>IF(Observaciones!$F441&gt;0.05*Constantes!$E$18,((Observaciones!$F441-0.05*Constantes!$E$18)^2)/(Observaciones!$F441+0.95*Constantes!$E$18),0)</f>
        <v>1.5041441265922859</v>
      </c>
      <c r="G442" s="76">
        <f>IF(Escenarios!$E$11&gt;0,(F442*Escenarios!$E$16*10000)/1000,0)</f>
        <v>3760.3603164807146</v>
      </c>
      <c r="H442" s="76">
        <f>IF(Escenarios!$E$11&gt;0,(Observaciones!$F441*Constantes!$E$29)/1000,0)</f>
        <v>201</v>
      </c>
      <c r="I442" s="76">
        <f>IF(Escenarios!$E$11&gt;0,(D442*Constantes!$E$29)/1000,0)</f>
        <v>41.339590925417156</v>
      </c>
      <c r="J442" s="76">
        <f>IF(Escenarios!$E$11&gt;0,MAX(0,G442+H442-I442),0)</f>
        <v>3920.0207255552973</v>
      </c>
      <c r="K442" s="76">
        <f>IF(Escenarios!$E$11&gt;0,IF(J442&gt;Constantes!$E$30,1000*((J442-Constantes!$E$30)/(Escenarios!$E$16*10000)),0),F442)</f>
        <v>1.0533024078691777</v>
      </c>
      <c r="L442" s="76">
        <f>IF(Escenarios!$E$11&gt;0,I442*1000/Escenarios!$E$16/10000+E442,E442)</f>
        <v>2.0376793383675103</v>
      </c>
      <c r="M442" s="76">
        <f>MAX(0,N441+Observaciones!$F441-K442-Constantes!$D$13)</f>
        <v>15.857193366870945</v>
      </c>
      <c r="N442" s="76">
        <f>N441+Observaciones!$F441-K442-L442-M442-O441</f>
        <v>45.543579219136269</v>
      </c>
      <c r="O442" s="76">
        <f>MAX(0,(N442-Constantes!$D$14)*(1-EXP(-Constantes!$D$22)))</f>
        <v>1.1681652025104081</v>
      </c>
      <c r="P442" s="170">
        <f>P441+(Entradas!$E$83*M442-Q441)/(800*Entradas!$D$25)</f>
        <v>0</v>
      </c>
      <c r="Q442" s="170">
        <f>8000*Entradas!$D$26*P442/Constantes!$E$45</f>
        <v>0</v>
      </c>
      <c r="R442" s="170">
        <f>IF(Escenarios!$E$14&gt;0,K442*Escenarios!$E$13/Escenarios!$E$14,0)</f>
        <v>7.7242176577073032</v>
      </c>
      <c r="S442" s="170">
        <f>IF(Escenarios!$E$14&gt;0,Q442*Escenarios!$E$13/Escenarios!$E$14,0)</f>
        <v>0</v>
      </c>
      <c r="T442" s="170">
        <f>IF(Escenarios!$E$14&gt;0,Observaciones!$I441,0)</f>
        <v>0</v>
      </c>
      <c r="U442" s="170">
        <f>IF(Escenarios!$E$14&gt;0,MAX(0,Constantes!$E$36/((Z441+R442+S442+T442+Observaciones!$F441)^2)+Entradas!$E$77),0)</f>
        <v>2.7337999620106239</v>
      </c>
      <c r="V442" s="146">
        <f>IF(ETo!D441&gt;0,ETo!I441*((1-Entradas!$E$81)*ETo!K441+ETo!L441),0)</f>
        <v>3.7723181280478304</v>
      </c>
      <c r="W442" s="170">
        <f>IF(Escenarios!$E$14&gt;0,MIN(V442*1,0.8*(Z441+R442+S442+T442+Observaciones!$F441-U442-Constantes!$E$35)),0)</f>
        <v>3.7723181280478304</v>
      </c>
      <c r="X442" s="170">
        <f>IF(Escenarios!$E$14&gt;0,Observaciones!$J441,0)</f>
        <v>0</v>
      </c>
      <c r="Y442" s="170">
        <f>IF(Escenarios!$E$14&gt;0,MAX(0,Z441+R442+S442+T442+Observaciones!$F441-U442-W442-X442-Constantes!$E$33),0)</f>
        <v>0</v>
      </c>
      <c r="Z442" s="170">
        <f>Z441+R442+S442+T442+Observaciones!$F441-U442-W442-Y442</f>
        <v>189.8807466865205</v>
      </c>
      <c r="AA442" s="170">
        <f>IF(Escenarios!$E$14&gt;0,(Escenarios!$E$13*L442+Escenarios!$E$14*W442)/(Escenarios!$E$16),L442)</f>
        <v>2.2458359931291487</v>
      </c>
      <c r="AB442" s="170">
        <f>IF(Escenarios!$E$14&gt;0,(Escenarios!$E$14*Y442)/(Escenarios!$E$16),K442)</f>
        <v>0</v>
      </c>
      <c r="AC442" s="170">
        <f>IF(Escenarios!$E$14&gt;0,(Escenarios!$E$13*M442+Escenarios!$E$14*U442)/(Escenarios!$E$16),M442)</f>
        <v>14.282386158287707</v>
      </c>
      <c r="AD442" s="76">
        <f t="shared" si="85"/>
        <v>179.49642645714653</v>
      </c>
      <c r="AE442" s="76">
        <f>MAX(0,(AD442-Constantes!$D$13)*(1-EXP(-Constantes!$D$23)))</f>
        <v>1.2882756812548306</v>
      </c>
      <c r="AF442" s="76">
        <f>AB442+O442*Escenarios!$E$13/Escenarios!$E$16+AE442</f>
        <v>2.3162610594639896</v>
      </c>
      <c r="AG442" s="76">
        <f>IF(Entradas!$E$91&gt;0,IF(AF442-Escenarios!$E$38&lt;=0,0,IF(AF442-Escenarios!$E$38&gt;Escenarios!$E$37,Escenarios!$E$37,AF442-Escenarios!$E$38)),0)</f>
        <v>0</v>
      </c>
      <c r="AH442" s="76">
        <f>AG442*Entradas!$E$99</f>
        <v>0</v>
      </c>
      <c r="AI442" s="76">
        <f>IF(Entradas!$E$91&gt;0,D442*Entradas!$D$23/Escenarios!$E$16,0)</f>
        <v>0</v>
      </c>
      <c r="AJ442" s="76">
        <f>IF(Entradas!$E$91&gt;0,Entradas!$D$24*Entradas!$D$22/Escenarios!$E$16,0)</f>
        <v>0</v>
      </c>
      <c r="AK442" s="76">
        <f t="shared" si="94"/>
        <v>2.2458359931291487</v>
      </c>
      <c r="AL442" s="76">
        <f t="shared" si="95"/>
        <v>0</v>
      </c>
      <c r="AM442" s="76">
        <f t="shared" si="86"/>
        <v>0</v>
      </c>
      <c r="AN442" s="76">
        <f>MAX(0,O442*Escenarios!$E$13/Escenarios!$E$16-AM442)</f>
        <v>1.027985378209159</v>
      </c>
      <c r="AO442" s="76">
        <f>AM442+AN442-O442*Escenarios!$E$13/Escenarios!$E$16</f>
        <v>0</v>
      </c>
      <c r="AP442" s="76">
        <f t="shared" si="84"/>
        <v>1.2882756812548306</v>
      </c>
      <c r="AQ442" s="76">
        <f t="shared" si="87"/>
        <v>0</v>
      </c>
      <c r="AR442" s="76">
        <f t="shared" si="88"/>
        <v>2.3162610594639896</v>
      </c>
      <c r="AS442" s="76">
        <f t="shared" si="89"/>
        <v>0</v>
      </c>
      <c r="AT442" s="76">
        <f t="shared" si="90"/>
        <v>14.282386158287707</v>
      </c>
      <c r="AU442" s="76">
        <f t="shared" si="91"/>
        <v>48.75</v>
      </c>
      <c r="AV442" s="76">
        <f>MAX(0,(AU442-Constantes!$D$13)*(1-EXP(-Constantes!$D$24)))</f>
        <v>0</v>
      </c>
      <c r="AW442" s="170">
        <f>AW441+(Entradas!$E$112*AT442-AX441)/(800*Entradas!$D$25)</f>
        <v>0</v>
      </c>
      <c r="AX442" s="170">
        <f>8000*Entradas!$D$26*AW442/Constantes!$E$45</f>
        <v>0</v>
      </c>
      <c r="AY442" s="170">
        <f>IF(Escenarios!$E$17&gt;0,10*Escenarios!$E$16*AL442,0)</f>
        <v>0</v>
      </c>
      <c r="AZ442" s="170">
        <f>IF(Escenarios!$E$17&gt;0,10*Escenarios!$E$16*AX442,0)</f>
        <v>0</v>
      </c>
      <c r="BA442" s="170">
        <f>IF(Escenarios!$E$17&gt;0,0.001*Observaciones!$F441*Escenarios!$E$17,0)</f>
        <v>402.00000000000006</v>
      </c>
      <c r="BB442" s="170">
        <f>IF(Escenarios!$E$17&gt;0,Observaciones!$K441,0)</f>
        <v>4.0469119425200182</v>
      </c>
      <c r="BC442" s="170">
        <f>IF(Escenarios!$E$17&gt;0,MIN(0.0005*ETo!$M441*Escenarios!$E$17*(BG441/Constantes!$E$40)^(2/3),BG441+AY442+AZ442+BA442+BB442),0)</f>
        <v>43.093078513646283</v>
      </c>
      <c r="BD442" s="170">
        <f>IF(Escenarios!$E$17&gt;0,MIN(Constantes!$E$39*(BG441/Constantes!$E$40)^(2/3),BG441+AY442+AZ442+BA442+BB442-BC442),0)</f>
        <v>73.302947929275163</v>
      </c>
      <c r="BE442" s="170">
        <f>IF(Escenarios!$E$17&gt;0,MIN(Entradas!$E$113,BG441+AY442+AZ442+BA442+BB442-BC442-BD442),0)</f>
        <v>1</v>
      </c>
      <c r="BF442" s="170">
        <f>IF(Escenarios!$E$17&gt;0,MAX(0,BG441+AY442+AZ442+BA442+BB442-BC442-BD442-BE442-Constantes!$E$40),0)</f>
        <v>0</v>
      </c>
      <c r="BG442" s="170">
        <f t="shared" si="96"/>
        <v>6135.9582223138923</v>
      </c>
      <c r="BH442" s="170">
        <f>(Escenarios!$E$16*AK442+0.1*BC442)/(Escenarios!$E$19)</f>
        <v>2.2451123259271899</v>
      </c>
      <c r="BI442" s="170">
        <f>IF(Escenarios!$E$17&gt;0,BF442/10/Escenarios!$E$19,AL442)</f>
        <v>0</v>
      </c>
      <c r="BJ442" s="170">
        <f>(Escenarios!$E$16*AT442+0.1*BD442)/(Escenarios!$E$19)</f>
        <v>14.198122358590691</v>
      </c>
      <c r="BK442" s="76">
        <f>BK441+(0.1*BD442)/(Escenarios!$E$19)-BL441</f>
        <v>50.35960531138258</v>
      </c>
      <c r="BL442" s="76">
        <f>MAX(0,(BK442-Constantes!$D$13)*(1-EXP(-Constantes!$D$23)))</f>
        <v>1.5859824511168848E-2</v>
      </c>
      <c r="BM442" s="76">
        <f t="shared" si="92"/>
        <v>1.3041355057659993</v>
      </c>
      <c r="BN442" s="76">
        <f t="shared" si="97"/>
        <v>2.3321208839751586</v>
      </c>
      <c r="BO442" s="76">
        <f>0.0526*BI442*Observaciones!$F441^1.218</f>
        <v>0</v>
      </c>
      <c r="BP442" s="76">
        <f>BO442*Constantes!$E$51</f>
        <v>0</v>
      </c>
      <c r="BQ442" s="76">
        <f t="shared" si="93"/>
        <v>0</v>
      </c>
      <c r="BR442" s="40"/>
    </row>
    <row r="443" spans="1:70">
      <c r="A443" s="147"/>
      <c r="B443" s="39"/>
      <c r="C443" s="75">
        <v>437</v>
      </c>
      <c r="D443" s="146">
        <f>ETo!$I442*((1-Constantes!$E$19)*ETo!$K442+ETo!$L442)</f>
        <v>4.1266897650484804</v>
      </c>
      <c r="E443" s="76">
        <f>MIN(D443*Constantes!$E$17,0.8*(N442+Observaciones!$F442-F443-M443-Constantes!$D$14))</f>
        <v>2.0175894382782928</v>
      </c>
      <c r="F443" s="76">
        <f>IF(Observaciones!$F442&gt;0.05*Constantes!$E$18,((Observaciones!$F442-0.05*Constantes!$E$18)^2)/(Observaciones!$F442+0.95*Constantes!$E$18),0)</f>
        <v>5.3544547823321832E-2</v>
      </c>
      <c r="G443" s="76">
        <f>IF(Escenarios!$E$11&gt;0,(F443*Escenarios!$E$16*10000)/1000,0)</f>
        <v>133.86136955830457</v>
      </c>
      <c r="H443" s="76">
        <f>IF(Escenarios!$E$11&gt;0,(Observaciones!$F442*Constantes!$E$29)/1000,0)</f>
        <v>85</v>
      </c>
      <c r="I443" s="76">
        <f>IF(Escenarios!$E$11&gt;0,(D443*Constantes!$E$29)/1000,0)</f>
        <v>41.2668976504848</v>
      </c>
      <c r="J443" s="76">
        <f>IF(Escenarios!$E$11&gt;0,MAX(0,G443+H443-I443),0)</f>
        <v>177.59447190781978</v>
      </c>
      <c r="K443" s="76">
        <f>IF(Escenarios!$E$11&gt;0,IF(J443&gt;Constantes!$E$30,1000*((J443-Constantes!$E$30)/(Escenarios!$E$16*10000)),0),F443)</f>
        <v>0</v>
      </c>
      <c r="L443" s="76">
        <f>IF(Escenarios!$E$11&gt;0,I443*1000/Escenarios!$E$16/10000+E443,E443)</f>
        <v>2.0340961973384868</v>
      </c>
      <c r="M443" s="76">
        <f>MAX(0,N442+Observaciones!$F442-K443-Constantes!$D$13)</f>
        <v>5.2935792191362694</v>
      </c>
      <c r="N443" s="76">
        <f>N442+Observaciones!$F442-K443-L443-M443-O442</f>
        <v>45.547738600151106</v>
      </c>
      <c r="O443" s="76">
        <f>MAX(0,(N443-Constantes!$D$14)*(1-EXP(-Constantes!$D$22)))</f>
        <v>1.1683068862971737</v>
      </c>
      <c r="P443" s="170">
        <f>P442+(Entradas!$E$83*M443-Q442)/(800*Entradas!$D$25)</f>
        <v>0</v>
      </c>
      <c r="Q443" s="170">
        <f>8000*Entradas!$D$26*P443/Constantes!$E$45</f>
        <v>0</v>
      </c>
      <c r="R443" s="170">
        <f>IF(Escenarios!$E$14&gt;0,K443*Escenarios!$E$13/Escenarios!$E$14,0)</f>
        <v>0</v>
      </c>
      <c r="S443" s="170">
        <f>IF(Escenarios!$E$14&gt;0,Q443*Escenarios!$E$13/Escenarios!$E$14,0)</f>
        <v>0</v>
      </c>
      <c r="T443" s="170">
        <f>IF(Escenarios!$E$14&gt;0,Observaciones!$I442,0)</f>
        <v>0</v>
      </c>
      <c r="U443" s="170">
        <f>IF(Escenarios!$E$14&gt;0,MAX(0,Constantes!$E$36/((Z442+R443+S443+T443+Observaciones!$F442)^2)+Entradas!$E$77),0)</f>
        <v>2.7391241087800169</v>
      </c>
      <c r="V443" s="146">
        <f>IF(ETo!D442&gt;0,ETo!I442*((1-Entradas!$E$81)*ETo!K442+ETo!L442),0)</f>
        <v>3.7654616265879537</v>
      </c>
      <c r="W443" s="170">
        <f>IF(Escenarios!$E$14&gt;0,MIN(V443*1,0.8*(Z442+R443+S443+T443+Observaciones!$F442-U443-Constantes!$E$35)),0)</f>
        <v>3.7654616265879537</v>
      </c>
      <c r="X443" s="170">
        <f>IF(Escenarios!$E$14&gt;0,Observaciones!$J442,0)</f>
        <v>0</v>
      </c>
      <c r="Y443" s="170">
        <f>IF(Escenarios!$E$14&gt;0,MAX(0,Z442+R443+S443+T443+Observaciones!$F442-U443-W443-X443-Constantes!$E$33),0)</f>
        <v>0</v>
      </c>
      <c r="Z443" s="170">
        <f>Z442+R443+S443+T443+Observaciones!$F442-U443-W443-Y443</f>
        <v>191.87616095115254</v>
      </c>
      <c r="AA443" s="170">
        <f>IF(Escenarios!$E$14&gt;0,(Escenarios!$E$13*L443+Escenarios!$E$14*W443)/(Escenarios!$E$16),L443)</f>
        <v>2.2418600488484226</v>
      </c>
      <c r="AB443" s="170">
        <f>IF(Escenarios!$E$14&gt;0,(Escenarios!$E$14*Y443)/(Escenarios!$E$16),K443)</f>
        <v>0</v>
      </c>
      <c r="AC443" s="170">
        <f>IF(Escenarios!$E$14&gt;0,(Escenarios!$E$13*M443+Escenarios!$E$14*U443)/(Escenarios!$E$16),M443)</f>
        <v>4.9870446058935185</v>
      </c>
      <c r="AD443" s="76">
        <f t="shared" si="85"/>
        <v>183.19519538178523</v>
      </c>
      <c r="AE443" s="76">
        <f>MAX(0,(AD443-Constantes!$D$13)*(1-EXP(-Constantes!$D$23)))</f>
        <v>1.3247205324474169</v>
      </c>
      <c r="AF443" s="76">
        <f>AB443+O443*Escenarios!$E$13/Escenarios!$E$16+AE443</f>
        <v>2.3528305923889299</v>
      </c>
      <c r="AG443" s="76">
        <f>IF(Entradas!$E$91&gt;0,IF(AF443-Escenarios!$E$38&lt;=0,0,IF(AF443-Escenarios!$E$38&gt;Escenarios!$E$37,Escenarios!$E$37,AF443-Escenarios!$E$38)),0)</f>
        <v>0</v>
      </c>
      <c r="AH443" s="76">
        <f>AG443*Entradas!$E$99</f>
        <v>0</v>
      </c>
      <c r="AI443" s="76">
        <f>IF(Entradas!$E$91&gt;0,D443*Entradas!$D$23/Escenarios!$E$16,0)</f>
        <v>0</v>
      </c>
      <c r="AJ443" s="76">
        <f>IF(Entradas!$E$91&gt;0,Entradas!$D$24*Entradas!$D$22/Escenarios!$E$16,0)</f>
        <v>0</v>
      </c>
      <c r="AK443" s="76">
        <f t="shared" si="94"/>
        <v>2.2418600488484226</v>
      </c>
      <c r="AL443" s="76">
        <f t="shared" si="95"/>
        <v>0</v>
      </c>
      <c r="AM443" s="76">
        <f t="shared" si="86"/>
        <v>0</v>
      </c>
      <c r="AN443" s="76">
        <f>MAX(0,O443*Escenarios!$E$13/Escenarios!$E$16-AM443)</f>
        <v>1.0281100599415129</v>
      </c>
      <c r="AO443" s="76">
        <f>AM443+AN443-O443*Escenarios!$E$13/Escenarios!$E$16</f>
        <v>0</v>
      </c>
      <c r="AP443" s="76">
        <f t="shared" si="84"/>
        <v>1.3247205324474169</v>
      </c>
      <c r="AQ443" s="76">
        <f t="shared" si="87"/>
        <v>0</v>
      </c>
      <c r="AR443" s="76">
        <f t="shared" si="88"/>
        <v>2.3528305923889299</v>
      </c>
      <c r="AS443" s="76">
        <f t="shared" si="89"/>
        <v>0</v>
      </c>
      <c r="AT443" s="76">
        <f t="shared" si="90"/>
        <v>4.9870446058935185</v>
      </c>
      <c r="AU443" s="76">
        <f t="shared" si="91"/>
        <v>48.75</v>
      </c>
      <c r="AV443" s="76">
        <f>MAX(0,(AU443-Constantes!$D$13)*(1-EXP(-Constantes!$D$24)))</f>
        <v>0</v>
      </c>
      <c r="AW443" s="170">
        <f>AW442+(Entradas!$E$112*AT443-AX442)/(800*Entradas!$D$25)</f>
        <v>0</v>
      </c>
      <c r="AX443" s="170">
        <f>8000*Entradas!$D$26*AW443/Constantes!$E$45</f>
        <v>0</v>
      </c>
      <c r="AY443" s="170">
        <f>IF(Escenarios!$E$17&gt;0,10*Escenarios!$E$16*AL443,0)</f>
        <v>0</v>
      </c>
      <c r="AZ443" s="170">
        <f>IF(Escenarios!$E$17&gt;0,10*Escenarios!$E$16*AX443,0)</f>
        <v>0</v>
      </c>
      <c r="BA443" s="170">
        <f>IF(Escenarios!$E$17&gt;0,0.001*Observaciones!$F442*Escenarios!$E$17,0)</f>
        <v>170</v>
      </c>
      <c r="BB443" s="170">
        <f>IF(Escenarios!$E$17&gt;0,Observaciones!$K442,0)</f>
        <v>0</v>
      </c>
      <c r="BC443" s="170">
        <f>IF(Escenarios!$E$17&gt;0,MIN(0.0005*ETo!$M442*Escenarios!$E$17*(BG442/Constantes!$E$40)^(2/3),BG442+AY443+AZ443+BA443+BB443),0)</f>
        <v>44.424916690768811</v>
      </c>
      <c r="BD443" s="170">
        <f>IF(Escenarios!$E$17&gt;0,MIN(Constantes!$E$39*(BG442/Constantes!$E$40)^(2/3),BG442+AY443+AZ443+BA443+BB443-BC443),0)</f>
        <v>75.695911396094473</v>
      </c>
      <c r="BE443" s="170">
        <f>IF(Escenarios!$E$17&gt;0,MIN(Entradas!$E$113,BG442+AY443+AZ443+BA443+BB443-BC443-BD443),0)</f>
        <v>1</v>
      </c>
      <c r="BF443" s="170">
        <f>IF(Escenarios!$E$17&gt;0,MAX(0,BG442+AY443+AZ443+BA443+BB443-BC443-BD443-BE443-Constantes!$E$40),0)</f>
        <v>0</v>
      </c>
      <c r="BG443" s="170">
        <f t="shared" si="96"/>
        <v>6184.8373942270291</v>
      </c>
      <c r="BH443" s="170">
        <f>(Escenarios!$E$16*AK443+0.1*BC443)/(Escenarios!$E$19)</f>
        <v>2.2416964439729465</v>
      </c>
      <c r="BI443" s="170">
        <f>IF(Escenarios!$E$17&gt;0,BF443/10/Escenarios!$E$19,AL443)</f>
        <v>0</v>
      </c>
      <c r="BJ443" s="170">
        <f>(Escenarios!$E$16*AT443+0.1*BD443)/(Escenarios!$E$19)</f>
        <v>4.9775029468769407</v>
      </c>
      <c r="BK443" s="76">
        <f>BK442+(0.1*BD443)/(Escenarios!$E$19)-BL442</f>
        <v>50.373783546949227</v>
      </c>
      <c r="BL443" s="76">
        <f>MAX(0,(BK443-Constantes!$D$13)*(1-EXP(-Constantes!$D$23)))</f>
        <v>1.5999526043199628E-2</v>
      </c>
      <c r="BM443" s="76">
        <f t="shared" si="92"/>
        <v>1.3407200584906165</v>
      </c>
      <c r="BN443" s="76">
        <f t="shared" si="97"/>
        <v>2.3688301184321294</v>
      </c>
      <c r="BO443" s="76">
        <f>0.0526*BI443*Observaciones!$F442^1.218</f>
        <v>0</v>
      </c>
      <c r="BP443" s="76">
        <f>BO443*Constantes!$E$51</f>
        <v>0</v>
      </c>
      <c r="BQ443" s="76">
        <f t="shared" si="93"/>
        <v>0</v>
      </c>
      <c r="BR443" s="40"/>
    </row>
    <row r="444" spans="1:70">
      <c r="A444" s="147"/>
      <c r="B444" s="39"/>
      <c r="C444" s="75">
        <v>438</v>
      </c>
      <c r="D444" s="146">
        <f>ETo!$I443*((1-Constantes!$E$19)*ETo!$K443+ETo!$L443)</f>
        <v>3.9650672775068667</v>
      </c>
      <c r="E444" s="76">
        <f>MIN(D444*Constantes!$E$17,0.8*(N443+Observaciones!$F443-F444-M444-Constantes!$D$14))</f>
        <v>1.9385702140530878</v>
      </c>
      <c r="F444" s="76">
        <f>IF(Observaciones!$F443&gt;0.05*Constantes!$E$18,((Observaciones!$F443-0.05*Constantes!$E$18)^2)/(Observaciones!$F443+0.95*Constantes!$E$18),0)</f>
        <v>0</v>
      </c>
      <c r="G444" s="76">
        <f>IF(Escenarios!$E$11&gt;0,(F444*Escenarios!$E$16*10000)/1000,0)</f>
        <v>0</v>
      </c>
      <c r="H444" s="76">
        <f>IF(Escenarios!$E$11&gt;0,(Observaciones!$F443*Constantes!$E$29)/1000,0)</f>
        <v>34</v>
      </c>
      <c r="I444" s="76">
        <f>IF(Escenarios!$E$11&gt;0,(D444*Constantes!$E$29)/1000,0)</f>
        <v>39.650672775068671</v>
      </c>
      <c r="J444" s="76">
        <f>IF(Escenarios!$E$11&gt;0,MAX(0,G444+H444-I444),0)</f>
        <v>0</v>
      </c>
      <c r="K444" s="76">
        <f>IF(Escenarios!$E$11&gt;0,IF(J444&gt;Constantes!$E$30,1000*((J444-Constantes!$E$30)/(Escenarios!$E$16*10000)),0),F444)</f>
        <v>0</v>
      </c>
      <c r="L444" s="76">
        <f>IF(Escenarios!$E$11&gt;0,I444*1000/Escenarios!$E$16/10000+E444,E444)</f>
        <v>1.9544304831631152</v>
      </c>
      <c r="M444" s="76">
        <f>MAX(0,N443+Observaciones!$F443-K444-Constantes!$D$13)</f>
        <v>0.197738600151105</v>
      </c>
      <c r="N444" s="76">
        <f>N443+Observaciones!$F443-K444-L444-M444-O443</f>
        <v>45.627262630539711</v>
      </c>
      <c r="O444" s="76">
        <f>MAX(0,(N444-Constantes!$D$14)*(1-EXP(-Constantes!$D$22)))</f>
        <v>1.1710157667109018</v>
      </c>
      <c r="P444" s="170">
        <f>P443+(Entradas!$E$83*M444-Q443)/(800*Entradas!$D$25)</f>
        <v>0</v>
      </c>
      <c r="Q444" s="170">
        <f>8000*Entradas!$D$26*P444/Constantes!$E$45</f>
        <v>0</v>
      </c>
      <c r="R444" s="170">
        <f>IF(Escenarios!$E$14&gt;0,K444*Escenarios!$E$13/Escenarios!$E$14,0)</f>
        <v>0</v>
      </c>
      <c r="S444" s="170">
        <f>IF(Escenarios!$E$14&gt;0,Q444*Escenarios!$E$13/Escenarios!$E$14,0)</f>
        <v>0</v>
      </c>
      <c r="T444" s="170">
        <f>IF(Escenarios!$E$14&gt;0,Observaciones!$I443,0)</f>
        <v>0</v>
      </c>
      <c r="U444" s="170">
        <f>IF(Escenarios!$E$14&gt;0,MAX(0,Constantes!$E$36/((Z443+R444+S444+T444+Observaciones!$F443)^2)+Entradas!$E$77),0)</f>
        <v>2.7307631318882946</v>
      </c>
      <c r="V444" s="146">
        <f>IF(ETo!D443&gt;0,ETo!I443*((1-Entradas!$E$81)*ETo!K443+ETo!L443),0)</f>
        <v>3.616146159956382</v>
      </c>
      <c r="W444" s="170">
        <f>IF(Escenarios!$E$14&gt;0,MIN(V444*1,0.8*(Z443+R444+S444+T444+Observaciones!$F443-U444-Constantes!$E$35)),0)</f>
        <v>3.616146159956382</v>
      </c>
      <c r="X444" s="170">
        <f>IF(Escenarios!$E$14&gt;0,Observaciones!$J443,0)</f>
        <v>0</v>
      </c>
      <c r="Y444" s="170">
        <f>IF(Escenarios!$E$14&gt;0,MAX(0,Z443+R444+S444+T444+Observaciones!$F443-U444-W444-X444-Constantes!$E$33),0)</f>
        <v>0</v>
      </c>
      <c r="Z444" s="170">
        <f>Z443+R444+S444+T444+Observaciones!$F443-U444-W444-Y444</f>
        <v>188.92925165930788</v>
      </c>
      <c r="AA444" s="170">
        <f>IF(Escenarios!$E$14&gt;0,(Escenarios!$E$13*L444+Escenarios!$E$14*W444)/(Escenarios!$E$16),L444)</f>
        <v>2.1538363643783072</v>
      </c>
      <c r="AB444" s="170">
        <f>IF(Escenarios!$E$14&gt;0,(Escenarios!$E$14*Y444)/(Escenarios!$E$16),K444)</f>
        <v>0</v>
      </c>
      <c r="AC444" s="170">
        <f>IF(Escenarios!$E$14&gt;0,(Escenarios!$E$13*M444+Escenarios!$E$14*U444)/(Escenarios!$E$16),M444)</f>
        <v>0.50170154395956779</v>
      </c>
      <c r="AD444" s="76">
        <f t="shared" si="85"/>
        <v>182.37217639329737</v>
      </c>
      <c r="AE444" s="76">
        <f>MAX(0,(AD444-Constantes!$D$13)*(1-EXP(-Constantes!$D$23)))</f>
        <v>1.3166111303259955</v>
      </c>
      <c r="AF444" s="76">
        <f>AB444+O444*Escenarios!$E$13/Escenarios!$E$16+AE444</f>
        <v>2.3471050050315889</v>
      </c>
      <c r="AG444" s="76">
        <f>IF(Entradas!$E$91&gt;0,IF(AF444-Escenarios!$E$38&lt;=0,0,IF(AF444-Escenarios!$E$38&gt;Escenarios!$E$37,Escenarios!$E$37,AF444-Escenarios!$E$38)),0)</f>
        <v>0</v>
      </c>
      <c r="AH444" s="76">
        <f>AG444*Entradas!$E$99</f>
        <v>0</v>
      </c>
      <c r="AI444" s="76">
        <f>IF(Entradas!$E$91&gt;0,D444*Entradas!$D$23/Escenarios!$E$16,0)</f>
        <v>0</v>
      </c>
      <c r="AJ444" s="76">
        <f>IF(Entradas!$E$91&gt;0,Entradas!$D$24*Entradas!$D$22/Escenarios!$E$16,0)</f>
        <v>0</v>
      </c>
      <c r="AK444" s="76">
        <f t="shared" si="94"/>
        <v>2.1538363643783072</v>
      </c>
      <c r="AL444" s="76">
        <f t="shared" si="95"/>
        <v>0</v>
      </c>
      <c r="AM444" s="76">
        <f t="shared" si="86"/>
        <v>0</v>
      </c>
      <c r="AN444" s="76">
        <f>MAX(0,O444*Escenarios!$E$13/Escenarios!$E$16-AM444)</f>
        <v>1.0304938747055934</v>
      </c>
      <c r="AO444" s="76">
        <f>AM444+AN444-O444*Escenarios!$E$13/Escenarios!$E$16</f>
        <v>0</v>
      </c>
      <c r="AP444" s="76">
        <f t="shared" si="84"/>
        <v>1.3166111303259955</v>
      </c>
      <c r="AQ444" s="76">
        <f t="shared" si="87"/>
        <v>0</v>
      </c>
      <c r="AR444" s="76">
        <f t="shared" si="88"/>
        <v>2.3471050050315889</v>
      </c>
      <c r="AS444" s="76">
        <f t="shared" si="89"/>
        <v>0</v>
      </c>
      <c r="AT444" s="76">
        <f t="shared" si="90"/>
        <v>0.50170154395956779</v>
      </c>
      <c r="AU444" s="76">
        <f t="shared" si="91"/>
        <v>48.75</v>
      </c>
      <c r="AV444" s="76">
        <f>MAX(0,(AU444-Constantes!$D$13)*(1-EXP(-Constantes!$D$24)))</f>
        <v>0</v>
      </c>
      <c r="AW444" s="170">
        <f>AW443+(Entradas!$E$112*AT444-AX443)/(800*Entradas!$D$25)</f>
        <v>0</v>
      </c>
      <c r="AX444" s="170">
        <f>8000*Entradas!$D$26*AW444/Constantes!$E$45</f>
        <v>0</v>
      </c>
      <c r="AY444" s="170">
        <f>IF(Escenarios!$E$17&gt;0,10*Escenarios!$E$16*AL444,0)</f>
        <v>0</v>
      </c>
      <c r="AZ444" s="170">
        <f>IF(Escenarios!$E$17&gt;0,10*Escenarios!$E$16*AX444,0)</f>
        <v>0</v>
      </c>
      <c r="BA444" s="170">
        <f>IF(Escenarios!$E$17&gt;0,0.001*Observaciones!$F443*Escenarios!$E$17,0)</f>
        <v>68</v>
      </c>
      <c r="BB444" s="170">
        <f>IF(Escenarios!$E$17&gt;0,Observaciones!$K443,0)</f>
        <v>0</v>
      </c>
      <c r="BC444" s="170">
        <f>IF(Escenarios!$E$17&gt;0,MIN(0.0005*ETo!$M443*Escenarios!$E$17*(BG443/Constantes!$E$40)^(2/3),BG443+AY444+AZ444+BA444+BB444),0)</f>
        <v>42.938942618153909</v>
      </c>
      <c r="BD444" s="170">
        <f>IF(Escenarios!$E$17&gt;0,MIN(Constantes!$E$39*(BG443/Constantes!$E$40)^(2/3),BG443+AY444+AZ444+BA444+BB444-BC444),0)</f>
        <v>76.097376369833114</v>
      </c>
      <c r="BE444" s="170">
        <f>IF(Escenarios!$E$17&gt;0,MIN(Entradas!$E$113,BG443+AY444+AZ444+BA444+BB444-BC444-BD444),0)</f>
        <v>1</v>
      </c>
      <c r="BF444" s="170">
        <f>IF(Escenarios!$E$17&gt;0,MAX(0,BG443+AY444+AZ444+BA444+BB444-BC444-BD444-BE444-Constantes!$E$40),0)</f>
        <v>0</v>
      </c>
      <c r="BG444" s="170">
        <f t="shared" si="96"/>
        <v>6132.8010752390419</v>
      </c>
      <c r="BH444" s="170">
        <f>(Escenarios!$E$16*AK444+0.1*BC444)/(Escenarios!$E$19)</f>
        <v>2.1537816879221912</v>
      </c>
      <c r="BI444" s="170">
        <f>IF(Escenarios!$E$17&gt;0,BF444/10/Escenarios!$E$19,AL444)</f>
        <v>0</v>
      </c>
      <c r="BJ444" s="170">
        <f>(Escenarios!$E$16*AT444+0.1*BD444)/(Escenarios!$E$19)</f>
        <v>0.52791715724950494</v>
      </c>
      <c r="BK444" s="76">
        <f>BK443+(0.1*BD444)/(Escenarios!$E$19)-BL443</f>
        <v>50.387981392481358</v>
      </c>
      <c r="BL444" s="76">
        <f>MAX(0,(BK444-Constantes!$D$13)*(1-EXP(-Constantes!$D$23)))</f>
        <v>1.6139420796891051E-2</v>
      </c>
      <c r="BM444" s="76">
        <f t="shared" si="92"/>
        <v>1.3327505511228865</v>
      </c>
      <c r="BN444" s="76">
        <f t="shared" si="97"/>
        <v>2.3632444258284799</v>
      </c>
      <c r="BO444" s="76">
        <f>0.0526*BI444*Observaciones!$F443^1.218</f>
        <v>0</v>
      </c>
      <c r="BP444" s="76">
        <f>BO444*Constantes!$E$51</f>
        <v>0</v>
      </c>
      <c r="BQ444" s="76">
        <f t="shared" si="93"/>
        <v>0</v>
      </c>
      <c r="BR444" s="40"/>
    </row>
    <row r="445" spans="1:70">
      <c r="A445" s="147"/>
      <c r="B445" s="39"/>
      <c r="C445" s="75">
        <v>439</v>
      </c>
      <c r="D445" s="146">
        <f>ETo!$I444*((1-Constantes!$E$19)*ETo!$K444+ETo!$L444)</f>
        <v>3.9874507738089515</v>
      </c>
      <c r="E445" s="76">
        <f>MIN(D445*Constantes!$E$17,0.8*(N444+Observaciones!$F444-F445-M445-Constantes!$D$14))</f>
        <v>1.9495137810043333</v>
      </c>
      <c r="F445" s="76">
        <f>IF(Observaciones!$F444&gt;0.05*Constantes!$E$18,((Observaciones!$F444-0.05*Constantes!$E$18)^2)/(Observaciones!$F444+0.95*Constantes!$E$18),0)</f>
        <v>0</v>
      </c>
      <c r="G445" s="76">
        <f>IF(Escenarios!$E$11&gt;0,(F445*Escenarios!$E$16*10000)/1000,0)</f>
        <v>0</v>
      </c>
      <c r="H445" s="76">
        <f>IF(Escenarios!$E$11&gt;0,(Observaciones!$F444*Constantes!$E$29)/1000,0)</f>
        <v>56</v>
      </c>
      <c r="I445" s="76">
        <f>IF(Escenarios!$E$11&gt;0,(D445*Constantes!$E$29)/1000,0)</f>
        <v>39.87450773808952</v>
      </c>
      <c r="J445" s="76">
        <f>IF(Escenarios!$E$11&gt;0,MAX(0,G445+H445-I445),0)</f>
        <v>16.12549226191048</v>
      </c>
      <c r="K445" s="76">
        <f>IF(Escenarios!$E$11&gt;0,IF(J445&gt;Constantes!$E$30,1000*((J445-Constantes!$E$30)/(Escenarios!$E$16*10000)),0),F445)</f>
        <v>0</v>
      </c>
      <c r="L445" s="76">
        <f>IF(Escenarios!$E$11&gt;0,I445*1000/Escenarios!$E$16/10000+E445,E445)</f>
        <v>1.9654635840995691</v>
      </c>
      <c r="M445" s="76">
        <f>MAX(0,N444+Observaciones!$F444-K445-Constantes!$D$13)</f>
        <v>2.4772626305397125</v>
      </c>
      <c r="N445" s="76">
        <f>N444+Observaciones!$F444-K445-L445-M445-O444</f>
        <v>45.613520649189532</v>
      </c>
      <c r="O445" s="76">
        <f>MAX(0,(N445-Constantes!$D$14)*(1-EXP(-Constantes!$D$22)))</f>
        <v>1.1705476643782684</v>
      </c>
      <c r="P445" s="170">
        <f>P444+(Entradas!$E$83*M445-Q444)/(800*Entradas!$D$25)</f>
        <v>0</v>
      </c>
      <c r="Q445" s="170">
        <f>8000*Entradas!$D$26*P445/Constantes!$E$45</f>
        <v>0</v>
      </c>
      <c r="R445" s="170">
        <f>IF(Escenarios!$E$14&gt;0,K445*Escenarios!$E$13/Escenarios!$E$14,0)</f>
        <v>0</v>
      </c>
      <c r="S445" s="170">
        <f>IF(Escenarios!$E$14&gt;0,Q445*Escenarios!$E$13/Escenarios!$E$14,0)</f>
        <v>0</v>
      </c>
      <c r="T445" s="170">
        <f>IF(Escenarios!$E$14&gt;0,Observaciones!$I444,0)</f>
        <v>0</v>
      </c>
      <c r="U445" s="170">
        <f>IF(Escenarios!$E$14&gt;0,MAX(0,Constantes!$E$36/((Z444+R445+S445+T445+Observaciones!$F444)^2)+Entradas!$E$77),0)</f>
        <v>2.7286916534113246</v>
      </c>
      <c r="V445" s="146">
        <f>IF(ETo!D444&gt;0,ETo!I444*((1-Entradas!$E$81)*ETo!K444+ETo!L444),0)</f>
        <v>3.6365959534068284</v>
      </c>
      <c r="W445" s="170">
        <f>IF(Escenarios!$E$14&gt;0,MIN(V445*1,0.8*(Z444+R445+S445+T445+Observaciones!$F444-U445-Constantes!$E$35)),0)</f>
        <v>3.6365959534068284</v>
      </c>
      <c r="X445" s="170">
        <f>IF(Escenarios!$E$14&gt;0,Observaciones!$J444,0)</f>
        <v>0</v>
      </c>
      <c r="Y445" s="170">
        <f>IF(Escenarios!$E$14&gt;0,MAX(0,Z444+R445+S445+T445+Observaciones!$F444-U445-W445-X445-Constantes!$E$33),0)</f>
        <v>0</v>
      </c>
      <c r="Z445" s="170">
        <f>Z444+R445+S445+T445+Observaciones!$F444-U445-W445-Y445</f>
        <v>188.16396405248972</v>
      </c>
      <c r="AA445" s="170">
        <f>IF(Escenarios!$E$14&gt;0,(Escenarios!$E$13*L445+Escenarios!$E$14*W445)/(Escenarios!$E$16),L445)</f>
        <v>2.1659994684164405</v>
      </c>
      <c r="AB445" s="170">
        <f>IF(Escenarios!$E$14&gt;0,(Escenarios!$E$14*Y445)/(Escenarios!$E$16),K445)</f>
        <v>0</v>
      </c>
      <c r="AC445" s="170">
        <f>IF(Escenarios!$E$14&gt;0,(Escenarios!$E$13*M445+Escenarios!$E$14*U445)/(Escenarios!$E$16),M445)</f>
        <v>2.5074341132843059</v>
      </c>
      <c r="AD445" s="76">
        <f t="shared" si="85"/>
        <v>183.56299937625568</v>
      </c>
      <c r="AE445" s="76">
        <f>MAX(0,(AD445-Constantes!$D$13)*(1-EXP(-Constantes!$D$23)))</f>
        <v>1.3283445928090205</v>
      </c>
      <c r="AF445" s="76">
        <f>AB445+O445*Escenarios!$E$13/Escenarios!$E$16+AE445</f>
        <v>2.3584265374618969</v>
      </c>
      <c r="AG445" s="76">
        <f>IF(Entradas!$E$91&gt;0,IF(AF445-Escenarios!$E$38&lt;=0,0,IF(AF445-Escenarios!$E$38&gt;Escenarios!$E$37,Escenarios!$E$37,AF445-Escenarios!$E$38)),0)</f>
        <v>0</v>
      </c>
      <c r="AH445" s="76">
        <f>AG445*Entradas!$E$99</f>
        <v>0</v>
      </c>
      <c r="AI445" s="76">
        <f>IF(Entradas!$E$91&gt;0,D445*Entradas!$D$23/Escenarios!$E$16,0)</f>
        <v>0</v>
      </c>
      <c r="AJ445" s="76">
        <f>IF(Entradas!$E$91&gt;0,Entradas!$D$24*Entradas!$D$22/Escenarios!$E$16,0)</f>
        <v>0</v>
      </c>
      <c r="AK445" s="76">
        <f t="shared" si="94"/>
        <v>2.1659994684164405</v>
      </c>
      <c r="AL445" s="76">
        <f t="shared" si="95"/>
        <v>0</v>
      </c>
      <c r="AM445" s="76">
        <f t="shared" si="86"/>
        <v>0</v>
      </c>
      <c r="AN445" s="76">
        <f>MAX(0,O445*Escenarios!$E$13/Escenarios!$E$16-AM445)</f>
        <v>1.0300819446528762</v>
      </c>
      <c r="AO445" s="76">
        <f>AM445+AN445-O445*Escenarios!$E$13/Escenarios!$E$16</f>
        <v>0</v>
      </c>
      <c r="AP445" s="76">
        <f t="shared" si="84"/>
        <v>1.3283445928090205</v>
      </c>
      <c r="AQ445" s="76">
        <f t="shared" si="87"/>
        <v>0</v>
      </c>
      <c r="AR445" s="76">
        <f t="shared" si="88"/>
        <v>2.3584265374618969</v>
      </c>
      <c r="AS445" s="76">
        <f t="shared" si="89"/>
        <v>0</v>
      </c>
      <c r="AT445" s="76">
        <f t="shared" si="90"/>
        <v>2.5074341132843059</v>
      </c>
      <c r="AU445" s="76">
        <f t="shared" si="91"/>
        <v>48.75</v>
      </c>
      <c r="AV445" s="76">
        <f>MAX(0,(AU445-Constantes!$D$13)*(1-EXP(-Constantes!$D$24)))</f>
        <v>0</v>
      </c>
      <c r="AW445" s="170">
        <f>AW444+(Entradas!$E$112*AT445-AX444)/(800*Entradas!$D$25)</f>
        <v>0</v>
      </c>
      <c r="AX445" s="170">
        <f>8000*Entradas!$D$26*AW445/Constantes!$E$45</f>
        <v>0</v>
      </c>
      <c r="AY445" s="170">
        <f>IF(Escenarios!$E$17&gt;0,10*Escenarios!$E$16*AL445,0)</f>
        <v>0</v>
      </c>
      <c r="AZ445" s="170">
        <f>IF(Escenarios!$E$17&gt;0,10*Escenarios!$E$16*AX445,0)</f>
        <v>0</v>
      </c>
      <c r="BA445" s="170">
        <f>IF(Escenarios!$E$17&gt;0,0.001*Observaciones!$F444*Escenarios!$E$17,0)</f>
        <v>112</v>
      </c>
      <c r="BB445" s="170">
        <f>IF(Escenarios!$E$17&gt;0,Observaciones!$K444,0)</f>
        <v>0</v>
      </c>
      <c r="BC445" s="170">
        <f>IF(Escenarios!$E$17&gt;0,MIN(0.0005*ETo!$M444*Escenarios!$E$17*(BG444/Constantes!$E$40)^(2/3),BG444+AY445+AZ445+BA445+BB445),0)</f>
        <v>42.938258433979122</v>
      </c>
      <c r="BD445" s="170">
        <f>IF(Escenarios!$E$17&gt;0,MIN(Constantes!$E$39*(BG444/Constantes!$E$40)^(2/3),BG444+AY445+AZ445+BA445+BB445-BC445),0)</f>
        <v>75.6699438546663</v>
      </c>
      <c r="BE445" s="170">
        <f>IF(Escenarios!$E$17&gt;0,MIN(Entradas!$E$113,BG444+AY445+AZ445+BA445+BB445-BC445-BD445),0)</f>
        <v>1</v>
      </c>
      <c r="BF445" s="170">
        <f>IF(Escenarios!$E$17&gt;0,MAX(0,BG444+AY445+AZ445+BA445+BB445-BC445-BD445-BE445-Constantes!$E$40),0)</f>
        <v>0</v>
      </c>
      <c r="BG445" s="170">
        <f t="shared" si="96"/>
        <v>6125.1928729503961</v>
      </c>
      <c r="BH445" s="170">
        <f>(Escenarios!$E$16*AK445+0.1*BC445)/(Escenarios!$E$19)</f>
        <v>2.1658479878869366</v>
      </c>
      <c r="BI445" s="170">
        <f>IF(Escenarios!$E$17&gt;0,BF445/10/Escenarios!$E$19,AL445)</f>
        <v>0</v>
      </c>
      <c r="BJ445" s="170">
        <f>(Escenarios!$E$16*AT445+0.1*BD445)/(Escenarios!$E$19)</f>
        <v>2.517561598041838</v>
      </c>
      <c r="BK445" s="76">
        <f>BK444+(0.1*BD445)/(Escenarios!$E$19)-BL444</f>
        <v>50.401869727182351</v>
      </c>
      <c r="BL445" s="76">
        <f>MAX(0,(BK445-Constantes!$D$13)*(1-EXP(-Constantes!$D$23)))</f>
        <v>1.6276265866643547E-2</v>
      </c>
      <c r="BM445" s="76">
        <f t="shared" si="92"/>
        <v>1.3446208586756641</v>
      </c>
      <c r="BN445" s="76">
        <f t="shared" si="97"/>
        <v>2.3747028033285407</v>
      </c>
      <c r="BO445" s="76">
        <f>0.0526*BI445*Observaciones!$F444^1.218</f>
        <v>0</v>
      </c>
      <c r="BP445" s="76">
        <f>BO445*Constantes!$E$51</f>
        <v>0</v>
      </c>
      <c r="BQ445" s="76">
        <f t="shared" si="93"/>
        <v>0</v>
      </c>
      <c r="BR445" s="40"/>
    </row>
    <row r="446" spans="1:70">
      <c r="A446" s="147"/>
      <c r="B446" s="39"/>
      <c r="C446" s="75">
        <v>440</v>
      </c>
      <c r="D446" s="146">
        <f>ETo!$I445*((1-Constantes!$E$19)*ETo!$K445+ETo!$L445)</f>
        <v>4.026411047879753</v>
      </c>
      <c r="E446" s="76">
        <f>MIN(D446*Constantes!$E$17,0.8*(N445+Observaciones!$F445-F446-M446-Constantes!$D$14))</f>
        <v>1.9685619387174327</v>
      </c>
      <c r="F446" s="76">
        <f>IF(Observaciones!$F445&gt;0.05*Constantes!$E$18,((Observaciones!$F445-0.05*Constantes!$E$18)^2)/(Observaciones!$F445+0.95*Constantes!$E$18),0)</f>
        <v>1.1615313362524577</v>
      </c>
      <c r="G446" s="76">
        <f>IF(Escenarios!$E$11&gt;0,(F446*Escenarios!$E$16*10000)/1000,0)</f>
        <v>2903.8283406311448</v>
      </c>
      <c r="H446" s="76">
        <f>IF(Escenarios!$E$11&gt;0,(Observaciones!$F445*Constantes!$E$29)/1000,0)</f>
        <v>183</v>
      </c>
      <c r="I446" s="76">
        <f>IF(Escenarios!$E$11&gt;0,(D446*Constantes!$E$29)/1000,0)</f>
        <v>40.264110478797527</v>
      </c>
      <c r="J446" s="76">
        <f>IF(Escenarios!$E$11&gt;0,MAX(0,G446+H446-I446),0)</f>
        <v>3046.5642301523471</v>
      </c>
      <c r="K446" s="76">
        <f>IF(Escenarios!$E$11&gt;0,IF(J446&gt;Constantes!$E$30,1000*((J446-Constantes!$E$30)/(Escenarios!$E$16*10000)),0),F446)</f>
        <v>0.70391980970799772</v>
      </c>
      <c r="L446" s="76">
        <f>IF(Escenarios!$E$11&gt;0,I446*1000/Escenarios!$E$16/10000+E446,E446)</f>
        <v>1.9846675829089517</v>
      </c>
      <c r="M446" s="76">
        <f>MAX(0,N445+Observaciones!$F445-K446-Constantes!$D$13)</f>
        <v>14.459600839481539</v>
      </c>
      <c r="N446" s="76">
        <f>N445+Observaciones!$F445-K446-L446-M446-O445</f>
        <v>45.594784752712776</v>
      </c>
      <c r="O446" s="76">
        <f>MAX(0,(N446-Constantes!$D$14)*(1-EXP(-Constantes!$D$22)))</f>
        <v>1.1699094509633861</v>
      </c>
      <c r="P446" s="170">
        <f>P445+(Entradas!$E$83*M446-Q445)/(800*Entradas!$D$25)</f>
        <v>0</v>
      </c>
      <c r="Q446" s="170">
        <f>8000*Entradas!$D$26*P446/Constantes!$E$45</f>
        <v>0</v>
      </c>
      <c r="R446" s="170">
        <f>IF(Escenarios!$E$14&gt;0,K446*Escenarios!$E$13/Escenarios!$E$14,0)</f>
        <v>5.1620786045253171</v>
      </c>
      <c r="S446" s="170">
        <f>IF(Escenarios!$E$14&gt;0,Q446*Escenarios!$E$13/Escenarios!$E$14,0)</f>
        <v>0</v>
      </c>
      <c r="T446" s="170">
        <f>IF(Escenarios!$E$14&gt;0,Observaciones!$I445,0)</f>
        <v>0</v>
      </c>
      <c r="U446" s="170">
        <f>IF(Escenarios!$E$14&gt;0,MAX(0,Constantes!$E$36/((Z445+R446+S446+T446+Observaciones!$F445)^2)+Entradas!$E$77),0)</f>
        <v>2.7707576957268603</v>
      </c>
      <c r="V446" s="146">
        <f>IF(ETo!D445&gt;0,ETo!I445*((1-Entradas!$E$81)*ETo!K445+ETo!L445),0)</f>
        <v>3.6723653177160824</v>
      </c>
      <c r="W446" s="170">
        <f>IF(Escenarios!$E$14&gt;0,MIN(V446*1,0.8*(Z445+R446+S446+T446+Observaciones!$F445-U446-Constantes!$E$35)),0)</f>
        <v>3.6723653177160824</v>
      </c>
      <c r="X446" s="170">
        <f>IF(Escenarios!$E$14&gt;0,Observaciones!$J445,0)</f>
        <v>0</v>
      </c>
      <c r="Y446" s="170">
        <f>IF(Escenarios!$E$14&gt;0,MAX(0,Z445+R446+S446+T446+Observaciones!$F445-U446-W446-X446-Constantes!$E$33),0)</f>
        <v>0</v>
      </c>
      <c r="Z446" s="170">
        <f>Z445+R446+S446+T446+Observaciones!$F445-U446-W446-Y446</f>
        <v>205.18291964357209</v>
      </c>
      <c r="AA446" s="170">
        <f>IF(Escenarios!$E$14&gt;0,(Escenarios!$E$13*L446+Escenarios!$E$14*W446)/(Escenarios!$E$16),L446)</f>
        <v>2.1871913110858072</v>
      </c>
      <c r="AB446" s="170">
        <f>IF(Escenarios!$E$14&gt;0,(Escenarios!$E$14*Y446)/(Escenarios!$E$16),K446)</f>
        <v>0</v>
      </c>
      <c r="AC446" s="170">
        <f>IF(Escenarios!$E$14&gt;0,(Escenarios!$E$13*M446+Escenarios!$E$14*U446)/(Escenarios!$E$16),M446)</f>
        <v>13.056939662230977</v>
      </c>
      <c r="AD446" s="76">
        <f t="shared" si="85"/>
        <v>195.29159444567762</v>
      </c>
      <c r="AE446" s="76">
        <f>MAX(0,(AD446-Constantes!$D$13)*(1-EXP(-Constantes!$D$23)))</f>
        <v>1.4439092335617369</v>
      </c>
      <c r="AF446" s="76">
        <f>AB446+O446*Escenarios!$E$13/Escenarios!$E$16+AE446</f>
        <v>2.4734295504095165</v>
      </c>
      <c r="AG446" s="76">
        <f>IF(Entradas!$E$91&gt;0,IF(AF446-Escenarios!$E$38&lt;=0,0,IF(AF446-Escenarios!$E$38&gt;Escenarios!$E$37,Escenarios!$E$37,AF446-Escenarios!$E$38)),0)</f>
        <v>0</v>
      </c>
      <c r="AH446" s="76">
        <f>AG446*Entradas!$E$99</f>
        <v>0</v>
      </c>
      <c r="AI446" s="76">
        <f>IF(Entradas!$E$91&gt;0,D446*Entradas!$D$23/Escenarios!$E$16,0)</f>
        <v>0</v>
      </c>
      <c r="AJ446" s="76">
        <f>IF(Entradas!$E$91&gt;0,Entradas!$D$24*Entradas!$D$22/Escenarios!$E$16,0)</f>
        <v>0</v>
      </c>
      <c r="AK446" s="76">
        <f t="shared" si="94"/>
        <v>2.1871913110858072</v>
      </c>
      <c r="AL446" s="76">
        <f t="shared" si="95"/>
        <v>0</v>
      </c>
      <c r="AM446" s="76">
        <f t="shared" si="86"/>
        <v>0</v>
      </c>
      <c r="AN446" s="76">
        <f>MAX(0,O446*Escenarios!$E$13/Escenarios!$E$16-AM446)</f>
        <v>1.0295203168477796</v>
      </c>
      <c r="AO446" s="76">
        <f>AM446+AN446-O446*Escenarios!$E$13/Escenarios!$E$16</f>
        <v>0</v>
      </c>
      <c r="AP446" s="76">
        <f t="shared" si="84"/>
        <v>1.4439092335617369</v>
      </c>
      <c r="AQ446" s="76">
        <f t="shared" si="87"/>
        <v>0</v>
      </c>
      <c r="AR446" s="76">
        <f t="shared" si="88"/>
        <v>2.4734295504095165</v>
      </c>
      <c r="AS446" s="76">
        <f t="shared" si="89"/>
        <v>0</v>
      </c>
      <c r="AT446" s="76">
        <f t="shared" si="90"/>
        <v>13.056939662230977</v>
      </c>
      <c r="AU446" s="76">
        <f t="shared" si="91"/>
        <v>48.75</v>
      </c>
      <c r="AV446" s="76">
        <f>MAX(0,(AU446-Constantes!$D$13)*(1-EXP(-Constantes!$D$24)))</f>
        <v>0</v>
      </c>
      <c r="AW446" s="170">
        <f>AW445+(Entradas!$E$112*AT446-AX445)/(800*Entradas!$D$25)</f>
        <v>0</v>
      </c>
      <c r="AX446" s="170">
        <f>8000*Entradas!$D$26*AW446/Constantes!$E$45</f>
        <v>0</v>
      </c>
      <c r="AY446" s="170">
        <f>IF(Escenarios!$E$17&gt;0,10*Escenarios!$E$16*AL446,0)</f>
        <v>0</v>
      </c>
      <c r="AZ446" s="170">
        <f>IF(Escenarios!$E$17&gt;0,10*Escenarios!$E$16*AX446,0)</f>
        <v>0</v>
      </c>
      <c r="BA446" s="170">
        <f>IF(Escenarios!$E$17&gt;0,0.001*Observaciones!$F445*Escenarios!$E$17,0)</f>
        <v>366</v>
      </c>
      <c r="BB446" s="170">
        <f>IF(Escenarios!$E$17&gt;0,Observaciones!$K445,0)</f>
        <v>0</v>
      </c>
      <c r="BC446" s="170">
        <f>IF(Escenarios!$E$17&gt;0,MIN(0.0005*ETo!$M445*Escenarios!$E$17*(BG445/Constantes!$E$40)^(2/3),BG445+AY446+AZ446+BA446+BB446),0)</f>
        <v>43.318402334595319</v>
      </c>
      <c r="BD446" s="170">
        <f>IF(Escenarios!$E$17&gt;0,MIN(Constantes!$E$39*(BG445/Constantes!$E$40)^(2/3),BG445+AY446+AZ446+BA446+BB446-BC446),0)</f>
        <v>75.60734805932745</v>
      </c>
      <c r="BE446" s="170">
        <f>IF(Escenarios!$E$17&gt;0,MIN(Entradas!$E$113,BG445+AY446+AZ446+BA446+BB446-BC446-BD446),0)</f>
        <v>1</v>
      </c>
      <c r="BF446" s="170">
        <f>IF(Escenarios!$E$17&gt;0,MAX(0,BG445+AY446+AZ446+BA446+BB446-BC446-BD446-BE446-Constantes!$E$40),0)</f>
        <v>0</v>
      </c>
      <c r="BG446" s="170">
        <f t="shared" si="96"/>
        <v>6371.2671225564727</v>
      </c>
      <c r="BH446" s="170">
        <f>(Escenarios!$E$16*AK446+0.1*BC446)/(Escenarios!$E$19)</f>
        <v>2.1870224920829813</v>
      </c>
      <c r="BI446" s="170">
        <f>IF(Escenarios!$E$17&gt;0,BF446/10/Escenarios!$E$19,AL446)</f>
        <v>0</v>
      </c>
      <c r="BJ446" s="170">
        <f>(Escenarios!$E$16*AT446+0.1*BD446)/(Escenarios!$E$19)</f>
        <v>12.983316072871736</v>
      </c>
      <c r="BK446" s="76">
        <f>BK445+(0.1*BD446)/(Escenarios!$E$19)-BL445</f>
        <v>50.415596377212267</v>
      </c>
      <c r="BL446" s="76">
        <f>MAX(0,(BK446-Constantes!$D$13)*(1-EXP(-Constantes!$D$23)))</f>
        <v>1.6411517818821629E-2</v>
      </c>
      <c r="BM446" s="76">
        <f t="shared" si="92"/>
        <v>1.4603207513805585</v>
      </c>
      <c r="BN446" s="76">
        <f t="shared" si="97"/>
        <v>2.4898410682283383</v>
      </c>
      <c r="BO446" s="76">
        <f>0.0526*BI446*Observaciones!$F445^1.218</f>
        <v>0</v>
      </c>
      <c r="BP446" s="76">
        <f>BO446*Constantes!$E$51</f>
        <v>0</v>
      </c>
      <c r="BQ446" s="76">
        <f t="shared" si="93"/>
        <v>0</v>
      </c>
      <c r="BR446" s="40"/>
    </row>
    <row r="447" spans="1:70">
      <c r="A447" s="147"/>
      <c r="B447" s="39"/>
      <c r="C447" s="75">
        <v>441</v>
      </c>
      <c r="D447" s="146">
        <f>ETo!$I446*((1-Constantes!$E$19)*ETo!$K446+ETo!$L446)</f>
        <v>4.0266278356374583</v>
      </c>
      <c r="E447" s="76">
        <f>MIN(D447*Constantes!$E$17,0.8*(N446+Observaciones!$F446-F447-M447-Constantes!$D$14))</f>
        <v>1.9686679289214937</v>
      </c>
      <c r="F447" s="76">
        <f>IF(Observaciones!$F446&gt;0.05*Constantes!$E$18,((Observaciones!$F446-0.05*Constantes!$E$18)^2)/(Observaciones!$F446+0.95*Constantes!$E$18),0)</f>
        <v>0</v>
      </c>
      <c r="G447" s="76">
        <f>IF(Escenarios!$E$11&gt;0,(F447*Escenarios!$E$16*10000)/1000,0)</f>
        <v>0</v>
      </c>
      <c r="H447" s="76">
        <f>IF(Escenarios!$E$11&gt;0,(Observaciones!$F446*Constantes!$E$29)/1000,0)</f>
        <v>2</v>
      </c>
      <c r="I447" s="76">
        <f>IF(Escenarios!$E$11&gt;0,(D447*Constantes!$E$29)/1000,0)</f>
        <v>40.266278356374585</v>
      </c>
      <c r="J447" s="76">
        <f>IF(Escenarios!$E$11&gt;0,MAX(0,G447+H447-I447),0)</f>
        <v>0</v>
      </c>
      <c r="K447" s="76">
        <f>IF(Escenarios!$E$11&gt;0,IF(J447&gt;Constantes!$E$30,1000*((J447-Constantes!$E$30)/(Escenarios!$E$16*10000)),0),F447)</f>
        <v>0</v>
      </c>
      <c r="L447" s="76">
        <f>IF(Escenarios!$E$11&gt;0,I447*1000/Escenarios!$E$16/10000+E447,E447)</f>
        <v>1.9847744402640435</v>
      </c>
      <c r="M447" s="76">
        <f>MAX(0,N446+Observaciones!$F446-K447-Constantes!$D$13)</f>
        <v>0</v>
      </c>
      <c r="N447" s="76">
        <f>N446+Observaciones!$F446-K447-L447-M447-O446</f>
        <v>42.640100861485351</v>
      </c>
      <c r="O447" s="76">
        <f>MAX(0,(N447-Constantes!$D$14)*(1-EXP(-Constantes!$D$22)))</f>
        <v>1.0692620707615579</v>
      </c>
      <c r="P447" s="170">
        <f>P446+(Entradas!$E$83*M447-Q446)/(800*Entradas!$D$25)</f>
        <v>0</v>
      </c>
      <c r="Q447" s="170">
        <f>8000*Entradas!$D$26*P447/Constantes!$E$45</f>
        <v>0</v>
      </c>
      <c r="R447" s="170">
        <f>IF(Escenarios!$E$14&gt;0,K447*Escenarios!$E$13/Escenarios!$E$14,0)</f>
        <v>0</v>
      </c>
      <c r="S447" s="170">
        <f>IF(Escenarios!$E$14&gt;0,Q447*Escenarios!$E$13/Escenarios!$E$14,0)</f>
        <v>0</v>
      </c>
      <c r="T447" s="170">
        <f>IF(Escenarios!$E$14&gt;0,Observaciones!$I446,0)</f>
        <v>0</v>
      </c>
      <c r="U447" s="170">
        <f>IF(Escenarios!$E$14&gt;0,MAX(0,Constantes!$E$36/((Z446+R447+S447+T447+Observaciones!$F446)^2)+Entradas!$E$77),0)</f>
        <v>2.7566090979736759</v>
      </c>
      <c r="V447" s="146">
        <f>IF(ETo!D446&gt;0,ETo!I446*((1-Entradas!$E$81)*ETo!K446+ETo!L446),0)</f>
        <v>3.6724006961389901</v>
      </c>
      <c r="W447" s="170">
        <f>IF(Escenarios!$E$14&gt;0,MIN(V447*1,0.8*(Z446+R447+S447+T447+Observaciones!$F446-U447-Constantes!$E$35)),0)</f>
        <v>3.6724006961389901</v>
      </c>
      <c r="X447" s="170">
        <f>IF(Escenarios!$E$14&gt;0,Observaciones!$J446,0)</f>
        <v>0</v>
      </c>
      <c r="Y447" s="170">
        <f>IF(Escenarios!$E$14&gt;0,MAX(0,Z446+R447+S447+T447+Observaciones!$F446-U447-W447-X447-Constantes!$E$33),0)</f>
        <v>0</v>
      </c>
      <c r="Z447" s="170">
        <f>Z446+R447+S447+T447+Observaciones!$F446-U447-W447-Y447</f>
        <v>198.95390984945942</v>
      </c>
      <c r="AA447" s="170">
        <f>IF(Escenarios!$E$14&gt;0,(Escenarios!$E$13*L447+Escenarios!$E$14*W447)/(Escenarios!$E$16),L447)</f>
        <v>2.1872895909690371</v>
      </c>
      <c r="AB447" s="170">
        <f>IF(Escenarios!$E$14&gt;0,(Escenarios!$E$14*Y447)/(Escenarios!$E$16),K447)</f>
        <v>0</v>
      </c>
      <c r="AC447" s="170">
        <f>IF(Escenarios!$E$14&gt;0,(Escenarios!$E$13*M447+Escenarios!$E$14*U447)/(Escenarios!$E$16),M447)</f>
        <v>0.33079309175684113</v>
      </c>
      <c r="AD447" s="76">
        <f t="shared" si="85"/>
        <v>194.17847830387274</v>
      </c>
      <c r="AE447" s="76">
        <f>MAX(0,(AD447-Constantes!$D$13)*(1-EXP(-Constantes!$D$23)))</f>
        <v>1.4329414350929242</v>
      </c>
      <c r="AF447" s="76">
        <f>AB447+O447*Escenarios!$E$13/Escenarios!$E$16+AE447</f>
        <v>2.3738920573630953</v>
      </c>
      <c r="AG447" s="76">
        <f>IF(Entradas!$E$91&gt;0,IF(AF447-Escenarios!$E$38&lt;=0,0,IF(AF447-Escenarios!$E$38&gt;Escenarios!$E$37,Escenarios!$E$37,AF447-Escenarios!$E$38)),0)</f>
        <v>0</v>
      </c>
      <c r="AH447" s="76">
        <f>AG447*Entradas!$E$99</f>
        <v>0</v>
      </c>
      <c r="AI447" s="76">
        <f>IF(Entradas!$E$91&gt;0,D447*Entradas!$D$23/Escenarios!$E$16,0)</f>
        <v>0</v>
      </c>
      <c r="AJ447" s="76">
        <f>IF(Entradas!$E$91&gt;0,Entradas!$D$24*Entradas!$D$22/Escenarios!$E$16,0)</f>
        <v>0</v>
      </c>
      <c r="AK447" s="76">
        <f t="shared" si="94"/>
        <v>2.1872895909690371</v>
      </c>
      <c r="AL447" s="76">
        <f t="shared" si="95"/>
        <v>0</v>
      </c>
      <c r="AM447" s="76">
        <f t="shared" si="86"/>
        <v>0</v>
      </c>
      <c r="AN447" s="76">
        <f>MAX(0,O447*Escenarios!$E$13/Escenarios!$E$16-AM447)</f>
        <v>0.9409506222701709</v>
      </c>
      <c r="AO447" s="76">
        <f>AM447+AN447-O447*Escenarios!$E$13/Escenarios!$E$16</f>
        <v>0</v>
      </c>
      <c r="AP447" s="76">
        <f t="shared" si="84"/>
        <v>1.4329414350929242</v>
      </c>
      <c r="AQ447" s="76">
        <f t="shared" si="87"/>
        <v>0</v>
      </c>
      <c r="AR447" s="76">
        <f t="shared" si="88"/>
        <v>2.3738920573630953</v>
      </c>
      <c r="AS447" s="76">
        <f t="shared" si="89"/>
        <v>0</v>
      </c>
      <c r="AT447" s="76">
        <f t="shared" si="90"/>
        <v>0.33079309175684113</v>
      </c>
      <c r="AU447" s="76">
        <f t="shared" si="91"/>
        <v>48.75</v>
      </c>
      <c r="AV447" s="76">
        <f>MAX(0,(AU447-Constantes!$D$13)*(1-EXP(-Constantes!$D$24)))</f>
        <v>0</v>
      </c>
      <c r="AW447" s="170">
        <f>AW446+(Entradas!$E$112*AT447-AX446)/(800*Entradas!$D$25)</f>
        <v>0</v>
      </c>
      <c r="AX447" s="170">
        <f>8000*Entradas!$D$26*AW447/Constantes!$E$45</f>
        <v>0</v>
      </c>
      <c r="AY447" s="170">
        <f>IF(Escenarios!$E$17&gt;0,10*Escenarios!$E$16*AL447,0)</f>
        <v>0</v>
      </c>
      <c r="AZ447" s="170">
        <f>IF(Escenarios!$E$17&gt;0,10*Escenarios!$E$16*AX447,0)</f>
        <v>0</v>
      </c>
      <c r="BA447" s="170">
        <f>IF(Escenarios!$E$17&gt;0,0.001*Observaciones!$F446*Escenarios!$E$17,0)</f>
        <v>4</v>
      </c>
      <c r="BB447" s="170">
        <f>IF(Escenarios!$E$17&gt;0,Observaciones!$K446,0)</f>
        <v>0</v>
      </c>
      <c r="BC447" s="170">
        <f>IF(Escenarios!$E$17&gt;0,MIN(0.0005*ETo!$M446*Escenarios!$E$17*(BG446/Constantes!$E$40)^(2/3),BG446+AY447+AZ447+BA447+BB447),0)</f>
        <v>44.475828429374424</v>
      </c>
      <c r="BD447" s="170">
        <f>IF(Escenarios!$E$17&gt;0,MIN(Constantes!$E$39*(BG446/Constantes!$E$40)^(2/3),BG446+AY447+AZ447+BA447+BB447-BC447),0)</f>
        <v>77.618998623304151</v>
      </c>
      <c r="BE447" s="170">
        <f>IF(Escenarios!$E$17&gt;0,MIN(Entradas!$E$113,BG446+AY447+AZ447+BA447+BB447-BC447-BD447),0)</f>
        <v>1</v>
      </c>
      <c r="BF447" s="170">
        <f>IF(Escenarios!$E$17&gt;0,MAX(0,BG446+AY447+AZ447+BA447+BB447-BC447-BD447-BE447-Constantes!$E$40),0)</f>
        <v>0</v>
      </c>
      <c r="BG447" s="170">
        <f t="shared" si="96"/>
        <v>6252.172295503794</v>
      </c>
      <c r="BH447" s="170">
        <f>(Escenarios!$E$16*AK447+0.1*BC447)/(Escenarios!$E$19)</f>
        <v>2.1875792880364946</v>
      </c>
      <c r="BI447" s="170">
        <f>IF(Escenarios!$E$17&gt;0,BF447/10/Escenarios!$E$19,AL447)</f>
        <v>0</v>
      </c>
      <c r="BJ447" s="170">
        <f>(Escenarios!$E$16*AT447+0.1*BD447)/(Escenarios!$E$19)</f>
        <v>0.35896893968865357</v>
      </c>
      <c r="BK447" s="76">
        <f>BK446+(0.1*BD447)/(Escenarios!$E$19)-BL446</f>
        <v>50.429986049323325</v>
      </c>
      <c r="BL447" s="76">
        <f>MAX(0,(BK447-Constantes!$D$13)*(1-EXP(-Constantes!$D$23)))</f>
        <v>1.6553302685484755E-2</v>
      </c>
      <c r="BM447" s="76">
        <f t="shared" si="92"/>
        <v>1.4494947377784089</v>
      </c>
      <c r="BN447" s="76">
        <f t="shared" si="97"/>
        <v>2.39044536004858</v>
      </c>
      <c r="BO447" s="76">
        <f>0.0526*BI447*Observaciones!$F446^1.218</f>
        <v>0</v>
      </c>
      <c r="BP447" s="76">
        <f>BO447*Constantes!$E$51</f>
        <v>0</v>
      </c>
      <c r="BQ447" s="76">
        <f t="shared" si="93"/>
        <v>0</v>
      </c>
      <c r="BR447" s="40"/>
    </row>
    <row r="448" spans="1:70">
      <c r="A448" s="147"/>
      <c r="B448" s="39"/>
      <c r="C448" s="75">
        <v>442</v>
      </c>
      <c r="D448" s="146">
        <f>ETo!$I447*((1-Constantes!$E$19)*ETo!$K447+ETo!$L447)</f>
        <v>4.1409551284647392</v>
      </c>
      <c r="E448" s="76">
        <f>MIN(D448*Constantes!$E$17,0.8*(N447+Observaciones!$F447-F448-M448-Constantes!$D$14))</f>
        <v>2.0245639501026647</v>
      </c>
      <c r="F448" s="76">
        <f>IF(Observaciones!$F447&gt;0.05*Constantes!$E$18,((Observaciones!$F447-0.05*Constantes!$E$18)^2)/(Observaciones!$F447+0.95*Constantes!$E$18),0)</f>
        <v>0</v>
      </c>
      <c r="G448" s="76">
        <f>IF(Escenarios!$E$11&gt;0,(F448*Escenarios!$E$16*10000)/1000,0)</f>
        <v>0</v>
      </c>
      <c r="H448" s="76">
        <f>IF(Escenarios!$E$11&gt;0,(Observaciones!$F447*Constantes!$E$29)/1000,0)</f>
        <v>22</v>
      </c>
      <c r="I448" s="76">
        <f>IF(Escenarios!$E$11&gt;0,(D448*Constantes!$E$29)/1000,0)</f>
        <v>41.409551284647392</v>
      </c>
      <c r="J448" s="76">
        <f>IF(Escenarios!$E$11&gt;0,MAX(0,G448+H448-I448),0)</f>
        <v>0</v>
      </c>
      <c r="K448" s="76">
        <f>IF(Escenarios!$E$11&gt;0,IF(J448&gt;Constantes!$E$30,1000*((J448-Constantes!$E$30)/(Escenarios!$E$16*10000)),0),F448)</f>
        <v>0</v>
      </c>
      <c r="L448" s="76">
        <f>IF(Escenarios!$E$11&gt;0,I448*1000/Escenarios!$E$16/10000+E448,E448)</f>
        <v>2.0411277706165234</v>
      </c>
      <c r="M448" s="76">
        <f>MAX(0,N447+Observaciones!$F447-K448-Constantes!$D$13)</f>
        <v>0</v>
      </c>
      <c r="N448" s="76">
        <f>N447+Observaciones!$F447-K448-L448-M448-O447</f>
        <v>41.729711020107267</v>
      </c>
      <c r="O448" s="76">
        <f>MAX(0,(N448-Constantes!$D$14)*(1-EXP(-Constantes!$D$22)))</f>
        <v>1.0382508506546928</v>
      </c>
      <c r="P448" s="170">
        <f>P447+(Entradas!$E$83*M448-Q447)/(800*Entradas!$D$25)</f>
        <v>0</v>
      </c>
      <c r="Q448" s="170">
        <f>8000*Entradas!$D$26*P448/Constantes!$E$45</f>
        <v>0</v>
      </c>
      <c r="R448" s="170">
        <f>IF(Escenarios!$E$14&gt;0,K448*Escenarios!$E$13/Escenarios!$E$14,0)</f>
        <v>0</v>
      </c>
      <c r="S448" s="170">
        <f>IF(Escenarios!$E$14&gt;0,Q448*Escenarios!$E$13/Escenarios!$E$14,0)</f>
        <v>0</v>
      </c>
      <c r="T448" s="170">
        <f>IF(Escenarios!$E$14&gt;0,Observaciones!$I447,0)</f>
        <v>0</v>
      </c>
      <c r="U448" s="170">
        <f>IF(Escenarios!$E$14&gt;0,MAX(0,Constantes!$E$36/((Z447+R448+S448+T448+Observaciones!$F447)^2)+Entradas!$E$77),0)</f>
        <v>2.7462675400166554</v>
      </c>
      <c r="V448" s="146">
        <f>IF(ETo!D447&gt;0,ETo!I447*((1-Entradas!$E$81)*ETo!K447+ETo!L447),0)</f>
        <v>3.777996795305866</v>
      </c>
      <c r="W448" s="170">
        <f>IF(Escenarios!$E$14&gt;0,MIN(V448*1,0.8*(Z447+R448+S448+T448+Observaciones!$F447-U448-Constantes!$E$35)),0)</f>
        <v>3.777996795305866</v>
      </c>
      <c r="X448" s="170">
        <f>IF(Escenarios!$E$14&gt;0,Observaciones!$J447,0)</f>
        <v>0</v>
      </c>
      <c r="Y448" s="170">
        <f>IF(Escenarios!$E$14&gt;0,MAX(0,Z447+R448+S448+T448+Observaciones!$F447-U448-W448-X448-Constantes!$E$33),0)</f>
        <v>0</v>
      </c>
      <c r="Z448" s="170">
        <f>Z447+R448+S448+T448+Observaciones!$F447-U448-W448-Y448</f>
        <v>194.62964551413691</v>
      </c>
      <c r="AA448" s="170">
        <f>IF(Escenarios!$E$14&gt;0,(Escenarios!$E$13*L448+Escenarios!$E$14*W448)/(Escenarios!$E$16),L448)</f>
        <v>2.2495520535792441</v>
      </c>
      <c r="AB448" s="170">
        <f>IF(Escenarios!$E$14&gt;0,(Escenarios!$E$14*Y448)/(Escenarios!$E$16),K448)</f>
        <v>0</v>
      </c>
      <c r="AC448" s="170">
        <f>IF(Escenarios!$E$14&gt;0,(Escenarios!$E$13*M448+Escenarios!$E$14*U448)/(Escenarios!$E$16),M448)</f>
        <v>0.32955210480199865</v>
      </c>
      <c r="AD448" s="76">
        <f t="shared" si="85"/>
        <v>193.07508897358181</v>
      </c>
      <c r="AE448" s="76">
        <f>MAX(0,(AD448-Constantes!$D$13)*(1-EXP(-Constantes!$D$23)))</f>
        <v>1.4220694772147044</v>
      </c>
      <c r="AF448" s="76">
        <f>AB448+O448*Escenarios!$E$13/Escenarios!$E$16+AE448</f>
        <v>2.3357302257908339</v>
      </c>
      <c r="AG448" s="76">
        <f>IF(Entradas!$E$91&gt;0,IF(AF448-Escenarios!$E$38&lt;=0,0,IF(AF448-Escenarios!$E$38&gt;Escenarios!$E$37,Escenarios!$E$37,AF448-Escenarios!$E$38)),0)</f>
        <v>0</v>
      </c>
      <c r="AH448" s="76">
        <f>AG448*Entradas!$E$99</f>
        <v>0</v>
      </c>
      <c r="AI448" s="76">
        <f>IF(Entradas!$E$91&gt;0,D448*Entradas!$D$23/Escenarios!$E$16,0)</f>
        <v>0</v>
      </c>
      <c r="AJ448" s="76">
        <f>IF(Entradas!$E$91&gt;0,Entradas!$D$24*Entradas!$D$22/Escenarios!$E$16,0)</f>
        <v>0</v>
      </c>
      <c r="AK448" s="76">
        <f t="shared" si="94"/>
        <v>2.2495520535792441</v>
      </c>
      <c r="AL448" s="76">
        <f t="shared" si="95"/>
        <v>0</v>
      </c>
      <c r="AM448" s="76">
        <f t="shared" si="86"/>
        <v>0</v>
      </c>
      <c r="AN448" s="76">
        <f>MAX(0,O448*Escenarios!$E$13/Escenarios!$E$16-AM448)</f>
        <v>0.91366074857612967</v>
      </c>
      <c r="AO448" s="76">
        <f>AM448+AN448-O448*Escenarios!$E$13/Escenarios!$E$16</f>
        <v>0</v>
      </c>
      <c r="AP448" s="76">
        <f t="shared" si="84"/>
        <v>1.4220694772147044</v>
      </c>
      <c r="AQ448" s="76">
        <f t="shared" si="87"/>
        <v>0</v>
      </c>
      <c r="AR448" s="76">
        <f t="shared" si="88"/>
        <v>2.3357302257908339</v>
      </c>
      <c r="AS448" s="76">
        <f t="shared" si="89"/>
        <v>0</v>
      </c>
      <c r="AT448" s="76">
        <f t="shared" si="90"/>
        <v>0.32955210480199865</v>
      </c>
      <c r="AU448" s="76">
        <f t="shared" si="91"/>
        <v>48.75</v>
      </c>
      <c r="AV448" s="76">
        <f>MAX(0,(AU448-Constantes!$D$13)*(1-EXP(-Constantes!$D$24)))</f>
        <v>0</v>
      </c>
      <c r="AW448" s="170">
        <f>AW447+(Entradas!$E$112*AT448-AX447)/(800*Entradas!$D$25)</f>
        <v>0</v>
      </c>
      <c r="AX448" s="170">
        <f>8000*Entradas!$D$26*AW448/Constantes!$E$45</f>
        <v>0</v>
      </c>
      <c r="AY448" s="170">
        <f>IF(Escenarios!$E$17&gt;0,10*Escenarios!$E$16*AL448,0)</f>
        <v>0</v>
      </c>
      <c r="AZ448" s="170">
        <f>IF(Escenarios!$E$17&gt;0,10*Escenarios!$E$16*AX448,0)</f>
        <v>0</v>
      </c>
      <c r="BA448" s="170">
        <f>IF(Escenarios!$E$17&gt;0,0.001*Observaciones!$F447*Escenarios!$E$17,0)</f>
        <v>44</v>
      </c>
      <c r="BB448" s="170">
        <f>IF(Escenarios!$E$17&gt;0,Observaciones!$K447,0)</f>
        <v>9.8238347283588343</v>
      </c>
      <c r="BC448" s="170">
        <f>IF(Escenarios!$E$17&gt;0,MIN(0.0005*ETo!$M447*Escenarios!$E$17*(BG447/Constantes!$E$40)^(2/3),BG447+AY448+AZ448+BA448+BB448),0)</f>
        <v>45.14685699261392</v>
      </c>
      <c r="BD448" s="170">
        <f>IF(Escenarios!$E$17&gt;0,MIN(Constantes!$E$39*(BG447/Constantes!$E$40)^(2/3),BG447+AY448+AZ448+BA448+BB448-BC448),0)</f>
        <v>76.648698483298986</v>
      </c>
      <c r="BE448" s="170">
        <f>IF(Escenarios!$E$17&gt;0,MIN(Entradas!$E$113,BG447+AY448+AZ448+BA448+BB448-BC448-BD448),0)</f>
        <v>1</v>
      </c>
      <c r="BF448" s="170">
        <f>IF(Escenarios!$E$17&gt;0,MAX(0,BG447+AY448+AZ448+BA448+BB448-BC448-BD448-BE448-Constantes!$E$40),0)</f>
        <v>0</v>
      </c>
      <c r="BG448" s="170">
        <f t="shared" si="96"/>
        <v>6183.2005747562398</v>
      </c>
      <c r="BH448" s="170">
        <f>(Escenarios!$E$16*AK448+0.1*BC448)/(Escenarios!$E$19)</f>
        <v>2.2496138852939382</v>
      </c>
      <c r="BI448" s="170">
        <f>IF(Escenarios!$E$17&gt;0,BF448/10/Escenarios!$E$19,AL448)</f>
        <v>0</v>
      </c>
      <c r="BJ448" s="170">
        <f>(Escenarios!$E$16*AT448+0.1*BD448)/(Escenarios!$E$19)</f>
        <v>0.35735276209853001</v>
      </c>
      <c r="BK448" s="76">
        <f>BK447+(0.1*BD448)/(Escenarios!$E$19)-BL447</f>
        <v>50.443848896829621</v>
      </c>
      <c r="BL448" s="76">
        <f>MAX(0,(BK448-Constantes!$D$13)*(1-EXP(-Constantes!$D$23)))</f>
        <v>1.6689896623837318E-2</v>
      </c>
      <c r="BM448" s="76">
        <f t="shared" si="92"/>
        <v>1.4387593738385418</v>
      </c>
      <c r="BN448" s="76">
        <f t="shared" si="97"/>
        <v>2.3524201224146712</v>
      </c>
      <c r="BO448" s="76">
        <f>0.0526*BI448*Observaciones!$F447^1.218</f>
        <v>0</v>
      </c>
      <c r="BP448" s="76">
        <f>BO448*Constantes!$E$51</f>
        <v>0</v>
      </c>
      <c r="BQ448" s="76">
        <f t="shared" si="93"/>
        <v>0</v>
      </c>
      <c r="BR448" s="40"/>
    </row>
    <row r="449" spans="1:70">
      <c r="A449" s="147"/>
      <c r="B449" s="39"/>
      <c r="C449" s="75">
        <v>443</v>
      </c>
      <c r="D449" s="146">
        <f>ETo!$I448*((1-Constantes!$E$19)*ETo!$K448+ETo!$L448)</f>
        <v>4.1783306989014086</v>
      </c>
      <c r="E449" s="76">
        <f>MIN(D449*Constantes!$E$17,0.8*(N448+Observaciones!$F448-F449-M449-Constantes!$D$14))</f>
        <v>2.0428373266964988</v>
      </c>
      <c r="F449" s="76">
        <f>IF(Observaciones!$F448&gt;0.05*Constantes!$E$18,((Observaciones!$F448-0.05*Constantes!$E$18)^2)/(Observaciones!$F448+0.95*Constantes!$E$18),0)</f>
        <v>0</v>
      </c>
      <c r="G449" s="76">
        <f>IF(Escenarios!$E$11&gt;0,(F449*Escenarios!$E$16*10000)/1000,0)</f>
        <v>0</v>
      </c>
      <c r="H449" s="76">
        <f>IF(Escenarios!$E$11&gt;0,(Observaciones!$F448*Constantes!$E$29)/1000,0)</f>
        <v>2</v>
      </c>
      <c r="I449" s="76">
        <f>IF(Escenarios!$E$11&gt;0,(D449*Constantes!$E$29)/1000,0)</f>
        <v>41.783306989014086</v>
      </c>
      <c r="J449" s="76">
        <f>IF(Escenarios!$E$11&gt;0,MAX(0,G449+H449-I449),0)</f>
        <v>0</v>
      </c>
      <c r="K449" s="76">
        <f>IF(Escenarios!$E$11&gt;0,IF(J449&gt;Constantes!$E$30,1000*((J449-Constantes!$E$30)/(Escenarios!$E$16*10000)),0),F449)</f>
        <v>0</v>
      </c>
      <c r="L449" s="76">
        <f>IF(Escenarios!$E$11&gt;0,I449*1000/Escenarios!$E$16/10000+E449,E449)</f>
        <v>2.0595506494921043</v>
      </c>
      <c r="M449" s="76">
        <f>MAX(0,N448+Observaciones!$F448-K449-Constantes!$D$13)</f>
        <v>0</v>
      </c>
      <c r="N449" s="76">
        <f>N448+Observaciones!$F448-K449-L449-M449-O448</f>
        <v>38.831909519960476</v>
      </c>
      <c r="O449" s="76">
        <f>MAX(0,(N449-Constantes!$D$14)*(1-EXP(-Constantes!$D$22)))</f>
        <v>0.93954109351260351</v>
      </c>
      <c r="P449" s="170">
        <f>P448+(Entradas!$E$83*M449-Q448)/(800*Entradas!$D$25)</f>
        <v>0</v>
      </c>
      <c r="Q449" s="170">
        <f>8000*Entradas!$D$26*P449/Constantes!$E$45</f>
        <v>0</v>
      </c>
      <c r="R449" s="170">
        <f>IF(Escenarios!$E$14&gt;0,K449*Escenarios!$E$13/Escenarios!$E$14,0)</f>
        <v>0</v>
      </c>
      <c r="S449" s="170">
        <f>IF(Escenarios!$E$14&gt;0,Q449*Escenarios!$E$13/Escenarios!$E$14,0)</f>
        <v>0</v>
      </c>
      <c r="T449" s="170">
        <f>IF(Escenarios!$E$14&gt;0,Observaciones!$I448,0)</f>
        <v>0</v>
      </c>
      <c r="U449" s="170">
        <f>IF(Escenarios!$E$14&gt;0,MAX(0,Constantes!$E$36/((Z448+R449+S449+T449+Observaciones!$F448)^2)+Entradas!$E$77),0)</f>
        <v>2.7295276302038252</v>
      </c>
      <c r="V449" s="146">
        <f>IF(ETo!D448&gt;0,ETo!I448*((1-Entradas!$E$81)*ETo!K448+ETo!L448),0)</f>
        <v>3.8125282748707705</v>
      </c>
      <c r="W449" s="170">
        <f>IF(Escenarios!$E$14&gt;0,MIN(V449*1,0.8*(Z448+R449+S449+T449+Observaciones!$F448-U449-Constantes!$E$35)),0)</f>
        <v>3.8125282748707705</v>
      </c>
      <c r="X449" s="170">
        <f>IF(Escenarios!$E$14&gt;0,Observaciones!$J448,0)</f>
        <v>0</v>
      </c>
      <c r="Y449" s="170">
        <f>IF(Escenarios!$E$14&gt;0,MAX(0,Z448+R449+S449+T449+Observaciones!$F448-U449-W449-X449-Constantes!$E$33),0)</f>
        <v>0</v>
      </c>
      <c r="Z449" s="170">
        <f>Z448+R449+S449+T449+Observaciones!$F448-U449-W449-Y449</f>
        <v>188.28758960906231</v>
      </c>
      <c r="AA449" s="170">
        <f>IF(Escenarios!$E$14&gt;0,(Escenarios!$E$13*L449+Escenarios!$E$14*W449)/(Escenarios!$E$16),L449)</f>
        <v>2.269907964537544</v>
      </c>
      <c r="AB449" s="170">
        <f>IF(Escenarios!$E$14&gt;0,(Escenarios!$E$14*Y449)/(Escenarios!$E$16),K449)</f>
        <v>0</v>
      </c>
      <c r="AC449" s="170">
        <f>IF(Escenarios!$E$14&gt;0,(Escenarios!$E$13*M449+Escenarios!$E$14*U449)/(Escenarios!$E$16),M449)</f>
        <v>0.32754331562445899</v>
      </c>
      <c r="AD449" s="76">
        <f t="shared" si="85"/>
        <v>191.98056281199158</v>
      </c>
      <c r="AE449" s="76">
        <f>MAX(0,(AD449-Constantes!$D$13)*(1-EXP(-Constantes!$D$23)))</f>
        <v>1.411284850248735</v>
      </c>
      <c r="AF449" s="76">
        <f>AB449+O449*Escenarios!$E$13/Escenarios!$E$16+AE449</f>
        <v>2.2380810125398258</v>
      </c>
      <c r="AG449" s="76">
        <f>IF(Entradas!$E$91&gt;0,IF(AF449-Escenarios!$E$38&lt;=0,0,IF(AF449-Escenarios!$E$38&gt;Escenarios!$E$37,Escenarios!$E$37,AF449-Escenarios!$E$38)),0)</f>
        <v>0</v>
      </c>
      <c r="AH449" s="76">
        <f>AG449*Entradas!$E$99</f>
        <v>0</v>
      </c>
      <c r="AI449" s="76">
        <f>IF(Entradas!$E$91&gt;0,D449*Entradas!$D$23/Escenarios!$E$16,0)</f>
        <v>0</v>
      </c>
      <c r="AJ449" s="76">
        <f>IF(Entradas!$E$91&gt;0,Entradas!$D$24*Entradas!$D$22/Escenarios!$E$16,0)</f>
        <v>0</v>
      </c>
      <c r="AK449" s="76">
        <f t="shared" si="94"/>
        <v>2.269907964537544</v>
      </c>
      <c r="AL449" s="76">
        <f t="shared" si="95"/>
        <v>0</v>
      </c>
      <c r="AM449" s="76">
        <f t="shared" si="86"/>
        <v>0</v>
      </c>
      <c r="AN449" s="76">
        <f>MAX(0,O449*Escenarios!$E$13/Escenarios!$E$16-AM449)</f>
        <v>0.82679616229109099</v>
      </c>
      <c r="AO449" s="76">
        <f>AM449+AN449-O449*Escenarios!$E$13/Escenarios!$E$16</f>
        <v>0</v>
      </c>
      <c r="AP449" s="76">
        <f t="shared" si="84"/>
        <v>1.411284850248735</v>
      </c>
      <c r="AQ449" s="76">
        <f t="shared" si="87"/>
        <v>0</v>
      </c>
      <c r="AR449" s="76">
        <f t="shared" si="88"/>
        <v>2.2380810125398258</v>
      </c>
      <c r="AS449" s="76">
        <f t="shared" si="89"/>
        <v>0</v>
      </c>
      <c r="AT449" s="76">
        <f t="shared" si="90"/>
        <v>0.32754331562445899</v>
      </c>
      <c r="AU449" s="76">
        <f t="shared" si="91"/>
        <v>48.75</v>
      </c>
      <c r="AV449" s="76">
        <f>MAX(0,(AU449-Constantes!$D$13)*(1-EXP(-Constantes!$D$24)))</f>
        <v>0</v>
      </c>
      <c r="AW449" s="170">
        <f>AW448+(Entradas!$E$112*AT449-AX448)/(800*Entradas!$D$25)</f>
        <v>0</v>
      </c>
      <c r="AX449" s="170">
        <f>8000*Entradas!$D$26*AW449/Constantes!$E$45</f>
        <v>0</v>
      </c>
      <c r="AY449" s="170">
        <f>IF(Escenarios!$E$17&gt;0,10*Escenarios!$E$16*AL449,0)</f>
        <v>0</v>
      </c>
      <c r="AZ449" s="170">
        <f>IF(Escenarios!$E$17&gt;0,10*Escenarios!$E$16*AX449,0)</f>
        <v>0</v>
      </c>
      <c r="BA449" s="170">
        <f>IF(Escenarios!$E$17&gt;0,0.001*Observaciones!$F448*Escenarios!$E$17,0)</f>
        <v>4</v>
      </c>
      <c r="BB449" s="170">
        <f>IF(Escenarios!$E$17&gt;0,Observaciones!$K448,0)</f>
        <v>400.56127797327457</v>
      </c>
      <c r="BC449" s="170">
        <f>IF(Escenarios!$E$17&gt;0,MIN(0.0005*ETo!$M448*Escenarios!$E$17*(BG448/Constantes!$E$40)^(2/3),BG448+AY449+AZ449+BA449+BB449),0)</f>
        <v>45.212236292733856</v>
      </c>
      <c r="BD449" s="170">
        <f>IF(Escenarios!$E$17&gt;0,MIN(Constantes!$E$39*(BG448/Constantes!$E$40)^(2/3),BG448+AY449+AZ449+BA449+BB449-BC449),0)</f>
        <v>76.083949645295519</v>
      </c>
      <c r="BE449" s="170">
        <f>IF(Escenarios!$E$17&gt;0,MIN(Entradas!$E$113,BG448+AY449+AZ449+BA449+BB449-BC449-BD449),0)</f>
        <v>1</v>
      </c>
      <c r="BF449" s="170">
        <f>IF(Escenarios!$E$17&gt;0,MAX(0,BG448+AY449+AZ449+BA449+BB449-BC449-BD449-BE449-Constantes!$E$40),0)</f>
        <v>0</v>
      </c>
      <c r="BG449" s="170">
        <f t="shared" si="96"/>
        <v>6465.4656667914851</v>
      </c>
      <c r="BH449" s="170">
        <f>(Escenarios!$E$16*AK449+0.1*BC449)/(Escenarios!$E$19)</f>
        <v>2.2698341855700774</v>
      </c>
      <c r="BI449" s="170">
        <f>IF(Escenarios!$E$17&gt;0,BF449/10/Escenarios!$E$19,AL449)</f>
        <v>0</v>
      </c>
      <c r="BJ449" s="170">
        <f>(Escenarios!$E$16*AT449+0.1*BD449)/(Escenarios!$E$19)</f>
        <v>0.3551358090104933</v>
      </c>
      <c r="BK449" s="76">
        <f>BK448+(0.1*BD449)/(Escenarios!$E$19)-BL448</f>
        <v>50.457351043715825</v>
      </c>
      <c r="BL449" s="76">
        <f>MAX(0,(BK449-Constantes!$D$13)*(1-EXP(-Constantes!$D$23)))</f>
        <v>1.6822936493067913E-2</v>
      </c>
      <c r="BM449" s="76">
        <f t="shared" si="92"/>
        <v>1.4281077867418028</v>
      </c>
      <c r="BN449" s="76">
        <f t="shared" si="97"/>
        <v>2.2549039490328937</v>
      </c>
      <c r="BO449" s="76">
        <f>0.0526*BI449*Observaciones!$F448^1.218</f>
        <v>0</v>
      </c>
      <c r="BP449" s="76">
        <f>BO449*Constantes!$E$51</f>
        <v>0</v>
      </c>
      <c r="BQ449" s="76">
        <f t="shared" si="93"/>
        <v>0</v>
      </c>
      <c r="BR449" s="40"/>
    </row>
    <row r="450" spans="1:70">
      <c r="A450" s="147"/>
      <c r="B450" s="39"/>
      <c r="C450" s="75">
        <v>444</v>
      </c>
      <c r="D450" s="146">
        <f>ETo!$I449*((1-Constantes!$E$19)*ETo!$K449+ETo!$L449)</f>
        <v>4.0926859917856548</v>
      </c>
      <c r="E450" s="76">
        <f>MIN(D450*Constantes!$E$17,0.8*(N449+Observaciones!$F449-F450-M450-Constantes!$D$14))</f>
        <v>2.0009645748398657</v>
      </c>
      <c r="F450" s="76">
        <f>IF(Observaciones!$F449&gt;0.05*Constantes!$E$18,((Observaciones!$F449-0.05*Constantes!$E$18)^2)/(Observaciones!$F449+0.95*Constantes!$E$18),0)</f>
        <v>0</v>
      </c>
      <c r="G450" s="76">
        <f>IF(Escenarios!$E$11&gt;0,(F450*Escenarios!$E$16*10000)/1000,0)</f>
        <v>0</v>
      </c>
      <c r="H450" s="76">
        <f>IF(Escenarios!$E$11&gt;0,(Observaciones!$F449*Constantes!$E$29)/1000,0)</f>
        <v>36</v>
      </c>
      <c r="I450" s="76">
        <f>IF(Escenarios!$E$11&gt;0,(D450*Constantes!$E$29)/1000,0)</f>
        <v>40.926859917856547</v>
      </c>
      <c r="J450" s="76">
        <f>IF(Escenarios!$E$11&gt;0,MAX(0,G450+H450-I450),0)</f>
        <v>0</v>
      </c>
      <c r="K450" s="76">
        <f>IF(Escenarios!$E$11&gt;0,IF(J450&gt;Constantes!$E$30,1000*((J450-Constantes!$E$30)/(Escenarios!$E$16*10000)),0),F450)</f>
        <v>0</v>
      </c>
      <c r="L450" s="76">
        <f>IF(Escenarios!$E$11&gt;0,I450*1000/Escenarios!$E$16/10000+E450,E450)</f>
        <v>2.0173353188070084</v>
      </c>
      <c r="M450" s="76">
        <f>MAX(0,N449+Observaciones!$F449-K450-Constantes!$D$13)</f>
        <v>0</v>
      </c>
      <c r="N450" s="76">
        <f>N449+Observaciones!$F449-K450-L450-M450-O449</f>
        <v>39.475033107640868</v>
      </c>
      <c r="O450" s="76">
        <f>MAX(0,(N450-Constantes!$D$14)*(1-EXP(-Constantes!$D$22)))</f>
        <v>0.96144824386402161</v>
      </c>
      <c r="P450" s="170">
        <f>P449+(Entradas!$E$83*M450-Q449)/(800*Entradas!$D$25)</f>
        <v>0</v>
      </c>
      <c r="Q450" s="170">
        <f>8000*Entradas!$D$26*P450/Constantes!$E$45</f>
        <v>0</v>
      </c>
      <c r="R450" s="170">
        <f>IF(Escenarios!$E$14&gt;0,K450*Escenarios!$E$13/Escenarios!$E$14,0)</f>
        <v>0</v>
      </c>
      <c r="S450" s="170">
        <f>IF(Escenarios!$E$14&gt;0,Q450*Escenarios!$E$13/Escenarios!$E$14,0)</f>
        <v>0</v>
      </c>
      <c r="T450" s="170">
        <f>IF(Escenarios!$E$14&gt;0,Observaciones!$I449,0)</f>
        <v>0</v>
      </c>
      <c r="U450" s="170">
        <f>IF(Escenarios!$E$14&gt;0,MAX(0,Constantes!$E$36/((Z449+R450+S450+T450+Observaciones!$F449)^2)+Entradas!$E$77),0)</f>
        <v>2.7211701841845044</v>
      </c>
      <c r="V450" s="146">
        <f>IF(ETo!D449&gt;0,ETo!I449*((1-Entradas!$E$81)*ETo!K449+ETo!L449),0)</f>
        <v>3.7330143003015346</v>
      </c>
      <c r="W450" s="170">
        <f>IF(Escenarios!$E$14&gt;0,MIN(V450*1,0.8*(Z449+R450+S450+T450+Observaciones!$F449-U450-Constantes!$E$35)),0)</f>
        <v>3.7330143003015346</v>
      </c>
      <c r="X450" s="170">
        <f>IF(Escenarios!$E$14&gt;0,Observaciones!$J449,0)</f>
        <v>0</v>
      </c>
      <c r="Y450" s="170">
        <f>IF(Escenarios!$E$14&gt;0,MAX(0,Z449+R450+S450+T450+Observaciones!$F449-U450-W450-X450-Constantes!$E$33),0)</f>
        <v>0</v>
      </c>
      <c r="Z450" s="170">
        <f>Z449+R450+S450+T450+Observaciones!$F449-U450-W450-Y450</f>
        <v>185.43340512457627</v>
      </c>
      <c r="AA450" s="170">
        <f>IF(Escenarios!$E$14&gt;0,(Escenarios!$E$13*L450+Escenarios!$E$14*W450)/(Escenarios!$E$16),L450)</f>
        <v>2.2232167965863514</v>
      </c>
      <c r="AB450" s="170">
        <f>IF(Escenarios!$E$14&gt;0,(Escenarios!$E$14*Y450)/(Escenarios!$E$16),K450)</f>
        <v>0</v>
      </c>
      <c r="AC450" s="170">
        <f>IF(Escenarios!$E$14&gt;0,(Escenarios!$E$13*M450+Escenarios!$E$14*U450)/(Escenarios!$E$16),M450)</f>
        <v>0.32654042210214057</v>
      </c>
      <c r="AD450" s="76">
        <f t="shared" si="85"/>
        <v>190.89581838384498</v>
      </c>
      <c r="AE450" s="76">
        <f>MAX(0,(AD450-Constantes!$D$13)*(1-EXP(-Constantes!$D$23)))</f>
        <v>1.4005966050322129</v>
      </c>
      <c r="AF450" s="76">
        <f>AB450+O450*Escenarios!$E$13/Escenarios!$E$16+AE450</f>
        <v>2.2466710596325519</v>
      </c>
      <c r="AG450" s="76">
        <f>IF(Entradas!$E$91&gt;0,IF(AF450-Escenarios!$E$38&lt;=0,0,IF(AF450-Escenarios!$E$38&gt;Escenarios!$E$37,Escenarios!$E$37,AF450-Escenarios!$E$38)),0)</f>
        <v>0</v>
      </c>
      <c r="AH450" s="76">
        <f>AG450*Entradas!$E$99</f>
        <v>0</v>
      </c>
      <c r="AI450" s="76">
        <f>IF(Entradas!$E$91&gt;0,D450*Entradas!$D$23/Escenarios!$E$16,0)</f>
        <v>0</v>
      </c>
      <c r="AJ450" s="76">
        <f>IF(Entradas!$E$91&gt;0,Entradas!$D$24*Entradas!$D$22/Escenarios!$E$16,0)</f>
        <v>0</v>
      </c>
      <c r="AK450" s="76">
        <f t="shared" si="94"/>
        <v>2.2232167965863514</v>
      </c>
      <c r="AL450" s="76">
        <f t="shared" si="95"/>
        <v>0</v>
      </c>
      <c r="AM450" s="76">
        <f t="shared" si="86"/>
        <v>0</v>
      </c>
      <c r="AN450" s="76">
        <f>MAX(0,O450*Escenarios!$E$13/Escenarios!$E$16-AM450)</f>
        <v>0.84607445460033903</v>
      </c>
      <c r="AO450" s="76">
        <f>AM450+AN450-O450*Escenarios!$E$13/Escenarios!$E$16</f>
        <v>0</v>
      </c>
      <c r="AP450" s="76">
        <f t="shared" si="84"/>
        <v>1.4005966050322129</v>
      </c>
      <c r="AQ450" s="76">
        <f t="shared" si="87"/>
        <v>0</v>
      </c>
      <c r="AR450" s="76">
        <f t="shared" si="88"/>
        <v>2.2466710596325519</v>
      </c>
      <c r="AS450" s="76">
        <f t="shared" si="89"/>
        <v>0</v>
      </c>
      <c r="AT450" s="76">
        <f t="shared" si="90"/>
        <v>0.32654042210214057</v>
      </c>
      <c r="AU450" s="76">
        <f t="shared" si="91"/>
        <v>48.75</v>
      </c>
      <c r="AV450" s="76">
        <f>MAX(0,(AU450-Constantes!$D$13)*(1-EXP(-Constantes!$D$24)))</f>
        <v>0</v>
      </c>
      <c r="AW450" s="170">
        <f>AW449+(Entradas!$E$112*AT450-AX449)/(800*Entradas!$D$25)</f>
        <v>0</v>
      </c>
      <c r="AX450" s="170">
        <f>8000*Entradas!$D$26*AW450/Constantes!$E$45</f>
        <v>0</v>
      </c>
      <c r="AY450" s="170">
        <f>IF(Escenarios!$E$17&gt;0,10*Escenarios!$E$16*AL450,0)</f>
        <v>0</v>
      </c>
      <c r="AZ450" s="170">
        <f>IF(Escenarios!$E$17&gt;0,10*Escenarios!$E$16*AX450,0)</f>
        <v>0</v>
      </c>
      <c r="BA450" s="170">
        <f>IF(Escenarios!$E$17&gt;0,0.001*Observaciones!$F449*Escenarios!$E$17,0)</f>
        <v>72</v>
      </c>
      <c r="BB450" s="170">
        <f>IF(Escenarios!$E$17&gt;0,Observaciones!$K449,0)</f>
        <v>343.55264240530244</v>
      </c>
      <c r="BC450" s="170">
        <f>IF(Escenarios!$E$17&gt;0,MIN(0.0005*ETo!$M449*Escenarios!$E$17*(BG449/Constantes!$E$40)^(2/3),BG449+AY450+AZ450+BA450+BB450),0)</f>
        <v>45.644297612308186</v>
      </c>
      <c r="BD450" s="170">
        <f>IF(Escenarios!$E$17&gt;0,MIN(Constantes!$E$39*(BG449/Constantes!$E$40)^(2/3),BG449+AY450+AZ450+BA450+BB450-BC450),0)</f>
        <v>78.382185081464101</v>
      </c>
      <c r="BE450" s="170">
        <f>IF(Escenarios!$E$17&gt;0,MIN(Entradas!$E$113,BG449+AY450+AZ450+BA450+BB450-BC450-BD450),0)</f>
        <v>1</v>
      </c>
      <c r="BF450" s="170">
        <f>IF(Escenarios!$E$17&gt;0,MAX(0,BG449+AY450+AZ450+BA450+BB450-BC450-BD450-BE450-Constantes!$E$40),0)</f>
        <v>89.325159836348575</v>
      </c>
      <c r="BG450" s="170">
        <f t="shared" si="96"/>
        <v>6666.666666666667</v>
      </c>
      <c r="BH450" s="170">
        <f>(Escenarios!$E$16*AK450+0.1*BC450)/(Escenarios!$E$19)</f>
        <v>2.2236850353484869</v>
      </c>
      <c r="BI450" s="170">
        <f>IF(Escenarios!$E$17&gt;0,BF450/10/Escenarios!$E$19,AL450)</f>
        <v>3.5446491998551023E-2</v>
      </c>
      <c r="BJ450" s="170">
        <f>(Escenarios!$E$16*AT450+0.1*BD450)/(Escenarios!$E$19)</f>
        <v>0.35505287314952994</v>
      </c>
      <c r="BK450" s="76">
        <f>BK449+(0.1*BD450)/(Escenarios!$E$19)-BL449</f>
        <v>50.471632148921749</v>
      </c>
      <c r="BL450" s="76">
        <f>MAX(0,(BK450-Constantes!$D$13)*(1-EXP(-Constantes!$D$23)))</f>
        <v>1.6963651624156136E-2</v>
      </c>
      <c r="BM450" s="76">
        <f t="shared" si="92"/>
        <v>1.417560256656369</v>
      </c>
      <c r="BN450" s="76">
        <f t="shared" si="97"/>
        <v>2.299081203255259</v>
      </c>
      <c r="BO450" s="76">
        <f>0.0526*BI450*Observaciones!$F449^1.218</f>
        <v>8.8743274862988393E-3</v>
      </c>
      <c r="BP450" s="76">
        <f>BO450*Constantes!$E$51</f>
        <v>1.0813584234106548E-4</v>
      </c>
      <c r="BQ450" s="76">
        <f t="shared" si="93"/>
        <v>4.7034372769416066</v>
      </c>
      <c r="BR450" s="40"/>
    </row>
    <row r="451" spans="1:70">
      <c r="A451" s="147"/>
      <c r="B451" s="39"/>
      <c r="C451" s="75">
        <v>445</v>
      </c>
      <c r="D451" s="146">
        <f>ETo!$I450*((1-Constantes!$E$19)*ETo!$K450+ETo!$L450)</f>
        <v>3.9443468586289687</v>
      </c>
      <c r="E451" s="76">
        <f>MIN(D451*Constantes!$E$17,0.8*(N450+Observaciones!$F450-F451-M451-Constantes!$D$14))</f>
        <v>1.9284397461320861</v>
      </c>
      <c r="F451" s="76">
        <f>IF(Observaciones!$F450&gt;0.05*Constantes!$E$18,((Observaciones!$F450-0.05*Constantes!$E$18)^2)/(Observaciones!$F450+0.95*Constantes!$E$18),0)</f>
        <v>0</v>
      </c>
      <c r="G451" s="76">
        <f>IF(Escenarios!$E$11&gt;0,(F451*Escenarios!$E$16*10000)/1000,0)</f>
        <v>0</v>
      </c>
      <c r="H451" s="76">
        <f>IF(Escenarios!$E$11&gt;0,(Observaciones!$F450*Constantes!$E$29)/1000,0)</f>
        <v>0</v>
      </c>
      <c r="I451" s="76">
        <f>IF(Escenarios!$E$11&gt;0,(D451*Constantes!$E$29)/1000,0)</f>
        <v>39.44346858628969</v>
      </c>
      <c r="J451" s="76">
        <f>IF(Escenarios!$E$11&gt;0,MAX(0,G451+H451-I451),0)</f>
        <v>0</v>
      </c>
      <c r="K451" s="76">
        <f>IF(Escenarios!$E$11&gt;0,IF(J451&gt;Constantes!$E$30,1000*((J451-Constantes!$E$30)/(Escenarios!$E$16*10000)),0),F451)</f>
        <v>0</v>
      </c>
      <c r="L451" s="76">
        <f>IF(Escenarios!$E$11&gt;0,I451*1000/Escenarios!$E$16/10000+E451,E451)</f>
        <v>1.9442171335666021</v>
      </c>
      <c r="M451" s="76">
        <f>MAX(0,N450+Observaciones!$F450-K451-Constantes!$D$13)</f>
        <v>0</v>
      </c>
      <c r="N451" s="76">
        <f>N450+Observaciones!$F450-K451-L451-M451-O450</f>
        <v>36.569367730210246</v>
      </c>
      <c r="O451" s="76">
        <f>MAX(0,(N451-Constantes!$D$14)*(1-EXP(-Constantes!$D$22)))</f>
        <v>0.8624706141927605</v>
      </c>
      <c r="P451" s="170">
        <f>P450+(Entradas!$E$83*M451-Q450)/(800*Entradas!$D$25)</f>
        <v>0</v>
      </c>
      <c r="Q451" s="170">
        <f>8000*Entradas!$D$26*P451/Constantes!$E$45</f>
        <v>0</v>
      </c>
      <c r="R451" s="170">
        <f>IF(Escenarios!$E$14&gt;0,K451*Escenarios!$E$13/Escenarios!$E$14,0)</f>
        <v>0</v>
      </c>
      <c r="S451" s="170">
        <f>IF(Escenarios!$E$14&gt;0,Q451*Escenarios!$E$13/Escenarios!$E$14,0)</f>
        <v>0</v>
      </c>
      <c r="T451" s="170">
        <f>IF(Escenarios!$E$14&gt;0,Observaciones!$I450,0)</f>
        <v>0</v>
      </c>
      <c r="U451" s="170">
        <f>IF(Escenarios!$E$14&gt;0,MAX(0,Constantes!$E$36/((Z450+R451+S451+T451+Observaciones!$F450)^2)+Entradas!$E$77),0)</f>
        <v>2.7014225255681246</v>
      </c>
      <c r="V451" s="146">
        <f>IF(ETo!D450&gt;0,ETo!I450*((1-Entradas!$E$81)*ETo!K450+ETo!L450),0)</f>
        <v>3.5957558916423906</v>
      </c>
      <c r="W451" s="170">
        <f>IF(Escenarios!$E$14&gt;0,MIN(V451*1,0.8*(Z450+R451+S451+T451+Observaciones!$F450-U451-Constantes!$E$35)),0)</f>
        <v>3.5957558916423906</v>
      </c>
      <c r="X451" s="170">
        <f>IF(Escenarios!$E$14&gt;0,Observaciones!$J450,0)</f>
        <v>0</v>
      </c>
      <c r="Y451" s="170">
        <f>IF(Escenarios!$E$14&gt;0,MAX(0,Z450+R451+S451+T451+Observaciones!$F450-U451-W451-X451-Constantes!$E$33),0)</f>
        <v>0</v>
      </c>
      <c r="Z451" s="170">
        <f>Z450+R451+S451+T451+Observaciones!$F450-U451-W451-Y451</f>
        <v>179.13622670736575</v>
      </c>
      <c r="AA451" s="170">
        <f>IF(Escenarios!$E$14&gt;0,(Escenarios!$E$13*L451+Escenarios!$E$14*W451)/(Escenarios!$E$16),L451)</f>
        <v>2.1424017845356964</v>
      </c>
      <c r="AB451" s="170">
        <f>IF(Escenarios!$E$14&gt;0,(Escenarios!$E$14*Y451)/(Escenarios!$E$16),K451)</f>
        <v>0</v>
      </c>
      <c r="AC451" s="170">
        <f>IF(Escenarios!$E$14&gt;0,(Escenarios!$E$13*M451+Escenarios!$E$14*U451)/(Escenarios!$E$16),M451)</f>
        <v>0.32417070306817491</v>
      </c>
      <c r="AD451" s="76">
        <f t="shared" si="85"/>
        <v>189.81939248188095</v>
      </c>
      <c r="AE451" s="76">
        <f>MAX(0,(AD451-Constantes!$D$13)*(1-EXP(-Constantes!$D$23)))</f>
        <v>1.3899903242354865</v>
      </c>
      <c r="AF451" s="76">
        <f>AB451+O451*Escenarios!$E$13/Escenarios!$E$16+AE451</f>
        <v>2.1489644647251156</v>
      </c>
      <c r="AG451" s="76">
        <f>IF(Entradas!$E$91&gt;0,IF(AF451-Escenarios!$E$38&lt;=0,0,IF(AF451-Escenarios!$E$38&gt;Escenarios!$E$37,Escenarios!$E$37,AF451-Escenarios!$E$38)),0)</f>
        <v>0</v>
      </c>
      <c r="AH451" s="76">
        <f>AG451*Entradas!$E$99</f>
        <v>0</v>
      </c>
      <c r="AI451" s="76">
        <f>IF(Entradas!$E$91&gt;0,D451*Entradas!$D$23/Escenarios!$E$16,0)</f>
        <v>0</v>
      </c>
      <c r="AJ451" s="76">
        <f>IF(Entradas!$E$91&gt;0,Entradas!$D$24*Entradas!$D$22/Escenarios!$E$16,0)</f>
        <v>0</v>
      </c>
      <c r="AK451" s="76">
        <f t="shared" si="94"/>
        <v>2.1424017845356964</v>
      </c>
      <c r="AL451" s="76">
        <f t="shared" si="95"/>
        <v>0</v>
      </c>
      <c r="AM451" s="76">
        <f t="shared" si="86"/>
        <v>0</v>
      </c>
      <c r="AN451" s="76">
        <f>MAX(0,O451*Escenarios!$E$13/Escenarios!$E$16-AM451)</f>
        <v>0.75897414048962919</v>
      </c>
      <c r="AO451" s="76">
        <f>AM451+AN451-O451*Escenarios!$E$13/Escenarios!$E$16</f>
        <v>0</v>
      </c>
      <c r="AP451" s="76">
        <f t="shared" si="84"/>
        <v>1.3899903242354865</v>
      </c>
      <c r="AQ451" s="76">
        <f t="shared" si="87"/>
        <v>0</v>
      </c>
      <c r="AR451" s="76">
        <f t="shared" si="88"/>
        <v>2.1489644647251156</v>
      </c>
      <c r="AS451" s="76">
        <f t="shared" si="89"/>
        <v>0</v>
      </c>
      <c r="AT451" s="76">
        <f t="shared" si="90"/>
        <v>0.32417070306817491</v>
      </c>
      <c r="AU451" s="76">
        <f t="shared" si="91"/>
        <v>48.75</v>
      </c>
      <c r="AV451" s="76">
        <f>MAX(0,(AU451-Constantes!$D$13)*(1-EXP(-Constantes!$D$24)))</f>
        <v>0</v>
      </c>
      <c r="AW451" s="170">
        <f>AW450+(Entradas!$E$112*AT451-AX450)/(800*Entradas!$D$25)</f>
        <v>0</v>
      </c>
      <c r="AX451" s="170">
        <f>8000*Entradas!$D$26*AW451/Constantes!$E$45</f>
        <v>0</v>
      </c>
      <c r="AY451" s="170">
        <f>IF(Escenarios!$E$17&gt;0,10*Escenarios!$E$16*AL451,0)</f>
        <v>0</v>
      </c>
      <c r="AZ451" s="170">
        <f>IF(Escenarios!$E$17&gt;0,10*Escenarios!$E$16*AX451,0)</f>
        <v>0</v>
      </c>
      <c r="BA451" s="170">
        <f>IF(Escenarios!$E$17&gt;0,0.001*Observaciones!$F450*Escenarios!$E$17,0)</f>
        <v>0</v>
      </c>
      <c r="BB451" s="170">
        <f>IF(Escenarios!$E$17&gt;0,Observaciones!$K450,0)</f>
        <v>0</v>
      </c>
      <c r="BC451" s="170">
        <f>IF(Escenarios!$E$17&gt;0,MIN(0.0005*ETo!$M450*Escenarios!$E$17*(BG450/Constantes!$E$40)^(2/3),BG450+AY451+AZ451+BA451+BB451),0)</f>
        <v>44.928649978578505</v>
      </c>
      <c r="BD451" s="170">
        <f>IF(Escenarios!$E$17&gt;0,MIN(Constantes!$E$39*(BG450/Constantes!$E$40)^(2/3),BG450+AY451+AZ451+BA451+BB451-BC451),0)</f>
        <v>80</v>
      </c>
      <c r="BE451" s="170">
        <f>IF(Escenarios!$E$17&gt;0,MIN(Entradas!$E$113,BG450+AY451+AZ451+BA451+BB451-BC451-BD451),0)</f>
        <v>1</v>
      </c>
      <c r="BF451" s="170">
        <f>IF(Escenarios!$E$17&gt;0,MAX(0,BG450+AY451+AZ451+BA451+BB451-BC451-BD451-BE451-Constantes!$E$40),0)</f>
        <v>0</v>
      </c>
      <c r="BG451" s="170">
        <f t="shared" si="96"/>
        <v>6540.7380166880885</v>
      </c>
      <c r="BH451" s="170">
        <f>(Escenarios!$E$16*AK451+0.1*BC451)/(Escenarios!$E$19)</f>
        <v>2.1432274251261192</v>
      </c>
      <c r="BI451" s="170">
        <f>IF(Escenarios!$E$17&gt;0,BF451/10/Escenarios!$E$19,AL451)</f>
        <v>0</v>
      </c>
      <c r="BJ451" s="170">
        <f>(Escenarios!$E$16*AT451+0.1*BD451)/(Escenarios!$E$19)</f>
        <v>0.35334395145652275</v>
      </c>
      <c r="BK451" s="76">
        <f>BK450+(0.1*BD451)/(Escenarios!$E$19)-BL450</f>
        <v>50.486414529043621</v>
      </c>
      <c r="BL451" s="76">
        <f>MAX(0,(BK451-Constantes!$D$13)*(1-EXP(-Constantes!$D$23)))</f>
        <v>1.7109305936385575E-2</v>
      </c>
      <c r="BM451" s="76">
        <f t="shared" si="92"/>
        <v>1.4070996301718721</v>
      </c>
      <c r="BN451" s="76">
        <f t="shared" si="97"/>
        <v>2.1660737706615012</v>
      </c>
      <c r="BO451" s="76">
        <f>0.0526*BI451*Observaciones!$F450^1.218</f>
        <v>0</v>
      </c>
      <c r="BP451" s="76">
        <f>BO451*Constantes!$E$51</f>
        <v>0</v>
      </c>
      <c r="BQ451" s="76">
        <f t="shared" si="93"/>
        <v>0</v>
      </c>
      <c r="BR451" s="40"/>
    </row>
    <row r="452" spans="1:70">
      <c r="A452" s="147"/>
      <c r="B452" s="39"/>
      <c r="C452" s="75">
        <v>446</v>
      </c>
      <c r="D452" s="146">
        <f>ETo!$I451*((1-Constantes!$E$19)*ETo!$K451+ETo!$L451)</f>
        <v>3.9472839021640107</v>
      </c>
      <c r="E452" s="76">
        <f>MIN(D452*Constantes!$E$17,0.8*(N451+Observaciones!$F451-F452-M452-Constantes!$D$14))</f>
        <v>1.9298757028803384</v>
      </c>
      <c r="F452" s="76">
        <f>IF(Observaciones!$F451&gt;0.05*Constantes!$E$18,((Observaciones!$F451-0.05*Constantes!$E$18)^2)/(Observaciones!$F451+0.95*Constantes!$E$18),0)</f>
        <v>0</v>
      </c>
      <c r="G452" s="76">
        <f>IF(Escenarios!$E$11&gt;0,(F452*Escenarios!$E$16*10000)/1000,0)</f>
        <v>0</v>
      </c>
      <c r="H452" s="76">
        <f>IF(Escenarios!$E$11&gt;0,(Observaciones!$F451*Constantes!$E$29)/1000,0)</f>
        <v>17</v>
      </c>
      <c r="I452" s="76">
        <f>IF(Escenarios!$E$11&gt;0,(D452*Constantes!$E$29)/1000,0)</f>
        <v>39.472839021640112</v>
      </c>
      <c r="J452" s="76">
        <f>IF(Escenarios!$E$11&gt;0,MAX(0,G452+H452-I452),0)</f>
        <v>0</v>
      </c>
      <c r="K452" s="76">
        <f>IF(Escenarios!$E$11&gt;0,IF(J452&gt;Constantes!$E$30,1000*((J452-Constantes!$E$30)/(Escenarios!$E$16*10000)),0),F452)</f>
        <v>0</v>
      </c>
      <c r="L452" s="76">
        <f>IF(Escenarios!$E$11&gt;0,I452*1000/Escenarios!$E$16/10000+E452,E452)</f>
        <v>1.9456648384889945</v>
      </c>
      <c r="M452" s="76">
        <f>MAX(0,N451+Observaciones!$F451-K452-Constantes!$D$13)</f>
        <v>0</v>
      </c>
      <c r="N452" s="76">
        <f>N451+Observaciones!$F451-K452-L452-M452-O451</f>
        <v>35.461232277528495</v>
      </c>
      <c r="O452" s="76">
        <f>MAX(0,(N452-Constantes!$D$14)*(1-EXP(-Constantes!$D$22)))</f>
        <v>0.82472345262589197</v>
      </c>
      <c r="P452" s="170">
        <f>P451+(Entradas!$E$83*M452-Q451)/(800*Entradas!$D$25)</f>
        <v>0</v>
      </c>
      <c r="Q452" s="170">
        <f>8000*Entradas!$D$26*P452/Constantes!$E$45</f>
        <v>0</v>
      </c>
      <c r="R452" s="170">
        <f>IF(Escenarios!$E$14&gt;0,K452*Escenarios!$E$13/Escenarios!$E$14,0)</f>
        <v>0</v>
      </c>
      <c r="S452" s="170">
        <f>IF(Escenarios!$E$14&gt;0,Q452*Escenarios!$E$13/Escenarios!$E$14,0)</f>
        <v>0</v>
      </c>
      <c r="T452" s="170">
        <f>IF(Escenarios!$E$14&gt;0,Observaciones!$I451,0)</f>
        <v>0</v>
      </c>
      <c r="U452" s="170">
        <f>IF(Escenarios!$E$14&gt;0,MAX(0,Constantes!$E$36/((Z451+R452+S452+T452+Observaciones!$F451)^2)+Entradas!$E$77),0)</f>
        <v>2.6860488242931568</v>
      </c>
      <c r="V452" s="146">
        <f>IF(ETo!D451&gt;0,ETo!I451*((1-Entradas!$E$81)*ETo!K451+ETo!L451),0)</f>
        <v>3.5982762299672593</v>
      </c>
      <c r="W452" s="170">
        <f>IF(Escenarios!$E$14&gt;0,MIN(V452*1,0.8*(Z451+R452+S452+T452+Observaciones!$F451-U452-Constantes!$E$35)),0)</f>
        <v>3.5982762299672593</v>
      </c>
      <c r="X452" s="170">
        <f>IF(Escenarios!$E$14&gt;0,Observaciones!$J451,0)</f>
        <v>0</v>
      </c>
      <c r="Y452" s="170">
        <f>IF(Escenarios!$E$14&gt;0,MAX(0,Z451+R452+S452+T452+Observaciones!$F451-U452-W452-X452-Constantes!$E$33),0)</f>
        <v>0</v>
      </c>
      <c r="Z452" s="170">
        <f>Z451+R452+S452+T452+Observaciones!$F451-U452-W452-Y452</f>
        <v>174.55190165310532</v>
      </c>
      <c r="AA452" s="170">
        <f>IF(Escenarios!$E$14&gt;0,(Escenarios!$E$13*L452+Escenarios!$E$14*W452)/(Escenarios!$E$16),L452)</f>
        <v>2.1439782054663863</v>
      </c>
      <c r="AB452" s="170">
        <f>IF(Escenarios!$E$14&gt;0,(Escenarios!$E$14*Y452)/(Escenarios!$E$16),K452)</f>
        <v>0</v>
      </c>
      <c r="AC452" s="170">
        <f>IF(Escenarios!$E$14&gt;0,(Escenarios!$E$13*M452+Escenarios!$E$14*U452)/(Escenarios!$E$16),M452)</f>
        <v>0.32232585891517879</v>
      </c>
      <c r="AD452" s="76">
        <f t="shared" si="85"/>
        <v>188.75172801656063</v>
      </c>
      <c r="AE452" s="76">
        <f>MAX(0,(AD452-Constantes!$D$13)*(1-EXP(-Constantes!$D$23)))</f>
        <v>1.3794703719608219</v>
      </c>
      <c r="AF452" s="76">
        <f>AB452+O452*Escenarios!$E$13/Escenarios!$E$16+AE452</f>
        <v>2.1052270102716069</v>
      </c>
      <c r="AG452" s="76">
        <f>IF(Entradas!$E$91&gt;0,IF(AF452-Escenarios!$E$38&lt;=0,0,IF(AF452-Escenarios!$E$38&gt;Escenarios!$E$37,Escenarios!$E$37,AF452-Escenarios!$E$38)),0)</f>
        <v>0</v>
      </c>
      <c r="AH452" s="76">
        <f>AG452*Entradas!$E$99</f>
        <v>0</v>
      </c>
      <c r="AI452" s="76">
        <f>IF(Entradas!$E$91&gt;0,D452*Entradas!$D$23/Escenarios!$E$16,0)</f>
        <v>0</v>
      </c>
      <c r="AJ452" s="76">
        <f>IF(Entradas!$E$91&gt;0,Entradas!$D$24*Entradas!$D$22/Escenarios!$E$16,0)</f>
        <v>0</v>
      </c>
      <c r="AK452" s="76">
        <f t="shared" si="94"/>
        <v>2.1439782054663863</v>
      </c>
      <c r="AL452" s="76">
        <f t="shared" si="95"/>
        <v>0</v>
      </c>
      <c r="AM452" s="76">
        <f t="shared" si="86"/>
        <v>0</v>
      </c>
      <c r="AN452" s="76">
        <f>MAX(0,O452*Escenarios!$E$13/Escenarios!$E$16-AM452)</f>
        <v>0.72575663831078496</v>
      </c>
      <c r="AO452" s="76">
        <f>AM452+AN452-O452*Escenarios!$E$13/Escenarios!$E$16</f>
        <v>0</v>
      </c>
      <c r="AP452" s="76">
        <f t="shared" si="84"/>
        <v>1.3794703719608219</v>
      </c>
      <c r="AQ452" s="76">
        <f t="shared" si="87"/>
        <v>0</v>
      </c>
      <c r="AR452" s="76">
        <f t="shared" si="88"/>
        <v>2.1052270102716069</v>
      </c>
      <c r="AS452" s="76">
        <f t="shared" si="89"/>
        <v>0</v>
      </c>
      <c r="AT452" s="76">
        <f t="shared" si="90"/>
        <v>0.32232585891517879</v>
      </c>
      <c r="AU452" s="76">
        <f t="shared" si="91"/>
        <v>48.75</v>
      </c>
      <c r="AV452" s="76">
        <f>MAX(0,(AU452-Constantes!$D$13)*(1-EXP(-Constantes!$D$24)))</f>
        <v>0</v>
      </c>
      <c r="AW452" s="170">
        <f>AW451+(Entradas!$E$112*AT452-AX451)/(800*Entradas!$D$25)</f>
        <v>0</v>
      </c>
      <c r="AX452" s="170">
        <f>8000*Entradas!$D$26*AW452/Constantes!$E$45</f>
        <v>0</v>
      </c>
      <c r="AY452" s="170">
        <f>IF(Escenarios!$E$17&gt;0,10*Escenarios!$E$16*AL452,0)</f>
        <v>0</v>
      </c>
      <c r="AZ452" s="170">
        <f>IF(Escenarios!$E$17&gt;0,10*Escenarios!$E$16*AX452,0)</f>
        <v>0</v>
      </c>
      <c r="BA452" s="170">
        <f>IF(Escenarios!$E$17&gt;0,0.001*Observaciones!$F451*Escenarios!$E$17,0)</f>
        <v>34</v>
      </c>
      <c r="BB452" s="170">
        <f>IF(Escenarios!$E$17&gt;0,Observaciones!$K451,0)</f>
        <v>0</v>
      </c>
      <c r="BC452" s="170">
        <f>IF(Escenarios!$E$17&gt;0,MIN(0.0005*ETo!$M451*Escenarios!$E$17*(BG451/Constantes!$E$40)^(2/3),BG451+AY452+AZ452+BA452+BB452),0)</f>
        <v>44.396546784142835</v>
      </c>
      <c r="BD452" s="170">
        <f>IF(Escenarios!$E$17&gt;0,MIN(Constantes!$E$39*(BG451/Constantes!$E$40)^(2/3),BG451+AY452+AZ452+BA452+BB452-BC452),0)</f>
        <v>78.989372271663214</v>
      </c>
      <c r="BE452" s="170">
        <f>IF(Escenarios!$E$17&gt;0,MIN(Entradas!$E$113,BG451+AY452+AZ452+BA452+BB452-BC452-BD452),0)</f>
        <v>1</v>
      </c>
      <c r="BF452" s="170">
        <f>IF(Escenarios!$E$17&gt;0,MAX(0,BG451+AY452+AZ452+BA452+BB452-BC452-BD452-BE452-Constantes!$E$40),0)</f>
        <v>0</v>
      </c>
      <c r="BG452" s="170">
        <f t="shared" si="96"/>
        <v>6450.3520976322825</v>
      </c>
      <c r="BH452" s="170">
        <f>(Escenarios!$E$16*AK452+0.1*BC452)/(Escenarios!$E$19)</f>
        <v>2.1445801827182973</v>
      </c>
      <c r="BI452" s="170">
        <f>IF(Escenarios!$E$17&gt;0,BF452/10/Escenarios!$E$19,AL452)</f>
        <v>0</v>
      </c>
      <c r="BJ452" s="170">
        <f>(Escenarios!$E$16*AT452+0.1*BD452)/(Escenarios!$E$19)</f>
        <v>0.35111270617444845</v>
      </c>
      <c r="BK452" s="76">
        <f>BK451+(0.1*BD452)/(Escenarios!$E$19)-BL451</f>
        <v>50.500650212103928</v>
      </c>
      <c r="BL452" s="76">
        <f>MAX(0,(BK452-Constantes!$D$13)*(1-EXP(-Constantes!$D$23)))</f>
        <v>1.7249573512254313E-2</v>
      </c>
      <c r="BM452" s="76">
        <f t="shared" si="92"/>
        <v>1.3967199454730763</v>
      </c>
      <c r="BN452" s="76">
        <f t="shared" si="97"/>
        <v>2.1224765837838611</v>
      </c>
      <c r="BO452" s="76">
        <f>0.0526*BI452*Observaciones!$F451^1.218</f>
        <v>0</v>
      </c>
      <c r="BP452" s="76">
        <f>BO452*Constantes!$E$51</f>
        <v>0</v>
      </c>
      <c r="BQ452" s="76">
        <f t="shared" si="93"/>
        <v>0</v>
      </c>
      <c r="BR452" s="40"/>
    </row>
    <row r="453" spans="1:70">
      <c r="A453" s="147"/>
      <c r="B453" s="39"/>
      <c r="C453" s="75">
        <v>447</v>
      </c>
      <c r="D453" s="146">
        <f>ETo!$I452*((1-Constantes!$E$19)*ETo!$K452+ETo!$L452)</f>
        <v>3.8040078858944431</v>
      </c>
      <c r="E453" s="76">
        <f>MIN(D453*Constantes!$E$17,0.8*(N452+Observaciones!$F452-F453-M453-Constantes!$D$14))</f>
        <v>1.8598262943610933</v>
      </c>
      <c r="F453" s="76">
        <f>IF(Observaciones!$F452&gt;0.05*Constantes!$E$18,((Observaciones!$F452-0.05*Constantes!$E$18)^2)/(Observaciones!$F452+0.95*Constantes!$E$18),0)</f>
        <v>0</v>
      </c>
      <c r="G453" s="76">
        <f>IF(Escenarios!$E$11&gt;0,(F453*Escenarios!$E$16*10000)/1000,0)</f>
        <v>0</v>
      </c>
      <c r="H453" s="76">
        <f>IF(Escenarios!$E$11&gt;0,(Observaciones!$F452*Constantes!$E$29)/1000,0)</f>
        <v>23</v>
      </c>
      <c r="I453" s="76">
        <f>IF(Escenarios!$E$11&gt;0,(D453*Constantes!$E$29)/1000,0)</f>
        <v>38.040078858944426</v>
      </c>
      <c r="J453" s="76">
        <f>IF(Escenarios!$E$11&gt;0,MAX(0,G453+H453-I453),0)</f>
        <v>0</v>
      </c>
      <c r="K453" s="76">
        <f>IF(Escenarios!$E$11&gt;0,IF(J453&gt;Constantes!$E$30,1000*((J453-Constantes!$E$30)/(Escenarios!$E$16*10000)),0),F453)</f>
        <v>0</v>
      </c>
      <c r="L453" s="76">
        <f>IF(Escenarios!$E$11&gt;0,I453*1000/Escenarios!$E$16/10000+E453,E453)</f>
        <v>1.8750423259046711</v>
      </c>
      <c r="M453" s="76">
        <f>MAX(0,N452+Observaciones!$F452-K453-Constantes!$D$13)</f>
        <v>0</v>
      </c>
      <c r="N453" s="76">
        <f>N452+Observaciones!$F452-K453-L453-M453-O452</f>
        <v>35.06146649899793</v>
      </c>
      <c r="O453" s="76">
        <f>MAX(0,(N453-Constantes!$D$14)*(1-EXP(-Constantes!$D$22)))</f>
        <v>0.81110596263892376</v>
      </c>
      <c r="P453" s="170">
        <f>P452+(Entradas!$E$83*M453-Q452)/(800*Entradas!$D$25)</f>
        <v>0</v>
      </c>
      <c r="Q453" s="170">
        <f>8000*Entradas!$D$26*P453/Constantes!$E$45</f>
        <v>0</v>
      </c>
      <c r="R453" s="170">
        <f>IF(Escenarios!$E$14&gt;0,K453*Escenarios!$E$13/Escenarios!$E$14,0)</f>
        <v>0</v>
      </c>
      <c r="S453" s="170">
        <f>IF(Escenarios!$E$14&gt;0,Q453*Escenarios!$E$13/Escenarios!$E$14,0)</f>
        <v>0</v>
      </c>
      <c r="T453" s="170">
        <f>IF(Escenarios!$E$14&gt;0,Observaciones!$I452,0)</f>
        <v>0</v>
      </c>
      <c r="U453" s="170">
        <f>IF(Escenarios!$E$14&gt;0,MAX(0,Constantes!$E$36/((Z452+R453+S453+T453+Observaciones!$F452)^2)+Entradas!$E$77),0)</f>
        <v>2.6717433607731023</v>
      </c>
      <c r="V453" s="146">
        <f>IF(ETo!D452&gt;0,ETo!I452*((1-Entradas!$E$81)*ETo!K452+ETo!L452),0)</f>
        <v>3.4660856626286272</v>
      </c>
      <c r="W453" s="170">
        <f>IF(Escenarios!$E$14&gt;0,MIN(V453*1,0.8*(Z452+R453+S453+T453+Observaciones!$F452-U453-Constantes!$E$35)),0)</f>
        <v>3.4660856626286272</v>
      </c>
      <c r="X453" s="170">
        <f>IF(Escenarios!$E$14&gt;0,Observaciones!$J452,0)</f>
        <v>0</v>
      </c>
      <c r="Y453" s="170">
        <f>IF(Escenarios!$E$14&gt;0,MAX(0,Z452+R453+S453+T453+Observaciones!$F452-U453-W453-X453-Constantes!$E$33),0)</f>
        <v>0</v>
      </c>
      <c r="Z453" s="170">
        <f>Z452+R453+S453+T453+Observaciones!$F452-U453-W453-Y453</f>
        <v>170.71407262970362</v>
      </c>
      <c r="AA453" s="170">
        <f>IF(Escenarios!$E$14&gt;0,(Escenarios!$E$13*L453+Escenarios!$E$14*W453)/(Escenarios!$E$16),L453)</f>
        <v>2.065967526311546</v>
      </c>
      <c r="AB453" s="170">
        <f>IF(Escenarios!$E$14&gt;0,(Escenarios!$E$14*Y453)/(Escenarios!$E$16),K453)</f>
        <v>0</v>
      </c>
      <c r="AC453" s="170">
        <f>IF(Escenarios!$E$14&gt;0,(Escenarios!$E$13*M453+Escenarios!$E$14*U453)/(Escenarios!$E$16),M453)</f>
        <v>0.32060920329277232</v>
      </c>
      <c r="AD453" s="76">
        <f t="shared" si="85"/>
        <v>187.69286684789259</v>
      </c>
      <c r="AE453" s="76">
        <f>MAX(0,(AD453-Constantes!$D$13)*(1-EXP(-Constantes!$D$23)))</f>
        <v>1.3690371606648541</v>
      </c>
      <c r="AF453" s="76">
        <f>AB453+O453*Escenarios!$E$13/Escenarios!$E$16+AE453</f>
        <v>2.082810407787107</v>
      </c>
      <c r="AG453" s="76">
        <f>IF(Entradas!$E$91&gt;0,IF(AF453-Escenarios!$E$38&lt;=0,0,IF(AF453-Escenarios!$E$38&gt;Escenarios!$E$37,Escenarios!$E$37,AF453-Escenarios!$E$38)),0)</f>
        <v>0</v>
      </c>
      <c r="AH453" s="76">
        <f>AG453*Entradas!$E$99</f>
        <v>0</v>
      </c>
      <c r="AI453" s="76">
        <f>IF(Entradas!$E$91&gt;0,D453*Entradas!$D$23/Escenarios!$E$16,0)</f>
        <v>0</v>
      </c>
      <c r="AJ453" s="76">
        <f>IF(Entradas!$E$91&gt;0,Entradas!$D$24*Entradas!$D$22/Escenarios!$E$16,0)</f>
        <v>0</v>
      </c>
      <c r="AK453" s="76">
        <f t="shared" si="94"/>
        <v>2.065967526311546</v>
      </c>
      <c r="AL453" s="76">
        <f t="shared" si="95"/>
        <v>0</v>
      </c>
      <c r="AM453" s="76">
        <f t="shared" si="86"/>
        <v>0</v>
      </c>
      <c r="AN453" s="76">
        <f>MAX(0,O453*Escenarios!$E$13/Escenarios!$E$16-AM453)</f>
        <v>0.71377324712225287</v>
      </c>
      <c r="AO453" s="76">
        <f>AM453+AN453-O453*Escenarios!$E$13/Escenarios!$E$16</f>
        <v>0</v>
      </c>
      <c r="AP453" s="76">
        <f t="shared" si="84"/>
        <v>1.3690371606648541</v>
      </c>
      <c r="AQ453" s="76">
        <f t="shared" si="87"/>
        <v>0</v>
      </c>
      <c r="AR453" s="76">
        <f t="shared" si="88"/>
        <v>2.082810407787107</v>
      </c>
      <c r="AS453" s="76">
        <f t="shared" si="89"/>
        <v>0</v>
      </c>
      <c r="AT453" s="76">
        <f t="shared" si="90"/>
        <v>0.32060920329277232</v>
      </c>
      <c r="AU453" s="76">
        <f t="shared" si="91"/>
        <v>48.75</v>
      </c>
      <c r="AV453" s="76">
        <f>MAX(0,(AU453-Constantes!$D$13)*(1-EXP(-Constantes!$D$24)))</f>
        <v>0</v>
      </c>
      <c r="AW453" s="170">
        <f>AW452+(Entradas!$E$112*AT453-AX452)/(800*Entradas!$D$25)</f>
        <v>0</v>
      </c>
      <c r="AX453" s="170">
        <f>8000*Entradas!$D$26*AW453/Constantes!$E$45</f>
        <v>0</v>
      </c>
      <c r="AY453" s="170">
        <f>IF(Escenarios!$E$17&gt;0,10*Escenarios!$E$16*AL453,0)</f>
        <v>0</v>
      </c>
      <c r="AZ453" s="170">
        <f>IF(Escenarios!$E$17&gt;0,10*Escenarios!$E$16*AX453,0)</f>
        <v>0</v>
      </c>
      <c r="BA453" s="170">
        <f>IF(Escenarios!$E$17&gt;0,0.001*Observaciones!$F452*Escenarios!$E$17,0)</f>
        <v>46</v>
      </c>
      <c r="BB453" s="170">
        <f>IF(Escenarios!$E$17&gt;0,Observaciones!$K452,0)</f>
        <v>5.4432146480880519</v>
      </c>
      <c r="BC453" s="170">
        <f>IF(Escenarios!$E$17&gt;0,MIN(0.0005*ETo!$M452*Escenarios!$E$17*(BG452/Constantes!$E$40)^(2/3),BG452+AY453+AZ453+BA453+BB453),0)</f>
        <v>42.414354534651345</v>
      </c>
      <c r="BD453" s="170">
        <f>IF(Escenarios!$E$17&gt;0,MIN(Constantes!$E$39*(BG452/Constantes!$E$40)^(2/3),BG452+AY453+AZ453+BA453+BB453-BC453),0)</f>
        <v>78.259987480984009</v>
      </c>
      <c r="BE453" s="170">
        <f>IF(Escenarios!$E$17&gt;0,MIN(Entradas!$E$113,BG452+AY453+AZ453+BA453+BB453-BC453-BD453),0)</f>
        <v>1</v>
      </c>
      <c r="BF453" s="170">
        <f>IF(Escenarios!$E$17&gt;0,MAX(0,BG452+AY453+AZ453+BA453+BB453-BC453-BD453-BE453-Constantes!$E$40),0)</f>
        <v>0</v>
      </c>
      <c r="BG453" s="170">
        <f t="shared" si="96"/>
        <v>6380.1209702647348</v>
      </c>
      <c r="BH453" s="170">
        <f>(Escenarios!$E$16*AK453+0.1*BC453)/(Escenarios!$E$19)</f>
        <v>2.0664020517117128</v>
      </c>
      <c r="BI453" s="170">
        <f>IF(Escenarios!$E$17&gt;0,BF453/10/Escenarios!$E$19,AL453)</f>
        <v>0</v>
      </c>
      <c r="BJ453" s="170">
        <f>(Escenarios!$E$16*AT453+0.1*BD453)/(Escenarios!$E$19)</f>
        <v>0.34912023639401379</v>
      </c>
      <c r="BK453" s="76">
        <f>BK452+(0.1*BD453)/(Escenarios!$E$19)-BL452</f>
        <v>50.51445618917937</v>
      </c>
      <c r="BL453" s="76">
        <f>MAX(0,(BK453-Constantes!$D$13)*(1-EXP(-Constantes!$D$23)))</f>
        <v>1.7385607092706194E-2</v>
      </c>
      <c r="BM453" s="76">
        <f t="shared" si="92"/>
        <v>1.3864227677575602</v>
      </c>
      <c r="BN453" s="76">
        <f t="shared" si="97"/>
        <v>2.1001960148798133</v>
      </c>
      <c r="BO453" s="76">
        <f>0.0526*BI453*Observaciones!$F452^1.218</f>
        <v>0</v>
      </c>
      <c r="BP453" s="76">
        <f>BO453*Constantes!$E$51</f>
        <v>0</v>
      </c>
      <c r="BQ453" s="76">
        <f t="shared" si="93"/>
        <v>0</v>
      </c>
      <c r="BR453" s="40"/>
    </row>
    <row r="454" spans="1:70">
      <c r="A454" s="147"/>
      <c r="B454" s="39"/>
      <c r="C454" s="75">
        <v>448</v>
      </c>
      <c r="D454" s="146">
        <f>ETo!$I453*((1-Constantes!$E$19)*ETo!$K453+ETo!$L453)</f>
        <v>3.9022036758342677</v>
      </c>
      <c r="E454" s="76">
        <f>MIN(D454*Constantes!$E$17,0.8*(N453+Observaciones!$F453-F454-M454-Constantes!$D$14))</f>
        <v>1.9078354251525513</v>
      </c>
      <c r="F454" s="76">
        <f>IF(Observaciones!$F453&gt;0.05*Constantes!$E$18,((Observaciones!$F453-0.05*Constantes!$E$18)^2)/(Observaciones!$F453+0.95*Constantes!$E$18),0)</f>
        <v>0</v>
      </c>
      <c r="G454" s="76">
        <f>IF(Escenarios!$E$11&gt;0,(F454*Escenarios!$E$16*10000)/1000,0)</f>
        <v>0</v>
      </c>
      <c r="H454" s="76">
        <f>IF(Escenarios!$E$11&gt;0,(Observaciones!$F453*Constantes!$E$29)/1000,0)</f>
        <v>0</v>
      </c>
      <c r="I454" s="76">
        <f>IF(Escenarios!$E$11&gt;0,(D454*Constantes!$E$29)/1000,0)</f>
        <v>39.022036758342679</v>
      </c>
      <c r="J454" s="76">
        <f>IF(Escenarios!$E$11&gt;0,MAX(0,G454+H454-I454),0)</f>
        <v>0</v>
      </c>
      <c r="K454" s="76">
        <f>IF(Escenarios!$E$11&gt;0,IF(J454&gt;Constantes!$E$30,1000*((J454-Constantes!$E$30)/(Escenarios!$E$16*10000)),0),F454)</f>
        <v>0</v>
      </c>
      <c r="L454" s="76">
        <f>IF(Escenarios!$E$11&gt;0,I454*1000/Escenarios!$E$16/10000+E454,E454)</f>
        <v>1.9234442398558884</v>
      </c>
      <c r="M454" s="76">
        <f>MAX(0,N453+Observaciones!$F453-K454-Constantes!$D$13)</f>
        <v>0</v>
      </c>
      <c r="N454" s="76">
        <f>N453+Observaciones!$F453-K454-L454-M454-O453</f>
        <v>32.326916296503114</v>
      </c>
      <c r="O454" s="76">
        <f>MAX(0,(N454-Constantes!$D$14)*(1-EXP(-Constantes!$D$22)))</f>
        <v>0.71795714400264354</v>
      </c>
      <c r="P454" s="170">
        <f>P453+(Entradas!$E$83*M454-Q453)/(800*Entradas!$D$25)</f>
        <v>0</v>
      </c>
      <c r="Q454" s="170">
        <f>8000*Entradas!$D$26*P454/Constantes!$E$45</f>
        <v>0</v>
      </c>
      <c r="R454" s="170">
        <f>IF(Escenarios!$E$14&gt;0,K454*Escenarios!$E$13/Escenarios!$E$14,0)</f>
        <v>0</v>
      </c>
      <c r="S454" s="170">
        <f>IF(Escenarios!$E$14&gt;0,Q454*Escenarios!$E$13/Escenarios!$E$14,0)</f>
        <v>0</v>
      </c>
      <c r="T454" s="170">
        <f>IF(Escenarios!$E$14&gt;0,Observaciones!$I453,0)</f>
        <v>0</v>
      </c>
      <c r="U454" s="170">
        <f>IF(Escenarios!$E$14&gt;0,MAX(0,Constantes!$E$36/((Z453+R454+S454+T454+Observaciones!$F453)^2)+Entradas!$E$77),0)</f>
        <v>2.6477148468252723</v>
      </c>
      <c r="V454" s="146">
        <f>IF(ETo!D453&gt;0,ETo!I453*((1-Entradas!$E$81)*ETo!K453+ETo!L453),0)</f>
        <v>3.5562959826585878</v>
      </c>
      <c r="W454" s="170">
        <f>IF(Escenarios!$E$14&gt;0,MIN(V454*1,0.8*(Z453+R454+S454+T454+Observaciones!$F453-U454-Constantes!$E$35)),0)</f>
        <v>3.5562959826585878</v>
      </c>
      <c r="X454" s="170">
        <f>IF(Escenarios!$E$14&gt;0,Observaciones!$J453,0)</f>
        <v>0</v>
      </c>
      <c r="Y454" s="170">
        <f>IF(Escenarios!$E$14&gt;0,MAX(0,Z453+R454+S454+T454+Observaciones!$F453-U454-W454-X454-Constantes!$E$33),0)</f>
        <v>0</v>
      </c>
      <c r="Z454" s="170">
        <f>Z453+R454+S454+T454+Observaciones!$F453-U454-W454-Y454</f>
        <v>164.51006180021977</v>
      </c>
      <c r="AA454" s="170">
        <f>IF(Escenarios!$E$14&gt;0,(Escenarios!$E$13*L454+Escenarios!$E$14*W454)/(Escenarios!$E$16),L454)</f>
        <v>2.1193864489922123</v>
      </c>
      <c r="AB454" s="170">
        <f>IF(Escenarios!$E$14&gt;0,(Escenarios!$E$14*Y454)/(Escenarios!$E$16),K454)</f>
        <v>0</v>
      </c>
      <c r="AC454" s="170">
        <f>IF(Escenarios!$E$14&gt;0,(Escenarios!$E$13*M454+Escenarios!$E$14*U454)/(Escenarios!$E$16),M454)</f>
        <v>0.31772578161903264</v>
      </c>
      <c r="AD454" s="76">
        <f t="shared" si="85"/>
        <v>186.64155546884678</v>
      </c>
      <c r="AE454" s="76">
        <f>MAX(0,(AD454-Constantes!$D$13)*(1-EXP(-Constantes!$D$23)))</f>
        <v>1.3586783392442541</v>
      </c>
      <c r="AF454" s="76">
        <f>AB454+O454*Escenarios!$E$13/Escenarios!$E$16+AE454</f>
        <v>1.9904806259665806</v>
      </c>
      <c r="AG454" s="76">
        <f>IF(Entradas!$E$91&gt;0,IF(AF454-Escenarios!$E$38&lt;=0,0,IF(AF454-Escenarios!$E$38&gt;Escenarios!$E$37,Escenarios!$E$37,AF454-Escenarios!$E$38)),0)</f>
        <v>0</v>
      </c>
      <c r="AH454" s="76">
        <f>AG454*Entradas!$E$99</f>
        <v>0</v>
      </c>
      <c r="AI454" s="76">
        <f>IF(Entradas!$E$91&gt;0,D454*Entradas!$D$23/Escenarios!$E$16,0)</f>
        <v>0</v>
      </c>
      <c r="AJ454" s="76">
        <f>IF(Entradas!$E$91&gt;0,Entradas!$D$24*Entradas!$D$22/Escenarios!$E$16,0)</f>
        <v>0</v>
      </c>
      <c r="AK454" s="76">
        <f t="shared" si="94"/>
        <v>2.1193864489922123</v>
      </c>
      <c r="AL454" s="76">
        <f t="shared" si="95"/>
        <v>0</v>
      </c>
      <c r="AM454" s="76">
        <f t="shared" si="86"/>
        <v>0</v>
      </c>
      <c r="AN454" s="76">
        <f>MAX(0,O454*Escenarios!$E$13/Escenarios!$E$16-AM454)</f>
        <v>0.63180228672232641</v>
      </c>
      <c r="AO454" s="76">
        <f>AM454+AN454-O454*Escenarios!$E$13/Escenarios!$E$16</f>
        <v>0</v>
      </c>
      <c r="AP454" s="76">
        <f t="shared" ref="AP454:AP517" si="98">MAX(0,AE454-AO454)</f>
        <v>1.3586783392442541</v>
      </c>
      <c r="AQ454" s="76">
        <f t="shared" si="87"/>
        <v>0</v>
      </c>
      <c r="AR454" s="76">
        <f t="shared" si="88"/>
        <v>1.9904806259665806</v>
      </c>
      <c r="AS454" s="76">
        <f t="shared" si="89"/>
        <v>0</v>
      </c>
      <c r="AT454" s="76">
        <f t="shared" si="90"/>
        <v>0.31772578161903264</v>
      </c>
      <c r="AU454" s="76">
        <f t="shared" si="91"/>
        <v>48.75</v>
      </c>
      <c r="AV454" s="76">
        <f>MAX(0,(AU454-Constantes!$D$13)*(1-EXP(-Constantes!$D$24)))</f>
        <v>0</v>
      </c>
      <c r="AW454" s="170">
        <f>AW453+(Entradas!$E$112*AT454-AX453)/(800*Entradas!$D$25)</f>
        <v>0</v>
      </c>
      <c r="AX454" s="170">
        <f>8000*Entradas!$D$26*AW454/Constantes!$E$45</f>
        <v>0</v>
      </c>
      <c r="AY454" s="170">
        <f>IF(Escenarios!$E$17&gt;0,10*Escenarios!$E$16*AL454,0)</f>
        <v>0</v>
      </c>
      <c r="AZ454" s="170">
        <f>IF(Escenarios!$E$17&gt;0,10*Escenarios!$E$16*AX454,0)</f>
        <v>0</v>
      </c>
      <c r="BA454" s="170">
        <f>IF(Escenarios!$E$17&gt;0,0.001*Observaciones!$F453*Escenarios!$E$17,0)</f>
        <v>0</v>
      </c>
      <c r="BB454" s="170">
        <f>IF(Escenarios!$E$17&gt;0,Observaciones!$K453,0)</f>
        <v>0</v>
      </c>
      <c r="BC454" s="170">
        <f>IF(Escenarios!$E$17&gt;0,MIN(0.0005*ETo!$M453*Escenarios!$E$17*(BG453/Constantes!$E$40)^(2/3),BG453+AY454+AZ454+BA454+BB454),0)</f>
        <v>43.181564482267902</v>
      </c>
      <c r="BD454" s="170">
        <f>IF(Escenarios!$E$17&gt;0,MIN(Constantes!$E$39*(BG453/Constantes!$E$40)^(2/3),BG453+AY454+AZ454+BA454+BB454-BC454),0)</f>
        <v>77.690890939263937</v>
      </c>
      <c r="BE454" s="170">
        <f>IF(Escenarios!$E$17&gt;0,MIN(Entradas!$E$113,BG453+AY454+AZ454+BA454+BB454-BC454-BD454),0)</f>
        <v>1</v>
      </c>
      <c r="BF454" s="170">
        <f>IF(Escenarios!$E$17&gt;0,MAX(0,BG453+AY454+AZ454+BA454+BB454-BC454-BD454-BE454-Constantes!$E$40),0)</f>
        <v>0</v>
      </c>
      <c r="BG454" s="170">
        <f t="shared" si="96"/>
        <v>6258.2485148432024</v>
      </c>
      <c r="BH454" s="170">
        <f>(Escenarios!$E$16*AK454+0.1*BC454)/(Escenarios!$E$19)</f>
        <v>2.1197014630804754</v>
      </c>
      <c r="BI454" s="170">
        <f>IF(Escenarios!$E$17&gt;0,BF454/10/Escenarios!$E$19,AL454)</f>
        <v>0</v>
      </c>
      <c r="BJ454" s="170">
        <f>(Escenarios!$E$16*AT454+0.1*BD454)/(Escenarios!$E$19)</f>
        <v>0.34603386705827205</v>
      </c>
      <c r="BK454" s="76">
        <f>BK453+(0.1*BD454)/(Escenarios!$E$19)-BL453</f>
        <v>50.527900300713355</v>
      </c>
      <c r="BL454" s="76">
        <f>MAX(0,(BK454-Constantes!$D$13)*(1-EXP(-Constantes!$D$23)))</f>
        <v>1.751807512578844E-2</v>
      </c>
      <c r="BM454" s="76">
        <f t="shared" si="92"/>
        <v>1.3761964143700425</v>
      </c>
      <c r="BN454" s="76">
        <f t="shared" si="97"/>
        <v>2.0079987010923692</v>
      </c>
      <c r="BO454" s="76">
        <f>0.0526*BI454*Observaciones!$F453^1.218</f>
        <v>0</v>
      </c>
      <c r="BP454" s="76">
        <f>BO454*Constantes!$E$51</f>
        <v>0</v>
      </c>
      <c r="BQ454" s="76">
        <f t="shared" si="93"/>
        <v>0</v>
      </c>
      <c r="BR454" s="40"/>
    </row>
    <row r="455" spans="1:70">
      <c r="A455" s="147"/>
      <c r="B455" s="39"/>
      <c r="C455" s="75">
        <v>449</v>
      </c>
      <c r="D455" s="146">
        <f>ETo!$I454*((1-Constantes!$E$19)*ETo!$K454+ETo!$L454)</f>
        <v>4.0578298745153472</v>
      </c>
      <c r="E455" s="76">
        <f>MIN(D455*Constantes!$E$17,0.8*(N454+Observaciones!$F454-F455-M455-Constantes!$D$14))</f>
        <v>1.9839229899212241</v>
      </c>
      <c r="F455" s="76">
        <f>IF(Observaciones!$F454&gt;0.05*Constantes!$E$18,((Observaciones!$F454-0.05*Constantes!$E$18)^2)/(Observaciones!$F454+0.95*Constantes!$E$18),0)</f>
        <v>0</v>
      </c>
      <c r="G455" s="76">
        <f>IF(Escenarios!$E$11&gt;0,(F455*Escenarios!$E$16*10000)/1000,0)</f>
        <v>0</v>
      </c>
      <c r="H455" s="76">
        <f>IF(Escenarios!$E$11&gt;0,(Observaciones!$F454*Constantes!$E$29)/1000,0)</f>
        <v>0</v>
      </c>
      <c r="I455" s="76">
        <f>IF(Escenarios!$E$11&gt;0,(D455*Constantes!$E$29)/1000,0)</f>
        <v>40.578298745153475</v>
      </c>
      <c r="J455" s="76">
        <f>IF(Escenarios!$E$11&gt;0,MAX(0,G455+H455-I455),0)</f>
        <v>0</v>
      </c>
      <c r="K455" s="76">
        <f>IF(Escenarios!$E$11&gt;0,IF(J455&gt;Constantes!$E$30,1000*((J455-Constantes!$E$30)/(Escenarios!$E$16*10000)),0),F455)</f>
        <v>0</v>
      </c>
      <c r="L455" s="76">
        <f>IF(Escenarios!$E$11&gt;0,I455*1000/Escenarios!$E$16/10000+E455,E455)</f>
        <v>2.0001543094192855</v>
      </c>
      <c r="M455" s="76">
        <f>MAX(0,N454+Observaciones!$F454-K455-Constantes!$D$13)</f>
        <v>0</v>
      </c>
      <c r="N455" s="76">
        <f>N454+Observaciones!$F454-K455-L455-M455-O454</f>
        <v>29.608804843081185</v>
      </c>
      <c r="O455" s="76">
        <f>MAX(0,(N455-Constantes!$D$14)*(1-EXP(-Constantes!$D$22)))</f>
        <v>0.6253682895076691</v>
      </c>
      <c r="P455" s="170">
        <f>P454+(Entradas!$E$83*M455-Q454)/(800*Entradas!$D$25)</f>
        <v>0</v>
      </c>
      <c r="Q455" s="170">
        <f>8000*Entradas!$D$26*P455/Constantes!$E$45</f>
        <v>0</v>
      </c>
      <c r="R455" s="170">
        <f>IF(Escenarios!$E$14&gt;0,K455*Escenarios!$E$13/Escenarios!$E$14,0)</f>
        <v>0</v>
      </c>
      <c r="S455" s="170">
        <f>IF(Escenarios!$E$14&gt;0,Q455*Escenarios!$E$13/Escenarios!$E$14,0)</f>
        <v>0</v>
      </c>
      <c r="T455" s="170">
        <f>IF(Escenarios!$E$14&gt;0,Observaciones!$I454,0)</f>
        <v>0</v>
      </c>
      <c r="U455" s="170">
        <f>IF(Escenarios!$E$14&gt;0,MAX(0,Constantes!$E$36/((Z454+R455+S455+T455+Observaciones!$F454)^2)+Entradas!$E$77),0)</f>
        <v>2.6206430404741963</v>
      </c>
      <c r="V455" s="146">
        <f>IF(ETo!D454&gt;0,ETo!I454*((1-Entradas!$E$81)*ETo!K454+ETo!L454),0)</f>
        <v>3.7000018748141832</v>
      </c>
      <c r="W455" s="170">
        <f>IF(Escenarios!$E$14&gt;0,MIN(V455*1,0.8*(Z454+R455+S455+T455+Observaciones!$F454-U455-Constantes!$E$35)),0)</f>
        <v>3.7000018748141832</v>
      </c>
      <c r="X455" s="170">
        <f>IF(Escenarios!$E$14&gt;0,Observaciones!$J454,0)</f>
        <v>0</v>
      </c>
      <c r="Y455" s="170">
        <f>IF(Escenarios!$E$14&gt;0,MAX(0,Z454+R455+S455+T455+Observaciones!$F454-U455-W455-X455-Constantes!$E$33),0)</f>
        <v>0</v>
      </c>
      <c r="Z455" s="170">
        <f>Z454+R455+S455+T455+Observaciones!$F454-U455-W455-Y455</f>
        <v>158.1894168849314</v>
      </c>
      <c r="AA455" s="170">
        <f>IF(Escenarios!$E$14&gt;0,(Escenarios!$E$13*L455+Escenarios!$E$14*W455)/(Escenarios!$E$16),L455)</f>
        <v>2.2041360172666731</v>
      </c>
      <c r="AB455" s="170">
        <f>IF(Escenarios!$E$14&gt;0,(Escenarios!$E$14*Y455)/(Escenarios!$E$16),K455)</f>
        <v>0</v>
      </c>
      <c r="AC455" s="170">
        <f>IF(Escenarios!$E$14&gt;0,(Escenarios!$E$13*M455+Escenarios!$E$14*U455)/(Escenarios!$E$16),M455)</f>
        <v>0.31447716485690352</v>
      </c>
      <c r="AD455" s="76">
        <f t="shared" ref="AD455:AD518" si="99">AD454+AC455-AE454</f>
        <v>185.59735429445942</v>
      </c>
      <c r="AE455" s="76">
        <f>MAX(0,(AD455-Constantes!$D$13)*(1-EXP(-Constantes!$D$23)))</f>
        <v>1.3483895763636726</v>
      </c>
      <c r="AF455" s="76">
        <f>AB455+O455*Escenarios!$E$13/Escenarios!$E$16+AE455</f>
        <v>1.8987136711304213</v>
      </c>
      <c r="AG455" s="76">
        <f>IF(Entradas!$E$91&gt;0,IF(AF455-Escenarios!$E$38&lt;=0,0,IF(AF455-Escenarios!$E$38&gt;Escenarios!$E$37,Escenarios!$E$37,AF455-Escenarios!$E$38)),0)</f>
        <v>0</v>
      </c>
      <c r="AH455" s="76">
        <f>AG455*Entradas!$E$99</f>
        <v>0</v>
      </c>
      <c r="AI455" s="76">
        <f>IF(Entradas!$E$91&gt;0,D455*Entradas!$D$23/Escenarios!$E$16,0)</f>
        <v>0</v>
      </c>
      <c r="AJ455" s="76">
        <f>IF(Entradas!$E$91&gt;0,Entradas!$D$24*Entradas!$D$22/Escenarios!$E$16,0)</f>
        <v>0</v>
      </c>
      <c r="AK455" s="76">
        <f t="shared" si="94"/>
        <v>2.2041360172666731</v>
      </c>
      <c r="AL455" s="76">
        <f t="shared" si="95"/>
        <v>0</v>
      </c>
      <c r="AM455" s="76">
        <f t="shared" ref="AM455:AM518" si="100">AG455+AL455-AB455</f>
        <v>0</v>
      </c>
      <c r="AN455" s="76">
        <f>MAX(0,O455*Escenarios!$E$13/Escenarios!$E$16-AM455)</f>
        <v>0.55032409476674882</v>
      </c>
      <c r="AO455" s="76">
        <f>AM455+AN455-O455*Escenarios!$E$13/Escenarios!$E$16</f>
        <v>0</v>
      </c>
      <c r="AP455" s="76">
        <f t="shared" si="98"/>
        <v>1.3483895763636726</v>
      </c>
      <c r="AQ455" s="76">
        <f t="shared" ref="AQ455:AQ518" si="101">AO455+AP455-AE455</f>
        <v>0</v>
      </c>
      <c r="AR455" s="76">
        <f t="shared" ref="AR455:AR518" si="102">AL455+AN455+AP455+AH455</f>
        <v>1.8987136711304213</v>
      </c>
      <c r="AS455" s="76">
        <f t="shared" ref="AS455:AS518" si="103">MAX(0,AG455-AH455-AI455-AJ455)</f>
        <v>0</v>
      </c>
      <c r="AT455" s="76">
        <f t="shared" ref="AT455:AT518" si="104">AC455+AS455</f>
        <v>0.31447716485690352</v>
      </c>
      <c r="AU455" s="76">
        <f t="shared" ref="AU455:AU518" si="105">AU454+AS455-AV454</f>
        <v>48.75</v>
      </c>
      <c r="AV455" s="76">
        <f>MAX(0,(AU455-Constantes!$D$13)*(1-EXP(-Constantes!$D$24)))</f>
        <v>0</v>
      </c>
      <c r="AW455" s="170">
        <f>AW454+(Entradas!$E$112*AT455-AX454)/(800*Entradas!$D$25)</f>
        <v>0</v>
      </c>
      <c r="AX455" s="170">
        <f>8000*Entradas!$D$26*AW455/Constantes!$E$45</f>
        <v>0</v>
      </c>
      <c r="AY455" s="170">
        <f>IF(Escenarios!$E$17&gt;0,10*Escenarios!$E$16*AL455,0)</f>
        <v>0</v>
      </c>
      <c r="AZ455" s="170">
        <f>IF(Escenarios!$E$17&gt;0,10*Escenarios!$E$16*AX455,0)</f>
        <v>0</v>
      </c>
      <c r="BA455" s="170">
        <f>IF(Escenarios!$E$17&gt;0,0.001*Observaciones!$F454*Escenarios!$E$17,0)</f>
        <v>0</v>
      </c>
      <c r="BB455" s="170">
        <f>IF(Escenarios!$E$17&gt;0,Observaciones!$K454,0)</f>
        <v>0</v>
      </c>
      <c r="BC455" s="170">
        <f>IF(Escenarios!$E$17&gt;0,MIN(0.0005*ETo!$M454*Escenarios!$E$17*(BG454/Constantes!$E$40)^(2/3),BG454+AY455+AZ455+BA455+BB455),0)</f>
        <v>44.301761240972112</v>
      </c>
      <c r="BD455" s="170">
        <f>IF(Escenarios!$E$17&gt;0,MIN(Constantes!$E$39*(BG454/Constantes!$E$40)^(2/3),BG454+AY455+AZ455+BA455+BB455-BC455),0)</f>
        <v>76.698351508065471</v>
      </c>
      <c r="BE455" s="170">
        <f>IF(Escenarios!$E$17&gt;0,MIN(Entradas!$E$113,BG454+AY455+AZ455+BA455+BB455-BC455-BD455),0)</f>
        <v>1</v>
      </c>
      <c r="BF455" s="170">
        <f>IF(Escenarios!$E$17&gt;0,MAX(0,BG454+AY455+AZ455+BA455+BB455-BC455-BD455-BE455-Constantes!$E$40),0)</f>
        <v>0</v>
      </c>
      <c r="BG455" s="170">
        <f t="shared" si="96"/>
        <v>6136.2484020941647</v>
      </c>
      <c r="BH455" s="170">
        <f>(Escenarios!$E$16*AK455+0.1*BC455)/(Escenarios!$E$19)</f>
        <v>2.204222938257006</v>
      </c>
      <c r="BI455" s="170">
        <f>IF(Escenarios!$E$17&gt;0,BF455/10/Escenarios!$E$19,AL455)</f>
        <v>0</v>
      </c>
      <c r="BJ455" s="170">
        <f>(Escenarios!$E$16*AT455+0.1*BD455)/(Escenarios!$E$19)</f>
        <v>0.34241716811520806</v>
      </c>
      <c r="BK455" s="76">
        <f>BK454+(0.1*BD455)/(Escenarios!$E$19)-BL454</f>
        <v>50.540818079360612</v>
      </c>
      <c r="BL455" s="76">
        <f>MAX(0,(BK455-Constantes!$D$13)*(1-EXP(-Constantes!$D$23)))</f>
        <v>1.7645357075575026E-2</v>
      </c>
      <c r="BM455" s="76">
        <f t="shared" ref="BM455:BM518" si="106">AP455+AV455+BL455</f>
        <v>1.3660349334392476</v>
      </c>
      <c r="BN455" s="76">
        <f t="shared" si="97"/>
        <v>1.9163590282059964</v>
      </c>
      <c r="BO455" s="76">
        <f>0.0526*BI455*Observaciones!$F454^1.218</f>
        <v>0</v>
      </c>
      <c r="BP455" s="76">
        <f>BO455*Constantes!$E$51</f>
        <v>0</v>
      </c>
      <c r="BQ455" s="76">
        <f t="shared" ref="BQ455:BQ518" si="107">BP455*1000000/(BN455/1000*10000)</f>
        <v>0</v>
      </c>
      <c r="BR455" s="40"/>
    </row>
    <row r="456" spans="1:70">
      <c r="A456" s="147"/>
      <c r="B456" s="39"/>
      <c r="C456" s="75">
        <v>450</v>
      </c>
      <c r="D456" s="146">
        <f>ETo!$I455*((1-Constantes!$E$19)*ETo!$K455+ETo!$L455)</f>
        <v>3.9513809328397209</v>
      </c>
      <c r="E456" s="76">
        <f>MIN(D456*Constantes!$E$17,0.8*(N455+Observaciones!$F455-F456-M456-Constantes!$D$14))</f>
        <v>1.9318787916246452</v>
      </c>
      <c r="F456" s="76">
        <f>IF(Observaciones!$F455&gt;0.05*Constantes!$E$18,((Observaciones!$F455-0.05*Constantes!$E$18)^2)/(Observaciones!$F455+0.95*Constantes!$E$18),0)</f>
        <v>0</v>
      </c>
      <c r="G456" s="76">
        <f>IF(Escenarios!$E$11&gt;0,(F456*Escenarios!$E$16*10000)/1000,0)</f>
        <v>0</v>
      </c>
      <c r="H456" s="76">
        <f>IF(Escenarios!$E$11&gt;0,(Observaciones!$F455*Constantes!$E$29)/1000,0)</f>
        <v>0</v>
      </c>
      <c r="I456" s="76">
        <f>IF(Escenarios!$E$11&gt;0,(D456*Constantes!$E$29)/1000,0)</f>
        <v>39.513809328397215</v>
      </c>
      <c r="J456" s="76">
        <f>IF(Escenarios!$E$11&gt;0,MAX(0,G456+H456-I456),0)</f>
        <v>0</v>
      </c>
      <c r="K456" s="76">
        <f>IF(Escenarios!$E$11&gt;0,IF(J456&gt;Constantes!$E$30,1000*((J456-Constantes!$E$30)/(Escenarios!$E$16*10000)),0),F456)</f>
        <v>0</v>
      </c>
      <c r="L456" s="76">
        <f>IF(Escenarios!$E$11&gt;0,I456*1000/Escenarios!$E$16/10000+E456,E456)</f>
        <v>1.9476843153560039</v>
      </c>
      <c r="M456" s="76">
        <f>MAX(0,N455+Observaciones!$F455-K456-Constantes!$D$13)</f>
        <v>0</v>
      </c>
      <c r="N456" s="76">
        <f>N455+Observaciones!$F455-K456-L456-M456-O455</f>
        <v>27.035752238217512</v>
      </c>
      <c r="O456" s="76">
        <f>MAX(0,(N456-Constantes!$D$14)*(1-EXP(-Constantes!$D$22)))</f>
        <v>0.53772067191652373</v>
      </c>
      <c r="P456" s="170">
        <f>P455+(Entradas!$E$83*M456-Q455)/(800*Entradas!$D$25)</f>
        <v>0</v>
      </c>
      <c r="Q456" s="170">
        <f>8000*Entradas!$D$26*P456/Constantes!$E$45</f>
        <v>0</v>
      </c>
      <c r="R456" s="170">
        <f>IF(Escenarios!$E$14&gt;0,K456*Escenarios!$E$13/Escenarios!$E$14,0)</f>
        <v>0</v>
      </c>
      <c r="S456" s="170">
        <f>IF(Escenarios!$E$14&gt;0,Q456*Escenarios!$E$13/Escenarios!$E$14,0)</f>
        <v>0</v>
      </c>
      <c r="T456" s="170">
        <f>IF(Escenarios!$E$14&gt;0,Observaciones!$I455,0)</f>
        <v>0</v>
      </c>
      <c r="U456" s="170">
        <f>IF(Escenarios!$E$14&gt;0,MAX(0,Constantes!$E$36/((Z455+R456+S456+T456+Observaciones!$F455)^2)+Entradas!$E$77),0)</f>
        <v>2.5897220880666616</v>
      </c>
      <c r="V456" s="146">
        <f>IF(ETo!D455&gt;0,ETo!I455*((1-Entradas!$E$81)*ETo!K455+ETo!L455),0)</f>
        <v>3.6013147799505396</v>
      </c>
      <c r="W456" s="170">
        <f>IF(Escenarios!$E$14&gt;0,MIN(V456*1,0.8*(Z455+R456+S456+T456+Observaciones!$F455-U456-Constantes!$E$35)),0)</f>
        <v>3.6013147799505396</v>
      </c>
      <c r="X456" s="170">
        <f>IF(Escenarios!$E$14&gt;0,Observaciones!$J455,0)</f>
        <v>0</v>
      </c>
      <c r="Y456" s="170">
        <f>IF(Escenarios!$E$14&gt;0,MAX(0,Z455+R456+S456+T456+Observaciones!$F455-U456-W456-X456-Constantes!$E$33),0)</f>
        <v>0</v>
      </c>
      <c r="Z456" s="170">
        <f>Z455+R456+S456+T456+Observaciones!$F455-U456-W456-Y456</f>
        <v>151.99838001691421</v>
      </c>
      <c r="AA456" s="170">
        <f>IF(Escenarios!$E$14&gt;0,(Escenarios!$E$13*L456+Escenarios!$E$14*W456)/(Escenarios!$E$16),L456)</f>
        <v>2.146119971107348</v>
      </c>
      <c r="AB456" s="170">
        <f>IF(Escenarios!$E$14&gt;0,(Escenarios!$E$14*Y456)/(Escenarios!$E$16),K456)</f>
        <v>0</v>
      </c>
      <c r="AC456" s="170">
        <f>IF(Escenarios!$E$14&gt;0,(Escenarios!$E$13*M456+Escenarios!$E$14*U456)/(Escenarios!$E$16),M456)</f>
        <v>0.31076665056799935</v>
      </c>
      <c r="AD456" s="76">
        <f t="shared" si="99"/>
        <v>184.55973136866376</v>
      </c>
      <c r="AE456" s="76">
        <f>MAX(0,(AD456-Constantes!$D$13)*(1-EXP(-Constantes!$D$23)))</f>
        <v>1.3381656305332819</v>
      </c>
      <c r="AF456" s="76">
        <f>AB456+O456*Escenarios!$E$13/Escenarios!$E$16+AE456</f>
        <v>1.8113598218198228</v>
      </c>
      <c r="AG456" s="76">
        <f>IF(Entradas!$E$91&gt;0,IF(AF456-Escenarios!$E$38&lt;=0,0,IF(AF456-Escenarios!$E$38&gt;Escenarios!$E$37,Escenarios!$E$37,AF456-Escenarios!$E$38)),0)</f>
        <v>0</v>
      </c>
      <c r="AH456" s="76">
        <f>AG456*Entradas!$E$99</f>
        <v>0</v>
      </c>
      <c r="AI456" s="76">
        <f>IF(Entradas!$E$91&gt;0,D456*Entradas!$D$23/Escenarios!$E$16,0)</f>
        <v>0</v>
      </c>
      <c r="AJ456" s="76">
        <f>IF(Entradas!$E$91&gt;0,Entradas!$D$24*Entradas!$D$22/Escenarios!$E$16,0)</f>
        <v>0</v>
      </c>
      <c r="AK456" s="76">
        <f t="shared" ref="AK456:AK519" si="108">AA456+AI456</f>
        <v>2.146119971107348</v>
      </c>
      <c r="AL456" s="76">
        <f t="shared" ref="AL456:AL519" si="109">MAX(0,AB456-AG456)</f>
        <v>0</v>
      </c>
      <c r="AM456" s="76">
        <f t="shared" si="100"/>
        <v>0</v>
      </c>
      <c r="AN456" s="76">
        <f>MAX(0,O456*Escenarios!$E$13/Escenarios!$E$16-AM456)</f>
        <v>0.47319419128654089</v>
      </c>
      <c r="AO456" s="76">
        <f>AM456+AN456-O456*Escenarios!$E$13/Escenarios!$E$16</f>
        <v>0</v>
      </c>
      <c r="AP456" s="76">
        <f t="shared" si="98"/>
        <v>1.3381656305332819</v>
      </c>
      <c r="AQ456" s="76">
        <f t="shared" si="101"/>
        <v>0</v>
      </c>
      <c r="AR456" s="76">
        <f t="shared" si="102"/>
        <v>1.8113598218198228</v>
      </c>
      <c r="AS456" s="76">
        <f t="shared" si="103"/>
        <v>0</v>
      </c>
      <c r="AT456" s="76">
        <f t="shared" si="104"/>
        <v>0.31076665056799935</v>
      </c>
      <c r="AU456" s="76">
        <f t="shared" si="105"/>
        <v>48.75</v>
      </c>
      <c r="AV456" s="76">
        <f>MAX(0,(AU456-Constantes!$D$13)*(1-EXP(-Constantes!$D$24)))</f>
        <v>0</v>
      </c>
      <c r="AW456" s="170">
        <f>AW455+(Entradas!$E$112*AT456-AX455)/(800*Entradas!$D$25)</f>
        <v>0</v>
      </c>
      <c r="AX456" s="170">
        <f>8000*Entradas!$D$26*AW456/Constantes!$E$45</f>
        <v>0</v>
      </c>
      <c r="AY456" s="170">
        <f>IF(Escenarios!$E$17&gt;0,10*Escenarios!$E$16*AL456,0)</f>
        <v>0</v>
      </c>
      <c r="AZ456" s="170">
        <f>IF(Escenarios!$E$17&gt;0,10*Escenarios!$E$16*AX456,0)</f>
        <v>0</v>
      </c>
      <c r="BA456" s="170">
        <f>IF(Escenarios!$E$17&gt;0,0.001*Observaciones!$F455*Escenarios!$E$17,0)</f>
        <v>0</v>
      </c>
      <c r="BB456" s="170">
        <f>IF(Escenarios!$E$17&gt;0,Observaciones!$K455,0)</f>
        <v>0</v>
      </c>
      <c r="BC456" s="170">
        <f>IF(Escenarios!$E$17&gt;0,MIN(0.0005*ETo!$M455*Escenarios!$E$17*(BG455/Constantes!$E$40)^(2/3),BG455+AY456+AZ456+BA456+BB456),0)</f>
        <v>42.60130187990088</v>
      </c>
      <c r="BD456" s="170">
        <f>IF(Escenarios!$E$17&gt;0,MIN(Constantes!$E$39*(BG455/Constantes!$E$40)^(2/3),BG455+AY456+AZ456+BA456+BB456-BC456),0)</f>
        <v>75.698297901892374</v>
      </c>
      <c r="BE456" s="170">
        <f>IF(Escenarios!$E$17&gt;0,MIN(Entradas!$E$113,BG455+AY456+AZ456+BA456+BB456-BC456-BD456),0)</f>
        <v>1</v>
      </c>
      <c r="BF456" s="170">
        <f>IF(Escenarios!$E$17&gt;0,MAX(0,BG455+AY456+AZ456+BA456+BB456-BC456-BD456-BE456-Constantes!$E$40),0)</f>
        <v>0</v>
      </c>
      <c r="BG456" s="170">
        <f t="shared" ref="BG456:BG519" si="110">BG455+AY456+AZ456+BA456+BB456-BF456-BC456-BD456-BE456</f>
        <v>6016.9488023123713</v>
      </c>
      <c r="BH456" s="170">
        <f>(Escenarios!$E$16*AK456+0.1*BC456)/(Escenarios!$E$19)</f>
        <v>2.1459925514477267</v>
      </c>
      <c r="BI456" s="170">
        <f>IF(Escenarios!$E$17&gt;0,BF456/10/Escenarios!$E$19,AL456)</f>
        <v>0</v>
      </c>
      <c r="BJ456" s="170">
        <f>(Escenarios!$E$16*AT456+0.1*BD456)/(Escenarios!$E$19)</f>
        <v>0.33833925568328999</v>
      </c>
      <c r="BK456" s="76">
        <f>BK455+(0.1*BD456)/(Escenarios!$E$19)-BL455</f>
        <v>50.553211729388963</v>
      </c>
      <c r="BL456" s="76">
        <f>MAX(0,(BK456-Constantes!$D$13)*(1-EXP(-Constantes!$D$23)))</f>
        <v>1.7767474661241817E-2</v>
      </c>
      <c r="BM456" s="76">
        <f t="shared" si="106"/>
        <v>1.3559331051945236</v>
      </c>
      <c r="BN456" s="76">
        <f t="shared" ref="BN456:BN519" si="111">AN456+AP456+AV456+BI456+BL456</f>
        <v>1.8291272964810645</v>
      </c>
      <c r="BO456" s="76">
        <f>0.0526*BI456*Observaciones!$F455^1.218</f>
        <v>0</v>
      </c>
      <c r="BP456" s="76">
        <f>BO456*Constantes!$E$51</f>
        <v>0</v>
      </c>
      <c r="BQ456" s="76">
        <f t="shared" si="107"/>
        <v>0</v>
      </c>
      <c r="BR456" s="40"/>
    </row>
    <row r="457" spans="1:70">
      <c r="A457" s="147"/>
      <c r="B457" s="39"/>
      <c r="C457" s="75">
        <v>451</v>
      </c>
      <c r="D457" s="146">
        <f>ETo!$I456*((1-Constantes!$E$19)*ETo!$K456+ETo!$L456)</f>
        <v>3.9855977732111381</v>
      </c>
      <c r="E457" s="76">
        <f>MIN(D457*Constantes!$E$17,0.8*(N456+Observaciones!$F456-F457-M457-Constantes!$D$14))</f>
        <v>1.9486078261959694</v>
      </c>
      <c r="F457" s="76">
        <f>IF(Observaciones!$F456&gt;0.05*Constantes!$E$18,((Observaciones!$F456-0.05*Constantes!$E$18)^2)/(Observaciones!$F456+0.95*Constantes!$E$18),0)</f>
        <v>0</v>
      </c>
      <c r="G457" s="76">
        <f>IF(Escenarios!$E$11&gt;0,(F457*Escenarios!$E$16*10000)/1000,0)</f>
        <v>0</v>
      </c>
      <c r="H457" s="76">
        <f>IF(Escenarios!$E$11&gt;0,(Observaciones!$F456*Constantes!$E$29)/1000,0)</f>
        <v>0</v>
      </c>
      <c r="I457" s="76">
        <f>IF(Escenarios!$E$11&gt;0,(D457*Constantes!$E$29)/1000,0)</f>
        <v>39.855977732111377</v>
      </c>
      <c r="J457" s="76">
        <f>IF(Escenarios!$E$11&gt;0,MAX(0,G457+H457-I457),0)</f>
        <v>0</v>
      </c>
      <c r="K457" s="76">
        <f>IF(Escenarios!$E$11&gt;0,IF(J457&gt;Constantes!$E$30,1000*((J457-Constantes!$E$30)/(Escenarios!$E$16*10000)),0),F457)</f>
        <v>0</v>
      </c>
      <c r="L457" s="76">
        <f>IF(Escenarios!$E$11&gt;0,I457*1000/Escenarios!$E$16/10000+E457,E457)</f>
        <v>1.9645502172888138</v>
      </c>
      <c r="M457" s="76">
        <f>MAX(0,N456+Observaciones!$F456-K457-Constantes!$D$13)</f>
        <v>0</v>
      </c>
      <c r="N457" s="76">
        <f>N456+Observaciones!$F456-K457-L457-M457-O456</f>
        <v>24.533481349012174</v>
      </c>
      <c r="O457" s="76">
        <f>MAX(0,(N457-Constantes!$D$14)*(1-EXP(-Constantes!$D$22)))</f>
        <v>0.45248413940569893</v>
      </c>
      <c r="P457" s="170">
        <f>P456+(Entradas!$E$83*M457-Q456)/(800*Entradas!$D$25)</f>
        <v>0</v>
      </c>
      <c r="Q457" s="170">
        <f>8000*Entradas!$D$26*P457/Constantes!$E$45</f>
        <v>0</v>
      </c>
      <c r="R457" s="170">
        <f>IF(Escenarios!$E$14&gt;0,K457*Escenarios!$E$13/Escenarios!$E$14,0)</f>
        <v>0</v>
      </c>
      <c r="S457" s="170">
        <f>IF(Escenarios!$E$14&gt;0,Q457*Escenarios!$E$13/Escenarios!$E$14,0)</f>
        <v>0</v>
      </c>
      <c r="T457" s="170">
        <f>IF(Escenarios!$E$14&gt;0,Observaciones!$I456,0)</f>
        <v>0</v>
      </c>
      <c r="U457" s="170">
        <f>IF(Escenarios!$E$14&gt;0,MAX(0,Constantes!$E$36/((Z456+R457+S457+T457+Observaciones!$F456)^2)+Entradas!$E$77),0)</f>
        <v>2.5556194232559184</v>
      </c>
      <c r="V457" s="146">
        <f>IF(ETo!D456&gt;0,ETo!I456*((1-Entradas!$E$81)*ETo!K456+ETo!L456),0)</f>
        <v>3.6327884880265575</v>
      </c>
      <c r="W457" s="170">
        <f>IF(Escenarios!$E$14&gt;0,MIN(V457*1,0.8*(Z456+R457+S457+T457+Observaciones!$F456-U457-Constantes!$E$35)),0)</f>
        <v>3.6327884880265575</v>
      </c>
      <c r="X457" s="170">
        <f>IF(Escenarios!$E$14&gt;0,Observaciones!$J456,0)</f>
        <v>0</v>
      </c>
      <c r="Y457" s="170">
        <f>IF(Escenarios!$E$14&gt;0,MAX(0,Z456+R457+S457+T457+Observaciones!$F456-U457-W457-X457-Constantes!$E$33),0)</f>
        <v>0</v>
      </c>
      <c r="Z457" s="170">
        <f>Z456+R457+S457+T457+Observaciones!$F456-U457-W457-Y457</f>
        <v>145.80997210563174</v>
      </c>
      <c r="AA457" s="170">
        <f>IF(Escenarios!$E$14&gt;0,(Escenarios!$E$13*L457+Escenarios!$E$14*W457)/(Escenarios!$E$16),L457)</f>
        <v>2.1647388097773432</v>
      </c>
      <c r="AB457" s="170">
        <f>IF(Escenarios!$E$14&gt;0,(Escenarios!$E$14*Y457)/(Escenarios!$E$16),K457)</f>
        <v>0</v>
      </c>
      <c r="AC457" s="170">
        <f>IF(Escenarios!$E$14&gt;0,(Escenarios!$E$13*M457+Escenarios!$E$14*U457)/(Escenarios!$E$16),M457)</f>
        <v>0.30667433079071021</v>
      </c>
      <c r="AD457" s="76">
        <f t="shared" si="99"/>
        <v>183.52824006892121</v>
      </c>
      <c r="AE457" s="76">
        <f>MAX(0,(AD457-Constantes!$D$13)*(1-EXP(-Constantes!$D$23)))</f>
        <v>1.328002101074832</v>
      </c>
      <c r="AF457" s="76">
        <f>AB457+O457*Escenarios!$E$13/Escenarios!$E$16+AE457</f>
        <v>1.7261881437518469</v>
      </c>
      <c r="AG457" s="76">
        <f>IF(Entradas!$E$91&gt;0,IF(AF457-Escenarios!$E$38&lt;=0,0,IF(AF457-Escenarios!$E$38&gt;Escenarios!$E$37,Escenarios!$E$37,AF457-Escenarios!$E$38)),0)</f>
        <v>0</v>
      </c>
      <c r="AH457" s="76">
        <f>AG457*Entradas!$E$99</f>
        <v>0</v>
      </c>
      <c r="AI457" s="76">
        <f>IF(Entradas!$E$91&gt;0,D457*Entradas!$D$23/Escenarios!$E$16,0)</f>
        <v>0</v>
      </c>
      <c r="AJ457" s="76">
        <f>IF(Entradas!$E$91&gt;0,Entradas!$D$24*Entradas!$D$22/Escenarios!$E$16,0)</f>
        <v>0</v>
      </c>
      <c r="AK457" s="76">
        <f t="shared" si="108"/>
        <v>2.1647388097773432</v>
      </c>
      <c r="AL457" s="76">
        <f t="shared" si="109"/>
        <v>0</v>
      </c>
      <c r="AM457" s="76">
        <f t="shared" si="100"/>
        <v>0</v>
      </c>
      <c r="AN457" s="76">
        <f>MAX(0,O457*Escenarios!$E$13/Escenarios!$E$16-AM457)</f>
        <v>0.39818604267701507</v>
      </c>
      <c r="AO457" s="76">
        <f>AM457+AN457-O457*Escenarios!$E$13/Escenarios!$E$16</f>
        <v>0</v>
      </c>
      <c r="AP457" s="76">
        <f t="shared" si="98"/>
        <v>1.328002101074832</v>
      </c>
      <c r="AQ457" s="76">
        <f t="shared" si="101"/>
        <v>0</v>
      </c>
      <c r="AR457" s="76">
        <f t="shared" si="102"/>
        <v>1.7261881437518469</v>
      </c>
      <c r="AS457" s="76">
        <f t="shared" si="103"/>
        <v>0</v>
      </c>
      <c r="AT457" s="76">
        <f t="shared" si="104"/>
        <v>0.30667433079071021</v>
      </c>
      <c r="AU457" s="76">
        <f t="shared" si="105"/>
        <v>48.75</v>
      </c>
      <c r="AV457" s="76">
        <f>MAX(0,(AU457-Constantes!$D$13)*(1-EXP(-Constantes!$D$24)))</f>
        <v>0</v>
      </c>
      <c r="AW457" s="170">
        <f>AW456+(Entradas!$E$112*AT457-AX456)/(800*Entradas!$D$25)</f>
        <v>0</v>
      </c>
      <c r="AX457" s="170">
        <f>8000*Entradas!$D$26*AW457/Constantes!$E$45</f>
        <v>0</v>
      </c>
      <c r="AY457" s="170">
        <f>IF(Escenarios!$E$17&gt;0,10*Escenarios!$E$16*AL457,0)</f>
        <v>0</v>
      </c>
      <c r="AZ457" s="170">
        <f>IF(Escenarios!$E$17&gt;0,10*Escenarios!$E$16*AX457,0)</f>
        <v>0</v>
      </c>
      <c r="BA457" s="170">
        <f>IF(Escenarios!$E$17&gt;0,0.001*Observaciones!$F456*Escenarios!$E$17,0)</f>
        <v>0</v>
      </c>
      <c r="BB457" s="170">
        <f>IF(Escenarios!$E$17&gt;0,Observaciones!$K456,0)</f>
        <v>0</v>
      </c>
      <c r="BC457" s="170">
        <f>IF(Escenarios!$E$17&gt;0,MIN(0.0005*ETo!$M456*Escenarios!$E$17*(BG456/Constantes!$E$40)^(2/3),BG456+AY457+AZ457+BA457+BB457),0)</f>
        <v>42.407204927875924</v>
      </c>
      <c r="BD457" s="170">
        <f>IF(Escenarios!$E$17&gt;0,MIN(Constantes!$E$39*(BG456/Constantes!$E$40)^(2/3),BG456+AY457+AZ457+BA457+BB457-BC457),0)</f>
        <v>74.71395109330831</v>
      </c>
      <c r="BE457" s="170">
        <f>IF(Escenarios!$E$17&gt;0,MIN(Entradas!$E$113,BG456+AY457+AZ457+BA457+BB457-BC457-BD457),0)</f>
        <v>1</v>
      </c>
      <c r="BF457" s="170">
        <f>IF(Escenarios!$E$17&gt;0,MAX(0,BG456+AY457+AZ457+BA457+BB457-BC457-BD457-BE457-Constantes!$E$40),0)</f>
        <v>0</v>
      </c>
      <c r="BG457" s="170">
        <f t="shared" si="110"/>
        <v>5898.8276462911872</v>
      </c>
      <c r="BH457" s="170">
        <f>(Escenarios!$E$16*AK457+0.1*BC457)/(Escenarios!$E$19)</f>
        <v>2.1643865989568387</v>
      </c>
      <c r="BI457" s="170">
        <f>IF(Escenarios!$E$17&gt;0,BF457/10/Escenarios!$E$19,AL457)</f>
        <v>0</v>
      </c>
      <c r="BJ457" s="170">
        <f>(Escenarios!$E$16*AT457+0.1*BD457)/(Escenarios!$E$19)</f>
        <v>0.33388880082146183</v>
      </c>
      <c r="BK457" s="76">
        <f>BK456+(0.1*BD457)/(Escenarios!$E$19)-BL456</f>
        <v>50.56509264801872</v>
      </c>
      <c r="BL457" s="76">
        <f>MAX(0,(BK457-Constantes!$D$13)*(1-EXP(-Constantes!$D$23)))</f>
        <v>1.7884540182315157E-2</v>
      </c>
      <c r="BM457" s="76">
        <f t="shared" si="106"/>
        <v>1.3458866412571471</v>
      </c>
      <c r="BN457" s="76">
        <f t="shared" si="111"/>
        <v>1.744072683934162</v>
      </c>
      <c r="BO457" s="76">
        <f>0.0526*BI457*Observaciones!$F456^1.218</f>
        <v>0</v>
      </c>
      <c r="BP457" s="76">
        <f>BO457*Constantes!$E$51</f>
        <v>0</v>
      </c>
      <c r="BQ457" s="76">
        <f t="shared" si="107"/>
        <v>0</v>
      </c>
      <c r="BR457" s="40"/>
    </row>
    <row r="458" spans="1:70">
      <c r="A458" s="147"/>
      <c r="B458" s="39"/>
      <c r="C458" s="75">
        <v>452</v>
      </c>
      <c r="D458" s="146">
        <f>ETo!$I457*((1-Constantes!$E$19)*ETo!$K457+ETo!$L457)</f>
        <v>3.8589997343640561</v>
      </c>
      <c r="E458" s="76">
        <f>MIN(D458*Constantes!$E$17,0.8*(N457+Observaciones!$F457-F458-M458-Constantes!$D$14))</f>
        <v>1.8867124861953826</v>
      </c>
      <c r="F458" s="76">
        <f>IF(Observaciones!$F457&gt;0.05*Constantes!$E$18,((Observaciones!$F457-0.05*Constantes!$E$18)^2)/(Observaciones!$F457+0.95*Constantes!$E$18),0)</f>
        <v>0.26515660165489935</v>
      </c>
      <c r="G458" s="76">
        <f>IF(Escenarios!$E$11&gt;0,(F458*Escenarios!$E$16*10000)/1000,0)</f>
        <v>662.89150413724838</v>
      </c>
      <c r="H458" s="76">
        <f>IF(Escenarios!$E$11&gt;0,(Observaciones!$F457*Constantes!$E$29)/1000,0)</f>
        <v>117</v>
      </c>
      <c r="I458" s="76">
        <f>IF(Escenarios!$E$11&gt;0,(D458*Constantes!$E$29)/1000,0)</f>
        <v>38.589997343640562</v>
      </c>
      <c r="J458" s="76">
        <f>IF(Escenarios!$E$11&gt;0,MAX(0,G458+H458-I458),0)</f>
        <v>741.30150679360781</v>
      </c>
      <c r="K458" s="76">
        <f>IF(Escenarios!$E$11&gt;0,IF(J458&gt;Constantes!$E$30,1000*((J458-Constantes!$E$30)/(Escenarios!$E$16*10000)),0),F458)</f>
        <v>0</v>
      </c>
      <c r="L458" s="76">
        <f>IF(Escenarios!$E$11&gt;0,I458*1000/Escenarios!$E$16/10000+E458,E458)</f>
        <v>1.9021484851328387</v>
      </c>
      <c r="M458" s="76">
        <f>MAX(0,N457+Observaciones!$F457-K458-Constantes!$D$13)</f>
        <v>0</v>
      </c>
      <c r="N458" s="76">
        <f>N457+Observaciones!$F457-K458-L458-M458-O457</f>
        <v>33.878848724473634</v>
      </c>
      <c r="O458" s="76">
        <f>MAX(0,(N458-Constantes!$D$14)*(1-EXP(-Constantes!$D$22)))</f>
        <v>0.77082165975989714</v>
      </c>
      <c r="P458" s="170">
        <f>P457+(Entradas!$E$83*M458-Q457)/(800*Entradas!$D$25)</f>
        <v>0</v>
      </c>
      <c r="Q458" s="170">
        <f>8000*Entradas!$D$26*P458/Constantes!$E$45</f>
        <v>0</v>
      </c>
      <c r="R458" s="170">
        <f>IF(Escenarios!$E$14&gt;0,K458*Escenarios!$E$13/Escenarios!$E$14,0)</f>
        <v>0</v>
      </c>
      <c r="S458" s="170">
        <f>IF(Escenarios!$E$14&gt;0,Q458*Escenarios!$E$13/Escenarios!$E$14,0)</f>
        <v>0</v>
      </c>
      <c r="T458" s="170">
        <f>IF(Escenarios!$E$14&gt;0,Observaciones!$I457,0)</f>
        <v>0</v>
      </c>
      <c r="U458" s="170">
        <f>IF(Escenarios!$E$14&gt;0,MAX(0,Constantes!$E$36/((Z457+R458+S458+T458+Observaciones!$F457)^2)+Entradas!$E$77),0)</f>
        <v>2.586174853280764</v>
      </c>
      <c r="V458" s="146">
        <f>IF(ETo!D457&gt;0,ETo!I457*((1-Entradas!$E$81)*ETo!K457+ETo!L457),0)</f>
        <v>3.5156131515028823</v>
      </c>
      <c r="W458" s="170">
        <f>IF(Escenarios!$E$14&gt;0,MIN(V458*1,0.8*(Z457+R458+S458+T458+Observaciones!$F457-U458-Constantes!$E$35)),0)</f>
        <v>3.5156131515028823</v>
      </c>
      <c r="X458" s="170">
        <f>IF(Escenarios!$E$14&gt;0,Observaciones!$J457,0)</f>
        <v>0</v>
      </c>
      <c r="Y458" s="170">
        <f>IF(Escenarios!$E$14&gt;0,MAX(0,Z457+R458+S458+T458+Observaciones!$F457-U458-W458-X458-Constantes!$E$33),0)</f>
        <v>0</v>
      </c>
      <c r="Z458" s="170">
        <f>Z457+R458+S458+T458+Observaciones!$F457-U458-W458-Y458</f>
        <v>151.40818410084808</v>
      </c>
      <c r="AA458" s="170">
        <f>IF(Escenarios!$E$14&gt;0,(Escenarios!$E$13*L458+Escenarios!$E$14*W458)/(Escenarios!$E$16),L458)</f>
        <v>2.0957642450972438</v>
      </c>
      <c r="AB458" s="170">
        <f>IF(Escenarios!$E$14&gt;0,(Escenarios!$E$14*Y458)/(Escenarios!$E$16),K458)</f>
        <v>0</v>
      </c>
      <c r="AC458" s="170">
        <f>IF(Escenarios!$E$14&gt;0,(Escenarios!$E$13*M458+Escenarios!$E$14*U458)/(Escenarios!$E$16),M458)</f>
        <v>0.31034098239369168</v>
      </c>
      <c r="AD458" s="76">
        <f t="shared" si="99"/>
        <v>182.51057895024005</v>
      </c>
      <c r="AE458" s="76">
        <f>MAX(0,(AD458-Constantes!$D$13)*(1-EXP(-Constantes!$D$23)))</f>
        <v>1.3179748436844725</v>
      </c>
      <c r="AF458" s="76">
        <f>AB458+O458*Escenarios!$E$13/Escenarios!$E$16+AE458</f>
        <v>1.9962979042731819</v>
      </c>
      <c r="AG458" s="76">
        <f>IF(Entradas!$E$91&gt;0,IF(AF458-Escenarios!$E$38&lt;=0,0,IF(AF458-Escenarios!$E$38&gt;Escenarios!$E$37,Escenarios!$E$37,AF458-Escenarios!$E$38)),0)</f>
        <v>0</v>
      </c>
      <c r="AH458" s="76">
        <f>AG458*Entradas!$E$99</f>
        <v>0</v>
      </c>
      <c r="AI458" s="76">
        <f>IF(Entradas!$E$91&gt;0,D458*Entradas!$D$23/Escenarios!$E$16,0)</f>
        <v>0</v>
      </c>
      <c r="AJ458" s="76">
        <f>IF(Entradas!$E$91&gt;0,Entradas!$D$24*Entradas!$D$22/Escenarios!$E$16,0)</f>
        <v>0</v>
      </c>
      <c r="AK458" s="76">
        <f t="shared" si="108"/>
        <v>2.0957642450972438</v>
      </c>
      <c r="AL458" s="76">
        <f t="shared" si="109"/>
        <v>0</v>
      </c>
      <c r="AM458" s="76">
        <f t="shared" si="100"/>
        <v>0</v>
      </c>
      <c r="AN458" s="76">
        <f>MAX(0,O458*Escenarios!$E$13/Escenarios!$E$16-AM458)</f>
        <v>0.6783230605887095</v>
      </c>
      <c r="AO458" s="76">
        <f>AM458+AN458-O458*Escenarios!$E$13/Escenarios!$E$16</f>
        <v>0</v>
      </c>
      <c r="AP458" s="76">
        <f t="shared" si="98"/>
        <v>1.3179748436844725</v>
      </c>
      <c r="AQ458" s="76">
        <f t="shared" si="101"/>
        <v>0</v>
      </c>
      <c r="AR458" s="76">
        <f t="shared" si="102"/>
        <v>1.9962979042731819</v>
      </c>
      <c r="AS458" s="76">
        <f t="shared" si="103"/>
        <v>0</v>
      </c>
      <c r="AT458" s="76">
        <f t="shared" si="104"/>
        <v>0.31034098239369168</v>
      </c>
      <c r="AU458" s="76">
        <f t="shared" si="105"/>
        <v>48.75</v>
      </c>
      <c r="AV458" s="76">
        <f>MAX(0,(AU458-Constantes!$D$13)*(1-EXP(-Constantes!$D$24)))</f>
        <v>0</v>
      </c>
      <c r="AW458" s="170">
        <f>AW457+(Entradas!$E$112*AT458-AX457)/(800*Entradas!$D$25)</f>
        <v>0</v>
      </c>
      <c r="AX458" s="170">
        <f>8000*Entradas!$D$26*AW458/Constantes!$E$45</f>
        <v>0</v>
      </c>
      <c r="AY458" s="170">
        <f>IF(Escenarios!$E$17&gt;0,10*Escenarios!$E$16*AL458,0)</f>
        <v>0</v>
      </c>
      <c r="AZ458" s="170">
        <f>IF(Escenarios!$E$17&gt;0,10*Escenarios!$E$16*AX458,0)</f>
        <v>0</v>
      </c>
      <c r="BA458" s="170">
        <f>IF(Escenarios!$E$17&gt;0,0.001*Observaciones!$F457*Escenarios!$E$17,0)</f>
        <v>234</v>
      </c>
      <c r="BB458" s="170">
        <f>IF(Escenarios!$E$17&gt;0,Observaciones!$K457,0)</f>
        <v>0</v>
      </c>
      <c r="BC458" s="170">
        <f>IF(Escenarios!$E$17&gt;0,MIN(0.0005*ETo!$M457*Escenarios!$E$17*(BG457/Constantes!$E$40)^(2/3),BG457+AY458+AZ458+BA458+BB458),0)</f>
        <v>40.546905504435259</v>
      </c>
      <c r="BD458" s="170">
        <f>IF(Escenarios!$E$17&gt;0,MIN(Constantes!$E$39*(BG457/Constantes!$E$40)^(2/3),BG457+AY458+AZ458+BA458+BB458-BC458),0)</f>
        <v>73.732896971113959</v>
      </c>
      <c r="BE458" s="170">
        <f>IF(Escenarios!$E$17&gt;0,MIN(Entradas!$E$113,BG457+AY458+AZ458+BA458+BB458-BC458-BD458),0)</f>
        <v>1</v>
      </c>
      <c r="BF458" s="170">
        <f>IF(Escenarios!$E$17&gt;0,MAX(0,BG457+AY458+AZ458+BA458+BB458-BC458-BD458-BE458-Constantes!$E$40),0)</f>
        <v>0</v>
      </c>
      <c r="BG458" s="170">
        <f t="shared" si="110"/>
        <v>6017.5478438156379</v>
      </c>
      <c r="BH458" s="170">
        <f>(Escenarios!$E$16*AK458+0.1*BC458)/(Escenarios!$E$19)</f>
        <v>2.0952212373998194</v>
      </c>
      <c r="BI458" s="170">
        <f>IF(Escenarios!$E$17&gt;0,BF458/10/Escenarios!$E$19,AL458)</f>
        <v>0</v>
      </c>
      <c r="BJ458" s="170">
        <f>(Escenarios!$E$16*AT458+0.1*BD458)/(Escenarios!$E$19)</f>
        <v>0.33713704482354889</v>
      </c>
      <c r="BK458" s="76">
        <f>BK457+(0.1*BD458)/(Escenarios!$E$19)-BL457</f>
        <v>50.576467193936054</v>
      </c>
      <c r="BL458" s="76">
        <f>MAX(0,(BK458-Constantes!$D$13)*(1-EXP(-Constantes!$D$23)))</f>
        <v>1.7996616292444416E-2</v>
      </c>
      <c r="BM458" s="76">
        <f t="shared" si="106"/>
        <v>1.3359714599769168</v>
      </c>
      <c r="BN458" s="76">
        <f t="shared" si="111"/>
        <v>2.0142945205656262</v>
      </c>
      <c r="BO458" s="76">
        <f>0.0526*BI458*Observaciones!$F457^1.218</f>
        <v>0</v>
      </c>
      <c r="BP458" s="76">
        <f>BO458*Constantes!$E$51</f>
        <v>0</v>
      </c>
      <c r="BQ458" s="76">
        <f t="shared" si="107"/>
        <v>0</v>
      </c>
      <c r="BR458" s="40"/>
    </row>
    <row r="459" spans="1:70">
      <c r="A459" s="147"/>
      <c r="B459" s="39"/>
      <c r="C459" s="75">
        <v>453</v>
      </c>
      <c r="D459" s="146">
        <f>ETo!$I458*((1-Constantes!$E$19)*ETo!$K458+ETo!$L458)</f>
        <v>3.9089180843131639</v>
      </c>
      <c r="E459" s="76">
        <f>MIN(D459*Constantes!$E$17,0.8*(N458+Observaciones!$F458-F459-M459-Constantes!$D$14))</f>
        <v>1.9111181821327452</v>
      </c>
      <c r="F459" s="76">
        <f>IF(Observaciones!$F458&gt;0.05*Constantes!$E$18,((Observaciones!$F458-0.05*Constantes!$E$18)^2)/(Observaciones!$F458+0.95*Constantes!$E$18),0)</f>
        <v>0</v>
      </c>
      <c r="G459" s="76">
        <f>IF(Escenarios!$E$11&gt;0,(F459*Escenarios!$E$16*10000)/1000,0)</f>
        <v>0</v>
      </c>
      <c r="H459" s="76">
        <f>IF(Escenarios!$E$11&gt;0,(Observaciones!$F458*Constantes!$E$29)/1000,0)</f>
        <v>0</v>
      </c>
      <c r="I459" s="76">
        <f>IF(Escenarios!$E$11&gt;0,(D459*Constantes!$E$29)/1000,0)</f>
        <v>39.089180843131636</v>
      </c>
      <c r="J459" s="76">
        <f>IF(Escenarios!$E$11&gt;0,MAX(0,G459+H459-I459),0)</f>
        <v>0</v>
      </c>
      <c r="K459" s="76">
        <f>IF(Escenarios!$E$11&gt;0,IF(J459&gt;Constantes!$E$30,1000*((J459-Constantes!$E$30)/(Escenarios!$E$16*10000)),0),F459)</f>
        <v>0</v>
      </c>
      <c r="L459" s="76">
        <f>IF(Escenarios!$E$11&gt;0,I459*1000/Escenarios!$E$16/10000+E459,E459)</f>
        <v>1.9267538544699978</v>
      </c>
      <c r="M459" s="76">
        <f>MAX(0,N458+Observaciones!$F458-K459-Constantes!$D$13)</f>
        <v>0</v>
      </c>
      <c r="N459" s="76">
        <f>N458+Observaciones!$F458-K459-L459-M459-O458</f>
        <v>31.181273210243742</v>
      </c>
      <c r="O459" s="76">
        <f>MAX(0,(N459-Constantes!$D$14)*(1-EXP(-Constantes!$D$22)))</f>
        <v>0.67893233474277948</v>
      </c>
      <c r="P459" s="170">
        <f>P458+(Entradas!$E$83*M459-Q458)/(800*Entradas!$D$25)</f>
        <v>0</v>
      </c>
      <c r="Q459" s="170">
        <f>8000*Entradas!$D$26*P459/Constantes!$E$45</f>
        <v>0</v>
      </c>
      <c r="R459" s="170">
        <f>IF(Escenarios!$E$14&gt;0,K459*Escenarios!$E$13/Escenarios!$E$14,0)</f>
        <v>0</v>
      </c>
      <c r="S459" s="170">
        <f>IF(Escenarios!$E$14&gt;0,Q459*Escenarios!$E$13/Escenarios!$E$14,0)</f>
        <v>0</v>
      </c>
      <c r="T459" s="170">
        <f>IF(Escenarios!$E$14&gt;0,Observaciones!$I458,0)</f>
        <v>0</v>
      </c>
      <c r="U459" s="170">
        <f>IF(Escenarios!$E$14&gt;0,MAX(0,Constantes!$E$36/((Z458+R459+S459+T459+Observaciones!$F458)^2)+Entradas!$E$77),0)</f>
        <v>2.552148240025137</v>
      </c>
      <c r="V459" s="146">
        <f>IF(ETo!D458&gt;0,ETo!I458*((1-Entradas!$E$81)*ETo!K458+ETo!L458),0)</f>
        <v>3.5615059982223958</v>
      </c>
      <c r="W459" s="170">
        <f>IF(Escenarios!$E$14&gt;0,MIN(V459*1,0.8*(Z458+R459+S459+T459+Observaciones!$F458-U459-Constantes!$E$35)),0)</f>
        <v>3.5615059982223958</v>
      </c>
      <c r="X459" s="170">
        <f>IF(Escenarios!$E$14&gt;0,Observaciones!$J458,0)</f>
        <v>0</v>
      </c>
      <c r="Y459" s="170">
        <f>IF(Escenarios!$E$14&gt;0,MAX(0,Z458+R459+S459+T459+Observaciones!$F458-U459-W459-X459-Constantes!$E$33),0)</f>
        <v>0</v>
      </c>
      <c r="Z459" s="170">
        <f>Z458+R459+S459+T459+Observaciones!$F458-U459-W459-Y459</f>
        <v>145.29452986260054</v>
      </c>
      <c r="AA459" s="170">
        <f>IF(Escenarios!$E$14&gt;0,(Escenarios!$E$13*L459+Escenarios!$E$14*W459)/(Escenarios!$E$16),L459)</f>
        <v>2.1229241117202857</v>
      </c>
      <c r="AB459" s="170">
        <f>IF(Escenarios!$E$14&gt;0,(Escenarios!$E$14*Y459)/(Escenarios!$E$16),K459)</f>
        <v>0</v>
      </c>
      <c r="AC459" s="170">
        <f>IF(Escenarios!$E$14&gt;0,(Escenarios!$E$13*M459+Escenarios!$E$14*U459)/(Escenarios!$E$16),M459)</f>
        <v>0.30625778880301641</v>
      </c>
      <c r="AD459" s="76">
        <f t="shared" si="99"/>
        <v>181.49886189535857</v>
      </c>
      <c r="AE459" s="76">
        <f>MAX(0,(AD459-Constantes!$D$13)*(1-EXP(-Constantes!$D$23)))</f>
        <v>1.3080061545704968</v>
      </c>
      <c r="AF459" s="76">
        <f>AB459+O459*Escenarios!$E$13/Escenarios!$E$16+AE459</f>
        <v>1.9054666091441428</v>
      </c>
      <c r="AG459" s="76">
        <f>IF(Entradas!$E$91&gt;0,IF(AF459-Escenarios!$E$38&lt;=0,0,IF(AF459-Escenarios!$E$38&gt;Escenarios!$E$37,Escenarios!$E$37,AF459-Escenarios!$E$38)),0)</f>
        <v>0</v>
      </c>
      <c r="AH459" s="76">
        <f>AG459*Entradas!$E$99</f>
        <v>0</v>
      </c>
      <c r="AI459" s="76">
        <f>IF(Entradas!$E$91&gt;0,D459*Entradas!$D$23/Escenarios!$E$16,0)</f>
        <v>0</v>
      </c>
      <c r="AJ459" s="76">
        <f>IF(Entradas!$E$91&gt;0,Entradas!$D$24*Entradas!$D$22/Escenarios!$E$16,0)</f>
        <v>0</v>
      </c>
      <c r="AK459" s="76">
        <f t="shared" si="108"/>
        <v>2.1229241117202857</v>
      </c>
      <c r="AL459" s="76">
        <f t="shared" si="109"/>
        <v>0</v>
      </c>
      <c r="AM459" s="76">
        <f t="shared" si="100"/>
        <v>0</v>
      </c>
      <c r="AN459" s="76">
        <f>MAX(0,O459*Escenarios!$E$13/Escenarios!$E$16-AM459)</f>
        <v>0.59746045457364594</v>
      </c>
      <c r="AO459" s="76">
        <f>AM459+AN459-O459*Escenarios!$E$13/Escenarios!$E$16</f>
        <v>0</v>
      </c>
      <c r="AP459" s="76">
        <f t="shared" si="98"/>
        <v>1.3080061545704968</v>
      </c>
      <c r="AQ459" s="76">
        <f t="shared" si="101"/>
        <v>0</v>
      </c>
      <c r="AR459" s="76">
        <f t="shared" si="102"/>
        <v>1.9054666091441428</v>
      </c>
      <c r="AS459" s="76">
        <f t="shared" si="103"/>
        <v>0</v>
      </c>
      <c r="AT459" s="76">
        <f t="shared" si="104"/>
        <v>0.30625778880301641</v>
      </c>
      <c r="AU459" s="76">
        <f t="shared" si="105"/>
        <v>48.75</v>
      </c>
      <c r="AV459" s="76">
        <f>MAX(0,(AU459-Constantes!$D$13)*(1-EXP(-Constantes!$D$24)))</f>
        <v>0</v>
      </c>
      <c r="AW459" s="170">
        <f>AW458+(Entradas!$E$112*AT459-AX458)/(800*Entradas!$D$25)</f>
        <v>0</v>
      </c>
      <c r="AX459" s="170">
        <f>8000*Entradas!$D$26*AW459/Constantes!$E$45</f>
        <v>0</v>
      </c>
      <c r="AY459" s="170">
        <f>IF(Escenarios!$E$17&gt;0,10*Escenarios!$E$16*AL459,0)</f>
        <v>0</v>
      </c>
      <c r="AZ459" s="170">
        <f>IF(Escenarios!$E$17&gt;0,10*Escenarios!$E$16*AX459,0)</f>
        <v>0</v>
      </c>
      <c r="BA459" s="170">
        <f>IF(Escenarios!$E$17&gt;0,0.001*Observaciones!$F458*Escenarios!$E$17,0)</f>
        <v>0</v>
      </c>
      <c r="BB459" s="170">
        <f>IF(Escenarios!$E$17&gt;0,Observaciones!$K458,0)</f>
        <v>0</v>
      </c>
      <c r="BC459" s="170">
        <f>IF(Escenarios!$E$17&gt;0,MIN(0.0005*ETo!$M458*Escenarios!$E$17*(BG458/Constantes!$E$40)^(2/3),BG458+AY459+AZ459+BA459+BB459),0)</f>
        <v>41.61452150643558</v>
      </c>
      <c r="BD459" s="170">
        <f>IF(Escenarios!$E$17&gt;0,MIN(Constantes!$E$39*(BG458/Constantes!$E$40)^(2/3),BG458+AY459+AZ459+BA459+BB459-BC459),0)</f>
        <v>74.718909976005051</v>
      </c>
      <c r="BE459" s="170">
        <f>IF(Escenarios!$E$17&gt;0,MIN(Entradas!$E$113,BG458+AY459+AZ459+BA459+BB459-BC459-BD459),0)</f>
        <v>1</v>
      </c>
      <c r="BF459" s="170">
        <f>IF(Escenarios!$E$17&gt;0,MAX(0,BG458+AY459+AZ459+BA459+BB459-BC459-BD459-BE459-Constantes!$E$40),0)</f>
        <v>0</v>
      </c>
      <c r="BG459" s="170">
        <f t="shared" si="110"/>
        <v>5900.2144123331973</v>
      </c>
      <c r="BH459" s="170">
        <f>(Escenarios!$E$16*AK459+0.1*BC459)/(Escenarios!$E$19)</f>
        <v>2.1225892066695038</v>
      </c>
      <c r="BI459" s="170">
        <f>IF(Escenarios!$E$17&gt;0,BF459/10/Escenarios!$E$19,AL459)</f>
        <v>0</v>
      </c>
      <c r="BJ459" s="170">
        <f>(Escenarios!$E$16*AT459+0.1*BD459)/(Escenarios!$E$19)</f>
        <v>0.33347753253315321</v>
      </c>
      <c r="BK459" s="76">
        <f>BK458+(0.1*BD459)/(Escenarios!$E$19)-BL458</f>
        <v>50.588120938745199</v>
      </c>
      <c r="BL459" s="76">
        <f>MAX(0,(BK459-Constantes!$D$13)*(1-EXP(-Constantes!$D$23)))</f>
        <v>1.8111443415754682E-2</v>
      </c>
      <c r="BM459" s="76">
        <f t="shared" si="106"/>
        <v>1.3261175979862516</v>
      </c>
      <c r="BN459" s="76">
        <f t="shared" si="111"/>
        <v>1.9235780525598976</v>
      </c>
      <c r="BO459" s="76">
        <f>0.0526*BI459*Observaciones!$F458^1.218</f>
        <v>0</v>
      </c>
      <c r="BP459" s="76">
        <f>BO459*Constantes!$E$51</f>
        <v>0</v>
      </c>
      <c r="BQ459" s="76">
        <f t="shared" si="107"/>
        <v>0</v>
      </c>
      <c r="BR459" s="40"/>
    </row>
    <row r="460" spans="1:70">
      <c r="A460" s="147"/>
      <c r="B460" s="39"/>
      <c r="C460" s="75">
        <v>454</v>
      </c>
      <c r="D460" s="146">
        <f>ETo!$I459*((1-Constantes!$E$19)*ETo!$K459+ETo!$L459)</f>
        <v>3.7951351900936796</v>
      </c>
      <c r="E460" s="76">
        <f>MIN(D460*Constantes!$E$17,0.8*(N459+Observaciones!$F459-F460-M460-Constantes!$D$14))</f>
        <v>1.8554883241341342</v>
      </c>
      <c r="F460" s="76">
        <f>IF(Observaciones!$F459&gt;0.05*Constantes!$E$18,((Observaciones!$F459-0.05*Constantes!$E$18)^2)/(Observaciones!$F459+0.95*Constantes!$E$18),0)</f>
        <v>0</v>
      </c>
      <c r="G460" s="76">
        <f>IF(Escenarios!$E$11&gt;0,(F460*Escenarios!$E$16*10000)/1000,0)</f>
        <v>0</v>
      </c>
      <c r="H460" s="76">
        <f>IF(Escenarios!$E$11&gt;0,(Observaciones!$F459*Constantes!$E$29)/1000,0)</f>
        <v>17</v>
      </c>
      <c r="I460" s="76">
        <f>IF(Escenarios!$E$11&gt;0,(D460*Constantes!$E$29)/1000,0)</f>
        <v>37.951351900936793</v>
      </c>
      <c r="J460" s="76">
        <f>IF(Escenarios!$E$11&gt;0,MAX(0,G460+H460-I460),0)</f>
        <v>0</v>
      </c>
      <c r="K460" s="76">
        <f>IF(Escenarios!$E$11&gt;0,IF(J460&gt;Constantes!$E$30,1000*((J460-Constantes!$E$30)/(Escenarios!$E$16*10000)),0),F460)</f>
        <v>0</v>
      </c>
      <c r="L460" s="76">
        <f>IF(Escenarios!$E$11&gt;0,I460*1000/Escenarios!$E$16/10000+E460,E460)</f>
        <v>1.8706688648945089</v>
      </c>
      <c r="M460" s="76">
        <f>MAX(0,N459+Observaciones!$F459-K460-Constantes!$D$13)</f>
        <v>0</v>
      </c>
      <c r="N460" s="76">
        <f>N459+Observaciones!$F459-K460-L460-M460-O459</f>
        <v>30.331672010606454</v>
      </c>
      <c r="O460" s="76">
        <f>MAX(0,(N460-Constantes!$D$14)*(1-EXP(-Constantes!$D$22)))</f>
        <v>0.64999179893327841</v>
      </c>
      <c r="P460" s="170">
        <f>P459+(Entradas!$E$83*M460-Q459)/(800*Entradas!$D$25)</f>
        <v>0</v>
      </c>
      <c r="Q460" s="170">
        <f>8000*Entradas!$D$26*P460/Constantes!$E$45</f>
        <v>0</v>
      </c>
      <c r="R460" s="170">
        <f>IF(Escenarios!$E$14&gt;0,K460*Escenarios!$E$13/Escenarios!$E$14,0)</f>
        <v>0</v>
      </c>
      <c r="S460" s="170">
        <f>IF(Escenarios!$E$14&gt;0,Q460*Escenarios!$E$13/Escenarios!$E$14,0)</f>
        <v>0</v>
      </c>
      <c r="T460" s="170">
        <f>IF(Escenarios!$E$14&gt;0,Observaciones!$I459,0)</f>
        <v>0</v>
      </c>
      <c r="U460" s="170">
        <f>IF(Escenarios!$E$14&gt;0,MAX(0,Constantes!$E$36/((Z459+R460+S460+T460+Observaciones!$F459)^2)+Entradas!$E$77),0)</f>
        <v>2.5248501026637902</v>
      </c>
      <c r="V460" s="146">
        <f>IF(ETo!D459&gt;0,ETo!I459*((1-Entradas!$E$81)*ETo!K459+ETo!L459),0)</f>
        <v>3.4562813707357254</v>
      </c>
      <c r="W460" s="170">
        <f>IF(Escenarios!$E$14&gt;0,MIN(V460*1,0.8*(Z459+R460+S460+T460+Observaciones!$F459-U460-Constantes!$E$35)),0)</f>
        <v>3.4562813707357254</v>
      </c>
      <c r="X460" s="170">
        <f>IF(Escenarios!$E$14&gt;0,Observaciones!$J459,0)</f>
        <v>0</v>
      </c>
      <c r="Y460" s="170">
        <f>IF(Escenarios!$E$14&gt;0,MAX(0,Z459+R460+S460+T460+Observaciones!$F459-U460-W460-X460-Constantes!$E$33),0)</f>
        <v>0</v>
      </c>
      <c r="Z460" s="170">
        <f>Z459+R460+S460+T460+Observaciones!$F459-U460-W460-Y460</f>
        <v>141.01339838920103</v>
      </c>
      <c r="AA460" s="170">
        <f>IF(Escenarios!$E$14&gt;0,(Escenarios!$E$13*L460+Escenarios!$E$14*W460)/(Escenarios!$E$16),L460)</f>
        <v>2.0609423655954551</v>
      </c>
      <c r="AB460" s="170">
        <f>IF(Escenarios!$E$14&gt;0,(Escenarios!$E$14*Y460)/(Escenarios!$E$16),K460)</f>
        <v>0</v>
      </c>
      <c r="AC460" s="170">
        <f>IF(Escenarios!$E$14&gt;0,(Escenarios!$E$13*M460+Escenarios!$E$14*U460)/(Escenarios!$E$16),M460)</f>
        <v>0.30298201231965483</v>
      </c>
      <c r="AD460" s="76">
        <f t="shared" si="99"/>
        <v>180.49383775310773</v>
      </c>
      <c r="AE460" s="76">
        <f>MAX(0,(AD460-Constantes!$D$13)*(1-EXP(-Constantes!$D$23)))</f>
        <v>1.2981034123187984</v>
      </c>
      <c r="AF460" s="76">
        <f>AB460+O460*Escenarios!$E$13/Escenarios!$E$16+AE460</f>
        <v>1.8700961953800834</v>
      </c>
      <c r="AG460" s="76">
        <f>IF(Entradas!$E$91&gt;0,IF(AF460-Escenarios!$E$38&lt;=0,0,IF(AF460-Escenarios!$E$38&gt;Escenarios!$E$37,Escenarios!$E$37,AF460-Escenarios!$E$38)),0)</f>
        <v>0</v>
      </c>
      <c r="AH460" s="76">
        <f>AG460*Entradas!$E$99</f>
        <v>0</v>
      </c>
      <c r="AI460" s="76">
        <f>IF(Entradas!$E$91&gt;0,D460*Entradas!$D$23/Escenarios!$E$16,0)</f>
        <v>0</v>
      </c>
      <c r="AJ460" s="76">
        <f>IF(Entradas!$E$91&gt;0,Entradas!$D$24*Entradas!$D$22/Escenarios!$E$16,0)</f>
        <v>0</v>
      </c>
      <c r="AK460" s="76">
        <f t="shared" si="108"/>
        <v>2.0609423655954551</v>
      </c>
      <c r="AL460" s="76">
        <f t="shared" si="109"/>
        <v>0</v>
      </c>
      <c r="AM460" s="76">
        <f t="shared" si="100"/>
        <v>0</v>
      </c>
      <c r="AN460" s="76">
        <f>MAX(0,O460*Escenarios!$E$13/Escenarios!$E$16-AM460)</f>
        <v>0.57199278306128498</v>
      </c>
      <c r="AO460" s="76">
        <f>AM460+AN460-O460*Escenarios!$E$13/Escenarios!$E$16</f>
        <v>0</v>
      </c>
      <c r="AP460" s="76">
        <f t="shared" si="98"/>
        <v>1.2981034123187984</v>
      </c>
      <c r="AQ460" s="76">
        <f t="shared" si="101"/>
        <v>0</v>
      </c>
      <c r="AR460" s="76">
        <f t="shared" si="102"/>
        <v>1.8700961953800834</v>
      </c>
      <c r="AS460" s="76">
        <f t="shared" si="103"/>
        <v>0</v>
      </c>
      <c r="AT460" s="76">
        <f t="shared" si="104"/>
        <v>0.30298201231965483</v>
      </c>
      <c r="AU460" s="76">
        <f t="shared" si="105"/>
        <v>48.75</v>
      </c>
      <c r="AV460" s="76">
        <f>MAX(0,(AU460-Constantes!$D$13)*(1-EXP(-Constantes!$D$24)))</f>
        <v>0</v>
      </c>
      <c r="AW460" s="170">
        <f>AW459+(Entradas!$E$112*AT460-AX459)/(800*Entradas!$D$25)</f>
        <v>0</v>
      </c>
      <c r="AX460" s="170">
        <f>8000*Entradas!$D$26*AW460/Constantes!$E$45</f>
        <v>0</v>
      </c>
      <c r="AY460" s="170">
        <f>IF(Escenarios!$E$17&gt;0,10*Escenarios!$E$16*AL460,0)</f>
        <v>0</v>
      </c>
      <c r="AZ460" s="170">
        <f>IF(Escenarios!$E$17&gt;0,10*Escenarios!$E$16*AX460,0)</f>
        <v>0</v>
      </c>
      <c r="BA460" s="170">
        <f>IF(Escenarios!$E$17&gt;0,0.001*Observaciones!$F459*Escenarios!$E$17,0)</f>
        <v>34</v>
      </c>
      <c r="BB460" s="170">
        <f>IF(Escenarios!$E$17&gt;0,Observaciones!$K459,0)</f>
        <v>0</v>
      </c>
      <c r="BC460" s="170">
        <f>IF(Escenarios!$E$17&gt;0,MIN(0.0005*ETo!$M459*Escenarios!$E$17*(BG459/Constantes!$E$40)^(2/3),BG459+AY460+AZ460+BA460+BB460),0)</f>
        <v>39.89880589920466</v>
      </c>
      <c r="BD460" s="170">
        <f>IF(Escenarios!$E$17&gt;0,MIN(Constantes!$E$39*(BG459/Constantes!$E$40)^(2/3),BG459+AY460+AZ460+BA460+BB460-BC460),0)</f>
        <v>73.744452518292832</v>
      </c>
      <c r="BE460" s="170">
        <f>IF(Escenarios!$E$17&gt;0,MIN(Entradas!$E$113,BG459+AY460+AZ460+BA460+BB460-BC460-BD460),0)</f>
        <v>1</v>
      </c>
      <c r="BF460" s="170">
        <f>IF(Escenarios!$E$17&gt;0,MAX(0,BG459+AY460+AZ460+BA460+BB460-BC460-BD460-BE460-Constantes!$E$40),0)</f>
        <v>0</v>
      </c>
      <c r="BG460" s="170">
        <f t="shared" si="110"/>
        <v>5819.5711539157001</v>
      </c>
      <c r="BH460" s="170">
        <f>(Escenarios!$E$16*AK460+0.1*BC460)/(Escenarios!$E$19)</f>
        <v>2.0604185396380328</v>
      </c>
      <c r="BI460" s="170">
        <f>IF(Escenarios!$E$17&gt;0,BF460/10/Escenarios!$E$19,AL460)</f>
        <v>0</v>
      </c>
      <c r="BJ460" s="170">
        <f>(Escenarios!$E$16*AT460+0.1*BD460)/(Escenarios!$E$19)</f>
        <v>0.32984106480850395</v>
      </c>
      <c r="BK460" s="76">
        <f>BK459+(0.1*BD460)/(Escenarios!$E$19)-BL459</f>
        <v>50.599273166963684</v>
      </c>
      <c r="BL460" s="76">
        <f>MAX(0,(BK460-Constantes!$D$13)*(1-EXP(-Constantes!$D$23)))</f>
        <v>1.8221328976645228E-2</v>
      </c>
      <c r="BM460" s="76">
        <f t="shared" si="106"/>
        <v>1.3163247412954437</v>
      </c>
      <c r="BN460" s="76">
        <f t="shared" si="111"/>
        <v>1.8883175243567287</v>
      </c>
      <c r="BO460" s="76">
        <f>0.0526*BI460*Observaciones!$F459^1.218</f>
        <v>0</v>
      </c>
      <c r="BP460" s="76">
        <f>BO460*Constantes!$E$51</f>
        <v>0</v>
      </c>
      <c r="BQ460" s="76">
        <f t="shared" si="107"/>
        <v>0</v>
      </c>
      <c r="BR460" s="40"/>
    </row>
    <row r="461" spans="1:70">
      <c r="A461" s="147"/>
      <c r="B461" s="39"/>
      <c r="C461" s="75">
        <v>455</v>
      </c>
      <c r="D461" s="146">
        <f>ETo!$I460*((1-Constantes!$E$19)*ETo!$K460+ETo!$L460)</f>
        <v>3.909270399481402</v>
      </c>
      <c r="E461" s="76">
        <f>MIN(D461*Constantes!$E$17,0.8*(N460+Observaciones!$F460-F461-M461-Constantes!$D$14))</f>
        <v>1.9112904333565717</v>
      </c>
      <c r="F461" s="76">
        <f>IF(Observaciones!$F460&gt;0.05*Constantes!$E$18,((Observaciones!$F460-0.05*Constantes!$E$18)^2)/(Observaciones!$F460+0.95*Constantes!$E$18),0)</f>
        <v>0</v>
      </c>
      <c r="G461" s="76">
        <f>IF(Escenarios!$E$11&gt;0,(F461*Escenarios!$E$16*10000)/1000,0)</f>
        <v>0</v>
      </c>
      <c r="H461" s="76">
        <f>IF(Escenarios!$E$11&gt;0,(Observaciones!$F460*Constantes!$E$29)/1000,0)</f>
        <v>0</v>
      </c>
      <c r="I461" s="76">
        <f>IF(Escenarios!$E$11&gt;0,(D461*Constantes!$E$29)/1000,0)</f>
        <v>39.092703994814023</v>
      </c>
      <c r="J461" s="76">
        <f>IF(Escenarios!$E$11&gt;0,MAX(0,G461+H461-I461),0)</f>
        <v>0</v>
      </c>
      <c r="K461" s="76">
        <f>IF(Escenarios!$E$11&gt;0,IF(J461&gt;Constantes!$E$30,1000*((J461-Constantes!$E$30)/(Escenarios!$E$16*10000)),0),F461)</f>
        <v>0</v>
      </c>
      <c r="L461" s="76">
        <f>IF(Escenarios!$E$11&gt;0,I461*1000/Escenarios!$E$16/10000+E461,E461)</f>
        <v>1.9269275149544973</v>
      </c>
      <c r="M461" s="76">
        <f>MAX(0,N460+Observaciones!$F460-K461-Constantes!$D$13)</f>
        <v>0</v>
      </c>
      <c r="N461" s="76">
        <f>N460+Observaciones!$F460-K461-L461-M461-O460</f>
        <v>27.754752696718679</v>
      </c>
      <c r="O461" s="76">
        <f>MAX(0,(N461-Constantes!$D$14)*(1-EXP(-Constantes!$D$22)))</f>
        <v>0.56221246703779271</v>
      </c>
      <c r="P461" s="170">
        <f>P460+(Entradas!$E$83*M461-Q460)/(800*Entradas!$D$25)</f>
        <v>0</v>
      </c>
      <c r="Q461" s="170">
        <f>8000*Entradas!$D$26*P461/Constantes!$E$45</f>
        <v>0</v>
      </c>
      <c r="R461" s="170">
        <f>IF(Escenarios!$E$14&gt;0,K461*Escenarios!$E$13/Escenarios!$E$14,0)</f>
        <v>0</v>
      </c>
      <c r="S461" s="170">
        <f>IF(Escenarios!$E$14&gt;0,Q461*Escenarios!$E$13/Escenarios!$E$14,0)</f>
        <v>0</v>
      </c>
      <c r="T461" s="170">
        <f>IF(Escenarios!$E$14&gt;0,Observaciones!$I460,0)</f>
        <v>0</v>
      </c>
      <c r="U461" s="170">
        <f>IF(Escenarios!$E$14&gt;0,MAX(0,Constantes!$E$36/((Z460+R461+S461+T461+Observaciones!$F460)^2)+Entradas!$E$77),0)</f>
        <v>2.4836879884303458</v>
      </c>
      <c r="V461" s="146">
        <f>IF(ETo!D460&gt;0,ETo!I460*((1-Entradas!$E$81)*ETo!K460+ETo!L460),0)</f>
        <v>3.5614558453591356</v>
      </c>
      <c r="W461" s="170">
        <f>IF(Escenarios!$E$14&gt;0,MIN(V461*1,0.8*(Z460+R461+S461+T461+Observaciones!$F460-U461-Constantes!$E$35)),0)</f>
        <v>3.5614558453591356</v>
      </c>
      <c r="X461" s="170">
        <f>IF(Escenarios!$E$14&gt;0,Observaciones!$J460,0)</f>
        <v>0</v>
      </c>
      <c r="Y461" s="170">
        <f>IF(Escenarios!$E$14&gt;0,MAX(0,Z460+R461+S461+T461+Observaciones!$F460-U461-W461-X461-Constantes!$E$33),0)</f>
        <v>0</v>
      </c>
      <c r="Z461" s="170">
        <f>Z460+R461+S461+T461+Observaciones!$F460-U461-W461-Y461</f>
        <v>134.96825455541153</v>
      </c>
      <c r="AA461" s="170">
        <f>IF(Escenarios!$E$14&gt;0,(Escenarios!$E$13*L461+Escenarios!$E$14*W461)/(Escenarios!$E$16),L461)</f>
        <v>2.123070914603054</v>
      </c>
      <c r="AB461" s="170">
        <f>IF(Escenarios!$E$14&gt;0,(Escenarios!$E$14*Y461)/(Escenarios!$E$16),K461)</f>
        <v>0</v>
      </c>
      <c r="AC461" s="170">
        <f>IF(Escenarios!$E$14&gt;0,(Escenarios!$E$13*M461+Escenarios!$E$14*U461)/(Escenarios!$E$16),M461)</f>
        <v>0.29804255861164147</v>
      </c>
      <c r="AD461" s="76">
        <f t="shared" si="99"/>
        <v>179.49377689940059</v>
      </c>
      <c r="AE461" s="76">
        <f>MAX(0,(AD461-Constantes!$D$13)*(1-EXP(-Constantes!$D$23)))</f>
        <v>1.2882495745312845</v>
      </c>
      <c r="AF461" s="76">
        <f>AB461+O461*Escenarios!$E$13/Escenarios!$E$16+AE461</f>
        <v>1.7829965455245422</v>
      </c>
      <c r="AG461" s="76">
        <f>IF(Entradas!$E$91&gt;0,IF(AF461-Escenarios!$E$38&lt;=0,0,IF(AF461-Escenarios!$E$38&gt;Escenarios!$E$37,Escenarios!$E$37,AF461-Escenarios!$E$38)),0)</f>
        <v>0</v>
      </c>
      <c r="AH461" s="76">
        <f>AG461*Entradas!$E$99</f>
        <v>0</v>
      </c>
      <c r="AI461" s="76">
        <f>IF(Entradas!$E$91&gt;0,D461*Entradas!$D$23/Escenarios!$E$16,0)</f>
        <v>0</v>
      </c>
      <c r="AJ461" s="76">
        <f>IF(Entradas!$E$91&gt;0,Entradas!$D$24*Entradas!$D$22/Escenarios!$E$16,0)</f>
        <v>0</v>
      </c>
      <c r="AK461" s="76">
        <f t="shared" si="108"/>
        <v>2.123070914603054</v>
      </c>
      <c r="AL461" s="76">
        <f t="shared" si="109"/>
        <v>0</v>
      </c>
      <c r="AM461" s="76">
        <f t="shared" si="100"/>
        <v>0</v>
      </c>
      <c r="AN461" s="76">
        <f>MAX(0,O461*Escenarios!$E$13/Escenarios!$E$16-AM461)</f>
        <v>0.4947469709932576</v>
      </c>
      <c r="AO461" s="76">
        <f>AM461+AN461-O461*Escenarios!$E$13/Escenarios!$E$16</f>
        <v>0</v>
      </c>
      <c r="AP461" s="76">
        <f t="shared" si="98"/>
        <v>1.2882495745312845</v>
      </c>
      <c r="AQ461" s="76">
        <f t="shared" si="101"/>
        <v>0</v>
      </c>
      <c r="AR461" s="76">
        <f t="shared" si="102"/>
        <v>1.7829965455245422</v>
      </c>
      <c r="AS461" s="76">
        <f t="shared" si="103"/>
        <v>0</v>
      </c>
      <c r="AT461" s="76">
        <f t="shared" si="104"/>
        <v>0.29804255861164147</v>
      </c>
      <c r="AU461" s="76">
        <f t="shared" si="105"/>
        <v>48.75</v>
      </c>
      <c r="AV461" s="76">
        <f>MAX(0,(AU461-Constantes!$D$13)*(1-EXP(-Constantes!$D$24)))</f>
        <v>0</v>
      </c>
      <c r="AW461" s="170">
        <f>AW460+(Entradas!$E$112*AT461-AX460)/(800*Entradas!$D$25)</f>
        <v>0</v>
      </c>
      <c r="AX461" s="170">
        <f>8000*Entradas!$D$26*AW461/Constantes!$E$45</f>
        <v>0</v>
      </c>
      <c r="AY461" s="170">
        <f>IF(Escenarios!$E$17&gt;0,10*Escenarios!$E$16*AL461,0)</f>
        <v>0</v>
      </c>
      <c r="AZ461" s="170">
        <f>IF(Escenarios!$E$17&gt;0,10*Escenarios!$E$16*AX461,0)</f>
        <v>0</v>
      </c>
      <c r="BA461" s="170">
        <f>IF(Escenarios!$E$17&gt;0,0.001*Observaciones!$F460*Escenarios!$E$17,0)</f>
        <v>0</v>
      </c>
      <c r="BB461" s="170">
        <f>IF(Escenarios!$E$17&gt;0,Observaciones!$K460,0)</f>
        <v>0</v>
      </c>
      <c r="BC461" s="170">
        <f>IF(Escenarios!$E$17&gt;0,MIN(0.0005*ETo!$M460*Escenarios!$E$17*(BG460/Constantes!$E$40)^(2/3),BG460+AY461+AZ461+BA461+BB461),0)</f>
        <v>40.705702224371819</v>
      </c>
      <c r="BD461" s="170">
        <f>IF(Escenarios!$E$17&gt;0,MIN(Constantes!$E$39*(BG460/Constantes!$E$40)^(2/3),BG460+AY461+AZ461+BA461+BB461-BC461),0)</f>
        <v>73.070960270549122</v>
      </c>
      <c r="BE461" s="170">
        <f>IF(Escenarios!$E$17&gt;0,MIN(Entradas!$E$113,BG460+AY461+AZ461+BA461+BB461-BC461-BD461),0)</f>
        <v>1</v>
      </c>
      <c r="BF461" s="170">
        <f>IF(Escenarios!$E$17&gt;0,MAX(0,BG460+AY461+AZ461+BA461+BB461-BC461-BD461-BE461-Constantes!$E$40),0)</f>
        <v>0</v>
      </c>
      <c r="BG461" s="170">
        <f t="shared" si="110"/>
        <v>5704.7944914207792</v>
      </c>
      <c r="BH461" s="170">
        <f>(Escenarios!$E$16*AK461+0.1*BC461)/(Escenarios!$E$19)</f>
        <v>2.1223742018777805</v>
      </c>
      <c r="BI461" s="170">
        <f>IF(Escenarios!$E$17&gt;0,BF461/10/Escenarios!$E$19,AL461)</f>
        <v>0</v>
      </c>
      <c r="BJ461" s="170">
        <f>(Escenarios!$E$16*AT461+0.1*BD461)/(Escenarios!$E$19)</f>
        <v>0.32467355428557654</v>
      </c>
      <c r="BK461" s="76">
        <f>BK460+(0.1*BD461)/(Escenarios!$E$19)-BL460</f>
        <v>50.610048250792815</v>
      </c>
      <c r="BL461" s="76">
        <f>MAX(0,(BK461-Constantes!$D$13)*(1-EXP(-Constantes!$D$23)))</f>
        <v>1.8327498444038675E-2</v>
      </c>
      <c r="BM461" s="76">
        <f t="shared" si="106"/>
        <v>1.3065770729753232</v>
      </c>
      <c r="BN461" s="76">
        <f t="shared" si="111"/>
        <v>1.8013240439685809</v>
      </c>
      <c r="BO461" s="76">
        <f>0.0526*BI461*Observaciones!$F460^1.218</f>
        <v>0</v>
      </c>
      <c r="BP461" s="76">
        <f>BO461*Constantes!$E$51</f>
        <v>0</v>
      </c>
      <c r="BQ461" s="76">
        <f t="shared" si="107"/>
        <v>0</v>
      </c>
      <c r="BR461" s="40"/>
    </row>
    <row r="462" spans="1:70">
      <c r="A462" s="147"/>
      <c r="B462" s="39"/>
      <c r="C462" s="75">
        <v>456</v>
      </c>
      <c r="D462" s="146">
        <f>ETo!$I461*((1-Constantes!$E$19)*ETo!$K461+ETo!$L461)</f>
        <v>3.8927367073500818</v>
      </c>
      <c r="E462" s="76">
        <f>MIN(D462*Constantes!$E$17,0.8*(N461+Observaciones!$F461-F462-M462-Constantes!$D$14))</f>
        <v>1.9032069076933567</v>
      </c>
      <c r="F462" s="76">
        <f>IF(Observaciones!$F461&gt;0.05*Constantes!$E$18,((Observaciones!$F461-0.05*Constantes!$E$18)^2)/(Observaciones!$F461+0.95*Constantes!$E$18),0)</f>
        <v>0</v>
      </c>
      <c r="G462" s="76">
        <f>IF(Escenarios!$E$11&gt;0,(F462*Escenarios!$E$16*10000)/1000,0)</f>
        <v>0</v>
      </c>
      <c r="H462" s="76">
        <f>IF(Escenarios!$E$11&gt;0,(Observaciones!$F461*Constantes!$E$29)/1000,0)</f>
        <v>0</v>
      </c>
      <c r="I462" s="76">
        <f>IF(Escenarios!$E$11&gt;0,(D462*Constantes!$E$29)/1000,0)</f>
        <v>38.927367073500818</v>
      </c>
      <c r="J462" s="76">
        <f>IF(Escenarios!$E$11&gt;0,MAX(0,G462+H462-I462),0)</f>
        <v>0</v>
      </c>
      <c r="K462" s="76">
        <f>IF(Escenarios!$E$11&gt;0,IF(J462&gt;Constantes!$E$30,1000*((J462-Constantes!$E$30)/(Escenarios!$E$16*10000)),0),F462)</f>
        <v>0</v>
      </c>
      <c r="L462" s="76">
        <f>IF(Escenarios!$E$11&gt;0,I462*1000/Escenarios!$E$16/10000+E462,E462)</f>
        <v>1.918777854522757</v>
      </c>
      <c r="M462" s="76">
        <f>MAX(0,N461+Observaciones!$F461-K462-Constantes!$D$13)</f>
        <v>0</v>
      </c>
      <c r="N462" s="76">
        <f>N461+Observaciones!$F461-K462-L462-M462-O461</f>
        <v>25.273762375158132</v>
      </c>
      <c r="O462" s="76">
        <f>MAX(0,(N462-Constantes!$D$14)*(1-EXP(-Constantes!$D$22)))</f>
        <v>0.47770082878351261</v>
      </c>
      <c r="P462" s="170">
        <f>P461+(Entradas!$E$83*M462-Q461)/(800*Entradas!$D$25)</f>
        <v>0</v>
      </c>
      <c r="Q462" s="170">
        <f>8000*Entradas!$D$26*P462/Constantes!$E$45</f>
        <v>0</v>
      </c>
      <c r="R462" s="170">
        <f>IF(Escenarios!$E$14&gt;0,K462*Escenarios!$E$13/Escenarios!$E$14,0)</f>
        <v>0</v>
      </c>
      <c r="S462" s="170">
        <f>IF(Escenarios!$E$14&gt;0,Q462*Escenarios!$E$13/Escenarios!$E$14,0)</f>
        <v>0</v>
      </c>
      <c r="T462" s="170">
        <f>IF(Escenarios!$E$14&gt;0,Observaciones!$I461,0)</f>
        <v>0</v>
      </c>
      <c r="U462" s="170">
        <f>IF(Escenarios!$E$14&gt;0,MAX(0,Constantes!$E$36/((Z461+R462+S462+T462+Observaciones!$F461)^2)+Entradas!$E$77),0)</f>
        <v>2.4364016358961398</v>
      </c>
      <c r="V462" s="146">
        <f>IF(ETo!D461&gt;0,ETo!I461*((1-Entradas!$E$81)*ETo!K461+ETo!L461),0)</f>
        <v>3.5459748602174499</v>
      </c>
      <c r="W462" s="170">
        <f>IF(Escenarios!$E$14&gt;0,MIN(V462*1,0.8*(Z461+R462+S462+T462+Observaciones!$F461-U462-Constantes!$E$35)),0)</f>
        <v>3.5459748602174499</v>
      </c>
      <c r="X462" s="170">
        <f>IF(Escenarios!$E$14&gt;0,Observaciones!$J461,0)</f>
        <v>0</v>
      </c>
      <c r="Y462" s="170">
        <f>IF(Escenarios!$E$14&gt;0,MAX(0,Z461+R462+S462+T462+Observaciones!$F461-U462-W462-X462-Constantes!$E$33),0)</f>
        <v>0</v>
      </c>
      <c r="Z462" s="170">
        <f>Z461+R462+S462+T462+Observaciones!$F461-U462-W462-Y462</f>
        <v>128.98587805929793</v>
      </c>
      <c r="AA462" s="170">
        <f>IF(Escenarios!$E$14&gt;0,(Escenarios!$E$13*L462+Escenarios!$E$14*W462)/(Escenarios!$E$16),L462)</f>
        <v>2.1140414952061199</v>
      </c>
      <c r="AB462" s="170">
        <f>IF(Escenarios!$E$14&gt;0,(Escenarios!$E$14*Y462)/(Escenarios!$E$16),K462)</f>
        <v>0</v>
      </c>
      <c r="AC462" s="170">
        <f>IF(Escenarios!$E$14&gt;0,(Escenarios!$E$13*M462+Escenarios!$E$14*U462)/(Escenarios!$E$16),M462)</f>
        <v>0.2923681963075368</v>
      </c>
      <c r="AD462" s="76">
        <f t="shared" si="99"/>
        <v>178.49789552117684</v>
      </c>
      <c r="AE462" s="76">
        <f>MAX(0,(AD462-Constantes!$D$13)*(1-EXP(-Constantes!$D$23)))</f>
        <v>1.2784369181111819</v>
      </c>
      <c r="AF462" s="76">
        <f>AB462+O462*Escenarios!$E$13/Escenarios!$E$16+AE462</f>
        <v>1.698813647440673</v>
      </c>
      <c r="AG462" s="76">
        <f>IF(Entradas!$E$91&gt;0,IF(AF462-Escenarios!$E$38&lt;=0,0,IF(AF462-Escenarios!$E$38&gt;Escenarios!$E$37,Escenarios!$E$37,AF462-Escenarios!$E$38)),0)</f>
        <v>0</v>
      </c>
      <c r="AH462" s="76">
        <f>AG462*Entradas!$E$99</f>
        <v>0</v>
      </c>
      <c r="AI462" s="76">
        <f>IF(Entradas!$E$91&gt;0,D462*Entradas!$D$23/Escenarios!$E$16,0)</f>
        <v>0</v>
      </c>
      <c r="AJ462" s="76">
        <f>IF(Entradas!$E$91&gt;0,Entradas!$D$24*Entradas!$D$22/Escenarios!$E$16,0)</f>
        <v>0</v>
      </c>
      <c r="AK462" s="76">
        <f t="shared" si="108"/>
        <v>2.1140414952061199</v>
      </c>
      <c r="AL462" s="76">
        <f t="shared" si="109"/>
        <v>0</v>
      </c>
      <c r="AM462" s="76">
        <f t="shared" si="100"/>
        <v>0</v>
      </c>
      <c r="AN462" s="76">
        <f>MAX(0,O462*Escenarios!$E$13/Escenarios!$E$16-AM462)</f>
        <v>0.42037672932949105</v>
      </c>
      <c r="AO462" s="76">
        <f>AM462+AN462-O462*Escenarios!$E$13/Escenarios!$E$16</f>
        <v>0</v>
      </c>
      <c r="AP462" s="76">
        <f t="shared" si="98"/>
        <v>1.2784369181111819</v>
      </c>
      <c r="AQ462" s="76">
        <f t="shared" si="101"/>
        <v>0</v>
      </c>
      <c r="AR462" s="76">
        <f t="shared" si="102"/>
        <v>1.698813647440673</v>
      </c>
      <c r="AS462" s="76">
        <f t="shared" si="103"/>
        <v>0</v>
      </c>
      <c r="AT462" s="76">
        <f t="shared" si="104"/>
        <v>0.2923681963075368</v>
      </c>
      <c r="AU462" s="76">
        <f t="shared" si="105"/>
        <v>48.75</v>
      </c>
      <c r="AV462" s="76">
        <f>MAX(0,(AU462-Constantes!$D$13)*(1-EXP(-Constantes!$D$24)))</f>
        <v>0</v>
      </c>
      <c r="AW462" s="170">
        <f>AW461+(Entradas!$E$112*AT462-AX461)/(800*Entradas!$D$25)</f>
        <v>0</v>
      </c>
      <c r="AX462" s="170">
        <f>8000*Entradas!$D$26*AW462/Constantes!$E$45</f>
        <v>0</v>
      </c>
      <c r="AY462" s="170">
        <f>IF(Escenarios!$E$17&gt;0,10*Escenarios!$E$16*AL462,0)</f>
        <v>0</v>
      </c>
      <c r="AZ462" s="170">
        <f>IF(Escenarios!$E$17&gt;0,10*Escenarios!$E$16*AX462,0)</f>
        <v>0</v>
      </c>
      <c r="BA462" s="170">
        <f>IF(Escenarios!$E$17&gt;0,0.001*Observaciones!$F461*Escenarios!$E$17,0)</f>
        <v>0</v>
      </c>
      <c r="BB462" s="170">
        <f>IF(Escenarios!$E$17&gt;0,Observaciones!$K461,0)</f>
        <v>0</v>
      </c>
      <c r="BC462" s="170">
        <f>IF(Escenarios!$E$17&gt;0,MIN(0.0005*ETo!$M461*Escenarios!$E$17*(BG461/Constantes!$E$40)^(2/3),BG461+AY462+AZ462+BA462+BB462),0)</f>
        <v>40.004759658084687</v>
      </c>
      <c r="BD462" s="170">
        <f>IF(Escenarios!$E$17&gt;0,MIN(Constantes!$E$39*(BG461/Constantes!$E$40)^(2/3),BG461+AY462+AZ462+BA462+BB462-BC462),0)</f>
        <v>72.107011384103131</v>
      </c>
      <c r="BE462" s="170">
        <f>IF(Escenarios!$E$17&gt;0,MIN(Entradas!$E$113,BG461+AY462+AZ462+BA462+BB462-BC462-BD462),0)</f>
        <v>1</v>
      </c>
      <c r="BF462" s="170">
        <f>IF(Escenarios!$E$17&gt;0,MAX(0,BG461+AY462+AZ462+BA462+BB462-BC462-BD462-BE462-Constantes!$E$40),0)</f>
        <v>0</v>
      </c>
      <c r="BG462" s="170">
        <f t="shared" si="110"/>
        <v>5591.6827203785915</v>
      </c>
      <c r="BH462" s="170">
        <f>(Escenarios!$E$16*AK462+0.1*BC462)/(Escenarios!$E$19)</f>
        <v>2.113138292727534</v>
      </c>
      <c r="BI462" s="170">
        <f>IF(Escenarios!$E$17&gt;0,BF462/10/Escenarios!$E$19,AL462)</f>
        <v>0</v>
      </c>
      <c r="BJ462" s="170">
        <f>(Escenarios!$E$16*AT462+0.1*BD462)/(Escenarios!$E$19)</f>
        <v>0.31866170720354964</v>
      </c>
      <c r="BK462" s="76">
        <f>BK461+(0.1*BD462)/(Escenarios!$E$19)-BL461</f>
        <v>50.620334645755165</v>
      </c>
      <c r="BL462" s="76">
        <f>MAX(0,(BK462-Constantes!$D$13)*(1-EXP(-Constantes!$D$23)))</f>
        <v>1.8428852743631104E-2</v>
      </c>
      <c r="BM462" s="76">
        <f t="shared" si="106"/>
        <v>1.296865770854813</v>
      </c>
      <c r="BN462" s="76">
        <f t="shared" si="111"/>
        <v>1.7172425001843041</v>
      </c>
      <c r="BO462" s="76">
        <f>0.0526*BI462*Observaciones!$F461^1.218</f>
        <v>0</v>
      </c>
      <c r="BP462" s="76">
        <f>BO462*Constantes!$E$51</f>
        <v>0</v>
      </c>
      <c r="BQ462" s="76">
        <f t="shared" si="107"/>
        <v>0</v>
      </c>
      <c r="BR462" s="40"/>
    </row>
    <row r="463" spans="1:70">
      <c r="A463" s="147"/>
      <c r="B463" s="39"/>
      <c r="C463" s="75">
        <v>457</v>
      </c>
      <c r="D463" s="146">
        <f>ETo!$I462*((1-Constantes!$E$19)*ETo!$K462+ETo!$L462)</f>
        <v>3.9245447536411229</v>
      </c>
      <c r="E463" s="76">
        <f>MIN(D463*Constantes!$E$17,0.8*(N462+Observaciones!$F462-F463-M463-Constantes!$D$14))</f>
        <v>1.9187582531791778</v>
      </c>
      <c r="F463" s="76">
        <f>IF(Observaciones!$F462&gt;0.05*Constantes!$E$18,((Observaciones!$F462-0.05*Constantes!$E$18)^2)/(Observaciones!$F462+0.95*Constantes!$E$18),0)</f>
        <v>0</v>
      </c>
      <c r="G463" s="76">
        <f>IF(Escenarios!$E$11&gt;0,(F463*Escenarios!$E$16*10000)/1000,0)</f>
        <v>0</v>
      </c>
      <c r="H463" s="76">
        <f>IF(Escenarios!$E$11&gt;0,(Observaciones!$F462*Constantes!$E$29)/1000,0)</f>
        <v>0</v>
      </c>
      <c r="I463" s="76">
        <f>IF(Escenarios!$E$11&gt;0,(D463*Constantes!$E$29)/1000,0)</f>
        <v>39.245447536411227</v>
      </c>
      <c r="J463" s="76">
        <f>IF(Escenarios!$E$11&gt;0,MAX(0,G463+H463-I463),0)</f>
        <v>0</v>
      </c>
      <c r="K463" s="76">
        <f>IF(Escenarios!$E$11&gt;0,IF(J463&gt;Constantes!$E$30,1000*((J463-Constantes!$E$30)/(Escenarios!$E$16*10000)),0),F463)</f>
        <v>0</v>
      </c>
      <c r="L463" s="76">
        <f>IF(Escenarios!$E$11&gt;0,I463*1000/Escenarios!$E$16/10000+E463,E463)</f>
        <v>1.9344564321937423</v>
      </c>
      <c r="M463" s="76">
        <f>MAX(0,N462+Observaciones!$F462-K463-Constantes!$D$13)</f>
        <v>0</v>
      </c>
      <c r="N463" s="76">
        <f>N462+Observaciones!$F462-K463-L463-M463-O462</f>
        <v>22.861605114180879</v>
      </c>
      <c r="O463" s="76">
        <f>MAX(0,(N463-Constantes!$D$14)*(1-EXP(-Constantes!$D$22)))</f>
        <v>0.39553389726403809</v>
      </c>
      <c r="P463" s="170">
        <f>P462+(Entradas!$E$83*M463-Q462)/(800*Entradas!$D$25)</f>
        <v>0</v>
      </c>
      <c r="Q463" s="170">
        <f>8000*Entradas!$D$26*P463/Constantes!$E$45</f>
        <v>0</v>
      </c>
      <c r="R463" s="170">
        <f>IF(Escenarios!$E$14&gt;0,K463*Escenarios!$E$13/Escenarios!$E$14,0)</f>
        <v>0</v>
      </c>
      <c r="S463" s="170">
        <f>IF(Escenarios!$E$14&gt;0,Q463*Escenarios!$E$13/Escenarios!$E$14,0)</f>
        <v>0</v>
      </c>
      <c r="T463" s="170">
        <f>IF(Escenarios!$E$14&gt;0,Observaciones!$I462,0)</f>
        <v>0</v>
      </c>
      <c r="U463" s="170">
        <f>IF(Escenarios!$E$14&gt;0,MAX(0,Constantes!$E$36/((Z462+R463+S463+T463+Observaciones!$F462)^2)+Entradas!$E$77),0)</f>
        <v>2.3829097878209655</v>
      </c>
      <c r="V463" s="146">
        <f>IF(ETo!D462&gt;0,ETo!I462*((1-Entradas!$E$81)*ETo!K462+ETo!L462),0)</f>
        <v>3.5752429437605087</v>
      </c>
      <c r="W463" s="170">
        <f>IF(Escenarios!$E$14&gt;0,MIN(V463*1,0.8*(Z462+R463+S463+T463+Observaciones!$F462-U463-Constantes!$E$35)),0)</f>
        <v>3.5752429437605087</v>
      </c>
      <c r="X463" s="170">
        <f>IF(Escenarios!$E$14&gt;0,Observaciones!$J462,0)</f>
        <v>0</v>
      </c>
      <c r="Y463" s="170">
        <f>IF(Escenarios!$E$14&gt;0,MAX(0,Z462+R463+S463+T463+Observaciones!$F462-U463-W463-X463-Constantes!$E$33),0)</f>
        <v>0</v>
      </c>
      <c r="Z463" s="170">
        <f>Z462+R463+S463+T463+Observaciones!$F462-U463-W463-Y463</f>
        <v>123.02772532771645</v>
      </c>
      <c r="AA463" s="170">
        <f>IF(Escenarios!$E$14&gt;0,(Escenarios!$E$13*L463+Escenarios!$E$14*W463)/(Escenarios!$E$16),L463)</f>
        <v>2.1313508135817543</v>
      </c>
      <c r="AB463" s="170">
        <f>IF(Escenarios!$E$14&gt;0,(Escenarios!$E$14*Y463)/(Escenarios!$E$16),K463)</f>
        <v>0</v>
      </c>
      <c r="AC463" s="170">
        <f>IF(Escenarios!$E$14&gt;0,(Escenarios!$E$13*M463+Escenarios!$E$14*U463)/(Escenarios!$E$16),M463)</f>
        <v>0.28594917453851587</v>
      </c>
      <c r="AD463" s="76">
        <f t="shared" si="99"/>
        <v>177.5054077776042</v>
      </c>
      <c r="AE463" s="76">
        <f>MAX(0,(AD463-Constantes!$D$13)*(1-EXP(-Constantes!$D$23)))</f>
        <v>1.2686576999815975</v>
      </c>
      <c r="AF463" s="76">
        <f>AB463+O463*Escenarios!$E$13/Escenarios!$E$16+AE463</f>
        <v>1.6167275295739509</v>
      </c>
      <c r="AG463" s="76">
        <f>IF(Entradas!$E$91&gt;0,IF(AF463-Escenarios!$E$38&lt;=0,0,IF(AF463-Escenarios!$E$38&gt;Escenarios!$E$37,Escenarios!$E$37,AF463-Escenarios!$E$38)),0)</f>
        <v>0</v>
      </c>
      <c r="AH463" s="76">
        <f>AG463*Entradas!$E$99</f>
        <v>0</v>
      </c>
      <c r="AI463" s="76">
        <f>IF(Entradas!$E$91&gt;0,D463*Entradas!$D$23/Escenarios!$E$16,0)</f>
        <v>0</v>
      </c>
      <c r="AJ463" s="76">
        <f>IF(Entradas!$E$91&gt;0,Entradas!$D$24*Entradas!$D$22/Escenarios!$E$16,0)</f>
        <v>0</v>
      </c>
      <c r="AK463" s="76">
        <f t="shared" si="108"/>
        <v>2.1313508135817543</v>
      </c>
      <c r="AL463" s="76">
        <f t="shared" si="109"/>
        <v>0</v>
      </c>
      <c r="AM463" s="76">
        <f t="shared" si="100"/>
        <v>0</v>
      </c>
      <c r="AN463" s="76">
        <f>MAX(0,O463*Escenarios!$E$13/Escenarios!$E$16-AM463)</f>
        <v>0.34806982959235355</v>
      </c>
      <c r="AO463" s="76">
        <f>AM463+AN463-O463*Escenarios!$E$13/Escenarios!$E$16</f>
        <v>0</v>
      </c>
      <c r="AP463" s="76">
        <f t="shared" si="98"/>
        <v>1.2686576999815975</v>
      </c>
      <c r="AQ463" s="76">
        <f t="shared" si="101"/>
        <v>0</v>
      </c>
      <c r="AR463" s="76">
        <f t="shared" si="102"/>
        <v>1.6167275295739509</v>
      </c>
      <c r="AS463" s="76">
        <f t="shared" si="103"/>
        <v>0</v>
      </c>
      <c r="AT463" s="76">
        <f t="shared" si="104"/>
        <v>0.28594917453851587</v>
      </c>
      <c r="AU463" s="76">
        <f t="shared" si="105"/>
        <v>48.75</v>
      </c>
      <c r="AV463" s="76">
        <f>MAX(0,(AU463-Constantes!$D$13)*(1-EXP(-Constantes!$D$24)))</f>
        <v>0</v>
      </c>
      <c r="AW463" s="170">
        <f>AW462+(Entradas!$E$112*AT463-AX462)/(800*Entradas!$D$25)</f>
        <v>0</v>
      </c>
      <c r="AX463" s="170">
        <f>8000*Entradas!$D$26*AW463/Constantes!$E$45</f>
        <v>0</v>
      </c>
      <c r="AY463" s="170">
        <f>IF(Escenarios!$E$17&gt;0,10*Escenarios!$E$16*AL463,0)</f>
        <v>0</v>
      </c>
      <c r="AZ463" s="170">
        <f>IF(Escenarios!$E$17&gt;0,10*Escenarios!$E$16*AX463,0)</f>
        <v>0</v>
      </c>
      <c r="BA463" s="170">
        <f>IF(Escenarios!$E$17&gt;0,0.001*Observaciones!$F462*Escenarios!$E$17,0)</f>
        <v>0</v>
      </c>
      <c r="BB463" s="170">
        <f>IF(Escenarios!$E$17&gt;0,Observaciones!$K462,0)</f>
        <v>0</v>
      </c>
      <c r="BC463" s="170">
        <f>IF(Escenarios!$E$17&gt;0,MIN(0.0005*ETo!$M462*Escenarios!$E$17*(BG462/Constantes!$E$40)^(2/3),BG462+AY463+AZ463+BA463+BB463),0)</f>
        <v>39.79264222259097</v>
      </c>
      <c r="BD463" s="170">
        <f>IF(Escenarios!$E$17&gt;0,MIN(Constantes!$E$39*(BG462/Constantes!$E$40)^(2/3),BG462+AY463+AZ463+BA463+BB463-BC463),0)</f>
        <v>71.150699432283787</v>
      </c>
      <c r="BE463" s="170">
        <f>IF(Escenarios!$E$17&gt;0,MIN(Entradas!$E$113,BG462+AY463+AZ463+BA463+BB463-BC463-BD463),0)</f>
        <v>1</v>
      </c>
      <c r="BF463" s="170">
        <f>IF(Escenarios!$E$17&gt;0,MAX(0,BG462+AY463+AZ463+BA463+BB463-BC463-BD463-BE463-Constantes!$E$40),0)</f>
        <v>0</v>
      </c>
      <c r="BG463" s="170">
        <f t="shared" si="110"/>
        <v>5479.739378723717</v>
      </c>
      <c r="BH463" s="170">
        <f>(Escenarios!$E$16*AK463+0.1*BC463)/(Escenarios!$E$19)</f>
        <v>2.1302260619749904</v>
      </c>
      <c r="BI463" s="170">
        <f>IF(Escenarios!$E$17&gt;0,BF463/10/Escenarios!$E$19,AL463)</f>
        <v>0</v>
      </c>
      <c r="BJ463" s="170">
        <f>(Escenarios!$E$16*AT463+0.1*BD463)/(Escenarios!$E$19)</f>
        <v>0.31191414118197358</v>
      </c>
      <c r="BK463" s="76">
        <f>BK462+(0.1*BD463)/(Escenarios!$E$19)-BL462</f>
        <v>50.630140197548151</v>
      </c>
      <c r="BL463" s="76">
        <f>MAX(0,(BK463-Constantes!$D$13)*(1-EXP(-Constantes!$D$23)))</f>
        <v>1.8525469180947877E-2</v>
      </c>
      <c r="BM463" s="76">
        <f t="shared" si="106"/>
        <v>1.2871831691625453</v>
      </c>
      <c r="BN463" s="76">
        <f t="shared" si="111"/>
        <v>1.6352529987548987</v>
      </c>
      <c r="BO463" s="76">
        <f>0.0526*BI463*Observaciones!$F462^1.218</f>
        <v>0</v>
      </c>
      <c r="BP463" s="76">
        <f>BO463*Constantes!$E$51</f>
        <v>0</v>
      </c>
      <c r="BQ463" s="76">
        <f t="shared" si="107"/>
        <v>0</v>
      </c>
      <c r="BR463" s="40"/>
    </row>
    <row r="464" spans="1:70">
      <c r="A464" s="147"/>
      <c r="B464" s="39"/>
      <c r="C464" s="75">
        <v>458</v>
      </c>
      <c r="D464" s="146">
        <f>ETo!$I463*((1-Constantes!$E$19)*ETo!$K463+ETo!$L463)</f>
        <v>3.8510069163597538</v>
      </c>
      <c r="E464" s="76">
        <f>MIN(D464*Constantes!$E$17,0.8*(N463+Observaciones!$F463-F464-M464-Constantes!$D$14))</f>
        <v>1.8828046990570946</v>
      </c>
      <c r="F464" s="76">
        <f>IF(Observaciones!$F463&gt;0.05*Constantes!$E$18,((Observaciones!$F463-0.05*Constantes!$E$18)^2)/(Observaciones!$F463+0.95*Constantes!$E$18),0)</f>
        <v>0</v>
      </c>
      <c r="G464" s="76">
        <f>IF(Escenarios!$E$11&gt;0,(F464*Escenarios!$E$16*10000)/1000,0)</f>
        <v>0</v>
      </c>
      <c r="H464" s="76">
        <f>IF(Escenarios!$E$11&gt;0,(Observaciones!$F463*Constantes!$E$29)/1000,0)</f>
        <v>5</v>
      </c>
      <c r="I464" s="76">
        <f>IF(Escenarios!$E$11&gt;0,(D464*Constantes!$E$29)/1000,0)</f>
        <v>38.510069163597535</v>
      </c>
      <c r="J464" s="76">
        <f>IF(Escenarios!$E$11&gt;0,MAX(0,G464+H464-I464),0)</f>
        <v>0</v>
      </c>
      <c r="K464" s="76">
        <f>IF(Escenarios!$E$11&gt;0,IF(J464&gt;Constantes!$E$30,1000*((J464-Constantes!$E$30)/(Escenarios!$E$16*10000)),0),F464)</f>
        <v>0</v>
      </c>
      <c r="L464" s="76">
        <f>IF(Escenarios!$E$11&gt;0,I464*1000/Escenarios!$E$16/10000+E464,E464)</f>
        <v>1.8982087267225336</v>
      </c>
      <c r="M464" s="76">
        <f>MAX(0,N463+Observaciones!$F463-K464-Constantes!$D$13)</f>
        <v>0</v>
      </c>
      <c r="N464" s="76">
        <f>N463+Observaciones!$F463-K464-L464-M464-O463</f>
        <v>21.067862490194308</v>
      </c>
      <c r="O464" s="76">
        <f>MAX(0,(N464-Constantes!$D$14)*(1-EXP(-Constantes!$D$22)))</f>
        <v>0.33443243852707522</v>
      </c>
      <c r="P464" s="170">
        <f>P463+(Entradas!$E$83*M464-Q463)/(800*Entradas!$D$25)</f>
        <v>0</v>
      </c>
      <c r="Q464" s="170">
        <f>8000*Entradas!$D$26*P464/Constantes!$E$45</f>
        <v>0</v>
      </c>
      <c r="R464" s="170">
        <f>IF(Escenarios!$E$14&gt;0,K464*Escenarios!$E$13/Escenarios!$E$14,0)</f>
        <v>0</v>
      </c>
      <c r="S464" s="170">
        <f>IF(Escenarios!$E$14&gt;0,Q464*Escenarios!$E$13/Escenarios!$E$14,0)</f>
        <v>0</v>
      </c>
      <c r="T464" s="170">
        <f>IF(Escenarios!$E$14&gt;0,Observaciones!$I463,0)</f>
        <v>0</v>
      </c>
      <c r="U464" s="170">
        <f>IF(Escenarios!$E$14&gt;0,MAX(0,Constantes!$E$36/((Z463+R464+S464+T464+Observaciones!$F463)^2)+Entradas!$E$77),0)</f>
        <v>2.3271719352037441</v>
      </c>
      <c r="V464" s="146">
        <f>IF(ETo!D463&gt;0,ETo!I463*((1-Entradas!$E$81)*ETo!K463+ETo!L463),0)</f>
        <v>3.5069942816526241</v>
      </c>
      <c r="W464" s="170">
        <f>IF(Escenarios!$E$14&gt;0,MIN(V464*1,0.8*(Z463+R464+S464+T464+Observaciones!$F463-U464-Constantes!$E$35)),0)</f>
        <v>3.5069942816526241</v>
      </c>
      <c r="X464" s="170">
        <f>IF(Escenarios!$E$14&gt;0,Observaciones!$J463,0)</f>
        <v>0</v>
      </c>
      <c r="Y464" s="170">
        <f>IF(Escenarios!$E$14&gt;0,MAX(0,Z463+R464+S464+T464+Observaciones!$F463-U464-W464-X464-Constantes!$E$33),0)</f>
        <v>0</v>
      </c>
      <c r="Z464" s="170">
        <f>Z463+R464+S464+T464+Observaciones!$F463-U464-W464-Y464</f>
        <v>117.69355911086008</v>
      </c>
      <c r="AA464" s="170">
        <f>IF(Escenarios!$E$14&gt;0,(Escenarios!$E$13*L464+Escenarios!$E$14*W464)/(Escenarios!$E$16),L464)</f>
        <v>2.0912629933141442</v>
      </c>
      <c r="AB464" s="170">
        <f>IF(Escenarios!$E$14&gt;0,(Escenarios!$E$14*Y464)/(Escenarios!$E$16),K464)</f>
        <v>0</v>
      </c>
      <c r="AC464" s="170">
        <f>IF(Escenarios!$E$14&gt;0,(Escenarios!$E$13*M464+Escenarios!$E$14*U464)/(Escenarios!$E$16),M464)</f>
        <v>0.2792606322244493</v>
      </c>
      <c r="AD464" s="76">
        <f t="shared" si="99"/>
        <v>176.51601070984705</v>
      </c>
      <c r="AE464" s="76">
        <f>MAX(0,(AD464-Constantes!$D$13)*(1-EXP(-Constantes!$D$23)))</f>
        <v>1.2589089350169644</v>
      </c>
      <c r="AF464" s="76">
        <f>AB464+O464*Escenarios!$E$13/Escenarios!$E$16+AE464</f>
        <v>1.5532094809207906</v>
      </c>
      <c r="AG464" s="76">
        <f>IF(Entradas!$E$91&gt;0,IF(AF464-Escenarios!$E$38&lt;=0,0,IF(AF464-Escenarios!$E$38&gt;Escenarios!$E$37,Escenarios!$E$37,AF464-Escenarios!$E$38)),0)</f>
        <v>0</v>
      </c>
      <c r="AH464" s="76">
        <f>AG464*Entradas!$E$99</f>
        <v>0</v>
      </c>
      <c r="AI464" s="76">
        <f>IF(Entradas!$E$91&gt;0,D464*Entradas!$D$23/Escenarios!$E$16,0)</f>
        <v>0</v>
      </c>
      <c r="AJ464" s="76">
        <f>IF(Entradas!$E$91&gt;0,Entradas!$D$24*Entradas!$D$22/Escenarios!$E$16,0)</f>
        <v>0</v>
      </c>
      <c r="AK464" s="76">
        <f t="shared" si="108"/>
        <v>2.0912629933141442</v>
      </c>
      <c r="AL464" s="76">
        <f t="shared" si="109"/>
        <v>0</v>
      </c>
      <c r="AM464" s="76">
        <f t="shared" si="100"/>
        <v>0</v>
      </c>
      <c r="AN464" s="76">
        <f>MAX(0,O464*Escenarios!$E$13/Escenarios!$E$16-AM464)</f>
        <v>0.29430054590382615</v>
      </c>
      <c r="AO464" s="76">
        <f>AM464+AN464-O464*Escenarios!$E$13/Escenarios!$E$16</f>
        <v>0</v>
      </c>
      <c r="AP464" s="76">
        <f t="shared" si="98"/>
        <v>1.2589089350169644</v>
      </c>
      <c r="AQ464" s="76">
        <f t="shared" si="101"/>
        <v>0</v>
      </c>
      <c r="AR464" s="76">
        <f t="shared" si="102"/>
        <v>1.5532094809207906</v>
      </c>
      <c r="AS464" s="76">
        <f t="shared" si="103"/>
        <v>0</v>
      </c>
      <c r="AT464" s="76">
        <f t="shared" si="104"/>
        <v>0.2792606322244493</v>
      </c>
      <c r="AU464" s="76">
        <f t="shared" si="105"/>
        <v>48.75</v>
      </c>
      <c r="AV464" s="76">
        <f>MAX(0,(AU464-Constantes!$D$13)*(1-EXP(-Constantes!$D$24)))</f>
        <v>0</v>
      </c>
      <c r="AW464" s="170">
        <f>AW463+(Entradas!$E$112*AT464-AX463)/(800*Entradas!$D$25)</f>
        <v>0</v>
      </c>
      <c r="AX464" s="170">
        <f>8000*Entradas!$D$26*AW464/Constantes!$E$45</f>
        <v>0</v>
      </c>
      <c r="AY464" s="170">
        <f>IF(Escenarios!$E$17&gt;0,10*Escenarios!$E$16*AL464,0)</f>
        <v>0</v>
      </c>
      <c r="AZ464" s="170">
        <f>IF(Escenarios!$E$17&gt;0,10*Escenarios!$E$16*AX464,0)</f>
        <v>0</v>
      </c>
      <c r="BA464" s="170">
        <f>IF(Escenarios!$E$17&gt;0,0.001*Observaciones!$F463*Escenarios!$E$17,0)</f>
        <v>10</v>
      </c>
      <c r="BB464" s="170">
        <f>IF(Escenarios!$E$17&gt;0,Observaciones!$K463,0)</f>
        <v>0</v>
      </c>
      <c r="BC464" s="170">
        <f>IF(Escenarios!$E$17&gt;0,MIN(0.0005*ETo!$M463*Escenarios!$E$17*(BG463/Constantes!$E$40)^(2/3),BG463+AY464+AZ464+BA464+BB464),0)</f>
        <v>38.54146084226651</v>
      </c>
      <c r="BD464" s="170">
        <f>IF(Escenarios!$E$17&gt;0,MIN(Constantes!$E$39*(BG463/Constantes!$E$40)^(2/3),BG463+AY464+AZ464+BA464+BB464-BC464),0)</f>
        <v>70.197895986798116</v>
      </c>
      <c r="BE464" s="170">
        <f>IF(Escenarios!$E$17&gt;0,MIN(Entradas!$E$113,BG463+AY464+AZ464+BA464+BB464-BC464-BD464),0)</f>
        <v>1</v>
      </c>
      <c r="BF464" s="170">
        <f>IF(Escenarios!$E$17&gt;0,MAX(0,BG463+AY464+AZ464+BA464+BB464-BC464-BD464-BE464-Constantes!$E$40),0)</f>
        <v>0</v>
      </c>
      <c r="BG464" s="170">
        <f t="shared" si="110"/>
        <v>5380.0000218946525</v>
      </c>
      <c r="BH464" s="170">
        <f>(Escenarios!$E$16*AK464+0.1*BC464)/(Escenarios!$E$19)</f>
        <v>2.0899598984633441</v>
      </c>
      <c r="BI464" s="170">
        <f>IF(Escenarios!$E$17&gt;0,BF464/10/Escenarios!$E$19,AL464)</f>
        <v>0</v>
      </c>
      <c r="BJ464" s="170">
        <f>(Escenarios!$E$16*AT464+0.1*BD464)/(Escenarios!$E$19)</f>
        <v>0.30490058593171482</v>
      </c>
      <c r="BK464" s="76">
        <f>BK463+(0.1*BD464)/(Escenarios!$E$19)-BL463</f>
        <v>50.639471036298467</v>
      </c>
      <c r="BL464" s="76">
        <f>MAX(0,(BK464-Constantes!$D$13)*(1-EXP(-Constantes!$D$23)))</f>
        <v>1.8617408157587379E-2</v>
      </c>
      <c r="BM464" s="76">
        <f t="shared" si="106"/>
        <v>1.2775263431745518</v>
      </c>
      <c r="BN464" s="76">
        <f t="shared" si="111"/>
        <v>1.571826889078378</v>
      </c>
      <c r="BO464" s="76">
        <f>0.0526*BI464*Observaciones!$F463^1.218</f>
        <v>0</v>
      </c>
      <c r="BP464" s="76">
        <f>BO464*Constantes!$E$51</f>
        <v>0</v>
      </c>
      <c r="BQ464" s="76">
        <f t="shared" si="107"/>
        <v>0</v>
      </c>
      <c r="BR464" s="40"/>
    </row>
    <row r="465" spans="1:70">
      <c r="A465" s="147"/>
      <c r="B465" s="39"/>
      <c r="C465" s="75">
        <v>459</v>
      </c>
      <c r="D465" s="146">
        <f>ETo!$I464*((1-Constantes!$E$19)*ETo!$K464+ETo!$L464)</f>
        <v>3.7818280336254575</v>
      </c>
      <c r="E465" s="76">
        <f>MIN(D465*Constantes!$E$17,0.8*(N464+Observaciones!$F464-F465-M465-Constantes!$D$14))</f>
        <v>1.8489822914851095</v>
      </c>
      <c r="F465" s="76">
        <f>IF(Observaciones!$F464&gt;0.05*Constantes!$E$18,((Observaciones!$F464-0.05*Constantes!$E$18)^2)/(Observaciones!$F464+0.95*Constantes!$E$18),0)</f>
        <v>0</v>
      </c>
      <c r="G465" s="76">
        <f>IF(Escenarios!$E$11&gt;0,(F465*Escenarios!$E$16*10000)/1000,0)</f>
        <v>0</v>
      </c>
      <c r="H465" s="76">
        <f>IF(Escenarios!$E$11&gt;0,(Observaciones!$F464*Constantes!$E$29)/1000,0)</f>
        <v>0</v>
      </c>
      <c r="I465" s="76">
        <f>IF(Escenarios!$E$11&gt;0,(D465*Constantes!$E$29)/1000,0)</f>
        <v>37.818280336254574</v>
      </c>
      <c r="J465" s="76">
        <f>IF(Escenarios!$E$11&gt;0,MAX(0,G465+H465-I465),0)</f>
        <v>0</v>
      </c>
      <c r="K465" s="76">
        <f>IF(Escenarios!$E$11&gt;0,IF(J465&gt;Constantes!$E$30,1000*((J465-Constantes!$E$30)/(Escenarios!$E$16*10000)),0),F465)</f>
        <v>0</v>
      </c>
      <c r="L465" s="76">
        <f>IF(Escenarios!$E$11&gt;0,I465*1000/Escenarios!$E$16/10000+E465,E465)</f>
        <v>1.8641096036196114</v>
      </c>
      <c r="M465" s="76">
        <f>MAX(0,N464+Observaciones!$F464-K465-Constantes!$D$13)</f>
        <v>0</v>
      </c>
      <c r="N465" s="76">
        <f>N464+Observaciones!$F464-K465-L465-M465-O464</f>
        <v>18.869320448047624</v>
      </c>
      <c r="O465" s="76">
        <f>MAX(0,(N465-Constantes!$D$14)*(1-EXP(-Constantes!$D$22)))</f>
        <v>0.25954202555849232</v>
      </c>
      <c r="P465" s="170">
        <f>P464+(Entradas!$E$83*M465-Q464)/(800*Entradas!$D$25)</f>
        <v>0</v>
      </c>
      <c r="Q465" s="170">
        <f>8000*Entradas!$D$26*P465/Constantes!$E$45</f>
        <v>0</v>
      </c>
      <c r="R465" s="170">
        <f>IF(Escenarios!$E$14&gt;0,K465*Escenarios!$E$13/Escenarios!$E$14,0)</f>
        <v>0</v>
      </c>
      <c r="S465" s="170">
        <f>IF(Escenarios!$E$14&gt;0,Q465*Escenarios!$E$13/Escenarios!$E$14,0)</f>
        <v>0</v>
      </c>
      <c r="T465" s="170">
        <f>IF(Escenarios!$E$14&gt;0,Observaciones!$I464,0)</f>
        <v>0</v>
      </c>
      <c r="U465" s="170">
        <f>IF(Escenarios!$E$14&gt;0,MAX(0,Constantes!$E$36/((Z464+R465+S465+T465+Observaciones!$F464)^2)+Entradas!$E$77),0)</f>
        <v>2.2588133399666828</v>
      </c>
      <c r="V465" s="146">
        <f>IF(ETo!D464&gt;0,ETo!I464*((1-Entradas!$E$81)*ETo!K464+ETo!L464),0)</f>
        <v>3.4428642736443065</v>
      </c>
      <c r="W465" s="170">
        <f>IF(Escenarios!$E$14&gt;0,MIN(V465*1,0.8*(Z464+R465+S465+T465+Observaciones!$F464-U465-Constantes!$E$35)),0)</f>
        <v>3.4428642736443065</v>
      </c>
      <c r="X465" s="170">
        <f>IF(Escenarios!$E$14&gt;0,Observaciones!$J464,0)</f>
        <v>0</v>
      </c>
      <c r="Y465" s="170">
        <f>IF(Escenarios!$E$14&gt;0,MAX(0,Z464+R465+S465+T465+Observaciones!$F464-U465-W465-X465-Constantes!$E$33),0)</f>
        <v>0</v>
      </c>
      <c r="Z465" s="170">
        <f>Z464+R465+S465+T465+Observaciones!$F464-U465-W465-Y465</f>
        <v>111.9918814972491</v>
      </c>
      <c r="AA465" s="170">
        <f>IF(Escenarios!$E$14&gt;0,(Escenarios!$E$13*L465+Escenarios!$E$14*W465)/(Escenarios!$E$16),L465)</f>
        <v>2.0535601640225751</v>
      </c>
      <c r="AB465" s="170">
        <f>IF(Escenarios!$E$14&gt;0,(Escenarios!$E$14*Y465)/(Escenarios!$E$16),K465)</f>
        <v>0</v>
      </c>
      <c r="AC465" s="170">
        <f>IF(Escenarios!$E$14&gt;0,(Escenarios!$E$13*M465+Escenarios!$E$14*U465)/(Escenarios!$E$16),M465)</f>
        <v>0.27105760079600189</v>
      </c>
      <c r="AD465" s="76">
        <f t="shared" si="99"/>
        <v>175.5281593756261</v>
      </c>
      <c r="AE465" s="76">
        <f>MAX(0,(AD465-Constantes!$D$13)*(1-EXP(-Constantes!$D$23)))</f>
        <v>1.2491754005330289</v>
      </c>
      <c r="AF465" s="76">
        <f>AB465+O465*Escenarios!$E$13/Escenarios!$E$16+AE465</f>
        <v>1.4775723830245022</v>
      </c>
      <c r="AG465" s="76">
        <f>IF(Entradas!$E$91&gt;0,IF(AF465-Escenarios!$E$38&lt;=0,0,IF(AF465-Escenarios!$E$38&gt;Escenarios!$E$37,Escenarios!$E$37,AF465-Escenarios!$E$38)),0)</f>
        <v>0</v>
      </c>
      <c r="AH465" s="76">
        <f>AG465*Entradas!$E$99</f>
        <v>0</v>
      </c>
      <c r="AI465" s="76">
        <f>IF(Entradas!$E$91&gt;0,D465*Entradas!$D$23/Escenarios!$E$16,0)</f>
        <v>0</v>
      </c>
      <c r="AJ465" s="76">
        <f>IF(Entradas!$E$91&gt;0,Entradas!$D$24*Entradas!$D$22/Escenarios!$E$16,0)</f>
        <v>0</v>
      </c>
      <c r="AK465" s="76">
        <f t="shared" si="108"/>
        <v>2.0535601640225751</v>
      </c>
      <c r="AL465" s="76">
        <f t="shared" si="109"/>
        <v>0</v>
      </c>
      <c r="AM465" s="76">
        <f t="shared" si="100"/>
        <v>0</v>
      </c>
      <c r="AN465" s="76">
        <f>MAX(0,O465*Escenarios!$E$13/Escenarios!$E$16-AM465)</f>
        <v>0.22839698249147325</v>
      </c>
      <c r="AO465" s="76">
        <f>AM465+AN465-O465*Escenarios!$E$13/Escenarios!$E$16</f>
        <v>0</v>
      </c>
      <c r="AP465" s="76">
        <f t="shared" si="98"/>
        <v>1.2491754005330289</v>
      </c>
      <c r="AQ465" s="76">
        <f t="shared" si="101"/>
        <v>0</v>
      </c>
      <c r="AR465" s="76">
        <f t="shared" si="102"/>
        <v>1.4775723830245022</v>
      </c>
      <c r="AS465" s="76">
        <f t="shared" si="103"/>
        <v>0</v>
      </c>
      <c r="AT465" s="76">
        <f t="shared" si="104"/>
        <v>0.27105760079600189</v>
      </c>
      <c r="AU465" s="76">
        <f t="shared" si="105"/>
        <v>48.75</v>
      </c>
      <c r="AV465" s="76">
        <f>MAX(0,(AU465-Constantes!$D$13)*(1-EXP(-Constantes!$D$24)))</f>
        <v>0</v>
      </c>
      <c r="AW465" s="170">
        <f>AW464+(Entradas!$E$112*AT465-AX464)/(800*Entradas!$D$25)</f>
        <v>0</v>
      </c>
      <c r="AX465" s="170">
        <f>8000*Entradas!$D$26*AW465/Constantes!$E$45</f>
        <v>0</v>
      </c>
      <c r="AY465" s="170">
        <f>IF(Escenarios!$E$17&gt;0,10*Escenarios!$E$16*AL465,0)</f>
        <v>0</v>
      </c>
      <c r="AZ465" s="170">
        <f>IF(Escenarios!$E$17&gt;0,10*Escenarios!$E$16*AX465,0)</f>
        <v>0</v>
      </c>
      <c r="BA465" s="170">
        <f>IF(Escenarios!$E$17&gt;0,0.001*Observaciones!$F464*Escenarios!$E$17,0)</f>
        <v>0</v>
      </c>
      <c r="BB465" s="170">
        <f>IF(Escenarios!$E$17&gt;0,Observaciones!$K464,0)</f>
        <v>0</v>
      </c>
      <c r="BC465" s="170">
        <f>IF(Escenarios!$E$17&gt;0,MIN(0.0005*ETo!$M464*Escenarios!$E$17*(BG464/Constantes!$E$40)^(2/3),BG464+AY465+AZ465+BA465+BB465),0)</f>
        <v>37.403855145529214</v>
      </c>
      <c r="BD465" s="170">
        <f>IF(Escenarios!$E$17&gt;0,MIN(Constantes!$E$39*(BG464/Constantes!$E$40)^(2/3),BG464+AY465+AZ465+BA465+BB465-BC465),0)</f>
        <v>69.343487195496891</v>
      </c>
      <c r="BE465" s="170">
        <f>IF(Escenarios!$E$17&gt;0,MIN(Entradas!$E$113,BG464+AY465+AZ465+BA465+BB465-BC465-BD465),0)</f>
        <v>1</v>
      </c>
      <c r="BF465" s="170">
        <f>IF(Escenarios!$E$17&gt;0,MAX(0,BG464+AY465+AZ465+BA465+BB465-BC465-BD465-BE465-Constantes!$E$40),0)</f>
        <v>0</v>
      </c>
      <c r="BG465" s="170">
        <f t="shared" si="110"/>
        <v>5272.252679553626</v>
      </c>
      <c r="BH465" s="170">
        <f>(Escenarios!$E$16*AK465+0.1*BC465)/(Escenarios!$E$19)</f>
        <v>2.0521048671436377</v>
      </c>
      <c r="BI465" s="170">
        <f>IF(Escenarios!$E$17&gt;0,BF465/10/Escenarios!$E$19,AL465)</f>
        <v>0</v>
      </c>
      <c r="BJ465" s="170">
        <f>(Escenarios!$E$16*AT465+0.1*BD465)/(Escenarios!$E$19)</f>
        <v>0.29642360681964353</v>
      </c>
      <c r="BK465" s="76">
        <f>BK464+(0.1*BD465)/(Escenarios!$E$19)-BL464</f>
        <v>50.648370884964486</v>
      </c>
      <c r="BL465" s="76">
        <f>MAX(0,(BK465-Constantes!$D$13)*(1-EXP(-Constantes!$D$23)))</f>
        <v>1.8705100486272466E-2</v>
      </c>
      <c r="BM465" s="76">
        <f t="shared" si="106"/>
        <v>1.2678805010193013</v>
      </c>
      <c r="BN465" s="76">
        <f t="shared" si="111"/>
        <v>1.4962774835107746</v>
      </c>
      <c r="BO465" s="76">
        <f>0.0526*BI465*Observaciones!$F464^1.218</f>
        <v>0</v>
      </c>
      <c r="BP465" s="76">
        <f>BO465*Constantes!$E$51</f>
        <v>0</v>
      </c>
      <c r="BQ465" s="76">
        <f t="shared" si="107"/>
        <v>0</v>
      </c>
      <c r="BR465" s="40"/>
    </row>
    <row r="466" spans="1:70">
      <c r="A466" s="147"/>
      <c r="B466" s="39"/>
      <c r="C466" s="75">
        <v>460</v>
      </c>
      <c r="D466" s="146">
        <f>ETo!$I465*((1-Constantes!$E$19)*ETo!$K465+ETo!$L465)</f>
        <v>3.7687316083495026</v>
      </c>
      <c r="E466" s="76">
        <f>MIN(D466*Constantes!$E$17,0.8*(N465+Observaciones!$F465-F466-M466-Constantes!$D$14))</f>
        <v>1.8425792879107283</v>
      </c>
      <c r="F466" s="76">
        <f>IF(Observaciones!$F465&gt;0.05*Constantes!$E$18,((Observaciones!$F465-0.05*Constantes!$E$18)^2)/(Observaciones!$F465+0.95*Constantes!$E$18),0)</f>
        <v>0</v>
      </c>
      <c r="G466" s="76">
        <f>IF(Escenarios!$E$11&gt;0,(F466*Escenarios!$E$16*10000)/1000,0)</f>
        <v>0</v>
      </c>
      <c r="H466" s="76">
        <f>IF(Escenarios!$E$11&gt;0,(Observaciones!$F465*Constantes!$E$29)/1000,0)</f>
        <v>0</v>
      </c>
      <c r="I466" s="76">
        <f>IF(Escenarios!$E$11&gt;0,(D466*Constantes!$E$29)/1000,0)</f>
        <v>37.687316083495027</v>
      </c>
      <c r="J466" s="76">
        <f>IF(Escenarios!$E$11&gt;0,MAX(0,G466+H466-I466),0)</f>
        <v>0</v>
      </c>
      <c r="K466" s="76">
        <f>IF(Escenarios!$E$11&gt;0,IF(J466&gt;Constantes!$E$30,1000*((J466-Constantes!$E$30)/(Escenarios!$E$16*10000)),0),F466)</f>
        <v>0</v>
      </c>
      <c r="L466" s="76">
        <f>IF(Escenarios!$E$11&gt;0,I466*1000/Escenarios!$E$16/10000+E466,E466)</f>
        <v>1.8576542143441264</v>
      </c>
      <c r="M466" s="76">
        <f>MAX(0,N465+Observaciones!$F465-K466-Constantes!$D$13)</f>
        <v>0</v>
      </c>
      <c r="N466" s="76">
        <f>N465+Observaciones!$F465-K466-L466-M466-O465</f>
        <v>16.752124208145005</v>
      </c>
      <c r="O466" s="76">
        <f>MAX(0,(N466-Constantes!$D$14)*(1-EXP(-Constantes!$D$22)))</f>
        <v>0.18742254924089582</v>
      </c>
      <c r="P466" s="170">
        <f>P465+(Entradas!$E$83*M466-Q465)/(800*Entradas!$D$25)</f>
        <v>0</v>
      </c>
      <c r="Q466" s="170">
        <f>8000*Entradas!$D$26*P466/Constantes!$E$45</f>
        <v>0</v>
      </c>
      <c r="R466" s="170">
        <f>IF(Escenarios!$E$14&gt;0,K466*Escenarios!$E$13/Escenarios!$E$14,0)</f>
        <v>0</v>
      </c>
      <c r="S466" s="170">
        <f>IF(Escenarios!$E$14&gt;0,Q466*Escenarios!$E$13/Escenarios!$E$14,0)</f>
        <v>0</v>
      </c>
      <c r="T466" s="170">
        <f>IF(Escenarios!$E$14&gt;0,Observaciones!$I465,0)</f>
        <v>0</v>
      </c>
      <c r="U466" s="170">
        <f>IF(Escenarios!$E$14&gt;0,MAX(0,Constantes!$E$36/((Z465+R466+S466+T466+Observaciones!$F465)^2)+Entradas!$E$77),0)</f>
        <v>2.1814223081870328</v>
      </c>
      <c r="V466" s="146">
        <f>IF(ETo!D465&gt;0,ETo!I465*((1-Entradas!$E$81)*ETo!K465+ETo!L465),0)</f>
        <v>3.4305494236645844</v>
      </c>
      <c r="W466" s="170">
        <f>IF(Escenarios!$E$14&gt;0,MIN(V466*1,0.8*(Z465+R466+S466+T466+Observaciones!$F465-U466-Constantes!$E$35)),0)</f>
        <v>3.4305494236645844</v>
      </c>
      <c r="X466" s="170">
        <f>IF(Escenarios!$E$14&gt;0,Observaciones!$J465,0)</f>
        <v>0</v>
      </c>
      <c r="Y466" s="170">
        <f>IF(Escenarios!$E$14&gt;0,MAX(0,Z465+R466+S466+T466+Observaciones!$F465-U466-W466-X466-Constantes!$E$33),0)</f>
        <v>0</v>
      </c>
      <c r="Z466" s="170">
        <f>Z465+R466+S466+T466+Observaciones!$F465-U466-W466-Y466</f>
        <v>106.37990976539747</v>
      </c>
      <c r="AA466" s="170">
        <f>IF(Escenarios!$E$14&gt;0,(Escenarios!$E$13*L466+Escenarios!$E$14*W466)/(Escenarios!$E$16),L466)</f>
        <v>2.0464016394625815</v>
      </c>
      <c r="AB466" s="170">
        <f>IF(Escenarios!$E$14&gt;0,(Escenarios!$E$14*Y466)/(Escenarios!$E$16),K466)</f>
        <v>0</v>
      </c>
      <c r="AC466" s="170">
        <f>IF(Escenarios!$E$14&gt;0,(Escenarios!$E$13*M466+Escenarios!$E$14*U466)/(Escenarios!$E$16),M466)</f>
        <v>0.26177067698244394</v>
      </c>
      <c r="AD466" s="76">
        <f t="shared" si="99"/>
        <v>174.54075465207552</v>
      </c>
      <c r="AE466" s="76">
        <f>MAX(0,(AD466-Constantes!$D$13)*(1-EXP(-Constantes!$D$23)))</f>
        <v>1.2394462666104029</v>
      </c>
      <c r="AF466" s="76">
        <f>AB466+O466*Escenarios!$E$13/Escenarios!$E$16+AE466</f>
        <v>1.4043781099423913</v>
      </c>
      <c r="AG466" s="76">
        <f>IF(Entradas!$E$91&gt;0,IF(AF466-Escenarios!$E$38&lt;=0,0,IF(AF466-Escenarios!$E$38&gt;Escenarios!$E$37,Escenarios!$E$37,AF466-Escenarios!$E$38)),0)</f>
        <v>0</v>
      </c>
      <c r="AH466" s="76">
        <f>AG466*Entradas!$E$99</f>
        <v>0</v>
      </c>
      <c r="AI466" s="76">
        <f>IF(Entradas!$E$91&gt;0,D466*Entradas!$D$23/Escenarios!$E$16,0)</f>
        <v>0</v>
      </c>
      <c r="AJ466" s="76">
        <f>IF(Entradas!$E$91&gt;0,Entradas!$D$24*Entradas!$D$22/Escenarios!$E$16,0)</f>
        <v>0</v>
      </c>
      <c r="AK466" s="76">
        <f t="shared" si="108"/>
        <v>2.0464016394625815</v>
      </c>
      <c r="AL466" s="76">
        <f t="shared" si="109"/>
        <v>0</v>
      </c>
      <c r="AM466" s="76">
        <f t="shared" si="100"/>
        <v>0</v>
      </c>
      <c r="AN466" s="76">
        <f>MAX(0,O466*Escenarios!$E$13/Escenarios!$E$16-AM466)</f>
        <v>0.16493184333198832</v>
      </c>
      <c r="AO466" s="76">
        <f>AM466+AN466-O466*Escenarios!$E$13/Escenarios!$E$16</f>
        <v>0</v>
      </c>
      <c r="AP466" s="76">
        <f t="shared" si="98"/>
        <v>1.2394462666104029</v>
      </c>
      <c r="AQ466" s="76">
        <f t="shared" si="101"/>
        <v>0</v>
      </c>
      <c r="AR466" s="76">
        <f t="shared" si="102"/>
        <v>1.4043781099423913</v>
      </c>
      <c r="AS466" s="76">
        <f t="shared" si="103"/>
        <v>0</v>
      </c>
      <c r="AT466" s="76">
        <f t="shared" si="104"/>
        <v>0.26177067698244394</v>
      </c>
      <c r="AU466" s="76">
        <f t="shared" si="105"/>
        <v>48.75</v>
      </c>
      <c r="AV466" s="76">
        <f>MAX(0,(AU466-Constantes!$D$13)*(1-EXP(-Constantes!$D$24)))</f>
        <v>0</v>
      </c>
      <c r="AW466" s="170">
        <f>AW465+(Entradas!$E$112*AT466-AX465)/(800*Entradas!$D$25)</f>
        <v>0</v>
      </c>
      <c r="AX466" s="170">
        <f>8000*Entradas!$D$26*AW466/Constantes!$E$45</f>
        <v>0</v>
      </c>
      <c r="AY466" s="170">
        <f>IF(Escenarios!$E$17&gt;0,10*Escenarios!$E$16*AL466,0)</f>
        <v>0</v>
      </c>
      <c r="AZ466" s="170">
        <f>IF(Escenarios!$E$17&gt;0,10*Escenarios!$E$16*AX466,0)</f>
        <v>0</v>
      </c>
      <c r="BA466" s="170">
        <f>IF(Escenarios!$E$17&gt;0,0.001*Observaciones!$F465*Escenarios!$E$17,0)</f>
        <v>0</v>
      </c>
      <c r="BB466" s="170">
        <f>IF(Escenarios!$E$17&gt;0,Observaciones!$K465,0)</f>
        <v>0</v>
      </c>
      <c r="BC466" s="170">
        <f>IF(Escenarios!$E$17&gt;0,MIN(0.0005*ETo!$M465*Escenarios!$E$17*(BG465/Constantes!$E$40)^(2/3),BG465+AY466+AZ466+BA466+BB466),0)</f>
        <v>36.780256690325857</v>
      </c>
      <c r="BD466" s="170">
        <f>IF(Escenarios!$E$17&gt;0,MIN(Constantes!$E$39*(BG465/Constantes!$E$40)^(2/3),BG465+AY466+AZ466+BA466+BB466-BC466),0)</f>
        <v>68.414523081796389</v>
      </c>
      <c r="BE466" s="170">
        <f>IF(Escenarios!$E$17&gt;0,MIN(Entradas!$E$113,BG465+AY466+AZ466+BA466+BB466-BC466-BD466),0)</f>
        <v>1</v>
      </c>
      <c r="BF466" s="170">
        <f>IF(Escenarios!$E$17&gt;0,MAX(0,BG465+AY466+AZ466+BA466+BB466-BC466-BD466-BE466-Constantes!$E$40),0)</f>
        <v>0</v>
      </c>
      <c r="BG466" s="170">
        <f t="shared" si="110"/>
        <v>5166.0578997815037</v>
      </c>
      <c r="BH466" s="170">
        <f>(Escenarios!$E$16*AK466+0.1*BC466)/(Escenarios!$E$19)</f>
        <v>2.0447556965661819</v>
      </c>
      <c r="BI466" s="170">
        <f>IF(Escenarios!$E$17&gt;0,BF466/10/Escenarios!$E$19,AL466)</f>
        <v>0</v>
      </c>
      <c r="BJ466" s="170">
        <f>(Escenarios!$E$16*AT466+0.1*BD466)/(Escenarios!$E$19)</f>
        <v>0.28684175219758185</v>
      </c>
      <c r="BK466" s="76">
        <f>BK465+(0.1*BD466)/(Escenarios!$E$19)-BL465</f>
        <v>50.656814404748765</v>
      </c>
      <c r="BL466" s="76">
        <f>MAX(0,(BK466-Constantes!$D$13)*(1-EXP(-Constantes!$D$23)))</f>
        <v>1.8788296497796699E-2</v>
      </c>
      <c r="BM466" s="76">
        <f t="shared" si="106"/>
        <v>1.2582345631081997</v>
      </c>
      <c r="BN466" s="76">
        <f t="shared" si="111"/>
        <v>1.4231664064401881</v>
      </c>
      <c r="BO466" s="76">
        <f>0.0526*BI466*Observaciones!$F465^1.218</f>
        <v>0</v>
      </c>
      <c r="BP466" s="76">
        <f>BO466*Constantes!$E$51</f>
        <v>0</v>
      </c>
      <c r="BQ466" s="76">
        <f t="shared" si="107"/>
        <v>0</v>
      </c>
      <c r="BR466" s="40"/>
    </row>
    <row r="467" spans="1:70">
      <c r="A467" s="147"/>
      <c r="B467" s="39"/>
      <c r="C467" s="75">
        <v>461</v>
      </c>
      <c r="D467" s="146">
        <f>ETo!$I466*((1-Constantes!$E$19)*ETo!$K466+ETo!$L466)</f>
        <v>3.5811770085142123</v>
      </c>
      <c r="E467" s="76">
        <f>MIN(D467*Constantes!$E$17,0.8*(N466+Observaciones!$F466-F467-M467-Constantes!$D$14))</f>
        <v>1.7508815346816951</v>
      </c>
      <c r="F467" s="76">
        <f>IF(Observaciones!$F466&gt;0.05*Constantes!$E$18,((Observaciones!$F466-0.05*Constantes!$E$18)^2)/(Observaciones!$F466+0.95*Constantes!$E$18),0)</f>
        <v>0</v>
      </c>
      <c r="G467" s="76">
        <f>IF(Escenarios!$E$11&gt;0,(F467*Escenarios!$E$16*10000)/1000,0)</f>
        <v>0</v>
      </c>
      <c r="H467" s="76">
        <f>IF(Escenarios!$E$11&gt;0,(Observaciones!$F466*Constantes!$E$29)/1000,0)</f>
        <v>0</v>
      </c>
      <c r="I467" s="76">
        <f>IF(Escenarios!$E$11&gt;0,(D467*Constantes!$E$29)/1000,0)</f>
        <v>35.811770085142122</v>
      </c>
      <c r="J467" s="76">
        <f>IF(Escenarios!$E$11&gt;0,MAX(0,G467+H467-I467),0)</f>
        <v>0</v>
      </c>
      <c r="K467" s="76">
        <f>IF(Escenarios!$E$11&gt;0,IF(J467&gt;Constantes!$E$30,1000*((J467-Constantes!$E$30)/(Escenarios!$E$16*10000)),0),F467)</f>
        <v>0</v>
      </c>
      <c r="L467" s="76">
        <f>IF(Escenarios!$E$11&gt;0,I467*1000/Escenarios!$E$16/10000+E467,E467)</f>
        <v>1.765206242715752</v>
      </c>
      <c r="M467" s="76">
        <f>MAX(0,N466+Observaciones!$F466-K467-Constantes!$D$13)</f>
        <v>0</v>
      </c>
      <c r="N467" s="76">
        <f>N466+Observaciones!$F466-K467-L467-M467-O466</f>
        <v>14.799495416188357</v>
      </c>
      <c r="O467" s="76">
        <f>MAX(0,(N467-Constantes!$D$14)*(1-EXP(-Constantes!$D$22)))</f>
        <v>0.12090884433980846</v>
      </c>
      <c r="P467" s="170">
        <f>P466+(Entradas!$E$83*M467-Q466)/(800*Entradas!$D$25)</f>
        <v>0</v>
      </c>
      <c r="Q467" s="170">
        <f>8000*Entradas!$D$26*P467/Constantes!$E$45</f>
        <v>0</v>
      </c>
      <c r="R467" s="170">
        <f>IF(Escenarios!$E$14&gt;0,K467*Escenarios!$E$13/Escenarios!$E$14,0)</f>
        <v>0</v>
      </c>
      <c r="S467" s="170">
        <f>IF(Escenarios!$E$14&gt;0,Q467*Escenarios!$E$13/Escenarios!$E$14,0)</f>
        <v>0</v>
      </c>
      <c r="T467" s="170">
        <f>IF(Escenarios!$E$14&gt;0,Observaciones!$I466,0)</f>
        <v>0</v>
      </c>
      <c r="U467" s="170">
        <f>IF(Escenarios!$E$14&gt;0,MAX(0,Constantes!$E$36/((Z466+R467+S467+T467+Observaciones!$F466)^2)+Entradas!$E$77),0)</f>
        <v>2.0927776272805514</v>
      </c>
      <c r="V467" s="146">
        <f>IF(ETo!D466&gt;0,ETo!I466*((1-Entradas!$E$81)*ETo!K466+ETo!L466),0)</f>
        <v>3.2575833450462803</v>
      </c>
      <c r="W467" s="170">
        <f>IF(Escenarios!$E$14&gt;0,MIN(V467*1,0.8*(Z466+R467+S467+T467+Observaciones!$F466-U467-Constantes!$E$35)),0)</f>
        <v>3.2575833450462803</v>
      </c>
      <c r="X467" s="170">
        <f>IF(Escenarios!$E$14&gt;0,Observaciones!$J466,0)</f>
        <v>0</v>
      </c>
      <c r="Y467" s="170">
        <f>IF(Escenarios!$E$14&gt;0,MAX(0,Z466+R467+S467+T467+Observaciones!$F466-U467-W467-X467-Constantes!$E$33),0)</f>
        <v>0</v>
      </c>
      <c r="Z467" s="170">
        <f>Z466+R467+S467+T467+Observaciones!$F466-U467-W467-Y467</f>
        <v>101.02954879307063</v>
      </c>
      <c r="AA467" s="170">
        <f>IF(Escenarios!$E$14&gt;0,(Escenarios!$E$13*L467+Escenarios!$E$14*W467)/(Escenarios!$E$16),L467)</f>
        <v>1.9442914949954153</v>
      </c>
      <c r="AB467" s="170">
        <f>IF(Escenarios!$E$14&gt;0,(Escenarios!$E$14*Y467)/(Escenarios!$E$16),K467)</f>
        <v>0</v>
      </c>
      <c r="AC467" s="170">
        <f>IF(Escenarios!$E$14&gt;0,(Escenarios!$E$13*M467+Escenarios!$E$14*U467)/(Escenarios!$E$16),M467)</f>
        <v>0.25113331527366617</v>
      </c>
      <c r="AD467" s="76">
        <f t="shared" si="99"/>
        <v>173.5524417007388</v>
      </c>
      <c r="AE467" s="76">
        <f>MAX(0,(AD467-Constantes!$D$13)*(1-EXP(-Constantes!$D$23)))</f>
        <v>1.2297081837030768</v>
      </c>
      <c r="AF467" s="76">
        <f>AB467+O467*Escenarios!$E$13/Escenarios!$E$16+AE467</f>
        <v>1.3361079667221083</v>
      </c>
      <c r="AG467" s="76">
        <f>IF(Entradas!$E$91&gt;0,IF(AF467-Escenarios!$E$38&lt;=0,0,IF(AF467-Escenarios!$E$38&gt;Escenarios!$E$37,Escenarios!$E$37,AF467-Escenarios!$E$38)),0)</f>
        <v>0</v>
      </c>
      <c r="AH467" s="76">
        <f>AG467*Entradas!$E$99</f>
        <v>0</v>
      </c>
      <c r="AI467" s="76">
        <f>IF(Entradas!$E$91&gt;0,D467*Entradas!$D$23/Escenarios!$E$16,0)</f>
        <v>0</v>
      </c>
      <c r="AJ467" s="76">
        <f>IF(Entradas!$E$91&gt;0,Entradas!$D$24*Entradas!$D$22/Escenarios!$E$16,0)</f>
        <v>0</v>
      </c>
      <c r="AK467" s="76">
        <f t="shared" si="108"/>
        <v>1.9442914949954153</v>
      </c>
      <c r="AL467" s="76">
        <f t="shared" si="109"/>
        <v>0</v>
      </c>
      <c r="AM467" s="76">
        <f t="shared" si="100"/>
        <v>0</v>
      </c>
      <c r="AN467" s="76">
        <f>MAX(0,O467*Escenarios!$E$13/Escenarios!$E$16-AM467)</f>
        <v>0.10639978301903144</v>
      </c>
      <c r="AO467" s="76">
        <f>AM467+AN467-O467*Escenarios!$E$13/Escenarios!$E$16</f>
        <v>0</v>
      </c>
      <c r="AP467" s="76">
        <f t="shared" si="98"/>
        <v>1.2297081837030768</v>
      </c>
      <c r="AQ467" s="76">
        <f t="shared" si="101"/>
        <v>0</v>
      </c>
      <c r="AR467" s="76">
        <f t="shared" si="102"/>
        <v>1.3361079667221083</v>
      </c>
      <c r="AS467" s="76">
        <f t="shared" si="103"/>
        <v>0</v>
      </c>
      <c r="AT467" s="76">
        <f t="shared" si="104"/>
        <v>0.25113331527366617</v>
      </c>
      <c r="AU467" s="76">
        <f t="shared" si="105"/>
        <v>48.75</v>
      </c>
      <c r="AV467" s="76">
        <f>MAX(0,(AU467-Constantes!$D$13)*(1-EXP(-Constantes!$D$24)))</f>
        <v>0</v>
      </c>
      <c r="AW467" s="170">
        <f>AW466+(Entradas!$E$112*AT467-AX466)/(800*Entradas!$D$25)</f>
        <v>0</v>
      </c>
      <c r="AX467" s="170">
        <f>8000*Entradas!$D$26*AW467/Constantes!$E$45</f>
        <v>0</v>
      </c>
      <c r="AY467" s="170">
        <f>IF(Escenarios!$E$17&gt;0,10*Escenarios!$E$16*AL467,0)</f>
        <v>0</v>
      </c>
      <c r="AZ467" s="170">
        <f>IF(Escenarios!$E$17&gt;0,10*Escenarios!$E$16*AX467,0)</f>
        <v>0</v>
      </c>
      <c r="BA467" s="170">
        <f>IF(Escenarios!$E$17&gt;0,0.001*Observaciones!$F466*Escenarios!$E$17,0)</f>
        <v>0</v>
      </c>
      <c r="BB467" s="170">
        <f>IF(Escenarios!$E$17&gt;0,Observaciones!$K466,0)</f>
        <v>0</v>
      </c>
      <c r="BC467" s="170">
        <f>IF(Escenarios!$E$17&gt;0,MIN(0.0005*ETo!$M466*Escenarios!$E$17*(BG466/Constantes!$E$40)^(2/3),BG466+AY467+AZ467+BA467+BB467),0)</f>
        <v>34.508705985239615</v>
      </c>
      <c r="BD467" s="170">
        <f>IF(Escenarios!$E$17&gt;0,MIN(Constantes!$E$39*(BG466/Constantes!$E$40)^(2/3),BG466+AY467+AZ467+BA467+BB467-BC467),0)</f>
        <v>67.492731666161575</v>
      </c>
      <c r="BE467" s="170">
        <f>IF(Escenarios!$E$17&gt;0,MIN(Entradas!$E$113,BG466+AY467+AZ467+BA467+BB467-BC467-BD467),0)</f>
        <v>1</v>
      </c>
      <c r="BF467" s="170">
        <f>IF(Escenarios!$E$17&gt;0,MAX(0,BG466+AY467+AZ467+BA467+BB467-BC467-BD467-BE467-Constantes!$E$40),0)</f>
        <v>0</v>
      </c>
      <c r="BG467" s="170">
        <f t="shared" si="110"/>
        <v>5063.0564621301028</v>
      </c>
      <c r="BH467" s="170">
        <f>(Escenarios!$E$16*AK467+0.1*BC467)/(Escenarios!$E$19)</f>
        <v>1.9425545410610232</v>
      </c>
      <c r="BI467" s="170">
        <f>IF(Escenarios!$E$17&gt;0,BF467/10/Escenarios!$E$19,AL467)</f>
        <v>0</v>
      </c>
      <c r="BJ467" s="170">
        <f>(Escenarios!$E$16*AT467+0.1*BD467)/(Escenarios!$E$19)</f>
        <v>0.27592302375012978</v>
      </c>
      <c r="BK467" s="76">
        <f>BK466+(0.1*BD467)/(Escenarios!$E$19)-BL466</f>
        <v>50.664808938277226</v>
      </c>
      <c r="BL467" s="76">
        <f>MAX(0,(BK467-Constantes!$D$13)*(1-EXP(-Constantes!$D$23)))</f>
        <v>1.8867068540802154E-2</v>
      </c>
      <c r="BM467" s="76">
        <f t="shared" si="106"/>
        <v>1.2485752522438789</v>
      </c>
      <c r="BN467" s="76">
        <f t="shared" si="111"/>
        <v>1.3549750352629104</v>
      </c>
      <c r="BO467" s="76">
        <f>0.0526*BI467*Observaciones!$F466^1.218</f>
        <v>0</v>
      </c>
      <c r="BP467" s="76">
        <f>BO467*Constantes!$E$51</f>
        <v>0</v>
      </c>
      <c r="BQ467" s="76">
        <f t="shared" si="107"/>
        <v>0</v>
      </c>
      <c r="BR467" s="40"/>
    </row>
    <row r="468" spans="1:70">
      <c r="A468" s="147"/>
      <c r="B468" s="39"/>
      <c r="C468" s="75">
        <v>462</v>
      </c>
      <c r="D468" s="146">
        <f>ETo!$I467*((1-Constantes!$E$19)*ETo!$K467+ETo!$L467)</f>
        <v>3.6037948372881066</v>
      </c>
      <c r="E468" s="76">
        <f>MIN(D468*Constantes!$E$17,0.8*(N467+Observaciones!$F467-F468-M468-Constantes!$D$14))</f>
        <v>1.7619396696637561</v>
      </c>
      <c r="F468" s="76">
        <f>IF(Observaciones!$F467&gt;0.05*Constantes!$E$18,((Observaciones!$F467-0.05*Constantes!$E$18)^2)/(Observaciones!$F467+0.95*Constantes!$E$18),0)</f>
        <v>0</v>
      </c>
      <c r="G468" s="76">
        <f>IF(Escenarios!$E$11&gt;0,(F468*Escenarios!$E$16*10000)/1000,0)</f>
        <v>0</v>
      </c>
      <c r="H468" s="76">
        <f>IF(Escenarios!$E$11&gt;0,(Observaciones!$F467*Constantes!$E$29)/1000,0)</f>
        <v>2</v>
      </c>
      <c r="I468" s="76">
        <f>IF(Escenarios!$E$11&gt;0,(D468*Constantes!$E$29)/1000,0)</f>
        <v>36.037948372881068</v>
      </c>
      <c r="J468" s="76">
        <f>IF(Escenarios!$E$11&gt;0,MAX(0,G468+H468-I468),0)</f>
        <v>0</v>
      </c>
      <c r="K468" s="76">
        <f>IF(Escenarios!$E$11&gt;0,IF(J468&gt;Constantes!$E$30,1000*((J468-Constantes!$E$30)/(Escenarios!$E$16*10000)),0),F468)</f>
        <v>0</v>
      </c>
      <c r="L468" s="76">
        <f>IF(Escenarios!$E$11&gt;0,I468*1000/Escenarios!$E$16/10000+E468,E468)</f>
        <v>1.7763548490129086</v>
      </c>
      <c r="M468" s="76">
        <f>MAX(0,N467+Observaciones!$F467-K468-Constantes!$D$13)</f>
        <v>0</v>
      </c>
      <c r="N468" s="76">
        <f>N467+Observaciones!$F467-K468-L468-M468-O467</f>
        <v>13.102231722835638</v>
      </c>
      <c r="O468" s="76">
        <f>MAX(0,(N468-Constantes!$D$14)*(1-EXP(-Constantes!$D$22)))</f>
        <v>6.3093812161639728E-2</v>
      </c>
      <c r="P468" s="170">
        <f>P467+(Entradas!$E$83*M468-Q467)/(800*Entradas!$D$25)</f>
        <v>0</v>
      </c>
      <c r="Q468" s="170">
        <f>8000*Entradas!$D$26*P468/Constantes!$E$45</f>
        <v>0</v>
      </c>
      <c r="R468" s="170">
        <f>IF(Escenarios!$E$14&gt;0,K468*Escenarios!$E$13/Escenarios!$E$14,0)</f>
        <v>0</v>
      </c>
      <c r="S468" s="170">
        <f>IF(Escenarios!$E$14&gt;0,Q468*Escenarios!$E$13/Escenarios!$E$14,0)</f>
        <v>0</v>
      </c>
      <c r="T468" s="170">
        <f>IF(Escenarios!$E$14&gt;0,Observaciones!$I467,0)</f>
        <v>0</v>
      </c>
      <c r="U468" s="170">
        <f>IF(Escenarios!$E$14&gt;0,MAX(0,Constantes!$E$36/((Z467+R468+S468+T468+Observaciones!$F467)^2)+Entradas!$E$77),0)</f>
        <v>1.9981138229691056</v>
      </c>
      <c r="V468" s="146">
        <f>IF(ETo!D467&gt;0,ETo!I467*((1-Entradas!$E$81)*ETo!K467+ETo!L467),0)</f>
        <v>3.2780739147101241</v>
      </c>
      <c r="W468" s="170">
        <f>IF(Escenarios!$E$14&gt;0,MIN(V468*1,0.8*(Z467+R468+S468+T468+Observaciones!$F467-U468-Constantes!$E$35)),0)</f>
        <v>3.2780739147101241</v>
      </c>
      <c r="X468" s="170">
        <f>IF(Escenarios!$E$14&gt;0,Observaciones!$J467,0)</f>
        <v>0</v>
      </c>
      <c r="Y468" s="170">
        <f>IF(Escenarios!$E$14&gt;0,MAX(0,Z467+R468+S468+T468+Observaciones!$F467-U468-W468-X468-Constantes!$E$33),0)</f>
        <v>0</v>
      </c>
      <c r="Z468" s="170">
        <f>Z467+R468+S468+T468+Observaciones!$F467-U468-W468-Y468</f>
        <v>95.953361055391412</v>
      </c>
      <c r="AA468" s="170">
        <f>IF(Escenarios!$E$14&gt;0,(Escenarios!$E$13*L468+Escenarios!$E$14*W468)/(Escenarios!$E$16),L468)</f>
        <v>1.9565611368965745</v>
      </c>
      <c r="AB468" s="170">
        <f>IF(Escenarios!$E$14&gt;0,(Escenarios!$E$14*Y468)/(Escenarios!$E$16),K468)</f>
        <v>0</v>
      </c>
      <c r="AC468" s="170">
        <f>IF(Escenarios!$E$14&gt;0,(Escenarios!$E$13*M468+Escenarios!$E$14*U468)/(Escenarios!$E$16),M468)</f>
        <v>0.23977365875629267</v>
      </c>
      <c r="AD468" s="76">
        <f t="shared" si="99"/>
        <v>172.56250717579201</v>
      </c>
      <c r="AE468" s="76">
        <f>MAX(0,(AD468-Constantes!$D$13)*(1-EXP(-Constantes!$D$23)))</f>
        <v>1.2199541230447422</v>
      </c>
      <c r="AF468" s="76">
        <f>AB468+O468*Escenarios!$E$13/Escenarios!$E$16+AE468</f>
        <v>1.275476677746985</v>
      </c>
      <c r="AG468" s="76">
        <f>IF(Entradas!$E$91&gt;0,IF(AF468-Escenarios!$E$38&lt;=0,0,IF(AF468-Escenarios!$E$38&gt;Escenarios!$E$37,Escenarios!$E$37,AF468-Escenarios!$E$38)),0)</f>
        <v>0</v>
      </c>
      <c r="AH468" s="76">
        <f>AG468*Entradas!$E$99</f>
        <v>0</v>
      </c>
      <c r="AI468" s="76">
        <f>IF(Entradas!$E$91&gt;0,D468*Entradas!$D$23/Escenarios!$E$16,0)</f>
        <v>0</v>
      </c>
      <c r="AJ468" s="76">
        <f>IF(Entradas!$E$91&gt;0,Entradas!$D$24*Entradas!$D$22/Escenarios!$E$16,0)</f>
        <v>0</v>
      </c>
      <c r="AK468" s="76">
        <f t="shared" si="108"/>
        <v>1.9565611368965745</v>
      </c>
      <c r="AL468" s="76">
        <f t="shared" si="109"/>
        <v>0</v>
      </c>
      <c r="AM468" s="76">
        <f t="shared" si="100"/>
        <v>0</v>
      </c>
      <c r="AN468" s="76">
        <f>MAX(0,O468*Escenarios!$E$13/Escenarios!$E$16-AM468)</f>
        <v>5.5522554702242967E-2</v>
      </c>
      <c r="AO468" s="76">
        <f>AM468+AN468-O468*Escenarios!$E$13/Escenarios!$E$16</f>
        <v>0</v>
      </c>
      <c r="AP468" s="76">
        <f t="shared" si="98"/>
        <v>1.2199541230447422</v>
      </c>
      <c r="AQ468" s="76">
        <f t="shared" si="101"/>
        <v>0</v>
      </c>
      <c r="AR468" s="76">
        <f t="shared" si="102"/>
        <v>1.275476677746985</v>
      </c>
      <c r="AS468" s="76">
        <f t="shared" si="103"/>
        <v>0</v>
      </c>
      <c r="AT468" s="76">
        <f t="shared" si="104"/>
        <v>0.23977365875629267</v>
      </c>
      <c r="AU468" s="76">
        <f t="shared" si="105"/>
        <v>48.75</v>
      </c>
      <c r="AV468" s="76">
        <f>MAX(0,(AU468-Constantes!$D$13)*(1-EXP(-Constantes!$D$24)))</f>
        <v>0</v>
      </c>
      <c r="AW468" s="170">
        <f>AW467+(Entradas!$E$112*AT468-AX467)/(800*Entradas!$D$25)</f>
        <v>0</v>
      </c>
      <c r="AX468" s="170">
        <f>8000*Entradas!$D$26*AW468/Constantes!$E$45</f>
        <v>0</v>
      </c>
      <c r="AY468" s="170">
        <f>IF(Escenarios!$E$17&gt;0,10*Escenarios!$E$16*AL468,0)</f>
        <v>0</v>
      </c>
      <c r="AZ468" s="170">
        <f>IF(Escenarios!$E$17&gt;0,10*Escenarios!$E$16*AX468,0)</f>
        <v>0</v>
      </c>
      <c r="BA468" s="170">
        <f>IF(Escenarios!$E$17&gt;0,0.001*Observaciones!$F467*Escenarios!$E$17,0)</f>
        <v>4</v>
      </c>
      <c r="BB468" s="170">
        <f>IF(Escenarios!$E$17&gt;0,Observaciones!$K467,0)</f>
        <v>0</v>
      </c>
      <c r="BC468" s="170">
        <f>IF(Escenarios!$E$17&gt;0,MIN(0.0005*ETo!$M467*Escenarios!$E$17*(BG467/Constantes!$E$40)^(2/3),BG467+AY468+AZ468+BA468+BB468),0)</f>
        <v>34.264611531060886</v>
      </c>
      <c r="BD468" s="170">
        <f>IF(Escenarios!$E$17&gt;0,MIN(Constantes!$E$39*(BG467/Constantes!$E$40)^(2/3),BG467+AY468+AZ468+BA468+BB468-BC468),0)</f>
        <v>66.592605397088846</v>
      </c>
      <c r="BE468" s="170">
        <f>IF(Escenarios!$E$17&gt;0,MIN(Entradas!$E$113,BG467+AY468+AZ468+BA468+BB468-BC468-BD468),0)</f>
        <v>1</v>
      </c>
      <c r="BF468" s="170">
        <f>IF(Escenarios!$E$17&gt;0,MAX(0,BG467+AY468+AZ468+BA468+BB468-BC468-BD468-BE468-Constantes!$E$40),0)</f>
        <v>0</v>
      </c>
      <c r="BG468" s="170">
        <f t="shared" si="110"/>
        <v>4965.1992452019531</v>
      </c>
      <c r="BH468" s="170">
        <f>(Escenarios!$E$16*AK468+0.1*BC468)/(Escenarios!$E$19)</f>
        <v>1.9546299419732129</v>
      </c>
      <c r="BI468" s="170">
        <f>IF(Escenarios!$E$17&gt;0,BF468/10/Escenarios!$E$19,AL468)</f>
        <v>0</v>
      </c>
      <c r="BJ468" s="170">
        <f>(Escenarios!$E$16*AT468+0.1*BD468)/(Escenarios!$E$19)</f>
        <v>0.26429633027294464</v>
      </c>
      <c r="BK468" s="76">
        <f>BK467+(0.1*BD468)/(Escenarios!$E$19)-BL467</f>
        <v>50.672367506798764</v>
      </c>
      <c r="BL468" s="76">
        <f>MAX(0,(BK468-Constantes!$D$13)*(1-EXP(-Constantes!$D$23)))</f>
        <v>1.8941544916755638E-2</v>
      </c>
      <c r="BM468" s="76">
        <f t="shared" si="106"/>
        <v>1.2388956679614977</v>
      </c>
      <c r="BN468" s="76">
        <f t="shared" si="111"/>
        <v>1.2944182226637406</v>
      </c>
      <c r="BO468" s="76">
        <f>0.0526*BI468*Observaciones!$F467^1.218</f>
        <v>0</v>
      </c>
      <c r="BP468" s="76">
        <f>BO468*Constantes!$E$51</f>
        <v>0</v>
      </c>
      <c r="BQ468" s="76">
        <f t="shared" si="107"/>
        <v>0</v>
      </c>
      <c r="BR468" s="40"/>
    </row>
    <row r="469" spans="1:70">
      <c r="A469" s="147"/>
      <c r="B469" s="39"/>
      <c r="C469" s="75">
        <v>463</v>
      </c>
      <c r="D469" s="146">
        <f>ETo!$I468*((1-Constantes!$E$19)*ETo!$K468+ETo!$L468)</f>
        <v>3.6024251202620237</v>
      </c>
      <c r="E469" s="76">
        <f>MIN(D469*Constantes!$E$17,0.8*(N468+Observaciones!$F468-F469-M469-Constantes!$D$14))</f>
        <v>1.4817853782685106</v>
      </c>
      <c r="F469" s="76">
        <f>IF(Observaciones!$F468&gt;0.05*Constantes!$E$18,((Observaciones!$F468-0.05*Constantes!$E$18)^2)/(Observaciones!$F468+0.95*Constantes!$E$18),0)</f>
        <v>0</v>
      </c>
      <c r="G469" s="76">
        <f>IF(Escenarios!$E$11&gt;0,(F469*Escenarios!$E$16*10000)/1000,0)</f>
        <v>0</v>
      </c>
      <c r="H469" s="76">
        <f>IF(Escenarios!$E$11&gt;0,(Observaciones!$F468*Constantes!$E$29)/1000,0)</f>
        <v>0</v>
      </c>
      <c r="I469" s="76">
        <f>IF(Escenarios!$E$11&gt;0,(D469*Constantes!$E$29)/1000,0)</f>
        <v>36.024251202620242</v>
      </c>
      <c r="J469" s="76">
        <f>IF(Escenarios!$E$11&gt;0,MAX(0,G469+H469-I469),0)</f>
        <v>0</v>
      </c>
      <c r="K469" s="76">
        <f>IF(Escenarios!$E$11&gt;0,IF(J469&gt;Constantes!$E$30,1000*((J469-Constantes!$E$30)/(Escenarios!$E$16*10000)),0),F469)</f>
        <v>0</v>
      </c>
      <c r="L469" s="76">
        <f>IF(Escenarios!$E$11&gt;0,I469*1000/Escenarios!$E$16/10000+E469,E469)</f>
        <v>1.4961950787495588</v>
      </c>
      <c r="M469" s="76">
        <f>MAX(0,N468+Observaciones!$F468-K469-Constantes!$D$13)</f>
        <v>0</v>
      </c>
      <c r="N469" s="76">
        <f>N468+Observaciones!$F468-K469-L469-M469-O468</f>
        <v>11.54294283192444</v>
      </c>
      <c r="O469" s="76">
        <f>MAX(0,(N469-Constantes!$D$14)*(1-EXP(-Constantes!$D$22)))</f>
        <v>9.97870827049838E-3</v>
      </c>
      <c r="P469" s="170">
        <f>P468+(Entradas!$E$83*M469-Q468)/(800*Entradas!$D$25)</f>
        <v>0</v>
      </c>
      <c r="Q469" s="170">
        <f>8000*Entradas!$D$26*P469/Constantes!$E$45</f>
        <v>0</v>
      </c>
      <c r="R469" s="170">
        <f>IF(Escenarios!$E$14&gt;0,K469*Escenarios!$E$13/Escenarios!$E$14,0)</f>
        <v>0</v>
      </c>
      <c r="S469" s="170">
        <f>IF(Escenarios!$E$14&gt;0,Q469*Escenarios!$E$13/Escenarios!$E$14,0)</f>
        <v>0</v>
      </c>
      <c r="T469" s="170">
        <f>IF(Escenarios!$E$14&gt;0,Observaciones!$I468,0)</f>
        <v>0</v>
      </c>
      <c r="U469" s="170">
        <f>IF(Escenarios!$E$14&gt;0,MAX(0,Constantes!$E$36/((Z468+R469+S469+T469+Observaciones!$F468)^2)+Entradas!$E$77),0)</f>
        <v>1.8849031133570364</v>
      </c>
      <c r="V469" s="146">
        <f>IF(ETo!D468&gt;0,ETo!I468*((1-Entradas!$E$81)*ETo!K468+ETo!L468),0)</f>
        <v>3.2765284956043299</v>
      </c>
      <c r="W469" s="170">
        <f>IF(Escenarios!$E$14&gt;0,MIN(V469*1,0.8*(Z468+R469+S469+T469+Observaciones!$F468-U469-Constantes!$E$35)),0)</f>
        <v>3.2765284956043299</v>
      </c>
      <c r="X469" s="170">
        <f>IF(Escenarios!$E$14&gt;0,Observaciones!$J468,0)</f>
        <v>0</v>
      </c>
      <c r="Y469" s="170">
        <f>IF(Escenarios!$E$14&gt;0,MAX(0,Z468+R469+S469+T469+Observaciones!$F468-U469-W469-X469-Constantes!$E$33),0)</f>
        <v>0</v>
      </c>
      <c r="Z469" s="170">
        <f>Z468+R469+S469+T469+Observaciones!$F468-U469-W469-Y469</f>
        <v>90.791929446430046</v>
      </c>
      <c r="AA469" s="170">
        <f>IF(Escenarios!$E$14&gt;0,(Escenarios!$E$13*L469+Escenarios!$E$14*W469)/(Escenarios!$E$16),L469)</f>
        <v>1.7098350887721312</v>
      </c>
      <c r="AB469" s="170">
        <f>IF(Escenarios!$E$14&gt;0,(Escenarios!$E$14*Y469)/(Escenarios!$E$16),K469)</f>
        <v>0</v>
      </c>
      <c r="AC469" s="170">
        <f>IF(Escenarios!$E$14&gt;0,(Escenarios!$E$13*M469+Escenarios!$E$14*U469)/(Escenarios!$E$16),M469)</f>
        <v>0.22618837360284436</v>
      </c>
      <c r="AD469" s="76">
        <f t="shared" si="99"/>
        <v>171.5687414263501</v>
      </c>
      <c r="AE469" s="76">
        <f>MAX(0,(AD469-Constantes!$D$13)*(1-EXP(-Constantes!$D$23)))</f>
        <v>1.2101623124189305</v>
      </c>
      <c r="AF469" s="76">
        <f>AB469+O469*Escenarios!$E$13/Escenarios!$E$16+AE469</f>
        <v>1.2189435756969691</v>
      </c>
      <c r="AG469" s="76">
        <f>IF(Entradas!$E$91&gt;0,IF(AF469-Escenarios!$E$38&lt;=0,0,IF(AF469-Escenarios!$E$38&gt;Escenarios!$E$37,Escenarios!$E$37,AF469-Escenarios!$E$38)),0)</f>
        <v>0</v>
      </c>
      <c r="AH469" s="76">
        <f>AG469*Entradas!$E$99</f>
        <v>0</v>
      </c>
      <c r="AI469" s="76">
        <f>IF(Entradas!$E$91&gt;0,D469*Entradas!$D$23/Escenarios!$E$16,0)</f>
        <v>0</v>
      </c>
      <c r="AJ469" s="76">
        <f>IF(Entradas!$E$91&gt;0,Entradas!$D$24*Entradas!$D$22/Escenarios!$E$16,0)</f>
        <v>0</v>
      </c>
      <c r="AK469" s="76">
        <f t="shared" si="108"/>
        <v>1.7098350887721312</v>
      </c>
      <c r="AL469" s="76">
        <f t="shared" si="109"/>
        <v>0</v>
      </c>
      <c r="AM469" s="76">
        <f t="shared" si="100"/>
        <v>0</v>
      </c>
      <c r="AN469" s="76">
        <f>MAX(0,O469*Escenarios!$E$13/Escenarios!$E$16-AM469)</f>
        <v>8.781263278038574E-3</v>
      </c>
      <c r="AO469" s="76">
        <f>AM469+AN469-O469*Escenarios!$E$13/Escenarios!$E$16</f>
        <v>0</v>
      </c>
      <c r="AP469" s="76">
        <f t="shared" si="98"/>
        <v>1.2101623124189305</v>
      </c>
      <c r="AQ469" s="76">
        <f t="shared" si="101"/>
        <v>0</v>
      </c>
      <c r="AR469" s="76">
        <f t="shared" si="102"/>
        <v>1.2189435756969691</v>
      </c>
      <c r="AS469" s="76">
        <f t="shared" si="103"/>
        <v>0</v>
      </c>
      <c r="AT469" s="76">
        <f t="shared" si="104"/>
        <v>0.22618837360284436</v>
      </c>
      <c r="AU469" s="76">
        <f t="shared" si="105"/>
        <v>48.75</v>
      </c>
      <c r="AV469" s="76">
        <f>MAX(0,(AU469-Constantes!$D$13)*(1-EXP(-Constantes!$D$24)))</f>
        <v>0</v>
      </c>
      <c r="AW469" s="170">
        <f>AW468+(Entradas!$E$112*AT469-AX468)/(800*Entradas!$D$25)</f>
        <v>0</v>
      </c>
      <c r="AX469" s="170">
        <f>8000*Entradas!$D$26*AW469/Constantes!$E$45</f>
        <v>0</v>
      </c>
      <c r="AY469" s="170">
        <f>IF(Escenarios!$E$17&gt;0,10*Escenarios!$E$16*AL469,0)</f>
        <v>0</v>
      </c>
      <c r="AZ469" s="170">
        <f>IF(Escenarios!$E$17&gt;0,10*Escenarios!$E$16*AX469,0)</f>
        <v>0</v>
      </c>
      <c r="BA469" s="170">
        <f>IF(Escenarios!$E$17&gt;0,0.001*Observaciones!$F468*Escenarios!$E$17,0)</f>
        <v>0</v>
      </c>
      <c r="BB469" s="170">
        <f>IF(Escenarios!$E$17&gt;0,Observaciones!$K468,0)</f>
        <v>0</v>
      </c>
      <c r="BC469" s="170">
        <f>IF(Escenarios!$E$17&gt;0,MIN(0.0005*ETo!$M468*Escenarios!$E$17*(BG468/Constantes!$E$40)^(2/3),BG468+AY469+AZ469+BA469+BB469),0)</f>
        <v>33.812690352855292</v>
      </c>
      <c r="BD469" s="170">
        <f>IF(Escenarios!$E$17&gt;0,MIN(Constantes!$E$39*(BG468/Constantes!$E$40)^(2/3),BG468+AY469+AZ469+BA469+BB469-BC469),0)</f>
        <v>65.731762917740213</v>
      </c>
      <c r="BE469" s="170">
        <f>IF(Escenarios!$E$17&gt;0,MIN(Entradas!$E$113,BG468+AY469+AZ469+BA469+BB469-BC469-BD469),0)</f>
        <v>1</v>
      </c>
      <c r="BF469" s="170">
        <f>IF(Escenarios!$E$17&gt;0,MAX(0,BG468+AY469+AZ469+BA469+BB469-BC469-BD469-BE469-Constantes!$E$40),0)</f>
        <v>0</v>
      </c>
      <c r="BG469" s="170">
        <f t="shared" si="110"/>
        <v>4864.6547919313571</v>
      </c>
      <c r="BH469" s="170">
        <f>(Escenarios!$E$16*AK469+0.1*BC469)/(Escenarios!$E$19)</f>
        <v>1.7096827032869775</v>
      </c>
      <c r="BI469" s="170">
        <f>IF(Escenarios!$E$17&gt;0,BF469/10/Escenarios!$E$19,AL469)</f>
        <v>0</v>
      </c>
      <c r="BJ469" s="170">
        <f>(Escenarios!$E$16*AT469+0.1*BD469)/(Escenarios!$E$19)</f>
        <v>0.25047726068446474</v>
      </c>
      <c r="BK469" s="76">
        <f>BK468+(0.1*BD469)/(Escenarios!$E$19)-BL468</f>
        <v>50.679509994785874</v>
      </c>
      <c r="BL469" s="76">
        <f>MAX(0,(BK469-Constantes!$D$13)*(1-EXP(-Constantes!$D$23)))</f>
        <v>1.9011921552100731E-2</v>
      </c>
      <c r="BM469" s="76">
        <f t="shared" si="106"/>
        <v>1.2291742339710312</v>
      </c>
      <c r="BN469" s="76">
        <f t="shared" si="111"/>
        <v>1.2379554972490698</v>
      </c>
      <c r="BO469" s="76">
        <f>0.0526*BI469*Observaciones!$F468^1.218</f>
        <v>0</v>
      </c>
      <c r="BP469" s="76">
        <f>BO469*Constantes!$E$51</f>
        <v>0</v>
      </c>
      <c r="BQ469" s="76">
        <f t="shared" si="107"/>
        <v>0</v>
      </c>
      <c r="BR469" s="40"/>
    </row>
    <row r="470" spans="1:70">
      <c r="A470" s="147"/>
      <c r="B470" s="39"/>
      <c r="C470" s="75">
        <v>464</v>
      </c>
      <c r="D470" s="146">
        <f>ETo!$I469*((1-Constantes!$E$19)*ETo!$K469+ETo!$L469)</f>
        <v>3.5188130943505378</v>
      </c>
      <c r="E470" s="76">
        <f>MIN(D470*Constantes!$E$17,0.8*(N469+Observaciones!$F469-F470-M470-Constantes!$D$14))</f>
        <v>0.23435426553955241</v>
      </c>
      <c r="F470" s="76">
        <f>IF(Observaciones!$F469&gt;0.05*Constantes!$E$18,((Observaciones!$F469-0.05*Constantes!$E$18)^2)/(Observaciones!$F469+0.95*Constantes!$E$18),0)</f>
        <v>0</v>
      </c>
      <c r="G470" s="76">
        <f>IF(Escenarios!$E$11&gt;0,(F470*Escenarios!$E$16*10000)/1000,0)</f>
        <v>0</v>
      </c>
      <c r="H470" s="76">
        <f>IF(Escenarios!$E$11&gt;0,(Observaciones!$F469*Constantes!$E$29)/1000,0)</f>
        <v>0</v>
      </c>
      <c r="I470" s="76">
        <f>IF(Escenarios!$E$11&gt;0,(D470*Constantes!$E$29)/1000,0)</f>
        <v>35.188130943505378</v>
      </c>
      <c r="J470" s="76">
        <f>IF(Escenarios!$E$11&gt;0,MAX(0,G470+H470-I470),0)</f>
        <v>0</v>
      </c>
      <c r="K470" s="76">
        <f>IF(Escenarios!$E$11&gt;0,IF(J470&gt;Constantes!$E$30,1000*((J470-Constantes!$E$30)/(Escenarios!$E$16*10000)),0),F470)</f>
        <v>0</v>
      </c>
      <c r="L470" s="76">
        <f>IF(Escenarios!$E$11&gt;0,I470*1000/Escenarios!$E$16/10000+E470,E470)</f>
        <v>0.24842951791695456</v>
      </c>
      <c r="M470" s="76">
        <f>MAX(0,N469+Observaciones!$F469-K470-Constantes!$D$13)</f>
        <v>0</v>
      </c>
      <c r="N470" s="76">
        <f>N469+Observaciones!$F469-K470-L470-M470-O469</f>
        <v>11.284534605736987</v>
      </c>
      <c r="O470" s="76">
        <f>MAX(0,(N470-Constantes!$D$14)*(1-EXP(-Constantes!$D$22)))</f>
        <v>1.1763754505348528E-3</v>
      </c>
      <c r="P470" s="170">
        <f>P469+(Entradas!$E$83*M470-Q469)/(800*Entradas!$D$25)</f>
        <v>0</v>
      </c>
      <c r="Q470" s="170">
        <f>8000*Entradas!$D$26*P470/Constantes!$E$45</f>
        <v>0</v>
      </c>
      <c r="R470" s="170">
        <f>IF(Escenarios!$E$14&gt;0,K470*Escenarios!$E$13/Escenarios!$E$14,0)</f>
        <v>0</v>
      </c>
      <c r="S470" s="170">
        <f>IF(Escenarios!$E$14&gt;0,Q470*Escenarios!$E$13/Escenarios!$E$14,0)</f>
        <v>0</v>
      </c>
      <c r="T470" s="170">
        <f>IF(Escenarios!$E$14&gt;0,Observaciones!$I469,0)</f>
        <v>0</v>
      </c>
      <c r="U470" s="170">
        <f>IF(Escenarios!$E$14&gt;0,MAX(0,Constantes!$E$36/((Z469+R470+S470+T470+Observaciones!$F469)^2)+Entradas!$E$77),0)</f>
        <v>1.7545150161471046</v>
      </c>
      <c r="V470" s="146">
        <f>IF(ETo!D469&gt;0,ETo!I469*((1-Entradas!$E$81)*ETo!K469+ETo!L469),0)</f>
        <v>3.1994045600438934</v>
      </c>
      <c r="W470" s="170">
        <f>IF(Escenarios!$E$14&gt;0,MIN(V470*1,0.8*(Z469+R470+S470+T470+Observaciones!$F469-U470-Constantes!$E$35)),0)</f>
        <v>3.1994045600438934</v>
      </c>
      <c r="X470" s="170">
        <f>IF(Escenarios!$E$14&gt;0,Observaciones!$J469,0)</f>
        <v>0</v>
      </c>
      <c r="Y470" s="170">
        <f>IF(Escenarios!$E$14&gt;0,MAX(0,Z469+R470+S470+T470+Observaciones!$F469-U470-W470-X470-Constantes!$E$33),0)</f>
        <v>0</v>
      </c>
      <c r="Z470" s="170">
        <f>Z469+R470+S470+T470+Observaciones!$F469-U470-W470-Y470</f>
        <v>85.838009870239048</v>
      </c>
      <c r="AA470" s="170">
        <f>IF(Escenarios!$E$14&gt;0,(Escenarios!$E$13*L470+Escenarios!$E$14*W470)/(Escenarios!$E$16),L470)</f>
        <v>0.60254652297218714</v>
      </c>
      <c r="AB470" s="170">
        <f>IF(Escenarios!$E$14&gt;0,(Escenarios!$E$14*Y470)/(Escenarios!$E$16),K470)</f>
        <v>0</v>
      </c>
      <c r="AC470" s="170">
        <f>IF(Escenarios!$E$14&gt;0,(Escenarios!$E$13*M470+Escenarios!$E$14*U470)/(Escenarios!$E$16),M470)</f>
        <v>0.21054180193765257</v>
      </c>
      <c r="AD470" s="76">
        <f t="shared" si="99"/>
        <v>170.56912091586884</v>
      </c>
      <c r="AE470" s="76">
        <f>MAX(0,(AD470-Constantes!$D$13)*(1-EXP(-Constantes!$D$23)))</f>
        <v>1.2003128134381027</v>
      </c>
      <c r="AF470" s="76">
        <f>AB470+O470*Escenarios!$E$13/Escenarios!$E$16+AE470</f>
        <v>1.2013480238345733</v>
      </c>
      <c r="AG470" s="76">
        <f>IF(Entradas!$E$91&gt;0,IF(AF470-Escenarios!$E$38&lt;=0,0,IF(AF470-Escenarios!$E$38&gt;Escenarios!$E$37,Escenarios!$E$37,AF470-Escenarios!$E$38)),0)</f>
        <v>0</v>
      </c>
      <c r="AH470" s="76">
        <f>AG470*Entradas!$E$99</f>
        <v>0</v>
      </c>
      <c r="AI470" s="76">
        <f>IF(Entradas!$E$91&gt;0,D470*Entradas!$D$23/Escenarios!$E$16,0)</f>
        <v>0</v>
      </c>
      <c r="AJ470" s="76">
        <f>IF(Entradas!$E$91&gt;0,Entradas!$D$24*Entradas!$D$22/Escenarios!$E$16,0)</f>
        <v>0</v>
      </c>
      <c r="AK470" s="76">
        <f t="shared" si="108"/>
        <v>0.60254652297218714</v>
      </c>
      <c r="AL470" s="76">
        <f t="shared" si="109"/>
        <v>0</v>
      </c>
      <c r="AM470" s="76">
        <f t="shared" si="100"/>
        <v>0</v>
      </c>
      <c r="AN470" s="76">
        <f>MAX(0,O470*Escenarios!$E$13/Escenarios!$E$16-AM470)</f>
        <v>1.0352103964706705E-3</v>
      </c>
      <c r="AO470" s="76">
        <f>AM470+AN470-O470*Escenarios!$E$13/Escenarios!$E$16</f>
        <v>0</v>
      </c>
      <c r="AP470" s="76">
        <f t="shared" si="98"/>
        <v>1.2003128134381027</v>
      </c>
      <c r="AQ470" s="76">
        <f t="shared" si="101"/>
        <v>0</v>
      </c>
      <c r="AR470" s="76">
        <f t="shared" si="102"/>
        <v>1.2013480238345733</v>
      </c>
      <c r="AS470" s="76">
        <f t="shared" si="103"/>
        <v>0</v>
      </c>
      <c r="AT470" s="76">
        <f t="shared" si="104"/>
        <v>0.21054180193765257</v>
      </c>
      <c r="AU470" s="76">
        <f t="shared" si="105"/>
        <v>48.75</v>
      </c>
      <c r="AV470" s="76">
        <f>MAX(0,(AU470-Constantes!$D$13)*(1-EXP(-Constantes!$D$24)))</f>
        <v>0</v>
      </c>
      <c r="AW470" s="170">
        <f>AW469+(Entradas!$E$112*AT470-AX469)/(800*Entradas!$D$25)</f>
        <v>0</v>
      </c>
      <c r="AX470" s="170">
        <f>8000*Entradas!$D$26*AW470/Constantes!$E$45</f>
        <v>0</v>
      </c>
      <c r="AY470" s="170">
        <f>IF(Escenarios!$E$17&gt;0,10*Escenarios!$E$16*AL470,0)</f>
        <v>0</v>
      </c>
      <c r="AZ470" s="170">
        <f>IF(Escenarios!$E$17&gt;0,10*Escenarios!$E$16*AX470,0)</f>
        <v>0</v>
      </c>
      <c r="BA470" s="170">
        <f>IF(Escenarios!$E$17&gt;0,0.001*Observaciones!$F469*Escenarios!$E$17,0)</f>
        <v>0</v>
      </c>
      <c r="BB470" s="170">
        <f>IF(Escenarios!$E$17&gt;0,Observaciones!$K469,0)</f>
        <v>0</v>
      </c>
      <c r="BC470" s="170">
        <f>IF(Escenarios!$E$17&gt;0,MIN(0.0005*ETo!$M469*Escenarios!$E$17*(BG469/Constantes!$E$40)^(2/3),BG469+AY470+AZ470+BA470+BB470),0)</f>
        <v>32.594231108546474</v>
      </c>
      <c r="BD470" s="170">
        <f>IF(Escenarios!$E$17&gt;0,MIN(Constantes!$E$39*(BG469/Constantes!$E$40)^(2/3),BG469+AY470+AZ470+BA470+BB470-BC470),0)</f>
        <v>64.841369326276023</v>
      </c>
      <c r="BE470" s="170">
        <f>IF(Escenarios!$E$17&gt;0,MIN(Entradas!$E$113,BG469+AY470+AZ470+BA470+BB470-BC470-BD470),0)</f>
        <v>1</v>
      </c>
      <c r="BF470" s="170">
        <f>IF(Escenarios!$E$17&gt;0,MAX(0,BG469+AY470+AZ470+BA470+BB470-BC470-BD470-BE470-Constantes!$E$40),0)</f>
        <v>0</v>
      </c>
      <c r="BG470" s="170">
        <f t="shared" si="110"/>
        <v>4766.2191914965342</v>
      </c>
      <c r="BH470" s="170">
        <f>(Escenarios!$E$16*AK470+0.1*BC470)/(Escenarios!$E$19)</f>
        <v>0.61069862640437078</v>
      </c>
      <c r="BI470" s="170">
        <f>IF(Escenarios!$E$17&gt;0,BF470/10/Escenarios!$E$19,AL470)</f>
        <v>0</v>
      </c>
      <c r="BJ470" s="170">
        <f>(Escenarios!$E$16*AT470+0.1*BD470)/(Escenarios!$E$19)</f>
        <v>0.23460153736920933</v>
      </c>
      <c r="BK470" s="76">
        <f>BK469+(0.1*BD470)/(Escenarios!$E$19)-BL469</f>
        <v>50.686228775347374</v>
      </c>
      <c r="BL470" s="76">
        <f>MAX(0,(BK470-Constantes!$D$13)*(1-EXP(-Constantes!$D$23)))</f>
        <v>1.9078123297262033E-2</v>
      </c>
      <c r="BM470" s="76">
        <f t="shared" si="106"/>
        <v>1.2193909367353648</v>
      </c>
      <c r="BN470" s="76">
        <f t="shared" si="111"/>
        <v>1.2204261471318354</v>
      </c>
      <c r="BO470" s="76">
        <f>0.0526*BI470*Observaciones!$F469^1.218</f>
        <v>0</v>
      </c>
      <c r="BP470" s="76">
        <f>BO470*Constantes!$E$51</f>
        <v>0</v>
      </c>
      <c r="BQ470" s="76">
        <f t="shared" si="107"/>
        <v>0</v>
      </c>
      <c r="BR470" s="40"/>
    </row>
    <row r="471" spans="1:70">
      <c r="A471" s="147"/>
      <c r="B471" s="39"/>
      <c r="C471" s="75">
        <v>465</v>
      </c>
      <c r="D471" s="146">
        <f>ETo!$I470*((1-Constantes!$E$19)*ETo!$K470+ETo!$L470)</f>
        <v>3.6222594009706532</v>
      </c>
      <c r="E471" s="76">
        <f>MIN(D471*Constantes!$E$17,0.8*(N470+Observaciones!$F470-F471-M471-Constantes!$D$14))</f>
        <v>2.7627684589589308E-2</v>
      </c>
      <c r="F471" s="76">
        <f>IF(Observaciones!$F470&gt;0.05*Constantes!$E$18,((Observaciones!$F470-0.05*Constantes!$E$18)^2)/(Observaciones!$F470+0.95*Constantes!$E$18),0)</f>
        <v>0</v>
      </c>
      <c r="G471" s="76">
        <f>IF(Escenarios!$E$11&gt;0,(F471*Escenarios!$E$16*10000)/1000,0)</f>
        <v>0</v>
      </c>
      <c r="H471" s="76">
        <f>IF(Escenarios!$E$11&gt;0,(Observaciones!$F470*Constantes!$E$29)/1000,0)</f>
        <v>0</v>
      </c>
      <c r="I471" s="76">
        <f>IF(Escenarios!$E$11&gt;0,(D471*Constantes!$E$29)/1000,0)</f>
        <v>36.222594009706533</v>
      </c>
      <c r="J471" s="76">
        <f>IF(Escenarios!$E$11&gt;0,MAX(0,G471+H471-I471),0)</f>
        <v>0</v>
      </c>
      <c r="K471" s="76">
        <f>IF(Escenarios!$E$11&gt;0,IF(J471&gt;Constantes!$E$30,1000*((J471-Constantes!$E$30)/(Escenarios!$E$16*10000)),0),F471)</f>
        <v>0</v>
      </c>
      <c r="L471" s="76">
        <f>IF(Escenarios!$E$11&gt;0,I471*1000/Escenarios!$E$16/10000+E471,E471)</f>
        <v>4.2116722193471921E-2</v>
      </c>
      <c r="M471" s="76">
        <f>MAX(0,N470+Observaciones!$F470-K471-Constantes!$D$13)</f>
        <v>0</v>
      </c>
      <c r="N471" s="76">
        <f>N470+Observaciones!$F470-K471-L471-M471-O470</f>
        <v>11.24124150809298</v>
      </c>
      <c r="O471" s="76">
        <f>MAX(0,(N471-Constantes!$D$14)*(1-EXP(-Constantes!$D$22)))</f>
        <v>0</v>
      </c>
      <c r="P471" s="170">
        <f>P470+(Entradas!$E$83*M471-Q470)/(800*Entradas!$D$25)</f>
        <v>0</v>
      </c>
      <c r="Q471" s="170">
        <f>8000*Entradas!$D$26*P471/Constantes!$E$45</f>
        <v>0</v>
      </c>
      <c r="R471" s="170">
        <f>IF(Escenarios!$E$14&gt;0,K471*Escenarios!$E$13/Escenarios!$E$14,0)</f>
        <v>0</v>
      </c>
      <c r="S471" s="170">
        <f>IF(Escenarios!$E$14&gt;0,Q471*Escenarios!$E$13/Escenarios!$E$14,0)</f>
        <v>0</v>
      </c>
      <c r="T471" s="170">
        <f>IF(Escenarios!$E$14&gt;0,Observaciones!$I470,0)</f>
        <v>0</v>
      </c>
      <c r="U471" s="170">
        <f>IF(Escenarios!$E$14&gt;0,MAX(0,Constantes!$E$36/((Z470+R471+S471+T471+Observaciones!$F470)^2)+Entradas!$E$77),0)</f>
        <v>1.6066067359905376</v>
      </c>
      <c r="V471" s="146">
        <f>IF(ETo!D470&gt;0,ETo!I470*((1-Entradas!$E$81)*ETo!K470+ETo!L470),0)</f>
        <v>3.2942344081918526</v>
      </c>
      <c r="W471" s="170">
        <f>IF(Escenarios!$E$14&gt;0,MIN(V471*1,0.8*(Z470+R471+S471+T471+Observaciones!$F470-U471-Constantes!$E$35)),0)</f>
        <v>3.2942344081918526</v>
      </c>
      <c r="X471" s="170">
        <f>IF(Escenarios!$E$14&gt;0,Observaciones!$J470,0)</f>
        <v>0</v>
      </c>
      <c r="Y471" s="170">
        <f>IF(Escenarios!$E$14&gt;0,MAX(0,Z470+R471+S471+T471+Observaciones!$F470-U471-W471-X471-Constantes!$E$33),0)</f>
        <v>0</v>
      </c>
      <c r="Z471" s="170">
        <f>Z470+R471+S471+T471+Observaciones!$F470-U471-W471-Y471</f>
        <v>80.937168726056655</v>
      </c>
      <c r="AA471" s="170">
        <f>IF(Escenarios!$E$14&gt;0,(Escenarios!$E$13*L471+Escenarios!$E$14*W471)/(Escenarios!$E$16),L471)</f>
        <v>0.43237084451327756</v>
      </c>
      <c r="AB471" s="170">
        <f>IF(Escenarios!$E$14&gt;0,(Escenarios!$E$14*Y471)/(Escenarios!$E$16),K471)</f>
        <v>0</v>
      </c>
      <c r="AC471" s="170">
        <f>IF(Escenarios!$E$14&gt;0,(Escenarios!$E$13*M471+Escenarios!$E$14*U471)/(Escenarios!$E$16),M471)</f>
        <v>0.1927928083188645</v>
      </c>
      <c r="AD471" s="76">
        <f t="shared" si="99"/>
        <v>169.5616009107496</v>
      </c>
      <c r="AE471" s="76">
        <f>MAX(0,(AD471-Constantes!$D$13)*(1-EXP(-Constantes!$D$23)))</f>
        <v>1.1903854788550938</v>
      </c>
      <c r="AF471" s="76">
        <f>AB471+O471*Escenarios!$E$13/Escenarios!$E$16+AE471</f>
        <v>1.1903854788550938</v>
      </c>
      <c r="AG471" s="76">
        <f>IF(Entradas!$E$91&gt;0,IF(AF471-Escenarios!$E$38&lt;=0,0,IF(AF471-Escenarios!$E$38&gt;Escenarios!$E$37,Escenarios!$E$37,AF471-Escenarios!$E$38)),0)</f>
        <v>0</v>
      </c>
      <c r="AH471" s="76">
        <f>AG471*Entradas!$E$99</f>
        <v>0</v>
      </c>
      <c r="AI471" s="76">
        <f>IF(Entradas!$E$91&gt;0,D471*Entradas!$D$23/Escenarios!$E$16,0)</f>
        <v>0</v>
      </c>
      <c r="AJ471" s="76">
        <f>IF(Entradas!$E$91&gt;0,Entradas!$D$24*Entradas!$D$22/Escenarios!$E$16,0)</f>
        <v>0</v>
      </c>
      <c r="AK471" s="76">
        <f t="shared" si="108"/>
        <v>0.43237084451327756</v>
      </c>
      <c r="AL471" s="76">
        <f t="shared" si="109"/>
        <v>0</v>
      </c>
      <c r="AM471" s="76">
        <f t="shared" si="100"/>
        <v>0</v>
      </c>
      <c r="AN471" s="76">
        <f>MAX(0,O471*Escenarios!$E$13/Escenarios!$E$16-AM471)</f>
        <v>0</v>
      </c>
      <c r="AO471" s="76">
        <f>AM471+AN471-O471*Escenarios!$E$13/Escenarios!$E$16</f>
        <v>0</v>
      </c>
      <c r="AP471" s="76">
        <f t="shared" si="98"/>
        <v>1.1903854788550938</v>
      </c>
      <c r="AQ471" s="76">
        <f t="shared" si="101"/>
        <v>0</v>
      </c>
      <c r="AR471" s="76">
        <f t="shared" si="102"/>
        <v>1.1903854788550938</v>
      </c>
      <c r="AS471" s="76">
        <f t="shared" si="103"/>
        <v>0</v>
      </c>
      <c r="AT471" s="76">
        <f t="shared" si="104"/>
        <v>0.1927928083188645</v>
      </c>
      <c r="AU471" s="76">
        <f t="shared" si="105"/>
        <v>48.75</v>
      </c>
      <c r="AV471" s="76">
        <f>MAX(0,(AU471-Constantes!$D$13)*(1-EXP(-Constantes!$D$24)))</f>
        <v>0</v>
      </c>
      <c r="AW471" s="170">
        <f>AW470+(Entradas!$E$112*AT471-AX470)/(800*Entradas!$D$25)</f>
        <v>0</v>
      </c>
      <c r="AX471" s="170">
        <f>8000*Entradas!$D$26*AW471/Constantes!$E$45</f>
        <v>0</v>
      </c>
      <c r="AY471" s="170">
        <f>IF(Escenarios!$E$17&gt;0,10*Escenarios!$E$16*AL471,0)</f>
        <v>0</v>
      </c>
      <c r="AZ471" s="170">
        <f>IF(Escenarios!$E$17&gt;0,10*Escenarios!$E$16*AX471,0)</f>
        <v>0</v>
      </c>
      <c r="BA471" s="170">
        <f>IF(Escenarios!$E$17&gt;0,0.001*Observaciones!$F470*Escenarios!$E$17,0)</f>
        <v>0</v>
      </c>
      <c r="BB471" s="170">
        <f>IF(Escenarios!$E$17&gt;0,Observaciones!$K470,0)</f>
        <v>0</v>
      </c>
      <c r="BC471" s="170">
        <f>IF(Escenarios!$E$17&gt;0,MIN(0.0005*ETo!$M470*Escenarios!$E$17*(BG470/Constantes!$E$40)^(2/3),BG470+AY471+AZ471+BA471+BB471),0)</f>
        <v>33.088547044805892</v>
      </c>
      <c r="BD471" s="170">
        <f>IF(Escenarios!$E$17&gt;0,MIN(Constantes!$E$39*(BG470/Constantes!$E$40)^(2/3),BG470+AY471+AZ471+BA471+BB471-BC471),0)</f>
        <v>63.963688613791419</v>
      </c>
      <c r="BE471" s="170">
        <f>IF(Escenarios!$E$17&gt;0,MIN(Entradas!$E$113,BG470+AY471+AZ471+BA471+BB471-BC471-BD471),0)</f>
        <v>1</v>
      </c>
      <c r="BF471" s="170">
        <f>IF(Escenarios!$E$17&gt;0,MAX(0,BG470+AY471+AZ471+BA471+BB471-BC471-BD471-BE471-Constantes!$E$40),0)</f>
        <v>0</v>
      </c>
      <c r="BG471" s="170">
        <f t="shared" si="110"/>
        <v>4668.1669558379372</v>
      </c>
      <c r="BH471" s="170">
        <f>(Escenarios!$E$16*AK471+0.1*BC471)/(Escenarios!$E$19)</f>
        <v>0.44206970568571424</v>
      </c>
      <c r="BI471" s="170">
        <f>IF(Escenarios!$E$17&gt;0,BF471/10/Escenarios!$E$19,AL471)</f>
        <v>0</v>
      </c>
      <c r="BJ471" s="170">
        <f>(Escenarios!$E$16*AT471+0.1*BD471)/(Escenarios!$E$19)</f>
        <v>0.21664512278212408</v>
      </c>
      <c r="BK471" s="76">
        <f>BK470+(0.1*BD471)/(Escenarios!$E$19)-BL470</f>
        <v>50.692533068166696</v>
      </c>
      <c r="BL471" s="76">
        <f>MAX(0,(BK471-Constantes!$D$13)*(1-EXP(-Constantes!$D$23)))</f>
        <v>1.9140240995976384E-2</v>
      </c>
      <c r="BM471" s="76">
        <f t="shared" si="106"/>
        <v>1.2095257198510703</v>
      </c>
      <c r="BN471" s="76">
        <f t="shared" si="111"/>
        <v>1.2095257198510703</v>
      </c>
      <c r="BO471" s="76">
        <f>0.0526*BI471*Observaciones!$F470^1.218</f>
        <v>0</v>
      </c>
      <c r="BP471" s="76">
        <f>BO471*Constantes!$E$51</f>
        <v>0</v>
      </c>
      <c r="BQ471" s="76">
        <f t="shared" si="107"/>
        <v>0</v>
      </c>
      <c r="BR471" s="40"/>
    </row>
    <row r="472" spans="1:70">
      <c r="A472" s="147"/>
      <c r="B472" s="39"/>
      <c r="C472" s="75">
        <v>466</v>
      </c>
      <c r="D472" s="146">
        <f>ETo!$I471*((1-Constantes!$E$19)*ETo!$K471+ETo!$L471)</f>
        <v>3.6433345424265657</v>
      </c>
      <c r="E472" s="76">
        <f>MIN(D472*Constantes!$E$17,0.8*(N471+Observaciones!$F471-F472-M472-Constantes!$D$14))</f>
        <v>-7.006793525616218E-3</v>
      </c>
      <c r="F472" s="76">
        <f>IF(Observaciones!$F471&gt;0.05*Constantes!$E$18,((Observaciones!$F471-0.05*Constantes!$E$18)^2)/(Observaciones!$F471+0.95*Constantes!$E$18),0)</f>
        <v>0</v>
      </c>
      <c r="G472" s="76">
        <f>IF(Escenarios!$E$11&gt;0,(F472*Escenarios!$E$16*10000)/1000,0)</f>
        <v>0</v>
      </c>
      <c r="H472" s="76">
        <f>IF(Escenarios!$E$11&gt;0,(Observaciones!$F471*Constantes!$E$29)/1000,0)</f>
        <v>0</v>
      </c>
      <c r="I472" s="76">
        <f>IF(Escenarios!$E$11&gt;0,(D472*Constantes!$E$29)/1000,0)</f>
        <v>36.43334542426566</v>
      </c>
      <c r="J472" s="76">
        <f>IF(Escenarios!$E$11&gt;0,MAX(0,G472+H472-I472),0)</f>
        <v>0</v>
      </c>
      <c r="K472" s="76">
        <f>IF(Escenarios!$E$11&gt;0,IF(J472&gt;Constantes!$E$30,1000*((J472-Constantes!$E$30)/(Escenarios!$E$16*10000)),0),F472)</f>
        <v>0</v>
      </c>
      <c r="L472" s="76">
        <f>IF(Escenarios!$E$11&gt;0,I472*1000/Escenarios!$E$16/10000+E472,E472)</f>
        <v>7.5665446440900466E-3</v>
      </c>
      <c r="M472" s="76">
        <f>MAX(0,N471+Observaciones!$F471-K472-Constantes!$D$13)</f>
        <v>0</v>
      </c>
      <c r="N472" s="76">
        <f>N471+Observaciones!$F471-K472-L472-M472-O471</f>
        <v>11.233674963448889</v>
      </c>
      <c r="O472" s="76">
        <f>MAX(0,(N472-Constantes!$D$14)*(1-EXP(-Constantes!$D$22)))</f>
        <v>0</v>
      </c>
      <c r="P472" s="170">
        <f>P471+(Entradas!$E$83*M472-Q471)/(800*Entradas!$D$25)</f>
        <v>0</v>
      </c>
      <c r="Q472" s="170">
        <f>8000*Entradas!$D$26*P472/Constantes!$E$45</f>
        <v>0</v>
      </c>
      <c r="R472" s="170">
        <f>IF(Escenarios!$E$14&gt;0,K472*Escenarios!$E$13/Escenarios!$E$14,0)</f>
        <v>0</v>
      </c>
      <c r="S472" s="170">
        <f>IF(Escenarios!$E$14&gt;0,Q472*Escenarios!$E$13/Escenarios!$E$14,0)</f>
        <v>0</v>
      </c>
      <c r="T472" s="170">
        <f>IF(Escenarios!$E$14&gt;0,Observaciones!$I471,0)</f>
        <v>0</v>
      </c>
      <c r="U472" s="170">
        <f>IF(Escenarios!$E$14&gt;0,MAX(0,Constantes!$E$36/((Z471+R472+S472+T472+Observaciones!$F471)^2)+Entradas!$E$77),0)</f>
        <v>1.4327547203607798</v>
      </c>
      <c r="V472" s="146">
        <f>IF(ETo!D471&gt;0,ETo!I471*((1-Entradas!$E$81)*ETo!K471+ETo!L471),0)</f>
        <v>3.3134023413517828</v>
      </c>
      <c r="W472" s="170">
        <f>IF(Escenarios!$E$14&gt;0,MIN(V472*1,0.8*(Z471+R472+S472+T472+Observaciones!$F471-U472-Constantes!$E$35)),0)</f>
        <v>3.3134023413517828</v>
      </c>
      <c r="X472" s="170">
        <f>IF(Escenarios!$E$14&gt;0,Observaciones!$J471,0)</f>
        <v>0</v>
      </c>
      <c r="Y472" s="170">
        <f>IF(Escenarios!$E$14&gt;0,MAX(0,Z471+R472+S472+T472+Observaciones!$F471-U472-W472-X472-Constantes!$E$33),0)</f>
        <v>0</v>
      </c>
      <c r="Z472" s="170">
        <f>Z471+R472+S472+T472+Observaciones!$F471-U472-W472-Y472</f>
        <v>76.191011664344089</v>
      </c>
      <c r="AA472" s="170">
        <f>IF(Escenarios!$E$14&gt;0,(Escenarios!$E$13*L472+Escenarios!$E$14*W472)/(Escenarios!$E$16),L472)</f>
        <v>0.40426684024901316</v>
      </c>
      <c r="AB472" s="170">
        <f>IF(Escenarios!$E$14&gt;0,(Escenarios!$E$14*Y472)/(Escenarios!$E$16),K472)</f>
        <v>0</v>
      </c>
      <c r="AC472" s="170">
        <f>IF(Escenarios!$E$14&gt;0,(Escenarios!$E$13*M472+Escenarios!$E$14*U472)/(Escenarios!$E$16),M472)</f>
        <v>0.17193056644329358</v>
      </c>
      <c r="AD472" s="76">
        <f t="shared" si="99"/>
        <v>168.54314599833779</v>
      </c>
      <c r="AE472" s="76">
        <f>MAX(0,(AD472-Constantes!$D$13)*(1-EXP(-Constantes!$D$23)))</f>
        <v>1.1803504000260392</v>
      </c>
      <c r="AF472" s="76">
        <f>AB472+O472*Escenarios!$E$13/Escenarios!$E$16+AE472</f>
        <v>1.1803504000260392</v>
      </c>
      <c r="AG472" s="76">
        <f>IF(Entradas!$E$91&gt;0,IF(AF472-Escenarios!$E$38&lt;=0,0,IF(AF472-Escenarios!$E$38&gt;Escenarios!$E$37,Escenarios!$E$37,AF472-Escenarios!$E$38)),0)</f>
        <v>0</v>
      </c>
      <c r="AH472" s="76">
        <f>AG472*Entradas!$E$99</f>
        <v>0</v>
      </c>
      <c r="AI472" s="76">
        <f>IF(Entradas!$E$91&gt;0,D472*Entradas!$D$23/Escenarios!$E$16,0)</f>
        <v>0</v>
      </c>
      <c r="AJ472" s="76">
        <f>IF(Entradas!$E$91&gt;0,Entradas!$D$24*Entradas!$D$22/Escenarios!$E$16,0)</f>
        <v>0</v>
      </c>
      <c r="AK472" s="76">
        <f t="shared" si="108"/>
        <v>0.40426684024901316</v>
      </c>
      <c r="AL472" s="76">
        <f t="shared" si="109"/>
        <v>0</v>
      </c>
      <c r="AM472" s="76">
        <f t="shared" si="100"/>
        <v>0</v>
      </c>
      <c r="AN472" s="76">
        <f>MAX(0,O472*Escenarios!$E$13/Escenarios!$E$16-AM472)</f>
        <v>0</v>
      </c>
      <c r="AO472" s="76">
        <f>AM472+AN472-O472*Escenarios!$E$13/Escenarios!$E$16</f>
        <v>0</v>
      </c>
      <c r="AP472" s="76">
        <f t="shared" si="98"/>
        <v>1.1803504000260392</v>
      </c>
      <c r="AQ472" s="76">
        <f t="shared" si="101"/>
        <v>0</v>
      </c>
      <c r="AR472" s="76">
        <f t="shared" si="102"/>
        <v>1.1803504000260392</v>
      </c>
      <c r="AS472" s="76">
        <f t="shared" si="103"/>
        <v>0</v>
      </c>
      <c r="AT472" s="76">
        <f t="shared" si="104"/>
        <v>0.17193056644329358</v>
      </c>
      <c r="AU472" s="76">
        <f t="shared" si="105"/>
        <v>48.75</v>
      </c>
      <c r="AV472" s="76">
        <f>MAX(0,(AU472-Constantes!$D$13)*(1-EXP(-Constantes!$D$24)))</f>
        <v>0</v>
      </c>
      <c r="AW472" s="170">
        <f>AW471+(Entradas!$E$112*AT472-AX471)/(800*Entradas!$D$25)</f>
        <v>0</v>
      </c>
      <c r="AX472" s="170">
        <f>8000*Entradas!$D$26*AW472/Constantes!$E$45</f>
        <v>0</v>
      </c>
      <c r="AY472" s="170">
        <f>IF(Escenarios!$E$17&gt;0,10*Escenarios!$E$16*AL472,0)</f>
        <v>0</v>
      </c>
      <c r="AZ472" s="170">
        <f>IF(Escenarios!$E$17&gt;0,10*Escenarios!$E$16*AX472,0)</f>
        <v>0</v>
      </c>
      <c r="BA472" s="170">
        <f>IF(Escenarios!$E$17&gt;0,0.001*Observaciones!$F471*Escenarios!$E$17,0)</f>
        <v>0</v>
      </c>
      <c r="BB472" s="170">
        <f>IF(Escenarios!$E$17&gt;0,Observaciones!$K471,0)</f>
        <v>0</v>
      </c>
      <c r="BC472" s="170">
        <f>IF(Escenarios!$E$17&gt;0,MIN(0.0005*ETo!$M471*Escenarios!$E$17*(BG471/Constantes!$E$40)^(2/3),BG471+AY472+AZ472+BA472+BB472),0)</f>
        <v>32.823021975008295</v>
      </c>
      <c r="BD472" s="170">
        <f>IF(Escenarios!$E$17&gt;0,MIN(Constantes!$E$39*(BG471/Constantes!$E$40)^(2/3),BG471+AY472+AZ472+BA472+BB472-BC472),0)</f>
        <v>63.083398160643313</v>
      </c>
      <c r="BE472" s="170">
        <f>IF(Escenarios!$E$17&gt;0,MIN(Entradas!$E$113,BG471+AY472+AZ472+BA472+BB472-BC472-BD472),0)</f>
        <v>1</v>
      </c>
      <c r="BF472" s="170">
        <f>IF(Escenarios!$E$17&gt;0,MAX(0,BG471+AY472+AZ472+BA472+BB472-BC472-BD472-BE472-Constantes!$E$40),0)</f>
        <v>0</v>
      </c>
      <c r="BG472" s="170">
        <f t="shared" si="110"/>
        <v>4571.2605357022858</v>
      </c>
      <c r="BH472" s="170">
        <f>(Escenarios!$E$16*AK472+0.1*BC472)/(Escenarios!$E$19)</f>
        <v>0.41408338198315126</v>
      </c>
      <c r="BI472" s="170">
        <f>IF(Escenarios!$E$17&gt;0,BF472/10/Escenarios!$E$19,AL472)</f>
        <v>0</v>
      </c>
      <c r="BJ472" s="170">
        <f>(Escenarios!$E$16*AT472+0.1*BD472)/(Escenarios!$E$19)</f>
        <v>0.19559913264637988</v>
      </c>
      <c r="BK472" s="76">
        <f>BK471+(0.1*BD472)/(Escenarios!$E$19)-BL471</f>
        <v>50.698425921678911</v>
      </c>
      <c r="BL472" s="76">
        <f>MAX(0,(BK472-Constantes!$D$13)*(1-EXP(-Constantes!$D$23)))</f>
        <v>1.9198304685200594E-2</v>
      </c>
      <c r="BM472" s="76">
        <f t="shared" si="106"/>
        <v>1.1995487047112399</v>
      </c>
      <c r="BN472" s="76">
        <f t="shared" si="111"/>
        <v>1.1995487047112399</v>
      </c>
      <c r="BO472" s="76">
        <f>0.0526*BI472*Observaciones!$F471^1.218</f>
        <v>0</v>
      </c>
      <c r="BP472" s="76">
        <f>BO472*Constantes!$E$51</f>
        <v>0</v>
      </c>
      <c r="BQ472" s="76">
        <f t="shared" si="107"/>
        <v>0</v>
      </c>
      <c r="BR472" s="40"/>
    </row>
    <row r="473" spans="1:70">
      <c r="A473" s="147"/>
      <c r="B473" s="39"/>
      <c r="C473" s="75">
        <v>467</v>
      </c>
      <c r="D473" s="146">
        <f>ETo!$I472*((1-Constantes!$E$19)*ETo!$K472+ETo!$L472)</f>
        <v>3.6214091359471965</v>
      </c>
      <c r="E473" s="76">
        <f>MIN(D473*Constantes!$E$17,0.8*(N472+Observaciones!$F472-F473-M473-Constantes!$D$14))</f>
        <v>1.7705515171639623</v>
      </c>
      <c r="F473" s="76">
        <f>IF(Observaciones!$F472&gt;0.05*Constantes!$E$18,((Observaciones!$F472-0.05*Constantes!$E$18)^2)/(Observaciones!$F472+0.95*Constantes!$E$18),0)</f>
        <v>0</v>
      </c>
      <c r="G473" s="76">
        <f>IF(Escenarios!$E$11&gt;0,(F473*Escenarios!$E$16*10000)/1000,0)</f>
        <v>0</v>
      </c>
      <c r="H473" s="76">
        <f>IF(Escenarios!$E$11&gt;0,(Observaciones!$F472*Constantes!$E$29)/1000,0)</f>
        <v>35</v>
      </c>
      <c r="I473" s="76">
        <f>IF(Escenarios!$E$11&gt;0,(D473*Constantes!$E$29)/1000,0)</f>
        <v>36.214091359471965</v>
      </c>
      <c r="J473" s="76">
        <f>IF(Escenarios!$E$11&gt;0,MAX(0,G473+H473-I473),0)</f>
        <v>0</v>
      </c>
      <c r="K473" s="76">
        <f>IF(Escenarios!$E$11&gt;0,IF(J473&gt;Constantes!$E$30,1000*((J473-Constantes!$E$30)/(Escenarios!$E$16*10000)),0),F473)</f>
        <v>0</v>
      </c>
      <c r="L473" s="76">
        <f>IF(Escenarios!$E$11&gt;0,I473*1000/Escenarios!$E$16/10000+E473,E473)</f>
        <v>1.7850371537077512</v>
      </c>
      <c r="M473" s="76">
        <f>MAX(0,N472+Observaciones!$F472-K473-Constantes!$D$13)</f>
        <v>0</v>
      </c>
      <c r="N473" s="76">
        <f>N472+Observaciones!$F472-K473-L473-M473-O472</f>
        <v>12.948637809741138</v>
      </c>
      <c r="O473" s="76">
        <f>MAX(0,(N473-Constantes!$D$14)*(1-EXP(-Constantes!$D$22)))</f>
        <v>5.7861839626842819E-2</v>
      </c>
      <c r="P473" s="170">
        <f>P472+(Entradas!$E$83*M473-Q472)/(800*Entradas!$D$25)</f>
        <v>0</v>
      </c>
      <c r="Q473" s="170">
        <f>8000*Entradas!$D$26*P473/Constantes!$E$45</f>
        <v>0</v>
      </c>
      <c r="R473" s="170">
        <f>IF(Escenarios!$E$14&gt;0,K473*Escenarios!$E$13/Escenarios!$E$14,0)</f>
        <v>0</v>
      </c>
      <c r="S473" s="170">
        <f>IF(Escenarios!$E$14&gt;0,Q473*Escenarios!$E$13/Escenarios!$E$14,0)</f>
        <v>0</v>
      </c>
      <c r="T473" s="170">
        <f>IF(Escenarios!$E$14&gt;0,Observaciones!$I472,0)</f>
        <v>0</v>
      </c>
      <c r="U473" s="170">
        <f>IF(Escenarios!$E$14&gt;0,MAX(0,Constantes!$E$36/((Z472+R473+S473+T473+Observaciones!$F472)^2)+Entradas!$E$77),0)</f>
        <v>1.3833563282978267</v>
      </c>
      <c r="V473" s="146">
        <f>IF(ETo!D472&gt;0,ETo!I472*((1-Entradas!$E$81)*ETo!K472+ETo!L472),0)</f>
        <v>3.2929274624140894</v>
      </c>
      <c r="W473" s="170">
        <f>IF(Escenarios!$E$14&gt;0,MIN(V473*1,0.8*(Z472+R473+S473+T473+Observaciones!$F472-U473-Constantes!$E$35)),0)</f>
        <v>3.2929274624140894</v>
      </c>
      <c r="X473" s="170">
        <f>IF(Escenarios!$E$14&gt;0,Observaciones!$J472,0)</f>
        <v>0</v>
      </c>
      <c r="Y473" s="170">
        <f>IF(Escenarios!$E$14&gt;0,MAX(0,Z472+R473+S473+T473+Observaciones!$F472-U473-W473-X473-Constantes!$E$33),0)</f>
        <v>0</v>
      </c>
      <c r="Z473" s="170">
        <f>Z472+R473+S473+T473+Observaciones!$F472-U473-W473-Y473</f>
        <v>75.014727873632182</v>
      </c>
      <c r="AA473" s="170">
        <f>IF(Escenarios!$E$14&gt;0,(Escenarios!$E$13*L473+Escenarios!$E$14*W473)/(Escenarios!$E$16),L473)</f>
        <v>1.9659839907525118</v>
      </c>
      <c r="AB473" s="170">
        <f>IF(Escenarios!$E$14&gt;0,(Escenarios!$E$14*Y473)/(Escenarios!$E$16),K473)</f>
        <v>0</v>
      </c>
      <c r="AC473" s="170">
        <f>IF(Escenarios!$E$14&gt;0,(Escenarios!$E$13*M473+Escenarios!$E$14*U473)/(Escenarios!$E$16),M473)</f>
        <v>0.16600275939573922</v>
      </c>
      <c r="AD473" s="76">
        <f t="shared" si="99"/>
        <v>167.5287983577075</v>
      </c>
      <c r="AE473" s="76">
        <f>MAX(0,(AD473-Constantes!$D$13)*(1-EXP(-Constantes!$D$23)))</f>
        <v>1.1703557911241238</v>
      </c>
      <c r="AF473" s="76">
        <f>AB473+O473*Escenarios!$E$13/Escenarios!$E$16+AE473</f>
        <v>1.2212742099957454</v>
      </c>
      <c r="AG473" s="76">
        <f>IF(Entradas!$E$91&gt;0,IF(AF473-Escenarios!$E$38&lt;=0,0,IF(AF473-Escenarios!$E$38&gt;Escenarios!$E$37,Escenarios!$E$37,AF473-Escenarios!$E$38)),0)</f>
        <v>0</v>
      </c>
      <c r="AH473" s="76">
        <f>AG473*Entradas!$E$99</f>
        <v>0</v>
      </c>
      <c r="AI473" s="76">
        <f>IF(Entradas!$E$91&gt;0,D473*Entradas!$D$23/Escenarios!$E$16,0)</f>
        <v>0</v>
      </c>
      <c r="AJ473" s="76">
        <f>IF(Entradas!$E$91&gt;0,Entradas!$D$24*Entradas!$D$22/Escenarios!$E$16,0)</f>
        <v>0</v>
      </c>
      <c r="AK473" s="76">
        <f t="shared" si="108"/>
        <v>1.9659839907525118</v>
      </c>
      <c r="AL473" s="76">
        <f t="shared" si="109"/>
        <v>0</v>
      </c>
      <c r="AM473" s="76">
        <f t="shared" si="100"/>
        <v>0</v>
      </c>
      <c r="AN473" s="76">
        <f>MAX(0,O473*Escenarios!$E$13/Escenarios!$E$16-AM473)</f>
        <v>5.0918418871621685E-2</v>
      </c>
      <c r="AO473" s="76">
        <f>AM473+AN473-O473*Escenarios!$E$13/Escenarios!$E$16</f>
        <v>0</v>
      </c>
      <c r="AP473" s="76">
        <f t="shared" si="98"/>
        <v>1.1703557911241238</v>
      </c>
      <c r="AQ473" s="76">
        <f t="shared" si="101"/>
        <v>0</v>
      </c>
      <c r="AR473" s="76">
        <f t="shared" si="102"/>
        <v>1.2212742099957454</v>
      </c>
      <c r="AS473" s="76">
        <f t="shared" si="103"/>
        <v>0</v>
      </c>
      <c r="AT473" s="76">
        <f t="shared" si="104"/>
        <v>0.16600275939573922</v>
      </c>
      <c r="AU473" s="76">
        <f t="shared" si="105"/>
        <v>48.75</v>
      </c>
      <c r="AV473" s="76">
        <f>MAX(0,(AU473-Constantes!$D$13)*(1-EXP(-Constantes!$D$24)))</f>
        <v>0</v>
      </c>
      <c r="AW473" s="170">
        <f>AW472+(Entradas!$E$112*AT473-AX472)/(800*Entradas!$D$25)</f>
        <v>0</v>
      </c>
      <c r="AX473" s="170">
        <f>8000*Entradas!$D$26*AW473/Constantes!$E$45</f>
        <v>0</v>
      </c>
      <c r="AY473" s="170">
        <f>IF(Escenarios!$E$17&gt;0,10*Escenarios!$E$16*AL473,0)</f>
        <v>0</v>
      </c>
      <c r="AZ473" s="170">
        <f>IF(Escenarios!$E$17&gt;0,10*Escenarios!$E$16*AX473,0)</f>
        <v>0</v>
      </c>
      <c r="BA473" s="170">
        <f>IF(Escenarios!$E$17&gt;0,0.001*Observaciones!$F472*Escenarios!$E$17,0)</f>
        <v>70</v>
      </c>
      <c r="BB473" s="170">
        <f>IF(Escenarios!$E$17&gt;0,Observaciones!$K472,0)</f>
        <v>0</v>
      </c>
      <c r="BC473" s="170">
        <f>IF(Escenarios!$E$17&gt;0,MIN(0.0005*ETo!$M472*Escenarios!$E$17*(BG472/Constantes!$E$40)^(2/3),BG472+AY473+AZ473+BA473+BB473),0)</f>
        <v>32.178948992086241</v>
      </c>
      <c r="BD473" s="170">
        <f>IF(Escenarios!$E$17&gt;0,MIN(Constantes!$E$39*(BG472/Constantes!$E$40)^(2/3),BG472+AY473+AZ473+BA473+BB473-BC473),0)</f>
        <v>62.20731775291565</v>
      </c>
      <c r="BE473" s="170">
        <f>IF(Escenarios!$E$17&gt;0,MIN(Entradas!$E$113,BG472+AY473+AZ473+BA473+BB473-BC473-BD473),0)</f>
        <v>1</v>
      </c>
      <c r="BF473" s="170">
        <f>IF(Escenarios!$E$17&gt;0,MAX(0,BG472+AY473+AZ473+BA473+BB473-BC473-BD473-BE473-Constantes!$E$40),0)</f>
        <v>0</v>
      </c>
      <c r="BG473" s="170">
        <f t="shared" si="110"/>
        <v>4545.8742689572837</v>
      </c>
      <c r="BH473" s="170">
        <f>(Escenarios!$E$16*AK473+0.1*BC473)/(Escenarios!$E$19)</f>
        <v>1.9631503674100657</v>
      </c>
      <c r="BI473" s="170">
        <f>IF(Escenarios!$E$17&gt;0,BF473/10/Escenarios!$E$19,AL473)</f>
        <v>0</v>
      </c>
      <c r="BJ473" s="170">
        <f>(Escenarios!$E$16*AT473+0.1*BD473)/(Escenarios!$E$19)</f>
        <v>0.18937072073105701</v>
      </c>
      <c r="BK473" s="76">
        <f>BK472+(0.1*BD473)/(Escenarios!$E$19)-BL472</f>
        <v>50.703913060546455</v>
      </c>
      <c r="BL473" s="76">
        <f>MAX(0,(BK473-Constantes!$D$13)*(1-EXP(-Constantes!$D$23)))</f>
        <v>1.9252370771397156E-2</v>
      </c>
      <c r="BM473" s="76">
        <f t="shared" si="106"/>
        <v>1.189608161895521</v>
      </c>
      <c r="BN473" s="76">
        <f t="shared" si="111"/>
        <v>1.2405265807671426</v>
      </c>
      <c r="BO473" s="76">
        <f>0.0526*BI473*Observaciones!$F472^1.218</f>
        <v>0</v>
      </c>
      <c r="BP473" s="76">
        <f>BO473*Constantes!$E$51</f>
        <v>0</v>
      </c>
      <c r="BQ473" s="76">
        <f t="shared" si="107"/>
        <v>0</v>
      </c>
      <c r="BR473" s="40"/>
    </row>
    <row r="474" spans="1:70">
      <c r="A474" s="147"/>
      <c r="B474" s="39"/>
      <c r="C474" s="75">
        <v>468</v>
      </c>
      <c r="D474" s="146">
        <f>ETo!$I473*((1-Constantes!$E$19)*ETo!$K473+ETo!$L473)</f>
        <v>3.3845930044477255</v>
      </c>
      <c r="E474" s="76">
        <f>MIN(D474*Constantes!$E$17,0.8*(N473+Observaciones!$F473-F474-M474-Constantes!$D$14))</f>
        <v>1.6547691945445049</v>
      </c>
      <c r="F474" s="76">
        <f>IF(Observaciones!$F473&gt;0.05*Constantes!$E$18,((Observaciones!$F473-0.05*Constantes!$E$18)^2)/(Observaciones!$F473+0.95*Constantes!$E$18),0)</f>
        <v>0</v>
      </c>
      <c r="G474" s="76">
        <f>IF(Escenarios!$E$11&gt;0,(F474*Escenarios!$E$16*10000)/1000,0)</f>
        <v>0</v>
      </c>
      <c r="H474" s="76">
        <f>IF(Escenarios!$E$11&gt;0,(Observaciones!$F473*Constantes!$E$29)/1000,0)</f>
        <v>18</v>
      </c>
      <c r="I474" s="76">
        <f>IF(Escenarios!$E$11&gt;0,(D474*Constantes!$E$29)/1000,0)</f>
        <v>33.84593004447725</v>
      </c>
      <c r="J474" s="76">
        <f>IF(Escenarios!$E$11&gt;0,MAX(0,G474+H474-I474),0)</f>
        <v>0</v>
      </c>
      <c r="K474" s="76">
        <f>IF(Escenarios!$E$11&gt;0,IF(J474&gt;Constantes!$E$30,1000*((J474-Constantes!$E$30)/(Escenarios!$E$16*10000)),0),F474)</f>
        <v>0</v>
      </c>
      <c r="L474" s="76">
        <f>IF(Escenarios!$E$11&gt;0,I474*1000/Escenarios!$E$16/10000+E474,E474)</f>
        <v>1.6683075665622957</v>
      </c>
      <c r="M474" s="76">
        <f>MAX(0,N473+Observaciones!$F473-K474-Constantes!$D$13)</f>
        <v>0</v>
      </c>
      <c r="N474" s="76">
        <f>N473+Observaciones!$F473-K474-L474-M474-O473</f>
        <v>13.022468403551999</v>
      </c>
      <c r="O474" s="76">
        <f>MAX(0,(N474-Constantes!$D$14)*(1-EXP(-Constantes!$D$22)))</f>
        <v>6.0376780689699323E-2</v>
      </c>
      <c r="P474" s="170">
        <f>P473+(Entradas!$E$83*M474-Q473)/(800*Entradas!$D$25)</f>
        <v>0</v>
      </c>
      <c r="Q474" s="170">
        <f>8000*Entradas!$D$26*P474/Constantes!$E$45</f>
        <v>0</v>
      </c>
      <c r="R474" s="170">
        <f>IF(Escenarios!$E$14&gt;0,K474*Escenarios!$E$13/Escenarios!$E$14,0)</f>
        <v>0</v>
      </c>
      <c r="S474" s="170">
        <f>IF(Escenarios!$E$14&gt;0,Q474*Escenarios!$E$13/Escenarios!$E$14,0)</f>
        <v>0</v>
      </c>
      <c r="T474" s="170">
        <f>IF(Escenarios!$E$14&gt;0,Observaciones!$I473,0)</f>
        <v>0</v>
      </c>
      <c r="U474" s="170">
        <f>IF(Escenarios!$E$14&gt;0,MAX(0,Constantes!$E$36/((Z473+R474+S474+T474+Observaciones!$F473)^2)+Entradas!$E$77),0)</f>
        <v>1.2600210503840996</v>
      </c>
      <c r="V474" s="146">
        <f>IF(ETo!D473&gt;0,ETo!I473*((1-Entradas!$E$81)*ETo!K473+ETo!L473),0)</f>
        <v>3.0750156898741232</v>
      </c>
      <c r="W474" s="170">
        <f>IF(Escenarios!$E$14&gt;0,MIN(V474*1,0.8*(Z473+R474+S474+T474+Observaciones!$F473-U474-Constantes!$E$35)),0)</f>
        <v>3.0750156898741232</v>
      </c>
      <c r="X474" s="170">
        <f>IF(Escenarios!$E$14&gt;0,Observaciones!$J473,0)</f>
        <v>0</v>
      </c>
      <c r="Y474" s="170">
        <f>IF(Escenarios!$E$14&gt;0,MAX(0,Z473+R474+S474+T474+Observaciones!$F473-U474-W474-X474-Constantes!$E$33),0)</f>
        <v>0</v>
      </c>
      <c r="Z474" s="170">
        <f>Z473+R474+S474+T474+Observaciones!$F473-U474-W474-Y474</f>
        <v>72.479691133373962</v>
      </c>
      <c r="AA474" s="170">
        <f>IF(Escenarios!$E$14&gt;0,(Escenarios!$E$13*L474+Escenarios!$E$14*W474)/(Escenarios!$E$16),L474)</f>
        <v>1.8371125413597151</v>
      </c>
      <c r="AB474" s="170">
        <f>IF(Escenarios!$E$14&gt;0,(Escenarios!$E$14*Y474)/(Escenarios!$E$16),K474)</f>
        <v>0</v>
      </c>
      <c r="AC474" s="170">
        <f>IF(Escenarios!$E$14&gt;0,(Escenarios!$E$13*M474+Escenarios!$E$14*U474)/(Escenarios!$E$16),M474)</f>
        <v>0.15120252604609194</v>
      </c>
      <c r="AD474" s="76">
        <f t="shared" si="99"/>
        <v>166.50964509262946</v>
      </c>
      <c r="AE474" s="76">
        <f>MAX(0,(AD474-Constantes!$D$13)*(1-EXP(-Constantes!$D$23)))</f>
        <v>1.1603138312599142</v>
      </c>
      <c r="AF474" s="76">
        <f>AB474+O474*Escenarios!$E$13/Escenarios!$E$16+AE474</f>
        <v>1.2134453982668496</v>
      </c>
      <c r="AG474" s="76">
        <f>IF(Entradas!$E$91&gt;0,IF(AF474-Escenarios!$E$38&lt;=0,0,IF(AF474-Escenarios!$E$38&gt;Escenarios!$E$37,Escenarios!$E$37,AF474-Escenarios!$E$38)),0)</f>
        <v>0</v>
      </c>
      <c r="AH474" s="76">
        <f>AG474*Entradas!$E$99</f>
        <v>0</v>
      </c>
      <c r="AI474" s="76">
        <f>IF(Entradas!$E$91&gt;0,D474*Entradas!$D$23/Escenarios!$E$16,0)</f>
        <v>0</v>
      </c>
      <c r="AJ474" s="76">
        <f>IF(Entradas!$E$91&gt;0,Entradas!$D$24*Entradas!$D$22/Escenarios!$E$16,0)</f>
        <v>0</v>
      </c>
      <c r="AK474" s="76">
        <f t="shared" si="108"/>
        <v>1.8371125413597151</v>
      </c>
      <c r="AL474" s="76">
        <f t="shared" si="109"/>
        <v>0</v>
      </c>
      <c r="AM474" s="76">
        <f t="shared" si="100"/>
        <v>0</v>
      </c>
      <c r="AN474" s="76">
        <f>MAX(0,O474*Escenarios!$E$13/Escenarios!$E$16-AM474)</f>
        <v>5.3131567006935408E-2</v>
      </c>
      <c r="AO474" s="76">
        <f>AM474+AN474-O474*Escenarios!$E$13/Escenarios!$E$16</f>
        <v>0</v>
      </c>
      <c r="AP474" s="76">
        <f t="shared" si="98"/>
        <v>1.1603138312599142</v>
      </c>
      <c r="AQ474" s="76">
        <f t="shared" si="101"/>
        <v>0</v>
      </c>
      <c r="AR474" s="76">
        <f t="shared" si="102"/>
        <v>1.2134453982668496</v>
      </c>
      <c r="AS474" s="76">
        <f t="shared" si="103"/>
        <v>0</v>
      </c>
      <c r="AT474" s="76">
        <f t="shared" si="104"/>
        <v>0.15120252604609194</v>
      </c>
      <c r="AU474" s="76">
        <f t="shared" si="105"/>
        <v>48.75</v>
      </c>
      <c r="AV474" s="76">
        <f>MAX(0,(AU474-Constantes!$D$13)*(1-EXP(-Constantes!$D$24)))</f>
        <v>0</v>
      </c>
      <c r="AW474" s="170">
        <f>AW473+(Entradas!$E$112*AT474-AX473)/(800*Entradas!$D$25)</f>
        <v>0</v>
      </c>
      <c r="AX474" s="170">
        <f>8000*Entradas!$D$26*AW474/Constantes!$E$45</f>
        <v>0</v>
      </c>
      <c r="AY474" s="170">
        <f>IF(Escenarios!$E$17&gt;0,10*Escenarios!$E$16*AL474,0)</f>
        <v>0</v>
      </c>
      <c r="AZ474" s="170">
        <f>IF(Escenarios!$E$17&gt;0,10*Escenarios!$E$16*AX474,0)</f>
        <v>0</v>
      </c>
      <c r="BA474" s="170">
        <f>IF(Escenarios!$E$17&gt;0,0.001*Observaciones!$F473*Escenarios!$E$17,0)</f>
        <v>36</v>
      </c>
      <c r="BB474" s="170">
        <f>IF(Escenarios!$E$17&gt;0,Observaciones!$K473,0)</f>
        <v>0</v>
      </c>
      <c r="BC474" s="170">
        <f>IF(Escenarios!$E$17&gt;0,MIN(0.0005*ETo!$M473*Escenarios!$E$17*(BG473/Constantes!$E$40)^(2/3),BG473+AY474+AZ474+BA474+BB474),0)</f>
        <v>29.994614665489365</v>
      </c>
      <c r="BD474" s="170">
        <f>IF(Escenarios!$E$17&gt;0,MIN(Constantes!$E$39*(BG473/Constantes!$E$40)^(2/3),BG473+AY474+AZ474+BA474+BB474-BC474),0)</f>
        <v>61.976793903924118</v>
      </c>
      <c r="BE474" s="170">
        <f>IF(Escenarios!$E$17&gt;0,MIN(Entradas!$E$113,BG473+AY474+AZ474+BA474+BB474-BC474-BD474),0)</f>
        <v>1</v>
      </c>
      <c r="BF474" s="170">
        <f>IF(Escenarios!$E$17&gt;0,MAX(0,BG473+AY474+AZ474+BA474+BB474-BC474-BD474-BE474-Constantes!$E$40),0)</f>
        <v>0</v>
      </c>
      <c r="BG474" s="170">
        <f t="shared" si="110"/>
        <v>4488.9028603878705</v>
      </c>
      <c r="BH474" s="170">
        <f>(Escenarios!$E$16*AK474+0.1*BC474)/(Escenarios!$E$19)</f>
        <v>1.8344349079622133</v>
      </c>
      <c r="BI474" s="170">
        <f>IF(Escenarios!$E$17&gt;0,BF474/10/Escenarios!$E$19,AL474)</f>
        <v>0</v>
      </c>
      <c r="BJ474" s="170">
        <f>(Escenarios!$E$16*AT474+0.1*BD474)/(Escenarios!$E$19)</f>
        <v>0.17459647183299762</v>
      </c>
      <c r="BK474" s="76">
        <f>BK473+(0.1*BD474)/(Escenarios!$E$19)-BL473</f>
        <v>50.709254655609946</v>
      </c>
      <c r="BL474" s="76">
        <f>MAX(0,(BK474-Constantes!$D$13)*(1-EXP(-Constantes!$D$23)))</f>
        <v>1.9305002779826559E-2</v>
      </c>
      <c r="BM474" s="76">
        <f t="shared" si="106"/>
        <v>1.1796188340397407</v>
      </c>
      <c r="BN474" s="76">
        <f t="shared" si="111"/>
        <v>1.2327504010466761</v>
      </c>
      <c r="BO474" s="76">
        <f>0.0526*BI474*Observaciones!$F473^1.218</f>
        <v>0</v>
      </c>
      <c r="BP474" s="76">
        <f>BO474*Constantes!$E$51</f>
        <v>0</v>
      </c>
      <c r="BQ474" s="76">
        <f t="shared" si="107"/>
        <v>0</v>
      </c>
      <c r="BR474" s="40"/>
    </row>
    <row r="475" spans="1:70">
      <c r="A475" s="147"/>
      <c r="B475" s="39"/>
      <c r="C475" s="75">
        <v>469</v>
      </c>
      <c r="D475" s="146">
        <f>ETo!$I474*((1-Constantes!$E$19)*ETo!$K474+ETo!$L474)</f>
        <v>3.5773349248931097</v>
      </c>
      <c r="E475" s="76">
        <f>MIN(D475*Constantes!$E$17,0.8*(N474+Observaciones!$F474-F475-M475-Constantes!$D$14))</f>
        <v>1.4179747228415991</v>
      </c>
      <c r="F475" s="76">
        <f>IF(Observaciones!$F474&gt;0.05*Constantes!$E$18,((Observaciones!$F474-0.05*Constantes!$E$18)^2)/(Observaciones!$F474+0.95*Constantes!$E$18),0)</f>
        <v>0</v>
      </c>
      <c r="G475" s="76">
        <f>IF(Escenarios!$E$11&gt;0,(F475*Escenarios!$E$16*10000)/1000,0)</f>
        <v>0</v>
      </c>
      <c r="H475" s="76">
        <f>IF(Escenarios!$E$11&gt;0,(Observaciones!$F474*Constantes!$E$29)/1000,0)</f>
        <v>0</v>
      </c>
      <c r="I475" s="76">
        <f>IF(Escenarios!$E$11&gt;0,(D475*Constantes!$E$29)/1000,0)</f>
        <v>35.773349248931098</v>
      </c>
      <c r="J475" s="76">
        <f>IF(Escenarios!$E$11&gt;0,MAX(0,G475+H475-I475),0)</f>
        <v>0</v>
      </c>
      <c r="K475" s="76">
        <f>IF(Escenarios!$E$11&gt;0,IF(J475&gt;Constantes!$E$30,1000*((J475-Constantes!$E$30)/(Escenarios!$E$16*10000)),0),F475)</f>
        <v>0</v>
      </c>
      <c r="L475" s="76">
        <f>IF(Escenarios!$E$11&gt;0,I475*1000/Escenarios!$E$16/10000+E475,E475)</f>
        <v>1.4322840625411715</v>
      </c>
      <c r="M475" s="76">
        <f>MAX(0,N474+Observaciones!$F474-K475-Constantes!$D$13)</f>
        <v>0</v>
      </c>
      <c r="N475" s="76">
        <f>N474+Observaciones!$F474-K475-L475-M475-O474</f>
        <v>11.529807560321128</v>
      </c>
      <c r="O475" s="76">
        <f>MAX(0,(N475-Constantes!$D$14)*(1-EXP(-Constantes!$D$22)))</f>
        <v>9.5312726991203314E-3</v>
      </c>
      <c r="P475" s="170">
        <f>P474+(Entradas!$E$83*M475-Q474)/(800*Entradas!$D$25)</f>
        <v>0</v>
      </c>
      <c r="Q475" s="170">
        <f>8000*Entradas!$D$26*P475/Constantes!$E$45</f>
        <v>0</v>
      </c>
      <c r="R475" s="170">
        <f>IF(Escenarios!$E$14&gt;0,K475*Escenarios!$E$13/Escenarios!$E$14,0)</f>
        <v>0</v>
      </c>
      <c r="S475" s="170">
        <f>IF(Escenarios!$E$14&gt;0,Q475*Escenarios!$E$13/Escenarios!$E$14,0)</f>
        <v>0</v>
      </c>
      <c r="T475" s="170">
        <f>IF(Escenarios!$E$14&gt;0,Observaciones!$I474,0)</f>
        <v>0</v>
      </c>
      <c r="U475" s="170">
        <f>IF(Escenarios!$E$14&gt;0,MAX(0,Constantes!$E$36/((Z474+R475+S475+T475+Observaciones!$F474)^2)+Entradas!$E$77),0)</f>
        <v>1.0456591088771612</v>
      </c>
      <c r="V475" s="146">
        <f>IF(ETo!D474&gt;0,ETo!I474*((1-Entradas!$E$81)*ETo!K474+ETo!L474),0)</f>
        <v>3.2517698727577851</v>
      </c>
      <c r="W475" s="170">
        <f>IF(Escenarios!$E$14&gt;0,MIN(V475*1,0.8*(Z474+R475+S475+T475+Observaciones!$F474-U475-Constantes!$E$35)),0)</f>
        <v>3.2517698727577851</v>
      </c>
      <c r="X475" s="170">
        <f>IF(Escenarios!$E$14&gt;0,Observaciones!$J474,0)</f>
        <v>0</v>
      </c>
      <c r="Y475" s="170">
        <f>IF(Escenarios!$E$14&gt;0,MAX(0,Z474+R475+S475+T475+Observaciones!$F474-U475-W475-X475-Constantes!$E$33),0)</f>
        <v>0</v>
      </c>
      <c r="Z475" s="170">
        <f>Z474+R475+S475+T475+Observaciones!$F474-U475-W475-Y475</f>
        <v>68.18226215173901</v>
      </c>
      <c r="AA475" s="170">
        <f>IF(Escenarios!$E$14&gt;0,(Escenarios!$E$13*L475+Escenarios!$E$14*W475)/(Escenarios!$E$16),L475)</f>
        <v>1.6506223597671652</v>
      </c>
      <c r="AB475" s="170">
        <f>IF(Escenarios!$E$14&gt;0,(Escenarios!$E$14*Y475)/(Escenarios!$E$16),K475)</f>
        <v>0</v>
      </c>
      <c r="AC475" s="170">
        <f>IF(Escenarios!$E$14&gt;0,(Escenarios!$E$13*M475+Escenarios!$E$14*U475)/(Escenarios!$E$16),M475)</f>
        <v>0.12547909306525934</v>
      </c>
      <c r="AD475" s="76">
        <f t="shared" si="99"/>
        <v>165.47481035443479</v>
      </c>
      <c r="AE475" s="76">
        <f>MAX(0,(AD475-Constantes!$D$13)*(1-EXP(-Constantes!$D$23)))</f>
        <v>1.1501173581060506</v>
      </c>
      <c r="AF475" s="76">
        <f>AB475+O475*Escenarios!$E$13/Escenarios!$E$16+AE475</f>
        <v>1.1585048780812766</v>
      </c>
      <c r="AG475" s="76">
        <f>IF(Entradas!$E$91&gt;0,IF(AF475-Escenarios!$E$38&lt;=0,0,IF(AF475-Escenarios!$E$38&gt;Escenarios!$E$37,Escenarios!$E$37,AF475-Escenarios!$E$38)),0)</f>
        <v>0</v>
      </c>
      <c r="AH475" s="76">
        <f>AG475*Entradas!$E$99</f>
        <v>0</v>
      </c>
      <c r="AI475" s="76">
        <f>IF(Entradas!$E$91&gt;0,D475*Entradas!$D$23/Escenarios!$E$16,0)</f>
        <v>0</v>
      </c>
      <c r="AJ475" s="76">
        <f>IF(Entradas!$E$91&gt;0,Entradas!$D$24*Entradas!$D$22/Escenarios!$E$16,0)</f>
        <v>0</v>
      </c>
      <c r="AK475" s="76">
        <f t="shared" si="108"/>
        <v>1.6506223597671652</v>
      </c>
      <c r="AL475" s="76">
        <f t="shared" si="109"/>
        <v>0</v>
      </c>
      <c r="AM475" s="76">
        <f t="shared" si="100"/>
        <v>0</v>
      </c>
      <c r="AN475" s="76">
        <f>MAX(0,O475*Escenarios!$E$13/Escenarios!$E$16-AM475)</f>
        <v>8.3875199752258926E-3</v>
      </c>
      <c r="AO475" s="76">
        <f>AM475+AN475-O475*Escenarios!$E$13/Escenarios!$E$16</f>
        <v>0</v>
      </c>
      <c r="AP475" s="76">
        <f t="shared" si="98"/>
        <v>1.1501173581060506</v>
      </c>
      <c r="AQ475" s="76">
        <f t="shared" si="101"/>
        <v>0</v>
      </c>
      <c r="AR475" s="76">
        <f t="shared" si="102"/>
        <v>1.1585048780812766</v>
      </c>
      <c r="AS475" s="76">
        <f t="shared" si="103"/>
        <v>0</v>
      </c>
      <c r="AT475" s="76">
        <f t="shared" si="104"/>
        <v>0.12547909306525934</v>
      </c>
      <c r="AU475" s="76">
        <f t="shared" si="105"/>
        <v>48.75</v>
      </c>
      <c r="AV475" s="76">
        <f>MAX(0,(AU475-Constantes!$D$13)*(1-EXP(-Constantes!$D$24)))</f>
        <v>0</v>
      </c>
      <c r="AW475" s="170">
        <f>AW474+(Entradas!$E$112*AT475-AX474)/(800*Entradas!$D$25)</f>
        <v>0</v>
      </c>
      <c r="AX475" s="170">
        <f>8000*Entradas!$D$26*AW475/Constantes!$E$45</f>
        <v>0</v>
      </c>
      <c r="AY475" s="170">
        <f>IF(Escenarios!$E$17&gt;0,10*Escenarios!$E$16*AL475,0)</f>
        <v>0</v>
      </c>
      <c r="AZ475" s="170">
        <f>IF(Escenarios!$E$17&gt;0,10*Escenarios!$E$16*AX475,0)</f>
        <v>0</v>
      </c>
      <c r="BA475" s="170">
        <f>IF(Escenarios!$E$17&gt;0,0.001*Observaciones!$F474*Escenarios!$E$17,0)</f>
        <v>0</v>
      </c>
      <c r="BB475" s="170">
        <f>IF(Escenarios!$E$17&gt;0,Observaciones!$K474,0)</f>
        <v>0</v>
      </c>
      <c r="BC475" s="170">
        <f>IF(Escenarios!$E$17&gt;0,MIN(0.0005*ETo!$M474*Escenarios!$E$17*(BG474/Constantes!$E$40)^(2/3),BG474+AY475+AZ475+BA475+BB475),0)</f>
        <v>31.417434490775289</v>
      </c>
      <c r="BD475" s="170">
        <f>IF(Escenarios!$E$17&gt;0,MIN(Constantes!$E$39*(BG474/Constantes!$E$40)^(2/3),BG474+AY475+AZ475+BA475+BB475-BC475),0)</f>
        <v>61.457887949464698</v>
      </c>
      <c r="BE475" s="170">
        <f>IF(Escenarios!$E$17&gt;0,MIN(Entradas!$E$113,BG474+AY475+AZ475+BA475+BB475-BC475-BD475),0)</f>
        <v>1</v>
      </c>
      <c r="BF475" s="170">
        <f>IF(Escenarios!$E$17&gt;0,MAX(0,BG474+AY475+AZ475+BA475+BB475-BC475-BD475-BE475-Constantes!$E$40),0)</f>
        <v>0</v>
      </c>
      <c r="BG475" s="170">
        <f t="shared" si="110"/>
        <v>4395.0275379476307</v>
      </c>
      <c r="BH475" s="170">
        <f>(Escenarios!$E$16*AK475+0.1*BC475)/(Escenarios!$E$19)</f>
        <v>1.6499894182177333</v>
      </c>
      <c r="BI475" s="170">
        <f>IF(Escenarios!$E$17&gt;0,BF475/10/Escenarios!$E$19,AL475)</f>
        <v>0</v>
      </c>
      <c r="BJ475" s="170">
        <f>(Escenarios!$E$16*AT475+0.1*BD475)/(Escenarios!$E$19)</f>
        <v>0.14887127802087821</v>
      </c>
      <c r="BK475" s="76">
        <f>BK474+(0.1*BD475)/(Escenarios!$E$19)-BL474</f>
        <v>50.714337703603718</v>
      </c>
      <c r="BL475" s="76">
        <f>MAX(0,(BK475-Constantes!$D$13)*(1-EXP(-Constantes!$D$23)))</f>
        <v>1.9355087262396899E-2</v>
      </c>
      <c r="BM475" s="76">
        <f t="shared" si="106"/>
        <v>1.1694724453684475</v>
      </c>
      <c r="BN475" s="76">
        <f t="shared" si="111"/>
        <v>1.1778599653436734</v>
      </c>
      <c r="BO475" s="76">
        <f>0.0526*BI475*Observaciones!$F474^1.218</f>
        <v>0</v>
      </c>
      <c r="BP475" s="76">
        <f>BO475*Constantes!$E$51</f>
        <v>0</v>
      </c>
      <c r="BQ475" s="76">
        <f t="shared" si="107"/>
        <v>0</v>
      </c>
      <c r="BR475" s="40"/>
    </row>
    <row r="476" spans="1:70">
      <c r="A476" s="147"/>
      <c r="B476" s="39"/>
      <c r="C476" s="75">
        <v>470</v>
      </c>
      <c r="D476" s="146">
        <f>ETo!$I475*((1-Constantes!$E$19)*ETo!$K475+ETo!$L475)</f>
        <v>3.399237797811002</v>
      </c>
      <c r="E476" s="76">
        <f>MIN(D476*Constantes!$E$17,0.8*(N475+Observaciones!$F475-F476-M476-Constantes!$D$14))</f>
        <v>0.22384604825690246</v>
      </c>
      <c r="F476" s="76">
        <f>IF(Observaciones!$F475&gt;0.05*Constantes!$E$18,((Observaciones!$F475-0.05*Constantes!$E$18)^2)/(Observaciones!$F475+0.95*Constantes!$E$18),0)</f>
        <v>0</v>
      </c>
      <c r="G476" s="76">
        <f>IF(Escenarios!$E$11&gt;0,(F476*Escenarios!$E$16*10000)/1000,0)</f>
        <v>0</v>
      </c>
      <c r="H476" s="76">
        <f>IF(Escenarios!$E$11&gt;0,(Observaciones!$F475*Constantes!$E$29)/1000,0)</f>
        <v>0</v>
      </c>
      <c r="I476" s="76">
        <f>IF(Escenarios!$E$11&gt;0,(D476*Constantes!$E$29)/1000,0)</f>
        <v>33.992377978110014</v>
      </c>
      <c r="J476" s="76">
        <f>IF(Escenarios!$E$11&gt;0,MAX(0,G476+H476-I476),0)</f>
        <v>0</v>
      </c>
      <c r="K476" s="76">
        <f>IF(Escenarios!$E$11&gt;0,IF(J476&gt;Constantes!$E$30,1000*((J476-Constantes!$E$30)/(Escenarios!$E$16*10000)),0),F476)</f>
        <v>0</v>
      </c>
      <c r="L476" s="76">
        <f>IF(Escenarios!$E$11&gt;0,I476*1000/Escenarios!$E$16/10000+E476,E476)</f>
        <v>0.23744299944814648</v>
      </c>
      <c r="M476" s="76">
        <f>MAX(0,N475+Observaciones!$F475-K476-Constantes!$D$13)</f>
        <v>0</v>
      </c>
      <c r="N476" s="76">
        <f>N475+Observaciones!$F475-K476-L476-M476-O475</f>
        <v>11.28283328817386</v>
      </c>
      <c r="O476" s="76">
        <f>MAX(0,(N476-Constantes!$D$14)*(1-EXP(-Constantes!$D$22)))</f>
        <v>1.1184223286701239E-3</v>
      </c>
      <c r="P476" s="170">
        <f>P475+(Entradas!$E$83*M476-Q475)/(800*Entradas!$D$25)</f>
        <v>0</v>
      </c>
      <c r="Q476" s="170">
        <f>8000*Entradas!$D$26*P476/Constantes!$E$45</f>
        <v>0</v>
      </c>
      <c r="R476" s="170">
        <f>IF(Escenarios!$E$14&gt;0,K476*Escenarios!$E$13/Escenarios!$E$14,0)</f>
        <v>0</v>
      </c>
      <c r="S476" s="170">
        <f>IF(Escenarios!$E$14&gt;0,Q476*Escenarios!$E$13/Escenarios!$E$14,0)</f>
        <v>0</v>
      </c>
      <c r="T476" s="170">
        <f>IF(Escenarios!$E$14&gt;0,Observaciones!$I475,0)</f>
        <v>0</v>
      </c>
      <c r="U476" s="170">
        <f>IF(Escenarios!$E$14&gt;0,MAX(0,Constantes!$E$36/((Z475+R476+S476+T476+Observaciones!$F475)^2)+Entradas!$E$77),0)</f>
        <v>0.79153676117028571</v>
      </c>
      <c r="V476" s="146">
        <f>IF(ETo!D475&gt;0,ETo!I475*((1-Entradas!$E$81)*ETo!K475+ETo!L475),0)</f>
        <v>3.0877343831360178</v>
      </c>
      <c r="W476" s="170">
        <f>IF(Escenarios!$E$14&gt;0,MIN(V476*1,0.8*(Z475+R476+S476+T476+Observaciones!$F475-U476-Constantes!$E$35)),0)</f>
        <v>3.0877343831360178</v>
      </c>
      <c r="X476" s="170">
        <f>IF(Escenarios!$E$14&gt;0,Observaciones!$J475,0)</f>
        <v>0</v>
      </c>
      <c r="Y476" s="170">
        <f>IF(Escenarios!$E$14&gt;0,MAX(0,Z475+R476+S476+T476+Observaciones!$F475-U476-W476-X476-Constantes!$E$33),0)</f>
        <v>0</v>
      </c>
      <c r="Z476" s="170">
        <f>Z475+R476+S476+T476+Observaciones!$F475-U476-W476-Y476</f>
        <v>64.302991007432695</v>
      </c>
      <c r="AA476" s="170">
        <f>IF(Escenarios!$E$14&gt;0,(Escenarios!$E$13*L476+Escenarios!$E$14*W476)/(Escenarios!$E$16),L476)</f>
        <v>0.57947796549069108</v>
      </c>
      <c r="AB476" s="170">
        <f>IF(Escenarios!$E$14&gt;0,(Escenarios!$E$14*Y476)/(Escenarios!$E$16),K476)</f>
        <v>0</v>
      </c>
      <c r="AC476" s="170">
        <f>IF(Escenarios!$E$14&gt;0,(Escenarios!$E$13*M476+Escenarios!$E$14*U476)/(Escenarios!$E$16),M476)</f>
        <v>9.4984411340434297E-2</v>
      </c>
      <c r="AD476" s="76">
        <f t="shared" si="99"/>
        <v>164.41967740766918</v>
      </c>
      <c r="AE476" s="76">
        <f>MAX(0,(AD476-Constantes!$D$13)*(1-EXP(-Constantes!$D$23)))</f>
        <v>1.139720881868481</v>
      </c>
      <c r="AF476" s="76">
        <f>AB476+O476*Escenarios!$E$13/Escenarios!$E$16+AE476</f>
        <v>1.1407050935177108</v>
      </c>
      <c r="AG476" s="76">
        <f>IF(Entradas!$E$91&gt;0,IF(AF476-Escenarios!$E$38&lt;=0,0,IF(AF476-Escenarios!$E$38&gt;Escenarios!$E$37,Escenarios!$E$37,AF476-Escenarios!$E$38)),0)</f>
        <v>0</v>
      </c>
      <c r="AH476" s="76">
        <f>AG476*Entradas!$E$99</f>
        <v>0</v>
      </c>
      <c r="AI476" s="76">
        <f>IF(Entradas!$E$91&gt;0,D476*Entradas!$D$23/Escenarios!$E$16,0)</f>
        <v>0</v>
      </c>
      <c r="AJ476" s="76">
        <f>IF(Entradas!$E$91&gt;0,Entradas!$D$24*Entradas!$D$22/Escenarios!$E$16,0)</f>
        <v>0</v>
      </c>
      <c r="AK476" s="76">
        <f t="shared" si="108"/>
        <v>0.57947796549069108</v>
      </c>
      <c r="AL476" s="76">
        <f t="shared" si="109"/>
        <v>0</v>
      </c>
      <c r="AM476" s="76">
        <f t="shared" si="100"/>
        <v>0</v>
      </c>
      <c r="AN476" s="76">
        <f>MAX(0,O476*Escenarios!$E$13/Escenarios!$E$16-AM476)</f>
        <v>9.8421164922970908E-4</v>
      </c>
      <c r="AO476" s="76">
        <f>AM476+AN476-O476*Escenarios!$E$13/Escenarios!$E$16</f>
        <v>0</v>
      </c>
      <c r="AP476" s="76">
        <f t="shared" si="98"/>
        <v>1.139720881868481</v>
      </c>
      <c r="AQ476" s="76">
        <f t="shared" si="101"/>
        <v>0</v>
      </c>
      <c r="AR476" s="76">
        <f t="shared" si="102"/>
        <v>1.1407050935177108</v>
      </c>
      <c r="AS476" s="76">
        <f t="shared" si="103"/>
        <v>0</v>
      </c>
      <c r="AT476" s="76">
        <f t="shared" si="104"/>
        <v>9.4984411340434297E-2</v>
      </c>
      <c r="AU476" s="76">
        <f t="shared" si="105"/>
        <v>48.75</v>
      </c>
      <c r="AV476" s="76">
        <f>MAX(0,(AU476-Constantes!$D$13)*(1-EXP(-Constantes!$D$24)))</f>
        <v>0</v>
      </c>
      <c r="AW476" s="170">
        <f>AW475+(Entradas!$E$112*AT476-AX475)/(800*Entradas!$D$25)</f>
        <v>0</v>
      </c>
      <c r="AX476" s="170">
        <f>8000*Entradas!$D$26*AW476/Constantes!$E$45</f>
        <v>0</v>
      </c>
      <c r="AY476" s="170">
        <f>IF(Escenarios!$E$17&gt;0,10*Escenarios!$E$16*AL476,0)</f>
        <v>0</v>
      </c>
      <c r="AZ476" s="170">
        <f>IF(Escenarios!$E$17&gt;0,10*Escenarios!$E$16*AX476,0)</f>
        <v>0</v>
      </c>
      <c r="BA476" s="170">
        <f>IF(Escenarios!$E$17&gt;0,0.001*Observaciones!$F475*Escenarios!$E$17,0)</f>
        <v>0</v>
      </c>
      <c r="BB476" s="170">
        <f>IF(Escenarios!$E$17&gt;0,Observaciones!$K475,0)</f>
        <v>0</v>
      </c>
      <c r="BC476" s="170">
        <f>IF(Escenarios!$E$17&gt;0,MIN(0.0005*ETo!$M475*Escenarios!$E$17*(BG475/Constantes!$E$40)^(2/3),BG475+AY476+AZ476+BA476+BB476),0)</f>
        <v>29.461232608048295</v>
      </c>
      <c r="BD476" s="170">
        <f>IF(Escenarios!$E$17&gt;0,MIN(Constantes!$E$39*(BG475/Constantes!$E$40)^(2/3),BG475+AY476+AZ476+BA476+BB476-BC476),0)</f>
        <v>60.598037576492132</v>
      </c>
      <c r="BE476" s="170">
        <f>IF(Escenarios!$E$17&gt;0,MIN(Entradas!$E$113,BG475+AY476+AZ476+BA476+BB476-BC476-BD476),0)</f>
        <v>1</v>
      </c>
      <c r="BF476" s="170">
        <f>IF(Escenarios!$E$17&gt;0,MAX(0,BG475+AY476+AZ476+BA476+BB476-BC476-BD476-BE476-Constantes!$E$40),0)</f>
        <v>0</v>
      </c>
      <c r="BG476" s="170">
        <f t="shared" si="110"/>
        <v>4303.9682677630899</v>
      </c>
      <c r="BH476" s="170">
        <f>(Escenarios!$E$16*AK476+0.1*BC476)/(Escenarios!$E$19)</f>
        <v>0.58656989933919679</v>
      </c>
      <c r="BI476" s="170">
        <f>IF(Escenarios!$E$17&gt;0,BF476/10/Escenarios!$E$19,AL476)</f>
        <v>0</v>
      </c>
      <c r="BJ476" s="170">
        <f>(Escenarios!$E$16*AT476+0.1*BD476)/(Escenarios!$E$19)</f>
        <v>0.1182774071141182</v>
      </c>
      <c r="BK476" s="76">
        <f>BK475+(0.1*BD476)/(Escenarios!$E$19)-BL475</f>
        <v>50.719029456649452</v>
      </c>
      <c r="BL476" s="76">
        <f>MAX(0,(BK476-Constantes!$D$13)*(1-EXP(-Constantes!$D$23)))</f>
        <v>1.9401316222645022E-2</v>
      </c>
      <c r="BM476" s="76">
        <f t="shared" si="106"/>
        <v>1.1591221980911259</v>
      </c>
      <c r="BN476" s="76">
        <f t="shared" si="111"/>
        <v>1.1601064097403557</v>
      </c>
      <c r="BO476" s="76">
        <f>0.0526*BI476*Observaciones!$F475^1.218</f>
        <v>0</v>
      </c>
      <c r="BP476" s="76">
        <f>BO476*Constantes!$E$51</f>
        <v>0</v>
      </c>
      <c r="BQ476" s="76">
        <f t="shared" si="107"/>
        <v>0</v>
      </c>
      <c r="BR476" s="40"/>
    </row>
    <row r="477" spans="1:70">
      <c r="A477" s="147"/>
      <c r="B477" s="39"/>
      <c r="C477" s="75">
        <v>471</v>
      </c>
      <c r="D477" s="146">
        <f>ETo!$I476*((1-Constantes!$E$19)*ETo!$K476+ETo!$L476)</f>
        <v>3.4685338060293422</v>
      </c>
      <c r="E477" s="76">
        <f>MIN(D477*Constantes!$E$17,0.8*(N476+Observaciones!$F476-F477-M477-Constantes!$D$14))</f>
        <v>2.6266630539087999E-2</v>
      </c>
      <c r="F477" s="76">
        <f>IF(Observaciones!$F476&gt;0.05*Constantes!$E$18,((Observaciones!$F476-0.05*Constantes!$E$18)^2)/(Observaciones!$F476+0.95*Constantes!$E$18),0)</f>
        <v>0</v>
      </c>
      <c r="G477" s="76">
        <f>IF(Escenarios!$E$11&gt;0,(F477*Escenarios!$E$16*10000)/1000,0)</f>
        <v>0</v>
      </c>
      <c r="H477" s="76">
        <f>IF(Escenarios!$E$11&gt;0,(Observaciones!$F476*Constantes!$E$29)/1000,0)</f>
        <v>0</v>
      </c>
      <c r="I477" s="76">
        <f>IF(Escenarios!$E$11&gt;0,(D477*Constantes!$E$29)/1000,0)</f>
        <v>34.685338060293418</v>
      </c>
      <c r="J477" s="76">
        <f>IF(Escenarios!$E$11&gt;0,MAX(0,G477+H477-I477),0)</f>
        <v>0</v>
      </c>
      <c r="K477" s="76">
        <f>IF(Escenarios!$E$11&gt;0,IF(J477&gt;Constantes!$E$30,1000*((J477-Constantes!$E$30)/(Escenarios!$E$16*10000)),0),F477)</f>
        <v>0</v>
      </c>
      <c r="L477" s="76">
        <f>IF(Escenarios!$E$11&gt;0,I477*1000/Escenarios!$E$16/10000+E477,E477)</f>
        <v>4.0140765763205369E-2</v>
      </c>
      <c r="M477" s="76">
        <f>MAX(0,N476+Observaciones!$F476-K477-Constantes!$D$13)</f>
        <v>0</v>
      </c>
      <c r="N477" s="76">
        <f>N476+Observaciones!$F476-K477-L477-M477-O476</f>
        <v>11.241574100081985</v>
      </c>
      <c r="O477" s="76">
        <f>MAX(0,(N477-Constantes!$D$14)*(1-EXP(-Constantes!$D$22)))</f>
        <v>0</v>
      </c>
      <c r="P477" s="170">
        <f>P476+(Entradas!$E$83*M477-Q476)/(800*Entradas!$D$25)</f>
        <v>0</v>
      </c>
      <c r="Q477" s="170">
        <f>8000*Entradas!$D$26*P477/Constantes!$E$45</f>
        <v>0</v>
      </c>
      <c r="R477" s="170">
        <f>IF(Escenarios!$E$14&gt;0,K477*Escenarios!$E$13/Escenarios!$E$14,0)</f>
        <v>0</v>
      </c>
      <c r="S477" s="170">
        <f>IF(Escenarios!$E$14&gt;0,Q477*Escenarios!$E$13/Escenarios!$E$14,0)</f>
        <v>0</v>
      </c>
      <c r="T477" s="170">
        <f>IF(Escenarios!$E$14&gt;0,Observaciones!$I476,0)</f>
        <v>0</v>
      </c>
      <c r="U477" s="170">
        <f>IF(Escenarios!$E$14&gt;0,MAX(0,Constantes!$E$36/((Z476+R477+S477+T477+Observaciones!$F476)^2)+Entradas!$E$77),0)</f>
        <v>0.51703476820326433</v>
      </c>
      <c r="V477" s="146">
        <f>IF(ETo!D476&gt;0,ETo!I476*((1-Entradas!$E$81)*ETo!K476+ETo!L476),0)</f>
        <v>3.1510332265999637</v>
      </c>
      <c r="W477" s="170">
        <f>IF(Escenarios!$E$14&gt;0,MIN(V477*1,0.8*(Z476+R477+S477+T477+Observaciones!$F476-U477-Constantes!$E$35)),0)</f>
        <v>3.1510332265999637</v>
      </c>
      <c r="X477" s="170">
        <f>IF(Escenarios!$E$14&gt;0,Observaciones!$J476,0)</f>
        <v>0</v>
      </c>
      <c r="Y477" s="170">
        <f>IF(Escenarios!$E$14&gt;0,MAX(0,Z476+R477+S477+T477+Observaciones!$F476-U477-W477-X477-Constantes!$E$33),0)</f>
        <v>0</v>
      </c>
      <c r="Z477" s="170">
        <f>Z476+R477+S477+T477+Observaciones!$F476-U477-W477-Y477</f>
        <v>60.634923012629464</v>
      </c>
      <c r="AA477" s="170">
        <f>IF(Escenarios!$E$14&gt;0,(Escenarios!$E$13*L477+Escenarios!$E$14*W477)/(Escenarios!$E$16),L477)</f>
        <v>0.41344786106361636</v>
      </c>
      <c r="AB477" s="170">
        <f>IF(Escenarios!$E$14&gt;0,(Escenarios!$E$14*Y477)/(Escenarios!$E$16),K477)</f>
        <v>0</v>
      </c>
      <c r="AC477" s="170">
        <f>IF(Escenarios!$E$14&gt;0,(Escenarios!$E$13*M477+Escenarios!$E$14*U477)/(Escenarios!$E$16),M477)</f>
        <v>6.2044172184391719E-2</v>
      </c>
      <c r="AD477" s="76">
        <f t="shared" si="99"/>
        <v>163.3420006979851</v>
      </c>
      <c r="AE477" s="76">
        <f>MAX(0,(AD477-Constantes!$D$13)*(1-EXP(-Constantes!$D$23)))</f>
        <v>1.1291022765653693</v>
      </c>
      <c r="AF477" s="76">
        <f>AB477+O477*Escenarios!$E$13/Escenarios!$E$16+AE477</f>
        <v>1.1291022765653693</v>
      </c>
      <c r="AG477" s="76">
        <f>IF(Entradas!$E$91&gt;0,IF(AF477-Escenarios!$E$38&lt;=0,0,IF(AF477-Escenarios!$E$38&gt;Escenarios!$E$37,Escenarios!$E$37,AF477-Escenarios!$E$38)),0)</f>
        <v>0</v>
      </c>
      <c r="AH477" s="76">
        <f>AG477*Entradas!$E$99</f>
        <v>0</v>
      </c>
      <c r="AI477" s="76">
        <f>IF(Entradas!$E$91&gt;0,D477*Entradas!$D$23/Escenarios!$E$16,0)</f>
        <v>0</v>
      </c>
      <c r="AJ477" s="76">
        <f>IF(Entradas!$E$91&gt;0,Entradas!$D$24*Entradas!$D$22/Escenarios!$E$16,0)</f>
        <v>0</v>
      </c>
      <c r="AK477" s="76">
        <f t="shared" si="108"/>
        <v>0.41344786106361636</v>
      </c>
      <c r="AL477" s="76">
        <f t="shared" si="109"/>
        <v>0</v>
      </c>
      <c r="AM477" s="76">
        <f t="shared" si="100"/>
        <v>0</v>
      </c>
      <c r="AN477" s="76">
        <f>MAX(0,O477*Escenarios!$E$13/Escenarios!$E$16-AM477)</f>
        <v>0</v>
      </c>
      <c r="AO477" s="76">
        <f>AM477+AN477-O477*Escenarios!$E$13/Escenarios!$E$16</f>
        <v>0</v>
      </c>
      <c r="AP477" s="76">
        <f t="shared" si="98"/>
        <v>1.1291022765653693</v>
      </c>
      <c r="AQ477" s="76">
        <f t="shared" si="101"/>
        <v>0</v>
      </c>
      <c r="AR477" s="76">
        <f t="shared" si="102"/>
        <v>1.1291022765653693</v>
      </c>
      <c r="AS477" s="76">
        <f t="shared" si="103"/>
        <v>0</v>
      </c>
      <c r="AT477" s="76">
        <f t="shared" si="104"/>
        <v>6.2044172184391719E-2</v>
      </c>
      <c r="AU477" s="76">
        <f t="shared" si="105"/>
        <v>48.75</v>
      </c>
      <c r="AV477" s="76">
        <f>MAX(0,(AU477-Constantes!$D$13)*(1-EXP(-Constantes!$D$24)))</f>
        <v>0</v>
      </c>
      <c r="AW477" s="170">
        <f>AW476+(Entradas!$E$112*AT477-AX476)/(800*Entradas!$D$25)</f>
        <v>0</v>
      </c>
      <c r="AX477" s="170">
        <f>8000*Entradas!$D$26*AW477/Constantes!$E$45</f>
        <v>0</v>
      </c>
      <c r="AY477" s="170">
        <f>IF(Escenarios!$E$17&gt;0,10*Escenarios!$E$16*AL477,0)</f>
        <v>0</v>
      </c>
      <c r="AZ477" s="170">
        <f>IF(Escenarios!$E$17&gt;0,10*Escenarios!$E$16*AX477,0)</f>
        <v>0</v>
      </c>
      <c r="BA477" s="170">
        <f>IF(Escenarios!$E$17&gt;0,0.001*Observaciones!$F476*Escenarios!$E$17,0)</f>
        <v>0</v>
      </c>
      <c r="BB477" s="170">
        <f>IF(Escenarios!$E$17&gt;0,Observaciones!$K476,0)</f>
        <v>0</v>
      </c>
      <c r="BC477" s="170">
        <f>IF(Escenarios!$E$17&gt;0,MIN(0.0005*ETo!$M476*Escenarios!$E$17*(BG476/Constantes!$E$40)^(2/3),BG476+AY477+AZ477+BA477+BB477),0)</f>
        <v>29.640996833969865</v>
      </c>
      <c r="BD477" s="170">
        <f>IF(Escenarios!$E$17&gt;0,MIN(Constantes!$E$39*(BG476/Constantes!$E$40)^(2/3),BG476+AY477+AZ477+BA477+BB477-BC477),0)</f>
        <v>59.758111852422068</v>
      </c>
      <c r="BE477" s="170">
        <f>IF(Escenarios!$E$17&gt;0,MIN(Entradas!$E$113,BG476+AY477+AZ477+BA477+BB477-BC477-BD477),0)</f>
        <v>1</v>
      </c>
      <c r="BF477" s="170">
        <f>IF(Escenarios!$E$17&gt;0,MAX(0,BG476+AY477+AZ477+BA477+BB477-BC477-BD477-BE477-Constantes!$E$40),0)</f>
        <v>0</v>
      </c>
      <c r="BG477" s="170">
        <f t="shared" si="110"/>
        <v>4213.5691590766983</v>
      </c>
      <c r="BH477" s="170">
        <f>(Escenarios!$E$16*AK477+0.1*BC477)/(Escenarios!$E$19)</f>
        <v>0.42192882916389313</v>
      </c>
      <c r="BI477" s="170">
        <f>IF(Escenarios!$E$17&gt;0,BF477/10/Escenarios!$E$19,AL477)</f>
        <v>0</v>
      </c>
      <c r="BJ477" s="170">
        <f>(Escenarios!$E$16*AT477+0.1*BD477)/(Escenarios!$E$19)</f>
        <v>8.5265294568810074E-2</v>
      </c>
      <c r="BK477" s="76">
        <f>BK476+(0.1*BD477)/(Escenarios!$E$19)-BL476</f>
        <v>50.723341676876174</v>
      </c>
      <c r="BL477" s="76">
        <f>MAX(0,(BK477-Constantes!$D$13)*(1-EXP(-Constantes!$D$23)))</f>
        <v>1.9443805555629759E-2</v>
      </c>
      <c r="BM477" s="76">
        <f t="shared" si="106"/>
        <v>1.1485460821209992</v>
      </c>
      <c r="BN477" s="76">
        <f t="shared" si="111"/>
        <v>1.1485460821209992</v>
      </c>
      <c r="BO477" s="76">
        <f>0.0526*BI477*Observaciones!$F476^1.218</f>
        <v>0</v>
      </c>
      <c r="BP477" s="76">
        <f>BO477*Constantes!$E$51</f>
        <v>0</v>
      </c>
      <c r="BQ477" s="76">
        <f t="shared" si="107"/>
        <v>0</v>
      </c>
      <c r="BR477" s="40"/>
    </row>
    <row r="478" spans="1:70">
      <c r="A478" s="147"/>
      <c r="B478" s="39"/>
      <c r="C478" s="75">
        <v>472</v>
      </c>
      <c r="D478" s="146">
        <f>ETo!$I477*((1-Constantes!$E$19)*ETo!$K477+ETo!$L477)</f>
        <v>3.4202544305722293</v>
      </c>
      <c r="E478" s="76">
        <f>MIN(D478*Constantes!$E$17,0.8*(N477+Observaciones!$F477-F478-M478-Constantes!$D$14))</f>
        <v>-6.7407199344117433E-3</v>
      </c>
      <c r="F478" s="76">
        <f>IF(Observaciones!$F477&gt;0.05*Constantes!$E$18,((Observaciones!$F477-0.05*Constantes!$E$18)^2)/(Observaciones!$F477+0.95*Constantes!$E$18),0)</f>
        <v>0</v>
      </c>
      <c r="G478" s="76">
        <f>IF(Escenarios!$E$11&gt;0,(F478*Escenarios!$E$16*10000)/1000,0)</f>
        <v>0</v>
      </c>
      <c r="H478" s="76">
        <f>IF(Escenarios!$E$11&gt;0,(Observaciones!$F477*Constantes!$E$29)/1000,0)</f>
        <v>0</v>
      </c>
      <c r="I478" s="76">
        <f>IF(Escenarios!$E$11&gt;0,(D478*Constantes!$E$29)/1000,0)</f>
        <v>34.202544305722292</v>
      </c>
      <c r="J478" s="76">
        <f>IF(Escenarios!$E$11&gt;0,MAX(0,G478+H478-I478),0)</f>
        <v>0</v>
      </c>
      <c r="K478" s="76">
        <f>IF(Escenarios!$E$11&gt;0,IF(J478&gt;Constantes!$E$30,1000*((J478-Constantes!$E$30)/(Escenarios!$E$16*10000)),0),F478)</f>
        <v>0</v>
      </c>
      <c r="L478" s="76">
        <f>IF(Escenarios!$E$11&gt;0,I478*1000/Escenarios!$E$16/10000+E478,E478)</f>
        <v>6.940297787877173E-3</v>
      </c>
      <c r="M478" s="76">
        <f>MAX(0,N477+Observaciones!$F477-K478-Constantes!$D$13)</f>
        <v>0</v>
      </c>
      <c r="N478" s="76">
        <f>N477+Observaciones!$F477-K478-L478-M478-O477</f>
        <v>11.234633802294109</v>
      </c>
      <c r="O478" s="76">
        <f>MAX(0,(N478-Constantes!$D$14)*(1-EXP(-Constantes!$D$22)))</f>
        <v>0</v>
      </c>
      <c r="P478" s="170">
        <f>P477+(Entradas!$E$83*M478-Q477)/(800*Entradas!$D$25)</f>
        <v>0</v>
      </c>
      <c r="Q478" s="170">
        <f>8000*Entradas!$D$26*P478/Constantes!$E$45</f>
        <v>0</v>
      </c>
      <c r="R478" s="170">
        <f>IF(Escenarios!$E$14&gt;0,K478*Escenarios!$E$13/Escenarios!$E$14,0)</f>
        <v>0</v>
      </c>
      <c r="S478" s="170">
        <f>IF(Escenarios!$E$14&gt;0,Q478*Escenarios!$E$13/Escenarios!$E$14,0)</f>
        <v>0</v>
      </c>
      <c r="T478" s="170">
        <f>IF(Escenarios!$E$14&gt;0,Observaciones!$I477,0)</f>
        <v>0</v>
      </c>
      <c r="U478" s="170">
        <f>IF(Escenarios!$E$14&gt;0,MAX(0,Constantes!$E$36/((Z477+R478+S478+T478+Observaciones!$F477)^2)+Entradas!$E$77),0)</f>
        <v>0.20753765287426029</v>
      </c>
      <c r="V478" s="146">
        <f>IF(ETo!D477&gt;0,ETo!I477*((1-Entradas!$E$81)*ETo!K477+ETo!L477),0)</f>
        <v>3.1063536319178122</v>
      </c>
      <c r="W478" s="170">
        <f>IF(Escenarios!$E$14&gt;0,MIN(V478*1,0.8*(Z477+R478+S478+T478+Observaciones!$F477-U478-Constantes!$E$35)),0)</f>
        <v>3.1063536319178122</v>
      </c>
      <c r="X478" s="170">
        <f>IF(Escenarios!$E$14&gt;0,Observaciones!$J477,0)</f>
        <v>0</v>
      </c>
      <c r="Y478" s="170">
        <f>IF(Escenarios!$E$14&gt;0,MAX(0,Z477+R478+S478+T478+Observaciones!$F477-U478-W478-X478-Constantes!$E$33),0)</f>
        <v>0</v>
      </c>
      <c r="Z478" s="170">
        <f>Z477+R478+S478+T478+Observaciones!$F477-U478-W478-Y478</f>
        <v>57.321031727837394</v>
      </c>
      <c r="AA478" s="170">
        <f>IF(Escenarios!$E$14&gt;0,(Escenarios!$E$13*L478+Escenarios!$E$14*W478)/(Escenarios!$E$16),L478)</f>
        <v>0.37886989788346936</v>
      </c>
      <c r="AB478" s="170">
        <f>IF(Escenarios!$E$14&gt;0,(Escenarios!$E$14*Y478)/(Escenarios!$E$16),K478)</f>
        <v>0</v>
      </c>
      <c r="AC478" s="170">
        <f>IF(Escenarios!$E$14&gt;0,(Escenarios!$E$13*M478+Escenarios!$E$14*U478)/(Escenarios!$E$16),M478)</f>
        <v>2.4904518344911235E-2</v>
      </c>
      <c r="AD478" s="76">
        <f t="shared" si="99"/>
        <v>162.23780293976463</v>
      </c>
      <c r="AE478" s="76">
        <f>MAX(0,(AD478-Constantes!$D$13)*(1-EXP(-Constantes!$D$23)))</f>
        <v>1.1182223530542075</v>
      </c>
      <c r="AF478" s="76">
        <f>AB478+O478*Escenarios!$E$13/Escenarios!$E$16+AE478</f>
        <v>1.1182223530542075</v>
      </c>
      <c r="AG478" s="76">
        <f>IF(Entradas!$E$91&gt;0,IF(AF478-Escenarios!$E$38&lt;=0,0,IF(AF478-Escenarios!$E$38&gt;Escenarios!$E$37,Escenarios!$E$37,AF478-Escenarios!$E$38)),0)</f>
        <v>0</v>
      </c>
      <c r="AH478" s="76">
        <f>AG478*Entradas!$E$99</f>
        <v>0</v>
      </c>
      <c r="AI478" s="76">
        <f>IF(Entradas!$E$91&gt;0,D478*Entradas!$D$23/Escenarios!$E$16,0)</f>
        <v>0</v>
      </c>
      <c r="AJ478" s="76">
        <f>IF(Entradas!$E$91&gt;0,Entradas!$D$24*Entradas!$D$22/Escenarios!$E$16,0)</f>
        <v>0</v>
      </c>
      <c r="AK478" s="76">
        <f t="shared" si="108"/>
        <v>0.37886989788346936</v>
      </c>
      <c r="AL478" s="76">
        <f t="shared" si="109"/>
        <v>0</v>
      </c>
      <c r="AM478" s="76">
        <f t="shared" si="100"/>
        <v>0</v>
      </c>
      <c r="AN478" s="76">
        <f>MAX(0,O478*Escenarios!$E$13/Escenarios!$E$16-AM478)</f>
        <v>0</v>
      </c>
      <c r="AO478" s="76">
        <f>AM478+AN478-O478*Escenarios!$E$13/Escenarios!$E$16</f>
        <v>0</v>
      </c>
      <c r="AP478" s="76">
        <f t="shared" si="98"/>
        <v>1.1182223530542075</v>
      </c>
      <c r="AQ478" s="76">
        <f t="shared" si="101"/>
        <v>0</v>
      </c>
      <c r="AR478" s="76">
        <f t="shared" si="102"/>
        <v>1.1182223530542075</v>
      </c>
      <c r="AS478" s="76">
        <f t="shared" si="103"/>
        <v>0</v>
      </c>
      <c r="AT478" s="76">
        <f t="shared" si="104"/>
        <v>2.4904518344911235E-2</v>
      </c>
      <c r="AU478" s="76">
        <f t="shared" si="105"/>
        <v>48.75</v>
      </c>
      <c r="AV478" s="76">
        <f>MAX(0,(AU478-Constantes!$D$13)*(1-EXP(-Constantes!$D$24)))</f>
        <v>0</v>
      </c>
      <c r="AW478" s="170">
        <f>AW477+(Entradas!$E$112*AT478-AX477)/(800*Entradas!$D$25)</f>
        <v>0</v>
      </c>
      <c r="AX478" s="170">
        <f>8000*Entradas!$D$26*AW478/Constantes!$E$45</f>
        <v>0</v>
      </c>
      <c r="AY478" s="170">
        <f>IF(Escenarios!$E$17&gt;0,10*Escenarios!$E$16*AL478,0)</f>
        <v>0</v>
      </c>
      <c r="AZ478" s="170">
        <f>IF(Escenarios!$E$17&gt;0,10*Escenarios!$E$16*AX478,0)</f>
        <v>0</v>
      </c>
      <c r="BA478" s="170">
        <f>IF(Escenarios!$E$17&gt;0,0.001*Observaciones!$F477*Escenarios!$E$17,0)</f>
        <v>0</v>
      </c>
      <c r="BB478" s="170">
        <f>IF(Escenarios!$E$17&gt;0,Observaciones!$K477,0)</f>
        <v>0</v>
      </c>
      <c r="BC478" s="170">
        <f>IF(Escenarios!$E$17&gt;0,MIN(0.0005*ETo!$M477*Escenarios!$E$17*(BG477/Constantes!$E$40)^(2/3),BG477+AY478+AZ478+BA478+BB478),0)</f>
        <v>28.827199004650932</v>
      </c>
      <c r="BD478" s="170">
        <f>IF(Escenarios!$E$17&gt;0,MIN(Constantes!$E$39*(BG477/Constantes!$E$40)^(2/3),BG477+AY478+AZ478+BA478+BB478-BC478),0)</f>
        <v>58.918395414893439</v>
      </c>
      <c r="BE478" s="170">
        <f>IF(Escenarios!$E$17&gt;0,MIN(Entradas!$E$113,BG477+AY478+AZ478+BA478+BB478-BC478-BD478),0)</f>
        <v>1</v>
      </c>
      <c r="BF478" s="170">
        <f>IF(Escenarios!$E$17&gt;0,MAX(0,BG477+AY478+AZ478+BA478+BB478-BC478-BD478-BE478-Constantes!$E$40),0)</f>
        <v>0</v>
      </c>
      <c r="BG478" s="170">
        <f t="shared" si="110"/>
        <v>4124.8235646571538</v>
      </c>
      <c r="BH478" s="170">
        <f>(Escenarios!$E$16*AK478+0.1*BC478)/(Escenarios!$E$19)</f>
        <v>0.38730235861639856</v>
      </c>
      <c r="BI478" s="170">
        <f>IF(Escenarios!$E$17&gt;0,BF478/10/Escenarios!$E$19,AL478)</f>
        <v>0</v>
      </c>
      <c r="BJ478" s="170">
        <f>(Escenarios!$E$16*AT478+0.1*BD478)/(Escenarios!$E$19)</f>
        <v>4.808717907824267E-2</v>
      </c>
      <c r="BK478" s="76">
        <f>BK477+(0.1*BD478)/(Escenarios!$E$19)-BL477</f>
        <v>50.727278186961371</v>
      </c>
      <c r="BL478" s="76">
        <f>MAX(0,(BK478-Constantes!$D$13)*(1-EXP(-Constantes!$D$23)))</f>
        <v>1.9482592927102856E-2</v>
      </c>
      <c r="BM478" s="76">
        <f t="shared" si="106"/>
        <v>1.1377049459813102</v>
      </c>
      <c r="BN478" s="76">
        <f t="shared" si="111"/>
        <v>1.1377049459813102</v>
      </c>
      <c r="BO478" s="76">
        <f>0.0526*BI478*Observaciones!$F477^1.218</f>
        <v>0</v>
      </c>
      <c r="BP478" s="76">
        <f>BO478*Constantes!$E$51</f>
        <v>0</v>
      </c>
      <c r="BQ478" s="76">
        <f t="shared" si="107"/>
        <v>0</v>
      </c>
      <c r="BR478" s="40"/>
    </row>
    <row r="479" spans="1:70">
      <c r="A479" s="147"/>
      <c r="B479" s="39"/>
      <c r="C479" s="75">
        <v>473</v>
      </c>
      <c r="D479" s="146">
        <f>ETo!$I478*((1-Constantes!$E$19)*ETo!$K478+ETo!$L478)</f>
        <v>3.4735257742965242</v>
      </c>
      <c r="E479" s="76">
        <f>MIN(D479*Constantes!$E$17,0.8*(N478+Observaciones!$F478-F479-M479-Constantes!$D$14))</f>
        <v>0.54770704183528662</v>
      </c>
      <c r="F479" s="76">
        <f>IF(Observaciones!$F478&gt;0.05*Constantes!$E$18,((Observaciones!$F478-0.05*Constantes!$E$18)^2)/(Observaciones!$F478+0.95*Constantes!$E$18),0)</f>
        <v>0</v>
      </c>
      <c r="G479" s="76">
        <f>IF(Escenarios!$E$11&gt;0,(F479*Escenarios!$E$16*10000)/1000,0)</f>
        <v>0</v>
      </c>
      <c r="H479" s="76">
        <f>IF(Escenarios!$E$11&gt;0,(Observaciones!$F478*Constantes!$E$29)/1000,0)</f>
        <v>7</v>
      </c>
      <c r="I479" s="76">
        <f>IF(Escenarios!$E$11&gt;0,(D479*Constantes!$E$29)/1000,0)</f>
        <v>34.735257742965246</v>
      </c>
      <c r="J479" s="76">
        <f>IF(Escenarios!$E$11&gt;0,MAX(0,G479+H479-I479),0)</f>
        <v>0</v>
      </c>
      <c r="K479" s="76">
        <f>IF(Escenarios!$E$11&gt;0,IF(J479&gt;Constantes!$E$30,1000*((J479-Constantes!$E$30)/(Escenarios!$E$16*10000)),0),F479)</f>
        <v>0</v>
      </c>
      <c r="L479" s="76">
        <f>IF(Escenarios!$E$11&gt;0,I479*1000/Escenarios!$E$16/10000+E479,E479)</f>
        <v>0.56160114493247271</v>
      </c>
      <c r="M479" s="76">
        <f>MAX(0,N478+Observaciones!$F478-K479-Constantes!$D$13)</f>
        <v>0</v>
      </c>
      <c r="N479" s="76">
        <f>N478+Observaciones!$F478-K479-L479-M479-O478</f>
        <v>11.373032657361636</v>
      </c>
      <c r="O479" s="76">
        <f>MAX(0,(N479-Constantes!$D$14)*(1-EXP(-Constantes!$D$22)))</f>
        <v>4.190943971868929E-3</v>
      </c>
      <c r="P479" s="170">
        <f>P478+(Entradas!$E$83*M479-Q478)/(800*Entradas!$D$25)</f>
        <v>0</v>
      </c>
      <c r="Q479" s="170">
        <f>8000*Entradas!$D$26*P479/Constantes!$E$45</f>
        <v>0</v>
      </c>
      <c r="R479" s="170">
        <f>IF(Escenarios!$E$14&gt;0,K479*Escenarios!$E$13/Escenarios!$E$14,0)</f>
        <v>0</v>
      </c>
      <c r="S479" s="170">
        <f>IF(Escenarios!$E$14&gt;0,Q479*Escenarios!$E$13/Escenarios!$E$14,0)</f>
        <v>0</v>
      </c>
      <c r="T479" s="170">
        <f>IF(Escenarios!$E$14&gt;0,Observaciones!$I478,0)</f>
        <v>0</v>
      </c>
      <c r="U479" s="170">
        <f>IF(Escenarios!$E$14&gt;0,MAX(0,Constantes!$E$36/((Z478+R479+S479+T479+Observaciones!$F478)^2)+Entradas!$E$77),0)</f>
        <v>0</v>
      </c>
      <c r="V479" s="146">
        <f>IF(ETo!D478&gt;0,ETo!I478*((1-Entradas!$E$81)*ETo!K478+ETo!L478),0)</f>
        <v>3.1550296874992338</v>
      </c>
      <c r="W479" s="170">
        <f>IF(Escenarios!$E$14&gt;0,MIN(V479*1,0.8*(Z478+R479+S479+T479+Observaciones!$F478-U479-Constantes!$E$35)),0)</f>
        <v>3.1550296874992338</v>
      </c>
      <c r="X479" s="170">
        <f>IF(Escenarios!$E$14&gt;0,Observaciones!$J478,0)</f>
        <v>0</v>
      </c>
      <c r="Y479" s="170">
        <f>IF(Escenarios!$E$14&gt;0,MAX(0,Z478+R479+S479+T479+Observaciones!$F478-U479-W479-X479-Constantes!$E$33),0)</f>
        <v>0</v>
      </c>
      <c r="Z479" s="170">
        <f>Z478+R479+S479+T479+Observaciones!$F478-U479-W479-Y479</f>
        <v>54.866002040338159</v>
      </c>
      <c r="AA479" s="170">
        <f>IF(Escenarios!$E$14&gt;0,(Escenarios!$E$13*L479+Escenarios!$E$14*W479)/(Escenarios!$E$16),L479)</f>
        <v>0.87281257004048396</v>
      </c>
      <c r="AB479" s="170">
        <f>IF(Escenarios!$E$14&gt;0,(Escenarios!$E$14*Y479)/(Escenarios!$E$16),K479)</f>
        <v>0</v>
      </c>
      <c r="AC479" s="170">
        <f>IF(Escenarios!$E$14&gt;0,(Escenarios!$E$13*M479+Escenarios!$E$14*U479)/(Escenarios!$E$16),M479)</f>
        <v>0</v>
      </c>
      <c r="AD479" s="76">
        <f t="shared" si="99"/>
        <v>161.11958058671041</v>
      </c>
      <c r="AE479" s="76">
        <f>MAX(0,(AD479-Constantes!$D$13)*(1-EXP(-Constantes!$D$23)))</f>
        <v>1.1072042418697501</v>
      </c>
      <c r="AF479" s="76">
        <f>AB479+O479*Escenarios!$E$13/Escenarios!$E$16+AE479</f>
        <v>1.1108922725649948</v>
      </c>
      <c r="AG479" s="76">
        <f>IF(Entradas!$E$91&gt;0,IF(AF479-Escenarios!$E$38&lt;=0,0,IF(AF479-Escenarios!$E$38&gt;Escenarios!$E$37,Escenarios!$E$37,AF479-Escenarios!$E$38)),0)</f>
        <v>0</v>
      </c>
      <c r="AH479" s="76">
        <f>AG479*Entradas!$E$99</f>
        <v>0</v>
      </c>
      <c r="AI479" s="76">
        <f>IF(Entradas!$E$91&gt;0,D479*Entradas!$D$23/Escenarios!$E$16,0)</f>
        <v>0</v>
      </c>
      <c r="AJ479" s="76">
        <f>IF(Entradas!$E$91&gt;0,Entradas!$D$24*Entradas!$D$22/Escenarios!$E$16,0)</f>
        <v>0</v>
      </c>
      <c r="AK479" s="76">
        <f t="shared" si="108"/>
        <v>0.87281257004048396</v>
      </c>
      <c r="AL479" s="76">
        <f t="shared" si="109"/>
        <v>0</v>
      </c>
      <c r="AM479" s="76">
        <f t="shared" si="100"/>
        <v>0</v>
      </c>
      <c r="AN479" s="76">
        <f>MAX(0,O479*Escenarios!$E$13/Escenarios!$E$16-AM479)</f>
        <v>3.6880306952446571E-3</v>
      </c>
      <c r="AO479" s="76">
        <f>AM479+AN479-O479*Escenarios!$E$13/Escenarios!$E$16</f>
        <v>0</v>
      </c>
      <c r="AP479" s="76">
        <f t="shared" si="98"/>
        <v>1.1072042418697501</v>
      </c>
      <c r="AQ479" s="76">
        <f t="shared" si="101"/>
        <v>0</v>
      </c>
      <c r="AR479" s="76">
        <f t="shared" si="102"/>
        <v>1.1108922725649948</v>
      </c>
      <c r="AS479" s="76">
        <f t="shared" si="103"/>
        <v>0</v>
      </c>
      <c r="AT479" s="76">
        <f t="shared" si="104"/>
        <v>0</v>
      </c>
      <c r="AU479" s="76">
        <f t="shared" si="105"/>
        <v>48.75</v>
      </c>
      <c r="AV479" s="76">
        <f>MAX(0,(AU479-Constantes!$D$13)*(1-EXP(-Constantes!$D$24)))</f>
        <v>0</v>
      </c>
      <c r="AW479" s="170">
        <f>AW478+(Entradas!$E$112*AT479-AX478)/(800*Entradas!$D$25)</f>
        <v>0</v>
      </c>
      <c r="AX479" s="170">
        <f>8000*Entradas!$D$26*AW479/Constantes!$E$45</f>
        <v>0</v>
      </c>
      <c r="AY479" s="170">
        <f>IF(Escenarios!$E$17&gt;0,10*Escenarios!$E$16*AL479,0)</f>
        <v>0</v>
      </c>
      <c r="AZ479" s="170">
        <f>IF(Escenarios!$E$17&gt;0,10*Escenarios!$E$16*AX479,0)</f>
        <v>0</v>
      </c>
      <c r="BA479" s="170">
        <f>IF(Escenarios!$E$17&gt;0,0.001*Observaciones!$F478*Escenarios!$E$17,0)</f>
        <v>14</v>
      </c>
      <c r="BB479" s="170">
        <f>IF(Escenarios!$E$17&gt;0,Observaciones!$K478,0)</f>
        <v>0</v>
      </c>
      <c r="BC479" s="170">
        <f>IF(Escenarios!$E$17&gt;0,MIN(0.0005*ETo!$M478*Escenarios!$E$17*(BG478/Constantes!$E$40)^(2/3),BG478+AY479+AZ479+BA479+BB479),0)</f>
        <v>28.860302648692656</v>
      </c>
      <c r="BD479" s="170">
        <f>IF(Escenarios!$E$17&gt;0,MIN(Constantes!$E$39*(BG478/Constantes!$E$40)^(2/3),BG478+AY479+AZ479+BA479+BB479-BC479),0)</f>
        <v>58.088176613950694</v>
      </c>
      <c r="BE479" s="170">
        <f>IF(Escenarios!$E$17&gt;0,MIN(Entradas!$E$113,BG478+AY479+AZ479+BA479+BB479-BC479-BD479),0)</f>
        <v>1</v>
      </c>
      <c r="BF479" s="170">
        <f>IF(Escenarios!$E$17&gt;0,MAX(0,BG478+AY479+AZ479+BA479+BB479-BC479-BD479-BE479-Constantes!$E$40),0)</f>
        <v>0</v>
      </c>
      <c r="BG479" s="170">
        <f t="shared" si="110"/>
        <v>4050.8750853945107</v>
      </c>
      <c r="BH479" s="170">
        <f>(Escenarios!$E$16*AK479+0.1*BC479)/(Escenarios!$E$19)</f>
        <v>0.87733798720234235</v>
      </c>
      <c r="BI479" s="170">
        <f>IF(Escenarios!$E$17&gt;0,BF479/10/Escenarios!$E$19,AL479)</f>
        <v>0</v>
      </c>
      <c r="BJ479" s="170">
        <f>(Escenarios!$E$16*AT479+0.1*BD479)/(Escenarios!$E$19)</f>
        <v>2.3050863735694722E-2</v>
      </c>
      <c r="BK479" s="76">
        <f>BK478+(0.1*BD479)/(Escenarios!$E$19)-BL478</f>
        <v>50.730846457769964</v>
      </c>
      <c r="BL479" s="76">
        <f>MAX(0,(BK479-Constantes!$D$13)*(1-EXP(-Constantes!$D$23)))</f>
        <v>1.9517751949275814E-2</v>
      </c>
      <c r="BM479" s="76">
        <f t="shared" si="106"/>
        <v>1.1267219938190258</v>
      </c>
      <c r="BN479" s="76">
        <f t="shared" si="111"/>
        <v>1.1304100245142705</v>
      </c>
      <c r="BO479" s="76">
        <f>0.0526*BI479*Observaciones!$F478^1.218</f>
        <v>0</v>
      </c>
      <c r="BP479" s="76">
        <f>BO479*Constantes!$E$51</f>
        <v>0</v>
      </c>
      <c r="BQ479" s="76">
        <f t="shared" si="107"/>
        <v>0</v>
      </c>
      <c r="BR479" s="40"/>
    </row>
    <row r="480" spans="1:70">
      <c r="A480" s="147"/>
      <c r="B480" s="39"/>
      <c r="C480" s="75">
        <v>474</v>
      </c>
      <c r="D480" s="146">
        <f>ETo!$I479*((1-Constantes!$E$19)*ETo!$K479+ETo!$L479)</f>
        <v>3.500073428446278</v>
      </c>
      <c r="E480" s="76">
        <f>MIN(D480*Constantes!$E$17,0.8*(N479+Observaciones!$F479-F480-M480-Constantes!$D$14))</f>
        <v>0.49842612588930851</v>
      </c>
      <c r="F480" s="76">
        <f>IF(Observaciones!$F479&gt;0.05*Constantes!$E$18,((Observaciones!$F479-0.05*Constantes!$E$18)^2)/(Observaciones!$F479+0.95*Constantes!$E$18),0)</f>
        <v>0</v>
      </c>
      <c r="G480" s="76">
        <f>IF(Escenarios!$E$11&gt;0,(F480*Escenarios!$E$16*10000)/1000,0)</f>
        <v>0</v>
      </c>
      <c r="H480" s="76">
        <f>IF(Escenarios!$E$11&gt;0,(Observaciones!$F479*Constantes!$E$29)/1000,0)</f>
        <v>5</v>
      </c>
      <c r="I480" s="76">
        <f>IF(Escenarios!$E$11&gt;0,(D480*Constantes!$E$29)/1000,0)</f>
        <v>35.00073428446278</v>
      </c>
      <c r="J480" s="76">
        <f>IF(Escenarios!$E$11&gt;0,MAX(0,G480+H480-I480),0)</f>
        <v>0</v>
      </c>
      <c r="K480" s="76">
        <f>IF(Escenarios!$E$11&gt;0,IF(J480&gt;Constantes!$E$30,1000*((J480-Constantes!$E$30)/(Escenarios!$E$16*10000)),0),F480)</f>
        <v>0</v>
      </c>
      <c r="L480" s="76">
        <f>IF(Escenarios!$E$11&gt;0,I480*1000/Escenarios!$E$16/10000+E480,E480)</f>
        <v>0.51242641960309365</v>
      </c>
      <c r="M480" s="76">
        <f>MAX(0,N479+Observaciones!$F479-K480-Constantes!$D$13)</f>
        <v>0</v>
      </c>
      <c r="N480" s="76">
        <f>N479+Observaciones!$F479-K480-L480-M480-O479</f>
        <v>11.356415293786673</v>
      </c>
      <c r="O480" s="76">
        <f>MAX(0,(N480-Constantes!$D$14)*(1-EXP(-Constantes!$D$22)))</f>
        <v>3.6248955649151632E-3</v>
      </c>
      <c r="P480" s="170">
        <f>P479+(Entradas!$E$83*M480-Q479)/(800*Entradas!$D$25)</f>
        <v>0</v>
      </c>
      <c r="Q480" s="170">
        <f>8000*Entradas!$D$26*P480/Constantes!$E$45</f>
        <v>0</v>
      </c>
      <c r="R480" s="170">
        <f>IF(Escenarios!$E$14&gt;0,K480*Escenarios!$E$13/Escenarios!$E$14,0)</f>
        <v>0</v>
      </c>
      <c r="S480" s="170">
        <f>IF(Escenarios!$E$14&gt;0,Q480*Escenarios!$E$13/Escenarios!$E$14,0)</f>
        <v>0</v>
      </c>
      <c r="T480" s="170">
        <f>IF(Escenarios!$E$14&gt;0,Observaciones!$I479,0)</f>
        <v>0</v>
      </c>
      <c r="U480" s="170">
        <f>IF(Escenarios!$E$14&gt;0,MAX(0,Constantes!$E$36/((Z479+R480+S480+T480+Observaciones!$F479)^2)+Entradas!$E$77),0)</f>
        <v>0</v>
      </c>
      <c r="V480" s="146">
        <f>IF(ETo!D479&gt;0,ETo!I479*((1-Entradas!$E$81)*ETo!K479+ETo!L479),0)</f>
        <v>3.1792086420117447</v>
      </c>
      <c r="W480" s="170">
        <f>IF(Escenarios!$E$14&gt;0,MIN(V480*1,0.8*(Z479+R480+S480+T480+Observaciones!$F479-U480-Constantes!$E$35)),0)</f>
        <v>3.1792086420117447</v>
      </c>
      <c r="X480" s="170">
        <f>IF(Escenarios!$E$14&gt;0,Observaciones!$J479,0)</f>
        <v>0</v>
      </c>
      <c r="Y480" s="170">
        <f>IF(Escenarios!$E$14&gt;0,MAX(0,Z479+R480+S480+T480+Observaciones!$F479-U480-W480-X480-Constantes!$E$33),0)</f>
        <v>0</v>
      </c>
      <c r="Z480" s="170">
        <f>Z479+R480+S480+T480+Observaciones!$F479-U480-W480-Y480</f>
        <v>52.186793398326415</v>
      </c>
      <c r="AA480" s="170">
        <f>IF(Escenarios!$E$14&gt;0,(Escenarios!$E$13*L480+Escenarios!$E$14*W480)/(Escenarios!$E$16),L480)</f>
        <v>0.83244028629213174</v>
      </c>
      <c r="AB480" s="170">
        <f>IF(Escenarios!$E$14&gt;0,(Escenarios!$E$14*Y480)/(Escenarios!$E$16),K480)</f>
        <v>0</v>
      </c>
      <c r="AC480" s="170">
        <f>IF(Escenarios!$E$14&gt;0,(Escenarios!$E$13*M480+Escenarios!$E$14*U480)/(Escenarios!$E$16),M480)</f>
        <v>0</v>
      </c>
      <c r="AD480" s="76">
        <f t="shared" si="99"/>
        <v>160.01237634484067</v>
      </c>
      <c r="AE480" s="76">
        <f>MAX(0,(AD480-Constantes!$D$13)*(1-EXP(-Constantes!$D$23)))</f>
        <v>1.0962946947591032</v>
      </c>
      <c r="AF480" s="76">
        <f>AB480+O480*Escenarios!$E$13/Escenarios!$E$16+AE480</f>
        <v>1.0994846028562286</v>
      </c>
      <c r="AG480" s="76">
        <f>IF(Entradas!$E$91&gt;0,IF(AF480-Escenarios!$E$38&lt;=0,0,IF(AF480-Escenarios!$E$38&gt;Escenarios!$E$37,Escenarios!$E$37,AF480-Escenarios!$E$38)),0)</f>
        <v>0</v>
      </c>
      <c r="AH480" s="76">
        <f>AG480*Entradas!$E$99</f>
        <v>0</v>
      </c>
      <c r="AI480" s="76">
        <f>IF(Entradas!$E$91&gt;0,D480*Entradas!$D$23/Escenarios!$E$16,0)</f>
        <v>0</v>
      </c>
      <c r="AJ480" s="76">
        <f>IF(Entradas!$E$91&gt;0,Entradas!$D$24*Entradas!$D$22/Escenarios!$E$16,0)</f>
        <v>0</v>
      </c>
      <c r="AK480" s="76">
        <f t="shared" si="108"/>
        <v>0.83244028629213174</v>
      </c>
      <c r="AL480" s="76">
        <f t="shared" si="109"/>
        <v>0</v>
      </c>
      <c r="AM480" s="76">
        <f t="shared" si="100"/>
        <v>0</v>
      </c>
      <c r="AN480" s="76">
        <f>MAX(0,O480*Escenarios!$E$13/Escenarios!$E$16-AM480)</f>
        <v>3.1899080971253438E-3</v>
      </c>
      <c r="AO480" s="76">
        <f>AM480+AN480-O480*Escenarios!$E$13/Escenarios!$E$16</f>
        <v>0</v>
      </c>
      <c r="AP480" s="76">
        <f t="shared" si="98"/>
        <v>1.0962946947591032</v>
      </c>
      <c r="AQ480" s="76">
        <f t="shared" si="101"/>
        <v>0</v>
      </c>
      <c r="AR480" s="76">
        <f t="shared" si="102"/>
        <v>1.0994846028562286</v>
      </c>
      <c r="AS480" s="76">
        <f t="shared" si="103"/>
        <v>0</v>
      </c>
      <c r="AT480" s="76">
        <f t="shared" si="104"/>
        <v>0</v>
      </c>
      <c r="AU480" s="76">
        <f t="shared" si="105"/>
        <v>48.75</v>
      </c>
      <c r="AV480" s="76">
        <f>MAX(0,(AU480-Constantes!$D$13)*(1-EXP(-Constantes!$D$24)))</f>
        <v>0</v>
      </c>
      <c r="AW480" s="170">
        <f>AW479+(Entradas!$E$112*AT480-AX479)/(800*Entradas!$D$25)</f>
        <v>0</v>
      </c>
      <c r="AX480" s="170">
        <f>8000*Entradas!$D$26*AW480/Constantes!$E$45</f>
        <v>0</v>
      </c>
      <c r="AY480" s="170">
        <f>IF(Escenarios!$E$17&gt;0,10*Escenarios!$E$16*AL480,0)</f>
        <v>0</v>
      </c>
      <c r="AZ480" s="170">
        <f>IF(Escenarios!$E$17&gt;0,10*Escenarios!$E$16*AX480,0)</f>
        <v>0</v>
      </c>
      <c r="BA480" s="170">
        <f>IF(Escenarios!$E$17&gt;0,0.001*Observaciones!$F479*Escenarios!$E$17,0)</f>
        <v>10</v>
      </c>
      <c r="BB480" s="170">
        <f>IF(Escenarios!$E$17&gt;0,Observaciones!$K479,0)</f>
        <v>0</v>
      </c>
      <c r="BC480" s="170">
        <f>IF(Escenarios!$E$17&gt;0,MIN(0.0005*ETo!$M479*Escenarios!$E$17*(BG479/Constantes!$E$40)^(2/3),BG479+AY480+AZ480+BA480+BB480),0)</f>
        <v>28.731522994373975</v>
      </c>
      <c r="BD480" s="170">
        <f>IF(Escenarios!$E$17&gt;0,MIN(Constantes!$E$39*(BG479/Constantes!$E$40)^(2/3),BG479+AY480+AZ480+BA480+BB480-BC480),0)</f>
        <v>57.391828367047893</v>
      </c>
      <c r="BE480" s="170">
        <f>IF(Escenarios!$E$17&gt;0,MIN(Entradas!$E$113,BG479+AY480+AZ480+BA480+BB480-BC480-BD480),0)</f>
        <v>1</v>
      </c>
      <c r="BF480" s="170">
        <f>IF(Escenarios!$E$17&gt;0,MAX(0,BG479+AY480+AZ480+BA480+BB480-BC480-BD480-BE480-Constantes!$E$40),0)</f>
        <v>0</v>
      </c>
      <c r="BG480" s="170">
        <f t="shared" si="110"/>
        <v>3973.7517340330892</v>
      </c>
      <c r="BH480" s="170">
        <f>(Escenarios!$E$16*AK480+0.1*BC480)/(Escenarios!$E$19)</f>
        <v>0.83723501536694578</v>
      </c>
      <c r="BI480" s="170">
        <f>IF(Escenarios!$E$17&gt;0,BF480/10/Escenarios!$E$19,AL480)</f>
        <v>0</v>
      </c>
      <c r="BJ480" s="170">
        <f>(Escenarios!$E$16*AT480+0.1*BD480)/(Escenarios!$E$19)</f>
        <v>2.2774535066288848E-2</v>
      </c>
      <c r="BK480" s="76">
        <f>BK479+(0.1*BD480)/(Escenarios!$E$19)-BL479</f>
        <v>50.734103240886981</v>
      </c>
      <c r="BL480" s="76">
        <f>MAX(0,(BK480-Constantes!$D$13)*(1-EXP(-Constantes!$D$23)))</f>
        <v>1.9549841809033085E-2</v>
      </c>
      <c r="BM480" s="76">
        <f t="shared" si="106"/>
        <v>1.1158445365681364</v>
      </c>
      <c r="BN480" s="76">
        <f t="shared" si="111"/>
        <v>1.1190344446652618</v>
      </c>
      <c r="BO480" s="76">
        <f>0.0526*BI480*Observaciones!$F479^1.218</f>
        <v>0</v>
      </c>
      <c r="BP480" s="76">
        <f>BO480*Constantes!$E$51</f>
        <v>0</v>
      </c>
      <c r="BQ480" s="76">
        <f t="shared" si="107"/>
        <v>0</v>
      </c>
      <c r="BR480" s="40"/>
    </row>
    <row r="481" spans="1:70">
      <c r="A481" s="147"/>
      <c r="B481" s="39"/>
      <c r="C481" s="75">
        <v>475</v>
      </c>
      <c r="D481" s="146">
        <f>ETo!$I480*((1-Constantes!$E$19)*ETo!$K480+ETo!$L480)</f>
        <v>3.5488102990920947</v>
      </c>
      <c r="E481" s="76">
        <f>MIN(D481*Constantes!$E$17,0.8*(N480+Observaciones!$F480-F481-M481-Constantes!$D$14))</f>
        <v>8.5132235029338699E-2</v>
      </c>
      <c r="F481" s="76">
        <f>IF(Observaciones!$F480&gt;0.05*Constantes!$E$18,((Observaciones!$F480-0.05*Constantes!$E$18)^2)/(Observaciones!$F480+0.95*Constantes!$E$18),0)</f>
        <v>0</v>
      </c>
      <c r="G481" s="76">
        <f>IF(Escenarios!$E$11&gt;0,(F481*Escenarios!$E$16*10000)/1000,0)</f>
        <v>0</v>
      </c>
      <c r="H481" s="76">
        <f>IF(Escenarios!$E$11&gt;0,(Observaciones!$F480*Constantes!$E$29)/1000,0)</f>
        <v>0</v>
      </c>
      <c r="I481" s="76">
        <f>IF(Escenarios!$E$11&gt;0,(D481*Constantes!$E$29)/1000,0)</f>
        <v>35.488102990920943</v>
      </c>
      <c r="J481" s="76">
        <f>IF(Escenarios!$E$11&gt;0,MAX(0,G481+H481-I481),0)</f>
        <v>0</v>
      </c>
      <c r="K481" s="76">
        <f>IF(Escenarios!$E$11&gt;0,IF(J481&gt;Constantes!$E$30,1000*((J481-Constantes!$E$30)/(Escenarios!$E$16*10000)),0),F481)</f>
        <v>0</v>
      </c>
      <c r="L481" s="76">
        <f>IF(Escenarios!$E$11&gt;0,I481*1000/Escenarios!$E$16/10000+E481,E481)</f>
        <v>9.9327476225707076E-2</v>
      </c>
      <c r="M481" s="76">
        <f>MAX(0,N480+Observaciones!$F480-K481-Constantes!$D$13)</f>
        <v>0</v>
      </c>
      <c r="N481" s="76">
        <f>N480+Observaciones!$F480-K481-L481-M481-O480</f>
        <v>11.253462921996052</v>
      </c>
      <c r="O481" s="76">
        <f>MAX(0,(N481-Constantes!$D$14)*(1-EXP(-Constantes!$D$22)))</f>
        <v>1.1795983583242579E-4</v>
      </c>
      <c r="P481" s="170">
        <f>P480+(Entradas!$E$83*M481-Q480)/(800*Entradas!$D$25)</f>
        <v>0</v>
      </c>
      <c r="Q481" s="170">
        <f>8000*Entradas!$D$26*P481/Constantes!$E$45</f>
        <v>0</v>
      </c>
      <c r="R481" s="170">
        <f>IF(Escenarios!$E$14&gt;0,K481*Escenarios!$E$13/Escenarios!$E$14,0)</f>
        <v>0</v>
      </c>
      <c r="S481" s="170">
        <f>IF(Escenarios!$E$14&gt;0,Q481*Escenarios!$E$13/Escenarios!$E$14,0)</f>
        <v>0</v>
      </c>
      <c r="T481" s="170">
        <f>IF(Escenarios!$E$14&gt;0,Observaciones!$I480,0)</f>
        <v>0</v>
      </c>
      <c r="U481" s="170">
        <f>IF(Escenarios!$E$14&gt;0,MAX(0,Constantes!$E$36/((Z480+R481+S481+T481+Observaciones!$F480)^2)+Entradas!$E$77),0)</f>
        <v>0</v>
      </c>
      <c r="V481" s="146">
        <f>IF(ETo!D480&gt;0,ETo!I480*((1-Entradas!$E$81)*ETo!K480+ETo!L480),0)</f>
        <v>3.2239463880657762</v>
      </c>
      <c r="W481" s="170">
        <f>IF(Escenarios!$E$14&gt;0,MIN(V481*1,0.8*(Z480+R481+S481+T481+Observaciones!$F480-U481-Constantes!$E$35)),0)</f>
        <v>3.2239463880657762</v>
      </c>
      <c r="X481" s="170">
        <f>IF(Escenarios!$E$14&gt;0,Observaciones!$J480,0)</f>
        <v>0</v>
      </c>
      <c r="Y481" s="170">
        <f>IF(Escenarios!$E$14&gt;0,MAX(0,Z480+R481+S481+T481+Observaciones!$F480-U481-W481-X481-Constantes!$E$33),0)</f>
        <v>0</v>
      </c>
      <c r="Z481" s="170">
        <f>Z480+R481+S481+T481+Observaciones!$F480-U481-W481-Y481</f>
        <v>48.962847010260639</v>
      </c>
      <c r="AA481" s="170">
        <f>IF(Escenarios!$E$14&gt;0,(Escenarios!$E$13*L481+Escenarios!$E$14*W481)/(Escenarios!$E$16),L481)</f>
        <v>0.47428174564651532</v>
      </c>
      <c r="AB481" s="170">
        <f>IF(Escenarios!$E$14&gt;0,(Escenarios!$E$14*Y481)/(Escenarios!$E$16),K481)</f>
        <v>0</v>
      </c>
      <c r="AC481" s="170">
        <f>IF(Escenarios!$E$14&gt;0,(Escenarios!$E$13*M481+Escenarios!$E$14*U481)/(Escenarios!$E$16),M481)</f>
        <v>0</v>
      </c>
      <c r="AD481" s="76">
        <f t="shared" si="99"/>
        <v>158.91608165008157</v>
      </c>
      <c r="AE481" s="76">
        <f>MAX(0,(AD481-Constantes!$D$13)*(1-EXP(-Constantes!$D$23)))</f>
        <v>1.0854926420145889</v>
      </c>
      <c r="AF481" s="76">
        <f>AB481+O481*Escenarios!$E$13/Escenarios!$E$16+AE481</f>
        <v>1.0855964466701216</v>
      </c>
      <c r="AG481" s="76">
        <f>IF(Entradas!$E$91&gt;0,IF(AF481-Escenarios!$E$38&lt;=0,0,IF(AF481-Escenarios!$E$38&gt;Escenarios!$E$37,Escenarios!$E$37,AF481-Escenarios!$E$38)),0)</f>
        <v>0</v>
      </c>
      <c r="AH481" s="76">
        <f>AG481*Entradas!$E$99</f>
        <v>0</v>
      </c>
      <c r="AI481" s="76">
        <f>IF(Entradas!$E$91&gt;0,D481*Entradas!$D$23/Escenarios!$E$16,0)</f>
        <v>0</v>
      </c>
      <c r="AJ481" s="76">
        <f>IF(Entradas!$E$91&gt;0,Entradas!$D$24*Entradas!$D$22/Escenarios!$E$16,0)</f>
        <v>0</v>
      </c>
      <c r="AK481" s="76">
        <f t="shared" si="108"/>
        <v>0.47428174564651532</v>
      </c>
      <c r="AL481" s="76">
        <f t="shared" si="109"/>
        <v>0</v>
      </c>
      <c r="AM481" s="76">
        <f t="shared" si="100"/>
        <v>0</v>
      </c>
      <c r="AN481" s="76">
        <f>MAX(0,O481*Escenarios!$E$13/Escenarios!$E$16-AM481)</f>
        <v>1.0380465553253469E-4</v>
      </c>
      <c r="AO481" s="76">
        <f>AM481+AN481-O481*Escenarios!$E$13/Escenarios!$E$16</f>
        <v>0</v>
      </c>
      <c r="AP481" s="76">
        <f t="shared" si="98"/>
        <v>1.0854926420145889</v>
      </c>
      <c r="AQ481" s="76">
        <f t="shared" si="101"/>
        <v>0</v>
      </c>
      <c r="AR481" s="76">
        <f t="shared" si="102"/>
        <v>1.0855964466701216</v>
      </c>
      <c r="AS481" s="76">
        <f t="shared" si="103"/>
        <v>0</v>
      </c>
      <c r="AT481" s="76">
        <f t="shared" si="104"/>
        <v>0</v>
      </c>
      <c r="AU481" s="76">
        <f t="shared" si="105"/>
        <v>48.75</v>
      </c>
      <c r="AV481" s="76">
        <f>MAX(0,(AU481-Constantes!$D$13)*(1-EXP(-Constantes!$D$24)))</f>
        <v>0</v>
      </c>
      <c r="AW481" s="170">
        <f>AW480+(Entradas!$E$112*AT481-AX480)/(800*Entradas!$D$25)</f>
        <v>0</v>
      </c>
      <c r="AX481" s="170">
        <f>8000*Entradas!$D$26*AW481/Constantes!$E$45</f>
        <v>0</v>
      </c>
      <c r="AY481" s="170">
        <f>IF(Escenarios!$E$17&gt;0,10*Escenarios!$E$16*AL481,0)</f>
        <v>0</v>
      </c>
      <c r="AZ481" s="170">
        <f>IF(Escenarios!$E$17&gt;0,10*Escenarios!$E$16*AX481,0)</f>
        <v>0</v>
      </c>
      <c r="BA481" s="170">
        <f>IF(Escenarios!$E$17&gt;0,0.001*Observaciones!$F480*Escenarios!$E$17,0)</f>
        <v>0</v>
      </c>
      <c r="BB481" s="170">
        <f>IF(Escenarios!$E$17&gt;0,Observaciones!$K480,0)</f>
        <v>0</v>
      </c>
      <c r="BC481" s="170">
        <f>IF(Escenarios!$E$17&gt;0,MIN(0.0005*ETo!$M480*Escenarios!$E$17*(BG480/Constantes!$E$40)^(2/3),BG480+AY481+AZ481+BA481+BB481),0)</f>
        <v>28.755436718777048</v>
      </c>
      <c r="BD481" s="170">
        <f>IF(Escenarios!$E$17&gt;0,MIN(Constantes!$E$39*(BG480/Constantes!$E$40)^(2/3),BG480+AY481+AZ481+BA481+BB481-BC481),0)</f>
        <v>56.661053702073062</v>
      </c>
      <c r="BE481" s="170">
        <f>IF(Escenarios!$E$17&gt;0,MIN(Entradas!$E$113,BG480+AY481+AZ481+BA481+BB481-BC481-BD481),0)</f>
        <v>1</v>
      </c>
      <c r="BF481" s="170">
        <f>IF(Escenarios!$E$17&gt;0,MAX(0,BG480+AY481+AZ481+BA481+BB481-BC481-BD481-BE481-Constantes!$E$40),0)</f>
        <v>0</v>
      </c>
      <c r="BG481" s="170">
        <f t="shared" si="110"/>
        <v>3887.3352436122391</v>
      </c>
      <c r="BH481" s="170">
        <f>(Escenarios!$E$16*AK481+0.1*BC481)/(Escenarios!$E$19)</f>
        <v>0.48192849239486724</v>
      </c>
      <c r="BI481" s="170">
        <f>IF(Escenarios!$E$17&gt;0,BF481/10/Escenarios!$E$19,AL481)</f>
        <v>0</v>
      </c>
      <c r="BJ481" s="170">
        <f>(Escenarios!$E$16*AT481+0.1*BD481)/(Escenarios!$E$19)</f>
        <v>2.2484545119870265E-2</v>
      </c>
      <c r="BK481" s="76">
        <f>BK480+(0.1*BD481)/(Escenarios!$E$19)-BL480</f>
        <v>50.737037944197823</v>
      </c>
      <c r="BL481" s="76">
        <f>MAX(0,(BK481-Constantes!$D$13)*(1-EXP(-Constantes!$D$23)))</f>
        <v>1.9578758139746685E-2</v>
      </c>
      <c r="BM481" s="76">
        <f t="shared" si="106"/>
        <v>1.1050714001543356</v>
      </c>
      <c r="BN481" s="76">
        <f t="shared" si="111"/>
        <v>1.1051752048098682</v>
      </c>
      <c r="BO481" s="76">
        <f>0.0526*BI481*Observaciones!$F480^1.218</f>
        <v>0</v>
      </c>
      <c r="BP481" s="76">
        <f>BO481*Constantes!$E$51</f>
        <v>0</v>
      </c>
      <c r="BQ481" s="76">
        <f t="shared" si="107"/>
        <v>0</v>
      </c>
      <c r="BR481" s="40"/>
    </row>
    <row r="482" spans="1:70">
      <c r="A482" s="147"/>
      <c r="B482" s="39"/>
      <c r="C482" s="75">
        <v>476</v>
      </c>
      <c r="D482" s="146">
        <f>ETo!$I481*((1-Constantes!$E$19)*ETo!$K481+ETo!$L481)</f>
        <v>3.3773451191173405</v>
      </c>
      <c r="E482" s="76">
        <f>MIN(D482*Constantes!$E$17,0.8*(N481+Observaciones!$F481-F482-M482-Constantes!$D$14))</f>
        <v>2.7703375968414438E-3</v>
      </c>
      <c r="F482" s="76">
        <f>IF(Observaciones!$F481&gt;0.05*Constantes!$E$18,((Observaciones!$F481-0.05*Constantes!$E$18)^2)/(Observaciones!$F481+0.95*Constantes!$E$18),0)</f>
        <v>0</v>
      </c>
      <c r="G482" s="76">
        <f>IF(Escenarios!$E$11&gt;0,(F482*Escenarios!$E$16*10000)/1000,0)</f>
        <v>0</v>
      </c>
      <c r="H482" s="76">
        <f>IF(Escenarios!$E$11&gt;0,(Observaciones!$F481*Constantes!$E$29)/1000,0)</f>
        <v>0</v>
      </c>
      <c r="I482" s="76">
        <f>IF(Escenarios!$E$11&gt;0,(D482*Constantes!$E$29)/1000,0)</f>
        <v>33.773451191173407</v>
      </c>
      <c r="J482" s="76">
        <f>IF(Escenarios!$E$11&gt;0,MAX(0,G482+H482-I482),0)</f>
        <v>0</v>
      </c>
      <c r="K482" s="76">
        <f>IF(Escenarios!$E$11&gt;0,IF(J482&gt;Constantes!$E$30,1000*((J482-Constantes!$E$30)/(Escenarios!$E$16*10000)),0),F482)</f>
        <v>0</v>
      </c>
      <c r="L482" s="76">
        <f>IF(Escenarios!$E$11&gt;0,I482*1000/Escenarios!$E$16/10000+E482,E482)</f>
        <v>1.6279718073310807E-2</v>
      </c>
      <c r="M482" s="76">
        <f>MAX(0,N481+Observaciones!$F481-K482-Constantes!$D$13)</f>
        <v>0</v>
      </c>
      <c r="N482" s="76">
        <f>N481+Observaciones!$F481-K482-L482-M482-O481</f>
        <v>11.23706524408691</v>
      </c>
      <c r="O482" s="76">
        <f>MAX(0,(N482-Constantes!$D$14)*(1-EXP(-Constantes!$D$22)))</f>
        <v>0</v>
      </c>
      <c r="P482" s="170">
        <f>P481+(Entradas!$E$83*M482-Q481)/(800*Entradas!$D$25)</f>
        <v>0</v>
      </c>
      <c r="Q482" s="170">
        <f>8000*Entradas!$D$26*P482/Constantes!$E$45</f>
        <v>0</v>
      </c>
      <c r="R482" s="170">
        <f>IF(Escenarios!$E$14&gt;0,K482*Escenarios!$E$13/Escenarios!$E$14,0)</f>
        <v>0</v>
      </c>
      <c r="S482" s="170">
        <f>IF(Escenarios!$E$14&gt;0,Q482*Escenarios!$E$13/Escenarios!$E$14,0)</f>
        <v>0</v>
      </c>
      <c r="T482" s="170">
        <f>IF(Escenarios!$E$14&gt;0,Observaciones!$I481,0)</f>
        <v>0</v>
      </c>
      <c r="U482" s="170">
        <f>IF(Escenarios!$E$14&gt;0,MAX(0,Constantes!$E$36/((Z481+R482+S482+T482+Observaciones!$F481)^2)+Entradas!$E$77),0)</f>
        <v>0</v>
      </c>
      <c r="V482" s="146">
        <f>IF(ETo!D481&gt;0,ETo!I481*((1-Entradas!$E$81)*ETo!K481+ETo!L481),0)</f>
        <v>3.0656505609520215</v>
      </c>
      <c r="W482" s="170">
        <f>IF(Escenarios!$E$14&gt;0,MIN(V482*1,0.8*(Z481+R482+S482+T482+Observaciones!$F481-U482-Constantes!$E$35)),0)</f>
        <v>3.0656505609520215</v>
      </c>
      <c r="X482" s="170">
        <f>IF(Escenarios!$E$14&gt;0,Observaciones!$J481,0)</f>
        <v>0</v>
      </c>
      <c r="Y482" s="170">
        <f>IF(Escenarios!$E$14&gt;0,MAX(0,Z481+R482+S482+T482+Observaciones!$F481-U482-W482-X482-Constantes!$E$33),0)</f>
        <v>0</v>
      </c>
      <c r="Z482" s="170">
        <f>Z481+R482+S482+T482+Observaciones!$F481-U482-W482-Y482</f>
        <v>45.897196449308616</v>
      </c>
      <c r="AA482" s="170">
        <f>IF(Escenarios!$E$14&gt;0,(Escenarios!$E$13*L482+Escenarios!$E$14*W482)/(Escenarios!$E$16),L482)</f>
        <v>0.38220421921875608</v>
      </c>
      <c r="AB482" s="170">
        <f>IF(Escenarios!$E$14&gt;0,(Escenarios!$E$14*Y482)/(Escenarios!$E$16),K482)</f>
        <v>0</v>
      </c>
      <c r="AC482" s="170">
        <f>IF(Escenarios!$E$14&gt;0,(Escenarios!$E$13*M482+Escenarios!$E$14*U482)/(Escenarios!$E$16),M482)</f>
        <v>0</v>
      </c>
      <c r="AD482" s="76">
        <f t="shared" si="99"/>
        <v>157.83058900806697</v>
      </c>
      <c r="AE482" s="76">
        <f>MAX(0,(AD482-Constantes!$D$13)*(1-EXP(-Constantes!$D$23)))</f>
        <v>1.0747970244686149</v>
      </c>
      <c r="AF482" s="76">
        <f>AB482+O482*Escenarios!$E$13/Escenarios!$E$16+AE482</f>
        <v>1.0747970244686149</v>
      </c>
      <c r="AG482" s="76">
        <f>IF(Entradas!$E$91&gt;0,IF(AF482-Escenarios!$E$38&lt;=0,0,IF(AF482-Escenarios!$E$38&gt;Escenarios!$E$37,Escenarios!$E$37,AF482-Escenarios!$E$38)),0)</f>
        <v>0</v>
      </c>
      <c r="AH482" s="76">
        <f>AG482*Entradas!$E$99</f>
        <v>0</v>
      </c>
      <c r="AI482" s="76">
        <f>IF(Entradas!$E$91&gt;0,D482*Entradas!$D$23/Escenarios!$E$16,0)</f>
        <v>0</v>
      </c>
      <c r="AJ482" s="76">
        <f>IF(Entradas!$E$91&gt;0,Entradas!$D$24*Entradas!$D$22/Escenarios!$E$16,0)</f>
        <v>0</v>
      </c>
      <c r="AK482" s="76">
        <f t="shared" si="108"/>
        <v>0.38220421921875608</v>
      </c>
      <c r="AL482" s="76">
        <f t="shared" si="109"/>
        <v>0</v>
      </c>
      <c r="AM482" s="76">
        <f t="shared" si="100"/>
        <v>0</v>
      </c>
      <c r="AN482" s="76">
        <f>MAX(0,O482*Escenarios!$E$13/Escenarios!$E$16-AM482)</f>
        <v>0</v>
      </c>
      <c r="AO482" s="76">
        <f>AM482+AN482-O482*Escenarios!$E$13/Escenarios!$E$16</f>
        <v>0</v>
      </c>
      <c r="AP482" s="76">
        <f t="shared" si="98"/>
        <v>1.0747970244686149</v>
      </c>
      <c r="AQ482" s="76">
        <f t="shared" si="101"/>
        <v>0</v>
      </c>
      <c r="AR482" s="76">
        <f t="shared" si="102"/>
        <v>1.0747970244686149</v>
      </c>
      <c r="AS482" s="76">
        <f t="shared" si="103"/>
        <v>0</v>
      </c>
      <c r="AT482" s="76">
        <f t="shared" si="104"/>
        <v>0</v>
      </c>
      <c r="AU482" s="76">
        <f t="shared" si="105"/>
        <v>48.75</v>
      </c>
      <c r="AV482" s="76">
        <f>MAX(0,(AU482-Constantes!$D$13)*(1-EXP(-Constantes!$D$24)))</f>
        <v>0</v>
      </c>
      <c r="AW482" s="170">
        <f>AW481+(Entradas!$E$112*AT482-AX481)/(800*Entradas!$D$25)</f>
        <v>0</v>
      </c>
      <c r="AX482" s="170">
        <f>8000*Entradas!$D$26*AW482/Constantes!$E$45</f>
        <v>0</v>
      </c>
      <c r="AY482" s="170">
        <f>IF(Escenarios!$E$17&gt;0,10*Escenarios!$E$16*AL482,0)</f>
        <v>0</v>
      </c>
      <c r="AZ482" s="170">
        <f>IF(Escenarios!$E$17&gt;0,10*Escenarios!$E$16*AX482,0)</f>
        <v>0</v>
      </c>
      <c r="BA482" s="170">
        <f>IF(Escenarios!$E$17&gt;0,0.001*Observaciones!$F481*Escenarios!$E$17,0)</f>
        <v>0</v>
      </c>
      <c r="BB482" s="170">
        <f>IF(Escenarios!$E$17&gt;0,Observaciones!$K481,0)</f>
        <v>0</v>
      </c>
      <c r="BC482" s="170">
        <f>IF(Escenarios!$E$17&gt;0,MIN(0.0005*ETo!$M481*Escenarios!$E$17*(BG481/Constantes!$E$40)^(2/3),BG481+AY482+AZ482+BA482+BB482),0)</f>
        <v>26.995630970297917</v>
      </c>
      <c r="BD482" s="170">
        <f>IF(Escenarios!$E$17&gt;0,MIN(Constantes!$E$39*(BG481/Constantes!$E$40)^(2/3),BG481+AY482+AZ482+BA482+BB482-BC482),0)</f>
        <v>55.836581765463514</v>
      </c>
      <c r="BE482" s="170">
        <f>IF(Escenarios!$E$17&gt;0,MIN(Entradas!$E$113,BG481+AY482+AZ482+BA482+BB482-BC482-BD482),0)</f>
        <v>1</v>
      </c>
      <c r="BF482" s="170">
        <f>IF(Escenarios!$E$17&gt;0,MAX(0,BG481+AY482+AZ482+BA482+BB482-BC482-BD482-BE482-Constantes!$E$40),0)</f>
        <v>0</v>
      </c>
      <c r="BG482" s="170">
        <f t="shared" si="110"/>
        <v>3803.5030308764776</v>
      </c>
      <c r="BH482" s="170">
        <f>(Escenarios!$E$16*AK482+0.1*BC482)/(Escenarios!$E$19)</f>
        <v>0.38988340437190006</v>
      </c>
      <c r="BI482" s="170">
        <f>IF(Escenarios!$E$17&gt;0,BF482/10/Escenarios!$E$19,AL482)</f>
        <v>0</v>
      </c>
      <c r="BJ482" s="170">
        <f>(Escenarios!$E$16*AT482+0.1*BD482)/(Escenarios!$E$19)</f>
        <v>2.2157373716453776E-2</v>
      </c>
      <c r="BK482" s="76">
        <f>BK481+(0.1*BD482)/(Escenarios!$E$19)-BL481</f>
        <v>50.739616559774532</v>
      </c>
      <c r="BL482" s="76">
        <f>MAX(0,(BK482-Constantes!$D$13)*(1-EXP(-Constantes!$D$23)))</f>
        <v>1.960416585320238E-2</v>
      </c>
      <c r="BM482" s="76">
        <f t="shared" si="106"/>
        <v>1.0944011903218174</v>
      </c>
      <c r="BN482" s="76">
        <f t="shared" si="111"/>
        <v>1.0944011903218174</v>
      </c>
      <c r="BO482" s="76">
        <f>0.0526*BI482*Observaciones!$F481^1.218</f>
        <v>0</v>
      </c>
      <c r="BP482" s="76">
        <f>BO482*Constantes!$E$51</f>
        <v>0</v>
      </c>
      <c r="BQ482" s="76">
        <f t="shared" si="107"/>
        <v>0</v>
      </c>
      <c r="BR482" s="40"/>
    </row>
    <row r="483" spans="1:70">
      <c r="A483" s="147"/>
      <c r="B483" s="39"/>
      <c r="C483" s="75">
        <v>477</v>
      </c>
      <c r="D483" s="146">
        <f>ETo!$I482*((1-Constantes!$E$19)*ETo!$K482+ETo!$L482)</f>
        <v>3.3112009579993882</v>
      </c>
      <c r="E483" s="76">
        <f>MIN(D483*Constantes!$E$17,0.8*(N482+Observaciones!$F482-F483-M483-Constantes!$D$14))</f>
        <v>0.46965219526952784</v>
      </c>
      <c r="F483" s="76">
        <f>IF(Observaciones!$F482&gt;0.05*Constantes!$E$18,((Observaciones!$F482-0.05*Constantes!$E$18)^2)/(Observaciones!$F482+0.95*Constantes!$E$18),0)</f>
        <v>0</v>
      </c>
      <c r="G483" s="76">
        <f>IF(Escenarios!$E$11&gt;0,(F483*Escenarios!$E$16*10000)/1000,0)</f>
        <v>0</v>
      </c>
      <c r="H483" s="76">
        <f>IF(Escenarios!$E$11&gt;0,(Observaciones!$F482*Constantes!$E$29)/1000,0)</f>
        <v>6</v>
      </c>
      <c r="I483" s="76">
        <f>IF(Escenarios!$E$11&gt;0,(D483*Constantes!$E$29)/1000,0)</f>
        <v>33.112009579993881</v>
      </c>
      <c r="J483" s="76">
        <f>IF(Escenarios!$E$11&gt;0,MAX(0,G483+H483-I483),0)</f>
        <v>0</v>
      </c>
      <c r="K483" s="76">
        <f>IF(Escenarios!$E$11&gt;0,IF(J483&gt;Constantes!$E$30,1000*((J483-Constantes!$E$30)/(Escenarios!$E$16*10000)),0),F483)</f>
        <v>0</v>
      </c>
      <c r="L483" s="76">
        <f>IF(Escenarios!$E$11&gt;0,I483*1000/Escenarios!$E$16/10000+E483,E483)</f>
        <v>0.48289699910152539</v>
      </c>
      <c r="M483" s="76">
        <f>MAX(0,N482+Observaciones!$F482-K483-Constantes!$D$13)</f>
        <v>0</v>
      </c>
      <c r="N483" s="76">
        <f>N482+Observaciones!$F482-K483-L483-M483-O482</f>
        <v>11.354168244985384</v>
      </c>
      <c r="O483" s="76">
        <f>MAX(0,(N483-Constantes!$D$14)*(1-EXP(-Constantes!$D$22)))</f>
        <v>3.5483528336582382E-3</v>
      </c>
      <c r="P483" s="170">
        <f>P482+(Entradas!$E$83*M483-Q482)/(800*Entradas!$D$25)</f>
        <v>0</v>
      </c>
      <c r="Q483" s="170">
        <f>8000*Entradas!$D$26*P483/Constantes!$E$45</f>
        <v>0</v>
      </c>
      <c r="R483" s="170">
        <f>IF(Escenarios!$E$14&gt;0,K483*Escenarios!$E$13/Escenarios!$E$14,0)</f>
        <v>0</v>
      </c>
      <c r="S483" s="170">
        <f>IF(Escenarios!$E$14&gt;0,Q483*Escenarios!$E$13/Escenarios!$E$14,0)</f>
        <v>0</v>
      </c>
      <c r="T483" s="170">
        <f>IF(Escenarios!$E$14&gt;0,Observaciones!$I482,0)</f>
        <v>0</v>
      </c>
      <c r="U483" s="170">
        <f>IF(Escenarios!$E$14&gt;0,MAX(0,Constantes!$E$36/((Z482+R483+S483+T483+Observaciones!$F482)^2)+Entradas!$E$77),0)</f>
        <v>0</v>
      </c>
      <c r="V483" s="146">
        <f>IF(ETo!D482&gt;0,ETo!I482*((1-Entradas!$E$81)*ETo!K482+ETo!L482),0)</f>
        <v>3.0045861750225153</v>
      </c>
      <c r="W483" s="170">
        <f>IF(Escenarios!$E$14&gt;0,MIN(V483*1,0.8*(Z482+R483+S483+T483+Observaciones!$F482-U483-Constantes!$E$35)),0)</f>
        <v>3.0045861750225153</v>
      </c>
      <c r="X483" s="170">
        <f>IF(Escenarios!$E$14&gt;0,Observaciones!$J482,0)</f>
        <v>0</v>
      </c>
      <c r="Y483" s="170">
        <f>IF(Escenarios!$E$14&gt;0,MAX(0,Z482+R483+S483+T483+Observaciones!$F482-U483-W483-X483-Constantes!$E$33),0)</f>
        <v>0</v>
      </c>
      <c r="Z483" s="170">
        <f>Z482+R483+S483+T483+Observaciones!$F482-U483-W483-Y483</f>
        <v>43.4926102742861</v>
      </c>
      <c r="AA483" s="170">
        <f>IF(Escenarios!$E$14&gt;0,(Escenarios!$E$13*L483+Escenarios!$E$14*W483)/(Escenarios!$E$16),L483)</f>
        <v>0.78549970021204418</v>
      </c>
      <c r="AB483" s="170">
        <f>IF(Escenarios!$E$14&gt;0,(Escenarios!$E$14*Y483)/(Escenarios!$E$16),K483)</f>
        <v>0</v>
      </c>
      <c r="AC483" s="170">
        <f>IF(Escenarios!$E$14&gt;0,(Escenarios!$E$13*M483+Escenarios!$E$14*U483)/(Escenarios!$E$16),M483)</f>
        <v>0</v>
      </c>
      <c r="AD483" s="76">
        <f t="shared" si="99"/>
        <v>156.75579198359836</v>
      </c>
      <c r="AE483" s="76">
        <f>MAX(0,(AD483-Constantes!$D$13)*(1-EXP(-Constantes!$D$23)))</f>
        <v>1.0642067933898192</v>
      </c>
      <c r="AF483" s="76">
        <f>AB483+O483*Escenarios!$E$13/Escenarios!$E$16+AE483</f>
        <v>1.0673293438834384</v>
      </c>
      <c r="AG483" s="76">
        <f>IF(Entradas!$E$91&gt;0,IF(AF483-Escenarios!$E$38&lt;=0,0,IF(AF483-Escenarios!$E$38&gt;Escenarios!$E$37,Escenarios!$E$37,AF483-Escenarios!$E$38)),0)</f>
        <v>0</v>
      </c>
      <c r="AH483" s="76">
        <f>AG483*Entradas!$E$99</f>
        <v>0</v>
      </c>
      <c r="AI483" s="76">
        <f>IF(Entradas!$E$91&gt;0,D483*Entradas!$D$23/Escenarios!$E$16,0)</f>
        <v>0</v>
      </c>
      <c r="AJ483" s="76">
        <f>IF(Entradas!$E$91&gt;0,Entradas!$D$24*Entradas!$D$22/Escenarios!$E$16,0)</f>
        <v>0</v>
      </c>
      <c r="AK483" s="76">
        <f t="shared" si="108"/>
        <v>0.78549970021204418</v>
      </c>
      <c r="AL483" s="76">
        <f t="shared" si="109"/>
        <v>0</v>
      </c>
      <c r="AM483" s="76">
        <f t="shared" si="100"/>
        <v>0</v>
      </c>
      <c r="AN483" s="76">
        <f>MAX(0,O483*Escenarios!$E$13/Escenarios!$E$16-AM483)</f>
        <v>3.1225504936192496E-3</v>
      </c>
      <c r="AO483" s="76">
        <f>AM483+AN483-O483*Escenarios!$E$13/Escenarios!$E$16</f>
        <v>0</v>
      </c>
      <c r="AP483" s="76">
        <f t="shared" si="98"/>
        <v>1.0642067933898192</v>
      </c>
      <c r="AQ483" s="76">
        <f t="shared" si="101"/>
        <v>0</v>
      </c>
      <c r="AR483" s="76">
        <f t="shared" si="102"/>
        <v>1.0673293438834384</v>
      </c>
      <c r="AS483" s="76">
        <f t="shared" si="103"/>
        <v>0</v>
      </c>
      <c r="AT483" s="76">
        <f t="shared" si="104"/>
        <v>0</v>
      </c>
      <c r="AU483" s="76">
        <f t="shared" si="105"/>
        <v>48.75</v>
      </c>
      <c r="AV483" s="76">
        <f>MAX(0,(AU483-Constantes!$D$13)*(1-EXP(-Constantes!$D$24)))</f>
        <v>0</v>
      </c>
      <c r="AW483" s="170">
        <f>AW482+(Entradas!$E$112*AT483-AX482)/(800*Entradas!$D$25)</f>
        <v>0</v>
      </c>
      <c r="AX483" s="170">
        <f>8000*Entradas!$D$26*AW483/Constantes!$E$45</f>
        <v>0</v>
      </c>
      <c r="AY483" s="170">
        <f>IF(Escenarios!$E$17&gt;0,10*Escenarios!$E$16*AL483,0)</f>
        <v>0</v>
      </c>
      <c r="AZ483" s="170">
        <f>IF(Escenarios!$E$17&gt;0,10*Escenarios!$E$16*AX483,0)</f>
        <v>0</v>
      </c>
      <c r="BA483" s="170">
        <f>IF(Escenarios!$E$17&gt;0,0.001*Observaciones!$F482*Escenarios!$E$17,0)</f>
        <v>11.999999999999998</v>
      </c>
      <c r="BB483" s="170">
        <f>IF(Escenarios!$E$17&gt;0,Observaciones!$K482,0)</f>
        <v>0</v>
      </c>
      <c r="BC483" s="170">
        <f>IF(Escenarios!$E$17&gt;0,MIN(0.0005*ETo!$M482*Escenarios!$E$17*(BG482/Constantes!$E$40)^(2/3),BG482+AY483+AZ483+BA483+BB483),0)</f>
        <v>26.096126183774118</v>
      </c>
      <c r="BD483" s="170">
        <f>IF(Escenarios!$E$17&gt;0,MIN(Constantes!$E$39*(BG482/Constantes!$E$40)^(2/3),BG482+AY483+AZ483+BA483+BB483-BC483),0)</f>
        <v>55.0309070059715</v>
      </c>
      <c r="BE483" s="170">
        <f>IF(Escenarios!$E$17&gt;0,MIN(Entradas!$E$113,BG482+AY483+AZ483+BA483+BB483-BC483-BD483),0)</f>
        <v>1</v>
      </c>
      <c r="BF483" s="170">
        <f>IF(Escenarios!$E$17&gt;0,MAX(0,BG482+AY483+AZ483+BA483+BB483-BC483-BD483-BE483-Constantes!$E$40),0)</f>
        <v>0</v>
      </c>
      <c r="BG483" s="170">
        <f t="shared" si="110"/>
        <v>3733.3759976867318</v>
      </c>
      <c r="BH483" s="170">
        <f>(Escenarios!$E$16*AK483+0.1*BC483)/(Escenarios!$E$19)</f>
        <v>0.78962118123566849</v>
      </c>
      <c r="BI483" s="170">
        <f>IF(Escenarios!$E$17&gt;0,BF483/10/Escenarios!$E$19,AL483)</f>
        <v>0</v>
      </c>
      <c r="BJ483" s="170">
        <f>(Escenarios!$E$16*AT483+0.1*BD483)/(Escenarios!$E$19)</f>
        <v>2.1837661510306153E-2</v>
      </c>
      <c r="BK483" s="76">
        <f>BK482+(0.1*BD483)/(Escenarios!$E$19)-BL482</f>
        <v>50.741850055431634</v>
      </c>
      <c r="BL483" s="76">
        <f>MAX(0,(BK483-Constantes!$D$13)*(1-EXP(-Constantes!$D$23)))</f>
        <v>1.962617301788902E-2</v>
      </c>
      <c r="BM483" s="76">
        <f t="shared" si="106"/>
        <v>1.0838329664077082</v>
      </c>
      <c r="BN483" s="76">
        <f t="shared" si="111"/>
        <v>1.0869555169013274</v>
      </c>
      <c r="BO483" s="76">
        <f>0.0526*BI483*Observaciones!$F482^1.218</f>
        <v>0</v>
      </c>
      <c r="BP483" s="76">
        <f>BO483*Constantes!$E$51</f>
        <v>0</v>
      </c>
      <c r="BQ483" s="76">
        <f t="shared" si="107"/>
        <v>0</v>
      </c>
      <c r="BR483" s="40"/>
    </row>
    <row r="484" spans="1:70">
      <c r="A484" s="147"/>
      <c r="B484" s="39"/>
      <c r="C484" s="75">
        <v>478</v>
      </c>
      <c r="D484" s="146">
        <f>ETo!$I483*((1-Constantes!$E$19)*ETo!$K483+ETo!$L483)</f>
        <v>3.223774260250821</v>
      </c>
      <c r="E484" s="76">
        <f>MIN(D484*Constantes!$E$17,0.8*(N483+Observaciones!$F483-F484-M484-Constantes!$D$14))</f>
        <v>8.3334595988307572E-2</v>
      </c>
      <c r="F484" s="76">
        <f>IF(Observaciones!$F483&gt;0.05*Constantes!$E$18,((Observaciones!$F483-0.05*Constantes!$E$18)^2)/(Observaciones!$F483+0.95*Constantes!$E$18),0)</f>
        <v>0</v>
      </c>
      <c r="G484" s="76">
        <f>IF(Escenarios!$E$11&gt;0,(F484*Escenarios!$E$16*10000)/1000,0)</f>
        <v>0</v>
      </c>
      <c r="H484" s="76">
        <f>IF(Escenarios!$E$11&gt;0,(Observaciones!$F483*Constantes!$E$29)/1000,0)</f>
        <v>0</v>
      </c>
      <c r="I484" s="76">
        <f>IF(Escenarios!$E$11&gt;0,(D484*Constantes!$E$29)/1000,0)</f>
        <v>32.237742602508213</v>
      </c>
      <c r="J484" s="76">
        <f>IF(Escenarios!$E$11&gt;0,MAX(0,G484+H484-I484),0)</f>
        <v>0</v>
      </c>
      <c r="K484" s="76">
        <f>IF(Escenarios!$E$11&gt;0,IF(J484&gt;Constantes!$E$30,1000*((J484-Constantes!$E$30)/(Escenarios!$E$16*10000)),0),F484)</f>
        <v>0</v>
      </c>
      <c r="L484" s="76">
        <f>IF(Escenarios!$E$11&gt;0,I484*1000/Escenarios!$E$16/10000+E484,E484)</f>
        <v>9.6229693029310864E-2</v>
      </c>
      <c r="M484" s="76">
        <f>MAX(0,N483+Observaciones!$F483-K484-Constantes!$D$13)</f>
        <v>0</v>
      </c>
      <c r="N484" s="76">
        <f>N483+Observaciones!$F483-K484-L484-M484-O483</f>
        <v>11.254390199122415</v>
      </c>
      <c r="O484" s="76">
        <f>MAX(0,(N484-Constantes!$D$14)*(1-EXP(-Constantes!$D$22)))</f>
        <v>1.4954629886038763E-4</v>
      </c>
      <c r="P484" s="170">
        <f>P483+(Entradas!$E$83*M484-Q483)/(800*Entradas!$D$25)</f>
        <v>0</v>
      </c>
      <c r="Q484" s="170">
        <f>8000*Entradas!$D$26*P484/Constantes!$E$45</f>
        <v>0</v>
      </c>
      <c r="R484" s="170">
        <f>IF(Escenarios!$E$14&gt;0,K484*Escenarios!$E$13/Escenarios!$E$14,0)</f>
        <v>0</v>
      </c>
      <c r="S484" s="170">
        <f>IF(Escenarios!$E$14&gt;0,Q484*Escenarios!$E$13/Escenarios!$E$14,0)</f>
        <v>0</v>
      </c>
      <c r="T484" s="170">
        <f>IF(Escenarios!$E$14&gt;0,Observaciones!$I483,0)</f>
        <v>0</v>
      </c>
      <c r="U484" s="170">
        <f>IF(Escenarios!$E$14&gt;0,MAX(0,Constantes!$E$36/((Z483+R484+S484+T484+Observaciones!$F483)^2)+Entradas!$E$77),0)</f>
        <v>0</v>
      </c>
      <c r="V484" s="146">
        <f>IF(ETo!D483&gt;0,ETo!I483*((1-Entradas!$E$81)*ETo!K483+ETo!L483),0)</f>
        <v>2.9241232371895163</v>
      </c>
      <c r="W484" s="170">
        <f>IF(Escenarios!$E$14&gt;0,MIN(V484*1,0.8*(Z483+R484+S484+T484+Observaciones!$F483-U484-Constantes!$E$35)),0)</f>
        <v>1.7940882194288805</v>
      </c>
      <c r="X484" s="170">
        <f>IF(Escenarios!$E$14&gt;0,Observaciones!$J483,0)</f>
        <v>0</v>
      </c>
      <c r="Y484" s="170">
        <f>IF(Escenarios!$E$14&gt;0,MAX(0,Z483+R484+S484+T484+Observaciones!$F483-U484-W484-X484-Constantes!$E$33),0)</f>
        <v>0</v>
      </c>
      <c r="Z484" s="170">
        <f>Z483+R484+S484+T484+Observaciones!$F483-U484-W484-Y484</f>
        <v>41.698522054857222</v>
      </c>
      <c r="AA484" s="170">
        <f>IF(Escenarios!$E$14&gt;0,(Escenarios!$E$13*L484+Escenarios!$E$14*W484)/(Escenarios!$E$16),L484)</f>
        <v>0.29997271619725924</v>
      </c>
      <c r="AB484" s="170">
        <f>IF(Escenarios!$E$14&gt;0,(Escenarios!$E$14*Y484)/(Escenarios!$E$16),K484)</f>
        <v>0</v>
      </c>
      <c r="AC484" s="170">
        <f>IF(Escenarios!$E$14&gt;0,(Escenarios!$E$13*M484+Escenarios!$E$14*U484)/(Escenarios!$E$16),M484)</f>
        <v>0</v>
      </c>
      <c r="AD484" s="76">
        <f t="shared" si="99"/>
        <v>155.69158519020854</v>
      </c>
      <c r="AE484" s="76">
        <f>MAX(0,(AD484-Constantes!$D$13)*(1-EXP(-Constantes!$D$23)))</f>
        <v>1.0537209103802392</v>
      </c>
      <c r="AF484" s="76">
        <f>AB484+O484*Escenarios!$E$13/Escenarios!$E$16+AE484</f>
        <v>1.0538525111232364</v>
      </c>
      <c r="AG484" s="76">
        <f>IF(Entradas!$E$91&gt;0,IF(AF484-Escenarios!$E$38&lt;=0,0,IF(AF484-Escenarios!$E$38&gt;Escenarios!$E$37,Escenarios!$E$37,AF484-Escenarios!$E$38)),0)</f>
        <v>0</v>
      </c>
      <c r="AH484" s="76">
        <f>AG484*Entradas!$E$99</f>
        <v>0</v>
      </c>
      <c r="AI484" s="76">
        <f>IF(Entradas!$E$91&gt;0,D484*Entradas!$D$23/Escenarios!$E$16,0)</f>
        <v>0</v>
      </c>
      <c r="AJ484" s="76">
        <f>IF(Entradas!$E$91&gt;0,Entradas!$D$24*Entradas!$D$22/Escenarios!$E$16,0)</f>
        <v>0</v>
      </c>
      <c r="AK484" s="76">
        <f t="shared" si="108"/>
        <v>0.29997271619725924</v>
      </c>
      <c r="AL484" s="76">
        <f t="shared" si="109"/>
        <v>0</v>
      </c>
      <c r="AM484" s="76">
        <f t="shared" si="100"/>
        <v>0</v>
      </c>
      <c r="AN484" s="76">
        <f>MAX(0,O484*Escenarios!$E$13/Escenarios!$E$16-AM484)</f>
        <v>1.3160074299714111E-4</v>
      </c>
      <c r="AO484" s="76">
        <f>AM484+AN484-O484*Escenarios!$E$13/Escenarios!$E$16</f>
        <v>0</v>
      </c>
      <c r="AP484" s="76">
        <f t="shared" si="98"/>
        <v>1.0537209103802392</v>
      </c>
      <c r="AQ484" s="76">
        <f t="shared" si="101"/>
        <v>0</v>
      </c>
      <c r="AR484" s="76">
        <f t="shared" si="102"/>
        <v>1.0538525111232364</v>
      </c>
      <c r="AS484" s="76">
        <f t="shared" si="103"/>
        <v>0</v>
      </c>
      <c r="AT484" s="76">
        <f t="shared" si="104"/>
        <v>0</v>
      </c>
      <c r="AU484" s="76">
        <f t="shared" si="105"/>
        <v>48.75</v>
      </c>
      <c r="AV484" s="76">
        <f>MAX(0,(AU484-Constantes!$D$13)*(1-EXP(-Constantes!$D$24)))</f>
        <v>0</v>
      </c>
      <c r="AW484" s="170">
        <f>AW483+(Entradas!$E$112*AT484-AX483)/(800*Entradas!$D$25)</f>
        <v>0</v>
      </c>
      <c r="AX484" s="170">
        <f>8000*Entradas!$D$26*AW484/Constantes!$E$45</f>
        <v>0</v>
      </c>
      <c r="AY484" s="170">
        <f>IF(Escenarios!$E$17&gt;0,10*Escenarios!$E$16*AL484,0)</f>
        <v>0</v>
      </c>
      <c r="AZ484" s="170">
        <f>IF(Escenarios!$E$17&gt;0,10*Escenarios!$E$16*AX484,0)</f>
        <v>0</v>
      </c>
      <c r="BA484" s="170">
        <f>IF(Escenarios!$E$17&gt;0,0.001*Observaciones!$F483*Escenarios!$E$17,0)</f>
        <v>0</v>
      </c>
      <c r="BB484" s="170">
        <f>IF(Escenarios!$E$17&gt;0,Observaciones!$K483,0)</f>
        <v>0</v>
      </c>
      <c r="BC484" s="170">
        <f>IF(Escenarios!$E$17&gt;0,MIN(0.0005*ETo!$M483*Escenarios!$E$17*(BG483/Constantes!$E$40)^(2/3),BG483+AY484+AZ484+BA484+BB484),0)</f>
        <v>25.105939431152045</v>
      </c>
      <c r="BD484" s="170">
        <f>IF(Escenarios!$E$17&gt;0,MIN(Constantes!$E$39*(BG483/Constantes!$E$40)^(2/3),BG483+AY484+AZ484+BA484+BB484-BC484),0)</f>
        <v>54.352390158791223</v>
      </c>
      <c r="BE484" s="170">
        <f>IF(Escenarios!$E$17&gt;0,MIN(Entradas!$E$113,BG483+AY484+AZ484+BA484+BB484-BC484-BD484),0)</f>
        <v>1</v>
      </c>
      <c r="BF484" s="170">
        <f>IF(Escenarios!$E$17&gt;0,MAX(0,BG483+AY484+AZ484+BA484+BB484-BC484-BD484-BE484-Constantes!$E$40),0)</f>
        <v>0</v>
      </c>
      <c r="BG484" s="170">
        <f t="shared" si="110"/>
        <v>3652.9176680967885</v>
      </c>
      <c r="BH484" s="170">
        <f>(Escenarios!$E$16*AK484+0.1*BC484)/(Escenarios!$E$19)</f>
        <v>0.30755465473186516</v>
      </c>
      <c r="BI484" s="170">
        <f>IF(Escenarios!$E$17&gt;0,BF484/10/Escenarios!$E$19,AL484)</f>
        <v>0</v>
      </c>
      <c r="BJ484" s="170">
        <f>(Escenarios!$E$16*AT484+0.1*BD484)/(Escenarios!$E$19)</f>
        <v>2.1568408793171123E-2</v>
      </c>
      <c r="BK484" s="76">
        <f>BK483+(0.1*BD484)/(Escenarios!$E$19)-BL483</f>
        <v>50.743792291206915</v>
      </c>
      <c r="BL484" s="76">
        <f>MAX(0,(BK484-Constantes!$D$13)*(1-EXP(-Constantes!$D$23)))</f>
        <v>1.9645310329587391E-2</v>
      </c>
      <c r="BM484" s="76">
        <f t="shared" si="106"/>
        <v>1.0733662207098267</v>
      </c>
      <c r="BN484" s="76">
        <f t="shared" si="111"/>
        <v>1.0734978214528239</v>
      </c>
      <c r="BO484" s="76">
        <f>0.0526*BI484*Observaciones!$F483^1.218</f>
        <v>0</v>
      </c>
      <c r="BP484" s="76">
        <f>BO484*Constantes!$E$51</f>
        <v>0</v>
      </c>
      <c r="BQ484" s="76">
        <f t="shared" si="107"/>
        <v>0</v>
      </c>
      <c r="BR484" s="40"/>
    </row>
    <row r="485" spans="1:70">
      <c r="A485" s="147"/>
      <c r="B485" s="39"/>
      <c r="C485" s="75">
        <v>479</v>
      </c>
      <c r="D485" s="146">
        <f>ETo!$I484*((1-Constantes!$E$19)*ETo!$K484+ETo!$L484)</f>
        <v>3.282255028891695</v>
      </c>
      <c r="E485" s="76">
        <f>MIN(D485*Constantes!$E$17,0.8*(N484+Observaciones!$F484-F485-M485-Constantes!$D$14))</f>
        <v>3.5121592979322717E-3</v>
      </c>
      <c r="F485" s="76">
        <f>IF(Observaciones!$F484&gt;0.05*Constantes!$E$18,((Observaciones!$F484-0.05*Constantes!$E$18)^2)/(Observaciones!$F484+0.95*Constantes!$E$18),0)</f>
        <v>0</v>
      </c>
      <c r="G485" s="76">
        <f>IF(Escenarios!$E$11&gt;0,(F485*Escenarios!$E$16*10000)/1000,0)</f>
        <v>0</v>
      </c>
      <c r="H485" s="76">
        <f>IF(Escenarios!$E$11&gt;0,(Observaciones!$F484*Constantes!$E$29)/1000,0)</f>
        <v>0</v>
      </c>
      <c r="I485" s="76">
        <f>IF(Escenarios!$E$11&gt;0,(D485*Constantes!$E$29)/1000,0)</f>
        <v>32.82255028891695</v>
      </c>
      <c r="J485" s="76">
        <f>IF(Escenarios!$E$11&gt;0,MAX(0,G485+H485-I485),0)</f>
        <v>0</v>
      </c>
      <c r="K485" s="76">
        <f>IF(Escenarios!$E$11&gt;0,IF(J485&gt;Constantes!$E$30,1000*((J485-Constantes!$E$30)/(Escenarios!$E$16*10000)),0),F485)</f>
        <v>0</v>
      </c>
      <c r="L485" s="76">
        <f>IF(Escenarios!$E$11&gt;0,I485*1000/Escenarios!$E$16/10000+E485,E485)</f>
        <v>1.6641179413499053E-2</v>
      </c>
      <c r="M485" s="76">
        <f>MAX(0,N484+Observaciones!$F484-K485-Constantes!$D$13)</f>
        <v>0</v>
      </c>
      <c r="N485" s="76">
        <f>N484+Observaciones!$F484-K485-L485-M485-O484</f>
        <v>11.237599473410055</v>
      </c>
      <c r="O485" s="76">
        <f>MAX(0,(N485-Constantes!$D$14)*(1-EXP(-Constantes!$D$22)))</f>
        <v>0</v>
      </c>
      <c r="P485" s="170">
        <f>P484+(Entradas!$E$83*M485-Q484)/(800*Entradas!$D$25)</f>
        <v>0</v>
      </c>
      <c r="Q485" s="170">
        <f>8000*Entradas!$D$26*P485/Constantes!$E$45</f>
        <v>0</v>
      </c>
      <c r="R485" s="170">
        <f>IF(Escenarios!$E$14&gt;0,K485*Escenarios!$E$13/Escenarios!$E$14,0)</f>
        <v>0</v>
      </c>
      <c r="S485" s="170">
        <f>IF(Escenarios!$E$14&gt;0,Q485*Escenarios!$E$13/Escenarios!$E$14,0)</f>
        <v>0</v>
      </c>
      <c r="T485" s="170">
        <f>IF(Escenarios!$E$14&gt;0,Observaciones!$I484,0)</f>
        <v>0</v>
      </c>
      <c r="U485" s="170">
        <f>IF(Escenarios!$E$14&gt;0,MAX(0,Constantes!$E$36/((Z484+R485+S485+T485+Observaciones!$F484)^2)+Entradas!$E$77),0)</f>
        <v>0</v>
      </c>
      <c r="V485" s="146">
        <f>IF(ETo!D484&gt;0,ETo!I484*((1-Entradas!$E$81)*ETo!K484+ETo!L484),0)</f>
        <v>2.9773449557449227</v>
      </c>
      <c r="W485" s="170">
        <f>IF(Escenarios!$E$14&gt;0,MIN(V485*1,0.8*(Z484+R485+S485+T485+Observaciones!$F484-U485-Constantes!$E$35)),0)</f>
        <v>0.35881764388577725</v>
      </c>
      <c r="X485" s="170">
        <f>IF(Escenarios!$E$14&gt;0,Observaciones!$J484,0)</f>
        <v>0</v>
      </c>
      <c r="Y485" s="170">
        <f>IF(Escenarios!$E$14&gt;0,MAX(0,Z484+R485+S485+T485+Observaciones!$F484-U485-W485-X485-Constantes!$E$33),0)</f>
        <v>0</v>
      </c>
      <c r="Z485" s="170">
        <f>Z484+R485+S485+T485+Observaciones!$F484-U485-W485-Y485</f>
        <v>41.339704410971443</v>
      </c>
      <c r="AA485" s="170">
        <f>IF(Escenarios!$E$14&gt;0,(Escenarios!$E$13*L485+Escenarios!$E$14*W485)/(Escenarios!$E$16),L485)</f>
        <v>5.7702355150172434E-2</v>
      </c>
      <c r="AB485" s="170">
        <f>IF(Escenarios!$E$14&gt;0,(Escenarios!$E$14*Y485)/(Escenarios!$E$16),K485)</f>
        <v>0</v>
      </c>
      <c r="AC485" s="170">
        <f>IF(Escenarios!$E$14&gt;0,(Escenarios!$E$13*M485+Escenarios!$E$14*U485)/(Escenarios!$E$16),M485)</f>
        <v>0</v>
      </c>
      <c r="AD485" s="76">
        <f t="shared" si="99"/>
        <v>154.63786427982831</v>
      </c>
      <c r="AE485" s="76">
        <f>MAX(0,(AD485-Constantes!$D$13)*(1-EXP(-Constantes!$D$23)))</f>
        <v>1.0433383472734954</v>
      </c>
      <c r="AF485" s="76">
        <f>AB485+O485*Escenarios!$E$13/Escenarios!$E$16+AE485</f>
        <v>1.0433383472734954</v>
      </c>
      <c r="AG485" s="76">
        <f>IF(Entradas!$E$91&gt;0,IF(AF485-Escenarios!$E$38&lt;=0,0,IF(AF485-Escenarios!$E$38&gt;Escenarios!$E$37,Escenarios!$E$37,AF485-Escenarios!$E$38)),0)</f>
        <v>0</v>
      </c>
      <c r="AH485" s="76">
        <f>AG485*Entradas!$E$99</f>
        <v>0</v>
      </c>
      <c r="AI485" s="76">
        <f>IF(Entradas!$E$91&gt;0,D485*Entradas!$D$23/Escenarios!$E$16,0)</f>
        <v>0</v>
      </c>
      <c r="AJ485" s="76">
        <f>IF(Entradas!$E$91&gt;0,Entradas!$D$24*Entradas!$D$22/Escenarios!$E$16,0)</f>
        <v>0</v>
      </c>
      <c r="AK485" s="76">
        <f t="shared" si="108"/>
        <v>5.7702355150172434E-2</v>
      </c>
      <c r="AL485" s="76">
        <f t="shared" si="109"/>
        <v>0</v>
      </c>
      <c r="AM485" s="76">
        <f t="shared" si="100"/>
        <v>0</v>
      </c>
      <c r="AN485" s="76">
        <f>MAX(0,O485*Escenarios!$E$13/Escenarios!$E$16-AM485)</f>
        <v>0</v>
      </c>
      <c r="AO485" s="76">
        <f>AM485+AN485-O485*Escenarios!$E$13/Escenarios!$E$16</f>
        <v>0</v>
      </c>
      <c r="AP485" s="76">
        <f t="shared" si="98"/>
        <v>1.0433383472734954</v>
      </c>
      <c r="AQ485" s="76">
        <f t="shared" si="101"/>
        <v>0</v>
      </c>
      <c r="AR485" s="76">
        <f t="shared" si="102"/>
        <v>1.0433383472734954</v>
      </c>
      <c r="AS485" s="76">
        <f t="shared" si="103"/>
        <v>0</v>
      </c>
      <c r="AT485" s="76">
        <f t="shared" si="104"/>
        <v>0</v>
      </c>
      <c r="AU485" s="76">
        <f t="shared" si="105"/>
        <v>48.75</v>
      </c>
      <c r="AV485" s="76">
        <f>MAX(0,(AU485-Constantes!$D$13)*(1-EXP(-Constantes!$D$24)))</f>
        <v>0</v>
      </c>
      <c r="AW485" s="170">
        <f>AW484+(Entradas!$E$112*AT485-AX484)/(800*Entradas!$D$25)</f>
        <v>0</v>
      </c>
      <c r="AX485" s="170">
        <f>8000*Entradas!$D$26*AW485/Constantes!$E$45</f>
        <v>0</v>
      </c>
      <c r="AY485" s="170">
        <f>IF(Escenarios!$E$17&gt;0,10*Escenarios!$E$16*AL485,0)</f>
        <v>0</v>
      </c>
      <c r="AZ485" s="170">
        <f>IF(Escenarios!$E$17&gt;0,10*Escenarios!$E$16*AX485,0)</f>
        <v>0</v>
      </c>
      <c r="BA485" s="170">
        <f>IF(Escenarios!$E$17&gt;0,0.001*Observaciones!$F484*Escenarios!$E$17,0)</f>
        <v>0</v>
      </c>
      <c r="BB485" s="170">
        <f>IF(Escenarios!$E$17&gt;0,Observaciones!$K484,0)</f>
        <v>39.792677602929452</v>
      </c>
      <c r="BC485" s="170">
        <f>IF(Escenarios!$E$17&gt;0,MIN(0.0005*ETo!$M484*Escenarios!$E$17*(BG484/Constantes!$E$40)^(2/3),BG484+AY485+AZ485+BA485+BB485),0)</f>
        <v>25.190928225435627</v>
      </c>
      <c r="BD485" s="170">
        <f>IF(Escenarios!$E$17&gt;0,MIN(Constantes!$E$39*(BG484/Constantes!$E$40)^(2/3),BG484+AY485+AZ485+BA485+BB485-BC485),0)</f>
        <v>53.568655827120928</v>
      </c>
      <c r="BE485" s="170">
        <f>IF(Escenarios!$E$17&gt;0,MIN(Entradas!$E$113,BG484+AY485+AZ485+BA485+BB485-BC485-BD485),0)</f>
        <v>1</v>
      </c>
      <c r="BF485" s="170">
        <f>IF(Escenarios!$E$17&gt;0,MAX(0,BG484+AY485+AZ485+BA485+BB485-BC485-BD485-BE485-Constantes!$E$40),0)</f>
        <v>0</v>
      </c>
      <c r="BG485" s="170">
        <f t="shared" si="110"/>
        <v>3612.9507616471615</v>
      </c>
      <c r="BH485" s="170">
        <f>(Escenarios!$E$16*AK485+0.1*BC485)/(Escenarios!$E$19)</f>
        <v>6.7240800040026472E-2</v>
      </c>
      <c r="BI485" s="170">
        <f>IF(Escenarios!$E$17&gt;0,BF485/10/Escenarios!$E$19,AL485)</f>
        <v>0</v>
      </c>
      <c r="BJ485" s="170">
        <f>(Escenarios!$E$16*AT485+0.1*BD485)/(Escenarios!$E$19)</f>
        <v>2.1257403106000369E-2</v>
      </c>
      <c r="BK485" s="76">
        <f>BK484+(0.1*BD485)/(Escenarios!$E$19)-BL484</f>
        <v>50.745404383983328</v>
      </c>
      <c r="BL485" s="76">
        <f>MAX(0,(BK485-Constantes!$D$13)*(1-EXP(-Constantes!$D$23)))</f>
        <v>1.9661194663683965E-2</v>
      </c>
      <c r="BM485" s="76">
        <f t="shared" si="106"/>
        <v>1.0629995419371794</v>
      </c>
      <c r="BN485" s="76">
        <f t="shared" si="111"/>
        <v>1.0629995419371794</v>
      </c>
      <c r="BO485" s="76">
        <f>0.0526*BI485*Observaciones!$F484^1.218</f>
        <v>0</v>
      </c>
      <c r="BP485" s="76">
        <f>BO485*Constantes!$E$51</f>
        <v>0</v>
      </c>
      <c r="BQ485" s="76">
        <f t="shared" si="107"/>
        <v>0</v>
      </c>
      <c r="BR485" s="40"/>
    </row>
    <row r="486" spans="1:70">
      <c r="A486" s="147"/>
      <c r="B486" s="39"/>
      <c r="C486" s="75">
        <v>480</v>
      </c>
      <c r="D486" s="146">
        <f>ETo!$I485*((1-Constantes!$E$19)*ETo!$K485+ETo!$L485)</f>
        <v>3.2424153639281825</v>
      </c>
      <c r="E486" s="76">
        <f>MIN(D486*Constantes!$E$17,0.8*(N485+Observaciones!$F485-F486-M486-Constantes!$D$14))</f>
        <v>-9.9204212719556043E-3</v>
      </c>
      <c r="F486" s="76">
        <f>IF(Observaciones!$F485&gt;0.05*Constantes!$E$18,((Observaciones!$F485-0.05*Constantes!$E$18)^2)/(Observaciones!$F485+0.95*Constantes!$E$18),0)</f>
        <v>0</v>
      </c>
      <c r="G486" s="76">
        <f>IF(Escenarios!$E$11&gt;0,(F486*Escenarios!$E$16*10000)/1000,0)</f>
        <v>0</v>
      </c>
      <c r="H486" s="76">
        <f>IF(Escenarios!$E$11&gt;0,(Observaciones!$F485*Constantes!$E$29)/1000,0)</f>
        <v>0</v>
      </c>
      <c r="I486" s="76">
        <f>IF(Escenarios!$E$11&gt;0,(D486*Constantes!$E$29)/1000,0)</f>
        <v>32.424153639281826</v>
      </c>
      <c r="J486" s="76">
        <f>IF(Escenarios!$E$11&gt;0,MAX(0,G486+H486-I486),0)</f>
        <v>0</v>
      </c>
      <c r="K486" s="76">
        <f>IF(Escenarios!$E$11&gt;0,IF(J486&gt;Constantes!$E$30,1000*((J486-Constantes!$E$30)/(Escenarios!$E$16*10000)),0),F486)</f>
        <v>0</v>
      </c>
      <c r="L486" s="76">
        <f>IF(Escenarios!$E$11&gt;0,I486*1000/Escenarios!$E$16/10000+E486,E486)</f>
        <v>3.0492401837571258E-3</v>
      </c>
      <c r="M486" s="76">
        <f>MAX(0,N485+Observaciones!$F485-K486-Constantes!$D$13)</f>
        <v>0</v>
      </c>
      <c r="N486" s="76">
        <f>N485+Observaciones!$F485-K486-L486-M486-O485</f>
        <v>11.234550233226299</v>
      </c>
      <c r="O486" s="76">
        <f>MAX(0,(N486-Constantes!$D$14)*(1-EXP(-Constantes!$D$22)))</f>
        <v>0</v>
      </c>
      <c r="P486" s="170">
        <f>P485+(Entradas!$E$83*M486-Q485)/(800*Entradas!$D$25)</f>
        <v>0</v>
      </c>
      <c r="Q486" s="170">
        <f>8000*Entradas!$D$26*P486/Constantes!$E$45</f>
        <v>0</v>
      </c>
      <c r="R486" s="170">
        <f>IF(Escenarios!$E$14&gt;0,K486*Escenarios!$E$13/Escenarios!$E$14,0)</f>
        <v>0</v>
      </c>
      <c r="S486" s="170">
        <f>IF(Escenarios!$E$14&gt;0,Q486*Escenarios!$E$13/Escenarios!$E$14,0)</f>
        <v>0</v>
      </c>
      <c r="T486" s="170">
        <f>IF(Escenarios!$E$14&gt;0,Observaciones!$I485,0)</f>
        <v>0</v>
      </c>
      <c r="U486" s="170">
        <f>IF(Escenarios!$E$14&gt;0,MAX(0,Constantes!$E$36/((Z485+R486+S486+T486+Observaciones!$F485)^2)+Entradas!$E$77),0)</f>
        <v>0</v>
      </c>
      <c r="V486" s="146">
        <f>IF(ETo!D485&gt;0,ETo!I485*((1-Entradas!$E$81)*ETo!K485+ETo!L485),0)</f>
        <v>2.9404618385484489</v>
      </c>
      <c r="W486" s="170">
        <f>IF(Escenarios!$E$14&gt;0,MIN(V486*1,0.8*(Z485+R486+S486+T486+Observaciones!$F485-U486-Constantes!$E$35)),0)</f>
        <v>7.1763528777154306E-2</v>
      </c>
      <c r="X486" s="170">
        <f>IF(Escenarios!$E$14&gt;0,Observaciones!$J485,0)</f>
        <v>0</v>
      </c>
      <c r="Y486" s="170">
        <f>IF(Escenarios!$E$14&gt;0,MAX(0,Z485+R486+S486+T486+Observaciones!$F485-U486-W486-X486-Constantes!$E$33),0)</f>
        <v>0</v>
      </c>
      <c r="Z486" s="170">
        <f>Z485+R486+S486+T486+Observaciones!$F485-U486-W486-Y486</f>
        <v>41.267940882194289</v>
      </c>
      <c r="AA486" s="170">
        <f>IF(Escenarios!$E$14&gt;0,(Escenarios!$E$13*L486+Escenarios!$E$14*W486)/(Escenarios!$E$16),L486)</f>
        <v>1.1294954814964788E-2</v>
      </c>
      <c r="AB486" s="170">
        <f>IF(Escenarios!$E$14&gt;0,(Escenarios!$E$14*Y486)/(Escenarios!$E$16),K486)</f>
        <v>0</v>
      </c>
      <c r="AC486" s="170">
        <f>IF(Escenarios!$E$14&gt;0,(Escenarios!$E$13*M486+Escenarios!$E$14*U486)/(Escenarios!$E$16),M486)</f>
        <v>0</v>
      </c>
      <c r="AD486" s="76">
        <f t="shared" si="99"/>
        <v>153.5945259325548</v>
      </c>
      <c r="AE486" s="76">
        <f>MAX(0,(AD486-Constantes!$D$13)*(1-EXP(-Constantes!$D$23)))</f>
        <v>1.0330580860339762</v>
      </c>
      <c r="AF486" s="76">
        <f>AB486+O486*Escenarios!$E$13/Escenarios!$E$16+AE486</f>
        <v>1.0330580860339762</v>
      </c>
      <c r="AG486" s="76">
        <f>IF(Entradas!$E$91&gt;0,IF(AF486-Escenarios!$E$38&lt;=0,0,IF(AF486-Escenarios!$E$38&gt;Escenarios!$E$37,Escenarios!$E$37,AF486-Escenarios!$E$38)),0)</f>
        <v>0</v>
      </c>
      <c r="AH486" s="76">
        <f>AG486*Entradas!$E$99</f>
        <v>0</v>
      </c>
      <c r="AI486" s="76">
        <f>IF(Entradas!$E$91&gt;0,D486*Entradas!$D$23/Escenarios!$E$16,0)</f>
        <v>0</v>
      </c>
      <c r="AJ486" s="76">
        <f>IF(Entradas!$E$91&gt;0,Entradas!$D$24*Entradas!$D$22/Escenarios!$E$16,0)</f>
        <v>0</v>
      </c>
      <c r="AK486" s="76">
        <f t="shared" si="108"/>
        <v>1.1294954814964788E-2</v>
      </c>
      <c r="AL486" s="76">
        <f t="shared" si="109"/>
        <v>0</v>
      </c>
      <c r="AM486" s="76">
        <f t="shared" si="100"/>
        <v>0</v>
      </c>
      <c r="AN486" s="76">
        <f>MAX(0,O486*Escenarios!$E$13/Escenarios!$E$16-AM486)</f>
        <v>0</v>
      </c>
      <c r="AO486" s="76">
        <f>AM486+AN486-O486*Escenarios!$E$13/Escenarios!$E$16</f>
        <v>0</v>
      </c>
      <c r="AP486" s="76">
        <f t="shared" si="98"/>
        <v>1.0330580860339762</v>
      </c>
      <c r="AQ486" s="76">
        <f t="shared" si="101"/>
        <v>0</v>
      </c>
      <c r="AR486" s="76">
        <f t="shared" si="102"/>
        <v>1.0330580860339762</v>
      </c>
      <c r="AS486" s="76">
        <f t="shared" si="103"/>
        <v>0</v>
      </c>
      <c r="AT486" s="76">
        <f t="shared" si="104"/>
        <v>0</v>
      </c>
      <c r="AU486" s="76">
        <f t="shared" si="105"/>
        <v>48.75</v>
      </c>
      <c r="AV486" s="76">
        <f>MAX(0,(AU486-Constantes!$D$13)*(1-EXP(-Constantes!$D$24)))</f>
        <v>0</v>
      </c>
      <c r="AW486" s="170">
        <f>AW485+(Entradas!$E$112*AT486-AX485)/(800*Entradas!$D$25)</f>
        <v>0</v>
      </c>
      <c r="AX486" s="170">
        <f>8000*Entradas!$D$26*AW486/Constantes!$E$45</f>
        <v>0</v>
      </c>
      <c r="AY486" s="170">
        <f>IF(Escenarios!$E$17&gt;0,10*Escenarios!$E$16*AL486,0)</f>
        <v>0</v>
      </c>
      <c r="AZ486" s="170">
        <f>IF(Escenarios!$E$17&gt;0,10*Escenarios!$E$16*AX486,0)</f>
        <v>0</v>
      </c>
      <c r="BA486" s="170">
        <f>IF(Escenarios!$E$17&gt;0,0.001*Observaciones!$F485*Escenarios!$E$17,0)</f>
        <v>0</v>
      </c>
      <c r="BB486" s="170">
        <f>IF(Escenarios!$E$17&gt;0,Observaciones!$K485,0)</f>
        <v>0</v>
      </c>
      <c r="BC486" s="170">
        <f>IF(Escenarios!$E$17&gt;0,MIN(0.0005*ETo!$M485*Escenarios!$E$17*(BG485/Constantes!$E$40)^(2/3),BG485+AY486+AZ486+BA486+BB486),0)</f>
        <v>24.711103121457196</v>
      </c>
      <c r="BD486" s="170">
        <f>IF(Escenarios!$E$17&gt;0,MIN(Constantes!$E$39*(BG485/Constantes!$E$40)^(2/3),BG485+AY486+AZ486+BA486+BB486-BC486),0)</f>
        <v>53.177206789165155</v>
      </c>
      <c r="BE486" s="170">
        <f>IF(Escenarios!$E$17&gt;0,MIN(Entradas!$E$113,BG485+AY486+AZ486+BA486+BB486-BC486-BD486),0)</f>
        <v>1</v>
      </c>
      <c r="BF486" s="170">
        <f>IF(Escenarios!$E$17&gt;0,MAX(0,BG485+AY486+AZ486+BA486+BB486-BC486-BD486-BE486-Constantes!$E$40),0)</f>
        <v>0</v>
      </c>
      <c r="BG486" s="170">
        <f t="shared" si="110"/>
        <v>3534.0624517365391</v>
      </c>
      <c r="BH486" s="170">
        <f>(Escenarios!$E$16*AK486+0.1*BC486)/(Escenarios!$E$19)</f>
        <v>2.1011305618598878E-2</v>
      </c>
      <c r="BI486" s="170">
        <f>IF(Escenarios!$E$17&gt;0,BF486/10/Escenarios!$E$19,AL486)</f>
        <v>0</v>
      </c>
      <c r="BJ486" s="170">
        <f>(Escenarios!$E$16*AT486+0.1*BD486)/(Escenarios!$E$19)</f>
        <v>2.110206618617665E-2</v>
      </c>
      <c r="BK486" s="76">
        <f>BK485+(0.1*BD486)/(Escenarios!$E$19)-BL485</f>
        <v>50.746845255505818</v>
      </c>
      <c r="BL486" s="76">
        <f>MAX(0,(BK486-Constantes!$D$13)*(1-EXP(-Constantes!$D$23)))</f>
        <v>1.967539191398392E-2</v>
      </c>
      <c r="BM486" s="76">
        <f t="shared" si="106"/>
        <v>1.05273347794796</v>
      </c>
      <c r="BN486" s="76">
        <f t="shared" si="111"/>
        <v>1.05273347794796</v>
      </c>
      <c r="BO486" s="76">
        <f>0.0526*BI486*Observaciones!$F485^1.218</f>
        <v>0</v>
      </c>
      <c r="BP486" s="76">
        <f>BO486*Constantes!$E$51</f>
        <v>0</v>
      </c>
      <c r="BQ486" s="76">
        <f t="shared" si="107"/>
        <v>0</v>
      </c>
      <c r="BR486" s="40"/>
    </row>
    <row r="487" spans="1:70">
      <c r="A487" s="147"/>
      <c r="B487" s="39"/>
      <c r="C487" s="75">
        <v>481</v>
      </c>
      <c r="D487" s="146">
        <f>ETo!$I486*((1-Constantes!$E$19)*ETo!$K486+ETo!$L486)</f>
        <v>3.2460193529673225</v>
      </c>
      <c r="E487" s="76">
        <f>MIN(D487*Constantes!$E$17,0.8*(N486+Observaciones!$F486-F487-M487-Constantes!$D$14))</f>
        <v>1.587018830071145</v>
      </c>
      <c r="F487" s="76">
        <f>IF(Observaciones!$F486&gt;0.05*Constantes!$E$18,((Observaciones!$F486-0.05*Constantes!$E$18)^2)/(Observaciones!$F486+0.95*Constantes!$E$18),0)</f>
        <v>0.34186542687573257</v>
      </c>
      <c r="G487" s="76">
        <f>IF(Escenarios!$E$11&gt;0,(F487*Escenarios!$E$16*10000)/1000,0)</f>
        <v>854.66356718933139</v>
      </c>
      <c r="H487" s="76">
        <f>IF(Escenarios!$E$11&gt;0,(Observaciones!$F486*Constantes!$E$29)/1000,0)</f>
        <v>125</v>
      </c>
      <c r="I487" s="76">
        <f>IF(Escenarios!$E$11&gt;0,(D487*Constantes!$E$29)/1000,0)</f>
        <v>32.460193529673226</v>
      </c>
      <c r="J487" s="76">
        <f>IF(Escenarios!$E$11&gt;0,MAX(0,G487+H487-I487),0)</f>
        <v>947.20337365965815</v>
      </c>
      <c r="K487" s="76">
        <f>IF(Escenarios!$E$11&gt;0,IF(J487&gt;Constantes!$E$30,1000*((J487-Constantes!$E$30)/(Escenarios!$E$16*10000)),0),F487)</f>
        <v>0</v>
      </c>
      <c r="L487" s="76">
        <f>IF(Escenarios!$E$11&gt;0,I487*1000/Escenarios!$E$16/10000+E487,E487)</f>
        <v>1.6000029074830142</v>
      </c>
      <c r="M487" s="76">
        <f>MAX(0,N486+Observaciones!$F486-K487-Constantes!$D$13)</f>
        <v>0</v>
      </c>
      <c r="N487" s="76">
        <f>N486+Observaciones!$F486-K487-L487-M487-O486</f>
        <v>22.134547325743288</v>
      </c>
      <c r="O487" s="76">
        <f>MAX(0,(N487-Constantes!$D$14)*(1-EXP(-Constantes!$D$22)))</f>
        <v>0.37076763990607081</v>
      </c>
      <c r="P487" s="170">
        <f>P486+(Entradas!$E$83*M487-Q486)/(800*Entradas!$D$25)</f>
        <v>0</v>
      </c>
      <c r="Q487" s="170">
        <f>8000*Entradas!$D$26*P487/Constantes!$E$45</f>
        <v>0</v>
      </c>
      <c r="R487" s="170">
        <f>IF(Escenarios!$E$14&gt;0,K487*Escenarios!$E$13/Escenarios!$E$14,0)</f>
        <v>0</v>
      </c>
      <c r="S487" s="170">
        <f>IF(Escenarios!$E$14&gt;0,Q487*Escenarios!$E$13/Escenarios!$E$14,0)</f>
        <v>0</v>
      </c>
      <c r="T487" s="170">
        <f>IF(Escenarios!$E$14&gt;0,Observaciones!$I486,0)</f>
        <v>0</v>
      </c>
      <c r="U487" s="170">
        <f>IF(Escenarios!$E$14&gt;0,MAX(0,Constantes!$E$36/((Z486+R487+S487+T487+Observaciones!$F486)^2)+Entradas!$E$77),0)</f>
        <v>0</v>
      </c>
      <c r="V487" s="146">
        <f>IF(ETo!D486&gt;0,ETo!I486*((1-Entradas!$E$81)*ETo!K486+ETo!L486),0)</f>
        <v>2.9434164202352102</v>
      </c>
      <c r="W487" s="170">
        <f>IF(Escenarios!$E$14&gt;0,MIN(V487*1,0.8*(Z486+R487+S487+T487+Observaciones!$F486-U487-Constantes!$E$35)),0)</f>
        <v>2.9434164202352102</v>
      </c>
      <c r="X487" s="170">
        <f>IF(Escenarios!$E$14&gt;0,Observaciones!$J486,0)</f>
        <v>0</v>
      </c>
      <c r="Y487" s="170">
        <f>IF(Escenarios!$E$14&gt;0,MAX(0,Z486+R487+S487+T487+Observaciones!$F486-U487-W487-X487-Constantes!$E$33),0)</f>
        <v>0</v>
      </c>
      <c r="Z487" s="170">
        <f>Z486+R487+S487+T487+Observaciones!$F486-U487-W487-Y487</f>
        <v>50.824524461959079</v>
      </c>
      <c r="AA487" s="170">
        <f>IF(Escenarios!$E$14&gt;0,(Escenarios!$E$13*L487+Escenarios!$E$14*W487)/(Escenarios!$E$16),L487)</f>
        <v>1.7612125290132778</v>
      </c>
      <c r="AB487" s="170">
        <f>IF(Escenarios!$E$14&gt;0,(Escenarios!$E$14*Y487)/(Escenarios!$E$16),K487)</f>
        <v>0</v>
      </c>
      <c r="AC487" s="170">
        <f>IF(Escenarios!$E$14&gt;0,(Escenarios!$E$13*M487+Escenarios!$E$14*U487)/(Escenarios!$E$16),M487)</f>
        <v>0</v>
      </c>
      <c r="AD487" s="76">
        <f t="shared" si="99"/>
        <v>152.56146784652083</v>
      </c>
      <c r="AE487" s="76">
        <f>MAX(0,(AD487-Constantes!$D$13)*(1-EXP(-Constantes!$D$23)))</f>
        <v>1.0228791186570174</v>
      </c>
      <c r="AF487" s="76">
        <f>AB487+O487*Escenarios!$E$13/Escenarios!$E$16+AE487</f>
        <v>1.3491546417743598</v>
      </c>
      <c r="AG487" s="76">
        <f>IF(Entradas!$E$91&gt;0,IF(AF487-Escenarios!$E$38&lt;=0,0,IF(AF487-Escenarios!$E$38&gt;Escenarios!$E$37,Escenarios!$E$37,AF487-Escenarios!$E$38)),0)</f>
        <v>0</v>
      </c>
      <c r="AH487" s="76">
        <f>AG487*Entradas!$E$99</f>
        <v>0</v>
      </c>
      <c r="AI487" s="76">
        <f>IF(Entradas!$E$91&gt;0,D487*Entradas!$D$23/Escenarios!$E$16,0)</f>
        <v>0</v>
      </c>
      <c r="AJ487" s="76">
        <f>IF(Entradas!$E$91&gt;0,Entradas!$D$24*Entradas!$D$22/Escenarios!$E$16,0)</f>
        <v>0</v>
      </c>
      <c r="AK487" s="76">
        <f t="shared" si="108"/>
        <v>1.7612125290132778</v>
      </c>
      <c r="AL487" s="76">
        <f t="shared" si="109"/>
        <v>0</v>
      </c>
      <c r="AM487" s="76">
        <f t="shared" si="100"/>
        <v>0</v>
      </c>
      <c r="AN487" s="76">
        <f>MAX(0,O487*Escenarios!$E$13/Escenarios!$E$16-AM487)</f>
        <v>0.32627552311734231</v>
      </c>
      <c r="AO487" s="76">
        <f>AM487+AN487-O487*Escenarios!$E$13/Escenarios!$E$16</f>
        <v>0</v>
      </c>
      <c r="AP487" s="76">
        <f t="shared" si="98"/>
        <v>1.0228791186570174</v>
      </c>
      <c r="AQ487" s="76">
        <f t="shared" si="101"/>
        <v>0</v>
      </c>
      <c r="AR487" s="76">
        <f t="shared" si="102"/>
        <v>1.3491546417743598</v>
      </c>
      <c r="AS487" s="76">
        <f t="shared" si="103"/>
        <v>0</v>
      </c>
      <c r="AT487" s="76">
        <f t="shared" si="104"/>
        <v>0</v>
      </c>
      <c r="AU487" s="76">
        <f t="shared" si="105"/>
        <v>48.75</v>
      </c>
      <c r="AV487" s="76">
        <f>MAX(0,(AU487-Constantes!$D$13)*(1-EXP(-Constantes!$D$24)))</f>
        <v>0</v>
      </c>
      <c r="AW487" s="170">
        <f>AW486+(Entradas!$E$112*AT487-AX486)/(800*Entradas!$D$25)</f>
        <v>0</v>
      </c>
      <c r="AX487" s="170">
        <f>8000*Entradas!$D$26*AW487/Constantes!$E$45</f>
        <v>0</v>
      </c>
      <c r="AY487" s="170">
        <f>IF(Escenarios!$E$17&gt;0,10*Escenarios!$E$16*AL487,0)</f>
        <v>0</v>
      </c>
      <c r="AZ487" s="170">
        <f>IF(Escenarios!$E$17&gt;0,10*Escenarios!$E$16*AX487,0)</f>
        <v>0</v>
      </c>
      <c r="BA487" s="170">
        <f>IF(Escenarios!$E$17&gt;0,0.001*Observaciones!$F486*Escenarios!$E$17,0)</f>
        <v>250</v>
      </c>
      <c r="BB487" s="170">
        <f>IF(Escenarios!$E$17&gt;0,Observaciones!$K486,0)</f>
        <v>0</v>
      </c>
      <c r="BC487" s="170">
        <f>IF(Escenarios!$E$17&gt;0,MIN(0.0005*ETo!$M486*Escenarios!$E$17*(BG486/Constantes!$E$40)^(2/3),BG486+AY487+AZ487+BA487+BB487),0)</f>
        <v>24.380371557595918</v>
      </c>
      <c r="BD487" s="170">
        <f>IF(Escenarios!$E$17&gt;0,MIN(Constantes!$E$39*(BG486/Constantes!$E$40)^(2/3),BG486+AY487+AZ487+BA487+BB487-BC487),0)</f>
        <v>52.400283853710363</v>
      </c>
      <c r="BE487" s="170">
        <f>IF(Escenarios!$E$17&gt;0,MIN(Entradas!$E$113,BG486+AY487+AZ487+BA487+BB487-BC487-BD487),0)</f>
        <v>1</v>
      </c>
      <c r="BF487" s="170">
        <f>IF(Escenarios!$E$17&gt;0,MAX(0,BG486+AY487+AZ487+BA487+BB487-BC487-BD487-BE487-Constantes!$E$40),0)</f>
        <v>0</v>
      </c>
      <c r="BG487" s="170">
        <f t="shared" si="110"/>
        <v>3706.2817963252328</v>
      </c>
      <c r="BH487" s="170">
        <f>(Escenarios!$E$16*AK487+0.1*BC487)/(Escenarios!$E$19)</f>
        <v>1.7569094024169805</v>
      </c>
      <c r="BI487" s="170">
        <f>IF(Escenarios!$E$17&gt;0,BF487/10/Escenarios!$E$19,AL487)</f>
        <v>0</v>
      </c>
      <c r="BJ487" s="170">
        <f>(Escenarios!$E$16*AT487+0.1*BD487)/(Escenarios!$E$19)</f>
        <v>2.0793763434012052E-2</v>
      </c>
      <c r="BK487" s="76">
        <f>BK486+(0.1*BD487)/(Escenarios!$E$19)-BL486</f>
        <v>50.747963627025847</v>
      </c>
      <c r="BL487" s="76">
        <f>MAX(0,(BK487-Constantes!$D$13)*(1-EXP(-Constantes!$D$23)))</f>
        <v>1.9686411494946106E-2</v>
      </c>
      <c r="BM487" s="76">
        <f t="shared" si="106"/>
        <v>1.0425655301519636</v>
      </c>
      <c r="BN487" s="76">
        <f t="shared" si="111"/>
        <v>1.3688410532693061</v>
      </c>
      <c r="BO487" s="76">
        <f>0.0526*BI487*Observaciones!$F486^1.218</f>
        <v>0</v>
      </c>
      <c r="BP487" s="76">
        <f>BO487*Constantes!$E$51</f>
        <v>0</v>
      </c>
      <c r="BQ487" s="76">
        <f t="shared" si="107"/>
        <v>0</v>
      </c>
      <c r="BR487" s="40"/>
    </row>
    <row r="488" spans="1:70">
      <c r="A488" s="147"/>
      <c r="B488" s="39"/>
      <c r="C488" s="75">
        <v>482</v>
      </c>
      <c r="D488" s="146">
        <f>ETo!$I487*((1-Constantes!$E$19)*ETo!$K487+ETo!$L487)</f>
        <v>3.3865991978078562</v>
      </c>
      <c r="E488" s="76">
        <f>MIN(D488*Constantes!$E$17,0.8*(N487+Observaciones!$F487-F488-M488-Constantes!$D$14))</f>
        <v>1.6557500471806361</v>
      </c>
      <c r="F488" s="76">
        <f>IF(Observaciones!$F487&gt;0.05*Constantes!$E$18,((Observaciones!$F487-0.05*Constantes!$E$18)^2)/(Observaciones!$F487+0.95*Constantes!$E$18),0)</f>
        <v>0</v>
      </c>
      <c r="G488" s="76">
        <f>IF(Escenarios!$E$11&gt;0,(F488*Escenarios!$E$16*10000)/1000,0)</f>
        <v>0</v>
      </c>
      <c r="H488" s="76">
        <f>IF(Escenarios!$E$11&gt;0,(Observaciones!$F487*Constantes!$E$29)/1000,0)</f>
        <v>0</v>
      </c>
      <c r="I488" s="76">
        <f>IF(Escenarios!$E$11&gt;0,(D488*Constantes!$E$29)/1000,0)</f>
        <v>33.865991978078561</v>
      </c>
      <c r="J488" s="76">
        <f>IF(Escenarios!$E$11&gt;0,MAX(0,G488+H488-I488),0)</f>
        <v>0</v>
      </c>
      <c r="K488" s="76">
        <f>IF(Escenarios!$E$11&gt;0,IF(J488&gt;Constantes!$E$30,1000*((J488-Constantes!$E$30)/(Escenarios!$E$16*10000)),0),F488)</f>
        <v>0</v>
      </c>
      <c r="L488" s="76">
        <f>IF(Escenarios!$E$11&gt;0,I488*1000/Escenarios!$E$16/10000+E488,E488)</f>
        <v>1.6692964439718676</v>
      </c>
      <c r="M488" s="76">
        <f>MAX(0,N487+Observaciones!$F487-K488-Constantes!$D$13)</f>
        <v>0</v>
      </c>
      <c r="N488" s="76">
        <f>N487+Observaciones!$F487-K488-L488-M488-O487</f>
        <v>20.094483241865351</v>
      </c>
      <c r="O488" s="76">
        <f>MAX(0,(N488-Constantes!$D$14)*(1-EXP(-Constantes!$D$22)))</f>
        <v>0.30127556798061661</v>
      </c>
      <c r="P488" s="170">
        <f>P487+(Entradas!$E$83*M488-Q487)/(800*Entradas!$D$25)</f>
        <v>0</v>
      </c>
      <c r="Q488" s="170">
        <f>8000*Entradas!$D$26*P488/Constantes!$E$45</f>
        <v>0</v>
      </c>
      <c r="R488" s="170">
        <f>IF(Escenarios!$E$14&gt;0,K488*Escenarios!$E$13/Escenarios!$E$14,0)</f>
        <v>0</v>
      </c>
      <c r="S488" s="170">
        <f>IF(Escenarios!$E$14&gt;0,Q488*Escenarios!$E$13/Escenarios!$E$14,0)</f>
        <v>0</v>
      </c>
      <c r="T488" s="170">
        <f>IF(Escenarios!$E$14&gt;0,Observaciones!$I487,0)</f>
        <v>0</v>
      </c>
      <c r="U488" s="170">
        <f>IF(Escenarios!$E$14&gt;0,MAX(0,Constantes!$E$36/((Z487+R488+S488+T488+Observaciones!$F487)^2)+Entradas!$E$77),0)</f>
        <v>0</v>
      </c>
      <c r="V488" s="146">
        <f>IF(ETo!D487&gt;0,ETo!I487*((1-Entradas!$E$81)*ETo!K487+ETo!L487),0)</f>
        <v>3.072443370408438</v>
      </c>
      <c r="W488" s="170">
        <f>IF(Escenarios!$E$14&gt;0,MIN(V488*1,0.8*(Z487+R488+S488+T488+Observaciones!$F487-U488-Constantes!$E$35)),0)</f>
        <v>3.072443370408438</v>
      </c>
      <c r="X488" s="170">
        <f>IF(Escenarios!$E$14&gt;0,Observaciones!$J487,0)</f>
        <v>0</v>
      </c>
      <c r="Y488" s="170">
        <f>IF(Escenarios!$E$14&gt;0,MAX(0,Z487+R488+S488+T488+Observaciones!$F487-U488-W488-X488-Constantes!$E$33),0)</f>
        <v>0</v>
      </c>
      <c r="Z488" s="170">
        <f>Z487+R488+S488+T488+Observaciones!$F487-U488-W488-Y488</f>
        <v>47.752081091550643</v>
      </c>
      <c r="AA488" s="170">
        <f>IF(Escenarios!$E$14&gt;0,(Escenarios!$E$13*L488+Escenarios!$E$14*W488)/(Escenarios!$E$16),L488)</f>
        <v>1.8376740751442562</v>
      </c>
      <c r="AB488" s="170">
        <f>IF(Escenarios!$E$14&gt;0,(Escenarios!$E$14*Y488)/(Escenarios!$E$16),K488)</f>
        <v>0</v>
      </c>
      <c r="AC488" s="170">
        <f>IF(Escenarios!$E$14&gt;0,(Escenarios!$E$13*M488+Escenarios!$E$14*U488)/(Escenarios!$E$16),M488)</f>
        <v>0</v>
      </c>
      <c r="AD488" s="76">
        <f t="shared" si="99"/>
        <v>151.53858872786381</v>
      </c>
      <c r="AE488" s="76">
        <f>MAX(0,(AD488-Constantes!$D$13)*(1-EXP(-Constantes!$D$23)))</f>
        <v>1.0128004470700649</v>
      </c>
      <c r="AF488" s="76">
        <f>AB488+O488*Escenarios!$E$13/Escenarios!$E$16+AE488</f>
        <v>1.2779229468930076</v>
      </c>
      <c r="AG488" s="76">
        <f>IF(Entradas!$E$91&gt;0,IF(AF488-Escenarios!$E$38&lt;=0,0,IF(AF488-Escenarios!$E$38&gt;Escenarios!$E$37,Escenarios!$E$37,AF488-Escenarios!$E$38)),0)</f>
        <v>0</v>
      </c>
      <c r="AH488" s="76">
        <f>AG488*Entradas!$E$99</f>
        <v>0</v>
      </c>
      <c r="AI488" s="76">
        <f>IF(Entradas!$E$91&gt;0,D488*Entradas!$D$23/Escenarios!$E$16,0)</f>
        <v>0</v>
      </c>
      <c r="AJ488" s="76">
        <f>IF(Entradas!$E$91&gt;0,Entradas!$D$24*Entradas!$D$22/Escenarios!$E$16,0)</f>
        <v>0</v>
      </c>
      <c r="AK488" s="76">
        <f t="shared" si="108"/>
        <v>1.8376740751442562</v>
      </c>
      <c r="AL488" s="76">
        <f t="shared" si="109"/>
        <v>0</v>
      </c>
      <c r="AM488" s="76">
        <f t="shared" si="100"/>
        <v>0</v>
      </c>
      <c r="AN488" s="76">
        <f>MAX(0,O488*Escenarios!$E$13/Escenarios!$E$16-AM488)</f>
        <v>0.26512249982294267</v>
      </c>
      <c r="AO488" s="76">
        <f>AM488+AN488-O488*Escenarios!$E$13/Escenarios!$E$16</f>
        <v>0</v>
      </c>
      <c r="AP488" s="76">
        <f t="shared" si="98"/>
        <v>1.0128004470700649</v>
      </c>
      <c r="AQ488" s="76">
        <f t="shared" si="101"/>
        <v>0</v>
      </c>
      <c r="AR488" s="76">
        <f t="shared" si="102"/>
        <v>1.2779229468930076</v>
      </c>
      <c r="AS488" s="76">
        <f t="shared" si="103"/>
        <v>0</v>
      </c>
      <c r="AT488" s="76">
        <f t="shared" si="104"/>
        <v>0</v>
      </c>
      <c r="AU488" s="76">
        <f t="shared" si="105"/>
        <v>48.75</v>
      </c>
      <c r="AV488" s="76">
        <f>MAX(0,(AU488-Constantes!$D$13)*(1-EXP(-Constantes!$D$24)))</f>
        <v>0</v>
      </c>
      <c r="AW488" s="170">
        <f>AW487+(Entradas!$E$112*AT488-AX487)/(800*Entradas!$D$25)</f>
        <v>0</v>
      </c>
      <c r="AX488" s="170">
        <f>8000*Entradas!$D$26*AW488/Constantes!$E$45</f>
        <v>0</v>
      </c>
      <c r="AY488" s="170">
        <f>IF(Escenarios!$E$17&gt;0,10*Escenarios!$E$16*AL488,0)</f>
        <v>0</v>
      </c>
      <c r="AZ488" s="170">
        <f>IF(Escenarios!$E$17&gt;0,10*Escenarios!$E$16*AX488,0)</f>
        <v>0</v>
      </c>
      <c r="BA488" s="170">
        <f>IF(Escenarios!$E$17&gt;0,0.001*Observaciones!$F487*Escenarios!$E$17,0)</f>
        <v>0</v>
      </c>
      <c r="BB488" s="170">
        <f>IF(Escenarios!$E$17&gt;0,Observaciones!$K487,0)</f>
        <v>0</v>
      </c>
      <c r="BC488" s="170">
        <f>IF(Escenarios!$E$17&gt;0,MIN(0.0005*ETo!$M487*Escenarios!$E$17*(BG487/Constantes!$E$40)^(2/3),BG487+AY488+AZ488+BA488+BB488),0)</f>
        <v>26.239520898728173</v>
      </c>
      <c r="BD488" s="170">
        <f>IF(Escenarios!$E$17&gt;0,MIN(Constantes!$E$39*(BG487/Constantes!$E$40)^(2/3),BG487+AY488+AZ488+BA488+BB488-BC488),0)</f>
        <v>54.089103596817665</v>
      </c>
      <c r="BE488" s="170">
        <f>IF(Escenarios!$E$17&gt;0,MIN(Entradas!$E$113,BG487+AY488+AZ488+BA488+BB488-BC488-BD488),0)</f>
        <v>1</v>
      </c>
      <c r="BF488" s="170">
        <f>IF(Escenarios!$E$17&gt;0,MAX(0,BG487+AY488+AZ488+BA488+BB488-BC488-BD488-BE488-Constantes!$E$40),0)</f>
        <v>0</v>
      </c>
      <c r="BG488" s="170">
        <f t="shared" si="110"/>
        <v>3624.9531718296871</v>
      </c>
      <c r="BH488" s="170">
        <f>(Escenarios!$E$16*AK488+0.1*BC488)/(Escenarios!$E$19)</f>
        <v>1.8335018685553051</v>
      </c>
      <c r="BI488" s="170">
        <f>IF(Escenarios!$E$17&gt;0,BF488/10/Escenarios!$E$19,AL488)</f>
        <v>0</v>
      </c>
      <c r="BJ488" s="170">
        <f>(Escenarios!$E$16*AT488+0.1*BD488)/(Escenarios!$E$19)</f>
        <v>2.1463929998737169E-2</v>
      </c>
      <c r="BK488" s="76">
        <f>BK487+(0.1*BD488)/(Escenarios!$E$19)-BL487</f>
        <v>50.74974114552964</v>
      </c>
      <c r="BL488" s="76">
        <f>MAX(0,(BK488-Constantes!$D$13)*(1-EXP(-Constantes!$D$23)))</f>
        <v>1.9703925808135906E-2</v>
      </c>
      <c r="BM488" s="76">
        <f t="shared" si="106"/>
        <v>1.0325043728782008</v>
      </c>
      <c r="BN488" s="76">
        <f t="shared" si="111"/>
        <v>1.2976268727011435</v>
      </c>
      <c r="BO488" s="76">
        <f>0.0526*BI488*Observaciones!$F487^1.218</f>
        <v>0</v>
      </c>
      <c r="BP488" s="76">
        <f>BO488*Constantes!$E$51</f>
        <v>0</v>
      </c>
      <c r="BQ488" s="76">
        <f t="shared" si="107"/>
        <v>0</v>
      </c>
      <c r="BR488" s="40"/>
    </row>
    <row r="489" spans="1:70">
      <c r="A489" s="147"/>
      <c r="B489" s="39"/>
      <c r="C489" s="75">
        <v>483</v>
      </c>
      <c r="D489" s="146">
        <f>ETo!$I488*((1-Constantes!$E$19)*ETo!$K488+ETo!$L488)</f>
        <v>3.231348340600789</v>
      </c>
      <c r="E489" s="76">
        <f>MIN(D489*Constantes!$E$17,0.8*(N488+Observaciones!$F488-F489-M489-Constantes!$D$14))</f>
        <v>1.5798459914802072</v>
      </c>
      <c r="F489" s="76">
        <f>IF(Observaciones!$F488&gt;0.05*Constantes!$E$18,((Observaciones!$F488-0.05*Constantes!$E$18)^2)/(Observaciones!$F488+0.95*Constantes!$E$18),0)</f>
        <v>0</v>
      </c>
      <c r="G489" s="76">
        <f>IF(Escenarios!$E$11&gt;0,(F489*Escenarios!$E$16*10000)/1000,0)</f>
        <v>0</v>
      </c>
      <c r="H489" s="76">
        <f>IF(Escenarios!$E$11&gt;0,(Observaciones!$F488*Constantes!$E$29)/1000,0)</f>
        <v>0</v>
      </c>
      <c r="I489" s="76">
        <f>IF(Escenarios!$E$11&gt;0,(D489*Constantes!$E$29)/1000,0)</f>
        <v>32.31348340600789</v>
      </c>
      <c r="J489" s="76">
        <f>IF(Escenarios!$E$11&gt;0,MAX(0,G489+H489-I489),0)</f>
        <v>0</v>
      </c>
      <c r="K489" s="76">
        <f>IF(Escenarios!$E$11&gt;0,IF(J489&gt;Constantes!$E$30,1000*((J489-Constantes!$E$30)/(Escenarios!$E$16*10000)),0),F489)</f>
        <v>0</v>
      </c>
      <c r="L489" s="76">
        <f>IF(Escenarios!$E$11&gt;0,I489*1000/Escenarios!$E$16/10000+E489,E489)</f>
        <v>1.5927713848426104</v>
      </c>
      <c r="M489" s="76">
        <f>MAX(0,N488+Observaciones!$F488-K489-Constantes!$D$13)</f>
        <v>0</v>
      </c>
      <c r="N489" s="76">
        <f>N488+Observaciones!$F488-K489-L489-M489-O488</f>
        <v>18.200436289042123</v>
      </c>
      <c r="O489" s="76">
        <f>MAX(0,(N489-Constantes!$D$14)*(1-EXP(-Constantes!$D$22)))</f>
        <v>0.23675737557874768</v>
      </c>
      <c r="P489" s="170">
        <f>P488+(Entradas!$E$83*M489-Q488)/(800*Entradas!$D$25)</f>
        <v>0</v>
      </c>
      <c r="Q489" s="170">
        <f>8000*Entradas!$D$26*P489/Constantes!$E$45</f>
        <v>0</v>
      </c>
      <c r="R489" s="170">
        <f>IF(Escenarios!$E$14&gt;0,K489*Escenarios!$E$13/Escenarios!$E$14,0)</f>
        <v>0</v>
      </c>
      <c r="S489" s="170">
        <f>IF(Escenarios!$E$14&gt;0,Q489*Escenarios!$E$13/Escenarios!$E$14,0)</f>
        <v>0</v>
      </c>
      <c r="T489" s="170">
        <f>IF(Escenarios!$E$14&gt;0,Observaciones!$I488,0)</f>
        <v>0</v>
      </c>
      <c r="U489" s="170">
        <f>IF(Escenarios!$E$14&gt;0,MAX(0,Constantes!$E$36/((Z488+R489+S489+T489+Observaciones!$F488)^2)+Entradas!$E$77),0)</f>
        <v>0</v>
      </c>
      <c r="V489" s="146">
        <f>IF(ETo!D488&gt;0,ETo!I488*((1-Entradas!$E$81)*ETo!K488+ETo!L488),0)</f>
        <v>2.9292748670581599</v>
      </c>
      <c r="W489" s="170">
        <f>IF(Escenarios!$E$14&gt;0,MIN(V489*1,0.8*(Z488+R489+S489+T489+Observaciones!$F488-U489-Constantes!$E$35)),0)</f>
        <v>2.9292748670581599</v>
      </c>
      <c r="X489" s="170">
        <f>IF(Escenarios!$E$14&gt;0,Observaciones!$J488,0)</f>
        <v>0</v>
      </c>
      <c r="Y489" s="170">
        <f>IF(Escenarios!$E$14&gt;0,MAX(0,Z488+R489+S489+T489+Observaciones!$F488-U489-W489-X489-Constantes!$E$33),0)</f>
        <v>0</v>
      </c>
      <c r="Z489" s="170">
        <f>Z488+R489+S489+T489+Observaciones!$F488-U489-W489-Y489</f>
        <v>44.822806224492481</v>
      </c>
      <c r="AA489" s="170">
        <f>IF(Escenarios!$E$14&gt;0,(Escenarios!$E$13*L489+Escenarios!$E$14*W489)/(Escenarios!$E$16),L489)</f>
        <v>1.7531518027084765</v>
      </c>
      <c r="AB489" s="170">
        <f>IF(Escenarios!$E$14&gt;0,(Escenarios!$E$14*Y489)/(Escenarios!$E$16),K489)</f>
        <v>0</v>
      </c>
      <c r="AC489" s="170">
        <f>IF(Escenarios!$E$14&gt;0,(Escenarios!$E$13*M489+Escenarios!$E$14*U489)/(Escenarios!$E$16),M489)</f>
        <v>0</v>
      </c>
      <c r="AD489" s="76">
        <f t="shared" si="99"/>
        <v>150.52578828079373</v>
      </c>
      <c r="AE489" s="76">
        <f>MAX(0,(AD489-Constantes!$D$13)*(1-EXP(-Constantes!$D$23)))</f>
        <v>1.0028210830348112</v>
      </c>
      <c r="AF489" s="76">
        <f>AB489+O489*Escenarios!$E$13/Escenarios!$E$16+AE489</f>
        <v>1.2111675735441092</v>
      </c>
      <c r="AG489" s="76">
        <f>IF(Entradas!$E$91&gt;0,IF(AF489-Escenarios!$E$38&lt;=0,0,IF(AF489-Escenarios!$E$38&gt;Escenarios!$E$37,Escenarios!$E$37,AF489-Escenarios!$E$38)),0)</f>
        <v>0</v>
      </c>
      <c r="AH489" s="76">
        <f>AG489*Entradas!$E$99</f>
        <v>0</v>
      </c>
      <c r="AI489" s="76">
        <f>IF(Entradas!$E$91&gt;0,D489*Entradas!$D$23/Escenarios!$E$16,0)</f>
        <v>0</v>
      </c>
      <c r="AJ489" s="76">
        <f>IF(Entradas!$E$91&gt;0,Entradas!$D$24*Entradas!$D$22/Escenarios!$E$16,0)</f>
        <v>0</v>
      </c>
      <c r="AK489" s="76">
        <f t="shared" si="108"/>
        <v>1.7531518027084765</v>
      </c>
      <c r="AL489" s="76">
        <f t="shared" si="109"/>
        <v>0</v>
      </c>
      <c r="AM489" s="76">
        <f t="shared" si="100"/>
        <v>0</v>
      </c>
      <c r="AN489" s="76">
        <f>MAX(0,O489*Escenarios!$E$13/Escenarios!$E$16-AM489)</f>
        <v>0.20834649050929796</v>
      </c>
      <c r="AO489" s="76">
        <f>AM489+AN489-O489*Escenarios!$E$13/Escenarios!$E$16</f>
        <v>0</v>
      </c>
      <c r="AP489" s="76">
        <f t="shared" si="98"/>
        <v>1.0028210830348112</v>
      </c>
      <c r="AQ489" s="76">
        <f t="shared" si="101"/>
        <v>0</v>
      </c>
      <c r="AR489" s="76">
        <f t="shared" si="102"/>
        <v>1.2111675735441092</v>
      </c>
      <c r="AS489" s="76">
        <f t="shared" si="103"/>
        <v>0</v>
      </c>
      <c r="AT489" s="76">
        <f t="shared" si="104"/>
        <v>0</v>
      </c>
      <c r="AU489" s="76">
        <f t="shared" si="105"/>
        <v>48.75</v>
      </c>
      <c r="AV489" s="76">
        <f>MAX(0,(AU489-Constantes!$D$13)*(1-EXP(-Constantes!$D$24)))</f>
        <v>0</v>
      </c>
      <c r="AW489" s="170">
        <f>AW488+(Entradas!$E$112*AT489-AX488)/(800*Entradas!$D$25)</f>
        <v>0</v>
      </c>
      <c r="AX489" s="170">
        <f>8000*Entradas!$D$26*AW489/Constantes!$E$45</f>
        <v>0</v>
      </c>
      <c r="AY489" s="170">
        <f>IF(Escenarios!$E$17&gt;0,10*Escenarios!$E$16*AL489,0)</f>
        <v>0</v>
      </c>
      <c r="AZ489" s="170">
        <f>IF(Escenarios!$E$17&gt;0,10*Escenarios!$E$16*AX489,0)</f>
        <v>0</v>
      </c>
      <c r="BA489" s="170">
        <f>IF(Escenarios!$E$17&gt;0,0.001*Observaciones!$F488*Escenarios!$E$17,0)</f>
        <v>0</v>
      </c>
      <c r="BB489" s="170">
        <f>IF(Escenarios!$E$17&gt;0,Observaciones!$K488,0)</f>
        <v>8.846492705771368</v>
      </c>
      <c r="BC489" s="170">
        <f>IF(Escenarios!$E$17&gt;0,MIN(0.0005*ETo!$M488*Escenarios!$E$17*(BG488/Constantes!$E$40)^(2/3),BG488+AY489+AZ489+BA489+BB489),0)</f>
        <v>24.693330944417887</v>
      </c>
      <c r="BD489" s="170">
        <f>IF(Escenarios!$E$17&gt;0,MIN(Constantes!$E$39*(BG488/Constantes!$E$40)^(2/3),BG488+AY489+AZ489+BA489+BB489-BC489),0)</f>
        <v>53.294913307600339</v>
      </c>
      <c r="BE489" s="170">
        <f>IF(Escenarios!$E$17&gt;0,MIN(Entradas!$E$113,BG488+AY489+AZ489+BA489+BB489-BC489-BD489),0)</f>
        <v>1</v>
      </c>
      <c r="BF489" s="170">
        <f>IF(Escenarios!$E$17&gt;0,MAX(0,BG488+AY489+AZ489+BA489+BB489-BC489-BD489-BE489-Constantes!$E$40),0)</f>
        <v>0</v>
      </c>
      <c r="BG489" s="170">
        <f t="shared" si="110"/>
        <v>3554.8114202834399</v>
      </c>
      <c r="BH489" s="170">
        <f>(Escenarios!$E$16*AK489+0.1*BC489)/(Escenarios!$E$19)</f>
        <v>1.7490368403633367</v>
      </c>
      <c r="BI489" s="170">
        <f>IF(Escenarios!$E$17&gt;0,BF489/10/Escenarios!$E$19,AL489)</f>
        <v>0</v>
      </c>
      <c r="BJ489" s="170">
        <f>(Escenarios!$E$16*AT489+0.1*BD489)/(Escenarios!$E$19)</f>
        <v>2.1148775122063628E-2</v>
      </c>
      <c r="BK489" s="76">
        <f>BK488+(0.1*BD489)/(Escenarios!$E$19)-BL488</f>
        <v>50.751185994843567</v>
      </c>
      <c r="BL489" s="76">
        <f>MAX(0,(BK489-Constantes!$D$13)*(1-EXP(-Constantes!$D$23)))</f>
        <v>1.9718162252562323E-2</v>
      </c>
      <c r="BM489" s="76">
        <f t="shared" si="106"/>
        <v>1.0225392452873736</v>
      </c>
      <c r="BN489" s="76">
        <f t="shared" si="111"/>
        <v>1.2308857357966716</v>
      </c>
      <c r="BO489" s="76">
        <f>0.0526*BI489*Observaciones!$F488^1.218</f>
        <v>0</v>
      </c>
      <c r="BP489" s="76">
        <f>BO489*Constantes!$E$51</f>
        <v>0</v>
      </c>
      <c r="BQ489" s="76">
        <f t="shared" si="107"/>
        <v>0</v>
      </c>
      <c r="BR489" s="40"/>
    </row>
    <row r="490" spans="1:70">
      <c r="A490" s="147"/>
      <c r="B490" s="39"/>
      <c r="C490" s="75">
        <v>484</v>
      </c>
      <c r="D490" s="146">
        <f>ETo!$I489*((1-Constantes!$E$19)*ETo!$K489+ETo!$L489)</f>
        <v>3.3311385953849517</v>
      </c>
      <c r="E490" s="76">
        <f>MIN(D490*Constantes!$E$17,0.8*(N489+Observaciones!$F489-F490-M490-Constantes!$D$14))</f>
        <v>1.6286346757667909</v>
      </c>
      <c r="F490" s="76">
        <f>IF(Observaciones!$F489&gt;0.05*Constantes!$E$18,((Observaciones!$F489-0.05*Constantes!$E$18)^2)/(Observaciones!$F489+0.95*Constantes!$E$18),0)</f>
        <v>0</v>
      </c>
      <c r="G490" s="76">
        <f>IF(Escenarios!$E$11&gt;0,(F490*Escenarios!$E$16*10000)/1000,0)</f>
        <v>0</v>
      </c>
      <c r="H490" s="76">
        <f>IF(Escenarios!$E$11&gt;0,(Observaciones!$F489*Constantes!$E$29)/1000,0)</f>
        <v>0</v>
      </c>
      <c r="I490" s="76">
        <f>IF(Escenarios!$E$11&gt;0,(D490*Constantes!$E$29)/1000,0)</f>
        <v>33.311385953849516</v>
      </c>
      <c r="J490" s="76">
        <f>IF(Escenarios!$E$11&gt;0,MAX(0,G490+H490-I490),0)</f>
        <v>0</v>
      </c>
      <c r="K490" s="76">
        <f>IF(Escenarios!$E$11&gt;0,IF(J490&gt;Constantes!$E$30,1000*((J490-Constantes!$E$30)/(Escenarios!$E$16*10000)),0),F490)</f>
        <v>0</v>
      </c>
      <c r="L490" s="76">
        <f>IF(Escenarios!$E$11&gt;0,I490*1000/Escenarios!$E$16/10000+E490,E490)</f>
        <v>1.6419592301483308</v>
      </c>
      <c r="M490" s="76">
        <f>MAX(0,N489+Observaciones!$F489-K490-Constantes!$D$13)</f>
        <v>0</v>
      </c>
      <c r="N490" s="76">
        <f>N489+Observaciones!$F489-K490-L490-M490-O489</f>
        <v>16.321719683315045</v>
      </c>
      <c r="O490" s="76">
        <f>MAX(0,(N490-Constantes!$D$14)*(1-EXP(-Constantes!$D$22)))</f>
        <v>0.17276139107782995</v>
      </c>
      <c r="P490" s="170">
        <f>P489+(Entradas!$E$83*M490-Q489)/(800*Entradas!$D$25)</f>
        <v>0</v>
      </c>
      <c r="Q490" s="170">
        <f>8000*Entradas!$D$26*P490/Constantes!$E$45</f>
        <v>0</v>
      </c>
      <c r="R490" s="170">
        <f>IF(Escenarios!$E$14&gt;0,K490*Escenarios!$E$13/Escenarios!$E$14,0)</f>
        <v>0</v>
      </c>
      <c r="S490" s="170">
        <f>IF(Escenarios!$E$14&gt;0,Q490*Escenarios!$E$13/Escenarios!$E$14,0)</f>
        <v>0</v>
      </c>
      <c r="T490" s="170">
        <f>IF(Escenarios!$E$14&gt;0,Observaciones!$I489,0)</f>
        <v>0</v>
      </c>
      <c r="U490" s="170">
        <f>IF(Escenarios!$E$14&gt;0,MAX(0,Constantes!$E$36/((Z489+R490+S490+T490+Observaciones!$F489)^2)+Entradas!$E$77),0)</f>
        <v>0</v>
      </c>
      <c r="V490" s="146">
        <f>IF(ETo!D489&gt;0,ETo!I489*((1-Entradas!$E$81)*ETo!K489+ETo!L489),0)</f>
        <v>3.0207663102393405</v>
      </c>
      <c r="W490" s="170">
        <f>IF(Escenarios!$E$14&gt;0,MIN(V490*1,0.8*(Z489+R490+S490+T490+Observaciones!$F489-U490-Constantes!$E$35)),0)</f>
        <v>2.8582449795939855</v>
      </c>
      <c r="X490" s="170">
        <f>IF(Escenarios!$E$14&gt;0,Observaciones!$J489,0)</f>
        <v>0</v>
      </c>
      <c r="Y490" s="170">
        <f>IF(Escenarios!$E$14&gt;0,MAX(0,Z489+R490+S490+T490+Observaciones!$F489-U490-W490-X490-Constantes!$E$33),0)</f>
        <v>0</v>
      </c>
      <c r="Z490" s="170">
        <f>Z489+R490+S490+T490+Observaciones!$F489-U490-W490-Y490</f>
        <v>41.964561244898498</v>
      </c>
      <c r="AA490" s="170">
        <f>IF(Escenarios!$E$14&gt;0,(Escenarios!$E$13*L490+Escenarios!$E$14*W490)/(Escenarios!$E$16),L490)</f>
        <v>1.7879135200818093</v>
      </c>
      <c r="AB490" s="170">
        <f>IF(Escenarios!$E$14&gt;0,(Escenarios!$E$14*Y490)/(Escenarios!$E$16),K490)</f>
        <v>0</v>
      </c>
      <c r="AC490" s="170">
        <f>IF(Escenarios!$E$14&gt;0,(Escenarios!$E$13*M490+Escenarios!$E$14*U490)/(Escenarios!$E$16),M490)</f>
        <v>0</v>
      </c>
      <c r="AD490" s="76">
        <f t="shared" si="99"/>
        <v>149.52296719775893</v>
      </c>
      <c r="AE490" s="76">
        <f>MAX(0,(AD490-Constantes!$D$13)*(1-EXP(-Constantes!$D$23)))</f>
        <v>0.99294004805029623</v>
      </c>
      <c r="AF490" s="76">
        <f>AB490+O490*Escenarios!$E$13/Escenarios!$E$16+AE490</f>
        <v>1.1449700721987865</v>
      </c>
      <c r="AG490" s="76">
        <f>IF(Entradas!$E$91&gt;0,IF(AF490-Escenarios!$E$38&lt;=0,0,IF(AF490-Escenarios!$E$38&gt;Escenarios!$E$37,Escenarios!$E$37,AF490-Escenarios!$E$38)),0)</f>
        <v>0</v>
      </c>
      <c r="AH490" s="76">
        <f>AG490*Entradas!$E$99</f>
        <v>0</v>
      </c>
      <c r="AI490" s="76">
        <f>IF(Entradas!$E$91&gt;0,D490*Entradas!$D$23/Escenarios!$E$16,0)</f>
        <v>0</v>
      </c>
      <c r="AJ490" s="76">
        <f>IF(Entradas!$E$91&gt;0,Entradas!$D$24*Entradas!$D$22/Escenarios!$E$16,0)</f>
        <v>0</v>
      </c>
      <c r="AK490" s="76">
        <f t="shared" si="108"/>
        <v>1.7879135200818093</v>
      </c>
      <c r="AL490" s="76">
        <f t="shared" si="109"/>
        <v>0</v>
      </c>
      <c r="AM490" s="76">
        <f t="shared" si="100"/>
        <v>0</v>
      </c>
      <c r="AN490" s="76">
        <f>MAX(0,O490*Escenarios!$E$13/Escenarios!$E$16-AM490)</f>
        <v>0.15203002414849034</v>
      </c>
      <c r="AO490" s="76">
        <f>AM490+AN490-O490*Escenarios!$E$13/Escenarios!$E$16</f>
        <v>0</v>
      </c>
      <c r="AP490" s="76">
        <f t="shared" si="98"/>
        <v>0.99294004805029623</v>
      </c>
      <c r="AQ490" s="76">
        <f t="shared" si="101"/>
        <v>0</v>
      </c>
      <c r="AR490" s="76">
        <f t="shared" si="102"/>
        <v>1.1449700721987865</v>
      </c>
      <c r="AS490" s="76">
        <f t="shared" si="103"/>
        <v>0</v>
      </c>
      <c r="AT490" s="76">
        <f t="shared" si="104"/>
        <v>0</v>
      </c>
      <c r="AU490" s="76">
        <f t="shared" si="105"/>
        <v>48.75</v>
      </c>
      <c r="AV490" s="76">
        <f>MAX(0,(AU490-Constantes!$D$13)*(1-EXP(-Constantes!$D$24)))</f>
        <v>0</v>
      </c>
      <c r="AW490" s="170">
        <f>AW489+(Entradas!$E$112*AT490-AX489)/(800*Entradas!$D$25)</f>
        <v>0</v>
      </c>
      <c r="AX490" s="170">
        <f>8000*Entradas!$D$26*AW490/Constantes!$E$45</f>
        <v>0</v>
      </c>
      <c r="AY490" s="170">
        <f>IF(Escenarios!$E$17&gt;0,10*Escenarios!$E$16*AL490,0)</f>
        <v>0</v>
      </c>
      <c r="AZ490" s="170">
        <f>IF(Escenarios!$E$17&gt;0,10*Escenarios!$E$16*AX490,0)</f>
        <v>0</v>
      </c>
      <c r="BA490" s="170">
        <f>IF(Escenarios!$E$17&gt;0,0.001*Observaciones!$F489*Escenarios!$E$17,0)</f>
        <v>0</v>
      </c>
      <c r="BB490" s="170">
        <f>IF(Escenarios!$E$17&gt;0,Observaciones!$K489,0)</f>
        <v>0</v>
      </c>
      <c r="BC490" s="170">
        <f>IF(Escenarios!$E$17&gt;0,MIN(0.0005*ETo!$M489*Escenarios!$E$17*(BG489/Constantes!$E$40)^(2/3),BG489+AY490+AZ490+BA490+BB490),0)</f>
        <v>25.115808906956499</v>
      </c>
      <c r="BD490" s="170">
        <f>IF(Escenarios!$E$17&gt;0,MIN(Constantes!$E$39*(BG489/Constantes!$E$40)^(2/3),BG489+AY490+AZ490+BA490+BB490-BC490),0)</f>
        <v>52.605183214731134</v>
      </c>
      <c r="BE490" s="170">
        <f>IF(Escenarios!$E$17&gt;0,MIN(Entradas!$E$113,BG489+AY490+AZ490+BA490+BB490-BC490-BD490),0)</f>
        <v>1</v>
      </c>
      <c r="BF490" s="170">
        <f>IF(Escenarios!$E$17&gt;0,MAX(0,BG489+AY490+AZ490+BA490+BB490-BC490-BD490-BE490-Constantes!$E$40),0)</f>
        <v>0</v>
      </c>
      <c r="BG490" s="170">
        <f t="shared" si="110"/>
        <v>3476.0904281617527</v>
      </c>
      <c r="BH490" s="170">
        <f>(Escenarios!$E$16*AK490+0.1*BC490)/(Escenarios!$E$19)</f>
        <v>1.783690321075984</v>
      </c>
      <c r="BI490" s="170">
        <f>IF(Escenarios!$E$17&gt;0,BF490/10/Escenarios!$E$19,AL490)</f>
        <v>0</v>
      </c>
      <c r="BJ490" s="170">
        <f>(Escenarios!$E$16*AT490+0.1*BD490)/(Escenarios!$E$19)</f>
        <v>2.0875072704258389E-2</v>
      </c>
      <c r="BK490" s="76">
        <f>BK489+(0.1*BD490)/(Escenarios!$E$19)-BL489</f>
        <v>50.752342905295265</v>
      </c>
      <c r="BL490" s="76">
        <f>MAX(0,(BK490-Constantes!$D$13)*(1-EXP(-Constantes!$D$23)))</f>
        <v>1.9729561566797504E-2</v>
      </c>
      <c r="BM490" s="76">
        <f t="shared" si="106"/>
        <v>1.0126696096170937</v>
      </c>
      <c r="BN490" s="76">
        <f t="shared" si="111"/>
        <v>1.1646996337655842</v>
      </c>
      <c r="BO490" s="76">
        <f>0.0526*BI490*Observaciones!$F489^1.218</f>
        <v>0</v>
      </c>
      <c r="BP490" s="76">
        <f>BO490*Constantes!$E$51</f>
        <v>0</v>
      </c>
      <c r="BQ490" s="76">
        <f t="shared" si="107"/>
        <v>0</v>
      </c>
      <c r="BR490" s="40"/>
    </row>
    <row r="491" spans="1:70">
      <c r="A491" s="147"/>
      <c r="B491" s="39"/>
      <c r="C491" s="75">
        <v>485</v>
      </c>
      <c r="D491" s="146">
        <f>ETo!$I490*((1-Constantes!$E$19)*ETo!$K490+ETo!$L490)</f>
        <v>3.2236135021481611</v>
      </c>
      <c r="E491" s="76">
        <f>MIN(D491*Constantes!$E$17,0.8*(N490+Observaciones!$F490-F491-M491-Constantes!$D$14))</f>
        <v>1.5760643337212485</v>
      </c>
      <c r="F491" s="76">
        <f>IF(Observaciones!$F490&gt;0.05*Constantes!$E$18,((Observaciones!$F490-0.05*Constantes!$E$18)^2)/(Observaciones!$F490+0.95*Constantes!$E$18),0)</f>
        <v>0</v>
      </c>
      <c r="G491" s="76">
        <f>IF(Escenarios!$E$11&gt;0,(F491*Escenarios!$E$16*10000)/1000,0)</f>
        <v>0</v>
      </c>
      <c r="H491" s="76">
        <f>IF(Escenarios!$E$11&gt;0,(Observaciones!$F490*Constantes!$E$29)/1000,0)</f>
        <v>0</v>
      </c>
      <c r="I491" s="76">
        <f>IF(Escenarios!$E$11&gt;0,(D491*Constantes!$E$29)/1000,0)</f>
        <v>32.236135021481616</v>
      </c>
      <c r="J491" s="76">
        <f>IF(Escenarios!$E$11&gt;0,MAX(0,G491+H491-I491),0)</f>
        <v>0</v>
      </c>
      <c r="K491" s="76">
        <f>IF(Escenarios!$E$11&gt;0,IF(J491&gt;Constantes!$E$30,1000*((J491-Constantes!$E$30)/(Escenarios!$E$16*10000)),0),F491)</f>
        <v>0</v>
      </c>
      <c r="L491" s="76">
        <f>IF(Escenarios!$E$11&gt;0,I491*1000/Escenarios!$E$16/10000+E491,E491)</f>
        <v>1.5889587877298412</v>
      </c>
      <c r="M491" s="76">
        <f>MAX(0,N490+Observaciones!$F490-K491-Constantes!$D$13)</f>
        <v>0</v>
      </c>
      <c r="N491" s="76">
        <f>N490+Observaciones!$F490-K491-L491-M491-O490</f>
        <v>14.559999504507376</v>
      </c>
      <c r="O491" s="76">
        <f>MAX(0,(N491-Constantes!$D$14)*(1-EXP(-Constantes!$D$22)))</f>
        <v>0.11275073438046329</v>
      </c>
      <c r="P491" s="170">
        <f>P490+(Entradas!$E$83*M491-Q490)/(800*Entradas!$D$25)</f>
        <v>0</v>
      </c>
      <c r="Q491" s="170">
        <f>8000*Entradas!$D$26*P491/Constantes!$E$45</f>
        <v>0</v>
      </c>
      <c r="R491" s="170">
        <f>IF(Escenarios!$E$14&gt;0,K491*Escenarios!$E$13/Escenarios!$E$14,0)</f>
        <v>0</v>
      </c>
      <c r="S491" s="170">
        <f>IF(Escenarios!$E$14&gt;0,Q491*Escenarios!$E$13/Escenarios!$E$14,0)</f>
        <v>0</v>
      </c>
      <c r="T491" s="170">
        <f>IF(Escenarios!$E$14&gt;0,Observaciones!$I490,0)</f>
        <v>0</v>
      </c>
      <c r="U491" s="170">
        <f>IF(Escenarios!$E$14&gt;0,MAX(0,Constantes!$E$36/((Z490+R491+S491+T491+Observaciones!$F490)^2)+Entradas!$E$77),0)</f>
        <v>0</v>
      </c>
      <c r="V491" s="146">
        <f>IF(ETo!D490&gt;0,ETo!I490*((1-Entradas!$E$81)*ETo!K490+ETo!L490),0)</f>
        <v>2.9215170441067571</v>
      </c>
      <c r="W491" s="170">
        <f>IF(Escenarios!$E$14&gt;0,MIN(V491*1,0.8*(Z490+R491+S491+T491+Observaciones!$F490-U491-Constantes!$E$35)),0)</f>
        <v>0.57164899591879814</v>
      </c>
      <c r="X491" s="170">
        <f>IF(Escenarios!$E$14&gt;0,Observaciones!$J490,0)</f>
        <v>0</v>
      </c>
      <c r="Y491" s="170">
        <f>IF(Escenarios!$E$14&gt;0,MAX(0,Z490+R491+S491+T491+Observaciones!$F490-U491-W491-X491-Constantes!$E$33),0)</f>
        <v>0</v>
      </c>
      <c r="Z491" s="170">
        <f>Z490+R491+S491+T491+Observaciones!$F490-U491-W491-Y491</f>
        <v>41.392912248979698</v>
      </c>
      <c r="AA491" s="170">
        <f>IF(Escenarios!$E$14&gt;0,(Escenarios!$E$13*L491+Escenarios!$E$14*W491)/(Escenarios!$E$16),L491)</f>
        <v>1.4668816127125159</v>
      </c>
      <c r="AB491" s="170">
        <f>IF(Escenarios!$E$14&gt;0,(Escenarios!$E$14*Y491)/(Escenarios!$E$16),K491)</f>
        <v>0</v>
      </c>
      <c r="AC491" s="170">
        <f>IF(Escenarios!$E$14&gt;0,(Escenarios!$E$13*M491+Escenarios!$E$14*U491)/(Escenarios!$E$16),M491)</f>
        <v>0</v>
      </c>
      <c r="AD491" s="76">
        <f t="shared" si="99"/>
        <v>148.53002714970864</v>
      </c>
      <c r="AE491" s="76">
        <f>MAX(0,(AD491-Constantes!$D$13)*(1-EXP(-Constantes!$D$23)))</f>
        <v>0.98315637325696292</v>
      </c>
      <c r="AF491" s="76">
        <f>AB491+O491*Escenarios!$E$13/Escenarios!$E$16+AE491</f>
        <v>1.0823770195117706</v>
      </c>
      <c r="AG491" s="76">
        <f>IF(Entradas!$E$91&gt;0,IF(AF491-Escenarios!$E$38&lt;=0,0,IF(AF491-Escenarios!$E$38&gt;Escenarios!$E$37,Escenarios!$E$37,AF491-Escenarios!$E$38)),0)</f>
        <v>0</v>
      </c>
      <c r="AH491" s="76">
        <f>AG491*Entradas!$E$99</f>
        <v>0</v>
      </c>
      <c r="AI491" s="76">
        <f>IF(Entradas!$E$91&gt;0,D491*Entradas!$D$23/Escenarios!$E$16,0)</f>
        <v>0</v>
      </c>
      <c r="AJ491" s="76">
        <f>IF(Entradas!$E$91&gt;0,Entradas!$D$24*Entradas!$D$22/Escenarios!$E$16,0)</f>
        <v>0</v>
      </c>
      <c r="AK491" s="76">
        <f t="shared" si="108"/>
        <v>1.4668816127125159</v>
      </c>
      <c r="AL491" s="76">
        <f t="shared" si="109"/>
        <v>0</v>
      </c>
      <c r="AM491" s="76">
        <f t="shared" si="100"/>
        <v>0</v>
      </c>
      <c r="AN491" s="76">
        <f>MAX(0,O491*Escenarios!$E$13/Escenarios!$E$16-AM491)</f>
        <v>9.9220646254807685E-2</v>
      </c>
      <c r="AO491" s="76">
        <f>AM491+AN491-O491*Escenarios!$E$13/Escenarios!$E$16</f>
        <v>0</v>
      </c>
      <c r="AP491" s="76">
        <f t="shared" si="98"/>
        <v>0.98315637325696292</v>
      </c>
      <c r="AQ491" s="76">
        <f t="shared" si="101"/>
        <v>0</v>
      </c>
      <c r="AR491" s="76">
        <f t="shared" si="102"/>
        <v>1.0823770195117706</v>
      </c>
      <c r="AS491" s="76">
        <f t="shared" si="103"/>
        <v>0</v>
      </c>
      <c r="AT491" s="76">
        <f t="shared" si="104"/>
        <v>0</v>
      </c>
      <c r="AU491" s="76">
        <f t="shared" si="105"/>
        <v>48.75</v>
      </c>
      <c r="AV491" s="76">
        <f>MAX(0,(AU491-Constantes!$D$13)*(1-EXP(-Constantes!$D$24)))</f>
        <v>0</v>
      </c>
      <c r="AW491" s="170">
        <f>AW490+(Entradas!$E$112*AT491-AX490)/(800*Entradas!$D$25)</f>
        <v>0</v>
      </c>
      <c r="AX491" s="170">
        <f>8000*Entradas!$D$26*AW491/Constantes!$E$45</f>
        <v>0</v>
      </c>
      <c r="AY491" s="170">
        <f>IF(Escenarios!$E$17&gt;0,10*Escenarios!$E$16*AL491,0)</f>
        <v>0</v>
      </c>
      <c r="AZ491" s="170">
        <f>IF(Escenarios!$E$17&gt;0,10*Escenarios!$E$16*AX491,0)</f>
        <v>0</v>
      </c>
      <c r="BA491" s="170">
        <f>IF(Escenarios!$E$17&gt;0,0.001*Observaciones!$F490*Escenarios!$E$17,0)</f>
        <v>0</v>
      </c>
      <c r="BB491" s="170">
        <f>IF(Escenarios!$E$17&gt;0,Observaciones!$K490,0)</f>
        <v>0</v>
      </c>
      <c r="BC491" s="170">
        <f>IF(Escenarios!$E$17&gt;0,MIN(0.0005*ETo!$M490*Escenarios!$E$17*(BG490/Constantes!$E$40)^(2/3),BG490+AY491+AZ491+BA491+BB491),0)</f>
        <v>23.962704320237169</v>
      </c>
      <c r="BD491" s="170">
        <f>IF(Escenarios!$E$17&gt;0,MIN(Constantes!$E$39*(BG490/Constantes!$E$40)^(2/3),BG490+AY491+AZ491+BA491+BB491-BC491),0)</f>
        <v>51.825663423437184</v>
      </c>
      <c r="BE491" s="170">
        <f>IF(Escenarios!$E$17&gt;0,MIN(Entradas!$E$113,BG490+AY491+AZ491+BA491+BB491-BC491-BD491),0)</f>
        <v>1</v>
      </c>
      <c r="BF491" s="170">
        <f>IF(Escenarios!$E$17&gt;0,MAX(0,BG490+AY491+AZ491+BA491+BB491-BC491-BD491-BE491-Constantes!$E$40),0)</f>
        <v>0</v>
      </c>
      <c r="BG491" s="170">
        <f t="shared" si="110"/>
        <v>3399.3020604180783</v>
      </c>
      <c r="BH491" s="170">
        <f>(Escenarios!$E$16*AK491+0.1*BC491)/(Escenarios!$E$19)</f>
        <v>1.4647487048021932</v>
      </c>
      <c r="BI491" s="170">
        <f>IF(Escenarios!$E$17&gt;0,BF491/10/Escenarios!$E$19,AL491)</f>
        <v>0</v>
      </c>
      <c r="BJ491" s="170">
        <f>(Escenarios!$E$16*AT491+0.1*BD491)/(Escenarios!$E$19)</f>
        <v>2.0565739453744916E-2</v>
      </c>
      <c r="BK491" s="76">
        <f>BK490+(0.1*BD491)/(Escenarios!$E$19)-BL490</f>
        <v>50.753179083182211</v>
      </c>
      <c r="BL491" s="76">
        <f>MAX(0,(BK491-Constantes!$D$13)*(1-EXP(-Constantes!$D$23)))</f>
        <v>1.9737800626679635E-2</v>
      </c>
      <c r="BM491" s="76">
        <f t="shared" si="106"/>
        <v>1.0028941738836425</v>
      </c>
      <c r="BN491" s="76">
        <f t="shared" si="111"/>
        <v>1.1021148201384503</v>
      </c>
      <c r="BO491" s="76">
        <f>0.0526*BI491*Observaciones!$F490^1.218</f>
        <v>0</v>
      </c>
      <c r="BP491" s="76">
        <f>BO491*Constantes!$E$51</f>
        <v>0</v>
      </c>
      <c r="BQ491" s="76">
        <f t="shared" si="107"/>
        <v>0</v>
      </c>
      <c r="BR491" s="40"/>
    </row>
    <row r="492" spans="1:70">
      <c r="A492" s="147"/>
      <c r="B492" s="39"/>
      <c r="C492" s="75">
        <v>486</v>
      </c>
      <c r="D492" s="146">
        <f>ETo!$I491*((1-Constantes!$E$19)*ETo!$K491+ETo!$L491)</f>
        <v>3.2020322902801062</v>
      </c>
      <c r="E492" s="76">
        <f>MIN(D492*Constantes!$E$17,0.8*(N491+Observaciones!$F491-F492-M492-Constantes!$D$14))</f>
        <v>1.5655130135083704</v>
      </c>
      <c r="F492" s="76">
        <f>IF(Observaciones!$F491&gt;0.05*Constantes!$E$18,((Observaciones!$F491-0.05*Constantes!$E$18)^2)/(Observaciones!$F491+0.95*Constantes!$E$18),0)</f>
        <v>0</v>
      </c>
      <c r="G492" s="76">
        <f>IF(Escenarios!$E$11&gt;0,(F492*Escenarios!$E$16*10000)/1000,0)</f>
        <v>0</v>
      </c>
      <c r="H492" s="76">
        <f>IF(Escenarios!$E$11&gt;0,(Observaciones!$F491*Constantes!$E$29)/1000,0)</f>
        <v>0</v>
      </c>
      <c r="I492" s="76">
        <f>IF(Escenarios!$E$11&gt;0,(D492*Constantes!$E$29)/1000,0)</f>
        <v>32.020322902801063</v>
      </c>
      <c r="J492" s="76">
        <f>IF(Escenarios!$E$11&gt;0,MAX(0,G492+H492-I492),0)</f>
        <v>0</v>
      </c>
      <c r="K492" s="76">
        <f>IF(Escenarios!$E$11&gt;0,IF(J492&gt;Constantes!$E$30,1000*((J492-Constantes!$E$30)/(Escenarios!$E$16*10000)),0),F492)</f>
        <v>0</v>
      </c>
      <c r="L492" s="76">
        <f>IF(Escenarios!$E$11&gt;0,I492*1000/Escenarios!$E$16/10000+E492,E492)</f>
        <v>1.5783211426694908</v>
      </c>
      <c r="M492" s="76">
        <f>MAX(0,N491+Observaciones!$F491-K492-Constantes!$D$13)</f>
        <v>0</v>
      </c>
      <c r="N492" s="76">
        <f>N491+Observaciones!$F491-K492-L492-M492-O491</f>
        <v>12.86892762745742</v>
      </c>
      <c r="O492" s="76">
        <f>MAX(0,(N492-Constantes!$D$14)*(1-EXP(-Constantes!$D$22)))</f>
        <v>5.514661819618967E-2</v>
      </c>
      <c r="P492" s="170">
        <f>P491+(Entradas!$E$83*M492-Q491)/(800*Entradas!$D$25)</f>
        <v>0</v>
      </c>
      <c r="Q492" s="170">
        <f>8000*Entradas!$D$26*P492/Constantes!$E$45</f>
        <v>0</v>
      </c>
      <c r="R492" s="170">
        <f>IF(Escenarios!$E$14&gt;0,K492*Escenarios!$E$13/Escenarios!$E$14,0)</f>
        <v>0</v>
      </c>
      <c r="S492" s="170">
        <f>IF(Escenarios!$E$14&gt;0,Q492*Escenarios!$E$13/Escenarios!$E$14,0)</f>
        <v>0</v>
      </c>
      <c r="T492" s="170">
        <f>IF(Escenarios!$E$14&gt;0,Observaciones!$I491,0)</f>
        <v>0</v>
      </c>
      <c r="U492" s="170">
        <f>IF(Escenarios!$E$14&gt;0,MAX(0,Constantes!$E$36/((Z491+R492+S492+T492+Observaciones!$F491)^2)+Entradas!$E$77),0)</f>
        <v>0</v>
      </c>
      <c r="V492" s="146">
        <f>IF(ETo!D491&gt;0,ETo!I491*((1-Entradas!$E$81)*ETo!K491+ETo!L491),0)</f>
        <v>2.9013728343861329</v>
      </c>
      <c r="W492" s="170">
        <f>IF(Escenarios!$E$14&gt;0,MIN(V492*1,0.8*(Z491+R492+S492+T492+Observaciones!$F491-U492-Constantes!$E$35)),0)</f>
        <v>0.1143297991837585</v>
      </c>
      <c r="X492" s="170">
        <f>IF(Escenarios!$E$14&gt;0,Observaciones!$J491,0)</f>
        <v>0</v>
      </c>
      <c r="Y492" s="170">
        <f>IF(Escenarios!$E$14&gt;0,MAX(0,Z491+R492+S492+T492+Observaciones!$F491-U492-W492-X492-Constantes!$E$33),0)</f>
        <v>0</v>
      </c>
      <c r="Z492" s="170">
        <f>Z491+R492+S492+T492+Observaciones!$F491-U492-W492-Y492</f>
        <v>41.278582449795941</v>
      </c>
      <c r="AA492" s="170">
        <f>IF(Escenarios!$E$14&gt;0,(Escenarios!$E$13*L492+Escenarios!$E$14*W492)/(Escenarios!$E$16),L492)</f>
        <v>1.4026421814512029</v>
      </c>
      <c r="AB492" s="170">
        <f>IF(Escenarios!$E$14&gt;0,(Escenarios!$E$14*Y492)/(Escenarios!$E$16),K492)</f>
        <v>0</v>
      </c>
      <c r="AC492" s="170">
        <f>IF(Escenarios!$E$14&gt;0,(Escenarios!$E$13*M492+Escenarios!$E$14*U492)/(Escenarios!$E$16),M492)</f>
        <v>0</v>
      </c>
      <c r="AD492" s="76">
        <f t="shared" si="99"/>
        <v>147.54687077645167</v>
      </c>
      <c r="AE492" s="76">
        <f>MAX(0,(AD492-Constantes!$D$13)*(1-EXP(-Constantes!$D$23)))</f>
        <v>0.97346909934165793</v>
      </c>
      <c r="AF492" s="76">
        <f>AB492+O492*Escenarios!$E$13/Escenarios!$E$16+AE492</f>
        <v>1.0219981233543047</v>
      </c>
      <c r="AG492" s="76">
        <f>IF(Entradas!$E$91&gt;0,IF(AF492-Escenarios!$E$38&lt;=0,0,IF(AF492-Escenarios!$E$38&gt;Escenarios!$E$37,Escenarios!$E$37,AF492-Escenarios!$E$38)),0)</f>
        <v>0</v>
      </c>
      <c r="AH492" s="76">
        <f>AG492*Entradas!$E$99</f>
        <v>0</v>
      </c>
      <c r="AI492" s="76">
        <f>IF(Entradas!$E$91&gt;0,D492*Entradas!$D$23/Escenarios!$E$16,0)</f>
        <v>0</v>
      </c>
      <c r="AJ492" s="76">
        <f>IF(Entradas!$E$91&gt;0,Entradas!$D$24*Entradas!$D$22/Escenarios!$E$16,0)</f>
        <v>0</v>
      </c>
      <c r="AK492" s="76">
        <f t="shared" si="108"/>
        <v>1.4026421814512029</v>
      </c>
      <c r="AL492" s="76">
        <f t="shared" si="109"/>
        <v>0</v>
      </c>
      <c r="AM492" s="76">
        <f t="shared" si="100"/>
        <v>0</v>
      </c>
      <c r="AN492" s="76">
        <f>MAX(0,O492*Escenarios!$E$13/Escenarios!$E$16-AM492)</f>
        <v>4.8529024012646908E-2</v>
      </c>
      <c r="AO492" s="76">
        <f>AM492+AN492-O492*Escenarios!$E$13/Escenarios!$E$16</f>
        <v>0</v>
      </c>
      <c r="AP492" s="76">
        <f t="shared" si="98"/>
        <v>0.97346909934165793</v>
      </c>
      <c r="AQ492" s="76">
        <f t="shared" si="101"/>
        <v>0</v>
      </c>
      <c r="AR492" s="76">
        <f t="shared" si="102"/>
        <v>1.0219981233543047</v>
      </c>
      <c r="AS492" s="76">
        <f t="shared" si="103"/>
        <v>0</v>
      </c>
      <c r="AT492" s="76">
        <f t="shared" si="104"/>
        <v>0</v>
      </c>
      <c r="AU492" s="76">
        <f t="shared" si="105"/>
        <v>48.75</v>
      </c>
      <c r="AV492" s="76">
        <f>MAX(0,(AU492-Constantes!$D$13)*(1-EXP(-Constantes!$D$24)))</f>
        <v>0</v>
      </c>
      <c r="AW492" s="170">
        <f>AW491+(Entradas!$E$112*AT492-AX491)/(800*Entradas!$D$25)</f>
        <v>0</v>
      </c>
      <c r="AX492" s="170">
        <f>8000*Entradas!$D$26*AW492/Constantes!$E$45</f>
        <v>0</v>
      </c>
      <c r="AY492" s="170">
        <f>IF(Escenarios!$E$17&gt;0,10*Escenarios!$E$16*AL492,0)</f>
        <v>0</v>
      </c>
      <c r="AZ492" s="170">
        <f>IF(Escenarios!$E$17&gt;0,10*Escenarios!$E$16*AX492,0)</f>
        <v>0</v>
      </c>
      <c r="BA492" s="170">
        <f>IF(Escenarios!$E$17&gt;0,0.001*Observaciones!$F491*Escenarios!$E$17,0)</f>
        <v>0</v>
      </c>
      <c r="BB492" s="170">
        <f>IF(Escenarios!$E$17&gt;0,Observaciones!$K491,0)</f>
        <v>0</v>
      </c>
      <c r="BC492" s="170">
        <f>IF(Escenarios!$E$17&gt;0,MIN(0.0005*ETo!$M491*Escenarios!$E$17*(BG491/Constantes!$E$40)^(2/3),BG491+AY492+AZ492+BA492+BB492),0)</f>
        <v>23.456321575708959</v>
      </c>
      <c r="BD492" s="170">
        <f>IF(Escenarios!$E$17&gt;0,MIN(Constantes!$E$39*(BG491/Constantes!$E$40)^(2/3),BG491+AY492+AZ492+BA492+BB492-BC492),0)</f>
        <v>51.059590963632679</v>
      </c>
      <c r="BE492" s="170">
        <f>IF(Escenarios!$E$17&gt;0,MIN(Entradas!$E$113,BG491+AY492+AZ492+BA492+BB492-BC492-BD492),0)</f>
        <v>1</v>
      </c>
      <c r="BF492" s="170">
        <f>IF(Escenarios!$E$17&gt;0,MAX(0,BG491+AY492+AZ492+BA492+BB492-BC492-BD492-BE492-Constantes!$E$40),0)</f>
        <v>0</v>
      </c>
      <c r="BG492" s="170">
        <f t="shared" si="110"/>
        <v>3323.7861478787368</v>
      </c>
      <c r="BH492" s="170">
        <f>(Escenarios!$E$16*AK492+0.1*BC492)/(Escenarios!$E$19)</f>
        <v>1.4008181647633795</v>
      </c>
      <c r="BI492" s="170">
        <f>IF(Escenarios!$E$17&gt;0,BF492/10/Escenarios!$E$19,AL492)</f>
        <v>0</v>
      </c>
      <c r="BJ492" s="170">
        <f>(Escenarios!$E$16*AT492+0.1*BD492)/(Escenarios!$E$19)</f>
        <v>2.0261742445885984E-2</v>
      </c>
      <c r="BK492" s="76">
        <f>BK491+(0.1*BD492)/(Escenarios!$E$19)-BL491</f>
        <v>50.753703025001421</v>
      </c>
      <c r="BL492" s="76">
        <f>MAX(0,(BK492-Constantes!$D$13)*(1-EXP(-Constantes!$D$23)))</f>
        <v>1.9742963150217535E-2</v>
      </c>
      <c r="BM492" s="76">
        <f t="shared" si="106"/>
        <v>0.99321206249187544</v>
      </c>
      <c r="BN492" s="76">
        <f t="shared" si="111"/>
        <v>1.0417410865045222</v>
      </c>
      <c r="BO492" s="76">
        <f>0.0526*BI492*Observaciones!$F491^1.218</f>
        <v>0</v>
      </c>
      <c r="BP492" s="76">
        <f>BO492*Constantes!$E$51</f>
        <v>0</v>
      </c>
      <c r="BQ492" s="76">
        <f t="shared" si="107"/>
        <v>0</v>
      </c>
      <c r="BR492" s="40"/>
    </row>
    <row r="493" spans="1:70">
      <c r="A493" s="147"/>
      <c r="B493" s="39"/>
      <c r="C493" s="75">
        <v>487</v>
      </c>
      <c r="D493" s="146">
        <f>ETo!$I492*((1-Constantes!$E$19)*ETo!$K492+ETo!$L492)</f>
        <v>3.2262846393441333</v>
      </c>
      <c r="E493" s="76">
        <f>MIN(D493*Constantes!$E$17,0.8*(N492+Observaciones!$F492-F493-M493-Constantes!$D$14))</f>
        <v>1.2951421019659364</v>
      </c>
      <c r="F493" s="76">
        <f>IF(Observaciones!$F492&gt;0.05*Constantes!$E$18,((Observaciones!$F492-0.05*Constantes!$E$18)^2)/(Observaciones!$F492+0.95*Constantes!$E$18),0)</f>
        <v>0</v>
      </c>
      <c r="G493" s="76">
        <f>IF(Escenarios!$E$11&gt;0,(F493*Escenarios!$E$16*10000)/1000,0)</f>
        <v>0</v>
      </c>
      <c r="H493" s="76">
        <f>IF(Escenarios!$E$11&gt;0,(Observaciones!$F492*Constantes!$E$29)/1000,0)</f>
        <v>0</v>
      </c>
      <c r="I493" s="76">
        <f>IF(Escenarios!$E$11&gt;0,(D493*Constantes!$E$29)/1000,0)</f>
        <v>32.262846393441336</v>
      </c>
      <c r="J493" s="76">
        <f>IF(Escenarios!$E$11&gt;0,MAX(0,G493+H493-I493),0)</f>
        <v>0</v>
      </c>
      <c r="K493" s="76">
        <f>IF(Escenarios!$E$11&gt;0,IF(J493&gt;Constantes!$E$30,1000*((J493-Constantes!$E$30)/(Escenarios!$E$16*10000)),0),F493)</f>
        <v>0</v>
      </c>
      <c r="L493" s="76">
        <f>IF(Escenarios!$E$11&gt;0,I493*1000/Escenarios!$E$16/10000+E493,E493)</f>
        <v>1.308047240523313</v>
      </c>
      <c r="M493" s="76">
        <f>MAX(0,N492+Observaciones!$F492-K493-Constantes!$D$13)</f>
        <v>0</v>
      </c>
      <c r="N493" s="76">
        <f>N492+Observaciones!$F492-K493-L493-M493-O492</f>
        <v>11.505733768737917</v>
      </c>
      <c r="O493" s="76">
        <f>MAX(0,(N493-Constantes!$D$14)*(1-EXP(-Constantes!$D$22)))</f>
        <v>8.7112309810980105E-3</v>
      </c>
      <c r="P493" s="170">
        <f>P492+(Entradas!$E$83*M493-Q492)/(800*Entradas!$D$25)</f>
        <v>0</v>
      </c>
      <c r="Q493" s="170">
        <f>8000*Entradas!$D$26*P493/Constantes!$E$45</f>
        <v>0</v>
      </c>
      <c r="R493" s="170">
        <f>IF(Escenarios!$E$14&gt;0,K493*Escenarios!$E$13/Escenarios!$E$14,0)</f>
        <v>0</v>
      </c>
      <c r="S493" s="170">
        <f>IF(Escenarios!$E$14&gt;0,Q493*Escenarios!$E$13/Escenarios!$E$14,0)</f>
        <v>0</v>
      </c>
      <c r="T493" s="170">
        <f>IF(Escenarios!$E$14&gt;0,Observaciones!$I492,0)</f>
        <v>0</v>
      </c>
      <c r="U493" s="170">
        <f>IF(Escenarios!$E$14&gt;0,MAX(0,Constantes!$E$36/((Z492+R493+S493+T493+Observaciones!$F492)^2)+Entradas!$E$77),0)</f>
        <v>0</v>
      </c>
      <c r="V493" s="146">
        <f>IF(ETo!D492&gt;0,ETo!I492*((1-Entradas!$E$81)*ETo!K492+ETo!L492),0)</f>
        <v>2.9233548989100857</v>
      </c>
      <c r="W493" s="170">
        <f>IF(Escenarios!$E$14&gt;0,MIN(V493*1,0.8*(Z492+R493+S493+T493+Observaciones!$F492-U493-Constantes!$E$35)),0)</f>
        <v>2.2865959836752839E-2</v>
      </c>
      <c r="X493" s="170">
        <f>IF(Escenarios!$E$14&gt;0,Observaciones!$J492,0)</f>
        <v>0</v>
      </c>
      <c r="Y493" s="170">
        <f>IF(Escenarios!$E$14&gt;0,MAX(0,Z492+R493+S493+T493+Observaciones!$F492-U493-W493-X493-Constantes!$E$33),0)</f>
        <v>0</v>
      </c>
      <c r="Z493" s="170">
        <f>Z492+R493+S493+T493+Observaciones!$F492-U493-W493-Y493</f>
        <v>41.255716489959191</v>
      </c>
      <c r="AA493" s="170">
        <f>IF(Escenarios!$E$14&gt;0,(Escenarios!$E$13*L493+Escenarios!$E$14*W493)/(Escenarios!$E$16),L493)</f>
        <v>1.1538254868409259</v>
      </c>
      <c r="AB493" s="170">
        <f>IF(Escenarios!$E$14&gt;0,(Escenarios!$E$14*Y493)/(Escenarios!$E$16),K493)</f>
        <v>0</v>
      </c>
      <c r="AC493" s="170">
        <f>IF(Escenarios!$E$14&gt;0,(Escenarios!$E$13*M493+Escenarios!$E$14*U493)/(Escenarios!$E$16),M493)</f>
        <v>0</v>
      </c>
      <c r="AD493" s="76">
        <f t="shared" si="99"/>
        <v>146.57340167711001</v>
      </c>
      <c r="AE493" s="76">
        <f>MAX(0,(AD493-Constantes!$D$13)*(1-EXP(-Constantes!$D$23)))</f>
        <v>0.96387727644356946</v>
      </c>
      <c r="AF493" s="76">
        <f>AB493+O493*Escenarios!$E$13/Escenarios!$E$16+AE493</f>
        <v>0.97154315970693572</v>
      </c>
      <c r="AG493" s="76">
        <f>IF(Entradas!$E$91&gt;0,IF(AF493-Escenarios!$E$38&lt;=0,0,IF(AF493-Escenarios!$E$38&gt;Escenarios!$E$37,Escenarios!$E$37,AF493-Escenarios!$E$38)),0)</f>
        <v>0</v>
      </c>
      <c r="AH493" s="76">
        <f>AG493*Entradas!$E$99</f>
        <v>0</v>
      </c>
      <c r="AI493" s="76">
        <f>IF(Entradas!$E$91&gt;0,D493*Entradas!$D$23/Escenarios!$E$16,0)</f>
        <v>0</v>
      </c>
      <c r="AJ493" s="76">
        <f>IF(Entradas!$E$91&gt;0,Entradas!$D$24*Entradas!$D$22/Escenarios!$E$16,0)</f>
        <v>0</v>
      </c>
      <c r="AK493" s="76">
        <f t="shared" si="108"/>
        <v>1.1538254868409259</v>
      </c>
      <c r="AL493" s="76">
        <f t="shared" si="109"/>
        <v>0</v>
      </c>
      <c r="AM493" s="76">
        <f t="shared" si="100"/>
        <v>0</v>
      </c>
      <c r="AN493" s="76">
        <f>MAX(0,O493*Escenarios!$E$13/Escenarios!$E$16-AM493)</f>
        <v>7.665883263366249E-3</v>
      </c>
      <c r="AO493" s="76">
        <f>AM493+AN493-O493*Escenarios!$E$13/Escenarios!$E$16</f>
        <v>0</v>
      </c>
      <c r="AP493" s="76">
        <f t="shared" si="98"/>
        <v>0.96387727644356946</v>
      </c>
      <c r="AQ493" s="76">
        <f t="shared" si="101"/>
        <v>0</v>
      </c>
      <c r="AR493" s="76">
        <f t="shared" si="102"/>
        <v>0.97154315970693572</v>
      </c>
      <c r="AS493" s="76">
        <f t="shared" si="103"/>
        <v>0</v>
      </c>
      <c r="AT493" s="76">
        <f t="shared" si="104"/>
        <v>0</v>
      </c>
      <c r="AU493" s="76">
        <f t="shared" si="105"/>
        <v>48.75</v>
      </c>
      <c r="AV493" s="76">
        <f>MAX(0,(AU493-Constantes!$D$13)*(1-EXP(-Constantes!$D$24)))</f>
        <v>0</v>
      </c>
      <c r="AW493" s="170">
        <f>AW492+(Entradas!$E$112*AT493-AX492)/(800*Entradas!$D$25)</f>
        <v>0</v>
      </c>
      <c r="AX493" s="170">
        <f>8000*Entradas!$D$26*AW493/Constantes!$E$45</f>
        <v>0</v>
      </c>
      <c r="AY493" s="170">
        <f>IF(Escenarios!$E$17&gt;0,10*Escenarios!$E$16*AL493,0)</f>
        <v>0</v>
      </c>
      <c r="AZ493" s="170">
        <f>IF(Escenarios!$E$17&gt;0,10*Escenarios!$E$16*AX493,0)</f>
        <v>0</v>
      </c>
      <c r="BA493" s="170">
        <f>IF(Escenarios!$E$17&gt;0,0.001*Observaciones!$F492*Escenarios!$E$17,0)</f>
        <v>0</v>
      </c>
      <c r="BB493" s="170">
        <f>IF(Escenarios!$E$17&gt;0,Observaciones!$K492,0)</f>
        <v>0</v>
      </c>
      <c r="BC493" s="170">
        <f>IF(Escenarios!$E$17&gt;0,MIN(0.0005*ETo!$M492*Escenarios!$E$17*(BG492/Constantes!$E$40)^(2/3),BG492+AY493+AZ493+BA493+BB493),0)</f>
        <v>23.28258227360314</v>
      </c>
      <c r="BD493" s="170">
        <f>IF(Escenarios!$E$17&gt;0,MIN(Constantes!$E$39*(BG492/Constantes!$E$40)^(2/3),BG492+AY493+AZ493+BA493+BB493-BC493),0)</f>
        <v>50.300566401758786</v>
      </c>
      <c r="BE493" s="170">
        <f>IF(Escenarios!$E$17&gt;0,MIN(Entradas!$E$113,BG492+AY493+AZ493+BA493+BB493-BC493-BD493),0)</f>
        <v>1</v>
      </c>
      <c r="BF493" s="170">
        <f>IF(Escenarios!$E$17&gt;0,MAX(0,BG492+AY493+AZ493+BA493+BB493-BC493-BD493-BE493-Constantes!$E$40),0)</f>
        <v>0</v>
      </c>
      <c r="BG493" s="170">
        <f t="shared" si="110"/>
        <v>3249.2029992033749</v>
      </c>
      <c r="BH493" s="170">
        <f>(Escenarios!$E$16*AK493+0.1*BC493)/(Escenarios!$E$19)</f>
        <v>1.1539072616571102</v>
      </c>
      <c r="BI493" s="170">
        <f>IF(Escenarios!$E$17&gt;0,BF493/10/Escenarios!$E$19,AL493)</f>
        <v>0</v>
      </c>
      <c r="BJ493" s="170">
        <f>(Escenarios!$E$16*AT493+0.1*BD493)/(Escenarios!$E$19)</f>
        <v>1.9960542222920152E-2</v>
      </c>
      <c r="BK493" s="76">
        <f>BK492+(0.1*BD493)/(Escenarios!$E$19)-BL492</f>
        <v>50.753920604074125</v>
      </c>
      <c r="BL493" s="76">
        <f>MAX(0,(BK493-Constantes!$D$13)*(1-EXP(-Constantes!$D$23)))</f>
        <v>1.9745107008644184E-2</v>
      </c>
      <c r="BM493" s="76">
        <f t="shared" si="106"/>
        <v>0.98362238345221364</v>
      </c>
      <c r="BN493" s="76">
        <f t="shared" si="111"/>
        <v>0.9912882667155799</v>
      </c>
      <c r="BO493" s="76">
        <f>0.0526*BI493*Observaciones!$F492^1.218</f>
        <v>0</v>
      </c>
      <c r="BP493" s="76">
        <f>BO493*Constantes!$E$51</f>
        <v>0</v>
      </c>
      <c r="BQ493" s="76">
        <f t="shared" si="107"/>
        <v>0</v>
      </c>
      <c r="BR493" s="40"/>
    </row>
    <row r="494" spans="1:70">
      <c r="A494" s="147"/>
      <c r="B494" s="39"/>
      <c r="C494" s="75">
        <v>488</v>
      </c>
      <c r="D494" s="146">
        <f>ETo!$I493*((1-Constantes!$E$19)*ETo!$K493+ETo!$L493)</f>
        <v>3.2152592290379678</v>
      </c>
      <c r="E494" s="76">
        <f>MIN(D494*Constantes!$E$17,0.8*(N493+Observaciones!$F493-F494-M494-Constantes!$D$14))</f>
        <v>0.20458701499033369</v>
      </c>
      <c r="F494" s="76">
        <f>IF(Observaciones!$F493&gt;0.05*Constantes!$E$18,((Observaciones!$F493-0.05*Constantes!$E$18)^2)/(Observaciones!$F493+0.95*Constantes!$E$18),0)</f>
        <v>0</v>
      </c>
      <c r="G494" s="76">
        <f>IF(Escenarios!$E$11&gt;0,(F494*Escenarios!$E$16*10000)/1000,0)</f>
        <v>0</v>
      </c>
      <c r="H494" s="76">
        <f>IF(Escenarios!$E$11&gt;0,(Observaciones!$F493*Constantes!$E$29)/1000,0)</f>
        <v>0</v>
      </c>
      <c r="I494" s="76">
        <f>IF(Escenarios!$E$11&gt;0,(D494*Constantes!$E$29)/1000,0)</f>
        <v>32.15259229037968</v>
      </c>
      <c r="J494" s="76">
        <f>IF(Escenarios!$E$11&gt;0,MAX(0,G494+H494-I494),0)</f>
        <v>0</v>
      </c>
      <c r="K494" s="76">
        <f>IF(Escenarios!$E$11&gt;0,IF(J494&gt;Constantes!$E$30,1000*((J494-Constantes!$E$30)/(Escenarios!$E$16*10000)),0),F494)</f>
        <v>0</v>
      </c>
      <c r="L494" s="76">
        <f>IF(Escenarios!$E$11&gt;0,I494*1000/Escenarios!$E$16/10000+E494,E494)</f>
        <v>0.21744805190648556</v>
      </c>
      <c r="M494" s="76">
        <f>MAX(0,N493+Observaciones!$F493-K494-Constantes!$D$13)</f>
        <v>0</v>
      </c>
      <c r="N494" s="76">
        <f>N493+Observaciones!$F493-K494-L494-M494-O493</f>
        <v>11.279574485850334</v>
      </c>
      <c r="O494" s="76">
        <f>MAX(0,(N494-Constantes!$D$14)*(1-EXP(-Constantes!$D$22)))</f>
        <v>1.007415558222599E-3</v>
      </c>
      <c r="P494" s="170">
        <f>P493+(Entradas!$E$83*M494-Q493)/(800*Entradas!$D$25)</f>
        <v>0</v>
      </c>
      <c r="Q494" s="170">
        <f>8000*Entradas!$D$26*P494/Constantes!$E$45</f>
        <v>0</v>
      </c>
      <c r="R494" s="170">
        <f>IF(Escenarios!$E$14&gt;0,K494*Escenarios!$E$13/Escenarios!$E$14,0)</f>
        <v>0</v>
      </c>
      <c r="S494" s="170">
        <f>IF(Escenarios!$E$14&gt;0,Q494*Escenarios!$E$13/Escenarios!$E$14,0)</f>
        <v>0</v>
      </c>
      <c r="T494" s="170">
        <f>IF(Escenarios!$E$14&gt;0,Observaciones!$I493,0)</f>
        <v>0</v>
      </c>
      <c r="U494" s="170">
        <f>IF(Escenarios!$E$14&gt;0,MAX(0,Constantes!$E$36/((Z493+R494+S494+T494+Observaciones!$F493)^2)+Entradas!$E$77),0)</f>
        <v>0</v>
      </c>
      <c r="V494" s="146">
        <f>IF(ETo!D493&gt;0,ETo!I493*((1-Entradas!$E$81)*ETo!K493+ETo!L493),0)</f>
        <v>2.91291662911848</v>
      </c>
      <c r="W494" s="170">
        <f>IF(Escenarios!$E$14&gt;0,MIN(V494*1,0.8*(Z493+R494+S494+T494+Observaciones!$F493-U494-Constantes!$E$35)),0)</f>
        <v>4.5731919673528409E-3</v>
      </c>
      <c r="X494" s="170">
        <f>IF(Escenarios!$E$14&gt;0,Observaciones!$J493,0)</f>
        <v>0</v>
      </c>
      <c r="Y494" s="170">
        <f>IF(Escenarios!$E$14&gt;0,MAX(0,Z493+R494+S494+T494+Observaciones!$F493-U494-W494-X494-Constantes!$E$33),0)</f>
        <v>0</v>
      </c>
      <c r="Z494" s="170">
        <f>Z493+R494+S494+T494+Observaciones!$F493-U494-W494-Y494</f>
        <v>41.251143297991838</v>
      </c>
      <c r="AA494" s="170">
        <f>IF(Escenarios!$E$14&gt;0,(Escenarios!$E$13*L494+Escenarios!$E$14*W494)/(Escenarios!$E$16),L494)</f>
        <v>0.19190306871378962</v>
      </c>
      <c r="AB494" s="170">
        <f>IF(Escenarios!$E$14&gt;0,(Escenarios!$E$14*Y494)/(Escenarios!$E$16),K494)</f>
        <v>0</v>
      </c>
      <c r="AC494" s="170">
        <f>IF(Escenarios!$E$14&gt;0,(Escenarios!$E$13*M494+Escenarios!$E$14*U494)/(Escenarios!$E$16),M494)</f>
        <v>0</v>
      </c>
      <c r="AD494" s="76">
        <f t="shared" si="99"/>
        <v>145.60952440066643</v>
      </c>
      <c r="AE494" s="76">
        <f>MAX(0,(AD494-Constantes!$D$13)*(1-EXP(-Constantes!$D$23)))</f>
        <v>0.95437996406108994</v>
      </c>
      <c r="AF494" s="76">
        <f>AB494+O494*Escenarios!$E$13/Escenarios!$E$16+AE494</f>
        <v>0.95526648975232586</v>
      </c>
      <c r="AG494" s="76">
        <f>IF(Entradas!$E$91&gt;0,IF(AF494-Escenarios!$E$38&lt;=0,0,IF(AF494-Escenarios!$E$38&gt;Escenarios!$E$37,Escenarios!$E$37,AF494-Escenarios!$E$38)),0)</f>
        <v>0</v>
      </c>
      <c r="AH494" s="76">
        <f>AG494*Entradas!$E$99</f>
        <v>0</v>
      </c>
      <c r="AI494" s="76">
        <f>IF(Entradas!$E$91&gt;0,D494*Entradas!$D$23/Escenarios!$E$16,0)</f>
        <v>0</v>
      </c>
      <c r="AJ494" s="76">
        <f>IF(Entradas!$E$91&gt;0,Entradas!$D$24*Entradas!$D$22/Escenarios!$E$16,0)</f>
        <v>0</v>
      </c>
      <c r="AK494" s="76">
        <f t="shared" si="108"/>
        <v>0.19190306871378962</v>
      </c>
      <c r="AL494" s="76">
        <f t="shared" si="109"/>
        <v>0</v>
      </c>
      <c r="AM494" s="76">
        <f t="shared" si="100"/>
        <v>0</v>
      </c>
      <c r="AN494" s="76">
        <f>MAX(0,O494*Escenarios!$E$13/Escenarios!$E$16-AM494)</f>
        <v>8.8652569123588709E-4</v>
      </c>
      <c r="AO494" s="76">
        <f>AM494+AN494-O494*Escenarios!$E$13/Escenarios!$E$16</f>
        <v>0</v>
      </c>
      <c r="AP494" s="76">
        <f t="shared" si="98"/>
        <v>0.95437996406108994</v>
      </c>
      <c r="AQ494" s="76">
        <f t="shared" si="101"/>
        <v>0</v>
      </c>
      <c r="AR494" s="76">
        <f t="shared" si="102"/>
        <v>0.95526648975232586</v>
      </c>
      <c r="AS494" s="76">
        <f t="shared" si="103"/>
        <v>0</v>
      </c>
      <c r="AT494" s="76">
        <f t="shared" si="104"/>
        <v>0</v>
      </c>
      <c r="AU494" s="76">
        <f t="shared" si="105"/>
        <v>48.75</v>
      </c>
      <c r="AV494" s="76">
        <f>MAX(0,(AU494-Constantes!$D$13)*(1-EXP(-Constantes!$D$24)))</f>
        <v>0</v>
      </c>
      <c r="AW494" s="170">
        <f>AW493+(Entradas!$E$112*AT494-AX493)/(800*Entradas!$D$25)</f>
        <v>0</v>
      </c>
      <c r="AX494" s="170">
        <f>8000*Entradas!$D$26*AW494/Constantes!$E$45</f>
        <v>0</v>
      </c>
      <c r="AY494" s="170">
        <f>IF(Escenarios!$E$17&gt;0,10*Escenarios!$E$16*AL494,0)</f>
        <v>0</v>
      </c>
      <c r="AZ494" s="170">
        <f>IF(Escenarios!$E$17&gt;0,10*Escenarios!$E$16*AX494,0)</f>
        <v>0</v>
      </c>
      <c r="BA494" s="170">
        <f>IF(Escenarios!$E$17&gt;0,0.001*Observaciones!$F493*Escenarios!$E$17,0)</f>
        <v>0</v>
      </c>
      <c r="BB494" s="170">
        <f>IF(Escenarios!$E$17&gt;0,Observaciones!$K493,0)</f>
        <v>0</v>
      </c>
      <c r="BC494" s="170">
        <f>IF(Escenarios!$E$17&gt;0,MIN(0.0005*ETo!$M493*Escenarios!$E$17*(BG493/Constantes!$E$40)^(2/3),BG493+AY494+AZ494+BA494+BB494),0)</f>
        <v>22.858967455798851</v>
      </c>
      <c r="BD494" s="170">
        <f>IF(Escenarios!$E$17&gt;0,MIN(Constantes!$E$39*(BG493/Constantes!$E$40)^(2/3),BG493+AY494+AZ494+BA494+BB494-BC494),0)</f>
        <v>49.545253707775807</v>
      </c>
      <c r="BE494" s="170">
        <f>IF(Escenarios!$E$17&gt;0,MIN(Entradas!$E$113,BG493+AY494+AZ494+BA494+BB494-BC494-BD494),0)</f>
        <v>1</v>
      </c>
      <c r="BF494" s="170">
        <f>IF(Escenarios!$E$17&gt;0,MAX(0,BG493+AY494+AZ494+BA494+BB494-BC494-BD494-BE494-Constantes!$E$40),0)</f>
        <v>0</v>
      </c>
      <c r="BG494" s="170">
        <f t="shared" si="110"/>
        <v>3175.7987780398003</v>
      </c>
      <c r="BH494" s="170">
        <f>(Escenarios!$E$16*AK494+0.1*BC494)/(Escenarios!$E$19)</f>
        <v>0.1994510473175686</v>
      </c>
      <c r="BI494" s="170">
        <f>IF(Escenarios!$E$17&gt;0,BF494/10/Escenarios!$E$19,AL494)</f>
        <v>0</v>
      </c>
      <c r="BJ494" s="170">
        <f>(Escenarios!$E$16*AT494+0.1*BD494)/(Escenarios!$E$19)</f>
        <v>1.9660814963403099E-2</v>
      </c>
      <c r="BK494" s="76">
        <f>BK493+(0.1*BD494)/(Escenarios!$E$19)-BL493</f>
        <v>50.753836312028881</v>
      </c>
      <c r="BL494" s="76">
        <f>MAX(0,(BK494-Constantes!$D$13)*(1-EXP(-Constantes!$D$23)))</f>
        <v>1.9744276459045591E-2</v>
      </c>
      <c r="BM494" s="76">
        <f t="shared" si="106"/>
        <v>0.97412424052013558</v>
      </c>
      <c r="BN494" s="76">
        <f t="shared" si="111"/>
        <v>0.9750107662113715</v>
      </c>
      <c r="BO494" s="76">
        <f>0.0526*BI494*Observaciones!$F493^1.218</f>
        <v>0</v>
      </c>
      <c r="BP494" s="76">
        <f>BO494*Constantes!$E$51</f>
        <v>0</v>
      </c>
      <c r="BQ494" s="76">
        <f t="shared" si="107"/>
        <v>0</v>
      </c>
      <c r="BR494" s="40"/>
    </row>
    <row r="495" spans="1:70">
      <c r="A495" s="147"/>
      <c r="B495" s="39"/>
      <c r="C495" s="75">
        <v>489</v>
      </c>
      <c r="D495" s="146">
        <f>ETo!$I494*((1-Constantes!$E$19)*ETo!$K494+ETo!$L494)</f>
        <v>3.1034384462956441</v>
      </c>
      <c r="E495" s="76">
        <f>MIN(D495*Constantes!$E$17,0.8*(N494+Observaciones!$F494-F495-M495-Constantes!$D$14))</f>
        <v>2.3659588680267518E-2</v>
      </c>
      <c r="F495" s="76">
        <f>IF(Observaciones!$F494&gt;0.05*Constantes!$E$18,((Observaciones!$F494-0.05*Constantes!$E$18)^2)/(Observaciones!$F494+0.95*Constantes!$E$18),0)</f>
        <v>0</v>
      </c>
      <c r="G495" s="76">
        <f>IF(Escenarios!$E$11&gt;0,(F495*Escenarios!$E$16*10000)/1000,0)</f>
        <v>0</v>
      </c>
      <c r="H495" s="76">
        <f>IF(Escenarios!$E$11&gt;0,(Observaciones!$F494*Constantes!$E$29)/1000,0)</f>
        <v>0</v>
      </c>
      <c r="I495" s="76">
        <f>IF(Escenarios!$E$11&gt;0,(D495*Constantes!$E$29)/1000,0)</f>
        <v>31.034384462956442</v>
      </c>
      <c r="J495" s="76">
        <f>IF(Escenarios!$E$11&gt;0,MAX(0,G495+H495-I495),0)</f>
        <v>0</v>
      </c>
      <c r="K495" s="76">
        <f>IF(Escenarios!$E$11&gt;0,IF(J495&gt;Constantes!$E$30,1000*((J495-Constantes!$E$30)/(Escenarios!$E$16*10000)),0),F495)</f>
        <v>0</v>
      </c>
      <c r="L495" s="76">
        <f>IF(Escenarios!$E$11&gt;0,I495*1000/Escenarios!$E$16/10000+E495,E495)</f>
        <v>3.6073342465450096E-2</v>
      </c>
      <c r="M495" s="76">
        <f>MAX(0,N494+Observaciones!$F494-K495-Constantes!$D$13)</f>
        <v>0</v>
      </c>
      <c r="N495" s="76">
        <f>N494+Observaciones!$F494-K495-L495-M495-O494</f>
        <v>11.242493727826663</v>
      </c>
      <c r="O495" s="76">
        <f>MAX(0,(N495-Constantes!$D$14)*(1-EXP(-Constantes!$D$22)))</f>
        <v>0</v>
      </c>
      <c r="P495" s="170">
        <f>P494+(Entradas!$E$83*M495-Q494)/(800*Entradas!$D$25)</f>
        <v>0</v>
      </c>
      <c r="Q495" s="170">
        <f>8000*Entradas!$D$26*P495/Constantes!$E$45</f>
        <v>0</v>
      </c>
      <c r="R495" s="170">
        <f>IF(Escenarios!$E$14&gt;0,K495*Escenarios!$E$13/Escenarios!$E$14,0)</f>
        <v>0</v>
      </c>
      <c r="S495" s="170">
        <f>IF(Escenarios!$E$14&gt;0,Q495*Escenarios!$E$13/Escenarios!$E$14,0)</f>
        <v>0</v>
      </c>
      <c r="T495" s="170">
        <f>IF(Escenarios!$E$14&gt;0,Observaciones!$I494,0)</f>
        <v>0</v>
      </c>
      <c r="U495" s="170">
        <f>IF(Escenarios!$E$14&gt;0,MAX(0,Constantes!$E$36/((Z494+R495+S495+T495+Observaciones!$F494)^2)+Entradas!$E$77),0)</f>
        <v>0</v>
      </c>
      <c r="V495" s="146">
        <f>IF(ETo!D494&gt;0,ETo!I494*((1-Entradas!$E$81)*ETo!K494+ETo!L494),0)</f>
        <v>2.8099136986325162</v>
      </c>
      <c r="W495" s="170">
        <f>IF(Escenarios!$E$14&gt;0,MIN(V495*1,0.8*(Z494+R495+S495+T495+Observaciones!$F494-U495-Constantes!$E$35)),0)</f>
        <v>9.1463839347056825E-4</v>
      </c>
      <c r="X495" s="170">
        <f>IF(Escenarios!$E$14&gt;0,Observaciones!$J494,0)</f>
        <v>0</v>
      </c>
      <c r="Y495" s="170">
        <f>IF(Escenarios!$E$14&gt;0,MAX(0,Z494+R495+S495+T495+Observaciones!$F494-U495-W495-X495-Constantes!$E$33),0)</f>
        <v>0</v>
      </c>
      <c r="Z495" s="170">
        <f>Z494+R495+S495+T495+Observaciones!$F494-U495-W495-Y495</f>
        <v>41.25022865959837</v>
      </c>
      <c r="AA495" s="170">
        <f>IF(Escenarios!$E$14&gt;0,(Escenarios!$E$13*L495+Escenarios!$E$14*W495)/(Escenarios!$E$16),L495)</f>
        <v>3.1854297976812551E-2</v>
      </c>
      <c r="AB495" s="170">
        <f>IF(Escenarios!$E$14&gt;0,(Escenarios!$E$14*Y495)/(Escenarios!$E$16),K495)</f>
        <v>0</v>
      </c>
      <c r="AC495" s="170">
        <f>IF(Escenarios!$E$14&gt;0,(Escenarios!$E$13*M495+Escenarios!$E$14*U495)/(Escenarios!$E$16),M495)</f>
        <v>0</v>
      </c>
      <c r="AD495" s="76">
        <f t="shared" si="99"/>
        <v>144.65514443660533</v>
      </c>
      <c r="AE495" s="76">
        <f>MAX(0,(AD495-Constantes!$D$13)*(1-EXP(-Constantes!$D$23)))</f>
        <v>0.9449762309595986</v>
      </c>
      <c r="AF495" s="76">
        <f>AB495+O495*Escenarios!$E$13/Escenarios!$E$16+AE495</f>
        <v>0.9449762309595986</v>
      </c>
      <c r="AG495" s="76">
        <f>IF(Entradas!$E$91&gt;0,IF(AF495-Escenarios!$E$38&lt;=0,0,IF(AF495-Escenarios!$E$38&gt;Escenarios!$E$37,Escenarios!$E$37,AF495-Escenarios!$E$38)),0)</f>
        <v>0</v>
      </c>
      <c r="AH495" s="76">
        <f>AG495*Entradas!$E$99</f>
        <v>0</v>
      </c>
      <c r="AI495" s="76">
        <f>IF(Entradas!$E$91&gt;0,D495*Entradas!$D$23/Escenarios!$E$16,0)</f>
        <v>0</v>
      </c>
      <c r="AJ495" s="76">
        <f>IF(Entradas!$E$91&gt;0,Entradas!$D$24*Entradas!$D$22/Escenarios!$E$16,0)</f>
        <v>0</v>
      </c>
      <c r="AK495" s="76">
        <f t="shared" si="108"/>
        <v>3.1854297976812551E-2</v>
      </c>
      <c r="AL495" s="76">
        <f t="shared" si="109"/>
        <v>0</v>
      </c>
      <c r="AM495" s="76">
        <f t="shared" si="100"/>
        <v>0</v>
      </c>
      <c r="AN495" s="76">
        <f>MAX(0,O495*Escenarios!$E$13/Escenarios!$E$16-AM495)</f>
        <v>0</v>
      </c>
      <c r="AO495" s="76">
        <f>AM495+AN495-O495*Escenarios!$E$13/Escenarios!$E$16</f>
        <v>0</v>
      </c>
      <c r="AP495" s="76">
        <f t="shared" si="98"/>
        <v>0.9449762309595986</v>
      </c>
      <c r="AQ495" s="76">
        <f t="shared" si="101"/>
        <v>0</v>
      </c>
      <c r="AR495" s="76">
        <f t="shared" si="102"/>
        <v>0.9449762309595986</v>
      </c>
      <c r="AS495" s="76">
        <f t="shared" si="103"/>
        <v>0</v>
      </c>
      <c r="AT495" s="76">
        <f t="shared" si="104"/>
        <v>0</v>
      </c>
      <c r="AU495" s="76">
        <f t="shared" si="105"/>
        <v>48.75</v>
      </c>
      <c r="AV495" s="76">
        <f>MAX(0,(AU495-Constantes!$D$13)*(1-EXP(-Constantes!$D$24)))</f>
        <v>0</v>
      </c>
      <c r="AW495" s="170">
        <f>AW494+(Entradas!$E$112*AT495-AX494)/(800*Entradas!$D$25)</f>
        <v>0</v>
      </c>
      <c r="AX495" s="170">
        <f>8000*Entradas!$D$26*AW495/Constantes!$E$45</f>
        <v>0</v>
      </c>
      <c r="AY495" s="170">
        <f>IF(Escenarios!$E$17&gt;0,10*Escenarios!$E$16*AL495,0)</f>
        <v>0</v>
      </c>
      <c r="AZ495" s="170">
        <f>IF(Escenarios!$E$17&gt;0,10*Escenarios!$E$16*AX495,0)</f>
        <v>0</v>
      </c>
      <c r="BA495" s="170">
        <f>IF(Escenarios!$E$17&gt;0,0.001*Observaciones!$F494*Escenarios!$E$17,0)</f>
        <v>0</v>
      </c>
      <c r="BB495" s="170">
        <f>IF(Escenarios!$E$17&gt;0,Observaciones!$K494,0)</f>
        <v>0</v>
      </c>
      <c r="BC495" s="170">
        <f>IF(Escenarios!$E$17&gt;0,MIN(0.0005*ETo!$M494*Escenarios!$E$17*(BG494/Constantes!$E$40)^(2/3),BG494+AY495+AZ495+BA495+BB495),0)</f>
        <v>21.746694028423345</v>
      </c>
      <c r="BD495" s="170">
        <f>IF(Escenarios!$E$17&gt;0,MIN(Constantes!$E$39*(BG494/Constantes!$E$40)^(2/3),BG494+AY495+AZ495+BA495+BB495-BC495),0)</f>
        <v>48.796215940103203</v>
      </c>
      <c r="BE495" s="170">
        <f>IF(Escenarios!$E$17&gt;0,MIN(Entradas!$E$113,BG494+AY495+AZ495+BA495+BB495-BC495-BD495),0)</f>
        <v>1</v>
      </c>
      <c r="BF495" s="170">
        <f>IF(Escenarios!$E$17&gt;0,MAX(0,BG494+AY495+AZ495+BA495+BB495-BC495-BD495-BE495-Constantes!$E$40),0)</f>
        <v>0</v>
      </c>
      <c r="BG495" s="170">
        <f t="shared" si="110"/>
        <v>3104.2558680712737</v>
      </c>
      <c r="BH495" s="170">
        <f>(Escenarios!$E$16*AK495+0.1*BC495)/(Escenarios!$E$19)</f>
        <v>4.0231126575577272E-2</v>
      </c>
      <c r="BI495" s="170">
        <f>IF(Escenarios!$E$17&gt;0,BF495/10/Escenarios!$E$19,AL495)</f>
        <v>0</v>
      </c>
      <c r="BJ495" s="170">
        <f>(Escenarios!$E$16*AT495+0.1*BD495)/(Escenarios!$E$19)</f>
        <v>1.9363577754009206E-2</v>
      </c>
      <c r="BK495" s="76">
        <f>BK494+(0.1*BD495)/(Escenarios!$E$19)-BL494</f>
        <v>50.753455613323844</v>
      </c>
      <c r="BL495" s="76">
        <f>MAX(0,(BK495-Constantes!$D$13)*(1-EXP(-Constantes!$D$23)))</f>
        <v>1.9740525344029498E-2</v>
      </c>
      <c r="BM495" s="76">
        <f t="shared" si="106"/>
        <v>0.96471675630362808</v>
      </c>
      <c r="BN495" s="76">
        <f t="shared" si="111"/>
        <v>0.96471675630362808</v>
      </c>
      <c r="BO495" s="76">
        <f>0.0526*BI495*Observaciones!$F494^1.218</f>
        <v>0</v>
      </c>
      <c r="BP495" s="76">
        <f>BO495*Constantes!$E$51</f>
        <v>0</v>
      </c>
      <c r="BQ495" s="76">
        <f t="shared" si="107"/>
        <v>0</v>
      </c>
      <c r="BR495" s="40"/>
    </row>
    <row r="496" spans="1:70">
      <c r="A496" s="147"/>
      <c r="B496" s="39"/>
      <c r="C496" s="75">
        <v>490</v>
      </c>
      <c r="D496" s="146">
        <f>ETo!$I495*((1-Constantes!$E$19)*ETo!$K495+ETo!$L495)</f>
        <v>3.124028561196722</v>
      </c>
      <c r="E496" s="76">
        <f>MIN(D496*Constantes!$E$17,0.8*(N495+Observaciones!$F495-F496-M496-Constantes!$D$14))</f>
        <v>-6.0050177386699495E-3</v>
      </c>
      <c r="F496" s="76">
        <f>IF(Observaciones!$F495&gt;0.05*Constantes!$E$18,((Observaciones!$F495-0.05*Constantes!$E$18)^2)/(Observaciones!$F495+0.95*Constantes!$E$18),0)</f>
        <v>0</v>
      </c>
      <c r="G496" s="76">
        <f>IF(Escenarios!$E$11&gt;0,(F496*Escenarios!$E$16*10000)/1000,0)</f>
        <v>0</v>
      </c>
      <c r="H496" s="76">
        <f>IF(Escenarios!$E$11&gt;0,(Observaciones!$F495*Constantes!$E$29)/1000,0)</f>
        <v>0</v>
      </c>
      <c r="I496" s="76">
        <f>IF(Escenarios!$E$11&gt;0,(D496*Constantes!$E$29)/1000,0)</f>
        <v>31.24028561196722</v>
      </c>
      <c r="J496" s="76">
        <f>IF(Escenarios!$E$11&gt;0,MAX(0,G496+H496-I496),0)</f>
        <v>0</v>
      </c>
      <c r="K496" s="76">
        <f>IF(Escenarios!$E$11&gt;0,IF(J496&gt;Constantes!$E$30,1000*((J496-Constantes!$E$30)/(Escenarios!$E$16*10000)),0),F496)</f>
        <v>0</v>
      </c>
      <c r="L496" s="76">
        <f>IF(Escenarios!$E$11&gt;0,I496*1000/Escenarios!$E$16/10000+E496,E496)</f>
        <v>6.4910965061169383E-3</v>
      </c>
      <c r="M496" s="76">
        <f>MAX(0,N495+Observaciones!$F495-K496-Constantes!$D$13)</f>
        <v>0</v>
      </c>
      <c r="N496" s="76">
        <f>N495+Observaciones!$F495-K496-L496-M496-O495</f>
        <v>11.236002631320545</v>
      </c>
      <c r="O496" s="76">
        <f>MAX(0,(N496-Constantes!$D$14)*(1-EXP(-Constantes!$D$22)))</f>
        <v>0</v>
      </c>
      <c r="P496" s="170">
        <f>P495+(Entradas!$E$83*M496-Q495)/(800*Entradas!$D$25)</f>
        <v>0</v>
      </c>
      <c r="Q496" s="170">
        <f>8000*Entradas!$D$26*P496/Constantes!$E$45</f>
        <v>0</v>
      </c>
      <c r="R496" s="170">
        <f>IF(Escenarios!$E$14&gt;0,K496*Escenarios!$E$13/Escenarios!$E$14,0)</f>
        <v>0</v>
      </c>
      <c r="S496" s="170">
        <f>IF(Escenarios!$E$14&gt;0,Q496*Escenarios!$E$13/Escenarios!$E$14,0)</f>
        <v>0</v>
      </c>
      <c r="T496" s="170">
        <f>IF(Escenarios!$E$14&gt;0,Observaciones!$I495,0)</f>
        <v>0</v>
      </c>
      <c r="U496" s="170">
        <f>IF(Escenarios!$E$14&gt;0,MAX(0,Constantes!$E$36/((Z495+R496+S496+T496+Observaciones!$F495)^2)+Entradas!$E$77),0)</f>
        <v>0</v>
      </c>
      <c r="V496" s="146">
        <f>IF(ETo!D495&gt;0,ETo!I495*((1-Entradas!$E$81)*ETo!K495+ETo!L495),0)</f>
        <v>2.8284627726368359</v>
      </c>
      <c r="W496" s="170">
        <f>IF(Escenarios!$E$14&gt;0,MIN(V496*1,0.8*(Z495+R496+S496+T496+Observaciones!$F495-U496-Constantes!$E$35)),0)</f>
        <v>1.8292767869638739E-4</v>
      </c>
      <c r="X496" s="170">
        <f>IF(Escenarios!$E$14&gt;0,Observaciones!$J495,0)</f>
        <v>0</v>
      </c>
      <c r="Y496" s="170">
        <f>IF(Escenarios!$E$14&gt;0,MAX(0,Z495+R496+S496+T496+Observaciones!$F495-U496-W496-X496-Constantes!$E$33),0)</f>
        <v>0</v>
      </c>
      <c r="Z496" s="170">
        <f>Z495+R496+S496+T496+Observaciones!$F495-U496-W496-Y496</f>
        <v>41.250045731919677</v>
      </c>
      <c r="AA496" s="170">
        <f>IF(Escenarios!$E$14&gt;0,(Escenarios!$E$13*L496+Escenarios!$E$14*W496)/(Escenarios!$E$16),L496)</f>
        <v>5.7341162468264725E-3</v>
      </c>
      <c r="AB496" s="170">
        <f>IF(Escenarios!$E$14&gt;0,(Escenarios!$E$14*Y496)/(Escenarios!$E$16),K496)</f>
        <v>0</v>
      </c>
      <c r="AC496" s="170">
        <f>IF(Escenarios!$E$14&gt;0,(Escenarios!$E$13*M496+Escenarios!$E$14*U496)/(Escenarios!$E$16),M496)</f>
        <v>0</v>
      </c>
      <c r="AD496" s="76">
        <f t="shared" si="99"/>
        <v>143.71016820564572</v>
      </c>
      <c r="AE496" s="76">
        <f>MAX(0,(AD496-Constantes!$D$13)*(1-EXP(-Constantes!$D$23)))</f>
        <v>0.93566515508015091</v>
      </c>
      <c r="AF496" s="76">
        <f>AB496+O496*Escenarios!$E$13/Escenarios!$E$16+AE496</f>
        <v>0.93566515508015091</v>
      </c>
      <c r="AG496" s="76">
        <f>IF(Entradas!$E$91&gt;0,IF(AF496-Escenarios!$E$38&lt;=0,0,IF(AF496-Escenarios!$E$38&gt;Escenarios!$E$37,Escenarios!$E$37,AF496-Escenarios!$E$38)),0)</f>
        <v>0</v>
      </c>
      <c r="AH496" s="76">
        <f>AG496*Entradas!$E$99</f>
        <v>0</v>
      </c>
      <c r="AI496" s="76">
        <f>IF(Entradas!$E$91&gt;0,D496*Entradas!$D$23/Escenarios!$E$16,0)</f>
        <v>0</v>
      </c>
      <c r="AJ496" s="76">
        <f>IF(Entradas!$E$91&gt;0,Entradas!$D$24*Entradas!$D$22/Escenarios!$E$16,0)</f>
        <v>0</v>
      </c>
      <c r="AK496" s="76">
        <f t="shared" si="108"/>
        <v>5.7341162468264725E-3</v>
      </c>
      <c r="AL496" s="76">
        <f t="shared" si="109"/>
        <v>0</v>
      </c>
      <c r="AM496" s="76">
        <f t="shared" si="100"/>
        <v>0</v>
      </c>
      <c r="AN496" s="76">
        <f>MAX(0,O496*Escenarios!$E$13/Escenarios!$E$16-AM496)</f>
        <v>0</v>
      </c>
      <c r="AO496" s="76">
        <f>AM496+AN496-O496*Escenarios!$E$13/Escenarios!$E$16</f>
        <v>0</v>
      </c>
      <c r="AP496" s="76">
        <f t="shared" si="98"/>
        <v>0.93566515508015091</v>
      </c>
      <c r="AQ496" s="76">
        <f t="shared" si="101"/>
        <v>0</v>
      </c>
      <c r="AR496" s="76">
        <f t="shared" si="102"/>
        <v>0.93566515508015091</v>
      </c>
      <c r="AS496" s="76">
        <f t="shared" si="103"/>
        <v>0</v>
      </c>
      <c r="AT496" s="76">
        <f t="shared" si="104"/>
        <v>0</v>
      </c>
      <c r="AU496" s="76">
        <f t="shared" si="105"/>
        <v>48.75</v>
      </c>
      <c r="AV496" s="76">
        <f>MAX(0,(AU496-Constantes!$D$13)*(1-EXP(-Constantes!$D$24)))</f>
        <v>0</v>
      </c>
      <c r="AW496" s="170">
        <f>AW495+(Entradas!$E$112*AT496-AX495)/(800*Entradas!$D$25)</f>
        <v>0</v>
      </c>
      <c r="AX496" s="170">
        <f>8000*Entradas!$D$26*AW496/Constantes!$E$45</f>
        <v>0</v>
      </c>
      <c r="AY496" s="170">
        <f>IF(Escenarios!$E$17&gt;0,10*Escenarios!$E$16*AL496,0)</f>
        <v>0</v>
      </c>
      <c r="AZ496" s="170">
        <f>IF(Escenarios!$E$17&gt;0,10*Escenarios!$E$16*AX496,0)</f>
        <v>0</v>
      </c>
      <c r="BA496" s="170">
        <f>IF(Escenarios!$E$17&gt;0,0.001*Observaciones!$F495*Escenarios!$E$17,0)</f>
        <v>0</v>
      </c>
      <c r="BB496" s="170">
        <f>IF(Escenarios!$E$17&gt;0,Observaciones!$K495,0)</f>
        <v>0</v>
      </c>
      <c r="BC496" s="170">
        <f>IF(Escenarios!$E$17&gt;0,MIN(0.0005*ETo!$M495*Escenarios!$E$17*(BG495/Constantes!$E$40)^(2/3),BG495+AY496+AZ496+BA496+BB496),0)</f>
        <v>21.561846577978006</v>
      </c>
      <c r="BD496" s="170">
        <f>IF(Escenarios!$E$17&gt;0,MIN(Constantes!$E$39*(BG495/Constantes!$E$40)^(2/3),BG495+AY496+AZ496+BA496+BB496-BC496),0)</f>
        <v>48.060597623731738</v>
      </c>
      <c r="BE496" s="170">
        <f>IF(Escenarios!$E$17&gt;0,MIN(Entradas!$E$113,BG495+AY496+AZ496+BA496+BB496-BC496-BD496),0)</f>
        <v>1</v>
      </c>
      <c r="BF496" s="170">
        <f>IF(Escenarios!$E$17&gt;0,MAX(0,BG495+AY496+AZ496+BA496+BB496-BC496-BD496-BE496-Constantes!$E$40),0)</f>
        <v>0</v>
      </c>
      <c r="BG496" s="170">
        <f t="shared" si="110"/>
        <v>3033.633423869564</v>
      </c>
      <c r="BH496" s="170">
        <f>(Escenarios!$E$16*AK496+0.1*BC496)/(Escenarios!$E$19)</f>
        <v>1.4244895712319123E-2</v>
      </c>
      <c r="BI496" s="170">
        <f>IF(Escenarios!$E$17&gt;0,BF496/10/Escenarios!$E$19,AL496)</f>
        <v>0</v>
      </c>
      <c r="BJ496" s="170">
        <f>(Escenarios!$E$16*AT496+0.1*BD496)/(Escenarios!$E$19)</f>
        <v>1.9071665723703071E-2</v>
      </c>
      <c r="BK496" s="76">
        <f>BK495+(0.1*BD496)/(Escenarios!$E$19)-BL495</f>
        <v>50.752786753703518</v>
      </c>
      <c r="BL496" s="76">
        <f>MAX(0,(BK496-Constantes!$D$13)*(1-EXP(-Constantes!$D$23)))</f>
        <v>1.9733934910880473E-2</v>
      </c>
      <c r="BM496" s="76">
        <f t="shared" si="106"/>
        <v>0.9553990899910314</v>
      </c>
      <c r="BN496" s="76">
        <f t="shared" si="111"/>
        <v>0.9553990899910314</v>
      </c>
      <c r="BO496" s="76">
        <f>0.0526*BI496*Observaciones!$F495^1.218</f>
        <v>0</v>
      </c>
      <c r="BP496" s="76">
        <f>BO496*Constantes!$E$51</f>
        <v>0</v>
      </c>
      <c r="BQ496" s="76">
        <f t="shared" si="107"/>
        <v>0</v>
      </c>
      <c r="BR496" s="40"/>
    </row>
    <row r="497" spans="1:70">
      <c r="A497" s="147"/>
      <c r="B497" s="39"/>
      <c r="C497" s="75">
        <v>491</v>
      </c>
      <c r="D497" s="146">
        <f>ETo!$I496*((1-Constantes!$E$19)*ETo!$K496+ETo!$L496)</f>
        <v>3.0175287754934348</v>
      </c>
      <c r="E497" s="76">
        <f>MIN(D497*Constantes!$E$17,0.8*(N496+Observaciones!$F496-F497-M497-Constantes!$D$14))</f>
        <v>-1.1197894943563824E-2</v>
      </c>
      <c r="F497" s="76">
        <f>IF(Observaciones!$F496&gt;0.05*Constantes!$E$18,((Observaciones!$F496-0.05*Constantes!$E$18)^2)/(Observaciones!$F496+0.95*Constantes!$E$18),0)</f>
        <v>0</v>
      </c>
      <c r="G497" s="76">
        <f>IF(Escenarios!$E$11&gt;0,(F497*Escenarios!$E$16*10000)/1000,0)</f>
        <v>0</v>
      </c>
      <c r="H497" s="76">
        <f>IF(Escenarios!$E$11&gt;0,(Observaciones!$F496*Constantes!$E$29)/1000,0)</f>
        <v>0</v>
      </c>
      <c r="I497" s="76">
        <f>IF(Escenarios!$E$11&gt;0,(D497*Constantes!$E$29)/1000,0)</f>
        <v>30.175287754934345</v>
      </c>
      <c r="J497" s="76">
        <f>IF(Escenarios!$E$11&gt;0,MAX(0,G497+H497-I497),0)</f>
        <v>0</v>
      </c>
      <c r="K497" s="76">
        <f>IF(Escenarios!$E$11&gt;0,IF(J497&gt;Constantes!$E$30,1000*((J497-Constantes!$E$30)/(Escenarios!$E$16*10000)),0),F497)</f>
        <v>0</v>
      </c>
      <c r="L497" s="76">
        <f>IF(Escenarios!$E$11&gt;0,I497*1000/Escenarios!$E$16/10000+E497,E497)</f>
        <v>8.722201584099136E-4</v>
      </c>
      <c r="M497" s="76">
        <f>MAX(0,N496+Observaciones!$F496-K497-Constantes!$D$13)</f>
        <v>0</v>
      </c>
      <c r="N497" s="76">
        <f>N496+Observaciones!$F496-K497-L497-M497-O496</f>
        <v>11.235130411162135</v>
      </c>
      <c r="O497" s="76">
        <f>MAX(0,(N497-Constantes!$D$14)*(1-EXP(-Constantes!$D$22)))</f>
        <v>0</v>
      </c>
      <c r="P497" s="170">
        <f>P496+(Entradas!$E$83*M497-Q496)/(800*Entradas!$D$25)</f>
        <v>0</v>
      </c>
      <c r="Q497" s="170">
        <f>8000*Entradas!$D$26*P497/Constantes!$E$45</f>
        <v>0</v>
      </c>
      <c r="R497" s="170">
        <f>IF(Escenarios!$E$14&gt;0,K497*Escenarios!$E$13/Escenarios!$E$14,0)</f>
        <v>0</v>
      </c>
      <c r="S497" s="170">
        <f>IF(Escenarios!$E$14&gt;0,Q497*Escenarios!$E$13/Escenarios!$E$14,0)</f>
        <v>0</v>
      </c>
      <c r="T497" s="170">
        <f>IF(Escenarios!$E$14&gt;0,Observaciones!$I496,0)</f>
        <v>0</v>
      </c>
      <c r="U497" s="170">
        <f>IF(Escenarios!$E$14&gt;0,MAX(0,Constantes!$E$36/((Z496+R497+S497+T497+Observaciones!$F496)^2)+Entradas!$E$77),0)</f>
        <v>0</v>
      </c>
      <c r="V497" s="146">
        <f>IF(ETo!D496&gt;0,ETo!I496*((1-Entradas!$E$81)*ETo!K496+ETo!L496),0)</f>
        <v>2.7305520769111915</v>
      </c>
      <c r="W497" s="170">
        <f>IF(Escenarios!$E$14&gt;0,MIN(V497*1,0.8*(Z496+R497+S497+T497+Observaciones!$F496-U497-Constantes!$E$35)),0)</f>
        <v>3.6585535741551216E-5</v>
      </c>
      <c r="X497" s="170">
        <f>IF(Escenarios!$E$14&gt;0,Observaciones!$J496,0)</f>
        <v>0</v>
      </c>
      <c r="Y497" s="170">
        <f>IF(Escenarios!$E$14&gt;0,MAX(0,Z496+R497+S497+T497+Observaciones!$F496-U497-W497-X497-Constantes!$E$33),0)</f>
        <v>0</v>
      </c>
      <c r="Z497" s="170">
        <f>Z496+R497+S497+T497+Observaciones!$F496-U497-W497-Y497</f>
        <v>41.250009146383938</v>
      </c>
      <c r="AA497" s="170">
        <f>IF(Escenarios!$E$14&gt;0,(Escenarios!$E$13*L497+Escenarios!$E$14*W497)/(Escenarios!$E$16),L497)</f>
        <v>7.719440036897101E-4</v>
      </c>
      <c r="AB497" s="170">
        <f>IF(Escenarios!$E$14&gt;0,(Escenarios!$E$14*Y497)/(Escenarios!$E$16),K497)</f>
        <v>0</v>
      </c>
      <c r="AC497" s="170">
        <f>IF(Escenarios!$E$14&gt;0,(Escenarios!$E$13*M497+Escenarios!$E$14*U497)/(Escenarios!$E$16),M497)</f>
        <v>0</v>
      </c>
      <c r="AD497" s="76">
        <f t="shared" si="99"/>
        <v>142.77450305056556</v>
      </c>
      <c r="AE497" s="76">
        <f>MAX(0,(AD497-Constantes!$D$13)*(1-EXP(-Constantes!$D$23)))</f>
        <v>0.92644582344906901</v>
      </c>
      <c r="AF497" s="76">
        <f>AB497+O497*Escenarios!$E$13/Escenarios!$E$16+AE497</f>
        <v>0.92644582344906901</v>
      </c>
      <c r="AG497" s="76">
        <f>IF(Entradas!$E$91&gt;0,IF(AF497-Escenarios!$E$38&lt;=0,0,IF(AF497-Escenarios!$E$38&gt;Escenarios!$E$37,Escenarios!$E$37,AF497-Escenarios!$E$38)),0)</f>
        <v>0</v>
      </c>
      <c r="AH497" s="76">
        <f>AG497*Entradas!$E$99</f>
        <v>0</v>
      </c>
      <c r="AI497" s="76">
        <f>IF(Entradas!$E$91&gt;0,D497*Entradas!$D$23/Escenarios!$E$16,0)</f>
        <v>0</v>
      </c>
      <c r="AJ497" s="76">
        <f>IF(Entradas!$E$91&gt;0,Entradas!$D$24*Entradas!$D$22/Escenarios!$E$16,0)</f>
        <v>0</v>
      </c>
      <c r="AK497" s="76">
        <f t="shared" si="108"/>
        <v>7.719440036897101E-4</v>
      </c>
      <c r="AL497" s="76">
        <f t="shared" si="109"/>
        <v>0</v>
      </c>
      <c r="AM497" s="76">
        <f t="shared" si="100"/>
        <v>0</v>
      </c>
      <c r="AN497" s="76">
        <f>MAX(0,O497*Escenarios!$E$13/Escenarios!$E$16-AM497)</f>
        <v>0</v>
      </c>
      <c r="AO497" s="76">
        <f>AM497+AN497-O497*Escenarios!$E$13/Escenarios!$E$16</f>
        <v>0</v>
      </c>
      <c r="AP497" s="76">
        <f t="shared" si="98"/>
        <v>0.92644582344906901</v>
      </c>
      <c r="AQ497" s="76">
        <f t="shared" si="101"/>
        <v>0</v>
      </c>
      <c r="AR497" s="76">
        <f t="shared" si="102"/>
        <v>0.92644582344906901</v>
      </c>
      <c r="AS497" s="76">
        <f t="shared" si="103"/>
        <v>0</v>
      </c>
      <c r="AT497" s="76">
        <f t="shared" si="104"/>
        <v>0</v>
      </c>
      <c r="AU497" s="76">
        <f t="shared" si="105"/>
        <v>48.75</v>
      </c>
      <c r="AV497" s="76">
        <f>MAX(0,(AU497-Constantes!$D$13)*(1-EXP(-Constantes!$D$24)))</f>
        <v>0</v>
      </c>
      <c r="AW497" s="170">
        <f>AW496+(Entradas!$E$112*AT497-AX496)/(800*Entradas!$D$25)</f>
        <v>0</v>
      </c>
      <c r="AX497" s="170">
        <f>8000*Entradas!$D$26*AW497/Constantes!$E$45</f>
        <v>0</v>
      </c>
      <c r="AY497" s="170">
        <f>IF(Escenarios!$E$17&gt;0,10*Escenarios!$E$16*AL497,0)</f>
        <v>0</v>
      </c>
      <c r="AZ497" s="170">
        <f>IF(Escenarios!$E$17&gt;0,10*Escenarios!$E$16*AX497,0)</f>
        <v>0</v>
      </c>
      <c r="BA497" s="170">
        <f>IF(Escenarios!$E$17&gt;0,0.001*Observaciones!$F496*Escenarios!$E$17,0)</f>
        <v>0</v>
      </c>
      <c r="BB497" s="170">
        <f>IF(Escenarios!$E$17&gt;0,Observaciones!$K496,0)</f>
        <v>0</v>
      </c>
      <c r="BC497" s="170">
        <f>IF(Escenarios!$E$17&gt;0,MIN(0.0005*ETo!$M496*Escenarios!$E$17*(BG496/Constantes!$E$40)^(2/3),BG496+AY497+AZ497+BA497+BB497),0)</f>
        <v>20.523547896456531</v>
      </c>
      <c r="BD497" s="170">
        <f>IF(Escenarios!$E$17&gt;0,MIN(Constantes!$E$39*(BG496/Constantes!$E$40)^(2/3),BG496+AY497+AZ497+BA497+BB497-BC497),0)</f>
        <v>47.328879937919552</v>
      </c>
      <c r="BE497" s="170">
        <f>IF(Escenarios!$E$17&gt;0,MIN(Entradas!$E$113,BG496+AY497+AZ497+BA497+BB497-BC497-BD497),0)</f>
        <v>1</v>
      </c>
      <c r="BF497" s="170">
        <f>IF(Escenarios!$E$17&gt;0,MAX(0,BG496+AY497+AZ497+BA497+BB497-BC497-BD497-BE497-Constantes!$E$40),0)</f>
        <v>0</v>
      </c>
      <c r="BG497" s="170">
        <f t="shared" si="110"/>
        <v>2964.7809960351879</v>
      </c>
      <c r="BH497" s="170">
        <f>(Escenarios!$E$16*AK497+0.1*BC497)/(Escenarios!$E$19)</f>
        <v>8.9100825022542882E-3</v>
      </c>
      <c r="BI497" s="170">
        <f>IF(Escenarios!$E$17&gt;0,BF497/10/Escenarios!$E$19,AL497)</f>
        <v>0</v>
      </c>
      <c r="BJ497" s="170">
        <f>(Escenarios!$E$16*AT497+0.1*BD497)/(Escenarios!$E$19)</f>
        <v>1.878130156266649E-2</v>
      </c>
      <c r="BK497" s="76">
        <f>BK496+(0.1*BD497)/(Escenarios!$E$19)-BL496</f>
        <v>50.751834120355305</v>
      </c>
      <c r="BL497" s="76">
        <f>MAX(0,(BK497-Constantes!$D$13)*(1-EXP(-Constantes!$D$23)))</f>
        <v>1.9724548387600946E-2</v>
      </c>
      <c r="BM497" s="76">
        <f t="shared" si="106"/>
        <v>0.94617037183666997</v>
      </c>
      <c r="BN497" s="76">
        <f t="shared" si="111"/>
        <v>0.94617037183666997</v>
      </c>
      <c r="BO497" s="76">
        <f>0.0526*BI497*Observaciones!$F496^1.218</f>
        <v>0</v>
      </c>
      <c r="BP497" s="76">
        <f>BO497*Constantes!$E$51</f>
        <v>0</v>
      </c>
      <c r="BQ497" s="76">
        <f t="shared" si="107"/>
        <v>0</v>
      </c>
      <c r="BR497" s="40"/>
    </row>
    <row r="498" spans="1:70">
      <c r="A498" s="147"/>
      <c r="B498" s="39"/>
      <c r="C498" s="75">
        <v>492</v>
      </c>
      <c r="D498" s="146">
        <f>ETo!$I497*((1-Constantes!$E$19)*ETo!$K497+ETo!$L497)</f>
        <v>3.0859250432985075</v>
      </c>
      <c r="E498" s="76">
        <f>MIN(D498*Constantes!$E$17,0.8*(N497+Observaciones!$F497-F498-M498-Constantes!$D$14))</f>
        <v>-1.1895671070291769E-2</v>
      </c>
      <c r="F498" s="76">
        <f>IF(Observaciones!$F497&gt;0.05*Constantes!$E$18,((Observaciones!$F497-0.05*Constantes!$E$18)^2)/(Observaciones!$F497+0.95*Constantes!$E$18),0)</f>
        <v>0</v>
      </c>
      <c r="G498" s="76">
        <f>IF(Escenarios!$E$11&gt;0,(F498*Escenarios!$E$16*10000)/1000,0)</f>
        <v>0</v>
      </c>
      <c r="H498" s="76">
        <f>IF(Escenarios!$E$11&gt;0,(Observaciones!$F497*Constantes!$E$29)/1000,0)</f>
        <v>0</v>
      </c>
      <c r="I498" s="76">
        <f>IF(Escenarios!$E$11&gt;0,(D498*Constantes!$E$29)/1000,0)</f>
        <v>30.859250432985075</v>
      </c>
      <c r="J498" s="76">
        <f>IF(Escenarios!$E$11&gt;0,MAX(0,G498+H498-I498),0)</f>
        <v>0</v>
      </c>
      <c r="K498" s="76">
        <f>IF(Escenarios!$E$11&gt;0,IF(J498&gt;Constantes!$E$30,1000*((J498-Constantes!$E$30)/(Escenarios!$E$16*10000)),0),F498)</f>
        <v>0</v>
      </c>
      <c r="L498" s="76">
        <f>IF(Escenarios!$E$11&gt;0,I498*1000/Escenarios!$E$16/10000+E498,E498)</f>
        <v>4.4802910290226046E-4</v>
      </c>
      <c r="M498" s="76">
        <f>MAX(0,N497+Observaciones!$F497-K498-Constantes!$D$13)</f>
        <v>0</v>
      </c>
      <c r="N498" s="76">
        <f>N497+Observaciones!$F497-K498-L498-M498-O497</f>
        <v>11.234682382059233</v>
      </c>
      <c r="O498" s="76">
        <f>MAX(0,(N498-Constantes!$D$14)*(1-EXP(-Constantes!$D$22)))</f>
        <v>0</v>
      </c>
      <c r="P498" s="170">
        <f>P497+(Entradas!$E$83*M498-Q497)/(800*Entradas!$D$25)</f>
        <v>0</v>
      </c>
      <c r="Q498" s="170">
        <f>8000*Entradas!$D$26*P498/Constantes!$E$45</f>
        <v>0</v>
      </c>
      <c r="R498" s="170">
        <f>IF(Escenarios!$E$14&gt;0,K498*Escenarios!$E$13/Escenarios!$E$14,0)</f>
        <v>0</v>
      </c>
      <c r="S498" s="170">
        <f>IF(Escenarios!$E$14&gt;0,Q498*Escenarios!$E$13/Escenarios!$E$14,0)</f>
        <v>0</v>
      </c>
      <c r="T498" s="170">
        <f>IF(Escenarios!$E$14&gt;0,Observaciones!$I497,0)</f>
        <v>0</v>
      </c>
      <c r="U498" s="170">
        <f>IF(Escenarios!$E$14&gt;0,MAX(0,Constantes!$E$36/((Z497+R498+S498+T498+Observaciones!$F497)^2)+Entradas!$E$77),0)</f>
        <v>0</v>
      </c>
      <c r="V498" s="146">
        <f>IF(ETo!D497&gt;0,ETo!I497*((1-Entradas!$E$81)*ETo!K497+ETo!L497),0)</f>
        <v>2.7928495402268596</v>
      </c>
      <c r="W498" s="170">
        <f>IF(Escenarios!$E$14&gt;0,MIN(V498*1,0.8*(Z497+R498+S498+T498+Observaciones!$F497-U498-Constantes!$E$35)),0)</f>
        <v>7.3171071505839798E-6</v>
      </c>
      <c r="X498" s="170">
        <f>IF(Escenarios!$E$14&gt;0,Observaciones!$J497,0)</f>
        <v>0</v>
      </c>
      <c r="Y498" s="170">
        <f>IF(Escenarios!$E$14&gt;0,MAX(0,Z497+R498+S498+T498+Observaciones!$F497-U498-W498-X498-Constantes!$E$33),0)</f>
        <v>0</v>
      </c>
      <c r="Z498" s="170">
        <f>Z497+R498+S498+T498+Observaciones!$F497-U498-W498-Y498</f>
        <v>41.25000182927679</v>
      </c>
      <c r="AA498" s="170">
        <f>IF(Escenarios!$E$14&gt;0,(Escenarios!$E$13*L498+Escenarios!$E$14*W498)/(Escenarios!$E$16),L498)</f>
        <v>3.9514366341205932E-4</v>
      </c>
      <c r="AB498" s="170">
        <f>IF(Escenarios!$E$14&gt;0,(Escenarios!$E$14*Y498)/(Escenarios!$E$16),K498)</f>
        <v>0</v>
      </c>
      <c r="AC498" s="170">
        <f>IF(Escenarios!$E$14&gt;0,(Escenarios!$E$13*M498+Escenarios!$E$14*U498)/(Escenarios!$E$16),M498)</f>
        <v>0</v>
      </c>
      <c r="AD498" s="76">
        <f t="shared" si="99"/>
        <v>141.8480572271165</v>
      </c>
      <c r="AE498" s="76">
        <f>MAX(0,(AD498-Constantes!$D$13)*(1-EXP(-Constantes!$D$23)))</f>
        <v>0.91731733208842203</v>
      </c>
      <c r="AF498" s="76">
        <f>AB498+O498*Escenarios!$E$13/Escenarios!$E$16+AE498</f>
        <v>0.91731733208842203</v>
      </c>
      <c r="AG498" s="76">
        <f>IF(Entradas!$E$91&gt;0,IF(AF498-Escenarios!$E$38&lt;=0,0,IF(AF498-Escenarios!$E$38&gt;Escenarios!$E$37,Escenarios!$E$37,AF498-Escenarios!$E$38)),0)</f>
        <v>0</v>
      </c>
      <c r="AH498" s="76">
        <f>AG498*Entradas!$E$99</f>
        <v>0</v>
      </c>
      <c r="AI498" s="76">
        <f>IF(Entradas!$E$91&gt;0,D498*Entradas!$D$23/Escenarios!$E$16,0)</f>
        <v>0</v>
      </c>
      <c r="AJ498" s="76">
        <f>IF(Entradas!$E$91&gt;0,Entradas!$D$24*Entradas!$D$22/Escenarios!$E$16,0)</f>
        <v>0</v>
      </c>
      <c r="AK498" s="76">
        <f t="shared" si="108"/>
        <v>3.9514366341205932E-4</v>
      </c>
      <c r="AL498" s="76">
        <f t="shared" si="109"/>
        <v>0</v>
      </c>
      <c r="AM498" s="76">
        <f t="shared" si="100"/>
        <v>0</v>
      </c>
      <c r="AN498" s="76">
        <f>MAX(0,O498*Escenarios!$E$13/Escenarios!$E$16-AM498)</f>
        <v>0</v>
      </c>
      <c r="AO498" s="76">
        <f>AM498+AN498-O498*Escenarios!$E$13/Escenarios!$E$16</f>
        <v>0</v>
      </c>
      <c r="AP498" s="76">
        <f t="shared" si="98"/>
        <v>0.91731733208842203</v>
      </c>
      <c r="AQ498" s="76">
        <f t="shared" si="101"/>
        <v>0</v>
      </c>
      <c r="AR498" s="76">
        <f t="shared" si="102"/>
        <v>0.91731733208842203</v>
      </c>
      <c r="AS498" s="76">
        <f t="shared" si="103"/>
        <v>0</v>
      </c>
      <c r="AT498" s="76">
        <f t="shared" si="104"/>
        <v>0</v>
      </c>
      <c r="AU498" s="76">
        <f t="shared" si="105"/>
        <v>48.75</v>
      </c>
      <c r="AV498" s="76">
        <f>MAX(0,(AU498-Constantes!$D$13)*(1-EXP(-Constantes!$D$24)))</f>
        <v>0</v>
      </c>
      <c r="AW498" s="170">
        <f>AW497+(Entradas!$E$112*AT498-AX497)/(800*Entradas!$D$25)</f>
        <v>0</v>
      </c>
      <c r="AX498" s="170">
        <f>8000*Entradas!$D$26*AW498/Constantes!$E$45</f>
        <v>0</v>
      </c>
      <c r="AY498" s="170">
        <f>IF(Escenarios!$E$17&gt;0,10*Escenarios!$E$16*AL498,0)</f>
        <v>0</v>
      </c>
      <c r="AZ498" s="170">
        <f>IF(Escenarios!$E$17&gt;0,10*Escenarios!$E$16*AX498,0)</f>
        <v>0</v>
      </c>
      <c r="BA498" s="170">
        <f>IF(Escenarios!$E$17&gt;0,0.001*Observaciones!$F497*Escenarios!$E$17,0)</f>
        <v>0</v>
      </c>
      <c r="BB498" s="170">
        <f>IF(Escenarios!$E$17&gt;0,Observaciones!$K497,0)</f>
        <v>0</v>
      </c>
      <c r="BC498" s="170">
        <f>IF(Escenarios!$E$17&gt;0,MIN(0.0005*ETo!$M497*Escenarios!$E$17*(BG497/Constantes!$E$40)^(2/3),BG497+AY498+AZ498+BA498+BB498),0)</f>
        <v>20.666227719975311</v>
      </c>
      <c r="BD498" s="170">
        <f>IF(Escenarios!$E$17&gt;0,MIN(Constantes!$E$39*(BG497/Constantes!$E$40)^(2/3),BG497+AY498+AZ498+BA498+BB498-BC498),0)</f>
        <v>46.610014548921427</v>
      </c>
      <c r="BE498" s="170">
        <f>IF(Escenarios!$E$17&gt;0,MIN(Entradas!$E$113,BG497+AY498+AZ498+BA498+BB498-BC498-BD498),0)</f>
        <v>1</v>
      </c>
      <c r="BF498" s="170">
        <f>IF(Escenarios!$E$17&gt;0,MAX(0,BG497+AY498+AZ498+BA498+BB498-BC498-BD498-BE498-Constantes!$E$40),0)</f>
        <v>0</v>
      </c>
      <c r="BG498" s="170">
        <f t="shared" si="110"/>
        <v>2896.5047537662913</v>
      </c>
      <c r="BH498" s="170">
        <f>(Escenarios!$E$16*AK498+0.1*BC498)/(Escenarios!$E$19)</f>
        <v>8.5928916184545463E-3</v>
      </c>
      <c r="BI498" s="170">
        <f>IF(Escenarios!$E$17&gt;0,BF498/10/Escenarios!$E$19,AL498)</f>
        <v>0</v>
      </c>
      <c r="BJ498" s="170">
        <f>(Escenarios!$E$16*AT498+0.1*BD498)/(Escenarios!$E$19)</f>
        <v>1.8496037519413266E-2</v>
      </c>
      <c r="BK498" s="76">
        <f>BK497+(0.1*BD498)/(Escenarios!$E$19)-BL497</f>
        <v>50.750605609487117</v>
      </c>
      <c r="BL498" s="76">
        <f>MAX(0,(BK498-Constantes!$D$13)*(1-EXP(-Constantes!$D$23)))</f>
        <v>1.9712443577408197E-2</v>
      </c>
      <c r="BM498" s="76">
        <f t="shared" si="106"/>
        <v>0.93702977566583023</v>
      </c>
      <c r="BN498" s="76">
        <f t="shared" si="111"/>
        <v>0.93702977566583023</v>
      </c>
      <c r="BO498" s="76">
        <f>0.0526*BI498*Observaciones!$F497^1.218</f>
        <v>0</v>
      </c>
      <c r="BP498" s="76">
        <f>BO498*Constantes!$E$51</f>
        <v>0</v>
      </c>
      <c r="BQ498" s="76">
        <f t="shared" si="107"/>
        <v>0</v>
      </c>
      <c r="BR498" s="40"/>
    </row>
    <row r="499" spans="1:70">
      <c r="A499" s="147"/>
      <c r="B499" s="39"/>
      <c r="C499" s="75">
        <v>493</v>
      </c>
      <c r="D499" s="146">
        <f>ETo!$I498*((1-Constantes!$E$19)*ETo!$K498+ETo!$L498)</f>
        <v>2.9840361416567647</v>
      </c>
      <c r="E499" s="76">
        <f>MIN(D499*Constantes!$E$17,0.8*(N498+Observaciones!$F498-F499-M499-Constantes!$D$14))</f>
        <v>-1.2254094352613265E-2</v>
      </c>
      <c r="F499" s="76">
        <f>IF(Observaciones!$F498&gt;0.05*Constantes!$E$18,((Observaciones!$F498-0.05*Constantes!$E$18)^2)/(Observaciones!$F498+0.95*Constantes!$E$18),0)</f>
        <v>0</v>
      </c>
      <c r="G499" s="76">
        <f>IF(Escenarios!$E$11&gt;0,(F499*Escenarios!$E$16*10000)/1000,0)</f>
        <v>0</v>
      </c>
      <c r="H499" s="76">
        <f>IF(Escenarios!$E$11&gt;0,(Observaciones!$F498*Constantes!$E$29)/1000,0)</f>
        <v>0</v>
      </c>
      <c r="I499" s="76">
        <f>IF(Escenarios!$E$11&gt;0,(D499*Constantes!$E$29)/1000,0)</f>
        <v>29.840361416567649</v>
      </c>
      <c r="J499" s="76">
        <f>IF(Escenarios!$E$11&gt;0,MAX(0,G499+H499-I499),0)</f>
        <v>0</v>
      </c>
      <c r="K499" s="76">
        <f>IF(Escenarios!$E$11&gt;0,IF(J499&gt;Constantes!$E$30,1000*((J499-Constantes!$E$30)/(Escenarios!$E$16*10000)),0),F499)</f>
        <v>0</v>
      </c>
      <c r="L499" s="76">
        <f>IF(Escenarios!$E$11&gt;0,I499*1000/Escenarios!$E$16/10000+E499,E499)</f>
        <v>-3.179497859862046E-4</v>
      </c>
      <c r="M499" s="76">
        <f>MAX(0,N498+Observaciones!$F498-K499-Constantes!$D$13)</f>
        <v>0</v>
      </c>
      <c r="N499" s="76">
        <f>N498+Observaciones!$F498-K499-L499-M499-O498</f>
        <v>11.235000331845219</v>
      </c>
      <c r="O499" s="76">
        <f>MAX(0,(N499-Constantes!$D$14)*(1-EXP(-Constantes!$D$22)))</f>
        <v>0</v>
      </c>
      <c r="P499" s="170">
        <f>P498+(Entradas!$E$83*M499-Q498)/(800*Entradas!$D$25)</f>
        <v>0</v>
      </c>
      <c r="Q499" s="170">
        <f>8000*Entradas!$D$26*P499/Constantes!$E$45</f>
        <v>0</v>
      </c>
      <c r="R499" s="170">
        <f>IF(Escenarios!$E$14&gt;0,K499*Escenarios!$E$13/Escenarios!$E$14,0)</f>
        <v>0</v>
      </c>
      <c r="S499" s="170">
        <f>IF(Escenarios!$E$14&gt;0,Q499*Escenarios!$E$13/Escenarios!$E$14,0)</f>
        <v>0</v>
      </c>
      <c r="T499" s="170">
        <f>IF(Escenarios!$E$14&gt;0,Observaciones!$I498,0)</f>
        <v>0</v>
      </c>
      <c r="U499" s="170">
        <f>IF(Escenarios!$E$14&gt;0,MAX(0,Constantes!$E$36/((Z498+R499+S499+T499+Observaciones!$F498)^2)+Entradas!$E$77),0)</f>
        <v>0</v>
      </c>
      <c r="V499" s="146">
        <f>IF(ETo!D498&gt;0,ETo!I498*((1-Entradas!$E$81)*ETo!K498+ETo!L498),0)</f>
        <v>2.6991919328693652</v>
      </c>
      <c r="W499" s="170">
        <f>IF(Escenarios!$E$14&gt;0,MIN(V499*1,0.8*(Z498+R499+S499+T499+Observaciones!$F498-U499-Constantes!$E$35)),0)</f>
        <v>1.4634214323905327E-6</v>
      </c>
      <c r="X499" s="170">
        <f>IF(Escenarios!$E$14&gt;0,Observaciones!$J498,0)</f>
        <v>0</v>
      </c>
      <c r="Y499" s="170">
        <f>IF(Escenarios!$E$14&gt;0,MAX(0,Z498+R499+S499+T499+Observaciones!$F498-U499-W499-X499-Constantes!$E$33),0)</f>
        <v>0</v>
      </c>
      <c r="Z499" s="170">
        <f>Z498+R499+S499+T499+Observaciones!$F498-U499-W499-Y499</f>
        <v>41.250000365855357</v>
      </c>
      <c r="AA499" s="170">
        <f>IF(Escenarios!$E$14&gt;0,(Escenarios!$E$13*L499+Escenarios!$E$14*W499)/(Escenarios!$E$16),L499)</f>
        <v>-2.7962020109597316E-4</v>
      </c>
      <c r="AB499" s="170">
        <f>IF(Escenarios!$E$14&gt;0,(Escenarios!$E$14*Y499)/(Escenarios!$E$16),K499)</f>
        <v>0</v>
      </c>
      <c r="AC499" s="170">
        <f>IF(Escenarios!$E$14&gt;0,(Escenarios!$E$13*M499+Escenarios!$E$14*U499)/(Escenarios!$E$16),M499)</f>
        <v>0</v>
      </c>
      <c r="AD499" s="76">
        <f t="shared" si="99"/>
        <v>140.93073989502807</v>
      </c>
      <c r="AE499" s="76">
        <f>MAX(0,(AD499-Constantes!$D$13)*(1-EXP(-Constantes!$D$23)))</f>
        <v>0.90827878592738853</v>
      </c>
      <c r="AF499" s="76">
        <f>AB499+O499*Escenarios!$E$13/Escenarios!$E$16+AE499</f>
        <v>0.90827878592738853</v>
      </c>
      <c r="AG499" s="76">
        <f>IF(Entradas!$E$91&gt;0,IF(AF499-Escenarios!$E$38&lt;=0,0,IF(AF499-Escenarios!$E$38&gt;Escenarios!$E$37,Escenarios!$E$37,AF499-Escenarios!$E$38)),0)</f>
        <v>0</v>
      </c>
      <c r="AH499" s="76">
        <f>AG499*Entradas!$E$99</f>
        <v>0</v>
      </c>
      <c r="AI499" s="76">
        <f>IF(Entradas!$E$91&gt;0,D499*Entradas!$D$23/Escenarios!$E$16,0)</f>
        <v>0</v>
      </c>
      <c r="AJ499" s="76">
        <f>IF(Entradas!$E$91&gt;0,Entradas!$D$24*Entradas!$D$22/Escenarios!$E$16,0)</f>
        <v>0</v>
      </c>
      <c r="AK499" s="76">
        <f t="shared" si="108"/>
        <v>-2.7962020109597316E-4</v>
      </c>
      <c r="AL499" s="76">
        <f t="shared" si="109"/>
        <v>0</v>
      </c>
      <c r="AM499" s="76">
        <f t="shared" si="100"/>
        <v>0</v>
      </c>
      <c r="AN499" s="76">
        <f>MAX(0,O499*Escenarios!$E$13/Escenarios!$E$16-AM499)</f>
        <v>0</v>
      </c>
      <c r="AO499" s="76">
        <f>AM499+AN499-O499*Escenarios!$E$13/Escenarios!$E$16</f>
        <v>0</v>
      </c>
      <c r="AP499" s="76">
        <f t="shared" si="98"/>
        <v>0.90827878592738853</v>
      </c>
      <c r="AQ499" s="76">
        <f t="shared" si="101"/>
        <v>0</v>
      </c>
      <c r="AR499" s="76">
        <f t="shared" si="102"/>
        <v>0.90827878592738853</v>
      </c>
      <c r="AS499" s="76">
        <f t="shared" si="103"/>
        <v>0</v>
      </c>
      <c r="AT499" s="76">
        <f t="shared" si="104"/>
        <v>0</v>
      </c>
      <c r="AU499" s="76">
        <f t="shared" si="105"/>
        <v>48.75</v>
      </c>
      <c r="AV499" s="76">
        <f>MAX(0,(AU499-Constantes!$D$13)*(1-EXP(-Constantes!$D$24)))</f>
        <v>0</v>
      </c>
      <c r="AW499" s="170">
        <f>AW498+(Entradas!$E$112*AT499-AX498)/(800*Entradas!$D$25)</f>
        <v>0</v>
      </c>
      <c r="AX499" s="170">
        <f>8000*Entradas!$D$26*AW499/Constantes!$E$45</f>
        <v>0</v>
      </c>
      <c r="AY499" s="170">
        <f>IF(Escenarios!$E$17&gt;0,10*Escenarios!$E$16*AL499,0)</f>
        <v>0</v>
      </c>
      <c r="AZ499" s="170">
        <f>IF(Escenarios!$E$17&gt;0,10*Escenarios!$E$16*AX499,0)</f>
        <v>0</v>
      </c>
      <c r="BA499" s="170">
        <f>IF(Escenarios!$E$17&gt;0,0.001*Observaciones!$F498*Escenarios!$E$17,0)</f>
        <v>0</v>
      </c>
      <c r="BB499" s="170">
        <f>IF(Escenarios!$E$17&gt;0,Observaciones!$K498,0)</f>
        <v>0</v>
      </c>
      <c r="BC499" s="170">
        <f>IF(Escenarios!$E$17&gt;0,MIN(0.0005*ETo!$M498*Escenarios!$E$17*(BG498/Constantes!$E$40)^(2/3),BG498+AY499+AZ499+BA499+BB499),0)</f>
        <v>19.688933354676102</v>
      </c>
      <c r="BD499" s="170">
        <f>IF(Escenarios!$E$17&gt;0,MIN(Constantes!$E$39*(BG498/Constantes!$E$40)^(2/3),BG498+AY499+AZ499+BA499+BB499-BC499),0)</f>
        <v>45.89164831514384</v>
      </c>
      <c r="BE499" s="170">
        <f>IF(Escenarios!$E$17&gt;0,MIN(Entradas!$E$113,BG498+AY499+AZ499+BA499+BB499-BC499-BD499),0)</f>
        <v>1</v>
      </c>
      <c r="BF499" s="170">
        <f>IF(Escenarios!$E$17&gt;0,MAX(0,BG498+AY499+AZ499+BA499+BB499-BC499-BD499-BE499-Constantes!$E$40),0)</f>
        <v>0</v>
      </c>
      <c r="BG499" s="170">
        <f t="shared" si="110"/>
        <v>2829.9241720964715</v>
      </c>
      <c r="BH499" s="170">
        <f>(Escenarios!$E$16*AK499+0.1*BC499)/(Escenarios!$E$19)</f>
        <v>7.5356677983873695E-3</v>
      </c>
      <c r="BI499" s="170">
        <f>IF(Escenarios!$E$17&gt;0,BF499/10/Escenarios!$E$19,AL499)</f>
        <v>0</v>
      </c>
      <c r="BJ499" s="170">
        <f>(Escenarios!$E$16*AT499+0.1*BD499)/(Escenarios!$E$19)</f>
        <v>1.8210971553628507E-2</v>
      </c>
      <c r="BK499" s="76">
        <f>BK498+(0.1*BD499)/(Escenarios!$E$19)-BL498</f>
        <v>50.749104137463334</v>
      </c>
      <c r="BL499" s="76">
        <f>MAX(0,(BK499-Constantes!$D$13)*(1-EXP(-Constantes!$D$23)))</f>
        <v>1.969764921593509E-2</v>
      </c>
      <c r="BM499" s="76">
        <f t="shared" si="106"/>
        <v>0.92797643514332362</v>
      </c>
      <c r="BN499" s="76">
        <f t="shared" si="111"/>
        <v>0.92797643514332362</v>
      </c>
      <c r="BO499" s="76">
        <f>0.0526*BI499*Observaciones!$F498^1.218</f>
        <v>0</v>
      </c>
      <c r="BP499" s="76">
        <f>BO499*Constantes!$E$51</f>
        <v>0</v>
      </c>
      <c r="BQ499" s="76">
        <f t="shared" si="107"/>
        <v>0</v>
      </c>
      <c r="BR499" s="40"/>
    </row>
    <row r="500" spans="1:70">
      <c r="A500" s="147"/>
      <c r="B500" s="39"/>
      <c r="C500" s="75">
        <v>494</v>
      </c>
      <c r="D500" s="146">
        <f>ETo!$I499*((1-Constantes!$E$19)*ETo!$K499+ETo!$L499)</f>
        <v>3.0079625339486289</v>
      </c>
      <c r="E500" s="76">
        <f>MIN(D500*Constantes!$E$17,0.8*(N499+Observaciones!$F499-F500-M500-Constantes!$D$14))</f>
        <v>0.14800026547617479</v>
      </c>
      <c r="F500" s="76">
        <f>IF(Observaciones!$F499&gt;0.05*Constantes!$E$18,((Observaciones!$F499-0.05*Constantes!$E$18)^2)/(Observaciones!$F499+0.95*Constantes!$E$18),0)</f>
        <v>0</v>
      </c>
      <c r="G500" s="76">
        <f>IF(Escenarios!$E$11&gt;0,(F500*Escenarios!$E$16*10000)/1000,0)</f>
        <v>0</v>
      </c>
      <c r="H500" s="76">
        <f>IF(Escenarios!$E$11&gt;0,(Observaciones!$F499*Constantes!$E$29)/1000,0)</f>
        <v>2</v>
      </c>
      <c r="I500" s="76">
        <f>IF(Escenarios!$E$11&gt;0,(D500*Constantes!$E$29)/1000,0)</f>
        <v>30.079625339486292</v>
      </c>
      <c r="J500" s="76">
        <f>IF(Escenarios!$E$11&gt;0,MAX(0,G500+H500-I500),0)</f>
        <v>0</v>
      </c>
      <c r="K500" s="76">
        <f>IF(Escenarios!$E$11&gt;0,IF(J500&gt;Constantes!$E$30,1000*((J500-Constantes!$E$30)/(Escenarios!$E$16*10000)),0),F500)</f>
        <v>0</v>
      </c>
      <c r="L500" s="76">
        <f>IF(Escenarios!$E$11&gt;0,I500*1000/Escenarios!$E$16/10000+E500,E500)</f>
        <v>0.16003211561196931</v>
      </c>
      <c r="M500" s="76">
        <f>MAX(0,N499+Observaciones!$F499-K500-Constantes!$D$13)</f>
        <v>0</v>
      </c>
      <c r="N500" s="76">
        <f>N499+Observaciones!$F499-K500-L500-M500-O499</f>
        <v>11.274968216233249</v>
      </c>
      <c r="O500" s="76">
        <f>MAX(0,(N500-Constantes!$D$14)*(1-EXP(-Constantes!$D$22)))</f>
        <v>8.5050910510273841E-4</v>
      </c>
      <c r="P500" s="170">
        <f>P499+(Entradas!$E$83*M500-Q499)/(800*Entradas!$D$25)</f>
        <v>0</v>
      </c>
      <c r="Q500" s="170">
        <f>8000*Entradas!$D$26*P500/Constantes!$E$45</f>
        <v>0</v>
      </c>
      <c r="R500" s="170">
        <f>IF(Escenarios!$E$14&gt;0,K500*Escenarios!$E$13/Escenarios!$E$14,0)</f>
        <v>0</v>
      </c>
      <c r="S500" s="170">
        <f>IF(Escenarios!$E$14&gt;0,Q500*Escenarios!$E$13/Escenarios!$E$14,0)</f>
        <v>0</v>
      </c>
      <c r="T500" s="170">
        <f>IF(Escenarios!$E$14&gt;0,Observaciones!$I499,0)</f>
        <v>0</v>
      </c>
      <c r="U500" s="170">
        <f>IF(Escenarios!$E$14&gt;0,MAX(0,Constantes!$E$36/((Z499+R500+S500+T500+Observaciones!$F499)^2)+Entradas!$E$77),0)</f>
        <v>0</v>
      </c>
      <c r="V500" s="146">
        <f>IF(ETo!D499&gt;0,ETo!I499*((1-Entradas!$E$81)*ETo!K499+ETo!L499),0)</f>
        <v>2.7207248461999618</v>
      </c>
      <c r="W500" s="170">
        <f>IF(Escenarios!$E$14&gt;0,MIN(V500*1,0.8*(Z499+R500+S500+T500+Observaciones!$F499-U500-Constantes!$E$35)),0)</f>
        <v>0.16000029268428761</v>
      </c>
      <c r="X500" s="170">
        <f>IF(Escenarios!$E$14&gt;0,Observaciones!$J499,0)</f>
        <v>0</v>
      </c>
      <c r="Y500" s="170">
        <f>IF(Escenarios!$E$14&gt;0,MAX(0,Z499+R500+S500+T500+Observaciones!$F499-U500-W500-X500-Constantes!$E$33),0)</f>
        <v>0</v>
      </c>
      <c r="Z500" s="170">
        <f>Z499+R500+S500+T500+Observaciones!$F499-U500-W500-Y500</f>
        <v>41.290000073171072</v>
      </c>
      <c r="AA500" s="170">
        <f>IF(Escenarios!$E$14&gt;0,(Escenarios!$E$13*L500+Escenarios!$E$14*W500)/(Escenarios!$E$16),L500)</f>
        <v>0.16002829686064751</v>
      </c>
      <c r="AB500" s="170">
        <f>IF(Escenarios!$E$14&gt;0,(Escenarios!$E$14*Y500)/(Escenarios!$E$16),K500)</f>
        <v>0</v>
      </c>
      <c r="AC500" s="170">
        <f>IF(Escenarios!$E$14&gt;0,(Escenarios!$E$13*M500+Escenarios!$E$14*U500)/(Escenarios!$E$16),M500)</f>
        <v>0</v>
      </c>
      <c r="AD500" s="76">
        <f t="shared" si="99"/>
        <v>140.02246110910068</v>
      </c>
      <c r="AE500" s="76">
        <f>MAX(0,(AD500-Constantes!$D$13)*(1-EXP(-Constantes!$D$23)))</f>
        <v>0.89932929871449374</v>
      </c>
      <c r="AF500" s="76">
        <f>AB500+O500*Escenarios!$E$13/Escenarios!$E$16+AE500</f>
        <v>0.90007774672698415</v>
      </c>
      <c r="AG500" s="76">
        <f>IF(Entradas!$E$91&gt;0,IF(AF500-Escenarios!$E$38&lt;=0,0,IF(AF500-Escenarios!$E$38&gt;Escenarios!$E$37,Escenarios!$E$37,AF500-Escenarios!$E$38)),0)</f>
        <v>0</v>
      </c>
      <c r="AH500" s="76">
        <f>AG500*Entradas!$E$99</f>
        <v>0</v>
      </c>
      <c r="AI500" s="76">
        <f>IF(Entradas!$E$91&gt;0,D500*Entradas!$D$23/Escenarios!$E$16,0)</f>
        <v>0</v>
      </c>
      <c r="AJ500" s="76">
        <f>IF(Entradas!$E$91&gt;0,Entradas!$D$24*Entradas!$D$22/Escenarios!$E$16,0)</f>
        <v>0</v>
      </c>
      <c r="AK500" s="76">
        <f t="shared" si="108"/>
        <v>0.16002829686064751</v>
      </c>
      <c r="AL500" s="76">
        <f t="shared" si="109"/>
        <v>0</v>
      </c>
      <c r="AM500" s="76">
        <f t="shared" si="100"/>
        <v>0</v>
      </c>
      <c r="AN500" s="76">
        <f>MAX(0,O500*Escenarios!$E$13/Escenarios!$E$16-AM500)</f>
        <v>7.4844801249040983E-4</v>
      </c>
      <c r="AO500" s="76">
        <f>AM500+AN500-O500*Escenarios!$E$13/Escenarios!$E$16</f>
        <v>0</v>
      </c>
      <c r="AP500" s="76">
        <f t="shared" si="98"/>
        <v>0.89932929871449374</v>
      </c>
      <c r="AQ500" s="76">
        <f t="shared" si="101"/>
        <v>0</v>
      </c>
      <c r="AR500" s="76">
        <f t="shared" si="102"/>
        <v>0.90007774672698415</v>
      </c>
      <c r="AS500" s="76">
        <f t="shared" si="103"/>
        <v>0</v>
      </c>
      <c r="AT500" s="76">
        <f t="shared" si="104"/>
        <v>0</v>
      </c>
      <c r="AU500" s="76">
        <f t="shared" si="105"/>
        <v>48.75</v>
      </c>
      <c r="AV500" s="76">
        <f>MAX(0,(AU500-Constantes!$D$13)*(1-EXP(-Constantes!$D$24)))</f>
        <v>0</v>
      </c>
      <c r="AW500" s="170">
        <f>AW499+(Entradas!$E$112*AT500-AX499)/(800*Entradas!$D$25)</f>
        <v>0</v>
      </c>
      <c r="AX500" s="170">
        <f>8000*Entradas!$D$26*AW500/Constantes!$E$45</f>
        <v>0</v>
      </c>
      <c r="AY500" s="170">
        <f>IF(Escenarios!$E$17&gt;0,10*Escenarios!$E$16*AL500,0)</f>
        <v>0</v>
      </c>
      <c r="AZ500" s="170">
        <f>IF(Escenarios!$E$17&gt;0,10*Escenarios!$E$16*AX500,0)</f>
        <v>0</v>
      </c>
      <c r="BA500" s="170">
        <f>IF(Escenarios!$E$17&gt;0,0.001*Observaciones!$F499*Escenarios!$E$17,0)</f>
        <v>4</v>
      </c>
      <c r="BB500" s="170">
        <f>IF(Escenarios!$E$17&gt;0,Observaciones!$K499,0)</f>
        <v>0</v>
      </c>
      <c r="BC500" s="170">
        <f>IF(Escenarios!$E$17&gt;0,MIN(0.0005*ETo!$M499*Escenarios!$E$17*(BG499/Constantes!$E$40)^(2/3),BG499+AY500+AZ500+BA500+BB500),0)</f>
        <v>19.542458934004546</v>
      </c>
      <c r="BD500" s="170">
        <f>IF(Escenarios!$E$17&gt;0,MIN(Constantes!$E$39*(BG499/Constantes!$E$40)^(2/3),BG499+AY500+AZ500+BA500+BB500-BC500),0)</f>
        <v>45.185666455892203</v>
      </c>
      <c r="BE500" s="170">
        <f>IF(Escenarios!$E$17&gt;0,MIN(Entradas!$E$113,BG499+AY500+AZ500+BA500+BB500-BC500-BD500),0)</f>
        <v>1</v>
      </c>
      <c r="BF500" s="170">
        <f>IF(Escenarios!$E$17&gt;0,MAX(0,BG499+AY500+AZ500+BA500+BB500-BC500-BD500-BE500-Constantes!$E$40),0)</f>
        <v>0</v>
      </c>
      <c r="BG500" s="170">
        <f t="shared" si="110"/>
        <v>2768.1960467065746</v>
      </c>
      <c r="BH500" s="170">
        <f>(Escenarios!$E$16*AK500+0.1*BC500)/(Escenarios!$E$19)</f>
        <v>0.1665131750339775</v>
      </c>
      <c r="BI500" s="170">
        <f>IF(Escenarios!$E$17&gt;0,BF500/10/Escenarios!$E$19,AL500)</f>
        <v>0</v>
      </c>
      <c r="BJ500" s="170">
        <f>(Escenarios!$E$16*AT500+0.1*BD500)/(Escenarios!$E$19)</f>
        <v>1.7930820022179446E-2</v>
      </c>
      <c r="BK500" s="76">
        <f>BK499+(0.1*BD500)/(Escenarios!$E$19)-BL499</f>
        <v>50.747337308269579</v>
      </c>
      <c r="BL500" s="76">
        <f>MAX(0,(BK500-Constantes!$D$13)*(1-EXP(-Constantes!$D$23)))</f>
        <v>1.9680240227063092E-2</v>
      </c>
      <c r="BM500" s="76">
        <f t="shared" si="106"/>
        <v>0.91900953894155679</v>
      </c>
      <c r="BN500" s="76">
        <f t="shared" si="111"/>
        <v>0.9197579869540472</v>
      </c>
      <c r="BO500" s="76">
        <f>0.0526*BI500*Observaciones!$F499^1.218</f>
        <v>0</v>
      </c>
      <c r="BP500" s="76">
        <f>BO500*Constantes!$E$51</f>
        <v>0</v>
      </c>
      <c r="BQ500" s="76">
        <f t="shared" si="107"/>
        <v>0</v>
      </c>
      <c r="BR500" s="40"/>
    </row>
    <row r="501" spans="1:70">
      <c r="A501" s="147"/>
      <c r="B501" s="39"/>
      <c r="C501" s="75">
        <v>495</v>
      </c>
      <c r="D501" s="146">
        <f>ETo!$I500*((1-Constantes!$E$19)*ETo!$K500+ETo!$L500)</f>
        <v>3.025090904602719</v>
      </c>
      <c r="E501" s="76">
        <f>MIN(D501*Constantes!$E$17,0.8*(N500+Observaciones!$F500-F501-M501-Constantes!$D$14))</f>
        <v>1.9974572986599527E-2</v>
      </c>
      <c r="F501" s="76">
        <f>IF(Observaciones!$F500&gt;0.05*Constantes!$E$18,((Observaciones!$F500-0.05*Constantes!$E$18)^2)/(Observaciones!$F500+0.95*Constantes!$E$18),0)</f>
        <v>0</v>
      </c>
      <c r="G501" s="76">
        <f>IF(Escenarios!$E$11&gt;0,(F501*Escenarios!$E$16*10000)/1000,0)</f>
        <v>0</v>
      </c>
      <c r="H501" s="76">
        <f>IF(Escenarios!$E$11&gt;0,(Observaciones!$F500*Constantes!$E$29)/1000,0)</f>
        <v>0</v>
      </c>
      <c r="I501" s="76">
        <f>IF(Escenarios!$E$11&gt;0,(D501*Constantes!$E$29)/1000,0)</f>
        <v>30.250909046027189</v>
      </c>
      <c r="J501" s="76">
        <f>IF(Escenarios!$E$11&gt;0,MAX(0,G501+H501-I501),0)</f>
        <v>0</v>
      </c>
      <c r="K501" s="76">
        <f>IF(Escenarios!$E$11&gt;0,IF(J501&gt;Constantes!$E$30,1000*((J501-Constantes!$E$30)/(Escenarios!$E$16*10000)),0),F501)</f>
        <v>0</v>
      </c>
      <c r="L501" s="76">
        <f>IF(Escenarios!$E$11&gt;0,I501*1000/Escenarios!$E$16/10000+E501,E501)</f>
        <v>3.2074936605010401E-2</v>
      </c>
      <c r="M501" s="76">
        <f>MAX(0,N500+Observaciones!$F500-K501-Constantes!$D$13)</f>
        <v>0</v>
      </c>
      <c r="N501" s="76">
        <f>N500+Observaciones!$F500-K501-L501-M501-O500</f>
        <v>11.242042770523136</v>
      </c>
      <c r="O501" s="76">
        <f>MAX(0,(N501-Constantes!$D$14)*(1-EXP(-Constantes!$D$22)))</f>
        <v>0</v>
      </c>
      <c r="P501" s="170">
        <f>P500+(Entradas!$E$83*M501-Q500)/(800*Entradas!$D$25)</f>
        <v>0</v>
      </c>
      <c r="Q501" s="170">
        <f>8000*Entradas!$D$26*P501/Constantes!$E$45</f>
        <v>0</v>
      </c>
      <c r="R501" s="170">
        <f>IF(Escenarios!$E$14&gt;0,K501*Escenarios!$E$13/Escenarios!$E$14,0)</f>
        <v>0</v>
      </c>
      <c r="S501" s="170">
        <f>IF(Escenarios!$E$14&gt;0,Q501*Escenarios!$E$13/Escenarios!$E$14,0)</f>
        <v>0</v>
      </c>
      <c r="T501" s="170">
        <f>IF(Escenarios!$E$14&gt;0,Observaciones!$I500,0)</f>
        <v>0</v>
      </c>
      <c r="U501" s="170">
        <f>IF(Escenarios!$E$14&gt;0,MAX(0,Constantes!$E$36/((Z500+R501+S501+T501+Observaciones!$F500)^2)+Entradas!$E$77),0)</f>
        <v>0</v>
      </c>
      <c r="V501" s="146">
        <f>IF(ETo!D500&gt;0,ETo!I500*((1-Entradas!$E$81)*ETo!K500+ETo!L500),0)</f>
        <v>2.7360839834460466</v>
      </c>
      <c r="W501" s="170">
        <f>IF(Escenarios!$E$14&gt;0,MIN(V501*1,0.8*(Z500+R501+S501+T501+Observaciones!$F500-U501-Constantes!$E$35)),0)</f>
        <v>3.2000058536857522E-2</v>
      </c>
      <c r="X501" s="170">
        <f>IF(Escenarios!$E$14&gt;0,Observaciones!$J500,0)</f>
        <v>0</v>
      </c>
      <c r="Y501" s="170">
        <f>IF(Escenarios!$E$14&gt;0,MAX(0,Z500+R501+S501+T501+Observaciones!$F500-U501-W501-X501-Constantes!$E$33),0)</f>
        <v>0</v>
      </c>
      <c r="Z501" s="170">
        <f>Z500+R501+S501+T501+Observaciones!$F500-U501-W501-Y501</f>
        <v>41.258000014634213</v>
      </c>
      <c r="AA501" s="170">
        <f>IF(Escenarios!$E$14&gt;0,(Escenarios!$E$13*L501+Escenarios!$E$14*W501)/(Escenarios!$E$16),L501)</f>
        <v>3.2065951236832056E-2</v>
      </c>
      <c r="AB501" s="170">
        <f>IF(Escenarios!$E$14&gt;0,(Escenarios!$E$14*Y501)/(Escenarios!$E$16),K501)</f>
        <v>0</v>
      </c>
      <c r="AC501" s="170">
        <f>IF(Escenarios!$E$14&gt;0,(Escenarios!$E$13*M501+Escenarios!$E$14*U501)/(Escenarios!$E$16),M501)</f>
        <v>0</v>
      </c>
      <c r="AD501" s="76">
        <f t="shared" si="99"/>
        <v>139.12313181038618</v>
      </c>
      <c r="AE501" s="76">
        <f>MAX(0,(AD501-Constantes!$D$13)*(1-EXP(-Constantes!$D$23)))</f>
        <v>0.89046799293070944</v>
      </c>
      <c r="AF501" s="76">
        <f>AB501+O501*Escenarios!$E$13/Escenarios!$E$16+AE501</f>
        <v>0.89046799293070944</v>
      </c>
      <c r="AG501" s="76">
        <f>IF(Entradas!$E$91&gt;0,IF(AF501-Escenarios!$E$38&lt;=0,0,IF(AF501-Escenarios!$E$38&gt;Escenarios!$E$37,Escenarios!$E$37,AF501-Escenarios!$E$38)),0)</f>
        <v>0</v>
      </c>
      <c r="AH501" s="76">
        <f>AG501*Entradas!$E$99</f>
        <v>0</v>
      </c>
      <c r="AI501" s="76">
        <f>IF(Entradas!$E$91&gt;0,D501*Entradas!$D$23/Escenarios!$E$16,0)</f>
        <v>0</v>
      </c>
      <c r="AJ501" s="76">
        <f>IF(Entradas!$E$91&gt;0,Entradas!$D$24*Entradas!$D$22/Escenarios!$E$16,0)</f>
        <v>0</v>
      </c>
      <c r="AK501" s="76">
        <f t="shared" si="108"/>
        <v>3.2065951236832056E-2</v>
      </c>
      <c r="AL501" s="76">
        <f t="shared" si="109"/>
        <v>0</v>
      </c>
      <c r="AM501" s="76">
        <f t="shared" si="100"/>
        <v>0</v>
      </c>
      <c r="AN501" s="76">
        <f>MAX(0,O501*Escenarios!$E$13/Escenarios!$E$16-AM501)</f>
        <v>0</v>
      </c>
      <c r="AO501" s="76">
        <f>AM501+AN501-O501*Escenarios!$E$13/Escenarios!$E$16</f>
        <v>0</v>
      </c>
      <c r="AP501" s="76">
        <f t="shared" si="98"/>
        <v>0.89046799293070944</v>
      </c>
      <c r="AQ501" s="76">
        <f t="shared" si="101"/>
        <v>0</v>
      </c>
      <c r="AR501" s="76">
        <f t="shared" si="102"/>
        <v>0.89046799293070944</v>
      </c>
      <c r="AS501" s="76">
        <f t="shared" si="103"/>
        <v>0</v>
      </c>
      <c r="AT501" s="76">
        <f t="shared" si="104"/>
        <v>0</v>
      </c>
      <c r="AU501" s="76">
        <f t="shared" si="105"/>
        <v>48.75</v>
      </c>
      <c r="AV501" s="76">
        <f>MAX(0,(AU501-Constantes!$D$13)*(1-EXP(-Constantes!$D$24)))</f>
        <v>0</v>
      </c>
      <c r="AW501" s="170">
        <f>AW500+(Entradas!$E$112*AT501-AX500)/(800*Entradas!$D$25)</f>
        <v>0</v>
      </c>
      <c r="AX501" s="170">
        <f>8000*Entradas!$D$26*AW501/Constantes!$E$45</f>
        <v>0</v>
      </c>
      <c r="AY501" s="170">
        <f>IF(Escenarios!$E$17&gt;0,10*Escenarios!$E$16*AL501,0)</f>
        <v>0</v>
      </c>
      <c r="AZ501" s="170">
        <f>IF(Escenarios!$E$17&gt;0,10*Escenarios!$E$16*AX501,0)</f>
        <v>0</v>
      </c>
      <c r="BA501" s="170">
        <f>IF(Escenarios!$E$17&gt;0,0.001*Observaciones!$F500*Escenarios!$E$17,0)</f>
        <v>0</v>
      </c>
      <c r="BB501" s="170">
        <f>IF(Escenarios!$E$17&gt;0,Observaciones!$K500,0)</f>
        <v>0</v>
      </c>
      <c r="BC501" s="170">
        <f>IF(Escenarios!$E$17&gt;0,MIN(0.0005*ETo!$M500*Escenarios!$E$17*(BG500/Constantes!$E$40)^(2/3),BG500+AY501+AZ501+BA501+BB501),0)</f>
        <v>19.368061260837496</v>
      </c>
      <c r="BD501" s="170">
        <f>IF(Escenarios!$E$17&gt;0,MIN(Constantes!$E$39*(BG500/Constantes!$E$40)^(2/3),BG500+AY501+AZ501+BA501+BB501-BC501),0)</f>
        <v>44.526175022270692</v>
      </c>
      <c r="BE501" s="170">
        <f>IF(Escenarios!$E$17&gt;0,MIN(Entradas!$E$113,BG500+AY501+AZ501+BA501+BB501-BC501-BD501),0)</f>
        <v>1</v>
      </c>
      <c r="BF501" s="170">
        <f>IF(Escenarios!$E$17&gt;0,MAX(0,BG500+AY501+AZ501+BA501+BB501-BC501-BD501-BE501-Constantes!$E$40),0)</f>
        <v>0</v>
      </c>
      <c r="BG501" s="170">
        <f t="shared" si="110"/>
        <v>2703.3018104234666</v>
      </c>
      <c r="BH501" s="170">
        <f>(Escenarios!$E$16*AK501+0.1*BC501)/(Escenarios!$E$19)</f>
        <v>3.9497198155919698E-2</v>
      </c>
      <c r="BI501" s="170">
        <f>IF(Escenarios!$E$17&gt;0,BF501/10/Escenarios!$E$19,AL501)</f>
        <v>0</v>
      </c>
      <c r="BJ501" s="170">
        <f>(Escenarios!$E$16*AT501+0.1*BD501)/(Escenarios!$E$19)</f>
        <v>1.766911707232964E-2</v>
      </c>
      <c r="BK501" s="76">
        <f>BK500+(0.1*BD501)/(Escenarios!$E$19)-BL500</f>
        <v>50.745326185114848</v>
      </c>
      <c r="BL501" s="76">
        <f>MAX(0,(BK501-Constantes!$D$13)*(1-EXP(-Constantes!$D$23)))</f>
        <v>1.966042415160732E-2</v>
      </c>
      <c r="BM501" s="76">
        <f t="shared" si="106"/>
        <v>0.91012841708231673</v>
      </c>
      <c r="BN501" s="76">
        <f t="shared" si="111"/>
        <v>0.91012841708231673</v>
      </c>
      <c r="BO501" s="76">
        <f>0.0526*BI501*Observaciones!$F500^1.218</f>
        <v>0</v>
      </c>
      <c r="BP501" s="76">
        <f>BO501*Constantes!$E$51</f>
        <v>0</v>
      </c>
      <c r="BQ501" s="76">
        <f t="shared" si="107"/>
        <v>0</v>
      </c>
      <c r="BR501" s="40"/>
    </row>
    <row r="502" spans="1:70">
      <c r="A502" s="147"/>
      <c r="B502" s="39"/>
      <c r="C502" s="75">
        <v>496</v>
      </c>
      <c r="D502" s="146">
        <f>ETo!$I501*((1-Constantes!$E$19)*ETo!$K501+ETo!$L501)</f>
        <v>3.0019063128237575</v>
      </c>
      <c r="E502" s="76">
        <f>MIN(D502*Constantes!$E$17,0.8*(N501+Observaciones!$F501-F502-M502-Constantes!$D$14))</f>
        <v>-6.3657835814908033E-3</v>
      </c>
      <c r="F502" s="76">
        <f>IF(Observaciones!$F501&gt;0.05*Constantes!$E$18,((Observaciones!$F501-0.05*Constantes!$E$18)^2)/(Observaciones!$F501+0.95*Constantes!$E$18),0)</f>
        <v>0</v>
      </c>
      <c r="G502" s="76">
        <f>IF(Escenarios!$E$11&gt;0,(F502*Escenarios!$E$16*10000)/1000,0)</f>
        <v>0</v>
      </c>
      <c r="H502" s="76">
        <f>IF(Escenarios!$E$11&gt;0,(Observaciones!$F501*Constantes!$E$29)/1000,0)</f>
        <v>0</v>
      </c>
      <c r="I502" s="76">
        <f>IF(Escenarios!$E$11&gt;0,(D502*Constantes!$E$29)/1000,0)</f>
        <v>30.019063128237576</v>
      </c>
      <c r="J502" s="76">
        <f>IF(Escenarios!$E$11&gt;0,MAX(0,G502+H502-I502),0)</f>
        <v>0</v>
      </c>
      <c r="K502" s="76">
        <f>IF(Escenarios!$E$11&gt;0,IF(J502&gt;Constantes!$E$30,1000*((J502-Constantes!$E$30)/(Escenarios!$E$16*10000)),0),F502)</f>
        <v>0</v>
      </c>
      <c r="L502" s="76">
        <f>IF(Escenarios!$E$11&gt;0,I502*1000/Escenarios!$E$16/10000+E502,E502)</f>
        <v>5.6418416698042276E-3</v>
      </c>
      <c r="M502" s="76">
        <f>MAX(0,N501+Observaciones!$F501-K502-Constantes!$D$13)</f>
        <v>0</v>
      </c>
      <c r="N502" s="76">
        <f>N501+Observaciones!$F501-K502-L502-M502-O501</f>
        <v>11.236400928853332</v>
      </c>
      <c r="O502" s="76">
        <f>MAX(0,(N502-Constantes!$D$14)*(1-EXP(-Constantes!$D$22)))</f>
        <v>0</v>
      </c>
      <c r="P502" s="170">
        <f>P501+(Entradas!$E$83*M502-Q501)/(800*Entradas!$D$25)</f>
        <v>0</v>
      </c>
      <c r="Q502" s="170">
        <f>8000*Entradas!$D$26*P502/Constantes!$E$45</f>
        <v>0</v>
      </c>
      <c r="R502" s="170">
        <f>IF(Escenarios!$E$14&gt;0,K502*Escenarios!$E$13/Escenarios!$E$14,0)</f>
        <v>0</v>
      </c>
      <c r="S502" s="170">
        <f>IF(Escenarios!$E$14&gt;0,Q502*Escenarios!$E$13/Escenarios!$E$14,0)</f>
        <v>0</v>
      </c>
      <c r="T502" s="170">
        <f>IF(Escenarios!$E$14&gt;0,Observaciones!$I501,0)</f>
        <v>0</v>
      </c>
      <c r="U502" s="170">
        <f>IF(Escenarios!$E$14&gt;0,MAX(0,Constantes!$E$36/((Z501+R502+S502+T502+Observaciones!$F501)^2)+Entradas!$E$77),0)</f>
        <v>0</v>
      </c>
      <c r="V502" s="146">
        <f>IF(ETo!D501&gt;0,ETo!I501*((1-Entradas!$E$81)*ETo!K501+ETo!L501),0)</f>
        <v>2.7145078805674756</v>
      </c>
      <c r="W502" s="170">
        <f>IF(Escenarios!$E$14&gt;0,MIN(V502*1,0.8*(Z501+R502+S502+T502+Observaciones!$F501-U502-Constantes!$E$35)),0)</f>
        <v>6.4000117073703677E-3</v>
      </c>
      <c r="X502" s="170">
        <f>IF(Escenarios!$E$14&gt;0,Observaciones!$J501,0)</f>
        <v>0</v>
      </c>
      <c r="Y502" s="170">
        <f>IF(Escenarios!$E$14&gt;0,MAX(0,Z501+R502+S502+T502+Observaciones!$F501-U502-W502-X502-Constantes!$E$33),0)</f>
        <v>0</v>
      </c>
      <c r="Z502" s="170">
        <f>Z501+R502+S502+T502+Observaciones!$F501-U502-W502-Y502</f>
        <v>41.251600002926843</v>
      </c>
      <c r="AA502" s="170">
        <f>IF(Escenarios!$E$14&gt;0,(Escenarios!$E$13*L502+Escenarios!$E$14*W502)/(Escenarios!$E$16),L502)</f>
        <v>5.7328220743121643E-3</v>
      </c>
      <c r="AB502" s="170">
        <f>IF(Escenarios!$E$14&gt;0,(Escenarios!$E$14*Y502)/(Escenarios!$E$16),K502)</f>
        <v>0</v>
      </c>
      <c r="AC502" s="170">
        <f>IF(Escenarios!$E$14&gt;0,(Escenarios!$E$13*M502+Escenarios!$E$14*U502)/(Escenarios!$E$16),M502)</f>
        <v>0</v>
      </c>
      <c r="AD502" s="76">
        <f t="shared" si="99"/>
        <v>138.23266381745546</v>
      </c>
      <c r="AE502" s="76">
        <f>MAX(0,(AD502-Constantes!$D$13)*(1-EXP(-Constantes!$D$23)))</f>
        <v>0.88169399970341122</v>
      </c>
      <c r="AF502" s="76">
        <f>AB502+O502*Escenarios!$E$13/Escenarios!$E$16+AE502</f>
        <v>0.88169399970341122</v>
      </c>
      <c r="AG502" s="76">
        <f>IF(Entradas!$E$91&gt;0,IF(AF502-Escenarios!$E$38&lt;=0,0,IF(AF502-Escenarios!$E$38&gt;Escenarios!$E$37,Escenarios!$E$37,AF502-Escenarios!$E$38)),0)</f>
        <v>0</v>
      </c>
      <c r="AH502" s="76">
        <f>AG502*Entradas!$E$99</f>
        <v>0</v>
      </c>
      <c r="AI502" s="76">
        <f>IF(Entradas!$E$91&gt;0,D502*Entradas!$D$23/Escenarios!$E$16,0)</f>
        <v>0</v>
      </c>
      <c r="AJ502" s="76">
        <f>IF(Entradas!$E$91&gt;0,Entradas!$D$24*Entradas!$D$22/Escenarios!$E$16,0)</f>
        <v>0</v>
      </c>
      <c r="AK502" s="76">
        <f t="shared" si="108"/>
        <v>5.7328220743121643E-3</v>
      </c>
      <c r="AL502" s="76">
        <f t="shared" si="109"/>
        <v>0</v>
      </c>
      <c r="AM502" s="76">
        <f t="shared" si="100"/>
        <v>0</v>
      </c>
      <c r="AN502" s="76">
        <f>MAX(0,O502*Escenarios!$E$13/Escenarios!$E$16-AM502)</f>
        <v>0</v>
      </c>
      <c r="AO502" s="76">
        <f>AM502+AN502-O502*Escenarios!$E$13/Escenarios!$E$16</f>
        <v>0</v>
      </c>
      <c r="AP502" s="76">
        <f t="shared" si="98"/>
        <v>0.88169399970341122</v>
      </c>
      <c r="AQ502" s="76">
        <f t="shared" si="101"/>
        <v>0</v>
      </c>
      <c r="AR502" s="76">
        <f t="shared" si="102"/>
        <v>0.88169399970341122</v>
      </c>
      <c r="AS502" s="76">
        <f t="shared" si="103"/>
        <v>0</v>
      </c>
      <c r="AT502" s="76">
        <f t="shared" si="104"/>
        <v>0</v>
      </c>
      <c r="AU502" s="76">
        <f t="shared" si="105"/>
        <v>48.75</v>
      </c>
      <c r="AV502" s="76">
        <f>MAX(0,(AU502-Constantes!$D$13)*(1-EXP(-Constantes!$D$24)))</f>
        <v>0</v>
      </c>
      <c r="AW502" s="170">
        <f>AW501+(Entradas!$E$112*AT502-AX501)/(800*Entradas!$D$25)</f>
        <v>0</v>
      </c>
      <c r="AX502" s="170">
        <f>8000*Entradas!$D$26*AW502/Constantes!$E$45</f>
        <v>0</v>
      </c>
      <c r="AY502" s="170">
        <f>IF(Escenarios!$E$17&gt;0,10*Escenarios!$E$16*AL502,0)</f>
        <v>0</v>
      </c>
      <c r="AZ502" s="170">
        <f>IF(Escenarios!$E$17&gt;0,10*Escenarios!$E$16*AX502,0)</f>
        <v>0</v>
      </c>
      <c r="BA502" s="170">
        <f>IF(Escenarios!$E$17&gt;0,0.001*Observaciones!$F501*Escenarios!$E$17,0)</f>
        <v>0</v>
      </c>
      <c r="BB502" s="170">
        <f>IF(Escenarios!$E$17&gt;0,Observaciones!$K501,0)</f>
        <v>0</v>
      </c>
      <c r="BC502" s="170">
        <f>IF(Escenarios!$E$17&gt;0,MIN(0.0005*ETo!$M501*Escenarios!$E$17*(BG501/Constantes!$E$40)^(2/3),BG501+AY502+AZ502+BA502+BB502),0)</f>
        <v>18.923290405338772</v>
      </c>
      <c r="BD502" s="170">
        <f>IF(Escenarios!$E$17&gt;0,MIN(Constantes!$E$39*(BG501/Constantes!$E$40)^(2/3),BG501+AY502+AZ502+BA502+BB502-BC502),0)</f>
        <v>43.827548922956865</v>
      </c>
      <c r="BE502" s="170">
        <f>IF(Escenarios!$E$17&gt;0,MIN(Entradas!$E$113,BG501+AY502+AZ502+BA502+BB502-BC502-BD502),0)</f>
        <v>1</v>
      </c>
      <c r="BF502" s="170">
        <f>IF(Escenarios!$E$17&gt;0,MAX(0,BG501+AY502+AZ502+BA502+BB502-BC502-BD502-BE502-Constantes!$E$40),0)</f>
        <v>0</v>
      </c>
      <c r="BG502" s="170">
        <f t="shared" si="110"/>
        <v>2639.550971095171</v>
      </c>
      <c r="BH502" s="170">
        <f>(Escenarios!$E$16*AK502+0.1*BC502)/(Escenarios!$E$19)</f>
        <v>1.319656571076158E-2</v>
      </c>
      <c r="BI502" s="170">
        <f>IF(Escenarios!$E$17&gt;0,BF502/10/Escenarios!$E$19,AL502)</f>
        <v>0</v>
      </c>
      <c r="BJ502" s="170">
        <f>(Escenarios!$E$16*AT502+0.1*BD502)/(Escenarios!$E$19)</f>
        <v>1.739188449323685E-2</v>
      </c>
      <c r="BK502" s="76">
        <f>BK501+(0.1*BD502)/(Escenarios!$E$19)-BL501</f>
        <v>50.743057645456474</v>
      </c>
      <c r="BL502" s="76">
        <f>MAX(0,(BK502-Constantes!$D$13)*(1-EXP(-Constantes!$D$23)))</f>
        <v>1.9638071690029311E-2</v>
      </c>
      <c r="BM502" s="76">
        <f t="shared" si="106"/>
        <v>0.90133207139344051</v>
      </c>
      <c r="BN502" s="76">
        <f t="shared" si="111"/>
        <v>0.90133207139344051</v>
      </c>
      <c r="BO502" s="76">
        <f>0.0526*BI502*Observaciones!$F501^1.218</f>
        <v>0</v>
      </c>
      <c r="BP502" s="76">
        <f>BO502*Constantes!$E$51</f>
        <v>0</v>
      </c>
      <c r="BQ502" s="76">
        <f t="shared" si="107"/>
        <v>0</v>
      </c>
      <c r="BR502" s="40"/>
    </row>
    <row r="503" spans="1:70">
      <c r="A503" s="147"/>
      <c r="B503" s="39"/>
      <c r="C503" s="75">
        <v>497</v>
      </c>
      <c r="D503" s="146">
        <f>ETo!$I502*((1-Constantes!$E$19)*ETo!$K502+ETo!$L502)</f>
        <v>2.9191825680603003</v>
      </c>
      <c r="E503" s="76">
        <f>MIN(D503*Constantes!$E$17,0.8*(N502+Observaciones!$F502-F503-M503-Constantes!$D$14))</f>
        <v>-1.0879256917334601E-2</v>
      </c>
      <c r="F503" s="76">
        <f>IF(Observaciones!$F502&gt;0.05*Constantes!$E$18,((Observaciones!$F502-0.05*Constantes!$E$18)^2)/(Observaciones!$F502+0.95*Constantes!$E$18),0)</f>
        <v>0</v>
      </c>
      <c r="G503" s="76">
        <f>IF(Escenarios!$E$11&gt;0,(F503*Escenarios!$E$16*10000)/1000,0)</f>
        <v>0</v>
      </c>
      <c r="H503" s="76">
        <f>IF(Escenarios!$E$11&gt;0,(Observaciones!$F502*Constantes!$E$29)/1000,0)</f>
        <v>0</v>
      </c>
      <c r="I503" s="76">
        <f>IF(Escenarios!$E$11&gt;0,(D503*Constantes!$E$29)/1000,0)</f>
        <v>29.191825680603003</v>
      </c>
      <c r="J503" s="76">
        <f>IF(Escenarios!$E$11&gt;0,MAX(0,G503+H503-I503),0)</f>
        <v>0</v>
      </c>
      <c r="K503" s="76">
        <f>IF(Escenarios!$E$11&gt;0,IF(J503&gt;Constantes!$E$30,1000*((J503-Constantes!$E$30)/(Escenarios!$E$16*10000)),0),F503)</f>
        <v>0</v>
      </c>
      <c r="L503" s="76">
        <f>IF(Escenarios!$E$11&gt;0,I503*1000/Escenarios!$E$16/10000+E503,E503)</f>
        <v>7.9747335490660057E-4</v>
      </c>
      <c r="M503" s="76">
        <f>MAX(0,N502+Observaciones!$F502-K503-Constantes!$D$13)</f>
        <v>0</v>
      </c>
      <c r="N503" s="76">
        <f>N502+Observaciones!$F502-K503-L503-M503-O502</f>
        <v>11.235603455498426</v>
      </c>
      <c r="O503" s="76">
        <f>MAX(0,(N503-Constantes!$D$14)*(1-EXP(-Constantes!$D$22)))</f>
        <v>0</v>
      </c>
      <c r="P503" s="170">
        <f>P502+(Entradas!$E$83*M503-Q502)/(800*Entradas!$D$25)</f>
        <v>0</v>
      </c>
      <c r="Q503" s="170">
        <f>8000*Entradas!$D$26*P503/Constantes!$E$45</f>
        <v>0</v>
      </c>
      <c r="R503" s="170">
        <f>IF(Escenarios!$E$14&gt;0,K503*Escenarios!$E$13/Escenarios!$E$14,0)</f>
        <v>0</v>
      </c>
      <c r="S503" s="170">
        <f>IF(Escenarios!$E$14&gt;0,Q503*Escenarios!$E$13/Escenarios!$E$14,0)</f>
        <v>0</v>
      </c>
      <c r="T503" s="170">
        <f>IF(Escenarios!$E$14&gt;0,Observaciones!$I502,0)</f>
        <v>0</v>
      </c>
      <c r="U503" s="170">
        <f>IF(Escenarios!$E$14&gt;0,MAX(0,Constantes!$E$36/((Z502+R503+S503+T503+Observaciones!$F502)^2)+Entradas!$E$77),0)</f>
        <v>0</v>
      </c>
      <c r="V503" s="146">
        <f>IF(ETo!D502&gt;0,ETo!I502*((1-Entradas!$E$81)*ETo!K502+ETo!L502),0)</f>
        <v>2.6384676130224891</v>
      </c>
      <c r="W503" s="170">
        <f>IF(Escenarios!$E$14&gt;0,MIN(V503*1,0.8*(Z502+R503+S503+T503+Observaciones!$F502-U503-Constantes!$E$35)),0)</f>
        <v>1.2800023414740735E-3</v>
      </c>
      <c r="X503" s="170">
        <f>IF(Escenarios!$E$14&gt;0,Observaciones!$J502,0)</f>
        <v>0</v>
      </c>
      <c r="Y503" s="170">
        <f>IF(Escenarios!$E$14&gt;0,MAX(0,Z502+R503+S503+T503+Observaciones!$F502-U503-W503-X503-Constantes!$E$33),0)</f>
        <v>0</v>
      </c>
      <c r="Z503" s="170">
        <f>Z502+R503+S503+T503+Observaciones!$F502-U503-W503-Y503</f>
        <v>41.250320000585369</v>
      </c>
      <c r="AA503" s="170">
        <f>IF(Escenarios!$E$14&gt;0,(Escenarios!$E$13*L503+Escenarios!$E$14*W503)/(Escenarios!$E$16),L503)</f>
        <v>8.5537683329469738E-4</v>
      </c>
      <c r="AB503" s="170">
        <f>IF(Escenarios!$E$14&gt;0,(Escenarios!$E$14*Y503)/(Escenarios!$E$16),K503)</f>
        <v>0</v>
      </c>
      <c r="AC503" s="170">
        <f>IF(Escenarios!$E$14&gt;0,(Escenarios!$E$13*M503+Escenarios!$E$14*U503)/(Escenarios!$E$16),M503)</f>
        <v>0</v>
      </c>
      <c r="AD503" s="76">
        <f t="shared" si="99"/>
        <v>137.35096981775206</v>
      </c>
      <c r="AE503" s="76">
        <f>MAX(0,(AD503-Constantes!$D$13)*(1-EXP(-Constantes!$D$23)))</f>
        <v>0.8730064587211841</v>
      </c>
      <c r="AF503" s="76">
        <f>AB503+O503*Escenarios!$E$13/Escenarios!$E$16+AE503</f>
        <v>0.8730064587211841</v>
      </c>
      <c r="AG503" s="76">
        <f>IF(Entradas!$E$91&gt;0,IF(AF503-Escenarios!$E$38&lt;=0,0,IF(AF503-Escenarios!$E$38&gt;Escenarios!$E$37,Escenarios!$E$37,AF503-Escenarios!$E$38)),0)</f>
        <v>0</v>
      </c>
      <c r="AH503" s="76">
        <f>AG503*Entradas!$E$99</f>
        <v>0</v>
      </c>
      <c r="AI503" s="76">
        <f>IF(Entradas!$E$91&gt;0,D503*Entradas!$D$23/Escenarios!$E$16,0)</f>
        <v>0</v>
      </c>
      <c r="AJ503" s="76">
        <f>IF(Entradas!$E$91&gt;0,Entradas!$D$24*Entradas!$D$22/Escenarios!$E$16,0)</f>
        <v>0</v>
      </c>
      <c r="AK503" s="76">
        <f t="shared" si="108"/>
        <v>8.5537683329469738E-4</v>
      </c>
      <c r="AL503" s="76">
        <f t="shared" si="109"/>
        <v>0</v>
      </c>
      <c r="AM503" s="76">
        <f t="shared" si="100"/>
        <v>0</v>
      </c>
      <c r="AN503" s="76">
        <f>MAX(0,O503*Escenarios!$E$13/Escenarios!$E$16-AM503)</f>
        <v>0</v>
      </c>
      <c r="AO503" s="76">
        <f>AM503+AN503-O503*Escenarios!$E$13/Escenarios!$E$16</f>
        <v>0</v>
      </c>
      <c r="AP503" s="76">
        <f t="shared" si="98"/>
        <v>0.8730064587211841</v>
      </c>
      <c r="AQ503" s="76">
        <f t="shared" si="101"/>
        <v>0</v>
      </c>
      <c r="AR503" s="76">
        <f t="shared" si="102"/>
        <v>0.8730064587211841</v>
      </c>
      <c r="AS503" s="76">
        <f t="shared" si="103"/>
        <v>0</v>
      </c>
      <c r="AT503" s="76">
        <f t="shared" si="104"/>
        <v>0</v>
      </c>
      <c r="AU503" s="76">
        <f t="shared" si="105"/>
        <v>48.75</v>
      </c>
      <c r="AV503" s="76">
        <f>MAX(0,(AU503-Constantes!$D$13)*(1-EXP(-Constantes!$D$24)))</f>
        <v>0</v>
      </c>
      <c r="AW503" s="170">
        <f>AW502+(Entradas!$E$112*AT503-AX502)/(800*Entradas!$D$25)</f>
        <v>0</v>
      </c>
      <c r="AX503" s="170">
        <f>8000*Entradas!$D$26*AW503/Constantes!$E$45</f>
        <v>0</v>
      </c>
      <c r="AY503" s="170">
        <f>IF(Escenarios!$E$17&gt;0,10*Escenarios!$E$16*AL503,0)</f>
        <v>0</v>
      </c>
      <c r="AZ503" s="170">
        <f>IF(Escenarios!$E$17&gt;0,10*Escenarios!$E$16*AX503,0)</f>
        <v>0</v>
      </c>
      <c r="BA503" s="170">
        <f>IF(Escenarios!$E$17&gt;0,0.001*Observaciones!$F502*Escenarios!$E$17,0)</f>
        <v>0</v>
      </c>
      <c r="BB503" s="170">
        <f>IF(Escenarios!$E$17&gt;0,Observaciones!$K502,0)</f>
        <v>0</v>
      </c>
      <c r="BC503" s="170">
        <f>IF(Escenarios!$E$17&gt;0,MIN(0.0005*ETo!$M502*Escenarios!$E$17*(BG502/Constantes!$E$40)^(2/3),BG502+AY503+AZ503+BA503+BB503),0)</f>
        <v>18.121852451344804</v>
      </c>
      <c r="BD503" s="170">
        <f>IF(Escenarios!$E$17&gt;0,MIN(Constantes!$E$39*(BG502/Constantes!$E$40)^(2/3),BG502+AY503+AZ503+BA503+BB503-BC503),0)</f>
        <v>43.135767358851737</v>
      </c>
      <c r="BE503" s="170">
        <f>IF(Escenarios!$E$17&gt;0,MIN(Entradas!$E$113,BG502+AY503+AZ503+BA503+BB503-BC503-BD503),0)</f>
        <v>1</v>
      </c>
      <c r="BF503" s="170">
        <f>IF(Escenarios!$E$17&gt;0,MAX(0,BG502+AY503+AZ503+BA503+BB503-BC503-BD503-BE503-Constantes!$E$40),0)</f>
        <v>0</v>
      </c>
      <c r="BG503" s="170">
        <f t="shared" si="110"/>
        <v>2577.2933512849745</v>
      </c>
      <c r="BH503" s="170">
        <f>(Escenarios!$E$16*AK503+0.1*BC503)/(Escenarios!$E$19)</f>
        <v>8.0397994184847419E-3</v>
      </c>
      <c r="BI503" s="170">
        <f>IF(Escenarios!$E$17&gt;0,BF503/10/Escenarios!$E$19,AL503)</f>
        <v>0</v>
      </c>
      <c r="BJ503" s="170">
        <f>(Escenarios!$E$16*AT503+0.1*BD503)/(Escenarios!$E$19)</f>
        <v>1.7117367999544341E-2</v>
      </c>
      <c r="BK503" s="76">
        <f>BK502+(0.1*BD503)/(Escenarios!$E$19)-BL502</f>
        <v>50.740536941765988</v>
      </c>
      <c r="BL503" s="76">
        <f>MAX(0,(BK503-Constantes!$D$13)*(1-EXP(-Constantes!$D$23)))</f>
        <v>1.9613234596182107E-2</v>
      </c>
      <c r="BM503" s="76">
        <f t="shared" si="106"/>
        <v>0.89261969331736624</v>
      </c>
      <c r="BN503" s="76">
        <f t="shared" si="111"/>
        <v>0.89261969331736624</v>
      </c>
      <c r="BO503" s="76">
        <f>0.0526*BI503*Observaciones!$F502^1.218</f>
        <v>0</v>
      </c>
      <c r="BP503" s="76">
        <f>BO503*Constantes!$E$51</f>
        <v>0</v>
      </c>
      <c r="BQ503" s="76">
        <f t="shared" si="107"/>
        <v>0</v>
      </c>
      <c r="BR503" s="40"/>
    </row>
    <row r="504" spans="1:70">
      <c r="A504" s="147"/>
      <c r="B504" s="39"/>
      <c r="C504" s="75">
        <v>498</v>
      </c>
      <c r="D504" s="146">
        <f>ETo!$I503*((1-Constantes!$E$19)*ETo!$K503+ETo!$L503)</f>
        <v>2.8607036034068472</v>
      </c>
      <c r="E504" s="76">
        <f>MIN(D504*Constantes!$E$17,0.8*(N503+Observaciones!$F503-F504-M504-Constantes!$D$14))</f>
        <v>-1.1517235601259302E-2</v>
      </c>
      <c r="F504" s="76">
        <f>IF(Observaciones!$F503&gt;0.05*Constantes!$E$18,((Observaciones!$F503-0.05*Constantes!$E$18)^2)/(Observaciones!$F503+0.95*Constantes!$E$18),0)</f>
        <v>0</v>
      </c>
      <c r="G504" s="76">
        <f>IF(Escenarios!$E$11&gt;0,(F504*Escenarios!$E$16*10000)/1000,0)</f>
        <v>0</v>
      </c>
      <c r="H504" s="76">
        <f>IF(Escenarios!$E$11&gt;0,(Observaciones!$F503*Constantes!$E$29)/1000,0)</f>
        <v>0</v>
      </c>
      <c r="I504" s="76">
        <f>IF(Escenarios!$E$11&gt;0,(D504*Constantes!$E$29)/1000,0)</f>
        <v>28.607036034068472</v>
      </c>
      <c r="J504" s="76">
        <f>IF(Escenarios!$E$11&gt;0,MAX(0,G504+H504-I504),0)</f>
        <v>0</v>
      </c>
      <c r="K504" s="76">
        <f>IF(Escenarios!$E$11&gt;0,IF(J504&gt;Constantes!$E$30,1000*((J504-Constantes!$E$30)/(Escenarios!$E$16*10000)),0),F504)</f>
        <v>0</v>
      </c>
      <c r="L504" s="76">
        <f>IF(Escenarios!$E$11&gt;0,I504*1000/Escenarios!$E$16/10000+E504,E504)</f>
        <v>-7.4421187631913341E-5</v>
      </c>
      <c r="M504" s="76">
        <f>MAX(0,N503+Observaciones!$F503-K504-Constantes!$D$13)</f>
        <v>0</v>
      </c>
      <c r="N504" s="76">
        <f>N503+Observaciones!$F503-K504-L504-M504-O503</f>
        <v>11.235677876686058</v>
      </c>
      <c r="O504" s="76">
        <f>MAX(0,(N504-Constantes!$D$14)*(1-EXP(-Constantes!$D$22)))</f>
        <v>0</v>
      </c>
      <c r="P504" s="170">
        <f>P503+(Entradas!$E$83*M504-Q503)/(800*Entradas!$D$25)</f>
        <v>0</v>
      </c>
      <c r="Q504" s="170">
        <f>8000*Entradas!$D$26*P504/Constantes!$E$45</f>
        <v>0</v>
      </c>
      <c r="R504" s="170">
        <f>IF(Escenarios!$E$14&gt;0,K504*Escenarios!$E$13/Escenarios!$E$14,0)</f>
        <v>0</v>
      </c>
      <c r="S504" s="170">
        <f>IF(Escenarios!$E$14&gt;0,Q504*Escenarios!$E$13/Escenarios!$E$14,0)</f>
        <v>0</v>
      </c>
      <c r="T504" s="170">
        <f>IF(Escenarios!$E$14&gt;0,Observaciones!$I503,0)</f>
        <v>0</v>
      </c>
      <c r="U504" s="170">
        <f>IF(Escenarios!$E$14&gt;0,MAX(0,Constantes!$E$36/((Z503+R504+S504+T504+Observaciones!$F503)^2)+Entradas!$E$77),0)</f>
        <v>0</v>
      </c>
      <c r="V504" s="146">
        <f>IF(ETo!D503&gt;0,ETo!I503*((1-Entradas!$E$81)*ETo!K503+ETo!L503),0)</f>
        <v>2.5847216179997323</v>
      </c>
      <c r="W504" s="170">
        <f>IF(Escenarios!$E$14&gt;0,MIN(V504*1,0.8*(Z503+R504+S504+T504+Observaciones!$F503-U504-Constantes!$E$35)),0)</f>
        <v>2.560004682948147E-4</v>
      </c>
      <c r="X504" s="170">
        <f>IF(Escenarios!$E$14&gt;0,Observaciones!$J503,0)</f>
        <v>0</v>
      </c>
      <c r="Y504" s="170">
        <f>IF(Escenarios!$E$14&gt;0,MAX(0,Z503+R504+S504+T504+Observaciones!$F503-U504-W504-X504-Constantes!$E$33),0)</f>
        <v>0</v>
      </c>
      <c r="Z504" s="170">
        <f>Z503+R504+S504+T504+Observaciones!$F503-U504-W504-Y504</f>
        <v>41.250064000117071</v>
      </c>
      <c r="AA504" s="170">
        <f>IF(Escenarios!$E$14&gt;0,(Escenarios!$E$13*L504+Escenarios!$E$14*W504)/(Escenarios!$E$16),L504)</f>
        <v>-3.4770588920705972E-5</v>
      </c>
      <c r="AB504" s="170">
        <f>IF(Escenarios!$E$14&gt;0,(Escenarios!$E$14*Y504)/(Escenarios!$E$16),K504)</f>
        <v>0</v>
      </c>
      <c r="AC504" s="170">
        <f>IF(Escenarios!$E$14&gt;0,(Escenarios!$E$13*M504+Escenarios!$E$14*U504)/(Escenarios!$E$16),M504)</f>
        <v>0</v>
      </c>
      <c r="AD504" s="76">
        <f t="shared" si="99"/>
        <v>136.47796335903087</v>
      </c>
      <c r="AE504" s="76">
        <f>MAX(0,(AD504-Constantes!$D$13)*(1-EXP(-Constantes!$D$23)))</f>
        <v>0.86440451814946584</v>
      </c>
      <c r="AF504" s="76">
        <f>AB504+O504*Escenarios!$E$13/Escenarios!$E$16+AE504</f>
        <v>0.86440451814946584</v>
      </c>
      <c r="AG504" s="76">
        <f>IF(Entradas!$E$91&gt;0,IF(AF504-Escenarios!$E$38&lt;=0,0,IF(AF504-Escenarios!$E$38&gt;Escenarios!$E$37,Escenarios!$E$37,AF504-Escenarios!$E$38)),0)</f>
        <v>0</v>
      </c>
      <c r="AH504" s="76">
        <f>AG504*Entradas!$E$99</f>
        <v>0</v>
      </c>
      <c r="AI504" s="76">
        <f>IF(Entradas!$E$91&gt;0,D504*Entradas!$D$23/Escenarios!$E$16,0)</f>
        <v>0</v>
      </c>
      <c r="AJ504" s="76">
        <f>IF(Entradas!$E$91&gt;0,Entradas!$D$24*Entradas!$D$22/Escenarios!$E$16,0)</f>
        <v>0</v>
      </c>
      <c r="AK504" s="76">
        <f t="shared" si="108"/>
        <v>-3.4770588920705972E-5</v>
      </c>
      <c r="AL504" s="76">
        <f t="shared" si="109"/>
        <v>0</v>
      </c>
      <c r="AM504" s="76">
        <f t="shared" si="100"/>
        <v>0</v>
      </c>
      <c r="AN504" s="76">
        <f>MAX(0,O504*Escenarios!$E$13/Escenarios!$E$16-AM504)</f>
        <v>0</v>
      </c>
      <c r="AO504" s="76">
        <f>AM504+AN504-O504*Escenarios!$E$13/Escenarios!$E$16</f>
        <v>0</v>
      </c>
      <c r="AP504" s="76">
        <f t="shared" si="98"/>
        <v>0.86440451814946584</v>
      </c>
      <c r="AQ504" s="76">
        <f t="shared" si="101"/>
        <v>0</v>
      </c>
      <c r="AR504" s="76">
        <f t="shared" si="102"/>
        <v>0.86440451814946584</v>
      </c>
      <c r="AS504" s="76">
        <f t="shared" si="103"/>
        <v>0</v>
      </c>
      <c r="AT504" s="76">
        <f t="shared" si="104"/>
        <v>0</v>
      </c>
      <c r="AU504" s="76">
        <f t="shared" si="105"/>
        <v>48.75</v>
      </c>
      <c r="AV504" s="76">
        <f>MAX(0,(AU504-Constantes!$D$13)*(1-EXP(-Constantes!$D$24)))</f>
        <v>0</v>
      </c>
      <c r="AW504" s="170">
        <f>AW503+(Entradas!$E$112*AT504-AX503)/(800*Entradas!$D$25)</f>
        <v>0</v>
      </c>
      <c r="AX504" s="170">
        <f>8000*Entradas!$D$26*AW504/Constantes!$E$45</f>
        <v>0</v>
      </c>
      <c r="AY504" s="170">
        <f>IF(Escenarios!$E$17&gt;0,10*Escenarios!$E$16*AL504,0)</f>
        <v>0</v>
      </c>
      <c r="AZ504" s="170">
        <f>IF(Escenarios!$E$17&gt;0,10*Escenarios!$E$16*AX504,0)</f>
        <v>0</v>
      </c>
      <c r="BA504" s="170">
        <f>IF(Escenarios!$E$17&gt;0,0.001*Observaciones!$F503*Escenarios!$E$17,0)</f>
        <v>0</v>
      </c>
      <c r="BB504" s="170">
        <f>IF(Escenarios!$E$17&gt;0,Observaciones!$K503,0)</f>
        <v>0</v>
      </c>
      <c r="BC504" s="170">
        <f>IF(Escenarios!$E$17&gt;0,MIN(0.0005*ETo!$M503*Escenarios!$E$17*(BG503/Constantes!$E$40)^(2/3),BG503+AY504+AZ504+BA504+BB504),0)</f>
        <v>17.485905379572213</v>
      </c>
      <c r="BD504" s="170">
        <f>IF(Escenarios!$E$17&gt;0,MIN(Constantes!$E$39*(BG503/Constantes!$E$40)^(2/3),BG503+AY504+AZ504+BA504+BB504-BC504),0)</f>
        <v>42.454793090502108</v>
      </c>
      <c r="BE504" s="170">
        <f>IF(Escenarios!$E$17&gt;0,MIN(Entradas!$E$113,BG503+AY504+AZ504+BA504+BB504-BC504-BD504),0)</f>
        <v>1</v>
      </c>
      <c r="BF504" s="170">
        <f>IF(Escenarios!$E$17&gt;0,MAX(0,BG503+AY504+AZ504+BA504+BB504-BC504-BD504-BE504-Constantes!$E$40),0)</f>
        <v>0</v>
      </c>
      <c r="BG504" s="170">
        <f t="shared" si="110"/>
        <v>2516.3526528149005</v>
      </c>
      <c r="BH504" s="170">
        <f>(Escenarios!$E$16*AK504+0.1*BC504)/(Escenarios!$E$19)</f>
        <v>6.9043567092343045E-3</v>
      </c>
      <c r="BI504" s="170">
        <f>IF(Escenarios!$E$17&gt;0,BF504/10/Escenarios!$E$19,AL504)</f>
        <v>0</v>
      </c>
      <c r="BJ504" s="170">
        <f>(Escenarios!$E$16*AT504+0.1*BD504)/(Escenarios!$E$19)</f>
        <v>1.6847140115278613E-2</v>
      </c>
      <c r="BK504" s="76">
        <f>BK503+(0.1*BD504)/(Escenarios!$E$19)-BL503</f>
        <v>50.737770847285091</v>
      </c>
      <c r="BL504" s="76">
        <f>MAX(0,(BK504-Constantes!$D$13)*(1-EXP(-Constantes!$D$23)))</f>
        <v>1.9585979608429453E-2</v>
      </c>
      <c r="BM504" s="76">
        <f t="shared" si="106"/>
        <v>0.88399049775789529</v>
      </c>
      <c r="BN504" s="76">
        <f t="shared" si="111"/>
        <v>0.88399049775789529</v>
      </c>
      <c r="BO504" s="76">
        <f>0.0526*BI504*Observaciones!$F503^1.218</f>
        <v>0</v>
      </c>
      <c r="BP504" s="76">
        <f>BO504*Constantes!$E$51</f>
        <v>0</v>
      </c>
      <c r="BQ504" s="76">
        <f t="shared" si="107"/>
        <v>0</v>
      </c>
      <c r="BR504" s="40"/>
    </row>
    <row r="505" spans="1:70">
      <c r="A505" s="147"/>
      <c r="B505" s="39"/>
      <c r="C505" s="75">
        <v>499</v>
      </c>
      <c r="D505" s="146">
        <f>ETo!$I504*((1-Constantes!$E$19)*ETo!$K504+ETo!$L504)</f>
        <v>2.845430221998102</v>
      </c>
      <c r="E505" s="76">
        <f>MIN(D505*Constantes!$E$17,0.8*(N504+Observaciones!$F504-F505-M505-Constantes!$D$14))</f>
        <v>-1.1457698651153692E-2</v>
      </c>
      <c r="F505" s="76">
        <f>IF(Observaciones!$F504&gt;0.05*Constantes!$E$18,((Observaciones!$F504-0.05*Constantes!$E$18)^2)/(Observaciones!$F504+0.95*Constantes!$E$18),0)</f>
        <v>0</v>
      </c>
      <c r="G505" s="76">
        <f>IF(Escenarios!$E$11&gt;0,(F505*Escenarios!$E$16*10000)/1000,0)</f>
        <v>0</v>
      </c>
      <c r="H505" s="76">
        <f>IF(Escenarios!$E$11&gt;0,(Observaciones!$F504*Constantes!$E$29)/1000,0)</f>
        <v>0</v>
      </c>
      <c r="I505" s="76">
        <f>IF(Escenarios!$E$11&gt;0,(D505*Constantes!$E$29)/1000,0)</f>
        <v>28.454302219981024</v>
      </c>
      <c r="J505" s="76">
        <f>IF(Escenarios!$E$11&gt;0,MAX(0,G505+H505-I505),0)</f>
        <v>0</v>
      </c>
      <c r="K505" s="76">
        <f>IF(Escenarios!$E$11&gt;0,IF(J505&gt;Constantes!$E$30,1000*((J505-Constantes!$E$30)/(Escenarios!$E$16*10000)),0),F505)</f>
        <v>0</v>
      </c>
      <c r="L505" s="76">
        <f>IF(Escenarios!$E$11&gt;0,I505*1000/Escenarios!$E$16/10000+E505,E505)</f>
        <v>-7.5977763161282075E-5</v>
      </c>
      <c r="M505" s="76">
        <f>MAX(0,N504+Observaciones!$F504-K505-Constantes!$D$13)</f>
        <v>0</v>
      </c>
      <c r="N505" s="76">
        <f>N504+Observaciones!$F504-K505-L505-M505-O504</f>
        <v>11.23575385444922</v>
      </c>
      <c r="O505" s="76">
        <f>MAX(0,(N505-Constantes!$D$14)*(1-EXP(-Constantes!$D$22)))</f>
        <v>0</v>
      </c>
      <c r="P505" s="170">
        <f>P504+(Entradas!$E$83*M505-Q504)/(800*Entradas!$D$25)</f>
        <v>0</v>
      </c>
      <c r="Q505" s="170">
        <f>8000*Entradas!$D$26*P505/Constantes!$E$45</f>
        <v>0</v>
      </c>
      <c r="R505" s="170">
        <f>IF(Escenarios!$E$14&gt;0,K505*Escenarios!$E$13/Escenarios!$E$14,0)</f>
        <v>0</v>
      </c>
      <c r="S505" s="170">
        <f>IF(Escenarios!$E$14&gt;0,Q505*Escenarios!$E$13/Escenarios!$E$14,0)</f>
        <v>0</v>
      </c>
      <c r="T505" s="170">
        <f>IF(Escenarios!$E$14&gt;0,Observaciones!$I504,0)</f>
        <v>0</v>
      </c>
      <c r="U505" s="170">
        <f>IF(Escenarios!$E$14&gt;0,MAX(0,Constantes!$E$36/((Z504+R505+S505+T505+Observaciones!$F504)^2)+Entradas!$E$77),0)</f>
        <v>0</v>
      </c>
      <c r="V505" s="146">
        <f>IF(ETo!D504&gt;0,ETo!I504*((1-Entradas!$E$81)*ETo!K504+ETo!L504),0)</f>
        <v>2.5704206990776854</v>
      </c>
      <c r="W505" s="170">
        <f>IF(Escenarios!$E$14&gt;0,MIN(V505*1,0.8*(Z504+R505+S505+T505+Observaciones!$F504-U505-Constantes!$E$35)),0)</f>
        <v>5.1200093656689206E-5</v>
      </c>
      <c r="X505" s="170">
        <f>IF(Escenarios!$E$14&gt;0,Observaciones!$J504,0)</f>
        <v>0</v>
      </c>
      <c r="Y505" s="170">
        <f>IF(Escenarios!$E$14&gt;0,MAX(0,Z504+R505+S505+T505+Observaciones!$F504-U505-W505-X505-Constantes!$E$33),0)</f>
        <v>0</v>
      </c>
      <c r="Z505" s="170">
        <f>Z504+R505+S505+T505+Observaciones!$F504-U505-W505-Y505</f>
        <v>41.250012800023413</v>
      </c>
      <c r="AA505" s="170">
        <f>IF(Escenarios!$E$14&gt;0,(Escenarios!$E$13*L505+Escenarios!$E$14*W505)/(Escenarios!$E$16),L505)</f>
        <v>-6.071642034312552E-5</v>
      </c>
      <c r="AB505" s="170">
        <f>IF(Escenarios!$E$14&gt;0,(Escenarios!$E$14*Y505)/(Escenarios!$E$16),K505)</f>
        <v>0</v>
      </c>
      <c r="AC505" s="170">
        <f>IF(Escenarios!$E$14&gt;0,(Escenarios!$E$13*M505+Escenarios!$E$14*U505)/(Escenarios!$E$16),M505)</f>
        <v>0</v>
      </c>
      <c r="AD505" s="76">
        <f t="shared" si="99"/>
        <v>135.61355884088141</v>
      </c>
      <c r="AE505" s="76">
        <f>MAX(0,(AD505-Constantes!$D$13)*(1-EXP(-Constantes!$D$23)))</f>
        <v>0.85588733454702348</v>
      </c>
      <c r="AF505" s="76">
        <f>AB505+O505*Escenarios!$E$13/Escenarios!$E$16+AE505</f>
        <v>0.85588733454702348</v>
      </c>
      <c r="AG505" s="76">
        <f>IF(Entradas!$E$91&gt;0,IF(AF505-Escenarios!$E$38&lt;=0,0,IF(AF505-Escenarios!$E$38&gt;Escenarios!$E$37,Escenarios!$E$37,AF505-Escenarios!$E$38)),0)</f>
        <v>0</v>
      </c>
      <c r="AH505" s="76">
        <f>AG505*Entradas!$E$99</f>
        <v>0</v>
      </c>
      <c r="AI505" s="76">
        <f>IF(Entradas!$E$91&gt;0,D505*Entradas!$D$23/Escenarios!$E$16,0)</f>
        <v>0</v>
      </c>
      <c r="AJ505" s="76">
        <f>IF(Entradas!$E$91&gt;0,Entradas!$D$24*Entradas!$D$22/Escenarios!$E$16,0)</f>
        <v>0</v>
      </c>
      <c r="AK505" s="76">
        <f t="shared" si="108"/>
        <v>-6.071642034312552E-5</v>
      </c>
      <c r="AL505" s="76">
        <f t="shared" si="109"/>
        <v>0</v>
      </c>
      <c r="AM505" s="76">
        <f t="shared" si="100"/>
        <v>0</v>
      </c>
      <c r="AN505" s="76">
        <f>MAX(0,O505*Escenarios!$E$13/Escenarios!$E$16-AM505)</f>
        <v>0</v>
      </c>
      <c r="AO505" s="76">
        <f>AM505+AN505-O505*Escenarios!$E$13/Escenarios!$E$16</f>
        <v>0</v>
      </c>
      <c r="AP505" s="76">
        <f t="shared" si="98"/>
        <v>0.85588733454702348</v>
      </c>
      <c r="AQ505" s="76">
        <f t="shared" si="101"/>
        <v>0</v>
      </c>
      <c r="AR505" s="76">
        <f t="shared" si="102"/>
        <v>0.85588733454702348</v>
      </c>
      <c r="AS505" s="76">
        <f t="shared" si="103"/>
        <v>0</v>
      </c>
      <c r="AT505" s="76">
        <f t="shared" si="104"/>
        <v>0</v>
      </c>
      <c r="AU505" s="76">
        <f t="shared" si="105"/>
        <v>48.75</v>
      </c>
      <c r="AV505" s="76">
        <f>MAX(0,(AU505-Constantes!$D$13)*(1-EXP(-Constantes!$D$24)))</f>
        <v>0</v>
      </c>
      <c r="AW505" s="170">
        <f>AW504+(Entradas!$E$112*AT505-AX504)/(800*Entradas!$D$25)</f>
        <v>0</v>
      </c>
      <c r="AX505" s="170">
        <f>8000*Entradas!$D$26*AW505/Constantes!$E$45</f>
        <v>0</v>
      </c>
      <c r="AY505" s="170">
        <f>IF(Escenarios!$E$17&gt;0,10*Escenarios!$E$16*AL505,0)</f>
        <v>0</v>
      </c>
      <c r="AZ505" s="170">
        <f>IF(Escenarios!$E$17&gt;0,10*Escenarios!$E$16*AX505,0)</f>
        <v>0</v>
      </c>
      <c r="BA505" s="170">
        <f>IF(Escenarios!$E$17&gt;0,0.001*Observaciones!$F504*Escenarios!$E$17,0)</f>
        <v>0</v>
      </c>
      <c r="BB505" s="170">
        <f>IF(Escenarios!$E$17&gt;0,Observaciones!$K504,0)</f>
        <v>0</v>
      </c>
      <c r="BC505" s="170">
        <f>IF(Escenarios!$E$17&gt;0,MIN(0.0005*ETo!$M504*Escenarios!$E$17*(BG504/Constantes!$E$40)^(2/3),BG504+AY505+AZ505+BA505+BB505),0)</f>
        <v>17.121405920817732</v>
      </c>
      <c r="BD505" s="170">
        <f>IF(Escenarios!$E$17&gt;0,MIN(Constantes!$E$39*(BG504/Constantes!$E$40)^(2/3),BG504+AY505+AZ505+BA505+BB505-BC505),0)</f>
        <v>41.782892000951065</v>
      </c>
      <c r="BE505" s="170">
        <f>IF(Escenarios!$E$17&gt;0,MIN(Entradas!$E$113,BG504+AY505+AZ505+BA505+BB505-BC505-BD505),0)</f>
        <v>1</v>
      </c>
      <c r="BF505" s="170">
        <f>IF(Escenarios!$E$17&gt;0,MAX(0,BG504+AY505+AZ505+BA505+BB505-BC505-BD505-BE505-Constantes!$E$40),0)</f>
        <v>0</v>
      </c>
      <c r="BG505" s="170">
        <f t="shared" si="110"/>
        <v>2456.4483548931316</v>
      </c>
      <c r="BH505" s="170">
        <f>(Escenarios!$E$16*AK505+0.1*BC505)/(Escenarios!$E$19)</f>
        <v>6.7339741547460001E-3</v>
      </c>
      <c r="BI505" s="170">
        <f>IF(Escenarios!$E$17&gt;0,BF505/10/Escenarios!$E$19,AL505)</f>
        <v>0</v>
      </c>
      <c r="BJ505" s="170">
        <f>(Escenarios!$E$16*AT505+0.1*BD505)/(Escenarios!$E$19)</f>
        <v>1.6580512698790108E-2</v>
      </c>
      <c r="BK505" s="76">
        <f>BK504+(0.1*BD505)/(Escenarios!$E$19)-BL504</f>
        <v>50.73476538037545</v>
      </c>
      <c r="BL505" s="76">
        <f>MAX(0,(BK505-Constantes!$D$13)*(1-EXP(-Constantes!$D$23)))</f>
        <v>1.955636602712231E-2</v>
      </c>
      <c r="BM505" s="76">
        <f t="shared" si="106"/>
        <v>0.87544370057414578</v>
      </c>
      <c r="BN505" s="76">
        <f t="shared" si="111"/>
        <v>0.87544370057414578</v>
      </c>
      <c r="BO505" s="76">
        <f>0.0526*BI505*Observaciones!$F504^1.218</f>
        <v>0</v>
      </c>
      <c r="BP505" s="76">
        <f>BO505*Constantes!$E$51</f>
        <v>0</v>
      </c>
      <c r="BQ505" s="76">
        <f t="shared" si="107"/>
        <v>0</v>
      </c>
      <c r="BR505" s="40"/>
    </row>
    <row r="506" spans="1:70">
      <c r="A506" s="147"/>
      <c r="B506" s="39"/>
      <c r="C506" s="75">
        <v>500</v>
      </c>
      <c r="D506" s="146">
        <f>ETo!$I505*((1-Constantes!$E$19)*ETo!$K505+ETo!$L505)</f>
        <v>2.8792872687505571</v>
      </c>
      <c r="E506" s="76">
        <f>MIN(D506*Constantes!$E$17,0.8*(N505+Observaciones!$F505-F506-M506-Constantes!$D$14))</f>
        <v>-1.1396916440624238E-2</v>
      </c>
      <c r="F506" s="76">
        <f>IF(Observaciones!$F505&gt;0.05*Constantes!$E$18,((Observaciones!$F505-0.05*Constantes!$E$18)^2)/(Observaciones!$F505+0.95*Constantes!$E$18),0)</f>
        <v>0</v>
      </c>
      <c r="G506" s="76">
        <f>IF(Escenarios!$E$11&gt;0,(F506*Escenarios!$E$16*10000)/1000,0)</f>
        <v>0</v>
      </c>
      <c r="H506" s="76">
        <f>IF(Escenarios!$E$11&gt;0,(Observaciones!$F505*Constantes!$E$29)/1000,0)</f>
        <v>0</v>
      </c>
      <c r="I506" s="76">
        <f>IF(Escenarios!$E$11&gt;0,(D506*Constantes!$E$29)/1000,0)</f>
        <v>28.792872687505568</v>
      </c>
      <c r="J506" s="76">
        <f>IF(Escenarios!$E$11&gt;0,MAX(0,G506+H506-I506),0)</f>
        <v>0</v>
      </c>
      <c r="K506" s="76">
        <f>IF(Escenarios!$E$11&gt;0,IF(J506&gt;Constantes!$E$30,1000*((J506-Constantes!$E$30)/(Escenarios!$E$16*10000)),0),F506)</f>
        <v>0</v>
      </c>
      <c r="L506" s="76">
        <f>IF(Escenarios!$E$11&gt;0,I506*1000/Escenarios!$E$16/10000+E506,E506)</f>
        <v>1.2023263437798901E-4</v>
      </c>
      <c r="M506" s="76">
        <f>MAX(0,N505+Observaciones!$F505-K506-Constantes!$D$13)</f>
        <v>0</v>
      </c>
      <c r="N506" s="76">
        <f>N505+Observaciones!$F505-K506-L506-M506-O505</f>
        <v>11.235633621814841</v>
      </c>
      <c r="O506" s="76">
        <f>MAX(0,(N506-Constantes!$D$14)*(1-EXP(-Constantes!$D$22)))</f>
        <v>0</v>
      </c>
      <c r="P506" s="170">
        <f>P505+(Entradas!$E$83*M506-Q505)/(800*Entradas!$D$25)</f>
        <v>0</v>
      </c>
      <c r="Q506" s="170">
        <f>8000*Entradas!$D$26*P506/Constantes!$E$45</f>
        <v>0</v>
      </c>
      <c r="R506" s="170">
        <f>IF(Escenarios!$E$14&gt;0,K506*Escenarios!$E$13/Escenarios!$E$14,0)</f>
        <v>0</v>
      </c>
      <c r="S506" s="170">
        <f>IF(Escenarios!$E$14&gt;0,Q506*Escenarios!$E$13/Escenarios!$E$14,0)</f>
        <v>0</v>
      </c>
      <c r="T506" s="170">
        <f>IF(Escenarios!$E$14&gt;0,Observaciones!$I505,0)</f>
        <v>0</v>
      </c>
      <c r="U506" s="170">
        <f>IF(Escenarios!$E$14&gt;0,MAX(0,Constantes!$E$36/((Z505+R506+S506+T506+Observaciones!$F505)^2)+Entradas!$E$77),0)</f>
        <v>0</v>
      </c>
      <c r="V506" s="146">
        <f>IF(ETo!D505&gt;0,ETo!I505*((1-Entradas!$E$81)*ETo!K505+ETo!L505),0)</f>
        <v>2.6009632862083647</v>
      </c>
      <c r="W506" s="170">
        <f>IF(Escenarios!$E$14&gt;0,MIN(V506*1,0.8*(Z505+R506+S506+T506+Observaciones!$F505-U506-Constantes!$E$35)),0)</f>
        <v>1.0240018730200974E-5</v>
      </c>
      <c r="X506" s="170">
        <f>IF(Escenarios!$E$14&gt;0,Observaciones!$J505,0)</f>
        <v>0</v>
      </c>
      <c r="Y506" s="170">
        <f>IF(Escenarios!$E$14&gt;0,MAX(0,Z505+R506+S506+T506+Observaciones!$F505-U506-W506-X506-Constantes!$E$33),0)</f>
        <v>0</v>
      </c>
      <c r="Z506" s="170">
        <f>Z505+R506+S506+T506+Observaciones!$F505-U506-W506-Y506</f>
        <v>41.250002560004681</v>
      </c>
      <c r="AA506" s="170">
        <f>IF(Escenarios!$E$14&gt;0,(Escenarios!$E$13*L506+Escenarios!$E$14*W506)/(Escenarios!$E$16),L506)</f>
        <v>1.0703352050025445E-4</v>
      </c>
      <c r="AB506" s="170">
        <f>IF(Escenarios!$E$14&gt;0,(Escenarios!$E$14*Y506)/(Escenarios!$E$16),K506)</f>
        <v>0</v>
      </c>
      <c r="AC506" s="170">
        <f>IF(Escenarios!$E$14&gt;0,(Escenarios!$E$13*M506+Escenarios!$E$14*U506)/(Escenarios!$E$16),M506)</f>
        <v>0</v>
      </c>
      <c r="AD506" s="76">
        <f t="shared" si="99"/>
        <v>134.75767150633439</v>
      </c>
      <c r="AE506" s="76">
        <f>MAX(0,(AD506-Constantes!$D$13)*(1-EXP(-Constantes!$D$23)))</f>
        <v>0.84745407278325102</v>
      </c>
      <c r="AF506" s="76">
        <f>AB506+O506*Escenarios!$E$13/Escenarios!$E$16+AE506</f>
        <v>0.84745407278325102</v>
      </c>
      <c r="AG506" s="76">
        <f>IF(Entradas!$E$91&gt;0,IF(AF506-Escenarios!$E$38&lt;=0,0,IF(AF506-Escenarios!$E$38&gt;Escenarios!$E$37,Escenarios!$E$37,AF506-Escenarios!$E$38)),0)</f>
        <v>0</v>
      </c>
      <c r="AH506" s="76">
        <f>AG506*Entradas!$E$99</f>
        <v>0</v>
      </c>
      <c r="AI506" s="76">
        <f>IF(Entradas!$E$91&gt;0,D506*Entradas!$D$23/Escenarios!$E$16,0)</f>
        <v>0</v>
      </c>
      <c r="AJ506" s="76">
        <f>IF(Entradas!$E$91&gt;0,Entradas!$D$24*Entradas!$D$22/Escenarios!$E$16,0)</f>
        <v>0</v>
      </c>
      <c r="AK506" s="76">
        <f t="shared" si="108"/>
        <v>1.0703352050025445E-4</v>
      </c>
      <c r="AL506" s="76">
        <f t="shared" si="109"/>
        <v>0</v>
      </c>
      <c r="AM506" s="76">
        <f t="shared" si="100"/>
        <v>0</v>
      </c>
      <c r="AN506" s="76">
        <f>MAX(0,O506*Escenarios!$E$13/Escenarios!$E$16-AM506)</f>
        <v>0</v>
      </c>
      <c r="AO506" s="76">
        <f>AM506+AN506-O506*Escenarios!$E$13/Escenarios!$E$16</f>
        <v>0</v>
      </c>
      <c r="AP506" s="76">
        <f t="shared" si="98"/>
        <v>0.84745407278325102</v>
      </c>
      <c r="AQ506" s="76">
        <f t="shared" si="101"/>
        <v>0</v>
      </c>
      <c r="AR506" s="76">
        <f t="shared" si="102"/>
        <v>0.84745407278325102</v>
      </c>
      <c r="AS506" s="76">
        <f t="shared" si="103"/>
        <v>0</v>
      </c>
      <c r="AT506" s="76">
        <f t="shared" si="104"/>
        <v>0</v>
      </c>
      <c r="AU506" s="76">
        <f t="shared" si="105"/>
        <v>48.75</v>
      </c>
      <c r="AV506" s="76">
        <f>MAX(0,(AU506-Constantes!$D$13)*(1-EXP(-Constantes!$D$24)))</f>
        <v>0</v>
      </c>
      <c r="AW506" s="170">
        <f>AW505+(Entradas!$E$112*AT506-AX505)/(800*Entradas!$D$25)</f>
        <v>0</v>
      </c>
      <c r="AX506" s="170">
        <f>8000*Entradas!$D$26*AW506/Constantes!$E$45</f>
        <v>0</v>
      </c>
      <c r="AY506" s="170">
        <f>IF(Escenarios!$E$17&gt;0,10*Escenarios!$E$16*AL506,0)</f>
        <v>0</v>
      </c>
      <c r="AZ506" s="170">
        <f>IF(Escenarios!$E$17&gt;0,10*Escenarios!$E$16*AX506,0)</f>
        <v>0</v>
      </c>
      <c r="BA506" s="170">
        <f>IF(Escenarios!$E$17&gt;0,0.001*Observaciones!$F505*Escenarios!$E$17,0)</f>
        <v>0</v>
      </c>
      <c r="BB506" s="170">
        <f>IF(Escenarios!$E$17&gt;0,Observaciones!$K505,0)</f>
        <v>0</v>
      </c>
      <c r="BC506" s="170">
        <f>IF(Escenarios!$E$17&gt;0,MIN(0.0005*ETo!$M505*Escenarios!$E$17*(BG505/Constantes!$E$40)^(2/3),BG505+AY506+AZ506+BA506+BB506),0)</f>
        <v>17.049406330722007</v>
      </c>
      <c r="BD506" s="170">
        <f>IF(Escenarios!$E$17&gt;0,MIN(Constantes!$E$39*(BG505/Constantes!$E$40)^(2/3),BG505+AY506+AZ506+BA506+BB506-BC506),0)</f>
        <v>41.117110296286292</v>
      </c>
      <c r="BE506" s="170">
        <f>IF(Escenarios!$E$17&gt;0,MIN(Entradas!$E$113,BG505+AY506+AZ506+BA506+BB506-BC506-BD506),0)</f>
        <v>1</v>
      </c>
      <c r="BF506" s="170">
        <f>IF(Escenarios!$E$17&gt;0,MAX(0,BG505+AY506+AZ506+BA506+BB506-BC506-BD506-BE506-Constantes!$E$40),0)</f>
        <v>0</v>
      </c>
      <c r="BG506" s="170">
        <f t="shared" si="110"/>
        <v>2397.2818382661235</v>
      </c>
      <c r="BH506" s="170">
        <f>(Escenarios!$E$16*AK506+0.1*BC506)/(Escenarios!$E$19)</f>
        <v>6.8718214809415255E-3</v>
      </c>
      <c r="BI506" s="170">
        <f>IF(Escenarios!$E$17&gt;0,BF506/10/Escenarios!$E$19,AL506)</f>
        <v>0</v>
      </c>
      <c r="BJ506" s="170">
        <f>(Escenarios!$E$16*AT506+0.1*BD506)/(Escenarios!$E$19)</f>
        <v>1.6316313609637416E-2</v>
      </c>
      <c r="BK506" s="76">
        <f>BK505+(0.1*BD506)/(Escenarios!$E$19)-BL505</f>
        <v>50.731525327957961</v>
      </c>
      <c r="BL506" s="76">
        <f>MAX(0,(BK506-Constantes!$D$13)*(1-EXP(-Constantes!$D$23)))</f>
        <v>1.9524441018932429E-2</v>
      </c>
      <c r="BM506" s="76">
        <f t="shared" si="106"/>
        <v>0.86697851380218349</v>
      </c>
      <c r="BN506" s="76">
        <f t="shared" si="111"/>
        <v>0.86697851380218349</v>
      </c>
      <c r="BO506" s="76">
        <f>0.0526*BI506*Observaciones!$F505^1.218</f>
        <v>0</v>
      </c>
      <c r="BP506" s="76">
        <f>BO506*Constantes!$E$51</f>
        <v>0</v>
      </c>
      <c r="BQ506" s="76">
        <f t="shared" si="107"/>
        <v>0</v>
      </c>
      <c r="BR506" s="40"/>
    </row>
    <row r="507" spans="1:70">
      <c r="A507" s="147"/>
      <c r="B507" s="39"/>
      <c r="C507" s="75">
        <v>501</v>
      </c>
      <c r="D507" s="146">
        <f>ETo!$I506*((1-Constantes!$E$19)*ETo!$K506+ETo!$L506)</f>
        <v>2.7994229691077526</v>
      </c>
      <c r="E507" s="76">
        <f>MIN(D507*Constantes!$E$17,0.8*(N506+Observaciones!$F506-F507-M507-Constantes!$D$14))</f>
        <v>-1.14931025481269E-2</v>
      </c>
      <c r="F507" s="76">
        <f>IF(Observaciones!$F506&gt;0.05*Constantes!$E$18,((Observaciones!$F506-0.05*Constantes!$E$18)^2)/(Observaciones!$F506+0.95*Constantes!$E$18),0)</f>
        <v>0</v>
      </c>
      <c r="G507" s="76">
        <f>IF(Escenarios!$E$11&gt;0,(F507*Escenarios!$E$16*10000)/1000,0)</f>
        <v>0</v>
      </c>
      <c r="H507" s="76">
        <f>IF(Escenarios!$E$11&gt;0,(Observaciones!$F506*Constantes!$E$29)/1000,0)</f>
        <v>0</v>
      </c>
      <c r="I507" s="76">
        <f>IF(Escenarios!$E$11&gt;0,(D507*Constantes!$E$29)/1000,0)</f>
        <v>27.994229691077525</v>
      </c>
      <c r="J507" s="76">
        <f>IF(Escenarios!$E$11&gt;0,MAX(0,G507+H507-I507),0)</f>
        <v>0</v>
      </c>
      <c r="K507" s="76">
        <f>IF(Escenarios!$E$11&gt;0,IF(J507&gt;Constantes!$E$30,1000*((J507-Constantes!$E$30)/(Escenarios!$E$16*10000)),0),F507)</f>
        <v>0</v>
      </c>
      <c r="L507" s="76">
        <f>IF(Escenarios!$E$11&gt;0,I507*1000/Escenarios!$E$16/10000+E507,E507)</f>
        <v>-2.954106716958893E-4</v>
      </c>
      <c r="M507" s="76">
        <f>MAX(0,N506+Observaciones!$F506-K507-Constantes!$D$13)</f>
        <v>0</v>
      </c>
      <c r="N507" s="76">
        <f>N506+Observaciones!$F506-K507-L507-M507-O506</f>
        <v>11.235929032486537</v>
      </c>
      <c r="O507" s="76">
        <f>MAX(0,(N507-Constantes!$D$14)*(1-EXP(-Constantes!$D$22)))</f>
        <v>0</v>
      </c>
      <c r="P507" s="170">
        <f>P506+(Entradas!$E$83*M507-Q506)/(800*Entradas!$D$25)</f>
        <v>0</v>
      </c>
      <c r="Q507" s="170">
        <f>8000*Entradas!$D$26*P507/Constantes!$E$45</f>
        <v>0</v>
      </c>
      <c r="R507" s="170">
        <f>IF(Escenarios!$E$14&gt;0,K507*Escenarios!$E$13/Escenarios!$E$14,0)</f>
        <v>0</v>
      </c>
      <c r="S507" s="170">
        <f>IF(Escenarios!$E$14&gt;0,Q507*Escenarios!$E$13/Escenarios!$E$14,0)</f>
        <v>0</v>
      </c>
      <c r="T507" s="170">
        <f>IF(Escenarios!$E$14&gt;0,Observaciones!$I506,0)</f>
        <v>0</v>
      </c>
      <c r="U507" s="170">
        <f>IF(Escenarios!$E$14&gt;0,MAX(0,Constantes!$E$36/((Z506+R507+S507+T507+Observaciones!$F506)^2)+Entradas!$E$77),0)</f>
        <v>0</v>
      </c>
      <c r="V507" s="146">
        <f>IF(ETo!D506&gt;0,ETo!I506*((1-Entradas!$E$81)*ETo!K506+ETo!L506),0)</f>
        <v>2.5277492252386646</v>
      </c>
      <c r="W507" s="170">
        <f>IF(Escenarios!$E$14&gt;0,MIN(V507*1,0.8*(Z506+R507+S507+T507+Observaciones!$F506-U507-Constantes!$E$35)),0)</f>
        <v>2.0480037449033261E-6</v>
      </c>
      <c r="X507" s="170">
        <f>IF(Escenarios!$E$14&gt;0,Observaciones!$J506,0)</f>
        <v>0</v>
      </c>
      <c r="Y507" s="170">
        <f>IF(Escenarios!$E$14&gt;0,MAX(0,Z506+R507+S507+T507+Observaciones!$F506-U507-W507-X507-Constantes!$E$33),0)</f>
        <v>0</v>
      </c>
      <c r="Z507" s="170">
        <f>Z506+R507+S507+T507+Observaciones!$F506-U507-W507-Y507</f>
        <v>41.250000512000938</v>
      </c>
      <c r="AA507" s="170">
        <f>IF(Escenarios!$E$14&gt;0,(Escenarios!$E$13*L507+Escenarios!$E$14*W507)/(Escenarios!$E$16),L507)</f>
        <v>-2.597156306429942E-4</v>
      </c>
      <c r="AB507" s="170">
        <f>IF(Escenarios!$E$14&gt;0,(Escenarios!$E$14*Y507)/(Escenarios!$E$16),K507)</f>
        <v>0</v>
      </c>
      <c r="AC507" s="170">
        <f>IF(Escenarios!$E$14&gt;0,(Escenarios!$E$13*M507+Escenarios!$E$14*U507)/(Escenarios!$E$16),M507)</f>
        <v>0</v>
      </c>
      <c r="AD507" s="76">
        <f t="shared" si="99"/>
        <v>133.91021743355114</v>
      </c>
      <c r="AE507" s="76">
        <f>MAX(0,(AD507-Constantes!$D$13)*(1-EXP(-Constantes!$D$23)))</f>
        <v>0.83910390595628337</v>
      </c>
      <c r="AF507" s="76">
        <f>AB507+O507*Escenarios!$E$13/Escenarios!$E$16+AE507</f>
        <v>0.83910390595628337</v>
      </c>
      <c r="AG507" s="76">
        <f>IF(Entradas!$E$91&gt;0,IF(AF507-Escenarios!$E$38&lt;=0,0,IF(AF507-Escenarios!$E$38&gt;Escenarios!$E$37,Escenarios!$E$37,AF507-Escenarios!$E$38)),0)</f>
        <v>0</v>
      </c>
      <c r="AH507" s="76">
        <f>AG507*Entradas!$E$99</f>
        <v>0</v>
      </c>
      <c r="AI507" s="76">
        <f>IF(Entradas!$E$91&gt;0,D507*Entradas!$D$23/Escenarios!$E$16,0)</f>
        <v>0</v>
      </c>
      <c r="AJ507" s="76">
        <f>IF(Entradas!$E$91&gt;0,Entradas!$D$24*Entradas!$D$22/Escenarios!$E$16,0)</f>
        <v>0</v>
      </c>
      <c r="AK507" s="76">
        <f t="shared" si="108"/>
        <v>-2.597156306429942E-4</v>
      </c>
      <c r="AL507" s="76">
        <f t="shared" si="109"/>
        <v>0</v>
      </c>
      <c r="AM507" s="76">
        <f t="shared" si="100"/>
        <v>0</v>
      </c>
      <c r="AN507" s="76">
        <f>MAX(0,O507*Escenarios!$E$13/Escenarios!$E$16-AM507)</f>
        <v>0</v>
      </c>
      <c r="AO507" s="76">
        <f>AM507+AN507-O507*Escenarios!$E$13/Escenarios!$E$16</f>
        <v>0</v>
      </c>
      <c r="AP507" s="76">
        <f t="shared" si="98"/>
        <v>0.83910390595628337</v>
      </c>
      <c r="AQ507" s="76">
        <f t="shared" si="101"/>
        <v>0</v>
      </c>
      <c r="AR507" s="76">
        <f t="shared" si="102"/>
        <v>0.83910390595628337</v>
      </c>
      <c r="AS507" s="76">
        <f t="shared" si="103"/>
        <v>0</v>
      </c>
      <c r="AT507" s="76">
        <f t="shared" si="104"/>
        <v>0</v>
      </c>
      <c r="AU507" s="76">
        <f t="shared" si="105"/>
        <v>48.75</v>
      </c>
      <c r="AV507" s="76">
        <f>MAX(0,(AU507-Constantes!$D$13)*(1-EXP(-Constantes!$D$24)))</f>
        <v>0</v>
      </c>
      <c r="AW507" s="170">
        <f>AW506+(Entradas!$E$112*AT507-AX506)/(800*Entradas!$D$25)</f>
        <v>0</v>
      </c>
      <c r="AX507" s="170">
        <f>8000*Entradas!$D$26*AW507/Constantes!$E$45</f>
        <v>0</v>
      </c>
      <c r="AY507" s="170">
        <f>IF(Escenarios!$E$17&gt;0,10*Escenarios!$E$16*AL507,0)</f>
        <v>0</v>
      </c>
      <c r="AZ507" s="170">
        <f>IF(Escenarios!$E$17&gt;0,10*Escenarios!$E$16*AX507,0)</f>
        <v>0</v>
      </c>
      <c r="BA507" s="170">
        <f>IF(Escenarios!$E$17&gt;0,0.001*Observaciones!$F506*Escenarios!$E$17,0)</f>
        <v>0</v>
      </c>
      <c r="BB507" s="170">
        <f>IF(Escenarios!$E$17&gt;0,Observaciones!$K506,0)</f>
        <v>0</v>
      </c>
      <c r="BC507" s="170">
        <f>IF(Escenarios!$E$17&gt;0,MIN(0.0005*ETo!$M506*Escenarios!$E$17*(BG506/Constantes!$E$40)^(2/3),BG506+AY507+AZ507+BA507+BB507),0)</f>
        <v>16.317753487883774</v>
      </c>
      <c r="BD507" s="170">
        <f>IF(Escenarios!$E$17&gt;0,MIN(Constantes!$E$39*(BG506/Constantes!$E$40)^(2/3),BG506+AY507+AZ507+BA507+BB507-BC507),0)</f>
        <v>40.454194342946217</v>
      </c>
      <c r="BE507" s="170">
        <f>IF(Escenarios!$E$17&gt;0,MIN(Entradas!$E$113,BG506+AY507+AZ507+BA507+BB507-BC507-BD507),0)</f>
        <v>1</v>
      </c>
      <c r="BF507" s="170">
        <f>IF(Escenarios!$E$17&gt;0,MAX(0,BG506+AY507+AZ507+BA507+BB507-BC507-BD507-BE507-Constantes!$E$40),0)</f>
        <v>0</v>
      </c>
      <c r="BG507" s="170">
        <f t="shared" si="110"/>
        <v>2339.5098904352935</v>
      </c>
      <c r="BH507" s="170">
        <f>(Escenarios!$E$16*AK507+0.1*BC507)/(Escenarios!$E$19)</f>
        <v>6.217644607649322E-3</v>
      </c>
      <c r="BI507" s="170">
        <f>IF(Escenarios!$E$17&gt;0,BF507/10/Escenarios!$E$19,AL507)</f>
        <v>0</v>
      </c>
      <c r="BJ507" s="170">
        <f>(Escenarios!$E$16*AT507+0.1*BD507)/(Escenarios!$E$19)</f>
        <v>1.6053251723391355E-2</v>
      </c>
      <c r="BK507" s="76">
        <f>BK506+(0.1*BD507)/(Escenarios!$E$19)-BL506</f>
        <v>50.728054138662422</v>
      </c>
      <c r="BL507" s="76">
        <f>MAX(0,(BK507-Constantes!$D$13)*(1-EXP(-Constantes!$D$23)))</f>
        <v>1.949023856403061E-2</v>
      </c>
      <c r="BM507" s="76">
        <f t="shared" si="106"/>
        <v>0.85859414452031402</v>
      </c>
      <c r="BN507" s="76">
        <f t="shared" si="111"/>
        <v>0.85859414452031402</v>
      </c>
      <c r="BO507" s="76">
        <f>0.0526*BI507*Observaciones!$F506^1.218</f>
        <v>0</v>
      </c>
      <c r="BP507" s="76">
        <f>BO507*Constantes!$E$51</f>
        <v>0</v>
      </c>
      <c r="BQ507" s="76">
        <f t="shared" si="107"/>
        <v>0</v>
      </c>
      <c r="BR507" s="40"/>
    </row>
    <row r="508" spans="1:70">
      <c r="A508" s="147"/>
      <c r="B508" s="39"/>
      <c r="C508" s="75">
        <v>502</v>
      </c>
      <c r="D508" s="146">
        <f>ETo!$I507*((1-Constantes!$E$19)*ETo!$K507+ETo!$L507)</f>
        <v>2.8268507071578686</v>
      </c>
      <c r="E508" s="76">
        <f>MIN(D508*Constantes!$E$17,0.8*(N507+Observaciones!$F507-F508-M508-Constantes!$D$14))</f>
        <v>-1.1256774010770699E-2</v>
      </c>
      <c r="F508" s="76">
        <f>IF(Observaciones!$F507&gt;0.05*Constantes!$E$18,((Observaciones!$F507-0.05*Constantes!$E$18)^2)/(Observaciones!$F507+0.95*Constantes!$E$18),0)</f>
        <v>0</v>
      </c>
      <c r="G508" s="76">
        <f>IF(Escenarios!$E$11&gt;0,(F508*Escenarios!$E$16*10000)/1000,0)</f>
        <v>0</v>
      </c>
      <c r="H508" s="76">
        <f>IF(Escenarios!$E$11&gt;0,(Observaciones!$F507*Constantes!$E$29)/1000,0)</f>
        <v>0</v>
      </c>
      <c r="I508" s="76">
        <f>IF(Escenarios!$E$11&gt;0,(D508*Constantes!$E$29)/1000,0)</f>
        <v>28.268507071578686</v>
      </c>
      <c r="J508" s="76">
        <f>IF(Escenarios!$E$11&gt;0,MAX(0,G508+H508-I508),0)</f>
        <v>0</v>
      </c>
      <c r="K508" s="76">
        <f>IF(Escenarios!$E$11&gt;0,IF(J508&gt;Constantes!$E$30,1000*((J508-Constantes!$E$30)/(Escenarios!$E$16*10000)),0),F508)</f>
        <v>0</v>
      </c>
      <c r="L508" s="76">
        <f>IF(Escenarios!$E$11&gt;0,I508*1000/Escenarios!$E$16/10000+E508,E508)</f>
        <v>5.0628817860774375E-5</v>
      </c>
      <c r="M508" s="76">
        <f>MAX(0,N507+Observaciones!$F507-K508-Constantes!$D$13)</f>
        <v>0</v>
      </c>
      <c r="N508" s="76">
        <f>N507+Observaciones!$F507-K508-L508-M508-O507</f>
        <v>11.235878403668677</v>
      </c>
      <c r="O508" s="76">
        <f>MAX(0,(N508-Constantes!$D$14)*(1-EXP(-Constantes!$D$22)))</f>
        <v>0</v>
      </c>
      <c r="P508" s="170">
        <f>P507+(Entradas!$E$83*M508-Q507)/(800*Entradas!$D$25)</f>
        <v>0</v>
      </c>
      <c r="Q508" s="170">
        <f>8000*Entradas!$D$26*P508/Constantes!$E$45</f>
        <v>0</v>
      </c>
      <c r="R508" s="170">
        <f>IF(Escenarios!$E$14&gt;0,K508*Escenarios!$E$13/Escenarios!$E$14,0)</f>
        <v>0</v>
      </c>
      <c r="S508" s="170">
        <f>IF(Escenarios!$E$14&gt;0,Q508*Escenarios!$E$13/Escenarios!$E$14,0)</f>
        <v>0</v>
      </c>
      <c r="T508" s="170">
        <f>IF(Escenarios!$E$14&gt;0,Observaciones!$I507,0)</f>
        <v>0</v>
      </c>
      <c r="U508" s="170">
        <f>IF(Escenarios!$E$14&gt;0,MAX(0,Constantes!$E$36/((Z507+R508+S508+T508+Observaciones!$F507)^2)+Entradas!$E$77),0)</f>
        <v>0</v>
      </c>
      <c r="V508" s="146">
        <f>IF(ETo!D507&gt;0,ETo!I507*((1-Entradas!$E$81)*ETo!K507+ETo!L507),0)</f>
        <v>2.5523947111432075</v>
      </c>
      <c r="W508" s="170">
        <f>IF(Escenarios!$E$14&gt;0,MIN(V508*1,0.8*(Z507+R508+S508+T508+Observaciones!$F507-U508-Constantes!$E$35)),0)</f>
        <v>4.0960075011753364E-7</v>
      </c>
      <c r="X508" s="170">
        <f>IF(Escenarios!$E$14&gt;0,Observaciones!$J507,0)</f>
        <v>0</v>
      </c>
      <c r="Y508" s="170">
        <f>IF(Escenarios!$E$14&gt;0,MAX(0,Z507+R508+S508+T508+Observaciones!$F507-U508-W508-X508-Constantes!$E$33),0)</f>
        <v>0</v>
      </c>
      <c r="Z508" s="170">
        <f>Z507+R508+S508+T508+Observaciones!$F507-U508-W508-Y508</f>
        <v>41.250000102400186</v>
      </c>
      <c r="AA508" s="170">
        <f>IF(Escenarios!$E$14&gt;0,(Escenarios!$E$13*L508+Escenarios!$E$14*W508)/(Escenarios!$E$16),L508)</f>
        <v>4.4602511807495552E-5</v>
      </c>
      <c r="AB508" s="170">
        <f>IF(Escenarios!$E$14&gt;0,(Escenarios!$E$14*Y508)/(Escenarios!$E$16),K508)</f>
        <v>0</v>
      </c>
      <c r="AC508" s="170">
        <f>IF(Escenarios!$E$14&gt;0,(Escenarios!$E$13*M508+Escenarios!$E$14*U508)/(Escenarios!$E$16),M508)</f>
        <v>0</v>
      </c>
      <c r="AD508" s="76">
        <f t="shared" si="99"/>
        <v>133.07111352759486</v>
      </c>
      <c r="AE508" s="76">
        <f>MAX(0,(AD508-Constantes!$D$13)*(1-EXP(-Constantes!$D$23)))</f>
        <v>0.83083601531191675</v>
      </c>
      <c r="AF508" s="76">
        <f>AB508+O508*Escenarios!$E$13/Escenarios!$E$16+AE508</f>
        <v>0.83083601531191675</v>
      </c>
      <c r="AG508" s="76">
        <f>IF(Entradas!$E$91&gt;0,IF(AF508-Escenarios!$E$38&lt;=0,0,IF(AF508-Escenarios!$E$38&gt;Escenarios!$E$37,Escenarios!$E$37,AF508-Escenarios!$E$38)),0)</f>
        <v>0</v>
      </c>
      <c r="AH508" s="76">
        <f>AG508*Entradas!$E$99</f>
        <v>0</v>
      </c>
      <c r="AI508" s="76">
        <f>IF(Entradas!$E$91&gt;0,D508*Entradas!$D$23/Escenarios!$E$16,0)</f>
        <v>0</v>
      </c>
      <c r="AJ508" s="76">
        <f>IF(Entradas!$E$91&gt;0,Entradas!$D$24*Entradas!$D$22/Escenarios!$E$16,0)</f>
        <v>0</v>
      </c>
      <c r="AK508" s="76">
        <f t="shared" si="108"/>
        <v>4.4602511807495552E-5</v>
      </c>
      <c r="AL508" s="76">
        <f t="shared" si="109"/>
        <v>0</v>
      </c>
      <c r="AM508" s="76">
        <f t="shared" si="100"/>
        <v>0</v>
      </c>
      <c r="AN508" s="76">
        <f>MAX(0,O508*Escenarios!$E$13/Escenarios!$E$16-AM508)</f>
        <v>0</v>
      </c>
      <c r="AO508" s="76">
        <f>AM508+AN508-O508*Escenarios!$E$13/Escenarios!$E$16</f>
        <v>0</v>
      </c>
      <c r="AP508" s="76">
        <f t="shared" si="98"/>
        <v>0.83083601531191675</v>
      </c>
      <c r="AQ508" s="76">
        <f t="shared" si="101"/>
        <v>0</v>
      </c>
      <c r="AR508" s="76">
        <f t="shared" si="102"/>
        <v>0.83083601531191675</v>
      </c>
      <c r="AS508" s="76">
        <f t="shared" si="103"/>
        <v>0</v>
      </c>
      <c r="AT508" s="76">
        <f t="shared" si="104"/>
        <v>0</v>
      </c>
      <c r="AU508" s="76">
        <f t="shared" si="105"/>
        <v>48.75</v>
      </c>
      <c r="AV508" s="76">
        <f>MAX(0,(AU508-Constantes!$D$13)*(1-EXP(-Constantes!$D$24)))</f>
        <v>0</v>
      </c>
      <c r="AW508" s="170">
        <f>AW507+(Entradas!$E$112*AT508-AX507)/(800*Entradas!$D$25)</f>
        <v>0</v>
      </c>
      <c r="AX508" s="170">
        <f>8000*Entradas!$D$26*AW508/Constantes!$E$45</f>
        <v>0</v>
      </c>
      <c r="AY508" s="170">
        <f>IF(Escenarios!$E$17&gt;0,10*Escenarios!$E$16*AL508,0)</f>
        <v>0</v>
      </c>
      <c r="AZ508" s="170">
        <f>IF(Escenarios!$E$17&gt;0,10*Escenarios!$E$16*AX508,0)</f>
        <v>0</v>
      </c>
      <c r="BA508" s="170">
        <f>IF(Escenarios!$E$17&gt;0,0.001*Observaciones!$F507*Escenarios!$E$17,0)</f>
        <v>0</v>
      </c>
      <c r="BB508" s="170">
        <f>IF(Escenarios!$E$17&gt;0,Observaciones!$K507,0)</f>
        <v>0</v>
      </c>
      <c r="BC508" s="170">
        <f>IF(Escenarios!$E$17&gt;0,MIN(0.0005*ETo!$M507*Escenarios!$E$17*(BG507/Constantes!$E$40)^(2/3),BG507+AY508+AZ508+BA508+BB508),0)</f>
        <v>16.212768491661446</v>
      </c>
      <c r="BD508" s="170">
        <f>IF(Escenarios!$E$17&gt;0,MIN(Constantes!$E$39*(BG507/Constantes!$E$40)^(2/3),BG507+AY508+AZ508+BA508+BB508-BC508),0)</f>
        <v>39.801620094350987</v>
      </c>
      <c r="BE508" s="170">
        <f>IF(Escenarios!$E$17&gt;0,MIN(Entradas!$E$113,BG507+AY508+AZ508+BA508+BB508-BC508-BD508),0)</f>
        <v>1</v>
      </c>
      <c r="BF508" s="170">
        <f>IF(Escenarios!$E$17&gt;0,MAX(0,BG507+AY508+AZ508+BA508+BB508-BC508-BD508-BE508-Constantes!$E$40),0)</f>
        <v>0</v>
      </c>
      <c r="BG508" s="170">
        <f t="shared" si="110"/>
        <v>2282.495501849281</v>
      </c>
      <c r="BH508" s="170">
        <f>(Escenarios!$E$16*AK508+0.1*BC508)/(Escenarios!$E$19)</f>
        <v>6.4778868139603908E-3</v>
      </c>
      <c r="BI508" s="170">
        <f>IF(Escenarios!$E$17&gt;0,BF508/10/Escenarios!$E$19,AL508)</f>
        <v>0</v>
      </c>
      <c r="BJ508" s="170">
        <f>(Escenarios!$E$16*AT508+0.1*BD508)/(Escenarios!$E$19)</f>
        <v>1.5794293688234519E-2</v>
      </c>
      <c r="BK508" s="76">
        <f>BK507+(0.1*BD508)/(Escenarios!$E$19)-BL507</f>
        <v>50.724358193786628</v>
      </c>
      <c r="BL508" s="76">
        <f>MAX(0,(BK508-Constantes!$D$13)*(1-EXP(-Constantes!$D$23)))</f>
        <v>1.9453821538863925E-2</v>
      </c>
      <c r="BM508" s="76">
        <f t="shared" si="106"/>
        <v>0.85028983685078063</v>
      </c>
      <c r="BN508" s="76">
        <f t="shared" si="111"/>
        <v>0.85028983685078063</v>
      </c>
      <c r="BO508" s="76">
        <f>0.0526*BI508*Observaciones!$F507^1.218</f>
        <v>0</v>
      </c>
      <c r="BP508" s="76">
        <f>BO508*Constantes!$E$51</f>
        <v>0</v>
      </c>
      <c r="BQ508" s="76">
        <f t="shared" si="107"/>
        <v>0</v>
      </c>
      <c r="BR508" s="40"/>
    </row>
    <row r="509" spans="1:70">
      <c r="A509" s="147"/>
      <c r="B509" s="39"/>
      <c r="C509" s="75">
        <v>503</v>
      </c>
      <c r="D509" s="146">
        <f>ETo!$I508*((1-Constantes!$E$19)*ETo!$K508+ETo!$L508)</f>
        <v>2.8349839822326852</v>
      </c>
      <c r="E509" s="76">
        <f>MIN(D509*Constantes!$E$17,0.8*(N508+Observaciones!$F508-F509-M509-Constantes!$D$14))</f>
        <v>-1.1297277065058609E-2</v>
      </c>
      <c r="F509" s="76">
        <f>IF(Observaciones!$F508&gt;0.05*Constantes!$E$18,((Observaciones!$F508-0.05*Constantes!$E$18)^2)/(Observaciones!$F508+0.95*Constantes!$E$18),0)</f>
        <v>0</v>
      </c>
      <c r="G509" s="76">
        <f>IF(Escenarios!$E$11&gt;0,(F509*Escenarios!$E$16*10000)/1000,0)</f>
        <v>0</v>
      </c>
      <c r="H509" s="76">
        <f>IF(Escenarios!$E$11&gt;0,(Observaciones!$F508*Constantes!$E$29)/1000,0)</f>
        <v>0</v>
      </c>
      <c r="I509" s="76">
        <f>IF(Escenarios!$E$11&gt;0,(D509*Constantes!$E$29)/1000,0)</f>
        <v>28.349839822326853</v>
      </c>
      <c r="J509" s="76">
        <f>IF(Escenarios!$E$11&gt;0,MAX(0,G509+H509-I509),0)</f>
        <v>0</v>
      </c>
      <c r="K509" s="76">
        <f>IF(Escenarios!$E$11&gt;0,IF(J509&gt;Constantes!$E$30,1000*((J509-Constantes!$E$30)/(Escenarios!$E$16*10000)),0),F509)</f>
        <v>0</v>
      </c>
      <c r="L509" s="76">
        <f>IF(Escenarios!$E$11&gt;0,I509*1000/Escenarios!$E$16/10000+E509,E509)</f>
        <v>4.2658863872132788E-5</v>
      </c>
      <c r="M509" s="76">
        <f>MAX(0,N508+Observaciones!$F508-K509-Constantes!$D$13)</f>
        <v>0</v>
      </c>
      <c r="N509" s="76">
        <f>N508+Observaciones!$F508-K509-L509-M509-O508</f>
        <v>11.235835744804804</v>
      </c>
      <c r="O509" s="76">
        <f>MAX(0,(N509-Constantes!$D$14)*(1-EXP(-Constantes!$D$22)))</f>
        <v>0</v>
      </c>
      <c r="P509" s="170">
        <f>P508+(Entradas!$E$83*M509-Q508)/(800*Entradas!$D$25)</f>
        <v>0</v>
      </c>
      <c r="Q509" s="170">
        <f>8000*Entradas!$D$26*P509/Constantes!$E$45</f>
        <v>0</v>
      </c>
      <c r="R509" s="170">
        <f>IF(Escenarios!$E$14&gt;0,K509*Escenarios!$E$13/Escenarios!$E$14,0)</f>
        <v>0</v>
      </c>
      <c r="S509" s="170">
        <f>IF(Escenarios!$E$14&gt;0,Q509*Escenarios!$E$13/Escenarios!$E$14,0)</f>
        <v>0</v>
      </c>
      <c r="T509" s="170">
        <f>IF(Escenarios!$E$14&gt;0,Observaciones!$I508,0)</f>
        <v>0</v>
      </c>
      <c r="U509" s="170">
        <f>IF(Escenarios!$E$14&gt;0,MAX(0,Constantes!$E$36/((Z508+R509+S509+T509+Observaciones!$F508)^2)+Entradas!$E$77),0)</f>
        <v>0</v>
      </c>
      <c r="V509" s="146">
        <f>IF(ETo!D508&gt;0,ETo!I508*((1-Entradas!$E$81)*ETo!K508+ETo!L508),0)</f>
        <v>2.5594808081953766</v>
      </c>
      <c r="W509" s="170">
        <f>IF(Escenarios!$E$14&gt;0,MIN(V509*1,0.8*(Z508+R509+S509+T509+Observaciones!$F508-U509-Constantes!$E$35)),0)</f>
        <v>8.1920148886638344E-8</v>
      </c>
      <c r="X509" s="170">
        <f>IF(Escenarios!$E$14&gt;0,Observaciones!$J508,0)</f>
        <v>0</v>
      </c>
      <c r="Y509" s="170">
        <f>IF(Escenarios!$E$14&gt;0,MAX(0,Z508+R509+S509+T509+Observaciones!$F508-U509-W509-X509-Constantes!$E$33),0)</f>
        <v>0</v>
      </c>
      <c r="Z509" s="170">
        <f>Z508+R509+S509+T509+Observaciones!$F508-U509-W509-Y509</f>
        <v>41.250000020480037</v>
      </c>
      <c r="AA509" s="170">
        <f>IF(Escenarios!$E$14&gt;0,(Escenarios!$E$13*L509+Escenarios!$E$14*W509)/(Escenarios!$E$16),L509)</f>
        <v>3.7549630625343248E-5</v>
      </c>
      <c r="AB509" s="170">
        <f>IF(Escenarios!$E$14&gt;0,(Escenarios!$E$14*Y509)/(Escenarios!$E$16),K509)</f>
        <v>0</v>
      </c>
      <c r="AC509" s="170">
        <f>IF(Escenarios!$E$14&gt;0,(Escenarios!$E$13*M509+Escenarios!$E$14*U509)/(Escenarios!$E$16),M509)</f>
        <v>0</v>
      </c>
      <c r="AD509" s="76">
        <f t="shared" si="99"/>
        <v>132.24027751228294</v>
      </c>
      <c r="AE509" s="76">
        <f>MAX(0,(AD509-Constantes!$D$13)*(1-EXP(-Constantes!$D$23)))</f>
        <v>0.82264959016332717</v>
      </c>
      <c r="AF509" s="76">
        <f>AB509+O509*Escenarios!$E$13/Escenarios!$E$16+AE509</f>
        <v>0.82264959016332717</v>
      </c>
      <c r="AG509" s="76">
        <f>IF(Entradas!$E$91&gt;0,IF(AF509-Escenarios!$E$38&lt;=0,0,IF(AF509-Escenarios!$E$38&gt;Escenarios!$E$37,Escenarios!$E$37,AF509-Escenarios!$E$38)),0)</f>
        <v>0</v>
      </c>
      <c r="AH509" s="76">
        <f>AG509*Entradas!$E$99</f>
        <v>0</v>
      </c>
      <c r="AI509" s="76">
        <f>IF(Entradas!$E$91&gt;0,D509*Entradas!$D$23/Escenarios!$E$16,0)</f>
        <v>0</v>
      </c>
      <c r="AJ509" s="76">
        <f>IF(Entradas!$E$91&gt;0,Entradas!$D$24*Entradas!$D$22/Escenarios!$E$16,0)</f>
        <v>0</v>
      </c>
      <c r="AK509" s="76">
        <f t="shared" si="108"/>
        <v>3.7549630625343248E-5</v>
      </c>
      <c r="AL509" s="76">
        <f t="shared" si="109"/>
        <v>0</v>
      </c>
      <c r="AM509" s="76">
        <f t="shared" si="100"/>
        <v>0</v>
      </c>
      <c r="AN509" s="76">
        <f>MAX(0,O509*Escenarios!$E$13/Escenarios!$E$16-AM509)</f>
        <v>0</v>
      </c>
      <c r="AO509" s="76">
        <f>AM509+AN509-O509*Escenarios!$E$13/Escenarios!$E$16</f>
        <v>0</v>
      </c>
      <c r="AP509" s="76">
        <f t="shared" si="98"/>
        <v>0.82264959016332717</v>
      </c>
      <c r="AQ509" s="76">
        <f t="shared" si="101"/>
        <v>0</v>
      </c>
      <c r="AR509" s="76">
        <f t="shared" si="102"/>
        <v>0.82264959016332717</v>
      </c>
      <c r="AS509" s="76">
        <f t="shared" si="103"/>
        <v>0</v>
      </c>
      <c r="AT509" s="76">
        <f t="shared" si="104"/>
        <v>0</v>
      </c>
      <c r="AU509" s="76">
        <f t="shared" si="105"/>
        <v>48.75</v>
      </c>
      <c r="AV509" s="76">
        <f>MAX(0,(AU509-Constantes!$D$13)*(1-EXP(-Constantes!$D$24)))</f>
        <v>0</v>
      </c>
      <c r="AW509" s="170">
        <f>AW508+(Entradas!$E$112*AT509-AX508)/(800*Entradas!$D$25)</f>
        <v>0</v>
      </c>
      <c r="AX509" s="170">
        <f>8000*Entradas!$D$26*AW509/Constantes!$E$45</f>
        <v>0</v>
      </c>
      <c r="AY509" s="170">
        <f>IF(Escenarios!$E$17&gt;0,10*Escenarios!$E$16*AL509,0)</f>
        <v>0</v>
      </c>
      <c r="AZ509" s="170">
        <f>IF(Escenarios!$E$17&gt;0,10*Escenarios!$E$16*AX509,0)</f>
        <v>0</v>
      </c>
      <c r="BA509" s="170">
        <f>IF(Escenarios!$E$17&gt;0,0.001*Observaciones!$F508*Escenarios!$E$17,0)</f>
        <v>0</v>
      </c>
      <c r="BB509" s="170">
        <f>IF(Escenarios!$E$17&gt;0,Observaciones!$K508,0)</f>
        <v>0</v>
      </c>
      <c r="BC509" s="170">
        <f>IF(Escenarios!$E$17&gt;0,MIN(0.0005*ETo!$M508*Escenarios!$E$17*(BG508/Constantes!$E$40)^(2/3),BG508+AY509+AZ509+BA509+BB509),0)</f>
        <v>15.996149750673723</v>
      </c>
      <c r="BD509" s="170">
        <f>IF(Escenarios!$E$17&gt;0,MIN(Constantes!$E$39*(BG508/Constantes!$E$40)^(2/3),BG508+AY509+AZ509+BA509+BB509-BC509),0)</f>
        <v>39.15231504037407</v>
      </c>
      <c r="BE509" s="170">
        <f>IF(Escenarios!$E$17&gt;0,MIN(Entradas!$E$113,BG508+AY509+AZ509+BA509+BB509-BC509-BD509),0)</f>
        <v>1</v>
      </c>
      <c r="BF509" s="170">
        <f>IF(Escenarios!$E$17&gt;0,MAX(0,BG508+AY509+AZ509+BA509+BB509-BC509-BD509-BE509-Constantes!$E$40),0)</f>
        <v>0</v>
      </c>
      <c r="BG509" s="170">
        <f t="shared" si="110"/>
        <v>2226.3470370582331</v>
      </c>
      <c r="BH509" s="170">
        <f>(Escenarios!$E$16*AK509+0.1*BC509)/(Escenarios!$E$19)</f>
        <v>6.3849300901734456E-3</v>
      </c>
      <c r="BI509" s="170">
        <f>IF(Escenarios!$E$17&gt;0,BF509/10/Escenarios!$E$19,AL509)</f>
        <v>0</v>
      </c>
      <c r="BJ509" s="170">
        <f>(Escenarios!$E$16*AT509+0.1*BD509)/(Escenarios!$E$19)</f>
        <v>1.5536632952529394E-2</v>
      </c>
      <c r="BK509" s="76">
        <f>BK508+(0.1*BD509)/(Escenarios!$E$19)-BL508</f>
        <v>50.7204410052003</v>
      </c>
      <c r="BL509" s="76">
        <f>MAX(0,(BK509-Constantes!$D$13)*(1-EXP(-Constantes!$D$23)))</f>
        <v>1.9415224546721201E-2</v>
      </c>
      <c r="BM509" s="76">
        <f t="shared" si="106"/>
        <v>0.84206481471004835</v>
      </c>
      <c r="BN509" s="76">
        <f t="shared" si="111"/>
        <v>0.84206481471004835</v>
      </c>
      <c r="BO509" s="76">
        <f>0.0526*BI509*Observaciones!$F508^1.218</f>
        <v>0</v>
      </c>
      <c r="BP509" s="76">
        <f>BO509*Constantes!$E$51</f>
        <v>0</v>
      </c>
      <c r="BQ509" s="76">
        <f t="shared" si="107"/>
        <v>0</v>
      </c>
      <c r="BR509" s="40"/>
    </row>
    <row r="510" spans="1:70">
      <c r="A510" s="147"/>
      <c r="B510" s="39"/>
      <c r="C510" s="75">
        <v>504</v>
      </c>
      <c r="D510" s="146">
        <f>ETo!$I509*((1-Constantes!$E$19)*ETo!$K509+ETo!$L509)</f>
        <v>2.7568151855088479</v>
      </c>
      <c r="E510" s="76">
        <f>MIN(D510*Constantes!$E$17,0.8*(N509+Observaciones!$F509-F510-M510-Constantes!$D$14))</f>
        <v>-1.1331404156156567E-2</v>
      </c>
      <c r="F510" s="76">
        <f>IF(Observaciones!$F509&gt;0.05*Constantes!$E$18,((Observaciones!$F509-0.05*Constantes!$E$18)^2)/(Observaciones!$F509+0.95*Constantes!$E$18),0)</f>
        <v>0</v>
      </c>
      <c r="G510" s="76">
        <f>IF(Escenarios!$E$11&gt;0,(F510*Escenarios!$E$16*10000)/1000,0)</f>
        <v>0</v>
      </c>
      <c r="H510" s="76">
        <f>IF(Escenarios!$E$11&gt;0,(Observaciones!$F509*Constantes!$E$29)/1000,0)</f>
        <v>0</v>
      </c>
      <c r="I510" s="76">
        <f>IF(Escenarios!$E$11&gt;0,(D510*Constantes!$E$29)/1000,0)</f>
        <v>27.56815185508848</v>
      </c>
      <c r="J510" s="76">
        <f>IF(Escenarios!$E$11&gt;0,MAX(0,G510+H510-I510),0)</f>
        <v>0</v>
      </c>
      <c r="K510" s="76">
        <f>IF(Escenarios!$E$11&gt;0,IF(J510&gt;Constantes!$E$30,1000*((J510-Constantes!$E$30)/(Escenarios!$E$16*10000)),0),F510)</f>
        <v>0</v>
      </c>
      <c r="L510" s="76">
        <f>IF(Escenarios!$E$11&gt;0,I510*1000/Escenarios!$E$16/10000+E510,E510)</f>
        <v>-3.0414341412117463E-4</v>
      </c>
      <c r="M510" s="76">
        <f>MAX(0,N509+Observaciones!$F509-K510-Constantes!$D$13)</f>
        <v>0</v>
      </c>
      <c r="N510" s="76">
        <f>N509+Observaciones!$F509-K510-L510-M510-O509</f>
        <v>11.236139888218926</v>
      </c>
      <c r="O510" s="76">
        <f>MAX(0,(N510-Constantes!$D$14)*(1-EXP(-Constantes!$D$22)))</f>
        <v>0</v>
      </c>
      <c r="P510" s="170">
        <f>P509+(Entradas!$E$83*M510-Q509)/(800*Entradas!$D$25)</f>
        <v>0</v>
      </c>
      <c r="Q510" s="170">
        <f>8000*Entradas!$D$26*P510/Constantes!$E$45</f>
        <v>0</v>
      </c>
      <c r="R510" s="170">
        <f>IF(Escenarios!$E$14&gt;0,K510*Escenarios!$E$13/Escenarios!$E$14,0)</f>
        <v>0</v>
      </c>
      <c r="S510" s="170">
        <f>IF(Escenarios!$E$14&gt;0,Q510*Escenarios!$E$13/Escenarios!$E$14,0)</f>
        <v>0</v>
      </c>
      <c r="T510" s="170">
        <f>IF(Escenarios!$E$14&gt;0,Observaciones!$I509,0)</f>
        <v>0</v>
      </c>
      <c r="U510" s="170">
        <f>IF(Escenarios!$E$14&gt;0,MAX(0,Constantes!$E$36/((Z509+R510+S510+T510+Observaciones!$F509)^2)+Entradas!$E$77),0)</f>
        <v>0</v>
      </c>
      <c r="V510" s="146">
        <f>IF(ETo!D509&gt;0,ETo!I509*((1-Entradas!$E$81)*ETo!K509+ETo!L509),0)</f>
        <v>2.4878542967752701</v>
      </c>
      <c r="W510" s="170">
        <f>IF(Escenarios!$E$14&gt;0,MIN(V510*1,0.8*(Z509+R510+S510+T510+Observaciones!$F509-U510-Constantes!$E$35)),0)</f>
        <v>1.638402977732767E-8</v>
      </c>
      <c r="X510" s="170">
        <f>IF(Escenarios!$E$14&gt;0,Observaciones!$J509,0)</f>
        <v>0</v>
      </c>
      <c r="Y510" s="170">
        <f>IF(Escenarios!$E$14&gt;0,MAX(0,Z509+R510+S510+T510+Observaciones!$F509-U510-W510-X510-Constantes!$E$33),0)</f>
        <v>0</v>
      </c>
      <c r="Z510" s="170">
        <f>Z509+R510+S510+T510+Observaciones!$F509-U510-W510-Y510</f>
        <v>41.250000004096009</v>
      </c>
      <c r="AA510" s="170">
        <f>IF(Escenarios!$E$14&gt;0,(Escenarios!$E$13*L510+Escenarios!$E$14*W510)/(Escenarios!$E$16),L510)</f>
        <v>-2.6764423834306039E-4</v>
      </c>
      <c r="AB510" s="170">
        <f>IF(Escenarios!$E$14&gt;0,(Escenarios!$E$14*Y510)/(Escenarios!$E$16),K510)</f>
        <v>0</v>
      </c>
      <c r="AC510" s="170">
        <f>IF(Escenarios!$E$14&gt;0,(Escenarios!$E$13*M510+Escenarios!$E$14*U510)/(Escenarios!$E$16),M510)</f>
        <v>0</v>
      </c>
      <c r="AD510" s="76">
        <f t="shared" si="99"/>
        <v>131.41762792211961</v>
      </c>
      <c r="AE510" s="76">
        <f>MAX(0,(AD510-Constantes!$D$13)*(1-EXP(-Constantes!$D$23)))</f>
        <v>0.81454382781158108</v>
      </c>
      <c r="AF510" s="76">
        <f>AB510+O510*Escenarios!$E$13/Escenarios!$E$16+AE510</f>
        <v>0.81454382781158108</v>
      </c>
      <c r="AG510" s="76">
        <f>IF(Entradas!$E$91&gt;0,IF(AF510-Escenarios!$E$38&lt;=0,0,IF(AF510-Escenarios!$E$38&gt;Escenarios!$E$37,Escenarios!$E$37,AF510-Escenarios!$E$38)),0)</f>
        <v>0</v>
      </c>
      <c r="AH510" s="76">
        <f>AG510*Entradas!$E$99</f>
        <v>0</v>
      </c>
      <c r="AI510" s="76">
        <f>IF(Entradas!$E$91&gt;0,D510*Entradas!$D$23/Escenarios!$E$16,0)</f>
        <v>0</v>
      </c>
      <c r="AJ510" s="76">
        <f>IF(Entradas!$E$91&gt;0,Entradas!$D$24*Entradas!$D$22/Escenarios!$E$16,0)</f>
        <v>0</v>
      </c>
      <c r="AK510" s="76">
        <f t="shared" si="108"/>
        <v>-2.6764423834306039E-4</v>
      </c>
      <c r="AL510" s="76">
        <f t="shared" si="109"/>
        <v>0</v>
      </c>
      <c r="AM510" s="76">
        <f t="shared" si="100"/>
        <v>0</v>
      </c>
      <c r="AN510" s="76">
        <f>MAX(0,O510*Escenarios!$E$13/Escenarios!$E$16-AM510)</f>
        <v>0</v>
      </c>
      <c r="AO510" s="76">
        <f>AM510+AN510-O510*Escenarios!$E$13/Escenarios!$E$16</f>
        <v>0</v>
      </c>
      <c r="AP510" s="76">
        <f t="shared" si="98"/>
        <v>0.81454382781158108</v>
      </c>
      <c r="AQ510" s="76">
        <f t="shared" si="101"/>
        <v>0</v>
      </c>
      <c r="AR510" s="76">
        <f t="shared" si="102"/>
        <v>0.81454382781158108</v>
      </c>
      <c r="AS510" s="76">
        <f t="shared" si="103"/>
        <v>0</v>
      </c>
      <c r="AT510" s="76">
        <f t="shared" si="104"/>
        <v>0</v>
      </c>
      <c r="AU510" s="76">
        <f t="shared" si="105"/>
        <v>48.75</v>
      </c>
      <c r="AV510" s="76">
        <f>MAX(0,(AU510-Constantes!$D$13)*(1-EXP(-Constantes!$D$24)))</f>
        <v>0</v>
      </c>
      <c r="AW510" s="170">
        <f>AW509+(Entradas!$E$112*AT510-AX509)/(800*Entradas!$D$25)</f>
        <v>0</v>
      </c>
      <c r="AX510" s="170">
        <f>8000*Entradas!$D$26*AW510/Constantes!$E$45</f>
        <v>0</v>
      </c>
      <c r="AY510" s="170">
        <f>IF(Escenarios!$E$17&gt;0,10*Escenarios!$E$16*AL510,0)</f>
        <v>0</v>
      </c>
      <c r="AZ510" s="170">
        <f>IF(Escenarios!$E$17&gt;0,10*Escenarios!$E$16*AX510,0)</f>
        <v>0</v>
      </c>
      <c r="BA510" s="170">
        <f>IF(Escenarios!$E$17&gt;0,0.001*Observaciones!$F509*Escenarios!$E$17,0)</f>
        <v>0</v>
      </c>
      <c r="BB510" s="170">
        <f>IF(Escenarios!$E$17&gt;0,Observaciones!$K509,0)</f>
        <v>0</v>
      </c>
      <c r="BC510" s="170">
        <f>IF(Escenarios!$E$17&gt;0,MIN(0.0005*ETo!$M509*Escenarios!$E$17*(BG509/Constantes!$E$40)^(2/3),BG509+AY510+AZ510+BA510+BB510),0)</f>
        <v>15.306916563403563</v>
      </c>
      <c r="BD510" s="170">
        <f>IF(Escenarios!$E$17&gt;0,MIN(Constantes!$E$39*(BG509/Constantes!$E$40)^(2/3),BG509+AY510+AZ510+BA510+BB510-BC510),0)</f>
        <v>38.507565929917654</v>
      </c>
      <c r="BE510" s="170">
        <f>IF(Escenarios!$E$17&gt;0,MIN(Entradas!$E$113,BG509+AY510+AZ510+BA510+BB510-BC510-BD510),0)</f>
        <v>1</v>
      </c>
      <c r="BF510" s="170">
        <f>IF(Escenarios!$E$17&gt;0,MAX(0,BG509+AY510+AZ510+BA510+BB510-BC510-BD510-BE510-Constantes!$E$40),0)</f>
        <v>0</v>
      </c>
      <c r="BG510" s="170">
        <f t="shared" si="110"/>
        <v>2171.5325545649116</v>
      </c>
      <c r="BH510" s="170">
        <f>(Escenarios!$E$16*AK510+0.1*BC510)/(Escenarios!$E$19)</f>
        <v>5.8086531617245682E-3</v>
      </c>
      <c r="BI510" s="170">
        <f>IF(Escenarios!$E$17&gt;0,BF510/10/Escenarios!$E$19,AL510)</f>
        <v>0</v>
      </c>
      <c r="BJ510" s="170">
        <f>(Escenarios!$E$16*AT510+0.1*BD510)/(Escenarios!$E$19)</f>
        <v>1.5280780130919705E-2</v>
      </c>
      <c r="BK510" s="76">
        <f>BK509+(0.1*BD510)/(Escenarios!$E$19)-BL509</f>
        <v>50.716306560784503</v>
      </c>
      <c r="BL510" s="76">
        <f>MAX(0,(BK510-Constantes!$D$13)*(1-EXP(-Constantes!$D$23)))</f>
        <v>1.9374486881144414E-2</v>
      </c>
      <c r="BM510" s="76">
        <f t="shared" si="106"/>
        <v>0.83391831469272548</v>
      </c>
      <c r="BN510" s="76">
        <f t="shared" si="111"/>
        <v>0.83391831469272548</v>
      </c>
      <c r="BO510" s="76">
        <f>0.0526*BI510*Observaciones!$F509^1.218</f>
        <v>0</v>
      </c>
      <c r="BP510" s="76">
        <f>BO510*Constantes!$E$51</f>
        <v>0</v>
      </c>
      <c r="BQ510" s="76">
        <f t="shared" si="107"/>
        <v>0</v>
      </c>
      <c r="BR510" s="40"/>
    </row>
    <row r="511" spans="1:70">
      <c r="A511" s="147"/>
      <c r="B511" s="39"/>
      <c r="C511" s="75">
        <v>505</v>
      </c>
      <c r="D511" s="146">
        <f>ETo!$I510*((1-Constantes!$E$19)*ETo!$K510+ETo!$L510)</f>
        <v>2.8324165236988521</v>
      </c>
      <c r="E511" s="76">
        <f>MIN(D511*Constantes!$E$17,0.8*(N510+Observaciones!$F510-F511-M511-Constantes!$D$14))</f>
        <v>-1.1088089424859504E-2</v>
      </c>
      <c r="F511" s="76">
        <f>IF(Observaciones!$F510&gt;0.05*Constantes!$E$18,((Observaciones!$F510-0.05*Constantes!$E$18)^2)/(Observaciones!$F510+0.95*Constantes!$E$18),0)</f>
        <v>0</v>
      </c>
      <c r="G511" s="76">
        <f>IF(Escenarios!$E$11&gt;0,(F511*Escenarios!$E$16*10000)/1000,0)</f>
        <v>0</v>
      </c>
      <c r="H511" s="76">
        <f>IF(Escenarios!$E$11&gt;0,(Observaciones!$F510*Constantes!$E$29)/1000,0)</f>
        <v>0</v>
      </c>
      <c r="I511" s="76">
        <f>IF(Escenarios!$E$11&gt;0,(D511*Constantes!$E$29)/1000,0)</f>
        <v>28.32416523698852</v>
      </c>
      <c r="J511" s="76">
        <f>IF(Escenarios!$E$11&gt;0,MAX(0,G511+H511-I511),0)</f>
        <v>0</v>
      </c>
      <c r="K511" s="76">
        <f>IF(Escenarios!$E$11&gt;0,IF(J511&gt;Constantes!$E$30,1000*((J511-Constantes!$E$30)/(Escenarios!$E$16*10000)),0),F511)</f>
        <v>0</v>
      </c>
      <c r="L511" s="76">
        <f>IF(Escenarios!$E$11&gt;0,I511*1000/Escenarios!$E$16/10000+E511,E511)</f>
        <v>2.4157666993590392E-4</v>
      </c>
      <c r="M511" s="76">
        <f>MAX(0,N510+Observaciones!$F510-K511-Constantes!$D$13)</f>
        <v>0</v>
      </c>
      <c r="N511" s="76">
        <f>N510+Observaciones!$F510-K511-L511-M511-O510</f>
        <v>11.23589831154899</v>
      </c>
      <c r="O511" s="76">
        <f>MAX(0,(N511-Constantes!$D$14)*(1-EXP(-Constantes!$D$22)))</f>
        <v>0</v>
      </c>
      <c r="P511" s="170">
        <f>P510+(Entradas!$E$83*M511-Q510)/(800*Entradas!$D$25)</f>
        <v>0</v>
      </c>
      <c r="Q511" s="170">
        <f>8000*Entradas!$D$26*P511/Constantes!$E$45</f>
        <v>0</v>
      </c>
      <c r="R511" s="170">
        <f>IF(Escenarios!$E$14&gt;0,K511*Escenarios!$E$13/Escenarios!$E$14,0)</f>
        <v>0</v>
      </c>
      <c r="S511" s="170">
        <f>IF(Escenarios!$E$14&gt;0,Q511*Escenarios!$E$13/Escenarios!$E$14,0)</f>
        <v>0</v>
      </c>
      <c r="T511" s="170">
        <f>IF(Escenarios!$E$14&gt;0,Observaciones!$I510,0)</f>
        <v>0</v>
      </c>
      <c r="U511" s="170">
        <f>IF(Escenarios!$E$14&gt;0,MAX(0,Constantes!$E$36/((Z510+R511+S511+T511+Observaciones!$F510)^2)+Entradas!$E$77),0)</f>
        <v>0</v>
      </c>
      <c r="V511" s="146">
        <f>IF(ETo!D510&gt;0,ETo!I510*((1-Entradas!$E$81)*ETo!K510+ETo!L510),0)</f>
        <v>2.5564967487772163</v>
      </c>
      <c r="W511" s="170">
        <f>IF(Escenarios!$E$14&gt;0,MIN(V511*1,0.8*(Z510+R511+S511+T511+Observaciones!$F510-U511-Constantes!$E$35)),0)</f>
        <v>3.2768070923339112E-9</v>
      </c>
      <c r="X511" s="170">
        <f>IF(Escenarios!$E$14&gt;0,Observaciones!$J510,0)</f>
        <v>0</v>
      </c>
      <c r="Y511" s="170">
        <f>IF(Escenarios!$E$14&gt;0,MAX(0,Z510+R511+S511+T511+Observaciones!$F510-U511-W511-X511-Constantes!$E$33),0)</f>
        <v>0</v>
      </c>
      <c r="Z511" s="170">
        <f>Z510+R511+S511+T511+Observaciones!$F510-U511-W511-Y511</f>
        <v>41.250000000819199</v>
      </c>
      <c r="AA511" s="170">
        <f>IF(Escenarios!$E$14&gt;0,(Escenarios!$E$13*L511+Escenarios!$E$14*W511)/(Escenarios!$E$16),L511)</f>
        <v>2.1258786276044653E-4</v>
      </c>
      <c r="AB511" s="170">
        <f>IF(Escenarios!$E$14&gt;0,(Escenarios!$E$14*Y511)/(Escenarios!$E$16),K511)</f>
        <v>0</v>
      </c>
      <c r="AC511" s="170">
        <f>IF(Escenarios!$E$14&gt;0,(Escenarios!$E$13*M511+Escenarios!$E$14*U511)/(Escenarios!$E$16),M511)</f>
        <v>0</v>
      </c>
      <c r="AD511" s="76">
        <f t="shared" si="99"/>
        <v>130.60308409430803</v>
      </c>
      <c r="AE511" s="76">
        <f>MAX(0,(AD511-Constantes!$D$13)*(1-EXP(-Constantes!$D$23)))</f>
        <v>0.80651793346692902</v>
      </c>
      <c r="AF511" s="76">
        <f>AB511+O511*Escenarios!$E$13/Escenarios!$E$16+AE511</f>
        <v>0.80651793346692902</v>
      </c>
      <c r="AG511" s="76">
        <f>IF(Entradas!$E$91&gt;0,IF(AF511-Escenarios!$E$38&lt;=0,0,IF(AF511-Escenarios!$E$38&gt;Escenarios!$E$37,Escenarios!$E$37,AF511-Escenarios!$E$38)),0)</f>
        <v>0</v>
      </c>
      <c r="AH511" s="76">
        <f>AG511*Entradas!$E$99</f>
        <v>0</v>
      </c>
      <c r="AI511" s="76">
        <f>IF(Entradas!$E$91&gt;0,D511*Entradas!$D$23/Escenarios!$E$16,0)</f>
        <v>0</v>
      </c>
      <c r="AJ511" s="76">
        <f>IF(Entradas!$E$91&gt;0,Entradas!$D$24*Entradas!$D$22/Escenarios!$E$16,0)</f>
        <v>0</v>
      </c>
      <c r="AK511" s="76">
        <f t="shared" si="108"/>
        <v>2.1258786276044653E-4</v>
      </c>
      <c r="AL511" s="76">
        <f t="shared" si="109"/>
        <v>0</v>
      </c>
      <c r="AM511" s="76">
        <f t="shared" si="100"/>
        <v>0</v>
      </c>
      <c r="AN511" s="76">
        <f>MAX(0,O511*Escenarios!$E$13/Escenarios!$E$16-AM511)</f>
        <v>0</v>
      </c>
      <c r="AO511" s="76">
        <f>AM511+AN511-O511*Escenarios!$E$13/Escenarios!$E$16</f>
        <v>0</v>
      </c>
      <c r="AP511" s="76">
        <f t="shared" si="98"/>
        <v>0.80651793346692902</v>
      </c>
      <c r="AQ511" s="76">
        <f t="shared" si="101"/>
        <v>0</v>
      </c>
      <c r="AR511" s="76">
        <f t="shared" si="102"/>
        <v>0.80651793346692902</v>
      </c>
      <c r="AS511" s="76">
        <f t="shared" si="103"/>
        <v>0</v>
      </c>
      <c r="AT511" s="76">
        <f t="shared" si="104"/>
        <v>0</v>
      </c>
      <c r="AU511" s="76">
        <f t="shared" si="105"/>
        <v>48.75</v>
      </c>
      <c r="AV511" s="76">
        <f>MAX(0,(AU511-Constantes!$D$13)*(1-EXP(-Constantes!$D$24)))</f>
        <v>0</v>
      </c>
      <c r="AW511" s="170">
        <f>AW510+(Entradas!$E$112*AT511-AX510)/(800*Entradas!$D$25)</f>
        <v>0</v>
      </c>
      <c r="AX511" s="170">
        <f>8000*Entradas!$D$26*AW511/Constantes!$E$45</f>
        <v>0</v>
      </c>
      <c r="AY511" s="170">
        <f>IF(Escenarios!$E$17&gt;0,10*Escenarios!$E$16*AL511,0)</f>
        <v>0</v>
      </c>
      <c r="AZ511" s="170">
        <f>IF(Escenarios!$E$17&gt;0,10*Escenarios!$E$16*AX511,0)</f>
        <v>0</v>
      </c>
      <c r="BA511" s="170">
        <f>IF(Escenarios!$E$17&gt;0,0.001*Observaciones!$F510*Escenarios!$E$17,0)</f>
        <v>0</v>
      </c>
      <c r="BB511" s="170">
        <f>IF(Escenarios!$E$17&gt;0,Observaciones!$K510,0)</f>
        <v>0</v>
      </c>
      <c r="BC511" s="170">
        <f>IF(Escenarios!$E$17&gt;0,MIN(0.0005*ETo!$M510*Escenarios!$E$17*(BG510/Constantes!$E$40)^(2/3),BG510+AY511+AZ511+BA511+BB511),0)</f>
        <v>15.46437194573314</v>
      </c>
      <c r="BD511" s="170">
        <f>IF(Escenarios!$E$17&gt;0,MIN(Constantes!$E$39*(BG510/Constantes!$E$40)^(2/3),BG510+AY511+AZ511+BA511+BB511-BC511),0)</f>
        <v>37.872885018096518</v>
      </c>
      <c r="BE511" s="170">
        <f>IF(Escenarios!$E$17&gt;0,MIN(Entradas!$E$113,BG510+AY511+AZ511+BA511+BB511-BC511-BD511),0)</f>
        <v>1</v>
      </c>
      <c r="BF511" s="170">
        <f>IF(Escenarios!$E$17&gt;0,MAX(0,BG510+AY511+AZ511+BA511+BB511-BC511-BD511-BE511-Constantes!$E$40),0)</f>
        <v>0</v>
      </c>
      <c r="BG511" s="170">
        <f t="shared" si="110"/>
        <v>2117.1952976010821</v>
      </c>
      <c r="BH511" s="170">
        <f>(Escenarios!$E$16*AK511+0.1*BC511)/(Escenarios!$E$19)</f>
        <v>6.3475561915215303E-3</v>
      </c>
      <c r="BI511" s="170">
        <f>IF(Escenarios!$E$17&gt;0,BF511/10/Escenarios!$E$19,AL511)</f>
        <v>0</v>
      </c>
      <c r="BJ511" s="170">
        <f>(Escenarios!$E$16*AT511+0.1*BD511)/(Escenarios!$E$19)</f>
        <v>1.5028922626228777E-2</v>
      </c>
      <c r="BK511" s="76">
        <f>BK510+(0.1*BD511)/(Escenarios!$E$19)-BL510</f>
        <v>50.711960996529584</v>
      </c>
      <c r="BL511" s="76">
        <f>MAX(0,(BK511-Constantes!$D$13)*(1-EXP(-Constantes!$D$23)))</f>
        <v>1.9331669001507932E-2</v>
      </c>
      <c r="BM511" s="76">
        <f t="shared" si="106"/>
        <v>0.82584960246843697</v>
      </c>
      <c r="BN511" s="76">
        <f t="shared" si="111"/>
        <v>0.82584960246843697</v>
      </c>
      <c r="BO511" s="76">
        <f>0.0526*BI511*Observaciones!$F510^1.218</f>
        <v>0</v>
      </c>
      <c r="BP511" s="76">
        <f>BO511*Constantes!$E$51</f>
        <v>0</v>
      </c>
      <c r="BQ511" s="76">
        <f t="shared" si="107"/>
        <v>0</v>
      </c>
      <c r="BR511" s="40"/>
    </row>
    <row r="512" spans="1:70">
      <c r="A512" s="147"/>
      <c r="B512" s="39"/>
      <c r="C512" s="75">
        <v>506</v>
      </c>
      <c r="D512" s="146">
        <f>ETo!$I511*((1-Constantes!$E$19)*ETo!$K511+ETo!$L511)</f>
        <v>2.8410342470301813</v>
      </c>
      <c r="E512" s="76">
        <f>MIN(D512*Constantes!$E$17,0.8*(N511+Observaciones!$F511-F512-M512-Constantes!$D$14))</f>
        <v>-1.1281350760808096E-2</v>
      </c>
      <c r="F512" s="76">
        <f>IF(Observaciones!$F511&gt;0.05*Constantes!$E$18,((Observaciones!$F511-0.05*Constantes!$E$18)^2)/(Observaciones!$F511+0.95*Constantes!$E$18),0)</f>
        <v>0</v>
      </c>
      <c r="G512" s="76">
        <f>IF(Escenarios!$E$11&gt;0,(F512*Escenarios!$E$16*10000)/1000,0)</f>
        <v>0</v>
      </c>
      <c r="H512" s="76">
        <f>IF(Escenarios!$E$11&gt;0,(Observaciones!$F511*Constantes!$E$29)/1000,0)</f>
        <v>0</v>
      </c>
      <c r="I512" s="76">
        <f>IF(Escenarios!$E$11&gt;0,(D512*Constantes!$E$29)/1000,0)</f>
        <v>28.410342470301813</v>
      </c>
      <c r="J512" s="76">
        <f>IF(Escenarios!$E$11&gt;0,MAX(0,G512+H512-I512),0)</f>
        <v>0</v>
      </c>
      <c r="K512" s="76">
        <f>IF(Escenarios!$E$11&gt;0,IF(J512&gt;Constantes!$E$30,1000*((J512-Constantes!$E$30)/(Escenarios!$E$16*10000)),0),F512)</f>
        <v>0</v>
      </c>
      <c r="L512" s="76">
        <f>IF(Escenarios!$E$11&gt;0,I512*1000/Escenarios!$E$16/10000+E512,E512)</f>
        <v>8.2786227312630148E-5</v>
      </c>
      <c r="M512" s="76">
        <f>MAX(0,N511+Observaciones!$F511-K512-Constantes!$D$13)</f>
        <v>0</v>
      </c>
      <c r="N512" s="76">
        <f>N511+Observaciones!$F511-K512-L512-M512-O511</f>
        <v>11.235815525321676</v>
      </c>
      <c r="O512" s="76">
        <f>MAX(0,(N512-Constantes!$D$14)*(1-EXP(-Constantes!$D$22)))</f>
        <v>0</v>
      </c>
      <c r="P512" s="170">
        <f>P511+(Entradas!$E$83*M512-Q511)/(800*Entradas!$D$25)</f>
        <v>0</v>
      </c>
      <c r="Q512" s="170">
        <f>8000*Entradas!$D$26*P512/Constantes!$E$45</f>
        <v>0</v>
      </c>
      <c r="R512" s="170">
        <f>IF(Escenarios!$E$14&gt;0,K512*Escenarios!$E$13/Escenarios!$E$14,0)</f>
        <v>0</v>
      </c>
      <c r="S512" s="170">
        <f>IF(Escenarios!$E$14&gt;0,Q512*Escenarios!$E$13/Escenarios!$E$14,0)</f>
        <v>0</v>
      </c>
      <c r="T512" s="170">
        <f>IF(Escenarios!$E$14&gt;0,Observaciones!$I511,0)</f>
        <v>0</v>
      </c>
      <c r="U512" s="170">
        <f>IF(Escenarios!$E$14&gt;0,MAX(0,Constantes!$E$36/((Z511+R512+S512+T512+Observaciones!$F511)^2)+Entradas!$E$77),0)</f>
        <v>0</v>
      </c>
      <c r="V512" s="146">
        <f>IF(ETo!D511&gt;0,ETo!I511*((1-Entradas!$E$81)*ETo!K511+ETo!L511),0)</f>
        <v>2.5640802923306603</v>
      </c>
      <c r="W512" s="170">
        <f>IF(Escenarios!$E$14&gt;0,MIN(V512*1,0.8*(Z511+R512+S512+T512+Observaciones!$F511-U512-Constantes!$E$35)),0)</f>
        <v>6.5535914473002781E-10</v>
      </c>
      <c r="X512" s="170">
        <f>IF(Escenarios!$E$14&gt;0,Observaciones!$J511,0)</f>
        <v>0</v>
      </c>
      <c r="Y512" s="170">
        <f>IF(Escenarios!$E$14&gt;0,MAX(0,Z511+R512+S512+T512+Observaciones!$F511-U512-W512-X512-Constantes!$E$33),0)</f>
        <v>0</v>
      </c>
      <c r="Z512" s="170">
        <f>Z511+R512+S512+T512+Observaciones!$F511-U512-W512-Y512</f>
        <v>41.250000000163837</v>
      </c>
      <c r="AA512" s="170">
        <f>IF(Escenarios!$E$14&gt;0,(Escenarios!$E$13*L512+Escenarios!$E$14*W512)/(Escenarios!$E$16),L512)</f>
        <v>7.28519586782119E-5</v>
      </c>
      <c r="AB512" s="170">
        <f>IF(Escenarios!$E$14&gt;0,(Escenarios!$E$14*Y512)/(Escenarios!$E$16),K512)</f>
        <v>0</v>
      </c>
      <c r="AC512" s="170">
        <f>IF(Escenarios!$E$14&gt;0,(Escenarios!$E$13*M512+Escenarios!$E$14*U512)/(Escenarios!$E$16),M512)</f>
        <v>0</v>
      </c>
      <c r="AD512" s="76">
        <f t="shared" si="99"/>
        <v>129.79656616084111</v>
      </c>
      <c r="AE512" s="76">
        <f>MAX(0,(AD512-Constantes!$D$13)*(1-EXP(-Constantes!$D$23)))</f>
        <v>0.79857112017087395</v>
      </c>
      <c r="AF512" s="76">
        <f>AB512+O512*Escenarios!$E$13/Escenarios!$E$16+AE512</f>
        <v>0.79857112017087395</v>
      </c>
      <c r="AG512" s="76">
        <f>IF(Entradas!$E$91&gt;0,IF(AF512-Escenarios!$E$38&lt;=0,0,IF(AF512-Escenarios!$E$38&gt;Escenarios!$E$37,Escenarios!$E$37,AF512-Escenarios!$E$38)),0)</f>
        <v>0</v>
      </c>
      <c r="AH512" s="76">
        <f>AG512*Entradas!$E$99</f>
        <v>0</v>
      </c>
      <c r="AI512" s="76">
        <f>IF(Entradas!$E$91&gt;0,D512*Entradas!$D$23/Escenarios!$E$16,0)</f>
        <v>0</v>
      </c>
      <c r="AJ512" s="76">
        <f>IF(Entradas!$E$91&gt;0,Entradas!$D$24*Entradas!$D$22/Escenarios!$E$16,0)</f>
        <v>0</v>
      </c>
      <c r="AK512" s="76">
        <f t="shared" si="108"/>
        <v>7.28519586782119E-5</v>
      </c>
      <c r="AL512" s="76">
        <f t="shared" si="109"/>
        <v>0</v>
      </c>
      <c r="AM512" s="76">
        <f t="shared" si="100"/>
        <v>0</v>
      </c>
      <c r="AN512" s="76">
        <f>MAX(0,O512*Escenarios!$E$13/Escenarios!$E$16-AM512)</f>
        <v>0</v>
      </c>
      <c r="AO512" s="76">
        <f>AM512+AN512-O512*Escenarios!$E$13/Escenarios!$E$16</f>
        <v>0</v>
      </c>
      <c r="AP512" s="76">
        <f t="shared" si="98"/>
        <v>0.79857112017087395</v>
      </c>
      <c r="AQ512" s="76">
        <f t="shared" si="101"/>
        <v>0</v>
      </c>
      <c r="AR512" s="76">
        <f t="shared" si="102"/>
        <v>0.79857112017087395</v>
      </c>
      <c r="AS512" s="76">
        <f t="shared" si="103"/>
        <v>0</v>
      </c>
      <c r="AT512" s="76">
        <f t="shared" si="104"/>
        <v>0</v>
      </c>
      <c r="AU512" s="76">
        <f t="shared" si="105"/>
        <v>48.75</v>
      </c>
      <c r="AV512" s="76">
        <f>MAX(0,(AU512-Constantes!$D$13)*(1-EXP(-Constantes!$D$24)))</f>
        <v>0</v>
      </c>
      <c r="AW512" s="170">
        <f>AW511+(Entradas!$E$112*AT512-AX511)/(800*Entradas!$D$25)</f>
        <v>0</v>
      </c>
      <c r="AX512" s="170">
        <f>8000*Entradas!$D$26*AW512/Constantes!$E$45</f>
        <v>0</v>
      </c>
      <c r="AY512" s="170">
        <f>IF(Escenarios!$E$17&gt;0,10*Escenarios!$E$16*AL512,0)</f>
        <v>0</v>
      </c>
      <c r="AZ512" s="170">
        <f>IF(Escenarios!$E$17&gt;0,10*Escenarios!$E$16*AX512,0)</f>
        <v>0</v>
      </c>
      <c r="BA512" s="170">
        <f>IF(Escenarios!$E$17&gt;0,0.001*Observaciones!$F511*Escenarios!$E$17,0)</f>
        <v>0</v>
      </c>
      <c r="BB512" s="170">
        <f>IF(Escenarios!$E$17&gt;0,Observaciones!$K511,0)</f>
        <v>0</v>
      </c>
      <c r="BC512" s="170">
        <f>IF(Escenarios!$E$17&gt;0,MIN(0.0005*ETo!$M511*Escenarios!$E$17*(BG511/Constantes!$E$40)^(2/3),BG511+AY512+AZ512+BA512+BB512),0)</f>
        <v>15.253000695293212</v>
      </c>
      <c r="BD512" s="170">
        <f>IF(Escenarios!$E$17&gt;0,MIN(Constantes!$E$39*(BG511/Constantes!$E$40)^(2/3),BG511+AY512+AZ512+BA512+BB512-BC512),0)</f>
        <v>37.238436659499577</v>
      </c>
      <c r="BE512" s="170">
        <f>IF(Escenarios!$E$17&gt;0,MIN(Entradas!$E$113,BG511+AY512+AZ512+BA512+BB512-BC512-BD512),0)</f>
        <v>1</v>
      </c>
      <c r="BF512" s="170">
        <f>IF(Escenarios!$E$17&gt;0,MAX(0,BG511+AY512+AZ512+BA512+BB512-BC512-BD512-BE512-Constantes!$E$40),0)</f>
        <v>0</v>
      </c>
      <c r="BG512" s="170">
        <f t="shared" si="110"/>
        <v>2063.703860246289</v>
      </c>
      <c r="BH512" s="170">
        <f>(Escenarios!$E$16*AK512+0.1*BC512)/(Escenarios!$E$19)</f>
        <v>6.1250518222177542E-3</v>
      </c>
      <c r="BI512" s="170">
        <f>IF(Escenarios!$E$17&gt;0,BF512/10/Escenarios!$E$19,AL512)</f>
        <v>0</v>
      </c>
      <c r="BJ512" s="170">
        <f>(Escenarios!$E$16*AT512+0.1*BD512)/(Escenarios!$E$19)</f>
        <v>1.4777157404563325E-2</v>
      </c>
      <c r="BK512" s="76">
        <f>BK511+(0.1*BD512)/(Escenarios!$E$19)-BL511</f>
        <v>50.70740648493264</v>
      </c>
      <c r="BL512" s="76">
        <f>MAX(0,(BK512-Constantes!$D$13)*(1-EXP(-Constantes!$D$23)))</f>
        <v>1.9286792313943105E-2</v>
      </c>
      <c r="BM512" s="76">
        <f t="shared" si="106"/>
        <v>0.8178579124848171</v>
      </c>
      <c r="BN512" s="76">
        <f t="shared" si="111"/>
        <v>0.8178579124848171</v>
      </c>
      <c r="BO512" s="76">
        <f>0.0526*BI512*Observaciones!$F511^1.218</f>
        <v>0</v>
      </c>
      <c r="BP512" s="76">
        <f>BO512*Constantes!$E$51</f>
        <v>0</v>
      </c>
      <c r="BQ512" s="76">
        <f t="shared" si="107"/>
        <v>0</v>
      </c>
      <c r="BR512" s="40"/>
    </row>
    <row r="513" spans="1:70">
      <c r="A513" s="147"/>
      <c r="B513" s="39"/>
      <c r="C513" s="75">
        <v>507</v>
      </c>
      <c r="D513" s="146">
        <f>ETo!$I512*((1-Constantes!$E$19)*ETo!$K512+ETo!$L512)</f>
        <v>2.7703501661964061</v>
      </c>
      <c r="E513" s="76">
        <f>MIN(D513*Constantes!$E$17,0.8*(N512+Observaciones!$F512-F513-M513-Constantes!$D$14))</f>
        <v>-1.1347579742658809E-2</v>
      </c>
      <c r="F513" s="76">
        <f>IF(Observaciones!$F512&gt;0.05*Constantes!$E$18,((Observaciones!$F512-0.05*Constantes!$E$18)^2)/(Observaciones!$F512+0.95*Constantes!$E$18),0)</f>
        <v>0</v>
      </c>
      <c r="G513" s="76">
        <f>IF(Escenarios!$E$11&gt;0,(F513*Escenarios!$E$16*10000)/1000,0)</f>
        <v>0</v>
      </c>
      <c r="H513" s="76">
        <f>IF(Escenarios!$E$11&gt;0,(Observaciones!$F512*Constantes!$E$29)/1000,0)</f>
        <v>0</v>
      </c>
      <c r="I513" s="76">
        <f>IF(Escenarios!$E$11&gt;0,(D513*Constantes!$E$29)/1000,0)</f>
        <v>27.703501661964058</v>
      </c>
      <c r="J513" s="76">
        <f>IF(Escenarios!$E$11&gt;0,MAX(0,G513+H513-I513),0)</f>
        <v>0</v>
      </c>
      <c r="K513" s="76">
        <f>IF(Escenarios!$E$11&gt;0,IF(J513&gt;Constantes!$E$30,1000*((J513-Constantes!$E$30)/(Escenarios!$E$16*10000)),0),F513)</f>
        <v>0</v>
      </c>
      <c r="L513" s="76">
        <f>IF(Escenarios!$E$11&gt;0,I513*1000/Escenarios!$E$16/10000+E513,E513)</f>
        <v>-2.6617907787318713E-4</v>
      </c>
      <c r="M513" s="76">
        <f>MAX(0,N512+Observaciones!$F512-K513-Constantes!$D$13)</f>
        <v>0</v>
      </c>
      <c r="N513" s="76">
        <f>N512+Observaciones!$F512-K513-L513-M513-O512</f>
        <v>11.236081704399549</v>
      </c>
      <c r="O513" s="76">
        <f>MAX(0,(N513-Constantes!$D$14)*(1-EXP(-Constantes!$D$22)))</f>
        <v>0</v>
      </c>
      <c r="P513" s="170">
        <f>P512+(Entradas!$E$83*M513-Q512)/(800*Entradas!$D$25)</f>
        <v>0</v>
      </c>
      <c r="Q513" s="170">
        <f>8000*Entradas!$D$26*P513/Constantes!$E$45</f>
        <v>0</v>
      </c>
      <c r="R513" s="170">
        <f>IF(Escenarios!$E$14&gt;0,K513*Escenarios!$E$13/Escenarios!$E$14,0)</f>
        <v>0</v>
      </c>
      <c r="S513" s="170">
        <f>IF(Escenarios!$E$14&gt;0,Q513*Escenarios!$E$13/Escenarios!$E$14,0)</f>
        <v>0</v>
      </c>
      <c r="T513" s="170">
        <f>IF(Escenarios!$E$14&gt;0,Observaciones!$I512,0)</f>
        <v>0</v>
      </c>
      <c r="U513" s="170">
        <f>IF(Escenarios!$E$14&gt;0,MAX(0,Constantes!$E$36/((Z512+R513+S513+T513+Observaciones!$F512)^2)+Entradas!$E$77),0)</f>
        <v>0</v>
      </c>
      <c r="V513" s="146">
        <f>IF(ETo!D512&gt;0,ETo!I512*((1-Entradas!$E$81)*ETo!K512+ETo!L512),0)</f>
        <v>2.499186639760727</v>
      </c>
      <c r="W513" s="170">
        <f>IF(Escenarios!$E$14&gt;0,MIN(V513*1,0.8*(Z512+R513+S513+T513+Observaciones!$F512-U513-Constantes!$E$35)),0)</f>
        <v>1.3106955520925113E-10</v>
      </c>
      <c r="X513" s="170">
        <f>IF(Escenarios!$E$14&gt;0,Observaciones!$J512,0)</f>
        <v>0</v>
      </c>
      <c r="Y513" s="170">
        <f>IF(Escenarios!$E$14&gt;0,MAX(0,Z512+R513+S513+T513+Observaciones!$F512-U513-W513-X513-Constantes!$E$33),0)</f>
        <v>0</v>
      </c>
      <c r="Z513" s="170">
        <f>Z512+R513+S513+T513+Observaciones!$F512-U513-W513-Y513</f>
        <v>41.25000000003277</v>
      </c>
      <c r="AA513" s="170">
        <f>IF(Escenarios!$E$14&gt;0,(Escenarios!$E$13*L513+Escenarios!$E$14*W513)/(Escenarios!$E$16),L513)</f>
        <v>-2.3423757280005805E-4</v>
      </c>
      <c r="AB513" s="170">
        <f>IF(Escenarios!$E$14&gt;0,(Escenarios!$E$14*Y513)/(Escenarios!$E$16),K513)</f>
        <v>0</v>
      </c>
      <c r="AC513" s="170">
        <f>IF(Escenarios!$E$14&gt;0,(Escenarios!$E$13*M513+Escenarios!$E$14*U513)/(Escenarios!$E$16),M513)</f>
        <v>0</v>
      </c>
      <c r="AD513" s="76">
        <f t="shared" si="99"/>
        <v>128.99799504067025</v>
      </c>
      <c r="AE513" s="76">
        <f>MAX(0,(AD513-Constantes!$D$13)*(1-EXP(-Constantes!$D$23)))</f>
        <v>0.79070260871900844</v>
      </c>
      <c r="AF513" s="76">
        <f>AB513+O513*Escenarios!$E$13/Escenarios!$E$16+AE513</f>
        <v>0.79070260871900844</v>
      </c>
      <c r="AG513" s="76">
        <f>IF(Entradas!$E$91&gt;0,IF(AF513-Escenarios!$E$38&lt;=0,0,IF(AF513-Escenarios!$E$38&gt;Escenarios!$E$37,Escenarios!$E$37,AF513-Escenarios!$E$38)),0)</f>
        <v>0</v>
      </c>
      <c r="AH513" s="76">
        <f>AG513*Entradas!$E$99</f>
        <v>0</v>
      </c>
      <c r="AI513" s="76">
        <f>IF(Entradas!$E$91&gt;0,D513*Entradas!$D$23/Escenarios!$E$16,0)</f>
        <v>0</v>
      </c>
      <c r="AJ513" s="76">
        <f>IF(Entradas!$E$91&gt;0,Entradas!$D$24*Entradas!$D$22/Escenarios!$E$16,0)</f>
        <v>0</v>
      </c>
      <c r="AK513" s="76">
        <f t="shared" si="108"/>
        <v>-2.3423757280005805E-4</v>
      </c>
      <c r="AL513" s="76">
        <f t="shared" si="109"/>
        <v>0</v>
      </c>
      <c r="AM513" s="76">
        <f t="shared" si="100"/>
        <v>0</v>
      </c>
      <c r="AN513" s="76">
        <f>MAX(0,O513*Escenarios!$E$13/Escenarios!$E$16-AM513)</f>
        <v>0</v>
      </c>
      <c r="AO513" s="76">
        <f>AM513+AN513-O513*Escenarios!$E$13/Escenarios!$E$16</f>
        <v>0</v>
      </c>
      <c r="AP513" s="76">
        <f t="shared" si="98"/>
        <v>0.79070260871900844</v>
      </c>
      <c r="AQ513" s="76">
        <f t="shared" si="101"/>
        <v>0</v>
      </c>
      <c r="AR513" s="76">
        <f t="shared" si="102"/>
        <v>0.79070260871900844</v>
      </c>
      <c r="AS513" s="76">
        <f t="shared" si="103"/>
        <v>0</v>
      </c>
      <c r="AT513" s="76">
        <f t="shared" si="104"/>
        <v>0</v>
      </c>
      <c r="AU513" s="76">
        <f t="shared" si="105"/>
        <v>48.75</v>
      </c>
      <c r="AV513" s="76">
        <f>MAX(0,(AU513-Constantes!$D$13)*(1-EXP(-Constantes!$D$24)))</f>
        <v>0</v>
      </c>
      <c r="AW513" s="170">
        <f>AW512+(Entradas!$E$112*AT513-AX512)/(800*Entradas!$D$25)</f>
        <v>0</v>
      </c>
      <c r="AX513" s="170">
        <f>8000*Entradas!$D$26*AW513/Constantes!$E$45</f>
        <v>0</v>
      </c>
      <c r="AY513" s="170">
        <f>IF(Escenarios!$E$17&gt;0,10*Escenarios!$E$16*AL513,0)</f>
        <v>0</v>
      </c>
      <c r="AZ513" s="170">
        <f>IF(Escenarios!$E$17&gt;0,10*Escenarios!$E$16*AX513,0)</f>
        <v>0</v>
      </c>
      <c r="BA513" s="170">
        <f>IF(Escenarios!$E$17&gt;0,0.001*Observaciones!$F512*Escenarios!$E$17,0)</f>
        <v>0</v>
      </c>
      <c r="BB513" s="170">
        <f>IF(Escenarios!$E$17&gt;0,Observaciones!$K512,0)</f>
        <v>0</v>
      </c>
      <c r="BC513" s="170">
        <f>IF(Escenarios!$E$17&gt;0,MIN(0.0005*ETo!$M512*Escenarios!$E$17*(BG512/Constantes!$E$40)^(2/3),BG512+AY513+AZ513+BA513+BB513),0)</f>
        <v>14.629843216536354</v>
      </c>
      <c r="BD513" s="170">
        <f>IF(Escenarios!$E$17&gt;0,MIN(Constantes!$E$39*(BG512/Constantes!$E$40)^(2/3),BG512+AY513+AZ513+BA513+BB513-BC513),0)</f>
        <v>36.608540148957246</v>
      </c>
      <c r="BE513" s="170">
        <f>IF(Escenarios!$E$17&gt;0,MIN(Entradas!$E$113,BG512+AY513+AZ513+BA513+BB513-BC513-BD513),0)</f>
        <v>1</v>
      </c>
      <c r="BF513" s="170">
        <f>IF(Escenarios!$E$17&gt;0,MAX(0,BG512+AY513+AZ513+BA513+BB513-BC513-BD513-BE513-Constantes!$E$40),0)</f>
        <v>0</v>
      </c>
      <c r="BG513" s="170">
        <f t="shared" si="110"/>
        <v>2011.4654768807954</v>
      </c>
      <c r="BH513" s="170">
        <f>(Escenarios!$E$16*AK513+0.1*BC513)/(Escenarios!$E$19)</f>
        <v>5.5731147954508767E-3</v>
      </c>
      <c r="BI513" s="170">
        <f>IF(Escenarios!$E$17&gt;0,BF513/10/Escenarios!$E$19,AL513)</f>
        <v>0</v>
      </c>
      <c r="BJ513" s="170">
        <f>(Escenarios!$E$16*AT513+0.1*BD513)/(Escenarios!$E$19)</f>
        <v>1.4527198471808431E-2</v>
      </c>
      <c r="BK513" s="76">
        <f>BK512+(0.1*BD513)/(Escenarios!$E$19)-BL512</f>
        <v>50.702646891090509</v>
      </c>
      <c r="BL513" s="76">
        <f>MAX(0,(BK513-Constantes!$D$13)*(1-EXP(-Constantes!$D$23)))</f>
        <v>1.9239894902169655E-2</v>
      </c>
      <c r="BM513" s="76">
        <f t="shared" si="106"/>
        <v>0.80994250362117814</v>
      </c>
      <c r="BN513" s="76">
        <f t="shared" si="111"/>
        <v>0.80994250362117814</v>
      </c>
      <c r="BO513" s="76">
        <f>0.0526*BI513*Observaciones!$F512^1.218</f>
        <v>0</v>
      </c>
      <c r="BP513" s="76">
        <f>BO513*Constantes!$E$51</f>
        <v>0</v>
      </c>
      <c r="BQ513" s="76">
        <f t="shared" si="107"/>
        <v>0</v>
      </c>
      <c r="BR513" s="40"/>
    </row>
    <row r="514" spans="1:70">
      <c r="A514" s="147"/>
      <c r="B514" s="39"/>
      <c r="C514" s="75">
        <v>508</v>
      </c>
      <c r="D514" s="146">
        <f>ETo!$I513*((1-Constantes!$E$19)*ETo!$K513+ETo!$L513)</f>
        <v>2.7039939180111272</v>
      </c>
      <c r="E514" s="76">
        <f>MIN(D514*Constantes!$E$17,0.8*(N513+Observaciones!$F513-F514-M514-Constantes!$D$14))</f>
        <v>-1.1134636480360883E-2</v>
      </c>
      <c r="F514" s="76">
        <f>IF(Observaciones!$F513&gt;0.05*Constantes!$E$18,((Observaciones!$F513-0.05*Constantes!$E$18)^2)/(Observaciones!$F513+0.95*Constantes!$E$18),0)</f>
        <v>0</v>
      </c>
      <c r="G514" s="76">
        <f>IF(Escenarios!$E$11&gt;0,(F514*Escenarios!$E$16*10000)/1000,0)</f>
        <v>0</v>
      </c>
      <c r="H514" s="76">
        <f>IF(Escenarios!$E$11&gt;0,(Observaciones!$F513*Constantes!$E$29)/1000,0)</f>
        <v>0</v>
      </c>
      <c r="I514" s="76">
        <f>IF(Escenarios!$E$11&gt;0,(D514*Constantes!$E$29)/1000,0)</f>
        <v>27.039939180111272</v>
      </c>
      <c r="J514" s="76">
        <f>IF(Escenarios!$E$11&gt;0,MAX(0,G514+H514-I514),0)</f>
        <v>0</v>
      </c>
      <c r="K514" s="76">
        <f>IF(Escenarios!$E$11&gt;0,IF(J514&gt;Constantes!$E$30,1000*((J514-Constantes!$E$30)/(Escenarios!$E$16*10000)),0),F514)</f>
        <v>0</v>
      </c>
      <c r="L514" s="76">
        <f>IF(Escenarios!$E$11&gt;0,I514*1000/Escenarios!$E$16/10000+E514,E514)</f>
        <v>-3.1866080831637403E-4</v>
      </c>
      <c r="M514" s="76">
        <f>MAX(0,N513+Observaciones!$F513-K514-Constantes!$D$13)</f>
        <v>0</v>
      </c>
      <c r="N514" s="76">
        <f>N513+Observaciones!$F513-K514-L514-M514-O513</f>
        <v>11.236400365207865</v>
      </c>
      <c r="O514" s="76">
        <f>MAX(0,(N514-Constantes!$D$14)*(1-EXP(-Constantes!$D$22)))</f>
        <v>0</v>
      </c>
      <c r="P514" s="170">
        <f>P513+(Entradas!$E$83*M514-Q513)/(800*Entradas!$D$25)</f>
        <v>0</v>
      </c>
      <c r="Q514" s="170">
        <f>8000*Entradas!$D$26*P514/Constantes!$E$45</f>
        <v>0</v>
      </c>
      <c r="R514" s="170">
        <f>IF(Escenarios!$E$14&gt;0,K514*Escenarios!$E$13/Escenarios!$E$14,0)</f>
        <v>0</v>
      </c>
      <c r="S514" s="170">
        <f>IF(Escenarios!$E$14&gt;0,Q514*Escenarios!$E$13/Escenarios!$E$14,0)</f>
        <v>0</v>
      </c>
      <c r="T514" s="170">
        <f>IF(Escenarios!$E$14&gt;0,Observaciones!$I513,0)</f>
        <v>0</v>
      </c>
      <c r="U514" s="170">
        <f>IF(Escenarios!$E$14&gt;0,MAX(0,Constantes!$E$36/((Z513+R514+S514+T514+Observaciones!$F513)^2)+Entradas!$E$77),0)</f>
        <v>0</v>
      </c>
      <c r="V514" s="146">
        <f>IF(ETo!D513&gt;0,ETo!I513*((1-Entradas!$E$81)*ETo!K513+ETo!L513),0)</f>
        <v>2.4383961811407007</v>
      </c>
      <c r="W514" s="170">
        <f>IF(Escenarios!$E$14&gt;0,MIN(V514*1,0.8*(Z513+R514+S514+T514+Observaciones!$F513-U514-Constantes!$E$35)),0)</f>
        <v>2.6216184778604659E-11</v>
      </c>
      <c r="X514" s="170">
        <f>IF(Escenarios!$E$14&gt;0,Observaciones!$J513,0)</f>
        <v>0</v>
      </c>
      <c r="Y514" s="170">
        <f>IF(Escenarios!$E$14&gt;0,MAX(0,Z513+R514+S514+T514+Observaciones!$F513-U514-W514-X514-Constantes!$E$33),0)</f>
        <v>0</v>
      </c>
      <c r="Z514" s="170">
        <f>Z513+R514+S514+T514+Observaciones!$F513-U514-W514-Y514</f>
        <v>41.250000000006551</v>
      </c>
      <c r="AA514" s="170">
        <f>IF(Escenarios!$E$14&gt;0,(Escenarios!$E$13*L514+Escenarios!$E$14*W514)/(Escenarios!$E$16),L514)</f>
        <v>-2.8042150817246699E-4</v>
      </c>
      <c r="AB514" s="170">
        <f>IF(Escenarios!$E$14&gt;0,(Escenarios!$E$14*Y514)/(Escenarios!$E$16),K514)</f>
        <v>0</v>
      </c>
      <c r="AC514" s="170">
        <f>IF(Escenarios!$E$14&gt;0,(Escenarios!$E$13*M514+Escenarios!$E$14*U514)/(Escenarios!$E$16),M514)</f>
        <v>0</v>
      </c>
      <c r="AD514" s="76">
        <f t="shared" si="99"/>
        <v>128.20729243195123</v>
      </c>
      <c r="AE514" s="76">
        <f>MAX(0,(AD514-Constantes!$D$13)*(1-EXP(-Constantes!$D$23)))</f>
        <v>0.7829116275846113</v>
      </c>
      <c r="AF514" s="76">
        <f>AB514+O514*Escenarios!$E$13/Escenarios!$E$16+AE514</f>
        <v>0.7829116275846113</v>
      </c>
      <c r="AG514" s="76">
        <f>IF(Entradas!$E$91&gt;0,IF(AF514-Escenarios!$E$38&lt;=0,0,IF(AF514-Escenarios!$E$38&gt;Escenarios!$E$37,Escenarios!$E$37,AF514-Escenarios!$E$38)),0)</f>
        <v>0</v>
      </c>
      <c r="AH514" s="76">
        <f>AG514*Entradas!$E$99</f>
        <v>0</v>
      </c>
      <c r="AI514" s="76">
        <f>IF(Entradas!$E$91&gt;0,D514*Entradas!$D$23/Escenarios!$E$16,0)</f>
        <v>0</v>
      </c>
      <c r="AJ514" s="76">
        <f>IF(Entradas!$E$91&gt;0,Entradas!$D$24*Entradas!$D$22/Escenarios!$E$16,0)</f>
        <v>0</v>
      </c>
      <c r="AK514" s="76">
        <f t="shared" si="108"/>
        <v>-2.8042150817246699E-4</v>
      </c>
      <c r="AL514" s="76">
        <f t="shared" si="109"/>
        <v>0</v>
      </c>
      <c r="AM514" s="76">
        <f t="shared" si="100"/>
        <v>0</v>
      </c>
      <c r="AN514" s="76">
        <f>MAX(0,O514*Escenarios!$E$13/Escenarios!$E$16-AM514)</f>
        <v>0</v>
      </c>
      <c r="AO514" s="76">
        <f>AM514+AN514-O514*Escenarios!$E$13/Escenarios!$E$16</f>
        <v>0</v>
      </c>
      <c r="AP514" s="76">
        <f t="shared" si="98"/>
        <v>0.7829116275846113</v>
      </c>
      <c r="AQ514" s="76">
        <f t="shared" si="101"/>
        <v>0</v>
      </c>
      <c r="AR514" s="76">
        <f t="shared" si="102"/>
        <v>0.7829116275846113</v>
      </c>
      <c r="AS514" s="76">
        <f t="shared" si="103"/>
        <v>0</v>
      </c>
      <c r="AT514" s="76">
        <f t="shared" si="104"/>
        <v>0</v>
      </c>
      <c r="AU514" s="76">
        <f t="shared" si="105"/>
        <v>48.75</v>
      </c>
      <c r="AV514" s="76">
        <f>MAX(0,(AU514-Constantes!$D$13)*(1-EXP(-Constantes!$D$24)))</f>
        <v>0</v>
      </c>
      <c r="AW514" s="170">
        <f>AW513+(Entradas!$E$112*AT514-AX513)/(800*Entradas!$D$25)</f>
        <v>0</v>
      </c>
      <c r="AX514" s="170">
        <f>8000*Entradas!$D$26*AW514/Constantes!$E$45</f>
        <v>0</v>
      </c>
      <c r="AY514" s="170">
        <f>IF(Escenarios!$E$17&gt;0,10*Escenarios!$E$16*AL514,0)</f>
        <v>0</v>
      </c>
      <c r="AZ514" s="170">
        <f>IF(Escenarios!$E$17&gt;0,10*Escenarios!$E$16*AX514,0)</f>
        <v>0</v>
      </c>
      <c r="BA514" s="170">
        <f>IF(Escenarios!$E$17&gt;0,0.001*Observaciones!$F513*Escenarios!$E$17,0)</f>
        <v>0</v>
      </c>
      <c r="BB514" s="170">
        <f>IF(Escenarios!$E$17&gt;0,Observaciones!$K513,0)</f>
        <v>0</v>
      </c>
      <c r="BC514" s="170">
        <f>IF(Escenarios!$E$17&gt;0,MIN(0.0005*ETo!$M513*Escenarios!$E$17*(BG513/Constantes!$E$40)^(2/3),BG513+AY514+AZ514+BA514+BB514),0)</f>
        <v>14.044004691966448</v>
      </c>
      <c r="BD514" s="170">
        <f>IF(Escenarios!$E$17&gt;0,MIN(Constantes!$E$39*(BG513/Constantes!$E$40)^(2/3),BG513+AY514+AZ514+BA514+BB514-BC514),0)</f>
        <v>35.988124570997499</v>
      </c>
      <c r="BE514" s="170">
        <f>IF(Escenarios!$E$17&gt;0,MIN(Entradas!$E$113,BG513+AY514+AZ514+BA514+BB514-BC514-BD514),0)</f>
        <v>1</v>
      </c>
      <c r="BF514" s="170">
        <f>IF(Escenarios!$E$17&gt;0,MAX(0,BG513+AY514+AZ514+BA514+BB514-BC514-BD514-BE514-Constantes!$E$40),0)</f>
        <v>0</v>
      </c>
      <c r="BG514" s="170">
        <f t="shared" si="110"/>
        <v>1960.4333476178315</v>
      </c>
      <c r="BH514" s="170">
        <f>(Escenarios!$E$16*AK514+0.1*BC514)/(Escenarios!$E$19)</f>
        <v>5.2948217942600326E-3</v>
      </c>
      <c r="BI514" s="170">
        <f>IF(Escenarios!$E$17&gt;0,BF514/10/Escenarios!$E$19,AL514)</f>
        <v>0</v>
      </c>
      <c r="BJ514" s="170">
        <f>(Escenarios!$E$16*AT514+0.1*BD514)/(Escenarios!$E$19)</f>
        <v>1.4281001813887898E-2</v>
      </c>
      <c r="BK514" s="76">
        <f>BK513+(0.1*BD514)/(Escenarios!$E$19)-BL513</f>
        <v>50.697687998002223</v>
      </c>
      <c r="BL514" s="76">
        <f>MAX(0,(BK514-Constantes!$D$13)*(1-EXP(-Constantes!$D$23)))</f>
        <v>1.9191033747454459E-2</v>
      </c>
      <c r="BM514" s="76">
        <f t="shared" si="106"/>
        <v>0.80210266133206576</v>
      </c>
      <c r="BN514" s="76">
        <f t="shared" si="111"/>
        <v>0.80210266133206576</v>
      </c>
      <c r="BO514" s="76">
        <f>0.0526*BI514*Observaciones!$F513^1.218</f>
        <v>0</v>
      </c>
      <c r="BP514" s="76">
        <f>BO514*Constantes!$E$51</f>
        <v>0</v>
      </c>
      <c r="BQ514" s="76">
        <f t="shared" si="107"/>
        <v>0</v>
      </c>
      <c r="BR514" s="40"/>
    </row>
    <row r="515" spans="1:70">
      <c r="A515" s="147"/>
      <c r="B515" s="39"/>
      <c r="C515" s="75">
        <v>509</v>
      </c>
      <c r="D515" s="146">
        <f>ETo!$I514*((1-Constantes!$E$19)*ETo!$K514+ETo!$L514)</f>
        <v>2.6759942819332236</v>
      </c>
      <c r="E515" s="76">
        <f>MIN(D515*Constantes!$E$17,0.8*(N514+Observaciones!$F514-F515-M515-Constantes!$D$14))</f>
        <v>-1.0879707833707642E-2</v>
      </c>
      <c r="F515" s="76">
        <f>IF(Observaciones!$F514&gt;0.05*Constantes!$E$18,((Observaciones!$F514-0.05*Constantes!$E$18)^2)/(Observaciones!$F514+0.95*Constantes!$E$18),0)</f>
        <v>0</v>
      </c>
      <c r="G515" s="76">
        <f>IF(Escenarios!$E$11&gt;0,(F515*Escenarios!$E$16*10000)/1000,0)</f>
        <v>0</v>
      </c>
      <c r="H515" s="76">
        <f>IF(Escenarios!$E$11&gt;0,(Observaciones!$F514*Constantes!$E$29)/1000,0)</f>
        <v>0</v>
      </c>
      <c r="I515" s="76">
        <f>IF(Escenarios!$E$11&gt;0,(D515*Constantes!$E$29)/1000,0)</f>
        <v>26.759942819332235</v>
      </c>
      <c r="J515" s="76">
        <f>IF(Escenarios!$E$11&gt;0,MAX(0,G515+H515-I515),0)</f>
        <v>0</v>
      </c>
      <c r="K515" s="76">
        <f>IF(Escenarios!$E$11&gt;0,IF(J515&gt;Constantes!$E$30,1000*((J515-Constantes!$E$30)/(Escenarios!$E$16*10000)),0),F515)</f>
        <v>0</v>
      </c>
      <c r="L515" s="76">
        <f>IF(Escenarios!$E$11&gt;0,I515*1000/Escenarios!$E$16/10000+E515,E515)</f>
        <v>-1.7573070597474809E-4</v>
      </c>
      <c r="M515" s="76">
        <f>MAX(0,N514+Observaciones!$F514-K515-Constantes!$D$13)</f>
        <v>0</v>
      </c>
      <c r="N515" s="76">
        <f>N514+Observaciones!$F514-K515-L515-M515-O514</f>
        <v>11.23657609591384</v>
      </c>
      <c r="O515" s="76">
        <f>MAX(0,(N515-Constantes!$D$14)*(1-EXP(-Constantes!$D$22)))</f>
        <v>0</v>
      </c>
      <c r="P515" s="170">
        <f>P514+(Entradas!$E$83*M515-Q514)/(800*Entradas!$D$25)</f>
        <v>0</v>
      </c>
      <c r="Q515" s="170">
        <f>8000*Entradas!$D$26*P515/Constantes!$E$45</f>
        <v>0</v>
      </c>
      <c r="R515" s="170">
        <f>IF(Escenarios!$E$14&gt;0,K515*Escenarios!$E$13/Escenarios!$E$14,0)</f>
        <v>0</v>
      </c>
      <c r="S515" s="170">
        <f>IF(Escenarios!$E$14&gt;0,Q515*Escenarios!$E$13/Escenarios!$E$14,0)</f>
        <v>0</v>
      </c>
      <c r="T515" s="170">
        <f>IF(Escenarios!$E$14&gt;0,Observaciones!$I514,0)</f>
        <v>0</v>
      </c>
      <c r="U515" s="170">
        <f>IF(Escenarios!$E$14&gt;0,MAX(0,Constantes!$E$36/((Z514+R515+S515+T515+Observaciones!$F514)^2)+Entradas!$E$77),0)</f>
        <v>0</v>
      </c>
      <c r="V515" s="146">
        <f>IF(ETo!D514&gt;0,ETo!I514*((1-Entradas!$E$81)*ETo!K514+ETo!L514),0)</f>
        <v>2.4125957000120719</v>
      </c>
      <c r="W515" s="170">
        <f>IF(Escenarios!$E$14&gt;0,MIN(V515*1,0.8*(Z514+R515+S515+T515+Observaciones!$F514-U515-Constantes!$E$35)),0)</f>
        <v>5.2409632189664991E-12</v>
      </c>
      <c r="X515" s="170">
        <f>IF(Escenarios!$E$14&gt;0,Observaciones!$J514,0)</f>
        <v>0</v>
      </c>
      <c r="Y515" s="170">
        <f>IF(Escenarios!$E$14&gt;0,MAX(0,Z514+R515+S515+T515+Observaciones!$F514-U515-W515-X515-Constantes!$E$33),0)</f>
        <v>0</v>
      </c>
      <c r="Z515" s="170">
        <f>Z514+R515+S515+T515+Observaciones!$F514-U515-W515-Y515</f>
        <v>41.250000000001307</v>
      </c>
      <c r="AA515" s="170">
        <f>IF(Escenarios!$E$14&gt;0,(Escenarios!$E$13*L515+Escenarios!$E$14*W515)/(Escenarios!$E$16),L515)</f>
        <v>-1.5464302062886273E-4</v>
      </c>
      <c r="AB515" s="170">
        <f>IF(Escenarios!$E$14&gt;0,(Escenarios!$E$14*Y515)/(Escenarios!$E$16),K515)</f>
        <v>0</v>
      </c>
      <c r="AC515" s="170">
        <f>IF(Escenarios!$E$14&gt;0,(Escenarios!$E$13*M515+Escenarios!$E$14*U515)/(Escenarios!$E$16),M515)</f>
        <v>0</v>
      </c>
      <c r="AD515" s="76">
        <f t="shared" si="99"/>
        <v>127.42438080436662</v>
      </c>
      <c r="AE515" s="76">
        <f>MAX(0,(AD515-Constantes!$D$13)*(1-EXP(-Constantes!$D$23)))</f>
        <v>0.7751974128429987</v>
      </c>
      <c r="AF515" s="76">
        <f>AB515+O515*Escenarios!$E$13/Escenarios!$E$16+AE515</f>
        <v>0.7751974128429987</v>
      </c>
      <c r="AG515" s="76">
        <f>IF(Entradas!$E$91&gt;0,IF(AF515-Escenarios!$E$38&lt;=0,0,IF(AF515-Escenarios!$E$38&gt;Escenarios!$E$37,Escenarios!$E$37,AF515-Escenarios!$E$38)),0)</f>
        <v>0</v>
      </c>
      <c r="AH515" s="76">
        <f>AG515*Entradas!$E$99</f>
        <v>0</v>
      </c>
      <c r="AI515" s="76">
        <f>IF(Entradas!$E$91&gt;0,D515*Entradas!$D$23/Escenarios!$E$16,0)</f>
        <v>0</v>
      </c>
      <c r="AJ515" s="76">
        <f>IF(Entradas!$E$91&gt;0,Entradas!$D$24*Entradas!$D$22/Escenarios!$E$16,0)</f>
        <v>0</v>
      </c>
      <c r="AK515" s="76">
        <f t="shared" si="108"/>
        <v>-1.5464302062886273E-4</v>
      </c>
      <c r="AL515" s="76">
        <f t="shared" si="109"/>
        <v>0</v>
      </c>
      <c r="AM515" s="76">
        <f t="shared" si="100"/>
        <v>0</v>
      </c>
      <c r="AN515" s="76">
        <f>MAX(0,O515*Escenarios!$E$13/Escenarios!$E$16-AM515)</f>
        <v>0</v>
      </c>
      <c r="AO515" s="76">
        <f>AM515+AN515-O515*Escenarios!$E$13/Escenarios!$E$16</f>
        <v>0</v>
      </c>
      <c r="AP515" s="76">
        <f t="shared" si="98"/>
        <v>0.7751974128429987</v>
      </c>
      <c r="AQ515" s="76">
        <f t="shared" si="101"/>
        <v>0</v>
      </c>
      <c r="AR515" s="76">
        <f t="shared" si="102"/>
        <v>0.7751974128429987</v>
      </c>
      <c r="AS515" s="76">
        <f t="shared" si="103"/>
        <v>0</v>
      </c>
      <c r="AT515" s="76">
        <f t="shared" si="104"/>
        <v>0</v>
      </c>
      <c r="AU515" s="76">
        <f t="shared" si="105"/>
        <v>48.75</v>
      </c>
      <c r="AV515" s="76">
        <f>MAX(0,(AU515-Constantes!$D$13)*(1-EXP(-Constantes!$D$24)))</f>
        <v>0</v>
      </c>
      <c r="AW515" s="170">
        <f>AW514+(Entradas!$E$112*AT515-AX514)/(800*Entradas!$D$25)</f>
        <v>0</v>
      </c>
      <c r="AX515" s="170">
        <f>8000*Entradas!$D$26*AW515/Constantes!$E$45</f>
        <v>0</v>
      </c>
      <c r="AY515" s="170">
        <f>IF(Escenarios!$E$17&gt;0,10*Escenarios!$E$16*AL515,0)</f>
        <v>0</v>
      </c>
      <c r="AZ515" s="170">
        <f>IF(Escenarios!$E$17&gt;0,10*Escenarios!$E$16*AX515,0)</f>
        <v>0</v>
      </c>
      <c r="BA515" s="170">
        <f>IF(Escenarios!$E$17&gt;0,0.001*Observaciones!$F514*Escenarios!$E$17,0)</f>
        <v>0</v>
      </c>
      <c r="BB515" s="170">
        <f>IF(Escenarios!$E$17&gt;0,Observaciones!$K514,0)</f>
        <v>0</v>
      </c>
      <c r="BC515" s="170">
        <f>IF(Escenarios!$E$17&gt;0,MIN(0.0005*ETo!$M514*Escenarios!$E$17*(BG514/Constantes!$E$40)^(2/3),BG514+AY515+AZ515+BA515+BB515),0)</f>
        <v>13.666332347843838</v>
      </c>
      <c r="BD515" s="170">
        <f>IF(Escenarios!$E$17&gt;0,MIN(Constantes!$E$39*(BG514/Constantes!$E$40)^(2/3),BG514+AY515+AZ515+BA515+BB515-BC515),0)</f>
        <v>35.376827229793463</v>
      </c>
      <c r="BE515" s="170">
        <f>IF(Escenarios!$E$17&gt;0,MIN(Entradas!$E$113,BG514+AY515+AZ515+BA515+BB515-BC515-BD515),0)</f>
        <v>1</v>
      </c>
      <c r="BF515" s="170">
        <f>IF(Escenarios!$E$17&gt;0,MAX(0,BG514+AY515+AZ515+BA515+BB515-BC515-BD515-BE515-Constantes!$E$40),0)</f>
        <v>0</v>
      </c>
      <c r="BG515" s="170">
        <f t="shared" si="110"/>
        <v>1910.3901880401943</v>
      </c>
      <c r="BH515" s="170">
        <f>(Escenarios!$E$16*AK515+0.1*BC515)/(Escenarios!$E$19)</f>
        <v>5.2697320620125722E-3</v>
      </c>
      <c r="BI515" s="170">
        <f>IF(Escenarios!$E$17&gt;0,BF515/10/Escenarios!$E$19,AL515)</f>
        <v>0</v>
      </c>
      <c r="BJ515" s="170">
        <f>(Escenarios!$E$16*AT515+0.1*BD515)/(Escenarios!$E$19)</f>
        <v>1.4038423503886295E-2</v>
      </c>
      <c r="BK515" s="76">
        <f>BK514+(0.1*BD515)/(Escenarios!$E$19)-BL514</f>
        <v>50.692535387758653</v>
      </c>
      <c r="BL515" s="76">
        <f>MAX(0,(BK515-Constantes!$D$13)*(1-EXP(-Constantes!$D$23)))</f>
        <v>1.9140263851468418E-2</v>
      </c>
      <c r="BM515" s="76">
        <f t="shared" si="106"/>
        <v>0.79433767669446709</v>
      </c>
      <c r="BN515" s="76">
        <f t="shared" si="111"/>
        <v>0.79433767669446709</v>
      </c>
      <c r="BO515" s="76">
        <f>0.0526*BI515*Observaciones!$F514^1.218</f>
        <v>0</v>
      </c>
      <c r="BP515" s="76">
        <f>BO515*Constantes!$E$51</f>
        <v>0</v>
      </c>
      <c r="BQ515" s="76">
        <f t="shared" si="107"/>
        <v>0</v>
      </c>
      <c r="BR515" s="40"/>
    </row>
    <row r="516" spans="1:70">
      <c r="A516" s="147"/>
      <c r="B516" s="39"/>
      <c r="C516" s="75">
        <v>510</v>
      </c>
      <c r="D516" s="146">
        <f>ETo!$I515*((1-Constantes!$E$19)*ETo!$K515+ETo!$L515)</f>
        <v>2.6330305379337502</v>
      </c>
      <c r="E516" s="76">
        <f>MIN(D516*Constantes!$E$17,0.8*(N515+Observaciones!$F515-F516-M516-Constantes!$D$14))</f>
        <v>-1.0739123268928098E-2</v>
      </c>
      <c r="F516" s="76">
        <f>IF(Observaciones!$F515&gt;0.05*Constantes!$E$18,((Observaciones!$F515-0.05*Constantes!$E$18)^2)/(Observaciones!$F515+0.95*Constantes!$E$18),0)</f>
        <v>0</v>
      </c>
      <c r="G516" s="76">
        <f>IF(Escenarios!$E$11&gt;0,(F516*Escenarios!$E$16*10000)/1000,0)</f>
        <v>0</v>
      </c>
      <c r="H516" s="76">
        <f>IF(Escenarios!$E$11&gt;0,(Observaciones!$F515*Constantes!$E$29)/1000,0)</f>
        <v>0</v>
      </c>
      <c r="I516" s="76">
        <f>IF(Escenarios!$E$11&gt;0,(D516*Constantes!$E$29)/1000,0)</f>
        <v>26.330305379337499</v>
      </c>
      <c r="J516" s="76">
        <f>IF(Escenarios!$E$11&gt;0,MAX(0,G516+H516-I516),0)</f>
        <v>0</v>
      </c>
      <c r="K516" s="76">
        <f>IF(Escenarios!$E$11&gt;0,IF(J516&gt;Constantes!$E$30,1000*((J516-Constantes!$E$30)/(Escenarios!$E$16*10000)),0),F516)</f>
        <v>0</v>
      </c>
      <c r="L516" s="76">
        <f>IF(Escenarios!$E$11&gt;0,I516*1000/Escenarios!$E$16/10000+E516,E516)</f>
        <v>-2.0700111719309904E-4</v>
      </c>
      <c r="M516" s="76">
        <f>MAX(0,N515+Observaciones!$F515-K516-Constantes!$D$13)</f>
        <v>0</v>
      </c>
      <c r="N516" s="76">
        <f>N515+Observaciones!$F515-K516-L516-M516-O515</f>
        <v>11.236783097031033</v>
      </c>
      <c r="O516" s="76">
        <f>MAX(0,(N516-Constantes!$D$14)*(1-EXP(-Constantes!$D$22)))</f>
        <v>0</v>
      </c>
      <c r="P516" s="170">
        <f>P515+(Entradas!$E$83*M516-Q515)/(800*Entradas!$D$25)</f>
        <v>0</v>
      </c>
      <c r="Q516" s="170">
        <f>8000*Entradas!$D$26*P516/Constantes!$E$45</f>
        <v>0</v>
      </c>
      <c r="R516" s="170">
        <f>IF(Escenarios!$E$14&gt;0,K516*Escenarios!$E$13/Escenarios!$E$14,0)</f>
        <v>0</v>
      </c>
      <c r="S516" s="170">
        <f>IF(Escenarios!$E$14&gt;0,Q516*Escenarios!$E$13/Escenarios!$E$14,0)</f>
        <v>0</v>
      </c>
      <c r="T516" s="170">
        <f>IF(Escenarios!$E$14&gt;0,Observaciones!$I515,0)</f>
        <v>0</v>
      </c>
      <c r="U516" s="170">
        <f>IF(Escenarios!$E$14&gt;0,MAX(0,Constantes!$E$36/((Z515+R516+S516+T516+Observaciones!$F515)^2)+Entradas!$E$77),0)</f>
        <v>0</v>
      </c>
      <c r="V516" s="146">
        <f>IF(ETo!D515&gt;0,ETo!I515*((1-Entradas!$E$81)*ETo!K515+ETo!L515),0)</f>
        <v>2.3732296180385024</v>
      </c>
      <c r="W516" s="170">
        <f>IF(Escenarios!$E$14&gt;0,MIN(V516*1,0.8*(Z515+R516+S516+T516+Observaciones!$F515-U516-Constantes!$E$35)),0)</f>
        <v>1.0459189070388676E-12</v>
      </c>
      <c r="X516" s="170">
        <f>IF(Escenarios!$E$14&gt;0,Observaciones!$J515,0)</f>
        <v>0</v>
      </c>
      <c r="Y516" s="170">
        <f>IF(Escenarios!$E$14&gt;0,MAX(0,Z515+R516+S516+T516+Observaciones!$F515-U516-W516-X516-Constantes!$E$33),0)</f>
        <v>0</v>
      </c>
      <c r="Z516" s="170">
        <f>Z515+R516+S516+T516+Observaciones!$F515-U516-W516-Y516</f>
        <v>41.250000000000263</v>
      </c>
      <c r="AA516" s="170">
        <f>IF(Escenarios!$E$14&gt;0,(Escenarios!$E$13*L516+Escenarios!$E$14*W516)/(Escenarios!$E$16),L516)</f>
        <v>-1.8216098300441688E-4</v>
      </c>
      <c r="AB516" s="170">
        <f>IF(Escenarios!$E$14&gt;0,(Escenarios!$E$14*Y516)/(Escenarios!$E$16),K516)</f>
        <v>0</v>
      </c>
      <c r="AC516" s="170">
        <f>IF(Escenarios!$E$14&gt;0,(Escenarios!$E$13*M516+Escenarios!$E$14*U516)/(Escenarios!$E$16),M516)</f>
        <v>0</v>
      </c>
      <c r="AD516" s="76">
        <f t="shared" si="99"/>
        <v>126.64918339152362</v>
      </c>
      <c r="AE516" s="76">
        <f>MAX(0,(AD516-Constantes!$D$13)*(1-EXP(-Constantes!$D$23)))</f>
        <v>0.76755920809661793</v>
      </c>
      <c r="AF516" s="76">
        <f>AB516+O516*Escenarios!$E$13/Escenarios!$E$16+AE516</f>
        <v>0.76755920809661793</v>
      </c>
      <c r="AG516" s="76">
        <f>IF(Entradas!$E$91&gt;0,IF(AF516-Escenarios!$E$38&lt;=0,0,IF(AF516-Escenarios!$E$38&gt;Escenarios!$E$37,Escenarios!$E$37,AF516-Escenarios!$E$38)),0)</f>
        <v>0</v>
      </c>
      <c r="AH516" s="76">
        <f>AG516*Entradas!$E$99</f>
        <v>0</v>
      </c>
      <c r="AI516" s="76">
        <f>IF(Entradas!$E$91&gt;0,D516*Entradas!$D$23/Escenarios!$E$16,0)</f>
        <v>0</v>
      </c>
      <c r="AJ516" s="76">
        <f>IF(Entradas!$E$91&gt;0,Entradas!$D$24*Entradas!$D$22/Escenarios!$E$16,0)</f>
        <v>0</v>
      </c>
      <c r="AK516" s="76">
        <f t="shared" si="108"/>
        <v>-1.8216098300441688E-4</v>
      </c>
      <c r="AL516" s="76">
        <f t="shared" si="109"/>
        <v>0</v>
      </c>
      <c r="AM516" s="76">
        <f t="shared" si="100"/>
        <v>0</v>
      </c>
      <c r="AN516" s="76">
        <f>MAX(0,O516*Escenarios!$E$13/Escenarios!$E$16-AM516)</f>
        <v>0</v>
      </c>
      <c r="AO516" s="76">
        <f>AM516+AN516-O516*Escenarios!$E$13/Escenarios!$E$16</f>
        <v>0</v>
      </c>
      <c r="AP516" s="76">
        <f t="shared" si="98"/>
        <v>0.76755920809661793</v>
      </c>
      <c r="AQ516" s="76">
        <f t="shared" si="101"/>
        <v>0</v>
      </c>
      <c r="AR516" s="76">
        <f t="shared" si="102"/>
        <v>0.76755920809661793</v>
      </c>
      <c r="AS516" s="76">
        <f t="shared" si="103"/>
        <v>0</v>
      </c>
      <c r="AT516" s="76">
        <f t="shared" si="104"/>
        <v>0</v>
      </c>
      <c r="AU516" s="76">
        <f t="shared" si="105"/>
        <v>48.75</v>
      </c>
      <c r="AV516" s="76">
        <f>MAX(0,(AU516-Constantes!$D$13)*(1-EXP(-Constantes!$D$24)))</f>
        <v>0</v>
      </c>
      <c r="AW516" s="170">
        <f>AW515+(Entradas!$E$112*AT516-AX515)/(800*Entradas!$D$25)</f>
        <v>0</v>
      </c>
      <c r="AX516" s="170">
        <f>8000*Entradas!$D$26*AW516/Constantes!$E$45</f>
        <v>0</v>
      </c>
      <c r="AY516" s="170">
        <f>IF(Escenarios!$E$17&gt;0,10*Escenarios!$E$16*AL516,0)</f>
        <v>0</v>
      </c>
      <c r="AZ516" s="170">
        <f>IF(Escenarios!$E$17&gt;0,10*Escenarios!$E$16*AX516,0)</f>
        <v>0</v>
      </c>
      <c r="BA516" s="170">
        <f>IF(Escenarios!$E$17&gt;0,0.001*Observaciones!$F515*Escenarios!$E$17,0)</f>
        <v>0</v>
      </c>
      <c r="BB516" s="170">
        <f>IF(Escenarios!$E$17&gt;0,Observaciones!$K515,0)</f>
        <v>0</v>
      </c>
      <c r="BC516" s="170">
        <f>IF(Escenarios!$E$17&gt;0,MIN(0.0005*ETo!$M515*Escenarios!$E$17*(BG515/Constantes!$E$40)^(2/3),BG515+AY516+AZ516+BA516+BB516),0)</f>
        <v>13.221412874861388</v>
      </c>
      <c r="BD516" s="170">
        <f>IF(Escenarios!$E$17&gt;0,MIN(Constantes!$E$39*(BG515/Constantes!$E$40)^(2/3),BG515+AY516+AZ516+BA516+BB516-BC516),0)</f>
        <v>34.772203473046169</v>
      </c>
      <c r="BE516" s="170">
        <f>IF(Escenarios!$E$17&gt;0,MIN(Entradas!$E$113,BG515+AY516+AZ516+BA516+BB516-BC516-BD516),0)</f>
        <v>1</v>
      </c>
      <c r="BF516" s="170">
        <f>IF(Escenarios!$E$17&gt;0,MAX(0,BG515+AY516+AZ516+BA516+BB516-BC516-BD516-BE516-Constantes!$E$40),0)</f>
        <v>0</v>
      </c>
      <c r="BG516" s="170">
        <f t="shared" si="110"/>
        <v>1861.3965716922867</v>
      </c>
      <c r="BH516" s="170">
        <f>(Escenarios!$E$16*AK516+0.1*BC516)/(Escenarios!$E$19)</f>
        <v>5.0658771497422012E-3</v>
      </c>
      <c r="BI516" s="170">
        <f>IF(Escenarios!$E$17&gt;0,BF516/10/Escenarios!$E$19,AL516)</f>
        <v>0</v>
      </c>
      <c r="BJ516" s="170">
        <f>(Escenarios!$E$16*AT516+0.1*BD516)/(Escenarios!$E$19)</f>
        <v>1.3798493441684987E-2</v>
      </c>
      <c r="BK516" s="76">
        <f>BK515+(0.1*BD516)/(Escenarios!$E$19)-BL515</f>
        <v>50.687193617348868</v>
      </c>
      <c r="BL516" s="76">
        <f>MAX(0,(BK516-Constantes!$D$13)*(1-EXP(-Constantes!$D$23)))</f>
        <v>1.9087630115310217E-2</v>
      </c>
      <c r="BM516" s="76">
        <f t="shared" si="106"/>
        <v>0.78664683821192816</v>
      </c>
      <c r="BN516" s="76">
        <f t="shared" si="111"/>
        <v>0.78664683821192816</v>
      </c>
      <c r="BO516" s="76">
        <f>0.0526*BI516*Observaciones!$F515^1.218</f>
        <v>0</v>
      </c>
      <c r="BP516" s="76">
        <f>BO516*Constantes!$E$51</f>
        <v>0</v>
      </c>
      <c r="BQ516" s="76">
        <f t="shared" si="107"/>
        <v>0</v>
      </c>
      <c r="BR516" s="40"/>
    </row>
    <row r="517" spans="1:70">
      <c r="A517" s="147"/>
      <c r="B517" s="39"/>
      <c r="C517" s="75">
        <v>511</v>
      </c>
      <c r="D517" s="146">
        <f>ETo!$I516*((1-Constantes!$E$19)*ETo!$K516+ETo!$L516)</f>
        <v>2.6831702260537424</v>
      </c>
      <c r="E517" s="76">
        <f>MIN(D517*Constantes!$E$17,0.8*(N516+Observaciones!$F516-F517-M517-Constantes!$D$14))</f>
        <v>-1.0573522375173639E-2</v>
      </c>
      <c r="F517" s="76">
        <f>IF(Observaciones!$F516&gt;0.05*Constantes!$E$18,((Observaciones!$F516-0.05*Constantes!$E$18)^2)/(Observaciones!$F516+0.95*Constantes!$E$18),0)</f>
        <v>0</v>
      </c>
      <c r="G517" s="76">
        <f>IF(Escenarios!$E$11&gt;0,(F517*Escenarios!$E$16*10000)/1000,0)</f>
        <v>0</v>
      </c>
      <c r="H517" s="76">
        <f>IF(Escenarios!$E$11&gt;0,(Observaciones!$F516*Constantes!$E$29)/1000,0)</f>
        <v>0</v>
      </c>
      <c r="I517" s="76">
        <f>IF(Escenarios!$E$11&gt;0,(D517*Constantes!$E$29)/1000,0)</f>
        <v>26.831702260537426</v>
      </c>
      <c r="J517" s="76">
        <f>IF(Escenarios!$E$11&gt;0,MAX(0,G517+H517-I517),0)</f>
        <v>0</v>
      </c>
      <c r="K517" s="76">
        <f>IF(Escenarios!$E$11&gt;0,IF(J517&gt;Constantes!$E$30,1000*((J517-Constantes!$E$30)/(Escenarios!$E$16*10000)),0),F517)</f>
        <v>0</v>
      </c>
      <c r="L517" s="76">
        <f>IF(Escenarios!$E$11&gt;0,I517*1000/Escenarios!$E$16/10000+E517,E517)</f>
        <v>1.591585290413311E-4</v>
      </c>
      <c r="M517" s="76">
        <f>MAX(0,N516+Observaciones!$F516-K517-Constantes!$D$13)</f>
        <v>0</v>
      </c>
      <c r="N517" s="76">
        <f>N516+Observaciones!$F516-K517-L517-M517-O516</f>
        <v>11.236623938501992</v>
      </c>
      <c r="O517" s="76">
        <f>MAX(0,(N517-Constantes!$D$14)*(1-EXP(-Constantes!$D$22)))</f>
        <v>0</v>
      </c>
      <c r="P517" s="170">
        <f>P516+(Entradas!$E$83*M517-Q516)/(800*Entradas!$D$25)</f>
        <v>0</v>
      </c>
      <c r="Q517" s="170">
        <f>8000*Entradas!$D$26*P517/Constantes!$E$45</f>
        <v>0</v>
      </c>
      <c r="R517" s="170">
        <f>IF(Escenarios!$E$14&gt;0,K517*Escenarios!$E$13/Escenarios!$E$14,0)</f>
        <v>0</v>
      </c>
      <c r="S517" s="170">
        <f>IF(Escenarios!$E$14&gt;0,Q517*Escenarios!$E$13/Escenarios!$E$14,0)</f>
        <v>0</v>
      </c>
      <c r="T517" s="170">
        <f>IF(Escenarios!$E$14&gt;0,Observaciones!$I516,0)</f>
        <v>0</v>
      </c>
      <c r="U517" s="170">
        <f>IF(Escenarios!$E$14&gt;0,MAX(0,Constantes!$E$36/((Z516+R517+S517+T517+Observaciones!$F516)^2)+Entradas!$E$77),0)</f>
        <v>0</v>
      </c>
      <c r="V517" s="146">
        <f>IF(ETo!D516&gt;0,ETo!I516*((1-Entradas!$E$81)*ETo!K516+ETo!L516),0)</f>
        <v>2.4184918639237911</v>
      </c>
      <c r="W517" s="170">
        <f>IF(Escenarios!$E$14&gt;0,MIN(V517*1,0.8*(Z516+R517+S517+T517+Observaciones!$F516-U517-Constantes!$E$35)),0)</f>
        <v>2.1032064978498967E-13</v>
      </c>
      <c r="X517" s="170">
        <f>IF(Escenarios!$E$14&gt;0,Observaciones!$J516,0)</f>
        <v>0</v>
      </c>
      <c r="Y517" s="170">
        <f>IF(Escenarios!$E$14&gt;0,MAX(0,Z516+R517+S517+T517+Observaciones!$F516-U517-W517-X517-Constantes!$E$33),0)</f>
        <v>0</v>
      </c>
      <c r="Z517" s="170">
        <f>Z516+R517+S517+T517+Observaciones!$F516-U517-W517-Y517</f>
        <v>41.25000000000005</v>
      </c>
      <c r="AA517" s="170">
        <f>IF(Escenarios!$E$14&gt;0,(Escenarios!$E$13*L517+Escenarios!$E$14*W517)/(Escenarios!$E$16),L517)</f>
        <v>1.4005950558160986E-4</v>
      </c>
      <c r="AB517" s="170">
        <f>IF(Escenarios!$E$14&gt;0,(Escenarios!$E$14*Y517)/(Escenarios!$E$16),K517)</f>
        <v>0</v>
      </c>
      <c r="AC517" s="170">
        <f>IF(Escenarios!$E$14&gt;0,(Escenarios!$E$13*M517+Escenarios!$E$14*U517)/(Escenarios!$E$16),M517)</f>
        <v>0</v>
      </c>
      <c r="AD517" s="76">
        <f t="shared" si="99"/>
        <v>125.88162418342701</v>
      </c>
      <c r="AE517" s="76">
        <f>MAX(0,(AD517-Constantes!$D$13)*(1-EXP(-Constantes!$D$23)))</f>
        <v>0.75999626440088197</v>
      </c>
      <c r="AF517" s="76">
        <f>AB517+O517*Escenarios!$E$13/Escenarios!$E$16+AE517</f>
        <v>0.75999626440088197</v>
      </c>
      <c r="AG517" s="76">
        <f>IF(Entradas!$E$91&gt;0,IF(AF517-Escenarios!$E$38&lt;=0,0,IF(AF517-Escenarios!$E$38&gt;Escenarios!$E$37,Escenarios!$E$37,AF517-Escenarios!$E$38)),0)</f>
        <v>0</v>
      </c>
      <c r="AH517" s="76">
        <f>AG517*Entradas!$E$99</f>
        <v>0</v>
      </c>
      <c r="AI517" s="76">
        <f>IF(Entradas!$E$91&gt;0,D517*Entradas!$D$23/Escenarios!$E$16,0)</f>
        <v>0</v>
      </c>
      <c r="AJ517" s="76">
        <f>IF(Entradas!$E$91&gt;0,Entradas!$D$24*Entradas!$D$22/Escenarios!$E$16,0)</f>
        <v>0</v>
      </c>
      <c r="AK517" s="76">
        <f t="shared" si="108"/>
        <v>1.4005950558160986E-4</v>
      </c>
      <c r="AL517" s="76">
        <f t="shared" si="109"/>
        <v>0</v>
      </c>
      <c r="AM517" s="76">
        <f t="shared" si="100"/>
        <v>0</v>
      </c>
      <c r="AN517" s="76">
        <f>MAX(0,O517*Escenarios!$E$13/Escenarios!$E$16-AM517)</f>
        <v>0</v>
      </c>
      <c r="AO517" s="76">
        <f>AM517+AN517-O517*Escenarios!$E$13/Escenarios!$E$16</f>
        <v>0</v>
      </c>
      <c r="AP517" s="76">
        <f t="shared" si="98"/>
        <v>0.75999626440088197</v>
      </c>
      <c r="AQ517" s="76">
        <f t="shared" si="101"/>
        <v>0</v>
      </c>
      <c r="AR517" s="76">
        <f t="shared" si="102"/>
        <v>0.75999626440088197</v>
      </c>
      <c r="AS517" s="76">
        <f t="shared" si="103"/>
        <v>0</v>
      </c>
      <c r="AT517" s="76">
        <f t="shared" si="104"/>
        <v>0</v>
      </c>
      <c r="AU517" s="76">
        <f t="shared" si="105"/>
        <v>48.75</v>
      </c>
      <c r="AV517" s="76">
        <f>MAX(0,(AU517-Constantes!$D$13)*(1-EXP(-Constantes!$D$24)))</f>
        <v>0</v>
      </c>
      <c r="AW517" s="170">
        <f>AW516+(Entradas!$E$112*AT517-AX516)/(800*Entradas!$D$25)</f>
        <v>0</v>
      </c>
      <c r="AX517" s="170">
        <f>8000*Entradas!$D$26*AW517/Constantes!$E$45</f>
        <v>0</v>
      </c>
      <c r="AY517" s="170">
        <f>IF(Escenarios!$E$17&gt;0,10*Escenarios!$E$16*AL517,0)</f>
        <v>0</v>
      </c>
      <c r="AZ517" s="170">
        <f>IF(Escenarios!$E$17&gt;0,10*Escenarios!$E$16*AX517,0)</f>
        <v>0</v>
      </c>
      <c r="BA517" s="170">
        <f>IF(Escenarios!$E$17&gt;0,0.001*Observaciones!$F516*Escenarios!$E$17,0)</f>
        <v>0</v>
      </c>
      <c r="BB517" s="170">
        <f>IF(Escenarios!$E$17&gt;0,Observaciones!$K516,0)</f>
        <v>0</v>
      </c>
      <c r="BC517" s="170">
        <f>IF(Escenarios!$E$17&gt;0,MIN(0.0005*ETo!$M516*Escenarios!$E$17*(BG516/Constantes!$E$40)^(2/3),BG516+AY517+AZ517+BA517+BB517),0)</f>
        <v>13.241362897283633</v>
      </c>
      <c r="BD517" s="170">
        <f>IF(Escenarios!$E$17&gt;0,MIN(Constantes!$E$39*(BG516/Constantes!$E$40)^(2/3),BG516+AY517+AZ517+BA517+BB517-BC517),0)</f>
        <v>34.175124036970509</v>
      </c>
      <c r="BE517" s="170">
        <f>IF(Escenarios!$E$17&gt;0,MIN(Entradas!$E$113,BG516+AY517+AZ517+BA517+BB517-BC517-BD517),0)</f>
        <v>1</v>
      </c>
      <c r="BF517" s="170">
        <f>IF(Escenarios!$E$17&gt;0,MAX(0,BG516+AY517+AZ517+BA517+BB517-BC517-BD517-BE517-Constantes!$E$40),0)</f>
        <v>0</v>
      </c>
      <c r="BG517" s="170">
        <f t="shared" si="110"/>
        <v>1812.9800847580325</v>
      </c>
      <c r="BH517" s="170">
        <f>(Escenarios!$E$16*AK517+0.1*BC517)/(Escenarios!$E$19)</f>
        <v>5.3934570084276413E-3</v>
      </c>
      <c r="BI517" s="170">
        <f>IF(Escenarios!$E$17&gt;0,BF517/10/Escenarios!$E$19,AL517)</f>
        <v>0</v>
      </c>
      <c r="BJ517" s="170">
        <f>(Escenarios!$E$16*AT517+0.1*BD517)/(Escenarios!$E$19)</f>
        <v>1.356155715752798E-2</v>
      </c>
      <c r="BK517" s="76">
        <f>BK516+(0.1*BD517)/(Escenarios!$E$19)-BL516</f>
        <v>50.68166754439109</v>
      </c>
      <c r="BL517" s="76">
        <f>MAX(0,(BK517-Constantes!$D$13)*(1-EXP(-Constantes!$D$23)))</f>
        <v>1.9033180402249196E-2</v>
      </c>
      <c r="BM517" s="76">
        <f t="shared" si="106"/>
        <v>0.77902944480313119</v>
      </c>
      <c r="BN517" s="76">
        <f t="shared" si="111"/>
        <v>0.77902944480313119</v>
      </c>
      <c r="BO517" s="76">
        <f>0.0526*BI517*Observaciones!$F516^1.218</f>
        <v>0</v>
      </c>
      <c r="BP517" s="76">
        <f>BO517*Constantes!$E$51</f>
        <v>0</v>
      </c>
      <c r="BQ517" s="76">
        <f t="shared" si="107"/>
        <v>0</v>
      </c>
      <c r="BR517" s="40"/>
    </row>
    <row r="518" spans="1:70">
      <c r="A518" s="147"/>
      <c r="B518" s="39"/>
      <c r="C518" s="75">
        <v>512</v>
      </c>
      <c r="D518" s="146">
        <f>ETo!$I517*((1-Constantes!$E$19)*ETo!$K517+ETo!$L517)</f>
        <v>2.6933193658541574</v>
      </c>
      <c r="E518" s="76">
        <f>MIN(D518*Constantes!$E$17,0.8*(N517+Observaciones!$F517-F518-M518-Constantes!$D$14))</f>
        <v>-1.0700849198406104E-2</v>
      </c>
      <c r="F518" s="76">
        <f>IF(Observaciones!$F517&gt;0.05*Constantes!$E$18,((Observaciones!$F517-0.05*Constantes!$E$18)^2)/(Observaciones!$F517+0.95*Constantes!$E$18),0)</f>
        <v>0</v>
      </c>
      <c r="G518" s="76">
        <f>IF(Escenarios!$E$11&gt;0,(F518*Escenarios!$E$16*10000)/1000,0)</f>
        <v>0</v>
      </c>
      <c r="H518" s="76">
        <f>IF(Escenarios!$E$11&gt;0,(Observaciones!$F517*Constantes!$E$29)/1000,0)</f>
        <v>0</v>
      </c>
      <c r="I518" s="76">
        <f>IF(Escenarios!$E$11&gt;0,(D518*Constantes!$E$29)/1000,0)</f>
        <v>26.933193658541576</v>
      </c>
      <c r="J518" s="76">
        <f>IF(Escenarios!$E$11&gt;0,MAX(0,G518+H518-I518),0)</f>
        <v>0</v>
      </c>
      <c r="K518" s="76">
        <f>IF(Escenarios!$E$11&gt;0,IF(J518&gt;Constantes!$E$30,1000*((J518-Constantes!$E$30)/(Escenarios!$E$16*10000)),0),F518)</f>
        <v>0</v>
      </c>
      <c r="L518" s="76">
        <f>IF(Escenarios!$E$11&gt;0,I518*1000/Escenarios!$E$16/10000+E518,E518)</f>
        <v>7.2428265010526793E-5</v>
      </c>
      <c r="M518" s="76">
        <f>MAX(0,N517+Observaciones!$F517-K518-Constantes!$D$13)</f>
        <v>0</v>
      </c>
      <c r="N518" s="76">
        <f>N517+Observaciones!$F517-K518-L518-M518-O517</f>
        <v>11.236551510236982</v>
      </c>
      <c r="O518" s="76">
        <f>MAX(0,(N518-Constantes!$D$14)*(1-EXP(-Constantes!$D$22)))</f>
        <v>0</v>
      </c>
      <c r="P518" s="170">
        <f>P517+(Entradas!$E$83*M518-Q517)/(800*Entradas!$D$25)</f>
        <v>0</v>
      </c>
      <c r="Q518" s="170">
        <f>8000*Entradas!$D$26*P518/Constantes!$E$45</f>
        <v>0</v>
      </c>
      <c r="R518" s="170">
        <f>IF(Escenarios!$E$14&gt;0,K518*Escenarios!$E$13/Escenarios!$E$14,0)</f>
        <v>0</v>
      </c>
      <c r="S518" s="170">
        <f>IF(Escenarios!$E$14&gt;0,Q518*Escenarios!$E$13/Escenarios!$E$14,0)</f>
        <v>0</v>
      </c>
      <c r="T518" s="170">
        <f>IF(Escenarios!$E$14&gt;0,Observaciones!$I517,0)</f>
        <v>0</v>
      </c>
      <c r="U518" s="170">
        <f>IF(Escenarios!$E$14&gt;0,MAX(0,Constantes!$E$36/((Z517+R518+S518+T518+Observaciones!$F517)^2)+Entradas!$E$77),0)</f>
        <v>0</v>
      </c>
      <c r="V518" s="146">
        <f>IF(ETo!D517&gt;0,ETo!I517*((1-Entradas!$E$81)*ETo!K517+ETo!L517),0)</f>
        <v>2.427442624458557</v>
      </c>
      <c r="W518" s="170">
        <f>IF(Escenarios!$E$14&gt;0,MIN(V518*1,0.8*(Z517+R518+S518+T518+Observaciones!$F517-U518-Constantes!$E$35)),0)</f>
        <v>3.9790393202565614E-14</v>
      </c>
      <c r="X518" s="170">
        <f>IF(Escenarios!$E$14&gt;0,Observaciones!$J517,0)</f>
        <v>0</v>
      </c>
      <c r="Y518" s="170">
        <f>IF(Escenarios!$E$14&gt;0,MAX(0,Z517+R518+S518+T518+Observaciones!$F517-U518-W518-X518-Constantes!$E$33),0)</f>
        <v>0</v>
      </c>
      <c r="Z518" s="170">
        <f>Z517+R518+S518+T518+Observaciones!$F517-U518-W518-Y518</f>
        <v>41.250000000000007</v>
      </c>
      <c r="AA518" s="170">
        <f>IF(Escenarios!$E$14&gt;0,(Escenarios!$E$13*L518+Escenarios!$E$14*W518)/(Escenarios!$E$16),L518)</f>
        <v>6.3736873214038432E-5</v>
      </c>
      <c r="AB518" s="170">
        <f>IF(Escenarios!$E$14&gt;0,(Escenarios!$E$14*Y518)/(Escenarios!$E$16),K518)</f>
        <v>0</v>
      </c>
      <c r="AC518" s="170">
        <f>IF(Escenarios!$E$14&gt;0,(Escenarios!$E$13*M518+Escenarios!$E$14*U518)/(Escenarios!$E$16),M518)</f>
        <v>0</v>
      </c>
      <c r="AD518" s="76">
        <f t="shared" si="99"/>
        <v>125.12162791902612</v>
      </c>
      <c r="AE518" s="76">
        <f>MAX(0,(AD518-Constantes!$D$13)*(1-EXP(-Constantes!$D$23)))</f>
        <v>0.75250784019073291</v>
      </c>
      <c r="AF518" s="76">
        <f>AB518+O518*Escenarios!$E$13/Escenarios!$E$16+AE518</f>
        <v>0.75250784019073291</v>
      </c>
      <c r="AG518" s="76">
        <f>IF(Entradas!$E$91&gt;0,IF(AF518-Escenarios!$E$38&lt;=0,0,IF(AF518-Escenarios!$E$38&gt;Escenarios!$E$37,Escenarios!$E$37,AF518-Escenarios!$E$38)),0)</f>
        <v>0</v>
      </c>
      <c r="AH518" s="76">
        <f>AG518*Entradas!$E$99</f>
        <v>0</v>
      </c>
      <c r="AI518" s="76">
        <f>IF(Entradas!$E$91&gt;0,D518*Entradas!$D$23/Escenarios!$E$16,0)</f>
        <v>0</v>
      </c>
      <c r="AJ518" s="76">
        <f>IF(Entradas!$E$91&gt;0,Entradas!$D$24*Entradas!$D$22/Escenarios!$E$16,0)</f>
        <v>0</v>
      </c>
      <c r="AK518" s="76">
        <f t="shared" si="108"/>
        <v>6.3736873214038432E-5</v>
      </c>
      <c r="AL518" s="76">
        <f t="shared" si="109"/>
        <v>0</v>
      </c>
      <c r="AM518" s="76">
        <f t="shared" si="100"/>
        <v>0</v>
      </c>
      <c r="AN518" s="76">
        <f>MAX(0,O518*Escenarios!$E$13/Escenarios!$E$16-AM518)</f>
        <v>0</v>
      </c>
      <c r="AO518" s="76">
        <f>AM518+AN518-O518*Escenarios!$E$13/Escenarios!$E$16</f>
        <v>0</v>
      </c>
      <c r="AP518" s="76">
        <f t="shared" ref="AP518:AP581" si="112">MAX(0,AE518-AO518)</f>
        <v>0.75250784019073291</v>
      </c>
      <c r="AQ518" s="76">
        <f t="shared" si="101"/>
        <v>0</v>
      </c>
      <c r="AR518" s="76">
        <f t="shared" si="102"/>
        <v>0.75250784019073291</v>
      </c>
      <c r="AS518" s="76">
        <f t="shared" si="103"/>
        <v>0</v>
      </c>
      <c r="AT518" s="76">
        <f t="shared" si="104"/>
        <v>0</v>
      </c>
      <c r="AU518" s="76">
        <f t="shared" si="105"/>
        <v>48.75</v>
      </c>
      <c r="AV518" s="76">
        <f>MAX(0,(AU518-Constantes!$D$13)*(1-EXP(-Constantes!$D$24)))</f>
        <v>0</v>
      </c>
      <c r="AW518" s="170">
        <f>AW517+(Entradas!$E$112*AT518-AX517)/(800*Entradas!$D$25)</f>
        <v>0</v>
      </c>
      <c r="AX518" s="170">
        <f>8000*Entradas!$D$26*AW518/Constantes!$E$45</f>
        <v>0</v>
      </c>
      <c r="AY518" s="170">
        <f>IF(Escenarios!$E$17&gt;0,10*Escenarios!$E$16*AL518,0)</f>
        <v>0</v>
      </c>
      <c r="AZ518" s="170">
        <f>IF(Escenarios!$E$17&gt;0,10*Escenarios!$E$16*AX518,0)</f>
        <v>0</v>
      </c>
      <c r="BA518" s="170">
        <f>IF(Escenarios!$E$17&gt;0,0.001*Observaciones!$F517*Escenarios!$E$17,0)</f>
        <v>0</v>
      </c>
      <c r="BB518" s="170">
        <f>IF(Escenarios!$E$17&gt;0,Observaciones!$K517,0)</f>
        <v>0</v>
      </c>
      <c r="BC518" s="170">
        <f>IF(Escenarios!$E$17&gt;0,MIN(0.0005*ETo!$M517*Escenarios!$E$17*(BG517/Constantes!$E$40)^(2/3),BG517+AY518+AZ518+BA518+BB518),0)</f>
        <v>13.061259208964278</v>
      </c>
      <c r="BD518" s="170">
        <f>IF(Escenarios!$E$17&gt;0,MIN(Constantes!$E$39*(BG517/Constantes!$E$40)^(2/3),BG517+AY518+AZ518+BA518+BB518-BC518),0)</f>
        <v>33.579909035793641</v>
      </c>
      <c r="BE518" s="170">
        <f>IF(Escenarios!$E$17&gt;0,MIN(Entradas!$E$113,BG517+AY518+AZ518+BA518+BB518-BC518-BD518),0)</f>
        <v>1</v>
      </c>
      <c r="BF518" s="170">
        <f>IF(Escenarios!$E$17&gt;0,MAX(0,BG517+AY518+AZ518+BA518+BB518-BC518-BD518-BE518-Constantes!$E$40),0)</f>
        <v>0</v>
      </c>
      <c r="BG518" s="170">
        <f t="shared" si="110"/>
        <v>1765.3389165132746</v>
      </c>
      <c r="BH518" s="170">
        <f>(Escenarios!$E$16*AK518+0.1*BC518)/(Escenarios!$E$19)</f>
        <v>5.2462703936505461E-3</v>
      </c>
      <c r="BI518" s="170">
        <f>IF(Escenarios!$E$17&gt;0,BF518/10/Escenarios!$E$19,AL518)</f>
        <v>0</v>
      </c>
      <c r="BJ518" s="170">
        <f>(Escenarios!$E$16*AT518+0.1*BD518)/(Escenarios!$E$19)</f>
        <v>1.3325360728489541E-2</v>
      </c>
      <c r="BK518" s="76">
        <f>BK517+(0.1*BD518)/(Escenarios!$E$19)-BL517</f>
        <v>50.67595972471733</v>
      </c>
      <c r="BL518" s="76">
        <f>MAX(0,(BK518-Constantes!$D$13)*(1-EXP(-Constantes!$D$23)))</f>
        <v>1.8976939895506917E-2</v>
      </c>
      <c r="BM518" s="76">
        <f t="shared" si="106"/>
        <v>0.77148478008623989</v>
      </c>
      <c r="BN518" s="76">
        <f t="shared" si="111"/>
        <v>0.77148478008623989</v>
      </c>
      <c r="BO518" s="76">
        <f>0.0526*BI518*Observaciones!$F517^1.218</f>
        <v>0</v>
      </c>
      <c r="BP518" s="76">
        <f>BO518*Constantes!$E$51</f>
        <v>0</v>
      </c>
      <c r="BQ518" s="76">
        <f t="shared" si="107"/>
        <v>0</v>
      </c>
      <c r="BR518" s="40"/>
    </row>
    <row r="519" spans="1:70">
      <c r="A519" s="147"/>
      <c r="B519" s="39"/>
      <c r="C519" s="75">
        <v>513</v>
      </c>
      <c r="D519" s="146">
        <f>ETo!$I518*((1-Constantes!$E$19)*ETo!$K518+ETo!$L518)</f>
        <v>2.6360154300140941</v>
      </c>
      <c r="E519" s="76">
        <f>MIN(D519*Constantes!$E$17,0.8*(N518+Observaciones!$F518-F519-M519-Constantes!$D$14))</f>
        <v>-1.0758791810414437E-2</v>
      </c>
      <c r="F519" s="76">
        <f>IF(Observaciones!$F518&gt;0.05*Constantes!$E$18,((Observaciones!$F518-0.05*Constantes!$E$18)^2)/(Observaciones!$F518+0.95*Constantes!$E$18),0)</f>
        <v>0</v>
      </c>
      <c r="G519" s="76">
        <f>IF(Escenarios!$E$11&gt;0,(F519*Escenarios!$E$16*10000)/1000,0)</f>
        <v>0</v>
      </c>
      <c r="H519" s="76">
        <f>IF(Escenarios!$E$11&gt;0,(Observaciones!$F518*Constantes!$E$29)/1000,0)</f>
        <v>0</v>
      </c>
      <c r="I519" s="76">
        <f>IF(Escenarios!$E$11&gt;0,(D519*Constantes!$E$29)/1000,0)</f>
        <v>26.360154300140941</v>
      </c>
      <c r="J519" s="76">
        <f>IF(Escenarios!$E$11&gt;0,MAX(0,G519+H519-I519),0)</f>
        <v>0</v>
      </c>
      <c r="K519" s="76">
        <f>IF(Escenarios!$E$11&gt;0,IF(J519&gt;Constantes!$E$30,1000*((J519-Constantes!$E$30)/(Escenarios!$E$16*10000)),0),F519)</f>
        <v>0</v>
      </c>
      <c r="L519" s="76">
        <f>IF(Escenarios!$E$11&gt;0,I519*1000/Escenarios!$E$16/10000+E519,E519)</f>
        <v>-2.1473009035806109E-4</v>
      </c>
      <c r="M519" s="76">
        <f>MAX(0,N518+Observaciones!$F518-K519-Constantes!$D$13)</f>
        <v>0</v>
      </c>
      <c r="N519" s="76">
        <f>N518+Observaciones!$F518-K519-L519-M519-O518</f>
        <v>11.23676624032734</v>
      </c>
      <c r="O519" s="76">
        <f>MAX(0,(N519-Constantes!$D$14)*(1-EXP(-Constantes!$D$22)))</f>
        <v>0</v>
      </c>
      <c r="P519" s="170">
        <f>P518+(Entradas!$E$83*M519-Q518)/(800*Entradas!$D$25)</f>
        <v>0</v>
      </c>
      <c r="Q519" s="170">
        <f>8000*Entradas!$D$26*P519/Constantes!$E$45</f>
        <v>0</v>
      </c>
      <c r="R519" s="170">
        <f>IF(Escenarios!$E$14&gt;0,K519*Escenarios!$E$13/Escenarios!$E$14,0)</f>
        <v>0</v>
      </c>
      <c r="S519" s="170">
        <f>IF(Escenarios!$E$14&gt;0,Q519*Escenarios!$E$13/Escenarios!$E$14,0)</f>
        <v>0</v>
      </c>
      <c r="T519" s="170">
        <f>IF(Escenarios!$E$14&gt;0,Observaciones!$I518,0)</f>
        <v>0</v>
      </c>
      <c r="U519" s="170">
        <f>IF(Escenarios!$E$14&gt;0,MAX(0,Constantes!$E$36/((Z518+R519+S519+T519+Observaciones!$F518)^2)+Entradas!$E$77),0)</f>
        <v>0</v>
      </c>
      <c r="V519" s="146">
        <f>IF(ETo!D518&gt;0,ETo!I518*((1-Entradas!$E$81)*ETo!K518+ETo!L518),0)</f>
        <v>2.3749945712333251</v>
      </c>
      <c r="W519" s="170">
        <f>IF(Escenarios!$E$14&gt;0,MIN(V519*1,0.8*(Z518+R519+S519+T519+Observaciones!$F518-U519-Constantes!$E$35)),0)</f>
        <v>5.6843418860808018E-15</v>
      </c>
      <c r="X519" s="170">
        <f>IF(Escenarios!$E$14&gt;0,Observaciones!$J518,0)</f>
        <v>0</v>
      </c>
      <c r="Y519" s="170">
        <f>IF(Escenarios!$E$14&gt;0,MAX(0,Z518+R519+S519+T519+Observaciones!$F518-U519-W519-X519-Constantes!$E$33),0)</f>
        <v>0</v>
      </c>
      <c r="Z519" s="170">
        <f>Z518+R519+S519+T519+Observaciones!$F518-U519-W519-Y519</f>
        <v>41.25</v>
      </c>
      <c r="AA519" s="170">
        <f>IF(Escenarios!$E$14&gt;0,(Escenarios!$E$13*L519+Escenarios!$E$14*W519)/(Escenarios!$E$16),L519)</f>
        <v>-1.8896247951441164E-4</v>
      </c>
      <c r="AB519" s="170">
        <f>IF(Escenarios!$E$14&gt;0,(Escenarios!$E$14*Y519)/(Escenarios!$E$16),K519)</f>
        <v>0</v>
      </c>
      <c r="AC519" s="170">
        <f>IF(Escenarios!$E$14&gt;0,(Escenarios!$E$13*M519+Escenarios!$E$14*U519)/(Escenarios!$E$16),M519)</f>
        <v>0</v>
      </c>
      <c r="AD519" s="76">
        <f t="shared" ref="AD519:AD582" si="113">AD518+AC519-AE518</f>
        <v>124.36912007883539</v>
      </c>
      <c r="AE519" s="76">
        <f>MAX(0,(AD519-Constantes!$D$13)*(1-EXP(-Constantes!$D$23)))</f>
        <v>0.7450932012079301</v>
      </c>
      <c r="AF519" s="76">
        <f>AB519+O519*Escenarios!$E$13/Escenarios!$E$16+AE519</f>
        <v>0.7450932012079301</v>
      </c>
      <c r="AG519" s="76">
        <f>IF(Entradas!$E$91&gt;0,IF(AF519-Escenarios!$E$38&lt;=0,0,IF(AF519-Escenarios!$E$38&gt;Escenarios!$E$37,Escenarios!$E$37,AF519-Escenarios!$E$38)),0)</f>
        <v>0</v>
      </c>
      <c r="AH519" s="76">
        <f>AG519*Entradas!$E$99</f>
        <v>0</v>
      </c>
      <c r="AI519" s="76">
        <f>IF(Entradas!$E$91&gt;0,D519*Entradas!$D$23/Escenarios!$E$16,0)</f>
        <v>0</v>
      </c>
      <c r="AJ519" s="76">
        <f>IF(Entradas!$E$91&gt;0,Entradas!$D$24*Entradas!$D$22/Escenarios!$E$16,0)</f>
        <v>0</v>
      </c>
      <c r="AK519" s="76">
        <f t="shared" si="108"/>
        <v>-1.8896247951441164E-4</v>
      </c>
      <c r="AL519" s="76">
        <f t="shared" si="109"/>
        <v>0</v>
      </c>
      <c r="AM519" s="76">
        <f t="shared" ref="AM519:AM582" si="114">AG519+AL519-AB519</f>
        <v>0</v>
      </c>
      <c r="AN519" s="76">
        <f>MAX(0,O519*Escenarios!$E$13/Escenarios!$E$16-AM519)</f>
        <v>0</v>
      </c>
      <c r="AO519" s="76">
        <f>AM519+AN519-O519*Escenarios!$E$13/Escenarios!$E$16</f>
        <v>0</v>
      </c>
      <c r="AP519" s="76">
        <f t="shared" si="112"/>
        <v>0.7450932012079301</v>
      </c>
      <c r="AQ519" s="76">
        <f t="shared" ref="AQ519:AQ582" si="115">AO519+AP519-AE519</f>
        <v>0</v>
      </c>
      <c r="AR519" s="76">
        <f t="shared" ref="AR519:AR582" si="116">AL519+AN519+AP519+AH519</f>
        <v>0.7450932012079301</v>
      </c>
      <c r="AS519" s="76">
        <f t="shared" ref="AS519:AS582" si="117">MAX(0,AG519-AH519-AI519-AJ519)</f>
        <v>0</v>
      </c>
      <c r="AT519" s="76">
        <f t="shared" ref="AT519:AT582" si="118">AC519+AS519</f>
        <v>0</v>
      </c>
      <c r="AU519" s="76">
        <f t="shared" ref="AU519:AU582" si="119">AU518+AS519-AV518</f>
        <v>48.75</v>
      </c>
      <c r="AV519" s="76">
        <f>MAX(0,(AU519-Constantes!$D$13)*(1-EXP(-Constantes!$D$24)))</f>
        <v>0</v>
      </c>
      <c r="AW519" s="170">
        <f>AW518+(Entradas!$E$112*AT519-AX518)/(800*Entradas!$D$25)</f>
        <v>0</v>
      </c>
      <c r="AX519" s="170">
        <f>8000*Entradas!$D$26*AW519/Constantes!$E$45</f>
        <v>0</v>
      </c>
      <c r="AY519" s="170">
        <f>IF(Escenarios!$E$17&gt;0,10*Escenarios!$E$16*AL519,0)</f>
        <v>0</v>
      </c>
      <c r="AZ519" s="170">
        <f>IF(Escenarios!$E$17&gt;0,10*Escenarios!$E$16*AX519,0)</f>
        <v>0</v>
      </c>
      <c r="BA519" s="170">
        <f>IF(Escenarios!$E$17&gt;0,0.001*Observaciones!$F518*Escenarios!$E$17,0)</f>
        <v>0</v>
      </c>
      <c r="BB519" s="170">
        <f>IF(Escenarios!$E$17&gt;0,Observaciones!$K518,0)</f>
        <v>0</v>
      </c>
      <c r="BC519" s="170">
        <f>IF(Escenarios!$E$17&gt;0,MIN(0.0005*ETo!$M518*Escenarios!$E$17*(BG518/Constantes!$E$40)^(2/3),BG518+AY519+AZ519+BA519+BB519),0)</f>
        <v>12.563622609109135</v>
      </c>
      <c r="BD519" s="170">
        <f>IF(Escenarios!$E$17&gt;0,MIN(Constantes!$E$39*(BG518/Constantes!$E$40)^(2/3),BG518+AY519+AZ519+BA519+BB519-BC519),0)</f>
        <v>32.989030809895922</v>
      </c>
      <c r="BE519" s="170">
        <f>IF(Escenarios!$E$17&gt;0,MIN(Entradas!$E$113,BG518+AY519+AZ519+BA519+BB519-BC519-BD519),0)</f>
        <v>1</v>
      </c>
      <c r="BF519" s="170">
        <f>IF(Escenarios!$E$17&gt;0,MAX(0,BG518+AY519+AZ519+BA519+BB519-BC519-BD519-BE519-Constantes!$E$40),0)</f>
        <v>0</v>
      </c>
      <c r="BG519" s="170">
        <f t="shared" si="110"/>
        <v>1718.7862630942695</v>
      </c>
      <c r="BH519" s="170">
        <f>(Escenarios!$E$16*AK519+0.1*BC519)/(Escenarios!$E$19)</f>
        <v>4.7981017501282173E-3</v>
      </c>
      <c r="BI519" s="170">
        <f>IF(Escenarios!$E$17&gt;0,BF519/10/Escenarios!$E$19,AL519)</f>
        <v>0</v>
      </c>
      <c r="BJ519" s="170">
        <f>(Escenarios!$E$16*AT519+0.1*BD519)/(Escenarios!$E$19)</f>
        <v>1.3090885242022192E-2</v>
      </c>
      <c r="BK519" s="76">
        <f>BK518+(0.1*BD519)/(Escenarios!$E$19)-BL518</f>
        <v>50.670073670063843</v>
      </c>
      <c r="BL519" s="76">
        <f>MAX(0,(BK519-Constantes!$D$13)*(1-EXP(-Constantes!$D$23)))</f>
        <v>1.8918943197057114E-2</v>
      </c>
      <c r="BM519" s="76">
        <f t="shared" ref="BM519:BM582" si="120">AP519+AV519+BL519</f>
        <v>0.76401214440498721</v>
      </c>
      <c r="BN519" s="76">
        <f t="shared" si="111"/>
        <v>0.76401214440498721</v>
      </c>
      <c r="BO519" s="76">
        <f>0.0526*BI519*Observaciones!$F518^1.218</f>
        <v>0</v>
      </c>
      <c r="BP519" s="76">
        <f>BO519*Constantes!$E$51</f>
        <v>0</v>
      </c>
      <c r="BQ519" s="76">
        <f t="shared" ref="BQ519:BQ582" si="121">BP519*1000000/(BN519/1000*10000)</f>
        <v>0</v>
      </c>
      <c r="BR519" s="40"/>
    </row>
    <row r="520" spans="1:70">
      <c r="A520" s="147"/>
      <c r="B520" s="39"/>
      <c r="C520" s="75">
        <v>514</v>
      </c>
      <c r="D520" s="146">
        <f>ETo!$I519*((1-Constantes!$E$19)*ETo!$K519+ETo!$L519)</f>
        <v>2.6222935856700418</v>
      </c>
      <c r="E520" s="76">
        <f>MIN(D520*Constantes!$E$17,0.8*(N519+Observaciones!$F519-F520-M520-Constantes!$D$14))</f>
        <v>-1.0587007738128307E-2</v>
      </c>
      <c r="F520" s="76">
        <f>IF(Observaciones!$F519&gt;0.05*Constantes!$E$18,((Observaciones!$F519-0.05*Constantes!$E$18)^2)/(Observaciones!$F519+0.95*Constantes!$E$18),0)</f>
        <v>0</v>
      </c>
      <c r="G520" s="76">
        <f>IF(Escenarios!$E$11&gt;0,(F520*Escenarios!$E$16*10000)/1000,0)</f>
        <v>0</v>
      </c>
      <c r="H520" s="76">
        <f>IF(Escenarios!$E$11&gt;0,(Observaciones!$F519*Constantes!$E$29)/1000,0)</f>
        <v>0</v>
      </c>
      <c r="I520" s="76">
        <f>IF(Escenarios!$E$11&gt;0,(D520*Constantes!$E$29)/1000,0)</f>
        <v>26.222935856700417</v>
      </c>
      <c r="J520" s="76">
        <f>IF(Escenarios!$E$11&gt;0,MAX(0,G520+H520-I520),0)</f>
        <v>0</v>
      </c>
      <c r="K520" s="76">
        <f>IF(Escenarios!$E$11&gt;0,IF(J520&gt;Constantes!$E$30,1000*((J520-Constantes!$E$30)/(Escenarios!$E$16*10000)),0),F520)</f>
        <v>0</v>
      </c>
      <c r="L520" s="76">
        <f>IF(Escenarios!$E$11&gt;0,I520*1000/Escenarios!$E$16/10000+E520,E520)</f>
        <v>-9.7833395448141541E-5</v>
      </c>
      <c r="M520" s="76">
        <f>MAX(0,N519+Observaciones!$F519-K520-Constantes!$D$13)</f>
        <v>0</v>
      </c>
      <c r="N520" s="76">
        <f>N519+Observaciones!$F519-K520-L520-M520-O519</f>
        <v>11.236864073722789</v>
      </c>
      <c r="O520" s="76">
        <f>MAX(0,(N520-Constantes!$D$14)*(1-EXP(-Constantes!$D$22)))</f>
        <v>0</v>
      </c>
      <c r="P520" s="170">
        <f>P519+(Entradas!$E$83*M520-Q519)/(800*Entradas!$D$25)</f>
        <v>0</v>
      </c>
      <c r="Q520" s="170">
        <f>8000*Entradas!$D$26*P520/Constantes!$E$45</f>
        <v>0</v>
      </c>
      <c r="R520" s="170">
        <f>IF(Escenarios!$E$14&gt;0,K520*Escenarios!$E$13/Escenarios!$E$14,0)</f>
        <v>0</v>
      </c>
      <c r="S520" s="170">
        <f>IF(Escenarios!$E$14&gt;0,Q520*Escenarios!$E$13/Escenarios!$E$14,0)</f>
        <v>0</v>
      </c>
      <c r="T520" s="170">
        <f>IF(Escenarios!$E$14&gt;0,Observaciones!$I519,0)</f>
        <v>0</v>
      </c>
      <c r="U520" s="170">
        <f>IF(Escenarios!$E$14&gt;0,MAX(0,Constantes!$E$36/((Z519+R520+S520+T520+Observaciones!$F519)^2)+Entradas!$E$77),0)</f>
        <v>0</v>
      </c>
      <c r="V520" s="146">
        <f>IF(ETo!D519&gt;0,ETo!I519*((1-Entradas!$E$81)*ETo!K519+ETo!L519),0)</f>
        <v>2.3622300790266682</v>
      </c>
      <c r="W520" s="170">
        <f>IF(Escenarios!$E$14&gt;0,MIN(V520*1,0.8*(Z519+R520+S520+T520+Observaciones!$F519-U520-Constantes!$E$35)),0)</f>
        <v>0</v>
      </c>
      <c r="X520" s="170">
        <f>IF(Escenarios!$E$14&gt;0,Observaciones!$J519,0)</f>
        <v>0</v>
      </c>
      <c r="Y520" s="170">
        <f>IF(Escenarios!$E$14&gt;0,MAX(0,Z519+R520+S520+T520+Observaciones!$F519-U520-W520-X520-Constantes!$E$33),0)</f>
        <v>0</v>
      </c>
      <c r="Z520" s="170">
        <f>Z519+R520+S520+T520+Observaciones!$F519-U520-W520-Y520</f>
        <v>41.25</v>
      </c>
      <c r="AA520" s="170">
        <f>IF(Escenarios!$E$14&gt;0,(Escenarios!$E$13*L520+Escenarios!$E$14*W520)/(Escenarios!$E$16),L520)</f>
        <v>-8.609338799436456E-5</v>
      </c>
      <c r="AB520" s="170">
        <f>IF(Escenarios!$E$14&gt;0,(Escenarios!$E$14*Y520)/(Escenarios!$E$16),K520)</f>
        <v>0</v>
      </c>
      <c r="AC520" s="170">
        <f>IF(Escenarios!$E$14&gt;0,(Escenarios!$E$13*M520+Escenarios!$E$14*U520)/(Escenarios!$E$16),M520)</f>
        <v>0</v>
      </c>
      <c r="AD520" s="76">
        <f t="shared" si="113"/>
        <v>123.62402687762746</v>
      </c>
      <c r="AE520" s="76">
        <f>MAX(0,(AD520-Constantes!$D$13)*(1-EXP(-Constantes!$D$23)))</f>
        <v>0.73775162042905429</v>
      </c>
      <c r="AF520" s="76">
        <f>AB520+O520*Escenarios!$E$13/Escenarios!$E$16+AE520</f>
        <v>0.73775162042905429</v>
      </c>
      <c r="AG520" s="76">
        <f>IF(Entradas!$E$91&gt;0,IF(AF520-Escenarios!$E$38&lt;=0,0,IF(AF520-Escenarios!$E$38&gt;Escenarios!$E$37,Escenarios!$E$37,AF520-Escenarios!$E$38)),0)</f>
        <v>0</v>
      </c>
      <c r="AH520" s="76">
        <f>AG520*Entradas!$E$99</f>
        <v>0</v>
      </c>
      <c r="AI520" s="76">
        <f>IF(Entradas!$E$91&gt;0,D520*Entradas!$D$23/Escenarios!$E$16,0)</f>
        <v>0</v>
      </c>
      <c r="AJ520" s="76">
        <f>IF(Entradas!$E$91&gt;0,Entradas!$D$24*Entradas!$D$22/Escenarios!$E$16,0)</f>
        <v>0</v>
      </c>
      <c r="AK520" s="76">
        <f t="shared" ref="AK520:AK583" si="122">AA520+AI520</f>
        <v>-8.609338799436456E-5</v>
      </c>
      <c r="AL520" s="76">
        <f t="shared" ref="AL520:AL583" si="123">MAX(0,AB520-AG520)</f>
        <v>0</v>
      </c>
      <c r="AM520" s="76">
        <f t="shared" si="114"/>
        <v>0</v>
      </c>
      <c r="AN520" s="76">
        <f>MAX(0,O520*Escenarios!$E$13/Escenarios!$E$16-AM520)</f>
        <v>0</v>
      </c>
      <c r="AO520" s="76">
        <f>AM520+AN520-O520*Escenarios!$E$13/Escenarios!$E$16</f>
        <v>0</v>
      </c>
      <c r="AP520" s="76">
        <f t="shared" si="112"/>
        <v>0.73775162042905429</v>
      </c>
      <c r="AQ520" s="76">
        <f t="shared" si="115"/>
        <v>0</v>
      </c>
      <c r="AR520" s="76">
        <f t="shared" si="116"/>
        <v>0.73775162042905429</v>
      </c>
      <c r="AS520" s="76">
        <f t="shared" si="117"/>
        <v>0</v>
      </c>
      <c r="AT520" s="76">
        <f t="shared" si="118"/>
        <v>0</v>
      </c>
      <c r="AU520" s="76">
        <f t="shared" si="119"/>
        <v>48.75</v>
      </c>
      <c r="AV520" s="76">
        <f>MAX(0,(AU520-Constantes!$D$13)*(1-EXP(-Constantes!$D$24)))</f>
        <v>0</v>
      </c>
      <c r="AW520" s="170">
        <f>AW519+(Entradas!$E$112*AT520-AX519)/(800*Entradas!$D$25)</f>
        <v>0</v>
      </c>
      <c r="AX520" s="170">
        <f>8000*Entradas!$D$26*AW520/Constantes!$E$45</f>
        <v>0</v>
      </c>
      <c r="AY520" s="170">
        <f>IF(Escenarios!$E$17&gt;0,10*Escenarios!$E$16*AL520,0)</f>
        <v>0</v>
      </c>
      <c r="AZ520" s="170">
        <f>IF(Escenarios!$E$17&gt;0,10*Escenarios!$E$16*AX520,0)</f>
        <v>0</v>
      </c>
      <c r="BA520" s="170">
        <f>IF(Escenarios!$E$17&gt;0,0.001*Observaciones!$F519*Escenarios!$E$17,0)</f>
        <v>0</v>
      </c>
      <c r="BB520" s="170">
        <f>IF(Escenarios!$E$17&gt;0,Observaciones!$K519,0)</f>
        <v>0</v>
      </c>
      <c r="BC520" s="170">
        <f>IF(Escenarios!$E$17&gt;0,MIN(0.0005*ETo!$M519*Escenarios!$E$17*(BG519/Constantes!$E$40)^(2/3),BG519+AY520+AZ520+BA520+BB520),0)</f>
        <v>12.280081819502637</v>
      </c>
      <c r="BD520" s="170">
        <f>IF(Escenarios!$E$17&gt;0,MIN(Constantes!$E$39*(BG519/Constantes!$E$40)^(2/3),BG519+AY520+AZ520+BA520+BB520-BC520),0)</f>
        <v>32.406496066299923</v>
      </c>
      <c r="BE520" s="170">
        <f>IF(Escenarios!$E$17&gt;0,MIN(Entradas!$E$113,BG519+AY520+AZ520+BA520+BB520-BC520-BD520),0)</f>
        <v>1</v>
      </c>
      <c r="BF520" s="170">
        <f>IF(Escenarios!$E$17&gt;0,MAX(0,BG519+AY520+AZ520+BA520+BB520-BC520-BD520-BE520-Constantes!$E$40),0)</f>
        <v>0</v>
      </c>
      <c r="BG520" s="170">
        <f t="shared" ref="BG520:BG583" si="124">BG519+AY520+AZ520+BA520+BB520-BF520-BC520-BD520-BE520</f>
        <v>1673.099685208467</v>
      </c>
      <c r="BH520" s="170">
        <f>(Escenarios!$E$16*AK520+0.1*BC520)/(Escenarios!$E$19)</f>
        <v>4.7876382339352083E-3</v>
      </c>
      <c r="BI520" s="170">
        <f>IF(Escenarios!$E$17&gt;0,BF520/10/Escenarios!$E$19,AL520)</f>
        <v>0</v>
      </c>
      <c r="BJ520" s="170">
        <f>(Escenarios!$E$16*AT520+0.1*BD520)/(Escenarios!$E$19)</f>
        <v>1.2859720661230128E-2</v>
      </c>
      <c r="BK520" s="76">
        <f>BK519+(0.1*BD520)/(Escenarios!$E$19)-BL519</f>
        <v>50.664014447528018</v>
      </c>
      <c r="BL520" s="76">
        <f>MAX(0,(BK520-Constantes!$D$13)*(1-EXP(-Constantes!$D$23)))</f>
        <v>1.885924023421726E-2</v>
      </c>
      <c r="BM520" s="76">
        <f t="shared" si="120"/>
        <v>0.75661086066327154</v>
      </c>
      <c r="BN520" s="76">
        <f t="shared" ref="BN520:BN583" si="125">AN520+AP520+AV520+BI520+BL520</f>
        <v>0.75661086066327154</v>
      </c>
      <c r="BO520" s="76">
        <f>0.0526*BI520*Observaciones!$F519^1.218</f>
        <v>0</v>
      </c>
      <c r="BP520" s="76">
        <f>BO520*Constantes!$E$51</f>
        <v>0</v>
      </c>
      <c r="BQ520" s="76">
        <f t="shared" si="121"/>
        <v>0</v>
      </c>
      <c r="BR520" s="40"/>
    </row>
    <row r="521" spans="1:70">
      <c r="A521" s="147"/>
      <c r="B521" s="39"/>
      <c r="C521" s="75">
        <v>515</v>
      </c>
      <c r="D521" s="146">
        <f>ETo!$I520*((1-Constantes!$E$19)*ETo!$K520+ETo!$L520)</f>
        <v>2.5695520078403846</v>
      </c>
      <c r="E521" s="76">
        <f>MIN(D521*Constantes!$E$17,0.8*(N520+Observaciones!$F520-F521-M521-Constantes!$D$14))</f>
        <v>-1.0508741021769198E-2</v>
      </c>
      <c r="F521" s="76">
        <f>IF(Observaciones!$F520&gt;0.05*Constantes!$E$18,((Observaciones!$F520-0.05*Constantes!$E$18)^2)/(Observaciones!$F520+0.95*Constantes!$E$18),0)</f>
        <v>0</v>
      </c>
      <c r="G521" s="76">
        <f>IF(Escenarios!$E$11&gt;0,(F521*Escenarios!$E$16*10000)/1000,0)</f>
        <v>0</v>
      </c>
      <c r="H521" s="76">
        <f>IF(Escenarios!$E$11&gt;0,(Observaciones!$F520*Constantes!$E$29)/1000,0)</f>
        <v>0</v>
      </c>
      <c r="I521" s="76">
        <f>IF(Escenarios!$E$11&gt;0,(D521*Constantes!$E$29)/1000,0)</f>
        <v>25.695520078403845</v>
      </c>
      <c r="J521" s="76">
        <f>IF(Escenarios!$E$11&gt;0,MAX(0,G521+H521-I521),0)</f>
        <v>0</v>
      </c>
      <c r="K521" s="76">
        <f>IF(Escenarios!$E$11&gt;0,IF(J521&gt;Constantes!$E$30,1000*((J521-Constantes!$E$30)/(Escenarios!$E$16*10000)),0),F521)</f>
        <v>0</v>
      </c>
      <c r="L521" s="76">
        <f>IF(Escenarios!$E$11&gt;0,I521*1000/Escenarios!$E$16/10000+E521,E521)</f>
        <v>-2.3053299040765897E-4</v>
      </c>
      <c r="M521" s="76">
        <f>MAX(0,N520+Observaciones!$F520-K521-Constantes!$D$13)</f>
        <v>0</v>
      </c>
      <c r="N521" s="76">
        <f>N520+Observaciones!$F520-K521-L521-M521-O520</f>
        <v>11.237094606713196</v>
      </c>
      <c r="O521" s="76">
        <f>MAX(0,(N521-Constantes!$D$14)*(1-EXP(-Constantes!$D$22)))</f>
        <v>0</v>
      </c>
      <c r="P521" s="170">
        <f>P520+(Entradas!$E$83*M521-Q520)/(800*Entradas!$D$25)</f>
        <v>0</v>
      </c>
      <c r="Q521" s="170">
        <f>8000*Entradas!$D$26*P521/Constantes!$E$45</f>
        <v>0</v>
      </c>
      <c r="R521" s="170">
        <f>IF(Escenarios!$E$14&gt;0,K521*Escenarios!$E$13/Escenarios!$E$14,0)</f>
        <v>0</v>
      </c>
      <c r="S521" s="170">
        <f>IF(Escenarios!$E$14&gt;0,Q521*Escenarios!$E$13/Escenarios!$E$14,0)</f>
        <v>0</v>
      </c>
      <c r="T521" s="170">
        <f>IF(Escenarios!$E$14&gt;0,Observaciones!$I520,0)</f>
        <v>0</v>
      </c>
      <c r="U521" s="170">
        <f>IF(Escenarios!$E$14&gt;0,MAX(0,Constantes!$E$36/((Z520+R521+S521+T521+Observaciones!$F520)^2)+Entradas!$E$77),0)</f>
        <v>0</v>
      </c>
      <c r="V521" s="146">
        <f>IF(ETo!D520&gt;0,ETo!I520*((1-Entradas!$E$81)*ETo!K520+ETo!L520),0)</f>
        <v>2.314058951601448</v>
      </c>
      <c r="W521" s="170">
        <f>IF(Escenarios!$E$14&gt;0,MIN(V521*1,0.8*(Z520+R521+S521+T521+Observaciones!$F520-U521-Constantes!$E$35)),0)</f>
        <v>0</v>
      </c>
      <c r="X521" s="170">
        <f>IF(Escenarios!$E$14&gt;0,Observaciones!$J520,0)</f>
        <v>0</v>
      </c>
      <c r="Y521" s="170">
        <f>IF(Escenarios!$E$14&gt;0,MAX(0,Z520+R521+S521+T521+Observaciones!$F520-U521-W521-X521-Constantes!$E$33),0)</f>
        <v>0</v>
      </c>
      <c r="Z521" s="170">
        <f>Z520+R521+S521+T521+Observaciones!$F520-U521-W521-Y521</f>
        <v>41.25</v>
      </c>
      <c r="AA521" s="170">
        <f>IF(Escenarios!$E$14&gt;0,(Escenarios!$E$13*L521+Escenarios!$E$14*W521)/(Escenarios!$E$16),L521)</f>
        <v>-2.0286903155873989E-4</v>
      </c>
      <c r="AB521" s="170">
        <f>IF(Escenarios!$E$14&gt;0,(Escenarios!$E$14*Y521)/(Escenarios!$E$16),K521)</f>
        <v>0</v>
      </c>
      <c r="AC521" s="170">
        <f>IF(Escenarios!$E$14&gt;0,(Escenarios!$E$13*M521+Escenarios!$E$14*U521)/(Escenarios!$E$16),M521)</f>
        <v>0</v>
      </c>
      <c r="AD521" s="76">
        <f t="shared" si="113"/>
        <v>122.88627525719841</v>
      </c>
      <c r="AE521" s="76">
        <f>MAX(0,(AD521-Constantes!$D$13)*(1-EXP(-Constantes!$D$23)))</f>
        <v>0.730482377994221</v>
      </c>
      <c r="AF521" s="76">
        <f>AB521+O521*Escenarios!$E$13/Escenarios!$E$16+AE521</f>
        <v>0.730482377994221</v>
      </c>
      <c r="AG521" s="76">
        <f>IF(Entradas!$E$91&gt;0,IF(AF521-Escenarios!$E$38&lt;=0,0,IF(AF521-Escenarios!$E$38&gt;Escenarios!$E$37,Escenarios!$E$37,AF521-Escenarios!$E$38)),0)</f>
        <v>0</v>
      </c>
      <c r="AH521" s="76">
        <f>AG521*Entradas!$E$99</f>
        <v>0</v>
      </c>
      <c r="AI521" s="76">
        <f>IF(Entradas!$E$91&gt;0,D521*Entradas!$D$23/Escenarios!$E$16,0)</f>
        <v>0</v>
      </c>
      <c r="AJ521" s="76">
        <f>IF(Entradas!$E$91&gt;0,Entradas!$D$24*Entradas!$D$22/Escenarios!$E$16,0)</f>
        <v>0</v>
      </c>
      <c r="AK521" s="76">
        <f t="shared" si="122"/>
        <v>-2.0286903155873989E-4</v>
      </c>
      <c r="AL521" s="76">
        <f t="shared" si="123"/>
        <v>0</v>
      </c>
      <c r="AM521" s="76">
        <f t="shared" si="114"/>
        <v>0</v>
      </c>
      <c r="AN521" s="76">
        <f>MAX(0,O521*Escenarios!$E$13/Escenarios!$E$16-AM521)</f>
        <v>0</v>
      </c>
      <c r="AO521" s="76">
        <f>AM521+AN521-O521*Escenarios!$E$13/Escenarios!$E$16</f>
        <v>0</v>
      </c>
      <c r="AP521" s="76">
        <f t="shared" si="112"/>
        <v>0.730482377994221</v>
      </c>
      <c r="AQ521" s="76">
        <f t="shared" si="115"/>
        <v>0</v>
      </c>
      <c r="AR521" s="76">
        <f t="shared" si="116"/>
        <v>0.730482377994221</v>
      </c>
      <c r="AS521" s="76">
        <f t="shared" si="117"/>
        <v>0</v>
      </c>
      <c r="AT521" s="76">
        <f t="shared" si="118"/>
        <v>0</v>
      </c>
      <c r="AU521" s="76">
        <f t="shared" si="119"/>
        <v>48.75</v>
      </c>
      <c r="AV521" s="76">
        <f>MAX(0,(AU521-Constantes!$D$13)*(1-EXP(-Constantes!$D$24)))</f>
        <v>0</v>
      </c>
      <c r="AW521" s="170">
        <f>AW520+(Entradas!$E$112*AT521-AX520)/(800*Entradas!$D$25)</f>
        <v>0</v>
      </c>
      <c r="AX521" s="170">
        <f>8000*Entradas!$D$26*AW521/Constantes!$E$45</f>
        <v>0</v>
      </c>
      <c r="AY521" s="170">
        <f>IF(Escenarios!$E$17&gt;0,10*Escenarios!$E$16*AL521,0)</f>
        <v>0</v>
      </c>
      <c r="AZ521" s="170">
        <f>IF(Escenarios!$E$17&gt;0,10*Escenarios!$E$16*AX521,0)</f>
        <v>0</v>
      </c>
      <c r="BA521" s="170">
        <f>IF(Escenarios!$E$17&gt;0,0.001*Observaciones!$F520*Escenarios!$E$17,0)</f>
        <v>0</v>
      </c>
      <c r="BB521" s="170">
        <f>IF(Escenarios!$E$17&gt;0,Observaciones!$K520,0)</f>
        <v>0</v>
      </c>
      <c r="BC521" s="170">
        <f>IF(Escenarios!$E$17&gt;0,MIN(0.0005*ETo!$M520*Escenarios!$E$17*(BG520/Constantes!$E$40)^(2/3),BG520+AY521+AZ521+BA521+BB521),0)</f>
        <v>11.823040110953261</v>
      </c>
      <c r="BD521" s="170">
        <f>IF(Escenarios!$E$17&gt;0,MIN(Constantes!$E$39*(BG520/Constantes!$E$40)^(2/3),BG520+AY521+AZ521+BA521+BB521-BC521),0)</f>
        <v>31.829662818463067</v>
      </c>
      <c r="BE521" s="170">
        <f>IF(Escenarios!$E$17&gt;0,MIN(Entradas!$E$113,BG520+AY521+AZ521+BA521+BB521-BC521-BD521),0)</f>
        <v>1</v>
      </c>
      <c r="BF521" s="170">
        <f>IF(Escenarios!$E$17&gt;0,MAX(0,BG520+AY521+AZ521+BA521+BB521-BC521-BD521-BE521-Constantes!$E$40),0)</f>
        <v>0</v>
      </c>
      <c r="BG521" s="170">
        <f t="shared" si="124"/>
        <v>1628.4469822790506</v>
      </c>
      <c r="BH521" s="170">
        <f>(Escenarios!$E$16*AK521+0.1*BC521)/(Escenarios!$E$19)</f>
        <v>4.4904236238319092E-3</v>
      </c>
      <c r="BI521" s="170">
        <f>IF(Escenarios!$E$17&gt;0,BF521/10/Escenarios!$E$19,AL521)</f>
        <v>0</v>
      </c>
      <c r="BJ521" s="170">
        <f>(Escenarios!$E$16*AT521+0.1*BD521)/(Escenarios!$E$19)</f>
        <v>1.2630818578755185E-2</v>
      </c>
      <c r="BK521" s="76">
        <f>BK520+(0.1*BD521)/(Escenarios!$E$19)-BL520</f>
        <v>50.657786025872561</v>
      </c>
      <c r="BL521" s="76">
        <f>MAX(0,(BK521-Constantes!$D$13)*(1-EXP(-Constantes!$D$23)))</f>
        <v>1.8797870112151581E-2</v>
      </c>
      <c r="BM521" s="76">
        <f t="shared" si="120"/>
        <v>0.74928024810637261</v>
      </c>
      <c r="BN521" s="76">
        <f t="shared" si="125"/>
        <v>0.74928024810637261</v>
      </c>
      <c r="BO521" s="76">
        <f>0.0526*BI521*Observaciones!$F520^1.218</f>
        <v>0</v>
      </c>
      <c r="BP521" s="76">
        <f>BO521*Constantes!$E$51</f>
        <v>0</v>
      </c>
      <c r="BQ521" s="76">
        <f t="shared" si="121"/>
        <v>0</v>
      </c>
      <c r="BR521" s="40"/>
    </row>
    <row r="522" spans="1:70">
      <c r="A522" s="147"/>
      <c r="B522" s="39"/>
      <c r="C522" s="75">
        <v>516</v>
      </c>
      <c r="D522" s="146">
        <f>ETo!$I521*((1-Constantes!$E$19)*ETo!$K521+ETo!$L521)</f>
        <v>2.583930495238838</v>
      </c>
      <c r="E522" s="76">
        <f>MIN(D522*Constantes!$E$17,0.8*(N521+Observaciones!$F521-F522-M522-Constantes!$D$14))</f>
        <v>-1.0324314629443165E-2</v>
      </c>
      <c r="F522" s="76">
        <f>IF(Observaciones!$F521&gt;0.05*Constantes!$E$18,((Observaciones!$F521-0.05*Constantes!$E$18)^2)/(Observaciones!$F521+0.95*Constantes!$E$18),0)</f>
        <v>0</v>
      </c>
      <c r="G522" s="76">
        <f>IF(Escenarios!$E$11&gt;0,(F522*Escenarios!$E$16*10000)/1000,0)</f>
        <v>0</v>
      </c>
      <c r="H522" s="76">
        <f>IF(Escenarios!$E$11&gt;0,(Observaciones!$F521*Constantes!$E$29)/1000,0)</f>
        <v>0</v>
      </c>
      <c r="I522" s="76">
        <f>IF(Escenarios!$E$11&gt;0,(D522*Constantes!$E$29)/1000,0)</f>
        <v>25.839304952388378</v>
      </c>
      <c r="J522" s="76">
        <f>IF(Escenarios!$E$11&gt;0,MAX(0,G522+H522-I522),0)</f>
        <v>0</v>
      </c>
      <c r="K522" s="76">
        <f>IF(Escenarios!$E$11&gt;0,IF(J522&gt;Constantes!$E$30,1000*((J522-Constantes!$E$30)/(Escenarios!$E$16*10000)),0),F522)</f>
        <v>0</v>
      </c>
      <c r="L522" s="76">
        <f>IF(Escenarios!$E$11&gt;0,I522*1000/Escenarios!$E$16/10000+E522,E522)</f>
        <v>1.1407351512185415E-5</v>
      </c>
      <c r="M522" s="76">
        <f>MAX(0,N521+Observaciones!$F521-K522-Constantes!$D$13)</f>
        <v>0</v>
      </c>
      <c r="N522" s="76">
        <f>N521+Observaciones!$F521-K522-L522-M522-O521</f>
        <v>11.237083199361685</v>
      </c>
      <c r="O522" s="76">
        <f>MAX(0,(N522-Constantes!$D$14)*(1-EXP(-Constantes!$D$22)))</f>
        <v>0</v>
      </c>
      <c r="P522" s="170">
        <f>P521+(Entradas!$E$83*M522-Q521)/(800*Entradas!$D$25)</f>
        <v>0</v>
      </c>
      <c r="Q522" s="170">
        <f>8000*Entradas!$D$26*P522/Constantes!$E$45</f>
        <v>0</v>
      </c>
      <c r="R522" s="170">
        <f>IF(Escenarios!$E$14&gt;0,K522*Escenarios!$E$13/Escenarios!$E$14,0)</f>
        <v>0</v>
      </c>
      <c r="S522" s="170">
        <f>IF(Escenarios!$E$14&gt;0,Q522*Escenarios!$E$13/Escenarios!$E$14,0)</f>
        <v>0</v>
      </c>
      <c r="T522" s="170">
        <f>IF(Escenarios!$E$14&gt;0,Observaciones!$I521,0)</f>
        <v>0</v>
      </c>
      <c r="U522" s="170">
        <f>IF(Escenarios!$E$14&gt;0,MAX(0,Constantes!$E$36/((Z521+R522+S522+T522+Observaciones!$F521)^2)+Entradas!$E$77),0)</f>
        <v>0</v>
      </c>
      <c r="V522" s="146">
        <f>IF(ETo!D521&gt;0,ETo!I521*((1-Entradas!$E$81)*ETo!K521+ETo!L521),0)</f>
        <v>2.3268198741718984</v>
      </c>
      <c r="W522" s="170">
        <f>IF(Escenarios!$E$14&gt;0,MIN(V522*1,0.8*(Z521+R522+S522+T522+Observaciones!$F521-U522-Constantes!$E$35)),0)</f>
        <v>0</v>
      </c>
      <c r="X522" s="170">
        <f>IF(Escenarios!$E$14&gt;0,Observaciones!$J521,0)</f>
        <v>0</v>
      </c>
      <c r="Y522" s="170">
        <f>IF(Escenarios!$E$14&gt;0,MAX(0,Z521+R522+S522+T522+Observaciones!$F521-U522-W522-X522-Constantes!$E$33),0)</f>
        <v>0</v>
      </c>
      <c r="Z522" s="170">
        <f>Z521+R522+S522+T522+Observaciones!$F521-U522-W522-Y522</f>
        <v>41.25</v>
      </c>
      <c r="AA522" s="170">
        <f>IF(Escenarios!$E$14&gt;0,(Escenarios!$E$13*L522+Escenarios!$E$14*W522)/(Escenarios!$E$16),L522)</f>
        <v>1.0038469330723165E-5</v>
      </c>
      <c r="AB522" s="170">
        <f>IF(Escenarios!$E$14&gt;0,(Escenarios!$E$14*Y522)/(Escenarios!$E$16),K522)</f>
        <v>0</v>
      </c>
      <c r="AC522" s="170">
        <f>IF(Escenarios!$E$14&gt;0,(Escenarios!$E$13*M522+Escenarios!$E$14*U522)/(Escenarios!$E$16),M522)</f>
        <v>0</v>
      </c>
      <c r="AD522" s="76">
        <f t="shared" si="113"/>
        <v>122.15579287920418</v>
      </c>
      <c r="AE522" s="76">
        <f>MAX(0,(AD522-Constantes!$D$13)*(1-EXP(-Constantes!$D$23)))</f>
        <v>0.72328476113649687</v>
      </c>
      <c r="AF522" s="76">
        <f>AB522+O522*Escenarios!$E$13/Escenarios!$E$16+AE522</f>
        <v>0.72328476113649687</v>
      </c>
      <c r="AG522" s="76">
        <f>IF(Entradas!$E$91&gt;0,IF(AF522-Escenarios!$E$38&lt;=0,0,IF(AF522-Escenarios!$E$38&gt;Escenarios!$E$37,Escenarios!$E$37,AF522-Escenarios!$E$38)),0)</f>
        <v>0</v>
      </c>
      <c r="AH522" s="76">
        <f>AG522*Entradas!$E$99</f>
        <v>0</v>
      </c>
      <c r="AI522" s="76">
        <f>IF(Entradas!$E$91&gt;0,D522*Entradas!$D$23/Escenarios!$E$16,0)</f>
        <v>0</v>
      </c>
      <c r="AJ522" s="76">
        <f>IF(Entradas!$E$91&gt;0,Entradas!$D$24*Entradas!$D$22/Escenarios!$E$16,0)</f>
        <v>0</v>
      </c>
      <c r="AK522" s="76">
        <f t="shared" si="122"/>
        <v>1.0038469330723165E-5</v>
      </c>
      <c r="AL522" s="76">
        <f t="shared" si="123"/>
        <v>0</v>
      </c>
      <c r="AM522" s="76">
        <f t="shared" si="114"/>
        <v>0</v>
      </c>
      <c r="AN522" s="76">
        <f>MAX(0,O522*Escenarios!$E$13/Escenarios!$E$16-AM522)</f>
        <v>0</v>
      </c>
      <c r="AO522" s="76">
        <f>AM522+AN522-O522*Escenarios!$E$13/Escenarios!$E$16</f>
        <v>0</v>
      </c>
      <c r="AP522" s="76">
        <f t="shared" si="112"/>
        <v>0.72328476113649687</v>
      </c>
      <c r="AQ522" s="76">
        <f t="shared" si="115"/>
        <v>0</v>
      </c>
      <c r="AR522" s="76">
        <f t="shared" si="116"/>
        <v>0.72328476113649687</v>
      </c>
      <c r="AS522" s="76">
        <f t="shared" si="117"/>
        <v>0</v>
      </c>
      <c r="AT522" s="76">
        <f t="shared" si="118"/>
        <v>0</v>
      </c>
      <c r="AU522" s="76">
        <f t="shared" si="119"/>
        <v>48.75</v>
      </c>
      <c r="AV522" s="76">
        <f>MAX(0,(AU522-Constantes!$D$13)*(1-EXP(-Constantes!$D$24)))</f>
        <v>0</v>
      </c>
      <c r="AW522" s="170">
        <f>AW521+(Entradas!$E$112*AT522-AX521)/(800*Entradas!$D$25)</f>
        <v>0</v>
      </c>
      <c r="AX522" s="170">
        <f>8000*Entradas!$D$26*AW522/Constantes!$E$45</f>
        <v>0</v>
      </c>
      <c r="AY522" s="170">
        <f>IF(Escenarios!$E$17&gt;0,10*Escenarios!$E$16*AL522,0)</f>
        <v>0</v>
      </c>
      <c r="AZ522" s="170">
        <f>IF(Escenarios!$E$17&gt;0,10*Escenarios!$E$16*AX522,0)</f>
        <v>0</v>
      </c>
      <c r="BA522" s="170">
        <f>IF(Escenarios!$E$17&gt;0,0.001*Observaciones!$F521*Escenarios!$E$17,0)</f>
        <v>0</v>
      </c>
      <c r="BB522" s="170">
        <f>IF(Escenarios!$E$17&gt;0,Observaciones!$K521,0)</f>
        <v>0</v>
      </c>
      <c r="BC522" s="170">
        <f>IF(Escenarios!$E$17&gt;0,MIN(0.0005*ETo!$M521*Escenarios!$E$17*(BG521/Constantes!$E$40)^(2/3),BG521+AY522+AZ522+BA522+BB522),0)</f>
        <v>11.677864113013822</v>
      </c>
      <c r="BD522" s="170">
        <f>IF(Escenarios!$E$17&gt;0,MIN(Constantes!$E$39*(BG521/Constantes!$E$40)^(2/3),BG521+AY522+AZ522+BA522+BB522-BC522),0)</f>
        <v>31.260787108998301</v>
      </c>
      <c r="BE522" s="170">
        <f>IF(Escenarios!$E$17&gt;0,MIN(Entradas!$E$113,BG521+AY522+AZ522+BA522+BB522-BC522-BD522),0)</f>
        <v>1</v>
      </c>
      <c r="BF522" s="170">
        <f>IF(Escenarios!$E$17&gt;0,MAX(0,BG521+AY522+AZ522+BA522+BB522-BC522-BD522-BE522-Constantes!$E$40),0)</f>
        <v>0</v>
      </c>
      <c r="BG522" s="170">
        <f t="shared" si="124"/>
        <v>1584.5083310570385</v>
      </c>
      <c r="BH522" s="170">
        <f>(Escenarios!$E$16*AK522+0.1*BC522)/(Escenarios!$E$19)</f>
        <v>4.644031859658981E-3</v>
      </c>
      <c r="BI522" s="170">
        <f>IF(Escenarios!$E$17&gt;0,BF522/10/Escenarios!$E$19,AL522)</f>
        <v>0</v>
      </c>
      <c r="BJ522" s="170">
        <f>(Escenarios!$E$16*AT522+0.1*BD522)/(Escenarios!$E$19)</f>
        <v>1.24050742496025E-2</v>
      </c>
      <c r="BK522" s="76">
        <f>BK521+(0.1*BD522)/(Escenarios!$E$19)-BL521</f>
        <v>50.651393230010008</v>
      </c>
      <c r="BL522" s="76">
        <f>MAX(0,(BK522-Constantes!$D$13)*(1-EXP(-Constantes!$D$23)))</f>
        <v>1.8734880371872504E-2</v>
      </c>
      <c r="BM522" s="76">
        <f t="shared" si="120"/>
        <v>0.74201964150836941</v>
      </c>
      <c r="BN522" s="76">
        <f t="shared" si="125"/>
        <v>0.74201964150836941</v>
      </c>
      <c r="BO522" s="76">
        <f>0.0526*BI522*Observaciones!$F521^1.218</f>
        <v>0</v>
      </c>
      <c r="BP522" s="76">
        <f>BO522*Constantes!$E$51</f>
        <v>0</v>
      </c>
      <c r="BQ522" s="76">
        <f t="shared" si="121"/>
        <v>0</v>
      </c>
      <c r="BR522" s="40"/>
    </row>
    <row r="523" spans="1:70">
      <c r="A523" s="147"/>
      <c r="B523" s="39"/>
      <c r="C523" s="75">
        <v>517</v>
      </c>
      <c r="D523" s="146">
        <f>ETo!$I522*((1-Constantes!$E$19)*ETo!$K522+ETo!$L522)</f>
        <v>2.5835019176197953</v>
      </c>
      <c r="E523" s="76">
        <f>MIN(D523*Constantes!$E$17,0.8*(N522+Observaciones!$F522-F523-M523-Constantes!$D$14))</f>
        <v>-1.0333440510652282E-2</v>
      </c>
      <c r="F523" s="76">
        <f>IF(Observaciones!$F522&gt;0.05*Constantes!$E$18,((Observaciones!$F522-0.05*Constantes!$E$18)^2)/(Observaciones!$F522+0.95*Constantes!$E$18),0)</f>
        <v>0</v>
      </c>
      <c r="G523" s="76">
        <f>IF(Escenarios!$E$11&gt;0,(F523*Escenarios!$E$16*10000)/1000,0)</f>
        <v>0</v>
      </c>
      <c r="H523" s="76">
        <f>IF(Escenarios!$E$11&gt;0,(Observaciones!$F522*Constantes!$E$29)/1000,0)</f>
        <v>0</v>
      </c>
      <c r="I523" s="76">
        <f>IF(Escenarios!$E$11&gt;0,(D523*Constantes!$E$29)/1000,0)</f>
        <v>25.835019176197953</v>
      </c>
      <c r="J523" s="76">
        <f>IF(Escenarios!$E$11&gt;0,MAX(0,G523+H523-I523),0)</f>
        <v>0</v>
      </c>
      <c r="K523" s="76">
        <f>IF(Escenarios!$E$11&gt;0,IF(J523&gt;Constantes!$E$30,1000*((J523-Constantes!$E$30)/(Escenarios!$E$16*10000)),0),F523)</f>
        <v>0</v>
      </c>
      <c r="L523" s="76">
        <f>IF(Escenarios!$E$11&gt;0,I523*1000/Escenarios!$E$16/10000+E523,E523)</f>
        <v>5.6715982689990729E-7</v>
      </c>
      <c r="M523" s="76">
        <f>MAX(0,N522+Observaciones!$F522-K523-Constantes!$D$13)</f>
        <v>0</v>
      </c>
      <c r="N523" s="76">
        <f>N522+Observaciones!$F522-K523-L523-M523-O522</f>
        <v>11.237082632201858</v>
      </c>
      <c r="O523" s="76">
        <f>MAX(0,(N523-Constantes!$D$14)*(1-EXP(-Constantes!$D$22)))</f>
        <v>0</v>
      </c>
      <c r="P523" s="170">
        <f>P522+(Entradas!$E$83*M523-Q522)/(800*Entradas!$D$25)</f>
        <v>0</v>
      </c>
      <c r="Q523" s="170">
        <f>8000*Entradas!$D$26*P523/Constantes!$E$45</f>
        <v>0</v>
      </c>
      <c r="R523" s="170">
        <f>IF(Escenarios!$E$14&gt;0,K523*Escenarios!$E$13/Escenarios!$E$14,0)</f>
        <v>0</v>
      </c>
      <c r="S523" s="170">
        <f>IF(Escenarios!$E$14&gt;0,Q523*Escenarios!$E$13/Escenarios!$E$14,0)</f>
        <v>0</v>
      </c>
      <c r="T523" s="170">
        <f>IF(Escenarios!$E$14&gt;0,Observaciones!$I522,0)</f>
        <v>0</v>
      </c>
      <c r="U523" s="170">
        <f>IF(Escenarios!$E$14&gt;0,MAX(0,Constantes!$E$36/((Z522+R523+S523+T523+Observaciones!$F522)^2)+Entradas!$E$77),0)</f>
        <v>0</v>
      </c>
      <c r="V523" s="146">
        <f>IF(ETo!D522&gt;0,ETo!I522*((1-Entradas!$E$81)*ETo!K522+ETo!L522),0)</f>
        <v>2.3261616799045166</v>
      </c>
      <c r="W523" s="170">
        <f>IF(Escenarios!$E$14&gt;0,MIN(V523*1,0.8*(Z522+R523+S523+T523+Observaciones!$F522-U523-Constantes!$E$35)),0)</f>
        <v>0</v>
      </c>
      <c r="X523" s="170">
        <f>IF(Escenarios!$E$14&gt;0,Observaciones!$J522,0)</f>
        <v>0</v>
      </c>
      <c r="Y523" s="170">
        <f>IF(Escenarios!$E$14&gt;0,MAX(0,Z522+R523+S523+T523+Observaciones!$F522-U523-W523-X523-Constantes!$E$33),0)</f>
        <v>0</v>
      </c>
      <c r="Z523" s="170">
        <f>Z522+R523+S523+T523+Observaciones!$F522-U523-W523-Y523</f>
        <v>41.25</v>
      </c>
      <c r="AA523" s="170">
        <f>IF(Escenarios!$E$14&gt;0,(Escenarios!$E$13*L523+Escenarios!$E$14*W523)/(Escenarios!$E$16),L523)</f>
        <v>4.9910064767191845E-7</v>
      </c>
      <c r="AB523" s="170">
        <f>IF(Escenarios!$E$14&gt;0,(Escenarios!$E$14*Y523)/(Escenarios!$E$16),K523)</f>
        <v>0</v>
      </c>
      <c r="AC523" s="170">
        <f>IF(Escenarios!$E$14&gt;0,(Escenarios!$E$13*M523+Escenarios!$E$14*U523)/(Escenarios!$E$16),M523)</f>
        <v>0</v>
      </c>
      <c r="AD523" s="76">
        <f t="shared" si="113"/>
        <v>121.43250811806769</v>
      </c>
      <c r="AE523" s="76">
        <f>MAX(0,(AD523-Constantes!$D$13)*(1-EXP(-Constantes!$D$23)))</f>
        <v>0.71615806411201055</v>
      </c>
      <c r="AF523" s="76">
        <f>AB523+O523*Escenarios!$E$13/Escenarios!$E$16+AE523</f>
        <v>0.71615806411201055</v>
      </c>
      <c r="AG523" s="76">
        <f>IF(Entradas!$E$91&gt;0,IF(AF523-Escenarios!$E$38&lt;=0,0,IF(AF523-Escenarios!$E$38&gt;Escenarios!$E$37,Escenarios!$E$37,AF523-Escenarios!$E$38)),0)</f>
        <v>0</v>
      </c>
      <c r="AH523" s="76">
        <f>AG523*Entradas!$E$99</f>
        <v>0</v>
      </c>
      <c r="AI523" s="76">
        <f>IF(Entradas!$E$91&gt;0,D523*Entradas!$D$23/Escenarios!$E$16,0)</f>
        <v>0</v>
      </c>
      <c r="AJ523" s="76">
        <f>IF(Entradas!$E$91&gt;0,Entradas!$D$24*Entradas!$D$22/Escenarios!$E$16,0)</f>
        <v>0</v>
      </c>
      <c r="AK523" s="76">
        <f t="shared" si="122"/>
        <v>4.9910064767191845E-7</v>
      </c>
      <c r="AL523" s="76">
        <f t="shared" si="123"/>
        <v>0</v>
      </c>
      <c r="AM523" s="76">
        <f t="shared" si="114"/>
        <v>0</v>
      </c>
      <c r="AN523" s="76">
        <f>MAX(0,O523*Escenarios!$E$13/Escenarios!$E$16-AM523)</f>
        <v>0</v>
      </c>
      <c r="AO523" s="76">
        <f>AM523+AN523-O523*Escenarios!$E$13/Escenarios!$E$16</f>
        <v>0</v>
      </c>
      <c r="AP523" s="76">
        <f t="shared" si="112"/>
        <v>0.71615806411201055</v>
      </c>
      <c r="AQ523" s="76">
        <f t="shared" si="115"/>
        <v>0</v>
      </c>
      <c r="AR523" s="76">
        <f t="shared" si="116"/>
        <v>0.71615806411201055</v>
      </c>
      <c r="AS523" s="76">
        <f t="shared" si="117"/>
        <v>0</v>
      </c>
      <c r="AT523" s="76">
        <f t="shared" si="118"/>
        <v>0</v>
      </c>
      <c r="AU523" s="76">
        <f t="shared" si="119"/>
        <v>48.75</v>
      </c>
      <c r="AV523" s="76">
        <f>MAX(0,(AU523-Constantes!$D$13)*(1-EXP(-Constantes!$D$24)))</f>
        <v>0</v>
      </c>
      <c r="AW523" s="170">
        <f>AW522+(Entradas!$E$112*AT523-AX522)/(800*Entradas!$D$25)</f>
        <v>0</v>
      </c>
      <c r="AX523" s="170">
        <f>8000*Entradas!$D$26*AW523/Constantes!$E$45</f>
        <v>0</v>
      </c>
      <c r="AY523" s="170">
        <f>IF(Escenarios!$E$17&gt;0,10*Escenarios!$E$16*AL523,0)</f>
        <v>0</v>
      </c>
      <c r="AZ523" s="170">
        <f>IF(Escenarios!$E$17&gt;0,10*Escenarios!$E$16*AX523,0)</f>
        <v>0</v>
      </c>
      <c r="BA523" s="170">
        <f>IF(Escenarios!$E$17&gt;0,0.001*Observaciones!$F522*Escenarios!$E$17,0)</f>
        <v>0</v>
      </c>
      <c r="BB523" s="170">
        <f>IF(Escenarios!$E$17&gt;0,Observaciones!$K522,0)</f>
        <v>0</v>
      </c>
      <c r="BC523" s="170">
        <f>IF(Escenarios!$E$17&gt;0,MIN(0.0005*ETo!$M522*Escenarios!$E$17*(BG522/Constantes!$E$40)^(2/3),BG522+AY523+AZ523+BA523+BB523),0)</f>
        <v>11.466588934518645</v>
      </c>
      <c r="BD523" s="170">
        <f>IF(Escenarios!$E$17&gt;0,MIN(Constantes!$E$39*(BG522/Constantes!$E$40)^(2/3),BG522+AY523+AZ523+BA523+BB523-BC523),0)</f>
        <v>30.695909870312278</v>
      </c>
      <c r="BE523" s="170">
        <f>IF(Escenarios!$E$17&gt;0,MIN(Entradas!$E$113,BG522+AY523+AZ523+BA523+BB523-BC523-BD523),0)</f>
        <v>1</v>
      </c>
      <c r="BF523" s="170">
        <f>IF(Escenarios!$E$17&gt;0,MAX(0,BG522+AY523+AZ523+BA523+BB523-BC523-BD523-BE523-Constantes!$E$40),0)</f>
        <v>0</v>
      </c>
      <c r="BG523" s="170">
        <f t="shared" si="124"/>
        <v>1541.3458322522076</v>
      </c>
      <c r="BH523" s="170">
        <f>(Escenarios!$E$16*AK523+0.1*BC523)/(Escenarios!$E$19)</f>
        <v>4.550728843705487E-3</v>
      </c>
      <c r="BI523" s="170">
        <f>IF(Escenarios!$E$17&gt;0,BF523/10/Escenarios!$E$19,AL523)</f>
        <v>0</v>
      </c>
      <c r="BJ523" s="170">
        <f>(Escenarios!$E$16*AT523+0.1*BD523)/(Escenarios!$E$19)</f>
        <v>1.2180916615203286E-2</v>
      </c>
      <c r="BK523" s="76">
        <f>BK522+(0.1*BD523)/(Escenarios!$E$19)-BL522</f>
        <v>50.644839266253335</v>
      </c>
      <c r="BL523" s="76">
        <f>MAX(0,(BK523-Constantes!$D$13)*(1-EXP(-Constantes!$D$23)))</f>
        <v>1.8670302605945457E-2</v>
      </c>
      <c r="BM523" s="76">
        <f t="shared" si="120"/>
        <v>0.73482836671795604</v>
      </c>
      <c r="BN523" s="76">
        <f t="shared" si="125"/>
        <v>0.73482836671795604</v>
      </c>
      <c r="BO523" s="76">
        <f>0.0526*BI523*Observaciones!$F522^1.218</f>
        <v>0</v>
      </c>
      <c r="BP523" s="76">
        <f>BO523*Constantes!$E$51</f>
        <v>0</v>
      </c>
      <c r="BQ523" s="76">
        <f t="shared" si="121"/>
        <v>0</v>
      </c>
      <c r="BR523" s="40"/>
    </row>
    <row r="524" spans="1:70">
      <c r="A524" s="147"/>
      <c r="B524" s="39"/>
      <c r="C524" s="75">
        <v>518</v>
      </c>
      <c r="D524" s="146">
        <f>ETo!$I523*((1-Constantes!$E$19)*ETo!$K523+ETo!$L523)</f>
        <v>2.5503774156115617</v>
      </c>
      <c r="E524" s="76">
        <f>MIN(D524*Constantes!$E$17,0.8*(N523+Observaciones!$F523-F524-M524-Constantes!$D$14))</f>
        <v>1.2469109214224938</v>
      </c>
      <c r="F524" s="76">
        <f>IF(Observaciones!$F523&gt;0.05*Constantes!$E$18,((Observaciones!$F523-0.05*Constantes!$E$18)^2)/(Observaciones!$F523+0.95*Constantes!$E$18),0)</f>
        <v>0.25622088335822657</v>
      </c>
      <c r="G524" s="76">
        <f>IF(Escenarios!$E$11&gt;0,(F524*Escenarios!$E$16*10000)/1000,0)</f>
        <v>640.55220839556648</v>
      </c>
      <c r="H524" s="76">
        <f>IF(Escenarios!$E$11&gt;0,(Observaciones!$F523*Constantes!$E$29)/1000,0)</f>
        <v>116</v>
      </c>
      <c r="I524" s="76">
        <f>IF(Escenarios!$E$11&gt;0,(D524*Constantes!$E$29)/1000,0)</f>
        <v>25.503774156115618</v>
      </c>
      <c r="J524" s="76">
        <f>IF(Escenarios!$E$11&gt;0,MAX(0,G524+H524-I524),0)</f>
        <v>731.0484342394509</v>
      </c>
      <c r="K524" s="76">
        <f>IF(Escenarios!$E$11&gt;0,IF(J524&gt;Constantes!$E$30,1000*((J524-Constantes!$E$30)/(Escenarios!$E$16*10000)),0),F524)</f>
        <v>0</v>
      </c>
      <c r="L524" s="76">
        <f>IF(Escenarios!$E$11&gt;0,I524*1000/Escenarios!$E$16/10000+E524,E524)</f>
        <v>1.25711243108494</v>
      </c>
      <c r="M524" s="76">
        <f>MAX(0,N523+Observaciones!$F523-K524-Constantes!$D$13)</f>
        <v>0</v>
      </c>
      <c r="N524" s="76">
        <f>N523+Observaciones!$F523-K524-L524-M524-O523</f>
        <v>21.579970201116915</v>
      </c>
      <c r="O524" s="76">
        <f>MAX(0,(N524-Constantes!$D$14)*(1-EXP(-Constantes!$D$22)))</f>
        <v>0.35187670714699315</v>
      </c>
      <c r="P524" s="170">
        <f>P523+(Entradas!$E$83*M524-Q523)/(800*Entradas!$D$25)</f>
        <v>0</v>
      </c>
      <c r="Q524" s="170">
        <f>8000*Entradas!$D$26*P524/Constantes!$E$45</f>
        <v>0</v>
      </c>
      <c r="R524" s="170">
        <f>IF(Escenarios!$E$14&gt;0,K524*Escenarios!$E$13/Escenarios!$E$14,0)</f>
        <v>0</v>
      </c>
      <c r="S524" s="170">
        <f>IF(Escenarios!$E$14&gt;0,Q524*Escenarios!$E$13/Escenarios!$E$14,0)</f>
        <v>0</v>
      </c>
      <c r="T524" s="170">
        <f>IF(Escenarios!$E$14&gt;0,Observaciones!$I523,0)</f>
        <v>0</v>
      </c>
      <c r="U524" s="170">
        <f>IF(Escenarios!$E$14&gt;0,MAX(0,Constantes!$E$36/((Z523+R524+S524+T524+Observaciones!$F523)^2)+Entradas!$E$77),0)</f>
        <v>0</v>
      </c>
      <c r="V524" s="146">
        <f>IF(ETo!D523&gt;0,ETo!I523*((1-Entradas!$E$81)*ETo!K523+ETo!L523),0)</f>
        <v>2.2958390540664158</v>
      </c>
      <c r="W524" s="170">
        <f>IF(Escenarios!$E$14&gt;0,MIN(V524*1,0.8*(Z523+R524+S524+T524+Observaciones!$F523-U524-Constantes!$E$35)),0)</f>
        <v>2.2958390540664158</v>
      </c>
      <c r="X524" s="170">
        <f>IF(Escenarios!$E$14&gt;0,Observaciones!$J523,0)</f>
        <v>0</v>
      </c>
      <c r="Y524" s="170">
        <f>IF(Escenarios!$E$14&gt;0,MAX(0,Z523+R524+S524+T524+Observaciones!$F523-U524-W524-X524-Constantes!$E$33),0)</f>
        <v>0</v>
      </c>
      <c r="Z524" s="170">
        <f>Z523+R524+S524+T524+Observaciones!$F523-U524-W524-Y524</f>
        <v>50.554160945933589</v>
      </c>
      <c r="AA524" s="170">
        <f>IF(Escenarios!$E$14&gt;0,(Escenarios!$E$13*L524+Escenarios!$E$14*W524)/(Escenarios!$E$16),L524)</f>
        <v>1.3817596258427169</v>
      </c>
      <c r="AB524" s="170">
        <f>IF(Escenarios!$E$14&gt;0,(Escenarios!$E$14*Y524)/(Escenarios!$E$16),K524)</f>
        <v>0</v>
      </c>
      <c r="AC524" s="170">
        <f>IF(Escenarios!$E$14&gt;0,(Escenarios!$E$13*M524+Escenarios!$E$14*U524)/(Escenarios!$E$16),M524)</f>
        <v>0</v>
      </c>
      <c r="AD524" s="76">
        <f t="shared" si="113"/>
        <v>120.71635005395568</v>
      </c>
      <c r="AE524" s="76">
        <f>MAX(0,(AD524-Constantes!$D$13)*(1-EXP(-Constantes!$D$23)))</f>
        <v>0.70910158813075352</v>
      </c>
      <c r="AF524" s="76">
        <f>AB524+O524*Escenarios!$E$13/Escenarios!$E$16+AE524</f>
        <v>1.0187530904201074</v>
      </c>
      <c r="AG524" s="76">
        <f>IF(Entradas!$E$91&gt;0,IF(AF524-Escenarios!$E$38&lt;=0,0,IF(AF524-Escenarios!$E$38&gt;Escenarios!$E$37,Escenarios!$E$37,AF524-Escenarios!$E$38)),0)</f>
        <v>0</v>
      </c>
      <c r="AH524" s="76">
        <f>AG524*Entradas!$E$99</f>
        <v>0</v>
      </c>
      <c r="AI524" s="76">
        <f>IF(Entradas!$E$91&gt;0,D524*Entradas!$D$23/Escenarios!$E$16,0)</f>
        <v>0</v>
      </c>
      <c r="AJ524" s="76">
        <f>IF(Entradas!$E$91&gt;0,Entradas!$D$24*Entradas!$D$22/Escenarios!$E$16,0)</f>
        <v>0</v>
      </c>
      <c r="AK524" s="76">
        <f t="shared" si="122"/>
        <v>1.3817596258427169</v>
      </c>
      <c r="AL524" s="76">
        <f t="shared" si="123"/>
        <v>0</v>
      </c>
      <c r="AM524" s="76">
        <f t="shared" si="114"/>
        <v>0</v>
      </c>
      <c r="AN524" s="76">
        <f>MAX(0,O524*Escenarios!$E$13/Escenarios!$E$16-AM524)</f>
        <v>0.30965150228935395</v>
      </c>
      <c r="AO524" s="76">
        <f>AM524+AN524-O524*Escenarios!$E$13/Escenarios!$E$16</f>
        <v>0</v>
      </c>
      <c r="AP524" s="76">
        <f t="shared" si="112"/>
        <v>0.70910158813075352</v>
      </c>
      <c r="AQ524" s="76">
        <f t="shared" si="115"/>
        <v>0</v>
      </c>
      <c r="AR524" s="76">
        <f t="shared" si="116"/>
        <v>1.0187530904201074</v>
      </c>
      <c r="AS524" s="76">
        <f t="shared" si="117"/>
        <v>0</v>
      </c>
      <c r="AT524" s="76">
        <f t="shared" si="118"/>
        <v>0</v>
      </c>
      <c r="AU524" s="76">
        <f t="shared" si="119"/>
        <v>48.75</v>
      </c>
      <c r="AV524" s="76">
        <f>MAX(0,(AU524-Constantes!$D$13)*(1-EXP(-Constantes!$D$24)))</f>
        <v>0</v>
      </c>
      <c r="AW524" s="170">
        <f>AW523+(Entradas!$E$112*AT524-AX523)/(800*Entradas!$D$25)</f>
        <v>0</v>
      </c>
      <c r="AX524" s="170">
        <f>8000*Entradas!$D$26*AW524/Constantes!$E$45</f>
        <v>0</v>
      </c>
      <c r="AY524" s="170">
        <f>IF(Escenarios!$E$17&gt;0,10*Escenarios!$E$16*AL524,0)</f>
        <v>0</v>
      </c>
      <c r="AZ524" s="170">
        <f>IF(Escenarios!$E$17&gt;0,10*Escenarios!$E$16*AX524,0)</f>
        <v>0</v>
      </c>
      <c r="BA524" s="170">
        <f>IF(Escenarios!$E$17&gt;0,0.001*Observaciones!$F523*Escenarios!$E$17,0)</f>
        <v>231.99999999999997</v>
      </c>
      <c r="BB524" s="170">
        <f>IF(Escenarios!$E$17&gt;0,Observaciones!$K523,0)</f>
        <v>0</v>
      </c>
      <c r="BC524" s="170">
        <f>IF(Escenarios!$E$17&gt;0,MIN(0.0005*ETo!$M523*Escenarios!$E$17*(BG523/Constantes!$E$40)^(2/3),BG523+AY524+AZ524+BA524+BB524),0)</f>
        <v>11.116008647249776</v>
      </c>
      <c r="BD524" s="170">
        <f>IF(Escenarios!$E$17&gt;0,MIN(Constantes!$E$39*(BG523/Constantes!$E$40)^(2/3),BG523+AY524+AZ524+BA524+BB524-BC524),0)</f>
        <v>30.135903833557375</v>
      </c>
      <c r="BE524" s="170">
        <f>IF(Escenarios!$E$17&gt;0,MIN(Entradas!$E$113,BG523+AY524+AZ524+BA524+BB524-BC524-BD524),0)</f>
        <v>1</v>
      </c>
      <c r="BF524" s="170">
        <f>IF(Escenarios!$E$17&gt;0,MAX(0,BG523+AY524+AZ524+BA524+BB524-BC524-BD524-BE524-Constantes!$E$40),0)</f>
        <v>0</v>
      </c>
      <c r="BG524" s="170">
        <f t="shared" si="124"/>
        <v>1731.0939197714004</v>
      </c>
      <c r="BH524" s="170">
        <f>(Escenarios!$E$16*AK524+0.1*BC524)/(Escenarios!$E$19)</f>
        <v>1.3752043941484295</v>
      </c>
      <c r="BI524" s="170">
        <f>IF(Escenarios!$E$17&gt;0,BF524/10/Escenarios!$E$19,AL524)</f>
        <v>0</v>
      </c>
      <c r="BJ524" s="170">
        <f>(Escenarios!$E$16*AT524+0.1*BD524)/(Escenarios!$E$19)</f>
        <v>1.1958691997443403E-2</v>
      </c>
      <c r="BK524" s="76">
        <f>BK523+(0.1*BD524)/(Escenarios!$E$19)-BL523</f>
        <v>50.63812765564483</v>
      </c>
      <c r="BL524" s="76">
        <f>MAX(0,(BK524-Constantes!$D$13)*(1-EXP(-Constantes!$D$23)))</f>
        <v>1.8604171508038753E-2</v>
      </c>
      <c r="BM524" s="76">
        <f t="shared" si="120"/>
        <v>0.72770575963879225</v>
      </c>
      <c r="BN524" s="76">
        <f t="shared" si="125"/>
        <v>1.0373572619281461</v>
      </c>
      <c r="BO524" s="76">
        <f>0.0526*BI524*Observaciones!$F523^1.218</f>
        <v>0</v>
      </c>
      <c r="BP524" s="76">
        <f>BO524*Constantes!$E$51</f>
        <v>0</v>
      </c>
      <c r="BQ524" s="76">
        <f t="shared" si="121"/>
        <v>0</v>
      </c>
      <c r="BR524" s="40"/>
    </row>
    <row r="525" spans="1:70">
      <c r="A525" s="147"/>
      <c r="B525" s="39"/>
      <c r="C525" s="75">
        <v>519</v>
      </c>
      <c r="D525" s="146">
        <f>ETo!$I524*((1-Constantes!$E$19)*ETo!$K524+ETo!$L524)</f>
        <v>2.4260755321578347</v>
      </c>
      <c r="E525" s="76">
        <f>MIN(D525*Constantes!$E$17,0.8*(N524+Observaciones!$F524-F525-M525-Constantes!$D$14))</f>
        <v>1.1861382000663991</v>
      </c>
      <c r="F525" s="76">
        <f>IF(Observaciones!$F524&gt;0.05*Constantes!$E$18,((Observaciones!$F524-0.05*Constantes!$E$18)^2)/(Observaciones!$F524+0.95*Constantes!$E$18),0)</f>
        <v>0</v>
      </c>
      <c r="G525" s="76">
        <f>IF(Escenarios!$E$11&gt;0,(F525*Escenarios!$E$16*10000)/1000,0)</f>
        <v>0</v>
      </c>
      <c r="H525" s="76">
        <f>IF(Escenarios!$E$11&gt;0,(Observaciones!$F524*Constantes!$E$29)/1000,0)</f>
        <v>13</v>
      </c>
      <c r="I525" s="76">
        <f>IF(Escenarios!$E$11&gt;0,(D525*Constantes!$E$29)/1000,0)</f>
        <v>24.260755321578348</v>
      </c>
      <c r="J525" s="76">
        <f>IF(Escenarios!$E$11&gt;0,MAX(0,G525+H525-I525),0)</f>
        <v>0</v>
      </c>
      <c r="K525" s="76">
        <f>IF(Escenarios!$E$11&gt;0,IF(J525&gt;Constantes!$E$30,1000*((J525-Constantes!$E$30)/(Escenarios!$E$16*10000)),0),F525)</f>
        <v>0</v>
      </c>
      <c r="L525" s="76">
        <f>IF(Escenarios!$E$11&gt;0,I525*1000/Escenarios!$E$16/10000+E525,E525)</f>
        <v>1.1958425021950305</v>
      </c>
      <c r="M525" s="76">
        <f>MAX(0,N524+Observaciones!$F524-K525-Constantes!$D$13)</f>
        <v>0</v>
      </c>
      <c r="N525" s="76">
        <f>N524+Observaciones!$F524-K525-L525-M525-O524</f>
        <v>21.332250991774892</v>
      </c>
      <c r="O525" s="76">
        <f>MAX(0,(N525-Constantes!$D$14)*(1-EXP(-Constantes!$D$22)))</f>
        <v>0.34343848148096917</v>
      </c>
      <c r="P525" s="170">
        <f>P524+(Entradas!$E$83*M525-Q524)/(800*Entradas!$D$25)</f>
        <v>0</v>
      </c>
      <c r="Q525" s="170">
        <f>8000*Entradas!$D$26*P525/Constantes!$E$45</f>
        <v>0</v>
      </c>
      <c r="R525" s="170">
        <f>IF(Escenarios!$E$14&gt;0,K525*Escenarios!$E$13/Escenarios!$E$14,0)</f>
        <v>0</v>
      </c>
      <c r="S525" s="170">
        <f>IF(Escenarios!$E$14&gt;0,Q525*Escenarios!$E$13/Escenarios!$E$14,0)</f>
        <v>0</v>
      </c>
      <c r="T525" s="170">
        <f>IF(Escenarios!$E$14&gt;0,Observaciones!$I524,0)</f>
        <v>0</v>
      </c>
      <c r="U525" s="170">
        <f>IF(Escenarios!$E$14&gt;0,MAX(0,Constantes!$E$36/((Z524+R525+S525+T525+Observaciones!$F524)^2)+Entradas!$E$77),0)</f>
        <v>0</v>
      </c>
      <c r="V525" s="146">
        <f>IF(ETo!D524&gt;0,ETo!I524*((1-Entradas!$E$81)*ETo!K524+ETo!L524),0)</f>
        <v>2.1831709411267566</v>
      </c>
      <c r="W525" s="170">
        <f>IF(Escenarios!$E$14&gt;0,MIN(V525*1,0.8*(Z524+R525+S525+T525+Observaciones!$F524-U525-Constantes!$E$35)),0)</f>
        <v>2.1831709411267566</v>
      </c>
      <c r="X525" s="170">
        <f>IF(Escenarios!$E$14&gt;0,Observaciones!$J524,0)</f>
        <v>0</v>
      </c>
      <c r="Y525" s="170">
        <f>IF(Escenarios!$E$14&gt;0,MAX(0,Z524+R525+S525+T525+Observaciones!$F524-U525-W525-X525-Constantes!$E$33),0)</f>
        <v>0</v>
      </c>
      <c r="Z525" s="170">
        <f>Z524+R525+S525+T525+Observaciones!$F524-U525-W525-Y525</f>
        <v>49.670990004806832</v>
      </c>
      <c r="AA525" s="170">
        <f>IF(Escenarios!$E$14&gt;0,(Escenarios!$E$13*L525+Escenarios!$E$14*W525)/(Escenarios!$E$16),L525)</f>
        <v>1.3143219148668377</v>
      </c>
      <c r="AB525" s="170">
        <f>IF(Escenarios!$E$14&gt;0,(Escenarios!$E$14*Y525)/(Escenarios!$E$16),K525)</f>
        <v>0</v>
      </c>
      <c r="AC525" s="170">
        <f>IF(Escenarios!$E$14&gt;0,(Escenarios!$E$13*M525+Escenarios!$E$14*U525)/(Escenarios!$E$16),M525)</f>
        <v>0</v>
      </c>
      <c r="AD525" s="76">
        <f t="shared" si="113"/>
        <v>120.00724846582493</v>
      </c>
      <c r="AE525" s="76">
        <f>MAX(0,(AD525-Constantes!$D$13)*(1-EXP(-Constantes!$D$23)))</f>
        <v>0.70211464128806156</v>
      </c>
      <c r="AF525" s="76">
        <f>AB525+O525*Escenarios!$E$13/Escenarios!$E$16+AE525</f>
        <v>1.0043405049913143</v>
      </c>
      <c r="AG525" s="76">
        <f>IF(Entradas!$E$91&gt;0,IF(AF525-Escenarios!$E$38&lt;=0,0,IF(AF525-Escenarios!$E$38&gt;Escenarios!$E$37,Escenarios!$E$37,AF525-Escenarios!$E$38)),0)</f>
        <v>0</v>
      </c>
      <c r="AH525" s="76">
        <f>AG525*Entradas!$E$99</f>
        <v>0</v>
      </c>
      <c r="AI525" s="76">
        <f>IF(Entradas!$E$91&gt;0,D525*Entradas!$D$23/Escenarios!$E$16,0)</f>
        <v>0</v>
      </c>
      <c r="AJ525" s="76">
        <f>IF(Entradas!$E$91&gt;0,Entradas!$D$24*Entradas!$D$22/Escenarios!$E$16,0)</f>
        <v>0</v>
      </c>
      <c r="AK525" s="76">
        <f t="shared" si="122"/>
        <v>1.3143219148668377</v>
      </c>
      <c r="AL525" s="76">
        <f t="shared" si="123"/>
        <v>0</v>
      </c>
      <c r="AM525" s="76">
        <f t="shared" si="114"/>
        <v>0</v>
      </c>
      <c r="AN525" s="76">
        <f>MAX(0,O525*Escenarios!$E$13/Escenarios!$E$16-AM525)</f>
        <v>0.30222586370325283</v>
      </c>
      <c r="AO525" s="76">
        <f>AM525+AN525-O525*Escenarios!$E$13/Escenarios!$E$16</f>
        <v>0</v>
      </c>
      <c r="AP525" s="76">
        <f t="shared" si="112"/>
        <v>0.70211464128806156</v>
      </c>
      <c r="AQ525" s="76">
        <f t="shared" si="115"/>
        <v>0</v>
      </c>
      <c r="AR525" s="76">
        <f t="shared" si="116"/>
        <v>1.0043405049913143</v>
      </c>
      <c r="AS525" s="76">
        <f t="shared" si="117"/>
        <v>0</v>
      </c>
      <c r="AT525" s="76">
        <f t="shared" si="118"/>
        <v>0</v>
      </c>
      <c r="AU525" s="76">
        <f t="shared" si="119"/>
        <v>48.75</v>
      </c>
      <c r="AV525" s="76">
        <f>MAX(0,(AU525-Constantes!$D$13)*(1-EXP(-Constantes!$D$24)))</f>
        <v>0</v>
      </c>
      <c r="AW525" s="170">
        <f>AW524+(Entradas!$E$112*AT525-AX524)/(800*Entradas!$D$25)</f>
        <v>0</v>
      </c>
      <c r="AX525" s="170">
        <f>8000*Entradas!$D$26*AW525/Constantes!$E$45</f>
        <v>0</v>
      </c>
      <c r="AY525" s="170">
        <f>IF(Escenarios!$E$17&gt;0,10*Escenarios!$E$16*AL525,0)</f>
        <v>0</v>
      </c>
      <c r="AZ525" s="170">
        <f>IF(Escenarios!$E$17&gt;0,10*Escenarios!$E$16*AX525,0)</f>
        <v>0</v>
      </c>
      <c r="BA525" s="170">
        <f>IF(Escenarios!$E$17&gt;0,0.001*Observaciones!$F524*Escenarios!$E$17,0)</f>
        <v>26.000000000000004</v>
      </c>
      <c r="BB525" s="170">
        <f>IF(Escenarios!$E$17&gt;0,Observaciones!$K524,0)</f>
        <v>214.33512376174872</v>
      </c>
      <c r="BC525" s="170">
        <f>IF(Escenarios!$E$17&gt;0,MIN(0.0005*ETo!$M524*Escenarios!$E$17*(BG524/Constantes!$E$40)^(2/3),BG524+AY525+AZ525+BA525+BB525),0)</f>
        <v>11.430108472990062</v>
      </c>
      <c r="BD525" s="170">
        <f>IF(Escenarios!$E$17&gt;0,MIN(Constantes!$E$39*(BG524/Constantes!$E$40)^(2/3),BG524+AY525+AZ525+BA525+BB525-BC525),0)</f>
        <v>32.561013449420471</v>
      </c>
      <c r="BE525" s="170">
        <f>IF(Escenarios!$E$17&gt;0,MIN(Entradas!$E$113,BG524+AY525+AZ525+BA525+BB525-BC525-BD525),0)</f>
        <v>1</v>
      </c>
      <c r="BF525" s="170">
        <f>IF(Escenarios!$E$17&gt;0,MAX(0,BG524+AY525+AZ525+BA525+BB525-BC525-BD525-BE525-Constantes!$E$40),0)</f>
        <v>0</v>
      </c>
      <c r="BG525" s="170">
        <f t="shared" si="124"/>
        <v>1926.4379216107386</v>
      </c>
      <c r="BH525" s="170">
        <f>(Escenarios!$E$16*AK525+0.1*BC525)/(Escenarios!$E$19)</f>
        <v>1.3084265458889224</v>
      </c>
      <c r="BI525" s="170">
        <f>IF(Escenarios!$E$17&gt;0,BF525/10/Escenarios!$E$19,AL525)</f>
        <v>0</v>
      </c>
      <c r="BJ525" s="170">
        <f>(Escenarios!$E$16*AT525+0.1*BD525)/(Escenarios!$E$19)</f>
        <v>1.2921037083103363E-2</v>
      </c>
      <c r="BK525" s="76">
        <f>BK524+(0.1*BD525)/(Escenarios!$E$19)-BL524</f>
        <v>50.632444521219895</v>
      </c>
      <c r="BL525" s="76">
        <f>MAX(0,(BK525-Constantes!$D$13)*(1-EXP(-Constantes!$D$23)))</f>
        <v>1.8548174230932711E-2</v>
      </c>
      <c r="BM525" s="76">
        <f t="shared" si="120"/>
        <v>0.72066281551899425</v>
      </c>
      <c r="BN525" s="76">
        <f t="shared" si="125"/>
        <v>1.0228886792222471</v>
      </c>
      <c r="BO525" s="76">
        <f>0.0526*BI525*Observaciones!$F524^1.218</f>
        <v>0</v>
      </c>
      <c r="BP525" s="76">
        <f>BO525*Constantes!$E$51</f>
        <v>0</v>
      </c>
      <c r="BQ525" s="76">
        <f t="shared" si="121"/>
        <v>0</v>
      </c>
      <c r="BR525" s="40"/>
    </row>
    <row r="526" spans="1:70">
      <c r="A526" s="147"/>
      <c r="B526" s="39"/>
      <c r="C526" s="75">
        <v>520</v>
      </c>
      <c r="D526" s="146">
        <f>ETo!$I525*((1-Constantes!$E$19)*ETo!$K525+ETo!$L525)</f>
        <v>2.7237552965238061</v>
      </c>
      <c r="E526" s="76">
        <f>MIN(D526*Constantes!$E$17,0.8*(N525+Observaciones!$F525-F526-M526-Constantes!$D$14))</f>
        <v>1.3316775022113712</v>
      </c>
      <c r="F526" s="76">
        <f>IF(Observaciones!$F525&gt;0.05*Constantes!$E$18,((Observaciones!$F525-0.05*Constantes!$E$18)^2)/(Observaciones!$F525+0.95*Constantes!$E$18),0)</f>
        <v>0</v>
      </c>
      <c r="G526" s="76">
        <f>IF(Escenarios!$E$11&gt;0,(F526*Escenarios!$E$16*10000)/1000,0)</f>
        <v>0</v>
      </c>
      <c r="H526" s="76">
        <f>IF(Escenarios!$E$11&gt;0,(Observaciones!$F525*Constantes!$E$29)/1000,0)</f>
        <v>0</v>
      </c>
      <c r="I526" s="76">
        <f>IF(Escenarios!$E$11&gt;0,(D526*Constantes!$E$29)/1000,0)</f>
        <v>27.237552965238059</v>
      </c>
      <c r="J526" s="76">
        <f>IF(Escenarios!$E$11&gt;0,MAX(0,G526+H526-I526),0)</f>
        <v>0</v>
      </c>
      <c r="K526" s="76">
        <f>IF(Escenarios!$E$11&gt;0,IF(J526&gt;Constantes!$E$30,1000*((J526-Constantes!$E$30)/(Escenarios!$E$16*10000)),0),F526)</f>
        <v>0</v>
      </c>
      <c r="L526" s="76">
        <f>IF(Escenarios!$E$11&gt;0,I526*1000/Escenarios!$E$16/10000+E526,E526)</f>
        <v>1.3425725233974664</v>
      </c>
      <c r="M526" s="76">
        <f>MAX(0,N525+Observaciones!$F525-K526-Constantes!$D$13)</f>
        <v>0</v>
      </c>
      <c r="N526" s="76">
        <f>N525+Observaciones!$F525-K526-L526-M526-O525</f>
        <v>19.646239986896457</v>
      </c>
      <c r="O526" s="76">
        <f>MAX(0,(N526-Constantes!$D$14)*(1-EXP(-Constantes!$D$22)))</f>
        <v>0.2860067571816996</v>
      </c>
      <c r="P526" s="170">
        <f>P525+(Entradas!$E$83*M526-Q525)/(800*Entradas!$D$25)</f>
        <v>0</v>
      </c>
      <c r="Q526" s="170">
        <f>8000*Entradas!$D$26*P526/Constantes!$E$45</f>
        <v>0</v>
      </c>
      <c r="R526" s="170">
        <f>IF(Escenarios!$E$14&gt;0,K526*Escenarios!$E$13/Escenarios!$E$14,0)</f>
        <v>0</v>
      </c>
      <c r="S526" s="170">
        <f>IF(Escenarios!$E$14&gt;0,Q526*Escenarios!$E$13/Escenarios!$E$14,0)</f>
        <v>0</v>
      </c>
      <c r="T526" s="170">
        <f>IF(Escenarios!$E$14&gt;0,Observaciones!$I525,0)</f>
        <v>0</v>
      </c>
      <c r="U526" s="170">
        <f>IF(Escenarios!$E$14&gt;0,MAX(0,Constantes!$E$36/((Z525+R526+S526+T526+Observaciones!$F525)^2)+Entradas!$E$77),0)</f>
        <v>0</v>
      </c>
      <c r="V526" s="146">
        <f>IF(ETo!D525&gt;0,ETo!I525*((1-Entradas!$E$81)*ETo!K525+ETo!L525),0)</f>
        <v>2.4534225341003739</v>
      </c>
      <c r="W526" s="170">
        <f>IF(Escenarios!$E$14&gt;0,MIN(V526*1,0.8*(Z525+R526+S526+T526+Observaciones!$F525-U526-Constantes!$E$35)),0)</f>
        <v>2.4534225341003739</v>
      </c>
      <c r="X526" s="170">
        <f>IF(Escenarios!$E$14&gt;0,Observaciones!$J525,0)</f>
        <v>0</v>
      </c>
      <c r="Y526" s="170">
        <f>IF(Escenarios!$E$14&gt;0,MAX(0,Z525+R526+S526+T526+Observaciones!$F525-U526-W526-X526-Constantes!$E$33),0)</f>
        <v>0</v>
      </c>
      <c r="Z526" s="170">
        <f>Z525+R526+S526+T526+Observaciones!$F525-U526-W526-Y526</f>
        <v>47.217567470706456</v>
      </c>
      <c r="AA526" s="170">
        <f>IF(Escenarios!$E$14&gt;0,(Escenarios!$E$13*L526+Escenarios!$E$14*W526)/(Escenarios!$E$16),L526)</f>
        <v>1.4758745246818152</v>
      </c>
      <c r="AB526" s="170">
        <f>IF(Escenarios!$E$14&gt;0,(Escenarios!$E$14*Y526)/(Escenarios!$E$16),K526)</f>
        <v>0</v>
      </c>
      <c r="AC526" s="170">
        <f>IF(Escenarios!$E$14&gt;0,(Escenarios!$E$13*M526+Escenarios!$E$14*U526)/(Escenarios!$E$16),M526)</f>
        <v>0</v>
      </c>
      <c r="AD526" s="76">
        <f t="shared" si="113"/>
        <v>119.30513382453687</v>
      </c>
      <c r="AE526" s="76">
        <f>MAX(0,(AD526-Constantes!$D$13)*(1-EXP(-Constantes!$D$23)))</f>
        <v>0.69519653849677165</v>
      </c>
      <c r="AF526" s="76">
        <f>AB526+O526*Escenarios!$E$13/Escenarios!$E$16+AE526</f>
        <v>0.94688248481666726</v>
      </c>
      <c r="AG526" s="76">
        <f>IF(Entradas!$E$91&gt;0,IF(AF526-Escenarios!$E$38&lt;=0,0,IF(AF526-Escenarios!$E$38&gt;Escenarios!$E$37,Escenarios!$E$37,AF526-Escenarios!$E$38)),0)</f>
        <v>0</v>
      </c>
      <c r="AH526" s="76">
        <f>AG526*Entradas!$E$99</f>
        <v>0</v>
      </c>
      <c r="AI526" s="76">
        <f>IF(Entradas!$E$91&gt;0,D526*Entradas!$D$23/Escenarios!$E$16,0)</f>
        <v>0</v>
      </c>
      <c r="AJ526" s="76">
        <f>IF(Entradas!$E$91&gt;0,Entradas!$D$24*Entradas!$D$22/Escenarios!$E$16,0)</f>
        <v>0</v>
      </c>
      <c r="AK526" s="76">
        <f t="shared" si="122"/>
        <v>1.4758745246818152</v>
      </c>
      <c r="AL526" s="76">
        <f t="shared" si="123"/>
        <v>0</v>
      </c>
      <c r="AM526" s="76">
        <f t="shared" si="114"/>
        <v>0</v>
      </c>
      <c r="AN526" s="76">
        <f>MAX(0,O526*Escenarios!$E$13/Escenarios!$E$16-AM526)</f>
        <v>0.25168594631989566</v>
      </c>
      <c r="AO526" s="76">
        <f>AM526+AN526-O526*Escenarios!$E$13/Escenarios!$E$16</f>
        <v>0</v>
      </c>
      <c r="AP526" s="76">
        <f t="shared" si="112"/>
        <v>0.69519653849677165</v>
      </c>
      <c r="AQ526" s="76">
        <f t="shared" si="115"/>
        <v>0</v>
      </c>
      <c r="AR526" s="76">
        <f t="shared" si="116"/>
        <v>0.94688248481666726</v>
      </c>
      <c r="AS526" s="76">
        <f t="shared" si="117"/>
        <v>0</v>
      </c>
      <c r="AT526" s="76">
        <f t="shared" si="118"/>
        <v>0</v>
      </c>
      <c r="AU526" s="76">
        <f t="shared" si="119"/>
        <v>48.75</v>
      </c>
      <c r="AV526" s="76">
        <f>MAX(0,(AU526-Constantes!$D$13)*(1-EXP(-Constantes!$D$24)))</f>
        <v>0</v>
      </c>
      <c r="AW526" s="170">
        <f>AW525+(Entradas!$E$112*AT526-AX525)/(800*Entradas!$D$25)</f>
        <v>0</v>
      </c>
      <c r="AX526" s="170">
        <f>8000*Entradas!$D$26*AW526/Constantes!$E$45</f>
        <v>0</v>
      </c>
      <c r="AY526" s="170">
        <f>IF(Escenarios!$E$17&gt;0,10*Escenarios!$E$16*AL526,0)</f>
        <v>0</v>
      </c>
      <c r="AZ526" s="170">
        <f>IF(Escenarios!$E$17&gt;0,10*Escenarios!$E$16*AX526,0)</f>
        <v>0</v>
      </c>
      <c r="BA526" s="170">
        <f>IF(Escenarios!$E$17&gt;0,0.001*Observaciones!$F525*Escenarios!$E$17,0)</f>
        <v>0</v>
      </c>
      <c r="BB526" s="170">
        <f>IF(Escenarios!$E$17&gt;0,Observaciones!$K525,0)</f>
        <v>0</v>
      </c>
      <c r="BC526" s="170">
        <f>IF(Escenarios!$E$17&gt;0,MIN(0.0005*ETo!$M525*Escenarios!$E$17*(BG525/Constantes!$E$40)^(2/3),BG525+AY526+AZ526+BA526+BB526),0)</f>
        <v>13.764328513701727</v>
      </c>
      <c r="BD526" s="170">
        <f>IF(Escenarios!$E$17&gt;0,MIN(Constantes!$E$39*(BG525/Constantes!$E$40)^(2/3),BG525+AY526+AZ526+BA526+BB526-BC526),0)</f>
        <v>34.966661728997515</v>
      </c>
      <c r="BE526" s="170">
        <f>IF(Escenarios!$E$17&gt;0,MIN(Entradas!$E$113,BG525+AY526+AZ526+BA526+BB526-BC526-BD526),0)</f>
        <v>1</v>
      </c>
      <c r="BF526" s="170">
        <f>IF(Escenarios!$E$17&gt;0,MAX(0,BG525+AY526+AZ526+BA526+BB526-BC526-BD526-BE526-Constantes!$E$40),0)</f>
        <v>0</v>
      </c>
      <c r="BG526" s="170">
        <f t="shared" si="124"/>
        <v>1876.7069313680395</v>
      </c>
      <c r="BH526" s="170">
        <f>(Escenarios!$E$16*AK526+0.1*BC526)/(Escenarios!$E$19)</f>
        <v>1.4696232699278731</v>
      </c>
      <c r="BI526" s="170">
        <f>IF(Escenarios!$E$17&gt;0,BF526/10/Escenarios!$E$19,AL526)</f>
        <v>0</v>
      </c>
      <c r="BJ526" s="170">
        <f>(Escenarios!$E$16*AT526+0.1*BD526)/(Escenarios!$E$19)</f>
        <v>1.3875659416268856E-2</v>
      </c>
      <c r="BK526" s="76">
        <f>BK525+(0.1*BD526)/(Escenarios!$E$19)-BL525</f>
        <v>50.627772006405237</v>
      </c>
      <c r="BL526" s="76">
        <f>MAX(0,(BK526-Constantes!$D$13)*(1-EXP(-Constantes!$D$23)))</f>
        <v>1.8502134829557565E-2</v>
      </c>
      <c r="BM526" s="76">
        <f t="shared" si="120"/>
        <v>0.71369867332632919</v>
      </c>
      <c r="BN526" s="76">
        <f t="shared" si="125"/>
        <v>0.9653846196462248</v>
      </c>
      <c r="BO526" s="76">
        <f>0.0526*BI526*Observaciones!$F525^1.218</f>
        <v>0</v>
      </c>
      <c r="BP526" s="76">
        <f>BO526*Constantes!$E$51</f>
        <v>0</v>
      </c>
      <c r="BQ526" s="76">
        <f t="shared" si="121"/>
        <v>0</v>
      </c>
      <c r="BR526" s="40"/>
    </row>
    <row r="527" spans="1:70">
      <c r="A527" s="147"/>
      <c r="B527" s="39"/>
      <c r="C527" s="75">
        <v>521</v>
      </c>
      <c r="D527" s="146">
        <f>ETo!$I526*((1-Constantes!$E$19)*ETo!$K526+ETo!$L526)</f>
        <v>2.5405102275588054</v>
      </c>
      <c r="E527" s="76">
        <f>MIN(D527*Constantes!$E$17,0.8*(N526+Observaciones!$F526-F527-M527-Constantes!$D$14))</f>
        <v>1.2420867316883006</v>
      </c>
      <c r="F527" s="76">
        <f>IF(Observaciones!$F526&gt;0.05*Constantes!$E$18,((Observaciones!$F526-0.05*Constantes!$E$18)^2)/(Observaciones!$F526+0.95*Constantes!$E$18),0)</f>
        <v>0</v>
      </c>
      <c r="G527" s="76">
        <f>IF(Escenarios!$E$11&gt;0,(F527*Escenarios!$E$16*10000)/1000,0)</f>
        <v>0</v>
      </c>
      <c r="H527" s="76">
        <f>IF(Escenarios!$E$11&gt;0,(Observaciones!$F526*Constantes!$E$29)/1000,0)</f>
        <v>0</v>
      </c>
      <c r="I527" s="76">
        <f>IF(Escenarios!$E$11&gt;0,(D527*Constantes!$E$29)/1000,0)</f>
        <v>25.405102275588057</v>
      </c>
      <c r="J527" s="76">
        <f>IF(Escenarios!$E$11&gt;0,MAX(0,G527+H527-I527),0)</f>
        <v>0</v>
      </c>
      <c r="K527" s="76">
        <f>IF(Escenarios!$E$11&gt;0,IF(J527&gt;Constantes!$E$30,1000*((J527-Constantes!$E$30)/(Escenarios!$E$16*10000)),0),F527)</f>
        <v>0</v>
      </c>
      <c r="L527" s="76">
        <f>IF(Escenarios!$E$11&gt;0,I527*1000/Escenarios!$E$16/10000+E527,E527)</f>
        <v>1.2522487725985358</v>
      </c>
      <c r="M527" s="76">
        <f>MAX(0,N526+Observaciones!$F526-K527-Constantes!$D$13)</f>
        <v>0</v>
      </c>
      <c r="N527" s="76">
        <f>N526+Observaciones!$F526-K527-L527-M527-O526</f>
        <v>18.107984457116224</v>
      </c>
      <c r="O527" s="76">
        <f>MAX(0,(N527-Constantes!$D$14)*(1-EXP(-Constantes!$D$22)))</f>
        <v>0.23360812678572837</v>
      </c>
      <c r="P527" s="170">
        <f>P526+(Entradas!$E$83*M527-Q526)/(800*Entradas!$D$25)</f>
        <v>0</v>
      </c>
      <c r="Q527" s="170">
        <f>8000*Entradas!$D$26*P527/Constantes!$E$45</f>
        <v>0</v>
      </c>
      <c r="R527" s="170">
        <f>IF(Escenarios!$E$14&gt;0,K527*Escenarios!$E$13/Escenarios!$E$14,0)</f>
        <v>0</v>
      </c>
      <c r="S527" s="170">
        <f>IF(Escenarios!$E$14&gt;0,Q527*Escenarios!$E$13/Escenarios!$E$14,0)</f>
        <v>0</v>
      </c>
      <c r="T527" s="170">
        <f>IF(Escenarios!$E$14&gt;0,Observaciones!$I526,0)</f>
        <v>0</v>
      </c>
      <c r="U527" s="170">
        <f>IF(Escenarios!$E$14&gt;0,MAX(0,Constantes!$E$36/((Z526+R527+S527+T527+Observaciones!$F526)^2)+Entradas!$E$77),0)</f>
        <v>0</v>
      </c>
      <c r="V527" s="146">
        <f>IF(ETo!D526&gt;0,ETo!I526*((1-Entradas!$E$81)*ETo!K526+ETo!L526),0)</f>
        <v>2.286164192823553</v>
      </c>
      <c r="W527" s="170">
        <f>IF(Escenarios!$E$14&gt;0,MIN(V527*1,0.8*(Z526+R527+S527+T527+Observaciones!$F526-U527-Constantes!$E$35)),0)</f>
        <v>2.286164192823553</v>
      </c>
      <c r="X527" s="170">
        <f>IF(Escenarios!$E$14&gt;0,Observaciones!$J526,0)</f>
        <v>0</v>
      </c>
      <c r="Y527" s="170">
        <f>IF(Escenarios!$E$14&gt;0,MAX(0,Z526+R527+S527+T527+Observaciones!$F526-U527-W527-X527-Constantes!$E$33),0)</f>
        <v>0</v>
      </c>
      <c r="Z527" s="170">
        <f>Z526+R527+S527+T527+Observaciones!$F526-U527-W527-Y527</f>
        <v>44.9314032778829</v>
      </c>
      <c r="AA527" s="170">
        <f>IF(Escenarios!$E$14&gt;0,(Escenarios!$E$13*L527+Escenarios!$E$14*W527)/(Escenarios!$E$16),L527)</f>
        <v>1.3763186230255378</v>
      </c>
      <c r="AB527" s="170">
        <f>IF(Escenarios!$E$14&gt;0,(Escenarios!$E$14*Y527)/(Escenarios!$E$16),K527)</f>
        <v>0</v>
      </c>
      <c r="AC527" s="170">
        <f>IF(Escenarios!$E$14&gt;0,(Escenarios!$E$13*M527+Escenarios!$E$14*U527)/(Escenarios!$E$16),M527)</f>
        <v>0</v>
      </c>
      <c r="AD527" s="76">
        <f t="shared" si="113"/>
        <v>118.60993728604009</v>
      </c>
      <c r="AE527" s="76">
        <f>MAX(0,(AD527-Constantes!$D$13)*(1-EXP(-Constantes!$D$23)))</f>
        <v>0.68834660142004789</v>
      </c>
      <c r="AF527" s="76">
        <f>AB527+O527*Escenarios!$E$13/Escenarios!$E$16+AE527</f>
        <v>0.8939217529914889</v>
      </c>
      <c r="AG527" s="76">
        <f>IF(Entradas!$E$91&gt;0,IF(AF527-Escenarios!$E$38&lt;=0,0,IF(AF527-Escenarios!$E$38&gt;Escenarios!$E$37,Escenarios!$E$37,AF527-Escenarios!$E$38)),0)</f>
        <v>0</v>
      </c>
      <c r="AH527" s="76">
        <f>AG527*Entradas!$E$99</f>
        <v>0</v>
      </c>
      <c r="AI527" s="76">
        <f>IF(Entradas!$E$91&gt;0,D527*Entradas!$D$23/Escenarios!$E$16,0)</f>
        <v>0</v>
      </c>
      <c r="AJ527" s="76">
        <f>IF(Entradas!$E$91&gt;0,Entradas!$D$24*Entradas!$D$22/Escenarios!$E$16,0)</f>
        <v>0</v>
      </c>
      <c r="AK527" s="76">
        <f t="shared" si="122"/>
        <v>1.3763186230255378</v>
      </c>
      <c r="AL527" s="76">
        <f t="shared" si="123"/>
        <v>0</v>
      </c>
      <c r="AM527" s="76">
        <f t="shared" si="114"/>
        <v>0</v>
      </c>
      <c r="AN527" s="76">
        <f>MAX(0,O527*Escenarios!$E$13/Escenarios!$E$16-AM527)</f>
        <v>0.20557515157144096</v>
      </c>
      <c r="AO527" s="76">
        <f>AM527+AN527-O527*Escenarios!$E$13/Escenarios!$E$16</f>
        <v>0</v>
      </c>
      <c r="AP527" s="76">
        <f t="shared" si="112"/>
        <v>0.68834660142004789</v>
      </c>
      <c r="AQ527" s="76">
        <f t="shared" si="115"/>
        <v>0</v>
      </c>
      <c r="AR527" s="76">
        <f t="shared" si="116"/>
        <v>0.8939217529914889</v>
      </c>
      <c r="AS527" s="76">
        <f t="shared" si="117"/>
        <v>0</v>
      </c>
      <c r="AT527" s="76">
        <f t="shared" si="118"/>
        <v>0</v>
      </c>
      <c r="AU527" s="76">
        <f t="shared" si="119"/>
        <v>48.75</v>
      </c>
      <c r="AV527" s="76">
        <f>MAX(0,(AU527-Constantes!$D$13)*(1-EXP(-Constantes!$D$24)))</f>
        <v>0</v>
      </c>
      <c r="AW527" s="170">
        <f>AW526+(Entradas!$E$112*AT527-AX526)/(800*Entradas!$D$25)</f>
        <v>0</v>
      </c>
      <c r="AX527" s="170">
        <f>8000*Entradas!$D$26*AW527/Constantes!$E$45</f>
        <v>0</v>
      </c>
      <c r="AY527" s="170">
        <f>IF(Escenarios!$E$17&gt;0,10*Escenarios!$E$16*AL527,0)</f>
        <v>0</v>
      </c>
      <c r="AZ527" s="170">
        <f>IF(Escenarios!$E$17&gt;0,10*Escenarios!$E$16*AX527,0)</f>
        <v>0</v>
      </c>
      <c r="BA527" s="170">
        <f>IF(Escenarios!$E$17&gt;0,0.001*Observaciones!$F526*Escenarios!$E$17,0)</f>
        <v>0</v>
      </c>
      <c r="BB527" s="170">
        <f>IF(Escenarios!$E$17&gt;0,Observaciones!$K526,0)</f>
        <v>0</v>
      </c>
      <c r="BC527" s="170">
        <f>IF(Escenarios!$E$17&gt;0,MIN(0.0005*ETo!$M526*Escenarios!$E$17*(BG526/Constantes!$E$40)^(2/3),BG526+AY527+AZ527+BA527+BB527),0)</f>
        <v>12.631273526447494</v>
      </c>
      <c r="BD527" s="170">
        <f>IF(Escenarios!$E$17&gt;0,MIN(Constantes!$E$39*(BG526/Constantes!$E$40)^(2/3),BG526+AY527+AZ527+BA527+BB527-BC527),0)</f>
        <v>34.36226623447434</v>
      </c>
      <c r="BE527" s="170">
        <f>IF(Escenarios!$E$17&gt;0,MIN(Entradas!$E$113,BG526+AY527+AZ527+BA527+BB527-BC527-BD527),0)</f>
        <v>1</v>
      </c>
      <c r="BF527" s="170">
        <f>IF(Escenarios!$E$17&gt;0,MAX(0,BG526+AY527+AZ527+BA527+BB527-BC527-BD527-BE527-Constantes!$E$40),0)</f>
        <v>0</v>
      </c>
      <c r="BG527" s="170">
        <f t="shared" si="124"/>
        <v>1828.7133916071175</v>
      </c>
      <c r="BH527" s="170">
        <f>(Escenarios!$E$16*AK527+0.1*BC527)/(Escenarios!$E$19)</f>
        <v>1.3704078694802746</v>
      </c>
      <c r="BI527" s="170">
        <f>IF(Escenarios!$E$17&gt;0,BF527/10/Escenarios!$E$19,AL527)</f>
        <v>0</v>
      </c>
      <c r="BJ527" s="170">
        <f>(Escenarios!$E$16*AT527+0.1*BD527)/(Escenarios!$E$19)</f>
        <v>1.3635819934315214E-2</v>
      </c>
      <c r="BK527" s="76">
        <f>BK526+(0.1*BD527)/(Escenarios!$E$19)-BL526</f>
        <v>50.622905691509992</v>
      </c>
      <c r="BL527" s="76">
        <f>MAX(0,(BK527-Constantes!$D$13)*(1-EXP(-Constantes!$D$23)))</f>
        <v>1.8454185869828804E-2</v>
      </c>
      <c r="BM527" s="76">
        <f t="shared" si="120"/>
        <v>0.70680078728987672</v>
      </c>
      <c r="BN527" s="76">
        <f t="shared" si="125"/>
        <v>0.91237593886131774</v>
      </c>
      <c r="BO527" s="76">
        <f>0.0526*BI527*Observaciones!$F526^1.218</f>
        <v>0</v>
      </c>
      <c r="BP527" s="76">
        <f>BO527*Constantes!$E$51</f>
        <v>0</v>
      </c>
      <c r="BQ527" s="76">
        <f t="shared" si="121"/>
        <v>0</v>
      </c>
      <c r="BR527" s="40"/>
    </row>
    <row r="528" spans="1:70">
      <c r="A528" s="147"/>
      <c r="B528" s="39"/>
      <c r="C528" s="75">
        <v>522</v>
      </c>
      <c r="D528" s="146">
        <f>ETo!$I527*((1-Constantes!$E$19)*ETo!$K527+ETo!$L527)</f>
        <v>2.610632934969503</v>
      </c>
      <c r="E528" s="76">
        <f>MIN(D528*Constantes!$E$17,0.8*(N527+Observaciones!$F527-F528-M528-Constantes!$D$14))</f>
        <v>1.2763705867659405</v>
      </c>
      <c r="F528" s="76">
        <f>IF(Observaciones!$F527&gt;0.05*Constantes!$E$18,((Observaciones!$F527-0.05*Constantes!$E$18)^2)/(Observaciones!$F527+0.95*Constantes!$E$18),0)</f>
        <v>0</v>
      </c>
      <c r="G528" s="76">
        <f>IF(Escenarios!$E$11&gt;0,(F528*Escenarios!$E$16*10000)/1000,0)</f>
        <v>0</v>
      </c>
      <c r="H528" s="76">
        <f>IF(Escenarios!$E$11&gt;0,(Observaciones!$F527*Constantes!$E$29)/1000,0)</f>
        <v>0</v>
      </c>
      <c r="I528" s="76">
        <f>IF(Escenarios!$E$11&gt;0,(D528*Constantes!$E$29)/1000,0)</f>
        <v>26.106329349695027</v>
      </c>
      <c r="J528" s="76">
        <f>IF(Escenarios!$E$11&gt;0,MAX(0,G528+H528-I528),0)</f>
        <v>0</v>
      </c>
      <c r="K528" s="76">
        <f>IF(Escenarios!$E$11&gt;0,IF(J528&gt;Constantes!$E$30,1000*((J528-Constantes!$E$30)/(Escenarios!$E$16*10000)),0),F528)</f>
        <v>0</v>
      </c>
      <c r="L528" s="76">
        <f>IF(Escenarios!$E$11&gt;0,I528*1000/Escenarios!$E$16/10000+E528,E528)</f>
        <v>1.2868131185058185</v>
      </c>
      <c r="M528" s="76">
        <f>MAX(0,N527+Observaciones!$F527-K528-Constantes!$D$13)</f>
        <v>0</v>
      </c>
      <c r="N528" s="76">
        <f>N527+Observaciones!$F527-K528-L528-M528-O527</f>
        <v>16.587563211824676</v>
      </c>
      <c r="O528" s="76">
        <f>MAX(0,(N528-Constantes!$D$14)*(1-EXP(-Constantes!$D$22)))</f>
        <v>0.18181699759044045</v>
      </c>
      <c r="P528" s="170">
        <f>P527+(Entradas!$E$83*M528-Q527)/(800*Entradas!$D$25)</f>
        <v>0</v>
      </c>
      <c r="Q528" s="170">
        <f>8000*Entradas!$D$26*P528/Constantes!$E$45</f>
        <v>0</v>
      </c>
      <c r="R528" s="170">
        <f>IF(Escenarios!$E$14&gt;0,K528*Escenarios!$E$13/Escenarios!$E$14,0)</f>
        <v>0</v>
      </c>
      <c r="S528" s="170">
        <f>IF(Escenarios!$E$14&gt;0,Q528*Escenarios!$E$13/Escenarios!$E$14,0)</f>
        <v>0</v>
      </c>
      <c r="T528" s="170">
        <f>IF(Escenarios!$E$14&gt;0,Observaciones!$I527,0)</f>
        <v>0</v>
      </c>
      <c r="U528" s="170">
        <f>IF(Escenarios!$E$14&gt;0,MAX(0,Constantes!$E$36/((Z527+R528+S528+T528+Observaciones!$F527)^2)+Entradas!$E$77),0)</f>
        <v>0</v>
      </c>
      <c r="V528" s="146">
        <f>IF(ETo!D527&gt;0,ETo!I527*((1-Entradas!$E$81)*ETo!K527+ETo!L527),0)</f>
        <v>2.3497142905541804</v>
      </c>
      <c r="W528" s="170">
        <f>IF(Escenarios!$E$14&gt;0,MIN(V528*1,0.8*(Z527+R528+S528+T528+Observaciones!$F527-U528-Constantes!$E$35)),0)</f>
        <v>2.3497142905541804</v>
      </c>
      <c r="X528" s="170">
        <f>IF(Escenarios!$E$14&gt;0,Observaciones!$J527,0)</f>
        <v>0</v>
      </c>
      <c r="Y528" s="170">
        <f>IF(Escenarios!$E$14&gt;0,MAX(0,Z527+R528+S528+T528+Observaciones!$F527-U528-W528-X528-Constantes!$E$33),0)</f>
        <v>0</v>
      </c>
      <c r="Z528" s="170">
        <f>Z527+R528+S528+T528+Observaciones!$F527-U528-W528-Y528</f>
        <v>42.581688987328718</v>
      </c>
      <c r="AA528" s="170">
        <f>IF(Escenarios!$E$14&gt;0,(Escenarios!$E$13*L528+Escenarios!$E$14*W528)/(Escenarios!$E$16),L528)</f>
        <v>1.4143612591516219</v>
      </c>
      <c r="AB528" s="170">
        <f>IF(Escenarios!$E$14&gt;0,(Escenarios!$E$14*Y528)/(Escenarios!$E$16),K528)</f>
        <v>0</v>
      </c>
      <c r="AC528" s="170">
        <f>IF(Escenarios!$E$14&gt;0,(Escenarios!$E$13*M528+Escenarios!$E$14*U528)/(Escenarios!$E$16),M528)</f>
        <v>0</v>
      </c>
      <c r="AD528" s="76">
        <f t="shared" si="113"/>
        <v>117.92159068462004</v>
      </c>
      <c r="AE528" s="76">
        <f>MAX(0,(AD528-Constantes!$D$13)*(1-EXP(-Constantes!$D$23)))</f>
        <v>0.68156415840486917</v>
      </c>
      <c r="AF528" s="76">
        <f>AB528+O528*Escenarios!$E$13/Escenarios!$E$16+AE528</f>
        <v>0.84156311628445679</v>
      </c>
      <c r="AG528" s="76">
        <f>IF(Entradas!$E$91&gt;0,IF(AF528-Escenarios!$E$38&lt;=0,0,IF(AF528-Escenarios!$E$38&gt;Escenarios!$E$37,Escenarios!$E$37,AF528-Escenarios!$E$38)),0)</f>
        <v>0</v>
      </c>
      <c r="AH528" s="76">
        <f>AG528*Entradas!$E$99</f>
        <v>0</v>
      </c>
      <c r="AI528" s="76">
        <f>IF(Entradas!$E$91&gt;0,D528*Entradas!$D$23/Escenarios!$E$16,0)</f>
        <v>0</v>
      </c>
      <c r="AJ528" s="76">
        <f>IF(Entradas!$E$91&gt;0,Entradas!$D$24*Entradas!$D$22/Escenarios!$E$16,0)</f>
        <v>0</v>
      </c>
      <c r="AK528" s="76">
        <f t="shared" si="122"/>
        <v>1.4143612591516219</v>
      </c>
      <c r="AL528" s="76">
        <f t="shared" si="123"/>
        <v>0</v>
      </c>
      <c r="AM528" s="76">
        <f t="shared" si="114"/>
        <v>0</v>
      </c>
      <c r="AN528" s="76">
        <f>MAX(0,O528*Escenarios!$E$13/Escenarios!$E$16-AM528)</f>
        <v>0.15999895787958759</v>
      </c>
      <c r="AO528" s="76">
        <f>AM528+AN528-O528*Escenarios!$E$13/Escenarios!$E$16</f>
        <v>0</v>
      </c>
      <c r="AP528" s="76">
        <f t="shared" si="112"/>
        <v>0.68156415840486917</v>
      </c>
      <c r="AQ528" s="76">
        <f t="shared" si="115"/>
        <v>0</v>
      </c>
      <c r="AR528" s="76">
        <f t="shared" si="116"/>
        <v>0.84156311628445679</v>
      </c>
      <c r="AS528" s="76">
        <f t="shared" si="117"/>
        <v>0</v>
      </c>
      <c r="AT528" s="76">
        <f t="shared" si="118"/>
        <v>0</v>
      </c>
      <c r="AU528" s="76">
        <f t="shared" si="119"/>
        <v>48.75</v>
      </c>
      <c r="AV528" s="76">
        <f>MAX(0,(AU528-Constantes!$D$13)*(1-EXP(-Constantes!$D$24)))</f>
        <v>0</v>
      </c>
      <c r="AW528" s="170">
        <f>AW527+(Entradas!$E$112*AT528-AX527)/(800*Entradas!$D$25)</f>
        <v>0</v>
      </c>
      <c r="AX528" s="170">
        <f>8000*Entradas!$D$26*AW528/Constantes!$E$45</f>
        <v>0</v>
      </c>
      <c r="AY528" s="170">
        <f>IF(Escenarios!$E$17&gt;0,10*Escenarios!$E$16*AL528,0)</f>
        <v>0</v>
      </c>
      <c r="AZ528" s="170">
        <f>IF(Escenarios!$E$17&gt;0,10*Escenarios!$E$16*AX528,0)</f>
        <v>0</v>
      </c>
      <c r="BA528" s="170">
        <f>IF(Escenarios!$E$17&gt;0,0.001*Observaciones!$F527*Escenarios!$E$17,0)</f>
        <v>0</v>
      </c>
      <c r="BB528" s="170">
        <f>IF(Escenarios!$E$17&gt;0,Observaciones!$K527,0)</f>
        <v>0</v>
      </c>
      <c r="BC528" s="170">
        <f>IF(Escenarios!$E$17&gt;0,MIN(0.0005*ETo!$M527*Escenarios!$E$17*(BG527/Constantes!$E$40)^(2/3),BG527+AY528+AZ528+BA528+BB528),0)</f>
        <v>12.754698126782365</v>
      </c>
      <c r="BD528" s="170">
        <f>IF(Escenarios!$E$17&gt;0,MIN(Constantes!$E$39*(BG527/Constantes!$E$40)^(2/3),BG527+AY528+AZ528+BA528+BB528-BC528),0)</f>
        <v>33.773903371641289</v>
      </c>
      <c r="BE528" s="170">
        <f>IF(Escenarios!$E$17&gt;0,MIN(Entradas!$E$113,BG527+AY528+AZ528+BA528+BB528-BC528-BD528),0)</f>
        <v>1</v>
      </c>
      <c r="BF528" s="170">
        <f>IF(Escenarios!$E$17&gt;0,MAX(0,BG527+AY528+AZ528+BA528+BB528-BC528-BD528-BE528-Constantes!$E$40),0)</f>
        <v>0</v>
      </c>
      <c r="BG528" s="170">
        <f t="shared" si="124"/>
        <v>1781.1847901086937</v>
      </c>
      <c r="BH528" s="170">
        <f>(Escenarios!$E$16*AK528+0.1*BC528)/(Escenarios!$E$19)</f>
        <v>1.4081975579388242</v>
      </c>
      <c r="BI528" s="170">
        <f>IF(Escenarios!$E$17&gt;0,BF528/10/Escenarios!$E$19,AL528)</f>
        <v>0</v>
      </c>
      <c r="BJ528" s="170">
        <f>(Escenarios!$E$16*AT528+0.1*BD528)/(Escenarios!$E$19)</f>
        <v>1.3402342607794163E-2</v>
      </c>
      <c r="BK528" s="76">
        <f>BK527+(0.1*BD528)/(Escenarios!$E$19)-BL527</f>
        <v>50.617853848247961</v>
      </c>
      <c r="BL528" s="76">
        <f>MAX(0,(BK528-Constantes!$D$13)*(1-EXP(-Constantes!$D$23)))</f>
        <v>1.8404408854912697E-2</v>
      </c>
      <c r="BM528" s="76">
        <f t="shared" si="120"/>
        <v>0.69996856725978185</v>
      </c>
      <c r="BN528" s="76">
        <f t="shared" si="125"/>
        <v>0.85996752513936947</v>
      </c>
      <c r="BO528" s="76">
        <f>0.0526*BI528*Observaciones!$F527^1.218</f>
        <v>0</v>
      </c>
      <c r="BP528" s="76">
        <f>BO528*Constantes!$E$51</f>
        <v>0</v>
      </c>
      <c r="BQ528" s="76">
        <f t="shared" si="121"/>
        <v>0</v>
      </c>
      <c r="BR528" s="40"/>
    </row>
    <row r="529" spans="1:70">
      <c r="A529" s="147"/>
      <c r="B529" s="39"/>
      <c r="C529" s="75">
        <v>523</v>
      </c>
      <c r="D529" s="146">
        <f>ETo!$I528*((1-Constantes!$E$19)*ETo!$K528+ETo!$L528)</f>
        <v>2.5407982407044636</v>
      </c>
      <c r="E529" s="76">
        <f>MIN(D529*Constantes!$E$17,0.8*(N528+Observaciones!$F528-F529-M529-Constantes!$D$14))</f>
        <v>1.2422275448615339</v>
      </c>
      <c r="F529" s="76">
        <f>IF(Observaciones!$F528&gt;0.05*Constantes!$E$18,((Observaciones!$F528-0.05*Constantes!$E$18)^2)/(Observaciones!$F528+0.95*Constantes!$E$18),0)</f>
        <v>0</v>
      </c>
      <c r="G529" s="76">
        <f>IF(Escenarios!$E$11&gt;0,(F529*Escenarios!$E$16*10000)/1000,0)</f>
        <v>0</v>
      </c>
      <c r="H529" s="76">
        <f>IF(Escenarios!$E$11&gt;0,(Observaciones!$F528*Constantes!$E$29)/1000,0)</f>
        <v>0</v>
      </c>
      <c r="I529" s="76">
        <f>IF(Escenarios!$E$11&gt;0,(D529*Constantes!$E$29)/1000,0)</f>
        <v>25.407982407044639</v>
      </c>
      <c r="J529" s="76">
        <f>IF(Escenarios!$E$11&gt;0,MAX(0,G529+H529-I529),0)</f>
        <v>0</v>
      </c>
      <c r="K529" s="76">
        <f>IF(Escenarios!$E$11&gt;0,IF(J529&gt;Constantes!$E$30,1000*((J529-Constantes!$E$30)/(Escenarios!$E$16*10000)),0),F529)</f>
        <v>0</v>
      </c>
      <c r="L529" s="76">
        <f>IF(Escenarios!$E$11&gt;0,I529*1000/Escenarios!$E$16/10000+E529,E529)</f>
        <v>1.2523907378243517</v>
      </c>
      <c r="M529" s="76">
        <f>MAX(0,N528+Observaciones!$F528-K529-Constantes!$D$13)</f>
        <v>0</v>
      </c>
      <c r="N529" s="76">
        <f>N528+Observaciones!$F528-K529-L529-M529-O528</f>
        <v>15.153355476409885</v>
      </c>
      <c r="O529" s="76">
        <f>MAX(0,(N529-Constantes!$D$14)*(1-EXP(-Constantes!$D$22)))</f>
        <v>0.13296261703782894</v>
      </c>
      <c r="P529" s="170">
        <f>P528+(Entradas!$E$83*M529-Q528)/(800*Entradas!$D$25)</f>
        <v>0</v>
      </c>
      <c r="Q529" s="170">
        <f>8000*Entradas!$D$26*P529/Constantes!$E$45</f>
        <v>0</v>
      </c>
      <c r="R529" s="170">
        <f>IF(Escenarios!$E$14&gt;0,K529*Escenarios!$E$13/Escenarios!$E$14,0)</f>
        <v>0</v>
      </c>
      <c r="S529" s="170">
        <f>IF(Escenarios!$E$14&gt;0,Q529*Escenarios!$E$13/Escenarios!$E$14,0)</f>
        <v>0</v>
      </c>
      <c r="T529" s="170">
        <f>IF(Escenarios!$E$14&gt;0,Observaciones!$I528,0)</f>
        <v>0</v>
      </c>
      <c r="U529" s="170">
        <f>IF(Escenarios!$E$14&gt;0,MAX(0,Constantes!$E$36/((Z528+R529+S529+T529+Observaciones!$F528)^2)+Entradas!$E$77),0)</f>
        <v>0</v>
      </c>
      <c r="V529" s="146">
        <f>IF(ETo!D528&gt;0,ETo!I528*((1-Entradas!$E$81)*ETo!K528+ETo!L528),0)</f>
        <v>2.2860076464270906</v>
      </c>
      <c r="W529" s="170">
        <f>IF(Escenarios!$E$14&gt;0,MIN(V529*1,0.8*(Z528+R529+S529+T529+Observaciones!$F528-U529-Constantes!$E$35)),0)</f>
        <v>1.0653511898629746</v>
      </c>
      <c r="X529" s="170">
        <f>IF(Escenarios!$E$14&gt;0,Observaciones!$J528,0)</f>
        <v>0</v>
      </c>
      <c r="Y529" s="170">
        <f>IF(Escenarios!$E$14&gt;0,MAX(0,Z528+R529+S529+T529+Observaciones!$F528-U529-W529-X529-Constantes!$E$33),0)</f>
        <v>0</v>
      </c>
      <c r="Z529" s="170">
        <f>Z528+R529+S529+T529+Observaciones!$F528-U529-W529-Y529</f>
        <v>41.516337797465745</v>
      </c>
      <c r="AA529" s="170">
        <f>IF(Escenarios!$E$14&gt;0,(Escenarios!$E$13*L529+Escenarios!$E$14*W529)/(Escenarios!$E$16),L529)</f>
        <v>1.2299459920689864</v>
      </c>
      <c r="AB529" s="170">
        <f>IF(Escenarios!$E$14&gt;0,(Escenarios!$E$14*Y529)/(Escenarios!$E$16),K529)</f>
        <v>0</v>
      </c>
      <c r="AC529" s="170">
        <f>IF(Escenarios!$E$14&gt;0,(Escenarios!$E$13*M529+Escenarios!$E$14*U529)/(Escenarios!$E$16),M529)</f>
        <v>0</v>
      </c>
      <c r="AD529" s="76">
        <f t="shared" si="113"/>
        <v>117.24002652621517</v>
      </c>
      <c r="AE529" s="76">
        <f>MAX(0,(AD529-Constantes!$D$13)*(1-EXP(-Constantes!$D$23)))</f>
        <v>0.67484854441617104</v>
      </c>
      <c r="AF529" s="76">
        <f>AB529+O529*Escenarios!$E$13/Escenarios!$E$16+AE529</f>
        <v>0.79185564740946046</v>
      </c>
      <c r="AG529" s="76">
        <f>IF(Entradas!$E$91&gt;0,IF(AF529-Escenarios!$E$38&lt;=0,0,IF(AF529-Escenarios!$E$38&gt;Escenarios!$E$37,Escenarios!$E$37,AF529-Escenarios!$E$38)),0)</f>
        <v>0</v>
      </c>
      <c r="AH529" s="76">
        <f>AG529*Entradas!$E$99</f>
        <v>0</v>
      </c>
      <c r="AI529" s="76">
        <f>IF(Entradas!$E$91&gt;0,D529*Entradas!$D$23/Escenarios!$E$16,0)</f>
        <v>0</v>
      </c>
      <c r="AJ529" s="76">
        <f>IF(Entradas!$E$91&gt;0,Entradas!$D$24*Entradas!$D$22/Escenarios!$E$16,0)</f>
        <v>0</v>
      </c>
      <c r="AK529" s="76">
        <f t="shared" si="122"/>
        <v>1.2299459920689864</v>
      </c>
      <c r="AL529" s="76">
        <f t="shared" si="123"/>
        <v>0</v>
      </c>
      <c r="AM529" s="76">
        <f t="shared" si="114"/>
        <v>0</v>
      </c>
      <c r="AN529" s="76">
        <f>MAX(0,O529*Escenarios!$E$13/Escenarios!$E$16-AM529)</f>
        <v>0.11700710299328947</v>
      </c>
      <c r="AO529" s="76">
        <f>AM529+AN529-O529*Escenarios!$E$13/Escenarios!$E$16</f>
        <v>0</v>
      </c>
      <c r="AP529" s="76">
        <f t="shared" si="112"/>
        <v>0.67484854441617104</v>
      </c>
      <c r="AQ529" s="76">
        <f t="shared" si="115"/>
        <v>0</v>
      </c>
      <c r="AR529" s="76">
        <f t="shared" si="116"/>
        <v>0.79185564740946046</v>
      </c>
      <c r="AS529" s="76">
        <f t="shared" si="117"/>
        <v>0</v>
      </c>
      <c r="AT529" s="76">
        <f t="shared" si="118"/>
        <v>0</v>
      </c>
      <c r="AU529" s="76">
        <f t="shared" si="119"/>
        <v>48.75</v>
      </c>
      <c r="AV529" s="76">
        <f>MAX(0,(AU529-Constantes!$D$13)*(1-EXP(-Constantes!$D$24)))</f>
        <v>0</v>
      </c>
      <c r="AW529" s="170">
        <f>AW528+(Entradas!$E$112*AT529-AX528)/(800*Entradas!$D$25)</f>
        <v>0</v>
      </c>
      <c r="AX529" s="170">
        <f>8000*Entradas!$D$26*AW529/Constantes!$E$45</f>
        <v>0</v>
      </c>
      <c r="AY529" s="170">
        <f>IF(Escenarios!$E$17&gt;0,10*Escenarios!$E$16*AL529,0)</f>
        <v>0</v>
      </c>
      <c r="AZ529" s="170">
        <f>IF(Escenarios!$E$17&gt;0,10*Escenarios!$E$16*AX529,0)</f>
        <v>0</v>
      </c>
      <c r="BA529" s="170">
        <f>IF(Escenarios!$E$17&gt;0,0.001*Observaciones!$F528*Escenarios!$E$17,0)</f>
        <v>0</v>
      </c>
      <c r="BB529" s="170">
        <f>IF(Escenarios!$E$17&gt;0,Observaciones!$K528,0)</f>
        <v>0</v>
      </c>
      <c r="BC529" s="170">
        <f>IF(Escenarios!$E$17&gt;0,MIN(0.0005*ETo!$M528*Escenarios!$E$17*(BG528/Constantes!$E$40)^(2/3),BG528+AY529+AZ529+BA529+BB529),0)</f>
        <v>12.203038206979851</v>
      </c>
      <c r="BD529" s="170">
        <f>IF(Escenarios!$E$17&gt;0,MIN(Constantes!$E$39*(BG528/Constantes!$E$40)^(2/3),BG528+AY529+AZ529+BA529+BB529-BC529),0)</f>
        <v>33.186145400727881</v>
      </c>
      <c r="BE529" s="170">
        <f>IF(Escenarios!$E$17&gt;0,MIN(Entradas!$E$113,BG528+AY529+AZ529+BA529+BB529-BC529-BD529),0)</f>
        <v>1</v>
      </c>
      <c r="BF529" s="170">
        <f>IF(Escenarios!$E$17&gt;0,MAX(0,BG528+AY529+AZ529+BA529+BB529-BC529-BD529-BE529-Constantes!$E$40),0)</f>
        <v>0</v>
      </c>
      <c r="BG529" s="170">
        <f t="shared" si="124"/>
        <v>1734.795606500986</v>
      </c>
      <c r="BH529" s="170">
        <f>(Escenarios!$E$16*AK529+0.1*BC529)/(Escenarios!$E$19)</f>
        <v>1.2250269914204153</v>
      </c>
      <c r="BI529" s="170">
        <f>IF(Escenarios!$E$17&gt;0,BF529/10/Escenarios!$E$19,AL529)</f>
        <v>0</v>
      </c>
      <c r="BJ529" s="170">
        <f>(Escenarios!$E$16*AT529+0.1*BD529)/(Escenarios!$E$19)</f>
        <v>1.3169105317749161E-2</v>
      </c>
      <c r="BK529" s="76">
        <f>BK528+(0.1*BD529)/(Escenarios!$E$19)-BL528</f>
        <v>50.612618544710799</v>
      </c>
      <c r="BL529" s="76">
        <f>MAX(0,(BK529-Constantes!$D$13)*(1-EXP(-Constantes!$D$23)))</f>
        <v>1.8352824162208882E-2</v>
      </c>
      <c r="BM529" s="76">
        <f t="shared" si="120"/>
        <v>0.69320136857837988</v>
      </c>
      <c r="BN529" s="76">
        <f t="shared" si="125"/>
        <v>0.81020847157166931</v>
      </c>
      <c r="BO529" s="76">
        <f>0.0526*BI529*Observaciones!$F528^1.218</f>
        <v>0</v>
      </c>
      <c r="BP529" s="76">
        <f>BO529*Constantes!$E$51</f>
        <v>0</v>
      </c>
      <c r="BQ529" s="76">
        <f t="shared" si="121"/>
        <v>0</v>
      </c>
      <c r="BR529" s="40"/>
    </row>
    <row r="530" spans="1:70">
      <c r="A530" s="147"/>
      <c r="B530" s="39"/>
      <c r="C530" s="75">
        <v>524</v>
      </c>
      <c r="D530" s="146">
        <f>ETo!$I529*((1-Constantes!$E$19)*ETo!$K529+ETo!$L529)</f>
        <v>2.5637865928715735</v>
      </c>
      <c r="E530" s="76">
        <f>MIN(D530*Constantes!$E$17,0.8*(N529+Observaciones!$F529-F530-M530-Constantes!$D$14))</f>
        <v>1.2534668332928118</v>
      </c>
      <c r="F530" s="76">
        <f>IF(Observaciones!$F529&gt;0.05*Constantes!$E$18,((Observaciones!$F529-0.05*Constantes!$E$18)^2)/(Observaciones!$F529+0.95*Constantes!$E$18),0)</f>
        <v>0</v>
      </c>
      <c r="G530" s="76">
        <f>IF(Escenarios!$E$11&gt;0,(F530*Escenarios!$E$16*10000)/1000,0)</f>
        <v>0</v>
      </c>
      <c r="H530" s="76">
        <f>IF(Escenarios!$E$11&gt;0,(Observaciones!$F529*Constantes!$E$29)/1000,0)</f>
        <v>0</v>
      </c>
      <c r="I530" s="76">
        <f>IF(Escenarios!$E$11&gt;0,(D530*Constantes!$E$29)/1000,0)</f>
        <v>25.637865928715737</v>
      </c>
      <c r="J530" s="76">
        <f>IF(Escenarios!$E$11&gt;0,MAX(0,G530+H530-I530),0)</f>
        <v>0</v>
      </c>
      <c r="K530" s="76">
        <f>IF(Escenarios!$E$11&gt;0,IF(J530&gt;Constantes!$E$30,1000*((J530-Constantes!$E$30)/(Escenarios!$E$16*10000)),0),F530)</f>
        <v>0</v>
      </c>
      <c r="L530" s="76">
        <f>IF(Escenarios!$E$11&gt;0,I530*1000/Escenarios!$E$16/10000+E530,E530)</f>
        <v>1.2637219796642982</v>
      </c>
      <c r="M530" s="76">
        <f>MAX(0,N529+Observaciones!$F529-K530-Constantes!$D$13)</f>
        <v>0</v>
      </c>
      <c r="N530" s="76">
        <f>N529+Observaciones!$F529-K530-L530-M530-O529</f>
        <v>13.756670879707757</v>
      </c>
      <c r="O530" s="76">
        <f>MAX(0,(N530-Constantes!$D$14)*(1-EXP(-Constantes!$D$22)))</f>
        <v>8.5386412340032955E-2</v>
      </c>
      <c r="P530" s="170">
        <f>P529+(Entradas!$E$83*M530-Q529)/(800*Entradas!$D$25)</f>
        <v>0</v>
      </c>
      <c r="Q530" s="170">
        <f>8000*Entradas!$D$26*P530/Constantes!$E$45</f>
        <v>0</v>
      </c>
      <c r="R530" s="170">
        <f>IF(Escenarios!$E$14&gt;0,K530*Escenarios!$E$13/Escenarios!$E$14,0)</f>
        <v>0</v>
      </c>
      <c r="S530" s="170">
        <f>IF(Escenarios!$E$14&gt;0,Q530*Escenarios!$E$13/Escenarios!$E$14,0)</f>
        <v>0</v>
      </c>
      <c r="T530" s="170">
        <f>IF(Escenarios!$E$14&gt;0,Observaciones!$I529,0)</f>
        <v>0</v>
      </c>
      <c r="U530" s="170">
        <f>IF(Escenarios!$E$14&gt;0,MAX(0,Constantes!$E$36/((Z529+R530+S530+T530+Observaciones!$F529)^2)+Entradas!$E$77),0)</f>
        <v>0</v>
      </c>
      <c r="V530" s="146">
        <f>IF(ETo!D529&gt;0,ETo!I529*((1-Entradas!$E$81)*ETo!K529+ETo!L529),0)</f>
        <v>2.3067094358505993</v>
      </c>
      <c r="W530" s="170">
        <f>IF(Escenarios!$E$14&gt;0,MIN(V530*1,0.8*(Z529+R530+S530+T530+Observaciones!$F529-U530-Constantes!$E$35)),0)</f>
        <v>0.21307023797259605</v>
      </c>
      <c r="X530" s="170">
        <f>IF(Escenarios!$E$14&gt;0,Observaciones!$J529,0)</f>
        <v>0</v>
      </c>
      <c r="Y530" s="170">
        <f>IF(Escenarios!$E$14&gt;0,MAX(0,Z529+R530+S530+T530+Observaciones!$F529-U530-W530-X530-Constantes!$E$33),0)</f>
        <v>0</v>
      </c>
      <c r="Z530" s="170">
        <f>Z529+R530+S530+T530+Observaciones!$F529-U530-W530-Y530</f>
        <v>41.30326755949315</v>
      </c>
      <c r="AA530" s="170">
        <f>IF(Escenarios!$E$14&gt;0,(Escenarios!$E$13*L530+Escenarios!$E$14*W530)/(Escenarios!$E$16),L530)</f>
        <v>1.1376437706612939</v>
      </c>
      <c r="AB530" s="170">
        <f>IF(Escenarios!$E$14&gt;0,(Escenarios!$E$14*Y530)/(Escenarios!$E$16),K530)</f>
        <v>0</v>
      </c>
      <c r="AC530" s="170">
        <f>IF(Escenarios!$E$14&gt;0,(Escenarios!$E$13*M530+Escenarios!$E$14*U530)/(Escenarios!$E$16),M530)</f>
        <v>0</v>
      </c>
      <c r="AD530" s="76">
        <f t="shared" si="113"/>
        <v>116.56517798179901</v>
      </c>
      <c r="AE530" s="76">
        <f>MAX(0,(AD530-Constantes!$D$13)*(1-EXP(-Constantes!$D$23)))</f>
        <v>0.66819910097163815</v>
      </c>
      <c r="AF530" s="76">
        <f>AB530+O530*Escenarios!$E$13/Escenarios!$E$16+AE530</f>
        <v>0.74333914383086719</v>
      </c>
      <c r="AG530" s="76">
        <f>IF(Entradas!$E$91&gt;0,IF(AF530-Escenarios!$E$38&lt;=0,0,IF(AF530-Escenarios!$E$38&gt;Escenarios!$E$37,Escenarios!$E$37,AF530-Escenarios!$E$38)),0)</f>
        <v>0</v>
      </c>
      <c r="AH530" s="76">
        <f>AG530*Entradas!$E$99</f>
        <v>0</v>
      </c>
      <c r="AI530" s="76">
        <f>IF(Entradas!$E$91&gt;0,D530*Entradas!$D$23/Escenarios!$E$16,0)</f>
        <v>0</v>
      </c>
      <c r="AJ530" s="76">
        <f>IF(Entradas!$E$91&gt;0,Entradas!$D$24*Entradas!$D$22/Escenarios!$E$16,0)</f>
        <v>0</v>
      </c>
      <c r="AK530" s="76">
        <f t="shared" si="122"/>
        <v>1.1376437706612939</v>
      </c>
      <c r="AL530" s="76">
        <f t="shared" si="123"/>
        <v>0</v>
      </c>
      <c r="AM530" s="76">
        <f t="shared" si="114"/>
        <v>0</v>
      </c>
      <c r="AN530" s="76">
        <f>MAX(0,O530*Escenarios!$E$13/Escenarios!$E$16-AM530)</f>
        <v>7.5140042859228998E-2</v>
      </c>
      <c r="AO530" s="76">
        <f>AM530+AN530-O530*Escenarios!$E$13/Escenarios!$E$16</f>
        <v>0</v>
      </c>
      <c r="AP530" s="76">
        <f t="shared" si="112"/>
        <v>0.66819910097163815</v>
      </c>
      <c r="AQ530" s="76">
        <f t="shared" si="115"/>
        <v>0</v>
      </c>
      <c r="AR530" s="76">
        <f t="shared" si="116"/>
        <v>0.74333914383086719</v>
      </c>
      <c r="AS530" s="76">
        <f t="shared" si="117"/>
        <v>0</v>
      </c>
      <c r="AT530" s="76">
        <f t="shared" si="118"/>
        <v>0</v>
      </c>
      <c r="AU530" s="76">
        <f t="shared" si="119"/>
        <v>48.75</v>
      </c>
      <c r="AV530" s="76">
        <f>MAX(0,(AU530-Constantes!$D$13)*(1-EXP(-Constantes!$D$24)))</f>
        <v>0</v>
      </c>
      <c r="AW530" s="170">
        <f>AW529+(Entradas!$E$112*AT530-AX529)/(800*Entradas!$D$25)</f>
        <v>0</v>
      </c>
      <c r="AX530" s="170">
        <f>8000*Entradas!$D$26*AW530/Constantes!$E$45</f>
        <v>0</v>
      </c>
      <c r="AY530" s="170">
        <f>IF(Escenarios!$E$17&gt;0,10*Escenarios!$E$16*AL530,0)</f>
        <v>0</v>
      </c>
      <c r="AZ530" s="170">
        <f>IF(Escenarios!$E$17&gt;0,10*Escenarios!$E$16*AX530,0)</f>
        <v>0</v>
      </c>
      <c r="BA530" s="170">
        <f>IF(Escenarios!$E$17&gt;0,0.001*Observaciones!$F529*Escenarios!$E$17,0)</f>
        <v>0</v>
      </c>
      <c r="BB530" s="170">
        <f>IF(Escenarios!$E$17&gt;0,Observaciones!$K529,0)</f>
        <v>0</v>
      </c>
      <c r="BC530" s="170">
        <f>IF(Escenarios!$E$17&gt;0,MIN(0.0005*ETo!$M529*Escenarios!$E$17*(BG529/Constantes!$E$40)^(2/3),BG529+AY530+AZ530+BA530+BB530),0)</f>
        <v>12.098594311269304</v>
      </c>
      <c r="BD530" s="170">
        <f>IF(Escenarios!$E$17&gt;0,MIN(Constantes!$E$39*(BG529/Constantes!$E$40)^(2/3),BG529+AY530+AZ530+BA530+BB530-BC530),0)</f>
        <v>32.607414843219146</v>
      </c>
      <c r="BE530" s="170">
        <f>IF(Escenarios!$E$17&gt;0,MIN(Entradas!$E$113,BG529+AY530+AZ530+BA530+BB530-BC530-BD530),0)</f>
        <v>1</v>
      </c>
      <c r="BF530" s="170">
        <f>IF(Escenarios!$E$17&gt;0,MAX(0,BG529+AY530+AZ530+BA530+BB530-BC530-BD530-BE530-Constantes!$E$40),0)</f>
        <v>0</v>
      </c>
      <c r="BG530" s="170">
        <f t="shared" si="124"/>
        <v>1689.0895973464974</v>
      </c>
      <c r="BH530" s="170">
        <f>(Escenarios!$E$16*AK530+0.1*BC530)/(Escenarios!$E$19)</f>
        <v>1.1334158813351207</v>
      </c>
      <c r="BI530" s="170">
        <f>IF(Escenarios!$E$17&gt;0,BF530/10/Escenarios!$E$19,AL530)</f>
        <v>0</v>
      </c>
      <c r="BJ530" s="170">
        <f>(Escenarios!$E$16*AT530+0.1*BD530)/(Escenarios!$E$19)</f>
        <v>1.2939450334610773E-2</v>
      </c>
      <c r="BK530" s="76">
        <f>BK529+(0.1*BD530)/(Escenarios!$E$19)-BL529</f>
        <v>50.607205170883205</v>
      </c>
      <c r="BL530" s="76">
        <f>MAX(0,(BK530-Constantes!$D$13)*(1-EXP(-Constantes!$D$23)))</f>
        <v>1.829948490052041E-2</v>
      </c>
      <c r="BM530" s="76">
        <f t="shared" si="120"/>
        <v>0.68649858587215851</v>
      </c>
      <c r="BN530" s="76">
        <f t="shared" si="125"/>
        <v>0.76163862873138755</v>
      </c>
      <c r="BO530" s="76">
        <f>0.0526*BI530*Observaciones!$F529^1.218</f>
        <v>0</v>
      </c>
      <c r="BP530" s="76">
        <f>BO530*Constantes!$E$51</f>
        <v>0</v>
      </c>
      <c r="BQ530" s="76">
        <f t="shared" si="121"/>
        <v>0</v>
      </c>
      <c r="BR530" s="40"/>
    </row>
    <row r="531" spans="1:70">
      <c r="A531" s="147"/>
      <c r="B531" s="39"/>
      <c r="C531" s="75">
        <v>525</v>
      </c>
      <c r="D531" s="146">
        <f>ETo!$I530*((1-Constantes!$E$19)*ETo!$K530+ETo!$L530)</f>
        <v>2.4282217159373674</v>
      </c>
      <c r="E531" s="76">
        <f>MIN(D531*Constantes!$E$17,0.8*(N530+Observaciones!$F530-F531-M531-Constantes!$D$14))</f>
        <v>1.1871874957422854</v>
      </c>
      <c r="F531" s="76">
        <f>IF(Observaciones!$F530&gt;0.05*Constantes!$E$18,((Observaciones!$F530-0.05*Constantes!$E$18)^2)/(Observaciones!$F530+0.95*Constantes!$E$18),0)</f>
        <v>0</v>
      </c>
      <c r="G531" s="76">
        <f>IF(Escenarios!$E$11&gt;0,(F531*Escenarios!$E$16*10000)/1000,0)</f>
        <v>0</v>
      </c>
      <c r="H531" s="76">
        <f>IF(Escenarios!$E$11&gt;0,(Observaciones!$F530*Constantes!$E$29)/1000,0)</f>
        <v>17</v>
      </c>
      <c r="I531" s="76">
        <f>IF(Escenarios!$E$11&gt;0,(D531*Constantes!$E$29)/1000,0)</f>
        <v>24.282217159373676</v>
      </c>
      <c r="J531" s="76">
        <f>IF(Escenarios!$E$11&gt;0,MAX(0,G531+H531-I531),0)</f>
        <v>0</v>
      </c>
      <c r="K531" s="76">
        <f>IF(Escenarios!$E$11&gt;0,IF(J531&gt;Constantes!$E$30,1000*((J531-Constantes!$E$30)/(Escenarios!$E$16*10000)),0),F531)</f>
        <v>0</v>
      </c>
      <c r="L531" s="76">
        <f>IF(Escenarios!$E$11&gt;0,I531*1000/Escenarios!$E$16/10000+E531,E531)</f>
        <v>1.1969003826060349</v>
      </c>
      <c r="M531" s="76">
        <f>MAX(0,N530+Observaciones!$F530-K531-Constantes!$D$13)</f>
        <v>0</v>
      </c>
      <c r="N531" s="76">
        <f>N530+Observaciones!$F530-K531-L531-M531-O530</f>
        <v>14.174384084761689</v>
      </c>
      <c r="O531" s="76">
        <f>MAX(0,(N531-Constantes!$D$14)*(1-EXP(-Constantes!$D$22)))</f>
        <v>9.9615257560738621E-2</v>
      </c>
      <c r="P531" s="170">
        <f>P530+(Entradas!$E$83*M531-Q530)/(800*Entradas!$D$25)</f>
        <v>0</v>
      </c>
      <c r="Q531" s="170">
        <f>8000*Entradas!$D$26*P531/Constantes!$E$45</f>
        <v>0</v>
      </c>
      <c r="R531" s="170">
        <f>IF(Escenarios!$E$14&gt;0,K531*Escenarios!$E$13/Escenarios!$E$14,0)</f>
        <v>0</v>
      </c>
      <c r="S531" s="170">
        <f>IF(Escenarios!$E$14&gt;0,Q531*Escenarios!$E$13/Escenarios!$E$14,0)</f>
        <v>0</v>
      </c>
      <c r="T531" s="170">
        <f>IF(Escenarios!$E$14&gt;0,Observaciones!$I530,0)</f>
        <v>0</v>
      </c>
      <c r="U531" s="170">
        <f>IF(Escenarios!$E$14&gt;0,MAX(0,Constantes!$E$36/((Z530+R531+S531+T531+Observaciones!$F530)^2)+Entradas!$E$77),0)</f>
        <v>0</v>
      </c>
      <c r="V531" s="146">
        <f>IF(ETo!D530&gt;0,ETo!I530*((1-Entradas!$E$81)*ETo!K530+ETo!L530),0)</f>
        <v>2.1836847084703606</v>
      </c>
      <c r="W531" s="170">
        <f>IF(Escenarios!$E$14&gt;0,MIN(V531*1,0.8*(Z530+R531+S531+T531+Observaciones!$F530-U531-Constantes!$E$35)),0)</f>
        <v>1.4026140475945228</v>
      </c>
      <c r="X531" s="170">
        <f>IF(Escenarios!$E$14&gt;0,Observaciones!$J530,0)</f>
        <v>0</v>
      </c>
      <c r="Y531" s="170">
        <f>IF(Escenarios!$E$14&gt;0,MAX(0,Z530+R531+S531+T531+Observaciones!$F530-U531-W531-X531-Constantes!$E$33),0)</f>
        <v>0</v>
      </c>
      <c r="Z531" s="170">
        <f>Z530+R531+S531+T531+Observaciones!$F530-U531-W531-Y531</f>
        <v>41.600653511898628</v>
      </c>
      <c r="AA531" s="170">
        <f>IF(Escenarios!$E$14&gt;0,(Escenarios!$E$13*L531+Escenarios!$E$14*W531)/(Escenarios!$E$16),L531)</f>
        <v>1.2215860224046535</v>
      </c>
      <c r="AB531" s="170">
        <f>IF(Escenarios!$E$14&gt;0,(Escenarios!$E$14*Y531)/(Escenarios!$E$16),K531)</f>
        <v>0</v>
      </c>
      <c r="AC531" s="170">
        <f>IF(Escenarios!$E$14&gt;0,(Escenarios!$E$13*M531+Escenarios!$E$14*U531)/(Escenarios!$E$16),M531)</f>
        <v>0</v>
      </c>
      <c r="AD531" s="76">
        <f t="shared" si="113"/>
        <v>115.89697888082738</v>
      </c>
      <c r="AE531" s="76">
        <f>MAX(0,(AD531-Constantes!$D$13)*(1-EXP(-Constantes!$D$23)))</f>
        <v>0.66161517607713838</v>
      </c>
      <c r="AF531" s="76">
        <f>AB531+O531*Escenarios!$E$13/Escenarios!$E$16+AE531</f>
        <v>0.74927660273058838</v>
      </c>
      <c r="AG531" s="76">
        <f>IF(Entradas!$E$91&gt;0,IF(AF531-Escenarios!$E$38&lt;=0,0,IF(AF531-Escenarios!$E$38&gt;Escenarios!$E$37,Escenarios!$E$37,AF531-Escenarios!$E$38)),0)</f>
        <v>0</v>
      </c>
      <c r="AH531" s="76">
        <f>AG531*Entradas!$E$99</f>
        <v>0</v>
      </c>
      <c r="AI531" s="76">
        <f>IF(Entradas!$E$91&gt;0,D531*Entradas!$D$23/Escenarios!$E$16,0)</f>
        <v>0</v>
      </c>
      <c r="AJ531" s="76">
        <f>IF(Entradas!$E$91&gt;0,Entradas!$D$24*Entradas!$D$22/Escenarios!$E$16,0)</f>
        <v>0</v>
      </c>
      <c r="AK531" s="76">
        <f t="shared" si="122"/>
        <v>1.2215860224046535</v>
      </c>
      <c r="AL531" s="76">
        <f t="shared" si="123"/>
        <v>0</v>
      </c>
      <c r="AM531" s="76">
        <f t="shared" si="114"/>
        <v>0</v>
      </c>
      <c r="AN531" s="76">
        <f>MAX(0,O531*Escenarios!$E$13/Escenarios!$E$16-AM531)</f>
        <v>8.7661426653449989E-2</v>
      </c>
      <c r="AO531" s="76">
        <f>AM531+AN531-O531*Escenarios!$E$13/Escenarios!$E$16</f>
        <v>0</v>
      </c>
      <c r="AP531" s="76">
        <f t="shared" si="112"/>
        <v>0.66161517607713838</v>
      </c>
      <c r="AQ531" s="76">
        <f t="shared" si="115"/>
        <v>0</v>
      </c>
      <c r="AR531" s="76">
        <f t="shared" si="116"/>
        <v>0.74927660273058838</v>
      </c>
      <c r="AS531" s="76">
        <f t="shared" si="117"/>
        <v>0</v>
      </c>
      <c r="AT531" s="76">
        <f t="shared" si="118"/>
        <v>0</v>
      </c>
      <c r="AU531" s="76">
        <f t="shared" si="119"/>
        <v>48.75</v>
      </c>
      <c r="AV531" s="76">
        <f>MAX(0,(AU531-Constantes!$D$13)*(1-EXP(-Constantes!$D$24)))</f>
        <v>0</v>
      </c>
      <c r="AW531" s="170">
        <f>AW530+(Entradas!$E$112*AT531-AX530)/(800*Entradas!$D$25)</f>
        <v>0</v>
      </c>
      <c r="AX531" s="170">
        <f>8000*Entradas!$D$26*AW531/Constantes!$E$45</f>
        <v>0</v>
      </c>
      <c r="AY531" s="170">
        <f>IF(Escenarios!$E$17&gt;0,10*Escenarios!$E$16*AL531,0)</f>
        <v>0</v>
      </c>
      <c r="AZ531" s="170">
        <f>IF(Escenarios!$E$17&gt;0,10*Escenarios!$E$16*AX531,0)</f>
        <v>0</v>
      </c>
      <c r="BA531" s="170">
        <f>IF(Escenarios!$E$17&gt;0,0.001*Observaciones!$F530*Escenarios!$E$17,0)</f>
        <v>34</v>
      </c>
      <c r="BB531" s="170">
        <f>IF(Escenarios!$E$17&gt;0,Observaciones!$K530,0)</f>
        <v>0</v>
      </c>
      <c r="BC531" s="170">
        <f>IF(Escenarios!$E$17&gt;0,MIN(0.0005*ETo!$M530*Escenarios!$E$17*(BG530/Constantes!$E$40)^(2/3),BG530+AY531+AZ531+BA531+BB531),0)</f>
        <v>11.263332745556374</v>
      </c>
      <c r="BD531" s="170">
        <f>IF(Escenarios!$E$17&gt;0,MIN(Constantes!$E$39*(BG530/Constantes!$E$40)^(2/3),BG530+AY531+AZ531+BA531+BB531-BC531),0)</f>
        <v>32.03213979681248</v>
      </c>
      <c r="BE531" s="170">
        <f>IF(Escenarios!$E$17&gt;0,MIN(Entradas!$E$113,BG530+AY531+AZ531+BA531+BB531-BC531-BD531),0)</f>
        <v>1</v>
      </c>
      <c r="BF531" s="170">
        <f>IF(Escenarios!$E$17&gt;0,MAX(0,BG530+AY531+AZ531+BA531+BB531-BC531-BD531-BE531-Constantes!$E$40),0)</f>
        <v>0</v>
      </c>
      <c r="BG531" s="170">
        <f t="shared" si="124"/>
        <v>1678.7941248041284</v>
      </c>
      <c r="BH531" s="170">
        <f>(Escenarios!$E$16*AK531+0.1*BC531)/(Escenarios!$E$19)</f>
        <v>1.2163604717290437</v>
      </c>
      <c r="BI531" s="170">
        <f>IF(Escenarios!$E$17&gt;0,BF531/10/Escenarios!$E$19,AL531)</f>
        <v>0</v>
      </c>
      <c r="BJ531" s="170">
        <f>(Escenarios!$E$16*AT531+0.1*BD531)/(Escenarios!$E$19)</f>
        <v>1.2711166586036698E-2</v>
      </c>
      <c r="BK531" s="76">
        <f>BK530+(0.1*BD531)/(Escenarios!$E$19)-BL530</f>
        <v>50.601616852568725</v>
      </c>
      <c r="BL531" s="76">
        <f>MAX(0,(BK531-Constantes!$D$13)*(1-EXP(-Constantes!$D$23)))</f>
        <v>1.8244421869134116E-2</v>
      </c>
      <c r="BM531" s="76">
        <f t="shared" si="120"/>
        <v>0.67985959794627249</v>
      </c>
      <c r="BN531" s="76">
        <f t="shared" si="125"/>
        <v>0.76752102459972249</v>
      </c>
      <c r="BO531" s="76">
        <f>0.0526*BI531*Observaciones!$F530^1.218</f>
        <v>0</v>
      </c>
      <c r="BP531" s="76">
        <f>BO531*Constantes!$E$51</f>
        <v>0</v>
      </c>
      <c r="BQ531" s="76">
        <f t="shared" si="121"/>
        <v>0</v>
      </c>
      <c r="BR531" s="40"/>
    </row>
    <row r="532" spans="1:70">
      <c r="A532" s="147"/>
      <c r="B532" s="39"/>
      <c r="C532" s="75">
        <v>526</v>
      </c>
      <c r="D532" s="146">
        <f>ETo!$I531*((1-Constantes!$E$19)*ETo!$K531+ETo!$L531)</f>
        <v>2.3762838397537673</v>
      </c>
      <c r="E532" s="76">
        <f>MIN(D532*Constantes!$E$17,0.8*(N531+Observaciones!$F531-F532-M532-Constantes!$D$14))</f>
        <v>1.1617944285623478</v>
      </c>
      <c r="F532" s="76">
        <f>IF(Observaciones!$F531&gt;0.05*Constantes!$E$18,((Observaciones!$F531-0.05*Constantes!$E$18)^2)/(Observaciones!$F531+0.95*Constantes!$E$18),0)</f>
        <v>0</v>
      </c>
      <c r="G532" s="76">
        <f>IF(Escenarios!$E$11&gt;0,(F532*Escenarios!$E$16*10000)/1000,0)</f>
        <v>0</v>
      </c>
      <c r="H532" s="76">
        <f>IF(Escenarios!$E$11&gt;0,(Observaciones!$F531*Constantes!$E$29)/1000,0)</f>
        <v>13</v>
      </c>
      <c r="I532" s="76">
        <f>IF(Escenarios!$E$11&gt;0,(D532*Constantes!$E$29)/1000,0)</f>
        <v>23.762838397537674</v>
      </c>
      <c r="J532" s="76">
        <f>IF(Escenarios!$E$11&gt;0,MAX(0,G532+H532-I532),0)</f>
        <v>0</v>
      </c>
      <c r="K532" s="76">
        <f>IF(Escenarios!$E$11&gt;0,IF(J532&gt;Constantes!$E$30,1000*((J532-Constantes!$E$30)/(Escenarios!$E$16*10000)),0),F532)</f>
        <v>0</v>
      </c>
      <c r="L532" s="76">
        <f>IF(Escenarios!$E$11&gt;0,I532*1000/Escenarios!$E$16/10000+E532,E532)</f>
        <v>1.1712995639213628</v>
      </c>
      <c r="M532" s="76">
        <f>MAX(0,N531+Observaciones!$F531-K532-Constantes!$D$13)</f>
        <v>0</v>
      </c>
      <c r="N532" s="76">
        <f>N531+Observaciones!$F531-K532-L532-M532-O531</f>
        <v>14.203469263279588</v>
      </c>
      <c r="O532" s="76">
        <f>MAX(0,(N532-Constantes!$D$14)*(1-EXP(-Constantes!$D$22)))</f>
        <v>0.1006060055149345</v>
      </c>
      <c r="P532" s="170">
        <f>P531+(Entradas!$E$83*M532-Q531)/(800*Entradas!$D$25)</f>
        <v>0</v>
      </c>
      <c r="Q532" s="170">
        <f>8000*Entradas!$D$26*P532/Constantes!$E$45</f>
        <v>0</v>
      </c>
      <c r="R532" s="170">
        <f>IF(Escenarios!$E$14&gt;0,K532*Escenarios!$E$13/Escenarios!$E$14,0)</f>
        <v>0</v>
      </c>
      <c r="S532" s="170">
        <f>IF(Escenarios!$E$14&gt;0,Q532*Escenarios!$E$13/Escenarios!$E$14,0)</f>
        <v>0</v>
      </c>
      <c r="T532" s="170">
        <f>IF(Escenarios!$E$14&gt;0,Observaciones!$I531,0)</f>
        <v>0</v>
      </c>
      <c r="U532" s="170">
        <f>IF(Escenarios!$E$14&gt;0,MAX(0,Constantes!$E$36/((Z531+R532+S532+T532+Observaciones!$F531)^2)+Entradas!$E$77),0)</f>
        <v>0</v>
      </c>
      <c r="V532" s="146">
        <f>IF(ETo!D531&gt;0,ETo!I531*((1-Entradas!$E$81)*ETo!K531+ETo!L531),0)</f>
        <v>2.1366520112961207</v>
      </c>
      <c r="W532" s="170">
        <f>IF(Escenarios!$E$14&gt;0,MIN(V532*1,0.8*(Z531+R532+S532+T532+Observaciones!$F531-U532-Constantes!$E$35)),0)</f>
        <v>1.3205228095189001</v>
      </c>
      <c r="X532" s="170">
        <f>IF(Escenarios!$E$14&gt;0,Observaciones!$J531,0)</f>
        <v>0</v>
      </c>
      <c r="Y532" s="170">
        <f>IF(Escenarios!$E$14&gt;0,MAX(0,Z531+R532+S532+T532+Observaciones!$F531-U532-W532-X532-Constantes!$E$33),0)</f>
        <v>0</v>
      </c>
      <c r="Z532" s="170">
        <f>Z531+R532+S532+T532+Observaciones!$F531-U532-W532-Y532</f>
        <v>41.580130702379726</v>
      </c>
      <c r="AA532" s="170">
        <f>IF(Escenarios!$E$14&gt;0,(Escenarios!$E$13*L532+Escenarios!$E$14*W532)/(Escenarios!$E$16),L532)</f>
        <v>1.1892063533930672</v>
      </c>
      <c r="AB532" s="170">
        <f>IF(Escenarios!$E$14&gt;0,(Escenarios!$E$14*Y532)/(Escenarios!$E$16),K532)</f>
        <v>0</v>
      </c>
      <c r="AC532" s="170">
        <f>IF(Escenarios!$E$14&gt;0,(Escenarios!$E$13*M532+Escenarios!$E$14*U532)/(Escenarios!$E$16),M532)</f>
        <v>0</v>
      </c>
      <c r="AD532" s="76">
        <f t="shared" si="113"/>
        <v>115.23536370475024</v>
      </c>
      <c r="AE532" s="76">
        <f>MAX(0,(AD532-Constantes!$D$13)*(1-EXP(-Constantes!$D$23)))</f>
        <v>0.65509612416279273</v>
      </c>
      <c r="AF532" s="76">
        <f>AB532+O532*Escenarios!$E$13/Escenarios!$E$16+AE532</f>
        <v>0.74362940901593511</v>
      </c>
      <c r="AG532" s="76">
        <f>IF(Entradas!$E$91&gt;0,IF(AF532-Escenarios!$E$38&lt;=0,0,IF(AF532-Escenarios!$E$38&gt;Escenarios!$E$37,Escenarios!$E$37,AF532-Escenarios!$E$38)),0)</f>
        <v>0</v>
      </c>
      <c r="AH532" s="76">
        <f>AG532*Entradas!$E$99</f>
        <v>0</v>
      </c>
      <c r="AI532" s="76">
        <f>IF(Entradas!$E$91&gt;0,D532*Entradas!$D$23/Escenarios!$E$16,0)</f>
        <v>0</v>
      </c>
      <c r="AJ532" s="76">
        <f>IF(Entradas!$E$91&gt;0,Entradas!$D$24*Entradas!$D$22/Escenarios!$E$16,0)</f>
        <v>0</v>
      </c>
      <c r="AK532" s="76">
        <f t="shared" si="122"/>
        <v>1.1892063533930672</v>
      </c>
      <c r="AL532" s="76">
        <f t="shared" si="123"/>
        <v>0</v>
      </c>
      <c r="AM532" s="76">
        <f t="shared" si="114"/>
        <v>0</v>
      </c>
      <c r="AN532" s="76">
        <f>MAX(0,O532*Escenarios!$E$13/Escenarios!$E$16-AM532)</f>
        <v>8.8533284853142366E-2</v>
      </c>
      <c r="AO532" s="76">
        <f>AM532+AN532-O532*Escenarios!$E$13/Escenarios!$E$16</f>
        <v>0</v>
      </c>
      <c r="AP532" s="76">
        <f t="shared" si="112"/>
        <v>0.65509612416279273</v>
      </c>
      <c r="AQ532" s="76">
        <f t="shared" si="115"/>
        <v>0</v>
      </c>
      <c r="AR532" s="76">
        <f t="shared" si="116"/>
        <v>0.74362940901593511</v>
      </c>
      <c r="AS532" s="76">
        <f t="shared" si="117"/>
        <v>0</v>
      </c>
      <c r="AT532" s="76">
        <f t="shared" si="118"/>
        <v>0</v>
      </c>
      <c r="AU532" s="76">
        <f t="shared" si="119"/>
        <v>48.75</v>
      </c>
      <c r="AV532" s="76">
        <f>MAX(0,(AU532-Constantes!$D$13)*(1-EXP(-Constantes!$D$24)))</f>
        <v>0</v>
      </c>
      <c r="AW532" s="170">
        <f>AW531+(Entradas!$E$112*AT532-AX531)/(800*Entradas!$D$25)</f>
        <v>0</v>
      </c>
      <c r="AX532" s="170">
        <f>8000*Entradas!$D$26*AW532/Constantes!$E$45</f>
        <v>0</v>
      </c>
      <c r="AY532" s="170">
        <f>IF(Escenarios!$E$17&gt;0,10*Escenarios!$E$16*AL532,0)</f>
        <v>0</v>
      </c>
      <c r="AZ532" s="170">
        <f>IF(Escenarios!$E$17&gt;0,10*Escenarios!$E$16*AX532,0)</f>
        <v>0</v>
      </c>
      <c r="BA532" s="170">
        <f>IF(Escenarios!$E$17&gt;0,0.001*Observaciones!$F531*Escenarios!$E$17,0)</f>
        <v>26.000000000000004</v>
      </c>
      <c r="BB532" s="170">
        <f>IF(Escenarios!$E$17&gt;0,Observaciones!$K531,0)</f>
        <v>0</v>
      </c>
      <c r="BC532" s="170">
        <f>IF(Escenarios!$E$17&gt;0,MIN(0.0005*ETo!$M531*Escenarios!$E$17*(BG531/Constantes!$E$40)^(2/3),BG531+AY532+AZ532+BA532+BB532),0)</f>
        <v>10.979624027184226</v>
      </c>
      <c r="BD532" s="170">
        <f>IF(Escenarios!$E$17&gt;0,MIN(Constantes!$E$39*(BG531/Constantes!$E$40)^(2/3),BG531+AY532+AZ532+BA532+BB532-BC532),0)</f>
        <v>31.901843985364451</v>
      </c>
      <c r="BE532" s="170">
        <f>IF(Escenarios!$E$17&gt;0,MIN(Entradas!$E$113,BG531+AY532+AZ532+BA532+BB532-BC532-BD532),0)</f>
        <v>1</v>
      </c>
      <c r="BF532" s="170">
        <f>IF(Escenarios!$E$17&gt;0,MAX(0,BG531+AY532+AZ532+BA532+BB532-BC532-BD532-BE532-Constantes!$E$40),0)</f>
        <v>0</v>
      </c>
      <c r="BG532" s="170">
        <f t="shared" si="124"/>
        <v>1660.9126567915798</v>
      </c>
      <c r="BH532" s="170">
        <f>(Escenarios!$E$16*AK532+0.1*BC532)/(Escenarios!$E$19)</f>
        <v>1.1841252013927985</v>
      </c>
      <c r="BI532" s="170">
        <f>IF(Escenarios!$E$17&gt;0,BF532/10/Escenarios!$E$19,AL532)</f>
        <v>0</v>
      </c>
      <c r="BJ532" s="170">
        <f>(Escenarios!$E$16*AT532+0.1*BD532)/(Escenarios!$E$19)</f>
        <v>1.2659461898954148E-2</v>
      </c>
      <c r="BK532" s="76">
        <f>BK531+(0.1*BD532)/(Escenarios!$E$19)-BL531</f>
        <v>50.596031892598546</v>
      </c>
      <c r="BL532" s="76">
        <f>MAX(0,(BK532-Constantes!$D$13)*(1-EXP(-Constantes!$D$23)))</f>
        <v>1.8189391928314119E-2</v>
      </c>
      <c r="BM532" s="76">
        <f t="shared" si="120"/>
        <v>0.67328551609110687</v>
      </c>
      <c r="BN532" s="76">
        <f t="shared" si="125"/>
        <v>0.76181880094424925</v>
      </c>
      <c r="BO532" s="76">
        <f>0.0526*BI532*Observaciones!$F531^1.218</f>
        <v>0</v>
      </c>
      <c r="BP532" s="76">
        <f>BO532*Constantes!$E$51</f>
        <v>0</v>
      </c>
      <c r="BQ532" s="76">
        <f t="shared" si="121"/>
        <v>0</v>
      </c>
      <c r="BR532" s="40"/>
    </row>
    <row r="533" spans="1:70">
      <c r="A533" s="147"/>
      <c r="B533" s="39"/>
      <c r="C533" s="75">
        <v>527</v>
      </c>
      <c r="D533" s="146">
        <f>ETo!$I532*((1-Constantes!$E$19)*ETo!$K532+ETo!$L532)</f>
        <v>2.4640034541339979</v>
      </c>
      <c r="E533" s="76">
        <f>MIN(D533*Constantes!$E$17,0.8*(N532+Observaciones!$F532-F533-M533-Constantes!$D$14))</f>
        <v>1.2046816281290247</v>
      </c>
      <c r="F533" s="76">
        <f>IF(Observaciones!$F532&gt;0.05*Constantes!$E$18,((Observaciones!$F532-0.05*Constantes!$E$18)^2)/(Observaciones!$F532+0.95*Constantes!$E$18),0)</f>
        <v>0</v>
      </c>
      <c r="G533" s="76">
        <f>IF(Escenarios!$E$11&gt;0,(F533*Escenarios!$E$16*10000)/1000,0)</f>
        <v>0</v>
      </c>
      <c r="H533" s="76">
        <f>IF(Escenarios!$E$11&gt;0,(Observaciones!$F532*Constantes!$E$29)/1000,0)</f>
        <v>3</v>
      </c>
      <c r="I533" s="76">
        <f>IF(Escenarios!$E$11&gt;0,(D533*Constantes!$E$29)/1000,0)</f>
        <v>24.640034541339979</v>
      </c>
      <c r="J533" s="76">
        <f>IF(Escenarios!$E$11&gt;0,MAX(0,G533+H533-I533),0)</f>
        <v>0</v>
      </c>
      <c r="K533" s="76">
        <f>IF(Escenarios!$E$11&gt;0,IF(J533&gt;Constantes!$E$30,1000*((J533-Constantes!$E$30)/(Escenarios!$E$16*10000)),0),F533)</f>
        <v>0</v>
      </c>
      <c r="L533" s="76">
        <f>IF(Escenarios!$E$11&gt;0,I533*1000/Escenarios!$E$16/10000+E533,E533)</f>
        <v>1.2145376419455607</v>
      </c>
      <c r="M533" s="76">
        <f>MAX(0,N532+Observaciones!$F532-K533-Constantes!$D$13)</f>
        <v>0</v>
      </c>
      <c r="N533" s="76">
        <f>N532+Observaciones!$F532-K533-L533-M533-O532</f>
        <v>13.188325615819094</v>
      </c>
      <c r="O533" s="76">
        <f>MAX(0,(N533-Constantes!$D$14)*(1-EXP(-Constantes!$D$22)))</f>
        <v>6.6026486213807717E-2</v>
      </c>
      <c r="P533" s="170">
        <f>P532+(Entradas!$E$83*M533-Q532)/(800*Entradas!$D$25)</f>
        <v>0</v>
      </c>
      <c r="Q533" s="170">
        <f>8000*Entradas!$D$26*P533/Constantes!$E$45</f>
        <v>0</v>
      </c>
      <c r="R533" s="170">
        <f>IF(Escenarios!$E$14&gt;0,K533*Escenarios!$E$13/Escenarios!$E$14,0)</f>
        <v>0</v>
      </c>
      <c r="S533" s="170">
        <f>IF(Escenarios!$E$14&gt;0,Q533*Escenarios!$E$13/Escenarios!$E$14,0)</f>
        <v>0</v>
      </c>
      <c r="T533" s="170">
        <f>IF(Escenarios!$E$14&gt;0,Observaciones!$I532,0)</f>
        <v>0</v>
      </c>
      <c r="U533" s="170">
        <f>IF(Escenarios!$E$14&gt;0,MAX(0,Constantes!$E$36/((Z532+R533+S533+T533+Observaciones!$F532)^2)+Entradas!$E$77),0)</f>
        <v>0</v>
      </c>
      <c r="V533" s="146">
        <f>IF(ETo!D532&gt;0,ETo!I532*((1-Entradas!$E$81)*ETo!K532+ETo!L532),0)</f>
        <v>2.2156819119867008</v>
      </c>
      <c r="W533" s="170">
        <f>IF(Escenarios!$E$14&gt;0,MIN(V533*1,0.8*(Z532+R533+S533+T533+Observaciones!$F532-U533-Constantes!$E$35)),0)</f>
        <v>0.50410456190377884</v>
      </c>
      <c r="X533" s="170">
        <f>IF(Escenarios!$E$14&gt;0,Observaciones!$J532,0)</f>
        <v>0</v>
      </c>
      <c r="Y533" s="170">
        <f>IF(Escenarios!$E$14&gt;0,MAX(0,Z532+R533+S533+T533+Observaciones!$F532-U533-W533-X533-Constantes!$E$33),0)</f>
        <v>0</v>
      </c>
      <c r="Z533" s="170">
        <f>Z532+R533+S533+T533+Observaciones!$F532-U533-W533-Y533</f>
        <v>41.376026140475943</v>
      </c>
      <c r="AA533" s="170">
        <f>IF(Escenarios!$E$14&gt;0,(Escenarios!$E$13*L533+Escenarios!$E$14*W533)/(Escenarios!$E$16),L533)</f>
        <v>1.1292856723405469</v>
      </c>
      <c r="AB533" s="170">
        <f>IF(Escenarios!$E$14&gt;0,(Escenarios!$E$14*Y533)/(Escenarios!$E$16),K533)</f>
        <v>0</v>
      </c>
      <c r="AC533" s="170">
        <f>IF(Escenarios!$E$14&gt;0,(Escenarios!$E$13*M533+Escenarios!$E$14*U533)/(Escenarios!$E$16),M533)</f>
        <v>0</v>
      </c>
      <c r="AD533" s="76">
        <f t="shared" si="113"/>
        <v>114.58026758058745</v>
      </c>
      <c r="AE533" s="76">
        <f>MAX(0,(AD533-Constantes!$D$13)*(1-EXP(-Constantes!$D$23)))</f>
        <v>0.6486413060196764</v>
      </c>
      <c r="AF533" s="76">
        <f>AB533+O533*Escenarios!$E$13/Escenarios!$E$16+AE533</f>
        <v>0.70674461388782717</v>
      </c>
      <c r="AG533" s="76">
        <f>IF(Entradas!$E$91&gt;0,IF(AF533-Escenarios!$E$38&lt;=0,0,IF(AF533-Escenarios!$E$38&gt;Escenarios!$E$37,Escenarios!$E$37,AF533-Escenarios!$E$38)),0)</f>
        <v>0</v>
      </c>
      <c r="AH533" s="76">
        <f>AG533*Entradas!$E$99</f>
        <v>0</v>
      </c>
      <c r="AI533" s="76">
        <f>IF(Entradas!$E$91&gt;0,D533*Entradas!$D$23/Escenarios!$E$16,0)</f>
        <v>0</v>
      </c>
      <c r="AJ533" s="76">
        <f>IF(Entradas!$E$91&gt;0,Entradas!$D$24*Entradas!$D$22/Escenarios!$E$16,0)</f>
        <v>0</v>
      </c>
      <c r="AK533" s="76">
        <f t="shared" si="122"/>
        <v>1.1292856723405469</v>
      </c>
      <c r="AL533" s="76">
        <f t="shared" si="123"/>
        <v>0</v>
      </c>
      <c r="AM533" s="76">
        <f t="shared" si="114"/>
        <v>0</v>
      </c>
      <c r="AN533" s="76">
        <f>MAX(0,O533*Escenarios!$E$13/Escenarios!$E$16-AM533)</f>
        <v>5.8103307868150794E-2</v>
      </c>
      <c r="AO533" s="76">
        <f>AM533+AN533-O533*Escenarios!$E$13/Escenarios!$E$16</f>
        <v>0</v>
      </c>
      <c r="AP533" s="76">
        <f t="shared" si="112"/>
        <v>0.6486413060196764</v>
      </c>
      <c r="AQ533" s="76">
        <f t="shared" si="115"/>
        <v>0</v>
      </c>
      <c r="AR533" s="76">
        <f t="shared" si="116"/>
        <v>0.70674461388782717</v>
      </c>
      <c r="AS533" s="76">
        <f t="shared" si="117"/>
        <v>0</v>
      </c>
      <c r="AT533" s="76">
        <f t="shared" si="118"/>
        <v>0</v>
      </c>
      <c r="AU533" s="76">
        <f t="shared" si="119"/>
        <v>48.75</v>
      </c>
      <c r="AV533" s="76">
        <f>MAX(0,(AU533-Constantes!$D$13)*(1-EXP(-Constantes!$D$24)))</f>
        <v>0</v>
      </c>
      <c r="AW533" s="170">
        <f>AW532+(Entradas!$E$112*AT533-AX532)/(800*Entradas!$D$25)</f>
        <v>0</v>
      </c>
      <c r="AX533" s="170">
        <f>8000*Entradas!$D$26*AW533/Constantes!$E$45</f>
        <v>0</v>
      </c>
      <c r="AY533" s="170">
        <f>IF(Escenarios!$E$17&gt;0,10*Escenarios!$E$16*AL533,0)</f>
        <v>0</v>
      </c>
      <c r="AZ533" s="170">
        <f>IF(Escenarios!$E$17&gt;0,10*Escenarios!$E$16*AX533,0)</f>
        <v>0</v>
      </c>
      <c r="BA533" s="170">
        <f>IF(Escenarios!$E$17&gt;0,0.001*Observaciones!$F532*Escenarios!$E$17,0)</f>
        <v>5.9999999999999991</v>
      </c>
      <c r="BB533" s="170">
        <f>IF(Escenarios!$E$17&gt;0,Observaciones!$K532,0)</f>
        <v>0</v>
      </c>
      <c r="BC533" s="170">
        <f>IF(Escenarios!$E$17&gt;0,MIN(0.0005*ETo!$M532*Escenarios!$E$17*(BG532/Constantes!$E$40)^(2/3),BG532+AY533+AZ533+BA533+BB533),0)</f>
        <v>11.302971826477947</v>
      </c>
      <c r="BD533" s="170">
        <f>IF(Escenarios!$E$17&gt;0,MIN(Constantes!$E$39*(BG532/Constantes!$E$40)^(2/3),BG532+AY533+AZ533+BA533+BB533-BC533),0)</f>
        <v>31.674907558750476</v>
      </c>
      <c r="BE533" s="170">
        <f>IF(Escenarios!$E$17&gt;0,MIN(Entradas!$E$113,BG532+AY533+AZ533+BA533+BB533-BC533-BD533),0)</f>
        <v>1</v>
      </c>
      <c r="BF533" s="170">
        <f>IF(Escenarios!$E$17&gt;0,MAX(0,BG532+AY533+AZ533+BA533+BB533-BC533-BD533-BE533-Constantes!$E$40),0)</f>
        <v>0</v>
      </c>
      <c r="BG533" s="170">
        <f t="shared" si="124"/>
        <v>1622.9347774063515</v>
      </c>
      <c r="BH533" s="170">
        <f>(Escenarios!$E$16*AK533+0.1*BC533)/(Escenarios!$E$19)</f>
        <v>1.1248083939197797</v>
      </c>
      <c r="BI533" s="170">
        <f>IF(Escenarios!$E$17&gt;0,BF533/10/Escenarios!$E$19,AL533)</f>
        <v>0</v>
      </c>
      <c r="BJ533" s="170">
        <f>(Escenarios!$E$16*AT533+0.1*BD533)/(Escenarios!$E$19)</f>
        <v>1.256940776140892E-2</v>
      </c>
      <c r="BK533" s="76">
        <f>BK532+(0.1*BD533)/(Escenarios!$E$19)-BL532</f>
        <v>50.590411908431641</v>
      </c>
      <c r="BL533" s="76">
        <f>MAX(0,(BK533-Constantes!$D$13)*(1-EXP(-Constantes!$D$23)))</f>
        <v>1.8134016885741656E-2</v>
      </c>
      <c r="BM533" s="76">
        <f t="shared" si="120"/>
        <v>0.66677532290541808</v>
      </c>
      <c r="BN533" s="76">
        <f t="shared" si="125"/>
        <v>0.72487863077356884</v>
      </c>
      <c r="BO533" s="76">
        <f>0.0526*BI533*Observaciones!$F532^1.218</f>
        <v>0</v>
      </c>
      <c r="BP533" s="76">
        <f>BO533*Constantes!$E$51</f>
        <v>0</v>
      </c>
      <c r="BQ533" s="76">
        <f t="shared" si="121"/>
        <v>0</v>
      </c>
      <c r="BR533" s="40"/>
    </row>
    <row r="534" spans="1:70">
      <c r="A534" s="147"/>
      <c r="B534" s="39"/>
      <c r="C534" s="75">
        <v>528</v>
      </c>
      <c r="D534" s="146">
        <f>ETo!$I533*((1-Constantes!$E$19)*ETo!$K533+ETo!$L533)</f>
        <v>2.5618952225049911</v>
      </c>
      <c r="E534" s="76">
        <f>MIN(D534*Constantes!$E$17,0.8*(N533+Observaciones!$F533-F534-M534-Constantes!$D$14))</f>
        <v>1.2525421190320478</v>
      </c>
      <c r="F534" s="76">
        <f>IF(Observaciones!$F533&gt;0.05*Constantes!$E$18,((Observaciones!$F533-0.05*Constantes!$E$18)^2)/(Observaciones!$F533+0.95*Constantes!$E$18),0)</f>
        <v>0</v>
      </c>
      <c r="G534" s="76">
        <f>IF(Escenarios!$E$11&gt;0,(F534*Escenarios!$E$16*10000)/1000,0)</f>
        <v>0</v>
      </c>
      <c r="H534" s="76">
        <f>IF(Escenarios!$E$11&gt;0,(Observaciones!$F533*Constantes!$E$29)/1000,0)</f>
        <v>0</v>
      </c>
      <c r="I534" s="76">
        <f>IF(Escenarios!$E$11&gt;0,(D534*Constantes!$E$29)/1000,0)</f>
        <v>25.61895222504991</v>
      </c>
      <c r="J534" s="76">
        <f>IF(Escenarios!$E$11&gt;0,MAX(0,G534+H534-I534),0)</f>
        <v>0</v>
      </c>
      <c r="K534" s="76">
        <f>IF(Escenarios!$E$11&gt;0,IF(J534&gt;Constantes!$E$30,1000*((J534-Constantes!$E$30)/(Escenarios!$E$16*10000)),0),F534)</f>
        <v>0</v>
      </c>
      <c r="L534" s="76">
        <f>IF(Escenarios!$E$11&gt;0,I534*1000/Escenarios!$E$16/10000+E534,E534)</f>
        <v>1.2627896999220678</v>
      </c>
      <c r="M534" s="76">
        <f>MAX(0,N533+Observaciones!$F533-K534-Constantes!$D$13)</f>
        <v>0</v>
      </c>
      <c r="N534" s="76">
        <f>N533+Observaciones!$F533-K534-L534-M534-O533</f>
        <v>11.859509429683218</v>
      </c>
      <c r="O534" s="76">
        <f>MAX(0,(N534-Constantes!$D$14)*(1-EXP(-Constantes!$D$22)))</f>
        <v>2.0762128729934087E-2</v>
      </c>
      <c r="P534" s="170">
        <f>P533+(Entradas!$E$83*M534-Q533)/(800*Entradas!$D$25)</f>
        <v>0</v>
      </c>
      <c r="Q534" s="170">
        <f>8000*Entradas!$D$26*P534/Constantes!$E$45</f>
        <v>0</v>
      </c>
      <c r="R534" s="170">
        <f>IF(Escenarios!$E$14&gt;0,K534*Escenarios!$E$13/Escenarios!$E$14,0)</f>
        <v>0</v>
      </c>
      <c r="S534" s="170">
        <f>IF(Escenarios!$E$14&gt;0,Q534*Escenarios!$E$13/Escenarios!$E$14,0)</f>
        <v>0</v>
      </c>
      <c r="T534" s="170">
        <f>IF(Escenarios!$E$14&gt;0,Observaciones!$I533,0)</f>
        <v>0</v>
      </c>
      <c r="U534" s="170">
        <f>IF(Escenarios!$E$14&gt;0,MAX(0,Constantes!$E$36/((Z533+R534+S534+T534+Observaciones!$F533)^2)+Entradas!$E$77),0)</f>
        <v>0</v>
      </c>
      <c r="V534" s="146">
        <f>IF(ETo!D533&gt;0,ETo!I533*((1-Entradas!$E$81)*ETo!K533+ETo!L533),0)</f>
        <v>2.3043863104612101</v>
      </c>
      <c r="W534" s="170">
        <f>IF(Escenarios!$E$14&gt;0,MIN(V534*1,0.8*(Z533+R534+S534+T534+Observaciones!$F533-U534-Constantes!$E$35)),0)</f>
        <v>0.10082091238075463</v>
      </c>
      <c r="X534" s="170">
        <f>IF(Escenarios!$E$14&gt;0,Observaciones!$J533,0)</f>
        <v>0</v>
      </c>
      <c r="Y534" s="170">
        <f>IF(Escenarios!$E$14&gt;0,MAX(0,Z533+R534+S534+T534+Observaciones!$F533-U534-W534-X534-Constantes!$E$33),0)</f>
        <v>0</v>
      </c>
      <c r="Z534" s="170">
        <f>Z533+R534+S534+T534+Observaciones!$F533-U534-W534-Y534</f>
        <v>41.275205228095189</v>
      </c>
      <c r="AA534" s="170">
        <f>IF(Escenarios!$E$14&gt;0,(Escenarios!$E$13*L534+Escenarios!$E$14*W534)/(Escenarios!$E$16),L534)</f>
        <v>1.1233534454171101</v>
      </c>
      <c r="AB534" s="170">
        <f>IF(Escenarios!$E$14&gt;0,(Escenarios!$E$14*Y534)/(Escenarios!$E$16),K534)</f>
        <v>0</v>
      </c>
      <c r="AC534" s="170">
        <f>IF(Escenarios!$E$14&gt;0,(Escenarios!$E$13*M534+Escenarios!$E$14*U534)/(Escenarios!$E$16),M534)</f>
        <v>0</v>
      </c>
      <c r="AD534" s="76">
        <f t="shared" si="113"/>
        <v>113.93162627456778</v>
      </c>
      <c r="AE534" s="76">
        <f>MAX(0,(AD534-Constantes!$D$13)*(1-EXP(-Constantes!$D$23)))</f>
        <v>0.64225008873714207</v>
      </c>
      <c r="AF534" s="76">
        <f>AB534+O534*Escenarios!$E$13/Escenarios!$E$16+AE534</f>
        <v>0.66052076201948406</v>
      </c>
      <c r="AG534" s="76">
        <f>IF(Entradas!$E$91&gt;0,IF(AF534-Escenarios!$E$38&lt;=0,0,IF(AF534-Escenarios!$E$38&gt;Escenarios!$E$37,Escenarios!$E$37,AF534-Escenarios!$E$38)),0)</f>
        <v>0</v>
      </c>
      <c r="AH534" s="76">
        <f>AG534*Entradas!$E$99</f>
        <v>0</v>
      </c>
      <c r="AI534" s="76">
        <f>IF(Entradas!$E$91&gt;0,D534*Entradas!$D$23/Escenarios!$E$16,0)</f>
        <v>0</v>
      </c>
      <c r="AJ534" s="76">
        <f>IF(Entradas!$E$91&gt;0,Entradas!$D$24*Entradas!$D$22/Escenarios!$E$16,0)</f>
        <v>0</v>
      </c>
      <c r="AK534" s="76">
        <f t="shared" si="122"/>
        <v>1.1233534454171101</v>
      </c>
      <c r="AL534" s="76">
        <f t="shared" si="123"/>
        <v>0</v>
      </c>
      <c r="AM534" s="76">
        <f t="shared" si="114"/>
        <v>0</v>
      </c>
      <c r="AN534" s="76">
        <f>MAX(0,O534*Escenarios!$E$13/Escenarios!$E$16-AM534)</f>
        <v>1.8270673282341995E-2</v>
      </c>
      <c r="AO534" s="76">
        <f>AM534+AN534-O534*Escenarios!$E$13/Escenarios!$E$16</f>
        <v>0</v>
      </c>
      <c r="AP534" s="76">
        <f t="shared" si="112"/>
        <v>0.64225008873714207</v>
      </c>
      <c r="AQ534" s="76">
        <f t="shared" si="115"/>
        <v>0</v>
      </c>
      <c r="AR534" s="76">
        <f t="shared" si="116"/>
        <v>0.66052076201948406</v>
      </c>
      <c r="AS534" s="76">
        <f t="shared" si="117"/>
        <v>0</v>
      </c>
      <c r="AT534" s="76">
        <f t="shared" si="118"/>
        <v>0</v>
      </c>
      <c r="AU534" s="76">
        <f t="shared" si="119"/>
        <v>48.75</v>
      </c>
      <c r="AV534" s="76">
        <f>MAX(0,(AU534-Constantes!$D$13)*(1-EXP(-Constantes!$D$24)))</f>
        <v>0</v>
      </c>
      <c r="AW534" s="170">
        <f>AW533+(Entradas!$E$112*AT534-AX533)/(800*Entradas!$D$25)</f>
        <v>0</v>
      </c>
      <c r="AX534" s="170">
        <f>8000*Entradas!$D$26*AW534/Constantes!$E$45</f>
        <v>0</v>
      </c>
      <c r="AY534" s="170">
        <f>IF(Escenarios!$E$17&gt;0,10*Escenarios!$E$16*AL534,0)</f>
        <v>0</v>
      </c>
      <c r="AZ534" s="170">
        <f>IF(Escenarios!$E$17&gt;0,10*Escenarios!$E$16*AX534,0)</f>
        <v>0</v>
      </c>
      <c r="BA534" s="170">
        <f>IF(Escenarios!$E$17&gt;0,0.001*Observaciones!$F533*Escenarios!$E$17,0)</f>
        <v>0</v>
      </c>
      <c r="BB534" s="170">
        <f>IF(Escenarios!$E$17&gt;0,Observaciones!$K533,0)</f>
        <v>0</v>
      </c>
      <c r="BC534" s="170">
        <f>IF(Escenarios!$E$17&gt;0,MIN(0.0005*ETo!$M533*Escenarios!$E$17*(BG533/Constantes!$E$40)^(2/3),BG533+AY534+AZ534+BA534+BB534),0)</f>
        <v>11.568029469620699</v>
      </c>
      <c r="BD534" s="170">
        <f>IF(Escenarios!$E$17&gt;0,MIN(Constantes!$E$39*(BG533/Constantes!$E$40)^(2/3),BG533+AY534+AZ534+BA534+BB534-BC534),0)</f>
        <v>31.190203203083364</v>
      </c>
      <c r="BE534" s="170">
        <f>IF(Escenarios!$E$17&gt;0,MIN(Entradas!$E$113,BG533+AY534+AZ534+BA534+BB534-BC534-BD534),0)</f>
        <v>1</v>
      </c>
      <c r="BF534" s="170">
        <f>IF(Escenarios!$E$17&gt;0,MAX(0,BG533+AY534+AZ534+BA534+BB534-BC534-BD534-BE534-Constantes!$E$40),0)</f>
        <v>0</v>
      </c>
      <c r="BG534" s="170">
        <f t="shared" si="124"/>
        <v>1579.1765447336472</v>
      </c>
      <c r="BH534" s="170">
        <f>(Escenarios!$E$16*AK534+0.1*BC534)/(Escenarios!$E$19)</f>
        <v>1.1190284297668238</v>
      </c>
      <c r="BI534" s="170">
        <f>IF(Escenarios!$E$17&gt;0,BF534/10/Escenarios!$E$19,AL534)</f>
        <v>0</v>
      </c>
      <c r="BJ534" s="170">
        <f>(Escenarios!$E$16*AT534+0.1*BD534)/(Escenarios!$E$19)</f>
        <v>1.2377064763128319E-2</v>
      </c>
      <c r="BK534" s="76">
        <f>BK533+(0.1*BD534)/(Escenarios!$E$19)-BL533</f>
        <v>50.584654956309031</v>
      </c>
      <c r="BL534" s="76">
        <f>MAX(0,(BK534-Constantes!$D$13)*(1-EXP(-Constantes!$D$23)))</f>
        <v>1.8077292265278416E-2</v>
      </c>
      <c r="BM534" s="76">
        <f t="shared" si="120"/>
        <v>0.6603273810024205</v>
      </c>
      <c r="BN534" s="76">
        <f t="shared" si="125"/>
        <v>0.6785980542847625</v>
      </c>
      <c r="BO534" s="76">
        <f>0.0526*BI534*Observaciones!$F533^1.218</f>
        <v>0</v>
      </c>
      <c r="BP534" s="76">
        <f>BO534*Constantes!$E$51</f>
        <v>0</v>
      </c>
      <c r="BQ534" s="76">
        <f t="shared" si="121"/>
        <v>0</v>
      </c>
      <c r="BR534" s="40"/>
    </row>
    <row r="535" spans="1:70">
      <c r="A535" s="147"/>
      <c r="B535" s="39"/>
      <c r="C535" s="75">
        <v>529</v>
      </c>
      <c r="D535" s="146">
        <f>ETo!$I534*((1-Constantes!$E$19)*ETo!$K534+ETo!$L534)</f>
        <v>2.4228783008977168</v>
      </c>
      <c r="E535" s="76">
        <f>MIN(D535*Constantes!$E$17,0.8*(N534+Observaciones!$F534-F535-M535-Constantes!$D$14))</f>
        <v>0.48760754374657439</v>
      </c>
      <c r="F535" s="76">
        <f>IF(Observaciones!$F534&gt;0.05*Constantes!$E$18,((Observaciones!$F534-0.05*Constantes!$E$18)^2)/(Observaciones!$F534+0.95*Constantes!$E$18),0)</f>
        <v>0</v>
      </c>
      <c r="G535" s="76">
        <f>IF(Escenarios!$E$11&gt;0,(F535*Escenarios!$E$16*10000)/1000,0)</f>
        <v>0</v>
      </c>
      <c r="H535" s="76">
        <f>IF(Escenarios!$E$11&gt;0,(Observaciones!$F534*Constantes!$E$29)/1000,0)</f>
        <v>0</v>
      </c>
      <c r="I535" s="76">
        <f>IF(Escenarios!$E$11&gt;0,(D535*Constantes!$E$29)/1000,0)</f>
        <v>24.228783008977167</v>
      </c>
      <c r="J535" s="76">
        <f>IF(Escenarios!$E$11&gt;0,MAX(0,G535+H535-I535),0)</f>
        <v>0</v>
      </c>
      <c r="K535" s="76">
        <f>IF(Escenarios!$E$11&gt;0,IF(J535&gt;Constantes!$E$30,1000*((J535-Constantes!$E$30)/(Escenarios!$E$16*10000)),0),F535)</f>
        <v>0</v>
      </c>
      <c r="L535" s="76">
        <f>IF(Escenarios!$E$11&gt;0,I535*1000/Escenarios!$E$16/10000+E535,E535)</f>
        <v>0.49729905695016524</v>
      </c>
      <c r="M535" s="76">
        <f>MAX(0,N534+Observaciones!$F534-K535-Constantes!$D$13)</f>
        <v>0</v>
      </c>
      <c r="N535" s="76">
        <f>N534+Observaciones!$F534-K535-L535-M535-O534</f>
        <v>11.341448244003118</v>
      </c>
      <c r="O535" s="76">
        <f>MAX(0,(N535-Constantes!$D$14)*(1-EXP(-Constantes!$D$22)))</f>
        <v>3.1150629041226691E-3</v>
      </c>
      <c r="P535" s="170">
        <f>P534+(Entradas!$E$83*M535-Q534)/(800*Entradas!$D$25)</f>
        <v>0</v>
      </c>
      <c r="Q535" s="170">
        <f>8000*Entradas!$D$26*P535/Constantes!$E$45</f>
        <v>0</v>
      </c>
      <c r="R535" s="170">
        <f>IF(Escenarios!$E$14&gt;0,K535*Escenarios!$E$13/Escenarios!$E$14,0)</f>
        <v>0</v>
      </c>
      <c r="S535" s="170">
        <f>IF(Escenarios!$E$14&gt;0,Q535*Escenarios!$E$13/Escenarios!$E$14,0)</f>
        <v>0</v>
      </c>
      <c r="T535" s="170">
        <f>IF(Escenarios!$E$14&gt;0,Observaciones!$I534,0)</f>
        <v>0</v>
      </c>
      <c r="U535" s="170">
        <f>IF(Escenarios!$E$14&gt;0,MAX(0,Constantes!$E$36/((Z534+R535+S535+T535+Observaciones!$F534)^2)+Entradas!$E$77),0)</f>
        <v>0</v>
      </c>
      <c r="V535" s="146">
        <f>IF(ETo!D534&gt;0,ETo!I534*((1-Entradas!$E$81)*ETo!K534+ETo!L534),0)</f>
        <v>2.178200713501572</v>
      </c>
      <c r="W535" s="170">
        <f>IF(Escenarios!$E$14&gt;0,MIN(V535*1,0.8*(Z534+R535+S535+T535+Observaciones!$F534-U535-Constantes!$E$35)),0)</f>
        <v>2.0164182476150927E-2</v>
      </c>
      <c r="X535" s="170">
        <f>IF(Escenarios!$E$14&gt;0,Observaciones!$J534,0)</f>
        <v>0</v>
      </c>
      <c r="Y535" s="170">
        <f>IF(Escenarios!$E$14&gt;0,MAX(0,Z534+R535+S535+T535+Observaciones!$F534-U535-W535-X535-Constantes!$E$33),0)</f>
        <v>0</v>
      </c>
      <c r="Z535" s="170">
        <f>Z534+R535+S535+T535+Observaciones!$F534-U535-W535-Y535</f>
        <v>41.255041045619038</v>
      </c>
      <c r="AA535" s="170">
        <f>IF(Escenarios!$E$14&gt;0,(Escenarios!$E$13*L535+Escenarios!$E$14*W535)/(Escenarios!$E$16),L535)</f>
        <v>0.44004287201328351</v>
      </c>
      <c r="AB535" s="170">
        <f>IF(Escenarios!$E$14&gt;0,(Escenarios!$E$14*Y535)/(Escenarios!$E$16),K535)</f>
        <v>0</v>
      </c>
      <c r="AC535" s="170">
        <f>IF(Escenarios!$E$14&gt;0,(Escenarios!$E$13*M535+Escenarios!$E$14*U535)/(Escenarios!$E$16),M535)</f>
        <v>0</v>
      </c>
      <c r="AD535" s="76">
        <f t="shared" si="113"/>
        <v>113.28937618583063</v>
      </c>
      <c r="AE535" s="76">
        <f>MAX(0,(AD535-Constantes!$D$13)*(1-EXP(-Constantes!$D$23)))</f>
        <v>0.63592184564076182</v>
      </c>
      <c r="AF535" s="76">
        <f>AB535+O535*Escenarios!$E$13/Escenarios!$E$16+AE535</f>
        <v>0.63866310099638979</v>
      </c>
      <c r="AG535" s="76">
        <f>IF(Entradas!$E$91&gt;0,IF(AF535-Escenarios!$E$38&lt;=0,0,IF(AF535-Escenarios!$E$38&gt;Escenarios!$E$37,Escenarios!$E$37,AF535-Escenarios!$E$38)),0)</f>
        <v>0</v>
      </c>
      <c r="AH535" s="76">
        <f>AG535*Entradas!$E$99</f>
        <v>0</v>
      </c>
      <c r="AI535" s="76">
        <f>IF(Entradas!$E$91&gt;0,D535*Entradas!$D$23/Escenarios!$E$16,0)</f>
        <v>0</v>
      </c>
      <c r="AJ535" s="76">
        <f>IF(Entradas!$E$91&gt;0,Entradas!$D$24*Entradas!$D$22/Escenarios!$E$16,0)</f>
        <v>0</v>
      </c>
      <c r="AK535" s="76">
        <f t="shared" si="122"/>
        <v>0.44004287201328351</v>
      </c>
      <c r="AL535" s="76">
        <f t="shared" si="123"/>
        <v>0</v>
      </c>
      <c r="AM535" s="76">
        <f t="shared" si="114"/>
        <v>0</v>
      </c>
      <c r="AN535" s="76">
        <f>MAX(0,O535*Escenarios!$E$13/Escenarios!$E$16-AM535)</f>
        <v>2.7412553556279487E-3</v>
      </c>
      <c r="AO535" s="76">
        <f>AM535+AN535-O535*Escenarios!$E$13/Escenarios!$E$16</f>
        <v>0</v>
      </c>
      <c r="AP535" s="76">
        <f t="shared" si="112"/>
        <v>0.63592184564076182</v>
      </c>
      <c r="AQ535" s="76">
        <f t="shared" si="115"/>
        <v>0</v>
      </c>
      <c r="AR535" s="76">
        <f t="shared" si="116"/>
        <v>0.63866310099638979</v>
      </c>
      <c r="AS535" s="76">
        <f t="shared" si="117"/>
        <v>0</v>
      </c>
      <c r="AT535" s="76">
        <f t="shared" si="118"/>
        <v>0</v>
      </c>
      <c r="AU535" s="76">
        <f t="shared" si="119"/>
        <v>48.75</v>
      </c>
      <c r="AV535" s="76">
        <f>MAX(0,(AU535-Constantes!$D$13)*(1-EXP(-Constantes!$D$24)))</f>
        <v>0</v>
      </c>
      <c r="AW535" s="170">
        <f>AW534+(Entradas!$E$112*AT535-AX534)/(800*Entradas!$D$25)</f>
        <v>0</v>
      </c>
      <c r="AX535" s="170">
        <f>8000*Entradas!$D$26*AW535/Constantes!$E$45</f>
        <v>0</v>
      </c>
      <c r="AY535" s="170">
        <f>IF(Escenarios!$E$17&gt;0,10*Escenarios!$E$16*AL535,0)</f>
        <v>0</v>
      </c>
      <c r="AZ535" s="170">
        <f>IF(Escenarios!$E$17&gt;0,10*Escenarios!$E$16*AX535,0)</f>
        <v>0</v>
      </c>
      <c r="BA535" s="170">
        <f>IF(Escenarios!$E$17&gt;0,0.001*Observaciones!$F534*Escenarios!$E$17,0)</f>
        <v>0</v>
      </c>
      <c r="BB535" s="170">
        <f>IF(Escenarios!$E$17&gt;0,Observaciones!$K534,0)</f>
        <v>0</v>
      </c>
      <c r="BC535" s="170">
        <f>IF(Escenarios!$E$17&gt;0,MIN(0.0005*ETo!$M534*Escenarios!$E$17*(BG534/Constantes!$E$40)^(2/3),BG534+AY535+AZ535+BA535+BB535),0)</f>
        <v>10.749643248543675</v>
      </c>
      <c r="BD535" s="170">
        <f>IF(Escenarios!$E$17&gt;0,MIN(Constantes!$E$39*(BG534/Constantes!$E$40)^(2/3),BG534+AY535+AZ535+BA535+BB535-BC535),0)</f>
        <v>30.627011123802632</v>
      </c>
      <c r="BE535" s="170">
        <f>IF(Escenarios!$E$17&gt;0,MIN(Entradas!$E$113,BG534+AY535+AZ535+BA535+BB535-BC535-BD535),0)</f>
        <v>1</v>
      </c>
      <c r="BF535" s="170">
        <f>IF(Escenarios!$E$17&gt;0,MAX(0,BG534+AY535+AZ535+BA535+BB535-BC535-BD535-BE535-Constantes!$E$40),0)</f>
        <v>0</v>
      </c>
      <c r="BG535" s="170">
        <f t="shared" si="124"/>
        <v>1536.7998903613009</v>
      </c>
      <c r="BH535" s="170">
        <f>(Escenarios!$E$16*AK535+0.1*BC535)/(Escenarios!$E$19)</f>
        <v>0.44081619971498109</v>
      </c>
      <c r="BI535" s="170">
        <f>IF(Escenarios!$E$17&gt;0,BF535/10/Escenarios!$E$19,AL535)</f>
        <v>0</v>
      </c>
      <c r="BJ535" s="170">
        <f>(Escenarios!$E$16*AT535+0.1*BD535)/(Escenarios!$E$19)</f>
        <v>1.2153575842778824E-2</v>
      </c>
      <c r="BK535" s="76">
        <f>BK534+(0.1*BD535)/(Escenarios!$E$19)-BL534</f>
        <v>50.578731239886537</v>
      </c>
      <c r="BL535" s="76">
        <f>MAX(0,(BK535-Constantes!$D$13)*(1-EXP(-Constantes!$D$23)))</f>
        <v>1.8018924476448255E-2</v>
      </c>
      <c r="BM535" s="76">
        <f t="shared" si="120"/>
        <v>0.65394077011721008</v>
      </c>
      <c r="BN535" s="76">
        <f t="shared" si="125"/>
        <v>0.65668202547283805</v>
      </c>
      <c r="BO535" s="76">
        <f>0.0526*BI535*Observaciones!$F534^1.218</f>
        <v>0</v>
      </c>
      <c r="BP535" s="76">
        <f>BO535*Constantes!$E$51</f>
        <v>0</v>
      </c>
      <c r="BQ535" s="76">
        <f t="shared" si="121"/>
        <v>0</v>
      </c>
      <c r="BR535" s="40"/>
    </row>
    <row r="536" spans="1:70">
      <c r="A536" s="147"/>
      <c r="B536" s="39"/>
      <c r="C536" s="75">
        <v>530</v>
      </c>
      <c r="D536" s="146">
        <f>ETo!$I535*((1-Constantes!$E$19)*ETo!$K535+ETo!$L535)</f>
        <v>2.4886869453175775</v>
      </c>
      <c r="E536" s="76">
        <f>MIN(D536*Constantes!$E$17,0.8*(N535+Observaciones!$F535-F536-M536-Constantes!$D$14))</f>
        <v>7.3158595202494334E-2</v>
      </c>
      <c r="F536" s="76">
        <f>IF(Observaciones!$F535&gt;0.05*Constantes!$E$18,((Observaciones!$F535-0.05*Constantes!$E$18)^2)/(Observaciones!$F535+0.95*Constantes!$E$18),0)</f>
        <v>0</v>
      </c>
      <c r="G536" s="76">
        <f>IF(Escenarios!$E$11&gt;0,(F536*Escenarios!$E$16*10000)/1000,0)</f>
        <v>0</v>
      </c>
      <c r="H536" s="76">
        <f>IF(Escenarios!$E$11&gt;0,(Observaciones!$F535*Constantes!$E$29)/1000,0)</f>
        <v>0</v>
      </c>
      <c r="I536" s="76">
        <f>IF(Escenarios!$E$11&gt;0,(D536*Constantes!$E$29)/1000,0)</f>
        <v>24.886869453175777</v>
      </c>
      <c r="J536" s="76">
        <f>IF(Escenarios!$E$11&gt;0,MAX(0,G536+H536-I536),0)</f>
        <v>0</v>
      </c>
      <c r="K536" s="76">
        <f>IF(Escenarios!$E$11&gt;0,IF(J536&gt;Constantes!$E$30,1000*((J536-Constantes!$E$30)/(Escenarios!$E$16*10000)),0),F536)</f>
        <v>0</v>
      </c>
      <c r="L536" s="76">
        <f>IF(Escenarios!$E$11&gt;0,I536*1000/Escenarios!$E$16/10000+E536,E536)</f>
        <v>8.3113342983764646E-2</v>
      </c>
      <c r="M536" s="76">
        <f>MAX(0,N535+Observaciones!$F535-K536-Constantes!$D$13)</f>
        <v>0</v>
      </c>
      <c r="N536" s="76">
        <f>N535+Observaciones!$F535-K536-L536-M536-O535</f>
        <v>11.255219838115231</v>
      </c>
      <c r="O536" s="76">
        <f>MAX(0,(N536-Constantes!$D$14)*(1-EXP(-Constantes!$D$22)))</f>
        <v>1.7780684862277781E-4</v>
      </c>
      <c r="P536" s="170">
        <f>P535+(Entradas!$E$83*M536-Q535)/(800*Entradas!$D$25)</f>
        <v>0</v>
      </c>
      <c r="Q536" s="170">
        <f>8000*Entradas!$D$26*P536/Constantes!$E$45</f>
        <v>0</v>
      </c>
      <c r="R536" s="170">
        <f>IF(Escenarios!$E$14&gt;0,K536*Escenarios!$E$13/Escenarios!$E$14,0)</f>
        <v>0</v>
      </c>
      <c r="S536" s="170">
        <f>IF(Escenarios!$E$14&gt;0,Q536*Escenarios!$E$13/Escenarios!$E$14,0)</f>
        <v>0</v>
      </c>
      <c r="T536" s="170">
        <f>IF(Escenarios!$E$14&gt;0,Observaciones!$I535,0)</f>
        <v>0</v>
      </c>
      <c r="U536" s="170">
        <f>IF(Escenarios!$E$14&gt;0,MAX(0,Constantes!$E$36/((Z535+R536+S536+T536+Observaciones!$F535)^2)+Entradas!$E$77),0)</f>
        <v>0</v>
      </c>
      <c r="V536" s="146">
        <f>IF(ETo!D535&gt;0,ETo!I535*((1-Entradas!$E$81)*ETo!K535+ETo!L535),0)</f>
        <v>2.2376405203130401</v>
      </c>
      <c r="W536" s="170">
        <f>IF(Escenarios!$E$14&gt;0,MIN(V536*1,0.8*(Z535+R536+S536+T536+Observaciones!$F535-U536-Constantes!$E$35)),0)</f>
        <v>4.0328364952301856E-3</v>
      </c>
      <c r="X536" s="170">
        <f>IF(Escenarios!$E$14&gt;0,Observaciones!$J535,0)</f>
        <v>0</v>
      </c>
      <c r="Y536" s="170">
        <f>IF(Escenarios!$E$14&gt;0,MAX(0,Z535+R536+S536+T536+Observaciones!$F535-U536-W536-X536-Constantes!$E$33),0)</f>
        <v>0</v>
      </c>
      <c r="Z536" s="170">
        <f>Z535+R536+S536+T536+Observaciones!$F535-U536-W536-Y536</f>
        <v>41.25100820912381</v>
      </c>
      <c r="AA536" s="170">
        <f>IF(Escenarios!$E$14&gt;0,(Escenarios!$E$13*L536+Escenarios!$E$14*W536)/(Escenarios!$E$16),L536)</f>
        <v>7.3623682205140512E-2</v>
      </c>
      <c r="AB536" s="170">
        <f>IF(Escenarios!$E$14&gt;0,(Escenarios!$E$14*Y536)/(Escenarios!$E$16),K536)</f>
        <v>0</v>
      </c>
      <c r="AC536" s="170">
        <f>IF(Escenarios!$E$14&gt;0,(Escenarios!$E$13*M536+Escenarios!$E$14*U536)/(Escenarios!$E$16),M536)</f>
        <v>0</v>
      </c>
      <c r="AD536" s="76">
        <f t="shared" si="113"/>
        <v>112.65345434018987</v>
      </c>
      <c r="AE536" s="76">
        <f>MAX(0,(AD536-Constantes!$D$13)*(1-EXP(-Constantes!$D$23)))</f>
        <v>0.62965595623088033</v>
      </c>
      <c r="AF536" s="76">
        <f>AB536+O536*Escenarios!$E$13/Escenarios!$E$16+AE536</f>
        <v>0.62981242625766842</v>
      </c>
      <c r="AG536" s="76">
        <f>IF(Entradas!$E$91&gt;0,IF(AF536-Escenarios!$E$38&lt;=0,0,IF(AF536-Escenarios!$E$38&gt;Escenarios!$E$37,Escenarios!$E$37,AF536-Escenarios!$E$38)),0)</f>
        <v>0</v>
      </c>
      <c r="AH536" s="76">
        <f>AG536*Entradas!$E$99</f>
        <v>0</v>
      </c>
      <c r="AI536" s="76">
        <f>IF(Entradas!$E$91&gt;0,D536*Entradas!$D$23/Escenarios!$E$16,0)</f>
        <v>0</v>
      </c>
      <c r="AJ536" s="76">
        <f>IF(Entradas!$E$91&gt;0,Entradas!$D$24*Entradas!$D$22/Escenarios!$E$16,0)</f>
        <v>0</v>
      </c>
      <c r="AK536" s="76">
        <f t="shared" si="122"/>
        <v>7.3623682205140512E-2</v>
      </c>
      <c r="AL536" s="76">
        <f t="shared" si="123"/>
        <v>0</v>
      </c>
      <c r="AM536" s="76">
        <f t="shared" si="114"/>
        <v>0</v>
      </c>
      <c r="AN536" s="76">
        <f>MAX(0,O536*Escenarios!$E$13/Escenarios!$E$16-AM536)</f>
        <v>1.5647002678804446E-4</v>
      </c>
      <c r="AO536" s="76">
        <f>AM536+AN536-O536*Escenarios!$E$13/Escenarios!$E$16</f>
        <v>0</v>
      </c>
      <c r="AP536" s="76">
        <f t="shared" si="112"/>
        <v>0.62965595623088033</v>
      </c>
      <c r="AQ536" s="76">
        <f t="shared" si="115"/>
        <v>0</v>
      </c>
      <c r="AR536" s="76">
        <f t="shared" si="116"/>
        <v>0.62981242625766842</v>
      </c>
      <c r="AS536" s="76">
        <f t="shared" si="117"/>
        <v>0</v>
      </c>
      <c r="AT536" s="76">
        <f t="shared" si="118"/>
        <v>0</v>
      </c>
      <c r="AU536" s="76">
        <f t="shared" si="119"/>
        <v>48.75</v>
      </c>
      <c r="AV536" s="76">
        <f>MAX(0,(AU536-Constantes!$D$13)*(1-EXP(-Constantes!$D$24)))</f>
        <v>0</v>
      </c>
      <c r="AW536" s="170">
        <f>AW535+(Entradas!$E$112*AT536-AX535)/(800*Entradas!$D$25)</f>
        <v>0</v>
      </c>
      <c r="AX536" s="170">
        <f>8000*Entradas!$D$26*AW536/Constantes!$E$45</f>
        <v>0</v>
      </c>
      <c r="AY536" s="170">
        <f>IF(Escenarios!$E$17&gt;0,10*Escenarios!$E$16*AL536,0)</f>
        <v>0</v>
      </c>
      <c r="AZ536" s="170">
        <f>IF(Escenarios!$E$17&gt;0,10*Escenarios!$E$16*AX536,0)</f>
        <v>0</v>
      </c>
      <c r="BA536" s="170">
        <f>IF(Escenarios!$E$17&gt;0,0.001*Observaciones!$F535*Escenarios!$E$17,0)</f>
        <v>0</v>
      </c>
      <c r="BB536" s="170">
        <f>IF(Escenarios!$E$17&gt;0,Observaciones!$K535,0)</f>
        <v>0</v>
      </c>
      <c r="BC536" s="170">
        <f>IF(Escenarios!$E$17&gt;0,MIN(0.0005*ETo!$M535*Escenarios!$E$17*(BG535/Constantes!$E$40)^(2/3),BG535+AY536+AZ536+BA536+BB536),0)</f>
        <v>10.841553620725325</v>
      </c>
      <c r="BD536" s="170">
        <f>IF(Escenarios!$E$17&gt;0,MIN(Constantes!$E$39*(BG535/Constantes!$E$40)^(2/3),BG535+AY536+AZ536+BA536+BB536-BC536),0)</f>
        <v>30.076620794721975</v>
      </c>
      <c r="BE536" s="170">
        <f>IF(Escenarios!$E$17&gt;0,MIN(Entradas!$E$113,BG535+AY536+AZ536+BA536+BB536-BC536-BD536),0)</f>
        <v>1</v>
      </c>
      <c r="BF536" s="170">
        <f>IF(Escenarios!$E$17&gt;0,MAX(0,BG535+AY536+AZ536+BA536+BB536-BC536-BD536-BE536-Constantes!$E$40),0)</f>
        <v>0</v>
      </c>
      <c r="BG536" s="170">
        <f t="shared" si="124"/>
        <v>1494.8817159458536</v>
      </c>
      <c r="BH536" s="170">
        <f>(Escenarios!$E$16*AK536+0.1*BC536)/(Escenarios!$E$19)</f>
        <v>7.7341571084752619E-2</v>
      </c>
      <c r="BI536" s="170">
        <f>IF(Escenarios!$E$17&gt;0,BF536/10/Escenarios!$E$19,AL536)</f>
        <v>0</v>
      </c>
      <c r="BJ536" s="170">
        <f>(Escenarios!$E$16*AT536+0.1*BD536)/(Escenarios!$E$19)</f>
        <v>1.193516698203253E-2</v>
      </c>
      <c r="BK536" s="76">
        <f>BK535+(0.1*BD536)/(Escenarios!$E$19)-BL535</f>
        <v>50.572647482392121</v>
      </c>
      <c r="BL536" s="76">
        <f>MAX(0,(BK536-Constantes!$D$13)*(1-EXP(-Constantes!$D$23)))</f>
        <v>1.7958979764817636E-2</v>
      </c>
      <c r="BM536" s="76">
        <f t="shared" si="120"/>
        <v>0.64761493599569797</v>
      </c>
      <c r="BN536" s="76">
        <f t="shared" si="125"/>
        <v>0.64777140602248606</v>
      </c>
      <c r="BO536" s="76">
        <f>0.0526*BI536*Observaciones!$F535^1.218</f>
        <v>0</v>
      </c>
      <c r="BP536" s="76">
        <f>BO536*Constantes!$E$51</f>
        <v>0</v>
      </c>
      <c r="BQ536" s="76">
        <f t="shared" si="121"/>
        <v>0</v>
      </c>
      <c r="BR536" s="40"/>
    </row>
    <row r="537" spans="1:70">
      <c r="A537" s="147"/>
      <c r="B537" s="39"/>
      <c r="C537" s="75">
        <v>531</v>
      </c>
      <c r="D537" s="146">
        <f>ETo!$I536*((1-Constantes!$E$19)*ETo!$K536+ETo!$L536)</f>
        <v>2.3924664119482673</v>
      </c>
      <c r="E537" s="76">
        <f>MIN(D537*Constantes!$E$17,0.8*(N536+Observaciones!$F536-F537-M537-Constantes!$D$14))</f>
        <v>4.1758704921846862E-3</v>
      </c>
      <c r="F537" s="76">
        <f>IF(Observaciones!$F536&gt;0.05*Constantes!$E$18,((Observaciones!$F536-0.05*Constantes!$E$18)^2)/(Observaciones!$F536+0.95*Constantes!$E$18),0)</f>
        <v>0</v>
      </c>
      <c r="G537" s="76">
        <f>IF(Escenarios!$E$11&gt;0,(F537*Escenarios!$E$16*10000)/1000,0)</f>
        <v>0</v>
      </c>
      <c r="H537" s="76">
        <f>IF(Escenarios!$E$11&gt;0,(Observaciones!$F536*Constantes!$E$29)/1000,0)</f>
        <v>0</v>
      </c>
      <c r="I537" s="76">
        <f>IF(Escenarios!$E$11&gt;0,(D537*Constantes!$E$29)/1000,0)</f>
        <v>23.924664119482674</v>
      </c>
      <c r="J537" s="76">
        <f>IF(Escenarios!$E$11&gt;0,MAX(0,G537+H537-I537),0)</f>
        <v>0</v>
      </c>
      <c r="K537" s="76">
        <f>IF(Escenarios!$E$11&gt;0,IF(J537&gt;Constantes!$E$30,1000*((J537-Constantes!$E$30)/(Escenarios!$E$16*10000)),0),F537)</f>
        <v>0</v>
      </c>
      <c r="L537" s="76">
        <f>IF(Escenarios!$E$11&gt;0,I537*1000/Escenarios!$E$16/10000+E537,E537)</f>
        <v>1.3745736139977757E-2</v>
      </c>
      <c r="M537" s="76">
        <f>MAX(0,N536+Observaciones!$F536-K537-Constantes!$D$13)</f>
        <v>0</v>
      </c>
      <c r="N537" s="76">
        <f>N536+Observaciones!$F536-K537-L537-M537-O536</f>
        <v>11.241296295126631</v>
      </c>
      <c r="O537" s="76">
        <f>MAX(0,(N537-Constantes!$D$14)*(1-EXP(-Constantes!$D$22)))</f>
        <v>0</v>
      </c>
      <c r="P537" s="170">
        <f>P536+(Entradas!$E$83*M537-Q536)/(800*Entradas!$D$25)</f>
        <v>0</v>
      </c>
      <c r="Q537" s="170">
        <f>8000*Entradas!$D$26*P537/Constantes!$E$45</f>
        <v>0</v>
      </c>
      <c r="R537" s="170">
        <f>IF(Escenarios!$E$14&gt;0,K537*Escenarios!$E$13/Escenarios!$E$14,0)</f>
        <v>0</v>
      </c>
      <c r="S537" s="170">
        <f>IF(Escenarios!$E$14&gt;0,Q537*Escenarios!$E$13/Escenarios!$E$14,0)</f>
        <v>0</v>
      </c>
      <c r="T537" s="170">
        <f>IF(Escenarios!$E$14&gt;0,Observaciones!$I536,0)</f>
        <v>0</v>
      </c>
      <c r="U537" s="170">
        <f>IF(Escenarios!$E$14&gt;0,MAX(0,Constantes!$E$36/((Z536+R537+S537+T537+Observaciones!$F536)^2)+Entradas!$E$77),0)</f>
        <v>0</v>
      </c>
      <c r="V537" s="146">
        <f>IF(ETo!D536&gt;0,ETo!I536*((1-Entradas!$E$81)*ETo!K536+ETo!L536),0)</f>
        <v>2.1504987584151629</v>
      </c>
      <c r="W537" s="170">
        <f>IF(Escenarios!$E$14&gt;0,MIN(V537*1,0.8*(Z536+R537+S537+T537+Observaciones!$F536-U537-Constantes!$E$35)),0)</f>
        <v>8.0656729904831086E-4</v>
      </c>
      <c r="X537" s="170">
        <f>IF(Escenarios!$E$14&gt;0,Observaciones!$J536,0)</f>
        <v>0</v>
      </c>
      <c r="Y537" s="170">
        <f>IF(Escenarios!$E$14&gt;0,MAX(0,Z536+R537+S537+T537+Observaciones!$F536-U537-W537-X537-Constantes!$E$33),0)</f>
        <v>0</v>
      </c>
      <c r="Z537" s="170">
        <f>Z536+R537+S537+T537+Observaciones!$F536-U537-W537-Y537</f>
        <v>41.250201641824759</v>
      </c>
      <c r="AA537" s="170">
        <f>IF(Escenarios!$E$14&gt;0,(Escenarios!$E$13*L537+Escenarios!$E$14*W537)/(Escenarios!$E$16),L537)</f>
        <v>1.2193035879066222E-2</v>
      </c>
      <c r="AB537" s="170">
        <f>IF(Escenarios!$E$14&gt;0,(Escenarios!$E$14*Y537)/(Escenarios!$E$16),K537)</f>
        <v>0</v>
      </c>
      <c r="AC537" s="170">
        <f>IF(Escenarios!$E$14&gt;0,(Escenarios!$E$13*M537+Escenarios!$E$14*U537)/(Escenarios!$E$16),M537)</f>
        <v>0</v>
      </c>
      <c r="AD537" s="76">
        <f t="shared" si="113"/>
        <v>112.02379838395899</v>
      </c>
      <c r="AE537" s="76">
        <f>MAX(0,(AD537-Constantes!$D$13)*(1-EXP(-Constantes!$D$23)))</f>
        <v>0.62345180612177309</v>
      </c>
      <c r="AF537" s="76">
        <f>AB537+O537*Escenarios!$E$13/Escenarios!$E$16+AE537</f>
        <v>0.62345180612177309</v>
      </c>
      <c r="AG537" s="76">
        <f>IF(Entradas!$E$91&gt;0,IF(AF537-Escenarios!$E$38&lt;=0,0,IF(AF537-Escenarios!$E$38&gt;Escenarios!$E$37,Escenarios!$E$37,AF537-Escenarios!$E$38)),0)</f>
        <v>0</v>
      </c>
      <c r="AH537" s="76">
        <f>AG537*Entradas!$E$99</f>
        <v>0</v>
      </c>
      <c r="AI537" s="76">
        <f>IF(Entradas!$E$91&gt;0,D537*Entradas!$D$23/Escenarios!$E$16,0)</f>
        <v>0</v>
      </c>
      <c r="AJ537" s="76">
        <f>IF(Entradas!$E$91&gt;0,Entradas!$D$24*Entradas!$D$22/Escenarios!$E$16,0)</f>
        <v>0</v>
      </c>
      <c r="AK537" s="76">
        <f t="shared" si="122"/>
        <v>1.2193035879066222E-2</v>
      </c>
      <c r="AL537" s="76">
        <f t="shared" si="123"/>
        <v>0</v>
      </c>
      <c r="AM537" s="76">
        <f t="shared" si="114"/>
        <v>0</v>
      </c>
      <c r="AN537" s="76">
        <f>MAX(0,O537*Escenarios!$E$13/Escenarios!$E$16-AM537)</f>
        <v>0</v>
      </c>
      <c r="AO537" s="76">
        <f>AM537+AN537-O537*Escenarios!$E$13/Escenarios!$E$16</f>
        <v>0</v>
      </c>
      <c r="AP537" s="76">
        <f t="shared" si="112"/>
        <v>0.62345180612177309</v>
      </c>
      <c r="AQ537" s="76">
        <f t="shared" si="115"/>
        <v>0</v>
      </c>
      <c r="AR537" s="76">
        <f t="shared" si="116"/>
        <v>0.62345180612177309</v>
      </c>
      <c r="AS537" s="76">
        <f t="shared" si="117"/>
        <v>0</v>
      </c>
      <c r="AT537" s="76">
        <f t="shared" si="118"/>
        <v>0</v>
      </c>
      <c r="AU537" s="76">
        <f t="shared" si="119"/>
        <v>48.75</v>
      </c>
      <c r="AV537" s="76">
        <f>MAX(0,(AU537-Constantes!$D$13)*(1-EXP(-Constantes!$D$24)))</f>
        <v>0</v>
      </c>
      <c r="AW537" s="170">
        <f>AW536+(Entradas!$E$112*AT537-AX536)/(800*Entradas!$D$25)</f>
        <v>0</v>
      </c>
      <c r="AX537" s="170">
        <f>8000*Entradas!$D$26*AW537/Constantes!$E$45</f>
        <v>0</v>
      </c>
      <c r="AY537" s="170">
        <f>IF(Escenarios!$E$17&gt;0,10*Escenarios!$E$16*AL537,0)</f>
        <v>0</v>
      </c>
      <c r="AZ537" s="170">
        <f>IF(Escenarios!$E$17&gt;0,10*Escenarios!$E$16*AX537,0)</f>
        <v>0</v>
      </c>
      <c r="BA537" s="170">
        <f>IF(Escenarios!$E$17&gt;0,0.001*Observaciones!$F536*Escenarios!$E$17,0)</f>
        <v>0</v>
      </c>
      <c r="BB537" s="170">
        <f>IF(Escenarios!$E$17&gt;0,Observaciones!$K536,0)</f>
        <v>0</v>
      </c>
      <c r="BC537" s="170">
        <f>IF(Escenarios!$E$17&gt;0,MIN(0.0005*ETo!$M536*Escenarios!$E$17*(BG536/Constantes!$E$40)^(2/3),BG536+AY537+AZ537+BA537+BB537),0)</f>
        <v>10.235634259286883</v>
      </c>
      <c r="BD537" s="170">
        <f>IF(Escenarios!$E$17&gt;0,MIN(Constantes!$E$39*(BG536/Constantes!$E$40)^(2/3),BG536+AY537+AZ537+BA537+BB537-BC537),0)</f>
        <v>29.52718508721069</v>
      </c>
      <c r="BE537" s="170">
        <f>IF(Escenarios!$E$17&gt;0,MIN(Entradas!$E$113,BG536+AY537+AZ537+BA537+BB537-BC537-BD537),0)</f>
        <v>1</v>
      </c>
      <c r="BF537" s="170">
        <f>IF(Escenarios!$E$17&gt;0,MAX(0,BG536+AY537+AZ537+BA537+BB537-BC537-BD537-BE537-Constantes!$E$40),0)</f>
        <v>0</v>
      </c>
      <c r="BG537" s="170">
        <f t="shared" si="124"/>
        <v>1454.118896599356</v>
      </c>
      <c r="BH537" s="170">
        <f>(Escenarios!$E$16*AK537+0.1*BC537)/(Escenarios!$E$19)</f>
        <v>1.6158025379743032E-2</v>
      </c>
      <c r="BI537" s="170">
        <f>IF(Escenarios!$E$17&gt;0,BF537/10/Escenarios!$E$19,AL537)</f>
        <v>0</v>
      </c>
      <c r="BJ537" s="170">
        <f>(Escenarios!$E$16*AT537+0.1*BD537)/(Escenarios!$E$19)</f>
        <v>1.1717136939369323E-2</v>
      </c>
      <c r="BK537" s="76">
        <f>BK536+(0.1*BD537)/(Escenarios!$E$19)-BL536</f>
        <v>50.566405639566668</v>
      </c>
      <c r="BL537" s="76">
        <f>MAX(0,(BK537-Constantes!$D$13)*(1-EXP(-Constantes!$D$23)))</f>
        <v>1.789747740076731E-2</v>
      </c>
      <c r="BM537" s="76">
        <f t="shared" si="120"/>
        <v>0.64134928352254039</v>
      </c>
      <c r="BN537" s="76">
        <f t="shared" si="125"/>
        <v>0.64134928352254039</v>
      </c>
      <c r="BO537" s="76">
        <f>0.0526*BI537*Observaciones!$F536^1.218</f>
        <v>0</v>
      </c>
      <c r="BP537" s="76">
        <f>BO537*Constantes!$E$51</f>
        <v>0</v>
      </c>
      <c r="BQ537" s="76">
        <f t="shared" si="121"/>
        <v>0</v>
      </c>
      <c r="BR537" s="40"/>
    </row>
    <row r="538" spans="1:70">
      <c r="A538" s="147"/>
      <c r="B538" s="39"/>
      <c r="C538" s="75">
        <v>532</v>
      </c>
      <c r="D538" s="146">
        <f>ETo!$I537*((1-Constantes!$E$19)*ETo!$K537+ETo!$L537)</f>
        <v>2.4878592593511901</v>
      </c>
      <c r="E538" s="76">
        <f>MIN(D538*Constantes!$E$17,0.8*(N537+Observaciones!$F537-F538-M538-Constantes!$D$14))</f>
        <v>-6.9629638986953074E-3</v>
      </c>
      <c r="F538" s="76">
        <f>IF(Observaciones!$F537&gt;0.05*Constantes!$E$18,((Observaciones!$F537-0.05*Constantes!$E$18)^2)/(Observaciones!$F537+0.95*Constantes!$E$18),0)</f>
        <v>0</v>
      </c>
      <c r="G538" s="76">
        <f>IF(Escenarios!$E$11&gt;0,(F538*Escenarios!$E$16*10000)/1000,0)</f>
        <v>0</v>
      </c>
      <c r="H538" s="76">
        <f>IF(Escenarios!$E$11&gt;0,(Observaciones!$F537*Constantes!$E$29)/1000,0)</f>
        <v>0</v>
      </c>
      <c r="I538" s="76">
        <f>IF(Escenarios!$E$11&gt;0,(D538*Constantes!$E$29)/1000,0)</f>
        <v>24.8785925935119</v>
      </c>
      <c r="J538" s="76">
        <f>IF(Escenarios!$E$11&gt;0,MAX(0,G538+H538-I538),0)</f>
        <v>0</v>
      </c>
      <c r="K538" s="76">
        <f>IF(Escenarios!$E$11&gt;0,IF(J538&gt;Constantes!$E$30,1000*((J538-Constantes!$E$30)/(Escenarios!$E$16*10000)),0),F538)</f>
        <v>0</v>
      </c>
      <c r="L538" s="76">
        <f>IF(Escenarios!$E$11&gt;0,I538*1000/Escenarios!$E$16/10000+E538,E538)</f>
        <v>2.9884731387094529E-3</v>
      </c>
      <c r="M538" s="76">
        <f>MAX(0,N537+Observaciones!$F537-K538-Constantes!$D$13)</f>
        <v>0</v>
      </c>
      <c r="N538" s="76">
        <f>N537+Observaciones!$F537-K538-L538-M538-O537</f>
        <v>11.238307821987922</v>
      </c>
      <c r="O538" s="76">
        <f>MAX(0,(N538-Constantes!$D$14)*(1-EXP(-Constantes!$D$22)))</f>
        <v>0</v>
      </c>
      <c r="P538" s="170">
        <f>P537+(Entradas!$E$83*M538-Q537)/(800*Entradas!$D$25)</f>
        <v>0</v>
      </c>
      <c r="Q538" s="170">
        <f>8000*Entradas!$D$26*P538/Constantes!$E$45</f>
        <v>0</v>
      </c>
      <c r="R538" s="170">
        <f>IF(Escenarios!$E$14&gt;0,K538*Escenarios!$E$13/Escenarios!$E$14,0)</f>
        <v>0</v>
      </c>
      <c r="S538" s="170">
        <f>IF(Escenarios!$E$14&gt;0,Q538*Escenarios!$E$13/Escenarios!$E$14,0)</f>
        <v>0</v>
      </c>
      <c r="T538" s="170">
        <f>IF(Escenarios!$E$14&gt;0,Observaciones!$I537,0)</f>
        <v>0</v>
      </c>
      <c r="U538" s="170">
        <f>IF(Escenarios!$E$14&gt;0,MAX(0,Constantes!$E$36/((Z537+R538+S538+T538+Observaciones!$F537)^2)+Entradas!$E$77),0)</f>
        <v>0</v>
      </c>
      <c r="V538" s="146">
        <f>IF(ETo!D537&gt;0,ETo!I537*((1-Entradas!$E$81)*ETo!K537+ETo!L537),0)</f>
        <v>2.2366938743409097</v>
      </c>
      <c r="W538" s="170">
        <f>IF(Escenarios!$E$14&gt;0,MIN(V538*1,0.8*(Z537+R538+S538+T538+Observaciones!$F537-U538-Constantes!$E$35)),0)</f>
        <v>1.6131345980738843E-4</v>
      </c>
      <c r="X538" s="170">
        <f>IF(Escenarios!$E$14&gt;0,Observaciones!$J537,0)</f>
        <v>0</v>
      </c>
      <c r="Y538" s="170">
        <f>IF(Escenarios!$E$14&gt;0,MAX(0,Z537+R538+S538+T538+Observaciones!$F537-U538-W538-X538-Constantes!$E$33),0)</f>
        <v>0</v>
      </c>
      <c r="Z538" s="170">
        <f>Z537+R538+S538+T538+Observaciones!$F537-U538-W538-Y538</f>
        <v>41.250040328364953</v>
      </c>
      <c r="AA538" s="170">
        <f>IF(Escenarios!$E$14&gt;0,(Escenarios!$E$13*L538+Escenarios!$E$14*W538)/(Escenarios!$E$16),L538)</f>
        <v>2.6492139772412051E-3</v>
      </c>
      <c r="AB538" s="170">
        <f>IF(Escenarios!$E$14&gt;0,(Escenarios!$E$14*Y538)/(Escenarios!$E$16),K538)</f>
        <v>0</v>
      </c>
      <c r="AC538" s="170">
        <f>IF(Escenarios!$E$14&gt;0,(Escenarios!$E$13*M538+Escenarios!$E$14*U538)/(Escenarios!$E$16),M538)</f>
        <v>0</v>
      </c>
      <c r="AD538" s="76">
        <f t="shared" si="113"/>
        <v>111.40034657783721</v>
      </c>
      <c r="AE538" s="76">
        <f>MAX(0,(AD538-Constantes!$D$13)*(1-EXP(-Constantes!$D$23)))</f>
        <v>0.61730878698140412</v>
      </c>
      <c r="AF538" s="76">
        <f>AB538+O538*Escenarios!$E$13/Escenarios!$E$16+AE538</f>
        <v>0.61730878698140412</v>
      </c>
      <c r="AG538" s="76">
        <f>IF(Entradas!$E$91&gt;0,IF(AF538-Escenarios!$E$38&lt;=0,0,IF(AF538-Escenarios!$E$38&gt;Escenarios!$E$37,Escenarios!$E$37,AF538-Escenarios!$E$38)),0)</f>
        <v>0</v>
      </c>
      <c r="AH538" s="76">
        <f>AG538*Entradas!$E$99</f>
        <v>0</v>
      </c>
      <c r="AI538" s="76">
        <f>IF(Entradas!$E$91&gt;0,D538*Entradas!$D$23/Escenarios!$E$16,0)</f>
        <v>0</v>
      </c>
      <c r="AJ538" s="76">
        <f>IF(Entradas!$E$91&gt;0,Entradas!$D$24*Entradas!$D$22/Escenarios!$E$16,0)</f>
        <v>0</v>
      </c>
      <c r="AK538" s="76">
        <f t="shared" si="122"/>
        <v>2.6492139772412051E-3</v>
      </c>
      <c r="AL538" s="76">
        <f t="shared" si="123"/>
        <v>0</v>
      </c>
      <c r="AM538" s="76">
        <f t="shared" si="114"/>
        <v>0</v>
      </c>
      <c r="AN538" s="76">
        <f>MAX(0,O538*Escenarios!$E$13/Escenarios!$E$16-AM538)</f>
        <v>0</v>
      </c>
      <c r="AO538" s="76">
        <f>AM538+AN538-O538*Escenarios!$E$13/Escenarios!$E$16</f>
        <v>0</v>
      </c>
      <c r="AP538" s="76">
        <f t="shared" si="112"/>
        <v>0.61730878698140412</v>
      </c>
      <c r="AQ538" s="76">
        <f t="shared" si="115"/>
        <v>0</v>
      </c>
      <c r="AR538" s="76">
        <f t="shared" si="116"/>
        <v>0.61730878698140412</v>
      </c>
      <c r="AS538" s="76">
        <f t="shared" si="117"/>
        <v>0</v>
      </c>
      <c r="AT538" s="76">
        <f t="shared" si="118"/>
        <v>0</v>
      </c>
      <c r="AU538" s="76">
        <f t="shared" si="119"/>
        <v>48.75</v>
      </c>
      <c r="AV538" s="76">
        <f>MAX(0,(AU538-Constantes!$D$13)*(1-EXP(-Constantes!$D$24)))</f>
        <v>0</v>
      </c>
      <c r="AW538" s="170">
        <f>AW537+(Entradas!$E$112*AT538-AX537)/(800*Entradas!$D$25)</f>
        <v>0</v>
      </c>
      <c r="AX538" s="170">
        <f>8000*Entradas!$D$26*AW538/Constantes!$E$45</f>
        <v>0</v>
      </c>
      <c r="AY538" s="170">
        <f>IF(Escenarios!$E$17&gt;0,10*Escenarios!$E$16*AL538,0)</f>
        <v>0</v>
      </c>
      <c r="AZ538" s="170">
        <f>IF(Escenarios!$E$17&gt;0,10*Escenarios!$E$16*AX538,0)</f>
        <v>0</v>
      </c>
      <c r="BA538" s="170">
        <f>IF(Escenarios!$E$17&gt;0,0.001*Observaciones!$F537*Escenarios!$E$17,0)</f>
        <v>0</v>
      </c>
      <c r="BB538" s="170">
        <f>IF(Escenarios!$E$17&gt;0,Observaciones!$K537,0)</f>
        <v>0</v>
      </c>
      <c r="BC538" s="170">
        <f>IF(Escenarios!$E$17&gt;0,MIN(0.0005*ETo!$M537*Escenarios!$E$17*(BG537/Constantes!$E$40)^(2/3),BG537+AY538+AZ538+BA538+BB538),0)</f>
        <v>10.446804055399529</v>
      </c>
      <c r="BD538" s="170">
        <f>IF(Escenarios!$E$17&gt;0,MIN(Constantes!$E$39*(BG537/Constantes!$E$40)^(2/3),BG537+AY538+AZ538+BA538+BB538-BC538),0)</f>
        <v>28.987945659129679</v>
      </c>
      <c r="BE538" s="170">
        <f>IF(Escenarios!$E$17&gt;0,MIN(Entradas!$E$113,BG537+AY538+AZ538+BA538+BB538-BC538-BD538),0)</f>
        <v>1</v>
      </c>
      <c r="BF538" s="170">
        <f>IF(Escenarios!$E$17&gt;0,MAX(0,BG537+AY538+AZ538+BA538+BB538-BC538-BD538-BE538-Constantes!$E$40),0)</f>
        <v>0</v>
      </c>
      <c r="BG538" s="170">
        <f t="shared" si="124"/>
        <v>1413.6841468848268</v>
      </c>
      <c r="BH538" s="170">
        <f>(Escenarios!$E$16*AK538+0.1*BC538)/(Escenarios!$E$19)</f>
        <v>6.7737456343264068E-3</v>
      </c>
      <c r="BI538" s="170">
        <f>IF(Escenarios!$E$17&gt;0,BF538/10/Escenarios!$E$19,AL538)</f>
        <v>0</v>
      </c>
      <c r="BJ538" s="170">
        <f>(Escenarios!$E$16*AT538+0.1*BD538)/(Escenarios!$E$19)</f>
        <v>1.1503153039337174E-2</v>
      </c>
      <c r="BK538" s="76">
        <f>BK537+(0.1*BD538)/(Escenarios!$E$19)-BL537</f>
        <v>50.560011315205237</v>
      </c>
      <c r="BL538" s="76">
        <f>MAX(0,(BK538-Constantes!$D$13)*(1-EXP(-Constantes!$D$23)))</f>
        <v>1.7834472599824732E-2</v>
      </c>
      <c r="BM538" s="76">
        <f t="shared" si="120"/>
        <v>0.63514325958122886</v>
      </c>
      <c r="BN538" s="76">
        <f t="shared" si="125"/>
        <v>0.63514325958122886</v>
      </c>
      <c r="BO538" s="76">
        <f>0.0526*BI538*Observaciones!$F537^1.218</f>
        <v>0</v>
      </c>
      <c r="BP538" s="76">
        <f>BO538*Constantes!$E$51</f>
        <v>0</v>
      </c>
      <c r="BQ538" s="76">
        <f t="shared" si="121"/>
        <v>0</v>
      </c>
      <c r="BR538" s="40"/>
    </row>
    <row r="539" spans="1:70">
      <c r="A539" s="147"/>
      <c r="B539" s="39"/>
      <c r="C539" s="75">
        <v>533</v>
      </c>
      <c r="D539" s="146">
        <f>ETo!$I538*((1-Constantes!$E$19)*ETo!$K538+ETo!$L538)</f>
        <v>2.424337929880171</v>
      </c>
      <c r="E539" s="76">
        <f>MIN(D539*Constantes!$E$17,0.8*(N538+Observaciones!$F538-F539-M539-Constantes!$D$14))</f>
        <v>-9.3537424096624029E-3</v>
      </c>
      <c r="F539" s="76">
        <f>IF(Observaciones!$F538&gt;0.05*Constantes!$E$18,((Observaciones!$F538-0.05*Constantes!$E$18)^2)/(Observaciones!$F538+0.95*Constantes!$E$18),0)</f>
        <v>0</v>
      </c>
      <c r="G539" s="76">
        <f>IF(Escenarios!$E$11&gt;0,(F539*Escenarios!$E$16*10000)/1000,0)</f>
        <v>0</v>
      </c>
      <c r="H539" s="76">
        <f>IF(Escenarios!$E$11&gt;0,(Observaciones!$F538*Constantes!$E$29)/1000,0)</f>
        <v>0</v>
      </c>
      <c r="I539" s="76">
        <f>IF(Escenarios!$E$11&gt;0,(D539*Constantes!$E$29)/1000,0)</f>
        <v>24.243379298801713</v>
      </c>
      <c r="J539" s="76">
        <f>IF(Escenarios!$E$11&gt;0,MAX(0,G539+H539-I539),0)</f>
        <v>0</v>
      </c>
      <c r="K539" s="76">
        <f>IF(Escenarios!$E$11&gt;0,IF(J539&gt;Constantes!$E$30,1000*((J539-Constantes!$E$30)/(Escenarios!$E$16*10000)),0),F539)</f>
        <v>0</v>
      </c>
      <c r="L539" s="76">
        <f>IF(Escenarios!$E$11&gt;0,I539*1000/Escenarios!$E$16/10000+E539,E539)</f>
        <v>3.4360930985828306E-4</v>
      </c>
      <c r="M539" s="76">
        <f>MAX(0,N538+Observaciones!$F538-K539-Constantes!$D$13)</f>
        <v>0</v>
      </c>
      <c r="N539" s="76">
        <f>N538+Observaciones!$F538-K539-L539-M539-O538</f>
        <v>11.237964212678063</v>
      </c>
      <c r="O539" s="76">
        <f>MAX(0,(N539-Constantes!$D$14)*(1-EXP(-Constantes!$D$22)))</f>
        <v>0</v>
      </c>
      <c r="P539" s="170">
        <f>P538+(Entradas!$E$83*M539-Q538)/(800*Entradas!$D$25)</f>
        <v>0</v>
      </c>
      <c r="Q539" s="170">
        <f>8000*Entradas!$D$26*P539/Constantes!$E$45</f>
        <v>0</v>
      </c>
      <c r="R539" s="170">
        <f>IF(Escenarios!$E$14&gt;0,K539*Escenarios!$E$13/Escenarios!$E$14,0)</f>
        <v>0</v>
      </c>
      <c r="S539" s="170">
        <f>IF(Escenarios!$E$14&gt;0,Q539*Escenarios!$E$13/Escenarios!$E$14,0)</f>
        <v>0</v>
      </c>
      <c r="T539" s="170">
        <f>IF(Escenarios!$E$14&gt;0,Observaciones!$I538,0)</f>
        <v>0</v>
      </c>
      <c r="U539" s="170">
        <f>IF(Escenarios!$E$14&gt;0,MAX(0,Constantes!$E$36/((Z538+R539+S539+T539+Observaciones!$F538)^2)+Entradas!$E$77),0)</f>
        <v>0</v>
      </c>
      <c r="V539" s="146">
        <f>IF(ETo!D538&gt;0,ETo!I538*((1-Entradas!$E$81)*ETo!K538+ETo!L538),0)</f>
        <v>2.1790957226636545</v>
      </c>
      <c r="W539" s="170">
        <f>IF(Escenarios!$E$14&gt;0,MIN(V539*1,0.8*(Z538+R539+S539+T539+Observaciones!$F538-U539-Constantes!$E$35)),0)</f>
        <v>3.2262691962614558E-5</v>
      </c>
      <c r="X539" s="170">
        <f>IF(Escenarios!$E$14&gt;0,Observaciones!$J538,0)</f>
        <v>0</v>
      </c>
      <c r="Y539" s="170">
        <f>IF(Escenarios!$E$14&gt;0,MAX(0,Z538+R539+S539+T539+Observaciones!$F538-U539-W539-X539-Constantes!$E$33),0)</f>
        <v>0</v>
      </c>
      <c r="Z539" s="170">
        <f>Z538+R539+S539+T539+Observaciones!$F538-U539-W539-Y539</f>
        <v>41.250008065672993</v>
      </c>
      <c r="AA539" s="170">
        <f>IF(Escenarios!$E$14&gt;0,(Escenarios!$E$13*L539+Escenarios!$E$14*W539)/(Escenarios!$E$16),L539)</f>
        <v>3.0624771571080285E-4</v>
      </c>
      <c r="AB539" s="170">
        <f>IF(Escenarios!$E$14&gt;0,(Escenarios!$E$14*Y539)/(Escenarios!$E$16),K539)</f>
        <v>0</v>
      </c>
      <c r="AC539" s="170">
        <f>IF(Escenarios!$E$14&gt;0,(Escenarios!$E$13*M539+Escenarios!$E$14*U539)/(Escenarios!$E$16),M539)</f>
        <v>0</v>
      </c>
      <c r="AD539" s="76">
        <f t="shared" si="113"/>
        <v>110.7830377908558</v>
      </c>
      <c r="AE539" s="76">
        <f>MAX(0,(AD539-Constantes!$D$13)*(1-EXP(-Constantes!$D$23)))</f>
        <v>0.6112262964717784</v>
      </c>
      <c r="AF539" s="76">
        <f>AB539+O539*Escenarios!$E$13/Escenarios!$E$16+AE539</f>
        <v>0.6112262964717784</v>
      </c>
      <c r="AG539" s="76">
        <f>IF(Entradas!$E$91&gt;0,IF(AF539-Escenarios!$E$38&lt;=0,0,IF(AF539-Escenarios!$E$38&gt;Escenarios!$E$37,Escenarios!$E$37,AF539-Escenarios!$E$38)),0)</f>
        <v>0</v>
      </c>
      <c r="AH539" s="76">
        <f>AG539*Entradas!$E$99</f>
        <v>0</v>
      </c>
      <c r="AI539" s="76">
        <f>IF(Entradas!$E$91&gt;0,D539*Entradas!$D$23/Escenarios!$E$16,0)</f>
        <v>0</v>
      </c>
      <c r="AJ539" s="76">
        <f>IF(Entradas!$E$91&gt;0,Entradas!$D$24*Entradas!$D$22/Escenarios!$E$16,0)</f>
        <v>0</v>
      </c>
      <c r="AK539" s="76">
        <f t="shared" si="122"/>
        <v>3.0624771571080285E-4</v>
      </c>
      <c r="AL539" s="76">
        <f t="shared" si="123"/>
        <v>0</v>
      </c>
      <c r="AM539" s="76">
        <f t="shared" si="114"/>
        <v>0</v>
      </c>
      <c r="AN539" s="76">
        <f>MAX(0,O539*Escenarios!$E$13/Escenarios!$E$16-AM539)</f>
        <v>0</v>
      </c>
      <c r="AO539" s="76">
        <f>AM539+AN539-O539*Escenarios!$E$13/Escenarios!$E$16</f>
        <v>0</v>
      </c>
      <c r="AP539" s="76">
        <f t="shared" si="112"/>
        <v>0.6112262964717784</v>
      </c>
      <c r="AQ539" s="76">
        <f t="shared" si="115"/>
        <v>0</v>
      </c>
      <c r="AR539" s="76">
        <f t="shared" si="116"/>
        <v>0.6112262964717784</v>
      </c>
      <c r="AS539" s="76">
        <f t="shared" si="117"/>
        <v>0</v>
      </c>
      <c r="AT539" s="76">
        <f t="shared" si="118"/>
        <v>0</v>
      </c>
      <c r="AU539" s="76">
        <f t="shared" si="119"/>
        <v>48.75</v>
      </c>
      <c r="AV539" s="76">
        <f>MAX(0,(AU539-Constantes!$D$13)*(1-EXP(-Constantes!$D$24)))</f>
        <v>0</v>
      </c>
      <c r="AW539" s="170">
        <f>AW538+(Entradas!$E$112*AT539-AX538)/(800*Entradas!$D$25)</f>
        <v>0</v>
      </c>
      <c r="AX539" s="170">
        <f>8000*Entradas!$D$26*AW539/Constantes!$E$45</f>
        <v>0</v>
      </c>
      <c r="AY539" s="170">
        <f>IF(Escenarios!$E$17&gt;0,10*Escenarios!$E$16*AL539,0)</f>
        <v>0</v>
      </c>
      <c r="AZ539" s="170">
        <f>IF(Escenarios!$E$17&gt;0,10*Escenarios!$E$16*AX539,0)</f>
        <v>0</v>
      </c>
      <c r="BA539" s="170">
        <f>IF(Escenarios!$E$17&gt;0,0.001*Observaciones!$F538*Escenarios!$E$17,0)</f>
        <v>0</v>
      </c>
      <c r="BB539" s="170">
        <f>IF(Escenarios!$E$17&gt;0,Observaciones!$K538,0)</f>
        <v>0</v>
      </c>
      <c r="BC539" s="170">
        <f>IF(Escenarios!$E$17&gt;0,MIN(0.0005*ETo!$M538*Escenarios!$E$17*(BG538/Constantes!$E$40)^(2/3),BG538+AY539+AZ539+BA539+BB539),0)</f>
        <v>9.9932068590832923</v>
      </c>
      <c r="BD539" s="170">
        <f>IF(Escenarios!$E$17&gt;0,MIN(Constantes!$E$39*(BG538/Constantes!$E$40)^(2/3),BG538+AY539+AZ539+BA539+BB539-BC539),0)</f>
        <v>28.448044474465355</v>
      </c>
      <c r="BE539" s="170">
        <f>IF(Escenarios!$E$17&gt;0,MIN(Entradas!$E$113,BG538+AY539+AZ539+BA539+BB539-BC539-BD539),0)</f>
        <v>1</v>
      </c>
      <c r="BF539" s="170">
        <f>IF(Escenarios!$E$17&gt;0,MAX(0,BG538+AY539+AZ539+BA539+BB539-BC539-BD539-BE539-Constantes!$E$40),0)</f>
        <v>0</v>
      </c>
      <c r="BG539" s="170">
        <f t="shared" si="124"/>
        <v>1374.242895551278</v>
      </c>
      <c r="BH539" s="170">
        <f>(Escenarios!$E$16*AK539+0.1*BC539)/(Escenarios!$E$19)</f>
        <v>4.2693754556985316E-3</v>
      </c>
      <c r="BI539" s="170">
        <f>IF(Escenarios!$E$17&gt;0,BF539/10/Escenarios!$E$19,AL539)</f>
        <v>0</v>
      </c>
      <c r="BJ539" s="170">
        <f>(Escenarios!$E$16*AT539+0.1*BD539)/(Escenarios!$E$19)</f>
        <v>1.1288906537486253E-2</v>
      </c>
      <c r="BK539" s="76">
        <f>BK538+(0.1*BD539)/(Escenarios!$E$19)-BL538</f>
        <v>50.553465749142902</v>
      </c>
      <c r="BL539" s="76">
        <f>MAX(0,(BK539-Constantes!$D$13)*(1-EXP(-Constantes!$D$23)))</f>
        <v>1.7769977578380166E-2</v>
      </c>
      <c r="BM539" s="76">
        <f t="shared" si="120"/>
        <v>0.62899627405015857</v>
      </c>
      <c r="BN539" s="76">
        <f t="shared" si="125"/>
        <v>0.62899627405015857</v>
      </c>
      <c r="BO539" s="76">
        <f>0.0526*BI539*Observaciones!$F538^1.218</f>
        <v>0</v>
      </c>
      <c r="BP539" s="76">
        <f>BO539*Constantes!$E$51</f>
        <v>0</v>
      </c>
      <c r="BQ539" s="76">
        <f t="shared" si="121"/>
        <v>0</v>
      </c>
      <c r="BR539" s="40"/>
    </row>
    <row r="540" spans="1:70">
      <c r="A540" s="147"/>
      <c r="B540" s="39"/>
      <c r="C540" s="75">
        <v>534</v>
      </c>
      <c r="D540" s="146">
        <f>ETo!$I539*((1-Constantes!$E$19)*ETo!$K539+ETo!$L539)</f>
        <v>2.4077937796145239</v>
      </c>
      <c r="E540" s="76">
        <f>MIN(D540*Constantes!$E$17,0.8*(N539+Observaciones!$F539-F540-M540-Constantes!$D$14))</f>
        <v>-9.6286298575492431E-3</v>
      </c>
      <c r="F540" s="76">
        <f>IF(Observaciones!$F539&gt;0.05*Constantes!$E$18,((Observaciones!$F539-0.05*Constantes!$E$18)^2)/(Observaciones!$F539+0.95*Constantes!$E$18),0)</f>
        <v>0</v>
      </c>
      <c r="G540" s="76">
        <f>IF(Escenarios!$E$11&gt;0,(F540*Escenarios!$E$16*10000)/1000,0)</f>
        <v>0</v>
      </c>
      <c r="H540" s="76">
        <f>IF(Escenarios!$E$11&gt;0,(Observaciones!$F539*Constantes!$E$29)/1000,0)</f>
        <v>0</v>
      </c>
      <c r="I540" s="76">
        <f>IF(Escenarios!$E$11&gt;0,(D540*Constantes!$E$29)/1000,0)</f>
        <v>24.077937796145239</v>
      </c>
      <c r="J540" s="76">
        <f>IF(Escenarios!$E$11&gt;0,MAX(0,G540+H540-I540),0)</f>
        <v>0</v>
      </c>
      <c r="K540" s="76">
        <f>IF(Escenarios!$E$11&gt;0,IF(J540&gt;Constantes!$E$30,1000*((J540-Constantes!$E$30)/(Escenarios!$E$16*10000)),0),F540)</f>
        <v>0</v>
      </c>
      <c r="L540" s="76">
        <f>IF(Escenarios!$E$11&gt;0,I540*1000/Escenarios!$E$16/10000+E540,E540)</f>
        <v>2.5452609088531808E-6</v>
      </c>
      <c r="M540" s="76">
        <f>MAX(0,N539+Observaciones!$F539-K540-Constantes!$D$13)</f>
        <v>0</v>
      </c>
      <c r="N540" s="76">
        <f>N539+Observaciones!$F539-K540-L540-M540-O539</f>
        <v>11.237961667417155</v>
      </c>
      <c r="O540" s="76">
        <f>MAX(0,(N540-Constantes!$D$14)*(1-EXP(-Constantes!$D$22)))</f>
        <v>0</v>
      </c>
      <c r="P540" s="170">
        <f>P539+(Entradas!$E$83*M540-Q539)/(800*Entradas!$D$25)</f>
        <v>0</v>
      </c>
      <c r="Q540" s="170">
        <f>8000*Entradas!$D$26*P540/Constantes!$E$45</f>
        <v>0</v>
      </c>
      <c r="R540" s="170">
        <f>IF(Escenarios!$E$14&gt;0,K540*Escenarios!$E$13/Escenarios!$E$14,0)</f>
        <v>0</v>
      </c>
      <c r="S540" s="170">
        <f>IF(Escenarios!$E$14&gt;0,Q540*Escenarios!$E$13/Escenarios!$E$14,0)</f>
        <v>0</v>
      </c>
      <c r="T540" s="170">
        <f>IF(Escenarios!$E$14&gt;0,Observaciones!$I539,0)</f>
        <v>0</v>
      </c>
      <c r="U540" s="170">
        <f>IF(Escenarios!$E$14&gt;0,MAX(0,Constantes!$E$36/((Z539+R540+S540+T540+Observaciones!$F539)^2)+Entradas!$E$77),0)</f>
        <v>0</v>
      </c>
      <c r="V540" s="146">
        <f>IF(ETo!D539&gt;0,ETo!I539*((1-Entradas!$E$81)*ETo!K539+ETo!L539),0)</f>
        <v>2.1640766299030774</v>
      </c>
      <c r="W540" s="170">
        <f>IF(Escenarios!$E$14&gt;0,MIN(V540*1,0.8*(Z539+R540+S540+T540+Observaciones!$F539-U540-Constantes!$E$35)),0)</f>
        <v>6.4525383947966478E-6</v>
      </c>
      <c r="X540" s="170">
        <f>IF(Escenarios!$E$14&gt;0,Observaciones!$J539,0)</f>
        <v>0</v>
      </c>
      <c r="Y540" s="170">
        <f>IF(Escenarios!$E$14&gt;0,MAX(0,Z539+R540+S540+T540+Observaciones!$F539-U540-W540-X540-Constantes!$E$33),0)</f>
        <v>0</v>
      </c>
      <c r="Z540" s="170">
        <f>Z539+R540+S540+T540+Observaciones!$F539-U540-W540-Y540</f>
        <v>41.2500016131346</v>
      </c>
      <c r="AA540" s="170">
        <f>IF(Escenarios!$E$14&gt;0,(Escenarios!$E$13*L540+Escenarios!$E$14*W540)/(Escenarios!$E$16),L540)</f>
        <v>3.0141342071663968E-6</v>
      </c>
      <c r="AB540" s="170">
        <f>IF(Escenarios!$E$14&gt;0,(Escenarios!$E$14*Y540)/(Escenarios!$E$16),K540)</f>
        <v>0</v>
      </c>
      <c r="AC540" s="170">
        <f>IF(Escenarios!$E$14&gt;0,(Escenarios!$E$13*M540+Escenarios!$E$14*U540)/(Escenarios!$E$16),M540)</f>
        <v>0</v>
      </c>
      <c r="AD540" s="76">
        <f t="shared" si="113"/>
        <v>110.17181149438402</v>
      </c>
      <c r="AE540" s="76">
        <f>MAX(0,(AD540-Constantes!$D$13)*(1-EXP(-Constantes!$D$23)))</f>
        <v>0.60520373818988038</v>
      </c>
      <c r="AF540" s="76">
        <f>AB540+O540*Escenarios!$E$13/Escenarios!$E$16+AE540</f>
        <v>0.60520373818988038</v>
      </c>
      <c r="AG540" s="76">
        <f>IF(Entradas!$E$91&gt;0,IF(AF540-Escenarios!$E$38&lt;=0,0,IF(AF540-Escenarios!$E$38&gt;Escenarios!$E$37,Escenarios!$E$37,AF540-Escenarios!$E$38)),0)</f>
        <v>0</v>
      </c>
      <c r="AH540" s="76">
        <f>AG540*Entradas!$E$99</f>
        <v>0</v>
      </c>
      <c r="AI540" s="76">
        <f>IF(Entradas!$E$91&gt;0,D540*Entradas!$D$23/Escenarios!$E$16,0)</f>
        <v>0</v>
      </c>
      <c r="AJ540" s="76">
        <f>IF(Entradas!$E$91&gt;0,Entradas!$D$24*Entradas!$D$22/Escenarios!$E$16,0)</f>
        <v>0</v>
      </c>
      <c r="AK540" s="76">
        <f t="shared" si="122"/>
        <v>3.0141342071663968E-6</v>
      </c>
      <c r="AL540" s="76">
        <f t="shared" si="123"/>
        <v>0</v>
      </c>
      <c r="AM540" s="76">
        <f t="shared" si="114"/>
        <v>0</v>
      </c>
      <c r="AN540" s="76">
        <f>MAX(0,O540*Escenarios!$E$13/Escenarios!$E$16-AM540)</f>
        <v>0</v>
      </c>
      <c r="AO540" s="76">
        <f>AM540+AN540-O540*Escenarios!$E$13/Escenarios!$E$16</f>
        <v>0</v>
      </c>
      <c r="AP540" s="76">
        <f t="shared" si="112"/>
        <v>0.60520373818988038</v>
      </c>
      <c r="AQ540" s="76">
        <f t="shared" si="115"/>
        <v>0</v>
      </c>
      <c r="AR540" s="76">
        <f t="shared" si="116"/>
        <v>0.60520373818988038</v>
      </c>
      <c r="AS540" s="76">
        <f t="shared" si="117"/>
        <v>0</v>
      </c>
      <c r="AT540" s="76">
        <f t="shared" si="118"/>
        <v>0</v>
      </c>
      <c r="AU540" s="76">
        <f t="shared" si="119"/>
        <v>48.75</v>
      </c>
      <c r="AV540" s="76">
        <f>MAX(0,(AU540-Constantes!$D$13)*(1-EXP(-Constantes!$D$24)))</f>
        <v>0</v>
      </c>
      <c r="AW540" s="170">
        <f>AW539+(Entradas!$E$112*AT540-AX539)/(800*Entradas!$D$25)</f>
        <v>0</v>
      </c>
      <c r="AX540" s="170">
        <f>8000*Entradas!$D$26*AW540/Constantes!$E$45</f>
        <v>0</v>
      </c>
      <c r="AY540" s="170">
        <f>IF(Escenarios!$E$17&gt;0,10*Escenarios!$E$16*AL540,0)</f>
        <v>0</v>
      </c>
      <c r="AZ540" s="170">
        <f>IF(Escenarios!$E$17&gt;0,10*Escenarios!$E$16*AX540,0)</f>
        <v>0</v>
      </c>
      <c r="BA540" s="170">
        <f>IF(Escenarios!$E$17&gt;0,0.001*Observaciones!$F539*Escenarios!$E$17,0)</f>
        <v>0</v>
      </c>
      <c r="BB540" s="170">
        <f>IF(Escenarios!$E$17&gt;0,Observaciones!$K539,0)</f>
        <v>0</v>
      </c>
      <c r="BC540" s="170">
        <f>IF(Escenarios!$E$17&gt;0,MIN(0.0005*ETo!$M539*Escenarios!$E$17*(BG539/Constantes!$E$40)^(2/3),BG539+AY540+AZ540+BA540+BB540),0)</f>
        <v>9.7403549000232825</v>
      </c>
      <c r="BD540" s="170">
        <f>IF(Escenarios!$E$17&gt;0,MIN(Constantes!$E$39*(BG539/Constantes!$E$40)^(2/3),BG539+AY540+AZ540+BA540+BB540-BC540),0)</f>
        <v>27.916426623876408</v>
      </c>
      <c r="BE540" s="170">
        <f>IF(Escenarios!$E$17&gt;0,MIN(Entradas!$E$113,BG539+AY540+AZ540+BA540+BB540-BC540-BD540),0)</f>
        <v>1</v>
      </c>
      <c r="BF540" s="170">
        <f>IF(Escenarios!$E$17&gt;0,MAX(0,BG539+AY540+AZ540+BA540+BB540-BC540-BD540-BE540-Constantes!$E$40),0)</f>
        <v>0</v>
      </c>
      <c r="BG540" s="170">
        <f t="shared" si="124"/>
        <v>1335.5861140273785</v>
      </c>
      <c r="BH540" s="170">
        <f>(Escenarios!$E$16*AK540+0.1*BC540)/(Escenarios!$E$19)</f>
        <v>3.8682104109290473E-3</v>
      </c>
      <c r="BI540" s="170">
        <f>IF(Escenarios!$E$17&gt;0,BF540/10/Escenarios!$E$19,AL540)</f>
        <v>0</v>
      </c>
      <c r="BJ540" s="170">
        <f>(Escenarios!$E$16*AT540+0.1*BD540)/(Escenarios!$E$19)</f>
        <v>1.107794707296683E-2</v>
      </c>
      <c r="BK540" s="76">
        <f>BK539+(0.1*BD540)/(Escenarios!$E$19)-BL539</f>
        <v>50.546773718637489</v>
      </c>
      <c r="BL540" s="76">
        <f>MAX(0,(BK540-Constantes!$D$13)*(1-EXP(-Constantes!$D$23)))</f>
        <v>1.7704039407892853E-2</v>
      </c>
      <c r="BM540" s="76">
        <f t="shared" si="120"/>
        <v>0.62290777759777327</v>
      </c>
      <c r="BN540" s="76">
        <f t="shared" si="125"/>
        <v>0.62290777759777327</v>
      </c>
      <c r="BO540" s="76">
        <f>0.0526*BI540*Observaciones!$F539^1.218</f>
        <v>0</v>
      </c>
      <c r="BP540" s="76">
        <f>BO540*Constantes!$E$51</f>
        <v>0</v>
      </c>
      <c r="BQ540" s="76">
        <f t="shared" si="121"/>
        <v>0</v>
      </c>
      <c r="BR540" s="40"/>
    </row>
    <row r="541" spans="1:70">
      <c r="A541" s="147"/>
      <c r="B541" s="39"/>
      <c r="C541" s="75">
        <v>535</v>
      </c>
      <c r="D541" s="146">
        <f>ETo!$I540*((1-Constantes!$E$19)*ETo!$K540+ETo!$L540)</f>
        <v>2.4118630495307261</v>
      </c>
      <c r="E541" s="76">
        <f>MIN(D541*Constantes!$E$17,0.8*(N540+Observaciones!$F540-F541-M541-Constantes!$D$14))</f>
        <v>-9.6306660662762063E-3</v>
      </c>
      <c r="F541" s="76">
        <f>IF(Observaciones!$F540&gt;0.05*Constantes!$E$18,((Observaciones!$F540-0.05*Constantes!$E$18)^2)/(Observaciones!$F540+0.95*Constantes!$E$18),0)</f>
        <v>0</v>
      </c>
      <c r="G541" s="76">
        <f>IF(Escenarios!$E$11&gt;0,(F541*Escenarios!$E$16*10000)/1000,0)</f>
        <v>0</v>
      </c>
      <c r="H541" s="76">
        <f>IF(Escenarios!$E$11&gt;0,(Observaciones!$F540*Constantes!$E$29)/1000,0)</f>
        <v>0</v>
      </c>
      <c r="I541" s="76">
        <f>IF(Escenarios!$E$11&gt;0,(D541*Constantes!$E$29)/1000,0)</f>
        <v>24.118630495307261</v>
      </c>
      <c r="J541" s="76">
        <f>IF(Escenarios!$E$11&gt;0,MAX(0,G541+H541-I541),0)</f>
        <v>0</v>
      </c>
      <c r="K541" s="76">
        <f>IF(Escenarios!$E$11&gt;0,IF(J541&gt;Constantes!$E$30,1000*((J541-Constantes!$E$30)/(Escenarios!$E$16*10000)),0),F541)</f>
        <v>0</v>
      </c>
      <c r="L541" s="76">
        <f>IF(Escenarios!$E$11&gt;0,I541*1000/Escenarios!$E$16/10000+E541,E541)</f>
        <v>1.6786131846698027E-5</v>
      </c>
      <c r="M541" s="76">
        <f>MAX(0,N540+Observaciones!$F540-K541-Constantes!$D$13)</f>
        <v>0</v>
      </c>
      <c r="N541" s="76">
        <f>N540+Observaciones!$F540-K541-L541-M541-O540</f>
        <v>11.237944881285308</v>
      </c>
      <c r="O541" s="76">
        <f>MAX(0,(N541-Constantes!$D$14)*(1-EXP(-Constantes!$D$22)))</f>
        <v>0</v>
      </c>
      <c r="P541" s="170">
        <f>P540+(Entradas!$E$83*M541-Q540)/(800*Entradas!$D$25)</f>
        <v>0</v>
      </c>
      <c r="Q541" s="170">
        <f>8000*Entradas!$D$26*P541/Constantes!$E$45</f>
        <v>0</v>
      </c>
      <c r="R541" s="170">
        <f>IF(Escenarios!$E$14&gt;0,K541*Escenarios!$E$13/Escenarios!$E$14,0)</f>
        <v>0</v>
      </c>
      <c r="S541" s="170">
        <f>IF(Escenarios!$E$14&gt;0,Q541*Escenarios!$E$13/Escenarios!$E$14,0)</f>
        <v>0</v>
      </c>
      <c r="T541" s="170">
        <f>IF(Escenarios!$E$14&gt;0,Observaciones!$I540,0)</f>
        <v>0</v>
      </c>
      <c r="U541" s="170">
        <f>IF(Escenarios!$E$14&gt;0,MAX(0,Constantes!$E$36/((Z540+R541+S541+T541+Observaciones!$F540)^2)+Entradas!$E$77),0)</f>
        <v>0</v>
      </c>
      <c r="V541" s="146">
        <f>IF(ETo!D540&gt;0,ETo!I540*((1-Entradas!$E$81)*ETo!K540+ETo!L540),0)</f>
        <v>2.1676970332017769</v>
      </c>
      <c r="W541" s="170">
        <f>IF(Escenarios!$E$14&gt;0,MIN(V541*1,0.8*(Z540+R541+S541+T541+Observaciones!$F540-U541-Constantes!$E$35)),0)</f>
        <v>1.290507680096198E-6</v>
      </c>
      <c r="X541" s="170">
        <f>IF(Escenarios!$E$14&gt;0,Observaciones!$J540,0)</f>
        <v>0</v>
      </c>
      <c r="Y541" s="170">
        <f>IF(Escenarios!$E$14&gt;0,MAX(0,Z540+R541+S541+T541+Observaciones!$F540-U541-W541-X541-Constantes!$E$33),0)</f>
        <v>0</v>
      </c>
      <c r="Z541" s="170">
        <f>Z540+R541+S541+T541+Observaciones!$F540-U541-W541-Y541</f>
        <v>41.250000322626917</v>
      </c>
      <c r="AA541" s="170">
        <f>IF(Escenarios!$E$14&gt;0,(Escenarios!$E$13*L541+Escenarios!$E$14*W541)/(Escenarios!$E$16),L541)</f>
        <v>1.4926656946705808E-5</v>
      </c>
      <c r="AB541" s="170">
        <f>IF(Escenarios!$E$14&gt;0,(Escenarios!$E$14*Y541)/(Escenarios!$E$16),K541)</f>
        <v>0</v>
      </c>
      <c r="AC541" s="170">
        <f>IF(Escenarios!$E$14&gt;0,(Escenarios!$E$13*M541+Escenarios!$E$14*U541)/(Escenarios!$E$16),M541)</f>
        <v>0</v>
      </c>
      <c r="AD541" s="76">
        <f t="shared" si="113"/>
        <v>109.56660775619413</v>
      </c>
      <c r="AE541" s="76">
        <f>MAX(0,(AD541-Constantes!$D$13)*(1-EXP(-Constantes!$D$23)))</f>
        <v>0.59924052160919561</v>
      </c>
      <c r="AF541" s="76">
        <f>AB541+O541*Escenarios!$E$13/Escenarios!$E$16+AE541</f>
        <v>0.59924052160919561</v>
      </c>
      <c r="AG541" s="76">
        <f>IF(Entradas!$E$91&gt;0,IF(AF541-Escenarios!$E$38&lt;=0,0,IF(AF541-Escenarios!$E$38&gt;Escenarios!$E$37,Escenarios!$E$37,AF541-Escenarios!$E$38)),0)</f>
        <v>0</v>
      </c>
      <c r="AH541" s="76">
        <f>AG541*Entradas!$E$99</f>
        <v>0</v>
      </c>
      <c r="AI541" s="76">
        <f>IF(Entradas!$E$91&gt;0,D541*Entradas!$D$23/Escenarios!$E$16,0)</f>
        <v>0</v>
      </c>
      <c r="AJ541" s="76">
        <f>IF(Entradas!$E$91&gt;0,Entradas!$D$24*Entradas!$D$22/Escenarios!$E$16,0)</f>
        <v>0</v>
      </c>
      <c r="AK541" s="76">
        <f t="shared" si="122"/>
        <v>1.4926656946705808E-5</v>
      </c>
      <c r="AL541" s="76">
        <f t="shared" si="123"/>
        <v>0</v>
      </c>
      <c r="AM541" s="76">
        <f t="shared" si="114"/>
        <v>0</v>
      </c>
      <c r="AN541" s="76">
        <f>MAX(0,O541*Escenarios!$E$13/Escenarios!$E$16-AM541)</f>
        <v>0</v>
      </c>
      <c r="AO541" s="76">
        <f>AM541+AN541-O541*Escenarios!$E$13/Escenarios!$E$16</f>
        <v>0</v>
      </c>
      <c r="AP541" s="76">
        <f t="shared" si="112"/>
        <v>0.59924052160919561</v>
      </c>
      <c r="AQ541" s="76">
        <f t="shared" si="115"/>
        <v>0</v>
      </c>
      <c r="AR541" s="76">
        <f t="shared" si="116"/>
        <v>0.59924052160919561</v>
      </c>
      <c r="AS541" s="76">
        <f t="shared" si="117"/>
        <v>0</v>
      </c>
      <c r="AT541" s="76">
        <f t="shared" si="118"/>
        <v>0</v>
      </c>
      <c r="AU541" s="76">
        <f t="shared" si="119"/>
        <v>48.75</v>
      </c>
      <c r="AV541" s="76">
        <f>MAX(0,(AU541-Constantes!$D$13)*(1-EXP(-Constantes!$D$24)))</f>
        <v>0</v>
      </c>
      <c r="AW541" s="170">
        <f>AW540+(Entradas!$E$112*AT541-AX540)/(800*Entradas!$D$25)</f>
        <v>0</v>
      </c>
      <c r="AX541" s="170">
        <f>8000*Entradas!$D$26*AW541/Constantes!$E$45</f>
        <v>0</v>
      </c>
      <c r="AY541" s="170">
        <f>IF(Escenarios!$E$17&gt;0,10*Escenarios!$E$16*AL541,0)</f>
        <v>0</v>
      </c>
      <c r="AZ541" s="170">
        <f>IF(Escenarios!$E$17&gt;0,10*Escenarios!$E$16*AX541,0)</f>
        <v>0</v>
      </c>
      <c r="BA541" s="170">
        <f>IF(Escenarios!$E$17&gt;0,0.001*Observaciones!$F540*Escenarios!$E$17,0)</f>
        <v>0</v>
      </c>
      <c r="BB541" s="170">
        <f>IF(Escenarios!$E$17&gt;0,Observaciones!$K540,0)</f>
        <v>0</v>
      </c>
      <c r="BC541" s="170">
        <f>IF(Escenarios!$E$17&gt;0,MIN(0.0005*ETo!$M540*Escenarios!$E$17*(BG540/Constantes!$E$40)^(2/3),BG540+AY541+AZ541+BA541+BB541),0)</f>
        <v>9.573177330361661</v>
      </c>
      <c r="BD541" s="170">
        <f>IF(Escenarios!$E$17&gt;0,MIN(Constantes!$E$39*(BG540/Constantes!$E$40)^(2/3),BG540+AY541+AZ541+BA541+BB541-BC541),0)</f>
        <v>27.39042408157345</v>
      </c>
      <c r="BE541" s="170">
        <f>IF(Escenarios!$E$17&gt;0,MIN(Entradas!$E$113,BG540+AY541+AZ541+BA541+BB541-BC541-BD541),0)</f>
        <v>1</v>
      </c>
      <c r="BF541" s="170">
        <f>IF(Escenarios!$E$17&gt;0,MAX(0,BG540+AY541+AZ541+BA541+BB541-BC541-BD541-BE541-Constantes!$E$40),0)</f>
        <v>0</v>
      </c>
      <c r="BG541" s="170">
        <f t="shared" si="124"/>
        <v>1297.6225126154434</v>
      </c>
      <c r="BH541" s="170">
        <f>(Escenarios!$E$16*AK541+0.1*BC541)/(Escenarios!$E$19)</f>
        <v>3.8136880844160423E-3</v>
      </c>
      <c r="BI541" s="170">
        <f>IF(Escenarios!$E$17&gt;0,BF541/10/Escenarios!$E$19,AL541)</f>
        <v>0</v>
      </c>
      <c r="BJ541" s="170">
        <f>(Escenarios!$E$16*AT541+0.1*BD541)/(Escenarios!$E$19)</f>
        <v>1.086921590538629E-2</v>
      </c>
      <c r="BK541" s="76">
        <f>BK540+(0.1*BD541)/(Escenarios!$E$19)-BL540</f>
        <v>50.539938895134981</v>
      </c>
      <c r="BL541" s="76">
        <f>MAX(0,(BK541-Constantes!$D$13)*(1-EXP(-Constantes!$D$23)))</f>
        <v>1.7636694263994508E-2</v>
      </c>
      <c r="BM541" s="76">
        <f t="shared" si="120"/>
        <v>0.61687721587319011</v>
      </c>
      <c r="BN541" s="76">
        <f t="shared" si="125"/>
        <v>0.61687721587319011</v>
      </c>
      <c r="BO541" s="76">
        <f>0.0526*BI541*Observaciones!$F540^1.218</f>
        <v>0</v>
      </c>
      <c r="BP541" s="76">
        <f>BO541*Constantes!$E$51</f>
        <v>0</v>
      </c>
      <c r="BQ541" s="76">
        <f t="shared" si="121"/>
        <v>0</v>
      </c>
      <c r="BR541" s="40"/>
    </row>
    <row r="542" spans="1:70">
      <c r="A542" s="147"/>
      <c r="B542" s="39"/>
      <c r="C542" s="75">
        <v>536</v>
      </c>
      <c r="D542" s="146">
        <f>ETo!$I541*((1-Constantes!$E$19)*ETo!$K541+ETo!$L541)</f>
        <v>2.4394475932406583</v>
      </c>
      <c r="E542" s="76">
        <f>MIN(D542*Constantes!$E$17,0.8*(N541+Observaciones!$F541-F542-M542-Constantes!$D$14))</f>
        <v>-9.6440949717532479E-3</v>
      </c>
      <c r="F542" s="76">
        <f>IF(Observaciones!$F541&gt;0.05*Constantes!$E$18,((Observaciones!$F541-0.05*Constantes!$E$18)^2)/(Observaciones!$F541+0.95*Constantes!$E$18),0)</f>
        <v>0</v>
      </c>
      <c r="G542" s="76">
        <f>IF(Escenarios!$E$11&gt;0,(F542*Escenarios!$E$16*10000)/1000,0)</f>
        <v>0</v>
      </c>
      <c r="H542" s="76">
        <f>IF(Escenarios!$E$11&gt;0,(Observaciones!$F541*Constantes!$E$29)/1000,0)</f>
        <v>0</v>
      </c>
      <c r="I542" s="76">
        <f>IF(Escenarios!$E$11&gt;0,(D542*Constantes!$E$29)/1000,0)</f>
        <v>24.394475932406582</v>
      </c>
      <c r="J542" s="76">
        <f>IF(Escenarios!$E$11&gt;0,MAX(0,G542+H542-I542),0)</f>
        <v>0</v>
      </c>
      <c r="K542" s="76">
        <f>IF(Escenarios!$E$11&gt;0,IF(J542&gt;Constantes!$E$30,1000*((J542-Constantes!$E$30)/(Escenarios!$E$16*10000)),0),F542)</f>
        <v>0</v>
      </c>
      <c r="L542" s="76">
        <f>IF(Escenarios!$E$11&gt;0,I542*1000/Escenarios!$E$16/10000+E542,E542)</f>
        <v>1.1369540120938562E-4</v>
      </c>
      <c r="M542" s="76">
        <f>MAX(0,N541+Observaciones!$F541-K542-Constantes!$D$13)</f>
        <v>0</v>
      </c>
      <c r="N542" s="76">
        <f>N541+Observaciones!$F541-K542-L542-M542-O541</f>
        <v>11.237831185884099</v>
      </c>
      <c r="O542" s="76">
        <f>MAX(0,(N542-Constantes!$D$14)*(1-EXP(-Constantes!$D$22)))</f>
        <v>0</v>
      </c>
      <c r="P542" s="170">
        <f>P541+(Entradas!$E$83*M542-Q541)/(800*Entradas!$D$25)</f>
        <v>0</v>
      </c>
      <c r="Q542" s="170">
        <f>8000*Entradas!$D$26*P542/Constantes!$E$45</f>
        <v>0</v>
      </c>
      <c r="R542" s="170">
        <f>IF(Escenarios!$E$14&gt;0,K542*Escenarios!$E$13/Escenarios!$E$14,0)</f>
        <v>0</v>
      </c>
      <c r="S542" s="170">
        <f>IF(Escenarios!$E$14&gt;0,Q542*Escenarios!$E$13/Escenarios!$E$14,0)</f>
        <v>0</v>
      </c>
      <c r="T542" s="170">
        <f>IF(Escenarios!$E$14&gt;0,Observaciones!$I541,0)</f>
        <v>0</v>
      </c>
      <c r="U542" s="170">
        <f>IF(Escenarios!$E$14&gt;0,MAX(0,Constantes!$E$36/((Z541+R542+S542+T542+Observaciones!$F541)^2)+Entradas!$E$77),0)</f>
        <v>0</v>
      </c>
      <c r="V542" s="146">
        <f>IF(ETo!D541&gt;0,ETo!I541*((1-Entradas!$E$81)*ETo!K541+ETo!L541),0)</f>
        <v>2.1925985390516654</v>
      </c>
      <c r="W542" s="170">
        <f>IF(Escenarios!$E$14&gt;0,MIN(V542*1,0.8*(Z541+R542+S542+T542+Observaciones!$F541-U542-Constantes!$E$35)),0)</f>
        <v>2.5810153374550283E-7</v>
      </c>
      <c r="X542" s="170">
        <f>IF(Escenarios!$E$14&gt;0,Observaciones!$J541,0)</f>
        <v>0</v>
      </c>
      <c r="Y542" s="170">
        <f>IF(Escenarios!$E$14&gt;0,MAX(0,Z541+R542+S542+T542+Observaciones!$F541-U542-W542-X542-Constantes!$E$33),0)</f>
        <v>0</v>
      </c>
      <c r="Z542" s="170">
        <f>Z541+R542+S542+T542+Observaciones!$F541-U542-W542-Y542</f>
        <v>41.250000064525381</v>
      </c>
      <c r="AA542" s="170">
        <f>IF(Escenarios!$E$14&gt;0,(Escenarios!$E$13*L542+Escenarios!$E$14*W542)/(Escenarios!$E$16),L542)</f>
        <v>1.000829252483088E-4</v>
      </c>
      <c r="AB542" s="170">
        <f>IF(Escenarios!$E$14&gt;0,(Escenarios!$E$14*Y542)/(Escenarios!$E$16),K542)</f>
        <v>0</v>
      </c>
      <c r="AC542" s="170">
        <f>IF(Escenarios!$E$14&gt;0,(Escenarios!$E$13*M542+Escenarios!$E$14*U542)/(Escenarios!$E$16),M542)</f>
        <v>0</v>
      </c>
      <c r="AD542" s="76">
        <f t="shared" si="113"/>
        <v>108.96736723458494</v>
      </c>
      <c r="AE542" s="76">
        <f>MAX(0,(AD542-Constantes!$D$13)*(1-EXP(-Constantes!$D$23)))</f>
        <v>0.59333606202180789</v>
      </c>
      <c r="AF542" s="76">
        <f>AB542+O542*Escenarios!$E$13/Escenarios!$E$16+AE542</f>
        <v>0.59333606202180789</v>
      </c>
      <c r="AG542" s="76">
        <f>IF(Entradas!$E$91&gt;0,IF(AF542-Escenarios!$E$38&lt;=0,0,IF(AF542-Escenarios!$E$38&gt;Escenarios!$E$37,Escenarios!$E$37,AF542-Escenarios!$E$38)),0)</f>
        <v>0</v>
      </c>
      <c r="AH542" s="76">
        <f>AG542*Entradas!$E$99</f>
        <v>0</v>
      </c>
      <c r="AI542" s="76">
        <f>IF(Entradas!$E$91&gt;0,D542*Entradas!$D$23/Escenarios!$E$16,0)</f>
        <v>0</v>
      </c>
      <c r="AJ542" s="76">
        <f>IF(Entradas!$E$91&gt;0,Entradas!$D$24*Entradas!$D$22/Escenarios!$E$16,0)</f>
        <v>0</v>
      </c>
      <c r="AK542" s="76">
        <f t="shared" si="122"/>
        <v>1.000829252483088E-4</v>
      </c>
      <c r="AL542" s="76">
        <f t="shared" si="123"/>
        <v>0</v>
      </c>
      <c r="AM542" s="76">
        <f t="shared" si="114"/>
        <v>0</v>
      </c>
      <c r="AN542" s="76">
        <f>MAX(0,O542*Escenarios!$E$13/Escenarios!$E$16-AM542)</f>
        <v>0</v>
      </c>
      <c r="AO542" s="76">
        <f>AM542+AN542-O542*Escenarios!$E$13/Escenarios!$E$16</f>
        <v>0</v>
      </c>
      <c r="AP542" s="76">
        <f t="shared" si="112"/>
        <v>0.59333606202180789</v>
      </c>
      <c r="AQ542" s="76">
        <f t="shared" si="115"/>
        <v>0</v>
      </c>
      <c r="AR542" s="76">
        <f t="shared" si="116"/>
        <v>0.59333606202180789</v>
      </c>
      <c r="AS542" s="76">
        <f t="shared" si="117"/>
        <v>0</v>
      </c>
      <c r="AT542" s="76">
        <f t="shared" si="118"/>
        <v>0</v>
      </c>
      <c r="AU542" s="76">
        <f t="shared" si="119"/>
        <v>48.75</v>
      </c>
      <c r="AV542" s="76">
        <f>MAX(0,(AU542-Constantes!$D$13)*(1-EXP(-Constantes!$D$24)))</f>
        <v>0</v>
      </c>
      <c r="AW542" s="170">
        <f>AW541+(Entradas!$E$112*AT542-AX541)/(800*Entradas!$D$25)</f>
        <v>0</v>
      </c>
      <c r="AX542" s="170">
        <f>8000*Entradas!$D$26*AW542/Constantes!$E$45</f>
        <v>0</v>
      </c>
      <c r="AY542" s="170">
        <f>IF(Escenarios!$E$17&gt;0,10*Escenarios!$E$16*AL542,0)</f>
        <v>0</v>
      </c>
      <c r="AZ542" s="170">
        <f>IF(Escenarios!$E$17&gt;0,10*Escenarios!$E$16*AX542,0)</f>
        <v>0</v>
      </c>
      <c r="BA542" s="170">
        <f>IF(Escenarios!$E$17&gt;0,0.001*Observaciones!$F541*Escenarios!$E$17,0)</f>
        <v>0</v>
      </c>
      <c r="BB542" s="170">
        <f>IF(Escenarios!$E$17&gt;0,Observaciones!$K541,0)</f>
        <v>0</v>
      </c>
      <c r="BC542" s="170">
        <f>IF(Escenarios!$E$17&gt;0,MIN(0.0005*ETo!$M541*Escenarios!$E$17*(BG541/Constantes!$E$40)^(2/3),BG541+AY542+AZ542+BA542+BB542),0)</f>
        <v>9.4977225127426745</v>
      </c>
      <c r="BD542" s="170">
        <f>IF(Escenarios!$E$17&gt;0,MIN(Constantes!$E$39*(BG541/Constantes!$E$40)^(2/3),BG541+AY542+AZ542+BA542+BB542-BC542),0)</f>
        <v>26.868890951789759</v>
      </c>
      <c r="BE542" s="170">
        <f>IF(Escenarios!$E$17&gt;0,MIN(Entradas!$E$113,BG541+AY542+AZ542+BA542+BB542-BC542-BD542),0)</f>
        <v>1</v>
      </c>
      <c r="BF542" s="170">
        <f>IF(Escenarios!$E$17&gt;0,MAX(0,BG541+AY542+AZ542+BA542+BB542-BC542-BD542-BE542-Constantes!$E$40),0)</f>
        <v>0</v>
      </c>
      <c r="BG542" s="170">
        <f t="shared" si="124"/>
        <v>1260.2558991509109</v>
      </c>
      <c r="BH542" s="170">
        <f>(Escenarios!$E$16*AK542+0.1*BC542)/(Escenarios!$E$19)</f>
        <v>3.8682261213743834E-3</v>
      </c>
      <c r="BI542" s="170">
        <f>IF(Escenarios!$E$17&gt;0,BF542/10/Escenarios!$E$19,AL542)</f>
        <v>0</v>
      </c>
      <c r="BJ542" s="170">
        <f>(Escenarios!$E$16*AT542+0.1*BD542)/(Escenarios!$E$19)</f>
        <v>1.0662258314202287E-2</v>
      </c>
      <c r="BK542" s="76">
        <f>BK541+(0.1*BD542)/(Escenarios!$E$19)-BL541</f>
        <v>50.532964459185195</v>
      </c>
      <c r="BL542" s="76">
        <f>MAX(0,(BK542-Constantes!$D$13)*(1-EXP(-Constantes!$D$23)))</f>
        <v>1.7567973485400047E-2</v>
      </c>
      <c r="BM542" s="76">
        <f t="shared" si="120"/>
        <v>0.61090403550720795</v>
      </c>
      <c r="BN542" s="76">
        <f t="shared" si="125"/>
        <v>0.61090403550720795</v>
      </c>
      <c r="BO542" s="76">
        <f>0.0526*BI542*Observaciones!$F541^1.218</f>
        <v>0</v>
      </c>
      <c r="BP542" s="76">
        <f>BO542*Constantes!$E$51</f>
        <v>0</v>
      </c>
      <c r="BQ542" s="76">
        <f t="shared" si="121"/>
        <v>0</v>
      </c>
      <c r="BR542" s="40"/>
    </row>
    <row r="543" spans="1:70">
      <c r="A543" s="147"/>
      <c r="B543" s="39"/>
      <c r="C543" s="75">
        <v>537</v>
      </c>
      <c r="D543" s="146">
        <f>ETo!$I542*((1-Constantes!$E$19)*ETo!$K542+ETo!$L542)</f>
        <v>2.4213469393283593</v>
      </c>
      <c r="E543" s="76">
        <f>MIN(D543*Constantes!$E$17,0.8*(N542+Observaciones!$F542-F543-M543-Constantes!$D$14))</f>
        <v>-9.7350512927206981E-3</v>
      </c>
      <c r="F543" s="76">
        <f>IF(Observaciones!$F542&gt;0.05*Constantes!$E$18,((Observaciones!$F542-0.05*Constantes!$E$18)^2)/(Observaciones!$F542+0.95*Constantes!$E$18),0)</f>
        <v>0</v>
      </c>
      <c r="G543" s="76">
        <f>IF(Escenarios!$E$11&gt;0,(F543*Escenarios!$E$16*10000)/1000,0)</f>
        <v>0</v>
      </c>
      <c r="H543" s="76">
        <f>IF(Escenarios!$E$11&gt;0,(Observaciones!$F542*Constantes!$E$29)/1000,0)</f>
        <v>0</v>
      </c>
      <c r="I543" s="76">
        <f>IF(Escenarios!$E$11&gt;0,(D543*Constantes!$E$29)/1000,0)</f>
        <v>24.213469393283596</v>
      </c>
      <c r="J543" s="76">
        <f>IF(Escenarios!$E$11&gt;0,MAX(0,G543+H543-I543),0)</f>
        <v>0</v>
      </c>
      <c r="K543" s="76">
        <f>IF(Escenarios!$E$11&gt;0,IF(J543&gt;Constantes!$E$30,1000*((J543-Constantes!$E$30)/(Escenarios!$E$16*10000)),0),F543)</f>
        <v>0</v>
      </c>
      <c r="L543" s="76">
        <f>IF(Escenarios!$E$11&gt;0,I543*1000/Escenarios!$E$16/10000+E543,E543)</f>
        <v>-4.9663535407260331E-5</v>
      </c>
      <c r="M543" s="76">
        <f>MAX(0,N542+Observaciones!$F542-K543-Constantes!$D$13)</f>
        <v>0</v>
      </c>
      <c r="N543" s="76">
        <f>N542+Observaciones!$F542-K543-L543-M543-O542</f>
        <v>11.237880849419506</v>
      </c>
      <c r="O543" s="76">
        <f>MAX(0,(N543-Constantes!$D$14)*(1-EXP(-Constantes!$D$22)))</f>
        <v>0</v>
      </c>
      <c r="P543" s="170">
        <f>P542+(Entradas!$E$83*M543-Q542)/(800*Entradas!$D$25)</f>
        <v>0</v>
      </c>
      <c r="Q543" s="170">
        <f>8000*Entradas!$D$26*P543/Constantes!$E$45</f>
        <v>0</v>
      </c>
      <c r="R543" s="170">
        <f>IF(Escenarios!$E$14&gt;0,K543*Escenarios!$E$13/Escenarios!$E$14,0)</f>
        <v>0</v>
      </c>
      <c r="S543" s="170">
        <f>IF(Escenarios!$E$14&gt;0,Q543*Escenarios!$E$13/Escenarios!$E$14,0)</f>
        <v>0</v>
      </c>
      <c r="T543" s="170">
        <f>IF(Escenarios!$E$14&gt;0,Observaciones!$I542,0)</f>
        <v>0</v>
      </c>
      <c r="U543" s="170">
        <f>IF(Escenarios!$E$14&gt;0,MAX(0,Constantes!$E$36/((Z542+R543+S543+T543+Observaciones!$F542)^2)+Entradas!$E$77),0)</f>
        <v>0</v>
      </c>
      <c r="V543" s="146">
        <f>IF(ETo!D542&gt;0,ETo!I542*((1-Entradas!$E$81)*ETo!K542+ETo!L542),0)</f>
        <v>2.176201937493687</v>
      </c>
      <c r="W543" s="170">
        <f>IF(Escenarios!$E$14&gt;0,MIN(V543*1,0.8*(Z542+R543+S543+T543+Observaciones!$F542-U543-Constantes!$E$35)),0)</f>
        <v>5.162030447536381E-8</v>
      </c>
      <c r="X543" s="170">
        <f>IF(Escenarios!$E$14&gt;0,Observaciones!$J542,0)</f>
        <v>0</v>
      </c>
      <c r="Y543" s="170">
        <f>IF(Escenarios!$E$14&gt;0,MAX(0,Z542+R543+S543+T543+Observaciones!$F542-U543-W543-X543-Constantes!$E$33),0)</f>
        <v>0</v>
      </c>
      <c r="Z543" s="170">
        <f>Z542+R543+S543+T543+Observaciones!$F542-U543-W543-Y543</f>
        <v>41.250000012905076</v>
      </c>
      <c r="AA543" s="170">
        <f>IF(Escenarios!$E$14&gt;0,(Escenarios!$E$13*L543+Escenarios!$E$14*W543)/(Escenarios!$E$16),L543)</f>
        <v>-4.3697716721852046E-5</v>
      </c>
      <c r="AB543" s="170">
        <f>IF(Escenarios!$E$14&gt;0,(Escenarios!$E$14*Y543)/(Escenarios!$E$16),K543)</f>
        <v>0</v>
      </c>
      <c r="AC543" s="170">
        <f>IF(Escenarios!$E$14&gt;0,(Escenarios!$E$13*M543+Escenarios!$E$14*U543)/(Escenarios!$E$16),M543)</f>
        <v>0</v>
      </c>
      <c r="AD543" s="76">
        <f t="shared" si="113"/>
        <v>108.37403117256314</v>
      </c>
      <c r="AE543" s="76">
        <f>MAX(0,(AD543-Constantes!$D$13)*(1-EXP(-Constantes!$D$23)))</f>
        <v>0.58748978048106737</v>
      </c>
      <c r="AF543" s="76">
        <f>AB543+O543*Escenarios!$E$13/Escenarios!$E$16+AE543</f>
        <v>0.58748978048106737</v>
      </c>
      <c r="AG543" s="76">
        <f>IF(Entradas!$E$91&gt;0,IF(AF543-Escenarios!$E$38&lt;=0,0,IF(AF543-Escenarios!$E$38&gt;Escenarios!$E$37,Escenarios!$E$37,AF543-Escenarios!$E$38)),0)</f>
        <v>0</v>
      </c>
      <c r="AH543" s="76">
        <f>AG543*Entradas!$E$99</f>
        <v>0</v>
      </c>
      <c r="AI543" s="76">
        <f>IF(Entradas!$E$91&gt;0,D543*Entradas!$D$23/Escenarios!$E$16,0)</f>
        <v>0</v>
      </c>
      <c r="AJ543" s="76">
        <f>IF(Entradas!$E$91&gt;0,Entradas!$D$24*Entradas!$D$22/Escenarios!$E$16,0)</f>
        <v>0</v>
      </c>
      <c r="AK543" s="76">
        <f t="shared" si="122"/>
        <v>-4.3697716721852046E-5</v>
      </c>
      <c r="AL543" s="76">
        <f t="shared" si="123"/>
        <v>0</v>
      </c>
      <c r="AM543" s="76">
        <f t="shared" si="114"/>
        <v>0</v>
      </c>
      <c r="AN543" s="76">
        <f>MAX(0,O543*Escenarios!$E$13/Escenarios!$E$16-AM543)</f>
        <v>0</v>
      </c>
      <c r="AO543" s="76">
        <f>AM543+AN543-O543*Escenarios!$E$13/Escenarios!$E$16</f>
        <v>0</v>
      </c>
      <c r="AP543" s="76">
        <f t="shared" si="112"/>
        <v>0.58748978048106737</v>
      </c>
      <c r="AQ543" s="76">
        <f t="shared" si="115"/>
        <v>0</v>
      </c>
      <c r="AR543" s="76">
        <f t="shared" si="116"/>
        <v>0.58748978048106737</v>
      </c>
      <c r="AS543" s="76">
        <f t="shared" si="117"/>
        <v>0</v>
      </c>
      <c r="AT543" s="76">
        <f t="shared" si="118"/>
        <v>0</v>
      </c>
      <c r="AU543" s="76">
        <f t="shared" si="119"/>
        <v>48.75</v>
      </c>
      <c r="AV543" s="76">
        <f>MAX(0,(AU543-Constantes!$D$13)*(1-EXP(-Constantes!$D$24)))</f>
        <v>0</v>
      </c>
      <c r="AW543" s="170">
        <f>AW542+(Entradas!$E$112*AT543-AX542)/(800*Entradas!$D$25)</f>
        <v>0</v>
      </c>
      <c r="AX543" s="170">
        <f>8000*Entradas!$D$26*AW543/Constantes!$E$45</f>
        <v>0</v>
      </c>
      <c r="AY543" s="170">
        <f>IF(Escenarios!$E$17&gt;0,10*Escenarios!$E$16*AL543,0)</f>
        <v>0</v>
      </c>
      <c r="AZ543" s="170">
        <f>IF(Escenarios!$E$17&gt;0,10*Escenarios!$E$16*AX543,0)</f>
        <v>0</v>
      </c>
      <c r="BA543" s="170">
        <f>IF(Escenarios!$E$17&gt;0,0.001*Observaciones!$F542*Escenarios!$E$17,0)</f>
        <v>0</v>
      </c>
      <c r="BB543" s="170">
        <f>IF(Escenarios!$E$17&gt;0,Observaciones!$K542,0)</f>
        <v>0</v>
      </c>
      <c r="BC543" s="170">
        <f>IF(Escenarios!$E$17&gt;0,MIN(0.0005*ETo!$M542*Escenarios!$E$17*(BG542/Constantes!$E$40)^(2/3),BG542+AY543+AZ543+BA543+BB543),0)</f>
        <v>9.2460514628234787</v>
      </c>
      <c r="BD543" s="170">
        <f>IF(Escenarios!$E$17&gt;0,MIN(Constantes!$E$39*(BG542/Constantes!$E$40)^(2/3),BG542+AY543+AZ543+BA543+BB543-BC543),0)</f>
        <v>26.35056827989964</v>
      </c>
      <c r="BE543" s="170">
        <f>IF(Escenarios!$E$17&gt;0,MIN(Entradas!$E$113,BG542+AY543+AZ543+BA543+BB543-BC543-BD543),0)</f>
        <v>1</v>
      </c>
      <c r="BF543" s="170">
        <f>IF(Escenarios!$E$17&gt;0,MAX(0,BG542+AY543+AZ543+BA543+BB543-BC543-BD543-BE543-Constantes!$E$40),0)</f>
        <v>0</v>
      </c>
      <c r="BG543" s="170">
        <f t="shared" si="124"/>
        <v>1223.6592794081878</v>
      </c>
      <c r="BH543" s="170">
        <f>(Escenarios!$E$16*AK543+0.1*BC543)/(Escenarios!$E$19)</f>
        <v>3.625717131356686E-3</v>
      </c>
      <c r="BI543" s="170">
        <f>IF(Escenarios!$E$17&gt;0,BF543/10/Escenarios!$E$19,AL543)</f>
        <v>0</v>
      </c>
      <c r="BJ543" s="170">
        <f>(Escenarios!$E$16*AT543+0.1*BD543)/(Escenarios!$E$19)</f>
        <v>1.045657471424589E-2</v>
      </c>
      <c r="BK543" s="76">
        <f>BK542+(0.1*BD543)/(Escenarios!$E$19)-BL542</f>
        <v>50.525853060414043</v>
      </c>
      <c r="BL543" s="76">
        <f>MAX(0,(BK543-Constantes!$D$13)*(1-EXP(-Constantes!$D$23)))</f>
        <v>1.749790317950467E-2</v>
      </c>
      <c r="BM543" s="76">
        <f t="shared" si="120"/>
        <v>0.6049876836605721</v>
      </c>
      <c r="BN543" s="76">
        <f t="shared" si="125"/>
        <v>0.6049876836605721</v>
      </c>
      <c r="BO543" s="76">
        <f>0.0526*BI543*Observaciones!$F542^1.218</f>
        <v>0</v>
      </c>
      <c r="BP543" s="76">
        <f>BO543*Constantes!$E$51</f>
        <v>0</v>
      </c>
      <c r="BQ543" s="76">
        <f t="shared" si="121"/>
        <v>0</v>
      </c>
      <c r="BR543" s="40"/>
    </row>
    <row r="544" spans="1:70">
      <c r="A544" s="147"/>
      <c r="B544" s="39"/>
      <c r="C544" s="75">
        <v>538</v>
      </c>
      <c r="D544" s="146">
        <f>ETo!$I543*((1-Constantes!$E$19)*ETo!$K543+ETo!$L543)</f>
        <v>2.4238877066519935</v>
      </c>
      <c r="E544" s="76">
        <f>MIN(D544*Constantes!$E$17,0.8*(N543+Observaciones!$F543-F544-M544-Constantes!$D$14))</f>
        <v>-9.6953204643952517E-3</v>
      </c>
      <c r="F544" s="76">
        <f>IF(Observaciones!$F543&gt;0.05*Constantes!$E$18,((Observaciones!$F543-0.05*Constantes!$E$18)^2)/(Observaciones!$F543+0.95*Constantes!$E$18),0)</f>
        <v>0</v>
      </c>
      <c r="G544" s="76">
        <f>IF(Escenarios!$E$11&gt;0,(F544*Escenarios!$E$16*10000)/1000,0)</f>
        <v>0</v>
      </c>
      <c r="H544" s="76">
        <f>IF(Escenarios!$E$11&gt;0,(Observaciones!$F543*Constantes!$E$29)/1000,0)</f>
        <v>0</v>
      </c>
      <c r="I544" s="76">
        <f>IF(Escenarios!$E$11&gt;0,(D544*Constantes!$E$29)/1000,0)</f>
        <v>24.238877066519933</v>
      </c>
      <c r="J544" s="76">
        <f>IF(Escenarios!$E$11&gt;0,MAX(0,G544+H544-I544),0)</f>
        <v>0</v>
      </c>
      <c r="K544" s="76">
        <f>IF(Escenarios!$E$11&gt;0,IF(J544&gt;Constantes!$E$30,1000*((J544-Constantes!$E$30)/(Escenarios!$E$16*10000)),0),F544)</f>
        <v>0</v>
      </c>
      <c r="L544" s="76">
        <f>IF(Escenarios!$E$11&gt;0,I544*1000/Escenarios!$E$16/10000+E544,E544)</f>
        <v>2.3036221272199064E-7</v>
      </c>
      <c r="M544" s="76">
        <f>MAX(0,N543+Observaciones!$F543-K544-Constantes!$D$13)</f>
        <v>0</v>
      </c>
      <c r="N544" s="76">
        <f>N543+Observaciones!$F543-K544-L544-M544-O543</f>
        <v>11.237880619057293</v>
      </c>
      <c r="O544" s="76">
        <f>MAX(0,(N544-Constantes!$D$14)*(1-EXP(-Constantes!$D$22)))</f>
        <v>0</v>
      </c>
      <c r="P544" s="170">
        <f>P543+(Entradas!$E$83*M544-Q543)/(800*Entradas!$D$25)</f>
        <v>0</v>
      </c>
      <c r="Q544" s="170">
        <f>8000*Entradas!$D$26*P544/Constantes!$E$45</f>
        <v>0</v>
      </c>
      <c r="R544" s="170">
        <f>IF(Escenarios!$E$14&gt;0,K544*Escenarios!$E$13/Escenarios!$E$14,0)</f>
        <v>0</v>
      </c>
      <c r="S544" s="170">
        <f>IF(Escenarios!$E$14&gt;0,Q544*Escenarios!$E$13/Escenarios!$E$14,0)</f>
        <v>0</v>
      </c>
      <c r="T544" s="170">
        <f>IF(Escenarios!$E$14&gt;0,Observaciones!$I543,0)</f>
        <v>0</v>
      </c>
      <c r="U544" s="170">
        <f>IF(Escenarios!$E$14&gt;0,MAX(0,Constantes!$E$36/((Z543+R544+S544+T544+Observaciones!$F543)^2)+Entradas!$E$77),0)</f>
        <v>0</v>
      </c>
      <c r="V544" s="146">
        <f>IF(ETo!D543&gt;0,ETo!I543*((1-Entradas!$E$81)*ETo!K543+ETo!L543),0)</f>
        <v>2.1784880714791242</v>
      </c>
      <c r="W544" s="170">
        <f>IF(Escenarios!$E$14&gt;0,MIN(V544*1,0.8*(Z543+R544+S544+T544+Observaciones!$F543-U544-Constantes!$E$35)),0)</f>
        <v>1.0324060895072763E-8</v>
      </c>
      <c r="X544" s="170">
        <f>IF(Escenarios!$E$14&gt;0,Observaciones!$J543,0)</f>
        <v>0</v>
      </c>
      <c r="Y544" s="170">
        <f>IF(Escenarios!$E$14&gt;0,MAX(0,Z543+R544+S544+T544+Observaciones!$F543-U544-W544-X544-Constantes!$E$33),0)</f>
        <v>0</v>
      </c>
      <c r="Z544" s="170">
        <f>Z543+R544+S544+T544+Observaciones!$F543-U544-W544-Y544</f>
        <v>41.250000002581018</v>
      </c>
      <c r="AA544" s="170">
        <f>IF(Escenarios!$E$14&gt;0,(Escenarios!$E$13*L544+Escenarios!$E$14*W544)/(Escenarios!$E$16),L544)</f>
        <v>2.0395763450276051E-7</v>
      </c>
      <c r="AB544" s="170">
        <f>IF(Escenarios!$E$14&gt;0,(Escenarios!$E$14*Y544)/(Escenarios!$E$16),K544)</f>
        <v>0</v>
      </c>
      <c r="AC544" s="170">
        <f>IF(Escenarios!$E$14&gt;0,(Escenarios!$E$13*M544+Escenarios!$E$14*U544)/(Escenarios!$E$16),M544)</f>
        <v>0</v>
      </c>
      <c r="AD544" s="76">
        <f t="shared" si="113"/>
        <v>107.78654139208207</v>
      </c>
      <c r="AE544" s="76">
        <f>MAX(0,(AD544-Constantes!$D$13)*(1-EXP(-Constantes!$D$23)))</f>
        <v>0.58170110374482364</v>
      </c>
      <c r="AF544" s="76">
        <f>AB544+O544*Escenarios!$E$13/Escenarios!$E$16+AE544</f>
        <v>0.58170110374482364</v>
      </c>
      <c r="AG544" s="76">
        <f>IF(Entradas!$E$91&gt;0,IF(AF544-Escenarios!$E$38&lt;=0,0,IF(AF544-Escenarios!$E$38&gt;Escenarios!$E$37,Escenarios!$E$37,AF544-Escenarios!$E$38)),0)</f>
        <v>0</v>
      </c>
      <c r="AH544" s="76">
        <f>AG544*Entradas!$E$99</f>
        <v>0</v>
      </c>
      <c r="AI544" s="76">
        <f>IF(Entradas!$E$91&gt;0,D544*Entradas!$D$23/Escenarios!$E$16,0)</f>
        <v>0</v>
      </c>
      <c r="AJ544" s="76">
        <f>IF(Entradas!$E$91&gt;0,Entradas!$D$24*Entradas!$D$22/Escenarios!$E$16,0)</f>
        <v>0</v>
      </c>
      <c r="AK544" s="76">
        <f t="shared" si="122"/>
        <v>2.0395763450276051E-7</v>
      </c>
      <c r="AL544" s="76">
        <f t="shared" si="123"/>
        <v>0</v>
      </c>
      <c r="AM544" s="76">
        <f t="shared" si="114"/>
        <v>0</v>
      </c>
      <c r="AN544" s="76">
        <f>MAX(0,O544*Escenarios!$E$13/Escenarios!$E$16-AM544)</f>
        <v>0</v>
      </c>
      <c r="AO544" s="76">
        <f>AM544+AN544-O544*Escenarios!$E$13/Escenarios!$E$16</f>
        <v>0</v>
      </c>
      <c r="AP544" s="76">
        <f t="shared" si="112"/>
        <v>0.58170110374482364</v>
      </c>
      <c r="AQ544" s="76">
        <f t="shared" si="115"/>
        <v>0</v>
      </c>
      <c r="AR544" s="76">
        <f t="shared" si="116"/>
        <v>0.58170110374482364</v>
      </c>
      <c r="AS544" s="76">
        <f t="shared" si="117"/>
        <v>0</v>
      </c>
      <c r="AT544" s="76">
        <f t="shared" si="118"/>
        <v>0</v>
      </c>
      <c r="AU544" s="76">
        <f t="shared" si="119"/>
        <v>48.75</v>
      </c>
      <c r="AV544" s="76">
        <f>MAX(0,(AU544-Constantes!$D$13)*(1-EXP(-Constantes!$D$24)))</f>
        <v>0</v>
      </c>
      <c r="AW544" s="170">
        <f>AW543+(Entradas!$E$112*AT544-AX543)/(800*Entradas!$D$25)</f>
        <v>0</v>
      </c>
      <c r="AX544" s="170">
        <f>8000*Entradas!$D$26*AW544/Constantes!$E$45</f>
        <v>0</v>
      </c>
      <c r="AY544" s="170">
        <f>IF(Escenarios!$E$17&gt;0,10*Escenarios!$E$16*AL544,0)</f>
        <v>0</v>
      </c>
      <c r="AZ544" s="170">
        <f>IF(Escenarios!$E$17&gt;0,10*Escenarios!$E$16*AX544,0)</f>
        <v>0</v>
      </c>
      <c r="BA544" s="170">
        <f>IF(Escenarios!$E$17&gt;0,0.001*Observaciones!$F543*Escenarios!$E$17,0)</f>
        <v>0</v>
      </c>
      <c r="BB544" s="170">
        <f>IF(Escenarios!$E$17&gt;0,Observaciones!$K543,0)</f>
        <v>0</v>
      </c>
      <c r="BC544" s="170">
        <f>IF(Escenarios!$E$17&gt;0,MIN(0.0005*ETo!$M543*Escenarios!$E$17*(BG543/Constantes!$E$40)^(2/3),BG543+AY544+AZ544+BA544+BB544),0)</f>
        <v>9.0756762322774893</v>
      </c>
      <c r="BD544" s="170">
        <f>IF(Escenarios!$E$17&gt;0,MIN(Constantes!$E$39*(BG543/Constantes!$E$40)^(2/3),BG543+AY544+AZ544+BA544+BB544-BC544),0)</f>
        <v>25.837936803088578</v>
      </c>
      <c r="BE544" s="170">
        <f>IF(Escenarios!$E$17&gt;0,MIN(Entradas!$E$113,BG543+AY544+AZ544+BA544+BB544-BC544-BD544),0)</f>
        <v>1</v>
      </c>
      <c r="BF544" s="170">
        <f>IF(Escenarios!$E$17&gt;0,MAX(0,BG543+AY544+AZ544+BA544+BB544-BC544-BD544-BE544-Constantes!$E$40),0)</f>
        <v>0</v>
      </c>
      <c r="BG544" s="170">
        <f t="shared" si="124"/>
        <v>1187.7456663728217</v>
      </c>
      <c r="BH544" s="170">
        <f>(Escenarios!$E$16*AK544+0.1*BC544)/(Escenarios!$E$19)</f>
        <v>3.6016611612554551E-3</v>
      </c>
      <c r="BI544" s="170">
        <f>IF(Escenarios!$E$17&gt;0,BF544/10/Escenarios!$E$19,AL544)</f>
        <v>0</v>
      </c>
      <c r="BJ544" s="170">
        <f>(Escenarios!$E$16*AT544+0.1*BD544)/(Escenarios!$E$19)</f>
        <v>1.0253149525035152E-2</v>
      </c>
      <c r="BK544" s="76">
        <f>BK543+(0.1*BD544)/(Escenarios!$E$19)-BL543</f>
        <v>50.518608306759575</v>
      </c>
      <c r="BL544" s="76">
        <f>MAX(0,(BK544-Constantes!$D$13)*(1-EXP(-Constantes!$D$23)))</f>
        <v>1.7426518896181308E-2</v>
      </c>
      <c r="BM544" s="76">
        <f t="shared" si="120"/>
        <v>0.59912762264100494</v>
      </c>
      <c r="BN544" s="76">
        <f t="shared" si="125"/>
        <v>0.59912762264100494</v>
      </c>
      <c r="BO544" s="76">
        <f>0.0526*BI544*Observaciones!$F543^1.218</f>
        <v>0</v>
      </c>
      <c r="BP544" s="76">
        <f>BO544*Constantes!$E$51</f>
        <v>0</v>
      </c>
      <c r="BQ544" s="76">
        <f t="shared" si="121"/>
        <v>0</v>
      </c>
      <c r="BR544" s="40"/>
    </row>
    <row r="545" spans="1:70">
      <c r="A545" s="147"/>
      <c r="B545" s="39"/>
      <c r="C545" s="75">
        <v>539</v>
      </c>
      <c r="D545" s="146">
        <f>ETo!$I544*((1-Constantes!$E$19)*ETo!$K544+ETo!$L544)</f>
        <v>2.4876898611466376</v>
      </c>
      <c r="E545" s="76">
        <f>MIN(D545*Constantes!$E$17,0.8*(N544+Observaciones!$F544-F545-M545-Constantes!$D$14))</f>
        <v>-9.6955047541655414E-3</v>
      </c>
      <c r="F545" s="76">
        <f>IF(Observaciones!$F544&gt;0.05*Constantes!$E$18,((Observaciones!$F544-0.05*Constantes!$E$18)^2)/(Observaciones!$F544+0.95*Constantes!$E$18),0)</f>
        <v>0</v>
      </c>
      <c r="G545" s="76">
        <f>IF(Escenarios!$E$11&gt;0,(F545*Escenarios!$E$16*10000)/1000,0)</f>
        <v>0</v>
      </c>
      <c r="H545" s="76">
        <f>IF(Escenarios!$E$11&gt;0,(Observaciones!$F544*Constantes!$E$29)/1000,0)</f>
        <v>0</v>
      </c>
      <c r="I545" s="76">
        <f>IF(Escenarios!$E$11&gt;0,(D545*Constantes!$E$29)/1000,0)</f>
        <v>24.876898611466373</v>
      </c>
      <c r="J545" s="76">
        <f>IF(Escenarios!$E$11&gt;0,MAX(0,G545+H545-I545),0)</f>
        <v>0</v>
      </c>
      <c r="K545" s="76">
        <f>IF(Escenarios!$E$11&gt;0,IF(J545&gt;Constantes!$E$30,1000*((J545-Constantes!$E$30)/(Escenarios!$E$16*10000)),0),F545)</f>
        <v>0</v>
      </c>
      <c r="L545" s="76">
        <f>IF(Escenarios!$E$11&gt;0,I545*1000/Escenarios!$E$16/10000+E545,E545)</f>
        <v>2.5525469042100846E-4</v>
      </c>
      <c r="M545" s="76">
        <f>MAX(0,N544+Observaciones!$F544-K545-Constantes!$D$13)</f>
        <v>0</v>
      </c>
      <c r="N545" s="76">
        <f>N544+Observaciones!$F544-K545-L545-M545-O544</f>
        <v>11.237625364366872</v>
      </c>
      <c r="O545" s="76">
        <f>MAX(0,(N545-Constantes!$D$14)*(1-EXP(-Constantes!$D$22)))</f>
        <v>0</v>
      </c>
      <c r="P545" s="170">
        <f>P544+(Entradas!$E$83*M545-Q544)/(800*Entradas!$D$25)</f>
        <v>0</v>
      </c>
      <c r="Q545" s="170">
        <f>8000*Entradas!$D$26*P545/Constantes!$E$45</f>
        <v>0</v>
      </c>
      <c r="R545" s="170">
        <f>IF(Escenarios!$E$14&gt;0,K545*Escenarios!$E$13/Escenarios!$E$14,0)</f>
        <v>0</v>
      </c>
      <c r="S545" s="170">
        <f>IF(Escenarios!$E$14&gt;0,Q545*Escenarios!$E$13/Escenarios!$E$14,0)</f>
        <v>0</v>
      </c>
      <c r="T545" s="170">
        <f>IF(Escenarios!$E$14&gt;0,Observaciones!$I544,0)</f>
        <v>0</v>
      </c>
      <c r="U545" s="170">
        <f>IF(Escenarios!$E$14&gt;0,MAX(0,Constantes!$E$36/((Z544+R545+S545+T545+Observaciones!$F544)^2)+Entradas!$E$77),0)</f>
        <v>0</v>
      </c>
      <c r="V545" s="146">
        <f>IF(ETo!D544&gt;0,ETo!I544*((1-Entradas!$E$81)*ETo!K544+ETo!L544),0)</f>
        <v>2.2362806992755679</v>
      </c>
      <c r="W545" s="170">
        <f>IF(Escenarios!$E$14&gt;0,MIN(V545*1,0.8*(Z544+R545+S545+T545+Observaciones!$F544-U545-Constantes!$E$35)),0)</f>
        <v>2.0648144527513067E-9</v>
      </c>
      <c r="X545" s="170">
        <f>IF(Escenarios!$E$14&gt;0,Observaciones!$J544,0)</f>
        <v>0</v>
      </c>
      <c r="Y545" s="170">
        <f>IF(Escenarios!$E$14&gt;0,MAX(0,Z544+R545+S545+T545+Observaciones!$F544-U545-W545-X545-Constantes!$E$33),0)</f>
        <v>0</v>
      </c>
      <c r="Z545" s="170">
        <f>Z544+R545+S545+T545+Observaciones!$F544-U545-W545-Y545</f>
        <v>41.250000000516202</v>
      </c>
      <c r="AA545" s="170">
        <f>IF(Escenarios!$E$14&gt;0,(Escenarios!$E$13*L545+Escenarios!$E$14*W545)/(Escenarios!$E$16),L545)</f>
        <v>2.2462437534822178E-4</v>
      </c>
      <c r="AB545" s="170">
        <f>IF(Escenarios!$E$14&gt;0,(Escenarios!$E$14*Y545)/(Escenarios!$E$16),K545)</f>
        <v>0</v>
      </c>
      <c r="AC545" s="170">
        <f>IF(Escenarios!$E$14&gt;0,(Escenarios!$E$13*M545+Escenarios!$E$14*U545)/(Escenarios!$E$16),M545)</f>
        <v>0</v>
      </c>
      <c r="AD545" s="76">
        <f t="shared" si="113"/>
        <v>107.20484028833725</v>
      </c>
      <c r="AE545" s="76">
        <f>MAX(0,(AD545-Constantes!$D$13)*(1-EXP(-Constantes!$D$23)))</f>
        <v>0.57596946421921746</v>
      </c>
      <c r="AF545" s="76">
        <f>AB545+O545*Escenarios!$E$13/Escenarios!$E$16+AE545</f>
        <v>0.57596946421921746</v>
      </c>
      <c r="AG545" s="76">
        <f>IF(Entradas!$E$91&gt;0,IF(AF545-Escenarios!$E$38&lt;=0,0,IF(AF545-Escenarios!$E$38&gt;Escenarios!$E$37,Escenarios!$E$37,AF545-Escenarios!$E$38)),0)</f>
        <v>0</v>
      </c>
      <c r="AH545" s="76">
        <f>AG545*Entradas!$E$99</f>
        <v>0</v>
      </c>
      <c r="AI545" s="76">
        <f>IF(Entradas!$E$91&gt;0,D545*Entradas!$D$23/Escenarios!$E$16,0)</f>
        <v>0</v>
      </c>
      <c r="AJ545" s="76">
        <f>IF(Entradas!$E$91&gt;0,Entradas!$D$24*Entradas!$D$22/Escenarios!$E$16,0)</f>
        <v>0</v>
      </c>
      <c r="AK545" s="76">
        <f t="shared" si="122"/>
        <v>2.2462437534822178E-4</v>
      </c>
      <c r="AL545" s="76">
        <f t="shared" si="123"/>
        <v>0</v>
      </c>
      <c r="AM545" s="76">
        <f t="shared" si="114"/>
        <v>0</v>
      </c>
      <c r="AN545" s="76">
        <f>MAX(0,O545*Escenarios!$E$13/Escenarios!$E$16-AM545)</f>
        <v>0</v>
      </c>
      <c r="AO545" s="76">
        <f>AM545+AN545-O545*Escenarios!$E$13/Escenarios!$E$16</f>
        <v>0</v>
      </c>
      <c r="AP545" s="76">
        <f t="shared" si="112"/>
        <v>0.57596946421921746</v>
      </c>
      <c r="AQ545" s="76">
        <f t="shared" si="115"/>
        <v>0</v>
      </c>
      <c r="AR545" s="76">
        <f t="shared" si="116"/>
        <v>0.57596946421921746</v>
      </c>
      <c r="AS545" s="76">
        <f t="shared" si="117"/>
        <v>0</v>
      </c>
      <c r="AT545" s="76">
        <f t="shared" si="118"/>
        <v>0</v>
      </c>
      <c r="AU545" s="76">
        <f t="shared" si="119"/>
        <v>48.75</v>
      </c>
      <c r="AV545" s="76">
        <f>MAX(0,(AU545-Constantes!$D$13)*(1-EXP(-Constantes!$D$24)))</f>
        <v>0</v>
      </c>
      <c r="AW545" s="170">
        <f>AW544+(Entradas!$E$112*AT545-AX544)/(800*Entradas!$D$25)</f>
        <v>0</v>
      </c>
      <c r="AX545" s="170">
        <f>8000*Entradas!$D$26*AW545/Constantes!$E$45</f>
        <v>0</v>
      </c>
      <c r="AY545" s="170">
        <f>IF(Escenarios!$E$17&gt;0,10*Escenarios!$E$16*AL545,0)</f>
        <v>0</v>
      </c>
      <c r="AZ545" s="170">
        <f>IF(Escenarios!$E$17&gt;0,10*Escenarios!$E$16*AX545,0)</f>
        <v>0</v>
      </c>
      <c r="BA545" s="170">
        <f>IF(Escenarios!$E$17&gt;0,0.001*Observaciones!$F544*Escenarios!$E$17,0)</f>
        <v>0</v>
      </c>
      <c r="BB545" s="170">
        <f>IF(Escenarios!$E$17&gt;0,Observaciones!$K544,0)</f>
        <v>0</v>
      </c>
      <c r="BC545" s="170">
        <f>IF(Escenarios!$E$17&gt;0,MIN(0.0005*ETo!$M544*Escenarios!$E$17*(BG544/Constantes!$E$40)^(2/3),BG544+AY545+AZ545+BA545+BB545),0)</f>
        <v>9.1291722950668923</v>
      </c>
      <c r="BD545" s="170">
        <f>IF(Escenarios!$E$17&gt;0,MIN(Constantes!$E$39*(BG544/Constantes!$E$40)^(2/3),BG544+AY545+AZ545+BA545+BB545-BC545),0)</f>
        <v>25.329879827684053</v>
      </c>
      <c r="BE545" s="170">
        <f>IF(Escenarios!$E$17&gt;0,MIN(Entradas!$E$113,BG544+AY545+AZ545+BA545+BB545-BC545-BD545),0)</f>
        <v>1</v>
      </c>
      <c r="BF545" s="170">
        <f>IF(Escenarios!$E$17&gt;0,MAX(0,BG544+AY545+AZ545+BA545+BB545-BC545-BD545-BE545-Constantes!$E$40),0)</f>
        <v>0</v>
      </c>
      <c r="BG545" s="170">
        <f t="shared" si="124"/>
        <v>1152.2866142500709</v>
      </c>
      <c r="BH545" s="170">
        <f>(Escenarios!$E$16*AK545+0.1*BC545)/(Escenarios!$E$19)</f>
        <v>3.8455290608878758E-3</v>
      </c>
      <c r="BI545" s="170">
        <f>IF(Escenarios!$E$17&gt;0,BF545/10/Escenarios!$E$19,AL545)</f>
        <v>0</v>
      </c>
      <c r="BJ545" s="170">
        <f>(Escenarios!$E$16*AT545+0.1*BD545)/(Escenarios!$E$19)</f>
        <v>1.0051539614160341E-2</v>
      </c>
      <c r="BK545" s="76">
        <f>BK544+(0.1*BD545)/(Escenarios!$E$19)-BL544</f>
        <v>50.511233327477555</v>
      </c>
      <c r="BL545" s="76">
        <f>MAX(0,(BK545-Constantes!$D$13)*(1-EXP(-Constantes!$D$23)))</f>
        <v>1.7353851468732358E-2</v>
      </c>
      <c r="BM545" s="76">
        <f t="shared" si="120"/>
        <v>0.59332331568794983</v>
      </c>
      <c r="BN545" s="76">
        <f t="shared" si="125"/>
        <v>0.59332331568794983</v>
      </c>
      <c r="BO545" s="76">
        <f>0.0526*BI545*Observaciones!$F544^1.218</f>
        <v>0</v>
      </c>
      <c r="BP545" s="76">
        <f>BO545*Constantes!$E$51</f>
        <v>0</v>
      </c>
      <c r="BQ545" s="76">
        <f t="shared" si="121"/>
        <v>0</v>
      </c>
      <c r="BR545" s="40"/>
    </row>
    <row r="546" spans="1:70">
      <c r="A546" s="147"/>
      <c r="B546" s="39"/>
      <c r="C546" s="75">
        <v>540</v>
      </c>
      <c r="D546" s="146">
        <f>ETo!$I545*((1-Constantes!$E$19)*ETo!$K545+ETo!$L545)</f>
        <v>2.4303337045118769</v>
      </c>
      <c r="E546" s="76">
        <f>MIN(D546*Constantes!$E$17,0.8*(N545+Observaciones!$F545-F546-M546-Constantes!$D$14))</f>
        <v>-9.8997085065022361E-3</v>
      </c>
      <c r="F546" s="76">
        <f>IF(Observaciones!$F545&gt;0.05*Constantes!$E$18,((Observaciones!$F545-0.05*Constantes!$E$18)^2)/(Observaciones!$F545+0.95*Constantes!$E$18),0)</f>
        <v>0</v>
      </c>
      <c r="G546" s="76">
        <f>IF(Escenarios!$E$11&gt;0,(F546*Escenarios!$E$16*10000)/1000,0)</f>
        <v>0</v>
      </c>
      <c r="H546" s="76">
        <f>IF(Escenarios!$E$11&gt;0,(Observaciones!$F545*Constantes!$E$29)/1000,0)</f>
        <v>0</v>
      </c>
      <c r="I546" s="76">
        <f>IF(Escenarios!$E$11&gt;0,(D546*Constantes!$E$29)/1000,0)</f>
        <v>24.30333704511877</v>
      </c>
      <c r="J546" s="76">
        <f>IF(Escenarios!$E$11&gt;0,MAX(0,G546+H546-I546),0)</f>
        <v>0</v>
      </c>
      <c r="K546" s="76">
        <f>IF(Escenarios!$E$11&gt;0,IF(J546&gt;Constantes!$E$30,1000*((J546-Constantes!$E$30)/(Escenarios!$E$16*10000)),0),F546)</f>
        <v>0</v>
      </c>
      <c r="L546" s="76">
        <f>IF(Escenarios!$E$11&gt;0,I546*1000/Escenarios!$E$16/10000+E546,E546)</f>
        <v>-1.7837368845472802E-4</v>
      </c>
      <c r="M546" s="76">
        <f>MAX(0,N545+Observaciones!$F545-K546-Constantes!$D$13)</f>
        <v>0</v>
      </c>
      <c r="N546" s="76">
        <f>N545+Observaciones!$F545-K546-L546-M546-O545</f>
        <v>11.237803738055327</v>
      </c>
      <c r="O546" s="76">
        <f>MAX(0,(N546-Constantes!$D$14)*(1-EXP(-Constantes!$D$22)))</f>
        <v>0</v>
      </c>
      <c r="P546" s="170">
        <f>P545+(Entradas!$E$83*M546-Q545)/(800*Entradas!$D$25)</f>
        <v>0</v>
      </c>
      <c r="Q546" s="170">
        <f>8000*Entradas!$D$26*P546/Constantes!$E$45</f>
        <v>0</v>
      </c>
      <c r="R546" s="170">
        <f>IF(Escenarios!$E$14&gt;0,K546*Escenarios!$E$13/Escenarios!$E$14,0)</f>
        <v>0</v>
      </c>
      <c r="S546" s="170">
        <f>IF(Escenarios!$E$14&gt;0,Q546*Escenarios!$E$13/Escenarios!$E$14,0)</f>
        <v>0</v>
      </c>
      <c r="T546" s="170">
        <f>IF(Escenarios!$E$14&gt;0,Observaciones!$I545,0)</f>
        <v>0</v>
      </c>
      <c r="U546" s="170">
        <f>IF(Escenarios!$E$14&gt;0,MAX(0,Constantes!$E$36/((Z545+R546+S546+T546+Observaciones!$F545)^2)+Entradas!$E$77),0)</f>
        <v>0</v>
      </c>
      <c r="V546" s="146">
        <f>IF(ETo!D545&gt;0,ETo!I545*((1-Entradas!$E$81)*ETo!K545+ETo!L545),0)</f>
        <v>2.1843390424657008</v>
      </c>
      <c r="W546" s="170">
        <f>IF(Escenarios!$E$14&gt;0,MIN(V546*1,0.8*(Z545+R546+S546+T546+Observaciones!$F545-U546-Constantes!$E$35)),0)</f>
        <v>4.1296175368188418E-10</v>
      </c>
      <c r="X546" s="170">
        <f>IF(Escenarios!$E$14&gt;0,Observaciones!$J545,0)</f>
        <v>0</v>
      </c>
      <c r="Y546" s="170">
        <f>IF(Escenarios!$E$14&gt;0,MAX(0,Z545+R546+S546+T546+Observaciones!$F545-U546-W546-X546-Constantes!$E$33),0)</f>
        <v>0</v>
      </c>
      <c r="Z546" s="170">
        <f>Z545+R546+S546+T546+Observaciones!$F545-U546-W546-Y546</f>
        <v>41.250000000103242</v>
      </c>
      <c r="AA546" s="170">
        <f>IF(Escenarios!$E$14&gt;0,(Escenarios!$E$13*L546+Escenarios!$E$14*W546)/(Escenarios!$E$16),L546)</f>
        <v>-1.5696879628475022E-4</v>
      </c>
      <c r="AB546" s="170">
        <f>IF(Escenarios!$E$14&gt;0,(Escenarios!$E$14*Y546)/(Escenarios!$E$16),K546)</f>
        <v>0</v>
      </c>
      <c r="AC546" s="170">
        <f>IF(Escenarios!$E$14&gt;0,(Escenarios!$E$13*M546+Escenarios!$E$14*U546)/(Escenarios!$E$16),M546)</f>
        <v>0</v>
      </c>
      <c r="AD546" s="76">
        <f t="shared" si="113"/>
        <v>106.62887082411804</v>
      </c>
      <c r="AE546" s="76">
        <f>MAX(0,(AD546-Constantes!$D$13)*(1-EXP(-Constantes!$D$23)))</f>
        <v>0.57029429990302716</v>
      </c>
      <c r="AF546" s="76">
        <f>AB546+O546*Escenarios!$E$13/Escenarios!$E$16+AE546</f>
        <v>0.57029429990302716</v>
      </c>
      <c r="AG546" s="76">
        <f>IF(Entradas!$E$91&gt;0,IF(AF546-Escenarios!$E$38&lt;=0,0,IF(AF546-Escenarios!$E$38&gt;Escenarios!$E$37,Escenarios!$E$37,AF546-Escenarios!$E$38)),0)</f>
        <v>0</v>
      </c>
      <c r="AH546" s="76">
        <f>AG546*Entradas!$E$99</f>
        <v>0</v>
      </c>
      <c r="AI546" s="76">
        <f>IF(Entradas!$E$91&gt;0,D546*Entradas!$D$23/Escenarios!$E$16,0)</f>
        <v>0</v>
      </c>
      <c r="AJ546" s="76">
        <f>IF(Entradas!$E$91&gt;0,Entradas!$D$24*Entradas!$D$22/Escenarios!$E$16,0)</f>
        <v>0</v>
      </c>
      <c r="AK546" s="76">
        <f t="shared" si="122"/>
        <v>-1.5696879628475022E-4</v>
      </c>
      <c r="AL546" s="76">
        <f t="shared" si="123"/>
        <v>0</v>
      </c>
      <c r="AM546" s="76">
        <f t="shared" si="114"/>
        <v>0</v>
      </c>
      <c r="AN546" s="76">
        <f>MAX(0,O546*Escenarios!$E$13/Escenarios!$E$16-AM546)</f>
        <v>0</v>
      </c>
      <c r="AO546" s="76">
        <f>AM546+AN546-O546*Escenarios!$E$13/Escenarios!$E$16</f>
        <v>0</v>
      </c>
      <c r="AP546" s="76">
        <f t="shared" si="112"/>
        <v>0.57029429990302716</v>
      </c>
      <c r="AQ546" s="76">
        <f t="shared" si="115"/>
        <v>0</v>
      </c>
      <c r="AR546" s="76">
        <f t="shared" si="116"/>
        <v>0.57029429990302716</v>
      </c>
      <c r="AS546" s="76">
        <f t="shared" si="117"/>
        <v>0</v>
      </c>
      <c r="AT546" s="76">
        <f t="shared" si="118"/>
        <v>0</v>
      </c>
      <c r="AU546" s="76">
        <f t="shared" si="119"/>
        <v>48.75</v>
      </c>
      <c r="AV546" s="76">
        <f>MAX(0,(AU546-Constantes!$D$13)*(1-EXP(-Constantes!$D$24)))</f>
        <v>0</v>
      </c>
      <c r="AW546" s="170">
        <f>AW545+(Entradas!$E$112*AT546-AX545)/(800*Entradas!$D$25)</f>
        <v>0</v>
      </c>
      <c r="AX546" s="170">
        <f>8000*Entradas!$D$26*AW546/Constantes!$E$45</f>
        <v>0</v>
      </c>
      <c r="AY546" s="170">
        <f>IF(Escenarios!$E$17&gt;0,10*Escenarios!$E$16*AL546,0)</f>
        <v>0</v>
      </c>
      <c r="AZ546" s="170">
        <f>IF(Escenarios!$E$17&gt;0,10*Escenarios!$E$16*AX546,0)</f>
        <v>0</v>
      </c>
      <c r="BA546" s="170">
        <f>IF(Escenarios!$E$17&gt;0,0.001*Observaciones!$F545*Escenarios!$E$17,0)</f>
        <v>0</v>
      </c>
      <c r="BB546" s="170">
        <f>IF(Escenarios!$E$17&gt;0,Observaciones!$K545,0)</f>
        <v>0</v>
      </c>
      <c r="BC546" s="170">
        <f>IF(Escenarios!$E$17&gt;0,MIN(0.0005*ETo!$M545*Escenarios!$E$17*(BG545/Constantes!$E$40)^(2/3),BG545+AY546+AZ546+BA546+BB546),0)</f>
        <v>8.7421539076965598</v>
      </c>
      <c r="BD546" s="170">
        <f>IF(Escenarios!$E$17&gt;0,MIN(Constantes!$E$39*(BG545/Constantes!$E$40)^(2/3),BG545+AY546+AZ546+BA546+BB546-BC546),0)</f>
        <v>24.823204069706094</v>
      </c>
      <c r="BE546" s="170">
        <f>IF(Escenarios!$E$17&gt;0,MIN(Entradas!$E$113,BG545+AY546+AZ546+BA546+BB546-BC546-BD546),0)</f>
        <v>1</v>
      </c>
      <c r="BF546" s="170">
        <f>IF(Escenarios!$E$17&gt;0,MAX(0,BG545+AY546+AZ546+BA546+BB546-BC546-BD546-BE546-Constantes!$E$40),0)</f>
        <v>0</v>
      </c>
      <c r="BG546" s="170">
        <f t="shared" si="124"/>
        <v>1117.7212562726681</v>
      </c>
      <c r="BH546" s="170">
        <f>(Escenarios!$E$16*AK546+0.1*BC546)/(Escenarios!$E$19)</f>
        <v>3.3133856813431289E-3</v>
      </c>
      <c r="BI546" s="170">
        <f>IF(Escenarios!$E$17&gt;0,BF546/10/Escenarios!$E$19,AL546)</f>
        <v>0</v>
      </c>
      <c r="BJ546" s="170">
        <f>(Escenarios!$E$16*AT546+0.1*BD546)/(Escenarios!$E$19)</f>
        <v>9.8504778054389272E-3</v>
      </c>
      <c r="BK546" s="76">
        <f>BK545+(0.1*BD546)/(Escenarios!$E$19)-BL545</f>
        <v>50.503729953814258</v>
      </c>
      <c r="BL546" s="76">
        <f>MAX(0,(BK546-Constantes!$D$13)*(1-EXP(-Constantes!$D$23)))</f>
        <v>1.7279918940863521E-2</v>
      </c>
      <c r="BM546" s="76">
        <f t="shared" si="120"/>
        <v>0.58757421884389072</v>
      </c>
      <c r="BN546" s="76">
        <f t="shared" si="125"/>
        <v>0.58757421884389072</v>
      </c>
      <c r="BO546" s="76">
        <f>0.0526*BI546*Observaciones!$F545^1.218</f>
        <v>0</v>
      </c>
      <c r="BP546" s="76">
        <f>BO546*Constantes!$E$51</f>
        <v>0</v>
      </c>
      <c r="BQ546" s="76">
        <f t="shared" si="121"/>
        <v>0</v>
      </c>
      <c r="BR546" s="40"/>
    </row>
    <row r="547" spans="1:70">
      <c r="A547" s="147"/>
      <c r="B547" s="39"/>
      <c r="C547" s="75">
        <v>541</v>
      </c>
      <c r="D547" s="146">
        <f>ETo!$I546*((1-Constantes!$E$19)*ETo!$K546+ETo!$L546)</f>
        <v>2.4313555266656808</v>
      </c>
      <c r="E547" s="76">
        <f>MIN(D547*Constantes!$E$17,0.8*(N546+Observaciones!$F546-F547-M547-Constantes!$D$14))</f>
        <v>-9.7570095557387056E-3</v>
      </c>
      <c r="F547" s="76">
        <f>IF(Observaciones!$F546&gt;0.05*Constantes!$E$18,((Observaciones!$F546-0.05*Constantes!$E$18)^2)/(Observaciones!$F546+0.95*Constantes!$E$18),0)</f>
        <v>0</v>
      </c>
      <c r="G547" s="76">
        <f>IF(Escenarios!$E$11&gt;0,(F547*Escenarios!$E$16*10000)/1000,0)</f>
        <v>0</v>
      </c>
      <c r="H547" s="76">
        <f>IF(Escenarios!$E$11&gt;0,(Observaciones!$F546*Constantes!$E$29)/1000,0)</f>
        <v>0</v>
      </c>
      <c r="I547" s="76">
        <f>IF(Escenarios!$E$11&gt;0,(D547*Constantes!$E$29)/1000,0)</f>
        <v>24.313555266656806</v>
      </c>
      <c r="J547" s="76">
        <f>IF(Escenarios!$E$11&gt;0,MAX(0,G547+H547-I547),0)</f>
        <v>0</v>
      </c>
      <c r="K547" s="76">
        <f>IF(Escenarios!$E$11&gt;0,IF(J547&gt;Constantes!$E$30,1000*((J547-Constantes!$E$30)/(Escenarios!$E$16*10000)),0),F547)</f>
        <v>0</v>
      </c>
      <c r="L547" s="76">
        <f>IF(Escenarios!$E$11&gt;0,I547*1000/Escenarios!$E$16/10000+E547,E547)</f>
        <v>-3.1587449075982585E-5</v>
      </c>
      <c r="M547" s="76">
        <f>MAX(0,N546+Observaciones!$F546-K547-Constantes!$D$13)</f>
        <v>0</v>
      </c>
      <c r="N547" s="76">
        <f>N546+Observaciones!$F546-K547-L547-M547-O546</f>
        <v>11.237835325504403</v>
      </c>
      <c r="O547" s="76">
        <f>MAX(0,(N547-Constantes!$D$14)*(1-EXP(-Constantes!$D$22)))</f>
        <v>0</v>
      </c>
      <c r="P547" s="170">
        <f>P546+(Entradas!$E$83*M547-Q546)/(800*Entradas!$D$25)</f>
        <v>0</v>
      </c>
      <c r="Q547" s="170">
        <f>8000*Entradas!$D$26*P547/Constantes!$E$45</f>
        <v>0</v>
      </c>
      <c r="R547" s="170">
        <f>IF(Escenarios!$E$14&gt;0,K547*Escenarios!$E$13/Escenarios!$E$14,0)</f>
        <v>0</v>
      </c>
      <c r="S547" s="170">
        <f>IF(Escenarios!$E$14&gt;0,Q547*Escenarios!$E$13/Escenarios!$E$14,0)</f>
        <v>0</v>
      </c>
      <c r="T547" s="170">
        <f>IF(Escenarios!$E$14&gt;0,Observaciones!$I546,0)</f>
        <v>0</v>
      </c>
      <c r="U547" s="170">
        <f>IF(Escenarios!$E$14&gt;0,MAX(0,Constantes!$E$36/((Z546+R547+S547+T547+Observaciones!$F546)^2)+Entradas!$E$77),0)</f>
        <v>0</v>
      </c>
      <c r="V547" s="146">
        <f>IF(ETo!D546&gt;0,ETo!I546*((1-Entradas!$E$81)*ETo!K546+ETo!L546),0)</f>
        <v>2.185295804781997</v>
      </c>
      <c r="W547" s="170">
        <f>IF(Escenarios!$E$14&gt;0,MIN(V547*1,0.8*(Z546+R547+S547+T547+Observaciones!$F546-U547-Constantes!$E$35)),0)</f>
        <v>8.2593487604754046E-11</v>
      </c>
      <c r="X547" s="170">
        <f>IF(Escenarios!$E$14&gt;0,Observaciones!$J546,0)</f>
        <v>0</v>
      </c>
      <c r="Y547" s="170">
        <f>IF(Escenarios!$E$14&gt;0,MAX(0,Z546+R547+S547+T547+Observaciones!$F546-U547-W547-X547-Constantes!$E$33),0)</f>
        <v>0</v>
      </c>
      <c r="Z547" s="170">
        <f>Z546+R547+S547+T547+Observaciones!$F546-U547-W547-Y547</f>
        <v>41.250000000020648</v>
      </c>
      <c r="AA547" s="170">
        <f>IF(Escenarios!$E$14&gt;0,(Escenarios!$E$13*L547+Escenarios!$E$14*W547)/(Escenarios!$E$16),L547)</f>
        <v>-2.7796945275646162E-5</v>
      </c>
      <c r="AB547" s="170">
        <f>IF(Escenarios!$E$14&gt;0,(Escenarios!$E$14*Y547)/(Escenarios!$E$16),K547)</f>
        <v>0</v>
      </c>
      <c r="AC547" s="170">
        <f>IF(Escenarios!$E$14&gt;0,(Escenarios!$E$13*M547+Escenarios!$E$14*U547)/(Escenarios!$E$16),M547)</f>
        <v>0</v>
      </c>
      <c r="AD547" s="76">
        <f t="shared" si="113"/>
        <v>106.05857652421501</v>
      </c>
      <c r="AE547" s="76">
        <f>MAX(0,(AD547-Constantes!$D$13)*(1-EXP(-Constantes!$D$23)))</f>
        <v>0.56467505433256315</v>
      </c>
      <c r="AF547" s="76">
        <f>AB547+O547*Escenarios!$E$13/Escenarios!$E$16+AE547</f>
        <v>0.56467505433256315</v>
      </c>
      <c r="AG547" s="76">
        <f>IF(Entradas!$E$91&gt;0,IF(AF547-Escenarios!$E$38&lt;=0,0,IF(AF547-Escenarios!$E$38&gt;Escenarios!$E$37,Escenarios!$E$37,AF547-Escenarios!$E$38)),0)</f>
        <v>0</v>
      </c>
      <c r="AH547" s="76">
        <f>AG547*Entradas!$E$99</f>
        <v>0</v>
      </c>
      <c r="AI547" s="76">
        <f>IF(Entradas!$E$91&gt;0,D547*Entradas!$D$23/Escenarios!$E$16,0)</f>
        <v>0</v>
      </c>
      <c r="AJ547" s="76">
        <f>IF(Entradas!$E$91&gt;0,Entradas!$D$24*Entradas!$D$22/Escenarios!$E$16,0)</f>
        <v>0</v>
      </c>
      <c r="AK547" s="76">
        <f t="shared" si="122"/>
        <v>-2.7796945275646162E-5</v>
      </c>
      <c r="AL547" s="76">
        <f t="shared" si="123"/>
        <v>0</v>
      </c>
      <c r="AM547" s="76">
        <f t="shared" si="114"/>
        <v>0</v>
      </c>
      <c r="AN547" s="76">
        <f>MAX(0,O547*Escenarios!$E$13/Escenarios!$E$16-AM547)</f>
        <v>0</v>
      </c>
      <c r="AO547" s="76">
        <f>AM547+AN547-O547*Escenarios!$E$13/Escenarios!$E$16</f>
        <v>0</v>
      </c>
      <c r="AP547" s="76">
        <f t="shared" si="112"/>
        <v>0.56467505433256315</v>
      </c>
      <c r="AQ547" s="76">
        <f t="shared" si="115"/>
        <v>0</v>
      </c>
      <c r="AR547" s="76">
        <f t="shared" si="116"/>
        <v>0.56467505433256315</v>
      </c>
      <c r="AS547" s="76">
        <f t="shared" si="117"/>
        <v>0</v>
      </c>
      <c r="AT547" s="76">
        <f t="shared" si="118"/>
        <v>0</v>
      </c>
      <c r="AU547" s="76">
        <f t="shared" si="119"/>
        <v>48.75</v>
      </c>
      <c r="AV547" s="76">
        <f>MAX(0,(AU547-Constantes!$D$13)*(1-EXP(-Constantes!$D$24)))</f>
        <v>0</v>
      </c>
      <c r="AW547" s="170">
        <f>AW546+(Entradas!$E$112*AT547-AX546)/(800*Entradas!$D$25)</f>
        <v>0</v>
      </c>
      <c r="AX547" s="170">
        <f>8000*Entradas!$D$26*AW547/Constantes!$E$45</f>
        <v>0</v>
      </c>
      <c r="AY547" s="170">
        <f>IF(Escenarios!$E$17&gt;0,10*Escenarios!$E$16*AL547,0)</f>
        <v>0</v>
      </c>
      <c r="AZ547" s="170">
        <f>IF(Escenarios!$E$17&gt;0,10*Escenarios!$E$16*AX547,0)</f>
        <v>0</v>
      </c>
      <c r="BA547" s="170">
        <f>IF(Escenarios!$E$17&gt;0,0.001*Observaciones!$F546*Escenarios!$E$17,0)</f>
        <v>0</v>
      </c>
      <c r="BB547" s="170">
        <f>IF(Escenarios!$E$17&gt;0,Observaciones!$K546,0)</f>
        <v>0</v>
      </c>
      <c r="BC547" s="170">
        <f>IF(Escenarios!$E$17&gt;0,MIN(0.0005*ETo!$M546*Escenarios!$E$17*(BG546/Constantes!$E$40)^(2/3),BG546+AY547+AZ547+BA547+BB547),0)</f>
        <v>8.5698594619494148</v>
      </c>
      <c r="BD547" s="170">
        <f>IF(Escenarios!$E$17&gt;0,MIN(Constantes!$E$39*(BG546/Constantes!$E$40)^(2/3),BG546+AY547+AZ547+BA547+BB547-BC547),0)</f>
        <v>24.324270992536935</v>
      </c>
      <c r="BE547" s="170">
        <f>IF(Escenarios!$E$17&gt;0,MIN(Entradas!$E$113,BG546+AY547+AZ547+BA547+BB547-BC547-BD547),0)</f>
        <v>1</v>
      </c>
      <c r="BF547" s="170">
        <f>IF(Escenarios!$E$17&gt;0,MAX(0,BG546+AY547+AZ547+BA547+BB547-BC547-BD547-BE547-Constantes!$E$40),0)</f>
        <v>0</v>
      </c>
      <c r="BG547" s="170">
        <f t="shared" si="124"/>
        <v>1083.8271258181819</v>
      </c>
      <c r="BH547" s="170">
        <f>(Escenarios!$E$16*AK547+0.1*BC547)/(Escenarios!$E$19)</f>
        <v>3.3731615471271031E-3</v>
      </c>
      <c r="BI547" s="170">
        <f>IF(Escenarios!$E$17&gt;0,BF547/10/Escenarios!$E$19,AL547)</f>
        <v>0</v>
      </c>
      <c r="BJ547" s="170">
        <f>(Escenarios!$E$16*AT547+0.1*BD547)/(Escenarios!$E$19)</f>
        <v>9.6524884891019593E-3</v>
      </c>
      <c r="BK547" s="76">
        <f>BK546+(0.1*BD547)/(Escenarios!$E$19)-BL546</f>
        <v>50.496102523362495</v>
      </c>
      <c r="BL547" s="76">
        <f>MAX(0,(BK547-Constantes!$D$13)*(1-EXP(-Constantes!$D$23)))</f>
        <v>1.7204764051909911E-2</v>
      </c>
      <c r="BM547" s="76">
        <f t="shared" si="120"/>
        <v>0.58187981838447311</v>
      </c>
      <c r="BN547" s="76">
        <f t="shared" si="125"/>
        <v>0.58187981838447311</v>
      </c>
      <c r="BO547" s="76">
        <f>0.0526*BI547*Observaciones!$F546^1.218</f>
        <v>0</v>
      </c>
      <c r="BP547" s="76">
        <f>BO547*Constantes!$E$51</f>
        <v>0</v>
      </c>
      <c r="BQ547" s="76">
        <f t="shared" si="121"/>
        <v>0</v>
      </c>
      <c r="BR547" s="40"/>
    </row>
    <row r="548" spans="1:70">
      <c r="A548" s="147"/>
      <c r="B548" s="39"/>
      <c r="C548" s="75">
        <v>542</v>
      </c>
      <c r="D548" s="146">
        <f>ETo!$I547*((1-Constantes!$E$19)*ETo!$K547+ETo!$L547)</f>
        <v>2.531734326915732</v>
      </c>
      <c r="E548" s="76">
        <f>MIN(D548*Constantes!$E$17,0.8*(N547+Observaciones!$F547-F548-M548-Constantes!$D$14))</f>
        <v>-9.7317395964779518E-3</v>
      </c>
      <c r="F548" s="76">
        <f>IF(Observaciones!$F547&gt;0.05*Constantes!$E$18,((Observaciones!$F547-0.05*Constantes!$E$18)^2)/(Observaciones!$F547+0.95*Constantes!$E$18),0)</f>
        <v>0</v>
      </c>
      <c r="G548" s="76">
        <f>IF(Escenarios!$E$11&gt;0,(F548*Escenarios!$E$16*10000)/1000,0)</f>
        <v>0</v>
      </c>
      <c r="H548" s="76">
        <f>IF(Escenarios!$E$11&gt;0,(Observaciones!$F547*Constantes!$E$29)/1000,0)</f>
        <v>0</v>
      </c>
      <c r="I548" s="76">
        <f>IF(Escenarios!$E$11&gt;0,(D548*Constantes!$E$29)/1000,0)</f>
        <v>25.31734326915732</v>
      </c>
      <c r="J548" s="76">
        <f>IF(Escenarios!$E$11&gt;0,MAX(0,G548+H548-I548),0)</f>
        <v>0</v>
      </c>
      <c r="K548" s="76">
        <f>IF(Escenarios!$E$11&gt;0,IF(J548&gt;Constantes!$E$30,1000*((J548-Constantes!$E$30)/(Escenarios!$E$16*10000)),0),F548)</f>
        <v>0</v>
      </c>
      <c r="L548" s="76">
        <f>IF(Escenarios!$E$11&gt;0,I548*1000/Escenarios!$E$16/10000+E548,E548)</f>
        <v>3.951977111849754E-4</v>
      </c>
      <c r="M548" s="76">
        <f>MAX(0,N547+Observaciones!$F547-K548-Constantes!$D$13)</f>
        <v>0</v>
      </c>
      <c r="N548" s="76">
        <f>N547+Observaciones!$F547-K548-L548-M548-O547</f>
        <v>11.237440127793217</v>
      </c>
      <c r="O548" s="76">
        <f>MAX(0,(N548-Constantes!$D$14)*(1-EXP(-Constantes!$D$22)))</f>
        <v>0</v>
      </c>
      <c r="P548" s="170">
        <f>P547+(Entradas!$E$83*M548-Q547)/(800*Entradas!$D$25)</f>
        <v>0</v>
      </c>
      <c r="Q548" s="170">
        <f>8000*Entradas!$D$26*P548/Constantes!$E$45</f>
        <v>0</v>
      </c>
      <c r="R548" s="170">
        <f>IF(Escenarios!$E$14&gt;0,K548*Escenarios!$E$13/Escenarios!$E$14,0)</f>
        <v>0</v>
      </c>
      <c r="S548" s="170">
        <f>IF(Escenarios!$E$14&gt;0,Q548*Escenarios!$E$13/Escenarios!$E$14,0)</f>
        <v>0</v>
      </c>
      <c r="T548" s="170">
        <f>IF(Escenarios!$E$14&gt;0,Observaciones!$I547,0)</f>
        <v>0</v>
      </c>
      <c r="U548" s="170">
        <f>IF(Escenarios!$E$14&gt;0,MAX(0,Constantes!$E$36/((Z547+R548+S548+T548+Observaciones!$F547)^2)+Entradas!$E$77),0)</f>
        <v>0</v>
      </c>
      <c r="V548" s="146">
        <f>IF(ETo!D547&gt;0,ETo!I547*((1-Entradas!$E$81)*ETo!K547+ETo!L547),0)</f>
        <v>2.2763799912103164</v>
      </c>
      <c r="W548" s="170">
        <f>IF(Escenarios!$E$14&gt;0,MIN(V548*1,0.8*(Z547+R548+S548+T548+Observaciones!$F547-U548-Constantes!$E$35)),0)</f>
        <v>1.651869752095081E-11</v>
      </c>
      <c r="X548" s="170">
        <f>IF(Escenarios!$E$14&gt;0,Observaciones!$J547,0)</f>
        <v>0</v>
      </c>
      <c r="Y548" s="170">
        <f>IF(Escenarios!$E$14&gt;0,MAX(0,Z547+R548+S548+T548+Observaciones!$F547-U548-W548-X548-Constantes!$E$33),0)</f>
        <v>0</v>
      </c>
      <c r="Z548" s="170">
        <f>Z547+R548+S548+T548+Observaciones!$F547-U548-W548-Y548</f>
        <v>41.250000000004128</v>
      </c>
      <c r="AA548" s="170">
        <f>IF(Escenarios!$E$14&gt;0,(Escenarios!$E$13*L548+Escenarios!$E$14*W548)/(Escenarios!$E$16),L548)</f>
        <v>3.4777398782502204E-4</v>
      </c>
      <c r="AB548" s="170">
        <f>IF(Escenarios!$E$14&gt;0,(Escenarios!$E$14*Y548)/(Escenarios!$E$16),K548)</f>
        <v>0</v>
      </c>
      <c r="AC548" s="170">
        <f>IF(Escenarios!$E$14&gt;0,(Escenarios!$E$13*M548+Escenarios!$E$14*U548)/(Escenarios!$E$16),M548)</f>
        <v>0</v>
      </c>
      <c r="AD548" s="76">
        <f t="shared" si="113"/>
        <v>105.49390146988245</v>
      </c>
      <c r="AE548" s="76">
        <f>MAX(0,(AD548-Constantes!$D$13)*(1-EXP(-Constantes!$D$23)))</f>
        <v>0.55911117652710496</v>
      </c>
      <c r="AF548" s="76">
        <f>AB548+O548*Escenarios!$E$13/Escenarios!$E$16+AE548</f>
        <v>0.55911117652710496</v>
      </c>
      <c r="AG548" s="76">
        <f>IF(Entradas!$E$91&gt;0,IF(AF548-Escenarios!$E$38&lt;=0,0,IF(AF548-Escenarios!$E$38&gt;Escenarios!$E$37,Escenarios!$E$37,AF548-Escenarios!$E$38)),0)</f>
        <v>0</v>
      </c>
      <c r="AH548" s="76">
        <f>AG548*Entradas!$E$99</f>
        <v>0</v>
      </c>
      <c r="AI548" s="76">
        <f>IF(Entradas!$E$91&gt;0,D548*Entradas!$D$23/Escenarios!$E$16,0)</f>
        <v>0</v>
      </c>
      <c r="AJ548" s="76">
        <f>IF(Entradas!$E$91&gt;0,Entradas!$D$24*Entradas!$D$22/Escenarios!$E$16,0)</f>
        <v>0</v>
      </c>
      <c r="AK548" s="76">
        <f t="shared" si="122"/>
        <v>3.4777398782502204E-4</v>
      </c>
      <c r="AL548" s="76">
        <f t="shared" si="123"/>
        <v>0</v>
      </c>
      <c r="AM548" s="76">
        <f t="shared" si="114"/>
        <v>0</v>
      </c>
      <c r="AN548" s="76">
        <f>MAX(0,O548*Escenarios!$E$13/Escenarios!$E$16-AM548)</f>
        <v>0</v>
      </c>
      <c r="AO548" s="76">
        <f>AM548+AN548-O548*Escenarios!$E$13/Escenarios!$E$16</f>
        <v>0</v>
      </c>
      <c r="AP548" s="76">
        <f t="shared" si="112"/>
        <v>0.55911117652710496</v>
      </c>
      <c r="AQ548" s="76">
        <f t="shared" si="115"/>
        <v>0</v>
      </c>
      <c r="AR548" s="76">
        <f t="shared" si="116"/>
        <v>0.55911117652710496</v>
      </c>
      <c r="AS548" s="76">
        <f t="shared" si="117"/>
        <v>0</v>
      </c>
      <c r="AT548" s="76">
        <f t="shared" si="118"/>
        <v>0</v>
      </c>
      <c r="AU548" s="76">
        <f t="shared" si="119"/>
        <v>48.75</v>
      </c>
      <c r="AV548" s="76">
        <f>MAX(0,(AU548-Constantes!$D$13)*(1-EXP(-Constantes!$D$24)))</f>
        <v>0</v>
      </c>
      <c r="AW548" s="170">
        <f>AW547+(Entradas!$E$112*AT548-AX547)/(800*Entradas!$D$25)</f>
        <v>0</v>
      </c>
      <c r="AX548" s="170">
        <f>8000*Entradas!$D$26*AW548/Constantes!$E$45</f>
        <v>0</v>
      </c>
      <c r="AY548" s="170">
        <f>IF(Escenarios!$E$17&gt;0,10*Escenarios!$E$16*AL548,0)</f>
        <v>0</v>
      </c>
      <c r="AZ548" s="170">
        <f>IF(Escenarios!$E$17&gt;0,10*Escenarios!$E$16*AX548,0)</f>
        <v>0</v>
      </c>
      <c r="BA548" s="170">
        <f>IF(Escenarios!$E$17&gt;0,0.001*Observaciones!$F547*Escenarios!$E$17,0)</f>
        <v>0</v>
      </c>
      <c r="BB548" s="170">
        <f>IF(Escenarios!$E$17&gt;0,Observaciones!$K547,0)</f>
        <v>0</v>
      </c>
      <c r="BC548" s="170">
        <f>IF(Escenarios!$E$17&gt;0,MIN(0.0005*ETo!$M547*Escenarios!$E$17*(BG547/Constantes!$E$40)^(2/3),BG547+AY548+AZ548+BA548+BB548),0)</f>
        <v>8.7382904678030684</v>
      </c>
      <c r="BD548" s="170">
        <f>IF(Escenarios!$E$17&gt;0,MIN(Constantes!$E$39*(BG547/Constantes!$E$40)^(2/3),BG547+AY548+AZ548+BA548+BB548-BC548),0)</f>
        <v>23.830007033519895</v>
      </c>
      <c r="BE548" s="170">
        <f>IF(Escenarios!$E$17&gt;0,MIN(Entradas!$E$113,BG547+AY548+AZ548+BA548+BB548-BC548-BD548),0)</f>
        <v>1</v>
      </c>
      <c r="BF548" s="170">
        <f>IF(Escenarios!$E$17&gt;0,MAX(0,BG547+AY548+AZ548+BA548+BB548-BC548-BD548-BE548-Constantes!$E$40),0)</f>
        <v>0</v>
      </c>
      <c r="BG548" s="170">
        <f t="shared" si="124"/>
        <v>1050.2588283168589</v>
      </c>
      <c r="BH548" s="170">
        <f>(Escenarios!$E$16*AK548+0.1*BC548)/(Escenarios!$E$19)</f>
        <v>3.812589459272073E-3</v>
      </c>
      <c r="BI548" s="170">
        <f>IF(Escenarios!$E$17&gt;0,BF548/10/Escenarios!$E$19,AL548)</f>
        <v>0</v>
      </c>
      <c r="BJ548" s="170">
        <f>(Escenarios!$E$16*AT548+0.1*BD548)/(Escenarios!$E$19)</f>
        <v>9.4563519974285304E-3</v>
      </c>
      <c r="BK548" s="76">
        <f>BK547+(0.1*BD548)/(Escenarios!$E$19)-BL547</f>
        <v>50.488354111308013</v>
      </c>
      <c r="BL548" s="76">
        <f>MAX(0,(BK548-Constantes!$D$13)*(1-EXP(-Constantes!$D$23)))</f>
        <v>1.712841710240913E-2</v>
      </c>
      <c r="BM548" s="76">
        <f t="shared" si="120"/>
        <v>0.57623959362951405</v>
      </c>
      <c r="BN548" s="76">
        <f t="shared" si="125"/>
        <v>0.57623959362951405</v>
      </c>
      <c r="BO548" s="76">
        <f>0.0526*BI548*Observaciones!$F547^1.218</f>
        <v>0</v>
      </c>
      <c r="BP548" s="76">
        <f>BO548*Constantes!$E$51</f>
        <v>0</v>
      </c>
      <c r="BQ548" s="76">
        <f t="shared" si="121"/>
        <v>0</v>
      </c>
      <c r="BR548" s="40"/>
    </row>
    <row r="549" spans="1:70">
      <c r="A549" s="147"/>
      <c r="B549" s="39"/>
      <c r="C549" s="75">
        <v>543</v>
      </c>
      <c r="D549" s="146">
        <f>ETo!$I548*((1-Constantes!$E$19)*ETo!$K548+ETo!$L548)</f>
        <v>2.43764724649487</v>
      </c>
      <c r="E549" s="76">
        <f>MIN(D549*Constantes!$E$17,0.8*(N548+Observaciones!$F548-F549-M549-Constantes!$D$14))</f>
        <v>-1.0047897765426229E-2</v>
      </c>
      <c r="F549" s="76">
        <f>IF(Observaciones!$F548&gt;0.05*Constantes!$E$18,((Observaciones!$F548-0.05*Constantes!$E$18)^2)/(Observaciones!$F548+0.95*Constantes!$E$18),0)</f>
        <v>0</v>
      </c>
      <c r="G549" s="76">
        <f>IF(Escenarios!$E$11&gt;0,(F549*Escenarios!$E$16*10000)/1000,0)</f>
        <v>0</v>
      </c>
      <c r="H549" s="76">
        <f>IF(Escenarios!$E$11&gt;0,(Observaciones!$F548*Constantes!$E$29)/1000,0)</f>
        <v>0</v>
      </c>
      <c r="I549" s="76">
        <f>IF(Escenarios!$E$11&gt;0,(D549*Constantes!$E$29)/1000,0)</f>
        <v>24.376472464948701</v>
      </c>
      <c r="J549" s="76">
        <f>IF(Escenarios!$E$11&gt;0,MAX(0,G549+H549-I549),0)</f>
        <v>0</v>
      </c>
      <c r="K549" s="76">
        <f>IF(Escenarios!$E$11&gt;0,IF(J549&gt;Constantes!$E$30,1000*((J549-Constantes!$E$30)/(Escenarios!$E$16*10000)),0),F549)</f>
        <v>0</v>
      </c>
      <c r="L549" s="76">
        <f>IF(Escenarios!$E$11&gt;0,I549*1000/Escenarios!$E$16/10000+E549,E549)</f>
        <v>-2.9730877944674806E-4</v>
      </c>
      <c r="M549" s="76">
        <f>MAX(0,N548+Observaciones!$F548-K549-Constantes!$D$13)</f>
        <v>0</v>
      </c>
      <c r="N549" s="76">
        <f>N548+Observaciones!$F548-K549-L549-M549-O548</f>
        <v>11.237737436572663</v>
      </c>
      <c r="O549" s="76">
        <f>MAX(0,(N549-Constantes!$D$14)*(1-EXP(-Constantes!$D$22)))</f>
        <v>0</v>
      </c>
      <c r="P549" s="170">
        <f>P548+(Entradas!$E$83*M549-Q548)/(800*Entradas!$D$25)</f>
        <v>0</v>
      </c>
      <c r="Q549" s="170">
        <f>8000*Entradas!$D$26*P549/Constantes!$E$45</f>
        <v>0</v>
      </c>
      <c r="R549" s="170">
        <f>IF(Escenarios!$E$14&gt;0,K549*Escenarios!$E$13/Escenarios!$E$14,0)</f>
        <v>0</v>
      </c>
      <c r="S549" s="170">
        <f>IF(Escenarios!$E$14&gt;0,Q549*Escenarios!$E$13/Escenarios!$E$14,0)</f>
        <v>0</v>
      </c>
      <c r="T549" s="170">
        <f>IF(Escenarios!$E$14&gt;0,Observaciones!$I548,0)</f>
        <v>0</v>
      </c>
      <c r="U549" s="170">
        <f>IF(Escenarios!$E$14&gt;0,MAX(0,Constantes!$E$36/((Z548+R549+S549+T549+Observaciones!$F548)^2)+Entradas!$E$77),0)</f>
        <v>0</v>
      </c>
      <c r="V549" s="146">
        <f>IF(ETo!D548&gt;0,ETo!I548*((1-Entradas!$E$81)*ETo!K548+ETo!L548),0)</f>
        <v>2.1910951843050475</v>
      </c>
      <c r="W549" s="170">
        <f>IF(Escenarios!$E$14&gt;0,MIN(V549*1,0.8*(Z548+R549+S549+T549+Observaciones!$F548-U549-Constantes!$E$35)),0)</f>
        <v>3.3026026358129457E-12</v>
      </c>
      <c r="X549" s="170">
        <f>IF(Escenarios!$E$14&gt;0,Observaciones!$J548,0)</f>
        <v>0</v>
      </c>
      <c r="Y549" s="170">
        <f>IF(Escenarios!$E$14&gt;0,MAX(0,Z548+R549+S549+T549+Observaciones!$F548-U549-W549-X549-Constantes!$E$33),0)</f>
        <v>0</v>
      </c>
      <c r="Z549" s="170">
        <f>Z548+R549+S549+T549+Observaciones!$F548-U549-W549-Y549</f>
        <v>41.250000000000824</v>
      </c>
      <c r="AA549" s="170">
        <f>IF(Escenarios!$E$14&gt;0,(Escenarios!$E$13*L549+Escenarios!$E$14*W549)/(Escenarios!$E$16),L549)</f>
        <v>-2.61631725516826E-4</v>
      </c>
      <c r="AB549" s="170">
        <f>IF(Escenarios!$E$14&gt;0,(Escenarios!$E$14*Y549)/(Escenarios!$E$16),K549)</f>
        <v>0</v>
      </c>
      <c r="AC549" s="170">
        <f>IF(Escenarios!$E$14&gt;0,(Escenarios!$E$13*M549+Escenarios!$E$14*U549)/(Escenarios!$E$16),M549)</f>
        <v>0</v>
      </c>
      <c r="AD549" s="76">
        <f t="shared" si="113"/>
        <v>104.93479029335533</v>
      </c>
      <c r="AE549" s="76">
        <f>MAX(0,(AD549-Constantes!$D$13)*(1-EXP(-Constantes!$D$23)))</f>
        <v>0.55360212093487626</v>
      </c>
      <c r="AF549" s="76">
        <f>AB549+O549*Escenarios!$E$13/Escenarios!$E$16+AE549</f>
        <v>0.55360212093487626</v>
      </c>
      <c r="AG549" s="76">
        <f>IF(Entradas!$E$91&gt;0,IF(AF549-Escenarios!$E$38&lt;=0,0,IF(AF549-Escenarios!$E$38&gt;Escenarios!$E$37,Escenarios!$E$37,AF549-Escenarios!$E$38)),0)</f>
        <v>0</v>
      </c>
      <c r="AH549" s="76">
        <f>AG549*Entradas!$E$99</f>
        <v>0</v>
      </c>
      <c r="AI549" s="76">
        <f>IF(Entradas!$E$91&gt;0,D549*Entradas!$D$23/Escenarios!$E$16,0)</f>
        <v>0</v>
      </c>
      <c r="AJ549" s="76">
        <f>IF(Entradas!$E$91&gt;0,Entradas!$D$24*Entradas!$D$22/Escenarios!$E$16,0)</f>
        <v>0</v>
      </c>
      <c r="AK549" s="76">
        <f t="shared" si="122"/>
        <v>-2.61631725516826E-4</v>
      </c>
      <c r="AL549" s="76">
        <f t="shared" si="123"/>
        <v>0</v>
      </c>
      <c r="AM549" s="76">
        <f t="shared" si="114"/>
        <v>0</v>
      </c>
      <c r="AN549" s="76">
        <f>MAX(0,O549*Escenarios!$E$13/Escenarios!$E$16-AM549)</f>
        <v>0</v>
      </c>
      <c r="AO549" s="76">
        <f>AM549+AN549-O549*Escenarios!$E$13/Escenarios!$E$16</f>
        <v>0</v>
      </c>
      <c r="AP549" s="76">
        <f t="shared" si="112"/>
        <v>0.55360212093487626</v>
      </c>
      <c r="AQ549" s="76">
        <f t="shared" si="115"/>
        <v>0</v>
      </c>
      <c r="AR549" s="76">
        <f t="shared" si="116"/>
        <v>0.55360212093487626</v>
      </c>
      <c r="AS549" s="76">
        <f t="shared" si="117"/>
        <v>0</v>
      </c>
      <c r="AT549" s="76">
        <f t="shared" si="118"/>
        <v>0</v>
      </c>
      <c r="AU549" s="76">
        <f t="shared" si="119"/>
        <v>48.75</v>
      </c>
      <c r="AV549" s="76">
        <f>MAX(0,(AU549-Constantes!$D$13)*(1-EXP(-Constantes!$D$24)))</f>
        <v>0</v>
      </c>
      <c r="AW549" s="170">
        <f>AW548+(Entradas!$E$112*AT549-AX548)/(800*Entradas!$D$25)</f>
        <v>0</v>
      </c>
      <c r="AX549" s="170">
        <f>8000*Entradas!$D$26*AW549/Constantes!$E$45</f>
        <v>0</v>
      </c>
      <c r="AY549" s="170">
        <f>IF(Escenarios!$E$17&gt;0,10*Escenarios!$E$16*AL549,0)</f>
        <v>0</v>
      </c>
      <c r="AZ549" s="170">
        <f>IF(Escenarios!$E$17&gt;0,10*Escenarios!$E$16*AX549,0)</f>
        <v>0</v>
      </c>
      <c r="BA549" s="170">
        <f>IF(Escenarios!$E$17&gt;0,0.001*Observaciones!$F548*Escenarios!$E$17,0)</f>
        <v>0</v>
      </c>
      <c r="BB549" s="170">
        <f>IF(Escenarios!$E$17&gt;0,Observaciones!$K548,0)</f>
        <v>0</v>
      </c>
      <c r="BC549" s="170">
        <f>IF(Escenarios!$E$17&gt;0,MIN(0.0005*ETo!$M548*Escenarios!$E$17*(BG548/Constantes!$E$40)^(2/3),BG548+AY549+AZ549+BA549+BB549),0)</f>
        <v>8.242071716074749</v>
      </c>
      <c r="BD549" s="170">
        <f>IF(Escenarios!$E$17&gt;0,MIN(Constantes!$E$39*(BG548/Constantes!$E$40)^(2/3),BG548+AY549+AZ549+BA549+BB549-BC549),0)</f>
        <v>23.335389463991021</v>
      </c>
      <c r="BE549" s="170">
        <f>IF(Escenarios!$E$17&gt;0,MIN(Entradas!$E$113,BG548+AY549+AZ549+BA549+BB549-BC549-BD549),0)</f>
        <v>1</v>
      </c>
      <c r="BF549" s="170">
        <f>IF(Escenarios!$E$17&gt;0,MAX(0,BG548+AY549+AZ549+BA549+BB549-BC549-BD549-BE549-Constantes!$E$40),0)</f>
        <v>0</v>
      </c>
      <c r="BG549" s="170">
        <f t="shared" si="124"/>
        <v>1017.6813671367929</v>
      </c>
      <c r="BH549" s="170">
        <f>(Escenarios!$E$16*AK549+0.1*BC549)/(Escenarios!$E$19)</f>
        <v>3.011108096143922E-3</v>
      </c>
      <c r="BI549" s="170">
        <f>IF(Escenarios!$E$17&gt;0,BF549/10/Escenarios!$E$19,AL549)</f>
        <v>0</v>
      </c>
      <c r="BJ549" s="170">
        <f>(Escenarios!$E$16*AT549+0.1*BD549)/(Escenarios!$E$19)</f>
        <v>9.2600751841234209E-3</v>
      </c>
      <c r="BK549" s="76">
        <f>BK548+(0.1*BD549)/(Escenarios!$E$19)-BL548</f>
        <v>50.480485769389723</v>
      </c>
      <c r="BL549" s="76">
        <f>MAX(0,(BK549-Constantes!$D$13)*(1-EXP(-Constantes!$D$23)))</f>
        <v>1.7050888455395187E-2</v>
      </c>
      <c r="BM549" s="76">
        <f t="shared" si="120"/>
        <v>0.57065300939027142</v>
      </c>
      <c r="BN549" s="76">
        <f t="shared" si="125"/>
        <v>0.57065300939027142</v>
      </c>
      <c r="BO549" s="76">
        <f>0.0526*BI549*Observaciones!$F548^1.218</f>
        <v>0</v>
      </c>
      <c r="BP549" s="76">
        <f>BO549*Constantes!$E$51</f>
        <v>0</v>
      </c>
      <c r="BQ549" s="76">
        <f t="shared" si="121"/>
        <v>0</v>
      </c>
      <c r="BR549" s="40"/>
    </row>
    <row r="550" spans="1:70">
      <c r="A550" s="147"/>
      <c r="B550" s="39"/>
      <c r="C550" s="75">
        <v>544</v>
      </c>
      <c r="D550" s="146">
        <f>ETo!$I549*((1-Constantes!$E$19)*ETo!$K549+ETo!$L549)</f>
        <v>2.5509018362124274</v>
      </c>
      <c r="E550" s="76">
        <f>MIN(D550*Constantes!$E$17,0.8*(N549+Observaciones!$F549-F550-M550-Constantes!$D$14))</f>
        <v>-9.8100507418692473E-3</v>
      </c>
      <c r="F550" s="76">
        <f>IF(Observaciones!$F549&gt;0.05*Constantes!$E$18,((Observaciones!$F549-0.05*Constantes!$E$18)^2)/(Observaciones!$F549+0.95*Constantes!$E$18),0)</f>
        <v>0</v>
      </c>
      <c r="G550" s="76">
        <f>IF(Escenarios!$E$11&gt;0,(F550*Escenarios!$E$16*10000)/1000,0)</f>
        <v>0</v>
      </c>
      <c r="H550" s="76">
        <f>IF(Escenarios!$E$11&gt;0,(Observaciones!$F549*Constantes!$E$29)/1000,0)</f>
        <v>0</v>
      </c>
      <c r="I550" s="76">
        <f>IF(Escenarios!$E$11&gt;0,(D550*Constantes!$E$29)/1000,0)</f>
        <v>25.509018362124273</v>
      </c>
      <c r="J550" s="76">
        <f>IF(Escenarios!$E$11&gt;0,MAX(0,G550+H550-I550),0)</f>
        <v>0</v>
      </c>
      <c r="K550" s="76">
        <f>IF(Escenarios!$E$11&gt;0,IF(J550&gt;Constantes!$E$30,1000*((J550-Constantes!$E$30)/(Escenarios!$E$16*10000)),0),F550)</f>
        <v>0</v>
      </c>
      <c r="L550" s="76">
        <f>IF(Escenarios!$E$11&gt;0,I550*1000/Escenarios!$E$16/10000+E550,E550)</f>
        <v>3.935566029804622E-4</v>
      </c>
      <c r="M550" s="76">
        <f>MAX(0,N549+Observaciones!$F549-K550-Constantes!$D$13)</f>
        <v>0</v>
      </c>
      <c r="N550" s="76">
        <f>N549+Observaciones!$F549-K550-L550-M550-O549</f>
        <v>11.237343879969682</v>
      </c>
      <c r="O550" s="76">
        <f>MAX(0,(N550-Constantes!$D$14)*(1-EXP(-Constantes!$D$22)))</f>
        <v>0</v>
      </c>
      <c r="P550" s="170">
        <f>P549+(Entradas!$E$83*M550-Q549)/(800*Entradas!$D$25)</f>
        <v>0</v>
      </c>
      <c r="Q550" s="170">
        <f>8000*Entradas!$D$26*P550/Constantes!$E$45</f>
        <v>0</v>
      </c>
      <c r="R550" s="170">
        <f>IF(Escenarios!$E$14&gt;0,K550*Escenarios!$E$13/Escenarios!$E$14,0)</f>
        <v>0</v>
      </c>
      <c r="S550" s="170">
        <f>IF(Escenarios!$E$14&gt;0,Q550*Escenarios!$E$13/Escenarios!$E$14,0)</f>
        <v>0</v>
      </c>
      <c r="T550" s="170">
        <f>IF(Escenarios!$E$14&gt;0,Observaciones!$I549,0)</f>
        <v>0</v>
      </c>
      <c r="U550" s="170">
        <f>IF(Escenarios!$E$14&gt;0,MAX(0,Constantes!$E$36/((Z549+R550+S550+T550+Observaciones!$F549)^2)+Entradas!$E$77),0)</f>
        <v>0</v>
      </c>
      <c r="V550" s="146">
        <f>IF(ETo!D549&gt;0,ETo!I549*((1-Entradas!$E$81)*ETo!K549+ETo!L549),0)</f>
        <v>2.293938767875316</v>
      </c>
      <c r="W550" s="170">
        <f>IF(Escenarios!$E$14&gt;0,MIN(V550*1,0.8*(Z549+R550+S550+T550+Observaciones!$F549-U550-Constantes!$E$35)),0)</f>
        <v>6.5938365878537305E-13</v>
      </c>
      <c r="X550" s="170">
        <f>IF(Escenarios!$E$14&gt;0,Observaciones!$J549,0)</f>
        <v>0</v>
      </c>
      <c r="Y550" s="170">
        <f>IF(Escenarios!$E$14&gt;0,MAX(0,Z549+R550+S550+T550+Observaciones!$F549-U550-W550-X550-Constantes!$E$33),0)</f>
        <v>0</v>
      </c>
      <c r="Z550" s="170">
        <f>Z549+R550+S550+T550+Observaciones!$F549-U550-W550-Y550</f>
        <v>41.250000000000163</v>
      </c>
      <c r="AA550" s="170">
        <f>IF(Escenarios!$E$14&gt;0,(Escenarios!$E$13*L550+Escenarios!$E$14*W550)/(Escenarios!$E$16),L550)</f>
        <v>3.4632981070193281E-4</v>
      </c>
      <c r="AB550" s="170">
        <f>IF(Escenarios!$E$14&gt;0,(Escenarios!$E$14*Y550)/(Escenarios!$E$16),K550)</f>
        <v>0</v>
      </c>
      <c r="AC550" s="170">
        <f>IF(Escenarios!$E$14&gt;0,(Escenarios!$E$13*M550+Escenarios!$E$14*U550)/(Escenarios!$E$16),M550)</f>
        <v>0</v>
      </c>
      <c r="AD550" s="76">
        <f t="shared" si="113"/>
        <v>104.38118817242045</v>
      </c>
      <c r="AE550" s="76">
        <f>MAX(0,(AD550-Constantes!$D$13)*(1-EXP(-Constantes!$D$23)))</f>
        <v>0.54814734737955273</v>
      </c>
      <c r="AF550" s="76">
        <f>AB550+O550*Escenarios!$E$13/Escenarios!$E$16+AE550</f>
        <v>0.54814734737955273</v>
      </c>
      <c r="AG550" s="76">
        <f>IF(Entradas!$E$91&gt;0,IF(AF550-Escenarios!$E$38&lt;=0,0,IF(AF550-Escenarios!$E$38&gt;Escenarios!$E$37,Escenarios!$E$37,AF550-Escenarios!$E$38)),0)</f>
        <v>0</v>
      </c>
      <c r="AH550" s="76">
        <f>AG550*Entradas!$E$99</f>
        <v>0</v>
      </c>
      <c r="AI550" s="76">
        <f>IF(Entradas!$E$91&gt;0,D550*Entradas!$D$23/Escenarios!$E$16,0)</f>
        <v>0</v>
      </c>
      <c r="AJ550" s="76">
        <f>IF(Entradas!$E$91&gt;0,Entradas!$D$24*Entradas!$D$22/Escenarios!$E$16,0)</f>
        <v>0</v>
      </c>
      <c r="AK550" s="76">
        <f t="shared" si="122"/>
        <v>3.4632981070193281E-4</v>
      </c>
      <c r="AL550" s="76">
        <f t="shared" si="123"/>
        <v>0</v>
      </c>
      <c r="AM550" s="76">
        <f t="shared" si="114"/>
        <v>0</v>
      </c>
      <c r="AN550" s="76">
        <f>MAX(0,O550*Escenarios!$E$13/Escenarios!$E$16-AM550)</f>
        <v>0</v>
      </c>
      <c r="AO550" s="76">
        <f>AM550+AN550-O550*Escenarios!$E$13/Escenarios!$E$16</f>
        <v>0</v>
      </c>
      <c r="AP550" s="76">
        <f t="shared" si="112"/>
        <v>0.54814734737955273</v>
      </c>
      <c r="AQ550" s="76">
        <f t="shared" si="115"/>
        <v>0</v>
      </c>
      <c r="AR550" s="76">
        <f t="shared" si="116"/>
        <v>0.54814734737955273</v>
      </c>
      <c r="AS550" s="76">
        <f t="shared" si="117"/>
        <v>0</v>
      </c>
      <c r="AT550" s="76">
        <f t="shared" si="118"/>
        <v>0</v>
      </c>
      <c r="AU550" s="76">
        <f t="shared" si="119"/>
        <v>48.75</v>
      </c>
      <c r="AV550" s="76">
        <f>MAX(0,(AU550-Constantes!$D$13)*(1-EXP(-Constantes!$D$24)))</f>
        <v>0</v>
      </c>
      <c r="AW550" s="170">
        <f>AW549+(Entradas!$E$112*AT550-AX549)/(800*Entradas!$D$25)</f>
        <v>0</v>
      </c>
      <c r="AX550" s="170">
        <f>8000*Entradas!$D$26*AW550/Constantes!$E$45</f>
        <v>0</v>
      </c>
      <c r="AY550" s="170">
        <f>IF(Escenarios!$E$17&gt;0,10*Escenarios!$E$16*AL550,0)</f>
        <v>0</v>
      </c>
      <c r="AZ550" s="170">
        <f>IF(Escenarios!$E$17&gt;0,10*Escenarios!$E$16*AX550,0)</f>
        <v>0</v>
      </c>
      <c r="BA550" s="170">
        <f>IF(Escenarios!$E$17&gt;0,0.001*Observaciones!$F549*Escenarios!$E$17,0)</f>
        <v>0</v>
      </c>
      <c r="BB550" s="170">
        <f>IF(Escenarios!$E$17&gt;0,Observaciones!$K549,0)</f>
        <v>0</v>
      </c>
      <c r="BC550" s="170">
        <f>IF(Escenarios!$E$17&gt;0,MIN(0.0005*ETo!$M549*Escenarios!$E$17*(BG549/Constantes!$E$40)^(2/3),BG549+AY550+AZ550+BA550+BB550),0)</f>
        <v>8.4410199377535129</v>
      </c>
      <c r="BD550" s="170">
        <f>IF(Escenarios!$E$17&gt;0,MIN(Constantes!$E$39*(BG549/Constantes!$E$40)^(2/3),BG549+AY550+AZ550+BA550+BB550-BC550),0)</f>
        <v>22.850307126861644</v>
      </c>
      <c r="BE550" s="170">
        <f>IF(Escenarios!$E$17&gt;0,MIN(Entradas!$E$113,BG549+AY550+AZ550+BA550+BB550-BC550-BD550),0)</f>
        <v>1</v>
      </c>
      <c r="BF550" s="170">
        <f>IF(Escenarios!$E$17&gt;0,MAX(0,BG549+AY550+AZ550+BA550+BB550-BC550-BD550-BE550-Constantes!$E$40),0)</f>
        <v>0</v>
      </c>
      <c r="BG550" s="170">
        <f t="shared" si="124"/>
        <v>985.39004007217784</v>
      </c>
      <c r="BH550" s="170">
        <f>(Escenarios!$E$16*AK550+0.1*BC550)/(Escenarios!$E$19)</f>
        <v>3.6931922478207722E-3</v>
      </c>
      <c r="BI550" s="170">
        <f>IF(Escenarios!$E$17&gt;0,BF550/10/Escenarios!$E$19,AL550)</f>
        <v>0</v>
      </c>
      <c r="BJ550" s="170">
        <f>(Escenarios!$E$16*AT550+0.1*BD550)/(Escenarios!$E$19)</f>
        <v>9.0675821931990655E-3</v>
      </c>
      <c r="BK550" s="76">
        <f>BK549+(0.1*BD550)/(Escenarios!$E$19)-BL549</f>
        <v>50.472502463127526</v>
      </c>
      <c r="BL550" s="76">
        <f>MAX(0,(BK550-Constantes!$D$13)*(1-EXP(-Constantes!$D$23)))</f>
        <v>1.6972227037318349E-2</v>
      </c>
      <c r="BM550" s="76">
        <f t="shared" si="120"/>
        <v>0.56511957441687111</v>
      </c>
      <c r="BN550" s="76">
        <f t="shared" si="125"/>
        <v>0.56511957441687111</v>
      </c>
      <c r="BO550" s="76">
        <f>0.0526*BI550*Observaciones!$F549^1.218</f>
        <v>0</v>
      </c>
      <c r="BP550" s="76">
        <f>BO550*Constantes!$E$51</f>
        <v>0</v>
      </c>
      <c r="BQ550" s="76">
        <f t="shared" si="121"/>
        <v>0</v>
      </c>
      <c r="BR550" s="40"/>
    </row>
    <row r="551" spans="1:70">
      <c r="A551" s="147"/>
      <c r="B551" s="39"/>
      <c r="C551" s="75">
        <v>545</v>
      </c>
      <c r="D551" s="146">
        <f>ETo!$I550*((1-Constantes!$E$19)*ETo!$K550+ETo!$L550)</f>
        <v>2.5774733581670284</v>
      </c>
      <c r="E551" s="76">
        <f>MIN(D551*Constantes!$E$17,0.8*(N550+Observaciones!$F550-F551-M551-Constantes!$D$14))</f>
        <v>-1.0124896024254327E-2</v>
      </c>
      <c r="F551" s="76">
        <f>IF(Observaciones!$F550&gt;0.05*Constantes!$E$18,((Observaciones!$F550-0.05*Constantes!$E$18)^2)/(Observaciones!$F550+0.95*Constantes!$E$18),0)</f>
        <v>0</v>
      </c>
      <c r="G551" s="76">
        <f>IF(Escenarios!$E$11&gt;0,(F551*Escenarios!$E$16*10000)/1000,0)</f>
        <v>0</v>
      </c>
      <c r="H551" s="76">
        <f>IF(Escenarios!$E$11&gt;0,(Observaciones!$F550*Constantes!$E$29)/1000,0)</f>
        <v>0</v>
      </c>
      <c r="I551" s="76">
        <f>IF(Escenarios!$E$11&gt;0,(D551*Constantes!$E$29)/1000,0)</f>
        <v>25.774733581670283</v>
      </c>
      <c r="J551" s="76">
        <f>IF(Escenarios!$E$11&gt;0,MAX(0,G551+H551-I551),0)</f>
        <v>0</v>
      </c>
      <c r="K551" s="76">
        <f>IF(Escenarios!$E$11&gt;0,IF(J551&gt;Constantes!$E$30,1000*((J551-Constantes!$E$30)/(Escenarios!$E$16*10000)),0),F551)</f>
        <v>0</v>
      </c>
      <c r="L551" s="76">
        <f>IF(Escenarios!$E$11&gt;0,I551*1000/Escenarios!$E$16/10000+E551,E551)</f>
        <v>1.8499740841378641E-4</v>
      </c>
      <c r="M551" s="76">
        <f>MAX(0,N550+Observaciones!$F550-K551-Constantes!$D$13)</f>
        <v>0</v>
      </c>
      <c r="N551" s="76">
        <f>N550+Observaciones!$F550-K551-L551-M551-O550</f>
        <v>11.237158882561268</v>
      </c>
      <c r="O551" s="76">
        <f>MAX(0,(N551-Constantes!$D$14)*(1-EXP(-Constantes!$D$22)))</f>
        <v>0</v>
      </c>
      <c r="P551" s="170">
        <f>P550+(Entradas!$E$83*M551-Q550)/(800*Entradas!$D$25)</f>
        <v>0</v>
      </c>
      <c r="Q551" s="170">
        <f>8000*Entradas!$D$26*P551/Constantes!$E$45</f>
        <v>0</v>
      </c>
      <c r="R551" s="170">
        <f>IF(Escenarios!$E$14&gt;0,K551*Escenarios!$E$13/Escenarios!$E$14,0)</f>
        <v>0</v>
      </c>
      <c r="S551" s="170">
        <f>IF(Escenarios!$E$14&gt;0,Q551*Escenarios!$E$13/Escenarios!$E$14,0)</f>
        <v>0</v>
      </c>
      <c r="T551" s="170">
        <f>IF(Escenarios!$E$14&gt;0,Observaciones!$I550,0)</f>
        <v>0</v>
      </c>
      <c r="U551" s="170">
        <f>IF(Escenarios!$E$14&gt;0,MAX(0,Constantes!$E$36/((Z550+R551+S551+T551+Observaciones!$F550)^2)+Entradas!$E$77),0)</f>
        <v>0</v>
      </c>
      <c r="V551" s="146">
        <f>IF(ETo!D550&gt;0,ETo!I550*((1-Entradas!$E$81)*ETo!K550+ETo!L550),0)</f>
        <v>2.3182184713379796</v>
      </c>
      <c r="W551" s="170">
        <f>IF(Escenarios!$E$14&gt;0,MIN(V551*1,0.8*(Z550+R551+S551+T551+Observaciones!$F550-U551-Constantes!$E$35)),0)</f>
        <v>1.3073986337985845E-13</v>
      </c>
      <c r="X551" s="170">
        <f>IF(Escenarios!$E$14&gt;0,Observaciones!$J550,0)</f>
        <v>0</v>
      </c>
      <c r="Y551" s="170">
        <f>IF(Escenarios!$E$14&gt;0,MAX(0,Z550+R551+S551+T551+Observaciones!$F550-U551-W551-X551-Constantes!$E$33),0)</f>
        <v>0</v>
      </c>
      <c r="Z551" s="170">
        <f>Z550+R551+S551+T551+Observaciones!$F550-U551-W551-Y551</f>
        <v>41.250000000000036</v>
      </c>
      <c r="AA551" s="170">
        <f>IF(Escenarios!$E$14&gt;0,(Escenarios!$E$13*L551+Escenarios!$E$14*W551)/(Escenarios!$E$16),L551)</f>
        <v>1.6279771941982081E-4</v>
      </c>
      <c r="AB551" s="170">
        <f>IF(Escenarios!$E$14&gt;0,(Escenarios!$E$14*Y551)/(Escenarios!$E$16),K551)</f>
        <v>0</v>
      </c>
      <c r="AC551" s="170">
        <f>IF(Escenarios!$E$14&gt;0,(Escenarios!$E$13*M551+Escenarios!$E$14*U551)/(Escenarios!$E$16),M551)</f>
        <v>0</v>
      </c>
      <c r="AD551" s="76">
        <f t="shared" si="113"/>
        <v>103.8330408250409</v>
      </c>
      <c r="AE551" s="76">
        <f>MAX(0,(AD551-Constantes!$D$13)*(1-EXP(-Constantes!$D$23)))</f>
        <v>0.54274632100729558</v>
      </c>
      <c r="AF551" s="76">
        <f>AB551+O551*Escenarios!$E$13/Escenarios!$E$16+AE551</f>
        <v>0.54274632100729558</v>
      </c>
      <c r="AG551" s="76">
        <f>IF(Entradas!$E$91&gt;0,IF(AF551-Escenarios!$E$38&lt;=0,0,IF(AF551-Escenarios!$E$38&gt;Escenarios!$E$37,Escenarios!$E$37,AF551-Escenarios!$E$38)),0)</f>
        <v>0</v>
      </c>
      <c r="AH551" s="76">
        <f>AG551*Entradas!$E$99</f>
        <v>0</v>
      </c>
      <c r="AI551" s="76">
        <f>IF(Entradas!$E$91&gt;0,D551*Entradas!$D$23/Escenarios!$E$16,0)</f>
        <v>0</v>
      </c>
      <c r="AJ551" s="76">
        <f>IF(Entradas!$E$91&gt;0,Entradas!$D$24*Entradas!$D$22/Escenarios!$E$16,0)</f>
        <v>0</v>
      </c>
      <c r="AK551" s="76">
        <f t="shared" si="122"/>
        <v>1.6279771941982081E-4</v>
      </c>
      <c r="AL551" s="76">
        <f t="shared" si="123"/>
        <v>0</v>
      </c>
      <c r="AM551" s="76">
        <f t="shared" si="114"/>
        <v>0</v>
      </c>
      <c r="AN551" s="76">
        <f>MAX(0,O551*Escenarios!$E$13/Escenarios!$E$16-AM551)</f>
        <v>0</v>
      </c>
      <c r="AO551" s="76">
        <f>AM551+AN551-O551*Escenarios!$E$13/Escenarios!$E$16</f>
        <v>0</v>
      </c>
      <c r="AP551" s="76">
        <f t="shared" si="112"/>
        <v>0.54274632100729558</v>
      </c>
      <c r="AQ551" s="76">
        <f t="shared" si="115"/>
        <v>0</v>
      </c>
      <c r="AR551" s="76">
        <f t="shared" si="116"/>
        <v>0.54274632100729558</v>
      </c>
      <c r="AS551" s="76">
        <f t="shared" si="117"/>
        <v>0</v>
      </c>
      <c r="AT551" s="76">
        <f t="shared" si="118"/>
        <v>0</v>
      </c>
      <c r="AU551" s="76">
        <f t="shared" si="119"/>
        <v>48.75</v>
      </c>
      <c r="AV551" s="76">
        <f>MAX(0,(AU551-Constantes!$D$13)*(1-EXP(-Constantes!$D$24)))</f>
        <v>0</v>
      </c>
      <c r="AW551" s="170">
        <f>AW550+(Entradas!$E$112*AT551-AX550)/(800*Entradas!$D$25)</f>
        <v>0</v>
      </c>
      <c r="AX551" s="170">
        <f>8000*Entradas!$D$26*AW551/Constantes!$E$45</f>
        <v>0</v>
      </c>
      <c r="AY551" s="170">
        <f>IF(Escenarios!$E$17&gt;0,10*Escenarios!$E$16*AL551,0)</f>
        <v>0</v>
      </c>
      <c r="AZ551" s="170">
        <f>IF(Escenarios!$E$17&gt;0,10*Escenarios!$E$16*AX551,0)</f>
        <v>0</v>
      </c>
      <c r="BA551" s="170">
        <f>IF(Escenarios!$E$17&gt;0,0.001*Observaciones!$F550*Escenarios!$E$17,0)</f>
        <v>0</v>
      </c>
      <c r="BB551" s="170">
        <f>IF(Escenarios!$E$17&gt;0,Observaciones!$K550,0)</f>
        <v>0</v>
      </c>
      <c r="BC551" s="170">
        <f>IF(Escenarios!$E$17&gt;0,MIN(0.0005*ETo!$M550*Escenarios!$E$17*(BG550/Constantes!$E$40)^(2/3),BG550+AY551+AZ551+BA551+BB551),0)</f>
        <v>8.3458680004226586</v>
      </c>
      <c r="BD551" s="170">
        <f>IF(Escenarios!$E$17&gt;0,MIN(Constantes!$E$39*(BG550/Constantes!$E$40)^(2/3),BG550+AY551+AZ551+BA551+BB551-BC551),0)</f>
        <v>22.364349566330709</v>
      </c>
      <c r="BE551" s="170">
        <f>IF(Escenarios!$E$17&gt;0,MIN(Entradas!$E$113,BG550+AY551+AZ551+BA551+BB551-BC551-BD551),0)</f>
        <v>1</v>
      </c>
      <c r="BF551" s="170">
        <f>IF(Escenarios!$E$17&gt;0,MAX(0,BG550+AY551+AZ551+BA551+BB551-BC551-BD551-BE551-Constantes!$E$40),0)</f>
        <v>0</v>
      </c>
      <c r="BG551" s="170">
        <f t="shared" si="124"/>
        <v>953.67982250542445</v>
      </c>
      <c r="BH551" s="170">
        <f>(Escenarios!$E$16*AK551+0.1*BC551)/(Escenarios!$E$19)</f>
        <v>3.473358055147703E-3</v>
      </c>
      <c r="BI551" s="170">
        <f>IF(Escenarios!$E$17&gt;0,BF551/10/Escenarios!$E$19,AL551)</f>
        <v>0</v>
      </c>
      <c r="BJ551" s="170">
        <f>(Escenarios!$E$16*AT551+0.1*BD551)/(Escenarios!$E$19)</f>
        <v>8.8747418914010747E-3</v>
      </c>
      <c r="BK551" s="76">
        <f>BK550+(0.1*BD551)/(Escenarios!$E$19)-BL550</f>
        <v>50.464404977981609</v>
      </c>
      <c r="BL551" s="76">
        <f>MAX(0,(BK551-Constantes!$D$13)*(1-EXP(-Constantes!$D$23)))</f>
        <v>1.6892440587504925E-2</v>
      </c>
      <c r="BM551" s="76">
        <f t="shared" si="120"/>
        <v>0.55963876159480053</v>
      </c>
      <c r="BN551" s="76">
        <f t="shared" si="125"/>
        <v>0.55963876159480053</v>
      </c>
      <c r="BO551" s="76">
        <f>0.0526*BI551*Observaciones!$F550^1.218</f>
        <v>0</v>
      </c>
      <c r="BP551" s="76">
        <f>BO551*Constantes!$E$51</f>
        <v>0</v>
      </c>
      <c r="BQ551" s="76">
        <f t="shared" si="121"/>
        <v>0</v>
      </c>
      <c r="BR551" s="40"/>
    </row>
    <row r="552" spans="1:70">
      <c r="A552" s="147"/>
      <c r="B552" s="39"/>
      <c r="C552" s="75">
        <v>546</v>
      </c>
      <c r="D552" s="146">
        <f>ETo!$I551*((1-Constantes!$E$19)*ETo!$K551+ETo!$L551)</f>
        <v>2.4868535562423388</v>
      </c>
      <c r="E552" s="76">
        <f>MIN(D552*Constantes!$E$17,0.8*(N551+Observaciones!$F551-F552-M552-Constantes!$D$14))</f>
        <v>-1.0272893950985918E-2</v>
      </c>
      <c r="F552" s="76">
        <f>IF(Observaciones!$F551&gt;0.05*Constantes!$E$18,((Observaciones!$F551-0.05*Constantes!$E$18)^2)/(Observaciones!$F551+0.95*Constantes!$E$18),0)</f>
        <v>0</v>
      </c>
      <c r="G552" s="76">
        <f>IF(Escenarios!$E$11&gt;0,(F552*Escenarios!$E$16*10000)/1000,0)</f>
        <v>0</v>
      </c>
      <c r="H552" s="76">
        <f>IF(Escenarios!$E$11&gt;0,(Observaciones!$F551*Constantes!$E$29)/1000,0)</f>
        <v>0</v>
      </c>
      <c r="I552" s="76">
        <f>IF(Escenarios!$E$11&gt;0,(D552*Constantes!$E$29)/1000,0)</f>
        <v>24.868535562423389</v>
      </c>
      <c r="J552" s="76">
        <f>IF(Escenarios!$E$11&gt;0,MAX(0,G552+H552-I552),0)</f>
        <v>0</v>
      </c>
      <c r="K552" s="76">
        <f>IF(Escenarios!$E$11&gt;0,IF(J552&gt;Constantes!$E$30,1000*((J552-Constantes!$E$30)/(Escenarios!$E$16*10000)),0),F552)</f>
        <v>0</v>
      </c>
      <c r="L552" s="76">
        <f>IF(Escenarios!$E$11&gt;0,I552*1000/Escenarios!$E$16/10000+E552,E552)</f>
        <v>-3.2547972601656289E-4</v>
      </c>
      <c r="M552" s="76">
        <f>MAX(0,N551+Observaciones!$F551-K552-Constantes!$D$13)</f>
        <v>0</v>
      </c>
      <c r="N552" s="76">
        <f>N551+Observaciones!$F551-K552-L552-M552-O551</f>
        <v>11.237484362287285</v>
      </c>
      <c r="O552" s="76">
        <f>MAX(0,(N552-Constantes!$D$14)*(1-EXP(-Constantes!$D$22)))</f>
        <v>0</v>
      </c>
      <c r="P552" s="170">
        <f>P551+(Entradas!$E$83*M552-Q551)/(800*Entradas!$D$25)</f>
        <v>0</v>
      </c>
      <c r="Q552" s="170">
        <f>8000*Entradas!$D$26*P552/Constantes!$E$45</f>
        <v>0</v>
      </c>
      <c r="R552" s="170">
        <f>IF(Escenarios!$E$14&gt;0,K552*Escenarios!$E$13/Escenarios!$E$14,0)</f>
        <v>0</v>
      </c>
      <c r="S552" s="170">
        <f>IF(Escenarios!$E$14&gt;0,Q552*Escenarios!$E$13/Escenarios!$E$14,0)</f>
        <v>0</v>
      </c>
      <c r="T552" s="170">
        <f>IF(Escenarios!$E$14&gt;0,Observaciones!$I551,0)</f>
        <v>0</v>
      </c>
      <c r="U552" s="170">
        <f>IF(Escenarios!$E$14&gt;0,MAX(0,Constantes!$E$36/((Z551+R552+S552+T552+Observaciones!$F551)^2)+Entradas!$E$77),0)</f>
        <v>0</v>
      </c>
      <c r="V552" s="146">
        <f>IF(ETo!D551&gt;0,ETo!I551*((1-Entradas!$E$81)*ETo!K551+ETo!L551),0)</f>
        <v>2.2359238638755503</v>
      </c>
      <c r="W552" s="170">
        <f>IF(Escenarios!$E$14&gt;0,MIN(V552*1,0.8*(Z551+R552+S552+T552+Observaciones!$F551-U552-Constantes!$E$35)),0)</f>
        <v>2.8421709430404007E-14</v>
      </c>
      <c r="X552" s="170">
        <f>IF(Escenarios!$E$14&gt;0,Observaciones!$J551,0)</f>
        <v>0</v>
      </c>
      <c r="Y552" s="170">
        <f>IF(Escenarios!$E$14&gt;0,MAX(0,Z551+R552+S552+T552+Observaciones!$F551-U552-W552-X552-Constantes!$E$33),0)</f>
        <v>0</v>
      </c>
      <c r="Z552" s="170">
        <f>Z551+R552+S552+T552+Observaciones!$F551-U552-W552-Y552</f>
        <v>41.250000000000007</v>
      </c>
      <c r="AA552" s="170">
        <f>IF(Escenarios!$E$14&gt;0,(Escenarios!$E$13*L552+Escenarios!$E$14*W552)/(Escenarios!$E$16),L552)</f>
        <v>-2.8642215889116475E-4</v>
      </c>
      <c r="AB552" s="170">
        <f>IF(Escenarios!$E$14&gt;0,(Escenarios!$E$14*Y552)/(Escenarios!$E$16),K552)</f>
        <v>0</v>
      </c>
      <c r="AC552" s="170">
        <f>IF(Escenarios!$E$14&gt;0,(Escenarios!$E$13*M552+Escenarios!$E$14*U552)/(Escenarios!$E$16),M552)</f>
        <v>0</v>
      </c>
      <c r="AD552" s="76">
        <f t="shared" si="113"/>
        <v>103.2902945040336</v>
      </c>
      <c r="AE552" s="76">
        <f>MAX(0,(AD552-Constantes!$D$13)*(1-EXP(-Constantes!$D$23)))</f>
        <v>0.53739851223430857</v>
      </c>
      <c r="AF552" s="76">
        <f>AB552+O552*Escenarios!$E$13/Escenarios!$E$16+AE552</f>
        <v>0.53739851223430857</v>
      </c>
      <c r="AG552" s="76">
        <f>IF(Entradas!$E$91&gt;0,IF(AF552-Escenarios!$E$38&lt;=0,0,IF(AF552-Escenarios!$E$38&gt;Escenarios!$E$37,Escenarios!$E$37,AF552-Escenarios!$E$38)),0)</f>
        <v>0</v>
      </c>
      <c r="AH552" s="76">
        <f>AG552*Entradas!$E$99</f>
        <v>0</v>
      </c>
      <c r="AI552" s="76">
        <f>IF(Entradas!$E$91&gt;0,D552*Entradas!$D$23/Escenarios!$E$16,0)</f>
        <v>0</v>
      </c>
      <c r="AJ552" s="76">
        <f>IF(Entradas!$E$91&gt;0,Entradas!$D$24*Entradas!$D$22/Escenarios!$E$16,0)</f>
        <v>0</v>
      </c>
      <c r="AK552" s="76">
        <f t="shared" si="122"/>
        <v>-2.8642215889116475E-4</v>
      </c>
      <c r="AL552" s="76">
        <f t="shared" si="123"/>
        <v>0</v>
      </c>
      <c r="AM552" s="76">
        <f t="shared" si="114"/>
        <v>0</v>
      </c>
      <c r="AN552" s="76">
        <f>MAX(0,O552*Escenarios!$E$13/Escenarios!$E$16-AM552)</f>
        <v>0</v>
      </c>
      <c r="AO552" s="76">
        <f>AM552+AN552-O552*Escenarios!$E$13/Escenarios!$E$16</f>
        <v>0</v>
      </c>
      <c r="AP552" s="76">
        <f t="shared" si="112"/>
        <v>0.53739851223430857</v>
      </c>
      <c r="AQ552" s="76">
        <f t="shared" si="115"/>
        <v>0</v>
      </c>
      <c r="AR552" s="76">
        <f t="shared" si="116"/>
        <v>0.53739851223430857</v>
      </c>
      <c r="AS552" s="76">
        <f t="shared" si="117"/>
        <v>0</v>
      </c>
      <c r="AT552" s="76">
        <f t="shared" si="118"/>
        <v>0</v>
      </c>
      <c r="AU552" s="76">
        <f t="shared" si="119"/>
        <v>48.75</v>
      </c>
      <c r="AV552" s="76">
        <f>MAX(0,(AU552-Constantes!$D$13)*(1-EXP(-Constantes!$D$24)))</f>
        <v>0</v>
      </c>
      <c r="AW552" s="170">
        <f>AW551+(Entradas!$E$112*AT552-AX551)/(800*Entradas!$D$25)</f>
        <v>0</v>
      </c>
      <c r="AX552" s="170">
        <f>8000*Entradas!$D$26*AW552/Constantes!$E$45</f>
        <v>0</v>
      </c>
      <c r="AY552" s="170">
        <f>IF(Escenarios!$E$17&gt;0,10*Escenarios!$E$16*AL552,0)</f>
        <v>0</v>
      </c>
      <c r="AZ552" s="170">
        <f>IF(Escenarios!$E$17&gt;0,10*Escenarios!$E$16*AX552,0)</f>
        <v>0</v>
      </c>
      <c r="BA552" s="170">
        <f>IF(Escenarios!$E$17&gt;0,0.001*Observaciones!$F551*Escenarios!$E$17,0)</f>
        <v>0</v>
      </c>
      <c r="BB552" s="170">
        <f>IF(Escenarios!$E$17&gt;0,Observaciones!$K551,0)</f>
        <v>0</v>
      </c>
      <c r="BC552" s="170">
        <f>IF(Escenarios!$E$17&gt;0,MIN(0.0005*ETo!$M551*Escenarios!$E$17*(BG551/Constantes!$E$40)^(2/3),BG551+AY552+AZ552+BA552+BB552),0)</f>
        <v>7.8821462528314994</v>
      </c>
      <c r="BD552" s="170">
        <f>IF(Escenarios!$E$17&gt;0,MIN(Constantes!$E$39*(BG551/Constantes!$E$40)^(2/3),BG551+AY552+AZ552+BA552+BB552-BC552),0)</f>
        <v>21.881943338168913</v>
      </c>
      <c r="BE552" s="170">
        <f>IF(Escenarios!$E$17&gt;0,MIN(Entradas!$E$113,BG551+AY552+AZ552+BA552+BB552-BC552-BD552),0)</f>
        <v>1</v>
      </c>
      <c r="BF552" s="170">
        <f>IF(Escenarios!$E$17&gt;0,MAX(0,BG551+AY552+AZ552+BA552+BB552-BC552-BD552-BE552-Constantes!$E$40),0)</f>
        <v>0</v>
      </c>
      <c r="BG552" s="170">
        <f t="shared" si="124"/>
        <v>922.9157329144241</v>
      </c>
      <c r="BH552" s="170">
        <f>(Escenarios!$E$16*AK552+0.1*BC552)/(Escenarios!$E$19)</f>
        <v>2.8436868474617416E-3</v>
      </c>
      <c r="BI552" s="170">
        <f>IF(Escenarios!$E$17&gt;0,BF552/10/Escenarios!$E$19,AL552)</f>
        <v>0</v>
      </c>
      <c r="BJ552" s="170">
        <f>(Escenarios!$E$16*AT552+0.1*BD552)/(Escenarios!$E$19)</f>
        <v>8.6833108484797271E-3</v>
      </c>
      <c r="BK552" s="76">
        <f>BK551+(0.1*BD552)/(Escenarios!$E$19)-BL551</f>
        <v>50.456195848242587</v>
      </c>
      <c r="BL552" s="76">
        <f>MAX(0,(BK552-Constantes!$D$13)*(1-EXP(-Constantes!$D$23)))</f>
        <v>1.681155407692397E-2</v>
      </c>
      <c r="BM552" s="76">
        <f t="shared" si="120"/>
        <v>0.55421006631123249</v>
      </c>
      <c r="BN552" s="76">
        <f t="shared" si="125"/>
        <v>0.55421006631123249</v>
      </c>
      <c r="BO552" s="76">
        <f>0.0526*BI552*Observaciones!$F551^1.218</f>
        <v>0</v>
      </c>
      <c r="BP552" s="76">
        <f>BO552*Constantes!$E$51</f>
        <v>0</v>
      </c>
      <c r="BQ552" s="76">
        <f t="shared" si="121"/>
        <v>0</v>
      </c>
      <c r="BR552" s="40"/>
    </row>
    <row r="553" spans="1:70">
      <c r="A553" s="147"/>
      <c r="B553" s="39"/>
      <c r="C553" s="75">
        <v>547</v>
      </c>
      <c r="D553" s="146">
        <f>ETo!$I552*((1-Constantes!$E$19)*ETo!$K552+ETo!$L552)</f>
        <v>2.5493317568706857</v>
      </c>
      <c r="E553" s="76">
        <f>MIN(D553*Constantes!$E$17,0.8*(N552+Observaciones!$F552-F553-M553-Constantes!$D$14))</f>
        <v>-1.0012510170172108E-2</v>
      </c>
      <c r="F553" s="76">
        <f>IF(Observaciones!$F552&gt;0.05*Constantes!$E$18,((Observaciones!$F552-0.05*Constantes!$E$18)^2)/(Observaciones!$F552+0.95*Constantes!$E$18),0)</f>
        <v>0</v>
      </c>
      <c r="G553" s="76">
        <f>IF(Escenarios!$E$11&gt;0,(F553*Escenarios!$E$16*10000)/1000,0)</f>
        <v>0</v>
      </c>
      <c r="H553" s="76">
        <f>IF(Escenarios!$E$11&gt;0,(Observaciones!$F552*Constantes!$E$29)/1000,0)</f>
        <v>0</v>
      </c>
      <c r="I553" s="76">
        <f>IF(Escenarios!$E$11&gt;0,(D553*Constantes!$E$29)/1000,0)</f>
        <v>25.493317568706857</v>
      </c>
      <c r="J553" s="76">
        <f>IF(Escenarios!$E$11&gt;0,MAX(0,G553+H553-I553),0)</f>
        <v>0</v>
      </c>
      <c r="K553" s="76">
        <f>IF(Escenarios!$E$11&gt;0,IF(J553&gt;Constantes!$E$30,1000*((J553-Constantes!$E$30)/(Escenarios!$E$16*10000)),0),F553)</f>
        <v>0</v>
      </c>
      <c r="L553" s="76">
        <f>IF(Escenarios!$E$11&gt;0,I553*1000/Escenarios!$E$16/10000+E553,E553)</f>
        <v>1.8481685731063478E-4</v>
      </c>
      <c r="M553" s="76">
        <f>MAX(0,N552+Observaciones!$F552-K553-Constantes!$D$13)</f>
        <v>0</v>
      </c>
      <c r="N553" s="76">
        <f>N552+Observaciones!$F552-K553-L553-M553-O552</f>
        <v>11.237299545429975</v>
      </c>
      <c r="O553" s="76">
        <f>MAX(0,(N553-Constantes!$D$14)*(1-EXP(-Constantes!$D$22)))</f>
        <v>0</v>
      </c>
      <c r="P553" s="170">
        <f>P552+(Entradas!$E$83*M553-Q552)/(800*Entradas!$D$25)</f>
        <v>0</v>
      </c>
      <c r="Q553" s="170">
        <f>8000*Entradas!$D$26*P553/Constantes!$E$45</f>
        <v>0</v>
      </c>
      <c r="R553" s="170">
        <f>IF(Escenarios!$E$14&gt;0,K553*Escenarios!$E$13/Escenarios!$E$14,0)</f>
        <v>0</v>
      </c>
      <c r="S553" s="170">
        <f>IF(Escenarios!$E$14&gt;0,Q553*Escenarios!$E$13/Escenarios!$E$14,0)</f>
        <v>0</v>
      </c>
      <c r="T553" s="170">
        <f>IF(Escenarios!$E$14&gt;0,Observaciones!$I552,0)</f>
        <v>0</v>
      </c>
      <c r="U553" s="170">
        <f>IF(Escenarios!$E$14&gt;0,MAX(0,Constantes!$E$36/((Z552+R553+S553+T553+Observaciones!$F552)^2)+Entradas!$E$77),0)</f>
        <v>0</v>
      </c>
      <c r="V553" s="146">
        <f>IF(ETo!D552&gt;0,ETo!I552*((1-Entradas!$E$81)*ETo!K552+ETo!L552),0)</f>
        <v>2.2927785061136965</v>
      </c>
      <c r="W553" s="170">
        <f>IF(Escenarios!$E$14&gt;0,MIN(V553*1,0.8*(Z552+R553+S553+T553+Observaciones!$F552-U553-Constantes!$E$35)),0)</f>
        <v>5.6843418860808018E-15</v>
      </c>
      <c r="X553" s="170">
        <f>IF(Escenarios!$E$14&gt;0,Observaciones!$J552,0)</f>
        <v>0</v>
      </c>
      <c r="Y553" s="170">
        <f>IF(Escenarios!$E$14&gt;0,MAX(0,Z552+R553+S553+T553+Observaciones!$F552-U553-W553-X553-Constantes!$E$33),0)</f>
        <v>0</v>
      </c>
      <c r="Z553" s="170">
        <f>Z552+R553+S553+T553+Observaciones!$F552-U553-W553-Y553</f>
        <v>41.25</v>
      </c>
      <c r="AA553" s="170">
        <f>IF(Escenarios!$E$14&gt;0,(Escenarios!$E$13*L553+Escenarios!$E$14*W553)/(Escenarios!$E$16),L553)</f>
        <v>1.6263883443404074E-4</v>
      </c>
      <c r="AB553" s="170">
        <f>IF(Escenarios!$E$14&gt;0,(Escenarios!$E$14*Y553)/(Escenarios!$E$16),K553)</f>
        <v>0</v>
      </c>
      <c r="AC553" s="170">
        <f>IF(Escenarios!$E$14&gt;0,(Escenarios!$E$13*M553+Escenarios!$E$14*U553)/(Escenarios!$E$16),M553)</f>
        <v>0</v>
      </c>
      <c r="AD553" s="76">
        <f t="shared" si="113"/>
        <v>102.75289599179929</v>
      </c>
      <c r="AE553" s="76">
        <f>MAX(0,(AD553-Constantes!$D$13)*(1-EXP(-Constantes!$D$23)))</f>
        <v>0.53210339669491069</v>
      </c>
      <c r="AF553" s="76">
        <f>AB553+O553*Escenarios!$E$13/Escenarios!$E$16+AE553</f>
        <v>0.53210339669491069</v>
      </c>
      <c r="AG553" s="76">
        <f>IF(Entradas!$E$91&gt;0,IF(AF553-Escenarios!$E$38&lt;=0,0,IF(AF553-Escenarios!$E$38&gt;Escenarios!$E$37,Escenarios!$E$37,AF553-Escenarios!$E$38)),0)</f>
        <v>0</v>
      </c>
      <c r="AH553" s="76">
        <f>AG553*Entradas!$E$99</f>
        <v>0</v>
      </c>
      <c r="AI553" s="76">
        <f>IF(Entradas!$E$91&gt;0,D553*Entradas!$D$23/Escenarios!$E$16,0)</f>
        <v>0</v>
      </c>
      <c r="AJ553" s="76">
        <f>IF(Entradas!$E$91&gt;0,Entradas!$D$24*Entradas!$D$22/Escenarios!$E$16,0)</f>
        <v>0</v>
      </c>
      <c r="AK553" s="76">
        <f t="shared" si="122"/>
        <v>1.6263883443404074E-4</v>
      </c>
      <c r="AL553" s="76">
        <f t="shared" si="123"/>
        <v>0</v>
      </c>
      <c r="AM553" s="76">
        <f t="shared" si="114"/>
        <v>0</v>
      </c>
      <c r="AN553" s="76">
        <f>MAX(0,O553*Escenarios!$E$13/Escenarios!$E$16-AM553)</f>
        <v>0</v>
      </c>
      <c r="AO553" s="76">
        <f>AM553+AN553-O553*Escenarios!$E$13/Escenarios!$E$16</f>
        <v>0</v>
      </c>
      <c r="AP553" s="76">
        <f t="shared" si="112"/>
        <v>0.53210339669491069</v>
      </c>
      <c r="AQ553" s="76">
        <f t="shared" si="115"/>
        <v>0</v>
      </c>
      <c r="AR553" s="76">
        <f t="shared" si="116"/>
        <v>0.53210339669491069</v>
      </c>
      <c r="AS553" s="76">
        <f t="shared" si="117"/>
        <v>0</v>
      </c>
      <c r="AT553" s="76">
        <f t="shared" si="118"/>
        <v>0</v>
      </c>
      <c r="AU553" s="76">
        <f t="shared" si="119"/>
        <v>48.75</v>
      </c>
      <c r="AV553" s="76">
        <f>MAX(0,(AU553-Constantes!$D$13)*(1-EXP(-Constantes!$D$24)))</f>
        <v>0</v>
      </c>
      <c r="AW553" s="170">
        <f>AW552+(Entradas!$E$112*AT553-AX552)/(800*Entradas!$D$25)</f>
        <v>0</v>
      </c>
      <c r="AX553" s="170">
        <f>8000*Entradas!$D$26*AW553/Constantes!$E$45</f>
        <v>0</v>
      </c>
      <c r="AY553" s="170">
        <f>IF(Escenarios!$E$17&gt;0,10*Escenarios!$E$16*AL553,0)</f>
        <v>0</v>
      </c>
      <c r="AZ553" s="170">
        <f>IF(Escenarios!$E$17&gt;0,10*Escenarios!$E$16*AX553,0)</f>
        <v>0</v>
      </c>
      <c r="BA553" s="170">
        <f>IF(Escenarios!$E$17&gt;0,0.001*Observaciones!$F552*Escenarios!$E$17,0)</f>
        <v>0</v>
      </c>
      <c r="BB553" s="170">
        <f>IF(Escenarios!$E$17&gt;0,Observaciones!$K552,0)</f>
        <v>0</v>
      </c>
      <c r="BC553" s="170">
        <f>IF(Escenarios!$E$17&gt;0,MIN(0.0005*ETo!$M552*Escenarios!$E$17*(BG552/Constantes!$E$40)^(2/3),BG552+AY553+AZ553+BA553+BB553),0)</f>
        <v>7.9025900489590262</v>
      </c>
      <c r="BD553" s="170">
        <f>IF(Escenarios!$E$17&gt;0,MIN(Constantes!$E$39*(BG552/Constantes!$E$40)^(2/3),BG552+AY553+AZ553+BA553+BB553-BC553),0)</f>
        <v>21.408793475226467</v>
      </c>
      <c r="BE553" s="170">
        <f>IF(Escenarios!$E$17&gt;0,MIN(Entradas!$E$113,BG552+AY553+AZ553+BA553+BB553-BC553-BD553),0)</f>
        <v>1</v>
      </c>
      <c r="BF553" s="170">
        <f>IF(Escenarios!$E$17&gt;0,MAX(0,BG552+AY553+AZ553+BA553+BB553-BC553-BD553-BE553-Constantes!$E$40),0)</f>
        <v>0</v>
      </c>
      <c r="BG553" s="170">
        <f t="shared" si="124"/>
        <v>892.60434939023855</v>
      </c>
      <c r="BH553" s="170">
        <f>(Escenarios!$E$16*AK553+0.1*BC553)/(Escenarios!$E$19)</f>
        <v>3.2972964821603684E-3</v>
      </c>
      <c r="BI553" s="170">
        <f>IF(Escenarios!$E$17&gt;0,BF553/10/Escenarios!$E$19,AL553)</f>
        <v>0</v>
      </c>
      <c r="BJ553" s="170">
        <f>(Escenarios!$E$16*AT553+0.1*BD553)/(Escenarios!$E$19)</f>
        <v>8.4955529663597092E-3</v>
      </c>
      <c r="BK553" s="76">
        <f>BK552+(0.1*BD553)/(Escenarios!$E$19)-BL552</f>
        <v>50.447879847132022</v>
      </c>
      <c r="BL553" s="76">
        <f>MAX(0,(BK553-Constantes!$D$13)*(1-EXP(-Constantes!$D$23)))</f>
        <v>1.6729614537264431E-2</v>
      </c>
      <c r="BM553" s="76">
        <f t="shared" si="120"/>
        <v>0.54883301123217509</v>
      </c>
      <c r="BN553" s="76">
        <f t="shared" si="125"/>
        <v>0.54883301123217509</v>
      </c>
      <c r="BO553" s="76">
        <f>0.0526*BI553*Observaciones!$F552^1.218</f>
        <v>0</v>
      </c>
      <c r="BP553" s="76">
        <f>BO553*Constantes!$E$51</f>
        <v>0</v>
      </c>
      <c r="BQ553" s="76">
        <f t="shared" si="121"/>
        <v>0</v>
      </c>
      <c r="BR553" s="40"/>
    </row>
    <row r="554" spans="1:70">
      <c r="A554" s="147"/>
      <c r="B554" s="39"/>
      <c r="C554" s="75">
        <v>548</v>
      </c>
      <c r="D554" s="146">
        <f>ETo!$I553*((1-Constantes!$E$19)*ETo!$K553+ETo!$L553)</f>
        <v>2.5625168878154962</v>
      </c>
      <c r="E554" s="76">
        <f>MIN(D554*Constantes!$E$17,0.8*(N553+Observaciones!$F553-F554-M554-Constantes!$D$14))</f>
        <v>-1.0160363656019911E-2</v>
      </c>
      <c r="F554" s="76">
        <f>IF(Observaciones!$F553&gt;0.05*Constantes!$E$18,((Observaciones!$F553-0.05*Constantes!$E$18)^2)/(Observaciones!$F553+0.95*Constantes!$E$18),0)</f>
        <v>0</v>
      </c>
      <c r="G554" s="76">
        <f>IF(Escenarios!$E$11&gt;0,(F554*Escenarios!$E$16*10000)/1000,0)</f>
        <v>0</v>
      </c>
      <c r="H554" s="76">
        <f>IF(Escenarios!$E$11&gt;0,(Observaciones!$F553*Constantes!$E$29)/1000,0)</f>
        <v>0</v>
      </c>
      <c r="I554" s="76">
        <f>IF(Escenarios!$E$11&gt;0,(D554*Constantes!$E$29)/1000,0)</f>
        <v>25.625168878154962</v>
      </c>
      <c r="J554" s="76">
        <f>IF(Escenarios!$E$11&gt;0,MAX(0,G554+H554-I554),0)</f>
        <v>0</v>
      </c>
      <c r="K554" s="76">
        <f>IF(Escenarios!$E$11&gt;0,IF(J554&gt;Constantes!$E$30,1000*((J554-Constantes!$E$30)/(Escenarios!$E$16*10000)),0),F554)</f>
        <v>0</v>
      </c>
      <c r="L554" s="76">
        <f>IF(Escenarios!$E$11&gt;0,I554*1000/Escenarios!$E$16/10000+E554,E554)</f>
        <v>8.9703895242074921E-5</v>
      </c>
      <c r="M554" s="76">
        <f>MAX(0,N553+Observaciones!$F553-K554-Constantes!$D$13)</f>
        <v>0</v>
      </c>
      <c r="N554" s="76">
        <f>N553+Observaciones!$F553-K554-L554-M554-O553</f>
        <v>11.237209841534733</v>
      </c>
      <c r="O554" s="76">
        <f>MAX(0,(N554-Constantes!$D$14)*(1-EXP(-Constantes!$D$22)))</f>
        <v>0</v>
      </c>
      <c r="P554" s="170">
        <f>P553+(Entradas!$E$83*M554-Q553)/(800*Entradas!$D$25)</f>
        <v>0</v>
      </c>
      <c r="Q554" s="170">
        <f>8000*Entradas!$D$26*P554/Constantes!$E$45</f>
        <v>0</v>
      </c>
      <c r="R554" s="170">
        <f>IF(Escenarios!$E$14&gt;0,K554*Escenarios!$E$13/Escenarios!$E$14,0)</f>
        <v>0</v>
      </c>
      <c r="S554" s="170">
        <f>IF(Escenarios!$E$14&gt;0,Q554*Escenarios!$E$13/Escenarios!$E$14,0)</f>
        <v>0</v>
      </c>
      <c r="T554" s="170">
        <f>IF(Escenarios!$E$14&gt;0,Observaciones!$I553,0)</f>
        <v>0</v>
      </c>
      <c r="U554" s="170">
        <f>IF(Escenarios!$E$14&gt;0,MAX(0,Constantes!$E$36/((Z553+R554+S554+T554+Observaciones!$F553)^2)+Entradas!$E$77),0)</f>
        <v>0</v>
      </c>
      <c r="V554" s="146">
        <f>IF(ETo!D553&gt;0,ETo!I553*((1-Entradas!$E$81)*ETo!K553+ETo!L553),0)</f>
        <v>2.3048911349799379</v>
      </c>
      <c r="W554" s="170">
        <f>IF(Escenarios!$E$14&gt;0,MIN(V554*1,0.8*(Z553+R554+S554+T554+Observaciones!$F553-U554-Constantes!$E$35)),0)</f>
        <v>0</v>
      </c>
      <c r="X554" s="170">
        <f>IF(Escenarios!$E$14&gt;0,Observaciones!$J553,0)</f>
        <v>0</v>
      </c>
      <c r="Y554" s="170">
        <f>IF(Escenarios!$E$14&gt;0,MAX(0,Z553+R554+S554+T554+Observaciones!$F553-U554-W554-X554-Constantes!$E$33),0)</f>
        <v>0</v>
      </c>
      <c r="Z554" s="170">
        <f>Z553+R554+S554+T554+Observaciones!$F553-U554-W554-Y554</f>
        <v>41.25</v>
      </c>
      <c r="AA554" s="170">
        <f>IF(Escenarios!$E$14&gt;0,(Escenarios!$E$13*L554+Escenarios!$E$14*W554)/(Escenarios!$E$16),L554)</f>
        <v>7.8939427813025929E-5</v>
      </c>
      <c r="AB554" s="170">
        <f>IF(Escenarios!$E$14&gt;0,(Escenarios!$E$14*Y554)/(Escenarios!$E$16),K554)</f>
        <v>0</v>
      </c>
      <c r="AC554" s="170">
        <f>IF(Escenarios!$E$14&gt;0,(Escenarios!$E$13*M554+Escenarios!$E$14*U554)/(Escenarios!$E$16),M554)</f>
        <v>0</v>
      </c>
      <c r="AD554" s="76">
        <f t="shared" si="113"/>
        <v>102.22079259510438</v>
      </c>
      <c r="AE554" s="76">
        <f>MAX(0,(AD554-Constantes!$D$13)*(1-EXP(-Constantes!$D$23)))</f>
        <v>0.5268604551901207</v>
      </c>
      <c r="AF554" s="76">
        <f>AB554+O554*Escenarios!$E$13/Escenarios!$E$16+AE554</f>
        <v>0.5268604551901207</v>
      </c>
      <c r="AG554" s="76">
        <f>IF(Entradas!$E$91&gt;0,IF(AF554-Escenarios!$E$38&lt;=0,0,IF(AF554-Escenarios!$E$38&gt;Escenarios!$E$37,Escenarios!$E$37,AF554-Escenarios!$E$38)),0)</f>
        <v>0</v>
      </c>
      <c r="AH554" s="76">
        <f>AG554*Entradas!$E$99</f>
        <v>0</v>
      </c>
      <c r="AI554" s="76">
        <f>IF(Entradas!$E$91&gt;0,D554*Entradas!$D$23/Escenarios!$E$16,0)</f>
        <v>0</v>
      </c>
      <c r="AJ554" s="76">
        <f>IF(Entradas!$E$91&gt;0,Entradas!$D$24*Entradas!$D$22/Escenarios!$E$16,0)</f>
        <v>0</v>
      </c>
      <c r="AK554" s="76">
        <f t="shared" si="122"/>
        <v>7.8939427813025929E-5</v>
      </c>
      <c r="AL554" s="76">
        <f t="shared" si="123"/>
        <v>0</v>
      </c>
      <c r="AM554" s="76">
        <f t="shared" si="114"/>
        <v>0</v>
      </c>
      <c r="AN554" s="76">
        <f>MAX(0,O554*Escenarios!$E$13/Escenarios!$E$16-AM554)</f>
        <v>0</v>
      </c>
      <c r="AO554" s="76">
        <f>AM554+AN554-O554*Escenarios!$E$13/Escenarios!$E$16</f>
        <v>0</v>
      </c>
      <c r="AP554" s="76">
        <f t="shared" si="112"/>
        <v>0.5268604551901207</v>
      </c>
      <c r="AQ554" s="76">
        <f t="shared" si="115"/>
        <v>0</v>
      </c>
      <c r="AR554" s="76">
        <f t="shared" si="116"/>
        <v>0.5268604551901207</v>
      </c>
      <c r="AS554" s="76">
        <f t="shared" si="117"/>
        <v>0</v>
      </c>
      <c r="AT554" s="76">
        <f t="shared" si="118"/>
        <v>0</v>
      </c>
      <c r="AU554" s="76">
        <f t="shared" si="119"/>
        <v>48.75</v>
      </c>
      <c r="AV554" s="76">
        <f>MAX(0,(AU554-Constantes!$D$13)*(1-EXP(-Constantes!$D$24)))</f>
        <v>0</v>
      </c>
      <c r="AW554" s="170">
        <f>AW553+(Entradas!$E$112*AT554-AX553)/(800*Entradas!$D$25)</f>
        <v>0</v>
      </c>
      <c r="AX554" s="170">
        <f>8000*Entradas!$D$26*AW554/Constantes!$E$45</f>
        <v>0</v>
      </c>
      <c r="AY554" s="170">
        <f>IF(Escenarios!$E$17&gt;0,10*Escenarios!$E$16*AL554,0)</f>
        <v>0</v>
      </c>
      <c r="AZ554" s="170">
        <f>IF(Escenarios!$E$17&gt;0,10*Escenarios!$E$16*AX554,0)</f>
        <v>0</v>
      </c>
      <c r="BA554" s="170">
        <f>IF(Escenarios!$E$17&gt;0,0.001*Observaciones!$F553*Escenarios!$E$17,0)</f>
        <v>0</v>
      </c>
      <c r="BB554" s="170">
        <f>IF(Escenarios!$E$17&gt;0,Observaciones!$K553,0)</f>
        <v>0</v>
      </c>
      <c r="BC554" s="170">
        <f>IF(Escenarios!$E$17&gt;0,MIN(0.0005*ETo!$M553*Escenarios!$E$17*(BG553/Constantes!$E$40)^(2/3),BG553+AY554+AZ554+BA554+BB554),0)</f>
        <v>7.7675232561692811</v>
      </c>
      <c r="BD554" s="170">
        <f>IF(Escenarios!$E$17&gt;0,MIN(Constantes!$E$39*(BG553/Constantes!$E$40)^(2/3),BG553+AY554+AZ554+BA554+BB554-BC554),0)</f>
        <v>20.937435773180837</v>
      </c>
      <c r="BE554" s="170">
        <f>IF(Escenarios!$E$17&gt;0,MIN(Entradas!$E$113,BG553+AY554+AZ554+BA554+BB554-BC554-BD554),0)</f>
        <v>1</v>
      </c>
      <c r="BF554" s="170">
        <f>IF(Escenarios!$E$17&gt;0,MAX(0,BG553+AY554+AZ554+BA554+BB554-BC554-BD554-BE554-Constantes!$E$40),0)</f>
        <v>0</v>
      </c>
      <c r="BG554" s="170">
        <f t="shared" si="124"/>
        <v>862.89939036088845</v>
      </c>
      <c r="BH554" s="170">
        <f>(Escenarios!$E$16*AK554+0.1*BC554)/(Escenarios!$E$19)</f>
        <v>3.1606634228975583E-3</v>
      </c>
      <c r="BI554" s="170">
        <f>IF(Escenarios!$E$17&gt;0,BF554/10/Escenarios!$E$19,AL554)</f>
        <v>0</v>
      </c>
      <c r="BJ554" s="170">
        <f>(Escenarios!$E$16*AT554+0.1*BD554)/(Escenarios!$E$19)</f>
        <v>8.308506259198746E-3</v>
      </c>
      <c r="BK554" s="76">
        <f>BK553+(0.1*BD554)/(Escenarios!$E$19)-BL553</f>
        <v>50.439458738853958</v>
      </c>
      <c r="BL554" s="76">
        <f>MAX(0,(BK554-Constantes!$D$13)*(1-EXP(-Constantes!$D$23)))</f>
        <v>1.664663935164894E-2</v>
      </c>
      <c r="BM554" s="76">
        <f t="shared" si="120"/>
        <v>0.5435070945417696</v>
      </c>
      <c r="BN554" s="76">
        <f t="shared" si="125"/>
        <v>0.5435070945417696</v>
      </c>
      <c r="BO554" s="76">
        <f>0.0526*BI554*Observaciones!$F553^1.218</f>
        <v>0</v>
      </c>
      <c r="BP554" s="76">
        <f>BO554*Constantes!$E$51</f>
        <v>0</v>
      </c>
      <c r="BQ554" s="76">
        <f t="shared" si="121"/>
        <v>0</v>
      </c>
      <c r="BR554" s="40"/>
    </row>
    <row r="555" spans="1:70">
      <c r="A555" s="147"/>
      <c r="B555" s="39"/>
      <c r="C555" s="75">
        <v>549</v>
      </c>
      <c r="D555" s="146">
        <f>ETo!$I554*((1-Constantes!$E$19)*ETo!$K554+ETo!$L554)</f>
        <v>2.5142072506008422</v>
      </c>
      <c r="E555" s="76">
        <f>MIN(D555*Constantes!$E$17,0.8*(N554+Observaciones!$F554-F555-M555-Constantes!$D$14))</f>
        <v>-1.0232126772213235E-2</v>
      </c>
      <c r="F555" s="76">
        <f>IF(Observaciones!$F554&gt;0.05*Constantes!$E$18,((Observaciones!$F554-0.05*Constantes!$E$18)^2)/(Observaciones!$F554+0.95*Constantes!$E$18),0)</f>
        <v>0</v>
      </c>
      <c r="G555" s="76">
        <f>IF(Escenarios!$E$11&gt;0,(F555*Escenarios!$E$16*10000)/1000,0)</f>
        <v>0</v>
      </c>
      <c r="H555" s="76">
        <f>IF(Escenarios!$E$11&gt;0,(Observaciones!$F554*Constantes!$E$29)/1000,0)</f>
        <v>0</v>
      </c>
      <c r="I555" s="76">
        <f>IF(Escenarios!$E$11&gt;0,(D555*Constantes!$E$29)/1000,0)</f>
        <v>25.142072506008422</v>
      </c>
      <c r="J555" s="76">
        <f>IF(Escenarios!$E$11&gt;0,MAX(0,G555+H555-I555),0)</f>
        <v>0</v>
      </c>
      <c r="K555" s="76">
        <f>IF(Escenarios!$E$11&gt;0,IF(J555&gt;Constantes!$E$30,1000*((J555-Constantes!$E$30)/(Escenarios!$E$16*10000)),0),F555)</f>
        <v>0</v>
      </c>
      <c r="L555" s="76">
        <f>IF(Escenarios!$E$11&gt;0,I555*1000/Escenarios!$E$16/10000+E555,E555)</f>
        <v>-1.752977698098665E-4</v>
      </c>
      <c r="M555" s="76">
        <f>MAX(0,N554+Observaciones!$F554-K555-Constantes!$D$13)</f>
        <v>0</v>
      </c>
      <c r="N555" s="76">
        <f>N554+Observaciones!$F554-K555-L555-M555-O554</f>
        <v>11.237385139304543</v>
      </c>
      <c r="O555" s="76">
        <f>MAX(0,(N555-Constantes!$D$14)*(1-EXP(-Constantes!$D$22)))</f>
        <v>0</v>
      </c>
      <c r="P555" s="170">
        <f>P554+(Entradas!$E$83*M555-Q554)/(800*Entradas!$D$25)</f>
        <v>0</v>
      </c>
      <c r="Q555" s="170">
        <f>8000*Entradas!$D$26*P555/Constantes!$E$45</f>
        <v>0</v>
      </c>
      <c r="R555" s="170">
        <f>IF(Escenarios!$E$14&gt;0,K555*Escenarios!$E$13/Escenarios!$E$14,0)</f>
        <v>0</v>
      </c>
      <c r="S555" s="170">
        <f>IF(Escenarios!$E$14&gt;0,Q555*Escenarios!$E$13/Escenarios!$E$14,0)</f>
        <v>0</v>
      </c>
      <c r="T555" s="170">
        <f>IF(Escenarios!$E$14&gt;0,Observaciones!$I554,0)</f>
        <v>0</v>
      </c>
      <c r="U555" s="170">
        <f>IF(Escenarios!$E$14&gt;0,MAX(0,Constantes!$E$36/((Z554+R555+S555+T555+Observaciones!$F554)^2)+Entradas!$E$77),0)</f>
        <v>0</v>
      </c>
      <c r="V555" s="146">
        <f>IF(ETo!D554&gt;0,ETo!I554*((1-Entradas!$E$81)*ETo!K554+ETo!L554),0)</f>
        <v>2.2611097156184563</v>
      </c>
      <c r="W555" s="170">
        <f>IF(Escenarios!$E$14&gt;0,MIN(V555*1,0.8*(Z554+R555+S555+T555+Observaciones!$F554-U555-Constantes!$E$35)),0)</f>
        <v>0</v>
      </c>
      <c r="X555" s="170">
        <f>IF(Escenarios!$E$14&gt;0,Observaciones!$J554,0)</f>
        <v>0</v>
      </c>
      <c r="Y555" s="170">
        <f>IF(Escenarios!$E$14&gt;0,MAX(0,Z554+R555+S555+T555+Observaciones!$F554-U555-W555-X555-Constantes!$E$33),0)</f>
        <v>0</v>
      </c>
      <c r="Z555" s="170">
        <f>Z554+R555+S555+T555+Observaciones!$F554-U555-W555-Y555</f>
        <v>41.25</v>
      </c>
      <c r="AA555" s="170">
        <f>IF(Escenarios!$E$14&gt;0,(Escenarios!$E$13*L555+Escenarios!$E$14*W555)/(Escenarios!$E$16),L555)</f>
        <v>-1.5426203743268253E-4</v>
      </c>
      <c r="AB555" s="170">
        <f>IF(Escenarios!$E$14&gt;0,(Escenarios!$E$14*Y555)/(Escenarios!$E$16),K555)</f>
        <v>0</v>
      </c>
      <c r="AC555" s="170">
        <f>IF(Escenarios!$E$14&gt;0,(Escenarios!$E$13*M555+Escenarios!$E$14*U555)/(Escenarios!$E$16),M555)</f>
        <v>0</v>
      </c>
      <c r="AD555" s="76">
        <f t="shared" si="113"/>
        <v>101.69393213991427</v>
      </c>
      <c r="AE555" s="76">
        <f>MAX(0,(AD555-Constantes!$D$13)*(1-EXP(-Constantes!$D$23)))</f>
        <v>0.52166917363674881</v>
      </c>
      <c r="AF555" s="76">
        <f>AB555+O555*Escenarios!$E$13/Escenarios!$E$16+AE555</f>
        <v>0.52166917363674881</v>
      </c>
      <c r="AG555" s="76">
        <f>IF(Entradas!$E$91&gt;0,IF(AF555-Escenarios!$E$38&lt;=0,0,IF(AF555-Escenarios!$E$38&gt;Escenarios!$E$37,Escenarios!$E$37,AF555-Escenarios!$E$38)),0)</f>
        <v>0</v>
      </c>
      <c r="AH555" s="76">
        <f>AG555*Entradas!$E$99</f>
        <v>0</v>
      </c>
      <c r="AI555" s="76">
        <f>IF(Entradas!$E$91&gt;0,D555*Entradas!$D$23/Escenarios!$E$16,0)</f>
        <v>0</v>
      </c>
      <c r="AJ555" s="76">
        <f>IF(Entradas!$E$91&gt;0,Entradas!$D$24*Entradas!$D$22/Escenarios!$E$16,0)</f>
        <v>0</v>
      </c>
      <c r="AK555" s="76">
        <f t="shared" si="122"/>
        <v>-1.5426203743268253E-4</v>
      </c>
      <c r="AL555" s="76">
        <f t="shared" si="123"/>
        <v>0</v>
      </c>
      <c r="AM555" s="76">
        <f t="shared" si="114"/>
        <v>0</v>
      </c>
      <c r="AN555" s="76">
        <f>MAX(0,O555*Escenarios!$E$13/Escenarios!$E$16-AM555)</f>
        <v>0</v>
      </c>
      <c r="AO555" s="76">
        <f>AM555+AN555-O555*Escenarios!$E$13/Escenarios!$E$16</f>
        <v>0</v>
      </c>
      <c r="AP555" s="76">
        <f t="shared" si="112"/>
        <v>0.52166917363674881</v>
      </c>
      <c r="AQ555" s="76">
        <f t="shared" si="115"/>
        <v>0</v>
      </c>
      <c r="AR555" s="76">
        <f t="shared" si="116"/>
        <v>0.52166917363674881</v>
      </c>
      <c r="AS555" s="76">
        <f t="shared" si="117"/>
        <v>0</v>
      </c>
      <c r="AT555" s="76">
        <f t="shared" si="118"/>
        <v>0</v>
      </c>
      <c r="AU555" s="76">
        <f t="shared" si="119"/>
        <v>48.75</v>
      </c>
      <c r="AV555" s="76">
        <f>MAX(0,(AU555-Constantes!$D$13)*(1-EXP(-Constantes!$D$24)))</f>
        <v>0</v>
      </c>
      <c r="AW555" s="170">
        <f>AW554+(Entradas!$E$112*AT555-AX554)/(800*Entradas!$D$25)</f>
        <v>0</v>
      </c>
      <c r="AX555" s="170">
        <f>8000*Entradas!$D$26*AW555/Constantes!$E$45</f>
        <v>0</v>
      </c>
      <c r="AY555" s="170">
        <f>IF(Escenarios!$E$17&gt;0,10*Escenarios!$E$16*AL555,0)</f>
        <v>0</v>
      </c>
      <c r="AZ555" s="170">
        <f>IF(Escenarios!$E$17&gt;0,10*Escenarios!$E$16*AX555,0)</f>
        <v>0</v>
      </c>
      <c r="BA555" s="170">
        <f>IF(Escenarios!$E$17&gt;0,0.001*Observaciones!$F554*Escenarios!$E$17,0)</f>
        <v>0</v>
      </c>
      <c r="BB555" s="170">
        <f>IF(Escenarios!$E$17&gt;0,Observaciones!$K554,0)</f>
        <v>0</v>
      </c>
      <c r="BC555" s="170">
        <f>IF(Escenarios!$E$17&gt;0,MIN(0.0005*ETo!$M554*Escenarios!$E$17*(BG554/Constantes!$E$40)^(2/3),BG554+AY555+AZ555+BA555+BB555),0)</f>
        <v>7.4523766580837139</v>
      </c>
      <c r="BD555" s="170">
        <f>IF(Escenarios!$E$17&gt;0,MIN(Constantes!$E$39*(BG554/Constantes!$E$40)^(2/3),BG554+AY555+AZ555+BA555+BB555-BC555),0)</f>
        <v>20.470302844245715</v>
      </c>
      <c r="BE555" s="170">
        <f>IF(Escenarios!$E$17&gt;0,MIN(Entradas!$E$113,BG554+AY555+AZ555+BA555+BB555-BC555-BD555),0)</f>
        <v>1</v>
      </c>
      <c r="BF555" s="170">
        <f>IF(Escenarios!$E$17&gt;0,MAX(0,BG554+AY555+AZ555+BA555+BB555-BC555-BD555-BE555-Constantes!$E$40),0)</f>
        <v>0</v>
      </c>
      <c r="BG555" s="170">
        <f t="shared" si="124"/>
        <v>833.97671085855904</v>
      </c>
      <c r="BH555" s="170">
        <f>(Escenarios!$E$16*AK555+0.1*BC555)/(Escenarios!$E$19)</f>
        <v>2.8042545890880986E-3</v>
      </c>
      <c r="BI555" s="170">
        <f>IF(Escenarios!$E$17&gt;0,BF555/10/Escenarios!$E$19,AL555)</f>
        <v>0</v>
      </c>
      <c r="BJ555" s="170">
        <f>(Escenarios!$E$16*AT555+0.1*BD555)/(Escenarios!$E$19)</f>
        <v>8.1231360493038557E-3</v>
      </c>
      <c r="BK555" s="76">
        <f>BK554+(0.1*BD555)/(Escenarios!$E$19)-BL554</f>
        <v>50.430935235551615</v>
      </c>
      <c r="BL555" s="76">
        <f>MAX(0,(BK555-Constantes!$D$13)*(1-EXP(-Constantes!$D$23)))</f>
        <v>1.6562655243470642E-2</v>
      </c>
      <c r="BM555" s="76">
        <f t="shared" si="120"/>
        <v>0.53823182888021948</v>
      </c>
      <c r="BN555" s="76">
        <f t="shared" si="125"/>
        <v>0.53823182888021948</v>
      </c>
      <c r="BO555" s="76">
        <f>0.0526*BI555*Observaciones!$F554^1.218</f>
        <v>0</v>
      </c>
      <c r="BP555" s="76">
        <f>BO555*Constantes!$E$51</f>
        <v>0</v>
      </c>
      <c r="BQ555" s="76">
        <f t="shared" si="121"/>
        <v>0</v>
      </c>
      <c r="BR555" s="40"/>
    </row>
    <row r="556" spans="1:70">
      <c r="A556" s="147"/>
      <c r="B556" s="39"/>
      <c r="C556" s="75">
        <v>550</v>
      </c>
      <c r="D556" s="146">
        <f>ETo!$I555*((1-Constantes!$E$19)*ETo!$K555+ETo!$L555)</f>
        <v>2.6172320472824881</v>
      </c>
      <c r="E556" s="76">
        <f>MIN(D556*Constantes!$E$17,0.8*(N555+Observaciones!$F555-F556-M556-Constantes!$D$14))</f>
        <v>-1.0091888556365803E-2</v>
      </c>
      <c r="F556" s="76">
        <f>IF(Observaciones!$F555&gt;0.05*Constantes!$E$18,((Observaciones!$F555-0.05*Constantes!$E$18)^2)/(Observaciones!$F555+0.95*Constantes!$E$18),0)</f>
        <v>0</v>
      </c>
      <c r="G556" s="76">
        <f>IF(Escenarios!$E$11&gt;0,(F556*Escenarios!$E$16*10000)/1000,0)</f>
        <v>0</v>
      </c>
      <c r="H556" s="76">
        <f>IF(Escenarios!$E$11&gt;0,(Observaciones!$F555*Constantes!$E$29)/1000,0)</f>
        <v>0</v>
      </c>
      <c r="I556" s="76">
        <f>IF(Escenarios!$E$11&gt;0,(D556*Constantes!$E$29)/1000,0)</f>
        <v>26.172320472824882</v>
      </c>
      <c r="J556" s="76">
        <f>IF(Escenarios!$E$11&gt;0,MAX(0,G556+H556-I556),0)</f>
        <v>0</v>
      </c>
      <c r="K556" s="76">
        <f>IF(Escenarios!$E$11&gt;0,IF(J556&gt;Constantes!$E$30,1000*((J556-Constantes!$E$30)/(Escenarios!$E$16*10000)),0),F556)</f>
        <v>0</v>
      </c>
      <c r="L556" s="76">
        <f>IF(Escenarios!$E$11&gt;0,I556*1000/Escenarios!$E$16/10000+E556,E556)</f>
        <v>3.7703963276415099E-4</v>
      </c>
      <c r="M556" s="76">
        <f>MAX(0,N555+Observaciones!$F555-K556-Constantes!$D$13)</f>
        <v>0</v>
      </c>
      <c r="N556" s="76">
        <f>N555+Observaciones!$F555-K556-L556-M556-O555</f>
        <v>11.237008099671778</v>
      </c>
      <c r="O556" s="76">
        <f>MAX(0,(N556-Constantes!$D$14)*(1-EXP(-Constantes!$D$22)))</f>
        <v>0</v>
      </c>
      <c r="P556" s="170">
        <f>P555+(Entradas!$E$83*M556-Q555)/(800*Entradas!$D$25)</f>
        <v>0</v>
      </c>
      <c r="Q556" s="170">
        <f>8000*Entradas!$D$26*P556/Constantes!$E$45</f>
        <v>0</v>
      </c>
      <c r="R556" s="170">
        <f>IF(Escenarios!$E$14&gt;0,K556*Escenarios!$E$13/Escenarios!$E$14,0)</f>
        <v>0</v>
      </c>
      <c r="S556" s="170">
        <f>IF(Escenarios!$E$14&gt;0,Q556*Escenarios!$E$13/Escenarios!$E$14,0)</f>
        <v>0</v>
      </c>
      <c r="T556" s="170">
        <f>IF(Escenarios!$E$14&gt;0,Observaciones!$I555,0)</f>
        <v>0</v>
      </c>
      <c r="U556" s="170">
        <f>IF(Escenarios!$E$14&gt;0,MAX(0,Constantes!$E$36/((Z555+R556+S556+T556+Observaciones!$F555)^2)+Entradas!$E$77),0)</f>
        <v>0</v>
      </c>
      <c r="V556" s="146">
        <f>IF(ETo!D555&gt;0,ETo!I555*((1-Entradas!$E$81)*ETo!K555+ETo!L555),0)</f>
        <v>2.3550131566270633</v>
      </c>
      <c r="W556" s="170">
        <f>IF(Escenarios!$E$14&gt;0,MIN(V556*1,0.8*(Z555+R556+S556+T556+Observaciones!$F555-U556-Constantes!$E$35)),0)</f>
        <v>0</v>
      </c>
      <c r="X556" s="170">
        <f>IF(Escenarios!$E$14&gt;0,Observaciones!$J555,0)</f>
        <v>0</v>
      </c>
      <c r="Y556" s="170">
        <f>IF(Escenarios!$E$14&gt;0,MAX(0,Z555+R556+S556+T556+Observaciones!$F555-U556-W556-X556-Constantes!$E$33),0)</f>
        <v>0</v>
      </c>
      <c r="Z556" s="170">
        <f>Z555+R556+S556+T556+Observaciones!$F555-U556-W556-Y556</f>
        <v>41.25</v>
      </c>
      <c r="AA556" s="170">
        <f>IF(Escenarios!$E$14&gt;0,(Escenarios!$E$13*L556+Escenarios!$E$14*W556)/(Escenarios!$E$16),L556)</f>
        <v>3.3179487683245289E-4</v>
      </c>
      <c r="AB556" s="170">
        <f>IF(Escenarios!$E$14&gt;0,(Escenarios!$E$14*Y556)/(Escenarios!$E$16),K556)</f>
        <v>0</v>
      </c>
      <c r="AC556" s="170">
        <f>IF(Escenarios!$E$14&gt;0,(Escenarios!$E$13*M556+Escenarios!$E$14*U556)/(Escenarios!$E$16),M556)</f>
        <v>0</v>
      </c>
      <c r="AD556" s="76">
        <f t="shared" si="113"/>
        <v>101.17226296627751</v>
      </c>
      <c r="AE556" s="76">
        <f>MAX(0,(AD556-Constantes!$D$13)*(1-EXP(-Constantes!$D$23)))</f>
        <v>0.51652904301698921</v>
      </c>
      <c r="AF556" s="76">
        <f>AB556+O556*Escenarios!$E$13/Escenarios!$E$16+AE556</f>
        <v>0.51652904301698921</v>
      </c>
      <c r="AG556" s="76">
        <f>IF(Entradas!$E$91&gt;0,IF(AF556-Escenarios!$E$38&lt;=0,0,IF(AF556-Escenarios!$E$38&gt;Escenarios!$E$37,Escenarios!$E$37,AF556-Escenarios!$E$38)),0)</f>
        <v>0</v>
      </c>
      <c r="AH556" s="76">
        <f>AG556*Entradas!$E$99</f>
        <v>0</v>
      </c>
      <c r="AI556" s="76">
        <f>IF(Entradas!$E$91&gt;0,D556*Entradas!$D$23/Escenarios!$E$16,0)</f>
        <v>0</v>
      </c>
      <c r="AJ556" s="76">
        <f>IF(Entradas!$E$91&gt;0,Entradas!$D$24*Entradas!$D$22/Escenarios!$E$16,0)</f>
        <v>0</v>
      </c>
      <c r="AK556" s="76">
        <f t="shared" si="122"/>
        <v>3.3179487683245289E-4</v>
      </c>
      <c r="AL556" s="76">
        <f t="shared" si="123"/>
        <v>0</v>
      </c>
      <c r="AM556" s="76">
        <f t="shared" si="114"/>
        <v>0</v>
      </c>
      <c r="AN556" s="76">
        <f>MAX(0,O556*Escenarios!$E$13/Escenarios!$E$16-AM556)</f>
        <v>0</v>
      </c>
      <c r="AO556" s="76">
        <f>AM556+AN556-O556*Escenarios!$E$13/Escenarios!$E$16</f>
        <v>0</v>
      </c>
      <c r="AP556" s="76">
        <f t="shared" si="112"/>
        <v>0.51652904301698921</v>
      </c>
      <c r="AQ556" s="76">
        <f t="shared" si="115"/>
        <v>0</v>
      </c>
      <c r="AR556" s="76">
        <f t="shared" si="116"/>
        <v>0.51652904301698921</v>
      </c>
      <c r="AS556" s="76">
        <f t="shared" si="117"/>
        <v>0</v>
      </c>
      <c r="AT556" s="76">
        <f t="shared" si="118"/>
        <v>0</v>
      </c>
      <c r="AU556" s="76">
        <f t="shared" si="119"/>
        <v>48.75</v>
      </c>
      <c r="AV556" s="76">
        <f>MAX(0,(AU556-Constantes!$D$13)*(1-EXP(-Constantes!$D$24)))</f>
        <v>0</v>
      </c>
      <c r="AW556" s="170">
        <f>AW555+(Entradas!$E$112*AT556-AX555)/(800*Entradas!$D$25)</f>
        <v>0</v>
      </c>
      <c r="AX556" s="170">
        <f>8000*Entradas!$D$26*AW556/Constantes!$E$45</f>
        <v>0</v>
      </c>
      <c r="AY556" s="170">
        <f>IF(Escenarios!$E$17&gt;0,10*Escenarios!$E$16*AL556,0)</f>
        <v>0</v>
      </c>
      <c r="AZ556" s="170">
        <f>IF(Escenarios!$E$17&gt;0,10*Escenarios!$E$16*AX556,0)</f>
        <v>0</v>
      </c>
      <c r="BA556" s="170">
        <f>IF(Escenarios!$E$17&gt;0,0.001*Observaciones!$F555*Escenarios!$E$17,0)</f>
        <v>0</v>
      </c>
      <c r="BB556" s="170">
        <f>IF(Escenarios!$E$17&gt;0,Observaciones!$K555,0)</f>
        <v>0</v>
      </c>
      <c r="BC556" s="170">
        <f>IF(Escenarios!$E$17&gt;0,MIN(0.0005*ETo!$M555*Escenarios!$E$17*(BG555/Constantes!$E$40)^(2/3),BG555+AY556+AZ556+BA556+BB556),0)</f>
        <v>7.5785011220780003</v>
      </c>
      <c r="BD556" s="170">
        <f>IF(Escenarios!$E$17&gt;0,MIN(Constantes!$E$39*(BG555/Constantes!$E$40)^(2/3),BG555+AY556+AZ556+BA556+BB556-BC556),0)</f>
        <v>20.010292716267074</v>
      </c>
      <c r="BE556" s="170">
        <f>IF(Escenarios!$E$17&gt;0,MIN(Entradas!$E$113,BG555+AY556+AZ556+BA556+BB556-BC556-BD556),0)</f>
        <v>1</v>
      </c>
      <c r="BF556" s="170">
        <f>IF(Escenarios!$E$17&gt;0,MAX(0,BG555+AY556+AZ556+BA556+BB556-BC556-BD556-BE556-Constantes!$E$40),0)</f>
        <v>0</v>
      </c>
      <c r="BG556" s="170">
        <f t="shared" si="124"/>
        <v>805.38791702021399</v>
      </c>
      <c r="BH556" s="170">
        <f>(Escenarios!$E$16*AK556+0.1*BC556)/(Escenarios!$E$19)</f>
        <v>3.336503299269497E-3</v>
      </c>
      <c r="BI556" s="170">
        <f>IF(Escenarios!$E$17&gt;0,BF556/10/Escenarios!$E$19,AL556)</f>
        <v>0</v>
      </c>
      <c r="BJ556" s="170">
        <f>(Escenarios!$E$16*AT556+0.1*BD556)/(Escenarios!$E$19)</f>
        <v>7.9405923477250291E-3</v>
      </c>
      <c r="BK556" s="76">
        <f>BK555+(0.1*BD556)/(Escenarios!$E$19)-BL555</f>
        <v>50.422313172655869</v>
      </c>
      <c r="BL556" s="76">
        <f>MAX(0,(BK556-Constantes!$D$13)*(1-EXP(-Constantes!$D$23)))</f>
        <v>1.6477700004143468E-2</v>
      </c>
      <c r="BM556" s="76">
        <f t="shared" si="120"/>
        <v>0.53300674302113271</v>
      </c>
      <c r="BN556" s="76">
        <f t="shared" si="125"/>
        <v>0.53300674302113271</v>
      </c>
      <c r="BO556" s="76">
        <f>0.0526*BI556*Observaciones!$F555^1.218</f>
        <v>0</v>
      </c>
      <c r="BP556" s="76">
        <f>BO556*Constantes!$E$51</f>
        <v>0</v>
      </c>
      <c r="BQ556" s="76">
        <f t="shared" si="121"/>
        <v>0</v>
      </c>
      <c r="BR556" s="40"/>
    </row>
    <row r="557" spans="1:70">
      <c r="A557" s="147"/>
      <c r="B557" s="39"/>
      <c r="C557" s="75">
        <v>551</v>
      </c>
      <c r="D557" s="146">
        <f>ETo!$I556*((1-Constantes!$E$19)*ETo!$K556+ETo!$L556)</f>
        <v>2.6110387917616484</v>
      </c>
      <c r="E557" s="76">
        <f>MIN(D557*Constantes!$E$17,0.8*(N556+Observaciones!$F556-F557-M557-Constantes!$D$14))</f>
        <v>-1.0393520262577739E-2</v>
      </c>
      <c r="F557" s="76">
        <f>IF(Observaciones!$F556&gt;0.05*Constantes!$E$18,((Observaciones!$F556-0.05*Constantes!$E$18)^2)/(Observaciones!$F556+0.95*Constantes!$E$18),0)</f>
        <v>0</v>
      </c>
      <c r="G557" s="76">
        <f>IF(Escenarios!$E$11&gt;0,(F557*Escenarios!$E$16*10000)/1000,0)</f>
        <v>0</v>
      </c>
      <c r="H557" s="76">
        <f>IF(Escenarios!$E$11&gt;0,(Observaciones!$F556*Constantes!$E$29)/1000,0)</f>
        <v>0</v>
      </c>
      <c r="I557" s="76">
        <f>IF(Escenarios!$E$11&gt;0,(D557*Constantes!$E$29)/1000,0)</f>
        <v>26.110387917616485</v>
      </c>
      <c r="J557" s="76">
        <f>IF(Escenarios!$E$11&gt;0,MAX(0,G557+H557-I557),0)</f>
        <v>0</v>
      </c>
      <c r="K557" s="76">
        <f>IF(Escenarios!$E$11&gt;0,IF(J557&gt;Constantes!$E$30,1000*((J557-Constantes!$E$30)/(Escenarios!$E$16*10000)),0),F557)</f>
        <v>0</v>
      </c>
      <c r="L557" s="76">
        <f>IF(Escenarios!$E$11&gt;0,I557*1000/Escenarios!$E$16/10000+E557,E557)</f>
        <v>5.0634904468854769E-5</v>
      </c>
      <c r="M557" s="76">
        <f>MAX(0,N556+Observaciones!$F556-K557-Constantes!$D$13)</f>
        <v>0</v>
      </c>
      <c r="N557" s="76">
        <f>N556+Observaciones!$F556-K557-L557-M557-O556</f>
        <v>11.236957464767309</v>
      </c>
      <c r="O557" s="76">
        <f>MAX(0,(N557-Constantes!$D$14)*(1-EXP(-Constantes!$D$22)))</f>
        <v>0</v>
      </c>
      <c r="P557" s="170">
        <f>P556+(Entradas!$E$83*M557-Q556)/(800*Entradas!$D$25)</f>
        <v>0</v>
      </c>
      <c r="Q557" s="170">
        <f>8000*Entradas!$D$26*P557/Constantes!$E$45</f>
        <v>0</v>
      </c>
      <c r="R557" s="170">
        <f>IF(Escenarios!$E$14&gt;0,K557*Escenarios!$E$13/Escenarios!$E$14,0)</f>
        <v>0</v>
      </c>
      <c r="S557" s="170">
        <f>IF(Escenarios!$E$14&gt;0,Q557*Escenarios!$E$13/Escenarios!$E$14,0)</f>
        <v>0</v>
      </c>
      <c r="T557" s="170">
        <f>IF(Escenarios!$E$14&gt;0,Observaciones!$I556,0)</f>
        <v>0</v>
      </c>
      <c r="U557" s="170">
        <f>IF(Escenarios!$E$14&gt;0,MAX(0,Constantes!$E$36/((Z556+R557+S557+T557+Observaciones!$F556)^2)+Entradas!$E$77),0)</f>
        <v>0</v>
      </c>
      <c r="V557" s="146">
        <f>IF(ETo!D556&gt;0,ETo!I556*((1-Entradas!$E$81)*ETo!K556+ETo!L556),0)</f>
        <v>2.3495009235163056</v>
      </c>
      <c r="W557" s="170">
        <f>IF(Escenarios!$E$14&gt;0,MIN(V557*1,0.8*(Z556+R557+S557+T557+Observaciones!$F556-U557-Constantes!$E$35)),0)</f>
        <v>0</v>
      </c>
      <c r="X557" s="170">
        <f>IF(Escenarios!$E$14&gt;0,Observaciones!$J556,0)</f>
        <v>0</v>
      </c>
      <c r="Y557" s="170">
        <f>IF(Escenarios!$E$14&gt;0,MAX(0,Z556+R557+S557+T557+Observaciones!$F556-U557-W557-X557-Constantes!$E$33),0)</f>
        <v>0</v>
      </c>
      <c r="Z557" s="170">
        <f>Z556+R557+S557+T557+Observaciones!$F556-U557-W557-Y557</f>
        <v>41.25</v>
      </c>
      <c r="AA557" s="170">
        <f>IF(Escenarios!$E$14&gt;0,(Escenarios!$E$13*L557+Escenarios!$E$14*W557)/(Escenarios!$E$16),L557)</f>
        <v>4.4558715932592198E-5</v>
      </c>
      <c r="AB557" s="170">
        <f>IF(Escenarios!$E$14&gt;0,(Escenarios!$E$14*Y557)/(Escenarios!$E$16),K557)</f>
        <v>0</v>
      </c>
      <c r="AC557" s="170">
        <f>IF(Escenarios!$E$14&gt;0,(Escenarios!$E$13*M557+Escenarios!$E$14*U557)/(Escenarios!$E$16),M557)</f>
        <v>0</v>
      </c>
      <c r="AD557" s="76">
        <f t="shared" si="113"/>
        <v>100.65573392326053</v>
      </c>
      <c r="AE557" s="76">
        <f>MAX(0,(AD557-Constantes!$D$13)*(1-EXP(-Constantes!$D$23)))</f>
        <v>0.51143955932850982</v>
      </c>
      <c r="AF557" s="76">
        <f>AB557+O557*Escenarios!$E$13/Escenarios!$E$16+AE557</f>
        <v>0.51143955932850982</v>
      </c>
      <c r="AG557" s="76">
        <f>IF(Entradas!$E$91&gt;0,IF(AF557-Escenarios!$E$38&lt;=0,0,IF(AF557-Escenarios!$E$38&gt;Escenarios!$E$37,Escenarios!$E$37,AF557-Escenarios!$E$38)),0)</f>
        <v>0</v>
      </c>
      <c r="AH557" s="76">
        <f>AG557*Entradas!$E$99</f>
        <v>0</v>
      </c>
      <c r="AI557" s="76">
        <f>IF(Entradas!$E$91&gt;0,D557*Entradas!$D$23/Escenarios!$E$16,0)</f>
        <v>0</v>
      </c>
      <c r="AJ557" s="76">
        <f>IF(Entradas!$E$91&gt;0,Entradas!$D$24*Entradas!$D$22/Escenarios!$E$16,0)</f>
        <v>0</v>
      </c>
      <c r="AK557" s="76">
        <f t="shared" si="122"/>
        <v>4.4558715932592198E-5</v>
      </c>
      <c r="AL557" s="76">
        <f t="shared" si="123"/>
        <v>0</v>
      </c>
      <c r="AM557" s="76">
        <f t="shared" si="114"/>
        <v>0</v>
      </c>
      <c r="AN557" s="76">
        <f>MAX(0,O557*Escenarios!$E$13/Escenarios!$E$16-AM557)</f>
        <v>0</v>
      </c>
      <c r="AO557" s="76">
        <f>AM557+AN557-O557*Escenarios!$E$13/Escenarios!$E$16</f>
        <v>0</v>
      </c>
      <c r="AP557" s="76">
        <f t="shared" si="112"/>
        <v>0.51143955932850982</v>
      </c>
      <c r="AQ557" s="76">
        <f t="shared" si="115"/>
        <v>0</v>
      </c>
      <c r="AR557" s="76">
        <f t="shared" si="116"/>
        <v>0.51143955932850982</v>
      </c>
      <c r="AS557" s="76">
        <f t="shared" si="117"/>
        <v>0</v>
      </c>
      <c r="AT557" s="76">
        <f t="shared" si="118"/>
        <v>0</v>
      </c>
      <c r="AU557" s="76">
        <f t="shared" si="119"/>
        <v>48.75</v>
      </c>
      <c r="AV557" s="76">
        <f>MAX(0,(AU557-Constantes!$D$13)*(1-EXP(-Constantes!$D$24)))</f>
        <v>0</v>
      </c>
      <c r="AW557" s="170">
        <f>AW556+(Entradas!$E$112*AT557-AX556)/(800*Entradas!$D$25)</f>
        <v>0</v>
      </c>
      <c r="AX557" s="170">
        <f>8000*Entradas!$D$26*AW557/Constantes!$E$45</f>
        <v>0</v>
      </c>
      <c r="AY557" s="170">
        <f>IF(Escenarios!$E$17&gt;0,10*Escenarios!$E$16*AL557,0)</f>
        <v>0</v>
      </c>
      <c r="AZ557" s="170">
        <f>IF(Escenarios!$E$17&gt;0,10*Escenarios!$E$16*AX557,0)</f>
        <v>0</v>
      </c>
      <c r="BA557" s="170">
        <f>IF(Escenarios!$E$17&gt;0,0.001*Observaciones!$F556*Escenarios!$E$17,0)</f>
        <v>0</v>
      </c>
      <c r="BB557" s="170">
        <f>IF(Escenarios!$E$17&gt;0,Observaciones!$K556,0)</f>
        <v>0</v>
      </c>
      <c r="BC557" s="170">
        <f>IF(Escenarios!$E$17&gt;0,MIN(0.0005*ETo!$M556*Escenarios!$E$17*(BG556/Constantes!$E$40)^(2/3),BG556+AY557+AZ557+BA557+BB557),0)</f>
        <v>7.3865479502701152</v>
      </c>
      <c r="BD557" s="170">
        <f>IF(Escenarios!$E$17&gt;0,MIN(Constantes!$E$39*(BG556/Constantes!$E$40)^(2/3),BG556+AY557+AZ557+BA557+BB557-BC557),0)</f>
        <v>19.550336319489002</v>
      </c>
      <c r="BE557" s="170">
        <f>IF(Escenarios!$E$17&gt;0,MIN(Entradas!$E$113,BG556+AY557+AZ557+BA557+BB557-BC557-BD557),0)</f>
        <v>1</v>
      </c>
      <c r="BF557" s="170">
        <f>IF(Escenarios!$E$17&gt;0,MAX(0,BG556+AY557+AZ557+BA557+BB557-BC557-BD557-BE557-Constantes!$E$40),0)</f>
        <v>0</v>
      </c>
      <c r="BG557" s="170">
        <f t="shared" si="124"/>
        <v>777.45103275045483</v>
      </c>
      <c r="BH557" s="170">
        <f>(Escenarios!$E$16*AK557+0.1*BC557)/(Escenarios!$E$19)</f>
        <v>2.975374896865713E-3</v>
      </c>
      <c r="BI557" s="170">
        <f>IF(Escenarios!$E$17&gt;0,BF557/10/Escenarios!$E$19,AL557)</f>
        <v>0</v>
      </c>
      <c r="BJ557" s="170">
        <f>(Escenarios!$E$16*AT557+0.1*BD557)/(Escenarios!$E$19)</f>
        <v>7.7580699680511915E-3</v>
      </c>
      <c r="BK557" s="76">
        <f>BK556+(0.1*BD557)/(Escenarios!$E$19)-BL556</f>
        <v>50.413593542619772</v>
      </c>
      <c r="BL557" s="76">
        <f>MAX(0,(BK557-Constantes!$D$13)*(1-EXP(-Constantes!$D$23)))</f>
        <v>1.6391783412543735E-2</v>
      </c>
      <c r="BM557" s="76">
        <f t="shared" si="120"/>
        <v>0.52783134274105359</v>
      </c>
      <c r="BN557" s="76">
        <f t="shared" si="125"/>
        <v>0.52783134274105359</v>
      </c>
      <c r="BO557" s="76">
        <f>0.0526*BI557*Observaciones!$F556^1.218</f>
        <v>0</v>
      </c>
      <c r="BP557" s="76">
        <f>BO557*Constantes!$E$51</f>
        <v>0</v>
      </c>
      <c r="BQ557" s="76">
        <f t="shared" si="121"/>
        <v>0</v>
      </c>
      <c r="BR557" s="40"/>
    </row>
    <row r="558" spans="1:70">
      <c r="A558" s="147"/>
      <c r="B558" s="39"/>
      <c r="C558" s="75">
        <v>552</v>
      </c>
      <c r="D558" s="146">
        <f>ETo!$I557*((1-Constantes!$E$19)*ETo!$K557+ETo!$L557)</f>
        <v>2.6322438199065981</v>
      </c>
      <c r="E558" s="76">
        <f>MIN(D558*Constantes!$E$17,0.8*(N557+Observaciones!$F557-F558-M558-Constantes!$D$14))</f>
        <v>-1.0434028186152489E-2</v>
      </c>
      <c r="F558" s="76">
        <f>IF(Observaciones!$F557&gt;0.05*Constantes!$E$18,((Observaciones!$F557-0.05*Constantes!$E$18)^2)/(Observaciones!$F557+0.95*Constantes!$E$18),0)</f>
        <v>0</v>
      </c>
      <c r="G558" s="76">
        <f>IF(Escenarios!$E$11&gt;0,(F558*Escenarios!$E$16*10000)/1000,0)</f>
        <v>0</v>
      </c>
      <c r="H558" s="76">
        <f>IF(Escenarios!$E$11&gt;0,(Observaciones!$F557*Constantes!$E$29)/1000,0)</f>
        <v>0</v>
      </c>
      <c r="I558" s="76">
        <f>IF(Escenarios!$E$11&gt;0,(D558*Constantes!$E$29)/1000,0)</f>
        <v>26.322438199065981</v>
      </c>
      <c r="J558" s="76">
        <f>IF(Escenarios!$E$11&gt;0,MAX(0,G558+H558-I558),0)</f>
        <v>0</v>
      </c>
      <c r="K558" s="76">
        <f>IF(Escenarios!$E$11&gt;0,IF(J558&gt;Constantes!$E$30,1000*((J558-Constantes!$E$30)/(Escenarios!$E$16*10000)),0),F558)</f>
        <v>0</v>
      </c>
      <c r="L558" s="76">
        <f>IF(Escenarios!$E$11&gt;0,I558*1000/Escenarios!$E$16/10000+E558,E558)</f>
        <v>9.4947093473903704E-5</v>
      </c>
      <c r="M558" s="76">
        <f>MAX(0,N557+Observaciones!$F557-K558-Constantes!$D$13)</f>
        <v>0</v>
      </c>
      <c r="N558" s="76">
        <f>N557+Observaciones!$F557-K558-L558-M558-O557</f>
        <v>11.236862517673835</v>
      </c>
      <c r="O558" s="76">
        <f>MAX(0,(N558-Constantes!$D$14)*(1-EXP(-Constantes!$D$22)))</f>
        <v>0</v>
      </c>
      <c r="P558" s="170">
        <f>P557+(Entradas!$E$83*M558-Q557)/(800*Entradas!$D$25)</f>
        <v>0</v>
      </c>
      <c r="Q558" s="170">
        <f>8000*Entradas!$D$26*P558/Constantes!$E$45</f>
        <v>0</v>
      </c>
      <c r="R558" s="170">
        <f>IF(Escenarios!$E$14&gt;0,K558*Escenarios!$E$13/Escenarios!$E$14,0)</f>
        <v>0</v>
      </c>
      <c r="S558" s="170">
        <f>IF(Escenarios!$E$14&gt;0,Q558*Escenarios!$E$13/Escenarios!$E$14,0)</f>
        <v>0</v>
      </c>
      <c r="T558" s="170">
        <f>IF(Escenarios!$E$14&gt;0,Observaciones!$I557,0)</f>
        <v>0</v>
      </c>
      <c r="U558" s="170">
        <f>IF(Escenarios!$E$14&gt;0,MAX(0,Constantes!$E$36/((Z557+R558+S558+T558+Observaciones!$F557)^2)+Entradas!$E$77),0)</f>
        <v>0</v>
      </c>
      <c r="V558" s="146">
        <f>IF(ETo!D557&gt;0,ETo!I557*((1-Entradas!$E$81)*ETo!K557+ETo!L557),0)</f>
        <v>2.3689984996913345</v>
      </c>
      <c r="W558" s="170">
        <f>IF(Escenarios!$E$14&gt;0,MIN(V558*1,0.8*(Z557+R558+S558+T558+Observaciones!$F557-U558-Constantes!$E$35)),0)</f>
        <v>0</v>
      </c>
      <c r="X558" s="170">
        <f>IF(Escenarios!$E$14&gt;0,Observaciones!$J557,0)</f>
        <v>0</v>
      </c>
      <c r="Y558" s="170">
        <f>IF(Escenarios!$E$14&gt;0,MAX(0,Z557+R558+S558+T558+Observaciones!$F557-U558-W558-X558-Constantes!$E$33),0)</f>
        <v>0</v>
      </c>
      <c r="Z558" s="170">
        <f>Z557+R558+S558+T558+Observaciones!$F557-U558-W558-Y558</f>
        <v>41.25</v>
      </c>
      <c r="AA558" s="170">
        <f>IF(Escenarios!$E$14&gt;0,(Escenarios!$E$13*L558+Escenarios!$E$14*W558)/(Escenarios!$E$16),L558)</f>
        <v>8.3553442257035265E-5</v>
      </c>
      <c r="AB558" s="170">
        <f>IF(Escenarios!$E$14&gt;0,(Escenarios!$E$14*Y558)/(Escenarios!$E$16),K558)</f>
        <v>0</v>
      </c>
      <c r="AC558" s="170">
        <f>IF(Escenarios!$E$14&gt;0,(Escenarios!$E$13*M558+Escenarios!$E$14*U558)/(Escenarios!$E$16),M558)</f>
        <v>0</v>
      </c>
      <c r="AD558" s="76">
        <f t="shared" si="113"/>
        <v>100.14429436393202</v>
      </c>
      <c r="AE558" s="76">
        <f>MAX(0,(AD558-Constantes!$D$13)*(1-EXP(-Constantes!$D$23)))</f>
        <v>0.50640022353503356</v>
      </c>
      <c r="AF558" s="76">
        <f>AB558+O558*Escenarios!$E$13/Escenarios!$E$16+AE558</f>
        <v>0.50640022353503356</v>
      </c>
      <c r="AG558" s="76">
        <f>IF(Entradas!$E$91&gt;0,IF(AF558-Escenarios!$E$38&lt;=0,0,IF(AF558-Escenarios!$E$38&gt;Escenarios!$E$37,Escenarios!$E$37,AF558-Escenarios!$E$38)),0)</f>
        <v>0</v>
      </c>
      <c r="AH558" s="76">
        <f>AG558*Entradas!$E$99</f>
        <v>0</v>
      </c>
      <c r="AI558" s="76">
        <f>IF(Entradas!$E$91&gt;0,D558*Entradas!$D$23/Escenarios!$E$16,0)</f>
        <v>0</v>
      </c>
      <c r="AJ558" s="76">
        <f>IF(Entradas!$E$91&gt;0,Entradas!$D$24*Entradas!$D$22/Escenarios!$E$16,0)</f>
        <v>0</v>
      </c>
      <c r="AK558" s="76">
        <f t="shared" si="122"/>
        <v>8.3553442257035265E-5</v>
      </c>
      <c r="AL558" s="76">
        <f t="shared" si="123"/>
        <v>0</v>
      </c>
      <c r="AM558" s="76">
        <f t="shared" si="114"/>
        <v>0</v>
      </c>
      <c r="AN558" s="76">
        <f>MAX(0,O558*Escenarios!$E$13/Escenarios!$E$16-AM558)</f>
        <v>0</v>
      </c>
      <c r="AO558" s="76">
        <f>AM558+AN558-O558*Escenarios!$E$13/Escenarios!$E$16</f>
        <v>0</v>
      </c>
      <c r="AP558" s="76">
        <f t="shared" si="112"/>
        <v>0.50640022353503356</v>
      </c>
      <c r="AQ558" s="76">
        <f t="shared" si="115"/>
        <v>0</v>
      </c>
      <c r="AR558" s="76">
        <f t="shared" si="116"/>
        <v>0.50640022353503356</v>
      </c>
      <c r="AS558" s="76">
        <f t="shared" si="117"/>
        <v>0</v>
      </c>
      <c r="AT558" s="76">
        <f t="shared" si="118"/>
        <v>0</v>
      </c>
      <c r="AU558" s="76">
        <f t="shared" si="119"/>
        <v>48.75</v>
      </c>
      <c r="AV558" s="76">
        <f>MAX(0,(AU558-Constantes!$D$13)*(1-EXP(-Constantes!$D$24)))</f>
        <v>0</v>
      </c>
      <c r="AW558" s="170">
        <f>AW557+(Entradas!$E$112*AT558-AX557)/(800*Entradas!$D$25)</f>
        <v>0</v>
      </c>
      <c r="AX558" s="170">
        <f>8000*Entradas!$D$26*AW558/Constantes!$E$45</f>
        <v>0</v>
      </c>
      <c r="AY558" s="170">
        <f>IF(Escenarios!$E$17&gt;0,10*Escenarios!$E$16*AL558,0)</f>
        <v>0</v>
      </c>
      <c r="AZ558" s="170">
        <f>IF(Escenarios!$E$17&gt;0,10*Escenarios!$E$16*AX558,0)</f>
        <v>0</v>
      </c>
      <c r="BA558" s="170">
        <f>IF(Escenarios!$E$17&gt;0,0.001*Observaciones!$F557*Escenarios!$E$17,0)</f>
        <v>0</v>
      </c>
      <c r="BB558" s="170">
        <f>IF(Escenarios!$E$17&gt;0,Observaciones!$K557,0)</f>
        <v>0</v>
      </c>
      <c r="BC558" s="170">
        <f>IF(Escenarios!$E$17&gt;0,MIN(0.0005*ETo!$M557*Escenarios!$E$17*(BG557/Constantes!$E$40)^(2/3),BG557+AY558+AZ558+BA558+BB558),0)</f>
        <v>7.2717593905235081</v>
      </c>
      <c r="BD558" s="170">
        <f>IF(Escenarios!$E$17&gt;0,MIN(Constantes!$E$39*(BG557/Constantes!$E$40)^(2/3),BG557+AY558+AZ558+BA558+BB558-BC558),0)</f>
        <v>19.095580099780044</v>
      </c>
      <c r="BE558" s="170">
        <f>IF(Escenarios!$E$17&gt;0,MIN(Entradas!$E$113,BG557+AY558+AZ558+BA558+BB558-BC558-BD558),0)</f>
        <v>1</v>
      </c>
      <c r="BF558" s="170">
        <f>IF(Escenarios!$E$17&gt;0,MAX(0,BG557+AY558+AZ558+BA558+BB558-BC558-BD558-BE558-Constantes!$E$40),0)</f>
        <v>0</v>
      </c>
      <c r="BG558" s="170">
        <f t="shared" si="124"/>
        <v>750.08369326015134</v>
      </c>
      <c r="BH558" s="170">
        <f>(Escenarios!$E$16*AK558+0.1*BC558)/(Escenarios!$E$19)</f>
        <v>2.9685091254627368E-3</v>
      </c>
      <c r="BI558" s="170">
        <f>IF(Escenarios!$E$17&gt;0,BF558/10/Escenarios!$E$19,AL558)</f>
        <v>0</v>
      </c>
      <c r="BJ558" s="170">
        <f>(Escenarios!$E$16*AT558+0.1*BD558)/(Escenarios!$E$19)</f>
        <v>7.5776111507063672E-3</v>
      </c>
      <c r="BK558" s="76">
        <f>BK557+(0.1*BD558)/(Escenarios!$E$19)-BL557</f>
        <v>50.404779370357936</v>
      </c>
      <c r="BL558" s="76">
        <f>MAX(0,(BK558-Constantes!$D$13)*(1-EXP(-Constantes!$D$23)))</f>
        <v>1.6304935273875595E-2</v>
      </c>
      <c r="BM558" s="76">
        <f t="shared" si="120"/>
        <v>0.52270515880890911</v>
      </c>
      <c r="BN558" s="76">
        <f t="shared" si="125"/>
        <v>0.52270515880890911</v>
      </c>
      <c r="BO558" s="76">
        <f>0.0526*BI558*Observaciones!$F557^1.218</f>
        <v>0</v>
      </c>
      <c r="BP558" s="76">
        <f>BO558*Constantes!$E$51</f>
        <v>0</v>
      </c>
      <c r="BQ558" s="76">
        <f t="shared" si="121"/>
        <v>0</v>
      </c>
      <c r="BR558" s="40"/>
    </row>
    <row r="559" spans="1:70">
      <c r="A559" s="147"/>
      <c r="B559" s="39"/>
      <c r="C559" s="75">
        <v>553</v>
      </c>
      <c r="D559" s="146">
        <f>ETo!$I558*((1-Constantes!$E$19)*ETo!$K558+ETo!$L558)</f>
        <v>2.5226139767056215</v>
      </c>
      <c r="E559" s="76">
        <f>MIN(D559*Constantes!$E$17,0.8*(N558+Observaciones!$F558-F559-M559-Constantes!$D$14))</f>
        <v>-1.0509985860932148E-2</v>
      </c>
      <c r="F559" s="76">
        <f>IF(Observaciones!$F558&gt;0.05*Constantes!$E$18,((Observaciones!$F558-0.05*Constantes!$E$18)^2)/(Observaciones!$F558+0.95*Constantes!$E$18),0)</f>
        <v>0</v>
      </c>
      <c r="G559" s="76">
        <f>IF(Escenarios!$E$11&gt;0,(F559*Escenarios!$E$16*10000)/1000,0)</f>
        <v>0</v>
      </c>
      <c r="H559" s="76">
        <f>IF(Escenarios!$E$11&gt;0,(Observaciones!$F558*Constantes!$E$29)/1000,0)</f>
        <v>0</v>
      </c>
      <c r="I559" s="76">
        <f>IF(Escenarios!$E$11&gt;0,(D559*Constantes!$E$29)/1000,0)</f>
        <v>25.226139767056214</v>
      </c>
      <c r="J559" s="76">
        <f>IF(Escenarios!$E$11&gt;0,MAX(0,G559+H559-I559),0)</f>
        <v>0</v>
      </c>
      <c r="K559" s="76">
        <f>IF(Escenarios!$E$11&gt;0,IF(J559&gt;Constantes!$E$30,1000*((J559-Constantes!$E$30)/(Escenarios!$E$16*10000)),0),F559)</f>
        <v>0</v>
      </c>
      <c r="L559" s="76">
        <f>IF(Escenarios!$E$11&gt;0,I559*1000/Escenarios!$E$16/10000+E559,E559)</f>
        <v>-4.1952995410966289E-4</v>
      </c>
      <c r="M559" s="76">
        <f>MAX(0,N558+Observaciones!$F558-K559-Constantes!$D$13)</f>
        <v>0</v>
      </c>
      <c r="N559" s="76">
        <f>N558+Observaciones!$F558-K559-L559-M559-O558</f>
        <v>11.237282047627945</v>
      </c>
      <c r="O559" s="76">
        <f>MAX(0,(N559-Constantes!$D$14)*(1-EXP(-Constantes!$D$22)))</f>
        <v>0</v>
      </c>
      <c r="P559" s="170">
        <f>P558+(Entradas!$E$83*M559-Q558)/(800*Entradas!$D$25)</f>
        <v>0</v>
      </c>
      <c r="Q559" s="170">
        <f>8000*Entradas!$D$26*P559/Constantes!$E$45</f>
        <v>0</v>
      </c>
      <c r="R559" s="170">
        <f>IF(Escenarios!$E$14&gt;0,K559*Escenarios!$E$13/Escenarios!$E$14,0)</f>
        <v>0</v>
      </c>
      <c r="S559" s="170">
        <f>IF(Escenarios!$E$14&gt;0,Q559*Escenarios!$E$13/Escenarios!$E$14,0)</f>
        <v>0</v>
      </c>
      <c r="T559" s="170">
        <f>IF(Escenarios!$E$14&gt;0,Observaciones!$I558,0)</f>
        <v>0</v>
      </c>
      <c r="U559" s="170">
        <f>IF(Escenarios!$E$14&gt;0,MAX(0,Constantes!$E$36/((Z558+R559+S559+T559+Observaciones!$F558)^2)+Entradas!$E$77),0)</f>
        <v>0</v>
      </c>
      <c r="V559" s="146">
        <f>IF(ETo!D558&gt;0,ETo!I558*((1-Entradas!$E$81)*ETo!K558+ETo!L558),0)</f>
        <v>2.2694074036351783</v>
      </c>
      <c r="W559" s="170">
        <f>IF(Escenarios!$E$14&gt;0,MIN(V559*1,0.8*(Z558+R559+S559+T559+Observaciones!$F558-U559-Constantes!$E$35)),0)</f>
        <v>0</v>
      </c>
      <c r="X559" s="170">
        <f>IF(Escenarios!$E$14&gt;0,Observaciones!$J558,0)</f>
        <v>0</v>
      </c>
      <c r="Y559" s="170">
        <f>IF(Escenarios!$E$14&gt;0,MAX(0,Z558+R559+S559+T559+Observaciones!$F558-U559-W559-X559-Constantes!$E$33),0)</f>
        <v>0</v>
      </c>
      <c r="Z559" s="170">
        <f>Z558+R559+S559+T559+Observaciones!$F558-U559-W559-Y559</f>
        <v>41.25</v>
      </c>
      <c r="AA559" s="170">
        <f>IF(Escenarios!$E$14&gt;0,(Escenarios!$E$13*L559+Escenarios!$E$14*W559)/(Escenarios!$E$16),L559)</f>
        <v>-3.6918635961650338E-4</v>
      </c>
      <c r="AB559" s="170">
        <f>IF(Escenarios!$E$14&gt;0,(Escenarios!$E$14*Y559)/(Escenarios!$E$16),K559)</f>
        <v>0</v>
      </c>
      <c r="AC559" s="170">
        <f>IF(Escenarios!$E$14&gt;0,(Escenarios!$E$13*M559+Escenarios!$E$14*U559)/(Escenarios!$E$16),M559)</f>
        <v>0</v>
      </c>
      <c r="AD559" s="76">
        <f t="shared" si="113"/>
        <v>99.63789414039698</v>
      </c>
      <c r="AE559" s="76">
        <f>MAX(0,(AD559-Constantes!$D$13)*(1-EXP(-Constantes!$D$23)))</f>
        <v>0.50141054151740672</v>
      </c>
      <c r="AF559" s="76">
        <f>AB559+O559*Escenarios!$E$13/Escenarios!$E$16+AE559</f>
        <v>0.50141054151740672</v>
      </c>
      <c r="AG559" s="76">
        <f>IF(Entradas!$E$91&gt;0,IF(AF559-Escenarios!$E$38&lt;=0,0,IF(AF559-Escenarios!$E$38&gt;Escenarios!$E$37,Escenarios!$E$37,AF559-Escenarios!$E$38)),0)</f>
        <v>0</v>
      </c>
      <c r="AH559" s="76">
        <f>AG559*Entradas!$E$99</f>
        <v>0</v>
      </c>
      <c r="AI559" s="76">
        <f>IF(Entradas!$E$91&gt;0,D559*Entradas!$D$23/Escenarios!$E$16,0)</f>
        <v>0</v>
      </c>
      <c r="AJ559" s="76">
        <f>IF(Entradas!$E$91&gt;0,Entradas!$D$24*Entradas!$D$22/Escenarios!$E$16,0)</f>
        <v>0</v>
      </c>
      <c r="AK559" s="76">
        <f t="shared" si="122"/>
        <v>-3.6918635961650338E-4</v>
      </c>
      <c r="AL559" s="76">
        <f t="shared" si="123"/>
        <v>0</v>
      </c>
      <c r="AM559" s="76">
        <f t="shared" si="114"/>
        <v>0</v>
      </c>
      <c r="AN559" s="76">
        <f>MAX(0,O559*Escenarios!$E$13/Escenarios!$E$16-AM559)</f>
        <v>0</v>
      </c>
      <c r="AO559" s="76">
        <f>AM559+AN559-O559*Escenarios!$E$13/Escenarios!$E$16</f>
        <v>0</v>
      </c>
      <c r="AP559" s="76">
        <f t="shared" si="112"/>
        <v>0.50141054151740672</v>
      </c>
      <c r="AQ559" s="76">
        <f t="shared" si="115"/>
        <v>0</v>
      </c>
      <c r="AR559" s="76">
        <f t="shared" si="116"/>
        <v>0.50141054151740672</v>
      </c>
      <c r="AS559" s="76">
        <f t="shared" si="117"/>
        <v>0</v>
      </c>
      <c r="AT559" s="76">
        <f t="shared" si="118"/>
        <v>0</v>
      </c>
      <c r="AU559" s="76">
        <f t="shared" si="119"/>
        <v>48.75</v>
      </c>
      <c r="AV559" s="76">
        <f>MAX(0,(AU559-Constantes!$D$13)*(1-EXP(-Constantes!$D$24)))</f>
        <v>0</v>
      </c>
      <c r="AW559" s="170">
        <f>AW558+(Entradas!$E$112*AT559-AX558)/(800*Entradas!$D$25)</f>
        <v>0</v>
      </c>
      <c r="AX559" s="170">
        <f>8000*Entradas!$D$26*AW559/Constantes!$E$45</f>
        <v>0</v>
      </c>
      <c r="AY559" s="170">
        <f>IF(Escenarios!$E$17&gt;0,10*Escenarios!$E$16*AL559,0)</f>
        <v>0</v>
      </c>
      <c r="AZ559" s="170">
        <f>IF(Escenarios!$E$17&gt;0,10*Escenarios!$E$16*AX559,0)</f>
        <v>0</v>
      </c>
      <c r="BA559" s="170">
        <f>IF(Escenarios!$E$17&gt;0,0.001*Observaciones!$F558*Escenarios!$E$17,0)</f>
        <v>0</v>
      </c>
      <c r="BB559" s="170">
        <f>IF(Escenarios!$E$17&gt;0,Observaciones!$K558,0)</f>
        <v>0</v>
      </c>
      <c r="BC559" s="170">
        <f>IF(Escenarios!$E$17&gt;0,MIN(0.0005*ETo!$M558*Escenarios!$E$17*(BG558/Constantes!$E$40)^(2/3),BG558+AY559+AZ559+BA559+BB559),0)</f>
        <v>6.8077738230973335</v>
      </c>
      <c r="BD559" s="170">
        <f>IF(Escenarios!$E$17&gt;0,MIN(Constantes!$E$39*(BG558/Constantes!$E$40)^(2/3),BG558+AY559+AZ559+BA559+BB559-BC559),0)</f>
        <v>18.64478196682763</v>
      </c>
      <c r="BE559" s="170">
        <f>IF(Escenarios!$E$17&gt;0,MIN(Entradas!$E$113,BG558+AY559+AZ559+BA559+BB559-BC559-BD559),0)</f>
        <v>1</v>
      </c>
      <c r="BF559" s="170">
        <f>IF(Escenarios!$E$17&gt;0,MAX(0,BG558+AY559+AZ559+BA559+BB559-BC559-BD559-BE559-Constantes!$E$40),0)</f>
        <v>0</v>
      </c>
      <c r="BG559" s="170">
        <f t="shared" si="124"/>
        <v>723.63113747022635</v>
      </c>
      <c r="BH559" s="170">
        <f>(Escenarios!$E$16*AK559+0.1*BC559)/(Escenarios!$E$19)</f>
        <v>2.3352412397047921E-3</v>
      </c>
      <c r="BI559" s="170">
        <f>IF(Escenarios!$E$17&gt;0,BF559/10/Escenarios!$E$19,AL559)</f>
        <v>0</v>
      </c>
      <c r="BJ559" s="170">
        <f>(Escenarios!$E$16*AT559+0.1*BD559)/(Escenarios!$E$19)</f>
        <v>7.3987230027093773E-3</v>
      </c>
      <c r="BK559" s="76">
        <f>BK558+(0.1*BD559)/(Escenarios!$E$19)-BL558</f>
        <v>50.395873158086772</v>
      </c>
      <c r="BL559" s="76">
        <f>MAX(0,(BK559-Constantes!$D$13)*(1-EXP(-Constantes!$D$23)))</f>
        <v>1.6217180243073323E-2</v>
      </c>
      <c r="BM559" s="76">
        <f t="shared" si="120"/>
        <v>0.51762772176048</v>
      </c>
      <c r="BN559" s="76">
        <f t="shared" si="125"/>
        <v>0.51762772176048</v>
      </c>
      <c r="BO559" s="76">
        <f>0.0526*BI559*Observaciones!$F558^1.218</f>
        <v>0</v>
      </c>
      <c r="BP559" s="76">
        <f>BO559*Constantes!$E$51</f>
        <v>0</v>
      </c>
      <c r="BQ559" s="76">
        <f t="shared" si="121"/>
        <v>0</v>
      </c>
      <c r="BR559" s="40"/>
    </row>
    <row r="560" spans="1:70">
      <c r="A560" s="147"/>
      <c r="B560" s="39"/>
      <c r="C560" s="75">
        <v>554</v>
      </c>
      <c r="D560" s="146">
        <f>ETo!$I559*((1-Constantes!$E$19)*ETo!$K559+ETo!$L559)</f>
        <v>2.4440123662924353</v>
      </c>
      <c r="E560" s="76">
        <f>MIN(D560*Constantes!$E$17,0.8*(N559+Observaciones!$F559-F560-M560-Constantes!$D$14))</f>
        <v>-1.0174361897644247E-2</v>
      </c>
      <c r="F560" s="76">
        <f>IF(Observaciones!$F559&gt;0.05*Constantes!$E$18,((Observaciones!$F559-0.05*Constantes!$E$18)^2)/(Observaciones!$F559+0.95*Constantes!$E$18),0)</f>
        <v>0</v>
      </c>
      <c r="G560" s="76">
        <f>IF(Escenarios!$E$11&gt;0,(F560*Escenarios!$E$16*10000)/1000,0)</f>
        <v>0</v>
      </c>
      <c r="H560" s="76">
        <f>IF(Escenarios!$E$11&gt;0,(Observaciones!$F559*Constantes!$E$29)/1000,0)</f>
        <v>0</v>
      </c>
      <c r="I560" s="76">
        <f>IF(Escenarios!$E$11&gt;0,(D560*Constantes!$E$29)/1000,0)</f>
        <v>24.440123662924353</v>
      </c>
      <c r="J560" s="76">
        <f>IF(Escenarios!$E$11&gt;0,MAX(0,G560+H560-I560),0)</f>
        <v>0</v>
      </c>
      <c r="K560" s="76">
        <f>IF(Escenarios!$E$11&gt;0,IF(J560&gt;Constantes!$E$30,1000*((J560-Constantes!$E$30)/(Escenarios!$E$16*10000)),0),F560)</f>
        <v>0</v>
      </c>
      <c r="L560" s="76">
        <f>IF(Escenarios!$E$11&gt;0,I560*1000/Escenarios!$E$16/10000+E560,E560)</f>
        <v>-3.9831243247450548E-4</v>
      </c>
      <c r="M560" s="76">
        <f>MAX(0,N559+Observaciones!$F559-K560-Constantes!$D$13)</f>
        <v>0</v>
      </c>
      <c r="N560" s="76">
        <f>N559+Observaciones!$F559-K560-L560-M560-O559</f>
        <v>11.23768036006042</v>
      </c>
      <c r="O560" s="76">
        <f>MAX(0,(N560-Constantes!$D$14)*(1-EXP(-Constantes!$D$22)))</f>
        <v>0</v>
      </c>
      <c r="P560" s="170">
        <f>P559+(Entradas!$E$83*M560-Q559)/(800*Entradas!$D$25)</f>
        <v>0</v>
      </c>
      <c r="Q560" s="170">
        <f>8000*Entradas!$D$26*P560/Constantes!$E$45</f>
        <v>0</v>
      </c>
      <c r="R560" s="170">
        <f>IF(Escenarios!$E$14&gt;0,K560*Escenarios!$E$13/Escenarios!$E$14,0)</f>
        <v>0</v>
      </c>
      <c r="S560" s="170">
        <f>IF(Escenarios!$E$14&gt;0,Q560*Escenarios!$E$13/Escenarios!$E$14,0)</f>
        <v>0</v>
      </c>
      <c r="T560" s="170">
        <f>IF(Escenarios!$E$14&gt;0,Observaciones!$I559,0)</f>
        <v>0</v>
      </c>
      <c r="U560" s="170">
        <f>IF(Escenarios!$E$14&gt;0,MAX(0,Constantes!$E$36/((Z559+R560+S560+T560+Observaciones!$F559)^2)+Entradas!$E$77),0)</f>
        <v>0</v>
      </c>
      <c r="V560" s="146">
        <f>IF(ETo!D559&gt;0,ETo!I559*((1-Entradas!$E$81)*ETo!K559+ETo!L559),0)</f>
        <v>2.19846996161181</v>
      </c>
      <c r="W560" s="170">
        <f>IF(Escenarios!$E$14&gt;0,MIN(V560*1,0.8*(Z559+R560+S560+T560+Observaciones!$F559-U560-Constantes!$E$35)),0)</f>
        <v>0</v>
      </c>
      <c r="X560" s="170">
        <f>IF(Escenarios!$E$14&gt;0,Observaciones!$J559,0)</f>
        <v>0</v>
      </c>
      <c r="Y560" s="170">
        <f>IF(Escenarios!$E$14&gt;0,MAX(0,Z559+R560+S560+T560+Observaciones!$F559-U560-W560-X560-Constantes!$E$33),0)</f>
        <v>0</v>
      </c>
      <c r="Z560" s="170">
        <f>Z559+R560+S560+T560+Observaciones!$F559-U560-W560-Y560</f>
        <v>41.25</v>
      </c>
      <c r="AA560" s="170">
        <f>IF(Escenarios!$E$14&gt;0,(Escenarios!$E$13*L560+Escenarios!$E$14*W560)/(Escenarios!$E$16),L560)</f>
        <v>-3.5051494057756485E-4</v>
      </c>
      <c r="AB560" s="170">
        <f>IF(Escenarios!$E$14&gt;0,(Escenarios!$E$14*Y560)/(Escenarios!$E$16),K560)</f>
        <v>0</v>
      </c>
      <c r="AC560" s="170">
        <f>IF(Escenarios!$E$14&gt;0,(Escenarios!$E$13*M560+Escenarios!$E$14*U560)/(Escenarios!$E$16),M560)</f>
        <v>0</v>
      </c>
      <c r="AD560" s="76">
        <f t="shared" si="113"/>
        <v>99.136483598879579</v>
      </c>
      <c r="AE560" s="76">
        <f>MAX(0,(AD560-Constantes!$D$13)*(1-EXP(-Constantes!$D$23)))</f>
        <v>0.49647002402514923</v>
      </c>
      <c r="AF560" s="76">
        <f>AB560+O560*Escenarios!$E$13/Escenarios!$E$16+AE560</f>
        <v>0.49647002402514923</v>
      </c>
      <c r="AG560" s="76">
        <f>IF(Entradas!$E$91&gt;0,IF(AF560-Escenarios!$E$38&lt;=0,0,IF(AF560-Escenarios!$E$38&gt;Escenarios!$E$37,Escenarios!$E$37,AF560-Escenarios!$E$38)),0)</f>
        <v>0</v>
      </c>
      <c r="AH560" s="76">
        <f>AG560*Entradas!$E$99</f>
        <v>0</v>
      </c>
      <c r="AI560" s="76">
        <f>IF(Entradas!$E$91&gt;0,D560*Entradas!$D$23/Escenarios!$E$16,0)</f>
        <v>0</v>
      </c>
      <c r="AJ560" s="76">
        <f>IF(Entradas!$E$91&gt;0,Entradas!$D$24*Entradas!$D$22/Escenarios!$E$16,0)</f>
        <v>0</v>
      </c>
      <c r="AK560" s="76">
        <f t="shared" si="122"/>
        <v>-3.5051494057756485E-4</v>
      </c>
      <c r="AL560" s="76">
        <f t="shared" si="123"/>
        <v>0</v>
      </c>
      <c r="AM560" s="76">
        <f t="shared" si="114"/>
        <v>0</v>
      </c>
      <c r="AN560" s="76">
        <f>MAX(0,O560*Escenarios!$E$13/Escenarios!$E$16-AM560)</f>
        <v>0</v>
      </c>
      <c r="AO560" s="76">
        <f>AM560+AN560-O560*Escenarios!$E$13/Escenarios!$E$16</f>
        <v>0</v>
      </c>
      <c r="AP560" s="76">
        <f t="shared" si="112"/>
        <v>0.49647002402514923</v>
      </c>
      <c r="AQ560" s="76">
        <f t="shared" si="115"/>
        <v>0</v>
      </c>
      <c r="AR560" s="76">
        <f t="shared" si="116"/>
        <v>0.49647002402514923</v>
      </c>
      <c r="AS560" s="76">
        <f t="shared" si="117"/>
        <v>0</v>
      </c>
      <c r="AT560" s="76">
        <f t="shared" si="118"/>
        <v>0</v>
      </c>
      <c r="AU560" s="76">
        <f t="shared" si="119"/>
        <v>48.75</v>
      </c>
      <c r="AV560" s="76">
        <f>MAX(0,(AU560-Constantes!$D$13)*(1-EXP(-Constantes!$D$24)))</f>
        <v>0</v>
      </c>
      <c r="AW560" s="170">
        <f>AW559+(Entradas!$E$112*AT560-AX559)/(800*Entradas!$D$25)</f>
        <v>0</v>
      </c>
      <c r="AX560" s="170">
        <f>8000*Entradas!$D$26*AW560/Constantes!$E$45</f>
        <v>0</v>
      </c>
      <c r="AY560" s="170">
        <f>IF(Escenarios!$E$17&gt;0,10*Escenarios!$E$16*AL560,0)</f>
        <v>0</v>
      </c>
      <c r="AZ560" s="170">
        <f>IF(Escenarios!$E$17&gt;0,10*Escenarios!$E$16*AX560,0)</f>
        <v>0</v>
      </c>
      <c r="BA560" s="170">
        <f>IF(Escenarios!$E$17&gt;0,0.001*Observaciones!$F559*Escenarios!$E$17,0)</f>
        <v>0</v>
      </c>
      <c r="BB560" s="170">
        <f>IF(Escenarios!$E$17&gt;0,Observaciones!$K559,0)</f>
        <v>0</v>
      </c>
      <c r="BC560" s="170">
        <f>IF(Escenarios!$E$17&gt;0,MIN(0.0005*ETo!$M559*Escenarios!$E$17*(BG559/Constantes!$E$40)^(2/3),BG559+AY560+AZ560+BA560+BB560),0)</f>
        <v>6.4404641885117346</v>
      </c>
      <c r="BD560" s="170">
        <f>IF(Escenarios!$E$17&gt;0,MIN(Constantes!$E$39*(BG559/Constantes!$E$40)^(2/3),BG559+AY560+AZ560+BA560+BB560-BC560),0)</f>
        <v>18.203811247783982</v>
      </c>
      <c r="BE560" s="170">
        <f>IF(Escenarios!$E$17&gt;0,MIN(Entradas!$E$113,BG559+AY560+AZ560+BA560+BB560-BC560-BD560),0)</f>
        <v>1</v>
      </c>
      <c r="BF560" s="170">
        <f>IF(Escenarios!$E$17&gt;0,MAX(0,BG559+AY560+AZ560+BA560+BB560-BC560-BD560-BE560-Constantes!$E$40),0)</f>
        <v>0</v>
      </c>
      <c r="BG560" s="170">
        <f t="shared" si="124"/>
        <v>697.98686203393061</v>
      </c>
      <c r="BH560" s="170">
        <f>(Escenarios!$E$16*AK560+0.1*BC560)/(Escenarios!$E$19)</f>
        <v>2.2080066813761202E-3</v>
      </c>
      <c r="BI560" s="170">
        <f>IF(Escenarios!$E$17&gt;0,BF560/10/Escenarios!$E$19,AL560)</f>
        <v>0</v>
      </c>
      <c r="BJ560" s="170">
        <f>(Escenarios!$E$16*AT560+0.1*BD560)/(Escenarios!$E$19)</f>
        <v>7.2237346221365011E-3</v>
      </c>
      <c r="BK560" s="76">
        <f>BK559+(0.1*BD560)/(Escenarios!$E$19)-BL559</f>
        <v>50.386879712465834</v>
      </c>
      <c r="BL560" s="76">
        <f>MAX(0,(BK560-Constantes!$D$13)*(1-EXP(-Constantes!$D$23)))</f>
        <v>1.6128565681298366E-2</v>
      </c>
      <c r="BM560" s="76">
        <f t="shared" si="120"/>
        <v>0.51259858970644756</v>
      </c>
      <c r="BN560" s="76">
        <f t="shared" si="125"/>
        <v>0.51259858970644756</v>
      </c>
      <c r="BO560" s="76">
        <f>0.0526*BI560*Observaciones!$F559^1.218</f>
        <v>0</v>
      </c>
      <c r="BP560" s="76">
        <f>BO560*Constantes!$E$51</f>
        <v>0</v>
      </c>
      <c r="BQ560" s="76">
        <f t="shared" si="121"/>
        <v>0</v>
      </c>
      <c r="BR560" s="40"/>
    </row>
    <row r="561" spans="1:70">
      <c r="A561" s="147"/>
      <c r="B561" s="39"/>
      <c r="C561" s="75">
        <v>555</v>
      </c>
      <c r="D561" s="146">
        <f>ETo!$I560*((1-Constantes!$E$19)*ETo!$K560+ETo!$L560)</f>
        <v>2.3866509526714417</v>
      </c>
      <c r="E561" s="76">
        <f>MIN(D561*Constantes!$E$17,0.8*(N560+Observaciones!$F560-F561-M561-Constantes!$D$14))</f>
        <v>1.1668630377186002</v>
      </c>
      <c r="F561" s="76">
        <f>IF(Observaciones!$F560&gt;0.05*Constantes!$E$18,((Observaciones!$F560-0.05*Constantes!$E$18)^2)/(Observaciones!$F560+0.95*Constantes!$E$18),0)</f>
        <v>0</v>
      </c>
      <c r="G561" s="76">
        <f>IF(Escenarios!$E$11&gt;0,(F561*Escenarios!$E$16*10000)/1000,0)</f>
        <v>0</v>
      </c>
      <c r="H561" s="76">
        <f>IF(Escenarios!$E$11&gt;0,(Observaciones!$F560*Constantes!$E$29)/1000,0)</f>
        <v>22</v>
      </c>
      <c r="I561" s="76">
        <f>IF(Escenarios!$E$11&gt;0,(D561*Constantes!$E$29)/1000,0)</f>
        <v>23.866509526714417</v>
      </c>
      <c r="J561" s="76">
        <f>IF(Escenarios!$E$11&gt;0,MAX(0,G561+H561-I561),0)</f>
        <v>0</v>
      </c>
      <c r="K561" s="76">
        <f>IF(Escenarios!$E$11&gt;0,IF(J561&gt;Constantes!$E$30,1000*((J561-Constantes!$E$30)/(Escenarios!$E$16*10000)),0),F561)</f>
        <v>0</v>
      </c>
      <c r="L561" s="76">
        <f>IF(Escenarios!$E$11&gt;0,I561*1000/Escenarios!$E$16/10000+E561,E561)</f>
        <v>1.176409641529286</v>
      </c>
      <c r="M561" s="76">
        <f>MAX(0,N560+Observaciones!$F560-K561-Constantes!$D$13)</f>
        <v>0</v>
      </c>
      <c r="N561" s="76">
        <f>N560+Observaciones!$F560-K561-L561-M561-O560</f>
        <v>12.261270718531133</v>
      </c>
      <c r="O561" s="76">
        <f>MAX(0,(N561-Constantes!$D$14)*(1-EXP(-Constantes!$D$22)))</f>
        <v>3.4447593123979561E-2</v>
      </c>
      <c r="P561" s="170">
        <f>P560+(Entradas!$E$83*M561-Q560)/(800*Entradas!$D$25)</f>
        <v>0</v>
      </c>
      <c r="Q561" s="170">
        <f>8000*Entradas!$D$26*P561/Constantes!$E$45</f>
        <v>0</v>
      </c>
      <c r="R561" s="170">
        <f>IF(Escenarios!$E$14&gt;0,K561*Escenarios!$E$13/Escenarios!$E$14,0)</f>
        <v>0</v>
      </c>
      <c r="S561" s="170">
        <f>IF(Escenarios!$E$14&gt;0,Q561*Escenarios!$E$13/Escenarios!$E$14,0)</f>
        <v>0</v>
      </c>
      <c r="T561" s="170">
        <f>IF(Escenarios!$E$14&gt;0,Observaciones!$I560,0)</f>
        <v>0</v>
      </c>
      <c r="U561" s="170">
        <f>IF(Escenarios!$E$14&gt;0,MAX(0,Constantes!$E$36/((Z560+R561+S561+T561+Observaciones!$F560)^2)+Entradas!$E$77),0)</f>
        <v>0</v>
      </c>
      <c r="V561" s="146">
        <f>IF(ETo!D560&gt;0,ETo!I560*((1-Entradas!$E$81)*ETo!K560+ETo!L560),0)</f>
        <v>2.1469812245303088</v>
      </c>
      <c r="W561" s="170">
        <f>IF(Escenarios!$E$14&gt;0,MIN(V561*1,0.8*(Z560+R561+S561+T561+Observaciones!$F560-U561-Constantes!$E$35)),0)</f>
        <v>1.7600000000000025</v>
      </c>
      <c r="X561" s="170">
        <f>IF(Escenarios!$E$14&gt;0,Observaciones!$J560,0)</f>
        <v>0</v>
      </c>
      <c r="Y561" s="170">
        <f>IF(Escenarios!$E$14&gt;0,MAX(0,Z560+R561+S561+T561+Observaciones!$F560-U561-W561-X561-Constantes!$E$33),0)</f>
        <v>0</v>
      </c>
      <c r="Z561" s="170">
        <f>Z560+R561+S561+T561+Observaciones!$F560-U561-W561-Y561</f>
        <v>41.69</v>
      </c>
      <c r="AA561" s="170">
        <f>IF(Escenarios!$E$14&gt;0,(Escenarios!$E$13*L561+Escenarios!$E$14*W561)/(Escenarios!$E$16),L561)</f>
        <v>1.2464404845457717</v>
      </c>
      <c r="AB561" s="170">
        <f>IF(Escenarios!$E$14&gt;0,(Escenarios!$E$14*Y561)/(Escenarios!$E$16),K561)</f>
        <v>0</v>
      </c>
      <c r="AC561" s="170">
        <f>IF(Escenarios!$E$14&gt;0,(Escenarios!$E$13*M561+Escenarios!$E$14*U561)/(Escenarios!$E$16),M561)</f>
        <v>0</v>
      </c>
      <c r="AD561" s="76">
        <f t="shared" si="113"/>
        <v>98.640013574854436</v>
      </c>
      <c r="AE561" s="76">
        <f>MAX(0,(AD561-Constantes!$D$13)*(1-EXP(-Constantes!$D$23)))</f>
        <v>0.49157818662848263</v>
      </c>
      <c r="AF561" s="76">
        <f>AB561+O561*Escenarios!$E$13/Escenarios!$E$16+AE561</f>
        <v>0.52189206857758463</v>
      </c>
      <c r="AG561" s="76">
        <f>IF(Entradas!$E$91&gt;0,IF(AF561-Escenarios!$E$38&lt;=0,0,IF(AF561-Escenarios!$E$38&gt;Escenarios!$E$37,Escenarios!$E$37,AF561-Escenarios!$E$38)),0)</f>
        <v>0</v>
      </c>
      <c r="AH561" s="76">
        <f>AG561*Entradas!$E$99</f>
        <v>0</v>
      </c>
      <c r="AI561" s="76">
        <f>IF(Entradas!$E$91&gt;0,D561*Entradas!$D$23/Escenarios!$E$16,0)</f>
        <v>0</v>
      </c>
      <c r="AJ561" s="76">
        <f>IF(Entradas!$E$91&gt;0,Entradas!$D$24*Entradas!$D$22/Escenarios!$E$16,0)</f>
        <v>0</v>
      </c>
      <c r="AK561" s="76">
        <f t="shared" si="122"/>
        <v>1.2464404845457717</v>
      </c>
      <c r="AL561" s="76">
        <f t="shared" si="123"/>
        <v>0</v>
      </c>
      <c r="AM561" s="76">
        <f t="shared" si="114"/>
        <v>0</v>
      </c>
      <c r="AN561" s="76">
        <f>MAX(0,O561*Escenarios!$E$13/Escenarios!$E$16-AM561)</f>
        <v>3.0313881949102017E-2</v>
      </c>
      <c r="AO561" s="76">
        <f>AM561+AN561-O561*Escenarios!$E$13/Escenarios!$E$16</f>
        <v>0</v>
      </c>
      <c r="AP561" s="76">
        <f t="shared" si="112"/>
        <v>0.49157818662848263</v>
      </c>
      <c r="AQ561" s="76">
        <f t="shared" si="115"/>
        <v>0</v>
      </c>
      <c r="AR561" s="76">
        <f t="shared" si="116"/>
        <v>0.52189206857758463</v>
      </c>
      <c r="AS561" s="76">
        <f t="shared" si="117"/>
        <v>0</v>
      </c>
      <c r="AT561" s="76">
        <f t="shared" si="118"/>
        <v>0</v>
      </c>
      <c r="AU561" s="76">
        <f t="shared" si="119"/>
        <v>48.75</v>
      </c>
      <c r="AV561" s="76">
        <f>MAX(0,(AU561-Constantes!$D$13)*(1-EXP(-Constantes!$D$24)))</f>
        <v>0</v>
      </c>
      <c r="AW561" s="170">
        <f>AW560+(Entradas!$E$112*AT561-AX560)/(800*Entradas!$D$25)</f>
        <v>0</v>
      </c>
      <c r="AX561" s="170">
        <f>8000*Entradas!$D$26*AW561/Constantes!$E$45</f>
        <v>0</v>
      </c>
      <c r="AY561" s="170">
        <f>IF(Escenarios!$E$17&gt;0,10*Escenarios!$E$16*AL561,0)</f>
        <v>0</v>
      </c>
      <c r="AZ561" s="170">
        <f>IF(Escenarios!$E$17&gt;0,10*Escenarios!$E$16*AX561,0)</f>
        <v>0</v>
      </c>
      <c r="BA561" s="170">
        <f>IF(Escenarios!$E$17&gt;0,0.001*Observaciones!$F560*Escenarios!$E$17,0)</f>
        <v>44</v>
      </c>
      <c r="BB561" s="170">
        <f>IF(Escenarios!$E$17&gt;0,Observaciones!$K560,0)</f>
        <v>0</v>
      </c>
      <c r="BC561" s="170">
        <f>IF(Escenarios!$E$17&gt;0,MIN(0.0005*ETo!$M560*Escenarios!$E$17*(BG560/Constantes!$E$40)^(2/3),BG560+AY561+AZ561+BA561+BB561),0)</f>
        <v>6.1394416630312092</v>
      </c>
      <c r="BD561" s="170">
        <f>IF(Escenarios!$E$17&gt;0,MIN(Constantes!$E$39*(BG560/Constantes!$E$40)^(2/3),BG560+AY561+AZ561+BA561+BB561-BC561),0)</f>
        <v>17.771155148876911</v>
      </c>
      <c r="BE561" s="170">
        <f>IF(Escenarios!$E$17&gt;0,MIN(Entradas!$E$113,BG560+AY561+AZ561+BA561+BB561-BC561-BD561),0)</f>
        <v>1</v>
      </c>
      <c r="BF561" s="170">
        <f>IF(Escenarios!$E$17&gt;0,MAX(0,BG560+AY561+AZ561+BA561+BB561-BC561-BD561-BE561-Constantes!$E$40),0)</f>
        <v>0</v>
      </c>
      <c r="BG561" s="170">
        <f t="shared" si="124"/>
        <v>717.07626522202247</v>
      </c>
      <c r="BH561" s="170">
        <f>(Escenarios!$E$16*AK561+0.1*BC561)/(Escenarios!$E$19)</f>
        <v>1.2389843861220082</v>
      </c>
      <c r="BI561" s="170">
        <f>IF(Escenarios!$E$17&gt;0,BF561/10/Escenarios!$E$19,AL561)</f>
        <v>0</v>
      </c>
      <c r="BJ561" s="170">
        <f>(Escenarios!$E$16*AT561+0.1*BD561)/(Escenarios!$E$19)</f>
        <v>7.0520456939987741E-3</v>
      </c>
      <c r="BK561" s="76">
        <f>BK560+(0.1*BD561)/(Escenarios!$E$19)-BL560</f>
        <v>50.377803192478531</v>
      </c>
      <c r="BL561" s="76">
        <f>MAX(0,(BK561-Constantes!$D$13)*(1-EXP(-Constantes!$D$23)))</f>
        <v>1.6039132568004835E-2</v>
      </c>
      <c r="BM561" s="76">
        <f t="shared" si="120"/>
        <v>0.50761731919648745</v>
      </c>
      <c r="BN561" s="76">
        <f t="shared" si="125"/>
        <v>0.53793120114558945</v>
      </c>
      <c r="BO561" s="76">
        <f>0.0526*BI561*Observaciones!$F560^1.218</f>
        <v>0</v>
      </c>
      <c r="BP561" s="76">
        <f>BO561*Constantes!$E$51</f>
        <v>0</v>
      </c>
      <c r="BQ561" s="76">
        <f t="shared" si="121"/>
        <v>0</v>
      </c>
      <c r="BR561" s="40"/>
    </row>
    <row r="562" spans="1:70">
      <c r="A562" s="147"/>
      <c r="B562" s="39"/>
      <c r="C562" s="75">
        <v>556</v>
      </c>
      <c r="D562" s="146">
        <f>ETo!$I561*((1-Constantes!$E$19)*ETo!$K561+ETo!$L561)</f>
        <v>2.532491712020438</v>
      </c>
      <c r="E562" s="76">
        <f>MIN(D562*Constantes!$E$17,0.8*(N561+Observaciones!$F561-F562-M562-Constantes!$D$14))</f>
        <v>0.80901657482490641</v>
      </c>
      <c r="F562" s="76">
        <f>IF(Observaciones!$F561&gt;0.05*Constantes!$E$18,((Observaciones!$F561-0.05*Constantes!$E$18)^2)/(Observaciones!$F561+0.95*Constantes!$E$18),0)</f>
        <v>0</v>
      </c>
      <c r="G562" s="76">
        <f>IF(Escenarios!$E$11&gt;0,(F562*Escenarios!$E$16*10000)/1000,0)</f>
        <v>0</v>
      </c>
      <c r="H562" s="76">
        <f>IF(Escenarios!$E$11&gt;0,(Observaciones!$F561*Constantes!$E$29)/1000,0)</f>
        <v>0</v>
      </c>
      <c r="I562" s="76">
        <f>IF(Escenarios!$E$11&gt;0,(D562*Constantes!$E$29)/1000,0)</f>
        <v>25.324917120204379</v>
      </c>
      <c r="J562" s="76">
        <f>IF(Escenarios!$E$11&gt;0,MAX(0,G562+H562-I562),0)</f>
        <v>0</v>
      </c>
      <c r="K562" s="76">
        <f>IF(Escenarios!$E$11&gt;0,IF(J562&gt;Constantes!$E$30,1000*((J562-Constantes!$E$30)/(Escenarios!$E$16*10000)),0),F562)</f>
        <v>0</v>
      </c>
      <c r="L562" s="76">
        <f>IF(Escenarios!$E$11&gt;0,I562*1000/Escenarios!$E$16/10000+E562,E562)</f>
        <v>0.81914654167298817</v>
      </c>
      <c r="M562" s="76">
        <f>MAX(0,N561+Observaciones!$F561-K562-Constantes!$D$13)</f>
        <v>0</v>
      </c>
      <c r="N562" s="76">
        <f>N561+Observaciones!$F561-K562-L562-M562-O561</f>
        <v>11.407676583734164</v>
      </c>
      <c r="O562" s="76">
        <f>MAX(0,(N562-Constantes!$D$14)*(1-EXP(-Constantes!$D$22)))</f>
        <v>5.3710432845745894E-3</v>
      </c>
      <c r="P562" s="170">
        <f>P561+(Entradas!$E$83*M562-Q561)/(800*Entradas!$D$25)</f>
        <v>0</v>
      </c>
      <c r="Q562" s="170">
        <f>8000*Entradas!$D$26*P562/Constantes!$E$45</f>
        <v>0</v>
      </c>
      <c r="R562" s="170">
        <f>IF(Escenarios!$E$14&gt;0,K562*Escenarios!$E$13/Escenarios!$E$14,0)</f>
        <v>0</v>
      </c>
      <c r="S562" s="170">
        <f>IF(Escenarios!$E$14&gt;0,Q562*Escenarios!$E$13/Escenarios!$E$14,0)</f>
        <v>0</v>
      </c>
      <c r="T562" s="170">
        <f>IF(Escenarios!$E$14&gt;0,Observaciones!$I561,0)</f>
        <v>0</v>
      </c>
      <c r="U562" s="170">
        <f>IF(Escenarios!$E$14&gt;0,MAX(0,Constantes!$E$36/((Z561+R562+S562+T562+Observaciones!$F561)^2)+Entradas!$E$77),0)</f>
        <v>0</v>
      </c>
      <c r="V562" s="146">
        <f>IF(ETo!D561&gt;0,ETo!I561*((1-Entradas!$E$81)*ETo!K561+ETo!L561),0)</f>
        <v>2.2790041860325752</v>
      </c>
      <c r="W562" s="170">
        <f>IF(Escenarios!$E$14&gt;0,MIN(V562*1,0.8*(Z561+R562+S562+T562+Observaciones!$F561-U562-Constantes!$E$35)),0)</f>
        <v>0.3519999999999982</v>
      </c>
      <c r="X562" s="170">
        <f>IF(Escenarios!$E$14&gt;0,Observaciones!$J561,0)</f>
        <v>0</v>
      </c>
      <c r="Y562" s="170">
        <f>IF(Escenarios!$E$14&gt;0,MAX(0,Z561+R562+S562+T562+Observaciones!$F561-U562-W562-X562-Constantes!$E$33),0)</f>
        <v>0</v>
      </c>
      <c r="Z562" s="170">
        <f>Z561+R562+S562+T562+Observaciones!$F561-U562-W562-Y562</f>
        <v>41.338000000000001</v>
      </c>
      <c r="AA562" s="170">
        <f>IF(Escenarios!$E$14&gt;0,(Escenarios!$E$13*L562+Escenarios!$E$14*W562)/(Escenarios!$E$16),L562)</f>
        <v>0.76308895667222942</v>
      </c>
      <c r="AB562" s="170">
        <f>IF(Escenarios!$E$14&gt;0,(Escenarios!$E$14*Y562)/(Escenarios!$E$16),K562)</f>
        <v>0</v>
      </c>
      <c r="AC562" s="170">
        <f>IF(Escenarios!$E$14&gt;0,(Escenarios!$E$13*M562+Escenarios!$E$14*U562)/(Escenarios!$E$16),M562)</f>
        <v>0</v>
      </c>
      <c r="AD562" s="76">
        <f t="shared" si="113"/>
        <v>98.148435388225948</v>
      </c>
      <c r="AE562" s="76">
        <f>MAX(0,(AD562-Constantes!$D$13)*(1-EXP(-Constantes!$D$23)))</f>
        <v>0.48673454967083013</v>
      </c>
      <c r="AF562" s="76">
        <f>AB562+O562*Escenarios!$E$13/Escenarios!$E$16+AE562</f>
        <v>0.49146106776125575</v>
      </c>
      <c r="AG562" s="76">
        <f>IF(Entradas!$E$91&gt;0,IF(AF562-Escenarios!$E$38&lt;=0,0,IF(AF562-Escenarios!$E$38&gt;Escenarios!$E$37,Escenarios!$E$37,AF562-Escenarios!$E$38)),0)</f>
        <v>0</v>
      </c>
      <c r="AH562" s="76">
        <f>AG562*Entradas!$E$99</f>
        <v>0</v>
      </c>
      <c r="AI562" s="76">
        <f>IF(Entradas!$E$91&gt;0,D562*Entradas!$D$23/Escenarios!$E$16,0)</f>
        <v>0</v>
      </c>
      <c r="AJ562" s="76">
        <f>IF(Entradas!$E$91&gt;0,Entradas!$D$24*Entradas!$D$22/Escenarios!$E$16,0)</f>
        <v>0</v>
      </c>
      <c r="AK562" s="76">
        <f t="shared" si="122"/>
        <v>0.76308895667222942</v>
      </c>
      <c r="AL562" s="76">
        <f t="shared" si="123"/>
        <v>0</v>
      </c>
      <c r="AM562" s="76">
        <f t="shared" si="114"/>
        <v>0</v>
      </c>
      <c r="AN562" s="76">
        <f>MAX(0,O562*Escenarios!$E$13/Escenarios!$E$16-AM562)</f>
        <v>4.7265180904256391E-3</v>
      </c>
      <c r="AO562" s="76">
        <f>AM562+AN562-O562*Escenarios!$E$13/Escenarios!$E$16</f>
        <v>0</v>
      </c>
      <c r="AP562" s="76">
        <f t="shared" si="112"/>
        <v>0.48673454967083013</v>
      </c>
      <c r="AQ562" s="76">
        <f t="shared" si="115"/>
        <v>0</v>
      </c>
      <c r="AR562" s="76">
        <f t="shared" si="116"/>
        <v>0.49146106776125575</v>
      </c>
      <c r="AS562" s="76">
        <f t="shared" si="117"/>
        <v>0</v>
      </c>
      <c r="AT562" s="76">
        <f t="shared" si="118"/>
        <v>0</v>
      </c>
      <c r="AU562" s="76">
        <f t="shared" si="119"/>
        <v>48.75</v>
      </c>
      <c r="AV562" s="76">
        <f>MAX(0,(AU562-Constantes!$D$13)*(1-EXP(-Constantes!$D$24)))</f>
        <v>0</v>
      </c>
      <c r="AW562" s="170">
        <f>AW561+(Entradas!$E$112*AT562-AX561)/(800*Entradas!$D$25)</f>
        <v>0</v>
      </c>
      <c r="AX562" s="170">
        <f>8000*Entradas!$D$26*AW562/Constantes!$E$45</f>
        <v>0</v>
      </c>
      <c r="AY562" s="170">
        <f>IF(Escenarios!$E$17&gt;0,10*Escenarios!$E$16*AL562,0)</f>
        <v>0</v>
      </c>
      <c r="AZ562" s="170">
        <f>IF(Escenarios!$E$17&gt;0,10*Escenarios!$E$16*AX562,0)</f>
        <v>0</v>
      </c>
      <c r="BA562" s="170">
        <f>IF(Escenarios!$E$17&gt;0,0.001*Observaciones!$F561*Escenarios!$E$17,0)</f>
        <v>0</v>
      </c>
      <c r="BB562" s="170">
        <f>IF(Escenarios!$E$17&gt;0,Observaciones!$K561,0)</f>
        <v>0</v>
      </c>
      <c r="BC562" s="170">
        <f>IF(Escenarios!$E$17&gt;0,MIN(0.0005*ETo!$M561*Escenarios!$E$17*(BG561/Constantes!$E$40)^(2/3),BG561+AY562+AZ562+BA562+BB562),0)</f>
        <v>6.6299027868719138</v>
      </c>
      <c r="BD562" s="170">
        <f>IF(Escenarios!$E$17&gt;0,MIN(Constantes!$E$39*(BG561/Constantes!$E$40)^(2/3),BG561+AY562+AZ562+BA562+BB562-BC562),0)</f>
        <v>18.093714150788912</v>
      </c>
      <c r="BE562" s="170">
        <f>IF(Escenarios!$E$17&gt;0,MIN(Entradas!$E$113,BG561+AY562+AZ562+BA562+BB562-BC562-BD562),0)</f>
        <v>1</v>
      </c>
      <c r="BF562" s="170">
        <f>IF(Escenarios!$E$17&gt;0,MAX(0,BG561+AY562+AZ562+BA562+BB562-BC562-BD562-BE562-Constantes!$E$40),0)</f>
        <v>0</v>
      </c>
      <c r="BG562" s="170">
        <f t="shared" si="124"/>
        <v>691.35264828436175</v>
      </c>
      <c r="BH562" s="170">
        <f>(Escenarios!$E$16*AK562+0.1*BC562)/(Escenarios!$E$19)</f>
        <v>0.75966360891565299</v>
      </c>
      <c r="BI562" s="170">
        <f>IF(Escenarios!$E$17&gt;0,BF562/10/Escenarios!$E$19,AL562)</f>
        <v>0</v>
      </c>
      <c r="BJ562" s="170">
        <f>(Escenarios!$E$16*AT562+0.1*BD562)/(Escenarios!$E$19)</f>
        <v>7.1800452979321082E-3</v>
      </c>
      <c r="BK562" s="76">
        <f>BK561+(0.1*BD562)/(Escenarios!$E$19)-BL561</f>
        <v>50.368944105208456</v>
      </c>
      <c r="BL562" s="76">
        <f>MAX(0,(BK562-Constantes!$D$13)*(1-EXP(-Constantes!$D$23)))</f>
        <v>1.5951841871062595E-2</v>
      </c>
      <c r="BM562" s="76">
        <f t="shared" si="120"/>
        <v>0.50268639154189276</v>
      </c>
      <c r="BN562" s="76">
        <f t="shared" si="125"/>
        <v>0.50741290963231833</v>
      </c>
      <c r="BO562" s="76">
        <f>0.0526*BI562*Observaciones!$F561^1.218</f>
        <v>0</v>
      </c>
      <c r="BP562" s="76">
        <f>BO562*Constantes!$E$51</f>
        <v>0</v>
      </c>
      <c r="BQ562" s="76">
        <f t="shared" si="121"/>
        <v>0</v>
      </c>
      <c r="BR562" s="40"/>
    </row>
    <row r="563" spans="1:70">
      <c r="A563" s="147"/>
      <c r="B563" s="39"/>
      <c r="C563" s="75">
        <v>557</v>
      </c>
      <c r="D563" s="146">
        <f>ETo!$I562*((1-Constantes!$E$19)*ETo!$K562+ETo!$L562)</f>
        <v>2.6245818799753478</v>
      </c>
      <c r="E563" s="76">
        <f>MIN(D563*Constantes!$E$17,0.8*(N562+Observaciones!$F562-F563-M563-Constantes!$D$14))</f>
        <v>0.12614126698733089</v>
      </c>
      <c r="F563" s="76">
        <f>IF(Observaciones!$F562&gt;0.05*Constantes!$E$18,((Observaciones!$F562-0.05*Constantes!$E$18)^2)/(Observaciones!$F562+0.95*Constantes!$E$18),0)</f>
        <v>0</v>
      </c>
      <c r="G563" s="76">
        <f>IF(Escenarios!$E$11&gt;0,(F563*Escenarios!$E$16*10000)/1000,0)</f>
        <v>0</v>
      </c>
      <c r="H563" s="76">
        <f>IF(Escenarios!$E$11&gt;0,(Observaciones!$F562*Constantes!$E$29)/1000,0)</f>
        <v>0</v>
      </c>
      <c r="I563" s="76">
        <f>IF(Escenarios!$E$11&gt;0,(D563*Constantes!$E$29)/1000,0)</f>
        <v>26.245818799753476</v>
      </c>
      <c r="J563" s="76">
        <f>IF(Escenarios!$E$11&gt;0,MAX(0,G563+H563-I563),0)</f>
        <v>0</v>
      </c>
      <c r="K563" s="76">
        <f>IF(Escenarios!$E$11&gt;0,IF(J563&gt;Constantes!$E$30,1000*((J563-Constantes!$E$30)/(Escenarios!$E$16*10000)),0),F563)</f>
        <v>0</v>
      </c>
      <c r="L563" s="76">
        <f>IF(Escenarios!$E$11&gt;0,I563*1000/Escenarios!$E$16/10000+E563,E563)</f>
        <v>0.13663959450723229</v>
      </c>
      <c r="M563" s="76">
        <f>MAX(0,N562+Observaciones!$F562-K563-Constantes!$D$13)</f>
        <v>0</v>
      </c>
      <c r="N563" s="76">
        <f>N562+Observaciones!$F562-K563-L563-M563-O562</f>
        <v>11.265665945942358</v>
      </c>
      <c r="O563" s="76">
        <f>MAX(0,(N563-Constantes!$D$14)*(1-EXP(-Constantes!$D$22)))</f>
        <v>5.3363962966161888E-4</v>
      </c>
      <c r="P563" s="170">
        <f>P562+(Entradas!$E$83*M563-Q562)/(800*Entradas!$D$25)</f>
        <v>0</v>
      </c>
      <c r="Q563" s="170">
        <f>8000*Entradas!$D$26*P563/Constantes!$E$45</f>
        <v>0</v>
      </c>
      <c r="R563" s="170">
        <f>IF(Escenarios!$E$14&gt;0,K563*Escenarios!$E$13/Escenarios!$E$14,0)</f>
        <v>0</v>
      </c>
      <c r="S563" s="170">
        <f>IF(Escenarios!$E$14&gt;0,Q563*Escenarios!$E$13/Escenarios!$E$14,0)</f>
        <v>0</v>
      </c>
      <c r="T563" s="170">
        <f>IF(Escenarios!$E$14&gt;0,Observaciones!$I562,0)</f>
        <v>0</v>
      </c>
      <c r="U563" s="170">
        <f>IF(Escenarios!$E$14&gt;0,MAX(0,Constantes!$E$36/((Z562+R563+S563+T563+Observaciones!$F562)^2)+Entradas!$E$77),0)</f>
        <v>0</v>
      </c>
      <c r="V563" s="146">
        <f>IF(ETo!D562&gt;0,ETo!I562*((1-Entradas!$E$81)*ETo!K562+ETo!L562),0)</f>
        <v>2.3629275728967771</v>
      </c>
      <c r="W563" s="170">
        <f>IF(Escenarios!$E$14&gt;0,MIN(V563*1,0.8*(Z562+R563+S563+T563+Observaciones!$F562-U563-Constantes!$E$35)),0)</f>
        <v>7.0400000000000781E-2</v>
      </c>
      <c r="X563" s="170">
        <f>IF(Escenarios!$E$14&gt;0,Observaciones!$J562,0)</f>
        <v>0</v>
      </c>
      <c r="Y563" s="170">
        <f>IF(Escenarios!$E$14&gt;0,MAX(0,Z562+R563+S563+T563+Observaciones!$F562-U563-W563-X563-Constantes!$E$33),0)</f>
        <v>0</v>
      </c>
      <c r="Z563" s="170">
        <f>Z562+R563+S563+T563+Observaciones!$F562-U563-W563-Y563</f>
        <v>41.267600000000002</v>
      </c>
      <c r="AA563" s="170">
        <f>IF(Escenarios!$E$14&gt;0,(Escenarios!$E$13*L563+Escenarios!$E$14*W563)/(Escenarios!$E$16),L563)</f>
        <v>0.1286908431663645</v>
      </c>
      <c r="AB563" s="170">
        <f>IF(Escenarios!$E$14&gt;0,(Escenarios!$E$14*Y563)/(Escenarios!$E$16),K563)</f>
        <v>0</v>
      </c>
      <c r="AC563" s="170">
        <f>IF(Escenarios!$E$14&gt;0,(Escenarios!$E$13*M563+Escenarios!$E$14*U563)/(Escenarios!$E$16),M563)</f>
        <v>0</v>
      </c>
      <c r="AD563" s="76">
        <f t="shared" si="113"/>
        <v>97.66170083855512</v>
      </c>
      <c r="AE563" s="76">
        <f>MAX(0,(AD563-Constantes!$D$13)*(1-EXP(-Constantes!$D$23)))</f>
        <v>0.48193863822178584</v>
      </c>
      <c r="AF563" s="76">
        <f>AB563+O563*Escenarios!$E$13/Escenarios!$E$16+AE563</f>
        <v>0.48240824109588809</v>
      </c>
      <c r="AG563" s="76">
        <f>IF(Entradas!$E$91&gt;0,IF(AF563-Escenarios!$E$38&lt;=0,0,IF(AF563-Escenarios!$E$38&gt;Escenarios!$E$37,Escenarios!$E$37,AF563-Escenarios!$E$38)),0)</f>
        <v>0</v>
      </c>
      <c r="AH563" s="76">
        <f>AG563*Entradas!$E$99</f>
        <v>0</v>
      </c>
      <c r="AI563" s="76">
        <f>IF(Entradas!$E$91&gt;0,D563*Entradas!$D$23/Escenarios!$E$16,0)</f>
        <v>0</v>
      </c>
      <c r="AJ563" s="76">
        <f>IF(Entradas!$E$91&gt;0,Entradas!$D$24*Entradas!$D$22/Escenarios!$E$16,0)</f>
        <v>0</v>
      </c>
      <c r="AK563" s="76">
        <f t="shared" si="122"/>
        <v>0.1286908431663645</v>
      </c>
      <c r="AL563" s="76">
        <f t="shared" si="123"/>
        <v>0</v>
      </c>
      <c r="AM563" s="76">
        <f t="shared" si="114"/>
        <v>0</v>
      </c>
      <c r="AN563" s="76">
        <f>MAX(0,O563*Escenarios!$E$13/Escenarios!$E$16-AM563)</f>
        <v>4.6960287410222464E-4</v>
      </c>
      <c r="AO563" s="76">
        <f>AM563+AN563-O563*Escenarios!$E$13/Escenarios!$E$16</f>
        <v>0</v>
      </c>
      <c r="AP563" s="76">
        <f t="shared" si="112"/>
        <v>0.48193863822178584</v>
      </c>
      <c r="AQ563" s="76">
        <f t="shared" si="115"/>
        <v>0</v>
      </c>
      <c r="AR563" s="76">
        <f t="shared" si="116"/>
        <v>0.48240824109588809</v>
      </c>
      <c r="AS563" s="76">
        <f t="shared" si="117"/>
        <v>0</v>
      </c>
      <c r="AT563" s="76">
        <f t="shared" si="118"/>
        <v>0</v>
      </c>
      <c r="AU563" s="76">
        <f t="shared" si="119"/>
        <v>48.75</v>
      </c>
      <c r="AV563" s="76">
        <f>MAX(0,(AU563-Constantes!$D$13)*(1-EXP(-Constantes!$D$24)))</f>
        <v>0</v>
      </c>
      <c r="AW563" s="170">
        <f>AW562+(Entradas!$E$112*AT563-AX562)/(800*Entradas!$D$25)</f>
        <v>0</v>
      </c>
      <c r="AX563" s="170">
        <f>8000*Entradas!$D$26*AW563/Constantes!$E$45</f>
        <v>0</v>
      </c>
      <c r="AY563" s="170">
        <f>IF(Escenarios!$E$17&gt;0,10*Escenarios!$E$16*AL563,0)</f>
        <v>0</v>
      </c>
      <c r="AZ563" s="170">
        <f>IF(Escenarios!$E$17&gt;0,10*Escenarios!$E$16*AX563,0)</f>
        <v>0</v>
      </c>
      <c r="BA563" s="170">
        <f>IF(Escenarios!$E$17&gt;0,0.001*Observaciones!$F562*Escenarios!$E$17,0)</f>
        <v>0</v>
      </c>
      <c r="BB563" s="170">
        <f>IF(Escenarios!$E$17&gt;0,Observaciones!$K562,0)</f>
        <v>0</v>
      </c>
      <c r="BC563" s="170">
        <f>IF(Escenarios!$E$17&gt;0,MIN(0.0005*ETo!$M562*Escenarios!$E$17*(BG562/Constantes!$E$40)^(2/3),BG562+AY563+AZ563+BA563+BB563),0)</f>
        <v>6.7020189069386893</v>
      </c>
      <c r="BD563" s="170">
        <f>IF(Escenarios!$E$17&gt;0,MIN(Constantes!$E$39*(BG562/Constantes!$E$40)^(2/3),BG562+AY563+AZ563+BA563+BB563-BC563),0)</f>
        <v>17.658368689346887</v>
      </c>
      <c r="BE563" s="170">
        <f>IF(Escenarios!$E$17&gt;0,MIN(Entradas!$E$113,BG562+AY563+AZ563+BA563+BB563-BC563-BD563),0)</f>
        <v>1</v>
      </c>
      <c r="BF563" s="170">
        <f>IF(Escenarios!$E$17&gt;0,MAX(0,BG562+AY563+AZ563+BA563+BB563-BC563-BD563-BE563-Constantes!$E$40),0)</f>
        <v>0</v>
      </c>
      <c r="BG563" s="170">
        <f t="shared" si="124"/>
        <v>665.99226068807627</v>
      </c>
      <c r="BH563" s="170">
        <f>(Escenarios!$E$16*AK563+0.1*BC563)/(Escenarios!$E$19)</f>
        <v>0.13032901858049603</v>
      </c>
      <c r="BI563" s="170">
        <f>IF(Escenarios!$E$17&gt;0,BF563/10/Escenarios!$E$19,AL563)</f>
        <v>0</v>
      </c>
      <c r="BJ563" s="170">
        <f>(Escenarios!$E$16*AT563+0.1*BD563)/(Escenarios!$E$19)</f>
        <v>7.0072891624392416E-3</v>
      </c>
      <c r="BK563" s="76">
        <f>BK562+(0.1*BD563)/(Escenarios!$E$19)-BL562</f>
        <v>50.359999552499829</v>
      </c>
      <c r="BL563" s="76">
        <f>MAX(0,(BK563-Constantes!$D$13)*(1-EXP(-Constantes!$D$23)))</f>
        <v>1.586370906279802E-2</v>
      </c>
      <c r="BM563" s="76">
        <f t="shared" si="120"/>
        <v>0.49780234728458383</v>
      </c>
      <c r="BN563" s="76">
        <f t="shared" si="125"/>
        <v>0.49827195015868608</v>
      </c>
      <c r="BO563" s="76">
        <f>0.0526*BI563*Observaciones!$F562^1.218</f>
        <v>0</v>
      </c>
      <c r="BP563" s="76">
        <f>BO563*Constantes!$E$51</f>
        <v>0</v>
      </c>
      <c r="BQ563" s="76">
        <f t="shared" si="121"/>
        <v>0</v>
      </c>
      <c r="BR563" s="40"/>
    </row>
    <row r="564" spans="1:70">
      <c r="A564" s="147"/>
      <c r="B564" s="39"/>
      <c r="C564" s="75">
        <v>558</v>
      </c>
      <c r="D564" s="146">
        <f>ETo!$I563*((1-Constantes!$E$19)*ETo!$K563+ETo!$L563)</f>
        <v>2.624210852002665</v>
      </c>
      <c r="E564" s="76">
        <f>MIN(D564*Constantes!$E$17,0.8*(N563+Observaciones!$F563-F564-M564-Constantes!$D$14))</f>
        <v>1.2532756753886078E-2</v>
      </c>
      <c r="F564" s="76">
        <f>IF(Observaciones!$F563&gt;0.05*Constantes!$E$18,((Observaciones!$F563-0.05*Constantes!$E$18)^2)/(Observaciones!$F563+0.95*Constantes!$E$18),0)</f>
        <v>0</v>
      </c>
      <c r="G564" s="76">
        <f>IF(Escenarios!$E$11&gt;0,(F564*Escenarios!$E$16*10000)/1000,0)</f>
        <v>0</v>
      </c>
      <c r="H564" s="76">
        <f>IF(Escenarios!$E$11&gt;0,(Observaciones!$F563*Constantes!$E$29)/1000,0)</f>
        <v>0</v>
      </c>
      <c r="I564" s="76">
        <f>IF(Escenarios!$E$11&gt;0,(D564*Constantes!$E$29)/1000,0)</f>
        <v>26.242108520026651</v>
      </c>
      <c r="J564" s="76">
        <f>IF(Escenarios!$E$11&gt;0,MAX(0,G564+H564-I564),0)</f>
        <v>0</v>
      </c>
      <c r="K564" s="76">
        <f>IF(Escenarios!$E$11&gt;0,IF(J564&gt;Constantes!$E$30,1000*((J564-Constantes!$E$30)/(Escenarios!$E$16*10000)),0),F564)</f>
        <v>0</v>
      </c>
      <c r="L564" s="76">
        <f>IF(Escenarios!$E$11&gt;0,I564*1000/Escenarios!$E$16/10000+E564,E564)</f>
        <v>2.3029600161896736E-2</v>
      </c>
      <c r="M564" s="76">
        <f>MAX(0,N563+Observaciones!$F563-K564-Constantes!$D$13)</f>
        <v>0</v>
      </c>
      <c r="N564" s="76">
        <f>N563+Observaciones!$F563-K564-L564-M564-O563</f>
        <v>11.242102706150799</v>
      </c>
      <c r="O564" s="76">
        <f>MAX(0,(N564-Constantes!$D$14)*(1-EXP(-Constantes!$D$22)))</f>
        <v>0</v>
      </c>
      <c r="P564" s="170">
        <f>P563+(Entradas!$E$83*M564-Q563)/(800*Entradas!$D$25)</f>
        <v>0</v>
      </c>
      <c r="Q564" s="170">
        <f>8000*Entradas!$D$26*P564/Constantes!$E$45</f>
        <v>0</v>
      </c>
      <c r="R564" s="170">
        <f>IF(Escenarios!$E$14&gt;0,K564*Escenarios!$E$13/Escenarios!$E$14,0)</f>
        <v>0</v>
      </c>
      <c r="S564" s="170">
        <f>IF(Escenarios!$E$14&gt;0,Q564*Escenarios!$E$13/Escenarios!$E$14,0)</f>
        <v>0</v>
      </c>
      <c r="T564" s="170">
        <f>IF(Escenarios!$E$14&gt;0,Observaciones!$I563,0)</f>
        <v>0</v>
      </c>
      <c r="U564" s="170">
        <f>IF(Escenarios!$E$14&gt;0,MAX(0,Constantes!$E$36/((Z563+R564+S564+T564+Observaciones!$F563)^2)+Entradas!$E$77),0)</f>
        <v>0</v>
      </c>
      <c r="V564" s="146">
        <f>IF(ETo!D563&gt;0,ETo!I563*((1-Entradas!$E$81)*ETo!K563+ETo!L563),0)</f>
        <v>2.3628119448934748</v>
      </c>
      <c r="W564" s="170">
        <f>IF(Escenarios!$E$14&gt;0,MIN(V564*1,0.8*(Z563+R564+S564+T564+Observaciones!$F563-U564-Constantes!$E$35)),0)</f>
        <v>1.4080000000001293E-2</v>
      </c>
      <c r="X564" s="170">
        <f>IF(Escenarios!$E$14&gt;0,Observaciones!$J563,0)</f>
        <v>0</v>
      </c>
      <c r="Y564" s="170">
        <f>IF(Escenarios!$E$14&gt;0,MAX(0,Z563+R564+S564+T564+Observaciones!$F563-U564-W564-X564-Constantes!$E$33),0)</f>
        <v>0</v>
      </c>
      <c r="Z564" s="170">
        <f>Z563+R564+S564+T564+Observaciones!$F563-U564-W564-Y564</f>
        <v>41.253520000000002</v>
      </c>
      <c r="AA564" s="170">
        <f>IF(Escenarios!$E$14&gt;0,(Escenarios!$E$13*L564+Escenarios!$E$14*W564)/(Escenarios!$E$16),L564)</f>
        <v>2.1955648142469284E-2</v>
      </c>
      <c r="AB564" s="170">
        <f>IF(Escenarios!$E$14&gt;0,(Escenarios!$E$14*Y564)/(Escenarios!$E$16),K564)</f>
        <v>0</v>
      </c>
      <c r="AC564" s="170">
        <f>IF(Escenarios!$E$14&gt;0,(Escenarios!$E$13*M564+Escenarios!$E$14*U564)/(Escenarios!$E$16),M564)</f>
        <v>0</v>
      </c>
      <c r="AD564" s="76">
        <f t="shared" si="113"/>
        <v>97.179762200333329</v>
      </c>
      <c r="AE564" s="76">
        <f>MAX(0,(AD564-Constantes!$D$13)*(1-EXP(-Constantes!$D$23)))</f>
        <v>0.47718998203054608</v>
      </c>
      <c r="AF564" s="76">
        <f>AB564+O564*Escenarios!$E$13/Escenarios!$E$16+AE564</f>
        <v>0.47718998203054608</v>
      </c>
      <c r="AG564" s="76">
        <f>IF(Entradas!$E$91&gt;0,IF(AF564-Escenarios!$E$38&lt;=0,0,IF(AF564-Escenarios!$E$38&gt;Escenarios!$E$37,Escenarios!$E$37,AF564-Escenarios!$E$38)),0)</f>
        <v>0</v>
      </c>
      <c r="AH564" s="76">
        <f>AG564*Entradas!$E$99</f>
        <v>0</v>
      </c>
      <c r="AI564" s="76">
        <f>IF(Entradas!$E$91&gt;0,D564*Entradas!$D$23/Escenarios!$E$16,0)</f>
        <v>0</v>
      </c>
      <c r="AJ564" s="76">
        <f>IF(Entradas!$E$91&gt;0,Entradas!$D$24*Entradas!$D$22/Escenarios!$E$16,0)</f>
        <v>0</v>
      </c>
      <c r="AK564" s="76">
        <f t="shared" si="122"/>
        <v>2.1955648142469284E-2</v>
      </c>
      <c r="AL564" s="76">
        <f t="shared" si="123"/>
        <v>0</v>
      </c>
      <c r="AM564" s="76">
        <f t="shared" si="114"/>
        <v>0</v>
      </c>
      <c r="AN564" s="76">
        <f>MAX(0,O564*Escenarios!$E$13/Escenarios!$E$16-AM564)</f>
        <v>0</v>
      </c>
      <c r="AO564" s="76">
        <f>AM564+AN564-O564*Escenarios!$E$13/Escenarios!$E$16</f>
        <v>0</v>
      </c>
      <c r="AP564" s="76">
        <f t="shared" si="112"/>
        <v>0.47718998203054608</v>
      </c>
      <c r="AQ564" s="76">
        <f t="shared" si="115"/>
        <v>0</v>
      </c>
      <c r="AR564" s="76">
        <f t="shared" si="116"/>
        <v>0.47718998203054608</v>
      </c>
      <c r="AS564" s="76">
        <f t="shared" si="117"/>
        <v>0</v>
      </c>
      <c r="AT564" s="76">
        <f t="shared" si="118"/>
        <v>0</v>
      </c>
      <c r="AU564" s="76">
        <f t="shared" si="119"/>
        <v>48.75</v>
      </c>
      <c r="AV564" s="76">
        <f>MAX(0,(AU564-Constantes!$D$13)*(1-EXP(-Constantes!$D$24)))</f>
        <v>0</v>
      </c>
      <c r="AW564" s="170">
        <f>AW563+(Entradas!$E$112*AT564-AX563)/(800*Entradas!$D$25)</f>
        <v>0</v>
      </c>
      <c r="AX564" s="170">
        <f>8000*Entradas!$D$26*AW564/Constantes!$E$45</f>
        <v>0</v>
      </c>
      <c r="AY564" s="170">
        <f>IF(Escenarios!$E$17&gt;0,10*Escenarios!$E$16*AL564,0)</f>
        <v>0</v>
      </c>
      <c r="AZ564" s="170">
        <f>IF(Escenarios!$E$17&gt;0,10*Escenarios!$E$16*AX564,0)</f>
        <v>0</v>
      </c>
      <c r="BA564" s="170">
        <f>IF(Escenarios!$E$17&gt;0,0.001*Observaciones!$F563*Escenarios!$E$17,0)</f>
        <v>0</v>
      </c>
      <c r="BB564" s="170">
        <f>IF(Escenarios!$E$17&gt;0,Observaciones!$K563,0)</f>
        <v>0</v>
      </c>
      <c r="BC564" s="170">
        <f>IF(Escenarios!$E$17&gt;0,MIN(0.0005*ETo!$M563*Escenarios!$E$17*(BG563/Constantes!$E$40)^(2/3),BG563+AY564+AZ564+BA564+BB564),0)</f>
        <v>6.5354392743066709</v>
      </c>
      <c r="BD564" s="170">
        <f>IF(Escenarios!$E$17&gt;0,MIN(Constantes!$E$39*(BG563/Constantes!$E$40)^(2/3),BG563+AY564+AZ564+BA564+BB564-BC564),0)</f>
        <v>17.223851850515185</v>
      </c>
      <c r="BE564" s="170">
        <f>IF(Escenarios!$E$17&gt;0,MIN(Entradas!$E$113,BG563+AY564+AZ564+BA564+BB564-BC564-BD564),0)</f>
        <v>1</v>
      </c>
      <c r="BF564" s="170">
        <f>IF(Escenarios!$E$17&gt;0,MAX(0,BG563+AY564+AZ564+BA564+BB564-BC564-BD564-BE564-Constantes!$E$40),0)</f>
        <v>0</v>
      </c>
      <c r="BG564" s="170">
        <f t="shared" si="124"/>
        <v>641.23296956325441</v>
      </c>
      <c r="BH564" s="170">
        <f>(Escenarios!$E$16*AK564+0.1*BC564)/(Escenarios!$E$19)</f>
        <v>2.437482525019043E-2</v>
      </c>
      <c r="BI564" s="170">
        <f>IF(Escenarios!$E$17&gt;0,BF564/10/Escenarios!$E$19,AL564)</f>
        <v>0</v>
      </c>
      <c r="BJ564" s="170">
        <f>(Escenarios!$E$16*AT564+0.1*BD564)/(Escenarios!$E$19)</f>
        <v>6.8348618454425339E-3</v>
      </c>
      <c r="BK564" s="76">
        <f>BK563+(0.1*BD564)/(Escenarios!$E$19)-BL563</f>
        <v>50.350970705282471</v>
      </c>
      <c r="BL564" s="76">
        <f>MAX(0,(BK564-Constantes!$D$13)*(1-EXP(-Constantes!$D$23)))</f>
        <v>1.5774745680661527E-2</v>
      </c>
      <c r="BM564" s="76">
        <f t="shared" si="120"/>
        <v>0.49296472771120758</v>
      </c>
      <c r="BN564" s="76">
        <f t="shared" si="125"/>
        <v>0.49296472771120758</v>
      </c>
      <c r="BO564" s="76">
        <f>0.0526*BI564*Observaciones!$F563^1.218</f>
        <v>0</v>
      </c>
      <c r="BP564" s="76">
        <f>BO564*Constantes!$E$51</f>
        <v>0</v>
      </c>
      <c r="BQ564" s="76">
        <f t="shared" si="121"/>
        <v>0</v>
      </c>
      <c r="BR564" s="40"/>
    </row>
    <row r="565" spans="1:70">
      <c r="A565" s="147"/>
      <c r="B565" s="39"/>
      <c r="C565" s="75">
        <v>559</v>
      </c>
      <c r="D565" s="146">
        <f>ETo!$I564*((1-Constantes!$E$19)*ETo!$K564+ETo!$L564)</f>
        <v>2.524888601945726</v>
      </c>
      <c r="E565" s="76">
        <f>MIN(D565*Constantes!$E$17,0.8*(N564+Observaciones!$F564-F565-M565-Constantes!$D$14))</f>
        <v>-6.3178350793606343E-3</v>
      </c>
      <c r="F565" s="76">
        <f>IF(Observaciones!$F564&gt;0.05*Constantes!$E$18,((Observaciones!$F564-0.05*Constantes!$E$18)^2)/(Observaciones!$F564+0.95*Constantes!$E$18),0)</f>
        <v>0</v>
      </c>
      <c r="G565" s="76">
        <f>IF(Escenarios!$E$11&gt;0,(F565*Escenarios!$E$16*10000)/1000,0)</f>
        <v>0</v>
      </c>
      <c r="H565" s="76">
        <f>IF(Escenarios!$E$11&gt;0,(Observaciones!$F564*Constantes!$E$29)/1000,0)</f>
        <v>0</v>
      </c>
      <c r="I565" s="76">
        <f>IF(Escenarios!$E$11&gt;0,(D565*Constantes!$E$29)/1000,0)</f>
        <v>25.24888601945726</v>
      </c>
      <c r="J565" s="76">
        <f>IF(Escenarios!$E$11&gt;0,MAX(0,G565+H565-I565),0)</f>
        <v>0</v>
      </c>
      <c r="K565" s="76">
        <f>IF(Escenarios!$E$11&gt;0,IF(J565&gt;Constantes!$E$30,1000*((J565-Constantes!$E$30)/(Escenarios!$E$16*10000)),0),F565)</f>
        <v>0</v>
      </c>
      <c r="L565" s="76">
        <f>IF(Escenarios!$E$11&gt;0,I565*1000/Escenarios!$E$16/10000+E565,E565)</f>
        <v>3.7817193284222688E-3</v>
      </c>
      <c r="M565" s="76">
        <f>MAX(0,N564+Observaciones!$F564-K565-Constantes!$D$13)</f>
        <v>0</v>
      </c>
      <c r="N565" s="76">
        <f>N564+Observaciones!$F564-K565-L565-M565-O564</f>
        <v>11.238320986822377</v>
      </c>
      <c r="O565" s="76">
        <f>MAX(0,(N565-Constantes!$D$14)*(1-EXP(-Constantes!$D$22)))</f>
        <v>0</v>
      </c>
      <c r="P565" s="170">
        <f>P564+(Entradas!$E$83*M565-Q564)/(800*Entradas!$D$25)</f>
        <v>0</v>
      </c>
      <c r="Q565" s="170">
        <f>8000*Entradas!$D$26*P565/Constantes!$E$45</f>
        <v>0</v>
      </c>
      <c r="R565" s="170">
        <f>IF(Escenarios!$E$14&gt;0,K565*Escenarios!$E$13/Escenarios!$E$14,0)</f>
        <v>0</v>
      </c>
      <c r="S565" s="170">
        <f>IF(Escenarios!$E$14&gt;0,Q565*Escenarios!$E$13/Escenarios!$E$14,0)</f>
        <v>0</v>
      </c>
      <c r="T565" s="170">
        <f>IF(Escenarios!$E$14&gt;0,Observaciones!$I564,0)</f>
        <v>0</v>
      </c>
      <c r="U565" s="170">
        <f>IF(Escenarios!$E$14&gt;0,MAX(0,Constantes!$E$36/((Z564+R565+S565+T565+Observaciones!$F564)^2)+Entradas!$E$77),0)</f>
        <v>0</v>
      </c>
      <c r="V565" s="146">
        <f>IF(ETo!D564&gt;0,ETo!I564*((1-Entradas!$E$81)*ETo!K564+ETo!L564),0)</f>
        <v>2.2728735906247355</v>
      </c>
      <c r="W565" s="170">
        <f>IF(Escenarios!$E$14&gt;0,MIN(V565*1,0.8*(Z564+R565+S565+T565+Observaciones!$F564-U565-Constantes!$E$35)),0)</f>
        <v>2.8160000000013955E-3</v>
      </c>
      <c r="X565" s="170">
        <f>IF(Escenarios!$E$14&gt;0,Observaciones!$J564,0)</f>
        <v>0</v>
      </c>
      <c r="Y565" s="170">
        <f>IF(Escenarios!$E$14&gt;0,MAX(0,Z564+R565+S565+T565+Observaciones!$F564-U565-W565-X565-Constantes!$E$33),0)</f>
        <v>0</v>
      </c>
      <c r="Z565" s="170">
        <f>Z564+R565+S565+T565+Observaciones!$F564-U565-W565-Y565</f>
        <v>41.250703999999999</v>
      </c>
      <c r="AA565" s="170">
        <f>IF(Escenarios!$E$14&gt;0,(Escenarios!$E$13*L565+Escenarios!$E$14*W565)/(Escenarios!$E$16),L565)</f>
        <v>3.6658330090117638E-3</v>
      </c>
      <c r="AB565" s="170">
        <f>IF(Escenarios!$E$14&gt;0,(Escenarios!$E$14*Y565)/(Escenarios!$E$16),K565)</f>
        <v>0</v>
      </c>
      <c r="AC565" s="170">
        <f>IF(Escenarios!$E$14&gt;0,(Escenarios!$E$13*M565+Escenarios!$E$14*U565)/(Escenarios!$E$16),M565)</f>
        <v>0</v>
      </c>
      <c r="AD565" s="76">
        <f t="shared" si="113"/>
        <v>96.702572218302777</v>
      </c>
      <c r="AE565" s="76">
        <f>MAX(0,(AD565-Constantes!$D$13)*(1-EXP(-Constantes!$D$23)))</f>
        <v>0.47248811547980041</v>
      </c>
      <c r="AF565" s="76">
        <f>AB565+O565*Escenarios!$E$13/Escenarios!$E$16+AE565</f>
        <v>0.47248811547980041</v>
      </c>
      <c r="AG565" s="76">
        <f>IF(Entradas!$E$91&gt;0,IF(AF565-Escenarios!$E$38&lt;=0,0,IF(AF565-Escenarios!$E$38&gt;Escenarios!$E$37,Escenarios!$E$37,AF565-Escenarios!$E$38)),0)</f>
        <v>0</v>
      </c>
      <c r="AH565" s="76">
        <f>AG565*Entradas!$E$99</f>
        <v>0</v>
      </c>
      <c r="AI565" s="76">
        <f>IF(Entradas!$E$91&gt;0,D565*Entradas!$D$23/Escenarios!$E$16,0)</f>
        <v>0</v>
      </c>
      <c r="AJ565" s="76">
        <f>IF(Entradas!$E$91&gt;0,Entradas!$D$24*Entradas!$D$22/Escenarios!$E$16,0)</f>
        <v>0</v>
      </c>
      <c r="AK565" s="76">
        <f t="shared" si="122"/>
        <v>3.6658330090117638E-3</v>
      </c>
      <c r="AL565" s="76">
        <f t="shared" si="123"/>
        <v>0</v>
      </c>
      <c r="AM565" s="76">
        <f t="shared" si="114"/>
        <v>0</v>
      </c>
      <c r="AN565" s="76">
        <f>MAX(0,O565*Escenarios!$E$13/Escenarios!$E$16-AM565)</f>
        <v>0</v>
      </c>
      <c r="AO565" s="76">
        <f>AM565+AN565-O565*Escenarios!$E$13/Escenarios!$E$16</f>
        <v>0</v>
      </c>
      <c r="AP565" s="76">
        <f t="shared" si="112"/>
        <v>0.47248811547980041</v>
      </c>
      <c r="AQ565" s="76">
        <f t="shared" si="115"/>
        <v>0</v>
      </c>
      <c r="AR565" s="76">
        <f t="shared" si="116"/>
        <v>0.47248811547980041</v>
      </c>
      <c r="AS565" s="76">
        <f t="shared" si="117"/>
        <v>0</v>
      </c>
      <c r="AT565" s="76">
        <f t="shared" si="118"/>
        <v>0</v>
      </c>
      <c r="AU565" s="76">
        <f t="shared" si="119"/>
        <v>48.75</v>
      </c>
      <c r="AV565" s="76">
        <f>MAX(0,(AU565-Constantes!$D$13)*(1-EXP(-Constantes!$D$24)))</f>
        <v>0</v>
      </c>
      <c r="AW565" s="170">
        <f>AW564+(Entradas!$E$112*AT565-AX564)/(800*Entradas!$D$25)</f>
        <v>0</v>
      </c>
      <c r="AX565" s="170">
        <f>8000*Entradas!$D$26*AW565/Constantes!$E$45</f>
        <v>0</v>
      </c>
      <c r="AY565" s="170">
        <f>IF(Escenarios!$E$17&gt;0,10*Escenarios!$E$16*AL565,0)</f>
        <v>0</v>
      </c>
      <c r="AZ565" s="170">
        <f>IF(Escenarios!$E$17&gt;0,10*Escenarios!$E$16*AX565,0)</f>
        <v>0</v>
      </c>
      <c r="BA565" s="170">
        <f>IF(Escenarios!$E$17&gt;0,0.001*Observaciones!$F564*Escenarios!$E$17,0)</f>
        <v>0</v>
      </c>
      <c r="BB565" s="170">
        <f>IF(Escenarios!$E$17&gt;0,Observaciones!$K564,0)</f>
        <v>0</v>
      </c>
      <c r="BC565" s="170">
        <f>IF(Escenarios!$E$17&gt;0,MIN(0.0005*ETo!$M564*Escenarios!$E$17*(BG564/Constantes!$E$40)^(2/3),BG564+AY565+AZ565+BA565+BB565),0)</f>
        <v>6.1329385923024695</v>
      </c>
      <c r="BD565" s="170">
        <f>IF(Escenarios!$E$17&gt;0,MIN(Constantes!$E$39*(BG564/Constantes!$E$40)^(2/3),BG564+AY565+AZ565+BA565+BB565-BC565),0)</f>
        <v>16.794279974515376</v>
      </c>
      <c r="BE565" s="170">
        <f>IF(Escenarios!$E$17&gt;0,MIN(Entradas!$E$113,BG564+AY565+AZ565+BA565+BB565-BC565-BD565),0)</f>
        <v>1</v>
      </c>
      <c r="BF565" s="170">
        <f>IF(Escenarios!$E$17&gt;0,MAX(0,BG564+AY565+AZ565+BA565+BB565-BC565-BD565-BE565-Constantes!$E$40),0)</f>
        <v>0</v>
      </c>
      <c r="BG565" s="170">
        <f t="shared" si="124"/>
        <v>617.30575099643659</v>
      </c>
      <c r="BH565" s="170">
        <f>(Escenarios!$E$16*AK565+0.1*BC565)/(Escenarios!$E$19)</f>
        <v>6.0704448868380478E-3</v>
      </c>
      <c r="BI565" s="170">
        <f>IF(Escenarios!$E$17&gt;0,BF565/10/Escenarios!$E$19,AL565)</f>
        <v>0</v>
      </c>
      <c r="BJ565" s="170">
        <f>(Escenarios!$E$16*AT565+0.1*BD565)/(Escenarios!$E$19)</f>
        <v>6.6643968152838799E-3</v>
      </c>
      <c r="BK565" s="76">
        <f>BK564+(0.1*BD565)/(Escenarios!$E$19)-BL564</f>
        <v>50.341860356417094</v>
      </c>
      <c r="BL565" s="76">
        <f>MAX(0,(BK565-Constantes!$D$13)*(1-EXP(-Constantes!$D$23)))</f>
        <v>1.5684979243374923E-2</v>
      </c>
      <c r="BM565" s="76">
        <f t="shared" si="120"/>
        <v>0.48817309472317533</v>
      </c>
      <c r="BN565" s="76">
        <f t="shared" si="125"/>
        <v>0.48817309472317533</v>
      </c>
      <c r="BO565" s="76">
        <f>0.0526*BI565*Observaciones!$F564^1.218</f>
        <v>0</v>
      </c>
      <c r="BP565" s="76">
        <f>BO565*Constantes!$E$51</f>
        <v>0</v>
      </c>
      <c r="BQ565" s="76">
        <f t="shared" si="121"/>
        <v>0</v>
      </c>
      <c r="BR565" s="40"/>
    </row>
    <row r="566" spans="1:70">
      <c r="A566" s="147"/>
      <c r="B566" s="39"/>
      <c r="C566" s="75">
        <v>560</v>
      </c>
      <c r="D566" s="146">
        <f>ETo!$I565*((1-Constantes!$E$19)*ETo!$K565+ETo!$L565)</f>
        <v>2.483162135942433</v>
      </c>
      <c r="E566" s="76">
        <f>MIN(D566*Constantes!$E$17,0.8*(N565+Observaciones!$F565-F566-M566-Constantes!$D$14))</f>
        <v>-9.3432105420987455E-3</v>
      </c>
      <c r="F566" s="76">
        <f>IF(Observaciones!$F565&gt;0.05*Constantes!$E$18,((Observaciones!$F565-0.05*Constantes!$E$18)^2)/(Observaciones!$F565+0.95*Constantes!$E$18),0)</f>
        <v>0</v>
      </c>
      <c r="G566" s="76">
        <f>IF(Escenarios!$E$11&gt;0,(F566*Escenarios!$E$16*10000)/1000,0)</f>
        <v>0</v>
      </c>
      <c r="H566" s="76">
        <f>IF(Escenarios!$E$11&gt;0,(Observaciones!$F565*Constantes!$E$29)/1000,0)</f>
        <v>0</v>
      </c>
      <c r="I566" s="76">
        <f>IF(Escenarios!$E$11&gt;0,(D566*Constantes!$E$29)/1000,0)</f>
        <v>24.831621359424332</v>
      </c>
      <c r="J566" s="76">
        <f>IF(Escenarios!$E$11&gt;0,MAX(0,G566+H566-I566),0)</f>
        <v>0</v>
      </c>
      <c r="K566" s="76">
        <f>IF(Escenarios!$E$11&gt;0,IF(J566&gt;Constantes!$E$30,1000*((J566-Constantes!$E$30)/(Escenarios!$E$16*10000)),0),F566)</f>
        <v>0</v>
      </c>
      <c r="L566" s="76">
        <f>IF(Escenarios!$E$11&gt;0,I566*1000/Escenarios!$E$16/10000+E566,E566)</f>
        <v>5.8943800167098742E-4</v>
      </c>
      <c r="M566" s="76">
        <f>MAX(0,N565+Observaciones!$F565-K566-Constantes!$D$13)</f>
        <v>0</v>
      </c>
      <c r="N566" s="76">
        <f>N565+Observaciones!$F565-K566-L566-M566-O565</f>
        <v>11.237731548820706</v>
      </c>
      <c r="O566" s="76">
        <f>MAX(0,(N566-Constantes!$D$14)*(1-EXP(-Constantes!$D$22)))</f>
        <v>0</v>
      </c>
      <c r="P566" s="170">
        <f>P565+(Entradas!$E$83*M566-Q565)/(800*Entradas!$D$25)</f>
        <v>0</v>
      </c>
      <c r="Q566" s="170">
        <f>8000*Entradas!$D$26*P566/Constantes!$E$45</f>
        <v>0</v>
      </c>
      <c r="R566" s="170">
        <f>IF(Escenarios!$E$14&gt;0,K566*Escenarios!$E$13/Escenarios!$E$14,0)</f>
        <v>0</v>
      </c>
      <c r="S566" s="170">
        <f>IF(Escenarios!$E$14&gt;0,Q566*Escenarios!$E$13/Escenarios!$E$14,0)</f>
        <v>0</v>
      </c>
      <c r="T566" s="170">
        <f>IF(Escenarios!$E$14&gt;0,Observaciones!$I565,0)</f>
        <v>0</v>
      </c>
      <c r="U566" s="170">
        <f>IF(Escenarios!$E$14&gt;0,MAX(0,Constantes!$E$36/((Z565+R566+S566+T566+Observaciones!$F565)^2)+Entradas!$E$77),0)</f>
        <v>0</v>
      </c>
      <c r="V566" s="146">
        <f>IF(ETo!D565&gt;0,ETo!I565*((1-Entradas!$E$81)*ETo!K565+ETo!L565),0)</f>
        <v>2.2354198482973402</v>
      </c>
      <c r="W566" s="170">
        <f>IF(Escenarios!$E$14&gt;0,MIN(V566*1,0.8*(Z565+R566+S566+T566+Observaciones!$F565-U566-Constantes!$E$35)),0)</f>
        <v>5.6319999999914221E-4</v>
      </c>
      <c r="X566" s="170">
        <f>IF(Escenarios!$E$14&gt;0,Observaciones!$J565,0)</f>
        <v>0</v>
      </c>
      <c r="Y566" s="170">
        <f>IF(Escenarios!$E$14&gt;0,MAX(0,Z565+R566+S566+T566+Observaciones!$F565-U566-W566-X566-Constantes!$E$33),0)</f>
        <v>0</v>
      </c>
      <c r="Z566" s="170">
        <f>Z565+R566+S566+T566+Observaciones!$F565-U566-W566-Y566</f>
        <v>41.250140799999997</v>
      </c>
      <c r="AA566" s="170">
        <f>IF(Escenarios!$E$14&gt;0,(Escenarios!$E$13*L566+Escenarios!$E$14*W566)/(Escenarios!$E$16),L566)</f>
        <v>5.8628944147036594E-4</v>
      </c>
      <c r="AB566" s="170">
        <f>IF(Escenarios!$E$14&gt;0,(Escenarios!$E$14*Y566)/(Escenarios!$E$16),K566)</f>
        <v>0</v>
      </c>
      <c r="AC566" s="170">
        <f>IF(Escenarios!$E$14&gt;0,(Escenarios!$E$13*M566+Escenarios!$E$14*U566)/(Escenarios!$E$16),M566)</f>
        <v>0</v>
      </c>
      <c r="AD566" s="76">
        <f t="shared" si="113"/>
        <v>96.230084102822971</v>
      </c>
      <c r="AE566" s="76">
        <f>MAX(0,(AD566-Constantes!$D$13)*(1-EXP(-Constantes!$D$23)))</f>
        <v>0.46783257754007657</v>
      </c>
      <c r="AF566" s="76">
        <f>AB566+O566*Escenarios!$E$13/Escenarios!$E$16+AE566</f>
        <v>0.46783257754007657</v>
      </c>
      <c r="AG566" s="76">
        <f>IF(Entradas!$E$91&gt;0,IF(AF566-Escenarios!$E$38&lt;=0,0,IF(AF566-Escenarios!$E$38&gt;Escenarios!$E$37,Escenarios!$E$37,AF566-Escenarios!$E$38)),0)</f>
        <v>0</v>
      </c>
      <c r="AH566" s="76">
        <f>AG566*Entradas!$E$99</f>
        <v>0</v>
      </c>
      <c r="AI566" s="76">
        <f>IF(Entradas!$E$91&gt;0,D566*Entradas!$D$23/Escenarios!$E$16,0)</f>
        <v>0</v>
      </c>
      <c r="AJ566" s="76">
        <f>IF(Entradas!$E$91&gt;0,Entradas!$D$24*Entradas!$D$22/Escenarios!$E$16,0)</f>
        <v>0</v>
      </c>
      <c r="AK566" s="76">
        <f t="shared" si="122"/>
        <v>5.8628944147036594E-4</v>
      </c>
      <c r="AL566" s="76">
        <f t="shared" si="123"/>
        <v>0</v>
      </c>
      <c r="AM566" s="76">
        <f t="shared" si="114"/>
        <v>0</v>
      </c>
      <c r="AN566" s="76">
        <f>MAX(0,O566*Escenarios!$E$13/Escenarios!$E$16-AM566)</f>
        <v>0</v>
      </c>
      <c r="AO566" s="76">
        <f>AM566+AN566-O566*Escenarios!$E$13/Escenarios!$E$16</f>
        <v>0</v>
      </c>
      <c r="AP566" s="76">
        <f t="shared" si="112"/>
        <v>0.46783257754007657</v>
      </c>
      <c r="AQ566" s="76">
        <f t="shared" si="115"/>
        <v>0</v>
      </c>
      <c r="AR566" s="76">
        <f t="shared" si="116"/>
        <v>0.46783257754007657</v>
      </c>
      <c r="AS566" s="76">
        <f t="shared" si="117"/>
        <v>0</v>
      </c>
      <c r="AT566" s="76">
        <f t="shared" si="118"/>
        <v>0</v>
      </c>
      <c r="AU566" s="76">
        <f t="shared" si="119"/>
        <v>48.75</v>
      </c>
      <c r="AV566" s="76">
        <f>MAX(0,(AU566-Constantes!$D$13)*(1-EXP(-Constantes!$D$24)))</f>
        <v>0</v>
      </c>
      <c r="AW566" s="170">
        <f>AW565+(Entradas!$E$112*AT566-AX565)/(800*Entradas!$D$25)</f>
        <v>0</v>
      </c>
      <c r="AX566" s="170">
        <f>8000*Entradas!$D$26*AW566/Constantes!$E$45</f>
        <v>0</v>
      </c>
      <c r="AY566" s="170">
        <f>IF(Escenarios!$E$17&gt;0,10*Escenarios!$E$16*AL566,0)</f>
        <v>0</v>
      </c>
      <c r="AZ566" s="170">
        <f>IF(Escenarios!$E$17&gt;0,10*Escenarios!$E$16*AX566,0)</f>
        <v>0</v>
      </c>
      <c r="BA566" s="170">
        <f>IF(Escenarios!$E$17&gt;0,0.001*Observaciones!$F565*Escenarios!$E$17,0)</f>
        <v>0</v>
      </c>
      <c r="BB566" s="170">
        <f>IF(Escenarios!$E$17&gt;0,Observaciones!$K565,0)</f>
        <v>0</v>
      </c>
      <c r="BC566" s="170">
        <f>IF(Escenarios!$E$17&gt;0,MIN(0.0005*ETo!$M565*Escenarios!$E$17*(BG565/Constantes!$E$40)^(2/3),BG565+AY566+AZ566+BA566+BB566),0)</f>
        <v>5.8802454980990593</v>
      </c>
      <c r="BD566" s="170">
        <f>IF(Escenarios!$E$17&gt;0,MIN(Constantes!$E$39*(BG565/Constantes!$E$40)^(2/3),BG565+AY566+AZ566+BA566+BB566-BC566),0)</f>
        <v>16.373858828782232</v>
      </c>
      <c r="BE566" s="170">
        <f>IF(Escenarios!$E$17&gt;0,MIN(Entradas!$E$113,BG565+AY566+AZ566+BA566+BB566-BC566-BD566),0)</f>
        <v>1</v>
      </c>
      <c r="BF566" s="170">
        <f>IF(Escenarios!$E$17&gt;0,MAX(0,BG565+AY566+AZ566+BA566+BB566-BC566-BD566-BE566-Constantes!$E$40),0)</f>
        <v>0</v>
      </c>
      <c r="BG566" s="170">
        <f t="shared" si="124"/>
        <v>594.05164666955534</v>
      </c>
      <c r="BH566" s="170">
        <f>(Escenarios!$E$16*AK566+0.1*BC566)/(Escenarios!$E$19)</f>
        <v>2.9150671038789579E-3</v>
      </c>
      <c r="BI566" s="170">
        <f>IF(Escenarios!$E$17&gt;0,BF566/10/Escenarios!$E$19,AL566)</f>
        <v>0</v>
      </c>
      <c r="BJ566" s="170">
        <f>(Escenarios!$E$16*AT566+0.1*BD566)/(Escenarios!$E$19)</f>
        <v>6.4975630272945369E-3</v>
      </c>
      <c r="BK566" s="76">
        <f>BK565+(0.1*BD566)/(Escenarios!$E$19)-BL565</f>
        <v>50.332672940201014</v>
      </c>
      <c r="BL566" s="76">
        <f>MAX(0,(BK566-Constantes!$D$13)*(1-EXP(-Constantes!$D$23)))</f>
        <v>1.5594453443125838E-2</v>
      </c>
      <c r="BM566" s="76">
        <f t="shared" si="120"/>
        <v>0.48342703098320239</v>
      </c>
      <c r="BN566" s="76">
        <f t="shared" si="125"/>
        <v>0.48342703098320239</v>
      </c>
      <c r="BO566" s="76">
        <f>0.0526*BI566*Observaciones!$F565^1.218</f>
        <v>0</v>
      </c>
      <c r="BP566" s="76">
        <f>BO566*Constantes!$E$51</f>
        <v>0</v>
      </c>
      <c r="BQ566" s="76">
        <f t="shared" si="121"/>
        <v>0</v>
      </c>
      <c r="BR566" s="40"/>
    </row>
    <row r="567" spans="1:70">
      <c r="A567" s="147"/>
      <c r="B567" s="39"/>
      <c r="C567" s="75">
        <v>561</v>
      </c>
      <c r="D567" s="146">
        <f>ETo!$I566*((1-Constantes!$E$19)*ETo!$K566+ETo!$L566)</f>
        <v>2.5857817051040852</v>
      </c>
      <c r="E567" s="76">
        <f>MIN(D567*Constantes!$E$17,0.8*(N566+Observaciones!$F566-F567-M567-Constantes!$D$14))</f>
        <v>-9.8147609434349192E-3</v>
      </c>
      <c r="F567" s="76">
        <f>IF(Observaciones!$F566&gt;0.05*Constantes!$E$18,((Observaciones!$F566-0.05*Constantes!$E$18)^2)/(Observaciones!$F566+0.95*Constantes!$E$18),0)</f>
        <v>0</v>
      </c>
      <c r="G567" s="76">
        <f>IF(Escenarios!$E$11&gt;0,(F567*Escenarios!$E$16*10000)/1000,0)</f>
        <v>0</v>
      </c>
      <c r="H567" s="76">
        <f>IF(Escenarios!$E$11&gt;0,(Observaciones!$F566*Constantes!$E$29)/1000,0)</f>
        <v>0</v>
      </c>
      <c r="I567" s="76">
        <f>IF(Escenarios!$E$11&gt;0,(D567*Constantes!$E$29)/1000,0)</f>
        <v>25.857817051040854</v>
      </c>
      <c r="J567" s="76">
        <f>IF(Escenarios!$E$11&gt;0,MAX(0,G567+H567-I567),0)</f>
        <v>0</v>
      </c>
      <c r="K567" s="76">
        <f>IF(Escenarios!$E$11&gt;0,IF(J567&gt;Constantes!$E$30,1000*((J567-Constantes!$E$30)/(Escenarios!$E$16*10000)),0),F567)</f>
        <v>0</v>
      </c>
      <c r="L567" s="76">
        <f>IF(Escenarios!$E$11&gt;0,I567*1000/Escenarios!$E$16/10000+E567,E567)</f>
        <v>5.2836587698142264E-4</v>
      </c>
      <c r="M567" s="76">
        <f>MAX(0,N566+Observaciones!$F566-K567-Constantes!$D$13)</f>
        <v>0</v>
      </c>
      <c r="N567" s="76">
        <f>N566+Observaciones!$F566-K567-L567-M567-O566</f>
        <v>11.237203182943725</v>
      </c>
      <c r="O567" s="76">
        <f>MAX(0,(N567-Constantes!$D$14)*(1-EXP(-Constantes!$D$22)))</f>
        <v>0</v>
      </c>
      <c r="P567" s="170">
        <f>P566+(Entradas!$E$83*M567-Q566)/(800*Entradas!$D$25)</f>
        <v>0</v>
      </c>
      <c r="Q567" s="170">
        <f>8000*Entradas!$D$26*P567/Constantes!$E$45</f>
        <v>0</v>
      </c>
      <c r="R567" s="170">
        <f>IF(Escenarios!$E$14&gt;0,K567*Escenarios!$E$13/Escenarios!$E$14,0)</f>
        <v>0</v>
      </c>
      <c r="S567" s="170">
        <f>IF(Escenarios!$E$14&gt;0,Q567*Escenarios!$E$13/Escenarios!$E$14,0)</f>
        <v>0</v>
      </c>
      <c r="T567" s="170">
        <f>IF(Escenarios!$E$14&gt;0,Observaciones!$I566,0)</f>
        <v>0</v>
      </c>
      <c r="U567" s="170">
        <f>IF(Escenarios!$E$14&gt;0,MAX(0,Constantes!$E$36/((Z566+R567+S567+T567+Observaciones!$F566)^2)+Entradas!$E$77),0)</f>
        <v>0</v>
      </c>
      <c r="V567" s="146">
        <f>IF(ETo!D566&gt;0,ETo!I566*((1-Entradas!$E$81)*ETo!K566+ETo!L566),0)</f>
        <v>2.3286396287449835</v>
      </c>
      <c r="W567" s="170">
        <f>IF(Escenarios!$E$14&gt;0,MIN(V567*1,0.8*(Z566+R567+S567+T567+Observaciones!$F566-U567-Constantes!$E$35)),0)</f>
        <v>1.126399999975547E-4</v>
      </c>
      <c r="X567" s="170">
        <f>IF(Escenarios!$E$14&gt;0,Observaciones!$J566,0)</f>
        <v>0</v>
      </c>
      <c r="Y567" s="170">
        <f>IF(Escenarios!$E$14&gt;0,MAX(0,Z566+R567+S567+T567+Observaciones!$F566-U567-W567-X567-Constantes!$E$33),0)</f>
        <v>0</v>
      </c>
      <c r="Z567" s="170">
        <f>Z566+R567+S567+T567+Observaciones!$F566-U567-W567-Y567</f>
        <v>41.250028159999999</v>
      </c>
      <c r="AA567" s="170">
        <f>IF(Escenarios!$E$14&gt;0,(Escenarios!$E$13*L567+Escenarios!$E$14*W567)/(Escenarios!$E$16),L567)</f>
        <v>4.7847877174335852E-4</v>
      </c>
      <c r="AB567" s="170">
        <f>IF(Escenarios!$E$14&gt;0,(Escenarios!$E$14*Y567)/(Escenarios!$E$16),K567)</f>
        <v>0</v>
      </c>
      <c r="AC567" s="170">
        <f>IF(Escenarios!$E$14&gt;0,(Escenarios!$E$13*M567+Escenarios!$E$14*U567)/(Escenarios!$E$16),M567)</f>
        <v>0</v>
      </c>
      <c r="AD567" s="76">
        <f t="shared" si="113"/>
        <v>95.762251525282892</v>
      </c>
      <c r="AE567" s="76">
        <f>MAX(0,(AD567-Constantes!$D$13)*(1-EXP(-Constantes!$D$23)))</f>
        <v>0.46322291172453561</v>
      </c>
      <c r="AF567" s="76">
        <f>AB567+O567*Escenarios!$E$13/Escenarios!$E$16+AE567</f>
        <v>0.46322291172453561</v>
      </c>
      <c r="AG567" s="76">
        <f>IF(Entradas!$E$91&gt;0,IF(AF567-Escenarios!$E$38&lt;=0,0,IF(AF567-Escenarios!$E$38&gt;Escenarios!$E$37,Escenarios!$E$37,AF567-Escenarios!$E$38)),0)</f>
        <v>0</v>
      </c>
      <c r="AH567" s="76">
        <f>AG567*Entradas!$E$99</f>
        <v>0</v>
      </c>
      <c r="AI567" s="76">
        <f>IF(Entradas!$E$91&gt;0,D567*Entradas!$D$23/Escenarios!$E$16,0)</f>
        <v>0</v>
      </c>
      <c r="AJ567" s="76">
        <f>IF(Entradas!$E$91&gt;0,Entradas!$D$24*Entradas!$D$22/Escenarios!$E$16,0)</f>
        <v>0</v>
      </c>
      <c r="AK567" s="76">
        <f t="shared" si="122"/>
        <v>4.7847877174335852E-4</v>
      </c>
      <c r="AL567" s="76">
        <f t="shared" si="123"/>
        <v>0</v>
      </c>
      <c r="AM567" s="76">
        <f t="shared" si="114"/>
        <v>0</v>
      </c>
      <c r="AN567" s="76">
        <f>MAX(0,O567*Escenarios!$E$13/Escenarios!$E$16-AM567)</f>
        <v>0</v>
      </c>
      <c r="AO567" s="76">
        <f>AM567+AN567-O567*Escenarios!$E$13/Escenarios!$E$16</f>
        <v>0</v>
      </c>
      <c r="AP567" s="76">
        <f t="shared" si="112"/>
        <v>0.46322291172453561</v>
      </c>
      <c r="AQ567" s="76">
        <f t="shared" si="115"/>
        <v>0</v>
      </c>
      <c r="AR567" s="76">
        <f t="shared" si="116"/>
        <v>0.46322291172453561</v>
      </c>
      <c r="AS567" s="76">
        <f t="shared" si="117"/>
        <v>0</v>
      </c>
      <c r="AT567" s="76">
        <f t="shared" si="118"/>
        <v>0</v>
      </c>
      <c r="AU567" s="76">
        <f t="shared" si="119"/>
        <v>48.75</v>
      </c>
      <c r="AV567" s="76">
        <f>MAX(0,(AU567-Constantes!$D$13)*(1-EXP(-Constantes!$D$24)))</f>
        <v>0</v>
      </c>
      <c r="AW567" s="170">
        <f>AW566+(Entradas!$E$112*AT567-AX566)/(800*Entradas!$D$25)</f>
        <v>0</v>
      </c>
      <c r="AX567" s="170">
        <f>8000*Entradas!$D$26*AW567/Constantes!$E$45</f>
        <v>0</v>
      </c>
      <c r="AY567" s="170">
        <f>IF(Escenarios!$E$17&gt;0,10*Escenarios!$E$16*AL567,0)</f>
        <v>0</v>
      </c>
      <c r="AZ567" s="170">
        <f>IF(Escenarios!$E$17&gt;0,10*Escenarios!$E$16*AX567,0)</f>
        <v>0</v>
      </c>
      <c r="BA567" s="170">
        <f>IF(Escenarios!$E$17&gt;0,0.001*Observaciones!$F566*Escenarios!$E$17,0)</f>
        <v>0</v>
      </c>
      <c r="BB567" s="170">
        <f>IF(Escenarios!$E$17&gt;0,Observaciones!$K566,0)</f>
        <v>0</v>
      </c>
      <c r="BC567" s="170">
        <f>IF(Escenarios!$E$17&gt;0,MIN(0.0005*ETo!$M566*Escenarios!$E$17*(BG566/Constantes!$E$40)^(2/3),BG566+AY567+AZ567+BA567+BB567),0)</f>
        <v>5.9658628323455147</v>
      </c>
      <c r="BD567" s="170">
        <f>IF(Escenarios!$E$17&gt;0,MIN(Constantes!$E$39*(BG566/Constantes!$E$40)^(2/3),BG566+AY567+AZ567+BA567+BB567-BC567),0)</f>
        <v>15.960027269794331</v>
      </c>
      <c r="BE567" s="170">
        <f>IF(Escenarios!$E$17&gt;0,MIN(Entradas!$E$113,BG566+AY567+AZ567+BA567+BB567-BC567-BD567),0)</f>
        <v>1</v>
      </c>
      <c r="BF567" s="170">
        <f>IF(Escenarios!$E$17&gt;0,MAX(0,BG566+AY567+AZ567+BA567+BB567-BC567-BD567-BE567-Constantes!$E$40),0)</f>
        <v>0</v>
      </c>
      <c r="BG567" s="170">
        <f t="shared" si="124"/>
        <v>571.12575656741558</v>
      </c>
      <c r="BH567" s="170">
        <f>(Escenarios!$E$16*AK567+0.1*BC567)/(Escenarios!$E$19)</f>
        <v>2.8420872070253618E-3</v>
      </c>
      <c r="BI567" s="170">
        <f>IF(Escenarios!$E$17&gt;0,BF567/10/Escenarios!$E$19,AL567)</f>
        <v>0</v>
      </c>
      <c r="BJ567" s="170">
        <f>(Escenarios!$E$16*AT567+0.1*BD567)/(Escenarios!$E$19)</f>
        <v>6.3333441546802906E-3</v>
      </c>
      <c r="BK567" s="76">
        <f>BK566+(0.1*BD567)/(Escenarios!$E$19)-BL566</f>
        <v>50.323411830912569</v>
      </c>
      <c r="BL567" s="76">
        <f>MAX(0,(BK567-Constantes!$D$13)*(1-EXP(-Constantes!$D$23)))</f>
        <v>1.550320152748241E-2</v>
      </c>
      <c r="BM567" s="76">
        <f t="shared" si="120"/>
        <v>0.47872611325201803</v>
      </c>
      <c r="BN567" s="76">
        <f t="shared" si="125"/>
        <v>0.47872611325201803</v>
      </c>
      <c r="BO567" s="76">
        <f>0.0526*BI567*Observaciones!$F566^1.218</f>
        <v>0</v>
      </c>
      <c r="BP567" s="76">
        <f>BO567*Constantes!$E$51</f>
        <v>0</v>
      </c>
      <c r="BQ567" s="76">
        <f t="shared" si="121"/>
        <v>0</v>
      </c>
      <c r="BR567" s="40"/>
    </row>
    <row r="568" spans="1:70">
      <c r="A568" s="147"/>
      <c r="B568" s="39"/>
      <c r="C568" s="75">
        <v>562</v>
      </c>
      <c r="D568" s="146">
        <f>ETo!$I567*((1-Constantes!$E$19)*ETo!$K567+ETo!$L567)</f>
        <v>2.5533927855951708</v>
      </c>
      <c r="E568" s="76">
        <f>MIN(D568*Constantes!$E$17,0.8*(N567+Observaciones!$F567-F568-M568-Constantes!$D$14))</f>
        <v>-1.0237453645019913E-2</v>
      </c>
      <c r="F568" s="76">
        <f>IF(Observaciones!$F567&gt;0.05*Constantes!$E$18,((Observaciones!$F567-0.05*Constantes!$E$18)^2)/(Observaciones!$F567+0.95*Constantes!$E$18),0)</f>
        <v>0</v>
      </c>
      <c r="G568" s="76">
        <f>IF(Escenarios!$E$11&gt;0,(F568*Escenarios!$E$16*10000)/1000,0)</f>
        <v>0</v>
      </c>
      <c r="H568" s="76">
        <f>IF(Escenarios!$E$11&gt;0,(Observaciones!$F567*Constantes!$E$29)/1000,0)</f>
        <v>0</v>
      </c>
      <c r="I568" s="76">
        <f>IF(Escenarios!$E$11&gt;0,(D568*Constantes!$E$29)/1000,0)</f>
        <v>25.533927855951706</v>
      </c>
      <c r="J568" s="76">
        <f>IF(Escenarios!$E$11&gt;0,MAX(0,G568+H568-I568),0)</f>
        <v>0</v>
      </c>
      <c r="K568" s="76">
        <f>IF(Escenarios!$E$11&gt;0,IF(J568&gt;Constantes!$E$30,1000*((J568-Constantes!$E$30)/(Escenarios!$E$16*10000)),0),F568)</f>
        <v>0</v>
      </c>
      <c r="L568" s="76">
        <f>IF(Escenarios!$E$11&gt;0,I568*1000/Escenarios!$E$16/10000+E568,E568)</f>
        <v>-2.3882502639229961E-5</v>
      </c>
      <c r="M568" s="76">
        <f>MAX(0,N567+Observaciones!$F567-K568-Constantes!$D$13)</f>
        <v>0</v>
      </c>
      <c r="N568" s="76">
        <f>N567+Observaciones!$F567-K568-L568-M568-O567</f>
        <v>11.237227065446364</v>
      </c>
      <c r="O568" s="76">
        <f>MAX(0,(N568-Constantes!$D$14)*(1-EXP(-Constantes!$D$22)))</f>
        <v>0</v>
      </c>
      <c r="P568" s="170">
        <f>P567+(Entradas!$E$83*M568-Q567)/(800*Entradas!$D$25)</f>
        <v>0</v>
      </c>
      <c r="Q568" s="170">
        <f>8000*Entradas!$D$26*P568/Constantes!$E$45</f>
        <v>0</v>
      </c>
      <c r="R568" s="170">
        <f>IF(Escenarios!$E$14&gt;0,K568*Escenarios!$E$13/Escenarios!$E$14,0)</f>
        <v>0</v>
      </c>
      <c r="S568" s="170">
        <f>IF(Escenarios!$E$14&gt;0,Q568*Escenarios!$E$13/Escenarios!$E$14,0)</f>
        <v>0</v>
      </c>
      <c r="T568" s="170">
        <f>IF(Escenarios!$E$14&gt;0,Observaciones!$I567,0)</f>
        <v>0</v>
      </c>
      <c r="U568" s="170">
        <f>IF(Escenarios!$E$14&gt;0,MAX(0,Constantes!$E$36/((Z567+R568+S568+T568+Observaciones!$F567)^2)+Entradas!$E$77),0)</f>
        <v>0</v>
      </c>
      <c r="V568" s="146">
        <f>IF(ETo!D567&gt;0,ETo!I567*((1-Entradas!$E$81)*ETo!K567+ETo!L567),0)</f>
        <v>2.2995629011579233</v>
      </c>
      <c r="W568" s="170">
        <f>IF(Escenarios!$E$14&gt;0,MIN(V568*1,0.8*(Z567+R568+S568+T568+Observaciones!$F567-U568-Constantes!$E$35)),0)</f>
        <v>2.2527999999510942E-5</v>
      </c>
      <c r="X568" s="170">
        <f>IF(Escenarios!$E$14&gt;0,Observaciones!$J567,0)</f>
        <v>0</v>
      </c>
      <c r="Y568" s="170">
        <f>IF(Escenarios!$E$14&gt;0,MAX(0,Z567+R568+S568+T568+Observaciones!$F567-U568-W568-X568-Constantes!$E$33),0)</f>
        <v>0</v>
      </c>
      <c r="Z568" s="170">
        <f>Z567+R568+S568+T568+Observaciones!$F567-U568-W568-Y568</f>
        <v>41.250005631999997</v>
      </c>
      <c r="AA568" s="170">
        <f>IF(Escenarios!$E$14&gt;0,(Escenarios!$E$13*L568+Escenarios!$E$14*W568)/(Escenarios!$E$16),L568)</f>
        <v>-1.8313242322581054E-5</v>
      </c>
      <c r="AB568" s="170">
        <f>IF(Escenarios!$E$14&gt;0,(Escenarios!$E$14*Y568)/(Escenarios!$E$16),K568)</f>
        <v>0</v>
      </c>
      <c r="AC568" s="170">
        <f>IF(Escenarios!$E$14&gt;0,(Escenarios!$E$13*M568+Escenarios!$E$14*U568)/(Escenarios!$E$16),M568)</f>
        <v>0</v>
      </c>
      <c r="AD568" s="76">
        <f t="shared" si="113"/>
        <v>95.299028613558363</v>
      </c>
      <c r="AE568" s="76">
        <f>MAX(0,(AD568-Constantes!$D$13)*(1-EXP(-Constantes!$D$23)))</f>
        <v>0.45865866604421213</v>
      </c>
      <c r="AF568" s="76">
        <f>AB568+O568*Escenarios!$E$13/Escenarios!$E$16+AE568</f>
        <v>0.45865866604421213</v>
      </c>
      <c r="AG568" s="76">
        <f>IF(Entradas!$E$91&gt;0,IF(AF568-Escenarios!$E$38&lt;=0,0,IF(AF568-Escenarios!$E$38&gt;Escenarios!$E$37,Escenarios!$E$37,AF568-Escenarios!$E$38)),0)</f>
        <v>0</v>
      </c>
      <c r="AH568" s="76">
        <f>AG568*Entradas!$E$99</f>
        <v>0</v>
      </c>
      <c r="AI568" s="76">
        <f>IF(Entradas!$E$91&gt;0,D568*Entradas!$D$23/Escenarios!$E$16,0)</f>
        <v>0</v>
      </c>
      <c r="AJ568" s="76">
        <f>IF(Entradas!$E$91&gt;0,Entradas!$D$24*Entradas!$D$22/Escenarios!$E$16,0)</f>
        <v>0</v>
      </c>
      <c r="AK568" s="76">
        <f t="shared" si="122"/>
        <v>-1.8313242322581054E-5</v>
      </c>
      <c r="AL568" s="76">
        <f t="shared" si="123"/>
        <v>0</v>
      </c>
      <c r="AM568" s="76">
        <f t="shared" si="114"/>
        <v>0</v>
      </c>
      <c r="AN568" s="76">
        <f>MAX(0,O568*Escenarios!$E$13/Escenarios!$E$16-AM568)</f>
        <v>0</v>
      </c>
      <c r="AO568" s="76">
        <f>AM568+AN568-O568*Escenarios!$E$13/Escenarios!$E$16</f>
        <v>0</v>
      </c>
      <c r="AP568" s="76">
        <f t="shared" si="112"/>
        <v>0.45865866604421213</v>
      </c>
      <c r="AQ568" s="76">
        <f t="shared" si="115"/>
        <v>0</v>
      </c>
      <c r="AR568" s="76">
        <f t="shared" si="116"/>
        <v>0.45865866604421213</v>
      </c>
      <c r="AS568" s="76">
        <f t="shared" si="117"/>
        <v>0</v>
      </c>
      <c r="AT568" s="76">
        <f t="shared" si="118"/>
        <v>0</v>
      </c>
      <c r="AU568" s="76">
        <f t="shared" si="119"/>
        <v>48.75</v>
      </c>
      <c r="AV568" s="76">
        <f>MAX(0,(AU568-Constantes!$D$13)*(1-EXP(-Constantes!$D$24)))</f>
        <v>0</v>
      </c>
      <c r="AW568" s="170">
        <f>AW567+(Entradas!$E$112*AT568-AX567)/(800*Entradas!$D$25)</f>
        <v>0</v>
      </c>
      <c r="AX568" s="170">
        <f>8000*Entradas!$D$26*AW568/Constantes!$E$45</f>
        <v>0</v>
      </c>
      <c r="AY568" s="170">
        <f>IF(Escenarios!$E$17&gt;0,10*Escenarios!$E$16*AL568,0)</f>
        <v>0</v>
      </c>
      <c r="AZ568" s="170">
        <f>IF(Escenarios!$E$17&gt;0,10*Escenarios!$E$16*AX568,0)</f>
        <v>0</v>
      </c>
      <c r="BA568" s="170">
        <f>IF(Escenarios!$E$17&gt;0,0.001*Observaciones!$F567*Escenarios!$E$17,0)</f>
        <v>0</v>
      </c>
      <c r="BB568" s="170">
        <f>IF(Escenarios!$E$17&gt;0,Observaciones!$K567,0)</f>
        <v>0</v>
      </c>
      <c r="BC568" s="170">
        <f>IF(Escenarios!$E$17&gt;0,MIN(0.0005*ETo!$M567*Escenarios!$E$17*(BG567/Constantes!$E$40)^(2/3),BG567+AY568+AZ568+BA568+BB568),0)</f>
        <v>5.7382958310482772</v>
      </c>
      <c r="BD568" s="170">
        <f>IF(Escenarios!$E$17&gt;0,MIN(Constantes!$E$39*(BG567/Constantes!$E$40)^(2/3),BG567+AY568+AZ568+BA568+BB568-BC568),0)</f>
        <v>15.546715718144959</v>
      </c>
      <c r="BE568" s="170">
        <f>IF(Escenarios!$E$17&gt;0,MIN(Entradas!$E$113,BG567+AY568+AZ568+BA568+BB568-BC568-BD568),0)</f>
        <v>1</v>
      </c>
      <c r="BF568" s="170">
        <f>IF(Escenarios!$E$17&gt;0,MAX(0,BG567+AY568+AZ568+BA568+BB568-BC568-BD568-BE568-Constantes!$E$40),0)</f>
        <v>0</v>
      </c>
      <c r="BG568" s="170">
        <f t="shared" si="124"/>
        <v>548.84074501822238</v>
      </c>
      <c r="BH568" s="170">
        <f>(Escenarios!$E$16*AK568+0.1*BC568)/(Escenarios!$E$19)</f>
        <v>2.2589336211277082E-3</v>
      </c>
      <c r="BI568" s="170">
        <f>IF(Escenarios!$E$17&gt;0,BF568/10/Escenarios!$E$19,AL568)</f>
        <v>0</v>
      </c>
      <c r="BJ568" s="170">
        <f>(Escenarios!$E$16*AT568+0.1*BD568)/(Escenarios!$E$19)</f>
        <v>6.169331634184508E-3</v>
      </c>
      <c r="BK568" s="76">
        <f>BK567+(0.1*BD568)/(Escenarios!$E$19)-BL567</f>
        <v>50.314077961019272</v>
      </c>
      <c r="BL568" s="76">
        <f>MAX(0,(BK568-Constantes!$D$13)*(1-EXP(-Constantes!$D$23)))</f>
        <v>1.5411232684269152E-2</v>
      </c>
      <c r="BM568" s="76">
        <f t="shared" si="120"/>
        <v>0.47406989872848126</v>
      </c>
      <c r="BN568" s="76">
        <f t="shared" si="125"/>
        <v>0.47406989872848126</v>
      </c>
      <c r="BO568" s="76">
        <f>0.0526*BI568*Observaciones!$F567^1.218</f>
        <v>0</v>
      </c>
      <c r="BP568" s="76">
        <f>BO568*Constantes!$E$51</f>
        <v>0</v>
      </c>
      <c r="BQ568" s="76">
        <f t="shared" si="121"/>
        <v>0</v>
      </c>
      <c r="BR568" s="40"/>
    </row>
    <row r="569" spans="1:70">
      <c r="A569" s="147"/>
      <c r="B569" s="39"/>
      <c r="C569" s="75">
        <v>563</v>
      </c>
      <c r="D569" s="146">
        <f>ETo!$I568*((1-Constantes!$E$19)*ETo!$K568+ETo!$L568)</f>
        <v>2.5363704425839249</v>
      </c>
      <c r="E569" s="76">
        <f>MIN(D569*Constantes!$E$17,0.8*(N568+Observaciones!$F568-F569-M569-Constantes!$D$14))</f>
        <v>-1.021834764290901E-2</v>
      </c>
      <c r="F569" s="76">
        <f>IF(Observaciones!$F568&gt;0.05*Constantes!$E$18,((Observaciones!$F568-0.05*Constantes!$E$18)^2)/(Observaciones!$F568+0.95*Constantes!$E$18),0)</f>
        <v>0</v>
      </c>
      <c r="G569" s="76">
        <f>IF(Escenarios!$E$11&gt;0,(F569*Escenarios!$E$16*10000)/1000,0)</f>
        <v>0</v>
      </c>
      <c r="H569" s="76">
        <f>IF(Escenarios!$E$11&gt;0,(Observaciones!$F568*Constantes!$E$29)/1000,0)</f>
        <v>0</v>
      </c>
      <c r="I569" s="76">
        <f>IF(Escenarios!$E$11&gt;0,(D569*Constantes!$E$29)/1000,0)</f>
        <v>25.363704425839249</v>
      </c>
      <c r="J569" s="76">
        <f>IF(Escenarios!$E$11&gt;0,MAX(0,G569+H569-I569),0)</f>
        <v>0</v>
      </c>
      <c r="K569" s="76">
        <f>IF(Escenarios!$E$11&gt;0,IF(J569&gt;Constantes!$E$30,1000*((J569-Constantes!$E$30)/(Escenarios!$E$16*10000)),0),F569)</f>
        <v>0</v>
      </c>
      <c r="L569" s="76">
        <f>IF(Escenarios!$E$11&gt;0,I569*1000/Escenarios!$E$16/10000+E569,E569)</f>
        <v>-7.2865872573310564E-5</v>
      </c>
      <c r="M569" s="76">
        <f>MAX(0,N568+Observaciones!$F568-K569-Constantes!$D$13)</f>
        <v>0</v>
      </c>
      <c r="N569" s="76">
        <f>N568+Observaciones!$F568-K569-L569-M569-O568</f>
        <v>11.237299931318937</v>
      </c>
      <c r="O569" s="76">
        <f>MAX(0,(N569-Constantes!$D$14)*(1-EXP(-Constantes!$D$22)))</f>
        <v>0</v>
      </c>
      <c r="P569" s="170">
        <f>P568+(Entradas!$E$83*M569-Q568)/(800*Entradas!$D$25)</f>
        <v>0</v>
      </c>
      <c r="Q569" s="170">
        <f>8000*Entradas!$D$26*P569/Constantes!$E$45</f>
        <v>0</v>
      </c>
      <c r="R569" s="170">
        <f>IF(Escenarios!$E$14&gt;0,K569*Escenarios!$E$13/Escenarios!$E$14,0)</f>
        <v>0</v>
      </c>
      <c r="S569" s="170">
        <f>IF(Escenarios!$E$14&gt;0,Q569*Escenarios!$E$13/Escenarios!$E$14,0)</f>
        <v>0</v>
      </c>
      <c r="T569" s="170">
        <f>IF(Escenarios!$E$14&gt;0,Observaciones!$I568,0)</f>
        <v>0</v>
      </c>
      <c r="U569" s="170">
        <f>IF(Escenarios!$E$14&gt;0,MAX(0,Constantes!$E$36/((Z568+R569+S569+T569+Observaciones!$F568)^2)+Entradas!$E$77),0)</f>
        <v>0</v>
      </c>
      <c r="V569" s="146">
        <f>IF(ETo!D568&gt;0,ETo!I568*((1-Entradas!$E$81)*ETo!K568+ETo!L568),0)</f>
        <v>2.284466763769557</v>
      </c>
      <c r="W569" s="170">
        <f>IF(Escenarios!$E$14&gt;0,MIN(V569*1,0.8*(Z568+R569+S569+T569+Observaciones!$F568-U569-Constantes!$E$35)),0)</f>
        <v>4.5055999976284514E-6</v>
      </c>
      <c r="X569" s="170">
        <f>IF(Escenarios!$E$14&gt;0,Observaciones!$J568,0)</f>
        <v>0</v>
      </c>
      <c r="Y569" s="170">
        <f>IF(Escenarios!$E$14&gt;0,MAX(0,Z568+R569+S569+T569+Observaciones!$F568-U569-W569-X569-Constantes!$E$33),0)</f>
        <v>0</v>
      </c>
      <c r="Z569" s="170">
        <f>Z568+R569+S569+T569+Observaciones!$F568-U569-W569-Y569</f>
        <v>41.250001126400001</v>
      </c>
      <c r="AA569" s="170">
        <f>IF(Escenarios!$E$14&gt;0,(Escenarios!$E$13*L569+Escenarios!$E$14*W569)/(Escenarios!$E$16),L569)</f>
        <v>-6.3581295864797885E-5</v>
      </c>
      <c r="AB569" s="170">
        <f>IF(Escenarios!$E$14&gt;0,(Escenarios!$E$14*Y569)/(Escenarios!$E$16),K569)</f>
        <v>0</v>
      </c>
      <c r="AC569" s="170">
        <f>IF(Escenarios!$E$14&gt;0,(Escenarios!$E$13*M569+Escenarios!$E$14*U569)/(Escenarios!$E$16),M569)</f>
        <v>0</v>
      </c>
      <c r="AD569" s="76">
        <f t="shared" si="113"/>
        <v>94.840369947514148</v>
      </c>
      <c r="AE569" s="76">
        <f>MAX(0,(AD569-Constantes!$D$13)*(1-EXP(-Constantes!$D$23)))</f>
        <v>0.45413939296369538</v>
      </c>
      <c r="AF569" s="76">
        <f>AB569+O569*Escenarios!$E$13/Escenarios!$E$16+AE569</f>
        <v>0.45413939296369538</v>
      </c>
      <c r="AG569" s="76">
        <f>IF(Entradas!$E$91&gt;0,IF(AF569-Escenarios!$E$38&lt;=0,0,IF(AF569-Escenarios!$E$38&gt;Escenarios!$E$37,Escenarios!$E$37,AF569-Escenarios!$E$38)),0)</f>
        <v>0</v>
      </c>
      <c r="AH569" s="76">
        <f>AG569*Entradas!$E$99</f>
        <v>0</v>
      </c>
      <c r="AI569" s="76">
        <f>IF(Entradas!$E$91&gt;0,D569*Entradas!$D$23/Escenarios!$E$16,0)</f>
        <v>0</v>
      </c>
      <c r="AJ569" s="76">
        <f>IF(Entradas!$E$91&gt;0,Entradas!$D$24*Entradas!$D$22/Escenarios!$E$16,0)</f>
        <v>0</v>
      </c>
      <c r="AK569" s="76">
        <f t="shared" si="122"/>
        <v>-6.3581295864797885E-5</v>
      </c>
      <c r="AL569" s="76">
        <f t="shared" si="123"/>
        <v>0</v>
      </c>
      <c r="AM569" s="76">
        <f t="shared" si="114"/>
        <v>0</v>
      </c>
      <c r="AN569" s="76">
        <f>MAX(0,O569*Escenarios!$E$13/Escenarios!$E$16-AM569)</f>
        <v>0</v>
      </c>
      <c r="AO569" s="76">
        <f>AM569+AN569-O569*Escenarios!$E$13/Escenarios!$E$16</f>
        <v>0</v>
      </c>
      <c r="AP569" s="76">
        <f t="shared" si="112"/>
        <v>0.45413939296369538</v>
      </c>
      <c r="AQ569" s="76">
        <f t="shared" si="115"/>
        <v>0</v>
      </c>
      <c r="AR569" s="76">
        <f t="shared" si="116"/>
        <v>0.45413939296369538</v>
      </c>
      <c r="AS569" s="76">
        <f t="shared" si="117"/>
        <v>0</v>
      </c>
      <c r="AT569" s="76">
        <f t="shared" si="118"/>
        <v>0</v>
      </c>
      <c r="AU569" s="76">
        <f t="shared" si="119"/>
        <v>48.75</v>
      </c>
      <c r="AV569" s="76">
        <f>MAX(0,(AU569-Constantes!$D$13)*(1-EXP(-Constantes!$D$24)))</f>
        <v>0</v>
      </c>
      <c r="AW569" s="170">
        <f>AW568+(Entradas!$E$112*AT569-AX568)/(800*Entradas!$D$25)</f>
        <v>0</v>
      </c>
      <c r="AX569" s="170">
        <f>8000*Entradas!$D$26*AW569/Constantes!$E$45</f>
        <v>0</v>
      </c>
      <c r="AY569" s="170">
        <f>IF(Escenarios!$E$17&gt;0,10*Escenarios!$E$16*AL569,0)</f>
        <v>0</v>
      </c>
      <c r="AZ569" s="170">
        <f>IF(Escenarios!$E$17&gt;0,10*Escenarios!$E$16*AX569,0)</f>
        <v>0</v>
      </c>
      <c r="BA569" s="170">
        <f>IF(Escenarios!$E$17&gt;0,0.001*Observaciones!$F568*Escenarios!$E$17,0)</f>
        <v>0</v>
      </c>
      <c r="BB569" s="170">
        <f>IF(Escenarios!$E$17&gt;0,Observaciones!$K568,0)</f>
        <v>0</v>
      </c>
      <c r="BC569" s="170">
        <f>IF(Escenarios!$E$17&gt;0,MIN(0.0005*ETo!$M568*Escenarios!$E$17*(BG568/Constantes!$E$40)^(2/3),BG568+AY569+AZ569+BA569+BB569),0)</f>
        <v>5.5500878795629971</v>
      </c>
      <c r="BD569" s="170">
        <f>IF(Escenarios!$E$17&gt;0,MIN(Constantes!$E$39*(BG568/Constantes!$E$40)^(2/3),BG568+AY569+AZ569+BA569+BB569-BC569),0)</f>
        <v>15.139622853393551</v>
      </c>
      <c r="BE569" s="170">
        <f>IF(Escenarios!$E$17&gt;0,MIN(Entradas!$E$113,BG568+AY569+AZ569+BA569+BB569-BC569-BD569),0)</f>
        <v>1</v>
      </c>
      <c r="BF569" s="170">
        <f>IF(Escenarios!$E$17&gt;0,MAX(0,BG568+AY569+AZ569+BA569+BB569-BC569-BD569-BE569-Constantes!$E$40),0)</f>
        <v>0</v>
      </c>
      <c r="BG569" s="170">
        <f t="shared" si="124"/>
        <v>527.15103428526584</v>
      </c>
      <c r="BH569" s="170">
        <f>(Escenarios!$E$16*AK569+0.1*BC569)/(Escenarios!$E$19)</f>
        <v>2.1393391428178583E-3</v>
      </c>
      <c r="BI569" s="170">
        <f>IF(Escenarios!$E$17&gt;0,BF569/10/Escenarios!$E$19,AL569)</f>
        <v>0</v>
      </c>
      <c r="BJ569" s="170">
        <f>(Escenarios!$E$16*AT569+0.1*BD569)/(Escenarios!$E$19)</f>
        <v>6.0077868465847426E-3</v>
      </c>
      <c r="BK569" s="76">
        <f>BK568+(0.1*BD569)/(Escenarios!$E$19)-BL568</f>
        <v>50.304674515181588</v>
      </c>
      <c r="BL569" s="76">
        <f>MAX(0,(BK569-Constantes!$D$13)*(1-EXP(-Constantes!$D$23)))</f>
        <v>1.531857829270415E-2</v>
      </c>
      <c r="BM569" s="76">
        <f t="shared" si="120"/>
        <v>0.46945797125639954</v>
      </c>
      <c r="BN569" s="76">
        <f t="shared" si="125"/>
        <v>0.46945797125639954</v>
      </c>
      <c r="BO569" s="76">
        <f>0.0526*BI569*Observaciones!$F568^1.218</f>
        <v>0</v>
      </c>
      <c r="BP569" s="76">
        <f>BO569*Constantes!$E$51</f>
        <v>0</v>
      </c>
      <c r="BQ569" s="76">
        <f t="shared" si="121"/>
        <v>0</v>
      </c>
      <c r="BR569" s="40"/>
    </row>
    <row r="570" spans="1:70">
      <c r="A570" s="147"/>
      <c r="B570" s="39"/>
      <c r="C570" s="75">
        <v>564</v>
      </c>
      <c r="D570" s="146">
        <f>ETo!$I569*((1-Constantes!$E$19)*ETo!$K569+ETo!$L569)</f>
        <v>2.5894633676266268</v>
      </c>
      <c r="E570" s="76">
        <f>MIN(D570*Constantes!$E$17,0.8*(N569+Observaciones!$F569-F570-M570-Constantes!$D$14))</f>
        <v>0.14983994505514886</v>
      </c>
      <c r="F570" s="76">
        <f>IF(Observaciones!$F569&gt;0.05*Constantes!$E$18,((Observaciones!$F569-0.05*Constantes!$E$18)^2)/(Observaciones!$F569+0.95*Constantes!$E$18),0)</f>
        <v>0</v>
      </c>
      <c r="G570" s="76">
        <f>IF(Escenarios!$E$11&gt;0,(F570*Escenarios!$E$16*10000)/1000,0)</f>
        <v>0</v>
      </c>
      <c r="H570" s="76">
        <f>IF(Escenarios!$E$11&gt;0,(Observaciones!$F569*Constantes!$E$29)/1000,0)</f>
        <v>2</v>
      </c>
      <c r="I570" s="76">
        <f>IF(Escenarios!$E$11&gt;0,(D570*Constantes!$E$29)/1000,0)</f>
        <v>25.89463367626627</v>
      </c>
      <c r="J570" s="76">
        <f>IF(Escenarios!$E$11&gt;0,MAX(0,G570+H570-I570),0)</f>
        <v>0</v>
      </c>
      <c r="K570" s="76">
        <f>IF(Escenarios!$E$11&gt;0,IF(J570&gt;Constantes!$E$30,1000*((J570-Constantes!$E$30)/(Escenarios!$E$16*10000)),0),F570)</f>
        <v>0</v>
      </c>
      <c r="L570" s="76">
        <f>IF(Escenarios!$E$11&gt;0,I570*1000/Escenarios!$E$16/10000+E570,E570)</f>
        <v>0.16019779852565535</v>
      </c>
      <c r="M570" s="76">
        <f>MAX(0,N569+Observaciones!$F569-K570-Constantes!$D$13)</f>
        <v>0</v>
      </c>
      <c r="N570" s="76">
        <f>N569+Observaciones!$F569-K570-L570-M570-O569</f>
        <v>11.277102132793281</v>
      </c>
      <c r="O570" s="76">
        <f>MAX(0,(N570-Constantes!$D$14)*(1-EXP(-Constantes!$D$22)))</f>
        <v>9.2319813690549461E-4</v>
      </c>
      <c r="P570" s="170">
        <f>P569+(Entradas!$E$83*M570-Q569)/(800*Entradas!$D$25)</f>
        <v>0</v>
      </c>
      <c r="Q570" s="170">
        <f>8000*Entradas!$D$26*P570/Constantes!$E$45</f>
        <v>0</v>
      </c>
      <c r="R570" s="170">
        <f>IF(Escenarios!$E$14&gt;0,K570*Escenarios!$E$13/Escenarios!$E$14,0)</f>
        <v>0</v>
      </c>
      <c r="S570" s="170">
        <f>IF(Escenarios!$E$14&gt;0,Q570*Escenarios!$E$13/Escenarios!$E$14,0)</f>
        <v>0</v>
      </c>
      <c r="T570" s="170">
        <f>IF(Escenarios!$E$14&gt;0,Observaciones!$I569,0)</f>
        <v>0</v>
      </c>
      <c r="U570" s="170">
        <f>IF(Escenarios!$E$14&gt;0,MAX(0,Constantes!$E$36/((Z569+R570+S570+T570+Observaciones!$F569)^2)+Entradas!$E$77),0)</f>
        <v>0</v>
      </c>
      <c r="V570" s="146">
        <f>IF(ETo!D569&gt;0,ETo!I569*((1-Entradas!$E$81)*ETo!K569+ETo!L569),0)</f>
        <v>2.3328818901629456</v>
      </c>
      <c r="W570" s="170">
        <f>IF(Escenarios!$E$14&gt;0,MIN(V570*1,0.8*(Z569+R570+S570+T570+Observaciones!$F569-U570-Constantes!$E$35)),0)</f>
        <v>0.16000090112000295</v>
      </c>
      <c r="X570" s="170">
        <f>IF(Escenarios!$E$14&gt;0,Observaciones!$J569,0)</f>
        <v>0</v>
      </c>
      <c r="Y570" s="170">
        <f>IF(Escenarios!$E$14&gt;0,MAX(0,Z569+R570+S570+T570+Observaciones!$F569-U570-W570-X570-Constantes!$E$33),0)</f>
        <v>0</v>
      </c>
      <c r="Z570" s="170">
        <f>Z569+R570+S570+T570+Observaciones!$F569-U570-W570-Y570</f>
        <v>41.290000225280004</v>
      </c>
      <c r="AA570" s="170">
        <f>IF(Escenarios!$E$14&gt;0,(Escenarios!$E$13*L570+Escenarios!$E$14*W570)/(Escenarios!$E$16),L570)</f>
        <v>0.16017417083697705</v>
      </c>
      <c r="AB570" s="170">
        <f>IF(Escenarios!$E$14&gt;0,(Escenarios!$E$14*Y570)/(Escenarios!$E$16),K570)</f>
        <v>0</v>
      </c>
      <c r="AC570" s="170">
        <f>IF(Escenarios!$E$14&gt;0,(Escenarios!$E$13*M570+Escenarios!$E$14*U570)/(Escenarios!$E$16),M570)</f>
        <v>0</v>
      </c>
      <c r="AD570" s="76">
        <f t="shared" si="113"/>
        <v>94.386230554550451</v>
      </c>
      <c r="AE570" s="76">
        <f>MAX(0,(AD570-Constantes!$D$13)*(1-EXP(-Constantes!$D$23)))</f>
        <v>0.44966464935724798</v>
      </c>
      <c r="AF570" s="76">
        <f>AB570+O570*Escenarios!$E$13/Escenarios!$E$16+AE570</f>
        <v>0.45047706371772483</v>
      </c>
      <c r="AG570" s="76">
        <f>IF(Entradas!$E$91&gt;0,IF(AF570-Escenarios!$E$38&lt;=0,0,IF(AF570-Escenarios!$E$38&gt;Escenarios!$E$37,Escenarios!$E$37,AF570-Escenarios!$E$38)),0)</f>
        <v>0</v>
      </c>
      <c r="AH570" s="76">
        <f>AG570*Entradas!$E$99</f>
        <v>0</v>
      </c>
      <c r="AI570" s="76">
        <f>IF(Entradas!$E$91&gt;0,D570*Entradas!$D$23/Escenarios!$E$16,0)</f>
        <v>0</v>
      </c>
      <c r="AJ570" s="76">
        <f>IF(Entradas!$E$91&gt;0,Entradas!$D$24*Entradas!$D$22/Escenarios!$E$16,0)</f>
        <v>0</v>
      </c>
      <c r="AK570" s="76">
        <f t="shared" si="122"/>
        <v>0.16017417083697705</v>
      </c>
      <c r="AL570" s="76">
        <f t="shared" si="123"/>
        <v>0</v>
      </c>
      <c r="AM570" s="76">
        <f t="shared" si="114"/>
        <v>0</v>
      </c>
      <c r="AN570" s="76">
        <f>MAX(0,O570*Escenarios!$E$13/Escenarios!$E$16-AM570)</f>
        <v>8.1241436047683525E-4</v>
      </c>
      <c r="AO570" s="76">
        <f>AM570+AN570-O570*Escenarios!$E$13/Escenarios!$E$16</f>
        <v>0</v>
      </c>
      <c r="AP570" s="76">
        <f t="shared" si="112"/>
        <v>0.44966464935724798</v>
      </c>
      <c r="AQ570" s="76">
        <f t="shared" si="115"/>
        <v>0</v>
      </c>
      <c r="AR570" s="76">
        <f t="shared" si="116"/>
        <v>0.45047706371772483</v>
      </c>
      <c r="AS570" s="76">
        <f t="shared" si="117"/>
        <v>0</v>
      </c>
      <c r="AT570" s="76">
        <f t="shared" si="118"/>
        <v>0</v>
      </c>
      <c r="AU570" s="76">
        <f t="shared" si="119"/>
        <v>48.75</v>
      </c>
      <c r="AV570" s="76">
        <f>MAX(0,(AU570-Constantes!$D$13)*(1-EXP(-Constantes!$D$24)))</f>
        <v>0</v>
      </c>
      <c r="AW570" s="170">
        <f>AW569+(Entradas!$E$112*AT570-AX569)/(800*Entradas!$D$25)</f>
        <v>0</v>
      </c>
      <c r="AX570" s="170">
        <f>8000*Entradas!$D$26*AW570/Constantes!$E$45</f>
        <v>0</v>
      </c>
      <c r="AY570" s="170">
        <f>IF(Escenarios!$E$17&gt;0,10*Escenarios!$E$16*AL570,0)</f>
        <v>0</v>
      </c>
      <c r="AZ570" s="170">
        <f>IF(Escenarios!$E$17&gt;0,10*Escenarios!$E$16*AX570,0)</f>
        <v>0</v>
      </c>
      <c r="BA570" s="170">
        <f>IF(Escenarios!$E$17&gt;0,0.001*Observaciones!$F569*Escenarios!$E$17,0)</f>
        <v>4</v>
      </c>
      <c r="BB570" s="170">
        <f>IF(Escenarios!$E$17&gt;0,Observaciones!$K569,0)</f>
        <v>0</v>
      </c>
      <c r="BC570" s="170">
        <f>IF(Escenarios!$E$17&gt;0,MIN(0.0005*ETo!$M569*Escenarios!$E$17*(BG569/Constantes!$E$40)^(2/3),BG569+AY570+AZ570+BA570+BB570),0)</f>
        <v>5.5142555511396516</v>
      </c>
      <c r="BD570" s="170">
        <f>IF(Escenarios!$E$17&gt;0,MIN(Constantes!$E$39*(BG569/Constantes!$E$40)^(2/3),BG569+AY570+AZ570+BA570+BB570-BC570),0)</f>
        <v>14.738078599720465</v>
      </c>
      <c r="BE570" s="170">
        <f>IF(Escenarios!$E$17&gt;0,MIN(Entradas!$E$113,BG569+AY570+AZ570+BA570+BB570-BC570-BD570),0)</f>
        <v>1</v>
      </c>
      <c r="BF570" s="170">
        <f>IF(Escenarios!$E$17&gt;0,MAX(0,BG569+AY570+AZ570+BA570+BB570-BC570-BD570-BE570-Constantes!$E$40),0)</f>
        <v>0</v>
      </c>
      <c r="BG570" s="170">
        <f t="shared" si="124"/>
        <v>509.89870013440577</v>
      </c>
      <c r="BH570" s="170">
        <f>(Escenarios!$E$16*AK570+0.1*BC570)/(Escenarios!$E$19)</f>
        <v>0.16109114390618345</v>
      </c>
      <c r="BI570" s="170">
        <f>IF(Escenarios!$E$17&gt;0,BF570/10/Escenarios!$E$19,AL570)</f>
        <v>0</v>
      </c>
      <c r="BJ570" s="170">
        <f>(Escenarios!$E$16*AT570+0.1*BD570)/(Escenarios!$E$19)</f>
        <v>5.8484438887779627E-3</v>
      </c>
      <c r="BK570" s="76">
        <f>BK569+(0.1*BD570)/(Escenarios!$E$19)-BL569</f>
        <v>50.295204380777662</v>
      </c>
      <c r="BL570" s="76">
        <f>MAX(0,(BK570-Constantes!$D$13)*(1-EXP(-Constantes!$D$23)))</f>
        <v>1.5225266802811981E-2</v>
      </c>
      <c r="BM570" s="76">
        <f t="shared" si="120"/>
        <v>0.46488991616005998</v>
      </c>
      <c r="BN570" s="76">
        <f t="shared" si="125"/>
        <v>0.46570233052053683</v>
      </c>
      <c r="BO570" s="76">
        <f>0.0526*BI570*Observaciones!$F569^1.218</f>
        <v>0</v>
      </c>
      <c r="BP570" s="76">
        <f>BO570*Constantes!$E$51</f>
        <v>0</v>
      </c>
      <c r="BQ570" s="76">
        <f t="shared" si="121"/>
        <v>0</v>
      </c>
      <c r="BR570" s="40"/>
    </row>
    <row r="571" spans="1:70">
      <c r="A571" s="147"/>
      <c r="B571" s="39"/>
      <c r="C571" s="75">
        <v>565</v>
      </c>
      <c r="D571" s="146">
        <f>ETo!$I570*((1-Constantes!$E$19)*ETo!$K570+ETo!$L570)</f>
        <v>2.5943419721060437</v>
      </c>
      <c r="E571" s="76">
        <f>MIN(D571*Constantes!$E$17,0.8*(N570+Observaciones!$F570-F571-M571-Constantes!$D$14))</f>
        <v>1.2684057344305208</v>
      </c>
      <c r="F571" s="76">
        <f>IF(Observaciones!$F570&gt;0.05*Constantes!$E$18,((Observaciones!$F570-0.05*Constantes!$E$18)^2)/(Observaciones!$F570+0.95*Constantes!$E$18),0)</f>
        <v>0</v>
      </c>
      <c r="G571" s="76">
        <f>IF(Escenarios!$E$11&gt;0,(F571*Escenarios!$E$16*10000)/1000,0)</f>
        <v>0</v>
      </c>
      <c r="H571" s="76">
        <f>IF(Escenarios!$E$11&gt;0,(Observaciones!$F570*Constantes!$E$29)/1000,0)</f>
        <v>16</v>
      </c>
      <c r="I571" s="76">
        <f>IF(Escenarios!$E$11&gt;0,(D571*Constantes!$E$29)/1000,0)</f>
        <v>25.943419721060437</v>
      </c>
      <c r="J571" s="76">
        <f>IF(Escenarios!$E$11&gt;0,MAX(0,G571+H571-I571),0)</f>
        <v>0</v>
      </c>
      <c r="K571" s="76">
        <f>IF(Escenarios!$E$11&gt;0,IF(J571&gt;Constantes!$E$30,1000*((J571-Constantes!$E$30)/(Escenarios!$E$16*10000)),0),F571)</f>
        <v>0</v>
      </c>
      <c r="L571" s="76">
        <f>IF(Escenarios!$E$11&gt;0,I571*1000/Escenarios!$E$16/10000+E571,E571)</f>
        <v>1.2787831023189451</v>
      </c>
      <c r="M571" s="76">
        <f>MAX(0,N570+Observaciones!$F570-K571-Constantes!$D$13)</f>
        <v>0</v>
      </c>
      <c r="N571" s="76">
        <f>N570+Observaciones!$F570-K571-L571-M571-O570</f>
        <v>11.59739583233743</v>
      </c>
      <c r="O571" s="76">
        <f>MAX(0,(N571-Constantes!$D$14)*(1-EXP(-Constantes!$D$22)))</f>
        <v>1.1833577365621694E-2</v>
      </c>
      <c r="P571" s="170">
        <f>P570+(Entradas!$E$83*M571-Q570)/(800*Entradas!$D$25)</f>
        <v>0</v>
      </c>
      <c r="Q571" s="170">
        <f>8000*Entradas!$D$26*P571/Constantes!$E$45</f>
        <v>0</v>
      </c>
      <c r="R571" s="170">
        <f>IF(Escenarios!$E$14&gt;0,K571*Escenarios!$E$13/Escenarios!$E$14,0)</f>
        <v>0</v>
      </c>
      <c r="S571" s="170">
        <f>IF(Escenarios!$E$14&gt;0,Q571*Escenarios!$E$13/Escenarios!$E$14,0)</f>
        <v>0</v>
      </c>
      <c r="T571" s="170">
        <f>IF(Escenarios!$E$14&gt;0,Observaciones!$I570,0)</f>
        <v>0</v>
      </c>
      <c r="U571" s="170">
        <f>IF(Escenarios!$E$14&gt;0,MAX(0,Constantes!$E$36/((Z570+R571+S571+T571+Observaciones!$F570)^2)+Entradas!$E$77),0)</f>
        <v>0</v>
      </c>
      <c r="V571" s="146">
        <f>IF(ETo!D570&gt;0,ETo!I570*((1-Entradas!$E$81)*ETo!K570+ETo!L570),0)</f>
        <v>2.3376307290005278</v>
      </c>
      <c r="W571" s="170">
        <f>IF(Escenarios!$E$14&gt;0,MIN(V571*1,0.8*(Z570+R571+S571+T571+Observaciones!$F570-U571-Constantes!$E$35)),0)</f>
        <v>1.312000180224004</v>
      </c>
      <c r="X571" s="170">
        <f>IF(Escenarios!$E$14&gt;0,Observaciones!$J570,0)</f>
        <v>0</v>
      </c>
      <c r="Y571" s="170">
        <f>IF(Escenarios!$E$14&gt;0,MAX(0,Z570+R571+S571+T571+Observaciones!$F570-U571-W571-X571-Constantes!$E$33),0)</f>
        <v>0</v>
      </c>
      <c r="Z571" s="170">
        <f>Z570+R571+S571+T571+Observaciones!$F570-U571-W571-Y571</f>
        <v>41.578000045056001</v>
      </c>
      <c r="AA571" s="170">
        <f>IF(Escenarios!$E$14&gt;0,(Escenarios!$E$13*L571+Escenarios!$E$14*W571)/(Escenarios!$E$16),L571)</f>
        <v>1.2827691516675523</v>
      </c>
      <c r="AB571" s="170">
        <f>IF(Escenarios!$E$14&gt;0,(Escenarios!$E$14*Y571)/(Escenarios!$E$16),K571)</f>
        <v>0</v>
      </c>
      <c r="AC571" s="170">
        <f>IF(Escenarios!$E$14&gt;0,(Escenarios!$E$13*M571+Escenarios!$E$14*U571)/(Escenarios!$E$16),M571)</f>
        <v>0</v>
      </c>
      <c r="AD571" s="76">
        <f t="shared" si="113"/>
        <v>93.936565905193206</v>
      </c>
      <c r="AE571" s="76">
        <f>MAX(0,(AD571-Constantes!$D$13)*(1-EXP(-Constantes!$D$23)))</f>
        <v>0.44523399646535583</v>
      </c>
      <c r="AF571" s="76">
        <f>AB571+O571*Escenarios!$E$13/Escenarios!$E$16+AE571</f>
        <v>0.45564754454710293</v>
      </c>
      <c r="AG571" s="76">
        <f>IF(Entradas!$E$91&gt;0,IF(AF571-Escenarios!$E$38&lt;=0,0,IF(AF571-Escenarios!$E$38&gt;Escenarios!$E$37,Escenarios!$E$37,AF571-Escenarios!$E$38)),0)</f>
        <v>0</v>
      </c>
      <c r="AH571" s="76">
        <f>AG571*Entradas!$E$99</f>
        <v>0</v>
      </c>
      <c r="AI571" s="76">
        <f>IF(Entradas!$E$91&gt;0,D571*Entradas!$D$23/Escenarios!$E$16,0)</f>
        <v>0</v>
      </c>
      <c r="AJ571" s="76">
        <f>IF(Entradas!$E$91&gt;0,Entradas!$D$24*Entradas!$D$22/Escenarios!$E$16,0)</f>
        <v>0</v>
      </c>
      <c r="AK571" s="76">
        <f t="shared" si="122"/>
        <v>1.2827691516675523</v>
      </c>
      <c r="AL571" s="76">
        <f t="shared" si="123"/>
        <v>0</v>
      </c>
      <c r="AM571" s="76">
        <f t="shared" si="114"/>
        <v>0</v>
      </c>
      <c r="AN571" s="76">
        <f>MAX(0,O571*Escenarios!$E$13/Escenarios!$E$16-AM571)</f>
        <v>1.0413548081747092E-2</v>
      </c>
      <c r="AO571" s="76">
        <f>AM571+AN571-O571*Escenarios!$E$13/Escenarios!$E$16</f>
        <v>0</v>
      </c>
      <c r="AP571" s="76">
        <f t="shared" si="112"/>
        <v>0.44523399646535583</v>
      </c>
      <c r="AQ571" s="76">
        <f t="shared" si="115"/>
        <v>0</v>
      </c>
      <c r="AR571" s="76">
        <f t="shared" si="116"/>
        <v>0.45564754454710293</v>
      </c>
      <c r="AS571" s="76">
        <f t="shared" si="117"/>
        <v>0</v>
      </c>
      <c r="AT571" s="76">
        <f t="shared" si="118"/>
        <v>0</v>
      </c>
      <c r="AU571" s="76">
        <f t="shared" si="119"/>
        <v>48.75</v>
      </c>
      <c r="AV571" s="76">
        <f>MAX(0,(AU571-Constantes!$D$13)*(1-EXP(-Constantes!$D$24)))</f>
        <v>0</v>
      </c>
      <c r="AW571" s="170">
        <f>AW570+(Entradas!$E$112*AT571-AX570)/(800*Entradas!$D$25)</f>
        <v>0</v>
      </c>
      <c r="AX571" s="170">
        <f>8000*Entradas!$D$26*AW571/Constantes!$E$45</f>
        <v>0</v>
      </c>
      <c r="AY571" s="170">
        <f>IF(Escenarios!$E$17&gt;0,10*Escenarios!$E$16*AL571,0)</f>
        <v>0</v>
      </c>
      <c r="AZ571" s="170">
        <f>IF(Escenarios!$E$17&gt;0,10*Escenarios!$E$16*AX571,0)</f>
        <v>0</v>
      </c>
      <c r="BA571" s="170">
        <f>IF(Escenarios!$E$17&gt;0,0.001*Observaciones!$F570*Escenarios!$E$17,0)</f>
        <v>32</v>
      </c>
      <c r="BB571" s="170">
        <f>IF(Escenarios!$E$17&gt;0,Observaciones!$K570,0)</f>
        <v>1.8698277389861999</v>
      </c>
      <c r="BC571" s="170">
        <f>IF(Escenarios!$E$17&gt;0,MIN(0.0005*ETo!$M570*Escenarios!$E$17*(BG570/Constantes!$E$40)^(2/3),BG570+AY571+AZ571+BA571+BB571),0)</f>
        <v>5.4024361059778583</v>
      </c>
      <c r="BD571" s="170">
        <f>IF(Escenarios!$E$17&gt;0,MIN(Constantes!$E$39*(BG570/Constantes!$E$40)^(2/3),BG570+AY571+AZ571+BA571+BB571-BC571),0)</f>
        <v>14.414738325046484</v>
      </c>
      <c r="BE571" s="170">
        <f>IF(Escenarios!$E$17&gt;0,MIN(Entradas!$E$113,BG570+AY571+AZ571+BA571+BB571-BC571-BD571),0)</f>
        <v>1</v>
      </c>
      <c r="BF571" s="170">
        <f>IF(Escenarios!$E$17&gt;0,MAX(0,BG570+AY571+AZ571+BA571+BB571-BC571-BD571-BE571-Constantes!$E$40),0)</f>
        <v>0</v>
      </c>
      <c r="BG571" s="170">
        <f t="shared" si="124"/>
        <v>522.95135344236758</v>
      </c>
      <c r="BH571" s="170">
        <f>(Escenarios!$E$16*AK571+0.1*BC571)/(Escenarios!$E$19)</f>
        <v>1.2747322679662136</v>
      </c>
      <c r="BI571" s="170">
        <f>IF(Escenarios!$E$17&gt;0,BF571/10/Escenarios!$E$19,AL571)</f>
        <v>0</v>
      </c>
      <c r="BJ571" s="170">
        <f>(Escenarios!$E$16*AT571+0.1*BD571)/(Escenarios!$E$19)</f>
        <v>5.7201342559708278E-3</v>
      </c>
      <c r="BK571" s="76">
        <f>BK570+(0.1*BD571)/(Escenarios!$E$19)-BL570</f>
        <v>50.28569924823082</v>
      </c>
      <c r="BL571" s="76">
        <f>MAX(0,(BK571-Constantes!$D$13)*(1-EXP(-Constantes!$D$23)))</f>
        <v>1.513161046788176E-2</v>
      </c>
      <c r="BM571" s="76">
        <f t="shared" si="120"/>
        <v>0.46036560693323758</v>
      </c>
      <c r="BN571" s="76">
        <f t="shared" si="125"/>
        <v>0.47077915501498468</v>
      </c>
      <c r="BO571" s="76">
        <f>0.0526*BI571*Observaciones!$F570^1.218</f>
        <v>0</v>
      </c>
      <c r="BP571" s="76">
        <f>BO571*Constantes!$E$51</f>
        <v>0</v>
      </c>
      <c r="BQ571" s="76">
        <f t="shared" si="121"/>
        <v>0</v>
      </c>
      <c r="BR571" s="40"/>
    </row>
    <row r="572" spans="1:70">
      <c r="A572" s="147"/>
      <c r="B572" s="39"/>
      <c r="C572" s="75">
        <v>566</v>
      </c>
      <c r="D572" s="146">
        <f>ETo!$I571*((1-Constantes!$E$19)*ETo!$K571+ETo!$L571)</f>
        <v>2.5413398345772671</v>
      </c>
      <c r="E572" s="76">
        <f>MIN(D572*Constantes!$E$17,0.8*(N571+Observaciones!$F571-F572-M572-Constantes!$D$14))</f>
        <v>1.242492336774621</v>
      </c>
      <c r="F572" s="76">
        <f>IF(Observaciones!$F571&gt;0.05*Constantes!$E$18,((Observaciones!$F571-0.05*Constantes!$E$18)^2)/(Observaciones!$F571+0.95*Constantes!$E$18),0)</f>
        <v>0</v>
      </c>
      <c r="G572" s="76">
        <f>IF(Escenarios!$E$11&gt;0,(F572*Escenarios!$E$16*10000)/1000,0)</f>
        <v>0</v>
      </c>
      <c r="H572" s="76">
        <f>IF(Escenarios!$E$11&gt;0,(Observaciones!$F571*Constantes!$E$29)/1000,0)</f>
        <v>51</v>
      </c>
      <c r="I572" s="76">
        <f>IF(Escenarios!$E$11&gt;0,(D572*Constantes!$E$29)/1000,0)</f>
        <v>25.41339834577267</v>
      </c>
      <c r="J572" s="76">
        <f>IF(Escenarios!$E$11&gt;0,MAX(0,G572+H572-I572),0)</f>
        <v>25.58660165422733</v>
      </c>
      <c r="K572" s="76">
        <f>IF(Escenarios!$E$11&gt;0,IF(J572&gt;Constantes!$E$30,1000*((J572-Constantes!$E$30)/(Escenarios!$E$16*10000)),0),F572)</f>
        <v>0</v>
      </c>
      <c r="L572" s="76">
        <f>IF(Escenarios!$E$11&gt;0,I572*1000/Escenarios!$E$16/10000+E572,E572)</f>
        <v>1.2526576961129301</v>
      </c>
      <c r="M572" s="76">
        <f>MAX(0,N571+Observaciones!$F571-K572-Constantes!$D$13)</f>
        <v>0</v>
      </c>
      <c r="N572" s="76">
        <f>N571+Observaciones!$F571-K572-L572-M572-O571</f>
        <v>15.432904558858876</v>
      </c>
      <c r="O572" s="76">
        <f>MAX(0,(N572-Constantes!$D$14)*(1-EXP(-Constantes!$D$22)))</f>
        <v>0.14248508503173257</v>
      </c>
      <c r="P572" s="170">
        <f>P571+(Entradas!$E$83*M572-Q571)/(800*Entradas!$D$25)</f>
        <v>0</v>
      </c>
      <c r="Q572" s="170">
        <f>8000*Entradas!$D$26*P572/Constantes!$E$45</f>
        <v>0</v>
      </c>
      <c r="R572" s="170">
        <f>IF(Escenarios!$E$14&gt;0,K572*Escenarios!$E$13/Escenarios!$E$14,0)</f>
        <v>0</v>
      </c>
      <c r="S572" s="170">
        <f>IF(Escenarios!$E$14&gt;0,Q572*Escenarios!$E$13/Escenarios!$E$14,0)</f>
        <v>0</v>
      </c>
      <c r="T572" s="170">
        <f>IF(Escenarios!$E$14&gt;0,Observaciones!$I571,0)</f>
        <v>0</v>
      </c>
      <c r="U572" s="170">
        <f>IF(Escenarios!$E$14&gt;0,MAX(0,Constantes!$E$36/((Z571+R572+S572+T572+Observaciones!$F571)^2)+Entradas!$E$77),0)</f>
        <v>0</v>
      </c>
      <c r="V572" s="146">
        <f>IF(ETo!D571&gt;0,ETo!I571*((1-Entradas!$E$81)*ETo!K571+ETo!L571),0)</f>
        <v>2.2899916624011918</v>
      </c>
      <c r="W572" s="170">
        <f>IF(Escenarios!$E$14&gt;0,MIN(V572*1,0.8*(Z571+R572+S572+T572+Observaciones!$F571-U572-Constantes!$E$35)),0)</f>
        <v>2.2899916624011918</v>
      </c>
      <c r="X572" s="170">
        <f>IF(Escenarios!$E$14&gt;0,Observaciones!$J571,0)</f>
        <v>0</v>
      </c>
      <c r="Y572" s="170">
        <f>IF(Escenarios!$E$14&gt;0,MAX(0,Z571+R572+S572+T572+Observaciones!$F571-U572-W572-X572-Constantes!$E$33),0)</f>
        <v>0</v>
      </c>
      <c r="Z572" s="170">
        <f>Z571+R572+S572+T572+Observaciones!$F571-U572-W572-Y572</f>
        <v>44.38800838265481</v>
      </c>
      <c r="AA572" s="170">
        <f>IF(Escenarios!$E$14&gt;0,(Escenarios!$E$13*L572+Escenarios!$E$14*W572)/(Escenarios!$E$16),L572)</f>
        <v>1.3771377720675213</v>
      </c>
      <c r="AB572" s="170">
        <f>IF(Escenarios!$E$14&gt;0,(Escenarios!$E$14*Y572)/(Escenarios!$E$16),K572)</f>
        <v>0</v>
      </c>
      <c r="AC572" s="170">
        <f>IF(Escenarios!$E$14&gt;0,(Escenarios!$E$13*M572+Escenarios!$E$14*U572)/(Escenarios!$E$16),M572)</f>
        <v>0</v>
      </c>
      <c r="AD572" s="76">
        <f t="shared" si="113"/>
        <v>93.491331908727844</v>
      </c>
      <c r="AE572" s="76">
        <f>MAX(0,(AD572-Constantes!$D$13)*(1-EXP(-Constantes!$D$23)))</f>
        <v>0.44084699985170672</v>
      </c>
      <c r="AF572" s="76">
        <f>AB572+O572*Escenarios!$E$13/Escenarios!$E$16+AE572</f>
        <v>0.56623387467963138</v>
      </c>
      <c r="AG572" s="76">
        <f>IF(Entradas!$E$91&gt;0,IF(AF572-Escenarios!$E$38&lt;=0,0,IF(AF572-Escenarios!$E$38&gt;Escenarios!$E$37,Escenarios!$E$37,AF572-Escenarios!$E$38)),0)</f>
        <v>0</v>
      </c>
      <c r="AH572" s="76">
        <f>AG572*Entradas!$E$99</f>
        <v>0</v>
      </c>
      <c r="AI572" s="76">
        <f>IF(Entradas!$E$91&gt;0,D572*Entradas!$D$23/Escenarios!$E$16,0)</f>
        <v>0</v>
      </c>
      <c r="AJ572" s="76">
        <f>IF(Entradas!$E$91&gt;0,Entradas!$D$24*Entradas!$D$22/Escenarios!$E$16,0)</f>
        <v>0</v>
      </c>
      <c r="AK572" s="76">
        <f t="shared" si="122"/>
        <v>1.3771377720675213</v>
      </c>
      <c r="AL572" s="76">
        <f t="shared" si="123"/>
        <v>0</v>
      </c>
      <c r="AM572" s="76">
        <f t="shared" si="114"/>
        <v>0</v>
      </c>
      <c r="AN572" s="76">
        <f>MAX(0,O572*Escenarios!$E$13/Escenarios!$E$16-AM572)</f>
        <v>0.12538687482792465</v>
      </c>
      <c r="AO572" s="76">
        <f>AM572+AN572-O572*Escenarios!$E$13/Escenarios!$E$16</f>
        <v>0</v>
      </c>
      <c r="AP572" s="76">
        <f t="shared" si="112"/>
        <v>0.44084699985170672</v>
      </c>
      <c r="AQ572" s="76">
        <f t="shared" si="115"/>
        <v>0</v>
      </c>
      <c r="AR572" s="76">
        <f t="shared" si="116"/>
        <v>0.56623387467963138</v>
      </c>
      <c r="AS572" s="76">
        <f t="shared" si="117"/>
        <v>0</v>
      </c>
      <c r="AT572" s="76">
        <f t="shared" si="118"/>
        <v>0</v>
      </c>
      <c r="AU572" s="76">
        <f t="shared" si="119"/>
        <v>48.75</v>
      </c>
      <c r="AV572" s="76">
        <f>MAX(0,(AU572-Constantes!$D$13)*(1-EXP(-Constantes!$D$24)))</f>
        <v>0</v>
      </c>
      <c r="AW572" s="170">
        <f>AW571+(Entradas!$E$112*AT572-AX571)/(800*Entradas!$D$25)</f>
        <v>0</v>
      </c>
      <c r="AX572" s="170">
        <f>8000*Entradas!$D$26*AW572/Constantes!$E$45</f>
        <v>0</v>
      </c>
      <c r="AY572" s="170">
        <f>IF(Escenarios!$E$17&gt;0,10*Escenarios!$E$16*AL572,0)</f>
        <v>0</v>
      </c>
      <c r="AZ572" s="170">
        <f>IF(Escenarios!$E$17&gt;0,10*Escenarios!$E$16*AX572,0)</f>
        <v>0</v>
      </c>
      <c r="BA572" s="170">
        <f>IF(Escenarios!$E$17&gt;0,0.001*Observaciones!$F571*Escenarios!$E$17,0)</f>
        <v>101.99999999999999</v>
      </c>
      <c r="BB572" s="170">
        <f>IF(Escenarios!$E$17&gt;0,Observaciones!$K571,0)</f>
        <v>0</v>
      </c>
      <c r="BC572" s="170">
        <f>IF(Escenarios!$E$17&gt;0,MIN(0.0005*ETo!$M571*Escenarios!$E$17*(BG571/Constantes!$E$40)^(2/3),BG571+AY572+AZ572+BA572+BB572),0)</f>
        <v>5.3816549495631607</v>
      </c>
      <c r="BD572" s="170">
        <f>IF(Escenarios!$E$17&gt;0,MIN(Constantes!$E$39*(BG571/Constantes!$E$40)^(2/3),BG571+AY572+AZ572+BA572+BB572-BC572),0)</f>
        <v>14.659697897097487</v>
      </c>
      <c r="BE572" s="170">
        <f>IF(Escenarios!$E$17&gt;0,MIN(Entradas!$E$113,BG571+AY572+AZ572+BA572+BB572-BC572-BD572),0)</f>
        <v>1</v>
      </c>
      <c r="BF572" s="170">
        <f>IF(Escenarios!$E$17&gt;0,MAX(0,BG571+AY572+AZ572+BA572+BB572-BC572-BD572-BE572-Constantes!$E$40),0)</f>
        <v>0</v>
      </c>
      <c r="BG572" s="170">
        <f t="shared" si="124"/>
        <v>603.91000059570683</v>
      </c>
      <c r="BH572" s="170">
        <f>(Escenarios!$E$16*AK572+0.1*BC572)/(Escenarios!$E$19)</f>
        <v>1.3683436845707804</v>
      </c>
      <c r="BI572" s="170">
        <f>IF(Escenarios!$E$17&gt;0,BF572/10/Escenarios!$E$19,AL572)</f>
        <v>0</v>
      </c>
      <c r="BJ572" s="170">
        <f>(Escenarios!$E$16*AT572+0.1*BD572)/(Escenarios!$E$19)</f>
        <v>5.8173404353561459E-3</v>
      </c>
      <c r="BK572" s="76">
        <f>BK571+(0.1*BD572)/(Escenarios!$E$19)-BL571</f>
        <v>50.276384978198294</v>
      </c>
      <c r="BL572" s="76">
        <f>MAX(0,(BK572-Constantes!$D$13)*(1-EXP(-Constantes!$D$23)))</f>
        <v>1.5039834746765002E-2</v>
      </c>
      <c r="BM572" s="76">
        <f t="shared" si="120"/>
        <v>0.45588683459847174</v>
      </c>
      <c r="BN572" s="76">
        <f t="shared" si="125"/>
        <v>0.58127370942639633</v>
      </c>
      <c r="BO572" s="76">
        <f>0.0526*BI572*Observaciones!$F571^1.218</f>
        <v>0</v>
      </c>
      <c r="BP572" s="76">
        <f>BO572*Constantes!$E$51</f>
        <v>0</v>
      </c>
      <c r="BQ572" s="76">
        <f t="shared" si="121"/>
        <v>0</v>
      </c>
      <c r="BR572" s="40"/>
    </row>
    <row r="573" spans="1:70">
      <c r="A573" s="147"/>
      <c r="B573" s="39"/>
      <c r="C573" s="75">
        <v>567</v>
      </c>
      <c r="D573" s="146">
        <f>ETo!$I572*((1-Constantes!$E$19)*ETo!$K572+ETo!$L572)</f>
        <v>2.4824236734767782</v>
      </c>
      <c r="E573" s="76">
        <f>MIN(D573*Constantes!$E$17,0.8*(N572+Observaciones!$F572-F573-M573-Constantes!$D$14))</f>
        <v>1.2136875001748306</v>
      </c>
      <c r="F573" s="76">
        <f>IF(Observaciones!$F572&gt;0.05*Constantes!$E$18,((Observaciones!$F572-0.05*Constantes!$E$18)^2)/(Observaciones!$F572+0.95*Constantes!$E$18),0)</f>
        <v>4.7099627951241686E-3</v>
      </c>
      <c r="G573" s="76">
        <f>IF(Escenarios!$E$11&gt;0,(F573*Escenarios!$E$16*10000)/1000,0)</f>
        <v>11.77490698781042</v>
      </c>
      <c r="H573" s="76">
        <f>IF(Escenarios!$E$11&gt;0,(Observaciones!$F572*Constantes!$E$29)/1000,0)</f>
        <v>67</v>
      </c>
      <c r="I573" s="76">
        <f>IF(Escenarios!$E$11&gt;0,(D573*Constantes!$E$29)/1000,0)</f>
        <v>24.824236734767783</v>
      </c>
      <c r="J573" s="76">
        <f>IF(Escenarios!$E$11&gt;0,MAX(0,G573+H573-I573),0)</f>
        <v>53.950670253042645</v>
      </c>
      <c r="K573" s="76">
        <f>IF(Escenarios!$E$11&gt;0,IF(J573&gt;Constantes!$E$30,1000*((J573-Constantes!$E$30)/(Escenarios!$E$16*10000)),0),F573)</f>
        <v>0</v>
      </c>
      <c r="L573" s="76">
        <f>IF(Escenarios!$E$11&gt;0,I573*1000/Escenarios!$E$16/10000+E573,E573)</f>
        <v>1.2236171948687378</v>
      </c>
      <c r="M573" s="76">
        <f>MAX(0,N572+Observaciones!$F572-K573-Constantes!$D$13)</f>
        <v>0</v>
      </c>
      <c r="N573" s="76">
        <f>N572+Observaciones!$F572-K573-L573-M573-O572</f>
        <v>20.766802278958405</v>
      </c>
      <c r="O573" s="76">
        <f>MAX(0,(N573-Constantes!$D$14)*(1-EXP(-Constantes!$D$22)))</f>
        <v>0.32417722251771891</v>
      </c>
      <c r="P573" s="170">
        <f>P572+(Entradas!$E$83*M573-Q572)/(800*Entradas!$D$25)</f>
        <v>0</v>
      </c>
      <c r="Q573" s="170">
        <f>8000*Entradas!$D$26*P573/Constantes!$E$45</f>
        <v>0</v>
      </c>
      <c r="R573" s="170">
        <f>IF(Escenarios!$E$14&gt;0,K573*Escenarios!$E$13/Escenarios!$E$14,0)</f>
        <v>0</v>
      </c>
      <c r="S573" s="170">
        <f>IF(Escenarios!$E$14&gt;0,Q573*Escenarios!$E$13/Escenarios!$E$14,0)</f>
        <v>0</v>
      </c>
      <c r="T573" s="170">
        <f>IF(Escenarios!$E$14&gt;0,Observaciones!$I572,0)</f>
        <v>0</v>
      </c>
      <c r="U573" s="170">
        <f>IF(Escenarios!$E$14&gt;0,MAX(0,Constantes!$E$36/((Z572+R573+S573+T573+Observaciones!$F572)^2)+Entradas!$E$77),0)</f>
        <v>0</v>
      </c>
      <c r="V573" s="146">
        <f>IF(ETo!D572&gt;0,ETo!I572*((1-Entradas!$E$81)*ETo!K572+ETo!L572),0)</f>
        <v>2.2371837779201296</v>
      </c>
      <c r="W573" s="170">
        <f>IF(Escenarios!$E$14&gt;0,MIN(V573*1,0.8*(Z572+R573+S573+T573+Observaciones!$F572-U573-Constantes!$E$35)),0)</f>
        <v>2.2371837779201296</v>
      </c>
      <c r="X573" s="170">
        <f>IF(Escenarios!$E$14&gt;0,Observaciones!$J572,0)</f>
        <v>0</v>
      </c>
      <c r="Y573" s="170">
        <f>IF(Escenarios!$E$14&gt;0,MAX(0,Z572+R573+S573+T573+Observaciones!$F572-U573-W573-X573-Constantes!$E$33),0)</f>
        <v>0</v>
      </c>
      <c r="Z573" s="170">
        <f>Z572+R573+S573+T573+Observaciones!$F572-U573-W573-Y573</f>
        <v>48.850824604734683</v>
      </c>
      <c r="AA573" s="170">
        <f>IF(Escenarios!$E$14&gt;0,(Escenarios!$E$13*L573+Escenarios!$E$14*W573)/(Escenarios!$E$16),L573)</f>
        <v>1.345245184834905</v>
      </c>
      <c r="AB573" s="170">
        <f>IF(Escenarios!$E$14&gt;0,(Escenarios!$E$14*Y573)/(Escenarios!$E$16),K573)</f>
        <v>0</v>
      </c>
      <c r="AC573" s="170">
        <f>IF(Escenarios!$E$14&gt;0,(Escenarios!$E$13*M573+Escenarios!$E$14*U573)/(Escenarios!$E$16),M573)</f>
        <v>0</v>
      </c>
      <c r="AD573" s="76">
        <f t="shared" si="113"/>
        <v>93.050484908876143</v>
      </c>
      <c r="AE573" s="76">
        <f>MAX(0,(AD573-Constantes!$D$13)*(1-EXP(-Constantes!$D$23)))</f>
        <v>0.43650322936059321</v>
      </c>
      <c r="AF573" s="76">
        <f>AB573+O573*Escenarios!$E$13/Escenarios!$E$16+AE573</f>
        <v>0.72177918517618589</v>
      </c>
      <c r="AG573" s="76">
        <f>IF(Entradas!$E$91&gt;0,IF(AF573-Escenarios!$E$38&lt;=0,0,IF(AF573-Escenarios!$E$38&gt;Escenarios!$E$37,Escenarios!$E$37,AF573-Escenarios!$E$38)),0)</f>
        <v>0</v>
      </c>
      <c r="AH573" s="76">
        <f>AG573*Entradas!$E$99</f>
        <v>0</v>
      </c>
      <c r="AI573" s="76">
        <f>IF(Entradas!$E$91&gt;0,D573*Entradas!$D$23/Escenarios!$E$16,0)</f>
        <v>0</v>
      </c>
      <c r="AJ573" s="76">
        <f>IF(Entradas!$E$91&gt;0,Entradas!$D$24*Entradas!$D$22/Escenarios!$E$16,0)</f>
        <v>0</v>
      </c>
      <c r="AK573" s="76">
        <f t="shared" si="122"/>
        <v>1.345245184834905</v>
      </c>
      <c r="AL573" s="76">
        <f t="shared" si="123"/>
        <v>0</v>
      </c>
      <c r="AM573" s="76">
        <f t="shared" si="114"/>
        <v>0</v>
      </c>
      <c r="AN573" s="76">
        <f>MAX(0,O573*Escenarios!$E$13/Escenarios!$E$16-AM573)</f>
        <v>0.28527595581559262</v>
      </c>
      <c r="AO573" s="76">
        <f>AM573+AN573-O573*Escenarios!$E$13/Escenarios!$E$16</f>
        <v>0</v>
      </c>
      <c r="AP573" s="76">
        <f t="shared" si="112"/>
        <v>0.43650322936059321</v>
      </c>
      <c r="AQ573" s="76">
        <f t="shared" si="115"/>
        <v>0</v>
      </c>
      <c r="AR573" s="76">
        <f t="shared" si="116"/>
        <v>0.72177918517618589</v>
      </c>
      <c r="AS573" s="76">
        <f t="shared" si="117"/>
        <v>0</v>
      </c>
      <c r="AT573" s="76">
        <f t="shared" si="118"/>
        <v>0</v>
      </c>
      <c r="AU573" s="76">
        <f t="shared" si="119"/>
        <v>48.75</v>
      </c>
      <c r="AV573" s="76">
        <f>MAX(0,(AU573-Constantes!$D$13)*(1-EXP(-Constantes!$D$24)))</f>
        <v>0</v>
      </c>
      <c r="AW573" s="170">
        <f>AW572+(Entradas!$E$112*AT573-AX572)/(800*Entradas!$D$25)</f>
        <v>0</v>
      </c>
      <c r="AX573" s="170">
        <f>8000*Entradas!$D$26*AW573/Constantes!$E$45</f>
        <v>0</v>
      </c>
      <c r="AY573" s="170">
        <f>IF(Escenarios!$E$17&gt;0,10*Escenarios!$E$16*AL573,0)</f>
        <v>0</v>
      </c>
      <c r="AZ573" s="170">
        <f>IF(Escenarios!$E$17&gt;0,10*Escenarios!$E$16*AX573,0)</f>
        <v>0</v>
      </c>
      <c r="BA573" s="170">
        <f>IF(Escenarios!$E$17&gt;0,0.001*Observaciones!$F572*Escenarios!$E$17,0)</f>
        <v>134</v>
      </c>
      <c r="BB573" s="170">
        <f>IF(Escenarios!$E$17&gt;0,Observaciones!$K572,0)</f>
        <v>45.968421531225083</v>
      </c>
      <c r="BC573" s="170">
        <f>IF(Escenarios!$E$17&gt;0,MIN(0.0005*ETo!$M572*Escenarios!$E$17*(BG572/Constantes!$E$40)^(2/3),BG572+AY573+AZ573+BA573+BB573),0)</f>
        <v>5.7854342410563895</v>
      </c>
      <c r="BD573" s="170">
        <f>IF(Escenarios!$E$17&gt;0,MIN(Constantes!$E$39*(BG572/Constantes!$E$40)^(2/3),BG572+AY573+AZ573+BA573+BB573-BC573),0)</f>
        <v>16.136114763524191</v>
      </c>
      <c r="BE573" s="170">
        <f>IF(Escenarios!$E$17&gt;0,MIN(Entradas!$E$113,BG572+AY573+AZ573+BA573+BB573-BC573-BD573),0)</f>
        <v>1</v>
      </c>
      <c r="BF573" s="170">
        <f>IF(Escenarios!$E$17&gt;0,MAX(0,BG572+AY573+AZ573+BA573+BB573-BC573-BD573-BE573-Constantes!$E$40),0)</f>
        <v>0</v>
      </c>
      <c r="BG573" s="170">
        <f t="shared" si="124"/>
        <v>760.95687312235134</v>
      </c>
      <c r="BH573" s="170">
        <f>(Escenarios!$E$16*AK573+0.1*BC573)/(Escenarios!$E$19)</f>
        <v>1.3368644429874281</v>
      </c>
      <c r="BI573" s="170">
        <f>IF(Escenarios!$E$17&gt;0,BF573/10/Escenarios!$E$19,AL573)</f>
        <v>0</v>
      </c>
      <c r="BJ573" s="170">
        <f>(Escenarios!$E$16*AT573+0.1*BD573)/(Escenarios!$E$19)</f>
        <v>6.403220144255632E-3</v>
      </c>
      <c r="BK573" s="76">
        <f>BK572+(0.1*BD573)/(Escenarios!$E$19)-BL572</f>
        <v>50.267748363595786</v>
      </c>
      <c r="BL573" s="76">
        <f>MAX(0,(BK573-Constantes!$D$13)*(1-EXP(-Constantes!$D$23)))</f>
        <v>1.4954736126005154E-2</v>
      </c>
      <c r="BM573" s="76">
        <f t="shared" si="120"/>
        <v>0.45145796548659839</v>
      </c>
      <c r="BN573" s="76">
        <f t="shared" si="125"/>
        <v>0.73673392130219106</v>
      </c>
      <c r="BO573" s="76">
        <f>0.0526*BI573*Observaciones!$F572^1.218</f>
        <v>0</v>
      </c>
      <c r="BP573" s="76">
        <f>BO573*Constantes!$E$51</f>
        <v>0</v>
      </c>
      <c r="BQ573" s="76">
        <f t="shared" si="121"/>
        <v>0</v>
      </c>
      <c r="BR573" s="40"/>
    </row>
    <row r="574" spans="1:70">
      <c r="A574" s="147"/>
      <c r="B574" s="39"/>
      <c r="C574" s="75">
        <v>568</v>
      </c>
      <c r="D574" s="146">
        <f>ETo!$I573*((1-Constantes!$E$19)*ETo!$K573+ETo!$L573)</f>
        <v>2.6572293512022989</v>
      </c>
      <c r="E574" s="76">
        <f>MIN(D574*Constantes!$E$17,0.8*(N573+Observaciones!$F573-F574-M574-Constantes!$D$14))</f>
        <v>1.2991521484062554</v>
      </c>
      <c r="F574" s="76">
        <f>IF(Observaciones!$F573&gt;0.05*Constantes!$E$18,((Observaciones!$F573-0.05*Constantes!$E$18)^2)/(Observaciones!$F573+0.95*Constantes!$E$18),0)</f>
        <v>0</v>
      </c>
      <c r="G574" s="76">
        <f>IF(Escenarios!$E$11&gt;0,(F574*Escenarios!$E$16*10000)/1000,0)</f>
        <v>0</v>
      </c>
      <c r="H574" s="76">
        <f>IF(Escenarios!$E$11&gt;0,(Observaciones!$F573*Constantes!$E$29)/1000,0)</f>
        <v>0</v>
      </c>
      <c r="I574" s="76">
        <f>IF(Escenarios!$E$11&gt;0,(D574*Constantes!$E$29)/1000,0)</f>
        <v>26.572293512022988</v>
      </c>
      <c r="J574" s="76">
        <f>IF(Escenarios!$E$11&gt;0,MAX(0,G574+H574-I574),0)</f>
        <v>0</v>
      </c>
      <c r="K574" s="76">
        <f>IF(Escenarios!$E$11&gt;0,IF(J574&gt;Constantes!$E$30,1000*((J574-Constantes!$E$30)/(Escenarios!$E$16*10000)),0),F574)</f>
        <v>0</v>
      </c>
      <c r="L574" s="76">
        <f>IF(Escenarios!$E$11&gt;0,I574*1000/Escenarios!$E$16/10000+E574,E574)</f>
        <v>1.3097810658110645</v>
      </c>
      <c r="M574" s="76">
        <f>MAX(0,N573+Observaciones!$F573-K574-Constantes!$D$13)</f>
        <v>0</v>
      </c>
      <c r="N574" s="76">
        <f>N573+Observaciones!$F573-K574-L574-M574-O573</f>
        <v>19.13284399062962</v>
      </c>
      <c r="O574" s="76">
        <f>MAX(0,(N574-Constantes!$D$14)*(1-EXP(-Constantes!$D$22)))</f>
        <v>0.26851860483356488</v>
      </c>
      <c r="P574" s="170">
        <f>P573+(Entradas!$E$83*M574-Q573)/(800*Entradas!$D$25)</f>
        <v>0</v>
      </c>
      <c r="Q574" s="170">
        <f>8000*Entradas!$D$26*P574/Constantes!$E$45</f>
        <v>0</v>
      </c>
      <c r="R574" s="170">
        <f>IF(Escenarios!$E$14&gt;0,K574*Escenarios!$E$13/Escenarios!$E$14,0)</f>
        <v>0</v>
      </c>
      <c r="S574" s="170">
        <f>IF(Escenarios!$E$14&gt;0,Q574*Escenarios!$E$13/Escenarios!$E$14,0)</f>
        <v>0</v>
      </c>
      <c r="T574" s="170">
        <f>IF(Escenarios!$E$14&gt;0,Observaciones!$I573,0)</f>
        <v>0</v>
      </c>
      <c r="U574" s="170">
        <f>IF(Escenarios!$E$14&gt;0,MAX(0,Constantes!$E$36/((Z573+R574+S574+T574+Observaciones!$F573)^2)+Entradas!$E$77),0)</f>
        <v>0</v>
      </c>
      <c r="V574" s="146">
        <f>IF(ETo!D573&gt;0,ETo!I573*((1-Entradas!$E$81)*ETo!K573+ETo!L573),0)</f>
        <v>2.3957121580015865</v>
      </c>
      <c r="W574" s="170">
        <f>IF(Escenarios!$E$14&gt;0,MIN(V574*1,0.8*(Z573+R574+S574+T574+Observaciones!$F573-U574-Constantes!$E$35)),0)</f>
        <v>2.3957121580015865</v>
      </c>
      <c r="X574" s="170">
        <f>IF(Escenarios!$E$14&gt;0,Observaciones!$J573,0)</f>
        <v>0</v>
      </c>
      <c r="Y574" s="170">
        <f>IF(Escenarios!$E$14&gt;0,MAX(0,Z573+R574+S574+T574+Observaciones!$F573-U574-W574-X574-Constantes!$E$33),0)</f>
        <v>0</v>
      </c>
      <c r="Z574" s="170">
        <f>Z573+R574+S574+T574+Observaciones!$F573-U574-W574-Y574</f>
        <v>46.455112446733096</v>
      </c>
      <c r="AA574" s="170">
        <f>IF(Escenarios!$E$14&gt;0,(Escenarios!$E$13*L574+Escenarios!$E$14*W574)/(Escenarios!$E$16),L574)</f>
        <v>1.440092796873927</v>
      </c>
      <c r="AB574" s="170">
        <f>IF(Escenarios!$E$14&gt;0,(Escenarios!$E$14*Y574)/(Escenarios!$E$16),K574)</f>
        <v>0</v>
      </c>
      <c r="AC574" s="170">
        <f>IF(Escenarios!$E$14&gt;0,(Escenarios!$E$13*M574+Escenarios!$E$14*U574)/(Escenarios!$E$16),M574)</f>
        <v>0</v>
      </c>
      <c r="AD574" s="76">
        <f t="shared" si="113"/>
        <v>92.613981679515547</v>
      </c>
      <c r="AE574" s="76">
        <f>MAX(0,(AD574-Constantes!$D$13)*(1-EXP(-Constantes!$D$23)))</f>
        <v>0.43220225907473403</v>
      </c>
      <c r="AF574" s="76">
        <f>AB574+O574*Escenarios!$E$13/Escenarios!$E$16+AE574</f>
        <v>0.66849863132827114</v>
      </c>
      <c r="AG574" s="76">
        <f>IF(Entradas!$E$91&gt;0,IF(AF574-Escenarios!$E$38&lt;=0,0,IF(AF574-Escenarios!$E$38&gt;Escenarios!$E$37,Escenarios!$E$37,AF574-Escenarios!$E$38)),0)</f>
        <v>0</v>
      </c>
      <c r="AH574" s="76">
        <f>AG574*Entradas!$E$99</f>
        <v>0</v>
      </c>
      <c r="AI574" s="76">
        <f>IF(Entradas!$E$91&gt;0,D574*Entradas!$D$23/Escenarios!$E$16,0)</f>
        <v>0</v>
      </c>
      <c r="AJ574" s="76">
        <f>IF(Entradas!$E$91&gt;0,Entradas!$D$24*Entradas!$D$22/Escenarios!$E$16,0)</f>
        <v>0</v>
      </c>
      <c r="AK574" s="76">
        <f t="shared" si="122"/>
        <v>1.440092796873927</v>
      </c>
      <c r="AL574" s="76">
        <f t="shared" si="123"/>
        <v>0</v>
      </c>
      <c r="AM574" s="76">
        <f t="shared" si="114"/>
        <v>0</v>
      </c>
      <c r="AN574" s="76">
        <f>MAX(0,O574*Escenarios!$E$13/Escenarios!$E$16-AM574)</f>
        <v>0.23629637225353711</v>
      </c>
      <c r="AO574" s="76">
        <f>AM574+AN574-O574*Escenarios!$E$13/Escenarios!$E$16</f>
        <v>0</v>
      </c>
      <c r="AP574" s="76">
        <f t="shared" si="112"/>
        <v>0.43220225907473403</v>
      </c>
      <c r="AQ574" s="76">
        <f t="shared" si="115"/>
        <v>0</v>
      </c>
      <c r="AR574" s="76">
        <f t="shared" si="116"/>
        <v>0.66849863132827114</v>
      </c>
      <c r="AS574" s="76">
        <f t="shared" si="117"/>
        <v>0</v>
      </c>
      <c r="AT574" s="76">
        <f t="shared" si="118"/>
        <v>0</v>
      </c>
      <c r="AU574" s="76">
        <f t="shared" si="119"/>
        <v>48.75</v>
      </c>
      <c r="AV574" s="76">
        <f>MAX(0,(AU574-Constantes!$D$13)*(1-EXP(-Constantes!$D$24)))</f>
        <v>0</v>
      </c>
      <c r="AW574" s="170">
        <f>AW573+(Entradas!$E$112*AT574-AX573)/(800*Entradas!$D$25)</f>
        <v>0</v>
      </c>
      <c r="AX574" s="170">
        <f>8000*Entradas!$D$26*AW574/Constantes!$E$45</f>
        <v>0</v>
      </c>
      <c r="AY574" s="170">
        <f>IF(Escenarios!$E$17&gt;0,10*Escenarios!$E$16*AL574,0)</f>
        <v>0</v>
      </c>
      <c r="AZ574" s="170">
        <f>IF(Escenarios!$E$17&gt;0,10*Escenarios!$E$16*AX574,0)</f>
        <v>0</v>
      </c>
      <c r="BA574" s="170">
        <f>IF(Escenarios!$E$17&gt;0,0.001*Observaciones!$F573*Escenarios!$E$17,0)</f>
        <v>0</v>
      </c>
      <c r="BB574" s="170">
        <f>IF(Escenarios!$E$17&gt;0,Observaciones!$K573,0)</f>
        <v>0</v>
      </c>
      <c r="BC574" s="170">
        <f>IF(Escenarios!$E$17&gt;0,MIN(0.0005*ETo!$M573*Escenarios!$E$17*(BG573/Constantes!$E$40)^(2/3),BG573+AY574+AZ574+BA574+BB574),0)</f>
        <v>7.2209360063930825</v>
      </c>
      <c r="BD574" s="170">
        <f>IF(Escenarios!$E$17&gt;0,MIN(Constantes!$E$39*(BG573/Constantes!$E$40)^(2/3),BG573+AY574+AZ574+BA574+BB574-BC574),0)</f>
        <v>18.824532048263077</v>
      </c>
      <c r="BE574" s="170">
        <f>IF(Escenarios!$E$17&gt;0,MIN(Entradas!$E$113,BG573+AY574+AZ574+BA574+BB574-BC574-BD574),0)</f>
        <v>1</v>
      </c>
      <c r="BF574" s="170">
        <f>IF(Escenarios!$E$17&gt;0,MAX(0,BG573+AY574+AZ574+BA574+BB574-BC574-BD574-BE574-Constantes!$E$40),0)</f>
        <v>0</v>
      </c>
      <c r="BG574" s="170">
        <f t="shared" si="124"/>
        <v>733.91140506769511</v>
      </c>
      <c r="BH574" s="170">
        <f>(Escenarios!$E$16*AK574+0.1*BC574)/(Escenarios!$E$19)</f>
        <v>1.431528939758417</v>
      </c>
      <c r="BI574" s="170">
        <f>IF(Escenarios!$E$17&gt;0,BF574/10/Escenarios!$E$19,AL574)</f>
        <v>0</v>
      </c>
      <c r="BJ574" s="170">
        <f>(Escenarios!$E$16*AT574+0.1*BD574)/(Escenarios!$E$19)</f>
        <v>7.4700524001043963E-3</v>
      </c>
      <c r="BK574" s="76">
        <f>BK573+(0.1*BD574)/(Escenarios!$E$19)-BL573</f>
        <v>50.26026367986988</v>
      </c>
      <c r="BL574" s="76">
        <f>MAX(0,(BK574-Constantes!$D$13)*(1-EXP(-Constantes!$D$23)))</f>
        <v>1.488098775454103E-2</v>
      </c>
      <c r="BM574" s="76">
        <f t="shared" si="120"/>
        <v>0.44708324682927508</v>
      </c>
      <c r="BN574" s="76">
        <f t="shared" si="125"/>
        <v>0.6833796190828122</v>
      </c>
      <c r="BO574" s="76">
        <f>0.0526*BI574*Observaciones!$F573^1.218</f>
        <v>0</v>
      </c>
      <c r="BP574" s="76">
        <f>BO574*Constantes!$E$51</f>
        <v>0</v>
      </c>
      <c r="BQ574" s="76">
        <f t="shared" si="121"/>
        <v>0</v>
      </c>
      <c r="BR574" s="40"/>
    </row>
    <row r="575" spans="1:70">
      <c r="A575" s="147"/>
      <c r="B575" s="39"/>
      <c r="C575" s="75">
        <v>569</v>
      </c>
      <c r="D575" s="146">
        <f>ETo!$I574*((1-Constantes!$E$19)*ETo!$K574+ETo!$L574)</f>
        <v>2.6322483875233482</v>
      </c>
      <c r="E575" s="76">
        <f>MIN(D575*Constantes!$E$17,0.8*(N574+Observaciones!$F574-F575-M575-Constantes!$D$14))</f>
        <v>1.2869386476717091</v>
      </c>
      <c r="F575" s="76">
        <f>IF(Observaciones!$F574&gt;0.05*Constantes!$E$18,((Observaciones!$F574-0.05*Constantes!$E$18)^2)/(Observaciones!$F574+0.95*Constantes!$E$18),0)</f>
        <v>0</v>
      </c>
      <c r="G575" s="76">
        <f>IF(Escenarios!$E$11&gt;0,(F575*Escenarios!$E$16*10000)/1000,0)</f>
        <v>0</v>
      </c>
      <c r="H575" s="76">
        <f>IF(Escenarios!$E$11&gt;0,(Observaciones!$F574*Constantes!$E$29)/1000,0)</f>
        <v>0</v>
      </c>
      <c r="I575" s="76">
        <f>IF(Escenarios!$E$11&gt;0,(D575*Constantes!$E$29)/1000,0)</f>
        <v>26.322483875233484</v>
      </c>
      <c r="J575" s="76">
        <f>IF(Escenarios!$E$11&gt;0,MAX(0,G575+H575-I575),0)</f>
        <v>0</v>
      </c>
      <c r="K575" s="76">
        <f>IF(Escenarios!$E$11&gt;0,IF(J575&gt;Constantes!$E$30,1000*((J575-Constantes!$E$30)/(Escenarios!$E$16*10000)),0),F575)</f>
        <v>0</v>
      </c>
      <c r="L575" s="76">
        <f>IF(Escenarios!$E$11&gt;0,I575*1000/Escenarios!$E$16/10000+E575,E575)</f>
        <v>1.2974676412218025</v>
      </c>
      <c r="M575" s="76">
        <f>MAX(0,N574+Observaciones!$F574-K575-Constantes!$D$13)</f>
        <v>0</v>
      </c>
      <c r="N575" s="76">
        <f>N574+Observaciones!$F574-K575-L575-M575-O574</f>
        <v>17.56685774457425</v>
      </c>
      <c r="O575" s="76">
        <f>MAX(0,(N575-Constantes!$D$14)*(1-EXP(-Constantes!$D$22)))</f>
        <v>0.21517536443971894</v>
      </c>
      <c r="P575" s="170">
        <f>P574+(Entradas!$E$83*M575-Q574)/(800*Entradas!$D$25)</f>
        <v>0</v>
      </c>
      <c r="Q575" s="170">
        <f>8000*Entradas!$D$26*P575/Constantes!$E$45</f>
        <v>0</v>
      </c>
      <c r="R575" s="170">
        <f>IF(Escenarios!$E$14&gt;0,K575*Escenarios!$E$13/Escenarios!$E$14,0)</f>
        <v>0</v>
      </c>
      <c r="S575" s="170">
        <f>IF(Escenarios!$E$14&gt;0,Q575*Escenarios!$E$13/Escenarios!$E$14,0)</f>
        <v>0</v>
      </c>
      <c r="T575" s="170">
        <f>IF(Escenarios!$E$14&gt;0,Observaciones!$I574,0)</f>
        <v>0</v>
      </c>
      <c r="U575" s="170">
        <f>IF(Escenarios!$E$14&gt;0,MAX(0,Constantes!$E$36/((Z574+R575+S575+T575+Observaciones!$F574)^2)+Entradas!$E$77),0)</f>
        <v>0</v>
      </c>
      <c r="V575" s="146">
        <f>IF(ETo!D574&gt;0,ETo!I574*((1-Entradas!$E$81)*ETo!K574+ETo!L574),0)</f>
        <v>2.3733977344240067</v>
      </c>
      <c r="W575" s="170">
        <f>IF(Escenarios!$E$14&gt;0,MIN(V575*1,0.8*(Z574+R575+S575+T575+Observaciones!$F574-U575-Constantes!$E$35)),0)</f>
        <v>2.3733977344240067</v>
      </c>
      <c r="X575" s="170">
        <f>IF(Escenarios!$E$14&gt;0,Observaciones!$J574,0)</f>
        <v>0</v>
      </c>
      <c r="Y575" s="170">
        <f>IF(Escenarios!$E$14&gt;0,MAX(0,Z574+R575+S575+T575+Observaciones!$F574-U575-W575-X575-Constantes!$E$33),0)</f>
        <v>0</v>
      </c>
      <c r="Z575" s="170">
        <f>Z574+R575+S575+T575+Observaciones!$F574-U575-W575-Y575</f>
        <v>44.081714712309093</v>
      </c>
      <c r="AA575" s="170">
        <f>IF(Escenarios!$E$14&gt;0,(Escenarios!$E$13*L575+Escenarios!$E$14*W575)/(Escenarios!$E$16),L575)</f>
        <v>1.4265792524060672</v>
      </c>
      <c r="AB575" s="170">
        <f>IF(Escenarios!$E$14&gt;0,(Escenarios!$E$14*Y575)/(Escenarios!$E$16),K575)</f>
        <v>0</v>
      </c>
      <c r="AC575" s="170">
        <f>IF(Escenarios!$E$14&gt;0,(Escenarios!$E$13*M575+Escenarios!$E$14*U575)/(Escenarios!$E$16),M575)</f>
        <v>0</v>
      </c>
      <c r="AD575" s="76">
        <f t="shared" si="113"/>
        <v>92.181779420440819</v>
      </c>
      <c r="AE575" s="76">
        <f>MAX(0,(AD575-Constantes!$D$13)*(1-EXP(-Constantes!$D$23)))</f>
        <v>0.42794366727351285</v>
      </c>
      <c r="AF575" s="76">
        <f>AB575+O575*Escenarios!$E$13/Escenarios!$E$16+AE575</f>
        <v>0.61729798798046553</v>
      </c>
      <c r="AG575" s="76">
        <f>IF(Entradas!$E$91&gt;0,IF(AF575-Escenarios!$E$38&lt;=0,0,IF(AF575-Escenarios!$E$38&gt;Escenarios!$E$37,Escenarios!$E$37,AF575-Escenarios!$E$38)),0)</f>
        <v>0</v>
      </c>
      <c r="AH575" s="76">
        <f>AG575*Entradas!$E$99</f>
        <v>0</v>
      </c>
      <c r="AI575" s="76">
        <f>IF(Entradas!$E$91&gt;0,D575*Entradas!$D$23/Escenarios!$E$16,0)</f>
        <v>0</v>
      </c>
      <c r="AJ575" s="76">
        <f>IF(Entradas!$E$91&gt;0,Entradas!$D$24*Entradas!$D$22/Escenarios!$E$16,0)</f>
        <v>0</v>
      </c>
      <c r="AK575" s="76">
        <f t="shared" si="122"/>
        <v>1.4265792524060672</v>
      </c>
      <c r="AL575" s="76">
        <f t="shared" si="123"/>
        <v>0</v>
      </c>
      <c r="AM575" s="76">
        <f t="shared" si="114"/>
        <v>0</v>
      </c>
      <c r="AN575" s="76">
        <f>MAX(0,O575*Escenarios!$E$13/Escenarios!$E$16-AM575)</f>
        <v>0.18935432070695268</v>
      </c>
      <c r="AO575" s="76">
        <f>AM575+AN575-O575*Escenarios!$E$13/Escenarios!$E$16</f>
        <v>0</v>
      </c>
      <c r="AP575" s="76">
        <f t="shared" si="112"/>
        <v>0.42794366727351285</v>
      </c>
      <c r="AQ575" s="76">
        <f t="shared" si="115"/>
        <v>0</v>
      </c>
      <c r="AR575" s="76">
        <f t="shared" si="116"/>
        <v>0.61729798798046553</v>
      </c>
      <c r="AS575" s="76">
        <f t="shared" si="117"/>
        <v>0</v>
      </c>
      <c r="AT575" s="76">
        <f t="shared" si="118"/>
        <v>0</v>
      </c>
      <c r="AU575" s="76">
        <f t="shared" si="119"/>
        <v>48.75</v>
      </c>
      <c r="AV575" s="76">
        <f>MAX(0,(AU575-Constantes!$D$13)*(1-EXP(-Constantes!$D$24)))</f>
        <v>0</v>
      </c>
      <c r="AW575" s="170">
        <f>AW574+(Entradas!$E$112*AT575-AX574)/(800*Entradas!$D$25)</f>
        <v>0</v>
      </c>
      <c r="AX575" s="170">
        <f>8000*Entradas!$D$26*AW575/Constantes!$E$45</f>
        <v>0</v>
      </c>
      <c r="AY575" s="170">
        <f>IF(Escenarios!$E$17&gt;0,10*Escenarios!$E$16*AL575,0)</f>
        <v>0</v>
      </c>
      <c r="AZ575" s="170">
        <f>IF(Escenarios!$E$17&gt;0,10*Escenarios!$E$16*AX575,0)</f>
        <v>0</v>
      </c>
      <c r="BA575" s="170">
        <f>IF(Escenarios!$E$17&gt;0,0.001*Observaciones!$F574*Escenarios!$E$17,0)</f>
        <v>0</v>
      </c>
      <c r="BB575" s="170">
        <f>IF(Escenarios!$E$17&gt;0,Observaciones!$K574,0)</f>
        <v>0</v>
      </c>
      <c r="BC575" s="170">
        <f>IF(Escenarios!$E$17&gt;0,MIN(0.0005*ETo!$M574*Escenarios!$E$17*(BG574/Constantes!$E$40)^(2/3),BG574+AY575+AZ575+BA575+BB575),0)</f>
        <v>6.9817928820299828</v>
      </c>
      <c r="BD575" s="170">
        <f>IF(Escenarios!$E$17&gt;0,MIN(Constantes!$E$39*(BG574/Constantes!$E$40)^(2/3),BG574+AY575+AZ575+BA575+BB575-BC575),0)</f>
        <v>18.375813911471319</v>
      </c>
      <c r="BE575" s="170">
        <f>IF(Escenarios!$E$17&gt;0,MIN(Entradas!$E$113,BG574+AY575+AZ575+BA575+BB575-BC575-BD575),0)</f>
        <v>1</v>
      </c>
      <c r="BF575" s="170">
        <f>IF(Escenarios!$E$17&gt;0,MAX(0,BG574+AY575+AZ575+BA575+BB575-BC575-BD575-BE575-Constantes!$E$40),0)</f>
        <v>0</v>
      </c>
      <c r="BG575" s="170">
        <f t="shared" si="124"/>
        <v>707.55379827419381</v>
      </c>
      <c r="BH575" s="170">
        <f>(Escenarios!$E$16*AK575+0.1*BC575)/(Escenarios!$E$19)</f>
        <v>1.418027747578253</v>
      </c>
      <c r="BI575" s="170">
        <f>IF(Escenarios!$E$17&gt;0,BF575/10/Escenarios!$E$19,AL575)</f>
        <v>0</v>
      </c>
      <c r="BJ575" s="170">
        <f>(Escenarios!$E$16*AT575+0.1*BD575)/(Escenarios!$E$19)</f>
        <v>7.2919896474092534E-3</v>
      </c>
      <c r="BK575" s="76">
        <f>BK574+(0.1*BD575)/(Escenarios!$E$19)-BL574</f>
        <v>50.252674681762748</v>
      </c>
      <c r="BL575" s="76">
        <f>MAX(0,(BK575-Constantes!$D$13)*(1-EXP(-Constantes!$D$23)))</f>
        <v>1.4806211548632943E-2</v>
      </c>
      <c r="BM575" s="76">
        <f t="shared" si="120"/>
        <v>0.44274987882214578</v>
      </c>
      <c r="BN575" s="76">
        <f t="shared" si="125"/>
        <v>0.63210419952909846</v>
      </c>
      <c r="BO575" s="76">
        <f>0.0526*BI575*Observaciones!$F574^1.218</f>
        <v>0</v>
      </c>
      <c r="BP575" s="76">
        <f>BO575*Constantes!$E$51</f>
        <v>0</v>
      </c>
      <c r="BQ575" s="76">
        <f t="shared" si="121"/>
        <v>0</v>
      </c>
      <c r="BR575" s="40"/>
    </row>
    <row r="576" spans="1:70">
      <c r="A576" s="147"/>
      <c r="B576" s="39"/>
      <c r="C576" s="75">
        <v>570</v>
      </c>
      <c r="D576" s="146">
        <f>ETo!$I575*((1-Constantes!$E$19)*ETo!$K575+ETo!$L575)</f>
        <v>2.6980667555078317</v>
      </c>
      <c r="E576" s="76">
        <f>MIN(D576*Constantes!$E$17,0.8*(N575+Observaciones!$F575-F576-M576-Constantes!$D$14))</f>
        <v>1.3191180582043174</v>
      </c>
      <c r="F576" s="76">
        <f>IF(Observaciones!$F575&gt;0.05*Constantes!$E$18,((Observaciones!$F575-0.05*Constantes!$E$18)^2)/(Observaciones!$F575+0.95*Constantes!$E$18),0)</f>
        <v>0</v>
      </c>
      <c r="G576" s="76">
        <f>IF(Escenarios!$E$11&gt;0,(F576*Escenarios!$E$16*10000)/1000,0)</f>
        <v>0</v>
      </c>
      <c r="H576" s="76">
        <f>IF(Escenarios!$E$11&gt;0,(Observaciones!$F575*Constantes!$E$29)/1000,0)</f>
        <v>0</v>
      </c>
      <c r="I576" s="76">
        <f>IF(Escenarios!$E$11&gt;0,(D576*Constantes!$E$29)/1000,0)</f>
        <v>26.98066755507832</v>
      </c>
      <c r="J576" s="76">
        <f>IF(Escenarios!$E$11&gt;0,MAX(0,G576+H576-I576),0)</f>
        <v>0</v>
      </c>
      <c r="K576" s="76">
        <f>IF(Escenarios!$E$11&gt;0,IF(J576&gt;Constantes!$E$30,1000*((J576-Constantes!$E$30)/(Escenarios!$E$16*10000)),0),F576)</f>
        <v>0</v>
      </c>
      <c r="L576" s="76">
        <f>IF(Escenarios!$E$11&gt;0,I576*1000/Escenarios!$E$16/10000+E576,E576)</f>
        <v>1.3299103252263487</v>
      </c>
      <c r="M576" s="76">
        <f>MAX(0,N575+Observaciones!$F575-K576-Constantes!$D$13)</f>
        <v>0</v>
      </c>
      <c r="N576" s="76">
        <f>N575+Observaciones!$F575-K576-L576-M576-O575</f>
        <v>16.021772054908183</v>
      </c>
      <c r="O576" s="76">
        <f>MAX(0,(N576-Constantes!$D$14)*(1-EXP(-Constantes!$D$22)))</f>
        <v>0.16254407372400595</v>
      </c>
      <c r="P576" s="170">
        <f>P575+(Entradas!$E$83*M576-Q575)/(800*Entradas!$D$25)</f>
        <v>0</v>
      </c>
      <c r="Q576" s="170">
        <f>8000*Entradas!$D$26*P576/Constantes!$E$45</f>
        <v>0</v>
      </c>
      <c r="R576" s="170">
        <f>IF(Escenarios!$E$14&gt;0,K576*Escenarios!$E$13/Escenarios!$E$14,0)</f>
        <v>0</v>
      </c>
      <c r="S576" s="170">
        <f>IF(Escenarios!$E$14&gt;0,Q576*Escenarios!$E$13/Escenarios!$E$14,0)</f>
        <v>0</v>
      </c>
      <c r="T576" s="170">
        <f>IF(Escenarios!$E$14&gt;0,Observaciones!$I575,0)</f>
        <v>0</v>
      </c>
      <c r="U576" s="170">
        <f>IF(Escenarios!$E$14&gt;0,MAX(0,Constantes!$E$36/((Z575+R576+S576+T576+Observaciones!$F575)^2)+Entradas!$E$77),0)</f>
        <v>0</v>
      </c>
      <c r="V576" s="146">
        <f>IF(ETo!D575&gt;0,ETo!I575*((1-Entradas!$E$81)*ETo!K575+ETo!L575),0)</f>
        <v>2.4335173726149191</v>
      </c>
      <c r="W576" s="170">
        <f>IF(Escenarios!$E$14&gt;0,MIN(V576*1,0.8*(Z575+R576+S576+T576+Observaciones!$F575-U576-Constantes!$E$35)),0)</f>
        <v>2.2653717698472748</v>
      </c>
      <c r="X576" s="170">
        <f>IF(Escenarios!$E$14&gt;0,Observaciones!$J575,0)</f>
        <v>0</v>
      </c>
      <c r="Y576" s="170">
        <f>IF(Escenarios!$E$14&gt;0,MAX(0,Z575+R576+S576+T576+Observaciones!$F575-U576-W576-X576-Constantes!$E$33),0)</f>
        <v>0</v>
      </c>
      <c r="Z576" s="170">
        <f>Z575+R576+S576+T576+Observaciones!$F575-U576-W576-Y576</f>
        <v>41.816342942461816</v>
      </c>
      <c r="AA576" s="170">
        <f>IF(Escenarios!$E$14&gt;0,(Escenarios!$E$13*L576+Escenarios!$E$14*W576)/(Escenarios!$E$16),L576)</f>
        <v>1.4421656985808597</v>
      </c>
      <c r="AB576" s="170">
        <f>IF(Escenarios!$E$14&gt;0,(Escenarios!$E$14*Y576)/(Escenarios!$E$16),K576)</f>
        <v>0</v>
      </c>
      <c r="AC576" s="170">
        <f>IF(Escenarios!$E$14&gt;0,(Escenarios!$E$13*M576+Escenarios!$E$14*U576)/(Escenarios!$E$16),M576)</f>
        <v>0</v>
      </c>
      <c r="AD576" s="76">
        <f t="shared" si="113"/>
        <v>91.753835753167309</v>
      </c>
      <c r="AE576" s="76">
        <f>MAX(0,(AD576-Constantes!$D$13)*(1-EXP(-Constantes!$D$23)))</f>
        <v>0.42372703639162662</v>
      </c>
      <c r="AF576" s="76">
        <f>AB576+O576*Escenarios!$E$13/Escenarios!$E$16+AE576</f>
        <v>0.56676582126875186</v>
      </c>
      <c r="AG576" s="76">
        <f>IF(Entradas!$E$91&gt;0,IF(AF576-Escenarios!$E$38&lt;=0,0,IF(AF576-Escenarios!$E$38&gt;Escenarios!$E$37,Escenarios!$E$37,AF576-Escenarios!$E$38)),0)</f>
        <v>0</v>
      </c>
      <c r="AH576" s="76">
        <f>AG576*Entradas!$E$99</f>
        <v>0</v>
      </c>
      <c r="AI576" s="76">
        <f>IF(Entradas!$E$91&gt;0,D576*Entradas!$D$23/Escenarios!$E$16,0)</f>
        <v>0</v>
      </c>
      <c r="AJ576" s="76">
        <f>IF(Entradas!$E$91&gt;0,Entradas!$D$24*Entradas!$D$22/Escenarios!$E$16,0)</f>
        <v>0</v>
      </c>
      <c r="AK576" s="76">
        <f t="shared" si="122"/>
        <v>1.4421656985808597</v>
      </c>
      <c r="AL576" s="76">
        <f t="shared" si="123"/>
        <v>0</v>
      </c>
      <c r="AM576" s="76">
        <f t="shared" si="114"/>
        <v>0</v>
      </c>
      <c r="AN576" s="76">
        <f>MAX(0,O576*Escenarios!$E$13/Escenarios!$E$16-AM576)</f>
        <v>0.14303878487712524</v>
      </c>
      <c r="AO576" s="76">
        <f>AM576+AN576-O576*Escenarios!$E$13/Escenarios!$E$16</f>
        <v>0</v>
      </c>
      <c r="AP576" s="76">
        <f t="shared" si="112"/>
        <v>0.42372703639162662</v>
      </c>
      <c r="AQ576" s="76">
        <f t="shared" si="115"/>
        <v>0</v>
      </c>
      <c r="AR576" s="76">
        <f t="shared" si="116"/>
        <v>0.56676582126875186</v>
      </c>
      <c r="AS576" s="76">
        <f t="shared" si="117"/>
        <v>0</v>
      </c>
      <c r="AT576" s="76">
        <f t="shared" si="118"/>
        <v>0</v>
      </c>
      <c r="AU576" s="76">
        <f t="shared" si="119"/>
        <v>48.75</v>
      </c>
      <c r="AV576" s="76">
        <f>MAX(0,(AU576-Constantes!$D$13)*(1-EXP(-Constantes!$D$24)))</f>
        <v>0</v>
      </c>
      <c r="AW576" s="170">
        <f>AW575+(Entradas!$E$112*AT576-AX575)/(800*Entradas!$D$25)</f>
        <v>0</v>
      </c>
      <c r="AX576" s="170">
        <f>8000*Entradas!$D$26*AW576/Constantes!$E$45</f>
        <v>0</v>
      </c>
      <c r="AY576" s="170">
        <f>IF(Escenarios!$E$17&gt;0,10*Escenarios!$E$16*AL576,0)</f>
        <v>0</v>
      </c>
      <c r="AZ576" s="170">
        <f>IF(Escenarios!$E$17&gt;0,10*Escenarios!$E$16*AX576,0)</f>
        <v>0</v>
      </c>
      <c r="BA576" s="170">
        <f>IF(Escenarios!$E$17&gt;0,0.001*Observaciones!$F575*Escenarios!$E$17,0)</f>
        <v>0</v>
      </c>
      <c r="BB576" s="170">
        <f>IF(Escenarios!$E$17&gt;0,Observaciones!$K575,0)</f>
        <v>0</v>
      </c>
      <c r="BC576" s="170">
        <f>IF(Escenarios!$E$17&gt;0,MIN(0.0005*ETo!$M575*Escenarios!$E$17*(BG575/Constantes!$E$40)^(2/3),BG575+AY576+AZ576+BA576+BB576),0)</f>
        <v>6.9812564432920814</v>
      </c>
      <c r="BD576" s="170">
        <f>IF(Escenarios!$E$17&gt;0,MIN(Constantes!$E$39*(BG575/Constantes!$E$40)^(2/3),BG575+AY576+AZ576+BA576+BB576-BC576),0)</f>
        <v>17.933172973985013</v>
      </c>
      <c r="BE576" s="170">
        <f>IF(Escenarios!$E$17&gt;0,MIN(Entradas!$E$113,BG575+AY576+AZ576+BA576+BB576-BC576-BD576),0)</f>
        <v>1</v>
      </c>
      <c r="BF576" s="170">
        <f>IF(Escenarios!$E$17&gt;0,MAX(0,BG575+AY576+AZ576+BA576+BB576-BC576-BD576-BE576-Constantes!$E$40),0)</f>
        <v>0</v>
      </c>
      <c r="BG576" s="170">
        <f t="shared" si="124"/>
        <v>681.63936885691669</v>
      </c>
      <c r="BH576" s="170">
        <f>(Escenarios!$E$16*AK576+0.1*BC576)/(Escenarios!$E$19)</f>
        <v>1.4334902789267625</v>
      </c>
      <c r="BI576" s="170">
        <f>IF(Escenarios!$E$17&gt;0,BF576/10/Escenarios!$E$19,AL576)</f>
        <v>0</v>
      </c>
      <c r="BJ576" s="170">
        <f>(Escenarios!$E$16*AT576+0.1*BD576)/(Escenarios!$E$19)</f>
        <v>7.1163384817400852E-3</v>
      </c>
      <c r="BK576" s="76">
        <f>BK575+(0.1*BD576)/(Escenarios!$E$19)-BL575</f>
        <v>50.244984808695854</v>
      </c>
      <c r="BL576" s="76">
        <f>MAX(0,(BK576-Constantes!$D$13)*(1-EXP(-Constantes!$D$23)))</f>
        <v>1.4730441397719765E-2</v>
      </c>
      <c r="BM576" s="76">
        <f t="shared" si="120"/>
        <v>0.43845747778934641</v>
      </c>
      <c r="BN576" s="76">
        <f t="shared" si="125"/>
        <v>0.58149626266647159</v>
      </c>
      <c r="BO576" s="76">
        <f>0.0526*BI576*Observaciones!$F575^1.218</f>
        <v>0</v>
      </c>
      <c r="BP576" s="76">
        <f>BO576*Constantes!$E$51</f>
        <v>0</v>
      </c>
      <c r="BQ576" s="76">
        <f t="shared" si="121"/>
        <v>0</v>
      </c>
      <c r="BR576" s="40"/>
    </row>
    <row r="577" spans="1:70">
      <c r="A577" s="147"/>
      <c r="B577" s="39"/>
      <c r="C577" s="75">
        <v>571</v>
      </c>
      <c r="D577" s="146">
        <f>ETo!$I576*((1-Constantes!$E$19)*ETo!$K576+ETo!$L576)</f>
        <v>2.7111653725755427</v>
      </c>
      <c r="E577" s="76">
        <f>MIN(D577*Constantes!$E$17,0.8*(N576+Observaciones!$F576-F577-M577-Constantes!$D$14))</f>
        <v>1.3255221333726757</v>
      </c>
      <c r="F577" s="76">
        <f>IF(Observaciones!$F576&gt;0.05*Constantes!$E$18,((Observaciones!$F576-0.05*Constantes!$E$18)^2)/(Observaciones!$F576+0.95*Constantes!$E$18),0)</f>
        <v>0</v>
      </c>
      <c r="G577" s="76">
        <f>IF(Escenarios!$E$11&gt;0,(F577*Escenarios!$E$16*10000)/1000,0)</f>
        <v>0</v>
      </c>
      <c r="H577" s="76">
        <f>IF(Escenarios!$E$11&gt;0,(Observaciones!$F576*Constantes!$E$29)/1000,0)</f>
        <v>0</v>
      </c>
      <c r="I577" s="76">
        <f>IF(Escenarios!$E$11&gt;0,(D577*Constantes!$E$29)/1000,0)</f>
        <v>27.111653725755428</v>
      </c>
      <c r="J577" s="76">
        <f>IF(Escenarios!$E$11&gt;0,MAX(0,G577+H577-I577),0)</f>
        <v>0</v>
      </c>
      <c r="K577" s="76">
        <f>IF(Escenarios!$E$11&gt;0,IF(J577&gt;Constantes!$E$30,1000*((J577-Constantes!$E$30)/(Escenarios!$E$16*10000)),0),F577)</f>
        <v>0</v>
      </c>
      <c r="L577" s="76">
        <f>IF(Escenarios!$E$11&gt;0,I577*1000/Escenarios!$E$16/10000+E577,E577)</f>
        <v>1.3363667948629778</v>
      </c>
      <c r="M577" s="76">
        <f>MAX(0,N576+Observaciones!$F576-K577-Constantes!$D$13)</f>
        <v>0</v>
      </c>
      <c r="N577" s="76">
        <f>N576+Observaciones!$F576-K577-L577-M577-O576</f>
        <v>14.522861186321201</v>
      </c>
      <c r="O577" s="76">
        <f>MAX(0,(N577-Constantes!$D$14)*(1-EXP(-Constantes!$D$22)))</f>
        <v>0.11148566692548501</v>
      </c>
      <c r="P577" s="170">
        <f>P576+(Entradas!$E$83*M577-Q576)/(800*Entradas!$D$25)</f>
        <v>0</v>
      </c>
      <c r="Q577" s="170">
        <f>8000*Entradas!$D$26*P577/Constantes!$E$45</f>
        <v>0</v>
      </c>
      <c r="R577" s="170">
        <f>IF(Escenarios!$E$14&gt;0,K577*Escenarios!$E$13/Escenarios!$E$14,0)</f>
        <v>0</v>
      </c>
      <c r="S577" s="170">
        <f>IF(Escenarios!$E$14&gt;0,Q577*Escenarios!$E$13/Escenarios!$E$14,0)</f>
        <v>0</v>
      </c>
      <c r="T577" s="170">
        <f>IF(Escenarios!$E$14&gt;0,Observaciones!$I576,0)</f>
        <v>0</v>
      </c>
      <c r="U577" s="170">
        <f>IF(Escenarios!$E$14&gt;0,MAX(0,Constantes!$E$36/((Z576+R577+S577+T577+Observaciones!$F576)^2)+Entradas!$E$77),0)</f>
        <v>0</v>
      </c>
      <c r="V577" s="146">
        <f>IF(ETo!D576&gt;0,ETo!I576*((1-Entradas!$E$81)*ETo!K576+ETo!L576),0)</f>
        <v>2.4457819953374944</v>
      </c>
      <c r="W577" s="170">
        <f>IF(Escenarios!$E$14&gt;0,MIN(V577*1,0.8*(Z576+R577+S577+T577+Observaciones!$F576-U577-Constantes!$E$35)),0)</f>
        <v>0.45307435396945267</v>
      </c>
      <c r="X577" s="170">
        <f>IF(Escenarios!$E$14&gt;0,Observaciones!$J576,0)</f>
        <v>0</v>
      </c>
      <c r="Y577" s="170">
        <f>IF(Escenarios!$E$14&gt;0,MAX(0,Z576+R577+S577+T577+Observaciones!$F576-U577-W577-X577-Constantes!$E$33),0)</f>
        <v>0</v>
      </c>
      <c r="Z577" s="170">
        <f>Z576+R577+S577+T577+Observaciones!$F576-U577-W577-Y577</f>
        <v>41.36326858849236</v>
      </c>
      <c r="AA577" s="170">
        <f>IF(Escenarios!$E$14&gt;0,(Escenarios!$E$13*L577+Escenarios!$E$14*W577)/(Escenarios!$E$16),L577)</f>
        <v>1.2303717019557547</v>
      </c>
      <c r="AB577" s="170">
        <f>IF(Escenarios!$E$14&gt;0,(Escenarios!$E$14*Y577)/(Escenarios!$E$16),K577)</f>
        <v>0</v>
      </c>
      <c r="AC577" s="170">
        <f>IF(Escenarios!$E$14&gt;0,(Escenarios!$E$13*M577+Escenarios!$E$14*U577)/(Escenarios!$E$16),M577)</f>
        <v>0</v>
      </c>
      <c r="AD577" s="76">
        <f t="shared" si="113"/>
        <v>91.330108716775683</v>
      </c>
      <c r="AE577" s="76">
        <f>MAX(0,(AD577-Constantes!$D$13)*(1-EXP(-Constantes!$D$23)))</f>
        <v>0.41955195297814285</v>
      </c>
      <c r="AF577" s="76">
        <f>AB577+O577*Escenarios!$E$13/Escenarios!$E$16+AE577</f>
        <v>0.51765933987256962</v>
      </c>
      <c r="AG577" s="76">
        <f>IF(Entradas!$E$91&gt;0,IF(AF577-Escenarios!$E$38&lt;=0,0,IF(AF577-Escenarios!$E$38&gt;Escenarios!$E$37,Escenarios!$E$37,AF577-Escenarios!$E$38)),0)</f>
        <v>0</v>
      </c>
      <c r="AH577" s="76">
        <f>AG577*Entradas!$E$99</f>
        <v>0</v>
      </c>
      <c r="AI577" s="76">
        <f>IF(Entradas!$E$91&gt;0,D577*Entradas!$D$23/Escenarios!$E$16,0)</f>
        <v>0</v>
      </c>
      <c r="AJ577" s="76">
        <f>IF(Entradas!$E$91&gt;0,Entradas!$D$24*Entradas!$D$22/Escenarios!$E$16,0)</f>
        <v>0</v>
      </c>
      <c r="AK577" s="76">
        <f t="shared" si="122"/>
        <v>1.2303717019557547</v>
      </c>
      <c r="AL577" s="76">
        <f t="shared" si="123"/>
        <v>0</v>
      </c>
      <c r="AM577" s="76">
        <f t="shared" si="114"/>
        <v>0</v>
      </c>
      <c r="AN577" s="76">
        <f>MAX(0,O577*Escenarios!$E$13/Escenarios!$E$16-AM577)</f>
        <v>9.8107386894426815E-2</v>
      </c>
      <c r="AO577" s="76">
        <f>AM577+AN577-O577*Escenarios!$E$13/Escenarios!$E$16</f>
        <v>0</v>
      </c>
      <c r="AP577" s="76">
        <f t="shared" si="112"/>
        <v>0.41955195297814285</v>
      </c>
      <c r="AQ577" s="76">
        <f t="shared" si="115"/>
        <v>0</v>
      </c>
      <c r="AR577" s="76">
        <f t="shared" si="116"/>
        <v>0.51765933987256962</v>
      </c>
      <c r="AS577" s="76">
        <f t="shared" si="117"/>
        <v>0</v>
      </c>
      <c r="AT577" s="76">
        <f t="shared" si="118"/>
        <v>0</v>
      </c>
      <c r="AU577" s="76">
        <f t="shared" si="119"/>
        <v>48.75</v>
      </c>
      <c r="AV577" s="76">
        <f>MAX(0,(AU577-Constantes!$D$13)*(1-EXP(-Constantes!$D$24)))</f>
        <v>0</v>
      </c>
      <c r="AW577" s="170">
        <f>AW576+(Entradas!$E$112*AT577-AX576)/(800*Entradas!$D$25)</f>
        <v>0</v>
      </c>
      <c r="AX577" s="170">
        <f>8000*Entradas!$D$26*AW577/Constantes!$E$45</f>
        <v>0</v>
      </c>
      <c r="AY577" s="170">
        <f>IF(Escenarios!$E$17&gt;0,10*Escenarios!$E$16*AL577,0)</f>
        <v>0</v>
      </c>
      <c r="AZ577" s="170">
        <f>IF(Escenarios!$E$17&gt;0,10*Escenarios!$E$16*AX577,0)</f>
        <v>0</v>
      </c>
      <c r="BA577" s="170">
        <f>IF(Escenarios!$E$17&gt;0,0.001*Observaciones!$F576*Escenarios!$E$17,0)</f>
        <v>0</v>
      </c>
      <c r="BB577" s="170">
        <f>IF(Escenarios!$E$17&gt;0,Observaciones!$K576,0)</f>
        <v>0</v>
      </c>
      <c r="BC577" s="170">
        <f>IF(Escenarios!$E$17&gt;0,MIN(0.0005*ETo!$M576*Escenarios!$E$17*(BG576/Constantes!$E$40)^(2/3),BG576+AY577+AZ577+BA577+BB577),0)</f>
        <v>6.8412483567456208</v>
      </c>
      <c r="BD577" s="170">
        <f>IF(Escenarios!$E$17&gt;0,MIN(Constantes!$E$39*(BG576/Constantes!$E$40)^(2/3),BG576+AY577+AZ577+BA577+BB577-BC577),0)</f>
        <v>17.492582739792976</v>
      </c>
      <c r="BE577" s="170">
        <f>IF(Escenarios!$E$17&gt;0,MIN(Entradas!$E$113,BG576+AY577+AZ577+BA577+BB577-BC577-BD577),0)</f>
        <v>1</v>
      </c>
      <c r="BF577" s="170">
        <f>IF(Escenarios!$E$17&gt;0,MAX(0,BG576+AY577+AZ577+BA577+BB577-BC577-BD577-BE577-Constantes!$E$40),0)</f>
        <v>0</v>
      </c>
      <c r="BG577" s="170">
        <f t="shared" si="124"/>
        <v>656.30553776037812</v>
      </c>
      <c r="BH577" s="170">
        <f>(Escenarios!$E$16*AK577+0.1*BC577)/(Escenarios!$E$19)</f>
        <v>1.2233216282722748</v>
      </c>
      <c r="BI577" s="170">
        <f>IF(Escenarios!$E$17&gt;0,BF577/10/Escenarios!$E$19,AL577)</f>
        <v>0</v>
      </c>
      <c r="BJ577" s="170">
        <f>(Escenarios!$E$16*AT577+0.1*BD577)/(Escenarios!$E$19)</f>
        <v>6.9415010872194349E-3</v>
      </c>
      <c r="BK577" s="76">
        <f>BK576+(0.1*BD577)/(Escenarios!$E$19)-BL576</f>
        <v>50.237195868385356</v>
      </c>
      <c r="BL577" s="76">
        <f>MAX(0,(BK577-Constantes!$D$13)*(1-EXP(-Constantes!$D$23)))</f>
        <v>1.4653695113659387E-2</v>
      </c>
      <c r="BM577" s="76">
        <f t="shared" si="120"/>
        <v>0.43420564809180223</v>
      </c>
      <c r="BN577" s="76">
        <f t="shared" si="125"/>
        <v>0.53231303498622906</v>
      </c>
      <c r="BO577" s="76">
        <f>0.0526*BI577*Observaciones!$F576^1.218</f>
        <v>0</v>
      </c>
      <c r="BP577" s="76">
        <f>BO577*Constantes!$E$51</f>
        <v>0</v>
      </c>
      <c r="BQ577" s="76">
        <f t="shared" si="121"/>
        <v>0</v>
      </c>
      <c r="BR577" s="40"/>
    </row>
    <row r="578" spans="1:70">
      <c r="A578" s="147"/>
      <c r="B578" s="39"/>
      <c r="C578" s="75">
        <v>572</v>
      </c>
      <c r="D578" s="146">
        <f>ETo!$I577*((1-Constantes!$E$19)*ETo!$K577+ETo!$L577)</f>
        <v>2.6487546762617273</v>
      </c>
      <c r="E578" s="76">
        <f>MIN(D578*Constantes!$E$17,0.8*(N577+Observaciones!$F577-F578-M578-Constantes!$D$14))</f>
        <v>1.2950087754786959</v>
      </c>
      <c r="F578" s="76">
        <f>IF(Observaciones!$F577&gt;0.05*Constantes!$E$18,((Observaciones!$F577-0.05*Constantes!$E$18)^2)/(Observaciones!$F577+0.95*Constantes!$E$18),0)</f>
        <v>0</v>
      </c>
      <c r="G578" s="76">
        <f>IF(Escenarios!$E$11&gt;0,(F578*Escenarios!$E$16*10000)/1000,0)</f>
        <v>0</v>
      </c>
      <c r="H578" s="76">
        <f>IF(Escenarios!$E$11&gt;0,(Observaciones!$F577*Constantes!$E$29)/1000,0)</f>
        <v>0</v>
      </c>
      <c r="I578" s="76">
        <f>IF(Escenarios!$E$11&gt;0,(D578*Constantes!$E$29)/1000,0)</f>
        <v>26.487546762617271</v>
      </c>
      <c r="J578" s="76">
        <f>IF(Escenarios!$E$11&gt;0,MAX(0,G578+H578-I578),0)</f>
        <v>0</v>
      </c>
      <c r="K578" s="76">
        <f>IF(Escenarios!$E$11&gt;0,IF(J578&gt;Constantes!$E$30,1000*((J578-Constantes!$E$30)/(Escenarios!$E$16*10000)),0),F578)</f>
        <v>0</v>
      </c>
      <c r="L578" s="76">
        <f>IF(Escenarios!$E$11&gt;0,I578*1000/Escenarios!$E$16/10000+E578,E578)</f>
        <v>1.3056037941837428</v>
      </c>
      <c r="M578" s="76">
        <f>MAX(0,N577+Observaciones!$F577-K578-Constantes!$D$13)</f>
        <v>0</v>
      </c>
      <c r="N578" s="76">
        <f>N577+Observaciones!$F577-K578-L578-M578-O577</f>
        <v>13.105771725211973</v>
      </c>
      <c r="O578" s="76">
        <f>MAX(0,(N578-Constantes!$D$14)*(1-EXP(-Constantes!$D$22)))</f>
        <v>6.3214397638192463E-2</v>
      </c>
      <c r="P578" s="170">
        <f>P577+(Entradas!$E$83*M578-Q577)/(800*Entradas!$D$25)</f>
        <v>0</v>
      </c>
      <c r="Q578" s="170">
        <f>8000*Entradas!$D$26*P578/Constantes!$E$45</f>
        <v>0</v>
      </c>
      <c r="R578" s="170">
        <f>IF(Escenarios!$E$14&gt;0,K578*Escenarios!$E$13/Escenarios!$E$14,0)</f>
        <v>0</v>
      </c>
      <c r="S578" s="170">
        <f>IF(Escenarios!$E$14&gt;0,Q578*Escenarios!$E$13/Escenarios!$E$14,0)</f>
        <v>0</v>
      </c>
      <c r="T578" s="170">
        <f>IF(Escenarios!$E$14&gt;0,Observaciones!$I577,0)</f>
        <v>0</v>
      </c>
      <c r="U578" s="170">
        <f>IF(Escenarios!$E$14&gt;0,MAX(0,Constantes!$E$36/((Z577+R578+S578+T578+Observaciones!$F577)^2)+Entradas!$E$77),0)</f>
        <v>0</v>
      </c>
      <c r="V578" s="146">
        <f>IF(ETo!D577&gt;0,ETo!I577*((1-Entradas!$E$81)*ETo!K577+ETo!L577),0)</f>
        <v>2.3895056724630135</v>
      </c>
      <c r="W578" s="170">
        <f>IF(Escenarios!$E$14&gt;0,MIN(V578*1,0.8*(Z577+R578+S578+T578+Observaciones!$F577-U578-Constantes!$E$35)),0)</f>
        <v>9.0614870793888261E-2</v>
      </c>
      <c r="X578" s="170">
        <f>IF(Escenarios!$E$14&gt;0,Observaciones!$J577,0)</f>
        <v>0</v>
      </c>
      <c r="Y578" s="170">
        <f>IF(Escenarios!$E$14&gt;0,MAX(0,Z577+R578+S578+T578+Observaciones!$F577-U578-W578-X578-Constantes!$E$33),0)</f>
        <v>0</v>
      </c>
      <c r="Z578" s="170">
        <f>Z577+R578+S578+T578+Observaciones!$F577-U578-W578-Y578</f>
        <v>41.272653717698475</v>
      </c>
      <c r="AA578" s="170">
        <f>IF(Escenarios!$E$14&gt;0,(Escenarios!$E$13*L578+Escenarios!$E$14*W578)/(Escenarios!$E$16),L578)</f>
        <v>1.1598051233769602</v>
      </c>
      <c r="AB578" s="170">
        <f>IF(Escenarios!$E$14&gt;0,(Escenarios!$E$14*Y578)/(Escenarios!$E$16),K578)</f>
        <v>0</v>
      </c>
      <c r="AC578" s="170">
        <f>IF(Escenarios!$E$14&gt;0,(Escenarios!$E$13*M578+Escenarios!$E$14*U578)/(Escenarios!$E$16),M578)</f>
        <v>0</v>
      </c>
      <c r="AD578" s="76">
        <f t="shared" si="113"/>
        <v>90.910556763797544</v>
      </c>
      <c r="AE578" s="76">
        <f>MAX(0,(AD578-Constantes!$D$13)*(1-EXP(-Constantes!$D$23)))</f>
        <v>0.41541800765595949</v>
      </c>
      <c r="AF578" s="76">
        <f>AB578+O578*Escenarios!$E$13/Escenarios!$E$16+AE578</f>
        <v>0.47104667757756885</v>
      </c>
      <c r="AG578" s="76">
        <f>IF(Entradas!$E$91&gt;0,IF(AF578-Escenarios!$E$38&lt;=0,0,IF(AF578-Escenarios!$E$38&gt;Escenarios!$E$37,Escenarios!$E$37,AF578-Escenarios!$E$38)),0)</f>
        <v>0</v>
      </c>
      <c r="AH578" s="76">
        <f>AG578*Entradas!$E$99</f>
        <v>0</v>
      </c>
      <c r="AI578" s="76">
        <f>IF(Entradas!$E$91&gt;0,D578*Entradas!$D$23/Escenarios!$E$16,0)</f>
        <v>0</v>
      </c>
      <c r="AJ578" s="76">
        <f>IF(Entradas!$E$91&gt;0,Entradas!$D$24*Entradas!$D$22/Escenarios!$E$16,0)</f>
        <v>0</v>
      </c>
      <c r="AK578" s="76">
        <f t="shared" si="122"/>
        <v>1.1598051233769602</v>
      </c>
      <c r="AL578" s="76">
        <f t="shared" si="123"/>
        <v>0</v>
      </c>
      <c r="AM578" s="76">
        <f t="shared" si="114"/>
        <v>0</v>
      </c>
      <c r="AN578" s="76">
        <f>MAX(0,O578*Escenarios!$E$13/Escenarios!$E$16-AM578)</f>
        <v>5.5628669921609364E-2</v>
      </c>
      <c r="AO578" s="76">
        <f>AM578+AN578-O578*Escenarios!$E$13/Escenarios!$E$16</f>
        <v>0</v>
      </c>
      <c r="AP578" s="76">
        <f t="shared" si="112"/>
        <v>0.41541800765595949</v>
      </c>
      <c r="AQ578" s="76">
        <f t="shared" si="115"/>
        <v>0</v>
      </c>
      <c r="AR578" s="76">
        <f t="shared" si="116"/>
        <v>0.47104667757756885</v>
      </c>
      <c r="AS578" s="76">
        <f t="shared" si="117"/>
        <v>0</v>
      </c>
      <c r="AT578" s="76">
        <f t="shared" si="118"/>
        <v>0</v>
      </c>
      <c r="AU578" s="76">
        <f t="shared" si="119"/>
        <v>48.75</v>
      </c>
      <c r="AV578" s="76">
        <f>MAX(0,(AU578-Constantes!$D$13)*(1-EXP(-Constantes!$D$24)))</f>
        <v>0</v>
      </c>
      <c r="AW578" s="170">
        <f>AW577+(Entradas!$E$112*AT578-AX577)/(800*Entradas!$D$25)</f>
        <v>0</v>
      </c>
      <c r="AX578" s="170">
        <f>8000*Entradas!$D$26*AW578/Constantes!$E$45</f>
        <v>0</v>
      </c>
      <c r="AY578" s="170">
        <f>IF(Escenarios!$E$17&gt;0,10*Escenarios!$E$16*AL578,0)</f>
        <v>0</v>
      </c>
      <c r="AZ578" s="170">
        <f>IF(Escenarios!$E$17&gt;0,10*Escenarios!$E$16*AX578,0)</f>
        <v>0</v>
      </c>
      <c r="BA578" s="170">
        <f>IF(Escenarios!$E$17&gt;0,0.001*Observaciones!$F577*Escenarios!$E$17,0)</f>
        <v>0</v>
      </c>
      <c r="BB578" s="170">
        <f>IF(Escenarios!$E$17&gt;0,Observaciones!$K577,0)</f>
        <v>0</v>
      </c>
      <c r="BC578" s="170">
        <f>IF(Escenarios!$E$17&gt;0,MIN(0.0005*ETo!$M577*Escenarios!$E$17*(BG577/Constantes!$E$40)^(2/3),BG577+AY578+AZ578+BA578+BB578),0)</f>
        <v>6.5170297147178777</v>
      </c>
      <c r="BD578" s="170">
        <f>IF(Escenarios!$E$17&gt;0,MIN(Constantes!$E$39*(BG577/Constantes!$E$40)^(2/3),BG577+AY578+AZ578+BA578+BB578-BC578),0)</f>
        <v>17.056432721449319</v>
      </c>
      <c r="BE578" s="170">
        <f>IF(Escenarios!$E$17&gt;0,MIN(Entradas!$E$113,BG577+AY578+AZ578+BA578+BB578-BC578-BD578),0)</f>
        <v>1</v>
      </c>
      <c r="BF578" s="170">
        <f>IF(Escenarios!$E$17&gt;0,MAX(0,BG577+AY578+AZ578+BA578+BB578-BC578-BD578-BE578-Constantes!$E$40),0)</f>
        <v>0</v>
      </c>
      <c r="BG578" s="170">
        <f t="shared" si="124"/>
        <v>631.73207532421088</v>
      </c>
      <c r="BH578" s="170">
        <f>(Escenarios!$E$16*AK578+0.1*BC578)/(Escenarios!$E$19)</f>
        <v>1.1531864437131421</v>
      </c>
      <c r="BI578" s="170">
        <f>IF(Escenarios!$E$17&gt;0,BF578/10/Escenarios!$E$19,AL578)</f>
        <v>0</v>
      </c>
      <c r="BJ578" s="170">
        <f>(Escenarios!$E$16*AT578+0.1*BD578)/(Escenarios!$E$19)</f>
        <v>6.7684256831148093E-3</v>
      </c>
      <c r="BK578" s="76">
        <f>BK577+(0.1*BD578)/(Escenarios!$E$19)-BL577</f>
        <v>50.229310598954811</v>
      </c>
      <c r="BL578" s="76">
        <f>MAX(0,(BK578-Constantes!$D$13)*(1-EXP(-Constantes!$D$23)))</f>
        <v>1.457599967583537E-2</v>
      </c>
      <c r="BM578" s="76">
        <f t="shared" si="120"/>
        <v>0.42999400733179488</v>
      </c>
      <c r="BN578" s="76">
        <f t="shared" si="125"/>
        <v>0.48562267725340424</v>
      </c>
      <c r="BO578" s="76">
        <f>0.0526*BI578*Observaciones!$F577^1.218</f>
        <v>0</v>
      </c>
      <c r="BP578" s="76">
        <f>BO578*Constantes!$E$51</f>
        <v>0</v>
      </c>
      <c r="BQ578" s="76">
        <f t="shared" si="121"/>
        <v>0</v>
      </c>
      <c r="BR578" s="40"/>
    </row>
    <row r="579" spans="1:70">
      <c r="A579" s="147"/>
      <c r="B579" s="39"/>
      <c r="C579" s="75">
        <v>573</v>
      </c>
      <c r="D579" s="146">
        <f>ETo!$I578*((1-Constantes!$E$19)*ETo!$K578+ETo!$L578)</f>
        <v>2.6557493575764024</v>
      </c>
      <c r="E579" s="76">
        <f>MIN(D579*Constantes!$E$17,0.8*(N578+Observaciones!$F578-F579-M579-Constantes!$D$14))</f>
        <v>1.2984285612993161</v>
      </c>
      <c r="F579" s="76">
        <f>IF(Observaciones!$F578&gt;0.05*Constantes!$E$18,((Observaciones!$F578-0.05*Constantes!$E$18)^2)/(Observaciones!$F578+0.95*Constantes!$E$18),0)</f>
        <v>0</v>
      </c>
      <c r="G579" s="76">
        <f>IF(Escenarios!$E$11&gt;0,(F579*Escenarios!$E$16*10000)/1000,0)</f>
        <v>0</v>
      </c>
      <c r="H579" s="76">
        <f>IF(Escenarios!$E$11&gt;0,(Observaciones!$F578*Constantes!$E$29)/1000,0)</f>
        <v>0</v>
      </c>
      <c r="I579" s="76">
        <f>IF(Escenarios!$E$11&gt;0,(D579*Constantes!$E$29)/1000,0)</f>
        <v>26.557493575764024</v>
      </c>
      <c r="J579" s="76">
        <f>IF(Escenarios!$E$11&gt;0,MAX(0,G579+H579-I579),0)</f>
        <v>0</v>
      </c>
      <c r="K579" s="76">
        <f>IF(Escenarios!$E$11&gt;0,IF(J579&gt;Constantes!$E$30,1000*((J579-Constantes!$E$30)/(Escenarios!$E$16*10000)),0),F579)</f>
        <v>0</v>
      </c>
      <c r="L579" s="76">
        <f>IF(Escenarios!$E$11&gt;0,I579*1000/Escenarios!$E$16/10000+E579,E579)</f>
        <v>1.3090515587296216</v>
      </c>
      <c r="M579" s="76">
        <f>MAX(0,N578+Observaciones!$F578-K579-Constantes!$D$13)</f>
        <v>0</v>
      </c>
      <c r="N579" s="76">
        <f>N578+Observaciones!$F578-K579-L579-M579-O578</f>
        <v>11.733505768844159</v>
      </c>
      <c r="O579" s="76">
        <f>MAX(0,(N579-Constantes!$D$14)*(1-EXP(-Constantes!$D$22)))</f>
        <v>1.6469981472847072E-2</v>
      </c>
      <c r="P579" s="170">
        <f>P578+(Entradas!$E$83*M579-Q578)/(800*Entradas!$D$25)</f>
        <v>0</v>
      </c>
      <c r="Q579" s="170">
        <f>8000*Entradas!$D$26*P579/Constantes!$E$45</f>
        <v>0</v>
      </c>
      <c r="R579" s="170">
        <f>IF(Escenarios!$E$14&gt;0,K579*Escenarios!$E$13/Escenarios!$E$14,0)</f>
        <v>0</v>
      </c>
      <c r="S579" s="170">
        <f>IF(Escenarios!$E$14&gt;0,Q579*Escenarios!$E$13/Escenarios!$E$14,0)</f>
        <v>0</v>
      </c>
      <c r="T579" s="170">
        <f>IF(Escenarios!$E$14&gt;0,Observaciones!$I578,0)</f>
        <v>0</v>
      </c>
      <c r="U579" s="170">
        <f>IF(Escenarios!$E$14&gt;0,MAX(0,Constantes!$E$36/((Z578+R579+S579+T579+Observaciones!$F578)^2)+Entradas!$E$77),0)</f>
        <v>0</v>
      </c>
      <c r="V579" s="146">
        <f>IF(ETo!D578&gt;0,ETo!I578*((1-Entradas!$E$81)*ETo!K578+ETo!L578),0)</f>
        <v>2.3962447740621395</v>
      </c>
      <c r="W579" s="170">
        <f>IF(Escenarios!$E$14&gt;0,MIN(V579*1,0.8*(Z578+R579+S579+T579+Observaciones!$F578-U579-Constantes!$E$35)),0)</f>
        <v>1.8122974158779927E-2</v>
      </c>
      <c r="X579" s="170">
        <f>IF(Escenarios!$E$14&gt;0,Observaciones!$J578,0)</f>
        <v>0</v>
      </c>
      <c r="Y579" s="170">
        <f>IF(Escenarios!$E$14&gt;0,MAX(0,Z578+R579+S579+T579+Observaciones!$F578-U579-W579-X579-Constantes!$E$33),0)</f>
        <v>0</v>
      </c>
      <c r="Z579" s="170">
        <f>Z578+R579+S579+T579+Observaciones!$F578-U579-W579-Y579</f>
        <v>41.254530743539696</v>
      </c>
      <c r="AA579" s="170">
        <f>IF(Escenarios!$E$14&gt;0,(Escenarios!$E$13*L579+Escenarios!$E$14*W579)/(Escenarios!$E$16),L579)</f>
        <v>1.1541401285811208</v>
      </c>
      <c r="AB579" s="170">
        <f>IF(Escenarios!$E$14&gt;0,(Escenarios!$E$14*Y579)/(Escenarios!$E$16),K579)</f>
        <v>0</v>
      </c>
      <c r="AC579" s="170">
        <f>IF(Escenarios!$E$14&gt;0,(Escenarios!$E$13*M579+Escenarios!$E$14*U579)/(Escenarios!$E$16),M579)</f>
        <v>0</v>
      </c>
      <c r="AD579" s="76">
        <f t="shared" si="113"/>
        <v>90.495138756141586</v>
      </c>
      <c r="AE579" s="76">
        <f>MAX(0,(AD579-Constantes!$D$13)*(1-EXP(-Constantes!$D$23)))</f>
        <v>0.4113247950816647</v>
      </c>
      <c r="AF579" s="76">
        <f>AB579+O579*Escenarios!$E$13/Escenarios!$E$16+AE579</f>
        <v>0.42581837877777012</v>
      </c>
      <c r="AG579" s="76">
        <f>IF(Entradas!$E$91&gt;0,IF(AF579-Escenarios!$E$38&lt;=0,0,IF(AF579-Escenarios!$E$38&gt;Escenarios!$E$37,Escenarios!$E$37,AF579-Escenarios!$E$38)),0)</f>
        <v>0</v>
      </c>
      <c r="AH579" s="76">
        <f>AG579*Entradas!$E$99</f>
        <v>0</v>
      </c>
      <c r="AI579" s="76">
        <f>IF(Entradas!$E$91&gt;0,D579*Entradas!$D$23/Escenarios!$E$16,0)</f>
        <v>0</v>
      </c>
      <c r="AJ579" s="76">
        <f>IF(Entradas!$E$91&gt;0,Entradas!$D$24*Entradas!$D$22/Escenarios!$E$16,0)</f>
        <v>0</v>
      </c>
      <c r="AK579" s="76">
        <f t="shared" si="122"/>
        <v>1.1541401285811208</v>
      </c>
      <c r="AL579" s="76">
        <f t="shared" si="123"/>
        <v>0</v>
      </c>
      <c r="AM579" s="76">
        <f t="shared" si="114"/>
        <v>0</v>
      </c>
      <c r="AN579" s="76">
        <f>MAX(0,O579*Escenarios!$E$13/Escenarios!$E$16-AM579)</f>
        <v>1.4493583696105422E-2</v>
      </c>
      <c r="AO579" s="76">
        <f>AM579+AN579-O579*Escenarios!$E$13/Escenarios!$E$16</f>
        <v>0</v>
      </c>
      <c r="AP579" s="76">
        <f t="shared" si="112"/>
        <v>0.4113247950816647</v>
      </c>
      <c r="AQ579" s="76">
        <f t="shared" si="115"/>
        <v>0</v>
      </c>
      <c r="AR579" s="76">
        <f t="shared" si="116"/>
        <v>0.42581837877777012</v>
      </c>
      <c r="AS579" s="76">
        <f t="shared" si="117"/>
        <v>0</v>
      </c>
      <c r="AT579" s="76">
        <f t="shared" si="118"/>
        <v>0</v>
      </c>
      <c r="AU579" s="76">
        <f t="shared" si="119"/>
        <v>48.75</v>
      </c>
      <c r="AV579" s="76">
        <f>MAX(0,(AU579-Constantes!$D$13)*(1-EXP(-Constantes!$D$24)))</f>
        <v>0</v>
      </c>
      <c r="AW579" s="170">
        <f>AW578+(Entradas!$E$112*AT579-AX578)/(800*Entradas!$D$25)</f>
        <v>0</v>
      </c>
      <c r="AX579" s="170">
        <f>8000*Entradas!$D$26*AW579/Constantes!$E$45</f>
        <v>0</v>
      </c>
      <c r="AY579" s="170">
        <f>IF(Escenarios!$E$17&gt;0,10*Escenarios!$E$16*AL579,0)</f>
        <v>0</v>
      </c>
      <c r="AZ579" s="170">
        <f>IF(Escenarios!$E$17&gt;0,10*Escenarios!$E$16*AX579,0)</f>
        <v>0</v>
      </c>
      <c r="BA579" s="170">
        <f>IF(Escenarios!$E$17&gt;0,0.001*Observaciones!$F578*Escenarios!$E$17,0)</f>
        <v>0</v>
      </c>
      <c r="BB579" s="170">
        <f>IF(Escenarios!$E$17&gt;0,Observaciones!$K578,0)</f>
        <v>0</v>
      </c>
      <c r="BC579" s="170">
        <f>IF(Escenarios!$E$17&gt;0,MIN(0.0005*ETo!$M578*Escenarios!$E$17*(BG578/Constantes!$E$40)^(2/3),BG578+AY579+AZ579+BA579+BB579),0)</f>
        <v>6.3686974004244057</v>
      </c>
      <c r="BD579" s="170">
        <f>IF(Escenarios!$E$17&gt;0,MIN(Constantes!$E$39*(BG578/Constantes!$E$40)^(2/3),BG578+AY579+AZ579+BA579+BB579-BC579),0)</f>
        <v>16.627978149389033</v>
      </c>
      <c r="BE579" s="170">
        <f>IF(Escenarios!$E$17&gt;0,MIN(Entradas!$E$113,BG578+AY579+AZ579+BA579+BB579-BC579-BD579),0)</f>
        <v>1</v>
      </c>
      <c r="BF579" s="170">
        <f>IF(Escenarios!$E$17&gt;0,MAX(0,BG578+AY579+AZ579+BA579+BB579-BC579-BD579-BE579-Constantes!$E$40),0)</f>
        <v>0</v>
      </c>
      <c r="BG579" s="170">
        <f t="shared" si="124"/>
        <v>607.73539977439748</v>
      </c>
      <c r="BH579" s="170">
        <f>(Escenarios!$E$16*AK579+0.1*BC579)/(Escenarios!$E$19)</f>
        <v>1.1475075471639786</v>
      </c>
      <c r="BI579" s="170">
        <f>IF(Escenarios!$E$17&gt;0,BF579/10/Escenarios!$E$19,AL579)</f>
        <v>0</v>
      </c>
      <c r="BJ579" s="170">
        <f>(Escenarios!$E$16*AT579+0.1*BD579)/(Escenarios!$E$19)</f>
        <v>6.5984040275353303E-3</v>
      </c>
      <c r="BK579" s="76">
        <f>BK578+(0.1*BD579)/(Escenarios!$E$19)-BL578</f>
        <v>50.221333003306512</v>
      </c>
      <c r="BL579" s="76">
        <f>MAX(0,(BK579-Constantes!$D$13)*(1-EXP(-Constantes!$D$23)))</f>
        <v>1.4497394525797434E-2</v>
      </c>
      <c r="BM579" s="76">
        <f t="shared" si="120"/>
        <v>0.42582218960746215</v>
      </c>
      <c r="BN579" s="76">
        <f t="shared" si="125"/>
        <v>0.44031577330356758</v>
      </c>
      <c r="BO579" s="76">
        <f>0.0526*BI579*Observaciones!$F578^1.218</f>
        <v>0</v>
      </c>
      <c r="BP579" s="76">
        <f>BO579*Constantes!$E$51</f>
        <v>0</v>
      </c>
      <c r="BQ579" s="76">
        <f t="shared" si="121"/>
        <v>0</v>
      </c>
      <c r="BR579" s="40"/>
    </row>
    <row r="580" spans="1:70">
      <c r="A580" s="147"/>
      <c r="B580" s="39"/>
      <c r="C580" s="75">
        <v>574</v>
      </c>
      <c r="D580" s="146">
        <f>ETo!$I579*((1-Constantes!$E$19)*ETo!$K579+ETo!$L579)</f>
        <v>2.7042933719393716</v>
      </c>
      <c r="E580" s="76">
        <f>MIN(D580*Constantes!$E$17,0.8*(N579+Observaciones!$F579-F580-M580-Constantes!$D$14))</f>
        <v>0.38680461507532726</v>
      </c>
      <c r="F580" s="76">
        <f>IF(Observaciones!$F579&gt;0.05*Constantes!$E$18,((Observaciones!$F579-0.05*Constantes!$E$18)^2)/(Observaciones!$F579+0.95*Constantes!$E$18),0)</f>
        <v>0</v>
      </c>
      <c r="G580" s="76">
        <f>IF(Escenarios!$E$11&gt;0,(F580*Escenarios!$E$16*10000)/1000,0)</f>
        <v>0</v>
      </c>
      <c r="H580" s="76">
        <f>IF(Escenarios!$E$11&gt;0,(Observaciones!$F579*Constantes!$E$29)/1000,0)</f>
        <v>0</v>
      </c>
      <c r="I580" s="76">
        <f>IF(Escenarios!$E$11&gt;0,(D580*Constantes!$E$29)/1000,0)</f>
        <v>27.042933719393716</v>
      </c>
      <c r="J580" s="76">
        <f>IF(Escenarios!$E$11&gt;0,MAX(0,G580+H580-I580),0)</f>
        <v>0</v>
      </c>
      <c r="K580" s="76">
        <f>IF(Escenarios!$E$11&gt;0,IF(J580&gt;Constantes!$E$30,1000*((J580-Constantes!$E$30)/(Escenarios!$E$16*10000)),0),F580)</f>
        <v>0</v>
      </c>
      <c r="L580" s="76">
        <f>IF(Escenarios!$E$11&gt;0,I580*1000/Escenarios!$E$16/10000+E580,E580)</f>
        <v>0.39762178856308472</v>
      </c>
      <c r="M580" s="76">
        <f>MAX(0,N579+Observaciones!$F579-K580-Constantes!$D$13)</f>
        <v>0</v>
      </c>
      <c r="N580" s="76">
        <f>N579+Observaciones!$F579-K580-L580-M580-O579</f>
        <v>11.319413998808228</v>
      </c>
      <c r="O580" s="76">
        <f>MAX(0,(N580-Constantes!$D$14)*(1-EXP(-Constantes!$D$22)))</f>
        <v>2.3644956234146405E-3</v>
      </c>
      <c r="P580" s="170">
        <f>P579+(Entradas!$E$83*M580-Q579)/(800*Entradas!$D$25)</f>
        <v>0</v>
      </c>
      <c r="Q580" s="170">
        <f>8000*Entradas!$D$26*P580/Constantes!$E$45</f>
        <v>0</v>
      </c>
      <c r="R580" s="170">
        <f>IF(Escenarios!$E$14&gt;0,K580*Escenarios!$E$13/Escenarios!$E$14,0)</f>
        <v>0</v>
      </c>
      <c r="S580" s="170">
        <f>IF(Escenarios!$E$14&gt;0,Q580*Escenarios!$E$13/Escenarios!$E$14,0)</f>
        <v>0</v>
      </c>
      <c r="T580" s="170">
        <f>IF(Escenarios!$E$14&gt;0,Observaciones!$I579,0)</f>
        <v>0</v>
      </c>
      <c r="U580" s="170">
        <f>IF(Escenarios!$E$14&gt;0,MAX(0,Constantes!$E$36/((Z579+R580+S580+T580+Observaciones!$F579)^2)+Entradas!$E$77),0)</f>
        <v>0</v>
      </c>
      <c r="V580" s="146">
        <f>IF(ETo!D579&gt;0,ETo!I579*((1-Entradas!$E$81)*ETo!K579+ETo!L579),0)</f>
        <v>2.4406724717295605</v>
      </c>
      <c r="W580" s="170">
        <f>IF(Escenarios!$E$14&gt;0,MIN(V580*1,0.8*(Z579+R580+S580+T580+Observaciones!$F579-U580-Constantes!$E$35)),0)</f>
        <v>3.624594831757122E-3</v>
      </c>
      <c r="X580" s="170">
        <f>IF(Escenarios!$E$14&gt;0,Observaciones!$J579,0)</f>
        <v>0</v>
      </c>
      <c r="Y580" s="170">
        <f>IF(Escenarios!$E$14&gt;0,MAX(0,Z579+R580+S580+T580+Observaciones!$F579-U580-W580-X580-Constantes!$E$33),0)</f>
        <v>0</v>
      </c>
      <c r="Z580" s="170">
        <f>Z579+R580+S580+T580+Observaciones!$F579-U580-W580-Y580</f>
        <v>41.250906148707941</v>
      </c>
      <c r="AA580" s="170">
        <f>IF(Escenarios!$E$14&gt;0,(Escenarios!$E$13*L580+Escenarios!$E$14*W580)/(Escenarios!$E$16),L580)</f>
        <v>0.35034212531532538</v>
      </c>
      <c r="AB580" s="170">
        <f>IF(Escenarios!$E$14&gt;0,(Escenarios!$E$14*Y580)/(Escenarios!$E$16),K580)</f>
        <v>0</v>
      </c>
      <c r="AC580" s="170">
        <f>IF(Escenarios!$E$14&gt;0,(Escenarios!$E$13*M580+Escenarios!$E$14*U580)/(Escenarios!$E$16),M580)</f>
        <v>0</v>
      </c>
      <c r="AD580" s="76">
        <f t="shared" si="113"/>
        <v>90.083813961059917</v>
      </c>
      <c r="AE580" s="76">
        <f>MAX(0,(AD580-Constantes!$D$13)*(1-EXP(-Constantes!$D$23)))</f>
        <v>0.40727191390579165</v>
      </c>
      <c r="AF580" s="76">
        <f>AB580+O580*Escenarios!$E$13/Escenarios!$E$16+AE580</f>
        <v>0.40935267005439652</v>
      </c>
      <c r="AG580" s="76">
        <f>IF(Entradas!$E$91&gt;0,IF(AF580-Escenarios!$E$38&lt;=0,0,IF(AF580-Escenarios!$E$38&gt;Escenarios!$E$37,Escenarios!$E$37,AF580-Escenarios!$E$38)),0)</f>
        <v>0</v>
      </c>
      <c r="AH580" s="76">
        <f>AG580*Entradas!$E$99</f>
        <v>0</v>
      </c>
      <c r="AI580" s="76">
        <f>IF(Entradas!$E$91&gt;0,D580*Entradas!$D$23/Escenarios!$E$16,0)</f>
        <v>0</v>
      </c>
      <c r="AJ580" s="76">
        <f>IF(Entradas!$E$91&gt;0,Entradas!$D$24*Entradas!$D$22/Escenarios!$E$16,0)</f>
        <v>0</v>
      </c>
      <c r="AK580" s="76">
        <f t="shared" si="122"/>
        <v>0.35034212531532538</v>
      </c>
      <c r="AL580" s="76">
        <f t="shared" si="123"/>
        <v>0</v>
      </c>
      <c r="AM580" s="76">
        <f t="shared" si="114"/>
        <v>0</v>
      </c>
      <c r="AN580" s="76">
        <f>MAX(0,O580*Escenarios!$E$13/Escenarios!$E$16-AM580)</f>
        <v>2.0807561486048836E-3</v>
      </c>
      <c r="AO580" s="76">
        <f>AM580+AN580-O580*Escenarios!$E$13/Escenarios!$E$16</f>
        <v>0</v>
      </c>
      <c r="AP580" s="76">
        <f t="shared" si="112"/>
        <v>0.40727191390579165</v>
      </c>
      <c r="AQ580" s="76">
        <f t="shared" si="115"/>
        <v>0</v>
      </c>
      <c r="AR580" s="76">
        <f t="shared" si="116"/>
        <v>0.40935267005439652</v>
      </c>
      <c r="AS580" s="76">
        <f t="shared" si="117"/>
        <v>0</v>
      </c>
      <c r="AT580" s="76">
        <f t="shared" si="118"/>
        <v>0</v>
      </c>
      <c r="AU580" s="76">
        <f t="shared" si="119"/>
        <v>48.75</v>
      </c>
      <c r="AV580" s="76">
        <f>MAX(0,(AU580-Constantes!$D$13)*(1-EXP(-Constantes!$D$24)))</f>
        <v>0</v>
      </c>
      <c r="AW580" s="170">
        <f>AW579+(Entradas!$E$112*AT580-AX579)/(800*Entradas!$D$25)</f>
        <v>0</v>
      </c>
      <c r="AX580" s="170">
        <f>8000*Entradas!$D$26*AW580/Constantes!$E$45</f>
        <v>0</v>
      </c>
      <c r="AY580" s="170">
        <f>IF(Escenarios!$E$17&gt;0,10*Escenarios!$E$16*AL580,0)</f>
        <v>0</v>
      </c>
      <c r="AZ580" s="170">
        <f>IF(Escenarios!$E$17&gt;0,10*Escenarios!$E$16*AX580,0)</f>
        <v>0</v>
      </c>
      <c r="BA580" s="170">
        <f>IF(Escenarios!$E$17&gt;0,0.001*Observaciones!$F579*Escenarios!$E$17,0)</f>
        <v>0</v>
      </c>
      <c r="BB580" s="170">
        <f>IF(Escenarios!$E$17&gt;0,Observaciones!$K579,0)</f>
        <v>0</v>
      </c>
      <c r="BC580" s="170">
        <f>IF(Escenarios!$E$17&gt;0,MIN(0.0005*ETo!$M579*Escenarios!$E$17*(BG579/Constantes!$E$40)^(2/3),BG579+AY580+AZ580+BA580+BB580),0)</f>
        <v>6.3178264727025129</v>
      </c>
      <c r="BD580" s="170">
        <f>IF(Escenarios!$E$17&gt;0,MIN(Constantes!$E$39*(BG579/Constantes!$E$40)^(2/3),BG579+AY580+AZ580+BA580+BB580-BC580),0)</f>
        <v>16.204184614658335</v>
      </c>
      <c r="BE580" s="170">
        <f>IF(Escenarios!$E$17&gt;0,MIN(Entradas!$E$113,BG579+AY580+AZ580+BA580+BB580-BC580-BD580),0)</f>
        <v>1</v>
      </c>
      <c r="BF580" s="170">
        <f>IF(Escenarios!$E$17&gt;0,MAX(0,BG579+AY580+AZ580+BA580+BB580-BC580-BD580-BE580-Constantes!$E$40),0)</f>
        <v>0</v>
      </c>
      <c r="BG580" s="170">
        <f t="shared" si="124"/>
        <v>584.21338868703663</v>
      </c>
      <c r="BH580" s="170">
        <f>(Escenarios!$E$16*AK580+0.1*BC580)/(Escenarios!$E$19)</f>
        <v>0.35006870625437148</v>
      </c>
      <c r="BI580" s="170">
        <f>IF(Escenarios!$E$17&gt;0,BF580/10/Escenarios!$E$19,AL580)</f>
        <v>0</v>
      </c>
      <c r="BJ580" s="170">
        <f>(Escenarios!$E$16*AT580+0.1*BD580)/(Escenarios!$E$19)</f>
        <v>6.4302319899437839E-3</v>
      </c>
      <c r="BK580" s="76">
        <f>BK579+(0.1*BD580)/(Escenarios!$E$19)-BL579</f>
        <v>50.21326584077066</v>
      </c>
      <c r="BL580" s="76">
        <f>MAX(0,(BK580-Constantes!$D$13)*(1-EXP(-Constantes!$D$23)))</f>
        <v>1.4417906851883268E-2</v>
      </c>
      <c r="BM580" s="76">
        <f t="shared" si="120"/>
        <v>0.42168982075767492</v>
      </c>
      <c r="BN580" s="76">
        <f t="shared" si="125"/>
        <v>0.42377057690627978</v>
      </c>
      <c r="BO580" s="76">
        <f>0.0526*BI580*Observaciones!$F579^1.218</f>
        <v>0</v>
      </c>
      <c r="BP580" s="76">
        <f>BO580*Constantes!$E$51</f>
        <v>0</v>
      </c>
      <c r="BQ580" s="76">
        <f t="shared" si="121"/>
        <v>0</v>
      </c>
      <c r="BR580" s="40"/>
    </row>
    <row r="581" spans="1:70">
      <c r="A581" s="147"/>
      <c r="B581" s="39"/>
      <c r="C581" s="75">
        <v>575</v>
      </c>
      <c r="D581" s="146">
        <f>ETo!$I580*((1-Constantes!$E$19)*ETo!$K580+ETo!$L580)</f>
        <v>2.7342955320210112</v>
      </c>
      <c r="E581" s="76">
        <f>MIN(D581*Constantes!$E$17,0.8*(N580+Observaciones!$F580-F581-M581-Constantes!$D$14))</f>
        <v>5.5531199046582463E-2</v>
      </c>
      <c r="F581" s="76">
        <f>IF(Observaciones!$F580&gt;0.05*Constantes!$E$18,((Observaciones!$F580-0.05*Constantes!$E$18)^2)/(Observaciones!$F580+0.95*Constantes!$E$18),0)</f>
        <v>0</v>
      </c>
      <c r="G581" s="76">
        <f>IF(Escenarios!$E$11&gt;0,(F581*Escenarios!$E$16*10000)/1000,0)</f>
        <v>0</v>
      </c>
      <c r="H581" s="76">
        <f>IF(Escenarios!$E$11&gt;0,(Observaciones!$F580*Constantes!$E$29)/1000,0)</f>
        <v>0</v>
      </c>
      <c r="I581" s="76">
        <f>IF(Escenarios!$E$11&gt;0,(D581*Constantes!$E$29)/1000,0)</f>
        <v>27.342955320210113</v>
      </c>
      <c r="J581" s="76">
        <f>IF(Escenarios!$E$11&gt;0,MAX(0,G581+H581-I581),0)</f>
        <v>0</v>
      </c>
      <c r="K581" s="76">
        <f>IF(Escenarios!$E$11&gt;0,IF(J581&gt;Constantes!$E$30,1000*((J581-Constantes!$E$30)/(Escenarios!$E$16*10000)),0),F581)</f>
        <v>0</v>
      </c>
      <c r="L581" s="76">
        <f>IF(Escenarios!$E$11&gt;0,I581*1000/Escenarios!$E$16/10000+E581,E581)</f>
        <v>6.646838117466651E-2</v>
      </c>
      <c r="M581" s="76">
        <f>MAX(0,N580+Observaciones!$F580-K581-Constantes!$D$13)</f>
        <v>0</v>
      </c>
      <c r="N581" s="76">
        <f>N580+Observaciones!$F580-K581-L581-M581-O580</f>
        <v>11.250581122010146</v>
      </c>
      <c r="O581" s="76">
        <f>MAX(0,(N581-Constantes!$D$14)*(1-EXP(-Constantes!$D$22)))</f>
        <v>1.9795149008158595E-5</v>
      </c>
      <c r="P581" s="170">
        <f>P580+(Entradas!$E$83*M581-Q580)/(800*Entradas!$D$25)</f>
        <v>0</v>
      </c>
      <c r="Q581" s="170">
        <f>8000*Entradas!$D$26*P581/Constantes!$E$45</f>
        <v>0</v>
      </c>
      <c r="R581" s="170">
        <f>IF(Escenarios!$E$14&gt;0,K581*Escenarios!$E$13/Escenarios!$E$14,0)</f>
        <v>0</v>
      </c>
      <c r="S581" s="170">
        <f>IF(Escenarios!$E$14&gt;0,Q581*Escenarios!$E$13/Escenarios!$E$14,0)</f>
        <v>0</v>
      </c>
      <c r="T581" s="170">
        <f>IF(Escenarios!$E$14&gt;0,Observaciones!$I580,0)</f>
        <v>0</v>
      </c>
      <c r="U581" s="170">
        <f>IF(Escenarios!$E$14&gt;0,MAX(0,Constantes!$E$36/((Z580+R581+S581+T581+Observaciones!$F580)^2)+Entradas!$E$77),0)</f>
        <v>0</v>
      </c>
      <c r="V581" s="146">
        <f>IF(ETo!D580&gt;0,ETo!I580*((1-Entradas!$E$81)*ETo!K580+ETo!L580),0)</f>
        <v>2.4683131877256299</v>
      </c>
      <c r="W581" s="170">
        <f>IF(Escenarios!$E$14&gt;0,MIN(V581*1,0.8*(Z580+R581+S581+T581+Observaciones!$F580-U581-Constantes!$E$35)),0)</f>
        <v>7.249189663525613E-4</v>
      </c>
      <c r="X581" s="170">
        <f>IF(Escenarios!$E$14&gt;0,Observaciones!$J580,0)</f>
        <v>0</v>
      </c>
      <c r="Y581" s="170">
        <f>IF(Escenarios!$E$14&gt;0,MAX(0,Z580+R581+S581+T581+Observaciones!$F580-U581-W581-X581-Constantes!$E$33),0)</f>
        <v>0</v>
      </c>
      <c r="Z581" s="170">
        <f>Z580+R581+S581+T581+Observaciones!$F580-U581-W581-Y581</f>
        <v>41.250181229741585</v>
      </c>
      <c r="AA581" s="170">
        <f>IF(Escenarios!$E$14&gt;0,(Escenarios!$E$13*L581+Escenarios!$E$14*W581)/(Escenarios!$E$16),L581)</f>
        <v>5.8579165709668833E-2</v>
      </c>
      <c r="AB581" s="170">
        <f>IF(Escenarios!$E$14&gt;0,(Escenarios!$E$14*Y581)/(Escenarios!$E$16),K581)</f>
        <v>0</v>
      </c>
      <c r="AC581" s="170">
        <f>IF(Escenarios!$E$14&gt;0,(Escenarios!$E$13*M581+Escenarios!$E$14*U581)/(Escenarios!$E$16),M581)</f>
        <v>0</v>
      </c>
      <c r="AD581" s="76">
        <f t="shared" si="113"/>
        <v>89.676542047154129</v>
      </c>
      <c r="AE581" s="76">
        <f>MAX(0,(AD581-Constantes!$D$13)*(1-EXP(-Constantes!$D$23)))</f>
        <v>0.40325896673346562</v>
      </c>
      <c r="AF581" s="76">
        <f>AB581+O581*Escenarios!$E$13/Escenarios!$E$16+AE581</f>
        <v>0.4032763864645928</v>
      </c>
      <c r="AG581" s="76">
        <f>IF(Entradas!$E$91&gt;0,IF(AF581-Escenarios!$E$38&lt;=0,0,IF(AF581-Escenarios!$E$38&gt;Escenarios!$E$37,Escenarios!$E$37,AF581-Escenarios!$E$38)),0)</f>
        <v>0</v>
      </c>
      <c r="AH581" s="76">
        <f>AG581*Entradas!$E$99</f>
        <v>0</v>
      </c>
      <c r="AI581" s="76">
        <f>IF(Entradas!$E$91&gt;0,D581*Entradas!$D$23/Escenarios!$E$16,0)</f>
        <v>0</v>
      </c>
      <c r="AJ581" s="76">
        <f>IF(Entradas!$E$91&gt;0,Entradas!$D$24*Entradas!$D$22/Escenarios!$E$16,0)</f>
        <v>0</v>
      </c>
      <c r="AK581" s="76">
        <f t="shared" si="122"/>
        <v>5.8579165709668833E-2</v>
      </c>
      <c r="AL581" s="76">
        <f t="shared" si="123"/>
        <v>0</v>
      </c>
      <c r="AM581" s="76">
        <f t="shared" si="114"/>
        <v>0</v>
      </c>
      <c r="AN581" s="76">
        <f>MAX(0,O581*Escenarios!$E$13/Escenarios!$E$16-AM581)</f>
        <v>1.7419731127179564E-5</v>
      </c>
      <c r="AO581" s="76">
        <f>AM581+AN581-O581*Escenarios!$E$13/Escenarios!$E$16</f>
        <v>0</v>
      </c>
      <c r="AP581" s="76">
        <f t="shared" si="112"/>
        <v>0.40325896673346562</v>
      </c>
      <c r="AQ581" s="76">
        <f t="shared" si="115"/>
        <v>0</v>
      </c>
      <c r="AR581" s="76">
        <f t="shared" si="116"/>
        <v>0.4032763864645928</v>
      </c>
      <c r="AS581" s="76">
        <f t="shared" si="117"/>
        <v>0</v>
      </c>
      <c r="AT581" s="76">
        <f t="shared" si="118"/>
        <v>0</v>
      </c>
      <c r="AU581" s="76">
        <f t="shared" si="119"/>
        <v>48.75</v>
      </c>
      <c r="AV581" s="76">
        <f>MAX(0,(AU581-Constantes!$D$13)*(1-EXP(-Constantes!$D$24)))</f>
        <v>0</v>
      </c>
      <c r="AW581" s="170">
        <f>AW580+(Entradas!$E$112*AT581-AX580)/(800*Entradas!$D$25)</f>
        <v>0</v>
      </c>
      <c r="AX581" s="170">
        <f>8000*Entradas!$D$26*AW581/Constantes!$E$45</f>
        <v>0</v>
      </c>
      <c r="AY581" s="170">
        <f>IF(Escenarios!$E$17&gt;0,10*Escenarios!$E$16*AL581,0)</f>
        <v>0</v>
      </c>
      <c r="AZ581" s="170">
        <f>IF(Escenarios!$E$17&gt;0,10*Escenarios!$E$16*AX581,0)</f>
        <v>0</v>
      </c>
      <c r="BA581" s="170">
        <f>IF(Escenarios!$E$17&gt;0,0.001*Observaciones!$F580*Escenarios!$E$17,0)</f>
        <v>0</v>
      </c>
      <c r="BB581" s="170">
        <f>IF(Escenarios!$E$17&gt;0,Observaciones!$K580,0)</f>
        <v>0</v>
      </c>
      <c r="BC581" s="170">
        <f>IF(Escenarios!$E$17&gt;0,MIN(0.0005*ETo!$M580*Escenarios!$E$17*(BG580/Constantes!$E$40)^(2/3),BG580+AY581+AZ581+BA581+BB581),0)</f>
        <v>6.2202607744474614</v>
      </c>
      <c r="BD581" s="170">
        <f>IF(Escenarios!$E$17&gt;0,MIN(Constantes!$E$39*(BG580/Constantes!$E$40)^(2/3),BG580+AY581+AZ581+BA581+BB581-BC581),0)</f>
        <v>15.783324908962552</v>
      </c>
      <c r="BE581" s="170">
        <f>IF(Escenarios!$E$17&gt;0,MIN(Entradas!$E$113,BG580+AY581+AZ581+BA581+BB581-BC581-BD581),0)</f>
        <v>1</v>
      </c>
      <c r="BF581" s="170">
        <f>IF(Escenarios!$E$17&gt;0,MAX(0,BG580+AY581+AZ581+BA581+BB581-BC581-BD581-BE581-Constantes!$E$40),0)</f>
        <v>0</v>
      </c>
      <c r="BG581" s="170">
        <f t="shared" si="124"/>
        <v>561.20980300362669</v>
      </c>
      <c r="BH581" s="170">
        <f>(Escenarios!$E$16*AK581+0.1*BC581)/(Escenarios!$E$19)</f>
        <v>6.0582609146277597E-2</v>
      </c>
      <c r="BI581" s="170">
        <f>IF(Escenarios!$E$17&gt;0,BF581/10/Escenarios!$E$19,AL581)</f>
        <v>0</v>
      </c>
      <c r="BJ581" s="170">
        <f>(Escenarios!$E$16*AT581+0.1*BD581)/(Escenarios!$E$19)</f>
        <v>6.2632241702232352E-3</v>
      </c>
      <c r="BK581" s="76">
        <f>BK580+(0.1*BD581)/(Escenarios!$E$19)-BL580</f>
        <v>50.205111158089004</v>
      </c>
      <c r="BL581" s="76">
        <f>MAX(0,(BK581-Constantes!$D$13)*(1-EXP(-Constantes!$D$23)))</f>
        <v>1.4337556821126817E-2</v>
      </c>
      <c r="BM581" s="76">
        <f t="shared" si="120"/>
        <v>0.41759652355459242</v>
      </c>
      <c r="BN581" s="76">
        <f t="shared" si="125"/>
        <v>0.4176139432857196</v>
      </c>
      <c r="BO581" s="76">
        <f>0.0526*BI581*Observaciones!$F580^1.218</f>
        <v>0</v>
      </c>
      <c r="BP581" s="76">
        <f>BO581*Constantes!$E$51</f>
        <v>0</v>
      </c>
      <c r="BQ581" s="76">
        <f t="shared" si="121"/>
        <v>0</v>
      </c>
      <c r="BR581" s="40"/>
    </row>
    <row r="582" spans="1:70">
      <c r="A582" s="147"/>
      <c r="B582" s="39"/>
      <c r="C582" s="75">
        <v>576</v>
      </c>
      <c r="D582" s="146">
        <f>ETo!$I581*((1-Constantes!$E$19)*ETo!$K581+ETo!$L581)</f>
        <v>2.9044041832905285</v>
      </c>
      <c r="E582" s="76">
        <f>MIN(D582*Constantes!$E$17,0.8*(N581+Observaciones!$F581-F582-M582-Constantes!$D$14))</f>
        <v>4.6489760811709859E-4</v>
      </c>
      <c r="F582" s="76">
        <f>IF(Observaciones!$F581&gt;0.05*Constantes!$E$18,((Observaciones!$F581-0.05*Constantes!$E$18)^2)/(Observaciones!$F581+0.95*Constantes!$E$18),0)</f>
        <v>0</v>
      </c>
      <c r="G582" s="76">
        <f>IF(Escenarios!$E$11&gt;0,(F582*Escenarios!$E$16*10000)/1000,0)</f>
        <v>0</v>
      </c>
      <c r="H582" s="76">
        <f>IF(Escenarios!$E$11&gt;0,(Observaciones!$F581*Constantes!$E$29)/1000,0)</f>
        <v>0</v>
      </c>
      <c r="I582" s="76">
        <f>IF(Escenarios!$E$11&gt;0,(D582*Constantes!$E$29)/1000,0)</f>
        <v>29.044041832905286</v>
      </c>
      <c r="J582" s="76">
        <f>IF(Escenarios!$E$11&gt;0,MAX(0,G582+H582-I582),0)</f>
        <v>0</v>
      </c>
      <c r="K582" s="76">
        <f>IF(Escenarios!$E$11&gt;0,IF(J582&gt;Constantes!$E$30,1000*((J582-Constantes!$E$30)/(Escenarios!$E$16*10000)),0),F582)</f>
        <v>0</v>
      </c>
      <c r="L582" s="76">
        <f>IF(Escenarios!$E$11&gt;0,I582*1000/Escenarios!$E$16/10000+E582,E582)</f>
        <v>1.2082514341279214E-2</v>
      </c>
      <c r="M582" s="76">
        <f>MAX(0,N581+Observaciones!$F581-K582-Constantes!$D$13)</f>
        <v>0</v>
      </c>
      <c r="N582" s="76">
        <f>N581+Observaciones!$F581-K582-L582-M582-O581</f>
        <v>11.23847881251986</v>
      </c>
      <c r="O582" s="76">
        <f>MAX(0,(N582-Constantes!$D$14)*(1-EXP(-Constantes!$D$22)))</f>
        <v>0</v>
      </c>
      <c r="P582" s="170">
        <f>P581+(Entradas!$E$83*M582-Q581)/(800*Entradas!$D$25)</f>
        <v>0</v>
      </c>
      <c r="Q582" s="170">
        <f>8000*Entradas!$D$26*P582/Constantes!$E$45</f>
        <v>0</v>
      </c>
      <c r="R582" s="170">
        <f>IF(Escenarios!$E$14&gt;0,K582*Escenarios!$E$13/Escenarios!$E$14,0)</f>
        <v>0</v>
      </c>
      <c r="S582" s="170">
        <f>IF(Escenarios!$E$14&gt;0,Q582*Escenarios!$E$13/Escenarios!$E$14,0)</f>
        <v>0</v>
      </c>
      <c r="T582" s="170">
        <f>IF(Escenarios!$E$14&gt;0,Observaciones!$I581,0)</f>
        <v>0</v>
      </c>
      <c r="U582" s="170">
        <f>IF(Escenarios!$E$14&gt;0,MAX(0,Constantes!$E$36/((Z581+R582+S582+T582+Observaciones!$F581)^2)+Entradas!$E$77),0)</f>
        <v>0</v>
      </c>
      <c r="V582" s="146">
        <f>IF(ETo!D581&gt;0,ETo!I581*((1-Entradas!$E$81)*ETo!K581+ETo!L581),0)</f>
        <v>2.6237600983927529</v>
      </c>
      <c r="W582" s="170">
        <f>IF(Escenarios!$E$14&gt;0,MIN(V582*1,0.8*(Z581+R582+S582+T582+Observaciones!$F581-U582-Constantes!$E$35)),0)</f>
        <v>1.4498379326823851E-4</v>
      </c>
      <c r="X582" s="170">
        <f>IF(Escenarios!$E$14&gt;0,Observaciones!$J581,0)</f>
        <v>0</v>
      </c>
      <c r="Y582" s="170">
        <f>IF(Escenarios!$E$14&gt;0,MAX(0,Z581+R582+S582+T582+Observaciones!$F581-U582-W582-X582-Constantes!$E$33),0)</f>
        <v>0</v>
      </c>
      <c r="Z582" s="170">
        <f>Z581+R582+S582+T582+Observaciones!$F581-U582-W582-Y582</f>
        <v>41.250036245948316</v>
      </c>
      <c r="AA582" s="170">
        <f>IF(Escenarios!$E$14&gt;0,(Escenarios!$E$13*L582+Escenarios!$E$14*W582)/(Escenarios!$E$16),L582)</f>
        <v>1.0650010675517898E-2</v>
      </c>
      <c r="AB582" s="170">
        <f>IF(Escenarios!$E$14&gt;0,(Escenarios!$E$14*Y582)/(Escenarios!$E$16),K582)</f>
        <v>0</v>
      </c>
      <c r="AC582" s="170">
        <f>IF(Escenarios!$E$14&gt;0,(Escenarios!$E$13*M582+Escenarios!$E$14*U582)/(Escenarios!$E$16),M582)</f>
        <v>0</v>
      </c>
      <c r="AD582" s="76">
        <f t="shared" si="113"/>
        <v>89.273283080420669</v>
      </c>
      <c r="AE582" s="76">
        <f>MAX(0,(AD582-Constantes!$D$13)*(1-EXP(-Constantes!$D$23)))</f>
        <v>0.39928556008543808</v>
      </c>
      <c r="AF582" s="76">
        <f>AB582+O582*Escenarios!$E$13/Escenarios!$E$16+AE582</f>
        <v>0.39928556008543808</v>
      </c>
      <c r="AG582" s="76">
        <f>IF(Entradas!$E$91&gt;0,IF(AF582-Escenarios!$E$38&lt;=0,0,IF(AF582-Escenarios!$E$38&gt;Escenarios!$E$37,Escenarios!$E$37,AF582-Escenarios!$E$38)),0)</f>
        <v>0</v>
      </c>
      <c r="AH582" s="76">
        <f>AG582*Entradas!$E$99</f>
        <v>0</v>
      </c>
      <c r="AI582" s="76">
        <f>IF(Entradas!$E$91&gt;0,D582*Entradas!$D$23/Escenarios!$E$16,0)</f>
        <v>0</v>
      </c>
      <c r="AJ582" s="76">
        <f>IF(Entradas!$E$91&gt;0,Entradas!$D$24*Entradas!$D$22/Escenarios!$E$16,0)</f>
        <v>0</v>
      </c>
      <c r="AK582" s="76">
        <f t="shared" si="122"/>
        <v>1.0650010675517898E-2</v>
      </c>
      <c r="AL582" s="76">
        <f t="shared" si="123"/>
        <v>0</v>
      </c>
      <c r="AM582" s="76">
        <f t="shared" si="114"/>
        <v>0</v>
      </c>
      <c r="AN582" s="76">
        <f>MAX(0,O582*Escenarios!$E$13/Escenarios!$E$16-AM582)</f>
        <v>0</v>
      </c>
      <c r="AO582" s="76">
        <f>AM582+AN582-O582*Escenarios!$E$13/Escenarios!$E$16</f>
        <v>0</v>
      </c>
      <c r="AP582" s="76">
        <f t="shared" ref="AP582:AP645" si="126">MAX(0,AE582-AO582)</f>
        <v>0.39928556008543808</v>
      </c>
      <c r="AQ582" s="76">
        <f t="shared" si="115"/>
        <v>0</v>
      </c>
      <c r="AR582" s="76">
        <f t="shared" si="116"/>
        <v>0.39928556008543808</v>
      </c>
      <c r="AS582" s="76">
        <f t="shared" si="117"/>
        <v>0</v>
      </c>
      <c r="AT582" s="76">
        <f t="shared" si="118"/>
        <v>0</v>
      </c>
      <c r="AU582" s="76">
        <f t="shared" si="119"/>
        <v>48.75</v>
      </c>
      <c r="AV582" s="76">
        <f>MAX(0,(AU582-Constantes!$D$13)*(1-EXP(-Constantes!$D$24)))</f>
        <v>0</v>
      </c>
      <c r="AW582" s="170">
        <f>AW581+(Entradas!$E$112*AT582-AX581)/(800*Entradas!$D$25)</f>
        <v>0</v>
      </c>
      <c r="AX582" s="170">
        <f>8000*Entradas!$D$26*AW582/Constantes!$E$45</f>
        <v>0</v>
      </c>
      <c r="AY582" s="170">
        <f>IF(Escenarios!$E$17&gt;0,10*Escenarios!$E$16*AL582,0)</f>
        <v>0</v>
      </c>
      <c r="AZ582" s="170">
        <f>IF(Escenarios!$E$17&gt;0,10*Escenarios!$E$16*AX582,0)</f>
        <v>0</v>
      </c>
      <c r="BA582" s="170">
        <f>IF(Escenarios!$E$17&gt;0,0.001*Observaciones!$F581*Escenarios!$E$17,0)</f>
        <v>0</v>
      </c>
      <c r="BB582" s="170">
        <f>IF(Escenarios!$E$17&gt;0,Observaciones!$K581,0)</f>
        <v>0</v>
      </c>
      <c r="BC582" s="170">
        <f>IF(Escenarios!$E$17&gt;0,MIN(0.0005*ETo!$M581*Escenarios!$E$17*(BG581/Constantes!$E$40)^(2/3),BG581+AY582+AZ582+BA582+BB582),0)</f>
        <v>6.4269419136116408</v>
      </c>
      <c r="BD582" s="170">
        <f>IF(Escenarios!$E$17&gt;0,MIN(Constantes!$E$39*(BG581/Constantes!$E$40)^(2/3),BG581+AY582+AZ582+BA582+BB582-BC582),0)</f>
        <v>15.366241652561111</v>
      </c>
      <c r="BE582" s="170">
        <f>IF(Escenarios!$E$17&gt;0,MIN(Entradas!$E$113,BG581+AY582+AZ582+BA582+BB582-BC582-BD582),0)</f>
        <v>1</v>
      </c>
      <c r="BF582" s="170">
        <f>IF(Escenarios!$E$17&gt;0,MAX(0,BG581+AY582+AZ582+BA582+BB582-BC582-BD582-BE582-Constantes!$E$40),0)</f>
        <v>0</v>
      </c>
      <c r="BG582" s="170">
        <f t="shared" si="124"/>
        <v>538.41661943745396</v>
      </c>
      <c r="BH582" s="170">
        <f>(Escenarios!$E$16*AK582+0.1*BC582)/(Escenarios!$E$19)</f>
        <v>1.311586055651047E-2</v>
      </c>
      <c r="BI582" s="170">
        <f>IF(Escenarios!$E$17&gt;0,BF582/10/Escenarios!$E$19,AL582)</f>
        <v>0</v>
      </c>
      <c r="BJ582" s="170">
        <f>(Escenarios!$E$16*AT582+0.1*BD582)/(Escenarios!$E$19)</f>
        <v>6.0977149414925052E-3</v>
      </c>
      <c r="BK582" s="76">
        <f>BK581+(0.1*BD582)/(Escenarios!$E$19)-BL581</f>
        <v>50.196871316209368</v>
      </c>
      <c r="BL582" s="76">
        <f>MAX(0,(BK582-Constantes!$D$13)*(1-EXP(-Constantes!$D$23)))</f>
        <v>1.4256367696509334E-2</v>
      </c>
      <c r="BM582" s="76">
        <f t="shared" si="120"/>
        <v>0.41354192778194743</v>
      </c>
      <c r="BN582" s="76">
        <f t="shared" si="125"/>
        <v>0.41354192778194743</v>
      </c>
      <c r="BO582" s="76">
        <f>0.0526*BI582*Observaciones!$F581^1.218</f>
        <v>0</v>
      </c>
      <c r="BP582" s="76">
        <f>BO582*Constantes!$E$51</f>
        <v>0</v>
      </c>
      <c r="BQ582" s="76">
        <f t="shared" si="121"/>
        <v>0</v>
      </c>
      <c r="BR582" s="40"/>
    </row>
    <row r="583" spans="1:70">
      <c r="A583" s="147"/>
      <c r="B583" s="39"/>
      <c r="C583" s="75">
        <v>577</v>
      </c>
      <c r="D583" s="146">
        <f>ETo!$I582*((1-Constantes!$E$19)*ETo!$K582+ETo!$L582)</f>
        <v>2.7988355955371698</v>
      </c>
      <c r="E583" s="76">
        <f>MIN(D583*Constantes!$E$17,0.8*(N582+Observaciones!$F582-F583-M583-Constantes!$D$14))</f>
        <v>-9.216949984111978E-3</v>
      </c>
      <c r="F583" s="76">
        <f>IF(Observaciones!$F582&gt;0.05*Constantes!$E$18,((Observaciones!$F582-0.05*Constantes!$E$18)^2)/(Observaciones!$F582+0.95*Constantes!$E$18),0)</f>
        <v>0</v>
      </c>
      <c r="G583" s="76">
        <f>IF(Escenarios!$E$11&gt;0,(F583*Escenarios!$E$16*10000)/1000,0)</f>
        <v>0</v>
      </c>
      <c r="H583" s="76">
        <f>IF(Escenarios!$E$11&gt;0,(Observaciones!$F582*Constantes!$E$29)/1000,0)</f>
        <v>0</v>
      </c>
      <c r="I583" s="76">
        <f>IF(Escenarios!$E$11&gt;0,(D583*Constantes!$E$29)/1000,0)</f>
        <v>27.988355955371699</v>
      </c>
      <c r="J583" s="76">
        <f>IF(Escenarios!$E$11&gt;0,MAX(0,G583+H583-I583),0)</f>
        <v>0</v>
      </c>
      <c r="K583" s="76">
        <f>IF(Escenarios!$E$11&gt;0,IF(J583&gt;Constantes!$E$30,1000*((J583-Constantes!$E$30)/(Escenarios!$E$16*10000)),0),F583)</f>
        <v>0</v>
      </c>
      <c r="L583" s="76">
        <f>IF(Escenarios!$E$11&gt;0,I583*1000/Escenarios!$E$16/10000+E583,E583)</f>
        <v>1.9783923980367015E-3</v>
      </c>
      <c r="M583" s="76">
        <f>MAX(0,N582+Observaciones!$F582-K583-Constantes!$D$13)</f>
        <v>0</v>
      </c>
      <c r="N583" s="76">
        <f>N582+Observaciones!$F582-K583-L583-M583-O582</f>
        <v>11.236500420121823</v>
      </c>
      <c r="O583" s="76">
        <f>MAX(0,(N583-Constantes!$D$14)*(1-EXP(-Constantes!$D$22)))</f>
        <v>0</v>
      </c>
      <c r="P583" s="170">
        <f>P582+(Entradas!$E$83*M583-Q582)/(800*Entradas!$D$25)</f>
        <v>0</v>
      </c>
      <c r="Q583" s="170">
        <f>8000*Entradas!$D$26*P583/Constantes!$E$45</f>
        <v>0</v>
      </c>
      <c r="R583" s="170">
        <f>IF(Escenarios!$E$14&gt;0,K583*Escenarios!$E$13/Escenarios!$E$14,0)</f>
        <v>0</v>
      </c>
      <c r="S583" s="170">
        <f>IF(Escenarios!$E$14&gt;0,Q583*Escenarios!$E$13/Escenarios!$E$14,0)</f>
        <v>0</v>
      </c>
      <c r="T583" s="170">
        <f>IF(Escenarios!$E$14&gt;0,Observaciones!$I582,0)</f>
        <v>0</v>
      </c>
      <c r="U583" s="170">
        <f>IF(Escenarios!$E$14&gt;0,MAX(0,Constantes!$E$36/((Z582+R583+S583+T583+Observaciones!$F582)^2)+Entradas!$E$77),0)</f>
        <v>0</v>
      </c>
      <c r="V583" s="146">
        <f>IF(ETo!D582&gt;0,ETo!I582*((1-Entradas!$E$81)*ETo!K582+ETo!L582),0)</f>
        <v>2.5277849738346427</v>
      </c>
      <c r="W583" s="170">
        <f>IF(Escenarios!$E$14&gt;0,MIN(V583*1,0.8*(Z582+R583+S583+T583+Observaciones!$F582-U583-Constantes!$E$35)),0)</f>
        <v>2.8996758652510837E-5</v>
      </c>
      <c r="X583" s="170">
        <f>IF(Escenarios!$E$14&gt;0,Observaciones!$J582,0)</f>
        <v>0</v>
      </c>
      <c r="Y583" s="170">
        <f>IF(Escenarios!$E$14&gt;0,MAX(0,Z582+R583+S583+T583+Observaciones!$F582-U583-W583-X583-Constantes!$E$33),0)</f>
        <v>0</v>
      </c>
      <c r="Z583" s="170">
        <f>Z582+R583+S583+T583+Observaciones!$F582-U583-W583-Y583</f>
        <v>41.250007249189665</v>
      </c>
      <c r="AA583" s="170">
        <f>IF(Escenarios!$E$14&gt;0,(Escenarios!$E$13*L583+Escenarios!$E$14*W583)/(Escenarios!$E$16),L583)</f>
        <v>1.7444649213105988E-3</v>
      </c>
      <c r="AB583" s="170">
        <f>IF(Escenarios!$E$14&gt;0,(Escenarios!$E$14*Y583)/(Escenarios!$E$16),K583)</f>
        <v>0</v>
      </c>
      <c r="AC583" s="170">
        <f>IF(Escenarios!$E$14&gt;0,(Escenarios!$E$13*M583+Escenarios!$E$14*U583)/(Escenarios!$E$16),M583)</f>
        <v>0</v>
      </c>
      <c r="AD583" s="76">
        <f t="shared" ref="AD583:AD646" si="127">AD582+AC583-AE582</f>
        <v>88.873997520335237</v>
      </c>
      <c r="AE583" s="76">
        <f>MAX(0,(AD583-Constantes!$D$13)*(1-EXP(-Constantes!$D$23)))</f>
        <v>0.39535130435950533</v>
      </c>
      <c r="AF583" s="76">
        <f>AB583+O583*Escenarios!$E$13/Escenarios!$E$16+AE583</f>
        <v>0.39535130435950533</v>
      </c>
      <c r="AG583" s="76">
        <f>IF(Entradas!$E$91&gt;0,IF(AF583-Escenarios!$E$38&lt;=0,0,IF(AF583-Escenarios!$E$38&gt;Escenarios!$E$37,Escenarios!$E$37,AF583-Escenarios!$E$38)),0)</f>
        <v>0</v>
      </c>
      <c r="AH583" s="76">
        <f>AG583*Entradas!$E$99</f>
        <v>0</v>
      </c>
      <c r="AI583" s="76">
        <f>IF(Entradas!$E$91&gt;0,D583*Entradas!$D$23/Escenarios!$E$16,0)</f>
        <v>0</v>
      </c>
      <c r="AJ583" s="76">
        <f>IF(Entradas!$E$91&gt;0,Entradas!$D$24*Entradas!$D$22/Escenarios!$E$16,0)</f>
        <v>0</v>
      </c>
      <c r="AK583" s="76">
        <f t="shared" si="122"/>
        <v>1.7444649213105988E-3</v>
      </c>
      <c r="AL583" s="76">
        <f t="shared" si="123"/>
        <v>0</v>
      </c>
      <c r="AM583" s="76">
        <f t="shared" ref="AM583:AM646" si="128">AG583+AL583-AB583</f>
        <v>0</v>
      </c>
      <c r="AN583" s="76">
        <f>MAX(0,O583*Escenarios!$E$13/Escenarios!$E$16-AM583)</f>
        <v>0</v>
      </c>
      <c r="AO583" s="76">
        <f>AM583+AN583-O583*Escenarios!$E$13/Escenarios!$E$16</f>
        <v>0</v>
      </c>
      <c r="AP583" s="76">
        <f t="shared" si="126"/>
        <v>0.39535130435950533</v>
      </c>
      <c r="AQ583" s="76">
        <f t="shared" ref="AQ583:AQ646" si="129">AO583+AP583-AE583</f>
        <v>0</v>
      </c>
      <c r="AR583" s="76">
        <f t="shared" ref="AR583:AR646" si="130">AL583+AN583+AP583+AH583</f>
        <v>0.39535130435950533</v>
      </c>
      <c r="AS583" s="76">
        <f t="shared" ref="AS583:AS646" si="131">MAX(0,AG583-AH583-AI583-AJ583)</f>
        <v>0</v>
      </c>
      <c r="AT583" s="76">
        <f t="shared" ref="AT583:AT646" si="132">AC583+AS583</f>
        <v>0</v>
      </c>
      <c r="AU583" s="76">
        <f t="shared" ref="AU583:AU646" si="133">AU582+AS583-AV582</f>
        <v>48.75</v>
      </c>
      <c r="AV583" s="76">
        <f>MAX(0,(AU583-Constantes!$D$13)*(1-EXP(-Constantes!$D$24)))</f>
        <v>0</v>
      </c>
      <c r="AW583" s="170">
        <f>AW582+(Entradas!$E$112*AT583-AX582)/(800*Entradas!$D$25)</f>
        <v>0</v>
      </c>
      <c r="AX583" s="170">
        <f>8000*Entradas!$D$26*AW583/Constantes!$E$45</f>
        <v>0</v>
      </c>
      <c r="AY583" s="170">
        <f>IF(Escenarios!$E$17&gt;0,10*Escenarios!$E$16*AL583,0)</f>
        <v>0</v>
      </c>
      <c r="AZ583" s="170">
        <f>IF(Escenarios!$E$17&gt;0,10*Escenarios!$E$16*AX583,0)</f>
        <v>0</v>
      </c>
      <c r="BA583" s="170">
        <f>IF(Escenarios!$E$17&gt;0,0.001*Observaciones!$F582*Escenarios!$E$17,0)</f>
        <v>0</v>
      </c>
      <c r="BB583" s="170">
        <f>IF(Escenarios!$E$17&gt;0,Observaciones!$K582,0)</f>
        <v>0</v>
      </c>
      <c r="BC583" s="170">
        <f>IF(Escenarios!$E$17&gt;0,MIN(0.0005*ETo!$M582*Escenarios!$E$17*(BG582/Constantes!$E$40)^(2/3),BG582+AY583+AZ583+BA583+BB583),0)</f>
        <v>6.026274058669614</v>
      </c>
      <c r="BD583" s="170">
        <f>IF(Escenarios!$E$17&gt;0,MIN(Constantes!$E$39*(BG582/Constantes!$E$40)^(2/3),BG582+AY583+AZ583+BA583+BB583-BC583),0)</f>
        <v>14.947313073063873</v>
      </c>
      <c r="BE583" s="170">
        <f>IF(Escenarios!$E$17&gt;0,MIN(Entradas!$E$113,BG582+AY583+AZ583+BA583+BB583-BC583-BD583),0)</f>
        <v>1</v>
      </c>
      <c r="BF583" s="170">
        <f>IF(Escenarios!$E$17&gt;0,MAX(0,BG582+AY583+AZ583+BA583+BB583-BC583-BD583-BE583-Constantes!$E$40),0)</f>
        <v>0</v>
      </c>
      <c r="BG583" s="170">
        <f t="shared" si="124"/>
        <v>516.44303230572041</v>
      </c>
      <c r="BH583" s="170">
        <f>(Escenarios!$E$16*AK583+0.1*BC583)/(Escenarios!$E$19)</f>
        <v>4.1219985563278215E-3</v>
      </c>
      <c r="BI583" s="170">
        <f>IF(Escenarios!$E$17&gt;0,BF583/10/Escenarios!$E$19,AL583)</f>
        <v>0</v>
      </c>
      <c r="BJ583" s="170">
        <f>(Escenarios!$E$16*AT583+0.1*BD583)/(Escenarios!$E$19)</f>
        <v>5.9314734416920133E-3</v>
      </c>
      <c r="BK583" s="76">
        <f>BK582+(0.1*BD583)/(Escenarios!$E$19)-BL582</f>
        <v>50.188546421954548</v>
      </c>
      <c r="BL583" s="76">
        <f>MAX(0,(BK583-Constantes!$D$13)*(1-EXP(-Constantes!$D$23)))</f>
        <v>1.4174340530581267E-2</v>
      </c>
      <c r="BM583" s="76">
        <f t="shared" ref="BM583:BM646" si="134">AP583+AV583+BL583</f>
        <v>0.40952564489008658</v>
      </c>
      <c r="BN583" s="76">
        <f t="shared" si="125"/>
        <v>0.40952564489008658</v>
      </c>
      <c r="BO583" s="76">
        <f>0.0526*BI583*Observaciones!$F582^1.218</f>
        <v>0</v>
      </c>
      <c r="BP583" s="76">
        <f>BO583*Constantes!$E$51</f>
        <v>0</v>
      </c>
      <c r="BQ583" s="76">
        <f t="shared" ref="BQ583:BQ646" si="135">BP583*1000000/(BN583/1000*10000)</f>
        <v>0</v>
      </c>
      <c r="BR583" s="40"/>
    </row>
    <row r="584" spans="1:70">
      <c r="A584" s="147"/>
      <c r="B584" s="39"/>
      <c r="C584" s="75">
        <v>578</v>
      </c>
      <c r="D584" s="146">
        <f>ETo!$I583*((1-Constantes!$E$19)*ETo!$K583+ETo!$L583)</f>
        <v>2.948480594282219</v>
      </c>
      <c r="E584" s="76">
        <f>MIN(D584*Constantes!$E$17,0.8*(N583+Observaciones!$F583-F584-M584-Constantes!$D$14))</f>
        <v>-1.0799663902541569E-2</v>
      </c>
      <c r="F584" s="76">
        <f>IF(Observaciones!$F583&gt;0.05*Constantes!$E$18,((Observaciones!$F583-0.05*Constantes!$E$18)^2)/(Observaciones!$F583+0.95*Constantes!$E$18),0)</f>
        <v>0</v>
      </c>
      <c r="G584" s="76">
        <f>IF(Escenarios!$E$11&gt;0,(F584*Escenarios!$E$16*10000)/1000,0)</f>
        <v>0</v>
      </c>
      <c r="H584" s="76">
        <f>IF(Escenarios!$E$11&gt;0,(Observaciones!$F583*Constantes!$E$29)/1000,0)</f>
        <v>0</v>
      </c>
      <c r="I584" s="76">
        <f>IF(Escenarios!$E$11&gt;0,(D584*Constantes!$E$29)/1000,0)</f>
        <v>29.484805942822188</v>
      </c>
      <c r="J584" s="76">
        <f>IF(Escenarios!$E$11&gt;0,MAX(0,G584+H584-I584),0)</f>
        <v>0</v>
      </c>
      <c r="K584" s="76">
        <f>IF(Escenarios!$E$11&gt;0,IF(J584&gt;Constantes!$E$30,1000*((J584-Constantes!$E$30)/(Escenarios!$E$16*10000)),0),F584)</f>
        <v>0</v>
      </c>
      <c r="L584" s="76">
        <f>IF(Escenarios!$E$11&gt;0,I584*1000/Escenarios!$E$16/10000+E584,E584)</f>
        <v>9.9425847458730655E-4</v>
      </c>
      <c r="M584" s="76">
        <f>MAX(0,N583+Observaciones!$F583-K584-Constantes!$D$13)</f>
        <v>0</v>
      </c>
      <c r="N584" s="76">
        <f>N583+Observaciones!$F583-K584-L584-M584-O583</f>
        <v>11.235506161647235</v>
      </c>
      <c r="O584" s="76">
        <f>MAX(0,(N584-Constantes!$D$14)*(1-EXP(-Constantes!$D$22)))</f>
        <v>0</v>
      </c>
      <c r="P584" s="170">
        <f>P583+(Entradas!$E$83*M584-Q583)/(800*Entradas!$D$25)</f>
        <v>0</v>
      </c>
      <c r="Q584" s="170">
        <f>8000*Entradas!$D$26*P584/Constantes!$E$45</f>
        <v>0</v>
      </c>
      <c r="R584" s="170">
        <f>IF(Escenarios!$E$14&gt;0,K584*Escenarios!$E$13/Escenarios!$E$14,0)</f>
        <v>0</v>
      </c>
      <c r="S584" s="170">
        <f>IF(Escenarios!$E$14&gt;0,Q584*Escenarios!$E$13/Escenarios!$E$14,0)</f>
        <v>0</v>
      </c>
      <c r="T584" s="170">
        <f>IF(Escenarios!$E$14&gt;0,Observaciones!$I583,0)</f>
        <v>0</v>
      </c>
      <c r="U584" s="170">
        <f>IF(Escenarios!$E$14&gt;0,MAX(0,Constantes!$E$36/((Z583+R584+S584+T584+Observaciones!$F583)^2)+Entradas!$E$77),0)</f>
        <v>0</v>
      </c>
      <c r="V584" s="146">
        <f>IF(ETo!D583&gt;0,ETo!I583*((1-Entradas!$E$81)*ETo!K583+ETo!L583),0)</f>
        <v>2.6647535688932438</v>
      </c>
      <c r="W584" s="170">
        <f>IF(Escenarios!$E$14&gt;0,MIN(V584*1,0.8*(Z583+R584+S584+T584+Observaciones!$F583-U584-Constantes!$E$35)),0)</f>
        <v>5.7993517316390358E-6</v>
      </c>
      <c r="X584" s="170">
        <f>IF(Escenarios!$E$14&gt;0,Observaciones!$J583,0)</f>
        <v>0</v>
      </c>
      <c r="Y584" s="170">
        <f>IF(Escenarios!$E$14&gt;0,MAX(0,Z583+R584+S584+T584+Observaciones!$F583-U584-W584-X584-Constantes!$E$33),0)</f>
        <v>0</v>
      </c>
      <c r="Z584" s="170">
        <f>Z583+R584+S584+T584+Observaciones!$F583-U584-W584-Y584</f>
        <v>41.250001449837931</v>
      </c>
      <c r="AA584" s="170">
        <f>IF(Escenarios!$E$14&gt;0,(Escenarios!$E$13*L584+Escenarios!$E$14*W584)/(Escenarios!$E$16),L584)</f>
        <v>8.7564337984462651E-4</v>
      </c>
      <c r="AB584" s="170">
        <f>IF(Escenarios!$E$14&gt;0,(Escenarios!$E$14*Y584)/(Escenarios!$E$16),K584)</f>
        <v>0</v>
      </c>
      <c r="AC584" s="170">
        <f>IF(Escenarios!$E$14&gt;0,(Escenarios!$E$13*M584+Escenarios!$E$14*U584)/(Escenarios!$E$16),M584)</f>
        <v>0</v>
      </c>
      <c r="AD584" s="76">
        <f t="shared" si="127"/>
        <v>88.478646215975729</v>
      </c>
      <c r="AE584" s="76">
        <f>MAX(0,(AD584-Constantes!$D$13)*(1-EXP(-Constantes!$D$23)))</f>
        <v>0.39145581379230682</v>
      </c>
      <c r="AF584" s="76">
        <f>AB584+O584*Escenarios!$E$13/Escenarios!$E$16+AE584</f>
        <v>0.39145581379230682</v>
      </c>
      <c r="AG584" s="76">
        <f>IF(Entradas!$E$91&gt;0,IF(AF584-Escenarios!$E$38&lt;=0,0,IF(AF584-Escenarios!$E$38&gt;Escenarios!$E$37,Escenarios!$E$37,AF584-Escenarios!$E$38)),0)</f>
        <v>0</v>
      </c>
      <c r="AH584" s="76">
        <f>AG584*Entradas!$E$99</f>
        <v>0</v>
      </c>
      <c r="AI584" s="76">
        <f>IF(Entradas!$E$91&gt;0,D584*Entradas!$D$23/Escenarios!$E$16,0)</f>
        <v>0</v>
      </c>
      <c r="AJ584" s="76">
        <f>IF(Entradas!$E$91&gt;0,Entradas!$D$24*Entradas!$D$22/Escenarios!$E$16,0)</f>
        <v>0</v>
      </c>
      <c r="AK584" s="76">
        <f t="shared" ref="AK584:AK647" si="136">AA584+AI584</f>
        <v>8.7564337984462651E-4</v>
      </c>
      <c r="AL584" s="76">
        <f t="shared" ref="AL584:AL647" si="137">MAX(0,AB584-AG584)</f>
        <v>0</v>
      </c>
      <c r="AM584" s="76">
        <f t="shared" si="128"/>
        <v>0</v>
      </c>
      <c r="AN584" s="76">
        <f>MAX(0,O584*Escenarios!$E$13/Escenarios!$E$16-AM584)</f>
        <v>0</v>
      </c>
      <c r="AO584" s="76">
        <f>AM584+AN584-O584*Escenarios!$E$13/Escenarios!$E$16</f>
        <v>0</v>
      </c>
      <c r="AP584" s="76">
        <f t="shared" si="126"/>
        <v>0.39145581379230682</v>
      </c>
      <c r="AQ584" s="76">
        <f t="shared" si="129"/>
        <v>0</v>
      </c>
      <c r="AR584" s="76">
        <f t="shared" si="130"/>
        <v>0.39145581379230682</v>
      </c>
      <c r="AS584" s="76">
        <f t="shared" si="131"/>
        <v>0</v>
      </c>
      <c r="AT584" s="76">
        <f t="shared" si="132"/>
        <v>0</v>
      </c>
      <c r="AU584" s="76">
        <f t="shared" si="133"/>
        <v>48.75</v>
      </c>
      <c r="AV584" s="76">
        <f>MAX(0,(AU584-Constantes!$D$13)*(1-EXP(-Constantes!$D$24)))</f>
        <v>0</v>
      </c>
      <c r="AW584" s="170">
        <f>AW583+(Entradas!$E$112*AT584-AX583)/(800*Entradas!$D$25)</f>
        <v>0</v>
      </c>
      <c r="AX584" s="170">
        <f>8000*Entradas!$D$26*AW584/Constantes!$E$45</f>
        <v>0</v>
      </c>
      <c r="AY584" s="170">
        <f>IF(Escenarios!$E$17&gt;0,10*Escenarios!$E$16*AL584,0)</f>
        <v>0</v>
      </c>
      <c r="AZ584" s="170">
        <f>IF(Escenarios!$E$17&gt;0,10*Escenarios!$E$16*AX584,0)</f>
        <v>0</v>
      </c>
      <c r="BA584" s="170">
        <f>IF(Escenarios!$E$17&gt;0,0.001*Observaciones!$F583*Escenarios!$E$17,0)</f>
        <v>0</v>
      </c>
      <c r="BB584" s="170">
        <f>IF(Escenarios!$E$17&gt;0,Observaciones!$K583,0)</f>
        <v>0</v>
      </c>
      <c r="BC584" s="170">
        <f>IF(Escenarios!$E$17&gt;0,MIN(0.0005*ETo!$M583*Escenarios!$E$17*(BG583/Constantes!$E$40)^(2/3),BG583+AY584+AZ584+BA584+BB584),0)</f>
        <v>6.1693638121035512</v>
      </c>
      <c r="BD584" s="170">
        <f>IF(Escenarios!$E$17&gt;0,MIN(Constantes!$E$39*(BG583/Constantes!$E$40)^(2/3),BG583+AY584+AZ584+BA584+BB584-BC584),0)</f>
        <v>14.537813996136226</v>
      </c>
      <c r="BE584" s="170">
        <f>IF(Escenarios!$E$17&gt;0,MIN(Entradas!$E$113,BG583+AY584+AZ584+BA584+BB584-BC584-BD584),0)</f>
        <v>1</v>
      </c>
      <c r="BF584" s="170">
        <f>IF(Escenarios!$E$17&gt;0,MAX(0,BG583+AY584+AZ584+BA584+BB584-BC584-BD584-BE584-Constantes!$E$40),0)</f>
        <v>0</v>
      </c>
      <c r="BG584" s="170">
        <f t="shared" ref="BG584:BG647" si="138">BG583+AY584+AZ584+BA584+BB584-BF584-BC584-BD584-BE584</f>
        <v>494.73585449748066</v>
      </c>
      <c r="BH584" s="170">
        <f>(Escenarios!$E$16*AK584+0.1*BC584)/(Escenarios!$E$19)</f>
        <v>3.3168540721091743E-3</v>
      </c>
      <c r="BI584" s="170">
        <f>IF(Escenarios!$E$17&gt;0,BF584/10/Escenarios!$E$19,AL584)</f>
        <v>0</v>
      </c>
      <c r="BJ584" s="170">
        <f>(Escenarios!$E$16*AT584+0.1*BD584)/(Escenarios!$E$19)</f>
        <v>5.7689738079905661E-3</v>
      </c>
      <c r="BK584" s="76">
        <f>BK583+(0.1*BD584)/(Escenarios!$E$19)-BL583</f>
        <v>50.180141055231957</v>
      </c>
      <c r="BL584" s="76">
        <f>MAX(0,(BK584-Constantes!$D$13)*(1-EXP(-Constantes!$D$23)))</f>
        <v>1.4091520450261194E-2</v>
      </c>
      <c r="BM584" s="76">
        <f t="shared" si="134"/>
        <v>0.405547334242568</v>
      </c>
      <c r="BN584" s="76">
        <f t="shared" ref="BN584:BN647" si="139">AN584+AP584+AV584+BI584+BL584</f>
        <v>0.405547334242568</v>
      </c>
      <c r="BO584" s="76">
        <f>0.0526*BI584*Observaciones!$F583^1.218</f>
        <v>0</v>
      </c>
      <c r="BP584" s="76">
        <f>BO584*Constantes!$E$51</f>
        <v>0</v>
      </c>
      <c r="BQ584" s="76">
        <f t="shared" si="135"/>
        <v>0</v>
      </c>
      <c r="BR584" s="40"/>
    </row>
    <row r="585" spans="1:70">
      <c r="A585" s="147"/>
      <c r="B585" s="39"/>
      <c r="C585" s="75">
        <v>579</v>
      </c>
      <c r="D585" s="146">
        <f>ETo!$I584*((1-Constantes!$E$19)*ETo!$K584+ETo!$L584)</f>
        <v>2.9278417069559133</v>
      </c>
      <c r="E585" s="76">
        <f>MIN(D585*Constantes!$E$17,0.8*(N584+Observaciones!$F584-F585-M585-Constantes!$D$14))</f>
        <v>0.3084049293177884</v>
      </c>
      <c r="F585" s="76">
        <f>IF(Observaciones!$F584&gt;0.05*Constantes!$E$18,((Observaciones!$F584-0.05*Constantes!$E$18)^2)/(Observaciones!$F584+0.95*Constantes!$E$18),0)</f>
        <v>0</v>
      </c>
      <c r="G585" s="76">
        <f>IF(Escenarios!$E$11&gt;0,(F585*Escenarios!$E$16*10000)/1000,0)</f>
        <v>0</v>
      </c>
      <c r="H585" s="76">
        <f>IF(Escenarios!$E$11&gt;0,(Observaciones!$F584*Constantes!$E$29)/1000,0)</f>
        <v>4</v>
      </c>
      <c r="I585" s="76">
        <f>IF(Escenarios!$E$11&gt;0,(D585*Constantes!$E$29)/1000,0)</f>
        <v>29.278417069559133</v>
      </c>
      <c r="J585" s="76">
        <f>IF(Escenarios!$E$11&gt;0,MAX(0,G585+H585-I585),0)</f>
        <v>0</v>
      </c>
      <c r="K585" s="76">
        <f>IF(Escenarios!$E$11&gt;0,IF(J585&gt;Constantes!$E$30,1000*((J585-Constantes!$E$30)/(Escenarios!$E$16*10000)),0),F585)</f>
        <v>0</v>
      </c>
      <c r="L585" s="76">
        <f>IF(Escenarios!$E$11&gt;0,I585*1000/Escenarios!$E$16/10000+E585,E585)</f>
        <v>0.32011629614561204</v>
      </c>
      <c r="M585" s="76">
        <f>MAX(0,N584+Observaciones!$F584-K585-Constantes!$D$13)</f>
        <v>0</v>
      </c>
      <c r="N585" s="76">
        <f>N584+Observaciones!$F584-K585-L585-M585-O584</f>
        <v>11.315389865501624</v>
      </c>
      <c r="O585" s="76">
        <f>MAX(0,(N585-Constantes!$D$14)*(1-EXP(-Constantes!$D$22)))</f>
        <v>2.2274188700959008E-3</v>
      </c>
      <c r="P585" s="170">
        <f>P584+(Entradas!$E$83*M585-Q584)/(800*Entradas!$D$25)</f>
        <v>0</v>
      </c>
      <c r="Q585" s="170">
        <f>8000*Entradas!$D$26*P585/Constantes!$E$45</f>
        <v>0</v>
      </c>
      <c r="R585" s="170">
        <f>IF(Escenarios!$E$14&gt;0,K585*Escenarios!$E$13/Escenarios!$E$14,0)</f>
        <v>0</v>
      </c>
      <c r="S585" s="170">
        <f>IF(Escenarios!$E$14&gt;0,Q585*Escenarios!$E$13/Escenarios!$E$14,0)</f>
        <v>0</v>
      </c>
      <c r="T585" s="170">
        <f>IF(Escenarios!$E$14&gt;0,Observaciones!$I584,0)</f>
        <v>0</v>
      </c>
      <c r="U585" s="170">
        <f>IF(Escenarios!$E$14&gt;0,MAX(0,Constantes!$E$36/((Z584+R585+S585+T585+Observaciones!$F584)^2)+Entradas!$E$77),0)</f>
        <v>0</v>
      </c>
      <c r="V585" s="146">
        <f>IF(ETo!D584&gt;0,ETo!I584*((1-Entradas!$E$81)*ETo!K584+ETo!L584),0)</f>
        <v>2.6462055864044585</v>
      </c>
      <c r="W585" s="170">
        <f>IF(Escenarios!$E$14&gt;0,MIN(V585*1,0.8*(Z584+R585+S585+T585+Observaciones!$F584-U585-Constantes!$E$35)),0)</f>
        <v>0.32000115987034405</v>
      </c>
      <c r="X585" s="170">
        <f>IF(Escenarios!$E$14&gt;0,Observaciones!$J584,0)</f>
        <v>0</v>
      </c>
      <c r="Y585" s="170">
        <f>IF(Escenarios!$E$14&gt;0,MAX(0,Z584+R585+S585+T585+Observaciones!$F584-U585-W585-X585-Constantes!$E$33),0)</f>
        <v>0</v>
      </c>
      <c r="Z585" s="170">
        <f>Z584+R585+S585+T585+Observaciones!$F584-U585-W585-Y585</f>
        <v>41.330000289967586</v>
      </c>
      <c r="AA585" s="170">
        <f>IF(Escenarios!$E$14&gt;0,(Escenarios!$E$13*L585+Escenarios!$E$14*W585)/(Escenarios!$E$16),L585)</f>
        <v>0.32010247979257989</v>
      </c>
      <c r="AB585" s="170">
        <f>IF(Escenarios!$E$14&gt;0,(Escenarios!$E$14*Y585)/(Escenarios!$E$16),K585)</f>
        <v>0</v>
      </c>
      <c r="AC585" s="170">
        <f>IF(Escenarios!$E$14&gt;0,(Escenarios!$E$13*M585+Escenarios!$E$14*U585)/(Escenarios!$E$16),M585)</f>
        <v>0</v>
      </c>
      <c r="AD585" s="76">
        <f t="shared" si="127"/>
        <v>88.087190402183424</v>
      </c>
      <c r="AE585" s="76">
        <f>MAX(0,(AD585-Constantes!$D$13)*(1-EXP(-Constantes!$D$23)))</f>
        <v>0.38759870642150046</v>
      </c>
      <c r="AF585" s="76">
        <f>AB585+O585*Escenarios!$E$13/Escenarios!$E$16+AE585</f>
        <v>0.38955883502718486</v>
      </c>
      <c r="AG585" s="76">
        <f>IF(Entradas!$E$91&gt;0,IF(AF585-Escenarios!$E$38&lt;=0,0,IF(AF585-Escenarios!$E$38&gt;Escenarios!$E$37,Escenarios!$E$37,AF585-Escenarios!$E$38)),0)</f>
        <v>0</v>
      </c>
      <c r="AH585" s="76">
        <f>AG585*Entradas!$E$99</f>
        <v>0</v>
      </c>
      <c r="AI585" s="76">
        <f>IF(Entradas!$E$91&gt;0,D585*Entradas!$D$23/Escenarios!$E$16,0)</f>
        <v>0</v>
      </c>
      <c r="AJ585" s="76">
        <f>IF(Entradas!$E$91&gt;0,Entradas!$D$24*Entradas!$D$22/Escenarios!$E$16,0)</f>
        <v>0</v>
      </c>
      <c r="AK585" s="76">
        <f t="shared" si="136"/>
        <v>0.32010247979257989</v>
      </c>
      <c r="AL585" s="76">
        <f t="shared" si="137"/>
        <v>0</v>
      </c>
      <c r="AM585" s="76">
        <f t="shared" si="128"/>
        <v>0</v>
      </c>
      <c r="AN585" s="76">
        <f>MAX(0,O585*Escenarios!$E$13/Escenarios!$E$16-AM585)</f>
        <v>1.9601286056843926E-3</v>
      </c>
      <c r="AO585" s="76">
        <f>AM585+AN585-O585*Escenarios!$E$13/Escenarios!$E$16</f>
        <v>0</v>
      </c>
      <c r="AP585" s="76">
        <f t="shared" si="126"/>
        <v>0.38759870642150046</v>
      </c>
      <c r="AQ585" s="76">
        <f t="shared" si="129"/>
        <v>0</v>
      </c>
      <c r="AR585" s="76">
        <f t="shared" si="130"/>
        <v>0.38955883502718486</v>
      </c>
      <c r="AS585" s="76">
        <f t="shared" si="131"/>
        <v>0</v>
      </c>
      <c r="AT585" s="76">
        <f t="shared" si="132"/>
        <v>0</v>
      </c>
      <c r="AU585" s="76">
        <f t="shared" si="133"/>
        <v>48.75</v>
      </c>
      <c r="AV585" s="76">
        <f>MAX(0,(AU585-Constantes!$D$13)*(1-EXP(-Constantes!$D$24)))</f>
        <v>0</v>
      </c>
      <c r="AW585" s="170">
        <f>AW584+(Entradas!$E$112*AT585-AX584)/(800*Entradas!$D$25)</f>
        <v>0</v>
      </c>
      <c r="AX585" s="170">
        <f>8000*Entradas!$D$26*AW585/Constantes!$E$45</f>
        <v>0</v>
      </c>
      <c r="AY585" s="170">
        <f>IF(Escenarios!$E$17&gt;0,10*Escenarios!$E$16*AL585,0)</f>
        <v>0</v>
      </c>
      <c r="AZ585" s="170">
        <f>IF(Escenarios!$E$17&gt;0,10*Escenarios!$E$16*AX585,0)</f>
        <v>0</v>
      </c>
      <c r="BA585" s="170">
        <f>IF(Escenarios!$E$17&gt;0,0.001*Observaciones!$F584*Escenarios!$E$17,0)</f>
        <v>8</v>
      </c>
      <c r="BB585" s="170">
        <f>IF(Escenarios!$E$17&gt;0,Observaciones!$K584,0)</f>
        <v>0</v>
      </c>
      <c r="BC585" s="170">
        <f>IF(Escenarios!$E$17&gt;0,MIN(0.0005*ETo!$M584*Escenarios!$E$17*(BG584/Constantes!$E$40)^(2/3),BG584+AY585+AZ585+BA585+BB585),0)</f>
        <v>5.9529982183682657</v>
      </c>
      <c r="BD585" s="170">
        <f>IF(Escenarios!$E$17&gt;0,MIN(Constantes!$E$39*(BG584/Constantes!$E$40)^(2/3),BG584+AY585+AZ585+BA585+BB585-BC585),0)</f>
        <v>14.127535810631848</v>
      </c>
      <c r="BE585" s="170">
        <f>IF(Escenarios!$E$17&gt;0,MIN(Entradas!$E$113,BG584+AY585+AZ585+BA585+BB585-BC585-BD585),0)</f>
        <v>1</v>
      </c>
      <c r="BF585" s="170">
        <f>IF(Escenarios!$E$17&gt;0,MAX(0,BG584+AY585+AZ585+BA585+BB585-BC585-BD585-BE585-Constantes!$E$40),0)</f>
        <v>0</v>
      </c>
      <c r="BG585" s="170">
        <f t="shared" si="138"/>
        <v>481.65532046848051</v>
      </c>
      <c r="BH585" s="170">
        <f>(Escenarios!$E$16*AK585+0.1*BC585)/(Escenarios!$E$19)</f>
        <v>0.31992428480151514</v>
      </c>
      <c r="BI585" s="170">
        <f>IF(Escenarios!$E$17&gt;0,BF585/10/Escenarios!$E$19,AL585)</f>
        <v>0</v>
      </c>
      <c r="BJ585" s="170">
        <f>(Escenarios!$E$16*AT585+0.1*BD585)/(Escenarios!$E$19)</f>
        <v>5.6061650042189878E-3</v>
      </c>
      <c r="BK585" s="76">
        <f>BK584+(0.1*BD585)/(Escenarios!$E$19)-BL584</f>
        <v>50.171655699785909</v>
      </c>
      <c r="BL585" s="76">
        <f>MAX(0,(BK585-Constantes!$D$13)*(1-EXP(-Constantes!$D$23)))</f>
        <v>1.4007912221997076E-2</v>
      </c>
      <c r="BM585" s="76">
        <f t="shared" si="134"/>
        <v>0.40160661864349756</v>
      </c>
      <c r="BN585" s="76">
        <f t="shared" si="139"/>
        <v>0.40356674724918196</v>
      </c>
      <c r="BO585" s="76">
        <f>0.0526*BI585*Observaciones!$F584^1.218</f>
        <v>0</v>
      </c>
      <c r="BP585" s="76">
        <f>BO585*Constantes!$E$51</f>
        <v>0</v>
      </c>
      <c r="BQ585" s="76">
        <f t="shared" si="135"/>
        <v>0</v>
      </c>
      <c r="BR585" s="40"/>
    </row>
    <row r="586" spans="1:70">
      <c r="A586" s="147"/>
      <c r="B586" s="39"/>
      <c r="C586" s="75">
        <v>580</v>
      </c>
      <c r="D586" s="146">
        <f>ETo!$I585*((1-Constantes!$E$19)*ETo!$K585+ETo!$L585)</f>
        <v>2.9437355239545724</v>
      </c>
      <c r="E586" s="76">
        <f>MIN(D586*Constantes!$E$17,0.8*(N585+Observaciones!$F585-F586-M586-Constantes!$D$14))</f>
        <v>5.2311892401299076E-2</v>
      </c>
      <c r="F586" s="76">
        <f>IF(Observaciones!$F585&gt;0.05*Constantes!$E$18,((Observaciones!$F585-0.05*Constantes!$E$18)^2)/(Observaciones!$F585+0.95*Constantes!$E$18),0)</f>
        <v>0</v>
      </c>
      <c r="G586" s="76">
        <f>IF(Escenarios!$E$11&gt;0,(F586*Escenarios!$E$16*10000)/1000,0)</f>
        <v>0</v>
      </c>
      <c r="H586" s="76">
        <f>IF(Escenarios!$E$11&gt;0,(Observaciones!$F585*Constantes!$E$29)/1000,0)</f>
        <v>0</v>
      </c>
      <c r="I586" s="76">
        <f>IF(Escenarios!$E$11&gt;0,(D586*Constantes!$E$29)/1000,0)</f>
        <v>29.437355239545724</v>
      </c>
      <c r="J586" s="76">
        <f>IF(Escenarios!$E$11&gt;0,MAX(0,G586+H586-I586),0)</f>
        <v>0</v>
      </c>
      <c r="K586" s="76">
        <f>IF(Escenarios!$E$11&gt;0,IF(J586&gt;Constantes!$E$30,1000*((J586-Constantes!$E$30)/(Escenarios!$E$16*10000)),0),F586)</f>
        <v>0</v>
      </c>
      <c r="L586" s="76">
        <f>IF(Escenarios!$E$11&gt;0,I586*1000/Escenarios!$E$16/10000+E586,E586)</f>
        <v>6.408683449711737E-2</v>
      </c>
      <c r="M586" s="76">
        <f>MAX(0,N585+Observaciones!$F585-K586-Constantes!$D$13)</f>
        <v>0</v>
      </c>
      <c r="N586" s="76">
        <f>N585+Observaciones!$F585-K586-L586-M586-O585</f>
        <v>11.24907561213441</v>
      </c>
      <c r="O586" s="76">
        <f>MAX(0,(N586-Constantes!$D$14)*(1-EXP(-Constantes!$D$22)))</f>
        <v>0</v>
      </c>
      <c r="P586" s="170">
        <f>P585+(Entradas!$E$83*M586-Q585)/(800*Entradas!$D$25)</f>
        <v>0</v>
      </c>
      <c r="Q586" s="170">
        <f>8000*Entradas!$D$26*P586/Constantes!$E$45</f>
        <v>0</v>
      </c>
      <c r="R586" s="170">
        <f>IF(Escenarios!$E$14&gt;0,K586*Escenarios!$E$13/Escenarios!$E$14,0)</f>
        <v>0</v>
      </c>
      <c r="S586" s="170">
        <f>IF(Escenarios!$E$14&gt;0,Q586*Escenarios!$E$13/Escenarios!$E$14,0)</f>
        <v>0</v>
      </c>
      <c r="T586" s="170">
        <f>IF(Escenarios!$E$14&gt;0,Observaciones!$I585,0)</f>
        <v>0</v>
      </c>
      <c r="U586" s="170">
        <f>IF(Escenarios!$E$14&gt;0,MAX(0,Constantes!$E$36/((Z585+R586+S586+T586+Observaciones!$F585)^2)+Entradas!$E$77),0)</f>
        <v>0</v>
      </c>
      <c r="V586" s="146">
        <f>IF(ETo!D585&gt;0,ETo!I585*((1-Entradas!$E$81)*ETo!K585+ETo!L585),0)</f>
        <v>2.6610874375267977</v>
      </c>
      <c r="W586" s="170">
        <f>IF(Escenarios!$E$14&gt;0,MIN(V586*1,0.8*(Z585+R586+S586+T586+Observaciones!$F585-U586-Constantes!$E$35)),0)</f>
        <v>6.4000231974068816E-2</v>
      </c>
      <c r="X586" s="170">
        <f>IF(Escenarios!$E$14&gt;0,Observaciones!$J585,0)</f>
        <v>0</v>
      </c>
      <c r="Y586" s="170">
        <f>IF(Escenarios!$E$14&gt;0,MAX(0,Z585+R586+S586+T586+Observaciones!$F585-U586-W586-X586-Constantes!$E$33),0)</f>
        <v>0</v>
      </c>
      <c r="Z586" s="170">
        <f>Z585+R586+S586+T586+Observaciones!$F585-U586-W586-Y586</f>
        <v>41.266000057993516</v>
      </c>
      <c r="AA586" s="170">
        <f>IF(Escenarios!$E$14&gt;0,(Escenarios!$E$13*L586+Escenarios!$E$14*W586)/(Escenarios!$E$16),L586)</f>
        <v>6.4076442194351546E-2</v>
      </c>
      <c r="AB586" s="170">
        <f>IF(Escenarios!$E$14&gt;0,(Escenarios!$E$14*Y586)/(Escenarios!$E$16),K586)</f>
        <v>0</v>
      </c>
      <c r="AC586" s="170">
        <f>IF(Escenarios!$E$14&gt;0,(Escenarios!$E$13*M586+Escenarios!$E$14*U586)/(Escenarios!$E$16),M586)</f>
        <v>0</v>
      </c>
      <c r="AD586" s="76">
        <f t="shared" si="127"/>
        <v>87.699591695761924</v>
      </c>
      <c r="AE586" s="76">
        <f>MAX(0,(AD586-Constantes!$D$13)*(1-EXP(-Constantes!$D$23)))</f>
        <v>0.38377960404831013</v>
      </c>
      <c r="AF586" s="76">
        <f>AB586+O586*Escenarios!$E$13/Escenarios!$E$16+AE586</f>
        <v>0.38377960404831013</v>
      </c>
      <c r="AG586" s="76">
        <f>IF(Entradas!$E$91&gt;0,IF(AF586-Escenarios!$E$38&lt;=0,0,IF(AF586-Escenarios!$E$38&gt;Escenarios!$E$37,Escenarios!$E$37,AF586-Escenarios!$E$38)),0)</f>
        <v>0</v>
      </c>
      <c r="AH586" s="76">
        <f>AG586*Entradas!$E$99</f>
        <v>0</v>
      </c>
      <c r="AI586" s="76">
        <f>IF(Entradas!$E$91&gt;0,D586*Entradas!$D$23/Escenarios!$E$16,0)</f>
        <v>0</v>
      </c>
      <c r="AJ586" s="76">
        <f>IF(Entradas!$E$91&gt;0,Entradas!$D$24*Entradas!$D$22/Escenarios!$E$16,0)</f>
        <v>0</v>
      </c>
      <c r="AK586" s="76">
        <f t="shared" si="136"/>
        <v>6.4076442194351546E-2</v>
      </c>
      <c r="AL586" s="76">
        <f t="shared" si="137"/>
        <v>0</v>
      </c>
      <c r="AM586" s="76">
        <f t="shared" si="128"/>
        <v>0</v>
      </c>
      <c r="AN586" s="76">
        <f>MAX(0,O586*Escenarios!$E$13/Escenarios!$E$16-AM586)</f>
        <v>0</v>
      </c>
      <c r="AO586" s="76">
        <f>AM586+AN586-O586*Escenarios!$E$13/Escenarios!$E$16</f>
        <v>0</v>
      </c>
      <c r="AP586" s="76">
        <f t="shared" si="126"/>
        <v>0.38377960404831013</v>
      </c>
      <c r="AQ586" s="76">
        <f t="shared" si="129"/>
        <v>0</v>
      </c>
      <c r="AR586" s="76">
        <f t="shared" si="130"/>
        <v>0.38377960404831013</v>
      </c>
      <c r="AS586" s="76">
        <f t="shared" si="131"/>
        <v>0</v>
      </c>
      <c r="AT586" s="76">
        <f t="shared" si="132"/>
        <v>0</v>
      </c>
      <c r="AU586" s="76">
        <f t="shared" si="133"/>
        <v>48.75</v>
      </c>
      <c r="AV586" s="76">
        <f>MAX(0,(AU586-Constantes!$D$13)*(1-EXP(-Constantes!$D$24)))</f>
        <v>0</v>
      </c>
      <c r="AW586" s="170">
        <f>AW585+(Entradas!$E$112*AT586-AX585)/(800*Entradas!$D$25)</f>
        <v>0</v>
      </c>
      <c r="AX586" s="170">
        <f>8000*Entradas!$D$26*AW586/Constantes!$E$45</f>
        <v>0</v>
      </c>
      <c r="AY586" s="170">
        <f>IF(Escenarios!$E$17&gt;0,10*Escenarios!$E$16*AL586,0)</f>
        <v>0</v>
      </c>
      <c r="AZ586" s="170">
        <f>IF(Escenarios!$E$17&gt;0,10*Escenarios!$E$16*AX586,0)</f>
        <v>0</v>
      </c>
      <c r="BA586" s="170">
        <f>IF(Escenarios!$E$17&gt;0,0.001*Observaciones!$F585*Escenarios!$E$17,0)</f>
        <v>0</v>
      </c>
      <c r="BB586" s="170">
        <f>IF(Escenarios!$E$17&gt;0,Observaciones!$K585,0)</f>
        <v>0</v>
      </c>
      <c r="BC586" s="170">
        <f>IF(Escenarios!$E$17&gt;0,MIN(0.0005*ETo!$M585*Escenarios!$E$17*(BG585/Constantes!$E$40)^(2/3),BG585+AY586+AZ586+BA586+BB586),0)</f>
        <v>5.8779339193443265</v>
      </c>
      <c r="BD586" s="170">
        <f>IF(Escenarios!$E$17&gt;0,MIN(Constantes!$E$39*(BG585/Constantes!$E$40)^(2/3),BG585+AY586+AZ586+BA586+BB586-BC586),0)</f>
        <v>13.877409410285875</v>
      </c>
      <c r="BE586" s="170">
        <f>IF(Escenarios!$E$17&gt;0,MIN(Entradas!$E$113,BG585+AY586+AZ586+BA586+BB586-BC586-BD586),0)</f>
        <v>1</v>
      </c>
      <c r="BF586" s="170">
        <f>IF(Escenarios!$E$17&gt;0,MAX(0,BG585+AY586+AZ586+BA586+BB586-BC586-BD586-BE586-Constantes!$E$40),0)</f>
        <v>0</v>
      </c>
      <c r="BG586" s="170">
        <f t="shared" si="138"/>
        <v>460.89997713885032</v>
      </c>
      <c r="BH586" s="170">
        <f>(Escenarios!$E$16*AK586+0.1*BC586)/(Escenarios!$E$19)</f>
        <v>6.5900412462390159E-2</v>
      </c>
      <c r="BI586" s="170">
        <f>IF(Escenarios!$E$17&gt;0,BF586/10/Escenarios!$E$19,AL586)</f>
        <v>0</v>
      </c>
      <c r="BJ586" s="170">
        <f>(Escenarios!$E$16*AT586+0.1*BD586)/(Escenarios!$E$19)</f>
        <v>5.5069084961451888E-3</v>
      </c>
      <c r="BK586" s="76">
        <f>BK585+(0.1*BD586)/(Escenarios!$E$19)-BL585</f>
        <v>50.163154696060055</v>
      </c>
      <c r="BL586" s="76">
        <f>MAX(0,(BK586-Constantes!$D$13)*(1-EXP(-Constantes!$D$23)))</f>
        <v>1.3924149807504897E-2</v>
      </c>
      <c r="BM586" s="76">
        <f t="shared" si="134"/>
        <v>0.39770375385581502</v>
      </c>
      <c r="BN586" s="76">
        <f t="shared" si="139"/>
        <v>0.39770375385581502</v>
      </c>
      <c r="BO586" s="76">
        <f>0.0526*BI586*Observaciones!$F585^1.218</f>
        <v>0</v>
      </c>
      <c r="BP586" s="76">
        <f>BO586*Constantes!$E$51</f>
        <v>0</v>
      </c>
      <c r="BQ586" s="76">
        <f t="shared" si="135"/>
        <v>0</v>
      </c>
      <c r="BR586" s="40"/>
    </row>
    <row r="587" spans="1:70">
      <c r="A587" s="147"/>
      <c r="B587" s="39"/>
      <c r="C587" s="75">
        <v>581</v>
      </c>
      <c r="D587" s="146">
        <f>ETo!$I586*((1-Constantes!$E$19)*ETo!$K586+ETo!$L586)</f>
        <v>2.9598392407359766</v>
      </c>
      <c r="E587" s="76">
        <f>MIN(D587*Constantes!$E$17,0.8*(N586+Observaciones!$F586-F587-M587-Constantes!$D$14))</f>
        <v>-7.3951029247183448E-4</v>
      </c>
      <c r="F587" s="76">
        <f>IF(Observaciones!$F586&gt;0.05*Constantes!$E$18,((Observaciones!$F586-0.05*Constantes!$E$18)^2)/(Observaciones!$F586+0.95*Constantes!$E$18),0)</f>
        <v>0</v>
      </c>
      <c r="G587" s="76">
        <f>IF(Escenarios!$E$11&gt;0,(F587*Escenarios!$E$16*10000)/1000,0)</f>
        <v>0</v>
      </c>
      <c r="H587" s="76">
        <f>IF(Escenarios!$E$11&gt;0,(Observaciones!$F586*Constantes!$E$29)/1000,0)</f>
        <v>0</v>
      </c>
      <c r="I587" s="76">
        <f>IF(Escenarios!$E$11&gt;0,(D587*Constantes!$E$29)/1000,0)</f>
        <v>29.598392407359768</v>
      </c>
      <c r="J587" s="76">
        <f>IF(Escenarios!$E$11&gt;0,MAX(0,G587+H587-I587),0)</f>
        <v>0</v>
      </c>
      <c r="K587" s="76">
        <f>IF(Escenarios!$E$11&gt;0,IF(J587&gt;Constantes!$E$30,1000*((J587-Constantes!$E$30)/(Escenarios!$E$16*10000)),0),F587)</f>
        <v>0</v>
      </c>
      <c r="L587" s="76">
        <f>IF(Escenarios!$E$11&gt;0,I587*1000/Escenarios!$E$16/10000+E587,E587)</f>
        <v>1.1099846670472074E-2</v>
      </c>
      <c r="M587" s="76">
        <f>MAX(0,N586+Observaciones!$F586-K587-Constantes!$D$13)</f>
        <v>0</v>
      </c>
      <c r="N587" s="76">
        <f>N586+Observaciones!$F586-K587-L587-M587-O586</f>
        <v>11.237975765463938</v>
      </c>
      <c r="O587" s="76">
        <f>MAX(0,(N587-Constantes!$D$14)*(1-EXP(-Constantes!$D$22)))</f>
        <v>0</v>
      </c>
      <c r="P587" s="170">
        <f>P586+(Entradas!$E$83*M587-Q586)/(800*Entradas!$D$25)</f>
        <v>0</v>
      </c>
      <c r="Q587" s="170">
        <f>8000*Entradas!$D$26*P587/Constantes!$E$45</f>
        <v>0</v>
      </c>
      <c r="R587" s="170">
        <f>IF(Escenarios!$E$14&gt;0,K587*Escenarios!$E$13/Escenarios!$E$14,0)</f>
        <v>0</v>
      </c>
      <c r="S587" s="170">
        <f>IF(Escenarios!$E$14&gt;0,Q587*Escenarios!$E$13/Escenarios!$E$14,0)</f>
        <v>0</v>
      </c>
      <c r="T587" s="170">
        <f>IF(Escenarios!$E$14&gt;0,Observaciones!$I586,0)</f>
        <v>0</v>
      </c>
      <c r="U587" s="170">
        <f>IF(Escenarios!$E$14&gt;0,MAX(0,Constantes!$E$36/((Z586+R587+S587+T587+Observaciones!$F586)^2)+Entradas!$E$77),0)</f>
        <v>0</v>
      </c>
      <c r="V587" s="146">
        <f>IF(ETo!D586&gt;0,ETo!I586*((1-Entradas!$E$81)*ETo!K586+ETo!L586),0)</f>
        <v>2.6761658240262403</v>
      </c>
      <c r="W587" s="170">
        <f>IF(Escenarios!$E$14&gt;0,MIN(V587*1,0.8*(Z586+R587+S587+T587+Observaciones!$F586-U587-Constantes!$E$35)),0)</f>
        <v>1.2800046394812626E-2</v>
      </c>
      <c r="X587" s="170">
        <f>IF(Escenarios!$E$14&gt;0,Observaciones!$J586,0)</f>
        <v>0</v>
      </c>
      <c r="Y587" s="170">
        <f>IF(Escenarios!$E$14&gt;0,MAX(0,Z586+R587+S587+T587+Observaciones!$F586-U587-W587-X587-Constantes!$E$33),0)</f>
        <v>0</v>
      </c>
      <c r="Z587" s="170">
        <f>Z586+R587+S587+T587+Observaciones!$F586-U587-W587-Y587</f>
        <v>41.2532000115987</v>
      </c>
      <c r="AA587" s="170">
        <f>IF(Escenarios!$E$14&gt;0,(Escenarios!$E$13*L587+Escenarios!$E$14*W587)/(Escenarios!$E$16),L587)</f>
        <v>1.1303870637392939E-2</v>
      </c>
      <c r="AB587" s="170">
        <f>IF(Escenarios!$E$14&gt;0,(Escenarios!$E$14*Y587)/(Escenarios!$E$16),K587)</f>
        <v>0</v>
      </c>
      <c r="AC587" s="170">
        <f>IF(Escenarios!$E$14&gt;0,(Escenarios!$E$13*M587+Escenarios!$E$14*U587)/(Escenarios!$E$16),M587)</f>
        <v>0</v>
      </c>
      <c r="AD587" s="76">
        <f t="shared" si="127"/>
        <v>87.31581209171361</v>
      </c>
      <c r="AE587" s="76">
        <f>MAX(0,(AD587-Constantes!$D$13)*(1-EXP(-Constantes!$D$23)))</f>
        <v>0.37999813220044204</v>
      </c>
      <c r="AF587" s="76">
        <f>AB587+O587*Escenarios!$E$13/Escenarios!$E$16+AE587</f>
        <v>0.37999813220044204</v>
      </c>
      <c r="AG587" s="76">
        <f>IF(Entradas!$E$91&gt;0,IF(AF587-Escenarios!$E$38&lt;=0,0,IF(AF587-Escenarios!$E$38&gt;Escenarios!$E$37,Escenarios!$E$37,AF587-Escenarios!$E$38)),0)</f>
        <v>0</v>
      </c>
      <c r="AH587" s="76">
        <f>AG587*Entradas!$E$99</f>
        <v>0</v>
      </c>
      <c r="AI587" s="76">
        <f>IF(Entradas!$E$91&gt;0,D587*Entradas!$D$23/Escenarios!$E$16,0)</f>
        <v>0</v>
      </c>
      <c r="AJ587" s="76">
        <f>IF(Entradas!$E$91&gt;0,Entradas!$D$24*Entradas!$D$22/Escenarios!$E$16,0)</f>
        <v>0</v>
      </c>
      <c r="AK587" s="76">
        <f t="shared" si="136"/>
        <v>1.1303870637392939E-2</v>
      </c>
      <c r="AL587" s="76">
        <f t="shared" si="137"/>
        <v>0</v>
      </c>
      <c r="AM587" s="76">
        <f t="shared" si="128"/>
        <v>0</v>
      </c>
      <c r="AN587" s="76">
        <f>MAX(0,O587*Escenarios!$E$13/Escenarios!$E$16-AM587)</f>
        <v>0</v>
      </c>
      <c r="AO587" s="76">
        <f>AM587+AN587-O587*Escenarios!$E$13/Escenarios!$E$16</f>
        <v>0</v>
      </c>
      <c r="AP587" s="76">
        <f t="shared" si="126"/>
        <v>0.37999813220044204</v>
      </c>
      <c r="AQ587" s="76">
        <f t="shared" si="129"/>
        <v>0</v>
      </c>
      <c r="AR587" s="76">
        <f t="shared" si="130"/>
        <v>0.37999813220044204</v>
      </c>
      <c r="AS587" s="76">
        <f t="shared" si="131"/>
        <v>0</v>
      </c>
      <c r="AT587" s="76">
        <f t="shared" si="132"/>
        <v>0</v>
      </c>
      <c r="AU587" s="76">
        <f t="shared" si="133"/>
        <v>48.75</v>
      </c>
      <c r="AV587" s="76">
        <f>MAX(0,(AU587-Constantes!$D$13)*(1-EXP(-Constantes!$D$24)))</f>
        <v>0</v>
      </c>
      <c r="AW587" s="170">
        <f>AW586+(Entradas!$E$112*AT587-AX586)/(800*Entradas!$D$25)</f>
        <v>0</v>
      </c>
      <c r="AX587" s="170">
        <f>8000*Entradas!$D$26*AW587/Constantes!$E$45</f>
        <v>0</v>
      </c>
      <c r="AY587" s="170">
        <f>IF(Escenarios!$E$17&gt;0,10*Escenarios!$E$16*AL587,0)</f>
        <v>0</v>
      </c>
      <c r="AZ587" s="170">
        <f>IF(Escenarios!$E$17&gt;0,10*Escenarios!$E$16*AX587,0)</f>
        <v>0</v>
      </c>
      <c r="BA587" s="170">
        <f>IF(Escenarios!$E$17&gt;0,0.001*Observaciones!$F586*Escenarios!$E$17,0)</f>
        <v>0</v>
      </c>
      <c r="BB587" s="170">
        <f>IF(Escenarios!$E$17&gt;0,Observaciones!$K586,0)</f>
        <v>0</v>
      </c>
      <c r="BC587" s="170">
        <f>IF(Escenarios!$E$17&gt;0,MIN(0.0005*ETo!$M586*Escenarios!$E$17*(BG586/Constantes!$E$40)^(2/3),BG586+AY587+AZ587+BA587+BB587),0)</f>
        <v>5.7376813326984566</v>
      </c>
      <c r="BD587" s="170">
        <f>IF(Escenarios!$E$17&gt;0,MIN(Constantes!$E$39*(BG586/Constantes!$E$40)^(2/3),BG586+AY587+AZ587+BA587+BB587-BC587),0)</f>
        <v>13.47582256673418</v>
      </c>
      <c r="BE587" s="170">
        <f>IF(Escenarios!$E$17&gt;0,MIN(Entradas!$E$113,BG586+AY587+AZ587+BA587+BB587-BC587-BD587),0)</f>
        <v>1</v>
      </c>
      <c r="BF587" s="170">
        <f>IF(Escenarios!$E$17&gt;0,MAX(0,BG586+AY587+AZ587+BA587+BB587-BC587-BD587-BE587-Constantes!$E$40),0)</f>
        <v>0</v>
      </c>
      <c r="BG587" s="170">
        <f t="shared" si="138"/>
        <v>440.68647323941769</v>
      </c>
      <c r="BH587" s="170">
        <f>(Escenarios!$E$16*AK587+0.1*BC587)/(Escenarios!$E$19)</f>
        <v>1.3491015050071749E-2</v>
      </c>
      <c r="BI587" s="170">
        <f>IF(Escenarios!$E$17&gt;0,BF587/10/Escenarios!$E$19,AL587)</f>
        <v>0</v>
      </c>
      <c r="BJ587" s="170">
        <f>(Escenarios!$E$16*AT587+0.1*BD587)/(Escenarios!$E$19)</f>
        <v>5.3475486375929287E-3</v>
      </c>
      <c r="BK587" s="76">
        <f>BK586+(0.1*BD587)/(Escenarios!$E$19)-BL586</f>
        <v>50.154578094890141</v>
      </c>
      <c r="BL587" s="76">
        <f>MAX(0,(BK587-Constantes!$D$13)*(1-EXP(-Constantes!$D$23)))</f>
        <v>1.3839642513390493E-2</v>
      </c>
      <c r="BM587" s="76">
        <f t="shared" si="134"/>
        <v>0.39383777471383252</v>
      </c>
      <c r="BN587" s="76">
        <f t="shared" si="139"/>
        <v>0.39383777471383252</v>
      </c>
      <c r="BO587" s="76">
        <f>0.0526*BI587*Observaciones!$F586^1.218</f>
        <v>0</v>
      </c>
      <c r="BP587" s="76">
        <f>BO587*Constantes!$E$51</f>
        <v>0</v>
      </c>
      <c r="BQ587" s="76">
        <f t="shared" si="135"/>
        <v>0</v>
      </c>
      <c r="BR587" s="40"/>
    </row>
    <row r="588" spans="1:70">
      <c r="A588" s="147"/>
      <c r="B588" s="39"/>
      <c r="C588" s="75">
        <v>582</v>
      </c>
      <c r="D588" s="146">
        <f>ETo!$I587*((1-Constantes!$E$19)*ETo!$K587+ETo!$L587)</f>
        <v>3.0706340448221643</v>
      </c>
      <c r="E588" s="76">
        <f>MIN(D588*Constantes!$E$17,0.8*(N587+Observaciones!$F587-F588-M588-Constantes!$D$14))</f>
        <v>-9.6193876288495524E-3</v>
      </c>
      <c r="F588" s="76">
        <f>IF(Observaciones!$F587&gt;0.05*Constantes!$E$18,((Observaciones!$F587-0.05*Constantes!$E$18)^2)/(Observaciones!$F587+0.95*Constantes!$E$18),0)</f>
        <v>0</v>
      </c>
      <c r="G588" s="76">
        <f>IF(Escenarios!$E$11&gt;0,(F588*Escenarios!$E$16*10000)/1000,0)</f>
        <v>0</v>
      </c>
      <c r="H588" s="76">
        <f>IF(Escenarios!$E$11&gt;0,(Observaciones!$F587*Constantes!$E$29)/1000,0)</f>
        <v>0</v>
      </c>
      <c r="I588" s="76">
        <f>IF(Escenarios!$E$11&gt;0,(D588*Constantes!$E$29)/1000,0)</f>
        <v>30.706340448221642</v>
      </c>
      <c r="J588" s="76">
        <f>IF(Escenarios!$E$11&gt;0,MAX(0,G588+H588-I588),0)</f>
        <v>0</v>
      </c>
      <c r="K588" s="76">
        <f>IF(Escenarios!$E$11&gt;0,IF(J588&gt;Constantes!$E$30,1000*((J588-Constantes!$E$30)/(Escenarios!$E$16*10000)),0),F588)</f>
        <v>0</v>
      </c>
      <c r="L588" s="76">
        <f>IF(Escenarios!$E$11&gt;0,I588*1000/Escenarios!$E$16/10000+E588,E588)</f>
        <v>2.6631485504391046E-3</v>
      </c>
      <c r="M588" s="76">
        <f>MAX(0,N587+Observaciones!$F587-K588-Constantes!$D$13)</f>
        <v>0</v>
      </c>
      <c r="N588" s="76">
        <f>N587+Observaciones!$F587-K588-L588-M588-O587</f>
        <v>11.235312616913498</v>
      </c>
      <c r="O588" s="76">
        <f>MAX(0,(N588-Constantes!$D$14)*(1-EXP(-Constantes!$D$22)))</f>
        <v>0</v>
      </c>
      <c r="P588" s="170">
        <f>P587+(Entradas!$E$83*M588-Q587)/(800*Entradas!$D$25)</f>
        <v>0</v>
      </c>
      <c r="Q588" s="170">
        <f>8000*Entradas!$D$26*P588/Constantes!$E$45</f>
        <v>0</v>
      </c>
      <c r="R588" s="170">
        <f>IF(Escenarios!$E$14&gt;0,K588*Escenarios!$E$13/Escenarios!$E$14,0)</f>
        <v>0</v>
      </c>
      <c r="S588" s="170">
        <f>IF(Escenarios!$E$14&gt;0,Q588*Escenarios!$E$13/Escenarios!$E$14,0)</f>
        <v>0</v>
      </c>
      <c r="T588" s="170">
        <f>IF(Escenarios!$E$14&gt;0,Observaciones!$I587,0)</f>
        <v>0</v>
      </c>
      <c r="U588" s="170">
        <f>IF(Escenarios!$E$14&gt;0,MAX(0,Constantes!$E$36/((Z587+R588+S588+T588+Observaciones!$F587)^2)+Entradas!$E$77),0)</f>
        <v>0</v>
      </c>
      <c r="V588" s="146">
        <f>IF(ETo!D587&gt;0,ETo!I587*((1-Entradas!$E$81)*ETo!K587+ETo!L587),0)</f>
        <v>2.7780305413683415</v>
      </c>
      <c r="W588" s="170">
        <f>IF(Escenarios!$E$14&gt;0,MIN(V588*1,0.8*(Z587+R588+S588+T588+Observaciones!$F587-U588-Constantes!$E$35)),0)</f>
        <v>2.5600092789602514E-3</v>
      </c>
      <c r="X588" s="170">
        <f>IF(Escenarios!$E$14&gt;0,Observaciones!$J587,0)</f>
        <v>0</v>
      </c>
      <c r="Y588" s="170">
        <f>IF(Escenarios!$E$14&gt;0,MAX(0,Z587+R588+S588+T588+Observaciones!$F587-U588-W588-X588-Constantes!$E$33),0)</f>
        <v>0</v>
      </c>
      <c r="Z588" s="170">
        <f>Z587+R588+S588+T588+Observaciones!$F587-U588-W588-Y588</f>
        <v>41.250640002319741</v>
      </c>
      <c r="AA588" s="170">
        <f>IF(Escenarios!$E$14&gt;0,(Escenarios!$E$13*L588+Escenarios!$E$14*W588)/(Escenarios!$E$16),L588)</f>
        <v>2.6507718378616422E-3</v>
      </c>
      <c r="AB588" s="170">
        <f>IF(Escenarios!$E$14&gt;0,(Escenarios!$E$14*Y588)/(Escenarios!$E$16),K588)</f>
        <v>0</v>
      </c>
      <c r="AC588" s="170">
        <f>IF(Escenarios!$E$14&gt;0,(Escenarios!$E$13*M588+Escenarios!$E$14*U588)/(Escenarios!$E$16),M588)</f>
        <v>0</v>
      </c>
      <c r="AD588" s="76">
        <f t="shared" si="127"/>
        <v>86.935813959513169</v>
      </c>
      <c r="AE588" s="76">
        <f>MAX(0,(AD588-Constantes!$D$13)*(1-EXP(-Constantes!$D$23)))</f>
        <v>0.37625392009536751</v>
      </c>
      <c r="AF588" s="76">
        <f>AB588+O588*Escenarios!$E$13/Escenarios!$E$16+AE588</f>
        <v>0.37625392009536751</v>
      </c>
      <c r="AG588" s="76">
        <f>IF(Entradas!$E$91&gt;0,IF(AF588-Escenarios!$E$38&lt;=0,0,IF(AF588-Escenarios!$E$38&gt;Escenarios!$E$37,Escenarios!$E$37,AF588-Escenarios!$E$38)),0)</f>
        <v>0</v>
      </c>
      <c r="AH588" s="76">
        <f>AG588*Entradas!$E$99</f>
        <v>0</v>
      </c>
      <c r="AI588" s="76">
        <f>IF(Entradas!$E$91&gt;0,D588*Entradas!$D$23/Escenarios!$E$16,0)</f>
        <v>0</v>
      </c>
      <c r="AJ588" s="76">
        <f>IF(Entradas!$E$91&gt;0,Entradas!$D$24*Entradas!$D$22/Escenarios!$E$16,0)</f>
        <v>0</v>
      </c>
      <c r="AK588" s="76">
        <f t="shared" si="136"/>
        <v>2.6507718378616422E-3</v>
      </c>
      <c r="AL588" s="76">
        <f t="shared" si="137"/>
        <v>0</v>
      </c>
      <c r="AM588" s="76">
        <f t="shared" si="128"/>
        <v>0</v>
      </c>
      <c r="AN588" s="76">
        <f>MAX(0,O588*Escenarios!$E$13/Escenarios!$E$16-AM588)</f>
        <v>0</v>
      </c>
      <c r="AO588" s="76">
        <f>AM588+AN588-O588*Escenarios!$E$13/Escenarios!$E$16</f>
        <v>0</v>
      </c>
      <c r="AP588" s="76">
        <f t="shared" si="126"/>
        <v>0.37625392009536751</v>
      </c>
      <c r="AQ588" s="76">
        <f t="shared" si="129"/>
        <v>0</v>
      </c>
      <c r="AR588" s="76">
        <f t="shared" si="130"/>
        <v>0.37625392009536751</v>
      </c>
      <c r="AS588" s="76">
        <f t="shared" si="131"/>
        <v>0</v>
      </c>
      <c r="AT588" s="76">
        <f t="shared" si="132"/>
        <v>0</v>
      </c>
      <c r="AU588" s="76">
        <f t="shared" si="133"/>
        <v>48.75</v>
      </c>
      <c r="AV588" s="76">
        <f>MAX(0,(AU588-Constantes!$D$13)*(1-EXP(-Constantes!$D$24)))</f>
        <v>0</v>
      </c>
      <c r="AW588" s="170">
        <f>AW587+(Entradas!$E$112*AT588-AX587)/(800*Entradas!$D$25)</f>
        <v>0</v>
      </c>
      <c r="AX588" s="170">
        <f>8000*Entradas!$D$26*AW588/Constantes!$E$45</f>
        <v>0</v>
      </c>
      <c r="AY588" s="170">
        <f>IF(Escenarios!$E$17&gt;0,10*Escenarios!$E$16*AL588,0)</f>
        <v>0</v>
      </c>
      <c r="AZ588" s="170">
        <f>IF(Escenarios!$E$17&gt;0,10*Escenarios!$E$16*AX588,0)</f>
        <v>0</v>
      </c>
      <c r="BA588" s="170">
        <f>IF(Escenarios!$E$17&gt;0,0.001*Observaciones!$F587*Escenarios!$E$17,0)</f>
        <v>0</v>
      </c>
      <c r="BB588" s="170">
        <f>IF(Escenarios!$E$17&gt;0,Observaciones!$K587,0)</f>
        <v>0</v>
      </c>
      <c r="BC588" s="170">
        <f>IF(Escenarios!$E$17&gt;0,MIN(0.0005*ETo!$M587*Escenarios!$E$17*(BG587/Constantes!$E$40)^(2/3),BG587+AY588+AZ588+BA588+BB588),0)</f>
        <v>5.772780499042387</v>
      </c>
      <c r="BD588" s="170">
        <f>IF(Escenarios!$E$17&gt;0,MIN(Constantes!$E$39*(BG587/Constantes!$E$40)^(2/3),BG587+AY588+AZ588+BA588+BB588-BC588),0)</f>
        <v>13.078882550693418</v>
      </c>
      <c r="BE588" s="170">
        <f>IF(Escenarios!$E$17&gt;0,MIN(Entradas!$E$113,BG587+AY588+AZ588+BA588+BB588-BC588-BD588),0)</f>
        <v>1</v>
      </c>
      <c r="BF588" s="170">
        <f>IF(Escenarios!$E$17&gt;0,MAX(0,BG587+AY588+AZ588+BA588+BB588-BC588-BD588-BE588-Constantes!$E$40),0)</f>
        <v>0</v>
      </c>
      <c r="BG588" s="170">
        <f t="shared" si="138"/>
        <v>420.83481018968189</v>
      </c>
      <c r="BH588" s="170">
        <f>(Escenarios!$E$16*AK588+0.1*BC588)/(Escenarios!$E$19)</f>
        <v>4.920519878450989E-3</v>
      </c>
      <c r="BI588" s="170">
        <f>IF(Escenarios!$E$17&gt;0,BF588/10/Escenarios!$E$19,AL588)</f>
        <v>0</v>
      </c>
      <c r="BJ588" s="170">
        <f>(Escenarios!$E$16*AT588+0.1*BD588)/(Escenarios!$E$19)</f>
        <v>5.1900327582116738E-3</v>
      </c>
      <c r="BK588" s="76">
        <f>BK587+(0.1*BD588)/(Escenarios!$E$19)-BL587</f>
        <v>50.145928485134966</v>
      </c>
      <c r="BL588" s="76">
        <f>MAX(0,(BK588-Constantes!$D$13)*(1-EXP(-Constantes!$D$23)))</f>
        <v>1.3754415848296222E-2</v>
      </c>
      <c r="BM588" s="76">
        <f t="shared" si="134"/>
        <v>0.39000833594366374</v>
      </c>
      <c r="BN588" s="76">
        <f t="shared" si="139"/>
        <v>0.39000833594366374</v>
      </c>
      <c r="BO588" s="76">
        <f>0.0526*BI588*Observaciones!$F587^1.218</f>
        <v>0</v>
      </c>
      <c r="BP588" s="76">
        <f>BO588*Constantes!$E$51</f>
        <v>0</v>
      </c>
      <c r="BQ588" s="76">
        <f t="shared" si="135"/>
        <v>0</v>
      </c>
      <c r="BR588" s="40"/>
    </row>
    <row r="589" spans="1:70">
      <c r="A589" s="147"/>
      <c r="B589" s="39"/>
      <c r="C589" s="75">
        <v>583</v>
      </c>
      <c r="D589" s="146">
        <f>ETo!$I588*((1-Constantes!$E$19)*ETo!$K588+ETo!$L588)</f>
        <v>2.6591790238413013</v>
      </c>
      <c r="E589" s="76">
        <f>MIN(D589*Constantes!$E$17,0.8*(N588+Observaciones!$F588-F589-M589-Constantes!$D$14))</f>
        <v>1.3001053673658844</v>
      </c>
      <c r="F589" s="76">
        <f>IF(Observaciones!$F588&gt;0.05*Constantes!$E$18,((Observaciones!$F588-0.05*Constantes!$E$18)^2)/(Observaciones!$F588+0.95*Constantes!$E$18),0)</f>
        <v>0</v>
      </c>
      <c r="G589" s="76">
        <f>IF(Escenarios!$E$11&gt;0,(F589*Escenarios!$E$16*10000)/1000,0)</f>
        <v>0</v>
      </c>
      <c r="H589" s="76">
        <f>IF(Escenarios!$E$11&gt;0,(Observaciones!$F588*Constantes!$E$29)/1000,0)</f>
        <v>26</v>
      </c>
      <c r="I589" s="76">
        <f>IF(Escenarios!$E$11&gt;0,(D589*Constantes!$E$29)/1000,0)</f>
        <v>26.591790238413015</v>
      </c>
      <c r="J589" s="76">
        <f>IF(Escenarios!$E$11&gt;0,MAX(0,G589+H589-I589),0)</f>
        <v>0</v>
      </c>
      <c r="K589" s="76">
        <f>IF(Escenarios!$E$11&gt;0,IF(J589&gt;Constantes!$E$30,1000*((J589-Constantes!$E$30)/(Escenarios!$E$16*10000)),0),F589)</f>
        <v>0</v>
      </c>
      <c r="L589" s="76">
        <f>IF(Escenarios!$E$11&gt;0,I589*1000/Escenarios!$E$16/10000+E589,E589)</f>
        <v>1.3107420834612498</v>
      </c>
      <c r="M589" s="76">
        <f>MAX(0,N588+Observaciones!$F588-K589-Constantes!$D$13)</f>
        <v>0</v>
      </c>
      <c r="N589" s="76">
        <f>N588+Observaciones!$F588-K589-L589-M589-O588</f>
        <v>12.524570533452248</v>
      </c>
      <c r="O589" s="76">
        <f>MAX(0,(N589-Constantes!$D$14)*(1-EXP(-Constantes!$D$22)))</f>
        <v>4.3416551413601463E-2</v>
      </c>
      <c r="P589" s="170">
        <f>P588+(Entradas!$E$83*M589-Q588)/(800*Entradas!$D$25)</f>
        <v>0</v>
      </c>
      <c r="Q589" s="170">
        <f>8000*Entradas!$D$26*P589/Constantes!$E$45</f>
        <v>0</v>
      </c>
      <c r="R589" s="170">
        <f>IF(Escenarios!$E$14&gt;0,K589*Escenarios!$E$13/Escenarios!$E$14,0)</f>
        <v>0</v>
      </c>
      <c r="S589" s="170">
        <f>IF(Escenarios!$E$14&gt;0,Q589*Escenarios!$E$13/Escenarios!$E$14,0)</f>
        <v>0</v>
      </c>
      <c r="T589" s="170">
        <f>IF(Escenarios!$E$14&gt;0,Observaciones!$I588,0)</f>
        <v>0</v>
      </c>
      <c r="U589" s="170">
        <f>IF(Escenarios!$E$14&gt;0,MAX(0,Constantes!$E$36/((Z588+R589+S589+T589+Observaciones!$F588)^2)+Entradas!$E$77),0)</f>
        <v>0</v>
      </c>
      <c r="V589" s="146">
        <f>IF(ETo!D588&gt;0,ETo!I588*((1-Entradas!$E$81)*ETo!K588+ETo!L588),0)</f>
        <v>2.4038748626051198</v>
      </c>
      <c r="W589" s="170">
        <f>IF(Escenarios!$E$14&gt;0,MIN(V589*1,0.8*(Z588+R589+S589+T589+Observaciones!$F588-U589-Constantes!$E$35)),0)</f>
        <v>2.0805120018557943</v>
      </c>
      <c r="X589" s="170">
        <f>IF(Escenarios!$E$14&gt;0,Observaciones!$J588,0)</f>
        <v>0</v>
      </c>
      <c r="Y589" s="170">
        <f>IF(Escenarios!$E$14&gt;0,MAX(0,Z588+R589+S589+T589+Observaciones!$F588-U589-W589-X589-Constantes!$E$33),0)</f>
        <v>0</v>
      </c>
      <c r="Z589" s="170">
        <f>Z588+R589+S589+T589+Observaciones!$F588-U589-W589-Y589</f>
        <v>41.770128000463949</v>
      </c>
      <c r="AA589" s="170">
        <f>IF(Escenarios!$E$14&gt;0,(Escenarios!$E$13*L589+Escenarios!$E$14*W589)/(Escenarios!$E$16),L589)</f>
        <v>1.4031144736685952</v>
      </c>
      <c r="AB589" s="170">
        <f>IF(Escenarios!$E$14&gt;0,(Escenarios!$E$14*Y589)/(Escenarios!$E$16),K589)</f>
        <v>0</v>
      </c>
      <c r="AC589" s="170">
        <f>IF(Escenarios!$E$14&gt;0,(Escenarios!$E$13*M589+Escenarios!$E$14*U589)/(Escenarios!$E$16),M589)</f>
        <v>0</v>
      </c>
      <c r="AD589" s="76">
        <f t="shared" si="127"/>
        <v>86.559560039417804</v>
      </c>
      <c r="AE589" s="76">
        <f>MAX(0,(AD589-Constantes!$D$13)*(1-EXP(-Constantes!$D$23)))</f>
        <v>0.3725466006039661</v>
      </c>
      <c r="AF589" s="76">
        <f>AB589+O589*Escenarios!$E$13/Escenarios!$E$16+AE589</f>
        <v>0.41075316584793542</v>
      </c>
      <c r="AG589" s="76">
        <f>IF(Entradas!$E$91&gt;0,IF(AF589-Escenarios!$E$38&lt;=0,0,IF(AF589-Escenarios!$E$38&gt;Escenarios!$E$37,Escenarios!$E$37,AF589-Escenarios!$E$38)),0)</f>
        <v>0</v>
      </c>
      <c r="AH589" s="76">
        <f>AG589*Entradas!$E$99</f>
        <v>0</v>
      </c>
      <c r="AI589" s="76">
        <f>IF(Entradas!$E$91&gt;0,D589*Entradas!$D$23/Escenarios!$E$16,0)</f>
        <v>0</v>
      </c>
      <c r="AJ589" s="76">
        <f>IF(Entradas!$E$91&gt;0,Entradas!$D$24*Entradas!$D$22/Escenarios!$E$16,0)</f>
        <v>0</v>
      </c>
      <c r="AK589" s="76">
        <f t="shared" si="136"/>
        <v>1.4031144736685952</v>
      </c>
      <c r="AL589" s="76">
        <f t="shared" si="137"/>
        <v>0</v>
      </c>
      <c r="AM589" s="76">
        <f t="shared" si="128"/>
        <v>0</v>
      </c>
      <c r="AN589" s="76">
        <f>MAX(0,O589*Escenarios!$E$13/Escenarios!$E$16-AM589)</f>
        <v>3.8206565243969287E-2</v>
      </c>
      <c r="AO589" s="76">
        <f>AM589+AN589-O589*Escenarios!$E$13/Escenarios!$E$16</f>
        <v>0</v>
      </c>
      <c r="AP589" s="76">
        <f t="shared" si="126"/>
        <v>0.3725466006039661</v>
      </c>
      <c r="AQ589" s="76">
        <f t="shared" si="129"/>
        <v>0</v>
      </c>
      <c r="AR589" s="76">
        <f t="shared" si="130"/>
        <v>0.41075316584793542</v>
      </c>
      <c r="AS589" s="76">
        <f t="shared" si="131"/>
        <v>0</v>
      </c>
      <c r="AT589" s="76">
        <f t="shared" si="132"/>
        <v>0</v>
      </c>
      <c r="AU589" s="76">
        <f t="shared" si="133"/>
        <v>48.75</v>
      </c>
      <c r="AV589" s="76">
        <f>MAX(0,(AU589-Constantes!$D$13)*(1-EXP(-Constantes!$D$24)))</f>
        <v>0</v>
      </c>
      <c r="AW589" s="170">
        <f>AW588+(Entradas!$E$112*AT589-AX588)/(800*Entradas!$D$25)</f>
        <v>0</v>
      </c>
      <c r="AX589" s="170">
        <f>8000*Entradas!$D$26*AW589/Constantes!$E$45</f>
        <v>0</v>
      </c>
      <c r="AY589" s="170">
        <f>IF(Escenarios!$E$17&gt;0,10*Escenarios!$E$16*AL589,0)</f>
        <v>0</v>
      </c>
      <c r="AZ589" s="170">
        <f>IF(Escenarios!$E$17&gt;0,10*Escenarios!$E$16*AX589,0)</f>
        <v>0</v>
      </c>
      <c r="BA589" s="170">
        <f>IF(Escenarios!$E$17&gt;0,0.001*Observaciones!$F588*Escenarios!$E$17,0)</f>
        <v>52.000000000000007</v>
      </c>
      <c r="BB589" s="170">
        <f>IF(Escenarios!$E$17&gt;0,Observaciones!$K588,0)</f>
        <v>0</v>
      </c>
      <c r="BC589" s="170">
        <f>IF(Escenarios!$E$17&gt;0,MIN(0.0005*ETo!$M588*Escenarios!$E$17*(BG588/Constantes!$E$40)^(2/3),BG588+AY589+AZ589+BA589+BB589),0)</f>
        <v>4.8527229880191731</v>
      </c>
      <c r="BD589" s="170">
        <f>IF(Escenarios!$E$17&gt;0,MIN(Constantes!$E$39*(BG588/Constantes!$E$40)^(2/3),BG588+AY589+AZ589+BA589+BB589-BC589),0)</f>
        <v>12.683095535917504</v>
      </c>
      <c r="BE589" s="170">
        <f>IF(Escenarios!$E$17&gt;0,MIN(Entradas!$E$113,BG588+AY589+AZ589+BA589+BB589-BC589-BD589),0)</f>
        <v>1</v>
      </c>
      <c r="BF589" s="170">
        <f>IF(Escenarios!$E$17&gt;0,MAX(0,BG588+AY589+AZ589+BA589+BB589-BC589-BD589-BE589-Constantes!$E$40),0)</f>
        <v>0</v>
      </c>
      <c r="BG589" s="170">
        <f t="shared" si="138"/>
        <v>454.29899166574518</v>
      </c>
      <c r="BH589" s="170">
        <f>(Escenarios!$E$16*AK589+0.1*BC589)/(Escenarios!$E$19)</f>
        <v>1.3939043282378996</v>
      </c>
      <c r="BI589" s="170">
        <f>IF(Escenarios!$E$17&gt;0,BF589/10/Escenarios!$E$19,AL589)</f>
        <v>0</v>
      </c>
      <c r="BJ589" s="170">
        <f>(Escenarios!$E$16*AT589+0.1*BD589)/(Escenarios!$E$19)</f>
        <v>5.0329744190148835E-3</v>
      </c>
      <c r="BK589" s="76">
        <f>BK588+(0.1*BD589)/(Escenarios!$E$19)-BL588</f>
        <v>50.137207043705686</v>
      </c>
      <c r="BL589" s="76">
        <f>MAX(0,(BK589-Constantes!$D$13)*(1-EXP(-Constantes!$D$23)))</f>
        <v>1.3668481408608017E-2</v>
      </c>
      <c r="BM589" s="76">
        <f t="shared" si="134"/>
        <v>0.3862150820125741</v>
      </c>
      <c r="BN589" s="76">
        <f t="shared" si="139"/>
        <v>0.42442164725654341</v>
      </c>
      <c r="BO589" s="76">
        <f>0.0526*BI589*Observaciones!$F588^1.218</f>
        <v>0</v>
      </c>
      <c r="BP589" s="76">
        <f>BO589*Constantes!$E$51</f>
        <v>0</v>
      </c>
      <c r="BQ589" s="76">
        <f t="shared" si="135"/>
        <v>0</v>
      </c>
      <c r="BR589" s="40"/>
    </row>
    <row r="590" spans="1:70">
      <c r="A590" s="147"/>
      <c r="B590" s="39"/>
      <c r="C590" s="75">
        <v>584</v>
      </c>
      <c r="D590" s="146">
        <f>ETo!$I589*((1-Constantes!$E$19)*ETo!$K589+ETo!$L589)</f>
        <v>3.0059074760645128</v>
      </c>
      <c r="E590" s="76">
        <f>MIN(D590*Constantes!$E$17,0.8*(N589+Observaciones!$F589-F590-M590-Constantes!$D$14))</f>
        <v>1.0196564267617987</v>
      </c>
      <c r="F590" s="76">
        <f>IF(Observaciones!$F589&gt;0.05*Constantes!$E$18,((Observaciones!$F589-0.05*Constantes!$E$18)^2)/(Observaciones!$F589+0.95*Constantes!$E$18),0)</f>
        <v>0</v>
      </c>
      <c r="G590" s="76">
        <f>IF(Escenarios!$E$11&gt;0,(F590*Escenarios!$E$16*10000)/1000,0)</f>
        <v>0</v>
      </c>
      <c r="H590" s="76">
        <f>IF(Escenarios!$E$11&gt;0,(Observaciones!$F589*Constantes!$E$29)/1000,0)</f>
        <v>0</v>
      </c>
      <c r="I590" s="76">
        <f>IF(Escenarios!$E$11&gt;0,(D590*Constantes!$E$29)/1000,0)</f>
        <v>30.059074760645128</v>
      </c>
      <c r="J590" s="76">
        <f>IF(Escenarios!$E$11&gt;0,MAX(0,G590+H590-I590),0)</f>
        <v>0</v>
      </c>
      <c r="K590" s="76">
        <f>IF(Escenarios!$E$11&gt;0,IF(J590&gt;Constantes!$E$30,1000*((J590-Constantes!$E$30)/(Escenarios!$E$16*10000)),0),F590)</f>
        <v>0</v>
      </c>
      <c r="L590" s="76">
        <f>IF(Escenarios!$E$11&gt;0,I590*1000/Escenarios!$E$16/10000+E590,E590)</f>
        <v>1.0316800566660567</v>
      </c>
      <c r="M590" s="76">
        <f>MAX(0,N589+Observaciones!$F589-K590-Constantes!$D$13)</f>
        <v>0</v>
      </c>
      <c r="N590" s="76">
        <f>N589+Observaciones!$F589-K590-L590-M590-O589</f>
        <v>11.44947392537259</v>
      </c>
      <c r="O590" s="76">
        <f>MAX(0,(N590-Constantes!$D$14)*(1-EXP(-Constantes!$D$22)))</f>
        <v>6.7948141819618134E-3</v>
      </c>
      <c r="P590" s="170">
        <f>P589+(Entradas!$E$83*M590-Q589)/(800*Entradas!$D$25)</f>
        <v>0</v>
      </c>
      <c r="Q590" s="170">
        <f>8000*Entradas!$D$26*P590/Constantes!$E$45</f>
        <v>0</v>
      </c>
      <c r="R590" s="170">
        <f>IF(Escenarios!$E$14&gt;0,K590*Escenarios!$E$13/Escenarios!$E$14,0)</f>
        <v>0</v>
      </c>
      <c r="S590" s="170">
        <f>IF(Escenarios!$E$14&gt;0,Q590*Escenarios!$E$13/Escenarios!$E$14,0)</f>
        <v>0</v>
      </c>
      <c r="T590" s="170">
        <f>IF(Escenarios!$E$14&gt;0,Observaciones!$I589,0)</f>
        <v>0</v>
      </c>
      <c r="U590" s="170">
        <f>IF(Escenarios!$E$14&gt;0,MAX(0,Constantes!$E$36/((Z589+R590+S590+T590+Observaciones!$F589)^2)+Entradas!$E$77),0)</f>
        <v>0</v>
      </c>
      <c r="V590" s="146">
        <f>IF(ETo!D589&gt;0,ETo!I589*((1-Entradas!$E$81)*ETo!K589+ETo!L589),0)</f>
        <v>2.7193740124404928</v>
      </c>
      <c r="W590" s="170">
        <f>IF(Escenarios!$E$14&gt;0,MIN(V590*1,0.8*(Z589+R590+S590+T590+Observaciones!$F589-U590-Constantes!$E$35)),0)</f>
        <v>0.41610240037115886</v>
      </c>
      <c r="X590" s="170">
        <f>IF(Escenarios!$E$14&gt;0,Observaciones!$J589,0)</f>
        <v>0</v>
      </c>
      <c r="Y590" s="170">
        <f>IF(Escenarios!$E$14&gt;0,MAX(0,Z589+R590+S590+T590+Observaciones!$F589-U590-W590-X590-Constantes!$E$33),0)</f>
        <v>0</v>
      </c>
      <c r="Z590" s="170">
        <f>Z589+R590+S590+T590+Observaciones!$F589-U590-W590-Y590</f>
        <v>41.35402560009279</v>
      </c>
      <c r="AA590" s="170">
        <f>IF(Escenarios!$E$14&gt;0,(Escenarios!$E$13*L590+Escenarios!$E$14*W590)/(Escenarios!$E$16),L590)</f>
        <v>0.95781073791066884</v>
      </c>
      <c r="AB590" s="170">
        <f>IF(Escenarios!$E$14&gt;0,(Escenarios!$E$14*Y590)/(Escenarios!$E$16),K590)</f>
        <v>0</v>
      </c>
      <c r="AC590" s="170">
        <f>IF(Escenarios!$E$14&gt;0,(Escenarios!$E$13*M590+Escenarios!$E$14*U590)/(Escenarios!$E$16),M590)</f>
        <v>0</v>
      </c>
      <c r="AD590" s="76">
        <f t="shared" si="127"/>
        <v>86.187013438813835</v>
      </c>
      <c r="AE590" s="76">
        <f>MAX(0,(AD590-Constantes!$D$13)*(1-EXP(-Constantes!$D$23)))</f>
        <v>0.36887581021452814</v>
      </c>
      <c r="AF590" s="76">
        <f>AB590+O590*Escenarios!$E$13/Escenarios!$E$16+AE590</f>
        <v>0.37485524669465453</v>
      </c>
      <c r="AG590" s="76">
        <f>IF(Entradas!$E$91&gt;0,IF(AF590-Escenarios!$E$38&lt;=0,0,IF(AF590-Escenarios!$E$38&gt;Escenarios!$E$37,Escenarios!$E$37,AF590-Escenarios!$E$38)),0)</f>
        <v>0</v>
      </c>
      <c r="AH590" s="76">
        <f>AG590*Entradas!$E$99</f>
        <v>0</v>
      </c>
      <c r="AI590" s="76">
        <f>IF(Entradas!$E$91&gt;0,D590*Entradas!$D$23/Escenarios!$E$16,0)</f>
        <v>0</v>
      </c>
      <c r="AJ590" s="76">
        <f>IF(Entradas!$E$91&gt;0,Entradas!$D$24*Entradas!$D$22/Escenarios!$E$16,0)</f>
        <v>0</v>
      </c>
      <c r="AK590" s="76">
        <f t="shared" si="136"/>
        <v>0.95781073791066884</v>
      </c>
      <c r="AL590" s="76">
        <f t="shared" si="137"/>
        <v>0</v>
      </c>
      <c r="AM590" s="76">
        <f t="shared" si="128"/>
        <v>0</v>
      </c>
      <c r="AN590" s="76">
        <f>MAX(0,O590*Escenarios!$E$13/Escenarios!$E$16-AM590)</f>
        <v>5.9794364801263964E-3</v>
      </c>
      <c r="AO590" s="76">
        <f>AM590+AN590-O590*Escenarios!$E$13/Escenarios!$E$16</f>
        <v>0</v>
      </c>
      <c r="AP590" s="76">
        <f t="shared" si="126"/>
        <v>0.36887581021452814</v>
      </c>
      <c r="AQ590" s="76">
        <f t="shared" si="129"/>
        <v>0</v>
      </c>
      <c r="AR590" s="76">
        <f t="shared" si="130"/>
        <v>0.37485524669465453</v>
      </c>
      <c r="AS590" s="76">
        <f t="shared" si="131"/>
        <v>0</v>
      </c>
      <c r="AT590" s="76">
        <f t="shared" si="132"/>
        <v>0</v>
      </c>
      <c r="AU590" s="76">
        <f t="shared" si="133"/>
        <v>48.75</v>
      </c>
      <c r="AV590" s="76">
        <f>MAX(0,(AU590-Constantes!$D$13)*(1-EXP(-Constantes!$D$24)))</f>
        <v>0</v>
      </c>
      <c r="AW590" s="170">
        <f>AW589+(Entradas!$E$112*AT590-AX589)/(800*Entradas!$D$25)</f>
        <v>0</v>
      </c>
      <c r="AX590" s="170">
        <f>8000*Entradas!$D$26*AW590/Constantes!$E$45</f>
        <v>0</v>
      </c>
      <c r="AY590" s="170">
        <f>IF(Escenarios!$E$17&gt;0,10*Escenarios!$E$16*AL590,0)</f>
        <v>0</v>
      </c>
      <c r="AZ590" s="170">
        <f>IF(Escenarios!$E$17&gt;0,10*Escenarios!$E$16*AX590,0)</f>
        <v>0</v>
      </c>
      <c r="BA590" s="170">
        <f>IF(Escenarios!$E$17&gt;0,0.001*Observaciones!$F589*Escenarios!$E$17,0)</f>
        <v>0</v>
      </c>
      <c r="BB590" s="170">
        <f>IF(Escenarios!$E$17&gt;0,Observaciones!$K589,0)</f>
        <v>0</v>
      </c>
      <c r="BC590" s="170">
        <f>IF(Escenarios!$E$17&gt;0,MIN(0.0005*ETo!$M589*Escenarios!$E$17*(BG589/Constantes!$E$40)^(2/3),BG589+AY590+AZ590+BA590+BB590),0)</f>
        <v>5.7671329691168101</v>
      </c>
      <c r="BD590" s="170">
        <f>IF(Escenarios!$E$17&gt;0,MIN(Constantes!$E$39*(BG589/Constantes!$E$40)^(2/3),BG589+AY590+AZ590+BA590+BB590-BC590),0)</f>
        <v>13.346846782958705</v>
      </c>
      <c r="BE590" s="170">
        <f>IF(Escenarios!$E$17&gt;0,MIN(Entradas!$E$113,BG589+AY590+AZ590+BA590+BB590-BC590-BD590),0)</f>
        <v>1</v>
      </c>
      <c r="BF590" s="170">
        <f>IF(Escenarios!$E$17&gt;0,MAX(0,BG589+AY590+AZ590+BA590+BB590-BC590-BD590-BE590-Constantes!$E$40),0)</f>
        <v>0</v>
      </c>
      <c r="BG590" s="170">
        <f t="shared" si="138"/>
        <v>434.18501191366965</v>
      </c>
      <c r="BH590" s="170">
        <f>(Escenarios!$E$16*AK590+0.1*BC590)/(Escenarios!$E$19)</f>
        <v>0.95249761021658297</v>
      </c>
      <c r="BI590" s="170">
        <f>IF(Escenarios!$E$17&gt;0,BF590/10/Escenarios!$E$19,AL590)</f>
        <v>0</v>
      </c>
      <c r="BJ590" s="170">
        <f>(Escenarios!$E$16*AT590+0.1*BD590)/(Escenarios!$E$19)</f>
        <v>5.2963677710153598E-3</v>
      </c>
      <c r="BK590" s="76">
        <f>BK589+(0.1*BD590)/(Escenarios!$E$19)-BL589</f>
        <v>50.128834930068095</v>
      </c>
      <c r="BL590" s="76">
        <f>MAX(0,(BK590-Constantes!$D$13)*(1-EXP(-Constantes!$D$23)))</f>
        <v>1.358598897885472E-2</v>
      </c>
      <c r="BM590" s="76">
        <f t="shared" si="134"/>
        <v>0.38246179919338286</v>
      </c>
      <c r="BN590" s="76">
        <f t="shared" si="139"/>
        <v>0.38844123567350924</v>
      </c>
      <c r="BO590" s="76">
        <f>0.0526*BI590*Observaciones!$F589^1.218</f>
        <v>0</v>
      </c>
      <c r="BP590" s="76">
        <f>BO590*Constantes!$E$51</f>
        <v>0</v>
      </c>
      <c r="BQ590" s="76">
        <f t="shared" si="135"/>
        <v>0</v>
      </c>
      <c r="BR590" s="40"/>
    </row>
    <row r="591" spans="1:70">
      <c r="A591" s="147"/>
      <c r="B591" s="39"/>
      <c r="C591" s="75">
        <v>585</v>
      </c>
      <c r="D591" s="146">
        <f>ETo!$I590*((1-Constantes!$E$19)*ETo!$K590+ETo!$L590)</f>
        <v>2.9411837730658776</v>
      </c>
      <c r="E591" s="76">
        <f>MIN(D591*Constantes!$E$17,0.8*(N590+Observaciones!$F590-F591-M591-Constantes!$D$14))</f>
        <v>0.63957914029807206</v>
      </c>
      <c r="F591" s="76">
        <f>IF(Observaciones!$F590&gt;0.05*Constantes!$E$18,((Observaciones!$F590-0.05*Constantes!$E$18)^2)/(Observaciones!$F590+0.95*Constantes!$E$18),0)</f>
        <v>0</v>
      </c>
      <c r="G591" s="76">
        <f>IF(Escenarios!$E$11&gt;0,(F591*Escenarios!$E$16*10000)/1000,0)</f>
        <v>0</v>
      </c>
      <c r="H591" s="76">
        <f>IF(Escenarios!$E$11&gt;0,(Observaciones!$F590*Constantes!$E$29)/1000,0)</f>
        <v>6</v>
      </c>
      <c r="I591" s="76">
        <f>IF(Escenarios!$E$11&gt;0,(D591*Constantes!$E$29)/1000,0)</f>
        <v>29.411837730658775</v>
      </c>
      <c r="J591" s="76">
        <f>IF(Escenarios!$E$11&gt;0,MAX(0,G591+H591-I591),0)</f>
        <v>0</v>
      </c>
      <c r="K591" s="76">
        <f>IF(Escenarios!$E$11&gt;0,IF(J591&gt;Constantes!$E$30,1000*((J591-Constantes!$E$30)/(Escenarios!$E$16*10000)),0),F591)</f>
        <v>0</v>
      </c>
      <c r="L591" s="76">
        <f>IF(Escenarios!$E$11&gt;0,I591*1000/Escenarios!$E$16/10000+E591,E591)</f>
        <v>0.65134387539033556</v>
      </c>
      <c r="M591" s="76">
        <f>MAX(0,N590+Observaciones!$F590-K591-Constantes!$D$13)</f>
        <v>0</v>
      </c>
      <c r="N591" s="76">
        <f>N590+Observaciones!$F590-K591-L591-M591-O590</f>
        <v>11.391335235800293</v>
      </c>
      <c r="O591" s="76">
        <f>MAX(0,(N591-Constantes!$D$14)*(1-EXP(-Constantes!$D$22)))</f>
        <v>4.8143969836305619E-3</v>
      </c>
      <c r="P591" s="170">
        <f>P590+(Entradas!$E$83*M591-Q590)/(800*Entradas!$D$25)</f>
        <v>0</v>
      </c>
      <c r="Q591" s="170">
        <f>8000*Entradas!$D$26*P591/Constantes!$E$45</f>
        <v>0</v>
      </c>
      <c r="R591" s="170">
        <f>IF(Escenarios!$E$14&gt;0,K591*Escenarios!$E$13/Escenarios!$E$14,0)</f>
        <v>0</v>
      </c>
      <c r="S591" s="170">
        <f>IF(Escenarios!$E$14&gt;0,Q591*Escenarios!$E$13/Escenarios!$E$14,0)</f>
        <v>0</v>
      </c>
      <c r="T591" s="170">
        <f>IF(Escenarios!$E$14&gt;0,Observaciones!$I590,0)</f>
        <v>0</v>
      </c>
      <c r="U591" s="170">
        <f>IF(Escenarios!$E$14&gt;0,MAX(0,Constantes!$E$36/((Z590+R591+S591+T591+Observaciones!$F590)^2)+Entradas!$E$77),0)</f>
        <v>0</v>
      </c>
      <c r="V591" s="146">
        <f>IF(ETo!D590&gt;0,ETo!I590*((1-Entradas!$E$81)*ETo!K590+ETo!L590),0)</f>
        <v>2.6606494379353638</v>
      </c>
      <c r="W591" s="170">
        <f>IF(Escenarios!$E$14&gt;0,MIN(V591*1,0.8*(Z590+R591+S591+T591+Observaciones!$F590-U591-Constantes!$E$35)),0)</f>
        <v>0.56322048007423298</v>
      </c>
      <c r="X591" s="170">
        <f>IF(Escenarios!$E$14&gt;0,Observaciones!$J590,0)</f>
        <v>0</v>
      </c>
      <c r="Y591" s="170">
        <f>IF(Escenarios!$E$14&gt;0,MAX(0,Z590+R591+S591+T591+Observaciones!$F590-U591-W591-X591-Constantes!$E$33),0)</f>
        <v>0</v>
      </c>
      <c r="Z591" s="170">
        <f>Z590+R591+S591+T591+Observaciones!$F590-U591-W591-Y591</f>
        <v>41.390805120018555</v>
      </c>
      <c r="AA591" s="170">
        <f>IF(Escenarios!$E$14&gt;0,(Escenarios!$E$13*L591+Escenarios!$E$14*W591)/(Escenarios!$E$16),L591)</f>
        <v>0.64076906795240329</v>
      </c>
      <c r="AB591" s="170">
        <f>IF(Escenarios!$E$14&gt;0,(Escenarios!$E$14*Y591)/(Escenarios!$E$16),K591)</f>
        <v>0</v>
      </c>
      <c r="AC591" s="170">
        <f>IF(Escenarios!$E$14&gt;0,(Escenarios!$E$13*M591+Escenarios!$E$14*U591)/(Escenarios!$E$16),M591)</f>
        <v>0</v>
      </c>
      <c r="AD591" s="76">
        <f t="shared" si="127"/>
        <v>85.818137628599303</v>
      </c>
      <c r="AE591" s="76">
        <f>MAX(0,(AD591-Constantes!$D$13)*(1-EXP(-Constantes!$D$23)))</f>
        <v>0.3652411889971115</v>
      </c>
      <c r="AF591" s="76">
        <f>AB591+O591*Escenarios!$E$13/Escenarios!$E$16+AE591</f>
        <v>0.36947785834270641</v>
      </c>
      <c r="AG591" s="76">
        <f>IF(Entradas!$E$91&gt;0,IF(AF591-Escenarios!$E$38&lt;=0,0,IF(AF591-Escenarios!$E$38&gt;Escenarios!$E$37,Escenarios!$E$37,AF591-Escenarios!$E$38)),0)</f>
        <v>0</v>
      </c>
      <c r="AH591" s="76">
        <f>AG591*Entradas!$E$99</f>
        <v>0</v>
      </c>
      <c r="AI591" s="76">
        <f>IF(Entradas!$E$91&gt;0,D591*Entradas!$D$23/Escenarios!$E$16,0)</f>
        <v>0</v>
      </c>
      <c r="AJ591" s="76">
        <f>IF(Entradas!$E$91&gt;0,Entradas!$D$24*Entradas!$D$22/Escenarios!$E$16,0)</f>
        <v>0</v>
      </c>
      <c r="AK591" s="76">
        <f t="shared" si="136"/>
        <v>0.64076906795240329</v>
      </c>
      <c r="AL591" s="76">
        <f t="shared" si="137"/>
        <v>0</v>
      </c>
      <c r="AM591" s="76">
        <f t="shared" si="128"/>
        <v>0</v>
      </c>
      <c r="AN591" s="76">
        <f>MAX(0,O591*Escenarios!$E$13/Escenarios!$E$16-AM591)</f>
        <v>4.236669345594894E-3</v>
      </c>
      <c r="AO591" s="76">
        <f>AM591+AN591-O591*Escenarios!$E$13/Escenarios!$E$16</f>
        <v>0</v>
      </c>
      <c r="AP591" s="76">
        <f t="shared" si="126"/>
        <v>0.3652411889971115</v>
      </c>
      <c r="AQ591" s="76">
        <f t="shared" si="129"/>
        <v>0</v>
      </c>
      <c r="AR591" s="76">
        <f t="shared" si="130"/>
        <v>0.36947785834270641</v>
      </c>
      <c r="AS591" s="76">
        <f t="shared" si="131"/>
        <v>0</v>
      </c>
      <c r="AT591" s="76">
        <f t="shared" si="132"/>
        <v>0</v>
      </c>
      <c r="AU591" s="76">
        <f t="shared" si="133"/>
        <v>48.75</v>
      </c>
      <c r="AV591" s="76">
        <f>MAX(0,(AU591-Constantes!$D$13)*(1-EXP(-Constantes!$D$24)))</f>
        <v>0</v>
      </c>
      <c r="AW591" s="170">
        <f>AW590+(Entradas!$E$112*AT591-AX590)/(800*Entradas!$D$25)</f>
        <v>0</v>
      </c>
      <c r="AX591" s="170">
        <f>8000*Entradas!$D$26*AW591/Constantes!$E$45</f>
        <v>0</v>
      </c>
      <c r="AY591" s="170">
        <f>IF(Escenarios!$E$17&gt;0,10*Escenarios!$E$16*AL591,0)</f>
        <v>0</v>
      </c>
      <c r="AZ591" s="170">
        <f>IF(Escenarios!$E$17&gt;0,10*Escenarios!$E$16*AX591,0)</f>
        <v>0</v>
      </c>
      <c r="BA591" s="170">
        <f>IF(Escenarios!$E$17&gt;0,0.001*Observaciones!$F590*Escenarios!$E$17,0)</f>
        <v>11.999999999999998</v>
      </c>
      <c r="BB591" s="170">
        <f>IF(Escenarios!$E$17&gt;0,Observaciones!$K590,0)</f>
        <v>0</v>
      </c>
      <c r="BC591" s="170">
        <f>IF(Escenarios!$E$17&gt;0,MIN(0.0005*ETo!$M590*Escenarios!$E$17*(BG590/Constantes!$E$40)^(2/3),BG590+AY591+AZ591+BA591+BB591),0)</f>
        <v>5.4755743327138049</v>
      </c>
      <c r="BD591" s="170">
        <f>IF(Escenarios!$E$17&gt;0,MIN(Constantes!$E$39*(BG590/Constantes!$E$40)^(2/3),BG590+AY591+AZ591+BA591+BB591-BC591),0)</f>
        <v>12.949928722697393</v>
      </c>
      <c r="BE591" s="170">
        <f>IF(Escenarios!$E$17&gt;0,MIN(Entradas!$E$113,BG590+AY591+AZ591+BA591+BB591-BC591-BD591),0)</f>
        <v>1</v>
      </c>
      <c r="BF591" s="170">
        <f>IF(Escenarios!$E$17&gt;0,MAX(0,BG590+AY591+AZ591+BA591+BB591-BC591-BD591-BE591-Constantes!$E$40),0)</f>
        <v>0</v>
      </c>
      <c r="BG591" s="170">
        <f t="shared" si="138"/>
        <v>426.75950885825847</v>
      </c>
      <c r="BH591" s="170">
        <f>(Escenarios!$E$16*AK591+0.1*BC591)/(Escenarios!$E$19)</f>
        <v>0.63785644611655634</v>
      </c>
      <c r="BI591" s="170">
        <f>IF(Escenarios!$E$17&gt;0,BF591/10/Escenarios!$E$19,AL591)</f>
        <v>0</v>
      </c>
      <c r="BJ591" s="170">
        <f>(Escenarios!$E$16*AT591+0.1*BD591)/(Escenarios!$E$19)</f>
        <v>5.1388606042449981E-3</v>
      </c>
      <c r="BK591" s="76">
        <f>BK590+(0.1*BD591)/(Escenarios!$E$19)-BL590</f>
        <v>50.120387801693489</v>
      </c>
      <c r="BL591" s="76">
        <f>MAX(0,(BK591-Constantes!$D$13)*(1-EXP(-Constantes!$D$23)))</f>
        <v>1.3502757411030504E-2</v>
      </c>
      <c r="BM591" s="76">
        <f t="shared" si="134"/>
        <v>0.37874394640814202</v>
      </c>
      <c r="BN591" s="76">
        <f t="shared" si="139"/>
        <v>0.38298061575373693</v>
      </c>
      <c r="BO591" s="76">
        <f>0.0526*BI591*Observaciones!$F590^1.218</f>
        <v>0</v>
      </c>
      <c r="BP591" s="76">
        <f>BO591*Constantes!$E$51</f>
        <v>0</v>
      </c>
      <c r="BQ591" s="76">
        <f t="shared" si="135"/>
        <v>0</v>
      </c>
      <c r="BR591" s="40"/>
    </row>
    <row r="592" spans="1:70">
      <c r="A592" s="147"/>
      <c r="B592" s="39"/>
      <c r="C592" s="75">
        <v>586</v>
      </c>
      <c r="D592" s="146">
        <f>ETo!$I591*((1-Constantes!$E$19)*ETo!$K591+ETo!$L591)</f>
        <v>3.0980740413248364</v>
      </c>
      <c r="E592" s="76">
        <f>MIN(D592*Constantes!$E$17,0.8*(N591+Observaciones!$F591-F592-M592-Constantes!$D$14))</f>
        <v>0.11306818864023427</v>
      </c>
      <c r="F592" s="76">
        <f>IF(Observaciones!$F591&gt;0.05*Constantes!$E$18,((Observaciones!$F591-0.05*Constantes!$E$18)^2)/(Observaciones!$F591+0.95*Constantes!$E$18),0)</f>
        <v>0</v>
      </c>
      <c r="G592" s="76">
        <f>IF(Escenarios!$E$11&gt;0,(F592*Escenarios!$E$16*10000)/1000,0)</f>
        <v>0</v>
      </c>
      <c r="H592" s="76">
        <f>IF(Escenarios!$E$11&gt;0,(Observaciones!$F591*Constantes!$E$29)/1000,0)</f>
        <v>0</v>
      </c>
      <c r="I592" s="76">
        <f>IF(Escenarios!$E$11&gt;0,(D592*Constantes!$E$29)/1000,0)</f>
        <v>30.980740413248363</v>
      </c>
      <c r="J592" s="76">
        <f>IF(Escenarios!$E$11&gt;0,MAX(0,G592+H592-I592),0)</f>
        <v>0</v>
      </c>
      <c r="K592" s="76">
        <f>IF(Escenarios!$E$11&gt;0,IF(J592&gt;Constantes!$E$30,1000*((J592-Constantes!$E$30)/(Escenarios!$E$16*10000)),0),F592)</f>
        <v>0</v>
      </c>
      <c r="L592" s="76">
        <f>IF(Escenarios!$E$11&gt;0,I592*1000/Escenarios!$E$16/10000+E592,E592)</f>
        <v>0.12546048480553362</v>
      </c>
      <c r="M592" s="76">
        <f>MAX(0,N591+Observaciones!$F591-K592-Constantes!$D$13)</f>
        <v>0</v>
      </c>
      <c r="N592" s="76">
        <f>N591+Observaciones!$F591-K592-L592-M592-O591</f>
        <v>11.261060354011128</v>
      </c>
      <c r="O592" s="76">
        <f>MAX(0,(N592-Constantes!$D$14)*(1-EXP(-Constantes!$D$22)))</f>
        <v>3.767562610098452E-4</v>
      </c>
      <c r="P592" s="170">
        <f>P591+(Entradas!$E$83*M592-Q591)/(800*Entradas!$D$25)</f>
        <v>0</v>
      </c>
      <c r="Q592" s="170">
        <f>8000*Entradas!$D$26*P592/Constantes!$E$45</f>
        <v>0</v>
      </c>
      <c r="R592" s="170">
        <f>IF(Escenarios!$E$14&gt;0,K592*Escenarios!$E$13/Escenarios!$E$14,0)</f>
        <v>0</v>
      </c>
      <c r="S592" s="170">
        <f>IF(Escenarios!$E$14&gt;0,Q592*Escenarios!$E$13/Escenarios!$E$14,0)</f>
        <v>0</v>
      </c>
      <c r="T592" s="170">
        <f>IF(Escenarios!$E$14&gt;0,Observaciones!$I591,0)</f>
        <v>0</v>
      </c>
      <c r="U592" s="170">
        <f>IF(Escenarios!$E$14&gt;0,MAX(0,Constantes!$E$36/((Z591+R592+S592+T592+Observaciones!$F591)^2)+Entradas!$E$77),0)</f>
        <v>0</v>
      </c>
      <c r="V592" s="146">
        <f>IF(ETo!D591&gt;0,ETo!I591*((1-Entradas!$E$81)*ETo!K591+ETo!L591),0)</f>
        <v>2.8044861973241226</v>
      </c>
      <c r="W592" s="170">
        <f>IF(Escenarios!$E$14&gt;0,MIN(V592*1,0.8*(Z591+R592+S592+T592+Observaciones!$F591-U592-Constantes!$E$35)),0)</f>
        <v>0.11264409601484432</v>
      </c>
      <c r="X592" s="170">
        <f>IF(Escenarios!$E$14&gt;0,Observaciones!$J591,0)</f>
        <v>0</v>
      </c>
      <c r="Y592" s="170">
        <f>IF(Escenarios!$E$14&gt;0,MAX(0,Z591+R592+S592+T592+Observaciones!$F591-U592-W592-X592-Constantes!$E$33),0)</f>
        <v>0</v>
      </c>
      <c r="Z592" s="170">
        <f>Z591+R592+S592+T592+Observaciones!$F591-U592-W592-Y592</f>
        <v>41.278161024003708</v>
      </c>
      <c r="AA592" s="170">
        <f>IF(Escenarios!$E$14&gt;0,(Escenarios!$E$13*L592+Escenarios!$E$14*W592)/(Escenarios!$E$16),L592)</f>
        <v>0.1239225181506509</v>
      </c>
      <c r="AB592" s="170">
        <f>IF(Escenarios!$E$14&gt;0,(Escenarios!$E$14*Y592)/(Escenarios!$E$16),K592)</f>
        <v>0</v>
      </c>
      <c r="AC592" s="170">
        <f>IF(Escenarios!$E$14&gt;0,(Escenarios!$E$13*M592+Escenarios!$E$14*U592)/(Escenarios!$E$16),M592)</f>
        <v>0</v>
      </c>
      <c r="AD592" s="76">
        <f t="shared" si="127"/>
        <v>85.452896439602185</v>
      </c>
      <c r="AE592" s="76">
        <f>MAX(0,(AD592-Constantes!$D$13)*(1-EXP(-Constantes!$D$23)))</f>
        <v>0.36164238056824932</v>
      </c>
      <c r="AF592" s="76">
        <f>AB592+O592*Escenarios!$E$13/Escenarios!$E$16+AE592</f>
        <v>0.36197392607793799</v>
      </c>
      <c r="AG592" s="76">
        <f>IF(Entradas!$E$91&gt;0,IF(AF592-Escenarios!$E$38&lt;=0,0,IF(AF592-Escenarios!$E$38&gt;Escenarios!$E$37,Escenarios!$E$37,AF592-Escenarios!$E$38)),0)</f>
        <v>0</v>
      </c>
      <c r="AH592" s="76">
        <f>AG592*Entradas!$E$99</f>
        <v>0</v>
      </c>
      <c r="AI592" s="76">
        <f>IF(Entradas!$E$91&gt;0,D592*Entradas!$D$23/Escenarios!$E$16,0)</f>
        <v>0</v>
      </c>
      <c r="AJ592" s="76">
        <f>IF(Entradas!$E$91&gt;0,Entradas!$D$24*Entradas!$D$22/Escenarios!$E$16,0)</f>
        <v>0</v>
      </c>
      <c r="AK592" s="76">
        <f t="shared" si="136"/>
        <v>0.1239225181506509</v>
      </c>
      <c r="AL592" s="76">
        <f t="shared" si="137"/>
        <v>0</v>
      </c>
      <c r="AM592" s="76">
        <f t="shared" si="128"/>
        <v>0</v>
      </c>
      <c r="AN592" s="76">
        <f>MAX(0,O592*Escenarios!$E$13/Escenarios!$E$16-AM592)</f>
        <v>3.3154550968866376E-4</v>
      </c>
      <c r="AO592" s="76">
        <f>AM592+AN592-O592*Escenarios!$E$13/Escenarios!$E$16</f>
        <v>0</v>
      </c>
      <c r="AP592" s="76">
        <f t="shared" si="126"/>
        <v>0.36164238056824932</v>
      </c>
      <c r="AQ592" s="76">
        <f t="shared" si="129"/>
        <v>0</v>
      </c>
      <c r="AR592" s="76">
        <f t="shared" si="130"/>
        <v>0.36197392607793799</v>
      </c>
      <c r="AS592" s="76">
        <f t="shared" si="131"/>
        <v>0</v>
      </c>
      <c r="AT592" s="76">
        <f t="shared" si="132"/>
        <v>0</v>
      </c>
      <c r="AU592" s="76">
        <f t="shared" si="133"/>
        <v>48.75</v>
      </c>
      <c r="AV592" s="76">
        <f>MAX(0,(AU592-Constantes!$D$13)*(1-EXP(-Constantes!$D$24)))</f>
        <v>0</v>
      </c>
      <c r="AW592" s="170">
        <f>AW591+(Entradas!$E$112*AT592-AX591)/(800*Entradas!$D$25)</f>
        <v>0</v>
      </c>
      <c r="AX592" s="170">
        <f>8000*Entradas!$D$26*AW592/Constantes!$E$45</f>
        <v>0</v>
      </c>
      <c r="AY592" s="170">
        <f>IF(Escenarios!$E$17&gt;0,10*Escenarios!$E$16*AL592,0)</f>
        <v>0</v>
      </c>
      <c r="AZ592" s="170">
        <f>IF(Escenarios!$E$17&gt;0,10*Escenarios!$E$16*AX592,0)</f>
        <v>0</v>
      </c>
      <c r="BA592" s="170">
        <f>IF(Escenarios!$E$17&gt;0,0.001*Observaciones!$F591*Escenarios!$E$17,0)</f>
        <v>0</v>
      </c>
      <c r="BB592" s="170">
        <f>IF(Escenarios!$E$17&gt;0,Observaciones!$K591,0)</f>
        <v>0</v>
      </c>
      <c r="BC592" s="170">
        <f>IF(Escenarios!$E$17&gt;0,MIN(0.0005*ETo!$M591*Escenarios!$E$17*(BG591/Constantes!$E$40)^(2/3),BG591+AY592+AZ592+BA592+BB592),0)</f>
        <v>5.6968953136304226</v>
      </c>
      <c r="BD592" s="170">
        <f>IF(Escenarios!$E$17&gt;0,MIN(Constantes!$E$39*(BG591/Constantes!$E$40)^(2/3),BG591+AY592+AZ592+BA592+BB592-BC592),0)</f>
        <v>12.801856776497157</v>
      </c>
      <c r="BE592" s="170">
        <f>IF(Escenarios!$E$17&gt;0,MIN(Entradas!$E$113,BG591+AY592+AZ592+BA592+BB592-BC592-BD592),0)</f>
        <v>1</v>
      </c>
      <c r="BF592" s="170">
        <f>IF(Escenarios!$E$17&gt;0,MAX(0,BG591+AY592+AZ592+BA592+BB592-BC592-BD592-BE592-Constantes!$E$40),0)</f>
        <v>0</v>
      </c>
      <c r="BG592" s="170">
        <f t="shared" si="138"/>
        <v>407.26075676813088</v>
      </c>
      <c r="BH592" s="170">
        <f>(Escenarios!$E$16*AK592+0.1*BC592)/(Escenarios!$E$19)</f>
        <v>0.12519967884534036</v>
      </c>
      <c r="BI592" s="170">
        <f>IF(Escenarios!$E$17&gt;0,BF592/10/Escenarios!$E$19,AL592)</f>
        <v>0</v>
      </c>
      <c r="BJ592" s="170">
        <f>(Escenarios!$E$16*AT592+0.1*BD592)/(Escenarios!$E$19)</f>
        <v>5.0801018954353804E-3</v>
      </c>
      <c r="BK592" s="76">
        <f>BK591+(0.1*BD592)/(Escenarios!$E$19)-BL591</f>
        <v>50.111965146177894</v>
      </c>
      <c r="BL592" s="76">
        <f>MAX(0,(BK592-Constantes!$D$13)*(1-EXP(-Constantes!$D$23)))</f>
        <v>1.3419766980115098E-2</v>
      </c>
      <c r="BM592" s="76">
        <f t="shared" si="134"/>
        <v>0.37506214754836442</v>
      </c>
      <c r="BN592" s="76">
        <f t="shared" si="139"/>
        <v>0.37539369305805309</v>
      </c>
      <c r="BO592" s="76">
        <f>0.0526*BI592*Observaciones!$F591^1.218</f>
        <v>0</v>
      </c>
      <c r="BP592" s="76">
        <f>BO592*Constantes!$E$51</f>
        <v>0</v>
      </c>
      <c r="BQ592" s="76">
        <f t="shared" si="135"/>
        <v>0</v>
      </c>
      <c r="BR592" s="40"/>
    </row>
    <row r="593" spans="1:70">
      <c r="A593" s="147"/>
      <c r="B593" s="39"/>
      <c r="C593" s="75">
        <v>587</v>
      </c>
      <c r="D593" s="146">
        <f>ETo!$I592*((1-Constantes!$E$19)*ETo!$K592+ETo!$L592)</f>
        <v>3.1362556972975435</v>
      </c>
      <c r="E593" s="76">
        <f>MIN(D593*Constantes!$E$17,0.8*(N592+Observaciones!$F592-F593-M593-Constantes!$D$14))</f>
        <v>8.8482832089027859E-3</v>
      </c>
      <c r="F593" s="76">
        <f>IF(Observaciones!$F592&gt;0.05*Constantes!$E$18,((Observaciones!$F592-0.05*Constantes!$E$18)^2)/(Observaciones!$F592+0.95*Constantes!$E$18),0)</f>
        <v>0</v>
      </c>
      <c r="G593" s="76">
        <f>IF(Escenarios!$E$11&gt;0,(F593*Escenarios!$E$16*10000)/1000,0)</f>
        <v>0</v>
      </c>
      <c r="H593" s="76">
        <f>IF(Escenarios!$E$11&gt;0,(Observaciones!$F592*Constantes!$E$29)/1000,0)</f>
        <v>0</v>
      </c>
      <c r="I593" s="76">
        <f>IF(Escenarios!$E$11&gt;0,(D593*Constantes!$E$29)/1000,0)</f>
        <v>31.362556972975437</v>
      </c>
      <c r="J593" s="76">
        <f>IF(Escenarios!$E$11&gt;0,MAX(0,G593+H593-I593),0)</f>
        <v>0</v>
      </c>
      <c r="K593" s="76">
        <f>IF(Escenarios!$E$11&gt;0,IF(J593&gt;Constantes!$E$30,1000*((J593-Constantes!$E$30)/(Escenarios!$E$16*10000)),0),F593)</f>
        <v>0</v>
      </c>
      <c r="L593" s="76">
        <f>IF(Escenarios!$E$11&gt;0,I593*1000/Escenarios!$E$16/10000+E593,E593)</f>
        <v>2.139330599809296E-2</v>
      </c>
      <c r="M593" s="76">
        <f>MAX(0,N592+Observaciones!$F592-K593-Constantes!$D$13)</f>
        <v>0</v>
      </c>
      <c r="N593" s="76">
        <f>N592+Observaciones!$F592-K593-L593-M593-O592</f>
        <v>11.239290291752026</v>
      </c>
      <c r="O593" s="76">
        <f>MAX(0,(N593-Constantes!$D$14)*(1-EXP(-Constantes!$D$22)))</f>
        <v>0</v>
      </c>
      <c r="P593" s="170">
        <f>P592+(Entradas!$E$83*M593-Q592)/(800*Entradas!$D$25)</f>
        <v>0</v>
      </c>
      <c r="Q593" s="170">
        <f>8000*Entradas!$D$26*P593/Constantes!$E$45</f>
        <v>0</v>
      </c>
      <c r="R593" s="170">
        <f>IF(Escenarios!$E$14&gt;0,K593*Escenarios!$E$13/Escenarios!$E$14,0)</f>
        <v>0</v>
      </c>
      <c r="S593" s="170">
        <f>IF(Escenarios!$E$14&gt;0,Q593*Escenarios!$E$13/Escenarios!$E$14,0)</f>
        <v>0</v>
      </c>
      <c r="T593" s="170">
        <f>IF(Escenarios!$E$14&gt;0,Observaciones!$I592,0)</f>
        <v>0</v>
      </c>
      <c r="U593" s="170">
        <f>IF(Escenarios!$E$14&gt;0,MAX(0,Constantes!$E$36/((Z592+R593+S593+T593+Observaciones!$F592)^2)+Entradas!$E$77),0)</f>
        <v>0</v>
      </c>
      <c r="V593" s="146">
        <f>IF(ETo!D592&gt;0,ETo!I592*((1-Entradas!$E$81)*ETo!K592+ETo!L592),0)</f>
        <v>2.8398476161758142</v>
      </c>
      <c r="W593" s="170">
        <f>IF(Escenarios!$E$14&gt;0,MIN(V593*1,0.8*(Z592+R593+S593+T593+Observaciones!$F592-U593-Constantes!$E$35)),0)</f>
        <v>2.252881920296659E-2</v>
      </c>
      <c r="X593" s="170">
        <f>IF(Escenarios!$E$14&gt;0,Observaciones!$J592,0)</f>
        <v>0</v>
      </c>
      <c r="Y593" s="170">
        <f>IF(Escenarios!$E$14&gt;0,MAX(0,Z592+R593+S593+T593+Observaciones!$F592-U593-W593-X593-Constantes!$E$33),0)</f>
        <v>0</v>
      </c>
      <c r="Z593" s="170">
        <f>Z592+R593+S593+T593+Observaciones!$F592-U593-W593-Y593</f>
        <v>41.25563220480074</v>
      </c>
      <c r="AA593" s="170">
        <f>IF(Escenarios!$E$14&gt;0,(Escenarios!$E$13*L593+Escenarios!$E$14*W593)/(Escenarios!$E$16),L593)</f>
        <v>2.1529567582677794E-2</v>
      </c>
      <c r="AB593" s="170">
        <f>IF(Escenarios!$E$14&gt;0,(Escenarios!$E$14*Y593)/(Escenarios!$E$16),K593)</f>
        <v>0</v>
      </c>
      <c r="AC593" s="170">
        <f>IF(Escenarios!$E$14&gt;0,(Escenarios!$E$13*M593+Escenarios!$E$14*U593)/(Escenarios!$E$16),M593)</f>
        <v>0</v>
      </c>
      <c r="AD593" s="76">
        <f t="shared" si="127"/>
        <v>85.091254059033929</v>
      </c>
      <c r="AE593" s="76">
        <f>MAX(0,(AD593-Constantes!$D$13)*(1-EXP(-Constantes!$D$23)))</f>
        <v>0.35807903205600611</v>
      </c>
      <c r="AF593" s="76">
        <f>AB593+O593*Escenarios!$E$13/Escenarios!$E$16+AE593</f>
        <v>0.35807903205600611</v>
      </c>
      <c r="AG593" s="76">
        <f>IF(Entradas!$E$91&gt;0,IF(AF593-Escenarios!$E$38&lt;=0,0,IF(AF593-Escenarios!$E$38&gt;Escenarios!$E$37,Escenarios!$E$37,AF593-Escenarios!$E$38)),0)</f>
        <v>0</v>
      </c>
      <c r="AH593" s="76">
        <f>AG593*Entradas!$E$99</f>
        <v>0</v>
      </c>
      <c r="AI593" s="76">
        <f>IF(Entradas!$E$91&gt;0,D593*Entradas!$D$23/Escenarios!$E$16,0)</f>
        <v>0</v>
      </c>
      <c r="AJ593" s="76">
        <f>IF(Entradas!$E$91&gt;0,Entradas!$D$24*Entradas!$D$22/Escenarios!$E$16,0)</f>
        <v>0</v>
      </c>
      <c r="AK593" s="76">
        <f t="shared" si="136"/>
        <v>2.1529567582677794E-2</v>
      </c>
      <c r="AL593" s="76">
        <f t="shared" si="137"/>
        <v>0</v>
      </c>
      <c r="AM593" s="76">
        <f t="shared" si="128"/>
        <v>0</v>
      </c>
      <c r="AN593" s="76">
        <f>MAX(0,O593*Escenarios!$E$13/Escenarios!$E$16-AM593)</f>
        <v>0</v>
      </c>
      <c r="AO593" s="76">
        <f>AM593+AN593-O593*Escenarios!$E$13/Escenarios!$E$16</f>
        <v>0</v>
      </c>
      <c r="AP593" s="76">
        <f t="shared" si="126"/>
        <v>0.35807903205600611</v>
      </c>
      <c r="AQ593" s="76">
        <f t="shared" si="129"/>
        <v>0</v>
      </c>
      <c r="AR593" s="76">
        <f t="shared" si="130"/>
        <v>0.35807903205600611</v>
      </c>
      <c r="AS593" s="76">
        <f t="shared" si="131"/>
        <v>0</v>
      </c>
      <c r="AT593" s="76">
        <f t="shared" si="132"/>
        <v>0</v>
      </c>
      <c r="AU593" s="76">
        <f t="shared" si="133"/>
        <v>48.75</v>
      </c>
      <c r="AV593" s="76">
        <f>MAX(0,(AU593-Constantes!$D$13)*(1-EXP(-Constantes!$D$24)))</f>
        <v>0</v>
      </c>
      <c r="AW593" s="170">
        <f>AW592+(Entradas!$E$112*AT593-AX592)/(800*Entradas!$D$25)</f>
        <v>0</v>
      </c>
      <c r="AX593" s="170">
        <f>8000*Entradas!$D$26*AW593/Constantes!$E$45</f>
        <v>0</v>
      </c>
      <c r="AY593" s="170">
        <f>IF(Escenarios!$E$17&gt;0,10*Escenarios!$E$16*AL593,0)</f>
        <v>0</v>
      </c>
      <c r="AZ593" s="170">
        <f>IF(Escenarios!$E$17&gt;0,10*Escenarios!$E$16*AX593,0)</f>
        <v>0</v>
      </c>
      <c r="BA593" s="170">
        <f>IF(Escenarios!$E$17&gt;0,0.001*Observaciones!$F592*Escenarios!$E$17,0)</f>
        <v>0</v>
      </c>
      <c r="BB593" s="170">
        <f>IF(Escenarios!$E$17&gt;0,Observaciones!$K592,0)</f>
        <v>0</v>
      </c>
      <c r="BC593" s="170">
        <f>IF(Escenarios!$E$17&gt;0,MIN(0.0005*ETo!$M592*Escenarios!$E$17*(BG592/Constantes!$E$40)^(2/3),BG592+AY593+AZ593+BA593+BB593),0)</f>
        <v>5.5881252465088851</v>
      </c>
      <c r="BD593" s="170">
        <f>IF(Escenarios!$E$17&gt;0,MIN(Constantes!$E$39*(BG592/Constantes!$E$40)^(2/3),BG592+AY593+AZ593+BA593+BB593-BC593),0)</f>
        <v>12.408878597298123</v>
      </c>
      <c r="BE593" s="170">
        <f>IF(Escenarios!$E$17&gt;0,MIN(Entradas!$E$113,BG592+AY593+AZ593+BA593+BB593-BC593-BD593),0)</f>
        <v>1</v>
      </c>
      <c r="BF593" s="170">
        <f>IF(Escenarios!$E$17&gt;0,MAX(0,BG592+AY593+AZ593+BA593+BB593-BC593-BD593-BE593-Constantes!$E$40),0)</f>
        <v>0</v>
      </c>
      <c r="BG593" s="170">
        <f t="shared" si="138"/>
        <v>388.26375292432391</v>
      </c>
      <c r="BH593" s="170">
        <f>(Escenarios!$E$16*AK593+0.1*BC593)/(Escenarios!$E$19)</f>
        <v>2.3576208017144197E-2</v>
      </c>
      <c r="BI593" s="170">
        <f>IF(Escenarios!$E$17&gt;0,BF593/10/Escenarios!$E$19,AL593)</f>
        <v>0</v>
      </c>
      <c r="BJ593" s="170">
        <f>(Escenarios!$E$16*AT593+0.1*BD593)/(Escenarios!$E$19)</f>
        <v>4.9241581735310017E-3</v>
      </c>
      <c r="BK593" s="76">
        <f>BK592+(0.1*BD593)/(Escenarios!$E$19)-BL592</f>
        <v>50.103469537371311</v>
      </c>
      <c r="BL593" s="76">
        <f>MAX(0,(BK593-Constantes!$D$13)*(1-EXP(-Constantes!$D$23)))</f>
        <v>1.3336057723047461E-2</v>
      </c>
      <c r="BM593" s="76">
        <f t="shared" si="134"/>
        <v>0.37141508977905358</v>
      </c>
      <c r="BN593" s="76">
        <f t="shared" si="139"/>
        <v>0.37141508977905358</v>
      </c>
      <c r="BO593" s="76">
        <f>0.0526*BI593*Observaciones!$F592^1.218</f>
        <v>0</v>
      </c>
      <c r="BP593" s="76">
        <f>BO593*Constantes!$E$51</f>
        <v>0</v>
      </c>
      <c r="BQ593" s="76">
        <f t="shared" si="135"/>
        <v>0</v>
      </c>
      <c r="BR593" s="40"/>
    </row>
    <row r="594" spans="1:70">
      <c r="A594" s="147"/>
      <c r="B594" s="39"/>
      <c r="C594" s="75">
        <v>588</v>
      </c>
      <c r="D594" s="146">
        <f>ETo!$I593*((1-Constantes!$E$19)*ETo!$K593+ETo!$L593)</f>
        <v>3.0394909260814451</v>
      </c>
      <c r="E594" s="76">
        <f>MIN(D594*Constantes!$E$17,0.8*(N593+Observaciones!$F593-F594-M594-Constantes!$D$14))</f>
        <v>-8.5677665983794789E-3</v>
      </c>
      <c r="F594" s="76">
        <f>IF(Observaciones!$F593&gt;0.05*Constantes!$E$18,((Observaciones!$F593-0.05*Constantes!$E$18)^2)/(Observaciones!$F593+0.95*Constantes!$E$18),0)</f>
        <v>0</v>
      </c>
      <c r="G594" s="76">
        <f>IF(Escenarios!$E$11&gt;0,(F594*Escenarios!$E$16*10000)/1000,0)</f>
        <v>0</v>
      </c>
      <c r="H594" s="76">
        <f>IF(Escenarios!$E$11&gt;0,(Observaciones!$F593*Constantes!$E$29)/1000,0)</f>
        <v>0</v>
      </c>
      <c r="I594" s="76">
        <f>IF(Escenarios!$E$11&gt;0,(D594*Constantes!$E$29)/1000,0)</f>
        <v>30.394909260814451</v>
      </c>
      <c r="J594" s="76">
        <f>IF(Escenarios!$E$11&gt;0,MAX(0,G594+H594-I594),0)</f>
        <v>0</v>
      </c>
      <c r="K594" s="76">
        <f>IF(Escenarios!$E$11&gt;0,IF(J594&gt;Constantes!$E$30,1000*((J594-Constantes!$E$30)/(Escenarios!$E$16*10000)),0),F594)</f>
        <v>0</v>
      </c>
      <c r="L594" s="76">
        <f>IF(Escenarios!$E$11&gt;0,I594*1000/Escenarios!$E$16/10000+E594,E594)</f>
        <v>3.5901971059463019E-3</v>
      </c>
      <c r="M594" s="76">
        <f>MAX(0,N593+Observaciones!$F593-K594-Constantes!$D$13)</f>
        <v>0</v>
      </c>
      <c r="N594" s="76">
        <f>N593+Observaciones!$F593-K594-L594-M594-O593</f>
        <v>11.235700094646079</v>
      </c>
      <c r="O594" s="76">
        <f>MAX(0,(N594-Constantes!$D$14)*(1-EXP(-Constantes!$D$22)))</f>
        <v>0</v>
      </c>
      <c r="P594" s="170">
        <f>P593+(Entradas!$E$83*M594-Q593)/(800*Entradas!$D$25)</f>
        <v>0</v>
      </c>
      <c r="Q594" s="170">
        <f>8000*Entradas!$D$26*P594/Constantes!$E$45</f>
        <v>0</v>
      </c>
      <c r="R594" s="170">
        <f>IF(Escenarios!$E$14&gt;0,K594*Escenarios!$E$13/Escenarios!$E$14,0)</f>
        <v>0</v>
      </c>
      <c r="S594" s="170">
        <f>IF(Escenarios!$E$14&gt;0,Q594*Escenarios!$E$13/Escenarios!$E$14,0)</f>
        <v>0</v>
      </c>
      <c r="T594" s="170">
        <f>IF(Escenarios!$E$14&gt;0,Observaciones!$I593,0)</f>
        <v>0</v>
      </c>
      <c r="U594" s="170">
        <f>IF(Escenarios!$E$14&gt;0,MAX(0,Constantes!$E$36/((Z593+R594+S594+T594+Observaciones!$F593)^2)+Entradas!$E$77),0)</f>
        <v>0</v>
      </c>
      <c r="V594" s="146">
        <f>IF(ETo!D593&gt;0,ETo!I593*((1-Entradas!$E$81)*ETo!K593+ETo!L593),0)</f>
        <v>2.7515732988286765</v>
      </c>
      <c r="W594" s="170">
        <f>IF(Escenarios!$E$14&gt;0,MIN(V594*1,0.8*(Z593+R594+S594+T594+Observaciones!$F593-U594-Constantes!$E$35)),0)</f>
        <v>4.5057638405921812E-3</v>
      </c>
      <c r="X594" s="170">
        <f>IF(Escenarios!$E$14&gt;0,Observaciones!$J593,0)</f>
        <v>0</v>
      </c>
      <c r="Y594" s="170">
        <f>IF(Escenarios!$E$14&gt;0,MAX(0,Z593+R594+S594+T594+Observaciones!$F593-U594-W594-X594-Constantes!$E$33),0)</f>
        <v>0</v>
      </c>
      <c r="Z594" s="170">
        <f>Z593+R594+S594+T594+Observaciones!$F593-U594-W594-Y594</f>
        <v>41.251126440960149</v>
      </c>
      <c r="AA594" s="170">
        <f>IF(Escenarios!$E$14&gt;0,(Escenarios!$E$13*L594+Escenarios!$E$14*W594)/(Escenarios!$E$16),L594)</f>
        <v>3.7000651141038073E-3</v>
      </c>
      <c r="AB594" s="170">
        <f>IF(Escenarios!$E$14&gt;0,(Escenarios!$E$14*Y594)/(Escenarios!$E$16),K594)</f>
        <v>0</v>
      </c>
      <c r="AC594" s="170">
        <f>IF(Escenarios!$E$14&gt;0,(Escenarios!$E$13*M594+Escenarios!$E$14*U594)/(Escenarios!$E$16),M594)</f>
        <v>0</v>
      </c>
      <c r="AD594" s="76">
        <f t="shared" si="127"/>
        <v>84.733175026977918</v>
      </c>
      <c r="AE594" s="76">
        <f>MAX(0,(AD594-Constantes!$D$13)*(1-EXP(-Constantes!$D$23)))</f>
        <v>0.35455079406537754</v>
      </c>
      <c r="AF594" s="76">
        <f>AB594+O594*Escenarios!$E$13/Escenarios!$E$16+AE594</f>
        <v>0.35455079406537754</v>
      </c>
      <c r="AG594" s="76">
        <f>IF(Entradas!$E$91&gt;0,IF(AF594-Escenarios!$E$38&lt;=0,0,IF(AF594-Escenarios!$E$38&gt;Escenarios!$E$37,Escenarios!$E$37,AF594-Escenarios!$E$38)),0)</f>
        <v>0</v>
      </c>
      <c r="AH594" s="76">
        <f>AG594*Entradas!$E$99</f>
        <v>0</v>
      </c>
      <c r="AI594" s="76">
        <f>IF(Entradas!$E$91&gt;0,D594*Entradas!$D$23/Escenarios!$E$16,0)</f>
        <v>0</v>
      </c>
      <c r="AJ594" s="76">
        <f>IF(Entradas!$E$91&gt;0,Entradas!$D$24*Entradas!$D$22/Escenarios!$E$16,0)</f>
        <v>0</v>
      </c>
      <c r="AK594" s="76">
        <f t="shared" si="136"/>
        <v>3.7000651141038073E-3</v>
      </c>
      <c r="AL594" s="76">
        <f t="shared" si="137"/>
        <v>0</v>
      </c>
      <c r="AM594" s="76">
        <f t="shared" si="128"/>
        <v>0</v>
      </c>
      <c r="AN594" s="76">
        <f>MAX(0,O594*Escenarios!$E$13/Escenarios!$E$16-AM594)</f>
        <v>0</v>
      </c>
      <c r="AO594" s="76">
        <f>AM594+AN594-O594*Escenarios!$E$13/Escenarios!$E$16</f>
        <v>0</v>
      </c>
      <c r="AP594" s="76">
        <f t="shared" si="126"/>
        <v>0.35455079406537754</v>
      </c>
      <c r="AQ594" s="76">
        <f t="shared" si="129"/>
        <v>0</v>
      </c>
      <c r="AR594" s="76">
        <f t="shared" si="130"/>
        <v>0.35455079406537754</v>
      </c>
      <c r="AS594" s="76">
        <f t="shared" si="131"/>
        <v>0</v>
      </c>
      <c r="AT594" s="76">
        <f t="shared" si="132"/>
        <v>0</v>
      </c>
      <c r="AU594" s="76">
        <f t="shared" si="133"/>
        <v>48.75</v>
      </c>
      <c r="AV594" s="76">
        <f>MAX(0,(AU594-Constantes!$D$13)*(1-EXP(-Constantes!$D$24)))</f>
        <v>0</v>
      </c>
      <c r="AW594" s="170">
        <f>AW593+(Entradas!$E$112*AT594-AX593)/(800*Entradas!$D$25)</f>
        <v>0</v>
      </c>
      <c r="AX594" s="170">
        <f>8000*Entradas!$D$26*AW594/Constantes!$E$45</f>
        <v>0</v>
      </c>
      <c r="AY594" s="170">
        <f>IF(Escenarios!$E$17&gt;0,10*Escenarios!$E$16*AL594,0)</f>
        <v>0</v>
      </c>
      <c r="AZ594" s="170">
        <f>IF(Escenarios!$E$17&gt;0,10*Escenarios!$E$16*AX594,0)</f>
        <v>0</v>
      </c>
      <c r="BA594" s="170">
        <f>IF(Escenarios!$E$17&gt;0,0.001*Observaciones!$F593*Escenarios!$E$17,0)</f>
        <v>0</v>
      </c>
      <c r="BB594" s="170">
        <f>IF(Escenarios!$E$17&gt;0,Observaciones!$K593,0)</f>
        <v>0</v>
      </c>
      <c r="BC594" s="170">
        <f>IF(Escenarios!$E$17&gt;0,MIN(0.0005*ETo!$M593*Escenarios!$E$17*(BG593/Constantes!$E$40)^(2/3),BG593+AY594+AZ594+BA594+BB594),0)</f>
        <v>5.2475089048772823</v>
      </c>
      <c r="BD594" s="170">
        <f>IF(Escenarios!$E$17&gt;0,MIN(Constantes!$E$39*(BG593/Constantes!$E$40)^(2/3),BG593+AY594+AZ594+BA594+BB594-BC594),0)</f>
        <v>12.019933319161835</v>
      </c>
      <c r="BE594" s="170">
        <f>IF(Escenarios!$E$17&gt;0,MIN(Entradas!$E$113,BG593+AY594+AZ594+BA594+BB594-BC594-BD594),0)</f>
        <v>1</v>
      </c>
      <c r="BF594" s="170">
        <f>IF(Escenarios!$E$17&gt;0,MAX(0,BG593+AY594+AZ594+BA594+BB594-BC594-BD594-BE594-Constantes!$E$40),0)</f>
        <v>0</v>
      </c>
      <c r="BG594" s="170">
        <f t="shared" si="138"/>
        <v>369.99631070028477</v>
      </c>
      <c r="BH594" s="170">
        <f>(Escenarios!$E$16*AK594+0.1*BC594)/(Escenarios!$E$19)</f>
        <v>5.7530443214828574E-3</v>
      </c>
      <c r="BI594" s="170">
        <f>IF(Escenarios!$E$17&gt;0,BF594/10/Escenarios!$E$19,AL594)</f>
        <v>0</v>
      </c>
      <c r="BJ594" s="170">
        <f>(Escenarios!$E$16*AT594+0.1*BD594)/(Escenarios!$E$19)</f>
        <v>4.7698148091912043E-3</v>
      </c>
      <c r="BK594" s="76">
        <f>BK593+(0.1*BD594)/(Escenarios!$E$19)-BL593</f>
        <v>50.09490329445746</v>
      </c>
      <c r="BL594" s="76">
        <f>MAX(0,(BK594-Constantes!$D$13)*(1-EXP(-Constantes!$D$23)))</f>
        <v>1.3251652491297186E-2</v>
      </c>
      <c r="BM594" s="76">
        <f t="shared" si="134"/>
        <v>0.36780244655667471</v>
      </c>
      <c r="BN594" s="76">
        <f t="shared" si="139"/>
        <v>0.36780244655667471</v>
      </c>
      <c r="BO594" s="76">
        <f>0.0526*BI594*Observaciones!$F593^1.218</f>
        <v>0</v>
      </c>
      <c r="BP594" s="76">
        <f>BO594*Constantes!$E$51</f>
        <v>0</v>
      </c>
      <c r="BQ594" s="76">
        <f t="shared" si="135"/>
        <v>0</v>
      </c>
      <c r="BR594" s="40"/>
    </row>
    <row r="595" spans="1:70">
      <c r="A595" s="147"/>
      <c r="B595" s="39"/>
      <c r="C595" s="75">
        <v>589</v>
      </c>
      <c r="D595" s="146">
        <f>ETo!$I594*((1-Constantes!$E$19)*ETo!$K594+ETo!$L594)</f>
        <v>3.0289505719167718</v>
      </c>
      <c r="E595" s="76">
        <f>MIN(D595*Constantes!$E$17,0.8*(N594+Observaciones!$F594-F595-M595-Constantes!$D$14))</f>
        <v>-1.1439924283136805E-2</v>
      </c>
      <c r="F595" s="76">
        <f>IF(Observaciones!$F594&gt;0.05*Constantes!$E$18,((Observaciones!$F594-0.05*Constantes!$E$18)^2)/(Observaciones!$F594+0.95*Constantes!$E$18),0)</f>
        <v>0</v>
      </c>
      <c r="G595" s="76">
        <f>IF(Escenarios!$E$11&gt;0,(F595*Escenarios!$E$16*10000)/1000,0)</f>
        <v>0</v>
      </c>
      <c r="H595" s="76">
        <f>IF(Escenarios!$E$11&gt;0,(Observaciones!$F594*Constantes!$E$29)/1000,0)</f>
        <v>0</v>
      </c>
      <c r="I595" s="76">
        <f>IF(Escenarios!$E$11&gt;0,(D595*Constantes!$E$29)/1000,0)</f>
        <v>30.289505719167718</v>
      </c>
      <c r="J595" s="76">
        <f>IF(Escenarios!$E$11&gt;0,MAX(0,G595+H595-I595),0)</f>
        <v>0</v>
      </c>
      <c r="K595" s="76">
        <f>IF(Escenarios!$E$11&gt;0,IF(J595&gt;Constantes!$E$30,1000*((J595-Constantes!$E$30)/(Escenarios!$E$16*10000)),0),F595)</f>
        <v>0</v>
      </c>
      <c r="L595" s="76">
        <f>IF(Escenarios!$E$11&gt;0,I595*1000/Escenarios!$E$16/10000+E595,E595)</f>
        <v>6.7587800453028195E-4</v>
      </c>
      <c r="M595" s="76">
        <f>MAX(0,N594+Observaciones!$F594-K595-Constantes!$D$13)</f>
        <v>0</v>
      </c>
      <c r="N595" s="76">
        <f>N594+Observaciones!$F594-K595-L595-M595-O594</f>
        <v>11.235024216641548</v>
      </c>
      <c r="O595" s="76">
        <f>MAX(0,(N595-Constantes!$D$14)*(1-EXP(-Constantes!$D$22)))</f>
        <v>0</v>
      </c>
      <c r="P595" s="170">
        <f>P594+(Entradas!$E$83*M595-Q594)/(800*Entradas!$D$25)</f>
        <v>0</v>
      </c>
      <c r="Q595" s="170">
        <f>8000*Entradas!$D$26*P595/Constantes!$E$45</f>
        <v>0</v>
      </c>
      <c r="R595" s="170">
        <f>IF(Escenarios!$E$14&gt;0,K595*Escenarios!$E$13/Escenarios!$E$14,0)</f>
        <v>0</v>
      </c>
      <c r="S595" s="170">
        <f>IF(Escenarios!$E$14&gt;0,Q595*Escenarios!$E$13/Escenarios!$E$14,0)</f>
        <v>0</v>
      </c>
      <c r="T595" s="170">
        <f>IF(Escenarios!$E$14&gt;0,Observaciones!$I594,0)</f>
        <v>0</v>
      </c>
      <c r="U595" s="170">
        <f>IF(Escenarios!$E$14&gt;0,MAX(0,Constantes!$E$36/((Z594+R595+S595+T595+Observaciones!$F594)^2)+Entradas!$E$77),0)</f>
        <v>0</v>
      </c>
      <c r="V595" s="146">
        <f>IF(ETo!D594&gt;0,ETo!I594*((1-Entradas!$E$81)*ETo!K594+ETo!L594),0)</f>
        <v>2.7423367287504141</v>
      </c>
      <c r="W595" s="170">
        <f>IF(Escenarios!$E$14&gt;0,MIN(V595*1,0.8*(Z594+R595+S595+T595+Observaciones!$F594-U595-Constantes!$E$35)),0)</f>
        <v>9.0115276811957305E-4</v>
      </c>
      <c r="X595" s="170">
        <f>IF(Escenarios!$E$14&gt;0,Observaciones!$J594,0)</f>
        <v>0</v>
      </c>
      <c r="Y595" s="170">
        <f>IF(Escenarios!$E$14&gt;0,MAX(0,Z594+R595+S595+T595+Observaciones!$F594-U595-W595-X595-Constantes!$E$33),0)</f>
        <v>0</v>
      </c>
      <c r="Z595" s="170">
        <f>Z594+R595+S595+T595+Observaciones!$F594-U595-W595-Y595</f>
        <v>41.250225288192027</v>
      </c>
      <c r="AA595" s="170">
        <f>IF(Escenarios!$E$14&gt;0,(Escenarios!$E$13*L595+Escenarios!$E$14*W595)/(Escenarios!$E$16),L595)</f>
        <v>7.0291097616099682E-4</v>
      </c>
      <c r="AB595" s="170">
        <f>IF(Escenarios!$E$14&gt;0,(Escenarios!$E$14*Y595)/(Escenarios!$E$16),K595)</f>
        <v>0</v>
      </c>
      <c r="AC595" s="170">
        <f>IF(Escenarios!$E$14&gt;0,(Escenarios!$E$13*M595+Escenarios!$E$14*U595)/(Escenarios!$E$16),M595)</f>
        <v>0</v>
      </c>
      <c r="AD595" s="76">
        <f t="shared" si="127"/>
        <v>84.378624232912543</v>
      </c>
      <c r="AE595" s="76">
        <f>MAX(0,(AD595-Constantes!$D$13)*(1-EXP(-Constantes!$D$23)))</f>
        <v>0.35105732064403156</v>
      </c>
      <c r="AF595" s="76">
        <f>AB595+O595*Escenarios!$E$13/Escenarios!$E$16+AE595</f>
        <v>0.35105732064403156</v>
      </c>
      <c r="AG595" s="76">
        <f>IF(Entradas!$E$91&gt;0,IF(AF595-Escenarios!$E$38&lt;=0,0,IF(AF595-Escenarios!$E$38&gt;Escenarios!$E$37,Escenarios!$E$37,AF595-Escenarios!$E$38)),0)</f>
        <v>0</v>
      </c>
      <c r="AH595" s="76">
        <f>AG595*Entradas!$E$99</f>
        <v>0</v>
      </c>
      <c r="AI595" s="76">
        <f>IF(Entradas!$E$91&gt;0,D595*Entradas!$D$23/Escenarios!$E$16,0)</f>
        <v>0</v>
      </c>
      <c r="AJ595" s="76">
        <f>IF(Entradas!$E$91&gt;0,Entradas!$D$24*Entradas!$D$22/Escenarios!$E$16,0)</f>
        <v>0</v>
      </c>
      <c r="AK595" s="76">
        <f t="shared" si="136"/>
        <v>7.0291097616099682E-4</v>
      </c>
      <c r="AL595" s="76">
        <f t="shared" si="137"/>
        <v>0</v>
      </c>
      <c r="AM595" s="76">
        <f t="shared" si="128"/>
        <v>0</v>
      </c>
      <c r="AN595" s="76">
        <f>MAX(0,O595*Escenarios!$E$13/Escenarios!$E$16-AM595)</f>
        <v>0</v>
      </c>
      <c r="AO595" s="76">
        <f>AM595+AN595-O595*Escenarios!$E$13/Escenarios!$E$16</f>
        <v>0</v>
      </c>
      <c r="AP595" s="76">
        <f t="shared" si="126"/>
        <v>0.35105732064403156</v>
      </c>
      <c r="AQ595" s="76">
        <f t="shared" si="129"/>
        <v>0</v>
      </c>
      <c r="AR595" s="76">
        <f t="shared" si="130"/>
        <v>0.35105732064403156</v>
      </c>
      <c r="AS595" s="76">
        <f t="shared" si="131"/>
        <v>0</v>
      </c>
      <c r="AT595" s="76">
        <f t="shared" si="132"/>
        <v>0</v>
      </c>
      <c r="AU595" s="76">
        <f t="shared" si="133"/>
        <v>48.75</v>
      </c>
      <c r="AV595" s="76">
        <f>MAX(0,(AU595-Constantes!$D$13)*(1-EXP(-Constantes!$D$24)))</f>
        <v>0</v>
      </c>
      <c r="AW595" s="170">
        <f>AW594+(Entradas!$E$112*AT595-AX594)/(800*Entradas!$D$25)</f>
        <v>0</v>
      </c>
      <c r="AX595" s="170">
        <f>8000*Entradas!$D$26*AW595/Constantes!$E$45</f>
        <v>0</v>
      </c>
      <c r="AY595" s="170">
        <f>IF(Escenarios!$E$17&gt;0,10*Escenarios!$E$16*AL595,0)</f>
        <v>0</v>
      </c>
      <c r="AZ595" s="170">
        <f>IF(Escenarios!$E$17&gt;0,10*Escenarios!$E$16*AX595,0)</f>
        <v>0</v>
      </c>
      <c r="BA595" s="170">
        <f>IF(Escenarios!$E$17&gt;0,0.001*Observaciones!$F594*Escenarios!$E$17,0)</f>
        <v>0</v>
      </c>
      <c r="BB595" s="170">
        <f>IF(Escenarios!$E$17&gt;0,Observaciones!$K594,0)</f>
        <v>0</v>
      </c>
      <c r="BC595" s="170">
        <f>IF(Escenarios!$E$17&gt;0,MIN(0.0005*ETo!$M594*Escenarios!$E$17*(BG594/Constantes!$E$40)^(2/3),BG594+AY595+AZ595+BA595+BB595),0)</f>
        <v>5.0632758912900355</v>
      </c>
      <c r="BD595" s="170">
        <f>IF(Escenarios!$E$17&gt;0,MIN(Constantes!$E$39*(BG594/Constantes!$E$40)^(2/3),BG594+AY595+AZ595+BA595+BB595-BC595),0)</f>
        <v>11.639895699829134</v>
      </c>
      <c r="BE595" s="170">
        <f>IF(Escenarios!$E$17&gt;0,MIN(Entradas!$E$113,BG594+AY595+AZ595+BA595+BB595-BC595-BD595),0)</f>
        <v>1</v>
      </c>
      <c r="BF595" s="170">
        <f>IF(Escenarios!$E$17&gt;0,MAX(0,BG594+AY595+AZ595+BA595+BB595-BC595-BD595-BE595-Constantes!$E$40),0)</f>
        <v>0</v>
      </c>
      <c r="BG595" s="170">
        <f t="shared" si="138"/>
        <v>352.29313910916557</v>
      </c>
      <c r="BH595" s="170">
        <f>(Escenarios!$E$16*AK595+0.1*BC595)/(Escenarios!$E$19)</f>
        <v>2.7065687824176696E-3</v>
      </c>
      <c r="BI595" s="170">
        <f>IF(Escenarios!$E$17&gt;0,BF595/10/Escenarios!$E$19,AL595)</f>
        <v>0</v>
      </c>
      <c r="BJ595" s="170">
        <f>(Escenarios!$E$16*AT595+0.1*BD595)/(Escenarios!$E$19)</f>
        <v>4.6190062300909265E-3</v>
      </c>
      <c r="BK595" s="76">
        <f>BK594+(0.1*BD595)/(Escenarios!$E$19)-BL594</f>
        <v>50.086270648196255</v>
      </c>
      <c r="BL595" s="76">
        <f>MAX(0,(BK595-Constantes!$D$13)*(1-EXP(-Constantes!$D$23)))</f>
        <v>1.3166592971549387E-2</v>
      </c>
      <c r="BM595" s="76">
        <f t="shared" si="134"/>
        <v>0.36422391361558093</v>
      </c>
      <c r="BN595" s="76">
        <f t="shared" si="139"/>
        <v>0.36422391361558093</v>
      </c>
      <c r="BO595" s="76">
        <f>0.0526*BI595*Observaciones!$F594^1.218</f>
        <v>0</v>
      </c>
      <c r="BP595" s="76">
        <f>BO595*Constantes!$E$51</f>
        <v>0</v>
      </c>
      <c r="BQ595" s="76">
        <f t="shared" si="135"/>
        <v>0</v>
      </c>
      <c r="BR595" s="40"/>
    </row>
    <row r="596" spans="1:70">
      <c r="A596" s="147"/>
      <c r="B596" s="39"/>
      <c r="C596" s="75">
        <v>590</v>
      </c>
      <c r="D596" s="146">
        <f>ETo!$I595*((1-Constantes!$E$19)*ETo!$K595+ETo!$L595)</f>
        <v>3.0252311804464882</v>
      </c>
      <c r="E596" s="76">
        <f>MIN(D596*Constantes!$E$17,0.8*(N595+Observaciones!$F595-F596-M596-Constantes!$D$14))</f>
        <v>0.14801937331323814</v>
      </c>
      <c r="F596" s="76">
        <f>IF(Observaciones!$F595&gt;0.05*Constantes!$E$18,((Observaciones!$F595-0.05*Constantes!$E$18)^2)/(Observaciones!$F595+0.95*Constantes!$E$18),0)</f>
        <v>0</v>
      </c>
      <c r="G596" s="76">
        <f>IF(Escenarios!$E$11&gt;0,(F596*Escenarios!$E$16*10000)/1000,0)</f>
        <v>0</v>
      </c>
      <c r="H596" s="76">
        <f>IF(Escenarios!$E$11&gt;0,(Observaciones!$F595*Constantes!$E$29)/1000,0)</f>
        <v>2</v>
      </c>
      <c r="I596" s="76">
        <f>IF(Escenarios!$E$11&gt;0,(D596*Constantes!$E$29)/1000,0)</f>
        <v>30.252311804464885</v>
      </c>
      <c r="J596" s="76">
        <f>IF(Escenarios!$E$11&gt;0,MAX(0,G596+H596-I596),0)</f>
        <v>0</v>
      </c>
      <c r="K596" s="76">
        <f>IF(Escenarios!$E$11&gt;0,IF(J596&gt;Constantes!$E$30,1000*((J596-Constantes!$E$30)/(Escenarios!$E$16*10000)),0),F596)</f>
        <v>0</v>
      </c>
      <c r="L596" s="76">
        <f>IF(Escenarios!$E$11&gt;0,I596*1000/Escenarios!$E$16/10000+E596,E596)</f>
        <v>0.16012029803502409</v>
      </c>
      <c r="M596" s="76">
        <f>MAX(0,N595+Observaciones!$F595-K596-Constantes!$D$13)</f>
        <v>0</v>
      </c>
      <c r="N596" s="76">
        <f>N595+Observaciones!$F595-K596-L596-M596-O595</f>
        <v>11.274903918606524</v>
      </c>
      <c r="O596" s="76">
        <f>MAX(0,(N596-Constantes!$D$14)*(1-EXP(-Constantes!$D$22)))</f>
        <v>8.4831889189506131E-4</v>
      </c>
      <c r="P596" s="170">
        <f>P595+(Entradas!$E$83*M596-Q595)/(800*Entradas!$D$25)</f>
        <v>0</v>
      </c>
      <c r="Q596" s="170">
        <f>8000*Entradas!$D$26*P596/Constantes!$E$45</f>
        <v>0</v>
      </c>
      <c r="R596" s="170">
        <f>IF(Escenarios!$E$14&gt;0,K596*Escenarios!$E$13/Escenarios!$E$14,0)</f>
        <v>0</v>
      </c>
      <c r="S596" s="170">
        <f>IF(Escenarios!$E$14&gt;0,Q596*Escenarios!$E$13/Escenarios!$E$14,0)</f>
        <v>0</v>
      </c>
      <c r="T596" s="170">
        <f>IF(Escenarios!$E$14&gt;0,Observaciones!$I595,0)</f>
        <v>0</v>
      </c>
      <c r="U596" s="170">
        <f>IF(Escenarios!$E$14&gt;0,MAX(0,Constantes!$E$36/((Z595+R596+S596+T596+Observaciones!$F595)^2)+Entradas!$E$77),0)</f>
        <v>0</v>
      </c>
      <c r="V596" s="146">
        <f>IF(ETo!D595&gt;0,ETo!I595*((1-Entradas!$E$81)*ETo!K595+ETo!L595),0)</f>
        <v>2.7393455122617771</v>
      </c>
      <c r="W596" s="170">
        <f>IF(Escenarios!$E$14&gt;0,MIN(V596*1,0.8*(Z595+R596+S596+T596+Observaciones!$F595-U596-Constantes!$E$35)),0)</f>
        <v>0.16018023055362393</v>
      </c>
      <c r="X596" s="170">
        <f>IF(Escenarios!$E$14&gt;0,Observaciones!$J595,0)</f>
        <v>0</v>
      </c>
      <c r="Y596" s="170">
        <f>IF(Escenarios!$E$14&gt;0,MAX(0,Z595+R596+S596+T596+Observaciones!$F595-U596-W596-X596-Constantes!$E$33),0)</f>
        <v>0</v>
      </c>
      <c r="Z596" s="170">
        <f>Z595+R596+S596+T596+Observaciones!$F595-U596-W596-Y596</f>
        <v>41.290045057638409</v>
      </c>
      <c r="AA596" s="170">
        <f>IF(Escenarios!$E$14&gt;0,(Escenarios!$E$13*L596+Escenarios!$E$14*W596)/(Escenarios!$E$16),L596)</f>
        <v>0.16012748993725606</v>
      </c>
      <c r="AB596" s="170">
        <f>IF(Escenarios!$E$14&gt;0,(Escenarios!$E$14*Y596)/(Escenarios!$E$16),K596)</f>
        <v>0</v>
      </c>
      <c r="AC596" s="170">
        <f>IF(Escenarios!$E$14&gt;0,(Escenarios!$E$13*M596+Escenarios!$E$14*U596)/(Escenarios!$E$16),M596)</f>
        <v>0</v>
      </c>
      <c r="AD596" s="76">
        <f t="shared" si="127"/>
        <v>84.027566912268512</v>
      </c>
      <c r="AE596" s="76">
        <f>MAX(0,(AD596-Constantes!$D$13)*(1-EXP(-Constantes!$D$23)))</f>
        <v>0.34759826924838655</v>
      </c>
      <c r="AF596" s="76">
        <f>AB596+O596*Escenarios!$E$13/Escenarios!$E$16+AE596</f>
        <v>0.34834478987325418</v>
      </c>
      <c r="AG596" s="76">
        <f>IF(Entradas!$E$91&gt;0,IF(AF596-Escenarios!$E$38&lt;=0,0,IF(AF596-Escenarios!$E$38&gt;Escenarios!$E$37,Escenarios!$E$37,AF596-Escenarios!$E$38)),0)</f>
        <v>0</v>
      </c>
      <c r="AH596" s="76">
        <f>AG596*Entradas!$E$99</f>
        <v>0</v>
      </c>
      <c r="AI596" s="76">
        <f>IF(Entradas!$E$91&gt;0,D596*Entradas!$D$23/Escenarios!$E$16,0)</f>
        <v>0</v>
      </c>
      <c r="AJ596" s="76">
        <f>IF(Entradas!$E$91&gt;0,Entradas!$D$24*Entradas!$D$22/Escenarios!$E$16,0)</f>
        <v>0</v>
      </c>
      <c r="AK596" s="76">
        <f t="shared" si="136"/>
        <v>0.16012748993725606</v>
      </c>
      <c r="AL596" s="76">
        <f t="shared" si="137"/>
        <v>0</v>
      </c>
      <c r="AM596" s="76">
        <f t="shared" si="128"/>
        <v>0</v>
      </c>
      <c r="AN596" s="76">
        <f>MAX(0,O596*Escenarios!$E$13/Escenarios!$E$16-AM596)</f>
        <v>7.4652062486765391E-4</v>
      </c>
      <c r="AO596" s="76">
        <f>AM596+AN596-O596*Escenarios!$E$13/Escenarios!$E$16</f>
        <v>0</v>
      </c>
      <c r="AP596" s="76">
        <f t="shared" si="126"/>
        <v>0.34759826924838655</v>
      </c>
      <c r="AQ596" s="76">
        <f t="shared" si="129"/>
        <v>0</v>
      </c>
      <c r="AR596" s="76">
        <f t="shared" si="130"/>
        <v>0.34834478987325418</v>
      </c>
      <c r="AS596" s="76">
        <f t="shared" si="131"/>
        <v>0</v>
      </c>
      <c r="AT596" s="76">
        <f t="shared" si="132"/>
        <v>0</v>
      </c>
      <c r="AU596" s="76">
        <f t="shared" si="133"/>
        <v>48.75</v>
      </c>
      <c r="AV596" s="76">
        <f>MAX(0,(AU596-Constantes!$D$13)*(1-EXP(-Constantes!$D$24)))</f>
        <v>0</v>
      </c>
      <c r="AW596" s="170">
        <f>AW595+(Entradas!$E$112*AT596-AX595)/(800*Entradas!$D$25)</f>
        <v>0</v>
      </c>
      <c r="AX596" s="170">
        <f>8000*Entradas!$D$26*AW596/Constantes!$E$45</f>
        <v>0</v>
      </c>
      <c r="AY596" s="170">
        <f>IF(Escenarios!$E$17&gt;0,10*Escenarios!$E$16*AL596,0)</f>
        <v>0</v>
      </c>
      <c r="AZ596" s="170">
        <f>IF(Escenarios!$E$17&gt;0,10*Escenarios!$E$16*AX596,0)</f>
        <v>0</v>
      </c>
      <c r="BA596" s="170">
        <f>IF(Escenarios!$E$17&gt;0,0.001*Observaciones!$F595*Escenarios!$E$17,0)</f>
        <v>4</v>
      </c>
      <c r="BB596" s="170">
        <f>IF(Escenarios!$E$17&gt;0,Observaciones!$K595,0)</f>
        <v>0</v>
      </c>
      <c r="BC596" s="170">
        <f>IF(Escenarios!$E$17&gt;0,MIN(0.0005*ETo!$M595*Escenarios!$E$17*(BG595/Constantes!$E$40)^(2/3),BG595+AY596+AZ596+BA596+BB596),0)</f>
        <v>4.8936006203506732</v>
      </c>
      <c r="BD596" s="170">
        <f>IF(Escenarios!$E$17&gt;0,MIN(Constantes!$E$39*(BG595/Constantes!$E$40)^(2/3),BG595+AY596+AZ596+BA596+BB596-BC596),0)</f>
        <v>11.265581573675016</v>
      </c>
      <c r="BE596" s="170">
        <f>IF(Escenarios!$E$17&gt;0,MIN(Entradas!$E$113,BG595+AY596+AZ596+BA596+BB596-BC596-BD596),0)</f>
        <v>1</v>
      </c>
      <c r="BF596" s="170">
        <f>IF(Escenarios!$E$17&gt;0,MAX(0,BG595+AY596+AZ596+BA596+BB596-BC596-BD596-BE596-Constantes!$E$40),0)</f>
        <v>0</v>
      </c>
      <c r="BG596" s="170">
        <f t="shared" si="138"/>
        <v>339.13395691513983</v>
      </c>
      <c r="BH596" s="170">
        <f>(Escenarios!$E$16*AK596+0.1*BC596)/(Escenarios!$E$19)</f>
        <v>0.16079854185059159</v>
      </c>
      <c r="BI596" s="170">
        <f>IF(Escenarios!$E$17&gt;0,BF596/10/Escenarios!$E$19,AL596)</f>
        <v>0</v>
      </c>
      <c r="BJ596" s="170">
        <f>(Escenarios!$E$16*AT596+0.1*BD596)/(Escenarios!$E$19)</f>
        <v>4.4704688784424672E-3</v>
      </c>
      <c r="BK596" s="76">
        <f>BK595+(0.1*BD596)/(Escenarios!$E$19)-BL595</f>
        <v>50.077574524103149</v>
      </c>
      <c r="BL596" s="76">
        <f>MAX(0,(BK596-Constantes!$D$13)*(1-EXP(-Constantes!$D$23)))</f>
        <v>1.3080907989604625E-2</v>
      </c>
      <c r="BM596" s="76">
        <f t="shared" si="134"/>
        <v>0.3606791772379912</v>
      </c>
      <c r="BN596" s="76">
        <f t="shared" si="139"/>
        <v>0.36142569786285883</v>
      </c>
      <c r="BO596" s="76">
        <f>0.0526*BI596*Observaciones!$F595^1.218</f>
        <v>0</v>
      </c>
      <c r="BP596" s="76">
        <f>BO596*Constantes!$E$51</f>
        <v>0</v>
      </c>
      <c r="BQ596" s="76">
        <f t="shared" si="135"/>
        <v>0</v>
      </c>
      <c r="BR596" s="40"/>
    </row>
    <row r="597" spans="1:70">
      <c r="A597" s="147"/>
      <c r="B597" s="39"/>
      <c r="C597" s="75">
        <v>591</v>
      </c>
      <c r="D597" s="146">
        <f>ETo!$I596*((1-Constantes!$E$19)*ETo!$K596+ETo!$L596)</f>
        <v>3.0318895695682402</v>
      </c>
      <c r="E597" s="76">
        <f>MIN(D597*Constantes!$E$17,0.8*(N596+Observaciones!$F596-F597-M597-Constantes!$D$14))</f>
        <v>1.9923134885219441E-2</v>
      </c>
      <c r="F597" s="76">
        <f>IF(Observaciones!$F596&gt;0.05*Constantes!$E$18,((Observaciones!$F596-0.05*Constantes!$E$18)^2)/(Observaciones!$F596+0.95*Constantes!$E$18),0)</f>
        <v>0</v>
      </c>
      <c r="G597" s="76">
        <f>IF(Escenarios!$E$11&gt;0,(F597*Escenarios!$E$16*10000)/1000,0)</f>
        <v>0</v>
      </c>
      <c r="H597" s="76">
        <f>IF(Escenarios!$E$11&gt;0,(Observaciones!$F596*Constantes!$E$29)/1000,0)</f>
        <v>0</v>
      </c>
      <c r="I597" s="76">
        <f>IF(Escenarios!$E$11&gt;0,(D597*Constantes!$E$29)/1000,0)</f>
        <v>30.3188956956824</v>
      </c>
      <c r="J597" s="76">
        <f>IF(Escenarios!$E$11&gt;0,MAX(0,G597+H597-I597),0)</f>
        <v>0</v>
      </c>
      <c r="K597" s="76">
        <f>IF(Escenarios!$E$11&gt;0,IF(J597&gt;Constantes!$E$30,1000*((J597-Constantes!$E$30)/(Escenarios!$E$16*10000)),0),F597)</f>
        <v>0</v>
      </c>
      <c r="L597" s="76">
        <f>IF(Escenarios!$E$11&gt;0,I597*1000/Escenarios!$E$16/10000+E597,E597)</f>
        <v>3.2050693163492405E-2</v>
      </c>
      <c r="M597" s="76">
        <f>MAX(0,N596+Observaciones!$F596-K597-Constantes!$D$13)</f>
        <v>0</v>
      </c>
      <c r="N597" s="76">
        <f>N596+Observaciones!$F596-K597-L597-M597-O596</f>
        <v>11.242004906551136</v>
      </c>
      <c r="O597" s="76">
        <f>MAX(0,(N597-Constantes!$D$14)*(1-EXP(-Constantes!$D$22)))</f>
        <v>0</v>
      </c>
      <c r="P597" s="170">
        <f>P596+(Entradas!$E$83*M597-Q596)/(800*Entradas!$D$25)</f>
        <v>0</v>
      </c>
      <c r="Q597" s="170">
        <f>8000*Entradas!$D$26*P597/Constantes!$E$45</f>
        <v>0</v>
      </c>
      <c r="R597" s="170">
        <f>IF(Escenarios!$E$14&gt;0,K597*Escenarios!$E$13/Escenarios!$E$14,0)</f>
        <v>0</v>
      </c>
      <c r="S597" s="170">
        <f>IF(Escenarios!$E$14&gt;0,Q597*Escenarios!$E$13/Escenarios!$E$14,0)</f>
        <v>0</v>
      </c>
      <c r="T597" s="170">
        <f>IF(Escenarios!$E$14&gt;0,Observaciones!$I596,0)</f>
        <v>0</v>
      </c>
      <c r="U597" s="170">
        <f>IF(Escenarios!$E$14&gt;0,MAX(0,Constantes!$E$36/((Z596+R597+S597+T597+Observaciones!$F596)^2)+Entradas!$E$77),0)</f>
        <v>0</v>
      </c>
      <c r="V597" s="146">
        <f>IF(ETo!D596&gt;0,ETo!I596*((1-Entradas!$E$81)*ETo!K596+ETo!L596),0)</f>
        <v>2.7458309880598404</v>
      </c>
      <c r="W597" s="170">
        <f>IF(Escenarios!$E$14&gt;0,MIN(V597*1,0.8*(Z596+R597+S597+T597+Observaciones!$F596-U597-Constantes!$E$35)),0)</f>
        <v>3.2036046110727058E-2</v>
      </c>
      <c r="X597" s="170">
        <f>IF(Escenarios!$E$14&gt;0,Observaciones!$J596,0)</f>
        <v>0</v>
      </c>
      <c r="Y597" s="170">
        <f>IF(Escenarios!$E$14&gt;0,MAX(0,Z596+R597+S597+T597+Observaciones!$F596-U597-W597-X597-Constantes!$E$33),0)</f>
        <v>0</v>
      </c>
      <c r="Z597" s="170">
        <f>Z596+R597+S597+T597+Observaciones!$F596-U597-W597-Y597</f>
        <v>41.258009011527683</v>
      </c>
      <c r="AA597" s="170">
        <f>IF(Escenarios!$E$14&gt;0,(Escenarios!$E$13*L597+Escenarios!$E$14*W597)/(Escenarios!$E$16),L597)</f>
        <v>3.2048935517160565E-2</v>
      </c>
      <c r="AB597" s="170">
        <f>IF(Escenarios!$E$14&gt;0,(Escenarios!$E$14*Y597)/(Escenarios!$E$16),K597)</f>
        <v>0</v>
      </c>
      <c r="AC597" s="170">
        <f>IF(Escenarios!$E$14&gt;0,(Escenarios!$E$13*M597+Escenarios!$E$14*U597)/(Escenarios!$E$16),M597)</f>
        <v>0</v>
      </c>
      <c r="AD597" s="76">
        <f t="shared" si="127"/>
        <v>83.679968643020132</v>
      </c>
      <c r="AE597" s="76">
        <f>MAX(0,(AD597-Constantes!$D$13)*(1-EXP(-Constantes!$D$23)))</f>
        <v>0.34417330071002483</v>
      </c>
      <c r="AF597" s="76">
        <f>AB597+O597*Escenarios!$E$13/Escenarios!$E$16+AE597</f>
        <v>0.34417330071002483</v>
      </c>
      <c r="AG597" s="76">
        <f>IF(Entradas!$E$91&gt;0,IF(AF597-Escenarios!$E$38&lt;=0,0,IF(AF597-Escenarios!$E$38&gt;Escenarios!$E$37,Escenarios!$E$37,AF597-Escenarios!$E$38)),0)</f>
        <v>0</v>
      </c>
      <c r="AH597" s="76">
        <f>AG597*Entradas!$E$99</f>
        <v>0</v>
      </c>
      <c r="AI597" s="76">
        <f>IF(Entradas!$E$91&gt;0,D597*Entradas!$D$23/Escenarios!$E$16,0)</f>
        <v>0</v>
      </c>
      <c r="AJ597" s="76">
        <f>IF(Entradas!$E$91&gt;0,Entradas!$D$24*Entradas!$D$22/Escenarios!$E$16,0)</f>
        <v>0</v>
      </c>
      <c r="AK597" s="76">
        <f t="shared" si="136"/>
        <v>3.2048935517160565E-2</v>
      </c>
      <c r="AL597" s="76">
        <f t="shared" si="137"/>
        <v>0</v>
      </c>
      <c r="AM597" s="76">
        <f t="shared" si="128"/>
        <v>0</v>
      </c>
      <c r="AN597" s="76">
        <f>MAX(0,O597*Escenarios!$E$13/Escenarios!$E$16-AM597)</f>
        <v>0</v>
      </c>
      <c r="AO597" s="76">
        <f>AM597+AN597-O597*Escenarios!$E$13/Escenarios!$E$16</f>
        <v>0</v>
      </c>
      <c r="AP597" s="76">
        <f t="shared" si="126"/>
        <v>0.34417330071002483</v>
      </c>
      <c r="AQ597" s="76">
        <f t="shared" si="129"/>
        <v>0</v>
      </c>
      <c r="AR597" s="76">
        <f t="shared" si="130"/>
        <v>0.34417330071002483</v>
      </c>
      <c r="AS597" s="76">
        <f t="shared" si="131"/>
        <v>0</v>
      </c>
      <c r="AT597" s="76">
        <f t="shared" si="132"/>
        <v>0</v>
      </c>
      <c r="AU597" s="76">
        <f t="shared" si="133"/>
        <v>48.75</v>
      </c>
      <c r="AV597" s="76">
        <f>MAX(0,(AU597-Constantes!$D$13)*(1-EXP(-Constantes!$D$24)))</f>
        <v>0</v>
      </c>
      <c r="AW597" s="170">
        <f>AW596+(Entradas!$E$112*AT597-AX596)/(800*Entradas!$D$25)</f>
        <v>0</v>
      </c>
      <c r="AX597" s="170">
        <f>8000*Entradas!$D$26*AW597/Constantes!$E$45</f>
        <v>0</v>
      </c>
      <c r="AY597" s="170">
        <f>IF(Escenarios!$E$17&gt;0,10*Escenarios!$E$16*AL597,0)</f>
        <v>0</v>
      </c>
      <c r="AZ597" s="170">
        <f>IF(Escenarios!$E$17&gt;0,10*Escenarios!$E$16*AX597,0)</f>
        <v>0</v>
      </c>
      <c r="BA597" s="170">
        <f>IF(Escenarios!$E$17&gt;0,0.001*Observaciones!$F596*Escenarios!$E$17,0)</f>
        <v>0</v>
      </c>
      <c r="BB597" s="170">
        <f>IF(Escenarios!$E$17&gt;0,Observaciones!$K596,0)</f>
        <v>0</v>
      </c>
      <c r="BC597" s="170">
        <f>IF(Escenarios!$E$17&gt;0,MIN(0.0005*ETo!$M596*Escenarios!$E$17*(BG596/Constantes!$E$40)^(2/3),BG596+AY597+AZ597+BA597+BB597),0)</f>
        <v>4.7804837872088415</v>
      </c>
      <c r="BD597" s="170">
        <f>IF(Escenarios!$E$17&gt;0,MIN(Constantes!$E$39*(BG596/Constantes!$E$40)^(2/3),BG596+AY597+AZ597+BA597+BB597-BC597),0)</f>
        <v>10.983270451676283</v>
      </c>
      <c r="BE597" s="170">
        <f>IF(Escenarios!$E$17&gt;0,MIN(Entradas!$E$113,BG596+AY597+AZ597+BA597+BB597-BC597-BD597),0)</f>
        <v>1</v>
      </c>
      <c r="BF597" s="170">
        <f>IF(Escenarios!$E$17&gt;0,MAX(0,BG596+AY597+AZ597+BA597+BB597-BC597-BD597-BE597-Constantes!$E$40),0)</f>
        <v>0</v>
      </c>
      <c r="BG597" s="170">
        <f t="shared" si="138"/>
        <v>322.37020267625473</v>
      </c>
      <c r="BH597" s="170">
        <f>(Escenarios!$E$16*AK597+0.1*BC597)/(Escenarios!$E$19)</f>
        <v>3.3691596261948509E-2</v>
      </c>
      <c r="BI597" s="170">
        <f>IF(Escenarios!$E$17&gt;0,BF597/10/Escenarios!$E$19,AL597)</f>
        <v>0</v>
      </c>
      <c r="BJ597" s="170">
        <f>(Escenarios!$E$16*AT597+0.1*BD597)/(Escenarios!$E$19)</f>
        <v>4.358440655427097E-3</v>
      </c>
      <c r="BK597" s="76">
        <f>BK596+(0.1*BD597)/(Escenarios!$E$19)-BL596</f>
        <v>50.068852056768975</v>
      </c>
      <c r="BL597" s="76">
        <f>MAX(0,(BK597-Constantes!$D$13)*(1-EXP(-Constantes!$D$23)))</f>
        <v>1.2994963441431152E-2</v>
      </c>
      <c r="BM597" s="76">
        <f t="shared" si="134"/>
        <v>0.35716826415145597</v>
      </c>
      <c r="BN597" s="76">
        <f t="shared" si="139"/>
        <v>0.35716826415145597</v>
      </c>
      <c r="BO597" s="76">
        <f>0.0526*BI597*Observaciones!$F596^1.218</f>
        <v>0</v>
      </c>
      <c r="BP597" s="76">
        <f>BO597*Constantes!$E$51</f>
        <v>0</v>
      </c>
      <c r="BQ597" s="76">
        <f t="shared" si="135"/>
        <v>0</v>
      </c>
      <c r="BR597" s="40"/>
    </row>
    <row r="598" spans="1:70">
      <c r="A598" s="147"/>
      <c r="B598" s="39"/>
      <c r="C598" s="75">
        <v>592</v>
      </c>
      <c r="D598" s="146">
        <f>ETo!$I597*((1-Constantes!$E$19)*ETo!$K597+ETo!$L597)</f>
        <v>3.0771681594023539</v>
      </c>
      <c r="E598" s="76">
        <f>MIN(D598*Constantes!$E$17,0.8*(N597+Observaciones!$F597-F598-M598-Constantes!$D$14))</f>
        <v>-6.3960747590911639E-3</v>
      </c>
      <c r="F598" s="76">
        <f>IF(Observaciones!$F597&gt;0.05*Constantes!$E$18,((Observaciones!$F597-0.05*Constantes!$E$18)^2)/(Observaciones!$F597+0.95*Constantes!$E$18),0)</f>
        <v>0</v>
      </c>
      <c r="G598" s="76">
        <f>IF(Escenarios!$E$11&gt;0,(F598*Escenarios!$E$16*10000)/1000,0)</f>
        <v>0</v>
      </c>
      <c r="H598" s="76">
        <f>IF(Escenarios!$E$11&gt;0,(Observaciones!$F597*Constantes!$E$29)/1000,0)</f>
        <v>0</v>
      </c>
      <c r="I598" s="76">
        <f>IF(Escenarios!$E$11&gt;0,(D598*Constantes!$E$29)/1000,0)</f>
        <v>30.771681594023541</v>
      </c>
      <c r="J598" s="76">
        <f>IF(Escenarios!$E$11&gt;0,MAX(0,G598+H598-I598),0)</f>
        <v>0</v>
      </c>
      <c r="K598" s="76">
        <f>IF(Escenarios!$E$11&gt;0,IF(J598&gt;Constantes!$E$30,1000*((J598-Constantes!$E$30)/(Escenarios!$E$16*10000)),0),F598)</f>
        <v>0</v>
      </c>
      <c r="L598" s="76">
        <f>IF(Escenarios!$E$11&gt;0,I598*1000/Escenarios!$E$16/10000+E598,E598)</f>
        <v>5.9125978785182524E-3</v>
      </c>
      <c r="M598" s="76">
        <f>MAX(0,N597+Observaciones!$F597-K598-Constantes!$D$13)</f>
        <v>0</v>
      </c>
      <c r="N598" s="76">
        <f>N597+Observaciones!$F597-K598-L598-M598-O597</f>
        <v>11.236092308672617</v>
      </c>
      <c r="O598" s="76">
        <f>MAX(0,(N598-Constantes!$D$14)*(1-EXP(-Constantes!$D$22)))</f>
        <v>0</v>
      </c>
      <c r="P598" s="170">
        <f>P597+(Entradas!$E$83*M598-Q597)/(800*Entradas!$D$25)</f>
        <v>0</v>
      </c>
      <c r="Q598" s="170">
        <f>8000*Entradas!$D$26*P598/Constantes!$E$45</f>
        <v>0</v>
      </c>
      <c r="R598" s="170">
        <f>IF(Escenarios!$E$14&gt;0,K598*Escenarios!$E$13/Escenarios!$E$14,0)</f>
        <v>0</v>
      </c>
      <c r="S598" s="170">
        <f>IF(Escenarios!$E$14&gt;0,Q598*Escenarios!$E$13/Escenarios!$E$14,0)</f>
        <v>0</v>
      </c>
      <c r="T598" s="170">
        <f>IF(Escenarios!$E$14&gt;0,Observaciones!$I597,0)</f>
        <v>0</v>
      </c>
      <c r="U598" s="170">
        <f>IF(Escenarios!$E$14&gt;0,MAX(0,Constantes!$E$36/((Z597+R598+S598+T598+Observaciones!$F597)^2)+Entradas!$E$77),0)</f>
        <v>0</v>
      </c>
      <c r="V598" s="146">
        <f>IF(ETo!D597&gt;0,ETo!I597*((1-Entradas!$E$81)*ETo!K597+ETo!L597),0)</f>
        <v>2.7875651793124878</v>
      </c>
      <c r="W598" s="170">
        <f>IF(Escenarios!$E$14&gt;0,MIN(V598*1,0.8*(Z597+R598+S598+T598+Observaciones!$F597-U598-Constantes!$E$35)),0)</f>
        <v>6.4072092221465482E-3</v>
      </c>
      <c r="X598" s="170">
        <f>IF(Escenarios!$E$14&gt;0,Observaciones!$J597,0)</f>
        <v>0</v>
      </c>
      <c r="Y598" s="170">
        <f>IF(Escenarios!$E$14&gt;0,MAX(0,Z597+R598+S598+T598+Observaciones!$F597-U598-W598-X598-Constantes!$E$33),0)</f>
        <v>0</v>
      </c>
      <c r="Z598" s="170">
        <f>Z597+R598+S598+T598+Observaciones!$F597-U598-W598-Y598</f>
        <v>41.251601802305537</v>
      </c>
      <c r="AA598" s="170">
        <f>IF(Escenarios!$E$14&gt;0,(Escenarios!$E$13*L598+Escenarios!$E$14*W598)/(Escenarios!$E$16),L598)</f>
        <v>5.971951239753648E-3</v>
      </c>
      <c r="AB598" s="170">
        <f>IF(Escenarios!$E$14&gt;0,(Escenarios!$E$14*Y598)/(Escenarios!$E$16),K598)</f>
        <v>0</v>
      </c>
      <c r="AC598" s="170">
        <f>IF(Escenarios!$E$14&gt;0,(Escenarios!$E$13*M598+Escenarios!$E$14*U598)/(Escenarios!$E$16),M598)</f>
        <v>0</v>
      </c>
      <c r="AD598" s="76">
        <f t="shared" si="127"/>
        <v>83.335795342310107</v>
      </c>
      <c r="AE598" s="76">
        <f>MAX(0,(AD598-Constantes!$D$13)*(1-EXP(-Constantes!$D$23)))</f>
        <v>0.34078207920243542</v>
      </c>
      <c r="AF598" s="76">
        <f>AB598+O598*Escenarios!$E$13/Escenarios!$E$16+AE598</f>
        <v>0.34078207920243542</v>
      </c>
      <c r="AG598" s="76">
        <f>IF(Entradas!$E$91&gt;0,IF(AF598-Escenarios!$E$38&lt;=0,0,IF(AF598-Escenarios!$E$38&gt;Escenarios!$E$37,Escenarios!$E$37,AF598-Escenarios!$E$38)),0)</f>
        <v>0</v>
      </c>
      <c r="AH598" s="76">
        <f>AG598*Entradas!$E$99</f>
        <v>0</v>
      </c>
      <c r="AI598" s="76">
        <f>IF(Entradas!$E$91&gt;0,D598*Entradas!$D$23/Escenarios!$E$16,0)</f>
        <v>0</v>
      </c>
      <c r="AJ598" s="76">
        <f>IF(Entradas!$E$91&gt;0,Entradas!$D$24*Entradas!$D$22/Escenarios!$E$16,0)</f>
        <v>0</v>
      </c>
      <c r="AK598" s="76">
        <f t="shared" si="136"/>
        <v>5.971951239753648E-3</v>
      </c>
      <c r="AL598" s="76">
        <f t="shared" si="137"/>
        <v>0</v>
      </c>
      <c r="AM598" s="76">
        <f t="shared" si="128"/>
        <v>0</v>
      </c>
      <c r="AN598" s="76">
        <f>MAX(0,O598*Escenarios!$E$13/Escenarios!$E$16-AM598)</f>
        <v>0</v>
      </c>
      <c r="AO598" s="76">
        <f>AM598+AN598-O598*Escenarios!$E$13/Escenarios!$E$16</f>
        <v>0</v>
      </c>
      <c r="AP598" s="76">
        <f t="shared" si="126"/>
        <v>0.34078207920243542</v>
      </c>
      <c r="AQ598" s="76">
        <f t="shared" si="129"/>
        <v>0</v>
      </c>
      <c r="AR598" s="76">
        <f t="shared" si="130"/>
        <v>0.34078207920243542</v>
      </c>
      <c r="AS598" s="76">
        <f t="shared" si="131"/>
        <v>0</v>
      </c>
      <c r="AT598" s="76">
        <f t="shared" si="132"/>
        <v>0</v>
      </c>
      <c r="AU598" s="76">
        <f t="shared" si="133"/>
        <v>48.75</v>
      </c>
      <c r="AV598" s="76">
        <f>MAX(0,(AU598-Constantes!$D$13)*(1-EXP(-Constantes!$D$24)))</f>
        <v>0</v>
      </c>
      <c r="AW598" s="170">
        <f>AW597+(Entradas!$E$112*AT598-AX597)/(800*Entradas!$D$25)</f>
        <v>0</v>
      </c>
      <c r="AX598" s="170">
        <f>8000*Entradas!$D$26*AW598/Constantes!$E$45</f>
        <v>0</v>
      </c>
      <c r="AY598" s="170">
        <f>IF(Escenarios!$E$17&gt;0,10*Escenarios!$E$16*AL598,0)</f>
        <v>0</v>
      </c>
      <c r="AZ598" s="170">
        <f>IF(Escenarios!$E$17&gt;0,10*Escenarios!$E$16*AX598,0)</f>
        <v>0</v>
      </c>
      <c r="BA598" s="170">
        <f>IF(Escenarios!$E$17&gt;0,0.001*Observaciones!$F597*Escenarios!$E$17,0)</f>
        <v>0</v>
      </c>
      <c r="BB598" s="170">
        <f>IF(Escenarios!$E$17&gt;0,Observaciones!$K597,0)</f>
        <v>0</v>
      </c>
      <c r="BC598" s="170">
        <f>IF(Escenarios!$E$17&gt;0,MIN(0.0005*ETo!$M597*Escenarios!$E$17*(BG597/Constantes!$E$40)^(2/3),BG597+AY598+AZ598+BA598+BB598),0)</f>
        <v>4.6891204087162208</v>
      </c>
      <c r="BD598" s="170">
        <f>IF(Escenarios!$E$17&gt;0,MIN(Constantes!$E$39*(BG597/Constantes!$E$40)^(2/3),BG597+AY598+AZ598+BA598+BB598-BC598),0)</f>
        <v>10.618277910681556</v>
      </c>
      <c r="BE598" s="170">
        <f>IF(Escenarios!$E$17&gt;0,MIN(Entradas!$E$113,BG597+AY598+AZ598+BA598+BB598-BC598-BD598),0)</f>
        <v>1</v>
      </c>
      <c r="BF598" s="170">
        <f>IF(Escenarios!$E$17&gt;0,MAX(0,BG597+AY598+AZ598+BA598+BB598-BC598-BD598-BE598-Constantes!$E$40),0)</f>
        <v>0</v>
      </c>
      <c r="BG598" s="170">
        <f t="shared" si="138"/>
        <v>306.06280435685693</v>
      </c>
      <c r="BH598" s="170">
        <f>(Escenarios!$E$16*AK598+0.1*BC598)/(Escenarios!$E$19)</f>
        <v>7.7853168682937863E-3</v>
      </c>
      <c r="BI598" s="170">
        <f>IF(Escenarios!$E$17&gt;0,BF598/10/Escenarios!$E$19,AL598)</f>
        <v>0</v>
      </c>
      <c r="BJ598" s="170">
        <f>(Escenarios!$E$16*AT598+0.1*BD598)/(Escenarios!$E$19)</f>
        <v>4.2136023455085544E-3</v>
      </c>
      <c r="BK598" s="76">
        <f>BK597+(0.1*BD598)/(Escenarios!$E$19)-BL597</f>
        <v>50.060070695673055</v>
      </c>
      <c r="BL598" s="76">
        <f>MAX(0,(BK598-Constantes!$D$13)*(1-EXP(-Constantes!$D$23)))</f>
        <v>1.290843859899579E-2</v>
      </c>
      <c r="BM598" s="76">
        <f t="shared" si="134"/>
        <v>0.35369051780143118</v>
      </c>
      <c r="BN598" s="76">
        <f t="shared" si="139"/>
        <v>0.35369051780143118</v>
      </c>
      <c r="BO598" s="76">
        <f>0.0526*BI598*Observaciones!$F597^1.218</f>
        <v>0</v>
      </c>
      <c r="BP598" s="76">
        <f>BO598*Constantes!$E$51</f>
        <v>0</v>
      </c>
      <c r="BQ598" s="76">
        <f t="shared" si="135"/>
        <v>0</v>
      </c>
      <c r="BR598" s="40"/>
    </row>
    <row r="599" spans="1:70">
      <c r="A599" s="147"/>
      <c r="B599" s="39"/>
      <c r="C599" s="75">
        <v>593</v>
      </c>
      <c r="D599" s="146">
        <f>ETo!$I598*((1-Constantes!$E$19)*ETo!$K598+ETo!$L598)</f>
        <v>3.0945569026957869</v>
      </c>
      <c r="E599" s="76">
        <f>MIN(D599*Constantes!$E$17,0.8*(N598+Observaciones!$F598-F599-M599-Constantes!$D$14))</f>
        <v>-1.1126153061906053E-2</v>
      </c>
      <c r="F599" s="76">
        <f>IF(Observaciones!$F598&gt;0.05*Constantes!$E$18,((Observaciones!$F598-0.05*Constantes!$E$18)^2)/(Observaciones!$F598+0.95*Constantes!$E$18),0)</f>
        <v>0</v>
      </c>
      <c r="G599" s="76">
        <f>IF(Escenarios!$E$11&gt;0,(F599*Escenarios!$E$16*10000)/1000,0)</f>
        <v>0</v>
      </c>
      <c r="H599" s="76">
        <f>IF(Escenarios!$E$11&gt;0,(Observaciones!$F598*Constantes!$E$29)/1000,0)</f>
        <v>0</v>
      </c>
      <c r="I599" s="76">
        <f>IF(Escenarios!$E$11&gt;0,(D599*Constantes!$E$29)/1000,0)</f>
        <v>30.94556902695787</v>
      </c>
      <c r="J599" s="76">
        <f>IF(Escenarios!$E$11&gt;0,MAX(0,G599+H599-I599),0)</f>
        <v>0</v>
      </c>
      <c r="K599" s="76">
        <f>IF(Escenarios!$E$11&gt;0,IF(J599&gt;Constantes!$E$30,1000*((J599-Constantes!$E$30)/(Escenarios!$E$16*10000)),0),F599)</f>
        <v>0</v>
      </c>
      <c r="L599" s="76">
        <f>IF(Escenarios!$E$11&gt;0,I599*1000/Escenarios!$E$16/10000+E599,E599)</f>
        <v>1.2520745488770954E-3</v>
      </c>
      <c r="M599" s="76">
        <f>MAX(0,N598+Observaciones!$F598-K599-Constantes!$D$13)</f>
        <v>0</v>
      </c>
      <c r="N599" s="76">
        <f>N598+Observaciones!$F598-K599-L599-M599-O598</f>
        <v>11.234840234123741</v>
      </c>
      <c r="O599" s="76">
        <f>MAX(0,(N599-Constantes!$D$14)*(1-EXP(-Constantes!$D$22)))</f>
        <v>0</v>
      </c>
      <c r="P599" s="170">
        <f>P598+(Entradas!$E$83*M599-Q598)/(800*Entradas!$D$25)</f>
        <v>0</v>
      </c>
      <c r="Q599" s="170">
        <f>8000*Entradas!$D$26*P599/Constantes!$E$45</f>
        <v>0</v>
      </c>
      <c r="R599" s="170">
        <f>IF(Escenarios!$E$14&gt;0,K599*Escenarios!$E$13/Escenarios!$E$14,0)</f>
        <v>0</v>
      </c>
      <c r="S599" s="170">
        <f>IF(Escenarios!$E$14&gt;0,Q599*Escenarios!$E$13/Escenarios!$E$14,0)</f>
        <v>0</v>
      </c>
      <c r="T599" s="170">
        <f>IF(Escenarios!$E$14&gt;0,Observaciones!$I598,0)</f>
        <v>0</v>
      </c>
      <c r="U599" s="170">
        <f>IF(Escenarios!$E$14&gt;0,MAX(0,Constantes!$E$36/((Z598+R599+S599+T599+Observaciones!$F598)^2)+Entradas!$E$77),0)</f>
        <v>0</v>
      </c>
      <c r="V599" s="146">
        <f>IF(ETo!D598&gt;0,ETo!I598*((1-Entradas!$E$81)*ETo!K598+ETo!L598),0)</f>
        <v>2.8038467741565256</v>
      </c>
      <c r="W599" s="170">
        <f>IF(Escenarios!$E$14&gt;0,MIN(V599*1,0.8*(Z598+R599+S599+T599+Observaciones!$F598-U599-Constantes!$E$35)),0)</f>
        <v>1.2814418444293098E-3</v>
      </c>
      <c r="X599" s="170">
        <f>IF(Escenarios!$E$14&gt;0,Observaciones!$J598,0)</f>
        <v>0</v>
      </c>
      <c r="Y599" s="170">
        <f>IF(Escenarios!$E$14&gt;0,MAX(0,Z598+R599+S599+T599+Observaciones!$F598-U599-W599-X599-Constantes!$E$33),0)</f>
        <v>0</v>
      </c>
      <c r="Z599" s="170">
        <f>Z598+R599+S599+T599+Observaciones!$F598-U599-W599-Y599</f>
        <v>41.25032036046111</v>
      </c>
      <c r="AA599" s="170">
        <f>IF(Escenarios!$E$14&gt;0,(Escenarios!$E$13*L599+Escenarios!$E$14*W599)/(Escenarios!$E$16),L599)</f>
        <v>1.255598624343361E-3</v>
      </c>
      <c r="AB599" s="170">
        <f>IF(Escenarios!$E$14&gt;0,(Escenarios!$E$14*Y599)/(Escenarios!$E$16),K599)</f>
        <v>0</v>
      </c>
      <c r="AC599" s="170">
        <f>IF(Escenarios!$E$14&gt;0,(Escenarios!$E$13*M599+Escenarios!$E$14*U599)/(Escenarios!$E$16),M599)</f>
        <v>0</v>
      </c>
      <c r="AD599" s="76">
        <f t="shared" si="127"/>
        <v>82.995013263107666</v>
      </c>
      <c r="AE599" s="76">
        <f>MAX(0,(AD599-Constantes!$D$13)*(1-EXP(-Constantes!$D$23)))</f>
        <v>0.33742427220808624</v>
      </c>
      <c r="AF599" s="76">
        <f>AB599+O599*Escenarios!$E$13/Escenarios!$E$16+AE599</f>
        <v>0.33742427220808624</v>
      </c>
      <c r="AG599" s="76">
        <f>IF(Entradas!$E$91&gt;0,IF(AF599-Escenarios!$E$38&lt;=0,0,IF(AF599-Escenarios!$E$38&gt;Escenarios!$E$37,Escenarios!$E$37,AF599-Escenarios!$E$38)),0)</f>
        <v>0</v>
      </c>
      <c r="AH599" s="76">
        <f>AG599*Entradas!$E$99</f>
        <v>0</v>
      </c>
      <c r="AI599" s="76">
        <f>IF(Entradas!$E$91&gt;0,D599*Entradas!$D$23/Escenarios!$E$16,0)</f>
        <v>0</v>
      </c>
      <c r="AJ599" s="76">
        <f>IF(Entradas!$E$91&gt;0,Entradas!$D$24*Entradas!$D$22/Escenarios!$E$16,0)</f>
        <v>0</v>
      </c>
      <c r="AK599" s="76">
        <f t="shared" si="136"/>
        <v>1.255598624343361E-3</v>
      </c>
      <c r="AL599" s="76">
        <f t="shared" si="137"/>
        <v>0</v>
      </c>
      <c r="AM599" s="76">
        <f t="shared" si="128"/>
        <v>0</v>
      </c>
      <c r="AN599" s="76">
        <f>MAX(0,O599*Escenarios!$E$13/Escenarios!$E$16-AM599)</f>
        <v>0</v>
      </c>
      <c r="AO599" s="76">
        <f>AM599+AN599-O599*Escenarios!$E$13/Escenarios!$E$16</f>
        <v>0</v>
      </c>
      <c r="AP599" s="76">
        <f t="shared" si="126"/>
        <v>0.33742427220808624</v>
      </c>
      <c r="AQ599" s="76">
        <f t="shared" si="129"/>
        <v>0</v>
      </c>
      <c r="AR599" s="76">
        <f t="shared" si="130"/>
        <v>0.33742427220808624</v>
      </c>
      <c r="AS599" s="76">
        <f t="shared" si="131"/>
        <v>0</v>
      </c>
      <c r="AT599" s="76">
        <f t="shared" si="132"/>
        <v>0</v>
      </c>
      <c r="AU599" s="76">
        <f t="shared" si="133"/>
        <v>48.75</v>
      </c>
      <c r="AV599" s="76">
        <f>MAX(0,(AU599-Constantes!$D$13)*(1-EXP(-Constantes!$D$24)))</f>
        <v>0</v>
      </c>
      <c r="AW599" s="170">
        <f>AW598+(Entradas!$E$112*AT599-AX598)/(800*Entradas!$D$25)</f>
        <v>0</v>
      </c>
      <c r="AX599" s="170">
        <f>8000*Entradas!$D$26*AW599/Constantes!$E$45</f>
        <v>0</v>
      </c>
      <c r="AY599" s="170">
        <f>IF(Escenarios!$E$17&gt;0,10*Escenarios!$E$16*AL599,0)</f>
        <v>0</v>
      </c>
      <c r="AZ599" s="170">
        <f>IF(Escenarios!$E$17&gt;0,10*Escenarios!$E$16*AX599,0)</f>
        <v>0</v>
      </c>
      <c r="BA599" s="170">
        <f>IF(Escenarios!$E$17&gt;0,0.001*Observaciones!$F598*Escenarios!$E$17,0)</f>
        <v>0</v>
      </c>
      <c r="BB599" s="170">
        <f>IF(Escenarios!$E$17&gt;0,Observaciones!$K598,0)</f>
        <v>0</v>
      </c>
      <c r="BC599" s="170">
        <f>IF(Escenarios!$E$17&gt;0,MIN(0.0005*ETo!$M598*Escenarios!$E$17*(BG598/Constantes!$E$40)^(2/3),BG598+AY599+AZ599+BA599+BB599),0)</f>
        <v>4.554148990153986</v>
      </c>
      <c r="BD599" s="170">
        <f>IF(Escenarios!$E$17&gt;0,MIN(Constantes!$E$39*(BG598/Constantes!$E$40)^(2/3),BG598+AY599+AZ599+BA599+BB599-BC599),0)</f>
        <v>10.257098556868895</v>
      </c>
      <c r="BE599" s="170">
        <f>IF(Escenarios!$E$17&gt;0,MIN(Entradas!$E$113,BG598+AY599+AZ599+BA599+BB599-BC599-BD599),0)</f>
        <v>1</v>
      </c>
      <c r="BF599" s="170">
        <f>IF(Escenarios!$E$17&gt;0,MAX(0,BG598+AY599+AZ599+BA599+BB599-BC599-BD599-BE599-Constantes!$E$40),0)</f>
        <v>0</v>
      </c>
      <c r="BG599" s="170">
        <f t="shared" si="138"/>
        <v>290.25155680983409</v>
      </c>
      <c r="BH599" s="170">
        <f>(Escenarios!$E$16*AK599+0.1*BC599)/(Escenarios!$E$19)</f>
        <v>3.0528355361160268E-3</v>
      </c>
      <c r="BI599" s="170">
        <f>IF(Escenarios!$E$17&gt;0,BF599/10/Escenarios!$E$19,AL599)</f>
        <v>0</v>
      </c>
      <c r="BJ599" s="170">
        <f>(Escenarios!$E$16*AT599+0.1*BD599)/(Escenarios!$E$19)</f>
        <v>4.0702772051067048E-3</v>
      </c>
      <c r="BK599" s="76">
        <f>BK598+(0.1*BD599)/(Escenarios!$E$19)-BL598</f>
        <v>50.051232534279166</v>
      </c>
      <c r="BL599" s="76">
        <f>MAX(0,(BK599-Constantes!$D$13)*(1-EXP(-Constantes!$D$23)))</f>
        <v>1.2821354089695763E-2</v>
      </c>
      <c r="BM599" s="76">
        <f t="shared" si="134"/>
        <v>0.350245626297782</v>
      </c>
      <c r="BN599" s="76">
        <f t="shared" si="139"/>
        <v>0.350245626297782</v>
      </c>
      <c r="BO599" s="76">
        <f>0.0526*BI599*Observaciones!$F598^1.218</f>
        <v>0</v>
      </c>
      <c r="BP599" s="76">
        <f>BO599*Constantes!$E$51</f>
        <v>0</v>
      </c>
      <c r="BQ599" s="76">
        <f t="shared" si="135"/>
        <v>0</v>
      </c>
      <c r="BR599" s="40"/>
    </row>
    <row r="600" spans="1:70">
      <c r="A600" s="147"/>
      <c r="B600" s="39"/>
      <c r="C600" s="75">
        <v>594</v>
      </c>
      <c r="D600" s="146">
        <f>ETo!$I599*((1-Constantes!$E$19)*ETo!$K599+ETo!$L599)</f>
        <v>3.1725148233943279</v>
      </c>
      <c r="E600" s="76">
        <f>MIN(D600*Constantes!$E$17,0.8*(N599+Observaciones!$F599-F600-M600-Constantes!$D$14))</f>
        <v>1.5510815604978054</v>
      </c>
      <c r="F600" s="76">
        <f>IF(Observaciones!$F599&gt;0.05*Constantes!$E$18,((Observaciones!$F599-0.05*Constantes!$E$18)^2)/(Observaciones!$F599+0.95*Constantes!$E$18),0)</f>
        <v>0</v>
      </c>
      <c r="G600" s="76">
        <f>IF(Escenarios!$E$11&gt;0,(F600*Escenarios!$E$16*10000)/1000,0)</f>
        <v>0</v>
      </c>
      <c r="H600" s="76">
        <f>IF(Escenarios!$E$11&gt;0,(Observaciones!$F599*Constantes!$E$29)/1000,0)</f>
        <v>33</v>
      </c>
      <c r="I600" s="76">
        <f>IF(Escenarios!$E$11&gt;0,(D600*Constantes!$E$29)/1000,0)</f>
        <v>31.72514823394328</v>
      </c>
      <c r="J600" s="76">
        <f>IF(Escenarios!$E$11&gt;0,MAX(0,G600+H600-I600),0)</f>
        <v>1.2748517660567202</v>
      </c>
      <c r="K600" s="76">
        <f>IF(Escenarios!$E$11&gt;0,IF(J600&gt;Constantes!$E$30,1000*((J600-Constantes!$E$30)/(Escenarios!$E$16*10000)),0),F600)</f>
        <v>0</v>
      </c>
      <c r="L600" s="76">
        <f>IF(Escenarios!$E$11&gt;0,I600*1000/Escenarios!$E$16/10000+E600,E600)</f>
        <v>1.5637716197913827</v>
      </c>
      <c r="M600" s="76">
        <f>MAX(0,N599+Observaciones!$F599-K600-Constantes!$D$13)</f>
        <v>0</v>
      </c>
      <c r="N600" s="76">
        <f>N599+Observaciones!$F599-K600-L600-M600-O599</f>
        <v>12.97106861433236</v>
      </c>
      <c r="O600" s="76">
        <f>MAX(0,(N600-Constantes!$D$14)*(1-EXP(-Constantes!$D$22)))</f>
        <v>5.8625915176389272E-2</v>
      </c>
      <c r="P600" s="170">
        <f>P599+(Entradas!$E$83*M600-Q599)/(800*Entradas!$D$25)</f>
        <v>0</v>
      </c>
      <c r="Q600" s="170">
        <f>8000*Entradas!$D$26*P600/Constantes!$E$45</f>
        <v>0</v>
      </c>
      <c r="R600" s="170">
        <f>IF(Escenarios!$E$14&gt;0,K600*Escenarios!$E$13/Escenarios!$E$14,0)</f>
        <v>0</v>
      </c>
      <c r="S600" s="170">
        <f>IF(Escenarios!$E$14&gt;0,Q600*Escenarios!$E$13/Escenarios!$E$14,0)</f>
        <v>0</v>
      </c>
      <c r="T600" s="170">
        <f>IF(Escenarios!$E$14&gt;0,Observaciones!$I599,0)</f>
        <v>0</v>
      </c>
      <c r="U600" s="170">
        <f>IF(Escenarios!$E$14&gt;0,MAX(0,Constantes!$E$36/((Z599+R600+S600+T600+Observaciones!$F599)^2)+Entradas!$E$77),0)</f>
        <v>0</v>
      </c>
      <c r="V600" s="146">
        <f>IF(ETo!D599&gt;0,ETo!I599*((1-Entradas!$E$81)*ETo!K599+ETo!L599),0)</f>
        <v>2.8755209216426074</v>
      </c>
      <c r="W600" s="170">
        <f>IF(Escenarios!$E$14&gt;0,MIN(V600*1,0.8*(Z599+R600+S600+T600+Observaciones!$F599-U600-Constantes!$E$35)),0)</f>
        <v>2.640256288368886</v>
      </c>
      <c r="X600" s="170">
        <f>IF(Escenarios!$E$14&gt;0,Observaciones!$J599,0)</f>
        <v>0</v>
      </c>
      <c r="Y600" s="170">
        <f>IF(Escenarios!$E$14&gt;0,MAX(0,Z599+R600+S600+T600+Observaciones!$F599-U600-W600-X600-Constantes!$E$33),0)</f>
        <v>0</v>
      </c>
      <c r="Z600" s="170">
        <f>Z599+R600+S600+T600+Observaciones!$F599-U600-W600-Y600</f>
        <v>41.910064072092219</v>
      </c>
      <c r="AA600" s="170">
        <f>IF(Escenarios!$E$14&gt;0,(Escenarios!$E$13*L600+Escenarios!$E$14*W600)/(Escenarios!$E$16),L600)</f>
        <v>1.692949780020683</v>
      </c>
      <c r="AB600" s="170">
        <f>IF(Escenarios!$E$14&gt;0,(Escenarios!$E$14*Y600)/(Escenarios!$E$16),K600)</f>
        <v>0</v>
      </c>
      <c r="AC600" s="170">
        <f>IF(Escenarios!$E$14&gt;0,(Escenarios!$E$13*M600+Escenarios!$E$14*U600)/(Escenarios!$E$16),M600)</f>
        <v>0</v>
      </c>
      <c r="AD600" s="76">
        <f t="shared" si="127"/>
        <v>82.657588990899583</v>
      </c>
      <c r="AE600" s="76">
        <f>MAX(0,(AD600-Constantes!$D$13)*(1-EXP(-Constantes!$D$23)))</f>
        <v>0.33409955048581985</v>
      </c>
      <c r="AF600" s="76">
        <f>AB600+O600*Escenarios!$E$13/Escenarios!$E$16+AE600</f>
        <v>0.38569035584104239</v>
      </c>
      <c r="AG600" s="76">
        <f>IF(Entradas!$E$91&gt;0,IF(AF600-Escenarios!$E$38&lt;=0,0,IF(AF600-Escenarios!$E$38&gt;Escenarios!$E$37,Escenarios!$E$37,AF600-Escenarios!$E$38)),0)</f>
        <v>0</v>
      </c>
      <c r="AH600" s="76">
        <f>AG600*Entradas!$E$99</f>
        <v>0</v>
      </c>
      <c r="AI600" s="76">
        <f>IF(Entradas!$E$91&gt;0,D600*Entradas!$D$23/Escenarios!$E$16,0)</f>
        <v>0</v>
      </c>
      <c r="AJ600" s="76">
        <f>IF(Entradas!$E$91&gt;0,Entradas!$D$24*Entradas!$D$22/Escenarios!$E$16,0)</f>
        <v>0</v>
      </c>
      <c r="AK600" s="76">
        <f t="shared" si="136"/>
        <v>1.692949780020683</v>
      </c>
      <c r="AL600" s="76">
        <f t="shared" si="137"/>
        <v>0</v>
      </c>
      <c r="AM600" s="76">
        <f t="shared" si="128"/>
        <v>0</v>
      </c>
      <c r="AN600" s="76">
        <f>MAX(0,O600*Escenarios!$E$13/Escenarios!$E$16-AM600)</f>
        <v>5.1590805355222556E-2</v>
      </c>
      <c r="AO600" s="76">
        <f>AM600+AN600-O600*Escenarios!$E$13/Escenarios!$E$16</f>
        <v>0</v>
      </c>
      <c r="AP600" s="76">
        <f t="shared" si="126"/>
        <v>0.33409955048581985</v>
      </c>
      <c r="AQ600" s="76">
        <f t="shared" si="129"/>
        <v>0</v>
      </c>
      <c r="AR600" s="76">
        <f t="shared" si="130"/>
        <v>0.38569035584104239</v>
      </c>
      <c r="AS600" s="76">
        <f t="shared" si="131"/>
        <v>0</v>
      </c>
      <c r="AT600" s="76">
        <f t="shared" si="132"/>
        <v>0</v>
      </c>
      <c r="AU600" s="76">
        <f t="shared" si="133"/>
        <v>48.75</v>
      </c>
      <c r="AV600" s="76">
        <f>MAX(0,(AU600-Constantes!$D$13)*(1-EXP(-Constantes!$D$24)))</f>
        <v>0</v>
      </c>
      <c r="AW600" s="170">
        <f>AW599+(Entradas!$E$112*AT600-AX599)/(800*Entradas!$D$25)</f>
        <v>0</v>
      </c>
      <c r="AX600" s="170">
        <f>8000*Entradas!$D$26*AW600/Constantes!$E$45</f>
        <v>0</v>
      </c>
      <c r="AY600" s="170">
        <f>IF(Escenarios!$E$17&gt;0,10*Escenarios!$E$16*AL600,0)</f>
        <v>0</v>
      </c>
      <c r="AZ600" s="170">
        <f>IF(Escenarios!$E$17&gt;0,10*Escenarios!$E$16*AX600,0)</f>
        <v>0</v>
      </c>
      <c r="BA600" s="170">
        <f>IF(Escenarios!$E$17&gt;0,0.001*Observaciones!$F599*Escenarios!$E$17,0)</f>
        <v>66</v>
      </c>
      <c r="BB600" s="170">
        <f>IF(Escenarios!$E$17&gt;0,Observaciones!$K599,0)</f>
        <v>0</v>
      </c>
      <c r="BC600" s="170">
        <f>IF(Escenarios!$E$17&gt;0,MIN(0.0005*ETo!$M599*Escenarios!$E$17*(BG599/Constantes!$E$40)^(2/3),BG599+AY600+AZ600+BA600+BB600),0)</f>
        <v>4.5046382249677048</v>
      </c>
      <c r="BD600" s="170">
        <f>IF(Escenarios!$E$17&gt;0,MIN(Constantes!$E$39*(BG599/Constantes!$E$40)^(2/3),BG599+AY600+AZ600+BA600+BB600-BC600),0)</f>
        <v>9.9007295689790098</v>
      </c>
      <c r="BE600" s="170">
        <f>IF(Escenarios!$E$17&gt;0,MIN(Entradas!$E$113,BG599+AY600+AZ600+BA600+BB600-BC600-BD600),0)</f>
        <v>1</v>
      </c>
      <c r="BF600" s="170">
        <f>IF(Escenarios!$E$17&gt;0,MAX(0,BG599+AY600+AZ600+BA600+BB600-BC600-BD600-BE600-Constantes!$E$40),0)</f>
        <v>0</v>
      </c>
      <c r="BG600" s="170">
        <f t="shared" si="138"/>
        <v>340.84618901588738</v>
      </c>
      <c r="BH600" s="170">
        <f>(Escenarios!$E$16*AK600+0.1*BC600)/(Escenarios!$E$19)</f>
        <v>1.6813012255066171</v>
      </c>
      <c r="BI600" s="170">
        <f>IF(Escenarios!$E$17&gt;0,BF600/10/Escenarios!$E$19,AL600)</f>
        <v>0</v>
      </c>
      <c r="BJ600" s="170">
        <f>(Escenarios!$E$16*AT600+0.1*BD600)/(Escenarios!$E$19)</f>
        <v>3.9288609400710359E-3</v>
      </c>
      <c r="BK600" s="76">
        <f>BK599+(0.1*BD600)/(Escenarios!$E$19)-BL599</f>
        <v>50.042340041129542</v>
      </c>
      <c r="BL600" s="76">
        <f>MAX(0,(BK600-Constantes!$D$13)*(1-EXP(-Constantes!$D$23)))</f>
        <v>1.2733734236665666E-2</v>
      </c>
      <c r="BM600" s="76">
        <f t="shared" si="134"/>
        <v>0.34683328472248554</v>
      </c>
      <c r="BN600" s="76">
        <f t="shared" si="139"/>
        <v>0.39842409007770807</v>
      </c>
      <c r="BO600" s="76">
        <f>0.0526*BI600*Observaciones!$F599^1.218</f>
        <v>0</v>
      </c>
      <c r="BP600" s="76">
        <f>BO600*Constantes!$E$51</f>
        <v>0</v>
      </c>
      <c r="BQ600" s="76">
        <f t="shared" si="135"/>
        <v>0</v>
      </c>
      <c r="BR600" s="40"/>
    </row>
    <row r="601" spans="1:70">
      <c r="A601" s="147"/>
      <c r="B601" s="39"/>
      <c r="C601" s="75">
        <v>595</v>
      </c>
      <c r="D601" s="146">
        <f>ETo!$I600*((1-Constantes!$E$19)*ETo!$K600+ETo!$L600)</f>
        <v>3.1867449860311465</v>
      </c>
      <c r="E601" s="76">
        <f>MIN(D601*Constantes!$E$17,0.8*(N600+Observaciones!$F600-F601-M601-Constantes!$D$14))</f>
        <v>1.376854891465888</v>
      </c>
      <c r="F601" s="76">
        <f>IF(Observaciones!$F600&gt;0.05*Constantes!$E$18,((Observaciones!$F600-0.05*Constantes!$E$18)^2)/(Observaciones!$F600+0.95*Constantes!$E$18),0)</f>
        <v>0</v>
      </c>
      <c r="G601" s="76">
        <f>IF(Escenarios!$E$11&gt;0,(F601*Escenarios!$E$16*10000)/1000,0)</f>
        <v>0</v>
      </c>
      <c r="H601" s="76">
        <f>IF(Escenarios!$E$11&gt;0,(Observaciones!$F600*Constantes!$E$29)/1000,0)</f>
        <v>0</v>
      </c>
      <c r="I601" s="76">
        <f>IF(Escenarios!$E$11&gt;0,(D601*Constantes!$E$29)/1000,0)</f>
        <v>31.867449860311467</v>
      </c>
      <c r="J601" s="76">
        <f>IF(Escenarios!$E$11&gt;0,MAX(0,G601+H601-I601),0)</f>
        <v>0</v>
      </c>
      <c r="K601" s="76">
        <f>IF(Escenarios!$E$11&gt;0,IF(J601&gt;Constantes!$E$30,1000*((J601-Constantes!$E$30)/(Escenarios!$E$16*10000)),0),F601)</f>
        <v>0</v>
      </c>
      <c r="L601" s="76">
        <f>IF(Escenarios!$E$11&gt;0,I601*1000/Escenarios!$E$16/10000+E601,E601)</f>
        <v>1.3896018714100127</v>
      </c>
      <c r="M601" s="76">
        <f>MAX(0,N600+Observaciones!$F600-K601-Constantes!$D$13)</f>
        <v>0</v>
      </c>
      <c r="N601" s="76">
        <f>N600+Observaciones!$F600-K601-L601-M601-O600</f>
        <v>11.522840827745958</v>
      </c>
      <c r="O601" s="76">
        <f>MAX(0,(N601-Constantes!$D$14)*(1-EXP(-Constantes!$D$22)))</f>
        <v>9.293960212211157E-3</v>
      </c>
      <c r="P601" s="170">
        <f>P600+(Entradas!$E$83*M601-Q600)/(800*Entradas!$D$25)</f>
        <v>0</v>
      </c>
      <c r="Q601" s="170">
        <f>8000*Entradas!$D$26*P601/Constantes!$E$45</f>
        <v>0</v>
      </c>
      <c r="R601" s="170">
        <f>IF(Escenarios!$E$14&gt;0,K601*Escenarios!$E$13/Escenarios!$E$14,0)</f>
        <v>0</v>
      </c>
      <c r="S601" s="170">
        <f>IF(Escenarios!$E$14&gt;0,Q601*Escenarios!$E$13/Escenarios!$E$14,0)</f>
        <v>0</v>
      </c>
      <c r="T601" s="170">
        <f>IF(Escenarios!$E$14&gt;0,Observaciones!$I600,0)</f>
        <v>0</v>
      </c>
      <c r="U601" s="170">
        <f>IF(Escenarios!$E$14&gt;0,MAX(0,Constantes!$E$36/((Z600+R601+S601+T601+Observaciones!$F600)^2)+Entradas!$E$77),0)</f>
        <v>0</v>
      </c>
      <c r="V601" s="146">
        <f>IF(ETo!D600&gt;0,ETo!I600*((1-Entradas!$E$81)*ETo!K600+ETo!L600),0)</f>
        <v>2.8889194260311202</v>
      </c>
      <c r="W601" s="170">
        <f>IF(Escenarios!$E$14&gt;0,MIN(V601*1,0.8*(Z600+R601+S601+T601+Observaciones!$F600-U601-Constantes!$E$35)),0)</f>
        <v>0.52805125767377492</v>
      </c>
      <c r="X601" s="170">
        <f>IF(Escenarios!$E$14&gt;0,Observaciones!$J600,0)</f>
        <v>0</v>
      </c>
      <c r="Y601" s="170">
        <f>IF(Escenarios!$E$14&gt;0,MAX(0,Z600+R601+S601+T601+Observaciones!$F600-U601-W601-X601-Constantes!$E$33),0)</f>
        <v>0</v>
      </c>
      <c r="Z601" s="170">
        <f>Z600+R601+S601+T601+Observaciones!$F600-U601-W601-Y601</f>
        <v>41.382012814418445</v>
      </c>
      <c r="AA601" s="170">
        <f>IF(Escenarios!$E$14&gt;0,(Escenarios!$E$13*L601+Escenarios!$E$14*W601)/(Escenarios!$E$16),L601)</f>
        <v>1.2862157977616642</v>
      </c>
      <c r="AB601" s="170">
        <f>IF(Escenarios!$E$14&gt;0,(Escenarios!$E$14*Y601)/(Escenarios!$E$16),K601)</f>
        <v>0</v>
      </c>
      <c r="AC601" s="170">
        <f>IF(Escenarios!$E$14&gt;0,(Escenarios!$E$13*M601+Escenarios!$E$14*U601)/(Escenarios!$E$16),M601)</f>
        <v>0</v>
      </c>
      <c r="AD601" s="76">
        <f t="shared" si="127"/>
        <v>82.323489440413766</v>
      </c>
      <c r="AE601" s="76">
        <f>MAX(0,(AD601-Constantes!$D$13)*(1-EXP(-Constantes!$D$23)))</f>
        <v>0.33080758803856997</v>
      </c>
      <c r="AF601" s="76">
        <f>AB601+O601*Escenarios!$E$13/Escenarios!$E$16+AE601</f>
        <v>0.33898627302531581</v>
      </c>
      <c r="AG601" s="76">
        <f>IF(Entradas!$E$91&gt;0,IF(AF601-Escenarios!$E$38&lt;=0,0,IF(AF601-Escenarios!$E$38&gt;Escenarios!$E$37,Escenarios!$E$37,AF601-Escenarios!$E$38)),0)</f>
        <v>0</v>
      </c>
      <c r="AH601" s="76">
        <f>AG601*Entradas!$E$99</f>
        <v>0</v>
      </c>
      <c r="AI601" s="76">
        <f>IF(Entradas!$E$91&gt;0,D601*Entradas!$D$23/Escenarios!$E$16,0)</f>
        <v>0</v>
      </c>
      <c r="AJ601" s="76">
        <f>IF(Entradas!$E$91&gt;0,Entradas!$D$24*Entradas!$D$22/Escenarios!$E$16,0)</f>
        <v>0</v>
      </c>
      <c r="AK601" s="76">
        <f t="shared" si="136"/>
        <v>1.2862157977616642</v>
      </c>
      <c r="AL601" s="76">
        <f t="shared" si="137"/>
        <v>0</v>
      </c>
      <c r="AM601" s="76">
        <f t="shared" si="128"/>
        <v>0</v>
      </c>
      <c r="AN601" s="76">
        <f>MAX(0,O601*Escenarios!$E$13/Escenarios!$E$16-AM601)</f>
        <v>8.1786849867458173E-3</v>
      </c>
      <c r="AO601" s="76">
        <f>AM601+AN601-O601*Escenarios!$E$13/Escenarios!$E$16</f>
        <v>0</v>
      </c>
      <c r="AP601" s="76">
        <f t="shared" si="126"/>
        <v>0.33080758803856997</v>
      </c>
      <c r="AQ601" s="76">
        <f t="shared" si="129"/>
        <v>0</v>
      </c>
      <c r="AR601" s="76">
        <f t="shared" si="130"/>
        <v>0.33898627302531581</v>
      </c>
      <c r="AS601" s="76">
        <f t="shared" si="131"/>
        <v>0</v>
      </c>
      <c r="AT601" s="76">
        <f t="shared" si="132"/>
        <v>0</v>
      </c>
      <c r="AU601" s="76">
        <f t="shared" si="133"/>
        <v>48.75</v>
      </c>
      <c r="AV601" s="76">
        <f>MAX(0,(AU601-Constantes!$D$13)*(1-EXP(-Constantes!$D$24)))</f>
        <v>0</v>
      </c>
      <c r="AW601" s="170">
        <f>AW600+(Entradas!$E$112*AT601-AX600)/(800*Entradas!$D$25)</f>
        <v>0</v>
      </c>
      <c r="AX601" s="170">
        <f>8000*Entradas!$D$26*AW601/Constantes!$E$45</f>
        <v>0</v>
      </c>
      <c r="AY601" s="170">
        <f>IF(Escenarios!$E$17&gt;0,10*Escenarios!$E$16*AL601,0)</f>
        <v>0</v>
      </c>
      <c r="AZ601" s="170">
        <f>IF(Escenarios!$E$17&gt;0,10*Escenarios!$E$16*AX601,0)</f>
        <v>0</v>
      </c>
      <c r="BA601" s="170">
        <f>IF(Escenarios!$E$17&gt;0,0.001*Observaciones!$F600*Escenarios!$E$17,0)</f>
        <v>0</v>
      </c>
      <c r="BB601" s="170">
        <f>IF(Escenarios!$E$17&gt;0,Observaciones!$K600,0)</f>
        <v>0</v>
      </c>
      <c r="BC601" s="170">
        <f>IF(Escenarios!$E$17&gt;0,MIN(0.0005*ETo!$M600*Escenarios!$E$17*(BG600/Constantes!$E$40)^(2/3),BG600+AY601+AZ601+BA601+BB601),0)</f>
        <v>5.0353840672886765</v>
      </c>
      <c r="BD601" s="170">
        <f>IF(Escenarios!$E$17&gt;0,MIN(Constantes!$E$39*(BG600/Constantes!$E$40)^(2/3),BG600+AY601+AZ601+BA601+BB601-BC601),0)</f>
        <v>11.020207908787057</v>
      </c>
      <c r="BE601" s="170">
        <f>IF(Escenarios!$E$17&gt;0,MIN(Entradas!$E$113,BG600+AY601+AZ601+BA601+BB601-BC601-BD601),0)</f>
        <v>1</v>
      </c>
      <c r="BF601" s="170">
        <f>IF(Escenarios!$E$17&gt;0,MAX(0,BG600+AY601+AZ601+BA601+BB601-BC601-BD601-BE601-Constantes!$E$40),0)</f>
        <v>0</v>
      </c>
      <c r="BG601" s="170">
        <f t="shared" si="138"/>
        <v>323.79059703981159</v>
      </c>
      <c r="BH601" s="170">
        <f>(Escenarios!$E$16*AK601+0.1*BC601)/(Escenarios!$E$19)</f>
        <v>1.2780059041553369</v>
      </c>
      <c r="BI601" s="170">
        <f>IF(Escenarios!$E$17&gt;0,BF601/10/Escenarios!$E$19,AL601)</f>
        <v>0</v>
      </c>
      <c r="BJ601" s="170">
        <f>(Escenarios!$E$16*AT601+0.1*BD601)/(Escenarios!$E$19)</f>
        <v>4.3730983765028009E-3</v>
      </c>
      <c r="BK601" s="76">
        <f>BK600+(0.1*BD601)/(Escenarios!$E$19)-BL600</f>
        <v>50.033979405269378</v>
      </c>
      <c r="BL601" s="76">
        <f>MAX(0,(BK601-Constantes!$D$13)*(1-EXP(-Constantes!$D$23)))</f>
        <v>1.2651354900187152E-2</v>
      </c>
      <c r="BM601" s="76">
        <f t="shared" si="134"/>
        <v>0.34345894293875712</v>
      </c>
      <c r="BN601" s="76">
        <f t="shared" si="139"/>
        <v>0.35163762792550296</v>
      </c>
      <c r="BO601" s="76">
        <f>0.0526*BI601*Observaciones!$F600^1.218</f>
        <v>0</v>
      </c>
      <c r="BP601" s="76">
        <f>BO601*Constantes!$E$51</f>
        <v>0</v>
      </c>
      <c r="BQ601" s="76">
        <f t="shared" si="135"/>
        <v>0</v>
      </c>
      <c r="BR601" s="40"/>
    </row>
    <row r="602" spans="1:70">
      <c r="A602" s="147"/>
      <c r="B602" s="39"/>
      <c r="C602" s="75">
        <v>596</v>
      </c>
      <c r="D602" s="146">
        <f>ETo!$I601*((1-Constantes!$E$19)*ETo!$K601+ETo!$L601)</f>
        <v>3.211784980033237</v>
      </c>
      <c r="E602" s="76">
        <f>MIN(D602*Constantes!$E$17,0.8*(N601+Observaciones!$F601-F602-M602-Constantes!$D$14))</f>
        <v>0.21827266219676603</v>
      </c>
      <c r="F602" s="76">
        <f>IF(Observaciones!$F601&gt;0.05*Constantes!$E$18,((Observaciones!$F601-0.05*Constantes!$E$18)^2)/(Observaciones!$F601+0.95*Constantes!$E$18),0)</f>
        <v>0</v>
      </c>
      <c r="G602" s="76">
        <f>IF(Escenarios!$E$11&gt;0,(F602*Escenarios!$E$16*10000)/1000,0)</f>
        <v>0</v>
      </c>
      <c r="H602" s="76">
        <f>IF(Escenarios!$E$11&gt;0,(Observaciones!$F601*Constantes!$E$29)/1000,0)</f>
        <v>0</v>
      </c>
      <c r="I602" s="76">
        <f>IF(Escenarios!$E$11&gt;0,(D602*Constantes!$E$29)/1000,0)</f>
        <v>32.117849800332372</v>
      </c>
      <c r="J602" s="76">
        <f>IF(Escenarios!$E$11&gt;0,MAX(0,G602+H602-I602),0)</f>
        <v>0</v>
      </c>
      <c r="K602" s="76">
        <f>IF(Escenarios!$E$11&gt;0,IF(J602&gt;Constantes!$E$30,1000*((J602-Constantes!$E$30)/(Escenarios!$E$16*10000)),0),F602)</f>
        <v>0</v>
      </c>
      <c r="L602" s="76">
        <f>IF(Escenarios!$E$11&gt;0,I602*1000/Escenarios!$E$16/10000+E602,E602)</f>
        <v>0.23111980211689898</v>
      </c>
      <c r="M602" s="76">
        <f>MAX(0,N601+Observaciones!$F601-K602-Constantes!$D$13)</f>
        <v>0</v>
      </c>
      <c r="N602" s="76">
        <f>N601+Observaciones!$F601-K602-L602-M602-O601</f>
        <v>11.282427065416847</v>
      </c>
      <c r="O602" s="76">
        <f>MAX(0,(N602-Constantes!$D$14)*(1-EXP(-Constantes!$D$22)))</f>
        <v>1.1045848902919994E-3</v>
      </c>
      <c r="P602" s="170">
        <f>P601+(Entradas!$E$83*M602-Q601)/(800*Entradas!$D$25)</f>
        <v>0</v>
      </c>
      <c r="Q602" s="170">
        <f>8000*Entradas!$D$26*P602/Constantes!$E$45</f>
        <v>0</v>
      </c>
      <c r="R602" s="170">
        <f>IF(Escenarios!$E$14&gt;0,K602*Escenarios!$E$13/Escenarios!$E$14,0)</f>
        <v>0</v>
      </c>
      <c r="S602" s="170">
        <f>IF(Escenarios!$E$14&gt;0,Q602*Escenarios!$E$13/Escenarios!$E$14,0)</f>
        <v>0</v>
      </c>
      <c r="T602" s="170">
        <f>IF(Escenarios!$E$14&gt;0,Observaciones!$I601,0)</f>
        <v>0</v>
      </c>
      <c r="U602" s="170">
        <f>IF(Escenarios!$E$14&gt;0,MAX(0,Constantes!$E$36/((Z601+R602+S602+T602+Observaciones!$F601)^2)+Entradas!$E$77),0)</f>
        <v>0</v>
      </c>
      <c r="V602" s="146">
        <f>IF(ETo!D601&gt;0,ETo!I601*((1-Entradas!$E$81)*ETo!K601+ETo!L601),0)</f>
        <v>2.912216763493916</v>
      </c>
      <c r="W602" s="170">
        <f>IF(Escenarios!$E$14&gt;0,MIN(V602*1,0.8*(Z601+R602+S602+T602+Observaciones!$F601-U602-Constantes!$E$35)),0)</f>
        <v>0.10561025153475612</v>
      </c>
      <c r="X602" s="170">
        <f>IF(Escenarios!$E$14&gt;0,Observaciones!$J601,0)</f>
        <v>0</v>
      </c>
      <c r="Y602" s="170">
        <f>IF(Escenarios!$E$14&gt;0,MAX(0,Z601+R602+S602+T602+Observaciones!$F601-U602-W602-X602-Constantes!$E$33),0)</f>
        <v>0</v>
      </c>
      <c r="Z602" s="170">
        <f>Z601+R602+S602+T602+Observaciones!$F601-U602-W602-Y602</f>
        <v>41.276402562883689</v>
      </c>
      <c r="AA602" s="170">
        <f>IF(Escenarios!$E$14&gt;0,(Escenarios!$E$13*L602+Escenarios!$E$14*W602)/(Escenarios!$E$16),L602)</f>
        <v>0.21605865604704183</v>
      </c>
      <c r="AB602" s="170">
        <f>IF(Escenarios!$E$14&gt;0,(Escenarios!$E$14*Y602)/(Escenarios!$E$16),K602)</f>
        <v>0</v>
      </c>
      <c r="AC602" s="170">
        <f>IF(Escenarios!$E$14&gt;0,(Escenarios!$E$13*M602+Escenarios!$E$14*U602)/(Escenarios!$E$16),M602)</f>
        <v>0</v>
      </c>
      <c r="AD602" s="76">
        <f t="shared" si="127"/>
        <v>81.992681852375199</v>
      </c>
      <c r="AE602" s="76">
        <f>MAX(0,(AD602-Constantes!$D$13)*(1-EXP(-Constantes!$D$23)))</f>
        <v>0.32754806208139714</v>
      </c>
      <c r="AF602" s="76">
        <f>AB602+O602*Escenarios!$E$13/Escenarios!$E$16+AE602</f>
        <v>0.32852009678485411</v>
      </c>
      <c r="AG602" s="76">
        <f>IF(Entradas!$E$91&gt;0,IF(AF602-Escenarios!$E$38&lt;=0,0,IF(AF602-Escenarios!$E$38&gt;Escenarios!$E$37,Escenarios!$E$37,AF602-Escenarios!$E$38)),0)</f>
        <v>0</v>
      </c>
      <c r="AH602" s="76">
        <f>AG602*Entradas!$E$99</f>
        <v>0</v>
      </c>
      <c r="AI602" s="76">
        <f>IF(Entradas!$E$91&gt;0,D602*Entradas!$D$23/Escenarios!$E$16,0)</f>
        <v>0</v>
      </c>
      <c r="AJ602" s="76">
        <f>IF(Entradas!$E$91&gt;0,Entradas!$D$24*Entradas!$D$22/Escenarios!$E$16,0)</f>
        <v>0</v>
      </c>
      <c r="AK602" s="76">
        <f t="shared" si="136"/>
        <v>0.21605865604704183</v>
      </c>
      <c r="AL602" s="76">
        <f t="shared" si="137"/>
        <v>0</v>
      </c>
      <c r="AM602" s="76">
        <f t="shared" si="128"/>
        <v>0</v>
      </c>
      <c r="AN602" s="76">
        <f>MAX(0,O602*Escenarios!$E$13/Escenarios!$E$16-AM602)</f>
        <v>9.7203470345695955E-4</v>
      </c>
      <c r="AO602" s="76">
        <f>AM602+AN602-O602*Escenarios!$E$13/Escenarios!$E$16</f>
        <v>0</v>
      </c>
      <c r="AP602" s="76">
        <f t="shared" si="126"/>
        <v>0.32754806208139714</v>
      </c>
      <c r="AQ602" s="76">
        <f t="shared" si="129"/>
        <v>0</v>
      </c>
      <c r="AR602" s="76">
        <f t="shared" si="130"/>
        <v>0.32852009678485411</v>
      </c>
      <c r="AS602" s="76">
        <f t="shared" si="131"/>
        <v>0</v>
      </c>
      <c r="AT602" s="76">
        <f t="shared" si="132"/>
        <v>0</v>
      </c>
      <c r="AU602" s="76">
        <f t="shared" si="133"/>
        <v>48.75</v>
      </c>
      <c r="AV602" s="76">
        <f>MAX(0,(AU602-Constantes!$D$13)*(1-EXP(-Constantes!$D$24)))</f>
        <v>0</v>
      </c>
      <c r="AW602" s="170">
        <f>AW601+(Entradas!$E$112*AT602-AX601)/(800*Entradas!$D$25)</f>
        <v>0</v>
      </c>
      <c r="AX602" s="170">
        <f>8000*Entradas!$D$26*AW602/Constantes!$E$45</f>
        <v>0</v>
      </c>
      <c r="AY602" s="170">
        <f>IF(Escenarios!$E$17&gt;0,10*Escenarios!$E$16*AL602,0)</f>
        <v>0</v>
      </c>
      <c r="AZ602" s="170">
        <f>IF(Escenarios!$E$17&gt;0,10*Escenarios!$E$16*AX602,0)</f>
        <v>0</v>
      </c>
      <c r="BA602" s="170">
        <f>IF(Escenarios!$E$17&gt;0,0.001*Observaciones!$F601*Escenarios!$E$17,0)</f>
        <v>0</v>
      </c>
      <c r="BB602" s="170">
        <f>IF(Escenarios!$E$17&gt;0,Observaciones!$K601,0)</f>
        <v>0</v>
      </c>
      <c r="BC602" s="170">
        <f>IF(Escenarios!$E$17&gt;0,MIN(0.0005*ETo!$M601*Escenarios!$E$17*(BG601/Constantes!$E$40)^(2/3),BG601+AY602+AZ602+BA602+BB602),0)</f>
        <v>4.9029571339327092</v>
      </c>
      <c r="BD602" s="170">
        <f>IF(Escenarios!$E$17&gt;0,MIN(Constantes!$E$39*(BG601/Constantes!$E$40)^(2/3),BG601+AY602+AZ602+BA602+BB602-BC602),0)</f>
        <v>10.649445158853275</v>
      </c>
      <c r="BE602" s="170">
        <f>IF(Escenarios!$E$17&gt;0,MIN(Entradas!$E$113,BG601+AY602+AZ602+BA602+BB602-BC602-BD602),0)</f>
        <v>1</v>
      </c>
      <c r="BF602" s="170">
        <f>IF(Escenarios!$E$17&gt;0,MAX(0,BG601+AY602+AZ602+BA602+BB602-BC602-BD602-BE602-Constantes!$E$40),0)</f>
        <v>0</v>
      </c>
      <c r="BG602" s="170">
        <f t="shared" si="138"/>
        <v>307.2381947470256</v>
      </c>
      <c r="BH602" s="170">
        <f>(Escenarios!$E$16*AK602+0.1*BC602)/(Escenarios!$E$19)</f>
        <v>0.21628952271886401</v>
      </c>
      <c r="BI602" s="170">
        <f>IF(Escenarios!$E$17&gt;0,BF602/10/Escenarios!$E$19,AL602)</f>
        <v>0</v>
      </c>
      <c r="BJ602" s="170">
        <f>(Escenarios!$E$16*AT602+0.1*BD602)/(Escenarios!$E$19)</f>
        <v>4.2259703011322527E-3</v>
      </c>
      <c r="BK602" s="76">
        <f>BK601+(0.1*BD602)/(Escenarios!$E$19)-BL601</f>
        <v>50.025554020670327</v>
      </c>
      <c r="BL602" s="76">
        <f>MAX(0,(BK602-Constantes!$D$13)*(1-EXP(-Constantes!$D$23)))</f>
        <v>1.2568337578962445E-2</v>
      </c>
      <c r="BM602" s="76">
        <f t="shared" si="134"/>
        <v>0.34011639966035956</v>
      </c>
      <c r="BN602" s="76">
        <f t="shared" si="139"/>
        <v>0.34108843436381653</v>
      </c>
      <c r="BO602" s="76">
        <f>0.0526*BI602*Observaciones!$F601^1.218</f>
        <v>0</v>
      </c>
      <c r="BP602" s="76">
        <f>BO602*Constantes!$E$51</f>
        <v>0</v>
      </c>
      <c r="BQ602" s="76">
        <f t="shared" si="135"/>
        <v>0</v>
      </c>
      <c r="BR602" s="40"/>
    </row>
    <row r="603" spans="1:70">
      <c r="A603" s="147"/>
      <c r="B603" s="39"/>
      <c r="C603" s="75">
        <v>597</v>
      </c>
      <c r="D603" s="146">
        <f>ETo!$I602*((1-Constantes!$E$19)*ETo!$K602+ETo!$L602)</f>
        <v>3.3386519520747422</v>
      </c>
      <c r="E603" s="76">
        <f>MIN(D603*Constantes!$E$17,0.8*(N602+Observaciones!$F602-F603-M603-Constantes!$D$14))</f>
        <v>2.5941652333477807E-2</v>
      </c>
      <c r="F603" s="76">
        <f>IF(Observaciones!$F602&gt;0.05*Constantes!$E$18,((Observaciones!$F602-0.05*Constantes!$E$18)^2)/(Observaciones!$F602+0.95*Constantes!$E$18),0)</f>
        <v>0</v>
      </c>
      <c r="G603" s="76">
        <f>IF(Escenarios!$E$11&gt;0,(F603*Escenarios!$E$16*10000)/1000,0)</f>
        <v>0</v>
      </c>
      <c r="H603" s="76">
        <f>IF(Escenarios!$E$11&gt;0,(Observaciones!$F602*Constantes!$E$29)/1000,0)</f>
        <v>0</v>
      </c>
      <c r="I603" s="76">
        <f>IF(Escenarios!$E$11&gt;0,(D603*Constantes!$E$29)/1000,0)</f>
        <v>33.386519520747427</v>
      </c>
      <c r="J603" s="76">
        <f>IF(Escenarios!$E$11&gt;0,MAX(0,G603+H603-I603),0)</f>
        <v>0</v>
      </c>
      <c r="K603" s="76">
        <f>IF(Escenarios!$E$11&gt;0,IF(J603&gt;Constantes!$E$30,1000*((J603-Constantes!$E$30)/(Escenarios!$E$16*10000)),0),F603)</f>
        <v>0</v>
      </c>
      <c r="L603" s="76">
        <f>IF(Escenarios!$E$11&gt;0,I603*1000/Escenarios!$E$16/10000+E603,E603)</f>
        <v>3.9296260141776777E-2</v>
      </c>
      <c r="M603" s="76">
        <f>MAX(0,N602+Observaciones!$F602-K603-Constantes!$D$13)</f>
        <v>0</v>
      </c>
      <c r="N603" s="76">
        <f>N602+Observaciones!$F602-K603-L603-M603-O602</f>
        <v>11.242026220384778</v>
      </c>
      <c r="O603" s="76">
        <f>MAX(0,(N603-Constantes!$D$14)*(1-EXP(-Constantes!$D$22)))</f>
        <v>0</v>
      </c>
      <c r="P603" s="170">
        <f>P602+(Entradas!$E$83*M603-Q602)/(800*Entradas!$D$25)</f>
        <v>0</v>
      </c>
      <c r="Q603" s="170">
        <f>8000*Entradas!$D$26*P603/Constantes!$E$45</f>
        <v>0</v>
      </c>
      <c r="R603" s="170">
        <f>IF(Escenarios!$E$14&gt;0,K603*Escenarios!$E$13/Escenarios!$E$14,0)</f>
        <v>0</v>
      </c>
      <c r="S603" s="170">
        <f>IF(Escenarios!$E$14&gt;0,Q603*Escenarios!$E$13/Escenarios!$E$14,0)</f>
        <v>0</v>
      </c>
      <c r="T603" s="170">
        <f>IF(Escenarios!$E$14&gt;0,Observaciones!$I602,0)</f>
        <v>0</v>
      </c>
      <c r="U603" s="170">
        <f>IF(Escenarios!$E$14&gt;0,MAX(0,Constantes!$E$36/((Z602+R603+S603+T603+Observaciones!$F602)^2)+Entradas!$E$77),0)</f>
        <v>0</v>
      </c>
      <c r="V603" s="146">
        <f>IF(ETo!D602&gt;0,ETo!I602*((1-Entradas!$E$81)*ETo!K602+ETo!L602),0)</f>
        <v>3.0289836380467858</v>
      </c>
      <c r="W603" s="170">
        <f>IF(Escenarios!$E$14&gt;0,MIN(V603*1,0.8*(Z602+R603+S603+T603+Observaciones!$F602-U603-Constantes!$E$35)),0)</f>
        <v>2.1122050306951225E-2</v>
      </c>
      <c r="X603" s="170">
        <f>IF(Escenarios!$E$14&gt;0,Observaciones!$J602,0)</f>
        <v>0</v>
      </c>
      <c r="Y603" s="170">
        <f>IF(Escenarios!$E$14&gt;0,MAX(0,Z602+R603+S603+T603+Observaciones!$F602-U603-W603-X603-Constantes!$E$33),0)</f>
        <v>0</v>
      </c>
      <c r="Z603" s="170">
        <f>Z602+R603+S603+T603+Observaciones!$F602-U603-W603-Y603</f>
        <v>41.255280512576739</v>
      </c>
      <c r="AA603" s="170">
        <f>IF(Escenarios!$E$14&gt;0,(Escenarios!$E$13*L603+Escenarios!$E$14*W603)/(Escenarios!$E$16),L603)</f>
        <v>3.7115354961597707E-2</v>
      </c>
      <c r="AB603" s="170">
        <f>IF(Escenarios!$E$14&gt;0,(Escenarios!$E$14*Y603)/(Escenarios!$E$16),K603)</f>
        <v>0</v>
      </c>
      <c r="AC603" s="170">
        <f>IF(Escenarios!$E$14&gt;0,(Escenarios!$E$13*M603+Escenarios!$E$14*U603)/(Escenarios!$E$16),M603)</f>
        <v>0</v>
      </c>
      <c r="AD603" s="76">
        <f t="shared" si="127"/>
        <v>81.665133790293808</v>
      </c>
      <c r="AE603" s="76">
        <f>MAX(0,(AD603-Constantes!$D$13)*(1-EXP(-Constantes!$D$23)))</f>
        <v>0.32432065300983903</v>
      </c>
      <c r="AF603" s="76">
        <f>AB603+O603*Escenarios!$E$13/Escenarios!$E$16+AE603</f>
        <v>0.32432065300983903</v>
      </c>
      <c r="AG603" s="76">
        <f>IF(Entradas!$E$91&gt;0,IF(AF603-Escenarios!$E$38&lt;=0,0,IF(AF603-Escenarios!$E$38&gt;Escenarios!$E$37,Escenarios!$E$37,AF603-Escenarios!$E$38)),0)</f>
        <v>0</v>
      </c>
      <c r="AH603" s="76">
        <f>AG603*Entradas!$E$99</f>
        <v>0</v>
      </c>
      <c r="AI603" s="76">
        <f>IF(Entradas!$E$91&gt;0,D603*Entradas!$D$23/Escenarios!$E$16,0)</f>
        <v>0</v>
      </c>
      <c r="AJ603" s="76">
        <f>IF(Entradas!$E$91&gt;0,Entradas!$D$24*Entradas!$D$22/Escenarios!$E$16,0)</f>
        <v>0</v>
      </c>
      <c r="AK603" s="76">
        <f t="shared" si="136"/>
        <v>3.7115354961597707E-2</v>
      </c>
      <c r="AL603" s="76">
        <f t="shared" si="137"/>
        <v>0</v>
      </c>
      <c r="AM603" s="76">
        <f t="shared" si="128"/>
        <v>0</v>
      </c>
      <c r="AN603" s="76">
        <f>MAX(0,O603*Escenarios!$E$13/Escenarios!$E$16-AM603)</f>
        <v>0</v>
      </c>
      <c r="AO603" s="76">
        <f>AM603+AN603-O603*Escenarios!$E$13/Escenarios!$E$16</f>
        <v>0</v>
      </c>
      <c r="AP603" s="76">
        <f t="shared" si="126"/>
        <v>0.32432065300983903</v>
      </c>
      <c r="AQ603" s="76">
        <f t="shared" si="129"/>
        <v>0</v>
      </c>
      <c r="AR603" s="76">
        <f t="shared" si="130"/>
        <v>0.32432065300983903</v>
      </c>
      <c r="AS603" s="76">
        <f t="shared" si="131"/>
        <v>0</v>
      </c>
      <c r="AT603" s="76">
        <f t="shared" si="132"/>
        <v>0</v>
      </c>
      <c r="AU603" s="76">
        <f t="shared" si="133"/>
        <v>48.75</v>
      </c>
      <c r="AV603" s="76">
        <f>MAX(0,(AU603-Constantes!$D$13)*(1-EXP(-Constantes!$D$24)))</f>
        <v>0</v>
      </c>
      <c r="AW603" s="170">
        <f>AW602+(Entradas!$E$112*AT603-AX602)/(800*Entradas!$D$25)</f>
        <v>0</v>
      </c>
      <c r="AX603" s="170">
        <f>8000*Entradas!$D$26*AW603/Constantes!$E$45</f>
        <v>0</v>
      </c>
      <c r="AY603" s="170">
        <f>IF(Escenarios!$E$17&gt;0,10*Escenarios!$E$16*AL603,0)</f>
        <v>0</v>
      </c>
      <c r="AZ603" s="170">
        <f>IF(Escenarios!$E$17&gt;0,10*Escenarios!$E$16*AX603,0)</f>
        <v>0</v>
      </c>
      <c r="BA603" s="170">
        <f>IF(Escenarios!$E$17&gt;0,0.001*Observaciones!$F602*Escenarios!$E$17,0)</f>
        <v>0</v>
      </c>
      <c r="BB603" s="170">
        <f>IF(Escenarios!$E$17&gt;0,Observaciones!$K602,0)</f>
        <v>0</v>
      </c>
      <c r="BC603" s="170">
        <f>IF(Escenarios!$E$17&gt;0,MIN(0.0005*ETo!$M602*Escenarios!$E$17*(BG602/Constantes!$E$40)^(2/3),BG602+AY603+AZ603+BA603+BB603),0)</f>
        <v>4.9179110016074565</v>
      </c>
      <c r="BD603" s="170">
        <f>IF(Escenarios!$E$17&gt;0,MIN(Constantes!$E$39*(BG602/Constantes!$E$40)^(2/3),BG602+AY603+AZ603+BA603+BB603-BC603),0)</f>
        <v>10.283342389674514</v>
      </c>
      <c r="BE603" s="170">
        <f>IF(Escenarios!$E$17&gt;0,MIN(Entradas!$E$113,BG602+AY603+AZ603+BA603+BB603-BC603-BD603),0)</f>
        <v>1</v>
      </c>
      <c r="BF603" s="170">
        <f>IF(Escenarios!$E$17&gt;0,MAX(0,BG602+AY603+AZ603+BA603+BB603-BC603-BD603-BE603-Constantes!$E$40),0)</f>
        <v>0</v>
      </c>
      <c r="BG603" s="170">
        <f t="shared" si="138"/>
        <v>291.03694135574364</v>
      </c>
      <c r="BH603" s="170">
        <f>(Escenarios!$E$16*AK603+0.1*BC603)/(Escenarios!$E$19)</f>
        <v>3.8772340637143549E-2</v>
      </c>
      <c r="BI603" s="170">
        <f>IF(Escenarios!$E$17&gt;0,BF603/10/Escenarios!$E$19,AL603)</f>
        <v>0</v>
      </c>
      <c r="BJ603" s="170">
        <f>(Escenarios!$E$16*AT603+0.1*BD603)/(Escenarios!$E$19)</f>
        <v>4.0806914244740141E-3</v>
      </c>
      <c r="BK603" s="76">
        <f>BK602+(0.1*BD603)/(Escenarios!$E$19)-BL602</f>
        <v>50.017066374515842</v>
      </c>
      <c r="BL603" s="76">
        <f>MAX(0,(BK603-Constantes!$D$13)*(1-EXP(-Constantes!$D$23)))</f>
        <v>1.2484706779802492E-2</v>
      </c>
      <c r="BM603" s="76">
        <f t="shared" si="134"/>
        <v>0.33680535978964155</v>
      </c>
      <c r="BN603" s="76">
        <f t="shared" si="139"/>
        <v>0.33680535978964155</v>
      </c>
      <c r="BO603" s="76">
        <f>0.0526*BI603*Observaciones!$F602^1.218</f>
        <v>0</v>
      </c>
      <c r="BP603" s="76">
        <f>BO603*Constantes!$E$51</f>
        <v>0</v>
      </c>
      <c r="BQ603" s="76">
        <f t="shared" si="135"/>
        <v>0</v>
      </c>
      <c r="BR603" s="40"/>
    </row>
    <row r="604" spans="1:70">
      <c r="A604" s="147"/>
      <c r="B604" s="39"/>
      <c r="C604" s="75">
        <v>598</v>
      </c>
      <c r="D604" s="146">
        <f>ETo!$I603*((1-Constantes!$E$19)*ETo!$K603+ETo!$L603)</f>
        <v>3.2767429627857574</v>
      </c>
      <c r="E604" s="76">
        <f>MIN(D604*Constantes!$E$17,0.8*(N603+Observaciones!$F603-F604-M604-Constantes!$D$14))</f>
        <v>-6.379023692177555E-3</v>
      </c>
      <c r="F604" s="76">
        <f>IF(Observaciones!$F603&gt;0.05*Constantes!$E$18,((Observaciones!$F603-0.05*Constantes!$E$18)^2)/(Observaciones!$F603+0.95*Constantes!$E$18),0)</f>
        <v>0</v>
      </c>
      <c r="G604" s="76">
        <f>IF(Escenarios!$E$11&gt;0,(F604*Escenarios!$E$16*10000)/1000,0)</f>
        <v>0</v>
      </c>
      <c r="H604" s="76">
        <f>IF(Escenarios!$E$11&gt;0,(Observaciones!$F603*Constantes!$E$29)/1000,0)</f>
        <v>0</v>
      </c>
      <c r="I604" s="76">
        <f>IF(Escenarios!$E$11&gt;0,(D604*Constantes!$E$29)/1000,0)</f>
        <v>32.767429627857574</v>
      </c>
      <c r="J604" s="76">
        <f>IF(Escenarios!$E$11&gt;0,MAX(0,G604+H604-I604),0)</f>
        <v>0</v>
      </c>
      <c r="K604" s="76">
        <f>IF(Escenarios!$E$11&gt;0,IF(J604&gt;Constantes!$E$30,1000*((J604-Constantes!$E$30)/(Escenarios!$E$16*10000)),0),F604)</f>
        <v>0</v>
      </c>
      <c r="L604" s="76">
        <f>IF(Escenarios!$E$11&gt;0,I604*1000/Escenarios!$E$16/10000+E604,E604)</f>
        <v>6.7279481589654746E-3</v>
      </c>
      <c r="M604" s="76">
        <f>MAX(0,N603+Observaciones!$F603-K604-Constantes!$D$13)</f>
        <v>0</v>
      </c>
      <c r="N604" s="76">
        <f>N603+Observaciones!$F603-K604-L604-M604-O603</f>
        <v>11.235298272225812</v>
      </c>
      <c r="O604" s="76">
        <f>MAX(0,(N604-Constantes!$D$14)*(1-EXP(-Constantes!$D$22)))</f>
        <v>0</v>
      </c>
      <c r="P604" s="170">
        <f>P603+(Entradas!$E$83*M604-Q603)/(800*Entradas!$D$25)</f>
        <v>0</v>
      </c>
      <c r="Q604" s="170">
        <f>8000*Entradas!$D$26*P604/Constantes!$E$45</f>
        <v>0</v>
      </c>
      <c r="R604" s="170">
        <f>IF(Escenarios!$E$14&gt;0,K604*Escenarios!$E$13/Escenarios!$E$14,0)</f>
        <v>0</v>
      </c>
      <c r="S604" s="170">
        <f>IF(Escenarios!$E$14&gt;0,Q604*Escenarios!$E$13/Escenarios!$E$14,0)</f>
        <v>0</v>
      </c>
      <c r="T604" s="170">
        <f>IF(Escenarios!$E$14&gt;0,Observaciones!$I603,0)</f>
        <v>0</v>
      </c>
      <c r="U604" s="170">
        <f>IF(Escenarios!$E$14&gt;0,MAX(0,Constantes!$E$36/((Z603+R604+S604+T604+Observaciones!$F603)^2)+Entradas!$E$77),0)</f>
        <v>0</v>
      </c>
      <c r="V604" s="146">
        <f>IF(ETo!D603&gt;0,ETo!I603*((1-Entradas!$E$81)*ETo!K603+ETo!L603),0)</f>
        <v>2.9724621166193863</v>
      </c>
      <c r="W604" s="170">
        <f>IF(Escenarios!$E$14&gt;0,MIN(V604*1,0.8*(Z603+R604+S604+T604+Observaciones!$F603-U604-Constantes!$E$35)),0)</f>
        <v>4.2244100613913821E-3</v>
      </c>
      <c r="X604" s="170">
        <f>IF(Escenarios!$E$14&gt;0,Observaciones!$J603,0)</f>
        <v>0</v>
      </c>
      <c r="Y604" s="170">
        <f>IF(Escenarios!$E$14&gt;0,MAX(0,Z603+R604+S604+T604+Observaciones!$F603-U604-W604-X604-Constantes!$E$33),0)</f>
        <v>0</v>
      </c>
      <c r="Z604" s="170">
        <f>Z603+R604+S604+T604+Observaciones!$F603-U604-W604-Y604</f>
        <v>41.251056102515349</v>
      </c>
      <c r="AA604" s="170">
        <f>IF(Escenarios!$E$14&gt;0,(Escenarios!$E$13*L604+Escenarios!$E$14*W604)/(Escenarios!$E$16),L604)</f>
        <v>6.4275235872565837E-3</v>
      </c>
      <c r="AB604" s="170">
        <f>IF(Escenarios!$E$14&gt;0,(Escenarios!$E$14*Y604)/(Escenarios!$E$16),K604)</f>
        <v>0</v>
      </c>
      <c r="AC604" s="170">
        <f>IF(Escenarios!$E$14&gt;0,(Escenarios!$E$13*M604+Escenarios!$E$14*U604)/(Escenarios!$E$16),M604)</f>
        <v>0</v>
      </c>
      <c r="AD604" s="76">
        <f t="shared" si="127"/>
        <v>81.340813137283973</v>
      </c>
      <c r="AE604" s="76">
        <f>MAX(0,(AD604-Constantes!$D$13)*(1-EXP(-Constantes!$D$23)))</f>
        <v>0.32112504436857187</v>
      </c>
      <c r="AF604" s="76">
        <f>AB604+O604*Escenarios!$E$13/Escenarios!$E$16+AE604</f>
        <v>0.32112504436857187</v>
      </c>
      <c r="AG604" s="76">
        <f>IF(Entradas!$E$91&gt;0,IF(AF604-Escenarios!$E$38&lt;=0,0,IF(AF604-Escenarios!$E$38&gt;Escenarios!$E$37,Escenarios!$E$37,AF604-Escenarios!$E$38)),0)</f>
        <v>0</v>
      </c>
      <c r="AH604" s="76">
        <f>AG604*Entradas!$E$99</f>
        <v>0</v>
      </c>
      <c r="AI604" s="76">
        <f>IF(Entradas!$E$91&gt;0,D604*Entradas!$D$23/Escenarios!$E$16,0)</f>
        <v>0</v>
      </c>
      <c r="AJ604" s="76">
        <f>IF(Entradas!$E$91&gt;0,Entradas!$D$24*Entradas!$D$22/Escenarios!$E$16,0)</f>
        <v>0</v>
      </c>
      <c r="AK604" s="76">
        <f t="shared" si="136"/>
        <v>6.4275235872565837E-3</v>
      </c>
      <c r="AL604" s="76">
        <f t="shared" si="137"/>
        <v>0</v>
      </c>
      <c r="AM604" s="76">
        <f t="shared" si="128"/>
        <v>0</v>
      </c>
      <c r="AN604" s="76">
        <f>MAX(0,O604*Escenarios!$E$13/Escenarios!$E$16-AM604)</f>
        <v>0</v>
      </c>
      <c r="AO604" s="76">
        <f>AM604+AN604-O604*Escenarios!$E$13/Escenarios!$E$16</f>
        <v>0</v>
      </c>
      <c r="AP604" s="76">
        <f t="shared" si="126"/>
        <v>0.32112504436857187</v>
      </c>
      <c r="AQ604" s="76">
        <f t="shared" si="129"/>
        <v>0</v>
      </c>
      <c r="AR604" s="76">
        <f t="shared" si="130"/>
        <v>0.32112504436857187</v>
      </c>
      <c r="AS604" s="76">
        <f t="shared" si="131"/>
        <v>0</v>
      </c>
      <c r="AT604" s="76">
        <f t="shared" si="132"/>
        <v>0</v>
      </c>
      <c r="AU604" s="76">
        <f t="shared" si="133"/>
        <v>48.75</v>
      </c>
      <c r="AV604" s="76">
        <f>MAX(0,(AU604-Constantes!$D$13)*(1-EXP(-Constantes!$D$24)))</f>
        <v>0</v>
      </c>
      <c r="AW604" s="170">
        <f>AW603+(Entradas!$E$112*AT604-AX603)/(800*Entradas!$D$25)</f>
        <v>0</v>
      </c>
      <c r="AX604" s="170">
        <f>8000*Entradas!$D$26*AW604/Constantes!$E$45</f>
        <v>0</v>
      </c>
      <c r="AY604" s="170">
        <f>IF(Escenarios!$E$17&gt;0,10*Escenarios!$E$16*AL604,0)</f>
        <v>0</v>
      </c>
      <c r="AZ604" s="170">
        <f>IF(Escenarios!$E$17&gt;0,10*Escenarios!$E$16*AX604,0)</f>
        <v>0</v>
      </c>
      <c r="BA604" s="170">
        <f>IF(Escenarios!$E$17&gt;0,0.001*Observaciones!$F603*Escenarios!$E$17,0)</f>
        <v>0</v>
      </c>
      <c r="BB604" s="170">
        <f>IF(Escenarios!$E$17&gt;0,Observaciones!$K603,0)</f>
        <v>0</v>
      </c>
      <c r="BC604" s="170">
        <f>IF(Escenarios!$E$17&gt;0,MIN(0.0005*ETo!$M603*Escenarios!$E$17*(BG603/Constantes!$E$40)^(2/3),BG603+AY604+AZ604+BA604+BB604),0)</f>
        <v>4.6562010528481572</v>
      </c>
      <c r="BD604" s="170">
        <f>IF(Escenarios!$E$17&gt;0,MIN(Constantes!$E$39*(BG603/Constantes!$E$40)^(2/3),BG603+AY604+AZ604+BA604+BB604-BC604),0)</f>
        <v>9.9185816178071953</v>
      </c>
      <c r="BE604" s="170">
        <f>IF(Escenarios!$E$17&gt;0,MIN(Entradas!$E$113,BG603+AY604+AZ604+BA604+BB604-BC604-BD604),0)</f>
        <v>1</v>
      </c>
      <c r="BF604" s="170">
        <f>IF(Escenarios!$E$17&gt;0,MAX(0,BG603+AY604+AZ604+BA604+BB604-BC604-BD604-BE604-Constantes!$E$40),0)</f>
        <v>0</v>
      </c>
      <c r="BG604" s="170">
        <f t="shared" si="138"/>
        <v>275.4621586850883</v>
      </c>
      <c r="BH604" s="170">
        <f>(Escenarios!$E$16*AK604+0.1*BC604)/(Escenarios!$E$19)</f>
        <v>8.2242103257895317E-3</v>
      </c>
      <c r="BI604" s="170">
        <f>IF(Escenarios!$E$17&gt;0,BF604/10/Escenarios!$E$19,AL604)</f>
        <v>0</v>
      </c>
      <c r="BJ604" s="170">
        <f>(Escenarios!$E$16*AT604+0.1*BD604)/(Escenarios!$E$19)</f>
        <v>3.9359450864314268E-3</v>
      </c>
      <c r="BK604" s="76">
        <f>BK603+(0.1*BD604)/(Escenarios!$E$19)-BL603</f>
        <v>50.008517612822473</v>
      </c>
      <c r="BL604" s="76">
        <f>MAX(0,(BK604-Constantes!$D$13)*(1-EXP(-Constantes!$D$23)))</f>
        <v>1.2400473794681326E-2</v>
      </c>
      <c r="BM604" s="76">
        <f t="shared" si="134"/>
        <v>0.33352551816325321</v>
      </c>
      <c r="BN604" s="76">
        <f t="shared" si="139"/>
        <v>0.33352551816325321</v>
      </c>
      <c r="BO604" s="76">
        <f>0.0526*BI604*Observaciones!$F603^1.218</f>
        <v>0</v>
      </c>
      <c r="BP604" s="76">
        <f>BO604*Constantes!$E$51</f>
        <v>0</v>
      </c>
      <c r="BQ604" s="76">
        <f t="shared" si="135"/>
        <v>0</v>
      </c>
      <c r="BR604" s="40"/>
    </row>
    <row r="605" spans="1:70">
      <c r="A605" s="147"/>
      <c r="B605" s="39"/>
      <c r="C605" s="75">
        <v>599</v>
      </c>
      <c r="D605" s="146">
        <f>ETo!$I604*((1-Constantes!$E$19)*ETo!$K604+ETo!$L604)</f>
        <v>3.4752630695755418</v>
      </c>
      <c r="E605" s="76">
        <f>MIN(D605*Constantes!$E$17,0.8*(N604+Observaciones!$F604-F605-M605-Constantes!$D$14))</f>
        <v>-1.1761382219350481E-2</v>
      </c>
      <c r="F605" s="76">
        <f>IF(Observaciones!$F604&gt;0.05*Constantes!$E$18,((Observaciones!$F604-0.05*Constantes!$E$18)^2)/(Observaciones!$F604+0.95*Constantes!$E$18),0)</f>
        <v>0</v>
      </c>
      <c r="G605" s="76">
        <f>IF(Escenarios!$E$11&gt;0,(F605*Escenarios!$E$16*10000)/1000,0)</f>
        <v>0</v>
      </c>
      <c r="H605" s="76">
        <f>IF(Escenarios!$E$11&gt;0,(Observaciones!$F604*Constantes!$E$29)/1000,0)</f>
        <v>0</v>
      </c>
      <c r="I605" s="76">
        <f>IF(Escenarios!$E$11&gt;0,(D605*Constantes!$E$29)/1000,0)</f>
        <v>34.752630695755421</v>
      </c>
      <c r="J605" s="76">
        <f>IF(Escenarios!$E$11&gt;0,MAX(0,G605+H605-I605),0)</f>
        <v>0</v>
      </c>
      <c r="K605" s="76">
        <f>IF(Escenarios!$E$11&gt;0,IF(J605&gt;Constantes!$E$30,1000*((J605-Constantes!$E$30)/(Escenarios!$E$16*10000)),0),F605)</f>
        <v>0</v>
      </c>
      <c r="L605" s="76">
        <f>IF(Escenarios!$E$11&gt;0,I605*1000/Escenarios!$E$16/10000+E605,E605)</f>
        <v>2.139670058951687E-3</v>
      </c>
      <c r="M605" s="76">
        <f>MAX(0,N604+Observaciones!$F604-K605-Constantes!$D$13)</f>
        <v>0</v>
      </c>
      <c r="N605" s="76">
        <f>N604+Observaciones!$F604-K605-L605-M605-O604</f>
        <v>11.23315860216686</v>
      </c>
      <c r="O605" s="76">
        <f>MAX(0,(N605-Constantes!$D$14)*(1-EXP(-Constantes!$D$22)))</f>
        <v>0</v>
      </c>
      <c r="P605" s="170">
        <f>P604+(Entradas!$E$83*M605-Q604)/(800*Entradas!$D$25)</f>
        <v>0</v>
      </c>
      <c r="Q605" s="170">
        <f>8000*Entradas!$D$26*P605/Constantes!$E$45</f>
        <v>0</v>
      </c>
      <c r="R605" s="170">
        <f>IF(Escenarios!$E$14&gt;0,K605*Escenarios!$E$13/Escenarios!$E$14,0)</f>
        <v>0</v>
      </c>
      <c r="S605" s="170">
        <f>IF(Escenarios!$E$14&gt;0,Q605*Escenarios!$E$13/Escenarios!$E$14,0)</f>
        <v>0</v>
      </c>
      <c r="T605" s="170">
        <f>IF(Escenarios!$E$14&gt;0,Observaciones!$I604,0)</f>
        <v>0</v>
      </c>
      <c r="U605" s="170">
        <f>IF(Escenarios!$E$14&gt;0,MAX(0,Constantes!$E$36/((Z604+R605+S605+T605+Observaciones!$F604)^2)+Entradas!$E$77),0)</f>
        <v>0</v>
      </c>
      <c r="V605" s="146">
        <f>IF(ETo!D604&gt;0,ETo!I604*((1-Entradas!$E$81)*ETo!K604+ETo!L604),0)</f>
        <v>3.1554128720751762</v>
      </c>
      <c r="W605" s="170">
        <f>IF(Escenarios!$E$14&gt;0,MIN(V605*1,0.8*(Z604+R605+S605+T605+Observaciones!$F604-U605-Constantes!$E$35)),0)</f>
        <v>8.448820122794132E-4</v>
      </c>
      <c r="X605" s="170">
        <f>IF(Escenarios!$E$14&gt;0,Observaciones!$J604,0)</f>
        <v>0</v>
      </c>
      <c r="Y605" s="170">
        <f>IF(Escenarios!$E$14&gt;0,MAX(0,Z604+R605+S605+T605+Observaciones!$F604-U605-W605-X605-Constantes!$E$33),0)</f>
        <v>0</v>
      </c>
      <c r="Z605" s="170">
        <f>Z604+R605+S605+T605+Observaciones!$F604-U605-W605-Y605</f>
        <v>41.250211220503068</v>
      </c>
      <c r="AA605" s="170">
        <f>IF(Escenarios!$E$14&gt;0,(Escenarios!$E$13*L605+Escenarios!$E$14*W605)/(Escenarios!$E$16),L605)</f>
        <v>1.9842954933510142E-3</v>
      </c>
      <c r="AB605" s="170">
        <f>IF(Escenarios!$E$14&gt;0,(Escenarios!$E$14*Y605)/(Escenarios!$E$16),K605)</f>
        <v>0</v>
      </c>
      <c r="AC605" s="170">
        <f>IF(Escenarios!$E$14&gt;0,(Escenarios!$E$13*M605+Escenarios!$E$14*U605)/(Escenarios!$E$16),M605)</f>
        <v>0</v>
      </c>
      <c r="AD605" s="76">
        <f t="shared" si="127"/>
        <v>81.019688092915402</v>
      </c>
      <c r="AE605" s="76">
        <f>MAX(0,(AD605-Constantes!$D$13)*(1-EXP(-Constantes!$D$23)))</f>
        <v>0.3179609228203818</v>
      </c>
      <c r="AF605" s="76">
        <f>AB605+O605*Escenarios!$E$13/Escenarios!$E$16+AE605</f>
        <v>0.3179609228203818</v>
      </c>
      <c r="AG605" s="76">
        <f>IF(Entradas!$E$91&gt;0,IF(AF605-Escenarios!$E$38&lt;=0,0,IF(AF605-Escenarios!$E$38&gt;Escenarios!$E$37,Escenarios!$E$37,AF605-Escenarios!$E$38)),0)</f>
        <v>0</v>
      </c>
      <c r="AH605" s="76">
        <f>AG605*Entradas!$E$99</f>
        <v>0</v>
      </c>
      <c r="AI605" s="76">
        <f>IF(Entradas!$E$91&gt;0,D605*Entradas!$D$23/Escenarios!$E$16,0)</f>
        <v>0</v>
      </c>
      <c r="AJ605" s="76">
        <f>IF(Entradas!$E$91&gt;0,Entradas!$D$24*Entradas!$D$22/Escenarios!$E$16,0)</f>
        <v>0</v>
      </c>
      <c r="AK605" s="76">
        <f t="shared" si="136"/>
        <v>1.9842954933510142E-3</v>
      </c>
      <c r="AL605" s="76">
        <f t="shared" si="137"/>
        <v>0</v>
      </c>
      <c r="AM605" s="76">
        <f t="shared" si="128"/>
        <v>0</v>
      </c>
      <c r="AN605" s="76">
        <f>MAX(0,O605*Escenarios!$E$13/Escenarios!$E$16-AM605)</f>
        <v>0</v>
      </c>
      <c r="AO605" s="76">
        <f>AM605+AN605-O605*Escenarios!$E$13/Escenarios!$E$16</f>
        <v>0</v>
      </c>
      <c r="AP605" s="76">
        <f t="shared" si="126"/>
        <v>0.3179609228203818</v>
      </c>
      <c r="AQ605" s="76">
        <f t="shared" si="129"/>
        <v>0</v>
      </c>
      <c r="AR605" s="76">
        <f t="shared" si="130"/>
        <v>0.3179609228203818</v>
      </c>
      <c r="AS605" s="76">
        <f t="shared" si="131"/>
        <v>0</v>
      </c>
      <c r="AT605" s="76">
        <f t="shared" si="132"/>
        <v>0</v>
      </c>
      <c r="AU605" s="76">
        <f t="shared" si="133"/>
        <v>48.75</v>
      </c>
      <c r="AV605" s="76">
        <f>MAX(0,(AU605-Constantes!$D$13)*(1-EXP(-Constantes!$D$24)))</f>
        <v>0</v>
      </c>
      <c r="AW605" s="170">
        <f>AW604+(Entradas!$E$112*AT605-AX604)/(800*Entradas!$D$25)</f>
        <v>0</v>
      </c>
      <c r="AX605" s="170">
        <f>8000*Entradas!$D$26*AW605/Constantes!$E$45</f>
        <v>0</v>
      </c>
      <c r="AY605" s="170">
        <f>IF(Escenarios!$E$17&gt;0,10*Escenarios!$E$16*AL605,0)</f>
        <v>0</v>
      </c>
      <c r="AZ605" s="170">
        <f>IF(Escenarios!$E$17&gt;0,10*Escenarios!$E$16*AX605,0)</f>
        <v>0</v>
      </c>
      <c r="BA605" s="170">
        <f>IF(Escenarios!$E$17&gt;0,0.001*Observaciones!$F604*Escenarios!$E$17,0)</f>
        <v>0</v>
      </c>
      <c r="BB605" s="170">
        <f>IF(Escenarios!$E$17&gt;0,Observaciones!$K604,0)</f>
        <v>0</v>
      </c>
      <c r="BC605" s="170">
        <f>IF(Escenarios!$E$17&gt;0,MIN(0.0005*ETo!$M604*Escenarios!$E$17*(BG604/Constantes!$E$40)^(2/3),BG604+AY605+AZ605+BA605+BB605),0)</f>
        <v>4.7551150482519482</v>
      </c>
      <c r="BD605" s="170">
        <f>IF(Escenarios!$E$17&gt;0,MIN(Constantes!$E$39*(BG604/Constantes!$E$40)^(2/3),BG604+AY605+AZ605+BA605+BB605-BC605),0)</f>
        <v>9.561487407355445</v>
      </c>
      <c r="BE605" s="170">
        <f>IF(Escenarios!$E$17&gt;0,MIN(Entradas!$E$113,BG604+AY605+AZ605+BA605+BB605-BC605-BD605),0)</f>
        <v>1</v>
      </c>
      <c r="BF605" s="170">
        <f>IF(Escenarios!$E$17&gt;0,MAX(0,BG604+AY605+AZ605+BA605+BB605-BC605-BD605-BE605-Constantes!$E$40),0)</f>
        <v>0</v>
      </c>
      <c r="BG605" s="170">
        <f t="shared" si="138"/>
        <v>260.14555622948092</v>
      </c>
      <c r="BH605" s="170">
        <f>(Escenarios!$E$16*AK605+0.1*BC605)/(Escenarios!$E$19)</f>
        <v>3.8554975323926524E-3</v>
      </c>
      <c r="BI605" s="170">
        <f>IF(Escenarios!$E$17&gt;0,BF605/10/Escenarios!$E$19,AL605)</f>
        <v>0</v>
      </c>
      <c r="BJ605" s="170">
        <f>(Escenarios!$E$16*AT605+0.1*BD605)/(Escenarios!$E$19)</f>
        <v>3.7942410346648594E-3</v>
      </c>
      <c r="BK605" s="76">
        <f>BK604+(0.1*BD605)/(Escenarios!$E$19)-BL604</f>
        <v>49.99991138006245</v>
      </c>
      <c r="BL605" s="76">
        <f>MAX(0,(BK605-Constantes!$D$13)*(1-EXP(-Constantes!$D$23)))</f>
        <v>1.2315674533451879E-2</v>
      </c>
      <c r="BM605" s="76">
        <f t="shared" si="134"/>
        <v>0.33027659735383369</v>
      </c>
      <c r="BN605" s="76">
        <f t="shared" si="139"/>
        <v>0.33027659735383369</v>
      </c>
      <c r="BO605" s="76">
        <f>0.0526*BI605*Observaciones!$F604^1.218</f>
        <v>0</v>
      </c>
      <c r="BP605" s="76">
        <f>BO605*Constantes!$E$51</f>
        <v>0</v>
      </c>
      <c r="BQ605" s="76">
        <f t="shared" si="135"/>
        <v>0</v>
      </c>
      <c r="BR605" s="40"/>
    </row>
    <row r="606" spans="1:70">
      <c r="A606" s="147"/>
      <c r="B606" s="39"/>
      <c r="C606" s="75">
        <v>600</v>
      </c>
      <c r="D606" s="146">
        <f>ETo!$I605*((1-Constantes!$E$19)*ETo!$K605+ETo!$L605)</f>
        <v>3.3423579590570793</v>
      </c>
      <c r="E606" s="76">
        <f>MIN(D606*Constantes!$E$17,0.8*(N605+Observaciones!$F605-F606-M606-Constantes!$D$14))</f>
        <v>-1.3473118266512076E-2</v>
      </c>
      <c r="F606" s="76">
        <f>IF(Observaciones!$F605&gt;0.05*Constantes!$E$18,((Observaciones!$F605-0.05*Constantes!$E$18)^2)/(Observaciones!$F605+0.95*Constantes!$E$18),0)</f>
        <v>0</v>
      </c>
      <c r="G606" s="76">
        <f>IF(Escenarios!$E$11&gt;0,(F606*Escenarios!$E$16*10000)/1000,0)</f>
        <v>0</v>
      </c>
      <c r="H606" s="76">
        <f>IF(Escenarios!$E$11&gt;0,(Observaciones!$F605*Constantes!$E$29)/1000,0)</f>
        <v>0</v>
      </c>
      <c r="I606" s="76">
        <f>IF(Escenarios!$E$11&gt;0,(D606*Constantes!$E$29)/1000,0)</f>
        <v>33.423579590570796</v>
      </c>
      <c r="J606" s="76">
        <f>IF(Escenarios!$E$11&gt;0,MAX(0,G606+H606-I606),0)</f>
        <v>0</v>
      </c>
      <c r="K606" s="76">
        <f>IF(Escenarios!$E$11&gt;0,IF(J606&gt;Constantes!$E$30,1000*((J606-Constantes!$E$30)/(Escenarios!$E$16*10000)),0),F606)</f>
        <v>0</v>
      </c>
      <c r="L606" s="76">
        <f>IF(Escenarios!$E$11&gt;0,I606*1000/Escenarios!$E$16/10000+E606,E606)</f>
        <v>-1.0368643028375694E-4</v>
      </c>
      <c r="M606" s="76">
        <f>MAX(0,N605+Observaciones!$F605-K606-Constantes!$D$13)</f>
        <v>0</v>
      </c>
      <c r="N606" s="76">
        <f>N605+Observaciones!$F605-K606-L606-M606-O605</f>
        <v>11.233262288597144</v>
      </c>
      <c r="O606" s="76">
        <f>MAX(0,(N606-Constantes!$D$14)*(1-EXP(-Constantes!$D$22)))</f>
        <v>0</v>
      </c>
      <c r="P606" s="170">
        <f>P605+(Entradas!$E$83*M606-Q605)/(800*Entradas!$D$25)</f>
        <v>0</v>
      </c>
      <c r="Q606" s="170">
        <f>8000*Entradas!$D$26*P606/Constantes!$E$45</f>
        <v>0</v>
      </c>
      <c r="R606" s="170">
        <f>IF(Escenarios!$E$14&gt;0,K606*Escenarios!$E$13/Escenarios!$E$14,0)</f>
        <v>0</v>
      </c>
      <c r="S606" s="170">
        <f>IF(Escenarios!$E$14&gt;0,Q606*Escenarios!$E$13/Escenarios!$E$14,0)</f>
        <v>0</v>
      </c>
      <c r="T606" s="170">
        <f>IF(Escenarios!$E$14&gt;0,Observaciones!$I605,0)</f>
        <v>0</v>
      </c>
      <c r="U606" s="170">
        <f>IF(Escenarios!$E$14&gt;0,MAX(0,Constantes!$E$36/((Z605+R606+S606+T606+Observaciones!$F605)^2)+Entradas!$E$77),0)</f>
        <v>0</v>
      </c>
      <c r="V606" s="146">
        <f>IF(ETo!D605&gt;0,ETo!I605*((1-Entradas!$E$81)*ETo!K605+ETo!L605),0)</f>
        <v>3.0333496316316371</v>
      </c>
      <c r="W606" s="170">
        <f>IF(Escenarios!$E$14&gt;0,MIN(V606*1,0.8*(Z605+R606+S606+T606+Observaciones!$F605-U606-Constantes!$E$35)),0)</f>
        <v>1.6897640245474579E-4</v>
      </c>
      <c r="X606" s="170">
        <f>IF(Escenarios!$E$14&gt;0,Observaciones!$J605,0)</f>
        <v>0</v>
      </c>
      <c r="Y606" s="170">
        <f>IF(Escenarios!$E$14&gt;0,MAX(0,Z605+R606+S606+T606+Observaciones!$F605-U606-W606-X606-Constantes!$E$33),0)</f>
        <v>0</v>
      </c>
      <c r="Z606" s="170">
        <f>Z605+R606+S606+T606+Observaciones!$F605-U606-W606-Y606</f>
        <v>41.250042244100612</v>
      </c>
      <c r="AA606" s="170">
        <f>IF(Escenarios!$E$14&gt;0,(Escenarios!$E$13*L606+Escenarios!$E$14*W606)/(Escenarios!$E$16),L606)</f>
        <v>-7.0966890355136621E-5</v>
      </c>
      <c r="AB606" s="170">
        <f>IF(Escenarios!$E$14&gt;0,(Escenarios!$E$14*Y606)/(Escenarios!$E$16),K606)</f>
        <v>0</v>
      </c>
      <c r="AC606" s="170">
        <f>IF(Escenarios!$E$14&gt;0,(Escenarios!$E$13*M606+Escenarios!$E$14*U606)/(Escenarios!$E$16),M606)</f>
        <v>0</v>
      </c>
      <c r="AD606" s="76">
        <f t="shared" si="127"/>
        <v>80.701727170095026</v>
      </c>
      <c r="AE606" s="76">
        <f>MAX(0,(AD606-Constantes!$D$13)*(1-EXP(-Constantes!$D$23)))</f>
        <v>0.31482797811544111</v>
      </c>
      <c r="AF606" s="76">
        <f>AB606+O606*Escenarios!$E$13/Escenarios!$E$16+AE606</f>
        <v>0.31482797811544111</v>
      </c>
      <c r="AG606" s="76">
        <f>IF(Entradas!$E$91&gt;0,IF(AF606-Escenarios!$E$38&lt;=0,0,IF(AF606-Escenarios!$E$38&gt;Escenarios!$E$37,Escenarios!$E$37,AF606-Escenarios!$E$38)),0)</f>
        <v>0</v>
      </c>
      <c r="AH606" s="76">
        <f>AG606*Entradas!$E$99</f>
        <v>0</v>
      </c>
      <c r="AI606" s="76">
        <f>IF(Entradas!$E$91&gt;0,D606*Entradas!$D$23/Escenarios!$E$16,0)</f>
        <v>0</v>
      </c>
      <c r="AJ606" s="76">
        <f>IF(Entradas!$E$91&gt;0,Entradas!$D$24*Entradas!$D$22/Escenarios!$E$16,0)</f>
        <v>0</v>
      </c>
      <c r="AK606" s="76">
        <f t="shared" si="136"/>
        <v>-7.0966890355136621E-5</v>
      </c>
      <c r="AL606" s="76">
        <f t="shared" si="137"/>
        <v>0</v>
      </c>
      <c r="AM606" s="76">
        <f t="shared" si="128"/>
        <v>0</v>
      </c>
      <c r="AN606" s="76">
        <f>MAX(0,O606*Escenarios!$E$13/Escenarios!$E$16-AM606)</f>
        <v>0</v>
      </c>
      <c r="AO606" s="76">
        <f>AM606+AN606-O606*Escenarios!$E$13/Escenarios!$E$16</f>
        <v>0</v>
      </c>
      <c r="AP606" s="76">
        <f t="shared" si="126"/>
        <v>0.31482797811544111</v>
      </c>
      <c r="AQ606" s="76">
        <f t="shared" si="129"/>
        <v>0</v>
      </c>
      <c r="AR606" s="76">
        <f t="shared" si="130"/>
        <v>0.31482797811544111</v>
      </c>
      <c r="AS606" s="76">
        <f t="shared" si="131"/>
        <v>0</v>
      </c>
      <c r="AT606" s="76">
        <f t="shared" si="132"/>
        <v>0</v>
      </c>
      <c r="AU606" s="76">
        <f t="shared" si="133"/>
        <v>48.75</v>
      </c>
      <c r="AV606" s="76">
        <f>MAX(0,(AU606-Constantes!$D$13)*(1-EXP(-Constantes!$D$24)))</f>
        <v>0</v>
      </c>
      <c r="AW606" s="170">
        <f>AW605+(Entradas!$E$112*AT606-AX605)/(800*Entradas!$D$25)</f>
        <v>0</v>
      </c>
      <c r="AX606" s="170">
        <f>8000*Entradas!$D$26*AW606/Constantes!$E$45</f>
        <v>0</v>
      </c>
      <c r="AY606" s="170">
        <f>IF(Escenarios!$E$17&gt;0,10*Escenarios!$E$16*AL606,0)</f>
        <v>0</v>
      </c>
      <c r="AZ606" s="170">
        <f>IF(Escenarios!$E$17&gt;0,10*Escenarios!$E$16*AX606,0)</f>
        <v>0</v>
      </c>
      <c r="BA606" s="170">
        <f>IF(Escenarios!$E$17&gt;0,0.001*Observaciones!$F605*Escenarios!$E$17,0)</f>
        <v>0</v>
      </c>
      <c r="BB606" s="170">
        <f>IF(Escenarios!$E$17&gt;0,Observaciones!$K605,0)</f>
        <v>0</v>
      </c>
      <c r="BC606" s="170">
        <f>IF(Escenarios!$E$17&gt;0,MIN(0.0005*ETo!$M605*Escenarios!$E$17*(BG605/Constantes!$E$40)^(2/3),BG605+AY606+AZ606+BA606+BB606),0)</f>
        <v>4.4046441582025126</v>
      </c>
      <c r="BD606" s="170">
        <f>IF(Escenarios!$E$17&gt;0,MIN(Constantes!$E$39*(BG605/Constantes!$E$40)^(2/3),BG605+AY606+AZ606+BA606+BB606-BC606),0)</f>
        <v>9.203685448877275</v>
      </c>
      <c r="BE606" s="170">
        <f>IF(Escenarios!$E$17&gt;0,MIN(Entradas!$E$113,BG605+AY606+AZ606+BA606+BB606-BC606-BD606),0)</f>
        <v>1</v>
      </c>
      <c r="BF606" s="170">
        <f>IF(Escenarios!$E$17&gt;0,MAX(0,BG605+AY606+AZ606+BA606+BB606-BC606-BD606-BE606-Constantes!$E$40),0)</f>
        <v>0</v>
      </c>
      <c r="BG606" s="170">
        <f t="shared" si="138"/>
        <v>245.53722662240114</v>
      </c>
      <c r="BH606" s="170">
        <f>(Escenarios!$E$16*AK606+0.1*BC606)/(Escenarios!$E$19)</f>
        <v>1.6774710048867744E-3</v>
      </c>
      <c r="BI606" s="170">
        <f>IF(Escenarios!$E$17&gt;0,BF606/10/Escenarios!$E$19,AL606)</f>
        <v>0</v>
      </c>
      <c r="BJ606" s="170">
        <f>(Escenarios!$E$16*AT606+0.1*BD606)/(Escenarios!$E$19)</f>
        <v>3.6522561305068553E-3</v>
      </c>
      <c r="BK606" s="76">
        <f>BK605+(0.1*BD606)/(Escenarios!$E$19)-BL605</f>
        <v>49.991247961659504</v>
      </c>
      <c r="BL606" s="76">
        <f>MAX(0,(BK606-Constantes!$D$13)*(1-EXP(-Constantes!$D$23)))</f>
        <v>1.2230311808462149E-2</v>
      </c>
      <c r="BM606" s="76">
        <f t="shared" si="134"/>
        <v>0.32705828992390323</v>
      </c>
      <c r="BN606" s="76">
        <f t="shared" si="139"/>
        <v>0.32705828992390323</v>
      </c>
      <c r="BO606" s="76">
        <f>0.0526*BI606*Observaciones!$F605^1.218</f>
        <v>0</v>
      </c>
      <c r="BP606" s="76">
        <f>BO606*Constantes!$E$51</f>
        <v>0</v>
      </c>
      <c r="BQ606" s="76">
        <f t="shared" si="135"/>
        <v>0</v>
      </c>
      <c r="BR606" s="40"/>
    </row>
    <row r="607" spans="1:70">
      <c r="A607" s="147"/>
      <c r="B607" s="39"/>
      <c r="C607" s="75">
        <v>601</v>
      </c>
      <c r="D607" s="146">
        <f>ETo!$I606*((1-Constantes!$E$19)*ETo!$K606+ETo!$L606)</f>
        <v>3.3827980651644962</v>
      </c>
      <c r="E607" s="76">
        <f>MIN(D607*Constantes!$E$17,0.8*(N606+Observaciones!$F606-F607-M607-Constantes!$D$14))</f>
        <v>-1.3390169122284591E-2</v>
      </c>
      <c r="F607" s="76">
        <f>IF(Observaciones!$F606&gt;0.05*Constantes!$E$18,((Observaciones!$F606-0.05*Constantes!$E$18)^2)/(Observaciones!$F606+0.95*Constantes!$E$18),0)</f>
        <v>0</v>
      </c>
      <c r="G607" s="76">
        <f>IF(Escenarios!$E$11&gt;0,(F607*Escenarios!$E$16*10000)/1000,0)</f>
        <v>0</v>
      </c>
      <c r="H607" s="76">
        <f>IF(Escenarios!$E$11&gt;0,(Observaciones!$F606*Constantes!$E$29)/1000,0)</f>
        <v>0</v>
      </c>
      <c r="I607" s="76">
        <f>IF(Escenarios!$E$11&gt;0,(D607*Constantes!$E$29)/1000,0)</f>
        <v>33.827980651644964</v>
      </c>
      <c r="J607" s="76">
        <f>IF(Escenarios!$E$11&gt;0,MAX(0,G607+H607-I607),0)</f>
        <v>0</v>
      </c>
      <c r="K607" s="76">
        <f>IF(Escenarios!$E$11&gt;0,IF(J607&gt;Constantes!$E$30,1000*((J607-Constantes!$E$30)/(Escenarios!$E$16*10000)),0),F607)</f>
        <v>0</v>
      </c>
      <c r="L607" s="76">
        <f>IF(Escenarios!$E$11&gt;0,I607*1000/Escenarios!$E$16/10000+E607,E607)</f>
        <v>1.4102313837339488E-4</v>
      </c>
      <c r="M607" s="76">
        <f>MAX(0,N606+Observaciones!$F606-K607-Constantes!$D$13)</f>
        <v>0</v>
      </c>
      <c r="N607" s="76">
        <f>N606+Observaciones!$F606-K607-L607-M607-O606</f>
        <v>11.23312126545877</v>
      </c>
      <c r="O607" s="76">
        <f>MAX(0,(N607-Constantes!$D$14)*(1-EXP(-Constantes!$D$22)))</f>
        <v>0</v>
      </c>
      <c r="P607" s="170">
        <f>P606+(Entradas!$E$83*M607-Q606)/(800*Entradas!$D$25)</f>
        <v>0</v>
      </c>
      <c r="Q607" s="170">
        <f>8000*Entradas!$D$26*P607/Constantes!$E$45</f>
        <v>0</v>
      </c>
      <c r="R607" s="170">
        <f>IF(Escenarios!$E$14&gt;0,K607*Escenarios!$E$13/Escenarios!$E$14,0)</f>
        <v>0</v>
      </c>
      <c r="S607" s="170">
        <f>IF(Escenarios!$E$14&gt;0,Q607*Escenarios!$E$13/Escenarios!$E$14,0)</f>
        <v>0</v>
      </c>
      <c r="T607" s="170">
        <f>IF(Escenarios!$E$14&gt;0,Observaciones!$I606,0)</f>
        <v>0</v>
      </c>
      <c r="U607" s="170">
        <f>IF(Escenarios!$E$14&gt;0,MAX(0,Constantes!$E$36/((Z606+R607+S607+T607+Observaciones!$F606)^2)+Entradas!$E$77),0)</f>
        <v>0</v>
      </c>
      <c r="V607" s="146">
        <f>IF(ETo!D606&gt;0,ETo!I606*((1-Entradas!$E$81)*ETo!K606+ETo!L606),0)</f>
        <v>3.0708205344834041</v>
      </c>
      <c r="W607" s="170">
        <f>IF(Escenarios!$E$14&gt;0,MIN(V607*1,0.8*(Z606+R607+S607+T607+Observaciones!$F606-U607-Constantes!$E$35)),0)</f>
        <v>3.3795280489812289E-5</v>
      </c>
      <c r="X607" s="170">
        <f>IF(Escenarios!$E$14&gt;0,Observaciones!$J606,0)</f>
        <v>0</v>
      </c>
      <c r="Y607" s="170">
        <f>IF(Escenarios!$E$14&gt;0,MAX(0,Z606+R607+S607+T607+Observaciones!$F606-U607-W607-X607-Constantes!$E$33),0)</f>
        <v>0</v>
      </c>
      <c r="Z607" s="170">
        <f>Z606+R607+S607+T607+Observaciones!$F606-U607-W607-Y607</f>
        <v>41.250008448820125</v>
      </c>
      <c r="AA607" s="170">
        <f>IF(Escenarios!$E$14&gt;0,(Escenarios!$E$13*L607+Escenarios!$E$14*W607)/(Escenarios!$E$16),L607)</f>
        <v>1.2815579542736497E-4</v>
      </c>
      <c r="AB607" s="170">
        <f>IF(Escenarios!$E$14&gt;0,(Escenarios!$E$14*Y607)/(Escenarios!$E$16),K607)</f>
        <v>0</v>
      </c>
      <c r="AC607" s="170">
        <f>IF(Escenarios!$E$14&gt;0,(Escenarios!$E$13*M607+Escenarios!$E$14*U607)/(Escenarios!$E$16),M607)</f>
        <v>0</v>
      </c>
      <c r="AD607" s="76">
        <f t="shared" si="127"/>
        <v>80.38689919197958</v>
      </c>
      <c r="AE607" s="76">
        <f>MAX(0,(AD607-Constantes!$D$13)*(1-EXP(-Constantes!$D$23)))</f>
        <v>0.31172590306088738</v>
      </c>
      <c r="AF607" s="76">
        <f>AB607+O607*Escenarios!$E$13/Escenarios!$E$16+AE607</f>
        <v>0.31172590306088738</v>
      </c>
      <c r="AG607" s="76">
        <f>IF(Entradas!$E$91&gt;0,IF(AF607-Escenarios!$E$38&lt;=0,0,IF(AF607-Escenarios!$E$38&gt;Escenarios!$E$37,Escenarios!$E$37,AF607-Escenarios!$E$38)),0)</f>
        <v>0</v>
      </c>
      <c r="AH607" s="76">
        <f>AG607*Entradas!$E$99</f>
        <v>0</v>
      </c>
      <c r="AI607" s="76">
        <f>IF(Entradas!$E$91&gt;0,D607*Entradas!$D$23/Escenarios!$E$16,0)</f>
        <v>0</v>
      </c>
      <c r="AJ607" s="76">
        <f>IF(Entradas!$E$91&gt;0,Entradas!$D$24*Entradas!$D$22/Escenarios!$E$16,0)</f>
        <v>0</v>
      </c>
      <c r="AK607" s="76">
        <f t="shared" si="136"/>
        <v>1.2815579542736497E-4</v>
      </c>
      <c r="AL607" s="76">
        <f t="shared" si="137"/>
        <v>0</v>
      </c>
      <c r="AM607" s="76">
        <f t="shared" si="128"/>
        <v>0</v>
      </c>
      <c r="AN607" s="76">
        <f>MAX(0,O607*Escenarios!$E$13/Escenarios!$E$16-AM607)</f>
        <v>0</v>
      </c>
      <c r="AO607" s="76">
        <f>AM607+AN607-O607*Escenarios!$E$13/Escenarios!$E$16</f>
        <v>0</v>
      </c>
      <c r="AP607" s="76">
        <f t="shared" si="126"/>
        <v>0.31172590306088738</v>
      </c>
      <c r="AQ607" s="76">
        <f t="shared" si="129"/>
        <v>0</v>
      </c>
      <c r="AR607" s="76">
        <f t="shared" si="130"/>
        <v>0.31172590306088738</v>
      </c>
      <c r="AS607" s="76">
        <f t="shared" si="131"/>
        <v>0</v>
      </c>
      <c r="AT607" s="76">
        <f t="shared" si="132"/>
        <v>0</v>
      </c>
      <c r="AU607" s="76">
        <f t="shared" si="133"/>
        <v>48.75</v>
      </c>
      <c r="AV607" s="76">
        <f>MAX(0,(AU607-Constantes!$D$13)*(1-EXP(-Constantes!$D$24)))</f>
        <v>0</v>
      </c>
      <c r="AW607" s="170">
        <f>AW606+(Entradas!$E$112*AT607-AX606)/(800*Entradas!$D$25)</f>
        <v>0</v>
      </c>
      <c r="AX607" s="170">
        <f>8000*Entradas!$D$26*AW607/Constantes!$E$45</f>
        <v>0</v>
      </c>
      <c r="AY607" s="170">
        <f>IF(Escenarios!$E$17&gt;0,10*Escenarios!$E$16*AL607,0)</f>
        <v>0</v>
      </c>
      <c r="AZ607" s="170">
        <f>IF(Escenarios!$E$17&gt;0,10*Escenarios!$E$16*AX607,0)</f>
        <v>0</v>
      </c>
      <c r="BA607" s="170">
        <f>IF(Escenarios!$E$17&gt;0,0.001*Observaciones!$F606*Escenarios!$E$17,0)</f>
        <v>0</v>
      </c>
      <c r="BB607" s="170">
        <f>IF(Escenarios!$E$17&gt;0,Observaciones!$K606,0)</f>
        <v>0</v>
      </c>
      <c r="BC607" s="170">
        <f>IF(Escenarios!$E$17&gt;0,MIN(0.0005*ETo!$M606*Escenarios!$E$17*(BG606/Constantes!$E$40)^(2/3),BG606+AY607+AZ607+BA607+BB607),0)</f>
        <v>4.288105772500634</v>
      </c>
      <c r="BD607" s="170">
        <f>IF(Escenarios!$E$17&gt;0,MIN(Constantes!$E$39*(BG606/Constantes!$E$40)^(2/3),BG606+AY607+AZ607+BA607+BB607-BC607),0)</f>
        <v>8.8558256371650899</v>
      </c>
      <c r="BE607" s="170">
        <f>IF(Escenarios!$E$17&gt;0,MIN(Entradas!$E$113,BG606+AY607+AZ607+BA607+BB607-BC607-BD607),0)</f>
        <v>1</v>
      </c>
      <c r="BF607" s="170">
        <f>IF(Escenarios!$E$17&gt;0,MAX(0,BG606+AY607+AZ607+BA607+BB607-BC607-BD607-BE607-Constantes!$E$40),0)</f>
        <v>0</v>
      </c>
      <c r="BG607" s="170">
        <f t="shared" si="138"/>
        <v>231.39329521273541</v>
      </c>
      <c r="BH607" s="170">
        <f>(Escenarios!$E$16*AK607+0.1*BC607)/(Escenarios!$E$19)</f>
        <v>1.8287679607416852E-3</v>
      </c>
      <c r="BI607" s="170">
        <f>IF(Escenarios!$E$17&gt;0,BF607/10/Escenarios!$E$19,AL607)</f>
        <v>0</v>
      </c>
      <c r="BJ607" s="170">
        <f>(Escenarios!$E$16*AT607+0.1*BD607)/(Escenarios!$E$19)</f>
        <v>3.5142165226845594E-3</v>
      </c>
      <c r="BK607" s="76">
        <f>BK606+(0.1*BD607)/(Escenarios!$E$19)-BL606</f>
        <v>49.982531866373726</v>
      </c>
      <c r="BL607" s="76">
        <f>MAX(0,(BK607-Constantes!$D$13)*(1-EXP(-Constantes!$D$23)))</f>
        <v>1.2144430045599229E-2</v>
      </c>
      <c r="BM607" s="76">
        <f t="shared" si="134"/>
        <v>0.32387033310648661</v>
      </c>
      <c r="BN607" s="76">
        <f t="shared" si="139"/>
        <v>0.32387033310648661</v>
      </c>
      <c r="BO607" s="76">
        <f>0.0526*BI607*Observaciones!$F606^1.218</f>
        <v>0</v>
      </c>
      <c r="BP607" s="76">
        <f>BO607*Constantes!$E$51</f>
        <v>0</v>
      </c>
      <c r="BQ607" s="76">
        <f t="shared" si="135"/>
        <v>0</v>
      </c>
      <c r="BR607" s="40"/>
    </row>
    <row r="608" spans="1:70">
      <c r="A608" s="147"/>
      <c r="B608" s="39"/>
      <c r="C608" s="75">
        <v>602</v>
      </c>
      <c r="D608" s="146">
        <f>ETo!$I607*((1-Constantes!$E$19)*ETo!$K607+ETo!$L607)</f>
        <v>3.1860260754769585</v>
      </c>
      <c r="E608" s="76">
        <f>MIN(D608*Constantes!$E$17,0.8*(N607+Observaciones!$F607-F608-M608-Constantes!$D$14))</f>
        <v>-1.3502987632983833E-2</v>
      </c>
      <c r="F608" s="76">
        <f>IF(Observaciones!$F607&gt;0.05*Constantes!$E$18,((Observaciones!$F607-0.05*Constantes!$E$18)^2)/(Observaciones!$F607+0.95*Constantes!$E$18),0)</f>
        <v>0</v>
      </c>
      <c r="G608" s="76">
        <f>IF(Escenarios!$E$11&gt;0,(F608*Escenarios!$E$16*10000)/1000,0)</f>
        <v>0</v>
      </c>
      <c r="H608" s="76">
        <f>IF(Escenarios!$E$11&gt;0,(Observaciones!$F607*Constantes!$E$29)/1000,0)</f>
        <v>0</v>
      </c>
      <c r="I608" s="76">
        <f>IF(Escenarios!$E$11&gt;0,(D608*Constantes!$E$29)/1000,0)</f>
        <v>31.860260754769584</v>
      </c>
      <c r="J608" s="76">
        <f>IF(Escenarios!$E$11&gt;0,MAX(0,G608+H608-I608),0)</f>
        <v>0</v>
      </c>
      <c r="K608" s="76">
        <f>IF(Escenarios!$E$11&gt;0,IF(J608&gt;Constantes!$E$30,1000*((J608-Constantes!$E$30)/(Escenarios!$E$16*10000)),0),F608)</f>
        <v>0</v>
      </c>
      <c r="L608" s="76">
        <f>IF(Escenarios!$E$11&gt;0,I608*1000/Escenarios!$E$16/10000+E608,E608)</f>
        <v>-7.5888333107600008E-4</v>
      </c>
      <c r="M608" s="76">
        <f>MAX(0,N607+Observaciones!$F607-K608-Constantes!$D$13)</f>
        <v>0</v>
      </c>
      <c r="N608" s="76">
        <f>N607+Observaciones!$F607-K608-L608-M608-O607</f>
        <v>11.233880148789845</v>
      </c>
      <c r="O608" s="76">
        <f>MAX(0,(N608-Constantes!$D$14)*(1-EXP(-Constantes!$D$22)))</f>
        <v>0</v>
      </c>
      <c r="P608" s="170">
        <f>P607+(Entradas!$E$83*M608-Q607)/(800*Entradas!$D$25)</f>
        <v>0</v>
      </c>
      <c r="Q608" s="170">
        <f>8000*Entradas!$D$26*P608/Constantes!$E$45</f>
        <v>0</v>
      </c>
      <c r="R608" s="170">
        <f>IF(Escenarios!$E$14&gt;0,K608*Escenarios!$E$13/Escenarios!$E$14,0)</f>
        <v>0</v>
      </c>
      <c r="S608" s="170">
        <f>IF(Escenarios!$E$14&gt;0,Q608*Escenarios!$E$13/Escenarios!$E$14,0)</f>
        <v>0</v>
      </c>
      <c r="T608" s="170">
        <f>IF(Escenarios!$E$14&gt;0,Observaciones!$I607,0)</f>
        <v>0</v>
      </c>
      <c r="U608" s="170">
        <f>IF(Escenarios!$E$14&gt;0,MAX(0,Constantes!$E$36/((Z607+R608+S608+T608+Observaciones!$F607)^2)+Entradas!$E$77),0)</f>
        <v>0</v>
      </c>
      <c r="V608" s="146">
        <f>IF(ETo!D607&gt;0,ETo!I607*((1-Entradas!$E$81)*ETo!K607+ETo!L607),0)</f>
        <v>2.8910157018804581</v>
      </c>
      <c r="W608" s="170">
        <f>IF(Escenarios!$E$14&gt;0,MIN(V608*1,0.8*(Z607+R608+S608+T608+Observaciones!$F607-U608-Constantes!$E$35)),0)</f>
        <v>6.7590561002361941E-6</v>
      </c>
      <c r="X608" s="170">
        <f>IF(Escenarios!$E$14&gt;0,Observaciones!$J607,0)</f>
        <v>0</v>
      </c>
      <c r="Y608" s="170">
        <f>IF(Escenarios!$E$14&gt;0,MAX(0,Z607+R608+S608+T608+Observaciones!$F607-U608-W608-X608-Constantes!$E$33),0)</f>
        <v>0</v>
      </c>
      <c r="Z608" s="170">
        <f>Z607+R608+S608+T608+Observaciones!$F607-U608-W608-Y608</f>
        <v>41.250001689764026</v>
      </c>
      <c r="AA608" s="170">
        <f>IF(Escenarios!$E$14&gt;0,(Escenarios!$E$13*L608+Escenarios!$E$14*W608)/(Escenarios!$E$16),L608)</f>
        <v>-6.6700624461485175E-4</v>
      </c>
      <c r="AB608" s="170">
        <f>IF(Escenarios!$E$14&gt;0,(Escenarios!$E$14*Y608)/(Escenarios!$E$16),K608)</f>
        <v>0</v>
      </c>
      <c r="AC608" s="170">
        <f>IF(Escenarios!$E$14&gt;0,(Escenarios!$E$13*M608+Escenarios!$E$14*U608)/(Escenarios!$E$16),M608)</f>
        <v>0</v>
      </c>
      <c r="AD608" s="76">
        <f t="shared" si="127"/>
        <v>80.075173288918691</v>
      </c>
      <c r="AE608" s="76">
        <f>MAX(0,(AD608-Constantes!$D$13)*(1-EXP(-Constantes!$D$23)))</f>
        <v>0.30865439349070289</v>
      </c>
      <c r="AF608" s="76">
        <f>AB608+O608*Escenarios!$E$13/Escenarios!$E$16+AE608</f>
        <v>0.30865439349070289</v>
      </c>
      <c r="AG608" s="76">
        <f>IF(Entradas!$E$91&gt;0,IF(AF608-Escenarios!$E$38&lt;=0,0,IF(AF608-Escenarios!$E$38&gt;Escenarios!$E$37,Escenarios!$E$37,AF608-Escenarios!$E$38)),0)</f>
        <v>0</v>
      </c>
      <c r="AH608" s="76">
        <f>AG608*Entradas!$E$99</f>
        <v>0</v>
      </c>
      <c r="AI608" s="76">
        <f>IF(Entradas!$E$91&gt;0,D608*Entradas!$D$23/Escenarios!$E$16,0)</f>
        <v>0</v>
      </c>
      <c r="AJ608" s="76">
        <f>IF(Entradas!$E$91&gt;0,Entradas!$D$24*Entradas!$D$22/Escenarios!$E$16,0)</f>
        <v>0</v>
      </c>
      <c r="AK608" s="76">
        <f t="shared" si="136"/>
        <v>-6.6700624461485175E-4</v>
      </c>
      <c r="AL608" s="76">
        <f t="shared" si="137"/>
        <v>0</v>
      </c>
      <c r="AM608" s="76">
        <f t="shared" si="128"/>
        <v>0</v>
      </c>
      <c r="AN608" s="76">
        <f>MAX(0,O608*Escenarios!$E$13/Escenarios!$E$16-AM608)</f>
        <v>0</v>
      </c>
      <c r="AO608" s="76">
        <f>AM608+AN608-O608*Escenarios!$E$13/Escenarios!$E$16</f>
        <v>0</v>
      </c>
      <c r="AP608" s="76">
        <f t="shared" si="126"/>
        <v>0.30865439349070289</v>
      </c>
      <c r="AQ608" s="76">
        <f t="shared" si="129"/>
        <v>0</v>
      </c>
      <c r="AR608" s="76">
        <f t="shared" si="130"/>
        <v>0.30865439349070289</v>
      </c>
      <c r="AS608" s="76">
        <f t="shared" si="131"/>
        <v>0</v>
      </c>
      <c r="AT608" s="76">
        <f t="shared" si="132"/>
        <v>0</v>
      </c>
      <c r="AU608" s="76">
        <f t="shared" si="133"/>
        <v>48.75</v>
      </c>
      <c r="AV608" s="76">
        <f>MAX(0,(AU608-Constantes!$D$13)*(1-EXP(-Constantes!$D$24)))</f>
        <v>0</v>
      </c>
      <c r="AW608" s="170">
        <f>AW607+(Entradas!$E$112*AT608-AX607)/(800*Entradas!$D$25)</f>
        <v>0</v>
      </c>
      <c r="AX608" s="170">
        <f>8000*Entradas!$D$26*AW608/Constantes!$E$45</f>
        <v>0</v>
      </c>
      <c r="AY608" s="170">
        <f>IF(Escenarios!$E$17&gt;0,10*Escenarios!$E$16*AL608,0)</f>
        <v>0</v>
      </c>
      <c r="AZ608" s="170">
        <f>IF(Escenarios!$E$17&gt;0,10*Escenarios!$E$16*AX608,0)</f>
        <v>0</v>
      </c>
      <c r="BA608" s="170">
        <f>IF(Escenarios!$E$17&gt;0,0.001*Observaciones!$F607*Escenarios!$E$17,0)</f>
        <v>0</v>
      </c>
      <c r="BB608" s="170">
        <f>IF(Escenarios!$E$17&gt;0,Observaciones!$K607,0)</f>
        <v>0</v>
      </c>
      <c r="BC608" s="170">
        <f>IF(Escenarios!$E$17&gt;0,MIN(0.0005*ETo!$M607*Escenarios!$E$17*(BG607/Constantes!$E$40)^(2/3),BG607+AY608+AZ608+BA608+BB608),0)</f>
        <v>3.8840249289627184</v>
      </c>
      <c r="BD608" s="170">
        <f>IF(Escenarios!$E$17&gt;0,MIN(Constantes!$E$39*(BG607/Constantes!$E$40)^(2/3),BG607+AY608+AZ608+BA608+BB608-BC608),0)</f>
        <v>8.5123866164627753</v>
      </c>
      <c r="BE608" s="170">
        <f>IF(Escenarios!$E$17&gt;0,MIN(Entradas!$E$113,BG607+AY608+AZ608+BA608+BB608-BC608-BD608),0)</f>
        <v>1</v>
      </c>
      <c r="BF608" s="170">
        <f>IF(Escenarios!$E$17&gt;0,MAX(0,BG607+AY608+AZ608+BA608+BB608-BC608-BD608-BE608-Constantes!$E$40),0)</f>
        <v>0</v>
      </c>
      <c r="BG608" s="170">
        <f t="shared" si="138"/>
        <v>217.9968836673099</v>
      </c>
      <c r="BH608" s="170">
        <f>(Escenarios!$E$16*AK608+0.1*BC608)/(Escenarios!$E$19)</f>
        <v>8.7956718945459897E-4</v>
      </c>
      <c r="BI608" s="170">
        <f>IF(Escenarios!$E$17&gt;0,BF608/10/Escenarios!$E$19,AL608)</f>
        <v>0</v>
      </c>
      <c r="BJ608" s="170">
        <f>(Escenarios!$E$16*AT608+0.1*BD608)/(Escenarios!$E$19)</f>
        <v>3.3779311970090382E-3</v>
      </c>
      <c r="BK608" s="76">
        <f>BK607+(0.1*BD608)/(Escenarios!$E$19)-BL607</f>
        <v>49.973765367525132</v>
      </c>
      <c r="BL608" s="76">
        <f>MAX(0,(BK608-Constantes!$D$13)*(1-EXP(-Constantes!$D$23)))</f>
        <v>1.2058051644426684E-2</v>
      </c>
      <c r="BM608" s="76">
        <f t="shared" si="134"/>
        <v>0.32071244513512959</v>
      </c>
      <c r="BN608" s="76">
        <f t="shared" si="139"/>
        <v>0.32071244513512959</v>
      </c>
      <c r="BO608" s="76">
        <f>0.0526*BI608*Observaciones!$F607^1.218</f>
        <v>0</v>
      </c>
      <c r="BP608" s="76">
        <f>BO608*Constantes!$E$51</f>
        <v>0</v>
      </c>
      <c r="BQ608" s="76">
        <f t="shared" si="135"/>
        <v>0</v>
      </c>
      <c r="BR608" s="40"/>
    </row>
    <row r="609" spans="1:70">
      <c r="A609" s="147"/>
      <c r="B609" s="39"/>
      <c r="C609" s="75">
        <v>603</v>
      </c>
      <c r="D609" s="146">
        <f>ETo!$I608*((1-Constantes!$E$19)*ETo!$K608+ETo!$L608)</f>
        <v>3.3520638355895023</v>
      </c>
      <c r="E609" s="76">
        <f>MIN(D609*Constantes!$E$17,0.8*(N608+Observaciones!$F608-F609-M609-Constantes!$D$14))</f>
        <v>-1.2895880968123663E-2</v>
      </c>
      <c r="F609" s="76">
        <f>IF(Observaciones!$F608&gt;0.05*Constantes!$E$18,((Observaciones!$F608-0.05*Constantes!$E$18)^2)/(Observaciones!$F608+0.95*Constantes!$E$18),0)</f>
        <v>0</v>
      </c>
      <c r="G609" s="76">
        <f>IF(Escenarios!$E$11&gt;0,(F609*Escenarios!$E$16*10000)/1000,0)</f>
        <v>0</v>
      </c>
      <c r="H609" s="76">
        <f>IF(Escenarios!$E$11&gt;0,(Observaciones!$F608*Constantes!$E$29)/1000,0)</f>
        <v>0</v>
      </c>
      <c r="I609" s="76">
        <f>IF(Escenarios!$E$11&gt;0,(D609*Constantes!$E$29)/1000,0)</f>
        <v>33.520638355895024</v>
      </c>
      <c r="J609" s="76">
        <f>IF(Escenarios!$E$11&gt;0,MAX(0,G609+H609-I609),0)</f>
        <v>0</v>
      </c>
      <c r="K609" s="76">
        <f>IF(Escenarios!$E$11&gt;0,IF(J609&gt;Constantes!$E$30,1000*((J609-Constantes!$E$30)/(Escenarios!$E$16*10000)),0),F609)</f>
        <v>0</v>
      </c>
      <c r="L609" s="76">
        <f>IF(Escenarios!$E$11&gt;0,I609*1000/Escenarios!$E$16/10000+E609,E609)</f>
        <v>5.1237437423434611E-4</v>
      </c>
      <c r="M609" s="76">
        <f>MAX(0,N608+Observaciones!$F608-K609-Constantes!$D$13)</f>
        <v>0</v>
      </c>
      <c r="N609" s="76">
        <f>N608+Observaciones!$F608-K609-L609-M609-O608</f>
        <v>11.233367774415612</v>
      </c>
      <c r="O609" s="76">
        <f>MAX(0,(N609-Constantes!$D$14)*(1-EXP(-Constantes!$D$22)))</f>
        <v>0</v>
      </c>
      <c r="P609" s="170">
        <f>P608+(Entradas!$E$83*M609-Q608)/(800*Entradas!$D$25)</f>
        <v>0</v>
      </c>
      <c r="Q609" s="170">
        <f>8000*Entradas!$D$26*P609/Constantes!$E$45</f>
        <v>0</v>
      </c>
      <c r="R609" s="170">
        <f>IF(Escenarios!$E$14&gt;0,K609*Escenarios!$E$13/Escenarios!$E$14,0)</f>
        <v>0</v>
      </c>
      <c r="S609" s="170">
        <f>IF(Escenarios!$E$14&gt;0,Q609*Escenarios!$E$13/Escenarios!$E$14,0)</f>
        <v>0</v>
      </c>
      <c r="T609" s="170">
        <f>IF(Escenarios!$E$14&gt;0,Observaciones!$I608,0)</f>
        <v>0</v>
      </c>
      <c r="U609" s="170">
        <f>IF(Escenarios!$E$14&gt;0,MAX(0,Constantes!$E$36/((Z608+R609+S609+T609+Observaciones!$F608)^2)+Entradas!$E$77),0)</f>
        <v>0</v>
      </c>
      <c r="V609" s="146">
        <f>IF(ETo!D608&gt;0,ETo!I608*((1-Entradas!$E$81)*ETo!K608+ETo!L608),0)</f>
        <v>3.0432722952863704</v>
      </c>
      <c r="W609" s="170">
        <f>IF(Escenarios!$E$14&gt;0,MIN(V609*1,0.8*(Z608+R609+S609+T609+Observaciones!$F608-U609-Constantes!$E$35)),0)</f>
        <v>1.3518112211841071E-6</v>
      </c>
      <c r="X609" s="170">
        <f>IF(Escenarios!$E$14&gt;0,Observaciones!$J608,0)</f>
        <v>0</v>
      </c>
      <c r="Y609" s="170">
        <f>IF(Escenarios!$E$14&gt;0,MAX(0,Z608+R609+S609+T609+Observaciones!$F608-U609-W609-X609-Constantes!$E$33),0)</f>
        <v>0</v>
      </c>
      <c r="Z609" s="170">
        <f>Z608+R609+S609+T609+Observaciones!$F608-U609-W609-Y609</f>
        <v>41.250000337952805</v>
      </c>
      <c r="AA609" s="170">
        <f>IF(Escenarios!$E$14&gt;0,(Escenarios!$E$13*L609+Escenarios!$E$14*W609)/(Escenarios!$E$16),L609)</f>
        <v>4.5105166667276664E-4</v>
      </c>
      <c r="AB609" s="170">
        <f>IF(Escenarios!$E$14&gt;0,(Escenarios!$E$14*Y609)/(Escenarios!$E$16),K609)</f>
        <v>0</v>
      </c>
      <c r="AC609" s="170">
        <f>IF(Escenarios!$E$14&gt;0,(Escenarios!$E$13*M609+Escenarios!$E$14*U609)/(Escenarios!$E$16),M609)</f>
        <v>0</v>
      </c>
      <c r="AD609" s="76">
        <f t="shared" si="127"/>
        <v>79.766518895427993</v>
      </c>
      <c r="AE609" s="76">
        <f>MAX(0,(AD609-Constantes!$D$13)*(1-EXP(-Constantes!$D$23)))</f>
        <v>0.30561314823589014</v>
      </c>
      <c r="AF609" s="76">
        <f>AB609+O609*Escenarios!$E$13/Escenarios!$E$16+AE609</f>
        <v>0.30561314823589014</v>
      </c>
      <c r="AG609" s="76">
        <f>IF(Entradas!$E$91&gt;0,IF(AF609-Escenarios!$E$38&lt;=0,0,IF(AF609-Escenarios!$E$38&gt;Escenarios!$E$37,Escenarios!$E$37,AF609-Escenarios!$E$38)),0)</f>
        <v>0</v>
      </c>
      <c r="AH609" s="76">
        <f>AG609*Entradas!$E$99</f>
        <v>0</v>
      </c>
      <c r="AI609" s="76">
        <f>IF(Entradas!$E$91&gt;0,D609*Entradas!$D$23/Escenarios!$E$16,0)</f>
        <v>0</v>
      </c>
      <c r="AJ609" s="76">
        <f>IF(Entradas!$E$91&gt;0,Entradas!$D$24*Entradas!$D$22/Escenarios!$E$16,0)</f>
        <v>0</v>
      </c>
      <c r="AK609" s="76">
        <f t="shared" si="136"/>
        <v>4.5105166667276664E-4</v>
      </c>
      <c r="AL609" s="76">
        <f t="shared" si="137"/>
        <v>0</v>
      </c>
      <c r="AM609" s="76">
        <f t="shared" si="128"/>
        <v>0</v>
      </c>
      <c r="AN609" s="76">
        <f>MAX(0,O609*Escenarios!$E$13/Escenarios!$E$16-AM609)</f>
        <v>0</v>
      </c>
      <c r="AO609" s="76">
        <f>AM609+AN609-O609*Escenarios!$E$13/Escenarios!$E$16</f>
        <v>0</v>
      </c>
      <c r="AP609" s="76">
        <f t="shared" si="126"/>
        <v>0.30561314823589014</v>
      </c>
      <c r="AQ609" s="76">
        <f t="shared" si="129"/>
        <v>0</v>
      </c>
      <c r="AR609" s="76">
        <f t="shared" si="130"/>
        <v>0.30561314823589014</v>
      </c>
      <c r="AS609" s="76">
        <f t="shared" si="131"/>
        <v>0</v>
      </c>
      <c r="AT609" s="76">
        <f t="shared" si="132"/>
        <v>0</v>
      </c>
      <c r="AU609" s="76">
        <f t="shared" si="133"/>
        <v>48.75</v>
      </c>
      <c r="AV609" s="76">
        <f>MAX(0,(AU609-Constantes!$D$13)*(1-EXP(-Constantes!$D$24)))</f>
        <v>0</v>
      </c>
      <c r="AW609" s="170">
        <f>AW608+(Entradas!$E$112*AT609-AX608)/(800*Entradas!$D$25)</f>
        <v>0</v>
      </c>
      <c r="AX609" s="170">
        <f>8000*Entradas!$D$26*AW609/Constantes!$E$45</f>
        <v>0</v>
      </c>
      <c r="AY609" s="170">
        <f>IF(Escenarios!$E$17&gt;0,10*Escenarios!$E$16*AL609,0)</f>
        <v>0</v>
      </c>
      <c r="AZ609" s="170">
        <f>IF(Escenarios!$E$17&gt;0,10*Escenarios!$E$16*AX609,0)</f>
        <v>0</v>
      </c>
      <c r="BA609" s="170">
        <f>IF(Escenarios!$E$17&gt;0,0.001*Observaciones!$F608*Escenarios!$E$17,0)</f>
        <v>0</v>
      </c>
      <c r="BB609" s="170">
        <f>IF(Escenarios!$E$17&gt;0,Observaciones!$K608,0)</f>
        <v>0</v>
      </c>
      <c r="BC609" s="170">
        <f>IF(Escenarios!$E$17&gt;0,MIN(0.0005*ETo!$M608*Escenarios!$E$17*(BG608/Constantes!$E$40)^(2/3),BG608+AY609+AZ609+BA609+BB609),0)</f>
        <v>3.9245909708888065</v>
      </c>
      <c r="BD609" s="170">
        <f>IF(Escenarios!$E$17&gt;0,MIN(Constantes!$E$39*(BG608/Constantes!$E$40)^(2/3),BG608+AY609+AZ609+BA609+BB609-BC609),0)</f>
        <v>8.1805847807643008</v>
      </c>
      <c r="BE609" s="170">
        <f>IF(Escenarios!$E$17&gt;0,MIN(Entradas!$E$113,BG608+AY609+AZ609+BA609+BB609-BC609-BD609),0)</f>
        <v>1</v>
      </c>
      <c r="BF609" s="170">
        <f>IF(Escenarios!$E$17&gt;0,MAX(0,BG608+AY609+AZ609+BA609+BB609-BC609-BD609-BE609-Constantes!$E$40),0)</f>
        <v>0</v>
      </c>
      <c r="BG609" s="170">
        <f t="shared" si="138"/>
        <v>204.89170791565681</v>
      </c>
      <c r="BH609" s="170">
        <f>(Escenarios!$E$16*AK609+0.1*BC609)/(Escenarios!$E$19)</f>
        <v>2.0048492609407633E-3</v>
      </c>
      <c r="BI609" s="170">
        <f>IF(Escenarios!$E$17&gt;0,BF609/10/Escenarios!$E$19,AL609)</f>
        <v>0</v>
      </c>
      <c r="BJ609" s="170">
        <f>(Escenarios!$E$16*AT609+0.1*BD609)/(Escenarios!$E$19)</f>
        <v>3.2462638018905961E-3</v>
      </c>
      <c r="BK609" s="76">
        <f>BK608+(0.1*BD609)/(Escenarios!$E$19)-BL608</f>
        <v>49.9649535796826</v>
      </c>
      <c r="BL609" s="76">
        <f>MAX(0,(BK609-Constantes!$D$13)*(1-EXP(-Constantes!$D$23)))</f>
        <v>1.1971227000009866E-2</v>
      </c>
      <c r="BM609" s="76">
        <f t="shared" si="134"/>
        <v>0.3175843752359</v>
      </c>
      <c r="BN609" s="76">
        <f t="shared" si="139"/>
        <v>0.3175843752359</v>
      </c>
      <c r="BO609" s="76">
        <f>0.0526*BI609*Observaciones!$F608^1.218</f>
        <v>0</v>
      </c>
      <c r="BP609" s="76">
        <f>BO609*Constantes!$E$51</f>
        <v>0</v>
      </c>
      <c r="BQ609" s="76">
        <f t="shared" si="135"/>
        <v>0</v>
      </c>
      <c r="BR609" s="40"/>
    </row>
    <row r="610" spans="1:70">
      <c r="A610" s="147"/>
      <c r="B610" s="39"/>
      <c r="C610" s="75">
        <v>604</v>
      </c>
      <c r="D610" s="146">
        <f>ETo!$I609*((1-Constantes!$E$19)*ETo!$K609+ETo!$L609)</f>
        <v>3.4262631496775056</v>
      </c>
      <c r="E610" s="76">
        <f>MIN(D610*Constantes!$E$17,0.8*(N609+Observaciones!$F609-F610-M610-Constantes!$D$14))</f>
        <v>-1.3305780467510431E-2</v>
      </c>
      <c r="F610" s="76">
        <f>IF(Observaciones!$F609&gt;0.05*Constantes!$E$18,((Observaciones!$F609-0.05*Constantes!$E$18)^2)/(Observaciones!$F609+0.95*Constantes!$E$18),0)</f>
        <v>0</v>
      </c>
      <c r="G610" s="76">
        <f>IF(Escenarios!$E$11&gt;0,(F610*Escenarios!$E$16*10000)/1000,0)</f>
        <v>0</v>
      </c>
      <c r="H610" s="76">
        <f>IF(Escenarios!$E$11&gt;0,(Observaciones!$F609*Constantes!$E$29)/1000,0)</f>
        <v>0</v>
      </c>
      <c r="I610" s="76">
        <f>IF(Escenarios!$E$11&gt;0,(D610*Constantes!$E$29)/1000,0)</f>
        <v>34.262631496775057</v>
      </c>
      <c r="J610" s="76">
        <f>IF(Escenarios!$E$11&gt;0,MAX(0,G610+H610-I610),0)</f>
        <v>0</v>
      </c>
      <c r="K610" s="76">
        <f>IF(Escenarios!$E$11&gt;0,IF(J610&gt;Constantes!$E$30,1000*((J610-Constantes!$E$30)/(Escenarios!$E$16*10000)),0),F610)</f>
        <v>0</v>
      </c>
      <c r="L610" s="76">
        <f>IF(Escenarios!$E$11&gt;0,I610*1000/Escenarios!$E$16/10000+E610,E610)</f>
        <v>3.9927213119959198E-4</v>
      </c>
      <c r="M610" s="76">
        <f>MAX(0,N609+Observaciones!$F609-K610-Constantes!$D$13)</f>
        <v>0</v>
      </c>
      <c r="N610" s="76">
        <f>N609+Observaciones!$F609-K610-L610-M610-O609</f>
        <v>11.232968502284413</v>
      </c>
      <c r="O610" s="76">
        <f>MAX(0,(N610-Constantes!$D$14)*(1-EXP(-Constantes!$D$22)))</f>
        <v>0</v>
      </c>
      <c r="P610" s="170">
        <f>P609+(Entradas!$E$83*M610-Q609)/(800*Entradas!$D$25)</f>
        <v>0</v>
      </c>
      <c r="Q610" s="170">
        <f>8000*Entradas!$D$26*P610/Constantes!$E$45</f>
        <v>0</v>
      </c>
      <c r="R610" s="170">
        <f>IF(Escenarios!$E$14&gt;0,K610*Escenarios!$E$13/Escenarios!$E$14,0)</f>
        <v>0</v>
      </c>
      <c r="S610" s="170">
        <f>IF(Escenarios!$E$14&gt;0,Q610*Escenarios!$E$13/Escenarios!$E$14,0)</f>
        <v>0</v>
      </c>
      <c r="T610" s="170">
        <f>IF(Escenarios!$E$14&gt;0,Observaciones!$I609,0)</f>
        <v>0</v>
      </c>
      <c r="U610" s="170">
        <f>IF(Escenarios!$E$14&gt;0,MAX(0,Constantes!$E$36/((Z609+R610+S610+T610+Observaciones!$F609)^2)+Entradas!$E$77),0)</f>
        <v>0</v>
      </c>
      <c r="V610" s="146">
        <f>IF(ETo!D609&gt;0,ETo!I609*((1-Entradas!$E$81)*ETo!K609+ETo!L609),0)</f>
        <v>3.1117134263999673</v>
      </c>
      <c r="W610" s="170">
        <f>IF(Escenarios!$E$14&gt;0,MIN(V610*1,0.8*(Z609+R610+S610+T610+Observaciones!$F609-U610-Constantes!$E$35)),0)</f>
        <v>2.7036224423682145E-7</v>
      </c>
      <c r="X610" s="170">
        <f>IF(Escenarios!$E$14&gt;0,Observaciones!$J609,0)</f>
        <v>0</v>
      </c>
      <c r="Y610" s="170">
        <f>IF(Escenarios!$E$14&gt;0,MAX(0,Z609+R610+S610+T610+Observaciones!$F609-U610-W610-X610-Constantes!$E$33),0)</f>
        <v>0</v>
      </c>
      <c r="Z610" s="170">
        <f>Z609+R610+S610+T610+Observaciones!$F609-U610-W610-Y610</f>
        <v>41.250000067590562</v>
      </c>
      <c r="AA610" s="170">
        <f>IF(Escenarios!$E$14&gt;0,(Escenarios!$E$13*L610+Escenarios!$E$14*W610)/(Escenarios!$E$16),L610)</f>
        <v>3.5139191892494937E-4</v>
      </c>
      <c r="AB610" s="170">
        <f>IF(Escenarios!$E$14&gt;0,(Escenarios!$E$14*Y610)/(Escenarios!$E$16),K610)</f>
        <v>0</v>
      </c>
      <c r="AC610" s="170">
        <f>IF(Escenarios!$E$14&gt;0,(Escenarios!$E$13*M610+Escenarios!$E$14*U610)/(Escenarios!$E$16),M610)</f>
        <v>0</v>
      </c>
      <c r="AD610" s="76">
        <f t="shared" si="127"/>
        <v>79.460905747192101</v>
      </c>
      <c r="AE610" s="76">
        <f>MAX(0,(AD610-Constantes!$D$13)*(1-EXP(-Constantes!$D$23)))</f>
        <v>0.30260186909494113</v>
      </c>
      <c r="AF610" s="76">
        <f>AB610+O610*Escenarios!$E$13/Escenarios!$E$16+AE610</f>
        <v>0.30260186909494113</v>
      </c>
      <c r="AG610" s="76">
        <f>IF(Entradas!$E$91&gt;0,IF(AF610-Escenarios!$E$38&lt;=0,0,IF(AF610-Escenarios!$E$38&gt;Escenarios!$E$37,Escenarios!$E$37,AF610-Escenarios!$E$38)),0)</f>
        <v>0</v>
      </c>
      <c r="AH610" s="76">
        <f>AG610*Entradas!$E$99</f>
        <v>0</v>
      </c>
      <c r="AI610" s="76">
        <f>IF(Entradas!$E$91&gt;0,D610*Entradas!$D$23/Escenarios!$E$16,0)</f>
        <v>0</v>
      </c>
      <c r="AJ610" s="76">
        <f>IF(Entradas!$E$91&gt;0,Entradas!$D$24*Entradas!$D$22/Escenarios!$E$16,0)</f>
        <v>0</v>
      </c>
      <c r="AK610" s="76">
        <f t="shared" si="136"/>
        <v>3.5139191892494937E-4</v>
      </c>
      <c r="AL610" s="76">
        <f t="shared" si="137"/>
        <v>0</v>
      </c>
      <c r="AM610" s="76">
        <f t="shared" si="128"/>
        <v>0</v>
      </c>
      <c r="AN610" s="76">
        <f>MAX(0,O610*Escenarios!$E$13/Escenarios!$E$16-AM610)</f>
        <v>0</v>
      </c>
      <c r="AO610" s="76">
        <f>AM610+AN610-O610*Escenarios!$E$13/Escenarios!$E$16</f>
        <v>0</v>
      </c>
      <c r="AP610" s="76">
        <f t="shared" si="126"/>
        <v>0.30260186909494113</v>
      </c>
      <c r="AQ610" s="76">
        <f t="shared" si="129"/>
        <v>0</v>
      </c>
      <c r="AR610" s="76">
        <f t="shared" si="130"/>
        <v>0.30260186909494113</v>
      </c>
      <c r="AS610" s="76">
        <f t="shared" si="131"/>
        <v>0</v>
      </c>
      <c r="AT610" s="76">
        <f t="shared" si="132"/>
        <v>0</v>
      </c>
      <c r="AU610" s="76">
        <f t="shared" si="133"/>
        <v>48.75</v>
      </c>
      <c r="AV610" s="76">
        <f>MAX(0,(AU610-Constantes!$D$13)*(1-EXP(-Constantes!$D$24)))</f>
        <v>0</v>
      </c>
      <c r="AW610" s="170">
        <f>AW609+(Entradas!$E$112*AT610-AX609)/(800*Entradas!$D$25)</f>
        <v>0</v>
      </c>
      <c r="AX610" s="170">
        <f>8000*Entradas!$D$26*AW610/Constantes!$E$45</f>
        <v>0</v>
      </c>
      <c r="AY610" s="170">
        <f>IF(Escenarios!$E$17&gt;0,10*Escenarios!$E$16*AL610,0)</f>
        <v>0</v>
      </c>
      <c r="AZ610" s="170">
        <f>IF(Escenarios!$E$17&gt;0,10*Escenarios!$E$16*AX610,0)</f>
        <v>0</v>
      </c>
      <c r="BA610" s="170">
        <f>IF(Escenarios!$E$17&gt;0,0.001*Observaciones!$F609*Escenarios!$E$17,0)</f>
        <v>0</v>
      </c>
      <c r="BB610" s="170">
        <f>IF(Escenarios!$E$17&gt;0,Observaciones!$K609,0)</f>
        <v>0</v>
      </c>
      <c r="BC610" s="170">
        <f>IF(Escenarios!$E$17&gt;0,MIN(0.0005*ETo!$M609*Escenarios!$E$17*(BG609/Constantes!$E$40)^(2/3),BG609+AY610+AZ610+BA610+BB610),0)</f>
        <v>3.847375458834569</v>
      </c>
      <c r="BD610" s="170">
        <f>IF(Escenarios!$E$17&gt;0,MIN(Constantes!$E$39*(BG609/Constantes!$E$40)^(2/3),BG609+AY610+AZ610+BA610+BB610-BC610),0)</f>
        <v>7.8493509676081104</v>
      </c>
      <c r="BE610" s="170">
        <f>IF(Escenarios!$E$17&gt;0,MIN(Entradas!$E$113,BG609+AY610+AZ610+BA610+BB610-BC610-BD610),0)</f>
        <v>1</v>
      </c>
      <c r="BF610" s="170">
        <f>IF(Escenarios!$E$17&gt;0,MAX(0,BG609+AY610+AZ610+BA610+BB610-BC610-BD610-BE610-Constantes!$E$40),0)</f>
        <v>0</v>
      </c>
      <c r="BG610" s="170">
        <f t="shared" si="138"/>
        <v>192.19498148921414</v>
      </c>
      <c r="BH610" s="170">
        <f>(Escenarios!$E$16*AK610+0.1*BC610)/(Escenarios!$E$19)</f>
        <v>1.8753393873598978E-3</v>
      </c>
      <c r="BI610" s="170">
        <f>IF(Escenarios!$E$17&gt;0,BF610/10/Escenarios!$E$19,AL610)</f>
        <v>0</v>
      </c>
      <c r="BJ610" s="170">
        <f>(Escenarios!$E$16*AT610+0.1*BD610)/(Escenarios!$E$19)</f>
        <v>3.1148218125429013E-3</v>
      </c>
      <c r="BK610" s="76">
        <f>BK609+(0.1*BD610)/(Escenarios!$E$19)-BL609</f>
        <v>49.956097174495135</v>
      </c>
      <c r="BL610" s="76">
        <f>MAX(0,(BK610-Constantes!$D$13)*(1-EXP(-Constantes!$D$23)))</f>
        <v>1.1883962730266399E-2</v>
      </c>
      <c r="BM610" s="76">
        <f t="shared" si="134"/>
        <v>0.31448583182520751</v>
      </c>
      <c r="BN610" s="76">
        <f t="shared" si="139"/>
        <v>0.31448583182520751</v>
      </c>
      <c r="BO610" s="76">
        <f>0.0526*BI610*Observaciones!$F609^1.218</f>
        <v>0</v>
      </c>
      <c r="BP610" s="76">
        <f>BO610*Constantes!$E$51</f>
        <v>0</v>
      </c>
      <c r="BQ610" s="76">
        <f t="shared" si="135"/>
        <v>0</v>
      </c>
      <c r="BR610" s="40"/>
    </row>
    <row r="611" spans="1:70">
      <c r="A611" s="147"/>
      <c r="B611" s="39"/>
      <c r="C611" s="75">
        <v>605</v>
      </c>
      <c r="D611" s="146">
        <f>ETo!$I610*((1-Constantes!$E$19)*ETo!$K610+ETo!$L610)</f>
        <v>3.2749876931991961</v>
      </c>
      <c r="E611" s="76">
        <f>MIN(D611*Constantes!$E$17,0.8*(N610+Observaciones!$F610-F611-M611-Constantes!$D$14))</f>
        <v>-1.3625198172469766E-2</v>
      </c>
      <c r="F611" s="76">
        <f>IF(Observaciones!$F610&gt;0.05*Constantes!$E$18,((Observaciones!$F610-0.05*Constantes!$E$18)^2)/(Observaciones!$F610+0.95*Constantes!$E$18),0)</f>
        <v>0</v>
      </c>
      <c r="G611" s="76">
        <f>IF(Escenarios!$E$11&gt;0,(F611*Escenarios!$E$16*10000)/1000,0)</f>
        <v>0</v>
      </c>
      <c r="H611" s="76">
        <f>IF(Escenarios!$E$11&gt;0,(Observaciones!$F610*Constantes!$E$29)/1000,0)</f>
        <v>0</v>
      </c>
      <c r="I611" s="76">
        <f>IF(Escenarios!$E$11&gt;0,(D611*Constantes!$E$29)/1000,0)</f>
        <v>32.749876931991963</v>
      </c>
      <c r="J611" s="76">
        <f>IF(Escenarios!$E$11&gt;0,MAX(0,G611+H611-I611),0)</f>
        <v>0</v>
      </c>
      <c r="K611" s="76">
        <f>IF(Escenarios!$E$11&gt;0,IF(J611&gt;Constantes!$E$30,1000*((J611-Constantes!$E$30)/(Escenarios!$E$16*10000)),0),F611)</f>
        <v>0</v>
      </c>
      <c r="L611" s="76">
        <f>IF(Escenarios!$E$11&gt;0,I611*1000/Escenarios!$E$16/10000+E611,E611)</f>
        <v>-5.2524739967297999E-4</v>
      </c>
      <c r="M611" s="76">
        <f>MAX(0,N610+Observaciones!$F610-K611-Constantes!$D$13)</f>
        <v>0</v>
      </c>
      <c r="N611" s="76">
        <f>N610+Observaciones!$F610-K611-L611-M611-O610</f>
        <v>11.233493749684087</v>
      </c>
      <c r="O611" s="76">
        <f>MAX(0,(N611-Constantes!$D$14)*(1-EXP(-Constantes!$D$22)))</f>
        <v>0</v>
      </c>
      <c r="P611" s="170">
        <f>P610+(Entradas!$E$83*M611-Q610)/(800*Entradas!$D$25)</f>
        <v>0</v>
      </c>
      <c r="Q611" s="170">
        <f>8000*Entradas!$D$26*P611/Constantes!$E$45</f>
        <v>0</v>
      </c>
      <c r="R611" s="170">
        <f>IF(Escenarios!$E$14&gt;0,K611*Escenarios!$E$13/Escenarios!$E$14,0)</f>
        <v>0</v>
      </c>
      <c r="S611" s="170">
        <f>IF(Escenarios!$E$14&gt;0,Q611*Escenarios!$E$13/Escenarios!$E$14,0)</f>
        <v>0</v>
      </c>
      <c r="T611" s="170">
        <f>IF(Escenarios!$E$14&gt;0,Observaciones!$I610,0)</f>
        <v>0</v>
      </c>
      <c r="U611" s="170">
        <f>IF(Escenarios!$E$14&gt;0,MAX(0,Constantes!$E$36/((Z610+R611+S611+T611+Observaciones!$F610)^2)+Entradas!$E$77),0)</f>
        <v>0</v>
      </c>
      <c r="V611" s="146">
        <f>IF(ETo!D610&gt;0,ETo!I610*((1-Entradas!$E$81)*ETo!K610+ETo!L610),0)</f>
        <v>2.9734509540064282</v>
      </c>
      <c r="W611" s="170">
        <f>IF(Escenarios!$E$14&gt;0,MIN(V611*1,0.8*(Z610+R611+S611+T611+Observaciones!$F610-U611-Constantes!$E$35)),0)</f>
        <v>5.4072449984232668E-8</v>
      </c>
      <c r="X611" s="170">
        <f>IF(Escenarios!$E$14&gt;0,Observaciones!$J610,0)</f>
        <v>0</v>
      </c>
      <c r="Y611" s="170">
        <f>IF(Escenarios!$E$14&gt;0,MAX(0,Z610+R611+S611+T611+Observaciones!$F610-U611-W611-X611-Constantes!$E$33),0)</f>
        <v>0</v>
      </c>
      <c r="Z611" s="170">
        <f>Z610+R611+S611+T611+Observaciones!$F610-U611-W611-Y611</f>
        <v>41.250000013518111</v>
      </c>
      <c r="AA611" s="170">
        <f>IF(Escenarios!$E$14&gt;0,(Escenarios!$E$13*L611+Escenarios!$E$14*W611)/(Escenarios!$E$16),L611)</f>
        <v>-4.6221122301822425E-4</v>
      </c>
      <c r="AB611" s="170">
        <f>IF(Escenarios!$E$14&gt;0,(Escenarios!$E$14*Y611)/(Escenarios!$E$16),K611)</f>
        <v>0</v>
      </c>
      <c r="AC611" s="170">
        <f>IF(Escenarios!$E$14&gt;0,(Escenarios!$E$13*M611+Escenarios!$E$14*U611)/(Escenarios!$E$16),M611)</f>
        <v>0</v>
      </c>
      <c r="AD611" s="76">
        <f t="shared" si="127"/>
        <v>79.158303878097158</v>
      </c>
      <c r="AE611" s="76">
        <f>MAX(0,(AD611-Constantes!$D$13)*(1-EXP(-Constantes!$D$23)))</f>
        <v>0.29962026080459869</v>
      </c>
      <c r="AF611" s="76">
        <f>AB611+O611*Escenarios!$E$13/Escenarios!$E$16+AE611</f>
        <v>0.29962026080459869</v>
      </c>
      <c r="AG611" s="76">
        <f>IF(Entradas!$E$91&gt;0,IF(AF611-Escenarios!$E$38&lt;=0,0,IF(AF611-Escenarios!$E$38&gt;Escenarios!$E$37,Escenarios!$E$37,AF611-Escenarios!$E$38)),0)</f>
        <v>0</v>
      </c>
      <c r="AH611" s="76">
        <f>AG611*Entradas!$E$99</f>
        <v>0</v>
      </c>
      <c r="AI611" s="76">
        <f>IF(Entradas!$E$91&gt;0,D611*Entradas!$D$23/Escenarios!$E$16,0)</f>
        <v>0</v>
      </c>
      <c r="AJ611" s="76">
        <f>IF(Entradas!$E$91&gt;0,Entradas!$D$24*Entradas!$D$22/Escenarios!$E$16,0)</f>
        <v>0</v>
      </c>
      <c r="AK611" s="76">
        <f t="shared" si="136"/>
        <v>-4.6221122301822425E-4</v>
      </c>
      <c r="AL611" s="76">
        <f t="shared" si="137"/>
        <v>0</v>
      </c>
      <c r="AM611" s="76">
        <f t="shared" si="128"/>
        <v>0</v>
      </c>
      <c r="AN611" s="76">
        <f>MAX(0,O611*Escenarios!$E$13/Escenarios!$E$16-AM611)</f>
        <v>0</v>
      </c>
      <c r="AO611" s="76">
        <f>AM611+AN611-O611*Escenarios!$E$13/Escenarios!$E$16</f>
        <v>0</v>
      </c>
      <c r="AP611" s="76">
        <f t="shared" si="126"/>
        <v>0.29962026080459869</v>
      </c>
      <c r="AQ611" s="76">
        <f t="shared" si="129"/>
        <v>0</v>
      </c>
      <c r="AR611" s="76">
        <f t="shared" si="130"/>
        <v>0.29962026080459869</v>
      </c>
      <c r="AS611" s="76">
        <f t="shared" si="131"/>
        <v>0</v>
      </c>
      <c r="AT611" s="76">
        <f t="shared" si="132"/>
        <v>0</v>
      </c>
      <c r="AU611" s="76">
        <f t="shared" si="133"/>
        <v>48.75</v>
      </c>
      <c r="AV611" s="76">
        <f>MAX(0,(AU611-Constantes!$D$13)*(1-EXP(-Constantes!$D$24)))</f>
        <v>0</v>
      </c>
      <c r="AW611" s="170">
        <f>AW610+(Entradas!$E$112*AT611-AX610)/(800*Entradas!$D$25)</f>
        <v>0</v>
      </c>
      <c r="AX611" s="170">
        <f>8000*Entradas!$D$26*AW611/Constantes!$E$45</f>
        <v>0</v>
      </c>
      <c r="AY611" s="170">
        <f>IF(Escenarios!$E$17&gt;0,10*Escenarios!$E$16*AL611,0)</f>
        <v>0</v>
      </c>
      <c r="AZ611" s="170">
        <f>IF(Escenarios!$E$17&gt;0,10*Escenarios!$E$16*AX611,0)</f>
        <v>0</v>
      </c>
      <c r="BA611" s="170">
        <f>IF(Escenarios!$E$17&gt;0,0.001*Observaciones!$F610*Escenarios!$E$17,0)</f>
        <v>0</v>
      </c>
      <c r="BB611" s="170">
        <f>IF(Escenarios!$E$17&gt;0,Observaciones!$K610,0)</f>
        <v>0</v>
      </c>
      <c r="BC611" s="170">
        <f>IF(Escenarios!$E$17&gt;0,MIN(0.0005*ETo!$M610*Escenarios!$E$17*(BG610/Constantes!$E$40)^(2/3),BG610+AY611+AZ611+BA611+BB611),0)</f>
        <v>3.5252625039454535</v>
      </c>
      <c r="BD611" s="170">
        <f>IF(Escenarios!$E$17&gt;0,MIN(Constantes!$E$39*(BG610/Constantes!$E$40)^(2/3),BG610+AY611+AZ611+BA611+BB611-BC611),0)</f>
        <v>7.52163385493985</v>
      </c>
      <c r="BE611" s="170">
        <f>IF(Escenarios!$E$17&gt;0,MIN(Entradas!$E$113,BG610+AY611+AZ611+BA611+BB611-BC611-BD611),0)</f>
        <v>1</v>
      </c>
      <c r="BF611" s="170">
        <f>IF(Escenarios!$E$17&gt;0,MAX(0,BG610+AY611+AZ611+BA611+BB611-BC611-BD611-BE611-Constantes!$E$40),0)</f>
        <v>0</v>
      </c>
      <c r="BG611" s="170">
        <f t="shared" si="138"/>
        <v>180.14808513032887</v>
      </c>
      <c r="BH611" s="170">
        <f>(Escenarios!$E$16*AK611+0.1*BC611)/(Escenarios!$E$19)</f>
        <v>9.4037081206344963E-4</v>
      </c>
      <c r="BI611" s="170">
        <f>IF(Escenarios!$E$17&gt;0,BF611/10/Escenarios!$E$19,AL611)</f>
        <v>0</v>
      </c>
      <c r="BJ611" s="170">
        <f>(Escenarios!$E$16*AT611+0.1*BD611)/(Escenarios!$E$19)</f>
        <v>2.9847753392618455E-3</v>
      </c>
      <c r="BK611" s="76">
        <f>BK610+(0.1*BD611)/(Escenarios!$E$19)-BL610</f>
        <v>49.947197987104133</v>
      </c>
      <c r="BL611" s="76">
        <f>MAX(0,(BK611-Constantes!$D$13)*(1-EXP(-Constantes!$D$23)))</f>
        <v>1.1796276917281559E-2</v>
      </c>
      <c r="BM611" s="76">
        <f t="shared" si="134"/>
        <v>0.31141653772188027</v>
      </c>
      <c r="BN611" s="76">
        <f t="shared" si="139"/>
        <v>0.31141653772188027</v>
      </c>
      <c r="BO611" s="76">
        <f>0.0526*BI611*Observaciones!$F610^1.218</f>
        <v>0</v>
      </c>
      <c r="BP611" s="76">
        <f>BO611*Constantes!$E$51</f>
        <v>0</v>
      </c>
      <c r="BQ611" s="76">
        <f t="shared" si="135"/>
        <v>0</v>
      </c>
      <c r="BR611" s="40"/>
    </row>
    <row r="612" spans="1:70">
      <c r="A612" s="147"/>
      <c r="B612" s="39"/>
      <c r="C612" s="75">
        <v>606</v>
      </c>
      <c r="D612" s="146">
        <f>ETo!$I611*((1-Constantes!$E$19)*ETo!$K611+ETo!$L611)</f>
        <v>3.2545127697611123</v>
      </c>
      <c r="E612" s="76">
        <f>MIN(D612*Constantes!$E$17,0.8*(N611+Observaciones!$F611-F612-M612-Constantes!$D$14))</f>
        <v>-1.320500025273077E-2</v>
      </c>
      <c r="F612" s="76">
        <f>IF(Observaciones!$F611&gt;0.05*Constantes!$E$18,((Observaciones!$F611-0.05*Constantes!$E$18)^2)/(Observaciones!$F611+0.95*Constantes!$E$18),0)</f>
        <v>0</v>
      </c>
      <c r="G612" s="76">
        <f>IF(Escenarios!$E$11&gt;0,(F612*Escenarios!$E$16*10000)/1000,0)</f>
        <v>0</v>
      </c>
      <c r="H612" s="76">
        <f>IF(Escenarios!$E$11&gt;0,(Observaciones!$F611*Constantes!$E$29)/1000,0)</f>
        <v>0</v>
      </c>
      <c r="I612" s="76">
        <f>IF(Escenarios!$E$11&gt;0,(D612*Constantes!$E$29)/1000,0)</f>
        <v>32.545127697611122</v>
      </c>
      <c r="J612" s="76">
        <f>IF(Escenarios!$E$11&gt;0,MAX(0,G612+H612-I612),0)</f>
        <v>0</v>
      </c>
      <c r="K612" s="76">
        <f>IF(Escenarios!$E$11&gt;0,IF(J612&gt;Constantes!$E$30,1000*((J612-Constantes!$E$30)/(Escenarios!$E$16*10000)),0),F612)</f>
        <v>0</v>
      </c>
      <c r="L612" s="76">
        <f>IF(Escenarios!$E$11&gt;0,I612*1000/Escenarios!$E$16/10000+E612,E612)</f>
        <v>-1.8694917368632102E-4</v>
      </c>
      <c r="M612" s="76">
        <f>MAX(0,N611+Observaciones!$F611-K612-Constantes!$D$13)</f>
        <v>0</v>
      </c>
      <c r="N612" s="76">
        <f>N611+Observaciones!$F611-K612-L612-M612-O611</f>
        <v>11.233680698857773</v>
      </c>
      <c r="O612" s="76">
        <f>MAX(0,(N612-Constantes!$D$14)*(1-EXP(-Constantes!$D$22)))</f>
        <v>0</v>
      </c>
      <c r="P612" s="170">
        <f>P611+(Entradas!$E$83*M612-Q611)/(800*Entradas!$D$25)</f>
        <v>0</v>
      </c>
      <c r="Q612" s="170">
        <f>8000*Entradas!$D$26*P612/Constantes!$E$45</f>
        <v>0</v>
      </c>
      <c r="R612" s="170">
        <f>IF(Escenarios!$E$14&gt;0,K612*Escenarios!$E$13/Escenarios!$E$14,0)</f>
        <v>0</v>
      </c>
      <c r="S612" s="170">
        <f>IF(Escenarios!$E$14&gt;0,Q612*Escenarios!$E$13/Escenarios!$E$14,0)</f>
        <v>0</v>
      </c>
      <c r="T612" s="170">
        <f>IF(Escenarios!$E$14&gt;0,Observaciones!$I611,0)</f>
        <v>0</v>
      </c>
      <c r="U612" s="170">
        <f>IF(Escenarios!$E$14&gt;0,MAX(0,Constantes!$E$36/((Z611+R612+S612+T612+Observaciones!$F611)^2)+Entradas!$E$77),0)</f>
        <v>0</v>
      </c>
      <c r="V612" s="146">
        <f>IF(ETo!D611&gt;0,ETo!I611*((1-Entradas!$E$81)*ETo!K611+ETo!L611),0)</f>
        <v>2.9551418201240476</v>
      </c>
      <c r="W612" s="170">
        <f>IF(Escenarios!$E$14&gt;0,MIN(V612*1,0.8*(Z611+R612+S612+T612+Observaciones!$F611-U612-Constantes!$E$35)),0)</f>
        <v>1.0814488859978155E-8</v>
      </c>
      <c r="X612" s="170">
        <f>IF(Escenarios!$E$14&gt;0,Observaciones!$J611,0)</f>
        <v>0</v>
      </c>
      <c r="Y612" s="170">
        <f>IF(Escenarios!$E$14&gt;0,MAX(0,Z611+R612+S612+T612+Observaciones!$F611-U612-W612-X612-Constantes!$E$33),0)</f>
        <v>0</v>
      </c>
      <c r="Z612" s="170">
        <f>Z611+R612+S612+T612+Observaciones!$F611-U612-W612-Y612</f>
        <v>41.250000002703622</v>
      </c>
      <c r="AA612" s="170">
        <f>IF(Escenarios!$E$14&gt;0,(Escenarios!$E$13*L612+Escenarios!$E$14*W612)/(Escenarios!$E$16),L612)</f>
        <v>-1.645139751052993E-4</v>
      </c>
      <c r="AB612" s="170">
        <f>IF(Escenarios!$E$14&gt;0,(Escenarios!$E$14*Y612)/(Escenarios!$E$16),K612)</f>
        <v>0</v>
      </c>
      <c r="AC612" s="170">
        <f>IF(Escenarios!$E$14&gt;0,(Escenarios!$E$13*M612+Escenarios!$E$14*U612)/(Escenarios!$E$16),M612)</f>
        <v>0</v>
      </c>
      <c r="AD612" s="76">
        <f t="shared" si="127"/>
        <v>78.858683617292556</v>
      </c>
      <c r="AE612" s="76">
        <f>MAX(0,(AD612-Constantes!$D$13)*(1-EXP(-Constantes!$D$23)))</f>
        <v>0.29666803101090478</v>
      </c>
      <c r="AF612" s="76">
        <f>AB612+O612*Escenarios!$E$13/Escenarios!$E$16+AE612</f>
        <v>0.29666803101090478</v>
      </c>
      <c r="AG612" s="76">
        <f>IF(Entradas!$E$91&gt;0,IF(AF612-Escenarios!$E$38&lt;=0,0,IF(AF612-Escenarios!$E$38&gt;Escenarios!$E$37,Escenarios!$E$37,AF612-Escenarios!$E$38)),0)</f>
        <v>0</v>
      </c>
      <c r="AH612" s="76">
        <f>AG612*Entradas!$E$99</f>
        <v>0</v>
      </c>
      <c r="AI612" s="76">
        <f>IF(Entradas!$E$91&gt;0,D612*Entradas!$D$23/Escenarios!$E$16,0)</f>
        <v>0</v>
      </c>
      <c r="AJ612" s="76">
        <f>IF(Entradas!$E$91&gt;0,Entradas!$D$24*Entradas!$D$22/Escenarios!$E$16,0)</f>
        <v>0</v>
      </c>
      <c r="AK612" s="76">
        <f t="shared" si="136"/>
        <v>-1.645139751052993E-4</v>
      </c>
      <c r="AL612" s="76">
        <f t="shared" si="137"/>
        <v>0</v>
      </c>
      <c r="AM612" s="76">
        <f t="shared" si="128"/>
        <v>0</v>
      </c>
      <c r="AN612" s="76">
        <f>MAX(0,O612*Escenarios!$E$13/Escenarios!$E$16-AM612)</f>
        <v>0</v>
      </c>
      <c r="AO612" s="76">
        <f>AM612+AN612-O612*Escenarios!$E$13/Escenarios!$E$16</f>
        <v>0</v>
      </c>
      <c r="AP612" s="76">
        <f t="shared" si="126"/>
        <v>0.29666803101090478</v>
      </c>
      <c r="AQ612" s="76">
        <f t="shared" si="129"/>
        <v>0</v>
      </c>
      <c r="AR612" s="76">
        <f t="shared" si="130"/>
        <v>0.29666803101090478</v>
      </c>
      <c r="AS612" s="76">
        <f t="shared" si="131"/>
        <v>0</v>
      </c>
      <c r="AT612" s="76">
        <f t="shared" si="132"/>
        <v>0</v>
      </c>
      <c r="AU612" s="76">
        <f t="shared" si="133"/>
        <v>48.75</v>
      </c>
      <c r="AV612" s="76">
        <f>MAX(0,(AU612-Constantes!$D$13)*(1-EXP(-Constantes!$D$24)))</f>
        <v>0</v>
      </c>
      <c r="AW612" s="170">
        <f>AW611+(Entradas!$E$112*AT612-AX611)/(800*Entradas!$D$25)</f>
        <v>0</v>
      </c>
      <c r="AX612" s="170">
        <f>8000*Entradas!$D$26*AW612/Constantes!$E$45</f>
        <v>0</v>
      </c>
      <c r="AY612" s="170">
        <f>IF(Escenarios!$E$17&gt;0,10*Escenarios!$E$16*AL612,0)</f>
        <v>0</v>
      </c>
      <c r="AZ612" s="170">
        <f>IF(Escenarios!$E$17&gt;0,10*Escenarios!$E$16*AX612,0)</f>
        <v>0</v>
      </c>
      <c r="BA612" s="170">
        <f>IF(Escenarios!$E$17&gt;0,0.001*Observaciones!$F611*Escenarios!$E$17,0)</f>
        <v>0</v>
      </c>
      <c r="BB612" s="170">
        <f>IF(Escenarios!$E$17&gt;0,Observaciones!$K611,0)</f>
        <v>0</v>
      </c>
      <c r="BC612" s="170">
        <f>IF(Escenarios!$E$17&gt;0,MIN(0.0005*ETo!$M611*Escenarios!$E$17*(BG611/Constantes!$E$40)^(2/3),BG611+AY612+AZ612+BA612+BB612),0)</f>
        <v>3.3548623464435274</v>
      </c>
      <c r="BD612" s="170">
        <f>IF(Escenarios!$E$17&gt;0,MIN(Constantes!$E$39*(BG611/Constantes!$E$40)^(2/3),BG611+AY612+AZ612+BA612+BB612-BC612),0)</f>
        <v>7.2039483955447832</v>
      </c>
      <c r="BE612" s="170">
        <f>IF(Escenarios!$E$17&gt;0,MIN(Entradas!$E$113,BG611+AY612+AZ612+BA612+BB612-BC612-BD612),0)</f>
        <v>1</v>
      </c>
      <c r="BF612" s="170">
        <f>IF(Escenarios!$E$17&gt;0,MAX(0,BG611+AY612+AZ612+BA612+BB612-BC612-BD612-BE612-Constantes!$E$40),0)</f>
        <v>0</v>
      </c>
      <c r="BG612" s="170">
        <f t="shared" si="138"/>
        <v>168.58927438834056</v>
      </c>
      <c r="BH612" s="170">
        <f>(Escenarios!$E$16*AK612+0.1*BC612)/(Escenarios!$E$19)</f>
        <v>1.1680862732858252E-3</v>
      </c>
      <c r="BI612" s="170">
        <f>IF(Escenarios!$E$17&gt;0,BF612/10/Escenarios!$E$19,AL612)</f>
        <v>0</v>
      </c>
      <c r="BJ612" s="170">
        <f>(Escenarios!$E$16*AT612+0.1*BD612)/(Escenarios!$E$19)</f>
        <v>2.8587096807717394E-3</v>
      </c>
      <c r="BK612" s="76">
        <f>BK611+(0.1*BD612)/(Escenarios!$E$19)-BL611</f>
        <v>49.938260419867625</v>
      </c>
      <c r="BL612" s="76">
        <f>MAX(0,(BK612-Constantes!$D$13)*(1-EXP(-Constantes!$D$23)))</f>
        <v>1.1708212938537582E-2</v>
      </c>
      <c r="BM612" s="76">
        <f t="shared" si="134"/>
        <v>0.30837624394944235</v>
      </c>
      <c r="BN612" s="76">
        <f t="shared" si="139"/>
        <v>0.30837624394944235</v>
      </c>
      <c r="BO612" s="76">
        <f>0.0526*BI612*Observaciones!$F611^1.218</f>
        <v>0</v>
      </c>
      <c r="BP612" s="76">
        <f>BO612*Constantes!$E$51</f>
        <v>0</v>
      </c>
      <c r="BQ612" s="76">
        <f t="shared" si="135"/>
        <v>0</v>
      </c>
      <c r="BR612" s="40"/>
    </row>
    <row r="613" spans="1:70">
      <c r="A613" s="147"/>
      <c r="B613" s="39"/>
      <c r="C613" s="75">
        <v>607</v>
      </c>
      <c r="D613" s="146">
        <f>ETo!$I612*((1-Constantes!$E$19)*ETo!$K612+ETo!$L612)</f>
        <v>3.4232473356462441</v>
      </c>
      <c r="E613" s="76">
        <f>MIN(D613*Constantes!$E$17,0.8*(N612+Observaciones!$F612-F613-M613-Constantes!$D$14))</f>
        <v>-1.3055440913781524E-2</v>
      </c>
      <c r="F613" s="76">
        <f>IF(Observaciones!$F612&gt;0.05*Constantes!$E$18,((Observaciones!$F612-0.05*Constantes!$E$18)^2)/(Observaciones!$F612+0.95*Constantes!$E$18),0)</f>
        <v>0</v>
      </c>
      <c r="G613" s="76">
        <f>IF(Escenarios!$E$11&gt;0,(F613*Escenarios!$E$16*10000)/1000,0)</f>
        <v>0</v>
      </c>
      <c r="H613" s="76">
        <f>IF(Escenarios!$E$11&gt;0,(Observaciones!$F612*Constantes!$E$29)/1000,0)</f>
        <v>0</v>
      </c>
      <c r="I613" s="76">
        <f>IF(Escenarios!$E$11&gt;0,(D613*Constantes!$E$29)/1000,0)</f>
        <v>34.232473356462442</v>
      </c>
      <c r="J613" s="76">
        <f>IF(Escenarios!$E$11&gt;0,MAX(0,G613+H613-I613),0)</f>
        <v>0</v>
      </c>
      <c r="K613" s="76">
        <f>IF(Escenarios!$E$11&gt;0,IF(J613&gt;Constantes!$E$30,1000*((J613-Constantes!$E$30)/(Escenarios!$E$16*10000)),0),F613)</f>
        <v>0</v>
      </c>
      <c r="L613" s="76">
        <f>IF(Escenarios!$E$11&gt;0,I613*1000/Escenarios!$E$16/10000+E613,E613)</f>
        <v>6.3754842880345275E-4</v>
      </c>
      <c r="M613" s="76">
        <f>MAX(0,N612+Observaciones!$F612-K613-Constantes!$D$13)</f>
        <v>0</v>
      </c>
      <c r="N613" s="76">
        <f>N612+Observaciones!$F612-K613-L613-M613-O612</f>
        <v>11.233043150428969</v>
      </c>
      <c r="O613" s="76">
        <f>MAX(0,(N613-Constantes!$D$14)*(1-EXP(-Constantes!$D$22)))</f>
        <v>0</v>
      </c>
      <c r="P613" s="170">
        <f>P612+(Entradas!$E$83*M613-Q612)/(800*Entradas!$D$25)</f>
        <v>0</v>
      </c>
      <c r="Q613" s="170">
        <f>8000*Entradas!$D$26*P613/Constantes!$E$45</f>
        <v>0</v>
      </c>
      <c r="R613" s="170">
        <f>IF(Escenarios!$E$14&gt;0,K613*Escenarios!$E$13/Escenarios!$E$14,0)</f>
        <v>0</v>
      </c>
      <c r="S613" s="170">
        <f>IF(Escenarios!$E$14&gt;0,Q613*Escenarios!$E$13/Escenarios!$E$14,0)</f>
        <v>0</v>
      </c>
      <c r="T613" s="170">
        <f>IF(Escenarios!$E$14&gt;0,Observaciones!$I612,0)</f>
        <v>0</v>
      </c>
      <c r="U613" s="170">
        <f>IF(Escenarios!$E$14&gt;0,MAX(0,Constantes!$E$36/((Z612+R613+S613+T613+Observaciones!$F612)^2)+Entradas!$E$77),0)</f>
        <v>0</v>
      </c>
      <c r="V613" s="146">
        <f>IF(ETo!D612&gt;0,ETo!I612*((1-Entradas!$E$81)*ETo!K612+ETo!L612),0)</f>
        <v>3.1099235125679621</v>
      </c>
      <c r="W613" s="170">
        <f>IF(Escenarios!$E$14&gt;0,MIN(V613*1,0.8*(Z612+R613+S613+T613+Observaciones!$F612-U613-Constantes!$E$35)),0)</f>
        <v>2.162897771995631E-9</v>
      </c>
      <c r="X613" s="170">
        <f>IF(Escenarios!$E$14&gt;0,Observaciones!$J612,0)</f>
        <v>0</v>
      </c>
      <c r="Y613" s="170">
        <f>IF(Escenarios!$E$14&gt;0,MAX(0,Z612+R613+S613+T613+Observaciones!$F612-U613-W613-X613-Constantes!$E$33),0)</f>
        <v>0</v>
      </c>
      <c r="Z613" s="170">
        <f>Z612+R613+S613+T613+Observaciones!$F612-U613-W613-Y613</f>
        <v>41.250000000540723</v>
      </c>
      <c r="AA613" s="170">
        <f>IF(Escenarios!$E$14&gt;0,(Escenarios!$E$13*L613+Escenarios!$E$14*W613)/(Escenarios!$E$16),L613)</f>
        <v>5.6104287689477108E-4</v>
      </c>
      <c r="AB613" s="170">
        <f>IF(Escenarios!$E$14&gt;0,(Escenarios!$E$14*Y613)/(Escenarios!$E$16),K613)</f>
        <v>0</v>
      </c>
      <c r="AC613" s="170">
        <f>IF(Escenarios!$E$14&gt;0,(Escenarios!$E$13*M613+Escenarios!$E$14*U613)/(Escenarios!$E$16),M613)</f>
        <v>0</v>
      </c>
      <c r="AD613" s="76">
        <f t="shared" si="127"/>
        <v>78.562015586281646</v>
      </c>
      <c r="AE613" s="76">
        <f>MAX(0,(AD613-Constantes!$D$13)*(1-EXP(-Constantes!$D$23)))</f>
        <v>0.29374489024053446</v>
      </c>
      <c r="AF613" s="76">
        <f>AB613+O613*Escenarios!$E$13/Escenarios!$E$16+AE613</f>
        <v>0.29374489024053446</v>
      </c>
      <c r="AG613" s="76">
        <f>IF(Entradas!$E$91&gt;0,IF(AF613-Escenarios!$E$38&lt;=0,0,IF(AF613-Escenarios!$E$38&gt;Escenarios!$E$37,Escenarios!$E$37,AF613-Escenarios!$E$38)),0)</f>
        <v>0</v>
      </c>
      <c r="AH613" s="76">
        <f>AG613*Entradas!$E$99</f>
        <v>0</v>
      </c>
      <c r="AI613" s="76">
        <f>IF(Entradas!$E$91&gt;0,D613*Entradas!$D$23/Escenarios!$E$16,0)</f>
        <v>0</v>
      </c>
      <c r="AJ613" s="76">
        <f>IF(Entradas!$E$91&gt;0,Entradas!$D$24*Entradas!$D$22/Escenarios!$E$16,0)</f>
        <v>0</v>
      </c>
      <c r="AK613" s="76">
        <f t="shared" si="136"/>
        <v>5.6104287689477108E-4</v>
      </c>
      <c r="AL613" s="76">
        <f t="shared" si="137"/>
        <v>0</v>
      </c>
      <c r="AM613" s="76">
        <f t="shared" si="128"/>
        <v>0</v>
      </c>
      <c r="AN613" s="76">
        <f>MAX(0,O613*Escenarios!$E$13/Escenarios!$E$16-AM613)</f>
        <v>0</v>
      </c>
      <c r="AO613" s="76">
        <f>AM613+AN613-O613*Escenarios!$E$13/Escenarios!$E$16</f>
        <v>0</v>
      </c>
      <c r="AP613" s="76">
        <f t="shared" si="126"/>
        <v>0.29374489024053446</v>
      </c>
      <c r="AQ613" s="76">
        <f t="shared" si="129"/>
        <v>0</v>
      </c>
      <c r="AR613" s="76">
        <f t="shared" si="130"/>
        <v>0.29374489024053446</v>
      </c>
      <c r="AS613" s="76">
        <f t="shared" si="131"/>
        <v>0</v>
      </c>
      <c r="AT613" s="76">
        <f t="shared" si="132"/>
        <v>0</v>
      </c>
      <c r="AU613" s="76">
        <f t="shared" si="133"/>
        <v>48.75</v>
      </c>
      <c r="AV613" s="76">
        <f>MAX(0,(AU613-Constantes!$D$13)*(1-EXP(-Constantes!$D$24)))</f>
        <v>0</v>
      </c>
      <c r="AW613" s="170">
        <f>AW612+(Entradas!$E$112*AT613-AX612)/(800*Entradas!$D$25)</f>
        <v>0</v>
      </c>
      <c r="AX613" s="170">
        <f>8000*Entradas!$D$26*AW613/Constantes!$E$45</f>
        <v>0</v>
      </c>
      <c r="AY613" s="170">
        <f>IF(Escenarios!$E$17&gt;0,10*Escenarios!$E$16*AL613,0)</f>
        <v>0</v>
      </c>
      <c r="AZ613" s="170">
        <f>IF(Escenarios!$E$17&gt;0,10*Escenarios!$E$16*AX613,0)</f>
        <v>0</v>
      </c>
      <c r="BA613" s="170">
        <f>IF(Escenarios!$E$17&gt;0,0.001*Observaciones!$F612*Escenarios!$E$17,0)</f>
        <v>0</v>
      </c>
      <c r="BB613" s="170">
        <f>IF(Escenarios!$E$17&gt;0,Observaciones!$K612,0)</f>
        <v>0</v>
      </c>
      <c r="BC613" s="170">
        <f>IF(Escenarios!$E$17&gt;0,MIN(0.0005*ETo!$M612*Escenarios!$E$17*(BG612/Constantes!$E$40)^(2/3),BG612+AY613+AZ613+BA613+BB613),0)</f>
        <v>3.3740662216332673</v>
      </c>
      <c r="BD613" s="170">
        <f>IF(Escenarios!$E$17&gt;0,MIN(Constantes!$E$39*(BG612/Constantes!$E$40)^(2/3),BG612+AY613+AZ613+BA613+BB613-BC613),0)</f>
        <v>6.8924049764490656</v>
      </c>
      <c r="BE613" s="170">
        <f>IF(Escenarios!$E$17&gt;0,MIN(Entradas!$E$113,BG612+AY613+AZ613+BA613+BB613-BC613-BD613),0)</f>
        <v>1</v>
      </c>
      <c r="BF613" s="170">
        <f>IF(Escenarios!$E$17&gt;0,MAX(0,BG612+AY613+AZ613+BA613+BB613-BC613-BD613-BE613-Constantes!$E$40),0)</f>
        <v>0</v>
      </c>
      <c r="BG613" s="170">
        <f t="shared" si="138"/>
        <v>157.32280319025824</v>
      </c>
      <c r="BH613" s="170">
        <f>(Escenarios!$E$16*AK613+0.1*BC613)/(Escenarios!$E$19)</f>
        <v>1.8955053229643632E-3</v>
      </c>
      <c r="BI613" s="170">
        <f>IF(Escenarios!$E$17&gt;0,BF613/10/Escenarios!$E$19,AL613)</f>
        <v>0</v>
      </c>
      <c r="BJ613" s="170">
        <f>(Escenarios!$E$16*AT613+0.1*BD613)/(Escenarios!$E$19)</f>
        <v>2.7350813398607406E-3</v>
      </c>
      <c r="BK613" s="76">
        <f>BK612+(0.1*BD613)/(Escenarios!$E$19)-BL612</f>
        <v>49.929287288268952</v>
      </c>
      <c r="BL613" s="76">
        <f>MAX(0,(BK613-Constantes!$D$13)*(1-EXP(-Constantes!$D$23)))</f>
        <v>1.1619798535662427E-2</v>
      </c>
      <c r="BM613" s="76">
        <f t="shared" si="134"/>
        <v>0.30536468877619688</v>
      </c>
      <c r="BN613" s="76">
        <f t="shared" si="139"/>
        <v>0.30536468877619688</v>
      </c>
      <c r="BO613" s="76">
        <f>0.0526*BI613*Observaciones!$F612^1.218</f>
        <v>0</v>
      </c>
      <c r="BP613" s="76">
        <f>BO613*Constantes!$E$51</f>
        <v>0</v>
      </c>
      <c r="BQ613" s="76">
        <f t="shared" si="135"/>
        <v>0</v>
      </c>
      <c r="BR613" s="40"/>
    </row>
    <row r="614" spans="1:70">
      <c r="A614" s="147"/>
      <c r="B614" s="39"/>
      <c r="C614" s="75">
        <v>608</v>
      </c>
      <c r="D614" s="146">
        <f>ETo!$I613*((1-Constantes!$E$19)*ETo!$K613+ETo!$L613)</f>
        <v>3.4026749875244282</v>
      </c>
      <c r="E614" s="76">
        <f>MIN(D614*Constantes!$E$17,0.8*(N613+Observaciones!$F613-F614-M614-Constantes!$D$14))</f>
        <v>-1.3565479656824664E-2</v>
      </c>
      <c r="F614" s="76">
        <f>IF(Observaciones!$F613&gt;0.05*Constantes!$E$18,((Observaciones!$F613-0.05*Constantes!$E$18)^2)/(Observaciones!$F613+0.95*Constantes!$E$18),0)</f>
        <v>0</v>
      </c>
      <c r="G614" s="76">
        <f>IF(Escenarios!$E$11&gt;0,(F614*Escenarios!$E$16*10000)/1000,0)</f>
        <v>0</v>
      </c>
      <c r="H614" s="76">
        <f>IF(Escenarios!$E$11&gt;0,(Observaciones!$F613*Constantes!$E$29)/1000,0)</f>
        <v>0</v>
      </c>
      <c r="I614" s="76">
        <f>IF(Escenarios!$E$11&gt;0,(D614*Constantes!$E$29)/1000,0)</f>
        <v>34.026749875244285</v>
      </c>
      <c r="J614" s="76">
        <f>IF(Escenarios!$E$11&gt;0,MAX(0,G614+H614-I614),0)</f>
        <v>0</v>
      </c>
      <c r="K614" s="76">
        <f>IF(Escenarios!$E$11&gt;0,IF(J614&gt;Constantes!$E$30,1000*((J614-Constantes!$E$30)/(Escenarios!$E$16*10000)),0),F614)</f>
        <v>0</v>
      </c>
      <c r="L614" s="76">
        <f>IF(Escenarios!$E$11&gt;0,I614*1000/Escenarios!$E$16/10000+E614,E614)</f>
        <v>4.5220293273050272E-5</v>
      </c>
      <c r="M614" s="76">
        <f>MAX(0,N613+Observaciones!$F613-K614-Constantes!$D$13)</f>
        <v>0</v>
      </c>
      <c r="N614" s="76">
        <f>N613+Observaciones!$F613-K614-L614-M614-O613</f>
        <v>11.232997930135696</v>
      </c>
      <c r="O614" s="76">
        <f>MAX(0,(N614-Constantes!$D$14)*(1-EXP(-Constantes!$D$22)))</f>
        <v>0</v>
      </c>
      <c r="P614" s="170">
        <f>P613+(Entradas!$E$83*M614-Q613)/(800*Entradas!$D$25)</f>
        <v>0</v>
      </c>
      <c r="Q614" s="170">
        <f>8000*Entradas!$D$26*P614/Constantes!$E$45</f>
        <v>0</v>
      </c>
      <c r="R614" s="170">
        <f>IF(Escenarios!$E$14&gt;0,K614*Escenarios!$E$13/Escenarios!$E$14,0)</f>
        <v>0</v>
      </c>
      <c r="S614" s="170">
        <f>IF(Escenarios!$E$14&gt;0,Q614*Escenarios!$E$13/Escenarios!$E$14,0)</f>
        <v>0</v>
      </c>
      <c r="T614" s="170">
        <f>IF(Escenarios!$E$14&gt;0,Observaciones!$I613,0)</f>
        <v>0</v>
      </c>
      <c r="U614" s="170">
        <f>IF(Escenarios!$E$14&gt;0,MAX(0,Constantes!$E$36/((Z613+R614+S614+T614+Observaciones!$F613)^2)+Entradas!$E$77),0)</f>
        <v>0</v>
      </c>
      <c r="V614" s="146">
        <f>IF(ETo!D613&gt;0,ETo!I613*((1-Entradas!$E$81)*ETo!K613+ETo!L613),0)</f>
        <v>3.0914027304329901</v>
      </c>
      <c r="W614" s="170">
        <f>IF(Escenarios!$E$14&gt;0,MIN(V614*1,0.8*(Z613+R614+S614+T614+Observaciones!$F613-U614-Constantes!$E$35)),0)</f>
        <v>4.3257841753074899E-10</v>
      </c>
      <c r="X614" s="170">
        <f>IF(Escenarios!$E$14&gt;0,Observaciones!$J613,0)</f>
        <v>0</v>
      </c>
      <c r="Y614" s="170">
        <f>IF(Escenarios!$E$14&gt;0,MAX(0,Z613+R614+S614+T614+Observaciones!$F613-U614-W614-X614-Constantes!$E$33),0)</f>
        <v>0</v>
      </c>
      <c r="Z614" s="170">
        <f>Z613+R614+S614+T614+Observaciones!$F613-U614-W614-Y614</f>
        <v>41.250000000108145</v>
      </c>
      <c r="AA614" s="170">
        <f>IF(Escenarios!$E$14&gt;0,(Escenarios!$E$13*L614+Escenarios!$E$14*W614)/(Escenarios!$E$16),L614)</f>
        <v>3.9793909989694346E-5</v>
      </c>
      <c r="AB614" s="170">
        <f>IF(Escenarios!$E$14&gt;0,(Escenarios!$E$14*Y614)/(Escenarios!$E$16),K614)</f>
        <v>0</v>
      </c>
      <c r="AC614" s="170">
        <f>IF(Escenarios!$E$14&gt;0,(Escenarios!$E$13*M614+Escenarios!$E$14*U614)/(Escenarios!$E$16),M614)</f>
        <v>0</v>
      </c>
      <c r="AD614" s="76">
        <f t="shared" si="127"/>
        <v>78.268270696041114</v>
      </c>
      <c r="AE614" s="76">
        <f>MAX(0,(AD614-Constantes!$D$13)*(1-EXP(-Constantes!$D$23)))</f>
        <v>0.2908505518724126</v>
      </c>
      <c r="AF614" s="76">
        <f>AB614+O614*Escenarios!$E$13/Escenarios!$E$16+AE614</f>
        <v>0.2908505518724126</v>
      </c>
      <c r="AG614" s="76">
        <f>IF(Entradas!$E$91&gt;0,IF(AF614-Escenarios!$E$38&lt;=0,0,IF(AF614-Escenarios!$E$38&gt;Escenarios!$E$37,Escenarios!$E$37,AF614-Escenarios!$E$38)),0)</f>
        <v>0</v>
      </c>
      <c r="AH614" s="76">
        <f>AG614*Entradas!$E$99</f>
        <v>0</v>
      </c>
      <c r="AI614" s="76">
        <f>IF(Entradas!$E$91&gt;0,D614*Entradas!$D$23/Escenarios!$E$16,0)</f>
        <v>0</v>
      </c>
      <c r="AJ614" s="76">
        <f>IF(Entradas!$E$91&gt;0,Entradas!$D$24*Entradas!$D$22/Escenarios!$E$16,0)</f>
        <v>0</v>
      </c>
      <c r="AK614" s="76">
        <f t="shared" si="136"/>
        <v>3.9793909989694346E-5</v>
      </c>
      <c r="AL614" s="76">
        <f t="shared" si="137"/>
        <v>0</v>
      </c>
      <c r="AM614" s="76">
        <f t="shared" si="128"/>
        <v>0</v>
      </c>
      <c r="AN614" s="76">
        <f>MAX(0,O614*Escenarios!$E$13/Escenarios!$E$16-AM614)</f>
        <v>0</v>
      </c>
      <c r="AO614" s="76">
        <f>AM614+AN614-O614*Escenarios!$E$13/Escenarios!$E$16</f>
        <v>0</v>
      </c>
      <c r="AP614" s="76">
        <f t="shared" si="126"/>
        <v>0.2908505518724126</v>
      </c>
      <c r="AQ614" s="76">
        <f t="shared" si="129"/>
        <v>0</v>
      </c>
      <c r="AR614" s="76">
        <f t="shared" si="130"/>
        <v>0.2908505518724126</v>
      </c>
      <c r="AS614" s="76">
        <f t="shared" si="131"/>
        <v>0</v>
      </c>
      <c r="AT614" s="76">
        <f t="shared" si="132"/>
        <v>0</v>
      </c>
      <c r="AU614" s="76">
        <f t="shared" si="133"/>
        <v>48.75</v>
      </c>
      <c r="AV614" s="76">
        <f>MAX(0,(AU614-Constantes!$D$13)*(1-EXP(-Constantes!$D$24)))</f>
        <v>0</v>
      </c>
      <c r="AW614" s="170">
        <f>AW613+(Entradas!$E$112*AT614-AX613)/(800*Entradas!$D$25)</f>
        <v>0</v>
      </c>
      <c r="AX614" s="170">
        <f>8000*Entradas!$D$26*AW614/Constantes!$E$45</f>
        <v>0</v>
      </c>
      <c r="AY614" s="170">
        <f>IF(Escenarios!$E$17&gt;0,10*Escenarios!$E$16*AL614,0)</f>
        <v>0</v>
      </c>
      <c r="AZ614" s="170">
        <f>IF(Escenarios!$E$17&gt;0,10*Escenarios!$E$16*AX614,0)</f>
        <v>0</v>
      </c>
      <c r="BA614" s="170">
        <f>IF(Escenarios!$E$17&gt;0,0.001*Observaciones!$F613*Escenarios!$E$17,0)</f>
        <v>0</v>
      </c>
      <c r="BB614" s="170">
        <f>IF(Escenarios!$E$17&gt;0,Observaciones!$K613,0)</f>
        <v>0</v>
      </c>
      <c r="BC614" s="170">
        <f>IF(Escenarios!$E$17&gt;0,MIN(0.0005*ETo!$M613*Escenarios!$E$17*(BG613/Constantes!$E$40)^(2/3),BG613+AY614+AZ614+BA614+BB614),0)</f>
        <v>3.2024376287795713</v>
      </c>
      <c r="BD614" s="170">
        <f>IF(Escenarios!$E$17&gt;0,MIN(Constantes!$E$39*(BG613/Constantes!$E$40)^(2/3),BG613+AY614+AZ614+BA614+BB614-BC614),0)</f>
        <v>6.5818090289506639</v>
      </c>
      <c r="BE614" s="170">
        <f>IF(Escenarios!$E$17&gt;0,MIN(Entradas!$E$113,BG613+AY614+AZ614+BA614+BB614-BC614-BD614),0)</f>
        <v>1</v>
      </c>
      <c r="BF614" s="170">
        <f>IF(Escenarios!$E$17&gt;0,MAX(0,BG613+AY614+AZ614+BA614+BB614-BC614-BD614-BE614-Constantes!$E$40),0)</f>
        <v>0</v>
      </c>
      <c r="BG614" s="170">
        <f t="shared" si="138"/>
        <v>146.53855653252802</v>
      </c>
      <c r="BH614" s="170">
        <f>(Escenarios!$E$16*AK614+0.1*BC614)/(Escenarios!$E$19)</f>
        <v>1.3102866681562728E-3</v>
      </c>
      <c r="BI614" s="170">
        <f>IF(Escenarios!$E$17&gt;0,BF614/10/Escenarios!$E$19,AL614)</f>
        <v>0</v>
      </c>
      <c r="BJ614" s="170">
        <f>(Escenarios!$E$16*AT614+0.1*BD614)/(Escenarios!$E$19)</f>
        <v>2.6118289797423273E-3</v>
      </c>
      <c r="BK614" s="76">
        <f>BK613+(0.1*BD614)/(Escenarios!$E$19)-BL613</f>
        <v>49.920279318713035</v>
      </c>
      <c r="BL614" s="76">
        <f>MAX(0,(BK614-Constantes!$D$13)*(1-EXP(-Constantes!$D$23)))</f>
        <v>1.1531040866096787E-2</v>
      </c>
      <c r="BM614" s="76">
        <f t="shared" si="134"/>
        <v>0.3023815927385094</v>
      </c>
      <c r="BN614" s="76">
        <f t="shared" si="139"/>
        <v>0.3023815927385094</v>
      </c>
      <c r="BO614" s="76">
        <f>0.0526*BI614*Observaciones!$F613^1.218</f>
        <v>0</v>
      </c>
      <c r="BP614" s="76">
        <f>BO614*Constantes!$E$51</f>
        <v>0</v>
      </c>
      <c r="BQ614" s="76">
        <f t="shared" si="135"/>
        <v>0</v>
      </c>
      <c r="BR614" s="40"/>
    </row>
    <row r="615" spans="1:70">
      <c r="A615" s="147"/>
      <c r="B615" s="39"/>
      <c r="C615" s="75">
        <v>609</v>
      </c>
      <c r="D615" s="146">
        <f>ETo!$I614*((1-Constantes!$E$19)*ETo!$K614+ETo!$L614)</f>
        <v>3.4890955891074036</v>
      </c>
      <c r="E615" s="76">
        <f>MIN(D615*Constantes!$E$17,0.8*(N614+Observaciones!$F614-F615-M615-Constantes!$D$14))</f>
        <v>-1.3601655891443444E-2</v>
      </c>
      <c r="F615" s="76">
        <f>IF(Observaciones!$F614&gt;0.05*Constantes!$E$18,((Observaciones!$F614-0.05*Constantes!$E$18)^2)/(Observaciones!$F614+0.95*Constantes!$E$18),0)</f>
        <v>0</v>
      </c>
      <c r="G615" s="76">
        <f>IF(Escenarios!$E$11&gt;0,(F615*Escenarios!$E$16*10000)/1000,0)</f>
        <v>0</v>
      </c>
      <c r="H615" s="76">
        <f>IF(Escenarios!$E$11&gt;0,(Observaciones!$F614*Constantes!$E$29)/1000,0)</f>
        <v>0</v>
      </c>
      <c r="I615" s="76">
        <f>IF(Escenarios!$E$11&gt;0,(D615*Constantes!$E$29)/1000,0)</f>
        <v>34.890955891074036</v>
      </c>
      <c r="J615" s="76">
        <f>IF(Escenarios!$E$11&gt;0,MAX(0,G615+H615-I615),0)</f>
        <v>0</v>
      </c>
      <c r="K615" s="76">
        <f>IF(Escenarios!$E$11&gt;0,IF(J615&gt;Constantes!$E$30,1000*((J615-Constantes!$E$30)/(Escenarios!$E$16*10000)),0),F615)</f>
        <v>0</v>
      </c>
      <c r="L615" s="76">
        <f>IF(Escenarios!$E$11&gt;0,I615*1000/Escenarios!$E$16/10000+E615,E615)</f>
        <v>3.5472646498617075E-4</v>
      </c>
      <c r="M615" s="76">
        <f>MAX(0,N614+Observaciones!$F614-K615-Constantes!$D$13)</f>
        <v>0</v>
      </c>
      <c r="N615" s="76">
        <f>N614+Observaciones!$F614-K615-L615-M615-O614</f>
        <v>11.23264320367071</v>
      </c>
      <c r="O615" s="76">
        <f>MAX(0,(N615-Constantes!$D$14)*(1-EXP(-Constantes!$D$22)))</f>
        <v>0</v>
      </c>
      <c r="P615" s="170">
        <f>P614+(Entradas!$E$83*M615-Q614)/(800*Entradas!$D$25)</f>
        <v>0</v>
      </c>
      <c r="Q615" s="170">
        <f>8000*Entradas!$D$26*P615/Constantes!$E$45</f>
        <v>0</v>
      </c>
      <c r="R615" s="170">
        <f>IF(Escenarios!$E$14&gt;0,K615*Escenarios!$E$13/Escenarios!$E$14,0)</f>
        <v>0</v>
      </c>
      <c r="S615" s="170">
        <f>IF(Escenarios!$E$14&gt;0,Q615*Escenarios!$E$13/Escenarios!$E$14,0)</f>
        <v>0</v>
      </c>
      <c r="T615" s="170">
        <f>IF(Escenarios!$E$14&gt;0,Observaciones!$I614,0)</f>
        <v>0</v>
      </c>
      <c r="U615" s="170">
        <f>IF(Escenarios!$E$14&gt;0,MAX(0,Constantes!$E$36/((Z614+R615+S615+T615+Observaciones!$F614)^2)+Entradas!$E$77),0)</f>
        <v>0</v>
      </c>
      <c r="V615" s="146">
        <f>IF(ETo!D614&gt;0,ETo!I614*((1-Entradas!$E$81)*ETo!K614+ETo!L614),0)</f>
        <v>3.1710158922764857</v>
      </c>
      <c r="W615" s="170">
        <f>IF(Escenarios!$E$14&gt;0,MIN(V615*1,0.8*(Z614+R615+S615+T615+Observaciones!$F614-U615-Constantes!$E$35)),0)</f>
        <v>8.6515683506149799E-11</v>
      </c>
      <c r="X615" s="170">
        <f>IF(Escenarios!$E$14&gt;0,Observaciones!$J614,0)</f>
        <v>0</v>
      </c>
      <c r="Y615" s="170">
        <f>IF(Escenarios!$E$14&gt;0,MAX(0,Z614+R615+S615+T615+Observaciones!$F614-U615-W615-X615-Constantes!$E$33),0)</f>
        <v>0</v>
      </c>
      <c r="Z615" s="170">
        <f>Z614+R615+S615+T615+Observaciones!$F614-U615-W615-Y615</f>
        <v>41.250000000021629</v>
      </c>
      <c r="AA615" s="170">
        <f>IF(Escenarios!$E$14&gt;0,(Escenarios!$E$13*L615+Escenarios!$E$14*W615)/(Escenarios!$E$16),L615)</f>
        <v>3.121592995697123E-4</v>
      </c>
      <c r="AB615" s="170">
        <f>IF(Escenarios!$E$14&gt;0,(Escenarios!$E$14*Y615)/(Escenarios!$E$16),K615)</f>
        <v>0</v>
      </c>
      <c r="AC615" s="170">
        <f>IF(Escenarios!$E$14&gt;0,(Escenarios!$E$13*M615+Escenarios!$E$14*U615)/(Escenarios!$E$16),M615)</f>
        <v>0</v>
      </c>
      <c r="AD615" s="76">
        <f t="shared" si="127"/>
        <v>77.977420144168704</v>
      </c>
      <c r="AE615" s="76">
        <f>MAX(0,(AD615-Constantes!$D$13)*(1-EXP(-Constantes!$D$23)))</f>
        <v>0.28798473210960945</v>
      </c>
      <c r="AF615" s="76">
        <f>AB615+O615*Escenarios!$E$13/Escenarios!$E$16+AE615</f>
        <v>0.28798473210960945</v>
      </c>
      <c r="AG615" s="76">
        <f>IF(Entradas!$E$91&gt;0,IF(AF615-Escenarios!$E$38&lt;=0,0,IF(AF615-Escenarios!$E$38&gt;Escenarios!$E$37,Escenarios!$E$37,AF615-Escenarios!$E$38)),0)</f>
        <v>0</v>
      </c>
      <c r="AH615" s="76">
        <f>AG615*Entradas!$E$99</f>
        <v>0</v>
      </c>
      <c r="AI615" s="76">
        <f>IF(Entradas!$E$91&gt;0,D615*Entradas!$D$23/Escenarios!$E$16,0)</f>
        <v>0</v>
      </c>
      <c r="AJ615" s="76">
        <f>IF(Entradas!$E$91&gt;0,Entradas!$D$24*Entradas!$D$22/Escenarios!$E$16,0)</f>
        <v>0</v>
      </c>
      <c r="AK615" s="76">
        <f t="shared" si="136"/>
        <v>3.121592995697123E-4</v>
      </c>
      <c r="AL615" s="76">
        <f t="shared" si="137"/>
        <v>0</v>
      </c>
      <c r="AM615" s="76">
        <f t="shared" si="128"/>
        <v>0</v>
      </c>
      <c r="AN615" s="76">
        <f>MAX(0,O615*Escenarios!$E$13/Escenarios!$E$16-AM615)</f>
        <v>0</v>
      </c>
      <c r="AO615" s="76">
        <f>AM615+AN615-O615*Escenarios!$E$13/Escenarios!$E$16</f>
        <v>0</v>
      </c>
      <c r="AP615" s="76">
        <f t="shared" si="126"/>
        <v>0.28798473210960945</v>
      </c>
      <c r="AQ615" s="76">
        <f t="shared" si="129"/>
        <v>0</v>
      </c>
      <c r="AR615" s="76">
        <f t="shared" si="130"/>
        <v>0.28798473210960945</v>
      </c>
      <c r="AS615" s="76">
        <f t="shared" si="131"/>
        <v>0</v>
      </c>
      <c r="AT615" s="76">
        <f t="shared" si="132"/>
        <v>0</v>
      </c>
      <c r="AU615" s="76">
        <f t="shared" si="133"/>
        <v>48.75</v>
      </c>
      <c r="AV615" s="76">
        <f>MAX(0,(AU615-Constantes!$D$13)*(1-EXP(-Constantes!$D$24)))</f>
        <v>0</v>
      </c>
      <c r="AW615" s="170">
        <f>AW614+(Entradas!$E$112*AT615-AX614)/(800*Entradas!$D$25)</f>
        <v>0</v>
      </c>
      <c r="AX615" s="170">
        <f>8000*Entradas!$D$26*AW615/Constantes!$E$45</f>
        <v>0</v>
      </c>
      <c r="AY615" s="170">
        <f>IF(Escenarios!$E$17&gt;0,10*Escenarios!$E$16*AL615,0)</f>
        <v>0</v>
      </c>
      <c r="AZ615" s="170">
        <f>IF(Escenarios!$E$17&gt;0,10*Escenarios!$E$16*AX615,0)</f>
        <v>0</v>
      </c>
      <c r="BA615" s="170">
        <f>IF(Escenarios!$E$17&gt;0,0.001*Observaciones!$F614*Escenarios!$E$17,0)</f>
        <v>0</v>
      </c>
      <c r="BB615" s="170">
        <f>IF(Escenarios!$E$17&gt;0,Observaciones!$K614,0)</f>
        <v>0</v>
      </c>
      <c r="BC615" s="170">
        <f>IF(Escenarios!$E$17&gt;0,MIN(0.0005*ETo!$M614*Escenarios!$E$17*(BG614/Constantes!$E$40)^(2/3),BG614+AY615+AZ615+BA615+BB615),0)</f>
        <v>3.1305825859240506</v>
      </c>
      <c r="BD615" s="170">
        <f>IF(Escenarios!$E$17&gt;0,MIN(Constantes!$E$39*(BG614/Constantes!$E$40)^(2/3),BG614+AY615+AZ615+BA615+BB615-BC615),0)</f>
        <v>6.2774813701692196</v>
      </c>
      <c r="BE615" s="170">
        <f>IF(Escenarios!$E$17&gt;0,MIN(Entradas!$E$113,BG614+AY615+AZ615+BA615+BB615-BC615-BD615),0)</f>
        <v>1</v>
      </c>
      <c r="BF615" s="170">
        <f>IF(Escenarios!$E$17&gt;0,MAX(0,BG614+AY615+AZ615+BA615+BB615-BC615-BD615-BE615-Constantes!$E$40),0)</f>
        <v>0</v>
      </c>
      <c r="BG615" s="170">
        <f t="shared" si="138"/>
        <v>136.13049257643473</v>
      </c>
      <c r="BH615" s="170">
        <f>(Escenarios!$E$16*AK615+0.1*BC615)/(Escenarios!$E$19)</f>
        <v>1.5519765217652109E-3</v>
      </c>
      <c r="BI615" s="170">
        <f>IF(Escenarios!$E$17&gt;0,BF615/10/Escenarios!$E$19,AL615)</f>
        <v>0</v>
      </c>
      <c r="BJ615" s="170">
        <f>(Escenarios!$E$16*AT615+0.1*BD615)/(Escenarios!$E$19)</f>
        <v>2.4910640357814367E-3</v>
      </c>
      <c r="BK615" s="76">
        <f>BK614+(0.1*BD615)/(Escenarios!$E$19)-BL614</f>
        <v>49.91123934188272</v>
      </c>
      <c r="BL615" s="76">
        <f>MAX(0,(BK615-Constantes!$D$13)*(1-EXP(-Constantes!$D$23)))</f>
        <v>1.1441967821232957E-2</v>
      </c>
      <c r="BM615" s="76">
        <f t="shared" si="134"/>
        <v>0.29942669993084242</v>
      </c>
      <c r="BN615" s="76">
        <f t="shared" si="139"/>
        <v>0.29942669993084242</v>
      </c>
      <c r="BO615" s="76">
        <f>0.0526*BI615*Observaciones!$F614^1.218</f>
        <v>0</v>
      </c>
      <c r="BP615" s="76">
        <f>BO615*Constantes!$E$51</f>
        <v>0</v>
      </c>
      <c r="BQ615" s="76">
        <f t="shared" si="135"/>
        <v>0</v>
      </c>
      <c r="BR615" s="40"/>
    </row>
    <row r="616" spans="1:70">
      <c r="A616" s="147"/>
      <c r="B616" s="39"/>
      <c r="C616" s="75">
        <v>610</v>
      </c>
      <c r="D616" s="146">
        <f>ETo!$I615*((1-Constantes!$E$19)*ETo!$K615+ETo!$L615)</f>
        <v>3.4835003852598567</v>
      </c>
      <c r="E616" s="76">
        <f>MIN(D616*Constantes!$E$17,0.8*(N615+Observaciones!$F615-F616-M616-Constantes!$D$14))</f>
        <v>-1.3885437063431995E-2</v>
      </c>
      <c r="F616" s="76">
        <f>IF(Observaciones!$F615&gt;0.05*Constantes!$E$18,((Observaciones!$F615-0.05*Constantes!$E$18)^2)/(Observaciones!$F615+0.95*Constantes!$E$18),0)</f>
        <v>0</v>
      </c>
      <c r="G616" s="76">
        <f>IF(Escenarios!$E$11&gt;0,(F616*Escenarios!$E$16*10000)/1000,0)</f>
        <v>0</v>
      </c>
      <c r="H616" s="76">
        <f>IF(Escenarios!$E$11&gt;0,(Observaciones!$F615*Constantes!$E$29)/1000,0)</f>
        <v>0</v>
      </c>
      <c r="I616" s="76">
        <f>IF(Escenarios!$E$11&gt;0,(D616*Constantes!$E$29)/1000,0)</f>
        <v>34.835003852598568</v>
      </c>
      <c r="J616" s="76">
        <f>IF(Escenarios!$E$11&gt;0,MAX(0,G616+H616-I616),0)</f>
        <v>0</v>
      </c>
      <c r="K616" s="76">
        <f>IF(Escenarios!$E$11&gt;0,IF(J616&gt;Constantes!$E$30,1000*((J616-Constantes!$E$30)/(Escenarios!$E$16*10000)),0),F616)</f>
        <v>0</v>
      </c>
      <c r="L616" s="76">
        <f>IF(Escenarios!$E$11&gt;0,I616*1000/Escenarios!$E$16/10000+E616,E616)</f>
        <v>4.8564477607431975E-5</v>
      </c>
      <c r="M616" s="76">
        <f>MAX(0,N615+Observaciones!$F615-K616-Constantes!$D$13)</f>
        <v>0</v>
      </c>
      <c r="N616" s="76">
        <f>N615+Observaciones!$F615-K616-L616-M616-O615</f>
        <v>11.232594639193103</v>
      </c>
      <c r="O616" s="76">
        <f>MAX(0,(N616-Constantes!$D$14)*(1-EXP(-Constantes!$D$22)))</f>
        <v>0</v>
      </c>
      <c r="P616" s="170">
        <f>P615+(Entradas!$E$83*M616-Q615)/(800*Entradas!$D$25)</f>
        <v>0</v>
      </c>
      <c r="Q616" s="170">
        <f>8000*Entradas!$D$26*P616/Constantes!$E$45</f>
        <v>0</v>
      </c>
      <c r="R616" s="170">
        <f>IF(Escenarios!$E$14&gt;0,K616*Escenarios!$E$13/Escenarios!$E$14,0)</f>
        <v>0</v>
      </c>
      <c r="S616" s="170">
        <f>IF(Escenarios!$E$14&gt;0,Q616*Escenarios!$E$13/Escenarios!$E$14,0)</f>
        <v>0</v>
      </c>
      <c r="T616" s="170">
        <f>IF(Escenarios!$E$14&gt;0,Observaciones!$I615,0)</f>
        <v>0</v>
      </c>
      <c r="U616" s="170">
        <f>IF(Escenarios!$E$14&gt;0,MAX(0,Constantes!$E$36/((Z615+R616+S616+T616+Observaciones!$F615)^2)+Entradas!$E$77),0)</f>
        <v>0</v>
      </c>
      <c r="V616" s="146">
        <f>IF(ETo!D615&gt;0,ETo!I615*((1-Entradas!$E$81)*ETo!K615+ETo!L615),0)</f>
        <v>3.1661968772485185</v>
      </c>
      <c r="W616" s="170">
        <f>IF(Escenarios!$E$14&gt;0,MIN(V616*1,0.8*(Z615+R616+S616+T616+Observaciones!$F615-U616-Constantes!$E$35)),0)</f>
        <v>1.7303136701229962E-11</v>
      </c>
      <c r="X616" s="170">
        <f>IF(Escenarios!$E$14&gt;0,Observaciones!$J615,0)</f>
        <v>0</v>
      </c>
      <c r="Y616" s="170">
        <f>IF(Escenarios!$E$14&gt;0,MAX(0,Z615+R616+S616+T616+Observaciones!$F615-U616-W616-X616-Constantes!$E$33),0)</f>
        <v>0</v>
      </c>
      <c r="Z616" s="170">
        <f>Z615+R616+S616+T616+Observaciones!$F615-U616-W616-Y616</f>
        <v>41.250000000004327</v>
      </c>
      <c r="AA616" s="170">
        <f>IF(Escenarios!$E$14&gt;0,(Escenarios!$E$13*L616+Escenarios!$E$14*W616)/(Escenarios!$E$16),L616)</f>
        <v>4.2736742370916543E-5</v>
      </c>
      <c r="AB616" s="170">
        <f>IF(Escenarios!$E$14&gt;0,(Escenarios!$E$14*Y616)/(Escenarios!$E$16),K616)</f>
        <v>0</v>
      </c>
      <c r="AC616" s="170">
        <f>IF(Escenarios!$E$14&gt;0,(Escenarios!$E$13*M616+Escenarios!$E$14*U616)/(Escenarios!$E$16),M616)</f>
        <v>0</v>
      </c>
      <c r="AD616" s="76">
        <f t="shared" si="127"/>
        <v>77.689435412059098</v>
      </c>
      <c r="AE616" s="76">
        <f>MAX(0,(AD616-Constantes!$D$13)*(1-EXP(-Constantes!$D$23)))</f>
        <v>0.28514714995151436</v>
      </c>
      <c r="AF616" s="76">
        <f>AB616+O616*Escenarios!$E$13/Escenarios!$E$16+AE616</f>
        <v>0.28514714995151436</v>
      </c>
      <c r="AG616" s="76">
        <f>IF(Entradas!$E$91&gt;0,IF(AF616-Escenarios!$E$38&lt;=0,0,IF(AF616-Escenarios!$E$38&gt;Escenarios!$E$37,Escenarios!$E$37,AF616-Escenarios!$E$38)),0)</f>
        <v>0</v>
      </c>
      <c r="AH616" s="76">
        <f>AG616*Entradas!$E$99</f>
        <v>0</v>
      </c>
      <c r="AI616" s="76">
        <f>IF(Entradas!$E$91&gt;0,D616*Entradas!$D$23/Escenarios!$E$16,0)</f>
        <v>0</v>
      </c>
      <c r="AJ616" s="76">
        <f>IF(Entradas!$E$91&gt;0,Entradas!$D$24*Entradas!$D$22/Escenarios!$E$16,0)</f>
        <v>0</v>
      </c>
      <c r="AK616" s="76">
        <f t="shared" si="136"/>
        <v>4.2736742370916543E-5</v>
      </c>
      <c r="AL616" s="76">
        <f t="shared" si="137"/>
        <v>0</v>
      </c>
      <c r="AM616" s="76">
        <f t="shared" si="128"/>
        <v>0</v>
      </c>
      <c r="AN616" s="76">
        <f>MAX(0,O616*Escenarios!$E$13/Escenarios!$E$16-AM616)</f>
        <v>0</v>
      </c>
      <c r="AO616" s="76">
        <f>AM616+AN616-O616*Escenarios!$E$13/Escenarios!$E$16</f>
        <v>0</v>
      </c>
      <c r="AP616" s="76">
        <f t="shared" si="126"/>
        <v>0.28514714995151436</v>
      </c>
      <c r="AQ616" s="76">
        <f t="shared" si="129"/>
        <v>0</v>
      </c>
      <c r="AR616" s="76">
        <f t="shared" si="130"/>
        <v>0.28514714995151436</v>
      </c>
      <c r="AS616" s="76">
        <f t="shared" si="131"/>
        <v>0</v>
      </c>
      <c r="AT616" s="76">
        <f t="shared" si="132"/>
        <v>0</v>
      </c>
      <c r="AU616" s="76">
        <f t="shared" si="133"/>
        <v>48.75</v>
      </c>
      <c r="AV616" s="76">
        <f>MAX(0,(AU616-Constantes!$D$13)*(1-EXP(-Constantes!$D$24)))</f>
        <v>0</v>
      </c>
      <c r="AW616" s="170">
        <f>AW615+(Entradas!$E$112*AT616-AX615)/(800*Entradas!$D$25)</f>
        <v>0</v>
      </c>
      <c r="AX616" s="170">
        <f>8000*Entradas!$D$26*AW616/Constantes!$E$45</f>
        <v>0</v>
      </c>
      <c r="AY616" s="170">
        <f>IF(Escenarios!$E$17&gt;0,10*Escenarios!$E$16*AL616,0)</f>
        <v>0</v>
      </c>
      <c r="AZ616" s="170">
        <f>IF(Escenarios!$E$17&gt;0,10*Escenarios!$E$16*AX616,0)</f>
        <v>0</v>
      </c>
      <c r="BA616" s="170">
        <f>IF(Escenarios!$E$17&gt;0,0.001*Observaciones!$F615*Escenarios!$E$17,0)</f>
        <v>0</v>
      </c>
      <c r="BB616" s="170">
        <f>IF(Escenarios!$E$17&gt;0,Observaciones!$K615,0)</f>
        <v>0</v>
      </c>
      <c r="BC616" s="170">
        <f>IF(Escenarios!$E$17&gt;0,MIN(0.0005*ETo!$M615*Escenarios!$E$17*(BG615/Constantes!$E$40)^(2/3),BG615+AY616+AZ616+BA616+BB616),0)</f>
        <v>2.9754421283678671</v>
      </c>
      <c r="BD616" s="170">
        <f>IF(Escenarios!$E$17&gt;0,MIN(Constantes!$E$39*(BG615/Constantes!$E$40)^(2/3),BG615+AY616+AZ616+BA616+BB616-BC616),0)</f>
        <v>5.9766033926850568</v>
      </c>
      <c r="BE616" s="170">
        <f>IF(Escenarios!$E$17&gt;0,MIN(Entradas!$E$113,BG615+AY616+AZ616+BA616+BB616-BC616-BD616),0)</f>
        <v>1</v>
      </c>
      <c r="BF616" s="170">
        <f>IF(Escenarios!$E$17&gt;0,MAX(0,BG615+AY616+AZ616+BA616+BB616-BC616-BD616-BE616-Constantes!$E$40),0)</f>
        <v>0</v>
      </c>
      <c r="BG616" s="170">
        <f t="shared" si="138"/>
        <v>126.17844705538181</v>
      </c>
      <c r="BH616" s="170">
        <f>(Escenarios!$E$16*AK616+0.1*BC616)/(Escenarios!$E$19)</f>
        <v>1.2231285651964916E-3</v>
      </c>
      <c r="BI616" s="170">
        <f>IF(Escenarios!$E$17&gt;0,BF616/10/Escenarios!$E$19,AL616)</f>
        <v>0</v>
      </c>
      <c r="BJ616" s="170">
        <f>(Escenarios!$E$16*AT616+0.1*BD616)/(Escenarios!$E$19)</f>
        <v>2.3716680129702607E-3</v>
      </c>
      <c r="BK616" s="76">
        <f>BK615+(0.1*BD616)/(Escenarios!$E$19)-BL615</f>
        <v>49.902169042074455</v>
      </c>
      <c r="BL616" s="76">
        <f>MAX(0,(BK616-Constantes!$D$13)*(1-EXP(-Constantes!$D$23)))</f>
        <v>1.1352595996845023E-2</v>
      </c>
      <c r="BM616" s="76">
        <f t="shared" si="134"/>
        <v>0.29649974594835937</v>
      </c>
      <c r="BN616" s="76">
        <f t="shared" si="139"/>
        <v>0.29649974594835937</v>
      </c>
      <c r="BO616" s="76">
        <f>0.0526*BI616*Observaciones!$F615^1.218</f>
        <v>0</v>
      </c>
      <c r="BP616" s="76">
        <f>BO616*Constantes!$E$51</f>
        <v>0</v>
      </c>
      <c r="BQ616" s="76">
        <f t="shared" si="135"/>
        <v>0</v>
      </c>
      <c r="BR616" s="40"/>
    </row>
    <row r="617" spans="1:70">
      <c r="A617" s="147"/>
      <c r="B617" s="39"/>
      <c r="C617" s="75">
        <v>611</v>
      </c>
      <c r="D617" s="146">
        <f>ETo!$I616*((1-Constantes!$E$19)*ETo!$K616+ETo!$L616)</f>
        <v>3.5163360143668614</v>
      </c>
      <c r="E617" s="76">
        <f>MIN(D617*Constantes!$E$17,0.8*(N616+Observaciones!$F616-F617-M617-Constantes!$D$14))</f>
        <v>-1.3924288645517891E-2</v>
      </c>
      <c r="F617" s="76">
        <f>IF(Observaciones!$F616&gt;0.05*Constantes!$E$18,((Observaciones!$F616-0.05*Constantes!$E$18)^2)/(Observaciones!$F616+0.95*Constantes!$E$18),0)</f>
        <v>0</v>
      </c>
      <c r="G617" s="76">
        <f>IF(Escenarios!$E$11&gt;0,(F617*Escenarios!$E$16*10000)/1000,0)</f>
        <v>0</v>
      </c>
      <c r="H617" s="76">
        <f>IF(Escenarios!$E$11&gt;0,(Observaciones!$F616*Constantes!$E$29)/1000,0)</f>
        <v>0</v>
      </c>
      <c r="I617" s="76">
        <f>IF(Escenarios!$E$11&gt;0,(D617*Constantes!$E$29)/1000,0)</f>
        <v>35.163360143668612</v>
      </c>
      <c r="J617" s="76">
        <f>IF(Escenarios!$E$11&gt;0,MAX(0,G617+H617-I617),0)</f>
        <v>0</v>
      </c>
      <c r="K617" s="76">
        <f>IF(Escenarios!$E$11&gt;0,IF(J617&gt;Constantes!$E$30,1000*((J617-Constantes!$E$30)/(Escenarios!$E$16*10000)),0),F617)</f>
        <v>0</v>
      </c>
      <c r="L617" s="76">
        <f>IF(Escenarios!$E$11&gt;0,I617*1000/Escenarios!$E$16/10000+E617,E617)</f>
        <v>1.4105541194955364E-4</v>
      </c>
      <c r="M617" s="76">
        <f>MAX(0,N616+Observaciones!$F616-K617-Constantes!$D$13)</f>
        <v>0</v>
      </c>
      <c r="N617" s="76">
        <f>N616+Observaciones!$F616-K617-L617-M617-O616</f>
        <v>11.232453583781153</v>
      </c>
      <c r="O617" s="76">
        <f>MAX(0,(N617-Constantes!$D$14)*(1-EXP(-Constantes!$D$22)))</f>
        <v>0</v>
      </c>
      <c r="P617" s="170">
        <f>P616+(Entradas!$E$83*M617-Q616)/(800*Entradas!$D$25)</f>
        <v>0</v>
      </c>
      <c r="Q617" s="170">
        <f>8000*Entradas!$D$26*P617/Constantes!$E$45</f>
        <v>0</v>
      </c>
      <c r="R617" s="170">
        <f>IF(Escenarios!$E$14&gt;0,K617*Escenarios!$E$13/Escenarios!$E$14,0)</f>
        <v>0</v>
      </c>
      <c r="S617" s="170">
        <f>IF(Escenarios!$E$14&gt;0,Q617*Escenarios!$E$13/Escenarios!$E$14,0)</f>
        <v>0</v>
      </c>
      <c r="T617" s="170">
        <f>IF(Escenarios!$E$14&gt;0,Observaciones!$I616,0)</f>
        <v>0</v>
      </c>
      <c r="U617" s="170">
        <f>IF(Escenarios!$E$14&gt;0,MAX(0,Constantes!$E$36/((Z616+R617+S617+T617+Observaciones!$F616)^2)+Entradas!$E$77),0)</f>
        <v>0</v>
      </c>
      <c r="V617" s="146">
        <f>IF(ETo!D616&gt;0,ETo!I616*((1-Entradas!$E$81)*ETo!K616+ETo!L616),0)</f>
        <v>3.1966601978385003</v>
      </c>
      <c r="W617" s="170">
        <f>IF(Escenarios!$E$14&gt;0,MIN(V617*1,0.8*(Z616+R617+S617+T617+Observaciones!$F616-U617-Constantes!$E$35)),0)</f>
        <v>3.4617642086232084E-12</v>
      </c>
      <c r="X617" s="170">
        <f>IF(Escenarios!$E$14&gt;0,Observaciones!$J616,0)</f>
        <v>0</v>
      </c>
      <c r="Y617" s="170">
        <f>IF(Escenarios!$E$14&gt;0,MAX(0,Z616+R617+S617+T617+Observaciones!$F616-U617-W617-X617-Constantes!$E$33),0)</f>
        <v>0</v>
      </c>
      <c r="Z617" s="170">
        <f>Z616+R617+S617+T617+Observaciones!$F616-U617-W617-Y617</f>
        <v>41.250000000000867</v>
      </c>
      <c r="AA617" s="170">
        <f>IF(Escenarios!$E$14&gt;0,(Escenarios!$E$13*L617+Escenarios!$E$14*W617)/(Escenarios!$E$16),L617)</f>
        <v>1.2412876293101891E-4</v>
      </c>
      <c r="AB617" s="170">
        <f>IF(Escenarios!$E$14&gt;0,(Escenarios!$E$14*Y617)/(Escenarios!$E$16),K617)</f>
        <v>0</v>
      </c>
      <c r="AC617" s="170">
        <f>IF(Escenarios!$E$14&gt;0,(Escenarios!$E$13*M617+Escenarios!$E$14*U617)/(Escenarios!$E$16),M617)</f>
        <v>0</v>
      </c>
      <c r="AD617" s="76">
        <f t="shared" si="127"/>
        <v>77.404288262107585</v>
      </c>
      <c r="AE617" s="76">
        <f>MAX(0,(AD617-Constantes!$D$13)*(1-EXP(-Constantes!$D$23)))</f>
        <v>0.28233752716628235</v>
      </c>
      <c r="AF617" s="76">
        <f>AB617+O617*Escenarios!$E$13/Escenarios!$E$16+AE617</f>
        <v>0.28233752716628235</v>
      </c>
      <c r="AG617" s="76">
        <f>IF(Entradas!$E$91&gt;0,IF(AF617-Escenarios!$E$38&lt;=0,0,IF(AF617-Escenarios!$E$38&gt;Escenarios!$E$37,Escenarios!$E$37,AF617-Escenarios!$E$38)),0)</f>
        <v>0</v>
      </c>
      <c r="AH617" s="76">
        <f>AG617*Entradas!$E$99</f>
        <v>0</v>
      </c>
      <c r="AI617" s="76">
        <f>IF(Entradas!$E$91&gt;0,D617*Entradas!$D$23/Escenarios!$E$16,0)</f>
        <v>0</v>
      </c>
      <c r="AJ617" s="76">
        <f>IF(Entradas!$E$91&gt;0,Entradas!$D$24*Entradas!$D$22/Escenarios!$E$16,0)</f>
        <v>0</v>
      </c>
      <c r="AK617" s="76">
        <f t="shared" si="136"/>
        <v>1.2412876293101891E-4</v>
      </c>
      <c r="AL617" s="76">
        <f t="shared" si="137"/>
        <v>0</v>
      </c>
      <c r="AM617" s="76">
        <f t="shared" si="128"/>
        <v>0</v>
      </c>
      <c r="AN617" s="76">
        <f>MAX(0,O617*Escenarios!$E$13/Escenarios!$E$16-AM617)</f>
        <v>0</v>
      </c>
      <c r="AO617" s="76">
        <f>AM617+AN617-O617*Escenarios!$E$13/Escenarios!$E$16</f>
        <v>0</v>
      </c>
      <c r="AP617" s="76">
        <f t="shared" si="126"/>
        <v>0.28233752716628235</v>
      </c>
      <c r="AQ617" s="76">
        <f t="shared" si="129"/>
        <v>0</v>
      </c>
      <c r="AR617" s="76">
        <f t="shared" si="130"/>
        <v>0.28233752716628235</v>
      </c>
      <c r="AS617" s="76">
        <f t="shared" si="131"/>
        <v>0</v>
      </c>
      <c r="AT617" s="76">
        <f t="shared" si="132"/>
        <v>0</v>
      </c>
      <c r="AU617" s="76">
        <f t="shared" si="133"/>
        <v>48.75</v>
      </c>
      <c r="AV617" s="76">
        <f>MAX(0,(AU617-Constantes!$D$13)*(1-EXP(-Constantes!$D$24)))</f>
        <v>0</v>
      </c>
      <c r="AW617" s="170">
        <f>AW616+(Entradas!$E$112*AT617-AX616)/(800*Entradas!$D$25)</f>
        <v>0</v>
      </c>
      <c r="AX617" s="170">
        <f>8000*Entradas!$D$26*AW617/Constantes!$E$45</f>
        <v>0</v>
      </c>
      <c r="AY617" s="170">
        <f>IF(Escenarios!$E$17&gt;0,10*Escenarios!$E$16*AL617,0)</f>
        <v>0</v>
      </c>
      <c r="AZ617" s="170">
        <f>IF(Escenarios!$E$17&gt;0,10*Escenarios!$E$16*AX617,0)</f>
        <v>0</v>
      </c>
      <c r="BA617" s="170">
        <f>IF(Escenarios!$E$17&gt;0,0.001*Observaciones!$F616*Escenarios!$E$17,0)</f>
        <v>0</v>
      </c>
      <c r="BB617" s="170">
        <f>IF(Escenarios!$E$17&gt;0,Observaciones!$K616,0)</f>
        <v>0</v>
      </c>
      <c r="BC617" s="170">
        <f>IF(Escenarios!$E$17&gt;0,MIN(0.0005*ETo!$M616*Escenarios!$E$17*(BG616/Constantes!$E$40)^(2/3),BG616+AY617+AZ617+BA617+BB617),0)</f>
        <v>2.8545699601298509</v>
      </c>
      <c r="BD617" s="170">
        <f>IF(Escenarios!$E$17&gt;0,MIN(Constantes!$E$39*(BG616/Constantes!$E$40)^(2/3),BG616+AY617+AZ617+BA617+BB617-BC617),0)</f>
        <v>5.6816474030152078</v>
      </c>
      <c r="BE617" s="170">
        <f>IF(Escenarios!$E$17&gt;0,MIN(Entradas!$E$113,BG616+AY617+AZ617+BA617+BB617-BC617-BD617),0)</f>
        <v>1</v>
      </c>
      <c r="BF617" s="170">
        <f>IF(Escenarios!$E$17&gt;0,MAX(0,BG616+AY617+AZ617+BA617+BB617-BC617-BD617-BE617-Constantes!$E$40),0)</f>
        <v>0</v>
      </c>
      <c r="BG617" s="170">
        <f t="shared" si="138"/>
        <v>116.64222969223675</v>
      </c>
      <c r="BH617" s="170">
        <f>(Escenarios!$E$16*AK617+0.1*BC617)/(Escenarios!$E$19)</f>
        <v>1.255909471213253E-3</v>
      </c>
      <c r="BI617" s="170">
        <f>IF(Escenarios!$E$17&gt;0,BF617/10/Escenarios!$E$19,AL617)</f>
        <v>0</v>
      </c>
      <c r="BJ617" s="170">
        <f>(Escenarios!$E$16*AT617+0.1*BD617)/(Escenarios!$E$19)</f>
        <v>2.2546219853234952E-3</v>
      </c>
      <c r="BK617" s="76">
        <f>BK616+(0.1*BD617)/(Escenarios!$E$19)-BL616</f>
        <v>49.89307106806293</v>
      </c>
      <c r="BL617" s="76">
        <f>MAX(0,(BK617-Constantes!$D$13)*(1-EXP(-Constantes!$D$23)))</f>
        <v>1.1262951491940891E-2</v>
      </c>
      <c r="BM617" s="76">
        <f t="shared" si="134"/>
        <v>0.29360047865822325</v>
      </c>
      <c r="BN617" s="76">
        <f t="shared" si="139"/>
        <v>0.29360047865822325</v>
      </c>
      <c r="BO617" s="76">
        <f>0.0526*BI617*Observaciones!$F616^1.218</f>
        <v>0</v>
      </c>
      <c r="BP617" s="76">
        <f>BO617*Constantes!$E$51</f>
        <v>0</v>
      </c>
      <c r="BQ617" s="76">
        <f t="shared" si="135"/>
        <v>0</v>
      </c>
      <c r="BR617" s="40"/>
    </row>
    <row r="618" spans="1:70">
      <c r="A618" s="147"/>
      <c r="B618" s="39"/>
      <c r="C618" s="75">
        <v>612</v>
      </c>
      <c r="D618" s="146">
        <f>ETo!$I617*((1-Constantes!$E$19)*ETo!$K617+ETo!$L617)</f>
        <v>3.424774105227522</v>
      </c>
      <c r="E618" s="76">
        <f>MIN(D618*Constantes!$E$17,0.8*(N617+Observaciones!$F617-F618-M618-Constantes!$D$14))</f>
        <v>-1.4037132975077783E-2</v>
      </c>
      <c r="F618" s="76">
        <f>IF(Observaciones!$F617&gt;0.05*Constantes!$E$18,((Observaciones!$F617-0.05*Constantes!$E$18)^2)/(Observaciones!$F617+0.95*Constantes!$E$18),0)</f>
        <v>0</v>
      </c>
      <c r="G618" s="76">
        <f>IF(Escenarios!$E$11&gt;0,(F618*Escenarios!$E$16*10000)/1000,0)</f>
        <v>0</v>
      </c>
      <c r="H618" s="76">
        <f>IF(Escenarios!$E$11&gt;0,(Observaciones!$F617*Constantes!$E$29)/1000,0)</f>
        <v>0</v>
      </c>
      <c r="I618" s="76">
        <f>IF(Escenarios!$E$11&gt;0,(D618*Constantes!$E$29)/1000,0)</f>
        <v>34.247741052275217</v>
      </c>
      <c r="J618" s="76">
        <f>IF(Escenarios!$E$11&gt;0,MAX(0,G618+H618-I618),0)</f>
        <v>0</v>
      </c>
      <c r="K618" s="76">
        <f>IF(Escenarios!$E$11&gt;0,IF(J618&gt;Constantes!$E$30,1000*((J618-Constantes!$E$30)/(Escenarios!$E$16*10000)),0),F618)</f>
        <v>0</v>
      </c>
      <c r="L618" s="76">
        <f>IF(Escenarios!$E$11&gt;0,I618*1000/Escenarios!$E$16/10000+E618,E618)</f>
        <v>-3.38036554167696E-4</v>
      </c>
      <c r="M618" s="76">
        <f>MAX(0,N617+Observaciones!$F617-K618-Constantes!$D$13)</f>
        <v>0</v>
      </c>
      <c r="N618" s="76">
        <f>N617+Observaciones!$F617-K618-L618-M618-O617</f>
        <v>11.23279162033532</v>
      </c>
      <c r="O618" s="76">
        <f>MAX(0,(N618-Constantes!$D$14)*(1-EXP(-Constantes!$D$22)))</f>
        <v>0</v>
      </c>
      <c r="P618" s="170">
        <f>P617+(Entradas!$E$83*M618-Q617)/(800*Entradas!$D$25)</f>
        <v>0</v>
      </c>
      <c r="Q618" s="170">
        <f>8000*Entradas!$D$26*P618/Constantes!$E$45</f>
        <v>0</v>
      </c>
      <c r="R618" s="170">
        <f>IF(Escenarios!$E$14&gt;0,K618*Escenarios!$E$13/Escenarios!$E$14,0)</f>
        <v>0</v>
      </c>
      <c r="S618" s="170">
        <f>IF(Escenarios!$E$14&gt;0,Q618*Escenarios!$E$13/Escenarios!$E$14,0)</f>
        <v>0</v>
      </c>
      <c r="T618" s="170">
        <f>IF(Escenarios!$E$14&gt;0,Observaciones!$I617,0)</f>
        <v>0</v>
      </c>
      <c r="U618" s="170">
        <f>IF(Escenarios!$E$14&gt;0,MAX(0,Constantes!$E$36/((Z617+R618+S618+T618+Observaciones!$F617)^2)+Entradas!$E$77),0)</f>
        <v>0</v>
      </c>
      <c r="V618" s="146">
        <f>IF(ETo!D617&gt;0,ETo!I617*((1-Entradas!$E$81)*ETo!K617+ETo!L617),0)</f>
        <v>3.1130389113585251</v>
      </c>
      <c r="W618" s="170">
        <f>IF(Escenarios!$E$14&gt;0,MIN(V618*1,0.8*(Z617+R618+S618+T618+Observaciones!$F617-U618-Constantes!$E$35)),0)</f>
        <v>6.9348971010185784E-13</v>
      </c>
      <c r="X618" s="170">
        <f>IF(Escenarios!$E$14&gt;0,Observaciones!$J617,0)</f>
        <v>0</v>
      </c>
      <c r="Y618" s="170">
        <f>IF(Escenarios!$E$14&gt;0,MAX(0,Z617+R618+S618+T618+Observaciones!$F617-U618-W618-X618-Constantes!$E$33),0)</f>
        <v>0</v>
      </c>
      <c r="Z618" s="170">
        <f>Z617+R618+S618+T618+Observaciones!$F617-U618-W618-Y618</f>
        <v>41.250000000000171</v>
      </c>
      <c r="AA618" s="170">
        <f>IF(Escenarios!$E$14&gt;0,(Escenarios!$E$13*L618+Escenarios!$E$14*W618)/(Escenarios!$E$16),L618)</f>
        <v>-2.9747216758435369E-4</v>
      </c>
      <c r="AB618" s="170">
        <f>IF(Escenarios!$E$14&gt;0,(Escenarios!$E$14*Y618)/(Escenarios!$E$16),K618)</f>
        <v>0</v>
      </c>
      <c r="AC618" s="170">
        <f>IF(Escenarios!$E$14&gt;0,(Escenarios!$E$13*M618+Escenarios!$E$14*U618)/(Escenarios!$E$16),M618)</f>
        <v>0</v>
      </c>
      <c r="AD618" s="76">
        <f t="shared" si="127"/>
        <v>77.121950734941308</v>
      </c>
      <c r="AE618" s="76">
        <f>MAX(0,(AD618-Constantes!$D$13)*(1-EXP(-Constantes!$D$23)))</f>
        <v>0.27955558826355331</v>
      </c>
      <c r="AF618" s="76">
        <f>AB618+O618*Escenarios!$E$13/Escenarios!$E$16+AE618</f>
        <v>0.27955558826355331</v>
      </c>
      <c r="AG618" s="76">
        <f>IF(Entradas!$E$91&gt;0,IF(AF618-Escenarios!$E$38&lt;=0,0,IF(AF618-Escenarios!$E$38&gt;Escenarios!$E$37,Escenarios!$E$37,AF618-Escenarios!$E$38)),0)</f>
        <v>0</v>
      </c>
      <c r="AH618" s="76">
        <f>AG618*Entradas!$E$99</f>
        <v>0</v>
      </c>
      <c r="AI618" s="76">
        <f>IF(Entradas!$E$91&gt;0,D618*Entradas!$D$23/Escenarios!$E$16,0)</f>
        <v>0</v>
      </c>
      <c r="AJ618" s="76">
        <f>IF(Entradas!$E$91&gt;0,Entradas!$D$24*Entradas!$D$22/Escenarios!$E$16,0)</f>
        <v>0</v>
      </c>
      <c r="AK618" s="76">
        <f t="shared" si="136"/>
        <v>-2.9747216758435369E-4</v>
      </c>
      <c r="AL618" s="76">
        <f t="shared" si="137"/>
        <v>0</v>
      </c>
      <c r="AM618" s="76">
        <f t="shared" si="128"/>
        <v>0</v>
      </c>
      <c r="AN618" s="76">
        <f>MAX(0,O618*Escenarios!$E$13/Escenarios!$E$16-AM618)</f>
        <v>0</v>
      </c>
      <c r="AO618" s="76">
        <f>AM618+AN618-O618*Escenarios!$E$13/Escenarios!$E$16</f>
        <v>0</v>
      </c>
      <c r="AP618" s="76">
        <f t="shared" si="126"/>
        <v>0.27955558826355331</v>
      </c>
      <c r="AQ618" s="76">
        <f t="shared" si="129"/>
        <v>0</v>
      </c>
      <c r="AR618" s="76">
        <f t="shared" si="130"/>
        <v>0.27955558826355331</v>
      </c>
      <c r="AS618" s="76">
        <f t="shared" si="131"/>
        <v>0</v>
      </c>
      <c r="AT618" s="76">
        <f t="shared" si="132"/>
        <v>0</v>
      </c>
      <c r="AU618" s="76">
        <f t="shared" si="133"/>
        <v>48.75</v>
      </c>
      <c r="AV618" s="76">
        <f>MAX(0,(AU618-Constantes!$D$13)*(1-EXP(-Constantes!$D$24)))</f>
        <v>0</v>
      </c>
      <c r="AW618" s="170">
        <f>AW617+(Entradas!$E$112*AT618-AX617)/(800*Entradas!$D$25)</f>
        <v>0</v>
      </c>
      <c r="AX618" s="170">
        <f>8000*Entradas!$D$26*AW618/Constantes!$E$45</f>
        <v>0</v>
      </c>
      <c r="AY618" s="170">
        <f>IF(Escenarios!$E$17&gt;0,10*Escenarios!$E$16*AL618,0)</f>
        <v>0</v>
      </c>
      <c r="AZ618" s="170">
        <f>IF(Escenarios!$E$17&gt;0,10*Escenarios!$E$16*AX618,0)</f>
        <v>0</v>
      </c>
      <c r="BA618" s="170">
        <f>IF(Escenarios!$E$17&gt;0,0.001*Observaciones!$F617*Escenarios!$E$17,0)</f>
        <v>0</v>
      </c>
      <c r="BB618" s="170">
        <f>IF(Escenarios!$E$17&gt;0,Observaciones!$K617,0)</f>
        <v>0</v>
      </c>
      <c r="BC618" s="170">
        <f>IF(Escenarios!$E$17&gt;0,MIN(0.0005*ETo!$M617*Escenarios!$E$17*(BG617/Constantes!$E$40)^(2/3),BG617+AY618+AZ618+BA618+BB618),0)</f>
        <v>2.6387379953671268</v>
      </c>
      <c r="BD618" s="170">
        <f>IF(Escenarios!$E$17&gt;0,MIN(Constantes!$E$39*(BG617/Constantes!$E$40)^(2/3),BG617+AY618+AZ618+BA618+BB618-BC618),0)</f>
        <v>5.3916459794538776</v>
      </c>
      <c r="BE618" s="170">
        <f>IF(Escenarios!$E$17&gt;0,MIN(Entradas!$E$113,BG617+AY618+AZ618+BA618+BB618-BC618-BD618),0)</f>
        <v>1</v>
      </c>
      <c r="BF618" s="170">
        <f>IF(Escenarios!$E$17&gt;0,MAX(0,BG617+AY618+AZ618+BA618+BB618-BC618-BD618-BE618-Constantes!$E$40),0)</f>
        <v>0</v>
      </c>
      <c r="BG618" s="170">
        <f t="shared" si="138"/>
        <v>107.61184571741575</v>
      </c>
      <c r="BH618" s="170">
        <f>(Escenarios!$E$16*AK618+0.1*BC618)/(Escenarios!$E$19)</f>
        <v>7.52006974764382E-4</v>
      </c>
      <c r="BI618" s="170">
        <f>IF(Escenarios!$E$17&gt;0,BF618/10/Escenarios!$E$19,AL618)</f>
        <v>0</v>
      </c>
      <c r="BJ618" s="170">
        <f>(Escenarios!$E$16*AT618+0.1*BD618)/(Escenarios!$E$19)</f>
        <v>2.1395420553388402E-3</v>
      </c>
      <c r="BK618" s="76">
        <f>BK617+(0.1*BD618)/(Escenarios!$E$19)-BL617</f>
        <v>49.883947658626326</v>
      </c>
      <c r="BL618" s="76">
        <f>MAX(0,(BK618-Constantes!$D$13)*(1-EXP(-Constantes!$D$23)))</f>
        <v>1.1173056365735201E-2</v>
      </c>
      <c r="BM618" s="76">
        <f t="shared" si="134"/>
        <v>0.29072864462928849</v>
      </c>
      <c r="BN618" s="76">
        <f t="shared" si="139"/>
        <v>0.29072864462928849</v>
      </c>
      <c r="BO618" s="76">
        <f>0.0526*BI618*Observaciones!$F617^1.218</f>
        <v>0</v>
      </c>
      <c r="BP618" s="76">
        <f>BO618*Constantes!$E$51</f>
        <v>0</v>
      </c>
      <c r="BQ618" s="76">
        <f t="shared" si="135"/>
        <v>0</v>
      </c>
      <c r="BR618" s="40"/>
    </row>
    <row r="619" spans="1:70">
      <c r="A619" s="147"/>
      <c r="B619" s="39"/>
      <c r="C619" s="75">
        <v>613</v>
      </c>
      <c r="D619" s="146">
        <f>ETo!$I618*((1-Constantes!$E$19)*ETo!$K618+ETo!$L618)</f>
        <v>3.5077898978440754</v>
      </c>
      <c r="E619" s="76">
        <f>MIN(D619*Constantes!$E$17,0.8*(N618+Observaciones!$F618-F619-M619-Constantes!$D$14))</f>
        <v>-1.3766703731744202E-2</v>
      </c>
      <c r="F619" s="76">
        <f>IF(Observaciones!$F618&gt;0.05*Constantes!$E$18,((Observaciones!$F618-0.05*Constantes!$E$18)^2)/(Observaciones!$F618+0.95*Constantes!$E$18),0)</f>
        <v>0</v>
      </c>
      <c r="G619" s="76">
        <f>IF(Escenarios!$E$11&gt;0,(F619*Escenarios!$E$16*10000)/1000,0)</f>
        <v>0</v>
      </c>
      <c r="H619" s="76">
        <f>IF(Escenarios!$E$11&gt;0,(Observaciones!$F618*Constantes!$E$29)/1000,0)</f>
        <v>0</v>
      </c>
      <c r="I619" s="76">
        <f>IF(Escenarios!$E$11&gt;0,(D619*Constantes!$E$29)/1000,0)</f>
        <v>35.07789897844075</v>
      </c>
      <c r="J619" s="76">
        <f>IF(Escenarios!$E$11&gt;0,MAX(0,G619+H619-I619),0)</f>
        <v>0</v>
      </c>
      <c r="K619" s="76">
        <f>IF(Escenarios!$E$11&gt;0,IF(J619&gt;Constantes!$E$30,1000*((J619-Constantes!$E$30)/(Escenarios!$E$16*10000)),0),F619)</f>
        <v>0</v>
      </c>
      <c r="L619" s="76">
        <f>IF(Escenarios!$E$11&gt;0,I619*1000/Escenarios!$E$16/10000+E619,E619)</f>
        <v>2.6445585963209839E-4</v>
      </c>
      <c r="M619" s="76">
        <f>MAX(0,N618+Observaciones!$F618-K619-Constantes!$D$13)</f>
        <v>0</v>
      </c>
      <c r="N619" s="76">
        <f>N618+Observaciones!$F618-K619-L619-M619-O618</f>
        <v>11.232527164475687</v>
      </c>
      <c r="O619" s="76">
        <f>MAX(0,(N619-Constantes!$D$14)*(1-EXP(-Constantes!$D$22)))</f>
        <v>0</v>
      </c>
      <c r="P619" s="170">
        <f>P618+(Entradas!$E$83*M619-Q618)/(800*Entradas!$D$25)</f>
        <v>0</v>
      </c>
      <c r="Q619" s="170">
        <f>8000*Entradas!$D$26*P619/Constantes!$E$45</f>
        <v>0</v>
      </c>
      <c r="R619" s="170">
        <f>IF(Escenarios!$E$14&gt;0,K619*Escenarios!$E$13/Escenarios!$E$14,0)</f>
        <v>0</v>
      </c>
      <c r="S619" s="170">
        <f>IF(Escenarios!$E$14&gt;0,Q619*Escenarios!$E$13/Escenarios!$E$14,0)</f>
        <v>0</v>
      </c>
      <c r="T619" s="170">
        <f>IF(Escenarios!$E$14&gt;0,Observaciones!$I618,0)</f>
        <v>0</v>
      </c>
      <c r="U619" s="170">
        <f>IF(Escenarios!$E$14&gt;0,MAX(0,Constantes!$E$36/((Z618+R619+S619+T619+Observaciones!$F618)^2)+Entradas!$E$77),0)</f>
        <v>0</v>
      </c>
      <c r="V619" s="146">
        <f>IF(ETo!D618&gt;0,ETo!I618*((1-Entradas!$E$81)*ETo!K618+ETo!L618),0)</f>
        <v>3.1894488939738319</v>
      </c>
      <c r="W619" s="170">
        <f>IF(Escenarios!$E$14&gt;0,MIN(V619*1,0.8*(Z618+R619+S619+T619+Observaciones!$F618-U619-Constantes!$E$35)),0)</f>
        <v>1.3642420526593926E-13</v>
      </c>
      <c r="X619" s="170">
        <f>IF(Escenarios!$E$14&gt;0,Observaciones!$J618,0)</f>
        <v>0</v>
      </c>
      <c r="Y619" s="170">
        <f>IF(Escenarios!$E$14&gt;0,MAX(0,Z618+R619+S619+T619+Observaciones!$F618-U619-W619-X619-Constantes!$E$33),0)</f>
        <v>0</v>
      </c>
      <c r="Z619" s="170">
        <f>Z618+R619+S619+T619+Observaciones!$F618-U619-W619-Y619</f>
        <v>41.250000000000036</v>
      </c>
      <c r="AA619" s="170">
        <f>IF(Escenarios!$E$14&gt;0,(Escenarios!$E$13*L619+Escenarios!$E$14*W619)/(Escenarios!$E$16),L619)</f>
        <v>2.327211564926175E-4</v>
      </c>
      <c r="AB619" s="170">
        <f>IF(Escenarios!$E$14&gt;0,(Escenarios!$E$14*Y619)/(Escenarios!$E$16),K619)</f>
        <v>0</v>
      </c>
      <c r="AC619" s="170">
        <f>IF(Escenarios!$E$14&gt;0,(Escenarios!$E$13*M619+Escenarios!$E$14*U619)/(Escenarios!$E$16),M619)</f>
        <v>0</v>
      </c>
      <c r="AD619" s="76">
        <f t="shared" si="127"/>
        <v>76.842395146677759</v>
      </c>
      <c r="AE619" s="76">
        <f>MAX(0,(AD619-Constantes!$D$13)*(1-EXP(-Constantes!$D$23)))</f>
        <v>0.27680106046743908</v>
      </c>
      <c r="AF619" s="76">
        <f>AB619+O619*Escenarios!$E$13/Escenarios!$E$16+AE619</f>
        <v>0.27680106046743908</v>
      </c>
      <c r="AG619" s="76">
        <f>IF(Entradas!$E$91&gt;0,IF(AF619-Escenarios!$E$38&lt;=0,0,IF(AF619-Escenarios!$E$38&gt;Escenarios!$E$37,Escenarios!$E$37,AF619-Escenarios!$E$38)),0)</f>
        <v>0</v>
      </c>
      <c r="AH619" s="76">
        <f>AG619*Entradas!$E$99</f>
        <v>0</v>
      </c>
      <c r="AI619" s="76">
        <f>IF(Entradas!$E$91&gt;0,D619*Entradas!$D$23/Escenarios!$E$16,0)</f>
        <v>0</v>
      </c>
      <c r="AJ619" s="76">
        <f>IF(Entradas!$E$91&gt;0,Entradas!$D$24*Entradas!$D$22/Escenarios!$E$16,0)</f>
        <v>0</v>
      </c>
      <c r="AK619" s="76">
        <f t="shared" si="136"/>
        <v>2.327211564926175E-4</v>
      </c>
      <c r="AL619" s="76">
        <f t="shared" si="137"/>
        <v>0</v>
      </c>
      <c r="AM619" s="76">
        <f t="shared" si="128"/>
        <v>0</v>
      </c>
      <c r="AN619" s="76">
        <f>MAX(0,O619*Escenarios!$E$13/Escenarios!$E$16-AM619)</f>
        <v>0</v>
      </c>
      <c r="AO619" s="76">
        <f>AM619+AN619-O619*Escenarios!$E$13/Escenarios!$E$16</f>
        <v>0</v>
      </c>
      <c r="AP619" s="76">
        <f t="shared" si="126"/>
        <v>0.27680106046743908</v>
      </c>
      <c r="AQ619" s="76">
        <f t="shared" si="129"/>
        <v>0</v>
      </c>
      <c r="AR619" s="76">
        <f t="shared" si="130"/>
        <v>0.27680106046743908</v>
      </c>
      <c r="AS619" s="76">
        <f t="shared" si="131"/>
        <v>0</v>
      </c>
      <c r="AT619" s="76">
        <f t="shared" si="132"/>
        <v>0</v>
      </c>
      <c r="AU619" s="76">
        <f t="shared" si="133"/>
        <v>48.75</v>
      </c>
      <c r="AV619" s="76">
        <f>MAX(0,(AU619-Constantes!$D$13)*(1-EXP(-Constantes!$D$24)))</f>
        <v>0</v>
      </c>
      <c r="AW619" s="170">
        <f>AW618+(Entradas!$E$112*AT619-AX618)/(800*Entradas!$D$25)</f>
        <v>0</v>
      </c>
      <c r="AX619" s="170">
        <f>8000*Entradas!$D$26*AW619/Constantes!$E$45</f>
        <v>0</v>
      </c>
      <c r="AY619" s="170">
        <f>IF(Escenarios!$E$17&gt;0,10*Escenarios!$E$16*AL619,0)</f>
        <v>0</v>
      </c>
      <c r="AZ619" s="170">
        <f>IF(Escenarios!$E$17&gt;0,10*Escenarios!$E$16*AX619,0)</f>
        <v>0</v>
      </c>
      <c r="BA619" s="170">
        <f>IF(Escenarios!$E$17&gt;0,0.001*Observaciones!$F618*Escenarios!$E$17,0)</f>
        <v>0</v>
      </c>
      <c r="BB619" s="170">
        <f>IF(Escenarios!$E$17&gt;0,Observaciones!$K618,0)</f>
        <v>0</v>
      </c>
      <c r="BC619" s="170">
        <f>IF(Escenarios!$E$17&gt;0,MIN(0.0005*ETo!$M618*Escenarios!$E$17*(BG618/Constantes!$E$40)^(2/3),BG618+AY619+AZ619+BA619+BB619),0)</f>
        <v>2.5603857748529766</v>
      </c>
      <c r="BD619" s="170">
        <f>IF(Escenarios!$E$17&gt;0,MIN(Constantes!$E$39*(BG618/Constantes!$E$40)^(2/3),BG618+AY619+AZ619+BA619+BB619-BC619),0)</f>
        <v>5.1096467878801786</v>
      </c>
      <c r="BE619" s="170">
        <f>IF(Escenarios!$E$17&gt;0,MIN(Entradas!$E$113,BG618+AY619+AZ619+BA619+BB619-BC619-BD619),0)</f>
        <v>1</v>
      </c>
      <c r="BF619" s="170">
        <f>IF(Escenarios!$E$17&gt;0,MAX(0,BG618+AY619+AZ619+BA619+BB619-BC619-BD619-BE619-Constantes!$E$40),0)</f>
        <v>0</v>
      </c>
      <c r="BG619" s="170">
        <f t="shared" si="138"/>
        <v>98.941813154682592</v>
      </c>
      <c r="BH619" s="170">
        <f>(Escenarios!$E$16*AK619+0.1*BC619)/(Escenarios!$E$19)</f>
        <v>1.2469002643192542E-3</v>
      </c>
      <c r="BI619" s="170">
        <f>IF(Escenarios!$E$17&gt;0,BF619/10/Escenarios!$E$19,AL619)</f>
        <v>0</v>
      </c>
      <c r="BJ619" s="170">
        <f>(Escenarios!$E$16*AT619+0.1*BD619)/(Escenarios!$E$19)</f>
        <v>2.0276376142381661E-3</v>
      </c>
      <c r="BK619" s="76">
        <f>BK618+(0.1*BD619)/(Escenarios!$E$19)-BL618</f>
        <v>49.874802239874832</v>
      </c>
      <c r="BL619" s="76">
        <f>MAX(0,(BK619-Constantes!$D$13)*(1-EXP(-Constantes!$D$23)))</f>
        <v>1.108294437650769E-2</v>
      </c>
      <c r="BM619" s="76">
        <f t="shared" si="134"/>
        <v>0.28788400484394677</v>
      </c>
      <c r="BN619" s="76">
        <f t="shared" si="139"/>
        <v>0.28788400484394677</v>
      </c>
      <c r="BO619" s="76">
        <f>0.0526*BI619*Observaciones!$F618^1.218</f>
        <v>0</v>
      </c>
      <c r="BP619" s="76">
        <f>BO619*Constantes!$E$51</f>
        <v>0</v>
      </c>
      <c r="BQ619" s="76">
        <f t="shared" si="135"/>
        <v>0</v>
      </c>
      <c r="BR619" s="40"/>
    </row>
    <row r="620" spans="1:70">
      <c r="A620" s="147"/>
      <c r="B620" s="39"/>
      <c r="C620" s="75">
        <v>614</v>
      </c>
      <c r="D620" s="146">
        <f>ETo!$I619*((1-Constantes!$E$19)*ETo!$K619+ETo!$L619)</f>
        <v>3.4031542145184743</v>
      </c>
      <c r="E620" s="76">
        <f>MIN(D620*Constantes!$E$17,0.8*(N619+Observaciones!$F619-F620-M620-Constantes!$D$14))</f>
        <v>-1.3978268419450046E-2</v>
      </c>
      <c r="F620" s="76">
        <f>IF(Observaciones!$F619&gt;0.05*Constantes!$E$18,((Observaciones!$F619-0.05*Constantes!$E$18)^2)/(Observaciones!$F619+0.95*Constantes!$E$18),0)</f>
        <v>0</v>
      </c>
      <c r="G620" s="76">
        <f>IF(Escenarios!$E$11&gt;0,(F620*Escenarios!$E$16*10000)/1000,0)</f>
        <v>0</v>
      </c>
      <c r="H620" s="76">
        <f>IF(Escenarios!$E$11&gt;0,(Observaciones!$F619*Constantes!$E$29)/1000,0)</f>
        <v>0</v>
      </c>
      <c r="I620" s="76">
        <f>IF(Escenarios!$E$11&gt;0,(D620*Constantes!$E$29)/1000,0)</f>
        <v>34.031542145184744</v>
      </c>
      <c r="J620" s="76">
        <f>IF(Escenarios!$E$11&gt;0,MAX(0,G620+H620-I620),0)</f>
        <v>0</v>
      </c>
      <c r="K620" s="76">
        <f>IF(Escenarios!$E$11&gt;0,IF(J620&gt;Constantes!$E$30,1000*((J620-Constantes!$E$30)/(Escenarios!$E$16*10000)),0),F620)</f>
        <v>0</v>
      </c>
      <c r="L620" s="76">
        <f>IF(Escenarios!$E$11&gt;0,I620*1000/Escenarios!$E$16/10000+E620,E620)</f>
        <v>-3.6565156137614852E-4</v>
      </c>
      <c r="M620" s="76">
        <f>MAX(0,N619+Observaciones!$F619-K620-Constantes!$D$13)</f>
        <v>0</v>
      </c>
      <c r="N620" s="76">
        <f>N619+Observaciones!$F619-K620-L620-M620-O619</f>
        <v>11.232892816037063</v>
      </c>
      <c r="O620" s="76">
        <f>MAX(0,(N620-Constantes!$D$14)*(1-EXP(-Constantes!$D$22)))</f>
        <v>0</v>
      </c>
      <c r="P620" s="170">
        <f>P619+(Entradas!$E$83*M620-Q619)/(800*Entradas!$D$25)</f>
        <v>0</v>
      </c>
      <c r="Q620" s="170">
        <f>8000*Entradas!$D$26*P620/Constantes!$E$45</f>
        <v>0</v>
      </c>
      <c r="R620" s="170">
        <f>IF(Escenarios!$E$14&gt;0,K620*Escenarios!$E$13/Escenarios!$E$14,0)</f>
        <v>0</v>
      </c>
      <c r="S620" s="170">
        <f>IF(Escenarios!$E$14&gt;0,Q620*Escenarios!$E$13/Escenarios!$E$14,0)</f>
        <v>0</v>
      </c>
      <c r="T620" s="170">
        <f>IF(Escenarios!$E$14&gt;0,Observaciones!$I619,0)</f>
        <v>0</v>
      </c>
      <c r="U620" s="170">
        <f>IF(Escenarios!$E$14&gt;0,MAX(0,Constantes!$E$36/((Z619+R620+S620+T620+Observaciones!$F619)^2)+Entradas!$E$77),0)</f>
        <v>0</v>
      </c>
      <c r="V620" s="146">
        <f>IF(ETo!D619&gt;0,ETo!I619*((1-Entradas!$E$81)*ETo!K619+ETo!L619),0)</f>
        <v>3.093969693739731</v>
      </c>
      <c r="W620" s="170">
        <f>IF(Escenarios!$E$14&gt;0,MIN(V620*1,0.8*(Z619+R620+S620+T620+Observaciones!$F619-U620-Constantes!$E$35)),0)</f>
        <v>2.8421709430404007E-14</v>
      </c>
      <c r="X620" s="170">
        <f>IF(Escenarios!$E$14&gt;0,Observaciones!$J619,0)</f>
        <v>0</v>
      </c>
      <c r="Y620" s="170">
        <f>IF(Escenarios!$E$14&gt;0,MAX(0,Z619+R620+S620+T620+Observaciones!$F619-U620-W620-X620-Constantes!$E$33),0)</f>
        <v>0</v>
      </c>
      <c r="Z620" s="170">
        <f>Z619+R620+S620+T620+Observaciones!$F619-U620-W620-Y620</f>
        <v>41.250000000000007</v>
      </c>
      <c r="AA620" s="170">
        <f>IF(Escenarios!$E$14&gt;0,(Escenarios!$E$13*L620+Escenarios!$E$14*W620)/(Escenarios!$E$16),L620)</f>
        <v>-3.2177337400760009E-4</v>
      </c>
      <c r="AB620" s="170">
        <f>IF(Escenarios!$E$14&gt;0,(Escenarios!$E$14*Y620)/(Escenarios!$E$16),K620)</f>
        <v>0</v>
      </c>
      <c r="AC620" s="170">
        <f>IF(Escenarios!$E$14&gt;0,(Escenarios!$E$13*M620+Escenarios!$E$14*U620)/(Escenarios!$E$16),M620)</f>
        <v>0</v>
      </c>
      <c r="AD620" s="76">
        <f t="shared" si="127"/>
        <v>76.565594086210325</v>
      </c>
      <c r="AE620" s="76">
        <f>MAX(0,(AD620-Constantes!$D$13)*(1-EXP(-Constantes!$D$23)))</f>
        <v>0.27407367368977731</v>
      </c>
      <c r="AF620" s="76">
        <f>AB620+O620*Escenarios!$E$13/Escenarios!$E$16+AE620</f>
        <v>0.27407367368977731</v>
      </c>
      <c r="AG620" s="76">
        <f>IF(Entradas!$E$91&gt;0,IF(AF620-Escenarios!$E$38&lt;=0,0,IF(AF620-Escenarios!$E$38&gt;Escenarios!$E$37,Escenarios!$E$37,AF620-Escenarios!$E$38)),0)</f>
        <v>0</v>
      </c>
      <c r="AH620" s="76">
        <f>AG620*Entradas!$E$99</f>
        <v>0</v>
      </c>
      <c r="AI620" s="76">
        <f>IF(Entradas!$E$91&gt;0,D620*Entradas!$D$23/Escenarios!$E$16,0)</f>
        <v>0</v>
      </c>
      <c r="AJ620" s="76">
        <f>IF(Entradas!$E$91&gt;0,Entradas!$D$24*Entradas!$D$22/Escenarios!$E$16,0)</f>
        <v>0</v>
      </c>
      <c r="AK620" s="76">
        <f t="shared" si="136"/>
        <v>-3.2177337400760009E-4</v>
      </c>
      <c r="AL620" s="76">
        <f t="shared" si="137"/>
        <v>0</v>
      </c>
      <c r="AM620" s="76">
        <f t="shared" si="128"/>
        <v>0</v>
      </c>
      <c r="AN620" s="76">
        <f>MAX(0,O620*Escenarios!$E$13/Escenarios!$E$16-AM620)</f>
        <v>0</v>
      </c>
      <c r="AO620" s="76">
        <f>AM620+AN620-O620*Escenarios!$E$13/Escenarios!$E$16</f>
        <v>0</v>
      </c>
      <c r="AP620" s="76">
        <f t="shared" si="126"/>
        <v>0.27407367368977731</v>
      </c>
      <c r="AQ620" s="76">
        <f t="shared" si="129"/>
        <v>0</v>
      </c>
      <c r="AR620" s="76">
        <f t="shared" si="130"/>
        <v>0.27407367368977731</v>
      </c>
      <c r="AS620" s="76">
        <f t="shared" si="131"/>
        <v>0</v>
      </c>
      <c r="AT620" s="76">
        <f t="shared" si="132"/>
        <v>0</v>
      </c>
      <c r="AU620" s="76">
        <f t="shared" si="133"/>
        <v>48.75</v>
      </c>
      <c r="AV620" s="76">
        <f>MAX(0,(AU620-Constantes!$D$13)*(1-EXP(-Constantes!$D$24)))</f>
        <v>0</v>
      </c>
      <c r="AW620" s="170">
        <f>AW619+(Entradas!$E$112*AT620-AX619)/(800*Entradas!$D$25)</f>
        <v>0</v>
      </c>
      <c r="AX620" s="170">
        <f>8000*Entradas!$D$26*AW620/Constantes!$E$45</f>
        <v>0</v>
      </c>
      <c r="AY620" s="170">
        <f>IF(Escenarios!$E$17&gt;0,10*Escenarios!$E$16*AL620,0)</f>
        <v>0</v>
      </c>
      <c r="AZ620" s="170">
        <f>IF(Escenarios!$E$17&gt;0,10*Escenarios!$E$16*AX620,0)</f>
        <v>0</v>
      </c>
      <c r="BA620" s="170">
        <f>IF(Escenarios!$E$17&gt;0,0.001*Observaciones!$F619*Escenarios!$E$17,0)</f>
        <v>0</v>
      </c>
      <c r="BB620" s="170">
        <f>IF(Escenarios!$E$17&gt;0,Observaciones!$K619,0)</f>
        <v>0</v>
      </c>
      <c r="BC620" s="170">
        <f>IF(Escenarios!$E$17&gt;0,MIN(0.0005*ETo!$M619*Escenarios!$E$17*(BG619/Constantes!$E$40)^(2/3),BG619+AY620+AZ620+BA620+BB620),0)</f>
        <v>2.3490538091868975</v>
      </c>
      <c r="BD620" s="170">
        <f>IF(Escenarios!$E$17&gt;0,MIN(Constantes!$E$39*(BG619/Constantes!$E$40)^(2/3),BG619+AY620+AZ620+BA620+BB620-BC620),0)</f>
        <v>4.8313748718545551</v>
      </c>
      <c r="BE620" s="170">
        <f>IF(Escenarios!$E$17&gt;0,MIN(Entradas!$E$113,BG619+AY620+AZ620+BA620+BB620-BC620-BD620),0)</f>
        <v>1</v>
      </c>
      <c r="BF620" s="170">
        <f>IF(Escenarios!$E$17&gt;0,MAX(0,BG619+AY620+AZ620+BA620+BB620-BC620-BD620-BE620-Constantes!$E$40),0)</f>
        <v>0</v>
      </c>
      <c r="BG620" s="170">
        <f t="shared" si="138"/>
        <v>90.761384473641144</v>
      </c>
      <c r="BH620" s="170">
        <f>(Escenarios!$E$16*AK620+0.1*BC620)/(Escenarios!$E$19)</f>
        <v>6.1294459292376882E-4</v>
      </c>
      <c r="BI620" s="170">
        <f>IF(Escenarios!$E$17&gt;0,BF620/10/Escenarios!$E$19,AL620)</f>
        <v>0</v>
      </c>
      <c r="BJ620" s="170">
        <f>(Escenarios!$E$16*AT620+0.1*BD620)/(Escenarios!$E$19)</f>
        <v>1.9172122507359346E-3</v>
      </c>
      <c r="BK620" s="76">
        <f>BK619+(0.1*BD620)/(Escenarios!$E$19)-BL619</f>
        <v>49.865636507749066</v>
      </c>
      <c r="BL620" s="76">
        <f>MAX(0,(BK620-Constantes!$D$13)*(1-EXP(-Constantes!$D$23)))</f>
        <v>1.0992632234765215E-2</v>
      </c>
      <c r="BM620" s="76">
        <f t="shared" si="134"/>
        <v>0.28506630592454252</v>
      </c>
      <c r="BN620" s="76">
        <f t="shared" si="139"/>
        <v>0.28506630592454252</v>
      </c>
      <c r="BO620" s="76">
        <f>0.0526*BI620*Observaciones!$F619^1.218</f>
        <v>0</v>
      </c>
      <c r="BP620" s="76">
        <f>BO620*Constantes!$E$51</f>
        <v>0</v>
      </c>
      <c r="BQ620" s="76">
        <f t="shared" si="135"/>
        <v>0</v>
      </c>
      <c r="BR620" s="40"/>
    </row>
    <row r="621" spans="1:70">
      <c r="A621" s="147"/>
      <c r="B621" s="39"/>
      <c r="C621" s="75">
        <v>615</v>
      </c>
      <c r="D621" s="146">
        <f>ETo!$I620*((1-Constantes!$E$19)*ETo!$K620+ETo!$L620)</f>
        <v>3.6557020871309645</v>
      </c>
      <c r="E621" s="76">
        <f>MIN(D621*Constantes!$E$17,0.8*(N620+Observaciones!$F620-F621-M621-Constantes!$D$14))</f>
        <v>-1.3685747170349316E-2</v>
      </c>
      <c r="F621" s="76">
        <f>IF(Observaciones!$F620&gt;0.05*Constantes!$E$18,((Observaciones!$F620-0.05*Constantes!$E$18)^2)/(Observaciones!$F620+0.95*Constantes!$E$18),0)</f>
        <v>0</v>
      </c>
      <c r="G621" s="76">
        <f>IF(Escenarios!$E$11&gt;0,(F621*Escenarios!$E$16*10000)/1000,0)</f>
        <v>0</v>
      </c>
      <c r="H621" s="76">
        <f>IF(Escenarios!$E$11&gt;0,(Observaciones!$F620*Constantes!$E$29)/1000,0)</f>
        <v>0</v>
      </c>
      <c r="I621" s="76">
        <f>IF(Escenarios!$E$11&gt;0,(D621*Constantes!$E$29)/1000,0)</f>
        <v>36.557020871309646</v>
      </c>
      <c r="J621" s="76">
        <f>IF(Escenarios!$E$11&gt;0,MAX(0,G621+H621-I621),0)</f>
        <v>0</v>
      </c>
      <c r="K621" s="76">
        <f>IF(Escenarios!$E$11&gt;0,IF(J621&gt;Constantes!$E$30,1000*((J621-Constantes!$E$30)/(Escenarios!$E$16*10000)),0),F621)</f>
        <v>0</v>
      </c>
      <c r="L621" s="76">
        <f>IF(Escenarios!$E$11&gt;0,I621*1000/Escenarios!$E$16/10000+E621,E621)</f>
        <v>9.3706117817454228E-4</v>
      </c>
      <c r="M621" s="76">
        <f>MAX(0,N620+Observaciones!$F620-K621-Constantes!$D$13)</f>
        <v>0</v>
      </c>
      <c r="N621" s="76">
        <f>N620+Observaciones!$F620-K621-L621-M621-O620</f>
        <v>11.231955754858889</v>
      </c>
      <c r="O621" s="76">
        <f>MAX(0,(N621-Constantes!$D$14)*(1-EXP(-Constantes!$D$22)))</f>
        <v>0</v>
      </c>
      <c r="P621" s="170">
        <f>P620+(Entradas!$E$83*M621-Q620)/(800*Entradas!$D$25)</f>
        <v>0</v>
      </c>
      <c r="Q621" s="170">
        <f>8000*Entradas!$D$26*P621/Constantes!$E$45</f>
        <v>0</v>
      </c>
      <c r="R621" s="170">
        <f>IF(Escenarios!$E$14&gt;0,K621*Escenarios!$E$13/Escenarios!$E$14,0)</f>
        <v>0</v>
      </c>
      <c r="S621" s="170">
        <f>IF(Escenarios!$E$14&gt;0,Q621*Escenarios!$E$13/Escenarios!$E$14,0)</f>
        <v>0</v>
      </c>
      <c r="T621" s="170">
        <f>IF(Escenarios!$E$14&gt;0,Observaciones!$I620,0)</f>
        <v>0</v>
      </c>
      <c r="U621" s="170">
        <f>IF(Escenarios!$E$14&gt;0,MAX(0,Constantes!$E$36/((Z620+R621+S621+T621+Observaciones!$F620)^2)+Entradas!$E$77),0)</f>
        <v>0</v>
      </c>
      <c r="V621" s="146">
        <f>IF(ETo!D620&gt;0,ETo!I620*((1-Entradas!$E$81)*ETo!K620+ETo!L620),0)</f>
        <v>3.3259698422851169</v>
      </c>
      <c r="W621" s="170">
        <f>IF(Escenarios!$E$14&gt;0,MIN(V621*1,0.8*(Z620+R621+S621+T621+Observaciones!$F620-U621-Constantes!$E$35)),0)</f>
        <v>5.6843418860808018E-15</v>
      </c>
      <c r="X621" s="170">
        <f>IF(Escenarios!$E$14&gt;0,Observaciones!$J620,0)</f>
        <v>0</v>
      </c>
      <c r="Y621" s="170">
        <f>IF(Escenarios!$E$14&gt;0,MAX(0,Z620+R621+S621+T621+Observaciones!$F620-U621-W621-X621-Constantes!$E$33),0)</f>
        <v>0</v>
      </c>
      <c r="Z621" s="170">
        <f>Z620+R621+S621+T621+Observaciones!$F620-U621-W621-Y621</f>
        <v>41.25</v>
      </c>
      <c r="AA621" s="170">
        <f>IF(Escenarios!$E$14&gt;0,(Escenarios!$E$13*L621+Escenarios!$E$14*W621)/(Escenarios!$E$16),L621)</f>
        <v>8.2461383679427935E-4</v>
      </c>
      <c r="AB621" s="170">
        <f>IF(Escenarios!$E$14&gt;0,(Escenarios!$E$14*Y621)/(Escenarios!$E$16),K621)</f>
        <v>0</v>
      </c>
      <c r="AC621" s="170">
        <f>IF(Escenarios!$E$14&gt;0,(Escenarios!$E$13*M621+Escenarios!$E$14*U621)/(Escenarios!$E$16),M621)</f>
        <v>0</v>
      </c>
      <c r="AD621" s="76">
        <f t="shared" si="127"/>
        <v>76.291520412520555</v>
      </c>
      <c r="AE621" s="76">
        <f>MAX(0,(AD621-Constantes!$D$13)*(1-EXP(-Constantes!$D$23)))</f>
        <v>0.27137316050364885</v>
      </c>
      <c r="AF621" s="76">
        <f>AB621+O621*Escenarios!$E$13/Escenarios!$E$16+AE621</f>
        <v>0.27137316050364885</v>
      </c>
      <c r="AG621" s="76">
        <f>IF(Entradas!$E$91&gt;0,IF(AF621-Escenarios!$E$38&lt;=0,0,IF(AF621-Escenarios!$E$38&gt;Escenarios!$E$37,Escenarios!$E$37,AF621-Escenarios!$E$38)),0)</f>
        <v>0</v>
      </c>
      <c r="AH621" s="76">
        <f>AG621*Entradas!$E$99</f>
        <v>0</v>
      </c>
      <c r="AI621" s="76">
        <f>IF(Entradas!$E$91&gt;0,D621*Entradas!$D$23/Escenarios!$E$16,0)</f>
        <v>0</v>
      </c>
      <c r="AJ621" s="76">
        <f>IF(Entradas!$E$91&gt;0,Entradas!$D$24*Entradas!$D$22/Escenarios!$E$16,0)</f>
        <v>0</v>
      </c>
      <c r="AK621" s="76">
        <f t="shared" si="136"/>
        <v>8.2461383679427935E-4</v>
      </c>
      <c r="AL621" s="76">
        <f t="shared" si="137"/>
        <v>0</v>
      </c>
      <c r="AM621" s="76">
        <f t="shared" si="128"/>
        <v>0</v>
      </c>
      <c r="AN621" s="76">
        <f>MAX(0,O621*Escenarios!$E$13/Escenarios!$E$16-AM621)</f>
        <v>0</v>
      </c>
      <c r="AO621" s="76">
        <f>AM621+AN621-O621*Escenarios!$E$13/Escenarios!$E$16</f>
        <v>0</v>
      </c>
      <c r="AP621" s="76">
        <f t="shared" si="126"/>
        <v>0.27137316050364885</v>
      </c>
      <c r="AQ621" s="76">
        <f t="shared" si="129"/>
        <v>0</v>
      </c>
      <c r="AR621" s="76">
        <f t="shared" si="130"/>
        <v>0.27137316050364885</v>
      </c>
      <c r="AS621" s="76">
        <f t="shared" si="131"/>
        <v>0</v>
      </c>
      <c r="AT621" s="76">
        <f t="shared" si="132"/>
        <v>0</v>
      </c>
      <c r="AU621" s="76">
        <f t="shared" si="133"/>
        <v>48.75</v>
      </c>
      <c r="AV621" s="76">
        <f>MAX(0,(AU621-Constantes!$D$13)*(1-EXP(-Constantes!$D$24)))</f>
        <v>0</v>
      </c>
      <c r="AW621" s="170">
        <f>AW620+(Entradas!$E$112*AT621-AX620)/(800*Entradas!$D$25)</f>
        <v>0</v>
      </c>
      <c r="AX621" s="170">
        <f>8000*Entradas!$D$26*AW621/Constantes!$E$45</f>
        <v>0</v>
      </c>
      <c r="AY621" s="170">
        <f>IF(Escenarios!$E$17&gt;0,10*Escenarios!$E$16*AL621,0)</f>
        <v>0</v>
      </c>
      <c r="AZ621" s="170">
        <f>IF(Escenarios!$E$17&gt;0,10*Escenarios!$E$16*AX621,0)</f>
        <v>0</v>
      </c>
      <c r="BA621" s="170">
        <f>IF(Escenarios!$E$17&gt;0,0.001*Observaciones!$F620*Escenarios!$E$17,0)</f>
        <v>0</v>
      </c>
      <c r="BB621" s="170">
        <f>IF(Escenarios!$E$17&gt;0,Observaciones!$K620,0)</f>
        <v>0</v>
      </c>
      <c r="BC621" s="170">
        <f>IF(Escenarios!$E$17&gt;0,MIN(0.0005*ETo!$M620*Escenarios!$E$17*(BG620/Constantes!$E$40)^(2/3),BG620+AY621+AZ621+BA621+BB621),0)</f>
        <v>2.3801488075771542</v>
      </c>
      <c r="BD621" s="170">
        <f>IF(Escenarios!$E$17&gt;0,MIN(Constantes!$E$39*(BG620/Constantes!$E$40)^(2/3),BG620+AY621+AZ621+BA621+BB621-BC621),0)</f>
        <v>4.5612607615592786</v>
      </c>
      <c r="BE621" s="170">
        <f>IF(Escenarios!$E$17&gt;0,MIN(Entradas!$E$113,BG620+AY621+AZ621+BA621+BB621-BC621-BD621),0)</f>
        <v>1</v>
      </c>
      <c r="BF621" s="170">
        <f>IF(Escenarios!$E$17&gt;0,MAX(0,BG620+AY621+AZ621+BA621+BB621-BC621-BD621-BE621-Constantes!$E$40),0)</f>
        <v>0</v>
      </c>
      <c r="BG621" s="170">
        <f t="shared" si="138"/>
        <v>82.819974904504704</v>
      </c>
      <c r="BH621" s="170">
        <f>(Escenarios!$E$16*AK621+0.1*BC621)/(Escenarios!$E$19)</f>
        <v>1.7625727776043065E-3</v>
      </c>
      <c r="BI621" s="170">
        <f>IF(Escenarios!$E$17&gt;0,BF621/10/Escenarios!$E$19,AL621)</f>
        <v>0</v>
      </c>
      <c r="BJ621" s="170">
        <f>(Escenarios!$E$16*AT621+0.1*BD621)/(Escenarios!$E$19)</f>
        <v>1.8100241117298725E-3</v>
      </c>
      <c r="BK621" s="76">
        <f>BK620+(0.1*BD621)/(Escenarios!$E$19)-BL620</f>
        <v>49.856453899626025</v>
      </c>
      <c r="BL621" s="76">
        <f>MAX(0,(BK621-Constantes!$D$13)*(1-EXP(-Constantes!$D$23)))</f>
        <v>1.0902153809802037E-2</v>
      </c>
      <c r="BM621" s="76">
        <f t="shared" si="134"/>
        <v>0.28227531431345088</v>
      </c>
      <c r="BN621" s="76">
        <f t="shared" si="139"/>
        <v>0.28227531431345088</v>
      </c>
      <c r="BO621" s="76">
        <f>0.0526*BI621*Observaciones!$F620^1.218</f>
        <v>0</v>
      </c>
      <c r="BP621" s="76">
        <f>BO621*Constantes!$E$51</f>
        <v>0</v>
      </c>
      <c r="BQ621" s="76">
        <f t="shared" si="135"/>
        <v>0</v>
      </c>
      <c r="BR621" s="40"/>
    </row>
    <row r="622" spans="1:70">
      <c r="A622" s="147"/>
      <c r="B622" s="39"/>
      <c r="C622" s="75">
        <v>616</v>
      </c>
      <c r="D622" s="146">
        <f>ETo!$I621*((1-Constantes!$E$19)*ETo!$K621+ETo!$L621)</f>
        <v>3.6846121313156157</v>
      </c>
      <c r="E622" s="76">
        <f>MIN(D622*Constantes!$E$17,0.8*(N621+Observaciones!$F621-F622-M622-Constantes!$D$14))</f>
        <v>-1.4435396112888556E-2</v>
      </c>
      <c r="F622" s="76">
        <f>IF(Observaciones!$F621&gt;0.05*Constantes!$E$18,((Observaciones!$F621-0.05*Constantes!$E$18)^2)/(Observaciones!$F621+0.95*Constantes!$E$18),0)</f>
        <v>0</v>
      </c>
      <c r="G622" s="76">
        <f>IF(Escenarios!$E$11&gt;0,(F622*Escenarios!$E$16*10000)/1000,0)</f>
        <v>0</v>
      </c>
      <c r="H622" s="76">
        <f>IF(Escenarios!$E$11&gt;0,(Observaciones!$F621*Constantes!$E$29)/1000,0)</f>
        <v>0</v>
      </c>
      <c r="I622" s="76">
        <f>IF(Escenarios!$E$11&gt;0,(D622*Constantes!$E$29)/1000,0)</f>
        <v>36.846121313156161</v>
      </c>
      <c r="J622" s="76">
        <f>IF(Escenarios!$E$11&gt;0,MAX(0,G622+H622-I622),0)</f>
        <v>0</v>
      </c>
      <c r="K622" s="76">
        <f>IF(Escenarios!$E$11&gt;0,IF(J622&gt;Constantes!$E$30,1000*((J622-Constantes!$E$30)/(Escenarios!$E$16*10000)),0),F622)</f>
        <v>0</v>
      </c>
      <c r="L622" s="76">
        <f>IF(Escenarios!$E$11&gt;0,I622*1000/Escenarios!$E$16/10000+E622,E622)</f>
        <v>3.0305241237390916E-4</v>
      </c>
      <c r="M622" s="76">
        <f>MAX(0,N621+Observaciones!$F621-K622-Constantes!$D$13)</f>
        <v>0</v>
      </c>
      <c r="N622" s="76">
        <f>N621+Observaciones!$F621-K622-L622-M622-O621</f>
        <v>11.231652702446516</v>
      </c>
      <c r="O622" s="76">
        <f>MAX(0,(N622-Constantes!$D$14)*(1-EXP(-Constantes!$D$22)))</f>
        <v>0</v>
      </c>
      <c r="P622" s="170">
        <f>P621+(Entradas!$E$83*M622-Q621)/(800*Entradas!$D$25)</f>
        <v>0</v>
      </c>
      <c r="Q622" s="170">
        <f>8000*Entradas!$D$26*P622/Constantes!$E$45</f>
        <v>0</v>
      </c>
      <c r="R622" s="170">
        <f>IF(Escenarios!$E$14&gt;0,K622*Escenarios!$E$13/Escenarios!$E$14,0)</f>
        <v>0</v>
      </c>
      <c r="S622" s="170">
        <f>IF(Escenarios!$E$14&gt;0,Q622*Escenarios!$E$13/Escenarios!$E$14,0)</f>
        <v>0</v>
      </c>
      <c r="T622" s="170">
        <f>IF(Escenarios!$E$14&gt;0,Observaciones!$I621,0)</f>
        <v>0</v>
      </c>
      <c r="U622" s="170">
        <f>IF(Escenarios!$E$14&gt;0,MAX(0,Constantes!$E$36/((Z621+R622+S622+T622+Observaciones!$F621)^2)+Entradas!$E$77),0)</f>
        <v>0</v>
      </c>
      <c r="V622" s="146">
        <f>IF(ETo!D621&gt;0,ETo!I621*((1-Entradas!$E$81)*ETo!K621+ETo!L621),0)</f>
        <v>3.3528556559893876</v>
      </c>
      <c r="W622" s="170">
        <f>IF(Escenarios!$E$14&gt;0,MIN(V622*1,0.8*(Z621+R622+S622+T622+Observaciones!$F621-U622-Constantes!$E$35)),0)</f>
        <v>0</v>
      </c>
      <c r="X622" s="170">
        <f>IF(Escenarios!$E$14&gt;0,Observaciones!$J621,0)</f>
        <v>0</v>
      </c>
      <c r="Y622" s="170">
        <f>IF(Escenarios!$E$14&gt;0,MAX(0,Z621+R622+S622+T622+Observaciones!$F621-U622-W622-X622-Constantes!$E$33),0)</f>
        <v>0</v>
      </c>
      <c r="Z622" s="170">
        <f>Z621+R622+S622+T622+Observaciones!$F621-U622-W622-Y622</f>
        <v>41.25</v>
      </c>
      <c r="AA622" s="170">
        <f>IF(Escenarios!$E$14&gt;0,(Escenarios!$E$13*L622+Escenarios!$E$14*W622)/(Escenarios!$E$16),L622)</f>
        <v>2.6668612288904001E-4</v>
      </c>
      <c r="AB622" s="170">
        <f>IF(Escenarios!$E$14&gt;0,(Escenarios!$E$14*Y622)/(Escenarios!$E$16),K622)</f>
        <v>0</v>
      </c>
      <c r="AC622" s="170">
        <f>IF(Escenarios!$E$14&gt;0,(Escenarios!$E$13*M622+Escenarios!$E$14*U622)/(Escenarios!$E$16),M622)</f>
        <v>0</v>
      </c>
      <c r="AD622" s="76">
        <f t="shared" si="127"/>
        <v>76.020147252016912</v>
      </c>
      <c r="AE622" s="76">
        <f>MAX(0,(AD622-Constantes!$D$13)*(1-EXP(-Constantes!$D$23)))</f>
        <v>0.26869925611715539</v>
      </c>
      <c r="AF622" s="76">
        <f>AB622+O622*Escenarios!$E$13/Escenarios!$E$16+AE622</f>
        <v>0.26869925611715539</v>
      </c>
      <c r="AG622" s="76">
        <f>IF(Entradas!$E$91&gt;0,IF(AF622-Escenarios!$E$38&lt;=0,0,IF(AF622-Escenarios!$E$38&gt;Escenarios!$E$37,Escenarios!$E$37,AF622-Escenarios!$E$38)),0)</f>
        <v>0</v>
      </c>
      <c r="AH622" s="76">
        <f>AG622*Entradas!$E$99</f>
        <v>0</v>
      </c>
      <c r="AI622" s="76">
        <f>IF(Entradas!$E$91&gt;0,D622*Entradas!$D$23/Escenarios!$E$16,0)</f>
        <v>0</v>
      </c>
      <c r="AJ622" s="76">
        <f>IF(Entradas!$E$91&gt;0,Entradas!$D$24*Entradas!$D$22/Escenarios!$E$16,0)</f>
        <v>0</v>
      </c>
      <c r="AK622" s="76">
        <f t="shared" si="136"/>
        <v>2.6668612288904001E-4</v>
      </c>
      <c r="AL622" s="76">
        <f t="shared" si="137"/>
        <v>0</v>
      </c>
      <c r="AM622" s="76">
        <f t="shared" si="128"/>
        <v>0</v>
      </c>
      <c r="AN622" s="76">
        <f>MAX(0,O622*Escenarios!$E$13/Escenarios!$E$16-AM622)</f>
        <v>0</v>
      </c>
      <c r="AO622" s="76">
        <f>AM622+AN622-O622*Escenarios!$E$13/Escenarios!$E$16</f>
        <v>0</v>
      </c>
      <c r="AP622" s="76">
        <f t="shared" si="126"/>
        <v>0.26869925611715539</v>
      </c>
      <c r="AQ622" s="76">
        <f t="shared" si="129"/>
        <v>0</v>
      </c>
      <c r="AR622" s="76">
        <f t="shared" si="130"/>
        <v>0.26869925611715539</v>
      </c>
      <c r="AS622" s="76">
        <f t="shared" si="131"/>
        <v>0</v>
      </c>
      <c r="AT622" s="76">
        <f t="shared" si="132"/>
        <v>0</v>
      </c>
      <c r="AU622" s="76">
        <f t="shared" si="133"/>
        <v>48.75</v>
      </c>
      <c r="AV622" s="76">
        <f>MAX(0,(AU622-Constantes!$D$13)*(1-EXP(-Constantes!$D$24)))</f>
        <v>0</v>
      </c>
      <c r="AW622" s="170">
        <f>AW621+(Entradas!$E$112*AT622-AX621)/(800*Entradas!$D$25)</f>
        <v>0</v>
      </c>
      <c r="AX622" s="170">
        <f>8000*Entradas!$D$26*AW622/Constantes!$E$45</f>
        <v>0</v>
      </c>
      <c r="AY622" s="170">
        <f>IF(Escenarios!$E$17&gt;0,10*Escenarios!$E$16*AL622,0)</f>
        <v>0</v>
      </c>
      <c r="AZ622" s="170">
        <f>IF(Escenarios!$E$17&gt;0,10*Escenarios!$E$16*AX622,0)</f>
        <v>0</v>
      </c>
      <c r="BA622" s="170">
        <f>IF(Escenarios!$E$17&gt;0,0.001*Observaciones!$F621*Escenarios!$E$17,0)</f>
        <v>0</v>
      </c>
      <c r="BB622" s="170">
        <f>IF(Escenarios!$E$17&gt;0,Observaciones!$K621,0)</f>
        <v>0</v>
      </c>
      <c r="BC622" s="170">
        <f>IF(Escenarios!$E$17&gt;0,MIN(0.0005*ETo!$M621*Escenarios!$E$17*(BG621/Constantes!$E$40)^(2/3),BG621+AY622+AZ622+BA622+BB622),0)</f>
        <v>2.2564185189852197</v>
      </c>
      <c r="BD622" s="170">
        <f>IF(Escenarios!$E$17&gt;0,MIN(Constantes!$E$39*(BG621/Constantes!$E$40)^(2/3),BG621+AY622+AZ622+BA622+BB622-BC622),0)</f>
        <v>4.291155206084424</v>
      </c>
      <c r="BE622" s="170">
        <f>IF(Escenarios!$E$17&gt;0,MIN(Entradas!$E$113,BG621+AY622+AZ622+BA622+BB622-BC622-BD622),0)</f>
        <v>1</v>
      </c>
      <c r="BF622" s="170">
        <f>IF(Escenarios!$E$17&gt;0,MAX(0,BG621+AY622+AZ622+BA622+BB622-BC622-BD622-BE622-Constantes!$E$40),0)</f>
        <v>0</v>
      </c>
      <c r="BG622" s="170">
        <f t="shared" si="138"/>
        <v>75.272401179435064</v>
      </c>
      <c r="BH622" s="170">
        <f>(Escenarios!$E$16*AK622+0.1*BC622)/(Escenarios!$E$19)</f>
        <v>1.1599737405586588E-3</v>
      </c>
      <c r="BI622" s="170">
        <f>IF(Escenarios!$E$17&gt;0,BF622/10/Escenarios!$E$19,AL622)</f>
        <v>0</v>
      </c>
      <c r="BJ622" s="170">
        <f>(Escenarios!$E$16*AT622+0.1*BD622)/(Escenarios!$E$19)</f>
        <v>1.7028393674938193E-3</v>
      </c>
      <c r="BK622" s="76">
        <f>BK621+(0.1*BD622)/(Escenarios!$E$19)-BL621</f>
        <v>49.84725458518372</v>
      </c>
      <c r="BL622" s="76">
        <f>MAX(0,(BK622-Constantes!$D$13)*(1-EXP(-Constantes!$D$23)))</f>
        <v>1.0811510773496008E-2</v>
      </c>
      <c r="BM622" s="76">
        <f t="shared" si="134"/>
        <v>0.27951076689065141</v>
      </c>
      <c r="BN622" s="76">
        <f t="shared" si="139"/>
        <v>0.27951076689065141</v>
      </c>
      <c r="BO622" s="76">
        <f>0.0526*BI622*Observaciones!$F621^1.218</f>
        <v>0</v>
      </c>
      <c r="BP622" s="76">
        <f>BO622*Constantes!$E$51</f>
        <v>0</v>
      </c>
      <c r="BQ622" s="76">
        <f t="shared" si="135"/>
        <v>0</v>
      </c>
      <c r="BR622" s="40"/>
    </row>
    <row r="623" spans="1:70">
      <c r="A623" s="147"/>
      <c r="B623" s="39"/>
      <c r="C623" s="75">
        <v>617</v>
      </c>
      <c r="D623" s="146">
        <f>ETo!$I622*((1-Constantes!$E$19)*ETo!$K622+ETo!$L622)</f>
        <v>3.7254169389425833</v>
      </c>
      <c r="E623" s="76">
        <f>MIN(D623*Constantes!$E$17,0.8*(N622+Observaciones!$F622-F623-M623-Constantes!$D$14))</f>
        <v>-1.4677838042787529E-2</v>
      </c>
      <c r="F623" s="76">
        <f>IF(Observaciones!$F622&gt;0.05*Constantes!$E$18,((Observaciones!$F622-0.05*Constantes!$E$18)^2)/(Observaciones!$F622+0.95*Constantes!$E$18),0)</f>
        <v>0</v>
      </c>
      <c r="G623" s="76">
        <f>IF(Escenarios!$E$11&gt;0,(F623*Escenarios!$E$16*10000)/1000,0)</f>
        <v>0</v>
      </c>
      <c r="H623" s="76">
        <f>IF(Escenarios!$E$11&gt;0,(Observaciones!$F622*Constantes!$E$29)/1000,0)</f>
        <v>0</v>
      </c>
      <c r="I623" s="76">
        <f>IF(Escenarios!$E$11&gt;0,(D623*Constantes!$E$29)/1000,0)</f>
        <v>37.254169389425833</v>
      </c>
      <c r="J623" s="76">
        <f>IF(Escenarios!$E$11&gt;0,MAX(0,G623+H623-I623),0)</f>
        <v>0</v>
      </c>
      <c r="K623" s="76">
        <f>IF(Escenarios!$E$11&gt;0,IF(J623&gt;Constantes!$E$30,1000*((J623-Constantes!$E$30)/(Escenarios!$E$16*10000)),0),F623)</f>
        <v>0</v>
      </c>
      <c r="L623" s="76">
        <f>IF(Escenarios!$E$11&gt;0,I623*1000/Escenarios!$E$16/10000+E623,E623)</f>
        <v>2.2382971298280478E-4</v>
      </c>
      <c r="M623" s="76">
        <f>MAX(0,N622+Observaciones!$F622-K623-Constantes!$D$13)</f>
        <v>0</v>
      </c>
      <c r="N623" s="76">
        <f>N622+Observaciones!$F622-K623-L623-M623-O622</f>
        <v>11.231428872733533</v>
      </c>
      <c r="O623" s="76">
        <f>MAX(0,(N623-Constantes!$D$14)*(1-EXP(-Constantes!$D$22)))</f>
        <v>0</v>
      </c>
      <c r="P623" s="170">
        <f>P622+(Entradas!$E$83*M623-Q622)/(800*Entradas!$D$25)</f>
        <v>0</v>
      </c>
      <c r="Q623" s="170">
        <f>8000*Entradas!$D$26*P623/Constantes!$E$45</f>
        <v>0</v>
      </c>
      <c r="R623" s="170">
        <f>IF(Escenarios!$E$14&gt;0,K623*Escenarios!$E$13/Escenarios!$E$14,0)</f>
        <v>0</v>
      </c>
      <c r="S623" s="170">
        <f>IF(Escenarios!$E$14&gt;0,Q623*Escenarios!$E$13/Escenarios!$E$14,0)</f>
        <v>0</v>
      </c>
      <c r="T623" s="170">
        <f>IF(Escenarios!$E$14&gt;0,Observaciones!$I622,0)</f>
        <v>0</v>
      </c>
      <c r="U623" s="170">
        <f>IF(Escenarios!$E$14&gt;0,MAX(0,Constantes!$E$36/((Z622+R623+S623+T623+Observaciones!$F622)^2)+Entradas!$E$77),0)</f>
        <v>0</v>
      </c>
      <c r="V623" s="146">
        <f>IF(ETo!D622&gt;0,ETo!I622*((1-Entradas!$E$81)*ETo!K622+ETo!L622),0)</f>
        <v>3.3907072393580719</v>
      </c>
      <c r="W623" s="170">
        <f>IF(Escenarios!$E$14&gt;0,MIN(V623*1,0.8*(Z622+R623+S623+T623+Observaciones!$F622-U623-Constantes!$E$35)),0)</f>
        <v>0</v>
      </c>
      <c r="X623" s="170">
        <f>IF(Escenarios!$E$14&gt;0,Observaciones!$J622,0)</f>
        <v>0</v>
      </c>
      <c r="Y623" s="170">
        <f>IF(Escenarios!$E$14&gt;0,MAX(0,Z622+R623+S623+T623+Observaciones!$F622-U623-W623-X623-Constantes!$E$33),0)</f>
        <v>0</v>
      </c>
      <c r="Z623" s="170">
        <f>Z622+R623+S623+T623+Observaciones!$F622-U623-W623-Y623</f>
        <v>41.25</v>
      </c>
      <c r="AA623" s="170">
        <f>IF(Escenarios!$E$14&gt;0,(Escenarios!$E$13*L623+Escenarios!$E$14*W623)/(Escenarios!$E$16),L623)</f>
        <v>1.9697014742486822E-4</v>
      </c>
      <c r="AB623" s="170">
        <f>IF(Escenarios!$E$14&gt;0,(Escenarios!$E$14*Y623)/(Escenarios!$E$16),K623)</f>
        <v>0</v>
      </c>
      <c r="AC623" s="170">
        <f>IF(Escenarios!$E$14&gt;0,(Escenarios!$E$13*M623+Escenarios!$E$14*U623)/(Escenarios!$E$16),M623)</f>
        <v>0</v>
      </c>
      <c r="AD623" s="76">
        <f t="shared" si="127"/>
        <v>75.751447995899753</v>
      </c>
      <c r="AE623" s="76">
        <f>MAX(0,(AD623-Constantes!$D$13)*(1-EXP(-Constantes!$D$23)))</f>
        <v>0.2660516983474564</v>
      </c>
      <c r="AF623" s="76">
        <f>AB623+O623*Escenarios!$E$13/Escenarios!$E$16+AE623</f>
        <v>0.2660516983474564</v>
      </c>
      <c r="AG623" s="76">
        <f>IF(Entradas!$E$91&gt;0,IF(AF623-Escenarios!$E$38&lt;=0,0,IF(AF623-Escenarios!$E$38&gt;Escenarios!$E$37,Escenarios!$E$37,AF623-Escenarios!$E$38)),0)</f>
        <v>0</v>
      </c>
      <c r="AH623" s="76">
        <f>AG623*Entradas!$E$99</f>
        <v>0</v>
      </c>
      <c r="AI623" s="76">
        <f>IF(Entradas!$E$91&gt;0,D623*Entradas!$D$23/Escenarios!$E$16,0)</f>
        <v>0</v>
      </c>
      <c r="AJ623" s="76">
        <f>IF(Entradas!$E$91&gt;0,Entradas!$D$24*Entradas!$D$22/Escenarios!$E$16,0)</f>
        <v>0</v>
      </c>
      <c r="AK623" s="76">
        <f t="shared" si="136"/>
        <v>1.9697014742486822E-4</v>
      </c>
      <c r="AL623" s="76">
        <f t="shared" si="137"/>
        <v>0</v>
      </c>
      <c r="AM623" s="76">
        <f t="shared" si="128"/>
        <v>0</v>
      </c>
      <c r="AN623" s="76">
        <f>MAX(0,O623*Escenarios!$E$13/Escenarios!$E$16-AM623)</f>
        <v>0</v>
      </c>
      <c r="AO623" s="76">
        <f>AM623+AN623-O623*Escenarios!$E$13/Escenarios!$E$16</f>
        <v>0</v>
      </c>
      <c r="AP623" s="76">
        <f t="shared" si="126"/>
        <v>0.2660516983474564</v>
      </c>
      <c r="AQ623" s="76">
        <f t="shared" si="129"/>
        <v>0</v>
      </c>
      <c r="AR623" s="76">
        <f t="shared" si="130"/>
        <v>0.2660516983474564</v>
      </c>
      <c r="AS623" s="76">
        <f t="shared" si="131"/>
        <v>0</v>
      </c>
      <c r="AT623" s="76">
        <f t="shared" si="132"/>
        <v>0</v>
      </c>
      <c r="AU623" s="76">
        <f t="shared" si="133"/>
        <v>48.75</v>
      </c>
      <c r="AV623" s="76">
        <f>MAX(0,(AU623-Constantes!$D$13)*(1-EXP(-Constantes!$D$24)))</f>
        <v>0</v>
      </c>
      <c r="AW623" s="170">
        <f>AW622+(Entradas!$E$112*AT623-AX622)/(800*Entradas!$D$25)</f>
        <v>0</v>
      </c>
      <c r="AX623" s="170">
        <f>8000*Entradas!$D$26*AW623/Constantes!$E$45</f>
        <v>0</v>
      </c>
      <c r="AY623" s="170">
        <f>IF(Escenarios!$E$17&gt;0,10*Escenarios!$E$16*AL623,0)</f>
        <v>0</v>
      </c>
      <c r="AZ623" s="170">
        <f>IF(Escenarios!$E$17&gt;0,10*Escenarios!$E$16*AX623,0)</f>
        <v>0</v>
      </c>
      <c r="BA623" s="170">
        <f>IF(Escenarios!$E$17&gt;0,0.001*Observaciones!$F622*Escenarios!$E$17,0)</f>
        <v>0</v>
      </c>
      <c r="BB623" s="170">
        <f>IF(Escenarios!$E$17&gt;0,Observaciones!$K622,0)</f>
        <v>0</v>
      </c>
      <c r="BC623" s="170">
        <f>IF(Escenarios!$E$17&gt;0,MIN(0.0005*ETo!$M622*Escenarios!$E$17*(BG622/Constantes!$E$40)^(2/3),BG622+AY623+AZ623+BA623+BB623),0)</f>
        <v>2.1400342431594619</v>
      </c>
      <c r="BD623" s="170">
        <f>IF(Escenarios!$E$17&gt;0,MIN(Constantes!$E$39*(BG622/Constantes!$E$40)^(2/3),BG622+AY623+AZ623+BA623+BB623-BC623),0)</f>
        <v>4.0263173867509767</v>
      </c>
      <c r="BE623" s="170">
        <f>IF(Escenarios!$E$17&gt;0,MIN(Entradas!$E$113,BG622+AY623+AZ623+BA623+BB623-BC623-BD623),0)</f>
        <v>1</v>
      </c>
      <c r="BF623" s="170">
        <f>IF(Escenarios!$E$17&gt;0,MAX(0,BG622+AY623+AZ623+BA623+BB623-BC623-BD623-BE623-Constantes!$E$40),0)</f>
        <v>0</v>
      </c>
      <c r="BG623" s="170">
        <f t="shared" si="138"/>
        <v>68.106049549524627</v>
      </c>
      <c r="BH623" s="170">
        <f>(Escenarios!$E$16*AK623+0.1*BC623)/(Escenarios!$E$19)</f>
        <v>1.044626830048267E-3</v>
      </c>
      <c r="BI623" s="170">
        <f>IF(Escenarios!$E$17&gt;0,BF623/10/Escenarios!$E$19,AL623)</f>
        <v>0</v>
      </c>
      <c r="BJ623" s="170">
        <f>(Escenarios!$E$16*AT623+0.1*BD623)/(Escenarios!$E$19)</f>
        <v>1.5977449947424513E-3</v>
      </c>
      <c r="BK623" s="76">
        <f>BK622+(0.1*BD623)/(Escenarios!$E$19)-BL622</f>
        <v>49.838040819404966</v>
      </c>
      <c r="BL623" s="76">
        <f>MAX(0,(BK623-Constantes!$D$13)*(1-EXP(-Constantes!$D$23)))</f>
        <v>1.072072534472992E-2</v>
      </c>
      <c r="BM623" s="76">
        <f t="shared" si="134"/>
        <v>0.2767724236921863</v>
      </c>
      <c r="BN623" s="76">
        <f t="shared" si="139"/>
        <v>0.2767724236921863</v>
      </c>
      <c r="BO623" s="76">
        <f>0.0526*BI623*Observaciones!$F622^1.218</f>
        <v>0</v>
      </c>
      <c r="BP623" s="76">
        <f>BO623*Constantes!$E$51</f>
        <v>0</v>
      </c>
      <c r="BQ623" s="76">
        <f t="shared" si="135"/>
        <v>0</v>
      </c>
      <c r="BR623" s="40"/>
    </row>
    <row r="624" spans="1:70">
      <c r="A624" s="147"/>
      <c r="B624" s="39"/>
      <c r="C624" s="75">
        <v>618</v>
      </c>
      <c r="D624" s="146">
        <f>ETo!$I623*((1-Constantes!$E$19)*ETo!$K623+ETo!$L623)</f>
        <v>3.7222133449370345</v>
      </c>
      <c r="E624" s="76">
        <f>MIN(D624*Constantes!$E$17,0.8*(N623+Observaciones!$F623-F624-M624-Constantes!$D$14))</f>
        <v>-1.4856901813173807E-2</v>
      </c>
      <c r="F624" s="76">
        <f>IF(Observaciones!$F623&gt;0.05*Constantes!$E$18,((Observaciones!$F623-0.05*Constantes!$E$18)^2)/(Observaciones!$F623+0.95*Constantes!$E$18),0)</f>
        <v>0</v>
      </c>
      <c r="G624" s="76">
        <f>IF(Escenarios!$E$11&gt;0,(F624*Escenarios!$E$16*10000)/1000,0)</f>
        <v>0</v>
      </c>
      <c r="H624" s="76">
        <f>IF(Escenarios!$E$11&gt;0,(Observaciones!$F623*Constantes!$E$29)/1000,0)</f>
        <v>0</v>
      </c>
      <c r="I624" s="76">
        <f>IF(Escenarios!$E$11&gt;0,(D624*Constantes!$E$29)/1000,0)</f>
        <v>37.222133449370347</v>
      </c>
      <c r="J624" s="76">
        <f>IF(Escenarios!$E$11&gt;0,MAX(0,G624+H624-I624),0)</f>
        <v>0</v>
      </c>
      <c r="K624" s="76">
        <f>IF(Escenarios!$E$11&gt;0,IF(J624&gt;Constantes!$E$30,1000*((J624-Constantes!$E$30)/(Escenarios!$E$16*10000)),0),F624)</f>
        <v>0</v>
      </c>
      <c r="L624" s="76">
        <f>IF(Escenarios!$E$11&gt;0,I624*1000/Escenarios!$E$16/10000+E624,E624)</f>
        <v>3.1951566574331403E-5</v>
      </c>
      <c r="M624" s="76">
        <f>MAX(0,N623+Observaciones!$F623-K624-Constantes!$D$13)</f>
        <v>0</v>
      </c>
      <c r="N624" s="76">
        <f>N623+Observaciones!$F623-K624-L624-M624-O623</f>
        <v>11.231396921166958</v>
      </c>
      <c r="O624" s="76">
        <f>MAX(0,(N624-Constantes!$D$14)*(1-EXP(-Constantes!$D$22)))</f>
        <v>0</v>
      </c>
      <c r="P624" s="170">
        <f>P623+(Entradas!$E$83*M624-Q623)/(800*Entradas!$D$25)</f>
        <v>0</v>
      </c>
      <c r="Q624" s="170">
        <f>8000*Entradas!$D$26*P624/Constantes!$E$45</f>
        <v>0</v>
      </c>
      <c r="R624" s="170">
        <f>IF(Escenarios!$E$14&gt;0,K624*Escenarios!$E$13/Escenarios!$E$14,0)</f>
        <v>0</v>
      </c>
      <c r="S624" s="170">
        <f>IF(Escenarios!$E$14&gt;0,Q624*Escenarios!$E$13/Escenarios!$E$14,0)</f>
        <v>0</v>
      </c>
      <c r="T624" s="170">
        <f>IF(Escenarios!$E$14&gt;0,Observaciones!$I623,0)</f>
        <v>0</v>
      </c>
      <c r="U624" s="170">
        <f>IF(Escenarios!$E$14&gt;0,MAX(0,Constantes!$E$36/((Z623+R624+S624+T624+Observaciones!$F623)^2)+Entradas!$E$77),0)</f>
        <v>0</v>
      </c>
      <c r="V624" s="146">
        <f>IF(ETo!D623&gt;0,ETo!I623*((1-Entradas!$E$81)*ETo!K623+ETo!L623),0)</f>
        <v>3.3880024895029122</v>
      </c>
      <c r="W624" s="170">
        <f>IF(Escenarios!$E$14&gt;0,MIN(V624*1,0.8*(Z623+R624+S624+T624+Observaciones!$F623-U624-Constantes!$E$35)),0)</f>
        <v>0</v>
      </c>
      <c r="X624" s="170">
        <f>IF(Escenarios!$E$14&gt;0,Observaciones!$J623,0)</f>
        <v>0</v>
      </c>
      <c r="Y624" s="170">
        <f>IF(Escenarios!$E$14&gt;0,MAX(0,Z623+R624+S624+T624+Observaciones!$F623-U624-W624-X624-Constantes!$E$33),0)</f>
        <v>0</v>
      </c>
      <c r="Z624" s="170">
        <f>Z623+R624+S624+T624+Observaciones!$F623-U624-W624-Y624</f>
        <v>41.25</v>
      </c>
      <c r="AA624" s="170">
        <f>IF(Escenarios!$E$14&gt;0,(Escenarios!$E$13*L624+Escenarios!$E$14*W624)/(Escenarios!$E$16),L624)</f>
        <v>2.8117378585411635E-5</v>
      </c>
      <c r="AB624" s="170">
        <f>IF(Escenarios!$E$14&gt;0,(Escenarios!$E$14*Y624)/(Escenarios!$E$16),K624)</f>
        <v>0</v>
      </c>
      <c r="AC624" s="170">
        <f>IF(Escenarios!$E$14&gt;0,(Escenarios!$E$13*M624+Escenarios!$E$14*U624)/(Escenarios!$E$16),M624)</f>
        <v>0</v>
      </c>
      <c r="AD624" s="76">
        <f t="shared" si="127"/>
        <v>75.485396297552299</v>
      </c>
      <c r="AE624" s="76">
        <f>MAX(0,(AD624-Constantes!$D$13)*(1-EXP(-Constantes!$D$23)))</f>
        <v>0.26343022759506141</v>
      </c>
      <c r="AF624" s="76">
        <f>AB624+O624*Escenarios!$E$13/Escenarios!$E$16+AE624</f>
        <v>0.26343022759506141</v>
      </c>
      <c r="AG624" s="76">
        <f>IF(Entradas!$E$91&gt;0,IF(AF624-Escenarios!$E$38&lt;=0,0,IF(AF624-Escenarios!$E$38&gt;Escenarios!$E$37,Escenarios!$E$37,AF624-Escenarios!$E$38)),0)</f>
        <v>0</v>
      </c>
      <c r="AH624" s="76">
        <f>AG624*Entradas!$E$99</f>
        <v>0</v>
      </c>
      <c r="AI624" s="76">
        <f>IF(Entradas!$E$91&gt;0,D624*Entradas!$D$23/Escenarios!$E$16,0)</f>
        <v>0</v>
      </c>
      <c r="AJ624" s="76">
        <f>IF(Entradas!$E$91&gt;0,Entradas!$D$24*Entradas!$D$22/Escenarios!$E$16,0)</f>
        <v>0</v>
      </c>
      <c r="AK624" s="76">
        <f t="shared" si="136"/>
        <v>2.8117378585411635E-5</v>
      </c>
      <c r="AL624" s="76">
        <f t="shared" si="137"/>
        <v>0</v>
      </c>
      <c r="AM624" s="76">
        <f t="shared" si="128"/>
        <v>0</v>
      </c>
      <c r="AN624" s="76">
        <f>MAX(0,O624*Escenarios!$E$13/Escenarios!$E$16-AM624)</f>
        <v>0</v>
      </c>
      <c r="AO624" s="76">
        <f>AM624+AN624-O624*Escenarios!$E$13/Escenarios!$E$16</f>
        <v>0</v>
      </c>
      <c r="AP624" s="76">
        <f t="shared" si="126"/>
        <v>0.26343022759506141</v>
      </c>
      <c r="AQ624" s="76">
        <f t="shared" si="129"/>
        <v>0</v>
      </c>
      <c r="AR624" s="76">
        <f t="shared" si="130"/>
        <v>0.26343022759506141</v>
      </c>
      <c r="AS624" s="76">
        <f t="shared" si="131"/>
        <v>0</v>
      </c>
      <c r="AT624" s="76">
        <f t="shared" si="132"/>
        <v>0</v>
      </c>
      <c r="AU624" s="76">
        <f t="shared" si="133"/>
        <v>48.75</v>
      </c>
      <c r="AV624" s="76">
        <f>MAX(0,(AU624-Constantes!$D$13)*(1-EXP(-Constantes!$D$24)))</f>
        <v>0</v>
      </c>
      <c r="AW624" s="170">
        <f>AW623+(Entradas!$E$112*AT624-AX623)/(800*Entradas!$D$25)</f>
        <v>0</v>
      </c>
      <c r="AX624" s="170">
        <f>8000*Entradas!$D$26*AW624/Constantes!$E$45</f>
        <v>0</v>
      </c>
      <c r="AY624" s="170">
        <f>IF(Escenarios!$E$17&gt;0,10*Escenarios!$E$16*AL624,0)</f>
        <v>0</v>
      </c>
      <c r="AZ624" s="170">
        <f>IF(Escenarios!$E$17&gt;0,10*Escenarios!$E$16*AX624,0)</f>
        <v>0</v>
      </c>
      <c r="BA624" s="170">
        <f>IF(Escenarios!$E$17&gt;0,0.001*Observaciones!$F623*Escenarios!$E$17,0)</f>
        <v>0</v>
      </c>
      <c r="BB624" s="170">
        <f>IF(Escenarios!$E$17&gt;0,Observaciones!$K623,0)</f>
        <v>0</v>
      </c>
      <c r="BC624" s="170">
        <f>IF(Escenarios!$E$17&gt;0,MIN(0.0005*ETo!$M623*Escenarios!$E$17*(BG623/Constantes!$E$40)^(2/3),BG623+AY624+AZ624+BA624+BB624),0)</f>
        <v>2.0000757084979397</v>
      </c>
      <c r="BD624" s="170">
        <f>IF(Escenarios!$E$17&gt;0,MIN(Constantes!$E$39*(BG623/Constantes!$E$40)^(2/3),BG623+AY624+AZ624+BA624+BB624-BC624),0)</f>
        <v>3.7665287466748882</v>
      </c>
      <c r="BE624" s="170">
        <f>IF(Escenarios!$E$17&gt;0,MIN(Entradas!$E$113,BG623+AY624+AZ624+BA624+BB624-BC624-BD624),0)</f>
        <v>1</v>
      </c>
      <c r="BF624" s="170">
        <f>IF(Escenarios!$E$17&gt;0,MAX(0,BG623+AY624+AZ624+BA624+BB624-BC624-BD624-BE624-Constantes!$E$40),0)</f>
        <v>0</v>
      </c>
      <c r="BG624" s="170">
        <f t="shared" si="138"/>
        <v>61.339445094351795</v>
      </c>
      <c r="BH624" s="170">
        <f>(Escenarios!$E$16*AK624+0.1*BC624)/(Escenarios!$E$19)</f>
        <v>8.2157506149264643E-4</v>
      </c>
      <c r="BI624" s="170">
        <f>IF(Escenarios!$E$17&gt;0,BF624/10/Escenarios!$E$19,AL624)</f>
        <v>0</v>
      </c>
      <c r="BJ624" s="170">
        <f>(Escenarios!$E$16*AT624+0.1*BD624)/(Escenarios!$E$19)</f>
        <v>1.4946542645535273E-3</v>
      </c>
      <c r="BK624" s="76">
        <f>BK623+(0.1*BD624)/(Escenarios!$E$19)-BL623</f>
        <v>49.828814748324788</v>
      </c>
      <c r="BL624" s="76">
        <f>MAX(0,(BK624-Constantes!$D$13)*(1-EXP(-Constantes!$D$23)))</f>
        <v>1.0629818668897999E-2</v>
      </c>
      <c r="BM624" s="76">
        <f t="shared" si="134"/>
        <v>0.27406004626395941</v>
      </c>
      <c r="BN624" s="76">
        <f t="shared" si="139"/>
        <v>0.27406004626395941</v>
      </c>
      <c r="BO624" s="76">
        <f>0.0526*BI624*Observaciones!$F623^1.218</f>
        <v>0</v>
      </c>
      <c r="BP624" s="76">
        <f>BO624*Constantes!$E$51</f>
        <v>0</v>
      </c>
      <c r="BQ624" s="76">
        <f t="shared" si="135"/>
        <v>0</v>
      </c>
      <c r="BR624" s="40"/>
    </row>
    <row r="625" spans="1:70">
      <c r="A625" s="147"/>
      <c r="B625" s="39"/>
      <c r="C625" s="75">
        <v>619</v>
      </c>
      <c r="D625" s="146">
        <f>ETo!$I624*((1-Constantes!$E$19)*ETo!$K624+ETo!$L624)</f>
        <v>3.6946025970908498</v>
      </c>
      <c r="E625" s="76">
        <f>MIN(D625*Constantes!$E$17,0.8*(N624+Observaciones!$F624-F625-M625-Constantes!$D$14))</f>
        <v>-1.4882463066433616E-2</v>
      </c>
      <c r="F625" s="76">
        <f>IF(Observaciones!$F624&gt;0.05*Constantes!$E$18,((Observaciones!$F624-0.05*Constantes!$E$18)^2)/(Observaciones!$F624+0.95*Constantes!$E$18),0)</f>
        <v>0</v>
      </c>
      <c r="G625" s="76">
        <f>IF(Escenarios!$E$11&gt;0,(F625*Escenarios!$E$16*10000)/1000,0)</f>
        <v>0</v>
      </c>
      <c r="H625" s="76">
        <f>IF(Escenarios!$E$11&gt;0,(Observaciones!$F624*Constantes!$E$29)/1000,0)</f>
        <v>0</v>
      </c>
      <c r="I625" s="76">
        <f>IF(Escenarios!$E$11&gt;0,(D625*Constantes!$E$29)/1000,0)</f>
        <v>36.946025970908501</v>
      </c>
      <c r="J625" s="76">
        <f>IF(Escenarios!$E$11&gt;0,MAX(0,G625+H625-I625),0)</f>
        <v>0</v>
      </c>
      <c r="K625" s="76">
        <f>IF(Escenarios!$E$11&gt;0,IF(J625&gt;Constantes!$E$30,1000*((J625-Constantes!$E$30)/(Escenarios!$E$16*10000)),0),F625)</f>
        <v>0</v>
      </c>
      <c r="L625" s="76">
        <f>IF(Escenarios!$E$11&gt;0,I625*1000/Escenarios!$E$16/10000+E625,E625)</f>
        <v>-1.0405267807021487E-4</v>
      </c>
      <c r="M625" s="76">
        <f>MAX(0,N624+Observaciones!$F624-K625-Constantes!$D$13)</f>
        <v>0</v>
      </c>
      <c r="N625" s="76">
        <f>N624+Observaciones!$F624-K625-L625-M625-O624</f>
        <v>11.231500973845028</v>
      </c>
      <c r="O625" s="76">
        <f>MAX(0,(N625-Constantes!$D$14)*(1-EXP(-Constantes!$D$22)))</f>
        <v>0</v>
      </c>
      <c r="P625" s="170">
        <f>P624+(Entradas!$E$83*M625-Q624)/(800*Entradas!$D$25)</f>
        <v>0</v>
      </c>
      <c r="Q625" s="170">
        <f>8000*Entradas!$D$26*P625/Constantes!$E$45</f>
        <v>0</v>
      </c>
      <c r="R625" s="170">
        <f>IF(Escenarios!$E$14&gt;0,K625*Escenarios!$E$13/Escenarios!$E$14,0)</f>
        <v>0</v>
      </c>
      <c r="S625" s="170">
        <f>IF(Escenarios!$E$14&gt;0,Q625*Escenarios!$E$13/Escenarios!$E$14,0)</f>
        <v>0</v>
      </c>
      <c r="T625" s="170">
        <f>IF(Escenarios!$E$14&gt;0,Observaciones!$I624,0)</f>
        <v>0</v>
      </c>
      <c r="U625" s="170">
        <f>IF(Escenarios!$E$14&gt;0,MAX(0,Constantes!$E$36/((Z624+R625+S625+T625+Observaciones!$F624)^2)+Entradas!$E$77),0)</f>
        <v>0</v>
      </c>
      <c r="V625" s="146">
        <f>IF(ETo!D624&gt;0,ETo!I624*((1-Entradas!$E$81)*ETo!K624+ETo!L624),0)</f>
        <v>3.3628369945077257</v>
      </c>
      <c r="W625" s="170">
        <f>IF(Escenarios!$E$14&gt;0,MIN(V625*1,0.8*(Z624+R625+S625+T625+Observaciones!$F624-U625-Constantes!$E$35)),0)</f>
        <v>0</v>
      </c>
      <c r="X625" s="170">
        <f>IF(Escenarios!$E$14&gt;0,Observaciones!$J624,0)</f>
        <v>0</v>
      </c>
      <c r="Y625" s="170">
        <f>IF(Escenarios!$E$14&gt;0,MAX(0,Z624+R625+S625+T625+Observaciones!$F624-U625-W625-X625-Constantes!$E$33),0)</f>
        <v>0</v>
      </c>
      <c r="Z625" s="170">
        <f>Z624+R625+S625+T625+Observaciones!$F624-U625-W625-Y625</f>
        <v>41.25</v>
      </c>
      <c r="AA625" s="170">
        <f>IF(Escenarios!$E$14&gt;0,(Escenarios!$E$13*L625+Escenarios!$E$14*W625)/(Escenarios!$E$16),L625)</f>
        <v>-9.1566356701789088E-5</v>
      </c>
      <c r="AB625" s="170">
        <f>IF(Escenarios!$E$14&gt;0,(Escenarios!$E$14*Y625)/(Escenarios!$E$16),K625)</f>
        <v>0</v>
      </c>
      <c r="AC625" s="170">
        <f>IF(Escenarios!$E$14&gt;0,(Escenarios!$E$13*M625+Escenarios!$E$14*U625)/(Escenarios!$E$16),M625)</f>
        <v>0</v>
      </c>
      <c r="AD625" s="76">
        <f t="shared" si="127"/>
        <v>75.221966069957233</v>
      </c>
      <c r="AE625" s="76">
        <f>MAX(0,(AD625-Constantes!$D$13)*(1-EXP(-Constantes!$D$23)))</f>
        <v>0.2608345868183754</v>
      </c>
      <c r="AF625" s="76">
        <f>AB625+O625*Escenarios!$E$13/Escenarios!$E$16+AE625</f>
        <v>0.2608345868183754</v>
      </c>
      <c r="AG625" s="76">
        <f>IF(Entradas!$E$91&gt;0,IF(AF625-Escenarios!$E$38&lt;=0,0,IF(AF625-Escenarios!$E$38&gt;Escenarios!$E$37,Escenarios!$E$37,AF625-Escenarios!$E$38)),0)</f>
        <v>0</v>
      </c>
      <c r="AH625" s="76">
        <f>AG625*Entradas!$E$99</f>
        <v>0</v>
      </c>
      <c r="AI625" s="76">
        <f>IF(Entradas!$E$91&gt;0,D625*Entradas!$D$23/Escenarios!$E$16,0)</f>
        <v>0</v>
      </c>
      <c r="AJ625" s="76">
        <f>IF(Entradas!$E$91&gt;0,Entradas!$D$24*Entradas!$D$22/Escenarios!$E$16,0)</f>
        <v>0</v>
      </c>
      <c r="AK625" s="76">
        <f t="shared" si="136"/>
        <v>-9.1566356701789088E-5</v>
      </c>
      <c r="AL625" s="76">
        <f t="shared" si="137"/>
        <v>0</v>
      </c>
      <c r="AM625" s="76">
        <f t="shared" si="128"/>
        <v>0</v>
      </c>
      <c r="AN625" s="76">
        <f>MAX(0,O625*Escenarios!$E$13/Escenarios!$E$16-AM625)</f>
        <v>0</v>
      </c>
      <c r="AO625" s="76">
        <f>AM625+AN625-O625*Escenarios!$E$13/Escenarios!$E$16</f>
        <v>0</v>
      </c>
      <c r="AP625" s="76">
        <f t="shared" si="126"/>
        <v>0.2608345868183754</v>
      </c>
      <c r="AQ625" s="76">
        <f t="shared" si="129"/>
        <v>0</v>
      </c>
      <c r="AR625" s="76">
        <f t="shared" si="130"/>
        <v>0.2608345868183754</v>
      </c>
      <c r="AS625" s="76">
        <f t="shared" si="131"/>
        <v>0</v>
      </c>
      <c r="AT625" s="76">
        <f t="shared" si="132"/>
        <v>0</v>
      </c>
      <c r="AU625" s="76">
        <f t="shared" si="133"/>
        <v>48.75</v>
      </c>
      <c r="AV625" s="76">
        <f>MAX(0,(AU625-Constantes!$D$13)*(1-EXP(-Constantes!$D$24)))</f>
        <v>0</v>
      </c>
      <c r="AW625" s="170">
        <f>AW624+(Entradas!$E$112*AT625-AX624)/(800*Entradas!$D$25)</f>
        <v>0</v>
      </c>
      <c r="AX625" s="170">
        <f>8000*Entradas!$D$26*AW625/Constantes!$E$45</f>
        <v>0</v>
      </c>
      <c r="AY625" s="170">
        <f>IF(Escenarios!$E$17&gt;0,10*Escenarios!$E$16*AL625,0)</f>
        <v>0</v>
      </c>
      <c r="AZ625" s="170">
        <f>IF(Escenarios!$E$17&gt;0,10*Escenarios!$E$16*AX625,0)</f>
        <v>0</v>
      </c>
      <c r="BA625" s="170">
        <f>IF(Escenarios!$E$17&gt;0,0.001*Observaciones!$F624*Escenarios!$E$17,0)</f>
        <v>0</v>
      </c>
      <c r="BB625" s="170">
        <f>IF(Escenarios!$E$17&gt;0,Observaciones!$K624,0)</f>
        <v>0</v>
      </c>
      <c r="BC625" s="170">
        <f>IF(Escenarios!$E$17&gt;0,MIN(0.0005*ETo!$M624*Escenarios!$E$17*(BG624/Constantes!$E$40)^(2/3),BG624+AY625+AZ625+BA625+BB625),0)</f>
        <v>1.8514891092477013</v>
      </c>
      <c r="BD625" s="170">
        <f>IF(Escenarios!$E$17&gt;0,MIN(Constantes!$E$39*(BG624/Constantes!$E$40)^(2/3),BG624+AY625+AZ625+BA625+BB625-BC625),0)</f>
        <v>3.5127242180086826</v>
      </c>
      <c r="BE625" s="170">
        <f>IF(Escenarios!$E$17&gt;0,MIN(Entradas!$E$113,BG624+AY625+AZ625+BA625+BB625-BC625-BD625),0)</f>
        <v>1</v>
      </c>
      <c r="BF625" s="170">
        <f>IF(Escenarios!$E$17&gt;0,MAX(0,BG624+AY625+AZ625+BA625+BB625-BC625-BD625-BE625-Constantes!$E$40),0)</f>
        <v>0</v>
      </c>
      <c r="BG625" s="170">
        <f t="shared" si="138"/>
        <v>54.975231767095408</v>
      </c>
      <c r="BH625" s="170">
        <f>(Escenarios!$E$16*AK625+0.1*BC625)/(Escenarios!$E$19)</f>
        <v>6.4387826091001144E-4</v>
      </c>
      <c r="BI625" s="170">
        <f>IF(Escenarios!$E$17&gt;0,BF625/10/Escenarios!$E$19,AL625)</f>
        <v>0</v>
      </c>
      <c r="BJ625" s="170">
        <f>(Escenarios!$E$16*AT625+0.1*BD625)/(Escenarios!$E$19)</f>
        <v>1.3939381817494772E-3</v>
      </c>
      <c r="BK625" s="76">
        <f>BK624+(0.1*BD625)/(Escenarios!$E$19)-BL624</f>
        <v>49.819578867837642</v>
      </c>
      <c r="BL625" s="76">
        <f>MAX(0,(BK625-Constantes!$D$13)*(1-EXP(-Constantes!$D$23)))</f>
        <v>1.0538815338642798E-2</v>
      </c>
      <c r="BM625" s="76">
        <f t="shared" si="134"/>
        <v>0.27137340215701822</v>
      </c>
      <c r="BN625" s="76">
        <f t="shared" si="139"/>
        <v>0.27137340215701822</v>
      </c>
      <c r="BO625" s="76">
        <f>0.0526*BI625*Observaciones!$F624^1.218</f>
        <v>0</v>
      </c>
      <c r="BP625" s="76">
        <f>BO625*Constantes!$E$51</f>
        <v>0</v>
      </c>
      <c r="BQ625" s="76">
        <f t="shared" si="135"/>
        <v>0</v>
      </c>
      <c r="BR625" s="40"/>
    </row>
    <row r="626" spans="1:70">
      <c r="A626" s="147"/>
      <c r="B626" s="39"/>
      <c r="C626" s="75">
        <v>620</v>
      </c>
      <c r="D626" s="146">
        <f>ETo!$I625*((1-Constantes!$E$19)*ETo!$K625+ETo!$L625)</f>
        <v>3.7752822830343455</v>
      </c>
      <c r="E626" s="76">
        <f>MIN(D626*Constantes!$E$17,0.8*(N625+Observaciones!$F625-F626-M626-Constantes!$D$14))</f>
        <v>-1.4799220923977431E-2</v>
      </c>
      <c r="F626" s="76">
        <f>IF(Observaciones!$F625&gt;0.05*Constantes!$E$18,((Observaciones!$F625-0.05*Constantes!$E$18)^2)/(Observaciones!$F625+0.95*Constantes!$E$18),0)</f>
        <v>0</v>
      </c>
      <c r="G626" s="76">
        <f>IF(Escenarios!$E$11&gt;0,(F626*Escenarios!$E$16*10000)/1000,0)</f>
        <v>0</v>
      </c>
      <c r="H626" s="76">
        <f>IF(Escenarios!$E$11&gt;0,(Observaciones!$F625*Constantes!$E$29)/1000,0)</f>
        <v>0</v>
      </c>
      <c r="I626" s="76">
        <f>IF(Escenarios!$E$11&gt;0,(D626*Constantes!$E$29)/1000,0)</f>
        <v>37.752822830343462</v>
      </c>
      <c r="J626" s="76">
        <f>IF(Escenarios!$E$11&gt;0,MAX(0,G626+H626-I626),0)</f>
        <v>0</v>
      </c>
      <c r="K626" s="76">
        <f>IF(Escenarios!$E$11&gt;0,IF(J626&gt;Constantes!$E$30,1000*((J626-Constantes!$E$30)/(Escenarios!$E$16*10000)),0),F626)</f>
        <v>0</v>
      </c>
      <c r="L626" s="76">
        <f>IF(Escenarios!$E$11&gt;0,I626*1000/Escenarios!$E$16/10000+E626,E626)</f>
        <v>3.0190820815995285E-4</v>
      </c>
      <c r="M626" s="76">
        <f>MAX(0,N625+Observaciones!$F625-K626-Constantes!$D$13)</f>
        <v>0</v>
      </c>
      <c r="N626" s="76">
        <f>N625+Observaciones!$F625-K626-L626-M626-O625</f>
        <v>11.231199065636869</v>
      </c>
      <c r="O626" s="76">
        <f>MAX(0,(N626-Constantes!$D$14)*(1-EXP(-Constantes!$D$22)))</f>
        <v>0</v>
      </c>
      <c r="P626" s="170">
        <f>P625+(Entradas!$E$83*M626-Q625)/(800*Entradas!$D$25)</f>
        <v>0</v>
      </c>
      <c r="Q626" s="170">
        <f>8000*Entradas!$D$26*P626/Constantes!$E$45</f>
        <v>0</v>
      </c>
      <c r="R626" s="170">
        <f>IF(Escenarios!$E$14&gt;0,K626*Escenarios!$E$13/Escenarios!$E$14,0)</f>
        <v>0</v>
      </c>
      <c r="S626" s="170">
        <f>IF(Escenarios!$E$14&gt;0,Q626*Escenarios!$E$13/Escenarios!$E$14,0)</f>
        <v>0</v>
      </c>
      <c r="T626" s="170">
        <f>IF(Escenarios!$E$14&gt;0,Observaciones!$I625,0)</f>
        <v>0</v>
      </c>
      <c r="U626" s="170">
        <f>IF(Escenarios!$E$14&gt;0,MAX(0,Constantes!$E$36/((Z625+R626+S626+T626+Observaciones!$F625)^2)+Entradas!$E$77),0)</f>
        <v>0</v>
      </c>
      <c r="V626" s="146">
        <f>IF(ETo!D625&gt;0,ETo!I625*((1-Entradas!$E$81)*ETo!K625+ETo!L625),0)</f>
        <v>3.4373976364477365</v>
      </c>
      <c r="W626" s="170">
        <f>IF(Escenarios!$E$14&gt;0,MIN(V626*1,0.8*(Z625+R626+S626+T626+Observaciones!$F625-U626-Constantes!$E$35)),0)</f>
        <v>0</v>
      </c>
      <c r="X626" s="170">
        <f>IF(Escenarios!$E$14&gt;0,Observaciones!$J625,0)</f>
        <v>0</v>
      </c>
      <c r="Y626" s="170">
        <f>IF(Escenarios!$E$14&gt;0,MAX(0,Z625+R626+S626+T626+Observaciones!$F625-U626-W626-X626-Constantes!$E$33),0)</f>
        <v>0</v>
      </c>
      <c r="Z626" s="170">
        <f>Z625+R626+S626+T626+Observaciones!$F625-U626-W626-Y626</f>
        <v>41.25</v>
      </c>
      <c r="AA626" s="170">
        <f>IF(Escenarios!$E$14&gt;0,(Escenarios!$E$13*L626+Escenarios!$E$14*W626)/(Escenarios!$E$16),L626)</f>
        <v>2.6567922318075854E-4</v>
      </c>
      <c r="AB626" s="170">
        <f>IF(Escenarios!$E$14&gt;0,(Escenarios!$E$14*Y626)/(Escenarios!$E$16),K626)</f>
        <v>0</v>
      </c>
      <c r="AC626" s="170">
        <f>IF(Escenarios!$E$14&gt;0,(Escenarios!$E$13*M626+Escenarios!$E$14*U626)/(Escenarios!$E$16),M626)</f>
        <v>0</v>
      </c>
      <c r="AD626" s="76">
        <f t="shared" si="127"/>
        <v>74.961131483138857</v>
      </c>
      <c r="AE626" s="76">
        <f>MAX(0,(AD626-Constantes!$D$13)*(1-EXP(-Constantes!$D$23)))</f>
        <v>0.25826452150849555</v>
      </c>
      <c r="AF626" s="76">
        <f>AB626+O626*Escenarios!$E$13/Escenarios!$E$16+AE626</f>
        <v>0.25826452150849555</v>
      </c>
      <c r="AG626" s="76">
        <f>IF(Entradas!$E$91&gt;0,IF(AF626-Escenarios!$E$38&lt;=0,0,IF(AF626-Escenarios!$E$38&gt;Escenarios!$E$37,Escenarios!$E$37,AF626-Escenarios!$E$38)),0)</f>
        <v>0</v>
      </c>
      <c r="AH626" s="76">
        <f>AG626*Entradas!$E$99</f>
        <v>0</v>
      </c>
      <c r="AI626" s="76">
        <f>IF(Entradas!$E$91&gt;0,D626*Entradas!$D$23/Escenarios!$E$16,0)</f>
        <v>0</v>
      </c>
      <c r="AJ626" s="76">
        <f>IF(Entradas!$E$91&gt;0,Entradas!$D$24*Entradas!$D$22/Escenarios!$E$16,0)</f>
        <v>0</v>
      </c>
      <c r="AK626" s="76">
        <f t="shared" si="136"/>
        <v>2.6567922318075854E-4</v>
      </c>
      <c r="AL626" s="76">
        <f t="shared" si="137"/>
        <v>0</v>
      </c>
      <c r="AM626" s="76">
        <f t="shared" si="128"/>
        <v>0</v>
      </c>
      <c r="AN626" s="76">
        <f>MAX(0,O626*Escenarios!$E$13/Escenarios!$E$16-AM626)</f>
        <v>0</v>
      </c>
      <c r="AO626" s="76">
        <f>AM626+AN626-O626*Escenarios!$E$13/Escenarios!$E$16</f>
        <v>0</v>
      </c>
      <c r="AP626" s="76">
        <f t="shared" si="126"/>
        <v>0.25826452150849555</v>
      </c>
      <c r="AQ626" s="76">
        <f t="shared" si="129"/>
        <v>0</v>
      </c>
      <c r="AR626" s="76">
        <f t="shared" si="130"/>
        <v>0.25826452150849555</v>
      </c>
      <c r="AS626" s="76">
        <f t="shared" si="131"/>
        <v>0</v>
      </c>
      <c r="AT626" s="76">
        <f t="shared" si="132"/>
        <v>0</v>
      </c>
      <c r="AU626" s="76">
        <f t="shared" si="133"/>
        <v>48.75</v>
      </c>
      <c r="AV626" s="76">
        <f>MAX(0,(AU626-Constantes!$D$13)*(1-EXP(-Constantes!$D$24)))</f>
        <v>0</v>
      </c>
      <c r="AW626" s="170">
        <f>AW625+(Entradas!$E$112*AT626-AX625)/(800*Entradas!$D$25)</f>
        <v>0</v>
      </c>
      <c r="AX626" s="170">
        <f>8000*Entradas!$D$26*AW626/Constantes!$E$45</f>
        <v>0</v>
      </c>
      <c r="AY626" s="170">
        <f>IF(Escenarios!$E$17&gt;0,10*Escenarios!$E$16*AL626,0)</f>
        <v>0</v>
      </c>
      <c r="AZ626" s="170">
        <f>IF(Escenarios!$E$17&gt;0,10*Escenarios!$E$16*AX626,0)</f>
        <v>0</v>
      </c>
      <c r="BA626" s="170">
        <f>IF(Escenarios!$E$17&gt;0,0.001*Observaciones!$F625*Escenarios!$E$17,0)</f>
        <v>0</v>
      </c>
      <c r="BB626" s="170">
        <f>IF(Escenarios!$E$17&gt;0,Observaciones!$K625,0)</f>
        <v>0</v>
      </c>
      <c r="BC626" s="170">
        <f>IF(Escenarios!$E$17&gt;0,MIN(0.0005*ETo!$M625*Escenarios!$E$17*(BG625/Constantes!$E$40)^(2/3),BG625+AY626+AZ626+BA626+BB626),0)</f>
        <v>1.7579604072257553</v>
      </c>
      <c r="BD626" s="170">
        <f>IF(Escenarios!$E$17&gt;0,MIN(Constantes!$E$39*(BG625/Constantes!$E$40)^(2/3),BG625+AY626+AZ626+BA626+BB626-BC626),0)</f>
        <v>3.2653434881124199</v>
      </c>
      <c r="BE626" s="170">
        <f>IF(Escenarios!$E$17&gt;0,MIN(Entradas!$E$113,BG625+AY626+AZ626+BA626+BB626-BC626-BD626),0)</f>
        <v>1</v>
      </c>
      <c r="BF626" s="170">
        <f>IF(Escenarios!$E$17&gt;0,MAX(0,BG625+AY626+AZ626+BA626+BB626-BC626-BD626-BE626-Constantes!$E$40),0)</f>
        <v>0</v>
      </c>
      <c r="BG626" s="170">
        <f t="shared" si="138"/>
        <v>48.951927871757235</v>
      </c>
      <c r="BH626" s="170">
        <f>(Escenarios!$E$16*AK626+0.1*BC626)/(Escenarios!$E$19)</f>
        <v>9.611739941181158E-4</v>
      </c>
      <c r="BI626" s="170">
        <f>IF(Escenarios!$E$17&gt;0,BF626/10/Escenarios!$E$19,AL626)</f>
        <v>0</v>
      </c>
      <c r="BJ626" s="170">
        <f>(Escenarios!$E$16*AT626+0.1*BD626)/(Escenarios!$E$19)</f>
        <v>1.2957712254414364E-3</v>
      </c>
      <c r="BK626" s="76">
        <f>BK625+(0.1*BD626)/(Escenarios!$E$19)-BL625</f>
        <v>49.810335823724444</v>
      </c>
      <c r="BL626" s="76">
        <f>MAX(0,(BK626-Constantes!$D$13)*(1-EXP(-Constantes!$D$23)))</f>
        <v>1.0447741423473869E-2</v>
      </c>
      <c r="BM626" s="76">
        <f t="shared" si="134"/>
        <v>0.26871226293196943</v>
      </c>
      <c r="BN626" s="76">
        <f t="shared" si="139"/>
        <v>0.26871226293196943</v>
      </c>
      <c r="BO626" s="76">
        <f>0.0526*BI626*Observaciones!$F625^1.218</f>
        <v>0</v>
      </c>
      <c r="BP626" s="76">
        <f>BO626*Constantes!$E$51</f>
        <v>0</v>
      </c>
      <c r="BQ626" s="76">
        <f t="shared" si="135"/>
        <v>0</v>
      </c>
      <c r="BR626" s="40"/>
    </row>
    <row r="627" spans="1:70">
      <c r="A627" s="147"/>
      <c r="B627" s="39"/>
      <c r="C627" s="75">
        <v>621</v>
      </c>
      <c r="D627" s="146">
        <f>ETo!$I626*((1-Constantes!$E$19)*ETo!$K626+ETo!$L626)</f>
        <v>3.7186950849439553</v>
      </c>
      <c r="E627" s="76">
        <f>MIN(D627*Constantes!$E$17,0.8*(N626+Observaciones!$F626-F627-M627-Constantes!$D$14))</f>
        <v>-1.504074749050517E-2</v>
      </c>
      <c r="F627" s="76">
        <f>IF(Observaciones!$F626&gt;0.05*Constantes!$E$18,((Observaciones!$F626-0.05*Constantes!$E$18)^2)/(Observaciones!$F626+0.95*Constantes!$E$18),0)</f>
        <v>0</v>
      </c>
      <c r="G627" s="76">
        <f>IF(Escenarios!$E$11&gt;0,(F627*Escenarios!$E$16*10000)/1000,0)</f>
        <v>0</v>
      </c>
      <c r="H627" s="76">
        <f>IF(Escenarios!$E$11&gt;0,(Observaciones!$F626*Constantes!$E$29)/1000,0)</f>
        <v>0</v>
      </c>
      <c r="I627" s="76">
        <f>IF(Escenarios!$E$11&gt;0,(D627*Constantes!$E$29)/1000,0)</f>
        <v>37.186950849439555</v>
      </c>
      <c r="J627" s="76">
        <f>IF(Escenarios!$E$11&gt;0,MAX(0,G627+H627-I627),0)</f>
        <v>0</v>
      </c>
      <c r="K627" s="76">
        <f>IF(Escenarios!$E$11&gt;0,IF(J627&gt;Constantes!$E$30,1000*((J627-Constantes!$E$30)/(Escenarios!$E$16*10000)),0),F627)</f>
        <v>0</v>
      </c>
      <c r="L627" s="76">
        <f>IF(Escenarios!$E$11&gt;0,I627*1000/Escenarios!$E$16/10000+E627,E627)</f>
        <v>-1.6596715072934691E-4</v>
      </c>
      <c r="M627" s="76">
        <f>MAX(0,N626+Observaciones!$F626-K627-Constantes!$D$13)</f>
        <v>0</v>
      </c>
      <c r="N627" s="76">
        <f>N626+Observaciones!$F626-K627-L627-M627-O626</f>
        <v>11.231365032787599</v>
      </c>
      <c r="O627" s="76">
        <f>MAX(0,(N627-Constantes!$D$14)*(1-EXP(-Constantes!$D$22)))</f>
        <v>0</v>
      </c>
      <c r="P627" s="170">
        <f>P626+(Entradas!$E$83*M627-Q626)/(800*Entradas!$D$25)</f>
        <v>0</v>
      </c>
      <c r="Q627" s="170">
        <f>8000*Entradas!$D$26*P627/Constantes!$E$45</f>
        <v>0</v>
      </c>
      <c r="R627" s="170">
        <f>IF(Escenarios!$E$14&gt;0,K627*Escenarios!$E$13/Escenarios!$E$14,0)</f>
        <v>0</v>
      </c>
      <c r="S627" s="170">
        <f>IF(Escenarios!$E$14&gt;0,Q627*Escenarios!$E$13/Escenarios!$E$14,0)</f>
        <v>0</v>
      </c>
      <c r="T627" s="170">
        <f>IF(Escenarios!$E$14&gt;0,Observaciones!$I626,0)</f>
        <v>0</v>
      </c>
      <c r="U627" s="170">
        <f>IF(Escenarios!$E$14&gt;0,MAX(0,Constantes!$E$36/((Z626+R627+S627+T627+Observaciones!$F626)^2)+Entradas!$E$77),0)</f>
        <v>0</v>
      </c>
      <c r="V627" s="146">
        <f>IF(ETo!D626&gt;0,ETo!I626*((1-Entradas!$E$81)*ETo!K626+ETo!L626),0)</f>
        <v>3.3855260998704253</v>
      </c>
      <c r="W627" s="170">
        <f>IF(Escenarios!$E$14&gt;0,MIN(V627*1,0.8*(Z626+R627+S627+T627+Observaciones!$F626-U627-Constantes!$E$35)),0)</f>
        <v>0</v>
      </c>
      <c r="X627" s="170">
        <f>IF(Escenarios!$E$14&gt;0,Observaciones!$J626,0)</f>
        <v>0</v>
      </c>
      <c r="Y627" s="170">
        <f>IF(Escenarios!$E$14&gt;0,MAX(0,Z626+R627+S627+T627+Observaciones!$F626-U627-W627-X627-Constantes!$E$33),0)</f>
        <v>0</v>
      </c>
      <c r="Z627" s="170">
        <f>Z626+R627+S627+T627+Observaciones!$F626-U627-W627-Y627</f>
        <v>41.25</v>
      </c>
      <c r="AA627" s="170">
        <f>IF(Escenarios!$E$14&gt;0,(Escenarios!$E$13*L627+Escenarios!$E$14*W627)/(Escenarios!$E$16),L627)</f>
        <v>-1.4605109264182527E-4</v>
      </c>
      <c r="AB627" s="170">
        <f>IF(Escenarios!$E$14&gt;0,(Escenarios!$E$14*Y627)/(Escenarios!$E$16),K627)</f>
        <v>0</v>
      </c>
      <c r="AC627" s="170">
        <f>IF(Escenarios!$E$14&gt;0,(Escenarios!$E$13*M627+Escenarios!$E$14*U627)/(Escenarios!$E$16),M627)</f>
        <v>0</v>
      </c>
      <c r="AD627" s="76">
        <f t="shared" si="127"/>
        <v>74.702866961630363</v>
      </c>
      <c r="AE627" s="76">
        <f>MAX(0,(AD627-Constantes!$D$13)*(1-EXP(-Constantes!$D$23)))</f>
        <v>0.25571977966425585</v>
      </c>
      <c r="AF627" s="76">
        <f>AB627+O627*Escenarios!$E$13/Escenarios!$E$16+AE627</f>
        <v>0.25571977966425585</v>
      </c>
      <c r="AG627" s="76">
        <f>IF(Entradas!$E$91&gt;0,IF(AF627-Escenarios!$E$38&lt;=0,0,IF(AF627-Escenarios!$E$38&gt;Escenarios!$E$37,Escenarios!$E$37,AF627-Escenarios!$E$38)),0)</f>
        <v>0</v>
      </c>
      <c r="AH627" s="76">
        <f>AG627*Entradas!$E$99</f>
        <v>0</v>
      </c>
      <c r="AI627" s="76">
        <f>IF(Entradas!$E$91&gt;0,D627*Entradas!$D$23/Escenarios!$E$16,0)</f>
        <v>0</v>
      </c>
      <c r="AJ627" s="76">
        <f>IF(Entradas!$E$91&gt;0,Entradas!$D$24*Entradas!$D$22/Escenarios!$E$16,0)</f>
        <v>0</v>
      </c>
      <c r="AK627" s="76">
        <f t="shared" si="136"/>
        <v>-1.4605109264182527E-4</v>
      </c>
      <c r="AL627" s="76">
        <f t="shared" si="137"/>
        <v>0</v>
      </c>
      <c r="AM627" s="76">
        <f t="shared" si="128"/>
        <v>0</v>
      </c>
      <c r="AN627" s="76">
        <f>MAX(0,O627*Escenarios!$E$13/Escenarios!$E$16-AM627)</f>
        <v>0</v>
      </c>
      <c r="AO627" s="76">
        <f>AM627+AN627-O627*Escenarios!$E$13/Escenarios!$E$16</f>
        <v>0</v>
      </c>
      <c r="AP627" s="76">
        <f t="shared" si="126"/>
        <v>0.25571977966425585</v>
      </c>
      <c r="AQ627" s="76">
        <f t="shared" si="129"/>
        <v>0</v>
      </c>
      <c r="AR627" s="76">
        <f t="shared" si="130"/>
        <v>0.25571977966425585</v>
      </c>
      <c r="AS627" s="76">
        <f t="shared" si="131"/>
        <v>0</v>
      </c>
      <c r="AT627" s="76">
        <f t="shared" si="132"/>
        <v>0</v>
      </c>
      <c r="AU627" s="76">
        <f t="shared" si="133"/>
        <v>48.75</v>
      </c>
      <c r="AV627" s="76">
        <f>MAX(0,(AU627-Constantes!$D$13)*(1-EXP(-Constantes!$D$24)))</f>
        <v>0</v>
      </c>
      <c r="AW627" s="170">
        <f>AW626+(Entradas!$E$112*AT627-AX626)/(800*Entradas!$D$25)</f>
        <v>0</v>
      </c>
      <c r="AX627" s="170">
        <f>8000*Entradas!$D$26*AW627/Constantes!$E$45</f>
        <v>0</v>
      </c>
      <c r="AY627" s="170">
        <f>IF(Escenarios!$E$17&gt;0,10*Escenarios!$E$16*AL627,0)</f>
        <v>0</v>
      </c>
      <c r="AZ627" s="170">
        <f>IF(Escenarios!$E$17&gt;0,10*Escenarios!$E$16*AX627,0)</f>
        <v>0</v>
      </c>
      <c r="BA627" s="170">
        <f>IF(Escenarios!$E$17&gt;0,0.001*Observaciones!$F626*Escenarios!$E$17,0)</f>
        <v>0</v>
      </c>
      <c r="BB627" s="170">
        <f>IF(Escenarios!$E$17&gt;0,Observaciones!$K626,0)</f>
        <v>0</v>
      </c>
      <c r="BC627" s="170">
        <f>IF(Escenarios!$E$17&gt;0,MIN(0.0005*ETo!$M626*Escenarios!$E$17*(BG626/Constantes!$E$40)^(2/3),BG626+AY627+AZ627+BA627+BB627),0)</f>
        <v>1.6029066830517695</v>
      </c>
      <c r="BD627" s="170">
        <f>IF(Escenarios!$E$17&gt;0,MIN(Constantes!$E$39*(BG626/Constantes!$E$40)^(2/3),BG626+AY627+AZ627+BA627+BB627-BC627),0)</f>
        <v>3.0222521361344685</v>
      </c>
      <c r="BE627" s="170">
        <f>IF(Escenarios!$E$17&gt;0,MIN(Entradas!$E$113,BG626+AY627+AZ627+BA627+BB627-BC627-BD627),0)</f>
        <v>1</v>
      </c>
      <c r="BF627" s="170">
        <f>IF(Escenarios!$E$17&gt;0,MAX(0,BG626+AY627+AZ627+BA627+BB627-BC627-BD627-BE627-Constantes!$E$40),0)</f>
        <v>0</v>
      </c>
      <c r="BG627" s="170">
        <f t="shared" si="138"/>
        <v>43.326769052570995</v>
      </c>
      <c r="BH627" s="170">
        <f>(Escenarios!$E$16*AK627+0.1*BC627)/(Escenarios!$E$19)</f>
        <v>4.9118212359016127E-4</v>
      </c>
      <c r="BI627" s="170">
        <f>IF(Escenarios!$E$17&gt;0,BF627/10/Escenarios!$E$19,AL627)</f>
        <v>0</v>
      </c>
      <c r="BJ627" s="170">
        <f>(Escenarios!$E$16*AT627+0.1*BD627)/(Escenarios!$E$19)</f>
        <v>1.1993064032279638E-3</v>
      </c>
      <c r="BK627" s="76">
        <f>BK626+(0.1*BD627)/(Escenarios!$E$19)-BL626</f>
        <v>49.801087388704197</v>
      </c>
      <c r="BL627" s="76">
        <f>MAX(0,(BK627-Constantes!$D$13)*(1-EXP(-Constantes!$D$23)))</f>
        <v>1.0356614390413776E-2</v>
      </c>
      <c r="BM627" s="76">
        <f t="shared" si="134"/>
        <v>0.26607639405466965</v>
      </c>
      <c r="BN627" s="76">
        <f t="shared" si="139"/>
        <v>0.26607639405466965</v>
      </c>
      <c r="BO627" s="76">
        <f>0.0526*BI627*Observaciones!$F626^1.218</f>
        <v>0</v>
      </c>
      <c r="BP627" s="76">
        <f>BO627*Constantes!$E$51</f>
        <v>0</v>
      </c>
      <c r="BQ627" s="76">
        <f t="shared" si="135"/>
        <v>0</v>
      </c>
      <c r="BR627" s="40"/>
    </row>
    <row r="628" spans="1:70">
      <c r="A628" s="147"/>
      <c r="B628" s="39"/>
      <c r="C628" s="75">
        <v>622</v>
      </c>
      <c r="D628" s="146">
        <f>ETo!$I627*((1-Constantes!$E$19)*ETo!$K627+ETo!$L627)</f>
        <v>3.7060573008743187</v>
      </c>
      <c r="E628" s="76">
        <f>MIN(D628*Constantes!$E$17,0.8*(N627+Observaciones!$F627-F628-M628-Constantes!$D$14))</f>
        <v>-1.4907973769921057E-2</v>
      </c>
      <c r="F628" s="76">
        <f>IF(Observaciones!$F627&gt;0.05*Constantes!$E$18,((Observaciones!$F627-0.05*Constantes!$E$18)^2)/(Observaciones!$F627+0.95*Constantes!$E$18),0)</f>
        <v>0</v>
      </c>
      <c r="G628" s="76">
        <f>IF(Escenarios!$E$11&gt;0,(F628*Escenarios!$E$16*10000)/1000,0)</f>
        <v>0</v>
      </c>
      <c r="H628" s="76">
        <f>IF(Escenarios!$E$11&gt;0,(Observaciones!$F627*Constantes!$E$29)/1000,0)</f>
        <v>0</v>
      </c>
      <c r="I628" s="76">
        <f>IF(Escenarios!$E$11&gt;0,(D628*Constantes!$E$29)/1000,0)</f>
        <v>37.060573008743191</v>
      </c>
      <c r="J628" s="76">
        <f>IF(Escenarios!$E$11&gt;0,MAX(0,G628+H628-I628),0)</f>
        <v>0</v>
      </c>
      <c r="K628" s="76">
        <f>IF(Escenarios!$E$11&gt;0,IF(J628&gt;Constantes!$E$30,1000*((J628-Constantes!$E$30)/(Escenarios!$E$16*10000)),0),F628)</f>
        <v>0</v>
      </c>
      <c r="L628" s="76">
        <f>IF(Escenarios!$E$11&gt;0,I628*1000/Escenarios!$E$16/10000+E628,E628)</f>
        <v>-8.3744566423781322E-5</v>
      </c>
      <c r="M628" s="76">
        <f>MAX(0,N627+Observaciones!$F627-K628-Constantes!$D$13)</f>
        <v>0</v>
      </c>
      <c r="N628" s="76">
        <f>N627+Observaciones!$F627-K628-L628-M628-O627</f>
        <v>11.231448777354023</v>
      </c>
      <c r="O628" s="76">
        <f>MAX(0,(N628-Constantes!$D$14)*(1-EXP(-Constantes!$D$22)))</f>
        <v>0</v>
      </c>
      <c r="P628" s="170">
        <f>P627+(Entradas!$E$83*M628-Q627)/(800*Entradas!$D$25)</f>
        <v>0</v>
      </c>
      <c r="Q628" s="170">
        <f>8000*Entradas!$D$26*P628/Constantes!$E$45</f>
        <v>0</v>
      </c>
      <c r="R628" s="170">
        <f>IF(Escenarios!$E$14&gt;0,K628*Escenarios!$E$13/Escenarios!$E$14,0)</f>
        <v>0</v>
      </c>
      <c r="S628" s="170">
        <f>IF(Escenarios!$E$14&gt;0,Q628*Escenarios!$E$13/Escenarios!$E$14,0)</f>
        <v>0</v>
      </c>
      <c r="T628" s="170">
        <f>IF(Escenarios!$E$14&gt;0,Observaciones!$I627,0)</f>
        <v>0</v>
      </c>
      <c r="U628" s="170">
        <f>IF(Escenarios!$E$14&gt;0,MAX(0,Constantes!$E$36/((Z627+R628+S628+T628+Observaciones!$F627)^2)+Entradas!$E$77),0)</f>
        <v>0</v>
      </c>
      <c r="V628" s="146">
        <f>IF(ETo!D627&gt;0,ETo!I627*((1-Entradas!$E$81)*ETo!K627+ETo!L627),0)</f>
        <v>3.3741635624702258</v>
      </c>
      <c r="W628" s="170">
        <f>IF(Escenarios!$E$14&gt;0,MIN(V628*1,0.8*(Z627+R628+S628+T628+Observaciones!$F627-U628-Constantes!$E$35)),0)</f>
        <v>0</v>
      </c>
      <c r="X628" s="170">
        <f>IF(Escenarios!$E$14&gt;0,Observaciones!$J627,0)</f>
        <v>0</v>
      </c>
      <c r="Y628" s="170">
        <f>IF(Escenarios!$E$14&gt;0,MAX(0,Z627+R628+S628+T628+Observaciones!$F627-U628-W628-X628-Constantes!$E$33),0)</f>
        <v>0</v>
      </c>
      <c r="Z628" s="170">
        <f>Z627+R628+S628+T628+Observaciones!$F627-U628-W628-Y628</f>
        <v>41.25</v>
      </c>
      <c r="AA628" s="170">
        <f>IF(Escenarios!$E$14&gt;0,(Escenarios!$E$13*L628+Escenarios!$E$14*W628)/(Escenarios!$E$16),L628)</f>
        <v>-7.369521845292756E-5</v>
      </c>
      <c r="AB628" s="170">
        <f>IF(Escenarios!$E$14&gt;0,(Escenarios!$E$14*Y628)/(Escenarios!$E$16),K628)</f>
        <v>0</v>
      </c>
      <c r="AC628" s="170">
        <f>IF(Escenarios!$E$14&gt;0,(Escenarios!$E$13*M628+Escenarios!$E$14*U628)/(Escenarios!$E$16),M628)</f>
        <v>0</v>
      </c>
      <c r="AD628" s="76">
        <f t="shared" si="127"/>
        <v>74.447147181966102</v>
      </c>
      <c r="AE628" s="76">
        <f>MAX(0,(AD628-Constantes!$D$13)*(1-EXP(-Constantes!$D$23)))</f>
        <v>0.25320011176751772</v>
      </c>
      <c r="AF628" s="76">
        <f>AB628+O628*Escenarios!$E$13/Escenarios!$E$16+AE628</f>
        <v>0.25320011176751772</v>
      </c>
      <c r="AG628" s="76">
        <f>IF(Entradas!$E$91&gt;0,IF(AF628-Escenarios!$E$38&lt;=0,0,IF(AF628-Escenarios!$E$38&gt;Escenarios!$E$37,Escenarios!$E$37,AF628-Escenarios!$E$38)),0)</f>
        <v>0</v>
      </c>
      <c r="AH628" s="76">
        <f>AG628*Entradas!$E$99</f>
        <v>0</v>
      </c>
      <c r="AI628" s="76">
        <f>IF(Entradas!$E$91&gt;0,D628*Entradas!$D$23/Escenarios!$E$16,0)</f>
        <v>0</v>
      </c>
      <c r="AJ628" s="76">
        <f>IF(Entradas!$E$91&gt;0,Entradas!$D$24*Entradas!$D$22/Escenarios!$E$16,0)</f>
        <v>0</v>
      </c>
      <c r="AK628" s="76">
        <f t="shared" si="136"/>
        <v>-7.369521845292756E-5</v>
      </c>
      <c r="AL628" s="76">
        <f t="shared" si="137"/>
        <v>0</v>
      </c>
      <c r="AM628" s="76">
        <f t="shared" si="128"/>
        <v>0</v>
      </c>
      <c r="AN628" s="76">
        <f>MAX(0,O628*Escenarios!$E$13/Escenarios!$E$16-AM628)</f>
        <v>0</v>
      </c>
      <c r="AO628" s="76">
        <f>AM628+AN628-O628*Escenarios!$E$13/Escenarios!$E$16</f>
        <v>0</v>
      </c>
      <c r="AP628" s="76">
        <f t="shared" si="126"/>
        <v>0.25320011176751772</v>
      </c>
      <c r="AQ628" s="76">
        <f t="shared" si="129"/>
        <v>0</v>
      </c>
      <c r="AR628" s="76">
        <f t="shared" si="130"/>
        <v>0.25320011176751772</v>
      </c>
      <c r="AS628" s="76">
        <f t="shared" si="131"/>
        <v>0</v>
      </c>
      <c r="AT628" s="76">
        <f t="shared" si="132"/>
        <v>0</v>
      </c>
      <c r="AU628" s="76">
        <f t="shared" si="133"/>
        <v>48.75</v>
      </c>
      <c r="AV628" s="76">
        <f>MAX(0,(AU628-Constantes!$D$13)*(1-EXP(-Constantes!$D$24)))</f>
        <v>0</v>
      </c>
      <c r="AW628" s="170">
        <f>AW627+(Entradas!$E$112*AT628-AX627)/(800*Entradas!$D$25)</f>
        <v>0</v>
      </c>
      <c r="AX628" s="170">
        <f>8000*Entradas!$D$26*AW628/Constantes!$E$45</f>
        <v>0</v>
      </c>
      <c r="AY628" s="170">
        <f>IF(Escenarios!$E$17&gt;0,10*Escenarios!$E$16*AL628,0)</f>
        <v>0</v>
      </c>
      <c r="AZ628" s="170">
        <f>IF(Escenarios!$E$17&gt;0,10*Escenarios!$E$16*AX628,0)</f>
        <v>0</v>
      </c>
      <c r="BA628" s="170">
        <f>IF(Escenarios!$E$17&gt;0,0.001*Observaciones!$F627*Escenarios!$E$17,0)</f>
        <v>0</v>
      </c>
      <c r="BB628" s="170">
        <f>IF(Escenarios!$E$17&gt;0,Observaciones!$K627,0)</f>
        <v>0</v>
      </c>
      <c r="BC628" s="170">
        <f>IF(Escenarios!$E$17&gt;0,MIN(0.0005*ETo!$M627*Escenarios!$E$17*(BG627/Constantes!$E$40)^(2/3),BG627+AY628+AZ628+BA628+BB628),0)</f>
        <v>1.4725307059077428</v>
      </c>
      <c r="BD628" s="170">
        <f>IF(Escenarios!$E$17&gt;0,MIN(Constantes!$E$39*(BG627/Constantes!$E$40)^(2/3),BG627+AY628+AZ628+BA628+BB628-BC628),0)</f>
        <v>2.7860465117609321</v>
      </c>
      <c r="BE628" s="170">
        <f>IF(Escenarios!$E$17&gt;0,MIN(Entradas!$E$113,BG627+AY628+AZ628+BA628+BB628-BC628-BD628),0)</f>
        <v>1</v>
      </c>
      <c r="BF628" s="170">
        <f>IF(Escenarios!$E$17&gt;0,MAX(0,BG627+AY628+AZ628+BA628+BB628-BC628-BD628-BE628-Constantes!$E$40),0)</f>
        <v>0</v>
      </c>
      <c r="BG628" s="170">
        <f t="shared" si="138"/>
        <v>38.068191834902322</v>
      </c>
      <c r="BH628" s="170">
        <f>(Escenarios!$E$16*AK628+0.1*BC628)/(Escenarios!$E$19)</f>
        <v>5.1122724594262852E-4</v>
      </c>
      <c r="BI628" s="170">
        <f>IF(Escenarios!$E$17&gt;0,BF628/10/Escenarios!$E$19,AL628)</f>
        <v>0</v>
      </c>
      <c r="BJ628" s="170">
        <f>(Escenarios!$E$16*AT628+0.1*BD628)/(Escenarios!$E$19)</f>
        <v>1.1055740126035445E-3</v>
      </c>
      <c r="BK628" s="76">
        <f>BK627+(0.1*BD628)/(Escenarios!$E$19)-BL627</f>
        <v>49.791836348326392</v>
      </c>
      <c r="BL628" s="76">
        <f>MAX(0,(BK628-Constantes!$D$13)*(1-EXP(-Constantes!$D$23)))</f>
        <v>1.0265461686145113E-2</v>
      </c>
      <c r="BM628" s="76">
        <f t="shared" si="134"/>
        <v>0.26346557345366284</v>
      </c>
      <c r="BN628" s="76">
        <f t="shared" si="139"/>
        <v>0.26346557345366284</v>
      </c>
      <c r="BO628" s="76">
        <f>0.0526*BI628*Observaciones!$F627^1.218</f>
        <v>0</v>
      </c>
      <c r="BP628" s="76">
        <f>BO628*Constantes!$E$51</f>
        <v>0</v>
      </c>
      <c r="BQ628" s="76">
        <f t="shared" si="135"/>
        <v>0</v>
      </c>
      <c r="BR628" s="40"/>
    </row>
    <row r="629" spans="1:70">
      <c r="A629" s="147"/>
      <c r="B629" s="39"/>
      <c r="C629" s="75">
        <v>623</v>
      </c>
      <c r="D629" s="146">
        <f>ETo!$I628*((1-Constantes!$E$19)*ETo!$K628+ETo!$L628)</f>
        <v>3.7092919638932291</v>
      </c>
      <c r="E629" s="76">
        <f>MIN(D629*Constantes!$E$17,0.8*(N628+Observaciones!$F628-F629-M629-Constantes!$D$14))</f>
        <v>0.3851590218832186</v>
      </c>
      <c r="F629" s="76">
        <f>IF(Observaciones!$F628&gt;0.05*Constantes!$E$18,((Observaciones!$F628-0.05*Constantes!$E$18)^2)/(Observaciones!$F628+0.95*Constantes!$E$18),0)</f>
        <v>0</v>
      </c>
      <c r="G629" s="76">
        <f>IF(Escenarios!$E$11&gt;0,(F629*Escenarios!$E$16*10000)/1000,0)</f>
        <v>0</v>
      </c>
      <c r="H629" s="76">
        <f>IF(Escenarios!$E$11&gt;0,(Observaciones!$F628*Constantes!$E$29)/1000,0)</f>
        <v>5</v>
      </c>
      <c r="I629" s="76">
        <f>IF(Escenarios!$E$11&gt;0,(D629*Constantes!$E$29)/1000,0)</f>
        <v>37.092919638932287</v>
      </c>
      <c r="J629" s="76">
        <f>IF(Escenarios!$E$11&gt;0,MAX(0,G629+H629-I629),0)</f>
        <v>0</v>
      </c>
      <c r="K629" s="76">
        <f>IF(Escenarios!$E$11&gt;0,IF(J629&gt;Constantes!$E$30,1000*((J629-Constantes!$E$30)/(Escenarios!$E$16*10000)),0),F629)</f>
        <v>0</v>
      </c>
      <c r="L629" s="76">
        <f>IF(Escenarios!$E$11&gt;0,I629*1000/Escenarios!$E$16/10000+E629,E629)</f>
        <v>0.39999618973879153</v>
      </c>
      <c r="M629" s="76">
        <f>MAX(0,N628+Observaciones!$F628-K629-Constantes!$D$13)</f>
        <v>0</v>
      </c>
      <c r="N629" s="76">
        <f>N628+Observaciones!$F628-K629-L629-M629-O628</f>
        <v>11.331452587615232</v>
      </c>
      <c r="O629" s="76">
        <f>MAX(0,(N629-Constantes!$D$14)*(1-EXP(-Constantes!$D$22)))</f>
        <v>2.7745741527454462E-3</v>
      </c>
      <c r="P629" s="170">
        <f>P628+(Entradas!$E$83*M629-Q628)/(800*Entradas!$D$25)</f>
        <v>0</v>
      </c>
      <c r="Q629" s="170">
        <f>8000*Entradas!$D$26*P629/Constantes!$E$45</f>
        <v>0</v>
      </c>
      <c r="R629" s="170">
        <f>IF(Escenarios!$E$14&gt;0,K629*Escenarios!$E$13/Escenarios!$E$14,0)</f>
        <v>0</v>
      </c>
      <c r="S629" s="170">
        <f>IF(Escenarios!$E$14&gt;0,Q629*Escenarios!$E$13/Escenarios!$E$14,0)</f>
        <v>0</v>
      </c>
      <c r="T629" s="170">
        <f>IF(Escenarios!$E$14&gt;0,Observaciones!$I628,0)</f>
        <v>0</v>
      </c>
      <c r="U629" s="170">
        <f>IF(Escenarios!$E$14&gt;0,MAX(0,Constantes!$E$36/((Z628+R629+S629+T629+Observaciones!$F628)^2)+Entradas!$E$77),0)</f>
        <v>0</v>
      </c>
      <c r="V629" s="146">
        <f>IF(ETo!D628&gt;0,ETo!I628*((1-Entradas!$E$81)*ETo!K628+ETo!L628),0)</f>
        <v>3.3774003424027721</v>
      </c>
      <c r="W629" s="170">
        <f>IF(Escenarios!$E$14&gt;0,MIN(V629*1,0.8*(Z628+R629+S629+T629+Observaciones!$F628-U629-Constantes!$E$35)),0)</f>
        <v>0.4</v>
      </c>
      <c r="X629" s="170">
        <f>IF(Escenarios!$E$14&gt;0,Observaciones!$J628,0)</f>
        <v>0</v>
      </c>
      <c r="Y629" s="170">
        <f>IF(Escenarios!$E$14&gt;0,MAX(0,Z628+R629+S629+T629+Observaciones!$F628-U629-W629-X629-Constantes!$E$33),0)</f>
        <v>0</v>
      </c>
      <c r="Z629" s="170">
        <f>Z628+R629+S629+T629+Observaciones!$F628-U629-W629-Y629</f>
        <v>41.35</v>
      </c>
      <c r="AA629" s="170">
        <f>IF(Escenarios!$E$14&gt;0,(Escenarios!$E$13*L629+Escenarios!$E$14*W629)/(Escenarios!$E$16),L629)</f>
        <v>0.39999664697013659</v>
      </c>
      <c r="AB629" s="170">
        <f>IF(Escenarios!$E$14&gt;0,(Escenarios!$E$14*Y629)/(Escenarios!$E$16),K629)</f>
        <v>0</v>
      </c>
      <c r="AC629" s="170">
        <f>IF(Escenarios!$E$14&gt;0,(Escenarios!$E$13*M629+Escenarios!$E$14*U629)/(Escenarios!$E$16),M629)</f>
        <v>0</v>
      </c>
      <c r="AD629" s="76">
        <f t="shared" si="127"/>
        <v>74.19394707019859</v>
      </c>
      <c r="AE629" s="76">
        <f>MAX(0,(AD629-Constantes!$D$13)*(1-EXP(-Constantes!$D$23)))</f>
        <v>0.2507052707587043</v>
      </c>
      <c r="AF629" s="76">
        <f>AB629+O629*Escenarios!$E$13/Escenarios!$E$16+AE629</f>
        <v>0.25314689601312029</v>
      </c>
      <c r="AG629" s="76">
        <f>IF(Entradas!$E$91&gt;0,IF(AF629-Escenarios!$E$38&lt;=0,0,IF(AF629-Escenarios!$E$38&gt;Escenarios!$E$37,Escenarios!$E$37,AF629-Escenarios!$E$38)),0)</f>
        <v>0</v>
      </c>
      <c r="AH629" s="76">
        <f>AG629*Entradas!$E$99</f>
        <v>0</v>
      </c>
      <c r="AI629" s="76">
        <f>IF(Entradas!$E$91&gt;0,D629*Entradas!$D$23/Escenarios!$E$16,0)</f>
        <v>0</v>
      </c>
      <c r="AJ629" s="76">
        <f>IF(Entradas!$E$91&gt;0,Entradas!$D$24*Entradas!$D$22/Escenarios!$E$16,0)</f>
        <v>0</v>
      </c>
      <c r="AK629" s="76">
        <f t="shared" si="136"/>
        <v>0.39999664697013659</v>
      </c>
      <c r="AL629" s="76">
        <f t="shared" si="137"/>
        <v>0</v>
      </c>
      <c r="AM629" s="76">
        <f t="shared" si="128"/>
        <v>0</v>
      </c>
      <c r="AN629" s="76">
        <f>MAX(0,O629*Escenarios!$E$13/Escenarios!$E$16-AM629)</f>
        <v>2.4416252544159928E-3</v>
      </c>
      <c r="AO629" s="76">
        <f>AM629+AN629-O629*Escenarios!$E$13/Escenarios!$E$16</f>
        <v>0</v>
      </c>
      <c r="AP629" s="76">
        <f t="shared" si="126"/>
        <v>0.2507052707587043</v>
      </c>
      <c r="AQ629" s="76">
        <f t="shared" si="129"/>
        <v>0</v>
      </c>
      <c r="AR629" s="76">
        <f t="shared" si="130"/>
        <v>0.25314689601312029</v>
      </c>
      <c r="AS629" s="76">
        <f t="shared" si="131"/>
        <v>0</v>
      </c>
      <c r="AT629" s="76">
        <f t="shared" si="132"/>
        <v>0</v>
      </c>
      <c r="AU629" s="76">
        <f t="shared" si="133"/>
        <v>48.75</v>
      </c>
      <c r="AV629" s="76">
        <f>MAX(0,(AU629-Constantes!$D$13)*(1-EXP(-Constantes!$D$24)))</f>
        <v>0</v>
      </c>
      <c r="AW629" s="170">
        <f>AW628+(Entradas!$E$112*AT629-AX628)/(800*Entradas!$D$25)</f>
        <v>0</v>
      </c>
      <c r="AX629" s="170">
        <f>8000*Entradas!$D$26*AW629/Constantes!$E$45</f>
        <v>0</v>
      </c>
      <c r="AY629" s="170">
        <f>IF(Escenarios!$E$17&gt;0,10*Escenarios!$E$16*AL629,0)</f>
        <v>0</v>
      </c>
      <c r="AZ629" s="170">
        <f>IF(Escenarios!$E$17&gt;0,10*Escenarios!$E$16*AX629,0)</f>
        <v>0</v>
      </c>
      <c r="BA629" s="170">
        <f>IF(Escenarios!$E$17&gt;0,0.001*Observaciones!$F628*Escenarios!$E$17,0)</f>
        <v>10</v>
      </c>
      <c r="BB629" s="170">
        <f>IF(Escenarios!$E$17&gt;0,Observaciones!$K628,0)</f>
        <v>0</v>
      </c>
      <c r="BC629" s="170">
        <f>IF(Escenarios!$E$17&gt;0,MIN(0.0005*ETo!$M628*Escenarios!$E$17*(BG628/Constantes!$E$40)^(2/3),BG628+AY629+AZ629+BA629+BB629),0)</f>
        <v>1.3518653103596461</v>
      </c>
      <c r="BD629" s="170">
        <f>IF(Escenarios!$E$17&gt;0,MIN(Constantes!$E$39*(BG628/Constantes!$E$40)^(2/3),BG628+AY629+AZ629+BA629+BB629-BC629),0)</f>
        <v>2.5557928988401457</v>
      </c>
      <c r="BE629" s="170">
        <f>IF(Escenarios!$E$17&gt;0,MIN(Entradas!$E$113,BG628+AY629+AZ629+BA629+BB629-BC629-BD629),0)</f>
        <v>1</v>
      </c>
      <c r="BF629" s="170">
        <f>IF(Escenarios!$E$17&gt;0,MAX(0,BG628+AY629+AZ629+BA629+BB629-BC629-BD629-BE629-Constantes!$E$40),0)</f>
        <v>0</v>
      </c>
      <c r="BG629" s="170">
        <f t="shared" si="138"/>
        <v>43.160533625702527</v>
      </c>
      <c r="BH629" s="170">
        <f>(Escenarios!$E$16*AK629+0.1*BC629)/(Escenarios!$E$19)</f>
        <v>0.39735852489511947</v>
      </c>
      <c r="BI629" s="170">
        <f>IF(Escenarios!$E$17&gt;0,BF629/10/Escenarios!$E$19,AL629)</f>
        <v>0</v>
      </c>
      <c r="BJ629" s="170">
        <f>(Escenarios!$E$16*AT629+0.1*BD629)/(Escenarios!$E$19)</f>
        <v>1.0142035312857721E-3</v>
      </c>
      <c r="BK629" s="76">
        <f>BK628+(0.1*BD629)/(Escenarios!$E$19)-BL628</f>
        <v>49.78258509017153</v>
      </c>
      <c r="BL629" s="76">
        <f>MAX(0,(BK629-Constantes!$D$13)*(1-EXP(-Constantes!$D$23)))</f>
        <v>1.0174306836067239E-2</v>
      </c>
      <c r="BM629" s="76">
        <f t="shared" si="134"/>
        <v>0.26087957759477154</v>
      </c>
      <c r="BN629" s="76">
        <f t="shared" si="139"/>
        <v>0.26332120284918753</v>
      </c>
      <c r="BO629" s="76">
        <f>0.0526*BI629*Observaciones!$F628^1.218</f>
        <v>0</v>
      </c>
      <c r="BP629" s="76">
        <f>BO629*Constantes!$E$51</f>
        <v>0</v>
      </c>
      <c r="BQ629" s="76">
        <f t="shared" si="135"/>
        <v>0</v>
      </c>
      <c r="BR629" s="40"/>
    </row>
    <row r="630" spans="1:70">
      <c r="A630" s="147"/>
      <c r="B630" s="39"/>
      <c r="C630" s="75">
        <v>624</v>
      </c>
      <c r="D630" s="146">
        <f>ETo!$I629*((1-Constantes!$E$19)*ETo!$K629+ETo!$L629)</f>
        <v>3.8963257021301319</v>
      </c>
      <c r="E630" s="76">
        <f>MIN(D630*Constantes!$E$17,0.8*(N629+Observaciones!$F629-F630-M630-Constantes!$D$14))</f>
        <v>6.5162070092185331E-2</v>
      </c>
      <c r="F630" s="76">
        <f>IF(Observaciones!$F629&gt;0.05*Constantes!$E$18,((Observaciones!$F629-0.05*Constantes!$E$18)^2)/(Observaciones!$F629+0.95*Constantes!$E$18),0)</f>
        <v>0</v>
      </c>
      <c r="G630" s="76">
        <f>IF(Escenarios!$E$11&gt;0,(F630*Escenarios!$E$16*10000)/1000,0)</f>
        <v>0</v>
      </c>
      <c r="H630" s="76">
        <f>IF(Escenarios!$E$11&gt;0,(Observaciones!$F629*Constantes!$E$29)/1000,0)</f>
        <v>0</v>
      </c>
      <c r="I630" s="76">
        <f>IF(Escenarios!$E$11&gt;0,(D630*Constantes!$E$29)/1000,0)</f>
        <v>38.963257021301317</v>
      </c>
      <c r="J630" s="76">
        <f>IF(Escenarios!$E$11&gt;0,MAX(0,G630+H630-I630),0)</f>
        <v>0</v>
      </c>
      <c r="K630" s="76">
        <f>IF(Escenarios!$E$11&gt;0,IF(J630&gt;Constantes!$E$30,1000*((J630-Constantes!$E$30)/(Escenarios!$E$16*10000)),0),F630)</f>
        <v>0</v>
      </c>
      <c r="L630" s="76">
        <f>IF(Escenarios!$E$11&gt;0,I630*1000/Escenarios!$E$16/10000+E630,E630)</f>
        <v>8.0747372900705855E-2</v>
      </c>
      <c r="M630" s="76">
        <f>MAX(0,N629+Observaciones!$F629-K630-Constantes!$D$13)</f>
        <v>0</v>
      </c>
      <c r="N630" s="76">
        <f>N629+Observaciones!$F629-K630-L630-M630-O629</f>
        <v>11.24793064056178</v>
      </c>
      <c r="O630" s="76">
        <f>MAX(0,(N630-Constantes!$D$14)*(1-EXP(-Constantes!$D$22)))</f>
        <v>0</v>
      </c>
      <c r="P630" s="170">
        <f>P629+(Entradas!$E$83*M630-Q629)/(800*Entradas!$D$25)</f>
        <v>0</v>
      </c>
      <c r="Q630" s="170">
        <f>8000*Entradas!$D$26*P630/Constantes!$E$45</f>
        <v>0</v>
      </c>
      <c r="R630" s="170">
        <f>IF(Escenarios!$E$14&gt;0,K630*Escenarios!$E$13/Escenarios!$E$14,0)</f>
        <v>0</v>
      </c>
      <c r="S630" s="170">
        <f>IF(Escenarios!$E$14&gt;0,Q630*Escenarios!$E$13/Escenarios!$E$14,0)</f>
        <v>0</v>
      </c>
      <c r="T630" s="170">
        <f>IF(Escenarios!$E$14&gt;0,Observaciones!$I629,0)</f>
        <v>0</v>
      </c>
      <c r="U630" s="170">
        <f>IF(Escenarios!$E$14&gt;0,MAX(0,Constantes!$E$36/((Z629+R630+S630+T630+Observaciones!$F629)^2)+Entradas!$E$77),0)</f>
        <v>0</v>
      </c>
      <c r="V630" s="146">
        <f>IF(ETo!D629&gt;0,ETo!I629*((1-Entradas!$E$81)*ETo!K629+ETo!L629),0)</f>
        <v>3.549967721049434</v>
      </c>
      <c r="W630" s="170">
        <f>IF(Escenarios!$E$14&gt;0,MIN(V630*1,0.8*(Z629+R630+S630+T630+Observaciones!$F629-U630-Constantes!$E$35)),0)</f>
        <v>8.000000000000114E-2</v>
      </c>
      <c r="X630" s="170">
        <f>IF(Escenarios!$E$14&gt;0,Observaciones!$J629,0)</f>
        <v>0</v>
      </c>
      <c r="Y630" s="170">
        <f>IF(Escenarios!$E$14&gt;0,MAX(0,Z629+R630+S630+T630+Observaciones!$F629-U630-W630-X630-Constantes!$E$33),0)</f>
        <v>0</v>
      </c>
      <c r="Z630" s="170">
        <f>Z629+R630+S630+T630+Observaciones!$F629-U630-W630-Y630</f>
        <v>41.27</v>
      </c>
      <c r="AA630" s="170">
        <f>IF(Escenarios!$E$14&gt;0,(Escenarios!$E$13*L630+Escenarios!$E$14*W630)/(Escenarios!$E$16),L630)</f>
        <v>8.0657688152621296E-2</v>
      </c>
      <c r="AB630" s="170">
        <f>IF(Escenarios!$E$14&gt;0,(Escenarios!$E$14*Y630)/(Escenarios!$E$16),K630)</f>
        <v>0</v>
      </c>
      <c r="AC630" s="170">
        <f>IF(Escenarios!$E$14&gt;0,(Escenarios!$E$13*M630+Escenarios!$E$14*U630)/(Escenarios!$E$16),M630)</f>
        <v>0</v>
      </c>
      <c r="AD630" s="76">
        <f t="shared" si="127"/>
        <v>73.943241799439889</v>
      </c>
      <c r="AE630" s="76">
        <f>MAX(0,(AD630-Constantes!$D$13)*(1-EXP(-Constantes!$D$23)))</f>
        <v>0.24823501201257561</v>
      </c>
      <c r="AF630" s="76">
        <f>AB630+O630*Escenarios!$E$13/Escenarios!$E$16+AE630</f>
        <v>0.24823501201257561</v>
      </c>
      <c r="AG630" s="76">
        <f>IF(Entradas!$E$91&gt;0,IF(AF630-Escenarios!$E$38&lt;=0,0,IF(AF630-Escenarios!$E$38&gt;Escenarios!$E$37,Escenarios!$E$37,AF630-Escenarios!$E$38)),0)</f>
        <v>0</v>
      </c>
      <c r="AH630" s="76">
        <f>AG630*Entradas!$E$99</f>
        <v>0</v>
      </c>
      <c r="AI630" s="76">
        <f>IF(Entradas!$E$91&gt;0,D630*Entradas!$D$23/Escenarios!$E$16,0)</f>
        <v>0</v>
      </c>
      <c r="AJ630" s="76">
        <f>IF(Entradas!$E$91&gt;0,Entradas!$D$24*Entradas!$D$22/Escenarios!$E$16,0)</f>
        <v>0</v>
      </c>
      <c r="AK630" s="76">
        <f t="shared" si="136"/>
        <v>8.0657688152621296E-2</v>
      </c>
      <c r="AL630" s="76">
        <f t="shared" si="137"/>
        <v>0</v>
      </c>
      <c r="AM630" s="76">
        <f t="shared" si="128"/>
        <v>0</v>
      </c>
      <c r="AN630" s="76">
        <f>MAX(0,O630*Escenarios!$E$13/Escenarios!$E$16-AM630)</f>
        <v>0</v>
      </c>
      <c r="AO630" s="76">
        <f>AM630+AN630-O630*Escenarios!$E$13/Escenarios!$E$16</f>
        <v>0</v>
      </c>
      <c r="AP630" s="76">
        <f t="shared" si="126"/>
        <v>0.24823501201257561</v>
      </c>
      <c r="AQ630" s="76">
        <f t="shared" si="129"/>
        <v>0</v>
      </c>
      <c r="AR630" s="76">
        <f t="shared" si="130"/>
        <v>0.24823501201257561</v>
      </c>
      <c r="AS630" s="76">
        <f t="shared" si="131"/>
        <v>0</v>
      </c>
      <c r="AT630" s="76">
        <f t="shared" si="132"/>
        <v>0</v>
      </c>
      <c r="AU630" s="76">
        <f t="shared" si="133"/>
        <v>48.75</v>
      </c>
      <c r="AV630" s="76">
        <f>MAX(0,(AU630-Constantes!$D$13)*(1-EXP(-Constantes!$D$24)))</f>
        <v>0</v>
      </c>
      <c r="AW630" s="170">
        <f>AW629+(Entradas!$E$112*AT630-AX629)/(800*Entradas!$D$25)</f>
        <v>0</v>
      </c>
      <c r="AX630" s="170">
        <f>8000*Entradas!$D$26*AW630/Constantes!$E$45</f>
        <v>0</v>
      </c>
      <c r="AY630" s="170">
        <f>IF(Escenarios!$E$17&gt;0,10*Escenarios!$E$16*AL630,0)</f>
        <v>0</v>
      </c>
      <c r="AZ630" s="170">
        <f>IF(Escenarios!$E$17&gt;0,10*Escenarios!$E$16*AX630,0)</f>
        <v>0</v>
      </c>
      <c r="BA630" s="170">
        <f>IF(Escenarios!$E$17&gt;0,0.001*Observaciones!$F629*Escenarios!$E$17,0)</f>
        <v>0</v>
      </c>
      <c r="BB630" s="170">
        <f>IF(Escenarios!$E$17&gt;0,Observaciones!$K629,0)</f>
        <v>0</v>
      </c>
      <c r="BC630" s="170">
        <f>IF(Escenarios!$E$17&gt;0,MIN(0.0005*ETo!$M629*Escenarios!$E$17*(BG629/Constantes!$E$40)^(2/3),BG629+AY630+AZ630+BA630+BB630),0)</f>
        <v>1.5427602360996586</v>
      </c>
      <c r="BD630" s="170">
        <f>IF(Escenarios!$E$17&gt;0,MIN(Constantes!$E$39*(BG629/Constantes!$E$40)^(2/3),BG629+AY630+AZ630+BA630+BB630-BC630),0)</f>
        <v>2.7789156423465982</v>
      </c>
      <c r="BE630" s="170">
        <f>IF(Escenarios!$E$17&gt;0,MIN(Entradas!$E$113,BG629+AY630+AZ630+BA630+BB630-BC630-BD630),0)</f>
        <v>1</v>
      </c>
      <c r="BF630" s="170">
        <f>IF(Escenarios!$E$17&gt;0,MAX(0,BG629+AY630+AZ630+BA630+BB630-BC630-BD630-BE630-Constantes!$E$40),0)</f>
        <v>0</v>
      </c>
      <c r="BG630" s="170">
        <f t="shared" si="138"/>
        <v>37.83885774725627</v>
      </c>
      <c r="BH630" s="170">
        <f>(Escenarios!$E$16*AK630+0.1*BC630)/(Escenarios!$E$19)</f>
        <v>8.0629754213354318E-2</v>
      </c>
      <c r="BI630" s="170">
        <f>IF(Escenarios!$E$17&gt;0,BF630/10/Escenarios!$E$19,AL630)</f>
        <v>0</v>
      </c>
      <c r="BJ630" s="170">
        <f>(Escenarios!$E$16*AT630+0.1*BD630)/(Escenarios!$E$19)</f>
        <v>1.1027443025184913E-3</v>
      </c>
      <c r="BK630" s="76">
        <f>BK629+(0.1*BD630)/(Escenarios!$E$19)-BL629</f>
        <v>49.773513527637981</v>
      </c>
      <c r="BL630" s="76">
        <f>MAX(0,(BK630-Constantes!$D$13)*(1-EXP(-Constantes!$D$23)))</f>
        <v>1.0084922569746323E-2</v>
      </c>
      <c r="BM630" s="76">
        <f t="shared" si="134"/>
        <v>0.25831993458232194</v>
      </c>
      <c r="BN630" s="76">
        <f t="shared" si="139"/>
        <v>0.25831993458232194</v>
      </c>
      <c r="BO630" s="76">
        <f>0.0526*BI630*Observaciones!$F629^1.218</f>
        <v>0</v>
      </c>
      <c r="BP630" s="76">
        <f>BO630*Constantes!$E$51</f>
        <v>0</v>
      </c>
      <c r="BQ630" s="76">
        <f t="shared" si="135"/>
        <v>0</v>
      </c>
      <c r="BR630" s="40"/>
    </row>
    <row r="631" spans="1:70">
      <c r="A631" s="147"/>
      <c r="B631" s="39"/>
      <c r="C631" s="75">
        <v>625</v>
      </c>
      <c r="D631" s="146">
        <f>ETo!$I630*((1-Constantes!$E$19)*ETo!$K630+ETo!$L630)</f>
        <v>3.9160197647837025</v>
      </c>
      <c r="E631" s="76">
        <f>MIN(D631*Constantes!$E$17,0.8*(N630+Observaciones!$F630-F631-M631-Constantes!$D$14))</f>
        <v>-1.6554875505761402E-3</v>
      </c>
      <c r="F631" s="76">
        <f>IF(Observaciones!$F630&gt;0.05*Constantes!$E$18,((Observaciones!$F630-0.05*Constantes!$E$18)^2)/(Observaciones!$F630+0.95*Constantes!$E$18),0)</f>
        <v>0</v>
      </c>
      <c r="G631" s="76">
        <f>IF(Escenarios!$E$11&gt;0,(F631*Escenarios!$E$16*10000)/1000,0)</f>
        <v>0</v>
      </c>
      <c r="H631" s="76">
        <f>IF(Escenarios!$E$11&gt;0,(Observaciones!$F630*Constantes!$E$29)/1000,0)</f>
        <v>0</v>
      </c>
      <c r="I631" s="76">
        <f>IF(Escenarios!$E$11&gt;0,(D631*Constantes!$E$29)/1000,0)</f>
        <v>39.16019764783703</v>
      </c>
      <c r="J631" s="76">
        <f>IF(Escenarios!$E$11&gt;0,MAX(0,G631+H631-I631),0)</f>
        <v>0</v>
      </c>
      <c r="K631" s="76">
        <f>IF(Escenarios!$E$11&gt;0,IF(J631&gt;Constantes!$E$30,1000*((J631-Constantes!$E$30)/(Escenarios!$E$16*10000)),0),F631)</f>
        <v>0</v>
      </c>
      <c r="L631" s="76">
        <f>IF(Escenarios!$E$11&gt;0,I631*1000/Escenarios!$E$16/10000+E631,E631)</f>
        <v>1.4008591508558672E-2</v>
      </c>
      <c r="M631" s="76">
        <f>MAX(0,N630+Observaciones!$F630-K631-Constantes!$D$13)</f>
        <v>0</v>
      </c>
      <c r="N631" s="76">
        <f>N630+Observaciones!$F630-K631-L631-M631-O630</f>
        <v>11.233922049053222</v>
      </c>
      <c r="O631" s="76">
        <f>MAX(0,(N631-Constantes!$D$14)*(1-EXP(-Constantes!$D$22)))</f>
        <v>0</v>
      </c>
      <c r="P631" s="170">
        <f>P630+(Entradas!$E$83*M631-Q630)/(800*Entradas!$D$25)</f>
        <v>0</v>
      </c>
      <c r="Q631" s="170">
        <f>8000*Entradas!$D$26*P631/Constantes!$E$45</f>
        <v>0</v>
      </c>
      <c r="R631" s="170">
        <f>IF(Escenarios!$E$14&gt;0,K631*Escenarios!$E$13/Escenarios!$E$14,0)</f>
        <v>0</v>
      </c>
      <c r="S631" s="170">
        <f>IF(Escenarios!$E$14&gt;0,Q631*Escenarios!$E$13/Escenarios!$E$14,0)</f>
        <v>0</v>
      </c>
      <c r="T631" s="170">
        <f>IF(Escenarios!$E$14&gt;0,Observaciones!$I630,0)</f>
        <v>0</v>
      </c>
      <c r="U631" s="170">
        <f>IF(Escenarios!$E$14&gt;0,MAX(0,Constantes!$E$36/((Z630+R631+S631+T631+Observaciones!$F630)^2)+Entradas!$E$77),0)</f>
        <v>0</v>
      </c>
      <c r="V631" s="146">
        <f>IF(ETo!D630&gt;0,ETo!I630*((1-Entradas!$E$81)*ETo!K630+ETo!L630),0)</f>
        <v>3.5683564790004225</v>
      </c>
      <c r="W631" s="170">
        <f>IF(Escenarios!$E$14&gt;0,MIN(V631*1,0.8*(Z630+R631+S631+T631+Observaciones!$F630-U631-Constantes!$E$35)),0)</f>
        <v>1.6000000000002502E-2</v>
      </c>
      <c r="X631" s="170">
        <f>IF(Escenarios!$E$14&gt;0,Observaciones!$J630,0)</f>
        <v>0</v>
      </c>
      <c r="Y631" s="170">
        <f>IF(Escenarios!$E$14&gt;0,MAX(0,Z630+R631+S631+T631+Observaciones!$F630-U631-W631-X631-Constantes!$E$33),0)</f>
        <v>0</v>
      </c>
      <c r="Z631" s="170">
        <f>Z630+R631+S631+T631+Observaciones!$F630-U631-W631-Y631</f>
        <v>41.253999999999998</v>
      </c>
      <c r="AA631" s="170">
        <f>IF(Escenarios!$E$14&gt;0,(Escenarios!$E$13*L631+Escenarios!$E$14*W631)/(Escenarios!$E$16),L631)</f>
        <v>1.4247560527531931E-2</v>
      </c>
      <c r="AB631" s="170">
        <f>IF(Escenarios!$E$14&gt;0,(Escenarios!$E$14*Y631)/(Escenarios!$E$16),K631)</f>
        <v>0</v>
      </c>
      <c r="AC631" s="170">
        <f>IF(Escenarios!$E$14&gt;0,(Escenarios!$E$13*M631+Escenarios!$E$14*U631)/(Escenarios!$E$16),M631)</f>
        <v>0</v>
      </c>
      <c r="AD631" s="76">
        <f t="shared" si="127"/>
        <v>73.695006787427317</v>
      </c>
      <c r="AE631" s="76">
        <f>MAX(0,(AD631-Constantes!$D$13)*(1-EXP(-Constantes!$D$23)))</f>
        <v>0.24578909331424229</v>
      </c>
      <c r="AF631" s="76">
        <f>AB631+O631*Escenarios!$E$13/Escenarios!$E$16+AE631</f>
        <v>0.24578909331424229</v>
      </c>
      <c r="AG631" s="76">
        <f>IF(Entradas!$E$91&gt;0,IF(AF631-Escenarios!$E$38&lt;=0,0,IF(AF631-Escenarios!$E$38&gt;Escenarios!$E$37,Escenarios!$E$37,AF631-Escenarios!$E$38)),0)</f>
        <v>0</v>
      </c>
      <c r="AH631" s="76">
        <f>AG631*Entradas!$E$99</f>
        <v>0</v>
      </c>
      <c r="AI631" s="76">
        <f>IF(Entradas!$E$91&gt;0,D631*Entradas!$D$23/Escenarios!$E$16,0)</f>
        <v>0</v>
      </c>
      <c r="AJ631" s="76">
        <f>IF(Entradas!$E$91&gt;0,Entradas!$D$24*Entradas!$D$22/Escenarios!$E$16,0)</f>
        <v>0</v>
      </c>
      <c r="AK631" s="76">
        <f t="shared" si="136"/>
        <v>1.4247560527531931E-2</v>
      </c>
      <c r="AL631" s="76">
        <f t="shared" si="137"/>
        <v>0</v>
      </c>
      <c r="AM631" s="76">
        <f t="shared" si="128"/>
        <v>0</v>
      </c>
      <c r="AN631" s="76">
        <f>MAX(0,O631*Escenarios!$E$13/Escenarios!$E$16-AM631)</f>
        <v>0</v>
      </c>
      <c r="AO631" s="76">
        <f>AM631+AN631-O631*Escenarios!$E$13/Escenarios!$E$16</f>
        <v>0</v>
      </c>
      <c r="AP631" s="76">
        <f t="shared" si="126"/>
        <v>0.24578909331424229</v>
      </c>
      <c r="AQ631" s="76">
        <f t="shared" si="129"/>
        <v>0</v>
      </c>
      <c r="AR631" s="76">
        <f t="shared" si="130"/>
        <v>0.24578909331424229</v>
      </c>
      <c r="AS631" s="76">
        <f t="shared" si="131"/>
        <v>0</v>
      </c>
      <c r="AT631" s="76">
        <f t="shared" si="132"/>
        <v>0</v>
      </c>
      <c r="AU631" s="76">
        <f t="shared" si="133"/>
        <v>48.75</v>
      </c>
      <c r="AV631" s="76">
        <f>MAX(0,(AU631-Constantes!$D$13)*(1-EXP(-Constantes!$D$24)))</f>
        <v>0</v>
      </c>
      <c r="AW631" s="170">
        <f>AW630+(Entradas!$E$112*AT631-AX630)/(800*Entradas!$D$25)</f>
        <v>0</v>
      </c>
      <c r="AX631" s="170">
        <f>8000*Entradas!$D$26*AW631/Constantes!$E$45</f>
        <v>0</v>
      </c>
      <c r="AY631" s="170">
        <f>IF(Escenarios!$E$17&gt;0,10*Escenarios!$E$16*AL631,0)</f>
        <v>0</v>
      </c>
      <c r="AZ631" s="170">
        <f>IF(Escenarios!$E$17&gt;0,10*Escenarios!$E$16*AX631,0)</f>
        <v>0</v>
      </c>
      <c r="BA631" s="170">
        <f>IF(Escenarios!$E$17&gt;0,0.001*Observaciones!$F630*Escenarios!$E$17,0)</f>
        <v>0</v>
      </c>
      <c r="BB631" s="170">
        <f>IF(Escenarios!$E$17&gt;0,Observaciones!$K630,0)</f>
        <v>0</v>
      </c>
      <c r="BC631" s="170">
        <f>IF(Escenarios!$E$17&gt;0,MIN(0.0005*ETo!$M630*Escenarios!$E$17*(BG630/Constantes!$E$40)^(2/3),BG630+AY631+AZ631+BA631+BB631),0)</f>
        <v>1.4201057244449133</v>
      </c>
      <c r="BD631" s="170">
        <f>IF(Escenarios!$E$17&gt;0,MIN(Constantes!$E$39*(BG630/Constantes!$E$40)^(2/3),BG630+AY631+AZ631+BA631+BB631-BC631),0)</f>
        <v>2.5455179949619922</v>
      </c>
      <c r="BE631" s="170">
        <f>IF(Escenarios!$E$17&gt;0,MIN(Entradas!$E$113,BG630+AY631+AZ631+BA631+BB631-BC631-BD631),0)</f>
        <v>1</v>
      </c>
      <c r="BF631" s="170">
        <f>IF(Escenarios!$E$17&gt;0,MAX(0,BG630+AY631+AZ631+BA631+BB631-BC631-BD631-BE631-Constantes!$E$40),0)</f>
        <v>0</v>
      </c>
      <c r="BG631" s="170">
        <f t="shared" si="138"/>
        <v>32.873234027849364</v>
      </c>
      <c r="BH631" s="170">
        <f>(Escenarios!$E$16*AK631+0.1*BC631)/(Escenarios!$E$19)</f>
        <v>1.4698018667966167E-2</v>
      </c>
      <c r="BI631" s="170">
        <f>IF(Escenarios!$E$17&gt;0,BF631/10/Escenarios!$E$19,AL631)</f>
        <v>0</v>
      </c>
      <c r="BJ631" s="170">
        <f>(Escenarios!$E$16*AT631+0.1*BD631)/(Escenarios!$E$19)</f>
        <v>1.0101261884769811E-3</v>
      </c>
      <c r="BK631" s="76">
        <f>BK630+(0.1*BD631)/(Escenarios!$E$19)-BL630</f>
        <v>49.76443873125671</v>
      </c>
      <c r="BL631" s="76">
        <f>MAX(0,(BK631-Constantes!$D$13)*(1-EXP(-Constantes!$D$23)))</f>
        <v>9.9955064395535666E-3</v>
      </c>
      <c r="BM631" s="76">
        <f t="shared" si="134"/>
        <v>0.25578459975379586</v>
      </c>
      <c r="BN631" s="76">
        <f t="shared" si="139"/>
        <v>0.25578459975379586</v>
      </c>
      <c r="BO631" s="76">
        <f>0.0526*BI631*Observaciones!$F630^1.218</f>
        <v>0</v>
      </c>
      <c r="BP631" s="76">
        <f>BO631*Constantes!$E$51</f>
        <v>0</v>
      </c>
      <c r="BQ631" s="76">
        <f t="shared" si="135"/>
        <v>0</v>
      </c>
      <c r="BR631" s="40"/>
    </row>
    <row r="632" spans="1:70">
      <c r="A632" s="147"/>
      <c r="B632" s="39"/>
      <c r="C632" s="75">
        <v>626</v>
      </c>
      <c r="D632" s="146">
        <f>ETo!$I631*((1-Constantes!$E$19)*ETo!$K631+ETo!$L631)</f>
        <v>3.8777562311123139</v>
      </c>
      <c r="E632" s="76">
        <f>MIN(D632*Constantes!$E$17,0.8*(N631+Observaciones!$F631-F632-M632-Constantes!$D$14))</f>
        <v>-1.2862360757422664E-2</v>
      </c>
      <c r="F632" s="76">
        <f>IF(Observaciones!$F631&gt;0.05*Constantes!$E$18,((Observaciones!$F631-0.05*Constantes!$E$18)^2)/(Observaciones!$F631+0.95*Constantes!$E$18),0)</f>
        <v>0</v>
      </c>
      <c r="G632" s="76">
        <f>IF(Escenarios!$E$11&gt;0,(F632*Escenarios!$E$16*10000)/1000,0)</f>
        <v>0</v>
      </c>
      <c r="H632" s="76">
        <f>IF(Escenarios!$E$11&gt;0,(Observaciones!$F631*Constantes!$E$29)/1000,0)</f>
        <v>0</v>
      </c>
      <c r="I632" s="76">
        <f>IF(Escenarios!$E$11&gt;0,(D632*Constantes!$E$29)/1000,0)</f>
        <v>38.777562311123141</v>
      </c>
      <c r="J632" s="76">
        <f>IF(Escenarios!$E$11&gt;0,MAX(0,G632+H632-I632),0)</f>
        <v>0</v>
      </c>
      <c r="K632" s="76">
        <f>IF(Escenarios!$E$11&gt;0,IF(J632&gt;Constantes!$E$30,1000*((J632-Constantes!$E$30)/(Escenarios!$E$16*10000)),0),F632)</f>
        <v>0</v>
      </c>
      <c r="L632" s="76">
        <f>IF(Escenarios!$E$11&gt;0,I632*1000/Escenarios!$E$16/10000+E632,E632)</f>
        <v>2.6486641670265924E-3</v>
      </c>
      <c r="M632" s="76">
        <f>MAX(0,N631+Observaciones!$F631-K632-Constantes!$D$13)</f>
        <v>0</v>
      </c>
      <c r="N632" s="76">
        <f>N631+Observaciones!$F631-K632-L632-M632-O631</f>
        <v>11.231273384886196</v>
      </c>
      <c r="O632" s="76">
        <f>MAX(0,(N632-Constantes!$D$14)*(1-EXP(-Constantes!$D$22)))</f>
        <v>0</v>
      </c>
      <c r="P632" s="170">
        <f>P631+(Entradas!$E$83*M632-Q631)/(800*Entradas!$D$25)</f>
        <v>0</v>
      </c>
      <c r="Q632" s="170">
        <f>8000*Entradas!$D$26*P632/Constantes!$E$45</f>
        <v>0</v>
      </c>
      <c r="R632" s="170">
        <f>IF(Escenarios!$E$14&gt;0,K632*Escenarios!$E$13/Escenarios!$E$14,0)</f>
        <v>0</v>
      </c>
      <c r="S632" s="170">
        <f>IF(Escenarios!$E$14&gt;0,Q632*Escenarios!$E$13/Escenarios!$E$14,0)</f>
        <v>0</v>
      </c>
      <c r="T632" s="170">
        <f>IF(Escenarios!$E$14&gt;0,Observaciones!$I631,0)</f>
        <v>0</v>
      </c>
      <c r="U632" s="170">
        <f>IF(Escenarios!$E$14&gt;0,MAX(0,Constantes!$E$36/((Z631+R632+S632+T632+Observaciones!$F631)^2)+Entradas!$E$77),0)</f>
        <v>0</v>
      </c>
      <c r="V632" s="146">
        <f>IF(ETo!D631&gt;0,ETo!I631*((1-Entradas!$E$81)*ETo!K631+ETo!L631),0)</f>
        <v>3.5332321741319128</v>
      </c>
      <c r="W632" s="170">
        <f>IF(Escenarios!$E$14&gt;0,MIN(V632*1,0.8*(Z631+R632+S632+T632+Observaciones!$F631-U632-Constantes!$E$35)),0)</f>
        <v>3.1999999999982268E-3</v>
      </c>
      <c r="X632" s="170">
        <f>IF(Escenarios!$E$14&gt;0,Observaciones!$J631,0)</f>
        <v>0</v>
      </c>
      <c r="Y632" s="170">
        <f>IF(Escenarios!$E$14&gt;0,MAX(0,Z631+R632+S632+T632+Observaciones!$F631-U632-W632-X632-Constantes!$E$33),0)</f>
        <v>0</v>
      </c>
      <c r="Z632" s="170">
        <f>Z631+R632+S632+T632+Observaciones!$F631-U632-W632-Y632</f>
        <v>41.250799999999998</v>
      </c>
      <c r="AA632" s="170">
        <f>IF(Escenarios!$E$14&gt;0,(Escenarios!$E$13*L632+Escenarios!$E$14*W632)/(Escenarios!$E$16),L632)</f>
        <v>2.7148244669831889E-3</v>
      </c>
      <c r="AB632" s="170">
        <f>IF(Escenarios!$E$14&gt;0,(Escenarios!$E$14*Y632)/(Escenarios!$E$16),K632)</f>
        <v>0</v>
      </c>
      <c r="AC632" s="170">
        <f>IF(Escenarios!$E$14&gt;0,(Escenarios!$E$13*M632+Escenarios!$E$14*U632)/(Escenarios!$E$16),M632)</f>
        <v>0</v>
      </c>
      <c r="AD632" s="76">
        <f t="shared" si="127"/>
        <v>73.449217694113074</v>
      </c>
      <c r="AE632" s="76">
        <f>MAX(0,(AD632-Constantes!$D$13)*(1-EXP(-Constantes!$D$23)))</f>
        <v>0.24336727483541604</v>
      </c>
      <c r="AF632" s="76">
        <f>AB632+O632*Escenarios!$E$13/Escenarios!$E$16+AE632</f>
        <v>0.24336727483541604</v>
      </c>
      <c r="AG632" s="76">
        <f>IF(Entradas!$E$91&gt;0,IF(AF632-Escenarios!$E$38&lt;=0,0,IF(AF632-Escenarios!$E$38&gt;Escenarios!$E$37,Escenarios!$E$37,AF632-Escenarios!$E$38)),0)</f>
        <v>0</v>
      </c>
      <c r="AH632" s="76">
        <f>AG632*Entradas!$E$99</f>
        <v>0</v>
      </c>
      <c r="AI632" s="76">
        <f>IF(Entradas!$E$91&gt;0,D632*Entradas!$D$23/Escenarios!$E$16,0)</f>
        <v>0</v>
      </c>
      <c r="AJ632" s="76">
        <f>IF(Entradas!$E$91&gt;0,Entradas!$D$24*Entradas!$D$22/Escenarios!$E$16,0)</f>
        <v>0</v>
      </c>
      <c r="AK632" s="76">
        <f t="shared" si="136"/>
        <v>2.7148244669831889E-3</v>
      </c>
      <c r="AL632" s="76">
        <f t="shared" si="137"/>
        <v>0</v>
      </c>
      <c r="AM632" s="76">
        <f t="shared" si="128"/>
        <v>0</v>
      </c>
      <c r="AN632" s="76">
        <f>MAX(0,O632*Escenarios!$E$13/Escenarios!$E$16-AM632)</f>
        <v>0</v>
      </c>
      <c r="AO632" s="76">
        <f>AM632+AN632-O632*Escenarios!$E$13/Escenarios!$E$16</f>
        <v>0</v>
      </c>
      <c r="AP632" s="76">
        <f t="shared" si="126"/>
        <v>0.24336727483541604</v>
      </c>
      <c r="AQ632" s="76">
        <f t="shared" si="129"/>
        <v>0</v>
      </c>
      <c r="AR632" s="76">
        <f t="shared" si="130"/>
        <v>0.24336727483541604</v>
      </c>
      <c r="AS632" s="76">
        <f t="shared" si="131"/>
        <v>0</v>
      </c>
      <c r="AT632" s="76">
        <f t="shared" si="132"/>
        <v>0</v>
      </c>
      <c r="AU632" s="76">
        <f t="shared" si="133"/>
        <v>48.75</v>
      </c>
      <c r="AV632" s="76">
        <f>MAX(0,(AU632-Constantes!$D$13)*(1-EXP(-Constantes!$D$24)))</f>
        <v>0</v>
      </c>
      <c r="AW632" s="170">
        <f>AW631+(Entradas!$E$112*AT632-AX631)/(800*Entradas!$D$25)</f>
        <v>0</v>
      </c>
      <c r="AX632" s="170">
        <f>8000*Entradas!$D$26*AW632/Constantes!$E$45</f>
        <v>0</v>
      </c>
      <c r="AY632" s="170">
        <f>IF(Escenarios!$E$17&gt;0,10*Escenarios!$E$16*AL632,0)</f>
        <v>0</v>
      </c>
      <c r="AZ632" s="170">
        <f>IF(Escenarios!$E$17&gt;0,10*Escenarios!$E$16*AX632,0)</f>
        <v>0</v>
      </c>
      <c r="BA632" s="170">
        <f>IF(Escenarios!$E$17&gt;0,0.001*Observaciones!$F631*Escenarios!$E$17,0)</f>
        <v>0</v>
      </c>
      <c r="BB632" s="170">
        <f>IF(Escenarios!$E$17&gt;0,Observaciones!$K631,0)</f>
        <v>0</v>
      </c>
      <c r="BC632" s="170">
        <f>IF(Escenarios!$E$17&gt;0,MIN(0.0005*ETo!$M631*Escenarios!$E$17*(BG631/Constantes!$E$40)^(2/3),BG631+AY632+AZ632+BA632+BB632),0)</f>
        <v>1.2804592967196857</v>
      </c>
      <c r="BD632" s="170">
        <f>IF(Escenarios!$E$17&gt;0,MIN(Constantes!$E$39*(BG631/Constantes!$E$40)^(2/3),BG631+AY632+AZ632+BA632+BB632-BC632),0)</f>
        <v>2.3176389486835056</v>
      </c>
      <c r="BE632" s="170">
        <f>IF(Escenarios!$E$17&gt;0,MIN(Entradas!$E$113,BG631+AY632+AZ632+BA632+BB632-BC632-BD632),0)</f>
        <v>1</v>
      </c>
      <c r="BF632" s="170">
        <f>IF(Escenarios!$E$17&gt;0,MAX(0,BG631+AY632+AZ632+BA632+BB632-BC632-BD632-BE632-Constantes!$E$40),0)</f>
        <v>0</v>
      </c>
      <c r="BG632" s="170">
        <f t="shared" si="138"/>
        <v>28.275135782446174</v>
      </c>
      <c r="BH632" s="170">
        <f>(Escenarios!$E$16*AK632+0.1*BC632)/(Escenarios!$E$19)</f>
        <v>3.2013970095943088E-3</v>
      </c>
      <c r="BI632" s="170">
        <f>IF(Escenarios!$E$17&gt;0,BF632/10/Escenarios!$E$19,AL632)</f>
        <v>0</v>
      </c>
      <c r="BJ632" s="170">
        <f>(Escenarios!$E$16*AT632+0.1*BD632)/(Escenarios!$E$19)</f>
        <v>9.1969799550932767E-4</v>
      </c>
      <c r="BK632" s="76">
        <f>BK631+(0.1*BD632)/(Escenarios!$E$19)-BL631</f>
        <v>49.755362922812665</v>
      </c>
      <c r="BL632" s="76">
        <f>MAX(0,(BK632-Constantes!$D$13)*(1-EXP(-Constantes!$D$23)))</f>
        <v>9.9060803372652342E-3</v>
      </c>
      <c r="BM632" s="76">
        <f t="shared" si="134"/>
        <v>0.25327335517268129</v>
      </c>
      <c r="BN632" s="76">
        <f t="shared" si="139"/>
        <v>0.25327335517268129</v>
      </c>
      <c r="BO632" s="76">
        <f>0.0526*BI632*Observaciones!$F631^1.218</f>
        <v>0</v>
      </c>
      <c r="BP632" s="76">
        <f>BO632*Constantes!$E$51</f>
        <v>0</v>
      </c>
      <c r="BQ632" s="76">
        <f t="shared" si="135"/>
        <v>0</v>
      </c>
      <c r="BR632" s="40"/>
    </row>
    <row r="633" spans="1:70">
      <c r="A633" s="147"/>
      <c r="B633" s="39"/>
      <c r="C633" s="75">
        <v>627</v>
      </c>
      <c r="D633" s="146">
        <f>ETo!$I632*((1-Constantes!$E$19)*ETo!$K632+ETo!$L632)</f>
        <v>3.9920900968534561</v>
      </c>
      <c r="E633" s="76">
        <f>MIN(D633*Constantes!$E$17,0.8*(N632+Observaciones!$F632-F633-M633-Constantes!$D$14))</f>
        <v>-1.4981292091043485E-2</v>
      </c>
      <c r="F633" s="76">
        <f>IF(Observaciones!$F632&gt;0.05*Constantes!$E$18,((Observaciones!$F632-0.05*Constantes!$E$18)^2)/(Observaciones!$F632+0.95*Constantes!$E$18),0)</f>
        <v>0</v>
      </c>
      <c r="G633" s="76">
        <f>IF(Escenarios!$E$11&gt;0,(F633*Escenarios!$E$16*10000)/1000,0)</f>
        <v>0</v>
      </c>
      <c r="H633" s="76">
        <f>IF(Escenarios!$E$11&gt;0,(Observaciones!$F632*Constantes!$E$29)/1000,0)</f>
        <v>0</v>
      </c>
      <c r="I633" s="76">
        <f>IF(Escenarios!$E$11&gt;0,(D633*Constantes!$E$29)/1000,0)</f>
        <v>39.920900968534561</v>
      </c>
      <c r="J633" s="76">
        <f>IF(Escenarios!$E$11&gt;0,MAX(0,G633+H633-I633),0)</f>
        <v>0</v>
      </c>
      <c r="K633" s="76">
        <f>IF(Escenarios!$E$11&gt;0,IF(J633&gt;Constantes!$E$30,1000*((J633-Constantes!$E$30)/(Escenarios!$E$16*10000)),0),F633)</f>
        <v>0</v>
      </c>
      <c r="L633" s="76">
        <f>IF(Escenarios!$E$11&gt;0,I633*1000/Escenarios!$E$16/10000+E633,E633)</f>
        <v>9.8706829637033866E-4</v>
      </c>
      <c r="M633" s="76">
        <f>MAX(0,N632+Observaciones!$F632-K633-Constantes!$D$13)</f>
        <v>0</v>
      </c>
      <c r="N633" s="76">
        <f>N632+Observaciones!$F632-K633-L633-M633-O632</f>
        <v>11.230286316589826</v>
      </c>
      <c r="O633" s="76">
        <f>MAX(0,(N633-Constantes!$D$14)*(1-EXP(-Constantes!$D$22)))</f>
        <v>0</v>
      </c>
      <c r="P633" s="170">
        <f>P632+(Entradas!$E$83*M633-Q632)/(800*Entradas!$D$25)</f>
        <v>0</v>
      </c>
      <c r="Q633" s="170">
        <f>8000*Entradas!$D$26*P633/Constantes!$E$45</f>
        <v>0</v>
      </c>
      <c r="R633" s="170">
        <f>IF(Escenarios!$E$14&gt;0,K633*Escenarios!$E$13/Escenarios!$E$14,0)</f>
        <v>0</v>
      </c>
      <c r="S633" s="170">
        <f>IF(Escenarios!$E$14&gt;0,Q633*Escenarios!$E$13/Escenarios!$E$14,0)</f>
        <v>0</v>
      </c>
      <c r="T633" s="170">
        <f>IF(Escenarios!$E$14&gt;0,Observaciones!$I632,0)</f>
        <v>0</v>
      </c>
      <c r="U633" s="170">
        <f>IF(Escenarios!$E$14&gt;0,MAX(0,Constantes!$E$36/((Z632+R633+S633+T633+Observaciones!$F632)^2)+Entradas!$E$77),0)</f>
        <v>0</v>
      </c>
      <c r="V633" s="146">
        <f>IF(ETo!D632&gt;0,ETo!I632*((1-Entradas!$E$81)*ETo!K632+ETo!L632),0)</f>
        <v>3.6390482783666918</v>
      </c>
      <c r="W633" s="170">
        <f>IF(Escenarios!$E$14&gt;0,MIN(V633*1,0.8*(Z632+R633+S633+T633+Observaciones!$F632-U633-Constantes!$E$35)),0)</f>
        <v>6.3999999999850852E-4</v>
      </c>
      <c r="X633" s="170">
        <f>IF(Escenarios!$E$14&gt;0,Observaciones!$J632,0)</f>
        <v>0</v>
      </c>
      <c r="Y633" s="170">
        <f>IF(Escenarios!$E$14&gt;0,MAX(0,Z632+R633+S633+T633+Observaciones!$F632-U633-W633-X633-Constantes!$E$33),0)</f>
        <v>0</v>
      </c>
      <c r="Z633" s="170">
        <f>Z632+R633+S633+T633+Observaciones!$F632-U633-W633-Y633</f>
        <v>41.250160000000001</v>
      </c>
      <c r="AA633" s="170">
        <f>IF(Escenarios!$E$14&gt;0,(Escenarios!$E$13*L633+Escenarios!$E$14*W633)/(Escenarios!$E$16),L633)</f>
        <v>9.4542010080571901E-4</v>
      </c>
      <c r="AB633" s="170">
        <f>IF(Escenarios!$E$14&gt;0,(Escenarios!$E$14*Y633)/(Escenarios!$E$16),K633)</f>
        <v>0</v>
      </c>
      <c r="AC633" s="170">
        <f>IF(Escenarios!$E$14&gt;0,(Escenarios!$E$13*M633+Escenarios!$E$14*U633)/(Escenarios!$E$16),M633)</f>
        <v>0</v>
      </c>
      <c r="AD633" s="76">
        <f t="shared" si="127"/>
        <v>73.205850419277652</v>
      </c>
      <c r="AE633" s="76">
        <f>MAX(0,(AD633-Constantes!$D$13)*(1-EXP(-Constantes!$D$23)))</f>
        <v>0.24096931911089384</v>
      </c>
      <c r="AF633" s="76">
        <f>AB633+O633*Escenarios!$E$13/Escenarios!$E$16+AE633</f>
        <v>0.24096931911089384</v>
      </c>
      <c r="AG633" s="76">
        <f>IF(Entradas!$E$91&gt;0,IF(AF633-Escenarios!$E$38&lt;=0,0,IF(AF633-Escenarios!$E$38&gt;Escenarios!$E$37,Escenarios!$E$37,AF633-Escenarios!$E$38)),0)</f>
        <v>0</v>
      </c>
      <c r="AH633" s="76">
        <f>AG633*Entradas!$E$99</f>
        <v>0</v>
      </c>
      <c r="AI633" s="76">
        <f>IF(Entradas!$E$91&gt;0,D633*Entradas!$D$23/Escenarios!$E$16,0)</f>
        <v>0</v>
      </c>
      <c r="AJ633" s="76">
        <f>IF(Entradas!$E$91&gt;0,Entradas!$D$24*Entradas!$D$22/Escenarios!$E$16,0)</f>
        <v>0</v>
      </c>
      <c r="AK633" s="76">
        <f t="shared" si="136"/>
        <v>9.4542010080571901E-4</v>
      </c>
      <c r="AL633" s="76">
        <f t="shared" si="137"/>
        <v>0</v>
      </c>
      <c r="AM633" s="76">
        <f t="shared" si="128"/>
        <v>0</v>
      </c>
      <c r="AN633" s="76">
        <f>MAX(0,O633*Escenarios!$E$13/Escenarios!$E$16-AM633)</f>
        <v>0</v>
      </c>
      <c r="AO633" s="76">
        <f>AM633+AN633-O633*Escenarios!$E$13/Escenarios!$E$16</f>
        <v>0</v>
      </c>
      <c r="AP633" s="76">
        <f t="shared" si="126"/>
        <v>0.24096931911089384</v>
      </c>
      <c r="AQ633" s="76">
        <f t="shared" si="129"/>
        <v>0</v>
      </c>
      <c r="AR633" s="76">
        <f t="shared" si="130"/>
        <v>0.24096931911089384</v>
      </c>
      <c r="AS633" s="76">
        <f t="shared" si="131"/>
        <v>0</v>
      </c>
      <c r="AT633" s="76">
        <f t="shared" si="132"/>
        <v>0</v>
      </c>
      <c r="AU633" s="76">
        <f t="shared" si="133"/>
        <v>48.75</v>
      </c>
      <c r="AV633" s="76">
        <f>MAX(0,(AU633-Constantes!$D$13)*(1-EXP(-Constantes!$D$24)))</f>
        <v>0</v>
      </c>
      <c r="AW633" s="170">
        <f>AW632+(Entradas!$E$112*AT633-AX632)/(800*Entradas!$D$25)</f>
        <v>0</v>
      </c>
      <c r="AX633" s="170">
        <f>8000*Entradas!$D$26*AW633/Constantes!$E$45</f>
        <v>0</v>
      </c>
      <c r="AY633" s="170">
        <f>IF(Escenarios!$E$17&gt;0,10*Escenarios!$E$16*AL633,0)</f>
        <v>0</v>
      </c>
      <c r="AZ633" s="170">
        <f>IF(Escenarios!$E$17&gt;0,10*Escenarios!$E$16*AX633,0)</f>
        <v>0</v>
      </c>
      <c r="BA633" s="170">
        <f>IF(Escenarios!$E$17&gt;0,0.001*Observaciones!$F632*Escenarios!$E$17,0)</f>
        <v>0</v>
      </c>
      <c r="BB633" s="170">
        <f>IF(Escenarios!$E$17&gt;0,Observaciones!$K632,0)</f>
        <v>0</v>
      </c>
      <c r="BC633" s="170">
        <f>IF(Escenarios!$E$17&gt;0,MIN(0.0005*ETo!$M632*Escenarios!$E$17*(BG632/Constantes!$E$40)^(2/3),BG632+AY633+AZ633+BA633+BB633),0)</f>
        <v>1.1915548035557491</v>
      </c>
      <c r="BD633" s="170">
        <f>IF(Escenarios!$E$17&gt;0,MIN(Constantes!$E$39*(BG632/Constantes!$E$40)^(2/3),BG632+AY633+AZ633+BA633+BB633-BC633),0)</f>
        <v>2.0961416422005907</v>
      </c>
      <c r="BE633" s="170">
        <f>IF(Escenarios!$E$17&gt;0,MIN(Entradas!$E$113,BG632+AY633+AZ633+BA633+BB633-BC633-BD633),0)</f>
        <v>1</v>
      </c>
      <c r="BF633" s="170">
        <f>IF(Escenarios!$E$17&gt;0,MAX(0,BG632+AY633+AZ633+BA633+BB633-BC633-BD633-BE633-Constantes!$E$40),0)</f>
        <v>0</v>
      </c>
      <c r="BG633" s="170">
        <f t="shared" si="138"/>
        <v>23.987439336689832</v>
      </c>
      <c r="BH633" s="170">
        <f>(Escenarios!$E$16*AK633+0.1*BC633)/(Escenarios!$E$19)</f>
        <v>1.4107559744325584E-3</v>
      </c>
      <c r="BI633" s="170">
        <f>IF(Escenarios!$E$17&gt;0,BF633/10/Escenarios!$E$19,AL633)</f>
        <v>0</v>
      </c>
      <c r="BJ633" s="170">
        <f>(Escenarios!$E$16*AT633+0.1*BD633)/(Escenarios!$E$19)</f>
        <v>8.3180223896848842E-4</v>
      </c>
      <c r="BK633" s="76">
        <f>BK632+(0.1*BD633)/(Escenarios!$E$19)-BL632</f>
        <v>49.746288644714369</v>
      </c>
      <c r="BL633" s="76">
        <f>MAX(0,(BK633-Constantes!$D$13)*(1-EXP(-Constantes!$D$23)))</f>
        <v>9.816669313838065E-3</v>
      </c>
      <c r="BM633" s="76">
        <f t="shared" si="134"/>
        <v>0.25078598842473188</v>
      </c>
      <c r="BN633" s="76">
        <f t="shared" si="139"/>
        <v>0.25078598842473188</v>
      </c>
      <c r="BO633" s="76">
        <f>0.0526*BI633*Observaciones!$F632^1.218</f>
        <v>0</v>
      </c>
      <c r="BP633" s="76">
        <f>BO633*Constantes!$E$51</f>
        <v>0</v>
      </c>
      <c r="BQ633" s="76">
        <f t="shared" si="135"/>
        <v>0</v>
      </c>
      <c r="BR633" s="40"/>
    </row>
    <row r="634" spans="1:70">
      <c r="A634" s="147"/>
      <c r="B634" s="39"/>
      <c r="C634" s="75">
        <v>628</v>
      </c>
      <c r="D634" s="146">
        <f>ETo!$I633*((1-Constantes!$E$19)*ETo!$K633+ETo!$L633)</f>
        <v>4.0862477228186007</v>
      </c>
      <c r="E634" s="76">
        <f>MIN(D634*Constantes!$E$17,0.8*(N633+Observaciones!$F633-F634-M634-Constantes!$D$14))</f>
        <v>-1.5770946728139279E-2</v>
      </c>
      <c r="F634" s="76">
        <f>IF(Observaciones!$F633&gt;0.05*Constantes!$E$18,((Observaciones!$F633-0.05*Constantes!$E$18)^2)/(Observaciones!$F633+0.95*Constantes!$E$18),0)</f>
        <v>0</v>
      </c>
      <c r="G634" s="76">
        <f>IF(Escenarios!$E$11&gt;0,(F634*Escenarios!$E$16*10000)/1000,0)</f>
        <v>0</v>
      </c>
      <c r="H634" s="76">
        <f>IF(Escenarios!$E$11&gt;0,(Observaciones!$F633*Constantes!$E$29)/1000,0)</f>
        <v>0</v>
      </c>
      <c r="I634" s="76">
        <f>IF(Escenarios!$E$11&gt;0,(D634*Constantes!$E$29)/1000,0)</f>
        <v>40.862477228186009</v>
      </c>
      <c r="J634" s="76">
        <f>IF(Escenarios!$E$11&gt;0,MAX(0,G634+H634-I634),0)</f>
        <v>0</v>
      </c>
      <c r="K634" s="76">
        <f>IF(Escenarios!$E$11&gt;0,IF(J634&gt;Constantes!$E$30,1000*((J634-Constantes!$E$30)/(Escenarios!$E$16*10000)),0),F634)</f>
        <v>0</v>
      </c>
      <c r="L634" s="76">
        <f>IF(Escenarios!$E$11&gt;0,I634*1000/Escenarios!$E$16/10000+E634,E634)</f>
        <v>5.7404416313512618E-4</v>
      </c>
      <c r="M634" s="76">
        <f>MAX(0,N633+Observaciones!$F633-K634-Constantes!$D$13)</f>
        <v>0</v>
      </c>
      <c r="N634" s="76">
        <f>N633+Observaciones!$F633-K634-L634-M634-O633</f>
        <v>11.22971227242669</v>
      </c>
      <c r="O634" s="76">
        <f>MAX(0,(N634-Constantes!$D$14)*(1-EXP(-Constantes!$D$22)))</f>
        <v>0</v>
      </c>
      <c r="P634" s="170">
        <f>P633+(Entradas!$E$83*M634-Q633)/(800*Entradas!$D$25)</f>
        <v>0</v>
      </c>
      <c r="Q634" s="170">
        <f>8000*Entradas!$D$26*P634/Constantes!$E$45</f>
        <v>0</v>
      </c>
      <c r="R634" s="170">
        <f>IF(Escenarios!$E$14&gt;0,K634*Escenarios!$E$13/Escenarios!$E$14,0)</f>
        <v>0</v>
      </c>
      <c r="S634" s="170">
        <f>IF(Escenarios!$E$14&gt;0,Q634*Escenarios!$E$13/Escenarios!$E$14,0)</f>
        <v>0</v>
      </c>
      <c r="T634" s="170">
        <f>IF(Escenarios!$E$14&gt;0,Observaciones!$I633,0)</f>
        <v>0</v>
      </c>
      <c r="U634" s="170">
        <f>IF(Escenarios!$E$14&gt;0,MAX(0,Constantes!$E$36/((Z633+R634+S634+T634+Observaciones!$F633)^2)+Entradas!$E$77),0)</f>
        <v>0</v>
      </c>
      <c r="V634" s="146">
        <f>IF(ETo!D633&gt;0,ETo!I633*((1-Entradas!$E$81)*ETo!K633+ETo!L633),0)</f>
        <v>3.7264180171208046</v>
      </c>
      <c r="W634" s="170">
        <f>IF(Escenarios!$E$14&gt;0,MIN(V634*1,0.8*(Z633+R634+S634+T634+Observaciones!$F633-U634-Constantes!$E$35)),0)</f>
        <v>1.2800000000083857E-4</v>
      </c>
      <c r="X634" s="170">
        <f>IF(Escenarios!$E$14&gt;0,Observaciones!$J633,0)</f>
        <v>0</v>
      </c>
      <c r="Y634" s="170">
        <f>IF(Escenarios!$E$14&gt;0,MAX(0,Z633+R634+S634+T634+Observaciones!$F633-U634-W634-X634-Constantes!$E$33),0)</f>
        <v>0</v>
      </c>
      <c r="Z634" s="170">
        <f>Z633+R634+S634+T634+Observaciones!$F633-U634-W634-Y634</f>
        <v>41.250031999999997</v>
      </c>
      <c r="AA634" s="170">
        <f>IF(Escenarios!$E$14&gt;0,(Escenarios!$E$13*L634+Escenarios!$E$14*W634)/(Escenarios!$E$16),L634)</f>
        <v>5.2051886355901171E-4</v>
      </c>
      <c r="AB634" s="170">
        <f>IF(Escenarios!$E$14&gt;0,(Escenarios!$E$14*Y634)/(Escenarios!$E$16),K634)</f>
        <v>0</v>
      </c>
      <c r="AC634" s="170">
        <f>IF(Escenarios!$E$14&gt;0,(Escenarios!$E$13*M634+Escenarios!$E$14*U634)/(Escenarios!$E$16),M634)</f>
        <v>0</v>
      </c>
      <c r="AD634" s="76">
        <f t="shared" si="127"/>
        <v>72.964881100166764</v>
      </c>
      <c r="AE634" s="76">
        <f>MAX(0,(AD634-Constantes!$D$13)*(1-EXP(-Constantes!$D$23)))</f>
        <v>0.23859499101527404</v>
      </c>
      <c r="AF634" s="76">
        <f>AB634+O634*Escenarios!$E$13/Escenarios!$E$16+AE634</f>
        <v>0.23859499101527404</v>
      </c>
      <c r="AG634" s="76">
        <f>IF(Entradas!$E$91&gt;0,IF(AF634-Escenarios!$E$38&lt;=0,0,IF(AF634-Escenarios!$E$38&gt;Escenarios!$E$37,Escenarios!$E$37,AF634-Escenarios!$E$38)),0)</f>
        <v>0</v>
      </c>
      <c r="AH634" s="76">
        <f>AG634*Entradas!$E$99</f>
        <v>0</v>
      </c>
      <c r="AI634" s="76">
        <f>IF(Entradas!$E$91&gt;0,D634*Entradas!$D$23/Escenarios!$E$16,0)</f>
        <v>0</v>
      </c>
      <c r="AJ634" s="76">
        <f>IF(Entradas!$E$91&gt;0,Entradas!$D$24*Entradas!$D$22/Escenarios!$E$16,0)</f>
        <v>0</v>
      </c>
      <c r="AK634" s="76">
        <f t="shared" si="136"/>
        <v>5.2051886355901171E-4</v>
      </c>
      <c r="AL634" s="76">
        <f t="shared" si="137"/>
        <v>0</v>
      </c>
      <c r="AM634" s="76">
        <f t="shared" si="128"/>
        <v>0</v>
      </c>
      <c r="AN634" s="76">
        <f>MAX(0,O634*Escenarios!$E$13/Escenarios!$E$16-AM634)</f>
        <v>0</v>
      </c>
      <c r="AO634" s="76">
        <f>AM634+AN634-O634*Escenarios!$E$13/Escenarios!$E$16</f>
        <v>0</v>
      </c>
      <c r="AP634" s="76">
        <f t="shared" si="126"/>
        <v>0.23859499101527404</v>
      </c>
      <c r="AQ634" s="76">
        <f t="shared" si="129"/>
        <v>0</v>
      </c>
      <c r="AR634" s="76">
        <f t="shared" si="130"/>
        <v>0.23859499101527404</v>
      </c>
      <c r="AS634" s="76">
        <f t="shared" si="131"/>
        <v>0</v>
      </c>
      <c r="AT634" s="76">
        <f t="shared" si="132"/>
        <v>0</v>
      </c>
      <c r="AU634" s="76">
        <f t="shared" si="133"/>
        <v>48.75</v>
      </c>
      <c r="AV634" s="76">
        <f>MAX(0,(AU634-Constantes!$D$13)*(1-EXP(-Constantes!$D$24)))</f>
        <v>0</v>
      </c>
      <c r="AW634" s="170">
        <f>AW633+(Entradas!$E$112*AT634-AX633)/(800*Entradas!$D$25)</f>
        <v>0</v>
      </c>
      <c r="AX634" s="170">
        <f>8000*Entradas!$D$26*AW634/Constantes!$E$45</f>
        <v>0</v>
      </c>
      <c r="AY634" s="170">
        <f>IF(Escenarios!$E$17&gt;0,10*Escenarios!$E$16*AL634,0)</f>
        <v>0</v>
      </c>
      <c r="AZ634" s="170">
        <f>IF(Escenarios!$E$17&gt;0,10*Escenarios!$E$16*AX634,0)</f>
        <v>0</v>
      </c>
      <c r="BA634" s="170">
        <f>IF(Escenarios!$E$17&gt;0,0.001*Observaciones!$F633*Escenarios!$E$17,0)</f>
        <v>0</v>
      </c>
      <c r="BB634" s="170">
        <f>IF(Escenarios!$E$17&gt;0,Observaciones!$K633,0)</f>
        <v>0</v>
      </c>
      <c r="BC634" s="170">
        <f>IF(Escenarios!$E$17&gt;0,MIN(0.0005*ETo!$M633*Escenarios!$E$17*(BG633/Constantes!$E$40)^(2/3),BG633+AY634+AZ634+BA634+BB634),0)</f>
        <v>1.0924423117349533</v>
      </c>
      <c r="BD634" s="170">
        <f>IF(Escenarios!$E$17&gt;0,MIN(Constantes!$E$39*(BG633/Constantes!$E$40)^(2/3),BG633+AY634+AZ634+BA634+BB634-BC634),0)</f>
        <v>1.8784807661000329</v>
      </c>
      <c r="BE634" s="170">
        <f>IF(Escenarios!$E$17&gt;0,MIN(Entradas!$E$113,BG633+AY634+AZ634+BA634+BB634-BC634-BD634),0)</f>
        <v>1</v>
      </c>
      <c r="BF634" s="170">
        <f>IF(Escenarios!$E$17&gt;0,MAX(0,BG633+AY634+AZ634+BA634+BB634-BC634-BD634-BE634-Constantes!$E$40),0)</f>
        <v>0</v>
      </c>
      <c r="BG634" s="170">
        <f t="shared" si="138"/>
        <v>20.016516258854846</v>
      </c>
      <c r="BH634" s="170">
        <f>(Escenarios!$E$16*AK634+0.1*BC634)/(Escenarios!$E$19)</f>
        <v>9.4989661533035025E-4</v>
      </c>
      <c r="BI634" s="170">
        <f>IF(Escenarios!$E$17&gt;0,BF634/10/Escenarios!$E$19,AL634)</f>
        <v>0</v>
      </c>
      <c r="BJ634" s="170">
        <f>(Escenarios!$E$16*AT634+0.1*BD634)/(Escenarios!$E$19)</f>
        <v>7.4542887543652104E-4</v>
      </c>
      <c r="BK634" s="76">
        <f>BK633+(0.1*BD634)/(Escenarios!$E$19)-BL633</f>
        <v>49.737217404275967</v>
      </c>
      <c r="BL634" s="76">
        <f>MAX(0,(BK634-Constantes!$D$13)*(1-EXP(-Constantes!$D$23)))</f>
        <v>9.7272882211973475E-3</v>
      </c>
      <c r="BM634" s="76">
        <f t="shared" si="134"/>
        <v>0.24832227923647138</v>
      </c>
      <c r="BN634" s="76">
        <f t="shared" si="139"/>
        <v>0.24832227923647138</v>
      </c>
      <c r="BO634" s="76">
        <f>0.0526*BI634*Observaciones!$F633^1.218</f>
        <v>0</v>
      </c>
      <c r="BP634" s="76">
        <f>BO634*Constantes!$E$51</f>
        <v>0</v>
      </c>
      <c r="BQ634" s="76">
        <f t="shared" si="135"/>
        <v>0</v>
      </c>
      <c r="BR634" s="40"/>
    </row>
    <row r="635" spans="1:70">
      <c r="A635" s="147"/>
      <c r="B635" s="39"/>
      <c r="C635" s="75">
        <v>629</v>
      </c>
      <c r="D635" s="146">
        <f>ETo!$I634*((1-Constantes!$E$19)*ETo!$K634+ETo!$L634)</f>
        <v>4.0093836930916735</v>
      </c>
      <c r="E635" s="76">
        <f>MIN(D635*Constantes!$E$17,0.8*(N634+Observaciones!$F634-F635-M635-Constantes!$D$14))</f>
        <v>-1.6230182058647815E-2</v>
      </c>
      <c r="F635" s="76">
        <f>IF(Observaciones!$F634&gt;0.05*Constantes!$E$18,((Observaciones!$F634-0.05*Constantes!$E$18)^2)/(Observaciones!$F634+0.95*Constantes!$E$18),0)</f>
        <v>0</v>
      </c>
      <c r="G635" s="76">
        <f>IF(Escenarios!$E$11&gt;0,(F635*Escenarios!$E$16*10000)/1000,0)</f>
        <v>0</v>
      </c>
      <c r="H635" s="76">
        <f>IF(Escenarios!$E$11&gt;0,(Observaciones!$F634*Constantes!$E$29)/1000,0)</f>
        <v>0</v>
      </c>
      <c r="I635" s="76">
        <f>IF(Escenarios!$E$11&gt;0,(D635*Constantes!$E$29)/1000,0)</f>
        <v>40.09383693091673</v>
      </c>
      <c r="J635" s="76">
        <f>IF(Escenarios!$E$11&gt;0,MAX(0,G635+H635-I635),0)</f>
        <v>0</v>
      </c>
      <c r="K635" s="76">
        <f>IF(Escenarios!$E$11&gt;0,IF(J635&gt;Constantes!$E$30,1000*((J635-Constantes!$E$30)/(Escenarios!$E$16*10000)),0),F635)</f>
        <v>0</v>
      </c>
      <c r="L635" s="76">
        <f>IF(Escenarios!$E$11&gt;0,I635*1000/Escenarios!$E$16/10000+E635,E635)</f>
        <v>-1.9264728628112446E-4</v>
      </c>
      <c r="M635" s="76">
        <f>MAX(0,N634+Observaciones!$F634-K635-Constantes!$D$13)</f>
        <v>0</v>
      </c>
      <c r="N635" s="76">
        <f>N634+Observaciones!$F634-K635-L635-M635-O634</f>
        <v>11.229904919712972</v>
      </c>
      <c r="O635" s="76">
        <f>MAX(0,(N635-Constantes!$D$14)*(1-EXP(-Constantes!$D$22)))</f>
        <v>0</v>
      </c>
      <c r="P635" s="170">
        <f>P634+(Entradas!$E$83*M635-Q634)/(800*Entradas!$D$25)</f>
        <v>0</v>
      </c>
      <c r="Q635" s="170">
        <f>8000*Entradas!$D$26*P635/Constantes!$E$45</f>
        <v>0</v>
      </c>
      <c r="R635" s="170">
        <f>IF(Escenarios!$E$14&gt;0,K635*Escenarios!$E$13/Escenarios!$E$14,0)</f>
        <v>0</v>
      </c>
      <c r="S635" s="170">
        <f>IF(Escenarios!$E$14&gt;0,Q635*Escenarios!$E$13/Escenarios!$E$14,0)</f>
        <v>0</v>
      </c>
      <c r="T635" s="170">
        <f>IF(Escenarios!$E$14&gt;0,Observaciones!$I634,0)</f>
        <v>0</v>
      </c>
      <c r="U635" s="170">
        <f>IF(Escenarios!$E$14&gt;0,MAX(0,Constantes!$E$36/((Z634+R635+S635+T635+Observaciones!$F634)^2)+Entradas!$E$77),0)</f>
        <v>0</v>
      </c>
      <c r="V635" s="146">
        <f>IF(ETo!D634&gt;0,ETo!I634*((1-Entradas!$E$81)*ETo!K634+ETo!L634),0)</f>
        <v>3.6553812394671761</v>
      </c>
      <c r="W635" s="170">
        <f>IF(Escenarios!$E$14&gt;0,MIN(V635*1,0.8*(Z634+R635+S635+T635+Observaciones!$F634-U635-Constantes!$E$35)),0)</f>
        <v>2.5599999997893977E-5</v>
      </c>
      <c r="X635" s="170">
        <f>IF(Escenarios!$E$14&gt;0,Observaciones!$J634,0)</f>
        <v>0</v>
      </c>
      <c r="Y635" s="170">
        <f>IF(Escenarios!$E$14&gt;0,MAX(0,Z634+R635+S635+T635+Observaciones!$F634-U635-W635-X635-Constantes!$E$33),0)</f>
        <v>0</v>
      </c>
      <c r="Z635" s="170">
        <f>Z634+R635+S635+T635+Observaciones!$F634-U635-W635-Y635</f>
        <v>41.250006399999997</v>
      </c>
      <c r="AA635" s="170">
        <f>IF(Escenarios!$E$14&gt;0,(Escenarios!$E$13*L635+Escenarios!$E$14*W635)/(Escenarios!$E$16),L635)</f>
        <v>-1.6645761192764225E-4</v>
      </c>
      <c r="AB635" s="170">
        <f>IF(Escenarios!$E$14&gt;0,(Escenarios!$E$14*Y635)/(Escenarios!$E$16),K635)</f>
        <v>0</v>
      </c>
      <c r="AC635" s="170">
        <f>IF(Escenarios!$E$14&gt;0,(Escenarios!$E$13*M635+Escenarios!$E$14*U635)/(Escenarios!$E$16),M635)</f>
        <v>0</v>
      </c>
      <c r="AD635" s="76">
        <f t="shared" si="127"/>
        <v>72.726286109151488</v>
      </c>
      <c r="AE635" s="76">
        <f>MAX(0,(AD635-Constantes!$D$13)*(1-EXP(-Constantes!$D$23)))</f>
        <v>0.23624405773990118</v>
      </c>
      <c r="AF635" s="76">
        <f>AB635+O635*Escenarios!$E$13/Escenarios!$E$16+AE635</f>
        <v>0.23624405773990118</v>
      </c>
      <c r="AG635" s="76">
        <f>IF(Entradas!$E$91&gt;0,IF(AF635-Escenarios!$E$38&lt;=0,0,IF(AF635-Escenarios!$E$38&gt;Escenarios!$E$37,Escenarios!$E$37,AF635-Escenarios!$E$38)),0)</f>
        <v>0</v>
      </c>
      <c r="AH635" s="76">
        <f>AG635*Entradas!$E$99</f>
        <v>0</v>
      </c>
      <c r="AI635" s="76">
        <f>IF(Entradas!$E$91&gt;0,D635*Entradas!$D$23/Escenarios!$E$16,0)</f>
        <v>0</v>
      </c>
      <c r="AJ635" s="76">
        <f>IF(Entradas!$E$91&gt;0,Entradas!$D$24*Entradas!$D$22/Escenarios!$E$16,0)</f>
        <v>0</v>
      </c>
      <c r="AK635" s="76">
        <f t="shared" si="136"/>
        <v>-1.6645761192764225E-4</v>
      </c>
      <c r="AL635" s="76">
        <f t="shared" si="137"/>
        <v>0</v>
      </c>
      <c r="AM635" s="76">
        <f t="shared" si="128"/>
        <v>0</v>
      </c>
      <c r="AN635" s="76">
        <f>MAX(0,O635*Escenarios!$E$13/Escenarios!$E$16-AM635)</f>
        <v>0</v>
      </c>
      <c r="AO635" s="76">
        <f>AM635+AN635-O635*Escenarios!$E$13/Escenarios!$E$16</f>
        <v>0</v>
      </c>
      <c r="AP635" s="76">
        <f t="shared" si="126"/>
        <v>0.23624405773990118</v>
      </c>
      <c r="AQ635" s="76">
        <f t="shared" si="129"/>
        <v>0</v>
      </c>
      <c r="AR635" s="76">
        <f t="shared" si="130"/>
        <v>0.23624405773990118</v>
      </c>
      <c r="AS635" s="76">
        <f t="shared" si="131"/>
        <v>0</v>
      </c>
      <c r="AT635" s="76">
        <f t="shared" si="132"/>
        <v>0</v>
      </c>
      <c r="AU635" s="76">
        <f t="shared" si="133"/>
        <v>48.75</v>
      </c>
      <c r="AV635" s="76">
        <f>MAX(0,(AU635-Constantes!$D$13)*(1-EXP(-Constantes!$D$24)))</f>
        <v>0</v>
      </c>
      <c r="AW635" s="170">
        <f>AW634+(Entradas!$E$112*AT635-AX634)/(800*Entradas!$D$25)</f>
        <v>0</v>
      </c>
      <c r="AX635" s="170">
        <f>8000*Entradas!$D$26*AW635/Constantes!$E$45</f>
        <v>0</v>
      </c>
      <c r="AY635" s="170">
        <f>IF(Escenarios!$E$17&gt;0,10*Escenarios!$E$16*AL635,0)</f>
        <v>0</v>
      </c>
      <c r="AZ635" s="170">
        <f>IF(Escenarios!$E$17&gt;0,10*Escenarios!$E$16*AX635,0)</f>
        <v>0</v>
      </c>
      <c r="BA635" s="170">
        <f>IF(Escenarios!$E$17&gt;0,0.001*Observaciones!$F634*Escenarios!$E$17,0)</f>
        <v>0</v>
      </c>
      <c r="BB635" s="170">
        <f>IF(Escenarios!$E$17&gt;0,Observaciones!$K634,0)</f>
        <v>0</v>
      </c>
      <c r="BC635" s="170">
        <f>IF(Escenarios!$E$17&gt;0,MIN(0.0005*ETo!$M634*Escenarios!$E$17*(BG634/Constantes!$E$40)^(2/3),BG634+AY635+AZ635+BA635+BB635),0)</f>
        <v>0.95037586795711437</v>
      </c>
      <c r="BD635" s="170">
        <f>IF(Escenarios!$E$17&gt;0,MIN(Constantes!$E$39*(BG634/Constantes!$E$40)^(2/3),BG634+AY635+AZ635+BA635+BB635-BC635),0)</f>
        <v>1.6649830711375442</v>
      </c>
      <c r="BE635" s="170">
        <f>IF(Escenarios!$E$17&gt;0,MIN(Entradas!$E$113,BG634+AY635+AZ635+BA635+BB635-BC635-BD635),0)</f>
        <v>1</v>
      </c>
      <c r="BF635" s="170">
        <f>IF(Escenarios!$E$17&gt;0,MAX(0,BG634+AY635+AZ635+BA635+BB635-BC635-BD635-BE635-Constantes!$E$40),0)</f>
        <v>0</v>
      </c>
      <c r="BG635" s="170">
        <f t="shared" si="138"/>
        <v>16.401157319760188</v>
      </c>
      <c r="BH635" s="170">
        <f>(Escenarios!$E$16*AK635+0.1*BC635)/(Escenarios!$E$19)</f>
        <v>2.1199676116587652E-4</v>
      </c>
      <c r="BI635" s="170">
        <f>IF(Escenarios!$E$17&gt;0,BF635/10/Escenarios!$E$19,AL635)</f>
        <v>0</v>
      </c>
      <c r="BJ635" s="170">
        <f>(Escenarios!$E$16*AT635+0.1*BD635)/(Escenarios!$E$19)</f>
        <v>6.607075679117239E-4</v>
      </c>
      <c r="BK635" s="76">
        <f>BK634+(0.1*BD635)/(Escenarios!$E$19)-BL634</f>
        <v>49.728150823622677</v>
      </c>
      <c r="BL635" s="76">
        <f>MAX(0,(BK635-Constantes!$D$13)*(1-EXP(-Constantes!$D$23)))</f>
        <v>9.6379530425292174E-3</v>
      </c>
      <c r="BM635" s="76">
        <f t="shared" si="134"/>
        <v>0.24588201078243038</v>
      </c>
      <c r="BN635" s="76">
        <f t="shared" si="139"/>
        <v>0.24588201078243038</v>
      </c>
      <c r="BO635" s="76">
        <f>0.0526*BI635*Observaciones!$F634^1.218</f>
        <v>0</v>
      </c>
      <c r="BP635" s="76">
        <f>BO635*Constantes!$E$51</f>
        <v>0</v>
      </c>
      <c r="BQ635" s="76">
        <f t="shared" si="135"/>
        <v>0</v>
      </c>
      <c r="BR635" s="40"/>
    </row>
    <row r="636" spans="1:70">
      <c r="A636" s="147"/>
      <c r="B636" s="39"/>
      <c r="C636" s="75">
        <v>630</v>
      </c>
      <c r="D636" s="146">
        <f>ETo!$I635*((1-Constantes!$E$19)*ETo!$K635+ETo!$L635)</f>
        <v>3.9444420022182776</v>
      </c>
      <c r="E636" s="76">
        <f>MIN(D636*Constantes!$E$17,0.8*(N635+Observaciones!$F635-F636-M636-Constantes!$D$14))</f>
        <v>-1.6076064229622489E-2</v>
      </c>
      <c r="F636" s="76">
        <f>IF(Observaciones!$F635&gt;0.05*Constantes!$E$18,((Observaciones!$F635-0.05*Constantes!$E$18)^2)/(Observaciones!$F635+0.95*Constantes!$E$18),0)</f>
        <v>0</v>
      </c>
      <c r="G636" s="76">
        <f>IF(Escenarios!$E$11&gt;0,(F636*Escenarios!$E$16*10000)/1000,0)</f>
        <v>0</v>
      </c>
      <c r="H636" s="76">
        <f>IF(Escenarios!$E$11&gt;0,(Observaciones!$F635*Constantes!$E$29)/1000,0)</f>
        <v>0</v>
      </c>
      <c r="I636" s="76">
        <f>IF(Escenarios!$E$11&gt;0,(D636*Constantes!$E$29)/1000,0)</f>
        <v>39.444420022182776</v>
      </c>
      <c r="J636" s="76">
        <f>IF(Escenarios!$E$11&gt;0,MAX(0,G636+H636-I636),0)</f>
        <v>0</v>
      </c>
      <c r="K636" s="76">
        <f>IF(Escenarios!$E$11&gt;0,IF(J636&gt;Constantes!$E$30,1000*((J636-Constantes!$E$30)/(Escenarios!$E$16*10000)),0),F636)</f>
        <v>0</v>
      </c>
      <c r="L636" s="76">
        <f>IF(Escenarios!$E$11&gt;0,I636*1000/Escenarios!$E$16/10000+E636,E636)</f>
        <v>-2.9829622074937709E-4</v>
      </c>
      <c r="M636" s="76">
        <f>MAX(0,N635+Observaciones!$F635-K636-Constantes!$D$13)</f>
        <v>0</v>
      </c>
      <c r="N636" s="76">
        <f>N635+Observaciones!$F635-K636-L636-M636-O635</f>
        <v>11.230203215933722</v>
      </c>
      <c r="O636" s="76">
        <f>MAX(0,(N636-Constantes!$D$14)*(1-EXP(-Constantes!$D$22)))</f>
        <v>0</v>
      </c>
      <c r="P636" s="170">
        <f>P635+(Entradas!$E$83*M636-Q635)/(800*Entradas!$D$25)</f>
        <v>0</v>
      </c>
      <c r="Q636" s="170">
        <f>8000*Entradas!$D$26*P636/Constantes!$E$45</f>
        <v>0</v>
      </c>
      <c r="R636" s="170">
        <f>IF(Escenarios!$E$14&gt;0,K636*Escenarios!$E$13/Escenarios!$E$14,0)</f>
        <v>0</v>
      </c>
      <c r="S636" s="170">
        <f>IF(Escenarios!$E$14&gt;0,Q636*Escenarios!$E$13/Escenarios!$E$14,0)</f>
        <v>0</v>
      </c>
      <c r="T636" s="170">
        <f>IF(Escenarios!$E$14&gt;0,Observaciones!$I635,0)</f>
        <v>0</v>
      </c>
      <c r="U636" s="170">
        <f>IF(Escenarios!$E$14&gt;0,MAX(0,Constantes!$E$36/((Z635+R636+S636+T636+Observaciones!$F635)^2)+Entradas!$E$77),0)</f>
        <v>0</v>
      </c>
      <c r="V636" s="146">
        <f>IF(ETo!D635&gt;0,ETo!I635*((1-Entradas!$E$81)*ETo!K635+ETo!L635),0)</f>
        <v>3.5955589602402145</v>
      </c>
      <c r="W636" s="170">
        <f>IF(Escenarios!$E$14&gt;0,MIN(V636*1,0.8*(Z635+R636+S636+T636+Observaciones!$F635-U636-Constantes!$E$35)),0)</f>
        <v>5.1199999973050581E-6</v>
      </c>
      <c r="X636" s="170">
        <f>IF(Escenarios!$E$14&gt;0,Observaciones!$J635,0)</f>
        <v>0</v>
      </c>
      <c r="Y636" s="170">
        <f>IF(Escenarios!$E$14&gt;0,MAX(0,Z635+R636+S636+T636+Observaciones!$F635-U636-W636-X636-Constantes!$E$33),0)</f>
        <v>0</v>
      </c>
      <c r="Z636" s="170">
        <f>Z635+R636+S636+T636+Observaciones!$F635-U636-W636-Y636</f>
        <v>41.250001279999999</v>
      </c>
      <c r="AA636" s="170">
        <f>IF(Escenarios!$E$14&gt;0,(Escenarios!$E$13*L636+Escenarios!$E$14*W636)/(Escenarios!$E$16),L636)</f>
        <v>-2.6188627425977523E-4</v>
      </c>
      <c r="AB636" s="170">
        <f>IF(Escenarios!$E$14&gt;0,(Escenarios!$E$14*Y636)/(Escenarios!$E$16),K636)</f>
        <v>0</v>
      </c>
      <c r="AC636" s="170">
        <f>IF(Escenarios!$E$14&gt;0,(Escenarios!$E$13*M636+Escenarios!$E$14*U636)/(Escenarios!$E$16),M636)</f>
        <v>0</v>
      </c>
      <c r="AD636" s="76">
        <f t="shared" si="127"/>
        <v>72.490042051411592</v>
      </c>
      <c r="AE636" s="76">
        <f>MAX(0,(AD636-Constantes!$D$13)*(1-EXP(-Constantes!$D$23)))</f>
        <v>0.23391628877003934</v>
      </c>
      <c r="AF636" s="76">
        <f>AB636+O636*Escenarios!$E$13/Escenarios!$E$16+AE636</f>
        <v>0.23391628877003934</v>
      </c>
      <c r="AG636" s="76">
        <f>IF(Entradas!$E$91&gt;0,IF(AF636-Escenarios!$E$38&lt;=0,0,IF(AF636-Escenarios!$E$38&gt;Escenarios!$E$37,Escenarios!$E$37,AF636-Escenarios!$E$38)),0)</f>
        <v>0</v>
      </c>
      <c r="AH636" s="76">
        <f>AG636*Entradas!$E$99</f>
        <v>0</v>
      </c>
      <c r="AI636" s="76">
        <f>IF(Entradas!$E$91&gt;0,D636*Entradas!$D$23/Escenarios!$E$16,0)</f>
        <v>0</v>
      </c>
      <c r="AJ636" s="76">
        <f>IF(Entradas!$E$91&gt;0,Entradas!$D$24*Entradas!$D$22/Escenarios!$E$16,0)</f>
        <v>0</v>
      </c>
      <c r="AK636" s="76">
        <f t="shared" si="136"/>
        <v>-2.6188627425977523E-4</v>
      </c>
      <c r="AL636" s="76">
        <f t="shared" si="137"/>
        <v>0</v>
      </c>
      <c r="AM636" s="76">
        <f t="shared" si="128"/>
        <v>0</v>
      </c>
      <c r="AN636" s="76">
        <f>MAX(0,O636*Escenarios!$E$13/Escenarios!$E$16-AM636)</f>
        <v>0</v>
      </c>
      <c r="AO636" s="76">
        <f>AM636+AN636-O636*Escenarios!$E$13/Escenarios!$E$16</f>
        <v>0</v>
      </c>
      <c r="AP636" s="76">
        <f t="shared" si="126"/>
        <v>0.23391628877003934</v>
      </c>
      <c r="AQ636" s="76">
        <f t="shared" si="129"/>
        <v>0</v>
      </c>
      <c r="AR636" s="76">
        <f t="shared" si="130"/>
        <v>0.23391628877003934</v>
      </c>
      <c r="AS636" s="76">
        <f t="shared" si="131"/>
        <v>0</v>
      </c>
      <c r="AT636" s="76">
        <f t="shared" si="132"/>
        <v>0</v>
      </c>
      <c r="AU636" s="76">
        <f t="shared" si="133"/>
        <v>48.75</v>
      </c>
      <c r="AV636" s="76">
        <f>MAX(0,(AU636-Constantes!$D$13)*(1-EXP(-Constantes!$D$24)))</f>
        <v>0</v>
      </c>
      <c r="AW636" s="170">
        <f>AW635+(Entradas!$E$112*AT636-AX635)/(800*Entradas!$D$25)</f>
        <v>0</v>
      </c>
      <c r="AX636" s="170">
        <f>8000*Entradas!$D$26*AW636/Constantes!$E$45</f>
        <v>0</v>
      </c>
      <c r="AY636" s="170">
        <f>IF(Escenarios!$E$17&gt;0,10*Escenarios!$E$16*AL636,0)</f>
        <v>0</v>
      </c>
      <c r="AZ636" s="170">
        <f>IF(Escenarios!$E$17&gt;0,10*Escenarios!$E$16*AX636,0)</f>
        <v>0</v>
      </c>
      <c r="BA636" s="170">
        <f>IF(Escenarios!$E$17&gt;0,0.001*Observaciones!$F635*Escenarios!$E$17,0)</f>
        <v>0</v>
      </c>
      <c r="BB636" s="170">
        <f>IF(Escenarios!$E$17&gt;0,Observaciones!$K635,0)</f>
        <v>0</v>
      </c>
      <c r="BC636" s="170">
        <f>IF(Escenarios!$E$17&gt;0,MIN(0.0005*ETo!$M635*Escenarios!$E$17*(BG635/Constantes!$E$40)^(2/3),BG635+AY636+AZ636+BA636+BB636),0)</f>
        <v>0.81888105462737193</v>
      </c>
      <c r="BD636" s="170">
        <f>IF(Escenarios!$E$17&gt;0,MIN(Constantes!$E$39*(BG635/Constantes!$E$40)^(2/3),BG635+AY636+AZ636+BA636+BB636-BC636),0)</f>
        <v>1.4579204326780013</v>
      </c>
      <c r="BE636" s="170">
        <f>IF(Escenarios!$E$17&gt;0,MIN(Entradas!$E$113,BG635+AY636+AZ636+BA636+BB636-BC636-BD636),0)</f>
        <v>1</v>
      </c>
      <c r="BF636" s="170">
        <f>IF(Escenarios!$E$17&gt;0,MAX(0,BG635+AY636+AZ636+BA636+BB636-BC636-BD636-BE636-Constantes!$E$40),0)</f>
        <v>0</v>
      </c>
      <c r="BG636" s="170">
        <f t="shared" si="138"/>
        <v>13.124355832454814</v>
      </c>
      <c r="BH636" s="170">
        <f>(Escenarios!$E$16*AK636+0.1*BC636)/(Escenarios!$E$19)</f>
        <v>6.5144987689656311E-5</v>
      </c>
      <c r="BI636" s="170">
        <f>IF(Escenarios!$E$17&gt;0,BF636/10/Escenarios!$E$19,AL636)</f>
        <v>0</v>
      </c>
      <c r="BJ636" s="170">
        <f>(Escenarios!$E$16*AT636+0.1*BD636)/(Escenarios!$E$19)</f>
        <v>5.7853985423730208E-4</v>
      </c>
      <c r="BK636" s="76">
        <f>BK635+(0.1*BD636)/(Escenarios!$E$19)-BL635</f>
        <v>49.719091410434388</v>
      </c>
      <c r="BL636" s="76">
        <f>MAX(0,(BK636-Constantes!$D$13)*(1-EXP(-Constantes!$D$23)))</f>
        <v>9.5486884866008929E-3</v>
      </c>
      <c r="BM636" s="76">
        <f t="shared" si="134"/>
        <v>0.24346497725664024</v>
      </c>
      <c r="BN636" s="76">
        <f t="shared" si="139"/>
        <v>0.24346497725664024</v>
      </c>
      <c r="BO636" s="76">
        <f>0.0526*BI636*Observaciones!$F635^1.218</f>
        <v>0</v>
      </c>
      <c r="BP636" s="76">
        <f>BO636*Constantes!$E$51</f>
        <v>0</v>
      </c>
      <c r="BQ636" s="76">
        <f t="shared" si="135"/>
        <v>0</v>
      </c>
      <c r="BR636" s="40"/>
    </row>
    <row r="637" spans="1:70">
      <c r="A637" s="147"/>
      <c r="B637" s="39"/>
      <c r="C637" s="75">
        <v>631</v>
      </c>
      <c r="D637" s="146">
        <f>ETo!$I636*((1-Constantes!$E$19)*ETo!$K636+ETo!$L636)</f>
        <v>3.8453726835784074</v>
      </c>
      <c r="E637" s="76">
        <f>MIN(D637*Constantes!$E$17,0.8*(N636+Observaciones!$F636-F637-M637-Constantes!$D$14))</f>
        <v>-1.5837427253022441E-2</v>
      </c>
      <c r="F637" s="76">
        <f>IF(Observaciones!$F636&gt;0.05*Constantes!$E$18,((Observaciones!$F636-0.05*Constantes!$E$18)^2)/(Observaciones!$F636+0.95*Constantes!$E$18),0)</f>
        <v>0</v>
      </c>
      <c r="G637" s="76">
        <f>IF(Escenarios!$E$11&gt;0,(F637*Escenarios!$E$16*10000)/1000,0)</f>
        <v>0</v>
      </c>
      <c r="H637" s="76">
        <f>IF(Escenarios!$E$11&gt;0,(Observaciones!$F636*Constantes!$E$29)/1000,0)</f>
        <v>0</v>
      </c>
      <c r="I637" s="76">
        <f>IF(Escenarios!$E$11&gt;0,(D637*Constantes!$E$29)/1000,0)</f>
        <v>38.453726835784074</v>
      </c>
      <c r="J637" s="76">
        <f>IF(Escenarios!$E$11&gt;0,MAX(0,G637+H637-I637),0)</f>
        <v>0</v>
      </c>
      <c r="K637" s="76">
        <f>IF(Escenarios!$E$11&gt;0,IF(J637&gt;Constantes!$E$30,1000*((J637-Constantes!$E$30)/(Escenarios!$E$16*10000)),0),F637)</f>
        <v>0</v>
      </c>
      <c r="L637" s="76">
        <f>IF(Escenarios!$E$11&gt;0,I637*1000/Escenarios!$E$16/10000+E637,E637)</f>
        <v>-4.5593651870881081E-4</v>
      </c>
      <c r="M637" s="76">
        <f>MAX(0,N636+Observaciones!$F636-K637-Constantes!$D$13)</f>
        <v>0</v>
      </c>
      <c r="N637" s="76">
        <f>N636+Observaciones!$F636-K637-L637-M637-O636</f>
        <v>11.23065915245243</v>
      </c>
      <c r="O637" s="76">
        <f>MAX(0,(N637-Constantes!$D$14)*(1-EXP(-Constantes!$D$22)))</f>
        <v>0</v>
      </c>
      <c r="P637" s="170">
        <f>P636+(Entradas!$E$83*M637-Q636)/(800*Entradas!$D$25)</f>
        <v>0</v>
      </c>
      <c r="Q637" s="170">
        <f>8000*Entradas!$D$26*P637/Constantes!$E$45</f>
        <v>0</v>
      </c>
      <c r="R637" s="170">
        <f>IF(Escenarios!$E$14&gt;0,K637*Escenarios!$E$13/Escenarios!$E$14,0)</f>
        <v>0</v>
      </c>
      <c r="S637" s="170">
        <f>IF(Escenarios!$E$14&gt;0,Q637*Escenarios!$E$13/Escenarios!$E$14,0)</f>
        <v>0</v>
      </c>
      <c r="T637" s="170">
        <f>IF(Escenarios!$E$14&gt;0,Observaciones!$I636,0)</f>
        <v>0</v>
      </c>
      <c r="U637" s="170">
        <f>IF(Escenarios!$E$14&gt;0,MAX(0,Constantes!$E$36/((Z636+R637+S637+T637+Observaciones!$F636)^2)+Entradas!$E$77),0)</f>
        <v>0</v>
      </c>
      <c r="V637" s="146">
        <f>IF(ETo!D636&gt;0,ETo!I636*((1-Entradas!$E$81)*ETo!K636+ETo!L636),0)</f>
        <v>3.5044720868514712</v>
      </c>
      <c r="W637" s="170">
        <f>IF(Escenarios!$E$14&gt;0,MIN(V637*1,0.8*(Z636+R637+S637+T637+Observaciones!$F636-U637-Constantes!$E$35)),0)</f>
        <v>1.0239999994610116E-6</v>
      </c>
      <c r="X637" s="170">
        <f>IF(Escenarios!$E$14&gt;0,Observaciones!$J636,0)</f>
        <v>0</v>
      </c>
      <c r="Y637" s="170">
        <f>IF(Escenarios!$E$14&gt;0,MAX(0,Z636+R637+S637+T637+Observaciones!$F636-U637-W637-X637-Constantes!$E$33),0)</f>
        <v>0</v>
      </c>
      <c r="Z637" s="170">
        <f>Z636+R637+S637+T637+Observaciones!$F636-U637-W637-Y637</f>
        <v>41.250000256</v>
      </c>
      <c r="AA637" s="170">
        <f>IF(Escenarios!$E$14&gt;0,(Escenarios!$E$13*L637+Escenarios!$E$14*W637)/(Escenarios!$E$16),L637)</f>
        <v>-4.0110125646381823E-4</v>
      </c>
      <c r="AB637" s="170">
        <f>IF(Escenarios!$E$14&gt;0,(Escenarios!$E$14*Y637)/(Escenarios!$E$16),K637)</f>
        <v>0</v>
      </c>
      <c r="AC637" s="170">
        <f>IF(Escenarios!$E$14&gt;0,(Escenarios!$E$13*M637+Escenarios!$E$14*U637)/(Escenarios!$E$16),M637)</f>
        <v>0</v>
      </c>
      <c r="AD637" s="76">
        <f t="shared" si="127"/>
        <v>72.25612576264156</v>
      </c>
      <c r="AE637" s="76">
        <f>MAX(0,(AD637-Constantes!$D$13)*(1-EXP(-Constantes!$D$23)))</f>
        <v>0.23161145586226892</v>
      </c>
      <c r="AF637" s="76">
        <f>AB637+O637*Escenarios!$E$13/Escenarios!$E$16+AE637</f>
        <v>0.23161145586226892</v>
      </c>
      <c r="AG637" s="76">
        <f>IF(Entradas!$E$91&gt;0,IF(AF637-Escenarios!$E$38&lt;=0,0,IF(AF637-Escenarios!$E$38&gt;Escenarios!$E$37,Escenarios!$E$37,AF637-Escenarios!$E$38)),0)</f>
        <v>0</v>
      </c>
      <c r="AH637" s="76">
        <f>AG637*Entradas!$E$99</f>
        <v>0</v>
      </c>
      <c r="AI637" s="76">
        <f>IF(Entradas!$E$91&gt;0,D637*Entradas!$D$23/Escenarios!$E$16,0)</f>
        <v>0</v>
      </c>
      <c r="AJ637" s="76">
        <f>IF(Entradas!$E$91&gt;0,Entradas!$D$24*Entradas!$D$22/Escenarios!$E$16,0)</f>
        <v>0</v>
      </c>
      <c r="AK637" s="76">
        <f t="shared" si="136"/>
        <v>-4.0110125646381823E-4</v>
      </c>
      <c r="AL637" s="76">
        <f t="shared" si="137"/>
        <v>0</v>
      </c>
      <c r="AM637" s="76">
        <f t="shared" si="128"/>
        <v>0</v>
      </c>
      <c r="AN637" s="76">
        <f>MAX(0,O637*Escenarios!$E$13/Escenarios!$E$16-AM637)</f>
        <v>0</v>
      </c>
      <c r="AO637" s="76">
        <f>AM637+AN637-O637*Escenarios!$E$13/Escenarios!$E$16</f>
        <v>0</v>
      </c>
      <c r="AP637" s="76">
        <f t="shared" si="126"/>
        <v>0.23161145586226892</v>
      </c>
      <c r="AQ637" s="76">
        <f t="shared" si="129"/>
        <v>0</v>
      </c>
      <c r="AR637" s="76">
        <f t="shared" si="130"/>
        <v>0.23161145586226892</v>
      </c>
      <c r="AS637" s="76">
        <f t="shared" si="131"/>
        <v>0</v>
      </c>
      <c r="AT637" s="76">
        <f t="shared" si="132"/>
        <v>0</v>
      </c>
      <c r="AU637" s="76">
        <f t="shared" si="133"/>
        <v>48.75</v>
      </c>
      <c r="AV637" s="76">
        <f>MAX(0,(AU637-Constantes!$D$13)*(1-EXP(-Constantes!$D$24)))</f>
        <v>0</v>
      </c>
      <c r="AW637" s="170">
        <f>AW636+(Entradas!$E$112*AT637-AX636)/(800*Entradas!$D$25)</f>
        <v>0</v>
      </c>
      <c r="AX637" s="170">
        <f>8000*Entradas!$D$26*AW637/Constantes!$E$45</f>
        <v>0</v>
      </c>
      <c r="AY637" s="170">
        <f>IF(Escenarios!$E$17&gt;0,10*Escenarios!$E$16*AL637,0)</f>
        <v>0</v>
      </c>
      <c r="AZ637" s="170">
        <f>IF(Escenarios!$E$17&gt;0,10*Escenarios!$E$16*AX637,0)</f>
        <v>0</v>
      </c>
      <c r="BA637" s="170">
        <f>IF(Escenarios!$E$17&gt;0,0.001*Observaciones!$F636*Escenarios!$E$17,0)</f>
        <v>0</v>
      </c>
      <c r="BB637" s="170">
        <f>IF(Escenarios!$E$17&gt;0,Observaciones!$K636,0)</f>
        <v>0</v>
      </c>
      <c r="BC637" s="170">
        <f>IF(Escenarios!$E$17&gt;0,MIN(0.0005*ETo!$M636*Escenarios!$E$17*(BG636/Constantes!$E$40)^(2/3),BG636+AY637+AZ637+BA637+BB637),0)</f>
        <v>0.68827877502857349</v>
      </c>
      <c r="BD637" s="170">
        <f>IF(Escenarios!$E$17&gt;0,MIN(Constantes!$E$39*(BG636/Constantes!$E$40)^(2/3),BG636+AY637+AZ637+BA637+BB637-BC637),0)</f>
        <v>1.2566166915319896</v>
      </c>
      <c r="BE637" s="170">
        <f>IF(Escenarios!$E$17&gt;0,MIN(Entradas!$E$113,BG636+AY637+AZ637+BA637+BB637-BC637-BD637),0)</f>
        <v>1</v>
      </c>
      <c r="BF637" s="170">
        <f>IF(Escenarios!$E$17&gt;0,MAX(0,BG636+AY637+AZ637+BA637+BB637-BC637-BD637-BE637-Constantes!$E$40),0)</f>
        <v>0</v>
      </c>
      <c r="BG637" s="170">
        <f t="shared" si="138"/>
        <v>10.179460365894251</v>
      </c>
      <c r="BH637" s="170">
        <f>(Escenarios!$E$16*AK637+0.1*BC637)/(Escenarios!$E$19)</f>
        <v>-1.2479141513133812E-4</v>
      </c>
      <c r="BI637" s="170">
        <f>IF(Escenarios!$E$17&gt;0,BF637/10/Escenarios!$E$19,AL637)</f>
        <v>0</v>
      </c>
      <c r="BJ637" s="170">
        <f>(Escenarios!$E$16*AT637+0.1*BD637)/(Escenarios!$E$19)</f>
        <v>4.9865741727459899E-4</v>
      </c>
      <c r="BK637" s="76">
        <f>BK636+(0.1*BD637)/(Escenarios!$E$19)-BL636</f>
        <v>49.710041379365059</v>
      </c>
      <c r="BL637" s="76">
        <f>MAX(0,(BK637-Constantes!$D$13)*(1-EXP(-Constantes!$D$23)))</f>
        <v>9.459516374925335E-3</v>
      </c>
      <c r="BM637" s="76">
        <f t="shared" si="134"/>
        <v>0.24107097223719426</v>
      </c>
      <c r="BN637" s="76">
        <f t="shared" si="139"/>
        <v>0.24107097223719426</v>
      </c>
      <c r="BO637" s="76">
        <f>0.0526*BI637*Observaciones!$F636^1.218</f>
        <v>0</v>
      </c>
      <c r="BP637" s="76">
        <f>BO637*Constantes!$E$51</f>
        <v>0</v>
      </c>
      <c r="BQ637" s="76">
        <f t="shared" si="135"/>
        <v>0</v>
      </c>
      <c r="BR637" s="40"/>
    </row>
    <row r="638" spans="1:70">
      <c r="A638" s="147"/>
      <c r="B638" s="39"/>
      <c r="C638" s="75">
        <v>632</v>
      </c>
      <c r="D638" s="146">
        <f>ETo!$I637*((1-Constantes!$E$19)*ETo!$K637+ETo!$L637)</f>
        <v>3.9133410297937008</v>
      </c>
      <c r="E638" s="76">
        <f>MIN(D638*Constantes!$E$17,0.8*(N637+Observaciones!$F637-F638-M638-Constantes!$D$14))</f>
        <v>1.5845273219619445</v>
      </c>
      <c r="F638" s="76">
        <f>IF(Observaciones!$F637&gt;0.05*Constantes!$E$18,((Observaciones!$F637-0.05*Constantes!$E$18)^2)/(Observaciones!$F637+0.95*Constantes!$E$18),0)</f>
        <v>0</v>
      </c>
      <c r="G638" s="76">
        <f>IF(Escenarios!$E$11&gt;0,(F638*Escenarios!$E$16*10000)/1000,0)</f>
        <v>0</v>
      </c>
      <c r="H638" s="76">
        <f>IF(Escenarios!$E$11&gt;0,(Observaciones!$F637*Constantes!$E$29)/1000,0)</f>
        <v>20</v>
      </c>
      <c r="I638" s="76">
        <f>IF(Escenarios!$E$11&gt;0,(D638*Constantes!$E$29)/1000,0)</f>
        <v>39.133410297937004</v>
      </c>
      <c r="J638" s="76">
        <f>IF(Escenarios!$E$11&gt;0,MAX(0,G638+H638-I638),0)</f>
        <v>0</v>
      </c>
      <c r="K638" s="76">
        <f>IF(Escenarios!$E$11&gt;0,IF(J638&gt;Constantes!$E$30,1000*((J638-Constantes!$E$30)/(Escenarios!$E$16*10000)),0),F638)</f>
        <v>0</v>
      </c>
      <c r="L638" s="76">
        <f>IF(Escenarios!$E$11&gt;0,I638*1000/Escenarios!$E$16/10000+E638,E638)</f>
        <v>1.6001806860811192</v>
      </c>
      <c r="M638" s="76">
        <f>MAX(0,N637+Observaciones!$F637-K638-Constantes!$D$13)</f>
        <v>0</v>
      </c>
      <c r="N638" s="76">
        <f>N637+Observaciones!$F637-K638-L638-M638-O637</f>
        <v>11.630478466371311</v>
      </c>
      <c r="O638" s="76">
        <f>MAX(0,(N638-Constantes!$D$14)*(1-EXP(-Constantes!$D$22)))</f>
        <v>1.2960493329651547E-2</v>
      </c>
      <c r="P638" s="170">
        <f>P637+(Entradas!$E$83*M638-Q637)/(800*Entradas!$D$25)</f>
        <v>0</v>
      </c>
      <c r="Q638" s="170">
        <f>8000*Entradas!$D$26*P638/Constantes!$E$45</f>
        <v>0</v>
      </c>
      <c r="R638" s="170">
        <f>IF(Escenarios!$E$14&gt;0,K638*Escenarios!$E$13/Escenarios!$E$14,0)</f>
        <v>0</v>
      </c>
      <c r="S638" s="170">
        <f>IF(Escenarios!$E$14&gt;0,Q638*Escenarios!$E$13/Escenarios!$E$14,0)</f>
        <v>0</v>
      </c>
      <c r="T638" s="170">
        <f>IF(Escenarios!$E$14&gt;0,Observaciones!$I637,0)</f>
        <v>0</v>
      </c>
      <c r="U638" s="170">
        <f>IF(Escenarios!$E$14&gt;0,MAX(0,Constantes!$E$36/((Z637+R638+S638+T638+Observaciones!$F637)^2)+Entradas!$E$77),0)</f>
        <v>0</v>
      </c>
      <c r="V638" s="146">
        <f>IF(ETo!D637&gt;0,ETo!I637*((1-Entradas!$E$81)*ETo!K637+ETo!L637),0)</f>
        <v>3.5672668536414744</v>
      </c>
      <c r="W638" s="170">
        <f>IF(Escenarios!$E$14&gt;0,MIN(V638*1,0.8*(Z637+R638+S638+T638+Observaciones!$F637-U638-Constantes!$E$35)),0)</f>
        <v>1.6000002047999999</v>
      </c>
      <c r="X638" s="170">
        <f>IF(Escenarios!$E$14&gt;0,Observaciones!$J637,0)</f>
        <v>0</v>
      </c>
      <c r="Y638" s="170">
        <f>IF(Escenarios!$E$14&gt;0,MAX(0,Z637+R638+S638+T638+Observaciones!$F637-U638-W638-X638-Constantes!$E$33),0)</f>
        <v>0</v>
      </c>
      <c r="Z638" s="170">
        <f>Z637+R638+S638+T638+Observaciones!$F637-U638-W638-Y638</f>
        <v>41.650000051200003</v>
      </c>
      <c r="AA638" s="170">
        <f>IF(Escenarios!$E$14&gt;0,(Escenarios!$E$13*L638+Escenarios!$E$14*W638)/(Escenarios!$E$16),L638)</f>
        <v>1.600159028327385</v>
      </c>
      <c r="AB638" s="170">
        <f>IF(Escenarios!$E$14&gt;0,(Escenarios!$E$14*Y638)/(Escenarios!$E$16),K638)</f>
        <v>0</v>
      </c>
      <c r="AC638" s="170">
        <f>IF(Escenarios!$E$14&gt;0,(Escenarios!$E$13*M638+Escenarios!$E$14*U638)/(Escenarios!$E$16),M638)</f>
        <v>0</v>
      </c>
      <c r="AD638" s="76">
        <f t="shared" si="127"/>
        <v>72.024514306779295</v>
      </c>
      <c r="AE638" s="76">
        <f>MAX(0,(AD638-Constantes!$D$13)*(1-EXP(-Constantes!$D$23)))</f>
        <v>0.22932933302210717</v>
      </c>
      <c r="AF638" s="76">
        <f>AB638+O638*Escenarios!$E$13/Escenarios!$E$16+AE638</f>
        <v>0.24073456715220054</v>
      </c>
      <c r="AG638" s="76">
        <f>IF(Entradas!$E$91&gt;0,IF(AF638-Escenarios!$E$38&lt;=0,0,IF(AF638-Escenarios!$E$38&gt;Escenarios!$E$37,Escenarios!$E$37,AF638-Escenarios!$E$38)),0)</f>
        <v>0</v>
      </c>
      <c r="AH638" s="76">
        <f>AG638*Entradas!$E$99</f>
        <v>0</v>
      </c>
      <c r="AI638" s="76">
        <f>IF(Entradas!$E$91&gt;0,D638*Entradas!$D$23/Escenarios!$E$16,0)</f>
        <v>0</v>
      </c>
      <c r="AJ638" s="76">
        <f>IF(Entradas!$E$91&gt;0,Entradas!$D$24*Entradas!$D$22/Escenarios!$E$16,0)</f>
        <v>0</v>
      </c>
      <c r="AK638" s="76">
        <f t="shared" si="136"/>
        <v>1.600159028327385</v>
      </c>
      <c r="AL638" s="76">
        <f t="shared" si="137"/>
        <v>0</v>
      </c>
      <c r="AM638" s="76">
        <f t="shared" si="128"/>
        <v>0</v>
      </c>
      <c r="AN638" s="76">
        <f>MAX(0,O638*Escenarios!$E$13/Escenarios!$E$16-AM638)</f>
        <v>1.1405234130093362E-2</v>
      </c>
      <c r="AO638" s="76">
        <f>AM638+AN638-O638*Escenarios!$E$13/Escenarios!$E$16</f>
        <v>0</v>
      </c>
      <c r="AP638" s="76">
        <f t="shared" si="126"/>
        <v>0.22932933302210717</v>
      </c>
      <c r="AQ638" s="76">
        <f t="shared" si="129"/>
        <v>0</v>
      </c>
      <c r="AR638" s="76">
        <f t="shared" si="130"/>
        <v>0.24073456715220054</v>
      </c>
      <c r="AS638" s="76">
        <f t="shared" si="131"/>
        <v>0</v>
      </c>
      <c r="AT638" s="76">
        <f t="shared" si="132"/>
        <v>0</v>
      </c>
      <c r="AU638" s="76">
        <f t="shared" si="133"/>
        <v>48.75</v>
      </c>
      <c r="AV638" s="76">
        <f>MAX(0,(AU638-Constantes!$D$13)*(1-EXP(-Constantes!$D$24)))</f>
        <v>0</v>
      </c>
      <c r="AW638" s="170">
        <f>AW637+(Entradas!$E$112*AT638-AX637)/(800*Entradas!$D$25)</f>
        <v>0</v>
      </c>
      <c r="AX638" s="170">
        <f>8000*Entradas!$D$26*AW638/Constantes!$E$45</f>
        <v>0</v>
      </c>
      <c r="AY638" s="170">
        <f>IF(Escenarios!$E$17&gt;0,10*Escenarios!$E$16*AL638,0)</f>
        <v>0</v>
      </c>
      <c r="AZ638" s="170">
        <f>IF(Escenarios!$E$17&gt;0,10*Escenarios!$E$16*AX638,0)</f>
        <v>0</v>
      </c>
      <c r="BA638" s="170">
        <f>IF(Escenarios!$E$17&gt;0,0.001*Observaciones!$F637*Escenarios!$E$17,0)</f>
        <v>40</v>
      </c>
      <c r="BB638" s="170">
        <f>IF(Escenarios!$E$17&gt;0,Observaciones!$K637,0)</f>
        <v>0</v>
      </c>
      <c r="BC638" s="170">
        <f>IF(Escenarios!$E$17&gt;0,MIN(0.0005*ETo!$M637*Escenarios!$E$17*(BG637/Constantes!$E$40)^(2/3),BG637+AY638+AZ638+BA638+BB638),0)</f>
        <v>0.59111805864555866</v>
      </c>
      <c r="BD638" s="170">
        <f>IF(Escenarios!$E$17&gt;0,MIN(Constantes!$E$39*(BG637/Constantes!$E$40)^(2/3),BG637+AY638+AZ638+BA638+BB638-BC638),0)</f>
        <v>1.060801186641084</v>
      </c>
      <c r="BE638" s="170">
        <f>IF(Escenarios!$E$17&gt;0,MIN(Entradas!$E$113,BG637+AY638+AZ638+BA638+BB638-BC638-BD638),0)</f>
        <v>1</v>
      </c>
      <c r="BF638" s="170">
        <f>IF(Escenarios!$E$17&gt;0,MAX(0,BG637+AY638+AZ638+BA638+BB638-BC638-BD638-BE638-Constantes!$E$40),0)</f>
        <v>0</v>
      </c>
      <c r="BG638" s="170">
        <f t="shared" si="138"/>
        <v>47.527541120607609</v>
      </c>
      <c r="BH638" s="170">
        <f>(Escenarios!$E$16*AK638+0.1*BC638)/(Escenarios!$E$19)</f>
        <v>1.5876939241575825</v>
      </c>
      <c r="BI638" s="170">
        <f>IF(Escenarios!$E$17&gt;0,BF638/10/Escenarios!$E$19,AL638)</f>
        <v>0</v>
      </c>
      <c r="BJ638" s="170">
        <f>(Escenarios!$E$16*AT638+0.1*BD638)/(Escenarios!$E$19)</f>
        <v>4.2095285184170003E-4</v>
      </c>
      <c r="BK638" s="76">
        <f>BK637+(0.1*BD638)/(Escenarios!$E$19)-BL637</f>
        <v>49.701002815841974</v>
      </c>
      <c r="BL638" s="76">
        <f>MAX(0,(BK638-Constantes!$D$13)*(1-EXP(-Constantes!$D$23)))</f>
        <v>9.3704572557142766E-3</v>
      </c>
      <c r="BM638" s="76">
        <f t="shared" si="134"/>
        <v>0.23869979027782146</v>
      </c>
      <c r="BN638" s="76">
        <f t="shared" si="139"/>
        <v>0.25010502440791482</v>
      </c>
      <c r="BO638" s="76">
        <f>0.0526*BI638*Observaciones!$F637^1.218</f>
        <v>0</v>
      </c>
      <c r="BP638" s="76">
        <f>BO638*Constantes!$E$51</f>
        <v>0</v>
      </c>
      <c r="BQ638" s="76">
        <f t="shared" si="135"/>
        <v>0</v>
      </c>
      <c r="BR638" s="40"/>
    </row>
    <row r="639" spans="1:70">
      <c r="A639" s="147"/>
      <c r="B639" s="39"/>
      <c r="C639" s="75">
        <v>633</v>
      </c>
      <c r="D639" s="146">
        <f>ETo!$I638*((1-Constantes!$E$19)*ETo!$K638+ETo!$L638)</f>
        <v>3.9224216525434383</v>
      </c>
      <c r="E639" s="76">
        <f>MIN(D639*Constantes!$E$17,0.8*(N638+Observaciones!$F638-F639-M639-Constantes!$D$14))</f>
        <v>1.9177202429106655</v>
      </c>
      <c r="F639" s="76">
        <f>IF(Observaciones!$F638&gt;0.05*Constantes!$E$18,((Observaciones!$F638-0.05*Constantes!$E$18)^2)/(Observaciones!$F638+0.95*Constantes!$E$18),0)</f>
        <v>0</v>
      </c>
      <c r="G639" s="76">
        <f>IF(Escenarios!$E$11&gt;0,(F639*Escenarios!$E$16*10000)/1000,0)</f>
        <v>0</v>
      </c>
      <c r="H639" s="76">
        <f>IF(Escenarios!$E$11&gt;0,(Observaciones!$F638*Constantes!$E$29)/1000,0)</f>
        <v>45</v>
      </c>
      <c r="I639" s="76">
        <f>IF(Escenarios!$E$11&gt;0,(D639*Constantes!$E$29)/1000,0)</f>
        <v>39.224216525434386</v>
      </c>
      <c r="J639" s="76">
        <f>IF(Escenarios!$E$11&gt;0,MAX(0,G639+H639-I639),0)</f>
        <v>5.775783474565614</v>
      </c>
      <c r="K639" s="76">
        <f>IF(Escenarios!$E$11&gt;0,IF(J639&gt;Constantes!$E$30,1000*((J639-Constantes!$E$30)/(Escenarios!$E$16*10000)),0),F639)</f>
        <v>0</v>
      </c>
      <c r="L639" s="76">
        <f>IF(Escenarios!$E$11&gt;0,I639*1000/Escenarios!$E$16/10000+E639,E639)</f>
        <v>1.9334099295208391</v>
      </c>
      <c r="M639" s="76">
        <f>MAX(0,N638+Observaciones!$F638-K639-Constantes!$D$13)</f>
        <v>0</v>
      </c>
      <c r="N639" s="76">
        <f>N638+Observaciones!$F638-K639-L639-M639-O638</f>
        <v>14.184108043520821</v>
      </c>
      <c r="O639" s="76">
        <f>MAX(0,(N639-Constantes!$D$14)*(1-EXP(-Constantes!$D$22)))</f>
        <v>9.9946491293458048E-2</v>
      </c>
      <c r="P639" s="170">
        <f>P638+(Entradas!$E$83*M639-Q638)/(800*Entradas!$D$25)</f>
        <v>0</v>
      </c>
      <c r="Q639" s="170">
        <f>8000*Entradas!$D$26*P639/Constantes!$E$45</f>
        <v>0</v>
      </c>
      <c r="R639" s="170">
        <f>IF(Escenarios!$E$14&gt;0,K639*Escenarios!$E$13/Escenarios!$E$14,0)</f>
        <v>0</v>
      </c>
      <c r="S639" s="170">
        <f>IF(Escenarios!$E$14&gt;0,Q639*Escenarios!$E$13/Escenarios!$E$14,0)</f>
        <v>0</v>
      </c>
      <c r="T639" s="170">
        <f>IF(Escenarios!$E$14&gt;0,Observaciones!$I638,0)</f>
        <v>0</v>
      </c>
      <c r="U639" s="170">
        <f>IF(Escenarios!$E$14&gt;0,MAX(0,Constantes!$E$36/((Z638+R639+S639+T639+Observaciones!$F638)^2)+Entradas!$E$77),0)</f>
        <v>0</v>
      </c>
      <c r="V639" s="146">
        <f>IF(ETo!D638&gt;0,ETo!I638*((1-Entradas!$E$81)*ETo!K638+ETo!L638),0)</f>
        <v>3.5758317916678783</v>
      </c>
      <c r="W639" s="170">
        <f>IF(Escenarios!$E$14&gt;0,MIN(V639*1,0.8*(Z638+R639+S639+T639+Observaciones!$F638-U639-Constantes!$E$35)),0)</f>
        <v>3.5758317916678783</v>
      </c>
      <c r="X639" s="170">
        <f>IF(Escenarios!$E$14&gt;0,Observaciones!$J638,0)</f>
        <v>0</v>
      </c>
      <c r="Y639" s="170">
        <f>IF(Escenarios!$E$14&gt;0,MAX(0,Z638+R639+S639+T639+Observaciones!$F638-U639-W639-X639-Constantes!$E$33),0)</f>
        <v>0</v>
      </c>
      <c r="Z639" s="170">
        <f>Z638+R639+S639+T639+Observaciones!$F638-U639-W639-Y639</f>
        <v>42.574168259532122</v>
      </c>
      <c r="AA639" s="170">
        <f>IF(Escenarios!$E$14&gt;0,(Escenarios!$E$13*L639+Escenarios!$E$14*W639)/(Escenarios!$E$16),L639)</f>
        <v>2.130500552978484</v>
      </c>
      <c r="AB639" s="170">
        <f>IF(Escenarios!$E$14&gt;0,(Escenarios!$E$14*Y639)/(Escenarios!$E$16),K639)</f>
        <v>0</v>
      </c>
      <c r="AC639" s="170">
        <f>IF(Escenarios!$E$14&gt;0,(Escenarios!$E$13*M639+Escenarios!$E$14*U639)/(Escenarios!$E$16),M639)</f>
        <v>0</v>
      </c>
      <c r="AD639" s="76">
        <f t="shared" si="127"/>
        <v>71.795184973757188</v>
      </c>
      <c r="AE639" s="76">
        <f>MAX(0,(AD639-Constantes!$D$13)*(1-EXP(-Constantes!$D$23)))</f>
        <v>0.2270696964818488</v>
      </c>
      <c r="AF639" s="76">
        <f>AB639+O639*Escenarios!$E$13/Escenarios!$E$16+AE639</f>
        <v>0.31502260882009187</v>
      </c>
      <c r="AG639" s="76">
        <f>IF(Entradas!$E$91&gt;0,IF(AF639-Escenarios!$E$38&lt;=0,0,IF(AF639-Escenarios!$E$38&gt;Escenarios!$E$37,Escenarios!$E$37,AF639-Escenarios!$E$38)),0)</f>
        <v>0</v>
      </c>
      <c r="AH639" s="76">
        <f>AG639*Entradas!$E$99</f>
        <v>0</v>
      </c>
      <c r="AI639" s="76">
        <f>IF(Entradas!$E$91&gt;0,D639*Entradas!$D$23/Escenarios!$E$16,0)</f>
        <v>0</v>
      </c>
      <c r="AJ639" s="76">
        <f>IF(Entradas!$E$91&gt;0,Entradas!$D$24*Entradas!$D$22/Escenarios!$E$16,0)</f>
        <v>0</v>
      </c>
      <c r="AK639" s="76">
        <f t="shared" si="136"/>
        <v>2.130500552978484</v>
      </c>
      <c r="AL639" s="76">
        <f t="shared" si="137"/>
        <v>0</v>
      </c>
      <c r="AM639" s="76">
        <f t="shared" si="128"/>
        <v>0</v>
      </c>
      <c r="AN639" s="76">
        <f>MAX(0,O639*Escenarios!$E$13/Escenarios!$E$16-AM639)</f>
        <v>8.7952912338243081E-2</v>
      </c>
      <c r="AO639" s="76">
        <f>AM639+AN639-O639*Escenarios!$E$13/Escenarios!$E$16</f>
        <v>0</v>
      </c>
      <c r="AP639" s="76">
        <f t="shared" si="126"/>
        <v>0.2270696964818488</v>
      </c>
      <c r="AQ639" s="76">
        <f t="shared" si="129"/>
        <v>0</v>
      </c>
      <c r="AR639" s="76">
        <f t="shared" si="130"/>
        <v>0.31502260882009187</v>
      </c>
      <c r="AS639" s="76">
        <f t="shared" si="131"/>
        <v>0</v>
      </c>
      <c r="AT639" s="76">
        <f t="shared" si="132"/>
        <v>0</v>
      </c>
      <c r="AU639" s="76">
        <f t="shared" si="133"/>
        <v>48.75</v>
      </c>
      <c r="AV639" s="76">
        <f>MAX(0,(AU639-Constantes!$D$13)*(1-EXP(-Constantes!$D$24)))</f>
        <v>0</v>
      </c>
      <c r="AW639" s="170">
        <f>AW638+(Entradas!$E$112*AT639-AX638)/(800*Entradas!$D$25)</f>
        <v>0</v>
      </c>
      <c r="AX639" s="170">
        <f>8000*Entradas!$D$26*AW639/Constantes!$E$45</f>
        <v>0</v>
      </c>
      <c r="AY639" s="170">
        <f>IF(Escenarios!$E$17&gt;0,10*Escenarios!$E$16*AL639,0)</f>
        <v>0</v>
      </c>
      <c r="AZ639" s="170">
        <f>IF(Escenarios!$E$17&gt;0,10*Escenarios!$E$16*AX639,0)</f>
        <v>0</v>
      </c>
      <c r="BA639" s="170">
        <f>IF(Escenarios!$E$17&gt;0,0.001*Observaciones!$F638*Escenarios!$E$17,0)</f>
        <v>90.000000000000014</v>
      </c>
      <c r="BB639" s="170">
        <f>IF(Escenarios!$E$17&gt;0,Observaciones!$K638,0)</f>
        <v>0</v>
      </c>
      <c r="BC639" s="170">
        <f>IF(Escenarios!$E$17&gt;0,MIN(0.0005*ETo!$M638*Escenarios!$E$17*(BG638/Constantes!$E$40)^(2/3),BG638+AY639+AZ639+BA639+BB639),0)</f>
        <v>1.6549463462897995</v>
      </c>
      <c r="BD639" s="170">
        <f>IF(Escenarios!$E$17&gt;0,MIN(Constantes!$E$39*(BG638/Constantes!$E$40)^(2/3),BG638+AY639+AZ639+BA639+BB639-BC639),0)</f>
        <v>2.9633370926907499</v>
      </c>
      <c r="BE639" s="170">
        <f>IF(Escenarios!$E$17&gt;0,MIN(Entradas!$E$113,BG638+AY639+AZ639+BA639+BB639-BC639-BD639),0)</f>
        <v>1</v>
      </c>
      <c r="BF639" s="170">
        <f>IF(Escenarios!$E$17&gt;0,MAX(0,BG638+AY639+AZ639+BA639+BB639-BC639-BD639-BE639-Constantes!$E$40),0)</f>
        <v>0</v>
      </c>
      <c r="BG639" s="170">
        <f t="shared" si="138"/>
        <v>131.90925768162708</v>
      </c>
      <c r="BH639" s="170">
        <f>(Escenarios!$E$16*AK639+0.1*BC639)/(Escenarios!$E$19)</f>
        <v>2.1142485431716271</v>
      </c>
      <c r="BI639" s="170">
        <f>IF(Escenarios!$E$17&gt;0,BF639/10/Escenarios!$E$19,AL639)</f>
        <v>0</v>
      </c>
      <c r="BJ639" s="170">
        <f>(Escenarios!$E$16*AT639+0.1*BD639)/(Escenarios!$E$19)</f>
        <v>1.1759274177344245E-3</v>
      </c>
      <c r="BK639" s="76">
        <f>BK638+(0.1*BD639)/(Escenarios!$E$19)-BL638</f>
        <v>49.692808286003995</v>
      </c>
      <c r="BL639" s="76">
        <f>MAX(0,(BK639-Constantes!$D$13)*(1-EXP(-Constantes!$D$23)))</f>
        <v>9.2897146014357234E-3</v>
      </c>
      <c r="BM639" s="76">
        <f t="shared" si="134"/>
        <v>0.23635941108328451</v>
      </c>
      <c r="BN639" s="76">
        <f t="shared" si="139"/>
        <v>0.3243123234215276</v>
      </c>
      <c r="BO639" s="76">
        <f>0.0526*BI639*Observaciones!$F638^1.218</f>
        <v>0</v>
      </c>
      <c r="BP639" s="76">
        <f>BO639*Constantes!$E$51</f>
        <v>0</v>
      </c>
      <c r="BQ639" s="76">
        <f t="shared" si="135"/>
        <v>0</v>
      </c>
      <c r="BR639" s="40"/>
    </row>
    <row r="640" spans="1:70">
      <c r="A640" s="147"/>
      <c r="B640" s="39"/>
      <c r="C640" s="75">
        <v>634</v>
      </c>
      <c r="D640" s="146">
        <f>ETo!$I639*((1-Constantes!$E$19)*ETo!$K639+ETo!$L639)</f>
        <v>3.9016462701495449</v>
      </c>
      <c r="E640" s="76">
        <f>MIN(D640*Constantes!$E$17,0.8*(N639+Observaciones!$F639-F640-M640-Constantes!$D$14))</f>
        <v>1.907562902649925</v>
      </c>
      <c r="F640" s="76">
        <f>IF(Observaciones!$F639&gt;0.05*Constantes!$E$18,((Observaciones!$F639-0.05*Constantes!$E$18)^2)/(Observaciones!$F639+0.95*Constantes!$E$18),0)</f>
        <v>0</v>
      </c>
      <c r="G640" s="76">
        <f>IF(Escenarios!$E$11&gt;0,(F640*Escenarios!$E$16*10000)/1000,0)</f>
        <v>0</v>
      </c>
      <c r="H640" s="76">
        <f>IF(Escenarios!$E$11&gt;0,(Observaciones!$F639*Constantes!$E$29)/1000,0)</f>
        <v>0</v>
      </c>
      <c r="I640" s="76">
        <f>IF(Escenarios!$E$11&gt;0,(D640*Constantes!$E$29)/1000,0)</f>
        <v>39.016462701495449</v>
      </c>
      <c r="J640" s="76">
        <f>IF(Escenarios!$E$11&gt;0,MAX(0,G640+H640-I640),0)</f>
        <v>0</v>
      </c>
      <c r="K640" s="76">
        <f>IF(Escenarios!$E$11&gt;0,IF(J640&gt;Constantes!$E$30,1000*((J640-Constantes!$E$30)/(Escenarios!$E$16*10000)),0),F640)</f>
        <v>0</v>
      </c>
      <c r="L640" s="76">
        <f>IF(Escenarios!$E$11&gt;0,I640*1000/Escenarios!$E$16/10000+E640,E640)</f>
        <v>1.9231694877305232</v>
      </c>
      <c r="M640" s="76">
        <f>MAX(0,N639+Observaciones!$F639-K640-Constantes!$D$13)</f>
        <v>0</v>
      </c>
      <c r="N640" s="76">
        <f>N639+Observaciones!$F639-K640-L640-M640-O639</f>
        <v>12.160992064496838</v>
      </c>
      <c r="O640" s="76">
        <f>MAX(0,(N640-Constantes!$D$14)*(1-EXP(-Constantes!$D$22)))</f>
        <v>3.1031734037096144E-2</v>
      </c>
      <c r="P640" s="170">
        <f>P639+(Entradas!$E$83*M640-Q639)/(800*Entradas!$D$25)</f>
        <v>0</v>
      </c>
      <c r="Q640" s="170">
        <f>8000*Entradas!$D$26*P640/Constantes!$E$45</f>
        <v>0</v>
      </c>
      <c r="R640" s="170">
        <f>IF(Escenarios!$E$14&gt;0,K640*Escenarios!$E$13/Escenarios!$E$14,0)</f>
        <v>0</v>
      </c>
      <c r="S640" s="170">
        <f>IF(Escenarios!$E$14&gt;0,Q640*Escenarios!$E$13/Escenarios!$E$14,0)</f>
        <v>0</v>
      </c>
      <c r="T640" s="170">
        <f>IF(Escenarios!$E$14&gt;0,Observaciones!$I639,0)</f>
        <v>0</v>
      </c>
      <c r="U640" s="170">
        <f>IF(Escenarios!$E$14&gt;0,MAX(0,Constantes!$E$36/((Z639+R640+S640+T640+Observaciones!$F639)^2)+Entradas!$E$77),0)</f>
        <v>0</v>
      </c>
      <c r="V640" s="146">
        <f>IF(ETo!D639&gt;0,ETo!I639*((1-Entradas!$E$81)*ETo!K639+ETo!L639),0)</f>
        <v>3.5568946512798414</v>
      </c>
      <c r="W640" s="170">
        <f>IF(Escenarios!$E$14&gt;0,MIN(V640*1,0.8*(Z639+R640+S640+T640+Observaciones!$F639-U640-Constantes!$E$35)),0)</f>
        <v>1.0593346076256978</v>
      </c>
      <c r="X640" s="170">
        <f>IF(Escenarios!$E$14&gt;0,Observaciones!$J639,0)</f>
        <v>0</v>
      </c>
      <c r="Y640" s="170">
        <f>IF(Escenarios!$E$14&gt;0,MAX(0,Z639+R640+S640+T640+Observaciones!$F639-U640-W640-X640-Constantes!$E$33),0)</f>
        <v>0</v>
      </c>
      <c r="Z640" s="170">
        <f>Z639+R640+S640+T640+Observaciones!$F639-U640-W640-Y640</f>
        <v>41.514833651906422</v>
      </c>
      <c r="AA640" s="170">
        <f>IF(Escenarios!$E$14&gt;0,(Escenarios!$E$13*L640+Escenarios!$E$14*W640)/(Escenarios!$E$16),L640)</f>
        <v>1.819509302117944</v>
      </c>
      <c r="AB640" s="170">
        <f>IF(Escenarios!$E$14&gt;0,(Escenarios!$E$14*Y640)/(Escenarios!$E$16),K640)</f>
        <v>0</v>
      </c>
      <c r="AC640" s="170">
        <f>IF(Escenarios!$E$14&gt;0,(Escenarios!$E$13*M640+Escenarios!$E$14*U640)/(Escenarios!$E$16),M640)</f>
        <v>0</v>
      </c>
      <c r="AD640" s="76">
        <f t="shared" si="127"/>
        <v>71.568115277275339</v>
      </c>
      <c r="AE640" s="76">
        <f>MAX(0,(AD640-Constantes!$D$13)*(1-EXP(-Constantes!$D$23)))</f>
        <v>0.2248323246786251</v>
      </c>
      <c r="AF640" s="76">
        <f>AB640+O640*Escenarios!$E$13/Escenarios!$E$16+AE640</f>
        <v>0.25214025063126971</v>
      </c>
      <c r="AG640" s="76">
        <f>IF(Entradas!$E$91&gt;0,IF(AF640-Escenarios!$E$38&lt;=0,0,IF(AF640-Escenarios!$E$38&gt;Escenarios!$E$37,Escenarios!$E$37,AF640-Escenarios!$E$38)),0)</f>
        <v>0</v>
      </c>
      <c r="AH640" s="76">
        <f>AG640*Entradas!$E$99</f>
        <v>0</v>
      </c>
      <c r="AI640" s="76">
        <f>IF(Entradas!$E$91&gt;0,D640*Entradas!$D$23/Escenarios!$E$16,0)</f>
        <v>0</v>
      </c>
      <c r="AJ640" s="76">
        <f>IF(Entradas!$E$91&gt;0,Entradas!$D$24*Entradas!$D$22/Escenarios!$E$16,0)</f>
        <v>0</v>
      </c>
      <c r="AK640" s="76">
        <f t="shared" si="136"/>
        <v>1.819509302117944</v>
      </c>
      <c r="AL640" s="76">
        <f t="shared" si="137"/>
        <v>0</v>
      </c>
      <c r="AM640" s="76">
        <f t="shared" si="128"/>
        <v>0</v>
      </c>
      <c r="AN640" s="76">
        <f>MAX(0,O640*Escenarios!$E$13/Escenarios!$E$16-AM640)</f>
        <v>2.7307925952644606E-2</v>
      </c>
      <c r="AO640" s="76">
        <f>AM640+AN640-O640*Escenarios!$E$13/Escenarios!$E$16</f>
        <v>0</v>
      </c>
      <c r="AP640" s="76">
        <f t="shared" si="126"/>
        <v>0.2248323246786251</v>
      </c>
      <c r="AQ640" s="76">
        <f t="shared" si="129"/>
        <v>0</v>
      </c>
      <c r="AR640" s="76">
        <f t="shared" si="130"/>
        <v>0.25214025063126971</v>
      </c>
      <c r="AS640" s="76">
        <f t="shared" si="131"/>
        <v>0</v>
      </c>
      <c r="AT640" s="76">
        <f t="shared" si="132"/>
        <v>0</v>
      </c>
      <c r="AU640" s="76">
        <f t="shared" si="133"/>
        <v>48.75</v>
      </c>
      <c r="AV640" s="76">
        <f>MAX(0,(AU640-Constantes!$D$13)*(1-EXP(-Constantes!$D$24)))</f>
        <v>0</v>
      </c>
      <c r="AW640" s="170">
        <f>AW639+(Entradas!$E$112*AT640-AX639)/(800*Entradas!$D$25)</f>
        <v>0</v>
      </c>
      <c r="AX640" s="170">
        <f>8000*Entradas!$D$26*AW640/Constantes!$E$45</f>
        <v>0</v>
      </c>
      <c r="AY640" s="170">
        <f>IF(Escenarios!$E$17&gt;0,10*Escenarios!$E$16*AL640,0)</f>
        <v>0</v>
      </c>
      <c r="AZ640" s="170">
        <f>IF(Escenarios!$E$17&gt;0,10*Escenarios!$E$16*AX640,0)</f>
        <v>0</v>
      </c>
      <c r="BA640" s="170">
        <f>IF(Escenarios!$E$17&gt;0,0.001*Observaciones!$F639*Escenarios!$E$17,0)</f>
        <v>0</v>
      </c>
      <c r="BB640" s="170">
        <f>IF(Escenarios!$E$17&gt;0,Observaciones!$K639,0)</f>
        <v>0</v>
      </c>
      <c r="BC640" s="170">
        <f>IF(Escenarios!$E$17&gt;0,MIN(0.0005*ETo!$M639*Escenarios!$E$17*(BG639/Constantes!$E$40)^(2/3),BG639+AY640+AZ640+BA640+BB640),0)</f>
        <v>3.2511008031747806</v>
      </c>
      <c r="BD640" s="170">
        <f>IF(Escenarios!$E$17&gt;0,MIN(Constantes!$E$39*(BG639/Constantes!$E$40)^(2/3),BG639+AY640+AZ640+BA640+BB640-BC640),0)</f>
        <v>5.8524046126452074</v>
      </c>
      <c r="BE640" s="170">
        <f>IF(Escenarios!$E$17&gt;0,MIN(Entradas!$E$113,BG639+AY640+AZ640+BA640+BB640-BC640-BD640),0)</f>
        <v>1</v>
      </c>
      <c r="BF640" s="170">
        <f>IF(Escenarios!$E$17&gt;0,MAX(0,BG639+AY640+AZ640+BA640+BB640-BC640-BD640-BE640-Constantes!$E$40),0)</f>
        <v>0</v>
      </c>
      <c r="BG640" s="170">
        <f t="shared" si="138"/>
        <v>121.8057522658071</v>
      </c>
      <c r="BH640" s="170">
        <f>(Escenarios!$E$16*AK640+0.1*BC640)/(Escenarios!$E$19)</f>
        <v>1.8063588714674743</v>
      </c>
      <c r="BI640" s="170">
        <f>IF(Escenarios!$E$17&gt;0,BF640/10/Escenarios!$E$19,AL640)</f>
        <v>0</v>
      </c>
      <c r="BJ640" s="170">
        <f>(Escenarios!$E$16*AT640+0.1*BD640)/(Escenarios!$E$19)</f>
        <v>2.3223827827957176E-3</v>
      </c>
      <c r="BK640" s="76">
        <f>BK639+(0.1*BD640)/(Escenarios!$E$19)-BL639</f>
        <v>49.685840954185352</v>
      </c>
      <c r="BL640" s="76">
        <f>MAX(0,(BK640-Constantes!$D$13)*(1-EXP(-Constantes!$D$23)))</f>
        <v>9.221063821537482E-3</v>
      </c>
      <c r="BM640" s="76">
        <f t="shared" si="134"/>
        <v>0.23405338850016258</v>
      </c>
      <c r="BN640" s="76">
        <f t="shared" si="139"/>
        <v>0.26136131445280719</v>
      </c>
      <c r="BO640" s="76">
        <f>0.0526*BI640*Observaciones!$F639^1.218</f>
        <v>0</v>
      </c>
      <c r="BP640" s="76">
        <f>BO640*Constantes!$E$51</f>
        <v>0</v>
      </c>
      <c r="BQ640" s="76">
        <f t="shared" si="135"/>
        <v>0</v>
      </c>
      <c r="BR640" s="40"/>
    </row>
    <row r="641" spans="1:70">
      <c r="A641" s="147"/>
      <c r="B641" s="39"/>
      <c r="C641" s="75">
        <v>635</v>
      </c>
      <c r="D641" s="146">
        <f>ETo!$I640*((1-Constantes!$E$19)*ETo!$K640+ETo!$L640)</f>
        <v>3.8549997840683918</v>
      </c>
      <c r="E641" s="76">
        <f>MIN(D641*Constantes!$E$17,0.8*(N640+Observaciones!$F640-F641-M641-Constantes!$D$14))</f>
        <v>0.72879365159747067</v>
      </c>
      <c r="F641" s="76">
        <f>IF(Observaciones!$F640&gt;0.05*Constantes!$E$18,((Observaciones!$F640-0.05*Constantes!$E$18)^2)/(Observaciones!$F640+0.95*Constantes!$E$18),0)</f>
        <v>0</v>
      </c>
      <c r="G641" s="76">
        <f>IF(Escenarios!$E$11&gt;0,(F641*Escenarios!$E$16*10000)/1000,0)</f>
        <v>0</v>
      </c>
      <c r="H641" s="76">
        <f>IF(Escenarios!$E$11&gt;0,(Observaciones!$F640*Constantes!$E$29)/1000,0)</f>
        <v>0</v>
      </c>
      <c r="I641" s="76">
        <f>IF(Escenarios!$E$11&gt;0,(D641*Constantes!$E$29)/1000,0)</f>
        <v>38.549997840683922</v>
      </c>
      <c r="J641" s="76">
        <f>IF(Escenarios!$E$11&gt;0,MAX(0,G641+H641-I641),0)</f>
        <v>0</v>
      </c>
      <c r="K641" s="76">
        <f>IF(Escenarios!$E$11&gt;0,IF(J641&gt;Constantes!$E$30,1000*((J641-Constantes!$E$30)/(Escenarios!$E$16*10000)),0),F641)</f>
        <v>0</v>
      </c>
      <c r="L641" s="76">
        <f>IF(Escenarios!$E$11&gt;0,I641*1000/Escenarios!$E$16/10000+E641,E641)</f>
        <v>0.74421365073374424</v>
      </c>
      <c r="M641" s="76">
        <f>MAX(0,N640+Observaciones!$F640-K641-Constantes!$D$13)</f>
        <v>0</v>
      </c>
      <c r="N641" s="76">
        <f>N640+Observaciones!$F640-K641-L641-M641-O640</f>
        <v>11.385746679725997</v>
      </c>
      <c r="O641" s="76">
        <f>MAX(0,(N641-Constantes!$D$14)*(1-EXP(-Constantes!$D$22)))</f>
        <v>4.6240302477307061E-3</v>
      </c>
      <c r="P641" s="170">
        <f>P640+(Entradas!$E$83*M641-Q640)/(800*Entradas!$D$25)</f>
        <v>0</v>
      </c>
      <c r="Q641" s="170">
        <f>8000*Entradas!$D$26*P641/Constantes!$E$45</f>
        <v>0</v>
      </c>
      <c r="R641" s="170">
        <f>IF(Escenarios!$E$14&gt;0,K641*Escenarios!$E$13/Escenarios!$E$14,0)</f>
        <v>0</v>
      </c>
      <c r="S641" s="170">
        <f>IF(Escenarios!$E$14&gt;0,Q641*Escenarios!$E$13/Escenarios!$E$14,0)</f>
        <v>0</v>
      </c>
      <c r="T641" s="170">
        <f>IF(Escenarios!$E$14&gt;0,Observaciones!$I640,0)</f>
        <v>0</v>
      </c>
      <c r="U641" s="170">
        <f>IF(Escenarios!$E$14&gt;0,MAX(0,Constantes!$E$36/((Z640+R641+S641+T641+Observaciones!$F640)^2)+Entradas!$E$77),0)</f>
        <v>0</v>
      </c>
      <c r="V641" s="146">
        <f>IF(ETo!D640&gt;0,ETo!I640*((1-Entradas!$E$81)*ETo!K640+ETo!L640),0)</f>
        <v>3.5141861047235321</v>
      </c>
      <c r="W641" s="170">
        <f>IF(Escenarios!$E$14&gt;0,MIN(V641*1,0.8*(Z640+R641+S641+T641+Observaciones!$F640-U641-Constantes!$E$35)),0)</f>
        <v>0.21186692152513731</v>
      </c>
      <c r="X641" s="170">
        <f>IF(Escenarios!$E$14&gt;0,Observaciones!$J640,0)</f>
        <v>0</v>
      </c>
      <c r="Y641" s="170">
        <f>IF(Escenarios!$E$14&gt;0,MAX(0,Z640+R641+S641+T641+Observaciones!$F640-U641-W641-X641-Constantes!$E$33),0)</f>
        <v>0</v>
      </c>
      <c r="Z641" s="170">
        <f>Z640+R641+S641+T641+Observaciones!$F640-U641-W641-Y641</f>
        <v>41.302966730381286</v>
      </c>
      <c r="AA641" s="170">
        <f>IF(Escenarios!$E$14&gt;0,(Escenarios!$E$13*L641+Escenarios!$E$14*W641)/(Escenarios!$E$16),L641)</f>
        <v>0.68033204322871144</v>
      </c>
      <c r="AB641" s="170">
        <f>IF(Escenarios!$E$14&gt;0,(Escenarios!$E$14*Y641)/(Escenarios!$E$16),K641)</f>
        <v>0</v>
      </c>
      <c r="AC641" s="170">
        <f>IF(Escenarios!$E$14&gt;0,(Escenarios!$E$13*M641+Escenarios!$E$14*U641)/(Escenarios!$E$16),M641)</f>
        <v>0</v>
      </c>
      <c r="AD641" s="76">
        <f t="shared" si="127"/>
        <v>71.343282952596709</v>
      </c>
      <c r="AE641" s="76">
        <f>MAX(0,(AD641-Constantes!$D$13)*(1-EXP(-Constantes!$D$23)))</f>
        <v>0.22261699823267897</v>
      </c>
      <c r="AF641" s="76">
        <f>AB641+O641*Escenarios!$E$13/Escenarios!$E$16+AE641</f>
        <v>0.226686144850682</v>
      </c>
      <c r="AG641" s="76">
        <f>IF(Entradas!$E$91&gt;0,IF(AF641-Escenarios!$E$38&lt;=0,0,IF(AF641-Escenarios!$E$38&gt;Escenarios!$E$37,Escenarios!$E$37,AF641-Escenarios!$E$38)),0)</f>
        <v>0</v>
      </c>
      <c r="AH641" s="76">
        <f>AG641*Entradas!$E$99</f>
        <v>0</v>
      </c>
      <c r="AI641" s="76">
        <f>IF(Entradas!$E$91&gt;0,D641*Entradas!$D$23/Escenarios!$E$16,0)</f>
        <v>0</v>
      </c>
      <c r="AJ641" s="76">
        <f>IF(Entradas!$E$91&gt;0,Entradas!$D$24*Entradas!$D$22/Escenarios!$E$16,0)</f>
        <v>0</v>
      </c>
      <c r="AK641" s="76">
        <f t="shared" si="136"/>
        <v>0.68033204322871144</v>
      </c>
      <c r="AL641" s="76">
        <f t="shared" si="137"/>
        <v>0</v>
      </c>
      <c r="AM641" s="76">
        <f t="shared" si="128"/>
        <v>0</v>
      </c>
      <c r="AN641" s="76">
        <f>MAX(0,O641*Escenarios!$E$13/Escenarios!$E$16-AM641)</f>
        <v>4.0691466180030212E-3</v>
      </c>
      <c r="AO641" s="76">
        <f>AM641+AN641-O641*Escenarios!$E$13/Escenarios!$E$16</f>
        <v>0</v>
      </c>
      <c r="AP641" s="76">
        <f t="shared" si="126"/>
        <v>0.22261699823267897</v>
      </c>
      <c r="AQ641" s="76">
        <f t="shared" si="129"/>
        <v>0</v>
      </c>
      <c r="AR641" s="76">
        <f t="shared" si="130"/>
        <v>0.226686144850682</v>
      </c>
      <c r="AS641" s="76">
        <f t="shared" si="131"/>
        <v>0</v>
      </c>
      <c r="AT641" s="76">
        <f t="shared" si="132"/>
        <v>0</v>
      </c>
      <c r="AU641" s="76">
        <f t="shared" si="133"/>
        <v>48.75</v>
      </c>
      <c r="AV641" s="76">
        <f>MAX(0,(AU641-Constantes!$D$13)*(1-EXP(-Constantes!$D$24)))</f>
        <v>0</v>
      </c>
      <c r="AW641" s="170">
        <f>AW640+(Entradas!$E$112*AT641-AX640)/(800*Entradas!$D$25)</f>
        <v>0</v>
      </c>
      <c r="AX641" s="170">
        <f>8000*Entradas!$D$26*AW641/Constantes!$E$45</f>
        <v>0</v>
      </c>
      <c r="AY641" s="170">
        <f>IF(Escenarios!$E$17&gt;0,10*Escenarios!$E$16*AL641,0)</f>
        <v>0</v>
      </c>
      <c r="AZ641" s="170">
        <f>IF(Escenarios!$E$17&gt;0,10*Escenarios!$E$16*AX641,0)</f>
        <v>0</v>
      </c>
      <c r="BA641" s="170">
        <f>IF(Escenarios!$E$17&gt;0,0.001*Observaciones!$F640*Escenarios!$E$17,0)</f>
        <v>0</v>
      </c>
      <c r="BB641" s="170">
        <f>IF(Escenarios!$E$17&gt;0,Observaciones!$K640,0)</f>
        <v>0</v>
      </c>
      <c r="BC641" s="170">
        <f>IF(Escenarios!$E$17&gt;0,MIN(0.0005*ETo!$M640*Escenarios!$E$17*(BG640/Constantes!$E$40)^(2/3),BG640+AY641+AZ641+BA641+BB641),0)</f>
        <v>3.0462381150692348</v>
      </c>
      <c r="BD641" s="170">
        <f>IF(Escenarios!$E$17&gt;0,MIN(Constantes!$E$39*(BG640/Constantes!$E$40)^(2/3),BG640+AY641+AZ641+BA641+BB641-BC641),0)</f>
        <v>5.5496129113861254</v>
      </c>
      <c r="BE641" s="170">
        <f>IF(Escenarios!$E$17&gt;0,MIN(Entradas!$E$113,BG640+AY641+AZ641+BA641+BB641-BC641-BD641),0)</f>
        <v>1</v>
      </c>
      <c r="BF641" s="170">
        <f>IF(Escenarios!$E$17&gt;0,MAX(0,BG640+AY641+AZ641+BA641+BB641-BC641-BD641-BE641-Constantes!$E$40),0)</f>
        <v>0</v>
      </c>
      <c r="BG641" s="170">
        <f t="shared" si="138"/>
        <v>112.20990123935175</v>
      </c>
      <c r="BH641" s="170">
        <f>(Escenarios!$E$16*AK641+0.1*BC641)/(Escenarios!$E$19)</f>
        <v>0.67614140721700311</v>
      </c>
      <c r="BI641" s="170">
        <f>IF(Escenarios!$E$17&gt;0,BF641/10/Escenarios!$E$19,AL641)</f>
        <v>0</v>
      </c>
      <c r="BJ641" s="170">
        <f>(Escenarios!$E$16*AT641+0.1*BD641)/(Escenarios!$E$19)</f>
        <v>2.2022273457881453E-3</v>
      </c>
      <c r="BK641" s="76">
        <f>BK640+(0.1*BD641)/(Escenarios!$E$19)-BL640</f>
        <v>49.678822117709608</v>
      </c>
      <c r="BL641" s="76">
        <f>MAX(0,(BK641-Constantes!$D$13)*(1-EXP(-Constantes!$D$23)))</f>
        <v>9.1519055539853733E-3</v>
      </c>
      <c r="BM641" s="76">
        <f t="shared" si="134"/>
        <v>0.23176890378666434</v>
      </c>
      <c r="BN641" s="76">
        <f t="shared" si="139"/>
        <v>0.23583805040466738</v>
      </c>
      <c r="BO641" s="76">
        <f>0.0526*BI641*Observaciones!$F640^1.218</f>
        <v>0</v>
      </c>
      <c r="BP641" s="76">
        <f>BO641*Constantes!$E$51</f>
        <v>0</v>
      </c>
      <c r="BQ641" s="76">
        <f t="shared" si="135"/>
        <v>0</v>
      </c>
      <c r="BR641" s="40"/>
    </row>
    <row r="642" spans="1:70">
      <c r="A642" s="147"/>
      <c r="B642" s="39"/>
      <c r="C642" s="75">
        <v>636</v>
      </c>
      <c r="D642" s="146">
        <f>ETo!$I641*((1-Constantes!$E$19)*ETo!$K641+ETo!$L641)</f>
        <v>3.9394438633738456</v>
      </c>
      <c r="E642" s="76">
        <f>MIN(D642*Constantes!$E$17,0.8*(N641+Observaciones!$F641-F642-M642-Constantes!$D$14))</f>
        <v>0.10859734378079794</v>
      </c>
      <c r="F642" s="76">
        <f>IF(Observaciones!$F641&gt;0.05*Constantes!$E$18,((Observaciones!$F641-0.05*Constantes!$E$18)^2)/(Observaciones!$F641+0.95*Constantes!$E$18),0)</f>
        <v>0</v>
      </c>
      <c r="G642" s="76">
        <f>IF(Escenarios!$E$11&gt;0,(F642*Escenarios!$E$16*10000)/1000,0)</f>
        <v>0</v>
      </c>
      <c r="H642" s="76">
        <f>IF(Escenarios!$E$11&gt;0,(Observaciones!$F641*Constantes!$E$29)/1000,0)</f>
        <v>0</v>
      </c>
      <c r="I642" s="76">
        <f>IF(Escenarios!$E$11&gt;0,(D642*Constantes!$E$29)/1000,0)</f>
        <v>39.39443863373846</v>
      </c>
      <c r="J642" s="76">
        <f>IF(Escenarios!$E$11&gt;0,MAX(0,G642+H642-I642),0)</f>
        <v>0</v>
      </c>
      <c r="K642" s="76">
        <f>IF(Escenarios!$E$11&gt;0,IF(J642&gt;Constantes!$E$30,1000*((J642-Constantes!$E$30)/(Escenarios!$E$16*10000)),0),F642)</f>
        <v>0</v>
      </c>
      <c r="L642" s="76">
        <f>IF(Escenarios!$E$11&gt;0,I642*1000/Escenarios!$E$16/10000+E642,E642)</f>
        <v>0.12435511923429332</v>
      </c>
      <c r="M642" s="76">
        <f>MAX(0,N641+Observaciones!$F641-K642-Constantes!$D$13)</f>
        <v>0</v>
      </c>
      <c r="N642" s="76">
        <f>N641+Observaciones!$F641-K642-L642-M642-O641</f>
        <v>11.256767530243973</v>
      </c>
      <c r="O642" s="76">
        <f>MAX(0,(N642-Constantes!$D$14)*(1-EXP(-Constantes!$D$22)))</f>
        <v>2.305269242218605E-4</v>
      </c>
      <c r="P642" s="170">
        <f>P641+(Entradas!$E$83*M642-Q641)/(800*Entradas!$D$25)</f>
        <v>0</v>
      </c>
      <c r="Q642" s="170">
        <f>8000*Entradas!$D$26*P642/Constantes!$E$45</f>
        <v>0</v>
      </c>
      <c r="R642" s="170">
        <f>IF(Escenarios!$E$14&gt;0,K642*Escenarios!$E$13/Escenarios!$E$14,0)</f>
        <v>0</v>
      </c>
      <c r="S642" s="170">
        <f>IF(Escenarios!$E$14&gt;0,Q642*Escenarios!$E$13/Escenarios!$E$14,0)</f>
        <v>0</v>
      </c>
      <c r="T642" s="170">
        <f>IF(Escenarios!$E$14&gt;0,Observaciones!$I641,0)</f>
        <v>0</v>
      </c>
      <c r="U642" s="170">
        <f>IF(Escenarios!$E$14&gt;0,MAX(0,Constantes!$E$36/((Z641+R642+S642+T642+Observaciones!$F641)^2)+Entradas!$E$77),0)</f>
        <v>0</v>
      </c>
      <c r="V642" s="146">
        <f>IF(ETo!D641&gt;0,ETo!I641*((1-Entradas!$E$81)*ETo!K641+ETo!L641),0)</f>
        <v>3.5920891164955489</v>
      </c>
      <c r="W642" s="170">
        <f>IF(Escenarios!$E$14&gt;0,MIN(V642*1,0.8*(Z641+R642+S642+T642+Observaciones!$F641-U642-Constantes!$E$35)),0)</f>
        <v>4.23733843050286E-2</v>
      </c>
      <c r="X642" s="170">
        <f>IF(Escenarios!$E$14&gt;0,Observaciones!$J641,0)</f>
        <v>0</v>
      </c>
      <c r="Y642" s="170">
        <f>IF(Escenarios!$E$14&gt;0,MAX(0,Z641+R642+S642+T642+Observaciones!$F641-U642-W642-X642-Constantes!$E$33),0)</f>
        <v>0</v>
      </c>
      <c r="Z642" s="170">
        <f>Z641+R642+S642+T642+Observaciones!$F641-U642-W642-Y642</f>
        <v>41.260593346076256</v>
      </c>
      <c r="AA642" s="170">
        <f>IF(Escenarios!$E$14&gt;0,(Escenarios!$E$13*L642+Escenarios!$E$14*W642)/(Escenarios!$E$16),L642)</f>
        <v>0.11451731104278155</v>
      </c>
      <c r="AB642" s="170">
        <f>IF(Escenarios!$E$14&gt;0,(Escenarios!$E$14*Y642)/(Escenarios!$E$16),K642)</f>
        <v>0</v>
      </c>
      <c r="AC642" s="170">
        <f>IF(Escenarios!$E$14&gt;0,(Escenarios!$E$13*M642+Escenarios!$E$14*U642)/(Escenarios!$E$16),M642)</f>
        <v>0</v>
      </c>
      <c r="AD642" s="76">
        <f t="shared" si="127"/>
        <v>71.120665954364028</v>
      </c>
      <c r="AE642" s="76">
        <f>MAX(0,(AD642-Constantes!$D$13)*(1-EXP(-Constantes!$D$23)))</f>
        <v>0.22042349992585442</v>
      </c>
      <c r="AF642" s="76">
        <f>AB642+O642*Escenarios!$E$13/Escenarios!$E$16+AE642</f>
        <v>0.22062636361916965</v>
      </c>
      <c r="AG642" s="76">
        <f>IF(Entradas!$E$91&gt;0,IF(AF642-Escenarios!$E$38&lt;=0,0,IF(AF642-Escenarios!$E$38&gt;Escenarios!$E$37,Escenarios!$E$37,AF642-Escenarios!$E$38)),0)</f>
        <v>0</v>
      </c>
      <c r="AH642" s="76">
        <f>AG642*Entradas!$E$99</f>
        <v>0</v>
      </c>
      <c r="AI642" s="76">
        <f>IF(Entradas!$E$91&gt;0,D642*Entradas!$D$23/Escenarios!$E$16,0)</f>
        <v>0</v>
      </c>
      <c r="AJ642" s="76">
        <f>IF(Entradas!$E$91&gt;0,Entradas!$D$24*Entradas!$D$22/Escenarios!$E$16,0)</f>
        <v>0</v>
      </c>
      <c r="AK642" s="76">
        <f t="shared" si="136"/>
        <v>0.11451731104278155</v>
      </c>
      <c r="AL642" s="76">
        <f t="shared" si="137"/>
        <v>0</v>
      </c>
      <c r="AM642" s="76">
        <f t="shared" si="128"/>
        <v>0</v>
      </c>
      <c r="AN642" s="76">
        <f>MAX(0,O642*Escenarios!$E$13/Escenarios!$E$16-AM642)</f>
        <v>2.0286369331523724E-4</v>
      </c>
      <c r="AO642" s="76">
        <f>AM642+AN642-O642*Escenarios!$E$13/Escenarios!$E$16</f>
        <v>0</v>
      </c>
      <c r="AP642" s="76">
        <f t="shared" si="126"/>
        <v>0.22042349992585442</v>
      </c>
      <c r="AQ642" s="76">
        <f t="shared" si="129"/>
        <v>0</v>
      </c>
      <c r="AR642" s="76">
        <f t="shared" si="130"/>
        <v>0.22062636361916965</v>
      </c>
      <c r="AS642" s="76">
        <f t="shared" si="131"/>
        <v>0</v>
      </c>
      <c r="AT642" s="76">
        <f t="shared" si="132"/>
        <v>0</v>
      </c>
      <c r="AU642" s="76">
        <f t="shared" si="133"/>
        <v>48.75</v>
      </c>
      <c r="AV642" s="76">
        <f>MAX(0,(AU642-Constantes!$D$13)*(1-EXP(-Constantes!$D$24)))</f>
        <v>0</v>
      </c>
      <c r="AW642" s="170">
        <f>AW641+(Entradas!$E$112*AT642-AX641)/(800*Entradas!$D$25)</f>
        <v>0</v>
      </c>
      <c r="AX642" s="170">
        <f>8000*Entradas!$D$26*AW642/Constantes!$E$45</f>
        <v>0</v>
      </c>
      <c r="AY642" s="170">
        <f>IF(Escenarios!$E$17&gt;0,10*Escenarios!$E$16*AL642,0)</f>
        <v>0</v>
      </c>
      <c r="AZ642" s="170">
        <f>IF(Escenarios!$E$17&gt;0,10*Escenarios!$E$16*AX642,0)</f>
        <v>0</v>
      </c>
      <c r="BA642" s="170">
        <f>IF(Escenarios!$E$17&gt;0,0.001*Observaciones!$F641*Escenarios!$E$17,0)</f>
        <v>0</v>
      </c>
      <c r="BB642" s="170">
        <f>IF(Escenarios!$E$17&gt;0,Observaciones!$K641,0)</f>
        <v>0</v>
      </c>
      <c r="BC642" s="170">
        <f>IF(Escenarios!$E$17&gt;0,MIN(0.0005*ETo!$M641*Escenarios!$E$17*(BG641/Constantes!$E$40)^(2/3),BG641+AY642+AZ642+BA642+BB642),0)</f>
        <v>2.9462924481922097</v>
      </c>
      <c r="BD642" s="170">
        <f>IF(Escenarios!$E$17&gt;0,MIN(Constantes!$E$39*(BG641/Constantes!$E$40)^(2/3),BG641+AY642+AZ642+BA642+BB642-BC642),0)</f>
        <v>5.2541799938547662</v>
      </c>
      <c r="BE642" s="170">
        <f>IF(Escenarios!$E$17&gt;0,MIN(Entradas!$E$113,BG641+AY642+AZ642+BA642+BB642-BC642-BD642),0)</f>
        <v>1</v>
      </c>
      <c r="BF642" s="170">
        <f>IF(Escenarios!$E$17&gt;0,MAX(0,BG641+AY642+AZ642+BA642+BB642-BC642-BD642-BE642-Constantes!$E$40),0)</f>
        <v>0</v>
      </c>
      <c r="BG642" s="170">
        <f t="shared" si="138"/>
        <v>103.00942879730478</v>
      </c>
      <c r="BH642" s="170">
        <f>(Escenarios!$E$16*AK642+0.1*BC642)/(Escenarios!$E$19)</f>
        <v>0.11477760716474052</v>
      </c>
      <c r="BI642" s="170">
        <f>IF(Escenarios!$E$17&gt;0,BF642/10/Escenarios!$E$19,AL642)</f>
        <v>0</v>
      </c>
      <c r="BJ642" s="170">
        <f>(Escenarios!$E$16*AT642+0.1*BD642)/(Escenarios!$E$19)</f>
        <v>2.0849920610534786E-3</v>
      </c>
      <c r="BK642" s="76">
        <f>BK641+(0.1*BD642)/(Escenarios!$E$19)-BL641</f>
        <v>49.671755204216673</v>
      </c>
      <c r="BL642" s="76">
        <f>MAX(0,(BK642-Constantes!$D$13)*(1-EXP(-Constantes!$D$23)))</f>
        <v>9.0822735721318316E-3</v>
      </c>
      <c r="BM642" s="76">
        <f t="shared" si="134"/>
        <v>0.22950577349798626</v>
      </c>
      <c r="BN642" s="76">
        <f t="shared" si="139"/>
        <v>0.2297086371913015</v>
      </c>
      <c r="BO642" s="76">
        <f>0.0526*BI642*Observaciones!$F641^1.218</f>
        <v>0</v>
      </c>
      <c r="BP642" s="76">
        <f>BO642*Constantes!$E$51</f>
        <v>0</v>
      </c>
      <c r="BQ642" s="76">
        <f t="shared" si="135"/>
        <v>0</v>
      </c>
      <c r="BR642" s="40"/>
    </row>
    <row r="643" spans="1:70">
      <c r="A643" s="147"/>
      <c r="B643" s="39"/>
      <c r="C643" s="75">
        <v>637</v>
      </c>
      <c r="D643" s="146">
        <f>ETo!$I642*((1-Constantes!$E$19)*ETo!$K642+ETo!$L642)</f>
        <v>4.0368309010874528</v>
      </c>
      <c r="E643" s="76">
        <f>MIN(D643*Constantes!$E$17,0.8*(N642+Observaciones!$F642-F643-M643-Constantes!$D$14))</f>
        <v>5.414024195178513E-3</v>
      </c>
      <c r="F643" s="76">
        <f>IF(Observaciones!$F642&gt;0.05*Constantes!$E$18,((Observaciones!$F642-0.05*Constantes!$E$18)^2)/(Observaciones!$F642+0.95*Constantes!$E$18),0)</f>
        <v>0</v>
      </c>
      <c r="G643" s="76">
        <f>IF(Escenarios!$E$11&gt;0,(F643*Escenarios!$E$16*10000)/1000,0)</f>
        <v>0</v>
      </c>
      <c r="H643" s="76">
        <f>IF(Escenarios!$E$11&gt;0,(Observaciones!$F642*Constantes!$E$29)/1000,0)</f>
        <v>0</v>
      </c>
      <c r="I643" s="76">
        <f>IF(Escenarios!$E$11&gt;0,(D643*Constantes!$E$29)/1000,0)</f>
        <v>40.368309010874533</v>
      </c>
      <c r="J643" s="76">
        <f>IF(Escenarios!$E$11&gt;0,MAX(0,G643+H643-I643),0)</f>
        <v>0</v>
      </c>
      <c r="K643" s="76">
        <f>IF(Escenarios!$E$11&gt;0,IF(J643&gt;Constantes!$E$30,1000*((J643-Constantes!$E$30)/(Escenarios!$E$16*10000)),0),F643)</f>
        <v>0</v>
      </c>
      <c r="L643" s="76">
        <f>IF(Escenarios!$E$11&gt;0,I643*1000/Escenarios!$E$16/10000+E643,E643)</f>
        <v>2.1561347799528327E-2</v>
      </c>
      <c r="M643" s="76">
        <f>MAX(0,N642+Observaciones!$F642-K643-Constantes!$D$13)</f>
        <v>0</v>
      </c>
      <c r="N643" s="76">
        <f>N642+Observaciones!$F642-K643-L643-M643-O642</f>
        <v>11.234975655520223</v>
      </c>
      <c r="O643" s="76">
        <f>MAX(0,(N643-Constantes!$D$14)*(1-EXP(-Constantes!$D$22)))</f>
        <v>0</v>
      </c>
      <c r="P643" s="170">
        <f>P642+(Entradas!$E$83*M643-Q642)/(800*Entradas!$D$25)</f>
        <v>0</v>
      </c>
      <c r="Q643" s="170">
        <f>8000*Entradas!$D$26*P643/Constantes!$E$45</f>
        <v>0</v>
      </c>
      <c r="R643" s="170">
        <f>IF(Escenarios!$E$14&gt;0,K643*Escenarios!$E$13/Escenarios!$E$14,0)</f>
        <v>0</v>
      </c>
      <c r="S643" s="170">
        <f>IF(Escenarios!$E$14&gt;0,Q643*Escenarios!$E$13/Escenarios!$E$14,0)</f>
        <v>0</v>
      </c>
      <c r="T643" s="170">
        <f>IF(Escenarios!$E$14&gt;0,Observaciones!$I642,0)</f>
        <v>0</v>
      </c>
      <c r="U643" s="170">
        <f>IF(Escenarios!$E$14&gt;0,MAX(0,Constantes!$E$36/((Z642+R643+S643+T643+Observaciones!$F642)^2)+Entradas!$E$77),0)</f>
        <v>0</v>
      </c>
      <c r="V643" s="146">
        <f>IF(ETo!D642&gt;0,ETo!I642*((1-Entradas!$E$81)*ETo!K642+ETo!L642),0)</f>
        <v>3.6820654198555474</v>
      </c>
      <c r="W643" s="170">
        <f>IF(Escenarios!$E$14&gt;0,MIN(V643*1,0.8*(Z642+R643+S643+T643+Observaciones!$F642-U643-Constantes!$E$35)),0)</f>
        <v>8.4746768610045823E-3</v>
      </c>
      <c r="X643" s="170">
        <f>IF(Escenarios!$E$14&gt;0,Observaciones!$J642,0)</f>
        <v>0</v>
      </c>
      <c r="Y643" s="170">
        <f>IF(Escenarios!$E$14&gt;0,MAX(0,Z642+R643+S643+T643+Observaciones!$F642-U643-W643-X643-Constantes!$E$33),0)</f>
        <v>0</v>
      </c>
      <c r="Z643" s="170">
        <f>Z642+R643+S643+T643+Observaciones!$F642-U643-W643-Y643</f>
        <v>41.25211866921525</v>
      </c>
      <c r="AA643" s="170">
        <f>IF(Escenarios!$E$14&gt;0,(Escenarios!$E$13*L643+Escenarios!$E$14*W643)/(Escenarios!$E$16),L643)</f>
        <v>1.9990947286905477E-2</v>
      </c>
      <c r="AB643" s="170">
        <f>IF(Escenarios!$E$14&gt;0,(Escenarios!$E$14*Y643)/(Escenarios!$E$16),K643)</f>
        <v>0</v>
      </c>
      <c r="AC643" s="170">
        <f>IF(Escenarios!$E$14&gt;0,(Escenarios!$E$13*M643+Escenarios!$E$14*U643)/(Escenarios!$E$16),M643)</f>
        <v>0</v>
      </c>
      <c r="AD643" s="76">
        <f t="shared" si="127"/>
        <v>70.900242454438171</v>
      </c>
      <c r="AE643" s="76">
        <f>MAX(0,(AD643-Constantes!$D$13)*(1-EXP(-Constantes!$D$23)))</f>
        <v>0.21825161468029758</v>
      </c>
      <c r="AF643" s="76">
        <f>AB643+O643*Escenarios!$E$13/Escenarios!$E$16+AE643</f>
        <v>0.21825161468029758</v>
      </c>
      <c r="AG643" s="76">
        <f>IF(Entradas!$E$91&gt;0,IF(AF643-Escenarios!$E$38&lt;=0,0,IF(AF643-Escenarios!$E$38&gt;Escenarios!$E$37,Escenarios!$E$37,AF643-Escenarios!$E$38)),0)</f>
        <v>0</v>
      </c>
      <c r="AH643" s="76">
        <f>AG643*Entradas!$E$99</f>
        <v>0</v>
      </c>
      <c r="AI643" s="76">
        <f>IF(Entradas!$E$91&gt;0,D643*Entradas!$D$23/Escenarios!$E$16,0)</f>
        <v>0</v>
      </c>
      <c r="AJ643" s="76">
        <f>IF(Entradas!$E$91&gt;0,Entradas!$D$24*Entradas!$D$22/Escenarios!$E$16,0)</f>
        <v>0</v>
      </c>
      <c r="AK643" s="76">
        <f t="shared" si="136"/>
        <v>1.9990947286905477E-2</v>
      </c>
      <c r="AL643" s="76">
        <f t="shared" si="137"/>
        <v>0</v>
      </c>
      <c r="AM643" s="76">
        <f t="shared" si="128"/>
        <v>0</v>
      </c>
      <c r="AN643" s="76">
        <f>MAX(0,O643*Escenarios!$E$13/Escenarios!$E$16-AM643)</f>
        <v>0</v>
      </c>
      <c r="AO643" s="76">
        <f>AM643+AN643-O643*Escenarios!$E$13/Escenarios!$E$16</f>
        <v>0</v>
      </c>
      <c r="AP643" s="76">
        <f t="shared" si="126"/>
        <v>0.21825161468029758</v>
      </c>
      <c r="AQ643" s="76">
        <f t="shared" si="129"/>
        <v>0</v>
      </c>
      <c r="AR643" s="76">
        <f t="shared" si="130"/>
        <v>0.21825161468029758</v>
      </c>
      <c r="AS643" s="76">
        <f t="shared" si="131"/>
        <v>0</v>
      </c>
      <c r="AT643" s="76">
        <f t="shared" si="132"/>
        <v>0</v>
      </c>
      <c r="AU643" s="76">
        <f t="shared" si="133"/>
        <v>48.75</v>
      </c>
      <c r="AV643" s="76">
        <f>MAX(0,(AU643-Constantes!$D$13)*(1-EXP(-Constantes!$D$24)))</f>
        <v>0</v>
      </c>
      <c r="AW643" s="170">
        <f>AW642+(Entradas!$E$112*AT643-AX642)/(800*Entradas!$D$25)</f>
        <v>0</v>
      </c>
      <c r="AX643" s="170">
        <f>8000*Entradas!$D$26*AW643/Constantes!$E$45</f>
        <v>0</v>
      </c>
      <c r="AY643" s="170">
        <f>IF(Escenarios!$E$17&gt;0,10*Escenarios!$E$16*AL643,0)</f>
        <v>0</v>
      </c>
      <c r="AZ643" s="170">
        <f>IF(Escenarios!$E$17&gt;0,10*Escenarios!$E$16*AX643,0)</f>
        <v>0</v>
      </c>
      <c r="BA643" s="170">
        <f>IF(Escenarios!$E$17&gt;0,0.001*Observaciones!$F642*Escenarios!$E$17,0)</f>
        <v>0</v>
      </c>
      <c r="BB643" s="170">
        <f>IF(Escenarios!$E$17&gt;0,Observaciones!$K642,0)</f>
        <v>0</v>
      </c>
      <c r="BC643" s="170">
        <f>IF(Escenarios!$E$17&gt;0,MIN(0.0005*ETo!$M642*Escenarios!$E$17*(BG642/Constantes!$E$40)^(2/3),BG642+AY643+AZ643+BA643+BB643),0)</f>
        <v>2.8506056010022967</v>
      </c>
      <c r="BD643" s="170">
        <f>IF(Escenarios!$E$17&gt;0,MIN(Constantes!$E$39*(BG642/Constantes!$E$40)^(2/3),BG642+AY643+AZ643+BA643+BB643-BC643),0)</f>
        <v>4.9628994804033981</v>
      </c>
      <c r="BE643" s="170">
        <f>IF(Escenarios!$E$17&gt;0,MIN(Entradas!$E$113,BG642+AY643+AZ643+BA643+BB643-BC643-BD643),0)</f>
        <v>1</v>
      </c>
      <c r="BF643" s="170">
        <f>IF(Escenarios!$E$17&gt;0,MAX(0,BG642+AY643+AZ643+BA643+BB643-BC643-BD643-BE643-Constantes!$E$40),0)</f>
        <v>0</v>
      </c>
      <c r="BG643" s="170">
        <f t="shared" si="138"/>
        <v>94.195923715899085</v>
      </c>
      <c r="BH643" s="170">
        <f>(Escenarios!$E$16*AK643+0.1*BC643)/(Escenarios!$E$19)</f>
        <v>2.0963481673915076E-2</v>
      </c>
      <c r="BI643" s="170">
        <f>IF(Escenarios!$E$17&gt;0,BF643/10/Escenarios!$E$19,AL643)</f>
        <v>0</v>
      </c>
      <c r="BJ643" s="170">
        <f>(Escenarios!$E$16*AT643+0.1*BD643)/(Escenarios!$E$19)</f>
        <v>1.9694045557156342E-3</v>
      </c>
      <c r="BK643" s="76">
        <f>BK642+(0.1*BD643)/(Escenarios!$E$19)-BL642</f>
        <v>49.664642335200256</v>
      </c>
      <c r="BL643" s="76">
        <f>MAX(0,(BK643-Constantes!$D$13)*(1-EXP(-Constantes!$D$23)))</f>
        <v>9.0121887795596642E-3</v>
      </c>
      <c r="BM643" s="76">
        <f t="shared" si="134"/>
        <v>0.22726380345985725</v>
      </c>
      <c r="BN643" s="76">
        <f t="shared" si="139"/>
        <v>0.22726380345985725</v>
      </c>
      <c r="BO643" s="76">
        <f>0.0526*BI643*Observaciones!$F642^1.218</f>
        <v>0</v>
      </c>
      <c r="BP643" s="76">
        <f>BO643*Constantes!$E$51</f>
        <v>0</v>
      </c>
      <c r="BQ643" s="76">
        <f t="shared" si="135"/>
        <v>0</v>
      </c>
      <c r="BR643" s="40"/>
    </row>
    <row r="644" spans="1:70">
      <c r="A644" s="147"/>
      <c r="B644" s="39"/>
      <c r="C644" s="75">
        <v>638</v>
      </c>
      <c r="D644" s="146">
        <f>ETo!$I643*((1-Constantes!$E$19)*ETo!$K643+ETo!$L643)</f>
        <v>4.1515839605504574</v>
      </c>
      <c r="E644" s="76">
        <f>MIN(D644*Constantes!$E$17,0.8*(N643+Observaciones!$F643-F644-M644-Constantes!$D$14))</f>
        <v>-1.2019475583821305E-2</v>
      </c>
      <c r="F644" s="76">
        <f>IF(Observaciones!$F643&gt;0.05*Constantes!$E$18,((Observaciones!$F643-0.05*Constantes!$E$18)^2)/(Observaciones!$F643+0.95*Constantes!$E$18),0)</f>
        <v>0</v>
      </c>
      <c r="G644" s="76">
        <f>IF(Escenarios!$E$11&gt;0,(F644*Escenarios!$E$16*10000)/1000,0)</f>
        <v>0</v>
      </c>
      <c r="H644" s="76">
        <f>IF(Escenarios!$E$11&gt;0,(Observaciones!$F643*Constantes!$E$29)/1000,0)</f>
        <v>0</v>
      </c>
      <c r="I644" s="76">
        <f>IF(Escenarios!$E$11&gt;0,(D644*Constantes!$E$29)/1000,0)</f>
        <v>41.515839605504574</v>
      </c>
      <c r="J644" s="76">
        <f>IF(Escenarios!$E$11&gt;0,MAX(0,G644+H644-I644),0)</f>
        <v>0</v>
      </c>
      <c r="K644" s="76">
        <f>IF(Escenarios!$E$11&gt;0,IF(J644&gt;Constantes!$E$30,1000*((J644-Constantes!$E$30)/(Escenarios!$E$16*10000)),0),F644)</f>
        <v>0</v>
      </c>
      <c r="L644" s="76">
        <f>IF(Escenarios!$E$11&gt;0,I644*1000/Escenarios!$E$16/10000+E644,E644)</f>
        <v>4.5868602583805235E-3</v>
      </c>
      <c r="M644" s="76">
        <f>MAX(0,N643+Observaciones!$F643-K644-Constantes!$D$13)</f>
        <v>0</v>
      </c>
      <c r="N644" s="76">
        <f>N643+Observaciones!$F643-K644-L644-M644-O643</f>
        <v>11.230388795261844</v>
      </c>
      <c r="O644" s="76">
        <f>MAX(0,(N644-Constantes!$D$14)*(1-EXP(-Constantes!$D$22)))</f>
        <v>0</v>
      </c>
      <c r="P644" s="170">
        <f>P643+(Entradas!$E$83*M644-Q643)/(800*Entradas!$D$25)</f>
        <v>0</v>
      </c>
      <c r="Q644" s="170">
        <f>8000*Entradas!$D$26*P644/Constantes!$E$45</f>
        <v>0</v>
      </c>
      <c r="R644" s="170">
        <f>IF(Escenarios!$E$14&gt;0,K644*Escenarios!$E$13/Escenarios!$E$14,0)</f>
        <v>0</v>
      </c>
      <c r="S644" s="170">
        <f>IF(Escenarios!$E$14&gt;0,Q644*Escenarios!$E$13/Escenarios!$E$14,0)</f>
        <v>0</v>
      </c>
      <c r="T644" s="170">
        <f>IF(Escenarios!$E$14&gt;0,Observaciones!$I643,0)</f>
        <v>0</v>
      </c>
      <c r="U644" s="170">
        <f>IF(Escenarios!$E$14&gt;0,MAX(0,Constantes!$E$36/((Z643+R644+S644+T644+Observaciones!$F643)^2)+Entradas!$E$77),0)</f>
        <v>0</v>
      </c>
      <c r="V644" s="146">
        <f>IF(ETo!D643&gt;0,ETo!I643*((1-Entradas!$E$81)*ETo!K643+ETo!L643),0)</f>
        <v>3.7882957625388736</v>
      </c>
      <c r="W644" s="170">
        <f>IF(Escenarios!$E$14&gt;0,MIN(V644*1,0.8*(Z643+R644+S644+T644+Observaciones!$F643-U644-Constantes!$E$35)),0)</f>
        <v>1.6949353721997795E-3</v>
      </c>
      <c r="X644" s="170">
        <f>IF(Escenarios!$E$14&gt;0,Observaciones!$J643,0)</f>
        <v>0</v>
      </c>
      <c r="Y644" s="170">
        <f>IF(Escenarios!$E$14&gt;0,MAX(0,Z643+R644+S644+T644+Observaciones!$F643-U644-W644-X644-Constantes!$E$33),0)</f>
        <v>0</v>
      </c>
      <c r="Z644" s="170">
        <f>Z643+R644+S644+T644+Observaciones!$F643-U644-W644-Y644</f>
        <v>41.25042373384305</v>
      </c>
      <c r="AA644" s="170">
        <f>IF(Escenarios!$E$14&gt;0,(Escenarios!$E$13*L644+Escenarios!$E$14*W644)/(Escenarios!$E$16),L644)</f>
        <v>4.2398292720388347E-3</v>
      </c>
      <c r="AB644" s="170">
        <f>IF(Escenarios!$E$14&gt;0,(Escenarios!$E$14*Y644)/(Escenarios!$E$16),K644)</f>
        <v>0</v>
      </c>
      <c r="AC644" s="170">
        <f>IF(Escenarios!$E$14&gt;0,(Escenarios!$E$13*M644+Escenarios!$E$14*U644)/(Escenarios!$E$16),M644)</f>
        <v>0</v>
      </c>
      <c r="AD644" s="76">
        <f t="shared" si="127"/>
        <v>70.681990839757873</v>
      </c>
      <c r="AE644" s="76">
        <f>MAX(0,(AD644-Constantes!$D$13)*(1-EXP(-Constantes!$D$23)))</f>
        <v>0.21610112953736801</v>
      </c>
      <c r="AF644" s="76">
        <f>AB644+O644*Escenarios!$E$13/Escenarios!$E$16+AE644</f>
        <v>0.21610112953736801</v>
      </c>
      <c r="AG644" s="76">
        <f>IF(Entradas!$E$91&gt;0,IF(AF644-Escenarios!$E$38&lt;=0,0,IF(AF644-Escenarios!$E$38&gt;Escenarios!$E$37,Escenarios!$E$37,AF644-Escenarios!$E$38)),0)</f>
        <v>0</v>
      </c>
      <c r="AH644" s="76">
        <f>AG644*Entradas!$E$99</f>
        <v>0</v>
      </c>
      <c r="AI644" s="76">
        <f>IF(Entradas!$E$91&gt;0,D644*Entradas!$D$23/Escenarios!$E$16,0)</f>
        <v>0</v>
      </c>
      <c r="AJ644" s="76">
        <f>IF(Entradas!$E$91&gt;0,Entradas!$D$24*Entradas!$D$22/Escenarios!$E$16,0)</f>
        <v>0</v>
      </c>
      <c r="AK644" s="76">
        <f t="shared" si="136"/>
        <v>4.2398292720388347E-3</v>
      </c>
      <c r="AL644" s="76">
        <f t="shared" si="137"/>
        <v>0</v>
      </c>
      <c r="AM644" s="76">
        <f t="shared" si="128"/>
        <v>0</v>
      </c>
      <c r="AN644" s="76">
        <f>MAX(0,O644*Escenarios!$E$13/Escenarios!$E$16-AM644)</f>
        <v>0</v>
      </c>
      <c r="AO644" s="76">
        <f>AM644+AN644-O644*Escenarios!$E$13/Escenarios!$E$16</f>
        <v>0</v>
      </c>
      <c r="AP644" s="76">
        <f t="shared" si="126"/>
        <v>0.21610112953736801</v>
      </c>
      <c r="AQ644" s="76">
        <f t="shared" si="129"/>
        <v>0</v>
      </c>
      <c r="AR644" s="76">
        <f t="shared" si="130"/>
        <v>0.21610112953736801</v>
      </c>
      <c r="AS644" s="76">
        <f t="shared" si="131"/>
        <v>0</v>
      </c>
      <c r="AT644" s="76">
        <f t="shared" si="132"/>
        <v>0</v>
      </c>
      <c r="AU644" s="76">
        <f t="shared" si="133"/>
        <v>48.75</v>
      </c>
      <c r="AV644" s="76">
        <f>MAX(0,(AU644-Constantes!$D$13)*(1-EXP(-Constantes!$D$24)))</f>
        <v>0</v>
      </c>
      <c r="AW644" s="170">
        <f>AW643+(Entradas!$E$112*AT644-AX643)/(800*Entradas!$D$25)</f>
        <v>0</v>
      </c>
      <c r="AX644" s="170">
        <f>8000*Entradas!$D$26*AW644/Constantes!$E$45</f>
        <v>0</v>
      </c>
      <c r="AY644" s="170">
        <f>IF(Escenarios!$E$17&gt;0,10*Escenarios!$E$16*AL644,0)</f>
        <v>0</v>
      </c>
      <c r="AZ644" s="170">
        <f>IF(Escenarios!$E$17&gt;0,10*Escenarios!$E$16*AX644,0)</f>
        <v>0</v>
      </c>
      <c r="BA644" s="170">
        <f>IF(Escenarios!$E$17&gt;0,0.001*Observaciones!$F643*Escenarios!$E$17,0)</f>
        <v>0</v>
      </c>
      <c r="BB644" s="170">
        <f>IF(Escenarios!$E$17&gt;0,Observaciones!$K643,0)</f>
        <v>0</v>
      </c>
      <c r="BC644" s="170">
        <f>IF(Escenarios!$E$17&gt;0,MIN(0.0005*ETo!$M643*Escenarios!$E$17*(BG643/Constantes!$E$40)^(2/3),BG643+AY644+AZ644+BA644+BB644),0)</f>
        <v>2.7605008175425896</v>
      </c>
      <c r="BD644" s="170">
        <f>IF(Escenarios!$E$17&gt;0,MIN(Constantes!$E$39*(BG643/Constantes!$E$40)^(2/3),BG643+AY644+AZ644+BA644+BB644-BC644),0)</f>
        <v>4.6756166794741096</v>
      </c>
      <c r="BE644" s="170">
        <f>IF(Escenarios!$E$17&gt;0,MIN(Entradas!$E$113,BG643+AY644+AZ644+BA644+BB644-BC644-BD644),0)</f>
        <v>1</v>
      </c>
      <c r="BF644" s="170">
        <f>IF(Escenarios!$E$17&gt;0,MAX(0,BG643+AY644+AZ644+BA644+BB644-BC644-BD644-BE644-Constantes!$E$40),0)</f>
        <v>0</v>
      </c>
      <c r="BG644" s="170">
        <f t="shared" si="138"/>
        <v>85.759806218882389</v>
      </c>
      <c r="BH644" s="170">
        <f>(Escenarios!$E$16*AK644+0.1*BC644)/(Escenarios!$E$19)</f>
        <v>5.3016166657300304E-3</v>
      </c>
      <c r="BI644" s="170">
        <f>IF(Escenarios!$E$17&gt;0,BF644/10/Escenarios!$E$19,AL644)</f>
        <v>0</v>
      </c>
      <c r="BJ644" s="170">
        <f>(Escenarios!$E$16*AT644+0.1*BD644)/(Escenarios!$E$19)</f>
        <v>1.855403444235758E-3</v>
      </c>
      <c r="BK644" s="76">
        <f>BK643+(0.1*BD644)/(Escenarios!$E$19)-BL643</f>
        <v>49.657485549864937</v>
      </c>
      <c r="BL644" s="76">
        <f>MAX(0,(BK644-Constantes!$D$13)*(1-EXP(-Constantes!$D$23)))</f>
        <v>8.9416712690373081E-3</v>
      </c>
      <c r="BM644" s="76">
        <f t="shared" si="134"/>
        <v>0.22504280080640532</v>
      </c>
      <c r="BN644" s="76">
        <f t="shared" si="139"/>
        <v>0.22504280080640532</v>
      </c>
      <c r="BO644" s="76">
        <f>0.0526*BI644*Observaciones!$F643^1.218</f>
        <v>0</v>
      </c>
      <c r="BP644" s="76">
        <f>BO644*Constantes!$E$51</f>
        <v>0</v>
      </c>
      <c r="BQ644" s="76">
        <f t="shared" si="135"/>
        <v>0</v>
      </c>
      <c r="BR644" s="40"/>
    </row>
    <row r="645" spans="1:70">
      <c r="A645" s="147"/>
      <c r="B645" s="39"/>
      <c r="C645" s="75">
        <v>639</v>
      </c>
      <c r="D645" s="146">
        <f>ETo!$I644*((1-Constantes!$E$19)*ETo!$K644+ETo!$L644)</f>
        <v>4.0607942470166973</v>
      </c>
      <c r="E645" s="76">
        <f>MIN(D645*Constantes!$E$17,0.8*(N644+Observaciones!$F644-F645-M645-Constantes!$D$14))</f>
        <v>-1.568896379052518E-2</v>
      </c>
      <c r="F645" s="76">
        <f>IF(Observaciones!$F644&gt;0.05*Constantes!$E$18,((Observaciones!$F644-0.05*Constantes!$E$18)^2)/(Observaciones!$F644+0.95*Constantes!$E$18),0)</f>
        <v>0</v>
      </c>
      <c r="G645" s="76">
        <f>IF(Escenarios!$E$11&gt;0,(F645*Escenarios!$E$16*10000)/1000,0)</f>
        <v>0</v>
      </c>
      <c r="H645" s="76">
        <f>IF(Escenarios!$E$11&gt;0,(Observaciones!$F644*Constantes!$E$29)/1000,0)</f>
        <v>0</v>
      </c>
      <c r="I645" s="76">
        <f>IF(Escenarios!$E$11&gt;0,(D645*Constantes!$E$29)/1000,0)</f>
        <v>40.607942470166968</v>
      </c>
      <c r="J645" s="76">
        <f>IF(Escenarios!$E$11&gt;0,MAX(0,G645+H645-I645),0)</f>
        <v>0</v>
      </c>
      <c r="K645" s="76">
        <f>IF(Escenarios!$E$11&gt;0,IF(J645&gt;Constantes!$E$30,1000*((J645-Constantes!$E$30)/(Escenarios!$E$16*10000)),0),F645)</f>
        <v>0</v>
      </c>
      <c r="L645" s="76">
        <f>IF(Escenarios!$E$11&gt;0,I645*1000/Escenarios!$E$16/10000+E645,E645)</f>
        <v>5.5421319754160592E-4</v>
      </c>
      <c r="M645" s="76">
        <f>MAX(0,N644+Observaciones!$F644-K645-Constantes!$D$13)</f>
        <v>0</v>
      </c>
      <c r="N645" s="76">
        <f>N644+Observaciones!$F644-K645-L645-M645-O644</f>
        <v>11.229834582064301</v>
      </c>
      <c r="O645" s="76">
        <f>MAX(0,(N645-Constantes!$D$14)*(1-EXP(-Constantes!$D$22)))</f>
        <v>0</v>
      </c>
      <c r="P645" s="170">
        <f>P644+(Entradas!$E$83*M645-Q644)/(800*Entradas!$D$25)</f>
        <v>0</v>
      </c>
      <c r="Q645" s="170">
        <f>8000*Entradas!$D$26*P645/Constantes!$E$45</f>
        <v>0</v>
      </c>
      <c r="R645" s="170">
        <f>IF(Escenarios!$E$14&gt;0,K645*Escenarios!$E$13/Escenarios!$E$14,0)</f>
        <v>0</v>
      </c>
      <c r="S645" s="170">
        <f>IF(Escenarios!$E$14&gt;0,Q645*Escenarios!$E$13/Escenarios!$E$14,0)</f>
        <v>0</v>
      </c>
      <c r="T645" s="170">
        <f>IF(Escenarios!$E$14&gt;0,Observaciones!$I644,0)</f>
        <v>0</v>
      </c>
      <c r="U645" s="170">
        <f>IF(Escenarios!$E$14&gt;0,MAX(0,Constantes!$E$36/((Z644+R645+S645+T645+Observaciones!$F644)^2)+Entradas!$E$77),0)</f>
        <v>0</v>
      </c>
      <c r="V645" s="146">
        <f>IF(ETo!D644&gt;0,ETo!I644*((1-Entradas!$E$81)*ETo!K644+ETo!L644),0)</f>
        <v>3.7045030096769374</v>
      </c>
      <c r="W645" s="170">
        <f>IF(Escenarios!$E$14&gt;0,MIN(V645*1,0.8*(Z644+R645+S645+T645+Observaciones!$F644-U645-Constantes!$E$35)),0)</f>
        <v>3.3898707443995595E-4</v>
      </c>
      <c r="X645" s="170">
        <f>IF(Escenarios!$E$14&gt;0,Observaciones!$J644,0)</f>
        <v>0</v>
      </c>
      <c r="Y645" s="170">
        <f>IF(Escenarios!$E$14&gt;0,MAX(0,Z644+R645+S645+T645+Observaciones!$F644-U645-W645-X645-Constantes!$E$33),0)</f>
        <v>0</v>
      </c>
      <c r="Z645" s="170">
        <f>Z644+R645+S645+T645+Observaciones!$F644-U645-W645-Y645</f>
        <v>41.250084746768607</v>
      </c>
      <c r="AA645" s="170">
        <f>IF(Escenarios!$E$14&gt;0,(Escenarios!$E$13*L645+Escenarios!$E$14*W645)/(Escenarios!$E$16),L645)</f>
        <v>5.2838606276940788E-4</v>
      </c>
      <c r="AB645" s="170">
        <f>IF(Escenarios!$E$14&gt;0,(Escenarios!$E$14*Y645)/(Escenarios!$E$16),K645)</f>
        <v>0</v>
      </c>
      <c r="AC645" s="170">
        <f>IF(Escenarios!$E$14&gt;0,(Escenarios!$E$13*M645+Escenarios!$E$14*U645)/(Escenarios!$E$16),M645)</f>
        <v>0</v>
      </c>
      <c r="AD645" s="76">
        <f t="shared" si="127"/>
        <v>70.465889710220509</v>
      </c>
      <c r="AE645" s="76">
        <f>MAX(0,(AD645-Constantes!$D$13)*(1-EXP(-Constantes!$D$23)))</f>
        <v>0.21397183363675742</v>
      </c>
      <c r="AF645" s="76">
        <f>AB645+O645*Escenarios!$E$13/Escenarios!$E$16+AE645</f>
        <v>0.21397183363675742</v>
      </c>
      <c r="AG645" s="76">
        <f>IF(Entradas!$E$91&gt;0,IF(AF645-Escenarios!$E$38&lt;=0,0,IF(AF645-Escenarios!$E$38&gt;Escenarios!$E$37,Escenarios!$E$37,AF645-Escenarios!$E$38)),0)</f>
        <v>0</v>
      </c>
      <c r="AH645" s="76">
        <f>AG645*Entradas!$E$99</f>
        <v>0</v>
      </c>
      <c r="AI645" s="76">
        <f>IF(Entradas!$E$91&gt;0,D645*Entradas!$D$23/Escenarios!$E$16,0)</f>
        <v>0</v>
      </c>
      <c r="AJ645" s="76">
        <f>IF(Entradas!$E$91&gt;0,Entradas!$D$24*Entradas!$D$22/Escenarios!$E$16,0)</f>
        <v>0</v>
      </c>
      <c r="AK645" s="76">
        <f t="shared" si="136"/>
        <v>5.2838606276940788E-4</v>
      </c>
      <c r="AL645" s="76">
        <f t="shared" si="137"/>
        <v>0</v>
      </c>
      <c r="AM645" s="76">
        <f t="shared" si="128"/>
        <v>0</v>
      </c>
      <c r="AN645" s="76">
        <f>MAX(0,O645*Escenarios!$E$13/Escenarios!$E$16-AM645)</f>
        <v>0</v>
      </c>
      <c r="AO645" s="76">
        <f>AM645+AN645-O645*Escenarios!$E$13/Escenarios!$E$16</f>
        <v>0</v>
      </c>
      <c r="AP645" s="76">
        <f t="shared" si="126"/>
        <v>0.21397183363675742</v>
      </c>
      <c r="AQ645" s="76">
        <f t="shared" si="129"/>
        <v>0</v>
      </c>
      <c r="AR645" s="76">
        <f t="shared" si="130"/>
        <v>0.21397183363675742</v>
      </c>
      <c r="AS645" s="76">
        <f t="shared" si="131"/>
        <v>0</v>
      </c>
      <c r="AT645" s="76">
        <f t="shared" si="132"/>
        <v>0</v>
      </c>
      <c r="AU645" s="76">
        <f t="shared" si="133"/>
        <v>48.75</v>
      </c>
      <c r="AV645" s="76">
        <f>MAX(0,(AU645-Constantes!$D$13)*(1-EXP(-Constantes!$D$24)))</f>
        <v>0</v>
      </c>
      <c r="AW645" s="170">
        <f>AW644+(Entradas!$E$112*AT645-AX644)/(800*Entradas!$D$25)</f>
        <v>0</v>
      </c>
      <c r="AX645" s="170">
        <f>8000*Entradas!$D$26*AW645/Constantes!$E$45</f>
        <v>0</v>
      </c>
      <c r="AY645" s="170">
        <f>IF(Escenarios!$E$17&gt;0,10*Escenarios!$E$16*AL645,0)</f>
        <v>0</v>
      </c>
      <c r="AZ645" s="170">
        <f>IF(Escenarios!$E$17&gt;0,10*Escenarios!$E$16*AX645,0)</f>
        <v>0</v>
      </c>
      <c r="BA645" s="170">
        <f>IF(Escenarios!$E$17&gt;0,0.001*Observaciones!$F644*Escenarios!$E$17,0)</f>
        <v>0</v>
      </c>
      <c r="BB645" s="170">
        <f>IF(Escenarios!$E$17&gt;0,Observaciones!$K644,0)</f>
        <v>0</v>
      </c>
      <c r="BC645" s="170">
        <f>IF(Escenarios!$E$17&gt;0,MIN(0.0005*ETo!$M644*Escenarios!$E$17*(BG644/Constantes!$E$40)^(2/3),BG644+AY645+AZ645+BA645+BB645),0)</f>
        <v>2.5372289078180863</v>
      </c>
      <c r="BD645" s="170">
        <f>IF(Escenarios!$E$17&gt;0,MIN(Constantes!$E$39*(BG644/Constantes!$E$40)^(2/3),BG644+AY645+AZ645+BA645+BB645-BC645),0)</f>
        <v>4.3921114691368555</v>
      </c>
      <c r="BE645" s="170">
        <f>IF(Escenarios!$E$17&gt;0,MIN(Entradas!$E$113,BG644+AY645+AZ645+BA645+BB645-BC645-BD645),0)</f>
        <v>1</v>
      </c>
      <c r="BF645" s="170">
        <f>IF(Escenarios!$E$17&gt;0,MAX(0,BG644+AY645+AZ645+BA645+BB645-BC645-BD645-BE645-Constantes!$E$40),0)</f>
        <v>0</v>
      </c>
      <c r="BG645" s="170">
        <f t="shared" si="138"/>
        <v>77.830465841927449</v>
      </c>
      <c r="BH645" s="170">
        <f>(Escenarios!$E$16*AK645+0.1*BC645)/(Escenarios!$E$19)</f>
        <v>1.5310293907704786E-3</v>
      </c>
      <c r="BI645" s="170">
        <f>IF(Escenarios!$E$17&gt;0,BF645/10/Escenarios!$E$19,AL645)</f>
        <v>0</v>
      </c>
      <c r="BJ645" s="170">
        <f>(Escenarios!$E$16*AT645+0.1*BD645)/(Escenarios!$E$19)</f>
        <v>1.7429013766416094E-3</v>
      </c>
      <c r="BK645" s="76">
        <f>BK644+(0.1*BD645)/(Escenarios!$E$19)-BL644</f>
        <v>49.650286779972546</v>
      </c>
      <c r="BL645" s="76">
        <f>MAX(0,(BK645-Constantes!$D$13)*(1-EXP(-Constantes!$D$23)))</f>
        <v>8.8707400746741803E-3</v>
      </c>
      <c r="BM645" s="76">
        <f t="shared" si="134"/>
        <v>0.2228425737114316</v>
      </c>
      <c r="BN645" s="76">
        <f t="shared" si="139"/>
        <v>0.2228425737114316</v>
      </c>
      <c r="BO645" s="76">
        <f>0.0526*BI645*Observaciones!$F644^1.218</f>
        <v>0</v>
      </c>
      <c r="BP645" s="76">
        <f>BO645*Constantes!$E$51</f>
        <v>0</v>
      </c>
      <c r="BQ645" s="76">
        <f t="shared" si="135"/>
        <v>0</v>
      </c>
      <c r="BR645" s="40"/>
    </row>
    <row r="646" spans="1:70">
      <c r="A646" s="147"/>
      <c r="B646" s="39"/>
      <c r="C646" s="75">
        <v>640</v>
      </c>
      <c r="D646" s="146">
        <f>ETo!$I645*((1-Constantes!$E$19)*ETo!$K645+ETo!$L645)</f>
        <v>4.1712027788347834</v>
      </c>
      <c r="E646" s="76">
        <f>MIN(D646*Constantes!$E$17,0.8*(N645+Observaciones!$F645-F646-M646-Constantes!$D$14))</f>
        <v>-1.6132334348559142E-2</v>
      </c>
      <c r="F646" s="76">
        <f>IF(Observaciones!$F645&gt;0.05*Constantes!$E$18,((Observaciones!$F645-0.05*Constantes!$E$18)^2)/(Observaciones!$F645+0.95*Constantes!$E$18),0)</f>
        <v>0</v>
      </c>
      <c r="G646" s="76">
        <f>IF(Escenarios!$E$11&gt;0,(F646*Escenarios!$E$16*10000)/1000,0)</f>
        <v>0</v>
      </c>
      <c r="H646" s="76">
        <f>IF(Escenarios!$E$11&gt;0,(Observaciones!$F645*Constantes!$E$29)/1000,0)</f>
        <v>0</v>
      </c>
      <c r="I646" s="76">
        <f>IF(Escenarios!$E$11&gt;0,(D646*Constantes!$E$29)/1000,0)</f>
        <v>41.712027788347832</v>
      </c>
      <c r="J646" s="76">
        <f>IF(Escenarios!$E$11&gt;0,MAX(0,G646+H646-I646),0)</f>
        <v>0</v>
      </c>
      <c r="K646" s="76">
        <f>IF(Escenarios!$E$11&gt;0,IF(J646&gt;Constantes!$E$30,1000*((J646-Constantes!$E$30)/(Escenarios!$E$16*10000)),0),F646)</f>
        <v>0</v>
      </c>
      <c r="L646" s="76">
        <f>IF(Escenarios!$E$11&gt;0,I646*1000/Escenarios!$E$16/10000+E646,E646)</f>
        <v>5.5247676677998986E-4</v>
      </c>
      <c r="M646" s="76">
        <f>MAX(0,N645+Observaciones!$F645-K646-Constantes!$D$13)</f>
        <v>0</v>
      </c>
      <c r="N646" s="76">
        <f>N645+Observaciones!$F645-K646-L646-M646-O645</f>
        <v>11.229282105297521</v>
      </c>
      <c r="O646" s="76">
        <f>MAX(0,(N646-Constantes!$D$14)*(1-EXP(-Constantes!$D$22)))</f>
        <v>0</v>
      </c>
      <c r="P646" s="170">
        <f>P645+(Entradas!$E$83*M646-Q645)/(800*Entradas!$D$25)</f>
        <v>0</v>
      </c>
      <c r="Q646" s="170">
        <f>8000*Entradas!$D$26*P646/Constantes!$E$45</f>
        <v>0</v>
      </c>
      <c r="R646" s="170">
        <f>IF(Escenarios!$E$14&gt;0,K646*Escenarios!$E$13/Escenarios!$E$14,0)</f>
        <v>0</v>
      </c>
      <c r="S646" s="170">
        <f>IF(Escenarios!$E$14&gt;0,Q646*Escenarios!$E$13/Escenarios!$E$14,0)</f>
        <v>0</v>
      </c>
      <c r="T646" s="170">
        <f>IF(Escenarios!$E$14&gt;0,Observaciones!$I645,0)</f>
        <v>0</v>
      </c>
      <c r="U646" s="170">
        <f>IF(Escenarios!$E$14&gt;0,MAX(0,Constantes!$E$36/((Z645+R646+S646+T646+Observaciones!$F645)^2)+Entradas!$E$77),0)</f>
        <v>0</v>
      </c>
      <c r="V646" s="146">
        <f>IF(ETo!D645&gt;0,ETo!I645*((1-Entradas!$E$81)*ETo!K645+ETo!L645),0)</f>
        <v>3.8067108822068709</v>
      </c>
      <c r="W646" s="170">
        <f>IF(Escenarios!$E$14&gt;0,MIN(V646*1,0.8*(Z645+R646+S646+T646+Observaciones!$F645-U646-Constantes!$E$35)),0)</f>
        <v>6.7797414885717444E-5</v>
      </c>
      <c r="X646" s="170">
        <f>IF(Escenarios!$E$14&gt;0,Observaciones!$J645,0)</f>
        <v>0</v>
      </c>
      <c r="Y646" s="170">
        <f>IF(Escenarios!$E$14&gt;0,MAX(0,Z645+R646+S646+T646+Observaciones!$F645-U646-W646-X646-Constantes!$E$33),0)</f>
        <v>0</v>
      </c>
      <c r="Z646" s="170">
        <f>Z645+R646+S646+T646+Observaciones!$F645-U646-W646-Y646</f>
        <v>41.250016949353721</v>
      </c>
      <c r="AA646" s="170">
        <f>IF(Escenarios!$E$14&gt;0,(Escenarios!$E$13*L646+Escenarios!$E$14*W646)/(Escenarios!$E$16),L646)</f>
        <v>4.9431524455267721E-4</v>
      </c>
      <c r="AB646" s="170">
        <f>IF(Escenarios!$E$14&gt;0,(Escenarios!$E$14*Y646)/(Escenarios!$E$16),K646)</f>
        <v>0</v>
      </c>
      <c r="AC646" s="170">
        <f>IF(Escenarios!$E$14&gt;0,(Escenarios!$E$13*M646+Escenarios!$E$14*U646)/(Escenarios!$E$16),M646)</f>
        <v>0</v>
      </c>
      <c r="AD646" s="76">
        <f t="shared" si="127"/>
        <v>70.251917876583747</v>
      </c>
      <c r="AE646" s="76">
        <f>MAX(0,(AD646-Constantes!$D$13)*(1-EXP(-Constantes!$D$23)))</f>
        <v>0.21186351819581423</v>
      </c>
      <c r="AF646" s="76">
        <f>AB646+O646*Escenarios!$E$13/Escenarios!$E$16+AE646</f>
        <v>0.21186351819581423</v>
      </c>
      <c r="AG646" s="76">
        <f>IF(Entradas!$E$91&gt;0,IF(AF646-Escenarios!$E$38&lt;=0,0,IF(AF646-Escenarios!$E$38&gt;Escenarios!$E$37,Escenarios!$E$37,AF646-Escenarios!$E$38)),0)</f>
        <v>0</v>
      </c>
      <c r="AH646" s="76">
        <f>AG646*Entradas!$E$99</f>
        <v>0</v>
      </c>
      <c r="AI646" s="76">
        <f>IF(Entradas!$E$91&gt;0,D646*Entradas!$D$23/Escenarios!$E$16,0)</f>
        <v>0</v>
      </c>
      <c r="AJ646" s="76">
        <f>IF(Entradas!$E$91&gt;0,Entradas!$D$24*Entradas!$D$22/Escenarios!$E$16,0)</f>
        <v>0</v>
      </c>
      <c r="AK646" s="76">
        <f t="shared" si="136"/>
        <v>4.9431524455267721E-4</v>
      </c>
      <c r="AL646" s="76">
        <f t="shared" si="137"/>
        <v>0</v>
      </c>
      <c r="AM646" s="76">
        <f t="shared" si="128"/>
        <v>0</v>
      </c>
      <c r="AN646" s="76">
        <f>MAX(0,O646*Escenarios!$E$13/Escenarios!$E$16-AM646)</f>
        <v>0</v>
      </c>
      <c r="AO646" s="76">
        <f>AM646+AN646-O646*Escenarios!$E$13/Escenarios!$E$16</f>
        <v>0</v>
      </c>
      <c r="AP646" s="76">
        <f t="shared" ref="AP646:AP709" si="140">MAX(0,AE646-AO646)</f>
        <v>0.21186351819581423</v>
      </c>
      <c r="AQ646" s="76">
        <f t="shared" si="129"/>
        <v>0</v>
      </c>
      <c r="AR646" s="76">
        <f t="shared" si="130"/>
        <v>0.21186351819581423</v>
      </c>
      <c r="AS646" s="76">
        <f t="shared" si="131"/>
        <v>0</v>
      </c>
      <c r="AT646" s="76">
        <f t="shared" si="132"/>
        <v>0</v>
      </c>
      <c r="AU646" s="76">
        <f t="shared" si="133"/>
        <v>48.75</v>
      </c>
      <c r="AV646" s="76">
        <f>MAX(0,(AU646-Constantes!$D$13)*(1-EXP(-Constantes!$D$24)))</f>
        <v>0</v>
      </c>
      <c r="AW646" s="170">
        <f>AW645+(Entradas!$E$112*AT646-AX645)/(800*Entradas!$D$25)</f>
        <v>0</v>
      </c>
      <c r="AX646" s="170">
        <f>8000*Entradas!$D$26*AW646/Constantes!$E$45</f>
        <v>0</v>
      </c>
      <c r="AY646" s="170">
        <f>IF(Escenarios!$E$17&gt;0,10*Escenarios!$E$16*AL646,0)</f>
        <v>0</v>
      </c>
      <c r="AZ646" s="170">
        <f>IF(Escenarios!$E$17&gt;0,10*Escenarios!$E$16*AX646,0)</f>
        <v>0</v>
      </c>
      <c r="BA646" s="170">
        <f>IF(Escenarios!$E$17&gt;0,0.001*Observaciones!$F645*Escenarios!$E$17,0)</f>
        <v>0</v>
      </c>
      <c r="BB646" s="170">
        <f>IF(Escenarios!$E$17&gt;0,Observaciones!$K645,0)</f>
        <v>0</v>
      </c>
      <c r="BC646" s="170">
        <f>IF(Escenarios!$E$17&gt;0,MIN(0.0005*ETo!$M645*Escenarios!$E$17*(BG645/Constantes!$E$40)^(2/3),BG645+AY646+AZ646+BA646+BB646),0)</f>
        <v>2.4417797191107007</v>
      </c>
      <c r="BD646" s="170">
        <f>IF(Escenarios!$E$17&gt;0,MIN(Constantes!$E$39*(BG645/Constantes!$E$40)^(2/3),BG645+AY646+AZ646+BA646+BB646-BC646),0)</f>
        <v>4.1170288747960173</v>
      </c>
      <c r="BE646" s="170">
        <f>IF(Escenarios!$E$17&gt;0,MIN(Entradas!$E$113,BG645+AY646+AZ646+BA646+BB646-BC646-BD646),0)</f>
        <v>1</v>
      </c>
      <c r="BF646" s="170">
        <f>IF(Escenarios!$E$17&gt;0,MAX(0,BG645+AY646+AZ646+BA646+BB646-BC646-BD646-BE646-Constantes!$E$40),0)</f>
        <v>0</v>
      </c>
      <c r="BG646" s="170">
        <f t="shared" si="138"/>
        <v>70.27165724802073</v>
      </c>
      <c r="BH646" s="170">
        <f>(Escenarios!$E$16*AK646+0.1*BC646)/(Escenarios!$E$19)</f>
        <v>1.4593523136874579E-3</v>
      </c>
      <c r="BI646" s="170">
        <f>IF(Escenarios!$E$17&gt;0,BF646/10/Escenarios!$E$19,AL646)</f>
        <v>0</v>
      </c>
      <c r="BJ646" s="170">
        <f>(Escenarios!$E$16*AT646+0.1*BD646)/(Escenarios!$E$19)</f>
        <v>1.6337416169825466E-3</v>
      </c>
      <c r="BK646" s="76">
        <f>BK645+(0.1*BD646)/(Escenarios!$E$19)-BL645</f>
        <v>49.643049781514854</v>
      </c>
      <c r="BL646" s="76">
        <f>MAX(0,(BK646-Constantes!$D$13)*(1-EXP(-Constantes!$D$23)))</f>
        <v>8.7994322051517995E-3</v>
      </c>
      <c r="BM646" s="76">
        <f t="shared" si="134"/>
        <v>0.22066295040096603</v>
      </c>
      <c r="BN646" s="76">
        <f t="shared" si="139"/>
        <v>0.22066295040096603</v>
      </c>
      <c r="BO646" s="76">
        <f>0.0526*BI646*Observaciones!$F645^1.218</f>
        <v>0</v>
      </c>
      <c r="BP646" s="76">
        <f>BO646*Constantes!$E$51</f>
        <v>0</v>
      </c>
      <c r="BQ646" s="76">
        <f t="shared" si="135"/>
        <v>0</v>
      </c>
      <c r="BR646" s="40"/>
    </row>
    <row r="647" spans="1:70">
      <c r="A647" s="147"/>
      <c r="B647" s="39"/>
      <c r="C647" s="75">
        <v>641</v>
      </c>
      <c r="D647" s="146">
        <f>ETo!$I646*((1-Constantes!$E$19)*ETo!$K646+ETo!$L646)</f>
        <v>4.1439420133923868</v>
      </c>
      <c r="E647" s="76">
        <f>MIN(D647*Constantes!$E$17,0.8*(N646+Observaciones!$F646-F647-M647-Constantes!$D$14))</f>
        <v>-1.6574315761982917E-2</v>
      </c>
      <c r="F647" s="76">
        <f>IF(Observaciones!$F646&gt;0.05*Constantes!$E$18,((Observaciones!$F646-0.05*Constantes!$E$18)^2)/(Observaciones!$F646+0.95*Constantes!$E$18),0)</f>
        <v>0</v>
      </c>
      <c r="G647" s="76">
        <f>IF(Escenarios!$E$11&gt;0,(F647*Escenarios!$E$16*10000)/1000,0)</f>
        <v>0</v>
      </c>
      <c r="H647" s="76">
        <f>IF(Escenarios!$E$11&gt;0,(Observaciones!$F646*Constantes!$E$29)/1000,0)</f>
        <v>0</v>
      </c>
      <c r="I647" s="76">
        <f>IF(Escenarios!$E$11&gt;0,(D647*Constantes!$E$29)/1000,0)</f>
        <v>41.439420133923868</v>
      </c>
      <c r="J647" s="76">
        <f>IF(Escenarios!$E$11&gt;0,MAX(0,G647+H647-I647),0)</f>
        <v>0</v>
      </c>
      <c r="K647" s="76">
        <f>IF(Escenarios!$E$11&gt;0,IF(J647&gt;Constantes!$E$30,1000*((J647-Constantes!$E$30)/(Escenarios!$E$16*10000)),0),F647)</f>
        <v>0</v>
      </c>
      <c r="L647" s="76">
        <f>IF(Escenarios!$E$11&gt;0,I647*1000/Escenarios!$E$16/10000+E647,E647)</f>
        <v>1.4522915866288511E-6</v>
      </c>
      <c r="M647" s="76">
        <f>MAX(0,N646+Observaciones!$F646-K647-Constantes!$D$13)</f>
        <v>0</v>
      </c>
      <c r="N647" s="76">
        <f>N646+Observaciones!$F646-K647-L647-M647-O646</f>
        <v>11.229280653005935</v>
      </c>
      <c r="O647" s="76">
        <f>MAX(0,(N647-Constantes!$D$14)*(1-EXP(-Constantes!$D$22)))</f>
        <v>0</v>
      </c>
      <c r="P647" s="170">
        <f>P646+(Entradas!$E$83*M647-Q646)/(800*Entradas!$D$25)</f>
        <v>0</v>
      </c>
      <c r="Q647" s="170">
        <f>8000*Entradas!$D$26*P647/Constantes!$E$45</f>
        <v>0</v>
      </c>
      <c r="R647" s="170">
        <f>IF(Escenarios!$E$14&gt;0,K647*Escenarios!$E$13/Escenarios!$E$14,0)</f>
        <v>0</v>
      </c>
      <c r="S647" s="170">
        <f>IF(Escenarios!$E$14&gt;0,Q647*Escenarios!$E$13/Escenarios!$E$14,0)</f>
        <v>0</v>
      </c>
      <c r="T647" s="170">
        <f>IF(Escenarios!$E$14&gt;0,Observaciones!$I646,0)</f>
        <v>0</v>
      </c>
      <c r="U647" s="170">
        <f>IF(Escenarios!$E$14&gt;0,MAX(0,Constantes!$E$36/((Z646+R647+S647+T647+Observaciones!$F646)^2)+Entradas!$E$77),0)</f>
        <v>0</v>
      </c>
      <c r="V647" s="146">
        <f>IF(ETo!D646&gt;0,ETo!I646*((1-Entradas!$E$81)*ETo!K646+ETo!L646),0)</f>
        <v>3.7816154171721363</v>
      </c>
      <c r="W647" s="170">
        <f>IF(Escenarios!$E$14&gt;0,MIN(V647*1,0.8*(Z646+R647+S647+T647+Observaciones!$F646-U647-Constantes!$E$35)),0)</f>
        <v>1.355948297714349E-5</v>
      </c>
      <c r="X647" s="170">
        <f>IF(Escenarios!$E$14&gt;0,Observaciones!$J646,0)</f>
        <v>0</v>
      </c>
      <c r="Y647" s="170">
        <f>IF(Escenarios!$E$14&gt;0,MAX(0,Z646+R647+S647+T647+Observaciones!$F646-U647-W647-X647-Constantes!$E$33),0)</f>
        <v>0</v>
      </c>
      <c r="Z647" s="170">
        <f>Z646+R647+S647+T647+Observaciones!$F646-U647-W647-Y647</f>
        <v>41.250003389870741</v>
      </c>
      <c r="AA647" s="170">
        <f>IF(Escenarios!$E$14&gt;0,(Escenarios!$E$13*L647+Escenarios!$E$14*W647)/(Escenarios!$E$16),L647)</f>
        <v>2.9051545534906078E-6</v>
      </c>
      <c r="AB647" s="170">
        <f>IF(Escenarios!$E$14&gt;0,(Escenarios!$E$14*Y647)/(Escenarios!$E$16),K647)</f>
        <v>0</v>
      </c>
      <c r="AC647" s="170">
        <f>IF(Escenarios!$E$14&gt;0,(Escenarios!$E$13*M647+Escenarios!$E$14*U647)/(Escenarios!$E$16),M647)</f>
        <v>0</v>
      </c>
      <c r="AD647" s="76">
        <f t="shared" ref="AD647:AD710" si="141">AD646+AC647-AE646</f>
        <v>70.040054358387934</v>
      </c>
      <c r="AE647" s="76">
        <f>MAX(0,(AD647-Constantes!$D$13)*(1-EXP(-Constantes!$D$23)))</f>
        <v>0.20977597648907231</v>
      </c>
      <c r="AF647" s="76">
        <f>AB647+O647*Escenarios!$E$13/Escenarios!$E$16+AE647</f>
        <v>0.20977597648907231</v>
      </c>
      <c r="AG647" s="76">
        <f>IF(Entradas!$E$91&gt;0,IF(AF647-Escenarios!$E$38&lt;=0,0,IF(AF647-Escenarios!$E$38&gt;Escenarios!$E$37,Escenarios!$E$37,AF647-Escenarios!$E$38)),0)</f>
        <v>0</v>
      </c>
      <c r="AH647" s="76">
        <f>AG647*Entradas!$E$99</f>
        <v>0</v>
      </c>
      <c r="AI647" s="76">
        <f>IF(Entradas!$E$91&gt;0,D647*Entradas!$D$23/Escenarios!$E$16,0)</f>
        <v>0</v>
      </c>
      <c r="AJ647" s="76">
        <f>IF(Entradas!$E$91&gt;0,Entradas!$D$24*Entradas!$D$22/Escenarios!$E$16,0)</f>
        <v>0</v>
      </c>
      <c r="AK647" s="76">
        <f t="shared" si="136"/>
        <v>2.9051545534906078E-6</v>
      </c>
      <c r="AL647" s="76">
        <f t="shared" si="137"/>
        <v>0</v>
      </c>
      <c r="AM647" s="76">
        <f t="shared" ref="AM647:AM710" si="142">AG647+AL647-AB647</f>
        <v>0</v>
      </c>
      <c r="AN647" s="76">
        <f>MAX(0,O647*Escenarios!$E$13/Escenarios!$E$16-AM647)</f>
        <v>0</v>
      </c>
      <c r="AO647" s="76">
        <f>AM647+AN647-O647*Escenarios!$E$13/Escenarios!$E$16</f>
        <v>0</v>
      </c>
      <c r="AP647" s="76">
        <f t="shared" si="140"/>
        <v>0.20977597648907231</v>
      </c>
      <c r="AQ647" s="76">
        <f t="shared" ref="AQ647:AQ710" si="143">AO647+AP647-AE647</f>
        <v>0</v>
      </c>
      <c r="AR647" s="76">
        <f t="shared" ref="AR647:AR710" si="144">AL647+AN647+AP647+AH647</f>
        <v>0.20977597648907231</v>
      </c>
      <c r="AS647" s="76">
        <f t="shared" ref="AS647:AS710" si="145">MAX(0,AG647-AH647-AI647-AJ647)</f>
        <v>0</v>
      </c>
      <c r="AT647" s="76">
        <f t="shared" ref="AT647:AT710" si="146">AC647+AS647</f>
        <v>0</v>
      </c>
      <c r="AU647" s="76">
        <f t="shared" ref="AU647:AU710" si="147">AU646+AS647-AV646</f>
        <v>48.75</v>
      </c>
      <c r="AV647" s="76">
        <f>MAX(0,(AU647-Constantes!$D$13)*(1-EXP(-Constantes!$D$24)))</f>
        <v>0</v>
      </c>
      <c r="AW647" s="170">
        <f>AW646+(Entradas!$E$112*AT647-AX646)/(800*Entradas!$D$25)</f>
        <v>0</v>
      </c>
      <c r="AX647" s="170">
        <f>8000*Entradas!$D$26*AW647/Constantes!$E$45</f>
        <v>0</v>
      </c>
      <c r="AY647" s="170">
        <f>IF(Escenarios!$E$17&gt;0,10*Escenarios!$E$16*AL647,0)</f>
        <v>0</v>
      </c>
      <c r="AZ647" s="170">
        <f>IF(Escenarios!$E$17&gt;0,10*Escenarios!$E$16*AX647,0)</f>
        <v>0</v>
      </c>
      <c r="BA647" s="170">
        <f>IF(Escenarios!$E$17&gt;0,0.001*Observaciones!$F646*Escenarios!$E$17,0)</f>
        <v>0</v>
      </c>
      <c r="BB647" s="170">
        <f>IF(Escenarios!$E$17&gt;0,Observaciones!$K646,0)</f>
        <v>0</v>
      </c>
      <c r="BC647" s="170">
        <f>IF(Escenarios!$E$17&gt;0,MIN(0.0005*ETo!$M646*Escenarios!$E$17*(BG646/Constantes!$E$40)^(2/3),BG646+AY647+AZ647+BA647+BB647),0)</f>
        <v>2.2662648308650319</v>
      </c>
      <c r="BD647" s="170">
        <f>IF(Escenarios!$E$17&gt;0,MIN(Constantes!$E$39*(BG646/Constantes!$E$40)^(2/3),BG646+AY647+AZ647+BA647+BB647-BC647),0)</f>
        <v>3.8459558131080045</v>
      </c>
      <c r="BE647" s="170">
        <f>IF(Escenarios!$E$17&gt;0,MIN(Entradas!$E$113,BG646+AY647+AZ647+BA647+BB647-BC647-BD647),0)</f>
        <v>1</v>
      </c>
      <c r="BF647" s="170">
        <f>IF(Escenarios!$E$17&gt;0,MAX(0,BG646+AY647+AZ647+BA647+BB647-BC647-BD647-BE647-Constantes!$E$40),0)</f>
        <v>0</v>
      </c>
      <c r="BG647" s="170">
        <f t="shared" si="138"/>
        <v>63.159436604047698</v>
      </c>
      <c r="BH647" s="170">
        <f>(Escenarios!$E$16*AK647+0.1*BC647)/(Escenarios!$E$19)</f>
        <v>9.0219353859077726E-4</v>
      </c>
      <c r="BI647" s="170">
        <f>IF(Escenarios!$E$17&gt;0,BF647/10/Escenarios!$E$19,AL647)</f>
        <v>0</v>
      </c>
      <c r="BJ647" s="170">
        <f>(Escenarios!$E$16*AT647+0.1*BD647)/(Escenarios!$E$19)</f>
        <v>1.5261729417095256E-3</v>
      </c>
      <c r="BK647" s="76">
        <f>BK646+(0.1*BD647)/(Escenarios!$E$19)-BL646</f>
        <v>49.635776522251412</v>
      </c>
      <c r="BL647" s="76">
        <f>MAX(0,(BK647-Constantes!$D$13)*(1-EXP(-Constantes!$D$23)))</f>
        <v>8.7277670492737127E-3</v>
      </c>
      <c r="BM647" s="76">
        <f t="shared" ref="BM647:BM710" si="148">AP647+AV647+BL647</f>
        <v>0.21850374353834603</v>
      </c>
      <c r="BN647" s="76">
        <f t="shared" si="139"/>
        <v>0.21850374353834603</v>
      </c>
      <c r="BO647" s="76">
        <f>0.0526*BI647*Observaciones!$F646^1.218</f>
        <v>0</v>
      </c>
      <c r="BP647" s="76">
        <f>BO647*Constantes!$E$51</f>
        <v>0</v>
      </c>
      <c r="BQ647" s="76">
        <f t="shared" ref="BQ647:BQ710" si="149">BP647*1000000/(BN647/1000*10000)</f>
        <v>0</v>
      </c>
      <c r="BR647" s="40"/>
    </row>
    <row r="648" spans="1:70">
      <c r="A648" s="147"/>
      <c r="B648" s="39"/>
      <c r="C648" s="75">
        <v>642</v>
      </c>
      <c r="D648" s="146">
        <f>ETo!$I647*((1-Constantes!$E$19)*ETo!$K647+ETo!$L647)</f>
        <v>3.7319118112909688</v>
      </c>
      <c r="E648" s="76">
        <f>MIN(D648*Constantes!$E$17,0.8*(N647+Observaciones!$F647-F648-M648-Constantes!$D$14))</f>
        <v>-1.6575477595252155E-2</v>
      </c>
      <c r="F648" s="76">
        <f>IF(Observaciones!$F647&gt;0.05*Constantes!$E$18,((Observaciones!$F647-0.05*Constantes!$E$18)^2)/(Observaciones!$F647+0.95*Constantes!$E$18),0)</f>
        <v>0</v>
      </c>
      <c r="G648" s="76">
        <f>IF(Escenarios!$E$11&gt;0,(F648*Escenarios!$E$16*10000)/1000,0)</f>
        <v>0</v>
      </c>
      <c r="H648" s="76">
        <f>IF(Escenarios!$E$11&gt;0,(Observaciones!$F647*Constantes!$E$29)/1000,0)</f>
        <v>0</v>
      </c>
      <c r="I648" s="76">
        <f>IF(Escenarios!$E$11&gt;0,(D648*Constantes!$E$29)/1000,0)</f>
        <v>37.319118112909685</v>
      </c>
      <c r="J648" s="76">
        <f>IF(Escenarios!$E$11&gt;0,MAX(0,G648+H648-I648),0)</f>
        <v>0</v>
      </c>
      <c r="K648" s="76">
        <f>IF(Escenarios!$E$11&gt;0,IF(J648&gt;Constantes!$E$30,1000*((J648-Constantes!$E$30)/(Escenarios!$E$16*10000)),0),F648)</f>
        <v>0</v>
      </c>
      <c r="L648" s="76">
        <f>IF(Escenarios!$E$11&gt;0,I648*1000/Escenarios!$E$16/10000+E648,E648)</f>
        <v>-1.6478303500882807E-3</v>
      </c>
      <c r="M648" s="76">
        <f>MAX(0,N647+Observaciones!$F647-K648-Constantes!$D$13)</f>
        <v>0</v>
      </c>
      <c r="N648" s="76">
        <f>N647+Observaciones!$F647-K648-L648-M648-O647</f>
        <v>11.230928483356022</v>
      </c>
      <c r="O648" s="76">
        <f>MAX(0,(N648-Constantes!$D$14)*(1-EXP(-Constantes!$D$22)))</f>
        <v>0</v>
      </c>
      <c r="P648" s="170">
        <f>P647+(Entradas!$E$83*M648-Q647)/(800*Entradas!$D$25)</f>
        <v>0</v>
      </c>
      <c r="Q648" s="170">
        <f>8000*Entradas!$D$26*P648/Constantes!$E$45</f>
        <v>0</v>
      </c>
      <c r="R648" s="170">
        <f>IF(Escenarios!$E$14&gt;0,K648*Escenarios!$E$13/Escenarios!$E$14,0)</f>
        <v>0</v>
      </c>
      <c r="S648" s="170">
        <f>IF(Escenarios!$E$14&gt;0,Q648*Escenarios!$E$13/Escenarios!$E$14,0)</f>
        <v>0</v>
      </c>
      <c r="T648" s="170">
        <f>IF(Escenarios!$E$14&gt;0,Observaciones!$I647,0)</f>
        <v>0</v>
      </c>
      <c r="U648" s="170">
        <f>IF(Escenarios!$E$14&gt;0,MAX(0,Constantes!$E$36/((Z647+R648+S648+T648+Observaciones!$F647)^2)+Entradas!$E$77),0)</f>
        <v>0</v>
      </c>
      <c r="V648" s="146">
        <f>IF(ETo!D647&gt;0,ETo!I647*((1-Entradas!$E$81)*ETo!K647+ETo!L647),0)</f>
        <v>3.4027710278628169</v>
      </c>
      <c r="W648" s="170">
        <f>IF(Escenarios!$E$14&gt;0,MIN(V648*1,0.8*(Z647+R648+S648+T648+Observaciones!$F647-U648-Constantes!$E$35)),0)</f>
        <v>2.7118965931549613E-6</v>
      </c>
      <c r="X648" s="170">
        <f>IF(Escenarios!$E$14&gt;0,Observaciones!$J647,0)</f>
        <v>0</v>
      </c>
      <c r="Y648" s="170">
        <f>IF(Escenarios!$E$14&gt;0,MAX(0,Z647+R648+S648+T648+Observaciones!$F647-U648-W648-X648-Constantes!$E$33),0)</f>
        <v>0</v>
      </c>
      <c r="Z648" s="170">
        <f>Z647+R648+S648+T648+Observaciones!$F647-U648-W648-Y648</f>
        <v>41.25000067797415</v>
      </c>
      <c r="AA648" s="170">
        <f>IF(Escenarios!$E$14&gt;0,(Escenarios!$E$13*L648+Escenarios!$E$14*W648)/(Escenarios!$E$16),L648)</f>
        <v>-1.4497652804865084E-3</v>
      </c>
      <c r="AB648" s="170">
        <f>IF(Escenarios!$E$14&gt;0,(Escenarios!$E$14*Y648)/(Escenarios!$E$16),K648)</f>
        <v>0</v>
      </c>
      <c r="AC648" s="170">
        <f>IF(Escenarios!$E$14&gt;0,(Escenarios!$E$13*M648+Escenarios!$E$14*U648)/(Escenarios!$E$16),M648)</f>
        <v>0</v>
      </c>
      <c r="AD648" s="76">
        <f t="shared" si="141"/>
        <v>69.830278381898864</v>
      </c>
      <c r="AE648" s="76">
        <f>MAX(0,(AD648-Constantes!$D$13)*(1-EXP(-Constantes!$D$23)))</f>
        <v>0.20770900382798066</v>
      </c>
      <c r="AF648" s="76">
        <f>AB648+O648*Escenarios!$E$13/Escenarios!$E$16+AE648</f>
        <v>0.20770900382798066</v>
      </c>
      <c r="AG648" s="76">
        <f>IF(Entradas!$E$91&gt;0,IF(AF648-Escenarios!$E$38&lt;=0,0,IF(AF648-Escenarios!$E$38&gt;Escenarios!$E$37,Escenarios!$E$37,AF648-Escenarios!$E$38)),0)</f>
        <v>0</v>
      </c>
      <c r="AH648" s="76">
        <f>AG648*Entradas!$E$99</f>
        <v>0</v>
      </c>
      <c r="AI648" s="76">
        <f>IF(Entradas!$E$91&gt;0,D648*Entradas!$D$23/Escenarios!$E$16,0)</f>
        <v>0</v>
      </c>
      <c r="AJ648" s="76">
        <f>IF(Entradas!$E$91&gt;0,Entradas!$D$24*Entradas!$D$22/Escenarios!$E$16,0)</f>
        <v>0</v>
      </c>
      <c r="AK648" s="76">
        <f t="shared" ref="AK648:AK711" si="150">AA648+AI648</f>
        <v>-1.4497652804865084E-3</v>
      </c>
      <c r="AL648" s="76">
        <f t="shared" ref="AL648:AL711" si="151">MAX(0,AB648-AG648)</f>
        <v>0</v>
      </c>
      <c r="AM648" s="76">
        <f t="shared" si="142"/>
        <v>0</v>
      </c>
      <c r="AN648" s="76">
        <f>MAX(0,O648*Escenarios!$E$13/Escenarios!$E$16-AM648)</f>
        <v>0</v>
      </c>
      <c r="AO648" s="76">
        <f>AM648+AN648-O648*Escenarios!$E$13/Escenarios!$E$16</f>
        <v>0</v>
      </c>
      <c r="AP648" s="76">
        <f t="shared" si="140"/>
        <v>0.20770900382798066</v>
      </c>
      <c r="AQ648" s="76">
        <f t="shared" si="143"/>
        <v>0</v>
      </c>
      <c r="AR648" s="76">
        <f t="shared" si="144"/>
        <v>0.20770900382798066</v>
      </c>
      <c r="AS648" s="76">
        <f t="shared" si="145"/>
        <v>0</v>
      </c>
      <c r="AT648" s="76">
        <f t="shared" si="146"/>
        <v>0</v>
      </c>
      <c r="AU648" s="76">
        <f t="shared" si="147"/>
        <v>48.75</v>
      </c>
      <c r="AV648" s="76">
        <f>MAX(0,(AU648-Constantes!$D$13)*(1-EXP(-Constantes!$D$24)))</f>
        <v>0</v>
      </c>
      <c r="AW648" s="170">
        <f>AW647+(Entradas!$E$112*AT648-AX647)/(800*Entradas!$D$25)</f>
        <v>0</v>
      </c>
      <c r="AX648" s="170">
        <f>8000*Entradas!$D$26*AW648/Constantes!$E$45</f>
        <v>0</v>
      </c>
      <c r="AY648" s="170">
        <f>IF(Escenarios!$E$17&gt;0,10*Escenarios!$E$16*AL648,0)</f>
        <v>0</v>
      </c>
      <c r="AZ648" s="170">
        <f>IF(Escenarios!$E$17&gt;0,10*Escenarios!$E$16*AX648,0)</f>
        <v>0</v>
      </c>
      <c r="BA648" s="170">
        <f>IF(Escenarios!$E$17&gt;0,0.001*Observaciones!$F647*Escenarios!$E$17,0)</f>
        <v>0</v>
      </c>
      <c r="BB648" s="170">
        <f>IF(Escenarios!$E$17&gt;0,Observaciones!$K647,0)</f>
        <v>0</v>
      </c>
      <c r="BC648" s="170">
        <f>IF(Escenarios!$E$17&gt;0,MIN(0.0005*ETo!$M647*Escenarios!$E$17*(BG647/Constantes!$E$40)^(2/3),BG647+AY648+AZ648+BA648+BB648),0)</f>
        <v>1.9027891586118744</v>
      </c>
      <c r="BD648" s="170">
        <f>IF(Escenarios!$E$17&gt;0,MIN(Constantes!$E$39*(BG647/Constantes!$E$40)^(2/3),BG647+AY648+AZ648+BA648+BB648-BC648),0)</f>
        <v>3.5818686669308337</v>
      </c>
      <c r="BE648" s="170">
        <f>IF(Escenarios!$E$17&gt;0,MIN(Entradas!$E$113,BG647+AY648+AZ648+BA648+BB648-BC648-BD648),0)</f>
        <v>1</v>
      </c>
      <c r="BF648" s="170">
        <f>IF(Escenarios!$E$17&gt;0,MAX(0,BG647+AY648+AZ648+BA648+BB648-BC648-BD648-BE648-Constantes!$E$40),0)</f>
        <v>0</v>
      </c>
      <c r="BG648" s="170">
        <f t="shared" ref="BG648:BG711" si="152">BG647+AY648+AZ648+BA648+BB648-BF648-BC648-BD648-BE648</f>
        <v>56.674778778504994</v>
      </c>
      <c r="BH648" s="170">
        <f>(Escenarios!$E$16*AK648+0.1*BC648)/(Escenarios!$E$19)</f>
        <v>-6.8318414389063355E-4</v>
      </c>
      <c r="BI648" s="170">
        <f>IF(Escenarios!$E$17&gt;0,BF648/10/Escenarios!$E$19,AL648)</f>
        <v>0</v>
      </c>
      <c r="BJ648" s="170">
        <f>(Escenarios!$E$16*AT648+0.1*BD648)/(Escenarios!$E$19)</f>
        <v>1.4213764551312834E-3</v>
      </c>
      <c r="BK648" s="76">
        <f>BK647+(0.1*BD648)/(Escenarios!$E$19)-BL647</f>
        <v>49.628470131657274</v>
      </c>
      <c r="BL648" s="76">
        <f>MAX(0,(BK648-Constantes!$D$13)*(1-EXP(-Constantes!$D$23)))</f>
        <v>8.6557754425030126E-3</v>
      </c>
      <c r="BM648" s="76">
        <f t="shared" si="148"/>
        <v>0.21636477927048367</v>
      </c>
      <c r="BN648" s="76">
        <f t="shared" ref="BN648:BN711" si="153">AN648+AP648+AV648+BI648+BL648</f>
        <v>0.21636477927048367</v>
      </c>
      <c r="BO648" s="76">
        <f>0.0526*BI648*Observaciones!$F647^1.218</f>
        <v>0</v>
      </c>
      <c r="BP648" s="76">
        <f>BO648*Constantes!$E$51</f>
        <v>0</v>
      </c>
      <c r="BQ648" s="76">
        <f t="shared" si="149"/>
        <v>0</v>
      </c>
      <c r="BR648" s="40"/>
    </row>
    <row r="649" spans="1:70">
      <c r="A649" s="147"/>
      <c r="B649" s="39"/>
      <c r="C649" s="75">
        <v>643</v>
      </c>
      <c r="D649" s="146">
        <f>ETo!$I648*((1-Constantes!$E$19)*ETo!$K648+ETo!$L648)</f>
        <v>4.2049106822583795</v>
      </c>
      <c r="E649" s="76">
        <f>MIN(D649*Constantes!$E$17,0.8*(N648+Observaciones!$F648-F649-M649-Constantes!$D$14))</f>
        <v>-1.5257213315182129E-2</v>
      </c>
      <c r="F649" s="76">
        <f>IF(Observaciones!$F648&gt;0.05*Constantes!$E$18,((Observaciones!$F648-0.05*Constantes!$E$18)^2)/(Observaciones!$F648+0.95*Constantes!$E$18),0)</f>
        <v>0</v>
      </c>
      <c r="G649" s="76">
        <f>IF(Escenarios!$E$11&gt;0,(F649*Escenarios!$E$16*10000)/1000,0)</f>
        <v>0</v>
      </c>
      <c r="H649" s="76">
        <f>IF(Escenarios!$E$11&gt;0,(Observaciones!$F648*Constantes!$E$29)/1000,0)</f>
        <v>0</v>
      </c>
      <c r="I649" s="76">
        <f>IF(Escenarios!$E$11&gt;0,(D649*Constantes!$E$29)/1000,0)</f>
        <v>42.049106822583795</v>
      </c>
      <c r="J649" s="76">
        <f>IF(Escenarios!$E$11&gt;0,MAX(0,G649+H649-I649),0)</f>
        <v>0</v>
      </c>
      <c r="K649" s="76">
        <f>IF(Escenarios!$E$11&gt;0,IF(J649&gt;Constantes!$E$30,1000*((J649-Constantes!$E$30)/(Escenarios!$E$16*10000)),0),F649)</f>
        <v>0</v>
      </c>
      <c r="L649" s="76">
        <f>IF(Escenarios!$E$11&gt;0,I649*1000/Escenarios!$E$16/10000+E649,E649)</f>
        <v>1.5624294138513878E-3</v>
      </c>
      <c r="M649" s="76">
        <f>MAX(0,N648+Observaciones!$F648-K649-Constantes!$D$13)</f>
        <v>0</v>
      </c>
      <c r="N649" s="76">
        <f>N648+Observaciones!$F648-K649-L649-M649-O648</f>
        <v>11.22936605394217</v>
      </c>
      <c r="O649" s="76">
        <f>MAX(0,(N649-Constantes!$D$14)*(1-EXP(-Constantes!$D$22)))</f>
        <v>0</v>
      </c>
      <c r="P649" s="170">
        <f>P648+(Entradas!$E$83*M649-Q648)/(800*Entradas!$D$25)</f>
        <v>0</v>
      </c>
      <c r="Q649" s="170">
        <f>8000*Entradas!$D$26*P649/Constantes!$E$45</f>
        <v>0</v>
      </c>
      <c r="R649" s="170">
        <f>IF(Escenarios!$E$14&gt;0,K649*Escenarios!$E$13/Escenarios!$E$14,0)</f>
        <v>0</v>
      </c>
      <c r="S649" s="170">
        <f>IF(Escenarios!$E$14&gt;0,Q649*Escenarios!$E$13/Escenarios!$E$14,0)</f>
        <v>0</v>
      </c>
      <c r="T649" s="170">
        <f>IF(Escenarios!$E$14&gt;0,Observaciones!$I648,0)</f>
        <v>0</v>
      </c>
      <c r="U649" s="170">
        <f>IF(Escenarios!$E$14&gt;0,MAX(0,Constantes!$E$36/((Z648+R649+S649+T649+Observaciones!$F648)^2)+Entradas!$E$77),0)</f>
        <v>0</v>
      </c>
      <c r="V649" s="146">
        <f>IF(ETo!D648&gt;0,ETo!I648*((1-Entradas!$E$81)*ETo!K648+ETo!L648),0)</f>
        <v>3.8382725895323357</v>
      </c>
      <c r="W649" s="170">
        <f>IF(Escenarios!$E$14&gt;0,MIN(V649*1,0.8*(Z648+R649+S649+T649+Observaciones!$F648-U649-Constantes!$E$35)),0)</f>
        <v>5.423793197678606E-7</v>
      </c>
      <c r="X649" s="170">
        <f>IF(Escenarios!$E$14&gt;0,Observaciones!$J648,0)</f>
        <v>0</v>
      </c>
      <c r="Y649" s="170">
        <f>IF(Escenarios!$E$14&gt;0,MAX(0,Z648+R649+S649+T649+Observaciones!$F648-U649-W649-X649-Constantes!$E$33),0)</f>
        <v>0</v>
      </c>
      <c r="Z649" s="170">
        <f>Z648+R649+S649+T649+Observaciones!$F648-U649-W649-Y649</f>
        <v>41.250000135594831</v>
      </c>
      <c r="AA649" s="170">
        <f>IF(Escenarios!$E$14&gt;0,(Escenarios!$E$13*L649+Escenarios!$E$14*W649)/(Escenarios!$E$16),L649)</f>
        <v>1.3750029697075935E-3</v>
      </c>
      <c r="AB649" s="170">
        <f>IF(Escenarios!$E$14&gt;0,(Escenarios!$E$14*Y649)/(Escenarios!$E$16),K649)</f>
        <v>0</v>
      </c>
      <c r="AC649" s="170">
        <f>IF(Escenarios!$E$14&gt;0,(Escenarios!$E$13*M649+Escenarios!$E$14*U649)/(Escenarios!$E$16),M649)</f>
        <v>0</v>
      </c>
      <c r="AD649" s="76">
        <f t="shared" si="141"/>
        <v>69.622569378070878</v>
      </c>
      <c r="AE649" s="76">
        <f>MAX(0,(AD649-Constantes!$D$13)*(1-EXP(-Constantes!$D$23)))</f>
        <v>0.20566239754083318</v>
      </c>
      <c r="AF649" s="76">
        <f>AB649+O649*Escenarios!$E$13/Escenarios!$E$16+AE649</f>
        <v>0.20566239754083318</v>
      </c>
      <c r="AG649" s="76">
        <f>IF(Entradas!$E$91&gt;0,IF(AF649-Escenarios!$E$38&lt;=0,0,IF(AF649-Escenarios!$E$38&gt;Escenarios!$E$37,Escenarios!$E$37,AF649-Escenarios!$E$38)),0)</f>
        <v>0</v>
      </c>
      <c r="AH649" s="76">
        <f>AG649*Entradas!$E$99</f>
        <v>0</v>
      </c>
      <c r="AI649" s="76">
        <f>IF(Entradas!$E$91&gt;0,D649*Entradas!$D$23/Escenarios!$E$16,0)</f>
        <v>0</v>
      </c>
      <c r="AJ649" s="76">
        <f>IF(Entradas!$E$91&gt;0,Entradas!$D$24*Entradas!$D$22/Escenarios!$E$16,0)</f>
        <v>0</v>
      </c>
      <c r="AK649" s="76">
        <f t="shared" si="150"/>
        <v>1.3750029697075935E-3</v>
      </c>
      <c r="AL649" s="76">
        <f t="shared" si="151"/>
        <v>0</v>
      </c>
      <c r="AM649" s="76">
        <f t="shared" si="142"/>
        <v>0</v>
      </c>
      <c r="AN649" s="76">
        <f>MAX(0,O649*Escenarios!$E$13/Escenarios!$E$16-AM649)</f>
        <v>0</v>
      </c>
      <c r="AO649" s="76">
        <f>AM649+AN649-O649*Escenarios!$E$13/Escenarios!$E$16</f>
        <v>0</v>
      </c>
      <c r="AP649" s="76">
        <f t="shared" si="140"/>
        <v>0.20566239754083318</v>
      </c>
      <c r="AQ649" s="76">
        <f t="shared" si="143"/>
        <v>0</v>
      </c>
      <c r="AR649" s="76">
        <f t="shared" si="144"/>
        <v>0.20566239754083318</v>
      </c>
      <c r="AS649" s="76">
        <f t="shared" si="145"/>
        <v>0</v>
      </c>
      <c r="AT649" s="76">
        <f t="shared" si="146"/>
        <v>0</v>
      </c>
      <c r="AU649" s="76">
        <f t="shared" si="147"/>
        <v>48.75</v>
      </c>
      <c r="AV649" s="76">
        <f>MAX(0,(AU649-Constantes!$D$13)*(1-EXP(-Constantes!$D$24)))</f>
        <v>0</v>
      </c>
      <c r="AW649" s="170">
        <f>AW648+(Entradas!$E$112*AT649-AX648)/(800*Entradas!$D$25)</f>
        <v>0</v>
      </c>
      <c r="AX649" s="170">
        <f>8000*Entradas!$D$26*AW649/Constantes!$E$45</f>
        <v>0</v>
      </c>
      <c r="AY649" s="170">
        <f>IF(Escenarios!$E$17&gt;0,10*Escenarios!$E$16*AL649,0)</f>
        <v>0</v>
      </c>
      <c r="AZ649" s="170">
        <f>IF(Escenarios!$E$17&gt;0,10*Escenarios!$E$16*AX649,0)</f>
        <v>0</v>
      </c>
      <c r="BA649" s="170">
        <f>IF(Escenarios!$E$17&gt;0,0.001*Observaciones!$F648*Escenarios!$E$17,0)</f>
        <v>0</v>
      </c>
      <c r="BB649" s="170">
        <f>IF(Escenarios!$E$17&gt;0,Observaciones!$K648,0)</f>
        <v>0</v>
      </c>
      <c r="BC649" s="170">
        <f>IF(Escenarios!$E$17&gt;0,MIN(0.0005*ETo!$M648*Escenarios!$E$17*(BG648/Constantes!$E$40)^(2/3),BG648+AY649+AZ649+BA649+BB649),0)</f>
        <v>1.9918098542381186</v>
      </c>
      <c r="BD649" s="170">
        <f>IF(Escenarios!$E$17&gt;0,MIN(Constantes!$E$39*(BG648/Constantes!$E$40)^(2/3),BG648+AY649+AZ649+BA649+BB649-BC649),0)</f>
        <v>3.3322996596501326</v>
      </c>
      <c r="BE649" s="170">
        <f>IF(Escenarios!$E$17&gt;0,MIN(Entradas!$E$113,BG648+AY649+AZ649+BA649+BB649-BC649-BD649),0)</f>
        <v>1</v>
      </c>
      <c r="BF649" s="170">
        <f>IF(Escenarios!$E$17&gt;0,MAX(0,BG648+AY649+AZ649+BA649+BB649-BC649-BD649-BE649-Constantes!$E$40),0)</f>
        <v>0</v>
      </c>
      <c r="BG649" s="170">
        <f t="shared" si="152"/>
        <v>50.350669264616741</v>
      </c>
      <c r="BH649" s="170">
        <f>(Escenarios!$E$16*AK649+0.1*BC649)/(Escenarios!$E$19)</f>
        <v>2.1544909835345643E-3</v>
      </c>
      <c r="BI649" s="170">
        <f>IF(Escenarios!$E$17&gt;0,BF649/10/Escenarios!$E$19,AL649)</f>
        <v>0</v>
      </c>
      <c r="BJ649" s="170">
        <f>(Escenarios!$E$16*AT649+0.1*BD649)/(Escenarios!$E$19)</f>
        <v>1.3223411347817989E-3</v>
      </c>
      <c r="BK649" s="76">
        <f>BK648+(0.1*BD649)/(Escenarios!$E$19)-BL648</f>
        <v>49.621136697349549</v>
      </c>
      <c r="BL649" s="76">
        <f>MAX(0,(BK649-Constantes!$D$13)*(1-EXP(-Constantes!$D$23)))</f>
        <v>8.5835173675810304E-3</v>
      </c>
      <c r="BM649" s="76">
        <f t="shared" si="148"/>
        <v>0.21424591490841421</v>
      </c>
      <c r="BN649" s="76">
        <f t="shared" si="153"/>
        <v>0.21424591490841421</v>
      </c>
      <c r="BO649" s="76">
        <f>0.0526*BI649*Observaciones!$F648^1.218</f>
        <v>0</v>
      </c>
      <c r="BP649" s="76">
        <f>BO649*Constantes!$E$51</f>
        <v>0</v>
      </c>
      <c r="BQ649" s="76">
        <f t="shared" si="149"/>
        <v>0</v>
      </c>
      <c r="BR649" s="40"/>
    </row>
    <row r="650" spans="1:70">
      <c r="A650" s="147"/>
      <c r="B650" s="39"/>
      <c r="C650" s="75">
        <v>644</v>
      </c>
      <c r="D650" s="146">
        <f>ETo!$I649*((1-Constantes!$E$19)*ETo!$K649+ETo!$L649)</f>
        <v>4.1288282948584385</v>
      </c>
      <c r="E650" s="76">
        <f>MIN(D650*Constantes!$E$17,0.8*(N649+Observaciones!$F649-F650-M650-Constantes!$D$14))</f>
        <v>-1.6507156846263627E-2</v>
      </c>
      <c r="F650" s="76">
        <f>IF(Observaciones!$F649&gt;0.05*Constantes!$E$18,((Observaciones!$F649-0.05*Constantes!$E$18)^2)/(Observaciones!$F649+0.95*Constantes!$E$18),0)</f>
        <v>0</v>
      </c>
      <c r="G650" s="76">
        <f>IF(Escenarios!$E$11&gt;0,(F650*Escenarios!$E$16*10000)/1000,0)</f>
        <v>0</v>
      </c>
      <c r="H650" s="76">
        <f>IF(Escenarios!$E$11&gt;0,(Observaciones!$F649*Constantes!$E$29)/1000,0)</f>
        <v>0</v>
      </c>
      <c r="I650" s="76">
        <f>IF(Escenarios!$E$11&gt;0,(D650*Constantes!$E$29)/1000,0)</f>
        <v>41.288282948584381</v>
      </c>
      <c r="J650" s="76">
        <f>IF(Escenarios!$E$11&gt;0,MAX(0,G650+H650-I650),0)</f>
        <v>0</v>
      </c>
      <c r="K650" s="76">
        <f>IF(Escenarios!$E$11&gt;0,IF(J650&gt;Constantes!$E$30,1000*((J650-Constantes!$E$30)/(Escenarios!$E$16*10000)),0),F650)</f>
        <v>0</v>
      </c>
      <c r="L650" s="76">
        <f>IF(Escenarios!$E$11&gt;0,I650*1000/Escenarios!$E$16/10000+E650,E650)</f>
        <v>8.1563331701256514E-6</v>
      </c>
      <c r="M650" s="76">
        <f>MAX(0,N649+Observaciones!$F649-K650-Constantes!$D$13)</f>
        <v>0</v>
      </c>
      <c r="N650" s="76">
        <f>N649+Observaciones!$F649-K650-L650-M650-O649</f>
        <v>11.229357897609001</v>
      </c>
      <c r="O650" s="76">
        <f>MAX(0,(N650-Constantes!$D$14)*(1-EXP(-Constantes!$D$22)))</f>
        <v>0</v>
      </c>
      <c r="P650" s="170">
        <f>P649+(Entradas!$E$83*M650-Q649)/(800*Entradas!$D$25)</f>
        <v>0</v>
      </c>
      <c r="Q650" s="170">
        <f>8000*Entradas!$D$26*P650/Constantes!$E$45</f>
        <v>0</v>
      </c>
      <c r="R650" s="170">
        <f>IF(Escenarios!$E$14&gt;0,K650*Escenarios!$E$13/Escenarios!$E$14,0)</f>
        <v>0</v>
      </c>
      <c r="S650" s="170">
        <f>IF(Escenarios!$E$14&gt;0,Q650*Escenarios!$E$13/Escenarios!$E$14,0)</f>
        <v>0</v>
      </c>
      <c r="T650" s="170">
        <f>IF(Escenarios!$E$14&gt;0,Observaciones!$I649,0)</f>
        <v>0</v>
      </c>
      <c r="U650" s="170">
        <f>IF(Escenarios!$E$14&gt;0,MAX(0,Constantes!$E$36/((Z649+R650+S650+T650+Observaciones!$F649)^2)+Entradas!$E$77),0)</f>
        <v>0</v>
      </c>
      <c r="V650" s="146">
        <f>IF(ETo!D649&gt;0,ETo!I649*((1-Entradas!$E$81)*ETo!K649+ETo!L649),0)</f>
        <v>3.768039034428361</v>
      </c>
      <c r="W650" s="170">
        <f>IF(Escenarios!$E$14&gt;0,MIN(V650*1,0.8*(Z649+R650+S650+T650+Observaciones!$F649-U650-Constantes!$E$35)),0)</f>
        <v>1.084758650904405E-7</v>
      </c>
      <c r="X650" s="170">
        <f>IF(Escenarios!$E$14&gt;0,Observaciones!$J649,0)</f>
        <v>0</v>
      </c>
      <c r="Y650" s="170">
        <f>IF(Escenarios!$E$14&gt;0,MAX(0,Z649+R650+S650+T650+Observaciones!$F649-U650-W650-X650-Constantes!$E$33),0)</f>
        <v>0</v>
      </c>
      <c r="Z650" s="170">
        <f>Z649+R650+S650+T650+Observaciones!$F649-U650-W650-Y650</f>
        <v>41.250000027118965</v>
      </c>
      <c r="AA650" s="170">
        <f>IF(Escenarios!$E$14&gt;0,(Escenarios!$E$13*L650+Escenarios!$E$14*W650)/(Escenarios!$E$16),L650)</f>
        <v>7.1905902935214264E-6</v>
      </c>
      <c r="AB650" s="170">
        <f>IF(Escenarios!$E$14&gt;0,(Escenarios!$E$14*Y650)/(Escenarios!$E$16),K650)</f>
        <v>0</v>
      </c>
      <c r="AC650" s="170">
        <f>IF(Escenarios!$E$14&gt;0,(Escenarios!$E$13*M650+Escenarios!$E$14*U650)/(Escenarios!$E$16),M650)</f>
        <v>0</v>
      </c>
      <c r="AD650" s="76">
        <f t="shared" si="141"/>
        <v>69.416906980530044</v>
      </c>
      <c r="AE650" s="76">
        <f>MAX(0,(AD650-Constantes!$D$13)*(1-EXP(-Constantes!$D$23)))</f>
        <v>0.20363595695289666</v>
      </c>
      <c r="AF650" s="76">
        <f>AB650+O650*Escenarios!$E$13/Escenarios!$E$16+AE650</f>
        <v>0.20363595695289666</v>
      </c>
      <c r="AG650" s="76">
        <f>IF(Entradas!$E$91&gt;0,IF(AF650-Escenarios!$E$38&lt;=0,0,IF(AF650-Escenarios!$E$38&gt;Escenarios!$E$37,Escenarios!$E$37,AF650-Escenarios!$E$38)),0)</f>
        <v>0</v>
      </c>
      <c r="AH650" s="76">
        <f>AG650*Entradas!$E$99</f>
        <v>0</v>
      </c>
      <c r="AI650" s="76">
        <f>IF(Entradas!$E$91&gt;0,D650*Entradas!$D$23/Escenarios!$E$16,0)</f>
        <v>0</v>
      </c>
      <c r="AJ650" s="76">
        <f>IF(Entradas!$E$91&gt;0,Entradas!$D$24*Entradas!$D$22/Escenarios!$E$16,0)</f>
        <v>0</v>
      </c>
      <c r="AK650" s="76">
        <f t="shared" si="150"/>
        <v>7.1905902935214264E-6</v>
      </c>
      <c r="AL650" s="76">
        <f t="shared" si="151"/>
        <v>0</v>
      </c>
      <c r="AM650" s="76">
        <f t="shared" si="142"/>
        <v>0</v>
      </c>
      <c r="AN650" s="76">
        <f>MAX(0,O650*Escenarios!$E$13/Escenarios!$E$16-AM650)</f>
        <v>0</v>
      </c>
      <c r="AO650" s="76">
        <f>AM650+AN650-O650*Escenarios!$E$13/Escenarios!$E$16</f>
        <v>0</v>
      </c>
      <c r="AP650" s="76">
        <f t="shared" si="140"/>
        <v>0.20363595695289666</v>
      </c>
      <c r="AQ650" s="76">
        <f t="shared" si="143"/>
        <v>0</v>
      </c>
      <c r="AR650" s="76">
        <f t="shared" si="144"/>
        <v>0.20363595695289666</v>
      </c>
      <c r="AS650" s="76">
        <f t="shared" si="145"/>
        <v>0</v>
      </c>
      <c r="AT650" s="76">
        <f t="shared" si="146"/>
        <v>0</v>
      </c>
      <c r="AU650" s="76">
        <f t="shared" si="147"/>
        <v>48.75</v>
      </c>
      <c r="AV650" s="76">
        <f>MAX(0,(AU650-Constantes!$D$13)*(1-EXP(-Constantes!$D$24)))</f>
        <v>0</v>
      </c>
      <c r="AW650" s="170">
        <f>AW649+(Entradas!$E$112*AT650-AX649)/(800*Entradas!$D$25)</f>
        <v>0</v>
      </c>
      <c r="AX650" s="170">
        <f>8000*Entradas!$D$26*AW650/Constantes!$E$45</f>
        <v>0</v>
      </c>
      <c r="AY650" s="170">
        <f>IF(Escenarios!$E$17&gt;0,10*Escenarios!$E$16*AL650,0)</f>
        <v>0</v>
      </c>
      <c r="AZ650" s="170">
        <f>IF(Escenarios!$E$17&gt;0,10*Escenarios!$E$16*AX650,0)</f>
        <v>0</v>
      </c>
      <c r="BA650" s="170">
        <f>IF(Escenarios!$E$17&gt;0,0.001*Observaciones!$F649*Escenarios!$E$17,0)</f>
        <v>0</v>
      </c>
      <c r="BB650" s="170">
        <f>IF(Escenarios!$E$17&gt;0,Observaciones!$K649,0)</f>
        <v>0</v>
      </c>
      <c r="BC650" s="170">
        <f>IF(Escenarios!$E$17&gt;0,MIN(0.0005*ETo!$M649*Escenarios!$E$17*(BG649/Constantes!$E$40)^(2/3),BG649+AY650+AZ650+BA650+BB650),0)</f>
        <v>1.8079056887653013</v>
      </c>
      <c r="BD650" s="170">
        <f>IF(Escenarios!$E$17&gt;0,MIN(Constantes!$E$39*(BG649/Constantes!$E$40)^(2/3),BG649+AY650+AZ650+BA650+BB650-BC650),0)</f>
        <v>3.0795528246526205</v>
      </c>
      <c r="BE650" s="170">
        <f>IF(Escenarios!$E$17&gt;0,MIN(Entradas!$E$113,BG649+AY650+AZ650+BA650+BB650-BC650-BD650),0)</f>
        <v>1</v>
      </c>
      <c r="BF650" s="170">
        <f>IF(Escenarios!$E$17&gt;0,MAX(0,BG649+AY650+AZ650+BA650+BB650-BC650-BD650-BE650-Constantes!$E$40),0)</f>
        <v>0</v>
      </c>
      <c r="BG650" s="170">
        <f t="shared" si="152"/>
        <v>44.463210751198815</v>
      </c>
      <c r="BH650" s="170">
        <f>(Escenarios!$E$16*AK650+0.1*BC650)/(Escenarios!$E$19)</f>
        <v>7.2455641448377186E-4</v>
      </c>
      <c r="BI650" s="170">
        <f>IF(Escenarios!$E$17&gt;0,BF650/10/Escenarios!$E$19,AL650)</f>
        <v>0</v>
      </c>
      <c r="BJ650" s="170">
        <f>(Escenarios!$E$16*AT650+0.1*BD650)/(Escenarios!$E$19)</f>
        <v>1.2220447716875479E-3</v>
      </c>
      <c r="BK650" s="76">
        <f>BK649+(0.1*BD650)/(Escenarios!$E$19)-BL649</f>
        <v>49.613775224753653</v>
      </c>
      <c r="BL650" s="76">
        <f>MAX(0,(BK650-Constantes!$D$13)*(1-EXP(-Constantes!$D$23)))</f>
        <v>8.5109830247274976E-3</v>
      </c>
      <c r="BM650" s="76">
        <f t="shared" si="148"/>
        <v>0.21214693997762415</v>
      </c>
      <c r="BN650" s="76">
        <f t="shared" si="153"/>
        <v>0.21214693997762415</v>
      </c>
      <c r="BO650" s="76">
        <f>0.0526*BI650*Observaciones!$F649^1.218</f>
        <v>0</v>
      </c>
      <c r="BP650" s="76">
        <f>BO650*Constantes!$E$51</f>
        <v>0</v>
      </c>
      <c r="BQ650" s="76">
        <f t="shared" si="149"/>
        <v>0</v>
      </c>
      <c r="BR650" s="40"/>
    </row>
    <row r="651" spans="1:70">
      <c r="A651" s="147"/>
      <c r="B651" s="39"/>
      <c r="C651" s="75">
        <v>645</v>
      </c>
      <c r="D651" s="146">
        <f>ETo!$I650*((1-Constantes!$E$19)*ETo!$K650+ETo!$L650)</f>
        <v>4.0695043795927779</v>
      </c>
      <c r="E651" s="76">
        <f>MIN(D651*Constantes!$E$17,0.8*(N650+Observaciones!$F650-F651-M651-Constantes!$D$14))</f>
        <v>-1.6513681912799429E-2</v>
      </c>
      <c r="F651" s="76">
        <f>IF(Observaciones!$F650&gt;0.05*Constantes!$E$18,((Observaciones!$F650-0.05*Constantes!$E$18)^2)/(Observaciones!$F650+0.95*Constantes!$E$18),0)</f>
        <v>0</v>
      </c>
      <c r="G651" s="76">
        <f>IF(Escenarios!$E$11&gt;0,(F651*Escenarios!$E$16*10000)/1000,0)</f>
        <v>0</v>
      </c>
      <c r="H651" s="76">
        <f>IF(Escenarios!$E$11&gt;0,(Observaciones!$F650*Constantes!$E$29)/1000,0)</f>
        <v>0</v>
      </c>
      <c r="I651" s="76">
        <f>IF(Escenarios!$E$11&gt;0,(D651*Constantes!$E$29)/1000,0)</f>
        <v>40.695043795927774</v>
      </c>
      <c r="J651" s="76">
        <f>IF(Escenarios!$E$11&gt;0,MAX(0,G651+H651-I651),0)</f>
        <v>0</v>
      </c>
      <c r="K651" s="76">
        <f>IF(Escenarios!$E$11&gt;0,IF(J651&gt;Constantes!$E$30,1000*((J651-Constantes!$E$30)/(Escenarios!$E$16*10000)),0),F651)</f>
        <v>0</v>
      </c>
      <c r="L651" s="76">
        <f>IF(Escenarios!$E$11&gt;0,I651*1000/Escenarios!$E$16/10000+E651,E651)</f>
        <v>-2.3566439442831988E-4</v>
      </c>
      <c r="M651" s="76">
        <f>MAX(0,N650+Observaciones!$F650-K651-Constantes!$D$13)</f>
        <v>0</v>
      </c>
      <c r="N651" s="76">
        <f>N650+Observaciones!$F650-K651-L651-M651-O650</f>
        <v>11.229593562003428</v>
      </c>
      <c r="O651" s="76">
        <f>MAX(0,(N651-Constantes!$D$14)*(1-EXP(-Constantes!$D$22)))</f>
        <v>0</v>
      </c>
      <c r="P651" s="170">
        <f>P650+(Entradas!$E$83*M651-Q650)/(800*Entradas!$D$25)</f>
        <v>0</v>
      </c>
      <c r="Q651" s="170">
        <f>8000*Entradas!$D$26*P651/Constantes!$E$45</f>
        <v>0</v>
      </c>
      <c r="R651" s="170">
        <f>IF(Escenarios!$E$14&gt;0,K651*Escenarios!$E$13/Escenarios!$E$14,0)</f>
        <v>0</v>
      </c>
      <c r="S651" s="170">
        <f>IF(Escenarios!$E$14&gt;0,Q651*Escenarios!$E$13/Escenarios!$E$14,0)</f>
        <v>0</v>
      </c>
      <c r="T651" s="170">
        <f>IF(Escenarios!$E$14&gt;0,Observaciones!$I650,0)</f>
        <v>0</v>
      </c>
      <c r="U651" s="170">
        <f>IF(Escenarios!$E$14&gt;0,MAX(0,Constantes!$E$36/((Z650+R651+S651+T651+Observaciones!$F650)^2)+Entradas!$E$77),0)</f>
        <v>0</v>
      </c>
      <c r="V651" s="146">
        <f>IF(ETo!D650&gt;0,ETo!I650*((1-Entradas!$E$81)*ETo!K650+ETo!L650),0)</f>
        <v>3.7134251723055418</v>
      </c>
      <c r="W651" s="170">
        <f>IF(Escenarios!$E$14&gt;0,MIN(V651*1,0.8*(Z650+R651+S651+T651+Observaciones!$F650-U651-Constantes!$E$35)),0)</f>
        <v>2.1695171881219721E-8</v>
      </c>
      <c r="X651" s="170">
        <f>IF(Escenarios!$E$14&gt;0,Observaciones!$J650,0)</f>
        <v>0</v>
      </c>
      <c r="Y651" s="170">
        <f>IF(Escenarios!$E$14&gt;0,MAX(0,Z650+R651+S651+T651+Observaciones!$F650-U651-W651-X651-Constantes!$E$33),0)</f>
        <v>0</v>
      </c>
      <c r="Z651" s="170">
        <f>Z650+R651+S651+T651+Observaciones!$F650-U651-W651-Y651</f>
        <v>41.250000005423793</v>
      </c>
      <c r="AA651" s="170">
        <f>IF(Escenarios!$E$14&gt;0,(Escenarios!$E$13*L651+Escenarios!$E$14*W651)/(Escenarios!$E$16),L651)</f>
        <v>-2.0738206367629575E-4</v>
      </c>
      <c r="AB651" s="170">
        <f>IF(Escenarios!$E$14&gt;0,(Escenarios!$E$14*Y651)/(Escenarios!$E$16),K651)</f>
        <v>0</v>
      </c>
      <c r="AC651" s="170">
        <f>IF(Escenarios!$E$14&gt;0,(Escenarios!$E$13*M651+Escenarios!$E$14*U651)/(Escenarios!$E$16),M651)</f>
        <v>0</v>
      </c>
      <c r="AD651" s="76">
        <f t="shared" si="141"/>
        <v>69.21327102357715</v>
      </c>
      <c r="AE651" s="76">
        <f>MAX(0,(AD651-Constantes!$D$13)*(1-EXP(-Constantes!$D$23)))</f>
        <v>0.20162948336673364</v>
      </c>
      <c r="AF651" s="76">
        <f>AB651+O651*Escenarios!$E$13/Escenarios!$E$16+AE651</f>
        <v>0.20162948336673364</v>
      </c>
      <c r="AG651" s="76">
        <f>IF(Entradas!$E$91&gt;0,IF(AF651-Escenarios!$E$38&lt;=0,0,IF(AF651-Escenarios!$E$38&gt;Escenarios!$E$37,Escenarios!$E$37,AF651-Escenarios!$E$38)),0)</f>
        <v>0</v>
      </c>
      <c r="AH651" s="76">
        <f>AG651*Entradas!$E$99</f>
        <v>0</v>
      </c>
      <c r="AI651" s="76">
        <f>IF(Entradas!$E$91&gt;0,D651*Entradas!$D$23/Escenarios!$E$16,0)</f>
        <v>0</v>
      </c>
      <c r="AJ651" s="76">
        <f>IF(Entradas!$E$91&gt;0,Entradas!$D$24*Entradas!$D$22/Escenarios!$E$16,0)</f>
        <v>0</v>
      </c>
      <c r="AK651" s="76">
        <f t="shared" si="150"/>
        <v>-2.0738206367629575E-4</v>
      </c>
      <c r="AL651" s="76">
        <f t="shared" si="151"/>
        <v>0</v>
      </c>
      <c r="AM651" s="76">
        <f t="shared" si="142"/>
        <v>0</v>
      </c>
      <c r="AN651" s="76">
        <f>MAX(0,O651*Escenarios!$E$13/Escenarios!$E$16-AM651)</f>
        <v>0</v>
      </c>
      <c r="AO651" s="76">
        <f>AM651+AN651-O651*Escenarios!$E$13/Escenarios!$E$16</f>
        <v>0</v>
      </c>
      <c r="AP651" s="76">
        <f t="shared" si="140"/>
        <v>0.20162948336673364</v>
      </c>
      <c r="AQ651" s="76">
        <f t="shared" si="143"/>
        <v>0</v>
      </c>
      <c r="AR651" s="76">
        <f t="shared" si="144"/>
        <v>0.20162948336673364</v>
      </c>
      <c r="AS651" s="76">
        <f t="shared" si="145"/>
        <v>0</v>
      </c>
      <c r="AT651" s="76">
        <f t="shared" si="146"/>
        <v>0</v>
      </c>
      <c r="AU651" s="76">
        <f t="shared" si="147"/>
        <v>48.75</v>
      </c>
      <c r="AV651" s="76">
        <f>MAX(0,(AU651-Constantes!$D$13)*(1-EXP(-Constantes!$D$24)))</f>
        <v>0</v>
      </c>
      <c r="AW651" s="170">
        <f>AW650+(Entradas!$E$112*AT651-AX650)/(800*Entradas!$D$25)</f>
        <v>0</v>
      </c>
      <c r="AX651" s="170">
        <f>8000*Entradas!$D$26*AW651/Constantes!$E$45</f>
        <v>0</v>
      </c>
      <c r="AY651" s="170">
        <f>IF(Escenarios!$E$17&gt;0,10*Escenarios!$E$16*AL651,0)</f>
        <v>0</v>
      </c>
      <c r="AZ651" s="170">
        <f>IF(Escenarios!$E$17&gt;0,10*Escenarios!$E$16*AX651,0)</f>
        <v>0</v>
      </c>
      <c r="BA651" s="170">
        <f>IF(Escenarios!$E$17&gt;0,0.001*Observaciones!$F650*Escenarios!$E$17,0)</f>
        <v>0</v>
      </c>
      <c r="BB651" s="170">
        <f>IF(Escenarios!$E$17&gt;0,Observaciones!$K650,0)</f>
        <v>0</v>
      </c>
      <c r="BC651" s="170">
        <f>IF(Escenarios!$E$17&gt;0,MIN(0.0005*ETo!$M650*Escenarios!$E$17*(BG650/Constantes!$E$40)^(2/3),BG650+AY651+AZ651+BA651+BB651),0)</f>
        <v>1.6404291003376987</v>
      </c>
      <c r="BD651" s="170">
        <f>IF(Escenarios!$E$17&gt;0,MIN(Constantes!$E$39*(BG650/Constantes!$E$40)^(2/3),BG650+AY651+AZ651+BA651+BB651-BC651),0)</f>
        <v>2.834553815428722</v>
      </c>
      <c r="BE651" s="170">
        <f>IF(Escenarios!$E$17&gt;0,MIN(Entradas!$E$113,BG650+AY651+AZ651+BA651+BB651-BC651-BD651),0)</f>
        <v>1</v>
      </c>
      <c r="BF651" s="170">
        <f>IF(Escenarios!$E$17&gt;0,MAX(0,BG650+AY651+AZ651+BA651+BB651-BC651-BD651-BE651-Constantes!$E$40),0)</f>
        <v>0</v>
      </c>
      <c r="BG651" s="170">
        <f t="shared" si="152"/>
        <v>38.988227835432397</v>
      </c>
      <c r="BH651" s="170">
        <f>(Escenarios!$E$16*AK651+0.1*BC651)/(Escenarios!$E$19)</f>
        <v>4.4522775442339666E-4</v>
      </c>
      <c r="BI651" s="170">
        <f>IF(Escenarios!$E$17&gt;0,BF651/10/Escenarios!$E$19,AL651)</f>
        <v>0</v>
      </c>
      <c r="BJ651" s="170">
        <f>(Escenarios!$E$16*AT651+0.1*BD651)/(Escenarios!$E$19)</f>
        <v>1.1248229426304452E-3</v>
      </c>
      <c r="BK651" s="76">
        <f>BK650+(0.1*BD651)/(Escenarios!$E$19)-BL650</f>
        <v>49.606389064671554</v>
      </c>
      <c r="BL651" s="76">
        <f>MAX(0,(BK651-Constantes!$D$13)*(1-EXP(-Constantes!$D$23)))</f>
        <v>8.4382054301923061E-3</v>
      </c>
      <c r="BM651" s="76">
        <f t="shared" si="148"/>
        <v>0.21006768879692594</v>
      </c>
      <c r="BN651" s="76">
        <f t="shared" si="153"/>
        <v>0.21006768879692594</v>
      </c>
      <c r="BO651" s="76">
        <f>0.0526*BI651*Observaciones!$F650^1.218</f>
        <v>0</v>
      </c>
      <c r="BP651" s="76">
        <f>BO651*Constantes!$E$51</f>
        <v>0</v>
      </c>
      <c r="BQ651" s="76">
        <f t="shared" si="149"/>
        <v>0</v>
      </c>
      <c r="BR651" s="40"/>
    </row>
    <row r="652" spans="1:70">
      <c r="A652" s="147"/>
      <c r="B652" s="39"/>
      <c r="C652" s="75">
        <v>646</v>
      </c>
      <c r="D652" s="146">
        <f>ETo!$I651*((1-Constantes!$E$19)*ETo!$K651+ETo!$L651)</f>
        <v>3.8352499006863106</v>
      </c>
      <c r="E652" s="76">
        <f>MIN(D652*Constantes!$E$17,0.8*(N651+Observaciones!$F651-F652-M652-Constantes!$D$14))</f>
        <v>-1.632515039725746E-2</v>
      </c>
      <c r="F652" s="76">
        <f>IF(Observaciones!$F651&gt;0.05*Constantes!$E$18,((Observaciones!$F651-0.05*Constantes!$E$18)^2)/(Observaciones!$F651+0.95*Constantes!$E$18),0)</f>
        <v>0</v>
      </c>
      <c r="G652" s="76">
        <f>IF(Escenarios!$E$11&gt;0,(F652*Escenarios!$E$16*10000)/1000,0)</f>
        <v>0</v>
      </c>
      <c r="H652" s="76">
        <f>IF(Escenarios!$E$11&gt;0,(Observaciones!$F651*Constantes!$E$29)/1000,0)</f>
        <v>0</v>
      </c>
      <c r="I652" s="76">
        <f>IF(Escenarios!$E$11&gt;0,(D652*Constantes!$E$29)/1000,0)</f>
        <v>38.352499006863106</v>
      </c>
      <c r="J652" s="76">
        <f>IF(Escenarios!$E$11&gt;0,MAX(0,G652+H652-I652),0)</f>
        <v>0</v>
      </c>
      <c r="K652" s="76">
        <f>IF(Escenarios!$E$11&gt;0,IF(J652&gt;Constantes!$E$30,1000*((J652-Constantes!$E$30)/(Escenarios!$E$16*10000)),0),F652)</f>
        <v>0</v>
      </c>
      <c r="L652" s="76">
        <f>IF(Escenarios!$E$11&gt;0,I652*1000/Escenarios!$E$16/10000+E652,E652)</f>
        <v>-9.8415079451221778E-4</v>
      </c>
      <c r="M652" s="76">
        <f>MAX(0,N651+Observaciones!$F651-K652-Constantes!$D$13)</f>
        <v>0</v>
      </c>
      <c r="N652" s="76">
        <f>N651+Observaciones!$F651-K652-L652-M652-O651</f>
        <v>11.23057771279794</v>
      </c>
      <c r="O652" s="76">
        <f>MAX(0,(N652-Constantes!$D$14)*(1-EXP(-Constantes!$D$22)))</f>
        <v>0</v>
      </c>
      <c r="P652" s="170">
        <f>P651+(Entradas!$E$83*M652-Q651)/(800*Entradas!$D$25)</f>
        <v>0</v>
      </c>
      <c r="Q652" s="170">
        <f>8000*Entradas!$D$26*P652/Constantes!$E$45</f>
        <v>0</v>
      </c>
      <c r="R652" s="170">
        <f>IF(Escenarios!$E$14&gt;0,K652*Escenarios!$E$13/Escenarios!$E$14,0)</f>
        <v>0</v>
      </c>
      <c r="S652" s="170">
        <f>IF(Escenarios!$E$14&gt;0,Q652*Escenarios!$E$13/Escenarios!$E$14,0)</f>
        <v>0</v>
      </c>
      <c r="T652" s="170">
        <f>IF(Escenarios!$E$14&gt;0,Observaciones!$I651,0)</f>
        <v>0</v>
      </c>
      <c r="U652" s="170">
        <f>IF(Escenarios!$E$14&gt;0,MAX(0,Constantes!$E$36/((Z651+R652+S652+T652+Observaciones!$F651)^2)+Entradas!$E$77),0)</f>
        <v>0</v>
      </c>
      <c r="V652" s="146">
        <f>IF(ETo!D651&gt;0,ETo!I651*((1-Entradas!$E$81)*ETo!K651+ETo!L651),0)</f>
        <v>3.4982103531877713</v>
      </c>
      <c r="W652" s="170">
        <f>IF(Escenarios!$E$14&gt;0,MIN(V652*1,0.8*(Z651+R652+S652+T652+Observaciones!$F651-U652-Constantes!$E$35)),0)</f>
        <v>4.3390343762439446E-9</v>
      </c>
      <c r="X652" s="170">
        <f>IF(Escenarios!$E$14&gt;0,Observaciones!$J651,0)</f>
        <v>0</v>
      </c>
      <c r="Y652" s="170">
        <f>IF(Escenarios!$E$14&gt;0,MAX(0,Z651+R652+S652+T652+Observaciones!$F651-U652-W652-X652-Constantes!$E$33),0)</f>
        <v>0</v>
      </c>
      <c r="Z652" s="170">
        <f>Z651+R652+S652+T652+Observaciones!$F651-U652-W652-Y652</f>
        <v>41.250000001084757</v>
      </c>
      <c r="AA652" s="170">
        <f>IF(Escenarios!$E$14&gt;0,(Escenarios!$E$13*L652+Escenarios!$E$14*W652)/(Escenarios!$E$16),L652)</f>
        <v>-8.6605217848662649E-4</v>
      </c>
      <c r="AB652" s="170">
        <f>IF(Escenarios!$E$14&gt;0,(Escenarios!$E$14*Y652)/(Escenarios!$E$16),K652)</f>
        <v>0</v>
      </c>
      <c r="AC652" s="170">
        <f>IF(Escenarios!$E$14&gt;0,(Escenarios!$E$13*M652+Escenarios!$E$14*U652)/(Escenarios!$E$16),M652)</f>
        <v>0</v>
      </c>
      <c r="AD652" s="76">
        <f t="shared" si="141"/>
        <v>69.01164154021042</v>
      </c>
      <c r="AE652" s="76">
        <f>MAX(0,(AD652-Constantes!$D$13)*(1-EXP(-Constantes!$D$23)))</f>
        <v>0.19964278004271988</v>
      </c>
      <c r="AF652" s="76">
        <f>AB652+O652*Escenarios!$E$13/Escenarios!$E$16+AE652</f>
        <v>0.19964278004271988</v>
      </c>
      <c r="AG652" s="76">
        <f>IF(Entradas!$E$91&gt;0,IF(AF652-Escenarios!$E$38&lt;=0,0,IF(AF652-Escenarios!$E$38&gt;Escenarios!$E$37,Escenarios!$E$37,AF652-Escenarios!$E$38)),0)</f>
        <v>0</v>
      </c>
      <c r="AH652" s="76">
        <f>AG652*Entradas!$E$99</f>
        <v>0</v>
      </c>
      <c r="AI652" s="76">
        <f>IF(Entradas!$E$91&gt;0,D652*Entradas!$D$23/Escenarios!$E$16,0)</f>
        <v>0</v>
      </c>
      <c r="AJ652" s="76">
        <f>IF(Entradas!$E$91&gt;0,Entradas!$D$24*Entradas!$D$22/Escenarios!$E$16,0)</f>
        <v>0</v>
      </c>
      <c r="AK652" s="76">
        <f t="shared" si="150"/>
        <v>-8.6605217848662649E-4</v>
      </c>
      <c r="AL652" s="76">
        <f t="shared" si="151"/>
        <v>0</v>
      </c>
      <c r="AM652" s="76">
        <f t="shared" si="142"/>
        <v>0</v>
      </c>
      <c r="AN652" s="76">
        <f>MAX(0,O652*Escenarios!$E$13/Escenarios!$E$16-AM652)</f>
        <v>0</v>
      </c>
      <c r="AO652" s="76">
        <f>AM652+AN652-O652*Escenarios!$E$13/Escenarios!$E$16</f>
        <v>0</v>
      </c>
      <c r="AP652" s="76">
        <f t="shared" si="140"/>
        <v>0.19964278004271988</v>
      </c>
      <c r="AQ652" s="76">
        <f t="shared" si="143"/>
        <v>0</v>
      </c>
      <c r="AR652" s="76">
        <f t="shared" si="144"/>
        <v>0.19964278004271988</v>
      </c>
      <c r="AS652" s="76">
        <f t="shared" si="145"/>
        <v>0</v>
      </c>
      <c r="AT652" s="76">
        <f t="shared" si="146"/>
        <v>0</v>
      </c>
      <c r="AU652" s="76">
        <f t="shared" si="147"/>
        <v>48.75</v>
      </c>
      <c r="AV652" s="76">
        <f>MAX(0,(AU652-Constantes!$D$13)*(1-EXP(-Constantes!$D$24)))</f>
        <v>0</v>
      </c>
      <c r="AW652" s="170">
        <f>AW651+(Entradas!$E$112*AT652-AX651)/(800*Entradas!$D$25)</f>
        <v>0</v>
      </c>
      <c r="AX652" s="170">
        <f>8000*Entradas!$D$26*AW652/Constantes!$E$45</f>
        <v>0</v>
      </c>
      <c r="AY652" s="170">
        <f>IF(Escenarios!$E$17&gt;0,10*Escenarios!$E$16*AL652,0)</f>
        <v>0</v>
      </c>
      <c r="AZ652" s="170">
        <f>IF(Escenarios!$E$17&gt;0,10*Escenarios!$E$16*AX652,0)</f>
        <v>0</v>
      </c>
      <c r="BA652" s="170">
        <f>IF(Escenarios!$E$17&gt;0,0.001*Observaciones!$F651*Escenarios!$E$17,0)</f>
        <v>0</v>
      </c>
      <c r="BB652" s="170">
        <f>IF(Escenarios!$E$17&gt;0,Observaciones!$K651,0)</f>
        <v>0</v>
      </c>
      <c r="BC652" s="170">
        <f>IF(Escenarios!$E$17&gt;0,MIN(0.0005*ETo!$M651*Escenarios!$E$17*(BG651/Constantes!$E$40)^(2/3),BG651+AY652+AZ652+BA652+BB652),0)</f>
        <v>1.4170753238803702</v>
      </c>
      <c r="BD652" s="170">
        <f>IF(Escenarios!$E$17&gt;0,MIN(Constantes!$E$39*(BG651/Constantes!$E$40)^(2/3),BG651+AY652+AZ652+BA652+BB652-BC652),0)</f>
        <v>2.5968078971675714</v>
      </c>
      <c r="BE652" s="170">
        <f>IF(Escenarios!$E$17&gt;0,MIN(Entradas!$E$113,BG651+AY652+AZ652+BA652+BB652-BC652-BD652),0)</f>
        <v>1</v>
      </c>
      <c r="BF652" s="170">
        <f>IF(Escenarios!$E$17&gt;0,MAX(0,BG651+AY652+AZ652+BA652+BB652-BC652-BD652-BE652-Constantes!$E$40),0)</f>
        <v>0</v>
      </c>
      <c r="BG652" s="170">
        <f t="shared" si="152"/>
        <v>33.974344614384457</v>
      </c>
      <c r="BH652" s="170">
        <f>(Escenarios!$E$16*AK652+0.1*BC652)/(Escenarios!$E$19)</f>
        <v>-2.9684727076833179E-4</v>
      </c>
      <c r="BI652" s="170">
        <f>IF(Escenarios!$E$17&gt;0,BF652/10/Escenarios!$E$19,AL652)</f>
        <v>0</v>
      </c>
      <c r="BJ652" s="170">
        <f>(Escenarios!$E$16*AT652+0.1*BD652)/(Escenarios!$E$19)</f>
        <v>1.0304793242728459E-3</v>
      </c>
      <c r="BK652" s="76">
        <f>BK651+(0.1*BD652)/(Escenarios!$E$19)-BL651</f>
        <v>49.598981338565629</v>
      </c>
      <c r="BL652" s="76">
        <f>MAX(0,(BK652-Constantes!$D$13)*(1-EXP(-Constantes!$D$23)))</f>
        <v>8.3652153404877375E-3</v>
      </c>
      <c r="BM652" s="76">
        <f t="shared" si="148"/>
        <v>0.20800799538320761</v>
      </c>
      <c r="BN652" s="76">
        <f t="shared" si="153"/>
        <v>0.20800799538320761</v>
      </c>
      <c r="BO652" s="76">
        <f>0.0526*BI652*Observaciones!$F651^1.218</f>
        <v>0</v>
      </c>
      <c r="BP652" s="76">
        <f>BO652*Constantes!$E$51</f>
        <v>0</v>
      </c>
      <c r="BQ652" s="76">
        <f t="shared" si="149"/>
        <v>0</v>
      </c>
      <c r="BR652" s="40"/>
    </row>
    <row r="653" spans="1:70">
      <c r="A653" s="147"/>
      <c r="B653" s="39"/>
      <c r="C653" s="75">
        <v>647</v>
      </c>
      <c r="D653" s="146">
        <f>ETo!$I652*((1-Constantes!$E$19)*ETo!$K652+ETo!$L652)</f>
        <v>4.1411042593947034</v>
      </c>
      <c r="E653" s="76">
        <f>MIN(D653*Constantes!$E$17,0.8*(N652+Observaciones!$F652-F653-M653-Constantes!$D$14))</f>
        <v>-1.553782976164797E-2</v>
      </c>
      <c r="F653" s="76">
        <f>IF(Observaciones!$F652&gt;0.05*Constantes!$E$18,((Observaciones!$F652-0.05*Constantes!$E$18)^2)/(Observaciones!$F652+0.95*Constantes!$E$18),0)</f>
        <v>0</v>
      </c>
      <c r="G653" s="76">
        <f>IF(Escenarios!$E$11&gt;0,(F653*Escenarios!$E$16*10000)/1000,0)</f>
        <v>0</v>
      </c>
      <c r="H653" s="76">
        <f>IF(Escenarios!$E$11&gt;0,(Observaciones!$F652*Constantes!$E$29)/1000,0)</f>
        <v>0</v>
      </c>
      <c r="I653" s="76">
        <f>IF(Escenarios!$E$11&gt;0,(D653*Constantes!$E$29)/1000,0)</f>
        <v>41.411042593947037</v>
      </c>
      <c r="J653" s="76">
        <f>IF(Escenarios!$E$11&gt;0,MAX(0,G653+H653-I653),0)</f>
        <v>0</v>
      </c>
      <c r="K653" s="76">
        <f>IF(Escenarios!$E$11&gt;0,IF(J653&gt;Constantes!$E$30,1000*((J653-Constantes!$E$30)/(Escenarios!$E$16*10000)),0),F653)</f>
        <v>0</v>
      </c>
      <c r="L653" s="76">
        <f>IF(Escenarios!$E$11&gt;0,I653*1000/Escenarios!$E$16/10000+E653,E653)</f>
        <v>1.0265872759308466E-3</v>
      </c>
      <c r="M653" s="76">
        <f>MAX(0,N652+Observaciones!$F652-K653-Constantes!$D$13)</f>
        <v>0</v>
      </c>
      <c r="N653" s="76">
        <f>N652+Observaciones!$F652-K653-L653-M653-O652</f>
        <v>11.22955112552201</v>
      </c>
      <c r="O653" s="76">
        <f>MAX(0,(N653-Constantes!$D$14)*(1-EXP(-Constantes!$D$22)))</f>
        <v>0</v>
      </c>
      <c r="P653" s="170">
        <f>P652+(Entradas!$E$83*M653-Q652)/(800*Entradas!$D$25)</f>
        <v>0</v>
      </c>
      <c r="Q653" s="170">
        <f>8000*Entradas!$D$26*P653/Constantes!$E$45</f>
        <v>0</v>
      </c>
      <c r="R653" s="170">
        <f>IF(Escenarios!$E$14&gt;0,K653*Escenarios!$E$13/Escenarios!$E$14,0)</f>
        <v>0</v>
      </c>
      <c r="S653" s="170">
        <f>IF(Escenarios!$E$14&gt;0,Q653*Escenarios!$E$13/Escenarios!$E$14,0)</f>
        <v>0</v>
      </c>
      <c r="T653" s="170">
        <f>IF(Escenarios!$E$14&gt;0,Observaciones!$I652,0)</f>
        <v>0</v>
      </c>
      <c r="U653" s="170">
        <f>IF(Escenarios!$E$14&gt;0,MAX(0,Constantes!$E$36/((Z652+R653+S653+T653+Observaciones!$F652)^2)+Entradas!$E$77),0)</f>
        <v>0</v>
      </c>
      <c r="V653" s="146">
        <f>IF(ETo!D652&gt;0,ETo!I652*((1-Entradas!$E$81)*ETo!K652+ETo!L652),0)</f>
        <v>3.7797559652019905</v>
      </c>
      <c r="W653" s="170">
        <f>IF(Escenarios!$E$14&gt;0,MIN(V653*1,0.8*(Z652+R653+S653+T653+Observaciones!$F652-U653-Constantes!$E$35)),0)</f>
        <v>8.6780573838041166E-10</v>
      </c>
      <c r="X653" s="170">
        <f>IF(Escenarios!$E$14&gt;0,Observaciones!$J652,0)</f>
        <v>0</v>
      </c>
      <c r="Y653" s="170">
        <f>IF(Escenarios!$E$14&gt;0,MAX(0,Z652+R653+S653+T653+Observaciones!$F652-U653-W653-X653-Constantes!$E$33),0)</f>
        <v>0</v>
      </c>
      <c r="Z653" s="170">
        <f>Z652+R653+S653+T653+Observaciones!$F652-U653-W653-Y653</f>
        <v>41.25000000021695</v>
      </c>
      <c r="AA653" s="170">
        <f>IF(Escenarios!$E$14&gt;0,(Escenarios!$E$13*L653+Escenarios!$E$14*W653)/(Escenarios!$E$16),L653)</f>
        <v>9.0339690695583367E-4</v>
      </c>
      <c r="AB653" s="170">
        <f>IF(Escenarios!$E$14&gt;0,(Escenarios!$E$14*Y653)/(Escenarios!$E$16),K653)</f>
        <v>0</v>
      </c>
      <c r="AC653" s="170">
        <f>IF(Escenarios!$E$14&gt;0,(Escenarios!$E$13*M653+Escenarios!$E$14*U653)/(Escenarios!$E$16),M653)</f>
        <v>0</v>
      </c>
      <c r="AD653" s="76">
        <f t="shared" si="141"/>
        <v>68.811998760167697</v>
      </c>
      <c r="AE653" s="76">
        <f>MAX(0,(AD653-Constantes!$D$13)*(1-EXP(-Constantes!$D$23)))</f>
        <v>0.19767565217975344</v>
      </c>
      <c r="AF653" s="76">
        <f>AB653+O653*Escenarios!$E$13/Escenarios!$E$16+AE653</f>
        <v>0.19767565217975344</v>
      </c>
      <c r="AG653" s="76">
        <f>IF(Entradas!$E$91&gt;0,IF(AF653-Escenarios!$E$38&lt;=0,0,IF(AF653-Escenarios!$E$38&gt;Escenarios!$E$37,Escenarios!$E$37,AF653-Escenarios!$E$38)),0)</f>
        <v>0</v>
      </c>
      <c r="AH653" s="76">
        <f>AG653*Entradas!$E$99</f>
        <v>0</v>
      </c>
      <c r="AI653" s="76">
        <f>IF(Entradas!$E$91&gt;0,D653*Entradas!$D$23/Escenarios!$E$16,0)</f>
        <v>0</v>
      </c>
      <c r="AJ653" s="76">
        <f>IF(Entradas!$E$91&gt;0,Entradas!$D$24*Entradas!$D$22/Escenarios!$E$16,0)</f>
        <v>0</v>
      </c>
      <c r="AK653" s="76">
        <f t="shared" si="150"/>
        <v>9.0339690695583367E-4</v>
      </c>
      <c r="AL653" s="76">
        <f t="shared" si="151"/>
        <v>0</v>
      </c>
      <c r="AM653" s="76">
        <f t="shared" si="142"/>
        <v>0</v>
      </c>
      <c r="AN653" s="76">
        <f>MAX(0,O653*Escenarios!$E$13/Escenarios!$E$16-AM653)</f>
        <v>0</v>
      </c>
      <c r="AO653" s="76">
        <f>AM653+AN653-O653*Escenarios!$E$13/Escenarios!$E$16</f>
        <v>0</v>
      </c>
      <c r="AP653" s="76">
        <f t="shared" si="140"/>
        <v>0.19767565217975344</v>
      </c>
      <c r="AQ653" s="76">
        <f t="shared" si="143"/>
        <v>0</v>
      </c>
      <c r="AR653" s="76">
        <f t="shared" si="144"/>
        <v>0.19767565217975344</v>
      </c>
      <c r="AS653" s="76">
        <f t="shared" si="145"/>
        <v>0</v>
      </c>
      <c r="AT653" s="76">
        <f t="shared" si="146"/>
        <v>0</v>
      </c>
      <c r="AU653" s="76">
        <f t="shared" si="147"/>
        <v>48.75</v>
      </c>
      <c r="AV653" s="76">
        <f>MAX(0,(AU653-Constantes!$D$13)*(1-EXP(-Constantes!$D$24)))</f>
        <v>0</v>
      </c>
      <c r="AW653" s="170">
        <f>AW652+(Entradas!$E$112*AT653-AX652)/(800*Entradas!$D$25)</f>
        <v>0</v>
      </c>
      <c r="AX653" s="170">
        <f>8000*Entradas!$D$26*AW653/Constantes!$E$45</f>
        <v>0</v>
      </c>
      <c r="AY653" s="170">
        <f>IF(Escenarios!$E$17&gt;0,10*Escenarios!$E$16*AL653,0)</f>
        <v>0</v>
      </c>
      <c r="AZ653" s="170">
        <f>IF(Escenarios!$E$17&gt;0,10*Escenarios!$E$16*AX653,0)</f>
        <v>0</v>
      </c>
      <c r="BA653" s="170">
        <f>IF(Escenarios!$E$17&gt;0,0.001*Observaciones!$F652*Escenarios!$E$17,0)</f>
        <v>0</v>
      </c>
      <c r="BB653" s="170">
        <f>IF(Escenarios!$E$17&gt;0,Observaciones!$K652,0)</f>
        <v>0</v>
      </c>
      <c r="BC653" s="170">
        <f>IF(Escenarios!$E$17&gt;0,MIN(0.0005*ETo!$M652*Escenarios!$E$17*(BG652/Constantes!$E$40)^(2/3),BG652+AY653+AZ653+BA653+BB653),0)</f>
        <v>1.3947225177786131</v>
      </c>
      <c r="BD653" s="170">
        <f>IF(Escenarios!$E$17&gt;0,MIN(Constantes!$E$39*(BG652/Constantes!$E$40)^(2/3),BG652+AY653+AZ653+BA653+BB653-BC653),0)</f>
        <v>2.3691081394174209</v>
      </c>
      <c r="BE653" s="170">
        <f>IF(Escenarios!$E$17&gt;0,MIN(Entradas!$E$113,BG652+AY653+AZ653+BA653+BB653-BC653-BD653),0)</f>
        <v>1</v>
      </c>
      <c r="BF653" s="170">
        <f>IF(Escenarios!$E$17&gt;0,MAX(0,BG652+AY653+AZ653+BA653+BB653-BC653-BD653-BE653-Constantes!$E$40),0)</f>
        <v>0</v>
      </c>
      <c r="BG653" s="170">
        <f t="shared" si="152"/>
        <v>29.210513957188425</v>
      </c>
      <c r="BH653" s="170">
        <f>(Escenarios!$E$16*AK653+0.1*BC653)/(Escenarios!$E$19)</f>
        <v>1.4496884068127768E-3</v>
      </c>
      <c r="BI653" s="170">
        <f>IF(Escenarios!$E$17&gt;0,BF653/10/Escenarios!$E$19,AL653)</f>
        <v>0</v>
      </c>
      <c r="BJ653" s="170">
        <f>(Escenarios!$E$16*AT653+0.1*BD653)/(Escenarios!$E$19)</f>
        <v>9.4012227754659567E-4</v>
      </c>
      <c r="BK653" s="76">
        <f>BK652+(0.1*BD653)/(Escenarios!$E$19)-BL652</f>
        <v>49.591556245502687</v>
      </c>
      <c r="BL653" s="76">
        <f>MAX(0,(BK653-Constantes!$D$13)*(1-EXP(-Constantes!$D$23)))</f>
        <v>8.2920541300191882E-3</v>
      </c>
      <c r="BM653" s="76">
        <f t="shared" si="148"/>
        <v>0.20596770630977262</v>
      </c>
      <c r="BN653" s="76">
        <f t="shared" si="153"/>
        <v>0.20596770630977262</v>
      </c>
      <c r="BO653" s="76">
        <f>0.0526*BI653*Observaciones!$F652^1.218</f>
        <v>0</v>
      </c>
      <c r="BP653" s="76">
        <f>BO653*Constantes!$E$51</f>
        <v>0</v>
      </c>
      <c r="BQ653" s="76">
        <f t="shared" si="149"/>
        <v>0</v>
      </c>
      <c r="BR653" s="40"/>
    </row>
    <row r="654" spans="1:70">
      <c r="A654" s="147"/>
      <c r="B654" s="39"/>
      <c r="C654" s="75">
        <v>648</v>
      </c>
      <c r="D654" s="146">
        <f>ETo!$I653*((1-Constantes!$E$19)*ETo!$K653+ETo!$L653)</f>
        <v>4.0804731911250318</v>
      </c>
      <c r="E654" s="76">
        <f>MIN(D654*Constantes!$E$17,0.8*(N653+Observaciones!$F653-F654-M654-Constantes!$D$14))</f>
        <v>1.9949935862200361</v>
      </c>
      <c r="F654" s="76">
        <f>IF(Observaciones!$F653&gt;0.05*Constantes!$E$18,((Observaciones!$F653-0.05*Constantes!$E$18)^2)/(Observaciones!$F653+0.95*Constantes!$E$18),0)</f>
        <v>0</v>
      </c>
      <c r="G654" s="76">
        <f>IF(Escenarios!$E$11&gt;0,(F654*Escenarios!$E$16*10000)/1000,0)</f>
        <v>0</v>
      </c>
      <c r="H654" s="76">
        <f>IF(Escenarios!$E$11&gt;0,(Observaciones!$F653*Constantes!$E$29)/1000,0)</f>
        <v>30</v>
      </c>
      <c r="I654" s="76">
        <f>IF(Escenarios!$E$11&gt;0,(D654*Constantes!$E$29)/1000,0)</f>
        <v>40.804731911250315</v>
      </c>
      <c r="J654" s="76">
        <f>IF(Escenarios!$E$11&gt;0,MAX(0,G654+H654-I654),0)</f>
        <v>0</v>
      </c>
      <c r="K654" s="76">
        <f>IF(Escenarios!$E$11&gt;0,IF(J654&gt;Constantes!$E$30,1000*((J654-Constantes!$E$30)/(Escenarios!$E$16*10000)),0),F654)</f>
        <v>0</v>
      </c>
      <c r="L654" s="76">
        <f>IF(Escenarios!$E$11&gt;0,I654*1000/Escenarios!$E$16/10000+E654,E654)</f>
        <v>2.0113154789845362</v>
      </c>
      <c r="M654" s="76">
        <f>MAX(0,N653+Observaciones!$F653-K654-Constantes!$D$13)</f>
        <v>0</v>
      </c>
      <c r="N654" s="76">
        <f>N653+Observaciones!$F653-K654-L654-M654-O653</f>
        <v>12.218235646537472</v>
      </c>
      <c r="O654" s="76">
        <f>MAX(0,(N654-Constantes!$D$14)*(1-EXP(-Constantes!$D$22)))</f>
        <v>3.298166058689192E-2</v>
      </c>
      <c r="P654" s="170">
        <f>P653+(Entradas!$E$83*M654-Q653)/(800*Entradas!$D$25)</f>
        <v>0</v>
      </c>
      <c r="Q654" s="170">
        <f>8000*Entradas!$D$26*P654/Constantes!$E$45</f>
        <v>0</v>
      </c>
      <c r="R654" s="170">
        <f>IF(Escenarios!$E$14&gt;0,K654*Escenarios!$E$13/Escenarios!$E$14,0)</f>
        <v>0</v>
      </c>
      <c r="S654" s="170">
        <f>IF(Escenarios!$E$14&gt;0,Q654*Escenarios!$E$13/Escenarios!$E$14,0)</f>
        <v>0</v>
      </c>
      <c r="T654" s="170">
        <f>IF(Escenarios!$E$14&gt;0,Observaciones!$I653,0)</f>
        <v>0</v>
      </c>
      <c r="U654" s="170">
        <f>IF(Escenarios!$E$14&gt;0,MAX(0,Constantes!$E$36/((Z653+R654+S654+T654+Observaciones!$F653)^2)+Entradas!$E$77),0)</f>
        <v>0</v>
      </c>
      <c r="V654" s="146">
        <f>IF(ETo!D653&gt;0,ETo!I653*((1-Entradas!$E$81)*ETo!K653+ETo!L653),0)</f>
        <v>3.7239463931678443</v>
      </c>
      <c r="W654" s="170">
        <f>IF(Escenarios!$E$14&gt;0,MIN(V654*1,0.8*(Z653+R654+S654+T654+Observaciones!$F653-U654-Constantes!$E$35)),0)</f>
        <v>2.4000000001735602</v>
      </c>
      <c r="X654" s="170">
        <f>IF(Escenarios!$E$14&gt;0,Observaciones!$J653,0)</f>
        <v>0</v>
      </c>
      <c r="Y654" s="170">
        <f>IF(Escenarios!$E$14&gt;0,MAX(0,Z653+R654+S654+T654+Observaciones!$F653-U654-W654-X654-Constantes!$E$33),0)</f>
        <v>0</v>
      </c>
      <c r="Z654" s="170">
        <f>Z653+R654+S654+T654+Observaciones!$F653-U654-W654-Y654</f>
        <v>41.850000000043387</v>
      </c>
      <c r="AA654" s="170">
        <f>IF(Escenarios!$E$14&gt;0,(Escenarios!$E$13*L654+Escenarios!$E$14*W654)/(Escenarios!$E$16),L654)</f>
        <v>2.0579576215272191</v>
      </c>
      <c r="AB654" s="170">
        <f>IF(Escenarios!$E$14&gt;0,(Escenarios!$E$14*Y654)/(Escenarios!$E$16),K654)</f>
        <v>0</v>
      </c>
      <c r="AC654" s="170">
        <f>IF(Escenarios!$E$14&gt;0,(Escenarios!$E$13*M654+Escenarios!$E$14*U654)/(Escenarios!$E$16),M654)</f>
        <v>0</v>
      </c>
      <c r="AD654" s="76">
        <f t="shared" si="141"/>
        <v>68.614323107987943</v>
      </c>
      <c r="AE654" s="76">
        <f>MAX(0,(AD654-Constantes!$D$13)*(1-EXP(-Constantes!$D$23)))</f>
        <v>0.19572790689615416</v>
      </c>
      <c r="AF654" s="76">
        <f>AB654+O654*Escenarios!$E$13/Escenarios!$E$16+AE654</f>
        <v>0.22475176821261905</v>
      </c>
      <c r="AG654" s="76">
        <f>IF(Entradas!$E$91&gt;0,IF(AF654-Escenarios!$E$38&lt;=0,0,IF(AF654-Escenarios!$E$38&gt;Escenarios!$E$37,Escenarios!$E$37,AF654-Escenarios!$E$38)),0)</f>
        <v>0</v>
      </c>
      <c r="AH654" s="76">
        <f>AG654*Entradas!$E$99</f>
        <v>0</v>
      </c>
      <c r="AI654" s="76">
        <f>IF(Entradas!$E$91&gt;0,D654*Entradas!$D$23/Escenarios!$E$16,0)</f>
        <v>0</v>
      </c>
      <c r="AJ654" s="76">
        <f>IF(Entradas!$E$91&gt;0,Entradas!$D$24*Entradas!$D$22/Escenarios!$E$16,0)</f>
        <v>0</v>
      </c>
      <c r="AK654" s="76">
        <f t="shared" si="150"/>
        <v>2.0579576215272191</v>
      </c>
      <c r="AL654" s="76">
        <f t="shared" si="151"/>
        <v>0</v>
      </c>
      <c r="AM654" s="76">
        <f t="shared" si="142"/>
        <v>0</v>
      </c>
      <c r="AN654" s="76">
        <f>MAX(0,O654*Escenarios!$E$13/Escenarios!$E$16-AM654)</f>
        <v>2.9023861316464887E-2</v>
      </c>
      <c r="AO654" s="76">
        <f>AM654+AN654-O654*Escenarios!$E$13/Escenarios!$E$16</f>
        <v>0</v>
      </c>
      <c r="AP654" s="76">
        <f t="shared" si="140"/>
        <v>0.19572790689615416</v>
      </c>
      <c r="AQ654" s="76">
        <f t="shared" si="143"/>
        <v>0</v>
      </c>
      <c r="AR654" s="76">
        <f t="shared" si="144"/>
        <v>0.22475176821261905</v>
      </c>
      <c r="AS654" s="76">
        <f t="shared" si="145"/>
        <v>0</v>
      </c>
      <c r="AT654" s="76">
        <f t="shared" si="146"/>
        <v>0</v>
      </c>
      <c r="AU654" s="76">
        <f t="shared" si="147"/>
        <v>48.75</v>
      </c>
      <c r="AV654" s="76">
        <f>MAX(0,(AU654-Constantes!$D$13)*(1-EXP(-Constantes!$D$24)))</f>
        <v>0</v>
      </c>
      <c r="AW654" s="170">
        <f>AW653+(Entradas!$E$112*AT654-AX653)/(800*Entradas!$D$25)</f>
        <v>0</v>
      </c>
      <c r="AX654" s="170">
        <f>8000*Entradas!$D$26*AW654/Constantes!$E$45</f>
        <v>0</v>
      </c>
      <c r="AY654" s="170">
        <f>IF(Escenarios!$E$17&gt;0,10*Escenarios!$E$16*AL654,0)</f>
        <v>0</v>
      </c>
      <c r="AZ654" s="170">
        <f>IF(Escenarios!$E$17&gt;0,10*Escenarios!$E$16*AX654,0)</f>
        <v>0</v>
      </c>
      <c r="BA654" s="170">
        <f>IF(Escenarios!$E$17&gt;0,0.001*Observaciones!$F653*Escenarios!$E$17,0)</f>
        <v>60</v>
      </c>
      <c r="BB654" s="170">
        <f>IF(Escenarios!$E$17&gt;0,Observaciones!$K653,0)</f>
        <v>0</v>
      </c>
      <c r="BC654" s="170">
        <f>IF(Escenarios!$E$17&gt;0,MIN(0.0005*ETo!$M653*Escenarios!$E$17*(BG653/Constantes!$E$40)^(2/3),BG653+AY654+AZ654+BA654+BB654),0)</f>
        <v>1.2428250271019841</v>
      </c>
      <c r="BD654" s="170">
        <f>IF(Escenarios!$E$17&gt;0,MIN(Constantes!$E$39*(BG653/Constantes!$E$40)^(2/3),BG653+AY654+AZ654+BA654+BB654-BC654),0)</f>
        <v>2.1421191579149133</v>
      </c>
      <c r="BE654" s="170">
        <f>IF(Escenarios!$E$17&gt;0,MIN(Entradas!$E$113,BG653+AY654+AZ654+BA654+BB654-BC654-BD654),0)</f>
        <v>1</v>
      </c>
      <c r="BF654" s="170">
        <f>IF(Escenarios!$E$17&gt;0,MAX(0,BG653+AY654+AZ654+BA654+BB654-BC654-BD654-BE654-Constantes!$E$40),0)</f>
        <v>0</v>
      </c>
      <c r="BG654" s="170">
        <f t="shared" si="152"/>
        <v>84.825569772171519</v>
      </c>
      <c r="BH654" s="170">
        <f>(Escenarios!$E$16*AK654+0.1*BC654)/(Escenarios!$E$19)</f>
        <v>2.0421178090655356</v>
      </c>
      <c r="BI654" s="170">
        <f>IF(Escenarios!$E$17&gt;0,BF654/10/Escenarios!$E$19,AL654)</f>
        <v>0</v>
      </c>
      <c r="BJ654" s="170">
        <f>(Escenarios!$E$16*AT654+0.1*BD654)/(Escenarios!$E$19)</f>
        <v>8.5004728488687043E-4</v>
      </c>
      <c r="BK654" s="76">
        <f>BK653+(0.1*BD654)/(Escenarios!$E$19)-BL653</f>
        <v>49.584114238657556</v>
      </c>
      <c r="BL654" s="76">
        <f>MAX(0,(BK654-Constantes!$D$13)*(1-EXP(-Constantes!$D$23)))</f>
        <v>8.2187262640261733E-3</v>
      </c>
      <c r="BM654" s="76">
        <f t="shared" si="148"/>
        <v>0.20394663316018033</v>
      </c>
      <c r="BN654" s="76">
        <f t="shared" si="153"/>
        <v>0.23297049447664522</v>
      </c>
      <c r="BO654" s="76">
        <f>0.0526*BI654*Observaciones!$F653^1.218</f>
        <v>0</v>
      </c>
      <c r="BP654" s="76">
        <f>BO654*Constantes!$E$51</f>
        <v>0</v>
      </c>
      <c r="BQ654" s="76">
        <f t="shared" si="149"/>
        <v>0</v>
      </c>
      <c r="BR654" s="40"/>
    </row>
    <row r="655" spans="1:70">
      <c r="A655" s="147"/>
      <c r="B655" s="39"/>
      <c r="C655" s="75">
        <v>649</v>
      </c>
      <c r="D655" s="146">
        <f>ETo!$I654*((1-Constantes!$E$19)*ETo!$K654+ETo!$L654)</f>
        <v>4.1682105857298364</v>
      </c>
      <c r="E655" s="76">
        <f>MIN(D655*Constantes!$E$17,0.8*(N654+Observaciones!$F654-F655-M655-Constantes!$D$14))</f>
        <v>1.0145885172299784</v>
      </c>
      <c r="F655" s="76">
        <f>IF(Observaciones!$F654&gt;0.05*Constantes!$E$18,((Observaciones!$F654-0.05*Constantes!$E$18)^2)/(Observaciones!$F654+0.95*Constantes!$E$18),0)</f>
        <v>0</v>
      </c>
      <c r="G655" s="76">
        <f>IF(Escenarios!$E$11&gt;0,(F655*Escenarios!$E$16*10000)/1000,0)</f>
        <v>0</v>
      </c>
      <c r="H655" s="76">
        <f>IF(Escenarios!$E$11&gt;0,(Observaciones!$F654*Constantes!$E$29)/1000,0)</f>
        <v>3</v>
      </c>
      <c r="I655" s="76">
        <f>IF(Escenarios!$E$11&gt;0,(D655*Constantes!$E$29)/1000,0)</f>
        <v>41.68210585729836</v>
      </c>
      <c r="J655" s="76">
        <f>IF(Escenarios!$E$11&gt;0,MAX(0,G655+H655-I655),0)</f>
        <v>0</v>
      </c>
      <c r="K655" s="76">
        <f>IF(Escenarios!$E$11&gt;0,IF(J655&gt;Constantes!$E$30,1000*((J655-Constantes!$E$30)/(Escenarios!$E$16*10000)),0),F655)</f>
        <v>0</v>
      </c>
      <c r="L655" s="76">
        <f>IF(Escenarios!$E$11&gt;0,I655*1000/Escenarios!$E$16/10000+E655,E655)</f>
        <v>1.0312613595728979</v>
      </c>
      <c r="M655" s="76">
        <f>MAX(0,N654+Observaciones!$F654-K655-Constantes!$D$13)</f>
        <v>0</v>
      </c>
      <c r="N655" s="76">
        <f>N654+Observaciones!$F654-K655-L655-M655-O654</f>
        <v>11.453992626377683</v>
      </c>
      <c r="O655" s="76">
        <f>MAX(0,(N655-Constantes!$D$14)*(1-EXP(-Constantes!$D$22)))</f>
        <v>6.9487377266862745E-3</v>
      </c>
      <c r="P655" s="170">
        <f>P654+(Entradas!$E$83*M655-Q654)/(800*Entradas!$D$25)</f>
        <v>0</v>
      </c>
      <c r="Q655" s="170">
        <f>8000*Entradas!$D$26*P655/Constantes!$E$45</f>
        <v>0</v>
      </c>
      <c r="R655" s="170">
        <f>IF(Escenarios!$E$14&gt;0,K655*Escenarios!$E$13/Escenarios!$E$14,0)</f>
        <v>0</v>
      </c>
      <c r="S655" s="170">
        <f>IF(Escenarios!$E$14&gt;0,Q655*Escenarios!$E$13/Escenarios!$E$14,0)</f>
        <v>0</v>
      </c>
      <c r="T655" s="170">
        <f>IF(Escenarios!$E$14&gt;0,Observaciones!$I654,0)</f>
        <v>0</v>
      </c>
      <c r="U655" s="170">
        <f>IF(Escenarios!$E$14&gt;0,MAX(0,Constantes!$E$36/((Z654+R655+S655+T655+Observaciones!$F654)^2)+Entradas!$E$77),0)</f>
        <v>0</v>
      </c>
      <c r="V655" s="146">
        <f>IF(ETo!D654&gt;0,ETo!I654*((1-Entradas!$E$81)*ETo!K654+ETo!L654),0)</f>
        <v>3.8050242368371179</v>
      </c>
      <c r="W655" s="170">
        <f>IF(Escenarios!$E$14&gt;0,MIN(V655*1,0.8*(Z654+R655+S655+T655+Observaciones!$F654-U655-Constantes!$E$35)),0)</f>
        <v>0.72000000003470754</v>
      </c>
      <c r="X655" s="170">
        <f>IF(Escenarios!$E$14&gt;0,Observaciones!$J654,0)</f>
        <v>0</v>
      </c>
      <c r="Y655" s="170">
        <f>IF(Escenarios!$E$14&gt;0,MAX(0,Z654+R655+S655+T655+Observaciones!$F654-U655-W655-X655-Constantes!$E$33),0)</f>
        <v>0</v>
      </c>
      <c r="Z655" s="170">
        <f>Z654+R655+S655+T655+Observaciones!$F654-U655-W655-Y655</f>
        <v>41.430000000008675</v>
      </c>
      <c r="AA655" s="170">
        <f>IF(Escenarios!$E$14&gt;0,(Escenarios!$E$13*L655+Escenarios!$E$14*W655)/(Escenarios!$E$16),L655)</f>
        <v>0.99390999642831501</v>
      </c>
      <c r="AB655" s="170">
        <f>IF(Escenarios!$E$14&gt;0,(Escenarios!$E$14*Y655)/(Escenarios!$E$16),K655)</f>
        <v>0</v>
      </c>
      <c r="AC655" s="170">
        <f>IF(Escenarios!$E$14&gt;0,(Escenarios!$E$13*M655+Escenarios!$E$14*U655)/(Escenarios!$E$16),M655)</f>
        <v>0</v>
      </c>
      <c r="AD655" s="76">
        <f t="shared" si="141"/>
        <v>68.41859520109179</v>
      </c>
      <c r="AE655" s="76">
        <f>MAX(0,(AD655-Constantes!$D$13)*(1-EXP(-Constantes!$D$23)))</f>
        <v>0.19379935321075101</v>
      </c>
      <c r="AF655" s="76">
        <f>AB655+O655*Escenarios!$E$13/Escenarios!$E$16+AE655</f>
        <v>0.19991424241023492</v>
      </c>
      <c r="AG655" s="76">
        <f>IF(Entradas!$E$91&gt;0,IF(AF655-Escenarios!$E$38&lt;=0,0,IF(AF655-Escenarios!$E$38&gt;Escenarios!$E$37,Escenarios!$E$37,AF655-Escenarios!$E$38)),0)</f>
        <v>0</v>
      </c>
      <c r="AH655" s="76">
        <f>AG655*Entradas!$E$99</f>
        <v>0</v>
      </c>
      <c r="AI655" s="76">
        <f>IF(Entradas!$E$91&gt;0,D655*Entradas!$D$23/Escenarios!$E$16,0)</f>
        <v>0</v>
      </c>
      <c r="AJ655" s="76">
        <f>IF(Entradas!$E$91&gt;0,Entradas!$D$24*Entradas!$D$22/Escenarios!$E$16,0)</f>
        <v>0</v>
      </c>
      <c r="AK655" s="76">
        <f t="shared" si="150"/>
        <v>0.99390999642831501</v>
      </c>
      <c r="AL655" s="76">
        <f t="shared" si="151"/>
        <v>0</v>
      </c>
      <c r="AM655" s="76">
        <f t="shared" si="142"/>
        <v>0</v>
      </c>
      <c r="AN655" s="76">
        <f>MAX(0,O655*Escenarios!$E$13/Escenarios!$E$16-AM655)</f>
        <v>6.1148891994839217E-3</v>
      </c>
      <c r="AO655" s="76">
        <f>AM655+AN655-O655*Escenarios!$E$13/Escenarios!$E$16</f>
        <v>0</v>
      </c>
      <c r="AP655" s="76">
        <f t="shared" si="140"/>
        <v>0.19379935321075101</v>
      </c>
      <c r="AQ655" s="76">
        <f t="shared" si="143"/>
        <v>0</v>
      </c>
      <c r="AR655" s="76">
        <f t="shared" si="144"/>
        <v>0.19991424241023492</v>
      </c>
      <c r="AS655" s="76">
        <f t="shared" si="145"/>
        <v>0</v>
      </c>
      <c r="AT655" s="76">
        <f t="shared" si="146"/>
        <v>0</v>
      </c>
      <c r="AU655" s="76">
        <f t="shared" si="147"/>
        <v>48.75</v>
      </c>
      <c r="AV655" s="76">
        <f>MAX(0,(AU655-Constantes!$D$13)*(1-EXP(-Constantes!$D$24)))</f>
        <v>0</v>
      </c>
      <c r="AW655" s="170">
        <f>AW654+(Entradas!$E$112*AT655-AX654)/(800*Entradas!$D$25)</f>
        <v>0</v>
      </c>
      <c r="AX655" s="170">
        <f>8000*Entradas!$D$26*AW655/Constantes!$E$45</f>
        <v>0</v>
      </c>
      <c r="AY655" s="170">
        <f>IF(Escenarios!$E$17&gt;0,10*Escenarios!$E$16*AL655,0)</f>
        <v>0</v>
      </c>
      <c r="AZ655" s="170">
        <f>IF(Escenarios!$E$17&gt;0,10*Escenarios!$E$16*AX655,0)</f>
        <v>0</v>
      </c>
      <c r="BA655" s="170">
        <f>IF(Escenarios!$E$17&gt;0,0.001*Observaciones!$F654*Escenarios!$E$17,0)</f>
        <v>5.9999999999999991</v>
      </c>
      <c r="BB655" s="170">
        <f>IF(Escenarios!$E$17&gt;0,Observaciones!$K654,0)</f>
        <v>0</v>
      </c>
      <c r="BC655" s="170">
        <f>IF(Escenarios!$E$17&gt;0,MIN(0.0005*ETo!$M654*Escenarios!$E$17*(BG654/Constantes!$E$40)^(2/3),BG654+AY655+AZ655+BA655+BB655),0)</f>
        <v>2.5832261251922422</v>
      </c>
      <c r="BD655" s="170">
        <f>IF(Escenarios!$E$17&gt;0,MIN(Constantes!$E$39*(BG654/Constantes!$E$40)^(2/3),BG654+AY655+AZ655+BA655+BB655-BC655),0)</f>
        <v>4.3601558866815164</v>
      </c>
      <c r="BE655" s="170">
        <f>IF(Escenarios!$E$17&gt;0,MIN(Entradas!$E$113,BG654+AY655+AZ655+BA655+BB655-BC655-BD655),0)</f>
        <v>1</v>
      </c>
      <c r="BF655" s="170">
        <f>IF(Escenarios!$E$17&gt;0,MAX(0,BG654+AY655+AZ655+BA655+BB655-BC655-BD655-BE655-Constantes!$E$40),0)</f>
        <v>0</v>
      </c>
      <c r="BG655" s="170">
        <f t="shared" si="152"/>
        <v>82.882187760297768</v>
      </c>
      <c r="BH655" s="170">
        <f>(Escenarios!$E$16*AK655+0.1*BC655)/(Escenarios!$E$19)</f>
        <v>0.98704691158570634</v>
      </c>
      <c r="BI655" s="170">
        <f>IF(Escenarios!$E$17&gt;0,BF655/10/Escenarios!$E$19,AL655)</f>
        <v>0</v>
      </c>
      <c r="BJ655" s="170">
        <f>(Escenarios!$E$16*AT655+0.1*BD655)/(Escenarios!$E$19)</f>
        <v>1.7302205899529827E-3</v>
      </c>
      <c r="BK655" s="76">
        <f>BK654+(0.1*BD655)/(Escenarios!$E$19)-BL654</f>
        <v>49.577625732983485</v>
      </c>
      <c r="BL655" s="76">
        <f>MAX(0,(BK655-Constantes!$D$13)*(1-EXP(-Constantes!$D$23)))</f>
        <v>8.1547934721779083E-3</v>
      </c>
      <c r="BM655" s="76">
        <f t="shared" si="148"/>
        <v>0.20195414668292891</v>
      </c>
      <c r="BN655" s="76">
        <f t="shared" si="153"/>
        <v>0.20806903588241282</v>
      </c>
      <c r="BO655" s="76">
        <f>0.0526*BI655*Observaciones!$F654^1.218</f>
        <v>0</v>
      </c>
      <c r="BP655" s="76">
        <f>BO655*Constantes!$E$51</f>
        <v>0</v>
      </c>
      <c r="BQ655" s="76">
        <f t="shared" si="149"/>
        <v>0</v>
      </c>
      <c r="BR655" s="40"/>
    </row>
    <row r="656" spans="1:70">
      <c r="A656" s="147"/>
      <c r="B656" s="39"/>
      <c r="C656" s="75">
        <v>650</v>
      </c>
      <c r="D656" s="146">
        <f>ETo!$I655*((1-Constantes!$E$19)*ETo!$K655+ETo!$L655)</f>
        <v>4.2076997627061896</v>
      </c>
      <c r="E656" s="76">
        <f>MIN(D656*Constantes!$E$17,0.8*(N655+Observaciones!$F655-F656-M656-Constantes!$D$14))</f>
        <v>2.0571962236134689</v>
      </c>
      <c r="F656" s="76">
        <f>IF(Observaciones!$F655&gt;0.05*Constantes!$E$18,((Observaciones!$F655-0.05*Constantes!$E$18)^2)/(Observaciones!$F655+0.95*Constantes!$E$18),0)</f>
        <v>1.0321555455750776E-3</v>
      </c>
      <c r="G656" s="76">
        <f>IF(Escenarios!$E$11&gt;0,(F656*Escenarios!$E$16*10000)/1000,0)</f>
        <v>2.580388863937694</v>
      </c>
      <c r="H656" s="76">
        <f>IF(Escenarios!$E$11&gt;0,(Observaciones!$F655*Constantes!$E$29)/1000,0)</f>
        <v>63</v>
      </c>
      <c r="I656" s="76">
        <f>IF(Escenarios!$E$11&gt;0,(D656*Constantes!$E$29)/1000,0)</f>
        <v>42.076997627061893</v>
      </c>
      <c r="J656" s="76">
        <f>IF(Escenarios!$E$11&gt;0,MAX(0,G656+H656-I656),0)</f>
        <v>23.503391236875807</v>
      </c>
      <c r="K656" s="76">
        <f>IF(Escenarios!$E$11&gt;0,IF(J656&gt;Constantes!$E$30,1000*((J656-Constantes!$E$30)/(Escenarios!$E$16*10000)),0),F656)</f>
        <v>0</v>
      </c>
      <c r="L656" s="76">
        <f>IF(Escenarios!$E$11&gt;0,I656*1000/Escenarios!$E$16/10000+E656,E656)</f>
        <v>2.0740270226642936</v>
      </c>
      <c r="M656" s="76">
        <f>MAX(0,N655+Observaciones!$F655-K656-Constantes!$D$13)</f>
        <v>0</v>
      </c>
      <c r="N656" s="76">
        <f>N655+Observaciones!$F655-K656-L656-M656-O655</f>
        <v>15.673016865986705</v>
      </c>
      <c r="O656" s="76">
        <f>MAX(0,(N656-Constantes!$D$14)*(1-EXP(-Constantes!$D$22)))</f>
        <v>0.15066419168283141</v>
      </c>
      <c r="P656" s="170">
        <f>P655+(Entradas!$E$83*M656-Q655)/(800*Entradas!$D$25)</f>
        <v>0</v>
      </c>
      <c r="Q656" s="170">
        <f>8000*Entradas!$D$26*P656/Constantes!$E$45</f>
        <v>0</v>
      </c>
      <c r="R656" s="170">
        <f>IF(Escenarios!$E$14&gt;0,K656*Escenarios!$E$13/Escenarios!$E$14,0)</f>
        <v>0</v>
      </c>
      <c r="S656" s="170">
        <f>IF(Escenarios!$E$14&gt;0,Q656*Escenarios!$E$13/Escenarios!$E$14,0)</f>
        <v>0</v>
      </c>
      <c r="T656" s="170">
        <f>IF(Escenarios!$E$14&gt;0,Observaciones!$I655,0)</f>
        <v>0</v>
      </c>
      <c r="U656" s="170">
        <f>IF(Escenarios!$E$14&gt;0,MAX(0,Constantes!$E$36/((Z655+R656+S656+T656+Observaciones!$F655)^2)+Entradas!$E$77),0)</f>
        <v>0</v>
      </c>
      <c r="V656" s="146">
        <f>IF(ETo!D655&gt;0,ETo!I655*((1-Entradas!$E$81)*ETo!K655+ETo!L655),0)</f>
        <v>3.8416205742816962</v>
      </c>
      <c r="W656" s="170">
        <f>IF(Escenarios!$E$14&gt;0,MIN(V656*1,0.8*(Z655+R656+S656+T656+Observaciones!$F655-U656-Constantes!$E$35)),0)</f>
        <v>3.8416205742816962</v>
      </c>
      <c r="X656" s="170">
        <f>IF(Escenarios!$E$14&gt;0,Observaciones!$J655,0)</f>
        <v>0</v>
      </c>
      <c r="Y656" s="170">
        <f>IF(Escenarios!$E$14&gt;0,MAX(0,Z655+R656+S656+T656+Observaciones!$F655-U656-W656-X656-Constantes!$E$33),0)</f>
        <v>0</v>
      </c>
      <c r="Z656" s="170">
        <f>Z655+R656+S656+T656+Observaciones!$F655-U656-W656-Y656</f>
        <v>43.888379425726974</v>
      </c>
      <c r="AA656" s="170">
        <f>IF(Escenarios!$E$14&gt;0,(Escenarios!$E$13*L656+Escenarios!$E$14*W656)/(Escenarios!$E$16),L656)</f>
        <v>2.2861382488583821</v>
      </c>
      <c r="AB656" s="170">
        <f>IF(Escenarios!$E$14&gt;0,(Escenarios!$E$14*Y656)/(Escenarios!$E$16),K656)</f>
        <v>0</v>
      </c>
      <c r="AC656" s="170">
        <f>IF(Escenarios!$E$14&gt;0,(Escenarios!$E$13*M656+Escenarios!$E$14*U656)/(Escenarios!$E$16),M656)</f>
        <v>0</v>
      </c>
      <c r="AD656" s="76">
        <f t="shared" si="141"/>
        <v>68.22479584788104</v>
      </c>
      <c r="AE656" s="76">
        <f>MAX(0,(AD656-Constantes!$D$13)*(1-EXP(-Constantes!$D$23)))</f>
        <v>0.19188980202415581</v>
      </c>
      <c r="AF656" s="76">
        <f>AB656+O656*Escenarios!$E$13/Escenarios!$E$16+AE656</f>
        <v>0.32447429070504746</v>
      </c>
      <c r="AG656" s="76">
        <f>IF(Entradas!$E$91&gt;0,IF(AF656-Escenarios!$E$38&lt;=0,0,IF(AF656-Escenarios!$E$38&gt;Escenarios!$E$37,Escenarios!$E$37,AF656-Escenarios!$E$38)),0)</f>
        <v>0</v>
      </c>
      <c r="AH656" s="76">
        <f>AG656*Entradas!$E$99</f>
        <v>0</v>
      </c>
      <c r="AI656" s="76">
        <f>IF(Entradas!$E$91&gt;0,D656*Entradas!$D$23/Escenarios!$E$16,0)</f>
        <v>0</v>
      </c>
      <c r="AJ656" s="76">
        <f>IF(Entradas!$E$91&gt;0,Entradas!$D$24*Entradas!$D$22/Escenarios!$E$16,0)</f>
        <v>0</v>
      </c>
      <c r="AK656" s="76">
        <f t="shared" si="150"/>
        <v>2.2861382488583821</v>
      </c>
      <c r="AL656" s="76">
        <f t="shared" si="151"/>
        <v>0</v>
      </c>
      <c r="AM656" s="76">
        <f t="shared" si="142"/>
        <v>0</v>
      </c>
      <c r="AN656" s="76">
        <f>MAX(0,O656*Escenarios!$E$13/Escenarios!$E$16-AM656)</f>
        <v>0.13258448868089165</v>
      </c>
      <c r="AO656" s="76">
        <f>AM656+AN656-O656*Escenarios!$E$13/Escenarios!$E$16</f>
        <v>0</v>
      </c>
      <c r="AP656" s="76">
        <f t="shared" si="140"/>
        <v>0.19188980202415581</v>
      </c>
      <c r="AQ656" s="76">
        <f t="shared" si="143"/>
        <v>0</v>
      </c>
      <c r="AR656" s="76">
        <f t="shared" si="144"/>
        <v>0.32447429070504746</v>
      </c>
      <c r="AS656" s="76">
        <f t="shared" si="145"/>
        <v>0</v>
      </c>
      <c r="AT656" s="76">
        <f t="shared" si="146"/>
        <v>0</v>
      </c>
      <c r="AU656" s="76">
        <f t="shared" si="147"/>
        <v>48.75</v>
      </c>
      <c r="AV656" s="76">
        <f>MAX(0,(AU656-Constantes!$D$13)*(1-EXP(-Constantes!$D$24)))</f>
        <v>0</v>
      </c>
      <c r="AW656" s="170">
        <f>AW655+(Entradas!$E$112*AT656-AX655)/(800*Entradas!$D$25)</f>
        <v>0</v>
      </c>
      <c r="AX656" s="170">
        <f>8000*Entradas!$D$26*AW656/Constantes!$E$45</f>
        <v>0</v>
      </c>
      <c r="AY656" s="170">
        <f>IF(Escenarios!$E$17&gt;0,10*Escenarios!$E$16*AL656,0)</f>
        <v>0</v>
      </c>
      <c r="AZ656" s="170">
        <f>IF(Escenarios!$E$17&gt;0,10*Escenarios!$E$16*AX656,0)</f>
        <v>0</v>
      </c>
      <c r="BA656" s="170">
        <f>IF(Escenarios!$E$17&gt;0,0.001*Observaciones!$F655*Escenarios!$E$17,0)</f>
        <v>126</v>
      </c>
      <c r="BB656" s="170">
        <f>IF(Escenarios!$E$17&gt;0,Observaciones!$K655,0)</f>
        <v>0</v>
      </c>
      <c r="BC656" s="170">
        <f>IF(Escenarios!$E$17&gt;0,MIN(0.0005*ETo!$M655*Escenarios!$E$17*(BG655/Constantes!$E$40)^(2/3),BG655+AY656+AZ656+BA656+BB656),0)</f>
        <v>2.5672541217234106</v>
      </c>
      <c r="BD656" s="170">
        <f>IF(Escenarios!$E$17&gt;0,MIN(Constantes!$E$39*(BG655/Constantes!$E$40)^(2/3),BG655+AY656+AZ656+BA656+BB656-BC656),0)</f>
        <v>4.293303895522155</v>
      </c>
      <c r="BE656" s="170">
        <f>IF(Escenarios!$E$17&gt;0,MIN(Entradas!$E$113,BG655+AY656+AZ656+BA656+BB656-BC656-BD656),0)</f>
        <v>1</v>
      </c>
      <c r="BF656" s="170">
        <f>IF(Escenarios!$E$17&gt;0,MAX(0,BG655+AY656+AZ656+BA656+BB656-BC656-BD656-BE656-Constantes!$E$40),0)</f>
        <v>0</v>
      </c>
      <c r="BG656" s="170">
        <f t="shared" si="152"/>
        <v>201.02162974305222</v>
      </c>
      <c r="BH656" s="170">
        <f>(Escenarios!$E$16*AK656+0.1*BC656)/(Escenarios!$E$19)</f>
        <v>2.2690130461379678</v>
      </c>
      <c r="BI656" s="170">
        <f>IF(Escenarios!$E$17&gt;0,BF656/10/Escenarios!$E$19,AL656)</f>
        <v>0</v>
      </c>
      <c r="BJ656" s="170">
        <f>(Escenarios!$E$16*AT656+0.1*BD656)/(Escenarios!$E$19)</f>
        <v>1.7036920220326014E-3</v>
      </c>
      <c r="BK656" s="76">
        <f>BK655+(0.1*BD656)/(Escenarios!$E$19)-BL655</f>
        <v>49.571174631533339</v>
      </c>
      <c r="BL656" s="76">
        <f>MAX(0,(BK656-Constantes!$D$13)*(1-EXP(-Constantes!$D$23)))</f>
        <v>8.0912292330569627E-3</v>
      </c>
      <c r="BM656" s="76">
        <f t="shared" si="148"/>
        <v>0.19998103125721278</v>
      </c>
      <c r="BN656" s="76">
        <f t="shared" si="153"/>
        <v>0.3325655199381044</v>
      </c>
      <c r="BO656" s="76">
        <f>0.0526*BI656*Observaciones!$F655^1.218</f>
        <v>0</v>
      </c>
      <c r="BP656" s="76">
        <f>BO656*Constantes!$E$51</f>
        <v>0</v>
      </c>
      <c r="BQ656" s="76">
        <f t="shared" si="149"/>
        <v>0</v>
      </c>
      <c r="BR656" s="40"/>
    </row>
    <row r="657" spans="1:70">
      <c r="A657" s="147"/>
      <c r="B657" s="39"/>
      <c r="C657" s="75">
        <v>651</v>
      </c>
      <c r="D657" s="146">
        <f>ETo!$I656*((1-Constantes!$E$19)*ETo!$K656+ETo!$L656)</f>
        <v>4.0095909190439718</v>
      </c>
      <c r="E657" s="76">
        <f>MIN(D657*Constantes!$E$17,0.8*(N656+Observaciones!$F656-F657-M657-Constantes!$D$14))</f>
        <v>1.9603383706224966</v>
      </c>
      <c r="F657" s="76">
        <f>IF(Observaciones!$F656&gt;0.05*Constantes!$E$18,((Observaciones!$F656-0.05*Constantes!$E$18)^2)/(Observaciones!$F656+0.95*Constantes!$E$18),0)</f>
        <v>0</v>
      </c>
      <c r="G657" s="76">
        <f>IF(Escenarios!$E$11&gt;0,(F657*Escenarios!$E$16*10000)/1000,0)</f>
        <v>0</v>
      </c>
      <c r="H657" s="76">
        <f>IF(Escenarios!$E$11&gt;0,(Observaciones!$F656*Constantes!$E$29)/1000,0)</f>
        <v>33</v>
      </c>
      <c r="I657" s="76">
        <f>IF(Escenarios!$E$11&gt;0,(D657*Constantes!$E$29)/1000,0)</f>
        <v>40.09590919043972</v>
      </c>
      <c r="J657" s="76">
        <f>IF(Escenarios!$E$11&gt;0,MAX(0,G657+H657-I657),0)</f>
        <v>0</v>
      </c>
      <c r="K657" s="76">
        <f>IF(Escenarios!$E$11&gt;0,IF(J657&gt;Constantes!$E$30,1000*((J657-Constantes!$E$30)/(Escenarios!$E$16*10000)),0),F657)</f>
        <v>0</v>
      </c>
      <c r="L657" s="76">
        <f>IF(Escenarios!$E$11&gt;0,I657*1000/Escenarios!$E$16/10000+E657,E657)</f>
        <v>1.9763767342986724</v>
      </c>
      <c r="M657" s="76">
        <f>MAX(0,N656+Observaciones!$F656-K657-Constantes!$D$13)</f>
        <v>0</v>
      </c>
      <c r="N657" s="76">
        <f>N656+Observaciones!$F656-K657-L657-M657-O656</f>
        <v>16.8459759400052</v>
      </c>
      <c r="O657" s="76">
        <f>MAX(0,(N657-Constantes!$D$14)*(1-EXP(-Constantes!$D$22)))</f>
        <v>0.19061948376481508</v>
      </c>
      <c r="P657" s="170">
        <f>P656+(Entradas!$E$83*M657-Q656)/(800*Entradas!$D$25)</f>
        <v>0</v>
      </c>
      <c r="Q657" s="170">
        <f>8000*Entradas!$D$26*P657/Constantes!$E$45</f>
        <v>0</v>
      </c>
      <c r="R657" s="170">
        <f>IF(Escenarios!$E$14&gt;0,K657*Escenarios!$E$13/Escenarios!$E$14,0)</f>
        <v>0</v>
      </c>
      <c r="S657" s="170">
        <f>IF(Escenarios!$E$14&gt;0,Q657*Escenarios!$E$13/Escenarios!$E$14,0)</f>
        <v>0</v>
      </c>
      <c r="T657" s="170">
        <f>IF(Escenarios!$E$14&gt;0,Observaciones!$I656,0)</f>
        <v>0</v>
      </c>
      <c r="U657" s="170">
        <f>IF(Escenarios!$E$14&gt;0,MAX(0,Constantes!$E$36/((Z656+R657+S657+T657+Observaciones!$F656)^2)+Entradas!$E$77),0)</f>
        <v>0</v>
      </c>
      <c r="V657" s="146">
        <f>IF(ETo!D656&gt;0,ETo!I656*((1-Entradas!$E$81)*ETo!K656+ETo!L656),0)</f>
        <v>3.6590793804944011</v>
      </c>
      <c r="W657" s="170">
        <f>IF(Escenarios!$E$14&gt;0,MIN(V657*1,0.8*(Z656+R657+S657+T657+Observaciones!$F656-U657-Constantes!$E$35)),0)</f>
        <v>3.6590793804944011</v>
      </c>
      <c r="X657" s="170">
        <f>IF(Escenarios!$E$14&gt;0,Observaciones!$J656,0)</f>
        <v>0</v>
      </c>
      <c r="Y657" s="170">
        <f>IF(Escenarios!$E$14&gt;0,MAX(0,Z656+R657+S657+T657+Observaciones!$F656-U657-W657-X657-Constantes!$E$33),0)</f>
        <v>0</v>
      </c>
      <c r="Z657" s="170">
        <f>Z656+R657+S657+T657+Observaciones!$F656-U657-W657-Y657</f>
        <v>43.529300045232567</v>
      </c>
      <c r="AA657" s="170">
        <f>IF(Escenarios!$E$14&gt;0,(Escenarios!$E$13*L657+Escenarios!$E$14*W657)/(Escenarios!$E$16),L657)</f>
        <v>2.1783010518421597</v>
      </c>
      <c r="AB657" s="170">
        <f>IF(Escenarios!$E$14&gt;0,(Escenarios!$E$14*Y657)/(Escenarios!$E$16),K657)</f>
        <v>0</v>
      </c>
      <c r="AC657" s="170">
        <f>IF(Escenarios!$E$14&gt;0,(Escenarios!$E$13*M657+Escenarios!$E$14*U657)/(Escenarios!$E$16),M657)</f>
        <v>0</v>
      </c>
      <c r="AD657" s="76">
        <f t="shared" si="141"/>
        <v>68.03290604585689</v>
      </c>
      <c r="AE657" s="76">
        <f>MAX(0,(AD657-Constantes!$D$13)*(1-EXP(-Constantes!$D$23)))</f>
        <v>0.18999906610022185</v>
      </c>
      <c r="AF657" s="76">
        <f>AB657+O657*Escenarios!$E$13/Escenarios!$E$16+AE657</f>
        <v>0.35774421181325911</v>
      </c>
      <c r="AG657" s="76">
        <f>IF(Entradas!$E$91&gt;0,IF(AF657-Escenarios!$E$38&lt;=0,0,IF(AF657-Escenarios!$E$38&gt;Escenarios!$E$37,Escenarios!$E$37,AF657-Escenarios!$E$38)),0)</f>
        <v>0</v>
      </c>
      <c r="AH657" s="76">
        <f>AG657*Entradas!$E$99</f>
        <v>0</v>
      </c>
      <c r="AI657" s="76">
        <f>IF(Entradas!$E$91&gt;0,D657*Entradas!$D$23/Escenarios!$E$16,0)</f>
        <v>0</v>
      </c>
      <c r="AJ657" s="76">
        <f>IF(Entradas!$E$91&gt;0,Entradas!$D$24*Entradas!$D$22/Escenarios!$E$16,0)</f>
        <v>0</v>
      </c>
      <c r="AK657" s="76">
        <f t="shared" si="150"/>
        <v>2.1783010518421597</v>
      </c>
      <c r="AL657" s="76">
        <f t="shared" si="151"/>
        <v>0</v>
      </c>
      <c r="AM657" s="76">
        <f t="shared" si="142"/>
        <v>0</v>
      </c>
      <c r="AN657" s="76">
        <f>MAX(0,O657*Escenarios!$E$13/Escenarios!$E$16-AM657)</f>
        <v>0.16774514571303725</v>
      </c>
      <c r="AO657" s="76">
        <f>AM657+AN657-O657*Escenarios!$E$13/Escenarios!$E$16</f>
        <v>0</v>
      </c>
      <c r="AP657" s="76">
        <f t="shared" si="140"/>
        <v>0.18999906610022185</v>
      </c>
      <c r="AQ657" s="76">
        <f t="shared" si="143"/>
        <v>0</v>
      </c>
      <c r="AR657" s="76">
        <f t="shared" si="144"/>
        <v>0.35774421181325911</v>
      </c>
      <c r="AS657" s="76">
        <f t="shared" si="145"/>
        <v>0</v>
      </c>
      <c r="AT657" s="76">
        <f t="shared" si="146"/>
        <v>0</v>
      </c>
      <c r="AU657" s="76">
        <f t="shared" si="147"/>
        <v>48.75</v>
      </c>
      <c r="AV657" s="76">
        <f>MAX(0,(AU657-Constantes!$D$13)*(1-EXP(-Constantes!$D$24)))</f>
        <v>0</v>
      </c>
      <c r="AW657" s="170">
        <f>AW656+(Entradas!$E$112*AT657-AX656)/(800*Entradas!$D$25)</f>
        <v>0</v>
      </c>
      <c r="AX657" s="170">
        <f>8000*Entradas!$D$26*AW657/Constantes!$E$45</f>
        <v>0</v>
      </c>
      <c r="AY657" s="170">
        <f>IF(Escenarios!$E$17&gt;0,10*Escenarios!$E$16*AL657,0)</f>
        <v>0</v>
      </c>
      <c r="AZ657" s="170">
        <f>IF(Escenarios!$E$17&gt;0,10*Escenarios!$E$16*AX657,0)</f>
        <v>0</v>
      </c>
      <c r="BA657" s="170">
        <f>IF(Escenarios!$E$17&gt;0,0.001*Observaciones!$F656*Escenarios!$E$17,0)</f>
        <v>66</v>
      </c>
      <c r="BB657" s="170">
        <f>IF(Escenarios!$E$17&gt;0,Observaciones!$K656,0)</f>
        <v>0</v>
      </c>
      <c r="BC657" s="170">
        <f>IF(Escenarios!$E$17&gt;0,MIN(0.0005*ETo!$M656*Escenarios!$E$17*(BG656/Constantes!$E$40)^(2/3),BG656+AY657+AZ657+BA657+BB657),0)</f>
        <v>4.4187075368974025</v>
      </c>
      <c r="BD657" s="170">
        <f>IF(Escenarios!$E$17&gt;0,MIN(Constantes!$E$39*(BG656/Constantes!$E$40)^(2/3),BG656+AY657+AZ657+BA657+BB657-BC657),0)</f>
        <v>7.7501960052812793</v>
      </c>
      <c r="BE657" s="170">
        <f>IF(Escenarios!$E$17&gt;0,MIN(Entradas!$E$113,BG656+AY657+AZ657+BA657+BB657-BC657-BD657),0)</f>
        <v>1</v>
      </c>
      <c r="BF657" s="170">
        <f>IF(Escenarios!$E$17&gt;0,MAX(0,BG656+AY657+AZ657+BA657+BB657-BC657-BD657-BE657-Constantes!$E$40),0)</f>
        <v>0</v>
      </c>
      <c r="BG657" s="170">
        <f t="shared" si="152"/>
        <v>253.85272620087358</v>
      </c>
      <c r="BH657" s="170">
        <f>(Escenarios!$E$16*AK657+0.1*BC657)/(Escenarios!$E$19)</f>
        <v>2.1627664036278955</v>
      </c>
      <c r="BI657" s="170">
        <f>IF(Escenarios!$E$17&gt;0,BF657/10/Escenarios!$E$19,AL657)</f>
        <v>0</v>
      </c>
      <c r="BJ657" s="170">
        <f>(Escenarios!$E$16*AT657+0.1*BD657)/(Escenarios!$E$19)</f>
        <v>3.0754746052703494E-3</v>
      </c>
      <c r="BK657" s="76">
        <f>BK656+(0.1*BD657)/(Escenarios!$E$19)-BL656</f>
        <v>49.566158876905547</v>
      </c>
      <c r="BL657" s="76">
        <f>MAX(0,(BK657-Constantes!$D$13)*(1-EXP(-Constantes!$D$23)))</f>
        <v>8.0418078080496565E-3</v>
      </c>
      <c r="BM657" s="76">
        <f t="shared" si="148"/>
        <v>0.19804087390827152</v>
      </c>
      <c r="BN657" s="76">
        <f t="shared" si="153"/>
        <v>0.36578601962130874</v>
      </c>
      <c r="BO657" s="76">
        <f>0.0526*BI657*Observaciones!$F656^1.218</f>
        <v>0</v>
      </c>
      <c r="BP657" s="76">
        <f>BO657*Constantes!$E$51</f>
        <v>0</v>
      </c>
      <c r="BQ657" s="76">
        <f t="shared" si="149"/>
        <v>0</v>
      </c>
      <c r="BR657" s="40"/>
    </row>
    <row r="658" spans="1:70">
      <c r="A658" s="147"/>
      <c r="B658" s="39"/>
      <c r="C658" s="75">
        <v>652</v>
      </c>
      <c r="D658" s="146">
        <f>ETo!$I657*((1-Constantes!$E$19)*ETo!$K657+ETo!$L657)</f>
        <v>4.1672819436027186</v>
      </c>
      <c r="E658" s="76">
        <f>MIN(D658*Constantes!$E$17,0.8*(N657+Observaciones!$F657-F658-M658-Constantes!$D$14))</f>
        <v>2.0374354541870696</v>
      </c>
      <c r="F658" s="76">
        <f>IF(Observaciones!$F657&gt;0.05*Constantes!$E$18,((Observaciones!$F657-0.05*Constantes!$E$18)^2)/(Observaciones!$F657+0.95*Constantes!$E$18),0)</f>
        <v>1.4840754273750125</v>
      </c>
      <c r="G658" s="76">
        <f>IF(Escenarios!$E$11&gt;0,(F658*Escenarios!$E$16*10000)/1000,0)</f>
        <v>3710.1885684375316</v>
      </c>
      <c r="H658" s="76">
        <f>IF(Escenarios!$E$11&gt;0,(Observaciones!$F657*Constantes!$E$29)/1000,0)</f>
        <v>200</v>
      </c>
      <c r="I658" s="76">
        <f>IF(Escenarios!$E$11&gt;0,(D658*Constantes!$E$29)/1000,0)</f>
        <v>41.67281943602719</v>
      </c>
      <c r="J658" s="76">
        <f>IF(Escenarios!$E$11&gt;0,MAX(0,G658+H658-I658),0)</f>
        <v>3868.5157490015044</v>
      </c>
      <c r="K658" s="76">
        <f>IF(Escenarios!$E$11&gt;0,IF(J658&gt;Constantes!$E$30,1000*((J658-Constantes!$E$30)/(Escenarios!$E$16*10000)),0),F658)</f>
        <v>1.0327004172476606</v>
      </c>
      <c r="L658" s="76">
        <f>IF(Escenarios!$E$11&gt;0,I658*1000/Escenarios!$E$16/10000+E658,E658)</f>
        <v>2.0541045819614805</v>
      </c>
      <c r="M658" s="76">
        <f>MAX(0,N657+Observaciones!$F657-K658-Constantes!$D$13)</f>
        <v>0</v>
      </c>
      <c r="N658" s="76">
        <f>N657+Observaciones!$F657-K658-L658-M658-O657</f>
        <v>33.568551457031248</v>
      </c>
      <c r="O658" s="76">
        <f>MAX(0,(N658-Constantes!$D$14)*(1-EXP(-Constantes!$D$22)))</f>
        <v>0.76025179570622037</v>
      </c>
      <c r="P658" s="170">
        <f>P657+(Entradas!$E$83*M658-Q657)/(800*Entradas!$D$25)</f>
        <v>0</v>
      </c>
      <c r="Q658" s="170">
        <f>8000*Entradas!$D$26*P658/Constantes!$E$45</f>
        <v>0</v>
      </c>
      <c r="R658" s="170">
        <f>IF(Escenarios!$E$14&gt;0,K658*Escenarios!$E$13/Escenarios!$E$14,0)</f>
        <v>7.573136393149511</v>
      </c>
      <c r="S658" s="170">
        <f>IF(Escenarios!$E$14&gt;0,Q658*Escenarios!$E$13/Escenarios!$E$14,0)</f>
        <v>0</v>
      </c>
      <c r="T658" s="170">
        <f>IF(Escenarios!$E$14&gt;0,Observaciones!$I657,0)</f>
        <v>0</v>
      </c>
      <c r="U658" s="170">
        <f>IF(Escenarios!$E$14&gt;0,MAX(0,Constantes!$E$36/((Z657+R658+S658+T658+Observaciones!$F657)^2)+Entradas!$E$77),0)</f>
        <v>0.96921465202634183</v>
      </c>
      <c r="V658" s="146">
        <f>IF(ETo!D657&gt;0,ETo!I657*((1-Entradas!$E$81)*ETo!K657+ETo!L657),0)</f>
        <v>3.8044966079099463</v>
      </c>
      <c r="W658" s="170">
        <f>IF(Escenarios!$E$14&gt;0,MIN(V658*1,0.8*(Z657+R658+S658+T658+Observaciones!$F657-U658-Constantes!$E$35)),0)</f>
        <v>3.8044966079099463</v>
      </c>
      <c r="X658" s="170">
        <f>IF(Escenarios!$E$14&gt;0,Observaciones!$J657,0)</f>
        <v>0</v>
      </c>
      <c r="Y658" s="170">
        <f>IF(Escenarios!$E$14&gt;0,MAX(0,Z657+R658+S658+T658+Observaciones!$F657-U658-W658-X658-Constantes!$E$33),0)</f>
        <v>0</v>
      </c>
      <c r="Z658" s="170">
        <f>Z657+R658+S658+T658+Observaciones!$F657-U658-W658-Y658</f>
        <v>66.328725178445808</v>
      </c>
      <c r="AA658" s="170">
        <f>IF(Escenarios!$E$14&gt;0,(Escenarios!$E$13*L658+Escenarios!$E$14*W658)/(Escenarios!$E$16),L658)</f>
        <v>2.2641516250752964</v>
      </c>
      <c r="AB658" s="170">
        <f>IF(Escenarios!$E$14&gt;0,(Escenarios!$E$14*Y658)/(Escenarios!$E$16),K658)</f>
        <v>0</v>
      </c>
      <c r="AC658" s="170">
        <f>IF(Escenarios!$E$14&gt;0,(Escenarios!$E$13*M658+Escenarios!$E$14*U658)/(Escenarios!$E$16),M658)</f>
        <v>0.11630575824316103</v>
      </c>
      <c r="AD658" s="76">
        <f t="shared" si="141"/>
        <v>67.95921273799982</v>
      </c>
      <c r="AE658" s="76">
        <f>MAX(0,(AD658-Constantes!$D$13)*(1-EXP(-Constantes!$D$23)))</f>
        <v>0.18927294838552772</v>
      </c>
      <c r="AF658" s="76">
        <f>AB658+O658*Escenarios!$E$13/Escenarios!$E$16+AE658</f>
        <v>0.85829452860700162</v>
      </c>
      <c r="AG658" s="76">
        <f>IF(Entradas!$E$91&gt;0,IF(AF658-Escenarios!$E$38&lt;=0,0,IF(AF658-Escenarios!$E$38&gt;Escenarios!$E$37,Escenarios!$E$37,AF658-Escenarios!$E$38)),0)</f>
        <v>0</v>
      </c>
      <c r="AH658" s="76">
        <f>AG658*Entradas!$E$99</f>
        <v>0</v>
      </c>
      <c r="AI658" s="76">
        <f>IF(Entradas!$E$91&gt;0,D658*Entradas!$D$23/Escenarios!$E$16,0)</f>
        <v>0</v>
      </c>
      <c r="AJ658" s="76">
        <f>IF(Entradas!$E$91&gt;0,Entradas!$D$24*Entradas!$D$22/Escenarios!$E$16,0)</f>
        <v>0</v>
      </c>
      <c r="AK658" s="76">
        <f t="shared" si="150"/>
        <v>2.2641516250752964</v>
      </c>
      <c r="AL658" s="76">
        <f t="shared" si="151"/>
        <v>0</v>
      </c>
      <c r="AM658" s="76">
        <f t="shared" si="142"/>
        <v>0</v>
      </c>
      <c r="AN658" s="76">
        <f>MAX(0,O658*Escenarios!$E$13/Escenarios!$E$16-AM658)</f>
        <v>0.66902158022147384</v>
      </c>
      <c r="AO658" s="76">
        <f>AM658+AN658-O658*Escenarios!$E$13/Escenarios!$E$16</f>
        <v>0</v>
      </c>
      <c r="AP658" s="76">
        <f t="shared" si="140"/>
        <v>0.18927294838552772</v>
      </c>
      <c r="AQ658" s="76">
        <f t="shared" si="143"/>
        <v>0</v>
      </c>
      <c r="AR658" s="76">
        <f t="shared" si="144"/>
        <v>0.85829452860700162</v>
      </c>
      <c r="AS658" s="76">
        <f t="shared" si="145"/>
        <v>0</v>
      </c>
      <c r="AT658" s="76">
        <f t="shared" si="146"/>
        <v>0.11630575824316103</v>
      </c>
      <c r="AU658" s="76">
        <f t="shared" si="147"/>
        <v>48.75</v>
      </c>
      <c r="AV658" s="76">
        <f>MAX(0,(AU658-Constantes!$D$13)*(1-EXP(-Constantes!$D$24)))</f>
        <v>0</v>
      </c>
      <c r="AW658" s="170">
        <f>AW657+(Entradas!$E$112*AT658-AX657)/(800*Entradas!$D$25)</f>
        <v>0</v>
      </c>
      <c r="AX658" s="170">
        <f>8000*Entradas!$D$26*AW658/Constantes!$E$45</f>
        <v>0</v>
      </c>
      <c r="AY658" s="170">
        <f>IF(Escenarios!$E$17&gt;0,10*Escenarios!$E$16*AL658,0)</f>
        <v>0</v>
      </c>
      <c r="AZ658" s="170">
        <f>IF(Escenarios!$E$17&gt;0,10*Escenarios!$E$16*AX658,0)</f>
        <v>0</v>
      </c>
      <c r="BA658" s="170">
        <f>IF(Escenarios!$E$17&gt;0,0.001*Observaciones!$F657*Escenarios!$E$17,0)</f>
        <v>400</v>
      </c>
      <c r="BB658" s="170">
        <f>IF(Escenarios!$E$17&gt;0,Observaciones!$K657,0)</f>
        <v>0</v>
      </c>
      <c r="BC658" s="170">
        <f>IF(Escenarios!$E$17&gt;0,MIN(0.0005*ETo!$M657*Escenarios!$E$17*(BG657/Constantes!$E$40)^(2/3),BG657+AY658+AZ658+BA658+BB658),0)</f>
        <v>5.36277433468784</v>
      </c>
      <c r="BD658" s="170">
        <f>IF(Escenarios!$E$17&gt;0,MIN(Constantes!$E$39*(BG657/Constantes!$E$40)^(2/3),BG657+AY658+AZ658+BA658+BB658-BC658),0)</f>
        <v>9.0546579199828248</v>
      </c>
      <c r="BE658" s="170">
        <f>IF(Escenarios!$E$17&gt;0,MIN(Entradas!$E$113,BG657+AY658+AZ658+BA658+BB658-BC658-BD658),0)</f>
        <v>1</v>
      </c>
      <c r="BF658" s="170">
        <f>IF(Escenarios!$E$17&gt;0,MAX(0,BG657+AY658+AZ658+BA658+BB658-BC658-BD658-BE658-Constantes!$E$40),0)</f>
        <v>0</v>
      </c>
      <c r="BG658" s="170">
        <f t="shared" si="152"/>
        <v>638.43529394620293</v>
      </c>
      <c r="BH658" s="170">
        <f>(Escenarios!$E$16*AK658+0.1*BC658)/(Escenarios!$E$19)</f>
        <v>2.2483102527868764</v>
      </c>
      <c r="BI658" s="170">
        <f>IF(Escenarios!$E$17&gt;0,BF658/10/Escenarios!$E$19,AL658)</f>
        <v>0</v>
      </c>
      <c r="BJ658" s="170">
        <f>(Escenarios!$E$16*AT658+0.1*BD658)/(Escenarios!$E$19)</f>
        <v>0.118975814892018</v>
      </c>
      <c r="BK658" s="76">
        <f>BK657+(0.1*BD658)/(Escenarios!$E$19)-BL657</f>
        <v>49.561710187319711</v>
      </c>
      <c r="BL658" s="76">
        <f>MAX(0,(BK658-Constantes!$D$13)*(1-EXP(-Constantes!$D$23)))</f>
        <v>7.9979738099651126E-3</v>
      </c>
      <c r="BM658" s="76">
        <f t="shared" si="148"/>
        <v>0.19727092219549283</v>
      </c>
      <c r="BN658" s="76">
        <f t="shared" si="153"/>
        <v>0.86629250241696676</v>
      </c>
      <c r="BO658" s="76">
        <f>0.0526*BI658*Observaciones!$F657^1.218</f>
        <v>0</v>
      </c>
      <c r="BP658" s="76">
        <f>BO658*Constantes!$E$51</f>
        <v>0</v>
      </c>
      <c r="BQ658" s="76">
        <f t="shared" si="149"/>
        <v>0</v>
      </c>
      <c r="BR658" s="40"/>
    </row>
    <row r="659" spans="1:70">
      <c r="A659" s="147"/>
      <c r="B659" s="39"/>
      <c r="C659" s="75">
        <v>653</v>
      </c>
      <c r="D659" s="146">
        <f>ETo!$I658*((1-Constantes!$E$19)*ETo!$K658+ETo!$L658)</f>
        <v>4.2501694762687041</v>
      </c>
      <c r="E659" s="76">
        <f>MIN(D659*Constantes!$E$17,0.8*(N658+Observaciones!$F658-F659-M659-Constantes!$D$14))</f>
        <v>2.0779601895059781</v>
      </c>
      <c r="F659" s="76">
        <f>IF(Observaciones!$F658&gt;0.05*Constantes!$E$18,((Observaciones!$F658-0.05*Constantes!$E$18)^2)/(Observaciones!$F658+0.95*Constantes!$E$18),0)</f>
        <v>0</v>
      </c>
      <c r="G659" s="76">
        <f>IF(Escenarios!$E$11&gt;0,(F659*Escenarios!$E$16*10000)/1000,0)</f>
        <v>0</v>
      </c>
      <c r="H659" s="76">
        <f>IF(Escenarios!$E$11&gt;0,(Observaciones!$F658*Constantes!$E$29)/1000,0)</f>
        <v>42</v>
      </c>
      <c r="I659" s="76">
        <f>IF(Escenarios!$E$11&gt;0,(D659*Constantes!$E$29)/1000,0)</f>
        <v>42.501694762687038</v>
      </c>
      <c r="J659" s="76">
        <f>IF(Escenarios!$E$11&gt;0,MAX(0,G659+H659-I659),0)</f>
        <v>0</v>
      </c>
      <c r="K659" s="76">
        <f>IF(Escenarios!$E$11&gt;0,IF(J659&gt;Constantes!$E$30,1000*((J659-Constantes!$E$30)/(Escenarios!$E$16*10000)),0),F659)</f>
        <v>0</v>
      </c>
      <c r="L659" s="76">
        <f>IF(Escenarios!$E$11&gt;0,I659*1000/Escenarios!$E$16/10000+E659,E659)</f>
        <v>2.0949608674110527</v>
      </c>
      <c r="M659" s="76">
        <f>MAX(0,N658+Observaciones!$F658-K659-Constantes!$D$13)</f>
        <v>0</v>
      </c>
      <c r="N659" s="76">
        <f>N658+Observaciones!$F658-K659-L659-M659-O658</f>
        <v>34.913338793913979</v>
      </c>
      <c r="O659" s="76">
        <f>MAX(0,(N659-Constantes!$D$14)*(1-EXP(-Constantes!$D$22)))</f>
        <v>0.80606018921582667</v>
      </c>
      <c r="P659" s="170">
        <f>P658+(Entradas!$E$83*M659-Q658)/(800*Entradas!$D$25)</f>
        <v>0</v>
      </c>
      <c r="Q659" s="170">
        <f>8000*Entradas!$D$26*P659/Constantes!$E$45</f>
        <v>0</v>
      </c>
      <c r="R659" s="170">
        <f>IF(Escenarios!$E$14&gt;0,K659*Escenarios!$E$13/Escenarios!$E$14,0)</f>
        <v>0</v>
      </c>
      <c r="S659" s="170">
        <f>IF(Escenarios!$E$14&gt;0,Q659*Escenarios!$E$13/Escenarios!$E$14,0)</f>
        <v>0</v>
      </c>
      <c r="T659" s="170">
        <f>IF(Escenarios!$E$14&gt;0,Observaciones!$I658,0)</f>
        <v>0</v>
      </c>
      <c r="U659" s="170">
        <f>IF(Escenarios!$E$14&gt;0,MAX(0,Constantes!$E$36/((Z658+R659+S659+T659+Observaciones!$F658)^2)+Entradas!$E$77),0)</f>
        <v>0.93604169820228478</v>
      </c>
      <c r="V659" s="146">
        <f>IF(ETo!D658&gt;0,ETo!I658*((1-Entradas!$E$81)*ETo!K658+ETo!L658),0)</f>
        <v>3.8811798179648758</v>
      </c>
      <c r="W659" s="170">
        <f>IF(Escenarios!$E$14&gt;0,MIN(V659*1,0.8*(Z658+R659+S659+T659+Observaciones!$F658-U659-Constantes!$E$35)),0)</f>
        <v>3.8811798179648758</v>
      </c>
      <c r="X659" s="170">
        <f>IF(Escenarios!$E$14&gt;0,Observaciones!$J658,0)</f>
        <v>0</v>
      </c>
      <c r="Y659" s="170">
        <f>IF(Escenarios!$E$14&gt;0,MAX(0,Z658+R659+S659+T659+Observaciones!$F658-U659-W659-X659-Constantes!$E$33),0)</f>
        <v>0</v>
      </c>
      <c r="Z659" s="170">
        <f>Z658+R659+S659+T659+Observaciones!$F658-U659-W659-Y659</f>
        <v>65.711503662278645</v>
      </c>
      <c r="AA659" s="170">
        <f>IF(Escenarios!$E$14&gt;0,(Escenarios!$E$13*L659+Escenarios!$E$14*W659)/(Escenarios!$E$16),L659)</f>
        <v>2.3093071414775115</v>
      </c>
      <c r="AB659" s="170">
        <f>IF(Escenarios!$E$14&gt;0,(Escenarios!$E$14*Y659)/(Escenarios!$E$16),K659)</f>
        <v>0</v>
      </c>
      <c r="AC659" s="170">
        <f>IF(Escenarios!$E$14&gt;0,(Escenarios!$E$13*M659+Escenarios!$E$14*U659)/(Escenarios!$E$16),M659)</f>
        <v>0.11232500378427418</v>
      </c>
      <c r="AD659" s="76">
        <f t="shared" si="141"/>
        <v>67.882264793398576</v>
      </c>
      <c r="AE659" s="76">
        <f>MAX(0,(AD659-Constantes!$D$13)*(1-EXP(-Constantes!$D$23)))</f>
        <v>0.18851476195979916</v>
      </c>
      <c r="AF659" s="76">
        <f>AB659+O659*Escenarios!$E$13/Escenarios!$E$16+AE659</f>
        <v>0.8978477284697266</v>
      </c>
      <c r="AG659" s="76">
        <f>IF(Entradas!$E$91&gt;0,IF(AF659-Escenarios!$E$38&lt;=0,0,IF(AF659-Escenarios!$E$38&gt;Escenarios!$E$37,Escenarios!$E$37,AF659-Escenarios!$E$38)),0)</f>
        <v>0</v>
      </c>
      <c r="AH659" s="76">
        <f>AG659*Entradas!$E$99</f>
        <v>0</v>
      </c>
      <c r="AI659" s="76">
        <f>IF(Entradas!$E$91&gt;0,D659*Entradas!$D$23/Escenarios!$E$16,0)</f>
        <v>0</v>
      </c>
      <c r="AJ659" s="76">
        <f>IF(Entradas!$E$91&gt;0,Entradas!$D$24*Entradas!$D$22/Escenarios!$E$16,0)</f>
        <v>0</v>
      </c>
      <c r="AK659" s="76">
        <f t="shared" si="150"/>
        <v>2.3093071414775115</v>
      </c>
      <c r="AL659" s="76">
        <f t="shared" si="151"/>
        <v>0</v>
      </c>
      <c r="AM659" s="76">
        <f t="shared" si="142"/>
        <v>0</v>
      </c>
      <c r="AN659" s="76">
        <f>MAX(0,O659*Escenarios!$E$13/Escenarios!$E$16-AM659)</f>
        <v>0.7093329665099275</v>
      </c>
      <c r="AO659" s="76">
        <f>AM659+AN659-O659*Escenarios!$E$13/Escenarios!$E$16</f>
        <v>0</v>
      </c>
      <c r="AP659" s="76">
        <f t="shared" si="140"/>
        <v>0.18851476195979916</v>
      </c>
      <c r="AQ659" s="76">
        <f t="shared" si="143"/>
        <v>0</v>
      </c>
      <c r="AR659" s="76">
        <f t="shared" si="144"/>
        <v>0.8978477284697266</v>
      </c>
      <c r="AS659" s="76">
        <f t="shared" si="145"/>
        <v>0</v>
      </c>
      <c r="AT659" s="76">
        <f t="shared" si="146"/>
        <v>0.11232500378427418</v>
      </c>
      <c r="AU659" s="76">
        <f t="shared" si="147"/>
        <v>48.75</v>
      </c>
      <c r="AV659" s="76">
        <f>MAX(0,(AU659-Constantes!$D$13)*(1-EXP(-Constantes!$D$24)))</f>
        <v>0</v>
      </c>
      <c r="AW659" s="170">
        <f>AW658+(Entradas!$E$112*AT659-AX658)/(800*Entradas!$D$25)</f>
        <v>0</v>
      </c>
      <c r="AX659" s="170">
        <f>8000*Entradas!$D$26*AW659/Constantes!$E$45</f>
        <v>0</v>
      </c>
      <c r="AY659" s="170">
        <f>IF(Escenarios!$E$17&gt;0,10*Escenarios!$E$16*AL659,0)</f>
        <v>0</v>
      </c>
      <c r="AZ659" s="170">
        <f>IF(Escenarios!$E$17&gt;0,10*Escenarios!$E$16*AX659,0)</f>
        <v>0</v>
      </c>
      <c r="BA659" s="170">
        <f>IF(Escenarios!$E$17&gt;0,0.001*Observaciones!$F658*Escenarios!$E$17,0)</f>
        <v>84.000000000000014</v>
      </c>
      <c r="BB659" s="170">
        <f>IF(Escenarios!$E$17&gt;0,Observaciones!$K658,0)</f>
        <v>0</v>
      </c>
      <c r="BC659" s="170">
        <f>IF(Escenarios!$E$17&gt;0,MIN(0.0005*ETo!$M658*Escenarios!$E$17*(BG658/Constantes!$E$40)^(2/3),BG658+AY659+AZ659+BA659+BB659),0)</f>
        <v>10.111677043748537</v>
      </c>
      <c r="BD659" s="170">
        <f>IF(Escenarios!$E$17&gt;0,MIN(Constantes!$E$39*(BG658/Constantes!$E$40)^(2/3),BG658+AY659+AZ659+BA659+BB659-BC659),0)</f>
        <v>16.745395838443574</v>
      </c>
      <c r="BE659" s="170">
        <f>IF(Escenarios!$E$17&gt;0,MIN(Entradas!$E$113,BG658+AY659+AZ659+BA659+BB659-BC659-BD659),0)</f>
        <v>1</v>
      </c>
      <c r="BF659" s="170">
        <f>IF(Escenarios!$E$17&gt;0,MAX(0,BG658+AY659+AZ659+BA659+BB659-BC659-BD659-BE659-Constantes!$E$40),0)</f>
        <v>0</v>
      </c>
      <c r="BG659" s="170">
        <f t="shared" si="152"/>
        <v>694.5782210640109</v>
      </c>
      <c r="BH659" s="170">
        <f>(Escenarios!$E$16*AK659+0.1*BC659)/(Escenarios!$E$19)</f>
        <v>2.2949918772767965</v>
      </c>
      <c r="BI659" s="170">
        <f>IF(Escenarios!$E$17&gt;0,BF659/10/Escenarios!$E$19,AL659)</f>
        <v>0</v>
      </c>
      <c r="BJ659" s="170">
        <f>(Escenarios!$E$16*AT659+0.1*BD659)/(Escenarios!$E$19)</f>
        <v>0.11807853384886072</v>
      </c>
      <c r="BK659" s="76">
        <f>BK658+(0.1*BD659)/(Escenarios!$E$19)-BL658</f>
        <v>49.560357211858339</v>
      </c>
      <c r="BL659" s="76">
        <f>MAX(0,(BK659-Constantes!$D$13)*(1-EXP(-Constantes!$D$23)))</f>
        <v>7.9846426204905584E-3</v>
      </c>
      <c r="BM659" s="76">
        <f t="shared" si="148"/>
        <v>0.19649940458028972</v>
      </c>
      <c r="BN659" s="76">
        <f t="shared" si="153"/>
        <v>0.90583237109021719</v>
      </c>
      <c r="BO659" s="76">
        <f>0.0526*BI659*Observaciones!$F658^1.218</f>
        <v>0</v>
      </c>
      <c r="BP659" s="76">
        <f>BO659*Constantes!$E$51</f>
        <v>0</v>
      </c>
      <c r="BQ659" s="76">
        <f t="shared" si="149"/>
        <v>0</v>
      </c>
      <c r="BR659" s="40"/>
    </row>
    <row r="660" spans="1:70">
      <c r="A660" s="147"/>
      <c r="B660" s="39"/>
      <c r="C660" s="75">
        <v>654</v>
      </c>
      <c r="D660" s="146">
        <f>ETo!$I659*((1-Constantes!$E$19)*ETo!$K659+ETo!$L659)</f>
        <v>4.3330435050352278</v>
      </c>
      <c r="E660" s="76">
        <f>MIN(D660*Constantes!$E$17,0.8*(N659+Observaciones!$F659-F660-M660-Constantes!$D$14))</f>
        <v>2.118478322602166</v>
      </c>
      <c r="F660" s="76">
        <f>IF(Observaciones!$F659&gt;0.05*Constantes!$E$18,((Observaciones!$F659-0.05*Constantes!$E$18)^2)/(Observaciones!$F659+0.95*Constantes!$E$18),0)</f>
        <v>0.35210171807487228</v>
      </c>
      <c r="G660" s="76">
        <f>IF(Escenarios!$E$11&gt;0,(F660*Escenarios!$E$16*10000)/1000,0)</f>
        <v>880.25429518718079</v>
      </c>
      <c r="H660" s="76">
        <f>IF(Escenarios!$E$11&gt;0,(Observaciones!$F659*Constantes!$E$29)/1000,0)</f>
        <v>126</v>
      </c>
      <c r="I660" s="76">
        <f>IF(Escenarios!$E$11&gt;0,(D660*Constantes!$E$29)/1000,0)</f>
        <v>43.330435050352278</v>
      </c>
      <c r="J660" s="76">
        <f>IF(Escenarios!$E$11&gt;0,MAX(0,G660+H660-I660),0)</f>
        <v>962.92386013682847</v>
      </c>
      <c r="K660" s="76">
        <f>IF(Escenarios!$E$11&gt;0,IF(J660&gt;Constantes!$E$30,1000*((J660-Constantes!$E$30)/(Escenarios!$E$16*10000)),0),F660)</f>
        <v>0</v>
      </c>
      <c r="L660" s="76">
        <f>IF(Escenarios!$E$11&gt;0,I660*1000/Escenarios!$E$16/10000+E660,E660)</f>
        <v>2.135810496622307</v>
      </c>
      <c r="M660" s="76">
        <f>MAX(0,N659+Observaciones!$F659-K660-Constantes!$D$13)</f>
        <v>0</v>
      </c>
      <c r="N660" s="76">
        <f>N659+Observaciones!$F659-K660-L660-M660-O659</f>
        <v>44.571468108075848</v>
      </c>
      <c r="O660" s="76">
        <f>MAX(0,(N660-Constantes!$D$14)*(1-EXP(-Constantes!$D$22)))</f>
        <v>1.1350515293747432</v>
      </c>
      <c r="P660" s="170">
        <f>P659+(Entradas!$E$83*M660-Q659)/(800*Entradas!$D$25)</f>
        <v>0</v>
      </c>
      <c r="Q660" s="170">
        <f>8000*Entradas!$D$26*P660/Constantes!$E$45</f>
        <v>0</v>
      </c>
      <c r="R660" s="170">
        <f>IF(Escenarios!$E$14&gt;0,K660*Escenarios!$E$13/Escenarios!$E$14,0)</f>
        <v>0</v>
      </c>
      <c r="S660" s="170">
        <f>IF(Escenarios!$E$14&gt;0,Q660*Escenarios!$E$13/Escenarios!$E$14,0)</f>
        <v>0</v>
      </c>
      <c r="T660" s="170">
        <f>IF(Escenarios!$E$14&gt;0,Observaciones!$I659,0)</f>
        <v>0</v>
      </c>
      <c r="U660" s="170">
        <f>IF(Escenarios!$E$14&gt;0,MAX(0,Constantes!$E$36/((Z659+R660+S660+T660+Observaciones!$F659)^2)+Entradas!$E$77),0)</f>
        <v>1.3258982091629405</v>
      </c>
      <c r="V660" s="146">
        <f>IF(ETo!D659&gt;0,ETo!I659*((1-Entradas!$E$81)*ETo!K659+ETo!L659),0)</f>
        <v>3.9579814294571261</v>
      </c>
      <c r="W660" s="170">
        <f>IF(Escenarios!$E$14&gt;0,MIN(V660*1,0.8*(Z659+R660+S660+T660+Observaciones!$F659-U660-Constantes!$E$35)),0)</f>
        <v>3.9579814294571261</v>
      </c>
      <c r="X660" s="170">
        <f>IF(Escenarios!$E$14&gt;0,Observaciones!$J659,0)</f>
        <v>0</v>
      </c>
      <c r="Y660" s="170">
        <f>IF(Escenarios!$E$14&gt;0,MAX(0,Z659+R660+S660+T660+Observaciones!$F659-U660-W660-X660-Constantes!$E$33),0)</f>
        <v>0</v>
      </c>
      <c r="Z660" s="170">
        <f>Z659+R660+S660+T660+Observaciones!$F659-U660-W660-Y660</f>
        <v>73.027624023658575</v>
      </c>
      <c r="AA660" s="170">
        <f>IF(Escenarios!$E$14&gt;0,(Escenarios!$E$13*L660+Escenarios!$E$14*W660)/(Escenarios!$E$16),L660)</f>
        <v>2.3544710085624851</v>
      </c>
      <c r="AB660" s="170">
        <f>IF(Escenarios!$E$14&gt;0,(Escenarios!$E$14*Y660)/(Escenarios!$E$16),K660)</f>
        <v>0</v>
      </c>
      <c r="AC660" s="170">
        <f>IF(Escenarios!$E$14&gt;0,(Escenarios!$E$13*M660+Escenarios!$E$14*U660)/(Escenarios!$E$16),M660)</f>
        <v>0.15910778509955287</v>
      </c>
      <c r="AD660" s="76">
        <f t="shared" si="141"/>
        <v>67.852857816538332</v>
      </c>
      <c r="AE660" s="76">
        <f>MAX(0,(AD660-Constantes!$D$13)*(1-EXP(-Constantes!$D$23)))</f>
        <v>0.18822500801259898</v>
      </c>
      <c r="AF660" s="76">
        <f>AB660+O660*Escenarios!$E$13/Escenarios!$E$16+AE660</f>
        <v>1.187070353862373</v>
      </c>
      <c r="AG660" s="76">
        <f>IF(Entradas!$E$91&gt;0,IF(AF660-Escenarios!$E$38&lt;=0,0,IF(AF660-Escenarios!$E$38&gt;Escenarios!$E$37,Escenarios!$E$37,AF660-Escenarios!$E$38)),0)</f>
        <v>0</v>
      </c>
      <c r="AH660" s="76">
        <f>AG660*Entradas!$E$99</f>
        <v>0</v>
      </c>
      <c r="AI660" s="76">
        <f>IF(Entradas!$E$91&gt;0,D660*Entradas!$D$23/Escenarios!$E$16,0)</f>
        <v>0</v>
      </c>
      <c r="AJ660" s="76">
        <f>IF(Entradas!$E$91&gt;0,Entradas!$D$24*Entradas!$D$22/Escenarios!$E$16,0)</f>
        <v>0</v>
      </c>
      <c r="AK660" s="76">
        <f t="shared" si="150"/>
        <v>2.3544710085624851</v>
      </c>
      <c r="AL660" s="76">
        <f t="shared" si="151"/>
        <v>0</v>
      </c>
      <c r="AM660" s="76">
        <f t="shared" si="142"/>
        <v>0</v>
      </c>
      <c r="AN660" s="76">
        <f>MAX(0,O660*Escenarios!$E$13/Escenarios!$E$16-AM660)</f>
        <v>0.99884534584977402</v>
      </c>
      <c r="AO660" s="76">
        <f>AM660+AN660-O660*Escenarios!$E$13/Escenarios!$E$16</f>
        <v>0</v>
      </c>
      <c r="AP660" s="76">
        <f t="shared" si="140"/>
        <v>0.18822500801259898</v>
      </c>
      <c r="AQ660" s="76">
        <f t="shared" si="143"/>
        <v>0</v>
      </c>
      <c r="AR660" s="76">
        <f t="shared" si="144"/>
        <v>1.187070353862373</v>
      </c>
      <c r="AS660" s="76">
        <f t="shared" si="145"/>
        <v>0</v>
      </c>
      <c r="AT660" s="76">
        <f t="shared" si="146"/>
        <v>0.15910778509955287</v>
      </c>
      <c r="AU660" s="76">
        <f t="shared" si="147"/>
        <v>48.75</v>
      </c>
      <c r="AV660" s="76">
        <f>MAX(0,(AU660-Constantes!$D$13)*(1-EXP(-Constantes!$D$24)))</f>
        <v>0</v>
      </c>
      <c r="AW660" s="170">
        <f>AW659+(Entradas!$E$112*AT660-AX659)/(800*Entradas!$D$25)</f>
        <v>0</v>
      </c>
      <c r="AX660" s="170">
        <f>8000*Entradas!$D$26*AW660/Constantes!$E$45</f>
        <v>0</v>
      </c>
      <c r="AY660" s="170">
        <f>IF(Escenarios!$E$17&gt;0,10*Escenarios!$E$16*AL660,0)</f>
        <v>0</v>
      </c>
      <c r="AZ660" s="170">
        <f>IF(Escenarios!$E$17&gt;0,10*Escenarios!$E$16*AX660,0)</f>
        <v>0</v>
      </c>
      <c r="BA660" s="170">
        <f>IF(Escenarios!$E$17&gt;0,0.001*Observaciones!$F659*Escenarios!$E$17,0)</f>
        <v>252</v>
      </c>
      <c r="BB660" s="170">
        <f>IF(Escenarios!$E$17&gt;0,Observaciones!$K659,0)</f>
        <v>0</v>
      </c>
      <c r="BC660" s="170">
        <f>IF(Escenarios!$E$17&gt;0,MIN(0.0005*ETo!$M659*Escenarios!$E$17*(BG659/Constantes!$E$40)^(2/3),BG659+AY660+AZ660+BA660+BB660),0)</f>
        <v>10.900767007853998</v>
      </c>
      <c r="BD660" s="170">
        <f>IF(Escenarios!$E$17&gt;0,MIN(Constantes!$E$39*(BG659/Constantes!$E$40)^(2/3),BG659+AY660+AZ660+BA660+BB660-BC660),0)</f>
        <v>17.713250621960661</v>
      </c>
      <c r="BE660" s="170">
        <f>IF(Escenarios!$E$17&gt;0,MIN(Entradas!$E$113,BG659+AY660+AZ660+BA660+BB660-BC660-BD660),0)</f>
        <v>1</v>
      </c>
      <c r="BF660" s="170">
        <f>IF(Escenarios!$E$17&gt;0,MAX(0,BG659+AY660+AZ660+BA660+BB660-BC660-BD660-BE660-Constantes!$E$40),0)</f>
        <v>0</v>
      </c>
      <c r="BG660" s="170">
        <f t="shared" si="152"/>
        <v>916.96420343419618</v>
      </c>
      <c r="BH660" s="170">
        <f>(Escenarios!$E$16*AK660+0.1*BC660)/(Escenarios!$E$19)</f>
        <v>2.3401104319103441</v>
      </c>
      <c r="BI660" s="170">
        <f>IF(Escenarios!$E$17&gt;0,BF660/10/Escenarios!$E$19,AL660)</f>
        <v>0</v>
      </c>
      <c r="BJ660" s="170">
        <f>(Escenarios!$E$16*AT660+0.1*BD660)/(Escenarios!$E$19)</f>
        <v>0.16487409260747732</v>
      </c>
      <c r="BK660" s="76">
        <f>BK659+(0.1*BD660)/(Escenarios!$E$19)-BL659</f>
        <v>49.559401636944976</v>
      </c>
      <c r="BL660" s="76">
        <f>MAX(0,(BK660-Constantes!$D$13)*(1-EXP(-Constantes!$D$23)))</f>
        <v>7.9752271132689841E-3</v>
      </c>
      <c r="BM660" s="76">
        <f t="shared" si="148"/>
        <v>0.19620023512586796</v>
      </c>
      <c r="BN660" s="76">
        <f t="shared" si="153"/>
        <v>1.195045580975642</v>
      </c>
      <c r="BO660" s="76">
        <f>0.0526*BI660*Observaciones!$F659^1.218</f>
        <v>0</v>
      </c>
      <c r="BP660" s="76">
        <f>BO660*Constantes!$E$51</f>
        <v>0</v>
      </c>
      <c r="BQ660" s="76">
        <f t="shared" si="149"/>
        <v>0</v>
      </c>
      <c r="BR660" s="40"/>
    </row>
    <row r="661" spans="1:70">
      <c r="A661" s="147"/>
      <c r="B661" s="39"/>
      <c r="C661" s="75">
        <v>655</v>
      </c>
      <c r="D661" s="146">
        <f>ETo!$I660*((1-Constantes!$E$19)*ETo!$K660+ETo!$L660)</f>
        <v>4.3406426276999621</v>
      </c>
      <c r="E661" s="76">
        <f>MIN(D661*Constantes!$E$17,0.8*(N660+Observaciones!$F660-F661-M661-Constantes!$D$14))</f>
        <v>2.1221936272413475</v>
      </c>
      <c r="F661" s="76">
        <f>IF(Observaciones!$F660&gt;0.05*Constantes!$E$18,((Observaciones!$F660-0.05*Constantes!$E$18)^2)/(Observaciones!$F660+0.95*Constantes!$E$18),0)</f>
        <v>0</v>
      </c>
      <c r="G661" s="76">
        <f>IF(Escenarios!$E$11&gt;0,(F661*Escenarios!$E$16*10000)/1000,0)</f>
        <v>0</v>
      </c>
      <c r="H661" s="76">
        <f>IF(Escenarios!$E$11&gt;0,(Observaciones!$F660*Constantes!$E$29)/1000,0)</f>
        <v>0</v>
      </c>
      <c r="I661" s="76">
        <f>IF(Escenarios!$E$11&gt;0,(D661*Constantes!$E$29)/1000,0)</f>
        <v>43.406426276999618</v>
      </c>
      <c r="J661" s="76">
        <f>IF(Escenarios!$E$11&gt;0,MAX(0,G661+H661-I661),0)</f>
        <v>0</v>
      </c>
      <c r="K661" s="76">
        <f>IF(Escenarios!$E$11&gt;0,IF(J661&gt;Constantes!$E$30,1000*((J661-Constantes!$E$30)/(Escenarios!$E$16*10000)),0),F661)</f>
        <v>0</v>
      </c>
      <c r="L661" s="76">
        <f>IF(Escenarios!$E$11&gt;0,I661*1000/Escenarios!$E$16/10000+E661,E661)</f>
        <v>2.1395561977521473</v>
      </c>
      <c r="M661" s="76">
        <f>MAX(0,N660+Observaciones!$F660-K661-Constantes!$D$13)</f>
        <v>0</v>
      </c>
      <c r="N661" s="76">
        <f>N660+Observaciones!$F660-K661-L661-M661-O660</f>
        <v>41.296860380948957</v>
      </c>
      <c r="O661" s="76">
        <f>MAX(0,(N661-Constantes!$D$14)*(1-EXP(-Constantes!$D$22)))</f>
        <v>1.0235063688577337</v>
      </c>
      <c r="P661" s="170">
        <f>P660+(Entradas!$E$83*M661-Q660)/(800*Entradas!$D$25)</f>
        <v>0</v>
      </c>
      <c r="Q661" s="170">
        <f>8000*Entradas!$D$26*P661/Constantes!$E$45</f>
        <v>0</v>
      </c>
      <c r="R661" s="170">
        <f>IF(Escenarios!$E$14&gt;0,K661*Escenarios!$E$13/Escenarios!$E$14,0)</f>
        <v>0</v>
      </c>
      <c r="S661" s="170">
        <f>IF(Escenarios!$E$14&gt;0,Q661*Escenarios!$E$13/Escenarios!$E$14,0)</f>
        <v>0</v>
      </c>
      <c r="T661" s="170">
        <f>IF(Escenarios!$E$14&gt;0,Observaciones!$I660,0)</f>
        <v>0</v>
      </c>
      <c r="U661" s="170">
        <f>IF(Escenarios!$E$14&gt;0,MAX(0,Constantes!$E$36/((Z660+R661+S661+T661+Observaciones!$F660)^2)+Entradas!$E$77),0)</f>
        <v>1.0748762807015839</v>
      </c>
      <c r="V661" s="146">
        <f>IF(ETo!D660&gt;0,ETo!I660*((1-Entradas!$E$81)*ETo!K660+ETo!L660),0)</f>
        <v>3.9650967128510715</v>
      </c>
      <c r="W661" s="170">
        <f>IF(Escenarios!$E$14&gt;0,MIN(V661*1,0.8*(Z660+R661+S661+T661+Observaciones!$F660-U661-Constantes!$E$35)),0)</f>
        <v>3.9650967128510715</v>
      </c>
      <c r="X661" s="170">
        <f>IF(Escenarios!$E$14&gt;0,Observaciones!$J660,0)</f>
        <v>0</v>
      </c>
      <c r="Y661" s="170">
        <f>IF(Escenarios!$E$14&gt;0,MAX(0,Z660+R661+S661+T661+Observaciones!$F660-U661-W661-X661-Constantes!$E$33),0)</f>
        <v>0</v>
      </c>
      <c r="Z661" s="170">
        <f>Z660+R661+S661+T661+Observaciones!$F660-U661-W661-Y661</f>
        <v>67.987651030105923</v>
      </c>
      <c r="AA661" s="170">
        <f>IF(Escenarios!$E$14&gt;0,(Escenarios!$E$13*L661+Escenarios!$E$14*W661)/(Escenarios!$E$16),L661)</f>
        <v>2.358621059564018</v>
      </c>
      <c r="AB661" s="170">
        <f>IF(Escenarios!$E$14&gt;0,(Escenarios!$E$14*Y661)/(Escenarios!$E$16),K661)</f>
        <v>0</v>
      </c>
      <c r="AC661" s="170">
        <f>IF(Escenarios!$E$14&gt;0,(Escenarios!$E$13*M661+Escenarios!$E$14*U661)/(Escenarios!$E$16),M661)</f>
        <v>0.12898515368419006</v>
      </c>
      <c r="AD661" s="76">
        <f t="shared" si="141"/>
        <v>67.793617962209922</v>
      </c>
      <c r="AE661" s="76">
        <f>MAX(0,(AD661-Constantes!$D$13)*(1-EXP(-Constantes!$D$23)))</f>
        <v>0.18764130361806713</v>
      </c>
      <c r="AF661" s="76">
        <f>AB661+O661*Escenarios!$E$13/Escenarios!$E$16+AE661</f>
        <v>1.0883269082128728</v>
      </c>
      <c r="AG661" s="76">
        <f>IF(Entradas!$E$91&gt;0,IF(AF661-Escenarios!$E$38&lt;=0,0,IF(AF661-Escenarios!$E$38&gt;Escenarios!$E$37,Escenarios!$E$37,AF661-Escenarios!$E$38)),0)</f>
        <v>0</v>
      </c>
      <c r="AH661" s="76">
        <f>AG661*Entradas!$E$99</f>
        <v>0</v>
      </c>
      <c r="AI661" s="76">
        <f>IF(Entradas!$E$91&gt;0,D661*Entradas!$D$23/Escenarios!$E$16,0)</f>
        <v>0</v>
      </c>
      <c r="AJ661" s="76">
        <f>IF(Entradas!$E$91&gt;0,Entradas!$D$24*Entradas!$D$22/Escenarios!$E$16,0)</f>
        <v>0</v>
      </c>
      <c r="AK661" s="76">
        <f t="shared" si="150"/>
        <v>2.358621059564018</v>
      </c>
      <c r="AL661" s="76">
        <f t="shared" si="151"/>
        <v>0</v>
      </c>
      <c r="AM661" s="76">
        <f t="shared" si="142"/>
        <v>0</v>
      </c>
      <c r="AN661" s="76">
        <f>MAX(0,O661*Escenarios!$E$13/Escenarios!$E$16-AM661)</f>
        <v>0.90068560459480573</v>
      </c>
      <c r="AO661" s="76">
        <f>AM661+AN661-O661*Escenarios!$E$13/Escenarios!$E$16</f>
        <v>0</v>
      </c>
      <c r="AP661" s="76">
        <f t="shared" si="140"/>
        <v>0.18764130361806713</v>
      </c>
      <c r="AQ661" s="76">
        <f t="shared" si="143"/>
        <v>0</v>
      </c>
      <c r="AR661" s="76">
        <f t="shared" si="144"/>
        <v>1.0883269082128728</v>
      </c>
      <c r="AS661" s="76">
        <f t="shared" si="145"/>
        <v>0</v>
      </c>
      <c r="AT661" s="76">
        <f t="shared" si="146"/>
        <v>0.12898515368419006</v>
      </c>
      <c r="AU661" s="76">
        <f t="shared" si="147"/>
        <v>48.75</v>
      </c>
      <c r="AV661" s="76">
        <f>MAX(0,(AU661-Constantes!$D$13)*(1-EXP(-Constantes!$D$24)))</f>
        <v>0</v>
      </c>
      <c r="AW661" s="170">
        <f>AW660+(Entradas!$E$112*AT661-AX660)/(800*Entradas!$D$25)</f>
        <v>0</v>
      </c>
      <c r="AX661" s="170">
        <f>8000*Entradas!$D$26*AW661/Constantes!$E$45</f>
        <v>0</v>
      </c>
      <c r="AY661" s="170">
        <f>IF(Escenarios!$E$17&gt;0,10*Escenarios!$E$16*AL661,0)</f>
        <v>0</v>
      </c>
      <c r="AZ661" s="170">
        <f>IF(Escenarios!$E$17&gt;0,10*Escenarios!$E$16*AX661,0)</f>
        <v>0</v>
      </c>
      <c r="BA661" s="170">
        <f>IF(Escenarios!$E$17&gt;0,0.001*Observaciones!$F660*Escenarios!$E$17,0)</f>
        <v>0</v>
      </c>
      <c r="BB661" s="170">
        <f>IF(Escenarios!$E$17&gt;0,Observaciones!$K660,0)</f>
        <v>0</v>
      </c>
      <c r="BC661" s="170">
        <f>IF(Escenarios!$E$17&gt;0,MIN(0.0005*ETo!$M660*Escenarios!$E$17*(BG660/Constantes!$E$40)^(2/3),BG660+AY661+AZ661+BA661+BB661),0)</f>
        <v>13.140586557885047</v>
      </c>
      <c r="BD661" s="170">
        <f>IF(Escenarios!$E$17&gt;0,MIN(Constantes!$E$39*(BG660/Constantes!$E$40)^(2/3),BG660+AY661+AZ661+BA661+BB661-BC661),0)</f>
        <v>21.316656207266981</v>
      </c>
      <c r="BE661" s="170">
        <f>IF(Escenarios!$E$17&gt;0,MIN(Entradas!$E$113,BG660+AY661+AZ661+BA661+BB661-BC661-BD661),0)</f>
        <v>1</v>
      </c>
      <c r="BF661" s="170">
        <f>IF(Escenarios!$E$17&gt;0,MAX(0,BG660+AY661+AZ661+BA661+BB661-BC661-BD661-BE661-Constantes!$E$40),0)</f>
        <v>0</v>
      </c>
      <c r="BG661" s="170">
        <f t="shared" si="152"/>
        <v>881.50696066904413</v>
      </c>
      <c r="BH661" s="170">
        <f>(Escenarios!$E$16*AK661+0.1*BC661)/(Escenarios!$E$19)</f>
        <v>2.3451163632809249</v>
      </c>
      <c r="BI661" s="170">
        <f>IF(Escenarios!$E$17&gt;0,BF661/10/Escenarios!$E$19,AL661)</f>
        <v>0</v>
      </c>
      <c r="BJ661" s="170">
        <f>(Escenarios!$E$16*AT661+0.1*BD661)/(Escenarios!$E$19)</f>
        <v>0.13642045254672308</v>
      </c>
      <c r="BK661" s="76">
        <f>BK660+(0.1*BD661)/(Escenarios!$E$19)-BL660</f>
        <v>49.559885400390144</v>
      </c>
      <c r="BL661" s="76">
        <f>MAX(0,(BK661-Constantes!$D$13)*(1-EXP(-Constantes!$D$23)))</f>
        <v>7.9799937497176954E-3</v>
      </c>
      <c r="BM661" s="76">
        <f t="shared" si="148"/>
        <v>0.19562129736778483</v>
      </c>
      <c r="BN661" s="76">
        <f t="shared" si="153"/>
        <v>1.0963069019625906</v>
      </c>
      <c r="BO661" s="76">
        <f>0.0526*BI661*Observaciones!$F660^1.218</f>
        <v>0</v>
      </c>
      <c r="BP661" s="76">
        <f>BO661*Constantes!$E$51</f>
        <v>0</v>
      </c>
      <c r="BQ661" s="76">
        <f t="shared" si="149"/>
        <v>0</v>
      </c>
      <c r="BR661" s="40"/>
    </row>
    <row r="662" spans="1:70">
      <c r="A662" s="147"/>
      <c r="B662" s="39"/>
      <c r="C662" s="75">
        <v>656</v>
      </c>
      <c r="D662" s="146">
        <f>ETo!$I661*((1-Constantes!$E$19)*ETo!$K661+ETo!$L661)</f>
        <v>4.2283201407663853</v>
      </c>
      <c r="E662" s="76">
        <f>MIN(D662*Constantes!$E$17,0.8*(N661+Observaciones!$F661-F662-M662-Constantes!$D$14))</f>
        <v>2.0672777803468878</v>
      </c>
      <c r="F662" s="76">
        <f>IF(Observaciones!$F661&gt;0.05*Constantes!$E$18,((Observaciones!$F661-0.05*Constantes!$E$18)^2)/(Observaciones!$F661+0.95*Constantes!$E$18),0)</f>
        <v>0</v>
      </c>
      <c r="G662" s="76">
        <f>IF(Escenarios!$E$11&gt;0,(F662*Escenarios!$E$16*10000)/1000,0)</f>
        <v>0</v>
      </c>
      <c r="H662" s="76">
        <f>IF(Escenarios!$E$11&gt;0,(Observaciones!$F661*Constantes!$E$29)/1000,0)</f>
        <v>0</v>
      </c>
      <c r="I662" s="76">
        <f>IF(Escenarios!$E$11&gt;0,(D662*Constantes!$E$29)/1000,0)</f>
        <v>42.283201407663853</v>
      </c>
      <c r="J662" s="76">
        <f>IF(Escenarios!$E$11&gt;0,MAX(0,G662+H662-I662),0)</f>
        <v>0</v>
      </c>
      <c r="K662" s="76">
        <f>IF(Escenarios!$E$11&gt;0,IF(J662&gt;Constantes!$E$30,1000*((J662-Constantes!$E$30)/(Escenarios!$E$16*10000)),0),F662)</f>
        <v>0</v>
      </c>
      <c r="L662" s="76">
        <f>IF(Escenarios!$E$11&gt;0,I662*1000/Escenarios!$E$16/10000+E662,E662)</f>
        <v>2.0841910609099532</v>
      </c>
      <c r="M662" s="76">
        <f>MAX(0,N661+Observaciones!$F661-K662-Constantes!$D$13)</f>
        <v>0</v>
      </c>
      <c r="N662" s="76">
        <f>N661+Observaciones!$F661-K662-L662-M662-O661</f>
        <v>38.189162951181274</v>
      </c>
      <c r="O662" s="76">
        <f>MAX(0,(N662-Constantes!$D$14)*(1-EXP(-Constantes!$D$22)))</f>
        <v>0.91764678580902459</v>
      </c>
      <c r="P662" s="170">
        <f>P661+(Entradas!$E$83*M662-Q661)/(800*Entradas!$D$25)</f>
        <v>0</v>
      </c>
      <c r="Q662" s="170">
        <f>8000*Entradas!$D$26*P662/Constantes!$E$45</f>
        <v>0</v>
      </c>
      <c r="R662" s="170">
        <f>IF(Escenarios!$E$14&gt;0,K662*Escenarios!$E$13/Escenarios!$E$14,0)</f>
        <v>0</v>
      </c>
      <c r="S662" s="170">
        <f>IF(Escenarios!$E$14&gt;0,Q662*Escenarios!$E$13/Escenarios!$E$14,0)</f>
        <v>0</v>
      </c>
      <c r="T662" s="170">
        <f>IF(Escenarios!$E$14&gt;0,Observaciones!$I661,0)</f>
        <v>0</v>
      </c>
      <c r="U662" s="170">
        <f>IF(Escenarios!$E$14&gt;0,MAX(0,Constantes!$E$36/((Z661+R662+S662+T662+Observaciones!$F661)^2)+Entradas!$E$77),0)</f>
        <v>0.77887544313935564</v>
      </c>
      <c r="V662" s="146">
        <f>IF(ETo!D661&gt;0,ETo!I661*((1-Entradas!$E$81)*ETo!K661+ETo!L661),0)</f>
        <v>3.8612511691061506</v>
      </c>
      <c r="W662" s="170">
        <f>IF(Escenarios!$E$14&gt;0,MIN(V662*1,0.8*(Z661+R662+S662+T662+Observaciones!$F661-U662-Constantes!$E$35)),0)</f>
        <v>3.8612511691061506</v>
      </c>
      <c r="X662" s="170">
        <f>IF(Escenarios!$E$14&gt;0,Observaciones!$J661,0)</f>
        <v>0</v>
      </c>
      <c r="Y662" s="170">
        <f>IF(Escenarios!$E$14&gt;0,MAX(0,Z661+R662+S662+T662+Observaciones!$F661-U662-W662-X662-Constantes!$E$33),0)</f>
        <v>0</v>
      </c>
      <c r="Z662" s="170">
        <f>Z661+R662+S662+T662+Observaciones!$F661-U662-W662-Y662</f>
        <v>63.347524417860413</v>
      </c>
      <c r="AA662" s="170">
        <f>IF(Escenarios!$E$14&gt;0,(Escenarios!$E$13*L662+Escenarios!$E$14*W662)/(Escenarios!$E$16),L662)</f>
        <v>2.2974382738934969</v>
      </c>
      <c r="AB662" s="170">
        <f>IF(Escenarios!$E$14&gt;0,(Escenarios!$E$14*Y662)/(Escenarios!$E$16),K662)</f>
        <v>0</v>
      </c>
      <c r="AC662" s="170">
        <f>IF(Escenarios!$E$14&gt;0,(Escenarios!$E$13*M662+Escenarios!$E$14*U662)/(Escenarios!$E$16),M662)</f>
        <v>9.3465053176722671E-2</v>
      </c>
      <c r="AD662" s="76">
        <f t="shared" si="141"/>
        <v>67.699441711768586</v>
      </c>
      <c r="AE662" s="76">
        <f>MAX(0,(AD662-Constantes!$D$13)*(1-EXP(-Constantes!$D$23)))</f>
        <v>0.1867133625914334</v>
      </c>
      <c r="AF662" s="76">
        <f>AB662+O662*Escenarios!$E$13/Escenarios!$E$16+AE662</f>
        <v>0.99424253410337493</v>
      </c>
      <c r="AG662" s="76">
        <f>IF(Entradas!$E$91&gt;0,IF(AF662-Escenarios!$E$38&lt;=0,0,IF(AF662-Escenarios!$E$38&gt;Escenarios!$E$37,Escenarios!$E$37,AF662-Escenarios!$E$38)),0)</f>
        <v>0</v>
      </c>
      <c r="AH662" s="76">
        <f>AG662*Entradas!$E$99</f>
        <v>0</v>
      </c>
      <c r="AI662" s="76">
        <f>IF(Entradas!$E$91&gt;0,D662*Entradas!$D$23/Escenarios!$E$16,0)</f>
        <v>0</v>
      </c>
      <c r="AJ662" s="76">
        <f>IF(Entradas!$E$91&gt;0,Entradas!$D$24*Entradas!$D$22/Escenarios!$E$16,0)</f>
        <v>0</v>
      </c>
      <c r="AK662" s="76">
        <f t="shared" si="150"/>
        <v>2.2974382738934969</v>
      </c>
      <c r="AL662" s="76">
        <f t="shared" si="151"/>
        <v>0</v>
      </c>
      <c r="AM662" s="76">
        <f t="shared" si="142"/>
        <v>0</v>
      </c>
      <c r="AN662" s="76">
        <f>MAX(0,O662*Escenarios!$E$13/Escenarios!$E$16-AM662)</f>
        <v>0.80752917151194159</v>
      </c>
      <c r="AO662" s="76">
        <f>AM662+AN662-O662*Escenarios!$E$13/Escenarios!$E$16</f>
        <v>0</v>
      </c>
      <c r="AP662" s="76">
        <f t="shared" si="140"/>
        <v>0.1867133625914334</v>
      </c>
      <c r="AQ662" s="76">
        <f t="shared" si="143"/>
        <v>0</v>
      </c>
      <c r="AR662" s="76">
        <f t="shared" si="144"/>
        <v>0.99424253410337493</v>
      </c>
      <c r="AS662" s="76">
        <f t="shared" si="145"/>
        <v>0</v>
      </c>
      <c r="AT662" s="76">
        <f t="shared" si="146"/>
        <v>9.3465053176722671E-2</v>
      </c>
      <c r="AU662" s="76">
        <f t="shared" si="147"/>
        <v>48.75</v>
      </c>
      <c r="AV662" s="76">
        <f>MAX(0,(AU662-Constantes!$D$13)*(1-EXP(-Constantes!$D$24)))</f>
        <v>0</v>
      </c>
      <c r="AW662" s="170">
        <f>AW661+(Entradas!$E$112*AT662-AX661)/(800*Entradas!$D$25)</f>
        <v>0</v>
      </c>
      <c r="AX662" s="170">
        <f>8000*Entradas!$D$26*AW662/Constantes!$E$45</f>
        <v>0</v>
      </c>
      <c r="AY662" s="170">
        <f>IF(Escenarios!$E$17&gt;0,10*Escenarios!$E$16*AL662,0)</f>
        <v>0</v>
      </c>
      <c r="AZ662" s="170">
        <f>IF(Escenarios!$E$17&gt;0,10*Escenarios!$E$16*AX662,0)</f>
        <v>0</v>
      </c>
      <c r="BA662" s="170">
        <f>IF(Escenarios!$E$17&gt;0,0.001*Observaciones!$F661*Escenarios!$E$17,0)</f>
        <v>0</v>
      </c>
      <c r="BB662" s="170">
        <f>IF(Escenarios!$E$17&gt;0,Observaciones!$K661,0)</f>
        <v>0</v>
      </c>
      <c r="BC662" s="170">
        <f>IF(Escenarios!$E$17&gt;0,MIN(0.0005*ETo!$M661*Escenarios!$E$17*(BG661/Constantes!$E$40)^(2/3),BG661+AY662+AZ662+BA662+BB662),0)</f>
        <v>12.473471193908859</v>
      </c>
      <c r="BD662" s="170">
        <f>IF(Escenarios!$E$17&gt;0,MIN(Constantes!$E$39*(BG661/Constantes!$E$40)^(2/3),BG661+AY662+AZ662+BA662+BB662-BC662),0)</f>
        <v>20.763536405873225</v>
      </c>
      <c r="BE662" s="170">
        <f>IF(Escenarios!$E$17&gt;0,MIN(Entradas!$E$113,BG661+AY662+AZ662+BA662+BB662-BC662-BD662),0)</f>
        <v>1</v>
      </c>
      <c r="BF662" s="170">
        <f>IF(Escenarios!$E$17&gt;0,MAX(0,BG661+AY662+AZ662+BA662+BB662-BC662-BD662-BE662-Constantes!$E$40),0)</f>
        <v>0</v>
      </c>
      <c r="BG662" s="170">
        <f t="shared" si="152"/>
        <v>847.2699530692621</v>
      </c>
      <c r="BH662" s="170">
        <f>(Escenarios!$E$16*AK662+0.1*BC662)/(Escenarios!$E$19)</f>
        <v>2.2841544269554168</v>
      </c>
      <c r="BI662" s="170">
        <f>IF(Escenarios!$E$17&gt;0,BF662/10/Escenarios!$E$19,AL662)</f>
        <v>0</v>
      </c>
      <c r="BJ662" s="170">
        <f>(Escenarios!$E$16*AT662+0.1*BD662)/(Escenarios!$E$19)</f>
        <v>0.10096276561415869</v>
      </c>
      <c r="BK662" s="76">
        <f>BK661+(0.1*BD662)/(Escenarios!$E$19)-BL661</f>
        <v>49.560144905214187</v>
      </c>
      <c r="BL662" s="76">
        <f>MAX(0,(BK662-Constantes!$D$13)*(1-EXP(-Constantes!$D$23)))</f>
        <v>7.9825507125582326E-3</v>
      </c>
      <c r="BM662" s="76">
        <f t="shared" si="148"/>
        <v>0.19469591330399164</v>
      </c>
      <c r="BN662" s="76">
        <f t="shared" si="153"/>
        <v>1.0022250848159331</v>
      </c>
      <c r="BO662" s="76">
        <f>0.0526*BI662*Observaciones!$F661^1.218</f>
        <v>0</v>
      </c>
      <c r="BP662" s="76">
        <f>BO662*Constantes!$E$51</f>
        <v>0</v>
      </c>
      <c r="BQ662" s="76">
        <f t="shared" si="149"/>
        <v>0</v>
      </c>
      <c r="BR662" s="40"/>
    </row>
    <row r="663" spans="1:70">
      <c r="A663" s="147"/>
      <c r="B663" s="39"/>
      <c r="C663" s="75">
        <v>657</v>
      </c>
      <c r="D663" s="146">
        <f>ETo!$I662*((1-Constantes!$E$19)*ETo!$K662+ETo!$L662)</f>
        <v>4.2618349954726273</v>
      </c>
      <c r="E663" s="76">
        <f>MIN(D663*Constantes!$E$17,0.8*(N662+Observaciones!$F662-F663-M663-Constantes!$D$14))</f>
        <v>2.0836636054829221</v>
      </c>
      <c r="F663" s="76">
        <f>IF(Observaciones!$F662&gt;0.05*Constantes!$E$18,((Observaciones!$F662-0.05*Constantes!$E$18)^2)/(Observaciones!$F662+0.95*Constantes!$E$18),0)</f>
        <v>4.9469534717427641E-2</v>
      </c>
      <c r="G663" s="76">
        <f>IF(Escenarios!$E$11&gt;0,(F663*Escenarios!$E$16*10000)/1000,0)</f>
        <v>123.67383679356911</v>
      </c>
      <c r="H663" s="76">
        <f>IF(Escenarios!$E$11&gt;0,(Observaciones!$F662*Constantes!$E$29)/1000,0)</f>
        <v>84</v>
      </c>
      <c r="I663" s="76">
        <f>IF(Escenarios!$E$11&gt;0,(D663*Constantes!$E$29)/1000,0)</f>
        <v>42.618349954726277</v>
      </c>
      <c r="J663" s="76">
        <f>IF(Escenarios!$E$11&gt;0,MAX(0,G663+H663-I663),0)</f>
        <v>165.05548683884282</v>
      </c>
      <c r="K663" s="76">
        <f>IF(Escenarios!$E$11&gt;0,IF(J663&gt;Constantes!$E$30,1000*((J663-Constantes!$E$30)/(Escenarios!$E$16*10000)),0),F663)</f>
        <v>0</v>
      </c>
      <c r="L663" s="76">
        <f>IF(Escenarios!$E$11&gt;0,I663*1000/Escenarios!$E$16/10000+E663,E663)</f>
        <v>2.1007109454648125</v>
      </c>
      <c r="M663" s="76">
        <f>MAX(0,N662+Observaciones!$F662-K663-Constantes!$D$13)</f>
        <v>0</v>
      </c>
      <c r="N663" s="76">
        <f>N662+Observaciones!$F662-K663-L663-M663-O662</f>
        <v>43.570805219907434</v>
      </c>
      <c r="O663" s="76">
        <f>MAX(0,(N663-Constantes!$D$14)*(1-EXP(-Constantes!$D$22)))</f>
        <v>1.1009652778950603</v>
      </c>
      <c r="P663" s="170">
        <f>P662+(Entradas!$E$83*M663-Q662)/(800*Entradas!$D$25)</f>
        <v>0</v>
      </c>
      <c r="Q663" s="170">
        <f>8000*Entradas!$D$26*P663/Constantes!$E$45</f>
        <v>0</v>
      </c>
      <c r="R663" s="170">
        <f>IF(Escenarios!$E$14&gt;0,K663*Escenarios!$E$13/Escenarios!$E$14,0)</f>
        <v>0</v>
      </c>
      <c r="S663" s="170">
        <f>IF(Escenarios!$E$14&gt;0,Q663*Escenarios!$E$13/Escenarios!$E$14,0)</f>
        <v>0</v>
      </c>
      <c r="T663" s="170">
        <f>IF(Escenarios!$E$14&gt;0,Observaciones!$I662,0)</f>
        <v>0</v>
      </c>
      <c r="U663" s="170">
        <f>IF(Escenarios!$E$14&gt;0,MAX(0,Constantes!$E$36/((Z662+R663+S663+T663+Observaciones!$F662)^2)+Entradas!$E$77),0)</f>
        <v>1.0055684052597904</v>
      </c>
      <c r="V663" s="146">
        <f>IF(ETo!D662&gt;0,ETo!I662*((1-Entradas!$E$81)*ETo!K662+ETo!L662),0)</f>
        <v>3.8923089944749893</v>
      </c>
      <c r="W663" s="170">
        <f>IF(Escenarios!$E$14&gt;0,MIN(V663*1,0.8*(Z662+R663+S663+T663+Observaciones!$F662-U663-Constantes!$E$35)),0)</f>
        <v>3.8923089944749893</v>
      </c>
      <c r="X663" s="170">
        <f>IF(Escenarios!$E$14&gt;0,Observaciones!$J662,0)</f>
        <v>0</v>
      </c>
      <c r="Y663" s="170">
        <f>IF(Escenarios!$E$14&gt;0,MAX(0,Z662+R663+S663+T663+Observaciones!$F662-U663-W663-X663-Constantes!$E$33),0)</f>
        <v>0</v>
      </c>
      <c r="Z663" s="170">
        <f>Z662+R663+S663+T663+Observaciones!$F662-U663-W663-Y663</f>
        <v>66.849647018125637</v>
      </c>
      <c r="AA663" s="170">
        <f>IF(Escenarios!$E$14&gt;0,(Escenarios!$E$13*L663+Escenarios!$E$14*W663)/(Escenarios!$E$16),L663)</f>
        <v>2.3157027113460336</v>
      </c>
      <c r="AB663" s="170">
        <f>IF(Escenarios!$E$14&gt;0,(Escenarios!$E$14*Y663)/(Escenarios!$E$16),K663)</f>
        <v>0</v>
      </c>
      <c r="AC663" s="170">
        <f>IF(Escenarios!$E$14&gt;0,(Escenarios!$E$13*M663+Escenarios!$E$14*U663)/(Escenarios!$E$16),M663)</f>
        <v>0.12066820863117485</v>
      </c>
      <c r="AD663" s="76">
        <f t="shared" si="141"/>
        <v>67.633396557808325</v>
      </c>
      <c r="AE663" s="76">
        <f>MAX(0,(AD663-Constantes!$D$13)*(1-EXP(-Constantes!$D$23)))</f>
        <v>0.18606260395873286</v>
      </c>
      <c r="AF663" s="76">
        <f>AB663+O663*Escenarios!$E$13/Escenarios!$E$16+AE663</f>
        <v>1.154912048506386</v>
      </c>
      <c r="AG663" s="76">
        <f>IF(Entradas!$E$91&gt;0,IF(AF663-Escenarios!$E$38&lt;=0,0,IF(AF663-Escenarios!$E$38&gt;Escenarios!$E$37,Escenarios!$E$37,AF663-Escenarios!$E$38)),0)</f>
        <v>0</v>
      </c>
      <c r="AH663" s="76">
        <f>AG663*Entradas!$E$99</f>
        <v>0</v>
      </c>
      <c r="AI663" s="76">
        <f>IF(Entradas!$E$91&gt;0,D663*Entradas!$D$23/Escenarios!$E$16,0)</f>
        <v>0</v>
      </c>
      <c r="AJ663" s="76">
        <f>IF(Entradas!$E$91&gt;0,Entradas!$D$24*Entradas!$D$22/Escenarios!$E$16,0)</f>
        <v>0</v>
      </c>
      <c r="AK663" s="76">
        <f t="shared" si="150"/>
        <v>2.3157027113460336</v>
      </c>
      <c r="AL663" s="76">
        <f t="shared" si="151"/>
        <v>0</v>
      </c>
      <c r="AM663" s="76">
        <f t="shared" si="142"/>
        <v>0</v>
      </c>
      <c r="AN663" s="76">
        <f>MAX(0,O663*Escenarios!$E$13/Escenarios!$E$16-AM663)</f>
        <v>0.96884944454765309</v>
      </c>
      <c r="AO663" s="76">
        <f>AM663+AN663-O663*Escenarios!$E$13/Escenarios!$E$16</f>
        <v>0</v>
      </c>
      <c r="AP663" s="76">
        <f t="shared" si="140"/>
        <v>0.18606260395873286</v>
      </c>
      <c r="AQ663" s="76">
        <f t="shared" si="143"/>
        <v>0</v>
      </c>
      <c r="AR663" s="76">
        <f t="shared" si="144"/>
        <v>1.154912048506386</v>
      </c>
      <c r="AS663" s="76">
        <f t="shared" si="145"/>
        <v>0</v>
      </c>
      <c r="AT663" s="76">
        <f t="shared" si="146"/>
        <v>0.12066820863117485</v>
      </c>
      <c r="AU663" s="76">
        <f t="shared" si="147"/>
        <v>48.75</v>
      </c>
      <c r="AV663" s="76">
        <f>MAX(0,(AU663-Constantes!$D$13)*(1-EXP(-Constantes!$D$24)))</f>
        <v>0</v>
      </c>
      <c r="AW663" s="170">
        <f>AW662+(Entradas!$E$112*AT663-AX662)/(800*Entradas!$D$25)</f>
        <v>0</v>
      </c>
      <c r="AX663" s="170">
        <f>8000*Entradas!$D$26*AW663/Constantes!$E$45</f>
        <v>0</v>
      </c>
      <c r="AY663" s="170">
        <f>IF(Escenarios!$E$17&gt;0,10*Escenarios!$E$16*AL663,0)</f>
        <v>0</v>
      </c>
      <c r="AZ663" s="170">
        <f>IF(Escenarios!$E$17&gt;0,10*Escenarios!$E$16*AX663,0)</f>
        <v>0</v>
      </c>
      <c r="BA663" s="170">
        <f>IF(Escenarios!$E$17&gt;0,0.001*Observaciones!$F662*Escenarios!$E$17,0)</f>
        <v>168.00000000000003</v>
      </c>
      <c r="BB663" s="170">
        <f>IF(Escenarios!$E$17&gt;0,Observaciones!$K662,0)</f>
        <v>0</v>
      </c>
      <c r="BC663" s="170">
        <f>IF(Escenarios!$E$17&gt;0,MIN(0.0005*ETo!$M662*Escenarios!$E$17*(BG662/Constantes!$E$40)^(2/3),BG662+AY663+AZ663+BA663+BB663),0)</f>
        <v>12.242862374068215</v>
      </c>
      <c r="BD663" s="170">
        <f>IF(Escenarios!$E$17&gt;0,MIN(Constantes!$E$39*(BG662/Constantes!$E$40)^(2/3),BG662+AY663+AZ663+BA663+BB663-BC663),0)</f>
        <v>20.222368956997052</v>
      </c>
      <c r="BE663" s="170">
        <f>IF(Escenarios!$E$17&gt;0,MIN(Entradas!$E$113,BG662+AY663+AZ663+BA663+BB663-BC663-BD663),0)</f>
        <v>1</v>
      </c>
      <c r="BF663" s="170">
        <f>IF(Escenarios!$E$17&gt;0,MAX(0,BG662+AY663+AZ663+BA663+BB663-BC663-BD663-BE663-Constantes!$E$40),0)</f>
        <v>0</v>
      </c>
      <c r="BG663" s="170">
        <f t="shared" si="152"/>
        <v>981.80472173819692</v>
      </c>
      <c r="BH663" s="170">
        <f>(Escenarios!$E$16*AK663+0.1*BC663)/(Escenarios!$E$19)</f>
        <v>2.302182397118711</v>
      </c>
      <c r="BI663" s="170">
        <f>IF(Escenarios!$E$17&gt;0,BF663/10/Escenarios!$E$19,AL663)</f>
        <v>0</v>
      </c>
      <c r="BJ663" s="170">
        <f>(Escenarios!$E$16*AT663+0.1*BD663)/(Escenarios!$E$19)</f>
        <v>0.12773527402179927</v>
      </c>
      <c r="BK663" s="76">
        <f>BK662+(0.1*BD663)/(Escenarios!$E$19)-BL662</f>
        <v>49.560187104087746</v>
      </c>
      <c r="BL663" s="76">
        <f>MAX(0,(BK663-Constantes!$D$13)*(1-EXP(-Constantes!$D$23)))</f>
        <v>7.9829665081103899E-3</v>
      </c>
      <c r="BM663" s="76">
        <f t="shared" si="148"/>
        <v>0.19404557046684326</v>
      </c>
      <c r="BN663" s="76">
        <f t="shared" si="153"/>
        <v>1.1628950150144963</v>
      </c>
      <c r="BO663" s="76">
        <f>0.0526*BI663*Observaciones!$F662^1.218</f>
        <v>0</v>
      </c>
      <c r="BP663" s="76">
        <f>BO663*Constantes!$E$51</f>
        <v>0</v>
      </c>
      <c r="BQ663" s="76">
        <f t="shared" si="149"/>
        <v>0</v>
      </c>
      <c r="BR663" s="40"/>
    </row>
    <row r="664" spans="1:70">
      <c r="A664" s="147"/>
      <c r="B664" s="39"/>
      <c r="C664" s="75">
        <v>658</v>
      </c>
      <c r="D664" s="146">
        <f>ETo!$I663*((1-Constantes!$E$19)*ETo!$K663+ETo!$L663)</f>
        <v>4.1751809293693478</v>
      </c>
      <c r="E664" s="76">
        <f>MIN(D664*Constantes!$E$17,0.8*(N663+Observaciones!$F663-F664-M664-Constantes!$D$14))</f>
        <v>2.0412973655889979</v>
      </c>
      <c r="F664" s="76">
        <f>IF(Observaciones!$F663&gt;0.05*Constantes!$E$18,((Observaciones!$F663-0.05*Constantes!$E$18)^2)/(Observaciones!$F663+0.95*Constantes!$E$18),0)</f>
        <v>0</v>
      </c>
      <c r="G664" s="76">
        <f>IF(Escenarios!$E$11&gt;0,(F664*Escenarios!$E$16*10000)/1000,0)</f>
        <v>0</v>
      </c>
      <c r="H664" s="76">
        <f>IF(Escenarios!$E$11&gt;0,(Observaciones!$F663*Constantes!$E$29)/1000,0)</f>
        <v>34</v>
      </c>
      <c r="I664" s="76">
        <f>IF(Escenarios!$E$11&gt;0,(D664*Constantes!$E$29)/1000,0)</f>
        <v>41.751809293693476</v>
      </c>
      <c r="J664" s="76">
        <f>IF(Escenarios!$E$11&gt;0,MAX(0,G664+H664-I664),0)</f>
        <v>0</v>
      </c>
      <c r="K664" s="76">
        <f>IF(Escenarios!$E$11&gt;0,IF(J664&gt;Constantes!$E$30,1000*((J664-Constantes!$E$30)/(Escenarios!$E$16*10000)),0),F664)</f>
        <v>0</v>
      </c>
      <c r="L664" s="76">
        <f>IF(Escenarios!$E$11&gt;0,I664*1000/Escenarios!$E$16/10000+E664,E664)</f>
        <v>2.0579980893064751</v>
      </c>
      <c r="M664" s="76">
        <f>MAX(0,N663+Observaciones!$F663-K664-Constantes!$D$13)</f>
        <v>0</v>
      </c>
      <c r="N664" s="76">
        <f>N663+Observaciones!$F663-K664-L664-M664-O663</f>
        <v>43.811841852705896</v>
      </c>
      <c r="O664" s="76">
        <f>MAX(0,(N664-Constantes!$D$14)*(1-EXP(-Constantes!$D$22)))</f>
        <v>1.1091758704717698</v>
      </c>
      <c r="P664" s="170">
        <f>P663+(Entradas!$E$83*M664-Q663)/(800*Entradas!$D$25)</f>
        <v>0</v>
      </c>
      <c r="Q664" s="170">
        <f>8000*Entradas!$D$26*P664/Constantes!$E$45</f>
        <v>0</v>
      </c>
      <c r="R664" s="170">
        <f>IF(Escenarios!$E$14&gt;0,K664*Escenarios!$E$13/Escenarios!$E$14,0)</f>
        <v>0</v>
      </c>
      <c r="S664" s="170">
        <f>IF(Escenarios!$E$14&gt;0,Q664*Escenarios!$E$13/Escenarios!$E$14,0)</f>
        <v>0</v>
      </c>
      <c r="T664" s="170">
        <f>IF(Escenarios!$E$14&gt;0,Observaciones!$I663,0)</f>
        <v>0</v>
      </c>
      <c r="U664" s="170">
        <f>IF(Escenarios!$E$14&gt;0,MAX(0,Constantes!$E$36/((Z663+R664+S664+T664+Observaciones!$F663)^2)+Entradas!$E$77),0)</f>
        <v>0.91961030392415033</v>
      </c>
      <c r="V664" s="146">
        <f>IF(ETo!D663&gt;0,ETo!I663*((1-Entradas!$E$81)*ETo!K663+ETo!L663),0)</f>
        <v>3.8123732526206831</v>
      </c>
      <c r="W664" s="170">
        <f>IF(Escenarios!$E$14&gt;0,MIN(V664*1,0.8*(Z663+R664+S664+T664+Observaciones!$F663-U664-Constantes!$E$35)),0)</f>
        <v>3.8123732526206831</v>
      </c>
      <c r="X664" s="170">
        <f>IF(Escenarios!$E$14&gt;0,Observaciones!$J663,0)</f>
        <v>0</v>
      </c>
      <c r="Y664" s="170">
        <f>IF(Escenarios!$E$14&gt;0,MAX(0,Z663+R664+S664+T664+Observaciones!$F663-U664-W664-X664-Constantes!$E$33),0)</f>
        <v>0</v>
      </c>
      <c r="Z664" s="170">
        <f>Z663+R664+S664+T664+Observaciones!$F663-U664-W664-Y664</f>
        <v>65.51766346158081</v>
      </c>
      <c r="AA664" s="170">
        <f>IF(Escenarios!$E$14&gt;0,(Escenarios!$E$13*L664+Escenarios!$E$14*W664)/(Escenarios!$E$16),L664)</f>
        <v>2.26852310890418</v>
      </c>
      <c r="AB664" s="170">
        <f>IF(Escenarios!$E$14&gt;0,(Escenarios!$E$14*Y664)/(Escenarios!$E$16),K664)</f>
        <v>0</v>
      </c>
      <c r="AC664" s="170">
        <f>IF(Escenarios!$E$14&gt;0,(Escenarios!$E$13*M664+Escenarios!$E$14*U664)/(Escenarios!$E$16),M664)</f>
        <v>0.11035323647089804</v>
      </c>
      <c r="AD664" s="76">
        <f t="shared" si="141"/>
        <v>67.557687190320493</v>
      </c>
      <c r="AE664" s="76">
        <f>MAX(0,(AD664-Constantes!$D$13)*(1-EXP(-Constantes!$D$23)))</f>
        <v>0.18531662152830883</v>
      </c>
      <c r="AF664" s="76">
        <f>AB664+O664*Escenarios!$E$13/Escenarios!$E$16+AE664</f>
        <v>1.1613913875434663</v>
      </c>
      <c r="AG664" s="76">
        <f>IF(Entradas!$E$91&gt;0,IF(AF664-Escenarios!$E$38&lt;=0,0,IF(AF664-Escenarios!$E$38&gt;Escenarios!$E$37,Escenarios!$E$37,AF664-Escenarios!$E$38)),0)</f>
        <v>0</v>
      </c>
      <c r="AH664" s="76">
        <f>AG664*Entradas!$E$99</f>
        <v>0</v>
      </c>
      <c r="AI664" s="76">
        <f>IF(Entradas!$E$91&gt;0,D664*Entradas!$D$23/Escenarios!$E$16,0)</f>
        <v>0</v>
      </c>
      <c r="AJ664" s="76">
        <f>IF(Entradas!$E$91&gt;0,Entradas!$D$24*Entradas!$D$22/Escenarios!$E$16,0)</f>
        <v>0</v>
      </c>
      <c r="AK664" s="76">
        <f t="shared" si="150"/>
        <v>2.26852310890418</v>
      </c>
      <c r="AL664" s="76">
        <f t="shared" si="151"/>
        <v>0</v>
      </c>
      <c r="AM664" s="76">
        <f t="shared" si="142"/>
        <v>0</v>
      </c>
      <c r="AN664" s="76">
        <f>MAX(0,O664*Escenarios!$E$13/Escenarios!$E$16-AM664)</f>
        <v>0.97607476601515741</v>
      </c>
      <c r="AO664" s="76">
        <f>AM664+AN664-O664*Escenarios!$E$13/Escenarios!$E$16</f>
        <v>0</v>
      </c>
      <c r="AP664" s="76">
        <f t="shared" si="140"/>
        <v>0.18531662152830883</v>
      </c>
      <c r="AQ664" s="76">
        <f t="shared" si="143"/>
        <v>0</v>
      </c>
      <c r="AR664" s="76">
        <f t="shared" si="144"/>
        <v>1.1613913875434663</v>
      </c>
      <c r="AS664" s="76">
        <f t="shared" si="145"/>
        <v>0</v>
      </c>
      <c r="AT664" s="76">
        <f t="shared" si="146"/>
        <v>0.11035323647089804</v>
      </c>
      <c r="AU664" s="76">
        <f t="shared" si="147"/>
        <v>48.75</v>
      </c>
      <c r="AV664" s="76">
        <f>MAX(0,(AU664-Constantes!$D$13)*(1-EXP(-Constantes!$D$24)))</f>
        <v>0</v>
      </c>
      <c r="AW664" s="170">
        <f>AW663+(Entradas!$E$112*AT664-AX663)/(800*Entradas!$D$25)</f>
        <v>0</v>
      </c>
      <c r="AX664" s="170">
        <f>8000*Entradas!$D$26*AW664/Constantes!$E$45</f>
        <v>0</v>
      </c>
      <c r="AY664" s="170">
        <f>IF(Escenarios!$E$17&gt;0,10*Escenarios!$E$16*AL664,0)</f>
        <v>0</v>
      </c>
      <c r="AZ664" s="170">
        <f>IF(Escenarios!$E$17&gt;0,10*Escenarios!$E$16*AX664,0)</f>
        <v>0</v>
      </c>
      <c r="BA664" s="170">
        <f>IF(Escenarios!$E$17&gt;0,0.001*Observaciones!$F663*Escenarios!$E$17,0)</f>
        <v>68</v>
      </c>
      <c r="BB664" s="170">
        <f>IF(Escenarios!$E$17&gt;0,Observaciones!$K663,0)</f>
        <v>0</v>
      </c>
      <c r="BC664" s="170">
        <f>IF(Escenarios!$E$17&gt;0,MIN(0.0005*ETo!$M663*Escenarios!$E$17*(BG663/Constantes!$E$40)^(2/3),BG663+AY664+AZ664+BA664+BB664),0)</f>
        <v>13.235641906405629</v>
      </c>
      <c r="BD664" s="170">
        <f>IF(Escenarios!$E$17&gt;0,MIN(Constantes!$E$39*(BG663/Constantes!$E$40)^(2/3),BG663+AY664+AZ664+BA664+BB664-BC664),0)</f>
        <v>22.310068511964268</v>
      </c>
      <c r="BE664" s="170">
        <f>IF(Escenarios!$E$17&gt;0,MIN(Entradas!$E$113,BG663+AY664+AZ664+BA664+BB664-BC664-BD664),0)</f>
        <v>1</v>
      </c>
      <c r="BF664" s="170">
        <f>IF(Escenarios!$E$17&gt;0,MAX(0,BG663+AY664+AZ664+BA664+BB664-BC664-BD664-BE664-Constantes!$E$40),0)</f>
        <v>0</v>
      </c>
      <c r="BG664" s="170">
        <f t="shared" si="152"/>
        <v>1013.259011319827</v>
      </c>
      <c r="BH664" s="170">
        <f>(Escenarios!$E$16*AK664+0.1*BC664)/(Escenarios!$E$19)</f>
        <v>2.2557711960979585</v>
      </c>
      <c r="BI664" s="170">
        <f>IF(Escenarios!$E$17&gt;0,BF664/10/Escenarios!$E$19,AL664)</f>
        <v>0</v>
      </c>
      <c r="BJ664" s="170">
        <f>(Escenarios!$E$16*AT664+0.1*BD664)/(Escenarios!$E$19)</f>
        <v>0.11833061892428944</v>
      </c>
      <c r="BK664" s="76">
        <f>BK663+(0.1*BD664)/(Escenarios!$E$19)-BL663</f>
        <v>49.561057339370102</v>
      </c>
      <c r="BL664" s="76">
        <f>MAX(0,(BK664-Constantes!$D$13)*(1-EXP(-Constantes!$D$23)))</f>
        <v>7.9915411436213401E-3</v>
      </c>
      <c r="BM664" s="76">
        <f t="shared" si="148"/>
        <v>0.19330816267193016</v>
      </c>
      <c r="BN664" s="76">
        <f t="shared" si="153"/>
        <v>1.1693829286870876</v>
      </c>
      <c r="BO664" s="76">
        <f>0.0526*BI664*Observaciones!$F663^1.218</f>
        <v>0</v>
      </c>
      <c r="BP664" s="76">
        <f>BO664*Constantes!$E$51</f>
        <v>0</v>
      </c>
      <c r="BQ664" s="76">
        <f t="shared" si="149"/>
        <v>0</v>
      </c>
      <c r="BR664" s="40"/>
    </row>
    <row r="665" spans="1:70">
      <c r="A665" s="147"/>
      <c r="B665" s="39"/>
      <c r="C665" s="75">
        <v>659</v>
      </c>
      <c r="D665" s="146">
        <f>ETo!$I664*((1-Constantes!$E$19)*ETo!$K664+ETo!$L664)</f>
        <v>4.2660157266466925</v>
      </c>
      <c r="E665" s="76">
        <f>MIN(D665*Constantes!$E$17,0.8*(N664+Observaciones!$F664-F665-M665-Constantes!$D$14))</f>
        <v>2.0857076164314834</v>
      </c>
      <c r="F665" s="76">
        <f>IF(Observaciones!$F664&gt;0.05*Constantes!$E$18,((Observaciones!$F664-0.05*Constantes!$E$18)^2)/(Observaciones!$F664+0.95*Constantes!$E$18),0)</f>
        <v>0</v>
      </c>
      <c r="G665" s="76">
        <f>IF(Escenarios!$E$11&gt;0,(F665*Escenarios!$E$16*10000)/1000,0)</f>
        <v>0</v>
      </c>
      <c r="H665" s="76">
        <f>IF(Escenarios!$E$11&gt;0,(Observaciones!$F664*Constantes!$E$29)/1000,0)</f>
        <v>0</v>
      </c>
      <c r="I665" s="76">
        <f>IF(Escenarios!$E$11&gt;0,(D665*Constantes!$E$29)/1000,0)</f>
        <v>42.660157266466925</v>
      </c>
      <c r="J665" s="76">
        <f>IF(Escenarios!$E$11&gt;0,MAX(0,G665+H665-I665),0)</f>
        <v>0</v>
      </c>
      <c r="K665" s="76">
        <f>IF(Escenarios!$E$11&gt;0,IF(J665&gt;Constantes!$E$30,1000*((J665-Constantes!$E$30)/(Escenarios!$E$16*10000)),0),F665)</f>
        <v>0</v>
      </c>
      <c r="L665" s="76">
        <f>IF(Escenarios!$E$11&gt;0,I665*1000/Escenarios!$E$16/10000+E665,E665)</f>
        <v>2.10277167933807</v>
      </c>
      <c r="M665" s="76">
        <f>MAX(0,N664+Observaciones!$F664-K665-Constantes!$D$13)</f>
        <v>0</v>
      </c>
      <c r="N665" s="76">
        <f>N664+Observaciones!$F664-K665-L665-M665-O664</f>
        <v>40.599894302896061</v>
      </c>
      <c r="O665" s="76">
        <f>MAX(0,(N665-Constantes!$D$14)*(1-EXP(-Constantes!$D$22)))</f>
        <v>0.99976514562439944</v>
      </c>
      <c r="P665" s="170">
        <f>P664+(Entradas!$E$83*M665-Q664)/(800*Entradas!$D$25)</f>
        <v>0</v>
      </c>
      <c r="Q665" s="170">
        <f>8000*Entradas!$D$26*P665/Constantes!$E$45</f>
        <v>0</v>
      </c>
      <c r="R665" s="170">
        <f>IF(Escenarios!$E$14&gt;0,K665*Escenarios!$E$13/Escenarios!$E$14,0)</f>
        <v>0</v>
      </c>
      <c r="S665" s="170">
        <f>IF(Escenarios!$E$14&gt;0,Q665*Escenarios!$E$13/Escenarios!$E$14,0)</f>
        <v>0</v>
      </c>
      <c r="T665" s="170">
        <f>IF(Escenarios!$E$14&gt;0,Observaciones!$I664,0)</f>
        <v>0</v>
      </c>
      <c r="U665" s="170">
        <f>IF(Escenarios!$E$14&gt;0,MAX(0,Constantes!$E$36/((Z664+R665+S665+T665+Observaciones!$F664)^2)+Entradas!$E$77),0)</f>
        <v>0.6082477836687632</v>
      </c>
      <c r="V665" s="146">
        <f>IF(ETo!D664&gt;0,ETo!I664*((1-Entradas!$E$81)*ETo!K664+ETo!L664),0)</f>
        <v>3.8963294480472377</v>
      </c>
      <c r="W665" s="170">
        <f>IF(Escenarios!$E$14&gt;0,MIN(V665*1,0.8*(Z664+R665+S665+T665+Observaciones!$F664-U665-Constantes!$E$35)),0)</f>
        <v>3.8963294480472377</v>
      </c>
      <c r="X665" s="170">
        <f>IF(Escenarios!$E$14&gt;0,Observaciones!$J664,0)</f>
        <v>0</v>
      </c>
      <c r="Y665" s="170">
        <f>IF(Escenarios!$E$14&gt;0,MAX(0,Z664+R665+S665+T665+Observaciones!$F664-U665-W665-X665-Constantes!$E$33),0)</f>
        <v>0</v>
      </c>
      <c r="Z665" s="170">
        <f>Z664+R665+S665+T665+Observaciones!$F664-U665-W665-Y665</f>
        <v>61.013086229864811</v>
      </c>
      <c r="AA665" s="170">
        <f>IF(Escenarios!$E$14&gt;0,(Escenarios!$E$13*L665+Escenarios!$E$14*W665)/(Escenarios!$E$16),L665)</f>
        <v>2.3179986115831701</v>
      </c>
      <c r="AB665" s="170">
        <f>IF(Escenarios!$E$14&gt;0,(Escenarios!$E$14*Y665)/(Escenarios!$E$16),K665)</f>
        <v>0</v>
      </c>
      <c r="AC665" s="170">
        <f>IF(Escenarios!$E$14&gt;0,(Escenarios!$E$13*M665+Escenarios!$E$14*U665)/(Escenarios!$E$16),M665)</f>
        <v>7.2989734040251594E-2</v>
      </c>
      <c r="AD665" s="76">
        <f t="shared" si="141"/>
        <v>67.445360302832427</v>
      </c>
      <c r="AE665" s="76">
        <f>MAX(0,(AD665-Constantes!$D$13)*(1-EXP(-Constantes!$D$23)))</f>
        <v>0.18420983795170873</v>
      </c>
      <c r="AF665" s="76">
        <f>AB665+O665*Escenarios!$E$13/Escenarios!$E$16+AE665</f>
        <v>1.0640031661011802</v>
      </c>
      <c r="AG665" s="76">
        <f>IF(Entradas!$E$91&gt;0,IF(AF665-Escenarios!$E$38&lt;=0,0,IF(AF665-Escenarios!$E$38&gt;Escenarios!$E$37,Escenarios!$E$37,AF665-Escenarios!$E$38)),0)</f>
        <v>0</v>
      </c>
      <c r="AH665" s="76">
        <f>AG665*Entradas!$E$99</f>
        <v>0</v>
      </c>
      <c r="AI665" s="76">
        <f>IF(Entradas!$E$91&gt;0,D665*Entradas!$D$23/Escenarios!$E$16,0)</f>
        <v>0</v>
      </c>
      <c r="AJ665" s="76">
        <f>IF(Entradas!$E$91&gt;0,Entradas!$D$24*Entradas!$D$22/Escenarios!$E$16,0)</f>
        <v>0</v>
      </c>
      <c r="AK665" s="76">
        <f t="shared" si="150"/>
        <v>2.3179986115831701</v>
      </c>
      <c r="AL665" s="76">
        <f t="shared" si="151"/>
        <v>0</v>
      </c>
      <c r="AM665" s="76">
        <f t="shared" si="142"/>
        <v>0</v>
      </c>
      <c r="AN665" s="76">
        <f>MAX(0,O665*Escenarios!$E$13/Escenarios!$E$16-AM665)</f>
        <v>0.87979332814947153</v>
      </c>
      <c r="AO665" s="76">
        <f>AM665+AN665-O665*Escenarios!$E$13/Escenarios!$E$16</f>
        <v>0</v>
      </c>
      <c r="AP665" s="76">
        <f t="shared" si="140"/>
        <v>0.18420983795170873</v>
      </c>
      <c r="AQ665" s="76">
        <f t="shared" si="143"/>
        <v>0</v>
      </c>
      <c r="AR665" s="76">
        <f t="shared" si="144"/>
        <v>1.0640031661011802</v>
      </c>
      <c r="AS665" s="76">
        <f t="shared" si="145"/>
        <v>0</v>
      </c>
      <c r="AT665" s="76">
        <f t="shared" si="146"/>
        <v>7.2989734040251594E-2</v>
      </c>
      <c r="AU665" s="76">
        <f t="shared" si="147"/>
        <v>48.75</v>
      </c>
      <c r="AV665" s="76">
        <f>MAX(0,(AU665-Constantes!$D$13)*(1-EXP(-Constantes!$D$24)))</f>
        <v>0</v>
      </c>
      <c r="AW665" s="170">
        <f>AW664+(Entradas!$E$112*AT665-AX664)/(800*Entradas!$D$25)</f>
        <v>0</v>
      </c>
      <c r="AX665" s="170">
        <f>8000*Entradas!$D$26*AW665/Constantes!$E$45</f>
        <v>0</v>
      </c>
      <c r="AY665" s="170">
        <f>IF(Escenarios!$E$17&gt;0,10*Escenarios!$E$16*AL665,0)</f>
        <v>0</v>
      </c>
      <c r="AZ665" s="170">
        <f>IF(Escenarios!$E$17&gt;0,10*Escenarios!$E$16*AX665,0)</f>
        <v>0</v>
      </c>
      <c r="BA665" s="170">
        <f>IF(Escenarios!$E$17&gt;0,0.001*Observaciones!$F664*Escenarios!$E$17,0)</f>
        <v>0</v>
      </c>
      <c r="BB665" s="170">
        <f>IF(Escenarios!$E$17&gt;0,Observaciones!$K664,0)</f>
        <v>0</v>
      </c>
      <c r="BC665" s="170">
        <f>IF(Escenarios!$E$17&gt;0,MIN(0.0005*ETo!$M664*Escenarios!$E$17*(BG664/Constantes!$E$40)^(2/3),BG664+AY665+AZ665+BA665+BB665),0)</f>
        <v>13.806366451857009</v>
      </c>
      <c r="BD665" s="170">
        <f>IF(Escenarios!$E$17&gt;0,MIN(Constantes!$E$39*(BG664/Constantes!$E$40)^(2/3),BG664+AY665+AZ665+BA665+BB665-BC665),0)</f>
        <v>22.784061429521792</v>
      </c>
      <c r="BE665" s="170">
        <f>IF(Escenarios!$E$17&gt;0,MIN(Entradas!$E$113,BG664+AY665+AZ665+BA665+BB665-BC665-BD665),0)</f>
        <v>1</v>
      </c>
      <c r="BF665" s="170">
        <f>IF(Escenarios!$E$17&gt;0,MAX(0,BG664+AY665+AZ665+BA665+BB665-BC665-BD665-BE665-Constantes!$E$40),0)</f>
        <v>0</v>
      </c>
      <c r="BG665" s="170">
        <f t="shared" si="152"/>
        <v>975.6685834384482</v>
      </c>
      <c r="BH665" s="170">
        <f>(Escenarios!$E$16*AK665+0.1*BC665)/(Escenarios!$E$19)</f>
        <v>2.3050805140515012</v>
      </c>
      <c r="BI665" s="170">
        <f>IF(Escenarios!$E$17&gt;0,BF665/10/Escenarios!$E$19,AL665)</f>
        <v>0</v>
      </c>
      <c r="BJ665" s="170">
        <f>(Escenarios!$E$16*AT665+0.1*BD665)/(Escenarios!$E$19)</f>
        <v>8.1451744654821731E-2</v>
      </c>
      <c r="BK665" s="76">
        <f>BK664+(0.1*BD665)/(Escenarios!$E$19)-BL664</f>
        <v>49.562107092444542</v>
      </c>
      <c r="BL665" s="76">
        <f>MAX(0,(BK665-Constantes!$D$13)*(1-EXP(-Constantes!$D$23)))</f>
        <v>8.0018846106955019E-3</v>
      </c>
      <c r="BM665" s="76">
        <f t="shared" si="148"/>
        <v>0.19221172256240424</v>
      </c>
      <c r="BN665" s="76">
        <f t="shared" si="153"/>
        <v>1.0720050507118757</v>
      </c>
      <c r="BO665" s="76">
        <f>0.0526*BI665*Observaciones!$F664^1.218</f>
        <v>0</v>
      </c>
      <c r="BP665" s="76">
        <f>BO665*Constantes!$E$51</f>
        <v>0</v>
      </c>
      <c r="BQ665" s="76">
        <f t="shared" si="149"/>
        <v>0</v>
      </c>
      <c r="BR665" s="40"/>
    </row>
    <row r="666" spans="1:70">
      <c r="A666" s="147"/>
      <c r="B666" s="39"/>
      <c r="C666" s="75">
        <v>660</v>
      </c>
      <c r="D666" s="146">
        <f>ETo!$I665*((1-Constantes!$E$19)*ETo!$K665+ETo!$L665)</f>
        <v>4.3077997207092231</v>
      </c>
      <c r="E666" s="76">
        <f>MIN(D666*Constantes!$E$17,0.8*(N665+Observaciones!$F665-F666-M666-Constantes!$D$14))</f>
        <v>2.1061363256171504</v>
      </c>
      <c r="F666" s="76">
        <f>IF(Observaciones!$F665&gt;0.05*Constantes!$E$18,((Observaciones!$F665-0.05*Constantes!$E$18)^2)/(Observaciones!$F665+0.95*Constantes!$E$18),0)</f>
        <v>0</v>
      </c>
      <c r="G666" s="76">
        <f>IF(Escenarios!$E$11&gt;0,(F666*Escenarios!$E$16*10000)/1000,0)</f>
        <v>0</v>
      </c>
      <c r="H666" s="76">
        <f>IF(Escenarios!$E$11&gt;0,(Observaciones!$F665*Constantes!$E$29)/1000,0)</f>
        <v>25</v>
      </c>
      <c r="I666" s="76">
        <f>IF(Escenarios!$E$11&gt;0,(D666*Constantes!$E$29)/1000,0)</f>
        <v>43.077997207092231</v>
      </c>
      <c r="J666" s="76">
        <f>IF(Escenarios!$E$11&gt;0,MAX(0,G666+H666-I666),0)</f>
        <v>0</v>
      </c>
      <c r="K666" s="76">
        <f>IF(Escenarios!$E$11&gt;0,IF(J666&gt;Constantes!$E$30,1000*((J666-Constantes!$E$30)/(Escenarios!$E$16*10000)),0),F666)</f>
        <v>0</v>
      </c>
      <c r="L666" s="76">
        <f>IF(Escenarios!$E$11&gt;0,I666*1000/Escenarios!$E$16/10000+E666,E666)</f>
        <v>2.1233675244999874</v>
      </c>
      <c r="M666" s="76">
        <f>MAX(0,N665+Observaciones!$F665-K666-Constantes!$D$13)</f>
        <v>0</v>
      </c>
      <c r="N666" s="76">
        <f>N665+Observaciones!$F665-K666-L666-M666-O665</f>
        <v>39.976761632771669</v>
      </c>
      <c r="O666" s="76">
        <f>MAX(0,(N666-Constantes!$D$14)*(1-EXP(-Constantes!$D$22)))</f>
        <v>0.97853895931309953</v>
      </c>
      <c r="P666" s="170">
        <f>P665+(Entradas!$E$83*M666-Q665)/(800*Entradas!$D$25)</f>
        <v>0</v>
      </c>
      <c r="Q666" s="170">
        <f>8000*Entradas!$D$26*P666/Constantes!$E$45</f>
        <v>0</v>
      </c>
      <c r="R666" s="170">
        <f>IF(Escenarios!$E$14&gt;0,K666*Escenarios!$E$13/Escenarios!$E$14,0)</f>
        <v>0</v>
      </c>
      <c r="S666" s="170">
        <f>IF(Escenarios!$E$14&gt;0,Q666*Escenarios!$E$13/Escenarios!$E$14,0)</f>
        <v>0</v>
      </c>
      <c r="T666" s="170">
        <f>IF(Escenarios!$E$14&gt;0,Observaciones!$I665,0)</f>
        <v>0</v>
      </c>
      <c r="U666" s="170">
        <f>IF(Escenarios!$E$14&gt;0,MAX(0,Constantes!$E$36/((Z665+R666+S666+T666+Observaciones!$F665)^2)+Entradas!$E$77),0)</f>
        <v>0.45489002031501302</v>
      </c>
      <c r="V666" s="146">
        <f>IF(ETo!D665&gt;0,ETo!I665*((1-Entradas!$E$81)*ETo!K665+ETo!L665),0)</f>
        <v>3.9350402367571888</v>
      </c>
      <c r="W666" s="170">
        <f>IF(Escenarios!$E$14&gt;0,MIN(V666*1,0.8*(Z665+R666+S666+T666+Observaciones!$F665-U666-Constantes!$E$35)),0)</f>
        <v>3.9350402367571888</v>
      </c>
      <c r="X666" s="170">
        <f>IF(Escenarios!$E$14&gt;0,Observaciones!$J665,0)</f>
        <v>0</v>
      </c>
      <c r="Y666" s="170">
        <f>IF(Escenarios!$E$14&gt;0,MAX(0,Z665+R666+S666+T666+Observaciones!$F665-U666-W666-X666-Constantes!$E$33),0)</f>
        <v>0</v>
      </c>
      <c r="Z666" s="170">
        <f>Z665+R666+S666+T666+Observaciones!$F665-U666-W666-Y666</f>
        <v>59.12315597279261</v>
      </c>
      <c r="AA666" s="170">
        <f>IF(Escenarios!$E$14&gt;0,(Escenarios!$E$13*L666+Escenarios!$E$14*W666)/(Escenarios!$E$16),L666)</f>
        <v>2.3407682499708518</v>
      </c>
      <c r="AB666" s="170">
        <f>IF(Escenarios!$E$14&gt;0,(Escenarios!$E$14*Y666)/(Escenarios!$E$16),K666)</f>
        <v>0</v>
      </c>
      <c r="AC666" s="170">
        <f>IF(Escenarios!$E$14&gt;0,(Escenarios!$E$13*M666+Escenarios!$E$14*U666)/(Escenarios!$E$16),M666)</f>
        <v>5.458680243780157E-2</v>
      </c>
      <c r="AD666" s="76">
        <f t="shared" si="141"/>
        <v>67.315737267318511</v>
      </c>
      <c r="AE666" s="76">
        <f>MAX(0,(AD666-Constantes!$D$13)*(1-EXP(-Constantes!$D$23)))</f>
        <v>0.1829326313089884</v>
      </c>
      <c r="AF666" s="76">
        <f>AB666+O666*Escenarios!$E$13/Escenarios!$E$16+AE666</f>
        <v>1.044046915504516</v>
      </c>
      <c r="AG666" s="76">
        <f>IF(Entradas!$E$91&gt;0,IF(AF666-Escenarios!$E$38&lt;=0,0,IF(AF666-Escenarios!$E$38&gt;Escenarios!$E$37,Escenarios!$E$37,AF666-Escenarios!$E$38)),0)</f>
        <v>0</v>
      </c>
      <c r="AH666" s="76">
        <f>AG666*Entradas!$E$99</f>
        <v>0</v>
      </c>
      <c r="AI666" s="76">
        <f>IF(Entradas!$E$91&gt;0,D666*Entradas!$D$23/Escenarios!$E$16,0)</f>
        <v>0</v>
      </c>
      <c r="AJ666" s="76">
        <f>IF(Entradas!$E$91&gt;0,Entradas!$D$24*Entradas!$D$22/Escenarios!$E$16,0)</f>
        <v>0</v>
      </c>
      <c r="AK666" s="76">
        <f t="shared" si="150"/>
        <v>2.3407682499708518</v>
      </c>
      <c r="AL666" s="76">
        <f t="shared" si="151"/>
        <v>0</v>
      </c>
      <c r="AM666" s="76">
        <f t="shared" si="142"/>
        <v>0</v>
      </c>
      <c r="AN666" s="76">
        <f>MAX(0,O666*Escenarios!$E$13/Escenarios!$E$16-AM666)</f>
        <v>0.8611142841955276</v>
      </c>
      <c r="AO666" s="76">
        <f>AM666+AN666-O666*Escenarios!$E$13/Escenarios!$E$16</f>
        <v>0</v>
      </c>
      <c r="AP666" s="76">
        <f t="shared" si="140"/>
        <v>0.1829326313089884</v>
      </c>
      <c r="AQ666" s="76">
        <f t="shared" si="143"/>
        <v>0</v>
      </c>
      <c r="AR666" s="76">
        <f t="shared" si="144"/>
        <v>1.044046915504516</v>
      </c>
      <c r="AS666" s="76">
        <f t="shared" si="145"/>
        <v>0</v>
      </c>
      <c r="AT666" s="76">
        <f t="shared" si="146"/>
        <v>5.458680243780157E-2</v>
      </c>
      <c r="AU666" s="76">
        <f t="shared" si="147"/>
        <v>48.75</v>
      </c>
      <c r="AV666" s="76">
        <f>MAX(0,(AU666-Constantes!$D$13)*(1-EXP(-Constantes!$D$24)))</f>
        <v>0</v>
      </c>
      <c r="AW666" s="170">
        <f>AW665+(Entradas!$E$112*AT666-AX665)/(800*Entradas!$D$25)</f>
        <v>0</v>
      </c>
      <c r="AX666" s="170">
        <f>8000*Entradas!$D$26*AW666/Constantes!$E$45</f>
        <v>0</v>
      </c>
      <c r="AY666" s="170">
        <f>IF(Escenarios!$E$17&gt;0,10*Escenarios!$E$16*AL666,0)</f>
        <v>0</v>
      </c>
      <c r="AZ666" s="170">
        <f>IF(Escenarios!$E$17&gt;0,10*Escenarios!$E$16*AX666,0)</f>
        <v>0</v>
      </c>
      <c r="BA666" s="170">
        <f>IF(Escenarios!$E$17&gt;0,0.001*Observaciones!$F665*Escenarios!$E$17,0)</f>
        <v>50</v>
      </c>
      <c r="BB666" s="170">
        <f>IF(Escenarios!$E$17&gt;0,Observaciones!$K665,0)</f>
        <v>0</v>
      </c>
      <c r="BC666" s="170">
        <f>IF(Escenarios!$E$17&gt;0,MIN(0.0005*ETo!$M665*Escenarios!$E$17*(BG665/Constantes!$E$40)^(2/3),BG665+AY666+AZ666+BA666+BB666),0)</f>
        <v>13.592224582978028</v>
      </c>
      <c r="BD666" s="170">
        <f>IF(Escenarios!$E$17&gt;0,MIN(Constantes!$E$39*(BG665/Constantes!$E$40)^(2/3),BG665+AY666+AZ666+BA666+BB666-BC666),0)</f>
        <v>22.217014934992854</v>
      </c>
      <c r="BE666" s="170">
        <f>IF(Escenarios!$E$17&gt;0,MIN(Entradas!$E$113,BG665+AY666+AZ666+BA666+BB666-BC666-BD666),0)</f>
        <v>1</v>
      </c>
      <c r="BF666" s="170">
        <f>IF(Escenarios!$E$17&gt;0,MAX(0,BG665+AY666+AZ666+BA666+BB666-BC666-BD666-BE666-Constantes!$E$40),0)</f>
        <v>0</v>
      </c>
      <c r="BG666" s="170">
        <f t="shared" si="152"/>
        <v>988.85934392047727</v>
      </c>
      <c r="BH666" s="170">
        <f>(Escenarios!$E$16*AK666+0.1*BC666)/(Escenarios!$E$19)</f>
        <v>2.3275844640913124</v>
      </c>
      <c r="BI666" s="170">
        <f>IF(Escenarios!$E$17&gt;0,BF666/10/Escenarios!$E$19,AL666)</f>
        <v>0</v>
      </c>
      <c r="BJ666" s="170">
        <f>(Escenarios!$E$16*AT666+0.1*BD666)/(Escenarios!$E$19)</f>
        <v>6.2969849614879669E-2</v>
      </c>
      <c r="BK666" s="76">
        <f>BK665+(0.1*BD666)/(Escenarios!$E$19)-BL665</f>
        <v>49.562921483601706</v>
      </c>
      <c r="BL666" s="76">
        <f>MAX(0,(BK666-Constantes!$D$13)*(1-EXP(-Constantes!$D$23)))</f>
        <v>8.0099090007398968E-3</v>
      </c>
      <c r="BM666" s="76">
        <f t="shared" si="148"/>
        <v>0.19094254030972829</v>
      </c>
      <c r="BN666" s="76">
        <f t="shared" si="153"/>
        <v>1.0520568245052559</v>
      </c>
      <c r="BO666" s="76">
        <f>0.0526*BI666*Observaciones!$F665^1.218</f>
        <v>0</v>
      </c>
      <c r="BP666" s="76">
        <f>BO666*Constantes!$E$51</f>
        <v>0</v>
      </c>
      <c r="BQ666" s="76">
        <f t="shared" si="149"/>
        <v>0</v>
      </c>
      <c r="BR666" s="40"/>
    </row>
    <row r="667" spans="1:70">
      <c r="A667" s="147"/>
      <c r="B667" s="39"/>
      <c r="C667" s="75">
        <v>661</v>
      </c>
      <c r="D667" s="146">
        <f>ETo!$I666*((1-Constantes!$E$19)*ETo!$K666+ETo!$L666)</f>
        <v>4.3628018152603829</v>
      </c>
      <c r="E667" s="76">
        <f>MIN(D667*Constantes!$E$17,0.8*(N666+Observaciones!$F666-F667-M667-Constantes!$D$14))</f>
        <v>2.1330275268868686</v>
      </c>
      <c r="F667" s="76">
        <f>IF(Observaciones!$F666&gt;0.05*Constantes!$E$18,((Observaciones!$F666-0.05*Constantes!$E$18)^2)/(Observaciones!$F666+0.95*Constantes!$E$18),0)</f>
        <v>0</v>
      </c>
      <c r="G667" s="76">
        <f>IF(Escenarios!$E$11&gt;0,(F667*Escenarios!$E$16*10000)/1000,0)</f>
        <v>0</v>
      </c>
      <c r="H667" s="76">
        <f>IF(Escenarios!$E$11&gt;0,(Observaciones!$F666*Constantes!$E$29)/1000,0)</f>
        <v>32</v>
      </c>
      <c r="I667" s="76">
        <f>IF(Escenarios!$E$11&gt;0,(D667*Constantes!$E$29)/1000,0)</f>
        <v>43.628018152603829</v>
      </c>
      <c r="J667" s="76">
        <f>IF(Escenarios!$E$11&gt;0,MAX(0,G667+H667-I667),0)</f>
        <v>0</v>
      </c>
      <c r="K667" s="76">
        <f>IF(Escenarios!$E$11&gt;0,IF(J667&gt;Constantes!$E$30,1000*((J667-Constantes!$E$30)/(Escenarios!$E$16*10000)),0),F667)</f>
        <v>0</v>
      </c>
      <c r="L667" s="76">
        <f>IF(Escenarios!$E$11&gt;0,I667*1000/Escenarios!$E$16/10000+E667,E667)</f>
        <v>2.1504787341479101</v>
      </c>
      <c r="M667" s="76">
        <f>MAX(0,N666+Observaciones!$F666-K667-Constantes!$D$13)</f>
        <v>0</v>
      </c>
      <c r="N667" s="76">
        <f>N666+Observaciones!$F666-K667-L667-M667-O666</f>
        <v>40.047743939310664</v>
      </c>
      <c r="O667" s="76">
        <f>MAX(0,(N667-Constantes!$D$14)*(1-EXP(-Constantes!$D$22)))</f>
        <v>0.98095687725519953</v>
      </c>
      <c r="P667" s="170">
        <f>P666+(Entradas!$E$83*M667-Q666)/(800*Entradas!$D$25)</f>
        <v>0</v>
      </c>
      <c r="Q667" s="170">
        <f>8000*Entradas!$D$26*P667/Constantes!$E$45</f>
        <v>0</v>
      </c>
      <c r="R667" s="170">
        <f>IF(Escenarios!$E$14&gt;0,K667*Escenarios!$E$13/Escenarios!$E$14,0)</f>
        <v>0</v>
      </c>
      <c r="S667" s="170">
        <f>IF(Escenarios!$E$14&gt;0,Q667*Escenarios!$E$13/Escenarios!$E$14,0)</f>
        <v>0</v>
      </c>
      <c r="T667" s="170">
        <f>IF(Escenarios!$E$14&gt;0,Observaciones!$I666,0)</f>
        <v>0</v>
      </c>
      <c r="U667" s="170">
        <f>IF(Escenarios!$E$14&gt;0,MAX(0,Constantes!$E$36/((Z666+R667+S667+T667+Observaciones!$F666)^2)+Entradas!$E$77),0)</f>
        <v>0.35677512891780694</v>
      </c>
      <c r="V667" s="146">
        <f>IF(ETo!D666&gt;0,ETo!I666*((1-Entradas!$E$81)*ETo!K666+ETo!L666),0)</f>
        <v>3.9860203106475254</v>
      </c>
      <c r="W667" s="170">
        <f>IF(Escenarios!$E$14&gt;0,MIN(V667*1,0.8*(Z666+R667+S667+T667+Observaciones!$F666-U667-Constantes!$E$35)),0)</f>
        <v>3.9860203106475254</v>
      </c>
      <c r="X667" s="170">
        <f>IF(Escenarios!$E$14&gt;0,Observaciones!$J666,0)</f>
        <v>0</v>
      </c>
      <c r="Y667" s="170">
        <f>IF(Escenarios!$E$14&gt;0,MAX(0,Z666+R667+S667+T667+Observaciones!$F666-U667-W667-X667-Constantes!$E$33),0)</f>
        <v>0</v>
      </c>
      <c r="Z667" s="170">
        <f>Z666+R667+S667+T667+Observaciones!$F666-U667-W667-Y667</f>
        <v>57.980360533227277</v>
      </c>
      <c r="AA667" s="170">
        <f>IF(Escenarios!$E$14&gt;0,(Escenarios!$E$13*L667+Escenarios!$E$14*W667)/(Escenarios!$E$16),L667)</f>
        <v>2.3707437233278639</v>
      </c>
      <c r="AB667" s="170">
        <f>IF(Escenarios!$E$14&gt;0,(Escenarios!$E$14*Y667)/(Escenarios!$E$16),K667)</f>
        <v>0</v>
      </c>
      <c r="AC667" s="170">
        <f>IF(Escenarios!$E$14&gt;0,(Escenarios!$E$13*M667+Escenarios!$E$14*U667)/(Escenarios!$E$16),M667)</f>
        <v>4.2813015470136835E-2</v>
      </c>
      <c r="AD667" s="76">
        <f t="shared" si="141"/>
        <v>67.175617651479655</v>
      </c>
      <c r="AE667" s="76">
        <f>MAX(0,(AD667-Constantes!$D$13)*(1-EXP(-Constantes!$D$23)))</f>
        <v>0.18155199936023583</v>
      </c>
      <c r="AF667" s="76">
        <f>AB667+O667*Escenarios!$E$13/Escenarios!$E$16+AE667</f>
        <v>1.0447940513448115</v>
      </c>
      <c r="AG667" s="76">
        <f>IF(Entradas!$E$91&gt;0,IF(AF667-Escenarios!$E$38&lt;=0,0,IF(AF667-Escenarios!$E$38&gt;Escenarios!$E$37,Escenarios!$E$37,AF667-Escenarios!$E$38)),0)</f>
        <v>0</v>
      </c>
      <c r="AH667" s="76">
        <f>AG667*Entradas!$E$99</f>
        <v>0</v>
      </c>
      <c r="AI667" s="76">
        <f>IF(Entradas!$E$91&gt;0,D667*Entradas!$D$23/Escenarios!$E$16,0)</f>
        <v>0</v>
      </c>
      <c r="AJ667" s="76">
        <f>IF(Entradas!$E$91&gt;0,Entradas!$D$24*Entradas!$D$22/Escenarios!$E$16,0)</f>
        <v>0</v>
      </c>
      <c r="AK667" s="76">
        <f t="shared" si="150"/>
        <v>2.3707437233278639</v>
      </c>
      <c r="AL667" s="76">
        <f t="shared" si="151"/>
        <v>0</v>
      </c>
      <c r="AM667" s="76">
        <f t="shared" si="142"/>
        <v>0</v>
      </c>
      <c r="AN667" s="76">
        <f>MAX(0,O667*Escenarios!$E$13/Escenarios!$E$16-AM667)</f>
        <v>0.8632420519845756</v>
      </c>
      <c r="AO667" s="76">
        <f>AM667+AN667-O667*Escenarios!$E$13/Escenarios!$E$16</f>
        <v>0</v>
      </c>
      <c r="AP667" s="76">
        <f t="shared" si="140"/>
        <v>0.18155199936023583</v>
      </c>
      <c r="AQ667" s="76">
        <f t="shared" si="143"/>
        <v>0</v>
      </c>
      <c r="AR667" s="76">
        <f t="shared" si="144"/>
        <v>1.0447940513448115</v>
      </c>
      <c r="AS667" s="76">
        <f t="shared" si="145"/>
        <v>0</v>
      </c>
      <c r="AT667" s="76">
        <f t="shared" si="146"/>
        <v>4.2813015470136835E-2</v>
      </c>
      <c r="AU667" s="76">
        <f t="shared" si="147"/>
        <v>48.75</v>
      </c>
      <c r="AV667" s="76">
        <f>MAX(0,(AU667-Constantes!$D$13)*(1-EXP(-Constantes!$D$24)))</f>
        <v>0</v>
      </c>
      <c r="AW667" s="170">
        <f>AW666+(Entradas!$E$112*AT667-AX666)/(800*Entradas!$D$25)</f>
        <v>0</v>
      </c>
      <c r="AX667" s="170">
        <f>8000*Entradas!$D$26*AW667/Constantes!$E$45</f>
        <v>0</v>
      </c>
      <c r="AY667" s="170">
        <f>IF(Escenarios!$E$17&gt;0,10*Escenarios!$E$16*AL667,0)</f>
        <v>0</v>
      </c>
      <c r="AZ667" s="170">
        <f>IF(Escenarios!$E$17&gt;0,10*Escenarios!$E$16*AX667,0)</f>
        <v>0</v>
      </c>
      <c r="BA667" s="170">
        <f>IF(Escenarios!$E$17&gt;0,0.001*Observaciones!$F666*Escenarios!$E$17,0)</f>
        <v>64</v>
      </c>
      <c r="BB667" s="170">
        <f>IF(Escenarios!$E$17&gt;0,Observaciones!$K666,0)</f>
        <v>0</v>
      </c>
      <c r="BC667" s="170">
        <f>IF(Escenarios!$E$17&gt;0,MIN(0.0005*ETo!$M666*Escenarios!$E$17*(BG666/Constantes!$E$40)^(2/3),BG666+AY667+AZ667+BA667+BB667),0)</f>
        <v>13.886314141490384</v>
      </c>
      <c r="BD667" s="170">
        <f>IF(Escenarios!$E$17&gt;0,MIN(Constantes!$E$39*(BG666/Constantes!$E$40)^(2/3),BG666+AY667+AZ667+BA667+BB667-BC667),0)</f>
        <v>22.416811544936412</v>
      </c>
      <c r="BE667" s="170">
        <f>IF(Escenarios!$E$17&gt;0,MIN(Entradas!$E$113,BG666+AY667+AZ667+BA667+BB667-BC667-BD667),0)</f>
        <v>1</v>
      </c>
      <c r="BF667" s="170">
        <f>IF(Escenarios!$E$17&gt;0,MAX(0,BG666+AY667+AZ667+BA667+BB667-BC667-BD667-BE667-Constantes!$E$40),0)</f>
        <v>0</v>
      </c>
      <c r="BG667" s="170">
        <f t="shared" si="152"/>
        <v>1015.5562182340506</v>
      </c>
      <c r="BH667" s="170">
        <f>(Escenarios!$E$16*AK667+0.1*BC667)/(Escenarios!$E$19)</f>
        <v>2.3574387390718847</v>
      </c>
      <c r="BI667" s="170">
        <f>IF(Escenarios!$E$17&gt;0,BF667/10/Escenarios!$E$19,AL667)</f>
        <v>0</v>
      </c>
      <c r="BJ667" s="170">
        <f>(Escenarios!$E$16*AT667+0.1*BD667)/(Escenarios!$E$19)</f>
        <v>5.1368789769951781E-2</v>
      </c>
      <c r="BK667" s="76">
        <f>BK666+(0.1*BD667)/(Escenarios!$E$19)-BL666</f>
        <v>49.563807134737843</v>
      </c>
      <c r="BL667" s="76">
        <f>MAX(0,(BK667-Constantes!$D$13)*(1-EXP(-Constantes!$D$23)))</f>
        <v>8.0186355323299228E-3</v>
      </c>
      <c r="BM667" s="76">
        <f t="shared" si="148"/>
        <v>0.18957063489256576</v>
      </c>
      <c r="BN667" s="76">
        <f t="shared" si="153"/>
        <v>1.0528126868771415</v>
      </c>
      <c r="BO667" s="76">
        <f>0.0526*BI667*Observaciones!$F666^1.218</f>
        <v>0</v>
      </c>
      <c r="BP667" s="76">
        <f>BO667*Constantes!$E$51</f>
        <v>0</v>
      </c>
      <c r="BQ667" s="76">
        <f t="shared" si="149"/>
        <v>0</v>
      </c>
      <c r="BR667" s="40"/>
    </row>
    <row r="668" spans="1:70">
      <c r="A668" s="147"/>
      <c r="B668" s="39"/>
      <c r="C668" s="75">
        <v>662</v>
      </c>
      <c r="D668" s="146">
        <f>ETo!$I667*((1-Constantes!$E$19)*ETo!$K667+ETo!$L667)</f>
        <v>4.0736755314024888</v>
      </c>
      <c r="E668" s="76">
        <f>MIN(D668*Constantes!$E$17,0.8*(N667+Observaciones!$F667-F668-M668-Constantes!$D$14))</f>
        <v>1.9916701266817465</v>
      </c>
      <c r="F668" s="76">
        <f>IF(Observaciones!$F667&gt;0.05*Constantes!$E$18,((Observaciones!$F667-0.05*Constantes!$E$18)^2)/(Observaciones!$F667+0.95*Constantes!$E$18),0)</f>
        <v>0</v>
      </c>
      <c r="G668" s="76">
        <f>IF(Escenarios!$E$11&gt;0,(F668*Escenarios!$E$16*10000)/1000,0)</f>
        <v>0</v>
      </c>
      <c r="H668" s="76">
        <f>IF(Escenarios!$E$11&gt;0,(Observaciones!$F667*Constantes!$E$29)/1000,0)</f>
        <v>18</v>
      </c>
      <c r="I668" s="76">
        <f>IF(Escenarios!$E$11&gt;0,(D668*Constantes!$E$29)/1000,0)</f>
        <v>40.736755314024883</v>
      </c>
      <c r="J668" s="76">
        <f>IF(Escenarios!$E$11&gt;0,MAX(0,G668+H668-I668),0)</f>
        <v>0</v>
      </c>
      <c r="K668" s="76">
        <f>IF(Escenarios!$E$11&gt;0,IF(J668&gt;Constantes!$E$30,1000*((J668-Constantes!$E$30)/(Escenarios!$E$16*10000)),0),F668)</f>
        <v>0</v>
      </c>
      <c r="L668" s="76">
        <f>IF(Escenarios!$E$11&gt;0,I668*1000/Escenarios!$E$16/10000+E668,E668)</f>
        <v>2.0079648288073564</v>
      </c>
      <c r="M668" s="76">
        <f>MAX(0,N667+Observaciones!$F667-K668-Constantes!$D$13)</f>
        <v>0</v>
      </c>
      <c r="N668" s="76">
        <f>N667+Observaciones!$F667-K668-L668-M668-O667</f>
        <v>38.858822233248098</v>
      </c>
      <c r="O668" s="76">
        <f>MAX(0,(N668-Constantes!$D$14)*(1-EXP(-Constantes!$D$22)))</f>
        <v>0.94045783932577298</v>
      </c>
      <c r="P668" s="170">
        <f>P667+(Entradas!$E$83*M668-Q667)/(800*Entradas!$D$25)</f>
        <v>0</v>
      </c>
      <c r="Q668" s="170">
        <f>8000*Entradas!$D$26*P668/Constantes!$E$45</f>
        <v>0</v>
      </c>
      <c r="R668" s="170">
        <f>IF(Escenarios!$E$14&gt;0,K668*Escenarios!$E$13/Escenarios!$E$14,0)</f>
        <v>0</v>
      </c>
      <c r="S668" s="170">
        <f>IF(Escenarios!$E$14&gt;0,Q668*Escenarios!$E$13/Escenarios!$E$14,0)</f>
        <v>0</v>
      </c>
      <c r="T668" s="170">
        <f>IF(Escenarios!$E$14&gt;0,Observaciones!$I667,0)</f>
        <v>0</v>
      </c>
      <c r="U668" s="170">
        <f>IF(Escenarios!$E$14&gt;0,MAX(0,Constantes!$E$36/((Z667+R668+S668+T668+Observaciones!$F667)^2)+Entradas!$E$77),0)</f>
        <v>0.12713031210189873</v>
      </c>
      <c r="V668" s="146">
        <f>IF(ETo!D667&gt;0,ETo!I667*((1-Entradas!$E$81)*ETo!K667+ETo!L667),0)</f>
        <v>3.7192303883714928</v>
      </c>
      <c r="W668" s="170">
        <f>IF(Escenarios!$E$14&gt;0,MIN(V668*1,0.8*(Z667+R668+S668+T668+Observaciones!$F667-U668-Constantes!$E$35)),0)</f>
        <v>3.7192303883714928</v>
      </c>
      <c r="X668" s="170">
        <f>IF(Escenarios!$E$14&gt;0,Observaciones!$J667,0)</f>
        <v>0</v>
      </c>
      <c r="Y668" s="170">
        <f>IF(Escenarios!$E$14&gt;0,MAX(0,Z667+R668+S668+T668+Observaciones!$F667-U668-W668-X668-Constantes!$E$33),0)</f>
        <v>0</v>
      </c>
      <c r="Z668" s="170">
        <f>Z667+R668+S668+T668+Observaciones!$F667-U668-W668-Y668</f>
        <v>55.933999832753884</v>
      </c>
      <c r="AA668" s="170">
        <f>IF(Escenarios!$E$14&gt;0,(Escenarios!$E$13*L668+Escenarios!$E$14*W668)/(Escenarios!$E$16),L668)</f>
        <v>2.2133166959550525</v>
      </c>
      <c r="AB668" s="170">
        <f>IF(Escenarios!$E$14&gt;0,(Escenarios!$E$14*Y668)/(Escenarios!$E$16),K668)</f>
        <v>0</v>
      </c>
      <c r="AC668" s="170">
        <f>IF(Escenarios!$E$14&gt;0,(Escenarios!$E$13*M668+Escenarios!$E$14*U668)/(Escenarios!$E$16),M668)</f>
        <v>1.5255637452227848E-2</v>
      </c>
      <c r="AD668" s="76">
        <f t="shared" si="141"/>
        <v>67.009321289571645</v>
      </c>
      <c r="AE668" s="76">
        <f>MAX(0,(AD668-Constantes!$D$13)*(1-EXP(-Constantes!$D$23)))</f>
        <v>0.1799134416976487</v>
      </c>
      <c r="AF668" s="76">
        <f>AB668+O668*Escenarios!$E$13/Escenarios!$E$16+AE668</f>
        <v>1.007516340304329</v>
      </c>
      <c r="AG668" s="76">
        <f>IF(Entradas!$E$91&gt;0,IF(AF668-Escenarios!$E$38&lt;=0,0,IF(AF668-Escenarios!$E$38&gt;Escenarios!$E$37,Escenarios!$E$37,AF668-Escenarios!$E$38)),0)</f>
        <v>0</v>
      </c>
      <c r="AH668" s="76">
        <f>AG668*Entradas!$E$99</f>
        <v>0</v>
      </c>
      <c r="AI668" s="76">
        <f>IF(Entradas!$E$91&gt;0,D668*Entradas!$D$23/Escenarios!$E$16,0)</f>
        <v>0</v>
      </c>
      <c r="AJ668" s="76">
        <f>IF(Entradas!$E$91&gt;0,Entradas!$D$24*Entradas!$D$22/Escenarios!$E$16,0)</f>
        <v>0</v>
      </c>
      <c r="AK668" s="76">
        <f t="shared" si="150"/>
        <v>2.2133166959550525</v>
      </c>
      <c r="AL668" s="76">
        <f t="shared" si="151"/>
        <v>0</v>
      </c>
      <c r="AM668" s="76">
        <f t="shared" si="142"/>
        <v>0</v>
      </c>
      <c r="AN668" s="76">
        <f>MAX(0,O668*Escenarios!$E$13/Escenarios!$E$16-AM668)</f>
        <v>0.82760289860668024</v>
      </c>
      <c r="AO668" s="76">
        <f>AM668+AN668-O668*Escenarios!$E$13/Escenarios!$E$16</f>
        <v>0</v>
      </c>
      <c r="AP668" s="76">
        <f t="shared" si="140"/>
        <v>0.1799134416976487</v>
      </c>
      <c r="AQ668" s="76">
        <f t="shared" si="143"/>
        <v>0</v>
      </c>
      <c r="AR668" s="76">
        <f t="shared" si="144"/>
        <v>1.007516340304329</v>
      </c>
      <c r="AS668" s="76">
        <f t="shared" si="145"/>
        <v>0</v>
      </c>
      <c r="AT668" s="76">
        <f t="shared" si="146"/>
        <v>1.5255637452227848E-2</v>
      </c>
      <c r="AU668" s="76">
        <f t="shared" si="147"/>
        <v>48.75</v>
      </c>
      <c r="AV668" s="76">
        <f>MAX(0,(AU668-Constantes!$D$13)*(1-EXP(-Constantes!$D$24)))</f>
        <v>0</v>
      </c>
      <c r="AW668" s="170">
        <f>AW667+(Entradas!$E$112*AT668-AX667)/(800*Entradas!$D$25)</f>
        <v>0</v>
      </c>
      <c r="AX668" s="170">
        <f>8000*Entradas!$D$26*AW668/Constantes!$E$45</f>
        <v>0</v>
      </c>
      <c r="AY668" s="170">
        <f>IF(Escenarios!$E$17&gt;0,10*Escenarios!$E$16*AL668,0)</f>
        <v>0</v>
      </c>
      <c r="AZ668" s="170">
        <f>IF(Escenarios!$E$17&gt;0,10*Escenarios!$E$16*AX668,0)</f>
        <v>0</v>
      </c>
      <c r="BA668" s="170">
        <f>IF(Escenarios!$E$17&gt;0,0.001*Observaciones!$F667*Escenarios!$E$17,0)</f>
        <v>36</v>
      </c>
      <c r="BB668" s="170">
        <f>IF(Escenarios!$E$17&gt;0,Observaciones!$K667,0)</f>
        <v>0</v>
      </c>
      <c r="BC668" s="170">
        <f>IF(Escenarios!$E$17&gt;0,MIN(0.0005*ETo!$M667*Escenarios!$E$17*(BG667/Constantes!$E$40)^(2/3),BG667+AY668+AZ668+BA668+BB668),0)</f>
        <v>13.21020678279478</v>
      </c>
      <c r="BD668" s="170">
        <f>IF(Escenarios!$E$17&gt;0,MIN(Constantes!$E$39*(BG667/Constantes!$E$40)^(2/3),BG667+AY668+AZ668+BA668+BB668-BC668),0)</f>
        <v>22.818484971644622</v>
      </c>
      <c r="BE668" s="170">
        <f>IF(Escenarios!$E$17&gt;0,MIN(Entradas!$E$113,BG667+AY668+AZ668+BA668+BB668-BC668-BD668),0)</f>
        <v>1</v>
      </c>
      <c r="BF668" s="170">
        <f>IF(Escenarios!$E$17&gt;0,MAX(0,BG667+AY668+AZ668+BA668+BB668-BC668-BD668-BE668-Constantes!$E$40),0)</f>
        <v>0</v>
      </c>
      <c r="BG668" s="170">
        <f t="shared" si="152"/>
        <v>1014.5275264796111</v>
      </c>
      <c r="BH668" s="170">
        <f>(Escenarios!$E$16*AK668+0.1*BC668)/(Escenarios!$E$19)</f>
        <v>2.2009928359803279</v>
      </c>
      <c r="BI668" s="170">
        <f>IF(Escenarios!$E$17&gt;0,BF668/10/Escenarios!$E$19,AL668)</f>
        <v>0</v>
      </c>
      <c r="BJ668" s="170">
        <f>(Escenarios!$E$16*AT668+0.1*BD668)/(Escenarios!$E$19)</f>
        <v>2.4189515318338982E-2</v>
      </c>
      <c r="BK668" s="76">
        <f>BK667+(0.1*BD668)/(Escenarios!$E$19)-BL667</f>
        <v>49.564843453559341</v>
      </c>
      <c r="BL668" s="76">
        <f>MAX(0,(BK668-Constantes!$D$13)*(1-EXP(-Constantes!$D$23)))</f>
        <v>8.0288466285100574E-3</v>
      </c>
      <c r="BM668" s="76">
        <f t="shared" si="148"/>
        <v>0.18794228832615875</v>
      </c>
      <c r="BN668" s="76">
        <f t="shared" si="153"/>
        <v>1.0155451869328391</v>
      </c>
      <c r="BO668" s="76">
        <f>0.0526*BI668*Observaciones!$F667^1.218</f>
        <v>0</v>
      </c>
      <c r="BP668" s="76">
        <f>BO668*Constantes!$E$51</f>
        <v>0</v>
      </c>
      <c r="BQ668" s="76">
        <f t="shared" si="149"/>
        <v>0</v>
      </c>
      <c r="BR668" s="40"/>
    </row>
    <row r="669" spans="1:70">
      <c r="A669" s="147"/>
      <c r="B669" s="39"/>
      <c r="C669" s="75">
        <v>663</v>
      </c>
      <c r="D669" s="146">
        <f>ETo!$I668*((1-Constantes!$E$19)*ETo!$K668+ETo!$L668)</f>
        <v>4.0922847924979804</v>
      </c>
      <c r="E669" s="76">
        <f>MIN(D669*Constantes!$E$17,0.8*(N668+Observaciones!$F668-F669-M669-Constantes!$D$14))</f>
        <v>2.0007684235681338</v>
      </c>
      <c r="F669" s="76">
        <f>IF(Observaciones!$F668&gt;0.05*Constantes!$E$18,((Observaciones!$F668-0.05*Constantes!$E$18)^2)/(Observaciones!$F668+0.95*Constantes!$E$18),0)</f>
        <v>0</v>
      </c>
      <c r="G669" s="76">
        <f>IF(Escenarios!$E$11&gt;0,(F669*Escenarios!$E$16*10000)/1000,0)</f>
        <v>0</v>
      </c>
      <c r="H669" s="76">
        <f>IF(Escenarios!$E$11&gt;0,(Observaciones!$F668*Constantes!$E$29)/1000,0)</f>
        <v>58</v>
      </c>
      <c r="I669" s="76">
        <f>IF(Escenarios!$E$11&gt;0,(D669*Constantes!$E$29)/1000,0)</f>
        <v>40.922847924979806</v>
      </c>
      <c r="J669" s="76">
        <f>IF(Escenarios!$E$11&gt;0,MAX(0,G669+H669-I669),0)</f>
        <v>17.077152075020194</v>
      </c>
      <c r="K669" s="76">
        <f>IF(Escenarios!$E$11&gt;0,IF(J669&gt;Constantes!$E$30,1000*((J669-Constantes!$E$30)/(Escenarios!$E$16*10000)),0),F669)</f>
        <v>0</v>
      </c>
      <c r="L669" s="76">
        <f>IF(Escenarios!$E$11&gt;0,I669*1000/Escenarios!$E$16/10000+E669,E669)</f>
        <v>2.0171375627381258</v>
      </c>
      <c r="M669" s="76">
        <f>MAX(0,N668+Observaciones!$F668-K669-Constantes!$D$13)</f>
        <v>0</v>
      </c>
      <c r="N669" s="76">
        <f>N668+Observaciones!$F668-K669-L669-M669-O668</f>
        <v>41.701226831184194</v>
      </c>
      <c r="O669" s="76">
        <f>MAX(0,(N669-Constantes!$D$14)*(1-EXP(-Constantes!$D$22)))</f>
        <v>1.0372805746123746</v>
      </c>
      <c r="P669" s="170">
        <f>P668+(Entradas!$E$83*M669-Q668)/(800*Entradas!$D$25)</f>
        <v>0</v>
      </c>
      <c r="Q669" s="170">
        <f>8000*Entradas!$D$26*P669/Constantes!$E$45</f>
        <v>0</v>
      </c>
      <c r="R669" s="170">
        <f>IF(Escenarios!$E$14&gt;0,K669*Escenarios!$E$13/Escenarios!$E$14,0)</f>
        <v>0</v>
      </c>
      <c r="S669" s="170">
        <f>IF(Escenarios!$E$14&gt;0,Q669*Escenarios!$E$13/Escenarios!$E$14,0)</f>
        <v>0</v>
      </c>
      <c r="T669" s="170">
        <f>IF(Escenarios!$E$14&gt;0,Observaciones!$I668,0)</f>
        <v>0</v>
      </c>
      <c r="U669" s="170">
        <f>IF(Escenarios!$E$14&gt;0,MAX(0,Constantes!$E$36/((Z668+R669+S669+T669+Observaciones!$F668)^2)+Entradas!$E$77),0)</f>
        <v>0.30608335287443955</v>
      </c>
      <c r="V669" s="146">
        <f>IF(ETo!D668&gt;0,ETo!I668*((1-Entradas!$E$81)*ETo!K668+ETo!L668),0)</f>
        <v>3.7364353811345938</v>
      </c>
      <c r="W669" s="170">
        <f>IF(Escenarios!$E$14&gt;0,MIN(V669*1,0.8*(Z668+R669+S669+T669+Observaciones!$F668-U669-Constantes!$E$35)),0)</f>
        <v>3.7364353811345938</v>
      </c>
      <c r="X669" s="170">
        <f>IF(Escenarios!$E$14&gt;0,Observaciones!$J668,0)</f>
        <v>0</v>
      </c>
      <c r="Y669" s="170">
        <f>IF(Escenarios!$E$14&gt;0,MAX(0,Z668+R669+S669+T669+Observaciones!$F668-U669-W669-X669-Constantes!$E$33),0)</f>
        <v>0</v>
      </c>
      <c r="Z669" s="170">
        <f>Z668+R669+S669+T669+Observaciones!$F668-U669-W669-Y669</f>
        <v>57.691481098744852</v>
      </c>
      <c r="AA669" s="170">
        <f>IF(Escenarios!$E$14&gt;0,(Escenarios!$E$13*L669+Escenarios!$E$14*W669)/(Escenarios!$E$16),L669)</f>
        <v>2.2234533009457018</v>
      </c>
      <c r="AB669" s="170">
        <f>IF(Escenarios!$E$14&gt;0,(Escenarios!$E$14*Y669)/(Escenarios!$E$16),K669)</f>
        <v>0</v>
      </c>
      <c r="AC669" s="170">
        <f>IF(Escenarios!$E$14&gt;0,(Escenarios!$E$13*M669+Escenarios!$E$14*U669)/(Escenarios!$E$16),M669)</f>
        <v>3.673000234493274E-2</v>
      </c>
      <c r="AD669" s="76">
        <f t="shared" si="141"/>
        <v>66.866137850218934</v>
      </c>
      <c r="AE669" s="76">
        <f>MAX(0,(AD669-Constantes!$D$13)*(1-EXP(-Constantes!$D$23)))</f>
        <v>0.17850262116606819</v>
      </c>
      <c r="AF669" s="76">
        <f>AB669+O669*Escenarios!$E$13/Escenarios!$E$16+AE669</f>
        <v>1.0913095268249577</v>
      </c>
      <c r="AG669" s="76">
        <f>IF(Entradas!$E$91&gt;0,IF(AF669-Escenarios!$E$38&lt;=0,0,IF(AF669-Escenarios!$E$38&gt;Escenarios!$E$37,Escenarios!$E$37,AF669-Escenarios!$E$38)),0)</f>
        <v>0</v>
      </c>
      <c r="AH669" s="76">
        <f>AG669*Entradas!$E$99</f>
        <v>0</v>
      </c>
      <c r="AI669" s="76">
        <f>IF(Entradas!$E$91&gt;0,D669*Entradas!$D$23/Escenarios!$E$16,0)</f>
        <v>0</v>
      </c>
      <c r="AJ669" s="76">
        <f>IF(Entradas!$E$91&gt;0,Entradas!$D$24*Entradas!$D$22/Escenarios!$E$16,0)</f>
        <v>0</v>
      </c>
      <c r="AK669" s="76">
        <f t="shared" si="150"/>
        <v>2.2234533009457018</v>
      </c>
      <c r="AL669" s="76">
        <f t="shared" si="151"/>
        <v>0</v>
      </c>
      <c r="AM669" s="76">
        <f t="shared" si="142"/>
        <v>0</v>
      </c>
      <c r="AN669" s="76">
        <f>MAX(0,O669*Escenarios!$E$13/Escenarios!$E$16-AM669)</f>
        <v>0.91280690565888956</v>
      </c>
      <c r="AO669" s="76">
        <f>AM669+AN669-O669*Escenarios!$E$13/Escenarios!$E$16</f>
        <v>0</v>
      </c>
      <c r="AP669" s="76">
        <f t="shared" si="140"/>
        <v>0.17850262116606819</v>
      </c>
      <c r="AQ669" s="76">
        <f t="shared" si="143"/>
        <v>0</v>
      </c>
      <c r="AR669" s="76">
        <f t="shared" si="144"/>
        <v>1.0913095268249577</v>
      </c>
      <c r="AS669" s="76">
        <f t="shared" si="145"/>
        <v>0</v>
      </c>
      <c r="AT669" s="76">
        <f t="shared" si="146"/>
        <v>3.673000234493274E-2</v>
      </c>
      <c r="AU669" s="76">
        <f t="shared" si="147"/>
        <v>48.75</v>
      </c>
      <c r="AV669" s="76">
        <f>MAX(0,(AU669-Constantes!$D$13)*(1-EXP(-Constantes!$D$24)))</f>
        <v>0</v>
      </c>
      <c r="AW669" s="170">
        <f>AW668+(Entradas!$E$112*AT669-AX668)/(800*Entradas!$D$25)</f>
        <v>0</v>
      </c>
      <c r="AX669" s="170">
        <f>8000*Entradas!$D$26*AW669/Constantes!$E$45</f>
        <v>0</v>
      </c>
      <c r="AY669" s="170">
        <f>IF(Escenarios!$E$17&gt;0,10*Escenarios!$E$16*AL669,0)</f>
        <v>0</v>
      </c>
      <c r="AZ669" s="170">
        <f>IF(Escenarios!$E$17&gt;0,10*Escenarios!$E$16*AX669,0)</f>
        <v>0</v>
      </c>
      <c r="BA669" s="170">
        <f>IF(Escenarios!$E$17&gt;0,0.001*Observaciones!$F668*Escenarios!$E$17,0)</f>
        <v>115.99999999999999</v>
      </c>
      <c r="BB669" s="170">
        <f>IF(Escenarios!$E$17&gt;0,Observaciones!$K668,0)</f>
        <v>0</v>
      </c>
      <c r="BC669" s="170">
        <f>IF(Escenarios!$E$17&gt;0,MIN(0.0005*ETo!$M668*Escenarios!$E$17*(BG668/Constantes!$E$40)^(2/3),BG668+AY669+AZ669+BA669+BB669),0)</f>
        <v>13.260626477359244</v>
      </c>
      <c r="BD669" s="170">
        <f>IF(Escenarios!$E$17&gt;0,MIN(Constantes!$E$39*(BG668/Constantes!$E$40)^(2/3),BG668+AY669+AZ669+BA669+BB669-BC669),0)</f>
        <v>22.803073284595875</v>
      </c>
      <c r="BE669" s="170">
        <f>IF(Escenarios!$E$17&gt;0,MIN(Entradas!$E$113,BG668+AY669+AZ669+BA669+BB669-BC669-BD669),0)</f>
        <v>1</v>
      </c>
      <c r="BF669" s="170">
        <f>IF(Escenarios!$E$17&gt;0,MAX(0,BG668+AY669+AZ669+BA669+BB669-BC669-BD669-BE669-Constantes!$E$40),0)</f>
        <v>0</v>
      </c>
      <c r="BG669" s="170">
        <f t="shared" si="152"/>
        <v>1093.4638267176558</v>
      </c>
      <c r="BH669" s="170">
        <f>(Escenarios!$E$16*AK669+0.1*BC669)/(Escenarios!$E$19)</f>
        <v>2.211068999540323</v>
      </c>
      <c r="BI669" s="170">
        <f>IF(Escenarios!$E$17&gt;0,BF669/10/Escenarios!$E$19,AL669)</f>
        <v>0</v>
      </c>
      <c r="BJ669" s="170">
        <f>(Escenarios!$E$16*AT669+0.1*BD669)/(Escenarios!$E$19)</f>
        <v>4.5487332994812592E-2</v>
      </c>
      <c r="BK669" s="76">
        <f>BK668+(0.1*BD669)/(Escenarios!$E$19)-BL668</f>
        <v>49.565863445535825</v>
      </c>
      <c r="BL669" s="76">
        <f>MAX(0,(BK669-Constantes!$D$13)*(1-EXP(-Constantes!$D$23)))</f>
        <v>8.0388968523975191E-3</v>
      </c>
      <c r="BM669" s="76">
        <f t="shared" si="148"/>
        <v>0.18654151801846572</v>
      </c>
      <c r="BN669" s="76">
        <f t="shared" si="153"/>
        <v>1.0993484236773552</v>
      </c>
      <c r="BO669" s="76">
        <f>0.0526*BI669*Observaciones!$F668^1.218</f>
        <v>0</v>
      </c>
      <c r="BP669" s="76">
        <f>BO669*Constantes!$E$51</f>
        <v>0</v>
      </c>
      <c r="BQ669" s="76">
        <f t="shared" si="149"/>
        <v>0</v>
      </c>
      <c r="BR669" s="40"/>
    </row>
    <row r="670" spans="1:70">
      <c r="A670" s="147"/>
      <c r="B670" s="39"/>
      <c r="C670" s="75">
        <v>664</v>
      </c>
      <c r="D670" s="146">
        <f>ETo!$I669*((1-Constantes!$E$19)*ETo!$K669+ETo!$L669)</f>
        <v>4.2271590452680767</v>
      </c>
      <c r="E670" s="76">
        <f>MIN(D670*Constantes!$E$17,0.8*(N669+Observaciones!$F669-F670-M670-Constantes!$D$14))</f>
        <v>2.0667101064611355</v>
      </c>
      <c r="F670" s="76">
        <f>IF(Observaciones!$F669&gt;0.05*Constantes!$E$18,((Observaciones!$F669-0.05*Constantes!$E$18)^2)/(Observaciones!$F669+0.95*Constantes!$E$18),0)</f>
        <v>0</v>
      </c>
      <c r="G670" s="76">
        <f>IF(Escenarios!$E$11&gt;0,(F670*Escenarios!$E$16*10000)/1000,0)</f>
        <v>0</v>
      </c>
      <c r="H670" s="76">
        <f>IF(Escenarios!$E$11&gt;0,(Observaciones!$F669*Constantes!$E$29)/1000,0)</f>
        <v>17</v>
      </c>
      <c r="I670" s="76">
        <f>IF(Escenarios!$E$11&gt;0,(D670*Constantes!$E$29)/1000,0)</f>
        <v>42.271590452680762</v>
      </c>
      <c r="J670" s="76">
        <f>IF(Escenarios!$E$11&gt;0,MAX(0,G670+H670-I670),0)</f>
        <v>0</v>
      </c>
      <c r="K670" s="76">
        <f>IF(Escenarios!$E$11&gt;0,IF(J670&gt;Constantes!$E$30,1000*((J670-Constantes!$E$30)/(Escenarios!$E$16*10000)),0),F670)</f>
        <v>0</v>
      </c>
      <c r="L670" s="76">
        <f>IF(Escenarios!$E$11&gt;0,I670*1000/Escenarios!$E$16/10000+E670,E670)</f>
        <v>2.0836187426422077</v>
      </c>
      <c r="M670" s="76">
        <f>MAX(0,N669+Observaciones!$F669-K670-Constantes!$D$13)</f>
        <v>0</v>
      </c>
      <c r="N670" s="76">
        <f>N669+Observaciones!$F669-K670-L670-M670-O669</f>
        <v>40.280327513929613</v>
      </c>
      <c r="O670" s="76">
        <f>MAX(0,(N670-Constantes!$D$14)*(1-EXP(-Constantes!$D$22)))</f>
        <v>0.98887952763850306</v>
      </c>
      <c r="P670" s="170">
        <f>P669+(Entradas!$E$83*M670-Q669)/(800*Entradas!$D$25)</f>
        <v>0</v>
      </c>
      <c r="Q670" s="170">
        <f>8000*Entradas!$D$26*P670/Constantes!$E$45</f>
        <v>0</v>
      </c>
      <c r="R670" s="170">
        <f>IF(Escenarios!$E$14&gt;0,K670*Escenarios!$E$13/Escenarios!$E$14,0)</f>
        <v>0</v>
      </c>
      <c r="S670" s="170">
        <f>IF(Escenarios!$E$14&gt;0,Q670*Escenarios!$E$13/Escenarios!$E$14,0)</f>
        <v>0</v>
      </c>
      <c r="T670" s="170">
        <f>IF(Escenarios!$E$14&gt;0,Observaciones!$I669,0)</f>
        <v>0</v>
      </c>
      <c r="U670" s="170">
        <f>IF(Escenarios!$E$14&gt;0,MAX(0,Constantes!$E$36/((Z669+R670+S670+T670+Observaciones!$F669)^2)+Entradas!$E$77),0)</f>
        <v>8.9385589084241879E-2</v>
      </c>
      <c r="V670" s="146">
        <f>IF(ETo!D669&gt;0,ETo!I669*((1-Entradas!$E$81)*ETo!K669+ETo!L669),0)</f>
        <v>3.8607980890638123</v>
      </c>
      <c r="W670" s="170">
        <f>IF(Escenarios!$E$14&gt;0,MIN(V670*1,0.8*(Z669+R670+S670+T670+Observaciones!$F669-U670-Constantes!$E$35)),0)</f>
        <v>3.8607980890638123</v>
      </c>
      <c r="X670" s="170">
        <f>IF(Escenarios!$E$14&gt;0,Observaciones!$J669,0)</f>
        <v>0</v>
      </c>
      <c r="Y670" s="170">
        <f>IF(Escenarios!$E$14&gt;0,MAX(0,Z669+R670+S670+T670+Observaciones!$F669-U670-W670-X670-Constantes!$E$33),0)</f>
        <v>0</v>
      </c>
      <c r="Z670" s="170">
        <f>Z669+R670+S670+T670+Observaciones!$F669-U670-W670-Y670</f>
        <v>55.441297420596797</v>
      </c>
      <c r="AA670" s="170">
        <f>IF(Escenarios!$E$14&gt;0,(Escenarios!$E$13*L670+Escenarios!$E$14*W670)/(Escenarios!$E$16),L670)</f>
        <v>2.2968802642128003</v>
      </c>
      <c r="AB670" s="170">
        <f>IF(Escenarios!$E$14&gt;0,(Escenarios!$E$14*Y670)/(Escenarios!$E$16),K670)</f>
        <v>0</v>
      </c>
      <c r="AC670" s="170">
        <f>IF(Escenarios!$E$14&gt;0,(Escenarios!$E$13*M670+Escenarios!$E$14*U670)/(Escenarios!$E$16),M670)</f>
        <v>1.0726270690109025E-2</v>
      </c>
      <c r="AD670" s="76">
        <f t="shared" si="141"/>
        <v>66.698361499742973</v>
      </c>
      <c r="AE670" s="76">
        <f>MAX(0,(AD670-Constantes!$D$13)*(1-EXP(-Constantes!$D$23)))</f>
        <v>0.17684948082361523</v>
      </c>
      <c r="AF670" s="76">
        <f>AB670+O670*Escenarios!$E$13/Escenarios!$E$16+AE670</f>
        <v>1.047063465145498</v>
      </c>
      <c r="AG670" s="76">
        <f>IF(Entradas!$E$91&gt;0,IF(AF670-Escenarios!$E$38&lt;=0,0,IF(AF670-Escenarios!$E$38&gt;Escenarios!$E$37,Escenarios!$E$37,AF670-Escenarios!$E$38)),0)</f>
        <v>0</v>
      </c>
      <c r="AH670" s="76">
        <f>AG670*Entradas!$E$99</f>
        <v>0</v>
      </c>
      <c r="AI670" s="76">
        <f>IF(Entradas!$E$91&gt;0,D670*Entradas!$D$23/Escenarios!$E$16,0)</f>
        <v>0</v>
      </c>
      <c r="AJ670" s="76">
        <f>IF(Entradas!$E$91&gt;0,Entradas!$D$24*Entradas!$D$22/Escenarios!$E$16,0)</f>
        <v>0</v>
      </c>
      <c r="AK670" s="76">
        <f t="shared" si="150"/>
        <v>2.2968802642128003</v>
      </c>
      <c r="AL670" s="76">
        <f t="shared" si="151"/>
        <v>0</v>
      </c>
      <c r="AM670" s="76">
        <f t="shared" si="142"/>
        <v>0</v>
      </c>
      <c r="AN670" s="76">
        <f>MAX(0,O670*Escenarios!$E$13/Escenarios!$E$16-AM670)</f>
        <v>0.87021398432188268</v>
      </c>
      <c r="AO670" s="76">
        <f>AM670+AN670-O670*Escenarios!$E$13/Escenarios!$E$16</f>
        <v>0</v>
      </c>
      <c r="AP670" s="76">
        <f t="shared" si="140"/>
        <v>0.17684948082361523</v>
      </c>
      <c r="AQ670" s="76">
        <f t="shared" si="143"/>
        <v>0</v>
      </c>
      <c r="AR670" s="76">
        <f t="shared" si="144"/>
        <v>1.047063465145498</v>
      </c>
      <c r="AS670" s="76">
        <f t="shared" si="145"/>
        <v>0</v>
      </c>
      <c r="AT670" s="76">
        <f t="shared" si="146"/>
        <v>1.0726270690109025E-2</v>
      </c>
      <c r="AU670" s="76">
        <f t="shared" si="147"/>
        <v>48.75</v>
      </c>
      <c r="AV670" s="76">
        <f>MAX(0,(AU670-Constantes!$D$13)*(1-EXP(-Constantes!$D$24)))</f>
        <v>0</v>
      </c>
      <c r="AW670" s="170">
        <f>AW669+(Entradas!$E$112*AT670-AX669)/(800*Entradas!$D$25)</f>
        <v>0</v>
      </c>
      <c r="AX670" s="170">
        <f>8000*Entradas!$D$26*AW670/Constantes!$E$45</f>
        <v>0</v>
      </c>
      <c r="AY670" s="170">
        <f>IF(Escenarios!$E$17&gt;0,10*Escenarios!$E$16*AL670,0)</f>
        <v>0</v>
      </c>
      <c r="AZ670" s="170">
        <f>IF(Escenarios!$E$17&gt;0,10*Escenarios!$E$16*AX670,0)</f>
        <v>0</v>
      </c>
      <c r="BA670" s="170">
        <f>IF(Escenarios!$E$17&gt;0,0.001*Observaciones!$F669*Escenarios!$E$17,0)</f>
        <v>34</v>
      </c>
      <c r="BB670" s="170">
        <f>IF(Escenarios!$E$17&gt;0,Observaciones!$K669,0)</f>
        <v>0</v>
      </c>
      <c r="BC670" s="170">
        <f>IF(Escenarios!$E$17&gt;0,MIN(0.0005*ETo!$M669*Escenarios!$E$17*(BG669/Constantes!$E$40)^(2/3),BG669+AY670+AZ670+BA670+BB670),0)</f>
        <v>14.393534810038963</v>
      </c>
      <c r="BD670" s="170">
        <f>IF(Escenarios!$E$17&gt;0,MIN(Constantes!$E$39*(BG669/Constantes!$E$40)^(2/3),BG669+AY670+AZ670+BA670+BB670-BC670),0)</f>
        <v>23.971052701884489</v>
      </c>
      <c r="BE670" s="170">
        <f>IF(Escenarios!$E$17&gt;0,MIN(Entradas!$E$113,BG669+AY670+AZ670+BA670+BB670-BC670-BD670),0)</f>
        <v>1</v>
      </c>
      <c r="BF670" s="170">
        <f>IF(Escenarios!$E$17&gt;0,MAX(0,BG669+AY670+AZ670+BA670+BB670-BC670-BD670-BE670-Constantes!$E$40),0)</f>
        <v>0</v>
      </c>
      <c r="BG670" s="170">
        <f t="shared" si="152"/>
        <v>1088.0992392057324</v>
      </c>
      <c r="BH670" s="170">
        <f>(Escenarios!$E$16*AK670+0.1*BC670)/(Escenarios!$E$19)</f>
        <v>2.2843627759293805</v>
      </c>
      <c r="BI670" s="170">
        <f>IF(Escenarios!$E$17&gt;0,BF670/10/Escenarios!$E$19,AL670)</f>
        <v>0</v>
      </c>
      <c r="BJ670" s="170">
        <f>(Escenarios!$E$16*AT670+0.1*BD670)/(Escenarios!$E$19)</f>
        <v>2.0153464058395656E-2</v>
      </c>
      <c r="BK670" s="76">
        <f>BK669+(0.1*BD670)/(Escenarios!$E$19)-BL669</f>
        <v>49.567336871184175</v>
      </c>
      <c r="BL670" s="76">
        <f>MAX(0,(BK670-Constantes!$D$13)*(1-EXP(-Constantes!$D$23)))</f>
        <v>8.0534148662533521E-3</v>
      </c>
      <c r="BM670" s="76">
        <f t="shared" si="148"/>
        <v>0.18490289568986859</v>
      </c>
      <c r="BN670" s="76">
        <f t="shared" si="153"/>
        <v>1.0551168800117514</v>
      </c>
      <c r="BO670" s="76">
        <f>0.0526*BI670*Observaciones!$F669^1.218</f>
        <v>0</v>
      </c>
      <c r="BP670" s="76">
        <f>BO670*Constantes!$E$51</f>
        <v>0</v>
      </c>
      <c r="BQ670" s="76">
        <f t="shared" si="149"/>
        <v>0</v>
      </c>
      <c r="BR670" s="40"/>
    </row>
    <row r="671" spans="1:70">
      <c r="A671" s="147"/>
      <c r="B671" s="39"/>
      <c r="C671" s="75">
        <v>665</v>
      </c>
      <c r="D671" s="146">
        <f>ETo!$I670*((1-Constantes!$E$19)*ETo!$K670+ETo!$L670)</f>
        <v>4.3619439163145328</v>
      </c>
      <c r="E671" s="76">
        <f>MIN(D671*Constantes!$E$17,0.8*(N670+Observaciones!$F670-F671-M671-Constantes!$D$14))</f>
        <v>2.1326080895288877</v>
      </c>
      <c r="F671" s="76">
        <f>IF(Observaciones!$F670&gt;0.05*Constantes!$E$18,((Observaciones!$F670-0.05*Constantes!$E$18)^2)/(Observaciones!$F670+0.95*Constantes!$E$18),0)</f>
        <v>0</v>
      </c>
      <c r="G671" s="76">
        <f>IF(Escenarios!$E$11&gt;0,(F671*Escenarios!$E$16*10000)/1000,0)</f>
        <v>0</v>
      </c>
      <c r="H671" s="76">
        <f>IF(Escenarios!$E$11&gt;0,(Observaciones!$F670*Constantes!$E$29)/1000,0)</f>
        <v>3</v>
      </c>
      <c r="I671" s="76">
        <f>IF(Escenarios!$E$11&gt;0,(D671*Constantes!$E$29)/1000,0)</f>
        <v>43.619439163145323</v>
      </c>
      <c r="J671" s="76">
        <f>IF(Escenarios!$E$11&gt;0,MAX(0,G671+H671-I671),0)</f>
        <v>0</v>
      </c>
      <c r="K671" s="76">
        <f>IF(Escenarios!$E$11&gt;0,IF(J671&gt;Constantes!$E$30,1000*((J671-Constantes!$E$30)/(Escenarios!$E$16*10000)),0),F671)</f>
        <v>0</v>
      </c>
      <c r="L671" s="76">
        <f>IF(Escenarios!$E$11&gt;0,I671*1000/Escenarios!$E$16/10000+E671,E671)</f>
        <v>2.1500558651941457</v>
      </c>
      <c r="M671" s="76">
        <f>MAX(0,N670+Observaciones!$F670-K671-Constantes!$D$13)</f>
        <v>0</v>
      </c>
      <c r="N671" s="76">
        <f>N670+Observaciones!$F670-K671-L671-M671-O670</f>
        <v>37.44139212109696</v>
      </c>
      <c r="O671" s="76">
        <f>MAX(0,(N671-Constantes!$D$14)*(1-EXP(-Constantes!$D$22)))</f>
        <v>0.89217496621343739</v>
      </c>
      <c r="P671" s="170">
        <f>P670+(Entradas!$E$83*M671-Q670)/(800*Entradas!$D$25)</f>
        <v>0</v>
      </c>
      <c r="Q671" s="170">
        <f>8000*Entradas!$D$26*P671/Constantes!$E$45</f>
        <v>0</v>
      </c>
      <c r="R671" s="170">
        <f>IF(Escenarios!$E$14&gt;0,K671*Escenarios!$E$13/Escenarios!$E$14,0)</f>
        <v>0</v>
      </c>
      <c r="S671" s="170">
        <f>IF(Escenarios!$E$14&gt;0,Q671*Escenarios!$E$13/Escenarios!$E$14,0)</f>
        <v>0</v>
      </c>
      <c r="T671" s="170">
        <f>IF(Escenarios!$E$14&gt;0,Observaciones!$I670,0)</f>
        <v>0</v>
      </c>
      <c r="U671" s="170">
        <f>IF(Escenarios!$E$14&gt;0,MAX(0,Constantes!$E$36/((Z670+R671+S671+T671+Observaciones!$F670)^2)+Entradas!$E$77),0)</f>
        <v>0</v>
      </c>
      <c r="V671" s="146">
        <f>IF(ETo!D670&gt;0,ETo!I670*((1-Entradas!$E$81)*ETo!K670+ETo!L670),0)</f>
        <v>3.9854465309424061</v>
      </c>
      <c r="W671" s="170">
        <f>IF(Escenarios!$E$14&gt;0,MIN(V671*1,0.8*(Z670+R671+S671+T671+Observaciones!$F670-U671-Constantes!$E$35)),0)</f>
        <v>3.9854465309424061</v>
      </c>
      <c r="X671" s="170">
        <f>IF(Escenarios!$E$14&gt;0,Observaciones!$J670,0)</f>
        <v>0</v>
      </c>
      <c r="Y671" s="170">
        <f>IF(Escenarios!$E$14&gt;0,MAX(0,Z670+R671+S671+T671+Observaciones!$F670-U671-W671-X671-Constantes!$E$33),0)</f>
        <v>0</v>
      </c>
      <c r="Z671" s="170">
        <f>Z670+R671+S671+T671+Observaciones!$F670-U671-W671-Y671</f>
        <v>51.75585088965439</v>
      </c>
      <c r="AA671" s="170">
        <f>IF(Escenarios!$E$14&gt;0,(Escenarios!$E$13*L671+Escenarios!$E$14*W671)/(Escenarios!$E$16),L671)</f>
        <v>2.3703027450839369</v>
      </c>
      <c r="AB671" s="170">
        <f>IF(Escenarios!$E$14&gt;0,(Escenarios!$E$14*Y671)/(Escenarios!$E$16),K671)</f>
        <v>0</v>
      </c>
      <c r="AC671" s="170">
        <f>IF(Escenarios!$E$14&gt;0,(Escenarios!$E$13*M671+Escenarios!$E$14*U671)/(Escenarios!$E$16),M671)</f>
        <v>0</v>
      </c>
      <c r="AD671" s="76">
        <f t="shared" si="141"/>
        <v>66.521512018919353</v>
      </c>
      <c r="AE671" s="76">
        <f>MAX(0,(AD671-Constantes!$D$13)*(1-EXP(-Constantes!$D$23)))</f>
        <v>0.1751069407667955</v>
      </c>
      <c r="AF671" s="76">
        <f>AB671+O671*Escenarios!$E$13/Escenarios!$E$16+AE671</f>
        <v>0.96022091103462048</v>
      </c>
      <c r="AG671" s="76">
        <f>IF(Entradas!$E$91&gt;0,IF(AF671-Escenarios!$E$38&lt;=0,0,IF(AF671-Escenarios!$E$38&gt;Escenarios!$E$37,Escenarios!$E$37,AF671-Escenarios!$E$38)),0)</f>
        <v>0</v>
      </c>
      <c r="AH671" s="76">
        <f>AG671*Entradas!$E$99</f>
        <v>0</v>
      </c>
      <c r="AI671" s="76">
        <f>IF(Entradas!$E$91&gt;0,D671*Entradas!$D$23/Escenarios!$E$16,0)</f>
        <v>0</v>
      </c>
      <c r="AJ671" s="76">
        <f>IF(Entradas!$E$91&gt;0,Entradas!$D$24*Entradas!$D$22/Escenarios!$E$16,0)</f>
        <v>0</v>
      </c>
      <c r="AK671" s="76">
        <f t="shared" si="150"/>
        <v>2.3703027450839369</v>
      </c>
      <c r="AL671" s="76">
        <f t="shared" si="151"/>
        <v>0</v>
      </c>
      <c r="AM671" s="76">
        <f t="shared" si="142"/>
        <v>0</v>
      </c>
      <c r="AN671" s="76">
        <f>MAX(0,O671*Escenarios!$E$13/Escenarios!$E$16-AM671)</f>
        <v>0.78511397026782492</v>
      </c>
      <c r="AO671" s="76">
        <f>AM671+AN671-O671*Escenarios!$E$13/Escenarios!$E$16</f>
        <v>0</v>
      </c>
      <c r="AP671" s="76">
        <f t="shared" si="140"/>
        <v>0.1751069407667955</v>
      </c>
      <c r="AQ671" s="76">
        <f t="shared" si="143"/>
        <v>0</v>
      </c>
      <c r="AR671" s="76">
        <f t="shared" si="144"/>
        <v>0.96022091103462048</v>
      </c>
      <c r="AS671" s="76">
        <f t="shared" si="145"/>
        <v>0</v>
      </c>
      <c r="AT671" s="76">
        <f t="shared" si="146"/>
        <v>0</v>
      </c>
      <c r="AU671" s="76">
        <f t="shared" si="147"/>
        <v>48.75</v>
      </c>
      <c r="AV671" s="76">
        <f>MAX(0,(AU671-Constantes!$D$13)*(1-EXP(-Constantes!$D$24)))</f>
        <v>0</v>
      </c>
      <c r="AW671" s="170">
        <f>AW670+(Entradas!$E$112*AT671-AX670)/(800*Entradas!$D$25)</f>
        <v>0</v>
      </c>
      <c r="AX671" s="170">
        <f>8000*Entradas!$D$26*AW671/Constantes!$E$45</f>
        <v>0</v>
      </c>
      <c r="AY671" s="170">
        <f>IF(Escenarios!$E$17&gt;0,10*Escenarios!$E$16*AL671,0)</f>
        <v>0</v>
      </c>
      <c r="AZ671" s="170">
        <f>IF(Escenarios!$E$17&gt;0,10*Escenarios!$E$16*AX671,0)</f>
        <v>0</v>
      </c>
      <c r="BA671" s="170">
        <f>IF(Escenarios!$E$17&gt;0,0.001*Observaciones!$F670*Escenarios!$E$17,0)</f>
        <v>5.9999999999999991</v>
      </c>
      <c r="BB671" s="170">
        <f>IF(Escenarios!$E$17&gt;0,Observaciones!$K670,0)</f>
        <v>0</v>
      </c>
      <c r="BC671" s="170">
        <f>IF(Escenarios!$E$17&gt;0,MIN(0.0005*ETo!$M670*Escenarios!$E$17*(BG670/Constantes!$E$40)^(2/3),BG670+AY671+AZ671+BA671+BB671),0)</f>
        <v>14.796599952886917</v>
      </c>
      <c r="BD671" s="170">
        <f>IF(Escenarios!$E$17&gt;0,MIN(Constantes!$E$39*(BG670/Constantes!$E$40)^(2/3),BG670+AY671+AZ671+BA671+BB671-BC671),0)</f>
        <v>23.89258634234778</v>
      </c>
      <c r="BE671" s="170">
        <f>IF(Escenarios!$E$17&gt;0,MIN(Entradas!$E$113,BG670+AY671+AZ671+BA671+BB671-BC671-BD671),0)</f>
        <v>1</v>
      </c>
      <c r="BF671" s="170">
        <f>IF(Escenarios!$E$17&gt;0,MAX(0,BG670+AY671+AZ671+BA671+BB671-BC671-BD671-BE671-Constantes!$E$40),0)</f>
        <v>0</v>
      </c>
      <c r="BG671" s="170">
        <f t="shared" si="152"/>
        <v>1054.4100529104976</v>
      </c>
      <c r="BH671" s="170">
        <f>(Escenarios!$E$16*AK671+0.1*BC671)/(Escenarios!$E$19)</f>
        <v>2.3573624851836223</v>
      </c>
      <c r="BI671" s="170">
        <f>IF(Escenarios!$E$17&gt;0,BF671/10/Escenarios!$E$19,AL671)</f>
        <v>0</v>
      </c>
      <c r="BJ671" s="170">
        <f>(Escenarios!$E$16*AT671+0.1*BD671)/(Escenarios!$E$19)</f>
        <v>9.4811850564872138E-3</v>
      </c>
      <c r="BK671" s="76">
        <f>BK670+(0.1*BD671)/(Escenarios!$E$19)-BL670</f>
        <v>49.568764641374408</v>
      </c>
      <c r="BL671" s="76">
        <f>MAX(0,(BK671-Constantes!$D$13)*(1-EXP(-Constantes!$D$23)))</f>
        <v>8.067483026006083E-3</v>
      </c>
      <c r="BM671" s="76">
        <f t="shared" si="148"/>
        <v>0.18317442379280158</v>
      </c>
      <c r="BN671" s="76">
        <f t="shared" si="153"/>
        <v>0.96828839406062661</v>
      </c>
      <c r="BO671" s="76">
        <f>0.0526*BI671*Observaciones!$F670^1.218</f>
        <v>0</v>
      </c>
      <c r="BP671" s="76">
        <f>BO671*Constantes!$E$51</f>
        <v>0</v>
      </c>
      <c r="BQ671" s="76">
        <f t="shared" si="149"/>
        <v>0</v>
      </c>
      <c r="BR671" s="40"/>
    </row>
    <row r="672" spans="1:70">
      <c r="A672" s="147"/>
      <c r="B672" s="39"/>
      <c r="C672" s="75">
        <v>666</v>
      </c>
      <c r="D672" s="146">
        <f>ETo!$I671*((1-Constantes!$E$19)*ETo!$K671+ETo!$L671)</f>
        <v>4.4922846455882945</v>
      </c>
      <c r="E672" s="76">
        <f>MIN(D672*Constantes!$E$17,0.8*(N671+Observaciones!$F671-F672-M672-Constantes!$D$14))</f>
        <v>2.1963332769630206</v>
      </c>
      <c r="F672" s="76">
        <f>IF(Observaciones!$F671&gt;0.05*Constantes!$E$18,((Observaciones!$F671-0.05*Constantes!$E$18)^2)/(Observaciones!$F671+0.95*Constantes!$E$18),0)</f>
        <v>0</v>
      </c>
      <c r="G672" s="76">
        <f>IF(Escenarios!$E$11&gt;0,(F672*Escenarios!$E$16*10000)/1000,0)</f>
        <v>0</v>
      </c>
      <c r="H672" s="76">
        <f>IF(Escenarios!$E$11&gt;0,(Observaciones!$F671*Constantes!$E$29)/1000,0)</f>
        <v>14</v>
      </c>
      <c r="I672" s="76">
        <f>IF(Escenarios!$E$11&gt;0,(D672*Constantes!$E$29)/1000,0)</f>
        <v>44.922846455882947</v>
      </c>
      <c r="J672" s="76">
        <f>IF(Escenarios!$E$11&gt;0,MAX(0,G672+H672-I672),0)</f>
        <v>0</v>
      </c>
      <c r="K672" s="76">
        <f>IF(Escenarios!$E$11&gt;0,IF(J672&gt;Constantes!$E$30,1000*((J672-Constantes!$E$30)/(Escenarios!$E$16*10000)),0),F672)</f>
        <v>0</v>
      </c>
      <c r="L672" s="76">
        <f>IF(Escenarios!$E$11&gt;0,I672*1000/Escenarios!$E$16/10000+E672,E672)</f>
        <v>2.2143024155453737</v>
      </c>
      <c r="M672" s="76">
        <f>MAX(0,N671+Observaciones!$F671-K672-Constantes!$D$13)</f>
        <v>0</v>
      </c>
      <c r="N672" s="76">
        <f>N671+Observaciones!$F671-K672-L672-M672-O671</f>
        <v>35.734914739338144</v>
      </c>
      <c r="O672" s="76">
        <f>MAX(0,(N672-Constantes!$D$14)*(1-EXP(-Constantes!$D$22)))</f>
        <v>0.83404608198401442</v>
      </c>
      <c r="P672" s="170">
        <f>P671+(Entradas!$E$83*M672-Q671)/(800*Entradas!$D$25)</f>
        <v>0</v>
      </c>
      <c r="Q672" s="170">
        <f>8000*Entradas!$D$26*P672/Constantes!$E$45</f>
        <v>0</v>
      </c>
      <c r="R672" s="170">
        <f>IF(Escenarios!$E$14&gt;0,K672*Escenarios!$E$13/Escenarios!$E$14,0)</f>
        <v>0</v>
      </c>
      <c r="S672" s="170">
        <f>IF(Escenarios!$E$14&gt;0,Q672*Escenarios!$E$13/Escenarios!$E$14,0)</f>
        <v>0</v>
      </c>
      <c r="T672" s="170">
        <f>IF(Escenarios!$E$14&gt;0,Observaciones!$I671,0)</f>
        <v>0</v>
      </c>
      <c r="U672" s="170">
        <f>IF(Escenarios!$E$14&gt;0,MAX(0,Constantes!$E$36/((Z671+R672+S672+T672+Observaciones!$F671)^2)+Entradas!$E$77),0)</f>
        <v>0</v>
      </c>
      <c r="V672" s="146">
        <f>IF(ETo!D671&gt;0,ETo!I671*((1-Entradas!$E$81)*ETo!K671+ETo!L671),0)</f>
        <v>4.1063529117969786</v>
      </c>
      <c r="W672" s="170">
        <f>IF(Escenarios!$E$14&gt;0,MIN(V672*1,0.8*(Z671+R672+S672+T672+Observaciones!$F671-U672-Constantes!$E$35)),0)</f>
        <v>4.1063529117969786</v>
      </c>
      <c r="X672" s="170">
        <f>IF(Escenarios!$E$14&gt;0,Observaciones!$J671,0)</f>
        <v>0</v>
      </c>
      <c r="Y672" s="170">
        <f>IF(Escenarios!$E$14&gt;0,MAX(0,Z671+R672+S672+T672+Observaciones!$F671-U672-W672-X672-Constantes!$E$33),0)</f>
        <v>0</v>
      </c>
      <c r="Z672" s="170">
        <f>Z671+R672+S672+T672+Observaciones!$F671-U672-W672-Y672</f>
        <v>49.049497977857413</v>
      </c>
      <c r="AA672" s="170">
        <f>IF(Escenarios!$E$14&gt;0,(Escenarios!$E$13*L672+Escenarios!$E$14*W672)/(Escenarios!$E$16),L672)</f>
        <v>2.4413484750955665</v>
      </c>
      <c r="AB672" s="170">
        <f>IF(Escenarios!$E$14&gt;0,(Escenarios!$E$14*Y672)/(Escenarios!$E$16),K672)</f>
        <v>0</v>
      </c>
      <c r="AC672" s="170">
        <f>IF(Escenarios!$E$14&gt;0,(Escenarios!$E$13*M672+Escenarios!$E$14*U672)/(Escenarios!$E$16),M672)</f>
        <v>0</v>
      </c>
      <c r="AD672" s="76">
        <f t="shared" si="141"/>
        <v>66.346405078152557</v>
      </c>
      <c r="AE672" s="76">
        <f>MAX(0,(AD672-Constantes!$D$13)*(1-EXP(-Constantes!$D$23)))</f>
        <v>0.17338157037219637</v>
      </c>
      <c r="AF672" s="76">
        <f>AB672+O672*Escenarios!$E$13/Escenarios!$E$16+AE672</f>
        <v>0.90734212251812896</v>
      </c>
      <c r="AG672" s="76">
        <f>IF(Entradas!$E$91&gt;0,IF(AF672-Escenarios!$E$38&lt;=0,0,IF(AF672-Escenarios!$E$38&gt;Escenarios!$E$37,Escenarios!$E$37,AF672-Escenarios!$E$38)),0)</f>
        <v>0</v>
      </c>
      <c r="AH672" s="76">
        <f>AG672*Entradas!$E$99</f>
        <v>0</v>
      </c>
      <c r="AI672" s="76">
        <f>IF(Entradas!$E$91&gt;0,D672*Entradas!$D$23/Escenarios!$E$16,0)</f>
        <v>0</v>
      </c>
      <c r="AJ672" s="76">
        <f>IF(Entradas!$E$91&gt;0,Entradas!$D$24*Entradas!$D$22/Escenarios!$E$16,0)</f>
        <v>0</v>
      </c>
      <c r="AK672" s="76">
        <f t="shared" si="150"/>
        <v>2.4413484750955665</v>
      </c>
      <c r="AL672" s="76">
        <f t="shared" si="151"/>
        <v>0</v>
      </c>
      <c r="AM672" s="76">
        <f t="shared" si="142"/>
        <v>0</v>
      </c>
      <c r="AN672" s="76">
        <f>MAX(0,O672*Escenarios!$E$13/Escenarios!$E$16-AM672)</f>
        <v>0.73396055214593259</v>
      </c>
      <c r="AO672" s="76">
        <f>AM672+AN672-O672*Escenarios!$E$13/Escenarios!$E$16</f>
        <v>0</v>
      </c>
      <c r="AP672" s="76">
        <f t="shared" si="140"/>
        <v>0.17338157037219637</v>
      </c>
      <c r="AQ672" s="76">
        <f t="shared" si="143"/>
        <v>0</v>
      </c>
      <c r="AR672" s="76">
        <f t="shared" si="144"/>
        <v>0.90734212251812896</v>
      </c>
      <c r="AS672" s="76">
        <f t="shared" si="145"/>
        <v>0</v>
      </c>
      <c r="AT672" s="76">
        <f t="shared" si="146"/>
        <v>0</v>
      </c>
      <c r="AU672" s="76">
        <f t="shared" si="147"/>
        <v>48.75</v>
      </c>
      <c r="AV672" s="76">
        <f>MAX(0,(AU672-Constantes!$D$13)*(1-EXP(-Constantes!$D$24)))</f>
        <v>0</v>
      </c>
      <c r="AW672" s="170">
        <f>AW671+(Entradas!$E$112*AT672-AX671)/(800*Entradas!$D$25)</f>
        <v>0</v>
      </c>
      <c r="AX672" s="170">
        <f>8000*Entradas!$D$26*AW672/Constantes!$E$45</f>
        <v>0</v>
      </c>
      <c r="AY672" s="170">
        <f>IF(Escenarios!$E$17&gt;0,10*Escenarios!$E$16*AL672,0)</f>
        <v>0</v>
      </c>
      <c r="AZ672" s="170">
        <f>IF(Escenarios!$E$17&gt;0,10*Escenarios!$E$16*AX672,0)</f>
        <v>0</v>
      </c>
      <c r="BA672" s="170">
        <f>IF(Escenarios!$E$17&gt;0,0.001*Observaciones!$F671*Escenarios!$E$17,0)</f>
        <v>28</v>
      </c>
      <c r="BB672" s="170">
        <f>IF(Escenarios!$E$17&gt;0,Observaciones!$K671,0)</f>
        <v>0</v>
      </c>
      <c r="BC672" s="170">
        <f>IF(Escenarios!$E$17&gt;0,MIN(0.0005*ETo!$M671*Escenarios!$E$17*(BG671/Constantes!$E$40)^(2/3),BG671+AY672+AZ672+BA672+BB672),0)</f>
        <v>14.914196751692547</v>
      </c>
      <c r="BD672" s="170">
        <f>IF(Escenarios!$E$17&gt;0,MIN(Constantes!$E$39*(BG671/Constantes!$E$40)^(2/3),BG671+AY672+AZ672+BA672+BB672-BC672),0)</f>
        <v>23.396838913275303</v>
      </c>
      <c r="BE672" s="170">
        <f>IF(Escenarios!$E$17&gt;0,MIN(Entradas!$E$113,BG671+AY672+AZ672+BA672+BB672-BC672-BD672),0)</f>
        <v>1</v>
      </c>
      <c r="BF672" s="170">
        <f>IF(Escenarios!$E$17&gt;0,MAX(0,BG671+AY672+AZ672+BA672+BB672-BC672-BD672-BE672-Constantes!$E$40),0)</f>
        <v>0</v>
      </c>
      <c r="BG672" s="170">
        <f t="shared" si="152"/>
        <v>1043.0990172455297</v>
      </c>
      <c r="BH672" s="170">
        <f>(Escenarios!$E$16*AK672+0.1*BC672)/(Escenarios!$E$19)</f>
        <v>2.4278910255915114</v>
      </c>
      <c r="BI672" s="170">
        <f>IF(Escenarios!$E$17&gt;0,BF672/10/Escenarios!$E$19,AL672)</f>
        <v>0</v>
      </c>
      <c r="BJ672" s="170">
        <f>(Escenarios!$E$16*AT672+0.1*BD672)/(Escenarios!$E$19)</f>
        <v>9.2844598862203594E-3</v>
      </c>
      <c r="BK672" s="76">
        <f>BK671+(0.1*BD672)/(Escenarios!$E$19)-BL671</f>
        <v>49.569981618234621</v>
      </c>
      <c r="BL672" s="76">
        <f>MAX(0,(BK672-Constantes!$D$13)*(1-EXP(-Constantes!$D$23)))</f>
        <v>8.0794741888710712E-3</v>
      </c>
      <c r="BM672" s="76">
        <f t="shared" si="148"/>
        <v>0.18146104456106743</v>
      </c>
      <c r="BN672" s="76">
        <f t="shared" si="153"/>
        <v>0.91542159670700007</v>
      </c>
      <c r="BO672" s="76">
        <f>0.0526*BI672*Observaciones!$F671^1.218</f>
        <v>0</v>
      </c>
      <c r="BP672" s="76">
        <f>BO672*Constantes!$E$51</f>
        <v>0</v>
      </c>
      <c r="BQ672" s="76">
        <f t="shared" si="149"/>
        <v>0</v>
      </c>
      <c r="BR672" s="40"/>
    </row>
    <row r="673" spans="1:70">
      <c r="A673" s="147"/>
      <c r="B673" s="39"/>
      <c r="C673" s="75">
        <v>667</v>
      </c>
      <c r="D673" s="146">
        <f>ETo!$I672*((1-Constantes!$E$19)*ETo!$K672+ETo!$L672)</f>
        <v>4.4834709682230809</v>
      </c>
      <c r="E673" s="76">
        <f>MIN(D673*Constantes!$E$17,0.8*(N672+Observaciones!$F672-F673-M673-Constantes!$D$14))</f>
        <v>2.1920241615758993</v>
      </c>
      <c r="F673" s="76">
        <f>IF(Observaciones!$F672&gt;0.05*Constantes!$E$18,((Observaciones!$F672-0.05*Constantes!$E$18)^2)/(Observaciones!$F672+0.95*Constantes!$E$18),0)</f>
        <v>0</v>
      </c>
      <c r="G673" s="76">
        <f>IF(Escenarios!$E$11&gt;0,(F673*Escenarios!$E$16*10000)/1000,0)</f>
        <v>0</v>
      </c>
      <c r="H673" s="76">
        <f>IF(Escenarios!$E$11&gt;0,(Observaciones!$F672*Constantes!$E$29)/1000,0)</f>
        <v>0</v>
      </c>
      <c r="I673" s="76">
        <f>IF(Escenarios!$E$11&gt;0,(D673*Constantes!$E$29)/1000,0)</f>
        <v>44.834709682230809</v>
      </c>
      <c r="J673" s="76">
        <f>IF(Escenarios!$E$11&gt;0,MAX(0,G673+H673-I673),0)</f>
        <v>0</v>
      </c>
      <c r="K673" s="76">
        <f>IF(Escenarios!$E$11&gt;0,IF(J673&gt;Constantes!$E$30,1000*((J673-Constantes!$E$30)/(Escenarios!$E$16*10000)),0),F673)</f>
        <v>0</v>
      </c>
      <c r="L673" s="76">
        <f>IF(Escenarios!$E$11&gt;0,I673*1000/Escenarios!$E$16/10000+E673,E673)</f>
        <v>2.2099580454487917</v>
      </c>
      <c r="M673" s="76">
        <f>MAX(0,N672+Observaciones!$F672-K673-Constantes!$D$13)</f>
        <v>0</v>
      </c>
      <c r="N673" s="76">
        <f>N672+Observaciones!$F672-K673-L673-M673-O672</f>
        <v>32.690910611905338</v>
      </c>
      <c r="O673" s="76">
        <f>MAX(0,(N673-Constantes!$D$14)*(1-EXP(-Constantes!$D$22)))</f>
        <v>0.73035612663573091</v>
      </c>
      <c r="P673" s="170">
        <f>P672+(Entradas!$E$83*M673-Q672)/(800*Entradas!$D$25)</f>
        <v>0</v>
      </c>
      <c r="Q673" s="170">
        <f>8000*Entradas!$D$26*P673/Constantes!$E$45</f>
        <v>0</v>
      </c>
      <c r="R673" s="170">
        <f>IF(Escenarios!$E$14&gt;0,K673*Escenarios!$E$13/Escenarios!$E$14,0)</f>
        <v>0</v>
      </c>
      <c r="S673" s="170">
        <f>IF(Escenarios!$E$14&gt;0,Q673*Escenarios!$E$13/Escenarios!$E$14,0)</f>
        <v>0</v>
      </c>
      <c r="T673" s="170">
        <f>IF(Escenarios!$E$14&gt;0,Observaciones!$I672,0)</f>
        <v>0</v>
      </c>
      <c r="U673" s="170">
        <f>IF(Escenarios!$E$14&gt;0,MAX(0,Constantes!$E$36/((Z672+R673+S673+T673+Observaciones!$F672)^2)+Entradas!$E$77),0)</f>
        <v>0</v>
      </c>
      <c r="V673" s="146">
        <f>IF(ETo!D672&gt;0,ETo!I672*((1-Entradas!$E$81)*ETo!K672+ETo!L672),0)</f>
        <v>4.0982044950645129</v>
      </c>
      <c r="W673" s="170">
        <f>IF(Escenarios!$E$14&gt;0,MIN(V673*1,0.8*(Z672+R673+S673+T673+Observaciones!$F672-U673-Constantes!$E$35)),0)</f>
        <v>4.0982044950645129</v>
      </c>
      <c r="X673" s="170">
        <f>IF(Escenarios!$E$14&gt;0,Observaciones!$J672,0)</f>
        <v>0</v>
      </c>
      <c r="Y673" s="170">
        <f>IF(Escenarios!$E$14&gt;0,MAX(0,Z672+R673+S673+T673+Observaciones!$F672-U673-W673-X673-Constantes!$E$33),0)</f>
        <v>0</v>
      </c>
      <c r="Z673" s="170">
        <f>Z672+R673+S673+T673+Observaciones!$F672-U673-W673-Y673</f>
        <v>44.951293482792899</v>
      </c>
      <c r="AA673" s="170">
        <f>IF(Escenarios!$E$14&gt;0,(Escenarios!$E$13*L673+Escenarios!$E$14*W673)/(Escenarios!$E$16),L673)</f>
        <v>2.4365476194026781</v>
      </c>
      <c r="AB673" s="170">
        <f>IF(Escenarios!$E$14&gt;0,(Escenarios!$E$14*Y673)/(Escenarios!$E$16),K673)</f>
        <v>0</v>
      </c>
      <c r="AC673" s="170">
        <f>IF(Escenarios!$E$14&gt;0,(Escenarios!$E$13*M673+Escenarios!$E$14*U673)/(Escenarios!$E$16),M673)</f>
        <v>0</v>
      </c>
      <c r="AD673" s="76">
        <f t="shared" si="141"/>
        <v>66.173023507780357</v>
      </c>
      <c r="AE673" s="76">
        <f>MAX(0,(AD673-Constantes!$D$13)*(1-EXP(-Constantes!$D$23)))</f>
        <v>0.1716732004630464</v>
      </c>
      <c r="AF673" s="76">
        <f>AB673+O673*Escenarios!$E$13/Escenarios!$E$16+AE673</f>
        <v>0.81438659190248952</v>
      </c>
      <c r="AG673" s="76">
        <f>IF(Entradas!$E$91&gt;0,IF(AF673-Escenarios!$E$38&lt;=0,0,IF(AF673-Escenarios!$E$38&gt;Escenarios!$E$37,Escenarios!$E$37,AF673-Escenarios!$E$38)),0)</f>
        <v>0</v>
      </c>
      <c r="AH673" s="76">
        <f>AG673*Entradas!$E$99</f>
        <v>0</v>
      </c>
      <c r="AI673" s="76">
        <f>IF(Entradas!$E$91&gt;0,D673*Entradas!$D$23/Escenarios!$E$16,0)</f>
        <v>0</v>
      </c>
      <c r="AJ673" s="76">
        <f>IF(Entradas!$E$91&gt;0,Entradas!$D$24*Entradas!$D$22/Escenarios!$E$16,0)</f>
        <v>0</v>
      </c>
      <c r="AK673" s="76">
        <f t="shared" si="150"/>
        <v>2.4365476194026781</v>
      </c>
      <c r="AL673" s="76">
        <f t="shared" si="151"/>
        <v>0</v>
      </c>
      <c r="AM673" s="76">
        <f t="shared" si="142"/>
        <v>0</v>
      </c>
      <c r="AN673" s="76">
        <f>MAX(0,O673*Escenarios!$E$13/Escenarios!$E$16-AM673)</f>
        <v>0.64271339143944317</v>
      </c>
      <c r="AO673" s="76">
        <f>AM673+AN673-O673*Escenarios!$E$13/Escenarios!$E$16</f>
        <v>0</v>
      </c>
      <c r="AP673" s="76">
        <f t="shared" si="140"/>
        <v>0.1716732004630464</v>
      </c>
      <c r="AQ673" s="76">
        <f t="shared" si="143"/>
        <v>0</v>
      </c>
      <c r="AR673" s="76">
        <f t="shared" si="144"/>
        <v>0.81438659190248952</v>
      </c>
      <c r="AS673" s="76">
        <f t="shared" si="145"/>
        <v>0</v>
      </c>
      <c r="AT673" s="76">
        <f t="shared" si="146"/>
        <v>0</v>
      </c>
      <c r="AU673" s="76">
        <f t="shared" si="147"/>
        <v>48.75</v>
      </c>
      <c r="AV673" s="76">
        <f>MAX(0,(AU673-Constantes!$D$13)*(1-EXP(-Constantes!$D$24)))</f>
        <v>0</v>
      </c>
      <c r="AW673" s="170">
        <f>AW672+(Entradas!$E$112*AT673-AX672)/(800*Entradas!$D$25)</f>
        <v>0</v>
      </c>
      <c r="AX673" s="170">
        <f>8000*Entradas!$D$26*AW673/Constantes!$E$45</f>
        <v>0</v>
      </c>
      <c r="AY673" s="170">
        <f>IF(Escenarios!$E$17&gt;0,10*Escenarios!$E$16*AL673,0)</f>
        <v>0</v>
      </c>
      <c r="AZ673" s="170">
        <f>IF(Escenarios!$E$17&gt;0,10*Escenarios!$E$16*AX673,0)</f>
        <v>0</v>
      </c>
      <c r="BA673" s="170">
        <f>IF(Escenarios!$E$17&gt;0,0.001*Observaciones!$F672*Escenarios!$E$17,0)</f>
        <v>0</v>
      </c>
      <c r="BB673" s="170">
        <f>IF(Escenarios!$E$17&gt;0,Observaciones!$K672,0)</f>
        <v>0</v>
      </c>
      <c r="BC673" s="170">
        <f>IF(Escenarios!$E$17&gt;0,MIN(0.0005*ETo!$M672*Escenarios!$E$17*(BG672/Constantes!$E$40)^(2/3),BG672+AY673+AZ673+BA673+BB673),0)</f>
        <v>14.778713760316982</v>
      </c>
      <c r="BD673" s="170">
        <f>IF(Escenarios!$E$17&gt;0,MIN(Constantes!$E$39*(BG672/Constantes!$E$40)^(2/3),BG672+AY673+AZ673+BA673+BB673-BC673),0)</f>
        <v>23.229214119208756</v>
      </c>
      <c r="BE673" s="170">
        <f>IF(Escenarios!$E$17&gt;0,MIN(Entradas!$E$113,BG672+AY673+AZ673+BA673+BB673-BC673-BD673),0)</f>
        <v>1</v>
      </c>
      <c r="BF673" s="170">
        <f>IF(Escenarios!$E$17&gt;0,MAX(0,BG672+AY673+AZ673+BA673+BB673-BC673-BD673-BE673-Constantes!$E$40),0)</f>
        <v>0</v>
      </c>
      <c r="BG673" s="170">
        <f t="shared" si="152"/>
        <v>1004.0910893660039</v>
      </c>
      <c r="BH673" s="170">
        <f>(Escenarios!$E$16*AK673+0.1*BC673)/(Escenarios!$E$19)</f>
        <v>2.4230745088361161</v>
      </c>
      <c r="BI673" s="170">
        <f>IF(Escenarios!$E$17&gt;0,BF673/10/Escenarios!$E$19,AL673)</f>
        <v>0</v>
      </c>
      <c r="BJ673" s="170">
        <f>(Escenarios!$E$16*AT673+0.1*BD673)/(Escenarios!$E$19)</f>
        <v>9.2179421107971247E-3</v>
      </c>
      <c r="BK673" s="76">
        <f>BK672+(0.1*BD673)/(Escenarios!$E$19)-BL672</f>
        <v>49.571120086156547</v>
      </c>
      <c r="BL673" s="76">
        <f>MAX(0,(BK673-Constantes!$D$13)*(1-EXP(-Constantes!$D$23)))</f>
        <v>8.0906917844677431E-3</v>
      </c>
      <c r="BM673" s="76">
        <f t="shared" si="148"/>
        <v>0.17976389224751416</v>
      </c>
      <c r="BN673" s="76">
        <f t="shared" si="153"/>
        <v>0.82247728368695727</v>
      </c>
      <c r="BO673" s="76">
        <f>0.0526*BI673*Observaciones!$F672^1.218</f>
        <v>0</v>
      </c>
      <c r="BP673" s="76">
        <f>BO673*Constantes!$E$51</f>
        <v>0</v>
      </c>
      <c r="BQ673" s="76">
        <f t="shared" si="149"/>
        <v>0</v>
      </c>
      <c r="BR673" s="40"/>
    </row>
    <row r="674" spans="1:70">
      <c r="A674" s="147"/>
      <c r="B674" s="39"/>
      <c r="C674" s="75">
        <v>668</v>
      </c>
      <c r="D674" s="146">
        <f>ETo!$I673*((1-Constantes!$E$19)*ETo!$K673+ETo!$L673)</f>
        <v>4.3576252381245846</v>
      </c>
      <c r="E674" s="76">
        <f>MIN(D674*Constantes!$E$17,0.8*(N673+Observaciones!$F673-F674-M674-Constantes!$D$14))</f>
        <v>2.1304966345857128</v>
      </c>
      <c r="F674" s="76">
        <f>IF(Observaciones!$F673&gt;0.05*Constantes!$E$18,((Observaciones!$F673-0.05*Constantes!$E$18)^2)/(Observaciones!$F673+0.95*Constantes!$E$18),0)</f>
        <v>0</v>
      </c>
      <c r="G674" s="76">
        <f>IF(Escenarios!$E$11&gt;0,(F674*Escenarios!$E$16*10000)/1000,0)</f>
        <v>0</v>
      </c>
      <c r="H674" s="76">
        <f>IF(Escenarios!$E$11&gt;0,(Observaciones!$F673*Constantes!$E$29)/1000,0)</f>
        <v>25</v>
      </c>
      <c r="I674" s="76">
        <f>IF(Escenarios!$E$11&gt;0,(D674*Constantes!$E$29)/1000,0)</f>
        <v>43.576252381245844</v>
      </c>
      <c r="J674" s="76">
        <f>IF(Escenarios!$E$11&gt;0,MAX(0,G674+H674-I674),0)</f>
        <v>0</v>
      </c>
      <c r="K674" s="76">
        <f>IF(Escenarios!$E$11&gt;0,IF(J674&gt;Constantes!$E$30,1000*((J674-Constantes!$E$30)/(Escenarios!$E$16*10000)),0),F674)</f>
        <v>0</v>
      </c>
      <c r="L674" s="76">
        <f>IF(Escenarios!$E$11&gt;0,I674*1000/Escenarios!$E$16/10000+E674,E674)</f>
        <v>2.147927135538211</v>
      </c>
      <c r="M674" s="76">
        <f>MAX(0,N673+Observaciones!$F673-K674-Constantes!$D$13)</f>
        <v>0</v>
      </c>
      <c r="N674" s="76">
        <f>N673+Observaciones!$F673-K674-L674-M674-O673</f>
        <v>32.312627349731393</v>
      </c>
      <c r="O674" s="76">
        <f>MAX(0,(N674-Constantes!$D$14)*(1-EXP(-Constantes!$D$22)))</f>
        <v>0.71747041001980127</v>
      </c>
      <c r="P674" s="170">
        <f>P673+(Entradas!$E$83*M674-Q673)/(800*Entradas!$D$25)</f>
        <v>0</v>
      </c>
      <c r="Q674" s="170">
        <f>8000*Entradas!$D$26*P674/Constantes!$E$45</f>
        <v>0</v>
      </c>
      <c r="R674" s="170">
        <f>IF(Escenarios!$E$14&gt;0,K674*Escenarios!$E$13/Escenarios!$E$14,0)</f>
        <v>0</v>
      </c>
      <c r="S674" s="170">
        <f>IF(Escenarios!$E$14&gt;0,Q674*Escenarios!$E$13/Escenarios!$E$14,0)</f>
        <v>0</v>
      </c>
      <c r="T674" s="170">
        <f>IF(Escenarios!$E$14&gt;0,Observaciones!$I673,0)</f>
        <v>0</v>
      </c>
      <c r="U674" s="170">
        <f>IF(Escenarios!$E$14&gt;0,MAX(0,Constantes!$E$36/((Z673+R674+S674+T674+Observaciones!$F673)^2)+Entradas!$E$77),0)</f>
        <v>0</v>
      </c>
      <c r="V674" s="146">
        <f>IF(ETo!D673&gt;0,ETo!I673*((1-Entradas!$E$81)*ETo!K673+ETo!L673),0)</f>
        <v>3.9815946778327072</v>
      </c>
      <c r="W674" s="170">
        <f>IF(Escenarios!$E$14&gt;0,MIN(V674*1,0.8*(Z673+R674+S674+T674+Observaciones!$F673-U674-Constantes!$E$35)),0)</f>
        <v>3.9815946778327072</v>
      </c>
      <c r="X674" s="170">
        <f>IF(Escenarios!$E$14&gt;0,Observaciones!$J673,0)</f>
        <v>0</v>
      </c>
      <c r="Y674" s="170">
        <f>IF(Escenarios!$E$14&gt;0,MAX(0,Z673+R674+S674+T674+Observaciones!$F673-U674-W674-X674-Constantes!$E$33),0)</f>
        <v>0</v>
      </c>
      <c r="Z674" s="170">
        <f>Z673+R674+S674+T674+Observaciones!$F673-U674-W674-Y674</f>
        <v>43.469698804960188</v>
      </c>
      <c r="AA674" s="170">
        <f>IF(Escenarios!$E$14&gt;0,(Escenarios!$E$13*L674+Escenarios!$E$14*W674)/(Escenarios!$E$16),L674)</f>
        <v>2.3679672406135506</v>
      </c>
      <c r="AB674" s="170">
        <f>IF(Escenarios!$E$14&gt;0,(Escenarios!$E$14*Y674)/(Escenarios!$E$16),K674)</f>
        <v>0</v>
      </c>
      <c r="AC674" s="170">
        <f>IF(Escenarios!$E$14&gt;0,(Escenarios!$E$13*M674+Escenarios!$E$14*U674)/(Escenarios!$E$16),M674)</f>
        <v>0</v>
      </c>
      <c r="AD674" s="76">
        <f t="shared" si="141"/>
        <v>66.00135030731731</v>
      </c>
      <c r="AE674" s="76">
        <f>MAX(0,(AD674-Constantes!$D$13)*(1-EXP(-Constantes!$D$23)))</f>
        <v>0.16998166352951333</v>
      </c>
      <c r="AF674" s="76">
        <f>AB674+O674*Escenarios!$E$13/Escenarios!$E$16+AE674</f>
        <v>0.80135562434693841</v>
      </c>
      <c r="AG674" s="76">
        <f>IF(Entradas!$E$91&gt;0,IF(AF674-Escenarios!$E$38&lt;=0,0,IF(AF674-Escenarios!$E$38&gt;Escenarios!$E$37,Escenarios!$E$37,AF674-Escenarios!$E$38)),0)</f>
        <v>0</v>
      </c>
      <c r="AH674" s="76">
        <f>AG674*Entradas!$E$99</f>
        <v>0</v>
      </c>
      <c r="AI674" s="76">
        <f>IF(Entradas!$E$91&gt;0,D674*Entradas!$D$23/Escenarios!$E$16,0)</f>
        <v>0</v>
      </c>
      <c r="AJ674" s="76">
        <f>IF(Entradas!$E$91&gt;0,Entradas!$D$24*Entradas!$D$22/Escenarios!$E$16,0)</f>
        <v>0</v>
      </c>
      <c r="AK674" s="76">
        <f t="shared" si="150"/>
        <v>2.3679672406135506</v>
      </c>
      <c r="AL674" s="76">
        <f t="shared" si="151"/>
        <v>0</v>
      </c>
      <c r="AM674" s="76">
        <f t="shared" si="142"/>
        <v>0</v>
      </c>
      <c r="AN674" s="76">
        <f>MAX(0,O674*Escenarios!$E$13/Escenarios!$E$16-AM674)</f>
        <v>0.63137396081742514</v>
      </c>
      <c r="AO674" s="76">
        <f>AM674+AN674-O674*Escenarios!$E$13/Escenarios!$E$16</f>
        <v>0</v>
      </c>
      <c r="AP674" s="76">
        <f t="shared" si="140"/>
        <v>0.16998166352951333</v>
      </c>
      <c r="AQ674" s="76">
        <f t="shared" si="143"/>
        <v>0</v>
      </c>
      <c r="AR674" s="76">
        <f t="shared" si="144"/>
        <v>0.80135562434693841</v>
      </c>
      <c r="AS674" s="76">
        <f t="shared" si="145"/>
        <v>0</v>
      </c>
      <c r="AT674" s="76">
        <f t="shared" si="146"/>
        <v>0</v>
      </c>
      <c r="AU674" s="76">
        <f t="shared" si="147"/>
        <v>48.75</v>
      </c>
      <c r="AV674" s="76">
        <f>MAX(0,(AU674-Constantes!$D$13)*(1-EXP(-Constantes!$D$24)))</f>
        <v>0</v>
      </c>
      <c r="AW674" s="170">
        <f>AW673+(Entradas!$E$112*AT674-AX673)/(800*Entradas!$D$25)</f>
        <v>0</v>
      </c>
      <c r="AX674" s="170">
        <f>8000*Entradas!$D$26*AW674/Constantes!$E$45</f>
        <v>0</v>
      </c>
      <c r="AY674" s="170">
        <f>IF(Escenarios!$E$17&gt;0,10*Escenarios!$E$16*AL674,0)</f>
        <v>0</v>
      </c>
      <c r="AZ674" s="170">
        <f>IF(Escenarios!$E$17&gt;0,10*Escenarios!$E$16*AX674,0)</f>
        <v>0</v>
      </c>
      <c r="BA674" s="170">
        <f>IF(Escenarios!$E$17&gt;0,0.001*Observaciones!$F673*Escenarios!$E$17,0)</f>
        <v>50</v>
      </c>
      <c r="BB674" s="170">
        <f>IF(Escenarios!$E$17&gt;0,Observaciones!$K673,0)</f>
        <v>0</v>
      </c>
      <c r="BC674" s="170">
        <f>IF(Escenarios!$E$17&gt;0,MIN(0.0005*ETo!$M673*Escenarios!$E$17*(BG673/Constantes!$E$40)^(2/3),BG673+AY674+AZ674+BA674+BB674),0)</f>
        <v>14.010548869564664</v>
      </c>
      <c r="BD674" s="170">
        <f>IF(Escenarios!$E$17&gt;0,MIN(Constantes!$E$39*(BG673/Constantes!$E$40)^(2/3),BG673+AY674+AZ674+BA674+BB674-BC674),0)</f>
        <v>22.646420568832418</v>
      </c>
      <c r="BE674" s="170">
        <f>IF(Escenarios!$E$17&gt;0,MIN(Entradas!$E$113,BG673+AY674+AZ674+BA674+BB674-BC674-BD674),0)</f>
        <v>1</v>
      </c>
      <c r="BF674" s="170">
        <f>IF(Escenarios!$E$17&gt;0,MAX(0,BG673+AY674+AZ674+BA674+BB674-BC674-BD674-BE674-Constantes!$E$40),0)</f>
        <v>0</v>
      </c>
      <c r="BG674" s="170">
        <f t="shared" si="152"/>
        <v>1016.4341199276067</v>
      </c>
      <c r="BH674" s="170">
        <f>(Escenarios!$E$16*AK674+0.1*BC674)/(Escenarios!$E$19)</f>
        <v>2.354733591429937</v>
      </c>
      <c r="BI674" s="170">
        <f>IF(Escenarios!$E$17&gt;0,BF674/10/Escenarios!$E$19,AL674)</f>
        <v>0</v>
      </c>
      <c r="BJ674" s="170">
        <f>(Escenarios!$E$16*AT674+0.1*BD674)/(Escenarios!$E$19)</f>
        <v>8.9866748289017546E-3</v>
      </c>
      <c r="BK674" s="76">
        <f>BK673+(0.1*BD674)/(Escenarios!$E$19)-BL673</f>
        <v>49.572016069200984</v>
      </c>
      <c r="BL674" s="76">
        <f>MAX(0,(BK674-Constantes!$D$13)*(1-EXP(-Constantes!$D$23)))</f>
        <v>8.0995201188111127E-3</v>
      </c>
      <c r="BM674" s="76">
        <f t="shared" si="148"/>
        <v>0.17808118364832443</v>
      </c>
      <c r="BN674" s="76">
        <f t="shared" si="153"/>
        <v>0.80945514446574951</v>
      </c>
      <c r="BO674" s="76">
        <f>0.0526*BI674*Observaciones!$F673^1.218</f>
        <v>0</v>
      </c>
      <c r="BP674" s="76">
        <f>BO674*Constantes!$E$51</f>
        <v>0</v>
      </c>
      <c r="BQ674" s="76">
        <f t="shared" si="149"/>
        <v>0</v>
      </c>
      <c r="BR674" s="40"/>
    </row>
    <row r="675" spans="1:70">
      <c r="A675" s="147"/>
      <c r="B675" s="39"/>
      <c r="C675" s="75">
        <v>669</v>
      </c>
      <c r="D675" s="146">
        <f>ETo!$I674*((1-Constantes!$E$19)*ETo!$K674+ETo!$L674)</f>
        <v>4.429145051377156</v>
      </c>
      <c r="E675" s="76">
        <f>MIN(D675*Constantes!$E$17,0.8*(N674+Observaciones!$F674-F675-M675-Constantes!$D$14))</f>
        <v>2.1654635519120817</v>
      </c>
      <c r="F675" s="76">
        <f>IF(Observaciones!$F674&gt;0.05*Constantes!$E$18,((Observaciones!$F674-0.05*Constantes!$E$18)^2)/(Observaciones!$F674+0.95*Constantes!$E$18),0)</f>
        <v>0</v>
      </c>
      <c r="G675" s="76">
        <f>IF(Escenarios!$E$11&gt;0,(F675*Escenarios!$E$16*10000)/1000,0)</f>
        <v>0</v>
      </c>
      <c r="H675" s="76">
        <f>IF(Escenarios!$E$11&gt;0,(Observaciones!$F674*Constantes!$E$29)/1000,0)</f>
        <v>0</v>
      </c>
      <c r="I675" s="76">
        <f>IF(Escenarios!$E$11&gt;0,(D675*Constantes!$E$29)/1000,0)</f>
        <v>44.291450513771558</v>
      </c>
      <c r="J675" s="76">
        <f>IF(Escenarios!$E$11&gt;0,MAX(0,G675+H675-I675),0)</f>
        <v>0</v>
      </c>
      <c r="K675" s="76">
        <f>IF(Escenarios!$E$11&gt;0,IF(J675&gt;Constantes!$E$30,1000*((J675-Constantes!$E$30)/(Escenarios!$E$16*10000)),0),F675)</f>
        <v>0</v>
      </c>
      <c r="L675" s="76">
        <f>IF(Escenarios!$E$11&gt;0,I675*1000/Escenarios!$E$16/10000+E675,E675)</f>
        <v>2.1831801321175903</v>
      </c>
      <c r="M675" s="76">
        <f>MAX(0,N674+Observaciones!$F674-K675-Constantes!$D$13)</f>
        <v>0</v>
      </c>
      <c r="N675" s="76">
        <f>N674+Observaciones!$F674-K675-L675-M675-O674</f>
        <v>29.411976807594002</v>
      </c>
      <c r="O675" s="76">
        <f>MAX(0,(N675-Constantes!$D$14)*(1-EXP(-Constantes!$D$22)))</f>
        <v>0.61866360404846488</v>
      </c>
      <c r="P675" s="170">
        <f>P674+(Entradas!$E$83*M675-Q674)/(800*Entradas!$D$25)</f>
        <v>0</v>
      </c>
      <c r="Q675" s="170">
        <f>8000*Entradas!$D$26*P675/Constantes!$E$45</f>
        <v>0</v>
      </c>
      <c r="R675" s="170">
        <f>IF(Escenarios!$E$14&gt;0,K675*Escenarios!$E$13/Escenarios!$E$14,0)</f>
        <v>0</v>
      </c>
      <c r="S675" s="170">
        <f>IF(Escenarios!$E$14&gt;0,Q675*Escenarios!$E$13/Escenarios!$E$14,0)</f>
        <v>0</v>
      </c>
      <c r="T675" s="170">
        <f>IF(Escenarios!$E$14&gt;0,Observaciones!$I674,0)</f>
        <v>0</v>
      </c>
      <c r="U675" s="170">
        <f>IF(Escenarios!$E$14&gt;0,MAX(0,Constantes!$E$36/((Z674+R675+S675+T675+Observaciones!$F674)^2)+Entradas!$E$77),0)</f>
        <v>0</v>
      </c>
      <c r="V675" s="146">
        <f>IF(ETo!D674&gt;0,ETo!I674*((1-Entradas!$E$81)*ETo!K674+ETo!L674),0)</f>
        <v>4.0478792835999</v>
      </c>
      <c r="W675" s="170">
        <f>IF(Escenarios!$E$14&gt;0,MIN(V675*1,0.8*(Z674+R675+S675+T675+Observaciones!$F674-U675-Constantes!$E$35)),0)</f>
        <v>1.7757590439681508</v>
      </c>
      <c r="X675" s="170">
        <f>IF(Escenarios!$E$14&gt;0,Observaciones!$J674,0)</f>
        <v>0</v>
      </c>
      <c r="Y675" s="170">
        <f>IF(Escenarios!$E$14&gt;0,MAX(0,Z674+R675+S675+T675+Observaciones!$F674-U675-W675-X675-Constantes!$E$33),0)</f>
        <v>0</v>
      </c>
      <c r="Z675" s="170">
        <f>Z674+R675+S675+T675+Observaciones!$F674-U675-W675-Y675</f>
        <v>41.693939760992038</v>
      </c>
      <c r="AA675" s="170">
        <f>IF(Escenarios!$E$14&gt;0,(Escenarios!$E$13*L675+Escenarios!$E$14*W675)/(Escenarios!$E$16),L675)</f>
        <v>2.1342896015396571</v>
      </c>
      <c r="AB675" s="170">
        <f>IF(Escenarios!$E$14&gt;0,(Escenarios!$E$14*Y675)/(Escenarios!$E$16),K675)</f>
        <v>0</v>
      </c>
      <c r="AC675" s="170">
        <f>IF(Escenarios!$E$14&gt;0,(Escenarios!$E$13*M675+Escenarios!$E$14*U675)/(Escenarios!$E$16),M675)</f>
        <v>0</v>
      </c>
      <c r="AD675" s="76">
        <f t="shared" si="141"/>
        <v>65.831368643787798</v>
      </c>
      <c r="AE675" s="76">
        <f>MAX(0,(AD675-Constantes!$D$13)*(1-EXP(-Constantes!$D$23)))</f>
        <v>0.16830679371227908</v>
      </c>
      <c r="AF675" s="76">
        <f>AB675+O675*Escenarios!$E$13/Escenarios!$E$16+AE675</f>
        <v>0.71273076527492818</v>
      </c>
      <c r="AG675" s="76">
        <f>IF(Entradas!$E$91&gt;0,IF(AF675-Escenarios!$E$38&lt;=0,0,IF(AF675-Escenarios!$E$38&gt;Escenarios!$E$37,Escenarios!$E$37,AF675-Escenarios!$E$38)),0)</f>
        <v>0</v>
      </c>
      <c r="AH675" s="76">
        <f>AG675*Entradas!$E$99</f>
        <v>0</v>
      </c>
      <c r="AI675" s="76">
        <f>IF(Entradas!$E$91&gt;0,D675*Entradas!$D$23/Escenarios!$E$16,0)</f>
        <v>0</v>
      </c>
      <c r="AJ675" s="76">
        <f>IF(Entradas!$E$91&gt;0,Entradas!$D$24*Entradas!$D$22/Escenarios!$E$16,0)</f>
        <v>0</v>
      </c>
      <c r="AK675" s="76">
        <f t="shared" si="150"/>
        <v>2.1342896015396571</v>
      </c>
      <c r="AL675" s="76">
        <f t="shared" si="151"/>
        <v>0</v>
      </c>
      <c r="AM675" s="76">
        <f t="shared" si="142"/>
        <v>0</v>
      </c>
      <c r="AN675" s="76">
        <f>MAX(0,O675*Escenarios!$E$13/Escenarios!$E$16-AM675)</f>
        <v>0.5444239715626491</v>
      </c>
      <c r="AO675" s="76">
        <f>AM675+AN675-O675*Escenarios!$E$13/Escenarios!$E$16</f>
        <v>0</v>
      </c>
      <c r="AP675" s="76">
        <f t="shared" si="140"/>
        <v>0.16830679371227908</v>
      </c>
      <c r="AQ675" s="76">
        <f t="shared" si="143"/>
        <v>0</v>
      </c>
      <c r="AR675" s="76">
        <f t="shared" si="144"/>
        <v>0.71273076527492818</v>
      </c>
      <c r="AS675" s="76">
        <f t="shared" si="145"/>
        <v>0</v>
      </c>
      <c r="AT675" s="76">
        <f t="shared" si="146"/>
        <v>0</v>
      </c>
      <c r="AU675" s="76">
        <f t="shared" si="147"/>
        <v>48.75</v>
      </c>
      <c r="AV675" s="76">
        <f>MAX(0,(AU675-Constantes!$D$13)*(1-EXP(-Constantes!$D$24)))</f>
        <v>0</v>
      </c>
      <c r="AW675" s="170">
        <f>AW674+(Entradas!$E$112*AT675-AX674)/(800*Entradas!$D$25)</f>
        <v>0</v>
      </c>
      <c r="AX675" s="170">
        <f>8000*Entradas!$D$26*AW675/Constantes!$E$45</f>
        <v>0</v>
      </c>
      <c r="AY675" s="170">
        <f>IF(Escenarios!$E$17&gt;0,10*Escenarios!$E$16*AL675,0)</f>
        <v>0</v>
      </c>
      <c r="AZ675" s="170">
        <f>IF(Escenarios!$E$17&gt;0,10*Escenarios!$E$16*AX675,0)</f>
        <v>0</v>
      </c>
      <c r="BA675" s="170">
        <f>IF(Escenarios!$E$17&gt;0,0.001*Observaciones!$F674*Escenarios!$E$17,0)</f>
        <v>0</v>
      </c>
      <c r="BB675" s="170">
        <f>IF(Escenarios!$E$17&gt;0,Observaciones!$K674,0)</f>
        <v>0</v>
      </c>
      <c r="BC675" s="170">
        <f>IF(Escenarios!$E$17&gt;0,MIN(0.0005*ETo!$M674*Escenarios!$E$17*(BG674/Constantes!$E$40)^(2/3),BG674+AY675+AZ675+BA675+BB675),0)</f>
        <v>14.352758034055988</v>
      </c>
      <c r="BD675" s="170">
        <f>IF(Escenarios!$E$17&gt;0,MIN(Constantes!$E$39*(BG674/Constantes!$E$40)^(2/3),BG674+AY675+AZ675+BA675+BB675-BC675),0)</f>
        <v>22.831633432340372</v>
      </c>
      <c r="BE675" s="170">
        <f>IF(Escenarios!$E$17&gt;0,MIN(Entradas!$E$113,BG674+AY675+AZ675+BA675+BB675-BC675-BD675),0)</f>
        <v>1</v>
      </c>
      <c r="BF675" s="170">
        <f>IF(Escenarios!$E$17&gt;0,MAX(0,BG674+AY675+AZ675+BA675+BB675-BC675-BD675-BE675-Constantes!$E$40),0)</f>
        <v>0</v>
      </c>
      <c r="BG675" s="170">
        <f t="shared" si="152"/>
        <v>978.24972846121034</v>
      </c>
      <c r="BH675" s="170">
        <f>(Escenarios!$E$16*AK675+0.1*BC675)/(Escenarios!$E$19)</f>
        <v>2.1230463340806347</v>
      </c>
      <c r="BI675" s="170">
        <f>IF(Escenarios!$E$17&gt;0,BF675/10/Escenarios!$E$19,AL675)</f>
        <v>0</v>
      </c>
      <c r="BJ675" s="170">
        <f>(Escenarios!$E$16*AT675+0.1*BD675)/(Escenarios!$E$19)</f>
        <v>9.0601719969604661E-3</v>
      </c>
      <c r="BK675" s="76">
        <f>BK674+(0.1*BD675)/(Escenarios!$E$19)-BL674</f>
        <v>49.572976721079129</v>
      </c>
      <c r="BL675" s="76">
        <f>MAX(0,(BK675-Constantes!$D$13)*(1-EXP(-Constantes!$D$23)))</f>
        <v>8.108985650575929E-3</v>
      </c>
      <c r="BM675" s="76">
        <f t="shared" si="148"/>
        <v>0.17641577936285502</v>
      </c>
      <c r="BN675" s="76">
        <f t="shared" si="153"/>
        <v>0.72083975092550412</v>
      </c>
      <c r="BO675" s="76">
        <f>0.0526*BI675*Observaciones!$F674^1.218</f>
        <v>0</v>
      </c>
      <c r="BP675" s="76">
        <f>BO675*Constantes!$E$51</f>
        <v>0</v>
      </c>
      <c r="BQ675" s="76">
        <f t="shared" si="149"/>
        <v>0</v>
      </c>
      <c r="BR675" s="40"/>
    </row>
    <row r="676" spans="1:70">
      <c r="A676" s="147"/>
      <c r="B676" s="39"/>
      <c r="C676" s="75">
        <v>670</v>
      </c>
      <c r="D676" s="146">
        <f>ETo!$I675*((1-Constantes!$E$19)*ETo!$K675+ETo!$L675)</f>
        <v>4.3970950662250576</v>
      </c>
      <c r="E676" s="76">
        <f>MIN(D676*Constantes!$E$17,0.8*(N675+Observaciones!$F675-F676-M676-Constantes!$D$14))</f>
        <v>2.1497939195380837</v>
      </c>
      <c r="F676" s="76">
        <f>IF(Observaciones!$F675&gt;0.05*Constantes!$E$18,((Observaciones!$F675-0.05*Constantes!$E$18)^2)/(Observaciones!$F675+0.95*Constantes!$E$18),0)</f>
        <v>0</v>
      </c>
      <c r="G676" s="76">
        <f>IF(Escenarios!$E$11&gt;0,(F676*Escenarios!$E$16*10000)/1000,0)</f>
        <v>0</v>
      </c>
      <c r="H676" s="76">
        <f>IF(Escenarios!$E$11&gt;0,(Observaciones!$F675*Constantes!$E$29)/1000,0)</f>
        <v>4</v>
      </c>
      <c r="I676" s="76">
        <f>IF(Escenarios!$E$11&gt;0,(D676*Constantes!$E$29)/1000,0)</f>
        <v>43.97095066225058</v>
      </c>
      <c r="J676" s="76">
        <f>IF(Escenarios!$E$11&gt;0,MAX(0,G676+H676-I676),0)</f>
        <v>0</v>
      </c>
      <c r="K676" s="76">
        <f>IF(Escenarios!$E$11&gt;0,IF(J676&gt;Constantes!$E$30,1000*((J676-Constantes!$E$30)/(Escenarios!$E$16*10000)),0),F676)</f>
        <v>0</v>
      </c>
      <c r="L676" s="76">
        <f>IF(Escenarios!$E$11&gt;0,I676*1000/Escenarios!$E$16/10000+E676,E676)</f>
        <v>2.1673822998029841</v>
      </c>
      <c r="M676" s="76">
        <f>MAX(0,N675+Observaciones!$F675-K676-Constantes!$D$13)</f>
        <v>0</v>
      </c>
      <c r="N676" s="76">
        <f>N675+Observaciones!$F675-K676-L676-M676-O675</f>
        <v>27.025930903742552</v>
      </c>
      <c r="O676" s="76">
        <f>MAX(0,(N676-Constantes!$D$14)*(1-EXP(-Constantes!$D$22)))</f>
        <v>0.53738612120944962</v>
      </c>
      <c r="P676" s="170">
        <f>P675+(Entradas!$E$83*M676-Q675)/(800*Entradas!$D$25)</f>
        <v>0</v>
      </c>
      <c r="Q676" s="170">
        <f>8000*Entradas!$D$26*P676/Constantes!$E$45</f>
        <v>0</v>
      </c>
      <c r="R676" s="170">
        <f>IF(Escenarios!$E$14&gt;0,K676*Escenarios!$E$13/Escenarios!$E$14,0)</f>
        <v>0</v>
      </c>
      <c r="S676" s="170">
        <f>IF(Escenarios!$E$14&gt;0,Q676*Escenarios!$E$13/Escenarios!$E$14,0)</f>
        <v>0</v>
      </c>
      <c r="T676" s="170">
        <f>IF(Escenarios!$E$14&gt;0,Observaciones!$I675,0)</f>
        <v>0</v>
      </c>
      <c r="U676" s="170">
        <f>IF(Escenarios!$E$14&gt;0,MAX(0,Constantes!$E$36/((Z675+R676+S676+T676+Observaciones!$F675)^2)+Entradas!$E$77),0)</f>
        <v>0</v>
      </c>
      <c r="V676" s="146">
        <f>IF(ETo!D675&gt;0,ETo!I675*((1-Entradas!$E$81)*ETo!K675+ETo!L675),0)</f>
        <v>4.018220514594768</v>
      </c>
      <c r="W676" s="170">
        <f>IF(Escenarios!$E$14&gt;0,MIN(V676*1,0.8*(Z675+R676+S676+T676+Observaciones!$F675-U676-Constantes!$E$35)),0)</f>
        <v>0.67515180879362902</v>
      </c>
      <c r="X676" s="170">
        <f>IF(Escenarios!$E$14&gt;0,Observaciones!$J675,0)</f>
        <v>0</v>
      </c>
      <c r="Y676" s="170">
        <f>IF(Escenarios!$E$14&gt;0,MAX(0,Z675+R676+S676+T676+Observaciones!$F675-U676-W676-X676-Constantes!$E$33),0)</f>
        <v>0</v>
      </c>
      <c r="Z676" s="170">
        <f>Z675+R676+S676+T676+Observaciones!$F675-U676-W676-Y676</f>
        <v>41.418787952198407</v>
      </c>
      <c r="AA676" s="170">
        <f>IF(Escenarios!$E$14&gt;0,(Escenarios!$E$13*L676+Escenarios!$E$14*W676)/(Escenarios!$E$16),L676)</f>
        <v>1.9883146408818615</v>
      </c>
      <c r="AB676" s="170">
        <f>IF(Escenarios!$E$14&gt;0,(Escenarios!$E$14*Y676)/(Escenarios!$E$16),K676)</f>
        <v>0</v>
      </c>
      <c r="AC676" s="170">
        <f>IF(Escenarios!$E$14&gt;0,(Escenarios!$E$13*M676+Escenarios!$E$14*U676)/(Escenarios!$E$16),M676)</f>
        <v>0</v>
      </c>
      <c r="AD676" s="76">
        <f t="shared" si="141"/>
        <v>65.663061850075522</v>
      </c>
      <c r="AE676" s="76">
        <f>MAX(0,(AD676-Constantes!$D$13)*(1-EXP(-Constantes!$D$23)))</f>
        <v>0.16664842678627698</v>
      </c>
      <c r="AF676" s="76">
        <f>AB676+O676*Escenarios!$E$13/Escenarios!$E$16+AE676</f>
        <v>0.63954821345059265</v>
      </c>
      <c r="AG676" s="76">
        <f>IF(Entradas!$E$91&gt;0,IF(AF676-Escenarios!$E$38&lt;=0,0,IF(AF676-Escenarios!$E$38&gt;Escenarios!$E$37,Escenarios!$E$37,AF676-Escenarios!$E$38)),0)</f>
        <v>0</v>
      </c>
      <c r="AH676" s="76">
        <f>AG676*Entradas!$E$99</f>
        <v>0</v>
      </c>
      <c r="AI676" s="76">
        <f>IF(Entradas!$E$91&gt;0,D676*Entradas!$D$23/Escenarios!$E$16,0)</f>
        <v>0</v>
      </c>
      <c r="AJ676" s="76">
        <f>IF(Entradas!$E$91&gt;0,Entradas!$D$24*Entradas!$D$22/Escenarios!$E$16,0)</f>
        <v>0</v>
      </c>
      <c r="AK676" s="76">
        <f t="shared" si="150"/>
        <v>1.9883146408818615</v>
      </c>
      <c r="AL676" s="76">
        <f t="shared" si="151"/>
        <v>0</v>
      </c>
      <c r="AM676" s="76">
        <f t="shared" si="142"/>
        <v>0</v>
      </c>
      <c r="AN676" s="76">
        <f>MAX(0,O676*Escenarios!$E$13/Escenarios!$E$16-AM676)</f>
        <v>0.4728997866643157</v>
      </c>
      <c r="AO676" s="76">
        <f>AM676+AN676-O676*Escenarios!$E$13/Escenarios!$E$16</f>
        <v>0</v>
      </c>
      <c r="AP676" s="76">
        <f t="shared" si="140"/>
        <v>0.16664842678627698</v>
      </c>
      <c r="AQ676" s="76">
        <f t="shared" si="143"/>
        <v>0</v>
      </c>
      <c r="AR676" s="76">
        <f t="shared" si="144"/>
        <v>0.63954821345059265</v>
      </c>
      <c r="AS676" s="76">
        <f t="shared" si="145"/>
        <v>0</v>
      </c>
      <c r="AT676" s="76">
        <f t="shared" si="146"/>
        <v>0</v>
      </c>
      <c r="AU676" s="76">
        <f t="shared" si="147"/>
        <v>48.75</v>
      </c>
      <c r="AV676" s="76">
        <f>MAX(0,(AU676-Constantes!$D$13)*(1-EXP(-Constantes!$D$24)))</f>
        <v>0</v>
      </c>
      <c r="AW676" s="170">
        <f>AW675+(Entradas!$E$112*AT676-AX675)/(800*Entradas!$D$25)</f>
        <v>0</v>
      </c>
      <c r="AX676" s="170">
        <f>8000*Entradas!$D$26*AW676/Constantes!$E$45</f>
        <v>0</v>
      </c>
      <c r="AY676" s="170">
        <f>IF(Escenarios!$E$17&gt;0,10*Escenarios!$E$16*AL676,0)</f>
        <v>0</v>
      </c>
      <c r="AZ676" s="170">
        <f>IF(Escenarios!$E$17&gt;0,10*Escenarios!$E$16*AX676,0)</f>
        <v>0</v>
      </c>
      <c r="BA676" s="170">
        <f>IF(Escenarios!$E$17&gt;0,0.001*Observaciones!$F675*Escenarios!$E$17,0)</f>
        <v>8</v>
      </c>
      <c r="BB676" s="170">
        <f>IF(Escenarios!$E$17&gt;0,Observaciones!$K675,0)</f>
        <v>0</v>
      </c>
      <c r="BC676" s="170">
        <f>IF(Escenarios!$E$17&gt;0,MIN(0.0005*ETo!$M675*Escenarios!$E$17*(BG675/Constantes!$E$40)^(2/3),BG675+AY676+AZ676+BA676+BB676),0)</f>
        <v>13.891377268376814</v>
      </c>
      <c r="BD676" s="170">
        <f>IF(Escenarios!$E$17&gt;0,MIN(Constantes!$E$39*(BG675/Constantes!$E$40)^(2/3),BG675+AY676+AZ676+BA676+BB676-BC676),0)</f>
        <v>22.256181296416834</v>
      </c>
      <c r="BE676" s="170">
        <f>IF(Escenarios!$E$17&gt;0,MIN(Entradas!$E$113,BG675+AY676+AZ676+BA676+BB676-BC676-BD676),0)</f>
        <v>1</v>
      </c>
      <c r="BF676" s="170">
        <f>IF(Escenarios!$E$17&gt;0,MAX(0,BG675+AY676+AZ676+BA676+BB676-BC676-BD676-BE676-Constantes!$E$40),0)</f>
        <v>0</v>
      </c>
      <c r="BG676" s="170">
        <f t="shared" si="152"/>
        <v>949.10216989641674</v>
      </c>
      <c r="BH676" s="170">
        <f>(Escenarios!$E$16*AK676+0.1*BC676)/(Escenarios!$E$19)</f>
        <v>1.9780468172512027</v>
      </c>
      <c r="BI676" s="170">
        <f>IF(Escenarios!$E$17&gt;0,BF676/10/Escenarios!$E$19,AL676)</f>
        <v>0</v>
      </c>
      <c r="BJ676" s="170">
        <f>(Escenarios!$E$16*AT676+0.1*BD676)/(Escenarios!$E$19)</f>
        <v>8.8318179747685858E-3</v>
      </c>
      <c r="BK676" s="76">
        <f>BK675+(0.1*BD676)/(Escenarios!$E$19)-BL675</f>
        <v>49.573699553403323</v>
      </c>
      <c r="BL676" s="76">
        <f>MAX(0,(BK676-Constantes!$D$13)*(1-EXP(-Constantes!$D$23)))</f>
        <v>8.1161078896314527E-3</v>
      </c>
      <c r="BM676" s="76">
        <f t="shared" si="148"/>
        <v>0.17476453467590844</v>
      </c>
      <c r="BN676" s="76">
        <f t="shared" si="153"/>
        <v>0.64766432134022411</v>
      </c>
      <c r="BO676" s="76">
        <f>0.0526*BI676*Observaciones!$F675^1.218</f>
        <v>0</v>
      </c>
      <c r="BP676" s="76">
        <f>BO676*Constantes!$E$51</f>
        <v>0</v>
      </c>
      <c r="BQ676" s="76">
        <f t="shared" si="149"/>
        <v>0</v>
      </c>
      <c r="BR676" s="40"/>
    </row>
    <row r="677" spans="1:70">
      <c r="A677" s="147"/>
      <c r="B677" s="39"/>
      <c r="C677" s="75">
        <v>671</v>
      </c>
      <c r="D677" s="146">
        <f>ETo!$I676*((1-Constantes!$E$19)*ETo!$K676+ETo!$L676)</f>
        <v>4.4098026358268445</v>
      </c>
      <c r="E677" s="76">
        <f>MIN(D677*Constantes!$E$17,0.8*(N676+Observaciones!$F676-F677-M677-Constantes!$D$14))</f>
        <v>2.1560068067853639</v>
      </c>
      <c r="F677" s="76">
        <f>IF(Observaciones!$F676&gt;0.05*Constantes!$E$18,((Observaciones!$F676-0.05*Constantes!$E$18)^2)/(Observaciones!$F676+0.95*Constantes!$E$18),0)</f>
        <v>0</v>
      </c>
      <c r="G677" s="76">
        <f>IF(Escenarios!$E$11&gt;0,(F677*Escenarios!$E$16*10000)/1000,0)</f>
        <v>0</v>
      </c>
      <c r="H677" s="76">
        <f>IF(Escenarios!$E$11&gt;0,(Observaciones!$F676*Constantes!$E$29)/1000,0)</f>
        <v>22</v>
      </c>
      <c r="I677" s="76">
        <f>IF(Escenarios!$E$11&gt;0,(D677*Constantes!$E$29)/1000,0)</f>
        <v>44.098026358268442</v>
      </c>
      <c r="J677" s="76">
        <f>IF(Escenarios!$E$11&gt;0,MAX(0,G677+H677-I677),0)</f>
        <v>0</v>
      </c>
      <c r="K677" s="76">
        <f>IF(Escenarios!$E$11&gt;0,IF(J677&gt;Constantes!$E$30,1000*((J677-Constantes!$E$30)/(Escenarios!$E$16*10000)),0),F677)</f>
        <v>0</v>
      </c>
      <c r="L677" s="76">
        <f>IF(Escenarios!$E$11&gt;0,I677*1000/Escenarios!$E$16/10000+E677,E677)</f>
        <v>2.1736460173286711</v>
      </c>
      <c r="M677" s="76">
        <f>MAX(0,N676+Observaciones!$F676-K677-Constantes!$D$13)</f>
        <v>0</v>
      </c>
      <c r="N677" s="76">
        <f>N676+Observaciones!$F676-K677-L677-M677-O676</f>
        <v>26.514898765204428</v>
      </c>
      <c r="O677" s="76">
        <f>MAX(0,(N677-Constantes!$D$14)*(1-EXP(-Constantes!$D$22)))</f>
        <v>0.51997849053345424</v>
      </c>
      <c r="P677" s="170">
        <f>P676+(Entradas!$E$83*M677-Q676)/(800*Entradas!$D$25)</f>
        <v>0</v>
      </c>
      <c r="Q677" s="170">
        <f>8000*Entradas!$D$26*P677/Constantes!$E$45</f>
        <v>0</v>
      </c>
      <c r="R677" s="170">
        <f>IF(Escenarios!$E$14&gt;0,K677*Escenarios!$E$13/Escenarios!$E$14,0)</f>
        <v>0</v>
      </c>
      <c r="S677" s="170">
        <f>IF(Escenarios!$E$14&gt;0,Q677*Escenarios!$E$13/Escenarios!$E$14,0)</f>
        <v>0</v>
      </c>
      <c r="T677" s="170">
        <f>IF(Escenarios!$E$14&gt;0,Observaciones!$I676,0)</f>
        <v>0</v>
      </c>
      <c r="U677" s="170">
        <f>IF(Escenarios!$E$14&gt;0,MAX(0,Constantes!$E$36/((Z676+R677+S677+T677+Observaciones!$F676)^2)+Entradas!$E$77),0)</f>
        <v>0</v>
      </c>
      <c r="V677" s="146">
        <f>IF(ETo!D676&gt;0,ETo!I676*((1-Entradas!$E$81)*ETo!K676+ETo!L676),0)</f>
        <v>4.0300285696048856</v>
      </c>
      <c r="W677" s="170">
        <f>IF(Escenarios!$E$14&gt;0,MIN(V677*1,0.8*(Z676+R677+S677+T677+Observaciones!$F676-U677-Constantes!$E$35)),0)</f>
        <v>1.8950303617587281</v>
      </c>
      <c r="X677" s="170">
        <f>IF(Escenarios!$E$14&gt;0,Observaciones!$J676,0)</f>
        <v>0</v>
      </c>
      <c r="Y677" s="170">
        <f>IF(Escenarios!$E$14&gt;0,MAX(0,Z676+R677+S677+T677+Observaciones!$F676-U677-W677-X677-Constantes!$E$33),0)</f>
        <v>0</v>
      </c>
      <c r="Z677" s="170">
        <f>Z676+R677+S677+T677+Observaciones!$F676-U677-W677-Y677</f>
        <v>41.723757590439682</v>
      </c>
      <c r="AA677" s="170">
        <f>IF(Escenarios!$E$14&gt;0,(Escenarios!$E$13*L677+Escenarios!$E$14*W677)/(Escenarios!$E$16),L677)</f>
        <v>2.1402121386602779</v>
      </c>
      <c r="AB677" s="170">
        <f>IF(Escenarios!$E$14&gt;0,(Escenarios!$E$14*Y677)/(Escenarios!$E$16),K677)</f>
        <v>0</v>
      </c>
      <c r="AC677" s="170">
        <f>IF(Escenarios!$E$14&gt;0,(Escenarios!$E$13*M677+Escenarios!$E$14*U677)/(Escenarios!$E$16),M677)</f>
        <v>0</v>
      </c>
      <c r="AD677" s="76">
        <f t="shared" si="141"/>
        <v>65.496413423289241</v>
      </c>
      <c r="AE677" s="76">
        <f>MAX(0,(AD677-Constantes!$D$13)*(1-EXP(-Constantes!$D$23)))</f>
        <v>0.16500640014458892</v>
      </c>
      <c r="AF677" s="76">
        <f>AB677+O677*Escenarios!$E$13/Escenarios!$E$16+AE677</f>
        <v>0.62258747181402863</v>
      </c>
      <c r="AG677" s="76">
        <f>IF(Entradas!$E$91&gt;0,IF(AF677-Escenarios!$E$38&lt;=0,0,IF(AF677-Escenarios!$E$38&gt;Escenarios!$E$37,Escenarios!$E$37,AF677-Escenarios!$E$38)),0)</f>
        <v>0</v>
      </c>
      <c r="AH677" s="76">
        <f>AG677*Entradas!$E$99</f>
        <v>0</v>
      </c>
      <c r="AI677" s="76">
        <f>IF(Entradas!$E$91&gt;0,D677*Entradas!$D$23/Escenarios!$E$16,0)</f>
        <v>0</v>
      </c>
      <c r="AJ677" s="76">
        <f>IF(Entradas!$E$91&gt;0,Entradas!$D$24*Entradas!$D$22/Escenarios!$E$16,0)</f>
        <v>0</v>
      </c>
      <c r="AK677" s="76">
        <f t="shared" si="150"/>
        <v>2.1402121386602779</v>
      </c>
      <c r="AL677" s="76">
        <f t="shared" si="151"/>
        <v>0</v>
      </c>
      <c r="AM677" s="76">
        <f t="shared" si="142"/>
        <v>0</v>
      </c>
      <c r="AN677" s="76">
        <f>MAX(0,O677*Escenarios!$E$13/Escenarios!$E$16-AM677)</f>
        <v>0.45758107166943973</v>
      </c>
      <c r="AO677" s="76">
        <f>AM677+AN677-O677*Escenarios!$E$13/Escenarios!$E$16</f>
        <v>0</v>
      </c>
      <c r="AP677" s="76">
        <f t="shared" si="140"/>
        <v>0.16500640014458892</v>
      </c>
      <c r="AQ677" s="76">
        <f t="shared" si="143"/>
        <v>0</v>
      </c>
      <c r="AR677" s="76">
        <f t="shared" si="144"/>
        <v>0.62258747181402863</v>
      </c>
      <c r="AS677" s="76">
        <f t="shared" si="145"/>
        <v>0</v>
      </c>
      <c r="AT677" s="76">
        <f t="shared" si="146"/>
        <v>0</v>
      </c>
      <c r="AU677" s="76">
        <f t="shared" si="147"/>
        <v>48.75</v>
      </c>
      <c r="AV677" s="76">
        <f>MAX(0,(AU677-Constantes!$D$13)*(1-EXP(-Constantes!$D$24)))</f>
        <v>0</v>
      </c>
      <c r="AW677" s="170">
        <f>AW676+(Entradas!$E$112*AT677-AX676)/(800*Entradas!$D$25)</f>
        <v>0</v>
      </c>
      <c r="AX677" s="170">
        <f>8000*Entradas!$D$26*AW677/Constantes!$E$45</f>
        <v>0</v>
      </c>
      <c r="AY677" s="170">
        <f>IF(Escenarios!$E$17&gt;0,10*Escenarios!$E$16*AL677,0)</f>
        <v>0</v>
      </c>
      <c r="AZ677" s="170">
        <f>IF(Escenarios!$E$17&gt;0,10*Escenarios!$E$16*AX677,0)</f>
        <v>0</v>
      </c>
      <c r="BA677" s="170">
        <f>IF(Escenarios!$E$17&gt;0,0.001*Observaciones!$F676*Escenarios!$E$17,0)</f>
        <v>44</v>
      </c>
      <c r="BB677" s="170">
        <f>IF(Escenarios!$E$17&gt;0,Observaciones!$K676,0)</f>
        <v>0</v>
      </c>
      <c r="BC677" s="170">
        <f>IF(Escenarios!$E$17&gt;0,MIN(0.0005*ETo!$M676*Escenarios!$E$17*(BG676/Constantes!$E$40)^(2/3),BG676+AY677+AZ677+BA677+BB677),0)</f>
        <v>13.652559786864124</v>
      </c>
      <c r="BD677" s="170">
        <f>IF(Escenarios!$E$17&gt;0,MIN(Constantes!$E$39*(BG676/Constantes!$E$40)^(2/3),BG676+AY677+AZ677+BA677+BB677-BC677),0)</f>
        <v>21.811865143340402</v>
      </c>
      <c r="BE677" s="170">
        <f>IF(Escenarios!$E$17&gt;0,MIN(Entradas!$E$113,BG676+AY677+AZ677+BA677+BB677-BC677-BD677),0)</f>
        <v>1</v>
      </c>
      <c r="BF677" s="170">
        <f>IF(Escenarios!$E$17&gt;0,MAX(0,BG676+AY677+AZ677+BA677+BB677-BC677-BD677-BE677-Constantes!$E$40),0)</f>
        <v>0</v>
      </c>
      <c r="BG677" s="170">
        <f t="shared" si="152"/>
        <v>956.63774496621227</v>
      </c>
      <c r="BH677" s="170">
        <f>(Escenarios!$E$16*AK677+0.1*BC677)/(Escenarios!$E$19)</f>
        <v>2.1286440104910946</v>
      </c>
      <c r="BI677" s="170">
        <f>IF(Escenarios!$E$17&gt;0,BF677/10/Escenarios!$E$19,AL677)</f>
        <v>0</v>
      </c>
      <c r="BJ677" s="170">
        <f>(Escenarios!$E$16*AT677+0.1*BD677)/(Escenarios!$E$19)</f>
        <v>8.6555020410080952E-3</v>
      </c>
      <c r="BK677" s="76">
        <f>BK676+(0.1*BD677)/(Escenarios!$E$19)-BL676</f>
        <v>49.574238947554697</v>
      </c>
      <c r="BL677" s="76">
        <f>MAX(0,(BK677-Constantes!$D$13)*(1-EXP(-Constantes!$D$23)))</f>
        <v>8.1214226686786226E-3</v>
      </c>
      <c r="BM677" s="76">
        <f t="shared" si="148"/>
        <v>0.17312782281326755</v>
      </c>
      <c r="BN677" s="76">
        <f t="shared" si="153"/>
        <v>0.63070889448270728</v>
      </c>
      <c r="BO677" s="76">
        <f>0.0526*BI677*Observaciones!$F676^1.218</f>
        <v>0</v>
      </c>
      <c r="BP677" s="76">
        <f>BO677*Constantes!$E$51</f>
        <v>0</v>
      </c>
      <c r="BQ677" s="76">
        <f t="shared" si="149"/>
        <v>0</v>
      </c>
      <c r="BR677" s="40"/>
    </row>
    <row r="678" spans="1:70">
      <c r="A678" s="147"/>
      <c r="B678" s="39"/>
      <c r="C678" s="75">
        <v>672</v>
      </c>
      <c r="D678" s="146">
        <f>ETo!$I677*((1-Constantes!$E$19)*ETo!$K677+ETo!$L677)</f>
        <v>4.4493514641470657</v>
      </c>
      <c r="E678" s="76">
        <f>MIN(D678*Constantes!$E$17,0.8*(N677+Observaciones!$F677-F678-M678-Constantes!$D$14))</f>
        <v>2.1753427159179037</v>
      </c>
      <c r="F678" s="76">
        <f>IF(Observaciones!$F677&gt;0.05*Constantes!$E$18,((Observaciones!$F677-0.05*Constantes!$E$18)^2)/(Observaciones!$F677+0.95*Constantes!$E$18),0)</f>
        <v>0</v>
      </c>
      <c r="G678" s="76">
        <f>IF(Escenarios!$E$11&gt;0,(F678*Escenarios!$E$16*10000)/1000,0)</f>
        <v>0</v>
      </c>
      <c r="H678" s="76">
        <f>IF(Escenarios!$E$11&gt;0,(Observaciones!$F677*Constantes!$E$29)/1000,0)</f>
        <v>0</v>
      </c>
      <c r="I678" s="76">
        <f>IF(Escenarios!$E$11&gt;0,(D678*Constantes!$E$29)/1000,0)</f>
        <v>44.493514641470654</v>
      </c>
      <c r="J678" s="76">
        <f>IF(Escenarios!$E$11&gt;0,MAX(0,G678+H678-I678),0)</f>
        <v>0</v>
      </c>
      <c r="K678" s="76">
        <f>IF(Escenarios!$E$11&gt;0,IF(J678&gt;Constantes!$E$30,1000*((J678-Constantes!$E$30)/(Escenarios!$E$16*10000)),0),F678)</f>
        <v>0</v>
      </c>
      <c r="L678" s="76">
        <f>IF(Escenarios!$E$11&gt;0,I678*1000/Escenarios!$E$16/10000+E678,E678)</f>
        <v>2.1931401217744919</v>
      </c>
      <c r="M678" s="76">
        <f>MAX(0,N677+Observaciones!$F677-K678-Constantes!$D$13)</f>
        <v>0</v>
      </c>
      <c r="N678" s="76">
        <f>N677+Observaciones!$F677-K678-L678-M678-O677</f>
        <v>23.801780152896484</v>
      </c>
      <c r="O678" s="76">
        <f>MAX(0,(N678-Constantes!$D$14)*(1-EXP(-Constantes!$D$22)))</f>
        <v>0.42755971053591701</v>
      </c>
      <c r="P678" s="170">
        <f>P677+(Entradas!$E$83*M678-Q677)/(800*Entradas!$D$25)</f>
        <v>0</v>
      </c>
      <c r="Q678" s="170">
        <f>8000*Entradas!$D$26*P678/Constantes!$E$45</f>
        <v>0</v>
      </c>
      <c r="R678" s="170">
        <f>IF(Escenarios!$E$14&gt;0,K678*Escenarios!$E$13/Escenarios!$E$14,0)</f>
        <v>0</v>
      </c>
      <c r="S678" s="170">
        <f>IF(Escenarios!$E$14&gt;0,Q678*Escenarios!$E$13/Escenarios!$E$14,0)</f>
        <v>0</v>
      </c>
      <c r="T678" s="170">
        <f>IF(Escenarios!$E$14&gt;0,Observaciones!$I677,0)</f>
        <v>0</v>
      </c>
      <c r="U678" s="170">
        <f>IF(Escenarios!$E$14&gt;0,MAX(0,Constantes!$E$36/((Z677+R678+S678+T678+Observaciones!$F677)^2)+Entradas!$E$77),0)</f>
        <v>0</v>
      </c>
      <c r="V678" s="146">
        <f>IF(ETo!D677&gt;0,ETo!I677*((1-Entradas!$E$81)*ETo!K677+ETo!L677),0)</f>
        <v>4.0667161382072052</v>
      </c>
      <c r="W678" s="170">
        <f>IF(Escenarios!$E$14&gt;0,MIN(V678*1,0.8*(Z677+R678+S678+T678+Observaciones!$F677-U678-Constantes!$E$35)),0)</f>
        <v>0.37900607235174566</v>
      </c>
      <c r="X678" s="170">
        <f>IF(Escenarios!$E$14&gt;0,Observaciones!$J677,0)</f>
        <v>0</v>
      </c>
      <c r="Y678" s="170">
        <f>IF(Escenarios!$E$14&gt;0,MAX(0,Z677+R678+S678+T678+Observaciones!$F677-U678-W678-X678-Constantes!$E$33),0)</f>
        <v>0</v>
      </c>
      <c r="Z678" s="170">
        <f>Z677+R678+S678+T678+Observaciones!$F677-U678-W678-Y678</f>
        <v>41.344751518087939</v>
      </c>
      <c r="AA678" s="170">
        <f>IF(Escenarios!$E$14&gt;0,(Escenarios!$E$13*L678+Escenarios!$E$14*W678)/(Escenarios!$E$16),L678)</f>
        <v>1.9754440358437624</v>
      </c>
      <c r="AB678" s="170">
        <f>IF(Escenarios!$E$14&gt;0,(Escenarios!$E$14*Y678)/(Escenarios!$E$16),K678)</f>
        <v>0</v>
      </c>
      <c r="AC678" s="170">
        <f>IF(Escenarios!$E$14&gt;0,(Escenarios!$E$13*M678+Escenarios!$E$14*U678)/(Escenarios!$E$16),M678)</f>
        <v>0</v>
      </c>
      <c r="AD678" s="76">
        <f t="shared" si="141"/>
        <v>65.331407023144649</v>
      </c>
      <c r="AE678" s="76">
        <f>MAX(0,(AD678-Constantes!$D$13)*(1-EXP(-Constantes!$D$23)))</f>
        <v>0.16338055278250171</v>
      </c>
      <c r="AF678" s="76">
        <f>AB678+O678*Escenarios!$E$13/Escenarios!$E$16+AE678</f>
        <v>0.53963309805410864</v>
      </c>
      <c r="AG678" s="76">
        <f>IF(Entradas!$E$91&gt;0,IF(AF678-Escenarios!$E$38&lt;=0,0,IF(AF678-Escenarios!$E$38&gt;Escenarios!$E$37,Escenarios!$E$37,AF678-Escenarios!$E$38)),0)</f>
        <v>0</v>
      </c>
      <c r="AH678" s="76">
        <f>AG678*Entradas!$E$99</f>
        <v>0</v>
      </c>
      <c r="AI678" s="76">
        <f>IF(Entradas!$E$91&gt;0,D678*Entradas!$D$23/Escenarios!$E$16,0)</f>
        <v>0</v>
      </c>
      <c r="AJ678" s="76">
        <f>IF(Entradas!$E$91&gt;0,Entradas!$D$24*Entradas!$D$22/Escenarios!$E$16,0)</f>
        <v>0</v>
      </c>
      <c r="AK678" s="76">
        <f t="shared" si="150"/>
        <v>1.9754440358437624</v>
      </c>
      <c r="AL678" s="76">
        <f t="shared" si="151"/>
        <v>0</v>
      </c>
      <c r="AM678" s="76">
        <f t="shared" si="142"/>
        <v>0</v>
      </c>
      <c r="AN678" s="76">
        <f>MAX(0,O678*Escenarios!$E$13/Escenarios!$E$16-AM678)</f>
        <v>0.37625254527160695</v>
      </c>
      <c r="AO678" s="76">
        <f>AM678+AN678-O678*Escenarios!$E$13/Escenarios!$E$16</f>
        <v>0</v>
      </c>
      <c r="AP678" s="76">
        <f t="shared" si="140"/>
        <v>0.16338055278250171</v>
      </c>
      <c r="AQ678" s="76">
        <f t="shared" si="143"/>
        <v>0</v>
      </c>
      <c r="AR678" s="76">
        <f t="shared" si="144"/>
        <v>0.53963309805410864</v>
      </c>
      <c r="AS678" s="76">
        <f t="shared" si="145"/>
        <v>0</v>
      </c>
      <c r="AT678" s="76">
        <f t="shared" si="146"/>
        <v>0</v>
      </c>
      <c r="AU678" s="76">
        <f t="shared" si="147"/>
        <v>48.75</v>
      </c>
      <c r="AV678" s="76">
        <f>MAX(0,(AU678-Constantes!$D$13)*(1-EXP(-Constantes!$D$24)))</f>
        <v>0</v>
      </c>
      <c r="AW678" s="170">
        <f>AW677+(Entradas!$E$112*AT678-AX677)/(800*Entradas!$D$25)</f>
        <v>0</v>
      </c>
      <c r="AX678" s="170">
        <f>8000*Entradas!$D$26*AW678/Constantes!$E$45</f>
        <v>0</v>
      </c>
      <c r="AY678" s="170">
        <f>IF(Escenarios!$E$17&gt;0,10*Escenarios!$E$16*AL678,0)</f>
        <v>0</v>
      </c>
      <c r="AZ678" s="170">
        <f>IF(Escenarios!$E$17&gt;0,10*Escenarios!$E$16*AX678,0)</f>
        <v>0</v>
      </c>
      <c r="BA678" s="170">
        <f>IF(Escenarios!$E$17&gt;0,0.001*Observaciones!$F677*Escenarios!$E$17,0)</f>
        <v>0</v>
      </c>
      <c r="BB678" s="170">
        <f>IF(Escenarios!$E$17&gt;0,Observaciones!$K677,0)</f>
        <v>0</v>
      </c>
      <c r="BC678" s="170">
        <f>IF(Escenarios!$E$17&gt;0,MIN(0.0005*ETo!$M677*Escenarios!$E$17*(BG677/Constantes!$E$40)^(2/3),BG677+AY678+AZ678+BA678+BB678),0)</f>
        <v>13.845468690511288</v>
      </c>
      <c r="BD678" s="170">
        <f>IF(Escenarios!$E$17&gt;0,MIN(Constantes!$E$39*(BG677/Constantes!$E$40)^(2/3),BG677+AY678+AZ678+BA678+BB678-BC678),0)</f>
        <v>21.927165838609351</v>
      </c>
      <c r="BE678" s="170">
        <f>IF(Escenarios!$E$17&gt;0,MIN(Entradas!$E$113,BG677+AY678+AZ678+BA678+BB678-BC678-BD678),0)</f>
        <v>1</v>
      </c>
      <c r="BF678" s="170">
        <f>IF(Escenarios!$E$17&gt;0,MAX(0,BG677+AY678+AZ678+BA678+BB678-BC678-BD678-BE678-Constantes!$E$40),0)</f>
        <v>0</v>
      </c>
      <c r="BG678" s="170">
        <f t="shared" si="152"/>
        <v>919.86511043709163</v>
      </c>
      <c r="BH678" s="170">
        <f>(Escenarios!$E$16*AK678+0.1*BC678)/(Escenarios!$E$19)</f>
        <v>1.9652601421825067</v>
      </c>
      <c r="BI678" s="170">
        <f>IF(Escenarios!$E$17&gt;0,BF678/10/Escenarios!$E$19,AL678)</f>
        <v>0</v>
      </c>
      <c r="BJ678" s="170">
        <f>(Escenarios!$E$16*AT678+0.1*BD678)/(Escenarios!$E$19)</f>
        <v>8.7012562851624415E-3</v>
      </c>
      <c r="BK678" s="76">
        <f>BK677+(0.1*BD678)/(Escenarios!$E$19)-BL677</f>
        <v>49.574818781171182</v>
      </c>
      <c r="BL678" s="76">
        <f>MAX(0,(BK678-Constantes!$D$13)*(1-EXP(-Constantes!$D$23)))</f>
        <v>8.1271359074074501E-3</v>
      </c>
      <c r="BM678" s="76">
        <f t="shared" si="148"/>
        <v>0.17150768868990918</v>
      </c>
      <c r="BN678" s="76">
        <f t="shared" si="153"/>
        <v>0.54776023396151607</v>
      </c>
      <c r="BO678" s="76">
        <f>0.0526*BI678*Observaciones!$F677^1.218</f>
        <v>0</v>
      </c>
      <c r="BP678" s="76">
        <f>BO678*Constantes!$E$51</f>
        <v>0</v>
      </c>
      <c r="BQ678" s="76">
        <f t="shared" si="149"/>
        <v>0</v>
      </c>
      <c r="BR678" s="40"/>
    </row>
    <row r="679" spans="1:70">
      <c r="A679" s="147"/>
      <c r="B679" s="39"/>
      <c r="C679" s="75">
        <v>673</v>
      </c>
      <c r="D679" s="146">
        <f>ETo!$I678*((1-Constantes!$E$19)*ETo!$K678+ETo!$L678)</f>
        <v>4.3850756661278645</v>
      </c>
      <c r="E679" s="76">
        <f>MIN(D679*Constantes!$E$17,0.8*(N678+Observaciones!$F678-F679-M679-Constantes!$D$14))</f>
        <v>2.1439174868350666</v>
      </c>
      <c r="F679" s="76">
        <f>IF(Observaciones!$F678&gt;0.05*Constantes!$E$18,((Observaciones!$F678-0.05*Constantes!$E$18)^2)/(Observaciones!$F678+0.95*Constantes!$E$18),0)</f>
        <v>0</v>
      </c>
      <c r="G679" s="76">
        <f>IF(Escenarios!$E$11&gt;0,(F679*Escenarios!$E$16*10000)/1000,0)</f>
        <v>0</v>
      </c>
      <c r="H679" s="76">
        <f>IF(Escenarios!$E$11&gt;0,(Observaciones!$F678*Constantes!$E$29)/1000,0)</f>
        <v>26</v>
      </c>
      <c r="I679" s="76">
        <f>IF(Escenarios!$E$11&gt;0,(D679*Constantes!$E$29)/1000,0)</f>
        <v>43.850756661278645</v>
      </c>
      <c r="J679" s="76">
        <f>IF(Escenarios!$E$11&gt;0,MAX(0,G679+H679-I679),0)</f>
        <v>0</v>
      </c>
      <c r="K679" s="76">
        <f>IF(Escenarios!$E$11&gt;0,IF(J679&gt;Constantes!$E$30,1000*((J679-Constantes!$E$30)/(Escenarios!$E$16*10000)),0),F679)</f>
        <v>0</v>
      </c>
      <c r="L679" s="76">
        <f>IF(Escenarios!$E$11&gt;0,I679*1000/Escenarios!$E$16/10000+E679,E679)</f>
        <v>2.1614577894995781</v>
      </c>
      <c r="M679" s="76">
        <f>MAX(0,N678+Observaciones!$F678-K679-Constantes!$D$13)</f>
        <v>0</v>
      </c>
      <c r="N679" s="76">
        <f>N678+Observaciones!$F678-K679-L679-M679-O678</f>
        <v>23.812762652860989</v>
      </c>
      <c r="O679" s="76">
        <f>MAX(0,(N679-Constantes!$D$14)*(1-EXP(-Constantes!$D$22)))</f>
        <v>0.42793381480229087</v>
      </c>
      <c r="P679" s="170">
        <f>P678+(Entradas!$E$83*M679-Q678)/(800*Entradas!$D$25)</f>
        <v>0</v>
      </c>
      <c r="Q679" s="170">
        <f>8000*Entradas!$D$26*P679/Constantes!$E$45</f>
        <v>0</v>
      </c>
      <c r="R679" s="170">
        <f>IF(Escenarios!$E$14&gt;0,K679*Escenarios!$E$13/Escenarios!$E$14,0)</f>
        <v>0</v>
      </c>
      <c r="S679" s="170">
        <f>IF(Escenarios!$E$14&gt;0,Q679*Escenarios!$E$13/Escenarios!$E$14,0)</f>
        <v>0</v>
      </c>
      <c r="T679" s="170">
        <f>IF(Escenarios!$E$14&gt;0,Observaciones!$I678,0)</f>
        <v>0</v>
      </c>
      <c r="U679" s="170">
        <f>IF(Escenarios!$E$14&gt;0,MAX(0,Constantes!$E$36/((Z678+R679+S679+T679+Observaciones!$F678)^2)+Entradas!$E$77),0)</f>
        <v>0</v>
      </c>
      <c r="V679" s="146">
        <f>IF(ETo!D678&gt;0,ETo!I678*((1-Entradas!$E$81)*ETo!K678+ETo!L678),0)</f>
        <v>4.0072004847457352</v>
      </c>
      <c r="W679" s="170">
        <f>IF(Escenarios!$E$14&gt;0,MIN(V679*1,0.8*(Z678+R679+S679+T679+Observaciones!$F678-U679-Constantes!$E$35)),0)</f>
        <v>2.1558012144703524</v>
      </c>
      <c r="X679" s="170">
        <f>IF(Escenarios!$E$14&gt;0,Observaciones!$J678,0)</f>
        <v>0</v>
      </c>
      <c r="Y679" s="170">
        <f>IF(Escenarios!$E$14&gt;0,MAX(0,Z678+R679+S679+T679+Observaciones!$F678-U679-W679-X679-Constantes!$E$33),0)</f>
        <v>0</v>
      </c>
      <c r="Z679" s="170">
        <f>Z678+R679+S679+T679+Observaciones!$F678-U679-W679-Y679</f>
        <v>41.78895030361759</v>
      </c>
      <c r="AA679" s="170">
        <f>IF(Escenarios!$E$14&gt;0,(Escenarios!$E$13*L679+Escenarios!$E$14*W679)/(Escenarios!$E$16),L679)</f>
        <v>2.160779000496071</v>
      </c>
      <c r="AB679" s="170">
        <f>IF(Escenarios!$E$14&gt;0,(Escenarios!$E$14*Y679)/(Escenarios!$E$16),K679)</f>
        <v>0</v>
      </c>
      <c r="AC679" s="170">
        <f>IF(Escenarios!$E$14&gt;0,(Escenarios!$E$13*M679+Escenarios!$E$14*U679)/(Escenarios!$E$16),M679)</f>
        <v>0</v>
      </c>
      <c r="AD679" s="76">
        <f t="shared" si="141"/>
        <v>65.16802647036215</v>
      </c>
      <c r="AE679" s="76">
        <f>MAX(0,(AD679-Constantes!$D$13)*(1-EXP(-Constantes!$D$23)))</f>
        <v>0.16177072528171987</v>
      </c>
      <c r="AF679" s="76">
        <f>AB679+O679*Escenarios!$E$13/Escenarios!$E$16+AE679</f>
        <v>0.53835248230773591</v>
      </c>
      <c r="AG679" s="76">
        <f>IF(Entradas!$E$91&gt;0,IF(AF679-Escenarios!$E$38&lt;=0,0,IF(AF679-Escenarios!$E$38&gt;Escenarios!$E$37,Escenarios!$E$37,AF679-Escenarios!$E$38)),0)</f>
        <v>0</v>
      </c>
      <c r="AH679" s="76">
        <f>AG679*Entradas!$E$99</f>
        <v>0</v>
      </c>
      <c r="AI679" s="76">
        <f>IF(Entradas!$E$91&gt;0,D679*Entradas!$D$23/Escenarios!$E$16,0)</f>
        <v>0</v>
      </c>
      <c r="AJ679" s="76">
        <f>IF(Entradas!$E$91&gt;0,Entradas!$D$24*Entradas!$D$22/Escenarios!$E$16,0)</f>
        <v>0</v>
      </c>
      <c r="AK679" s="76">
        <f t="shared" si="150"/>
        <v>2.160779000496071</v>
      </c>
      <c r="AL679" s="76">
        <f t="shared" si="151"/>
        <v>0</v>
      </c>
      <c r="AM679" s="76">
        <f t="shared" si="142"/>
        <v>0</v>
      </c>
      <c r="AN679" s="76">
        <f>MAX(0,O679*Escenarios!$E$13/Escenarios!$E$16-AM679)</f>
        <v>0.37658175702601598</v>
      </c>
      <c r="AO679" s="76">
        <f>AM679+AN679-O679*Escenarios!$E$13/Escenarios!$E$16</f>
        <v>0</v>
      </c>
      <c r="AP679" s="76">
        <f t="shared" si="140"/>
        <v>0.16177072528171987</v>
      </c>
      <c r="AQ679" s="76">
        <f t="shared" si="143"/>
        <v>0</v>
      </c>
      <c r="AR679" s="76">
        <f t="shared" si="144"/>
        <v>0.53835248230773591</v>
      </c>
      <c r="AS679" s="76">
        <f t="shared" si="145"/>
        <v>0</v>
      </c>
      <c r="AT679" s="76">
        <f t="shared" si="146"/>
        <v>0</v>
      </c>
      <c r="AU679" s="76">
        <f t="shared" si="147"/>
        <v>48.75</v>
      </c>
      <c r="AV679" s="76">
        <f>MAX(0,(AU679-Constantes!$D$13)*(1-EXP(-Constantes!$D$24)))</f>
        <v>0</v>
      </c>
      <c r="AW679" s="170">
        <f>AW678+(Entradas!$E$112*AT679-AX678)/(800*Entradas!$D$25)</f>
        <v>0</v>
      </c>
      <c r="AX679" s="170">
        <f>8000*Entradas!$D$26*AW679/Constantes!$E$45</f>
        <v>0</v>
      </c>
      <c r="AY679" s="170">
        <f>IF(Escenarios!$E$17&gt;0,10*Escenarios!$E$16*AL679,0)</f>
        <v>0</v>
      </c>
      <c r="AZ679" s="170">
        <f>IF(Escenarios!$E$17&gt;0,10*Escenarios!$E$16*AX679,0)</f>
        <v>0</v>
      </c>
      <c r="BA679" s="170">
        <f>IF(Escenarios!$E$17&gt;0,0.001*Observaciones!$F678*Escenarios!$E$17,0)</f>
        <v>52.000000000000007</v>
      </c>
      <c r="BB679" s="170">
        <f>IF(Escenarios!$E$17&gt;0,Observaciones!$K678,0)</f>
        <v>0</v>
      </c>
      <c r="BC679" s="170">
        <f>IF(Escenarios!$E$17&gt;0,MIN(0.0005*ETo!$M678*Escenarios!$E$17*(BG678/Constantes!$E$40)^(2/3),BG678+AY679+AZ679+BA679+BB679),0)</f>
        <v>13.296718108583651</v>
      </c>
      <c r="BD679" s="170">
        <f>IF(Escenarios!$E$17&gt;0,MIN(Constantes!$E$39*(BG678/Constantes!$E$40)^(2/3),BG678+AY679+AZ679+BA679+BB679-BC679),0)</f>
        <v>21.361590769876834</v>
      </c>
      <c r="BE679" s="170">
        <f>IF(Escenarios!$E$17&gt;0,MIN(Entradas!$E$113,BG678+AY679+AZ679+BA679+BB679-BC679-BD679),0)</f>
        <v>1</v>
      </c>
      <c r="BF679" s="170">
        <f>IF(Escenarios!$E$17&gt;0,MAX(0,BG678+AY679+AZ679+BA679+BB679-BC679-BD679-BE679-Constantes!$E$40),0)</f>
        <v>0</v>
      </c>
      <c r="BG679" s="170">
        <f t="shared" si="152"/>
        <v>936.20680155863124</v>
      </c>
      <c r="BH679" s="170">
        <f>(Escenarios!$E$16*AK679+0.1*BC679)/(Escenarios!$E$19)</f>
        <v>2.1489064362495087</v>
      </c>
      <c r="BI679" s="170">
        <f>IF(Escenarios!$E$17&gt;0,BF679/10/Escenarios!$E$19,AL679)</f>
        <v>0</v>
      </c>
      <c r="BJ679" s="170">
        <f>(Escenarios!$E$16*AT679+0.1*BD679)/(Escenarios!$E$19)</f>
        <v>8.4768217340781098E-3</v>
      </c>
      <c r="BK679" s="76">
        <f>BK678+(0.1*BD679)/(Escenarios!$E$19)-BL678</f>
        <v>49.575168466997852</v>
      </c>
      <c r="BL679" s="76">
        <f>MAX(0,(BK679-Constantes!$D$13)*(1-EXP(-Constantes!$D$23)))</f>
        <v>8.1305814451463065E-3</v>
      </c>
      <c r="BM679" s="76">
        <f t="shared" si="148"/>
        <v>0.16990130672686618</v>
      </c>
      <c r="BN679" s="76">
        <f t="shared" si="153"/>
        <v>0.54648306375288225</v>
      </c>
      <c r="BO679" s="76">
        <f>0.0526*BI679*Observaciones!$F678^1.218</f>
        <v>0</v>
      </c>
      <c r="BP679" s="76">
        <f>BO679*Constantes!$E$51</f>
        <v>0</v>
      </c>
      <c r="BQ679" s="76">
        <f t="shared" si="149"/>
        <v>0</v>
      </c>
      <c r="BR679" s="40"/>
    </row>
    <row r="680" spans="1:70">
      <c r="A680" s="147"/>
      <c r="B680" s="39"/>
      <c r="C680" s="75">
        <v>674</v>
      </c>
      <c r="D680" s="146">
        <f>ETo!$I679*((1-Constantes!$E$19)*ETo!$K679+ETo!$L679)</f>
        <v>4.5099723758777222</v>
      </c>
      <c r="E680" s="76">
        <f>MIN(D680*Constantes!$E$17,0.8*(N679+Observaciones!$F679-F680-M680-Constantes!$D$14))</f>
        <v>2.2049810260914664</v>
      </c>
      <c r="F680" s="76">
        <f>IF(Observaciones!$F679&gt;0.05*Constantes!$E$18,((Observaciones!$F679-0.05*Constantes!$E$18)^2)/(Observaciones!$F679+0.95*Constantes!$E$18),0)</f>
        <v>0</v>
      </c>
      <c r="G680" s="76">
        <f>IF(Escenarios!$E$11&gt;0,(F680*Escenarios!$E$16*10000)/1000,0)</f>
        <v>0</v>
      </c>
      <c r="H680" s="76">
        <f>IF(Escenarios!$E$11&gt;0,(Observaciones!$F679*Constantes!$E$29)/1000,0)</f>
        <v>11</v>
      </c>
      <c r="I680" s="76">
        <f>IF(Escenarios!$E$11&gt;0,(D680*Constantes!$E$29)/1000,0)</f>
        <v>45.099723758777216</v>
      </c>
      <c r="J680" s="76">
        <f>IF(Escenarios!$E$11&gt;0,MAX(0,G680+H680-I680),0)</f>
        <v>0</v>
      </c>
      <c r="K680" s="76">
        <f>IF(Escenarios!$E$11&gt;0,IF(J680&gt;Constantes!$E$30,1000*((J680-Constantes!$E$30)/(Escenarios!$E$16*10000)),0),F680)</f>
        <v>0</v>
      </c>
      <c r="L680" s="76">
        <f>IF(Escenarios!$E$11&gt;0,I680*1000/Escenarios!$E$16/10000+E680,E680)</f>
        <v>2.2230209155949772</v>
      </c>
      <c r="M680" s="76">
        <f>MAX(0,N679+Observaciones!$F679-K680-Constantes!$D$13)</f>
        <v>0</v>
      </c>
      <c r="N680" s="76">
        <f>N679+Observaciones!$F679-K680-L680-M680-O679</f>
        <v>22.261807922463724</v>
      </c>
      <c r="O680" s="76">
        <f>MAX(0,(N680-Constantes!$D$14)*(1-EXP(-Constantes!$D$22)))</f>
        <v>0.37510260301358361</v>
      </c>
      <c r="P680" s="170">
        <f>P679+(Entradas!$E$83*M680-Q679)/(800*Entradas!$D$25)</f>
        <v>0</v>
      </c>
      <c r="Q680" s="170">
        <f>8000*Entradas!$D$26*P680/Constantes!$E$45</f>
        <v>0</v>
      </c>
      <c r="R680" s="170">
        <f>IF(Escenarios!$E$14&gt;0,K680*Escenarios!$E$13/Escenarios!$E$14,0)</f>
        <v>0</v>
      </c>
      <c r="S680" s="170">
        <f>IF(Escenarios!$E$14&gt;0,Q680*Escenarios!$E$13/Escenarios!$E$14,0)</f>
        <v>0</v>
      </c>
      <c r="T680" s="170">
        <f>IF(Escenarios!$E$14&gt;0,Observaciones!$I679,0)</f>
        <v>0</v>
      </c>
      <c r="U680" s="170">
        <f>IF(Escenarios!$E$14&gt;0,MAX(0,Constantes!$E$36/((Z679+R680+S680+T680+Observaciones!$F679)^2)+Entradas!$E$77),0)</f>
        <v>0</v>
      </c>
      <c r="V680" s="146">
        <f>IF(ETo!D679&gt;0,ETo!I679*((1-Entradas!$E$81)*ETo!K679+ETo!L679),0)</f>
        <v>4.1230185471756</v>
      </c>
      <c r="W680" s="170">
        <f>IF(Escenarios!$E$14&gt;0,MIN(V680*1,0.8*(Z679+R680+S680+T680+Observaciones!$F679-U680-Constantes!$E$35)),0)</f>
        <v>1.311160242894073</v>
      </c>
      <c r="X680" s="170">
        <f>IF(Escenarios!$E$14&gt;0,Observaciones!$J679,0)</f>
        <v>0</v>
      </c>
      <c r="Y680" s="170">
        <f>IF(Escenarios!$E$14&gt;0,MAX(0,Z679+R680+S680+T680+Observaciones!$F679-U680-W680-X680-Constantes!$E$33),0)</f>
        <v>0</v>
      </c>
      <c r="Z680" s="170">
        <f>Z679+R680+S680+T680+Observaciones!$F679-U680-W680-Y680</f>
        <v>41.577790060723515</v>
      </c>
      <c r="AA680" s="170">
        <f>IF(Escenarios!$E$14&gt;0,(Escenarios!$E$13*L680+Escenarios!$E$14*W680)/(Escenarios!$E$16),L680)</f>
        <v>2.1135976348708687</v>
      </c>
      <c r="AB680" s="170">
        <f>IF(Escenarios!$E$14&gt;0,(Escenarios!$E$14*Y680)/(Escenarios!$E$16),K680)</f>
        <v>0</v>
      </c>
      <c r="AC680" s="170">
        <f>IF(Escenarios!$E$14&gt;0,(Escenarios!$E$13*M680+Escenarios!$E$14*U680)/(Escenarios!$E$16),M680)</f>
        <v>0</v>
      </c>
      <c r="AD680" s="76">
        <f t="shared" si="141"/>
        <v>65.006255745080423</v>
      </c>
      <c r="AE680" s="76">
        <f>MAX(0,(AD680-Constantes!$D$13)*(1-EXP(-Constantes!$D$23)))</f>
        <v>0.1601767597947342</v>
      </c>
      <c r="AF680" s="76">
        <f>AB680+O680*Escenarios!$E$13/Escenarios!$E$16+AE680</f>
        <v>0.49026705044668772</v>
      </c>
      <c r="AG680" s="76">
        <f>IF(Entradas!$E$91&gt;0,IF(AF680-Escenarios!$E$38&lt;=0,0,IF(AF680-Escenarios!$E$38&gt;Escenarios!$E$37,Escenarios!$E$37,AF680-Escenarios!$E$38)),0)</f>
        <v>0</v>
      </c>
      <c r="AH680" s="76">
        <f>AG680*Entradas!$E$99</f>
        <v>0</v>
      </c>
      <c r="AI680" s="76">
        <f>IF(Entradas!$E$91&gt;0,D680*Entradas!$D$23/Escenarios!$E$16,0)</f>
        <v>0</v>
      </c>
      <c r="AJ680" s="76">
        <f>IF(Entradas!$E$91&gt;0,Entradas!$D$24*Entradas!$D$22/Escenarios!$E$16,0)</f>
        <v>0</v>
      </c>
      <c r="AK680" s="76">
        <f t="shared" si="150"/>
        <v>2.1135976348708687</v>
      </c>
      <c r="AL680" s="76">
        <f t="shared" si="151"/>
        <v>0</v>
      </c>
      <c r="AM680" s="76">
        <f t="shared" si="142"/>
        <v>0</v>
      </c>
      <c r="AN680" s="76">
        <f>MAX(0,O680*Escenarios!$E$13/Escenarios!$E$16-AM680)</f>
        <v>0.33009029065195356</v>
      </c>
      <c r="AO680" s="76">
        <f>AM680+AN680-O680*Escenarios!$E$13/Escenarios!$E$16</f>
        <v>0</v>
      </c>
      <c r="AP680" s="76">
        <f t="shared" si="140"/>
        <v>0.1601767597947342</v>
      </c>
      <c r="AQ680" s="76">
        <f t="shared" si="143"/>
        <v>0</v>
      </c>
      <c r="AR680" s="76">
        <f t="shared" si="144"/>
        <v>0.49026705044668772</v>
      </c>
      <c r="AS680" s="76">
        <f t="shared" si="145"/>
        <v>0</v>
      </c>
      <c r="AT680" s="76">
        <f t="shared" si="146"/>
        <v>0</v>
      </c>
      <c r="AU680" s="76">
        <f t="shared" si="147"/>
        <v>48.75</v>
      </c>
      <c r="AV680" s="76">
        <f>MAX(0,(AU680-Constantes!$D$13)*(1-EXP(-Constantes!$D$24)))</f>
        <v>0</v>
      </c>
      <c r="AW680" s="170">
        <f>AW679+(Entradas!$E$112*AT680-AX679)/(800*Entradas!$D$25)</f>
        <v>0</v>
      </c>
      <c r="AX680" s="170">
        <f>8000*Entradas!$D$26*AW680/Constantes!$E$45</f>
        <v>0</v>
      </c>
      <c r="AY680" s="170">
        <f>IF(Escenarios!$E$17&gt;0,10*Escenarios!$E$16*AL680,0)</f>
        <v>0</v>
      </c>
      <c r="AZ680" s="170">
        <f>IF(Escenarios!$E$17&gt;0,10*Escenarios!$E$16*AX680,0)</f>
        <v>0</v>
      </c>
      <c r="BA680" s="170">
        <f>IF(Escenarios!$E$17&gt;0,0.001*Observaciones!$F679*Escenarios!$E$17,0)</f>
        <v>22</v>
      </c>
      <c r="BB680" s="170">
        <f>IF(Escenarios!$E$17&gt;0,Observaciones!$K679,0)</f>
        <v>0</v>
      </c>
      <c r="BC680" s="170">
        <f>IF(Escenarios!$E$17&gt;0,MIN(0.0005*ETo!$M679*Escenarios!$E$17*(BG679/Constantes!$E$40)^(2/3),BG679+AY680+AZ680+BA680+BB680),0)</f>
        <v>13.829768584904409</v>
      </c>
      <c r="BD680" s="170">
        <f>IF(Escenarios!$E$17&gt;0,MIN(Constantes!$E$39*(BG679/Constantes!$E$40)^(2/3),BG679+AY680+AZ680+BA680+BB680-BC680),0)</f>
        <v>21.613844419112223</v>
      </c>
      <c r="BE680" s="170">
        <f>IF(Escenarios!$E$17&gt;0,MIN(Entradas!$E$113,BG679+AY680+AZ680+BA680+BB680-BC680-BD680),0)</f>
        <v>1</v>
      </c>
      <c r="BF680" s="170">
        <f>IF(Escenarios!$E$17&gt;0,MAX(0,BG679+AY680+AZ680+BA680+BB680-BC680-BD680-BE680-Constantes!$E$40),0)</f>
        <v>0</v>
      </c>
      <c r="BG680" s="170">
        <f t="shared" si="152"/>
        <v>921.76318855461466</v>
      </c>
      <c r="BH680" s="170">
        <f>(Escenarios!$E$16*AK680+0.1*BC680)/(Escenarios!$E$19)</f>
        <v>2.1023110538738399</v>
      </c>
      <c r="BI680" s="170">
        <f>IF(Escenarios!$E$17&gt;0,BF680/10/Escenarios!$E$19,AL680)</f>
        <v>0</v>
      </c>
      <c r="BJ680" s="170">
        <f>(Escenarios!$E$16*AT680+0.1*BD680)/(Escenarios!$E$19)</f>
        <v>8.576922388536596E-3</v>
      </c>
      <c r="BK680" s="76">
        <f>BK679+(0.1*BD680)/(Escenarios!$E$19)-BL679</f>
        <v>49.575614807941243</v>
      </c>
      <c r="BL680" s="76">
        <f>MAX(0,(BK680-Constantes!$D$13)*(1-EXP(-Constantes!$D$23)))</f>
        <v>8.1349793487716683E-3</v>
      </c>
      <c r="BM680" s="76">
        <f t="shared" si="148"/>
        <v>0.16831173914350586</v>
      </c>
      <c r="BN680" s="76">
        <f t="shared" si="153"/>
        <v>0.49840202979545939</v>
      </c>
      <c r="BO680" s="76">
        <f>0.0526*BI680*Observaciones!$F679^1.218</f>
        <v>0</v>
      </c>
      <c r="BP680" s="76">
        <f>BO680*Constantes!$E$51</f>
        <v>0</v>
      </c>
      <c r="BQ680" s="76">
        <f t="shared" si="149"/>
        <v>0</v>
      </c>
      <c r="BR680" s="40"/>
    </row>
    <row r="681" spans="1:70">
      <c r="A681" s="147"/>
      <c r="B681" s="39"/>
      <c r="C681" s="75">
        <v>675</v>
      </c>
      <c r="D681" s="146">
        <f>ETo!$I680*((1-Constantes!$E$19)*ETo!$K680+ETo!$L680)</f>
        <v>4.4587996149815732</v>
      </c>
      <c r="E681" s="76">
        <f>MIN(D681*Constantes!$E$17,0.8*(N680+Observaciones!$F680-F681-M681-Constantes!$D$14))</f>
        <v>2.179962033196468</v>
      </c>
      <c r="F681" s="76">
        <f>IF(Observaciones!$F680&gt;0.05*Constantes!$E$18,((Observaciones!$F680-0.05*Constantes!$E$18)^2)/(Observaciones!$F680+0.95*Constantes!$E$18),0)</f>
        <v>0</v>
      </c>
      <c r="G681" s="76">
        <f>IF(Escenarios!$E$11&gt;0,(F681*Escenarios!$E$16*10000)/1000,0)</f>
        <v>0</v>
      </c>
      <c r="H681" s="76">
        <f>IF(Escenarios!$E$11&gt;0,(Observaciones!$F680*Constantes!$E$29)/1000,0)</f>
        <v>1</v>
      </c>
      <c r="I681" s="76">
        <f>IF(Escenarios!$E$11&gt;0,(D681*Constantes!$E$29)/1000,0)</f>
        <v>44.587996149815737</v>
      </c>
      <c r="J681" s="76">
        <f>IF(Escenarios!$E$11&gt;0,MAX(0,G681+H681-I681),0)</f>
        <v>0</v>
      </c>
      <c r="K681" s="76">
        <f>IF(Escenarios!$E$11&gt;0,IF(J681&gt;Constantes!$E$30,1000*((J681-Constantes!$E$30)/(Escenarios!$E$16*10000)),0),F681)</f>
        <v>0</v>
      </c>
      <c r="L681" s="76">
        <f>IF(Escenarios!$E$11&gt;0,I681*1000/Escenarios!$E$16/10000+E681,E681)</f>
        <v>2.1977972316563941</v>
      </c>
      <c r="M681" s="76">
        <f>MAX(0,N680+Observaciones!$F680-K681-Constantes!$D$13)</f>
        <v>0</v>
      </c>
      <c r="N681" s="76">
        <f>N680+Observaciones!$F680-K681-L681-M681-O680</f>
        <v>19.788908087793747</v>
      </c>
      <c r="O681" s="76">
        <f>MAX(0,(N681-Constantes!$D$14)*(1-EXP(-Constantes!$D$22)))</f>
        <v>0.29086655644358184</v>
      </c>
      <c r="P681" s="170">
        <f>P680+(Entradas!$E$83*M681-Q680)/(800*Entradas!$D$25)</f>
        <v>0</v>
      </c>
      <c r="Q681" s="170">
        <f>8000*Entradas!$D$26*P681/Constantes!$E$45</f>
        <v>0</v>
      </c>
      <c r="R681" s="170">
        <f>IF(Escenarios!$E$14&gt;0,K681*Escenarios!$E$13/Escenarios!$E$14,0)</f>
        <v>0</v>
      </c>
      <c r="S681" s="170">
        <f>IF(Escenarios!$E$14&gt;0,Q681*Escenarios!$E$13/Escenarios!$E$14,0)</f>
        <v>0</v>
      </c>
      <c r="T681" s="170">
        <f>IF(Escenarios!$E$14&gt;0,Observaciones!$I680,0)</f>
        <v>0</v>
      </c>
      <c r="U681" s="170">
        <f>IF(Escenarios!$E$14&gt;0,MAX(0,Constantes!$E$36/((Z680+R681+S681+T681+Observaciones!$F680)^2)+Entradas!$E$77),0)</f>
        <v>0</v>
      </c>
      <c r="V681" s="146">
        <f>IF(ETo!D680&gt;0,ETo!I680*((1-Entradas!$E$81)*ETo!K680+ETo!L680),0)</f>
        <v>4.0755627213855847</v>
      </c>
      <c r="W681" s="170">
        <f>IF(Escenarios!$E$14&gt;0,MIN(V681*1,0.8*(Z680+R681+S681+T681+Observaciones!$F680-U681-Constantes!$E$35)),0)</f>
        <v>0.34223204857881345</v>
      </c>
      <c r="X681" s="170">
        <f>IF(Escenarios!$E$14&gt;0,Observaciones!$J680,0)</f>
        <v>0</v>
      </c>
      <c r="Y681" s="170">
        <f>IF(Escenarios!$E$14&gt;0,MAX(0,Z680+R681+S681+T681+Observaciones!$F680-U681-W681-X681-Constantes!$E$33),0)</f>
        <v>0</v>
      </c>
      <c r="Z681" s="170">
        <f>Z680+R681+S681+T681+Observaciones!$F680-U681-W681-Y681</f>
        <v>41.335558012144702</v>
      </c>
      <c r="AA681" s="170">
        <f>IF(Escenarios!$E$14&gt;0,(Escenarios!$E$13*L681+Escenarios!$E$14*W681)/(Escenarios!$E$16),L681)</f>
        <v>1.9751294096870844</v>
      </c>
      <c r="AB681" s="170">
        <f>IF(Escenarios!$E$14&gt;0,(Escenarios!$E$14*Y681)/(Escenarios!$E$16),K681)</f>
        <v>0</v>
      </c>
      <c r="AC681" s="170">
        <f>IF(Escenarios!$E$14&gt;0,(Escenarios!$E$13*M681+Escenarios!$E$14*U681)/(Escenarios!$E$16),M681)</f>
        <v>0</v>
      </c>
      <c r="AD681" s="76">
        <f t="shared" si="141"/>
        <v>64.846078985285686</v>
      </c>
      <c r="AE681" s="76">
        <f>MAX(0,(AD681-Constantes!$D$13)*(1-EXP(-Constantes!$D$23)))</f>
        <v>0.15859850002934481</v>
      </c>
      <c r="AF681" s="76">
        <f>AB681+O681*Escenarios!$E$13/Escenarios!$E$16+AE681</f>
        <v>0.41456106969969686</v>
      </c>
      <c r="AG681" s="76">
        <f>IF(Entradas!$E$91&gt;0,IF(AF681-Escenarios!$E$38&lt;=0,0,IF(AF681-Escenarios!$E$38&gt;Escenarios!$E$37,Escenarios!$E$37,AF681-Escenarios!$E$38)),0)</f>
        <v>0</v>
      </c>
      <c r="AH681" s="76">
        <f>AG681*Entradas!$E$99</f>
        <v>0</v>
      </c>
      <c r="AI681" s="76">
        <f>IF(Entradas!$E$91&gt;0,D681*Entradas!$D$23/Escenarios!$E$16,0)</f>
        <v>0</v>
      </c>
      <c r="AJ681" s="76">
        <f>IF(Entradas!$E$91&gt;0,Entradas!$D$24*Entradas!$D$22/Escenarios!$E$16,0)</f>
        <v>0</v>
      </c>
      <c r="AK681" s="76">
        <f t="shared" si="150"/>
        <v>1.9751294096870844</v>
      </c>
      <c r="AL681" s="76">
        <f t="shared" si="151"/>
        <v>0</v>
      </c>
      <c r="AM681" s="76">
        <f t="shared" si="142"/>
        <v>0</v>
      </c>
      <c r="AN681" s="76">
        <f>MAX(0,O681*Escenarios!$E$13/Escenarios!$E$16-AM681)</f>
        <v>0.25596256967035202</v>
      </c>
      <c r="AO681" s="76">
        <f>AM681+AN681-O681*Escenarios!$E$13/Escenarios!$E$16</f>
        <v>0</v>
      </c>
      <c r="AP681" s="76">
        <f t="shared" si="140"/>
        <v>0.15859850002934481</v>
      </c>
      <c r="AQ681" s="76">
        <f t="shared" si="143"/>
        <v>0</v>
      </c>
      <c r="AR681" s="76">
        <f t="shared" si="144"/>
        <v>0.41456106969969686</v>
      </c>
      <c r="AS681" s="76">
        <f t="shared" si="145"/>
        <v>0</v>
      </c>
      <c r="AT681" s="76">
        <f t="shared" si="146"/>
        <v>0</v>
      </c>
      <c r="AU681" s="76">
        <f t="shared" si="147"/>
        <v>48.75</v>
      </c>
      <c r="AV681" s="76">
        <f>MAX(0,(AU681-Constantes!$D$13)*(1-EXP(-Constantes!$D$24)))</f>
        <v>0</v>
      </c>
      <c r="AW681" s="170">
        <f>AW680+(Entradas!$E$112*AT681-AX680)/(800*Entradas!$D$25)</f>
        <v>0</v>
      </c>
      <c r="AX681" s="170">
        <f>8000*Entradas!$D$26*AW681/Constantes!$E$45</f>
        <v>0</v>
      </c>
      <c r="AY681" s="170">
        <f>IF(Escenarios!$E$17&gt;0,10*Escenarios!$E$16*AL681,0)</f>
        <v>0</v>
      </c>
      <c r="AZ681" s="170">
        <f>IF(Escenarios!$E$17&gt;0,10*Escenarios!$E$16*AX681,0)</f>
        <v>0</v>
      </c>
      <c r="BA681" s="170">
        <f>IF(Escenarios!$E$17&gt;0,0.001*Observaciones!$F680*Escenarios!$E$17,0)</f>
        <v>2</v>
      </c>
      <c r="BB681" s="170">
        <f>IF(Escenarios!$E$17&gt;0,Observaciones!$K680,0)</f>
        <v>0</v>
      </c>
      <c r="BC681" s="170">
        <f>IF(Escenarios!$E$17&gt;0,MIN(0.0005*ETo!$M680*Escenarios!$E$17*(BG680/Constantes!$E$40)^(2/3),BG680+AY681+AZ681+BA681+BB681),0)</f>
        <v>13.534690319573789</v>
      </c>
      <c r="BD681" s="170">
        <f>IF(Escenarios!$E$17&gt;0,MIN(Constantes!$E$39*(BG680/Constantes!$E$40)^(2/3),BG680+AY681+AZ681+BA681+BB681-BC681),0)</f>
        <v>21.39096611802362</v>
      </c>
      <c r="BE681" s="170">
        <f>IF(Escenarios!$E$17&gt;0,MIN(Entradas!$E$113,BG680+AY681+AZ681+BA681+BB681-BC681-BD681),0)</f>
        <v>1</v>
      </c>
      <c r="BF681" s="170">
        <f>IF(Escenarios!$E$17&gt;0,MAX(0,BG680+AY681+AZ681+BA681+BB681-BC681-BD681-BE681-Constantes!$E$40),0)</f>
        <v>0</v>
      </c>
      <c r="BG681" s="170">
        <f t="shared" si="152"/>
        <v>887.8375321170173</v>
      </c>
      <c r="BH681" s="170">
        <f>(Escenarios!$E$16*AK681+0.1*BC681)/(Escenarios!$E$19)</f>
        <v>1.9648246883084464</v>
      </c>
      <c r="BI681" s="170">
        <f>IF(Escenarios!$E$17&gt;0,BF681/10/Escenarios!$E$19,AL681)</f>
        <v>0</v>
      </c>
      <c r="BJ681" s="170">
        <f>(Escenarios!$E$16*AT681+0.1*BD681)/(Escenarios!$E$19)</f>
        <v>8.4884786182633405E-3</v>
      </c>
      <c r="BK681" s="76">
        <f>BK680+(0.1*BD681)/(Escenarios!$E$19)-BL680</f>
        <v>49.575968307210729</v>
      </c>
      <c r="BL681" s="76">
        <f>MAX(0,(BK681-Constantes!$D$13)*(1-EXP(-Constantes!$D$23)))</f>
        <v>8.1384624612708869E-3</v>
      </c>
      <c r="BM681" s="76">
        <f t="shared" si="148"/>
        <v>0.1667369624906157</v>
      </c>
      <c r="BN681" s="76">
        <f t="shared" si="153"/>
        <v>0.42269953216096773</v>
      </c>
      <c r="BO681" s="76">
        <f>0.0526*BI681*Observaciones!$F680^1.218</f>
        <v>0</v>
      </c>
      <c r="BP681" s="76">
        <f>BO681*Constantes!$E$51</f>
        <v>0</v>
      </c>
      <c r="BQ681" s="76">
        <f t="shared" si="149"/>
        <v>0</v>
      </c>
      <c r="BR681" s="40"/>
    </row>
    <row r="682" spans="1:70">
      <c r="A682" s="147"/>
      <c r="B682" s="39"/>
      <c r="C682" s="75">
        <v>676</v>
      </c>
      <c r="D682" s="146">
        <f>ETo!$I681*((1-Constantes!$E$19)*ETo!$K681+ETo!$L681)</f>
        <v>4.4390057689837299</v>
      </c>
      <c r="E682" s="76">
        <f>MIN(D682*Constantes!$E$17,0.8*(N681+Observaciones!$F681-F682-M682-Constantes!$D$14))</f>
        <v>2.1702845781654654</v>
      </c>
      <c r="F682" s="76">
        <f>IF(Observaciones!$F681&gt;0.05*Constantes!$E$18,((Observaciones!$F681-0.05*Constantes!$E$18)^2)/(Observaciones!$F681+0.95*Constantes!$E$18),0)</f>
        <v>0</v>
      </c>
      <c r="G682" s="76">
        <f>IF(Escenarios!$E$11&gt;0,(F682*Escenarios!$E$16*10000)/1000,0)</f>
        <v>0</v>
      </c>
      <c r="H682" s="76">
        <f>IF(Escenarios!$E$11&gt;0,(Observaciones!$F681*Constantes!$E$29)/1000,0)</f>
        <v>20</v>
      </c>
      <c r="I682" s="76">
        <f>IF(Escenarios!$E$11&gt;0,(D682*Constantes!$E$29)/1000,0)</f>
        <v>44.390057689837299</v>
      </c>
      <c r="J682" s="76">
        <f>IF(Escenarios!$E$11&gt;0,MAX(0,G682+H682-I682),0)</f>
        <v>0</v>
      </c>
      <c r="K682" s="76">
        <f>IF(Escenarios!$E$11&gt;0,IF(J682&gt;Constantes!$E$30,1000*((J682-Constantes!$E$30)/(Escenarios!$E$16*10000)),0),F682)</f>
        <v>0</v>
      </c>
      <c r="L682" s="76">
        <f>IF(Escenarios!$E$11&gt;0,I682*1000/Escenarios!$E$16/10000+E682,E682)</f>
        <v>2.1880406012414002</v>
      </c>
      <c r="M682" s="76">
        <f>MAX(0,N681+Observaciones!$F681-K682-Constantes!$D$13)</f>
        <v>0</v>
      </c>
      <c r="N682" s="76">
        <f>N681+Observaciones!$F681-K682-L682-M682-O681</f>
        <v>19.310000930108764</v>
      </c>
      <c r="O682" s="76">
        <f>MAX(0,(N682-Constantes!$D$14)*(1-EXP(-Constantes!$D$22)))</f>
        <v>0.27455322054866343</v>
      </c>
      <c r="P682" s="170">
        <f>P681+(Entradas!$E$83*M682-Q681)/(800*Entradas!$D$25)</f>
        <v>0</v>
      </c>
      <c r="Q682" s="170">
        <f>8000*Entradas!$D$26*P682/Constantes!$E$45</f>
        <v>0</v>
      </c>
      <c r="R682" s="170">
        <f>IF(Escenarios!$E$14&gt;0,K682*Escenarios!$E$13/Escenarios!$E$14,0)</f>
        <v>0</v>
      </c>
      <c r="S682" s="170">
        <f>IF(Escenarios!$E$14&gt;0,Q682*Escenarios!$E$13/Escenarios!$E$14,0)</f>
        <v>0</v>
      </c>
      <c r="T682" s="170">
        <f>IF(Escenarios!$E$14&gt;0,Observaciones!$I681,0)</f>
        <v>0</v>
      </c>
      <c r="U682" s="170">
        <f>IF(Escenarios!$E$14&gt;0,MAX(0,Constantes!$E$36/((Z681+R682+S682+T682+Observaciones!$F681)^2)+Entradas!$E$77),0)</f>
        <v>0</v>
      </c>
      <c r="V682" s="146">
        <f>IF(ETo!D681&gt;0,ETo!I681*((1-Entradas!$E$81)*ETo!K681+ETo!L681),0)</f>
        <v>4.0572401619119898</v>
      </c>
      <c r="W682" s="170">
        <f>IF(Escenarios!$E$14&gt;0,MIN(V682*1,0.8*(Z681+R682+S682+T682+Observaciones!$F681-U682-Constantes!$E$35)),0)</f>
        <v>1.6684464097157616</v>
      </c>
      <c r="X682" s="170">
        <f>IF(Escenarios!$E$14&gt;0,Observaciones!$J681,0)</f>
        <v>0</v>
      </c>
      <c r="Y682" s="170">
        <f>IF(Escenarios!$E$14&gt;0,MAX(0,Z681+R682+S682+T682+Observaciones!$F681-U682-W682-X682-Constantes!$E$33),0)</f>
        <v>0</v>
      </c>
      <c r="Z682" s="170">
        <f>Z681+R682+S682+T682+Observaciones!$F681-U682-W682-Y682</f>
        <v>41.667111602428939</v>
      </c>
      <c r="AA682" s="170">
        <f>IF(Escenarios!$E$14&gt;0,(Escenarios!$E$13*L682+Escenarios!$E$14*W682)/(Escenarios!$E$16),L682)</f>
        <v>2.1256892982583238</v>
      </c>
      <c r="AB682" s="170">
        <f>IF(Escenarios!$E$14&gt;0,(Escenarios!$E$14*Y682)/(Escenarios!$E$16),K682)</f>
        <v>0</v>
      </c>
      <c r="AC682" s="170">
        <f>IF(Escenarios!$E$14&gt;0,(Escenarios!$E$13*M682+Escenarios!$E$14*U682)/(Escenarios!$E$16),M682)</f>
        <v>0</v>
      </c>
      <c r="AD682" s="76">
        <f t="shared" si="141"/>
        <v>64.687480485256344</v>
      </c>
      <c r="AE682" s="76">
        <f>MAX(0,(AD682-Constantes!$D$13)*(1-EXP(-Constantes!$D$23)))</f>
        <v>0.15703579123333605</v>
      </c>
      <c r="AF682" s="76">
        <f>AB682+O682*Escenarios!$E$13/Escenarios!$E$16+AE682</f>
        <v>0.39864262531615985</v>
      </c>
      <c r="AG682" s="76">
        <f>IF(Entradas!$E$91&gt;0,IF(AF682-Escenarios!$E$38&lt;=0,0,IF(AF682-Escenarios!$E$38&gt;Escenarios!$E$37,Escenarios!$E$37,AF682-Escenarios!$E$38)),0)</f>
        <v>0</v>
      </c>
      <c r="AH682" s="76">
        <f>AG682*Entradas!$E$99</f>
        <v>0</v>
      </c>
      <c r="AI682" s="76">
        <f>IF(Entradas!$E$91&gt;0,D682*Entradas!$D$23/Escenarios!$E$16,0)</f>
        <v>0</v>
      </c>
      <c r="AJ682" s="76">
        <f>IF(Entradas!$E$91&gt;0,Entradas!$D$24*Entradas!$D$22/Escenarios!$E$16,0)</f>
        <v>0</v>
      </c>
      <c r="AK682" s="76">
        <f t="shared" si="150"/>
        <v>2.1256892982583238</v>
      </c>
      <c r="AL682" s="76">
        <f t="shared" si="151"/>
        <v>0</v>
      </c>
      <c r="AM682" s="76">
        <f t="shared" si="142"/>
        <v>0</v>
      </c>
      <c r="AN682" s="76">
        <f>MAX(0,O682*Escenarios!$E$13/Escenarios!$E$16-AM682)</f>
        <v>0.2416068340828238</v>
      </c>
      <c r="AO682" s="76">
        <f>AM682+AN682-O682*Escenarios!$E$13/Escenarios!$E$16</f>
        <v>0</v>
      </c>
      <c r="AP682" s="76">
        <f t="shared" si="140"/>
        <v>0.15703579123333605</v>
      </c>
      <c r="AQ682" s="76">
        <f t="shared" si="143"/>
        <v>0</v>
      </c>
      <c r="AR682" s="76">
        <f t="shared" si="144"/>
        <v>0.39864262531615985</v>
      </c>
      <c r="AS682" s="76">
        <f t="shared" si="145"/>
        <v>0</v>
      </c>
      <c r="AT682" s="76">
        <f t="shared" si="146"/>
        <v>0</v>
      </c>
      <c r="AU682" s="76">
        <f t="shared" si="147"/>
        <v>48.75</v>
      </c>
      <c r="AV682" s="76">
        <f>MAX(0,(AU682-Constantes!$D$13)*(1-EXP(-Constantes!$D$24)))</f>
        <v>0</v>
      </c>
      <c r="AW682" s="170">
        <f>AW681+(Entradas!$E$112*AT682-AX681)/(800*Entradas!$D$25)</f>
        <v>0</v>
      </c>
      <c r="AX682" s="170">
        <f>8000*Entradas!$D$26*AW682/Constantes!$E$45</f>
        <v>0</v>
      </c>
      <c r="AY682" s="170">
        <f>IF(Escenarios!$E$17&gt;0,10*Escenarios!$E$16*AL682,0)</f>
        <v>0</v>
      </c>
      <c r="AZ682" s="170">
        <f>IF(Escenarios!$E$17&gt;0,10*Escenarios!$E$16*AX682,0)</f>
        <v>0</v>
      </c>
      <c r="BA682" s="170">
        <f>IF(Escenarios!$E$17&gt;0,0.001*Observaciones!$F681*Escenarios!$E$17,0)</f>
        <v>40</v>
      </c>
      <c r="BB682" s="170">
        <f>IF(Escenarios!$E$17&gt;0,Observaciones!$K681,0)</f>
        <v>0</v>
      </c>
      <c r="BC682" s="170">
        <f>IF(Escenarios!$E$17&gt;0,MIN(0.0005*ETo!$M681*Escenarios!$E$17*(BG681/Constantes!$E$40)^(2/3),BG681+AY682+AZ682+BA682+BB682),0)</f>
        <v>13.142864413655868</v>
      </c>
      <c r="BD682" s="170">
        <f>IF(Escenarios!$E$17&gt;0,MIN(Constantes!$E$39*(BG681/Constantes!$E$40)^(2/3),BG681+AY682+AZ682+BA682+BB682-BC682),0)</f>
        <v>20.862827148627265</v>
      </c>
      <c r="BE682" s="170">
        <f>IF(Escenarios!$E$17&gt;0,MIN(Entradas!$E$113,BG681+AY682+AZ682+BA682+BB682-BC682-BD682),0)</f>
        <v>1</v>
      </c>
      <c r="BF682" s="170">
        <f>IF(Escenarios!$E$17&gt;0,MAX(0,BG681+AY682+AZ682+BA682+BB682-BC682-BD682-BE682-Constantes!$E$40),0)</f>
        <v>0</v>
      </c>
      <c r="BG682" s="170">
        <f t="shared" si="152"/>
        <v>892.83184055473419</v>
      </c>
      <c r="BH682" s="170">
        <f>(Escenarios!$E$16*AK682+0.1*BC682)/(Escenarios!$E$19)</f>
        <v>2.1140341706585177</v>
      </c>
      <c r="BI682" s="170">
        <f>IF(Escenarios!$E$17&gt;0,BF682/10/Escenarios!$E$19,AL682)</f>
        <v>0</v>
      </c>
      <c r="BJ682" s="170">
        <f>(Escenarios!$E$16*AT682+0.1*BD682)/(Escenarios!$E$19)</f>
        <v>8.2788996621536767E-3</v>
      </c>
      <c r="BK682" s="76">
        <f>BK681+(0.1*BD682)/(Escenarios!$E$19)-BL681</f>
        <v>49.576108744411613</v>
      </c>
      <c r="BL682" s="76">
        <f>MAX(0,(BK682-Constantes!$D$13)*(1-EXP(-Constantes!$D$23)))</f>
        <v>8.1398462224607261E-3</v>
      </c>
      <c r="BM682" s="76">
        <f t="shared" si="148"/>
        <v>0.16517563745579678</v>
      </c>
      <c r="BN682" s="76">
        <f t="shared" si="153"/>
        <v>0.40678247153862057</v>
      </c>
      <c r="BO682" s="76">
        <f>0.0526*BI682*Observaciones!$F681^1.218</f>
        <v>0</v>
      </c>
      <c r="BP682" s="76">
        <f>BO682*Constantes!$E$51</f>
        <v>0</v>
      </c>
      <c r="BQ682" s="76">
        <f t="shared" si="149"/>
        <v>0</v>
      </c>
      <c r="BR682" s="40"/>
    </row>
    <row r="683" spans="1:70">
      <c r="A683" s="147"/>
      <c r="B683" s="39"/>
      <c r="C683" s="75">
        <v>677</v>
      </c>
      <c r="D683" s="146">
        <f>ETo!$I682*((1-Constantes!$E$19)*ETo!$K682+ETo!$L682)</f>
        <v>4.4416043724736349</v>
      </c>
      <c r="E683" s="76">
        <f>MIN(D683*Constantes!$E$17,0.8*(N682+Observaciones!$F682-F683-M683-Constantes!$D$14))</f>
        <v>2.1715550674084203</v>
      </c>
      <c r="F683" s="76">
        <f>IF(Observaciones!$F682&gt;0.05*Constantes!$E$18,((Observaciones!$F682-0.05*Constantes!$E$18)^2)/(Observaciones!$F682+0.95*Constantes!$E$18),0)</f>
        <v>0</v>
      </c>
      <c r="G683" s="76">
        <f>IF(Escenarios!$E$11&gt;0,(F683*Escenarios!$E$16*10000)/1000,0)</f>
        <v>0</v>
      </c>
      <c r="H683" s="76">
        <f>IF(Escenarios!$E$11&gt;0,(Observaciones!$F682*Constantes!$E$29)/1000,0)</f>
        <v>0</v>
      </c>
      <c r="I683" s="76">
        <f>IF(Escenarios!$E$11&gt;0,(D683*Constantes!$E$29)/1000,0)</f>
        <v>44.416043724736355</v>
      </c>
      <c r="J683" s="76">
        <f>IF(Escenarios!$E$11&gt;0,MAX(0,G683+H683-I683),0)</f>
        <v>0</v>
      </c>
      <c r="K683" s="76">
        <f>IF(Escenarios!$E$11&gt;0,IF(J683&gt;Constantes!$E$30,1000*((J683-Constantes!$E$30)/(Escenarios!$E$16*10000)),0),F683)</f>
        <v>0</v>
      </c>
      <c r="L683" s="76">
        <f>IF(Escenarios!$E$11&gt;0,I683*1000/Escenarios!$E$16/10000+E683,E683)</f>
        <v>2.1893214848983149</v>
      </c>
      <c r="M683" s="76">
        <f>MAX(0,N682+Observaciones!$F682-K683-Constantes!$D$13)</f>
        <v>0</v>
      </c>
      <c r="N683" s="76">
        <f>N682+Observaciones!$F682-K683-L683-M683-O682</f>
        <v>16.846126224661784</v>
      </c>
      <c r="O683" s="76">
        <f>MAX(0,(N683-Constantes!$D$14)*(1-EXP(-Constantes!$D$22)))</f>
        <v>0.1906246030119246</v>
      </c>
      <c r="P683" s="170">
        <f>P682+(Entradas!$E$83*M683-Q682)/(800*Entradas!$D$25)</f>
        <v>0</v>
      </c>
      <c r="Q683" s="170">
        <f>8000*Entradas!$D$26*P683/Constantes!$E$45</f>
        <v>0</v>
      </c>
      <c r="R683" s="170">
        <f>IF(Escenarios!$E$14&gt;0,K683*Escenarios!$E$13/Escenarios!$E$14,0)</f>
        <v>0</v>
      </c>
      <c r="S683" s="170">
        <f>IF(Escenarios!$E$14&gt;0,Q683*Escenarios!$E$13/Escenarios!$E$14,0)</f>
        <v>0</v>
      </c>
      <c r="T683" s="170">
        <f>IF(Escenarios!$E$14&gt;0,Observaciones!$I682,0)</f>
        <v>0</v>
      </c>
      <c r="U683" s="170">
        <f>IF(Escenarios!$E$14&gt;0,MAX(0,Constantes!$E$36/((Z682+R683+S683+T683+Observaciones!$F682)^2)+Entradas!$E$77),0)</f>
        <v>0</v>
      </c>
      <c r="V683" s="146">
        <f>IF(ETo!D682&gt;0,ETo!I682*((1-Entradas!$E$81)*ETo!K682+ETo!L682),0)</f>
        <v>4.0596733112471064</v>
      </c>
      <c r="W683" s="170">
        <f>IF(Escenarios!$E$14&gt;0,MIN(V683*1,0.8*(Z682+R683+S683+T683+Observaciones!$F682-U683-Constantes!$E$35)),0)</f>
        <v>0.33368928194315117</v>
      </c>
      <c r="X683" s="170">
        <f>IF(Escenarios!$E$14&gt;0,Observaciones!$J682,0)</f>
        <v>0</v>
      </c>
      <c r="Y683" s="170">
        <f>IF(Escenarios!$E$14&gt;0,MAX(0,Z682+R683+S683+T683+Observaciones!$F682-U683-W683-X683-Constantes!$E$33),0)</f>
        <v>0</v>
      </c>
      <c r="Z683" s="170">
        <f>Z682+R683+S683+T683+Observaciones!$F682-U683-W683-Y683</f>
        <v>41.333422320485788</v>
      </c>
      <c r="AA683" s="170">
        <f>IF(Escenarios!$E$14&gt;0,(Escenarios!$E$13*L683+Escenarios!$E$14*W683)/(Escenarios!$E$16),L683)</f>
        <v>1.9666456205436953</v>
      </c>
      <c r="AB683" s="170">
        <f>IF(Escenarios!$E$14&gt;0,(Escenarios!$E$14*Y683)/(Escenarios!$E$16),K683)</f>
        <v>0</v>
      </c>
      <c r="AC683" s="170">
        <f>IF(Escenarios!$E$14&gt;0,(Escenarios!$E$13*M683+Escenarios!$E$14*U683)/(Escenarios!$E$16),M683)</f>
        <v>0</v>
      </c>
      <c r="AD683" s="76">
        <f t="shared" si="141"/>
        <v>64.530444694023004</v>
      </c>
      <c r="AE683" s="76">
        <f>MAX(0,(AD683-Constantes!$D$13)*(1-EXP(-Constantes!$D$23)))</f>
        <v>0.15548848017930253</v>
      </c>
      <c r="AF683" s="76">
        <f>AB683+O683*Escenarios!$E$13/Escenarios!$E$16+AE683</f>
        <v>0.32323813082979619</v>
      </c>
      <c r="AG683" s="76">
        <f>IF(Entradas!$E$91&gt;0,IF(AF683-Escenarios!$E$38&lt;=0,0,IF(AF683-Escenarios!$E$38&gt;Escenarios!$E$37,Escenarios!$E$37,AF683-Escenarios!$E$38)),0)</f>
        <v>0</v>
      </c>
      <c r="AH683" s="76">
        <f>AG683*Entradas!$E$99</f>
        <v>0</v>
      </c>
      <c r="AI683" s="76">
        <f>IF(Entradas!$E$91&gt;0,D683*Entradas!$D$23/Escenarios!$E$16,0)</f>
        <v>0</v>
      </c>
      <c r="AJ683" s="76">
        <f>IF(Entradas!$E$91&gt;0,Entradas!$D$24*Entradas!$D$22/Escenarios!$E$16,0)</f>
        <v>0</v>
      </c>
      <c r="AK683" s="76">
        <f t="shared" si="150"/>
        <v>1.9666456205436953</v>
      </c>
      <c r="AL683" s="76">
        <f t="shared" si="151"/>
        <v>0</v>
      </c>
      <c r="AM683" s="76">
        <f t="shared" si="142"/>
        <v>0</v>
      </c>
      <c r="AN683" s="76">
        <f>MAX(0,O683*Escenarios!$E$13/Escenarios!$E$16-AM683)</f>
        <v>0.16774965065049366</v>
      </c>
      <c r="AO683" s="76">
        <f>AM683+AN683-O683*Escenarios!$E$13/Escenarios!$E$16</f>
        <v>0</v>
      </c>
      <c r="AP683" s="76">
        <f t="shared" si="140"/>
        <v>0.15548848017930253</v>
      </c>
      <c r="AQ683" s="76">
        <f t="shared" si="143"/>
        <v>0</v>
      </c>
      <c r="AR683" s="76">
        <f t="shared" si="144"/>
        <v>0.32323813082979619</v>
      </c>
      <c r="AS683" s="76">
        <f t="shared" si="145"/>
        <v>0</v>
      </c>
      <c r="AT683" s="76">
        <f t="shared" si="146"/>
        <v>0</v>
      </c>
      <c r="AU683" s="76">
        <f t="shared" si="147"/>
        <v>48.75</v>
      </c>
      <c r="AV683" s="76">
        <f>MAX(0,(AU683-Constantes!$D$13)*(1-EXP(-Constantes!$D$24)))</f>
        <v>0</v>
      </c>
      <c r="AW683" s="170">
        <f>AW682+(Entradas!$E$112*AT683-AX682)/(800*Entradas!$D$25)</f>
        <v>0</v>
      </c>
      <c r="AX683" s="170">
        <f>8000*Entradas!$D$26*AW683/Constantes!$E$45</f>
        <v>0</v>
      </c>
      <c r="AY683" s="170">
        <f>IF(Escenarios!$E$17&gt;0,10*Escenarios!$E$16*AL683,0)</f>
        <v>0</v>
      </c>
      <c r="AZ683" s="170">
        <f>IF(Escenarios!$E$17&gt;0,10*Escenarios!$E$16*AX683,0)</f>
        <v>0</v>
      </c>
      <c r="BA683" s="170">
        <f>IF(Escenarios!$E$17&gt;0,0.001*Observaciones!$F682*Escenarios!$E$17,0)</f>
        <v>0</v>
      </c>
      <c r="BB683" s="170">
        <f>IF(Escenarios!$E$17&gt;0,Observaciones!$K682,0)</f>
        <v>0</v>
      </c>
      <c r="BC683" s="170">
        <f>IF(Escenarios!$E$17&gt;0,MIN(0.0005*ETo!$M682*Escenarios!$E$17*(BG682/Constantes!$E$40)^(2/3),BG682+AY683+AZ683+BA683+BB683),0)</f>
        <v>13.199589912635524</v>
      </c>
      <c r="BD683" s="170">
        <f>IF(Escenarios!$E$17&gt;0,MIN(Constantes!$E$39*(BG682/Constantes!$E$40)^(2/3),BG682+AY683+AZ683+BA683+BB683-BC683),0)</f>
        <v>20.94099306359746</v>
      </c>
      <c r="BE683" s="170">
        <f>IF(Escenarios!$E$17&gt;0,MIN(Entradas!$E$113,BG682+AY683+AZ683+BA683+BB683-BC683-BD683),0)</f>
        <v>1</v>
      </c>
      <c r="BF683" s="170">
        <f>IF(Escenarios!$E$17&gt;0,MAX(0,BG682+AY683+AZ683+BA683+BB683-BC683-BD683-BE683-Constantes!$E$40),0)</f>
        <v>0</v>
      </c>
      <c r="BG683" s="170">
        <f t="shared" si="152"/>
        <v>857.69125757850122</v>
      </c>
      <c r="BH683" s="170">
        <f>(Escenarios!$E$16*AK683+0.1*BC683)/(Escenarios!$E$19)</f>
        <v>1.9562752544729658</v>
      </c>
      <c r="BI683" s="170">
        <f>IF(Escenarios!$E$17&gt;0,BF683/10/Escenarios!$E$19,AL683)</f>
        <v>0</v>
      </c>
      <c r="BJ683" s="170">
        <f>(Escenarios!$E$16*AT683+0.1*BD683)/(Escenarios!$E$19)</f>
        <v>8.3099178823799434E-3</v>
      </c>
      <c r="BK683" s="76">
        <f>BK682+(0.1*BD683)/(Escenarios!$E$19)-BL682</f>
        <v>49.576278816071529</v>
      </c>
      <c r="BL683" s="76">
        <f>MAX(0,(BK683-Constantes!$D$13)*(1-EXP(-Constantes!$D$23)))</f>
        <v>8.1415219790337921E-3</v>
      </c>
      <c r="BM683" s="76">
        <f t="shared" si="148"/>
        <v>0.16363000215833631</v>
      </c>
      <c r="BN683" s="76">
        <f t="shared" si="153"/>
        <v>0.33137965280882997</v>
      </c>
      <c r="BO683" s="76">
        <f>0.0526*BI683*Observaciones!$F682^1.218</f>
        <v>0</v>
      </c>
      <c r="BP683" s="76">
        <f>BO683*Constantes!$E$51</f>
        <v>0</v>
      </c>
      <c r="BQ683" s="76">
        <f t="shared" si="149"/>
        <v>0</v>
      </c>
      <c r="BR683" s="40"/>
    </row>
    <row r="684" spans="1:70">
      <c r="A684" s="147"/>
      <c r="B684" s="39"/>
      <c r="C684" s="75">
        <v>678</v>
      </c>
      <c r="D684" s="146">
        <f>ETo!$I683*((1-Constantes!$E$19)*ETo!$K683+ETo!$L683)</f>
        <v>4.489235345049325</v>
      </c>
      <c r="E684" s="76">
        <f>MIN(D684*Constantes!$E$17,0.8*(N683+Observaciones!$F683-F684-M684-Constantes!$D$14))</f>
        <v>2.1948424363833219</v>
      </c>
      <c r="F684" s="76">
        <f>IF(Observaciones!$F683&gt;0.05*Constantes!$E$18,((Observaciones!$F683-0.05*Constantes!$E$18)^2)/(Observaciones!$F683+0.95*Constantes!$E$18),0)</f>
        <v>0</v>
      </c>
      <c r="G684" s="76">
        <f>IF(Escenarios!$E$11&gt;0,(F684*Escenarios!$E$16*10000)/1000,0)</f>
        <v>0</v>
      </c>
      <c r="H684" s="76">
        <f>IF(Escenarios!$E$11&gt;0,(Observaciones!$F683*Constantes!$E$29)/1000,0)</f>
        <v>4</v>
      </c>
      <c r="I684" s="76">
        <f>IF(Escenarios!$E$11&gt;0,(D684*Constantes!$E$29)/1000,0)</f>
        <v>44.892353450493246</v>
      </c>
      <c r="J684" s="76">
        <f>IF(Escenarios!$E$11&gt;0,MAX(0,G684+H684-I684),0)</f>
        <v>0</v>
      </c>
      <c r="K684" s="76">
        <f>IF(Escenarios!$E$11&gt;0,IF(J684&gt;Constantes!$E$30,1000*((J684-Constantes!$E$30)/(Escenarios!$E$16*10000)),0),F684)</f>
        <v>0</v>
      </c>
      <c r="L684" s="76">
        <f>IF(Escenarios!$E$11&gt;0,I684*1000/Escenarios!$E$16/10000+E684,E684)</f>
        <v>2.2127993777635191</v>
      </c>
      <c r="M684" s="76">
        <f>MAX(0,N683+Observaciones!$F683-K684-Constantes!$D$13)</f>
        <v>0</v>
      </c>
      <c r="N684" s="76">
        <f>N683+Observaciones!$F683-K684-L684-M684-O683</f>
        <v>14.84270224388634</v>
      </c>
      <c r="O684" s="76">
        <f>MAX(0,(N684-Constantes!$D$14)*(1-EXP(-Constantes!$D$22)))</f>
        <v>0.12238062750671341</v>
      </c>
      <c r="P684" s="170">
        <f>P683+(Entradas!$E$83*M684-Q683)/(800*Entradas!$D$25)</f>
        <v>0</v>
      </c>
      <c r="Q684" s="170">
        <f>8000*Entradas!$D$26*P684/Constantes!$E$45</f>
        <v>0</v>
      </c>
      <c r="R684" s="170">
        <f>IF(Escenarios!$E$14&gt;0,K684*Escenarios!$E$13/Escenarios!$E$14,0)</f>
        <v>0</v>
      </c>
      <c r="S684" s="170">
        <f>IF(Escenarios!$E$14&gt;0,Q684*Escenarios!$E$13/Escenarios!$E$14,0)</f>
        <v>0</v>
      </c>
      <c r="T684" s="170">
        <f>IF(Escenarios!$E$14&gt;0,Observaciones!$I683,0)</f>
        <v>0</v>
      </c>
      <c r="U684" s="170">
        <f>IF(Escenarios!$E$14&gt;0,MAX(0,Constantes!$E$36/((Z683+R684+S684+T684+Observaciones!$F683)^2)+Entradas!$E$77),0)</f>
        <v>0</v>
      </c>
      <c r="V684" s="146">
        <f>IF(ETo!D683&gt;0,ETo!I683*((1-Entradas!$E$81)*ETo!K683+ETo!L683),0)</f>
        <v>4.1038612424281906</v>
      </c>
      <c r="W684" s="170">
        <f>IF(Escenarios!$E$14&gt;0,MIN(V684*1,0.8*(Z683+R684+S684+T684+Observaciones!$F683-U684-Constantes!$E$35)),0)</f>
        <v>0.38673785638862912</v>
      </c>
      <c r="X684" s="170">
        <f>IF(Escenarios!$E$14&gt;0,Observaciones!$J683,0)</f>
        <v>0</v>
      </c>
      <c r="Y684" s="170">
        <f>IF(Escenarios!$E$14&gt;0,MAX(0,Z683+R684+S684+T684+Observaciones!$F683-U684-W684-X684-Constantes!$E$33),0)</f>
        <v>0</v>
      </c>
      <c r="Z684" s="170">
        <f>Z683+R684+S684+T684+Observaciones!$F683-U684-W684-Y684</f>
        <v>41.346684464097159</v>
      </c>
      <c r="AA684" s="170">
        <f>IF(Escenarios!$E$14&gt;0,(Escenarios!$E$13*L684+Escenarios!$E$14*W684)/(Escenarios!$E$16),L684)</f>
        <v>1.9936719951985324</v>
      </c>
      <c r="AB684" s="170">
        <f>IF(Escenarios!$E$14&gt;0,(Escenarios!$E$14*Y684)/(Escenarios!$E$16),K684)</f>
        <v>0</v>
      </c>
      <c r="AC684" s="170">
        <f>IF(Escenarios!$E$14&gt;0,(Escenarios!$E$13*M684+Escenarios!$E$14*U684)/(Escenarios!$E$16),M684)</f>
        <v>0</v>
      </c>
      <c r="AD684" s="76">
        <f t="shared" si="141"/>
        <v>64.374956213843703</v>
      </c>
      <c r="AE684" s="76">
        <f>MAX(0,(AD684-Constantes!$D$13)*(1-EXP(-Constantes!$D$23)))</f>
        <v>0.15395641514962524</v>
      </c>
      <c r="AF684" s="76">
        <f>AB684+O684*Escenarios!$E$13/Escenarios!$E$16+AE684</f>
        <v>0.26165136735553307</v>
      </c>
      <c r="AG684" s="76">
        <f>IF(Entradas!$E$91&gt;0,IF(AF684-Escenarios!$E$38&lt;=0,0,IF(AF684-Escenarios!$E$38&gt;Escenarios!$E$37,Escenarios!$E$37,AF684-Escenarios!$E$38)),0)</f>
        <v>0</v>
      </c>
      <c r="AH684" s="76">
        <f>AG684*Entradas!$E$99</f>
        <v>0</v>
      </c>
      <c r="AI684" s="76">
        <f>IF(Entradas!$E$91&gt;0,D684*Entradas!$D$23/Escenarios!$E$16,0)</f>
        <v>0</v>
      </c>
      <c r="AJ684" s="76">
        <f>IF(Entradas!$E$91&gt;0,Entradas!$D$24*Entradas!$D$22/Escenarios!$E$16,0)</f>
        <v>0</v>
      </c>
      <c r="AK684" s="76">
        <f t="shared" si="150"/>
        <v>1.9936719951985324</v>
      </c>
      <c r="AL684" s="76">
        <f t="shared" si="151"/>
        <v>0</v>
      </c>
      <c r="AM684" s="76">
        <f t="shared" si="142"/>
        <v>0</v>
      </c>
      <c r="AN684" s="76">
        <f>MAX(0,O684*Escenarios!$E$13/Escenarios!$E$16-AM684)</f>
        <v>0.10769495220590782</v>
      </c>
      <c r="AO684" s="76">
        <f>AM684+AN684-O684*Escenarios!$E$13/Escenarios!$E$16</f>
        <v>0</v>
      </c>
      <c r="AP684" s="76">
        <f t="shared" si="140"/>
        <v>0.15395641514962524</v>
      </c>
      <c r="AQ684" s="76">
        <f t="shared" si="143"/>
        <v>0</v>
      </c>
      <c r="AR684" s="76">
        <f t="shared" si="144"/>
        <v>0.26165136735553307</v>
      </c>
      <c r="AS684" s="76">
        <f t="shared" si="145"/>
        <v>0</v>
      </c>
      <c r="AT684" s="76">
        <f t="shared" si="146"/>
        <v>0</v>
      </c>
      <c r="AU684" s="76">
        <f t="shared" si="147"/>
        <v>48.75</v>
      </c>
      <c r="AV684" s="76">
        <f>MAX(0,(AU684-Constantes!$D$13)*(1-EXP(-Constantes!$D$24)))</f>
        <v>0</v>
      </c>
      <c r="AW684" s="170">
        <f>AW683+(Entradas!$E$112*AT684-AX683)/(800*Entradas!$D$25)</f>
        <v>0</v>
      </c>
      <c r="AX684" s="170">
        <f>8000*Entradas!$D$26*AW684/Constantes!$E$45</f>
        <v>0</v>
      </c>
      <c r="AY684" s="170">
        <f>IF(Escenarios!$E$17&gt;0,10*Escenarios!$E$16*AL684,0)</f>
        <v>0</v>
      </c>
      <c r="AZ684" s="170">
        <f>IF(Escenarios!$E$17&gt;0,10*Escenarios!$E$16*AX684,0)</f>
        <v>0</v>
      </c>
      <c r="BA684" s="170">
        <f>IF(Escenarios!$E$17&gt;0,0.001*Observaciones!$F683*Escenarios!$E$17,0)</f>
        <v>8</v>
      </c>
      <c r="BB684" s="170">
        <f>IF(Escenarios!$E$17&gt;0,Observaciones!$K683,0)</f>
        <v>0</v>
      </c>
      <c r="BC684" s="170">
        <f>IF(Escenarios!$E$17&gt;0,MIN(0.0005*ETo!$M683*Escenarios!$E$17*(BG683/Constantes!$E$40)^(2/3),BG683+AY684+AZ684+BA684+BB684),0)</f>
        <v>12.986126286497964</v>
      </c>
      <c r="BD684" s="170">
        <f>IF(Escenarios!$E$17&gt;0,MIN(Constantes!$E$39*(BG683/Constantes!$E$40)^(2/3),BG683+AY684+AZ684+BA684+BB684-BC684),0)</f>
        <v>20.387852452634366</v>
      </c>
      <c r="BE684" s="170">
        <f>IF(Escenarios!$E$17&gt;0,MIN(Entradas!$E$113,BG683+AY684+AZ684+BA684+BB684-BC684-BD684),0)</f>
        <v>1</v>
      </c>
      <c r="BF684" s="170">
        <f>IF(Escenarios!$E$17&gt;0,MAX(0,BG683+AY684+AZ684+BA684+BB684-BC684-BD684-BE684-Constantes!$E$40),0)</f>
        <v>0</v>
      </c>
      <c r="BG684" s="170">
        <f t="shared" si="152"/>
        <v>831.3172788393689</v>
      </c>
      <c r="BH684" s="170">
        <f>(Escenarios!$E$16*AK684+0.1*BC684)/(Escenarios!$E$19)</f>
        <v>1.9830024263027097</v>
      </c>
      <c r="BI684" s="170">
        <f>IF(Escenarios!$E$17&gt;0,BF684/10/Escenarios!$E$19,AL684)</f>
        <v>0</v>
      </c>
      <c r="BJ684" s="170">
        <f>(Escenarios!$E$16*AT684+0.1*BD684)/(Escenarios!$E$19)</f>
        <v>8.0904176399342713E-3</v>
      </c>
      <c r="BK684" s="76">
        <f>BK683+(0.1*BD684)/(Escenarios!$E$19)-BL683</f>
        <v>49.576227711732429</v>
      </c>
      <c r="BL684" s="76">
        <f>MAX(0,(BK684-Constantes!$D$13)*(1-EXP(-Constantes!$D$23)))</f>
        <v>8.141018435808535E-3</v>
      </c>
      <c r="BM684" s="76">
        <f t="shared" si="148"/>
        <v>0.16209743358543377</v>
      </c>
      <c r="BN684" s="76">
        <f t="shared" si="153"/>
        <v>0.26979238579134163</v>
      </c>
      <c r="BO684" s="76">
        <f>0.0526*BI684*Observaciones!$F683^1.218</f>
        <v>0</v>
      </c>
      <c r="BP684" s="76">
        <f>BO684*Constantes!$E$51</f>
        <v>0</v>
      </c>
      <c r="BQ684" s="76">
        <f t="shared" si="149"/>
        <v>0</v>
      </c>
      <c r="BR684" s="40"/>
    </row>
    <row r="685" spans="1:70">
      <c r="A685" s="147"/>
      <c r="B685" s="39"/>
      <c r="C685" s="75">
        <v>679</v>
      </c>
      <c r="D685" s="146">
        <f>ETo!$I684*((1-Constantes!$E$19)*ETo!$K684+ETo!$L684)</f>
        <v>4.4282208603341608</v>
      </c>
      <c r="E685" s="76">
        <f>MIN(D685*Constantes!$E$17,0.8*(N684+Observaciones!$F684-F685-M685-Constantes!$D$14))</f>
        <v>2.1650117035315488</v>
      </c>
      <c r="F685" s="76">
        <f>IF(Observaciones!$F684&gt;0.05*Constantes!$E$18,((Observaciones!$F684-0.05*Constantes!$E$18)^2)/(Observaciones!$F684+0.95*Constantes!$E$18),0)</f>
        <v>0</v>
      </c>
      <c r="G685" s="76">
        <f>IF(Escenarios!$E$11&gt;0,(F685*Escenarios!$E$16*10000)/1000,0)</f>
        <v>0</v>
      </c>
      <c r="H685" s="76">
        <f>IF(Escenarios!$E$11&gt;0,(Observaciones!$F684*Constantes!$E$29)/1000,0)</f>
        <v>0</v>
      </c>
      <c r="I685" s="76">
        <f>IF(Escenarios!$E$11&gt;0,(D685*Constantes!$E$29)/1000,0)</f>
        <v>44.282208603341608</v>
      </c>
      <c r="J685" s="76">
        <f>IF(Escenarios!$E$11&gt;0,MAX(0,G685+H685-I685),0)</f>
        <v>0</v>
      </c>
      <c r="K685" s="76">
        <f>IF(Escenarios!$E$11&gt;0,IF(J685&gt;Constantes!$E$30,1000*((J685-Constantes!$E$30)/(Escenarios!$E$16*10000)),0),F685)</f>
        <v>0</v>
      </c>
      <c r="L685" s="76">
        <f>IF(Escenarios!$E$11&gt;0,I685*1000/Escenarios!$E$16/10000+E685,E685)</f>
        <v>2.1827245869728853</v>
      </c>
      <c r="M685" s="76">
        <f>MAX(0,N684+Observaciones!$F684-K685-Constantes!$D$13)</f>
        <v>0</v>
      </c>
      <c r="N685" s="76">
        <f>N684+Observaciones!$F684-K685-L685-M685-O684</f>
        <v>12.537597029406742</v>
      </c>
      <c r="O685" s="76">
        <f>MAX(0,(N685-Constantes!$D$14)*(1-EXP(-Constantes!$D$22)))</f>
        <v>4.3860281687057162E-2</v>
      </c>
      <c r="P685" s="170">
        <f>P684+(Entradas!$E$83*M685-Q684)/(800*Entradas!$D$25)</f>
        <v>0</v>
      </c>
      <c r="Q685" s="170">
        <f>8000*Entradas!$D$26*P685/Constantes!$E$45</f>
        <v>0</v>
      </c>
      <c r="R685" s="170">
        <f>IF(Escenarios!$E$14&gt;0,K685*Escenarios!$E$13/Escenarios!$E$14,0)</f>
        <v>0</v>
      </c>
      <c r="S685" s="170">
        <f>IF(Escenarios!$E$14&gt;0,Q685*Escenarios!$E$13/Escenarios!$E$14,0)</f>
        <v>0</v>
      </c>
      <c r="T685" s="170">
        <f>IF(Escenarios!$E$14&gt;0,Observaciones!$I684,0)</f>
        <v>0</v>
      </c>
      <c r="U685" s="170">
        <f>IF(Escenarios!$E$14&gt;0,MAX(0,Constantes!$E$36/((Z684+R685+S685+T685+Observaciones!$F684)^2)+Entradas!$E$77),0)</f>
        <v>0</v>
      </c>
      <c r="V685" s="146">
        <f>IF(ETo!D684&gt;0,ETo!I684*((1-Entradas!$E$81)*ETo!K684+ETo!L684),0)</f>
        <v>4.0473190769430909</v>
      </c>
      <c r="W685" s="170">
        <f>IF(Escenarios!$E$14&gt;0,MIN(V685*1,0.8*(Z684+R685+S685+T685+Observaciones!$F684-U685-Constantes!$E$35)),0)</f>
        <v>7.7347571277726956E-2</v>
      </c>
      <c r="X685" s="170">
        <f>IF(Escenarios!$E$14&gt;0,Observaciones!$J684,0)</f>
        <v>0</v>
      </c>
      <c r="Y685" s="170">
        <f>IF(Escenarios!$E$14&gt;0,MAX(0,Z684+R685+S685+T685+Observaciones!$F684-U685-W685-X685-Constantes!$E$33),0)</f>
        <v>0</v>
      </c>
      <c r="Z685" s="170">
        <f>Z684+R685+S685+T685+Observaciones!$F684-U685-W685-Y685</f>
        <v>41.269336892819432</v>
      </c>
      <c r="AA685" s="170">
        <f>IF(Escenarios!$E$14&gt;0,(Escenarios!$E$13*L685+Escenarios!$E$14*W685)/(Escenarios!$E$16),L685)</f>
        <v>1.9300793450894662</v>
      </c>
      <c r="AB685" s="170">
        <f>IF(Escenarios!$E$14&gt;0,(Escenarios!$E$14*Y685)/(Escenarios!$E$16),K685)</f>
        <v>0</v>
      </c>
      <c r="AC685" s="170">
        <f>IF(Escenarios!$E$14&gt;0,(Escenarios!$E$13*M685+Escenarios!$E$14*U685)/(Escenarios!$E$16),M685)</f>
        <v>0</v>
      </c>
      <c r="AD685" s="76">
        <f t="shared" si="141"/>
        <v>64.220999798694081</v>
      </c>
      <c r="AE685" s="76">
        <f>MAX(0,(AD685-Constantes!$D$13)*(1-EXP(-Constantes!$D$23)))</f>
        <v>0.15243944592159483</v>
      </c>
      <c r="AF685" s="76">
        <f>AB685+O685*Escenarios!$E$13/Escenarios!$E$16+AE685</f>
        <v>0.19103649380620513</v>
      </c>
      <c r="AG685" s="76">
        <f>IF(Entradas!$E$91&gt;0,IF(AF685-Escenarios!$E$38&lt;=0,0,IF(AF685-Escenarios!$E$38&gt;Escenarios!$E$37,Escenarios!$E$37,AF685-Escenarios!$E$38)),0)</f>
        <v>0</v>
      </c>
      <c r="AH685" s="76">
        <f>AG685*Entradas!$E$99</f>
        <v>0</v>
      </c>
      <c r="AI685" s="76">
        <f>IF(Entradas!$E$91&gt;0,D685*Entradas!$D$23/Escenarios!$E$16,0)</f>
        <v>0</v>
      </c>
      <c r="AJ685" s="76">
        <f>IF(Entradas!$E$91&gt;0,Entradas!$D$24*Entradas!$D$22/Escenarios!$E$16,0)</f>
        <v>0</v>
      </c>
      <c r="AK685" s="76">
        <f t="shared" si="150"/>
        <v>1.9300793450894662</v>
      </c>
      <c r="AL685" s="76">
        <f t="shared" si="151"/>
        <v>0</v>
      </c>
      <c r="AM685" s="76">
        <f t="shared" si="142"/>
        <v>0</v>
      </c>
      <c r="AN685" s="76">
        <f>MAX(0,O685*Escenarios!$E$13/Escenarios!$E$16-AM685)</f>
        <v>3.8597047884610304E-2</v>
      </c>
      <c r="AO685" s="76">
        <f>AM685+AN685-O685*Escenarios!$E$13/Escenarios!$E$16</f>
        <v>0</v>
      </c>
      <c r="AP685" s="76">
        <f t="shared" si="140"/>
        <v>0.15243944592159483</v>
      </c>
      <c r="AQ685" s="76">
        <f t="shared" si="143"/>
        <v>0</v>
      </c>
      <c r="AR685" s="76">
        <f t="shared" si="144"/>
        <v>0.19103649380620513</v>
      </c>
      <c r="AS685" s="76">
        <f t="shared" si="145"/>
        <v>0</v>
      </c>
      <c r="AT685" s="76">
        <f t="shared" si="146"/>
        <v>0</v>
      </c>
      <c r="AU685" s="76">
        <f t="shared" si="147"/>
        <v>48.75</v>
      </c>
      <c r="AV685" s="76">
        <f>MAX(0,(AU685-Constantes!$D$13)*(1-EXP(-Constantes!$D$24)))</f>
        <v>0</v>
      </c>
      <c r="AW685" s="170">
        <f>AW684+(Entradas!$E$112*AT685-AX684)/(800*Entradas!$D$25)</f>
        <v>0</v>
      </c>
      <c r="AX685" s="170">
        <f>8000*Entradas!$D$26*AW685/Constantes!$E$45</f>
        <v>0</v>
      </c>
      <c r="AY685" s="170">
        <f>IF(Escenarios!$E$17&gt;0,10*Escenarios!$E$16*AL685,0)</f>
        <v>0</v>
      </c>
      <c r="AZ685" s="170">
        <f>IF(Escenarios!$E$17&gt;0,10*Escenarios!$E$16*AX685,0)</f>
        <v>0</v>
      </c>
      <c r="BA685" s="170">
        <f>IF(Escenarios!$E$17&gt;0,0.001*Observaciones!$F684*Escenarios!$E$17,0)</f>
        <v>0</v>
      </c>
      <c r="BB685" s="170">
        <f>IF(Escenarios!$E$17&gt;0,Observaciones!$K684,0)</f>
        <v>0</v>
      </c>
      <c r="BC685" s="170">
        <f>IF(Escenarios!$E$17&gt;0,MIN(0.0005*ETo!$M684*Escenarios!$E$17*(BG684/Constantes!$E$40)^(2/3),BG684+AY685+AZ685+BA685+BB685),0)</f>
        <v>12.548672611524346</v>
      </c>
      <c r="BD685" s="170">
        <f>IF(Escenarios!$E$17&gt;0,MIN(Constantes!$E$39*(BG684/Constantes!$E$40)^(2/3),BG684+AY685+AZ685+BA685+BB685-BC685),0)</f>
        <v>19.967730107769718</v>
      </c>
      <c r="BE685" s="170">
        <f>IF(Escenarios!$E$17&gt;0,MIN(Entradas!$E$113,BG684+AY685+AZ685+BA685+BB685-BC685-BD685),0)</f>
        <v>1</v>
      </c>
      <c r="BF685" s="170">
        <f>IF(Escenarios!$E$17&gt;0,MAX(0,BG684+AY685+AZ685+BA685+BB685-BC685-BD685-BE685-Constantes!$E$40),0)</f>
        <v>0</v>
      </c>
      <c r="BG685" s="170">
        <f t="shared" si="152"/>
        <v>797.8008761200748</v>
      </c>
      <c r="BH685" s="170">
        <f>(Escenarios!$E$16*AK685+0.1*BC685)/(Escenarios!$E$19)</f>
        <v>1.9197408870377737</v>
      </c>
      <c r="BI685" s="170">
        <f>IF(Escenarios!$E$17&gt;0,BF685/10/Escenarios!$E$19,AL685)</f>
        <v>0</v>
      </c>
      <c r="BJ685" s="170">
        <f>(Escenarios!$E$16*AT685+0.1*BD685)/(Escenarios!$E$19)</f>
        <v>7.9237024237181417E-3</v>
      </c>
      <c r="BK685" s="76">
        <f>BK684+(0.1*BD685)/(Escenarios!$E$19)-BL684</f>
        <v>49.576010395720338</v>
      </c>
      <c r="BL685" s="76">
        <f>MAX(0,(BK685-Constantes!$D$13)*(1-EXP(-Constantes!$D$23)))</f>
        <v>8.1388771693807656E-3</v>
      </c>
      <c r="BM685" s="76">
        <f t="shared" si="148"/>
        <v>0.16057832309097561</v>
      </c>
      <c r="BN685" s="76">
        <f t="shared" si="153"/>
        <v>0.19917537097558591</v>
      </c>
      <c r="BO685" s="76">
        <f>0.0526*BI685*Observaciones!$F684^1.218</f>
        <v>0</v>
      </c>
      <c r="BP685" s="76">
        <f>BO685*Constantes!$E$51</f>
        <v>0</v>
      </c>
      <c r="BQ685" s="76">
        <f t="shared" si="149"/>
        <v>0</v>
      </c>
      <c r="BR685" s="40"/>
    </row>
    <row r="686" spans="1:70">
      <c r="A686" s="147"/>
      <c r="B686" s="39"/>
      <c r="C686" s="75">
        <v>680</v>
      </c>
      <c r="D686" s="146">
        <f>ETo!$I685*((1-Constantes!$E$19)*ETo!$K685+ETo!$L685)</f>
        <v>4.2900655420293221</v>
      </c>
      <c r="E686" s="76">
        <f>MIN(D686*Constantes!$E$17,0.8*(N685+Observaciones!$F685-F686-M686-Constantes!$D$14))</f>
        <v>1.0300776235253934</v>
      </c>
      <c r="F686" s="76">
        <f>IF(Observaciones!$F685&gt;0.05*Constantes!$E$18,((Observaciones!$F685-0.05*Constantes!$E$18)^2)/(Observaciones!$F685+0.95*Constantes!$E$18),0)</f>
        <v>0</v>
      </c>
      <c r="G686" s="76">
        <f>IF(Escenarios!$E$11&gt;0,(F686*Escenarios!$E$16*10000)/1000,0)</f>
        <v>0</v>
      </c>
      <c r="H686" s="76">
        <f>IF(Escenarios!$E$11&gt;0,(Observaciones!$F685*Constantes!$E$29)/1000,0)</f>
        <v>0</v>
      </c>
      <c r="I686" s="76">
        <f>IF(Escenarios!$E$11&gt;0,(D686*Constantes!$E$29)/1000,0)</f>
        <v>42.900655420293226</v>
      </c>
      <c r="J686" s="76">
        <f>IF(Escenarios!$E$11&gt;0,MAX(0,G686+H686-I686),0)</f>
        <v>0</v>
      </c>
      <c r="K686" s="76">
        <f>IF(Escenarios!$E$11&gt;0,IF(J686&gt;Constantes!$E$30,1000*((J686-Constantes!$E$30)/(Escenarios!$E$16*10000)),0),F686)</f>
        <v>0</v>
      </c>
      <c r="L686" s="76">
        <f>IF(Escenarios!$E$11&gt;0,I686*1000/Escenarios!$E$16/10000+E686,E686)</f>
        <v>1.0472378856935107</v>
      </c>
      <c r="M686" s="76">
        <f>MAX(0,N685+Observaciones!$F685-K686-Constantes!$D$13)</f>
        <v>0</v>
      </c>
      <c r="N686" s="76">
        <f>N685+Observaciones!$F685-K686-L686-M686-O685</f>
        <v>11.446498862026175</v>
      </c>
      <c r="O686" s="76">
        <f>MAX(0,(N686-Constantes!$D$14)*(1-EXP(-Constantes!$D$22)))</f>
        <v>6.6934726027017711E-3</v>
      </c>
      <c r="P686" s="170">
        <f>P685+(Entradas!$E$83*M686-Q685)/(800*Entradas!$D$25)</f>
        <v>0</v>
      </c>
      <c r="Q686" s="170">
        <f>8000*Entradas!$D$26*P686/Constantes!$E$45</f>
        <v>0</v>
      </c>
      <c r="R686" s="170">
        <f>IF(Escenarios!$E$14&gt;0,K686*Escenarios!$E$13/Escenarios!$E$14,0)</f>
        <v>0</v>
      </c>
      <c r="S686" s="170">
        <f>IF(Escenarios!$E$14&gt;0,Q686*Escenarios!$E$13/Escenarios!$E$14,0)</f>
        <v>0</v>
      </c>
      <c r="T686" s="170">
        <f>IF(Escenarios!$E$14&gt;0,Observaciones!$I685,0)</f>
        <v>0</v>
      </c>
      <c r="U686" s="170">
        <f>IF(Escenarios!$E$14&gt;0,MAX(0,Constantes!$E$36/((Z685+R686+S686+T686+Observaciones!$F685)^2)+Entradas!$E$77),0)</f>
        <v>0</v>
      </c>
      <c r="V686" s="146">
        <f>IF(ETo!D685&gt;0,ETo!I685*((1-Entradas!$E$81)*ETo!K685+ETo!L685),0)</f>
        <v>3.9195800318183336</v>
      </c>
      <c r="W686" s="170">
        <f>IF(Escenarios!$E$14&gt;0,MIN(V686*1,0.8*(Z685+R686+S686+T686+Observaciones!$F685-U686-Constantes!$E$35)),0)</f>
        <v>1.5469514255545392E-2</v>
      </c>
      <c r="X686" s="170">
        <f>IF(Escenarios!$E$14&gt;0,Observaciones!$J685,0)</f>
        <v>0</v>
      </c>
      <c r="Y686" s="170">
        <f>IF(Escenarios!$E$14&gt;0,MAX(0,Z685+R686+S686+T686+Observaciones!$F685-U686-W686-X686-Constantes!$E$33),0)</f>
        <v>0</v>
      </c>
      <c r="Z686" s="170">
        <f>Z685+R686+S686+T686+Observaciones!$F685-U686-W686-Y686</f>
        <v>41.253867378563889</v>
      </c>
      <c r="AA686" s="170">
        <f>IF(Escenarios!$E$14&gt;0,(Escenarios!$E$13*L686+Escenarios!$E$14*W686)/(Escenarios!$E$16),L686)</f>
        <v>0.92342568112095491</v>
      </c>
      <c r="AB686" s="170">
        <f>IF(Escenarios!$E$14&gt;0,(Escenarios!$E$14*Y686)/(Escenarios!$E$16),K686)</f>
        <v>0</v>
      </c>
      <c r="AC686" s="170">
        <f>IF(Escenarios!$E$14&gt;0,(Escenarios!$E$13*M686+Escenarios!$E$14*U686)/(Escenarios!$E$16),M686)</f>
        <v>0</v>
      </c>
      <c r="AD686" s="76">
        <f t="shared" si="141"/>
        <v>64.068560352772479</v>
      </c>
      <c r="AE686" s="76">
        <f>MAX(0,(AD686-Constantes!$D$13)*(1-EXP(-Constantes!$D$23)))</f>
        <v>0.15093742375268207</v>
      </c>
      <c r="AF686" s="76">
        <f>AB686+O686*Escenarios!$E$13/Escenarios!$E$16+AE686</f>
        <v>0.15682767964305963</v>
      </c>
      <c r="AG686" s="76">
        <f>IF(Entradas!$E$91&gt;0,IF(AF686-Escenarios!$E$38&lt;=0,0,IF(AF686-Escenarios!$E$38&gt;Escenarios!$E$37,Escenarios!$E$37,AF686-Escenarios!$E$38)),0)</f>
        <v>0</v>
      </c>
      <c r="AH686" s="76">
        <f>AG686*Entradas!$E$99</f>
        <v>0</v>
      </c>
      <c r="AI686" s="76">
        <f>IF(Entradas!$E$91&gt;0,D686*Entradas!$D$23/Escenarios!$E$16,0)</f>
        <v>0</v>
      </c>
      <c r="AJ686" s="76">
        <f>IF(Entradas!$E$91&gt;0,Entradas!$D$24*Entradas!$D$22/Escenarios!$E$16,0)</f>
        <v>0</v>
      </c>
      <c r="AK686" s="76">
        <f t="shared" si="150"/>
        <v>0.92342568112095491</v>
      </c>
      <c r="AL686" s="76">
        <f t="shared" si="151"/>
        <v>0</v>
      </c>
      <c r="AM686" s="76">
        <f t="shared" si="142"/>
        <v>0</v>
      </c>
      <c r="AN686" s="76">
        <f>MAX(0,O686*Escenarios!$E$13/Escenarios!$E$16-AM686)</f>
        <v>5.8902558903775578E-3</v>
      </c>
      <c r="AO686" s="76">
        <f>AM686+AN686-O686*Escenarios!$E$13/Escenarios!$E$16</f>
        <v>0</v>
      </c>
      <c r="AP686" s="76">
        <f t="shared" si="140"/>
        <v>0.15093742375268207</v>
      </c>
      <c r="AQ686" s="76">
        <f t="shared" si="143"/>
        <v>0</v>
      </c>
      <c r="AR686" s="76">
        <f t="shared" si="144"/>
        <v>0.15682767964305963</v>
      </c>
      <c r="AS686" s="76">
        <f t="shared" si="145"/>
        <v>0</v>
      </c>
      <c r="AT686" s="76">
        <f t="shared" si="146"/>
        <v>0</v>
      </c>
      <c r="AU686" s="76">
        <f t="shared" si="147"/>
        <v>48.75</v>
      </c>
      <c r="AV686" s="76">
        <f>MAX(0,(AU686-Constantes!$D$13)*(1-EXP(-Constantes!$D$24)))</f>
        <v>0</v>
      </c>
      <c r="AW686" s="170">
        <f>AW685+(Entradas!$E$112*AT686-AX685)/(800*Entradas!$D$25)</f>
        <v>0</v>
      </c>
      <c r="AX686" s="170">
        <f>8000*Entradas!$D$26*AW686/Constantes!$E$45</f>
        <v>0</v>
      </c>
      <c r="AY686" s="170">
        <f>IF(Escenarios!$E$17&gt;0,10*Escenarios!$E$16*AL686,0)</f>
        <v>0</v>
      </c>
      <c r="AZ686" s="170">
        <f>IF(Escenarios!$E$17&gt;0,10*Escenarios!$E$16*AX686,0)</f>
        <v>0</v>
      </c>
      <c r="BA686" s="170">
        <f>IF(Escenarios!$E$17&gt;0,0.001*Observaciones!$F685*Escenarios!$E$17,0)</f>
        <v>0</v>
      </c>
      <c r="BB686" s="170">
        <f>IF(Escenarios!$E$17&gt;0,Observaciones!$K685,0)</f>
        <v>0</v>
      </c>
      <c r="BC686" s="170">
        <f>IF(Escenarios!$E$17&gt;0,MIN(0.0005*ETo!$M685*Escenarios!$E$17*(BG685/Constantes!$E$40)^(2/3),BG685+AY686+AZ686+BA686+BB686),0)</f>
        <v>11.833777807061686</v>
      </c>
      <c r="BD686" s="170">
        <f>IF(Escenarios!$E$17&gt;0,MIN(Constantes!$E$39*(BG685/Constantes!$E$40)^(2/3),BG685+AY686+AZ686+BA686+BB686-BC686),0)</f>
        <v>19.427361982759873</v>
      </c>
      <c r="BE686" s="170">
        <f>IF(Escenarios!$E$17&gt;0,MIN(Entradas!$E$113,BG685+AY686+AZ686+BA686+BB686-BC686-BD686),0)</f>
        <v>1</v>
      </c>
      <c r="BF686" s="170">
        <f>IF(Escenarios!$E$17&gt;0,MAX(0,BG685+AY686+AZ686+BA686+BB686-BC686-BD686-BE686-Constantes!$E$40),0)</f>
        <v>0</v>
      </c>
      <c r="BG686" s="170">
        <f t="shared" si="152"/>
        <v>765.53973633025328</v>
      </c>
      <c r="BH686" s="170">
        <f>(Escenarios!$E$16*AK686+0.1*BC686)/(Escenarios!$E$19)</f>
        <v>0.92079284944819395</v>
      </c>
      <c r="BI686" s="170">
        <f>IF(Escenarios!$E$17&gt;0,BF686/10/Escenarios!$E$19,AL686)</f>
        <v>0</v>
      </c>
      <c r="BJ686" s="170">
        <f>(Escenarios!$E$16*AT686+0.1*BD686)/(Escenarios!$E$19)</f>
        <v>7.709270628079315E-3</v>
      </c>
      <c r="BK686" s="76">
        <f>BK685+(0.1*BD686)/(Escenarios!$E$19)-BL685</f>
        <v>49.575580789179035</v>
      </c>
      <c r="BL686" s="76">
        <f>MAX(0,(BK686-Constantes!$D$13)*(1-EXP(-Constantes!$D$23)))</f>
        <v>8.1346441538050016E-3</v>
      </c>
      <c r="BM686" s="76">
        <f t="shared" si="148"/>
        <v>0.15907206790648706</v>
      </c>
      <c r="BN686" s="76">
        <f t="shared" si="153"/>
        <v>0.16496232379686462</v>
      </c>
      <c r="BO686" s="76">
        <f>0.0526*BI686*Observaciones!$F685^1.218</f>
        <v>0</v>
      </c>
      <c r="BP686" s="76">
        <f>BO686*Constantes!$E$51</f>
        <v>0</v>
      </c>
      <c r="BQ686" s="76">
        <f t="shared" si="149"/>
        <v>0</v>
      </c>
      <c r="BR686" s="40"/>
    </row>
    <row r="687" spans="1:70">
      <c r="A687" s="147"/>
      <c r="B687" s="39"/>
      <c r="C687" s="75">
        <v>681</v>
      </c>
      <c r="D687" s="146">
        <f>ETo!$I686*((1-Constantes!$E$19)*ETo!$K686+ETo!$L686)</f>
        <v>4.4141892217641372</v>
      </c>
      <c r="E687" s="76">
        <f>MIN(D687*Constantes!$E$17,0.8*(N686+Observaciones!$F686-F687-M687-Constantes!$D$14))</f>
        <v>0.15719908962093998</v>
      </c>
      <c r="F687" s="76">
        <f>IF(Observaciones!$F686&gt;0.05*Constantes!$E$18,((Observaciones!$F686-0.05*Constantes!$E$18)^2)/(Observaciones!$F686+0.95*Constantes!$E$18),0)</f>
        <v>0</v>
      </c>
      <c r="G687" s="76">
        <f>IF(Escenarios!$E$11&gt;0,(F687*Escenarios!$E$16*10000)/1000,0)</f>
        <v>0</v>
      </c>
      <c r="H687" s="76">
        <f>IF(Escenarios!$E$11&gt;0,(Observaciones!$F686*Constantes!$E$29)/1000,0)</f>
        <v>0</v>
      </c>
      <c r="I687" s="76">
        <f>IF(Escenarios!$E$11&gt;0,(D687*Constantes!$E$29)/1000,0)</f>
        <v>44.14189221764137</v>
      </c>
      <c r="J687" s="76">
        <f>IF(Escenarios!$E$11&gt;0,MAX(0,G687+H687-I687),0)</f>
        <v>0</v>
      </c>
      <c r="K687" s="76">
        <f>IF(Escenarios!$E$11&gt;0,IF(J687&gt;Constantes!$E$30,1000*((J687-Constantes!$E$30)/(Escenarios!$E$16*10000)),0),F687)</f>
        <v>0</v>
      </c>
      <c r="L687" s="76">
        <f>IF(Escenarios!$E$11&gt;0,I687*1000/Escenarios!$E$16/10000+E687,E687)</f>
        <v>0.17485584650799652</v>
      </c>
      <c r="M687" s="76">
        <f>MAX(0,N686+Observaciones!$F686-K687-Constantes!$D$13)</f>
        <v>0</v>
      </c>
      <c r="N687" s="76">
        <f>N686+Observaciones!$F686-K687-L687-M687-O686</f>
        <v>11.264949542915476</v>
      </c>
      <c r="O687" s="76">
        <f>MAX(0,(N687-Constantes!$D$14)*(1-EXP(-Constantes!$D$22)))</f>
        <v>5.0923631259667201E-4</v>
      </c>
      <c r="P687" s="170">
        <f>P686+(Entradas!$E$83*M687-Q686)/(800*Entradas!$D$25)</f>
        <v>0</v>
      </c>
      <c r="Q687" s="170">
        <f>8000*Entradas!$D$26*P687/Constantes!$E$45</f>
        <v>0</v>
      </c>
      <c r="R687" s="170">
        <f>IF(Escenarios!$E$14&gt;0,K687*Escenarios!$E$13/Escenarios!$E$14,0)</f>
        <v>0</v>
      </c>
      <c r="S687" s="170">
        <f>IF(Escenarios!$E$14&gt;0,Q687*Escenarios!$E$13/Escenarios!$E$14,0)</f>
        <v>0</v>
      </c>
      <c r="T687" s="170">
        <f>IF(Escenarios!$E$14&gt;0,Observaciones!$I686,0)</f>
        <v>0</v>
      </c>
      <c r="U687" s="170">
        <f>IF(Escenarios!$E$14&gt;0,MAX(0,Constantes!$E$36/((Z686+R687+S687+T687+Observaciones!$F686)^2)+Entradas!$E$77),0)</f>
        <v>0</v>
      </c>
      <c r="V687" s="146">
        <f>IF(ETo!D686&gt;0,ETo!I686*((1-Entradas!$E$81)*ETo!K686+ETo!L686),0)</f>
        <v>4.0343653562697508</v>
      </c>
      <c r="W687" s="170">
        <f>IF(Escenarios!$E$14&gt;0,MIN(V687*1,0.8*(Z686+R687+S687+T687+Observaciones!$F686-U687-Constantes!$E$35)),0)</f>
        <v>3.0939028511113523E-3</v>
      </c>
      <c r="X687" s="170">
        <f>IF(Escenarios!$E$14&gt;0,Observaciones!$J686,0)</f>
        <v>0</v>
      </c>
      <c r="Y687" s="170">
        <f>IF(Escenarios!$E$14&gt;0,MAX(0,Z686+R687+S687+T687+Observaciones!$F686-U687-W687-X687-Constantes!$E$33),0)</f>
        <v>0</v>
      </c>
      <c r="Z687" s="170">
        <f>Z686+R687+S687+T687+Observaciones!$F686-U687-W687-Y687</f>
        <v>41.250773475712776</v>
      </c>
      <c r="AA687" s="170">
        <f>IF(Escenarios!$E$14&gt;0,(Escenarios!$E$13*L687+Escenarios!$E$14*W687)/(Escenarios!$E$16),L687)</f>
        <v>0.15424441326917032</v>
      </c>
      <c r="AB687" s="170">
        <f>IF(Escenarios!$E$14&gt;0,(Escenarios!$E$14*Y687)/(Escenarios!$E$16),K687)</f>
        <v>0</v>
      </c>
      <c r="AC687" s="170">
        <f>IF(Escenarios!$E$14&gt;0,(Escenarios!$E$13*M687+Escenarios!$E$14*U687)/(Escenarios!$E$16),M687)</f>
        <v>0</v>
      </c>
      <c r="AD687" s="76">
        <f t="shared" si="141"/>
        <v>63.917622929019799</v>
      </c>
      <c r="AE687" s="76">
        <f>MAX(0,(AD687-Constantes!$D$13)*(1-EXP(-Constantes!$D$23)))</f>
        <v>0.14945020136595347</v>
      </c>
      <c r="AF687" s="76">
        <f>AB687+O687*Escenarios!$E$13/Escenarios!$E$16+AE687</f>
        <v>0.14989832932103853</v>
      </c>
      <c r="AG687" s="76">
        <f>IF(Entradas!$E$91&gt;0,IF(AF687-Escenarios!$E$38&lt;=0,0,IF(AF687-Escenarios!$E$38&gt;Escenarios!$E$37,Escenarios!$E$37,AF687-Escenarios!$E$38)),0)</f>
        <v>0</v>
      </c>
      <c r="AH687" s="76">
        <f>AG687*Entradas!$E$99</f>
        <v>0</v>
      </c>
      <c r="AI687" s="76">
        <f>IF(Entradas!$E$91&gt;0,D687*Entradas!$D$23/Escenarios!$E$16,0)</f>
        <v>0</v>
      </c>
      <c r="AJ687" s="76">
        <f>IF(Entradas!$E$91&gt;0,Entradas!$D$24*Entradas!$D$22/Escenarios!$E$16,0)</f>
        <v>0</v>
      </c>
      <c r="AK687" s="76">
        <f t="shared" si="150"/>
        <v>0.15424441326917032</v>
      </c>
      <c r="AL687" s="76">
        <f t="shared" si="151"/>
        <v>0</v>
      </c>
      <c r="AM687" s="76">
        <f t="shared" si="142"/>
        <v>0</v>
      </c>
      <c r="AN687" s="76">
        <f>MAX(0,O687*Escenarios!$E$13/Escenarios!$E$16-AM687)</f>
        <v>4.4812795508507135E-4</v>
      </c>
      <c r="AO687" s="76">
        <f>AM687+AN687-O687*Escenarios!$E$13/Escenarios!$E$16</f>
        <v>0</v>
      </c>
      <c r="AP687" s="76">
        <f t="shared" si="140"/>
        <v>0.14945020136595347</v>
      </c>
      <c r="AQ687" s="76">
        <f t="shared" si="143"/>
        <v>0</v>
      </c>
      <c r="AR687" s="76">
        <f t="shared" si="144"/>
        <v>0.14989832932103853</v>
      </c>
      <c r="AS687" s="76">
        <f t="shared" si="145"/>
        <v>0</v>
      </c>
      <c r="AT687" s="76">
        <f t="shared" si="146"/>
        <v>0</v>
      </c>
      <c r="AU687" s="76">
        <f t="shared" si="147"/>
        <v>48.75</v>
      </c>
      <c r="AV687" s="76">
        <f>MAX(0,(AU687-Constantes!$D$13)*(1-EXP(-Constantes!$D$24)))</f>
        <v>0</v>
      </c>
      <c r="AW687" s="170">
        <f>AW686+(Entradas!$E$112*AT687-AX686)/(800*Entradas!$D$25)</f>
        <v>0</v>
      </c>
      <c r="AX687" s="170">
        <f>8000*Entradas!$D$26*AW687/Constantes!$E$45</f>
        <v>0</v>
      </c>
      <c r="AY687" s="170">
        <f>IF(Escenarios!$E$17&gt;0,10*Escenarios!$E$16*AL687,0)</f>
        <v>0</v>
      </c>
      <c r="AZ687" s="170">
        <f>IF(Escenarios!$E$17&gt;0,10*Escenarios!$E$16*AX687,0)</f>
        <v>0</v>
      </c>
      <c r="BA687" s="170">
        <f>IF(Escenarios!$E$17&gt;0,0.001*Observaciones!$F686*Escenarios!$E$17,0)</f>
        <v>0</v>
      </c>
      <c r="BB687" s="170">
        <f>IF(Escenarios!$E$17&gt;0,Observaciones!$K686,0)</f>
        <v>0</v>
      </c>
      <c r="BC687" s="170">
        <f>IF(Escenarios!$E$17&gt;0,MIN(0.0005*ETo!$M686*Escenarios!$E$17*(BG686/Constantes!$E$40)^(2/3),BG686+AY687+AZ687+BA687+BB687),0)</f>
        <v>11.840526403251278</v>
      </c>
      <c r="BD687" s="170">
        <f>IF(Escenarios!$E$17&gt;0,MIN(Constantes!$E$39*(BG686/Constantes!$E$40)^(2/3),BG686+AY687+AZ687+BA687+BB687-BC687),0)</f>
        <v>18.90003689009983</v>
      </c>
      <c r="BE687" s="170">
        <f>IF(Escenarios!$E$17&gt;0,MIN(Entradas!$E$113,BG686+AY687+AZ687+BA687+BB687-BC687-BD687),0)</f>
        <v>1</v>
      </c>
      <c r="BF687" s="170">
        <f>IF(Escenarios!$E$17&gt;0,MAX(0,BG686+AY687+AZ687+BA687+BB687-BC687-BD687-BE687-Constantes!$E$40),0)</f>
        <v>0</v>
      </c>
      <c r="BG687" s="170">
        <f t="shared" si="152"/>
        <v>733.79917303690218</v>
      </c>
      <c r="BH687" s="170">
        <f>(Escenarios!$E$16*AK687+0.1*BC687)/(Escenarios!$E$19)</f>
        <v>0.15771887284768932</v>
      </c>
      <c r="BI687" s="170">
        <f>IF(Escenarios!$E$17&gt;0,BF687/10/Escenarios!$E$19,AL687)</f>
        <v>0</v>
      </c>
      <c r="BJ687" s="170">
        <f>(Escenarios!$E$16*AT687+0.1*BD687)/(Escenarios!$E$19)</f>
        <v>7.5000146389285049E-3</v>
      </c>
      <c r="BK687" s="76">
        <f>BK686+(0.1*BD687)/(Escenarios!$E$19)-BL686</f>
        <v>49.574946159664158</v>
      </c>
      <c r="BL687" s="76">
        <f>MAX(0,(BK687-Constantes!$D$13)*(1-EXP(-Constantes!$D$23)))</f>
        <v>8.1283909980379414E-3</v>
      </c>
      <c r="BM687" s="76">
        <f t="shared" si="148"/>
        <v>0.15757859236399141</v>
      </c>
      <c r="BN687" s="76">
        <f t="shared" si="153"/>
        <v>0.15802672031907647</v>
      </c>
      <c r="BO687" s="76">
        <f>0.0526*BI687*Observaciones!$F686^1.218</f>
        <v>0</v>
      </c>
      <c r="BP687" s="76">
        <f>BO687*Constantes!$E$51</f>
        <v>0</v>
      </c>
      <c r="BQ687" s="76">
        <f t="shared" si="149"/>
        <v>0</v>
      </c>
      <c r="BR687" s="40"/>
    </row>
    <row r="688" spans="1:70">
      <c r="A688" s="147"/>
      <c r="B688" s="39"/>
      <c r="C688" s="75">
        <v>682</v>
      </c>
      <c r="D688" s="146">
        <f>ETo!$I687*((1-Constantes!$E$19)*ETo!$K687+ETo!$L687)</f>
        <v>4.5472914525102039</v>
      </c>
      <c r="E688" s="76">
        <f>MIN(D688*Constantes!$E$17,0.8*(N687+Observaciones!$F687-F688-M688-Constantes!$D$14))</f>
        <v>1.931959634332381</v>
      </c>
      <c r="F688" s="76">
        <f>IF(Observaciones!$F687&gt;0.05*Constantes!$E$18,((Observaciones!$F687-0.05*Constantes!$E$18)^2)/(Observaciones!$F687+0.95*Constantes!$E$18),0)</f>
        <v>0</v>
      </c>
      <c r="G688" s="76">
        <f>IF(Escenarios!$E$11&gt;0,(F688*Escenarios!$E$16*10000)/1000,0)</f>
        <v>0</v>
      </c>
      <c r="H688" s="76">
        <f>IF(Escenarios!$E$11&gt;0,(Observaciones!$F687*Constantes!$E$29)/1000,0)</f>
        <v>24</v>
      </c>
      <c r="I688" s="76">
        <f>IF(Escenarios!$E$11&gt;0,(D688*Constantes!$E$29)/1000,0)</f>
        <v>45.472914525102041</v>
      </c>
      <c r="J688" s="76">
        <f>IF(Escenarios!$E$11&gt;0,MAX(0,G688+H688-I688),0)</f>
        <v>0</v>
      </c>
      <c r="K688" s="76">
        <f>IF(Escenarios!$E$11&gt;0,IF(J688&gt;Constantes!$E$30,1000*((J688-Constantes!$E$30)/(Escenarios!$E$16*10000)),0),F688)</f>
        <v>0</v>
      </c>
      <c r="L688" s="76">
        <f>IF(Escenarios!$E$11&gt;0,I688*1000/Escenarios!$E$16/10000+E688,E688)</f>
        <v>1.9501488001424219</v>
      </c>
      <c r="M688" s="76">
        <f>MAX(0,N687+Observaciones!$F687-K688-Constantes!$D$13)</f>
        <v>0</v>
      </c>
      <c r="N688" s="76">
        <f>N687+Observaciones!$F687-K688-L688-M688-O687</f>
        <v>11.714291506460457</v>
      </c>
      <c r="O688" s="76">
        <f>MAX(0,(N688-Constantes!$D$14)*(1-EXP(-Constantes!$D$22)))</f>
        <v>1.5815473159056927E-2</v>
      </c>
      <c r="P688" s="170">
        <f>P687+(Entradas!$E$83*M688-Q687)/(800*Entradas!$D$25)</f>
        <v>0</v>
      </c>
      <c r="Q688" s="170">
        <f>8000*Entradas!$D$26*P688/Constantes!$E$45</f>
        <v>0</v>
      </c>
      <c r="R688" s="170">
        <f>IF(Escenarios!$E$14&gt;0,K688*Escenarios!$E$13/Escenarios!$E$14,0)</f>
        <v>0</v>
      </c>
      <c r="S688" s="170">
        <f>IF(Escenarios!$E$14&gt;0,Q688*Escenarios!$E$13/Escenarios!$E$14,0)</f>
        <v>0</v>
      </c>
      <c r="T688" s="170">
        <f>IF(Escenarios!$E$14&gt;0,Observaciones!$I687,0)</f>
        <v>0</v>
      </c>
      <c r="U688" s="170">
        <f>IF(Escenarios!$E$14&gt;0,MAX(0,Constantes!$E$36/((Z687+R688+S688+T688+Observaciones!$F687)^2)+Entradas!$E$77),0)</f>
        <v>0</v>
      </c>
      <c r="V688" s="146">
        <f>IF(ETo!D687&gt;0,ETo!I687*((1-Entradas!$E$81)*ETo!K687+ETo!L687),0)</f>
        <v>4.1578236634085668</v>
      </c>
      <c r="W688" s="170">
        <f>IF(Escenarios!$E$14&gt;0,MIN(V688*1,0.8*(Z687+R688+S688+T688+Observaciones!$F687-U688-Constantes!$E$35)),0)</f>
        <v>1.9206187805702202</v>
      </c>
      <c r="X688" s="170">
        <f>IF(Escenarios!$E$14&gt;0,Observaciones!$J687,0)</f>
        <v>0</v>
      </c>
      <c r="Y688" s="170">
        <f>IF(Escenarios!$E$14&gt;0,MAX(0,Z687+R688+S688+T688+Observaciones!$F687-U688-W688-X688-Constantes!$E$33),0)</f>
        <v>0</v>
      </c>
      <c r="Z688" s="170">
        <f>Z687+R688+S688+T688+Observaciones!$F687-U688-W688-Y688</f>
        <v>41.730154695142552</v>
      </c>
      <c r="AA688" s="170">
        <f>IF(Escenarios!$E$14&gt;0,(Escenarios!$E$13*L688+Escenarios!$E$14*W688)/(Escenarios!$E$16),L688)</f>
        <v>1.9466051977937577</v>
      </c>
      <c r="AB688" s="170">
        <f>IF(Escenarios!$E$14&gt;0,(Escenarios!$E$14*Y688)/(Escenarios!$E$16),K688)</f>
        <v>0</v>
      </c>
      <c r="AC688" s="170">
        <f>IF(Escenarios!$E$14&gt;0,(Escenarios!$E$13*M688+Escenarios!$E$14*U688)/(Escenarios!$E$16),M688)</f>
        <v>0</v>
      </c>
      <c r="AD688" s="76">
        <f t="shared" si="141"/>
        <v>63.768172727653848</v>
      </c>
      <c r="AE688" s="76">
        <f>MAX(0,(AD688-Constantes!$D$13)*(1-EXP(-Constantes!$D$23)))</f>
        <v>0.14797763293563007</v>
      </c>
      <c r="AF688" s="76">
        <f>AB688+O688*Escenarios!$E$13/Escenarios!$E$16+AE688</f>
        <v>0.16189524931560018</v>
      </c>
      <c r="AG688" s="76">
        <f>IF(Entradas!$E$91&gt;0,IF(AF688-Escenarios!$E$38&lt;=0,0,IF(AF688-Escenarios!$E$38&gt;Escenarios!$E$37,Escenarios!$E$37,AF688-Escenarios!$E$38)),0)</f>
        <v>0</v>
      </c>
      <c r="AH688" s="76">
        <f>AG688*Entradas!$E$99</f>
        <v>0</v>
      </c>
      <c r="AI688" s="76">
        <f>IF(Entradas!$E$91&gt;0,D688*Entradas!$D$23/Escenarios!$E$16,0)</f>
        <v>0</v>
      </c>
      <c r="AJ688" s="76">
        <f>IF(Entradas!$E$91&gt;0,Entradas!$D$24*Entradas!$D$22/Escenarios!$E$16,0)</f>
        <v>0</v>
      </c>
      <c r="AK688" s="76">
        <f t="shared" si="150"/>
        <v>1.9466051977937577</v>
      </c>
      <c r="AL688" s="76">
        <f t="shared" si="151"/>
        <v>0</v>
      </c>
      <c r="AM688" s="76">
        <f t="shared" si="142"/>
        <v>0</v>
      </c>
      <c r="AN688" s="76">
        <f>MAX(0,O688*Escenarios!$E$13/Escenarios!$E$16-AM688)</f>
        <v>1.3917616379970098E-2</v>
      </c>
      <c r="AO688" s="76">
        <f>AM688+AN688-O688*Escenarios!$E$13/Escenarios!$E$16</f>
        <v>0</v>
      </c>
      <c r="AP688" s="76">
        <f t="shared" si="140"/>
        <v>0.14797763293563007</v>
      </c>
      <c r="AQ688" s="76">
        <f t="shared" si="143"/>
        <v>0</v>
      </c>
      <c r="AR688" s="76">
        <f t="shared" si="144"/>
        <v>0.16189524931560018</v>
      </c>
      <c r="AS688" s="76">
        <f t="shared" si="145"/>
        <v>0</v>
      </c>
      <c r="AT688" s="76">
        <f t="shared" si="146"/>
        <v>0</v>
      </c>
      <c r="AU688" s="76">
        <f t="shared" si="147"/>
        <v>48.75</v>
      </c>
      <c r="AV688" s="76">
        <f>MAX(0,(AU688-Constantes!$D$13)*(1-EXP(-Constantes!$D$24)))</f>
        <v>0</v>
      </c>
      <c r="AW688" s="170">
        <f>AW687+(Entradas!$E$112*AT688-AX687)/(800*Entradas!$D$25)</f>
        <v>0</v>
      </c>
      <c r="AX688" s="170">
        <f>8000*Entradas!$D$26*AW688/Constantes!$E$45</f>
        <v>0</v>
      </c>
      <c r="AY688" s="170">
        <f>IF(Escenarios!$E$17&gt;0,10*Escenarios!$E$16*AL688,0)</f>
        <v>0</v>
      </c>
      <c r="AZ688" s="170">
        <f>IF(Escenarios!$E$17&gt;0,10*Escenarios!$E$16*AX688,0)</f>
        <v>0</v>
      </c>
      <c r="BA688" s="170">
        <f>IF(Escenarios!$E$17&gt;0,0.001*Observaciones!$F687*Escenarios!$E$17,0)</f>
        <v>47.999999999999993</v>
      </c>
      <c r="BB688" s="170">
        <f>IF(Escenarios!$E$17&gt;0,Observaciones!$K687,0)</f>
        <v>0</v>
      </c>
      <c r="BC688" s="170">
        <f>IF(Escenarios!$E$17&gt;0,MIN(0.0005*ETo!$M687*Escenarios!$E$17*(BG687/Constantes!$E$40)^(2/3),BG687+AY688+AZ688+BA688+BB688),0)</f>
        <v>11.851491268943604</v>
      </c>
      <c r="BD688" s="170">
        <f>IF(Escenarios!$E$17&gt;0,MIN(Constantes!$E$39*(BG687/Constantes!$E$40)^(2/3),BG687+AY688+AZ688+BA688+BB688-BC688),0)</f>
        <v>18.373940472374343</v>
      </c>
      <c r="BE688" s="170">
        <f>IF(Escenarios!$E$17&gt;0,MIN(Entradas!$E$113,BG687+AY688+AZ688+BA688+BB688-BC688-BD688),0)</f>
        <v>1</v>
      </c>
      <c r="BF688" s="170">
        <f>IF(Escenarios!$E$17&gt;0,MAX(0,BG687+AY688+AZ688+BA688+BB688-BC688-BD688-BE688-Constantes!$E$40),0)</f>
        <v>0</v>
      </c>
      <c r="BG688" s="170">
        <f t="shared" si="152"/>
        <v>750.57374129558423</v>
      </c>
      <c r="BH688" s="170">
        <f>(Escenarios!$E$16*AK688+0.1*BC688)/(Escenarios!$E$19)</f>
        <v>1.9358589229179912</v>
      </c>
      <c r="BI688" s="170">
        <f>IF(Escenarios!$E$17&gt;0,BF688/10/Escenarios!$E$19,AL688)</f>
        <v>0</v>
      </c>
      <c r="BJ688" s="170">
        <f>(Escenarios!$E$16*AT688+0.1*BD688)/(Escenarios!$E$19)</f>
        <v>7.2912462191961685E-3</v>
      </c>
      <c r="BK688" s="76">
        <f>BK687+(0.1*BD688)/(Escenarios!$E$19)-BL687</f>
        <v>49.574109014885316</v>
      </c>
      <c r="BL688" s="76">
        <f>MAX(0,(BK688-Constantes!$D$13)*(1-EXP(-Constantes!$D$23)))</f>
        <v>8.1201424111396591E-3</v>
      </c>
      <c r="BM688" s="76">
        <f t="shared" si="148"/>
        <v>0.15609777534676972</v>
      </c>
      <c r="BN688" s="76">
        <f t="shared" si="153"/>
        <v>0.17001539172673982</v>
      </c>
      <c r="BO688" s="76">
        <f>0.0526*BI688*Observaciones!$F687^1.218</f>
        <v>0</v>
      </c>
      <c r="BP688" s="76">
        <f>BO688*Constantes!$E$51</f>
        <v>0</v>
      </c>
      <c r="BQ688" s="76">
        <f t="shared" si="149"/>
        <v>0</v>
      </c>
      <c r="BR688" s="40"/>
    </row>
    <row r="689" spans="1:70">
      <c r="A689" s="147"/>
      <c r="B689" s="39"/>
      <c r="C689" s="75">
        <v>683</v>
      </c>
      <c r="D689" s="146">
        <f>ETo!$I688*((1-Constantes!$E$19)*ETo!$K688+ETo!$L688)</f>
        <v>4.5354191278462439</v>
      </c>
      <c r="E689" s="76">
        <f>MIN(D689*Constantes!$E$17,0.8*(N688+Observaciones!$F688-F689-M689-Constantes!$D$14))</f>
        <v>0.85143320516836529</v>
      </c>
      <c r="F689" s="76">
        <f>IF(Observaciones!$F688&gt;0.05*Constantes!$E$18,((Observaciones!$F688-0.05*Constantes!$E$18)^2)/(Observaciones!$F688+0.95*Constantes!$E$18),0)</f>
        <v>0</v>
      </c>
      <c r="G689" s="76">
        <f>IF(Escenarios!$E$11&gt;0,(F689*Escenarios!$E$16*10000)/1000,0)</f>
        <v>0</v>
      </c>
      <c r="H689" s="76">
        <f>IF(Escenarios!$E$11&gt;0,(Observaciones!$F688*Constantes!$E$29)/1000,0)</f>
        <v>6</v>
      </c>
      <c r="I689" s="76">
        <f>IF(Escenarios!$E$11&gt;0,(D689*Constantes!$E$29)/1000,0)</f>
        <v>45.354191278462437</v>
      </c>
      <c r="J689" s="76">
        <f>IF(Escenarios!$E$11&gt;0,MAX(0,G689+H689-I689),0)</f>
        <v>0</v>
      </c>
      <c r="K689" s="76">
        <f>IF(Escenarios!$E$11&gt;0,IF(J689&gt;Constantes!$E$30,1000*((J689-Constantes!$E$30)/(Escenarios!$E$16*10000)),0),F689)</f>
        <v>0</v>
      </c>
      <c r="L689" s="76">
        <f>IF(Escenarios!$E$11&gt;0,I689*1000/Escenarios!$E$16/10000+E689,E689)</f>
        <v>0.86957488167975028</v>
      </c>
      <c r="M689" s="76">
        <f>MAX(0,N688+Observaciones!$F688-K689-Constantes!$D$13)</f>
        <v>0</v>
      </c>
      <c r="N689" s="76">
        <f>N688+Observaciones!$F688-K689-L689-M689-O688</f>
        <v>11.42890115162165</v>
      </c>
      <c r="O689" s="76">
        <f>MAX(0,(N689-Constantes!$D$14)*(1-EXP(-Constantes!$D$22)))</f>
        <v>6.0940299838062144E-3</v>
      </c>
      <c r="P689" s="170">
        <f>P688+(Entradas!$E$83*M689-Q688)/(800*Entradas!$D$25)</f>
        <v>0</v>
      </c>
      <c r="Q689" s="170">
        <f>8000*Entradas!$D$26*P689/Constantes!$E$45</f>
        <v>0</v>
      </c>
      <c r="R689" s="170">
        <f>IF(Escenarios!$E$14&gt;0,K689*Escenarios!$E$13/Escenarios!$E$14,0)</f>
        <v>0</v>
      </c>
      <c r="S689" s="170">
        <f>IF(Escenarios!$E$14&gt;0,Q689*Escenarios!$E$13/Escenarios!$E$14,0)</f>
        <v>0</v>
      </c>
      <c r="T689" s="170">
        <f>IF(Escenarios!$E$14&gt;0,Observaciones!$I688,0)</f>
        <v>0</v>
      </c>
      <c r="U689" s="170">
        <f>IF(Escenarios!$E$14&gt;0,MAX(0,Constantes!$E$36/((Z688+R689+S689+T689+Observaciones!$F688)^2)+Entradas!$E$77),0)</f>
        <v>0</v>
      </c>
      <c r="V689" s="146">
        <f>IF(ETo!D688&gt;0,ETo!I688*((1-Entradas!$E$81)*ETo!K688+ETo!L688),0)</f>
        <v>4.1468099240221052</v>
      </c>
      <c r="W689" s="170">
        <f>IF(Escenarios!$E$14&gt;0,MIN(V689*1,0.8*(Z688+R689+S689+T689+Observaciones!$F688-U689-Constantes!$E$35)),0)</f>
        <v>0.86412375611404291</v>
      </c>
      <c r="X689" s="170">
        <f>IF(Escenarios!$E$14&gt;0,Observaciones!$J688,0)</f>
        <v>0</v>
      </c>
      <c r="Y689" s="170">
        <f>IF(Escenarios!$E$14&gt;0,MAX(0,Z688+R689+S689+T689+Observaciones!$F688-U689-W689-X689-Constantes!$E$33),0)</f>
        <v>0</v>
      </c>
      <c r="Z689" s="170">
        <f>Z688+R689+S689+T689+Observaciones!$F688-U689-W689-Y689</f>
        <v>41.466030939028514</v>
      </c>
      <c r="AA689" s="170">
        <f>IF(Escenarios!$E$14&gt;0,(Escenarios!$E$13*L689+Escenarios!$E$14*W689)/(Escenarios!$E$16),L689)</f>
        <v>0.86892074661186536</v>
      </c>
      <c r="AB689" s="170">
        <f>IF(Escenarios!$E$14&gt;0,(Escenarios!$E$14*Y689)/(Escenarios!$E$16),K689)</f>
        <v>0</v>
      </c>
      <c r="AC689" s="170">
        <f>IF(Escenarios!$E$14&gt;0,(Escenarios!$E$13*M689+Escenarios!$E$14*U689)/(Escenarios!$E$16),M689)</f>
        <v>0</v>
      </c>
      <c r="AD689" s="76">
        <f t="shared" si="141"/>
        <v>63.62019509471822</v>
      </c>
      <c r="AE689" s="76">
        <f>MAX(0,(AD689-Constantes!$D$13)*(1-EXP(-Constantes!$D$23)))</f>
        <v>0.14651957407278912</v>
      </c>
      <c r="AF689" s="76">
        <f>AB689+O689*Escenarios!$E$13/Escenarios!$E$16+AE689</f>
        <v>0.15188232045853858</v>
      </c>
      <c r="AG689" s="76">
        <f>IF(Entradas!$E$91&gt;0,IF(AF689-Escenarios!$E$38&lt;=0,0,IF(AF689-Escenarios!$E$38&gt;Escenarios!$E$37,Escenarios!$E$37,AF689-Escenarios!$E$38)),0)</f>
        <v>0</v>
      </c>
      <c r="AH689" s="76">
        <f>AG689*Entradas!$E$99</f>
        <v>0</v>
      </c>
      <c r="AI689" s="76">
        <f>IF(Entradas!$E$91&gt;0,D689*Entradas!$D$23/Escenarios!$E$16,0)</f>
        <v>0</v>
      </c>
      <c r="AJ689" s="76">
        <f>IF(Entradas!$E$91&gt;0,Entradas!$D$24*Entradas!$D$22/Escenarios!$E$16,0)</f>
        <v>0</v>
      </c>
      <c r="AK689" s="76">
        <f t="shared" si="150"/>
        <v>0.86892074661186536</v>
      </c>
      <c r="AL689" s="76">
        <f t="shared" si="151"/>
        <v>0</v>
      </c>
      <c r="AM689" s="76">
        <f t="shared" si="142"/>
        <v>0</v>
      </c>
      <c r="AN689" s="76">
        <f>MAX(0,O689*Escenarios!$E$13/Escenarios!$E$16-AM689)</f>
        <v>5.3627463857494687E-3</v>
      </c>
      <c r="AO689" s="76">
        <f>AM689+AN689-O689*Escenarios!$E$13/Escenarios!$E$16</f>
        <v>0</v>
      </c>
      <c r="AP689" s="76">
        <f t="shared" si="140"/>
        <v>0.14651957407278912</v>
      </c>
      <c r="AQ689" s="76">
        <f t="shared" si="143"/>
        <v>0</v>
      </c>
      <c r="AR689" s="76">
        <f t="shared" si="144"/>
        <v>0.15188232045853858</v>
      </c>
      <c r="AS689" s="76">
        <f t="shared" si="145"/>
        <v>0</v>
      </c>
      <c r="AT689" s="76">
        <f t="shared" si="146"/>
        <v>0</v>
      </c>
      <c r="AU689" s="76">
        <f t="shared" si="147"/>
        <v>48.75</v>
      </c>
      <c r="AV689" s="76">
        <f>MAX(0,(AU689-Constantes!$D$13)*(1-EXP(-Constantes!$D$24)))</f>
        <v>0</v>
      </c>
      <c r="AW689" s="170">
        <f>AW688+(Entradas!$E$112*AT689-AX688)/(800*Entradas!$D$25)</f>
        <v>0</v>
      </c>
      <c r="AX689" s="170">
        <f>8000*Entradas!$D$26*AW689/Constantes!$E$45</f>
        <v>0</v>
      </c>
      <c r="AY689" s="170">
        <f>IF(Escenarios!$E$17&gt;0,10*Escenarios!$E$16*AL689,0)</f>
        <v>0</v>
      </c>
      <c r="AZ689" s="170">
        <f>IF(Escenarios!$E$17&gt;0,10*Escenarios!$E$16*AX689,0)</f>
        <v>0</v>
      </c>
      <c r="BA689" s="170">
        <f>IF(Escenarios!$E$17&gt;0,0.001*Observaciones!$F688*Escenarios!$E$17,0)</f>
        <v>11.999999999999998</v>
      </c>
      <c r="BB689" s="170">
        <f>IF(Escenarios!$E$17&gt;0,Observaciones!$K688,0)</f>
        <v>0</v>
      </c>
      <c r="BC689" s="170">
        <f>IF(Escenarios!$E$17&gt;0,MIN(0.0005*ETo!$M688*Escenarios!$E$17*(BG688/Constantes!$E$40)^(2/3),BG688+AY689+AZ689+BA689+BB689),0)</f>
        <v>12.000594188569405</v>
      </c>
      <c r="BD689" s="170">
        <f>IF(Escenarios!$E$17&gt;0,MIN(Constantes!$E$39*(BG688/Constantes!$E$40)^(2/3),BG688+AY689+AZ689+BA689+BB689-BC689),0)</f>
        <v>18.652901811104606</v>
      </c>
      <c r="BE689" s="170">
        <f>IF(Escenarios!$E$17&gt;0,MIN(Entradas!$E$113,BG688+AY689+AZ689+BA689+BB689-BC689-BD689),0)</f>
        <v>1</v>
      </c>
      <c r="BF689" s="170">
        <f>IF(Escenarios!$E$17&gt;0,MAX(0,BG688+AY689+AZ689+BA689+BB689-BC689-BD689-BE689-Constantes!$E$40),0)</f>
        <v>0</v>
      </c>
      <c r="BG689" s="170">
        <f t="shared" si="152"/>
        <v>730.92024529591026</v>
      </c>
      <c r="BH689" s="170">
        <f>(Escenarios!$E$16*AK689+0.1*BC689)/(Escenarios!$E$19)</f>
        <v>0.86678669076120352</v>
      </c>
      <c r="BI689" s="170">
        <f>IF(Escenarios!$E$17&gt;0,BF689/10/Escenarios!$E$19,AL689)</f>
        <v>0</v>
      </c>
      <c r="BJ689" s="170">
        <f>(Escenarios!$E$16*AT689+0.1*BD689)/(Escenarios!$E$19)</f>
        <v>7.401945163136749E-3</v>
      </c>
      <c r="BK689" s="76">
        <f>BK688+(0.1*BD689)/(Escenarios!$E$19)-BL688</f>
        <v>49.573390817637318</v>
      </c>
      <c r="BL689" s="76">
        <f>MAX(0,(BK689-Constantes!$D$13)*(1-EXP(-Constantes!$D$23)))</f>
        <v>8.113065842593874E-3</v>
      </c>
      <c r="BM689" s="76">
        <f t="shared" si="148"/>
        <v>0.15463263991538301</v>
      </c>
      <c r="BN689" s="76">
        <f t="shared" si="153"/>
        <v>0.15999538630113247</v>
      </c>
      <c r="BO689" s="76">
        <f>0.0526*BI689*Observaciones!$F688^1.218</f>
        <v>0</v>
      </c>
      <c r="BP689" s="76">
        <f>BO689*Constantes!$E$51</f>
        <v>0</v>
      </c>
      <c r="BQ689" s="76">
        <f t="shared" si="149"/>
        <v>0</v>
      </c>
      <c r="BR689" s="40"/>
    </row>
    <row r="690" spans="1:70">
      <c r="A690" s="147"/>
      <c r="B690" s="39"/>
      <c r="C690" s="75">
        <v>684</v>
      </c>
      <c r="D690" s="146">
        <f>ETo!$I689*((1-Constantes!$E$19)*ETo!$K689+ETo!$L689)</f>
        <v>4.505285416730004</v>
      </c>
      <c r="E690" s="76">
        <f>MIN(D690*Constantes!$E$17,0.8*(N689+Observaciones!$F689-F690-M690-Constantes!$D$14))</f>
        <v>2.2026895140533749</v>
      </c>
      <c r="F690" s="76">
        <f>IF(Observaciones!$F689&gt;0.05*Constantes!$E$18,((Observaciones!$F689-0.05*Constantes!$E$18)^2)/(Observaciones!$F689+0.95*Constantes!$E$18),0)</f>
        <v>0.45061308139674633</v>
      </c>
      <c r="G690" s="76">
        <f>IF(Escenarios!$E$11&gt;0,(F690*Escenarios!$E$16*10000)/1000,0)</f>
        <v>1126.532703491866</v>
      </c>
      <c r="H690" s="76">
        <f>IF(Escenarios!$E$11&gt;0,(Observaciones!$F689*Constantes!$E$29)/1000,0)</f>
        <v>135</v>
      </c>
      <c r="I690" s="76">
        <f>IF(Escenarios!$E$11&gt;0,(D690*Constantes!$E$29)/1000,0)</f>
        <v>45.05285416730004</v>
      </c>
      <c r="J690" s="76">
        <f>IF(Escenarios!$E$11&gt;0,MAX(0,G690+H690-I690),0)</f>
        <v>1216.479849324566</v>
      </c>
      <c r="K690" s="76">
        <f>IF(Escenarios!$E$11&gt;0,IF(J690&gt;Constantes!$E$30,1000*((J690-Constantes!$E$30)/(Escenarios!$E$16*10000)),0),F690)</f>
        <v>0</v>
      </c>
      <c r="L690" s="76">
        <f>IF(Escenarios!$E$11&gt;0,I690*1000/Escenarios!$E$16/10000+E690,E690)</f>
        <v>2.2207106557202949</v>
      </c>
      <c r="M690" s="76">
        <f>MAX(0,N689+Observaciones!$F689-K690-Constantes!$D$13)</f>
        <v>0</v>
      </c>
      <c r="N690" s="76">
        <f>N689+Observaciones!$F689-K690-L690-M690-O689</f>
        <v>22.702096465917549</v>
      </c>
      <c r="O690" s="76">
        <f>MAX(0,(N690-Constantes!$D$14)*(1-EXP(-Constantes!$D$22)))</f>
        <v>0.39010044713595354</v>
      </c>
      <c r="P690" s="170">
        <f>P689+(Entradas!$E$83*M690-Q689)/(800*Entradas!$D$25)</f>
        <v>0</v>
      </c>
      <c r="Q690" s="170">
        <f>8000*Entradas!$D$26*P690/Constantes!$E$45</f>
        <v>0</v>
      </c>
      <c r="R690" s="170">
        <f>IF(Escenarios!$E$14&gt;0,K690*Escenarios!$E$13/Escenarios!$E$14,0)</f>
        <v>0</v>
      </c>
      <c r="S690" s="170">
        <f>IF(Escenarios!$E$14&gt;0,Q690*Escenarios!$E$13/Escenarios!$E$14,0)</f>
        <v>0</v>
      </c>
      <c r="T690" s="170">
        <f>IF(Escenarios!$E$14&gt;0,Observaciones!$I689,0)</f>
        <v>0</v>
      </c>
      <c r="U690" s="170">
        <f>IF(Escenarios!$E$14&gt;0,MAX(0,Constantes!$E$36/((Z689+R690+S690+T690+Observaciones!$F689)^2)+Entradas!$E$77),0)</f>
        <v>0</v>
      </c>
      <c r="V690" s="146">
        <f>IF(ETo!D689&gt;0,ETo!I689*((1-Entradas!$E$81)*ETo!K689+ETo!L689),0)</f>
        <v>4.1188509329123244</v>
      </c>
      <c r="W690" s="170">
        <f>IF(Escenarios!$E$14&gt;0,MIN(V690*1,0.8*(Z689+R690+S690+T690+Observaciones!$F689-U690-Constantes!$E$35)),0)</f>
        <v>4.1188509329123244</v>
      </c>
      <c r="X690" s="170">
        <f>IF(Escenarios!$E$14&gt;0,Observaciones!$J689,0)</f>
        <v>0</v>
      </c>
      <c r="Y690" s="170">
        <f>IF(Escenarios!$E$14&gt;0,MAX(0,Z689+R690+S690+T690+Observaciones!$F689-U690-W690-X690-Constantes!$E$33),0)</f>
        <v>0</v>
      </c>
      <c r="Z690" s="170">
        <f>Z689+R690+S690+T690+Observaciones!$F689-U690-W690-Y690</f>
        <v>50.84718000611619</v>
      </c>
      <c r="AA690" s="170">
        <f>IF(Escenarios!$E$14&gt;0,(Escenarios!$E$13*L690+Escenarios!$E$14*W690)/(Escenarios!$E$16),L690)</f>
        <v>2.4484874889833388</v>
      </c>
      <c r="AB690" s="170">
        <f>IF(Escenarios!$E$14&gt;0,(Escenarios!$E$14*Y690)/(Escenarios!$E$16),K690)</f>
        <v>0</v>
      </c>
      <c r="AC690" s="170">
        <f>IF(Escenarios!$E$14&gt;0,(Escenarios!$E$13*M690+Escenarios!$E$14*U690)/(Escenarios!$E$16),M690)</f>
        <v>0</v>
      </c>
      <c r="AD690" s="76">
        <f t="shared" si="141"/>
        <v>63.473675520645429</v>
      </c>
      <c r="AE690" s="76">
        <f>MAX(0,(AD690-Constantes!$D$13)*(1-EXP(-Constantes!$D$23)))</f>
        <v>0.14507588181120629</v>
      </c>
      <c r="AF690" s="76">
        <f>AB690+O690*Escenarios!$E$13/Escenarios!$E$16+AE690</f>
        <v>0.48836427529084542</v>
      </c>
      <c r="AG690" s="76">
        <f>IF(Entradas!$E$91&gt;0,IF(AF690-Escenarios!$E$38&lt;=0,0,IF(AF690-Escenarios!$E$38&gt;Escenarios!$E$37,Escenarios!$E$37,AF690-Escenarios!$E$38)),0)</f>
        <v>0</v>
      </c>
      <c r="AH690" s="76">
        <f>AG690*Entradas!$E$99</f>
        <v>0</v>
      </c>
      <c r="AI690" s="76">
        <f>IF(Entradas!$E$91&gt;0,D690*Entradas!$D$23/Escenarios!$E$16,0)</f>
        <v>0</v>
      </c>
      <c r="AJ690" s="76">
        <f>IF(Entradas!$E$91&gt;0,Entradas!$D$24*Entradas!$D$22/Escenarios!$E$16,0)</f>
        <v>0</v>
      </c>
      <c r="AK690" s="76">
        <f t="shared" si="150"/>
        <v>2.4484874889833388</v>
      </c>
      <c r="AL690" s="76">
        <f t="shared" si="151"/>
        <v>0</v>
      </c>
      <c r="AM690" s="76">
        <f t="shared" si="142"/>
        <v>0</v>
      </c>
      <c r="AN690" s="76">
        <f>MAX(0,O690*Escenarios!$E$13/Escenarios!$E$16-AM690)</f>
        <v>0.34328839347963913</v>
      </c>
      <c r="AO690" s="76">
        <f>AM690+AN690-O690*Escenarios!$E$13/Escenarios!$E$16</f>
        <v>0</v>
      </c>
      <c r="AP690" s="76">
        <f t="shared" si="140"/>
        <v>0.14507588181120629</v>
      </c>
      <c r="AQ690" s="76">
        <f t="shared" si="143"/>
        <v>0</v>
      </c>
      <c r="AR690" s="76">
        <f t="shared" si="144"/>
        <v>0.48836427529084542</v>
      </c>
      <c r="AS690" s="76">
        <f t="shared" si="145"/>
        <v>0</v>
      </c>
      <c r="AT690" s="76">
        <f t="shared" si="146"/>
        <v>0</v>
      </c>
      <c r="AU690" s="76">
        <f t="shared" si="147"/>
        <v>48.75</v>
      </c>
      <c r="AV690" s="76">
        <f>MAX(0,(AU690-Constantes!$D$13)*(1-EXP(-Constantes!$D$24)))</f>
        <v>0</v>
      </c>
      <c r="AW690" s="170">
        <f>AW689+(Entradas!$E$112*AT690-AX689)/(800*Entradas!$D$25)</f>
        <v>0</v>
      </c>
      <c r="AX690" s="170">
        <f>8000*Entradas!$D$26*AW690/Constantes!$E$45</f>
        <v>0</v>
      </c>
      <c r="AY690" s="170">
        <f>IF(Escenarios!$E$17&gt;0,10*Escenarios!$E$16*AL690,0)</f>
        <v>0</v>
      </c>
      <c r="AZ690" s="170">
        <f>IF(Escenarios!$E$17&gt;0,10*Escenarios!$E$16*AX690,0)</f>
        <v>0</v>
      </c>
      <c r="BA690" s="170">
        <f>IF(Escenarios!$E$17&gt;0,0.001*Observaciones!$F689*Escenarios!$E$17,0)</f>
        <v>270</v>
      </c>
      <c r="BB690" s="170">
        <f>IF(Escenarios!$E$17&gt;0,Observaciones!$K689,0)</f>
        <v>0</v>
      </c>
      <c r="BC690" s="170">
        <f>IF(Escenarios!$E$17&gt;0,MIN(0.0005*ETo!$M689*Escenarios!$E$17*(BG689/Constantes!$E$40)^(2/3),BG689+AY690+AZ690+BA690+BB690),0)</f>
        <v>11.713314654686599</v>
      </c>
      <c r="BD690" s="170">
        <f>IF(Escenarios!$E$17&gt;0,MIN(Constantes!$E$39*(BG689/Constantes!$E$40)^(2/3),BG689+AY690+AZ690+BA690+BB690-BC690),0)</f>
        <v>18.32585111484741</v>
      </c>
      <c r="BE690" s="170">
        <f>IF(Escenarios!$E$17&gt;0,MIN(Entradas!$E$113,BG689+AY690+AZ690+BA690+BB690-BC690-BD690),0)</f>
        <v>1</v>
      </c>
      <c r="BF690" s="170">
        <f>IF(Escenarios!$E$17&gt;0,MAX(0,BG689+AY690+AZ690+BA690+BB690-BC690-BD690-BE690-Constantes!$E$40),0)</f>
        <v>0</v>
      </c>
      <c r="BG690" s="170">
        <f t="shared" si="152"/>
        <v>969.8810795263762</v>
      </c>
      <c r="BH690" s="170">
        <f>(Escenarios!$E$16*AK690+0.1*BC690)/(Escenarios!$E$19)</f>
        <v>2.433703189330569</v>
      </c>
      <c r="BI690" s="170">
        <f>IF(Escenarios!$E$17&gt;0,BF690/10/Escenarios!$E$19,AL690)</f>
        <v>0</v>
      </c>
      <c r="BJ690" s="170">
        <f>(Escenarios!$E$16*AT690+0.1*BD690)/(Escenarios!$E$19)</f>
        <v>7.2721631408124649E-3</v>
      </c>
      <c r="BK690" s="76">
        <f>BK689+(0.1*BD690)/(Escenarios!$E$19)-BL689</f>
        <v>49.572549914935536</v>
      </c>
      <c r="BL690" s="76">
        <f>MAX(0,(BK690-Constantes!$D$13)*(1-EXP(-Constantes!$D$23)))</f>
        <v>8.1047802279857976E-3</v>
      </c>
      <c r="BM690" s="76">
        <f t="shared" si="148"/>
        <v>0.15318066203919209</v>
      </c>
      <c r="BN690" s="76">
        <f t="shared" si="153"/>
        <v>0.49646905551883119</v>
      </c>
      <c r="BO690" s="76">
        <f>0.0526*BI690*Observaciones!$F689^1.218</f>
        <v>0</v>
      </c>
      <c r="BP690" s="76">
        <f>BO690*Constantes!$E$51</f>
        <v>0</v>
      </c>
      <c r="BQ690" s="76">
        <f t="shared" si="149"/>
        <v>0</v>
      </c>
      <c r="BR690" s="40"/>
    </row>
    <row r="691" spans="1:70">
      <c r="A691" s="147"/>
      <c r="B691" s="39"/>
      <c r="C691" s="75">
        <v>685</v>
      </c>
      <c r="D691" s="146">
        <f>ETo!$I690*((1-Constantes!$E$19)*ETo!$K690+ETo!$L690)</f>
        <v>4.4795430578948983</v>
      </c>
      <c r="E691" s="76">
        <f>MIN(D691*Constantes!$E$17,0.8*(N690+Observaciones!$F690-F691-M691-Constantes!$D$14))</f>
        <v>2.1901037578518863</v>
      </c>
      <c r="F691" s="76">
        <f>IF(Observaciones!$F690&gt;0.05*Constantes!$E$18,((Observaciones!$F690-0.05*Constantes!$E$18)^2)/(Observaciones!$F690+0.95*Constantes!$E$18),0)</f>
        <v>0.10290611115465358</v>
      </c>
      <c r="G691" s="76">
        <f>IF(Escenarios!$E$11&gt;0,(F691*Escenarios!$E$16*10000)/1000,0)</f>
        <v>257.26527788663395</v>
      </c>
      <c r="H691" s="76">
        <f>IF(Escenarios!$E$11&gt;0,(Observaciones!$F690*Constantes!$E$29)/1000,0)</f>
        <v>95</v>
      </c>
      <c r="I691" s="76">
        <f>IF(Escenarios!$E$11&gt;0,(D691*Constantes!$E$29)/1000,0)</f>
        <v>44.795430578948981</v>
      </c>
      <c r="J691" s="76">
        <f>IF(Escenarios!$E$11&gt;0,MAX(0,G691+H691-I691),0)</f>
        <v>307.46984730768497</v>
      </c>
      <c r="K691" s="76">
        <f>IF(Escenarios!$E$11&gt;0,IF(J691&gt;Constantes!$E$30,1000*((J691-Constantes!$E$30)/(Escenarios!$E$16*10000)),0),F691)</f>
        <v>0</v>
      </c>
      <c r="L691" s="76">
        <f>IF(Escenarios!$E$11&gt;0,I691*1000/Escenarios!$E$16/10000+E691,E691)</f>
        <v>2.2080219300834658</v>
      </c>
      <c r="M691" s="76">
        <f>MAX(0,N690+Observaciones!$F690-K691-Constantes!$D$13)</f>
        <v>0</v>
      </c>
      <c r="N691" s="76">
        <f>N690+Observaciones!$F690-K691-L691-M691-O690</f>
        <v>29.603974088698131</v>
      </c>
      <c r="O691" s="76">
        <f>MAX(0,(N691-Constantes!$D$14)*(1-EXP(-Constantes!$D$22)))</f>
        <v>0.62520373627931991</v>
      </c>
      <c r="P691" s="170">
        <f>P690+(Entradas!$E$83*M691-Q690)/(800*Entradas!$D$25)</f>
        <v>0</v>
      </c>
      <c r="Q691" s="170">
        <f>8000*Entradas!$D$26*P691/Constantes!$E$45</f>
        <v>0</v>
      </c>
      <c r="R691" s="170">
        <f>IF(Escenarios!$E$14&gt;0,K691*Escenarios!$E$13/Escenarios!$E$14,0)</f>
        <v>0</v>
      </c>
      <c r="S691" s="170">
        <f>IF(Escenarios!$E$14&gt;0,Q691*Escenarios!$E$13/Escenarios!$E$14,0)</f>
        <v>0</v>
      </c>
      <c r="T691" s="170">
        <f>IF(Escenarios!$E$14&gt;0,Observaciones!$I690,0)</f>
        <v>0</v>
      </c>
      <c r="U691" s="170">
        <f>IF(Escenarios!$E$14&gt;0,MAX(0,Constantes!$E$36/((Z690+R691+S691+T691+Observaciones!$F690)^2)+Entradas!$E$77),0)</f>
        <v>0.18084453701888581</v>
      </c>
      <c r="V691" s="146">
        <f>IF(ETo!D690&gt;0,ETo!I690*((1-Entradas!$E$81)*ETo!K690+ETo!L690),0)</f>
        <v>4.0949854207426304</v>
      </c>
      <c r="W691" s="170">
        <f>IF(Escenarios!$E$14&gt;0,MIN(V691*1,0.8*(Z690+R691+S691+T691+Observaciones!$F690-U691-Constantes!$E$35)),0)</f>
        <v>4.0949854207426304</v>
      </c>
      <c r="X691" s="170">
        <f>IF(Escenarios!$E$14&gt;0,Observaciones!$J690,0)</f>
        <v>0</v>
      </c>
      <c r="Y691" s="170">
        <f>IF(Escenarios!$E$14&gt;0,MAX(0,Z690+R691+S691+T691+Observaciones!$F690-U691-W691-X691-Constantes!$E$33),0)</f>
        <v>0</v>
      </c>
      <c r="Z691" s="170">
        <f>Z690+R691+S691+T691+Observaciones!$F690-U691-W691-Y691</f>
        <v>56.071350048354674</v>
      </c>
      <c r="AA691" s="170">
        <f>IF(Escenarios!$E$14&gt;0,(Escenarios!$E$13*L691+Escenarios!$E$14*W691)/(Escenarios!$E$16),L691)</f>
        <v>2.4344575489625653</v>
      </c>
      <c r="AB691" s="170">
        <f>IF(Escenarios!$E$14&gt;0,(Escenarios!$E$14*Y691)/(Escenarios!$E$16),K691)</f>
        <v>0</v>
      </c>
      <c r="AC691" s="170">
        <f>IF(Escenarios!$E$14&gt;0,(Escenarios!$E$13*M691+Escenarios!$E$14*U691)/(Escenarios!$E$16),M691)</f>
        <v>2.1701344442266297E-2</v>
      </c>
      <c r="AD691" s="76">
        <f t="shared" si="141"/>
        <v>63.350300983276483</v>
      </c>
      <c r="AE691" s="76">
        <f>MAX(0,(AD691-Constantes!$D$13)*(1-EXP(-Constantes!$D$23)))</f>
        <v>0.14386024310898468</v>
      </c>
      <c r="AF691" s="76">
        <f>AB691+O691*Escenarios!$E$13/Escenarios!$E$16+AE691</f>
        <v>0.69403953103478622</v>
      </c>
      <c r="AG691" s="76">
        <f>IF(Entradas!$E$91&gt;0,IF(AF691-Escenarios!$E$38&lt;=0,0,IF(AF691-Escenarios!$E$38&gt;Escenarios!$E$37,Escenarios!$E$37,AF691-Escenarios!$E$38)),0)</f>
        <v>0</v>
      </c>
      <c r="AH691" s="76">
        <f>AG691*Entradas!$E$99</f>
        <v>0</v>
      </c>
      <c r="AI691" s="76">
        <f>IF(Entradas!$E$91&gt;0,D691*Entradas!$D$23/Escenarios!$E$16,0)</f>
        <v>0</v>
      </c>
      <c r="AJ691" s="76">
        <f>IF(Entradas!$E$91&gt;0,Entradas!$D$24*Entradas!$D$22/Escenarios!$E$16,0)</f>
        <v>0</v>
      </c>
      <c r="AK691" s="76">
        <f t="shared" si="150"/>
        <v>2.4344575489625653</v>
      </c>
      <c r="AL691" s="76">
        <f t="shared" si="151"/>
        <v>0</v>
      </c>
      <c r="AM691" s="76">
        <f t="shared" si="142"/>
        <v>0</v>
      </c>
      <c r="AN691" s="76">
        <f>MAX(0,O691*Escenarios!$E$13/Escenarios!$E$16-AM691)</f>
        <v>0.55017928792580151</v>
      </c>
      <c r="AO691" s="76">
        <f>AM691+AN691-O691*Escenarios!$E$13/Escenarios!$E$16</f>
        <v>0</v>
      </c>
      <c r="AP691" s="76">
        <f t="shared" si="140"/>
        <v>0.14386024310898468</v>
      </c>
      <c r="AQ691" s="76">
        <f t="shared" si="143"/>
        <v>0</v>
      </c>
      <c r="AR691" s="76">
        <f t="shared" si="144"/>
        <v>0.69403953103478622</v>
      </c>
      <c r="AS691" s="76">
        <f t="shared" si="145"/>
        <v>0</v>
      </c>
      <c r="AT691" s="76">
        <f t="shared" si="146"/>
        <v>2.1701344442266297E-2</v>
      </c>
      <c r="AU691" s="76">
        <f t="shared" si="147"/>
        <v>48.75</v>
      </c>
      <c r="AV691" s="76">
        <f>MAX(0,(AU691-Constantes!$D$13)*(1-EXP(-Constantes!$D$24)))</f>
        <v>0</v>
      </c>
      <c r="AW691" s="170">
        <f>AW690+(Entradas!$E$112*AT691-AX690)/(800*Entradas!$D$25)</f>
        <v>0</v>
      </c>
      <c r="AX691" s="170">
        <f>8000*Entradas!$D$26*AW691/Constantes!$E$45</f>
        <v>0</v>
      </c>
      <c r="AY691" s="170">
        <f>IF(Escenarios!$E$17&gt;0,10*Escenarios!$E$16*AL691,0)</f>
        <v>0</v>
      </c>
      <c r="AZ691" s="170">
        <f>IF(Escenarios!$E$17&gt;0,10*Escenarios!$E$16*AX691,0)</f>
        <v>0</v>
      </c>
      <c r="BA691" s="170">
        <f>IF(Escenarios!$E$17&gt;0,0.001*Observaciones!$F690*Escenarios!$E$17,0)</f>
        <v>190</v>
      </c>
      <c r="BB691" s="170">
        <f>IF(Escenarios!$E$17&gt;0,Observaciones!$K690,0)</f>
        <v>0</v>
      </c>
      <c r="BC691" s="170">
        <f>IF(Escenarios!$E$17&gt;0,MIN(0.0005*ETo!$M690*Escenarios!$E$17*(BG690/Constantes!$E$40)^(2/3),BG690+AY691+AZ691+BA691+BB691),0)</f>
        <v>14.064837674389938</v>
      </c>
      <c r="BD691" s="170">
        <f>IF(Escenarios!$E$17&gt;0,MIN(Constantes!$E$39*(BG690/Constantes!$E$40)^(2/3),BG690+AY691+AZ691+BA691+BB691-BC691),0)</f>
        <v>22.12906941771115</v>
      </c>
      <c r="BE691" s="170">
        <f>IF(Escenarios!$E$17&gt;0,MIN(Entradas!$E$113,BG690+AY691+AZ691+BA691+BB691-BC691-BD691),0)</f>
        <v>1</v>
      </c>
      <c r="BF691" s="170">
        <f>IF(Escenarios!$E$17&gt;0,MAX(0,BG690+AY691+AZ691+BA691+BB691-BC691-BD691-BE691-Constantes!$E$40),0)</f>
        <v>0</v>
      </c>
      <c r="BG691" s="170">
        <f t="shared" si="152"/>
        <v>1122.687172434275</v>
      </c>
      <c r="BH691" s="170">
        <f>(Escenarios!$E$16*AK691+0.1*BC691)/(Escenarios!$E$19)</f>
        <v>2.4207177420955568</v>
      </c>
      <c r="BI691" s="170">
        <f>IF(Escenarios!$E$17&gt;0,BF691/10/Escenarios!$E$19,AL691)</f>
        <v>0</v>
      </c>
      <c r="BJ691" s="170">
        <f>(Escenarios!$E$16*AT691+0.1*BD691)/(Escenarios!$E$19)</f>
        <v>3.0310488302927336E-2</v>
      </c>
      <c r="BK691" s="76">
        <f>BK690+(0.1*BD691)/(Escenarios!$E$19)-BL690</f>
        <v>49.573226511460611</v>
      </c>
      <c r="BL691" s="76">
        <f>MAX(0,(BK691-Constantes!$D$13)*(1-EXP(-Constantes!$D$23)))</f>
        <v>8.1114468947000983E-3</v>
      </c>
      <c r="BM691" s="76">
        <f t="shared" si="148"/>
        <v>0.15197169000368477</v>
      </c>
      <c r="BN691" s="76">
        <f t="shared" si="153"/>
        <v>0.70215097792948633</v>
      </c>
      <c r="BO691" s="76">
        <f>0.0526*BI691*Observaciones!$F690^1.218</f>
        <v>0</v>
      </c>
      <c r="BP691" s="76">
        <f>BO691*Constantes!$E$51</f>
        <v>0</v>
      </c>
      <c r="BQ691" s="76">
        <f t="shared" si="149"/>
        <v>0</v>
      </c>
      <c r="BR691" s="40"/>
    </row>
    <row r="692" spans="1:70">
      <c r="A692" s="147"/>
      <c r="B692" s="39"/>
      <c r="C692" s="75">
        <v>686</v>
      </c>
      <c r="D692" s="146">
        <f>ETo!$I691*((1-Constantes!$E$19)*ETo!$K691+ETo!$L691)</f>
        <v>4.5443172655095978</v>
      </c>
      <c r="E692" s="76">
        <f>MIN(D692*Constantes!$E$17,0.8*(N691+Observaciones!$F691-F692-M692-Constantes!$D$14))</f>
        <v>2.2217726655229062</v>
      </c>
      <c r="F692" s="76">
        <f>IF(Observaciones!$F691&gt;0.05*Constantes!$E$18,((Observaciones!$F691-0.05*Constantes!$E$18)^2)/(Observaciones!$F691+0.95*Constantes!$E$18),0)</f>
        <v>0</v>
      </c>
      <c r="G692" s="76">
        <f>IF(Escenarios!$E$11&gt;0,(F692*Escenarios!$E$16*10000)/1000,0)</f>
        <v>0</v>
      </c>
      <c r="H692" s="76">
        <f>IF(Escenarios!$E$11&gt;0,(Observaciones!$F691*Constantes!$E$29)/1000,0)</f>
        <v>5</v>
      </c>
      <c r="I692" s="76">
        <f>IF(Escenarios!$E$11&gt;0,(D692*Constantes!$E$29)/1000,0)</f>
        <v>45.443172655095978</v>
      </c>
      <c r="J692" s="76">
        <f>IF(Escenarios!$E$11&gt;0,MAX(0,G692+H692-I692),0)</f>
        <v>0</v>
      </c>
      <c r="K692" s="76">
        <f>IF(Escenarios!$E$11&gt;0,IF(J692&gt;Constantes!$E$30,1000*((J692-Constantes!$E$30)/(Escenarios!$E$16*10000)),0),F692)</f>
        <v>0</v>
      </c>
      <c r="L692" s="76">
        <f>IF(Escenarios!$E$11&gt;0,I692*1000/Escenarios!$E$16/10000+E692,E692)</f>
        <v>2.2399499345849447</v>
      </c>
      <c r="M692" s="76">
        <f>MAX(0,N691+Observaciones!$F691-K692-Constantes!$D$13)</f>
        <v>0</v>
      </c>
      <c r="N692" s="76">
        <f>N691+Observaciones!$F691-K692-L692-M692-O691</f>
        <v>27.238820417833864</v>
      </c>
      <c r="O692" s="76">
        <f>MAX(0,(N692-Constantes!$D$14)*(1-EXP(-Constantes!$D$22)))</f>
        <v>0.5446379195928055</v>
      </c>
      <c r="P692" s="170">
        <f>P691+(Entradas!$E$83*M692-Q691)/(800*Entradas!$D$25)</f>
        <v>0</v>
      </c>
      <c r="Q692" s="170">
        <f>8000*Entradas!$D$26*P692/Constantes!$E$45</f>
        <v>0</v>
      </c>
      <c r="R692" s="170">
        <f>IF(Escenarios!$E$14&gt;0,K692*Escenarios!$E$13/Escenarios!$E$14,0)</f>
        <v>0</v>
      </c>
      <c r="S692" s="170">
        <f>IF(Escenarios!$E$14&gt;0,Q692*Escenarios!$E$13/Escenarios!$E$14,0)</f>
        <v>0</v>
      </c>
      <c r="T692" s="170">
        <f>IF(Escenarios!$E$14&gt;0,Observaciones!$I691,0)</f>
        <v>0</v>
      </c>
      <c r="U692" s="170">
        <f>IF(Escenarios!$E$14&gt;0,MAX(0,Constantes!$E$36/((Z691+R692+S692+T692+Observaciones!$F691)^2)+Entradas!$E$77),0)</f>
        <v>0</v>
      </c>
      <c r="V692" s="146">
        <f>IF(ETo!D691&gt;0,ETo!I691*((1-Entradas!$E$81)*ETo!K691+ETo!L691),0)</f>
        <v>4.1551068167008767</v>
      </c>
      <c r="W692" s="170">
        <f>IF(Escenarios!$E$14&gt;0,MIN(V692*1,0.8*(Z691+R692+S692+T692+Observaciones!$F691-U692-Constantes!$E$35)),0)</f>
        <v>4.1551068167008767</v>
      </c>
      <c r="X692" s="170">
        <f>IF(Escenarios!$E$14&gt;0,Observaciones!$J691,0)</f>
        <v>0</v>
      </c>
      <c r="Y692" s="170">
        <f>IF(Escenarios!$E$14&gt;0,MAX(0,Z691+R692+S692+T692+Observaciones!$F691-U692-W692-X692-Constantes!$E$33),0)</f>
        <v>0</v>
      </c>
      <c r="Z692" s="170">
        <f>Z691+R692+S692+T692+Observaciones!$F691-U692-W692-Y692</f>
        <v>52.416243231653795</v>
      </c>
      <c r="AA692" s="170">
        <f>IF(Escenarios!$E$14&gt;0,(Escenarios!$E$13*L692+Escenarios!$E$14*W692)/(Escenarios!$E$16),L692)</f>
        <v>2.4697687604388565</v>
      </c>
      <c r="AB692" s="170">
        <f>IF(Escenarios!$E$14&gt;0,(Escenarios!$E$14*Y692)/(Escenarios!$E$16),K692)</f>
        <v>0</v>
      </c>
      <c r="AC692" s="170">
        <f>IF(Escenarios!$E$14&gt;0,(Escenarios!$E$13*M692+Escenarios!$E$14*U692)/(Escenarios!$E$16),M692)</f>
        <v>0</v>
      </c>
      <c r="AD692" s="76">
        <f t="shared" si="141"/>
        <v>63.206440740167501</v>
      </c>
      <c r="AE692" s="76">
        <f>MAX(0,(AD692-Constantes!$D$13)*(1-EXP(-Constantes!$D$23)))</f>
        <v>0.14244275386879154</v>
      </c>
      <c r="AF692" s="76">
        <f>AB692+O692*Escenarios!$E$13/Escenarios!$E$16+AE692</f>
        <v>0.62172412311046032</v>
      </c>
      <c r="AG692" s="76">
        <f>IF(Entradas!$E$91&gt;0,IF(AF692-Escenarios!$E$38&lt;=0,0,IF(AF692-Escenarios!$E$38&gt;Escenarios!$E$37,Escenarios!$E$37,AF692-Escenarios!$E$38)),0)</f>
        <v>0</v>
      </c>
      <c r="AH692" s="76">
        <f>AG692*Entradas!$E$99</f>
        <v>0</v>
      </c>
      <c r="AI692" s="76">
        <f>IF(Entradas!$E$91&gt;0,D692*Entradas!$D$23/Escenarios!$E$16,0)</f>
        <v>0</v>
      </c>
      <c r="AJ692" s="76">
        <f>IF(Entradas!$E$91&gt;0,Entradas!$D$24*Entradas!$D$22/Escenarios!$E$16,0)</f>
        <v>0</v>
      </c>
      <c r="AK692" s="76">
        <f t="shared" si="150"/>
        <v>2.4697687604388565</v>
      </c>
      <c r="AL692" s="76">
        <f t="shared" si="151"/>
        <v>0</v>
      </c>
      <c r="AM692" s="76">
        <f t="shared" si="142"/>
        <v>0</v>
      </c>
      <c r="AN692" s="76">
        <f>MAX(0,O692*Escenarios!$E$13/Escenarios!$E$16-AM692)</f>
        <v>0.47928136924166881</v>
      </c>
      <c r="AO692" s="76">
        <f>AM692+AN692-O692*Escenarios!$E$13/Escenarios!$E$16</f>
        <v>0</v>
      </c>
      <c r="AP692" s="76">
        <f t="shared" si="140"/>
        <v>0.14244275386879154</v>
      </c>
      <c r="AQ692" s="76">
        <f t="shared" si="143"/>
        <v>0</v>
      </c>
      <c r="AR692" s="76">
        <f t="shared" si="144"/>
        <v>0.62172412311046032</v>
      </c>
      <c r="AS692" s="76">
        <f t="shared" si="145"/>
        <v>0</v>
      </c>
      <c r="AT692" s="76">
        <f t="shared" si="146"/>
        <v>0</v>
      </c>
      <c r="AU692" s="76">
        <f t="shared" si="147"/>
        <v>48.75</v>
      </c>
      <c r="AV692" s="76">
        <f>MAX(0,(AU692-Constantes!$D$13)*(1-EXP(-Constantes!$D$24)))</f>
        <v>0</v>
      </c>
      <c r="AW692" s="170">
        <f>AW691+(Entradas!$E$112*AT692-AX691)/(800*Entradas!$D$25)</f>
        <v>0</v>
      </c>
      <c r="AX692" s="170">
        <f>8000*Entradas!$D$26*AW692/Constantes!$E$45</f>
        <v>0</v>
      </c>
      <c r="AY692" s="170">
        <f>IF(Escenarios!$E$17&gt;0,10*Escenarios!$E$16*AL692,0)</f>
        <v>0</v>
      </c>
      <c r="AZ692" s="170">
        <f>IF(Escenarios!$E$17&gt;0,10*Escenarios!$E$16*AX692,0)</f>
        <v>0</v>
      </c>
      <c r="BA692" s="170">
        <f>IF(Escenarios!$E$17&gt;0,0.001*Observaciones!$F691*Escenarios!$E$17,0)</f>
        <v>10</v>
      </c>
      <c r="BB692" s="170">
        <f>IF(Escenarios!$E$17&gt;0,Observaciones!$K691,0)</f>
        <v>0</v>
      </c>
      <c r="BC692" s="170">
        <f>IF(Escenarios!$E$17&gt;0,MIN(0.0005*ETo!$M691*Escenarios!$E$17*(BG691/Constantes!$E$40)^(2/3),BG691+AY692+AZ692+BA692+BB692),0)</f>
        <v>15.725683753828267</v>
      </c>
      <c r="BD692" s="170">
        <f>IF(Escenarios!$E$17&gt;0,MIN(Constantes!$E$39*(BG691/Constantes!$E$40)^(2/3),BG691+AY692+AZ692+BA692+BB692-BC692),0)</f>
        <v>24.396264506951752</v>
      </c>
      <c r="BE692" s="170">
        <f>IF(Escenarios!$E$17&gt;0,MIN(Entradas!$E$113,BG691+AY692+AZ692+BA692+BB692-BC692-BD692),0)</f>
        <v>1</v>
      </c>
      <c r="BF692" s="170">
        <f>IF(Escenarios!$E$17&gt;0,MAX(0,BG691+AY692+AZ692+BA692+BB692-BC692-BD692-BE692-Constantes!$E$40),0)</f>
        <v>0</v>
      </c>
      <c r="BG692" s="170">
        <f t="shared" si="152"/>
        <v>1091.5652241734952</v>
      </c>
      <c r="BH692" s="170">
        <f>(Escenarios!$E$16*AK692+0.1*BC692)/(Escenarios!$E$19)</f>
        <v>2.456407771766258</v>
      </c>
      <c r="BI692" s="170">
        <f>IF(Escenarios!$E$17&gt;0,BF692/10/Escenarios!$E$19,AL692)</f>
        <v>0</v>
      </c>
      <c r="BJ692" s="170">
        <f>(Escenarios!$E$16*AT692+0.1*BD692)/(Escenarios!$E$19)</f>
        <v>9.681057344028474E-3</v>
      </c>
      <c r="BK692" s="76">
        <f>BK691+(0.1*BD692)/(Escenarios!$E$19)-BL691</f>
        <v>49.574796121909934</v>
      </c>
      <c r="BL692" s="76">
        <f>MAX(0,(BK692-Constantes!$D$13)*(1-EXP(-Constantes!$D$23)))</f>
        <v>8.1269126403093611E-3</v>
      </c>
      <c r="BM692" s="76">
        <f t="shared" si="148"/>
        <v>0.15056966650910092</v>
      </c>
      <c r="BN692" s="76">
        <f t="shared" si="153"/>
        <v>0.62985103575076973</v>
      </c>
      <c r="BO692" s="76">
        <f>0.0526*BI692*Observaciones!$F691^1.218</f>
        <v>0</v>
      </c>
      <c r="BP692" s="76">
        <f>BO692*Constantes!$E$51</f>
        <v>0</v>
      </c>
      <c r="BQ692" s="76">
        <f t="shared" si="149"/>
        <v>0</v>
      </c>
      <c r="BR692" s="40"/>
    </row>
    <row r="693" spans="1:70">
      <c r="A693" s="147"/>
      <c r="B693" s="39"/>
      <c r="C693" s="75">
        <v>687</v>
      </c>
      <c r="D693" s="146">
        <f>ETo!$I692*((1-Constantes!$E$19)*ETo!$K692+ETo!$L692)</f>
        <v>4.5999615459816914</v>
      </c>
      <c r="E693" s="76">
        <f>MIN(D693*Constantes!$E$17,0.8*(N692+Observaciones!$F692-F693-M693-Constantes!$D$14))</f>
        <v>2.2489778393966371</v>
      </c>
      <c r="F693" s="76">
        <f>IF(Observaciones!$F692&gt;0.05*Constantes!$E$18,((Observaciones!$F692-0.05*Constantes!$E$18)^2)/(Observaciones!$F692+0.95*Constantes!$E$18),0)</f>
        <v>0</v>
      </c>
      <c r="G693" s="76">
        <f>IF(Escenarios!$E$11&gt;0,(F693*Escenarios!$E$16*10000)/1000,0)</f>
        <v>0</v>
      </c>
      <c r="H693" s="76">
        <f>IF(Escenarios!$E$11&gt;0,(Observaciones!$F692*Constantes!$E$29)/1000,0)</f>
        <v>6</v>
      </c>
      <c r="I693" s="76">
        <f>IF(Escenarios!$E$11&gt;0,(D693*Constantes!$E$29)/1000,0)</f>
        <v>45.999615459816916</v>
      </c>
      <c r="J693" s="76">
        <f>IF(Escenarios!$E$11&gt;0,MAX(0,G693+H693-I693),0)</f>
        <v>0</v>
      </c>
      <c r="K693" s="76">
        <f>IF(Escenarios!$E$11&gt;0,IF(J693&gt;Constantes!$E$30,1000*((J693-Constantes!$E$30)/(Escenarios!$E$16*10000)),0),F693)</f>
        <v>0</v>
      </c>
      <c r="L693" s="76">
        <f>IF(Escenarios!$E$11&gt;0,I693*1000/Escenarios!$E$16/10000+E693,E693)</f>
        <v>2.2673776855805641</v>
      </c>
      <c r="M693" s="76">
        <f>MAX(0,N692+Observaciones!$F692-K693-Constantes!$D$13)</f>
        <v>0</v>
      </c>
      <c r="N693" s="76">
        <f>N692+Observaciones!$F692-K693-L693-M693-O692</f>
        <v>25.026804812660497</v>
      </c>
      <c r="O693" s="76">
        <f>MAX(0,(N693-Constantes!$D$14)*(1-EXP(-Constantes!$D$22)))</f>
        <v>0.46928854760507133</v>
      </c>
      <c r="P693" s="170">
        <f>P692+(Entradas!$E$83*M693-Q692)/(800*Entradas!$D$25)</f>
        <v>0</v>
      </c>
      <c r="Q693" s="170">
        <f>8000*Entradas!$D$26*P693/Constantes!$E$45</f>
        <v>0</v>
      </c>
      <c r="R693" s="170">
        <f>IF(Escenarios!$E$14&gt;0,K693*Escenarios!$E$13/Escenarios!$E$14,0)</f>
        <v>0</v>
      </c>
      <c r="S693" s="170">
        <f>IF(Escenarios!$E$14&gt;0,Q693*Escenarios!$E$13/Escenarios!$E$14,0)</f>
        <v>0</v>
      </c>
      <c r="T693" s="170">
        <f>IF(Escenarios!$E$14&gt;0,Observaciones!$I692,0)</f>
        <v>0</v>
      </c>
      <c r="U693" s="170">
        <f>IF(Escenarios!$E$14&gt;0,MAX(0,Constantes!$E$36/((Z692+R693+S693+T693+Observaciones!$F692)^2)+Entradas!$E$77),0)</f>
        <v>0</v>
      </c>
      <c r="V693" s="146">
        <f>IF(ETo!D692&gt;0,ETo!I692*((1-Entradas!$E$81)*ETo!K692+ETo!L692),0)</f>
        <v>4.2068289229410212</v>
      </c>
      <c r="W693" s="170">
        <f>IF(Escenarios!$E$14&gt;0,MIN(V693*1,0.8*(Z692+R693+S693+T693+Observaciones!$F692-U693-Constantes!$E$35)),0)</f>
        <v>4.2068289229410212</v>
      </c>
      <c r="X693" s="170">
        <f>IF(Escenarios!$E$14&gt;0,Observaciones!$J692,0)</f>
        <v>0</v>
      </c>
      <c r="Y693" s="170">
        <f>IF(Escenarios!$E$14&gt;0,MAX(0,Z692+R693+S693+T693+Observaciones!$F692-U693-W693-X693-Constantes!$E$33),0)</f>
        <v>0</v>
      </c>
      <c r="Z693" s="170">
        <f>Z692+R693+S693+T693+Observaciones!$F692-U693-W693-Y693</f>
        <v>48.809414308712775</v>
      </c>
      <c r="AA693" s="170">
        <f>IF(Escenarios!$E$14&gt;0,(Escenarios!$E$13*L693+Escenarios!$E$14*W693)/(Escenarios!$E$16),L693)</f>
        <v>2.5001118340638189</v>
      </c>
      <c r="AB693" s="170">
        <f>IF(Escenarios!$E$14&gt;0,(Escenarios!$E$14*Y693)/(Escenarios!$E$16),K693)</f>
        <v>0</v>
      </c>
      <c r="AC693" s="170">
        <f>IF(Escenarios!$E$14&gt;0,(Escenarios!$E$13*M693+Escenarios!$E$14*U693)/(Escenarios!$E$16),M693)</f>
        <v>0</v>
      </c>
      <c r="AD693" s="76">
        <f t="shared" si="141"/>
        <v>63.063997986298709</v>
      </c>
      <c r="AE693" s="76">
        <f>MAX(0,(AD693-Constantes!$D$13)*(1-EXP(-Constantes!$D$23)))</f>
        <v>0.14103923148770162</v>
      </c>
      <c r="AF693" s="76">
        <f>AB693+O693*Escenarios!$E$13/Escenarios!$E$16+AE693</f>
        <v>0.55401315338016444</v>
      </c>
      <c r="AG693" s="76">
        <f>IF(Entradas!$E$91&gt;0,IF(AF693-Escenarios!$E$38&lt;=0,0,IF(AF693-Escenarios!$E$38&gt;Escenarios!$E$37,Escenarios!$E$37,AF693-Escenarios!$E$38)),0)</f>
        <v>0</v>
      </c>
      <c r="AH693" s="76">
        <f>AG693*Entradas!$E$99</f>
        <v>0</v>
      </c>
      <c r="AI693" s="76">
        <f>IF(Entradas!$E$91&gt;0,D693*Entradas!$D$23/Escenarios!$E$16,0)</f>
        <v>0</v>
      </c>
      <c r="AJ693" s="76">
        <f>IF(Entradas!$E$91&gt;0,Entradas!$D$24*Entradas!$D$22/Escenarios!$E$16,0)</f>
        <v>0</v>
      </c>
      <c r="AK693" s="76">
        <f t="shared" si="150"/>
        <v>2.5001118340638189</v>
      </c>
      <c r="AL693" s="76">
        <f t="shared" si="151"/>
        <v>0</v>
      </c>
      <c r="AM693" s="76">
        <f t="shared" si="142"/>
        <v>0</v>
      </c>
      <c r="AN693" s="76">
        <f>MAX(0,O693*Escenarios!$E$13/Escenarios!$E$16-AM693)</f>
        <v>0.41297392189246279</v>
      </c>
      <c r="AO693" s="76">
        <f>AM693+AN693-O693*Escenarios!$E$13/Escenarios!$E$16</f>
        <v>0</v>
      </c>
      <c r="AP693" s="76">
        <f t="shared" si="140"/>
        <v>0.14103923148770162</v>
      </c>
      <c r="AQ693" s="76">
        <f t="shared" si="143"/>
        <v>0</v>
      </c>
      <c r="AR693" s="76">
        <f t="shared" si="144"/>
        <v>0.55401315338016444</v>
      </c>
      <c r="AS693" s="76">
        <f t="shared" si="145"/>
        <v>0</v>
      </c>
      <c r="AT693" s="76">
        <f t="shared" si="146"/>
        <v>0</v>
      </c>
      <c r="AU693" s="76">
        <f t="shared" si="147"/>
        <v>48.75</v>
      </c>
      <c r="AV693" s="76">
        <f>MAX(0,(AU693-Constantes!$D$13)*(1-EXP(-Constantes!$D$24)))</f>
        <v>0</v>
      </c>
      <c r="AW693" s="170">
        <f>AW692+(Entradas!$E$112*AT693-AX692)/(800*Entradas!$D$25)</f>
        <v>0</v>
      </c>
      <c r="AX693" s="170">
        <f>8000*Entradas!$D$26*AW693/Constantes!$E$45</f>
        <v>0</v>
      </c>
      <c r="AY693" s="170">
        <f>IF(Escenarios!$E$17&gt;0,10*Escenarios!$E$16*AL693,0)</f>
        <v>0</v>
      </c>
      <c r="AZ693" s="170">
        <f>IF(Escenarios!$E$17&gt;0,10*Escenarios!$E$16*AX693,0)</f>
        <v>0</v>
      </c>
      <c r="BA693" s="170">
        <f>IF(Escenarios!$E$17&gt;0,0.001*Observaciones!$F692*Escenarios!$E$17,0)</f>
        <v>11.999999999999998</v>
      </c>
      <c r="BB693" s="170">
        <f>IF(Escenarios!$E$17&gt;0,Observaciones!$K692,0)</f>
        <v>0</v>
      </c>
      <c r="BC693" s="170">
        <f>IF(Escenarios!$E$17&gt;0,MIN(0.0005*ETo!$M692*Escenarios!$E$17*(BG692/Constantes!$E$40)^(2/3),BG692+AY693+AZ693+BA693+BB693),0)</f>
        <v>15.618713361012375</v>
      </c>
      <c r="BD693" s="170">
        <f>IF(Escenarios!$E$17&gt;0,MIN(Constantes!$E$39*(BG692/Constantes!$E$40)^(2/3),BG692+AY693+AZ693+BA693+BB693-BC693),0)</f>
        <v>23.943297062038965</v>
      </c>
      <c r="BE693" s="170">
        <f>IF(Escenarios!$E$17&gt;0,MIN(Entradas!$E$113,BG692+AY693+AZ693+BA693+BB693-BC693-BD693),0)</f>
        <v>1</v>
      </c>
      <c r="BF693" s="170">
        <f>IF(Escenarios!$E$17&gt;0,MAX(0,BG692+AY693+AZ693+BA693+BB693-BC693-BD693-BE693-Constantes!$E$40),0)</f>
        <v>0</v>
      </c>
      <c r="BG693" s="170">
        <f t="shared" si="152"/>
        <v>1063.0032137504438</v>
      </c>
      <c r="BH693" s="170">
        <f>(Escenarios!$E$16*AK693+0.1*BC693)/(Escenarios!$E$19)</f>
        <v>2.486467578778</v>
      </c>
      <c r="BI693" s="170">
        <f>IF(Escenarios!$E$17&gt;0,BF693/10/Escenarios!$E$19,AL693)</f>
        <v>0</v>
      </c>
      <c r="BJ693" s="170">
        <f>(Escenarios!$E$16*AT693+0.1*BD693)/(Escenarios!$E$19)</f>
        <v>9.5013083579519701E-3</v>
      </c>
      <c r="BK693" s="76">
        <f>BK692+(0.1*BD693)/(Escenarios!$E$19)-BL692</f>
        <v>49.576170517627581</v>
      </c>
      <c r="BL693" s="76">
        <f>MAX(0,(BK693-Constantes!$D$13)*(1-EXP(-Constantes!$D$23)))</f>
        <v>8.1404548886708956E-3</v>
      </c>
      <c r="BM693" s="76">
        <f t="shared" si="148"/>
        <v>0.14917968637637252</v>
      </c>
      <c r="BN693" s="76">
        <f t="shared" si="153"/>
        <v>0.56215360826883531</v>
      </c>
      <c r="BO693" s="76">
        <f>0.0526*BI693*Observaciones!$F692^1.218</f>
        <v>0</v>
      </c>
      <c r="BP693" s="76">
        <f>BO693*Constantes!$E$51</f>
        <v>0</v>
      </c>
      <c r="BQ693" s="76">
        <f t="shared" si="149"/>
        <v>0</v>
      </c>
      <c r="BR693" s="40"/>
    </row>
    <row r="694" spans="1:70">
      <c r="A694" s="147"/>
      <c r="B694" s="39"/>
      <c r="C694" s="75">
        <v>688</v>
      </c>
      <c r="D694" s="146">
        <f>ETo!$I693*((1-Constantes!$E$19)*ETo!$K693+ETo!$L693)</f>
        <v>4.3698027319526416</v>
      </c>
      <c r="E694" s="76">
        <f>MIN(D694*Constantes!$E$17,0.8*(N693+Observaciones!$F693-F694-M694-Constantes!$D$14))</f>
        <v>2.1364503612603656</v>
      </c>
      <c r="F694" s="76">
        <f>IF(Observaciones!$F693&gt;0.05*Constantes!$E$18,((Observaciones!$F693-0.05*Constantes!$E$18)^2)/(Observaciones!$F693+0.95*Constantes!$E$18),0)</f>
        <v>0</v>
      </c>
      <c r="G694" s="76">
        <f>IF(Escenarios!$E$11&gt;0,(F694*Escenarios!$E$16*10000)/1000,0)</f>
        <v>0</v>
      </c>
      <c r="H694" s="76">
        <f>IF(Escenarios!$E$11&gt;0,(Observaciones!$F693*Constantes!$E$29)/1000,0)</f>
        <v>37</v>
      </c>
      <c r="I694" s="76">
        <f>IF(Escenarios!$E$11&gt;0,(D694*Constantes!$E$29)/1000,0)</f>
        <v>43.698027319526418</v>
      </c>
      <c r="J694" s="76">
        <f>IF(Escenarios!$E$11&gt;0,MAX(0,G694+H694-I694),0)</f>
        <v>0</v>
      </c>
      <c r="K694" s="76">
        <f>IF(Escenarios!$E$11&gt;0,IF(J694&gt;Constantes!$E$30,1000*((J694-Constantes!$E$30)/(Escenarios!$E$16*10000)),0),F694)</f>
        <v>0</v>
      </c>
      <c r="L694" s="76">
        <f>IF(Escenarios!$E$11&gt;0,I694*1000/Escenarios!$E$16/10000+E694,E694)</f>
        <v>2.1539295721881762</v>
      </c>
      <c r="M694" s="76">
        <f>MAX(0,N693+Observaciones!$F693-K694-Constantes!$D$13)</f>
        <v>0</v>
      </c>
      <c r="N694" s="76">
        <f>N693+Observaciones!$F693-K694-L694-M694-O693</f>
        <v>26.10358669286725</v>
      </c>
      <c r="O694" s="76">
        <f>MAX(0,(N694-Constantes!$D$14)*(1-EXP(-Constantes!$D$22)))</f>
        <v>0.50596769139212039</v>
      </c>
      <c r="P694" s="170">
        <f>P693+(Entradas!$E$83*M694-Q693)/(800*Entradas!$D$25)</f>
        <v>0</v>
      </c>
      <c r="Q694" s="170">
        <f>8000*Entradas!$D$26*P694/Constantes!$E$45</f>
        <v>0</v>
      </c>
      <c r="R694" s="170">
        <f>IF(Escenarios!$E$14&gt;0,K694*Escenarios!$E$13/Escenarios!$E$14,0)</f>
        <v>0</v>
      </c>
      <c r="S694" s="170">
        <f>IF(Escenarios!$E$14&gt;0,Q694*Escenarios!$E$13/Escenarios!$E$14,0)</f>
        <v>0</v>
      </c>
      <c r="T694" s="170">
        <f>IF(Escenarios!$E$14&gt;0,Observaciones!$I693,0)</f>
        <v>0</v>
      </c>
      <c r="U694" s="170">
        <f>IF(Escenarios!$E$14&gt;0,MAX(0,Constantes!$E$36/((Z693+R694+S694+T694+Observaciones!$F693)^2)+Entradas!$E$77),0)</f>
        <v>0</v>
      </c>
      <c r="V694" s="146">
        <f>IF(ETo!D693&gt;0,ETo!I693*((1-Entradas!$E$81)*ETo!K693+ETo!L693),0)</f>
        <v>3.9934023806922312</v>
      </c>
      <c r="W694" s="170">
        <f>IF(Escenarios!$E$14&gt;0,MIN(V694*1,0.8*(Z693+R694+S694+T694+Observaciones!$F693-U694-Constantes!$E$35)),0)</f>
        <v>3.9934023806922312</v>
      </c>
      <c r="X694" s="170">
        <f>IF(Escenarios!$E$14&gt;0,Observaciones!$J693,0)</f>
        <v>0</v>
      </c>
      <c r="Y694" s="170">
        <f>IF(Escenarios!$E$14&gt;0,MAX(0,Z693+R694+S694+T694+Observaciones!$F693-U694-W694-X694-Constantes!$E$33),0)</f>
        <v>0</v>
      </c>
      <c r="Z694" s="170">
        <f>Z693+R694+S694+T694+Observaciones!$F693-U694-W694-Y694</f>
        <v>48.516011928020546</v>
      </c>
      <c r="AA694" s="170">
        <f>IF(Escenarios!$E$14&gt;0,(Escenarios!$E$13*L694+Escenarios!$E$14*W694)/(Escenarios!$E$16),L694)</f>
        <v>2.3746663092086626</v>
      </c>
      <c r="AB694" s="170">
        <f>IF(Escenarios!$E$14&gt;0,(Escenarios!$E$14*Y694)/(Escenarios!$E$16),K694)</f>
        <v>0</v>
      </c>
      <c r="AC694" s="170">
        <f>IF(Escenarios!$E$14&gt;0,(Escenarios!$E$13*M694+Escenarios!$E$14*U694)/(Escenarios!$E$16),M694)</f>
        <v>0</v>
      </c>
      <c r="AD694" s="76">
        <f t="shared" si="141"/>
        <v>62.922958754811006</v>
      </c>
      <c r="AE694" s="76">
        <f>MAX(0,(AD694-Constantes!$D$13)*(1-EXP(-Constantes!$D$23)))</f>
        <v>0.13964953834692556</v>
      </c>
      <c r="AF694" s="76">
        <f>AB694+O694*Escenarios!$E$13/Escenarios!$E$16+AE694</f>
        <v>0.58490110677199159</v>
      </c>
      <c r="AG694" s="76">
        <f>IF(Entradas!$E$91&gt;0,IF(AF694-Escenarios!$E$38&lt;=0,0,IF(AF694-Escenarios!$E$38&gt;Escenarios!$E$37,Escenarios!$E$37,AF694-Escenarios!$E$38)),0)</f>
        <v>0</v>
      </c>
      <c r="AH694" s="76">
        <f>AG694*Entradas!$E$99</f>
        <v>0</v>
      </c>
      <c r="AI694" s="76">
        <f>IF(Entradas!$E$91&gt;0,D694*Entradas!$D$23/Escenarios!$E$16,0)</f>
        <v>0</v>
      </c>
      <c r="AJ694" s="76">
        <f>IF(Entradas!$E$91&gt;0,Entradas!$D$24*Entradas!$D$22/Escenarios!$E$16,0)</f>
        <v>0</v>
      </c>
      <c r="AK694" s="76">
        <f t="shared" si="150"/>
        <v>2.3746663092086626</v>
      </c>
      <c r="AL694" s="76">
        <f t="shared" si="151"/>
        <v>0</v>
      </c>
      <c r="AM694" s="76">
        <f t="shared" si="142"/>
        <v>0</v>
      </c>
      <c r="AN694" s="76">
        <f>MAX(0,O694*Escenarios!$E$13/Escenarios!$E$16-AM694)</f>
        <v>0.44525156842506597</v>
      </c>
      <c r="AO694" s="76">
        <f>AM694+AN694-O694*Escenarios!$E$13/Escenarios!$E$16</f>
        <v>0</v>
      </c>
      <c r="AP694" s="76">
        <f t="shared" si="140"/>
        <v>0.13964953834692556</v>
      </c>
      <c r="AQ694" s="76">
        <f t="shared" si="143"/>
        <v>0</v>
      </c>
      <c r="AR694" s="76">
        <f t="shared" si="144"/>
        <v>0.58490110677199159</v>
      </c>
      <c r="AS694" s="76">
        <f t="shared" si="145"/>
        <v>0</v>
      </c>
      <c r="AT694" s="76">
        <f t="shared" si="146"/>
        <v>0</v>
      </c>
      <c r="AU694" s="76">
        <f t="shared" si="147"/>
        <v>48.75</v>
      </c>
      <c r="AV694" s="76">
        <f>MAX(0,(AU694-Constantes!$D$13)*(1-EXP(-Constantes!$D$24)))</f>
        <v>0</v>
      </c>
      <c r="AW694" s="170">
        <f>AW693+(Entradas!$E$112*AT694-AX693)/(800*Entradas!$D$25)</f>
        <v>0</v>
      </c>
      <c r="AX694" s="170">
        <f>8000*Entradas!$D$26*AW694/Constantes!$E$45</f>
        <v>0</v>
      </c>
      <c r="AY694" s="170">
        <f>IF(Escenarios!$E$17&gt;0,10*Escenarios!$E$16*AL694,0)</f>
        <v>0</v>
      </c>
      <c r="AZ694" s="170">
        <f>IF(Escenarios!$E$17&gt;0,10*Escenarios!$E$16*AX694,0)</f>
        <v>0</v>
      </c>
      <c r="BA694" s="170">
        <f>IF(Escenarios!$E$17&gt;0,0.001*Observaciones!$F693*Escenarios!$E$17,0)</f>
        <v>74</v>
      </c>
      <c r="BB694" s="170">
        <f>IF(Escenarios!$E$17&gt;0,Observaciones!$K693,0)</f>
        <v>0</v>
      </c>
      <c r="BC694" s="170">
        <f>IF(Escenarios!$E$17&gt;0,MIN(0.0005*ETo!$M693*Escenarios!$E$17*(BG693/Constantes!$E$40)^(2/3),BG693+AY694+AZ694+BA694+BB694),0)</f>
        <v>14.590862498412497</v>
      </c>
      <c r="BD694" s="170">
        <f>IF(Escenarios!$E$17&gt;0,MIN(Constantes!$E$39*(BG693/Constantes!$E$40)^(2/3),BG693+AY694+AZ694+BA694+BB694-BC694),0)</f>
        <v>23.523785538428214</v>
      </c>
      <c r="BE694" s="170">
        <f>IF(Escenarios!$E$17&gt;0,MIN(Entradas!$E$113,BG693+AY694+AZ694+BA694+BB694-BC694-BD694),0)</f>
        <v>1</v>
      </c>
      <c r="BF694" s="170">
        <f>IF(Escenarios!$E$17&gt;0,MAX(0,BG693+AY694+AZ694+BA694+BB694-BC694-BD694-BE694-Constantes!$E$40),0)</f>
        <v>0</v>
      </c>
      <c r="BG694" s="170">
        <f t="shared" si="152"/>
        <v>1097.8885657136032</v>
      </c>
      <c r="BH694" s="170">
        <f>(Escenarios!$E$16*AK694+0.1*BC694)/(Escenarios!$E$19)</f>
        <v>2.3616097760000274</v>
      </c>
      <c r="BI694" s="170">
        <f>IF(Escenarios!$E$17&gt;0,BF694/10/Escenarios!$E$19,AL694)</f>
        <v>0</v>
      </c>
      <c r="BJ694" s="170">
        <f>(Escenarios!$E$16*AT694+0.1*BD694)/(Escenarios!$E$19)</f>
        <v>9.334835531122309E-3</v>
      </c>
      <c r="BK694" s="76">
        <f>BK693+(0.1*BD694)/(Escenarios!$E$19)-BL693</f>
        <v>49.577364898270034</v>
      </c>
      <c r="BL694" s="76">
        <f>MAX(0,(BK694-Constantes!$D$13)*(1-EXP(-Constantes!$D$23)))</f>
        <v>8.1522234056202857E-3</v>
      </c>
      <c r="BM694" s="76">
        <f t="shared" si="148"/>
        <v>0.14780176175254583</v>
      </c>
      <c r="BN694" s="76">
        <f t="shared" si="153"/>
        <v>0.59305333017761186</v>
      </c>
      <c r="BO694" s="76">
        <f>0.0526*BI694*Observaciones!$F693^1.218</f>
        <v>0</v>
      </c>
      <c r="BP694" s="76">
        <f>BO694*Constantes!$E$51</f>
        <v>0</v>
      </c>
      <c r="BQ694" s="76">
        <f t="shared" si="149"/>
        <v>0</v>
      </c>
      <c r="BR694" s="40"/>
    </row>
    <row r="695" spans="1:70">
      <c r="A695" s="147"/>
      <c r="B695" s="39"/>
      <c r="C695" s="75">
        <v>689</v>
      </c>
      <c r="D695" s="146">
        <f>ETo!$I694*((1-Constantes!$E$19)*ETo!$K694+ETo!$L694)</f>
        <v>4.4025235632922399</v>
      </c>
      <c r="E695" s="76">
        <f>MIN(D695*Constantes!$E$17,0.8*(N694+Observaciones!$F694-F695-M695-Constantes!$D$14))</f>
        <v>2.1524479785955966</v>
      </c>
      <c r="F695" s="76">
        <f>IF(Observaciones!$F694&gt;0.05*Constantes!$E$18,((Observaciones!$F694-0.05*Constantes!$E$18)^2)/(Observaciones!$F694+0.95*Constantes!$E$18),0)</f>
        <v>0.46226204185953151</v>
      </c>
      <c r="G695" s="76">
        <f>IF(Escenarios!$E$11&gt;0,(F695*Escenarios!$E$16*10000)/1000,0)</f>
        <v>1155.6551046488287</v>
      </c>
      <c r="H695" s="76">
        <f>IF(Escenarios!$E$11&gt;0,(Observaciones!$F694*Constantes!$E$29)/1000,0)</f>
        <v>136</v>
      </c>
      <c r="I695" s="76">
        <f>IF(Escenarios!$E$11&gt;0,(D695*Constantes!$E$29)/1000,0)</f>
        <v>44.025235632922396</v>
      </c>
      <c r="J695" s="76">
        <f>IF(Escenarios!$E$11&gt;0,MAX(0,G695+H695-I695),0)</f>
        <v>1247.6298690159063</v>
      </c>
      <c r="K695" s="76">
        <f>IF(Escenarios!$E$11&gt;0,IF(J695&gt;Constantes!$E$30,1000*((J695-Constantes!$E$30)/(Escenarios!$E$16*10000)),0),F695)</f>
        <v>0</v>
      </c>
      <c r="L695" s="76">
        <f>IF(Escenarios!$E$11&gt;0,I695*1000/Escenarios!$E$16/10000+E695,E695)</f>
        <v>2.1700580728487657</v>
      </c>
      <c r="M695" s="76">
        <f>MAX(0,N694+Observaciones!$F694-K695-Constantes!$D$13)</f>
        <v>0</v>
      </c>
      <c r="N695" s="76">
        <f>N694+Observaciones!$F694-K695-L695-M695-O694</f>
        <v>37.027560928626357</v>
      </c>
      <c r="O695" s="76">
        <f>MAX(0,(N695-Constantes!$D$14)*(1-EXP(-Constantes!$D$22)))</f>
        <v>0.8780783565924799</v>
      </c>
      <c r="P695" s="170">
        <f>P694+(Entradas!$E$83*M695-Q694)/(800*Entradas!$D$25)</f>
        <v>0</v>
      </c>
      <c r="Q695" s="170">
        <f>8000*Entradas!$D$26*P695/Constantes!$E$45</f>
        <v>0</v>
      </c>
      <c r="R695" s="170">
        <f>IF(Escenarios!$E$14&gt;0,K695*Escenarios!$E$13/Escenarios!$E$14,0)</f>
        <v>0</v>
      </c>
      <c r="S695" s="170">
        <f>IF(Escenarios!$E$14&gt;0,Q695*Escenarios!$E$13/Escenarios!$E$14,0)</f>
        <v>0</v>
      </c>
      <c r="T695" s="170">
        <f>IF(Escenarios!$E$14&gt;0,Observaciones!$I694,0)</f>
        <v>0</v>
      </c>
      <c r="U695" s="170">
        <f>IF(Escenarios!$E$14&gt;0,MAX(0,Constantes!$E$36/((Z694+R695+S695+T695+Observaciones!$F694)^2)+Entradas!$E$77),0)</f>
        <v>0.33911651817367261</v>
      </c>
      <c r="V695" s="146">
        <f>IF(ETo!D694&gt;0,ETo!I694*((1-Entradas!$E$81)*ETo!K694+ETo!L694),0)</f>
        <v>4.0236834129968129</v>
      </c>
      <c r="W695" s="170">
        <f>IF(Escenarios!$E$14&gt;0,MIN(V695*1,0.8*(Z694+R695+S695+T695+Observaciones!$F694-U695-Constantes!$E$35)),0)</f>
        <v>4.0236834129968129</v>
      </c>
      <c r="X695" s="170">
        <f>IF(Escenarios!$E$14&gt;0,Observaciones!$J694,0)</f>
        <v>0</v>
      </c>
      <c r="Y695" s="170">
        <f>IF(Escenarios!$E$14&gt;0,MAX(0,Z694+R695+S695+T695+Observaciones!$F694-U695-W695-X695-Constantes!$E$33),0)</f>
        <v>0</v>
      </c>
      <c r="Z695" s="170">
        <f>Z694+R695+S695+T695+Observaciones!$F694-U695-W695-Y695</f>
        <v>57.753211996850062</v>
      </c>
      <c r="AA695" s="170">
        <f>IF(Escenarios!$E$14&gt;0,(Escenarios!$E$13*L695+Escenarios!$E$14*W695)/(Escenarios!$E$16),L695)</f>
        <v>2.3924931136665313</v>
      </c>
      <c r="AB695" s="170">
        <f>IF(Escenarios!$E$14&gt;0,(Escenarios!$E$14*Y695)/(Escenarios!$E$16),K695)</f>
        <v>0</v>
      </c>
      <c r="AC695" s="170">
        <f>IF(Escenarios!$E$14&gt;0,(Escenarios!$E$13*M695+Escenarios!$E$14*U695)/(Escenarios!$E$16),M695)</f>
        <v>4.0693982180840714E-2</v>
      </c>
      <c r="AD695" s="76">
        <f t="shared" si="141"/>
        <v>62.824003198644924</v>
      </c>
      <c r="AE695" s="76">
        <f>MAX(0,(AD695-Constantes!$D$13)*(1-EXP(-Constantes!$D$23)))</f>
        <v>0.13867450568264394</v>
      </c>
      <c r="AF695" s="76">
        <f>AB695+O695*Escenarios!$E$13/Escenarios!$E$16+AE695</f>
        <v>0.91138345948402633</v>
      </c>
      <c r="AG695" s="76">
        <f>IF(Entradas!$E$91&gt;0,IF(AF695-Escenarios!$E$38&lt;=0,0,IF(AF695-Escenarios!$E$38&gt;Escenarios!$E$37,Escenarios!$E$37,AF695-Escenarios!$E$38)),0)</f>
        <v>0</v>
      </c>
      <c r="AH695" s="76">
        <f>AG695*Entradas!$E$99</f>
        <v>0</v>
      </c>
      <c r="AI695" s="76">
        <f>IF(Entradas!$E$91&gt;0,D695*Entradas!$D$23/Escenarios!$E$16,0)</f>
        <v>0</v>
      </c>
      <c r="AJ695" s="76">
        <f>IF(Entradas!$E$91&gt;0,Entradas!$D$24*Entradas!$D$22/Escenarios!$E$16,0)</f>
        <v>0</v>
      </c>
      <c r="AK695" s="76">
        <f t="shared" si="150"/>
        <v>2.3924931136665313</v>
      </c>
      <c r="AL695" s="76">
        <f t="shared" si="151"/>
        <v>0</v>
      </c>
      <c r="AM695" s="76">
        <f t="shared" si="142"/>
        <v>0</v>
      </c>
      <c r="AN695" s="76">
        <f>MAX(0,O695*Escenarios!$E$13/Escenarios!$E$16-AM695)</f>
        <v>0.77270895380138238</v>
      </c>
      <c r="AO695" s="76">
        <f>AM695+AN695-O695*Escenarios!$E$13/Escenarios!$E$16</f>
        <v>0</v>
      </c>
      <c r="AP695" s="76">
        <f t="shared" si="140"/>
        <v>0.13867450568264394</v>
      </c>
      <c r="AQ695" s="76">
        <f t="shared" si="143"/>
        <v>0</v>
      </c>
      <c r="AR695" s="76">
        <f t="shared" si="144"/>
        <v>0.91138345948402633</v>
      </c>
      <c r="AS695" s="76">
        <f t="shared" si="145"/>
        <v>0</v>
      </c>
      <c r="AT695" s="76">
        <f t="shared" si="146"/>
        <v>4.0693982180840714E-2</v>
      </c>
      <c r="AU695" s="76">
        <f t="shared" si="147"/>
        <v>48.75</v>
      </c>
      <c r="AV695" s="76">
        <f>MAX(0,(AU695-Constantes!$D$13)*(1-EXP(-Constantes!$D$24)))</f>
        <v>0</v>
      </c>
      <c r="AW695" s="170">
        <f>AW694+(Entradas!$E$112*AT695-AX694)/(800*Entradas!$D$25)</f>
        <v>0</v>
      </c>
      <c r="AX695" s="170">
        <f>8000*Entradas!$D$26*AW695/Constantes!$E$45</f>
        <v>0</v>
      </c>
      <c r="AY695" s="170">
        <f>IF(Escenarios!$E$17&gt;0,10*Escenarios!$E$16*AL695,0)</f>
        <v>0</v>
      </c>
      <c r="AZ695" s="170">
        <f>IF(Escenarios!$E$17&gt;0,10*Escenarios!$E$16*AX695,0)</f>
        <v>0</v>
      </c>
      <c r="BA695" s="170">
        <f>IF(Escenarios!$E$17&gt;0,0.001*Observaciones!$F694*Escenarios!$E$17,0)</f>
        <v>272</v>
      </c>
      <c r="BB695" s="170">
        <f>IF(Escenarios!$E$17&gt;0,Observaciones!$K694,0)</f>
        <v>0</v>
      </c>
      <c r="BC695" s="170">
        <f>IF(Escenarios!$E$17&gt;0,MIN(0.0005*ETo!$M694*Escenarios!$E$17*(BG694/Constantes!$E$40)^(2/3),BG694+AY695+AZ695+BA695+BB695),0)</f>
        <v>15.018210247199571</v>
      </c>
      <c r="BD695" s="170">
        <f>IF(Escenarios!$E$17&gt;0,MIN(Constantes!$E$39*(BG694/Constantes!$E$40)^(2/3),BG694+AY695+AZ695+BA695+BB695-BC695),0)</f>
        <v>24.035675627288498</v>
      </c>
      <c r="BE695" s="170">
        <f>IF(Escenarios!$E$17&gt;0,MIN(Entradas!$E$113,BG694+AY695+AZ695+BA695+BB695-BC695-BD695),0)</f>
        <v>1</v>
      </c>
      <c r="BF695" s="170">
        <f>IF(Escenarios!$E$17&gt;0,MAX(0,BG694+AY695+AZ695+BA695+BB695-BC695-BD695-BE695-Constantes!$E$40),0)</f>
        <v>0</v>
      </c>
      <c r="BG695" s="170">
        <f t="shared" si="152"/>
        <v>1329.8346798391151</v>
      </c>
      <c r="BH695" s="170">
        <f>(Escenarios!$E$16*AK695+0.1*BC695)/(Escenarios!$E$19)</f>
        <v>2.3794646803228283</v>
      </c>
      <c r="BI695" s="170">
        <f>IF(Escenarios!$E$17&gt;0,BF695/10/Escenarios!$E$19,AL695)</f>
        <v>0</v>
      </c>
      <c r="BJ695" s="170">
        <f>(Escenarios!$E$16*AT695+0.1*BD695)/(Escenarios!$E$19)</f>
        <v>4.9908980587059643E-2</v>
      </c>
      <c r="BK695" s="76">
        <f>BK694+(0.1*BD695)/(Escenarios!$E$19)-BL694</f>
        <v>49.578750641383174</v>
      </c>
      <c r="BL695" s="76">
        <f>MAX(0,(BK695-Constantes!$D$13)*(1-EXP(-Constantes!$D$23)))</f>
        <v>8.1658774625723487E-3</v>
      </c>
      <c r="BM695" s="76">
        <f t="shared" si="148"/>
        <v>0.1468403831452163</v>
      </c>
      <c r="BN695" s="76">
        <f t="shared" si="153"/>
        <v>0.91954933694659868</v>
      </c>
      <c r="BO695" s="76">
        <f>0.0526*BI695*Observaciones!$F694^1.218</f>
        <v>0</v>
      </c>
      <c r="BP695" s="76">
        <f>BO695*Constantes!$E$51</f>
        <v>0</v>
      </c>
      <c r="BQ695" s="76">
        <f t="shared" si="149"/>
        <v>0</v>
      </c>
      <c r="BR695" s="40"/>
    </row>
    <row r="696" spans="1:70">
      <c r="A696" s="147"/>
      <c r="B696" s="39"/>
      <c r="C696" s="75">
        <v>690</v>
      </c>
      <c r="D696" s="146">
        <f>ETo!$I695*((1-Constantes!$E$19)*ETo!$K695+ETo!$L695)</f>
        <v>4.5122630107501012</v>
      </c>
      <c r="E696" s="76">
        <f>MIN(D696*Constantes!$E$17,0.8*(N695+Observaciones!$F695-F696-M696-Constantes!$D$14))</f>
        <v>2.2061009456852791</v>
      </c>
      <c r="F696" s="76">
        <f>IF(Observaciones!$F695&gt;0.05*Constantes!$E$18,((Observaciones!$F695-0.05*Constantes!$E$18)^2)/(Observaciones!$F695+0.95*Constantes!$E$18),0)</f>
        <v>7.5402347932643698E-3</v>
      </c>
      <c r="G696" s="76">
        <f>IF(Escenarios!$E$11&gt;0,(F696*Escenarios!$E$16*10000)/1000,0)</f>
        <v>18.850586983160923</v>
      </c>
      <c r="H696" s="76">
        <f>IF(Escenarios!$E$11&gt;0,(Observaciones!$F695*Constantes!$E$29)/1000,0)</f>
        <v>69</v>
      </c>
      <c r="I696" s="76">
        <f>IF(Escenarios!$E$11&gt;0,(D696*Constantes!$E$29)/1000,0)</f>
        <v>45.12263010750101</v>
      </c>
      <c r="J696" s="76">
        <f>IF(Escenarios!$E$11&gt;0,MAX(0,G696+H696-I696),0)</f>
        <v>42.727956875659913</v>
      </c>
      <c r="K696" s="76">
        <f>IF(Escenarios!$E$11&gt;0,IF(J696&gt;Constantes!$E$30,1000*((J696-Constantes!$E$30)/(Escenarios!$E$16*10000)),0),F696)</f>
        <v>0</v>
      </c>
      <c r="L696" s="76">
        <f>IF(Escenarios!$E$11&gt;0,I696*1000/Escenarios!$E$16/10000+E696,E696)</f>
        <v>2.2241499977282797</v>
      </c>
      <c r="M696" s="76">
        <f>MAX(0,N695+Observaciones!$F695-K696-Constantes!$D$13)</f>
        <v>0</v>
      </c>
      <c r="N696" s="76">
        <f>N695+Observaciones!$F695-K696-L696-M696-O695</f>
        <v>40.825332574305591</v>
      </c>
      <c r="O696" s="76">
        <f>MAX(0,(N696-Constantes!$D$14)*(1-EXP(-Constantes!$D$22)))</f>
        <v>1.0074444007494452</v>
      </c>
      <c r="P696" s="170">
        <f>P695+(Entradas!$E$83*M696-Q695)/(800*Entradas!$D$25)</f>
        <v>0</v>
      </c>
      <c r="Q696" s="170">
        <f>8000*Entradas!$D$26*P696/Constantes!$E$45</f>
        <v>0</v>
      </c>
      <c r="R696" s="170">
        <f>IF(Escenarios!$E$14&gt;0,K696*Escenarios!$E$13/Escenarios!$E$14,0)</f>
        <v>0</v>
      </c>
      <c r="S696" s="170">
        <f>IF(Escenarios!$E$14&gt;0,Q696*Escenarios!$E$13/Escenarios!$E$14,0)</f>
        <v>0</v>
      </c>
      <c r="T696" s="170">
        <f>IF(Escenarios!$E$14&gt;0,Observaciones!$I695,0)</f>
        <v>0</v>
      </c>
      <c r="U696" s="170">
        <f>IF(Escenarios!$E$14&gt;0,MAX(0,Constantes!$E$36/((Z695+R696+S696+T696+Observaciones!$F695)^2)+Entradas!$E$77),0)</f>
        <v>0.54386193656685089</v>
      </c>
      <c r="V696" s="146">
        <f>IF(ETo!D695&gt;0,ETo!I695*((1-Entradas!$E$81)*ETo!K695+ETo!L695),0)</f>
        <v>4.1253842606464994</v>
      </c>
      <c r="W696" s="170">
        <f>IF(Escenarios!$E$14&gt;0,MIN(V696*1,0.8*(Z695+R696+S696+T696+Observaciones!$F695-U696-Constantes!$E$35)),0)</f>
        <v>4.1253842606464994</v>
      </c>
      <c r="X696" s="170">
        <f>IF(Escenarios!$E$14&gt;0,Observaciones!$J695,0)</f>
        <v>0</v>
      </c>
      <c r="Y696" s="170">
        <f>IF(Escenarios!$E$14&gt;0,MAX(0,Z695+R696+S696+T696+Observaciones!$F695-U696-W696-X696-Constantes!$E$33),0)</f>
        <v>0</v>
      </c>
      <c r="Z696" s="170">
        <f>Z695+R696+S696+T696+Observaciones!$F695-U696-W696-Y696</f>
        <v>59.983965799636707</v>
      </c>
      <c r="AA696" s="170">
        <f>IF(Escenarios!$E$14&gt;0,(Escenarios!$E$13*L696+Escenarios!$E$14*W696)/(Escenarios!$E$16),L696)</f>
        <v>2.4522981092784657</v>
      </c>
      <c r="AB696" s="170">
        <f>IF(Escenarios!$E$14&gt;0,(Escenarios!$E$14*Y696)/(Escenarios!$E$16),K696)</f>
        <v>0</v>
      </c>
      <c r="AC696" s="170">
        <f>IF(Escenarios!$E$14&gt;0,(Escenarios!$E$13*M696+Escenarios!$E$14*U696)/(Escenarios!$E$16),M696)</f>
        <v>6.5263432388022111E-2</v>
      </c>
      <c r="AD696" s="76">
        <f t="shared" si="141"/>
        <v>62.750592125350302</v>
      </c>
      <c r="AE696" s="76">
        <f>MAX(0,(AD696-Constantes!$D$13)*(1-EXP(-Constantes!$D$23)))</f>
        <v>0.13795116889231665</v>
      </c>
      <c r="AF696" s="76">
        <f>AB696+O696*Escenarios!$E$13/Escenarios!$E$16+AE696</f>
        <v>1.0245022415518283</v>
      </c>
      <c r="AG696" s="76">
        <f>IF(Entradas!$E$91&gt;0,IF(AF696-Escenarios!$E$38&lt;=0,0,IF(AF696-Escenarios!$E$38&gt;Escenarios!$E$37,Escenarios!$E$37,AF696-Escenarios!$E$38)),0)</f>
        <v>0</v>
      </c>
      <c r="AH696" s="76">
        <f>AG696*Entradas!$E$99</f>
        <v>0</v>
      </c>
      <c r="AI696" s="76">
        <f>IF(Entradas!$E$91&gt;0,D696*Entradas!$D$23/Escenarios!$E$16,0)</f>
        <v>0</v>
      </c>
      <c r="AJ696" s="76">
        <f>IF(Entradas!$E$91&gt;0,Entradas!$D$24*Entradas!$D$22/Escenarios!$E$16,0)</f>
        <v>0</v>
      </c>
      <c r="AK696" s="76">
        <f t="shared" si="150"/>
        <v>2.4522981092784657</v>
      </c>
      <c r="AL696" s="76">
        <f t="shared" si="151"/>
        <v>0</v>
      </c>
      <c r="AM696" s="76">
        <f t="shared" si="142"/>
        <v>0</v>
      </c>
      <c r="AN696" s="76">
        <f>MAX(0,O696*Escenarios!$E$13/Escenarios!$E$16-AM696)</f>
        <v>0.88655107265951172</v>
      </c>
      <c r="AO696" s="76">
        <f>AM696+AN696-O696*Escenarios!$E$13/Escenarios!$E$16</f>
        <v>0</v>
      </c>
      <c r="AP696" s="76">
        <f t="shared" si="140"/>
        <v>0.13795116889231665</v>
      </c>
      <c r="AQ696" s="76">
        <f t="shared" si="143"/>
        <v>0</v>
      </c>
      <c r="AR696" s="76">
        <f t="shared" si="144"/>
        <v>1.0245022415518283</v>
      </c>
      <c r="AS696" s="76">
        <f t="shared" si="145"/>
        <v>0</v>
      </c>
      <c r="AT696" s="76">
        <f t="shared" si="146"/>
        <v>6.5263432388022111E-2</v>
      </c>
      <c r="AU696" s="76">
        <f t="shared" si="147"/>
        <v>48.75</v>
      </c>
      <c r="AV696" s="76">
        <f>MAX(0,(AU696-Constantes!$D$13)*(1-EXP(-Constantes!$D$24)))</f>
        <v>0</v>
      </c>
      <c r="AW696" s="170">
        <f>AW695+(Entradas!$E$112*AT696-AX695)/(800*Entradas!$D$25)</f>
        <v>0</v>
      </c>
      <c r="AX696" s="170">
        <f>8000*Entradas!$D$26*AW696/Constantes!$E$45</f>
        <v>0</v>
      </c>
      <c r="AY696" s="170">
        <f>IF(Escenarios!$E$17&gt;0,10*Escenarios!$E$16*AL696,0)</f>
        <v>0</v>
      </c>
      <c r="AZ696" s="170">
        <f>IF(Escenarios!$E$17&gt;0,10*Escenarios!$E$16*AX696,0)</f>
        <v>0</v>
      </c>
      <c r="BA696" s="170">
        <f>IF(Escenarios!$E$17&gt;0,0.001*Observaciones!$F695*Escenarios!$E$17,0)</f>
        <v>138.00000000000003</v>
      </c>
      <c r="BB696" s="170">
        <f>IF(Escenarios!$E$17&gt;0,Observaciones!$K695,0)</f>
        <v>0</v>
      </c>
      <c r="BC696" s="170">
        <f>IF(Escenarios!$E$17&gt;0,MIN(0.0005*ETo!$M695*Escenarios!$E$17*(BG695/Constantes!$E$40)^(2/3),BG695+AY696+AZ696+BA696+BB696),0)</f>
        <v>17.483019210989632</v>
      </c>
      <c r="BD696" s="170">
        <f>IF(Escenarios!$E$17&gt;0,MIN(Constantes!$E$39*(BG695/Constantes!$E$40)^(2/3),BG695+AY696+AZ696+BA696+BB696-BC696),0)</f>
        <v>27.311733284721559</v>
      </c>
      <c r="BE696" s="170">
        <f>IF(Escenarios!$E$17&gt;0,MIN(Entradas!$E$113,BG695+AY696+AZ696+BA696+BB696-BC696-BD696),0)</f>
        <v>1</v>
      </c>
      <c r="BF696" s="170">
        <f>IF(Escenarios!$E$17&gt;0,MAX(0,BG695+AY696+AZ696+BA696+BB696-BC696-BD696-BE696-Constantes!$E$40),0)</f>
        <v>0</v>
      </c>
      <c r="BG696" s="170">
        <f t="shared" si="152"/>
        <v>1422.0399273434039</v>
      </c>
      <c r="BH696" s="170">
        <f>(Escenarios!$E$16*AK696+0.1*BC696)/(Escenarios!$E$19)</f>
        <v>2.4397731319076006</v>
      </c>
      <c r="BI696" s="170">
        <f>IF(Escenarios!$E$17&gt;0,BF696/10/Escenarios!$E$19,AL696)</f>
        <v>0</v>
      </c>
      <c r="BJ696" s="170">
        <f>(Escenarios!$E$16*AT696+0.1*BD696)/(Escenarios!$E$19)</f>
        <v>7.5583458037609852E-2</v>
      </c>
      <c r="BK696" s="76">
        <f>BK695+(0.1*BD696)/(Escenarios!$E$19)-BL695</f>
        <v>49.581422753319302</v>
      </c>
      <c r="BL696" s="76">
        <f>MAX(0,(BK696-Constantes!$D$13)*(1-EXP(-Constantes!$D$23)))</f>
        <v>8.1922064179264995E-3</v>
      </c>
      <c r="BM696" s="76">
        <f t="shared" si="148"/>
        <v>0.14614337531024316</v>
      </c>
      <c r="BN696" s="76">
        <f t="shared" si="153"/>
        <v>1.0326944479697548</v>
      </c>
      <c r="BO696" s="76">
        <f>0.0526*BI696*Observaciones!$F695^1.218</f>
        <v>0</v>
      </c>
      <c r="BP696" s="76">
        <f>BO696*Constantes!$E$51</f>
        <v>0</v>
      </c>
      <c r="BQ696" s="76">
        <f t="shared" si="149"/>
        <v>0</v>
      </c>
      <c r="BR696" s="40"/>
    </row>
    <row r="697" spans="1:70">
      <c r="A697" s="147"/>
      <c r="B697" s="39"/>
      <c r="C697" s="75">
        <v>691</v>
      </c>
      <c r="D697" s="146">
        <f>ETo!$I696*((1-Constantes!$E$19)*ETo!$K696+ETo!$L696)</f>
        <v>4.5357571913388233</v>
      </c>
      <c r="E697" s="76">
        <f>MIN(D697*Constantes!$E$17,0.8*(N696+Observaciones!$F696-F697-M697-Constantes!$D$14))</f>
        <v>2.2175875398601752</v>
      </c>
      <c r="F697" s="76">
        <f>IF(Observaciones!$F696&gt;0.05*Constantes!$E$18,((Observaciones!$F696-0.05*Constantes!$E$18)^2)/(Observaciones!$F696+0.95*Constantes!$E$18),0)</f>
        <v>0</v>
      </c>
      <c r="G697" s="76">
        <f>IF(Escenarios!$E$11&gt;0,(F697*Escenarios!$E$16*10000)/1000,0)</f>
        <v>0</v>
      </c>
      <c r="H697" s="76">
        <f>IF(Escenarios!$E$11&gt;0,(Observaciones!$F696*Constantes!$E$29)/1000,0)</f>
        <v>0</v>
      </c>
      <c r="I697" s="76">
        <f>IF(Escenarios!$E$11&gt;0,(D697*Constantes!$E$29)/1000,0)</f>
        <v>45.357571913388227</v>
      </c>
      <c r="J697" s="76">
        <f>IF(Escenarios!$E$11&gt;0,MAX(0,G697+H697-I697),0)</f>
        <v>0</v>
      </c>
      <c r="K697" s="76">
        <f>IF(Escenarios!$E$11&gt;0,IF(J697&gt;Constantes!$E$30,1000*((J697-Constantes!$E$30)/(Escenarios!$E$16*10000)),0),F697)</f>
        <v>0</v>
      </c>
      <c r="L697" s="76">
        <f>IF(Escenarios!$E$11&gt;0,I697*1000/Escenarios!$E$16/10000+E697,E697)</f>
        <v>2.2357305686255304</v>
      </c>
      <c r="M697" s="76">
        <f>MAX(0,N696+Observaciones!$F696-K697-Constantes!$D$13)</f>
        <v>0</v>
      </c>
      <c r="N697" s="76">
        <f>N696+Observaciones!$F696-K697-L697-M697-O696</f>
        <v>37.582157604930622</v>
      </c>
      <c r="O697" s="76">
        <f>MAX(0,(N697-Constantes!$D$14)*(1-EXP(-Constantes!$D$22)))</f>
        <v>0.89696995535348223</v>
      </c>
      <c r="P697" s="170">
        <f>P696+(Entradas!$E$83*M697-Q696)/(800*Entradas!$D$25)</f>
        <v>0</v>
      </c>
      <c r="Q697" s="170">
        <f>8000*Entradas!$D$26*P697/Constantes!$E$45</f>
        <v>0</v>
      </c>
      <c r="R697" s="170">
        <f>IF(Escenarios!$E$14&gt;0,K697*Escenarios!$E$13/Escenarios!$E$14,0)</f>
        <v>0</v>
      </c>
      <c r="S697" s="170">
        <f>IF(Escenarios!$E$14&gt;0,Q697*Escenarios!$E$13/Escenarios!$E$14,0)</f>
        <v>0</v>
      </c>
      <c r="T697" s="170">
        <f>IF(Escenarios!$E$14&gt;0,Observaciones!$I696,0)</f>
        <v>0</v>
      </c>
      <c r="U697" s="170">
        <f>IF(Escenarios!$E$14&gt;0,MAX(0,Constantes!$E$36/((Z696+R697+S697+T697+Observaciones!$F696)^2)+Entradas!$E$77),0)</f>
        <v>0.14660013760646429</v>
      </c>
      <c r="V697" s="146">
        <f>IF(ETo!D696&gt;0,ETo!I696*((1-Entradas!$E$81)*ETo!K696+ETo!L696),0)</f>
        <v>4.1471972752803348</v>
      </c>
      <c r="W697" s="170">
        <f>IF(Escenarios!$E$14&gt;0,MIN(V697*1,0.8*(Z696+R697+S697+T697+Observaciones!$F696-U697-Constantes!$E$35)),0)</f>
        <v>4.1471972752803348</v>
      </c>
      <c r="X697" s="170">
        <f>IF(Escenarios!$E$14&gt;0,Observaciones!$J696,0)</f>
        <v>0</v>
      </c>
      <c r="Y697" s="170">
        <f>IF(Escenarios!$E$14&gt;0,MAX(0,Z696+R697+S697+T697+Observaciones!$F696-U697-W697-X697-Constantes!$E$33),0)</f>
        <v>0</v>
      </c>
      <c r="Z697" s="170">
        <f>Z696+R697+S697+T697+Observaciones!$F696-U697-W697-Y697</f>
        <v>55.69016838674991</v>
      </c>
      <c r="AA697" s="170">
        <f>IF(Escenarios!$E$14&gt;0,(Escenarios!$E$13*L697+Escenarios!$E$14*W697)/(Escenarios!$E$16),L697)</f>
        <v>2.4651065734241069</v>
      </c>
      <c r="AB697" s="170">
        <f>IF(Escenarios!$E$14&gt;0,(Escenarios!$E$14*Y697)/(Escenarios!$E$16),K697)</f>
        <v>0</v>
      </c>
      <c r="AC697" s="170">
        <f>IF(Escenarios!$E$14&gt;0,(Escenarios!$E$13*M697+Escenarios!$E$14*U697)/(Escenarios!$E$16),M697)</f>
        <v>1.7592016512775713E-2</v>
      </c>
      <c r="AD697" s="76">
        <f t="shared" si="141"/>
        <v>62.630232972970767</v>
      </c>
      <c r="AE697" s="76">
        <f>MAX(0,(AD697-Constantes!$D$13)*(1-EXP(-Constantes!$D$23)))</f>
        <v>0.13676524149660446</v>
      </c>
      <c r="AF697" s="76">
        <f>AB697+O697*Escenarios!$E$13/Escenarios!$E$16+AE697</f>
        <v>0.92609880220766883</v>
      </c>
      <c r="AG697" s="76">
        <f>IF(Entradas!$E$91&gt;0,IF(AF697-Escenarios!$E$38&lt;=0,0,IF(AF697-Escenarios!$E$38&gt;Escenarios!$E$37,Escenarios!$E$37,AF697-Escenarios!$E$38)),0)</f>
        <v>0</v>
      </c>
      <c r="AH697" s="76">
        <f>AG697*Entradas!$E$99</f>
        <v>0</v>
      </c>
      <c r="AI697" s="76">
        <f>IF(Entradas!$E$91&gt;0,D697*Entradas!$D$23/Escenarios!$E$16,0)</f>
        <v>0</v>
      </c>
      <c r="AJ697" s="76">
        <f>IF(Entradas!$E$91&gt;0,Entradas!$D$24*Entradas!$D$22/Escenarios!$E$16,0)</f>
        <v>0</v>
      </c>
      <c r="AK697" s="76">
        <f t="shared" si="150"/>
        <v>2.4651065734241069</v>
      </c>
      <c r="AL697" s="76">
        <f t="shared" si="151"/>
        <v>0</v>
      </c>
      <c r="AM697" s="76">
        <f t="shared" si="142"/>
        <v>0</v>
      </c>
      <c r="AN697" s="76">
        <f>MAX(0,O697*Escenarios!$E$13/Escenarios!$E$16-AM697)</f>
        <v>0.78933356071106442</v>
      </c>
      <c r="AO697" s="76">
        <f>AM697+AN697-O697*Escenarios!$E$13/Escenarios!$E$16</f>
        <v>0</v>
      </c>
      <c r="AP697" s="76">
        <f t="shared" si="140"/>
        <v>0.13676524149660446</v>
      </c>
      <c r="AQ697" s="76">
        <f t="shared" si="143"/>
        <v>0</v>
      </c>
      <c r="AR697" s="76">
        <f t="shared" si="144"/>
        <v>0.92609880220766883</v>
      </c>
      <c r="AS697" s="76">
        <f t="shared" si="145"/>
        <v>0</v>
      </c>
      <c r="AT697" s="76">
        <f t="shared" si="146"/>
        <v>1.7592016512775713E-2</v>
      </c>
      <c r="AU697" s="76">
        <f t="shared" si="147"/>
        <v>48.75</v>
      </c>
      <c r="AV697" s="76">
        <f>MAX(0,(AU697-Constantes!$D$13)*(1-EXP(-Constantes!$D$24)))</f>
        <v>0</v>
      </c>
      <c r="AW697" s="170">
        <f>AW696+(Entradas!$E$112*AT697-AX696)/(800*Entradas!$D$25)</f>
        <v>0</v>
      </c>
      <c r="AX697" s="170">
        <f>8000*Entradas!$D$26*AW697/Constantes!$E$45</f>
        <v>0</v>
      </c>
      <c r="AY697" s="170">
        <f>IF(Escenarios!$E$17&gt;0,10*Escenarios!$E$16*AL697,0)</f>
        <v>0</v>
      </c>
      <c r="AZ697" s="170">
        <f>IF(Escenarios!$E$17&gt;0,10*Escenarios!$E$16*AX697,0)</f>
        <v>0</v>
      </c>
      <c r="BA697" s="170">
        <f>IF(Escenarios!$E$17&gt;0,0.001*Observaciones!$F696*Escenarios!$E$17,0)</f>
        <v>0</v>
      </c>
      <c r="BB697" s="170">
        <f>IF(Escenarios!$E$17&gt;0,Observaciones!$K696,0)</f>
        <v>0</v>
      </c>
      <c r="BC697" s="170">
        <f>IF(Escenarios!$E$17&gt;0,MIN(0.0005*ETo!$M696*Escenarios!$E$17*(BG696/Constantes!$E$40)^(2/3),BG696+AY697+AZ697+BA697+BB697),0)</f>
        <v>18.375408961996964</v>
      </c>
      <c r="BD697" s="170">
        <f>IF(Escenarios!$E$17&gt;0,MIN(Constantes!$E$39*(BG696/Constantes!$E$40)^(2/3),BG696+AY697+AZ697+BA697+BB697-BC697),0)</f>
        <v>28.560031800726463</v>
      </c>
      <c r="BE697" s="170">
        <f>IF(Escenarios!$E$17&gt;0,MIN(Entradas!$E$113,BG696+AY697+AZ697+BA697+BB697-BC697-BD697),0)</f>
        <v>1</v>
      </c>
      <c r="BF697" s="170">
        <f>IF(Escenarios!$E$17&gt;0,MAX(0,BG696+AY697+AZ697+BA697+BB697-BC697-BD697-BE697-Constantes!$E$40),0)</f>
        <v>0</v>
      </c>
      <c r="BG697" s="170">
        <f t="shared" si="152"/>
        <v>1374.1044865806805</v>
      </c>
      <c r="BH697" s="170">
        <f>(Escenarios!$E$16*AK697+0.1*BC697)/(Escenarios!$E$19)</f>
        <v>2.4528340644929623</v>
      </c>
      <c r="BI697" s="170">
        <f>IF(Escenarios!$E$17&gt;0,BF697/10/Escenarios!$E$19,AL697)</f>
        <v>0</v>
      </c>
      <c r="BJ697" s="170">
        <f>(Escenarios!$E$16*AT697+0.1*BD697)/(Escenarios!$E$19)</f>
        <v>2.8785743286772122E-2</v>
      </c>
      <c r="BK697" s="76">
        <f>BK696+(0.1*BD697)/(Escenarios!$E$19)-BL696</f>
        <v>49.58456389285405</v>
      </c>
      <c r="BL697" s="76">
        <f>MAX(0,(BK697-Constantes!$D$13)*(1-EXP(-Constantes!$D$23)))</f>
        <v>8.2231568139235142E-3</v>
      </c>
      <c r="BM697" s="76">
        <f t="shared" si="148"/>
        <v>0.14498839831052798</v>
      </c>
      <c r="BN697" s="76">
        <f t="shared" si="153"/>
        <v>0.93432195902159232</v>
      </c>
      <c r="BO697" s="76">
        <f>0.0526*BI697*Observaciones!$F696^1.218</f>
        <v>0</v>
      </c>
      <c r="BP697" s="76">
        <f>BO697*Constantes!$E$51</f>
        <v>0</v>
      </c>
      <c r="BQ697" s="76">
        <f t="shared" si="149"/>
        <v>0</v>
      </c>
      <c r="BR697" s="40"/>
    </row>
    <row r="698" spans="1:70">
      <c r="A698" s="147"/>
      <c r="B698" s="39"/>
      <c r="C698" s="75">
        <v>692</v>
      </c>
      <c r="D698" s="146">
        <f>ETo!$I697*((1-Constantes!$E$19)*ETo!$K697+ETo!$L697)</f>
        <v>4.5727910089357069</v>
      </c>
      <c r="E698" s="76">
        <f>MIN(D698*Constantes!$E$17,0.8*(N697+Observaciones!$F697-F698-M698-Constantes!$D$14))</f>
        <v>2.2356938292826172</v>
      </c>
      <c r="F698" s="76">
        <f>IF(Observaciones!$F697&gt;0.05*Constantes!$E$18,((Observaciones!$F697-0.05*Constantes!$E$18)^2)/(Observaciones!$F697+0.95*Constantes!$E$18),0)</f>
        <v>0</v>
      </c>
      <c r="G698" s="76">
        <f>IF(Escenarios!$E$11&gt;0,(F698*Escenarios!$E$16*10000)/1000,0)</f>
        <v>0</v>
      </c>
      <c r="H698" s="76">
        <f>IF(Escenarios!$E$11&gt;0,(Observaciones!$F697*Constantes!$E$29)/1000,0)</f>
        <v>0</v>
      </c>
      <c r="I698" s="76">
        <f>IF(Escenarios!$E$11&gt;0,(D698*Constantes!$E$29)/1000,0)</f>
        <v>45.727910089357074</v>
      </c>
      <c r="J698" s="76">
        <f>IF(Escenarios!$E$11&gt;0,MAX(0,G698+H698-I698),0)</f>
        <v>0</v>
      </c>
      <c r="K698" s="76">
        <f>IF(Escenarios!$E$11&gt;0,IF(J698&gt;Constantes!$E$30,1000*((J698-Constantes!$E$30)/(Escenarios!$E$16*10000)),0),F698)</f>
        <v>0</v>
      </c>
      <c r="L698" s="76">
        <f>IF(Escenarios!$E$11&gt;0,I698*1000/Escenarios!$E$16/10000+E698,E698)</f>
        <v>2.25398499331836</v>
      </c>
      <c r="M698" s="76">
        <f>MAX(0,N697+Observaciones!$F697-K698-Constantes!$D$13)</f>
        <v>0</v>
      </c>
      <c r="N698" s="76">
        <f>N697+Observaciones!$F697-K698-L698-M698-O697</f>
        <v>34.431202656258776</v>
      </c>
      <c r="O698" s="76">
        <f>MAX(0,(N698-Constantes!$D$14)*(1-EXP(-Constantes!$D$22)))</f>
        <v>0.78963686240929443</v>
      </c>
      <c r="P698" s="170">
        <f>P697+(Entradas!$E$83*M698-Q697)/(800*Entradas!$D$25)</f>
        <v>0</v>
      </c>
      <c r="Q698" s="170">
        <f>8000*Entradas!$D$26*P698/Constantes!$E$45</f>
        <v>0</v>
      </c>
      <c r="R698" s="170">
        <f>IF(Escenarios!$E$14&gt;0,K698*Escenarios!$E$13/Escenarios!$E$14,0)</f>
        <v>0</v>
      </c>
      <c r="S698" s="170">
        <f>IF(Escenarios!$E$14&gt;0,Q698*Escenarios!$E$13/Escenarios!$E$14,0)</f>
        <v>0</v>
      </c>
      <c r="T698" s="170">
        <f>IF(Escenarios!$E$14&gt;0,Observaciones!$I697,0)</f>
        <v>0</v>
      </c>
      <c r="U698" s="170">
        <f>IF(Escenarios!$E$14&gt;0,MAX(0,Constantes!$E$36/((Z697+R698+S698+T698+Observaciones!$F697)^2)+Entradas!$E$77),0)</f>
        <v>0</v>
      </c>
      <c r="V698" s="146">
        <f>IF(ETo!D697&gt;0,ETo!I697*((1-Entradas!$E$81)*ETo!K697+ETo!L697),0)</f>
        <v>4.1816012543771031</v>
      </c>
      <c r="W698" s="170">
        <f>IF(Escenarios!$E$14&gt;0,MIN(V698*1,0.8*(Z697+R698+S698+T698+Observaciones!$F697-U698-Constantes!$E$35)),0)</f>
        <v>4.1816012543771031</v>
      </c>
      <c r="X698" s="170">
        <f>IF(Escenarios!$E$14&gt;0,Observaciones!$J697,0)</f>
        <v>0</v>
      </c>
      <c r="Y698" s="170">
        <f>IF(Escenarios!$E$14&gt;0,MAX(0,Z697+R698+S698+T698+Observaciones!$F697-U698-W698-X698-Constantes!$E$33),0)</f>
        <v>0</v>
      </c>
      <c r="Z698" s="170">
        <f>Z697+R698+S698+T698+Observaciones!$F697-U698-W698-Y698</f>
        <v>51.508567132372804</v>
      </c>
      <c r="AA698" s="170">
        <f>IF(Escenarios!$E$14&gt;0,(Escenarios!$E$13*L698+Escenarios!$E$14*W698)/(Escenarios!$E$16),L698)</f>
        <v>2.4852989446454092</v>
      </c>
      <c r="AB698" s="170">
        <f>IF(Escenarios!$E$14&gt;0,(Escenarios!$E$14*Y698)/(Escenarios!$E$16),K698)</f>
        <v>0</v>
      </c>
      <c r="AC698" s="170">
        <f>IF(Escenarios!$E$14&gt;0,(Escenarios!$E$13*M698+Escenarios!$E$14*U698)/(Escenarios!$E$16),M698)</f>
        <v>0</v>
      </c>
      <c r="AD698" s="76">
        <f t="shared" si="141"/>
        <v>62.493467731474162</v>
      </c>
      <c r="AE698" s="76">
        <f>MAX(0,(AD698-Constantes!$D$13)*(1-EXP(-Constantes!$D$23)))</f>
        <v>0.13541766099719579</v>
      </c>
      <c r="AF698" s="76">
        <f>AB698+O698*Escenarios!$E$13/Escenarios!$E$16+AE698</f>
        <v>0.83029809991737491</v>
      </c>
      <c r="AG698" s="76">
        <f>IF(Entradas!$E$91&gt;0,IF(AF698-Escenarios!$E$38&lt;=0,0,IF(AF698-Escenarios!$E$38&gt;Escenarios!$E$37,Escenarios!$E$37,AF698-Escenarios!$E$38)),0)</f>
        <v>0</v>
      </c>
      <c r="AH698" s="76">
        <f>AG698*Entradas!$E$99</f>
        <v>0</v>
      </c>
      <c r="AI698" s="76">
        <f>IF(Entradas!$E$91&gt;0,D698*Entradas!$D$23/Escenarios!$E$16,0)</f>
        <v>0</v>
      </c>
      <c r="AJ698" s="76">
        <f>IF(Entradas!$E$91&gt;0,Entradas!$D$24*Entradas!$D$22/Escenarios!$E$16,0)</f>
        <v>0</v>
      </c>
      <c r="AK698" s="76">
        <f t="shared" si="150"/>
        <v>2.4852989446454092</v>
      </c>
      <c r="AL698" s="76">
        <f t="shared" si="151"/>
        <v>0</v>
      </c>
      <c r="AM698" s="76">
        <f t="shared" si="142"/>
        <v>0</v>
      </c>
      <c r="AN698" s="76">
        <f>MAX(0,O698*Escenarios!$E$13/Escenarios!$E$16-AM698)</f>
        <v>0.69488043892017914</v>
      </c>
      <c r="AO698" s="76">
        <f>AM698+AN698-O698*Escenarios!$E$13/Escenarios!$E$16</f>
        <v>0</v>
      </c>
      <c r="AP698" s="76">
        <f t="shared" si="140"/>
        <v>0.13541766099719579</v>
      </c>
      <c r="AQ698" s="76">
        <f t="shared" si="143"/>
        <v>0</v>
      </c>
      <c r="AR698" s="76">
        <f t="shared" si="144"/>
        <v>0.83029809991737491</v>
      </c>
      <c r="AS698" s="76">
        <f t="shared" si="145"/>
        <v>0</v>
      </c>
      <c r="AT698" s="76">
        <f t="shared" si="146"/>
        <v>0</v>
      </c>
      <c r="AU698" s="76">
        <f t="shared" si="147"/>
        <v>48.75</v>
      </c>
      <c r="AV698" s="76">
        <f>MAX(0,(AU698-Constantes!$D$13)*(1-EXP(-Constantes!$D$24)))</f>
        <v>0</v>
      </c>
      <c r="AW698" s="170">
        <f>AW697+(Entradas!$E$112*AT698-AX697)/(800*Entradas!$D$25)</f>
        <v>0</v>
      </c>
      <c r="AX698" s="170">
        <f>8000*Entradas!$D$26*AW698/Constantes!$E$45</f>
        <v>0</v>
      </c>
      <c r="AY698" s="170">
        <f>IF(Escenarios!$E$17&gt;0,10*Escenarios!$E$16*AL698,0)</f>
        <v>0</v>
      </c>
      <c r="AZ698" s="170">
        <f>IF(Escenarios!$E$17&gt;0,10*Escenarios!$E$16*AX698,0)</f>
        <v>0</v>
      </c>
      <c r="BA698" s="170">
        <f>IF(Escenarios!$E$17&gt;0,0.001*Observaciones!$F697*Escenarios!$E$17,0)</f>
        <v>0</v>
      </c>
      <c r="BB698" s="170">
        <f>IF(Escenarios!$E$17&gt;0,Observaciones!$K697,0)</f>
        <v>0</v>
      </c>
      <c r="BC698" s="170">
        <f>IF(Escenarios!$E$17&gt;0,MIN(0.0005*ETo!$M697*Escenarios!$E$17*(BG697/Constantes!$E$40)^(2/3),BG697+AY698+AZ698+BA698+BB698),0)</f>
        <v>18.103772026513376</v>
      </c>
      <c r="BD698" s="170">
        <f>IF(Escenarios!$E$17&gt;0,MIN(Constantes!$E$39*(BG697/Constantes!$E$40)^(2/3),BG697+AY698+AZ698+BA698+BB698-BC698),0)</f>
        <v>27.914552162068297</v>
      </c>
      <c r="BE698" s="170">
        <f>IF(Escenarios!$E$17&gt;0,MIN(Entradas!$E$113,BG697+AY698+AZ698+BA698+BB698-BC698-BD698),0)</f>
        <v>1</v>
      </c>
      <c r="BF698" s="170">
        <f>IF(Escenarios!$E$17&gt;0,MAX(0,BG697+AY698+AZ698+BA698+BB698-BC698-BD698-BE698-Constantes!$E$40),0)</f>
        <v>0</v>
      </c>
      <c r="BG698" s="170">
        <f t="shared" si="152"/>
        <v>1327.0861623920989</v>
      </c>
      <c r="BH698" s="170">
        <f>(Escenarios!$E$16*AK698+0.1*BC698)/(Escenarios!$E$19)</f>
        <v>2.4727583863650939</v>
      </c>
      <c r="BI698" s="170">
        <f>IF(Escenarios!$E$17&gt;0,BF698/10/Escenarios!$E$19,AL698)</f>
        <v>0</v>
      </c>
      <c r="BJ698" s="170">
        <f>(Escenarios!$E$16*AT698+0.1*BD698)/(Escenarios!$E$19)</f>
        <v>1.1077203238915992E-2</v>
      </c>
      <c r="BK698" s="76">
        <f>BK697+(0.1*BD698)/(Escenarios!$E$19)-BL697</f>
        <v>49.587417939279042</v>
      </c>
      <c r="BL698" s="76">
        <f>MAX(0,(BK698-Constantes!$D$13)*(1-EXP(-Constantes!$D$23)))</f>
        <v>8.2512784131298662E-3</v>
      </c>
      <c r="BM698" s="76">
        <f t="shared" si="148"/>
        <v>0.14366893941032566</v>
      </c>
      <c r="BN698" s="76">
        <f t="shared" si="153"/>
        <v>0.8385493783305048</v>
      </c>
      <c r="BO698" s="76">
        <f>0.0526*BI698*Observaciones!$F697^1.218</f>
        <v>0</v>
      </c>
      <c r="BP698" s="76">
        <f>BO698*Constantes!$E$51</f>
        <v>0</v>
      </c>
      <c r="BQ698" s="76">
        <f t="shared" si="149"/>
        <v>0</v>
      </c>
      <c r="BR698" s="40"/>
    </row>
    <row r="699" spans="1:70">
      <c r="A699" s="147"/>
      <c r="B699" s="39"/>
      <c r="C699" s="75">
        <v>693</v>
      </c>
      <c r="D699" s="146">
        <f>ETo!$I698*((1-Constantes!$E$19)*ETo!$K698+ETo!$L698)</f>
        <v>4.4554505584034052</v>
      </c>
      <c r="E699" s="76">
        <f>MIN(D699*Constantes!$E$17,0.8*(N698+Observaciones!$F698-F699-M699-Constantes!$D$14))</f>
        <v>2.1783246381982937</v>
      </c>
      <c r="F699" s="76">
        <f>IF(Observaciones!$F698&gt;0.05*Constantes!$E$18,((Observaciones!$F698-0.05*Constantes!$E$18)^2)/(Observaciones!$F698+0.95*Constantes!$E$18),0)</f>
        <v>0</v>
      </c>
      <c r="G699" s="76">
        <f>IF(Escenarios!$E$11&gt;0,(F699*Escenarios!$E$16*10000)/1000,0)</f>
        <v>0</v>
      </c>
      <c r="H699" s="76">
        <f>IF(Escenarios!$E$11&gt;0,(Observaciones!$F698*Constantes!$E$29)/1000,0)</f>
        <v>0</v>
      </c>
      <c r="I699" s="76">
        <f>IF(Escenarios!$E$11&gt;0,(D699*Constantes!$E$29)/1000,0)</f>
        <v>44.554505584034047</v>
      </c>
      <c r="J699" s="76">
        <f>IF(Escenarios!$E$11&gt;0,MAX(0,G699+H699-I699),0)</f>
        <v>0</v>
      </c>
      <c r="K699" s="76">
        <f>IF(Escenarios!$E$11&gt;0,IF(J699&gt;Constantes!$E$30,1000*((J699-Constantes!$E$30)/(Escenarios!$E$16*10000)),0),F699)</f>
        <v>0</v>
      </c>
      <c r="L699" s="76">
        <f>IF(Escenarios!$E$11&gt;0,I699*1000/Escenarios!$E$16/10000+E699,E699)</f>
        <v>2.1961464404319071</v>
      </c>
      <c r="M699" s="76">
        <f>MAX(0,N698+Observaciones!$F698-K699-Constantes!$D$13)</f>
        <v>0</v>
      </c>
      <c r="N699" s="76">
        <f>N698+Observaciones!$F698-K699-L699-M699-O698</f>
        <v>31.44541935341757</v>
      </c>
      <c r="O699" s="76">
        <f>MAX(0,(N699-Constantes!$D$14)*(1-EXP(-Constantes!$D$22)))</f>
        <v>0.68793012207962345</v>
      </c>
      <c r="P699" s="170">
        <f>P698+(Entradas!$E$83*M699-Q698)/(800*Entradas!$D$25)</f>
        <v>0</v>
      </c>
      <c r="Q699" s="170">
        <f>8000*Entradas!$D$26*P699/Constantes!$E$45</f>
        <v>0</v>
      </c>
      <c r="R699" s="170">
        <f>IF(Escenarios!$E$14&gt;0,K699*Escenarios!$E$13/Escenarios!$E$14,0)</f>
        <v>0</v>
      </c>
      <c r="S699" s="170">
        <f>IF(Escenarios!$E$14&gt;0,Q699*Escenarios!$E$13/Escenarios!$E$14,0)</f>
        <v>0</v>
      </c>
      <c r="T699" s="170">
        <f>IF(Escenarios!$E$14&gt;0,Observaciones!$I698,0)</f>
        <v>0</v>
      </c>
      <c r="U699" s="170">
        <f>IF(Escenarios!$E$14&gt;0,MAX(0,Constantes!$E$36/((Z698+R699+S699+T699+Observaciones!$F698)^2)+Entradas!$E$77),0)</f>
        <v>0</v>
      </c>
      <c r="V699" s="146">
        <f>IF(ETo!D698&gt;0,ETo!I698*((1-Entradas!$E$81)*ETo!K698+ETo!L698),0)</f>
        <v>4.0727255528133242</v>
      </c>
      <c r="W699" s="170">
        <f>IF(Escenarios!$E$14&gt;0,MIN(V699*1,0.8*(Z698+R699+S699+T699+Observaciones!$F698-U699-Constantes!$E$35)),0)</f>
        <v>4.0727255528133242</v>
      </c>
      <c r="X699" s="170">
        <f>IF(Escenarios!$E$14&gt;0,Observaciones!$J698,0)</f>
        <v>0</v>
      </c>
      <c r="Y699" s="170">
        <f>IF(Escenarios!$E$14&gt;0,MAX(0,Z698+R699+S699+T699+Observaciones!$F698-U699-W699-X699-Constantes!$E$33),0)</f>
        <v>0</v>
      </c>
      <c r="Z699" s="170">
        <f>Z698+R699+S699+T699+Observaciones!$F698-U699-W699-Y699</f>
        <v>47.435841579559479</v>
      </c>
      <c r="AA699" s="170">
        <f>IF(Escenarios!$E$14&gt;0,(Escenarios!$E$13*L699+Escenarios!$E$14*W699)/(Escenarios!$E$16),L699)</f>
        <v>2.421335933917677</v>
      </c>
      <c r="AB699" s="170">
        <f>IF(Escenarios!$E$14&gt;0,(Escenarios!$E$14*Y699)/(Escenarios!$E$16),K699)</f>
        <v>0</v>
      </c>
      <c r="AC699" s="170">
        <f>IF(Escenarios!$E$14&gt;0,(Escenarios!$E$13*M699+Escenarios!$E$14*U699)/(Escenarios!$E$16),M699)</f>
        <v>0</v>
      </c>
      <c r="AD699" s="76">
        <f t="shared" si="141"/>
        <v>62.358050070476963</v>
      </c>
      <c r="AE699" s="76">
        <f>MAX(0,(AD699-Constantes!$D$13)*(1-EXP(-Constantes!$D$23)))</f>
        <v>0.13408335852941644</v>
      </c>
      <c r="AF699" s="76">
        <f>AB699+O699*Escenarios!$E$13/Escenarios!$E$16+AE699</f>
        <v>0.73946186595948515</v>
      </c>
      <c r="AG699" s="76">
        <f>IF(Entradas!$E$91&gt;0,IF(AF699-Escenarios!$E$38&lt;=0,0,IF(AF699-Escenarios!$E$38&gt;Escenarios!$E$37,Escenarios!$E$37,AF699-Escenarios!$E$38)),0)</f>
        <v>0</v>
      </c>
      <c r="AH699" s="76">
        <f>AG699*Entradas!$E$99</f>
        <v>0</v>
      </c>
      <c r="AI699" s="76">
        <f>IF(Entradas!$E$91&gt;0,D699*Entradas!$D$23/Escenarios!$E$16,0)</f>
        <v>0</v>
      </c>
      <c r="AJ699" s="76">
        <f>IF(Entradas!$E$91&gt;0,Entradas!$D$24*Entradas!$D$22/Escenarios!$E$16,0)</f>
        <v>0</v>
      </c>
      <c r="AK699" s="76">
        <f t="shared" si="150"/>
        <v>2.421335933917677</v>
      </c>
      <c r="AL699" s="76">
        <f t="shared" si="151"/>
        <v>0</v>
      </c>
      <c r="AM699" s="76">
        <f t="shared" si="142"/>
        <v>0</v>
      </c>
      <c r="AN699" s="76">
        <f>MAX(0,O699*Escenarios!$E$13/Escenarios!$E$16-AM699)</f>
        <v>0.60537850743006871</v>
      </c>
      <c r="AO699" s="76">
        <f>AM699+AN699-O699*Escenarios!$E$13/Escenarios!$E$16</f>
        <v>0</v>
      </c>
      <c r="AP699" s="76">
        <f t="shared" si="140"/>
        <v>0.13408335852941644</v>
      </c>
      <c r="AQ699" s="76">
        <f t="shared" si="143"/>
        <v>0</v>
      </c>
      <c r="AR699" s="76">
        <f t="shared" si="144"/>
        <v>0.73946186595948515</v>
      </c>
      <c r="AS699" s="76">
        <f t="shared" si="145"/>
        <v>0</v>
      </c>
      <c r="AT699" s="76">
        <f t="shared" si="146"/>
        <v>0</v>
      </c>
      <c r="AU699" s="76">
        <f t="shared" si="147"/>
        <v>48.75</v>
      </c>
      <c r="AV699" s="76">
        <f>MAX(0,(AU699-Constantes!$D$13)*(1-EXP(-Constantes!$D$24)))</f>
        <v>0</v>
      </c>
      <c r="AW699" s="170">
        <f>AW698+(Entradas!$E$112*AT699-AX698)/(800*Entradas!$D$25)</f>
        <v>0</v>
      </c>
      <c r="AX699" s="170">
        <f>8000*Entradas!$D$26*AW699/Constantes!$E$45</f>
        <v>0</v>
      </c>
      <c r="AY699" s="170">
        <f>IF(Escenarios!$E$17&gt;0,10*Escenarios!$E$16*AL699,0)</f>
        <v>0</v>
      </c>
      <c r="AZ699" s="170">
        <f>IF(Escenarios!$E$17&gt;0,10*Escenarios!$E$16*AX699,0)</f>
        <v>0</v>
      </c>
      <c r="BA699" s="170">
        <f>IF(Escenarios!$E$17&gt;0,0.001*Observaciones!$F698*Escenarios!$E$17,0)</f>
        <v>0</v>
      </c>
      <c r="BB699" s="170">
        <f>IF(Escenarios!$E$17&gt;0,Observaciones!$K698,0)</f>
        <v>0</v>
      </c>
      <c r="BC699" s="170">
        <f>IF(Escenarios!$E$17&gt;0,MIN(0.0005*ETo!$M698*Escenarios!$E$17*(BG698/Constantes!$E$40)^(2/3),BG698+AY699+AZ699+BA699+BB699),0)</f>
        <v>17.242949960402616</v>
      </c>
      <c r="BD699" s="170">
        <f>IF(Escenarios!$E$17&gt;0,MIN(Constantes!$E$39*(BG698/Constantes!$E$40)^(2/3),BG698+AY699+AZ699+BA699+BB699-BC699),0)</f>
        <v>27.274088175643701</v>
      </c>
      <c r="BE699" s="170">
        <f>IF(Escenarios!$E$17&gt;0,MIN(Entradas!$E$113,BG698+AY699+AZ699+BA699+BB699-BC699-BD699),0)</f>
        <v>1</v>
      </c>
      <c r="BF699" s="170">
        <f>IF(Escenarios!$E$17&gt;0,MAX(0,BG698+AY699+AZ699+BA699+BB699-BC699-BD699-BE699-Constantes!$E$40),0)</f>
        <v>0</v>
      </c>
      <c r="BG699" s="170">
        <f t="shared" si="152"/>
        <v>1281.5691242560524</v>
      </c>
      <c r="BH699" s="170">
        <f>(Escenarios!$E$16*AK699+0.1*BC699)/(Escenarios!$E$19)</f>
        <v>2.4089614225216645</v>
      </c>
      <c r="BI699" s="170">
        <f>IF(Escenarios!$E$17&gt;0,BF699/10/Escenarios!$E$19,AL699)</f>
        <v>0</v>
      </c>
      <c r="BJ699" s="170">
        <f>(Escenarios!$E$16*AT699+0.1*BD699)/(Escenarios!$E$19)</f>
        <v>1.0823050863350676E-2</v>
      </c>
      <c r="BK699" s="76">
        <f>BK698+(0.1*BD699)/(Escenarios!$E$19)-BL698</f>
        <v>49.589989711729267</v>
      </c>
      <c r="BL699" s="76">
        <f>MAX(0,(BK699-Constantes!$D$13)*(1-EXP(-Constantes!$D$23)))</f>
        <v>8.2766186996304017E-3</v>
      </c>
      <c r="BM699" s="76">
        <f t="shared" si="148"/>
        <v>0.14235997722904684</v>
      </c>
      <c r="BN699" s="76">
        <f t="shared" si="153"/>
        <v>0.74773848465911552</v>
      </c>
      <c r="BO699" s="76">
        <f>0.0526*BI699*Observaciones!$F698^1.218</f>
        <v>0</v>
      </c>
      <c r="BP699" s="76">
        <f>BO699*Constantes!$E$51</f>
        <v>0</v>
      </c>
      <c r="BQ699" s="76">
        <f t="shared" si="149"/>
        <v>0</v>
      </c>
      <c r="BR699" s="40"/>
    </row>
    <row r="700" spans="1:70">
      <c r="A700" s="147"/>
      <c r="B700" s="39"/>
      <c r="C700" s="75">
        <v>694</v>
      </c>
      <c r="D700" s="146">
        <f>ETo!$I699*((1-Constantes!$E$19)*ETo!$K699+ETo!$L699)</f>
        <v>4.5104681706992089</v>
      </c>
      <c r="E700" s="76">
        <f>MIN(D700*Constantes!$E$17,0.8*(N699+Observaciones!$F699-F700-M700-Constantes!$D$14))</f>
        <v>2.205223426284439</v>
      </c>
      <c r="F700" s="76">
        <f>IF(Observaciones!$F699&gt;0.05*Constantes!$E$18,((Observaciones!$F699-0.05*Constantes!$E$18)^2)/(Observaciones!$F699+0.95*Constantes!$E$18),0)</f>
        <v>2.2594782008235545E-2</v>
      </c>
      <c r="G700" s="76">
        <f>IF(Escenarios!$E$11&gt;0,(F700*Escenarios!$E$16*10000)/1000,0)</f>
        <v>56.486955020588859</v>
      </c>
      <c r="H700" s="76">
        <f>IF(Escenarios!$E$11&gt;0,(Observaciones!$F699*Constantes!$E$29)/1000,0)</f>
        <v>76</v>
      </c>
      <c r="I700" s="76">
        <f>IF(Escenarios!$E$11&gt;0,(D700*Constantes!$E$29)/1000,0)</f>
        <v>45.104681706992089</v>
      </c>
      <c r="J700" s="76">
        <f>IF(Escenarios!$E$11&gt;0,MAX(0,G700+H700-I700),0)</f>
        <v>87.382273313596755</v>
      </c>
      <c r="K700" s="76">
        <f>IF(Escenarios!$E$11&gt;0,IF(J700&gt;Constantes!$E$30,1000*((J700-Constantes!$E$30)/(Escenarios!$E$16*10000)),0),F700)</f>
        <v>0</v>
      </c>
      <c r="L700" s="76">
        <f>IF(Escenarios!$E$11&gt;0,I700*1000/Escenarios!$E$16/10000+E700,E700)</f>
        <v>2.2232652989672359</v>
      </c>
      <c r="M700" s="76">
        <f>MAX(0,N699+Observaciones!$F699-K700-Constantes!$D$13)</f>
        <v>0</v>
      </c>
      <c r="N700" s="76">
        <f>N699+Observaciones!$F699-K700-L700-M700-O699</f>
        <v>36.134223932370716</v>
      </c>
      <c r="O700" s="76">
        <f>MAX(0,(N700-Constantes!$D$14)*(1-EXP(-Constantes!$D$22)))</f>
        <v>0.84764801899276121</v>
      </c>
      <c r="P700" s="170">
        <f>P699+(Entradas!$E$83*M700-Q699)/(800*Entradas!$D$25)</f>
        <v>0</v>
      </c>
      <c r="Q700" s="170">
        <f>8000*Entradas!$D$26*P700/Constantes!$E$45</f>
        <v>0</v>
      </c>
      <c r="R700" s="170">
        <f>IF(Escenarios!$E$14&gt;0,K700*Escenarios!$E$13/Escenarios!$E$14,0)</f>
        <v>0</v>
      </c>
      <c r="S700" s="170">
        <f>IF(Escenarios!$E$14&gt;0,Q700*Escenarios!$E$13/Escenarios!$E$14,0)</f>
        <v>0</v>
      </c>
      <c r="T700" s="170">
        <f>IF(Escenarios!$E$14&gt;0,Observaciones!$I699,0)</f>
        <v>0</v>
      </c>
      <c r="U700" s="170">
        <f>IF(Escenarios!$E$14&gt;0,MAX(0,Constantes!$E$36/((Z699+R700+S700+T700+Observaciones!$F699)^2)+Entradas!$E$77),0)</f>
        <v>0</v>
      </c>
      <c r="V700" s="146">
        <f>IF(ETo!D699&gt;0,ETo!I699*((1-Entradas!$E$81)*ETo!K699+ETo!L699),0)</f>
        <v>4.1237421653213415</v>
      </c>
      <c r="W700" s="170">
        <f>IF(Escenarios!$E$14&gt;0,MIN(V700*1,0.8*(Z699+R700+S700+T700+Observaciones!$F699-U700-Constantes!$E$35)),0)</f>
        <v>4.1237421653213415</v>
      </c>
      <c r="X700" s="170">
        <f>IF(Escenarios!$E$14&gt;0,Observaciones!$J699,0)</f>
        <v>0</v>
      </c>
      <c r="Y700" s="170">
        <f>IF(Escenarios!$E$14&gt;0,MAX(0,Z699+R700+S700+T700+Observaciones!$F699-U700-W700-X700-Constantes!$E$33),0)</f>
        <v>0</v>
      </c>
      <c r="Z700" s="170">
        <f>Z699+R700+S700+T700+Observaciones!$F699-U700-W700-Y700</f>
        <v>50.912099414238142</v>
      </c>
      <c r="AA700" s="170">
        <f>IF(Escenarios!$E$14&gt;0,(Escenarios!$E$13*L700+Escenarios!$E$14*W700)/(Escenarios!$E$16),L700)</f>
        <v>2.4513225229297286</v>
      </c>
      <c r="AB700" s="170">
        <f>IF(Escenarios!$E$14&gt;0,(Escenarios!$E$14*Y700)/(Escenarios!$E$16),K700)</f>
        <v>0</v>
      </c>
      <c r="AC700" s="170">
        <f>IF(Escenarios!$E$14&gt;0,(Escenarios!$E$13*M700+Escenarios!$E$14*U700)/(Escenarios!$E$16),M700)</f>
        <v>0</v>
      </c>
      <c r="AD700" s="76">
        <f t="shared" si="141"/>
        <v>62.223966711947547</v>
      </c>
      <c r="AE700" s="76">
        <f>MAX(0,(AD700-Constantes!$D$13)*(1-EXP(-Constantes!$D$23)))</f>
        <v>0.13276220326165825</v>
      </c>
      <c r="AF700" s="76">
        <f>AB700+O700*Escenarios!$E$13/Escenarios!$E$16+AE700</f>
        <v>0.87869245997528811</v>
      </c>
      <c r="AG700" s="76">
        <f>IF(Entradas!$E$91&gt;0,IF(AF700-Escenarios!$E$38&lt;=0,0,IF(AF700-Escenarios!$E$38&gt;Escenarios!$E$37,Escenarios!$E$37,AF700-Escenarios!$E$38)),0)</f>
        <v>0</v>
      </c>
      <c r="AH700" s="76">
        <f>AG700*Entradas!$E$99</f>
        <v>0</v>
      </c>
      <c r="AI700" s="76">
        <f>IF(Entradas!$E$91&gt;0,D700*Entradas!$D$23/Escenarios!$E$16,0)</f>
        <v>0</v>
      </c>
      <c r="AJ700" s="76">
        <f>IF(Entradas!$E$91&gt;0,Entradas!$D$24*Entradas!$D$22/Escenarios!$E$16,0)</f>
        <v>0</v>
      </c>
      <c r="AK700" s="76">
        <f t="shared" si="150"/>
        <v>2.4513225229297286</v>
      </c>
      <c r="AL700" s="76">
        <f t="shared" si="151"/>
        <v>0</v>
      </c>
      <c r="AM700" s="76">
        <f t="shared" si="142"/>
        <v>0</v>
      </c>
      <c r="AN700" s="76">
        <f>MAX(0,O700*Escenarios!$E$13/Escenarios!$E$16-AM700)</f>
        <v>0.74593025671362989</v>
      </c>
      <c r="AO700" s="76">
        <f>AM700+AN700-O700*Escenarios!$E$13/Escenarios!$E$16</f>
        <v>0</v>
      </c>
      <c r="AP700" s="76">
        <f t="shared" si="140"/>
        <v>0.13276220326165825</v>
      </c>
      <c r="AQ700" s="76">
        <f t="shared" si="143"/>
        <v>0</v>
      </c>
      <c r="AR700" s="76">
        <f t="shared" si="144"/>
        <v>0.87869245997528811</v>
      </c>
      <c r="AS700" s="76">
        <f t="shared" si="145"/>
        <v>0</v>
      </c>
      <c r="AT700" s="76">
        <f t="shared" si="146"/>
        <v>0</v>
      </c>
      <c r="AU700" s="76">
        <f t="shared" si="147"/>
        <v>48.75</v>
      </c>
      <c r="AV700" s="76">
        <f>MAX(0,(AU700-Constantes!$D$13)*(1-EXP(-Constantes!$D$24)))</f>
        <v>0</v>
      </c>
      <c r="AW700" s="170">
        <f>AW699+(Entradas!$E$112*AT700-AX699)/(800*Entradas!$D$25)</f>
        <v>0</v>
      </c>
      <c r="AX700" s="170">
        <f>8000*Entradas!$D$26*AW700/Constantes!$E$45</f>
        <v>0</v>
      </c>
      <c r="AY700" s="170">
        <f>IF(Escenarios!$E$17&gt;0,10*Escenarios!$E$16*AL700,0)</f>
        <v>0</v>
      </c>
      <c r="AZ700" s="170">
        <f>IF(Escenarios!$E$17&gt;0,10*Escenarios!$E$16*AX700,0)</f>
        <v>0</v>
      </c>
      <c r="BA700" s="170">
        <f>IF(Escenarios!$E$17&gt;0,0.001*Observaciones!$F699*Escenarios!$E$17,0)</f>
        <v>152</v>
      </c>
      <c r="BB700" s="170">
        <f>IF(Escenarios!$E$17&gt;0,Observaciones!$K699,0)</f>
        <v>0</v>
      </c>
      <c r="BC700" s="170">
        <f>IF(Escenarios!$E$17&gt;0,MIN(0.0005*ETo!$M699*Escenarios!$E$17*(BG699/Constantes!$E$40)^(2/3),BG699+AY700+AZ700+BA700+BB700),0)</f>
        <v>17.050615396247128</v>
      </c>
      <c r="BD700" s="170">
        <f>IF(Escenarios!$E$17&gt;0,MIN(Constantes!$E$39*(BG699/Constantes!$E$40)^(2/3),BG699+AY700+AZ700+BA700+BB700-BC700),0)</f>
        <v>26.646827891631201</v>
      </c>
      <c r="BE700" s="170">
        <f>IF(Escenarios!$E$17&gt;0,MIN(Entradas!$E$113,BG699+AY700+AZ700+BA700+BB700-BC700-BD700),0)</f>
        <v>1</v>
      </c>
      <c r="BF700" s="170">
        <f>IF(Escenarios!$E$17&gt;0,MAX(0,BG699+AY700+AZ700+BA700+BB700-BC700-BD700-BE700-Constantes!$E$40),0)</f>
        <v>0</v>
      </c>
      <c r="BG700" s="170">
        <f t="shared" si="152"/>
        <v>1388.8716809681741</v>
      </c>
      <c r="BH700" s="170">
        <f>(Escenarios!$E$16*AK700+0.1*BC700)/(Escenarios!$E$19)</f>
        <v>2.4386336994922893</v>
      </c>
      <c r="BI700" s="170">
        <f>IF(Escenarios!$E$17&gt;0,BF700/10/Escenarios!$E$19,AL700)</f>
        <v>0</v>
      </c>
      <c r="BJ700" s="170">
        <f>(Escenarios!$E$16*AT700+0.1*BD700)/(Escenarios!$E$19)</f>
        <v>1.0574138052234604E-2</v>
      </c>
      <c r="BK700" s="76">
        <f>BK699+(0.1*BD700)/(Escenarios!$E$19)-BL699</f>
        <v>49.592287231081869</v>
      </c>
      <c r="BL700" s="76">
        <f>MAX(0,(BK700-Constantes!$D$13)*(1-EXP(-Constantes!$D$23)))</f>
        <v>8.2992567050380675E-3</v>
      </c>
      <c r="BM700" s="76">
        <f t="shared" si="148"/>
        <v>0.14106145996669631</v>
      </c>
      <c r="BN700" s="76">
        <f t="shared" si="153"/>
        <v>0.88699171668032617</v>
      </c>
      <c r="BO700" s="76">
        <f>0.0526*BI700*Observaciones!$F699^1.218</f>
        <v>0</v>
      </c>
      <c r="BP700" s="76">
        <f>BO700*Constantes!$E$51</f>
        <v>0</v>
      </c>
      <c r="BQ700" s="76">
        <f t="shared" si="149"/>
        <v>0</v>
      </c>
      <c r="BR700" s="40"/>
    </row>
    <row r="701" spans="1:70">
      <c r="A701" s="147"/>
      <c r="B701" s="39"/>
      <c r="C701" s="75">
        <v>695</v>
      </c>
      <c r="D701" s="146">
        <f>ETo!$I700*((1-Constantes!$E$19)*ETo!$K700+ETo!$L700)</f>
        <v>4.5790588901904181</v>
      </c>
      <c r="E701" s="76">
        <f>MIN(D701*Constantes!$E$17,0.8*(N700+Observaciones!$F700-F701-M701-Constantes!$D$14))</f>
        <v>2.2387582736047937</v>
      </c>
      <c r="F701" s="76">
        <f>IF(Observaciones!$F700&gt;0.05*Constantes!$E$18,((Observaciones!$F700-0.05*Constantes!$E$18)^2)/(Observaciones!$F700+0.95*Constantes!$E$18),0)</f>
        <v>0.37300231785429283</v>
      </c>
      <c r="G701" s="76">
        <f>IF(Escenarios!$E$11&gt;0,(F701*Escenarios!$E$16*10000)/1000,0)</f>
        <v>932.50579463573206</v>
      </c>
      <c r="H701" s="76">
        <f>IF(Escenarios!$E$11&gt;0,(Observaciones!$F700*Constantes!$E$29)/1000,0)</f>
        <v>128</v>
      </c>
      <c r="I701" s="76">
        <f>IF(Escenarios!$E$11&gt;0,(D701*Constantes!$E$29)/1000,0)</f>
        <v>45.790588901904179</v>
      </c>
      <c r="J701" s="76">
        <f>IF(Escenarios!$E$11&gt;0,MAX(0,G701+H701-I701),0)</f>
        <v>1014.7152057338278</v>
      </c>
      <c r="K701" s="76">
        <f>IF(Escenarios!$E$11&gt;0,IF(J701&gt;Constantes!$E$30,1000*((J701-Constantes!$E$30)/(Escenarios!$E$16*10000)),0),F701)</f>
        <v>0</v>
      </c>
      <c r="L701" s="76">
        <f>IF(Escenarios!$E$11&gt;0,I701*1000/Escenarios!$E$16/10000+E701,E701)</f>
        <v>2.2570745091655553</v>
      </c>
      <c r="M701" s="76">
        <f>MAX(0,N700+Observaciones!$F700-K701-Constantes!$D$13)</f>
        <v>0.18422393237071333</v>
      </c>
      <c r="N701" s="76">
        <f>N700+Observaciones!$F700-K701-L701-M701-O700</f>
        <v>45.64527747184168</v>
      </c>
      <c r="O701" s="76">
        <f>MAX(0,(N701-Constantes!$D$14)*(1-EXP(-Constantes!$D$22)))</f>
        <v>1.1716294183394833</v>
      </c>
      <c r="P701" s="170">
        <f>P700+(Entradas!$E$83*M701-Q700)/(800*Entradas!$D$25)</f>
        <v>0</v>
      </c>
      <c r="Q701" s="170">
        <f>8000*Entradas!$D$26*P701/Constantes!$E$45</f>
        <v>0</v>
      </c>
      <c r="R701" s="170">
        <f>IF(Escenarios!$E$14&gt;0,K701*Escenarios!$E$13/Escenarios!$E$14,0)</f>
        <v>0</v>
      </c>
      <c r="S701" s="170">
        <f>IF(Escenarios!$E$14&gt;0,Q701*Escenarios!$E$13/Escenarios!$E$14,0)</f>
        <v>0</v>
      </c>
      <c r="T701" s="170">
        <f>IF(Escenarios!$E$14&gt;0,Observaciones!$I700,0)</f>
        <v>0</v>
      </c>
      <c r="U701" s="170">
        <f>IF(Escenarios!$E$14&gt;0,MAX(0,Constantes!$E$36/((Z700+R701+S701+T701+Observaciones!$F700)^2)+Entradas!$E$77),0)</f>
        <v>0.47076516397056434</v>
      </c>
      <c r="V701" s="146">
        <f>IF(ETo!D700&gt;0,ETo!I700*((1-Entradas!$E$81)*ETo!K700+ETo!L700),0)</f>
        <v>4.1874382091876337</v>
      </c>
      <c r="W701" s="170">
        <f>IF(Escenarios!$E$14&gt;0,MIN(V701*1,0.8*(Z700+R701+S701+T701+Observaciones!$F700-U701-Constantes!$E$35)),0)</f>
        <v>4.1874382091876337</v>
      </c>
      <c r="X701" s="170">
        <f>IF(Escenarios!$E$14&gt;0,Observaciones!$J700,0)</f>
        <v>0</v>
      </c>
      <c r="Y701" s="170">
        <f>IF(Escenarios!$E$14&gt;0,MAX(0,Z700+R701+S701+T701+Observaciones!$F700-U701-W701-X701-Constantes!$E$33),0)</f>
        <v>0</v>
      </c>
      <c r="Z701" s="170">
        <f>Z700+R701+S701+T701+Observaciones!$F700-U701-W701-Y701</f>
        <v>59.053896041079945</v>
      </c>
      <c r="AA701" s="170">
        <f>IF(Escenarios!$E$14&gt;0,(Escenarios!$E$13*L701+Escenarios!$E$14*W701)/(Escenarios!$E$16),L701)</f>
        <v>2.4887181531682043</v>
      </c>
      <c r="AB701" s="170">
        <f>IF(Escenarios!$E$14&gt;0,(Escenarios!$E$14*Y701)/(Escenarios!$E$16),K701)</f>
        <v>0</v>
      </c>
      <c r="AC701" s="170">
        <f>IF(Escenarios!$E$14&gt;0,(Escenarios!$E$13*M701+Escenarios!$E$14*U701)/(Escenarios!$E$16),M701)</f>
        <v>0.21860888016269545</v>
      </c>
      <c r="AD701" s="76">
        <f t="shared" si="141"/>
        <v>62.309813388848589</v>
      </c>
      <c r="AE701" s="76">
        <f>MAX(0,(AD701-Constantes!$D$13)*(1-EXP(-Constantes!$D$23)))</f>
        <v>0.13360807101624961</v>
      </c>
      <c r="AF701" s="76">
        <f>AB701+O701*Escenarios!$E$13/Escenarios!$E$16+AE701</f>
        <v>1.164641959154995</v>
      </c>
      <c r="AG701" s="76">
        <f>IF(Entradas!$E$91&gt;0,IF(AF701-Escenarios!$E$38&lt;=0,0,IF(AF701-Escenarios!$E$38&gt;Escenarios!$E$37,Escenarios!$E$37,AF701-Escenarios!$E$38)),0)</f>
        <v>0</v>
      </c>
      <c r="AH701" s="76">
        <f>AG701*Entradas!$E$99</f>
        <v>0</v>
      </c>
      <c r="AI701" s="76">
        <f>IF(Entradas!$E$91&gt;0,D701*Entradas!$D$23/Escenarios!$E$16,0)</f>
        <v>0</v>
      </c>
      <c r="AJ701" s="76">
        <f>IF(Entradas!$E$91&gt;0,Entradas!$D$24*Entradas!$D$22/Escenarios!$E$16,0)</f>
        <v>0</v>
      </c>
      <c r="AK701" s="76">
        <f t="shared" si="150"/>
        <v>2.4887181531682043</v>
      </c>
      <c r="AL701" s="76">
        <f t="shared" si="151"/>
        <v>0</v>
      </c>
      <c r="AM701" s="76">
        <f t="shared" si="142"/>
        <v>0</v>
      </c>
      <c r="AN701" s="76">
        <f>MAX(0,O701*Escenarios!$E$13/Escenarios!$E$16-AM701)</f>
        <v>1.0310338881387453</v>
      </c>
      <c r="AO701" s="76">
        <f>AM701+AN701-O701*Escenarios!$E$13/Escenarios!$E$16</f>
        <v>0</v>
      </c>
      <c r="AP701" s="76">
        <f t="shared" si="140"/>
        <v>0.13360807101624961</v>
      </c>
      <c r="AQ701" s="76">
        <f t="shared" si="143"/>
        <v>0</v>
      </c>
      <c r="AR701" s="76">
        <f t="shared" si="144"/>
        <v>1.164641959154995</v>
      </c>
      <c r="AS701" s="76">
        <f t="shared" si="145"/>
        <v>0</v>
      </c>
      <c r="AT701" s="76">
        <f t="shared" si="146"/>
        <v>0.21860888016269545</v>
      </c>
      <c r="AU701" s="76">
        <f t="shared" si="147"/>
        <v>48.75</v>
      </c>
      <c r="AV701" s="76">
        <f>MAX(0,(AU701-Constantes!$D$13)*(1-EXP(-Constantes!$D$24)))</f>
        <v>0</v>
      </c>
      <c r="AW701" s="170">
        <f>AW700+(Entradas!$E$112*AT701-AX700)/(800*Entradas!$D$25)</f>
        <v>0</v>
      </c>
      <c r="AX701" s="170">
        <f>8000*Entradas!$D$26*AW701/Constantes!$E$45</f>
        <v>0</v>
      </c>
      <c r="AY701" s="170">
        <f>IF(Escenarios!$E$17&gt;0,10*Escenarios!$E$16*AL701,0)</f>
        <v>0</v>
      </c>
      <c r="AZ701" s="170">
        <f>IF(Escenarios!$E$17&gt;0,10*Escenarios!$E$16*AX701,0)</f>
        <v>0</v>
      </c>
      <c r="BA701" s="170">
        <f>IF(Escenarios!$E$17&gt;0,0.001*Observaciones!$F700*Escenarios!$E$17,0)</f>
        <v>256</v>
      </c>
      <c r="BB701" s="170">
        <f>IF(Escenarios!$E$17&gt;0,Observaciones!$K700,0)</f>
        <v>0</v>
      </c>
      <c r="BC701" s="170">
        <f>IF(Escenarios!$E$17&gt;0,MIN(0.0005*ETo!$M700*Escenarios!$E$17*(BG700/Constantes!$E$40)^(2/3),BG700+AY701+AZ701+BA701+BB701),0)</f>
        <v>18.257655604003823</v>
      </c>
      <c r="BD701" s="170">
        <f>IF(Escenarios!$E$17&gt;0,MIN(Constantes!$E$39*(BG700/Constantes!$E$40)^(2/3),BG700+AY701+AZ701+BA701+BB701-BC701),0)</f>
        <v>28.114189956686531</v>
      </c>
      <c r="BE701" s="170">
        <f>IF(Escenarios!$E$17&gt;0,MIN(Entradas!$E$113,BG700+AY701+AZ701+BA701+BB701-BC701-BD701),0)</f>
        <v>1</v>
      </c>
      <c r="BF701" s="170">
        <f>IF(Escenarios!$E$17&gt;0,MAX(0,BG700+AY701+AZ701+BA701+BB701-BC701-BD701-BE701-Constantes!$E$40),0)</f>
        <v>0</v>
      </c>
      <c r="BG701" s="170">
        <f t="shared" si="152"/>
        <v>1597.4998354074839</v>
      </c>
      <c r="BH701" s="170">
        <f>(Escenarios!$E$16*AK701+0.1*BC701)/(Escenarios!$E$19)</f>
        <v>2.4762115232240136</v>
      </c>
      <c r="BI701" s="170">
        <f>IF(Escenarios!$E$17&gt;0,BF701/10/Escenarios!$E$19,AL701)</f>
        <v>0</v>
      </c>
      <c r="BJ701" s="170">
        <f>(Escenarios!$E$16*AT701+0.1*BD701)/(Escenarios!$E$19)</f>
        <v>0.22803031363627982</v>
      </c>
      <c r="BK701" s="76">
        <f>BK700+(0.1*BD701)/(Escenarios!$E$19)-BL700</f>
        <v>49.595144398962816</v>
      </c>
      <c r="BL701" s="76">
        <f>MAX(0,(BK701-Constantes!$D$13)*(1-EXP(-Constantes!$D$23)))</f>
        <v>8.3274090606934078E-3</v>
      </c>
      <c r="BM701" s="76">
        <f t="shared" si="148"/>
        <v>0.14193548007694301</v>
      </c>
      <c r="BN701" s="76">
        <f t="shared" si="153"/>
        <v>1.1729693682156885</v>
      </c>
      <c r="BO701" s="76">
        <f>0.0526*BI701*Observaciones!$F700^1.218</f>
        <v>0</v>
      </c>
      <c r="BP701" s="76">
        <f>BO701*Constantes!$E$51</f>
        <v>0</v>
      </c>
      <c r="BQ701" s="76">
        <f t="shared" si="149"/>
        <v>0</v>
      </c>
      <c r="BR701" s="40"/>
    </row>
    <row r="702" spans="1:70">
      <c r="A702" s="147"/>
      <c r="B702" s="39"/>
      <c r="C702" s="75">
        <v>696</v>
      </c>
      <c r="D702" s="146">
        <f>ETo!$I701*((1-Constantes!$E$19)*ETo!$K701+ETo!$L701)</f>
        <v>4.5522540918033378</v>
      </c>
      <c r="E702" s="76">
        <f>MIN(D702*Constantes!$E$17,0.8*(N701+Observaciones!$F701-F702-M702-Constantes!$D$14))</f>
        <v>2.2256530776244712</v>
      </c>
      <c r="F702" s="76">
        <f>IF(Observaciones!$F701&gt;0.05*Constantes!$E$18,((Observaciones!$F701-0.05*Constantes!$E$18)^2)/(Observaciones!$F701+0.95*Constantes!$E$18),0)</f>
        <v>0</v>
      </c>
      <c r="G702" s="76">
        <f>IF(Escenarios!$E$11&gt;0,(F702*Escenarios!$E$16*10000)/1000,0)</f>
        <v>0</v>
      </c>
      <c r="H702" s="76">
        <f>IF(Escenarios!$E$11&gt;0,(Observaciones!$F701*Constantes!$E$29)/1000,0)</f>
        <v>3</v>
      </c>
      <c r="I702" s="76">
        <f>IF(Escenarios!$E$11&gt;0,(D702*Constantes!$E$29)/1000,0)</f>
        <v>45.522540918033378</v>
      </c>
      <c r="J702" s="76">
        <f>IF(Escenarios!$E$11&gt;0,MAX(0,G702+H702-I702),0)</f>
        <v>0</v>
      </c>
      <c r="K702" s="76">
        <f>IF(Escenarios!$E$11&gt;0,IF(J702&gt;Constantes!$E$30,1000*((J702-Constantes!$E$30)/(Escenarios!$E$16*10000)),0),F702)</f>
        <v>0</v>
      </c>
      <c r="L702" s="76">
        <f>IF(Escenarios!$E$11&gt;0,I702*1000/Escenarios!$E$16/10000+E702,E702)</f>
        <v>2.2438620939916847</v>
      </c>
      <c r="M702" s="76">
        <f>MAX(0,N701+Observaciones!$F701-K702-Constantes!$D$13)</f>
        <v>0</v>
      </c>
      <c r="N702" s="76">
        <f>N701+Observaciones!$F701-K702-L702-M702-O701</f>
        <v>42.529785959510505</v>
      </c>
      <c r="O702" s="76">
        <f>MAX(0,(N702-Constantes!$D$14)*(1-EXP(-Constantes!$D$22)))</f>
        <v>1.0655043402259987</v>
      </c>
      <c r="P702" s="170">
        <f>P701+(Entradas!$E$83*M702-Q701)/(800*Entradas!$D$25)</f>
        <v>0</v>
      </c>
      <c r="Q702" s="170">
        <f>8000*Entradas!$D$26*P702/Constantes!$E$45</f>
        <v>0</v>
      </c>
      <c r="R702" s="170">
        <f>IF(Escenarios!$E$14&gt;0,K702*Escenarios!$E$13/Escenarios!$E$14,0)</f>
        <v>0</v>
      </c>
      <c r="S702" s="170">
        <f>IF(Escenarios!$E$14&gt;0,Q702*Escenarios!$E$13/Escenarios!$E$14,0)</f>
        <v>0</v>
      </c>
      <c r="T702" s="170">
        <f>IF(Escenarios!$E$14&gt;0,Observaciones!$I701,0)</f>
        <v>0</v>
      </c>
      <c r="U702" s="170">
        <f>IF(Escenarios!$E$14&gt;0,MAX(0,Constantes!$E$36/((Z701+R702+S702+T702+Observaciones!$F701)^2)+Entradas!$E$77),0)</f>
        <v>8.5698206977108171E-2</v>
      </c>
      <c r="V702" s="146">
        <f>IF(ETo!D701&gt;0,ETo!I701*((1-Entradas!$E$81)*ETo!K701+ETo!L701),0)</f>
        <v>4.1625383019946405</v>
      </c>
      <c r="W702" s="170">
        <f>IF(Escenarios!$E$14&gt;0,MIN(V702*1,0.8*(Z701+R702+S702+T702+Observaciones!$F701-U702-Constantes!$E$35)),0)</f>
        <v>4.1625383019946405</v>
      </c>
      <c r="X702" s="170">
        <f>IF(Escenarios!$E$14&gt;0,Observaciones!$J701,0)</f>
        <v>0</v>
      </c>
      <c r="Y702" s="170">
        <f>IF(Escenarios!$E$14&gt;0,MAX(0,Z701+R702+S702+T702+Observaciones!$F701-U702-W702-X702-Constantes!$E$33),0)</f>
        <v>0</v>
      </c>
      <c r="Z702" s="170">
        <f>Z701+R702+S702+T702+Observaciones!$F701-U702-W702-Y702</f>
        <v>55.105659532108191</v>
      </c>
      <c r="AA702" s="170">
        <f>IF(Escenarios!$E$14&gt;0,(Escenarios!$E$13*L702+Escenarios!$E$14*W702)/(Escenarios!$E$16),L702)</f>
        <v>2.474103238952039</v>
      </c>
      <c r="AB702" s="170">
        <f>IF(Escenarios!$E$14&gt;0,(Escenarios!$E$14*Y702)/(Escenarios!$E$16),K702)</f>
        <v>0</v>
      </c>
      <c r="AC702" s="170">
        <f>IF(Escenarios!$E$14&gt;0,(Escenarios!$E$13*M702+Escenarios!$E$14*U702)/(Escenarios!$E$16),M702)</f>
        <v>1.0283784837252981E-2</v>
      </c>
      <c r="AD702" s="76">
        <f t="shared" si="141"/>
        <v>62.186489102669597</v>
      </c>
      <c r="AE702" s="76">
        <f>MAX(0,(AD702-Constantes!$D$13)*(1-EXP(-Constantes!$D$23)))</f>
        <v>0.13239292745097153</v>
      </c>
      <c r="AF702" s="76">
        <f>AB702+O702*Escenarios!$E$13/Escenarios!$E$16+AE702</f>
        <v>1.0700367468498504</v>
      </c>
      <c r="AG702" s="76">
        <f>IF(Entradas!$E$91&gt;0,IF(AF702-Escenarios!$E$38&lt;=0,0,IF(AF702-Escenarios!$E$38&gt;Escenarios!$E$37,Escenarios!$E$37,AF702-Escenarios!$E$38)),0)</f>
        <v>0</v>
      </c>
      <c r="AH702" s="76">
        <f>AG702*Entradas!$E$99</f>
        <v>0</v>
      </c>
      <c r="AI702" s="76">
        <f>IF(Entradas!$E$91&gt;0,D702*Entradas!$D$23/Escenarios!$E$16,0)</f>
        <v>0</v>
      </c>
      <c r="AJ702" s="76">
        <f>IF(Entradas!$E$91&gt;0,Entradas!$D$24*Entradas!$D$22/Escenarios!$E$16,0)</f>
        <v>0</v>
      </c>
      <c r="AK702" s="76">
        <f t="shared" si="150"/>
        <v>2.474103238952039</v>
      </c>
      <c r="AL702" s="76">
        <f t="shared" si="151"/>
        <v>0</v>
      </c>
      <c r="AM702" s="76">
        <f t="shared" si="142"/>
        <v>0</v>
      </c>
      <c r="AN702" s="76">
        <f>MAX(0,O702*Escenarios!$E$13/Escenarios!$E$16-AM702)</f>
        <v>0.93764381939887886</v>
      </c>
      <c r="AO702" s="76">
        <f>AM702+AN702-O702*Escenarios!$E$13/Escenarios!$E$16</f>
        <v>0</v>
      </c>
      <c r="AP702" s="76">
        <f t="shared" si="140"/>
        <v>0.13239292745097153</v>
      </c>
      <c r="AQ702" s="76">
        <f t="shared" si="143"/>
        <v>0</v>
      </c>
      <c r="AR702" s="76">
        <f t="shared" si="144"/>
        <v>1.0700367468498504</v>
      </c>
      <c r="AS702" s="76">
        <f t="shared" si="145"/>
        <v>0</v>
      </c>
      <c r="AT702" s="76">
        <f t="shared" si="146"/>
        <v>1.0283784837252981E-2</v>
      </c>
      <c r="AU702" s="76">
        <f t="shared" si="147"/>
        <v>48.75</v>
      </c>
      <c r="AV702" s="76">
        <f>MAX(0,(AU702-Constantes!$D$13)*(1-EXP(-Constantes!$D$24)))</f>
        <v>0</v>
      </c>
      <c r="AW702" s="170">
        <f>AW701+(Entradas!$E$112*AT702-AX701)/(800*Entradas!$D$25)</f>
        <v>0</v>
      </c>
      <c r="AX702" s="170">
        <f>8000*Entradas!$D$26*AW702/Constantes!$E$45</f>
        <v>0</v>
      </c>
      <c r="AY702" s="170">
        <f>IF(Escenarios!$E$17&gt;0,10*Escenarios!$E$16*AL702,0)</f>
        <v>0</v>
      </c>
      <c r="AZ702" s="170">
        <f>IF(Escenarios!$E$17&gt;0,10*Escenarios!$E$16*AX702,0)</f>
        <v>0</v>
      </c>
      <c r="BA702" s="170">
        <f>IF(Escenarios!$E$17&gt;0,0.001*Observaciones!$F701*Escenarios!$E$17,0)</f>
        <v>5.9999999999999991</v>
      </c>
      <c r="BB702" s="170">
        <f>IF(Escenarios!$E$17&gt;0,Observaciones!$K701,0)</f>
        <v>0</v>
      </c>
      <c r="BC702" s="170">
        <f>IF(Escenarios!$E$17&gt;0,MIN(0.0005*ETo!$M701*Escenarios!$E$17*(BG701/Constantes!$E$40)^(2/3),BG701+AY702+AZ702+BA702+BB702),0)</f>
        <v>19.92809049577528</v>
      </c>
      <c r="BD702" s="170">
        <f>IF(Escenarios!$E$17&gt;0,MIN(Constantes!$E$39*(BG701/Constantes!$E$40)^(2/3),BG701+AY702+AZ702+BA702+BB702-BC702),0)</f>
        <v>30.863466821147846</v>
      </c>
      <c r="BE702" s="170">
        <f>IF(Escenarios!$E$17&gt;0,MIN(Entradas!$E$113,BG701+AY702+AZ702+BA702+BB702-BC702-BD702),0)</f>
        <v>1</v>
      </c>
      <c r="BF702" s="170">
        <f>IF(Escenarios!$E$17&gt;0,MAX(0,BG701+AY702+AZ702+BA702+BB702-BC702-BD702-BE702-Constantes!$E$40),0)</f>
        <v>0</v>
      </c>
      <c r="BG702" s="170">
        <f t="shared" si="152"/>
        <v>1551.708278090561</v>
      </c>
      <c r="BH702" s="170">
        <f>(Escenarios!$E$16*AK702+0.1*BC702)/(Escenarios!$E$19)</f>
        <v>2.4623754713793149</v>
      </c>
      <c r="BI702" s="170">
        <f>IF(Escenarios!$E$17&gt;0,BF702/10/Escenarios!$E$19,AL702)</f>
        <v>0</v>
      </c>
      <c r="BJ702" s="170">
        <f>(Escenarios!$E$16*AT702+0.1*BD702)/(Escenarios!$E$19)</f>
        <v>2.2449574965984247E-2</v>
      </c>
      <c r="BK702" s="76">
        <f>BK701+(0.1*BD702)/(Escenarios!$E$19)-BL701</f>
        <v>49.599064397370832</v>
      </c>
      <c r="BL702" s="76">
        <f>MAX(0,(BK702-Constantes!$D$13)*(1-EXP(-Constantes!$D$23)))</f>
        <v>8.366033738678464E-3</v>
      </c>
      <c r="BM702" s="76">
        <f t="shared" si="148"/>
        <v>0.14075896118965001</v>
      </c>
      <c r="BN702" s="76">
        <f t="shared" si="153"/>
        <v>1.0784027805885288</v>
      </c>
      <c r="BO702" s="76">
        <f>0.0526*BI702*Observaciones!$F701^1.218</f>
        <v>0</v>
      </c>
      <c r="BP702" s="76">
        <f>BO702*Constantes!$E$51</f>
        <v>0</v>
      </c>
      <c r="BQ702" s="76">
        <f t="shared" si="149"/>
        <v>0</v>
      </c>
      <c r="BR702" s="40"/>
    </row>
    <row r="703" spans="1:70">
      <c r="A703" s="147"/>
      <c r="B703" s="39"/>
      <c r="C703" s="75">
        <v>697</v>
      </c>
      <c r="D703" s="146">
        <f>ETo!$I702*((1-Constantes!$E$19)*ETo!$K702+ETo!$L702)</f>
        <v>4.5571705227729691</v>
      </c>
      <c r="E703" s="76">
        <f>MIN(D703*Constantes!$E$17,0.8*(N702+Observaciones!$F702-F703-M703-Constantes!$D$14))</f>
        <v>2.2280567812617948</v>
      </c>
      <c r="F703" s="76">
        <f>IF(Observaciones!$F702&gt;0.05*Constantes!$E$18,((Observaciones!$F702-0.05*Constantes!$E$18)^2)/(Observaciones!$F702+0.95*Constantes!$E$18),0)</f>
        <v>0</v>
      </c>
      <c r="G703" s="76">
        <f>IF(Escenarios!$E$11&gt;0,(F703*Escenarios!$E$16*10000)/1000,0)</f>
        <v>0</v>
      </c>
      <c r="H703" s="76">
        <f>IF(Escenarios!$E$11&gt;0,(Observaciones!$F702*Constantes!$E$29)/1000,0)</f>
        <v>0</v>
      </c>
      <c r="I703" s="76">
        <f>IF(Escenarios!$E$11&gt;0,(D703*Constantes!$E$29)/1000,0)</f>
        <v>45.571705227729687</v>
      </c>
      <c r="J703" s="76">
        <f>IF(Escenarios!$E$11&gt;0,MAX(0,G703+H703-I703),0)</f>
        <v>0</v>
      </c>
      <c r="K703" s="76">
        <f>IF(Escenarios!$E$11&gt;0,IF(J703&gt;Constantes!$E$30,1000*((J703-Constantes!$E$30)/(Escenarios!$E$16*10000)),0),F703)</f>
        <v>0</v>
      </c>
      <c r="L703" s="76">
        <f>IF(Escenarios!$E$11&gt;0,I703*1000/Escenarios!$E$16/10000+E703,E703)</f>
        <v>2.2462854633528866</v>
      </c>
      <c r="M703" s="76">
        <f>MAX(0,N702+Observaciones!$F702-K703-Constantes!$D$13)</f>
        <v>0</v>
      </c>
      <c r="N703" s="76">
        <f>N702+Observaciones!$F702-K703-L703-M703-O702</f>
        <v>39.217996155931623</v>
      </c>
      <c r="O703" s="76">
        <f>MAX(0,(N703-Constantes!$D$14)*(1-EXP(-Constantes!$D$22)))</f>
        <v>0.95269262168683744</v>
      </c>
      <c r="P703" s="170">
        <f>P702+(Entradas!$E$83*M703-Q702)/(800*Entradas!$D$25)</f>
        <v>0</v>
      </c>
      <c r="Q703" s="170">
        <f>8000*Entradas!$D$26*P703/Constantes!$E$45</f>
        <v>0</v>
      </c>
      <c r="R703" s="170">
        <f>IF(Escenarios!$E$14&gt;0,K703*Escenarios!$E$13/Escenarios!$E$14,0)</f>
        <v>0</v>
      </c>
      <c r="S703" s="170">
        <f>IF(Escenarios!$E$14&gt;0,Q703*Escenarios!$E$13/Escenarios!$E$14,0)</f>
        <v>0</v>
      </c>
      <c r="T703" s="170">
        <f>IF(Escenarios!$E$14&gt;0,Observaciones!$I702,0)</f>
        <v>0</v>
      </c>
      <c r="U703" s="170">
        <f>IF(Escenarios!$E$14&gt;0,MAX(0,Constantes!$E$36/((Z702+R703+S703+T703+Observaciones!$F702)^2)+Entradas!$E$77),0)</f>
        <v>0</v>
      </c>
      <c r="V703" s="146">
        <f>IF(ETo!D702&gt;0,ETo!I702*((1-Entradas!$E$81)*ETo!K702+ETo!L702),0)</f>
        <v>4.1671074784492941</v>
      </c>
      <c r="W703" s="170">
        <f>IF(Escenarios!$E$14&gt;0,MIN(V703*1,0.8*(Z702+R703+S703+T703+Observaciones!$F702-U703-Constantes!$E$35)),0)</f>
        <v>4.1671074784492941</v>
      </c>
      <c r="X703" s="170">
        <f>IF(Escenarios!$E$14&gt;0,Observaciones!$J702,0)</f>
        <v>0</v>
      </c>
      <c r="Y703" s="170">
        <f>IF(Escenarios!$E$14&gt;0,MAX(0,Z702+R703+S703+T703+Observaciones!$F702-U703-W703-X703-Constantes!$E$33),0)</f>
        <v>0</v>
      </c>
      <c r="Z703" s="170">
        <f>Z702+R703+S703+T703+Observaciones!$F702-U703-W703-Y703</f>
        <v>50.938552053658896</v>
      </c>
      <c r="AA703" s="170">
        <f>IF(Escenarios!$E$14&gt;0,(Escenarios!$E$13*L703+Escenarios!$E$14*W703)/(Escenarios!$E$16),L703)</f>
        <v>2.4767841051644557</v>
      </c>
      <c r="AB703" s="170">
        <f>IF(Escenarios!$E$14&gt;0,(Escenarios!$E$14*Y703)/(Escenarios!$E$16),K703)</f>
        <v>0</v>
      </c>
      <c r="AC703" s="170">
        <f>IF(Escenarios!$E$14&gt;0,(Escenarios!$E$13*M703+Escenarios!$E$14*U703)/(Escenarios!$E$16),M703)</f>
        <v>0</v>
      </c>
      <c r="AD703" s="76">
        <f t="shared" si="141"/>
        <v>62.054096175218625</v>
      </c>
      <c r="AE703" s="76">
        <f>MAX(0,(AD703-Constantes!$D$13)*(1-EXP(-Constantes!$D$23)))</f>
        <v>0.13108842840325854</v>
      </c>
      <c r="AF703" s="76">
        <f>AB703+O703*Escenarios!$E$13/Escenarios!$E$16+AE703</f>
        <v>0.96945793548767545</v>
      </c>
      <c r="AG703" s="76">
        <f>IF(Entradas!$E$91&gt;0,IF(AF703-Escenarios!$E$38&lt;=0,0,IF(AF703-Escenarios!$E$38&gt;Escenarios!$E$37,Escenarios!$E$37,AF703-Escenarios!$E$38)),0)</f>
        <v>0</v>
      </c>
      <c r="AH703" s="76">
        <f>AG703*Entradas!$E$99</f>
        <v>0</v>
      </c>
      <c r="AI703" s="76">
        <f>IF(Entradas!$E$91&gt;0,D703*Entradas!$D$23/Escenarios!$E$16,0)</f>
        <v>0</v>
      </c>
      <c r="AJ703" s="76">
        <f>IF(Entradas!$E$91&gt;0,Entradas!$D$24*Entradas!$D$22/Escenarios!$E$16,0)</f>
        <v>0</v>
      </c>
      <c r="AK703" s="76">
        <f t="shared" si="150"/>
        <v>2.4767841051644557</v>
      </c>
      <c r="AL703" s="76">
        <f t="shared" si="151"/>
        <v>0</v>
      </c>
      <c r="AM703" s="76">
        <f t="shared" si="142"/>
        <v>0</v>
      </c>
      <c r="AN703" s="76">
        <f>MAX(0,O703*Escenarios!$E$13/Escenarios!$E$16-AM703)</f>
        <v>0.83836950708441693</v>
      </c>
      <c r="AO703" s="76">
        <f>AM703+AN703-O703*Escenarios!$E$13/Escenarios!$E$16</f>
        <v>0</v>
      </c>
      <c r="AP703" s="76">
        <f t="shared" si="140"/>
        <v>0.13108842840325854</v>
      </c>
      <c r="AQ703" s="76">
        <f t="shared" si="143"/>
        <v>0</v>
      </c>
      <c r="AR703" s="76">
        <f t="shared" si="144"/>
        <v>0.96945793548767545</v>
      </c>
      <c r="AS703" s="76">
        <f t="shared" si="145"/>
        <v>0</v>
      </c>
      <c r="AT703" s="76">
        <f t="shared" si="146"/>
        <v>0</v>
      </c>
      <c r="AU703" s="76">
        <f t="shared" si="147"/>
        <v>48.75</v>
      </c>
      <c r="AV703" s="76">
        <f>MAX(0,(AU703-Constantes!$D$13)*(1-EXP(-Constantes!$D$24)))</f>
        <v>0</v>
      </c>
      <c r="AW703" s="170">
        <f>AW702+(Entradas!$E$112*AT703-AX702)/(800*Entradas!$D$25)</f>
        <v>0</v>
      </c>
      <c r="AX703" s="170">
        <f>8000*Entradas!$D$26*AW703/Constantes!$E$45</f>
        <v>0</v>
      </c>
      <c r="AY703" s="170">
        <f>IF(Escenarios!$E$17&gt;0,10*Escenarios!$E$16*AL703,0)</f>
        <v>0</v>
      </c>
      <c r="AZ703" s="170">
        <f>IF(Escenarios!$E$17&gt;0,10*Escenarios!$E$16*AX703,0)</f>
        <v>0</v>
      </c>
      <c r="BA703" s="170">
        <f>IF(Escenarios!$E$17&gt;0,0.001*Observaciones!$F702*Escenarios!$E$17,0)</f>
        <v>0</v>
      </c>
      <c r="BB703" s="170">
        <f>IF(Escenarios!$E$17&gt;0,Observaciones!$K702,0)</f>
        <v>0</v>
      </c>
      <c r="BC703" s="170">
        <f>IF(Escenarios!$E$17&gt;0,MIN(0.0005*ETo!$M702*Escenarios!$E$17*(BG702/Constantes!$E$40)^(2/3),BG702+AY703+AZ703+BA703+BB703),0)</f>
        <v>19.566098834047434</v>
      </c>
      <c r="BD703" s="170">
        <f>IF(Escenarios!$E$17&gt;0,MIN(Constantes!$E$39*(BG702/Constantes!$E$40)^(2/3),BG702+AY703+AZ703+BA703+BB703-BC703),0)</f>
        <v>30.270821771428757</v>
      </c>
      <c r="BE703" s="170">
        <f>IF(Escenarios!$E$17&gt;0,MIN(Entradas!$E$113,BG702+AY703+AZ703+BA703+BB703-BC703-BD703),0)</f>
        <v>1</v>
      </c>
      <c r="BF703" s="170">
        <f>IF(Escenarios!$E$17&gt;0,MAX(0,BG702+AY703+AZ703+BA703+BB703-BC703-BD703-BE703-Constantes!$E$40),0)</f>
        <v>0</v>
      </c>
      <c r="BG703" s="170">
        <f t="shared" si="152"/>
        <v>1500.8713574850849</v>
      </c>
      <c r="BH703" s="170">
        <f>(Escenarios!$E$16*AK703+0.1*BC703)/(Escenarios!$E$19)</f>
        <v>2.464891413390947</v>
      </c>
      <c r="BI703" s="170">
        <f>IF(Escenarios!$E$17&gt;0,BF703/10/Escenarios!$E$19,AL703)</f>
        <v>0</v>
      </c>
      <c r="BJ703" s="170">
        <f>(Escenarios!$E$16*AT703+0.1*BD703)/(Escenarios!$E$19)</f>
        <v>1.201223086167808E-2</v>
      </c>
      <c r="BK703" s="76">
        <f>BK702+(0.1*BD703)/(Escenarios!$E$19)-BL702</f>
        <v>49.602710594493828</v>
      </c>
      <c r="BL703" s="76">
        <f>MAX(0,(BK703-Constantes!$D$13)*(1-EXP(-Constantes!$D$23)))</f>
        <v>8.4019605873878449E-3</v>
      </c>
      <c r="BM703" s="76">
        <f t="shared" si="148"/>
        <v>0.13949038899064639</v>
      </c>
      <c r="BN703" s="76">
        <f t="shared" si="153"/>
        <v>0.9778598960750633</v>
      </c>
      <c r="BO703" s="76">
        <f>0.0526*BI703*Observaciones!$F702^1.218</f>
        <v>0</v>
      </c>
      <c r="BP703" s="76">
        <f>BO703*Constantes!$E$51</f>
        <v>0</v>
      </c>
      <c r="BQ703" s="76">
        <f t="shared" si="149"/>
        <v>0</v>
      </c>
      <c r="BR703" s="40"/>
    </row>
    <row r="704" spans="1:70">
      <c r="A704" s="147"/>
      <c r="B704" s="39"/>
      <c r="C704" s="75">
        <v>698</v>
      </c>
      <c r="D704" s="146">
        <f>ETo!$I703*((1-Constantes!$E$19)*ETo!$K703+ETo!$L703)</f>
        <v>4.4394599406136486</v>
      </c>
      <c r="E704" s="76">
        <f>MIN(D704*Constantes!$E$17,0.8*(N703+Observaciones!$F703-F704-M704-Constantes!$D$14))</f>
        <v>2.1705066282675718</v>
      </c>
      <c r="F704" s="76">
        <f>IF(Observaciones!$F703&gt;0.05*Constantes!$E$18,((Observaciones!$F703-0.05*Constantes!$E$18)^2)/(Observaciones!$F703+0.95*Constantes!$E$18),0)</f>
        <v>0</v>
      </c>
      <c r="G704" s="76">
        <f>IF(Escenarios!$E$11&gt;0,(F704*Escenarios!$E$16*10000)/1000,0)</f>
        <v>0</v>
      </c>
      <c r="H704" s="76">
        <f>IF(Escenarios!$E$11&gt;0,(Observaciones!$F703*Constantes!$E$29)/1000,0)</f>
        <v>0</v>
      </c>
      <c r="I704" s="76">
        <f>IF(Escenarios!$E$11&gt;0,(D704*Constantes!$E$29)/1000,0)</f>
        <v>44.394599406136486</v>
      </c>
      <c r="J704" s="76">
        <f>IF(Escenarios!$E$11&gt;0,MAX(0,G704+H704-I704),0)</f>
        <v>0</v>
      </c>
      <c r="K704" s="76">
        <f>IF(Escenarios!$E$11&gt;0,IF(J704&gt;Constantes!$E$30,1000*((J704-Constantes!$E$30)/(Escenarios!$E$16*10000)),0),F704)</f>
        <v>0</v>
      </c>
      <c r="L704" s="76">
        <f>IF(Escenarios!$E$11&gt;0,I704*1000/Escenarios!$E$16/10000+E704,E704)</f>
        <v>2.1882644680300265</v>
      </c>
      <c r="M704" s="76">
        <f>MAX(0,N703+Observaciones!$F703-K704-Constantes!$D$13)</f>
        <v>0</v>
      </c>
      <c r="N704" s="76">
        <f>N703+Observaciones!$F703-K704-L704-M704-O703</f>
        <v>36.077039066214759</v>
      </c>
      <c r="O704" s="76">
        <f>MAX(0,(N704-Constantes!$D$14)*(1-EXP(-Constantes!$D$22)))</f>
        <v>0.84570009252154799</v>
      </c>
      <c r="P704" s="170">
        <f>P703+(Entradas!$E$83*M704-Q703)/(800*Entradas!$D$25)</f>
        <v>0</v>
      </c>
      <c r="Q704" s="170">
        <f>8000*Entradas!$D$26*P704/Constantes!$E$45</f>
        <v>0</v>
      </c>
      <c r="R704" s="170">
        <f>IF(Escenarios!$E$14&gt;0,K704*Escenarios!$E$13/Escenarios!$E$14,0)</f>
        <v>0</v>
      </c>
      <c r="S704" s="170">
        <f>IF(Escenarios!$E$14&gt;0,Q704*Escenarios!$E$13/Escenarios!$E$14,0)</f>
        <v>0</v>
      </c>
      <c r="T704" s="170">
        <f>IF(Escenarios!$E$14&gt;0,Observaciones!$I703,0)</f>
        <v>0</v>
      </c>
      <c r="U704" s="170">
        <f>IF(Escenarios!$E$14&gt;0,MAX(0,Constantes!$E$36/((Z703+R704+S704+T704+Observaciones!$F703)^2)+Entradas!$E$77),0)</f>
        <v>0</v>
      </c>
      <c r="V704" s="146">
        <f>IF(ETo!D703&gt;0,ETo!I703*((1-Entradas!$E$81)*ETo!K703+ETo!L703),0)</f>
        <v>4.0579338998649988</v>
      </c>
      <c r="W704" s="170">
        <f>IF(Escenarios!$E$14&gt;0,MIN(V704*1,0.8*(Z703+R704+S704+T704+Observaciones!$F703-U704-Constantes!$E$35)),0)</f>
        <v>4.0579338998649988</v>
      </c>
      <c r="X704" s="170">
        <f>IF(Escenarios!$E$14&gt;0,Observaciones!$J703,0)</f>
        <v>0</v>
      </c>
      <c r="Y704" s="170">
        <f>IF(Escenarios!$E$14&gt;0,MAX(0,Z703+R704+S704+T704+Observaciones!$F703-U704-W704-X704-Constantes!$E$33),0)</f>
        <v>0</v>
      </c>
      <c r="Z704" s="170">
        <f>Z703+R704+S704+T704+Observaciones!$F703-U704-W704-Y704</f>
        <v>46.880618153793897</v>
      </c>
      <c r="AA704" s="170">
        <f>IF(Escenarios!$E$14&gt;0,(Escenarios!$E$13*L704+Escenarios!$E$14*W704)/(Escenarios!$E$16),L704)</f>
        <v>2.412624799850223</v>
      </c>
      <c r="AB704" s="170">
        <f>IF(Escenarios!$E$14&gt;0,(Escenarios!$E$14*Y704)/(Escenarios!$E$16),K704)</f>
        <v>0</v>
      </c>
      <c r="AC704" s="170">
        <f>IF(Escenarios!$E$14&gt;0,(Escenarios!$E$13*M704+Escenarios!$E$14*U704)/(Escenarios!$E$16),M704)</f>
        <v>0</v>
      </c>
      <c r="AD704" s="76">
        <f t="shared" si="141"/>
        <v>61.923007746815365</v>
      </c>
      <c r="AE704" s="76">
        <f>MAX(0,(AD704-Constantes!$D$13)*(1-EXP(-Constantes!$D$23)))</f>
        <v>0.12979678289537014</v>
      </c>
      <c r="AF704" s="76">
        <f>AB704+O704*Escenarios!$E$13/Escenarios!$E$16+AE704</f>
        <v>0.87401286431433234</v>
      </c>
      <c r="AG704" s="76">
        <f>IF(Entradas!$E$91&gt;0,IF(AF704-Escenarios!$E$38&lt;=0,0,IF(AF704-Escenarios!$E$38&gt;Escenarios!$E$37,Escenarios!$E$37,AF704-Escenarios!$E$38)),0)</f>
        <v>0</v>
      </c>
      <c r="AH704" s="76">
        <f>AG704*Entradas!$E$99</f>
        <v>0</v>
      </c>
      <c r="AI704" s="76">
        <f>IF(Entradas!$E$91&gt;0,D704*Entradas!$D$23/Escenarios!$E$16,0)</f>
        <v>0</v>
      </c>
      <c r="AJ704" s="76">
        <f>IF(Entradas!$E$91&gt;0,Entradas!$D$24*Entradas!$D$22/Escenarios!$E$16,0)</f>
        <v>0</v>
      </c>
      <c r="AK704" s="76">
        <f t="shared" si="150"/>
        <v>2.412624799850223</v>
      </c>
      <c r="AL704" s="76">
        <f t="shared" si="151"/>
        <v>0</v>
      </c>
      <c r="AM704" s="76">
        <f t="shared" si="142"/>
        <v>0</v>
      </c>
      <c r="AN704" s="76">
        <f>MAX(0,O704*Escenarios!$E$13/Escenarios!$E$16-AM704)</f>
        <v>0.74421608141896223</v>
      </c>
      <c r="AO704" s="76">
        <f>AM704+AN704-O704*Escenarios!$E$13/Escenarios!$E$16</f>
        <v>0</v>
      </c>
      <c r="AP704" s="76">
        <f t="shared" si="140"/>
        <v>0.12979678289537014</v>
      </c>
      <c r="AQ704" s="76">
        <f t="shared" si="143"/>
        <v>0</v>
      </c>
      <c r="AR704" s="76">
        <f t="shared" si="144"/>
        <v>0.87401286431433234</v>
      </c>
      <c r="AS704" s="76">
        <f t="shared" si="145"/>
        <v>0</v>
      </c>
      <c r="AT704" s="76">
        <f t="shared" si="146"/>
        <v>0</v>
      </c>
      <c r="AU704" s="76">
        <f t="shared" si="147"/>
        <v>48.75</v>
      </c>
      <c r="AV704" s="76">
        <f>MAX(0,(AU704-Constantes!$D$13)*(1-EXP(-Constantes!$D$24)))</f>
        <v>0</v>
      </c>
      <c r="AW704" s="170">
        <f>AW703+(Entradas!$E$112*AT704-AX703)/(800*Entradas!$D$25)</f>
        <v>0</v>
      </c>
      <c r="AX704" s="170">
        <f>8000*Entradas!$D$26*AW704/Constantes!$E$45</f>
        <v>0</v>
      </c>
      <c r="AY704" s="170">
        <f>IF(Escenarios!$E$17&gt;0,10*Escenarios!$E$16*AL704,0)</f>
        <v>0</v>
      </c>
      <c r="AZ704" s="170">
        <f>IF(Escenarios!$E$17&gt;0,10*Escenarios!$E$16*AX704,0)</f>
        <v>0</v>
      </c>
      <c r="BA704" s="170">
        <f>IF(Escenarios!$E$17&gt;0,0.001*Observaciones!$F703*Escenarios!$E$17,0)</f>
        <v>0</v>
      </c>
      <c r="BB704" s="170">
        <f>IF(Escenarios!$E$17&gt;0,Observaciones!$K703,0)</f>
        <v>0</v>
      </c>
      <c r="BC704" s="170">
        <f>IF(Escenarios!$E$17&gt;0,MIN(0.0005*ETo!$M703*Escenarios!$E$17*(BG703/Constantes!$E$40)^(2/3),BG703+AY704+AZ704+BA704+BB704),0)</f>
        <v>18.65105174683622</v>
      </c>
      <c r="BD704" s="170">
        <f>IF(Escenarios!$E$17&gt;0,MIN(Constantes!$E$39*(BG703/Constantes!$E$40)^(2/3),BG703+AY704+AZ704+BA704+BB704-BC704),0)</f>
        <v>29.606004861823145</v>
      </c>
      <c r="BE704" s="170">
        <f>IF(Escenarios!$E$17&gt;0,MIN(Entradas!$E$113,BG703+AY704+AZ704+BA704+BB704-BC704-BD704),0)</f>
        <v>1</v>
      </c>
      <c r="BF704" s="170">
        <f>IF(Escenarios!$E$17&gt;0,MAX(0,BG703+AY704+AZ704+BA704+BB704-BC704-BD704-BE704-Constantes!$E$40),0)</f>
        <v>0</v>
      </c>
      <c r="BG704" s="170">
        <f t="shared" si="152"/>
        <v>1451.6143008764257</v>
      </c>
      <c r="BH704" s="170">
        <f>(Escenarios!$E$16*AK704+0.1*BC704)/(Escenarios!$E$19)</f>
        <v>2.4008781949890454</v>
      </c>
      <c r="BI704" s="170">
        <f>IF(Escenarios!$E$17&gt;0,BF704/10/Escenarios!$E$19,AL704)</f>
        <v>0</v>
      </c>
      <c r="BJ704" s="170">
        <f>(Escenarios!$E$16*AT704+0.1*BD704)/(Escenarios!$E$19)</f>
        <v>1.1748414627707598E-2</v>
      </c>
      <c r="BK704" s="76">
        <f>BK703+(0.1*BD704)/(Escenarios!$E$19)-BL703</f>
        <v>49.606057048534154</v>
      </c>
      <c r="BL704" s="76">
        <f>MAX(0,(BK704-Constantes!$D$13)*(1-EXP(-Constantes!$D$23)))</f>
        <v>8.4349339961104289E-3</v>
      </c>
      <c r="BM704" s="76">
        <f t="shared" si="148"/>
        <v>0.13823171689148056</v>
      </c>
      <c r="BN704" s="76">
        <f t="shared" si="153"/>
        <v>0.88244779831044273</v>
      </c>
      <c r="BO704" s="76">
        <f>0.0526*BI704*Observaciones!$F703^1.218</f>
        <v>0</v>
      </c>
      <c r="BP704" s="76">
        <f>BO704*Constantes!$E$51</f>
        <v>0</v>
      </c>
      <c r="BQ704" s="76">
        <f t="shared" si="149"/>
        <v>0</v>
      </c>
      <c r="BR704" s="40"/>
    </row>
    <row r="705" spans="1:70">
      <c r="A705" s="147"/>
      <c r="B705" s="39"/>
      <c r="C705" s="75">
        <v>699</v>
      </c>
      <c r="D705" s="146">
        <f>ETo!$I704*((1-Constantes!$E$19)*ETo!$K704+ETo!$L704)</f>
        <v>4.3398291995322316</v>
      </c>
      <c r="E705" s="76">
        <f>MIN(D705*Constantes!$E$17,0.8*(N704+Observaciones!$F704-F705-M705-Constantes!$D$14))</f>
        <v>2.1217959321943609</v>
      </c>
      <c r="F705" s="76">
        <f>IF(Observaciones!$F704&gt;0.05*Constantes!$E$18,((Observaciones!$F704-0.05*Constantes!$E$18)^2)/(Observaciones!$F704+0.95*Constantes!$E$18),0)</f>
        <v>0</v>
      </c>
      <c r="G705" s="76">
        <f>IF(Escenarios!$E$11&gt;0,(F705*Escenarios!$E$16*10000)/1000,0)</f>
        <v>0</v>
      </c>
      <c r="H705" s="76">
        <f>IF(Escenarios!$E$11&gt;0,(Observaciones!$F704*Constantes!$E$29)/1000,0)</f>
        <v>0</v>
      </c>
      <c r="I705" s="76">
        <f>IF(Escenarios!$E$11&gt;0,(D705*Constantes!$E$29)/1000,0)</f>
        <v>43.398291995322317</v>
      </c>
      <c r="J705" s="76">
        <f>IF(Escenarios!$E$11&gt;0,MAX(0,G705+H705-I705),0)</f>
        <v>0</v>
      </c>
      <c r="K705" s="76">
        <f>IF(Escenarios!$E$11&gt;0,IF(J705&gt;Constantes!$E$30,1000*((J705-Constantes!$E$30)/(Escenarios!$E$16*10000)),0),F705)</f>
        <v>0</v>
      </c>
      <c r="L705" s="76">
        <f>IF(Escenarios!$E$11&gt;0,I705*1000/Escenarios!$E$16/10000+E705,E705)</f>
        <v>2.1391552489924899</v>
      </c>
      <c r="M705" s="76">
        <f>MAX(0,N704+Observaciones!$F704-K705-Constantes!$D$13)</f>
        <v>0</v>
      </c>
      <c r="N705" s="76">
        <f>N704+Observaciones!$F704-K705-L705-M705-O704</f>
        <v>33.092183724700725</v>
      </c>
      <c r="O705" s="76">
        <f>MAX(0,(N705-Constantes!$D$14)*(1-EXP(-Constantes!$D$22)))</f>
        <v>0.74402496196129631</v>
      </c>
      <c r="P705" s="170">
        <f>P704+(Entradas!$E$83*M705-Q704)/(800*Entradas!$D$25)</f>
        <v>0</v>
      </c>
      <c r="Q705" s="170">
        <f>8000*Entradas!$D$26*P705/Constantes!$E$45</f>
        <v>0</v>
      </c>
      <c r="R705" s="170">
        <f>IF(Escenarios!$E$14&gt;0,K705*Escenarios!$E$13/Escenarios!$E$14,0)</f>
        <v>0</v>
      </c>
      <c r="S705" s="170">
        <f>IF(Escenarios!$E$14&gt;0,Q705*Escenarios!$E$13/Escenarios!$E$14,0)</f>
        <v>0</v>
      </c>
      <c r="T705" s="170">
        <f>IF(Escenarios!$E$14&gt;0,Observaciones!$I704,0)</f>
        <v>0</v>
      </c>
      <c r="U705" s="170">
        <f>IF(Escenarios!$E$14&gt;0,MAX(0,Constantes!$E$36/((Z704+R705+S705+T705+Observaciones!$F704)^2)+Entradas!$E$77),0)</f>
        <v>0</v>
      </c>
      <c r="V705" s="146">
        <f>IF(ETo!D704&gt;0,ETo!I704*((1-Entradas!$E$81)*ETo!K704+ETo!L704),0)</f>
        <v>3.9657716918075887</v>
      </c>
      <c r="W705" s="170">
        <f>IF(Escenarios!$E$14&gt;0,MIN(V705*1,0.8*(Z704+R705+S705+T705+Observaciones!$F704-U705-Constantes!$E$35)),0)</f>
        <v>3.9657716918075887</v>
      </c>
      <c r="X705" s="170">
        <f>IF(Escenarios!$E$14&gt;0,Observaciones!$J704,0)</f>
        <v>0</v>
      </c>
      <c r="Y705" s="170">
        <f>IF(Escenarios!$E$14&gt;0,MAX(0,Z704+R705+S705+T705+Observaciones!$F704-U705-W705-X705-Constantes!$E$33),0)</f>
        <v>0</v>
      </c>
      <c r="Z705" s="170">
        <f>Z704+R705+S705+T705+Observaciones!$F704-U705-W705-Y705</f>
        <v>42.914846461986308</v>
      </c>
      <c r="AA705" s="170">
        <f>IF(Escenarios!$E$14&gt;0,(Escenarios!$E$13*L705+Escenarios!$E$14*W705)/(Escenarios!$E$16),L705)</f>
        <v>2.3583492221303017</v>
      </c>
      <c r="AB705" s="170">
        <f>IF(Escenarios!$E$14&gt;0,(Escenarios!$E$14*Y705)/(Escenarios!$E$16),K705)</f>
        <v>0</v>
      </c>
      <c r="AC705" s="170">
        <f>IF(Escenarios!$E$14&gt;0,(Escenarios!$E$13*M705+Escenarios!$E$14*U705)/(Escenarios!$E$16),M705)</f>
        <v>0</v>
      </c>
      <c r="AD705" s="76">
        <f t="shared" si="141"/>
        <v>61.793210963919996</v>
      </c>
      <c r="AE705" s="76">
        <f>MAX(0,(AD705-Constantes!$D$13)*(1-EXP(-Constantes!$D$23)))</f>
        <v>0.12851786427831699</v>
      </c>
      <c r="AF705" s="76">
        <f>AB705+O705*Escenarios!$E$13/Escenarios!$E$16+AE705</f>
        <v>0.78325983080425776</v>
      </c>
      <c r="AG705" s="76">
        <f>IF(Entradas!$E$91&gt;0,IF(AF705-Escenarios!$E$38&lt;=0,0,IF(AF705-Escenarios!$E$38&gt;Escenarios!$E$37,Escenarios!$E$37,AF705-Escenarios!$E$38)),0)</f>
        <v>0</v>
      </c>
      <c r="AH705" s="76">
        <f>AG705*Entradas!$E$99</f>
        <v>0</v>
      </c>
      <c r="AI705" s="76">
        <f>IF(Entradas!$E$91&gt;0,D705*Entradas!$D$23/Escenarios!$E$16,0)</f>
        <v>0</v>
      </c>
      <c r="AJ705" s="76">
        <f>IF(Entradas!$E$91&gt;0,Entradas!$D$24*Entradas!$D$22/Escenarios!$E$16,0)</f>
        <v>0</v>
      </c>
      <c r="AK705" s="76">
        <f t="shared" si="150"/>
        <v>2.3583492221303017</v>
      </c>
      <c r="AL705" s="76">
        <f t="shared" si="151"/>
        <v>0</v>
      </c>
      <c r="AM705" s="76">
        <f t="shared" si="142"/>
        <v>0</v>
      </c>
      <c r="AN705" s="76">
        <f>MAX(0,O705*Escenarios!$E$13/Escenarios!$E$16-AM705)</f>
        <v>0.65474196652594074</v>
      </c>
      <c r="AO705" s="76">
        <f>AM705+AN705-O705*Escenarios!$E$13/Escenarios!$E$16</f>
        <v>0</v>
      </c>
      <c r="AP705" s="76">
        <f t="shared" si="140"/>
        <v>0.12851786427831699</v>
      </c>
      <c r="AQ705" s="76">
        <f t="shared" si="143"/>
        <v>0</v>
      </c>
      <c r="AR705" s="76">
        <f t="shared" si="144"/>
        <v>0.78325983080425776</v>
      </c>
      <c r="AS705" s="76">
        <f t="shared" si="145"/>
        <v>0</v>
      </c>
      <c r="AT705" s="76">
        <f t="shared" si="146"/>
        <v>0</v>
      </c>
      <c r="AU705" s="76">
        <f t="shared" si="147"/>
        <v>48.75</v>
      </c>
      <c r="AV705" s="76">
        <f>MAX(0,(AU705-Constantes!$D$13)*(1-EXP(-Constantes!$D$24)))</f>
        <v>0</v>
      </c>
      <c r="AW705" s="170">
        <f>AW704+(Entradas!$E$112*AT705-AX704)/(800*Entradas!$D$25)</f>
        <v>0</v>
      </c>
      <c r="AX705" s="170">
        <f>8000*Entradas!$D$26*AW705/Constantes!$E$45</f>
        <v>0</v>
      </c>
      <c r="AY705" s="170">
        <f>IF(Escenarios!$E$17&gt;0,10*Escenarios!$E$16*AL705,0)</f>
        <v>0</v>
      </c>
      <c r="AZ705" s="170">
        <f>IF(Escenarios!$E$17&gt;0,10*Escenarios!$E$16*AX705,0)</f>
        <v>0</v>
      </c>
      <c r="BA705" s="170">
        <f>IF(Escenarios!$E$17&gt;0,0.001*Observaciones!$F704*Escenarios!$E$17,0)</f>
        <v>0</v>
      </c>
      <c r="BB705" s="170">
        <f>IF(Escenarios!$E$17&gt;0,Observaciones!$K704,0)</f>
        <v>0</v>
      </c>
      <c r="BC705" s="170">
        <f>IF(Escenarios!$E$17&gt;0,MIN(0.0005*ETo!$M704*Escenarios!$E$17*(BG704/Constantes!$E$40)^(2/3),BG704+AY705+AZ705+BA705+BB705),0)</f>
        <v>17.837583347174842</v>
      </c>
      <c r="BD705" s="170">
        <f>IF(Escenarios!$E$17&gt;0,MIN(Constantes!$E$39*(BG704/Constantes!$E$40)^(2/3),BG704+AY705+AZ705+BA705+BB705-BC705),0)</f>
        <v>28.954649921090486</v>
      </c>
      <c r="BE705" s="170">
        <f>IF(Escenarios!$E$17&gt;0,MIN(Entradas!$E$113,BG704+AY705+AZ705+BA705+BB705-BC705-BD705),0)</f>
        <v>1</v>
      </c>
      <c r="BF705" s="170">
        <f>IF(Escenarios!$E$17&gt;0,MAX(0,BG704+AY705+AZ705+BA705+BB705-BC705-BD705-BE705-Constantes!$E$40),0)</f>
        <v>0</v>
      </c>
      <c r="BG705" s="170">
        <f t="shared" si="152"/>
        <v>1403.8220676081603</v>
      </c>
      <c r="BH705" s="170">
        <f>(Escenarios!$E$16*AK705+0.1*BC705)/(Escenarios!$E$19)</f>
        <v>2.3467105709019562</v>
      </c>
      <c r="BI705" s="170">
        <f>IF(Escenarios!$E$17&gt;0,BF705/10/Escenarios!$E$19,AL705)</f>
        <v>0</v>
      </c>
      <c r="BJ705" s="170">
        <f>(Escenarios!$E$16*AT705+0.1*BD705)/(Escenarios!$E$19)</f>
        <v>1.1489940444877177E-2</v>
      </c>
      <c r="BK705" s="76">
        <f>BK704+(0.1*BD705)/(Escenarios!$E$19)-BL704</f>
        <v>49.609112054982916</v>
      </c>
      <c r="BL705" s="76">
        <f>MAX(0,(BK705-Constantes!$D$13)*(1-EXP(-Constantes!$D$23)))</f>
        <v>8.4650357022959203E-3</v>
      </c>
      <c r="BM705" s="76">
        <f t="shared" si="148"/>
        <v>0.13698289998061292</v>
      </c>
      <c r="BN705" s="76">
        <f t="shared" si="153"/>
        <v>0.79172486650655371</v>
      </c>
      <c r="BO705" s="76">
        <f>0.0526*BI705*Observaciones!$F704^1.218</f>
        <v>0</v>
      </c>
      <c r="BP705" s="76">
        <f>BO705*Constantes!$E$51</f>
        <v>0</v>
      </c>
      <c r="BQ705" s="76">
        <f t="shared" si="149"/>
        <v>0</v>
      </c>
      <c r="BR705" s="40"/>
    </row>
    <row r="706" spans="1:70">
      <c r="A706" s="147"/>
      <c r="B706" s="39"/>
      <c r="C706" s="75">
        <v>700</v>
      </c>
      <c r="D706" s="146">
        <f>ETo!$I705*((1-Constantes!$E$19)*ETo!$K705+ETo!$L705)</f>
        <v>4.2536956406752937</v>
      </c>
      <c r="E706" s="76">
        <f>MIN(D706*Constantes!$E$17,0.8*(N705+Observaciones!$F705-F706-M706-Constantes!$D$14))</f>
        <v>2.0796841747022059</v>
      </c>
      <c r="F706" s="76">
        <f>IF(Observaciones!$F705&gt;0.05*Constantes!$E$18,((Observaciones!$F705-0.05*Constantes!$E$18)^2)/(Observaciones!$F705+0.95*Constantes!$E$18),0)</f>
        <v>0</v>
      </c>
      <c r="G706" s="76">
        <f>IF(Escenarios!$E$11&gt;0,(F706*Escenarios!$E$16*10000)/1000,0)</f>
        <v>0</v>
      </c>
      <c r="H706" s="76">
        <f>IF(Escenarios!$E$11&gt;0,(Observaciones!$F705*Constantes!$E$29)/1000,0)</f>
        <v>0</v>
      </c>
      <c r="I706" s="76">
        <f>IF(Escenarios!$E$11&gt;0,(D706*Constantes!$E$29)/1000,0)</f>
        <v>42.536956406752935</v>
      </c>
      <c r="J706" s="76">
        <f>IF(Escenarios!$E$11&gt;0,MAX(0,G706+H706-I706),0)</f>
        <v>0</v>
      </c>
      <c r="K706" s="76">
        <f>IF(Escenarios!$E$11&gt;0,IF(J706&gt;Constantes!$E$30,1000*((J706-Constantes!$E$30)/(Escenarios!$E$16*10000)),0),F706)</f>
        <v>0</v>
      </c>
      <c r="L706" s="76">
        <f>IF(Escenarios!$E$11&gt;0,I706*1000/Escenarios!$E$16/10000+E706,E706)</f>
        <v>2.0966989572649073</v>
      </c>
      <c r="M706" s="76">
        <f>MAX(0,N705+Observaciones!$F705-K706-Constantes!$D$13)</f>
        <v>0</v>
      </c>
      <c r="N706" s="76">
        <f>N705+Observaciones!$F705-K706-L706-M706-O705</f>
        <v>30.251459805474521</v>
      </c>
      <c r="O706" s="76">
        <f>MAX(0,(N706-Constantes!$D$14)*(1-EXP(-Constantes!$D$22)))</f>
        <v>0.64725947676145146</v>
      </c>
      <c r="P706" s="170">
        <f>P705+(Entradas!$E$83*M706-Q705)/(800*Entradas!$D$25)</f>
        <v>0</v>
      </c>
      <c r="Q706" s="170">
        <f>8000*Entradas!$D$26*P706/Constantes!$E$45</f>
        <v>0</v>
      </c>
      <c r="R706" s="170">
        <f>IF(Escenarios!$E$14&gt;0,K706*Escenarios!$E$13/Escenarios!$E$14,0)</f>
        <v>0</v>
      </c>
      <c r="S706" s="170">
        <f>IF(Escenarios!$E$14&gt;0,Q706*Escenarios!$E$13/Escenarios!$E$14,0)</f>
        <v>0</v>
      </c>
      <c r="T706" s="170">
        <f>IF(Escenarios!$E$14&gt;0,Observaciones!$I705,0)</f>
        <v>0</v>
      </c>
      <c r="U706" s="170">
        <f>IF(Escenarios!$E$14&gt;0,MAX(0,Constantes!$E$36/((Z705+R706+S706+T706+Observaciones!$F705)^2)+Entradas!$E$77),0)</f>
        <v>0</v>
      </c>
      <c r="V706" s="146">
        <f>IF(ETo!D705&gt;0,ETo!I705*((1-Entradas!$E$81)*ETo!K705+ETo!L705),0)</f>
        <v>3.8862677025646755</v>
      </c>
      <c r="W706" s="170">
        <f>IF(Escenarios!$E$14&gt;0,MIN(V706*1,0.8*(Z705+R706+S706+T706+Observaciones!$F705-U706-Constantes!$E$35)),0)</f>
        <v>1.3318771695890463</v>
      </c>
      <c r="X706" s="170">
        <f>IF(Escenarios!$E$14&gt;0,Observaciones!$J705,0)</f>
        <v>0</v>
      </c>
      <c r="Y706" s="170">
        <f>IF(Escenarios!$E$14&gt;0,MAX(0,Z705+R706+S706+T706+Observaciones!$F705-U706-W706-X706-Constantes!$E$33),0)</f>
        <v>0</v>
      </c>
      <c r="Z706" s="170">
        <f>Z705+R706+S706+T706+Observaciones!$F705-U706-W706-Y706</f>
        <v>41.582969292397259</v>
      </c>
      <c r="AA706" s="170">
        <f>IF(Escenarios!$E$14&gt;0,(Escenarios!$E$13*L706+Escenarios!$E$14*W706)/(Escenarios!$E$16),L706)</f>
        <v>2.0049203427438038</v>
      </c>
      <c r="AB706" s="170">
        <f>IF(Escenarios!$E$14&gt;0,(Escenarios!$E$14*Y706)/(Escenarios!$E$16),K706)</f>
        <v>0</v>
      </c>
      <c r="AC706" s="170">
        <f>IF(Escenarios!$E$14&gt;0,(Escenarios!$E$13*M706+Escenarios!$E$14*U706)/(Escenarios!$E$16),M706)</f>
        <v>0</v>
      </c>
      <c r="AD706" s="76">
        <f t="shared" si="141"/>
        <v>61.664693099641681</v>
      </c>
      <c r="AE706" s="76">
        <f>MAX(0,(AD706-Constantes!$D$13)*(1-EXP(-Constantes!$D$23)))</f>
        <v>0.12725154715101233</v>
      </c>
      <c r="AF706" s="76">
        <f>AB706+O706*Escenarios!$E$13/Escenarios!$E$16+AE706</f>
        <v>0.69683988670108965</v>
      </c>
      <c r="AG706" s="76">
        <f>IF(Entradas!$E$91&gt;0,IF(AF706-Escenarios!$E$38&lt;=0,0,IF(AF706-Escenarios!$E$38&gt;Escenarios!$E$37,Escenarios!$E$37,AF706-Escenarios!$E$38)),0)</f>
        <v>0</v>
      </c>
      <c r="AH706" s="76">
        <f>AG706*Entradas!$E$99</f>
        <v>0</v>
      </c>
      <c r="AI706" s="76">
        <f>IF(Entradas!$E$91&gt;0,D706*Entradas!$D$23/Escenarios!$E$16,0)</f>
        <v>0</v>
      </c>
      <c r="AJ706" s="76">
        <f>IF(Entradas!$E$91&gt;0,Entradas!$D$24*Entradas!$D$22/Escenarios!$E$16,0)</f>
        <v>0</v>
      </c>
      <c r="AK706" s="76">
        <f t="shared" si="150"/>
        <v>2.0049203427438038</v>
      </c>
      <c r="AL706" s="76">
        <f t="shared" si="151"/>
        <v>0</v>
      </c>
      <c r="AM706" s="76">
        <f t="shared" si="142"/>
        <v>0</v>
      </c>
      <c r="AN706" s="76">
        <f>MAX(0,O706*Escenarios!$E$13/Escenarios!$E$16-AM706)</f>
        <v>0.56958833955007726</v>
      </c>
      <c r="AO706" s="76">
        <f>AM706+AN706-O706*Escenarios!$E$13/Escenarios!$E$16</f>
        <v>0</v>
      </c>
      <c r="AP706" s="76">
        <f t="shared" si="140"/>
        <v>0.12725154715101233</v>
      </c>
      <c r="AQ706" s="76">
        <f t="shared" si="143"/>
        <v>0</v>
      </c>
      <c r="AR706" s="76">
        <f t="shared" si="144"/>
        <v>0.69683988670108965</v>
      </c>
      <c r="AS706" s="76">
        <f t="shared" si="145"/>
        <v>0</v>
      </c>
      <c r="AT706" s="76">
        <f t="shared" si="146"/>
        <v>0</v>
      </c>
      <c r="AU706" s="76">
        <f t="shared" si="147"/>
        <v>48.75</v>
      </c>
      <c r="AV706" s="76">
        <f>MAX(0,(AU706-Constantes!$D$13)*(1-EXP(-Constantes!$D$24)))</f>
        <v>0</v>
      </c>
      <c r="AW706" s="170">
        <f>AW705+(Entradas!$E$112*AT706-AX705)/(800*Entradas!$D$25)</f>
        <v>0</v>
      </c>
      <c r="AX706" s="170">
        <f>8000*Entradas!$D$26*AW706/Constantes!$E$45</f>
        <v>0</v>
      </c>
      <c r="AY706" s="170">
        <f>IF(Escenarios!$E$17&gt;0,10*Escenarios!$E$16*AL706,0)</f>
        <v>0</v>
      </c>
      <c r="AZ706" s="170">
        <f>IF(Escenarios!$E$17&gt;0,10*Escenarios!$E$16*AX706,0)</f>
        <v>0</v>
      </c>
      <c r="BA706" s="170">
        <f>IF(Escenarios!$E$17&gt;0,0.001*Observaciones!$F705*Escenarios!$E$17,0)</f>
        <v>0</v>
      </c>
      <c r="BB706" s="170">
        <f>IF(Escenarios!$E$17&gt;0,Observaciones!$K705,0)</f>
        <v>0</v>
      </c>
      <c r="BC706" s="170">
        <f>IF(Escenarios!$E$17&gt;0,MIN(0.0005*ETo!$M705*Escenarios!$E$17*(BG705/Constantes!$E$40)^(2/3),BG705+AY706+AZ706+BA706+BB706),0)</f>
        <v>17.102097585827469</v>
      </c>
      <c r="BD706" s="170">
        <f>IF(Escenarios!$E$17&gt;0,MIN(Constantes!$E$39*(BG705/Constantes!$E$40)^(2/3),BG705+AY706+AZ706+BA706+BB706-BC706),0)</f>
        <v>28.315584859459971</v>
      </c>
      <c r="BE706" s="170">
        <f>IF(Escenarios!$E$17&gt;0,MIN(Entradas!$E$113,BG705+AY706+AZ706+BA706+BB706-BC706-BD706),0)</f>
        <v>1</v>
      </c>
      <c r="BF706" s="170">
        <f>IF(Escenarios!$E$17&gt;0,MAX(0,BG705+AY706+AZ706+BA706+BB706-BC706-BD706-BE706-Constantes!$E$40),0)</f>
        <v>0</v>
      </c>
      <c r="BG706" s="170">
        <f t="shared" si="152"/>
        <v>1357.4043851628728</v>
      </c>
      <c r="BH706" s="170">
        <f>(Escenarios!$E$16*AK706+0.1*BC706)/(Escenarios!$E$19)</f>
        <v>1.9957948231925939</v>
      </c>
      <c r="BI706" s="170">
        <f>IF(Escenarios!$E$17&gt;0,BF706/10/Escenarios!$E$19,AL706)</f>
        <v>0</v>
      </c>
      <c r="BJ706" s="170">
        <f>(Escenarios!$E$16*AT706+0.1*BD706)/(Escenarios!$E$19)</f>
        <v>1.1236343198198403E-2</v>
      </c>
      <c r="BK706" s="76">
        <f>BK705+(0.1*BD706)/(Escenarios!$E$19)-BL705</f>
        <v>49.611883362478821</v>
      </c>
      <c r="BL706" s="76">
        <f>MAX(0,(BK706-Constantes!$D$13)*(1-EXP(-Constantes!$D$23)))</f>
        <v>8.4923420551270938E-3</v>
      </c>
      <c r="BM706" s="76">
        <f t="shared" si="148"/>
        <v>0.13574388920613942</v>
      </c>
      <c r="BN706" s="76">
        <f t="shared" si="153"/>
        <v>0.70533222875621671</v>
      </c>
      <c r="BO706" s="76">
        <f>0.0526*BI706*Observaciones!$F705^1.218</f>
        <v>0</v>
      </c>
      <c r="BP706" s="76">
        <f>BO706*Constantes!$E$51</f>
        <v>0</v>
      </c>
      <c r="BQ706" s="76">
        <f t="shared" si="149"/>
        <v>0</v>
      </c>
      <c r="BR706" s="40"/>
    </row>
    <row r="707" spans="1:70">
      <c r="A707" s="147"/>
      <c r="B707" s="39"/>
      <c r="C707" s="75">
        <v>701</v>
      </c>
      <c r="D707" s="146">
        <f>ETo!$I706*((1-Constantes!$E$19)*ETo!$K706+ETo!$L706)</f>
        <v>4.2675090719425617</v>
      </c>
      <c r="E707" s="76">
        <f>MIN(D707*Constantes!$E$17,0.8*(N706+Observaciones!$F706-F707-M707-Constantes!$D$14))</f>
        <v>2.0864377313342719</v>
      </c>
      <c r="F707" s="76">
        <f>IF(Observaciones!$F706&gt;0.05*Constantes!$E$18,((Observaciones!$F706-0.05*Constantes!$E$18)^2)/(Observaciones!$F706+0.95*Constantes!$E$18),0)</f>
        <v>0</v>
      </c>
      <c r="G707" s="76">
        <f>IF(Escenarios!$E$11&gt;0,(F707*Escenarios!$E$16*10000)/1000,0)</f>
        <v>0</v>
      </c>
      <c r="H707" s="76">
        <f>IF(Escenarios!$E$11&gt;0,(Observaciones!$F706*Constantes!$E$29)/1000,0)</f>
        <v>0</v>
      </c>
      <c r="I707" s="76">
        <f>IF(Escenarios!$E$11&gt;0,(D707*Constantes!$E$29)/1000,0)</f>
        <v>42.675090719425611</v>
      </c>
      <c r="J707" s="76">
        <f>IF(Escenarios!$E$11&gt;0,MAX(0,G707+H707-I707),0)</f>
        <v>0</v>
      </c>
      <c r="K707" s="76">
        <f>IF(Escenarios!$E$11&gt;0,IF(J707&gt;Constantes!$E$30,1000*((J707-Constantes!$E$30)/(Escenarios!$E$16*10000)),0),F707)</f>
        <v>0</v>
      </c>
      <c r="L707" s="76">
        <f>IF(Escenarios!$E$11&gt;0,I707*1000/Escenarios!$E$16/10000+E707,E707)</f>
        <v>2.1035077676220419</v>
      </c>
      <c r="M707" s="76">
        <f>MAX(0,N706+Observaciones!$F706-K707-Constantes!$D$13)</f>
        <v>0</v>
      </c>
      <c r="N707" s="76">
        <f>N706+Observaciones!$F706-K707-L707-M707-O706</f>
        <v>27.500692561091029</v>
      </c>
      <c r="O707" s="76">
        <f>MAX(0,(N707-Constantes!$D$14)*(1-EXP(-Constantes!$D$22)))</f>
        <v>0.55355824614446325</v>
      </c>
      <c r="P707" s="170">
        <f>P706+(Entradas!$E$83*M707-Q706)/(800*Entradas!$D$25)</f>
        <v>0</v>
      </c>
      <c r="Q707" s="170">
        <f>8000*Entradas!$D$26*P707/Constantes!$E$45</f>
        <v>0</v>
      </c>
      <c r="R707" s="170">
        <f>IF(Escenarios!$E$14&gt;0,K707*Escenarios!$E$13/Escenarios!$E$14,0)</f>
        <v>0</v>
      </c>
      <c r="S707" s="170">
        <f>IF(Escenarios!$E$14&gt;0,Q707*Escenarios!$E$13/Escenarios!$E$14,0)</f>
        <v>0</v>
      </c>
      <c r="T707" s="170">
        <f>IF(Escenarios!$E$14&gt;0,Observaciones!$I706,0)</f>
        <v>0</v>
      </c>
      <c r="U707" s="170">
        <f>IF(Escenarios!$E$14&gt;0,MAX(0,Constantes!$E$36/((Z706+R707+S707+T707+Observaciones!$F706)^2)+Entradas!$E$77),0)</f>
        <v>0</v>
      </c>
      <c r="V707" s="146">
        <f>IF(ETo!D706&gt;0,ETo!I706*((1-Entradas!$E$81)*ETo!K706+ETo!L706),0)</f>
        <v>3.8990102703996672</v>
      </c>
      <c r="W707" s="170">
        <f>IF(Escenarios!$E$14&gt;0,MIN(V707*1,0.8*(Z706+R707+S707+T707+Observaciones!$F706-U707-Constantes!$E$35)),0)</f>
        <v>0.26637543391780699</v>
      </c>
      <c r="X707" s="170">
        <f>IF(Escenarios!$E$14&gt;0,Observaciones!$J706,0)</f>
        <v>0</v>
      </c>
      <c r="Y707" s="170">
        <f>IF(Escenarios!$E$14&gt;0,MAX(0,Z706+R707+S707+T707+Observaciones!$F706-U707-W707-X707-Constantes!$E$33),0)</f>
        <v>0</v>
      </c>
      <c r="Z707" s="170">
        <f>Z706+R707+S707+T707+Observaciones!$F706-U707-W707-Y707</f>
        <v>41.31659385847945</v>
      </c>
      <c r="AA707" s="170">
        <f>IF(Escenarios!$E$14&gt;0,(Escenarios!$E$13*L707+Escenarios!$E$14*W707)/(Escenarios!$E$16),L707)</f>
        <v>1.8830518875775337</v>
      </c>
      <c r="AB707" s="170">
        <f>IF(Escenarios!$E$14&gt;0,(Escenarios!$E$14*Y707)/(Escenarios!$E$16),K707)</f>
        <v>0</v>
      </c>
      <c r="AC707" s="170">
        <f>IF(Escenarios!$E$14&gt;0,(Escenarios!$E$13*M707+Escenarios!$E$14*U707)/(Escenarios!$E$16),M707)</f>
        <v>0</v>
      </c>
      <c r="AD707" s="76">
        <f t="shared" si="141"/>
        <v>61.537441552490669</v>
      </c>
      <c r="AE707" s="76">
        <f>MAX(0,(AD707-Constantes!$D$13)*(1-EXP(-Constantes!$D$23)))</f>
        <v>0.12599770734797625</v>
      </c>
      <c r="AF707" s="76">
        <f>AB707+O707*Escenarios!$E$13/Escenarios!$E$16+AE707</f>
        <v>0.61312896395510397</v>
      </c>
      <c r="AG707" s="76">
        <f>IF(Entradas!$E$91&gt;0,IF(AF707-Escenarios!$E$38&lt;=0,0,IF(AF707-Escenarios!$E$38&gt;Escenarios!$E$37,Escenarios!$E$37,AF707-Escenarios!$E$38)),0)</f>
        <v>0</v>
      </c>
      <c r="AH707" s="76">
        <f>AG707*Entradas!$E$99</f>
        <v>0</v>
      </c>
      <c r="AI707" s="76">
        <f>IF(Entradas!$E$91&gt;0,D707*Entradas!$D$23/Escenarios!$E$16,0)</f>
        <v>0</v>
      </c>
      <c r="AJ707" s="76">
        <f>IF(Entradas!$E$91&gt;0,Entradas!$D$24*Entradas!$D$22/Escenarios!$E$16,0)</f>
        <v>0</v>
      </c>
      <c r="AK707" s="76">
        <f t="shared" si="150"/>
        <v>1.8830518875775337</v>
      </c>
      <c r="AL707" s="76">
        <f t="shared" si="151"/>
        <v>0</v>
      </c>
      <c r="AM707" s="76">
        <f t="shared" si="142"/>
        <v>0</v>
      </c>
      <c r="AN707" s="76">
        <f>MAX(0,O707*Escenarios!$E$13/Escenarios!$E$16-AM707)</f>
        <v>0.48713125660712769</v>
      </c>
      <c r="AO707" s="76">
        <f>AM707+AN707-O707*Escenarios!$E$13/Escenarios!$E$16</f>
        <v>0</v>
      </c>
      <c r="AP707" s="76">
        <f t="shared" si="140"/>
        <v>0.12599770734797625</v>
      </c>
      <c r="AQ707" s="76">
        <f t="shared" si="143"/>
        <v>0</v>
      </c>
      <c r="AR707" s="76">
        <f t="shared" si="144"/>
        <v>0.61312896395510397</v>
      </c>
      <c r="AS707" s="76">
        <f t="shared" si="145"/>
        <v>0</v>
      </c>
      <c r="AT707" s="76">
        <f t="shared" si="146"/>
        <v>0</v>
      </c>
      <c r="AU707" s="76">
        <f t="shared" si="147"/>
        <v>48.75</v>
      </c>
      <c r="AV707" s="76">
        <f>MAX(0,(AU707-Constantes!$D$13)*(1-EXP(-Constantes!$D$24)))</f>
        <v>0</v>
      </c>
      <c r="AW707" s="170">
        <f>AW706+(Entradas!$E$112*AT707-AX706)/(800*Entradas!$D$25)</f>
        <v>0</v>
      </c>
      <c r="AX707" s="170">
        <f>8000*Entradas!$D$26*AW707/Constantes!$E$45</f>
        <v>0</v>
      </c>
      <c r="AY707" s="170">
        <f>IF(Escenarios!$E$17&gt;0,10*Escenarios!$E$16*AL707,0)</f>
        <v>0</v>
      </c>
      <c r="AZ707" s="170">
        <f>IF(Escenarios!$E$17&gt;0,10*Escenarios!$E$16*AX707,0)</f>
        <v>0</v>
      </c>
      <c r="BA707" s="170">
        <f>IF(Escenarios!$E$17&gt;0,0.001*Observaciones!$F706*Escenarios!$E$17,0)</f>
        <v>0</v>
      </c>
      <c r="BB707" s="170">
        <f>IF(Escenarios!$E$17&gt;0,Observaciones!$K706,0)</f>
        <v>0</v>
      </c>
      <c r="BC707" s="170">
        <f>IF(Escenarios!$E$17&gt;0,MIN(0.0005*ETo!$M706*Escenarios!$E$17*(BG706/Constantes!$E$40)^(2/3),BG706+AY707+AZ707+BA707+BB707),0)</f>
        <v>16.77663922671702</v>
      </c>
      <c r="BD707" s="170">
        <f>IF(Escenarios!$E$17&gt;0,MIN(Constantes!$E$39*(BG706/Constantes!$E$40)^(2/3),BG706+AY707+AZ707+BA707+BB707-BC707),0)</f>
        <v>27.687919584348755</v>
      </c>
      <c r="BE707" s="170">
        <f>IF(Escenarios!$E$17&gt;0,MIN(Entradas!$E$113,BG706+AY707+AZ707+BA707+BB707-BC707-BD707),0)</f>
        <v>1</v>
      </c>
      <c r="BF707" s="170">
        <f>IF(Escenarios!$E$17&gt;0,MAX(0,BG706+AY707+AZ707+BA707+BB707-BC707-BD707-BE707-Constantes!$E$40),0)</f>
        <v>0</v>
      </c>
      <c r="BG707" s="170">
        <f t="shared" si="152"/>
        <v>1311.9398263518071</v>
      </c>
      <c r="BH707" s="170">
        <f>(Escenarios!$E$16*AK707+0.1*BC707)/(Escenarios!$E$19)</f>
        <v>1.8747644278454569</v>
      </c>
      <c r="BI707" s="170">
        <f>IF(Escenarios!$E$17&gt;0,BF707/10/Escenarios!$E$19,AL707)</f>
        <v>0</v>
      </c>
      <c r="BJ707" s="170">
        <f>(Escenarios!$E$16*AT707+0.1*BD707)/(Escenarios!$E$19)</f>
        <v>1.0987269676328872E-2</v>
      </c>
      <c r="BK707" s="76">
        <f>BK706+(0.1*BD707)/(Escenarios!$E$19)-BL706</f>
        <v>49.614378290100021</v>
      </c>
      <c r="BL707" s="76">
        <f>MAX(0,(BK707-Constantes!$D$13)*(1-EXP(-Constantes!$D$23)))</f>
        <v>8.5169251712242378E-3</v>
      </c>
      <c r="BM707" s="76">
        <f t="shared" si="148"/>
        <v>0.13451463251920048</v>
      </c>
      <c r="BN707" s="76">
        <f t="shared" si="153"/>
        <v>0.62164588912632823</v>
      </c>
      <c r="BO707" s="76">
        <f>0.0526*BI707*Observaciones!$F706^1.218</f>
        <v>0</v>
      </c>
      <c r="BP707" s="76">
        <f>BO707*Constantes!$E$51</f>
        <v>0</v>
      </c>
      <c r="BQ707" s="76">
        <f t="shared" si="149"/>
        <v>0</v>
      </c>
      <c r="BR707" s="40"/>
    </row>
    <row r="708" spans="1:70">
      <c r="A708" s="147"/>
      <c r="B708" s="39"/>
      <c r="C708" s="75">
        <v>702</v>
      </c>
      <c r="D708" s="146">
        <f>ETo!$I707*((1-Constantes!$E$19)*ETo!$K707+ETo!$L707)</f>
        <v>4.381238212969178</v>
      </c>
      <c r="E708" s="76">
        <f>MIN(D708*Constantes!$E$17,0.8*(N707+Observaciones!$F707-F708-M708-Constantes!$D$14))</f>
        <v>2.1420413087350241</v>
      </c>
      <c r="F708" s="76">
        <f>IF(Observaciones!$F707&gt;0.05*Constantes!$E$18,((Observaciones!$F707-0.05*Constantes!$E$18)^2)/(Observaciones!$F707+0.95*Constantes!$E$18),0)</f>
        <v>0</v>
      </c>
      <c r="G708" s="76">
        <f>IF(Escenarios!$E$11&gt;0,(F708*Escenarios!$E$16*10000)/1000,0)</f>
        <v>0</v>
      </c>
      <c r="H708" s="76">
        <f>IF(Escenarios!$E$11&gt;0,(Observaciones!$F707*Constantes!$E$29)/1000,0)</f>
        <v>0</v>
      </c>
      <c r="I708" s="76">
        <f>IF(Escenarios!$E$11&gt;0,(D708*Constantes!$E$29)/1000,0)</f>
        <v>43.812382129691784</v>
      </c>
      <c r="J708" s="76">
        <f>IF(Escenarios!$E$11&gt;0,MAX(0,G708+H708-I708),0)</f>
        <v>0</v>
      </c>
      <c r="K708" s="76">
        <f>IF(Escenarios!$E$11&gt;0,IF(J708&gt;Constantes!$E$30,1000*((J708-Constantes!$E$30)/(Escenarios!$E$16*10000)),0),F708)</f>
        <v>0</v>
      </c>
      <c r="L708" s="76">
        <f>IF(Escenarios!$E$11&gt;0,I708*1000/Escenarios!$E$16/10000+E708,E708)</f>
        <v>2.1595662615869009</v>
      </c>
      <c r="M708" s="76">
        <f>MAX(0,N707+Observaciones!$F707-K708-Constantes!$D$13)</f>
        <v>0</v>
      </c>
      <c r="N708" s="76">
        <f>N707+Observaciones!$F707-K708-L708-M708-O707</f>
        <v>24.787568053359667</v>
      </c>
      <c r="O708" s="76">
        <f>MAX(0,(N708-Constantes!$D$14)*(1-EXP(-Constantes!$D$22)))</f>
        <v>0.46113926532716193</v>
      </c>
      <c r="P708" s="170">
        <f>P707+(Entradas!$E$83*M708-Q707)/(800*Entradas!$D$25)</f>
        <v>0</v>
      </c>
      <c r="Q708" s="170">
        <f>8000*Entradas!$D$26*P708/Constantes!$E$45</f>
        <v>0</v>
      </c>
      <c r="R708" s="170">
        <f>IF(Escenarios!$E$14&gt;0,K708*Escenarios!$E$13/Escenarios!$E$14,0)</f>
        <v>0</v>
      </c>
      <c r="S708" s="170">
        <f>IF(Escenarios!$E$14&gt;0,Q708*Escenarios!$E$13/Escenarios!$E$14,0)</f>
        <v>0</v>
      </c>
      <c r="T708" s="170">
        <f>IF(Escenarios!$E$14&gt;0,Observaciones!$I707,0)</f>
        <v>0</v>
      </c>
      <c r="U708" s="170">
        <f>IF(Escenarios!$E$14&gt;0,MAX(0,Constantes!$E$36/((Z707+R708+S708+T708+Observaciones!$F707)^2)+Entradas!$E$77),0)</f>
        <v>0</v>
      </c>
      <c r="V708" s="146">
        <f>IF(ETo!D707&gt;0,ETo!I707*((1-Entradas!$E$81)*ETo!K707+ETo!L707),0)</f>
        <v>4.0040574804245797</v>
      </c>
      <c r="W708" s="170">
        <f>IF(Escenarios!$E$14&gt;0,MIN(V708*1,0.8*(Z707+R708+S708+T708+Observaciones!$F707-U708-Constantes!$E$35)),0)</f>
        <v>5.3275086783560258E-2</v>
      </c>
      <c r="X708" s="170">
        <f>IF(Escenarios!$E$14&gt;0,Observaciones!$J707,0)</f>
        <v>0</v>
      </c>
      <c r="Y708" s="170">
        <f>IF(Escenarios!$E$14&gt;0,MAX(0,Z707+R708+S708+T708+Observaciones!$F707-U708-W708-X708-Constantes!$E$33),0)</f>
        <v>0</v>
      </c>
      <c r="Z708" s="170">
        <f>Z707+R708+S708+T708+Observaciones!$F707-U708-W708-Y708</f>
        <v>41.263318771695893</v>
      </c>
      <c r="AA708" s="170">
        <f>IF(Escenarios!$E$14&gt;0,(Escenarios!$E$13*L708+Escenarios!$E$14*W708)/(Escenarios!$E$16),L708)</f>
        <v>1.9068113206105</v>
      </c>
      <c r="AB708" s="170">
        <f>IF(Escenarios!$E$14&gt;0,(Escenarios!$E$14*Y708)/(Escenarios!$E$16),K708)</f>
        <v>0</v>
      </c>
      <c r="AC708" s="170">
        <f>IF(Escenarios!$E$14&gt;0,(Escenarios!$E$13*M708+Escenarios!$E$14*U708)/(Escenarios!$E$16),M708)</f>
        <v>0</v>
      </c>
      <c r="AD708" s="76">
        <f t="shared" si="141"/>
        <v>61.411443845142692</v>
      </c>
      <c r="AE708" s="76">
        <f>MAX(0,(AD708-Constantes!$D$13)*(1-EXP(-Constantes!$D$23)))</f>
        <v>0.12475622192716083</v>
      </c>
      <c r="AF708" s="76">
        <f>AB708+O708*Escenarios!$E$13/Escenarios!$E$16+AE708</f>
        <v>0.53055877541506336</v>
      </c>
      <c r="AG708" s="76">
        <f>IF(Entradas!$E$91&gt;0,IF(AF708-Escenarios!$E$38&lt;=0,0,IF(AF708-Escenarios!$E$38&gt;Escenarios!$E$37,Escenarios!$E$37,AF708-Escenarios!$E$38)),0)</f>
        <v>0</v>
      </c>
      <c r="AH708" s="76">
        <f>AG708*Entradas!$E$99</f>
        <v>0</v>
      </c>
      <c r="AI708" s="76">
        <f>IF(Entradas!$E$91&gt;0,D708*Entradas!$D$23/Escenarios!$E$16,0)</f>
        <v>0</v>
      </c>
      <c r="AJ708" s="76">
        <f>IF(Entradas!$E$91&gt;0,Entradas!$D$24*Entradas!$D$22/Escenarios!$E$16,0)</f>
        <v>0</v>
      </c>
      <c r="AK708" s="76">
        <f t="shared" si="150"/>
        <v>1.9068113206105</v>
      </c>
      <c r="AL708" s="76">
        <f t="shared" si="151"/>
        <v>0</v>
      </c>
      <c r="AM708" s="76">
        <f t="shared" si="142"/>
        <v>0</v>
      </c>
      <c r="AN708" s="76">
        <f>MAX(0,O708*Escenarios!$E$13/Escenarios!$E$16-AM708)</f>
        <v>0.40580255348790251</v>
      </c>
      <c r="AO708" s="76">
        <f>AM708+AN708-O708*Escenarios!$E$13/Escenarios!$E$16</f>
        <v>0</v>
      </c>
      <c r="AP708" s="76">
        <f t="shared" si="140"/>
        <v>0.12475622192716083</v>
      </c>
      <c r="AQ708" s="76">
        <f t="shared" si="143"/>
        <v>0</v>
      </c>
      <c r="AR708" s="76">
        <f t="shared" si="144"/>
        <v>0.53055877541506336</v>
      </c>
      <c r="AS708" s="76">
        <f t="shared" si="145"/>
        <v>0</v>
      </c>
      <c r="AT708" s="76">
        <f t="shared" si="146"/>
        <v>0</v>
      </c>
      <c r="AU708" s="76">
        <f t="shared" si="147"/>
        <v>48.75</v>
      </c>
      <c r="AV708" s="76">
        <f>MAX(0,(AU708-Constantes!$D$13)*(1-EXP(-Constantes!$D$24)))</f>
        <v>0</v>
      </c>
      <c r="AW708" s="170">
        <f>AW707+(Entradas!$E$112*AT708-AX707)/(800*Entradas!$D$25)</f>
        <v>0</v>
      </c>
      <c r="AX708" s="170">
        <f>8000*Entradas!$D$26*AW708/Constantes!$E$45</f>
        <v>0</v>
      </c>
      <c r="AY708" s="170">
        <f>IF(Escenarios!$E$17&gt;0,10*Escenarios!$E$16*AL708,0)</f>
        <v>0</v>
      </c>
      <c r="AZ708" s="170">
        <f>IF(Escenarios!$E$17&gt;0,10*Escenarios!$E$16*AX708,0)</f>
        <v>0</v>
      </c>
      <c r="BA708" s="170">
        <f>IF(Escenarios!$E$17&gt;0,0.001*Observaciones!$F707*Escenarios!$E$17,0)</f>
        <v>0</v>
      </c>
      <c r="BB708" s="170">
        <f>IF(Escenarios!$E$17&gt;0,Observaciones!$K707,0)</f>
        <v>0</v>
      </c>
      <c r="BC708" s="170">
        <f>IF(Escenarios!$E$17&gt;0,MIN(0.0005*ETo!$M707*Escenarios!$E$17*(BG707/Constantes!$E$40)^(2/3),BG707+AY708+AZ708+BA708+BB708),0)</f>
        <v>16.830904257882096</v>
      </c>
      <c r="BD708" s="170">
        <f>IF(Escenarios!$E$17&gt;0,MIN(Constantes!$E$39*(BG707/Constantes!$E$40)^(2/3),BG707+AY708+AZ708+BA708+BB708-BC708),0)</f>
        <v>27.06616782871086</v>
      </c>
      <c r="BE708" s="170">
        <f>IF(Escenarios!$E$17&gt;0,MIN(Entradas!$E$113,BG707+AY708+AZ708+BA708+BB708-BC708-BD708),0)</f>
        <v>1</v>
      </c>
      <c r="BF708" s="170">
        <f>IF(Escenarios!$E$17&gt;0,MAX(0,BG707+AY708+AZ708+BA708+BB708-BC708-BD708-BE708-Constantes!$E$40),0)</f>
        <v>0</v>
      </c>
      <c r="BG708" s="170">
        <f t="shared" si="152"/>
        <v>1267.0427542652142</v>
      </c>
      <c r="BH708" s="170">
        <f>(Escenarios!$E$16*AK708+0.1*BC708)/(Escenarios!$E$19)</f>
        <v>1.8983568276921159</v>
      </c>
      <c r="BI708" s="170">
        <f>IF(Escenarios!$E$17&gt;0,BF708/10/Escenarios!$E$19,AL708)</f>
        <v>0</v>
      </c>
      <c r="BJ708" s="170">
        <f>(Escenarios!$E$16*AT708+0.1*BD708)/(Escenarios!$E$19)</f>
        <v>1.0740542789170977E-2</v>
      </c>
      <c r="BK708" s="76">
        <f>BK707+(0.1*BD708)/(Escenarios!$E$19)-BL707</f>
        <v>49.616601907717971</v>
      </c>
      <c r="BL708" s="76">
        <f>MAX(0,(BK708-Constantes!$D$13)*(1-EXP(-Constantes!$D$23)))</f>
        <v>8.5388350052383582E-3</v>
      </c>
      <c r="BM708" s="76">
        <f t="shared" si="148"/>
        <v>0.13329505693239918</v>
      </c>
      <c r="BN708" s="76">
        <f t="shared" si="153"/>
        <v>0.53909761042030169</v>
      </c>
      <c r="BO708" s="76">
        <f>0.0526*BI708*Observaciones!$F707^1.218</f>
        <v>0</v>
      </c>
      <c r="BP708" s="76">
        <f>BO708*Constantes!$E$51</f>
        <v>0</v>
      </c>
      <c r="BQ708" s="76">
        <f t="shared" si="149"/>
        <v>0</v>
      </c>
      <c r="BR708" s="40"/>
    </row>
    <row r="709" spans="1:70">
      <c r="A709" s="147"/>
      <c r="B709" s="39"/>
      <c r="C709" s="75">
        <v>703</v>
      </c>
      <c r="D709" s="146">
        <f>ETo!$I708*((1-Constantes!$E$19)*ETo!$K708+ETo!$L708)</f>
        <v>4.3768060130286548</v>
      </c>
      <c r="E709" s="76">
        <f>MIN(D709*Constantes!$E$17,0.8*(N708+Observaciones!$F708-F709-M709-Constantes!$D$14))</f>
        <v>2.1398743516101932</v>
      </c>
      <c r="F709" s="76">
        <f>IF(Observaciones!$F708&gt;0.05*Constantes!$E$18,((Observaciones!$F708-0.05*Constantes!$E$18)^2)/(Observaciones!$F708+0.95*Constantes!$E$18),0)</f>
        <v>0</v>
      </c>
      <c r="G709" s="76">
        <f>IF(Escenarios!$E$11&gt;0,(F709*Escenarios!$E$16*10000)/1000,0)</f>
        <v>0</v>
      </c>
      <c r="H709" s="76">
        <f>IF(Escenarios!$E$11&gt;0,(Observaciones!$F708*Constantes!$E$29)/1000,0)</f>
        <v>0</v>
      </c>
      <c r="I709" s="76">
        <f>IF(Escenarios!$E$11&gt;0,(D709*Constantes!$E$29)/1000,0)</f>
        <v>43.76806013028655</v>
      </c>
      <c r="J709" s="76">
        <f>IF(Escenarios!$E$11&gt;0,MAX(0,G709+H709-I709),0)</f>
        <v>0</v>
      </c>
      <c r="K709" s="76">
        <f>IF(Escenarios!$E$11&gt;0,IF(J709&gt;Constantes!$E$30,1000*((J709-Constantes!$E$30)/(Escenarios!$E$16*10000)),0),F709)</f>
        <v>0</v>
      </c>
      <c r="L709" s="76">
        <f>IF(Escenarios!$E$11&gt;0,I709*1000/Escenarios!$E$16/10000+E709,E709)</f>
        <v>2.157381575662308</v>
      </c>
      <c r="M709" s="76">
        <f>MAX(0,N708+Observaciones!$F708-K709-Constantes!$D$13)</f>
        <v>0</v>
      </c>
      <c r="N709" s="76">
        <f>N708+Observaciones!$F708-K709-L709-M709-O708</f>
        <v>22.169047212370195</v>
      </c>
      <c r="O709" s="76">
        <f>MAX(0,(N709-Constantes!$D$14)*(1-EXP(-Constantes!$D$22)))</f>
        <v>0.37194283269625988</v>
      </c>
      <c r="P709" s="170">
        <f>P708+(Entradas!$E$83*M709-Q708)/(800*Entradas!$D$25)</f>
        <v>0</v>
      </c>
      <c r="Q709" s="170">
        <f>8000*Entradas!$D$26*P709/Constantes!$E$45</f>
        <v>0</v>
      </c>
      <c r="R709" s="170">
        <f>IF(Escenarios!$E$14&gt;0,K709*Escenarios!$E$13/Escenarios!$E$14,0)</f>
        <v>0</v>
      </c>
      <c r="S709" s="170">
        <f>IF(Escenarios!$E$14&gt;0,Q709*Escenarios!$E$13/Escenarios!$E$14,0)</f>
        <v>0</v>
      </c>
      <c r="T709" s="170">
        <f>IF(Escenarios!$E$14&gt;0,Observaciones!$I708,0)</f>
        <v>0</v>
      </c>
      <c r="U709" s="170">
        <f>IF(Escenarios!$E$14&gt;0,MAX(0,Constantes!$E$36/((Z708+R709+S709+T709+Observaciones!$F708)^2)+Entradas!$E$77),0)</f>
        <v>0</v>
      </c>
      <c r="V709" s="146">
        <f>IF(ETo!D708&gt;0,ETo!I708*((1-Entradas!$E$81)*ETo!K708+ETo!L708),0)</f>
        <v>3.9999597599768881</v>
      </c>
      <c r="W709" s="170">
        <f>IF(Escenarios!$E$14&gt;0,MIN(V709*1,0.8*(Z708+R709+S709+T709+Observaciones!$F708-U709-Constantes!$E$35)),0)</f>
        <v>1.0655017356714326E-2</v>
      </c>
      <c r="X709" s="170">
        <f>IF(Escenarios!$E$14&gt;0,Observaciones!$J708,0)</f>
        <v>0</v>
      </c>
      <c r="Y709" s="170">
        <f>IF(Escenarios!$E$14&gt;0,MAX(0,Z708+R709+S709+T709+Observaciones!$F708-U709-W709-X709-Constantes!$E$33),0)</f>
        <v>0</v>
      </c>
      <c r="Z709" s="170">
        <f>Z708+R709+S709+T709+Observaciones!$F708-U709-W709-Y709</f>
        <v>41.252663754339181</v>
      </c>
      <c r="AA709" s="170">
        <f>IF(Escenarios!$E$14&gt;0,(Escenarios!$E$13*L709+Escenarios!$E$14*W709)/(Escenarios!$E$16),L709)</f>
        <v>1.8997743886656366</v>
      </c>
      <c r="AB709" s="170">
        <f>IF(Escenarios!$E$14&gt;0,(Escenarios!$E$14*Y709)/(Escenarios!$E$16),K709)</f>
        <v>0</v>
      </c>
      <c r="AC709" s="170">
        <f>IF(Escenarios!$E$14&gt;0,(Escenarios!$E$13*M709+Escenarios!$E$14*U709)/(Escenarios!$E$16),M709)</f>
        <v>0</v>
      </c>
      <c r="AD709" s="76">
        <f t="shared" si="141"/>
        <v>61.286687623215528</v>
      </c>
      <c r="AE709" s="76">
        <f>MAX(0,(AD709-Constantes!$D$13)*(1-EXP(-Constantes!$D$23)))</f>
        <v>0.12352696915789547</v>
      </c>
      <c r="AF709" s="76">
        <f>AB709+O709*Escenarios!$E$13/Escenarios!$E$16+AE709</f>
        <v>0.45083666193060412</v>
      </c>
      <c r="AG709" s="76">
        <f>IF(Entradas!$E$91&gt;0,IF(AF709-Escenarios!$E$38&lt;=0,0,IF(AF709-Escenarios!$E$38&gt;Escenarios!$E$37,Escenarios!$E$37,AF709-Escenarios!$E$38)),0)</f>
        <v>0</v>
      </c>
      <c r="AH709" s="76">
        <f>AG709*Entradas!$E$99</f>
        <v>0</v>
      </c>
      <c r="AI709" s="76">
        <f>IF(Entradas!$E$91&gt;0,D709*Entradas!$D$23/Escenarios!$E$16,0)</f>
        <v>0</v>
      </c>
      <c r="AJ709" s="76">
        <f>IF(Entradas!$E$91&gt;0,Entradas!$D$24*Entradas!$D$22/Escenarios!$E$16,0)</f>
        <v>0</v>
      </c>
      <c r="AK709" s="76">
        <f t="shared" si="150"/>
        <v>1.8997743886656366</v>
      </c>
      <c r="AL709" s="76">
        <f t="shared" si="151"/>
        <v>0</v>
      </c>
      <c r="AM709" s="76">
        <f t="shared" si="142"/>
        <v>0</v>
      </c>
      <c r="AN709" s="76">
        <f>MAX(0,O709*Escenarios!$E$13/Escenarios!$E$16-AM709)</f>
        <v>0.32730969277270866</v>
      </c>
      <c r="AO709" s="76">
        <f>AM709+AN709-O709*Escenarios!$E$13/Escenarios!$E$16</f>
        <v>0</v>
      </c>
      <c r="AP709" s="76">
        <f t="shared" si="140"/>
        <v>0.12352696915789547</v>
      </c>
      <c r="AQ709" s="76">
        <f t="shared" si="143"/>
        <v>0</v>
      </c>
      <c r="AR709" s="76">
        <f t="shared" si="144"/>
        <v>0.45083666193060412</v>
      </c>
      <c r="AS709" s="76">
        <f t="shared" si="145"/>
        <v>0</v>
      </c>
      <c r="AT709" s="76">
        <f t="shared" si="146"/>
        <v>0</v>
      </c>
      <c r="AU709" s="76">
        <f t="shared" si="147"/>
        <v>48.75</v>
      </c>
      <c r="AV709" s="76">
        <f>MAX(0,(AU709-Constantes!$D$13)*(1-EXP(-Constantes!$D$24)))</f>
        <v>0</v>
      </c>
      <c r="AW709" s="170">
        <f>AW708+(Entradas!$E$112*AT709-AX708)/(800*Entradas!$D$25)</f>
        <v>0</v>
      </c>
      <c r="AX709" s="170">
        <f>8000*Entradas!$D$26*AW709/Constantes!$E$45</f>
        <v>0</v>
      </c>
      <c r="AY709" s="170">
        <f>IF(Escenarios!$E$17&gt;0,10*Escenarios!$E$16*AL709,0)</f>
        <v>0</v>
      </c>
      <c r="AZ709" s="170">
        <f>IF(Escenarios!$E$17&gt;0,10*Escenarios!$E$16*AX709,0)</f>
        <v>0</v>
      </c>
      <c r="BA709" s="170">
        <f>IF(Escenarios!$E$17&gt;0,0.001*Observaciones!$F708*Escenarios!$E$17,0)</f>
        <v>0</v>
      </c>
      <c r="BB709" s="170">
        <f>IF(Escenarios!$E$17&gt;0,Observaciones!$K708,0)</f>
        <v>0</v>
      </c>
      <c r="BC709" s="170">
        <f>IF(Escenarios!$E$17&gt;0,MIN(0.0005*ETo!$M708*Escenarios!$E$17*(BG708/Constantes!$E$40)^(2/3),BG708+AY709+AZ709+BA709+BB709),0)</f>
        <v>16.428298744016079</v>
      </c>
      <c r="BD709" s="170">
        <f>IF(Escenarios!$E$17&gt;0,MIN(Constantes!$E$39*(BG708/Constantes!$E$40)^(2/3),BG708+AY709+AZ709+BA709+BB709-BC709),0)</f>
        <v>26.445087367457685</v>
      </c>
      <c r="BE709" s="170">
        <f>IF(Escenarios!$E$17&gt;0,MIN(Entradas!$E$113,BG708+AY709+AZ709+BA709+BB709-BC709-BD709),0)</f>
        <v>1</v>
      </c>
      <c r="BF709" s="170">
        <f>IF(Escenarios!$E$17&gt;0,MAX(0,BG708+AY709+AZ709+BA709+BB709-BC709-BD709-BE709-Constantes!$E$40),0)</f>
        <v>0</v>
      </c>
      <c r="BG709" s="170">
        <f t="shared" si="152"/>
        <v>1223.1693681537404</v>
      </c>
      <c r="BH709" s="170">
        <f>(Escenarios!$E$16*AK709+0.1*BC709)/(Escenarios!$E$19)</f>
        <v>1.8912159803206778</v>
      </c>
      <c r="BI709" s="170">
        <f>IF(Escenarios!$E$17&gt;0,BF709/10/Escenarios!$E$19,AL709)</f>
        <v>0</v>
      </c>
      <c r="BJ709" s="170">
        <f>(Escenarios!$E$16*AT709+0.1*BD709)/(Escenarios!$E$19)</f>
        <v>1.0494082288673684E-2</v>
      </c>
      <c r="BK709" s="76">
        <f>BK708+(0.1*BD709)/(Escenarios!$E$19)-BL708</f>
        <v>49.618557155001405</v>
      </c>
      <c r="BL709" s="76">
        <f>MAX(0,(BK709-Constantes!$D$13)*(1-EXP(-Constantes!$D$23)))</f>
        <v>8.5581005224256469E-3</v>
      </c>
      <c r="BM709" s="76">
        <f t="shared" si="148"/>
        <v>0.13208506968032113</v>
      </c>
      <c r="BN709" s="76">
        <f t="shared" si="153"/>
        <v>0.45939476245302979</v>
      </c>
      <c r="BO709" s="76">
        <f>0.0526*BI709*Observaciones!$F708^1.218</f>
        <v>0</v>
      </c>
      <c r="BP709" s="76">
        <f>BO709*Constantes!$E$51</f>
        <v>0</v>
      </c>
      <c r="BQ709" s="76">
        <f t="shared" si="149"/>
        <v>0</v>
      </c>
      <c r="BR709" s="40"/>
    </row>
    <row r="710" spans="1:70">
      <c r="A710" s="147"/>
      <c r="B710" s="39"/>
      <c r="C710" s="75">
        <v>704</v>
      </c>
      <c r="D710" s="146">
        <f>ETo!$I709*((1-Constantes!$E$19)*ETo!$K709+ETo!$L709)</f>
        <v>4.3768870889205846</v>
      </c>
      <c r="E710" s="76">
        <f>MIN(D710*Constantes!$E$17,0.8*(N709+Observaciones!$F709-F710-M710-Constantes!$D$14))</f>
        <v>2.1399139906120497</v>
      </c>
      <c r="F710" s="76">
        <f>IF(Observaciones!$F709&gt;0.05*Constantes!$E$18,((Observaciones!$F709-0.05*Constantes!$E$18)^2)/(Observaciones!$F709+0.95*Constantes!$E$18),0)</f>
        <v>0</v>
      </c>
      <c r="G710" s="76">
        <f>IF(Escenarios!$E$11&gt;0,(F710*Escenarios!$E$16*10000)/1000,0)</f>
        <v>0</v>
      </c>
      <c r="H710" s="76">
        <f>IF(Escenarios!$E$11&gt;0,(Observaciones!$F709*Constantes!$E$29)/1000,0)</f>
        <v>0</v>
      </c>
      <c r="I710" s="76">
        <f>IF(Escenarios!$E$11&gt;0,(D710*Constantes!$E$29)/1000,0)</f>
        <v>43.76887088920585</v>
      </c>
      <c r="J710" s="76">
        <f>IF(Escenarios!$E$11&gt;0,MAX(0,G710+H710-I710),0)</f>
        <v>0</v>
      </c>
      <c r="K710" s="76">
        <f>IF(Escenarios!$E$11&gt;0,IF(J710&gt;Constantes!$E$30,1000*((J710-Constantes!$E$30)/(Escenarios!$E$16*10000)),0),F710)</f>
        <v>0</v>
      </c>
      <c r="L710" s="76">
        <f>IF(Escenarios!$E$11&gt;0,I710*1000/Escenarios!$E$16/10000+E710,E710)</f>
        <v>2.157421538967732</v>
      </c>
      <c r="M710" s="76">
        <f>MAX(0,N709+Observaciones!$F709-K710-Constantes!$D$13)</f>
        <v>0</v>
      </c>
      <c r="N710" s="76">
        <f>N709+Observaciones!$F709-K710-L710-M710-O709</f>
        <v>19.639682840706204</v>
      </c>
      <c r="O710" s="76">
        <f>MAX(0,(N710-Constantes!$D$14)*(1-EXP(-Constantes!$D$22)))</f>
        <v>0.28578339671068309</v>
      </c>
      <c r="P710" s="170">
        <f>P709+(Entradas!$E$83*M710-Q709)/(800*Entradas!$D$25)</f>
        <v>0</v>
      </c>
      <c r="Q710" s="170">
        <f>8000*Entradas!$D$26*P710/Constantes!$E$45</f>
        <v>0</v>
      </c>
      <c r="R710" s="170">
        <f>IF(Escenarios!$E$14&gt;0,K710*Escenarios!$E$13/Escenarios!$E$14,0)</f>
        <v>0</v>
      </c>
      <c r="S710" s="170">
        <f>IF(Escenarios!$E$14&gt;0,Q710*Escenarios!$E$13/Escenarios!$E$14,0)</f>
        <v>0</v>
      </c>
      <c r="T710" s="170">
        <f>IF(Escenarios!$E$14&gt;0,Observaciones!$I709,0)</f>
        <v>0</v>
      </c>
      <c r="U710" s="170">
        <f>IF(Escenarios!$E$14&gt;0,MAX(0,Constantes!$E$36/((Z709+R710+S710+T710+Observaciones!$F709)^2)+Entradas!$E$77),0)</f>
        <v>0</v>
      </c>
      <c r="V710" s="146">
        <f>IF(ETo!D709&gt;0,ETo!I709*((1-Entradas!$E$81)*ETo!K709+ETo!L709),0)</f>
        <v>4.0000356737333762</v>
      </c>
      <c r="W710" s="170">
        <f>IF(Escenarios!$E$14&gt;0,MIN(V710*1,0.8*(Z709+R710+S710+T710+Observaciones!$F709-U710-Constantes!$E$35)),0)</f>
        <v>2.1310034713451389E-3</v>
      </c>
      <c r="X710" s="170">
        <f>IF(Escenarios!$E$14&gt;0,Observaciones!$J709,0)</f>
        <v>0</v>
      </c>
      <c r="Y710" s="170">
        <f>IF(Escenarios!$E$14&gt;0,MAX(0,Z709+R710+S710+T710+Observaciones!$F709-U710-W710-X710-Constantes!$E$33),0)</f>
        <v>0</v>
      </c>
      <c r="Z710" s="170">
        <f>Z709+R710+S710+T710+Observaciones!$F709-U710-W710-Y710</f>
        <v>41.250532750867833</v>
      </c>
      <c r="AA710" s="170">
        <f>IF(Escenarios!$E$14&gt;0,(Escenarios!$E$13*L710+Escenarios!$E$14*W710)/(Escenarios!$E$16),L710)</f>
        <v>1.8987866747081656</v>
      </c>
      <c r="AB710" s="170">
        <f>IF(Escenarios!$E$14&gt;0,(Escenarios!$E$14*Y710)/(Escenarios!$E$16),K710)</f>
        <v>0</v>
      </c>
      <c r="AC710" s="170">
        <f>IF(Escenarios!$E$14&gt;0,(Escenarios!$E$13*M710+Escenarios!$E$14*U710)/(Escenarios!$E$16),M710)</f>
        <v>0</v>
      </c>
      <c r="AD710" s="76">
        <f t="shared" si="141"/>
        <v>61.163160654057634</v>
      </c>
      <c r="AE710" s="76">
        <f>MAX(0,(AD710-Constantes!$D$13)*(1-EXP(-Constantes!$D$23)))</f>
        <v>0.12230982850895095</v>
      </c>
      <c r="AF710" s="76">
        <f>AB710+O710*Escenarios!$E$13/Escenarios!$E$16+AE710</f>
        <v>0.37379921761435209</v>
      </c>
      <c r="AG710" s="76">
        <f>IF(Entradas!$E$91&gt;0,IF(AF710-Escenarios!$E$38&lt;=0,0,IF(AF710-Escenarios!$E$38&gt;Escenarios!$E$37,Escenarios!$E$37,AF710-Escenarios!$E$38)),0)</f>
        <v>0</v>
      </c>
      <c r="AH710" s="76">
        <f>AG710*Entradas!$E$99</f>
        <v>0</v>
      </c>
      <c r="AI710" s="76">
        <f>IF(Entradas!$E$91&gt;0,D710*Entradas!$D$23/Escenarios!$E$16,0)</f>
        <v>0</v>
      </c>
      <c r="AJ710" s="76">
        <f>IF(Entradas!$E$91&gt;0,Entradas!$D$24*Entradas!$D$22/Escenarios!$E$16,0)</f>
        <v>0</v>
      </c>
      <c r="AK710" s="76">
        <f t="shared" si="150"/>
        <v>1.8987866747081656</v>
      </c>
      <c r="AL710" s="76">
        <f t="shared" si="151"/>
        <v>0</v>
      </c>
      <c r="AM710" s="76">
        <f t="shared" si="142"/>
        <v>0</v>
      </c>
      <c r="AN710" s="76">
        <f>MAX(0,O710*Escenarios!$E$13/Escenarios!$E$16-AM710)</f>
        <v>0.25148938910540114</v>
      </c>
      <c r="AO710" s="76">
        <f>AM710+AN710-O710*Escenarios!$E$13/Escenarios!$E$16</f>
        <v>0</v>
      </c>
      <c r="AP710" s="76">
        <f t="shared" ref="AP710:AP736" si="154">MAX(0,AE710-AO710)</f>
        <v>0.12230982850895095</v>
      </c>
      <c r="AQ710" s="76">
        <f t="shared" si="143"/>
        <v>0</v>
      </c>
      <c r="AR710" s="76">
        <f t="shared" si="144"/>
        <v>0.37379921761435209</v>
      </c>
      <c r="AS710" s="76">
        <f t="shared" si="145"/>
        <v>0</v>
      </c>
      <c r="AT710" s="76">
        <f t="shared" si="146"/>
        <v>0</v>
      </c>
      <c r="AU710" s="76">
        <f t="shared" si="147"/>
        <v>48.75</v>
      </c>
      <c r="AV710" s="76">
        <f>MAX(0,(AU710-Constantes!$D$13)*(1-EXP(-Constantes!$D$24)))</f>
        <v>0</v>
      </c>
      <c r="AW710" s="170">
        <f>AW709+(Entradas!$E$112*AT710-AX709)/(800*Entradas!$D$25)</f>
        <v>0</v>
      </c>
      <c r="AX710" s="170">
        <f>8000*Entradas!$D$26*AW710/Constantes!$E$45</f>
        <v>0</v>
      </c>
      <c r="AY710" s="170">
        <f>IF(Escenarios!$E$17&gt;0,10*Escenarios!$E$16*AL710,0)</f>
        <v>0</v>
      </c>
      <c r="AZ710" s="170">
        <f>IF(Escenarios!$E$17&gt;0,10*Escenarios!$E$16*AX710,0)</f>
        <v>0</v>
      </c>
      <c r="BA710" s="170">
        <f>IF(Escenarios!$E$17&gt;0,0.001*Observaciones!$F709*Escenarios!$E$17,0)</f>
        <v>0</v>
      </c>
      <c r="BB710" s="170">
        <f>IF(Escenarios!$E$17&gt;0,Observaciones!$K709,0)</f>
        <v>0</v>
      </c>
      <c r="BC710" s="170">
        <f>IF(Escenarios!$E$17&gt;0,MIN(0.0005*ETo!$M709*Escenarios!$E$17*(BG709/Constantes!$E$40)^(2/3),BG709+AY710+AZ710+BA710+BB710),0)</f>
        <v>16.047126310405744</v>
      </c>
      <c r="BD710" s="170">
        <f>IF(Escenarios!$E$17&gt;0,MIN(Constantes!$E$39*(BG709/Constantes!$E$40)^(2/3),BG709+AY710+AZ710+BA710+BB710-BC710),0)</f>
        <v>25.831039926344697</v>
      </c>
      <c r="BE710" s="170">
        <f>IF(Escenarios!$E$17&gt;0,MIN(Entradas!$E$113,BG709+AY710+AZ710+BA710+BB710-BC710-BD710),0)</f>
        <v>1</v>
      </c>
      <c r="BF710" s="170">
        <f>IF(Escenarios!$E$17&gt;0,MAX(0,BG709+AY710+AZ710+BA710+BB710-BC710-BD710-BE710-Constantes!$E$40),0)</f>
        <v>0</v>
      </c>
      <c r="BG710" s="170">
        <f t="shared" si="152"/>
        <v>1180.2912019169901</v>
      </c>
      <c r="BH710" s="170">
        <f>(Escenarios!$E$16*AK710+0.1*BC710)/(Escenarios!$E$19)</f>
        <v>1.8900848464606428</v>
      </c>
      <c r="BI710" s="170">
        <f>IF(Escenarios!$E$17&gt;0,BF710/10/Escenarios!$E$19,AL710)</f>
        <v>0</v>
      </c>
      <c r="BJ710" s="170">
        <f>(Escenarios!$E$16*AT710+0.1*BD710)/(Escenarios!$E$19)</f>
        <v>1.0250412669184404E-2</v>
      </c>
      <c r="BK710" s="76">
        <f>BK709+(0.1*BD710)/(Escenarios!$E$19)-BL709</f>
        <v>49.620249467148163</v>
      </c>
      <c r="BL710" s="76">
        <f>MAX(0,(BK710-Constantes!$D$13)*(1-EXP(-Constantes!$D$23)))</f>
        <v>8.5747752770850075E-3</v>
      </c>
      <c r="BM710" s="76">
        <f t="shared" si="148"/>
        <v>0.13088460378603595</v>
      </c>
      <c r="BN710" s="76">
        <f t="shared" si="153"/>
        <v>0.38237399289143709</v>
      </c>
      <c r="BO710" s="76">
        <f>0.0526*BI710*Observaciones!$F709^1.218</f>
        <v>0</v>
      </c>
      <c r="BP710" s="76">
        <f>BO710*Constantes!$E$51</f>
        <v>0</v>
      </c>
      <c r="BQ710" s="76">
        <f t="shared" si="149"/>
        <v>0</v>
      </c>
      <c r="BR710" s="40"/>
    </row>
    <row r="711" spans="1:70">
      <c r="A711" s="147"/>
      <c r="B711" s="39"/>
      <c r="C711" s="75">
        <v>705</v>
      </c>
      <c r="D711" s="146">
        <f>ETo!$I710*((1-Constantes!$E$19)*ETo!$K710+ETo!$L710)</f>
        <v>4.4087322594092981</v>
      </c>
      <c r="E711" s="76">
        <f>MIN(D711*Constantes!$E$17,0.8*(N710+Observaciones!$F710-F711-M711-Constantes!$D$14))</f>
        <v>2.1554834865752248</v>
      </c>
      <c r="F711" s="76">
        <f>IF(Observaciones!$F710&gt;0.05*Constantes!$E$18,((Observaciones!$F710-0.05*Constantes!$E$18)^2)/(Observaciones!$F710+0.95*Constantes!$E$18),0)</f>
        <v>0</v>
      </c>
      <c r="G711" s="76">
        <f>IF(Escenarios!$E$11&gt;0,(F711*Escenarios!$E$16*10000)/1000,0)</f>
        <v>0</v>
      </c>
      <c r="H711" s="76">
        <f>IF(Escenarios!$E$11&gt;0,(Observaciones!$F710*Constantes!$E$29)/1000,0)</f>
        <v>0</v>
      </c>
      <c r="I711" s="76">
        <f>IF(Escenarios!$E$11&gt;0,(D711*Constantes!$E$29)/1000,0)</f>
        <v>44.087322594092981</v>
      </c>
      <c r="J711" s="76">
        <f>IF(Escenarios!$E$11&gt;0,MAX(0,G711+H711-I711),0)</f>
        <v>0</v>
      </c>
      <c r="K711" s="76">
        <f>IF(Escenarios!$E$11&gt;0,IF(J711&gt;Constantes!$E$30,1000*((J711-Constantes!$E$30)/(Escenarios!$E$16*10000)),0),F711)</f>
        <v>0</v>
      </c>
      <c r="L711" s="76">
        <f>IF(Escenarios!$E$11&gt;0,I711*1000/Escenarios!$E$16/10000+E711,E711)</f>
        <v>2.173118415612862</v>
      </c>
      <c r="M711" s="76">
        <f>MAX(0,N710+Observaciones!$F710-K711-Constantes!$D$13)</f>
        <v>0</v>
      </c>
      <c r="N711" s="76">
        <f>N710+Observaciones!$F710-K711-L711-M711-O710</f>
        <v>17.180781028382658</v>
      </c>
      <c r="O711" s="76">
        <f>MAX(0,(N711-Constantes!$D$14)*(1-EXP(-Constantes!$D$22)))</f>
        <v>0.20202417416959281</v>
      </c>
      <c r="P711" s="170">
        <f>P710+(Entradas!$E$83*M711-Q710)/(800*Entradas!$D$25)</f>
        <v>0</v>
      </c>
      <c r="Q711" s="170">
        <f>8000*Entradas!$D$26*P711/Constantes!$E$45</f>
        <v>0</v>
      </c>
      <c r="R711" s="170">
        <f>IF(Escenarios!$E$14&gt;0,K711*Escenarios!$E$13/Escenarios!$E$14,0)</f>
        <v>0</v>
      </c>
      <c r="S711" s="170">
        <f>IF(Escenarios!$E$14&gt;0,Q711*Escenarios!$E$13/Escenarios!$E$14,0)</f>
        <v>0</v>
      </c>
      <c r="T711" s="170">
        <f>IF(Escenarios!$E$14&gt;0,Observaciones!$I710,0)</f>
        <v>0</v>
      </c>
      <c r="U711" s="170">
        <f>IF(Escenarios!$E$14&gt;0,MAX(0,Constantes!$E$36/((Z710+R711+S711+T711+Observaciones!$F710)^2)+Entradas!$E$77),0)</f>
        <v>0</v>
      </c>
      <c r="V711" s="146">
        <f>IF(ETo!D710&gt;0,ETo!I710*((1-Entradas!$E$81)*ETo!K710+ETo!L710),0)</f>
        <v>4.0294967988742076</v>
      </c>
      <c r="W711" s="170">
        <f>IF(Escenarios!$E$14&gt;0,MIN(V711*1,0.8*(Z710+R711+S711+T711+Observaciones!$F710-U711-Constantes!$E$35)),0)</f>
        <v>4.2620069426675401E-4</v>
      </c>
      <c r="X711" s="170">
        <f>IF(Escenarios!$E$14&gt;0,Observaciones!$J710,0)</f>
        <v>0</v>
      </c>
      <c r="Y711" s="170">
        <f>IF(Escenarios!$E$14&gt;0,MAX(0,Z710+R711+S711+T711+Observaciones!$F710-U711-W711-X711-Constantes!$E$33),0)</f>
        <v>0</v>
      </c>
      <c r="Z711" s="170">
        <f>Z710+R711+S711+T711+Observaciones!$F710-U711-W711-Y711</f>
        <v>41.25010655017357</v>
      </c>
      <c r="AA711" s="170">
        <f>IF(Escenarios!$E$14&gt;0,(Escenarios!$E$13*L711+Escenarios!$E$14*W711)/(Escenarios!$E$16),L711)</f>
        <v>1.9123953498226305</v>
      </c>
      <c r="AB711" s="170">
        <f>IF(Escenarios!$E$14&gt;0,(Escenarios!$E$14*Y711)/(Escenarios!$E$16),K711)</f>
        <v>0</v>
      </c>
      <c r="AC711" s="170">
        <f>IF(Escenarios!$E$14&gt;0,(Escenarios!$E$13*M711+Escenarios!$E$14*U711)/(Escenarios!$E$16),M711)</f>
        <v>0</v>
      </c>
      <c r="AD711" s="76">
        <f t="shared" ref="AD711:AD736" si="155">AD710+AC711-AE710</f>
        <v>61.040850825548681</v>
      </c>
      <c r="AE711" s="76">
        <f>MAX(0,(AD711-Constantes!$D$13)*(1-EXP(-Constantes!$D$23)))</f>
        <v>0.12110468063672074</v>
      </c>
      <c r="AF711" s="76">
        <f>AB711+O711*Escenarios!$E$13/Escenarios!$E$16+AE711</f>
        <v>0.2988859539059624</v>
      </c>
      <c r="AG711" s="76">
        <f>IF(Entradas!$E$91&gt;0,IF(AF711-Escenarios!$E$38&lt;=0,0,IF(AF711-Escenarios!$E$38&gt;Escenarios!$E$37,Escenarios!$E$37,AF711-Escenarios!$E$38)),0)</f>
        <v>0</v>
      </c>
      <c r="AH711" s="76">
        <f>AG711*Entradas!$E$99</f>
        <v>0</v>
      </c>
      <c r="AI711" s="76">
        <f>IF(Entradas!$E$91&gt;0,D711*Entradas!$D$23/Escenarios!$E$16,0)</f>
        <v>0</v>
      </c>
      <c r="AJ711" s="76">
        <f>IF(Entradas!$E$91&gt;0,Entradas!$D$24*Entradas!$D$22/Escenarios!$E$16,0)</f>
        <v>0</v>
      </c>
      <c r="AK711" s="76">
        <f t="shared" si="150"/>
        <v>1.9123953498226305</v>
      </c>
      <c r="AL711" s="76">
        <f t="shared" si="151"/>
        <v>0</v>
      </c>
      <c r="AM711" s="76">
        <f t="shared" ref="AM711:AM736" si="156">AG711+AL711-AB711</f>
        <v>0</v>
      </c>
      <c r="AN711" s="76">
        <f>MAX(0,O711*Escenarios!$E$13/Escenarios!$E$16-AM711)</f>
        <v>0.17778127326924167</v>
      </c>
      <c r="AO711" s="76">
        <f>AM711+AN711-O711*Escenarios!$E$13/Escenarios!$E$16</f>
        <v>0</v>
      </c>
      <c r="AP711" s="76">
        <f t="shared" si="154"/>
        <v>0.12110468063672074</v>
      </c>
      <c r="AQ711" s="76">
        <f t="shared" ref="AQ711:AQ736" si="157">AO711+AP711-AE711</f>
        <v>0</v>
      </c>
      <c r="AR711" s="76">
        <f t="shared" ref="AR711:AR736" si="158">AL711+AN711+AP711+AH711</f>
        <v>0.2988859539059624</v>
      </c>
      <c r="AS711" s="76">
        <f t="shared" ref="AS711:AS736" si="159">MAX(0,AG711-AH711-AI711-AJ711)</f>
        <v>0</v>
      </c>
      <c r="AT711" s="76">
        <f t="shared" ref="AT711:AT736" si="160">AC711+AS711</f>
        <v>0</v>
      </c>
      <c r="AU711" s="76">
        <f t="shared" ref="AU711:AU736" si="161">AU710+AS711-AV710</f>
        <v>48.75</v>
      </c>
      <c r="AV711" s="76">
        <f>MAX(0,(AU711-Constantes!$D$13)*(1-EXP(-Constantes!$D$24)))</f>
        <v>0</v>
      </c>
      <c r="AW711" s="170">
        <f>AW710+(Entradas!$E$112*AT711-AX710)/(800*Entradas!$D$25)</f>
        <v>0</v>
      </c>
      <c r="AX711" s="170">
        <f>8000*Entradas!$D$26*AW711/Constantes!$E$45</f>
        <v>0</v>
      </c>
      <c r="AY711" s="170">
        <f>IF(Escenarios!$E$17&gt;0,10*Escenarios!$E$16*AL711,0)</f>
        <v>0</v>
      </c>
      <c r="AZ711" s="170">
        <f>IF(Escenarios!$E$17&gt;0,10*Escenarios!$E$16*AX711,0)</f>
        <v>0</v>
      </c>
      <c r="BA711" s="170">
        <f>IF(Escenarios!$E$17&gt;0,0.001*Observaciones!$F710*Escenarios!$E$17,0)</f>
        <v>0</v>
      </c>
      <c r="BB711" s="170">
        <f>IF(Escenarios!$E$17&gt;0,Observaciones!$K710,0)</f>
        <v>0</v>
      </c>
      <c r="BC711" s="170">
        <f>IF(Escenarios!$E$17&gt;0,MIN(0.0005*ETo!$M710*Escenarios!$E$17*(BG710/Constantes!$E$40)^(2/3),BG710+AY711+AZ711+BA711+BB711),0)</f>
        <v>15.782114298728036</v>
      </c>
      <c r="BD711" s="170">
        <f>IF(Escenarios!$E$17&gt;0,MIN(Constantes!$E$39*(BG710/Constantes!$E$40)^(2/3),BG710+AY711+AZ711+BA711+BB711-BC711),0)</f>
        <v>25.223785984995416</v>
      </c>
      <c r="BE711" s="170">
        <f>IF(Escenarios!$E$17&gt;0,MIN(Entradas!$E$113,BG710+AY711+AZ711+BA711+BB711-BC711-BD711),0)</f>
        <v>1</v>
      </c>
      <c r="BF711" s="170">
        <f>IF(Escenarios!$E$17&gt;0,MAX(0,BG710+AY711+AZ711+BA711+BB711-BC711-BD711-BE711-Constantes!$E$40),0)</f>
        <v>0</v>
      </c>
      <c r="BG711" s="170">
        <f t="shared" si="152"/>
        <v>1138.2853016332667</v>
      </c>
      <c r="BH711" s="170">
        <f>(Escenarios!$E$16*AK711+0.1*BC711)/(Escenarios!$E$19)</f>
        <v>1.903480352720359</v>
      </c>
      <c r="BI711" s="170">
        <f>IF(Escenarios!$E$17&gt;0,BF711/10/Escenarios!$E$19,AL711)</f>
        <v>0</v>
      </c>
      <c r="BJ711" s="170">
        <f>(Escenarios!$E$16*AT711+0.1*BD711)/(Escenarios!$E$19)</f>
        <v>1.000943888293469E-2</v>
      </c>
      <c r="BK711" s="76">
        <f>BK710+(0.1*BD711)/(Escenarios!$E$19)-BL710</f>
        <v>49.621684130754012</v>
      </c>
      <c r="BL711" s="76">
        <f>MAX(0,(BK711-Constantes!$D$13)*(1-EXP(-Constantes!$D$23)))</f>
        <v>8.5889113593036869E-3</v>
      </c>
      <c r="BM711" s="76">
        <f t="shared" ref="BM711:BM736" si="162">AP711+AV711+BL711</f>
        <v>0.12969359199602443</v>
      </c>
      <c r="BN711" s="76">
        <f t="shared" si="153"/>
        <v>0.30747486526526607</v>
      </c>
      <c r="BO711" s="76">
        <f>0.0526*BI711*Observaciones!$F710^1.218</f>
        <v>0</v>
      </c>
      <c r="BP711" s="76">
        <f>BO711*Constantes!$E$51</f>
        <v>0</v>
      </c>
      <c r="BQ711" s="76">
        <f t="shared" ref="BQ711:BQ736" si="163">BP711*1000000/(BN711/1000*10000)</f>
        <v>0</v>
      </c>
      <c r="BR711" s="40"/>
    </row>
    <row r="712" spans="1:70">
      <c r="A712" s="147"/>
      <c r="B712" s="39"/>
      <c r="C712" s="75">
        <v>706</v>
      </c>
      <c r="D712" s="146">
        <f>ETo!$I711*((1-Constantes!$E$19)*ETo!$K711+ETo!$L711)</f>
        <v>4.3769793262290229</v>
      </c>
      <c r="E712" s="76">
        <f>MIN(D712*Constantes!$E$17,0.8*(N711+Observaciones!$F711-F712-M712-Constantes!$D$14))</f>
        <v>2.1399590865678677</v>
      </c>
      <c r="F712" s="76">
        <f>IF(Observaciones!$F711&gt;0.05*Constantes!$E$18,((Observaciones!$F711-0.05*Constantes!$E$18)^2)/(Observaciones!$F711+0.95*Constantes!$E$18),0)</f>
        <v>0</v>
      </c>
      <c r="G712" s="76">
        <f>IF(Escenarios!$E$11&gt;0,(F712*Escenarios!$E$16*10000)/1000,0)</f>
        <v>0</v>
      </c>
      <c r="H712" s="76">
        <f>IF(Escenarios!$E$11&gt;0,(Observaciones!$F711*Constantes!$E$29)/1000,0)</f>
        <v>1</v>
      </c>
      <c r="I712" s="76">
        <f>IF(Escenarios!$E$11&gt;0,(D712*Constantes!$E$29)/1000,0)</f>
        <v>43.769793262290229</v>
      </c>
      <c r="J712" s="76">
        <f>IF(Escenarios!$E$11&gt;0,MAX(0,G712+H712-I712),0)</f>
        <v>0</v>
      </c>
      <c r="K712" s="76">
        <f>IF(Escenarios!$E$11&gt;0,IF(J712&gt;Constantes!$E$30,1000*((J712-Constantes!$E$30)/(Escenarios!$E$16*10000)),0),F712)</f>
        <v>0</v>
      </c>
      <c r="L712" s="76">
        <f>IF(Escenarios!$E$11&gt;0,I712*1000/Escenarios!$E$16/10000+E712,E712)</f>
        <v>2.1574670038727839</v>
      </c>
      <c r="M712" s="76">
        <f>MAX(0,N711+Observaciones!$F711-K712-Constantes!$D$13)</f>
        <v>0</v>
      </c>
      <c r="N712" s="76">
        <f>N711+Observaciones!$F711-K712-L712-M712-O711</f>
        <v>14.921289850340283</v>
      </c>
      <c r="O712" s="76">
        <f>MAX(0,(N712-Constantes!$D$14)*(1-EXP(-Constantes!$D$22)))</f>
        <v>0.12505760988354422</v>
      </c>
      <c r="P712" s="170">
        <f>P711+(Entradas!$E$83*M712-Q711)/(800*Entradas!$D$25)</f>
        <v>0</v>
      </c>
      <c r="Q712" s="170">
        <f>8000*Entradas!$D$26*P712/Constantes!$E$45</f>
        <v>0</v>
      </c>
      <c r="R712" s="170">
        <f>IF(Escenarios!$E$14&gt;0,K712*Escenarios!$E$13/Escenarios!$E$14,0)</f>
        <v>0</v>
      </c>
      <c r="S712" s="170">
        <f>IF(Escenarios!$E$14&gt;0,Q712*Escenarios!$E$13/Escenarios!$E$14,0)</f>
        <v>0</v>
      </c>
      <c r="T712" s="170">
        <f>IF(Escenarios!$E$14&gt;0,Observaciones!$I711,0)</f>
        <v>0</v>
      </c>
      <c r="U712" s="170">
        <f>IF(Escenarios!$E$14&gt;0,MAX(0,Constantes!$E$36/((Z711+R712+S712+T712+Observaciones!$F711)^2)+Entradas!$E$77),0)</f>
        <v>0</v>
      </c>
      <c r="V712" s="146">
        <f>IF(ETo!D711&gt;0,ETo!I711*((1-Entradas!$E$81)*ETo!K711+ETo!L711),0)</f>
        <v>4.0001220382543856</v>
      </c>
      <c r="W712" s="170">
        <f>IF(Escenarios!$E$14&gt;0,MIN(V712*1,0.8*(Z711+R712+S712+T712+Observaciones!$F711-U712-Constantes!$E$35)),0)</f>
        <v>8.0085240138856761E-2</v>
      </c>
      <c r="X712" s="170">
        <f>IF(Escenarios!$E$14&gt;0,Observaciones!$J711,0)</f>
        <v>0</v>
      </c>
      <c r="Y712" s="170">
        <f>IF(Escenarios!$E$14&gt;0,MAX(0,Z711+R712+S712+T712+Observaciones!$F711-U712-W712-X712-Constantes!$E$33),0)</f>
        <v>0</v>
      </c>
      <c r="Z712" s="170">
        <f>Z711+R712+S712+T712+Observaciones!$F711-U712-W712-Y712</f>
        <v>41.270021310034714</v>
      </c>
      <c r="AA712" s="170">
        <f>IF(Escenarios!$E$14&gt;0,(Escenarios!$E$13*L712+Escenarios!$E$14*W712)/(Escenarios!$E$16),L712)</f>
        <v>1.9081811922247127</v>
      </c>
      <c r="AB712" s="170">
        <f>IF(Escenarios!$E$14&gt;0,(Escenarios!$E$14*Y712)/(Escenarios!$E$16),K712)</f>
        <v>0</v>
      </c>
      <c r="AC712" s="170">
        <f>IF(Escenarios!$E$14&gt;0,(Escenarios!$E$13*M712+Escenarios!$E$14*U712)/(Escenarios!$E$16),M712)</f>
        <v>0</v>
      </c>
      <c r="AD712" s="76">
        <f t="shared" si="155"/>
        <v>60.919746144911961</v>
      </c>
      <c r="AE712" s="76">
        <f>MAX(0,(AD712-Constantes!$D$13)*(1-EXP(-Constantes!$D$23)))</f>
        <v>0.11991140737351952</v>
      </c>
      <c r="AF712" s="76">
        <f>AB712+O712*Escenarios!$E$13/Escenarios!$E$16+AE712</f>
        <v>0.22996210407103845</v>
      </c>
      <c r="AG712" s="76">
        <f>IF(Entradas!$E$91&gt;0,IF(AF712-Escenarios!$E$38&lt;=0,0,IF(AF712-Escenarios!$E$38&gt;Escenarios!$E$37,Escenarios!$E$37,AF712-Escenarios!$E$38)),0)</f>
        <v>0</v>
      </c>
      <c r="AH712" s="76">
        <f>AG712*Entradas!$E$99</f>
        <v>0</v>
      </c>
      <c r="AI712" s="76">
        <f>IF(Entradas!$E$91&gt;0,D712*Entradas!$D$23/Escenarios!$E$16,0)</f>
        <v>0</v>
      </c>
      <c r="AJ712" s="76">
        <f>IF(Entradas!$E$91&gt;0,Entradas!$D$24*Entradas!$D$22/Escenarios!$E$16,0)</f>
        <v>0</v>
      </c>
      <c r="AK712" s="76">
        <f t="shared" ref="AK712:AK736" si="164">AA712+AI712</f>
        <v>1.9081811922247127</v>
      </c>
      <c r="AL712" s="76">
        <f t="shared" ref="AL712:AL736" si="165">MAX(0,AB712-AG712)</f>
        <v>0</v>
      </c>
      <c r="AM712" s="76">
        <f t="shared" si="156"/>
        <v>0</v>
      </c>
      <c r="AN712" s="76">
        <f>MAX(0,O712*Escenarios!$E$13/Escenarios!$E$16-AM712)</f>
        <v>0.11005069669751892</v>
      </c>
      <c r="AO712" s="76">
        <f>AM712+AN712-O712*Escenarios!$E$13/Escenarios!$E$16</f>
        <v>0</v>
      </c>
      <c r="AP712" s="76">
        <f t="shared" si="154"/>
        <v>0.11991140737351952</v>
      </c>
      <c r="AQ712" s="76">
        <f t="shared" si="157"/>
        <v>0</v>
      </c>
      <c r="AR712" s="76">
        <f t="shared" si="158"/>
        <v>0.22996210407103845</v>
      </c>
      <c r="AS712" s="76">
        <f t="shared" si="159"/>
        <v>0</v>
      </c>
      <c r="AT712" s="76">
        <f t="shared" si="160"/>
        <v>0</v>
      </c>
      <c r="AU712" s="76">
        <f t="shared" si="161"/>
        <v>48.75</v>
      </c>
      <c r="AV712" s="76">
        <f>MAX(0,(AU712-Constantes!$D$13)*(1-EXP(-Constantes!$D$24)))</f>
        <v>0</v>
      </c>
      <c r="AW712" s="170">
        <f>AW711+(Entradas!$E$112*AT712-AX711)/(800*Entradas!$D$25)</f>
        <v>0</v>
      </c>
      <c r="AX712" s="170">
        <f>8000*Entradas!$D$26*AW712/Constantes!$E$45</f>
        <v>0</v>
      </c>
      <c r="AY712" s="170">
        <f>IF(Escenarios!$E$17&gt;0,10*Escenarios!$E$16*AL712,0)</f>
        <v>0</v>
      </c>
      <c r="AZ712" s="170">
        <f>IF(Escenarios!$E$17&gt;0,10*Escenarios!$E$16*AX712,0)</f>
        <v>0</v>
      </c>
      <c r="BA712" s="170">
        <f>IF(Escenarios!$E$17&gt;0,0.001*Observaciones!$F711*Escenarios!$E$17,0)</f>
        <v>2</v>
      </c>
      <c r="BB712" s="170">
        <f>IF(Escenarios!$E$17&gt;0,Observaciones!$K711,0)</f>
        <v>0</v>
      </c>
      <c r="BC712" s="170">
        <f>IF(Escenarios!$E$17&gt;0,MIN(0.0005*ETo!$M711*Escenarios!$E$17*(BG711/Constantes!$E$40)^(2/3),BG711+AY712+AZ712+BA712+BB712),0)</f>
        <v>15.296162650654761</v>
      </c>
      <c r="BD712" s="170">
        <f>IF(Escenarios!$E$17&gt;0,MIN(Constantes!$E$39*(BG711/Constantes!$E$40)^(2/3),BG711+AY712+AZ712+BA712+BB712-BC712),0)</f>
        <v>24.621711883130036</v>
      </c>
      <c r="BE712" s="170">
        <f>IF(Escenarios!$E$17&gt;0,MIN(Entradas!$E$113,BG711+AY712+AZ712+BA712+BB712-BC712-BD712),0)</f>
        <v>1</v>
      </c>
      <c r="BF712" s="170">
        <f>IF(Escenarios!$E$17&gt;0,MAX(0,BG711+AY712+AZ712+BA712+BB712-BC712-BD712-BE712-Constantes!$E$40),0)</f>
        <v>0</v>
      </c>
      <c r="BG712" s="170">
        <f t="shared" ref="BG712:BG736" si="166">BG711+AY712+AZ712+BA712+BB712-BF712-BC712-BD712-BE712</f>
        <v>1099.367427099482</v>
      </c>
      <c r="BH712" s="170">
        <f>(Escenarios!$E$16*AK712+0.1*BC712)/(Escenarios!$E$19)</f>
        <v>1.8991068028620781</v>
      </c>
      <c r="BI712" s="170">
        <f>IF(Escenarios!$E$17&gt;0,BF712/10/Escenarios!$E$19,AL712)</f>
        <v>0</v>
      </c>
      <c r="BJ712" s="170">
        <f>(Escenarios!$E$16*AT712+0.1*BD712)/(Escenarios!$E$19)</f>
        <v>9.7705205885436665E-3</v>
      </c>
      <c r="BK712" s="76">
        <f>BK711+(0.1*BD712)/(Escenarios!$E$19)-BL711</f>
        <v>49.622865739983254</v>
      </c>
      <c r="BL712" s="76">
        <f>MAX(0,(BK712-Constantes!$D$13)*(1-EXP(-Constantes!$D$23)))</f>
        <v>8.6005540364768006E-3</v>
      </c>
      <c r="BM712" s="76">
        <f t="shared" si="162"/>
        <v>0.12851196140999632</v>
      </c>
      <c r="BN712" s="76">
        <f t="shared" ref="BN712:BN736" si="167">AN712+AP712+AV712+BI712+BL712</f>
        <v>0.23856265810751526</v>
      </c>
      <c r="BO712" s="76">
        <f>0.0526*BI712*Observaciones!$F711^1.218</f>
        <v>0</v>
      </c>
      <c r="BP712" s="76">
        <f>BO712*Constantes!$E$51</f>
        <v>0</v>
      </c>
      <c r="BQ712" s="76">
        <f t="shared" si="163"/>
        <v>0</v>
      </c>
      <c r="BR712" s="40"/>
    </row>
    <row r="713" spans="1:70">
      <c r="A713" s="147"/>
      <c r="B713" s="39"/>
      <c r="C713" s="75">
        <v>707</v>
      </c>
      <c r="D713" s="146">
        <f>ETo!$I712*((1-Constantes!$E$19)*ETo!$K712+ETo!$L712)</f>
        <v>4.3724554282008468</v>
      </c>
      <c r="E713" s="76">
        <f>MIN(D713*Constantes!$E$17,0.8*(N712+Observaciones!$F712-F713-M713-Constantes!$D$14))</f>
        <v>2.1377472971189002</v>
      </c>
      <c r="F713" s="76">
        <f>IF(Observaciones!$F712&gt;0.05*Constantes!$E$18,((Observaciones!$F712-0.05*Constantes!$E$18)^2)/(Observaciones!$F712+0.95*Constantes!$E$18),0)</f>
        <v>0</v>
      </c>
      <c r="G713" s="76">
        <f>IF(Escenarios!$E$11&gt;0,(F713*Escenarios!$E$16*10000)/1000,0)</f>
        <v>0</v>
      </c>
      <c r="H713" s="76">
        <f>IF(Escenarios!$E$11&gt;0,(Observaciones!$F712*Constantes!$E$29)/1000,0)</f>
        <v>0</v>
      </c>
      <c r="I713" s="76">
        <f>IF(Escenarios!$E$11&gt;0,(D713*Constantes!$E$29)/1000,0)</f>
        <v>43.724554282008469</v>
      </c>
      <c r="J713" s="76">
        <f>IF(Escenarios!$E$11&gt;0,MAX(0,G713+H713-I713),0)</f>
        <v>0</v>
      </c>
      <c r="K713" s="76">
        <f>IF(Escenarios!$E$11&gt;0,IF(J713&gt;Constantes!$E$30,1000*((J713-Constantes!$E$30)/(Escenarios!$E$16*10000)),0),F713)</f>
        <v>0</v>
      </c>
      <c r="L713" s="76">
        <f>IF(Escenarios!$E$11&gt;0,I713*1000/Escenarios!$E$16/10000+E713,E713)</f>
        <v>2.1552371188317037</v>
      </c>
      <c r="M713" s="76">
        <f>MAX(0,N712+Observaciones!$F712-K713-Constantes!$D$13)</f>
        <v>0</v>
      </c>
      <c r="N713" s="76">
        <f>N712+Observaciones!$F712-K713-L713-M713-O712</f>
        <v>12.640995121625036</v>
      </c>
      <c r="O713" s="76">
        <f>MAX(0,(N713-Constantes!$D$14)*(1-EXP(-Constantes!$D$22)))</f>
        <v>4.7382400290179601E-2</v>
      </c>
      <c r="P713" s="170">
        <f>P712+(Entradas!$E$83*M713-Q712)/(800*Entradas!$D$25)</f>
        <v>0</v>
      </c>
      <c r="Q713" s="170">
        <f>8000*Entradas!$D$26*P713/Constantes!$E$45</f>
        <v>0</v>
      </c>
      <c r="R713" s="170">
        <f>IF(Escenarios!$E$14&gt;0,K713*Escenarios!$E$13/Escenarios!$E$14,0)</f>
        <v>0</v>
      </c>
      <c r="S713" s="170">
        <f>IF(Escenarios!$E$14&gt;0,Q713*Escenarios!$E$13/Escenarios!$E$14,0)</f>
        <v>0</v>
      </c>
      <c r="T713" s="170">
        <f>IF(Escenarios!$E$14&gt;0,Observaciones!$I712,0)</f>
        <v>0</v>
      </c>
      <c r="U713" s="170">
        <f>IF(Escenarios!$E$14&gt;0,MAX(0,Constantes!$E$36/((Z712+R713+S713+T713+Observaciones!$F712)^2)+Entradas!$E$77),0)</f>
        <v>0</v>
      </c>
      <c r="V713" s="146">
        <f>IF(ETo!D712&gt;0,ETo!I712*((1-Entradas!$E$81)*ETo!K712+ETo!L712),0)</f>
        <v>3.9959389091498951</v>
      </c>
      <c r="W713" s="170">
        <f>IF(Escenarios!$E$14&gt;0,MIN(V713*1,0.8*(Z712+R713+S713+T713+Observaciones!$F712-U713-Constantes!$E$35)),0)</f>
        <v>1.6017048027771354E-2</v>
      </c>
      <c r="X713" s="170">
        <f>IF(Escenarios!$E$14&gt;0,Observaciones!$J712,0)</f>
        <v>0</v>
      </c>
      <c r="Y713" s="170">
        <f>IF(Escenarios!$E$14&gt;0,MAX(0,Z712+R713+S713+T713+Observaciones!$F712-U713-W713-X713-Constantes!$E$33),0)</f>
        <v>0</v>
      </c>
      <c r="Z713" s="170">
        <f>Z712+R713+S713+T713+Observaciones!$F712-U713-W713-Y713</f>
        <v>41.254004262006944</v>
      </c>
      <c r="AA713" s="170">
        <f>IF(Escenarios!$E$14&gt;0,(Escenarios!$E$13*L713+Escenarios!$E$14*W713)/(Escenarios!$E$16),L713)</f>
        <v>1.8985307103352318</v>
      </c>
      <c r="AB713" s="170">
        <f>IF(Escenarios!$E$14&gt;0,(Escenarios!$E$14*Y713)/(Escenarios!$E$16),K713)</f>
        <v>0</v>
      </c>
      <c r="AC713" s="170">
        <f>IF(Escenarios!$E$14&gt;0,(Escenarios!$E$13*M713+Escenarios!$E$14*U713)/(Escenarios!$E$16),M713)</f>
        <v>0</v>
      </c>
      <c r="AD713" s="76">
        <f t="shared" si="155"/>
        <v>60.79983473753844</v>
      </c>
      <c r="AE713" s="76">
        <f>MAX(0,(AD713-Constantes!$D$13)*(1-EXP(-Constantes!$D$23)))</f>
        <v>0.11872989171599613</v>
      </c>
      <c r="AF713" s="76">
        <f>AB713+O713*Escenarios!$E$13/Escenarios!$E$16+AE713</f>
        <v>0.16042640397135419</v>
      </c>
      <c r="AG713" s="76">
        <f>IF(Entradas!$E$91&gt;0,IF(AF713-Escenarios!$E$38&lt;=0,0,IF(AF713-Escenarios!$E$38&gt;Escenarios!$E$37,Escenarios!$E$37,AF713-Escenarios!$E$38)),0)</f>
        <v>0</v>
      </c>
      <c r="AH713" s="76">
        <f>AG713*Entradas!$E$99</f>
        <v>0</v>
      </c>
      <c r="AI713" s="76">
        <f>IF(Entradas!$E$91&gt;0,D713*Entradas!$D$23/Escenarios!$E$16,0)</f>
        <v>0</v>
      </c>
      <c r="AJ713" s="76">
        <f>IF(Entradas!$E$91&gt;0,Entradas!$D$24*Entradas!$D$22/Escenarios!$E$16,0)</f>
        <v>0</v>
      </c>
      <c r="AK713" s="76">
        <f t="shared" si="164"/>
        <v>1.8985307103352318</v>
      </c>
      <c r="AL713" s="76">
        <f t="shared" si="165"/>
        <v>0</v>
      </c>
      <c r="AM713" s="76">
        <f t="shared" si="156"/>
        <v>0</v>
      </c>
      <c r="AN713" s="76">
        <f>MAX(0,O713*Escenarios!$E$13/Escenarios!$E$16-AM713)</f>
        <v>4.1696512255358052E-2</v>
      </c>
      <c r="AO713" s="76">
        <f>AM713+AN713-O713*Escenarios!$E$13/Escenarios!$E$16</f>
        <v>0</v>
      </c>
      <c r="AP713" s="76">
        <f t="shared" si="154"/>
        <v>0.11872989171599613</v>
      </c>
      <c r="AQ713" s="76">
        <f t="shared" si="157"/>
        <v>0</v>
      </c>
      <c r="AR713" s="76">
        <f t="shared" si="158"/>
        <v>0.16042640397135419</v>
      </c>
      <c r="AS713" s="76">
        <f t="shared" si="159"/>
        <v>0</v>
      </c>
      <c r="AT713" s="76">
        <f t="shared" si="160"/>
        <v>0</v>
      </c>
      <c r="AU713" s="76">
        <f t="shared" si="161"/>
        <v>48.75</v>
      </c>
      <c r="AV713" s="76">
        <f>MAX(0,(AU713-Constantes!$D$13)*(1-EXP(-Constantes!$D$24)))</f>
        <v>0</v>
      </c>
      <c r="AW713" s="170">
        <f>AW712+(Entradas!$E$112*AT713-AX712)/(800*Entradas!$D$25)</f>
        <v>0</v>
      </c>
      <c r="AX713" s="170">
        <f>8000*Entradas!$D$26*AW713/Constantes!$E$45</f>
        <v>0</v>
      </c>
      <c r="AY713" s="170">
        <f>IF(Escenarios!$E$17&gt;0,10*Escenarios!$E$16*AL713,0)</f>
        <v>0</v>
      </c>
      <c r="AZ713" s="170">
        <f>IF(Escenarios!$E$17&gt;0,10*Escenarios!$E$16*AX713,0)</f>
        <v>0</v>
      </c>
      <c r="BA713" s="170">
        <f>IF(Escenarios!$E$17&gt;0,0.001*Observaciones!$F712*Escenarios!$E$17,0)</f>
        <v>0</v>
      </c>
      <c r="BB713" s="170">
        <f>IF(Escenarios!$E$17&gt;0,Observaciones!$K712,0)</f>
        <v>0</v>
      </c>
      <c r="BC713" s="170">
        <f>IF(Escenarios!$E$17&gt;0,MIN(0.0005*ETo!$M712*Escenarios!$E$17*(BG712/Constantes!$E$40)^(2/3),BG712+AY713+AZ713+BA713+BB713),0)</f>
        <v>14.930278951394749</v>
      </c>
      <c r="BD713" s="170">
        <f>IF(Escenarios!$E$17&gt;0,MIN(Constantes!$E$39*(BG712/Constantes!$E$40)^(2/3),BG712+AY713+AZ713+BA713+BB713-BC713),0)</f>
        <v>24.057254901344123</v>
      </c>
      <c r="BE713" s="170">
        <f>IF(Escenarios!$E$17&gt;0,MIN(Entradas!$E$113,BG712+AY713+AZ713+BA713+BB713-BC713-BD713),0)</f>
        <v>1</v>
      </c>
      <c r="BF713" s="170">
        <f>IF(Escenarios!$E$17&gt;0,MAX(0,BG712+AY713+AZ713+BA713+BB713-BC713-BD713-BE713-Constantes!$E$40),0)</f>
        <v>0</v>
      </c>
      <c r="BG713" s="170">
        <f t="shared" si="166"/>
        <v>1059.3798932467432</v>
      </c>
      <c r="BH713" s="170">
        <f>(Escenarios!$E$16*AK713+0.1*BC713)/(Escenarios!$E$19)</f>
        <v>1.8893877201545533</v>
      </c>
      <c r="BI713" s="170">
        <f>IF(Escenarios!$E$17&gt;0,BF713/10/Escenarios!$E$19,AL713)</f>
        <v>0</v>
      </c>
      <c r="BJ713" s="170">
        <f>(Escenarios!$E$16*AT713+0.1*BD713)/(Escenarios!$E$19)</f>
        <v>9.5465297227556051E-3</v>
      </c>
      <c r="BK713" s="76">
        <f>BK712+(0.1*BD713)/(Escenarios!$E$19)-BL712</f>
        <v>49.623811715669532</v>
      </c>
      <c r="BL713" s="76">
        <f>MAX(0,(BK713-Constantes!$D$13)*(1-EXP(-Constantes!$D$23)))</f>
        <v>8.6098749602275537E-3</v>
      </c>
      <c r="BM713" s="76">
        <f t="shared" si="162"/>
        <v>0.12733976667622368</v>
      </c>
      <c r="BN713" s="76">
        <f t="shared" si="167"/>
        <v>0.16903627893158174</v>
      </c>
      <c r="BO713" s="76">
        <f>0.0526*BI713*Observaciones!$F712^1.218</f>
        <v>0</v>
      </c>
      <c r="BP713" s="76">
        <f>BO713*Constantes!$E$51</f>
        <v>0</v>
      </c>
      <c r="BQ713" s="76">
        <f t="shared" si="163"/>
        <v>0</v>
      </c>
      <c r="BR713" s="40"/>
    </row>
    <row r="714" spans="1:70">
      <c r="A714" s="147"/>
      <c r="B714" s="39"/>
      <c r="C714" s="75">
        <v>708</v>
      </c>
      <c r="D714" s="146">
        <f>ETo!$I713*((1-Constantes!$E$19)*ETo!$K713+ETo!$L713)</f>
        <v>4.4995977609412208</v>
      </c>
      <c r="E714" s="76">
        <f>MIN(D714*Constantes!$E$17,0.8*(N713+Observaciones!$F713-F714-M714-Constantes!$D$14))</f>
        <v>1.1127960973000286</v>
      </c>
      <c r="F714" s="76">
        <f>IF(Observaciones!$F713&gt;0.05*Constantes!$E$18,((Observaciones!$F713-0.05*Constantes!$E$18)^2)/(Observaciones!$F713+0.95*Constantes!$E$18),0)</f>
        <v>0</v>
      </c>
      <c r="G714" s="76">
        <f>IF(Escenarios!$E$11&gt;0,(F714*Escenarios!$E$16*10000)/1000,0)</f>
        <v>0</v>
      </c>
      <c r="H714" s="76">
        <f>IF(Escenarios!$E$11&gt;0,(Observaciones!$F713*Constantes!$E$29)/1000,0)</f>
        <v>0</v>
      </c>
      <c r="I714" s="76">
        <f>IF(Escenarios!$E$11&gt;0,(D714*Constantes!$E$29)/1000,0)</f>
        <v>44.995977609412208</v>
      </c>
      <c r="J714" s="76">
        <f>IF(Escenarios!$E$11&gt;0,MAX(0,G714+H714-I714),0)</f>
        <v>0</v>
      </c>
      <c r="K714" s="76">
        <f>IF(Escenarios!$E$11&gt;0,IF(J714&gt;Constantes!$E$30,1000*((J714-Constantes!$E$30)/(Escenarios!$E$16*10000)),0),F714)</f>
        <v>0</v>
      </c>
      <c r="L714" s="76">
        <f>IF(Escenarios!$E$11&gt;0,I714*1000/Escenarios!$E$16/10000+E714,E714)</f>
        <v>1.1307944883437935</v>
      </c>
      <c r="M714" s="76">
        <f>MAX(0,N713+Observaciones!$F713-K714-Constantes!$D$13)</f>
        <v>0</v>
      </c>
      <c r="N714" s="76">
        <f>N713+Observaciones!$F713-K714-L714-M714-O713</f>
        <v>11.462818232991062</v>
      </c>
      <c r="O714" s="76">
        <f>MAX(0,(N714-Constantes!$D$14)*(1-EXP(-Constantes!$D$22)))</f>
        <v>7.2493702874030915E-3</v>
      </c>
      <c r="P714" s="170">
        <f>P713+(Entradas!$E$83*M714-Q713)/(800*Entradas!$D$25)</f>
        <v>0</v>
      </c>
      <c r="Q714" s="170">
        <f>8000*Entradas!$D$26*P714/Constantes!$E$45</f>
        <v>0</v>
      </c>
      <c r="R714" s="170">
        <f>IF(Escenarios!$E$14&gt;0,K714*Escenarios!$E$13/Escenarios!$E$14,0)</f>
        <v>0</v>
      </c>
      <c r="S714" s="170">
        <f>IF(Escenarios!$E$14&gt;0,Q714*Escenarios!$E$13/Escenarios!$E$14,0)</f>
        <v>0</v>
      </c>
      <c r="T714" s="170">
        <f>IF(Escenarios!$E$14&gt;0,Observaciones!$I713,0)</f>
        <v>0</v>
      </c>
      <c r="U714" s="170">
        <f>IF(Escenarios!$E$14&gt;0,MAX(0,Constantes!$E$36/((Z713+R714+S714+T714+Observaciones!$F713)^2)+Entradas!$E$77),0)</f>
        <v>0</v>
      </c>
      <c r="V714" s="146">
        <f>IF(ETo!D713&gt;0,ETo!I713*((1-Entradas!$E$81)*ETo!K713+ETo!L713),0)</f>
        <v>4.1136820891725847</v>
      </c>
      <c r="W714" s="170">
        <f>IF(Escenarios!$E$14&gt;0,MIN(V714*1,0.8*(Z713+R714+S714+T714+Observaciones!$F713-U714-Constantes!$E$35)),0)</f>
        <v>3.2034096055554074E-3</v>
      </c>
      <c r="X714" s="170">
        <f>IF(Escenarios!$E$14&gt;0,Observaciones!$J713,0)</f>
        <v>0</v>
      </c>
      <c r="Y714" s="170">
        <f>IF(Escenarios!$E$14&gt;0,MAX(0,Z713+R714+S714+T714+Observaciones!$F713-U714-W714-X714-Constantes!$E$33),0)</f>
        <v>0</v>
      </c>
      <c r="Z714" s="170">
        <f>Z713+R714+S714+T714+Observaciones!$F713-U714-W714-Y714</f>
        <v>41.25080085240139</v>
      </c>
      <c r="AA714" s="170">
        <f>IF(Escenarios!$E$14&gt;0,(Escenarios!$E$13*L714+Escenarios!$E$14*W714)/(Escenarios!$E$16),L714)</f>
        <v>0.99548355889520501</v>
      </c>
      <c r="AB714" s="170">
        <f>IF(Escenarios!$E$14&gt;0,(Escenarios!$E$14*Y714)/(Escenarios!$E$16),K714)</f>
        <v>0</v>
      </c>
      <c r="AC714" s="170">
        <f>IF(Escenarios!$E$14&gt;0,(Escenarios!$E$13*M714+Escenarios!$E$14*U714)/(Escenarios!$E$16),M714)</f>
        <v>0</v>
      </c>
      <c r="AD714" s="76">
        <f t="shared" si="155"/>
        <v>60.681104845822446</v>
      </c>
      <c r="AE714" s="76">
        <f>MAX(0,(AD714-Constantes!$D$13)*(1-EXP(-Constantes!$D$23)))</f>
        <v>0.11756001781366146</v>
      </c>
      <c r="AF714" s="76">
        <f>AB714+O714*Escenarios!$E$13/Escenarios!$E$16+AE714</f>
        <v>0.12393946366657618</v>
      </c>
      <c r="AG714" s="76">
        <f>IF(Entradas!$E$91&gt;0,IF(AF714-Escenarios!$E$38&lt;=0,0,IF(AF714-Escenarios!$E$38&gt;Escenarios!$E$37,Escenarios!$E$37,AF714-Escenarios!$E$38)),0)</f>
        <v>0</v>
      </c>
      <c r="AH714" s="76">
        <f>AG714*Entradas!$E$99</f>
        <v>0</v>
      </c>
      <c r="AI714" s="76">
        <f>IF(Entradas!$E$91&gt;0,D714*Entradas!$D$23/Escenarios!$E$16,0)</f>
        <v>0</v>
      </c>
      <c r="AJ714" s="76">
        <f>IF(Entradas!$E$91&gt;0,Entradas!$D$24*Entradas!$D$22/Escenarios!$E$16,0)</f>
        <v>0</v>
      </c>
      <c r="AK714" s="76">
        <f t="shared" si="164"/>
        <v>0.99548355889520501</v>
      </c>
      <c r="AL714" s="76">
        <f t="shared" si="165"/>
        <v>0</v>
      </c>
      <c r="AM714" s="76">
        <f t="shared" si="156"/>
        <v>0</v>
      </c>
      <c r="AN714" s="76">
        <f>MAX(0,O714*Escenarios!$E$13/Escenarios!$E$16-AM714)</f>
        <v>6.3794458529147207E-3</v>
      </c>
      <c r="AO714" s="76">
        <f>AM714+AN714-O714*Escenarios!$E$13/Escenarios!$E$16</f>
        <v>0</v>
      </c>
      <c r="AP714" s="76">
        <f t="shared" si="154"/>
        <v>0.11756001781366146</v>
      </c>
      <c r="AQ714" s="76">
        <f t="shared" si="157"/>
        <v>0</v>
      </c>
      <c r="AR714" s="76">
        <f t="shared" si="158"/>
        <v>0.12393946366657618</v>
      </c>
      <c r="AS714" s="76">
        <f t="shared" si="159"/>
        <v>0</v>
      </c>
      <c r="AT714" s="76">
        <f t="shared" si="160"/>
        <v>0</v>
      </c>
      <c r="AU714" s="76">
        <f t="shared" si="161"/>
        <v>48.75</v>
      </c>
      <c r="AV714" s="76">
        <f>MAX(0,(AU714-Constantes!$D$13)*(1-EXP(-Constantes!$D$24)))</f>
        <v>0</v>
      </c>
      <c r="AW714" s="170">
        <f>AW713+(Entradas!$E$112*AT714-AX713)/(800*Entradas!$D$25)</f>
        <v>0</v>
      </c>
      <c r="AX714" s="170">
        <f>8000*Entradas!$D$26*AW714/Constantes!$E$45</f>
        <v>0</v>
      </c>
      <c r="AY714" s="170">
        <f>IF(Escenarios!$E$17&gt;0,10*Escenarios!$E$16*AL714,0)</f>
        <v>0</v>
      </c>
      <c r="AZ714" s="170">
        <f>IF(Escenarios!$E$17&gt;0,10*Escenarios!$E$16*AX714,0)</f>
        <v>0</v>
      </c>
      <c r="BA714" s="170">
        <f>IF(Escenarios!$E$17&gt;0,0.001*Observaciones!$F713*Escenarios!$E$17,0)</f>
        <v>0</v>
      </c>
      <c r="BB714" s="170">
        <f>IF(Escenarios!$E$17&gt;0,Observaciones!$K713,0)</f>
        <v>0</v>
      </c>
      <c r="BC714" s="170">
        <f>IF(Escenarios!$E$17&gt;0,MIN(0.0005*ETo!$M713*Escenarios!$E$17*(BG713/Constantes!$E$40)^(2/3),BG713+AY714+AZ714+BA714+BB714),0)</f>
        <v>14.98240522392126</v>
      </c>
      <c r="BD714" s="170">
        <f>IF(Escenarios!$E$17&gt;0,MIN(Constantes!$E$39*(BG713/Constantes!$E$40)^(2/3),BG713+AY714+AZ714+BA714+BB714-BC714),0)</f>
        <v>23.470300150369532</v>
      </c>
      <c r="BE714" s="170">
        <f>IF(Escenarios!$E$17&gt;0,MIN(Entradas!$E$113,BG713+AY714+AZ714+BA714+BB714-BC714-BD714),0)</f>
        <v>1</v>
      </c>
      <c r="BF714" s="170">
        <f>IF(Escenarios!$E$17&gt;0,MAX(0,BG713+AY714+AZ714+BA714+BB714-BC714-BD714-BE714-Constantes!$E$40),0)</f>
        <v>0</v>
      </c>
      <c r="BG714" s="170">
        <f t="shared" si="166"/>
        <v>1019.9271878724525</v>
      </c>
      <c r="BH714" s="170">
        <f>(Escenarios!$E$16*AK714+0.1*BC714)/(Escenarios!$E$19)</f>
        <v>0.9935282946277515</v>
      </c>
      <c r="BI714" s="170">
        <f>IF(Escenarios!$E$17&gt;0,BF714/10/Escenarios!$E$19,AL714)</f>
        <v>0</v>
      </c>
      <c r="BJ714" s="170">
        <f>(Escenarios!$E$16*AT714+0.1*BD714)/(Escenarios!$E$19)</f>
        <v>9.3136111707815602E-3</v>
      </c>
      <c r="BK714" s="76">
        <f>BK713+(0.1*BD714)/(Escenarios!$E$19)-BL713</f>
        <v>49.624515451880086</v>
      </c>
      <c r="BL714" s="76">
        <f>MAX(0,(BK714-Constantes!$D$13)*(1-EXP(-Constantes!$D$23)))</f>
        <v>8.6168090407270446E-3</v>
      </c>
      <c r="BM714" s="76">
        <f t="shared" si="162"/>
        <v>0.1261768268543885</v>
      </c>
      <c r="BN714" s="76">
        <f t="shared" si="167"/>
        <v>0.13255627270730322</v>
      </c>
      <c r="BO714" s="76">
        <f>0.0526*BI714*Observaciones!$F713^1.218</f>
        <v>0</v>
      </c>
      <c r="BP714" s="76">
        <f>BO714*Constantes!$E$51</f>
        <v>0</v>
      </c>
      <c r="BQ714" s="76">
        <f t="shared" si="163"/>
        <v>0</v>
      </c>
      <c r="BR714" s="40"/>
    </row>
    <row r="715" spans="1:70">
      <c r="A715" s="147"/>
      <c r="B715" s="39"/>
      <c r="C715" s="75">
        <v>709</v>
      </c>
      <c r="D715" s="146">
        <f>ETo!$I714*((1-Constantes!$E$19)*ETo!$K714+ETo!$L714)</f>
        <v>4.1951435456963937</v>
      </c>
      <c r="E715" s="76">
        <f>MIN(D715*Constantes!$E$17,0.8*(N714+Observaciones!$F714-F715-M715-Constantes!$D$14))</f>
        <v>0.17025458639284921</v>
      </c>
      <c r="F715" s="76">
        <f>IF(Observaciones!$F714&gt;0.05*Constantes!$E$18,((Observaciones!$F714-0.05*Constantes!$E$18)^2)/(Observaciones!$F714+0.95*Constantes!$E$18),0)</f>
        <v>0</v>
      </c>
      <c r="G715" s="76">
        <f>IF(Escenarios!$E$11&gt;0,(F715*Escenarios!$E$16*10000)/1000,0)</f>
        <v>0</v>
      </c>
      <c r="H715" s="76">
        <f>IF(Escenarios!$E$11&gt;0,(Observaciones!$F714*Constantes!$E$29)/1000,0)</f>
        <v>0</v>
      </c>
      <c r="I715" s="76">
        <f>IF(Escenarios!$E$11&gt;0,(D715*Constantes!$E$29)/1000,0)</f>
        <v>41.951435456963942</v>
      </c>
      <c r="J715" s="76">
        <f>IF(Escenarios!$E$11&gt;0,MAX(0,G715+H715-I715),0)</f>
        <v>0</v>
      </c>
      <c r="K715" s="76">
        <f>IF(Escenarios!$E$11&gt;0,IF(J715&gt;Constantes!$E$30,1000*((J715-Constantes!$E$30)/(Escenarios!$E$16*10000)),0),F715)</f>
        <v>0</v>
      </c>
      <c r="L715" s="76">
        <f>IF(Escenarios!$E$11&gt;0,I715*1000/Escenarios!$E$16/10000+E715,E715)</f>
        <v>0.1870351605756348</v>
      </c>
      <c r="M715" s="76">
        <f>MAX(0,N714+Observaciones!$F714-K715-Constantes!$D$13)</f>
        <v>0</v>
      </c>
      <c r="N715" s="76">
        <f>N714+Observaciones!$F714-K715-L715-M715-O714</f>
        <v>11.268533702128025</v>
      </c>
      <c r="O715" s="76">
        <f>MAX(0,(N715-Constantes!$D$14)*(1-EXP(-Constantes!$D$22)))</f>
        <v>6.3132593309392403E-4</v>
      </c>
      <c r="P715" s="170">
        <f>P714+(Entradas!$E$83*M715-Q714)/(800*Entradas!$D$25)</f>
        <v>0</v>
      </c>
      <c r="Q715" s="170">
        <f>8000*Entradas!$D$26*P715/Constantes!$E$45</f>
        <v>0</v>
      </c>
      <c r="R715" s="170">
        <f>IF(Escenarios!$E$14&gt;0,K715*Escenarios!$E$13/Escenarios!$E$14,0)</f>
        <v>0</v>
      </c>
      <c r="S715" s="170">
        <f>IF(Escenarios!$E$14&gt;0,Q715*Escenarios!$E$13/Escenarios!$E$14,0)</f>
        <v>0</v>
      </c>
      <c r="T715" s="170">
        <f>IF(Escenarios!$E$14&gt;0,Observaciones!$I714,0)</f>
        <v>0</v>
      </c>
      <c r="U715" s="170">
        <f>IF(Escenarios!$E$14&gt;0,MAX(0,Constantes!$E$36/((Z714+R715+S715+T715+Observaciones!$F714)^2)+Entradas!$E$77),0)</f>
        <v>0</v>
      </c>
      <c r="V715" s="146">
        <f>IF(ETo!D714&gt;0,ETo!I714*((1-Entradas!$E$81)*ETo!K714+ETo!L714),0)</f>
        <v>3.8323175538289558</v>
      </c>
      <c r="W715" s="170">
        <f>IF(Escenarios!$E$14&gt;0,MIN(V715*1,0.8*(Z714+R715+S715+T715+Observaciones!$F714-U715-Constantes!$E$35)),0)</f>
        <v>6.4068192111221833E-4</v>
      </c>
      <c r="X715" s="170">
        <f>IF(Escenarios!$E$14&gt;0,Observaciones!$J714,0)</f>
        <v>0</v>
      </c>
      <c r="Y715" s="170">
        <f>IF(Escenarios!$E$14&gt;0,MAX(0,Z714+R715+S715+T715+Observaciones!$F714-U715-W715-X715-Constantes!$E$33),0)</f>
        <v>0</v>
      </c>
      <c r="Z715" s="170">
        <f>Z714+R715+S715+T715+Observaciones!$F714-U715-W715-Y715</f>
        <v>41.250160170480278</v>
      </c>
      <c r="AA715" s="170">
        <f>IF(Escenarios!$E$14&gt;0,(Escenarios!$E$13*L715+Escenarios!$E$14*W715)/(Escenarios!$E$16),L715)</f>
        <v>0.16466782313709208</v>
      </c>
      <c r="AB715" s="170">
        <f>IF(Escenarios!$E$14&gt;0,(Escenarios!$E$14*Y715)/(Escenarios!$E$16),K715)</f>
        <v>0</v>
      </c>
      <c r="AC715" s="170">
        <f>IF(Escenarios!$E$14&gt;0,(Escenarios!$E$13*M715+Escenarios!$E$14*U715)/(Escenarios!$E$16),M715)</f>
        <v>0</v>
      </c>
      <c r="AD715" s="76">
        <f t="shared" si="155"/>
        <v>60.563544828008787</v>
      </c>
      <c r="AE715" s="76">
        <f>MAX(0,(AD715-Constantes!$D$13)*(1-EXP(-Constantes!$D$23)))</f>
        <v>0.11640167095752875</v>
      </c>
      <c r="AF715" s="76">
        <f>AB715+O715*Escenarios!$E$13/Escenarios!$E$16+AE715</f>
        <v>0.1169572377786514</v>
      </c>
      <c r="AG715" s="76">
        <f>IF(Entradas!$E$91&gt;0,IF(AF715-Escenarios!$E$38&lt;=0,0,IF(AF715-Escenarios!$E$38&gt;Escenarios!$E$37,Escenarios!$E$37,AF715-Escenarios!$E$38)),0)</f>
        <v>0</v>
      </c>
      <c r="AH715" s="76">
        <f>AG715*Entradas!$E$99</f>
        <v>0</v>
      </c>
      <c r="AI715" s="76">
        <f>IF(Entradas!$E$91&gt;0,D715*Entradas!$D$23/Escenarios!$E$16,0)</f>
        <v>0</v>
      </c>
      <c r="AJ715" s="76">
        <f>IF(Entradas!$E$91&gt;0,Entradas!$D$24*Entradas!$D$22/Escenarios!$E$16,0)</f>
        <v>0</v>
      </c>
      <c r="AK715" s="76">
        <f t="shared" si="164"/>
        <v>0.16466782313709208</v>
      </c>
      <c r="AL715" s="76">
        <f t="shared" si="165"/>
        <v>0</v>
      </c>
      <c r="AM715" s="76">
        <f t="shared" si="156"/>
        <v>0</v>
      </c>
      <c r="AN715" s="76">
        <f>MAX(0,O715*Escenarios!$E$13/Escenarios!$E$16-AM715)</f>
        <v>5.5556682112265312E-4</v>
      </c>
      <c r="AO715" s="76">
        <f>AM715+AN715-O715*Escenarios!$E$13/Escenarios!$E$16</f>
        <v>0</v>
      </c>
      <c r="AP715" s="76">
        <f t="shared" si="154"/>
        <v>0.11640167095752875</v>
      </c>
      <c r="AQ715" s="76">
        <f t="shared" si="157"/>
        <v>0</v>
      </c>
      <c r="AR715" s="76">
        <f t="shared" si="158"/>
        <v>0.1169572377786514</v>
      </c>
      <c r="AS715" s="76">
        <f t="shared" si="159"/>
        <v>0</v>
      </c>
      <c r="AT715" s="76">
        <f t="shared" si="160"/>
        <v>0</v>
      </c>
      <c r="AU715" s="76">
        <f t="shared" si="161"/>
        <v>48.75</v>
      </c>
      <c r="AV715" s="76">
        <f>MAX(0,(AU715-Constantes!$D$13)*(1-EXP(-Constantes!$D$24)))</f>
        <v>0</v>
      </c>
      <c r="AW715" s="170">
        <f>AW714+(Entradas!$E$112*AT715-AX714)/(800*Entradas!$D$25)</f>
        <v>0</v>
      </c>
      <c r="AX715" s="170">
        <f>8000*Entradas!$D$26*AW715/Constantes!$E$45</f>
        <v>0</v>
      </c>
      <c r="AY715" s="170">
        <f>IF(Escenarios!$E$17&gt;0,10*Escenarios!$E$16*AL715,0)</f>
        <v>0</v>
      </c>
      <c r="AZ715" s="170">
        <f>IF(Escenarios!$E$17&gt;0,10*Escenarios!$E$16*AX715,0)</f>
        <v>0</v>
      </c>
      <c r="BA715" s="170">
        <f>IF(Escenarios!$E$17&gt;0,0.001*Observaciones!$F714*Escenarios!$E$17,0)</f>
        <v>0</v>
      </c>
      <c r="BB715" s="170">
        <f>IF(Escenarios!$E$17&gt;0,Observaciones!$K714,0)</f>
        <v>0</v>
      </c>
      <c r="BC715" s="170">
        <f>IF(Escenarios!$E$17&gt;0,MIN(0.0005*ETo!$M714*Escenarios!$E$17*(BG714/Constantes!$E$40)^(2/3),BG714+AY715+AZ715+BA715+BB715),0)</f>
        <v>13.63326492191748</v>
      </c>
      <c r="BD715" s="170">
        <f>IF(Escenarios!$E$17&gt;0,MIN(Constantes!$E$39*(BG714/Constantes!$E$40)^(2/3),BG714+AY715+AZ715+BA715+BB715-BC715),0)</f>
        <v>22.883912168705763</v>
      </c>
      <c r="BE715" s="170">
        <f>IF(Escenarios!$E$17&gt;0,MIN(Entradas!$E$113,BG714+AY715+AZ715+BA715+BB715-BC715-BD715),0)</f>
        <v>1</v>
      </c>
      <c r="BF715" s="170">
        <f>IF(Escenarios!$E$17&gt;0,MAX(0,BG714+AY715+AZ715+BA715+BB715-BC715-BD715-BE715-Constantes!$E$40),0)</f>
        <v>0</v>
      </c>
      <c r="BG715" s="170">
        <f t="shared" si="166"/>
        <v>982.41001078182921</v>
      </c>
      <c r="BH715" s="170">
        <f>(Escenarios!$E$16*AK715+0.1*BC715)/(Escenarios!$E$19)</f>
        <v>0.16877096141454273</v>
      </c>
      <c r="BI715" s="170">
        <f>IF(Escenarios!$E$17&gt;0,BF715/10/Escenarios!$E$19,AL715)</f>
        <v>0</v>
      </c>
      <c r="BJ715" s="170">
        <f>(Escenarios!$E$16*AT715+0.1*BD715)/(Escenarios!$E$19)</f>
        <v>9.0809175272641915E-3</v>
      </c>
      <c r="BK715" s="76">
        <f>BK714+(0.1*BD715)/(Escenarios!$E$19)-BL714</f>
        <v>49.624979560366626</v>
      </c>
      <c r="BL715" s="76">
        <f>MAX(0,(BK715-Constantes!$D$13)*(1-EXP(-Constantes!$D$23)))</f>
        <v>8.6213820121869497E-3</v>
      </c>
      <c r="BM715" s="76">
        <f t="shared" si="162"/>
        <v>0.12502305296971569</v>
      </c>
      <c r="BN715" s="76">
        <f t="shared" si="167"/>
        <v>0.12557861979083834</v>
      </c>
      <c r="BO715" s="76">
        <f>0.0526*BI715*Observaciones!$F714^1.218</f>
        <v>0</v>
      </c>
      <c r="BP715" s="76">
        <f>BO715*Constantes!$E$51</f>
        <v>0</v>
      </c>
      <c r="BQ715" s="76">
        <f t="shared" si="163"/>
        <v>0</v>
      </c>
      <c r="BR715" s="40"/>
    </row>
    <row r="716" spans="1:70">
      <c r="A716" s="147"/>
      <c r="B716" s="39"/>
      <c r="C716" s="75">
        <v>710</v>
      </c>
      <c r="D716" s="146">
        <f>ETo!$I715*((1-Constantes!$E$19)*ETo!$K715+ETo!$L715)</f>
        <v>4.4314662566210785</v>
      </c>
      <c r="E716" s="76">
        <f>MIN(D716*Constantes!$E$17,0.8*(N715+Observaciones!$F715-F716-M716-Constantes!$D$14))</f>
        <v>1.4826961702419796E-2</v>
      </c>
      <c r="F716" s="76">
        <f>IF(Observaciones!$F715&gt;0.05*Constantes!$E$18,((Observaciones!$F715-0.05*Constantes!$E$18)^2)/(Observaciones!$F715+0.95*Constantes!$E$18),0)</f>
        <v>0</v>
      </c>
      <c r="G716" s="76">
        <f>IF(Escenarios!$E$11&gt;0,(F716*Escenarios!$E$16*10000)/1000,0)</f>
        <v>0</v>
      </c>
      <c r="H716" s="76">
        <f>IF(Escenarios!$E$11&gt;0,(Observaciones!$F715*Constantes!$E$29)/1000,0)</f>
        <v>0</v>
      </c>
      <c r="I716" s="76">
        <f>IF(Escenarios!$E$11&gt;0,(D716*Constantes!$E$29)/1000,0)</f>
        <v>44.314662566210785</v>
      </c>
      <c r="J716" s="76">
        <f>IF(Escenarios!$E$11&gt;0,MAX(0,G716+H716-I716),0)</f>
        <v>0</v>
      </c>
      <c r="K716" s="76">
        <f>IF(Escenarios!$E$11&gt;0,IF(J716&gt;Constantes!$E$30,1000*((J716-Constantes!$E$30)/(Escenarios!$E$16*10000)),0),F716)</f>
        <v>0</v>
      </c>
      <c r="L716" s="76">
        <f>IF(Escenarios!$E$11&gt;0,I716*1000/Escenarios!$E$16/10000+E716,E716)</f>
        <v>3.2552826728904111E-2</v>
      </c>
      <c r="M716" s="76">
        <f>MAX(0,N715+Observaciones!$F715-K716-Constantes!$D$13)</f>
        <v>0</v>
      </c>
      <c r="N716" s="76">
        <f>N715+Observaciones!$F715-K716-L716-M716-O715</f>
        <v>11.235349549466026</v>
      </c>
      <c r="O716" s="76">
        <f>MAX(0,(N716-Constantes!$D$14)*(1-EXP(-Constantes!$D$22)))</f>
        <v>0</v>
      </c>
      <c r="P716" s="170">
        <f>P715+(Entradas!$E$83*M716-Q715)/(800*Entradas!$D$25)</f>
        <v>0</v>
      </c>
      <c r="Q716" s="170">
        <f>8000*Entradas!$D$26*P716/Constantes!$E$45</f>
        <v>0</v>
      </c>
      <c r="R716" s="170">
        <f>IF(Escenarios!$E$14&gt;0,K716*Escenarios!$E$13/Escenarios!$E$14,0)</f>
        <v>0</v>
      </c>
      <c r="S716" s="170">
        <f>IF(Escenarios!$E$14&gt;0,Q716*Escenarios!$E$13/Escenarios!$E$14,0)</f>
        <v>0</v>
      </c>
      <c r="T716" s="170">
        <f>IF(Escenarios!$E$14&gt;0,Observaciones!$I715,0)</f>
        <v>0</v>
      </c>
      <c r="U716" s="170">
        <f>IF(Escenarios!$E$14&gt;0,MAX(0,Constantes!$E$36/((Z715+R716+S716+T716+Observaciones!$F715)^2)+Entradas!$E$77),0)</f>
        <v>0</v>
      </c>
      <c r="V716" s="146">
        <f>IF(ETo!D715&gt;0,ETo!I715*((1-Entradas!$E$81)*ETo!K715+ETo!L715),0)</f>
        <v>4.0505423551994699</v>
      </c>
      <c r="W716" s="170">
        <f>IF(Escenarios!$E$14&gt;0,MIN(V716*1,0.8*(Z715+R716+S716+T716+Observaciones!$F715-U716-Constantes!$E$35)),0)</f>
        <v>1.2813638422244368E-4</v>
      </c>
      <c r="X716" s="170">
        <f>IF(Escenarios!$E$14&gt;0,Observaciones!$J715,0)</f>
        <v>0</v>
      </c>
      <c r="Y716" s="170">
        <f>IF(Escenarios!$E$14&gt;0,MAX(0,Z715+R716+S716+T716+Observaciones!$F715-U716-W716-X716-Constantes!$E$33),0)</f>
        <v>0</v>
      </c>
      <c r="Z716" s="170">
        <f>Z715+R716+S716+T716+Observaciones!$F715-U716-W716-Y716</f>
        <v>41.250032034096058</v>
      </c>
      <c r="AA716" s="170">
        <f>IF(Escenarios!$E$14&gt;0,(Escenarios!$E$13*L716+Escenarios!$E$14*W716)/(Escenarios!$E$16),L716)</f>
        <v>2.866186388754231E-2</v>
      </c>
      <c r="AB716" s="170">
        <f>IF(Escenarios!$E$14&gt;0,(Escenarios!$E$14*Y716)/(Escenarios!$E$16),K716)</f>
        <v>0</v>
      </c>
      <c r="AC716" s="170">
        <f>IF(Escenarios!$E$14&gt;0,(Escenarios!$E$13*M716+Escenarios!$E$14*U716)/(Escenarios!$E$16),M716)</f>
        <v>0</v>
      </c>
      <c r="AD716" s="76">
        <f t="shared" si="155"/>
        <v>60.447143157051258</v>
      </c>
      <c r="AE716" s="76">
        <f>MAX(0,(AD716-Constantes!$D$13)*(1-EXP(-Constantes!$D$23)))</f>
        <v>0.11525473756886623</v>
      </c>
      <c r="AF716" s="76">
        <f>AB716+O716*Escenarios!$E$13/Escenarios!$E$16+AE716</f>
        <v>0.11525473756886623</v>
      </c>
      <c r="AG716" s="76">
        <f>IF(Entradas!$E$91&gt;0,IF(AF716-Escenarios!$E$38&lt;=0,0,IF(AF716-Escenarios!$E$38&gt;Escenarios!$E$37,Escenarios!$E$37,AF716-Escenarios!$E$38)),0)</f>
        <v>0</v>
      </c>
      <c r="AH716" s="76">
        <f>AG716*Entradas!$E$99</f>
        <v>0</v>
      </c>
      <c r="AI716" s="76">
        <f>IF(Entradas!$E$91&gt;0,D716*Entradas!$D$23/Escenarios!$E$16,0)</f>
        <v>0</v>
      </c>
      <c r="AJ716" s="76">
        <f>IF(Entradas!$E$91&gt;0,Entradas!$D$24*Entradas!$D$22/Escenarios!$E$16,0)</f>
        <v>0</v>
      </c>
      <c r="AK716" s="76">
        <f t="shared" si="164"/>
        <v>2.866186388754231E-2</v>
      </c>
      <c r="AL716" s="76">
        <f t="shared" si="165"/>
        <v>0</v>
      </c>
      <c r="AM716" s="76">
        <f t="shared" si="156"/>
        <v>0</v>
      </c>
      <c r="AN716" s="76">
        <f>MAX(0,O716*Escenarios!$E$13/Escenarios!$E$16-AM716)</f>
        <v>0</v>
      </c>
      <c r="AO716" s="76">
        <f>AM716+AN716-O716*Escenarios!$E$13/Escenarios!$E$16</f>
        <v>0</v>
      </c>
      <c r="AP716" s="76">
        <f t="shared" si="154"/>
        <v>0.11525473756886623</v>
      </c>
      <c r="AQ716" s="76">
        <f t="shared" si="157"/>
        <v>0</v>
      </c>
      <c r="AR716" s="76">
        <f t="shared" si="158"/>
        <v>0.11525473756886623</v>
      </c>
      <c r="AS716" s="76">
        <f t="shared" si="159"/>
        <v>0</v>
      </c>
      <c r="AT716" s="76">
        <f t="shared" si="160"/>
        <v>0</v>
      </c>
      <c r="AU716" s="76">
        <f t="shared" si="161"/>
        <v>48.75</v>
      </c>
      <c r="AV716" s="76">
        <f>MAX(0,(AU716-Constantes!$D$13)*(1-EXP(-Constantes!$D$24)))</f>
        <v>0</v>
      </c>
      <c r="AW716" s="170">
        <f>AW715+(Entradas!$E$112*AT716-AX715)/(800*Entradas!$D$25)</f>
        <v>0</v>
      </c>
      <c r="AX716" s="170">
        <f>8000*Entradas!$D$26*AW716/Constantes!$E$45</f>
        <v>0</v>
      </c>
      <c r="AY716" s="170">
        <f>IF(Escenarios!$E$17&gt;0,10*Escenarios!$E$16*AL716,0)</f>
        <v>0</v>
      </c>
      <c r="AZ716" s="170">
        <f>IF(Escenarios!$E$17&gt;0,10*Escenarios!$E$16*AX716,0)</f>
        <v>0</v>
      </c>
      <c r="BA716" s="170">
        <f>IF(Escenarios!$E$17&gt;0,0.001*Observaciones!$F715*Escenarios!$E$17,0)</f>
        <v>0</v>
      </c>
      <c r="BB716" s="170">
        <f>IF(Escenarios!$E$17&gt;0,Observaciones!$K715,0)</f>
        <v>0</v>
      </c>
      <c r="BC716" s="170">
        <f>IF(Escenarios!$E$17&gt;0,MIN(0.0005*ETo!$M715*Escenarios!$E$17*(BG715/Constantes!$E$40)^(2/3),BG715+AY716+AZ716+BA716+BB716),0)</f>
        <v>14.035623049484354</v>
      </c>
      <c r="BD716" s="170">
        <f>IF(Escenarios!$E$17&gt;0,MIN(Constantes!$E$39*(BG715/Constantes!$E$40)^(2/3),BG715+AY716+AZ716+BA716+BB716-BC716),0)</f>
        <v>22.319237105649762</v>
      </c>
      <c r="BE716" s="170">
        <f>IF(Escenarios!$E$17&gt;0,MIN(Entradas!$E$113,BG715+AY716+AZ716+BA716+BB716-BC716-BD716),0)</f>
        <v>1</v>
      </c>
      <c r="BF716" s="170">
        <f>IF(Escenarios!$E$17&gt;0,MAX(0,BG715+AY716+AZ716+BA716+BB716-BC716-BD716-BE716-Constantes!$E$40),0)</f>
        <v>0</v>
      </c>
      <c r="BG716" s="170">
        <f t="shared" si="166"/>
        <v>945.05515062669508</v>
      </c>
      <c r="BH716" s="170">
        <f>(Escenarios!$E$16*AK716+0.1*BC716)/(Escenarios!$E$19)</f>
        <v>3.4004080463627039E-2</v>
      </c>
      <c r="BI716" s="170">
        <f>IF(Escenarios!$E$17&gt;0,BF716/10/Escenarios!$E$19,AL716)</f>
        <v>0</v>
      </c>
      <c r="BJ716" s="170">
        <f>(Escenarios!$E$16*AT716+0.1*BD716)/(Escenarios!$E$19)</f>
        <v>8.856840121289589E-3</v>
      </c>
      <c r="BK716" s="76">
        <f>BK715+(0.1*BD716)/(Escenarios!$E$19)-BL715</f>
        <v>49.625215018475728</v>
      </c>
      <c r="BL716" s="76">
        <f>MAX(0,(BK716-Constantes!$D$13)*(1-EXP(-Constantes!$D$23)))</f>
        <v>8.6237020370176914E-3</v>
      </c>
      <c r="BM716" s="76">
        <f t="shared" si="162"/>
        <v>0.12387843960588392</v>
      </c>
      <c r="BN716" s="76">
        <f t="shared" si="167"/>
        <v>0.12387843960588392</v>
      </c>
      <c r="BO716" s="76">
        <f>0.0526*BI716*Observaciones!$F715^1.218</f>
        <v>0</v>
      </c>
      <c r="BP716" s="76">
        <f>BO716*Constantes!$E$51</f>
        <v>0</v>
      </c>
      <c r="BQ716" s="76">
        <f t="shared" si="163"/>
        <v>0</v>
      </c>
      <c r="BR716" s="40"/>
    </row>
    <row r="717" spans="1:70">
      <c r="A717" s="147"/>
      <c r="B717" s="39"/>
      <c r="C717" s="75">
        <v>711</v>
      </c>
      <c r="D717" s="146">
        <f>ETo!$I716*((1-Constantes!$E$19)*ETo!$K716+ETo!$L716)</f>
        <v>4.3496971563559423</v>
      </c>
      <c r="E717" s="76">
        <f>MIN(D717*Constantes!$E$17,0.8*(N716+Observaciones!$F716-F717-M717-Constantes!$D$14))</f>
        <v>-1.1720360427179345E-2</v>
      </c>
      <c r="F717" s="76">
        <f>IF(Observaciones!$F716&gt;0.05*Constantes!$E$18,((Observaciones!$F716-0.05*Constantes!$E$18)^2)/(Observaciones!$F716+0.95*Constantes!$E$18),0)</f>
        <v>0</v>
      </c>
      <c r="G717" s="76">
        <f>IF(Escenarios!$E$11&gt;0,(F717*Escenarios!$E$16*10000)/1000,0)</f>
        <v>0</v>
      </c>
      <c r="H717" s="76">
        <f>IF(Escenarios!$E$11&gt;0,(Observaciones!$F716*Constantes!$E$29)/1000,0)</f>
        <v>0</v>
      </c>
      <c r="I717" s="76">
        <f>IF(Escenarios!$E$11&gt;0,(D717*Constantes!$E$29)/1000,0)</f>
        <v>43.496971563559427</v>
      </c>
      <c r="J717" s="76">
        <f>IF(Escenarios!$E$11&gt;0,MAX(0,G717+H717-I717),0)</f>
        <v>0</v>
      </c>
      <c r="K717" s="76">
        <f>IF(Escenarios!$E$11&gt;0,IF(J717&gt;Constantes!$E$30,1000*((J717-Constantes!$E$30)/(Escenarios!$E$16*10000)),0),F717)</f>
        <v>0</v>
      </c>
      <c r="L717" s="76">
        <f>IF(Escenarios!$E$11&gt;0,I717*1000/Escenarios!$E$16/10000+E717,E717)</f>
        <v>5.6784281982444253E-3</v>
      </c>
      <c r="M717" s="76">
        <f>MAX(0,N716+Observaciones!$F716-K717-Constantes!$D$13)</f>
        <v>0</v>
      </c>
      <c r="N717" s="76">
        <f>N716+Observaciones!$F716-K717-L717-M717-O716</f>
        <v>11.229671121267781</v>
      </c>
      <c r="O717" s="76">
        <f>MAX(0,(N717-Constantes!$D$14)*(1-EXP(-Constantes!$D$22)))</f>
        <v>0</v>
      </c>
      <c r="P717" s="170">
        <f>P716+(Entradas!$E$83*M717-Q716)/(800*Entradas!$D$25)</f>
        <v>0</v>
      </c>
      <c r="Q717" s="170">
        <f>8000*Entradas!$D$26*P717/Constantes!$E$45</f>
        <v>0</v>
      </c>
      <c r="R717" s="170">
        <f>IF(Escenarios!$E$14&gt;0,K717*Escenarios!$E$13/Escenarios!$E$14,0)</f>
        <v>0</v>
      </c>
      <c r="S717" s="170">
        <f>IF(Escenarios!$E$14&gt;0,Q717*Escenarios!$E$13/Escenarios!$E$14,0)</f>
        <v>0</v>
      </c>
      <c r="T717" s="170">
        <f>IF(Escenarios!$E$14&gt;0,Observaciones!$I716,0)</f>
        <v>0</v>
      </c>
      <c r="U717" s="170">
        <f>IF(Escenarios!$E$14&gt;0,MAX(0,Constantes!$E$36/((Z716+R717+S717+T717+Observaciones!$F716)^2)+Entradas!$E$77),0)</f>
        <v>0</v>
      </c>
      <c r="V717" s="146">
        <f>IF(ETo!D716&gt;0,ETo!I716*((1-Entradas!$E$81)*ETo!K716+ETo!L716),0)</f>
        <v>3.974900060107609</v>
      </c>
      <c r="W717" s="170">
        <f>IF(Escenarios!$E$14&gt;0,MIN(V717*1,0.8*(Z716+R717+S717+T717+Observaciones!$F716-U717-Constantes!$E$35)),0)</f>
        <v>2.5627276846762471E-5</v>
      </c>
      <c r="X717" s="170">
        <f>IF(Escenarios!$E$14&gt;0,Observaciones!$J716,0)</f>
        <v>0</v>
      </c>
      <c r="Y717" s="170">
        <f>IF(Escenarios!$E$14&gt;0,MAX(0,Z716+R717+S717+T717+Observaciones!$F716-U717-W717-X717-Constantes!$E$33),0)</f>
        <v>0</v>
      </c>
      <c r="Z717" s="170">
        <f>Z716+R717+S717+T717+Observaciones!$F716-U717-W717-Y717</f>
        <v>41.25000640681921</v>
      </c>
      <c r="AA717" s="170">
        <f>IF(Escenarios!$E$14&gt;0,(Escenarios!$E$13*L717+Escenarios!$E$14*W717)/(Escenarios!$E$16),L717)</f>
        <v>5.0000920876767056E-3</v>
      </c>
      <c r="AB717" s="170">
        <f>IF(Escenarios!$E$14&gt;0,(Escenarios!$E$14*Y717)/(Escenarios!$E$16),K717)</f>
        <v>0</v>
      </c>
      <c r="AC717" s="170">
        <f>IF(Escenarios!$E$14&gt;0,(Escenarios!$E$13*M717+Escenarios!$E$14*U717)/(Escenarios!$E$16),M717)</f>
        <v>0</v>
      </c>
      <c r="AD717" s="76">
        <f t="shared" si="155"/>
        <v>60.331888419482389</v>
      </c>
      <c r="AE717" s="76">
        <f>MAX(0,(AD717-Constantes!$D$13)*(1-EXP(-Constantes!$D$23)))</f>
        <v>0.11411910518806041</v>
      </c>
      <c r="AF717" s="76">
        <f>AB717+O717*Escenarios!$E$13/Escenarios!$E$16+AE717</f>
        <v>0.11411910518806041</v>
      </c>
      <c r="AG717" s="76">
        <f>IF(Entradas!$E$91&gt;0,IF(AF717-Escenarios!$E$38&lt;=0,0,IF(AF717-Escenarios!$E$38&gt;Escenarios!$E$37,Escenarios!$E$37,AF717-Escenarios!$E$38)),0)</f>
        <v>0</v>
      </c>
      <c r="AH717" s="76">
        <f>AG717*Entradas!$E$99</f>
        <v>0</v>
      </c>
      <c r="AI717" s="76">
        <f>IF(Entradas!$E$91&gt;0,D717*Entradas!$D$23/Escenarios!$E$16,0)</f>
        <v>0</v>
      </c>
      <c r="AJ717" s="76">
        <f>IF(Entradas!$E$91&gt;0,Entradas!$D$24*Entradas!$D$22/Escenarios!$E$16,0)</f>
        <v>0</v>
      </c>
      <c r="AK717" s="76">
        <f t="shared" si="164"/>
        <v>5.0000920876767056E-3</v>
      </c>
      <c r="AL717" s="76">
        <f t="shared" si="165"/>
        <v>0</v>
      </c>
      <c r="AM717" s="76">
        <f t="shared" si="156"/>
        <v>0</v>
      </c>
      <c r="AN717" s="76">
        <f>MAX(0,O717*Escenarios!$E$13/Escenarios!$E$16-AM717)</f>
        <v>0</v>
      </c>
      <c r="AO717" s="76">
        <f>AM717+AN717-O717*Escenarios!$E$13/Escenarios!$E$16</f>
        <v>0</v>
      </c>
      <c r="AP717" s="76">
        <f t="shared" si="154"/>
        <v>0.11411910518806041</v>
      </c>
      <c r="AQ717" s="76">
        <f t="shared" si="157"/>
        <v>0</v>
      </c>
      <c r="AR717" s="76">
        <f t="shared" si="158"/>
        <v>0.11411910518806041</v>
      </c>
      <c r="AS717" s="76">
        <f t="shared" si="159"/>
        <v>0</v>
      </c>
      <c r="AT717" s="76">
        <f t="shared" si="160"/>
        <v>0</v>
      </c>
      <c r="AU717" s="76">
        <f t="shared" si="161"/>
        <v>48.75</v>
      </c>
      <c r="AV717" s="76">
        <f>MAX(0,(AU717-Constantes!$D$13)*(1-EXP(-Constantes!$D$24)))</f>
        <v>0</v>
      </c>
      <c r="AW717" s="170">
        <f>AW716+(Entradas!$E$112*AT717-AX716)/(800*Entradas!$D$25)</f>
        <v>0</v>
      </c>
      <c r="AX717" s="170">
        <f>8000*Entradas!$D$26*AW717/Constantes!$E$45</f>
        <v>0</v>
      </c>
      <c r="AY717" s="170">
        <f>IF(Escenarios!$E$17&gt;0,10*Escenarios!$E$16*AL717,0)</f>
        <v>0</v>
      </c>
      <c r="AZ717" s="170">
        <f>IF(Escenarios!$E$17&gt;0,10*Escenarios!$E$16*AX717,0)</f>
        <v>0</v>
      </c>
      <c r="BA717" s="170">
        <f>IF(Escenarios!$E$17&gt;0,0.001*Observaciones!$F716*Escenarios!$E$17,0)</f>
        <v>0</v>
      </c>
      <c r="BB717" s="170">
        <f>IF(Escenarios!$E$17&gt;0,Observaciones!$K716,0)</f>
        <v>0</v>
      </c>
      <c r="BC717" s="170">
        <f>IF(Escenarios!$E$17&gt;0,MIN(0.0005*ETo!$M716*Escenarios!$E$17*(BG716/Constantes!$E$40)^(2/3),BG716+AY717+AZ717+BA717+BB717),0)</f>
        <v>13.429020164397862</v>
      </c>
      <c r="BD717" s="170">
        <f>IF(Escenarios!$E$17&gt;0,MIN(Constantes!$E$39*(BG716/Constantes!$E$40)^(2/3),BG716+AY717+AZ717+BA717+BB717-BC717),0)</f>
        <v>21.749816402980304</v>
      </c>
      <c r="BE717" s="170">
        <f>IF(Escenarios!$E$17&gt;0,MIN(Entradas!$E$113,BG716+AY717+AZ717+BA717+BB717-BC717-BD717),0)</f>
        <v>1</v>
      </c>
      <c r="BF717" s="170">
        <f>IF(Escenarios!$E$17&gt;0,MAX(0,BG716+AY717+AZ717+BA717+BB717-BC717-BD717-BE717-Constantes!$E$40),0)</f>
        <v>0</v>
      </c>
      <c r="BG717" s="170">
        <f t="shared" si="166"/>
        <v>908.87631405931688</v>
      </c>
      <c r="BH717" s="170">
        <f>(Escenarios!$E$16*AK717+0.1*BC717)/(Escenarios!$E$19)</f>
        <v>1.0289385072853026E-2</v>
      </c>
      <c r="BI717" s="170">
        <f>IF(Escenarios!$E$17&gt;0,BF717/10/Escenarios!$E$19,AL717)</f>
        <v>0</v>
      </c>
      <c r="BJ717" s="170">
        <f>(Escenarios!$E$16*AT717+0.1*BD717)/(Escenarios!$E$19)</f>
        <v>8.6308795249921844E-3</v>
      </c>
      <c r="BK717" s="76">
        <f>BK716+(0.1*BD717)/(Escenarios!$E$19)-BL716</f>
        <v>49.625222195963701</v>
      </c>
      <c r="BL717" s="76">
        <f>MAX(0,(BK717-Constantes!$D$13)*(1-EXP(-Constantes!$D$23)))</f>
        <v>8.6237727585162325E-3</v>
      </c>
      <c r="BM717" s="76">
        <f t="shared" si="162"/>
        <v>0.12274287794657665</v>
      </c>
      <c r="BN717" s="76">
        <f t="shared" si="167"/>
        <v>0.12274287794657665</v>
      </c>
      <c r="BO717" s="76">
        <f>0.0526*BI717*Observaciones!$F716^1.218</f>
        <v>0</v>
      </c>
      <c r="BP717" s="76">
        <f>BO717*Constantes!$E$51</f>
        <v>0</v>
      </c>
      <c r="BQ717" s="76">
        <f t="shared" si="163"/>
        <v>0</v>
      </c>
      <c r="BR717" s="40"/>
    </row>
    <row r="718" spans="1:70">
      <c r="A718" s="147"/>
      <c r="B718" s="39"/>
      <c r="C718" s="75">
        <v>712</v>
      </c>
      <c r="D718" s="146">
        <f>ETo!$I717*((1-Constantes!$E$19)*ETo!$K717+ETo!$L717)</f>
        <v>4.2178321401136953</v>
      </c>
      <c r="E718" s="76">
        <f>MIN(D718*Constantes!$E$17,0.8*(N717+Observaciones!$F717-F718-M718-Constantes!$D$14))</f>
        <v>2.0621500676884894</v>
      </c>
      <c r="F718" s="76">
        <f>IF(Observaciones!$F717&gt;0.05*Constantes!$E$18,((Observaciones!$F717-0.05*Constantes!$E$18)^2)/(Observaciones!$F717+0.95*Constantes!$E$18),0)</f>
        <v>0</v>
      </c>
      <c r="G718" s="76">
        <f>IF(Escenarios!$E$11&gt;0,(F718*Escenarios!$E$16*10000)/1000,0)</f>
        <v>0</v>
      </c>
      <c r="H718" s="76">
        <f>IF(Escenarios!$E$11&gt;0,(Observaciones!$F717*Constantes!$E$29)/1000,0)</f>
        <v>41</v>
      </c>
      <c r="I718" s="76">
        <f>IF(Escenarios!$E$11&gt;0,(D718*Constantes!$E$29)/1000,0)</f>
        <v>42.178321401136955</v>
      </c>
      <c r="J718" s="76">
        <f>IF(Escenarios!$E$11&gt;0,MAX(0,G718+H718-I718),0)</f>
        <v>0</v>
      </c>
      <c r="K718" s="76">
        <f>IF(Escenarios!$E$11&gt;0,IF(J718&gt;Constantes!$E$30,1000*((J718-Constantes!$E$30)/(Escenarios!$E$16*10000)),0),F718)</f>
        <v>0</v>
      </c>
      <c r="L718" s="76">
        <f>IF(Escenarios!$E$11&gt;0,I718*1000/Escenarios!$E$16/10000+E718,E718)</f>
        <v>2.0790213962489443</v>
      </c>
      <c r="M718" s="76">
        <f>MAX(0,N717+Observaciones!$F717-K718-Constantes!$D$13)</f>
        <v>0</v>
      </c>
      <c r="N718" s="76">
        <f>N717+Observaciones!$F717-K718-L718-M718-O717</f>
        <v>13.250649725018837</v>
      </c>
      <c r="O718" s="76">
        <f>MAX(0,(N718-Constantes!$D$14)*(1-EXP(-Constantes!$D$22)))</f>
        <v>6.8149474169639762E-2</v>
      </c>
      <c r="P718" s="170">
        <f>P717+(Entradas!$E$83*M718-Q717)/(800*Entradas!$D$25)</f>
        <v>0</v>
      </c>
      <c r="Q718" s="170">
        <f>8000*Entradas!$D$26*P718/Constantes!$E$45</f>
        <v>0</v>
      </c>
      <c r="R718" s="170">
        <f>IF(Escenarios!$E$14&gt;0,K718*Escenarios!$E$13/Escenarios!$E$14,0)</f>
        <v>0</v>
      </c>
      <c r="S718" s="170">
        <f>IF(Escenarios!$E$14&gt;0,Q718*Escenarios!$E$13/Escenarios!$E$14,0)</f>
        <v>0</v>
      </c>
      <c r="T718" s="170">
        <f>IF(Escenarios!$E$14&gt;0,Observaciones!$I717,0)</f>
        <v>0</v>
      </c>
      <c r="U718" s="170">
        <f>IF(Escenarios!$E$14&gt;0,MAX(0,Constantes!$E$36/((Z717+R718+S718+T718+Observaciones!$F717)^2)+Entradas!$E$77),0)</f>
        <v>0</v>
      </c>
      <c r="V718" s="146">
        <f>IF(ETo!D717&gt;0,ETo!I717*((1-Entradas!$E$81)*ETo!K717+ETo!L717),0)</f>
        <v>3.8532168963414408</v>
      </c>
      <c r="W718" s="170">
        <f>IF(Escenarios!$E$14&gt;0,MIN(V718*1,0.8*(Z717+R718+S718+T718+Observaciones!$F717-U718-Constantes!$E$35)),0)</f>
        <v>3.2800051254553697</v>
      </c>
      <c r="X718" s="170">
        <f>IF(Escenarios!$E$14&gt;0,Observaciones!$J717,0)</f>
        <v>0</v>
      </c>
      <c r="Y718" s="170">
        <f>IF(Escenarios!$E$14&gt;0,MAX(0,Z717+R718+S718+T718+Observaciones!$F717-U718-W718-X718-Constantes!$E$33),0)</f>
        <v>0</v>
      </c>
      <c r="Z718" s="170">
        <f>Z717+R718+S718+T718+Observaciones!$F717-U718-W718-Y718</f>
        <v>42.070001281363844</v>
      </c>
      <c r="AA718" s="170">
        <f>IF(Escenarios!$E$14&gt;0,(Escenarios!$E$13*L718+Escenarios!$E$14*W718)/(Escenarios!$E$16),L718)</f>
        <v>2.2231394437537157</v>
      </c>
      <c r="AB718" s="170">
        <f>IF(Escenarios!$E$14&gt;0,(Escenarios!$E$14*Y718)/(Escenarios!$E$16),K718)</f>
        <v>0</v>
      </c>
      <c r="AC718" s="170">
        <f>IF(Escenarios!$E$14&gt;0,(Escenarios!$E$13*M718+Escenarios!$E$14*U718)/(Escenarios!$E$16),M718)</f>
        <v>0</v>
      </c>
      <c r="AD718" s="76">
        <f t="shared" si="155"/>
        <v>60.21776931429433</v>
      </c>
      <c r="AE718" s="76">
        <f>MAX(0,(AD718-Constantes!$D$13)*(1-EXP(-Constantes!$D$23)))</f>
        <v>0.11299466246358927</v>
      </c>
      <c r="AF718" s="76">
        <f>AB718+O718*Escenarios!$E$13/Escenarios!$E$16+AE718</f>
        <v>0.17296619973287225</v>
      </c>
      <c r="AG718" s="76">
        <f>IF(Entradas!$E$91&gt;0,IF(AF718-Escenarios!$E$38&lt;=0,0,IF(AF718-Escenarios!$E$38&gt;Escenarios!$E$37,Escenarios!$E$37,AF718-Escenarios!$E$38)),0)</f>
        <v>0</v>
      </c>
      <c r="AH718" s="76">
        <f>AG718*Entradas!$E$99</f>
        <v>0</v>
      </c>
      <c r="AI718" s="76">
        <f>IF(Entradas!$E$91&gt;0,D718*Entradas!$D$23/Escenarios!$E$16,0)</f>
        <v>0</v>
      </c>
      <c r="AJ718" s="76">
        <f>IF(Entradas!$E$91&gt;0,Entradas!$D$24*Entradas!$D$22/Escenarios!$E$16,0)</f>
        <v>0</v>
      </c>
      <c r="AK718" s="76">
        <f t="shared" si="164"/>
        <v>2.2231394437537157</v>
      </c>
      <c r="AL718" s="76">
        <f t="shared" si="165"/>
        <v>0</v>
      </c>
      <c r="AM718" s="76">
        <f t="shared" si="156"/>
        <v>0</v>
      </c>
      <c r="AN718" s="76">
        <f>MAX(0,O718*Escenarios!$E$13/Escenarios!$E$16-AM718)</f>
        <v>5.997153726928299E-2</v>
      </c>
      <c r="AO718" s="76">
        <f>AM718+AN718-O718*Escenarios!$E$13/Escenarios!$E$16</f>
        <v>0</v>
      </c>
      <c r="AP718" s="76">
        <f t="shared" si="154"/>
        <v>0.11299466246358927</v>
      </c>
      <c r="AQ718" s="76">
        <f t="shared" si="157"/>
        <v>0</v>
      </c>
      <c r="AR718" s="76">
        <f t="shared" si="158"/>
        <v>0.17296619973287225</v>
      </c>
      <c r="AS718" s="76">
        <f t="shared" si="159"/>
        <v>0</v>
      </c>
      <c r="AT718" s="76">
        <f t="shared" si="160"/>
        <v>0</v>
      </c>
      <c r="AU718" s="76">
        <f t="shared" si="161"/>
        <v>48.75</v>
      </c>
      <c r="AV718" s="76">
        <f>MAX(0,(AU718-Constantes!$D$13)*(1-EXP(-Constantes!$D$24)))</f>
        <v>0</v>
      </c>
      <c r="AW718" s="170">
        <f>AW717+(Entradas!$E$112*AT718-AX717)/(800*Entradas!$D$25)</f>
        <v>0</v>
      </c>
      <c r="AX718" s="170">
        <f>8000*Entradas!$D$26*AW718/Constantes!$E$45</f>
        <v>0</v>
      </c>
      <c r="AY718" s="170">
        <f>IF(Escenarios!$E$17&gt;0,10*Escenarios!$E$16*AL718,0)</f>
        <v>0</v>
      </c>
      <c r="AZ718" s="170">
        <f>IF(Escenarios!$E$17&gt;0,10*Escenarios!$E$16*AX718,0)</f>
        <v>0</v>
      </c>
      <c r="BA718" s="170">
        <f>IF(Escenarios!$E$17&gt;0,0.001*Observaciones!$F717*Escenarios!$E$17,0)</f>
        <v>81.999999999999986</v>
      </c>
      <c r="BB718" s="170">
        <f>IF(Escenarios!$E$17&gt;0,Observaciones!$K717,0)</f>
        <v>0</v>
      </c>
      <c r="BC718" s="170">
        <f>IF(Escenarios!$E$17&gt;0,MIN(0.0005*ETo!$M717*Escenarios!$E$17*(BG717/Constantes!$E$40)^(2/3),BG717+AY718+AZ718+BA718+BB718),0)</f>
        <v>12.692331577057086</v>
      </c>
      <c r="BD718" s="170">
        <f>IF(Escenarios!$E$17&gt;0,MIN(Constantes!$E$39*(BG717/Constantes!$E$40)^(2/3),BG717+AY718+AZ718+BA718+BB718-BC718),0)</f>
        <v>21.191125169432524</v>
      </c>
      <c r="BE718" s="170">
        <f>IF(Escenarios!$E$17&gt;0,MIN(Entradas!$E$113,BG717+AY718+AZ718+BA718+BB718-BC718-BD718),0)</f>
        <v>1</v>
      </c>
      <c r="BF718" s="170">
        <f>IF(Escenarios!$E$17&gt;0,MAX(0,BG717+AY718+AZ718+BA718+BB718-BC718-BD718-BE718-Constantes!$E$40),0)</f>
        <v>0</v>
      </c>
      <c r="BG718" s="170">
        <f t="shared" si="166"/>
        <v>955.99285731282725</v>
      </c>
      <c r="BH718" s="170">
        <f>(Escenarios!$E$16*AK718+0.1*BC718)/(Escenarios!$E$19)</f>
        <v>2.2105321194291054</v>
      </c>
      <c r="BI718" s="170">
        <f>IF(Escenarios!$E$17&gt;0,BF718/10/Escenarios!$E$19,AL718)</f>
        <v>0</v>
      </c>
      <c r="BJ718" s="170">
        <f>(Escenarios!$E$16*AT718+0.1*BD718)/(Escenarios!$E$19)</f>
        <v>8.4091766545367156E-3</v>
      </c>
      <c r="BK718" s="76">
        <f>BK717+(0.1*BD718)/(Escenarios!$E$19)-BL717</f>
        <v>49.625007599859721</v>
      </c>
      <c r="BL718" s="76">
        <f>MAX(0,(BK718-Constantes!$D$13)*(1-EXP(-Constantes!$D$23)))</f>
        <v>8.6216582919909062E-3</v>
      </c>
      <c r="BM718" s="76">
        <f t="shared" si="162"/>
        <v>0.12161632075558018</v>
      </c>
      <c r="BN718" s="76">
        <f t="shared" si="167"/>
        <v>0.18158785802486316</v>
      </c>
      <c r="BO718" s="76">
        <f>0.0526*BI718*Observaciones!$F717^1.218</f>
        <v>0</v>
      </c>
      <c r="BP718" s="76">
        <f>BO718*Constantes!$E$51</f>
        <v>0</v>
      </c>
      <c r="BQ718" s="76">
        <f t="shared" si="163"/>
        <v>0</v>
      </c>
      <c r="BR718" s="40"/>
    </row>
    <row r="719" spans="1:70">
      <c r="A719" s="147"/>
      <c r="B719" s="39"/>
      <c r="C719" s="75">
        <v>713</v>
      </c>
      <c r="D719" s="146">
        <f>ETo!$I718*((1-Constantes!$E$19)*ETo!$K718+ETo!$L718)</f>
        <v>4.5131062653797276</v>
      </c>
      <c r="E719" s="76">
        <f>MIN(D719*Constantes!$E$17,0.8*(N718+Observaciones!$F718-F719-M719-Constantes!$D$14))</f>
        <v>1.92051978001507</v>
      </c>
      <c r="F719" s="76">
        <f>IF(Observaciones!$F718&gt;0.05*Constantes!$E$18,((Observaciones!$F718-0.05*Constantes!$E$18)^2)/(Observaciones!$F718+0.95*Constantes!$E$18),0)</f>
        <v>0</v>
      </c>
      <c r="G719" s="76">
        <f>IF(Escenarios!$E$11&gt;0,(F719*Escenarios!$E$16*10000)/1000,0)</f>
        <v>0</v>
      </c>
      <c r="H719" s="76">
        <f>IF(Escenarios!$E$11&gt;0,(Observaciones!$F718*Constantes!$E$29)/1000,0)</f>
        <v>4</v>
      </c>
      <c r="I719" s="76">
        <f>IF(Escenarios!$E$11&gt;0,(D719*Constantes!$E$29)/1000,0)</f>
        <v>45.131062653797279</v>
      </c>
      <c r="J719" s="76">
        <f>IF(Escenarios!$E$11&gt;0,MAX(0,G719+H719-I719),0)</f>
        <v>0</v>
      </c>
      <c r="K719" s="76">
        <f>IF(Escenarios!$E$11&gt;0,IF(J719&gt;Constantes!$E$30,1000*((J719-Constantes!$E$30)/(Escenarios!$E$16*10000)),0),F719)</f>
        <v>0</v>
      </c>
      <c r="L719" s="76">
        <f>IF(Escenarios!$E$11&gt;0,I719*1000/Escenarios!$E$16/10000+E719,E719)</f>
        <v>1.9385722050765888</v>
      </c>
      <c r="M719" s="76">
        <f>MAX(0,N718+Observaciones!$F718-K719-Constantes!$D$13)</f>
        <v>0</v>
      </c>
      <c r="N719" s="76">
        <f>N718+Observaciones!$F718-K719-L719-M719-O718</f>
        <v>11.643928045772608</v>
      </c>
      <c r="O719" s="76">
        <f>MAX(0,(N719-Constantes!$D$14)*(1-EXP(-Constantes!$D$22)))</f>
        <v>1.3418635378476478E-2</v>
      </c>
      <c r="P719" s="170">
        <f>P718+(Entradas!$E$83*M719-Q718)/(800*Entradas!$D$25)</f>
        <v>0</v>
      </c>
      <c r="Q719" s="170">
        <f>8000*Entradas!$D$26*P719/Constantes!$E$45</f>
        <v>0</v>
      </c>
      <c r="R719" s="170">
        <f>IF(Escenarios!$E$14&gt;0,K719*Escenarios!$E$13/Escenarios!$E$14,0)</f>
        <v>0</v>
      </c>
      <c r="S719" s="170">
        <f>IF(Escenarios!$E$14&gt;0,Q719*Escenarios!$E$13/Escenarios!$E$14,0)</f>
        <v>0</v>
      </c>
      <c r="T719" s="170">
        <f>IF(Escenarios!$E$14&gt;0,Observaciones!$I718,0)</f>
        <v>0</v>
      </c>
      <c r="U719" s="170">
        <f>IF(Escenarios!$E$14&gt;0,MAX(0,Constantes!$E$36/((Z718+R719+S719+T719+Observaciones!$F718)^2)+Entradas!$E$77),0)</f>
        <v>0</v>
      </c>
      <c r="V719" s="146">
        <f>IF(ETo!D718&gt;0,ETo!I718*((1-Entradas!$E$81)*ETo!K718+ETo!L718),0)</f>
        <v>4.126212291426695</v>
      </c>
      <c r="W719" s="170">
        <f>IF(Escenarios!$E$14&gt;0,MIN(V719*1,0.8*(Z718+R719+S719+T719+Observaciones!$F718-U719-Constantes!$E$35)),0)</f>
        <v>0.97600102509107389</v>
      </c>
      <c r="X719" s="170">
        <f>IF(Escenarios!$E$14&gt;0,Observaciones!$J718,0)</f>
        <v>0</v>
      </c>
      <c r="Y719" s="170">
        <f>IF(Escenarios!$E$14&gt;0,MAX(0,Z718+R719+S719+T719+Observaciones!$F718-U719-W719-X719-Constantes!$E$33),0)</f>
        <v>0</v>
      </c>
      <c r="Z719" s="170">
        <f>Z718+R719+S719+T719+Observaciones!$F718-U719-W719-Y719</f>
        <v>41.49400025627277</v>
      </c>
      <c r="AA719" s="170">
        <f>IF(Escenarios!$E$14&gt;0,(Escenarios!$E$13*L719+Escenarios!$E$14*W719)/(Escenarios!$E$16),L719)</f>
        <v>1.823063663478327</v>
      </c>
      <c r="AB719" s="170">
        <f>IF(Escenarios!$E$14&gt;0,(Escenarios!$E$14*Y719)/(Escenarios!$E$16),K719)</f>
        <v>0</v>
      </c>
      <c r="AC719" s="170">
        <f>IF(Escenarios!$E$14&gt;0,(Escenarios!$E$13*M719+Escenarios!$E$14*U719)/(Escenarios!$E$16),M719)</f>
        <v>0</v>
      </c>
      <c r="AD719" s="76">
        <f t="shared" si="155"/>
        <v>60.104774651830738</v>
      </c>
      <c r="AE719" s="76">
        <f>MAX(0,(AD719-Constantes!$D$13)*(1-EXP(-Constantes!$D$23)))</f>
        <v>0.11188129914110372</v>
      </c>
      <c r="AF719" s="76">
        <f>AB719+O719*Escenarios!$E$13/Escenarios!$E$16+AE719</f>
        <v>0.12368969827416301</v>
      </c>
      <c r="AG719" s="76">
        <f>IF(Entradas!$E$91&gt;0,IF(AF719-Escenarios!$E$38&lt;=0,0,IF(AF719-Escenarios!$E$38&gt;Escenarios!$E$37,Escenarios!$E$37,AF719-Escenarios!$E$38)),0)</f>
        <v>0</v>
      </c>
      <c r="AH719" s="76">
        <f>AG719*Entradas!$E$99</f>
        <v>0</v>
      </c>
      <c r="AI719" s="76">
        <f>IF(Entradas!$E$91&gt;0,D719*Entradas!$D$23/Escenarios!$E$16,0)</f>
        <v>0</v>
      </c>
      <c r="AJ719" s="76">
        <f>IF(Entradas!$E$91&gt;0,Entradas!$D$24*Entradas!$D$22/Escenarios!$E$16,0)</f>
        <v>0</v>
      </c>
      <c r="AK719" s="76">
        <f t="shared" si="164"/>
        <v>1.823063663478327</v>
      </c>
      <c r="AL719" s="76">
        <f t="shared" si="165"/>
        <v>0</v>
      </c>
      <c r="AM719" s="76">
        <f t="shared" si="156"/>
        <v>0</v>
      </c>
      <c r="AN719" s="76">
        <f>MAX(0,O719*Escenarios!$E$13/Escenarios!$E$16-AM719)</f>
        <v>1.18083991330593E-2</v>
      </c>
      <c r="AO719" s="76">
        <f>AM719+AN719-O719*Escenarios!$E$13/Escenarios!$E$16</f>
        <v>0</v>
      </c>
      <c r="AP719" s="76">
        <f t="shared" si="154"/>
        <v>0.11188129914110372</v>
      </c>
      <c r="AQ719" s="76">
        <f t="shared" si="157"/>
        <v>0</v>
      </c>
      <c r="AR719" s="76">
        <f t="shared" si="158"/>
        <v>0.12368969827416301</v>
      </c>
      <c r="AS719" s="76">
        <f t="shared" si="159"/>
        <v>0</v>
      </c>
      <c r="AT719" s="76">
        <f t="shared" si="160"/>
        <v>0</v>
      </c>
      <c r="AU719" s="76">
        <f t="shared" si="161"/>
        <v>48.75</v>
      </c>
      <c r="AV719" s="76">
        <f>MAX(0,(AU719-Constantes!$D$13)*(1-EXP(-Constantes!$D$24)))</f>
        <v>0</v>
      </c>
      <c r="AW719" s="170">
        <f>AW718+(Entradas!$E$112*AT719-AX718)/(800*Entradas!$D$25)</f>
        <v>0</v>
      </c>
      <c r="AX719" s="170">
        <f>8000*Entradas!$D$26*AW719/Constantes!$E$45</f>
        <v>0</v>
      </c>
      <c r="AY719" s="170">
        <f>IF(Escenarios!$E$17&gt;0,10*Escenarios!$E$16*AL719,0)</f>
        <v>0</v>
      </c>
      <c r="AZ719" s="170">
        <f>IF(Escenarios!$E$17&gt;0,10*Escenarios!$E$16*AX719,0)</f>
        <v>0</v>
      </c>
      <c r="BA719" s="170">
        <f>IF(Escenarios!$E$17&gt;0,0.001*Observaciones!$F718*Escenarios!$E$17,0)</f>
        <v>8</v>
      </c>
      <c r="BB719" s="170">
        <f>IF(Escenarios!$E$17&gt;0,Observaciones!$K718,0)</f>
        <v>0</v>
      </c>
      <c r="BC719" s="170">
        <f>IF(Escenarios!$E$17&gt;0,MIN(0.0005*ETo!$M718*Escenarios!$E$17*(BG718/Constantes!$E$40)^(2/3),BG718+AY719+AZ719+BA719+BB719),0)</f>
        <v>14.032271166081879</v>
      </c>
      <c r="BD719" s="170">
        <f>IF(Escenarios!$E$17&gt;0,MIN(Constantes!$E$39*(BG718/Constantes!$E$40)^(2/3),BG718+AY719+AZ719+BA719+BB719-BC719),0)</f>
        <v>21.917310385445315</v>
      </c>
      <c r="BE719" s="170">
        <f>IF(Escenarios!$E$17&gt;0,MIN(Entradas!$E$113,BG718+AY719+AZ719+BA719+BB719-BC719-BD719),0)</f>
        <v>1</v>
      </c>
      <c r="BF719" s="170">
        <f>IF(Escenarios!$E$17&gt;0,MAX(0,BG718+AY719+AZ719+BA719+BB719-BC719-BD719-BE719-Constantes!$E$40),0)</f>
        <v>0</v>
      </c>
      <c r="BG719" s="170">
        <f t="shared" si="166"/>
        <v>927.04327576130015</v>
      </c>
      <c r="BH719" s="170">
        <f>(Escenarios!$E$16*AK719+0.1*BC719)/(Escenarios!$E$19)</f>
        <v>1.8141632658182141</v>
      </c>
      <c r="BI719" s="170">
        <f>IF(Escenarios!$E$17&gt;0,BF719/10/Escenarios!$E$19,AL719)</f>
        <v>0</v>
      </c>
      <c r="BJ719" s="170">
        <f>(Escenarios!$E$16*AT719+0.1*BD719)/(Escenarios!$E$19)</f>
        <v>8.6973453910497277E-3</v>
      </c>
      <c r="BK719" s="76">
        <f>BK718+(0.1*BD719)/(Escenarios!$E$19)-BL718</f>
        <v>49.625083286958777</v>
      </c>
      <c r="BL719" s="76">
        <f>MAX(0,(BK719-Constantes!$D$13)*(1-EXP(-Constantes!$D$23)))</f>
        <v>8.6224040550051638E-3</v>
      </c>
      <c r="BM719" s="76">
        <f t="shared" si="162"/>
        <v>0.12050370319610888</v>
      </c>
      <c r="BN719" s="76">
        <f t="shared" si="167"/>
        <v>0.13231210232916818</v>
      </c>
      <c r="BO719" s="76">
        <f>0.0526*BI719*Observaciones!$F718^1.218</f>
        <v>0</v>
      </c>
      <c r="BP719" s="76">
        <f>BO719*Constantes!$E$51</f>
        <v>0</v>
      </c>
      <c r="BQ719" s="76">
        <f t="shared" si="163"/>
        <v>0</v>
      </c>
      <c r="BR719" s="40"/>
    </row>
    <row r="720" spans="1:70">
      <c r="A720" s="147"/>
      <c r="B720" s="39"/>
      <c r="C720" s="75">
        <v>714</v>
      </c>
      <c r="D720" s="146">
        <f>ETo!$I719*((1-Constantes!$E$19)*ETo!$K719+ETo!$L719)</f>
        <v>4.4222688219952193</v>
      </c>
      <c r="E720" s="76">
        <f>MIN(D720*Constantes!$E$17,0.8*(N719+Observaciones!$F719-F720-M720-Constantes!$D$14))</f>
        <v>0.31514243661808622</v>
      </c>
      <c r="F720" s="76">
        <f>IF(Observaciones!$F719&gt;0.05*Constantes!$E$18,((Observaciones!$F719-0.05*Constantes!$E$18)^2)/(Observaciones!$F719+0.95*Constantes!$E$18),0)</f>
        <v>0</v>
      </c>
      <c r="G720" s="76">
        <f>IF(Escenarios!$E$11&gt;0,(F720*Escenarios!$E$16*10000)/1000,0)</f>
        <v>0</v>
      </c>
      <c r="H720" s="76">
        <f>IF(Escenarios!$E$11&gt;0,(Observaciones!$F719*Constantes!$E$29)/1000,0)</f>
        <v>0</v>
      </c>
      <c r="I720" s="76">
        <f>IF(Escenarios!$E$11&gt;0,(D720*Constantes!$E$29)/1000,0)</f>
        <v>44.222688219952197</v>
      </c>
      <c r="J720" s="76">
        <f>IF(Escenarios!$E$11&gt;0,MAX(0,G720+H720-I720),0)</f>
        <v>0</v>
      </c>
      <c r="K720" s="76">
        <f>IF(Escenarios!$E$11&gt;0,IF(J720&gt;Constantes!$E$30,1000*((J720-Constantes!$E$30)/(Escenarios!$E$16*10000)),0),F720)</f>
        <v>0</v>
      </c>
      <c r="L720" s="76">
        <f>IF(Escenarios!$E$11&gt;0,I720*1000/Escenarios!$E$16/10000+E720,E720)</f>
        <v>0.33283151190606708</v>
      </c>
      <c r="M720" s="76">
        <f>MAX(0,N719+Observaciones!$F719-K720-Constantes!$D$13)</f>
        <v>0</v>
      </c>
      <c r="N720" s="76">
        <f>N719+Observaciones!$F719-K720-L720-M720-O719</f>
        <v>11.297677898488065</v>
      </c>
      <c r="O720" s="76">
        <f>MAX(0,(N720-Constantes!$D$14)*(1-EXP(-Constantes!$D$22)))</f>
        <v>1.6240842516520332E-3</v>
      </c>
      <c r="P720" s="170">
        <f>P719+(Entradas!$E$83*M720-Q719)/(800*Entradas!$D$25)</f>
        <v>0</v>
      </c>
      <c r="Q720" s="170">
        <f>8000*Entradas!$D$26*P720/Constantes!$E$45</f>
        <v>0</v>
      </c>
      <c r="R720" s="170">
        <f>IF(Escenarios!$E$14&gt;0,K720*Escenarios!$E$13/Escenarios!$E$14,0)</f>
        <v>0</v>
      </c>
      <c r="S720" s="170">
        <f>IF(Escenarios!$E$14&gt;0,Q720*Escenarios!$E$13/Escenarios!$E$14,0)</f>
        <v>0</v>
      </c>
      <c r="T720" s="170">
        <f>IF(Escenarios!$E$14&gt;0,Observaciones!$I719,0)</f>
        <v>0</v>
      </c>
      <c r="U720" s="170">
        <f>IF(Escenarios!$E$14&gt;0,MAX(0,Constantes!$E$36/((Z719+R720+S720+T720+Observaciones!$F719)^2)+Entradas!$E$77),0)</f>
        <v>0</v>
      </c>
      <c r="V720" s="146">
        <f>IF(ETo!D719&gt;0,ETo!I719*((1-Entradas!$E$81)*ETo!K719+ETo!L719),0)</f>
        <v>4.0420255370559923</v>
      </c>
      <c r="W720" s="170">
        <f>IF(Escenarios!$E$14&gt;0,MIN(V720*1,0.8*(Z719+R720+S720+T720+Observaciones!$F719-U720-Constantes!$E$35)),0)</f>
        <v>0.19520020501821592</v>
      </c>
      <c r="X720" s="170">
        <f>IF(Escenarios!$E$14&gt;0,Observaciones!$J719,0)</f>
        <v>0</v>
      </c>
      <c r="Y720" s="170">
        <f>IF(Escenarios!$E$14&gt;0,MAX(0,Z719+R720+S720+T720+Observaciones!$F719-U720-W720-X720-Constantes!$E$33),0)</f>
        <v>0</v>
      </c>
      <c r="Z720" s="170">
        <f>Z719+R720+S720+T720+Observaciones!$F719-U720-W720-Y720</f>
        <v>41.298800051254553</v>
      </c>
      <c r="AA720" s="170">
        <f>IF(Escenarios!$E$14&gt;0,(Escenarios!$E$13*L720+Escenarios!$E$14*W720)/(Escenarios!$E$16),L720)</f>
        <v>0.31631575507952492</v>
      </c>
      <c r="AB720" s="170">
        <f>IF(Escenarios!$E$14&gt;0,(Escenarios!$E$14*Y720)/(Escenarios!$E$16),K720)</f>
        <v>0</v>
      </c>
      <c r="AC720" s="170">
        <f>IF(Escenarios!$E$14&gt;0,(Escenarios!$E$13*M720+Escenarios!$E$14*U720)/(Escenarios!$E$16),M720)</f>
        <v>0</v>
      </c>
      <c r="AD720" s="76">
        <f t="shared" si="155"/>
        <v>59.992893352689634</v>
      </c>
      <c r="AE720" s="76">
        <f>MAX(0,(AD720-Constantes!$D$13)*(1-EXP(-Constantes!$D$23)))</f>
        <v>0.1107789060526171</v>
      </c>
      <c r="AF720" s="76">
        <f>AB720+O720*Escenarios!$E$13/Escenarios!$E$16+AE720</f>
        <v>0.11220810019407089</v>
      </c>
      <c r="AG720" s="76">
        <f>IF(Entradas!$E$91&gt;0,IF(AF720-Escenarios!$E$38&lt;=0,0,IF(AF720-Escenarios!$E$38&gt;Escenarios!$E$37,Escenarios!$E$37,AF720-Escenarios!$E$38)),0)</f>
        <v>0</v>
      </c>
      <c r="AH720" s="76">
        <f>AG720*Entradas!$E$99</f>
        <v>0</v>
      </c>
      <c r="AI720" s="76">
        <f>IF(Entradas!$E$91&gt;0,D720*Entradas!$D$23/Escenarios!$E$16,0)</f>
        <v>0</v>
      </c>
      <c r="AJ720" s="76">
        <f>IF(Entradas!$E$91&gt;0,Entradas!$D$24*Entradas!$D$22/Escenarios!$E$16,0)</f>
        <v>0</v>
      </c>
      <c r="AK720" s="76">
        <f t="shared" si="164"/>
        <v>0.31631575507952492</v>
      </c>
      <c r="AL720" s="76">
        <f t="shared" si="165"/>
        <v>0</v>
      </c>
      <c r="AM720" s="76">
        <f t="shared" si="156"/>
        <v>0</v>
      </c>
      <c r="AN720" s="76">
        <f>MAX(0,O720*Escenarios!$E$13/Escenarios!$E$16-AM720)</f>
        <v>1.4291941414537892E-3</v>
      </c>
      <c r="AO720" s="76">
        <f>AM720+AN720-O720*Escenarios!$E$13/Escenarios!$E$16</f>
        <v>0</v>
      </c>
      <c r="AP720" s="76">
        <f t="shared" si="154"/>
        <v>0.1107789060526171</v>
      </c>
      <c r="AQ720" s="76">
        <f t="shared" si="157"/>
        <v>0</v>
      </c>
      <c r="AR720" s="76">
        <f t="shared" si="158"/>
        <v>0.11220810019407089</v>
      </c>
      <c r="AS720" s="76">
        <f t="shared" si="159"/>
        <v>0</v>
      </c>
      <c r="AT720" s="76">
        <f t="shared" si="160"/>
        <v>0</v>
      </c>
      <c r="AU720" s="76">
        <f t="shared" si="161"/>
        <v>48.75</v>
      </c>
      <c r="AV720" s="76">
        <f>MAX(0,(AU720-Constantes!$D$13)*(1-EXP(-Constantes!$D$24)))</f>
        <v>0</v>
      </c>
      <c r="AW720" s="170">
        <f>AW719+(Entradas!$E$112*AT720-AX719)/(800*Entradas!$D$25)</f>
        <v>0</v>
      </c>
      <c r="AX720" s="170">
        <f>8000*Entradas!$D$26*AW720/Constantes!$E$45</f>
        <v>0</v>
      </c>
      <c r="AY720" s="170">
        <f>IF(Escenarios!$E$17&gt;0,10*Escenarios!$E$16*AL720,0)</f>
        <v>0</v>
      </c>
      <c r="AZ720" s="170">
        <f>IF(Escenarios!$E$17&gt;0,10*Escenarios!$E$16*AX720,0)</f>
        <v>0</v>
      </c>
      <c r="BA720" s="170">
        <f>IF(Escenarios!$E$17&gt;0,0.001*Observaciones!$F719*Escenarios!$E$17,0)</f>
        <v>0</v>
      </c>
      <c r="BB720" s="170">
        <f>IF(Escenarios!$E$17&gt;0,Observaciones!$K719,0)</f>
        <v>22.348143596588173</v>
      </c>
      <c r="BC720" s="170">
        <f>IF(Escenarios!$E$17&gt;0,MIN(0.0005*ETo!$M719*Escenarios!$E$17*(BG719/Constantes!$E$40)^(2/3),BG719+AY720+AZ720+BA720+BB720),0)</f>
        <v>13.475633110544301</v>
      </c>
      <c r="BD720" s="170">
        <f>IF(Escenarios!$E$17&gt;0,MIN(Constantes!$E$39*(BG719/Constantes!$E$40)^(2/3),BG719+AY720+AZ720+BA720+BB720-BC720),0)</f>
        <v>21.47257681873328</v>
      </c>
      <c r="BE720" s="170">
        <f>IF(Escenarios!$E$17&gt;0,MIN(Entradas!$E$113,BG719+AY720+AZ720+BA720+BB720-BC720-BD720),0)</f>
        <v>1</v>
      </c>
      <c r="BF720" s="170">
        <f>IF(Escenarios!$E$17&gt;0,MAX(0,BG719+AY720+AZ720+BA720+BB720-BC720-BD720-BE720-Constantes!$E$40),0)</f>
        <v>0</v>
      </c>
      <c r="BG720" s="170">
        <f t="shared" si="166"/>
        <v>913.44320942861077</v>
      </c>
      <c r="BH720" s="170">
        <f>(Escenarios!$E$16*AK720+0.1*BC720)/(Escenarios!$E$19)</f>
        <v>0.31915278603545899</v>
      </c>
      <c r="BI720" s="170">
        <f>IF(Escenarios!$E$17&gt;0,BF720/10/Escenarios!$E$19,AL720)</f>
        <v>0</v>
      </c>
      <c r="BJ720" s="170">
        <f>(Escenarios!$E$16*AT720+0.1*BD720)/(Escenarios!$E$19)</f>
        <v>8.5208638169576509E-3</v>
      </c>
      <c r="BK720" s="76">
        <f>BK719+(0.1*BD720)/(Escenarios!$E$19)-BL719</f>
        <v>49.624981746720728</v>
      </c>
      <c r="BL720" s="76">
        <f>MAX(0,(BK720-Constantes!$D$13)*(1-EXP(-Constantes!$D$23)))</f>
        <v>8.6214035548546689E-3</v>
      </c>
      <c r="BM720" s="76">
        <f t="shared" si="162"/>
        <v>0.11940030960747178</v>
      </c>
      <c r="BN720" s="76">
        <f t="shared" si="167"/>
        <v>0.12082950374892557</v>
      </c>
      <c r="BO720" s="76">
        <f>0.0526*BI720*Observaciones!$F719^1.218</f>
        <v>0</v>
      </c>
      <c r="BP720" s="76">
        <f>BO720*Constantes!$E$51</f>
        <v>0</v>
      </c>
      <c r="BQ720" s="76">
        <f t="shared" si="163"/>
        <v>0</v>
      </c>
      <c r="BR720" s="40"/>
    </row>
    <row r="721" spans="1:70">
      <c r="A721" s="147"/>
      <c r="B721" s="39"/>
      <c r="C721" s="75">
        <v>715</v>
      </c>
      <c r="D721" s="146">
        <f>ETo!$I720*((1-Constantes!$E$19)*ETo!$K720+ETo!$L720)</f>
        <v>4.4812610607615406</v>
      </c>
      <c r="E721" s="76">
        <f>MIN(D721*Constantes!$E$17,0.8*(N720+Observaciones!$F720-F721-M721-Constantes!$D$14))</f>
        <v>2.1909437106072462</v>
      </c>
      <c r="F721" s="76">
        <f>IF(Observaciones!$F720&gt;0.05*Constantes!$E$18,((Observaciones!$F720-0.05*Constantes!$E$18)^2)/(Observaciones!$F720+0.95*Constantes!$E$18),0)</f>
        <v>3.4754601831912223E-2</v>
      </c>
      <c r="G721" s="76">
        <f>IF(Escenarios!$E$11&gt;0,(F721*Escenarios!$E$16*10000)/1000,0)</f>
        <v>86.886504579780564</v>
      </c>
      <c r="H721" s="76">
        <f>IF(Escenarios!$E$11&gt;0,(Observaciones!$F720*Constantes!$E$29)/1000,0)</f>
        <v>80</v>
      </c>
      <c r="I721" s="76">
        <f>IF(Escenarios!$E$11&gt;0,(D721*Constantes!$E$29)/1000,0)</f>
        <v>44.812610607615404</v>
      </c>
      <c r="J721" s="76">
        <f>IF(Escenarios!$E$11&gt;0,MAX(0,G721+H721-I721),0)</f>
        <v>122.07389397216517</v>
      </c>
      <c r="K721" s="76">
        <f>IF(Escenarios!$E$11&gt;0,IF(J721&gt;Constantes!$E$30,1000*((J721-Constantes!$E$30)/(Escenarios!$E$16*10000)),0),F721)</f>
        <v>0</v>
      </c>
      <c r="L721" s="76">
        <f>IF(Escenarios!$E$11&gt;0,I721*1000/Escenarios!$E$16/10000+E721,E721)</f>
        <v>2.2088687548502923</v>
      </c>
      <c r="M721" s="76">
        <f>MAX(0,N720+Observaciones!$F720-K721-Constantes!$D$13)</f>
        <v>0</v>
      </c>
      <c r="N721" s="76">
        <f>N720+Observaciones!$F720-K721-L721-M721-O720</f>
        <v>17.087185059386119</v>
      </c>
      <c r="O721" s="76">
        <f>MAX(0,(N721-Constantes!$D$14)*(1-EXP(-Constantes!$D$22)))</f>
        <v>0.19883595186773437</v>
      </c>
      <c r="P721" s="170">
        <f>P720+(Entradas!$E$83*M721-Q720)/(800*Entradas!$D$25)</f>
        <v>0</v>
      </c>
      <c r="Q721" s="170">
        <f>8000*Entradas!$D$26*P721/Constantes!$E$45</f>
        <v>0</v>
      </c>
      <c r="R721" s="170">
        <f>IF(Escenarios!$E$14&gt;0,K721*Escenarios!$E$13/Escenarios!$E$14,0)</f>
        <v>0</v>
      </c>
      <c r="S721" s="170">
        <f>IF(Escenarios!$E$14&gt;0,Q721*Escenarios!$E$13/Escenarios!$E$14,0)</f>
        <v>0</v>
      </c>
      <c r="T721" s="170">
        <f>IF(Escenarios!$E$14&gt;0,Observaciones!$I720,0)</f>
        <v>0</v>
      </c>
      <c r="U721" s="170">
        <f>IF(Escenarios!$E$14&gt;0,MAX(0,Constantes!$E$36/((Z720+R721+S721+T721+Observaciones!$F720)^2)+Entradas!$E$77),0)</f>
        <v>0</v>
      </c>
      <c r="V721" s="146">
        <f>IF(ETo!D720&gt;0,ETo!I720*((1-Entradas!$E$81)*ETo!K720+ETo!L720),0)</f>
        <v>4.0966770451957668</v>
      </c>
      <c r="W721" s="170">
        <f>IF(Escenarios!$E$14&gt;0,MIN(V721*1,0.8*(Z720+R721+S721+T721+Observaciones!$F720-U721-Constantes!$E$35)),0)</f>
        <v>4.0966770451957668</v>
      </c>
      <c r="X721" s="170">
        <f>IF(Escenarios!$E$14&gt;0,Observaciones!$J720,0)</f>
        <v>0</v>
      </c>
      <c r="Y721" s="170">
        <f>IF(Escenarios!$E$14&gt;0,MAX(0,Z720+R721+S721+T721+Observaciones!$F720-U721-W721-X721-Constantes!$E$33),0)</f>
        <v>0</v>
      </c>
      <c r="Z721" s="170">
        <f>Z720+R721+S721+T721+Observaciones!$F720-U721-W721-Y721</f>
        <v>45.202123006058784</v>
      </c>
      <c r="AA721" s="170">
        <f>IF(Escenarios!$E$14&gt;0,(Escenarios!$E$13*L721+Escenarios!$E$14*W721)/(Escenarios!$E$16),L721)</f>
        <v>2.4354057496917494</v>
      </c>
      <c r="AB721" s="170">
        <f>IF(Escenarios!$E$14&gt;0,(Escenarios!$E$14*Y721)/(Escenarios!$E$16),K721)</f>
        <v>0</v>
      </c>
      <c r="AC721" s="170">
        <f>IF(Escenarios!$E$14&gt;0,(Escenarios!$E$13*M721+Escenarios!$E$14*U721)/(Escenarios!$E$16),M721)</f>
        <v>0</v>
      </c>
      <c r="AD721" s="76">
        <f t="shared" si="155"/>
        <v>59.882114446637019</v>
      </c>
      <c r="AE721" s="76">
        <f>MAX(0,(AD721-Constantes!$D$13)*(1-EXP(-Constantes!$D$23)))</f>
        <v>0.10968737510580094</v>
      </c>
      <c r="AF721" s="76">
        <f>AB721+O721*Escenarios!$E$13/Escenarios!$E$16+AE721</f>
        <v>0.2846630127494072</v>
      </c>
      <c r="AG721" s="76">
        <f>IF(Entradas!$E$91&gt;0,IF(AF721-Escenarios!$E$38&lt;=0,0,IF(AF721-Escenarios!$E$38&gt;Escenarios!$E$37,Escenarios!$E$37,AF721-Escenarios!$E$38)),0)</f>
        <v>0</v>
      </c>
      <c r="AH721" s="76">
        <f>AG721*Entradas!$E$99</f>
        <v>0</v>
      </c>
      <c r="AI721" s="76">
        <f>IF(Entradas!$E$91&gt;0,D721*Entradas!$D$23/Escenarios!$E$16,0)</f>
        <v>0</v>
      </c>
      <c r="AJ721" s="76">
        <f>IF(Entradas!$E$91&gt;0,Entradas!$D$24*Entradas!$D$22/Escenarios!$E$16,0)</f>
        <v>0</v>
      </c>
      <c r="AK721" s="76">
        <f t="shared" si="164"/>
        <v>2.4354057496917494</v>
      </c>
      <c r="AL721" s="76">
        <f t="shared" si="165"/>
        <v>0</v>
      </c>
      <c r="AM721" s="76">
        <f t="shared" si="156"/>
        <v>0</v>
      </c>
      <c r="AN721" s="76">
        <f>MAX(0,O721*Escenarios!$E$13/Escenarios!$E$16-AM721)</f>
        <v>0.17497563764360624</v>
      </c>
      <c r="AO721" s="76">
        <f>AM721+AN721-O721*Escenarios!$E$13/Escenarios!$E$16</f>
        <v>0</v>
      </c>
      <c r="AP721" s="76">
        <f t="shared" si="154"/>
        <v>0.10968737510580094</v>
      </c>
      <c r="AQ721" s="76">
        <f t="shared" si="157"/>
        <v>0</v>
      </c>
      <c r="AR721" s="76">
        <f t="shared" si="158"/>
        <v>0.2846630127494072</v>
      </c>
      <c r="AS721" s="76">
        <f t="shared" si="159"/>
        <v>0</v>
      </c>
      <c r="AT721" s="76">
        <f t="shared" si="160"/>
        <v>0</v>
      </c>
      <c r="AU721" s="76">
        <f t="shared" si="161"/>
        <v>48.75</v>
      </c>
      <c r="AV721" s="76">
        <f>MAX(0,(AU721-Constantes!$D$13)*(1-EXP(-Constantes!$D$24)))</f>
        <v>0</v>
      </c>
      <c r="AW721" s="170">
        <f>AW720+(Entradas!$E$112*AT721-AX720)/(800*Entradas!$D$25)</f>
        <v>0</v>
      </c>
      <c r="AX721" s="170">
        <f>8000*Entradas!$D$26*AW721/Constantes!$E$45</f>
        <v>0</v>
      </c>
      <c r="AY721" s="170">
        <f>IF(Escenarios!$E$17&gt;0,10*Escenarios!$E$16*AL721,0)</f>
        <v>0</v>
      </c>
      <c r="AZ721" s="170">
        <f>IF(Escenarios!$E$17&gt;0,10*Escenarios!$E$16*AX721,0)</f>
        <v>0</v>
      </c>
      <c r="BA721" s="170">
        <f>IF(Escenarios!$E$17&gt;0,0.001*Observaciones!$F720*Escenarios!$E$17,0)</f>
        <v>160</v>
      </c>
      <c r="BB721" s="170">
        <f>IF(Escenarios!$E$17&gt;0,Observaciones!$K720,0)</f>
        <v>0</v>
      </c>
      <c r="BC721" s="170">
        <f>IF(Escenarios!$E$17&gt;0,MIN(0.0005*ETo!$M720*Escenarios!$E$17*(BG720/Constantes!$E$40)^(2/3),BG720+AY721+AZ721+BA721+BB721),0)</f>
        <v>13.518453944089394</v>
      </c>
      <c r="BD721" s="170">
        <f>IF(Escenarios!$E$17&gt;0,MIN(Constantes!$E$39*(BG720/Constantes!$E$40)^(2/3),BG720+AY721+AZ721+BA721+BB721-BC721),0)</f>
        <v>21.262052887384975</v>
      </c>
      <c r="BE721" s="170">
        <f>IF(Escenarios!$E$17&gt;0,MIN(Entradas!$E$113,BG720+AY721+AZ721+BA721+BB721-BC721-BD721),0)</f>
        <v>1</v>
      </c>
      <c r="BF721" s="170">
        <f>IF(Escenarios!$E$17&gt;0,MAX(0,BG720+AY721+AZ721+BA721+BB721-BC721-BD721-BE721-Constantes!$E$40),0)</f>
        <v>0</v>
      </c>
      <c r="BG721" s="170">
        <f t="shared" si="166"/>
        <v>1037.6627025971366</v>
      </c>
      <c r="BH721" s="170">
        <f>(Escenarios!$E$16*AK721+0.1*BC721)/(Escenarios!$E$19)</f>
        <v>2.4214415984815325</v>
      </c>
      <c r="BI721" s="170">
        <f>IF(Escenarios!$E$17&gt;0,BF721/10/Escenarios!$E$19,AL721)</f>
        <v>0</v>
      </c>
      <c r="BJ721" s="170">
        <f>(Escenarios!$E$16*AT721+0.1*BD721)/(Escenarios!$E$19)</f>
        <v>8.4373225743591181E-3</v>
      </c>
      <c r="BK721" s="76">
        <f>BK720+(0.1*BD721)/(Escenarios!$E$19)-BL720</f>
        <v>49.624797665740232</v>
      </c>
      <c r="BL721" s="76">
        <f>MAX(0,(BK721-Constantes!$D$13)*(1-EXP(-Constantes!$D$23)))</f>
        <v>8.6195897611091674E-3</v>
      </c>
      <c r="BM721" s="76">
        <f t="shared" si="162"/>
        <v>0.11830696486691011</v>
      </c>
      <c r="BN721" s="76">
        <f t="shared" si="167"/>
        <v>0.29328260251051635</v>
      </c>
      <c r="BO721" s="76">
        <f>0.0526*BI721*Observaciones!$F720^1.218</f>
        <v>0</v>
      </c>
      <c r="BP721" s="76">
        <f>BO721*Constantes!$E$51</f>
        <v>0</v>
      </c>
      <c r="BQ721" s="76">
        <f t="shared" si="163"/>
        <v>0</v>
      </c>
      <c r="BR721" s="40"/>
    </row>
    <row r="722" spans="1:70">
      <c r="A722" s="147"/>
      <c r="B722" s="39"/>
      <c r="C722" s="75">
        <v>716</v>
      </c>
      <c r="D722" s="146">
        <f>ETo!$I721*((1-Constantes!$E$19)*ETo!$K721+ETo!$L721)</f>
        <v>4.3313775404966188</v>
      </c>
      <c r="E722" s="76">
        <f>MIN(D722*Constantes!$E$17,0.8*(N721+Observaciones!$F721-F722-M722-Constantes!$D$14))</f>
        <v>2.1176638120261315</v>
      </c>
      <c r="F722" s="76">
        <f>IF(Observaciones!$F721&gt;0.05*Constantes!$E$18,((Observaciones!$F721-0.05*Constantes!$E$18)^2)/(Observaciones!$F721+0.95*Constantes!$E$18),0)</f>
        <v>0</v>
      </c>
      <c r="G722" s="76">
        <f>IF(Escenarios!$E$11&gt;0,(F722*Escenarios!$E$16*10000)/1000,0)</f>
        <v>0</v>
      </c>
      <c r="H722" s="76">
        <f>IF(Escenarios!$E$11&gt;0,(Observaciones!$F721*Constantes!$E$29)/1000,0)</f>
        <v>18</v>
      </c>
      <c r="I722" s="76">
        <f>IF(Escenarios!$E$11&gt;0,(D722*Constantes!$E$29)/1000,0)</f>
        <v>43.313775404966186</v>
      </c>
      <c r="J722" s="76">
        <f>IF(Escenarios!$E$11&gt;0,MAX(0,G722+H722-I722),0)</f>
        <v>0</v>
      </c>
      <c r="K722" s="76">
        <f>IF(Escenarios!$E$11&gt;0,IF(J722&gt;Constantes!$E$30,1000*((J722-Constantes!$E$30)/(Escenarios!$E$16*10000)),0),F722)</f>
        <v>0</v>
      </c>
      <c r="L722" s="76">
        <f>IF(Escenarios!$E$11&gt;0,I722*1000/Escenarios!$E$16/10000+E722,E722)</f>
        <v>2.134989322188118</v>
      </c>
      <c r="M722" s="76">
        <f>MAX(0,N721+Observaciones!$F721-K722-Constantes!$D$13)</f>
        <v>0</v>
      </c>
      <c r="N722" s="76">
        <f>N721+Observaciones!$F721-K722-L722-M722-O721</f>
        <v>16.553359785330265</v>
      </c>
      <c r="O722" s="76">
        <f>MAX(0,(N722-Constantes!$D$14)*(1-EXP(-Constantes!$D$22)))</f>
        <v>0.18065190332069161</v>
      </c>
      <c r="P722" s="170">
        <f>P721+(Entradas!$E$83*M722-Q721)/(800*Entradas!$D$25)</f>
        <v>0</v>
      </c>
      <c r="Q722" s="170">
        <f>8000*Entradas!$D$26*P722/Constantes!$E$45</f>
        <v>0</v>
      </c>
      <c r="R722" s="170">
        <f>IF(Escenarios!$E$14&gt;0,K722*Escenarios!$E$13/Escenarios!$E$14,0)</f>
        <v>0</v>
      </c>
      <c r="S722" s="170">
        <f>IF(Escenarios!$E$14&gt;0,Q722*Escenarios!$E$13/Escenarios!$E$14,0)</f>
        <v>0</v>
      </c>
      <c r="T722" s="170">
        <f>IF(Escenarios!$E$14&gt;0,Observaciones!$I721,0)</f>
        <v>0</v>
      </c>
      <c r="U722" s="170">
        <f>IF(Escenarios!$E$14&gt;0,MAX(0,Constantes!$E$36/((Z721+R722+S722+T722+Observaciones!$F721)^2)+Entradas!$E$77),0)</f>
        <v>0</v>
      </c>
      <c r="V722" s="146">
        <f>IF(ETo!D721&gt;0,ETo!I721*((1-Entradas!$E$81)*ETo!K721+ETo!L721),0)</f>
        <v>3.9579712278625352</v>
      </c>
      <c r="W722" s="170">
        <f>IF(Escenarios!$E$14&gt;0,MIN(V722*1,0.8*(Z721+R722+S722+T722+Observaciones!$F721-U722-Constantes!$E$35)),0)</f>
        <v>3.9579712278625352</v>
      </c>
      <c r="X722" s="170">
        <f>IF(Escenarios!$E$14&gt;0,Observaciones!$J721,0)</f>
        <v>0</v>
      </c>
      <c r="Y722" s="170">
        <f>IF(Escenarios!$E$14&gt;0,MAX(0,Z721+R722+S722+T722+Observaciones!$F721-U722-W722-X722-Constantes!$E$33),0)</f>
        <v>0</v>
      </c>
      <c r="Z722" s="170">
        <f>Z721+R722+S722+T722+Observaciones!$F721-U722-W722-Y722</f>
        <v>43.044151778196245</v>
      </c>
      <c r="AA722" s="170">
        <f>IF(Escenarios!$E$14&gt;0,(Escenarios!$E$13*L722+Escenarios!$E$14*W722)/(Escenarios!$E$16),L722)</f>
        <v>2.3537471508690482</v>
      </c>
      <c r="AB722" s="170">
        <f>IF(Escenarios!$E$14&gt;0,(Escenarios!$E$14*Y722)/(Escenarios!$E$16),K722)</f>
        <v>0</v>
      </c>
      <c r="AC722" s="170">
        <f>IF(Escenarios!$E$14&gt;0,(Escenarios!$E$13*M722+Escenarios!$E$14*U722)/(Escenarios!$E$16),M722)</f>
        <v>0</v>
      </c>
      <c r="AD722" s="76">
        <f t="shared" si="155"/>
        <v>59.772427071531219</v>
      </c>
      <c r="AE722" s="76">
        <f>MAX(0,(AD722-Constantes!$D$13)*(1-EXP(-Constantes!$D$23)))</f>
        <v>0.10860659927338617</v>
      </c>
      <c r="AF722" s="76">
        <f>AB722+O722*Escenarios!$E$13/Escenarios!$E$16+AE722</f>
        <v>0.26758027419559482</v>
      </c>
      <c r="AG722" s="76">
        <f>IF(Entradas!$E$91&gt;0,IF(AF722-Escenarios!$E$38&lt;=0,0,IF(AF722-Escenarios!$E$38&gt;Escenarios!$E$37,Escenarios!$E$37,AF722-Escenarios!$E$38)),0)</f>
        <v>0</v>
      </c>
      <c r="AH722" s="76">
        <f>AG722*Entradas!$E$99</f>
        <v>0</v>
      </c>
      <c r="AI722" s="76">
        <f>IF(Entradas!$E$91&gt;0,D722*Entradas!$D$23/Escenarios!$E$16,0)</f>
        <v>0</v>
      </c>
      <c r="AJ722" s="76">
        <f>IF(Entradas!$E$91&gt;0,Entradas!$D$24*Entradas!$D$22/Escenarios!$E$16,0)</f>
        <v>0</v>
      </c>
      <c r="AK722" s="76">
        <f t="shared" si="164"/>
        <v>2.3537471508690482</v>
      </c>
      <c r="AL722" s="76">
        <f t="shared" si="165"/>
        <v>0</v>
      </c>
      <c r="AM722" s="76">
        <f t="shared" si="156"/>
        <v>0</v>
      </c>
      <c r="AN722" s="76">
        <f>MAX(0,O722*Escenarios!$E$13/Escenarios!$E$16-AM722)</f>
        <v>0.15897367492220862</v>
      </c>
      <c r="AO722" s="76">
        <f>AM722+AN722-O722*Escenarios!$E$13/Escenarios!$E$16</f>
        <v>0</v>
      </c>
      <c r="AP722" s="76">
        <f t="shared" si="154"/>
        <v>0.10860659927338617</v>
      </c>
      <c r="AQ722" s="76">
        <f t="shared" si="157"/>
        <v>0</v>
      </c>
      <c r="AR722" s="76">
        <f t="shared" si="158"/>
        <v>0.26758027419559482</v>
      </c>
      <c r="AS722" s="76">
        <f t="shared" si="159"/>
        <v>0</v>
      </c>
      <c r="AT722" s="76">
        <f t="shared" si="160"/>
        <v>0</v>
      </c>
      <c r="AU722" s="76">
        <f t="shared" si="161"/>
        <v>48.75</v>
      </c>
      <c r="AV722" s="76">
        <f>MAX(0,(AU722-Constantes!$D$13)*(1-EXP(-Constantes!$D$24)))</f>
        <v>0</v>
      </c>
      <c r="AW722" s="170">
        <f>AW721+(Entradas!$E$112*AT722-AX721)/(800*Entradas!$D$25)</f>
        <v>0</v>
      </c>
      <c r="AX722" s="170">
        <f>8000*Entradas!$D$26*AW722/Constantes!$E$45</f>
        <v>0</v>
      </c>
      <c r="AY722" s="170">
        <f>IF(Escenarios!$E$17&gt;0,10*Escenarios!$E$16*AL722,0)</f>
        <v>0</v>
      </c>
      <c r="AZ722" s="170">
        <f>IF(Escenarios!$E$17&gt;0,10*Escenarios!$E$16*AX722,0)</f>
        <v>0</v>
      </c>
      <c r="BA722" s="170">
        <f>IF(Escenarios!$E$17&gt;0,0.001*Observaciones!$F721*Escenarios!$E$17,0)</f>
        <v>36</v>
      </c>
      <c r="BB722" s="170">
        <f>IF(Escenarios!$E$17&gt;0,Observaciones!$K721,0)</f>
        <v>0</v>
      </c>
      <c r="BC722" s="170">
        <f>IF(Escenarios!$E$17&gt;0,MIN(0.0005*ETo!$M721*Escenarios!$E$17*(BG721/Constantes!$E$40)^(2/3),BG721+AY722+AZ722+BA722+BB722),0)</f>
        <v>14.233229937556809</v>
      </c>
      <c r="BD722" s="170">
        <f>IF(Escenarios!$E$17&gt;0,MIN(Constantes!$E$39*(BG721/Constantes!$E$40)^(2/3),BG721+AY722+AZ722+BA722+BB722-BC722),0)</f>
        <v>23.148434787803573</v>
      </c>
      <c r="BE722" s="170">
        <f>IF(Escenarios!$E$17&gt;0,MIN(Entradas!$E$113,BG721+AY722+AZ722+BA722+BB722-BC722-BD722),0)</f>
        <v>1</v>
      </c>
      <c r="BF722" s="170">
        <f>IF(Escenarios!$E$17&gt;0,MAX(0,BG721+AY722+AZ722+BA722+BB722-BC722-BD722-BE722-Constantes!$E$40),0)</f>
        <v>0</v>
      </c>
      <c r="BG722" s="170">
        <f t="shared" si="166"/>
        <v>1035.2810378717761</v>
      </c>
      <c r="BH722" s="170">
        <f>(Escenarios!$E$16*AK722+0.1*BC722)/(Escenarios!$E$19)</f>
        <v>2.3407147250437212</v>
      </c>
      <c r="BI722" s="170">
        <f>IF(Escenarios!$E$17&gt;0,BF722/10/Escenarios!$E$19,AL722)</f>
        <v>0</v>
      </c>
      <c r="BJ722" s="170">
        <f>(Escenarios!$E$16*AT722+0.1*BD722)/(Escenarios!$E$19)</f>
        <v>9.1858868205569738E-3</v>
      </c>
      <c r="BK722" s="76">
        <f>BK721+(0.1*BD722)/(Escenarios!$E$19)-BL721</f>
        <v>49.625363962799675</v>
      </c>
      <c r="BL722" s="76">
        <f>MAX(0,(BK722-Constantes!$D$13)*(1-EXP(-Constantes!$D$23)))</f>
        <v>8.6251696209173091E-3</v>
      </c>
      <c r="BM722" s="76">
        <f t="shared" si="162"/>
        <v>0.11723176889430348</v>
      </c>
      <c r="BN722" s="76">
        <f t="shared" si="167"/>
        <v>0.27620544381651213</v>
      </c>
      <c r="BO722" s="76">
        <f>0.0526*BI722*Observaciones!$F721^1.218</f>
        <v>0</v>
      </c>
      <c r="BP722" s="76">
        <f>BO722*Constantes!$E$51</f>
        <v>0</v>
      </c>
      <c r="BQ722" s="76">
        <f t="shared" si="163"/>
        <v>0</v>
      </c>
      <c r="BR722" s="40"/>
    </row>
    <row r="723" spans="1:70">
      <c r="A723" s="147"/>
      <c r="B723" s="39"/>
      <c r="C723" s="75">
        <v>717</v>
      </c>
      <c r="D723" s="146">
        <f>ETo!$I722*((1-Constantes!$E$19)*ETo!$K722+ETo!$L722)</f>
        <v>4.2995457323292596</v>
      </c>
      <c r="E723" s="76">
        <f>MIN(D723*Constantes!$E$17,0.8*(N722+Observaciones!$F722-F723-M723-Constantes!$D$14))</f>
        <v>2.1021008490663973</v>
      </c>
      <c r="F723" s="76">
        <f>IF(Observaciones!$F722&gt;0.05*Constantes!$E$18,((Observaciones!$F722-0.05*Constantes!$E$18)^2)/(Observaciones!$F722+0.95*Constantes!$E$18),0)</f>
        <v>0</v>
      </c>
      <c r="G723" s="76">
        <f>IF(Escenarios!$E$11&gt;0,(F723*Escenarios!$E$16*10000)/1000,0)</f>
        <v>0</v>
      </c>
      <c r="H723" s="76">
        <f>IF(Escenarios!$E$11&gt;0,(Observaciones!$F722*Constantes!$E$29)/1000,0)</f>
        <v>6</v>
      </c>
      <c r="I723" s="76">
        <f>IF(Escenarios!$E$11&gt;0,(D723*Constantes!$E$29)/1000,0)</f>
        <v>42.995457323292598</v>
      </c>
      <c r="J723" s="76">
        <f>IF(Escenarios!$E$11&gt;0,MAX(0,G723+H723-I723),0)</f>
        <v>0</v>
      </c>
      <c r="K723" s="76">
        <f>IF(Escenarios!$E$11&gt;0,IF(J723&gt;Constantes!$E$30,1000*((J723-Constantes!$E$30)/(Escenarios!$E$16*10000)),0),F723)</f>
        <v>0</v>
      </c>
      <c r="L723" s="76">
        <f>IF(Escenarios!$E$11&gt;0,I723*1000/Escenarios!$E$16/10000+E723,E723)</f>
        <v>2.1192990319957143</v>
      </c>
      <c r="M723" s="76">
        <f>MAX(0,N722+Observaciones!$F722-K723-Constantes!$D$13)</f>
        <v>0</v>
      </c>
      <c r="N723" s="76">
        <f>N722+Observaciones!$F722-K723-L723-M723-O722</f>
        <v>14.85340885001386</v>
      </c>
      <c r="O723" s="76">
        <f>MAX(0,(N723-Constantes!$D$14)*(1-EXP(-Constantes!$D$22)))</f>
        <v>0.1227453338161725</v>
      </c>
      <c r="P723" s="170">
        <f>P722+(Entradas!$E$83*M723-Q722)/(800*Entradas!$D$25)</f>
        <v>0</v>
      </c>
      <c r="Q723" s="170">
        <f>8000*Entradas!$D$26*P723/Constantes!$E$45</f>
        <v>0</v>
      </c>
      <c r="R723" s="170">
        <f>IF(Escenarios!$E$14&gt;0,K723*Escenarios!$E$13/Escenarios!$E$14,0)</f>
        <v>0</v>
      </c>
      <c r="S723" s="170">
        <f>IF(Escenarios!$E$14&gt;0,Q723*Escenarios!$E$13/Escenarios!$E$14,0)</f>
        <v>0</v>
      </c>
      <c r="T723" s="170">
        <f>IF(Escenarios!$E$14&gt;0,Observaciones!$I722,0)</f>
        <v>0</v>
      </c>
      <c r="U723" s="170">
        <f>IF(Escenarios!$E$14&gt;0,MAX(0,Constantes!$E$36/((Z722+R723+S723+T723+Observaciones!$F722)^2)+Entradas!$E$77),0)</f>
        <v>0</v>
      </c>
      <c r="V723" s="146">
        <f>IF(ETo!D722&gt;0,ETo!I722*((1-Entradas!$E$81)*ETo!K722+ETo!L722),0)</f>
        <v>3.9285758859375788</v>
      </c>
      <c r="W723" s="170">
        <f>IF(Escenarios!$E$14&gt;0,MIN(V723*1,0.8*(Z722+R723+S723+T723+Observaciones!$F722-U723-Constantes!$E$35)),0)</f>
        <v>1.915321422556997</v>
      </c>
      <c r="X723" s="170">
        <f>IF(Escenarios!$E$14&gt;0,Observaciones!$J722,0)</f>
        <v>0</v>
      </c>
      <c r="Y723" s="170">
        <f>IF(Escenarios!$E$14&gt;0,MAX(0,Z722+R723+S723+T723+Observaciones!$F722-U723-W723-X723-Constantes!$E$33),0)</f>
        <v>0</v>
      </c>
      <c r="Z723" s="170">
        <f>Z722+R723+S723+T723+Observaciones!$F722-U723-W723-Y723</f>
        <v>41.728830355639246</v>
      </c>
      <c r="AA723" s="170">
        <f>IF(Escenarios!$E$14&gt;0,(Escenarios!$E$13*L723+Escenarios!$E$14*W723)/(Escenarios!$E$16),L723)</f>
        <v>2.0948217188630682</v>
      </c>
      <c r="AB723" s="170">
        <f>IF(Escenarios!$E$14&gt;0,(Escenarios!$E$14*Y723)/(Escenarios!$E$16),K723)</f>
        <v>0</v>
      </c>
      <c r="AC723" s="170">
        <f>IF(Escenarios!$E$14&gt;0,(Escenarios!$E$13*M723+Escenarios!$E$14*U723)/(Escenarios!$E$16),M723)</f>
        <v>0</v>
      </c>
      <c r="AD723" s="76">
        <f t="shared" si="155"/>
        <v>59.663820472257832</v>
      </c>
      <c r="AE723" s="76">
        <f>MAX(0,(AD723-Constantes!$D$13)*(1-EXP(-Constantes!$D$23)))</f>
        <v>0.10753647258266893</v>
      </c>
      <c r="AF723" s="76">
        <f>AB723+O723*Escenarios!$E$13/Escenarios!$E$16+AE723</f>
        <v>0.21555236634090075</v>
      </c>
      <c r="AG723" s="76">
        <f>IF(Entradas!$E$91&gt;0,IF(AF723-Escenarios!$E$38&lt;=0,0,IF(AF723-Escenarios!$E$38&gt;Escenarios!$E$37,Escenarios!$E$37,AF723-Escenarios!$E$38)),0)</f>
        <v>0</v>
      </c>
      <c r="AH723" s="76">
        <f>AG723*Entradas!$E$99</f>
        <v>0</v>
      </c>
      <c r="AI723" s="76">
        <f>IF(Entradas!$E$91&gt;0,D723*Entradas!$D$23/Escenarios!$E$16,0)</f>
        <v>0</v>
      </c>
      <c r="AJ723" s="76">
        <f>IF(Entradas!$E$91&gt;0,Entradas!$D$24*Entradas!$D$22/Escenarios!$E$16,0)</f>
        <v>0</v>
      </c>
      <c r="AK723" s="76">
        <f t="shared" si="164"/>
        <v>2.0948217188630682</v>
      </c>
      <c r="AL723" s="76">
        <f t="shared" si="165"/>
        <v>0</v>
      </c>
      <c r="AM723" s="76">
        <f t="shared" si="156"/>
        <v>0</v>
      </c>
      <c r="AN723" s="76">
        <f>MAX(0,O723*Escenarios!$E$13/Escenarios!$E$16-AM723)</f>
        <v>0.1080158937582318</v>
      </c>
      <c r="AO723" s="76">
        <f>AM723+AN723-O723*Escenarios!$E$13/Escenarios!$E$16</f>
        <v>0</v>
      </c>
      <c r="AP723" s="76">
        <f t="shared" si="154"/>
        <v>0.10753647258266893</v>
      </c>
      <c r="AQ723" s="76">
        <f t="shared" si="157"/>
        <v>0</v>
      </c>
      <c r="AR723" s="76">
        <f t="shared" si="158"/>
        <v>0.21555236634090075</v>
      </c>
      <c r="AS723" s="76">
        <f t="shared" si="159"/>
        <v>0</v>
      </c>
      <c r="AT723" s="76">
        <f t="shared" si="160"/>
        <v>0</v>
      </c>
      <c r="AU723" s="76">
        <f t="shared" si="161"/>
        <v>48.75</v>
      </c>
      <c r="AV723" s="76">
        <f>MAX(0,(AU723-Constantes!$D$13)*(1-EXP(-Constantes!$D$24)))</f>
        <v>0</v>
      </c>
      <c r="AW723" s="170">
        <f>AW722+(Entradas!$E$112*AT723-AX722)/(800*Entradas!$D$25)</f>
        <v>0</v>
      </c>
      <c r="AX723" s="170">
        <f>8000*Entradas!$D$26*AW723/Constantes!$E$45</f>
        <v>0</v>
      </c>
      <c r="AY723" s="170">
        <f>IF(Escenarios!$E$17&gt;0,10*Escenarios!$E$16*AL723,0)</f>
        <v>0</v>
      </c>
      <c r="AZ723" s="170">
        <f>IF(Escenarios!$E$17&gt;0,10*Escenarios!$E$16*AX723,0)</f>
        <v>0</v>
      </c>
      <c r="BA723" s="170">
        <f>IF(Escenarios!$E$17&gt;0,0.001*Observaciones!$F722*Escenarios!$E$17,0)</f>
        <v>11.999999999999998</v>
      </c>
      <c r="BB723" s="170">
        <f>IF(Escenarios!$E$17&gt;0,Observaciones!$K722,0)</f>
        <v>0</v>
      </c>
      <c r="BC723" s="170">
        <f>IF(Escenarios!$E$17&gt;0,MIN(0.0005*ETo!$M722*Escenarios!$E$17*(BG722/Constantes!$E$40)^(2/3),BG722+AY723+AZ723+BA723+BB723),0)</f>
        <v>14.108400111966514</v>
      </c>
      <c r="BD723" s="170">
        <f>IF(Escenarios!$E$17&gt;0,MIN(Constantes!$E$39*(BG722/Constantes!$E$40)^(2/3),BG722+AY723+AZ723+BA723+BB723-BC723),0)</f>
        <v>23.113000715999799</v>
      </c>
      <c r="BE723" s="170">
        <f>IF(Escenarios!$E$17&gt;0,MIN(Entradas!$E$113,BG722+AY723+AZ723+BA723+BB723-BC723-BD723),0)</f>
        <v>1</v>
      </c>
      <c r="BF723" s="170">
        <f>IF(Escenarios!$E$17&gt;0,MAX(0,BG722+AY723+AZ723+BA723+BB723-BC723-BD723-BE723-Constantes!$E$40),0)</f>
        <v>0</v>
      </c>
      <c r="BG723" s="170">
        <f t="shared" si="166"/>
        <v>1009.0596370438097</v>
      </c>
      <c r="BH723" s="170">
        <f>(Escenarios!$E$16*AK723+0.1*BC723)/(Escenarios!$E$19)</f>
        <v>2.0837947211387453</v>
      </c>
      <c r="BI723" s="170">
        <f>IF(Escenarios!$E$17&gt;0,BF723/10/Escenarios!$E$19,AL723)</f>
        <v>0</v>
      </c>
      <c r="BJ723" s="170">
        <f>(Escenarios!$E$16*AT723+0.1*BD723)/(Escenarios!$E$19)</f>
        <v>9.1718256809523013E-3</v>
      </c>
      <c r="BK723" s="76">
        <f>BK722+(0.1*BD723)/(Escenarios!$E$19)-BL722</f>
        <v>49.625910618859706</v>
      </c>
      <c r="BL723" s="76">
        <f>MAX(0,(BK723-Constantes!$D$13)*(1-EXP(-Constantes!$D$23)))</f>
        <v>8.6305559532801248E-3</v>
      </c>
      <c r="BM723" s="76">
        <f t="shared" si="162"/>
        <v>0.11616702853594905</v>
      </c>
      <c r="BN723" s="76">
        <f t="shared" si="167"/>
        <v>0.22418292229418088</v>
      </c>
      <c r="BO723" s="76">
        <f>0.0526*BI723*Observaciones!$F722^1.218</f>
        <v>0</v>
      </c>
      <c r="BP723" s="76">
        <f>BO723*Constantes!$E$51</f>
        <v>0</v>
      </c>
      <c r="BQ723" s="76">
        <f t="shared" si="163"/>
        <v>0</v>
      </c>
      <c r="BR723" s="40"/>
    </row>
    <row r="724" spans="1:70">
      <c r="A724" s="147"/>
      <c r="B724" s="39"/>
      <c r="C724" s="75">
        <v>718</v>
      </c>
      <c r="D724" s="146">
        <f>ETo!$I723*((1-Constantes!$E$19)*ETo!$K723+ETo!$L723)</f>
        <v>4.2995268093838694</v>
      </c>
      <c r="E724" s="76">
        <f>MIN(D724*Constantes!$E$17,0.8*(N723+Observaciones!$F723-F724-M724-Constantes!$D$14))</f>
        <v>2.1020915974053969</v>
      </c>
      <c r="F724" s="76">
        <f>IF(Observaciones!$F723&gt;0.05*Constantes!$E$18,((Observaciones!$F723-0.05*Constantes!$E$18)^2)/(Observaciones!$F723+0.95*Constantes!$E$18),0)</f>
        <v>0.97198928061675927</v>
      </c>
      <c r="G724" s="76">
        <f>IF(Escenarios!$E$11&gt;0,(F724*Escenarios!$E$16*10000)/1000,0)</f>
        <v>2429.9732015418981</v>
      </c>
      <c r="H724" s="76">
        <f>IF(Escenarios!$E$11&gt;0,(Observaciones!$F723*Constantes!$E$29)/1000,0)</f>
        <v>172</v>
      </c>
      <c r="I724" s="76">
        <f>IF(Escenarios!$E$11&gt;0,(D724*Constantes!$E$29)/1000,0)</f>
        <v>42.995268093838689</v>
      </c>
      <c r="J724" s="76">
        <f>IF(Escenarios!$E$11&gt;0,MAX(0,G724+H724-I724),0)</f>
        <v>2558.9779334480595</v>
      </c>
      <c r="K724" s="76">
        <f>IF(Escenarios!$E$11&gt;0,IF(J724&gt;Constantes!$E$30,1000*((J724-Constantes!$E$30)/(Escenarios!$E$16*10000)),0),F724)</f>
        <v>0.50888529102628266</v>
      </c>
      <c r="L724" s="76">
        <f>IF(Escenarios!$E$11&gt;0,I724*1000/Escenarios!$E$16/10000+E724,E724)</f>
        <v>2.1192897046429322</v>
      </c>
      <c r="M724" s="76">
        <f>MAX(0,N723+Observaciones!$F723-K724-Constantes!$D$13)</f>
        <v>0</v>
      </c>
      <c r="N724" s="76">
        <f>N723+Observaciones!$F723-K724-L724-M724-O723</f>
        <v>29.302488520528474</v>
      </c>
      <c r="O724" s="76">
        <f>MAX(0,(N724-Constantes!$D$14)*(1-EXP(-Constantes!$D$22)))</f>
        <v>0.61493403105128264</v>
      </c>
      <c r="P724" s="170">
        <f>P723+(Entradas!$E$83*M724-Q723)/(800*Entradas!$D$25)</f>
        <v>0</v>
      </c>
      <c r="Q724" s="170">
        <f>8000*Entradas!$D$26*P724/Constantes!$E$45</f>
        <v>0</v>
      </c>
      <c r="R724" s="170">
        <f>IF(Escenarios!$E$14&gt;0,K724*Escenarios!$E$13/Escenarios!$E$14,0)</f>
        <v>3.7318254675260727</v>
      </c>
      <c r="S724" s="170">
        <f>IF(Escenarios!$E$14&gt;0,Q724*Escenarios!$E$13/Escenarios!$E$14,0)</f>
        <v>0</v>
      </c>
      <c r="T724" s="170">
        <f>IF(Escenarios!$E$14&gt;0,Observaciones!$I723,0)</f>
        <v>0</v>
      </c>
      <c r="U724" s="170">
        <f>IF(Escenarios!$E$14&gt;0,MAX(0,Constantes!$E$36/((Z723+R724+S724+T724+Observaciones!$F723)^2)+Entradas!$E$77),0)</f>
        <v>0.3851720719687699</v>
      </c>
      <c r="V724" s="146">
        <f>IF(ETo!D723&gt;0,ETo!I723*((1-Entradas!$E$81)*ETo!K723+ETo!L723),0)</f>
        <v>3.928558167823919</v>
      </c>
      <c r="W724" s="170">
        <f>IF(Escenarios!$E$14&gt;0,MIN(V724*1,0.8*(Z723+R724+S724+T724+Observaciones!$F723-U724-Constantes!$E$35)),0)</f>
        <v>3.928558167823919</v>
      </c>
      <c r="X724" s="170">
        <f>IF(Escenarios!$E$14&gt;0,Observaciones!$J723,0)</f>
        <v>0</v>
      </c>
      <c r="Y724" s="170">
        <f>IF(Escenarios!$E$14&gt;0,MAX(0,Z723+R724+S724+T724+Observaciones!$F723-U724-W724-X724-Constantes!$E$33),0)</f>
        <v>0</v>
      </c>
      <c r="Z724" s="170">
        <f>Z723+R724+S724+T724+Observaciones!$F723-U724-W724-Y724</f>
        <v>58.346925583372624</v>
      </c>
      <c r="AA724" s="170">
        <f>IF(Escenarios!$E$14&gt;0,(Escenarios!$E$13*L724+Escenarios!$E$14*W724)/(Escenarios!$E$16),L724)</f>
        <v>2.3364019202246511</v>
      </c>
      <c r="AB724" s="170">
        <f>IF(Escenarios!$E$14&gt;0,(Escenarios!$E$14*Y724)/(Escenarios!$E$16),K724)</f>
        <v>0</v>
      </c>
      <c r="AC724" s="170">
        <f>IF(Escenarios!$E$14&gt;0,(Escenarios!$E$13*M724+Escenarios!$E$14*U724)/(Escenarios!$E$16),M724)</f>
        <v>4.6220648636252394E-2</v>
      </c>
      <c r="AD724" s="76">
        <f t="shared" si="155"/>
        <v>59.602504648311417</v>
      </c>
      <c r="AE724" s="76">
        <f>MAX(0,(AD724-Constantes!$D$13)*(1-EXP(-Constantes!$D$23)))</f>
        <v>0.10693231316503345</v>
      </c>
      <c r="AF724" s="76">
        <f>AB724+O724*Escenarios!$E$13/Escenarios!$E$16+AE724</f>
        <v>0.64807426049016226</v>
      </c>
      <c r="AG724" s="76">
        <f>IF(Entradas!$E$91&gt;0,IF(AF724-Escenarios!$E$38&lt;=0,0,IF(AF724-Escenarios!$E$38&gt;Escenarios!$E$37,Escenarios!$E$37,AF724-Escenarios!$E$38)),0)</f>
        <v>0</v>
      </c>
      <c r="AH724" s="76">
        <f>AG724*Entradas!$E$99</f>
        <v>0</v>
      </c>
      <c r="AI724" s="76">
        <f>IF(Entradas!$E$91&gt;0,D724*Entradas!$D$23/Escenarios!$E$16,0)</f>
        <v>0</v>
      </c>
      <c r="AJ724" s="76">
        <f>IF(Entradas!$E$91&gt;0,Entradas!$D$24*Entradas!$D$22/Escenarios!$E$16,0)</f>
        <v>0</v>
      </c>
      <c r="AK724" s="76">
        <f t="shared" si="164"/>
        <v>2.3364019202246511</v>
      </c>
      <c r="AL724" s="76">
        <f t="shared" si="165"/>
        <v>0</v>
      </c>
      <c r="AM724" s="76">
        <f t="shared" si="156"/>
        <v>0</v>
      </c>
      <c r="AN724" s="76">
        <f>MAX(0,O724*Escenarios!$E$13/Escenarios!$E$16-AM724)</f>
        <v>0.54114194732512877</v>
      </c>
      <c r="AO724" s="76">
        <f>AM724+AN724-O724*Escenarios!$E$13/Escenarios!$E$16</f>
        <v>0</v>
      </c>
      <c r="AP724" s="76">
        <f t="shared" si="154"/>
        <v>0.10693231316503345</v>
      </c>
      <c r="AQ724" s="76">
        <f t="shared" si="157"/>
        <v>0</v>
      </c>
      <c r="AR724" s="76">
        <f t="shared" si="158"/>
        <v>0.64807426049016226</v>
      </c>
      <c r="AS724" s="76">
        <f t="shared" si="159"/>
        <v>0</v>
      </c>
      <c r="AT724" s="76">
        <f t="shared" si="160"/>
        <v>4.6220648636252394E-2</v>
      </c>
      <c r="AU724" s="76">
        <f t="shared" si="161"/>
        <v>48.75</v>
      </c>
      <c r="AV724" s="76">
        <f>MAX(0,(AU724-Constantes!$D$13)*(1-EXP(-Constantes!$D$24)))</f>
        <v>0</v>
      </c>
      <c r="AW724" s="170">
        <f>AW723+(Entradas!$E$112*AT724-AX723)/(800*Entradas!$D$25)</f>
        <v>0</v>
      </c>
      <c r="AX724" s="170">
        <f>8000*Entradas!$D$26*AW724/Constantes!$E$45</f>
        <v>0</v>
      </c>
      <c r="AY724" s="170">
        <f>IF(Escenarios!$E$17&gt;0,10*Escenarios!$E$16*AL724,0)</f>
        <v>0</v>
      </c>
      <c r="AZ724" s="170">
        <f>IF(Escenarios!$E$17&gt;0,10*Escenarios!$E$16*AX724,0)</f>
        <v>0</v>
      </c>
      <c r="BA724" s="170">
        <f>IF(Escenarios!$E$17&gt;0,0.001*Observaciones!$F723*Escenarios!$E$17,0)</f>
        <v>344</v>
      </c>
      <c r="BB724" s="170">
        <f>IF(Escenarios!$E$17&gt;0,Observaciones!$K723,0)</f>
        <v>0</v>
      </c>
      <c r="BC724" s="170">
        <f>IF(Escenarios!$E$17&gt;0,MIN(0.0005*ETo!$M723*Escenarios!$E$17*(BG723/Constantes!$E$40)^(2/3),BG723+AY724+AZ724+BA724+BB724),0)</f>
        <v>13.869100635365184</v>
      </c>
      <c r="BD724" s="170">
        <f>IF(Escenarios!$E$17&gt;0,MIN(Constantes!$E$39*(BG723/Constantes!$E$40)^(2/3),BG723+AY724+AZ724+BA724+BB724-BC724),0)</f>
        <v>22.721066669485989</v>
      </c>
      <c r="BE724" s="170">
        <f>IF(Escenarios!$E$17&gt;0,MIN(Entradas!$E$113,BG723+AY724+AZ724+BA724+BB724-BC724-BD724),0)</f>
        <v>1</v>
      </c>
      <c r="BF724" s="170">
        <f>IF(Escenarios!$E$17&gt;0,MAX(0,BG723+AY724+AZ724+BA724+BB724-BC724-BD724-BE724-Constantes!$E$40),0)</f>
        <v>0</v>
      </c>
      <c r="BG724" s="170">
        <f t="shared" si="166"/>
        <v>1315.4694697389587</v>
      </c>
      <c r="BH724" s="170">
        <f>(Escenarios!$E$16*AK724+0.1*BC724)/(Escenarios!$E$19)</f>
        <v>2.3233626592051557</v>
      </c>
      <c r="BI724" s="170">
        <f>IF(Escenarios!$E$17&gt;0,BF724/10/Escenarios!$E$19,AL724)</f>
        <v>0</v>
      </c>
      <c r="BJ724" s="170">
        <f>(Escenarios!$E$16*AT724+0.1*BD724)/(Escenarios!$E$19)</f>
        <v>5.4870114388935305E-2</v>
      </c>
      <c r="BK724" s="76">
        <f>BK723+(0.1*BD724)/(Escenarios!$E$19)-BL723</f>
        <v>49.626296359203842</v>
      </c>
      <c r="BL724" s="76">
        <f>MAX(0,(BK724-Constantes!$D$13)*(1-EXP(-Constantes!$D$23)))</f>
        <v>8.6343567447670876E-3</v>
      </c>
      <c r="BM724" s="76">
        <f t="shared" si="162"/>
        <v>0.11556666990980054</v>
      </c>
      <c r="BN724" s="76">
        <f t="shared" si="167"/>
        <v>0.65670861723492935</v>
      </c>
      <c r="BO724" s="76">
        <f>0.0526*BI724*Observaciones!$F723^1.218</f>
        <v>0</v>
      </c>
      <c r="BP724" s="76">
        <f>BO724*Constantes!$E$51</f>
        <v>0</v>
      </c>
      <c r="BQ724" s="76">
        <f t="shared" si="163"/>
        <v>0</v>
      </c>
      <c r="BR724" s="40"/>
    </row>
    <row r="725" spans="1:70">
      <c r="A725" s="147"/>
      <c r="B725" s="39"/>
      <c r="C725" s="75">
        <v>719</v>
      </c>
      <c r="D725" s="146">
        <f>ETo!$I724*((1-Constantes!$E$19)*ETo!$K724+ETo!$L724)</f>
        <v>4.38128545048533</v>
      </c>
      <c r="E725" s="76">
        <f>MIN(D725*Constantes!$E$17,0.8*(N724+Observaciones!$F724-F725-M725-Constantes!$D$14))</f>
        <v>2.1420644037383085</v>
      </c>
      <c r="F725" s="76">
        <f>IF(Observaciones!$F724&gt;0.05*Constantes!$E$18,((Observaciones!$F724-0.05*Constantes!$E$18)^2)/(Observaciones!$F724+0.95*Constantes!$E$18),0)</f>
        <v>0</v>
      </c>
      <c r="G725" s="76">
        <f>IF(Escenarios!$E$11&gt;0,(F725*Escenarios!$E$16*10000)/1000,0)</f>
        <v>0</v>
      </c>
      <c r="H725" s="76">
        <f>IF(Escenarios!$E$11&gt;0,(Observaciones!$F724*Constantes!$E$29)/1000,0)</f>
        <v>0</v>
      </c>
      <c r="I725" s="76">
        <f>IF(Escenarios!$E$11&gt;0,(D725*Constantes!$E$29)/1000,0)</f>
        <v>43.812854504853298</v>
      </c>
      <c r="J725" s="76">
        <f>IF(Escenarios!$E$11&gt;0,MAX(0,G725+H725-I725),0)</f>
        <v>0</v>
      </c>
      <c r="K725" s="76">
        <f>IF(Escenarios!$E$11&gt;0,IF(J725&gt;Constantes!$E$30,1000*((J725-Constantes!$E$30)/(Escenarios!$E$16*10000)),0),F725)</f>
        <v>0</v>
      </c>
      <c r="L725" s="76">
        <f>IF(Escenarios!$E$11&gt;0,I725*1000/Escenarios!$E$16/10000+E725,E725)</f>
        <v>2.1595895455402498</v>
      </c>
      <c r="M725" s="76">
        <f>MAX(0,N724+Observaciones!$F724-K725-Constantes!$D$13)</f>
        <v>0</v>
      </c>
      <c r="N725" s="76">
        <f>N724+Observaciones!$F724-K725-L725-M725-O724</f>
        <v>26.52796494393694</v>
      </c>
      <c r="O725" s="76">
        <f>MAX(0,(N725-Constantes!$D$14)*(1-EXP(-Constantes!$D$22)))</f>
        <v>0.52042357254800764</v>
      </c>
      <c r="P725" s="170">
        <f>P724+(Entradas!$E$83*M725-Q724)/(800*Entradas!$D$25)</f>
        <v>0</v>
      </c>
      <c r="Q725" s="170">
        <f>8000*Entradas!$D$26*P725/Constantes!$E$45</f>
        <v>0</v>
      </c>
      <c r="R725" s="170">
        <f>IF(Escenarios!$E$14&gt;0,K725*Escenarios!$E$13/Escenarios!$E$14,0)</f>
        <v>0</v>
      </c>
      <c r="S725" s="170">
        <f>IF(Escenarios!$E$14&gt;0,Q725*Escenarios!$E$13/Escenarios!$E$14,0)</f>
        <v>0</v>
      </c>
      <c r="T725" s="170">
        <f>IF(Escenarios!$E$14&gt;0,Observaciones!$I724,0)</f>
        <v>0</v>
      </c>
      <c r="U725" s="170">
        <f>IF(Escenarios!$E$14&gt;0,MAX(0,Constantes!$E$36/((Z724+R725+S725+T725+Observaciones!$F724)^2)+Entradas!$E$77),0)</f>
        <v>0</v>
      </c>
      <c r="V725" s="146">
        <f>IF(ETo!D724&gt;0,ETo!I724*((1-Entradas!$E$81)*ETo!K724+ETo!L724),0)</f>
        <v>4.0041017103086167</v>
      </c>
      <c r="W725" s="170">
        <f>IF(Escenarios!$E$14&gt;0,MIN(V725*1,0.8*(Z724+R725+S725+T725+Observaciones!$F724-U725-Constantes!$E$35)),0)</f>
        <v>4.0041017103086167</v>
      </c>
      <c r="X725" s="170">
        <f>IF(Escenarios!$E$14&gt;0,Observaciones!$J724,0)</f>
        <v>0</v>
      </c>
      <c r="Y725" s="170">
        <f>IF(Escenarios!$E$14&gt;0,MAX(0,Z724+R725+S725+T725+Observaciones!$F724-U725-W725-X725-Constantes!$E$33),0)</f>
        <v>0</v>
      </c>
      <c r="Z725" s="170">
        <f>Z724+R725+S725+T725+Observaciones!$F724-U725-W725-Y725</f>
        <v>54.342823873064006</v>
      </c>
      <c r="AA725" s="170">
        <f>IF(Escenarios!$E$14&gt;0,(Escenarios!$E$13*L725+Escenarios!$E$14*W725)/(Escenarios!$E$16),L725)</f>
        <v>2.3809310053124535</v>
      </c>
      <c r="AB725" s="170">
        <f>IF(Escenarios!$E$14&gt;0,(Escenarios!$E$14*Y725)/(Escenarios!$E$16),K725)</f>
        <v>0</v>
      </c>
      <c r="AC725" s="170">
        <f>IF(Escenarios!$E$14&gt;0,(Escenarios!$E$13*M725+Escenarios!$E$14*U725)/(Escenarios!$E$16),M725)</f>
        <v>0</v>
      </c>
      <c r="AD725" s="76">
        <f t="shared" si="155"/>
        <v>59.495572335146385</v>
      </c>
      <c r="AE725" s="76">
        <f>MAX(0,(AD725-Constantes!$D$13)*(1-EXP(-Constantes!$D$23)))</f>
        <v>0.1058786836141257</v>
      </c>
      <c r="AF725" s="76">
        <f>AB725+O725*Escenarios!$E$13/Escenarios!$E$16+AE725</f>
        <v>0.5638514274563724</v>
      </c>
      <c r="AG725" s="76">
        <f>IF(Entradas!$E$91&gt;0,IF(AF725-Escenarios!$E$38&lt;=0,0,IF(AF725-Escenarios!$E$38&gt;Escenarios!$E$37,Escenarios!$E$37,AF725-Escenarios!$E$38)),0)</f>
        <v>0</v>
      </c>
      <c r="AH725" s="76">
        <f>AG725*Entradas!$E$99</f>
        <v>0</v>
      </c>
      <c r="AI725" s="76">
        <f>IF(Entradas!$E$91&gt;0,D725*Entradas!$D$23/Escenarios!$E$16,0)</f>
        <v>0</v>
      </c>
      <c r="AJ725" s="76">
        <f>IF(Entradas!$E$91&gt;0,Entradas!$D$24*Entradas!$D$22/Escenarios!$E$16,0)</f>
        <v>0</v>
      </c>
      <c r="AK725" s="76">
        <f t="shared" si="164"/>
        <v>2.3809310053124535</v>
      </c>
      <c r="AL725" s="76">
        <f t="shared" si="165"/>
        <v>0</v>
      </c>
      <c r="AM725" s="76">
        <f t="shared" si="156"/>
        <v>0</v>
      </c>
      <c r="AN725" s="76">
        <f>MAX(0,O725*Escenarios!$E$13/Escenarios!$E$16-AM725)</f>
        <v>0.45797274384224668</v>
      </c>
      <c r="AO725" s="76">
        <f>AM725+AN725-O725*Escenarios!$E$13/Escenarios!$E$16</f>
        <v>0</v>
      </c>
      <c r="AP725" s="76">
        <f t="shared" si="154"/>
        <v>0.1058786836141257</v>
      </c>
      <c r="AQ725" s="76">
        <f t="shared" si="157"/>
        <v>0</v>
      </c>
      <c r="AR725" s="76">
        <f t="shared" si="158"/>
        <v>0.5638514274563724</v>
      </c>
      <c r="AS725" s="76">
        <f t="shared" si="159"/>
        <v>0</v>
      </c>
      <c r="AT725" s="76">
        <f t="shared" si="160"/>
        <v>0</v>
      </c>
      <c r="AU725" s="76">
        <f t="shared" si="161"/>
        <v>48.75</v>
      </c>
      <c r="AV725" s="76">
        <f>MAX(0,(AU725-Constantes!$D$13)*(1-EXP(-Constantes!$D$24)))</f>
        <v>0</v>
      </c>
      <c r="AW725" s="170">
        <f>AW724+(Entradas!$E$112*AT725-AX724)/(800*Entradas!$D$25)</f>
        <v>0</v>
      </c>
      <c r="AX725" s="170">
        <f>8000*Entradas!$D$26*AW725/Constantes!$E$45</f>
        <v>0</v>
      </c>
      <c r="AY725" s="170">
        <f>IF(Escenarios!$E$17&gt;0,10*Escenarios!$E$16*AL725,0)</f>
        <v>0</v>
      </c>
      <c r="AZ725" s="170">
        <f>IF(Escenarios!$E$17&gt;0,10*Escenarios!$E$16*AX725,0)</f>
        <v>0</v>
      </c>
      <c r="BA725" s="170">
        <f>IF(Escenarios!$E$17&gt;0,0.001*Observaciones!$F724*Escenarios!$E$17,0)</f>
        <v>0</v>
      </c>
      <c r="BB725" s="170">
        <f>IF(Escenarios!$E$17&gt;0,Observaciones!$K724,0)</f>
        <v>0</v>
      </c>
      <c r="BC725" s="170">
        <f>IF(Escenarios!$E$17&gt;0,MIN(0.0005*ETo!$M724*Escenarios!$E$17*(BG724/Constantes!$E$40)^(2/3),BG724+AY725+AZ725+BA725+BB725),0)</f>
        <v>16.861254795951265</v>
      </c>
      <c r="BD725" s="170">
        <f>IF(Escenarios!$E$17&gt;0,MIN(Constantes!$E$39*(BG724/Constantes!$E$40)^(2/3),BG724+AY725+AZ725+BA725+BB725-BC725),0)</f>
        <v>27.114691971917392</v>
      </c>
      <c r="BE725" s="170">
        <f>IF(Escenarios!$E$17&gt;0,MIN(Entradas!$E$113,BG724+AY725+AZ725+BA725+BB725-BC725-BD725),0)</f>
        <v>1</v>
      </c>
      <c r="BF725" s="170">
        <f>IF(Escenarios!$E$17&gt;0,MAX(0,BG724+AY725+AZ725+BA725+BB725-BC725-BD725-BE725-Constantes!$E$40),0)</f>
        <v>0</v>
      </c>
      <c r="BG725" s="170">
        <f t="shared" si="166"/>
        <v>1270.49352297109</v>
      </c>
      <c r="BH725" s="170">
        <f>(Escenarios!$E$16*AK725+0.1*BC725)/(Escenarios!$E$19)</f>
        <v>2.3687257016178913</v>
      </c>
      <c r="BI725" s="170">
        <f>IF(Escenarios!$E$17&gt;0,BF725/10/Escenarios!$E$19,AL725)</f>
        <v>0</v>
      </c>
      <c r="BJ725" s="170">
        <f>(Escenarios!$E$16*AT725+0.1*BD725)/(Escenarios!$E$19)</f>
        <v>1.0759798401554522E-2</v>
      </c>
      <c r="BK725" s="76">
        <f>BK724+(0.1*BD725)/(Escenarios!$E$19)-BL724</f>
        <v>49.628421800860629</v>
      </c>
      <c r="BL725" s="76">
        <f>MAX(0,(BK725-Constantes!$D$13)*(1-EXP(-Constantes!$D$23)))</f>
        <v>8.6552992276521714E-3</v>
      </c>
      <c r="BM725" s="76">
        <f t="shared" si="162"/>
        <v>0.11453398284177786</v>
      </c>
      <c r="BN725" s="76">
        <f t="shared" si="167"/>
        <v>0.57250672668402458</v>
      </c>
      <c r="BO725" s="76">
        <f>0.0526*BI725*Observaciones!$F724^1.218</f>
        <v>0</v>
      </c>
      <c r="BP725" s="76">
        <f>BO725*Constantes!$E$51</f>
        <v>0</v>
      </c>
      <c r="BQ725" s="76">
        <f t="shared" si="163"/>
        <v>0</v>
      </c>
      <c r="BR725" s="40"/>
    </row>
    <row r="726" spans="1:70">
      <c r="A726" s="147"/>
      <c r="B726" s="39"/>
      <c r="C726" s="75">
        <v>720</v>
      </c>
      <c r="D726" s="146">
        <f>ETo!$I725*((1-Constantes!$E$19)*ETo!$K725+ETo!$L725)</f>
        <v>4.3812776248234204</v>
      </c>
      <c r="E726" s="76">
        <f>MIN(D726*Constantes!$E$17,0.8*(N725+Observaciones!$F725-F726-M726-Constantes!$D$14))</f>
        <v>2.1420605776758435</v>
      </c>
      <c r="F726" s="76">
        <f>IF(Observaciones!$F725&gt;0.05*Constantes!$E$18,((Observaciones!$F725-0.05*Constantes!$E$18)^2)/(Observaciones!$F725+0.95*Constantes!$E$18),0)</f>
        <v>0</v>
      </c>
      <c r="G726" s="76">
        <f>IF(Escenarios!$E$11&gt;0,(F726*Escenarios!$E$16*10000)/1000,0)</f>
        <v>0</v>
      </c>
      <c r="H726" s="76">
        <f>IF(Escenarios!$E$11&gt;0,(Observaciones!$F725*Constantes!$E$29)/1000,0)</f>
        <v>0</v>
      </c>
      <c r="I726" s="76">
        <f>IF(Escenarios!$E$11&gt;0,(D726*Constantes!$E$29)/1000,0)</f>
        <v>43.812776248234208</v>
      </c>
      <c r="J726" s="76">
        <f>IF(Escenarios!$E$11&gt;0,MAX(0,G726+H726-I726),0)</f>
        <v>0</v>
      </c>
      <c r="K726" s="76">
        <f>IF(Escenarios!$E$11&gt;0,IF(J726&gt;Constantes!$E$30,1000*((J726-Constantes!$E$30)/(Escenarios!$E$16*10000)),0),F726)</f>
        <v>0</v>
      </c>
      <c r="L726" s="76">
        <f>IF(Escenarios!$E$11&gt;0,I726*1000/Escenarios!$E$16/10000+E726,E726)</f>
        <v>2.1595856881751372</v>
      </c>
      <c r="M726" s="76">
        <f>MAX(0,N725+Observaciones!$F725-K726-Constantes!$D$13)</f>
        <v>0</v>
      </c>
      <c r="N726" s="76">
        <f>N725+Observaciones!$F725-K726-L726-M726-O725</f>
        <v>23.847955683213794</v>
      </c>
      <c r="O726" s="76">
        <f>MAX(0,(N726-Constantes!$D$14)*(1-EXP(-Constantes!$D$22)))</f>
        <v>0.42913261861236668</v>
      </c>
      <c r="P726" s="170">
        <f>P725+(Entradas!$E$83*M726-Q725)/(800*Entradas!$D$25)</f>
        <v>0</v>
      </c>
      <c r="Q726" s="170">
        <f>8000*Entradas!$D$26*P726/Constantes!$E$45</f>
        <v>0</v>
      </c>
      <c r="R726" s="170">
        <f>IF(Escenarios!$E$14&gt;0,K726*Escenarios!$E$13/Escenarios!$E$14,0)</f>
        <v>0</v>
      </c>
      <c r="S726" s="170">
        <f>IF(Escenarios!$E$14&gt;0,Q726*Escenarios!$E$13/Escenarios!$E$14,0)</f>
        <v>0</v>
      </c>
      <c r="T726" s="170">
        <f>IF(Escenarios!$E$14&gt;0,Observaciones!$I725,0)</f>
        <v>0</v>
      </c>
      <c r="U726" s="170">
        <f>IF(Escenarios!$E$14&gt;0,MAX(0,Constantes!$E$36/((Z725+R726+S726+T726+Observaciones!$F725)^2)+Entradas!$E$77),0)</f>
        <v>0</v>
      </c>
      <c r="V726" s="146">
        <f>IF(ETo!D725&gt;0,ETo!I725*((1-Entradas!$E$81)*ETo!K725+ETo!L725),0)</f>
        <v>4.0040943829098259</v>
      </c>
      <c r="W726" s="170">
        <f>IF(Escenarios!$E$14&gt;0,MIN(V726*1,0.8*(Z725+R726+S726+T726+Observaciones!$F725-U726-Constantes!$E$35)),0)</f>
        <v>4.0040943829098259</v>
      </c>
      <c r="X726" s="170">
        <f>IF(Escenarios!$E$14&gt;0,Observaciones!$J725,0)</f>
        <v>0</v>
      </c>
      <c r="Y726" s="170">
        <f>IF(Escenarios!$E$14&gt;0,MAX(0,Z725+R726+S726+T726+Observaciones!$F725-U726-W726-X726-Constantes!$E$33),0)</f>
        <v>0</v>
      </c>
      <c r="Z726" s="170">
        <f>Z725+R726+S726+T726+Observaciones!$F725-U726-W726-Y726</f>
        <v>50.338729490154179</v>
      </c>
      <c r="AA726" s="170">
        <f>IF(Escenarios!$E$14&gt;0,(Escenarios!$E$13*L726+Escenarios!$E$14*W726)/(Escenarios!$E$16),L726)</f>
        <v>2.3809267315432998</v>
      </c>
      <c r="AB726" s="170">
        <f>IF(Escenarios!$E$14&gt;0,(Escenarios!$E$14*Y726)/(Escenarios!$E$16),K726)</f>
        <v>0</v>
      </c>
      <c r="AC726" s="170">
        <f>IF(Escenarios!$E$14&gt;0,(Escenarios!$E$13*M726+Escenarios!$E$14*U726)/(Escenarios!$E$16),M726)</f>
        <v>0</v>
      </c>
      <c r="AD726" s="76">
        <f t="shared" si="155"/>
        <v>59.389693651532262</v>
      </c>
      <c r="AE726" s="76">
        <f>MAX(0,(AD726-Constantes!$D$13)*(1-EXP(-Constantes!$D$23)))</f>
        <v>0.10483543572613807</v>
      </c>
      <c r="AF726" s="76">
        <f>AB726+O726*Escenarios!$E$13/Escenarios!$E$16+AE726</f>
        <v>0.48247214010502071</v>
      </c>
      <c r="AG726" s="76">
        <f>IF(Entradas!$E$91&gt;0,IF(AF726-Escenarios!$E$38&lt;=0,0,IF(AF726-Escenarios!$E$38&gt;Escenarios!$E$37,Escenarios!$E$37,AF726-Escenarios!$E$38)),0)</f>
        <v>0</v>
      </c>
      <c r="AH726" s="76">
        <f>AG726*Entradas!$E$99</f>
        <v>0</v>
      </c>
      <c r="AI726" s="76">
        <f>IF(Entradas!$E$91&gt;0,D726*Entradas!$D$23/Escenarios!$E$16,0)</f>
        <v>0</v>
      </c>
      <c r="AJ726" s="76">
        <f>IF(Entradas!$E$91&gt;0,Entradas!$D$24*Entradas!$D$22/Escenarios!$E$16,0)</f>
        <v>0</v>
      </c>
      <c r="AK726" s="76">
        <f t="shared" si="164"/>
        <v>2.3809267315432998</v>
      </c>
      <c r="AL726" s="76">
        <f t="shared" si="165"/>
        <v>0</v>
      </c>
      <c r="AM726" s="76">
        <f t="shared" si="156"/>
        <v>0</v>
      </c>
      <c r="AN726" s="76">
        <f>MAX(0,O726*Escenarios!$E$13/Escenarios!$E$16-AM726)</f>
        <v>0.37763670437888264</v>
      </c>
      <c r="AO726" s="76">
        <f>AM726+AN726-O726*Escenarios!$E$13/Escenarios!$E$16</f>
        <v>0</v>
      </c>
      <c r="AP726" s="76">
        <f t="shared" si="154"/>
        <v>0.10483543572613807</v>
      </c>
      <c r="AQ726" s="76">
        <f t="shared" si="157"/>
        <v>0</v>
      </c>
      <c r="AR726" s="76">
        <f t="shared" si="158"/>
        <v>0.48247214010502071</v>
      </c>
      <c r="AS726" s="76">
        <f t="shared" si="159"/>
        <v>0</v>
      </c>
      <c r="AT726" s="76">
        <f t="shared" si="160"/>
        <v>0</v>
      </c>
      <c r="AU726" s="76">
        <f t="shared" si="161"/>
        <v>48.75</v>
      </c>
      <c r="AV726" s="76">
        <f>MAX(0,(AU726-Constantes!$D$13)*(1-EXP(-Constantes!$D$24)))</f>
        <v>0</v>
      </c>
      <c r="AW726" s="170">
        <f>AW725+(Entradas!$E$112*AT726-AX725)/(800*Entradas!$D$25)</f>
        <v>0</v>
      </c>
      <c r="AX726" s="170">
        <f>8000*Entradas!$D$26*AW726/Constantes!$E$45</f>
        <v>0</v>
      </c>
      <c r="AY726" s="170">
        <f>IF(Escenarios!$E$17&gt;0,10*Escenarios!$E$16*AL726,0)</f>
        <v>0</v>
      </c>
      <c r="AZ726" s="170">
        <f>IF(Escenarios!$E$17&gt;0,10*Escenarios!$E$16*AX726,0)</f>
        <v>0</v>
      </c>
      <c r="BA726" s="170">
        <f>IF(Escenarios!$E$17&gt;0,0.001*Observaciones!$F725*Escenarios!$E$17,0)</f>
        <v>0</v>
      </c>
      <c r="BB726" s="170">
        <f>IF(Escenarios!$E$17&gt;0,Observaciones!$K725,0)</f>
        <v>0</v>
      </c>
      <c r="BC726" s="170">
        <f>IF(Escenarios!$E$17&gt;0,MIN(0.0005*ETo!$M725*Escenarios!$E$17*(BG725/Constantes!$E$40)^(2/3),BG725+AY726+AZ726+BA726+BB726),0)</f>
        <v>16.47467772361944</v>
      </c>
      <c r="BD726" s="170">
        <f>IF(Escenarios!$E$17&gt;0,MIN(Constantes!$E$39*(BG725/Constantes!$E$40)^(2/3),BG725+AY726+AZ726+BA726+BB726-BC726),0)</f>
        <v>26.493080753298518</v>
      </c>
      <c r="BE726" s="170">
        <f>IF(Escenarios!$E$17&gt;0,MIN(Entradas!$E$113,BG725+AY726+AZ726+BA726+BB726-BC726-BD726),0)</f>
        <v>1</v>
      </c>
      <c r="BF726" s="170">
        <f>IF(Escenarios!$E$17&gt;0,MAX(0,BG725+AY726+AZ726+BA726+BB726-BC726-BD726-BE726-Constantes!$E$40),0)</f>
        <v>0</v>
      </c>
      <c r="BG726" s="170">
        <f t="shared" si="166"/>
        <v>1226.5257644941721</v>
      </c>
      <c r="BH726" s="170">
        <f>(Escenarios!$E$16*AK726+0.1*BC726)/(Escenarios!$E$19)</f>
        <v>2.368568058167408</v>
      </c>
      <c r="BI726" s="170">
        <f>IF(Escenarios!$E$17&gt;0,BF726/10/Escenarios!$E$19,AL726)</f>
        <v>0</v>
      </c>
      <c r="BJ726" s="170">
        <f>(Escenarios!$E$16*AT726+0.1*BD726)/(Escenarios!$E$19)</f>
        <v>1.0513127283054969E-2</v>
      </c>
      <c r="BK726" s="76">
        <f>BK725+(0.1*BD726)/(Escenarios!$E$19)-BL725</f>
        <v>49.630279628916028</v>
      </c>
      <c r="BL726" s="76">
        <f>MAX(0,(BK726-Constantes!$D$13)*(1-EXP(-Constantes!$D$23)))</f>
        <v>8.673604849982192E-3</v>
      </c>
      <c r="BM726" s="76">
        <f t="shared" si="162"/>
        <v>0.11350904057612027</v>
      </c>
      <c r="BN726" s="76">
        <f t="shared" si="167"/>
        <v>0.49114574495500291</v>
      </c>
      <c r="BO726" s="76">
        <f>0.0526*BI726*Observaciones!$F725^1.218</f>
        <v>0</v>
      </c>
      <c r="BP726" s="76">
        <f>BO726*Constantes!$E$51</f>
        <v>0</v>
      </c>
      <c r="BQ726" s="76">
        <f t="shared" si="163"/>
        <v>0</v>
      </c>
      <c r="BR726" s="40"/>
    </row>
    <row r="727" spans="1:70">
      <c r="A727" s="147"/>
      <c r="B727" s="39"/>
      <c r="C727" s="75">
        <v>721</v>
      </c>
      <c r="D727" s="146">
        <f>ETo!$I726*((1-Constantes!$E$19)*ETo!$K726+ETo!$L726)</f>
        <v>4.3994403772959858</v>
      </c>
      <c r="E727" s="76">
        <f>MIN(D727*Constantes!$E$17,0.8*(N726+Observaciones!$F726-F727-M727-Constantes!$D$14))</f>
        <v>2.150940570998598</v>
      </c>
      <c r="F727" s="76">
        <f>IF(Observaciones!$F726&gt;0.05*Constantes!$E$18,((Observaciones!$F726-0.05*Constantes!$E$18)^2)/(Observaciones!$F726+0.95*Constantes!$E$18),0)</f>
        <v>0.56044562837312639</v>
      </c>
      <c r="G727" s="76">
        <f>IF(Escenarios!$E$11&gt;0,(F727*Escenarios!$E$16*10000)/1000,0)</f>
        <v>1401.114070932816</v>
      </c>
      <c r="H727" s="76">
        <f>IF(Escenarios!$E$11&gt;0,(Observaciones!$F726*Constantes!$E$29)/1000,0)</f>
        <v>144</v>
      </c>
      <c r="I727" s="76">
        <f>IF(Escenarios!$E$11&gt;0,(D727*Constantes!$E$29)/1000,0)</f>
        <v>43.994403772959856</v>
      </c>
      <c r="J727" s="76">
        <f>IF(Escenarios!$E$11&gt;0,MAX(0,G727+H727-I727),0)</f>
        <v>1501.1196671598561</v>
      </c>
      <c r="K727" s="76">
        <f>IF(Escenarios!$E$11&gt;0,IF(J727&gt;Constantes!$E$30,1000*((J727-Constantes!$E$30)/(Escenarios!$E$16*10000)),0),F727)</f>
        <v>8.5741984511001276E-2</v>
      </c>
      <c r="L727" s="76">
        <f>IF(Escenarios!$E$11&gt;0,I727*1000/Escenarios!$E$16/10000+E727,E727)</f>
        <v>2.1685383325077821</v>
      </c>
      <c r="M727" s="76">
        <f>MAX(0,N726+Observaciones!$F726-K727-Constantes!$D$13)</f>
        <v>0</v>
      </c>
      <c r="N727" s="76">
        <f>N726+Observaciones!$F726-K727-L727-M727-O726</f>
        <v>35.564542747582649</v>
      </c>
      <c r="O727" s="76">
        <f>MAX(0,(N727-Constantes!$D$14)*(1-EXP(-Constantes!$D$22)))</f>
        <v>0.82824258649643634</v>
      </c>
      <c r="P727" s="170">
        <f>P726+(Entradas!$E$83*M727-Q726)/(800*Entradas!$D$25)</f>
        <v>0</v>
      </c>
      <c r="Q727" s="170">
        <f>8000*Entradas!$D$26*P727/Constantes!$E$45</f>
        <v>0</v>
      </c>
      <c r="R727" s="170">
        <f>IF(Escenarios!$E$14&gt;0,K727*Escenarios!$E$13/Escenarios!$E$14,0)</f>
        <v>0.62877455308067609</v>
      </c>
      <c r="S727" s="170">
        <f>IF(Escenarios!$E$14&gt;0,Q727*Escenarios!$E$13/Escenarios!$E$14,0)</f>
        <v>0</v>
      </c>
      <c r="T727" s="170">
        <f>IF(Escenarios!$E$14&gt;0,Observaciones!$I726,0)</f>
        <v>0</v>
      </c>
      <c r="U727" s="170">
        <f>IF(Escenarios!$E$14&gt;0,MAX(0,Constantes!$E$36/((Z726+R727+S727+T727+Observaciones!$F726)^2)+Entradas!$E$77),0)</f>
        <v>0.59724670195062091</v>
      </c>
      <c r="V727" s="146">
        <f>IF(ETo!D726&gt;0,ETo!I726*((1-Entradas!$E$81)*ETo!K726+ETo!L726),0)</f>
        <v>4.0208961100274845</v>
      </c>
      <c r="W727" s="170">
        <f>IF(Escenarios!$E$14&gt;0,MIN(V727*1,0.8*(Z726+R727+S727+T727+Observaciones!$F726-U727-Constantes!$E$35)),0)</f>
        <v>4.0208961100274845</v>
      </c>
      <c r="X727" s="170">
        <f>IF(Escenarios!$E$14&gt;0,Observaciones!$J726,0)</f>
        <v>0</v>
      </c>
      <c r="Y727" s="170">
        <f>IF(Escenarios!$E$14&gt;0,MAX(0,Z726+R727+S727+T727+Observaciones!$F726-U727-W727-X727-Constantes!$E$33),0)</f>
        <v>0</v>
      </c>
      <c r="Z727" s="170">
        <f>Z726+R727+S727+T727+Observaciones!$F726-U727-W727-Y727</f>
        <v>60.749361231256749</v>
      </c>
      <c r="AA727" s="170">
        <f>IF(Escenarios!$E$14&gt;0,(Escenarios!$E$13*L727+Escenarios!$E$14*W727)/(Escenarios!$E$16),L727)</f>
        <v>2.3908212658101462</v>
      </c>
      <c r="AB727" s="170">
        <f>IF(Escenarios!$E$14&gt;0,(Escenarios!$E$14*Y727)/(Escenarios!$E$16),K727)</f>
        <v>0</v>
      </c>
      <c r="AC727" s="170">
        <f>IF(Escenarios!$E$14&gt;0,(Escenarios!$E$13*M727+Escenarios!$E$14*U727)/(Escenarios!$E$16),M727)</f>
        <v>7.1669604234074508E-2</v>
      </c>
      <c r="AD727" s="76">
        <f t="shared" si="155"/>
        <v>59.356527820040199</v>
      </c>
      <c r="AE727" s="76">
        <f>MAX(0,(AD727-Constantes!$D$13)*(1-EXP(-Constantes!$D$23)))</f>
        <v>0.10450864488896115</v>
      </c>
      <c r="AF727" s="76">
        <f>AB727+O727*Escenarios!$E$13/Escenarios!$E$16+AE727</f>
        <v>0.83336212100582507</v>
      </c>
      <c r="AG727" s="76">
        <f>IF(Entradas!$E$91&gt;0,IF(AF727-Escenarios!$E$38&lt;=0,0,IF(AF727-Escenarios!$E$38&gt;Escenarios!$E$37,Escenarios!$E$37,AF727-Escenarios!$E$38)),0)</f>
        <v>0</v>
      </c>
      <c r="AH727" s="76">
        <f>AG727*Entradas!$E$99</f>
        <v>0</v>
      </c>
      <c r="AI727" s="76">
        <f>IF(Entradas!$E$91&gt;0,D727*Entradas!$D$23/Escenarios!$E$16,0)</f>
        <v>0</v>
      </c>
      <c r="AJ727" s="76">
        <f>IF(Entradas!$E$91&gt;0,Entradas!$D$24*Entradas!$D$22/Escenarios!$E$16,0)</f>
        <v>0</v>
      </c>
      <c r="AK727" s="76">
        <f t="shared" si="164"/>
        <v>2.3908212658101462</v>
      </c>
      <c r="AL727" s="76">
        <f t="shared" si="165"/>
        <v>0</v>
      </c>
      <c r="AM727" s="76">
        <f t="shared" si="156"/>
        <v>0</v>
      </c>
      <c r="AN727" s="76">
        <f>MAX(0,O727*Escenarios!$E$13/Escenarios!$E$16-AM727)</f>
        <v>0.72885347611686391</v>
      </c>
      <c r="AO727" s="76">
        <f>AM727+AN727-O727*Escenarios!$E$13/Escenarios!$E$16</f>
        <v>0</v>
      </c>
      <c r="AP727" s="76">
        <f t="shared" si="154"/>
        <v>0.10450864488896115</v>
      </c>
      <c r="AQ727" s="76">
        <f t="shared" si="157"/>
        <v>0</v>
      </c>
      <c r="AR727" s="76">
        <f t="shared" si="158"/>
        <v>0.83336212100582507</v>
      </c>
      <c r="AS727" s="76">
        <f t="shared" si="159"/>
        <v>0</v>
      </c>
      <c r="AT727" s="76">
        <f t="shared" si="160"/>
        <v>7.1669604234074508E-2</v>
      </c>
      <c r="AU727" s="76">
        <f t="shared" si="161"/>
        <v>48.75</v>
      </c>
      <c r="AV727" s="76">
        <f>MAX(0,(AU727-Constantes!$D$13)*(1-EXP(-Constantes!$D$24)))</f>
        <v>0</v>
      </c>
      <c r="AW727" s="170">
        <f>AW726+(Entradas!$E$112*AT727-AX726)/(800*Entradas!$D$25)</f>
        <v>0</v>
      </c>
      <c r="AX727" s="170">
        <f>8000*Entradas!$D$26*AW727/Constantes!$E$45</f>
        <v>0</v>
      </c>
      <c r="AY727" s="170">
        <f>IF(Escenarios!$E$17&gt;0,10*Escenarios!$E$16*AL727,0)</f>
        <v>0</v>
      </c>
      <c r="AZ727" s="170">
        <f>IF(Escenarios!$E$17&gt;0,10*Escenarios!$E$16*AX727,0)</f>
        <v>0</v>
      </c>
      <c r="BA727" s="170">
        <f>IF(Escenarios!$E$17&gt;0,0.001*Observaciones!$F726*Escenarios!$E$17,0)</f>
        <v>288</v>
      </c>
      <c r="BB727" s="170">
        <f>IF(Escenarios!$E$17&gt;0,Observaciones!$K726,0)</f>
        <v>0</v>
      </c>
      <c r="BC727" s="170">
        <f>IF(Escenarios!$E$17&gt;0,MIN(0.0005*ETo!$M726*Escenarios!$E$17*(BG726/Constantes!$E$40)^(2/3),BG726+AY727+AZ727+BA727+BB727),0)</f>
        <v>16.158040296876305</v>
      </c>
      <c r="BD727" s="170">
        <f>IF(Escenarios!$E$17&gt;0,MIN(Constantes!$E$39*(BG726/Constantes!$E$40)^(2/3),BG726+AY727+AZ727+BA727+BB727-BC727),0)</f>
        <v>25.878272200001746</v>
      </c>
      <c r="BE727" s="170">
        <f>IF(Escenarios!$E$17&gt;0,MIN(Entradas!$E$113,BG726+AY727+AZ727+BA727+BB727-BC727-BD727),0)</f>
        <v>1</v>
      </c>
      <c r="BF727" s="170">
        <f>IF(Escenarios!$E$17&gt;0,MAX(0,BG726+AY727+AZ727+BA727+BB727-BC727-BD727-BE727-Constantes!$E$40),0)</f>
        <v>0</v>
      </c>
      <c r="BG727" s="170">
        <f t="shared" si="166"/>
        <v>1471.4894519972941</v>
      </c>
      <c r="BH727" s="170">
        <f>(Escenarios!$E$16*AK727+0.1*BC727)/(Escenarios!$E$19)</f>
        <v>2.3782584146120005</v>
      </c>
      <c r="BI727" s="170">
        <f>IF(Escenarios!$E$17&gt;0,BF727/10/Escenarios!$E$19,AL727)</f>
        <v>0</v>
      </c>
      <c r="BJ727" s="170">
        <f>(Escenarios!$E$16*AT727+0.1*BD727)/(Escenarios!$E$19)</f>
        <v>8.1369953486185725E-2</v>
      </c>
      <c r="BK727" s="76">
        <f>BK726+(0.1*BD727)/(Escenarios!$E$19)-BL726</f>
        <v>49.63187517970097</v>
      </c>
      <c r="BL727" s="76">
        <f>MAX(0,(BK727-Constantes!$D$13)*(1-EXP(-Constantes!$D$23)))</f>
        <v>8.6893261918968064E-3</v>
      </c>
      <c r="BM727" s="76">
        <f t="shared" si="162"/>
        <v>0.11319797108085795</v>
      </c>
      <c r="BN727" s="76">
        <f t="shared" si="167"/>
        <v>0.84205144719772185</v>
      </c>
      <c r="BO727" s="76">
        <f>0.0526*BI727*Observaciones!$F726^1.218</f>
        <v>0</v>
      </c>
      <c r="BP727" s="76">
        <f>BO727*Constantes!$E$51</f>
        <v>0</v>
      </c>
      <c r="BQ727" s="76">
        <f t="shared" si="163"/>
        <v>0</v>
      </c>
      <c r="BR727" s="40"/>
    </row>
    <row r="728" spans="1:70">
      <c r="A728" s="147"/>
      <c r="B728" s="39"/>
      <c r="C728" s="75">
        <v>722</v>
      </c>
      <c r="D728" s="146">
        <f>ETo!$I727*((1-Constantes!$E$19)*ETo!$K727+ETo!$L727)</f>
        <v>4.535654264902016</v>
      </c>
      <c r="E728" s="76">
        <f>MIN(D728*Constantes!$E$17,0.8*(N727+Observaciones!$F727-F728-M728-Constantes!$D$14))</f>
        <v>2.2175372178578816</v>
      </c>
      <c r="F728" s="76">
        <f>IF(Observaciones!$F727&gt;0.05*Constantes!$E$18,((Observaciones!$F727-0.05*Constantes!$E$18)^2)/(Observaciones!$F727+0.95*Constantes!$E$18),0)</f>
        <v>0</v>
      </c>
      <c r="G728" s="76">
        <f>IF(Escenarios!$E$11&gt;0,(F728*Escenarios!$E$16*10000)/1000,0)</f>
        <v>0</v>
      </c>
      <c r="H728" s="76">
        <f>IF(Escenarios!$E$11&gt;0,(Observaciones!$F727*Constantes!$E$29)/1000,0)</f>
        <v>22</v>
      </c>
      <c r="I728" s="76">
        <f>IF(Escenarios!$E$11&gt;0,(D728*Constantes!$E$29)/1000,0)</f>
        <v>45.356542649020156</v>
      </c>
      <c r="J728" s="76">
        <f>IF(Escenarios!$E$11&gt;0,MAX(0,G728+H728-I728),0)</f>
        <v>0</v>
      </c>
      <c r="K728" s="76">
        <f>IF(Escenarios!$E$11&gt;0,IF(J728&gt;Constantes!$E$30,1000*((J728-Constantes!$E$30)/(Escenarios!$E$16*10000)),0),F728)</f>
        <v>0</v>
      </c>
      <c r="L728" s="76">
        <f>IF(Escenarios!$E$11&gt;0,I728*1000/Escenarios!$E$16/10000+E728,E728)</f>
        <v>2.2356798349174896</v>
      </c>
      <c r="M728" s="76">
        <f>MAX(0,N727+Observaciones!$F727-K728-Constantes!$D$13)</f>
        <v>0</v>
      </c>
      <c r="N728" s="76">
        <f>N727+Observaciones!$F727-K728-L728-M728-O727</f>
        <v>34.700620326168725</v>
      </c>
      <c r="O728" s="76">
        <f>MAX(0,(N728-Constantes!$D$14)*(1-EXP(-Constantes!$D$22)))</f>
        <v>0.79881421729894142</v>
      </c>
      <c r="P728" s="170">
        <f>P727+(Entradas!$E$83*M728-Q727)/(800*Entradas!$D$25)</f>
        <v>0</v>
      </c>
      <c r="Q728" s="170">
        <f>8000*Entradas!$D$26*P728/Constantes!$E$45</f>
        <v>0</v>
      </c>
      <c r="R728" s="170">
        <f>IF(Escenarios!$E$14&gt;0,K728*Escenarios!$E$13/Escenarios!$E$14,0)</f>
        <v>0</v>
      </c>
      <c r="S728" s="170">
        <f>IF(Escenarios!$E$14&gt;0,Q728*Escenarios!$E$13/Escenarios!$E$14,0)</f>
        <v>0</v>
      </c>
      <c r="T728" s="170">
        <f>IF(Escenarios!$E$14&gt;0,Observaciones!$I727,0)</f>
        <v>0</v>
      </c>
      <c r="U728" s="170">
        <f>IF(Escenarios!$E$14&gt;0,MAX(0,Constantes!$E$36/((Z727+R728+S728+T728+Observaciones!$F727)^2)+Entradas!$E$77),0)</f>
        <v>0.40910190418807257</v>
      </c>
      <c r="V728" s="146">
        <f>IF(ETo!D727&gt;0,ETo!I727*((1-Entradas!$E$81)*ETo!K727+ETo!L727),0)</f>
        <v>4.1471370166821417</v>
      </c>
      <c r="W728" s="170">
        <f>IF(Escenarios!$E$14&gt;0,MIN(V728*1,0.8*(Z727+R728+S728+T728+Observaciones!$F727-U728-Constantes!$E$35)),0)</f>
        <v>4.1471370166821417</v>
      </c>
      <c r="X728" s="170">
        <f>IF(Escenarios!$E$14&gt;0,Observaciones!$J727,0)</f>
        <v>0</v>
      </c>
      <c r="Y728" s="170">
        <f>IF(Escenarios!$E$14&gt;0,MAX(0,Z727+R728+S728+T728+Observaciones!$F727-U728-W728-X728-Constantes!$E$33),0)</f>
        <v>0</v>
      </c>
      <c r="Z728" s="170">
        <f>Z727+R728+S728+T728+Observaciones!$F727-U728-W728-Y728</f>
        <v>58.393122310386538</v>
      </c>
      <c r="AA728" s="170">
        <f>IF(Escenarios!$E$14&gt;0,(Escenarios!$E$13*L728+Escenarios!$E$14*W728)/(Escenarios!$E$16),L728)</f>
        <v>2.4650546967292479</v>
      </c>
      <c r="AB728" s="170">
        <f>IF(Escenarios!$E$14&gt;0,(Escenarios!$E$14*Y728)/(Escenarios!$E$16),K728)</f>
        <v>0</v>
      </c>
      <c r="AC728" s="170">
        <f>IF(Escenarios!$E$14&gt;0,(Escenarios!$E$13*M728+Escenarios!$E$14*U728)/(Escenarios!$E$16),M728)</f>
        <v>4.9092228502568711E-2</v>
      </c>
      <c r="AD728" s="76">
        <f t="shared" si="155"/>
        <v>59.301111403653806</v>
      </c>
      <c r="AE728" s="76">
        <f>MAX(0,(AD728-Constantes!$D$13)*(1-EXP(-Constantes!$D$23)))</f>
        <v>0.10396261373914399</v>
      </c>
      <c r="AF728" s="76">
        <f>AB728+O728*Escenarios!$E$13/Escenarios!$E$16+AE728</f>
        <v>0.80691912496221241</v>
      </c>
      <c r="AG728" s="76">
        <f>IF(Entradas!$E$91&gt;0,IF(AF728-Escenarios!$E$38&lt;=0,0,IF(AF728-Escenarios!$E$38&gt;Escenarios!$E$37,Escenarios!$E$37,AF728-Escenarios!$E$38)),0)</f>
        <v>0</v>
      </c>
      <c r="AH728" s="76">
        <f>AG728*Entradas!$E$99</f>
        <v>0</v>
      </c>
      <c r="AI728" s="76">
        <f>IF(Entradas!$E$91&gt;0,D728*Entradas!$D$23/Escenarios!$E$16,0)</f>
        <v>0</v>
      </c>
      <c r="AJ728" s="76">
        <f>IF(Entradas!$E$91&gt;0,Entradas!$D$24*Entradas!$D$22/Escenarios!$E$16,0)</f>
        <v>0</v>
      </c>
      <c r="AK728" s="76">
        <f t="shared" si="164"/>
        <v>2.4650546967292479</v>
      </c>
      <c r="AL728" s="76">
        <f t="shared" si="165"/>
        <v>0</v>
      </c>
      <c r="AM728" s="76">
        <f t="shared" si="156"/>
        <v>0</v>
      </c>
      <c r="AN728" s="76">
        <f>MAX(0,O728*Escenarios!$E$13/Escenarios!$E$16-AM728)</f>
        <v>0.70295651122306846</v>
      </c>
      <c r="AO728" s="76">
        <f>AM728+AN728-O728*Escenarios!$E$13/Escenarios!$E$16</f>
        <v>0</v>
      </c>
      <c r="AP728" s="76">
        <f t="shared" si="154"/>
        <v>0.10396261373914399</v>
      </c>
      <c r="AQ728" s="76">
        <f t="shared" si="157"/>
        <v>0</v>
      </c>
      <c r="AR728" s="76">
        <f t="shared" si="158"/>
        <v>0.80691912496221241</v>
      </c>
      <c r="AS728" s="76">
        <f t="shared" si="159"/>
        <v>0</v>
      </c>
      <c r="AT728" s="76">
        <f t="shared" si="160"/>
        <v>4.9092228502568711E-2</v>
      </c>
      <c r="AU728" s="76">
        <f t="shared" si="161"/>
        <v>48.75</v>
      </c>
      <c r="AV728" s="76">
        <f>MAX(0,(AU728-Constantes!$D$13)*(1-EXP(-Constantes!$D$24)))</f>
        <v>0</v>
      </c>
      <c r="AW728" s="170">
        <f>AW727+(Entradas!$E$112*AT728-AX727)/(800*Entradas!$D$25)</f>
        <v>0</v>
      </c>
      <c r="AX728" s="170">
        <f>8000*Entradas!$D$26*AW728/Constantes!$E$45</f>
        <v>0</v>
      </c>
      <c r="AY728" s="170">
        <f>IF(Escenarios!$E$17&gt;0,10*Escenarios!$E$16*AL728,0)</f>
        <v>0</v>
      </c>
      <c r="AZ728" s="170">
        <f>IF(Escenarios!$E$17&gt;0,10*Escenarios!$E$16*AX728,0)</f>
        <v>0</v>
      </c>
      <c r="BA728" s="170">
        <f>IF(Escenarios!$E$17&gt;0,0.001*Observaciones!$F727*Escenarios!$E$17,0)</f>
        <v>44</v>
      </c>
      <c r="BB728" s="170">
        <f>IF(Escenarios!$E$17&gt;0,Observaciones!$K727,0)</f>
        <v>0</v>
      </c>
      <c r="BC728" s="170">
        <f>IF(Escenarios!$E$17&gt;0,MIN(0.0005*ETo!$M727*Escenarios!$E$17*(BG727/Constantes!$E$40)^(2/3),BG727+AY728+AZ728+BA728+BB728),0)</f>
        <v>18.798343124105088</v>
      </c>
      <c r="BD728" s="170">
        <f>IF(Escenarios!$E$17&gt;0,MIN(Constantes!$E$39*(BG727/Constantes!$E$40)^(2/3),BG727+AY728+AZ728+BA728+BB728-BC728),0)</f>
        <v>29.218343820505851</v>
      </c>
      <c r="BE728" s="170">
        <f>IF(Escenarios!$E$17&gt;0,MIN(Entradas!$E$113,BG727+AY728+AZ728+BA728+BB728-BC728-BD728),0)</f>
        <v>1</v>
      </c>
      <c r="BF728" s="170">
        <f>IF(Escenarios!$E$17&gt;0,MAX(0,BG727+AY728+AZ728+BA728+BB728-BC728-BD728-BE728-Constantes!$E$40),0)</f>
        <v>0</v>
      </c>
      <c r="BG728" s="170">
        <f t="shared" si="166"/>
        <v>1466.4727650526831</v>
      </c>
      <c r="BH728" s="170">
        <f>(Escenarios!$E$16*AK728+0.1*BC728)/(Escenarios!$E$19)</f>
        <v>2.4529504305346128</v>
      </c>
      <c r="BI728" s="170">
        <f>IF(Escenarios!$E$17&gt;0,BF728/10/Escenarios!$E$19,AL728)</f>
        <v>0</v>
      </c>
      <c r="BJ728" s="170">
        <f>(Escenarios!$E$16*AT728+0.1*BD728)/(Escenarios!$E$19)</f>
        <v>6.0297188522590327E-2</v>
      </c>
      <c r="BK728" s="76">
        <f>BK727+(0.1*BD728)/(Escenarios!$E$19)-BL727</f>
        <v>49.634780434390223</v>
      </c>
      <c r="BL728" s="76">
        <f>MAX(0,(BK728-Constantes!$D$13)*(1-EXP(-Constantes!$D$23)))</f>
        <v>8.7179523583277713E-3</v>
      </c>
      <c r="BM728" s="76">
        <f t="shared" si="162"/>
        <v>0.11268056609747176</v>
      </c>
      <c r="BN728" s="76">
        <f t="shared" si="167"/>
        <v>0.81563707732054014</v>
      </c>
      <c r="BO728" s="76">
        <f>0.0526*BI728*Observaciones!$F727^1.218</f>
        <v>0</v>
      </c>
      <c r="BP728" s="76">
        <f>BO728*Constantes!$E$51</f>
        <v>0</v>
      </c>
      <c r="BQ728" s="76">
        <f t="shared" si="163"/>
        <v>0</v>
      </c>
      <c r="BR728" s="40"/>
    </row>
    <row r="729" spans="1:70">
      <c r="A729" s="147"/>
      <c r="B729" s="39"/>
      <c r="C729" s="75">
        <v>723</v>
      </c>
      <c r="D729" s="146">
        <f>ETo!$I728*((1-Constantes!$E$19)*ETo!$K728+ETo!$L728)</f>
        <v>4.385832906967714</v>
      </c>
      <c r="E729" s="76">
        <f>MIN(D729*Constantes!$E$17,0.8*(N728+Observaciones!$F728-F729-M729-Constantes!$D$14))</f>
        <v>2.1442877112056147</v>
      </c>
      <c r="F729" s="76">
        <f>IF(Observaciones!$F728&gt;0.05*Constantes!$E$18,((Observaciones!$F728-0.05*Constantes!$E$18)^2)/(Observaciones!$F728+0.95*Constantes!$E$18),0)</f>
        <v>0</v>
      </c>
      <c r="G729" s="76">
        <f>IF(Escenarios!$E$11&gt;0,(F729*Escenarios!$E$16*10000)/1000,0)</f>
        <v>0</v>
      </c>
      <c r="H729" s="76">
        <f>IF(Escenarios!$E$11&gt;0,(Observaciones!$F728*Constantes!$E$29)/1000,0)</f>
        <v>0</v>
      </c>
      <c r="I729" s="76">
        <f>IF(Escenarios!$E$11&gt;0,(D729*Constantes!$E$29)/1000,0)</f>
        <v>43.85832906967714</v>
      </c>
      <c r="J729" s="76">
        <f>IF(Escenarios!$E$11&gt;0,MAX(0,G729+H729-I729),0)</f>
        <v>0</v>
      </c>
      <c r="K729" s="76">
        <f>IF(Escenarios!$E$11&gt;0,IF(J729&gt;Constantes!$E$30,1000*((J729-Constantes!$E$30)/(Escenarios!$E$16*10000)),0),F729)</f>
        <v>0</v>
      </c>
      <c r="L729" s="76">
        <f>IF(Escenarios!$E$11&gt;0,I729*1000/Escenarios!$E$16/10000+E729,E729)</f>
        <v>2.1618310428334855</v>
      </c>
      <c r="M729" s="76">
        <f>MAX(0,N728+Observaciones!$F728-K729-Constantes!$D$13)</f>
        <v>0</v>
      </c>
      <c r="N729" s="76">
        <f>N728+Observaciones!$F728-K729-L729-M729-O728</f>
        <v>31.739975066036301</v>
      </c>
      <c r="O729" s="76">
        <f>MAX(0,(N729-Constantes!$D$14)*(1-EXP(-Constantes!$D$22)))</f>
        <v>0.69796377098757567</v>
      </c>
      <c r="P729" s="170">
        <f>P728+(Entradas!$E$83*M729-Q728)/(800*Entradas!$D$25)</f>
        <v>0</v>
      </c>
      <c r="Q729" s="170">
        <f>8000*Entradas!$D$26*P729/Constantes!$E$45</f>
        <v>0</v>
      </c>
      <c r="R729" s="170">
        <f>IF(Escenarios!$E$14&gt;0,K729*Escenarios!$E$13/Escenarios!$E$14,0)</f>
        <v>0</v>
      </c>
      <c r="S729" s="170">
        <f>IF(Escenarios!$E$14&gt;0,Q729*Escenarios!$E$13/Escenarios!$E$14,0)</f>
        <v>0</v>
      </c>
      <c r="T729" s="170">
        <f>IF(Escenarios!$E$14&gt;0,Observaciones!$I728,0)</f>
        <v>0</v>
      </c>
      <c r="U729" s="170">
        <f>IF(Escenarios!$E$14&gt;0,MAX(0,Constantes!$E$36/((Z728+R729+S729+T729+Observaciones!$F728)^2)+Entradas!$E$77),0)</f>
        <v>0</v>
      </c>
      <c r="V729" s="146">
        <f>IF(ETo!D728&gt;0,ETo!I728*((1-Entradas!$E$81)*ETo!K728+ETo!L728),0)</f>
        <v>4.0083078004853725</v>
      </c>
      <c r="W729" s="170">
        <f>IF(Escenarios!$E$14&gt;0,MIN(V729*1,0.8*(Z728+R729+S729+T729+Observaciones!$F728-U729-Constantes!$E$35)),0)</f>
        <v>4.0083078004853725</v>
      </c>
      <c r="X729" s="170">
        <f>IF(Escenarios!$E$14&gt;0,Observaciones!$J728,0)</f>
        <v>0</v>
      </c>
      <c r="Y729" s="170">
        <f>IF(Escenarios!$E$14&gt;0,MAX(0,Z728+R729+S729+T729+Observaciones!$F728-U729-W729-X729-Constantes!$E$33),0)</f>
        <v>0</v>
      </c>
      <c r="Z729" s="170">
        <f>Z728+R729+S729+T729+Observaciones!$F728-U729-W729-Y729</f>
        <v>54.384814509901162</v>
      </c>
      <c r="AA729" s="170">
        <f>IF(Escenarios!$E$14&gt;0,(Escenarios!$E$13*L729+Escenarios!$E$14*W729)/(Escenarios!$E$16),L729)</f>
        <v>2.3834082537517118</v>
      </c>
      <c r="AB729" s="170">
        <f>IF(Escenarios!$E$14&gt;0,(Escenarios!$E$14*Y729)/(Escenarios!$E$16),K729)</f>
        <v>0</v>
      </c>
      <c r="AC729" s="170">
        <f>IF(Escenarios!$E$14&gt;0,(Escenarios!$E$13*M729+Escenarios!$E$14*U729)/(Escenarios!$E$16),M729)</f>
        <v>0</v>
      </c>
      <c r="AD729" s="76">
        <f t="shared" si="155"/>
        <v>59.197148789914664</v>
      </c>
      <c r="AE729" s="76">
        <f>MAX(0,(AD729-Constantes!$D$13)*(1-EXP(-Constantes!$D$23)))</f>
        <v>0.10293824534400682</v>
      </c>
      <c r="AF729" s="76">
        <f>AB729+O729*Escenarios!$E$13/Escenarios!$E$16+AE729</f>
        <v>0.7171463638130734</v>
      </c>
      <c r="AG729" s="76">
        <f>IF(Entradas!$E$91&gt;0,IF(AF729-Escenarios!$E$38&lt;=0,0,IF(AF729-Escenarios!$E$38&gt;Escenarios!$E$37,Escenarios!$E$37,AF729-Escenarios!$E$38)),0)</f>
        <v>0</v>
      </c>
      <c r="AH729" s="76">
        <f>AG729*Entradas!$E$99</f>
        <v>0</v>
      </c>
      <c r="AI729" s="76">
        <f>IF(Entradas!$E$91&gt;0,D729*Entradas!$D$23/Escenarios!$E$16,0)</f>
        <v>0</v>
      </c>
      <c r="AJ729" s="76">
        <f>IF(Entradas!$E$91&gt;0,Entradas!$D$24*Entradas!$D$22/Escenarios!$E$16,0)</f>
        <v>0</v>
      </c>
      <c r="AK729" s="76">
        <f t="shared" si="164"/>
        <v>2.3834082537517118</v>
      </c>
      <c r="AL729" s="76">
        <f t="shared" si="165"/>
        <v>0</v>
      </c>
      <c r="AM729" s="76">
        <f t="shared" si="156"/>
        <v>0</v>
      </c>
      <c r="AN729" s="76">
        <f>MAX(0,O729*Escenarios!$E$13/Escenarios!$E$16-AM729)</f>
        <v>0.61420811846906653</v>
      </c>
      <c r="AO729" s="76">
        <f>AM729+AN729-O729*Escenarios!$E$13/Escenarios!$E$16</f>
        <v>0</v>
      </c>
      <c r="AP729" s="76">
        <f t="shared" si="154"/>
        <v>0.10293824534400682</v>
      </c>
      <c r="AQ729" s="76">
        <f t="shared" si="157"/>
        <v>0</v>
      </c>
      <c r="AR729" s="76">
        <f t="shared" si="158"/>
        <v>0.7171463638130734</v>
      </c>
      <c r="AS729" s="76">
        <f t="shared" si="159"/>
        <v>0</v>
      </c>
      <c r="AT729" s="76">
        <f t="shared" si="160"/>
        <v>0</v>
      </c>
      <c r="AU729" s="76">
        <f t="shared" si="161"/>
        <v>48.75</v>
      </c>
      <c r="AV729" s="76">
        <f>MAX(0,(AU729-Constantes!$D$13)*(1-EXP(-Constantes!$D$24)))</f>
        <v>0</v>
      </c>
      <c r="AW729" s="170">
        <f>AW728+(Entradas!$E$112*AT729-AX728)/(800*Entradas!$D$25)</f>
        <v>0</v>
      </c>
      <c r="AX729" s="170">
        <f>8000*Entradas!$D$26*AW729/Constantes!$E$45</f>
        <v>0</v>
      </c>
      <c r="AY729" s="170">
        <f>IF(Escenarios!$E$17&gt;0,10*Escenarios!$E$16*AL729,0)</f>
        <v>0</v>
      </c>
      <c r="AZ729" s="170">
        <f>IF(Escenarios!$E$17&gt;0,10*Escenarios!$E$16*AX729,0)</f>
        <v>0</v>
      </c>
      <c r="BA729" s="170">
        <f>IF(Escenarios!$E$17&gt;0,0.001*Observaciones!$F728*Escenarios!$E$17,0)</f>
        <v>0</v>
      </c>
      <c r="BB729" s="170">
        <f>IF(Escenarios!$E$17&gt;0,Observaciones!$K728,0)</f>
        <v>0</v>
      </c>
      <c r="BC729" s="170">
        <f>IF(Escenarios!$E$17&gt;0,MIN(0.0005*ETo!$M728*Escenarios!$E$17*(BG728/Constantes!$E$40)^(2/3),BG728+AY729+AZ729+BA729+BB729),0)</f>
        <v>18.146618030870105</v>
      </c>
      <c r="BD729" s="170">
        <f>IF(Escenarios!$E$17&gt;0,MIN(Constantes!$E$39*(BG728/Constantes!$E$40)^(2/3),BG728+AY729+AZ729+BA729+BB729-BC729),0)</f>
        <v>29.151897450807986</v>
      </c>
      <c r="BE729" s="170">
        <f>IF(Escenarios!$E$17&gt;0,MIN(Entradas!$E$113,BG728+AY729+AZ729+BA729+BB729-BC729-BD729),0)</f>
        <v>1</v>
      </c>
      <c r="BF729" s="170">
        <f>IF(Escenarios!$E$17&gt;0,MAX(0,BG728+AY729+AZ729+BA729+BB729-BC729-BD729-BE729-Constantes!$E$40),0)</f>
        <v>0</v>
      </c>
      <c r="BG729" s="170">
        <f t="shared" si="166"/>
        <v>1418.174249571005</v>
      </c>
      <c r="BH729" s="170">
        <f>(Escenarios!$E$16*AK729+0.1*BC729)/(Escenarios!$E$19)</f>
        <v>2.3716933541310121</v>
      </c>
      <c r="BI729" s="170">
        <f>IF(Escenarios!$E$17&gt;0,BF729/10/Escenarios!$E$19,AL729)</f>
        <v>0</v>
      </c>
      <c r="BJ729" s="170">
        <f>(Escenarios!$E$16*AT729+0.1*BD729)/(Escenarios!$E$19)</f>
        <v>1.1568213274130153E-2</v>
      </c>
      <c r="BK729" s="76">
        <f>BK728+(0.1*BD729)/(Escenarios!$E$19)-BL728</f>
        <v>49.637630695306029</v>
      </c>
      <c r="BL729" s="76">
        <f>MAX(0,(BK729-Constantes!$D$13)*(1-EXP(-Constantes!$D$23)))</f>
        <v>8.7460366580104747E-3</v>
      </c>
      <c r="BM729" s="76">
        <f t="shared" si="162"/>
        <v>0.1116842820020173</v>
      </c>
      <c r="BN729" s="76">
        <f t="shared" si="167"/>
        <v>0.72589240047108383</v>
      </c>
      <c r="BO729" s="76">
        <f>0.0526*BI729*Observaciones!$F728^1.218</f>
        <v>0</v>
      </c>
      <c r="BP729" s="76">
        <f>BO729*Constantes!$E$51</f>
        <v>0</v>
      </c>
      <c r="BQ729" s="76">
        <f t="shared" si="163"/>
        <v>0</v>
      </c>
      <c r="BR729" s="40"/>
    </row>
    <row r="730" spans="1:70">
      <c r="A730" s="147"/>
      <c r="B730" s="39"/>
      <c r="C730" s="75">
        <v>724</v>
      </c>
      <c r="D730" s="146">
        <f>ETo!$I729*((1-Constantes!$E$19)*ETo!$K729+ETo!$L729)</f>
        <v>4.3903906828590387</v>
      </c>
      <c r="E730" s="76">
        <f>MIN(D730*Constantes!$E$17,0.8*(N729+Observaciones!$F729-F730-M730-Constantes!$D$14))</f>
        <v>2.1465160639590155</v>
      </c>
      <c r="F730" s="76">
        <f>IF(Observaciones!$F729&gt;0.05*Constantes!$E$18,((Observaciones!$F729-0.05*Constantes!$E$18)^2)/(Observaciones!$F729+0.95*Constantes!$E$18),0)</f>
        <v>2.1372569496048697</v>
      </c>
      <c r="G730" s="76">
        <f>IF(Escenarios!$E$11&gt;0,(F730*Escenarios!$E$16*10000)/1000,0)</f>
        <v>5343.1423740121745</v>
      </c>
      <c r="H730" s="76">
        <f>IF(Escenarios!$E$11&gt;0,(Observaciones!$F729*Constantes!$E$29)/1000,0)</f>
        <v>230</v>
      </c>
      <c r="I730" s="76">
        <f>IF(Escenarios!$E$11&gt;0,(D730*Constantes!$E$29)/1000,0)</f>
        <v>43.903906828590387</v>
      </c>
      <c r="J730" s="76">
        <f>IF(Escenarios!$E$11&gt;0,MAX(0,G730+H730-I730),0)</f>
        <v>5529.2384671835844</v>
      </c>
      <c r="K730" s="76">
        <f>IF(Escenarios!$E$11&gt;0,IF(J730&gt;Constantes!$E$30,1000*((J730-Constantes!$E$30)/(Escenarios!$E$16*10000)),0),F730)</f>
        <v>1.6969895045204926</v>
      </c>
      <c r="L730" s="76">
        <f>IF(Escenarios!$E$11&gt;0,I730*1000/Escenarios!$E$16/10000+E730,E730)</f>
        <v>2.1640776266904518</v>
      </c>
      <c r="M730" s="76">
        <f>MAX(0,N729+Observaciones!$F729-K730-Constantes!$D$13)</f>
        <v>4.2929855615158061</v>
      </c>
      <c r="N730" s="76">
        <f>N729+Observaciones!$F729-K730-L730-M730-O729</f>
        <v>45.887958602321973</v>
      </c>
      <c r="O730" s="76">
        <f>MAX(0,(N730-Constantes!$D$14)*(1-EXP(-Constantes!$D$22)))</f>
        <v>1.1798960285443105</v>
      </c>
      <c r="P730" s="170">
        <f>P729+(Entradas!$E$83*M730-Q729)/(800*Entradas!$D$25)</f>
        <v>0</v>
      </c>
      <c r="Q730" s="170">
        <f>8000*Entradas!$D$26*P730/Constantes!$E$45</f>
        <v>0</v>
      </c>
      <c r="R730" s="170">
        <f>IF(Escenarios!$E$14&gt;0,K730*Escenarios!$E$13/Escenarios!$E$14,0)</f>
        <v>12.444589699816946</v>
      </c>
      <c r="S730" s="170">
        <f>IF(Escenarios!$E$14&gt;0,Q730*Escenarios!$E$13/Escenarios!$E$14,0)</f>
        <v>0</v>
      </c>
      <c r="T730" s="170">
        <f>IF(Escenarios!$E$14&gt;0,Observaciones!$I729,0)</f>
        <v>0</v>
      </c>
      <c r="U730" s="170">
        <f>IF(Escenarios!$E$14&gt;0,MAX(0,Constantes!$E$36/((Z729+R730+S730+T730+Observaciones!$F729)^2)+Entradas!$E$77),0)</f>
        <v>1.7276811884234557</v>
      </c>
      <c r="V730" s="146">
        <f>IF(ETo!D729&gt;0,ETo!I729*((1-Entradas!$E$81)*ETo!K729+ETo!L729),0)</f>
        <v>4.0125240052881894</v>
      </c>
      <c r="W730" s="170">
        <f>IF(Escenarios!$E$14&gt;0,MIN(V730*1,0.8*(Z729+R730+S730+T730+Observaciones!$F729-U730-Constantes!$E$35)),0)</f>
        <v>4.0125240052881894</v>
      </c>
      <c r="X730" s="170">
        <f>IF(Escenarios!$E$14&gt;0,Observaciones!$J729,0)</f>
        <v>0</v>
      </c>
      <c r="Y730" s="170">
        <f>IF(Escenarios!$E$14&gt;0,MAX(0,Z729+R730+S730+T730+Observaciones!$F729-U730-W730-X730-Constantes!$E$33),0)</f>
        <v>0</v>
      </c>
      <c r="Z730" s="170">
        <f>Z729+R730+S730+T730+Observaciones!$F729-U730-W730-Y730</f>
        <v>84.089199016006461</v>
      </c>
      <c r="AA730" s="170">
        <f>IF(Escenarios!$E$14&gt;0,(Escenarios!$E$13*L730+Escenarios!$E$14*W730)/(Escenarios!$E$16),L730)</f>
        <v>2.3858911921221804</v>
      </c>
      <c r="AB730" s="170">
        <f>IF(Escenarios!$E$14&gt;0,(Escenarios!$E$14*Y730)/(Escenarios!$E$16),K730)</f>
        <v>0</v>
      </c>
      <c r="AC730" s="170">
        <f>IF(Escenarios!$E$14&gt;0,(Escenarios!$E$13*M730+Escenarios!$E$14*U730)/(Escenarios!$E$16),M730)</f>
        <v>3.985149036744724</v>
      </c>
      <c r="AD730" s="76">
        <f t="shared" si="155"/>
        <v>63.07935958131538</v>
      </c>
      <c r="AE730" s="76">
        <f>MAX(0,(AD730-Constantes!$D$13)*(1-EXP(-Constantes!$D$23)))</f>
        <v>0.14119059294224776</v>
      </c>
      <c r="AF730" s="76">
        <f>AB730+O730*Escenarios!$E$13/Escenarios!$E$16+AE730</f>
        <v>1.179499098061241</v>
      </c>
      <c r="AG730" s="76">
        <f>IF(Entradas!$E$91&gt;0,IF(AF730-Escenarios!$E$38&lt;=0,0,IF(AF730-Escenarios!$E$38&gt;Escenarios!$E$37,Escenarios!$E$37,AF730-Escenarios!$E$38)),0)</f>
        <v>0</v>
      </c>
      <c r="AH730" s="76">
        <f>AG730*Entradas!$E$99</f>
        <v>0</v>
      </c>
      <c r="AI730" s="76">
        <f>IF(Entradas!$E$91&gt;0,D730*Entradas!$D$23/Escenarios!$E$16,0)</f>
        <v>0</v>
      </c>
      <c r="AJ730" s="76">
        <f>IF(Entradas!$E$91&gt;0,Entradas!$D$24*Entradas!$D$22/Escenarios!$E$16,0)</f>
        <v>0</v>
      </c>
      <c r="AK730" s="76">
        <f t="shared" si="164"/>
        <v>2.3858911921221804</v>
      </c>
      <c r="AL730" s="76">
        <f t="shared" si="165"/>
        <v>0</v>
      </c>
      <c r="AM730" s="76">
        <f t="shared" si="156"/>
        <v>0</v>
      </c>
      <c r="AN730" s="76">
        <f>MAX(0,O730*Escenarios!$E$13/Escenarios!$E$16-AM730)</f>
        <v>1.0383085051189933</v>
      </c>
      <c r="AO730" s="76">
        <f>AM730+AN730-O730*Escenarios!$E$13/Escenarios!$E$16</f>
        <v>0</v>
      </c>
      <c r="AP730" s="76">
        <f t="shared" si="154"/>
        <v>0.14119059294224776</v>
      </c>
      <c r="AQ730" s="76">
        <f t="shared" si="157"/>
        <v>0</v>
      </c>
      <c r="AR730" s="76">
        <f t="shared" si="158"/>
        <v>1.179499098061241</v>
      </c>
      <c r="AS730" s="76">
        <f t="shared" si="159"/>
        <v>0</v>
      </c>
      <c r="AT730" s="76">
        <f t="shared" si="160"/>
        <v>3.985149036744724</v>
      </c>
      <c r="AU730" s="76">
        <f t="shared" si="161"/>
        <v>48.75</v>
      </c>
      <c r="AV730" s="76">
        <f>MAX(0,(AU730-Constantes!$D$13)*(1-EXP(-Constantes!$D$24)))</f>
        <v>0</v>
      </c>
      <c r="AW730" s="170">
        <f>AW729+(Entradas!$E$112*AT730-AX729)/(800*Entradas!$D$25)</f>
        <v>0</v>
      </c>
      <c r="AX730" s="170">
        <f>8000*Entradas!$D$26*AW730/Constantes!$E$45</f>
        <v>0</v>
      </c>
      <c r="AY730" s="170">
        <f>IF(Escenarios!$E$17&gt;0,10*Escenarios!$E$16*AL730,0)</f>
        <v>0</v>
      </c>
      <c r="AZ730" s="170">
        <f>IF(Escenarios!$E$17&gt;0,10*Escenarios!$E$16*AX730,0)</f>
        <v>0</v>
      </c>
      <c r="BA730" s="170">
        <f>IF(Escenarios!$E$17&gt;0,0.001*Observaciones!$F729*Escenarios!$E$17,0)</f>
        <v>460</v>
      </c>
      <c r="BB730" s="170">
        <f>IF(Escenarios!$E$17&gt;0,Observaciones!$K729,0)</f>
        <v>0</v>
      </c>
      <c r="BC730" s="170">
        <f>IF(Escenarios!$E$17&gt;0,MIN(0.0005*ETo!$M729*Escenarios!$E$17*(BG729/Constantes!$E$40)^(2/3),BG729+AY730+AZ730+BA730+BB730),0)</f>
        <v>17.764114160495652</v>
      </c>
      <c r="BD730" s="170">
        <f>IF(Escenarios!$E$17&gt;0,MIN(Constantes!$E$39*(BG729/Constantes!$E$40)^(2/3),BG729+AY730+AZ730+BA730+BB730-BC730),0)</f>
        <v>28.508249869294893</v>
      </c>
      <c r="BE730" s="170">
        <f>IF(Escenarios!$E$17&gt;0,MIN(Entradas!$E$113,BG729+AY730+AZ730+BA730+BB730-BC730-BD730),0)</f>
        <v>1</v>
      </c>
      <c r="BF730" s="170">
        <f>IF(Escenarios!$E$17&gt;0,MAX(0,BG729+AY730+AZ730+BA730+BB730-BC730-BD730-BE730-Constantes!$E$40),0)</f>
        <v>0</v>
      </c>
      <c r="BG730" s="170">
        <f t="shared" si="166"/>
        <v>1830.9018855412146</v>
      </c>
      <c r="BH730" s="170">
        <f>(Escenarios!$E$16*AK730+0.1*BC730)/(Escenarios!$E$19)</f>
        <v>2.3740047993912485</v>
      </c>
      <c r="BI730" s="170">
        <f>IF(Escenarios!$E$17&gt;0,BF730/10/Escenarios!$E$19,AL730)</f>
        <v>0</v>
      </c>
      <c r="BJ730" s="170">
        <f>(Escenarios!$E$16*AT730+0.1*BD730)/(Escenarios!$E$19)</f>
        <v>3.9648336673536133</v>
      </c>
      <c r="BK730" s="76">
        <f>BK729+(0.1*BD730)/(Escenarios!$E$19)-BL729</f>
        <v>49.640197456215198</v>
      </c>
      <c r="BL730" s="76">
        <f>MAX(0,(BK730-Constantes!$D$13)*(1-EXP(-Constantes!$D$23)))</f>
        <v>8.7713275646033283E-3</v>
      </c>
      <c r="BM730" s="76">
        <f t="shared" si="162"/>
        <v>0.14996192050685109</v>
      </c>
      <c r="BN730" s="76">
        <f t="shared" si="167"/>
        <v>1.1882704256258443</v>
      </c>
      <c r="BO730" s="76">
        <f>0.0526*BI730*Observaciones!$F729^1.218</f>
        <v>0</v>
      </c>
      <c r="BP730" s="76">
        <f>BO730*Constantes!$E$51</f>
        <v>0</v>
      </c>
      <c r="BQ730" s="76">
        <f t="shared" si="163"/>
        <v>0</v>
      </c>
      <c r="BR730" s="40"/>
    </row>
    <row r="731" spans="1:70">
      <c r="A731" s="147"/>
      <c r="B731" s="39"/>
      <c r="C731" s="75">
        <v>725</v>
      </c>
      <c r="D731" s="146">
        <f>ETo!$I730*((1-Constantes!$E$19)*ETo!$K730+ETo!$L730)</f>
        <v>4.3449940158913511</v>
      </c>
      <c r="E731" s="76">
        <f>MIN(D731*Constantes!$E$17,0.8*(N730+Observaciones!$F730-F731-M731-Constantes!$D$14))</f>
        <v>2.1243210745069874</v>
      </c>
      <c r="F731" s="76">
        <f>IF(Observaciones!$F730&gt;0.05*Constantes!$E$18,((Observaciones!$F730-0.05*Constantes!$E$18)^2)/(Observaciones!$F730+0.95*Constantes!$E$18),0)</f>
        <v>0</v>
      </c>
      <c r="G731" s="76">
        <f>IF(Escenarios!$E$11&gt;0,(F731*Escenarios!$E$16*10000)/1000,0)</f>
        <v>0</v>
      </c>
      <c r="H731" s="76">
        <f>IF(Escenarios!$E$11&gt;0,(Observaciones!$F730*Constantes!$E$29)/1000,0)</f>
        <v>38</v>
      </c>
      <c r="I731" s="76">
        <f>IF(Escenarios!$E$11&gt;0,(D731*Constantes!$E$29)/1000,0)</f>
        <v>43.449940158913506</v>
      </c>
      <c r="J731" s="76">
        <f>IF(Escenarios!$E$11&gt;0,MAX(0,G731+H731-I731),0)</f>
        <v>0</v>
      </c>
      <c r="K731" s="76">
        <f>IF(Escenarios!$E$11&gt;0,IF(J731&gt;Constantes!$E$30,1000*((J731-Constantes!$E$30)/(Escenarios!$E$16*10000)),0),F731)</f>
        <v>0</v>
      </c>
      <c r="L731" s="76">
        <f>IF(Escenarios!$E$11&gt;0,I731*1000/Escenarios!$E$16/10000+E731,E731)</f>
        <v>2.1417010505705529</v>
      </c>
      <c r="M731" s="76">
        <f>MAX(0,N730+Observaciones!$F730-K731-Constantes!$D$13)</f>
        <v>0.93795860232197015</v>
      </c>
      <c r="N731" s="76">
        <f>N730+Observaciones!$F730-K731-L731-M731-O730</f>
        <v>45.428402920885134</v>
      </c>
      <c r="O731" s="76">
        <f>MAX(0,(N731-Constantes!$D$14)*(1-EXP(-Constantes!$D$22)))</f>
        <v>1.1642418749711276</v>
      </c>
      <c r="P731" s="170">
        <f>P730+(Entradas!$E$83*M731-Q730)/(800*Entradas!$D$25)</f>
        <v>0</v>
      </c>
      <c r="Q731" s="170">
        <f>8000*Entradas!$D$26*P731/Constantes!$E$45</f>
        <v>0</v>
      </c>
      <c r="R731" s="170">
        <f>IF(Escenarios!$E$14&gt;0,K731*Escenarios!$E$13/Escenarios!$E$14,0)</f>
        <v>0</v>
      </c>
      <c r="S731" s="170">
        <f>IF(Escenarios!$E$14&gt;0,Q731*Escenarios!$E$13/Escenarios!$E$14,0)</f>
        <v>0</v>
      </c>
      <c r="T731" s="170">
        <f>IF(Escenarios!$E$14&gt;0,Observaciones!$I730,0)</f>
        <v>0</v>
      </c>
      <c r="U731" s="170">
        <f>IF(Escenarios!$E$14&gt;0,MAX(0,Constantes!$E$36/((Z730+R731+S731+T731+Observaciones!$F730)^2)+Entradas!$E$77),0)</f>
        <v>1.6708867918783088</v>
      </c>
      <c r="V731" s="146">
        <f>IF(ETo!D730&gt;0,ETo!I730*((1-Entradas!$E$81)*ETo!K730+ETo!L730),0)</f>
        <v>3.9705517931681236</v>
      </c>
      <c r="W731" s="170">
        <f>IF(Escenarios!$E$14&gt;0,MIN(V731*1,0.8*(Z730+R731+S731+T731+Observaciones!$F730-U731-Constantes!$E$35)),0)</f>
        <v>3.9705517931681236</v>
      </c>
      <c r="X731" s="170">
        <f>IF(Escenarios!$E$14&gt;0,Observaciones!$J730,0)</f>
        <v>0</v>
      </c>
      <c r="Y731" s="170">
        <f>IF(Escenarios!$E$14&gt;0,MAX(0,Z730+R731+S731+T731+Observaciones!$F730-U731-W731-X731-Constantes!$E$33),0)</f>
        <v>0</v>
      </c>
      <c r="Z731" s="170">
        <f>Z730+R731+S731+T731+Observaciones!$F730-U731-W731-Y731</f>
        <v>82.247760430960028</v>
      </c>
      <c r="AA731" s="170">
        <f>IF(Escenarios!$E$14&gt;0,(Escenarios!$E$13*L731+Escenarios!$E$14*W731)/(Escenarios!$E$16),L731)</f>
        <v>2.3611631396822612</v>
      </c>
      <c r="AB731" s="170">
        <f>IF(Escenarios!$E$14&gt;0,(Escenarios!$E$14*Y731)/(Escenarios!$E$16),K731)</f>
        <v>0</v>
      </c>
      <c r="AC731" s="170">
        <f>IF(Escenarios!$E$14&gt;0,(Escenarios!$E$13*M731+Escenarios!$E$14*U731)/(Escenarios!$E$16),M731)</f>
        <v>1.0259099850687308</v>
      </c>
      <c r="AD731" s="76">
        <f t="shared" si="155"/>
        <v>63.964078973441865</v>
      </c>
      <c r="AE731" s="76">
        <f>MAX(0,(AD731-Constantes!$D$13)*(1-EXP(-Constantes!$D$23)))</f>
        <v>0.14990794383661177</v>
      </c>
      <c r="AF731" s="76">
        <f>AB731+O731*Escenarios!$E$13/Escenarios!$E$16+AE731</f>
        <v>1.1744407938112043</v>
      </c>
      <c r="AG731" s="76">
        <f>IF(Entradas!$E$91&gt;0,IF(AF731-Escenarios!$E$38&lt;=0,0,IF(AF731-Escenarios!$E$38&gt;Escenarios!$E$37,Escenarios!$E$37,AF731-Escenarios!$E$38)),0)</f>
        <v>0</v>
      </c>
      <c r="AH731" s="76">
        <f>AG731*Entradas!$E$99</f>
        <v>0</v>
      </c>
      <c r="AI731" s="76">
        <f>IF(Entradas!$E$91&gt;0,D731*Entradas!$D$23/Escenarios!$E$16,0)</f>
        <v>0</v>
      </c>
      <c r="AJ731" s="76">
        <f>IF(Entradas!$E$91&gt;0,Entradas!$D$24*Entradas!$D$22/Escenarios!$E$16,0)</f>
        <v>0</v>
      </c>
      <c r="AK731" s="76">
        <f t="shared" si="164"/>
        <v>2.3611631396822612</v>
      </c>
      <c r="AL731" s="76">
        <f t="shared" si="165"/>
        <v>0</v>
      </c>
      <c r="AM731" s="76">
        <f t="shared" si="156"/>
        <v>0</v>
      </c>
      <c r="AN731" s="76">
        <f>MAX(0,O731*Escenarios!$E$13/Escenarios!$E$16-AM731)</f>
        <v>1.0245328499745925</v>
      </c>
      <c r="AO731" s="76">
        <f>AM731+AN731-O731*Escenarios!$E$13/Escenarios!$E$16</f>
        <v>0</v>
      </c>
      <c r="AP731" s="76">
        <f t="shared" si="154"/>
        <v>0.14990794383661177</v>
      </c>
      <c r="AQ731" s="76">
        <f t="shared" si="157"/>
        <v>0</v>
      </c>
      <c r="AR731" s="76">
        <f t="shared" si="158"/>
        <v>1.1744407938112043</v>
      </c>
      <c r="AS731" s="76">
        <f t="shared" si="159"/>
        <v>0</v>
      </c>
      <c r="AT731" s="76">
        <f t="shared" si="160"/>
        <v>1.0259099850687308</v>
      </c>
      <c r="AU731" s="76">
        <f t="shared" si="161"/>
        <v>48.75</v>
      </c>
      <c r="AV731" s="76">
        <f>MAX(0,(AU731-Constantes!$D$13)*(1-EXP(-Constantes!$D$24)))</f>
        <v>0</v>
      </c>
      <c r="AW731" s="170">
        <f>AW730+(Entradas!$E$112*AT731-AX730)/(800*Entradas!$D$25)</f>
        <v>0</v>
      </c>
      <c r="AX731" s="170">
        <f>8000*Entradas!$D$26*AW731/Constantes!$E$45</f>
        <v>0</v>
      </c>
      <c r="AY731" s="170">
        <f>IF(Escenarios!$E$17&gt;0,10*Escenarios!$E$16*AL731,0)</f>
        <v>0</v>
      </c>
      <c r="AZ731" s="170">
        <f>IF(Escenarios!$E$17&gt;0,10*Escenarios!$E$16*AX731,0)</f>
        <v>0</v>
      </c>
      <c r="BA731" s="170">
        <f>IF(Escenarios!$E$17&gt;0,0.001*Observaciones!$F730*Escenarios!$E$17,0)</f>
        <v>76</v>
      </c>
      <c r="BB731" s="170">
        <f>IF(Escenarios!$E$17&gt;0,Observaciones!$K730,0)</f>
        <v>0</v>
      </c>
      <c r="BC731" s="170">
        <f>IF(Escenarios!$E$17&gt;0,MIN(0.0005*ETo!$M730*Escenarios!$E$17*(BG730/Constantes!$E$40)^(2/3),BG730+AY731+AZ731+BA731+BB731),0)</f>
        <v>20.847472566108124</v>
      </c>
      <c r="BD731" s="170">
        <f>IF(Escenarios!$E$17&gt;0,MIN(Constantes!$E$39*(BG730/Constantes!$E$40)^(2/3),BG730+AY731+AZ731+BA731+BB731-BC731),0)</f>
        <v>33.800843714216448</v>
      </c>
      <c r="BE731" s="170">
        <f>IF(Escenarios!$E$17&gt;0,MIN(Entradas!$E$113,BG730+AY731+AZ731+BA731+BB731-BC731-BD731),0)</f>
        <v>1</v>
      </c>
      <c r="BF731" s="170">
        <f>IF(Escenarios!$E$17&gt;0,MAX(0,BG730+AY731+AZ731+BA731+BB731-BC731-BD731-BE731-Constantes!$E$40),0)</f>
        <v>0</v>
      </c>
      <c r="BG731" s="170">
        <f t="shared" si="166"/>
        <v>1851.2535692608901</v>
      </c>
      <c r="BH731" s="170">
        <f>(Escenarios!$E$16*AK731+0.1*BC731)/(Escenarios!$E$19)</f>
        <v>2.3506965562586357</v>
      </c>
      <c r="BI731" s="170">
        <f>IF(Escenarios!$E$17&gt;0,BF731/10/Escenarios!$E$19,AL731)</f>
        <v>0</v>
      </c>
      <c r="BJ731" s="170">
        <f>(Escenarios!$E$16*AT731+0.1*BD731)/(Escenarios!$E$19)</f>
        <v>1.0311808755500171</v>
      </c>
      <c r="BK731" s="76">
        <f>BK730+(0.1*BD731)/(Escenarios!$E$19)-BL730</f>
        <v>49.644839161870522</v>
      </c>
      <c r="BL731" s="76">
        <f>MAX(0,(BK731-Constantes!$D$13)*(1-EXP(-Constantes!$D$23)))</f>
        <v>8.8170633959933874E-3</v>
      </c>
      <c r="BM731" s="76">
        <f t="shared" si="162"/>
        <v>0.15872500723260516</v>
      </c>
      <c r="BN731" s="76">
        <f t="shared" si="167"/>
        <v>1.1832578572071977</v>
      </c>
      <c r="BO731" s="76">
        <f>0.0526*BI731*Observaciones!$F730^1.218</f>
        <v>0</v>
      </c>
      <c r="BP731" s="76">
        <f>BO731*Constantes!$E$51</f>
        <v>0</v>
      </c>
      <c r="BQ731" s="76">
        <f t="shared" si="163"/>
        <v>0</v>
      </c>
      <c r="BR731" s="40"/>
    </row>
    <row r="732" spans="1:70">
      <c r="A732" s="147"/>
      <c r="B732" s="39"/>
      <c r="C732" s="75">
        <v>726</v>
      </c>
      <c r="D732" s="146">
        <f>ETo!$I731*((1-Constantes!$E$19)*ETo!$K731+ETo!$L731)</f>
        <v>4.4903268313070424</v>
      </c>
      <c r="E732" s="76">
        <f>MIN(D732*Constantes!$E$17,0.8*(N731+Observaciones!$F731-F732-M732-Constantes!$D$14))</f>
        <v>2.1953760774542475</v>
      </c>
      <c r="F732" s="76">
        <f>IF(Observaciones!$F731&gt;0.05*Constantes!$E$18,((Observaciones!$F731-0.05*Constantes!$E$18)^2)/(Observaciones!$F731+0.95*Constantes!$E$18),0)</f>
        <v>0</v>
      </c>
      <c r="G732" s="76">
        <f>IF(Escenarios!$E$11&gt;0,(F732*Escenarios!$E$16*10000)/1000,0)</f>
        <v>0</v>
      </c>
      <c r="H732" s="76">
        <f>IF(Escenarios!$E$11&gt;0,(Observaciones!$F731*Constantes!$E$29)/1000,0)</f>
        <v>28</v>
      </c>
      <c r="I732" s="76">
        <f>IF(Escenarios!$E$11&gt;0,(D732*Constantes!$E$29)/1000,0)</f>
        <v>44.903268313070427</v>
      </c>
      <c r="J732" s="76">
        <f>IF(Escenarios!$E$11&gt;0,MAX(0,G732+H732-I732),0)</f>
        <v>0</v>
      </c>
      <c r="K732" s="76">
        <f>IF(Escenarios!$E$11&gt;0,IF(J732&gt;Constantes!$E$30,1000*((J732-Constantes!$E$30)/(Escenarios!$E$16*10000)),0),F732)</f>
        <v>0</v>
      </c>
      <c r="L732" s="76">
        <f>IF(Escenarios!$E$11&gt;0,I732*1000/Escenarios!$E$16/10000+E732,E732)</f>
        <v>2.2133373847794755</v>
      </c>
      <c r="M732" s="76">
        <f>MAX(0,N731+Observaciones!$F731-K732-Constantes!$D$13)</f>
        <v>0</v>
      </c>
      <c r="N732" s="76">
        <f>N731+Observaciones!$F731-K732-L732-M732-O731</f>
        <v>44.850823661134527</v>
      </c>
      <c r="O732" s="76">
        <f>MAX(0,(N732-Constantes!$D$14)*(1-EXP(-Constantes!$D$22)))</f>
        <v>1.1445674050471517</v>
      </c>
      <c r="P732" s="170">
        <f>P731+(Entradas!$E$83*M732-Q731)/(800*Entradas!$D$25)</f>
        <v>0</v>
      </c>
      <c r="Q732" s="170">
        <f>8000*Entradas!$D$26*P732/Constantes!$E$45</f>
        <v>0</v>
      </c>
      <c r="R732" s="170">
        <f>IF(Escenarios!$E$14&gt;0,K732*Escenarios!$E$13/Escenarios!$E$14,0)</f>
        <v>0</v>
      </c>
      <c r="S732" s="170">
        <f>IF(Escenarios!$E$14&gt;0,Q732*Escenarios!$E$13/Escenarios!$E$14,0)</f>
        <v>0</v>
      </c>
      <c r="T732" s="170">
        <f>IF(Escenarios!$E$14&gt;0,Observaciones!$I731,0)</f>
        <v>0</v>
      </c>
      <c r="U732" s="170">
        <f>IF(Escenarios!$E$14&gt;0,MAX(0,Constantes!$E$36/((Z731+R732+S732+T732+Observaciones!$F731)^2)+Entradas!$E$77),0)</f>
        <v>1.5805920828379605</v>
      </c>
      <c r="V732" s="146">
        <f>IF(ETo!D731&gt;0,ETo!I731*((1-Entradas!$E$81)*ETo!K731+ETo!L731),0)</f>
        <v>4.1050825868588703</v>
      </c>
      <c r="W732" s="170">
        <f>IF(Escenarios!$E$14&gt;0,MIN(V732*1,0.8*(Z731+R732+S732+T732+Observaciones!$F731-U732-Constantes!$E$35)),0)</f>
        <v>4.1050825868588703</v>
      </c>
      <c r="X732" s="170">
        <f>IF(Escenarios!$E$14&gt;0,Observaciones!$J731,0)</f>
        <v>0</v>
      </c>
      <c r="Y732" s="170">
        <f>IF(Escenarios!$E$14&gt;0,MAX(0,Z731+R732+S732+T732+Observaciones!$F731-U732-W732-X732-Constantes!$E$33),0)</f>
        <v>0</v>
      </c>
      <c r="Z732" s="170">
        <f>Z731+R732+S732+T732+Observaciones!$F731-U732-W732-Y732</f>
        <v>79.362085761263188</v>
      </c>
      <c r="AA732" s="170">
        <f>IF(Escenarios!$E$14&gt;0,(Escenarios!$E$13*L732+Escenarios!$E$14*W732)/(Escenarios!$E$16),L732)</f>
        <v>2.4403468090290028</v>
      </c>
      <c r="AB732" s="170">
        <f>IF(Escenarios!$E$14&gt;0,(Escenarios!$E$14*Y732)/(Escenarios!$E$16),K732)</f>
        <v>0</v>
      </c>
      <c r="AC732" s="170">
        <f>IF(Escenarios!$E$14&gt;0,(Escenarios!$E$13*M732+Escenarios!$E$14*U732)/(Escenarios!$E$16),M732)</f>
        <v>0.18967104994055525</v>
      </c>
      <c r="AD732" s="76">
        <f t="shared" si="155"/>
        <v>64.003842079545805</v>
      </c>
      <c r="AE732" s="76">
        <f>MAX(0,(AD732-Constantes!$D$13)*(1-EXP(-Constantes!$D$23)))</f>
        <v>0.15029973919188791</v>
      </c>
      <c r="AF732" s="76">
        <f>AB732+O732*Escenarios!$E$13/Escenarios!$E$16+AE732</f>
        <v>1.1575190556333814</v>
      </c>
      <c r="AG732" s="76">
        <f>IF(Entradas!$E$91&gt;0,IF(AF732-Escenarios!$E$38&lt;=0,0,IF(AF732-Escenarios!$E$38&gt;Escenarios!$E$37,Escenarios!$E$37,AF732-Escenarios!$E$38)),0)</f>
        <v>0</v>
      </c>
      <c r="AH732" s="76">
        <f>AG732*Entradas!$E$99</f>
        <v>0</v>
      </c>
      <c r="AI732" s="76">
        <f>IF(Entradas!$E$91&gt;0,D732*Entradas!$D$23/Escenarios!$E$16,0)</f>
        <v>0</v>
      </c>
      <c r="AJ732" s="76">
        <f>IF(Entradas!$E$91&gt;0,Entradas!$D$24*Entradas!$D$22/Escenarios!$E$16,0)</f>
        <v>0</v>
      </c>
      <c r="AK732" s="76">
        <f t="shared" si="164"/>
        <v>2.4403468090290028</v>
      </c>
      <c r="AL732" s="76">
        <f t="shared" si="165"/>
        <v>0</v>
      </c>
      <c r="AM732" s="76">
        <f t="shared" si="156"/>
        <v>0</v>
      </c>
      <c r="AN732" s="76">
        <f>MAX(0,O732*Escenarios!$E$13/Escenarios!$E$16-AM732)</f>
        <v>1.0072193164414935</v>
      </c>
      <c r="AO732" s="76">
        <f>AM732+AN732-O732*Escenarios!$E$13/Escenarios!$E$16</f>
        <v>0</v>
      </c>
      <c r="AP732" s="76">
        <f t="shared" si="154"/>
        <v>0.15029973919188791</v>
      </c>
      <c r="AQ732" s="76">
        <f t="shared" si="157"/>
        <v>0</v>
      </c>
      <c r="AR732" s="76">
        <f t="shared" si="158"/>
        <v>1.1575190556333814</v>
      </c>
      <c r="AS732" s="76">
        <f t="shared" si="159"/>
        <v>0</v>
      </c>
      <c r="AT732" s="76">
        <f t="shared" si="160"/>
        <v>0.18967104994055525</v>
      </c>
      <c r="AU732" s="76">
        <f t="shared" si="161"/>
        <v>48.75</v>
      </c>
      <c r="AV732" s="76">
        <f>MAX(0,(AU732-Constantes!$D$13)*(1-EXP(-Constantes!$D$24)))</f>
        <v>0</v>
      </c>
      <c r="AW732" s="170">
        <f>AW731+(Entradas!$E$112*AT732-AX731)/(800*Entradas!$D$25)</f>
        <v>0</v>
      </c>
      <c r="AX732" s="170">
        <f>8000*Entradas!$D$26*AW732/Constantes!$E$45</f>
        <v>0</v>
      </c>
      <c r="AY732" s="170">
        <f>IF(Escenarios!$E$17&gt;0,10*Escenarios!$E$16*AL732,0)</f>
        <v>0</v>
      </c>
      <c r="AZ732" s="170">
        <f>IF(Escenarios!$E$17&gt;0,10*Escenarios!$E$16*AX732,0)</f>
        <v>0</v>
      </c>
      <c r="BA732" s="170">
        <f>IF(Escenarios!$E$17&gt;0,0.001*Observaciones!$F731*Escenarios!$E$17,0)</f>
        <v>56</v>
      </c>
      <c r="BB732" s="170">
        <f>IF(Escenarios!$E$17&gt;0,Observaciones!$K731,0)</f>
        <v>0</v>
      </c>
      <c r="BC732" s="170">
        <f>IF(Escenarios!$E$17&gt;0,MIN(0.0005*ETo!$M731*Escenarios!$E$17*(BG731/Constantes!$E$40)^(2/3),BG731+AY732+AZ732+BA732+BB732),0)</f>
        <v>21.692611735906564</v>
      </c>
      <c r="BD732" s="170">
        <f>IF(Escenarios!$E$17&gt;0,MIN(Constantes!$E$39*(BG731/Constantes!$E$40)^(2/3),BG731+AY732+AZ732+BA732+BB732-BC732),0)</f>
        <v>34.05086108674535</v>
      </c>
      <c r="BE732" s="170">
        <f>IF(Escenarios!$E$17&gt;0,MIN(Entradas!$E$113,BG731+AY732+AZ732+BA732+BB732-BC732-BD732),0)</f>
        <v>1</v>
      </c>
      <c r="BF732" s="170">
        <f>IF(Escenarios!$E$17&gt;0,MAX(0,BG731+AY732+AZ732+BA732+BB732-BC732-BD732-BE732-Constantes!$E$40),0)</f>
        <v>0</v>
      </c>
      <c r="BG732" s="170">
        <f t="shared" si="166"/>
        <v>1850.5100964382382</v>
      </c>
      <c r="BH732" s="170">
        <f>(Escenarios!$E$16*AK732+0.1*BC732)/(Escenarios!$E$19)</f>
        <v>2.4295871564715932</v>
      </c>
      <c r="BI732" s="170">
        <f>IF(Escenarios!$E$17&gt;0,BF732/10/Escenarios!$E$19,AL732)</f>
        <v>0</v>
      </c>
      <c r="BJ732" s="170">
        <f>(Escenarios!$E$16*AT732+0.1*BD732)/(Escenarios!$E$19)</f>
        <v>0.20167797061037043</v>
      </c>
      <c r="BK732" s="76">
        <f>BK731+(0.1*BD732)/(Escenarios!$E$19)-BL731</f>
        <v>49.649534344937521</v>
      </c>
      <c r="BL732" s="76">
        <f>MAX(0,(BK732-Constantes!$D$13)*(1-EXP(-Constantes!$D$23)))</f>
        <v>8.8633261530580137E-3</v>
      </c>
      <c r="BM732" s="76">
        <f t="shared" si="162"/>
        <v>0.15916306534494593</v>
      </c>
      <c r="BN732" s="76">
        <f t="shared" si="167"/>
        <v>1.1663823817864394</v>
      </c>
      <c r="BO732" s="76">
        <f>0.0526*BI732*Observaciones!$F731^1.218</f>
        <v>0</v>
      </c>
      <c r="BP732" s="76">
        <f>BO732*Constantes!$E$51</f>
        <v>0</v>
      </c>
      <c r="BQ732" s="76">
        <f t="shared" si="163"/>
        <v>0</v>
      </c>
      <c r="BR732" s="40"/>
    </row>
    <row r="733" spans="1:70">
      <c r="A733" s="147"/>
      <c r="B733" s="39"/>
      <c r="C733" s="75">
        <v>727</v>
      </c>
      <c r="D733" s="146">
        <f>ETo!$I732*((1-Constantes!$E$19)*ETo!$K732+ETo!$L732)</f>
        <v>4.5357616737524848</v>
      </c>
      <c r="E733" s="76">
        <f>MIN(D733*Constantes!$E$17,0.8*(N732+Observaciones!$F732-F733-M733-Constantes!$D$14))</f>
        <v>2.2175897313674064</v>
      </c>
      <c r="F733" s="76">
        <f>IF(Observaciones!$F732&gt;0.05*Constantes!$E$18,((Observaciones!$F732-0.05*Constantes!$E$18)^2)/(Observaciones!$F732+0.95*Constantes!$E$18),0)</f>
        <v>1.0321555455750776E-3</v>
      </c>
      <c r="G733" s="76">
        <f>IF(Escenarios!$E$11&gt;0,(F733*Escenarios!$E$16*10000)/1000,0)</f>
        <v>2.580388863937694</v>
      </c>
      <c r="H733" s="76">
        <f>IF(Escenarios!$E$11&gt;0,(Observaciones!$F732*Constantes!$E$29)/1000,0)</f>
        <v>63</v>
      </c>
      <c r="I733" s="76">
        <f>IF(Escenarios!$E$11&gt;0,(D733*Constantes!$E$29)/1000,0)</f>
        <v>45.35761673752485</v>
      </c>
      <c r="J733" s="76">
        <f>IF(Escenarios!$E$11&gt;0,MAX(0,G733+H733-I733),0)</f>
        <v>20.222772126412849</v>
      </c>
      <c r="K733" s="76">
        <f>IF(Escenarios!$E$11&gt;0,IF(J733&gt;Constantes!$E$30,1000*((J733-Constantes!$E$30)/(Escenarios!$E$16*10000)),0),F733)</f>
        <v>0</v>
      </c>
      <c r="L733" s="76">
        <f>IF(Escenarios!$E$11&gt;0,I733*1000/Escenarios!$E$16/10000+E733,E733)</f>
        <v>2.2357327780624163</v>
      </c>
      <c r="M733" s="76">
        <f>MAX(0,N732+Observaciones!$F732-K733-Constantes!$D$13)</f>
        <v>2.4008236611345239</v>
      </c>
      <c r="N733" s="76">
        <f>N732+Observaciones!$F732-K733-L733-M733-O732</f>
        <v>45.369699816890432</v>
      </c>
      <c r="O733" s="76">
        <f>MAX(0,(N733-Constantes!$D$14)*(1-EXP(-Constantes!$D$22)))</f>
        <v>1.1622422317455614</v>
      </c>
      <c r="P733" s="170">
        <f>P732+(Entradas!$E$83*M733-Q732)/(800*Entradas!$D$25)</f>
        <v>0</v>
      </c>
      <c r="Q733" s="170">
        <f>8000*Entradas!$D$26*P733/Constantes!$E$45</f>
        <v>0</v>
      </c>
      <c r="R733" s="170">
        <f>IF(Escenarios!$E$14&gt;0,K733*Escenarios!$E$13/Escenarios!$E$14,0)</f>
        <v>0</v>
      </c>
      <c r="S733" s="170">
        <f>IF(Escenarios!$E$14&gt;0,Q733*Escenarios!$E$13/Escenarios!$E$14,0)</f>
        <v>0</v>
      </c>
      <c r="T733" s="170">
        <f>IF(Escenarios!$E$14&gt;0,Observaciones!$I732,0)</f>
        <v>0</v>
      </c>
      <c r="U733" s="170">
        <f>IF(Escenarios!$E$14&gt;0,MAX(0,Constantes!$E$36/((Z732+R733+S733+T733+Observaciones!$F732)^2)+Entradas!$E$77),0)</f>
        <v>1.6008776394053974</v>
      </c>
      <c r="V733" s="146">
        <f>IF(ETo!D732&gt;0,ETo!I732*((1-Entradas!$E$81)*ETo!K732+ETo!L732),0)</f>
        <v>4.1472375867668507</v>
      </c>
      <c r="W733" s="170">
        <f>IF(Escenarios!$E$14&gt;0,MIN(V733*1,0.8*(Z732+R733+S733+T733+Observaciones!$F732-U733-Constantes!$E$35)),0)</f>
        <v>4.1472375867668507</v>
      </c>
      <c r="X733" s="170">
        <f>IF(Escenarios!$E$14&gt;0,Observaciones!$J732,0)</f>
        <v>0</v>
      </c>
      <c r="Y733" s="170">
        <f>IF(Escenarios!$E$14&gt;0,MAX(0,Z732+R733+S733+T733+Observaciones!$F732-U733-W733-X733-Constantes!$E$33),0)</f>
        <v>0</v>
      </c>
      <c r="Z733" s="170">
        <f>Z732+R733+S733+T733+Observaciones!$F732-U733-W733-Y733</f>
        <v>79.91397053509094</v>
      </c>
      <c r="AA733" s="170">
        <f>IF(Escenarios!$E$14&gt;0,(Escenarios!$E$13*L733+Escenarios!$E$14*W733)/(Escenarios!$E$16),L733)</f>
        <v>2.4651133551069484</v>
      </c>
      <c r="AB733" s="170">
        <f>IF(Escenarios!$E$14&gt;0,(Escenarios!$E$14*Y733)/(Escenarios!$E$16),K733)</f>
        <v>0</v>
      </c>
      <c r="AC733" s="170">
        <f>IF(Escenarios!$E$14&gt;0,(Escenarios!$E$13*M733+Escenarios!$E$14*U733)/(Escenarios!$E$16),M733)</f>
        <v>2.3048301385270289</v>
      </c>
      <c r="AD733" s="76">
        <f t="shared" si="155"/>
        <v>66.158372478880935</v>
      </c>
      <c r="AE733" s="76">
        <f>MAX(0,(AD733-Constantes!$D$13)*(1-EXP(-Constantes!$D$23)))</f>
        <v>0.17152884038569718</v>
      </c>
      <c r="AF733" s="76">
        <f>AB733+O733*Escenarios!$E$13/Escenarios!$E$16+AE733</f>
        <v>1.1943020043217913</v>
      </c>
      <c r="AG733" s="76">
        <f>IF(Entradas!$E$91&gt;0,IF(AF733-Escenarios!$E$38&lt;=0,0,IF(AF733-Escenarios!$E$38&gt;Escenarios!$E$37,Escenarios!$E$37,AF733-Escenarios!$E$38)),0)</f>
        <v>0</v>
      </c>
      <c r="AH733" s="76">
        <f>AG733*Entradas!$E$99</f>
        <v>0</v>
      </c>
      <c r="AI733" s="76">
        <f>IF(Entradas!$E$91&gt;0,D733*Entradas!$D$23/Escenarios!$E$16,0)</f>
        <v>0</v>
      </c>
      <c r="AJ733" s="76">
        <f>IF(Entradas!$E$91&gt;0,Entradas!$D$24*Entradas!$D$22/Escenarios!$E$16,0)</f>
        <v>0</v>
      </c>
      <c r="AK733" s="76">
        <f t="shared" si="164"/>
        <v>2.4651133551069484</v>
      </c>
      <c r="AL733" s="76">
        <f t="shared" si="165"/>
        <v>0</v>
      </c>
      <c r="AM733" s="76">
        <f t="shared" si="156"/>
        <v>0</v>
      </c>
      <c r="AN733" s="76">
        <f>MAX(0,O733*Escenarios!$E$13/Escenarios!$E$16-AM733)</f>
        <v>1.0227731639360942</v>
      </c>
      <c r="AO733" s="76">
        <f>AM733+AN733-O733*Escenarios!$E$13/Escenarios!$E$16</f>
        <v>0</v>
      </c>
      <c r="AP733" s="76">
        <f t="shared" si="154"/>
        <v>0.17152884038569718</v>
      </c>
      <c r="AQ733" s="76">
        <f t="shared" si="157"/>
        <v>0</v>
      </c>
      <c r="AR733" s="76">
        <f t="shared" si="158"/>
        <v>1.1943020043217913</v>
      </c>
      <c r="AS733" s="76">
        <f t="shared" si="159"/>
        <v>0</v>
      </c>
      <c r="AT733" s="76">
        <f t="shared" si="160"/>
        <v>2.3048301385270289</v>
      </c>
      <c r="AU733" s="76">
        <f t="shared" si="161"/>
        <v>48.75</v>
      </c>
      <c r="AV733" s="76">
        <f>MAX(0,(AU733-Constantes!$D$13)*(1-EXP(-Constantes!$D$24)))</f>
        <v>0</v>
      </c>
      <c r="AW733" s="170">
        <f>AW732+(Entradas!$E$112*AT733-AX732)/(800*Entradas!$D$25)</f>
        <v>0</v>
      </c>
      <c r="AX733" s="170">
        <f>8000*Entradas!$D$26*AW733/Constantes!$E$45</f>
        <v>0</v>
      </c>
      <c r="AY733" s="170">
        <f>IF(Escenarios!$E$17&gt;0,10*Escenarios!$E$16*AL733,0)</f>
        <v>0</v>
      </c>
      <c r="AZ733" s="170">
        <f>IF(Escenarios!$E$17&gt;0,10*Escenarios!$E$16*AX733,0)</f>
        <v>0</v>
      </c>
      <c r="BA733" s="170">
        <f>IF(Escenarios!$E$17&gt;0,0.001*Observaciones!$F732*Escenarios!$E$17,0)</f>
        <v>126</v>
      </c>
      <c r="BB733" s="170">
        <f>IF(Escenarios!$E$17&gt;0,Observaciones!$K732,0)</f>
        <v>0</v>
      </c>
      <c r="BC733" s="170">
        <f>IF(Escenarios!$E$17&gt;0,MIN(0.0005*ETo!$M732*Escenarios!$E$17*(BG732/Constantes!$E$40)^(2/3),BG732+AY733+AZ733+BA733+BB733),0)</f>
        <v>21.902099473392656</v>
      </c>
      <c r="BD733" s="170">
        <f>IF(Escenarios!$E$17&gt;0,MIN(Constantes!$E$39*(BG732/Constantes!$E$40)^(2/3),BG732+AY733+AZ733+BA733+BB733-BC733),0)</f>
        <v>34.041743810744876</v>
      </c>
      <c r="BE733" s="170">
        <f>IF(Escenarios!$E$17&gt;0,MIN(Entradas!$E$113,BG732+AY733+AZ733+BA733+BB733-BC733-BD733),0)</f>
        <v>1</v>
      </c>
      <c r="BF733" s="170">
        <f>IF(Escenarios!$E$17&gt;0,MAX(0,BG732+AY733+AZ733+BA733+BB733-BC733-BD733-BE733-Constantes!$E$40),0)</f>
        <v>0</v>
      </c>
      <c r="BG733" s="170">
        <f t="shared" si="166"/>
        <v>1919.5662531541007</v>
      </c>
      <c r="BH733" s="170">
        <f>(Escenarios!$E$16*AK733+0.1*BC733)/(Escenarios!$E$19)</f>
        <v>2.4542402727145887</v>
      </c>
      <c r="BI733" s="170">
        <f>IF(Escenarios!$E$17&gt;0,BF733/10/Escenarios!$E$19,AL733)</f>
        <v>0</v>
      </c>
      <c r="BJ733" s="170">
        <f>(Escenarios!$E$16*AT733+0.1*BD733)/(Escenarios!$E$19)</f>
        <v>2.3000464643366341</v>
      </c>
      <c r="BK733" s="76">
        <f>BK732+(0.1*BD733)/(Escenarios!$E$19)-BL732</f>
        <v>49.654179647280792</v>
      </c>
      <c r="BL733" s="76">
        <f>MAX(0,(BK733-Constantes!$D$13)*(1-EXP(-Constantes!$D$23)))</f>
        <v>8.9090974234710754E-3</v>
      </c>
      <c r="BM733" s="76">
        <f t="shared" si="162"/>
        <v>0.18043793780916825</v>
      </c>
      <c r="BN733" s="76">
        <f t="shared" si="167"/>
        <v>1.2032111017452625</v>
      </c>
      <c r="BO733" s="76">
        <f>0.0526*BI733*Observaciones!$F732^1.218</f>
        <v>0</v>
      </c>
      <c r="BP733" s="76">
        <f>BO733*Constantes!$E$51</f>
        <v>0</v>
      </c>
      <c r="BQ733" s="76">
        <f t="shared" si="163"/>
        <v>0</v>
      </c>
      <c r="BR733" s="40"/>
    </row>
    <row r="734" spans="1:70">
      <c r="A734" s="147"/>
      <c r="B734" s="39"/>
      <c r="C734" s="75">
        <v>728</v>
      </c>
      <c r="D734" s="146">
        <f>ETo!$I733*((1-Constantes!$E$19)*ETo!$K733+ETo!$L733)</f>
        <v>4.3496222135749552</v>
      </c>
      <c r="E734" s="76">
        <f>MIN(D734*Constantes!$E$17,0.8*(N733+Observaciones!$F733-F734-M734-Constantes!$D$14))</f>
        <v>2.1265838573417404</v>
      </c>
      <c r="F734" s="76">
        <f>IF(Observaciones!$F733&gt;0.05*Constantes!$E$18,((Observaciones!$F733-0.05*Constantes!$E$18)^2)/(Observaciones!$F733+0.95*Constantes!$E$18),0)</f>
        <v>0</v>
      </c>
      <c r="G734" s="76">
        <f>IF(Escenarios!$E$11&gt;0,(F734*Escenarios!$E$16*10000)/1000,0)</f>
        <v>0</v>
      </c>
      <c r="H734" s="76">
        <f>IF(Escenarios!$E$11&gt;0,(Observaciones!$F733*Constantes!$E$29)/1000,0)</f>
        <v>39</v>
      </c>
      <c r="I734" s="76">
        <f>IF(Escenarios!$E$11&gt;0,(D734*Constantes!$E$29)/1000,0)</f>
        <v>43.496222135749548</v>
      </c>
      <c r="J734" s="76">
        <f>IF(Escenarios!$E$11&gt;0,MAX(0,G734+H734-I734),0)</f>
        <v>0</v>
      </c>
      <c r="K734" s="76">
        <f>IF(Escenarios!$E$11&gt;0,IF(J734&gt;Constantes!$E$30,1000*((J734-Constantes!$E$30)/(Escenarios!$E$16*10000)),0),F734)</f>
        <v>0</v>
      </c>
      <c r="L734" s="76">
        <f>IF(Escenarios!$E$11&gt;0,I734*1000/Escenarios!$E$16/10000+E734,E734)</f>
        <v>2.1439823461960401</v>
      </c>
      <c r="M734" s="76">
        <f>MAX(0,N733+Observaciones!$F733-K734-Constantes!$D$13)</f>
        <v>0.5196998168904301</v>
      </c>
      <c r="N734" s="76">
        <f>N733+Observaciones!$F733-K734-L734-M734-O733</f>
        <v>45.443775422058401</v>
      </c>
      <c r="O734" s="76">
        <f>MAX(0,(N734-Constantes!$D$14)*(1-EXP(-Constantes!$D$22)))</f>
        <v>1.1647655187946961</v>
      </c>
      <c r="P734" s="170">
        <f>P733+(Entradas!$E$83*M734-Q733)/(800*Entradas!$D$25)</f>
        <v>0</v>
      </c>
      <c r="Q734" s="170">
        <f>8000*Entradas!$D$26*P734/Constantes!$E$45</f>
        <v>0</v>
      </c>
      <c r="R734" s="170">
        <f>IF(Escenarios!$E$14&gt;0,K734*Escenarios!$E$13/Escenarios!$E$14,0)</f>
        <v>0</v>
      </c>
      <c r="S734" s="170">
        <f>IF(Escenarios!$E$14&gt;0,Q734*Escenarios!$E$13/Escenarios!$E$14,0)</f>
        <v>0</v>
      </c>
      <c r="T734" s="170">
        <f>IF(Escenarios!$E$14&gt;0,Observaciones!$I733,0)</f>
        <v>0</v>
      </c>
      <c r="U734" s="170">
        <f>IF(Escenarios!$E$14&gt;0,MAX(0,Constantes!$E$36/((Z733+R734+S734+T734+Observaciones!$F733)^2)+Entradas!$E$77),0)</f>
        <v>1.5384955004290664</v>
      </c>
      <c r="V734" s="146">
        <f>IF(ETo!D733&gt;0,ETo!I733*((1-Entradas!$E$81)*ETo!K733+ETo!L733),0)</f>
        <v>3.9748298889643623</v>
      </c>
      <c r="W734" s="170">
        <f>IF(Escenarios!$E$14&gt;0,MIN(V734*1,0.8*(Z733+R734+S734+T734+Observaciones!$F733-U734-Constantes!$E$35)),0)</f>
        <v>3.9748298889643623</v>
      </c>
      <c r="X734" s="170">
        <f>IF(Escenarios!$E$14&gt;0,Observaciones!$J733,0)</f>
        <v>0</v>
      </c>
      <c r="Y734" s="170">
        <f>IF(Escenarios!$E$14&gt;0,MAX(0,Z733+R734+S734+T734+Observaciones!$F733-U734-W734-X734-Constantes!$E$33),0)</f>
        <v>0</v>
      </c>
      <c r="Z734" s="170">
        <f>Z733+R734+S734+T734+Observaciones!$F733-U734-W734-Y734</f>
        <v>78.300645145697516</v>
      </c>
      <c r="AA734" s="170">
        <f>IF(Escenarios!$E$14&gt;0,(Escenarios!$E$13*L734+Escenarios!$E$14*W734)/(Escenarios!$E$16),L734)</f>
        <v>2.3636840513282387</v>
      </c>
      <c r="AB734" s="170">
        <f>IF(Escenarios!$E$14&gt;0,(Escenarios!$E$14*Y734)/(Escenarios!$E$16),K734)</f>
        <v>0</v>
      </c>
      <c r="AC734" s="170">
        <f>IF(Escenarios!$E$14&gt;0,(Escenarios!$E$13*M734+Escenarios!$E$14*U734)/(Escenarios!$E$16),M734)</f>
        <v>0.64195529891506642</v>
      </c>
      <c r="AD734" s="76">
        <f t="shared" si="155"/>
        <v>66.628798937410309</v>
      </c>
      <c r="AE734" s="76">
        <f>MAX(0,(AD734-Constantes!$D$13)*(1-EXP(-Constantes!$D$23)))</f>
        <v>0.17616406432844001</v>
      </c>
      <c r="AF734" s="76">
        <f>AB734+O734*Escenarios!$E$13/Escenarios!$E$16+AE734</f>
        <v>1.2011577208677724</v>
      </c>
      <c r="AG734" s="76">
        <f>IF(Entradas!$E$91&gt;0,IF(AF734-Escenarios!$E$38&lt;=0,0,IF(AF734-Escenarios!$E$38&gt;Escenarios!$E$37,Escenarios!$E$37,AF734-Escenarios!$E$38)),0)</f>
        <v>0</v>
      </c>
      <c r="AH734" s="76">
        <f>AG734*Entradas!$E$99</f>
        <v>0</v>
      </c>
      <c r="AI734" s="76">
        <f>IF(Entradas!$E$91&gt;0,D734*Entradas!$D$23/Escenarios!$E$16,0)</f>
        <v>0</v>
      </c>
      <c r="AJ734" s="76">
        <f>IF(Entradas!$E$91&gt;0,Entradas!$D$24*Entradas!$D$22/Escenarios!$E$16,0)</f>
        <v>0</v>
      </c>
      <c r="AK734" s="76">
        <f t="shared" si="164"/>
        <v>2.3636840513282387</v>
      </c>
      <c r="AL734" s="76">
        <f t="shared" si="165"/>
        <v>0</v>
      </c>
      <c r="AM734" s="76">
        <f t="shared" si="156"/>
        <v>0</v>
      </c>
      <c r="AN734" s="76">
        <f>MAX(0,O734*Escenarios!$E$13/Escenarios!$E$16-AM734)</f>
        <v>1.0249936565393325</v>
      </c>
      <c r="AO734" s="76">
        <f>AM734+AN734-O734*Escenarios!$E$13/Escenarios!$E$16</f>
        <v>0</v>
      </c>
      <c r="AP734" s="76">
        <f t="shared" si="154"/>
        <v>0.17616406432844001</v>
      </c>
      <c r="AQ734" s="76">
        <f t="shared" si="157"/>
        <v>0</v>
      </c>
      <c r="AR734" s="76">
        <f t="shared" si="158"/>
        <v>1.2011577208677724</v>
      </c>
      <c r="AS734" s="76">
        <f t="shared" si="159"/>
        <v>0</v>
      </c>
      <c r="AT734" s="76">
        <f t="shared" si="160"/>
        <v>0.64195529891506642</v>
      </c>
      <c r="AU734" s="76">
        <f t="shared" si="161"/>
        <v>48.75</v>
      </c>
      <c r="AV734" s="76">
        <f>MAX(0,(AU734-Constantes!$D$13)*(1-EXP(-Constantes!$D$24)))</f>
        <v>0</v>
      </c>
      <c r="AW734" s="170">
        <f>AW733+(Entradas!$E$112*AT734-AX733)/(800*Entradas!$D$25)</f>
        <v>0</v>
      </c>
      <c r="AX734" s="170">
        <f>8000*Entradas!$D$26*AW734/Constantes!$E$45</f>
        <v>0</v>
      </c>
      <c r="AY734" s="170">
        <f>IF(Escenarios!$E$17&gt;0,10*Escenarios!$E$16*AL734,0)</f>
        <v>0</v>
      </c>
      <c r="AZ734" s="170">
        <f>IF(Escenarios!$E$17&gt;0,10*Escenarios!$E$16*AX734,0)</f>
        <v>0</v>
      </c>
      <c r="BA734" s="170">
        <f>IF(Escenarios!$E$17&gt;0,0.001*Observaciones!$F733*Escenarios!$E$17,0)</f>
        <v>78</v>
      </c>
      <c r="BB734" s="170">
        <f>IF(Escenarios!$E$17&gt;0,Observaciones!$K733,0)</f>
        <v>0</v>
      </c>
      <c r="BC734" s="170">
        <f>IF(Escenarios!$E$17&gt;0,MIN(0.0005*ETo!$M733*Escenarios!$E$17*(BG733/Constantes!$E$40)^(2/3),BG733+AY734+AZ734+BA734+BB734),0)</f>
        <v>21.537785383039456</v>
      </c>
      <c r="BD734" s="170">
        <f>IF(Escenarios!$E$17&gt;0,MIN(Constantes!$E$39*(BG733/Constantes!$E$40)^(2/3),BG733+AY734+AZ734+BA734+BB734-BC734),0)</f>
        <v>34.883460715679469</v>
      </c>
      <c r="BE734" s="170">
        <f>IF(Escenarios!$E$17&gt;0,MIN(Entradas!$E$113,BG733+AY734+AZ734+BA734+BB734-BC734-BD734),0)</f>
        <v>1</v>
      </c>
      <c r="BF734" s="170">
        <f>IF(Escenarios!$E$17&gt;0,MAX(0,BG733+AY734+AZ734+BA734+BB734-BC734-BD734-BE734-Constantes!$E$40),0)</f>
        <v>0</v>
      </c>
      <c r="BG734" s="170">
        <f t="shared" si="166"/>
        <v>1940.1450070553817</v>
      </c>
      <c r="BH734" s="170">
        <f>(Escenarios!$E$16*AK734+0.1*BC734)/(Escenarios!$E$19)</f>
        <v>2.3534713943268399</v>
      </c>
      <c r="BI734" s="170">
        <f>IF(Escenarios!$E$17&gt;0,BF734/10/Escenarios!$E$19,AL734)</f>
        <v>0</v>
      </c>
      <c r="BJ734" s="170">
        <f>(Escenarios!$E$16*AT734+0.1*BD734)/(Escenarios!$E$19)</f>
        <v>0.65070305873148637</v>
      </c>
      <c r="BK734" s="76">
        <f>BK733+(0.1*BD734)/(Escenarios!$E$19)-BL733</f>
        <v>49.659113192998468</v>
      </c>
      <c r="BL734" s="76">
        <f>MAX(0,(BK734-Constantes!$D$13)*(1-EXP(-Constantes!$D$23)))</f>
        <v>8.9577088245063833E-3</v>
      </c>
      <c r="BM734" s="76">
        <f t="shared" si="162"/>
        <v>0.1851217731529464</v>
      </c>
      <c r="BN734" s="76">
        <f t="shared" si="167"/>
        <v>1.2101154296922787</v>
      </c>
      <c r="BO734" s="76">
        <f>0.0526*BI734*Observaciones!$F733^1.218</f>
        <v>0</v>
      </c>
      <c r="BP734" s="76">
        <f>BO734*Constantes!$E$51</f>
        <v>0</v>
      </c>
      <c r="BQ734" s="76">
        <f t="shared" si="163"/>
        <v>0</v>
      </c>
      <c r="BR734" s="40"/>
    </row>
    <row r="735" spans="1:70">
      <c r="A735" s="147"/>
      <c r="B735" s="39"/>
      <c r="C735" s="75">
        <v>729</v>
      </c>
      <c r="D735" s="146">
        <f>ETo!$I734*((1-Constantes!$E$19)*ETo!$K734+ETo!$L734)</f>
        <v>4.3541959412166698</v>
      </c>
      <c r="E735" s="76">
        <f>MIN(D735*Constantes!$E$17,0.8*(N734+Observaciones!$F734-F735-M735-Constantes!$D$14))</f>
        <v>2.1288200091023217</v>
      </c>
      <c r="F735" s="76">
        <f>IF(Observaciones!$F734&gt;0.05*Constantes!$E$18,((Observaciones!$F734-0.05*Constantes!$E$18)^2)/(Observaciones!$F734+0.95*Constantes!$E$18),0)</f>
        <v>0</v>
      </c>
      <c r="G735" s="76">
        <f>IF(Escenarios!$E$11&gt;0,(F735*Escenarios!$E$16*10000)/1000,0)</f>
        <v>0</v>
      </c>
      <c r="H735" s="76">
        <f>IF(Escenarios!$E$11&gt;0,(Observaciones!$F734*Constantes!$E$29)/1000,0)</f>
        <v>41</v>
      </c>
      <c r="I735" s="76">
        <f>IF(Escenarios!$E$11&gt;0,(D735*Constantes!$E$29)/1000,0)</f>
        <v>43.541959412166698</v>
      </c>
      <c r="J735" s="76">
        <f>IF(Escenarios!$E$11&gt;0,MAX(0,G735+H735-I735),0)</f>
        <v>0</v>
      </c>
      <c r="K735" s="76">
        <f>IF(Escenarios!$E$11&gt;0,IF(J735&gt;Constantes!$E$30,1000*((J735-Constantes!$E$30)/(Escenarios!$E$16*10000)),0),F735)</f>
        <v>0</v>
      </c>
      <c r="L735" s="76">
        <f>IF(Escenarios!$E$11&gt;0,I735*1000/Escenarios!$E$16/10000+E735,E735)</f>
        <v>2.1462367928671884</v>
      </c>
      <c r="M735" s="76">
        <f>MAX(0,N734+Observaciones!$F734-K735-Constantes!$D$13)</f>
        <v>0.79377542205840257</v>
      </c>
      <c r="N735" s="76">
        <f>N734+Observaciones!$F734-K735-L735-M735-O734</f>
        <v>45.438997688338119</v>
      </c>
      <c r="O735" s="76">
        <f>MAX(0,(N735-Constantes!$D$14)*(1-EXP(-Constantes!$D$22)))</f>
        <v>1.1646027716447638</v>
      </c>
      <c r="P735" s="170">
        <f>P734+(Entradas!$E$83*M735-Q734)/(800*Entradas!$D$25)</f>
        <v>0</v>
      </c>
      <c r="Q735" s="170">
        <f>8000*Entradas!$D$26*P735/Constantes!$E$45</f>
        <v>0</v>
      </c>
      <c r="R735" s="170">
        <f>IF(Escenarios!$E$14&gt;0,K735*Escenarios!$E$13/Escenarios!$E$14,0)</f>
        <v>0</v>
      </c>
      <c r="S735" s="170">
        <f>IF(Escenarios!$E$14&gt;0,Q735*Escenarios!$E$13/Escenarios!$E$14,0)</f>
        <v>0</v>
      </c>
      <c r="T735" s="170">
        <f>IF(Escenarios!$E$14&gt;0,Observaciones!$I734,0)</f>
        <v>0</v>
      </c>
      <c r="U735" s="170">
        <f>IF(Escenarios!$E$14&gt;0,MAX(0,Constantes!$E$36/((Z734+R735+S735+T735+Observaciones!$F734)^2)+Entradas!$E$77),0)</f>
        <v>1.4879304664492863</v>
      </c>
      <c r="V735" s="146">
        <f>IF(ETo!D734&gt;0,ETo!I734*((1-Entradas!$E$81)*ETo!K734+ETo!L734),0)</f>
        <v>3.9790574298948695</v>
      </c>
      <c r="W735" s="170">
        <f>IF(Escenarios!$E$14&gt;0,MIN(V735*1,0.8*(Z734+R735+S735+T735+Observaciones!$F734-U735-Constantes!$E$35)),0)</f>
        <v>3.9790574298948695</v>
      </c>
      <c r="X735" s="170">
        <f>IF(Escenarios!$E$14&gt;0,Observaciones!$J734,0)</f>
        <v>0</v>
      </c>
      <c r="Y735" s="170">
        <f>IF(Escenarios!$E$14&gt;0,MAX(0,Z734+R735+S735+T735+Observaciones!$F734-U735-W735-X735-Constantes!$E$33),0)</f>
        <v>0</v>
      </c>
      <c r="Z735" s="170">
        <f>Z734+R735+S735+T735+Observaciones!$F734-U735-W735-Y735</f>
        <v>76.933657249353359</v>
      </c>
      <c r="AA735" s="170">
        <f>IF(Escenarios!$E$14&gt;0,(Escenarios!$E$13*L735+Escenarios!$E$14*W735)/(Escenarios!$E$16),L735)</f>
        <v>2.36617526931051</v>
      </c>
      <c r="AB735" s="170">
        <f>IF(Escenarios!$E$14&gt;0,(Escenarios!$E$14*Y735)/(Escenarios!$E$16),K735)</f>
        <v>0</v>
      </c>
      <c r="AC735" s="170">
        <f>IF(Escenarios!$E$14&gt;0,(Escenarios!$E$13*M735+Escenarios!$E$14*U735)/(Escenarios!$E$16),M735)</f>
        <v>0.87707402738530871</v>
      </c>
      <c r="AD735" s="76">
        <f t="shared" si="155"/>
        <v>67.329708900467168</v>
      </c>
      <c r="AE735" s="76">
        <f>MAX(0,(AD735-Constantes!$D$13)*(1-EXP(-Constantes!$D$23)))</f>
        <v>0.18307029713818587</v>
      </c>
      <c r="AF735" s="76">
        <f>AB735+O735*Escenarios!$E$13/Escenarios!$E$16+AE735</f>
        <v>1.2079207361855782</v>
      </c>
      <c r="AG735" s="76">
        <f>IF(Entradas!$E$91&gt;0,IF(AF735-Escenarios!$E$38&lt;=0,0,IF(AF735-Escenarios!$E$38&gt;Escenarios!$E$37,Escenarios!$E$37,AF735-Escenarios!$E$38)),0)</f>
        <v>0</v>
      </c>
      <c r="AH735" s="76">
        <f>AG735*Entradas!$E$99</f>
        <v>0</v>
      </c>
      <c r="AI735" s="76">
        <f>IF(Entradas!$E$91&gt;0,D735*Entradas!$D$23/Escenarios!$E$16,0)</f>
        <v>0</v>
      </c>
      <c r="AJ735" s="76">
        <f>IF(Entradas!$E$91&gt;0,Entradas!$D$24*Entradas!$D$22/Escenarios!$E$16,0)</f>
        <v>0</v>
      </c>
      <c r="AK735" s="76">
        <f t="shared" si="164"/>
        <v>2.36617526931051</v>
      </c>
      <c r="AL735" s="76">
        <f t="shared" si="165"/>
        <v>0</v>
      </c>
      <c r="AM735" s="76">
        <f t="shared" si="156"/>
        <v>0</v>
      </c>
      <c r="AN735" s="76">
        <f>MAX(0,O735*Escenarios!$E$13/Escenarios!$E$16-AM735)</f>
        <v>1.0248504390473923</v>
      </c>
      <c r="AO735" s="76">
        <f>AM735+AN735-O735*Escenarios!$E$13/Escenarios!$E$16</f>
        <v>0</v>
      </c>
      <c r="AP735" s="76">
        <f t="shared" si="154"/>
        <v>0.18307029713818587</v>
      </c>
      <c r="AQ735" s="76">
        <f t="shared" si="157"/>
        <v>0</v>
      </c>
      <c r="AR735" s="76">
        <f t="shared" si="158"/>
        <v>1.2079207361855782</v>
      </c>
      <c r="AS735" s="76">
        <f t="shared" si="159"/>
        <v>0</v>
      </c>
      <c r="AT735" s="76">
        <f t="shared" si="160"/>
        <v>0.87707402738530871</v>
      </c>
      <c r="AU735" s="76">
        <f t="shared" si="161"/>
        <v>48.75</v>
      </c>
      <c r="AV735" s="76">
        <f>MAX(0,(AU735-Constantes!$D$13)*(1-EXP(-Constantes!$D$24)))</f>
        <v>0</v>
      </c>
      <c r="AW735" s="170">
        <f>AW734+(Entradas!$E$112*AT735-AX734)/(800*Entradas!$D$25)</f>
        <v>0</v>
      </c>
      <c r="AX735" s="170">
        <f>8000*Entradas!$D$26*AW735/Constantes!$E$45</f>
        <v>0</v>
      </c>
      <c r="AY735" s="170">
        <f>IF(Escenarios!$E$17&gt;0,10*Escenarios!$E$16*AL735,0)</f>
        <v>0</v>
      </c>
      <c r="AZ735" s="170">
        <f>IF(Escenarios!$E$17&gt;0,10*Escenarios!$E$16*AX735,0)</f>
        <v>0</v>
      </c>
      <c r="BA735" s="170">
        <f>IF(Escenarios!$E$17&gt;0,0.001*Observaciones!$F734*Escenarios!$E$17,0)</f>
        <v>81.999999999999986</v>
      </c>
      <c r="BB735" s="170">
        <f>IF(Escenarios!$E$17&gt;0,Observaciones!$K734,0)</f>
        <v>0</v>
      </c>
      <c r="BC735" s="170">
        <f>IF(Escenarios!$E$17&gt;0,MIN(0.0005*ETo!$M734*Escenarios!$E$17*(BG734/Constantes!$E$40)^(2/3),BG734+AY735+AZ735+BA735+BB735),0)</f>
        <v>21.713920468865698</v>
      </c>
      <c r="BD735" s="170">
        <f>IF(Escenarios!$E$17&gt;0,MIN(Constantes!$E$39*(BG734/Constantes!$E$40)^(2/3),BG734+AY735+AZ735+BA735+BB735-BC735),0)</f>
        <v>35.132329990087285</v>
      </c>
      <c r="BE735" s="170">
        <f>IF(Escenarios!$E$17&gt;0,MIN(Entradas!$E$113,BG734+AY735+AZ735+BA735+BB735-BC735-BD735),0)</f>
        <v>1</v>
      </c>
      <c r="BF735" s="170">
        <f>IF(Escenarios!$E$17&gt;0,MAX(0,BG734+AY735+AZ735+BA735+BB735-BC735-BD735-BE735-Constantes!$E$40),0)</f>
        <v>0</v>
      </c>
      <c r="BG735" s="170">
        <f t="shared" si="166"/>
        <v>1964.2987565964286</v>
      </c>
      <c r="BH735" s="170">
        <f>(Escenarios!$E$16*AK735+0.1*BC735)/(Escenarios!$E$19)</f>
        <v>2.3560127356131511</v>
      </c>
      <c r="BI735" s="170">
        <f>IF(Escenarios!$E$17&gt;0,BF735/10/Escenarios!$E$19,AL735)</f>
        <v>0</v>
      </c>
      <c r="BJ735" s="170">
        <f>(Escenarios!$E$16*AT735+0.1*BD735)/(Escenarios!$E$19)</f>
        <v>0.88405452319577738</v>
      </c>
      <c r="BK735" s="76">
        <f>BK734+(0.1*BD735)/(Escenarios!$E$19)-BL734</f>
        <v>49.664096884963683</v>
      </c>
      <c r="BL735" s="76">
        <f>MAX(0,(BK735-Constantes!$D$13)*(1-EXP(-Constantes!$D$23)))</f>
        <v>9.0068143284625923E-3</v>
      </c>
      <c r="BM735" s="76">
        <f t="shared" si="162"/>
        <v>0.19207711146664846</v>
      </c>
      <c r="BN735" s="76">
        <f t="shared" si="167"/>
        <v>1.2169275505140407</v>
      </c>
      <c r="BO735" s="76">
        <f>0.0526*BI735*Observaciones!$F734^1.218</f>
        <v>0</v>
      </c>
      <c r="BP735" s="76">
        <f>BO735*Constantes!$E$51</f>
        <v>0</v>
      </c>
      <c r="BQ735" s="76">
        <f t="shared" si="163"/>
        <v>0</v>
      </c>
      <c r="BR735" s="40"/>
    </row>
    <row r="736" spans="1:70">
      <c r="A736" s="147"/>
      <c r="B736" s="39"/>
      <c r="C736" s="75">
        <v>730</v>
      </c>
      <c r="D736" s="146">
        <f>ETo!$I735*((1-Constantes!$E$19)*ETo!$K735+ETo!$L735)</f>
        <v>4.1768776565896193</v>
      </c>
      <c r="E736" s="76">
        <f>MIN(D736*Constantes!$E$17,0.8*(N735+Observaciones!$F735-F736-M736-Constantes!$D$14))</f>
        <v>2.0421269164188791</v>
      </c>
      <c r="F736" s="76">
        <f>IF(Observaciones!$F735&gt;0.05*Constantes!$E$18,((Observaciones!$F735-0.05*Constantes!$E$18)^2)/(Observaciones!$F735+0.95*Constantes!$E$18),0)</f>
        <v>0</v>
      </c>
      <c r="G736" s="76">
        <f>IF(Escenarios!$E$11&gt;0,(F736*Escenarios!$E$16*10000)/1000,0)</f>
        <v>0</v>
      </c>
      <c r="H736" s="76">
        <f>IF(Escenarios!$E$11&gt;0,(Observaciones!$F735*Constantes!$E$29)/1000,0)</f>
        <v>25</v>
      </c>
      <c r="I736" s="76">
        <f>IF(Escenarios!$E$11&gt;0,(D736*Constantes!$E$29)/1000,0)</f>
        <v>41.768776565896196</v>
      </c>
      <c r="J736" s="76">
        <f>IF(Escenarios!$E$11&gt;0,MAX(0,G736+H736-I736),0)</f>
        <v>0</v>
      </c>
      <c r="K736" s="76">
        <f>IF(Escenarios!$E$11&gt;0,IF(J736&gt;Constantes!$E$30,1000*((J736-Constantes!$E$30)/(Escenarios!$E$16*10000)),0),F736)</f>
        <v>0</v>
      </c>
      <c r="L736" s="76">
        <f>IF(Escenarios!$E$11&gt;0,I736*1000/Escenarios!$E$16/10000+E736,E736)</f>
        <v>2.0588344270452374</v>
      </c>
      <c r="M736" s="76">
        <f>MAX(0,N735+Observaciones!$F735-K736-Constantes!$D$13)</f>
        <v>0</v>
      </c>
      <c r="N736" s="76">
        <f>N735+Observaciones!$F735-K736-L736-M736-O735</f>
        <v>44.715560489648112</v>
      </c>
      <c r="O736" s="76">
        <f>MAX(0,(N736-Constantes!$D$14)*(1-EXP(-Constantes!$D$22)))</f>
        <v>1.1399598448650563</v>
      </c>
      <c r="P736" s="170">
        <f>P735+(Entradas!$E$83*M736-Q735)/(800*Entradas!$D$25)</f>
        <v>0</v>
      </c>
      <c r="Q736" s="170">
        <f>8000*Entradas!$D$26*P736/Constantes!$E$45</f>
        <v>0</v>
      </c>
      <c r="R736" s="170">
        <f>IF(Escenarios!$E$14&gt;0,K736*Escenarios!$E$13/Escenarios!$E$14,0)</f>
        <v>0</v>
      </c>
      <c r="S736" s="170">
        <f>IF(Escenarios!$E$14&gt;0,Q736*Escenarios!$E$13/Escenarios!$E$14,0)</f>
        <v>0</v>
      </c>
      <c r="T736" s="170">
        <f>IF(Escenarios!$E$14&gt;0,Observaciones!$I735,0)</f>
        <v>0</v>
      </c>
      <c r="U736" s="170">
        <f>IF(Escenarios!$E$14&gt;0,MAX(0,Constantes!$E$36/((Z735+R736+S736+T736+Observaciones!$F735)^2)+Entradas!$E$77),0)</f>
        <v>1.3728639406982741</v>
      </c>
      <c r="V736" s="146">
        <f>IF(ETo!D735&gt;0,ETo!I735*((1-Entradas!$E$81)*ETo!K735+ETo!L735),0)</f>
        <v>3.8154979966692331</v>
      </c>
      <c r="W736" s="170">
        <f>IF(Escenarios!$E$14&gt;0,MIN(V736*1,0.8*(Z735+R736+S736+T736+Observaciones!$F735-U736-Constantes!$E$35)),0)</f>
        <v>3.8154979966692331</v>
      </c>
      <c r="X736" s="170">
        <f>IF(Escenarios!$E$14&gt;0,Observaciones!$J735,0)</f>
        <v>0</v>
      </c>
      <c r="Y736" s="170">
        <f>IF(Escenarios!$E$14&gt;0,MAX(0,Z735+R736+S736+T736+Observaciones!$F735-U736-W736-X736-Constantes!$E$33),0)</f>
        <v>0</v>
      </c>
      <c r="Z736" s="170">
        <f>Z735+R736+S736+T736+Observaciones!$F735-U736-W736-Y736</f>
        <v>74.245295311985842</v>
      </c>
      <c r="AA736" s="170">
        <f>IF(Escenarios!$E$14&gt;0,(Escenarios!$E$13*L736+Escenarios!$E$14*W736)/(Escenarios!$E$16),L736)</f>
        <v>2.2696340554001169</v>
      </c>
      <c r="AB736" s="170">
        <f>IF(Escenarios!$E$14&gt;0,(Escenarios!$E$14*Y736)/(Escenarios!$E$16),K736)</f>
        <v>0</v>
      </c>
      <c r="AC736" s="170">
        <f>IF(Escenarios!$E$14&gt;0,(Escenarios!$E$13*M736+Escenarios!$E$14*U736)/(Escenarios!$E$16),M736)</f>
        <v>0.16474367288379291</v>
      </c>
      <c r="AD736" s="76">
        <f t="shared" si="155"/>
        <v>67.311382276212768</v>
      </c>
      <c r="AE736" s="76">
        <f>MAX(0,(AD736-Constantes!$D$13)*(1-EXP(-Constantes!$D$23)))</f>
        <v>0.18288972054434546</v>
      </c>
      <c r="AF736" s="76">
        <f>AB736+O736*Escenarios!$E$13/Escenarios!$E$16+AE736</f>
        <v>1.186054384025595</v>
      </c>
      <c r="AG736" s="76">
        <f>IF(Entradas!$E$91&gt;0,IF(AF736-Escenarios!$E$38&lt;=0,0,IF(AF736-Escenarios!$E$38&gt;Escenarios!$E$37,Escenarios!$E$37,AF736-Escenarios!$E$38)),0)</f>
        <v>0</v>
      </c>
      <c r="AH736" s="76">
        <f>AG736*Entradas!$E$99</f>
        <v>0</v>
      </c>
      <c r="AI736" s="76">
        <f>IF(Entradas!$E$91&gt;0,D736*Entradas!$D$23/Escenarios!$E$16,0)</f>
        <v>0</v>
      </c>
      <c r="AJ736" s="76">
        <f>IF(Entradas!$E$91&gt;0,Entradas!$D$24*Entradas!$D$22/Escenarios!$E$16,0)</f>
        <v>0</v>
      </c>
      <c r="AK736" s="76">
        <f t="shared" si="164"/>
        <v>2.2696340554001169</v>
      </c>
      <c r="AL736" s="76">
        <f t="shared" si="165"/>
        <v>0</v>
      </c>
      <c r="AM736" s="76">
        <f t="shared" si="156"/>
        <v>0</v>
      </c>
      <c r="AN736" s="76">
        <f>MAX(0,O736*Escenarios!$E$13/Escenarios!$E$16-AM736)</f>
        <v>1.0031646634812497</v>
      </c>
      <c r="AO736" s="76">
        <f>AM736+AN736-O736*Escenarios!$E$13/Escenarios!$E$16</f>
        <v>0</v>
      </c>
      <c r="AP736" s="76">
        <f t="shared" si="154"/>
        <v>0.18288972054434546</v>
      </c>
      <c r="AQ736" s="76">
        <f t="shared" si="157"/>
        <v>0</v>
      </c>
      <c r="AR736" s="76">
        <f t="shared" si="158"/>
        <v>1.186054384025595</v>
      </c>
      <c r="AS736" s="76">
        <f t="shared" si="159"/>
        <v>0</v>
      </c>
      <c r="AT736" s="76">
        <f t="shared" si="160"/>
        <v>0.16474367288379291</v>
      </c>
      <c r="AU736" s="76">
        <f t="shared" si="161"/>
        <v>48.75</v>
      </c>
      <c r="AV736" s="76">
        <f>MAX(0,(AU736-Constantes!$D$13)*(1-EXP(-Constantes!$D$24)))</f>
        <v>0</v>
      </c>
      <c r="AW736" s="170">
        <f>AW735+(Entradas!$E$112*AT736-AX735)/(800*Entradas!$D$25)</f>
        <v>0</v>
      </c>
      <c r="AX736" s="170">
        <f>8000*Entradas!$D$26*AW736/Constantes!$E$45</f>
        <v>0</v>
      </c>
      <c r="AY736" s="170">
        <f>IF(Escenarios!$E$17&gt;0,10*Escenarios!$E$16*AL736,0)</f>
        <v>0</v>
      </c>
      <c r="AZ736" s="170">
        <f>IF(Escenarios!$E$17&gt;0,10*Escenarios!$E$16*AX736,0)</f>
        <v>0</v>
      </c>
      <c r="BA736" s="170">
        <f>IF(Escenarios!$E$17&gt;0,0.001*Observaciones!$F735*Escenarios!$E$17,0)</f>
        <v>50</v>
      </c>
      <c r="BB736" s="170">
        <f>IF(Escenarios!$E$17&gt;0,Observaciones!$K735,0)</f>
        <v>0</v>
      </c>
      <c r="BC736" s="170">
        <f>IF(Escenarios!$E$17&gt;0,MIN(0.0005*ETo!$M735*Escenarios!$E$17*(BG735/Constantes!$E$40)^(2/3),BG735+AY736+AZ736+BA736+BB736),0)</f>
        <v>21.012751938683049</v>
      </c>
      <c r="BD736" s="170">
        <f>IF(Escenarios!$E$17&gt;0,MIN(Constantes!$E$39*(BG735/Constantes!$E$40)^(2/3),BG735+AY736+AZ736+BA736+BB736-BC736),0)</f>
        <v>35.423313893184364</v>
      </c>
      <c r="BE736" s="170">
        <f>IF(Escenarios!$E$17&gt;0,MIN(Entradas!$E$113,BG735+AY736+AZ736+BA736+BB736-BC736-BD736),0)</f>
        <v>1</v>
      </c>
      <c r="BF736" s="170">
        <f>IF(Escenarios!$E$17&gt;0,MAX(0,BG735+AY736+AZ736+BA736+BB736-BC736-BD736-BE736-Constantes!$E$40),0)</f>
        <v>0</v>
      </c>
      <c r="BG736" s="170">
        <f t="shared" si="166"/>
        <v>1956.8626907645612</v>
      </c>
      <c r="BH736" s="170">
        <f>(Escenarios!$E$16*AK736+0.1*BC736)/(Escenarios!$E$19)</f>
        <v>2.2599594803329266</v>
      </c>
      <c r="BI736" s="170">
        <f>IF(Escenarios!$E$17&gt;0,BF736/10/Escenarios!$E$19,AL736)</f>
        <v>0</v>
      </c>
      <c r="BJ736" s="170">
        <f>(Escenarios!$E$16*AT736+0.1*BD736)/(Escenarios!$E$19)</f>
        <v>0.17749305400899468</v>
      </c>
      <c r="BK736" s="76">
        <f>BK735+(0.1*BD736)/(Escenarios!$E$19)-BL735</f>
        <v>49.669146941227751</v>
      </c>
      <c r="BL736" s="76">
        <f>MAX(0,(BK736-Constantes!$D$13)*(1-EXP(-Constantes!$D$23)))</f>
        <v>9.0565737356621424E-3</v>
      </c>
      <c r="BM736" s="76">
        <f t="shared" si="162"/>
        <v>0.19194629428000762</v>
      </c>
      <c r="BN736" s="76">
        <f t="shared" si="167"/>
        <v>1.1951109577612571</v>
      </c>
      <c r="BO736" s="76">
        <f>0.0526*BI736*Observaciones!$F735^1.218</f>
        <v>0</v>
      </c>
      <c r="BP736" s="76">
        <f>BO736*Constantes!$E$51</f>
        <v>0</v>
      </c>
      <c r="BQ736" s="76">
        <f t="shared" si="163"/>
        <v>0</v>
      </c>
      <c r="BR736" s="40"/>
    </row>
    <row r="737" spans="1:70" ht="15" thickBot="1">
      <c r="A737" s="147"/>
      <c r="B737" s="41"/>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3"/>
    </row>
    <row r="738" spans="1:70">
      <c r="A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c r="AC738" s="147"/>
      <c r="AD738" s="147"/>
      <c r="AE738" s="147"/>
      <c r="AF738" s="147"/>
      <c r="AG738" s="147"/>
      <c r="AH738" s="147"/>
      <c r="AI738" s="147"/>
      <c r="AJ738" s="147"/>
      <c r="AK738" s="147"/>
      <c r="AL738" s="147"/>
      <c r="AM738" s="147"/>
      <c r="AN738" s="147"/>
      <c r="AO738" s="147"/>
      <c r="AP738" s="147"/>
      <c r="AQ738" s="147"/>
      <c r="AR738" s="147"/>
      <c r="AS738" s="147"/>
      <c r="AT738" s="147"/>
      <c r="AU738" s="147"/>
      <c r="AV738" s="147"/>
      <c r="AW738" s="147"/>
      <c r="AX738" s="147"/>
      <c r="AY738" s="147"/>
      <c r="AZ738" s="147"/>
      <c r="BA738" s="147"/>
      <c r="BB738" s="147"/>
      <c r="BC738" s="147"/>
      <c r="BD738" s="147"/>
      <c r="BE738" s="147"/>
      <c r="BF738" s="147"/>
      <c r="BG738" s="147"/>
      <c r="BH738" s="147"/>
      <c r="BI738" s="147"/>
      <c r="BJ738" s="147"/>
      <c r="BK738" s="147"/>
      <c r="BL738" s="147"/>
      <c r="BM738" s="147"/>
      <c r="BN738" s="147"/>
      <c r="BO738" s="147"/>
      <c r="BP738" s="147"/>
    </row>
    <row r="739" spans="1:70">
      <c r="A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c r="AC739" s="147"/>
      <c r="AD739" s="147"/>
      <c r="AE739" s="147"/>
      <c r="AF739" s="147"/>
      <c r="AG739" s="147"/>
      <c r="AH739" s="147"/>
      <c r="AI739" s="147"/>
      <c r="AJ739" s="147"/>
      <c r="AK739" s="147"/>
      <c r="AL739" s="147"/>
      <c r="AM739" s="147"/>
      <c r="AN739" s="147"/>
      <c r="AO739" s="147"/>
      <c r="AP739" s="147"/>
      <c r="AQ739" s="147"/>
      <c r="AR739" s="147"/>
      <c r="AS739" s="147"/>
      <c r="AT739" s="147"/>
      <c r="AU739" s="147"/>
      <c r="AV739" s="147"/>
      <c r="AW739" s="147"/>
      <c r="AX739" s="147"/>
      <c r="AY739" s="147"/>
      <c r="AZ739" s="147"/>
      <c r="BA739" s="147"/>
      <c r="BB739" s="147"/>
      <c r="BC739" s="147"/>
      <c r="BD739" s="147"/>
      <c r="BE739" s="147"/>
      <c r="BF739" s="147"/>
      <c r="BG739" s="147"/>
      <c r="BH739" s="147"/>
      <c r="BI739" s="147"/>
      <c r="BJ739" s="147"/>
      <c r="BK739" s="147"/>
      <c r="BL739" s="147"/>
      <c r="BM739" s="147"/>
      <c r="BN739" s="147"/>
      <c r="BO739" s="147"/>
      <c r="BP739" s="147"/>
    </row>
    <row r="740" spans="1:70">
      <c r="A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c r="AC740" s="147"/>
      <c r="AD740" s="147"/>
      <c r="AE740" s="147"/>
      <c r="AF740" s="147"/>
      <c r="AG740" s="147"/>
      <c r="AH740" s="147"/>
      <c r="AI740" s="147"/>
      <c r="AJ740" s="147"/>
      <c r="AK740" s="147"/>
      <c r="AL740" s="147"/>
      <c r="AM740" s="147"/>
      <c r="AN740" s="147"/>
      <c r="AO740" s="147"/>
      <c r="AP740" s="147"/>
      <c r="AQ740" s="147"/>
      <c r="AR740" s="147"/>
      <c r="AS740" s="147"/>
      <c r="AT740" s="147"/>
      <c r="AU740" s="147"/>
      <c r="AV740" s="147"/>
      <c r="AW740" s="147"/>
      <c r="AX740" s="147"/>
      <c r="AY740" s="147"/>
      <c r="AZ740" s="147"/>
      <c r="BA740" s="147"/>
      <c r="BB740" s="147"/>
      <c r="BC740" s="147"/>
      <c r="BD740" s="147"/>
      <c r="BE740" s="147"/>
      <c r="BF740" s="147"/>
      <c r="BG740" s="147"/>
      <c r="BH740" s="147"/>
      <c r="BI740" s="147"/>
      <c r="BJ740" s="147"/>
      <c r="BK740" s="147"/>
      <c r="BL740" s="147"/>
      <c r="BM740" s="147"/>
      <c r="BN740" s="147"/>
      <c r="BO740" s="147"/>
      <c r="BP740" s="147"/>
    </row>
    <row r="741" spans="1:70">
      <c r="A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c r="AC741" s="147"/>
      <c r="AD741" s="147"/>
      <c r="AE741" s="147"/>
      <c r="AF741" s="147"/>
      <c r="AG741" s="147"/>
      <c r="AH741" s="147"/>
      <c r="AI741" s="147"/>
      <c r="AJ741" s="147"/>
      <c r="AK741" s="147"/>
      <c r="AL741" s="147"/>
      <c r="AM741" s="147"/>
      <c r="AN741" s="147"/>
      <c r="AO741" s="147"/>
      <c r="AP741" s="147"/>
      <c r="AQ741" s="147"/>
      <c r="AR741" s="147"/>
      <c r="AS741" s="147"/>
      <c r="AT741" s="147"/>
      <c r="AU741" s="147"/>
      <c r="AV741" s="147"/>
      <c r="AW741" s="147"/>
      <c r="AX741" s="147"/>
      <c r="AY741" s="147"/>
      <c r="AZ741" s="147"/>
      <c r="BA741" s="147"/>
      <c r="BB741" s="147"/>
      <c r="BC741" s="147"/>
      <c r="BD741" s="147"/>
      <c r="BE741" s="147"/>
      <c r="BF741" s="147"/>
      <c r="BG741" s="147"/>
      <c r="BH741" s="147"/>
      <c r="BI741" s="147"/>
      <c r="BJ741" s="147"/>
      <c r="BK741" s="147"/>
      <c r="BL741" s="147"/>
      <c r="BM741" s="147"/>
      <c r="BN741" s="147"/>
      <c r="BO741" s="147"/>
      <c r="BP741" s="147"/>
    </row>
    <row r="742" spans="1:70">
      <c r="A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c r="AC742" s="147"/>
      <c r="AD742" s="147"/>
      <c r="AE742" s="147"/>
      <c r="AF742" s="147"/>
      <c r="AG742" s="147"/>
      <c r="AH742" s="147"/>
      <c r="AI742" s="147"/>
      <c r="AJ742" s="147"/>
      <c r="AK742" s="147"/>
      <c r="AL742" s="147"/>
      <c r="AM742" s="147"/>
      <c r="AN742" s="147"/>
      <c r="AO742" s="147"/>
      <c r="AP742" s="147"/>
      <c r="AQ742" s="147"/>
      <c r="AR742" s="147"/>
      <c r="AS742" s="147"/>
      <c r="AT742" s="147"/>
      <c r="AU742" s="147"/>
      <c r="AV742" s="147"/>
      <c r="AW742" s="147"/>
      <c r="AX742" s="147"/>
      <c r="AY742" s="147"/>
      <c r="AZ742" s="147"/>
      <c r="BA742" s="147"/>
      <c r="BB742" s="147"/>
      <c r="BC742" s="147"/>
      <c r="BD742" s="147"/>
      <c r="BE742" s="147"/>
      <c r="BF742" s="147"/>
      <c r="BG742" s="147"/>
      <c r="BH742" s="147"/>
      <c r="BI742" s="147"/>
      <c r="BJ742" s="147"/>
      <c r="BK742" s="147"/>
      <c r="BL742" s="147"/>
      <c r="BM742" s="147"/>
      <c r="BN742" s="147"/>
      <c r="BO742" s="147"/>
      <c r="BP742" s="147"/>
    </row>
    <row r="743" spans="1:70">
      <c r="A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c r="AC743" s="147"/>
      <c r="AD743" s="147"/>
      <c r="AE743" s="147"/>
      <c r="AF743" s="147"/>
      <c r="AG743" s="147"/>
      <c r="AH743" s="147"/>
      <c r="AI743" s="147"/>
      <c r="AJ743" s="147"/>
      <c r="AK743" s="147"/>
      <c r="AL743" s="147"/>
      <c r="AM743" s="147"/>
      <c r="AN743" s="147"/>
      <c r="AO743" s="147"/>
      <c r="AP743" s="147"/>
      <c r="AQ743" s="147"/>
      <c r="AR743" s="147"/>
      <c r="AS743" s="147"/>
      <c r="AT743" s="147"/>
      <c r="AU743" s="147"/>
      <c r="AV743" s="147"/>
      <c r="AW743" s="147"/>
      <c r="AX743" s="147"/>
      <c r="AY743" s="147"/>
      <c r="AZ743" s="147"/>
      <c r="BA743" s="147"/>
      <c r="BB743" s="147"/>
      <c r="BC743" s="147"/>
      <c r="BD743" s="147"/>
      <c r="BE743" s="147"/>
      <c r="BF743" s="147"/>
      <c r="BG743" s="147"/>
      <c r="BH743" s="147"/>
      <c r="BI743" s="147"/>
      <c r="BJ743" s="147"/>
      <c r="BK743" s="147"/>
      <c r="BL743" s="147"/>
      <c r="BM743" s="147"/>
      <c r="BN743" s="147"/>
      <c r="BO743" s="147"/>
      <c r="BP743" s="147"/>
    </row>
    <row r="744" spans="1:70">
      <c r="A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c r="AC744" s="147"/>
      <c r="AD744" s="147"/>
      <c r="AE744" s="147"/>
      <c r="AF744" s="147"/>
      <c r="AG744" s="147"/>
      <c r="AH744" s="147"/>
      <c r="AI744" s="147"/>
      <c r="AJ744" s="147"/>
      <c r="AK744" s="147"/>
      <c r="AL744" s="147"/>
      <c r="AM744" s="147"/>
      <c r="AN744" s="147"/>
      <c r="AO744" s="147"/>
      <c r="AP744" s="147"/>
      <c r="AQ744" s="147"/>
      <c r="AR744" s="147"/>
      <c r="AS744" s="147"/>
      <c r="AT744" s="147"/>
      <c r="AU744" s="147"/>
      <c r="AV744" s="147"/>
      <c r="AW744" s="147"/>
      <c r="AX744" s="147"/>
      <c r="AY744" s="147"/>
      <c r="AZ744" s="147"/>
      <c r="BA744" s="147"/>
      <c r="BB744" s="147"/>
      <c r="BC744" s="147"/>
      <c r="BD744" s="147"/>
      <c r="BE744" s="147"/>
      <c r="BF744" s="147"/>
      <c r="BG744" s="147"/>
      <c r="BH744" s="147"/>
      <c r="BI744" s="147"/>
      <c r="BJ744" s="147"/>
      <c r="BK744" s="147"/>
      <c r="BL744" s="147"/>
      <c r="BM744" s="147"/>
      <c r="BN744" s="147"/>
      <c r="BO744" s="147"/>
      <c r="BP744" s="147"/>
    </row>
    <row r="745" spans="1:70">
      <c r="A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c r="AC745" s="147"/>
      <c r="AD745" s="147"/>
      <c r="AE745" s="147"/>
      <c r="AF745" s="147"/>
      <c r="AG745" s="147"/>
      <c r="AH745" s="147"/>
      <c r="AI745" s="147"/>
      <c r="AJ745" s="147"/>
      <c r="AK745" s="147"/>
      <c r="AL745" s="147"/>
      <c r="AM745" s="147"/>
      <c r="AN745" s="147"/>
      <c r="AO745" s="147"/>
      <c r="AP745" s="147"/>
      <c r="AQ745" s="147"/>
      <c r="AR745" s="147"/>
      <c r="AS745" s="147"/>
      <c r="AT745" s="147"/>
      <c r="AU745" s="147"/>
      <c r="AV745" s="147"/>
      <c r="AW745" s="147"/>
      <c r="AX745" s="147"/>
      <c r="AY745" s="147"/>
      <c r="AZ745" s="147"/>
      <c r="BA745" s="147"/>
      <c r="BB745" s="147"/>
      <c r="BC745" s="147"/>
      <c r="BD745" s="147"/>
      <c r="BE745" s="147"/>
      <c r="BF745" s="147"/>
      <c r="BG745" s="147"/>
      <c r="BH745" s="147"/>
      <c r="BI745" s="147"/>
      <c r="BJ745" s="147"/>
      <c r="BK745" s="147"/>
      <c r="BL745" s="147"/>
      <c r="BM745" s="147"/>
      <c r="BN745" s="147"/>
      <c r="BO745" s="147"/>
      <c r="BP745" s="147"/>
    </row>
    <row r="746" spans="1:70">
      <c r="A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c r="AC746" s="147"/>
      <c r="AD746" s="147"/>
      <c r="AE746" s="147"/>
      <c r="AF746" s="147"/>
      <c r="AG746" s="147"/>
      <c r="AH746" s="147"/>
      <c r="AI746" s="147"/>
      <c r="AJ746" s="147"/>
      <c r="AK746" s="147"/>
      <c r="AL746" s="147"/>
      <c r="AM746" s="147"/>
      <c r="AN746" s="147"/>
      <c r="AO746" s="147"/>
      <c r="AP746" s="147"/>
      <c r="AQ746" s="147"/>
      <c r="AR746" s="147"/>
      <c r="AS746" s="147"/>
      <c r="AT746" s="147"/>
      <c r="AU746" s="147"/>
      <c r="AV746" s="147"/>
      <c r="AW746" s="147"/>
      <c r="AX746" s="147"/>
      <c r="AY746" s="147"/>
      <c r="AZ746" s="147"/>
      <c r="BA746" s="147"/>
      <c r="BB746" s="147"/>
      <c r="BC746" s="147"/>
      <c r="BD746" s="147"/>
      <c r="BE746" s="147"/>
      <c r="BF746" s="147"/>
      <c r="BG746" s="147"/>
      <c r="BH746" s="147"/>
      <c r="BI746" s="147"/>
      <c r="BJ746" s="147"/>
      <c r="BK746" s="147"/>
      <c r="BL746" s="147"/>
      <c r="BM746" s="147"/>
      <c r="BN746" s="147"/>
      <c r="BO746" s="147"/>
      <c r="BP746" s="147"/>
    </row>
    <row r="747" spans="1:70">
      <c r="A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c r="AC747" s="147"/>
      <c r="AD747" s="147"/>
      <c r="AE747" s="147"/>
      <c r="AF747" s="147"/>
      <c r="AG747" s="147"/>
      <c r="AH747" s="147"/>
      <c r="AI747" s="147"/>
      <c r="AJ747" s="147"/>
      <c r="AK747" s="147"/>
      <c r="AL747" s="147"/>
      <c r="AM747" s="147"/>
      <c r="AN747" s="147"/>
      <c r="AO747" s="147"/>
      <c r="AP747" s="147"/>
      <c r="AQ747" s="147"/>
      <c r="AR747" s="147"/>
      <c r="AS747" s="147"/>
      <c r="AT747" s="147"/>
      <c r="AU747" s="147"/>
      <c r="AV747" s="147"/>
      <c r="AW747" s="147"/>
      <c r="AX747" s="147"/>
      <c r="AY747" s="147"/>
      <c r="AZ747" s="147"/>
      <c r="BA747" s="147"/>
      <c r="BB747" s="147"/>
      <c r="BC747" s="147"/>
      <c r="BD747" s="147"/>
      <c r="BE747" s="147"/>
      <c r="BF747" s="147"/>
      <c r="BG747" s="147"/>
      <c r="BH747" s="147"/>
      <c r="BI747" s="147"/>
      <c r="BJ747" s="147"/>
      <c r="BK747" s="147"/>
      <c r="BL747" s="147"/>
      <c r="BM747" s="147"/>
      <c r="BN747" s="147"/>
      <c r="BO747" s="147"/>
      <c r="BP747" s="147"/>
    </row>
    <row r="748" spans="1:70">
      <c r="A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c r="AC748" s="147"/>
      <c r="AD748" s="147"/>
      <c r="AE748" s="147"/>
      <c r="AF748" s="147"/>
      <c r="AG748" s="147"/>
      <c r="AH748" s="147"/>
      <c r="AI748" s="147"/>
      <c r="AJ748" s="147"/>
      <c r="AK748" s="147"/>
      <c r="AL748" s="147"/>
      <c r="AM748" s="147"/>
      <c r="AN748" s="147"/>
      <c r="AO748" s="147"/>
      <c r="AP748" s="147"/>
      <c r="AQ748" s="147"/>
      <c r="AR748" s="147"/>
      <c r="AS748" s="147"/>
      <c r="AT748" s="147"/>
      <c r="AU748" s="147"/>
      <c r="AV748" s="147"/>
      <c r="AW748" s="147"/>
      <c r="AX748" s="147"/>
      <c r="AY748" s="147"/>
      <c r="AZ748" s="147"/>
      <c r="BA748" s="147"/>
      <c r="BB748" s="147"/>
      <c r="BC748" s="147"/>
      <c r="BD748" s="147"/>
      <c r="BE748" s="147"/>
      <c r="BF748" s="147"/>
      <c r="BG748" s="147"/>
      <c r="BH748" s="147"/>
      <c r="BI748" s="147"/>
      <c r="BJ748" s="147"/>
      <c r="BK748" s="147"/>
      <c r="BL748" s="147"/>
      <c r="BM748" s="147"/>
      <c r="BN748" s="147"/>
      <c r="BO748" s="147"/>
      <c r="BP748" s="147"/>
    </row>
    <row r="749" spans="1:70">
      <c r="A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c r="AC749" s="147"/>
      <c r="AD749" s="147"/>
      <c r="AE749" s="147"/>
      <c r="AF749" s="147"/>
      <c r="AG749" s="147"/>
      <c r="AH749" s="147"/>
      <c r="AI749" s="147"/>
      <c r="AJ749" s="147"/>
      <c r="AK749" s="147"/>
      <c r="AL749" s="147"/>
      <c r="AM749" s="147"/>
      <c r="AN749" s="147"/>
      <c r="AO749" s="147"/>
      <c r="AP749" s="147"/>
      <c r="AQ749" s="147"/>
      <c r="AR749" s="147"/>
      <c r="AS749" s="147"/>
      <c r="AT749" s="147"/>
      <c r="AU749" s="147"/>
      <c r="AV749" s="147"/>
      <c r="AW749" s="147"/>
      <c r="AX749" s="147"/>
      <c r="AY749" s="147"/>
      <c r="AZ749" s="147"/>
      <c r="BA749" s="147"/>
      <c r="BB749" s="147"/>
      <c r="BC749" s="147"/>
      <c r="BD749" s="147"/>
      <c r="BE749" s="147"/>
      <c r="BF749" s="147"/>
      <c r="BG749" s="147"/>
      <c r="BH749" s="147"/>
      <c r="BI749" s="147"/>
      <c r="BJ749" s="147"/>
      <c r="BK749" s="147"/>
      <c r="BL749" s="147"/>
      <c r="BM749" s="147"/>
      <c r="BN749" s="147"/>
      <c r="BO749" s="147"/>
      <c r="BP749" s="147"/>
    </row>
    <row r="750" spans="1:70">
      <c r="A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c r="AC750" s="147"/>
      <c r="AD750" s="147"/>
      <c r="AE750" s="147"/>
      <c r="AF750" s="147"/>
      <c r="AG750" s="147"/>
      <c r="AH750" s="147"/>
      <c r="AI750" s="147"/>
      <c r="AJ750" s="147"/>
      <c r="AK750" s="147"/>
      <c r="AL750" s="147"/>
      <c r="AM750" s="147"/>
      <c r="AN750" s="147"/>
      <c r="AO750" s="147"/>
      <c r="AP750" s="147"/>
      <c r="AQ750" s="147"/>
      <c r="AR750" s="147"/>
      <c r="AS750" s="147"/>
      <c r="AT750" s="147"/>
      <c r="AU750" s="147"/>
      <c r="AV750" s="147"/>
      <c r="AW750" s="147"/>
      <c r="AX750" s="147"/>
      <c r="AY750" s="147"/>
      <c r="AZ750" s="147"/>
      <c r="BA750" s="147"/>
      <c r="BB750" s="147"/>
      <c r="BC750" s="147"/>
      <c r="BD750" s="147"/>
      <c r="BE750" s="147"/>
      <c r="BF750" s="147"/>
      <c r="BG750" s="147"/>
      <c r="BH750" s="147"/>
      <c r="BI750" s="147"/>
      <c r="BJ750" s="147"/>
      <c r="BK750" s="147"/>
      <c r="BL750" s="147"/>
      <c r="BM750" s="147"/>
      <c r="BN750" s="147"/>
      <c r="BO750" s="147"/>
      <c r="BP750" s="147"/>
    </row>
    <row r="751" spans="1:70">
      <c r="A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c r="AC751" s="147"/>
      <c r="AD751" s="147"/>
      <c r="AE751" s="147"/>
      <c r="AF751" s="147"/>
      <c r="AG751" s="147"/>
      <c r="AH751" s="147"/>
      <c r="AI751" s="147"/>
      <c r="AJ751" s="147"/>
      <c r="AK751" s="147"/>
      <c r="AL751" s="147"/>
      <c r="AM751" s="147"/>
      <c r="AN751" s="147"/>
      <c r="AO751" s="147"/>
      <c r="AP751" s="147"/>
      <c r="AQ751" s="147"/>
      <c r="AR751" s="147"/>
      <c r="AS751" s="147"/>
      <c r="AT751" s="147"/>
      <c r="AU751" s="147"/>
      <c r="AV751" s="147"/>
      <c r="AW751" s="147"/>
      <c r="AX751" s="147"/>
      <c r="AY751" s="147"/>
      <c r="AZ751" s="147"/>
      <c r="BA751" s="147"/>
      <c r="BB751" s="147"/>
      <c r="BC751" s="147"/>
      <c r="BD751" s="147"/>
      <c r="BE751" s="147"/>
      <c r="BF751" s="147"/>
      <c r="BG751" s="147"/>
      <c r="BH751" s="147"/>
      <c r="BI751" s="147"/>
      <c r="BJ751" s="147"/>
      <c r="BK751" s="147"/>
      <c r="BL751" s="147"/>
      <c r="BM751" s="147"/>
      <c r="BN751" s="147"/>
      <c r="BO751" s="147"/>
      <c r="BP751" s="147"/>
    </row>
    <row r="752" spans="1:70">
      <c r="A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c r="AC752" s="147"/>
      <c r="AD752" s="147"/>
      <c r="AE752" s="147"/>
      <c r="AF752" s="147"/>
      <c r="AG752" s="147"/>
      <c r="AH752" s="147"/>
      <c r="AI752" s="147"/>
      <c r="AJ752" s="147"/>
      <c r="AK752" s="147"/>
      <c r="AL752" s="147"/>
      <c r="AM752" s="147"/>
      <c r="AN752" s="147"/>
      <c r="AO752" s="147"/>
      <c r="AP752" s="147"/>
      <c r="AQ752" s="147"/>
      <c r="AR752" s="147"/>
      <c r="AS752" s="147"/>
      <c r="AT752" s="147"/>
      <c r="AU752" s="147"/>
      <c r="AV752" s="147"/>
      <c r="AW752" s="147"/>
      <c r="AX752" s="147"/>
      <c r="AY752" s="147"/>
      <c r="AZ752" s="147"/>
      <c r="BA752" s="147"/>
      <c r="BB752" s="147"/>
      <c r="BC752" s="147"/>
      <c r="BD752" s="147"/>
      <c r="BE752" s="147"/>
      <c r="BF752" s="147"/>
      <c r="BG752" s="147"/>
      <c r="BH752" s="147"/>
      <c r="BI752" s="147"/>
      <c r="BJ752" s="147"/>
      <c r="BK752" s="147"/>
      <c r="BL752" s="147"/>
      <c r="BM752" s="147"/>
      <c r="BN752" s="147"/>
      <c r="BO752" s="147"/>
      <c r="BP752" s="147"/>
    </row>
    <row r="753" spans="1:68">
      <c r="A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c r="AC753" s="147"/>
      <c r="AD753" s="147"/>
      <c r="AE753" s="147"/>
      <c r="AF753" s="147"/>
      <c r="AG753" s="147"/>
      <c r="AH753" s="147"/>
      <c r="AI753" s="147"/>
      <c r="AJ753" s="147"/>
      <c r="AK753" s="147"/>
      <c r="AL753" s="147"/>
      <c r="AM753" s="147"/>
      <c r="AN753" s="147"/>
      <c r="AO753" s="147"/>
      <c r="AP753" s="147"/>
      <c r="AQ753" s="147"/>
      <c r="AR753" s="147"/>
      <c r="AS753" s="147"/>
      <c r="AT753" s="147"/>
      <c r="AU753" s="147"/>
      <c r="AV753" s="147"/>
      <c r="AW753" s="147"/>
      <c r="AX753" s="147"/>
      <c r="AY753" s="147"/>
      <c r="AZ753" s="147"/>
      <c r="BA753" s="147"/>
      <c r="BB753" s="147"/>
      <c r="BC753" s="147"/>
      <c r="BD753" s="147"/>
      <c r="BE753" s="147"/>
      <c r="BF753" s="147"/>
      <c r="BG753" s="147"/>
      <c r="BH753" s="147"/>
      <c r="BI753" s="147"/>
      <c r="BJ753" s="147"/>
      <c r="BK753" s="147"/>
      <c r="BL753" s="147"/>
      <c r="BM753" s="147"/>
      <c r="BN753" s="147"/>
      <c r="BO753" s="147"/>
      <c r="BP753" s="147"/>
    </row>
    <row r="754" spans="1:68">
      <c r="A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c r="AC754" s="147"/>
      <c r="AD754" s="147"/>
      <c r="AE754" s="147"/>
      <c r="AF754" s="147"/>
      <c r="AG754" s="147"/>
      <c r="AH754" s="147"/>
      <c r="AI754" s="147"/>
      <c r="AJ754" s="147"/>
      <c r="AK754" s="147"/>
      <c r="AL754" s="147"/>
      <c r="AM754" s="147"/>
      <c r="AN754" s="147"/>
      <c r="AO754" s="147"/>
      <c r="AP754" s="147"/>
      <c r="AQ754" s="147"/>
      <c r="AR754" s="147"/>
      <c r="AS754" s="147"/>
      <c r="AT754" s="147"/>
      <c r="AU754" s="147"/>
      <c r="AV754" s="147"/>
      <c r="AW754" s="147"/>
      <c r="AX754" s="147"/>
      <c r="AY754" s="147"/>
      <c r="AZ754" s="147"/>
      <c r="BA754" s="147"/>
      <c r="BB754" s="147"/>
      <c r="BC754" s="147"/>
      <c r="BD754" s="147"/>
      <c r="BE754" s="147"/>
      <c r="BF754" s="147"/>
      <c r="BG754" s="147"/>
      <c r="BH754" s="147"/>
      <c r="BI754" s="147"/>
      <c r="BJ754" s="147"/>
      <c r="BK754" s="147"/>
      <c r="BL754" s="147"/>
      <c r="BM754" s="147"/>
      <c r="BN754" s="147"/>
      <c r="BO754" s="147"/>
      <c r="BP754" s="147"/>
    </row>
    <row r="755" spans="1:68">
      <c r="A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c r="AC755" s="147"/>
      <c r="AD755" s="147"/>
      <c r="AE755" s="147"/>
      <c r="AF755" s="147"/>
      <c r="AG755" s="147"/>
      <c r="AH755" s="147"/>
      <c r="AI755" s="147"/>
      <c r="AJ755" s="147"/>
      <c r="AK755" s="147"/>
      <c r="AL755" s="147"/>
      <c r="AM755" s="147"/>
      <c r="AN755" s="147"/>
      <c r="AO755" s="147"/>
      <c r="AP755" s="147"/>
      <c r="AQ755" s="147"/>
      <c r="AR755" s="147"/>
      <c r="AS755" s="147"/>
      <c r="AT755" s="147"/>
      <c r="AU755" s="147"/>
      <c r="AV755" s="147"/>
      <c r="AW755" s="147"/>
      <c r="AX755" s="147"/>
      <c r="AY755" s="147"/>
      <c r="AZ755" s="147"/>
      <c r="BA755" s="147"/>
      <c r="BB755" s="147"/>
      <c r="BC755" s="147"/>
      <c r="BD755" s="147"/>
      <c r="BE755" s="147"/>
      <c r="BF755" s="147"/>
      <c r="BG755" s="147"/>
      <c r="BH755" s="147"/>
      <c r="BI755" s="147"/>
      <c r="BJ755" s="147"/>
      <c r="BK755" s="147"/>
      <c r="BL755" s="147"/>
      <c r="BM755" s="147"/>
      <c r="BN755" s="147"/>
      <c r="BO755" s="147"/>
      <c r="BP755" s="147"/>
    </row>
    <row r="756" spans="1:68">
      <c r="A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c r="AC756" s="147"/>
      <c r="AD756" s="147"/>
      <c r="AE756" s="147"/>
      <c r="AF756" s="147"/>
      <c r="AG756" s="147"/>
      <c r="AH756" s="147"/>
      <c r="AI756" s="147"/>
      <c r="AJ756" s="147"/>
      <c r="AK756" s="147"/>
      <c r="AL756" s="147"/>
      <c r="AM756" s="147"/>
      <c r="AN756" s="147"/>
      <c r="AO756" s="147"/>
      <c r="AP756" s="147"/>
      <c r="AQ756" s="147"/>
      <c r="AR756" s="147"/>
      <c r="AS756" s="147"/>
      <c r="AT756" s="147"/>
      <c r="AU756" s="147"/>
      <c r="AV756" s="147"/>
      <c r="AW756" s="147"/>
      <c r="AX756" s="147"/>
      <c r="AY756" s="147"/>
      <c r="AZ756" s="147"/>
      <c r="BA756" s="147"/>
      <c r="BB756" s="147"/>
      <c r="BC756" s="147"/>
      <c r="BD756" s="147"/>
      <c r="BE756" s="147"/>
      <c r="BF756" s="147"/>
      <c r="BG756" s="147"/>
      <c r="BH756" s="147"/>
      <c r="BI756" s="147"/>
      <c r="BJ756" s="147"/>
      <c r="BK756" s="147"/>
      <c r="BL756" s="147"/>
      <c r="BM756" s="147"/>
      <c r="BN756" s="147"/>
      <c r="BO756" s="147"/>
      <c r="BP756" s="147"/>
    </row>
    <row r="757" spans="1:68">
      <c r="A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c r="AC757" s="147"/>
      <c r="AD757" s="147"/>
      <c r="AE757" s="147"/>
      <c r="AF757" s="147"/>
      <c r="AG757" s="147"/>
      <c r="AH757" s="147"/>
      <c r="AI757" s="147"/>
      <c r="AJ757" s="147"/>
      <c r="AK757" s="147"/>
      <c r="AL757" s="147"/>
      <c r="AM757" s="147"/>
      <c r="AN757" s="147"/>
      <c r="AO757" s="147"/>
      <c r="AP757" s="147"/>
      <c r="AQ757" s="147"/>
      <c r="AR757" s="147"/>
      <c r="AS757" s="147"/>
      <c r="AT757" s="147"/>
      <c r="AU757" s="147"/>
      <c r="AV757" s="147"/>
      <c r="AW757" s="147"/>
      <c r="AX757" s="147"/>
      <c r="AY757" s="147"/>
      <c r="AZ757" s="147"/>
      <c r="BA757" s="147"/>
      <c r="BB757" s="147"/>
      <c r="BC757" s="147"/>
      <c r="BD757" s="147"/>
      <c r="BE757" s="147"/>
      <c r="BF757" s="147"/>
      <c r="BG757" s="147"/>
      <c r="BH757" s="147"/>
      <c r="BI757" s="147"/>
      <c r="BJ757" s="147"/>
      <c r="BK757" s="147"/>
      <c r="BL757" s="147"/>
      <c r="BM757" s="147"/>
      <c r="BN757" s="147"/>
      <c r="BO757" s="147"/>
      <c r="BP757" s="147"/>
    </row>
    <row r="758" spans="1:68">
      <c r="A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c r="AC758" s="147"/>
      <c r="AD758" s="147"/>
      <c r="AE758" s="147"/>
      <c r="AF758" s="147"/>
      <c r="AG758" s="147"/>
      <c r="AH758" s="147"/>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c r="BI758" s="147"/>
      <c r="BJ758" s="147"/>
      <c r="BK758" s="147"/>
      <c r="BL758" s="147"/>
      <c r="BM758" s="147"/>
      <c r="BN758" s="147"/>
      <c r="BO758" s="147"/>
      <c r="BP758" s="147"/>
    </row>
    <row r="759" spans="1:68">
      <c r="A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c r="AC759" s="147"/>
      <c r="AD759" s="147"/>
      <c r="AE759" s="147"/>
      <c r="AF759" s="147"/>
      <c r="AG759" s="147"/>
      <c r="AH759" s="147"/>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c r="BI759" s="147"/>
      <c r="BJ759" s="147"/>
      <c r="BK759" s="147"/>
      <c r="BL759" s="147"/>
      <c r="BM759" s="147"/>
      <c r="BN759" s="147"/>
      <c r="BO759" s="147"/>
      <c r="BP759" s="147"/>
    </row>
    <row r="760" spans="1:68">
      <c r="A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c r="AG760" s="147"/>
      <c r="AH760" s="147"/>
      <c r="AI760" s="147"/>
      <c r="AJ760" s="147"/>
      <c r="AK760" s="147"/>
      <c r="AL760" s="147"/>
      <c r="AM760" s="147"/>
      <c r="AN760" s="147"/>
      <c r="AO760" s="147"/>
      <c r="AP760" s="147"/>
      <c r="AQ760" s="147"/>
      <c r="AR760" s="147"/>
      <c r="AS760" s="147"/>
      <c r="AT760" s="147"/>
      <c r="AU760" s="147"/>
      <c r="AV760" s="147"/>
      <c r="AW760" s="147"/>
      <c r="AX760" s="147"/>
      <c r="AY760" s="147"/>
      <c r="AZ760" s="147"/>
      <c r="BA760" s="147"/>
      <c r="BB760" s="147"/>
      <c r="BC760" s="147"/>
      <c r="BD760" s="147"/>
      <c r="BE760" s="147"/>
      <c r="BF760" s="147"/>
      <c r="BG760" s="147"/>
      <c r="BH760" s="147"/>
      <c r="BI760" s="147"/>
      <c r="BJ760" s="147"/>
      <c r="BK760" s="147"/>
      <c r="BL760" s="147"/>
      <c r="BM760" s="147"/>
      <c r="BN760" s="147"/>
      <c r="BO760" s="147"/>
      <c r="BP760" s="147"/>
    </row>
    <row r="761" spans="1:68">
      <c r="A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c r="AC761" s="147"/>
      <c r="AD761" s="147"/>
      <c r="AE761" s="147"/>
      <c r="AF761" s="147"/>
      <c r="AG761" s="147"/>
      <c r="AH761" s="147"/>
      <c r="AI761" s="147"/>
      <c r="AJ761" s="147"/>
      <c r="AK761" s="147"/>
      <c r="AL761" s="147"/>
      <c r="AM761" s="147"/>
      <c r="AN761" s="147"/>
      <c r="AO761" s="147"/>
      <c r="AP761" s="147"/>
      <c r="AQ761" s="147"/>
      <c r="AR761" s="147"/>
      <c r="AS761" s="147"/>
      <c r="AT761" s="147"/>
      <c r="AU761" s="147"/>
      <c r="AV761" s="147"/>
      <c r="AW761" s="147"/>
      <c r="AX761" s="147"/>
      <c r="AY761" s="147"/>
      <c r="AZ761" s="147"/>
      <c r="BA761" s="147"/>
      <c r="BB761" s="147"/>
      <c r="BC761" s="147"/>
      <c r="BD761" s="147"/>
      <c r="BE761" s="147"/>
      <c r="BF761" s="147"/>
      <c r="BG761" s="147"/>
      <c r="BH761" s="147"/>
      <c r="BI761" s="147"/>
      <c r="BJ761" s="147"/>
      <c r="BK761" s="147"/>
      <c r="BL761" s="147"/>
      <c r="BM761" s="147"/>
      <c r="BN761" s="147"/>
      <c r="BO761" s="147"/>
      <c r="BP761" s="147"/>
    </row>
    <row r="762" spans="1:68">
      <c r="A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c r="AC762" s="147"/>
      <c r="AD762" s="147"/>
      <c r="AE762" s="147"/>
      <c r="AF762" s="147"/>
      <c r="AG762" s="147"/>
      <c r="AH762" s="147"/>
      <c r="AI762" s="147"/>
      <c r="AJ762" s="147"/>
      <c r="AK762" s="147"/>
      <c r="AL762" s="147"/>
      <c r="AM762" s="147"/>
      <c r="AN762" s="147"/>
      <c r="AO762" s="147"/>
      <c r="AP762" s="147"/>
      <c r="AQ762" s="147"/>
      <c r="AR762" s="147"/>
      <c r="AS762" s="147"/>
      <c r="AT762" s="147"/>
      <c r="AU762" s="147"/>
      <c r="AV762" s="147"/>
      <c r="AW762" s="147"/>
      <c r="AX762" s="147"/>
      <c r="AY762" s="147"/>
      <c r="AZ762" s="147"/>
      <c r="BA762" s="147"/>
      <c r="BB762" s="147"/>
      <c r="BC762" s="147"/>
      <c r="BD762" s="147"/>
      <c r="BE762" s="147"/>
      <c r="BF762" s="147"/>
      <c r="BG762" s="147"/>
      <c r="BH762" s="147"/>
      <c r="BI762" s="147"/>
      <c r="BJ762" s="147"/>
      <c r="BK762" s="147"/>
      <c r="BL762" s="147"/>
      <c r="BM762" s="147"/>
      <c r="BN762" s="147"/>
      <c r="BO762" s="147"/>
      <c r="BP762" s="147"/>
    </row>
    <row r="763" spans="1:68">
      <c r="A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c r="AC763" s="147"/>
      <c r="AD763" s="147"/>
      <c r="AE763" s="147"/>
      <c r="AF763" s="147"/>
      <c r="AG763" s="147"/>
      <c r="AH763" s="147"/>
      <c r="AI763" s="147"/>
      <c r="AJ763" s="147"/>
      <c r="AK763" s="147"/>
      <c r="AL763" s="147"/>
      <c r="AM763" s="147"/>
      <c r="AN763" s="147"/>
      <c r="AO763" s="147"/>
      <c r="AP763" s="147"/>
      <c r="AQ763" s="147"/>
      <c r="AR763" s="147"/>
      <c r="AS763" s="147"/>
      <c r="AT763" s="147"/>
      <c r="AU763" s="147"/>
      <c r="AV763" s="147"/>
      <c r="AW763" s="147"/>
      <c r="AX763" s="147"/>
      <c r="AY763" s="147"/>
      <c r="AZ763" s="147"/>
      <c r="BA763" s="147"/>
      <c r="BB763" s="147"/>
      <c r="BC763" s="147"/>
      <c r="BD763" s="147"/>
      <c r="BE763" s="147"/>
      <c r="BF763" s="147"/>
      <c r="BG763" s="147"/>
      <c r="BH763" s="147"/>
      <c r="BI763" s="147"/>
      <c r="BJ763" s="147"/>
      <c r="BK763" s="147"/>
      <c r="BL763" s="147"/>
      <c r="BM763" s="147"/>
      <c r="BN763" s="147"/>
      <c r="BO763" s="147"/>
      <c r="BP763" s="147"/>
    </row>
    <row r="764" spans="1:68">
      <c r="A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c r="AC764" s="147"/>
      <c r="AD764" s="147"/>
      <c r="AE764" s="147"/>
      <c r="AF764" s="147"/>
      <c r="AG764" s="147"/>
      <c r="AH764" s="147"/>
      <c r="AI764" s="147"/>
      <c r="AJ764" s="147"/>
      <c r="AK764" s="147"/>
      <c r="AL764" s="147"/>
      <c r="AM764" s="147"/>
      <c r="AN764" s="147"/>
      <c r="AO764" s="147"/>
      <c r="AP764" s="147"/>
      <c r="AQ764" s="147"/>
      <c r="AR764" s="147"/>
      <c r="AS764" s="147"/>
      <c r="AT764" s="147"/>
      <c r="AU764" s="147"/>
      <c r="AV764" s="147"/>
      <c r="AW764" s="147"/>
      <c r="AX764" s="147"/>
      <c r="AY764" s="147"/>
      <c r="AZ764" s="147"/>
      <c r="BA764" s="147"/>
      <c r="BB764" s="147"/>
      <c r="BC764" s="147"/>
      <c r="BD764" s="147"/>
      <c r="BE764" s="147"/>
      <c r="BF764" s="147"/>
      <c r="BG764" s="147"/>
      <c r="BH764" s="147"/>
      <c r="BI764" s="147"/>
      <c r="BJ764" s="147"/>
      <c r="BK764" s="147"/>
      <c r="BL764" s="147"/>
      <c r="BM764" s="147"/>
      <c r="BN764" s="147"/>
      <c r="BO764" s="147"/>
      <c r="BP764" s="147"/>
    </row>
    <row r="765" spans="1:68">
      <c r="A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c r="AC765" s="147"/>
      <c r="AD765" s="147"/>
      <c r="AE765" s="147"/>
      <c r="AF765" s="147"/>
      <c r="AG765" s="147"/>
      <c r="AH765" s="147"/>
      <c r="AI765" s="147"/>
      <c r="AJ765" s="147"/>
      <c r="AK765" s="147"/>
      <c r="AL765" s="147"/>
      <c r="AM765" s="147"/>
      <c r="AN765" s="147"/>
      <c r="AO765" s="147"/>
      <c r="AP765" s="147"/>
      <c r="AQ765" s="147"/>
      <c r="AR765" s="147"/>
      <c r="AS765" s="147"/>
      <c r="AT765" s="147"/>
      <c r="AU765" s="147"/>
      <c r="AV765" s="147"/>
      <c r="AW765" s="147"/>
      <c r="AX765" s="147"/>
      <c r="AY765" s="147"/>
      <c r="AZ765" s="147"/>
      <c r="BA765" s="147"/>
      <c r="BB765" s="147"/>
      <c r="BC765" s="147"/>
      <c r="BD765" s="147"/>
      <c r="BE765" s="147"/>
      <c r="BF765" s="147"/>
      <c r="BG765" s="147"/>
      <c r="BH765" s="147"/>
      <c r="BI765" s="147"/>
      <c r="BJ765" s="147"/>
      <c r="BK765" s="147"/>
      <c r="BL765" s="147"/>
      <c r="BM765" s="147"/>
      <c r="BN765" s="147"/>
      <c r="BO765" s="147"/>
      <c r="BP765" s="147"/>
    </row>
    <row r="766" spans="1:68">
      <c r="A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c r="AC766" s="147"/>
      <c r="AD766" s="147"/>
      <c r="AE766" s="147"/>
      <c r="AF766" s="147"/>
      <c r="AG766" s="147"/>
      <c r="AH766" s="147"/>
      <c r="AI766" s="147"/>
      <c r="AJ766" s="147"/>
      <c r="AK766" s="147"/>
      <c r="AL766" s="147"/>
      <c r="AM766" s="147"/>
      <c r="AN766" s="147"/>
      <c r="AO766" s="147"/>
      <c r="AP766" s="147"/>
      <c r="AQ766" s="147"/>
      <c r="AR766" s="147"/>
      <c r="AS766" s="147"/>
      <c r="AT766" s="147"/>
      <c r="AU766" s="147"/>
      <c r="AV766" s="147"/>
      <c r="AW766" s="147"/>
      <c r="AX766" s="147"/>
      <c r="AY766" s="147"/>
      <c r="AZ766" s="147"/>
      <c r="BA766" s="147"/>
      <c r="BB766" s="147"/>
      <c r="BC766" s="147"/>
      <c r="BD766" s="147"/>
      <c r="BE766" s="147"/>
      <c r="BF766" s="147"/>
      <c r="BG766" s="147"/>
      <c r="BH766" s="147"/>
      <c r="BI766" s="147"/>
      <c r="BJ766" s="147"/>
      <c r="BK766" s="147"/>
      <c r="BL766" s="147"/>
      <c r="BM766" s="147"/>
      <c r="BN766" s="147"/>
      <c r="BO766" s="147"/>
      <c r="BP766" s="147"/>
    </row>
    <row r="767" spans="1:68">
      <c r="A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c r="AC767" s="147"/>
      <c r="AD767" s="147"/>
      <c r="AE767" s="147"/>
      <c r="AF767" s="147"/>
      <c r="AG767" s="147"/>
      <c r="AH767" s="147"/>
      <c r="AI767" s="147"/>
      <c r="AJ767" s="147"/>
      <c r="AK767" s="147"/>
      <c r="AL767" s="147"/>
      <c r="AM767" s="147"/>
      <c r="AN767" s="147"/>
      <c r="AO767" s="147"/>
      <c r="AP767" s="147"/>
      <c r="AQ767" s="147"/>
      <c r="AR767" s="147"/>
      <c r="AS767" s="147"/>
      <c r="AT767" s="147"/>
      <c r="AU767" s="147"/>
      <c r="AV767" s="147"/>
      <c r="AW767" s="147"/>
      <c r="AX767" s="147"/>
      <c r="AY767" s="147"/>
      <c r="AZ767" s="147"/>
      <c r="BA767" s="147"/>
      <c r="BB767" s="147"/>
      <c r="BC767" s="147"/>
      <c r="BD767" s="147"/>
      <c r="BE767" s="147"/>
      <c r="BF767" s="147"/>
      <c r="BG767" s="147"/>
      <c r="BH767" s="147"/>
      <c r="BI767" s="147"/>
      <c r="BJ767" s="147"/>
      <c r="BK767" s="147"/>
      <c r="BL767" s="147"/>
      <c r="BM767" s="147"/>
      <c r="BN767" s="147"/>
      <c r="BO767" s="147"/>
      <c r="BP767" s="147"/>
    </row>
    <row r="768" spans="1:68">
      <c r="A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c r="AC768" s="147"/>
      <c r="AD768" s="147"/>
      <c r="AE768" s="147"/>
      <c r="AF768" s="147"/>
      <c r="AG768" s="147"/>
      <c r="AH768" s="147"/>
      <c r="AI768" s="147"/>
      <c r="AJ768" s="147"/>
      <c r="AK768" s="147"/>
      <c r="AL768" s="147"/>
      <c r="AM768" s="147"/>
      <c r="AN768" s="147"/>
      <c r="AO768" s="147"/>
      <c r="AP768" s="147"/>
      <c r="AQ768" s="147"/>
      <c r="AR768" s="147"/>
      <c r="AS768" s="147"/>
      <c r="AT768" s="147"/>
      <c r="AU768" s="147"/>
      <c r="AV768" s="147"/>
      <c r="AW768" s="147"/>
      <c r="AX768" s="147"/>
      <c r="AY768" s="147"/>
      <c r="AZ768" s="147"/>
      <c r="BA768" s="147"/>
      <c r="BB768" s="147"/>
      <c r="BC768" s="147"/>
      <c r="BD768" s="147"/>
      <c r="BE768" s="147"/>
      <c r="BF768" s="147"/>
      <c r="BG768" s="147"/>
      <c r="BH768" s="147"/>
      <c r="BI768" s="147"/>
      <c r="BJ768" s="147"/>
      <c r="BK768" s="147"/>
      <c r="BL768" s="147"/>
      <c r="BM768" s="147"/>
      <c r="BN768" s="147"/>
      <c r="BO768" s="147"/>
      <c r="BP768" s="147"/>
    </row>
    <row r="769" spans="1:68">
      <c r="A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c r="AC769" s="147"/>
      <c r="AD769" s="147"/>
      <c r="AE769" s="147"/>
      <c r="AF769" s="147"/>
      <c r="AG769" s="147"/>
      <c r="AH769" s="147"/>
      <c r="AI769" s="147"/>
      <c r="AJ769" s="147"/>
      <c r="AK769" s="147"/>
      <c r="AL769" s="147"/>
      <c r="AM769" s="147"/>
      <c r="AN769" s="147"/>
      <c r="AO769" s="147"/>
      <c r="AP769" s="147"/>
      <c r="AQ769" s="147"/>
      <c r="AR769" s="147"/>
      <c r="AS769" s="147"/>
      <c r="AT769" s="147"/>
      <c r="AU769" s="147"/>
      <c r="AV769" s="147"/>
      <c r="AW769" s="147"/>
      <c r="AX769" s="147"/>
      <c r="AY769" s="147"/>
      <c r="AZ769" s="147"/>
      <c r="BA769" s="147"/>
      <c r="BB769" s="147"/>
      <c r="BC769" s="147"/>
      <c r="BD769" s="147"/>
      <c r="BE769" s="147"/>
      <c r="BF769" s="147"/>
      <c r="BG769" s="147"/>
      <c r="BH769" s="147"/>
      <c r="BI769" s="147"/>
      <c r="BJ769" s="147"/>
      <c r="BK769" s="147"/>
      <c r="BL769" s="147"/>
      <c r="BM769" s="147"/>
      <c r="BN769" s="147"/>
      <c r="BO769" s="147"/>
      <c r="BP769" s="147"/>
    </row>
    <row r="770" spans="1:68">
      <c r="A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c r="AC770" s="147"/>
      <c r="AD770" s="147"/>
      <c r="AE770" s="147"/>
      <c r="AF770" s="147"/>
      <c r="AG770" s="147"/>
      <c r="AH770" s="147"/>
      <c r="AI770" s="147"/>
      <c r="AJ770" s="147"/>
      <c r="AK770" s="147"/>
      <c r="AL770" s="147"/>
      <c r="AM770" s="147"/>
      <c r="AN770" s="147"/>
      <c r="AO770" s="147"/>
      <c r="AP770" s="147"/>
      <c r="AQ770" s="147"/>
      <c r="AR770" s="147"/>
      <c r="AS770" s="147"/>
      <c r="AT770" s="147"/>
      <c r="AU770" s="147"/>
      <c r="AV770" s="147"/>
      <c r="AW770" s="147"/>
      <c r="AX770" s="147"/>
      <c r="AY770" s="147"/>
      <c r="AZ770" s="147"/>
      <c r="BA770" s="147"/>
      <c r="BB770" s="147"/>
      <c r="BC770" s="147"/>
      <c r="BD770" s="147"/>
      <c r="BE770" s="147"/>
      <c r="BF770" s="147"/>
      <c r="BG770" s="147"/>
      <c r="BH770" s="147"/>
      <c r="BI770" s="147"/>
      <c r="BJ770" s="147"/>
      <c r="BK770" s="147"/>
      <c r="BL770" s="147"/>
      <c r="BM770" s="147"/>
      <c r="BN770" s="147"/>
      <c r="BO770" s="147"/>
      <c r="BP770" s="147"/>
    </row>
    <row r="771" spans="1:68">
      <c r="A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c r="AC771" s="147"/>
      <c r="AD771" s="147"/>
      <c r="AE771" s="147"/>
      <c r="AF771" s="147"/>
      <c r="AG771" s="147"/>
      <c r="AH771" s="147"/>
      <c r="AI771" s="147"/>
      <c r="AJ771" s="147"/>
      <c r="AK771" s="147"/>
      <c r="AL771" s="147"/>
      <c r="AM771" s="147"/>
      <c r="AN771" s="147"/>
      <c r="AO771" s="147"/>
      <c r="AP771" s="147"/>
      <c r="AQ771" s="147"/>
      <c r="AR771" s="147"/>
      <c r="AS771" s="147"/>
      <c r="AT771" s="147"/>
      <c r="AU771" s="147"/>
      <c r="AV771" s="147"/>
      <c r="AW771" s="147"/>
      <c r="AX771" s="147"/>
      <c r="AY771" s="147"/>
      <c r="AZ771" s="147"/>
      <c r="BA771" s="147"/>
      <c r="BB771" s="147"/>
      <c r="BC771" s="147"/>
      <c r="BD771" s="147"/>
      <c r="BE771" s="147"/>
      <c r="BF771" s="147"/>
      <c r="BG771" s="147"/>
      <c r="BH771" s="147"/>
      <c r="BI771" s="147"/>
      <c r="BJ771" s="147"/>
      <c r="BK771" s="147"/>
      <c r="BL771" s="147"/>
      <c r="BM771" s="147"/>
      <c r="BN771" s="147"/>
      <c r="BO771" s="147"/>
      <c r="BP771" s="147"/>
    </row>
    <row r="772" spans="1:68">
      <c r="A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c r="AC772" s="147"/>
      <c r="AD772" s="147"/>
      <c r="AE772" s="147"/>
      <c r="AF772" s="147"/>
      <c r="AG772" s="147"/>
      <c r="AH772" s="147"/>
      <c r="AI772" s="147"/>
      <c r="AJ772" s="147"/>
      <c r="AK772" s="147"/>
      <c r="AL772" s="147"/>
      <c r="AM772" s="147"/>
      <c r="AN772" s="147"/>
      <c r="AO772" s="147"/>
      <c r="AP772" s="147"/>
      <c r="AQ772" s="147"/>
      <c r="AR772" s="147"/>
      <c r="AS772" s="147"/>
      <c r="AT772" s="147"/>
      <c r="AU772" s="147"/>
      <c r="AV772" s="147"/>
      <c r="AW772" s="147"/>
      <c r="AX772" s="147"/>
      <c r="AY772" s="147"/>
      <c r="AZ772" s="147"/>
      <c r="BA772" s="147"/>
      <c r="BB772" s="147"/>
      <c r="BC772" s="147"/>
      <c r="BD772" s="147"/>
      <c r="BE772" s="147"/>
      <c r="BF772" s="147"/>
      <c r="BG772" s="147"/>
      <c r="BH772" s="147"/>
      <c r="BI772" s="147"/>
      <c r="BJ772" s="147"/>
      <c r="BK772" s="147"/>
      <c r="BL772" s="147"/>
      <c r="BM772" s="147"/>
      <c r="BN772" s="147"/>
      <c r="BO772" s="147"/>
      <c r="BP772" s="147"/>
    </row>
    <row r="773" spans="1:68">
      <c r="A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c r="AC773" s="147"/>
      <c r="AD773" s="147"/>
      <c r="AE773" s="147"/>
      <c r="AF773" s="147"/>
      <c r="AG773" s="147"/>
      <c r="AH773" s="147"/>
      <c r="AI773" s="147"/>
      <c r="AJ773" s="147"/>
      <c r="AK773" s="147"/>
      <c r="AL773" s="147"/>
      <c r="AM773" s="147"/>
      <c r="AN773" s="147"/>
      <c r="AO773" s="147"/>
      <c r="AP773" s="147"/>
      <c r="AQ773" s="147"/>
      <c r="AR773" s="147"/>
      <c r="AS773" s="147"/>
      <c r="AT773" s="147"/>
      <c r="AU773" s="147"/>
      <c r="AV773" s="147"/>
      <c r="AW773" s="147"/>
      <c r="AX773" s="147"/>
      <c r="AY773" s="147"/>
      <c r="AZ773" s="147"/>
      <c r="BA773" s="147"/>
      <c r="BB773" s="147"/>
      <c r="BC773" s="147"/>
      <c r="BD773" s="147"/>
      <c r="BE773" s="147"/>
      <c r="BF773" s="147"/>
      <c r="BG773" s="147"/>
      <c r="BH773" s="147"/>
      <c r="BI773" s="147"/>
      <c r="BJ773" s="147"/>
      <c r="BK773" s="147"/>
      <c r="BL773" s="147"/>
      <c r="BM773" s="147"/>
      <c r="BN773" s="147"/>
      <c r="BO773" s="147"/>
      <c r="BP773" s="147"/>
    </row>
    <row r="774" spans="1:68">
      <c r="A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c r="AC774" s="147"/>
      <c r="AD774" s="147"/>
      <c r="AE774" s="147"/>
      <c r="AF774" s="147"/>
      <c r="AG774" s="147"/>
      <c r="AH774" s="147"/>
      <c r="AI774" s="147"/>
      <c r="AJ774" s="147"/>
      <c r="AK774" s="147"/>
      <c r="AL774" s="147"/>
      <c r="AM774" s="147"/>
      <c r="AN774" s="147"/>
      <c r="AO774" s="147"/>
      <c r="AP774" s="147"/>
      <c r="AQ774" s="147"/>
      <c r="AR774" s="147"/>
      <c r="AS774" s="147"/>
      <c r="AT774" s="147"/>
      <c r="AU774" s="147"/>
      <c r="AV774" s="147"/>
      <c r="AW774" s="147"/>
      <c r="AX774" s="147"/>
      <c r="AY774" s="147"/>
      <c r="AZ774" s="147"/>
      <c r="BA774" s="147"/>
      <c r="BB774" s="147"/>
      <c r="BC774" s="147"/>
      <c r="BD774" s="147"/>
      <c r="BE774" s="147"/>
      <c r="BF774" s="147"/>
      <c r="BG774" s="147"/>
      <c r="BH774" s="147"/>
      <c r="BI774" s="147"/>
      <c r="BJ774" s="147"/>
      <c r="BK774" s="147"/>
      <c r="BL774" s="147"/>
      <c r="BM774" s="147"/>
      <c r="BN774" s="147"/>
      <c r="BO774" s="147"/>
      <c r="BP774" s="147"/>
    </row>
    <row r="775" spans="1:68">
      <c r="A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c r="AC775" s="147"/>
      <c r="AD775" s="147"/>
      <c r="AE775" s="147"/>
      <c r="AF775" s="147"/>
      <c r="AG775" s="147"/>
      <c r="AH775" s="147"/>
      <c r="AI775" s="147"/>
      <c r="AJ775" s="147"/>
      <c r="AK775" s="147"/>
      <c r="AL775" s="147"/>
      <c r="AM775" s="147"/>
      <c r="AN775" s="147"/>
      <c r="AO775" s="147"/>
      <c r="AP775" s="147"/>
      <c r="AQ775" s="147"/>
      <c r="AR775" s="147"/>
      <c r="AS775" s="147"/>
      <c r="AT775" s="147"/>
      <c r="AU775" s="147"/>
      <c r="AV775" s="147"/>
      <c r="AW775" s="147"/>
      <c r="AX775" s="147"/>
      <c r="AY775" s="147"/>
      <c r="AZ775" s="147"/>
      <c r="BA775" s="147"/>
      <c r="BB775" s="147"/>
      <c r="BC775" s="147"/>
      <c r="BD775" s="147"/>
      <c r="BE775" s="147"/>
      <c r="BF775" s="147"/>
      <c r="BG775" s="147"/>
      <c r="BH775" s="147"/>
      <c r="BI775" s="147"/>
      <c r="BJ775" s="147"/>
      <c r="BK775" s="147"/>
      <c r="BL775" s="147"/>
      <c r="BM775" s="147"/>
      <c r="BN775" s="147"/>
      <c r="BO775" s="147"/>
      <c r="BP775" s="147"/>
    </row>
    <row r="776" spans="1:68">
      <c r="A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c r="AC776" s="147"/>
      <c r="AD776" s="147"/>
      <c r="AE776" s="147"/>
      <c r="AF776" s="147"/>
      <c r="AG776" s="147"/>
      <c r="AH776" s="147"/>
      <c r="AI776" s="147"/>
      <c r="AJ776" s="147"/>
      <c r="AK776" s="147"/>
      <c r="AL776" s="147"/>
      <c r="AM776" s="147"/>
      <c r="AN776" s="147"/>
      <c r="AO776" s="147"/>
      <c r="AP776" s="147"/>
      <c r="AQ776" s="147"/>
      <c r="AR776" s="147"/>
      <c r="AS776" s="147"/>
      <c r="AT776" s="147"/>
      <c r="AU776" s="147"/>
      <c r="AV776" s="147"/>
      <c r="AW776" s="147"/>
      <c r="AX776" s="147"/>
      <c r="AY776" s="147"/>
      <c r="AZ776" s="147"/>
      <c r="BA776" s="147"/>
      <c r="BB776" s="147"/>
      <c r="BC776" s="147"/>
      <c r="BD776" s="147"/>
      <c r="BE776" s="147"/>
      <c r="BF776" s="147"/>
      <c r="BG776" s="147"/>
      <c r="BH776" s="147"/>
      <c r="BI776" s="147"/>
      <c r="BJ776" s="147"/>
      <c r="BK776" s="147"/>
      <c r="BL776" s="147"/>
      <c r="BM776" s="147"/>
      <c r="BN776" s="147"/>
      <c r="BO776" s="147"/>
      <c r="BP776" s="147"/>
    </row>
    <row r="777" spans="1:68">
      <c r="A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c r="AC777" s="147"/>
      <c r="AD777" s="147"/>
      <c r="AE777" s="147"/>
      <c r="AF777" s="147"/>
      <c r="AG777" s="147"/>
      <c r="AH777" s="147"/>
      <c r="AI777" s="147"/>
      <c r="AJ777" s="147"/>
      <c r="AK777" s="147"/>
      <c r="AL777" s="147"/>
      <c r="AM777" s="147"/>
      <c r="AN777" s="147"/>
      <c r="AO777" s="147"/>
      <c r="AP777" s="147"/>
      <c r="AQ777" s="147"/>
      <c r="AR777" s="147"/>
      <c r="AS777" s="147"/>
      <c r="AT777" s="147"/>
      <c r="AU777" s="147"/>
      <c r="AV777" s="147"/>
      <c r="AW777" s="147"/>
      <c r="AX777" s="147"/>
      <c r="AY777" s="147"/>
      <c r="AZ777" s="147"/>
      <c r="BA777" s="147"/>
      <c r="BB777" s="147"/>
      <c r="BC777" s="147"/>
      <c r="BD777" s="147"/>
      <c r="BE777" s="147"/>
      <c r="BF777" s="147"/>
      <c r="BG777" s="147"/>
      <c r="BH777" s="147"/>
      <c r="BI777" s="147"/>
      <c r="BJ777" s="147"/>
      <c r="BK777" s="147"/>
      <c r="BL777" s="147"/>
      <c r="BM777" s="147"/>
      <c r="BN777" s="147"/>
      <c r="BO777" s="147"/>
      <c r="BP777" s="147"/>
    </row>
    <row r="778" spans="1:68">
      <c r="A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c r="AC778" s="147"/>
      <c r="AD778" s="147"/>
      <c r="AE778" s="147"/>
      <c r="AF778" s="147"/>
      <c r="AG778" s="147"/>
      <c r="AH778" s="147"/>
      <c r="AI778" s="147"/>
      <c r="AJ778" s="147"/>
      <c r="AK778" s="147"/>
      <c r="AL778" s="147"/>
      <c r="AM778" s="147"/>
      <c r="AN778" s="147"/>
      <c r="AO778" s="147"/>
      <c r="AP778" s="147"/>
      <c r="AQ778" s="147"/>
      <c r="AR778" s="147"/>
      <c r="AS778" s="147"/>
      <c r="AT778" s="147"/>
      <c r="AU778" s="147"/>
      <c r="AV778" s="147"/>
      <c r="AW778" s="147"/>
      <c r="AX778" s="147"/>
      <c r="AY778" s="147"/>
      <c r="AZ778" s="147"/>
      <c r="BA778" s="147"/>
      <c r="BB778" s="147"/>
      <c r="BC778" s="147"/>
      <c r="BD778" s="147"/>
      <c r="BE778" s="147"/>
      <c r="BF778" s="147"/>
      <c r="BG778" s="147"/>
      <c r="BH778" s="147"/>
      <c r="BI778" s="147"/>
      <c r="BJ778" s="147"/>
      <c r="BK778" s="147"/>
      <c r="BL778" s="147"/>
      <c r="BM778" s="147"/>
      <c r="BN778" s="147"/>
      <c r="BO778" s="147"/>
      <c r="BP778" s="147"/>
    </row>
    <row r="779" spans="1:68">
      <c r="A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c r="AC779" s="147"/>
      <c r="AD779" s="147"/>
      <c r="AE779" s="147"/>
      <c r="AF779" s="147"/>
      <c r="AG779" s="147"/>
      <c r="AH779" s="147"/>
      <c r="AI779" s="147"/>
      <c r="AJ779" s="147"/>
      <c r="AK779" s="147"/>
      <c r="AL779" s="147"/>
      <c r="AM779" s="147"/>
      <c r="AN779" s="147"/>
      <c r="AO779" s="147"/>
      <c r="AP779" s="147"/>
      <c r="AQ779" s="147"/>
      <c r="AR779" s="147"/>
      <c r="AS779" s="147"/>
      <c r="AT779" s="147"/>
      <c r="AU779" s="147"/>
      <c r="AV779" s="147"/>
      <c r="AW779" s="147"/>
      <c r="AX779" s="147"/>
      <c r="AY779" s="147"/>
      <c r="AZ779" s="147"/>
      <c r="BA779" s="147"/>
      <c r="BB779" s="147"/>
      <c r="BC779" s="147"/>
      <c r="BD779" s="147"/>
      <c r="BE779" s="147"/>
      <c r="BF779" s="147"/>
      <c r="BG779" s="147"/>
      <c r="BH779" s="147"/>
      <c r="BI779" s="147"/>
      <c r="BJ779" s="147"/>
      <c r="BK779" s="147"/>
      <c r="BL779" s="147"/>
      <c r="BM779" s="147"/>
      <c r="BN779" s="147"/>
      <c r="BO779" s="147"/>
      <c r="BP779" s="147"/>
    </row>
    <row r="780" spans="1:68">
      <c r="A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c r="AC780" s="147"/>
      <c r="AD780" s="147"/>
      <c r="AE780" s="147"/>
      <c r="AF780" s="147"/>
      <c r="AG780" s="147"/>
      <c r="AH780" s="147"/>
      <c r="AI780" s="147"/>
      <c r="AJ780" s="147"/>
      <c r="AK780" s="147"/>
      <c r="AL780" s="147"/>
      <c r="AM780" s="147"/>
      <c r="AN780" s="147"/>
      <c r="AO780" s="147"/>
      <c r="AP780" s="147"/>
      <c r="AQ780" s="147"/>
      <c r="AR780" s="147"/>
      <c r="AS780" s="147"/>
      <c r="AT780" s="147"/>
      <c r="AU780" s="147"/>
      <c r="AV780" s="147"/>
      <c r="AW780" s="147"/>
      <c r="AX780" s="147"/>
      <c r="AY780" s="147"/>
      <c r="AZ780" s="147"/>
      <c r="BA780" s="147"/>
      <c r="BB780" s="147"/>
      <c r="BC780" s="147"/>
      <c r="BD780" s="147"/>
      <c r="BE780" s="147"/>
      <c r="BF780" s="147"/>
      <c r="BG780" s="147"/>
      <c r="BH780" s="147"/>
      <c r="BI780" s="147"/>
      <c r="BJ780" s="147"/>
      <c r="BK780" s="147"/>
      <c r="BL780" s="147"/>
      <c r="BM780" s="147"/>
      <c r="BN780" s="147"/>
      <c r="BO780" s="147"/>
      <c r="BP780" s="147"/>
    </row>
    <row r="781" spans="1:68">
      <c r="A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c r="AC781" s="147"/>
      <c r="AD781" s="147"/>
      <c r="AE781" s="147"/>
      <c r="AF781" s="147"/>
      <c r="AG781" s="147"/>
      <c r="AH781" s="147"/>
      <c r="AI781" s="147"/>
      <c r="AJ781" s="147"/>
      <c r="AK781" s="147"/>
      <c r="AL781" s="147"/>
      <c r="AM781" s="147"/>
      <c r="AN781" s="147"/>
      <c r="AO781" s="147"/>
      <c r="AP781" s="147"/>
      <c r="AQ781" s="147"/>
      <c r="AR781" s="147"/>
      <c r="AS781" s="147"/>
      <c r="AT781" s="147"/>
      <c r="AU781" s="147"/>
      <c r="AV781" s="147"/>
      <c r="AW781" s="147"/>
      <c r="AX781" s="147"/>
      <c r="AY781" s="147"/>
      <c r="AZ781" s="147"/>
      <c r="BA781" s="147"/>
      <c r="BB781" s="147"/>
      <c r="BC781" s="147"/>
      <c r="BD781" s="147"/>
      <c r="BE781" s="147"/>
      <c r="BF781" s="147"/>
      <c r="BG781" s="147"/>
      <c r="BH781" s="147"/>
      <c r="BI781" s="147"/>
      <c r="BJ781" s="147"/>
      <c r="BK781" s="147"/>
      <c r="BL781" s="147"/>
      <c r="BM781" s="147"/>
      <c r="BN781" s="147"/>
      <c r="BO781" s="147"/>
      <c r="BP781" s="147"/>
    </row>
    <row r="782" spans="1:68">
      <c r="A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c r="AC782" s="147"/>
      <c r="AD782" s="147"/>
      <c r="AE782" s="147"/>
      <c r="AF782" s="147"/>
      <c r="AG782" s="147"/>
      <c r="AH782" s="147"/>
      <c r="AI782" s="147"/>
      <c r="AJ782" s="147"/>
      <c r="AK782" s="147"/>
      <c r="AL782" s="147"/>
      <c r="AM782" s="147"/>
      <c r="AN782" s="147"/>
      <c r="AO782" s="147"/>
      <c r="AP782" s="147"/>
      <c r="AQ782" s="147"/>
      <c r="AR782" s="147"/>
      <c r="AS782" s="147"/>
      <c r="AT782" s="147"/>
      <c r="AU782" s="147"/>
      <c r="AV782" s="147"/>
      <c r="AW782" s="147"/>
      <c r="AX782" s="147"/>
      <c r="AY782" s="147"/>
      <c r="AZ782" s="147"/>
      <c r="BA782" s="147"/>
      <c r="BB782" s="147"/>
      <c r="BC782" s="147"/>
      <c r="BD782" s="147"/>
      <c r="BE782" s="147"/>
      <c r="BF782" s="147"/>
      <c r="BG782" s="147"/>
      <c r="BH782" s="147"/>
      <c r="BI782" s="147"/>
      <c r="BJ782" s="147"/>
      <c r="BK782" s="147"/>
      <c r="BL782" s="147"/>
      <c r="BM782" s="147"/>
      <c r="BN782" s="147"/>
      <c r="BO782" s="147"/>
      <c r="BP782" s="147"/>
    </row>
    <row r="783" spans="1:68">
      <c r="A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c r="AC783" s="147"/>
      <c r="AD783" s="147"/>
      <c r="AE783" s="147"/>
      <c r="AF783" s="147"/>
      <c r="AG783" s="147"/>
      <c r="AH783" s="147"/>
      <c r="AI783" s="147"/>
      <c r="AJ783" s="147"/>
      <c r="AK783" s="147"/>
      <c r="AL783" s="147"/>
      <c r="AM783" s="147"/>
      <c r="AN783" s="147"/>
      <c r="AO783" s="147"/>
      <c r="AP783" s="147"/>
      <c r="AQ783" s="147"/>
      <c r="AR783" s="147"/>
      <c r="AS783" s="147"/>
      <c r="AT783" s="147"/>
      <c r="AU783" s="147"/>
      <c r="AV783" s="147"/>
      <c r="AW783" s="147"/>
      <c r="AX783" s="147"/>
      <c r="AY783" s="147"/>
      <c r="AZ783" s="147"/>
      <c r="BA783" s="147"/>
      <c r="BB783" s="147"/>
      <c r="BC783" s="147"/>
      <c r="BD783" s="147"/>
      <c r="BE783" s="147"/>
      <c r="BF783" s="147"/>
      <c r="BG783" s="147"/>
      <c r="BH783" s="147"/>
      <c r="BI783" s="147"/>
      <c r="BJ783" s="147"/>
      <c r="BK783" s="147"/>
      <c r="BL783" s="147"/>
      <c r="BM783" s="147"/>
      <c r="BN783" s="147"/>
      <c r="BO783" s="147"/>
      <c r="BP783" s="147"/>
    </row>
    <row r="784" spans="1:68">
      <c r="A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c r="AC784" s="147"/>
      <c r="AD784" s="147"/>
      <c r="AE784" s="147"/>
      <c r="AF784" s="147"/>
      <c r="AG784" s="147"/>
      <c r="AH784" s="147"/>
      <c r="AI784" s="147"/>
      <c r="AJ784" s="147"/>
      <c r="AK784" s="147"/>
      <c r="AL784" s="147"/>
      <c r="AM784" s="147"/>
      <c r="AN784" s="147"/>
      <c r="AO784" s="147"/>
      <c r="AP784" s="147"/>
      <c r="AQ784" s="147"/>
      <c r="AR784" s="147"/>
      <c r="AS784" s="147"/>
      <c r="AT784" s="147"/>
      <c r="AU784" s="147"/>
      <c r="AV784" s="147"/>
      <c r="AW784" s="147"/>
      <c r="AX784" s="147"/>
      <c r="AY784" s="147"/>
      <c r="AZ784" s="147"/>
      <c r="BA784" s="147"/>
      <c r="BB784" s="147"/>
      <c r="BC784" s="147"/>
      <c r="BD784" s="147"/>
      <c r="BE784" s="147"/>
      <c r="BF784" s="147"/>
      <c r="BG784" s="147"/>
      <c r="BH784" s="147"/>
      <c r="BI784" s="147"/>
      <c r="BJ784" s="147"/>
      <c r="BK784" s="147"/>
      <c r="BL784" s="147"/>
      <c r="BM784" s="147"/>
      <c r="BN784" s="147"/>
      <c r="BO784" s="147"/>
      <c r="BP784" s="147"/>
    </row>
    <row r="785" spans="1:68">
      <c r="A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c r="AC785" s="147"/>
      <c r="AD785" s="147"/>
      <c r="AE785" s="147"/>
      <c r="AF785" s="147"/>
      <c r="AG785" s="147"/>
      <c r="AH785" s="147"/>
      <c r="AI785" s="147"/>
      <c r="AJ785" s="147"/>
      <c r="AK785" s="147"/>
      <c r="AL785" s="147"/>
      <c r="AM785" s="147"/>
      <c r="AN785" s="147"/>
      <c r="AO785" s="147"/>
      <c r="AP785" s="147"/>
      <c r="AQ785" s="147"/>
      <c r="AR785" s="147"/>
      <c r="AS785" s="147"/>
      <c r="AT785" s="147"/>
      <c r="AU785" s="147"/>
      <c r="AV785" s="147"/>
      <c r="AW785" s="147"/>
      <c r="AX785" s="147"/>
      <c r="AY785" s="147"/>
      <c r="AZ785" s="147"/>
      <c r="BA785" s="147"/>
      <c r="BB785" s="147"/>
      <c r="BC785" s="147"/>
      <c r="BD785" s="147"/>
      <c r="BE785" s="147"/>
      <c r="BF785" s="147"/>
      <c r="BG785" s="147"/>
      <c r="BH785" s="147"/>
      <c r="BI785" s="147"/>
      <c r="BJ785" s="147"/>
      <c r="BK785" s="147"/>
      <c r="BL785" s="147"/>
      <c r="BM785" s="147"/>
      <c r="BN785" s="147"/>
      <c r="BO785" s="147"/>
      <c r="BP785" s="147"/>
    </row>
    <row r="786" spans="1:68">
      <c r="A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c r="AC786" s="147"/>
      <c r="AD786" s="147"/>
      <c r="AE786" s="147"/>
      <c r="AF786" s="147"/>
      <c r="AG786" s="147"/>
      <c r="AH786" s="147"/>
      <c r="AI786" s="147"/>
      <c r="AJ786" s="147"/>
      <c r="AK786" s="147"/>
      <c r="AL786" s="147"/>
      <c r="AM786" s="147"/>
      <c r="AN786" s="147"/>
      <c r="AO786" s="147"/>
      <c r="AP786" s="147"/>
      <c r="AQ786" s="147"/>
      <c r="AR786" s="147"/>
      <c r="AS786" s="147"/>
      <c r="AT786" s="147"/>
      <c r="AU786" s="147"/>
      <c r="AV786" s="147"/>
      <c r="AW786" s="147"/>
      <c r="AX786" s="147"/>
      <c r="AY786" s="147"/>
      <c r="AZ786" s="147"/>
      <c r="BA786" s="147"/>
      <c r="BB786" s="147"/>
      <c r="BC786" s="147"/>
      <c r="BD786" s="147"/>
      <c r="BE786" s="147"/>
      <c r="BF786" s="147"/>
      <c r="BG786" s="147"/>
      <c r="BH786" s="147"/>
      <c r="BI786" s="147"/>
      <c r="BJ786" s="147"/>
      <c r="BK786" s="147"/>
      <c r="BL786" s="147"/>
      <c r="BM786" s="147"/>
      <c r="BN786" s="147"/>
      <c r="BO786" s="147"/>
      <c r="BP786" s="147"/>
    </row>
    <row r="787" spans="1:68">
      <c r="A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c r="AC787" s="147"/>
      <c r="AD787" s="147"/>
      <c r="AE787" s="147"/>
      <c r="AF787" s="147"/>
      <c r="AG787" s="147"/>
      <c r="AH787" s="147"/>
      <c r="AI787" s="147"/>
      <c r="AJ787" s="147"/>
      <c r="AK787" s="147"/>
      <c r="AL787" s="147"/>
      <c r="AM787" s="147"/>
      <c r="AN787" s="147"/>
      <c r="AO787" s="147"/>
      <c r="AP787" s="147"/>
      <c r="AQ787" s="147"/>
      <c r="AR787" s="147"/>
      <c r="AS787" s="147"/>
      <c r="AT787" s="147"/>
      <c r="AU787" s="147"/>
      <c r="AV787" s="147"/>
      <c r="AW787" s="147"/>
      <c r="AX787" s="147"/>
      <c r="AY787" s="147"/>
      <c r="AZ787" s="147"/>
      <c r="BA787" s="147"/>
      <c r="BB787" s="147"/>
      <c r="BC787" s="147"/>
      <c r="BD787" s="147"/>
      <c r="BE787" s="147"/>
      <c r="BF787" s="147"/>
      <c r="BG787" s="147"/>
      <c r="BH787" s="147"/>
      <c r="BI787" s="147"/>
      <c r="BJ787" s="147"/>
      <c r="BK787" s="147"/>
      <c r="BL787" s="147"/>
      <c r="BM787" s="147"/>
      <c r="BN787" s="147"/>
      <c r="BO787" s="147"/>
      <c r="BP787" s="147"/>
    </row>
    <row r="788" spans="1:68">
      <c r="A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c r="AC788" s="147"/>
      <c r="AD788" s="147"/>
      <c r="AE788" s="147"/>
      <c r="AF788" s="147"/>
      <c r="AG788" s="147"/>
      <c r="AH788" s="147"/>
      <c r="AI788" s="147"/>
      <c r="AJ788" s="147"/>
      <c r="AK788" s="147"/>
      <c r="AL788" s="147"/>
      <c r="AM788" s="147"/>
      <c r="AN788" s="147"/>
      <c r="AO788" s="147"/>
      <c r="AP788" s="147"/>
      <c r="AQ788" s="147"/>
      <c r="AR788" s="147"/>
      <c r="AS788" s="147"/>
      <c r="AT788" s="147"/>
      <c r="AU788" s="147"/>
      <c r="AV788" s="147"/>
      <c r="AW788" s="147"/>
      <c r="AX788" s="147"/>
      <c r="AY788" s="147"/>
      <c r="AZ788" s="147"/>
      <c r="BA788" s="147"/>
      <c r="BB788" s="147"/>
      <c r="BC788" s="147"/>
      <c r="BD788" s="147"/>
      <c r="BE788" s="147"/>
      <c r="BF788" s="147"/>
      <c r="BG788" s="147"/>
      <c r="BH788" s="147"/>
      <c r="BI788" s="147"/>
      <c r="BJ788" s="147"/>
      <c r="BK788" s="147"/>
      <c r="BL788" s="147"/>
      <c r="BM788" s="147"/>
      <c r="BN788" s="147"/>
      <c r="BO788" s="147"/>
      <c r="BP788" s="147"/>
    </row>
    <row r="789" spans="1:68">
      <c r="A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c r="AC789" s="147"/>
      <c r="AD789" s="147"/>
      <c r="AE789" s="147"/>
      <c r="AF789" s="147"/>
      <c r="AG789" s="147"/>
      <c r="AH789" s="147"/>
      <c r="AI789" s="147"/>
      <c r="AJ789" s="147"/>
      <c r="AK789" s="147"/>
      <c r="AL789" s="147"/>
      <c r="AM789" s="147"/>
      <c r="AN789" s="147"/>
      <c r="AO789" s="147"/>
      <c r="AP789" s="147"/>
      <c r="AQ789" s="147"/>
      <c r="AR789" s="147"/>
      <c r="AS789" s="147"/>
      <c r="AT789" s="147"/>
      <c r="AU789" s="147"/>
      <c r="AV789" s="147"/>
      <c r="AW789" s="147"/>
      <c r="AX789" s="147"/>
      <c r="AY789" s="147"/>
      <c r="AZ789" s="147"/>
      <c r="BA789" s="147"/>
      <c r="BB789" s="147"/>
      <c r="BC789" s="147"/>
      <c r="BD789" s="147"/>
      <c r="BE789" s="147"/>
      <c r="BF789" s="147"/>
      <c r="BG789" s="147"/>
      <c r="BH789" s="147"/>
      <c r="BI789" s="147"/>
      <c r="BJ789" s="147"/>
      <c r="BK789" s="147"/>
      <c r="BL789" s="147"/>
      <c r="BM789" s="147"/>
      <c r="BN789" s="147"/>
      <c r="BO789" s="147"/>
      <c r="BP789" s="147"/>
    </row>
    <row r="790" spans="1:68">
      <c r="A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c r="AC790" s="147"/>
      <c r="AD790" s="147"/>
      <c r="AE790" s="147"/>
      <c r="AF790" s="147"/>
      <c r="AG790" s="147"/>
      <c r="AH790" s="147"/>
      <c r="AI790" s="147"/>
      <c r="AJ790" s="147"/>
      <c r="AK790" s="147"/>
      <c r="AL790" s="147"/>
      <c r="AM790" s="147"/>
      <c r="AN790" s="147"/>
      <c r="AO790" s="147"/>
      <c r="AP790" s="147"/>
      <c r="AQ790" s="147"/>
      <c r="AR790" s="147"/>
      <c r="AS790" s="147"/>
      <c r="AT790" s="147"/>
      <c r="AU790" s="147"/>
      <c r="AV790" s="147"/>
      <c r="AW790" s="147"/>
      <c r="AX790" s="147"/>
      <c r="AY790" s="147"/>
      <c r="AZ790" s="147"/>
      <c r="BA790" s="147"/>
      <c r="BB790" s="147"/>
      <c r="BC790" s="147"/>
      <c r="BD790" s="147"/>
      <c r="BE790" s="147"/>
      <c r="BF790" s="147"/>
      <c r="BG790" s="147"/>
      <c r="BH790" s="147"/>
      <c r="BI790" s="147"/>
      <c r="BJ790" s="147"/>
      <c r="BK790" s="147"/>
      <c r="BL790" s="147"/>
      <c r="BM790" s="147"/>
      <c r="BN790" s="147"/>
      <c r="BO790" s="147"/>
      <c r="BP790" s="147"/>
    </row>
    <row r="791" spans="1:68">
      <c r="A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c r="AC791" s="147"/>
      <c r="AD791" s="147"/>
      <c r="AE791" s="147"/>
      <c r="AF791" s="147"/>
      <c r="AG791" s="147"/>
      <c r="AH791" s="147"/>
      <c r="AI791" s="147"/>
      <c r="AJ791" s="147"/>
      <c r="AK791" s="147"/>
      <c r="AL791" s="147"/>
      <c r="AM791" s="147"/>
      <c r="AN791" s="147"/>
      <c r="AO791" s="147"/>
      <c r="AP791" s="147"/>
      <c r="AQ791" s="147"/>
      <c r="AR791" s="147"/>
      <c r="AS791" s="147"/>
      <c r="AT791" s="147"/>
      <c r="AU791" s="147"/>
      <c r="AV791" s="147"/>
      <c r="AW791" s="147"/>
      <c r="AX791" s="147"/>
      <c r="AY791" s="147"/>
      <c r="AZ791" s="147"/>
      <c r="BA791" s="147"/>
      <c r="BB791" s="147"/>
      <c r="BC791" s="147"/>
      <c r="BD791" s="147"/>
      <c r="BE791" s="147"/>
      <c r="BF791" s="147"/>
      <c r="BG791" s="147"/>
      <c r="BH791" s="147"/>
      <c r="BI791" s="147"/>
      <c r="BJ791" s="147"/>
      <c r="BK791" s="147"/>
      <c r="BL791" s="147"/>
      <c r="BM791" s="147"/>
      <c r="BN791" s="147"/>
      <c r="BO791" s="147"/>
      <c r="BP791" s="147"/>
    </row>
    <row r="792" spans="1:68">
      <c r="A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c r="AC792" s="147"/>
      <c r="AD792" s="147"/>
      <c r="AE792" s="147"/>
      <c r="AF792" s="147"/>
      <c r="AG792" s="147"/>
      <c r="AH792" s="147"/>
      <c r="AI792" s="147"/>
      <c r="AJ792" s="147"/>
      <c r="AK792" s="147"/>
      <c r="AL792" s="147"/>
      <c r="AM792" s="147"/>
      <c r="AN792" s="147"/>
      <c r="AO792" s="147"/>
      <c r="AP792" s="147"/>
      <c r="AQ792" s="147"/>
      <c r="AR792" s="147"/>
      <c r="AS792" s="147"/>
      <c r="AT792" s="147"/>
      <c r="AU792" s="147"/>
      <c r="AV792" s="147"/>
      <c r="AW792" s="147"/>
      <c r="AX792" s="147"/>
      <c r="AY792" s="147"/>
      <c r="AZ792" s="147"/>
      <c r="BA792" s="147"/>
      <c r="BB792" s="147"/>
      <c r="BC792" s="147"/>
      <c r="BD792" s="147"/>
      <c r="BE792" s="147"/>
      <c r="BF792" s="147"/>
      <c r="BG792" s="147"/>
      <c r="BH792" s="147"/>
      <c r="BI792" s="147"/>
      <c r="BJ792" s="147"/>
      <c r="BK792" s="147"/>
      <c r="BL792" s="147"/>
      <c r="BM792" s="147"/>
      <c r="BN792" s="147"/>
      <c r="BO792" s="147"/>
      <c r="BP792" s="147"/>
    </row>
    <row r="793" spans="1:68">
      <c r="A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c r="AC793" s="147"/>
      <c r="AD793" s="147"/>
      <c r="AE793" s="147"/>
      <c r="AF793" s="147"/>
      <c r="AG793" s="147"/>
      <c r="AH793" s="147"/>
      <c r="AI793" s="147"/>
      <c r="AJ793" s="147"/>
      <c r="AK793" s="147"/>
      <c r="AL793" s="147"/>
      <c r="AM793" s="147"/>
      <c r="AN793" s="147"/>
      <c r="AO793" s="147"/>
      <c r="AP793" s="147"/>
      <c r="AQ793" s="147"/>
      <c r="AR793" s="147"/>
      <c r="AS793" s="147"/>
      <c r="AT793" s="147"/>
      <c r="AU793" s="147"/>
      <c r="AV793" s="147"/>
      <c r="AW793" s="147"/>
      <c r="AX793" s="147"/>
      <c r="AY793" s="147"/>
      <c r="AZ793" s="147"/>
      <c r="BA793" s="147"/>
      <c r="BB793" s="147"/>
      <c r="BC793" s="147"/>
      <c r="BD793" s="147"/>
      <c r="BE793" s="147"/>
      <c r="BF793" s="147"/>
      <c r="BG793" s="147"/>
      <c r="BH793" s="147"/>
      <c r="BI793" s="147"/>
      <c r="BJ793" s="147"/>
      <c r="BK793" s="147"/>
      <c r="BL793" s="147"/>
      <c r="BM793" s="147"/>
      <c r="BN793" s="147"/>
      <c r="BO793" s="147"/>
      <c r="BP793" s="147"/>
    </row>
    <row r="794" spans="1:68">
      <c r="A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c r="AC794" s="147"/>
      <c r="AD794" s="147"/>
      <c r="AE794" s="147"/>
      <c r="AF794" s="147"/>
      <c r="AG794" s="147"/>
      <c r="AH794" s="147"/>
      <c r="AI794" s="147"/>
      <c r="AJ794" s="147"/>
      <c r="AK794" s="147"/>
      <c r="AL794" s="147"/>
      <c r="AM794" s="147"/>
      <c r="AN794" s="147"/>
      <c r="AO794" s="147"/>
      <c r="AP794" s="147"/>
      <c r="AQ794" s="147"/>
      <c r="AR794" s="147"/>
      <c r="AS794" s="147"/>
      <c r="AT794" s="147"/>
      <c r="AU794" s="147"/>
      <c r="AV794" s="147"/>
      <c r="AW794" s="147"/>
      <c r="AX794" s="147"/>
      <c r="AY794" s="147"/>
      <c r="AZ794" s="147"/>
      <c r="BA794" s="147"/>
      <c r="BB794" s="147"/>
      <c r="BC794" s="147"/>
      <c r="BD794" s="147"/>
      <c r="BE794" s="147"/>
      <c r="BF794" s="147"/>
      <c r="BG794" s="147"/>
      <c r="BH794" s="147"/>
      <c r="BI794" s="147"/>
      <c r="BJ794" s="147"/>
      <c r="BK794" s="147"/>
      <c r="BL794" s="147"/>
      <c r="BM794" s="147"/>
      <c r="BN794" s="147"/>
      <c r="BO794" s="147"/>
      <c r="BP794" s="147"/>
    </row>
    <row r="795" spans="1:68">
      <c r="A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c r="AC795" s="147"/>
      <c r="AD795" s="147"/>
      <c r="AE795" s="147"/>
      <c r="AF795" s="147"/>
      <c r="AG795" s="147"/>
      <c r="AH795" s="147"/>
      <c r="AI795" s="147"/>
      <c r="AJ795" s="147"/>
      <c r="AK795" s="147"/>
      <c r="AL795" s="147"/>
      <c r="AM795" s="147"/>
      <c r="AN795" s="147"/>
      <c r="AO795" s="147"/>
      <c r="AP795" s="147"/>
      <c r="AQ795" s="147"/>
      <c r="AR795" s="147"/>
      <c r="AS795" s="147"/>
      <c r="AT795" s="147"/>
      <c r="AU795" s="147"/>
      <c r="AV795" s="147"/>
      <c r="AW795" s="147"/>
      <c r="AX795" s="147"/>
      <c r="AY795" s="147"/>
      <c r="AZ795" s="147"/>
      <c r="BA795" s="147"/>
      <c r="BB795" s="147"/>
      <c r="BC795" s="147"/>
      <c r="BD795" s="147"/>
      <c r="BE795" s="147"/>
      <c r="BF795" s="147"/>
      <c r="BG795" s="147"/>
      <c r="BH795" s="147"/>
      <c r="BI795" s="147"/>
      <c r="BJ795" s="147"/>
      <c r="BK795" s="147"/>
      <c r="BL795" s="147"/>
      <c r="BM795" s="147"/>
      <c r="BN795" s="147"/>
      <c r="BO795" s="147"/>
      <c r="BP795" s="147"/>
    </row>
    <row r="796" spans="1:68">
      <c r="A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c r="AC796" s="147"/>
      <c r="AD796" s="147"/>
      <c r="AE796" s="147"/>
      <c r="AF796" s="147"/>
      <c r="AG796" s="147"/>
      <c r="AH796" s="147"/>
      <c r="AI796" s="147"/>
      <c r="AJ796" s="147"/>
      <c r="AK796" s="147"/>
      <c r="AL796" s="147"/>
      <c r="AM796" s="147"/>
      <c r="AN796" s="147"/>
      <c r="AO796" s="147"/>
      <c r="AP796" s="147"/>
      <c r="AQ796" s="147"/>
      <c r="AR796" s="147"/>
      <c r="AS796" s="147"/>
      <c r="AT796" s="147"/>
      <c r="AU796" s="147"/>
      <c r="AV796" s="147"/>
      <c r="AW796" s="147"/>
      <c r="AX796" s="147"/>
      <c r="AY796" s="147"/>
      <c r="AZ796" s="147"/>
      <c r="BA796" s="147"/>
      <c r="BB796" s="147"/>
      <c r="BC796" s="147"/>
      <c r="BD796" s="147"/>
      <c r="BE796" s="147"/>
      <c r="BF796" s="147"/>
      <c r="BG796" s="147"/>
      <c r="BH796" s="147"/>
      <c r="BI796" s="147"/>
      <c r="BJ796" s="147"/>
      <c r="BK796" s="147"/>
      <c r="BL796" s="147"/>
      <c r="BM796" s="147"/>
      <c r="BN796" s="147"/>
      <c r="BO796" s="147"/>
      <c r="BP796" s="147"/>
    </row>
    <row r="797" spans="1:68">
      <c r="A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c r="AC797" s="147"/>
      <c r="AD797" s="147"/>
      <c r="AE797" s="147"/>
      <c r="AF797" s="147"/>
      <c r="AG797" s="147"/>
      <c r="AH797" s="147"/>
      <c r="AI797" s="147"/>
      <c r="AJ797" s="147"/>
      <c r="AK797" s="147"/>
      <c r="AL797" s="147"/>
      <c r="AM797" s="147"/>
      <c r="AN797" s="147"/>
      <c r="AO797" s="147"/>
      <c r="AP797" s="147"/>
      <c r="AQ797" s="147"/>
      <c r="AR797" s="147"/>
      <c r="AS797" s="147"/>
      <c r="AT797" s="147"/>
      <c r="AU797" s="147"/>
      <c r="AV797" s="147"/>
      <c r="AW797" s="147"/>
      <c r="AX797" s="147"/>
      <c r="AY797" s="147"/>
      <c r="AZ797" s="147"/>
      <c r="BA797" s="147"/>
      <c r="BB797" s="147"/>
      <c r="BC797" s="147"/>
      <c r="BD797" s="147"/>
      <c r="BE797" s="147"/>
      <c r="BF797" s="147"/>
      <c r="BG797" s="147"/>
      <c r="BH797" s="147"/>
      <c r="BI797" s="147"/>
      <c r="BJ797" s="147"/>
      <c r="BK797" s="147"/>
      <c r="BL797" s="147"/>
      <c r="BM797" s="147"/>
      <c r="BN797" s="147"/>
      <c r="BO797" s="147"/>
      <c r="BP797" s="147"/>
    </row>
    <row r="798" spans="1:68">
      <c r="A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c r="AC798" s="147"/>
      <c r="AD798" s="147"/>
      <c r="AE798" s="147"/>
      <c r="AF798" s="147"/>
      <c r="AG798" s="147"/>
      <c r="AH798" s="147"/>
      <c r="AI798" s="147"/>
      <c r="AJ798" s="147"/>
      <c r="AK798" s="147"/>
      <c r="AL798" s="147"/>
      <c r="AM798" s="147"/>
      <c r="AN798" s="147"/>
      <c r="AO798" s="147"/>
      <c r="AP798" s="147"/>
      <c r="AQ798" s="147"/>
      <c r="AR798" s="147"/>
      <c r="AS798" s="147"/>
      <c r="AT798" s="147"/>
      <c r="AU798" s="147"/>
      <c r="AV798" s="147"/>
      <c r="AW798" s="147"/>
      <c r="AX798" s="147"/>
      <c r="AY798" s="147"/>
      <c r="AZ798" s="147"/>
      <c r="BA798" s="147"/>
      <c r="BB798" s="147"/>
      <c r="BC798" s="147"/>
      <c r="BD798" s="147"/>
      <c r="BE798" s="147"/>
      <c r="BF798" s="147"/>
      <c r="BG798" s="147"/>
      <c r="BH798" s="147"/>
      <c r="BI798" s="147"/>
      <c r="BJ798" s="147"/>
      <c r="BK798" s="147"/>
      <c r="BL798" s="147"/>
      <c r="BM798" s="147"/>
      <c r="BN798" s="147"/>
      <c r="BO798" s="147"/>
      <c r="BP798" s="147"/>
    </row>
    <row r="799" spans="1:68">
      <c r="A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c r="AC799" s="147"/>
      <c r="AD799" s="147"/>
      <c r="AE799" s="147"/>
      <c r="AF799" s="147"/>
      <c r="AG799" s="147"/>
      <c r="AH799" s="147"/>
      <c r="AI799" s="147"/>
      <c r="AJ799" s="147"/>
      <c r="AK799" s="147"/>
      <c r="AL799" s="147"/>
      <c r="AM799" s="147"/>
      <c r="AN799" s="147"/>
      <c r="AO799" s="147"/>
      <c r="AP799" s="147"/>
      <c r="AQ799" s="147"/>
      <c r="AR799" s="147"/>
      <c r="AS799" s="147"/>
      <c r="AT799" s="147"/>
      <c r="AU799" s="147"/>
      <c r="AV799" s="147"/>
      <c r="AW799" s="147"/>
      <c r="AX799" s="147"/>
      <c r="AY799" s="147"/>
      <c r="AZ799" s="147"/>
      <c r="BA799" s="147"/>
      <c r="BB799" s="147"/>
      <c r="BC799" s="147"/>
      <c r="BD799" s="147"/>
      <c r="BE799" s="147"/>
      <c r="BF799" s="147"/>
      <c r="BG799" s="147"/>
      <c r="BH799" s="147"/>
      <c r="BI799" s="147"/>
      <c r="BJ799" s="147"/>
      <c r="BK799" s="147"/>
      <c r="BL799" s="147"/>
      <c r="BM799" s="147"/>
      <c r="BN799" s="147"/>
      <c r="BO799" s="147"/>
      <c r="BP799" s="147"/>
    </row>
    <row r="800" spans="1:68">
      <c r="A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c r="AC800" s="147"/>
      <c r="AD800" s="147"/>
      <c r="AE800" s="147"/>
      <c r="AF800" s="147"/>
      <c r="AG800" s="147"/>
      <c r="AH800" s="147"/>
      <c r="AI800" s="147"/>
      <c r="AJ800" s="147"/>
      <c r="AK800" s="147"/>
      <c r="AL800" s="147"/>
      <c r="AM800" s="147"/>
      <c r="AN800" s="147"/>
      <c r="AO800" s="147"/>
      <c r="AP800" s="147"/>
      <c r="AQ800" s="147"/>
      <c r="AR800" s="147"/>
      <c r="AS800" s="147"/>
      <c r="AT800" s="147"/>
      <c r="AU800" s="147"/>
      <c r="AV800" s="147"/>
      <c r="AW800" s="147"/>
      <c r="AX800" s="147"/>
      <c r="AY800" s="147"/>
      <c r="AZ800" s="147"/>
      <c r="BA800" s="147"/>
      <c r="BB800" s="147"/>
      <c r="BC800" s="147"/>
      <c r="BD800" s="147"/>
      <c r="BE800" s="147"/>
      <c r="BF800" s="147"/>
      <c r="BG800" s="147"/>
      <c r="BH800" s="147"/>
      <c r="BI800" s="147"/>
      <c r="BJ800" s="147"/>
      <c r="BK800" s="147"/>
      <c r="BL800" s="147"/>
      <c r="BM800" s="147"/>
      <c r="BN800" s="147"/>
      <c r="BO800" s="147"/>
      <c r="BP800" s="147"/>
    </row>
    <row r="801" spans="1:68">
      <c r="A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c r="AC801" s="147"/>
      <c r="AD801" s="147"/>
      <c r="AE801" s="147"/>
      <c r="AF801" s="147"/>
      <c r="AG801" s="147"/>
      <c r="AH801" s="147"/>
      <c r="AI801" s="147"/>
      <c r="AJ801" s="147"/>
      <c r="AK801" s="147"/>
      <c r="AL801" s="147"/>
      <c r="AM801" s="147"/>
      <c r="AN801" s="147"/>
      <c r="AO801" s="147"/>
      <c r="AP801" s="147"/>
      <c r="AQ801" s="147"/>
      <c r="AR801" s="147"/>
      <c r="AS801" s="147"/>
      <c r="AT801" s="147"/>
      <c r="AU801" s="147"/>
      <c r="AV801" s="147"/>
      <c r="AW801" s="147"/>
      <c r="AX801" s="147"/>
      <c r="AY801" s="147"/>
      <c r="AZ801" s="147"/>
      <c r="BA801" s="147"/>
      <c r="BB801" s="147"/>
      <c r="BC801" s="147"/>
      <c r="BD801" s="147"/>
      <c r="BE801" s="147"/>
      <c r="BF801" s="147"/>
      <c r="BG801" s="147"/>
      <c r="BH801" s="147"/>
      <c r="BI801" s="147"/>
      <c r="BJ801" s="147"/>
      <c r="BK801" s="147"/>
      <c r="BL801" s="147"/>
      <c r="BM801" s="147"/>
      <c r="BN801" s="147"/>
      <c r="BO801" s="147"/>
      <c r="BP801" s="147"/>
    </row>
    <row r="802" spans="1:68">
      <c r="A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c r="AC802" s="147"/>
      <c r="AD802" s="147"/>
      <c r="AE802" s="147"/>
      <c r="AF802" s="147"/>
      <c r="AG802" s="147"/>
      <c r="AH802" s="147"/>
      <c r="AI802" s="147"/>
      <c r="AJ802" s="147"/>
      <c r="AK802" s="147"/>
      <c r="AL802" s="147"/>
      <c r="AM802" s="147"/>
      <c r="AN802" s="147"/>
      <c r="AO802" s="147"/>
      <c r="AP802" s="147"/>
      <c r="AQ802" s="147"/>
      <c r="AR802" s="147"/>
      <c r="AS802" s="147"/>
      <c r="AT802" s="147"/>
      <c r="AU802" s="147"/>
      <c r="AV802" s="147"/>
      <c r="AW802" s="147"/>
      <c r="AX802" s="147"/>
      <c r="AY802" s="147"/>
      <c r="AZ802" s="147"/>
      <c r="BA802" s="147"/>
      <c r="BB802" s="147"/>
      <c r="BC802" s="147"/>
      <c r="BD802" s="147"/>
      <c r="BE802" s="147"/>
      <c r="BF802" s="147"/>
      <c r="BG802" s="147"/>
      <c r="BH802" s="147"/>
      <c r="BI802" s="147"/>
      <c r="BJ802" s="147"/>
      <c r="BK802" s="147"/>
      <c r="BL802" s="147"/>
      <c r="BM802" s="147"/>
      <c r="BN802" s="147"/>
      <c r="BO802" s="147"/>
      <c r="BP802" s="147"/>
    </row>
    <row r="803" spans="1:68">
      <c r="A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c r="AC803" s="147"/>
      <c r="AD803" s="147"/>
      <c r="AE803" s="147"/>
      <c r="AF803" s="147"/>
      <c r="AG803" s="147"/>
      <c r="AH803" s="147"/>
      <c r="AI803" s="147"/>
      <c r="AJ803" s="147"/>
      <c r="AK803" s="147"/>
      <c r="AL803" s="147"/>
      <c r="AM803" s="147"/>
      <c r="AN803" s="147"/>
      <c r="AO803" s="147"/>
      <c r="AP803" s="147"/>
      <c r="AQ803" s="147"/>
      <c r="AR803" s="147"/>
      <c r="AS803" s="147"/>
      <c r="AT803" s="147"/>
      <c r="AU803" s="147"/>
      <c r="AV803" s="147"/>
      <c r="AW803" s="147"/>
      <c r="AX803" s="147"/>
      <c r="AY803" s="147"/>
      <c r="AZ803" s="147"/>
      <c r="BA803" s="147"/>
      <c r="BB803" s="147"/>
      <c r="BC803" s="147"/>
      <c r="BD803" s="147"/>
      <c r="BE803" s="147"/>
      <c r="BF803" s="147"/>
      <c r="BG803" s="147"/>
      <c r="BH803" s="147"/>
      <c r="BI803" s="147"/>
      <c r="BJ803" s="147"/>
      <c r="BK803" s="147"/>
      <c r="BL803" s="147"/>
      <c r="BM803" s="147"/>
      <c r="BN803" s="147"/>
      <c r="BO803" s="147"/>
      <c r="BP803" s="147"/>
    </row>
    <row r="804" spans="1:68">
      <c r="A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c r="AC804" s="147"/>
      <c r="AD804" s="147"/>
      <c r="AE804" s="147"/>
      <c r="AF804" s="147"/>
      <c r="AG804" s="147"/>
      <c r="AH804" s="147"/>
      <c r="AI804" s="147"/>
      <c r="AJ804" s="147"/>
      <c r="AK804" s="147"/>
      <c r="AL804" s="147"/>
      <c r="AM804" s="147"/>
      <c r="AN804" s="147"/>
      <c r="AO804" s="147"/>
      <c r="AP804" s="147"/>
      <c r="AQ804" s="147"/>
      <c r="AR804" s="147"/>
      <c r="AS804" s="147"/>
      <c r="AT804" s="147"/>
      <c r="AU804" s="147"/>
      <c r="AV804" s="147"/>
      <c r="AW804" s="147"/>
      <c r="AX804" s="147"/>
      <c r="AY804" s="147"/>
      <c r="AZ804" s="147"/>
      <c r="BA804" s="147"/>
      <c r="BB804" s="147"/>
      <c r="BC804" s="147"/>
      <c r="BD804" s="147"/>
      <c r="BE804" s="147"/>
      <c r="BF804" s="147"/>
      <c r="BG804" s="147"/>
      <c r="BH804" s="147"/>
      <c r="BI804" s="147"/>
      <c r="BJ804" s="147"/>
      <c r="BK804" s="147"/>
      <c r="BL804" s="147"/>
      <c r="BM804" s="147"/>
      <c r="BN804" s="147"/>
      <c r="BO804" s="147"/>
      <c r="BP804" s="147"/>
    </row>
    <row r="805" spans="1:68">
      <c r="A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c r="AC805" s="147"/>
      <c r="AD805" s="147"/>
      <c r="AE805" s="147"/>
      <c r="AF805" s="147"/>
      <c r="AG805" s="147"/>
      <c r="AH805" s="147"/>
      <c r="AI805" s="147"/>
      <c r="AJ805" s="147"/>
      <c r="AK805" s="147"/>
      <c r="AL805" s="147"/>
      <c r="AM805" s="147"/>
      <c r="AN805" s="147"/>
      <c r="AO805" s="147"/>
      <c r="AP805" s="147"/>
      <c r="AQ805" s="147"/>
      <c r="AR805" s="147"/>
      <c r="AS805" s="147"/>
      <c r="AT805" s="147"/>
      <c r="AU805" s="147"/>
      <c r="AV805" s="147"/>
      <c r="AW805" s="147"/>
      <c r="AX805" s="147"/>
      <c r="AY805" s="147"/>
      <c r="AZ805" s="147"/>
      <c r="BA805" s="147"/>
      <c r="BB805" s="147"/>
      <c r="BC805" s="147"/>
      <c r="BD805" s="147"/>
      <c r="BE805" s="147"/>
      <c r="BF805" s="147"/>
      <c r="BG805" s="147"/>
      <c r="BH805" s="147"/>
      <c r="BI805" s="147"/>
      <c r="BJ805" s="147"/>
      <c r="BK805" s="147"/>
      <c r="BL805" s="147"/>
      <c r="BM805" s="147"/>
      <c r="BN805" s="147"/>
      <c r="BO805" s="147"/>
      <c r="BP805" s="147"/>
    </row>
    <row r="806" spans="1:68">
      <c r="A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c r="AC806" s="147"/>
      <c r="AD806" s="147"/>
      <c r="AE806" s="147"/>
      <c r="AF806" s="147"/>
      <c r="AG806" s="147"/>
      <c r="AH806" s="147"/>
      <c r="AI806" s="147"/>
      <c r="AJ806" s="147"/>
      <c r="AK806" s="147"/>
      <c r="AL806" s="147"/>
      <c r="AM806" s="147"/>
      <c r="AN806" s="147"/>
      <c r="AO806" s="147"/>
      <c r="AP806" s="147"/>
      <c r="AQ806" s="147"/>
      <c r="AR806" s="147"/>
      <c r="AS806" s="147"/>
      <c r="AT806" s="147"/>
      <c r="AU806" s="147"/>
      <c r="AV806" s="147"/>
      <c r="AW806" s="147"/>
      <c r="AX806" s="147"/>
      <c r="AY806" s="147"/>
      <c r="AZ806" s="147"/>
      <c r="BA806" s="147"/>
      <c r="BB806" s="147"/>
      <c r="BC806" s="147"/>
      <c r="BD806" s="147"/>
      <c r="BE806" s="147"/>
      <c r="BF806" s="147"/>
      <c r="BG806" s="147"/>
      <c r="BH806" s="147"/>
      <c r="BI806" s="147"/>
      <c r="BJ806" s="147"/>
      <c r="BK806" s="147"/>
      <c r="BL806" s="147"/>
      <c r="BM806" s="147"/>
      <c r="BN806" s="147"/>
      <c r="BO806" s="147"/>
      <c r="BP806" s="147"/>
    </row>
    <row r="807" spans="1:68">
      <c r="A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c r="AC807" s="147"/>
      <c r="AD807" s="147"/>
      <c r="AE807" s="147"/>
      <c r="AF807" s="147"/>
      <c r="AG807" s="147"/>
      <c r="AH807" s="147"/>
      <c r="AI807" s="147"/>
      <c r="AJ807" s="147"/>
      <c r="AK807" s="147"/>
      <c r="AL807" s="147"/>
      <c r="AM807" s="147"/>
      <c r="AN807" s="147"/>
      <c r="AO807" s="147"/>
      <c r="AP807" s="147"/>
      <c r="AQ807" s="147"/>
      <c r="AR807" s="147"/>
      <c r="AS807" s="147"/>
      <c r="AT807" s="147"/>
      <c r="AU807" s="147"/>
      <c r="AV807" s="147"/>
      <c r="AW807" s="147"/>
      <c r="AX807" s="147"/>
      <c r="AY807" s="147"/>
      <c r="AZ807" s="147"/>
      <c r="BA807" s="147"/>
      <c r="BB807" s="147"/>
      <c r="BC807" s="147"/>
      <c r="BD807" s="147"/>
      <c r="BE807" s="147"/>
      <c r="BF807" s="147"/>
      <c r="BG807" s="147"/>
      <c r="BH807" s="147"/>
      <c r="BI807" s="147"/>
      <c r="BJ807" s="147"/>
      <c r="BK807" s="147"/>
      <c r="BL807" s="147"/>
      <c r="BM807" s="147"/>
      <c r="BN807" s="147"/>
      <c r="BO807" s="147"/>
      <c r="BP807" s="147"/>
    </row>
    <row r="808" spans="1:68">
      <c r="A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c r="AC808" s="147"/>
      <c r="AD808" s="147"/>
      <c r="AE808" s="147"/>
      <c r="AF808" s="147"/>
      <c r="AG808" s="147"/>
      <c r="AH808" s="147"/>
      <c r="AI808" s="147"/>
      <c r="AJ808" s="147"/>
      <c r="AK808" s="147"/>
      <c r="AL808" s="147"/>
      <c r="AM808" s="147"/>
      <c r="AN808" s="147"/>
      <c r="AO808" s="147"/>
      <c r="AP808" s="147"/>
      <c r="AQ808" s="147"/>
      <c r="AR808" s="147"/>
      <c r="AS808" s="147"/>
      <c r="AT808" s="147"/>
      <c r="AU808" s="147"/>
      <c r="AV808" s="147"/>
      <c r="AW808" s="147"/>
      <c r="AX808" s="147"/>
      <c r="AY808" s="147"/>
      <c r="AZ808" s="147"/>
      <c r="BA808" s="147"/>
      <c r="BB808" s="147"/>
      <c r="BC808" s="147"/>
      <c r="BD808" s="147"/>
      <c r="BE808" s="147"/>
      <c r="BF808" s="147"/>
      <c r="BG808" s="147"/>
      <c r="BH808" s="147"/>
      <c r="BI808" s="147"/>
      <c r="BJ808" s="147"/>
      <c r="BK808" s="147"/>
      <c r="BL808" s="147"/>
      <c r="BM808" s="147"/>
      <c r="BN808" s="147"/>
      <c r="BO808" s="147"/>
      <c r="BP808" s="147"/>
    </row>
    <row r="809" spans="1:68">
      <c r="A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c r="AC809" s="147"/>
      <c r="AD809" s="147"/>
      <c r="AE809" s="147"/>
      <c r="AF809" s="147"/>
      <c r="AG809" s="147"/>
      <c r="AH809" s="147"/>
      <c r="AI809" s="147"/>
      <c r="AJ809" s="147"/>
      <c r="AK809" s="147"/>
      <c r="AL809" s="147"/>
      <c r="AM809" s="147"/>
      <c r="AN809" s="147"/>
      <c r="AO809" s="147"/>
      <c r="AP809" s="147"/>
      <c r="AQ809" s="147"/>
      <c r="AR809" s="147"/>
      <c r="AS809" s="147"/>
      <c r="AT809" s="147"/>
      <c r="AU809" s="147"/>
      <c r="AV809" s="147"/>
      <c r="AW809" s="147"/>
      <c r="AX809" s="147"/>
      <c r="AY809" s="147"/>
      <c r="AZ809" s="147"/>
      <c r="BA809" s="147"/>
      <c r="BB809" s="147"/>
      <c r="BC809" s="147"/>
      <c r="BD809" s="147"/>
      <c r="BE809" s="147"/>
      <c r="BF809" s="147"/>
      <c r="BG809" s="147"/>
      <c r="BH809" s="147"/>
      <c r="BI809" s="147"/>
      <c r="BJ809" s="147"/>
      <c r="BK809" s="147"/>
      <c r="BL809" s="147"/>
      <c r="BM809" s="147"/>
      <c r="BN809" s="147"/>
      <c r="BO809" s="147"/>
      <c r="BP809" s="147"/>
    </row>
    <row r="810" spans="1:68">
      <c r="A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c r="AC810" s="147"/>
      <c r="AD810" s="147"/>
      <c r="AE810" s="147"/>
      <c r="AF810" s="147"/>
      <c r="AG810" s="147"/>
      <c r="AH810" s="147"/>
      <c r="AI810" s="147"/>
      <c r="AJ810" s="147"/>
      <c r="AK810" s="147"/>
      <c r="AL810" s="147"/>
      <c r="AM810" s="147"/>
      <c r="AN810" s="147"/>
      <c r="AO810" s="147"/>
      <c r="AP810" s="147"/>
      <c r="AQ810" s="147"/>
      <c r="AR810" s="147"/>
      <c r="AS810" s="147"/>
      <c r="AT810" s="147"/>
      <c r="AU810" s="147"/>
      <c r="AV810" s="147"/>
      <c r="AW810" s="147"/>
      <c r="AX810" s="147"/>
      <c r="AY810" s="147"/>
      <c r="AZ810" s="147"/>
      <c r="BA810" s="147"/>
      <c r="BB810" s="147"/>
      <c r="BC810" s="147"/>
      <c r="BD810" s="147"/>
      <c r="BE810" s="147"/>
      <c r="BF810" s="147"/>
      <c r="BG810" s="147"/>
      <c r="BH810" s="147"/>
      <c r="BI810" s="147"/>
      <c r="BJ810" s="147"/>
      <c r="BK810" s="147"/>
      <c r="BL810" s="147"/>
      <c r="BM810" s="147"/>
      <c r="BN810" s="147"/>
      <c r="BO810" s="147"/>
      <c r="BP810" s="147"/>
    </row>
    <row r="811" spans="1:68">
      <c r="A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c r="AC811" s="147"/>
      <c r="AD811" s="147"/>
      <c r="AE811" s="147"/>
      <c r="AF811" s="147"/>
      <c r="AG811" s="147"/>
      <c r="AH811" s="147"/>
      <c r="AI811" s="147"/>
      <c r="AJ811" s="147"/>
      <c r="AK811" s="147"/>
      <c r="AL811" s="147"/>
      <c r="AM811" s="147"/>
      <c r="AN811" s="147"/>
      <c r="AO811" s="147"/>
      <c r="AP811" s="147"/>
      <c r="AQ811" s="147"/>
      <c r="AR811" s="147"/>
      <c r="AS811" s="147"/>
      <c r="AT811" s="147"/>
      <c r="AU811" s="147"/>
      <c r="AV811" s="147"/>
      <c r="AW811" s="147"/>
      <c r="AX811" s="147"/>
      <c r="AY811" s="147"/>
      <c r="AZ811" s="147"/>
      <c r="BA811" s="147"/>
      <c r="BB811" s="147"/>
      <c r="BC811" s="147"/>
      <c r="BD811" s="147"/>
      <c r="BE811" s="147"/>
      <c r="BF811" s="147"/>
      <c r="BG811" s="147"/>
      <c r="BH811" s="147"/>
      <c r="BI811" s="147"/>
      <c r="BJ811" s="147"/>
      <c r="BK811" s="147"/>
      <c r="BL811" s="147"/>
      <c r="BM811" s="147"/>
      <c r="BN811" s="147"/>
      <c r="BO811" s="147"/>
      <c r="BP811" s="147"/>
    </row>
    <row r="812" spans="1:68">
      <c r="A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c r="AC812" s="147"/>
      <c r="AD812" s="147"/>
      <c r="AE812" s="147"/>
      <c r="AF812" s="147"/>
      <c r="AG812" s="147"/>
      <c r="AH812" s="147"/>
      <c r="AI812" s="147"/>
      <c r="AJ812" s="147"/>
      <c r="AK812" s="147"/>
      <c r="AL812" s="147"/>
      <c r="AM812" s="147"/>
      <c r="AN812" s="147"/>
      <c r="AO812" s="147"/>
      <c r="AP812" s="147"/>
      <c r="AQ812" s="147"/>
      <c r="AR812" s="147"/>
      <c r="AS812" s="147"/>
      <c r="AT812" s="147"/>
      <c r="AU812" s="147"/>
      <c r="AV812" s="147"/>
      <c r="AW812" s="147"/>
      <c r="AX812" s="147"/>
      <c r="AY812" s="147"/>
      <c r="AZ812" s="147"/>
      <c r="BA812" s="147"/>
      <c r="BB812" s="147"/>
      <c r="BC812" s="147"/>
      <c r="BD812" s="147"/>
      <c r="BE812" s="147"/>
      <c r="BF812" s="147"/>
      <c r="BG812" s="147"/>
      <c r="BH812" s="147"/>
      <c r="BI812" s="147"/>
      <c r="BJ812" s="147"/>
      <c r="BK812" s="147"/>
      <c r="BL812" s="147"/>
      <c r="BM812" s="147"/>
      <c r="BN812" s="147"/>
      <c r="BO812" s="147"/>
      <c r="BP812" s="147"/>
    </row>
    <row r="813" spans="1:68">
      <c r="A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c r="AC813" s="147"/>
      <c r="AD813" s="147"/>
      <c r="AE813" s="147"/>
      <c r="AF813" s="147"/>
      <c r="AG813" s="147"/>
      <c r="AH813" s="147"/>
      <c r="AI813" s="147"/>
      <c r="AJ813" s="147"/>
      <c r="AK813" s="147"/>
      <c r="AL813" s="147"/>
      <c r="AM813" s="147"/>
      <c r="AN813" s="147"/>
      <c r="AO813" s="147"/>
      <c r="AP813" s="147"/>
      <c r="AQ813" s="147"/>
      <c r="AR813" s="147"/>
      <c r="AS813" s="147"/>
      <c r="AT813" s="147"/>
      <c r="AU813" s="147"/>
      <c r="AV813" s="147"/>
      <c r="AW813" s="147"/>
      <c r="AX813" s="147"/>
      <c r="AY813" s="147"/>
      <c r="AZ813" s="147"/>
      <c r="BA813" s="147"/>
      <c r="BB813" s="147"/>
      <c r="BC813" s="147"/>
      <c r="BD813" s="147"/>
      <c r="BE813" s="147"/>
      <c r="BF813" s="147"/>
      <c r="BG813" s="147"/>
      <c r="BH813" s="147"/>
      <c r="BI813" s="147"/>
      <c r="BJ813" s="147"/>
      <c r="BK813" s="147"/>
      <c r="BL813" s="147"/>
      <c r="BM813" s="147"/>
      <c r="BN813" s="147"/>
      <c r="BO813" s="147"/>
      <c r="BP813" s="147"/>
    </row>
    <row r="814" spans="1:68">
      <c r="A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c r="AC814" s="147"/>
      <c r="AD814" s="147"/>
      <c r="AE814" s="147"/>
      <c r="AF814" s="147"/>
      <c r="AG814" s="147"/>
      <c r="AH814" s="147"/>
      <c r="AI814" s="147"/>
      <c r="AJ814" s="147"/>
      <c r="AK814" s="147"/>
      <c r="AL814" s="147"/>
      <c r="AM814" s="147"/>
      <c r="AN814" s="147"/>
      <c r="AO814" s="147"/>
      <c r="AP814" s="147"/>
      <c r="AQ814" s="147"/>
      <c r="AR814" s="147"/>
      <c r="AS814" s="147"/>
      <c r="AT814" s="147"/>
      <c r="AU814" s="147"/>
      <c r="AV814" s="147"/>
      <c r="AW814" s="147"/>
      <c r="AX814" s="147"/>
      <c r="AY814" s="147"/>
      <c r="AZ814" s="147"/>
      <c r="BA814" s="147"/>
      <c r="BB814" s="147"/>
      <c r="BC814" s="147"/>
      <c r="BD814" s="147"/>
      <c r="BE814" s="147"/>
      <c r="BF814" s="147"/>
      <c r="BG814" s="147"/>
      <c r="BH814" s="147"/>
      <c r="BI814" s="147"/>
      <c r="BJ814" s="147"/>
      <c r="BK814" s="147"/>
      <c r="BL814" s="147"/>
      <c r="BM814" s="147"/>
      <c r="BN814" s="147"/>
      <c r="BO814" s="147"/>
      <c r="BP814" s="147"/>
    </row>
    <row r="815" spans="1:68">
      <c r="A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c r="AC815" s="147"/>
      <c r="AD815" s="147"/>
      <c r="AE815" s="147"/>
      <c r="AF815" s="147"/>
      <c r="AG815" s="147"/>
      <c r="AH815" s="147"/>
      <c r="AI815" s="147"/>
      <c r="AJ815" s="147"/>
      <c r="AK815" s="147"/>
      <c r="AL815" s="147"/>
      <c r="AM815" s="147"/>
      <c r="AN815" s="147"/>
      <c r="AO815" s="147"/>
      <c r="AP815" s="147"/>
      <c r="AQ815" s="147"/>
      <c r="AR815" s="147"/>
      <c r="AS815" s="147"/>
      <c r="AT815" s="147"/>
      <c r="AU815" s="147"/>
      <c r="AV815" s="147"/>
      <c r="AW815" s="147"/>
      <c r="AX815" s="147"/>
      <c r="AY815" s="147"/>
      <c r="AZ815" s="147"/>
      <c r="BA815" s="147"/>
      <c r="BB815" s="147"/>
      <c r="BC815" s="147"/>
      <c r="BD815" s="147"/>
      <c r="BE815" s="147"/>
      <c r="BF815" s="147"/>
      <c r="BG815" s="147"/>
      <c r="BH815" s="147"/>
      <c r="BI815" s="147"/>
      <c r="BJ815" s="147"/>
      <c r="BK815" s="147"/>
      <c r="BL815" s="147"/>
      <c r="BM815" s="147"/>
      <c r="BN815" s="147"/>
      <c r="BO815" s="147"/>
      <c r="BP815" s="147"/>
    </row>
    <row r="816" spans="1:68">
      <c r="A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c r="AC816" s="147"/>
      <c r="AD816" s="147"/>
      <c r="AE816" s="147"/>
      <c r="AF816" s="147"/>
      <c r="AG816" s="147"/>
      <c r="AH816" s="147"/>
      <c r="AI816" s="147"/>
      <c r="AJ816" s="147"/>
      <c r="AK816" s="147"/>
      <c r="AL816" s="147"/>
      <c r="AM816" s="147"/>
      <c r="AN816" s="147"/>
      <c r="AO816" s="147"/>
      <c r="AP816" s="147"/>
      <c r="AQ816" s="147"/>
      <c r="AR816" s="147"/>
      <c r="AS816" s="147"/>
      <c r="AT816" s="147"/>
      <c r="AU816" s="147"/>
      <c r="AV816" s="147"/>
      <c r="AW816" s="147"/>
      <c r="AX816" s="147"/>
      <c r="AY816" s="147"/>
      <c r="AZ816" s="147"/>
      <c r="BA816" s="147"/>
      <c r="BB816" s="147"/>
      <c r="BC816" s="147"/>
      <c r="BD816" s="147"/>
      <c r="BE816" s="147"/>
      <c r="BF816" s="147"/>
      <c r="BG816" s="147"/>
      <c r="BH816" s="147"/>
      <c r="BI816" s="147"/>
      <c r="BJ816" s="147"/>
      <c r="BK816" s="147"/>
      <c r="BL816" s="147"/>
      <c r="BM816" s="147"/>
      <c r="BN816" s="147"/>
      <c r="BO816" s="147"/>
      <c r="BP816" s="147"/>
    </row>
    <row r="817" spans="1:68">
      <c r="A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c r="AC817" s="147"/>
      <c r="AD817" s="147"/>
      <c r="AE817" s="147"/>
      <c r="AF817" s="147"/>
      <c r="AG817" s="147"/>
      <c r="AH817" s="147"/>
      <c r="AI817" s="147"/>
      <c r="AJ817" s="147"/>
      <c r="AK817" s="147"/>
      <c r="AL817" s="147"/>
      <c r="AM817" s="147"/>
      <c r="AN817" s="147"/>
      <c r="AO817" s="147"/>
      <c r="AP817" s="147"/>
      <c r="AQ817" s="147"/>
      <c r="AR817" s="147"/>
      <c r="AS817" s="147"/>
      <c r="AT817" s="147"/>
      <c r="AU817" s="147"/>
      <c r="AV817" s="147"/>
      <c r="AW817" s="147"/>
      <c r="AX817" s="147"/>
      <c r="AY817" s="147"/>
      <c r="AZ817" s="147"/>
      <c r="BA817" s="147"/>
      <c r="BB817" s="147"/>
      <c r="BC817" s="147"/>
      <c r="BD817" s="147"/>
      <c r="BE817" s="147"/>
      <c r="BF817" s="147"/>
      <c r="BG817" s="147"/>
      <c r="BH817" s="147"/>
      <c r="BI817" s="147"/>
      <c r="BJ817" s="147"/>
      <c r="BK817" s="147"/>
      <c r="BL817" s="147"/>
      <c r="BM817" s="147"/>
      <c r="BN817" s="147"/>
      <c r="BO817" s="147"/>
      <c r="BP817" s="147"/>
    </row>
    <row r="818" spans="1:68">
      <c r="A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c r="AC818" s="147"/>
      <c r="AD818" s="147"/>
      <c r="AE818" s="147"/>
      <c r="AF818" s="147"/>
      <c r="AG818" s="147"/>
      <c r="AH818" s="147"/>
      <c r="AI818" s="147"/>
      <c r="AJ818" s="147"/>
      <c r="AK818" s="147"/>
      <c r="AL818" s="147"/>
      <c r="AM818" s="147"/>
      <c r="AN818" s="147"/>
      <c r="AO818" s="147"/>
      <c r="AP818" s="147"/>
      <c r="AQ818" s="147"/>
      <c r="AR818" s="147"/>
      <c r="AS818" s="147"/>
      <c r="AT818" s="147"/>
      <c r="AU818" s="147"/>
      <c r="AV818" s="147"/>
      <c r="AW818" s="147"/>
      <c r="AX818" s="147"/>
      <c r="AY818" s="147"/>
      <c r="AZ818" s="147"/>
      <c r="BA818" s="147"/>
      <c r="BB818" s="147"/>
      <c r="BC818" s="147"/>
      <c r="BD818" s="147"/>
      <c r="BE818" s="147"/>
      <c r="BF818" s="147"/>
      <c r="BG818" s="147"/>
      <c r="BH818" s="147"/>
      <c r="BI818" s="147"/>
      <c r="BJ818" s="147"/>
      <c r="BK818" s="147"/>
      <c r="BL818" s="147"/>
      <c r="BM818" s="147"/>
      <c r="BN818" s="147"/>
      <c r="BO818" s="147"/>
      <c r="BP818" s="147"/>
    </row>
    <row r="819" spans="1:68">
      <c r="A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c r="AC819" s="147"/>
      <c r="AD819" s="147"/>
      <c r="AE819" s="147"/>
      <c r="AF819" s="147"/>
      <c r="AG819" s="147"/>
      <c r="AH819" s="147"/>
      <c r="AI819" s="147"/>
      <c r="AJ819" s="147"/>
      <c r="AK819" s="147"/>
      <c r="AL819" s="147"/>
      <c r="AM819" s="147"/>
      <c r="AN819" s="147"/>
      <c r="AO819" s="147"/>
      <c r="AP819" s="147"/>
      <c r="AQ819" s="147"/>
      <c r="AR819" s="147"/>
      <c r="AS819" s="147"/>
      <c r="AT819" s="147"/>
      <c r="AU819" s="147"/>
      <c r="AV819" s="147"/>
      <c r="AW819" s="147"/>
      <c r="AX819" s="147"/>
      <c r="AY819" s="147"/>
      <c r="AZ819" s="147"/>
      <c r="BA819" s="147"/>
      <c r="BB819" s="147"/>
      <c r="BC819" s="147"/>
      <c r="BD819" s="147"/>
      <c r="BE819" s="147"/>
      <c r="BF819" s="147"/>
      <c r="BG819" s="147"/>
      <c r="BH819" s="147"/>
      <c r="BI819" s="147"/>
      <c r="BJ819" s="147"/>
      <c r="BK819" s="147"/>
      <c r="BL819" s="147"/>
      <c r="BM819" s="147"/>
      <c r="BN819" s="147"/>
      <c r="BO819" s="147"/>
      <c r="BP819" s="147"/>
    </row>
    <row r="820" spans="1:68">
      <c r="A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c r="AC820" s="147"/>
      <c r="AD820" s="147"/>
      <c r="AE820" s="147"/>
      <c r="AF820" s="147"/>
      <c r="AG820" s="147"/>
      <c r="AH820" s="147"/>
      <c r="AI820" s="147"/>
      <c r="AJ820" s="147"/>
      <c r="AK820" s="147"/>
      <c r="AL820" s="147"/>
      <c r="AM820" s="147"/>
      <c r="AN820" s="147"/>
      <c r="AO820" s="147"/>
      <c r="AP820" s="147"/>
      <c r="AQ820" s="147"/>
      <c r="AR820" s="147"/>
      <c r="AS820" s="147"/>
      <c r="AT820" s="147"/>
      <c r="AU820" s="147"/>
      <c r="AV820" s="147"/>
      <c r="AW820" s="147"/>
      <c r="AX820" s="147"/>
      <c r="AY820" s="147"/>
      <c r="AZ820" s="147"/>
      <c r="BA820" s="147"/>
      <c r="BB820" s="147"/>
      <c r="BC820" s="147"/>
      <c r="BD820" s="147"/>
      <c r="BE820" s="147"/>
      <c r="BF820" s="147"/>
      <c r="BG820" s="147"/>
      <c r="BH820" s="147"/>
      <c r="BI820" s="147"/>
      <c r="BJ820" s="147"/>
      <c r="BK820" s="147"/>
      <c r="BL820" s="147"/>
      <c r="BM820" s="147"/>
      <c r="BN820" s="147"/>
      <c r="BO820" s="147"/>
      <c r="BP820" s="147"/>
    </row>
    <row r="821" spans="1:68">
      <c r="A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c r="AC821" s="147"/>
      <c r="AD821" s="147"/>
      <c r="AE821" s="147"/>
      <c r="AF821" s="147"/>
      <c r="AG821" s="147"/>
      <c r="AH821" s="147"/>
      <c r="AI821" s="147"/>
      <c r="AJ821" s="147"/>
      <c r="AK821" s="147"/>
      <c r="AL821" s="147"/>
      <c r="AM821" s="147"/>
      <c r="AN821" s="147"/>
      <c r="AO821" s="147"/>
      <c r="AP821" s="147"/>
      <c r="AQ821" s="147"/>
      <c r="AR821" s="147"/>
      <c r="AS821" s="147"/>
      <c r="AT821" s="147"/>
      <c r="AU821" s="147"/>
      <c r="AV821" s="147"/>
      <c r="AW821" s="147"/>
      <c r="AX821" s="147"/>
      <c r="AY821" s="147"/>
      <c r="AZ821" s="147"/>
      <c r="BA821" s="147"/>
      <c r="BB821" s="147"/>
      <c r="BC821" s="147"/>
      <c r="BD821" s="147"/>
      <c r="BE821" s="147"/>
      <c r="BF821" s="147"/>
      <c r="BG821" s="147"/>
      <c r="BH821" s="147"/>
      <c r="BI821" s="147"/>
      <c r="BJ821" s="147"/>
      <c r="BK821" s="147"/>
      <c r="BL821" s="147"/>
      <c r="BM821" s="147"/>
      <c r="BN821" s="147"/>
      <c r="BO821" s="147"/>
      <c r="BP821" s="147"/>
    </row>
    <row r="822" spans="1:68">
      <c r="A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c r="AC822" s="147"/>
      <c r="AD822" s="147"/>
      <c r="AE822" s="147"/>
      <c r="AF822" s="147"/>
      <c r="AG822" s="147"/>
      <c r="AH822" s="147"/>
      <c r="AI822" s="147"/>
      <c r="AJ822" s="147"/>
      <c r="AK822" s="147"/>
      <c r="AL822" s="147"/>
      <c r="AM822" s="147"/>
      <c r="AN822" s="147"/>
      <c r="AO822" s="147"/>
      <c r="AP822" s="147"/>
      <c r="AQ822" s="147"/>
      <c r="AR822" s="147"/>
      <c r="AS822" s="147"/>
      <c r="AT822" s="147"/>
      <c r="AU822" s="147"/>
      <c r="AV822" s="147"/>
      <c r="AW822" s="147"/>
      <c r="AX822" s="147"/>
      <c r="AY822" s="147"/>
      <c r="AZ822" s="147"/>
      <c r="BA822" s="147"/>
      <c r="BB822" s="147"/>
      <c r="BC822" s="147"/>
      <c r="BD822" s="147"/>
      <c r="BE822" s="147"/>
      <c r="BF822" s="147"/>
      <c r="BG822" s="147"/>
      <c r="BH822" s="147"/>
      <c r="BI822" s="147"/>
      <c r="BJ822" s="147"/>
      <c r="BK822" s="147"/>
      <c r="BL822" s="147"/>
      <c r="BM822" s="147"/>
      <c r="BN822" s="147"/>
      <c r="BO822" s="147"/>
      <c r="BP822" s="147"/>
    </row>
    <row r="823" spans="1:68">
      <c r="A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c r="AC823" s="147"/>
      <c r="AD823" s="147"/>
      <c r="AE823" s="147"/>
      <c r="AF823" s="147"/>
      <c r="AG823" s="147"/>
      <c r="AH823" s="147"/>
      <c r="AI823" s="147"/>
      <c r="AJ823" s="147"/>
      <c r="AK823" s="147"/>
      <c r="AL823" s="147"/>
      <c r="AM823" s="147"/>
      <c r="AN823" s="147"/>
      <c r="AO823" s="147"/>
      <c r="AP823" s="147"/>
      <c r="AQ823" s="147"/>
      <c r="AR823" s="147"/>
      <c r="AS823" s="147"/>
      <c r="AT823" s="147"/>
      <c r="AU823" s="147"/>
      <c r="AV823" s="147"/>
      <c r="AW823" s="147"/>
      <c r="AX823" s="147"/>
      <c r="AY823" s="147"/>
      <c r="AZ823" s="147"/>
      <c r="BA823" s="147"/>
      <c r="BB823" s="147"/>
      <c r="BC823" s="147"/>
      <c r="BD823" s="147"/>
      <c r="BE823" s="147"/>
      <c r="BF823" s="147"/>
      <c r="BG823" s="147"/>
      <c r="BH823" s="147"/>
      <c r="BI823" s="147"/>
      <c r="BJ823" s="147"/>
      <c r="BK823" s="147"/>
      <c r="BL823" s="147"/>
      <c r="BM823" s="147"/>
      <c r="BN823" s="147"/>
      <c r="BO823" s="147"/>
      <c r="BP823" s="147"/>
    </row>
    <row r="824" spans="1:68">
      <c r="A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c r="AC824" s="147"/>
      <c r="AD824" s="147"/>
      <c r="AE824" s="147"/>
      <c r="AF824" s="147"/>
      <c r="AG824" s="147"/>
      <c r="AH824" s="147"/>
      <c r="AI824" s="147"/>
      <c r="AJ824" s="147"/>
      <c r="AK824" s="147"/>
      <c r="AL824" s="147"/>
      <c r="AM824" s="147"/>
      <c r="AN824" s="147"/>
      <c r="AO824" s="147"/>
      <c r="AP824" s="147"/>
      <c r="AQ824" s="147"/>
      <c r="AR824" s="147"/>
      <c r="AS824" s="147"/>
      <c r="AT824" s="147"/>
      <c r="AU824" s="147"/>
      <c r="AV824" s="147"/>
      <c r="AW824" s="147"/>
      <c r="AX824" s="147"/>
      <c r="AY824" s="147"/>
      <c r="AZ824" s="147"/>
      <c r="BA824" s="147"/>
      <c r="BB824" s="147"/>
      <c r="BC824" s="147"/>
      <c r="BD824" s="147"/>
      <c r="BE824" s="147"/>
      <c r="BF824" s="147"/>
      <c r="BG824" s="147"/>
      <c r="BH824" s="147"/>
      <c r="BI824" s="147"/>
      <c r="BJ824" s="147"/>
      <c r="BK824" s="147"/>
      <c r="BL824" s="147"/>
      <c r="BM824" s="147"/>
      <c r="BN824" s="147"/>
      <c r="BO824" s="147"/>
      <c r="BP824" s="147"/>
    </row>
    <row r="825" spans="1:68">
      <c r="A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c r="AC825" s="147"/>
      <c r="AD825" s="147"/>
      <c r="AE825" s="147"/>
      <c r="AF825" s="147"/>
      <c r="AG825" s="147"/>
      <c r="AH825" s="147"/>
      <c r="AI825" s="147"/>
      <c r="AJ825" s="147"/>
      <c r="AK825" s="147"/>
      <c r="AL825" s="147"/>
      <c r="AM825" s="147"/>
      <c r="AN825" s="147"/>
      <c r="AO825" s="147"/>
      <c r="AP825" s="147"/>
      <c r="AQ825" s="147"/>
      <c r="AR825" s="147"/>
      <c r="AS825" s="147"/>
      <c r="AT825" s="147"/>
      <c r="AU825" s="147"/>
      <c r="AV825" s="147"/>
      <c r="AW825" s="147"/>
      <c r="AX825" s="147"/>
      <c r="AY825" s="147"/>
      <c r="AZ825" s="147"/>
      <c r="BA825" s="147"/>
      <c r="BB825" s="147"/>
      <c r="BC825" s="147"/>
      <c r="BD825" s="147"/>
      <c r="BE825" s="147"/>
      <c r="BF825" s="147"/>
      <c r="BG825" s="147"/>
      <c r="BH825" s="147"/>
      <c r="BI825" s="147"/>
      <c r="BJ825" s="147"/>
      <c r="BK825" s="147"/>
      <c r="BL825" s="147"/>
      <c r="BM825" s="147"/>
      <c r="BN825" s="147"/>
      <c r="BO825" s="147"/>
      <c r="BP825" s="147"/>
    </row>
    <row r="826" spans="1:68">
      <c r="A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c r="AC826" s="147"/>
      <c r="AD826" s="147"/>
      <c r="AE826" s="147"/>
      <c r="AF826" s="147"/>
      <c r="AG826" s="147"/>
      <c r="AH826" s="147"/>
      <c r="AI826" s="147"/>
      <c r="AJ826" s="147"/>
      <c r="AK826" s="147"/>
      <c r="AL826" s="147"/>
      <c r="AM826" s="147"/>
      <c r="AN826" s="147"/>
      <c r="AO826" s="147"/>
      <c r="AP826" s="147"/>
      <c r="AQ826" s="147"/>
      <c r="AR826" s="147"/>
      <c r="AS826" s="147"/>
      <c r="AT826" s="147"/>
      <c r="AU826" s="147"/>
      <c r="AV826" s="147"/>
      <c r="AW826" s="147"/>
      <c r="AX826" s="147"/>
      <c r="AY826" s="147"/>
      <c r="AZ826" s="147"/>
      <c r="BA826" s="147"/>
      <c r="BB826" s="147"/>
      <c r="BC826" s="147"/>
      <c r="BD826" s="147"/>
      <c r="BE826" s="147"/>
      <c r="BF826" s="147"/>
      <c r="BG826" s="147"/>
      <c r="BH826" s="147"/>
      <c r="BI826" s="147"/>
      <c r="BJ826" s="147"/>
      <c r="BK826" s="147"/>
      <c r="BL826" s="147"/>
      <c r="BM826" s="147"/>
      <c r="BN826" s="147"/>
      <c r="BO826" s="147"/>
      <c r="BP826" s="147"/>
    </row>
    <row r="827" spans="1:68">
      <c r="A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c r="AC827" s="147"/>
      <c r="AD827" s="147"/>
      <c r="AE827" s="147"/>
      <c r="AF827" s="147"/>
      <c r="AG827" s="147"/>
      <c r="AH827" s="147"/>
      <c r="AI827" s="147"/>
      <c r="AJ827" s="147"/>
      <c r="AK827" s="147"/>
      <c r="AL827" s="147"/>
      <c r="AM827" s="147"/>
      <c r="AN827" s="147"/>
      <c r="AO827" s="147"/>
      <c r="AP827" s="147"/>
      <c r="AQ827" s="147"/>
      <c r="AR827" s="147"/>
      <c r="AS827" s="147"/>
      <c r="AT827" s="147"/>
      <c r="AU827" s="147"/>
      <c r="AV827" s="147"/>
      <c r="AW827" s="147"/>
      <c r="AX827" s="147"/>
      <c r="AY827" s="147"/>
      <c r="AZ827" s="147"/>
      <c r="BA827" s="147"/>
      <c r="BB827" s="147"/>
      <c r="BC827" s="147"/>
      <c r="BD827" s="147"/>
      <c r="BE827" s="147"/>
      <c r="BF827" s="147"/>
      <c r="BG827" s="147"/>
      <c r="BH827" s="147"/>
      <c r="BI827" s="147"/>
      <c r="BJ827" s="147"/>
      <c r="BK827" s="147"/>
      <c r="BL827" s="147"/>
      <c r="BM827" s="147"/>
      <c r="BN827" s="147"/>
      <c r="BO827" s="147"/>
      <c r="BP827" s="147"/>
    </row>
    <row r="828" spans="1:68">
      <c r="A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c r="AC828" s="147"/>
      <c r="AD828" s="147"/>
      <c r="AE828" s="147"/>
      <c r="AF828" s="147"/>
      <c r="AG828" s="147"/>
      <c r="AH828" s="147"/>
      <c r="AI828" s="147"/>
      <c r="AJ828" s="147"/>
      <c r="AK828" s="147"/>
      <c r="AL828" s="147"/>
      <c r="AM828" s="147"/>
      <c r="AN828" s="147"/>
      <c r="AO828" s="147"/>
      <c r="AP828" s="147"/>
      <c r="AQ828" s="147"/>
      <c r="AR828" s="147"/>
      <c r="AS828" s="147"/>
      <c r="AT828" s="147"/>
      <c r="AU828" s="147"/>
      <c r="AV828" s="147"/>
      <c r="AW828" s="147"/>
      <c r="AX828" s="147"/>
      <c r="AY828" s="147"/>
      <c r="AZ828" s="147"/>
      <c r="BA828" s="147"/>
      <c r="BB828" s="147"/>
      <c r="BC828" s="147"/>
      <c r="BD828" s="147"/>
      <c r="BE828" s="147"/>
      <c r="BF828" s="147"/>
      <c r="BG828" s="147"/>
      <c r="BH828" s="147"/>
      <c r="BI828" s="147"/>
      <c r="BJ828" s="147"/>
      <c r="BK828" s="147"/>
      <c r="BL828" s="147"/>
      <c r="BM828" s="147"/>
      <c r="BN828" s="147"/>
      <c r="BO828" s="147"/>
      <c r="BP828" s="147"/>
    </row>
    <row r="829" spans="1:68">
      <c r="A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c r="AC829" s="147"/>
      <c r="AD829" s="147"/>
      <c r="AE829" s="147"/>
      <c r="AF829" s="147"/>
      <c r="AG829" s="147"/>
      <c r="AH829" s="147"/>
      <c r="AI829" s="147"/>
      <c r="AJ829" s="147"/>
      <c r="AK829" s="147"/>
      <c r="AL829" s="147"/>
      <c r="AM829" s="147"/>
      <c r="AN829" s="147"/>
      <c r="AO829" s="147"/>
      <c r="AP829" s="147"/>
      <c r="AQ829" s="147"/>
      <c r="AR829" s="147"/>
      <c r="AS829" s="147"/>
      <c r="AT829" s="147"/>
      <c r="AU829" s="147"/>
      <c r="AV829" s="147"/>
      <c r="AW829" s="147"/>
      <c r="AX829" s="147"/>
      <c r="AY829" s="147"/>
      <c r="AZ829" s="147"/>
      <c r="BA829" s="147"/>
      <c r="BB829" s="147"/>
      <c r="BC829" s="147"/>
      <c r="BD829" s="147"/>
      <c r="BE829" s="147"/>
      <c r="BF829" s="147"/>
      <c r="BG829" s="147"/>
      <c r="BH829" s="147"/>
      <c r="BI829" s="147"/>
      <c r="BJ829" s="147"/>
      <c r="BK829" s="147"/>
      <c r="BL829" s="147"/>
      <c r="BM829" s="147"/>
      <c r="BN829" s="147"/>
      <c r="BO829" s="147"/>
      <c r="BP829" s="147"/>
    </row>
    <row r="830" spans="1:68">
      <c r="A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c r="AC830" s="147"/>
      <c r="AD830" s="147"/>
      <c r="AE830" s="147"/>
      <c r="AF830" s="147"/>
      <c r="AG830" s="147"/>
      <c r="AH830" s="147"/>
      <c r="AI830" s="147"/>
      <c r="AJ830" s="147"/>
      <c r="AK830" s="147"/>
      <c r="AL830" s="147"/>
      <c r="AM830" s="147"/>
      <c r="AN830" s="147"/>
      <c r="AO830" s="147"/>
      <c r="AP830" s="147"/>
      <c r="AQ830" s="147"/>
      <c r="AR830" s="147"/>
      <c r="AS830" s="147"/>
      <c r="AT830" s="147"/>
      <c r="AU830" s="147"/>
      <c r="AV830" s="147"/>
      <c r="AW830" s="147"/>
      <c r="AX830" s="147"/>
      <c r="AY830" s="147"/>
      <c r="AZ830" s="147"/>
      <c r="BA830" s="147"/>
      <c r="BB830" s="147"/>
      <c r="BC830" s="147"/>
      <c r="BD830" s="147"/>
      <c r="BE830" s="147"/>
      <c r="BF830" s="147"/>
      <c r="BG830" s="147"/>
      <c r="BH830" s="147"/>
      <c r="BI830" s="147"/>
      <c r="BJ830" s="147"/>
      <c r="BK830" s="147"/>
      <c r="BL830" s="147"/>
      <c r="BM830" s="147"/>
      <c r="BN830" s="147"/>
      <c r="BO830" s="147"/>
      <c r="BP830" s="147"/>
    </row>
    <row r="831" spans="1:68">
      <c r="A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c r="AC831" s="147"/>
      <c r="AD831" s="147"/>
      <c r="AE831" s="147"/>
      <c r="AF831" s="147"/>
      <c r="AG831" s="147"/>
      <c r="AH831" s="147"/>
      <c r="AI831" s="147"/>
      <c r="AJ831" s="147"/>
      <c r="AK831" s="147"/>
      <c r="AL831" s="147"/>
      <c r="AM831" s="147"/>
      <c r="AN831" s="147"/>
      <c r="AO831" s="147"/>
      <c r="AP831" s="147"/>
      <c r="AQ831" s="147"/>
      <c r="AR831" s="147"/>
      <c r="AS831" s="147"/>
      <c r="AT831" s="147"/>
      <c r="AU831" s="147"/>
      <c r="AV831" s="147"/>
      <c r="AW831" s="147"/>
      <c r="AX831" s="147"/>
      <c r="AY831" s="147"/>
      <c r="AZ831" s="147"/>
      <c r="BA831" s="147"/>
      <c r="BB831" s="147"/>
      <c r="BC831" s="147"/>
      <c r="BD831" s="147"/>
      <c r="BE831" s="147"/>
      <c r="BF831" s="147"/>
      <c r="BG831" s="147"/>
      <c r="BH831" s="147"/>
      <c r="BI831" s="147"/>
      <c r="BJ831" s="147"/>
      <c r="BK831" s="147"/>
      <c r="BL831" s="147"/>
      <c r="BM831" s="147"/>
      <c r="BN831" s="147"/>
      <c r="BO831" s="147"/>
      <c r="BP831" s="147"/>
    </row>
    <row r="832" spans="1:68">
      <c r="A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c r="AC832" s="147"/>
      <c r="AD832" s="147"/>
      <c r="AE832" s="147"/>
      <c r="AF832" s="147"/>
      <c r="AG832" s="147"/>
      <c r="AH832" s="147"/>
      <c r="AI832" s="147"/>
      <c r="AJ832" s="147"/>
      <c r="AK832" s="147"/>
      <c r="AL832" s="147"/>
      <c r="AM832" s="147"/>
      <c r="AN832" s="147"/>
      <c r="AO832" s="147"/>
      <c r="AP832" s="147"/>
      <c r="AQ832" s="147"/>
      <c r="AR832" s="147"/>
      <c r="AS832" s="147"/>
      <c r="AT832" s="147"/>
      <c r="AU832" s="147"/>
      <c r="AV832" s="147"/>
      <c r="AW832" s="147"/>
      <c r="AX832" s="147"/>
      <c r="AY832" s="147"/>
      <c r="AZ832" s="147"/>
      <c r="BA832" s="147"/>
      <c r="BB832" s="147"/>
      <c r="BC832" s="147"/>
      <c r="BD832" s="147"/>
      <c r="BE832" s="147"/>
      <c r="BF832" s="147"/>
      <c r="BG832" s="147"/>
      <c r="BH832" s="147"/>
      <c r="BI832" s="147"/>
      <c r="BJ832" s="147"/>
      <c r="BK832" s="147"/>
      <c r="BL832" s="147"/>
      <c r="BM832" s="147"/>
      <c r="BN832" s="147"/>
      <c r="BO832" s="147"/>
      <c r="BP832" s="147"/>
    </row>
    <row r="833" spans="1:68">
      <c r="A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c r="AC833" s="147"/>
      <c r="AD833" s="147"/>
      <c r="AE833" s="147"/>
      <c r="AF833" s="147"/>
      <c r="AG833" s="147"/>
      <c r="AH833" s="147"/>
      <c r="AI833" s="147"/>
      <c r="AJ833" s="147"/>
      <c r="AK833" s="147"/>
      <c r="AL833" s="147"/>
      <c r="AM833" s="147"/>
      <c r="AN833" s="147"/>
      <c r="AO833" s="147"/>
      <c r="AP833" s="147"/>
      <c r="AQ833" s="147"/>
      <c r="AR833" s="147"/>
      <c r="AS833" s="147"/>
      <c r="AT833" s="147"/>
      <c r="AU833" s="147"/>
      <c r="AV833" s="147"/>
      <c r="AW833" s="147"/>
      <c r="AX833" s="147"/>
      <c r="AY833" s="147"/>
      <c r="AZ833" s="147"/>
      <c r="BA833" s="147"/>
      <c r="BB833" s="147"/>
      <c r="BC833" s="147"/>
      <c r="BD833" s="147"/>
      <c r="BE833" s="147"/>
      <c r="BF833" s="147"/>
      <c r="BG833" s="147"/>
      <c r="BH833" s="147"/>
      <c r="BI833" s="147"/>
      <c r="BJ833" s="147"/>
      <c r="BK833" s="147"/>
      <c r="BL833" s="147"/>
      <c r="BM833" s="147"/>
      <c r="BN833" s="147"/>
      <c r="BO833" s="147"/>
      <c r="BP833" s="147"/>
    </row>
    <row r="834" spans="1:68">
      <c r="A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c r="AC834" s="147"/>
      <c r="AD834" s="147"/>
      <c r="AE834" s="147"/>
      <c r="AF834" s="147"/>
      <c r="AG834" s="147"/>
      <c r="AH834" s="147"/>
      <c r="AI834" s="147"/>
      <c r="AJ834" s="147"/>
      <c r="AK834" s="147"/>
      <c r="AL834" s="147"/>
      <c r="AM834" s="147"/>
      <c r="AN834" s="147"/>
      <c r="AO834" s="147"/>
      <c r="AP834" s="147"/>
      <c r="AQ834" s="147"/>
      <c r="AR834" s="147"/>
      <c r="AS834" s="147"/>
      <c r="AT834" s="147"/>
      <c r="AU834" s="147"/>
      <c r="AV834" s="147"/>
      <c r="AW834" s="147"/>
      <c r="AX834" s="147"/>
      <c r="AY834" s="147"/>
      <c r="AZ834" s="147"/>
      <c r="BA834" s="147"/>
      <c r="BB834" s="147"/>
      <c r="BC834" s="147"/>
      <c r="BD834" s="147"/>
      <c r="BE834" s="147"/>
      <c r="BF834" s="147"/>
      <c r="BG834" s="147"/>
      <c r="BH834" s="147"/>
      <c r="BI834" s="147"/>
      <c r="BJ834" s="147"/>
      <c r="BK834" s="147"/>
      <c r="BL834" s="147"/>
      <c r="BM834" s="147"/>
      <c r="BN834" s="147"/>
      <c r="BO834" s="147"/>
      <c r="BP834" s="147"/>
    </row>
    <row r="835" spans="1:68">
      <c r="A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c r="AC835" s="147"/>
      <c r="AD835" s="147"/>
      <c r="AE835" s="147"/>
      <c r="AF835" s="147"/>
      <c r="AG835" s="147"/>
      <c r="AH835" s="147"/>
      <c r="AI835" s="147"/>
      <c r="AJ835" s="147"/>
      <c r="AK835" s="147"/>
      <c r="AL835" s="147"/>
      <c r="AM835" s="147"/>
      <c r="AN835" s="147"/>
      <c r="AO835" s="147"/>
      <c r="AP835" s="147"/>
      <c r="AQ835" s="147"/>
      <c r="AR835" s="147"/>
      <c r="AS835" s="147"/>
      <c r="AT835" s="147"/>
      <c r="AU835" s="147"/>
      <c r="AV835" s="147"/>
      <c r="AW835" s="147"/>
      <c r="AX835" s="147"/>
      <c r="AY835" s="147"/>
      <c r="AZ835" s="147"/>
      <c r="BA835" s="147"/>
      <c r="BB835" s="147"/>
      <c r="BC835" s="147"/>
      <c r="BD835" s="147"/>
      <c r="BE835" s="147"/>
      <c r="BF835" s="147"/>
      <c r="BG835" s="147"/>
      <c r="BH835" s="147"/>
      <c r="BI835" s="147"/>
      <c r="BJ835" s="147"/>
      <c r="BK835" s="147"/>
      <c r="BL835" s="147"/>
      <c r="BM835" s="147"/>
      <c r="BN835" s="147"/>
      <c r="BO835" s="147"/>
      <c r="BP835" s="147"/>
    </row>
    <row r="836" spans="1:68">
      <c r="A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c r="AC836" s="147"/>
      <c r="AD836" s="147"/>
      <c r="AE836" s="147"/>
      <c r="AF836" s="147"/>
      <c r="AG836" s="147"/>
      <c r="AH836" s="147"/>
      <c r="AI836" s="147"/>
      <c r="AJ836" s="147"/>
      <c r="AK836" s="147"/>
      <c r="AL836" s="147"/>
      <c r="AM836" s="147"/>
      <c r="AN836" s="147"/>
      <c r="AO836" s="147"/>
      <c r="AP836" s="147"/>
      <c r="AQ836" s="147"/>
      <c r="AR836" s="147"/>
      <c r="AS836" s="147"/>
      <c r="AT836" s="147"/>
      <c r="AU836" s="147"/>
      <c r="AV836" s="147"/>
      <c r="AW836" s="147"/>
      <c r="AX836" s="147"/>
      <c r="AY836" s="147"/>
      <c r="AZ836" s="147"/>
      <c r="BA836" s="147"/>
      <c r="BB836" s="147"/>
      <c r="BC836" s="147"/>
      <c r="BD836" s="147"/>
      <c r="BE836" s="147"/>
      <c r="BF836" s="147"/>
      <c r="BG836" s="147"/>
      <c r="BH836" s="147"/>
      <c r="BI836" s="147"/>
      <c r="BJ836" s="147"/>
      <c r="BK836" s="147"/>
      <c r="BL836" s="147"/>
      <c r="BM836" s="147"/>
      <c r="BN836" s="147"/>
      <c r="BO836" s="147"/>
      <c r="BP836" s="147"/>
    </row>
    <row r="837" spans="1:68">
      <c r="A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c r="AC837" s="147"/>
      <c r="AD837" s="147"/>
      <c r="AE837" s="147"/>
      <c r="AF837" s="147"/>
      <c r="AG837" s="147"/>
      <c r="AH837" s="147"/>
      <c r="AI837" s="147"/>
      <c r="AJ837" s="147"/>
      <c r="AK837" s="147"/>
      <c r="AL837" s="147"/>
      <c r="AM837" s="147"/>
      <c r="AN837" s="147"/>
      <c r="AO837" s="147"/>
      <c r="AP837" s="147"/>
      <c r="AQ837" s="147"/>
      <c r="AR837" s="147"/>
      <c r="AS837" s="147"/>
      <c r="AT837" s="147"/>
      <c r="AU837" s="147"/>
      <c r="AV837" s="147"/>
      <c r="AW837" s="147"/>
      <c r="AX837" s="147"/>
      <c r="AY837" s="147"/>
      <c r="AZ837" s="147"/>
      <c r="BA837" s="147"/>
      <c r="BB837" s="147"/>
      <c r="BC837" s="147"/>
      <c r="BD837" s="147"/>
      <c r="BE837" s="147"/>
      <c r="BF837" s="147"/>
      <c r="BG837" s="147"/>
      <c r="BH837" s="147"/>
      <c r="BI837" s="147"/>
      <c r="BJ837" s="147"/>
      <c r="BK837" s="147"/>
      <c r="BL837" s="147"/>
      <c r="BM837" s="147"/>
      <c r="BN837" s="147"/>
      <c r="BO837" s="147"/>
      <c r="BP837" s="147"/>
    </row>
    <row r="838" spans="1:68">
      <c r="A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c r="AC838" s="147"/>
      <c r="AD838" s="147"/>
      <c r="AE838" s="147"/>
      <c r="AF838" s="147"/>
      <c r="AG838" s="147"/>
      <c r="AH838" s="147"/>
      <c r="AI838" s="147"/>
      <c r="AJ838" s="147"/>
      <c r="AK838" s="147"/>
      <c r="AL838" s="147"/>
      <c r="AM838" s="147"/>
      <c r="AN838" s="147"/>
      <c r="AO838" s="147"/>
      <c r="AP838" s="147"/>
      <c r="AQ838" s="147"/>
      <c r="AR838" s="147"/>
      <c r="AS838" s="147"/>
      <c r="AT838" s="147"/>
      <c r="AU838" s="147"/>
      <c r="AV838" s="147"/>
      <c r="AW838" s="147"/>
      <c r="AX838" s="147"/>
      <c r="AY838" s="147"/>
      <c r="AZ838" s="147"/>
      <c r="BA838" s="147"/>
      <c r="BB838" s="147"/>
      <c r="BC838" s="147"/>
      <c r="BD838" s="147"/>
      <c r="BE838" s="147"/>
      <c r="BF838" s="147"/>
      <c r="BG838" s="147"/>
      <c r="BH838" s="147"/>
      <c r="BI838" s="147"/>
      <c r="BJ838" s="147"/>
      <c r="BK838" s="147"/>
      <c r="BL838" s="147"/>
      <c r="BM838" s="147"/>
      <c r="BN838" s="147"/>
      <c r="BO838" s="147"/>
      <c r="BP838" s="147"/>
    </row>
    <row r="839" spans="1:68">
      <c r="A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c r="AC839" s="147"/>
      <c r="AD839" s="147"/>
      <c r="AE839" s="147"/>
      <c r="AF839" s="147"/>
      <c r="AG839" s="147"/>
      <c r="AH839" s="147"/>
      <c r="AI839" s="147"/>
      <c r="AJ839" s="147"/>
      <c r="AK839" s="147"/>
      <c r="AL839" s="147"/>
      <c r="AM839" s="147"/>
      <c r="AN839" s="147"/>
      <c r="AO839" s="147"/>
      <c r="AP839" s="147"/>
      <c r="AQ839" s="147"/>
      <c r="AR839" s="147"/>
      <c r="AS839" s="147"/>
      <c r="AT839" s="147"/>
      <c r="AU839" s="147"/>
      <c r="AV839" s="147"/>
      <c r="AW839" s="147"/>
      <c r="AX839" s="147"/>
      <c r="AY839" s="147"/>
      <c r="AZ839" s="147"/>
      <c r="BA839" s="147"/>
      <c r="BB839" s="147"/>
      <c r="BC839" s="147"/>
      <c r="BD839" s="147"/>
      <c r="BE839" s="147"/>
      <c r="BF839" s="147"/>
      <c r="BG839" s="147"/>
      <c r="BH839" s="147"/>
      <c r="BI839" s="147"/>
      <c r="BJ839" s="147"/>
      <c r="BK839" s="147"/>
      <c r="BL839" s="147"/>
      <c r="BM839" s="147"/>
      <c r="BN839" s="147"/>
      <c r="BO839" s="147"/>
      <c r="BP839" s="147"/>
    </row>
    <row r="840" spans="1:68">
      <c r="A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c r="AC840" s="147"/>
      <c r="AD840" s="147"/>
      <c r="AE840" s="147"/>
      <c r="AF840" s="147"/>
      <c r="AG840" s="147"/>
      <c r="AH840" s="147"/>
      <c r="AI840" s="147"/>
      <c r="AJ840" s="147"/>
      <c r="AK840" s="147"/>
      <c r="AL840" s="147"/>
      <c r="AM840" s="147"/>
      <c r="AN840" s="147"/>
      <c r="AO840" s="147"/>
      <c r="AP840" s="147"/>
      <c r="AQ840" s="147"/>
      <c r="AR840" s="147"/>
      <c r="AS840" s="147"/>
      <c r="AT840" s="147"/>
      <c r="AU840" s="147"/>
      <c r="AV840" s="147"/>
      <c r="AW840" s="147"/>
      <c r="AX840" s="147"/>
      <c r="AY840" s="147"/>
      <c r="AZ840" s="147"/>
      <c r="BA840" s="147"/>
      <c r="BB840" s="147"/>
      <c r="BC840" s="147"/>
      <c r="BD840" s="147"/>
      <c r="BE840" s="147"/>
      <c r="BF840" s="147"/>
      <c r="BG840" s="147"/>
      <c r="BH840" s="147"/>
      <c r="BI840" s="147"/>
      <c r="BJ840" s="147"/>
      <c r="BK840" s="147"/>
      <c r="BL840" s="147"/>
      <c r="BM840" s="147"/>
      <c r="BN840" s="147"/>
      <c r="BO840" s="147"/>
      <c r="BP840" s="147"/>
    </row>
    <row r="841" spans="1:68">
      <c r="A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c r="AC841" s="147"/>
      <c r="AD841" s="147"/>
      <c r="AE841" s="147"/>
      <c r="AF841" s="147"/>
      <c r="AG841" s="147"/>
      <c r="AH841" s="147"/>
      <c r="AI841" s="147"/>
      <c r="AJ841" s="147"/>
      <c r="AK841" s="147"/>
      <c r="AL841" s="147"/>
      <c r="AM841" s="147"/>
      <c r="AN841" s="147"/>
      <c r="AO841" s="147"/>
      <c r="AP841" s="147"/>
      <c r="AQ841" s="147"/>
      <c r="AR841" s="147"/>
      <c r="AS841" s="147"/>
      <c r="AT841" s="147"/>
      <c r="AU841" s="147"/>
      <c r="AV841" s="147"/>
      <c r="AW841" s="147"/>
      <c r="AX841" s="147"/>
      <c r="AY841" s="147"/>
      <c r="AZ841" s="147"/>
      <c r="BA841" s="147"/>
      <c r="BB841" s="147"/>
      <c r="BC841" s="147"/>
      <c r="BD841" s="147"/>
      <c r="BE841" s="147"/>
      <c r="BF841" s="147"/>
      <c r="BG841" s="147"/>
      <c r="BH841" s="147"/>
      <c r="BI841" s="147"/>
      <c r="BJ841" s="147"/>
      <c r="BK841" s="147"/>
      <c r="BL841" s="147"/>
      <c r="BM841" s="147"/>
      <c r="BN841" s="147"/>
      <c r="BO841" s="147"/>
      <c r="BP841" s="147"/>
    </row>
    <row r="842" spans="1:68">
      <c r="A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c r="AC842" s="147"/>
      <c r="AD842" s="147"/>
      <c r="AE842" s="147"/>
      <c r="AF842" s="147"/>
      <c r="AG842" s="147"/>
      <c r="AH842" s="147"/>
      <c r="AI842" s="147"/>
      <c r="AJ842" s="147"/>
      <c r="AK842" s="147"/>
      <c r="AL842" s="147"/>
      <c r="AM842" s="147"/>
      <c r="AN842" s="147"/>
      <c r="AO842" s="147"/>
      <c r="AP842" s="147"/>
      <c r="AQ842" s="147"/>
      <c r="AR842" s="147"/>
      <c r="AS842" s="147"/>
      <c r="AT842" s="147"/>
      <c r="AU842" s="147"/>
      <c r="AV842" s="147"/>
      <c r="AW842" s="147"/>
      <c r="AX842" s="147"/>
      <c r="AY842" s="147"/>
      <c r="AZ842" s="147"/>
      <c r="BA842" s="147"/>
      <c r="BB842" s="147"/>
      <c r="BC842" s="147"/>
      <c r="BD842" s="147"/>
      <c r="BE842" s="147"/>
      <c r="BF842" s="147"/>
      <c r="BG842" s="147"/>
      <c r="BH842" s="147"/>
      <c r="BI842" s="147"/>
      <c r="BJ842" s="147"/>
      <c r="BK842" s="147"/>
      <c r="BL842" s="147"/>
      <c r="BM842" s="147"/>
      <c r="BN842" s="147"/>
      <c r="BO842" s="147"/>
      <c r="BP842" s="147"/>
    </row>
    <row r="843" spans="1:68">
      <c r="A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c r="AC843" s="147"/>
      <c r="AD843" s="147"/>
      <c r="AE843" s="147"/>
      <c r="AF843" s="147"/>
      <c r="AG843" s="147"/>
      <c r="AH843" s="147"/>
      <c r="AI843" s="147"/>
      <c r="AJ843" s="147"/>
      <c r="AK843" s="147"/>
      <c r="AL843" s="147"/>
      <c r="AM843" s="147"/>
      <c r="AN843" s="147"/>
      <c r="AO843" s="147"/>
      <c r="AP843" s="147"/>
      <c r="AQ843" s="147"/>
      <c r="AR843" s="147"/>
      <c r="AS843" s="147"/>
      <c r="AT843" s="147"/>
      <c r="AU843" s="147"/>
      <c r="AV843" s="147"/>
      <c r="AW843" s="147"/>
      <c r="AX843" s="147"/>
      <c r="AY843" s="147"/>
      <c r="AZ843" s="147"/>
      <c r="BA843" s="147"/>
      <c r="BB843" s="147"/>
      <c r="BC843" s="147"/>
      <c r="BD843" s="147"/>
      <c r="BE843" s="147"/>
      <c r="BF843" s="147"/>
      <c r="BG843" s="147"/>
      <c r="BH843" s="147"/>
      <c r="BI843" s="147"/>
      <c r="BJ843" s="147"/>
      <c r="BK843" s="147"/>
      <c r="BL843" s="147"/>
      <c r="BM843" s="147"/>
      <c r="BN843" s="147"/>
      <c r="BO843" s="147"/>
      <c r="BP843" s="147"/>
    </row>
    <row r="844" spans="1:68">
      <c r="A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c r="AC844" s="147"/>
      <c r="AD844" s="147"/>
      <c r="AE844" s="147"/>
      <c r="AF844" s="147"/>
      <c r="AG844" s="147"/>
      <c r="AH844" s="147"/>
      <c r="AI844" s="147"/>
      <c r="AJ844" s="147"/>
      <c r="AK844" s="147"/>
      <c r="AL844" s="147"/>
      <c r="AM844" s="147"/>
      <c r="AN844" s="147"/>
      <c r="AO844" s="147"/>
      <c r="AP844" s="147"/>
      <c r="AQ844" s="147"/>
      <c r="AR844" s="147"/>
      <c r="AS844" s="147"/>
      <c r="AT844" s="147"/>
      <c r="AU844" s="147"/>
      <c r="AV844" s="147"/>
      <c r="AW844" s="147"/>
      <c r="AX844" s="147"/>
      <c r="AY844" s="147"/>
      <c r="AZ844" s="147"/>
      <c r="BA844" s="147"/>
      <c r="BB844" s="147"/>
      <c r="BC844" s="147"/>
      <c r="BD844" s="147"/>
      <c r="BE844" s="147"/>
      <c r="BF844" s="147"/>
      <c r="BG844" s="147"/>
      <c r="BH844" s="147"/>
      <c r="BI844" s="147"/>
      <c r="BJ844" s="147"/>
      <c r="BK844" s="147"/>
      <c r="BL844" s="147"/>
      <c r="BM844" s="147"/>
      <c r="BN844" s="147"/>
      <c r="BO844" s="147"/>
      <c r="BP844" s="147"/>
    </row>
    <row r="845" spans="1:68">
      <c r="A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c r="AC845" s="147"/>
      <c r="AD845" s="147"/>
      <c r="AE845" s="147"/>
      <c r="AF845" s="147"/>
      <c r="AG845" s="147"/>
      <c r="AH845" s="147"/>
      <c r="AI845" s="147"/>
      <c r="AJ845" s="147"/>
      <c r="AK845" s="147"/>
      <c r="AL845" s="147"/>
      <c r="AM845" s="147"/>
      <c r="AN845" s="147"/>
      <c r="AO845" s="147"/>
      <c r="AP845" s="147"/>
      <c r="AQ845" s="147"/>
      <c r="AR845" s="147"/>
      <c r="AS845" s="147"/>
      <c r="AT845" s="147"/>
      <c r="AU845" s="147"/>
      <c r="AV845" s="147"/>
      <c r="AW845" s="147"/>
      <c r="AX845" s="147"/>
      <c r="AY845" s="147"/>
      <c r="AZ845" s="147"/>
      <c r="BA845" s="147"/>
      <c r="BB845" s="147"/>
      <c r="BC845" s="147"/>
      <c r="BD845" s="147"/>
      <c r="BE845" s="147"/>
      <c r="BF845" s="147"/>
      <c r="BG845" s="147"/>
      <c r="BH845" s="147"/>
      <c r="BI845" s="147"/>
      <c r="BJ845" s="147"/>
      <c r="BK845" s="147"/>
      <c r="BL845" s="147"/>
      <c r="BM845" s="147"/>
      <c r="BN845" s="147"/>
      <c r="BO845" s="147"/>
      <c r="BP845" s="147"/>
    </row>
    <row r="846" spans="1:68">
      <c r="A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c r="AC846" s="147"/>
      <c r="AD846" s="147"/>
      <c r="AE846" s="147"/>
      <c r="AF846" s="147"/>
      <c r="AG846" s="147"/>
      <c r="AH846" s="147"/>
      <c r="AI846" s="147"/>
      <c r="AJ846" s="147"/>
      <c r="AK846" s="147"/>
      <c r="AL846" s="147"/>
      <c r="AM846" s="147"/>
      <c r="AN846" s="147"/>
      <c r="AO846" s="147"/>
      <c r="AP846" s="147"/>
      <c r="AQ846" s="147"/>
      <c r="AR846" s="147"/>
      <c r="AS846" s="147"/>
      <c r="AT846" s="147"/>
      <c r="AU846" s="147"/>
      <c r="AV846" s="147"/>
      <c r="AW846" s="147"/>
      <c r="AX846" s="147"/>
      <c r="AY846" s="147"/>
      <c r="AZ846" s="147"/>
      <c r="BA846" s="147"/>
      <c r="BB846" s="147"/>
      <c r="BC846" s="147"/>
      <c r="BD846" s="147"/>
      <c r="BE846" s="147"/>
      <c r="BF846" s="147"/>
      <c r="BG846" s="147"/>
      <c r="BH846" s="147"/>
      <c r="BI846" s="147"/>
      <c r="BJ846" s="147"/>
      <c r="BK846" s="147"/>
      <c r="BL846" s="147"/>
      <c r="BM846" s="147"/>
      <c r="BN846" s="147"/>
      <c r="BO846" s="147"/>
      <c r="BP846" s="147"/>
    </row>
    <row r="847" spans="1:68">
      <c r="A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c r="AC847" s="147"/>
      <c r="AD847" s="147"/>
      <c r="AE847" s="147"/>
      <c r="AF847" s="147"/>
      <c r="AG847" s="147"/>
      <c r="AH847" s="147"/>
      <c r="AI847" s="147"/>
      <c r="AJ847" s="147"/>
      <c r="AK847" s="147"/>
      <c r="AL847" s="147"/>
      <c r="AM847" s="147"/>
      <c r="AN847" s="147"/>
      <c r="AO847" s="147"/>
      <c r="AP847" s="147"/>
      <c r="AQ847" s="147"/>
      <c r="AR847" s="147"/>
      <c r="AS847" s="147"/>
      <c r="AT847" s="147"/>
      <c r="AU847" s="147"/>
      <c r="AV847" s="147"/>
      <c r="AW847" s="147"/>
      <c r="AX847" s="147"/>
      <c r="AY847" s="147"/>
      <c r="AZ847" s="147"/>
      <c r="BA847" s="147"/>
      <c r="BB847" s="147"/>
      <c r="BC847" s="147"/>
      <c r="BD847" s="147"/>
      <c r="BE847" s="147"/>
      <c r="BF847" s="147"/>
      <c r="BG847" s="147"/>
      <c r="BH847" s="147"/>
      <c r="BI847" s="147"/>
      <c r="BJ847" s="147"/>
      <c r="BK847" s="147"/>
      <c r="BL847" s="147"/>
      <c r="BM847" s="147"/>
      <c r="BN847" s="147"/>
      <c r="BO847" s="147"/>
      <c r="BP847" s="147"/>
    </row>
    <row r="848" spans="1:68">
      <c r="A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c r="AC848" s="147"/>
      <c r="AD848" s="147"/>
      <c r="AE848" s="147"/>
      <c r="AF848" s="147"/>
      <c r="AG848" s="147"/>
      <c r="AH848" s="147"/>
      <c r="AI848" s="147"/>
      <c r="AJ848" s="147"/>
      <c r="AK848" s="147"/>
      <c r="AL848" s="147"/>
      <c r="AM848" s="147"/>
      <c r="AN848" s="147"/>
      <c r="AO848" s="147"/>
      <c r="AP848" s="147"/>
      <c r="AQ848" s="147"/>
      <c r="AR848" s="147"/>
      <c r="AS848" s="147"/>
      <c r="AT848" s="147"/>
      <c r="AU848" s="147"/>
      <c r="AV848" s="147"/>
      <c r="AW848" s="147"/>
      <c r="AX848" s="147"/>
      <c r="AY848" s="147"/>
      <c r="AZ848" s="147"/>
      <c r="BA848" s="147"/>
      <c r="BB848" s="147"/>
      <c r="BC848" s="147"/>
      <c r="BD848" s="147"/>
      <c r="BE848" s="147"/>
      <c r="BF848" s="147"/>
      <c r="BG848" s="147"/>
      <c r="BH848" s="147"/>
      <c r="BI848" s="147"/>
      <c r="BJ848" s="147"/>
      <c r="BK848" s="147"/>
      <c r="BL848" s="147"/>
      <c r="BM848" s="147"/>
      <c r="BN848" s="147"/>
      <c r="BO848" s="147"/>
      <c r="BP848" s="147"/>
    </row>
    <row r="849" spans="1:68">
      <c r="A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c r="AC849" s="147"/>
      <c r="AD849" s="147"/>
      <c r="AE849" s="147"/>
      <c r="AF849" s="147"/>
      <c r="AG849" s="147"/>
      <c r="AH849" s="147"/>
      <c r="AI849" s="147"/>
      <c r="AJ849" s="147"/>
      <c r="AK849" s="147"/>
      <c r="AL849" s="147"/>
      <c r="AM849" s="147"/>
      <c r="AN849" s="147"/>
      <c r="AO849" s="147"/>
      <c r="AP849" s="147"/>
      <c r="AQ849" s="147"/>
      <c r="AR849" s="147"/>
      <c r="AS849" s="147"/>
      <c r="AT849" s="147"/>
      <c r="AU849" s="147"/>
      <c r="AV849" s="147"/>
      <c r="AW849" s="147"/>
      <c r="AX849" s="147"/>
      <c r="AY849" s="147"/>
      <c r="AZ849" s="147"/>
      <c r="BA849" s="147"/>
      <c r="BB849" s="147"/>
      <c r="BC849" s="147"/>
      <c r="BD849" s="147"/>
      <c r="BE849" s="147"/>
      <c r="BF849" s="147"/>
      <c r="BG849" s="147"/>
      <c r="BH849" s="147"/>
      <c r="BI849" s="147"/>
      <c r="BJ849" s="147"/>
      <c r="BK849" s="147"/>
      <c r="BL849" s="147"/>
      <c r="BM849" s="147"/>
      <c r="BN849" s="147"/>
      <c r="BO849" s="147"/>
      <c r="BP849" s="147"/>
    </row>
    <row r="850" spans="1:68">
      <c r="A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c r="AC850" s="147"/>
      <c r="AD850" s="147"/>
      <c r="AE850" s="147"/>
      <c r="AF850" s="147"/>
      <c r="AG850" s="147"/>
      <c r="AH850" s="147"/>
      <c r="AI850" s="147"/>
      <c r="AJ850" s="147"/>
      <c r="AK850" s="147"/>
      <c r="AL850" s="147"/>
      <c r="AM850" s="147"/>
      <c r="AN850" s="147"/>
      <c r="AO850" s="147"/>
      <c r="AP850" s="147"/>
      <c r="AQ850" s="147"/>
      <c r="AR850" s="147"/>
      <c r="AS850" s="147"/>
      <c r="AT850" s="147"/>
      <c r="AU850" s="147"/>
      <c r="AV850" s="147"/>
      <c r="AW850" s="147"/>
      <c r="AX850" s="147"/>
      <c r="AY850" s="147"/>
      <c r="AZ850" s="147"/>
      <c r="BA850" s="147"/>
      <c r="BB850" s="147"/>
      <c r="BC850" s="147"/>
      <c r="BD850" s="147"/>
      <c r="BE850" s="147"/>
      <c r="BF850" s="147"/>
      <c r="BG850" s="147"/>
      <c r="BH850" s="147"/>
      <c r="BI850" s="147"/>
      <c r="BJ850" s="147"/>
      <c r="BK850" s="147"/>
      <c r="BL850" s="147"/>
      <c r="BM850" s="147"/>
      <c r="BN850" s="147"/>
      <c r="BO850" s="147"/>
      <c r="BP850" s="147"/>
    </row>
    <row r="851" spans="1:68">
      <c r="A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c r="AC851" s="147"/>
      <c r="AD851" s="147"/>
      <c r="AE851" s="147"/>
      <c r="AF851" s="147"/>
      <c r="AG851" s="147"/>
      <c r="AH851" s="147"/>
      <c r="AI851" s="147"/>
      <c r="AJ851" s="147"/>
      <c r="AK851" s="147"/>
      <c r="AL851" s="147"/>
      <c r="AM851" s="147"/>
      <c r="AN851" s="147"/>
      <c r="AO851" s="147"/>
      <c r="AP851" s="147"/>
      <c r="AQ851" s="147"/>
      <c r="AR851" s="147"/>
      <c r="AS851" s="147"/>
      <c r="AT851" s="147"/>
      <c r="AU851" s="147"/>
      <c r="AV851" s="147"/>
      <c r="AW851" s="147"/>
      <c r="AX851" s="147"/>
      <c r="AY851" s="147"/>
      <c r="AZ851" s="147"/>
      <c r="BA851" s="147"/>
      <c r="BB851" s="147"/>
      <c r="BC851" s="147"/>
      <c r="BD851" s="147"/>
      <c r="BE851" s="147"/>
      <c r="BF851" s="147"/>
      <c r="BG851" s="147"/>
      <c r="BH851" s="147"/>
      <c r="BI851" s="147"/>
      <c r="BJ851" s="147"/>
      <c r="BK851" s="147"/>
      <c r="BL851" s="147"/>
      <c r="BM851" s="147"/>
      <c r="BN851" s="147"/>
      <c r="BO851" s="147"/>
      <c r="BP851" s="147"/>
    </row>
    <row r="852" spans="1:68">
      <c r="A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c r="AC852" s="147"/>
      <c r="AD852" s="147"/>
      <c r="AE852" s="147"/>
      <c r="AF852" s="147"/>
      <c r="AG852" s="147"/>
      <c r="AH852" s="147"/>
      <c r="AI852" s="147"/>
      <c r="AJ852" s="147"/>
      <c r="AK852" s="147"/>
      <c r="AL852" s="147"/>
      <c r="AM852" s="147"/>
      <c r="AN852" s="147"/>
      <c r="AO852" s="147"/>
      <c r="AP852" s="147"/>
      <c r="AQ852" s="147"/>
      <c r="AR852" s="147"/>
      <c r="AS852" s="147"/>
      <c r="AT852" s="147"/>
      <c r="AU852" s="147"/>
      <c r="AV852" s="147"/>
      <c r="AW852" s="147"/>
      <c r="AX852" s="147"/>
      <c r="AY852" s="147"/>
      <c r="AZ852" s="147"/>
      <c r="BA852" s="147"/>
      <c r="BB852" s="147"/>
      <c r="BC852" s="147"/>
      <c r="BD852" s="147"/>
      <c r="BE852" s="147"/>
      <c r="BF852" s="147"/>
      <c r="BG852" s="147"/>
      <c r="BH852" s="147"/>
      <c r="BI852" s="147"/>
      <c r="BJ852" s="147"/>
      <c r="BK852" s="147"/>
      <c r="BL852" s="147"/>
      <c r="BM852" s="147"/>
      <c r="BN852" s="147"/>
      <c r="BO852" s="147"/>
      <c r="BP852" s="147"/>
    </row>
    <row r="853" spans="1:68">
      <c r="A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c r="AC853" s="147"/>
      <c r="AD853" s="147"/>
      <c r="AE853" s="147"/>
      <c r="AF853" s="147"/>
      <c r="AG853" s="147"/>
      <c r="AH853" s="147"/>
      <c r="AI853" s="147"/>
      <c r="AJ853" s="147"/>
      <c r="AK853" s="147"/>
      <c r="AL853" s="147"/>
      <c r="AM853" s="147"/>
      <c r="AN853" s="147"/>
      <c r="AO853" s="147"/>
      <c r="AP853" s="147"/>
      <c r="AQ853" s="147"/>
      <c r="AR853" s="147"/>
      <c r="AS853" s="147"/>
      <c r="AT853" s="147"/>
      <c r="AU853" s="147"/>
      <c r="AV853" s="147"/>
      <c r="AW853" s="147"/>
      <c r="AX853" s="147"/>
      <c r="AY853" s="147"/>
      <c r="AZ853" s="147"/>
      <c r="BA853" s="147"/>
      <c r="BB853" s="147"/>
      <c r="BC853" s="147"/>
      <c r="BD853" s="147"/>
      <c r="BE853" s="147"/>
      <c r="BF853" s="147"/>
      <c r="BG853" s="147"/>
      <c r="BH853" s="147"/>
      <c r="BI853" s="147"/>
      <c r="BJ853" s="147"/>
      <c r="BK853" s="147"/>
      <c r="BL853" s="147"/>
      <c r="BM853" s="147"/>
      <c r="BN853" s="147"/>
      <c r="BO853" s="147"/>
      <c r="BP853" s="147"/>
    </row>
    <row r="854" spans="1:68">
      <c r="A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c r="AC854" s="147"/>
      <c r="AD854" s="147"/>
      <c r="AE854" s="147"/>
      <c r="AF854" s="147"/>
      <c r="AG854" s="147"/>
      <c r="AH854" s="147"/>
      <c r="AI854" s="147"/>
      <c r="AJ854" s="147"/>
      <c r="AK854" s="147"/>
      <c r="AL854" s="147"/>
      <c r="AM854" s="147"/>
      <c r="AN854" s="147"/>
      <c r="AO854" s="147"/>
      <c r="AP854" s="147"/>
      <c r="AQ854" s="147"/>
      <c r="AR854" s="147"/>
      <c r="AS854" s="147"/>
      <c r="AT854" s="147"/>
      <c r="AU854" s="147"/>
      <c r="AV854" s="147"/>
      <c r="AW854" s="147"/>
      <c r="AX854" s="147"/>
      <c r="AY854" s="147"/>
      <c r="AZ854" s="147"/>
      <c r="BA854" s="147"/>
      <c r="BB854" s="147"/>
      <c r="BC854" s="147"/>
      <c r="BD854" s="147"/>
      <c r="BE854" s="147"/>
      <c r="BF854" s="147"/>
      <c r="BG854" s="147"/>
      <c r="BH854" s="147"/>
      <c r="BI854" s="147"/>
      <c r="BJ854" s="147"/>
      <c r="BK854" s="147"/>
      <c r="BL854" s="147"/>
      <c r="BM854" s="147"/>
      <c r="BN854" s="147"/>
      <c r="BO854" s="147"/>
      <c r="BP854" s="147"/>
    </row>
    <row r="855" spans="1:68">
      <c r="A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c r="AC855" s="147"/>
      <c r="AD855" s="147"/>
      <c r="AE855" s="147"/>
      <c r="AF855" s="147"/>
      <c r="AG855" s="147"/>
      <c r="AH855" s="147"/>
      <c r="AI855" s="147"/>
      <c r="AJ855" s="147"/>
      <c r="AK855" s="147"/>
      <c r="AL855" s="147"/>
      <c r="AM855" s="147"/>
      <c r="AN855" s="147"/>
      <c r="AO855" s="147"/>
      <c r="AP855" s="147"/>
      <c r="AQ855" s="147"/>
      <c r="AR855" s="147"/>
      <c r="AS855" s="147"/>
      <c r="AT855" s="147"/>
      <c r="AU855" s="147"/>
      <c r="AV855" s="147"/>
      <c r="AW855" s="147"/>
      <c r="AX855" s="147"/>
      <c r="AY855" s="147"/>
      <c r="AZ855" s="147"/>
      <c r="BA855" s="147"/>
      <c r="BB855" s="147"/>
      <c r="BC855" s="147"/>
      <c r="BD855" s="147"/>
      <c r="BE855" s="147"/>
      <c r="BF855" s="147"/>
      <c r="BG855" s="147"/>
      <c r="BH855" s="147"/>
      <c r="BI855" s="147"/>
      <c r="BJ855" s="147"/>
      <c r="BK855" s="147"/>
      <c r="BL855" s="147"/>
      <c r="BM855" s="147"/>
      <c r="BN855" s="147"/>
      <c r="BO855" s="147"/>
      <c r="BP855" s="147"/>
    </row>
    <row r="856" spans="1:68">
      <c r="A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c r="AC856" s="147"/>
      <c r="AD856" s="147"/>
      <c r="AE856" s="147"/>
      <c r="AF856" s="147"/>
      <c r="AG856" s="147"/>
      <c r="AH856" s="147"/>
      <c r="AI856" s="147"/>
      <c r="AJ856" s="147"/>
      <c r="AK856" s="147"/>
      <c r="AL856" s="147"/>
      <c r="AM856" s="147"/>
      <c r="AN856" s="147"/>
      <c r="AO856" s="147"/>
      <c r="AP856" s="147"/>
      <c r="AQ856" s="147"/>
      <c r="AR856" s="147"/>
      <c r="AS856" s="147"/>
      <c r="AT856" s="147"/>
      <c r="AU856" s="147"/>
      <c r="AV856" s="147"/>
      <c r="AW856" s="147"/>
      <c r="AX856" s="147"/>
      <c r="AY856" s="147"/>
      <c r="AZ856" s="147"/>
      <c r="BA856" s="147"/>
      <c r="BB856" s="147"/>
      <c r="BC856" s="147"/>
      <c r="BD856" s="147"/>
      <c r="BE856" s="147"/>
      <c r="BF856" s="147"/>
      <c r="BG856" s="147"/>
      <c r="BH856" s="147"/>
      <c r="BI856" s="147"/>
      <c r="BJ856" s="147"/>
      <c r="BK856" s="147"/>
      <c r="BL856" s="147"/>
      <c r="BM856" s="147"/>
      <c r="BN856" s="147"/>
      <c r="BO856" s="147"/>
      <c r="BP856" s="147"/>
    </row>
    <row r="857" spans="1:68">
      <c r="A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c r="AC857" s="147"/>
      <c r="AD857" s="147"/>
      <c r="AE857" s="147"/>
      <c r="AF857" s="147"/>
      <c r="AG857" s="147"/>
      <c r="AH857" s="147"/>
      <c r="AI857" s="147"/>
      <c r="AJ857" s="147"/>
      <c r="AK857" s="147"/>
      <c r="AL857" s="147"/>
      <c r="AM857" s="147"/>
      <c r="AN857" s="147"/>
      <c r="AO857" s="147"/>
      <c r="AP857" s="147"/>
      <c r="AQ857" s="147"/>
      <c r="AR857" s="147"/>
      <c r="AS857" s="147"/>
      <c r="AT857" s="147"/>
      <c r="AU857" s="147"/>
      <c r="AV857" s="147"/>
      <c r="AW857" s="147"/>
      <c r="AX857" s="147"/>
      <c r="AY857" s="147"/>
      <c r="AZ857" s="147"/>
      <c r="BA857" s="147"/>
      <c r="BB857" s="147"/>
      <c r="BC857" s="147"/>
      <c r="BD857" s="147"/>
      <c r="BE857" s="147"/>
      <c r="BF857" s="147"/>
      <c r="BG857" s="147"/>
      <c r="BH857" s="147"/>
      <c r="BI857" s="147"/>
      <c r="BJ857" s="147"/>
      <c r="BK857" s="147"/>
      <c r="BL857" s="147"/>
      <c r="BM857" s="147"/>
      <c r="BN857" s="147"/>
      <c r="BO857" s="147"/>
      <c r="BP857" s="147"/>
    </row>
    <row r="858" spans="1:68">
      <c r="A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c r="AC858" s="147"/>
      <c r="AD858" s="147"/>
      <c r="AE858" s="147"/>
      <c r="AF858" s="147"/>
      <c r="AG858" s="147"/>
      <c r="AH858" s="147"/>
      <c r="AI858" s="147"/>
      <c r="AJ858" s="147"/>
      <c r="AK858" s="147"/>
      <c r="AL858" s="147"/>
      <c r="AM858" s="147"/>
      <c r="AN858" s="147"/>
      <c r="AO858" s="147"/>
      <c r="AP858" s="147"/>
      <c r="AQ858" s="147"/>
      <c r="AR858" s="147"/>
      <c r="AS858" s="147"/>
      <c r="AT858" s="147"/>
      <c r="AU858" s="147"/>
      <c r="AV858" s="147"/>
      <c r="AW858" s="147"/>
      <c r="AX858" s="147"/>
      <c r="AY858" s="147"/>
      <c r="AZ858" s="147"/>
      <c r="BA858" s="147"/>
      <c r="BB858" s="147"/>
      <c r="BC858" s="147"/>
      <c r="BD858" s="147"/>
      <c r="BE858" s="147"/>
      <c r="BF858" s="147"/>
      <c r="BG858" s="147"/>
      <c r="BH858" s="147"/>
      <c r="BI858" s="147"/>
      <c r="BJ858" s="147"/>
      <c r="BK858" s="147"/>
      <c r="BL858" s="147"/>
      <c r="BM858" s="147"/>
      <c r="BN858" s="147"/>
      <c r="BO858" s="147"/>
      <c r="BP858" s="147"/>
    </row>
    <row r="859" spans="1:68">
      <c r="A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c r="AC859" s="147"/>
      <c r="AD859" s="147"/>
      <c r="AE859" s="147"/>
      <c r="AF859" s="147"/>
      <c r="AG859" s="147"/>
      <c r="AH859" s="147"/>
      <c r="AI859" s="147"/>
      <c r="AJ859" s="147"/>
      <c r="AK859" s="147"/>
      <c r="AL859" s="147"/>
      <c r="AM859" s="147"/>
      <c r="AN859" s="147"/>
      <c r="AO859" s="147"/>
      <c r="AP859" s="147"/>
      <c r="AQ859" s="147"/>
      <c r="AR859" s="147"/>
      <c r="AS859" s="147"/>
      <c r="AT859" s="147"/>
      <c r="AU859" s="147"/>
      <c r="AV859" s="147"/>
      <c r="AW859" s="147"/>
      <c r="AX859" s="147"/>
      <c r="AY859" s="147"/>
      <c r="AZ859" s="147"/>
      <c r="BA859" s="147"/>
      <c r="BB859" s="147"/>
      <c r="BC859" s="147"/>
      <c r="BD859" s="147"/>
      <c r="BE859" s="147"/>
      <c r="BF859" s="147"/>
      <c r="BG859" s="147"/>
      <c r="BH859" s="147"/>
      <c r="BI859" s="147"/>
      <c r="BJ859" s="147"/>
      <c r="BK859" s="147"/>
      <c r="BL859" s="147"/>
      <c r="BM859" s="147"/>
      <c r="BN859" s="147"/>
      <c r="BO859" s="147"/>
      <c r="BP859" s="147"/>
    </row>
    <row r="860" spans="1:68">
      <c r="A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c r="AC860" s="147"/>
      <c r="AD860" s="147"/>
      <c r="AE860" s="147"/>
      <c r="AF860" s="147"/>
      <c r="AG860" s="147"/>
      <c r="AH860" s="147"/>
      <c r="AI860" s="147"/>
      <c r="AJ860" s="147"/>
      <c r="AK860" s="147"/>
      <c r="AL860" s="147"/>
      <c r="AM860" s="147"/>
      <c r="AN860" s="147"/>
      <c r="AO860" s="147"/>
      <c r="AP860" s="147"/>
      <c r="AQ860" s="147"/>
      <c r="AR860" s="147"/>
      <c r="AS860" s="147"/>
      <c r="AT860" s="147"/>
      <c r="AU860" s="147"/>
      <c r="AV860" s="147"/>
      <c r="AW860" s="147"/>
      <c r="AX860" s="147"/>
      <c r="AY860" s="147"/>
      <c r="AZ860" s="147"/>
      <c r="BA860" s="147"/>
      <c r="BB860" s="147"/>
      <c r="BC860" s="147"/>
      <c r="BD860" s="147"/>
      <c r="BE860" s="147"/>
      <c r="BF860" s="147"/>
      <c r="BG860" s="147"/>
      <c r="BH860" s="147"/>
      <c r="BI860" s="147"/>
      <c r="BJ860" s="147"/>
      <c r="BK860" s="147"/>
      <c r="BL860" s="147"/>
      <c r="BM860" s="147"/>
      <c r="BN860" s="147"/>
      <c r="BO860" s="147"/>
      <c r="BP860" s="147"/>
    </row>
    <row r="861" spans="1:68">
      <c r="A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c r="AC861" s="147"/>
      <c r="AD861" s="147"/>
      <c r="AE861" s="147"/>
      <c r="AF861" s="147"/>
      <c r="AG861" s="147"/>
      <c r="AH861" s="147"/>
      <c r="AI861" s="147"/>
      <c r="AJ861" s="147"/>
      <c r="AK861" s="147"/>
      <c r="AL861" s="147"/>
      <c r="AM861" s="147"/>
      <c r="AN861" s="147"/>
      <c r="AO861" s="147"/>
      <c r="AP861" s="147"/>
      <c r="AQ861" s="147"/>
      <c r="AR861" s="147"/>
      <c r="AS861" s="147"/>
      <c r="AT861" s="147"/>
      <c r="AU861" s="147"/>
      <c r="AV861" s="147"/>
      <c r="AW861" s="147"/>
      <c r="AX861" s="147"/>
      <c r="AY861" s="147"/>
      <c r="AZ861" s="147"/>
      <c r="BA861" s="147"/>
      <c r="BB861" s="147"/>
      <c r="BC861" s="147"/>
      <c r="BD861" s="147"/>
      <c r="BE861" s="147"/>
      <c r="BF861" s="147"/>
      <c r="BG861" s="147"/>
      <c r="BH861" s="147"/>
      <c r="BI861" s="147"/>
      <c r="BJ861" s="147"/>
      <c r="BK861" s="147"/>
      <c r="BL861" s="147"/>
      <c r="BM861" s="147"/>
      <c r="BN861" s="147"/>
      <c r="BO861" s="147"/>
      <c r="BP861" s="147"/>
    </row>
    <row r="862" spans="1:68">
      <c r="A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c r="AC862" s="147"/>
      <c r="AD862" s="147"/>
      <c r="AE862" s="147"/>
      <c r="AF862" s="147"/>
      <c r="AG862" s="147"/>
      <c r="AH862" s="147"/>
      <c r="AI862" s="147"/>
      <c r="AJ862" s="147"/>
      <c r="AK862" s="147"/>
      <c r="AL862" s="147"/>
      <c r="AM862" s="147"/>
      <c r="AN862" s="147"/>
      <c r="AO862" s="147"/>
      <c r="AP862" s="147"/>
      <c r="AQ862" s="147"/>
      <c r="AR862" s="147"/>
      <c r="AS862" s="147"/>
      <c r="AT862" s="147"/>
      <c r="AU862" s="147"/>
      <c r="AV862" s="147"/>
      <c r="AW862" s="147"/>
      <c r="AX862" s="147"/>
      <c r="AY862" s="147"/>
      <c r="AZ862" s="147"/>
      <c r="BA862" s="147"/>
      <c r="BB862" s="147"/>
      <c r="BC862" s="147"/>
      <c r="BD862" s="147"/>
      <c r="BE862" s="147"/>
      <c r="BF862" s="147"/>
      <c r="BG862" s="147"/>
      <c r="BH862" s="147"/>
      <c r="BI862" s="147"/>
      <c r="BJ862" s="147"/>
      <c r="BK862" s="147"/>
      <c r="BL862" s="147"/>
      <c r="BM862" s="147"/>
      <c r="BN862" s="147"/>
      <c r="BO862" s="147"/>
      <c r="BP862" s="147"/>
    </row>
    <row r="863" spans="1:68">
      <c r="A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c r="AC863" s="147"/>
      <c r="AD863" s="147"/>
      <c r="AE863" s="147"/>
      <c r="AF863" s="147"/>
      <c r="AG863" s="147"/>
      <c r="AH863" s="147"/>
      <c r="AI863" s="147"/>
      <c r="AJ863" s="147"/>
      <c r="AK863" s="147"/>
      <c r="AL863" s="147"/>
      <c r="AM863" s="147"/>
      <c r="AN863" s="147"/>
      <c r="AO863" s="147"/>
      <c r="AP863" s="147"/>
      <c r="AQ863" s="147"/>
      <c r="AR863" s="147"/>
      <c r="AS863" s="147"/>
      <c r="AT863" s="147"/>
      <c r="AU863" s="147"/>
      <c r="AV863" s="147"/>
      <c r="AW863" s="147"/>
      <c r="AX863" s="147"/>
      <c r="AY863" s="147"/>
      <c r="AZ863" s="147"/>
      <c r="BA863" s="147"/>
      <c r="BB863" s="147"/>
      <c r="BC863" s="147"/>
      <c r="BD863" s="147"/>
      <c r="BE863" s="147"/>
      <c r="BF863" s="147"/>
      <c r="BG863" s="147"/>
      <c r="BH863" s="147"/>
      <c r="BI863" s="147"/>
      <c r="BJ863" s="147"/>
      <c r="BK863" s="147"/>
      <c r="BL863" s="147"/>
      <c r="BM863" s="147"/>
      <c r="BN863" s="147"/>
      <c r="BO863" s="147"/>
      <c r="BP863" s="147"/>
    </row>
    <row r="864" spans="1:68">
      <c r="A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c r="AC864" s="147"/>
      <c r="AD864" s="147"/>
      <c r="AE864" s="147"/>
      <c r="AF864" s="147"/>
      <c r="AG864" s="147"/>
      <c r="AH864" s="147"/>
      <c r="AI864" s="147"/>
      <c r="AJ864" s="147"/>
      <c r="AK864" s="147"/>
      <c r="AL864" s="147"/>
      <c r="AM864" s="147"/>
      <c r="AN864" s="147"/>
      <c r="AO864" s="147"/>
      <c r="AP864" s="147"/>
      <c r="AQ864" s="147"/>
      <c r="AR864" s="147"/>
      <c r="AS864" s="147"/>
      <c r="AT864" s="147"/>
      <c r="AU864" s="147"/>
      <c r="AV864" s="147"/>
      <c r="AW864" s="147"/>
      <c r="AX864" s="147"/>
      <c r="AY864" s="147"/>
      <c r="AZ864" s="147"/>
      <c r="BA864" s="147"/>
      <c r="BB864" s="147"/>
      <c r="BC864" s="147"/>
      <c r="BD864" s="147"/>
      <c r="BE864" s="147"/>
      <c r="BF864" s="147"/>
      <c r="BG864" s="147"/>
      <c r="BH864" s="147"/>
      <c r="BI864" s="147"/>
      <c r="BJ864" s="147"/>
      <c r="BK864" s="147"/>
      <c r="BL864" s="147"/>
      <c r="BM864" s="147"/>
      <c r="BN864" s="147"/>
      <c r="BO864" s="147"/>
      <c r="BP864" s="147"/>
    </row>
    <row r="865" spans="1:68">
      <c r="A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c r="AC865" s="147"/>
      <c r="AD865" s="147"/>
      <c r="AE865" s="147"/>
      <c r="AF865" s="147"/>
      <c r="AG865" s="147"/>
      <c r="AH865" s="147"/>
      <c r="AI865" s="147"/>
      <c r="AJ865" s="147"/>
      <c r="AK865" s="147"/>
      <c r="AL865" s="147"/>
      <c r="AM865" s="147"/>
      <c r="AN865" s="147"/>
      <c r="AO865" s="147"/>
      <c r="AP865" s="147"/>
      <c r="AQ865" s="147"/>
      <c r="AR865" s="147"/>
      <c r="AS865" s="147"/>
      <c r="AT865" s="147"/>
      <c r="AU865" s="147"/>
      <c r="AV865" s="147"/>
      <c r="AW865" s="147"/>
      <c r="AX865" s="147"/>
      <c r="AY865" s="147"/>
      <c r="AZ865" s="147"/>
      <c r="BA865" s="147"/>
      <c r="BB865" s="147"/>
      <c r="BC865" s="147"/>
      <c r="BD865" s="147"/>
      <c r="BE865" s="147"/>
      <c r="BF865" s="147"/>
      <c r="BG865" s="147"/>
      <c r="BH865" s="147"/>
      <c r="BI865" s="147"/>
      <c r="BJ865" s="147"/>
      <c r="BK865" s="147"/>
      <c r="BL865" s="147"/>
      <c r="BM865" s="147"/>
      <c r="BN865" s="147"/>
      <c r="BO865" s="147"/>
      <c r="BP865" s="147"/>
    </row>
    <row r="866" spans="1:68">
      <c r="A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c r="AC866" s="147"/>
      <c r="AD866" s="147"/>
      <c r="AE866" s="147"/>
      <c r="AF866" s="147"/>
      <c r="AG866" s="147"/>
      <c r="AH866" s="147"/>
      <c r="AI866" s="147"/>
      <c r="AJ866" s="147"/>
      <c r="AK866" s="147"/>
      <c r="AL866" s="147"/>
      <c r="AM866" s="147"/>
      <c r="AN866" s="147"/>
      <c r="AO866" s="147"/>
      <c r="AP866" s="147"/>
      <c r="AQ866" s="147"/>
      <c r="AR866" s="147"/>
      <c r="AS866" s="147"/>
      <c r="AT866" s="147"/>
      <c r="AU866" s="147"/>
      <c r="AV866" s="147"/>
      <c r="AW866" s="147"/>
      <c r="AX866" s="147"/>
      <c r="AY866" s="147"/>
      <c r="AZ866" s="147"/>
      <c r="BA866" s="147"/>
      <c r="BB866" s="147"/>
      <c r="BC866" s="147"/>
      <c r="BD866" s="147"/>
      <c r="BE866" s="147"/>
      <c r="BF866" s="147"/>
      <c r="BG866" s="147"/>
      <c r="BH866" s="147"/>
      <c r="BI866" s="147"/>
      <c r="BJ866" s="147"/>
      <c r="BK866" s="147"/>
      <c r="BL866" s="147"/>
      <c r="BM866" s="147"/>
      <c r="BN866" s="147"/>
      <c r="BO866" s="147"/>
      <c r="BP866" s="147"/>
    </row>
    <row r="867" spans="1:68">
      <c r="A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c r="AC867" s="147"/>
      <c r="AD867" s="147"/>
      <c r="AE867" s="147"/>
      <c r="AF867" s="147"/>
      <c r="AG867" s="147"/>
      <c r="AH867" s="147"/>
      <c r="AI867" s="147"/>
      <c r="AJ867" s="147"/>
      <c r="AK867" s="147"/>
      <c r="AL867" s="147"/>
      <c r="AM867" s="147"/>
      <c r="AN867" s="147"/>
      <c r="AO867" s="147"/>
      <c r="AP867" s="147"/>
      <c r="AQ867" s="147"/>
      <c r="AR867" s="147"/>
      <c r="AS867" s="147"/>
      <c r="AT867" s="147"/>
      <c r="AU867" s="147"/>
      <c r="AV867" s="147"/>
      <c r="AW867" s="147"/>
      <c r="AX867" s="147"/>
      <c r="AY867" s="147"/>
      <c r="AZ867" s="147"/>
      <c r="BA867" s="147"/>
      <c r="BB867" s="147"/>
      <c r="BC867" s="147"/>
      <c r="BD867" s="147"/>
      <c r="BE867" s="147"/>
      <c r="BF867" s="147"/>
      <c r="BG867" s="147"/>
      <c r="BH867" s="147"/>
      <c r="BI867" s="147"/>
      <c r="BJ867" s="147"/>
      <c r="BK867" s="147"/>
      <c r="BL867" s="147"/>
      <c r="BM867" s="147"/>
      <c r="BN867" s="147"/>
      <c r="BO867" s="147"/>
      <c r="BP867" s="147"/>
    </row>
    <row r="868" spans="1:68">
      <c r="A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c r="AC868" s="147"/>
      <c r="AD868" s="147"/>
      <c r="AE868" s="147"/>
      <c r="AF868" s="147"/>
      <c r="AG868" s="147"/>
      <c r="AH868" s="147"/>
      <c r="AI868" s="147"/>
      <c r="AJ868" s="147"/>
      <c r="AK868" s="147"/>
      <c r="AL868" s="147"/>
      <c r="AM868" s="147"/>
      <c r="AN868" s="147"/>
      <c r="AO868" s="147"/>
      <c r="AP868" s="147"/>
      <c r="AQ868" s="147"/>
      <c r="AR868" s="147"/>
      <c r="AS868" s="147"/>
      <c r="AT868" s="147"/>
      <c r="AU868" s="147"/>
      <c r="AV868" s="147"/>
      <c r="AW868" s="147"/>
      <c r="AX868" s="147"/>
      <c r="AY868" s="147"/>
      <c r="AZ868" s="147"/>
      <c r="BA868" s="147"/>
      <c r="BB868" s="147"/>
      <c r="BC868" s="147"/>
      <c r="BD868" s="147"/>
      <c r="BE868" s="147"/>
      <c r="BF868" s="147"/>
      <c r="BG868" s="147"/>
      <c r="BH868" s="147"/>
      <c r="BI868" s="147"/>
      <c r="BJ868" s="147"/>
      <c r="BK868" s="147"/>
      <c r="BL868" s="147"/>
      <c r="BM868" s="147"/>
      <c r="BN868" s="147"/>
      <c r="BO868" s="147"/>
      <c r="BP868" s="147"/>
    </row>
    <row r="869" spans="1:68">
      <c r="A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c r="AC869" s="147"/>
      <c r="AD869" s="147"/>
      <c r="AE869" s="147"/>
      <c r="AF869" s="147"/>
      <c r="AG869" s="147"/>
      <c r="AH869" s="147"/>
      <c r="AI869" s="147"/>
      <c r="AJ869" s="147"/>
      <c r="AK869" s="147"/>
      <c r="AL869" s="147"/>
      <c r="AM869" s="147"/>
      <c r="AN869" s="147"/>
      <c r="AO869" s="147"/>
      <c r="AP869" s="147"/>
      <c r="AQ869" s="147"/>
      <c r="AR869" s="147"/>
      <c r="AS869" s="147"/>
      <c r="AT869" s="147"/>
      <c r="AU869" s="147"/>
      <c r="AV869" s="147"/>
      <c r="AW869" s="147"/>
      <c r="AX869" s="147"/>
      <c r="AY869" s="147"/>
      <c r="AZ869" s="147"/>
      <c r="BA869" s="147"/>
      <c r="BB869" s="147"/>
      <c r="BC869" s="147"/>
      <c r="BD869" s="147"/>
      <c r="BE869" s="147"/>
      <c r="BF869" s="147"/>
      <c r="BG869" s="147"/>
      <c r="BH869" s="147"/>
      <c r="BI869" s="147"/>
      <c r="BJ869" s="147"/>
      <c r="BK869" s="147"/>
      <c r="BL869" s="147"/>
      <c r="BM869" s="147"/>
      <c r="BN869" s="147"/>
      <c r="BO869" s="147"/>
      <c r="BP869" s="147"/>
    </row>
    <row r="870" spans="1:68">
      <c r="A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c r="AC870" s="147"/>
      <c r="AD870" s="147"/>
      <c r="AE870" s="147"/>
      <c r="AF870" s="147"/>
      <c r="AG870" s="147"/>
      <c r="AH870" s="147"/>
      <c r="AI870" s="147"/>
      <c r="AJ870" s="147"/>
      <c r="AK870" s="147"/>
      <c r="AL870" s="147"/>
      <c r="AM870" s="147"/>
      <c r="AN870" s="147"/>
      <c r="AO870" s="147"/>
      <c r="AP870" s="147"/>
      <c r="AQ870" s="147"/>
      <c r="AR870" s="147"/>
      <c r="AS870" s="147"/>
      <c r="AT870" s="147"/>
      <c r="AU870" s="147"/>
      <c r="AV870" s="147"/>
      <c r="AW870" s="147"/>
      <c r="AX870" s="147"/>
      <c r="AY870" s="147"/>
      <c r="AZ870" s="147"/>
      <c r="BA870" s="147"/>
      <c r="BB870" s="147"/>
      <c r="BC870" s="147"/>
      <c r="BD870" s="147"/>
      <c r="BE870" s="147"/>
      <c r="BF870" s="147"/>
      <c r="BG870" s="147"/>
      <c r="BH870" s="147"/>
      <c r="BI870" s="147"/>
      <c r="BJ870" s="147"/>
      <c r="BK870" s="147"/>
      <c r="BL870" s="147"/>
      <c r="BM870" s="147"/>
      <c r="BN870" s="147"/>
      <c r="BO870" s="147"/>
      <c r="BP870" s="147"/>
    </row>
    <row r="871" spans="1:68">
      <c r="A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c r="AC871" s="147"/>
      <c r="AD871" s="147"/>
      <c r="AE871" s="147"/>
      <c r="AF871" s="147"/>
      <c r="AG871" s="147"/>
      <c r="AH871" s="147"/>
      <c r="AI871" s="147"/>
      <c r="AJ871" s="147"/>
      <c r="AK871" s="147"/>
      <c r="AL871" s="147"/>
      <c r="AM871" s="147"/>
      <c r="AN871" s="147"/>
      <c r="AO871" s="147"/>
      <c r="AP871" s="147"/>
      <c r="AQ871" s="147"/>
      <c r="AR871" s="147"/>
      <c r="AS871" s="147"/>
      <c r="AT871" s="147"/>
      <c r="AU871" s="147"/>
      <c r="AV871" s="147"/>
      <c r="AW871" s="147"/>
      <c r="AX871" s="147"/>
      <c r="AY871" s="147"/>
      <c r="AZ871" s="147"/>
      <c r="BA871" s="147"/>
      <c r="BB871" s="147"/>
      <c r="BC871" s="147"/>
      <c r="BD871" s="147"/>
      <c r="BE871" s="147"/>
      <c r="BF871" s="147"/>
      <c r="BG871" s="147"/>
      <c r="BH871" s="147"/>
      <c r="BI871" s="147"/>
      <c r="BJ871" s="147"/>
      <c r="BK871" s="147"/>
      <c r="BL871" s="147"/>
      <c r="BM871" s="147"/>
      <c r="BN871" s="147"/>
      <c r="BO871" s="147"/>
      <c r="BP871" s="147"/>
    </row>
    <row r="872" spans="1:68">
      <c r="A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c r="AC872" s="147"/>
      <c r="AD872" s="147"/>
      <c r="AE872" s="147"/>
      <c r="AF872" s="147"/>
      <c r="AG872" s="147"/>
      <c r="AH872" s="147"/>
      <c r="AI872" s="147"/>
      <c r="AJ872" s="147"/>
      <c r="AK872" s="147"/>
      <c r="AL872" s="147"/>
      <c r="AM872" s="147"/>
      <c r="AN872" s="147"/>
      <c r="AO872" s="147"/>
      <c r="AP872" s="147"/>
      <c r="AQ872" s="147"/>
      <c r="AR872" s="147"/>
      <c r="AS872" s="147"/>
      <c r="AT872" s="147"/>
      <c r="AU872" s="147"/>
      <c r="AV872" s="147"/>
      <c r="AW872" s="147"/>
      <c r="AX872" s="147"/>
      <c r="AY872" s="147"/>
      <c r="AZ872" s="147"/>
      <c r="BA872" s="147"/>
      <c r="BB872" s="147"/>
      <c r="BC872" s="147"/>
      <c r="BD872" s="147"/>
      <c r="BE872" s="147"/>
      <c r="BF872" s="147"/>
      <c r="BG872" s="147"/>
      <c r="BH872" s="147"/>
      <c r="BI872" s="147"/>
      <c r="BJ872" s="147"/>
      <c r="BK872" s="147"/>
      <c r="BL872" s="147"/>
      <c r="BM872" s="147"/>
      <c r="BN872" s="147"/>
      <c r="BO872" s="147"/>
      <c r="BP872" s="147"/>
    </row>
    <row r="873" spans="1:68">
      <c r="A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c r="AC873" s="147"/>
      <c r="AD873" s="147"/>
      <c r="AE873" s="147"/>
      <c r="AF873" s="147"/>
      <c r="AG873" s="147"/>
      <c r="AH873" s="147"/>
      <c r="AI873" s="147"/>
      <c r="AJ873" s="147"/>
      <c r="AK873" s="147"/>
      <c r="AL873" s="147"/>
      <c r="AM873" s="147"/>
      <c r="AN873" s="147"/>
      <c r="AO873" s="147"/>
      <c r="AP873" s="147"/>
      <c r="AQ873" s="147"/>
      <c r="AR873" s="147"/>
      <c r="AS873" s="147"/>
      <c r="AT873" s="147"/>
      <c r="AU873" s="147"/>
      <c r="AV873" s="147"/>
      <c r="AW873" s="147"/>
      <c r="AX873" s="147"/>
      <c r="AY873" s="147"/>
      <c r="AZ873" s="147"/>
      <c r="BA873" s="147"/>
      <c r="BB873" s="147"/>
      <c r="BC873" s="147"/>
      <c r="BD873" s="147"/>
      <c r="BE873" s="147"/>
      <c r="BF873" s="147"/>
      <c r="BG873" s="147"/>
      <c r="BH873" s="147"/>
      <c r="BI873" s="147"/>
      <c r="BJ873" s="147"/>
      <c r="BK873" s="147"/>
      <c r="BL873" s="147"/>
      <c r="BM873" s="147"/>
      <c r="BN873" s="147"/>
      <c r="BO873" s="147"/>
      <c r="BP873" s="147"/>
    </row>
    <row r="874" spans="1:68">
      <c r="A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c r="AC874" s="147"/>
      <c r="AD874" s="147"/>
      <c r="AE874" s="147"/>
      <c r="AF874" s="147"/>
      <c r="AG874" s="147"/>
      <c r="AH874" s="147"/>
      <c r="AI874" s="147"/>
      <c r="AJ874" s="147"/>
      <c r="AK874" s="147"/>
      <c r="AL874" s="147"/>
      <c r="AM874" s="147"/>
      <c r="AN874" s="147"/>
      <c r="AO874" s="147"/>
      <c r="AP874" s="147"/>
      <c r="AQ874" s="147"/>
      <c r="AR874" s="147"/>
      <c r="AS874" s="147"/>
      <c r="AT874" s="147"/>
      <c r="AU874" s="147"/>
      <c r="AV874" s="147"/>
      <c r="AW874" s="147"/>
      <c r="AX874" s="147"/>
      <c r="AY874" s="147"/>
      <c r="AZ874" s="147"/>
      <c r="BA874" s="147"/>
      <c r="BB874" s="147"/>
      <c r="BC874" s="147"/>
      <c r="BD874" s="147"/>
      <c r="BE874" s="147"/>
      <c r="BF874" s="147"/>
      <c r="BG874" s="147"/>
      <c r="BH874" s="147"/>
      <c r="BI874" s="147"/>
      <c r="BJ874" s="147"/>
      <c r="BK874" s="147"/>
      <c r="BL874" s="147"/>
      <c r="BM874" s="147"/>
      <c r="BN874" s="147"/>
      <c r="BO874" s="147"/>
      <c r="BP874" s="147"/>
    </row>
    <row r="875" spans="1:68">
      <c r="A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c r="AC875" s="147"/>
      <c r="AD875" s="147"/>
      <c r="AE875" s="147"/>
      <c r="AF875" s="147"/>
      <c r="AG875" s="147"/>
      <c r="AH875" s="147"/>
      <c r="AI875" s="147"/>
      <c r="AJ875" s="147"/>
      <c r="AK875" s="147"/>
      <c r="AL875" s="147"/>
      <c r="AM875" s="147"/>
      <c r="AN875" s="147"/>
      <c r="AO875" s="147"/>
      <c r="AP875" s="147"/>
      <c r="AQ875" s="147"/>
      <c r="AR875" s="147"/>
      <c r="AS875" s="147"/>
      <c r="AT875" s="147"/>
      <c r="AU875" s="147"/>
      <c r="AV875" s="147"/>
      <c r="AW875" s="147"/>
      <c r="AX875" s="147"/>
      <c r="AY875" s="147"/>
      <c r="AZ875" s="147"/>
      <c r="BA875" s="147"/>
      <c r="BB875" s="147"/>
      <c r="BC875" s="147"/>
      <c r="BD875" s="147"/>
      <c r="BE875" s="147"/>
      <c r="BF875" s="147"/>
      <c r="BG875" s="147"/>
      <c r="BH875" s="147"/>
      <c r="BI875" s="147"/>
      <c r="BJ875" s="147"/>
      <c r="BK875" s="147"/>
      <c r="BL875" s="147"/>
      <c r="BM875" s="147"/>
      <c r="BN875" s="147"/>
      <c r="BO875" s="147"/>
      <c r="BP875" s="147"/>
    </row>
    <row r="876" spans="1:68">
      <c r="A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c r="AC876" s="147"/>
      <c r="AD876" s="147"/>
      <c r="AE876" s="147"/>
      <c r="AF876" s="147"/>
      <c r="AG876" s="147"/>
      <c r="AH876" s="147"/>
      <c r="AI876" s="147"/>
      <c r="AJ876" s="147"/>
      <c r="AK876" s="147"/>
      <c r="AL876" s="147"/>
      <c r="AM876" s="147"/>
      <c r="AN876" s="147"/>
      <c r="AO876" s="147"/>
      <c r="AP876" s="147"/>
      <c r="AQ876" s="147"/>
      <c r="AR876" s="147"/>
      <c r="AS876" s="147"/>
      <c r="AT876" s="147"/>
      <c r="AU876" s="147"/>
      <c r="AV876" s="147"/>
      <c r="AW876" s="147"/>
      <c r="AX876" s="147"/>
      <c r="AY876" s="147"/>
      <c r="AZ876" s="147"/>
      <c r="BA876" s="147"/>
      <c r="BB876" s="147"/>
      <c r="BC876" s="147"/>
      <c r="BD876" s="147"/>
      <c r="BE876" s="147"/>
      <c r="BF876" s="147"/>
      <c r="BG876" s="147"/>
      <c r="BH876" s="147"/>
      <c r="BI876" s="147"/>
      <c r="BJ876" s="147"/>
      <c r="BK876" s="147"/>
      <c r="BL876" s="147"/>
      <c r="BM876" s="147"/>
      <c r="BN876" s="147"/>
      <c r="BO876" s="147"/>
      <c r="BP876" s="147"/>
    </row>
    <row r="877" spans="1:68">
      <c r="A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c r="AC877" s="147"/>
      <c r="AD877" s="147"/>
      <c r="AE877" s="147"/>
      <c r="AF877" s="147"/>
      <c r="AG877" s="147"/>
      <c r="AH877" s="147"/>
      <c r="AI877" s="147"/>
      <c r="AJ877" s="147"/>
      <c r="AK877" s="147"/>
      <c r="AL877" s="147"/>
      <c r="AM877" s="147"/>
      <c r="AN877" s="147"/>
      <c r="AO877" s="147"/>
      <c r="AP877" s="147"/>
      <c r="AQ877" s="147"/>
      <c r="AR877" s="147"/>
      <c r="AS877" s="147"/>
      <c r="AT877" s="147"/>
      <c r="AU877" s="147"/>
      <c r="AV877" s="147"/>
      <c r="AW877" s="147"/>
      <c r="AX877" s="147"/>
      <c r="AY877" s="147"/>
      <c r="AZ877" s="147"/>
      <c r="BA877" s="147"/>
      <c r="BB877" s="147"/>
      <c r="BC877" s="147"/>
      <c r="BD877" s="147"/>
      <c r="BE877" s="147"/>
      <c r="BF877" s="147"/>
      <c r="BG877" s="147"/>
      <c r="BH877" s="147"/>
      <c r="BI877" s="147"/>
      <c r="BJ877" s="147"/>
      <c r="BK877" s="147"/>
      <c r="BL877" s="147"/>
      <c r="BM877" s="147"/>
      <c r="BN877" s="147"/>
      <c r="BO877" s="147"/>
      <c r="BP877" s="147"/>
    </row>
    <row r="878" spans="1:68">
      <c r="A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c r="AC878" s="147"/>
      <c r="AD878" s="147"/>
      <c r="AE878" s="147"/>
      <c r="AF878" s="147"/>
      <c r="AG878" s="147"/>
      <c r="AH878" s="147"/>
      <c r="AI878" s="147"/>
      <c r="AJ878" s="147"/>
      <c r="AK878" s="147"/>
      <c r="AL878" s="147"/>
      <c r="AM878" s="147"/>
      <c r="AN878" s="147"/>
      <c r="AO878" s="147"/>
      <c r="AP878" s="147"/>
      <c r="AQ878" s="147"/>
      <c r="AR878" s="147"/>
      <c r="AS878" s="147"/>
      <c r="AT878" s="147"/>
      <c r="AU878" s="147"/>
      <c r="AV878" s="147"/>
      <c r="AW878" s="147"/>
      <c r="AX878" s="147"/>
      <c r="AY878" s="147"/>
      <c r="AZ878" s="147"/>
      <c r="BA878" s="147"/>
      <c r="BB878" s="147"/>
      <c r="BC878" s="147"/>
      <c r="BD878" s="147"/>
      <c r="BE878" s="147"/>
      <c r="BF878" s="147"/>
      <c r="BG878" s="147"/>
      <c r="BH878" s="147"/>
      <c r="BI878" s="147"/>
      <c r="BJ878" s="147"/>
      <c r="BK878" s="147"/>
      <c r="BL878" s="147"/>
      <c r="BM878" s="147"/>
      <c r="BN878" s="147"/>
      <c r="BO878" s="147"/>
      <c r="BP878" s="147"/>
    </row>
    <row r="879" spans="1:68">
      <c r="A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c r="AC879" s="147"/>
      <c r="AD879" s="147"/>
      <c r="AE879" s="147"/>
      <c r="AF879" s="147"/>
      <c r="AG879" s="147"/>
      <c r="AH879" s="147"/>
      <c r="AI879" s="147"/>
      <c r="AJ879" s="147"/>
      <c r="AK879" s="147"/>
      <c r="AL879" s="147"/>
      <c r="AM879" s="147"/>
      <c r="AN879" s="147"/>
      <c r="AO879" s="147"/>
      <c r="AP879" s="147"/>
      <c r="AQ879" s="147"/>
      <c r="AR879" s="147"/>
      <c r="AS879" s="147"/>
      <c r="AT879" s="147"/>
      <c r="AU879" s="147"/>
      <c r="AV879" s="147"/>
      <c r="AW879" s="147"/>
      <c r="AX879" s="147"/>
      <c r="AY879" s="147"/>
      <c r="AZ879" s="147"/>
      <c r="BA879" s="147"/>
      <c r="BB879" s="147"/>
      <c r="BC879" s="147"/>
      <c r="BD879" s="147"/>
      <c r="BE879" s="147"/>
      <c r="BF879" s="147"/>
      <c r="BG879" s="147"/>
      <c r="BH879" s="147"/>
      <c r="BI879" s="147"/>
      <c r="BJ879" s="147"/>
      <c r="BK879" s="147"/>
      <c r="BL879" s="147"/>
      <c r="BM879" s="147"/>
      <c r="BN879" s="147"/>
      <c r="BO879" s="147"/>
      <c r="BP879" s="147"/>
    </row>
    <row r="880" spans="1:68">
      <c r="A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c r="AC880" s="147"/>
      <c r="AD880" s="147"/>
      <c r="AE880" s="147"/>
      <c r="AF880" s="147"/>
      <c r="AG880" s="147"/>
      <c r="AH880" s="147"/>
      <c r="AI880" s="147"/>
      <c r="AJ880" s="147"/>
      <c r="AK880" s="147"/>
      <c r="AL880" s="147"/>
      <c r="AM880" s="147"/>
      <c r="AN880" s="147"/>
      <c r="AO880" s="147"/>
      <c r="AP880" s="147"/>
      <c r="AQ880" s="147"/>
      <c r="AR880" s="147"/>
      <c r="AS880" s="147"/>
      <c r="AT880" s="147"/>
      <c r="AU880" s="147"/>
      <c r="AV880" s="147"/>
      <c r="AW880" s="147"/>
      <c r="AX880" s="147"/>
      <c r="AY880" s="147"/>
      <c r="AZ880" s="147"/>
      <c r="BA880" s="147"/>
      <c r="BB880" s="147"/>
      <c r="BC880" s="147"/>
      <c r="BD880" s="147"/>
      <c r="BE880" s="147"/>
      <c r="BF880" s="147"/>
      <c r="BG880" s="147"/>
      <c r="BH880" s="147"/>
      <c r="BI880" s="147"/>
      <c r="BJ880" s="147"/>
      <c r="BK880" s="147"/>
      <c r="BL880" s="147"/>
      <c r="BM880" s="147"/>
      <c r="BN880" s="147"/>
      <c r="BO880" s="147"/>
      <c r="BP880" s="147"/>
    </row>
    <row r="881" spans="1:68">
      <c r="A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c r="AC881" s="147"/>
      <c r="AD881" s="147"/>
      <c r="AE881" s="147"/>
      <c r="AF881" s="147"/>
      <c r="AG881" s="147"/>
      <c r="AH881" s="147"/>
      <c r="AI881" s="147"/>
      <c r="AJ881" s="147"/>
      <c r="AK881" s="147"/>
      <c r="AL881" s="147"/>
      <c r="AM881" s="147"/>
      <c r="AN881" s="147"/>
      <c r="AO881" s="147"/>
      <c r="AP881" s="147"/>
      <c r="AQ881" s="147"/>
      <c r="AR881" s="147"/>
      <c r="AS881" s="147"/>
      <c r="AT881" s="147"/>
      <c r="AU881" s="147"/>
      <c r="AV881" s="147"/>
      <c r="AW881" s="147"/>
      <c r="AX881" s="147"/>
      <c r="AY881" s="147"/>
      <c r="AZ881" s="147"/>
      <c r="BA881" s="147"/>
      <c r="BB881" s="147"/>
      <c r="BC881" s="147"/>
      <c r="BD881" s="147"/>
      <c r="BE881" s="147"/>
      <c r="BF881" s="147"/>
      <c r="BG881" s="147"/>
      <c r="BH881" s="147"/>
      <c r="BI881" s="147"/>
      <c r="BJ881" s="147"/>
      <c r="BK881" s="147"/>
      <c r="BL881" s="147"/>
      <c r="BM881" s="147"/>
      <c r="BN881" s="147"/>
      <c r="BO881" s="147"/>
      <c r="BP881" s="147"/>
    </row>
    <row r="882" spans="1:68">
      <c r="A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c r="AC882" s="147"/>
      <c r="AD882" s="147"/>
      <c r="AE882" s="147"/>
      <c r="AF882" s="147"/>
      <c r="AG882" s="147"/>
      <c r="AH882" s="147"/>
      <c r="AI882" s="147"/>
      <c r="AJ882" s="147"/>
      <c r="AK882" s="147"/>
      <c r="AL882" s="147"/>
      <c r="AM882" s="147"/>
      <c r="AN882" s="147"/>
      <c r="AO882" s="147"/>
      <c r="AP882" s="147"/>
      <c r="AQ882" s="147"/>
      <c r="AR882" s="147"/>
      <c r="AS882" s="147"/>
      <c r="AT882" s="147"/>
      <c r="AU882" s="147"/>
      <c r="AV882" s="147"/>
      <c r="AW882" s="147"/>
      <c r="AX882" s="147"/>
      <c r="AY882" s="147"/>
      <c r="AZ882" s="147"/>
      <c r="BA882" s="147"/>
      <c r="BB882" s="147"/>
      <c r="BC882" s="147"/>
      <c r="BD882" s="147"/>
      <c r="BE882" s="147"/>
      <c r="BF882" s="147"/>
      <c r="BG882" s="147"/>
      <c r="BH882" s="147"/>
      <c r="BI882" s="147"/>
      <c r="BJ882" s="147"/>
      <c r="BK882" s="147"/>
      <c r="BL882" s="147"/>
      <c r="BM882" s="147"/>
      <c r="BN882" s="147"/>
      <c r="BO882" s="147"/>
      <c r="BP882" s="147"/>
    </row>
    <row r="883" spans="1:68">
      <c r="A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c r="AC883" s="147"/>
      <c r="AD883" s="147"/>
      <c r="AE883" s="147"/>
      <c r="AF883" s="147"/>
      <c r="AG883" s="147"/>
      <c r="AH883" s="147"/>
      <c r="AI883" s="147"/>
      <c r="AJ883" s="147"/>
      <c r="AK883" s="147"/>
      <c r="AL883" s="147"/>
      <c r="AM883" s="147"/>
      <c r="AN883" s="147"/>
      <c r="AO883" s="147"/>
      <c r="AP883" s="147"/>
      <c r="AQ883" s="147"/>
      <c r="AR883" s="147"/>
      <c r="AS883" s="147"/>
      <c r="AT883" s="147"/>
      <c r="AU883" s="147"/>
      <c r="AV883" s="147"/>
      <c r="AW883" s="147"/>
      <c r="AX883" s="147"/>
      <c r="AY883" s="147"/>
      <c r="AZ883" s="147"/>
      <c r="BA883" s="147"/>
      <c r="BB883" s="147"/>
      <c r="BC883" s="147"/>
      <c r="BD883" s="147"/>
      <c r="BE883" s="147"/>
      <c r="BF883" s="147"/>
      <c r="BG883" s="147"/>
      <c r="BH883" s="147"/>
      <c r="BI883" s="147"/>
      <c r="BJ883" s="147"/>
      <c r="BK883" s="147"/>
      <c r="BL883" s="147"/>
      <c r="BM883" s="147"/>
      <c r="BN883" s="147"/>
      <c r="BO883" s="147"/>
      <c r="BP883" s="147"/>
    </row>
    <row r="884" spans="1:68">
      <c r="A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c r="AC884" s="147"/>
      <c r="AD884" s="147"/>
      <c r="AE884" s="147"/>
      <c r="AF884" s="147"/>
      <c r="AG884" s="147"/>
      <c r="AH884" s="147"/>
      <c r="AI884" s="147"/>
      <c r="AJ884" s="147"/>
      <c r="AK884" s="147"/>
      <c r="AL884" s="147"/>
      <c r="AM884" s="147"/>
      <c r="AN884" s="147"/>
      <c r="AO884" s="147"/>
      <c r="AP884" s="147"/>
      <c r="AQ884" s="147"/>
      <c r="AR884" s="147"/>
      <c r="AS884" s="147"/>
      <c r="AT884" s="147"/>
      <c r="AU884" s="147"/>
      <c r="AV884" s="147"/>
      <c r="AW884" s="147"/>
      <c r="AX884" s="147"/>
      <c r="AY884" s="147"/>
      <c r="AZ884" s="147"/>
      <c r="BA884" s="147"/>
      <c r="BB884" s="147"/>
      <c r="BC884" s="147"/>
      <c r="BD884" s="147"/>
      <c r="BE884" s="147"/>
      <c r="BF884" s="147"/>
      <c r="BG884" s="147"/>
      <c r="BH884" s="147"/>
      <c r="BI884" s="147"/>
      <c r="BJ884" s="147"/>
      <c r="BK884" s="147"/>
      <c r="BL884" s="147"/>
      <c r="BM884" s="147"/>
      <c r="BN884" s="147"/>
      <c r="BO884" s="147"/>
      <c r="BP884" s="147"/>
    </row>
    <row r="885" spans="1:68">
      <c r="A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c r="AC885" s="147"/>
      <c r="AD885" s="147"/>
      <c r="AE885" s="147"/>
      <c r="AF885" s="147"/>
      <c r="AG885" s="147"/>
      <c r="AH885" s="147"/>
      <c r="AI885" s="147"/>
      <c r="AJ885" s="147"/>
      <c r="AK885" s="147"/>
      <c r="AL885" s="147"/>
      <c r="AM885" s="147"/>
      <c r="AN885" s="147"/>
      <c r="AO885" s="147"/>
      <c r="AP885" s="147"/>
      <c r="AQ885" s="147"/>
      <c r="AR885" s="147"/>
      <c r="AS885" s="147"/>
      <c r="AT885" s="147"/>
      <c r="AU885" s="147"/>
      <c r="AV885" s="147"/>
      <c r="AW885" s="147"/>
      <c r="AX885" s="147"/>
      <c r="AY885" s="147"/>
      <c r="AZ885" s="147"/>
      <c r="BA885" s="147"/>
      <c r="BB885" s="147"/>
      <c r="BC885" s="147"/>
      <c r="BD885" s="147"/>
      <c r="BE885" s="147"/>
      <c r="BF885" s="147"/>
      <c r="BG885" s="147"/>
      <c r="BH885" s="147"/>
      <c r="BI885" s="147"/>
      <c r="BJ885" s="147"/>
      <c r="BK885" s="147"/>
      <c r="BL885" s="147"/>
      <c r="BM885" s="147"/>
      <c r="BN885" s="147"/>
      <c r="BO885" s="147"/>
      <c r="BP885" s="147"/>
    </row>
    <row r="886" spans="1:68">
      <c r="A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c r="AC886" s="147"/>
      <c r="AD886" s="147"/>
      <c r="AE886" s="147"/>
      <c r="AF886" s="147"/>
      <c r="AG886" s="147"/>
      <c r="AH886" s="147"/>
      <c r="AI886" s="147"/>
      <c r="AJ886" s="147"/>
      <c r="AK886" s="147"/>
      <c r="AL886" s="147"/>
      <c r="AM886" s="147"/>
      <c r="AN886" s="147"/>
      <c r="AO886" s="147"/>
      <c r="AP886" s="147"/>
      <c r="AQ886" s="147"/>
      <c r="AR886" s="147"/>
      <c r="AS886" s="147"/>
      <c r="AT886" s="147"/>
      <c r="AU886" s="147"/>
      <c r="AV886" s="147"/>
      <c r="AW886" s="147"/>
      <c r="AX886" s="147"/>
      <c r="AY886" s="147"/>
      <c r="AZ886" s="147"/>
      <c r="BA886" s="147"/>
      <c r="BB886" s="147"/>
      <c r="BC886" s="147"/>
      <c r="BD886" s="147"/>
      <c r="BE886" s="147"/>
      <c r="BF886" s="147"/>
      <c r="BG886" s="147"/>
      <c r="BH886" s="147"/>
      <c r="BI886" s="147"/>
      <c r="BJ886" s="147"/>
      <c r="BK886" s="147"/>
      <c r="BL886" s="147"/>
      <c r="BM886" s="147"/>
      <c r="BN886" s="147"/>
      <c r="BO886" s="147"/>
      <c r="BP886" s="147"/>
    </row>
    <row r="887" spans="1:68">
      <c r="A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147"/>
      <c r="AN887" s="147"/>
      <c r="AO887" s="147"/>
      <c r="AP887" s="147"/>
      <c r="AQ887" s="147"/>
      <c r="AR887" s="147"/>
      <c r="AS887" s="147"/>
      <c r="AT887" s="147"/>
      <c r="AU887" s="147"/>
      <c r="AV887" s="147"/>
      <c r="AW887" s="147"/>
      <c r="AX887" s="147"/>
      <c r="AY887" s="147"/>
      <c r="AZ887" s="147"/>
      <c r="BA887" s="147"/>
      <c r="BB887" s="147"/>
      <c r="BC887" s="147"/>
      <c r="BD887" s="147"/>
      <c r="BE887" s="147"/>
      <c r="BF887" s="147"/>
      <c r="BG887" s="147"/>
      <c r="BH887" s="147"/>
      <c r="BI887" s="147"/>
      <c r="BJ887" s="147"/>
      <c r="BK887" s="147"/>
      <c r="BL887" s="147"/>
      <c r="BM887" s="147"/>
      <c r="BN887" s="147"/>
      <c r="BO887" s="147"/>
      <c r="BP887" s="147"/>
    </row>
    <row r="888" spans="1:68">
      <c r="A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147"/>
      <c r="AN888" s="147"/>
      <c r="AO888" s="147"/>
      <c r="AP888" s="147"/>
      <c r="AQ888" s="147"/>
      <c r="AR888" s="147"/>
      <c r="AS888" s="147"/>
      <c r="AT888" s="147"/>
      <c r="AU888" s="147"/>
      <c r="AV888" s="147"/>
      <c r="AW888" s="147"/>
      <c r="AX888" s="147"/>
      <c r="AY888" s="147"/>
      <c r="AZ888" s="147"/>
      <c r="BA888" s="147"/>
      <c r="BB888" s="147"/>
      <c r="BC888" s="147"/>
      <c r="BD888" s="147"/>
      <c r="BE888" s="147"/>
      <c r="BF888" s="147"/>
      <c r="BG888" s="147"/>
      <c r="BH888" s="147"/>
      <c r="BI888" s="147"/>
      <c r="BJ888" s="147"/>
      <c r="BK888" s="147"/>
      <c r="BL888" s="147"/>
      <c r="BM888" s="147"/>
      <c r="BN888" s="147"/>
      <c r="BO888" s="147"/>
      <c r="BP888" s="147"/>
    </row>
    <row r="889" spans="1:68">
      <c r="A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c r="AC889" s="147"/>
      <c r="AD889" s="147"/>
      <c r="AE889" s="147"/>
      <c r="AF889" s="147"/>
      <c r="AG889" s="147"/>
      <c r="AH889" s="147"/>
      <c r="AI889" s="147"/>
      <c r="AJ889" s="147"/>
      <c r="AK889" s="147"/>
      <c r="AL889" s="147"/>
      <c r="AM889" s="147"/>
      <c r="AN889" s="147"/>
      <c r="AO889" s="147"/>
      <c r="AP889" s="147"/>
      <c r="AQ889" s="147"/>
      <c r="AR889" s="147"/>
      <c r="AS889" s="147"/>
      <c r="AT889" s="147"/>
      <c r="AU889" s="147"/>
      <c r="AV889" s="147"/>
      <c r="AW889" s="147"/>
      <c r="AX889" s="147"/>
      <c r="AY889" s="147"/>
      <c r="AZ889" s="147"/>
      <c r="BA889" s="147"/>
      <c r="BB889" s="147"/>
      <c r="BC889" s="147"/>
      <c r="BD889" s="147"/>
      <c r="BE889" s="147"/>
      <c r="BF889" s="147"/>
      <c r="BG889" s="147"/>
      <c r="BH889" s="147"/>
      <c r="BI889" s="147"/>
      <c r="BJ889" s="147"/>
      <c r="BK889" s="147"/>
      <c r="BL889" s="147"/>
      <c r="BM889" s="147"/>
      <c r="BN889" s="147"/>
      <c r="BO889" s="147"/>
      <c r="BP889" s="147"/>
    </row>
    <row r="890" spans="1:68">
      <c r="A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c r="AC890" s="147"/>
      <c r="AD890" s="147"/>
      <c r="AE890" s="147"/>
      <c r="AF890" s="147"/>
      <c r="AG890" s="147"/>
      <c r="AH890" s="147"/>
      <c r="AI890" s="147"/>
      <c r="AJ890" s="147"/>
      <c r="AK890" s="147"/>
      <c r="AL890" s="147"/>
      <c r="AM890" s="147"/>
      <c r="AN890" s="147"/>
      <c r="AO890" s="147"/>
      <c r="AP890" s="147"/>
      <c r="AQ890" s="147"/>
      <c r="AR890" s="147"/>
      <c r="AS890" s="147"/>
      <c r="AT890" s="147"/>
      <c r="AU890" s="147"/>
      <c r="AV890" s="147"/>
      <c r="AW890" s="147"/>
      <c r="AX890" s="147"/>
      <c r="AY890" s="147"/>
      <c r="AZ890" s="147"/>
      <c r="BA890" s="147"/>
      <c r="BB890" s="147"/>
      <c r="BC890" s="147"/>
      <c r="BD890" s="147"/>
      <c r="BE890" s="147"/>
      <c r="BF890" s="147"/>
      <c r="BG890" s="147"/>
      <c r="BH890" s="147"/>
      <c r="BI890" s="147"/>
      <c r="BJ890" s="147"/>
      <c r="BK890" s="147"/>
      <c r="BL890" s="147"/>
      <c r="BM890" s="147"/>
      <c r="BN890" s="147"/>
      <c r="BO890" s="147"/>
      <c r="BP890" s="147"/>
    </row>
    <row r="891" spans="1:68">
      <c r="A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c r="AC891" s="147"/>
      <c r="AD891" s="147"/>
      <c r="AE891" s="147"/>
      <c r="AF891" s="147"/>
      <c r="AG891" s="147"/>
      <c r="AH891" s="147"/>
      <c r="AI891" s="147"/>
      <c r="AJ891" s="147"/>
      <c r="AK891" s="147"/>
      <c r="AL891" s="147"/>
      <c r="AM891" s="147"/>
      <c r="AN891" s="147"/>
      <c r="AO891" s="147"/>
      <c r="AP891" s="147"/>
      <c r="AQ891" s="147"/>
      <c r="AR891" s="147"/>
      <c r="AS891" s="147"/>
      <c r="AT891" s="147"/>
      <c r="AU891" s="147"/>
      <c r="AV891" s="147"/>
      <c r="AW891" s="147"/>
      <c r="AX891" s="147"/>
      <c r="AY891" s="147"/>
      <c r="AZ891" s="147"/>
      <c r="BA891" s="147"/>
      <c r="BB891" s="147"/>
      <c r="BC891" s="147"/>
      <c r="BD891" s="147"/>
      <c r="BE891" s="147"/>
      <c r="BF891" s="147"/>
      <c r="BG891" s="147"/>
      <c r="BH891" s="147"/>
      <c r="BI891" s="147"/>
      <c r="BJ891" s="147"/>
      <c r="BK891" s="147"/>
      <c r="BL891" s="147"/>
      <c r="BM891" s="147"/>
      <c r="BN891" s="147"/>
      <c r="BO891" s="147"/>
      <c r="BP891" s="147"/>
    </row>
    <row r="892" spans="1:68">
      <c r="A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c r="AC892" s="147"/>
      <c r="AD892" s="147"/>
      <c r="AE892" s="147"/>
      <c r="AF892" s="147"/>
      <c r="AG892" s="147"/>
      <c r="AH892" s="147"/>
      <c r="AI892" s="147"/>
      <c r="AJ892" s="147"/>
      <c r="AK892" s="147"/>
      <c r="AL892" s="147"/>
      <c r="AM892" s="147"/>
      <c r="AN892" s="147"/>
      <c r="AO892" s="147"/>
      <c r="AP892" s="147"/>
      <c r="AQ892" s="147"/>
      <c r="AR892" s="147"/>
      <c r="AS892" s="147"/>
      <c r="AT892" s="147"/>
      <c r="AU892" s="147"/>
      <c r="AV892" s="147"/>
      <c r="AW892" s="147"/>
      <c r="AX892" s="147"/>
      <c r="AY892" s="147"/>
      <c r="AZ892" s="147"/>
      <c r="BA892" s="147"/>
      <c r="BB892" s="147"/>
      <c r="BC892" s="147"/>
      <c r="BD892" s="147"/>
      <c r="BE892" s="147"/>
      <c r="BF892" s="147"/>
      <c r="BG892" s="147"/>
      <c r="BH892" s="147"/>
      <c r="BI892" s="147"/>
      <c r="BJ892" s="147"/>
      <c r="BK892" s="147"/>
      <c r="BL892" s="147"/>
      <c r="BM892" s="147"/>
      <c r="BN892" s="147"/>
      <c r="BO892" s="147"/>
      <c r="BP892" s="147"/>
    </row>
    <row r="893" spans="1:68">
      <c r="A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c r="AC893" s="147"/>
      <c r="AD893" s="147"/>
      <c r="AE893" s="147"/>
      <c r="AF893" s="147"/>
      <c r="AG893" s="147"/>
      <c r="AH893" s="147"/>
      <c r="AI893" s="147"/>
      <c r="AJ893" s="147"/>
      <c r="AK893" s="147"/>
      <c r="AL893" s="147"/>
      <c r="AM893" s="147"/>
      <c r="AN893" s="147"/>
      <c r="AO893" s="147"/>
      <c r="AP893" s="147"/>
      <c r="AQ893" s="147"/>
      <c r="AR893" s="147"/>
      <c r="AS893" s="147"/>
      <c r="AT893" s="147"/>
      <c r="AU893" s="147"/>
      <c r="AV893" s="147"/>
      <c r="AW893" s="147"/>
      <c r="AX893" s="147"/>
      <c r="AY893" s="147"/>
      <c r="AZ893" s="147"/>
      <c r="BA893" s="147"/>
      <c r="BB893" s="147"/>
      <c r="BC893" s="147"/>
      <c r="BD893" s="147"/>
      <c r="BE893" s="147"/>
      <c r="BF893" s="147"/>
      <c r="BG893" s="147"/>
      <c r="BH893" s="147"/>
      <c r="BI893" s="147"/>
      <c r="BJ893" s="147"/>
      <c r="BK893" s="147"/>
      <c r="BL893" s="147"/>
      <c r="BM893" s="147"/>
      <c r="BN893" s="147"/>
      <c r="BO893" s="147"/>
      <c r="BP893" s="147"/>
    </row>
    <row r="894" spans="1:68">
      <c r="A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c r="AC894" s="147"/>
      <c r="AD894" s="147"/>
      <c r="AE894" s="147"/>
      <c r="AF894" s="147"/>
      <c r="AG894" s="147"/>
      <c r="AH894" s="147"/>
      <c r="AI894" s="147"/>
      <c r="AJ894" s="147"/>
      <c r="AK894" s="147"/>
      <c r="AL894" s="147"/>
      <c r="AM894" s="147"/>
      <c r="AN894" s="147"/>
      <c r="AO894" s="147"/>
      <c r="AP894" s="147"/>
      <c r="AQ894" s="147"/>
      <c r="AR894" s="147"/>
      <c r="AS894" s="147"/>
      <c r="AT894" s="147"/>
      <c r="AU894" s="147"/>
      <c r="AV894" s="147"/>
      <c r="AW894" s="147"/>
      <c r="AX894" s="147"/>
      <c r="AY894" s="147"/>
      <c r="AZ894" s="147"/>
      <c r="BA894" s="147"/>
      <c r="BB894" s="147"/>
      <c r="BC894" s="147"/>
      <c r="BD894" s="147"/>
      <c r="BE894" s="147"/>
      <c r="BF894" s="147"/>
      <c r="BG894" s="147"/>
      <c r="BH894" s="147"/>
      <c r="BI894" s="147"/>
      <c r="BJ894" s="147"/>
      <c r="BK894" s="147"/>
      <c r="BL894" s="147"/>
      <c r="BM894" s="147"/>
      <c r="BN894" s="147"/>
      <c r="BO894" s="147"/>
      <c r="BP894" s="147"/>
    </row>
    <row r="895" spans="1:68">
      <c r="A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c r="AC895" s="147"/>
      <c r="AD895" s="147"/>
      <c r="AE895" s="147"/>
      <c r="AF895" s="147"/>
      <c r="AG895" s="147"/>
      <c r="AH895" s="147"/>
      <c r="AI895" s="147"/>
      <c r="AJ895" s="147"/>
      <c r="AK895" s="147"/>
      <c r="AL895" s="147"/>
      <c r="AM895" s="147"/>
      <c r="AN895" s="147"/>
      <c r="AO895" s="147"/>
      <c r="AP895" s="147"/>
      <c r="AQ895" s="147"/>
      <c r="AR895" s="147"/>
      <c r="AS895" s="147"/>
      <c r="AT895" s="147"/>
      <c r="AU895" s="147"/>
      <c r="AV895" s="147"/>
      <c r="AW895" s="147"/>
      <c r="AX895" s="147"/>
      <c r="AY895" s="147"/>
      <c r="AZ895" s="147"/>
      <c r="BA895" s="147"/>
      <c r="BB895" s="147"/>
      <c r="BC895" s="147"/>
      <c r="BD895" s="147"/>
      <c r="BE895" s="147"/>
      <c r="BF895" s="147"/>
      <c r="BG895" s="147"/>
      <c r="BH895" s="147"/>
      <c r="BI895" s="147"/>
      <c r="BJ895" s="147"/>
      <c r="BK895" s="147"/>
      <c r="BL895" s="147"/>
      <c r="BM895" s="147"/>
      <c r="BN895" s="147"/>
      <c r="BO895" s="147"/>
      <c r="BP895" s="147"/>
    </row>
    <row r="896" spans="1:68">
      <c r="A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c r="AC896" s="147"/>
      <c r="AD896" s="147"/>
      <c r="AE896" s="147"/>
      <c r="AF896" s="147"/>
      <c r="AG896" s="147"/>
      <c r="AH896" s="147"/>
      <c r="AI896" s="147"/>
      <c r="AJ896" s="147"/>
      <c r="AK896" s="147"/>
      <c r="AL896" s="147"/>
      <c r="AM896" s="147"/>
      <c r="AN896" s="147"/>
      <c r="AO896" s="147"/>
      <c r="AP896" s="147"/>
      <c r="AQ896" s="147"/>
      <c r="AR896" s="147"/>
      <c r="AS896" s="147"/>
      <c r="AT896" s="147"/>
      <c r="AU896" s="147"/>
      <c r="AV896" s="147"/>
      <c r="AW896" s="147"/>
      <c r="AX896" s="147"/>
      <c r="AY896" s="147"/>
      <c r="AZ896" s="147"/>
      <c r="BA896" s="147"/>
      <c r="BB896" s="147"/>
      <c r="BC896" s="147"/>
      <c r="BD896" s="147"/>
      <c r="BE896" s="147"/>
      <c r="BF896" s="147"/>
      <c r="BG896" s="147"/>
      <c r="BH896" s="147"/>
      <c r="BI896" s="147"/>
      <c r="BJ896" s="147"/>
      <c r="BK896" s="147"/>
      <c r="BL896" s="147"/>
      <c r="BM896" s="147"/>
      <c r="BN896" s="147"/>
      <c r="BO896" s="147"/>
      <c r="BP896" s="147"/>
    </row>
    <row r="897" spans="1:68">
      <c r="A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c r="AC897" s="147"/>
      <c r="AD897" s="147"/>
      <c r="AE897" s="147"/>
      <c r="AF897" s="147"/>
      <c r="AG897" s="147"/>
      <c r="AH897" s="147"/>
      <c r="AI897" s="147"/>
      <c r="AJ897" s="147"/>
      <c r="AK897" s="147"/>
      <c r="AL897" s="147"/>
      <c r="AM897" s="147"/>
      <c r="AN897" s="147"/>
      <c r="AO897" s="147"/>
      <c r="AP897" s="147"/>
      <c r="AQ897" s="147"/>
      <c r="AR897" s="147"/>
      <c r="AS897" s="147"/>
      <c r="AT897" s="147"/>
      <c r="AU897" s="147"/>
      <c r="AV897" s="147"/>
      <c r="AW897" s="147"/>
      <c r="AX897" s="147"/>
      <c r="AY897" s="147"/>
      <c r="AZ897" s="147"/>
      <c r="BA897" s="147"/>
      <c r="BB897" s="147"/>
      <c r="BC897" s="147"/>
      <c r="BD897" s="147"/>
      <c r="BE897" s="147"/>
      <c r="BF897" s="147"/>
      <c r="BG897" s="147"/>
      <c r="BH897" s="147"/>
      <c r="BI897" s="147"/>
      <c r="BJ897" s="147"/>
      <c r="BK897" s="147"/>
      <c r="BL897" s="147"/>
      <c r="BM897" s="147"/>
      <c r="BN897" s="147"/>
      <c r="BO897" s="147"/>
      <c r="BP897" s="147"/>
    </row>
    <row r="898" spans="1:68">
      <c r="A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c r="AC898" s="147"/>
      <c r="AD898" s="147"/>
      <c r="AE898" s="147"/>
      <c r="AF898" s="147"/>
      <c r="AG898" s="147"/>
      <c r="AH898" s="147"/>
      <c r="AI898" s="147"/>
      <c r="AJ898" s="147"/>
      <c r="AK898" s="147"/>
      <c r="AL898" s="147"/>
      <c r="AM898" s="147"/>
      <c r="AN898" s="147"/>
      <c r="AO898" s="147"/>
      <c r="AP898" s="147"/>
      <c r="AQ898" s="147"/>
      <c r="AR898" s="147"/>
      <c r="AS898" s="147"/>
      <c r="AT898" s="147"/>
      <c r="AU898" s="147"/>
      <c r="AV898" s="147"/>
      <c r="AW898" s="147"/>
      <c r="AX898" s="147"/>
      <c r="AY898" s="147"/>
      <c r="AZ898" s="147"/>
      <c r="BA898" s="147"/>
      <c r="BB898" s="147"/>
      <c r="BC898" s="147"/>
      <c r="BD898" s="147"/>
      <c r="BE898" s="147"/>
      <c r="BF898" s="147"/>
      <c r="BG898" s="147"/>
      <c r="BH898" s="147"/>
      <c r="BI898" s="147"/>
      <c r="BJ898" s="147"/>
      <c r="BK898" s="147"/>
      <c r="BL898" s="147"/>
      <c r="BM898" s="147"/>
      <c r="BN898" s="147"/>
      <c r="BO898" s="147"/>
      <c r="BP898" s="147"/>
    </row>
    <row r="899" spans="1:68">
      <c r="A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c r="AC899" s="147"/>
      <c r="AD899" s="147"/>
      <c r="AE899" s="147"/>
      <c r="AF899" s="147"/>
      <c r="AG899" s="147"/>
      <c r="AH899" s="147"/>
      <c r="AI899" s="147"/>
      <c r="AJ899" s="147"/>
      <c r="AK899" s="147"/>
      <c r="AL899" s="147"/>
      <c r="AM899" s="147"/>
      <c r="AN899" s="147"/>
      <c r="AO899" s="147"/>
      <c r="AP899" s="147"/>
      <c r="AQ899" s="147"/>
      <c r="AR899" s="147"/>
      <c r="AS899" s="147"/>
      <c r="AT899" s="147"/>
      <c r="AU899" s="147"/>
      <c r="AV899" s="147"/>
      <c r="AW899" s="147"/>
      <c r="AX899" s="147"/>
      <c r="AY899" s="147"/>
      <c r="AZ899" s="147"/>
      <c r="BA899" s="147"/>
      <c r="BB899" s="147"/>
      <c r="BC899" s="147"/>
      <c r="BD899" s="147"/>
      <c r="BE899" s="147"/>
      <c r="BF899" s="147"/>
      <c r="BG899" s="147"/>
      <c r="BH899" s="147"/>
      <c r="BI899" s="147"/>
      <c r="BJ899" s="147"/>
      <c r="BK899" s="147"/>
      <c r="BL899" s="147"/>
      <c r="BM899" s="147"/>
      <c r="BN899" s="147"/>
      <c r="BO899" s="147"/>
      <c r="BP899" s="147"/>
    </row>
    <row r="900" spans="1:68">
      <c r="A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c r="AC900" s="147"/>
      <c r="AD900" s="147"/>
      <c r="AE900" s="147"/>
      <c r="AF900" s="147"/>
      <c r="AG900" s="147"/>
      <c r="AH900" s="147"/>
      <c r="AI900" s="147"/>
      <c r="AJ900" s="147"/>
      <c r="AK900" s="147"/>
      <c r="AL900" s="147"/>
      <c r="AM900" s="147"/>
      <c r="AN900" s="147"/>
      <c r="AO900" s="147"/>
      <c r="AP900" s="147"/>
      <c r="AQ900" s="147"/>
      <c r="AR900" s="147"/>
      <c r="AS900" s="147"/>
      <c r="AT900" s="147"/>
      <c r="AU900" s="147"/>
      <c r="AV900" s="147"/>
      <c r="AW900" s="147"/>
      <c r="AX900" s="147"/>
      <c r="AY900" s="147"/>
      <c r="AZ900" s="147"/>
      <c r="BA900" s="147"/>
      <c r="BB900" s="147"/>
      <c r="BC900" s="147"/>
      <c r="BD900" s="147"/>
      <c r="BE900" s="147"/>
      <c r="BF900" s="147"/>
      <c r="BG900" s="147"/>
      <c r="BH900" s="147"/>
      <c r="BI900" s="147"/>
      <c r="BJ900" s="147"/>
      <c r="BK900" s="147"/>
      <c r="BL900" s="147"/>
      <c r="BM900" s="147"/>
      <c r="BN900" s="147"/>
      <c r="BO900" s="147"/>
      <c r="BP900" s="147"/>
    </row>
    <row r="901" spans="1:68">
      <c r="A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c r="AC901" s="147"/>
      <c r="AD901" s="147"/>
      <c r="AE901" s="147"/>
      <c r="AF901" s="147"/>
      <c r="AG901" s="147"/>
      <c r="AH901" s="147"/>
      <c r="AI901" s="147"/>
      <c r="AJ901" s="147"/>
      <c r="AK901" s="147"/>
      <c r="AL901" s="147"/>
      <c r="AM901" s="147"/>
      <c r="AN901" s="147"/>
      <c r="AO901" s="147"/>
      <c r="AP901" s="147"/>
      <c r="AQ901" s="147"/>
      <c r="AR901" s="147"/>
      <c r="AS901" s="147"/>
      <c r="AT901" s="147"/>
      <c r="AU901" s="147"/>
      <c r="AV901" s="147"/>
      <c r="AW901" s="147"/>
      <c r="AX901" s="147"/>
      <c r="AY901" s="147"/>
      <c r="AZ901" s="147"/>
      <c r="BA901" s="147"/>
      <c r="BB901" s="147"/>
      <c r="BC901" s="147"/>
      <c r="BD901" s="147"/>
      <c r="BE901" s="147"/>
      <c r="BF901" s="147"/>
      <c r="BG901" s="147"/>
      <c r="BH901" s="147"/>
      <c r="BI901" s="147"/>
      <c r="BJ901" s="147"/>
      <c r="BK901" s="147"/>
      <c r="BL901" s="147"/>
      <c r="BM901" s="147"/>
      <c r="BN901" s="147"/>
      <c r="BO901" s="147"/>
      <c r="BP901" s="147"/>
    </row>
    <row r="902" spans="1:68">
      <c r="A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c r="AC902" s="147"/>
      <c r="AD902" s="147"/>
      <c r="AE902" s="147"/>
      <c r="AF902" s="147"/>
      <c r="AG902" s="147"/>
      <c r="AH902" s="147"/>
      <c r="AI902" s="147"/>
      <c r="AJ902" s="147"/>
      <c r="AK902" s="147"/>
      <c r="AL902" s="147"/>
      <c r="AM902" s="147"/>
      <c r="AN902" s="147"/>
      <c r="AO902" s="147"/>
      <c r="AP902" s="147"/>
      <c r="AQ902" s="147"/>
      <c r="AR902" s="147"/>
      <c r="AS902" s="147"/>
      <c r="AT902" s="147"/>
      <c r="AU902" s="147"/>
      <c r="AV902" s="147"/>
      <c r="AW902" s="147"/>
      <c r="AX902" s="147"/>
      <c r="AY902" s="147"/>
      <c r="AZ902" s="147"/>
      <c r="BA902" s="147"/>
      <c r="BB902" s="147"/>
      <c r="BC902" s="147"/>
      <c r="BD902" s="147"/>
      <c r="BE902" s="147"/>
      <c r="BF902" s="147"/>
      <c r="BG902" s="147"/>
      <c r="BH902" s="147"/>
      <c r="BI902" s="147"/>
      <c r="BJ902" s="147"/>
      <c r="BK902" s="147"/>
      <c r="BL902" s="147"/>
      <c r="BM902" s="147"/>
      <c r="BN902" s="147"/>
      <c r="BO902" s="147"/>
      <c r="BP902" s="147"/>
    </row>
    <row r="903" spans="1:68">
      <c r="A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c r="AC903" s="147"/>
      <c r="AD903" s="147"/>
      <c r="AE903" s="147"/>
      <c r="AF903" s="147"/>
      <c r="AG903" s="147"/>
      <c r="AH903" s="147"/>
      <c r="AI903" s="147"/>
      <c r="AJ903" s="147"/>
      <c r="AK903" s="147"/>
      <c r="AL903" s="147"/>
      <c r="AM903" s="147"/>
      <c r="AN903" s="147"/>
      <c r="AO903" s="147"/>
      <c r="AP903" s="147"/>
      <c r="AQ903" s="147"/>
      <c r="AR903" s="147"/>
      <c r="AS903" s="147"/>
      <c r="AT903" s="147"/>
      <c r="AU903" s="147"/>
      <c r="AV903" s="147"/>
      <c r="AW903" s="147"/>
      <c r="AX903" s="147"/>
      <c r="AY903" s="147"/>
      <c r="AZ903" s="147"/>
      <c r="BA903" s="147"/>
      <c r="BB903" s="147"/>
      <c r="BC903" s="147"/>
      <c r="BD903" s="147"/>
      <c r="BE903" s="147"/>
      <c r="BF903" s="147"/>
      <c r="BG903" s="147"/>
      <c r="BH903" s="147"/>
      <c r="BI903" s="147"/>
      <c r="BJ903" s="147"/>
      <c r="BK903" s="147"/>
      <c r="BL903" s="147"/>
      <c r="BM903" s="147"/>
      <c r="BN903" s="147"/>
      <c r="BO903" s="147"/>
      <c r="BP903" s="147"/>
    </row>
    <row r="904" spans="1:68">
      <c r="A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c r="AC904" s="147"/>
      <c r="AD904" s="147"/>
      <c r="AE904" s="147"/>
      <c r="AF904" s="147"/>
      <c r="AG904" s="147"/>
      <c r="AH904" s="147"/>
      <c r="AI904" s="147"/>
      <c r="AJ904" s="147"/>
      <c r="AK904" s="147"/>
      <c r="AL904" s="147"/>
      <c r="AM904" s="147"/>
      <c r="AN904" s="147"/>
      <c r="AO904" s="147"/>
      <c r="AP904" s="147"/>
      <c r="AQ904" s="147"/>
      <c r="AR904" s="147"/>
      <c r="AS904" s="147"/>
      <c r="AT904" s="147"/>
      <c r="AU904" s="147"/>
      <c r="AV904" s="147"/>
      <c r="AW904" s="147"/>
      <c r="AX904" s="147"/>
      <c r="AY904" s="147"/>
      <c r="AZ904" s="147"/>
      <c r="BA904" s="147"/>
      <c r="BB904" s="147"/>
      <c r="BC904" s="147"/>
      <c r="BD904" s="147"/>
      <c r="BE904" s="147"/>
      <c r="BF904" s="147"/>
      <c r="BG904" s="147"/>
      <c r="BH904" s="147"/>
      <c r="BI904" s="147"/>
      <c r="BJ904" s="147"/>
      <c r="BK904" s="147"/>
      <c r="BL904" s="147"/>
      <c r="BM904" s="147"/>
      <c r="BN904" s="147"/>
      <c r="BO904" s="147"/>
      <c r="BP904" s="147"/>
    </row>
    <row r="905" spans="1:68">
      <c r="A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c r="AC905" s="147"/>
      <c r="AD905" s="147"/>
      <c r="AE905" s="147"/>
      <c r="AF905" s="147"/>
      <c r="AG905" s="147"/>
      <c r="AH905" s="147"/>
      <c r="AI905" s="147"/>
      <c r="AJ905" s="147"/>
      <c r="AK905" s="147"/>
      <c r="AL905" s="147"/>
      <c r="AM905" s="147"/>
      <c r="AN905" s="147"/>
      <c r="AO905" s="147"/>
      <c r="AP905" s="147"/>
      <c r="AQ905" s="147"/>
      <c r="AR905" s="147"/>
      <c r="AS905" s="147"/>
      <c r="AT905" s="147"/>
      <c r="AU905" s="147"/>
      <c r="AV905" s="147"/>
      <c r="AW905" s="147"/>
      <c r="AX905" s="147"/>
      <c r="AY905" s="147"/>
      <c r="AZ905" s="147"/>
      <c r="BA905" s="147"/>
      <c r="BB905" s="147"/>
      <c r="BC905" s="147"/>
      <c r="BD905" s="147"/>
      <c r="BE905" s="147"/>
      <c r="BF905" s="147"/>
      <c r="BG905" s="147"/>
      <c r="BH905" s="147"/>
      <c r="BI905" s="147"/>
      <c r="BJ905" s="147"/>
      <c r="BK905" s="147"/>
      <c r="BL905" s="147"/>
      <c r="BM905" s="147"/>
      <c r="BN905" s="147"/>
      <c r="BO905" s="147"/>
      <c r="BP905" s="147"/>
    </row>
    <row r="906" spans="1:68">
      <c r="A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c r="AC906" s="147"/>
      <c r="AD906" s="147"/>
      <c r="AE906" s="147"/>
      <c r="AF906" s="147"/>
      <c r="AG906" s="147"/>
      <c r="AH906" s="147"/>
      <c r="AI906" s="147"/>
      <c r="AJ906" s="147"/>
      <c r="AK906" s="147"/>
      <c r="AL906" s="147"/>
      <c r="AM906" s="147"/>
      <c r="AN906" s="147"/>
      <c r="AO906" s="147"/>
      <c r="AP906" s="147"/>
      <c r="AQ906" s="147"/>
      <c r="AR906" s="147"/>
      <c r="AS906" s="147"/>
      <c r="AT906" s="147"/>
      <c r="AU906" s="147"/>
      <c r="AV906" s="147"/>
      <c r="AW906" s="147"/>
      <c r="AX906" s="147"/>
      <c r="AY906" s="147"/>
      <c r="AZ906" s="147"/>
      <c r="BA906" s="147"/>
      <c r="BB906" s="147"/>
      <c r="BC906" s="147"/>
      <c r="BD906" s="147"/>
      <c r="BE906" s="147"/>
      <c r="BF906" s="147"/>
      <c r="BG906" s="147"/>
      <c r="BH906" s="147"/>
      <c r="BI906" s="147"/>
      <c r="BJ906" s="147"/>
      <c r="BK906" s="147"/>
      <c r="BL906" s="147"/>
      <c r="BM906" s="147"/>
      <c r="BN906" s="147"/>
      <c r="BO906" s="147"/>
      <c r="BP906" s="147"/>
    </row>
    <row r="907" spans="1:68">
      <c r="A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c r="AC907" s="147"/>
      <c r="AD907" s="147"/>
      <c r="AE907" s="147"/>
      <c r="AF907" s="147"/>
      <c r="AG907" s="147"/>
      <c r="AH907" s="147"/>
      <c r="AI907" s="147"/>
      <c r="AJ907" s="147"/>
      <c r="AK907" s="147"/>
      <c r="AL907" s="147"/>
      <c r="AM907" s="147"/>
      <c r="AN907" s="147"/>
      <c r="AO907" s="147"/>
      <c r="AP907" s="147"/>
      <c r="AQ907" s="147"/>
      <c r="AR907" s="147"/>
      <c r="AS907" s="147"/>
      <c r="AT907" s="147"/>
      <c r="AU907" s="147"/>
      <c r="AV907" s="147"/>
      <c r="AW907" s="147"/>
      <c r="AX907" s="147"/>
      <c r="AY907" s="147"/>
      <c r="AZ907" s="147"/>
      <c r="BA907" s="147"/>
      <c r="BB907" s="147"/>
      <c r="BC907" s="147"/>
      <c r="BD907" s="147"/>
      <c r="BE907" s="147"/>
      <c r="BF907" s="147"/>
      <c r="BG907" s="147"/>
      <c r="BH907" s="147"/>
      <c r="BI907" s="147"/>
      <c r="BJ907" s="147"/>
      <c r="BK907" s="147"/>
      <c r="BL907" s="147"/>
      <c r="BM907" s="147"/>
      <c r="BN907" s="147"/>
      <c r="BO907" s="147"/>
      <c r="BP907" s="147"/>
    </row>
    <row r="908" spans="1:68">
      <c r="A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c r="AC908" s="147"/>
      <c r="AD908" s="147"/>
      <c r="AE908" s="147"/>
      <c r="AF908" s="147"/>
      <c r="AG908" s="147"/>
      <c r="AH908" s="147"/>
      <c r="AI908" s="147"/>
      <c r="AJ908" s="147"/>
      <c r="AK908" s="147"/>
      <c r="AL908" s="147"/>
      <c r="AM908" s="147"/>
      <c r="AN908" s="147"/>
      <c r="AO908" s="147"/>
      <c r="AP908" s="147"/>
      <c r="AQ908" s="147"/>
      <c r="AR908" s="147"/>
      <c r="AS908" s="147"/>
      <c r="AT908" s="147"/>
      <c r="AU908" s="147"/>
      <c r="AV908" s="147"/>
      <c r="AW908" s="147"/>
      <c r="AX908" s="147"/>
      <c r="AY908" s="147"/>
      <c r="AZ908" s="147"/>
      <c r="BA908" s="147"/>
      <c r="BB908" s="147"/>
      <c r="BC908" s="147"/>
      <c r="BD908" s="147"/>
      <c r="BE908" s="147"/>
      <c r="BF908" s="147"/>
      <c r="BG908" s="147"/>
      <c r="BH908" s="147"/>
      <c r="BI908" s="147"/>
      <c r="BJ908" s="147"/>
      <c r="BK908" s="147"/>
      <c r="BL908" s="147"/>
      <c r="BM908" s="147"/>
      <c r="BN908" s="147"/>
      <c r="BO908" s="147"/>
      <c r="BP908" s="147"/>
    </row>
    <row r="909" spans="1:68">
      <c r="A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c r="AC909" s="147"/>
      <c r="AD909" s="147"/>
      <c r="AE909" s="147"/>
      <c r="AF909" s="147"/>
      <c r="AG909" s="147"/>
      <c r="AH909" s="147"/>
      <c r="AI909" s="147"/>
      <c r="AJ909" s="147"/>
      <c r="AK909" s="147"/>
      <c r="AL909" s="147"/>
      <c r="AM909" s="147"/>
      <c r="AN909" s="147"/>
      <c r="AO909" s="147"/>
      <c r="AP909" s="147"/>
      <c r="AQ909" s="147"/>
      <c r="AR909" s="147"/>
      <c r="AS909" s="147"/>
      <c r="AT909" s="147"/>
      <c r="AU909" s="147"/>
      <c r="AV909" s="147"/>
      <c r="AW909" s="147"/>
      <c r="AX909" s="147"/>
      <c r="AY909" s="147"/>
      <c r="AZ909" s="147"/>
      <c r="BA909" s="147"/>
      <c r="BB909" s="147"/>
      <c r="BC909" s="147"/>
      <c r="BD909" s="147"/>
      <c r="BE909" s="147"/>
      <c r="BF909" s="147"/>
      <c r="BG909" s="147"/>
      <c r="BH909" s="147"/>
      <c r="BI909" s="147"/>
      <c r="BJ909" s="147"/>
      <c r="BK909" s="147"/>
      <c r="BL909" s="147"/>
      <c r="BM909" s="147"/>
      <c r="BN909" s="147"/>
      <c r="BO909" s="147"/>
      <c r="BP909" s="147"/>
    </row>
    <row r="910" spans="1:68">
      <c r="A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c r="AC910" s="147"/>
      <c r="AD910" s="147"/>
      <c r="AE910" s="147"/>
      <c r="AF910" s="147"/>
      <c r="AG910" s="147"/>
      <c r="AH910" s="147"/>
      <c r="AI910" s="147"/>
      <c r="AJ910" s="147"/>
      <c r="AK910" s="147"/>
      <c r="AL910" s="147"/>
      <c r="AM910" s="147"/>
      <c r="AN910" s="147"/>
      <c r="AO910" s="147"/>
      <c r="AP910" s="147"/>
      <c r="AQ910" s="147"/>
      <c r="AR910" s="147"/>
      <c r="AS910" s="147"/>
      <c r="AT910" s="147"/>
      <c r="AU910" s="147"/>
      <c r="AV910" s="147"/>
      <c r="AW910" s="147"/>
      <c r="AX910" s="147"/>
      <c r="AY910" s="147"/>
      <c r="AZ910" s="147"/>
      <c r="BA910" s="147"/>
      <c r="BB910" s="147"/>
      <c r="BC910" s="147"/>
      <c r="BD910" s="147"/>
      <c r="BE910" s="147"/>
      <c r="BF910" s="147"/>
      <c r="BG910" s="147"/>
      <c r="BH910" s="147"/>
      <c r="BI910" s="147"/>
      <c r="BJ910" s="147"/>
      <c r="BK910" s="147"/>
      <c r="BL910" s="147"/>
      <c r="BM910" s="147"/>
      <c r="BN910" s="147"/>
      <c r="BO910" s="147"/>
      <c r="BP910" s="147"/>
    </row>
    <row r="911" spans="1:68">
      <c r="A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c r="AC911" s="147"/>
      <c r="AD911" s="147"/>
      <c r="AE911" s="147"/>
      <c r="AF911" s="147"/>
      <c r="AG911" s="147"/>
      <c r="AH911" s="147"/>
      <c r="AI911" s="147"/>
      <c r="AJ911" s="147"/>
      <c r="AK911" s="147"/>
      <c r="AL911" s="147"/>
      <c r="AM911" s="147"/>
      <c r="AN911" s="147"/>
      <c r="AO911" s="147"/>
      <c r="AP911" s="147"/>
      <c r="AQ911" s="147"/>
      <c r="AR911" s="147"/>
      <c r="AS911" s="147"/>
      <c r="AT911" s="147"/>
      <c r="AU911" s="147"/>
      <c r="AV911" s="147"/>
      <c r="AW911" s="147"/>
      <c r="AX911" s="147"/>
      <c r="AY911" s="147"/>
      <c r="AZ911" s="147"/>
      <c r="BA911" s="147"/>
      <c r="BB911" s="147"/>
      <c r="BC911" s="147"/>
      <c r="BD911" s="147"/>
      <c r="BE911" s="147"/>
      <c r="BF911" s="147"/>
      <c r="BG911" s="147"/>
      <c r="BH911" s="147"/>
      <c r="BI911" s="147"/>
      <c r="BJ911" s="147"/>
      <c r="BK911" s="147"/>
      <c r="BL911" s="147"/>
      <c r="BM911" s="147"/>
      <c r="BN911" s="147"/>
      <c r="BO911" s="147"/>
      <c r="BP911" s="147"/>
    </row>
    <row r="912" spans="1:68">
      <c r="A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c r="AC912" s="147"/>
      <c r="AD912" s="147"/>
      <c r="AE912" s="147"/>
      <c r="AF912" s="147"/>
      <c r="AG912" s="147"/>
      <c r="AH912" s="147"/>
      <c r="AI912" s="147"/>
      <c r="AJ912" s="147"/>
      <c r="AK912" s="147"/>
      <c r="AL912" s="147"/>
      <c r="AM912" s="147"/>
      <c r="AN912" s="147"/>
      <c r="AO912" s="147"/>
      <c r="AP912" s="147"/>
      <c r="AQ912" s="147"/>
      <c r="AR912" s="147"/>
      <c r="AS912" s="147"/>
      <c r="AT912" s="147"/>
      <c r="AU912" s="147"/>
      <c r="AV912" s="147"/>
      <c r="AW912" s="147"/>
      <c r="AX912" s="147"/>
      <c r="AY912" s="147"/>
      <c r="AZ912" s="147"/>
      <c r="BA912" s="147"/>
      <c r="BB912" s="147"/>
      <c r="BC912" s="147"/>
      <c r="BD912" s="147"/>
      <c r="BE912" s="147"/>
      <c r="BF912" s="147"/>
      <c r="BG912" s="147"/>
      <c r="BH912" s="147"/>
      <c r="BI912" s="147"/>
      <c r="BJ912" s="147"/>
      <c r="BK912" s="147"/>
      <c r="BL912" s="147"/>
      <c r="BM912" s="147"/>
      <c r="BN912" s="147"/>
      <c r="BO912" s="147"/>
      <c r="BP912" s="147"/>
    </row>
    <row r="913" spans="1:68">
      <c r="A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c r="AC913" s="147"/>
      <c r="AD913" s="147"/>
      <c r="AE913" s="147"/>
      <c r="AF913" s="147"/>
      <c r="AG913" s="147"/>
      <c r="AH913" s="147"/>
      <c r="AI913" s="147"/>
      <c r="AJ913" s="147"/>
      <c r="AK913" s="147"/>
      <c r="AL913" s="147"/>
      <c r="AM913" s="147"/>
      <c r="AN913" s="147"/>
      <c r="AO913" s="147"/>
      <c r="AP913" s="147"/>
      <c r="AQ913" s="147"/>
      <c r="AR913" s="147"/>
      <c r="AS913" s="147"/>
      <c r="AT913" s="147"/>
      <c r="AU913" s="147"/>
      <c r="AV913" s="147"/>
      <c r="AW913" s="147"/>
      <c r="AX913" s="147"/>
      <c r="AY913" s="147"/>
      <c r="AZ913" s="147"/>
      <c r="BA913" s="147"/>
      <c r="BB913" s="147"/>
      <c r="BC913" s="147"/>
      <c r="BD913" s="147"/>
      <c r="BE913" s="147"/>
      <c r="BF913" s="147"/>
      <c r="BG913" s="147"/>
      <c r="BH913" s="147"/>
      <c r="BI913" s="147"/>
      <c r="BJ913" s="147"/>
      <c r="BK913" s="147"/>
      <c r="BL913" s="147"/>
      <c r="BM913" s="147"/>
      <c r="BN913" s="147"/>
      <c r="BO913" s="147"/>
      <c r="BP913" s="147"/>
    </row>
    <row r="914" spans="1:68">
      <c r="A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c r="AC914" s="147"/>
      <c r="AD914" s="147"/>
      <c r="AE914" s="147"/>
      <c r="AF914" s="147"/>
      <c r="AG914" s="147"/>
      <c r="AH914" s="147"/>
      <c r="AI914" s="147"/>
      <c r="AJ914" s="147"/>
      <c r="AK914" s="147"/>
      <c r="AL914" s="147"/>
      <c r="AM914" s="147"/>
      <c r="AN914" s="147"/>
      <c r="AO914" s="147"/>
      <c r="AP914" s="147"/>
      <c r="AQ914" s="147"/>
      <c r="AR914" s="147"/>
      <c r="AS914" s="147"/>
      <c r="AT914" s="147"/>
      <c r="AU914" s="147"/>
      <c r="AV914" s="147"/>
      <c r="AW914" s="147"/>
      <c r="AX914" s="147"/>
      <c r="AY914" s="147"/>
      <c r="AZ914" s="147"/>
      <c r="BA914" s="147"/>
      <c r="BB914" s="147"/>
      <c r="BC914" s="147"/>
      <c r="BD914" s="147"/>
      <c r="BE914" s="147"/>
      <c r="BF914" s="147"/>
      <c r="BG914" s="147"/>
      <c r="BH914" s="147"/>
      <c r="BI914" s="147"/>
      <c r="BJ914" s="147"/>
      <c r="BK914" s="147"/>
      <c r="BL914" s="147"/>
      <c r="BM914" s="147"/>
      <c r="BN914" s="147"/>
      <c r="BO914" s="147"/>
      <c r="BP914" s="147"/>
    </row>
    <row r="915" spans="1:68">
      <c r="A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c r="AC915" s="147"/>
      <c r="AD915" s="147"/>
      <c r="AE915" s="147"/>
      <c r="AF915" s="147"/>
      <c r="AG915" s="147"/>
      <c r="AH915" s="147"/>
      <c r="AI915" s="147"/>
      <c r="AJ915" s="147"/>
      <c r="AK915" s="147"/>
      <c r="AL915" s="147"/>
      <c r="AM915" s="147"/>
      <c r="AN915" s="147"/>
      <c r="AO915" s="147"/>
      <c r="AP915" s="147"/>
      <c r="AQ915" s="147"/>
      <c r="AR915" s="147"/>
      <c r="AS915" s="147"/>
      <c r="AT915" s="147"/>
      <c r="AU915" s="147"/>
      <c r="AV915" s="147"/>
      <c r="AW915" s="147"/>
      <c r="AX915" s="147"/>
      <c r="AY915" s="147"/>
      <c r="AZ915" s="147"/>
      <c r="BA915" s="147"/>
      <c r="BB915" s="147"/>
      <c r="BC915" s="147"/>
      <c r="BD915" s="147"/>
      <c r="BE915" s="147"/>
      <c r="BF915" s="147"/>
      <c r="BG915" s="147"/>
      <c r="BH915" s="147"/>
      <c r="BI915" s="147"/>
      <c r="BJ915" s="147"/>
      <c r="BK915" s="147"/>
      <c r="BL915" s="147"/>
      <c r="BM915" s="147"/>
      <c r="BN915" s="147"/>
      <c r="BO915" s="147"/>
      <c r="BP915" s="147"/>
    </row>
    <row r="916" spans="1:68">
      <c r="A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c r="AC916" s="147"/>
      <c r="AD916" s="147"/>
      <c r="AE916" s="147"/>
      <c r="AF916" s="147"/>
      <c r="AG916" s="147"/>
      <c r="AH916" s="147"/>
      <c r="AI916" s="147"/>
      <c r="AJ916" s="147"/>
      <c r="AK916" s="147"/>
      <c r="AL916" s="147"/>
      <c r="AM916" s="147"/>
      <c r="AN916" s="147"/>
      <c r="AO916" s="147"/>
      <c r="AP916" s="147"/>
      <c r="AQ916" s="147"/>
      <c r="AR916" s="147"/>
      <c r="AS916" s="147"/>
      <c r="AT916" s="147"/>
      <c r="AU916" s="147"/>
      <c r="AV916" s="147"/>
      <c r="AW916" s="147"/>
      <c r="AX916" s="147"/>
      <c r="AY916" s="147"/>
      <c r="AZ916" s="147"/>
      <c r="BA916" s="147"/>
      <c r="BB916" s="147"/>
      <c r="BC916" s="147"/>
      <c r="BD916" s="147"/>
      <c r="BE916" s="147"/>
      <c r="BF916" s="147"/>
      <c r="BG916" s="147"/>
      <c r="BH916" s="147"/>
      <c r="BI916" s="147"/>
      <c r="BJ916" s="147"/>
      <c r="BK916" s="147"/>
      <c r="BL916" s="147"/>
      <c r="BM916" s="147"/>
      <c r="BN916" s="147"/>
      <c r="BO916" s="147"/>
      <c r="BP916" s="147"/>
    </row>
    <row r="917" spans="1:68">
      <c r="A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c r="AC917" s="147"/>
      <c r="AD917" s="147"/>
      <c r="AE917" s="147"/>
      <c r="AF917" s="147"/>
      <c r="AG917" s="147"/>
      <c r="AH917" s="147"/>
      <c r="AI917" s="147"/>
      <c r="AJ917" s="147"/>
      <c r="AK917" s="147"/>
      <c r="AL917" s="147"/>
      <c r="AM917" s="147"/>
      <c r="AN917" s="147"/>
      <c r="AO917" s="147"/>
      <c r="AP917" s="147"/>
      <c r="AQ917" s="147"/>
      <c r="AR917" s="147"/>
      <c r="AS917" s="147"/>
      <c r="AT917" s="147"/>
      <c r="AU917" s="147"/>
      <c r="AV917" s="147"/>
      <c r="AW917" s="147"/>
      <c r="AX917" s="147"/>
      <c r="AY917" s="147"/>
      <c r="AZ917" s="147"/>
      <c r="BA917" s="147"/>
      <c r="BB917" s="147"/>
      <c r="BC917" s="147"/>
      <c r="BD917" s="147"/>
      <c r="BE917" s="147"/>
      <c r="BF917" s="147"/>
      <c r="BG917" s="147"/>
      <c r="BH917" s="147"/>
      <c r="BI917" s="147"/>
      <c r="BJ917" s="147"/>
      <c r="BK917" s="147"/>
      <c r="BL917" s="147"/>
      <c r="BM917" s="147"/>
      <c r="BN917" s="147"/>
      <c r="BO917" s="147"/>
      <c r="BP917" s="147"/>
    </row>
    <row r="918" spans="1:68">
      <c r="A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c r="AC918" s="147"/>
      <c r="AD918" s="147"/>
      <c r="AE918" s="147"/>
      <c r="AF918" s="147"/>
      <c r="AG918" s="147"/>
      <c r="AH918" s="147"/>
      <c r="AI918" s="147"/>
      <c r="AJ918" s="147"/>
      <c r="AK918" s="147"/>
      <c r="AL918" s="147"/>
      <c r="AM918" s="147"/>
      <c r="AN918" s="147"/>
      <c r="AO918" s="147"/>
      <c r="AP918" s="147"/>
      <c r="AQ918" s="147"/>
      <c r="AR918" s="147"/>
      <c r="AS918" s="147"/>
      <c r="AT918" s="147"/>
      <c r="AU918" s="147"/>
      <c r="AV918" s="147"/>
      <c r="AW918" s="147"/>
      <c r="AX918" s="147"/>
      <c r="AY918" s="147"/>
      <c r="AZ918" s="147"/>
      <c r="BA918" s="147"/>
      <c r="BB918" s="147"/>
      <c r="BC918" s="147"/>
      <c r="BD918" s="147"/>
      <c r="BE918" s="147"/>
      <c r="BF918" s="147"/>
      <c r="BG918" s="147"/>
      <c r="BH918" s="147"/>
      <c r="BI918" s="147"/>
      <c r="BJ918" s="147"/>
      <c r="BK918" s="147"/>
      <c r="BL918" s="147"/>
      <c r="BM918" s="147"/>
      <c r="BN918" s="147"/>
      <c r="BO918" s="147"/>
      <c r="BP918" s="147"/>
    </row>
    <row r="919" spans="1:68">
      <c r="A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c r="AC919" s="147"/>
      <c r="AD919" s="147"/>
      <c r="AE919" s="147"/>
      <c r="AF919" s="147"/>
      <c r="AG919" s="147"/>
      <c r="AH919" s="147"/>
      <c r="AI919" s="147"/>
      <c r="AJ919" s="147"/>
      <c r="AK919" s="147"/>
      <c r="AL919" s="147"/>
      <c r="AM919" s="147"/>
      <c r="AN919" s="147"/>
      <c r="AO919" s="147"/>
      <c r="AP919" s="147"/>
      <c r="AQ919" s="147"/>
      <c r="AR919" s="147"/>
      <c r="AS919" s="147"/>
      <c r="AT919" s="147"/>
      <c r="AU919" s="147"/>
      <c r="AV919" s="147"/>
      <c r="AW919" s="147"/>
      <c r="AX919" s="147"/>
      <c r="AY919" s="147"/>
      <c r="AZ919" s="147"/>
      <c r="BA919" s="147"/>
      <c r="BB919" s="147"/>
      <c r="BC919" s="147"/>
      <c r="BD919" s="147"/>
      <c r="BE919" s="147"/>
      <c r="BF919" s="147"/>
      <c r="BG919" s="147"/>
      <c r="BH919" s="147"/>
      <c r="BI919" s="147"/>
      <c r="BJ919" s="147"/>
      <c r="BK919" s="147"/>
      <c r="BL919" s="147"/>
      <c r="BM919" s="147"/>
      <c r="BN919" s="147"/>
      <c r="BO919" s="147"/>
      <c r="BP919" s="147"/>
    </row>
    <row r="920" spans="1:68">
      <c r="A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c r="AC920" s="147"/>
      <c r="AD920" s="147"/>
      <c r="AE920" s="147"/>
      <c r="AF920" s="147"/>
      <c r="AG920" s="147"/>
      <c r="AH920" s="147"/>
      <c r="AI920" s="147"/>
      <c r="AJ920" s="147"/>
      <c r="AK920" s="147"/>
      <c r="AL920" s="147"/>
      <c r="AM920" s="147"/>
      <c r="AN920" s="147"/>
      <c r="AO920" s="147"/>
      <c r="AP920" s="147"/>
      <c r="AQ920" s="147"/>
      <c r="AR920" s="147"/>
      <c r="AS920" s="147"/>
      <c r="AT920" s="147"/>
      <c r="AU920" s="147"/>
      <c r="AV920" s="147"/>
      <c r="AW920" s="147"/>
      <c r="AX920" s="147"/>
      <c r="AY920" s="147"/>
      <c r="AZ920" s="147"/>
      <c r="BA920" s="147"/>
      <c r="BB920" s="147"/>
      <c r="BC920" s="147"/>
      <c r="BD920" s="147"/>
      <c r="BE920" s="147"/>
      <c r="BF920" s="147"/>
      <c r="BG920" s="147"/>
      <c r="BH920" s="147"/>
      <c r="BI920" s="147"/>
      <c r="BJ920" s="147"/>
      <c r="BK920" s="147"/>
      <c r="BL920" s="147"/>
      <c r="BM920" s="147"/>
      <c r="BN920" s="147"/>
      <c r="BO920" s="147"/>
      <c r="BP920" s="147"/>
    </row>
    <row r="921" spans="1:68">
      <c r="A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c r="AC921" s="147"/>
      <c r="AD921" s="147"/>
      <c r="AE921" s="147"/>
      <c r="AF921" s="147"/>
      <c r="AG921" s="147"/>
      <c r="AH921" s="147"/>
      <c r="AI921" s="147"/>
      <c r="AJ921" s="147"/>
      <c r="AK921" s="147"/>
      <c r="AL921" s="147"/>
      <c r="AM921" s="147"/>
      <c r="AN921" s="147"/>
      <c r="AO921" s="147"/>
      <c r="AP921" s="147"/>
      <c r="AQ921" s="147"/>
      <c r="AR921" s="147"/>
      <c r="AS921" s="147"/>
      <c r="AT921" s="147"/>
      <c r="AU921" s="147"/>
      <c r="AV921" s="147"/>
      <c r="AW921" s="147"/>
      <c r="AX921" s="147"/>
      <c r="AY921" s="147"/>
      <c r="AZ921" s="147"/>
      <c r="BA921" s="147"/>
      <c r="BB921" s="147"/>
      <c r="BC921" s="147"/>
      <c r="BD921" s="147"/>
      <c r="BE921" s="147"/>
      <c r="BF921" s="147"/>
      <c r="BG921" s="147"/>
      <c r="BH921" s="147"/>
      <c r="BI921" s="147"/>
      <c r="BJ921" s="147"/>
      <c r="BK921" s="147"/>
      <c r="BL921" s="147"/>
      <c r="BM921" s="147"/>
      <c r="BN921" s="147"/>
      <c r="BO921" s="147"/>
      <c r="BP921" s="147"/>
    </row>
    <row r="922" spans="1:68">
      <c r="A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c r="AC922" s="147"/>
      <c r="AD922" s="147"/>
      <c r="AE922" s="147"/>
      <c r="AF922" s="147"/>
      <c r="AG922" s="147"/>
      <c r="AH922" s="147"/>
      <c r="AI922" s="147"/>
      <c r="AJ922" s="147"/>
      <c r="AK922" s="147"/>
      <c r="AL922" s="147"/>
      <c r="AM922" s="147"/>
      <c r="AN922" s="147"/>
      <c r="AO922" s="147"/>
      <c r="AP922" s="147"/>
      <c r="AQ922" s="147"/>
      <c r="AR922" s="147"/>
      <c r="AS922" s="147"/>
      <c r="AT922" s="147"/>
      <c r="AU922" s="147"/>
      <c r="AV922" s="147"/>
      <c r="AW922" s="147"/>
      <c r="AX922" s="147"/>
      <c r="AY922" s="147"/>
      <c r="AZ922" s="147"/>
      <c r="BA922" s="147"/>
      <c r="BB922" s="147"/>
      <c r="BC922" s="147"/>
      <c r="BD922" s="147"/>
      <c r="BE922" s="147"/>
      <c r="BF922" s="147"/>
      <c r="BG922" s="147"/>
      <c r="BH922" s="147"/>
      <c r="BI922" s="147"/>
      <c r="BJ922" s="147"/>
      <c r="BK922" s="147"/>
      <c r="BL922" s="147"/>
      <c r="BM922" s="147"/>
      <c r="BN922" s="147"/>
      <c r="BO922" s="147"/>
      <c r="BP922" s="147"/>
    </row>
    <row r="923" spans="1:68">
      <c r="A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c r="AC923" s="147"/>
      <c r="AD923" s="147"/>
      <c r="AE923" s="147"/>
      <c r="AF923" s="147"/>
      <c r="AG923" s="147"/>
      <c r="AH923" s="147"/>
      <c r="AI923" s="147"/>
      <c r="AJ923" s="147"/>
      <c r="AK923" s="147"/>
      <c r="AL923" s="147"/>
      <c r="AM923" s="147"/>
      <c r="AN923" s="147"/>
      <c r="AO923" s="147"/>
      <c r="AP923" s="147"/>
      <c r="AQ923" s="147"/>
      <c r="AR923" s="147"/>
      <c r="AS923" s="147"/>
      <c r="AT923" s="147"/>
      <c r="AU923" s="147"/>
      <c r="AV923" s="147"/>
      <c r="AW923" s="147"/>
      <c r="AX923" s="147"/>
      <c r="AY923" s="147"/>
      <c r="AZ923" s="147"/>
      <c r="BA923" s="147"/>
      <c r="BB923" s="147"/>
      <c r="BC923" s="147"/>
      <c r="BD923" s="147"/>
      <c r="BE923" s="147"/>
      <c r="BF923" s="147"/>
      <c r="BG923" s="147"/>
      <c r="BH923" s="147"/>
      <c r="BI923" s="147"/>
      <c r="BJ923" s="147"/>
      <c r="BK923" s="147"/>
      <c r="BL923" s="147"/>
      <c r="BM923" s="147"/>
      <c r="BN923" s="147"/>
      <c r="BO923" s="147"/>
      <c r="BP923" s="147"/>
    </row>
    <row r="924" spans="1:68">
      <c r="A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c r="AC924" s="147"/>
      <c r="AD924" s="147"/>
      <c r="AE924" s="147"/>
      <c r="AF924" s="147"/>
      <c r="AG924" s="147"/>
      <c r="AH924" s="147"/>
      <c r="AI924" s="147"/>
      <c r="AJ924" s="147"/>
      <c r="AK924" s="147"/>
      <c r="AL924" s="147"/>
      <c r="AM924" s="147"/>
      <c r="AN924" s="147"/>
      <c r="AO924" s="147"/>
      <c r="AP924" s="147"/>
      <c r="AQ924" s="147"/>
      <c r="AR924" s="147"/>
      <c r="AS924" s="147"/>
      <c r="AT924" s="147"/>
      <c r="AU924" s="147"/>
      <c r="AV924" s="147"/>
      <c r="AW924" s="147"/>
      <c r="AX924" s="147"/>
      <c r="AY924" s="147"/>
      <c r="AZ924" s="147"/>
      <c r="BA924" s="147"/>
      <c r="BB924" s="147"/>
      <c r="BC924" s="147"/>
      <c r="BD924" s="147"/>
      <c r="BE924" s="147"/>
      <c r="BF924" s="147"/>
      <c r="BG924" s="147"/>
      <c r="BH924" s="147"/>
      <c r="BI924" s="147"/>
      <c r="BJ924" s="147"/>
      <c r="BK924" s="147"/>
      <c r="BL924" s="147"/>
      <c r="BM924" s="147"/>
      <c r="BN924" s="147"/>
      <c r="BO924" s="147"/>
      <c r="BP924" s="147"/>
    </row>
    <row r="925" spans="1:68">
      <c r="A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c r="AC925" s="147"/>
      <c r="AD925" s="147"/>
      <c r="AE925" s="147"/>
      <c r="AF925" s="147"/>
      <c r="AG925" s="147"/>
      <c r="AH925" s="147"/>
      <c r="AI925" s="147"/>
      <c r="AJ925" s="147"/>
      <c r="AK925" s="147"/>
      <c r="AL925" s="147"/>
      <c r="AM925" s="147"/>
      <c r="AN925" s="147"/>
      <c r="AO925" s="147"/>
      <c r="AP925" s="147"/>
      <c r="AQ925" s="147"/>
      <c r="AR925" s="147"/>
      <c r="AS925" s="147"/>
      <c r="AT925" s="147"/>
      <c r="AU925" s="147"/>
      <c r="AV925" s="147"/>
      <c r="AW925" s="147"/>
      <c r="AX925" s="147"/>
      <c r="AY925" s="147"/>
      <c r="AZ925" s="147"/>
      <c r="BA925" s="147"/>
      <c r="BB925" s="147"/>
      <c r="BC925" s="147"/>
      <c r="BD925" s="147"/>
      <c r="BE925" s="147"/>
      <c r="BF925" s="147"/>
      <c r="BG925" s="147"/>
      <c r="BH925" s="147"/>
      <c r="BI925" s="147"/>
      <c r="BJ925" s="147"/>
      <c r="BK925" s="147"/>
      <c r="BL925" s="147"/>
      <c r="BM925" s="147"/>
      <c r="BN925" s="147"/>
      <c r="BO925" s="147"/>
      <c r="BP925" s="147"/>
    </row>
    <row r="926" spans="1:68">
      <c r="A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c r="AC926" s="147"/>
      <c r="AD926" s="147"/>
      <c r="AE926" s="147"/>
      <c r="AF926" s="147"/>
      <c r="AG926" s="147"/>
      <c r="AH926" s="147"/>
      <c r="AI926" s="147"/>
      <c r="AJ926" s="147"/>
      <c r="AK926" s="147"/>
      <c r="AL926" s="147"/>
      <c r="AM926" s="147"/>
      <c r="AN926" s="147"/>
      <c r="AO926" s="147"/>
      <c r="AP926" s="147"/>
      <c r="AQ926" s="147"/>
      <c r="AR926" s="147"/>
      <c r="AS926" s="147"/>
      <c r="AT926" s="147"/>
      <c r="AU926" s="147"/>
      <c r="AV926" s="147"/>
      <c r="AW926" s="147"/>
      <c r="AX926" s="147"/>
      <c r="AY926" s="147"/>
      <c r="AZ926" s="147"/>
      <c r="BA926" s="147"/>
      <c r="BB926" s="147"/>
      <c r="BC926" s="147"/>
      <c r="BD926" s="147"/>
      <c r="BE926" s="147"/>
      <c r="BF926" s="147"/>
      <c r="BG926" s="147"/>
      <c r="BH926" s="147"/>
      <c r="BI926" s="147"/>
      <c r="BJ926" s="147"/>
      <c r="BK926" s="147"/>
      <c r="BL926" s="147"/>
      <c r="BM926" s="147"/>
      <c r="BN926" s="147"/>
      <c r="BO926" s="147"/>
      <c r="BP926" s="147"/>
    </row>
    <row r="927" spans="1:68">
      <c r="A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c r="AC927" s="147"/>
      <c r="AD927" s="147"/>
      <c r="AE927" s="147"/>
      <c r="AF927" s="147"/>
      <c r="AG927" s="147"/>
      <c r="AH927" s="147"/>
      <c r="AI927" s="147"/>
      <c r="AJ927" s="147"/>
      <c r="AK927" s="147"/>
      <c r="AL927" s="147"/>
      <c r="AM927" s="147"/>
      <c r="AN927" s="147"/>
      <c r="AO927" s="147"/>
      <c r="AP927" s="147"/>
      <c r="AQ927" s="147"/>
      <c r="AR927" s="147"/>
      <c r="AS927" s="147"/>
      <c r="AT927" s="147"/>
      <c r="AU927" s="147"/>
      <c r="AV927" s="147"/>
      <c r="AW927" s="147"/>
      <c r="AX927" s="147"/>
      <c r="AY927" s="147"/>
      <c r="AZ927" s="147"/>
      <c r="BA927" s="147"/>
      <c r="BB927" s="147"/>
      <c r="BC927" s="147"/>
      <c r="BD927" s="147"/>
      <c r="BE927" s="147"/>
      <c r="BF927" s="147"/>
      <c r="BG927" s="147"/>
      <c r="BH927" s="147"/>
      <c r="BI927" s="147"/>
      <c r="BJ927" s="147"/>
      <c r="BK927" s="147"/>
      <c r="BL927" s="147"/>
      <c r="BM927" s="147"/>
      <c r="BN927" s="147"/>
      <c r="BO927" s="147"/>
      <c r="BP927" s="147"/>
    </row>
    <row r="928" spans="1:68">
      <c r="A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c r="AC928" s="147"/>
      <c r="AD928" s="147"/>
      <c r="AE928" s="147"/>
      <c r="AF928" s="147"/>
      <c r="AG928" s="147"/>
      <c r="AH928" s="147"/>
      <c r="AI928" s="147"/>
      <c r="AJ928" s="147"/>
      <c r="AK928" s="147"/>
      <c r="AL928" s="147"/>
      <c r="AM928" s="147"/>
      <c r="AN928" s="147"/>
      <c r="AO928" s="147"/>
      <c r="AP928" s="147"/>
      <c r="AQ928" s="147"/>
      <c r="AR928" s="147"/>
      <c r="AS928" s="147"/>
      <c r="AT928" s="147"/>
      <c r="AU928" s="147"/>
      <c r="AV928" s="147"/>
      <c r="AW928" s="147"/>
      <c r="AX928" s="147"/>
      <c r="AY928" s="147"/>
      <c r="AZ928" s="147"/>
      <c r="BA928" s="147"/>
      <c r="BB928" s="147"/>
      <c r="BC928" s="147"/>
      <c r="BD928" s="147"/>
      <c r="BE928" s="147"/>
      <c r="BF928" s="147"/>
      <c r="BG928" s="147"/>
      <c r="BH928" s="147"/>
      <c r="BI928" s="147"/>
      <c r="BJ928" s="147"/>
      <c r="BK928" s="147"/>
      <c r="BL928" s="147"/>
      <c r="BM928" s="147"/>
      <c r="BN928" s="147"/>
      <c r="BO928" s="147"/>
      <c r="BP928" s="147"/>
    </row>
    <row r="929" spans="1:68">
      <c r="A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c r="AC929" s="147"/>
      <c r="AD929" s="147"/>
      <c r="AE929" s="147"/>
      <c r="AF929" s="147"/>
      <c r="AG929" s="147"/>
      <c r="AH929" s="147"/>
      <c r="AI929" s="147"/>
      <c r="AJ929" s="147"/>
      <c r="AK929" s="147"/>
      <c r="AL929" s="147"/>
      <c r="AM929" s="147"/>
      <c r="AN929" s="147"/>
      <c r="AO929" s="147"/>
      <c r="AP929" s="147"/>
      <c r="AQ929" s="147"/>
      <c r="AR929" s="147"/>
      <c r="AS929" s="147"/>
      <c r="AT929" s="147"/>
      <c r="AU929" s="147"/>
      <c r="AV929" s="147"/>
      <c r="AW929" s="147"/>
      <c r="AX929" s="147"/>
      <c r="AY929" s="147"/>
      <c r="AZ929" s="147"/>
      <c r="BA929" s="147"/>
      <c r="BB929" s="147"/>
      <c r="BC929" s="147"/>
      <c r="BD929" s="147"/>
      <c r="BE929" s="147"/>
      <c r="BF929" s="147"/>
      <c r="BG929" s="147"/>
      <c r="BH929" s="147"/>
      <c r="BI929" s="147"/>
      <c r="BJ929" s="147"/>
      <c r="BK929" s="147"/>
      <c r="BL929" s="147"/>
      <c r="BM929" s="147"/>
      <c r="BN929" s="147"/>
      <c r="BO929" s="147"/>
      <c r="BP929" s="147"/>
    </row>
    <row r="930" spans="1:68">
      <c r="A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c r="AC930" s="147"/>
      <c r="AD930" s="147"/>
      <c r="AE930" s="147"/>
      <c r="AF930" s="147"/>
      <c r="AG930" s="147"/>
      <c r="AH930" s="147"/>
      <c r="AI930" s="147"/>
      <c r="AJ930" s="147"/>
      <c r="AK930" s="147"/>
      <c r="AL930" s="147"/>
      <c r="AM930" s="147"/>
      <c r="AN930" s="147"/>
      <c r="AO930" s="147"/>
      <c r="AP930" s="147"/>
      <c r="AQ930" s="147"/>
      <c r="AR930" s="147"/>
      <c r="AS930" s="147"/>
      <c r="AT930" s="147"/>
      <c r="AU930" s="147"/>
      <c r="AV930" s="147"/>
      <c r="AW930" s="147"/>
      <c r="AX930" s="147"/>
      <c r="AY930" s="147"/>
      <c r="AZ930" s="147"/>
      <c r="BA930" s="147"/>
      <c r="BB930" s="147"/>
      <c r="BC930" s="147"/>
      <c r="BD930" s="147"/>
      <c r="BE930" s="147"/>
      <c r="BF930" s="147"/>
      <c r="BG930" s="147"/>
      <c r="BH930" s="147"/>
      <c r="BI930" s="147"/>
      <c r="BJ930" s="147"/>
      <c r="BK930" s="147"/>
      <c r="BL930" s="147"/>
      <c r="BM930" s="147"/>
      <c r="BN930" s="147"/>
      <c r="BO930" s="147"/>
      <c r="BP930" s="147"/>
    </row>
    <row r="931" spans="1:68">
      <c r="A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c r="AC931" s="147"/>
      <c r="AD931" s="147"/>
      <c r="AE931" s="147"/>
      <c r="AF931" s="147"/>
      <c r="AG931" s="147"/>
      <c r="AH931" s="147"/>
      <c r="AI931" s="147"/>
      <c r="AJ931" s="147"/>
      <c r="AK931" s="147"/>
      <c r="AL931" s="147"/>
      <c r="AM931" s="147"/>
      <c r="AN931" s="147"/>
      <c r="AO931" s="147"/>
      <c r="AP931" s="147"/>
      <c r="AQ931" s="147"/>
      <c r="AR931" s="147"/>
      <c r="AS931" s="147"/>
      <c r="AT931" s="147"/>
      <c r="AU931" s="147"/>
      <c r="AV931" s="147"/>
      <c r="AW931" s="147"/>
      <c r="AX931" s="147"/>
      <c r="AY931" s="147"/>
      <c r="AZ931" s="147"/>
      <c r="BA931" s="147"/>
      <c r="BB931" s="147"/>
      <c r="BC931" s="147"/>
      <c r="BD931" s="147"/>
      <c r="BE931" s="147"/>
      <c r="BF931" s="147"/>
      <c r="BG931" s="147"/>
      <c r="BH931" s="147"/>
      <c r="BI931" s="147"/>
      <c r="BJ931" s="147"/>
      <c r="BK931" s="147"/>
      <c r="BL931" s="147"/>
      <c r="BM931" s="147"/>
      <c r="BN931" s="147"/>
      <c r="BO931" s="147"/>
      <c r="BP931" s="147"/>
    </row>
    <row r="932" spans="1:68">
      <c r="A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c r="AC932" s="147"/>
      <c r="AD932" s="147"/>
      <c r="AE932" s="147"/>
      <c r="AF932" s="147"/>
      <c r="AG932" s="147"/>
      <c r="AH932" s="147"/>
      <c r="AI932" s="147"/>
      <c r="AJ932" s="147"/>
      <c r="AK932" s="147"/>
      <c r="AL932" s="147"/>
      <c r="AM932" s="147"/>
      <c r="AN932" s="147"/>
      <c r="AO932" s="147"/>
      <c r="AP932" s="147"/>
      <c r="AQ932" s="147"/>
      <c r="AR932" s="147"/>
      <c r="AS932" s="147"/>
      <c r="AT932" s="147"/>
      <c r="AU932" s="147"/>
      <c r="AV932" s="147"/>
      <c r="AW932" s="147"/>
      <c r="AX932" s="147"/>
      <c r="AY932" s="147"/>
      <c r="AZ932" s="147"/>
      <c r="BA932" s="147"/>
      <c r="BB932" s="147"/>
      <c r="BC932" s="147"/>
      <c r="BD932" s="147"/>
      <c r="BE932" s="147"/>
      <c r="BF932" s="147"/>
      <c r="BG932" s="147"/>
      <c r="BH932" s="147"/>
      <c r="BI932" s="147"/>
      <c r="BJ932" s="147"/>
      <c r="BK932" s="147"/>
      <c r="BL932" s="147"/>
      <c r="BM932" s="147"/>
      <c r="BN932" s="147"/>
      <c r="BO932" s="147"/>
      <c r="BP932" s="147"/>
    </row>
    <row r="933" spans="1:68">
      <c r="A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c r="AC933" s="147"/>
      <c r="AD933" s="147"/>
      <c r="AE933" s="147"/>
      <c r="AF933" s="147"/>
      <c r="AG933" s="147"/>
      <c r="AH933" s="147"/>
      <c r="AI933" s="147"/>
      <c r="AJ933" s="147"/>
      <c r="AK933" s="147"/>
      <c r="AL933" s="147"/>
      <c r="AM933" s="147"/>
      <c r="AN933" s="147"/>
      <c r="AO933" s="147"/>
      <c r="AP933" s="147"/>
      <c r="AQ933" s="147"/>
      <c r="AR933" s="147"/>
      <c r="AS933" s="147"/>
      <c r="AT933" s="147"/>
      <c r="AU933" s="147"/>
      <c r="AV933" s="147"/>
      <c r="AW933" s="147"/>
      <c r="AX933" s="147"/>
      <c r="AY933" s="147"/>
      <c r="AZ933" s="147"/>
      <c r="BA933" s="147"/>
      <c r="BB933" s="147"/>
      <c r="BC933" s="147"/>
      <c r="BD933" s="147"/>
      <c r="BE933" s="147"/>
      <c r="BF933" s="147"/>
      <c r="BG933" s="147"/>
      <c r="BH933" s="147"/>
      <c r="BI933" s="147"/>
      <c r="BJ933" s="147"/>
      <c r="BK933" s="147"/>
      <c r="BL933" s="147"/>
      <c r="BM933" s="147"/>
      <c r="BN933" s="147"/>
      <c r="BO933" s="147"/>
      <c r="BP933" s="147"/>
    </row>
    <row r="934" spans="1:68">
      <c r="A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c r="AC934" s="147"/>
      <c r="AD934" s="147"/>
      <c r="AE934" s="147"/>
      <c r="AF934" s="147"/>
      <c r="AG934" s="147"/>
      <c r="AH934" s="147"/>
      <c r="AI934" s="147"/>
      <c r="AJ934" s="147"/>
      <c r="AK934" s="147"/>
      <c r="AL934" s="147"/>
      <c r="AM934" s="147"/>
      <c r="AN934" s="147"/>
      <c r="AO934" s="147"/>
      <c r="AP934" s="147"/>
      <c r="AQ934" s="147"/>
      <c r="AR934" s="147"/>
      <c r="AS934" s="147"/>
      <c r="AT934" s="147"/>
      <c r="AU934" s="147"/>
      <c r="AV934" s="147"/>
      <c r="AW934" s="147"/>
      <c r="AX934" s="147"/>
      <c r="AY934" s="147"/>
      <c r="AZ934" s="147"/>
      <c r="BA934" s="147"/>
      <c r="BB934" s="147"/>
      <c r="BC934" s="147"/>
      <c r="BD934" s="147"/>
      <c r="BE934" s="147"/>
      <c r="BF934" s="147"/>
      <c r="BG934" s="147"/>
      <c r="BH934" s="147"/>
      <c r="BI934" s="147"/>
      <c r="BJ934" s="147"/>
      <c r="BK934" s="147"/>
      <c r="BL934" s="147"/>
      <c r="BM934" s="147"/>
      <c r="BN934" s="147"/>
      <c r="BO934" s="147"/>
      <c r="BP934" s="147"/>
    </row>
    <row r="935" spans="1:68">
      <c r="A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c r="AC935" s="147"/>
      <c r="AD935" s="147"/>
      <c r="AE935" s="147"/>
      <c r="AF935" s="147"/>
      <c r="AG935" s="147"/>
      <c r="AH935" s="147"/>
      <c r="AI935" s="147"/>
      <c r="AJ935" s="147"/>
      <c r="AK935" s="147"/>
      <c r="AL935" s="147"/>
      <c r="AM935" s="147"/>
      <c r="AN935" s="147"/>
      <c r="AO935" s="147"/>
      <c r="AP935" s="147"/>
      <c r="AQ935" s="147"/>
      <c r="AR935" s="147"/>
      <c r="AS935" s="147"/>
      <c r="AT935" s="147"/>
      <c r="AU935" s="147"/>
      <c r="AV935" s="147"/>
      <c r="AW935" s="147"/>
      <c r="AX935" s="147"/>
      <c r="AY935" s="147"/>
      <c r="AZ935" s="147"/>
      <c r="BA935" s="147"/>
      <c r="BB935" s="147"/>
      <c r="BC935" s="147"/>
      <c r="BD935" s="147"/>
      <c r="BE935" s="147"/>
      <c r="BF935" s="147"/>
      <c r="BG935" s="147"/>
      <c r="BH935" s="147"/>
      <c r="BI935" s="147"/>
      <c r="BJ935" s="147"/>
      <c r="BK935" s="147"/>
      <c r="BL935" s="147"/>
      <c r="BM935" s="147"/>
      <c r="BN935" s="147"/>
      <c r="BO935" s="147"/>
      <c r="BP935" s="147"/>
    </row>
    <row r="936" spans="1:68">
      <c r="A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c r="AC936" s="147"/>
      <c r="AD936" s="147"/>
      <c r="AE936" s="147"/>
      <c r="AF936" s="147"/>
      <c r="AG936" s="147"/>
      <c r="AH936" s="147"/>
      <c r="AI936" s="147"/>
      <c r="AJ936" s="147"/>
      <c r="AK936" s="147"/>
      <c r="AL936" s="147"/>
      <c r="AM936" s="147"/>
      <c r="AN936" s="147"/>
      <c r="AO936" s="147"/>
      <c r="AP936" s="147"/>
      <c r="AQ936" s="147"/>
      <c r="AR936" s="147"/>
      <c r="AS936" s="147"/>
      <c r="AT936" s="147"/>
      <c r="AU936" s="147"/>
      <c r="AV936" s="147"/>
      <c r="AW936" s="147"/>
      <c r="AX936" s="147"/>
      <c r="AY936" s="147"/>
      <c r="AZ936" s="147"/>
      <c r="BA936" s="147"/>
      <c r="BB936" s="147"/>
      <c r="BC936" s="147"/>
      <c r="BD936" s="147"/>
      <c r="BE936" s="147"/>
      <c r="BF936" s="147"/>
      <c r="BG936" s="147"/>
      <c r="BH936" s="147"/>
      <c r="BI936" s="147"/>
      <c r="BJ936" s="147"/>
      <c r="BK936" s="147"/>
      <c r="BL936" s="147"/>
      <c r="BM936" s="147"/>
      <c r="BN936" s="147"/>
      <c r="BO936" s="147"/>
      <c r="BP936" s="147"/>
    </row>
    <row r="937" spans="1:68">
      <c r="A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c r="AC937" s="147"/>
      <c r="AD937" s="147"/>
      <c r="AE937" s="147"/>
      <c r="AF937" s="147"/>
      <c r="AG937" s="147"/>
      <c r="AH937" s="147"/>
      <c r="AI937" s="147"/>
      <c r="AJ937" s="147"/>
      <c r="AK937" s="147"/>
      <c r="AL937" s="147"/>
      <c r="AM937" s="147"/>
      <c r="AN937" s="147"/>
      <c r="AO937" s="147"/>
      <c r="AP937" s="147"/>
      <c r="AQ937" s="147"/>
      <c r="AR937" s="147"/>
      <c r="AS937" s="147"/>
      <c r="AT937" s="147"/>
      <c r="AU937" s="147"/>
      <c r="AV937" s="147"/>
      <c r="AW937" s="147"/>
      <c r="AX937" s="147"/>
      <c r="AY937" s="147"/>
      <c r="AZ937" s="147"/>
      <c r="BA937" s="147"/>
      <c r="BB937" s="147"/>
      <c r="BC937" s="147"/>
      <c r="BD937" s="147"/>
      <c r="BE937" s="147"/>
      <c r="BF937" s="147"/>
      <c r="BG937" s="147"/>
      <c r="BH937" s="147"/>
      <c r="BI937" s="147"/>
      <c r="BJ937" s="147"/>
      <c r="BK937" s="147"/>
      <c r="BL937" s="147"/>
      <c r="BM937" s="147"/>
      <c r="BN937" s="147"/>
      <c r="BO937" s="147"/>
      <c r="BP937" s="147"/>
    </row>
    <row r="938" spans="1:68">
      <c r="A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c r="AC938" s="147"/>
      <c r="AD938" s="147"/>
      <c r="AE938" s="147"/>
      <c r="AF938" s="147"/>
      <c r="AG938" s="147"/>
      <c r="AH938" s="147"/>
      <c r="AI938" s="147"/>
      <c r="AJ938" s="147"/>
      <c r="AK938" s="147"/>
      <c r="AL938" s="147"/>
      <c r="AM938" s="147"/>
      <c r="AN938" s="147"/>
      <c r="AO938" s="147"/>
      <c r="AP938" s="147"/>
      <c r="AQ938" s="147"/>
      <c r="AR938" s="147"/>
      <c r="AS938" s="147"/>
      <c r="AT938" s="147"/>
      <c r="AU938" s="147"/>
      <c r="AV938" s="147"/>
      <c r="AW938" s="147"/>
      <c r="AX938" s="147"/>
      <c r="AY938" s="147"/>
      <c r="AZ938" s="147"/>
      <c r="BA938" s="147"/>
      <c r="BB938" s="147"/>
      <c r="BC938" s="147"/>
      <c r="BD938" s="147"/>
      <c r="BE938" s="147"/>
      <c r="BF938" s="147"/>
      <c r="BG938" s="147"/>
      <c r="BH938" s="147"/>
      <c r="BI938" s="147"/>
      <c r="BJ938" s="147"/>
      <c r="BK938" s="147"/>
      <c r="BL938" s="147"/>
      <c r="BM938" s="147"/>
      <c r="BN938" s="147"/>
      <c r="BO938" s="147"/>
      <c r="BP938" s="147"/>
    </row>
    <row r="939" spans="1:68">
      <c r="A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c r="AC939" s="147"/>
      <c r="AD939" s="147"/>
      <c r="AE939" s="147"/>
      <c r="AF939" s="147"/>
      <c r="AG939" s="147"/>
      <c r="AH939" s="147"/>
      <c r="AI939" s="147"/>
      <c r="AJ939" s="147"/>
      <c r="AK939" s="147"/>
      <c r="AL939" s="147"/>
      <c r="AM939" s="147"/>
      <c r="AN939" s="147"/>
      <c r="AO939" s="147"/>
      <c r="AP939" s="147"/>
      <c r="AQ939" s="147"/>
      <c r="AR939" s="147"/>
      <c r="AS939" s="147"/>
      <c r="AT939" s="147"/>
      <c r="AU939" s="147"/>
      <c r="AV939" s="147"/>
      <c r="AW939" s="147"/>
      <c r="AX939" s="147"/>
      <c r="AY939" s="147"/>
      <c r="AZ939" s="147"/>
      <c r="BA939" s="147"/>
      <c r="BB939" s="147"/>
      <c r="BC939" s="147"/>
      <c r="BD939" s="147"/>
      <c r="BE939" s="147"/>
      <c r="BF939" s="147"/>
      <c r="BG939" s="147"/>
      <c r="BH939" s="147"/>
      <c r="BI939" s="147"/>
      <c r="BJ939" s="147"/>
      <c r="BK939" s="147"/>
      <c r="BL939" s="147"/>
      <c r="BM939" s="147"/>
      <c r="BN939" s="147"/>
      <c r="BO939" s="147"/>
      <c r="BP939" s="147"/>
    </row>
    <row r="940" spans="1:68">
      <c r="A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c r="AC940" s="147"/>
      <c r="AD940" s="147"/>
      <c r="AE940" s="147"/>
      <c r="AF940" s="147"/>
      <c r="AG940" s="147"/>
      <c r="AH940" s="147"/>
      <c r="AI940" s="147"/>
      <c r="AJ940" s="147"/>
      <c r="AK940" s="147"/>
      <c r="AL940" s="147"/>
      <c r="AM940" s="147"/>
      <c r="AN940" s="147"/>
      <c r="AO940" s="147"/>
      <c r="AP940" s="147"/>
      <c r="AQ940" s="147"/>
      <c r="AR940" s="147"/>
      <c r="AS940" s="147"/>
      <c r="AT940" s="147"/>
      <c r="AU940" s="147"/>
      <c r="AV940" s="147"/>
      <c r="AW940" s="147"/>
      <c r="AX940" s="147"/>
      <c r="AY940" s="147"/>
      <c r="AZ940" s="147"/>
      <c r="BA940" s="147"/>
      <c r="BB940" s="147"/>
      <c r="BC940" s="147"/>
      <c r="BD940" s="147"/>
      <c r="BE940" s="147"/>
      <c r="BF940" s="147"/>
      <c r="BG940" s="147"/>
      <c r="BH940" s="147"/>
      <c r="BI940" s="147"/>
      <c r="BJ940" s="147"/>
      <c r="BK940" s="147"/>
      <c r="BL940" s="147"/>
      <c r="BM940" s="147"/>
      <c r="BN940" s="147"/>
      <c r="BO940" s="147"/>
      <c r="BP940" s="147"/>
    </row>
    <row r="941" spans="1:68">
      <c r="A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c r="AC941" s="147"/>
      <c r="AD941" s="147"/>
      <c r="AE941" s="147"/>
      <c r="AF941" s="147"/>
      <c r="AG941" s="147"/>
      <c r="AH941" s="147"/>
      <c r="AI941" s="147"/>
      <c r="AJ941" s="147"/>
      <c r="AK941" s="147"/>
      <c r="AL941" s="147"/>
      <c r="AM941" s="147"/>
      <c r="AN941" s="147"/>
      <c r="AO941" s="147"/>
      <c r="AP941" s="147"/>
      <c r="AQ941" s="147"/>
      <c r="AR941" s="147"/>
      <c r="AS941" s="147"/>
      <c r="AT941" s="147"/>
      <c r="AU941" s="147"/>
      <c r="AV941" s="147"/>
      <c r="AW941" s="147"/>
      <c r="AX941" s="147"/>
      <c r="AY941" s="147"/>
      <c r="AZ941" s="147"/>
      <c r="BA941" s="147"/>
      <c r="BB941" s="147"/>
      <c r="BC941" s="147"/>
      <c r="BD941" s="147"/>
      <c r="BE941" s="147"/>
      <c r="BF941" s="147"/>
      <c r="BG941" s="147"/>
      <c r="BH941" s="147"/>
      <c r="BI941" s="147"/>
      <c r="BJ941" s="147"/>
      <c r="BK941" s="147"/>
      <c r="BL941" s="147"/>
      <c r="BM941" s="147"/>
      <c r="BN941" s="147"/>
      <c r="BO941" s="147"/>
      <c r="BP941" s="147"/>
    </row>
    <row r="942" spans="1:68">
      <c r="A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c r="AC942" s="147"/>
      <c r="AD942" s="147"/>
      <c r="AE942" s="147"/>
      <c r="AF942" s="147"/>
      <c r="AG942" s="147"/>
      <c r="AH942" s="147"/>
      <c r="AI942" s="147"/>
      <c r="AJ942" s="147"/>
      <c r="AK942" s="147"/>
      <c r="AL942" s="147"/>
      <c r="AM942" s="147"/>
      <c r="AN942" s="147"/>
      <c r="AO942" s="147"/>
      <c r="AP942" s="147"/>
      <c r="AQ942" s="147"/>
      <c r="AR942" s="147"/>
      <c r="AS942" s="147"/>
      <c r="AT942" s="147"/>
      <c r="AU942" s="147"/>
      <c r="AV942" s="147"/>
      <c r="AW942" s="147"/>
      <c r="AX942" s="147"/>
      <c r="AY942" s="147"/>
      <c r="AZ942" s="147"/>
      <c r="BA942" s="147"/>
      <c r="BB942" s="147"/>
      <c r="BC942" s="147"/>
      <c r="BD942" s="147"/>
      <c r="BE942" s="147"/>
      <c r="BF942" s="147"/>
      <c r="BG942" s="147"/>
      <c r="BH942" s="147"/>
      <c r="BI942" s="147"/>
      <c r="BJ942" s="147"/>
      <c r="BK942" s="147"/>
      <c r="BL942" s="147"/>
      <c r="BM942" s="147"/>
      <c r="BN942" s="147"/>
      <c r="BO942" s="147"/>
      <c r="BP942" s="147"/>
    </row>
    <row r="943" spans="1:68">
      <c r="A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c r="AC943" s="147"/>
      <c r="AD943" s="147"/>
      <c r="AE943" s="147"/>
      <c r="AF943" s="147"/>
      <c r="AG943" s="147"/>
      <c r="AH943" s="147"/>
      <c r="AI943" s="147"/>
      <c r="AJ943" s="147"/>
      <c r="AK943" s="147"/>
      <c r="AL943" s="147"/>
      <c r="AM943" s="147"/>
      <c r="AN943" s="147"/>
      <c r="AO943" s="147"/>
      <c r="AP943" s="147"/>
      <c r="AQ943" s="147"/>
      <c r="AR943" s="147"/>
      <c r="AS943" s="147"/>
      <c r="AT943" s="147"/>
      <c r="AU943" s="147"/>
      <c r="AV943" s="147"/>
      <c r="AW943" s="147"/>
      <c r="AX943" s="147"/>
      <c r="AY943" s="147"/>
      <c r="AZ943" s="147"/>
      <c r="BA943" s="147"/>
      <c r="BB943" s="147"/>
      <c r="BC943" s="147"/>
      <c r="BD943" s="147"/>
      <c r="BE943" s="147"/>
      <c r="BF943" s="147"/>
      <c r="BG943" s="147"/>
      <c r="BH943" s="147"/>
      <c r="BI943" s="147"/>
      <c r="BJ943" s="147"/>
      <c r="BK943" s="147"/>
      <c r="BL943" s="147"/>
      <c r="BM943" s="147"/>
      <c r="BN943" s="147"/>
      <c r="BO943" s="147"/>
      <c r="BP943" s="147"/>
    </row>
    <row r="944" spans="1:68">
      <c r="A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c r="AC944" s="147"/>
      <c r="AD944" s="147"/>
      <c r="AE944" s="147"/>
      <c r="AF944" s="147"/>
      <c r="AG944" s="147"/>
      <c r="AH944" s="147"/>
      <c r="AI944" s="147"/>
      <c r="AJ944" s="147"/>
      <c r="AK944" s="147"/>
      <c r="AL944" s="147"/>
      <c r="AM944" s="147"/>
      <c r="AN944" s="147"/>
      <c r="AO944" s="147"/>
      <c r="AP944" s="147"/>
      <c r="AQ944" s="147"/>
      <c r="AR944" s="147"/>
      <c r="AS944" s="147"/>
      <c r="AT944" s="147"/>
      <c r="AU944" s="147"/>
      <c r="AV944" s="147"/>
      <c r="AW944" s="147"/>
      <c r="AX944" s="147"/>
      <c r="AY944" s="147"/>
      <c r="AZ944" s="147"/>
      <c r="BA944" s="147"/>
      <c r="BB944" s="147"/>
      <c r="BC944" s="147"/>
      <c r="BD944" s="147"/>
      <c r="BE944" s="147"/>
      <c r="BF944" s="147"/>
      <c r="BG944" s="147"/>
      <c r="BH944" s="147"/>
      <c r="BI944" s="147"/>
      <c r="BJ944" s="147"/>
      <c r="BK944" s="147"/>
      <c r="BL944" s="147"/>
      <c r="BM944" s="147"/>
      <c r="BN944" s="147"/>
      <c r="BO944" s="147"/>
      <c r="BP944" s="147"/>
    </row>
    <row r="945" spans="1:68">
      <c r="A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c r="AC945" s="147"/>
      <c r="AD945" s="147"/>
      <c r="AE945" s="147"/>
      <c r="AF945" s="147"/>
      <c r="AG945" s="147"/>
      <c r="AH945" s="147"/>
      <c r="AI945" s="147"/>
      <c r="AJ945" s="147"/>
      <c r="AK945" s="147"/>
      <c r="AL945" s="147"/>
      <c r="AM945" s="147"/>
      <c r="AN945" s="147"/>
      <c r="AO945" s="147"/>
      <c r="AP945" s="147"/>
      <c r="AQ945" s="147"/>
      <c r="AR945" s="147"/>
      <c r="AS945" s="147"/>
      <c r="AT945" s="147"/>
      <c r="AU945" s="147"/>
      <c r="AV945" s="147"/>
      <c r="AW945" s="147"/>
      <c r="AX945" s="147"/>
      <c r="AY945" s="147"/>
      <c r="AZ945" s="147"/>
      <c r="BA945" s="147"/>
      <c r="BB945" s="147"/>
      <c r="BC945" s="147"/>
      <c r="BD945" s="147"/>
      <c r="BE945" s="147"/>
      <c r="BF945" s="147"/>
      <c r="BG945" s="147"/>
      <c r="BH945" s="147"/>
      <c r="BI945" s="147"/>
      <c r="BJ945" s="147"/>
      <c r="BK945" s="147"/>
      <c r="BL945" s="147"/>
      <c r="BM945" s="147"/>
      <c r="BN945" s="147"/>
      <c r="BO945" s="147"/>
      <c r="BP945" s="147"/>
    </row>
    <row r="946" spans="1:68">
      <c r="A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c r="AC946" s="147"/>
      <c r="AD946" s="147"/>
      <c r="AE946" s="147"/>
      <c r="AF946" s="147"/>
      <c r="AG946" s="147"/>
      <c r="AH946" s="147"/>
      <c r="AI946" s="147"/>
      <c r="AJ946" s="147"/>
      <c r="AK946" s="147"/>
      <c r="AL946" s="147"/>
      <c r="AM946" s="147"/>
      <c r="AN946" s="147"/>
      <c r="AO946" s="147"/>
      <c r="AP946" s="147"/>
      <c r="AQ946" s="147"/>
      <c r="AR946" s="147"/>
      <c r="AS946" s="147"/>
      <c r="AT946" s="147"/>
      <c r="AU946" s="147"/>
      <c r="AV946" s="147"/>
      <c r="AW946" s="147"/>
      <c r="AX946" s="147"/>
      <c r="AY946" s="147"/>
      <c r="AZ946" s="147"/>
      <c r="BA946" s="147"/>
      <c r="BB946" s="147"/>
      <c r="BC946" s="147"/>
      <c r="BD946" s="147"/>
      <c r="BE946" s="147"/>
      <c r="BF946" s="147"/>
      <c r="BG946" s="147"/>
      <c r="BH946" s="147"/>
      <c r="BI946" s="147"/>
      <c r="BJ946" s="147"/>
      <c r="BK946" s="147"/>
      <c r="BL946" s="147"/>
      <c r="BM946" s="147"/>
      <c r="BN946" s="147"/>
      <c r="BO946" s="147"/>
      <c r="BP946" s="147"/>
    </row>
    <row r="947" spans="1:68">
      <c r="A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c r="AC947" s="147"/>
      <c r="AD947" s="147"/>
      <c r="AE947" s="147"/>
      <c r="AF947" s="147"/>
      <c r="AG947" s="147"/>
      <c r="AH947" s="147"/>
      <c r="AI947" s="147"/>
      <c r="AJ947" s="147"/>
      <c r="AK947" s="147"/>
      <c r="AL947" s="147"/>
      <c r="AM947" s="147"/>
      <c r="AN947" s="147"/>
      <c r="AO947" s="147"/>
      <c r="AP947" s="147"/>
      <c r="AQ947" s="147"/>
      <c r="AR947" s="147"/>
      <c r="AS947" s="147"/>
      <c r="AT947" s="147"/>
      <c r="AU947" s="147"/>
      <c r="AV947" s="147"/>
      <c r="AW947" s="147"/>
      <c r="AX947" s="147"/>
      <c r="AY947" s="147"/>
      <c r="AZ947" s="147"/>
      <c r="BA947" s="147"/>
      <c r="BB947" s="147"/>
      <c r="BC947" s="147"/>
      <c r="BD947" s="147"/>
      <c r="BE947" s="147"/>
      <c r="BF947" s="147"/>
      <c r="BG947" s="147"/>
      <c r="BH947" s="147"/>
      <c r="BI947" s="147"/>
      <c r="BJ947" s="147"/>
      <c r="BK947" s="147"/>
      <c r="BL947" s="147"/>
      <c r="BM947" s="147"/>
      <c r="BN947" s="147"/>
      <c r="BO947" s="147"/>
      <c r="BP947" s="147"/>
    </row>
    <row r="948" spans="1:68">
      <c r="A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c r="AC948" s="147"/>
      <c r="AD948" s="147"/>
      <c r="AE948" s="147"/>
      <c r="AF948" s="147"/>
      <c r="AG948" s="147"/>
      <c r="AH948" s="147"/>
      <c r="AI948" s="147"/>
      <c r="AJ948" s="147"/>
      <c r="AK948" s="147"/>
      <c r="AL948" s="147"/>
      <c r="AM948" s="147"/>
      <c r="AN948" s="147"/>
      <c r="AO948" s="147"/>
      <c r="AP948" s="147"/>
      <c r="AQ948" s="147"/>
      <c r="AR948" s="147"/>
      <c r="AS948" s="147"/>
      <c r="AT948" s="147"/>
      <c r="AU948" s="147"/>
      <c r="AV948" s="147"/>
      <c r="AW948" s="147"/>
      <c r="AX948" s="147"/>
      <c r="AY948" s="147"/>
      <c r="AZ948" s="147"/>
      <c r="BA948" s="147"/>
      <c r="BB948" s="147"/>
      <c r="BC948" s="147"/>
      <c r="BD948" s="147"/>
      <c r="BE948" s="147"/>
      <c r="BF948" s="147"/>
      <c r="BG948" s="147"/>
      <c r="BH948" s="147"/>
      <c r="BI948" s="147"/>
      <c r="BJ948" s="147"/>
      <c r="BK948" s="147"/>
      <c r="BL948" s="147"/>
      <c r="BM948" s="147"/>
      <c r="BN948" s="147"/>
      <c r="BO948" s="147"/>
      <c r="BP948" s="147"/>
    </row>
    <row r="949" spans="1:68">
      <c r="A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c r="AC949" s="147"/>
      <c r="AD949" s="147"/>
      <c r="AE949" s="147"/>
      <c r="AF949" s="147"/>
      <c r="AG949" s="147"/>
      <c r="AH949" s="147"/>
      <c r="AI949" s="147"/>
      <c r="AJ949" s="147"/>
      <c r="AK949" s="147"/>
      <c r="AL949" s="147"/>
      <c r="AM949" s="147"/>
      <c r="AN949" s="147"/>
      <c r="AO949" s="147"/>
      <c r="AP949" s="147"/>
      <c r="AQ949" s="147"/>
      <c r="AR949" s="147"/>
      <c r="AS949" s="147"/>
      <c r="AT949" s="147"/>
      <c r="AU949" s="147"/>
      <c r="AV949" s="147"/>
      <c r="AW949" s="147"/>
      <c r="AX949" s="147"/>
      <c r="AY949" s="147"/>
      <c r="AZ949" s="147"/>
      <c r="BA949" s="147"/>
      <c r="BB949" s="147"/>
      <c r="BC949" s="147"/>
      <c r="BD949" s="147"/>
      <c r="BE949" s="147"/>
      <c r="BF949" s="147"/>
      <c r="BG949" s="147"/>
      <c r="BH949" s="147"/>
      <c r="BI949" s="147"/>
      <c r="BJ949" s="147"/>
      <c r="BK949" s="147"/>
      <c r="BL949" s="147"/>
      <c r="BM949" s="147"/>
      <c r="BN949" s="147"/>
      <c r="BO949" s="147"/>
      <c r="BP949" s="147"/>
    </row>
    <row r="950" spans="1:68">
      <c r="A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c r="AC950" s="147"/>
      <c r="AD950" s="147"/>
      <c r="AE950" s="147"/>
      <c r="AF950" s="147"/>
      <c r="AG950" s="147"/>
      <c r="AH950" s="147"/>
      <c r="AI950" s="147"/>
      <c r="AJ950" s="147"/>
      <c r="AK950" s="147"/>
      <c r="AL950" s="147"/>
      <c r="AM950" s="147"/>
      <c r="AN950" s="147"/>
      <c r="AO950" s="147"/>
      <c r="AP950" s="147"/>
      <c r="AQ950" s="147"/>
      <c r="AR950" s="147"/>
      <c r="AS950" s="147"/>
      <c r="AT950" s="147"/>
      <c r="AU950" s="147"/>
      <c r="AV950" s="147"/>
      <c r="AW950" s="147"/>
      <c r="AX950" s="147"/>
      <c r="AY950" s="147"/>
      <c r="AZ950" s="147"/>
      <c r="BA950" s="147"/>
      <c r="BB950" s="147"/>
      <c r="BC950" s="147"/>
      <c r="BD950" s="147"/>
      <c r="BE950" s="147"/>
      <c r="BF950" s="147"/>
      <c r="BG950" s="147"/>
      <c r="BH950" s="147"/>
      <c r="BI950" s="147"/>
      <c r="BJ950" s="147"/>
      <c r="BK950" s="147"/>
      <c r="BL950" s="147"/>
      <c r="BM950" s="147"/>
      <c r="BN950" s="147"/>
      <c r="BO950" s="147"/>
      <c r="BP950" s="147"/>
    </row>
    <row r="951" spans="1:68">
      <c r="A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c r="AC951" s="147"/>
      <c r="AD951" s="147"/>
      <c r="AE951" s="147"/>
      <c r="AF951" s="147"/>
      <c r="AG951" s="147"/>
      <c r="AH951" s="147"/>
      <c r="AI951" s="147"/>
      <c r="AJ951" s="147"/>
      <c r="AK951" s="147"/>
      <c r="AL951" s="147"/>
      <c r="AM951" s="147"/>
      <c r="AN951" s="147"/>
      <c r="AO951" s="147"/>
      <c r="AP951" s="147"/>
      <c r="AQ951" s="147"/>
      <c r="AR951" s="147"/>
      <c r="AS951" s="147"/>
      <c r="AT951" s="147"/>
      <c r="AU951" s="147"/>
      <c r="AV951" s="147"/>
      <c r="AW951" s="147"/>
      <c r="AX951" s="147"/>
      <c r="AY951" s="147"/>
      <c r="AZ951" s="147"/>
      <c r="BA951" s="147"/>
      <c r="BB951" s="147"/>
      <c r="BC951" s="147"/>
      <c r="BD951" s="147"/>
      <c r="BE951" s="147"/>
      <c r="BF951" s="147"/>
      <c r="BG951" s="147"/>
      <c r="BH951" s="147"/>
      <c r="BI951" s="147"/>
      <c r="BJ951" s="147"/>
      <c r="BK951" s="147"/>
      <c r="BL951" s="147"/>
      <c r="BM951" s="147"/>
      <c r="BN951" s="147"/>
      <c r="BO951" s="147"/>
      <c r="BP951" s="147"/>
    </row>
    <row r="952" spans="1:68">
      <c r="A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c r="AC952" s="147"/>
      <c r="AD952" s="147"/>
      <c r="AE952" s="147"/>
      <c r="AF952" s="147"/>
      <c r="AG952" s="147"/>
      <c r="AH952" s="147"/>
      <c r="AI952" s="147"/>
      <c r="AJ952" s="147"/>
      <c r="AK952" s="147"/>
      <c r="AL952" s="147"/>
      <c r="AM952" s="147"/>
      <c r="AN952" s="147"/>
      <c r="AO952" s="147"/>
      <c r="AP952" s="147"/>
      <c r="AQ952" s="147"/>
      <c r="AR952" s="147"/>
      <c r="AS952" s="147"/>
      <c r="AT952" s="147"/>
      <c r="AU952" s="147"/>
      <c r="AV952" s="147"/>
      <c r="AW952" s="147"/>
      <c r="AX952" s="147"/>
      <c r="AY952" s="147"/>
      <c r="AZ952" s="147"/>
      <c r="BA952" s="147"/>
      <c r="BB952" s="147"/>
      <c r="BC952" s="147"/>
      <c r="BD952" s="147"/>
      <c r="BE952" s="147"/>
      <c r="BF952" s="147"/>
      <c r="BG952" s="147"/>
      <c r="BH952" s="147"/>
      <c r="BI952" s="147"/>
      <c r="BJ952" s="147"/>
      <c r="BK952" s="147"/>
      <c r="BL952" s="147"/>
      <c r="BM952" s="147"/>
      <c r="BN952" s="147"/>
      <c r="BO952" s="147"/>
      <c r="BP952" s="147"/>
    </row>
    <row r="953" spans="1:68">
      <c r="A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c r="AC953" s="147"/>
      <c r="AD953" s="147"/>
      <c r="AE953" s="147"/>
      <c r="AF953" s="147"/>
      <c r="AG953" s="147"/>
      <c r="AH953" s="147"/>
      <c r="AI953" s="147"/>
      <c r="AJ953" s="147"/>
      <c r="AK953" s="147"/>
      <c r="AL953" s="147"/>
      <c r="AM953" s="147"/>
      <c r="AN953" s="147"/>
      <c r="AO953" s="147"/>
      <c r="AP953" s="147"/>
      <c r="AQ953" s="147"/>
      <c r="AR953" s="147"/>
      <c r="AS953" s="147"/>
      <c r="AT953" s="147"/>
      <c r="AU953" s="147"/>
      <c r="AV953" s="147"/>
      <c r="AW953" s="147"/>
      <c r="AX953" s="147"/>
      <c r="AY953" s="147"/>
      <c r="AZ953" s="147"/>
      <c r="BA953" s="147"/>
      <c r="BB953" s="147"/>
      <c r="BC953" s="147"/>
      <c r="BD953" s="147"/>
      <c r="BE953" s="147"/>
      <c r="BF953" s="147"/>
      <c r="BG953" s="147"/>
      <c r="BH953" s="147"/>
      <c r="BI953" s="147"/>
      <c r="BJ953" s="147"/>
      <c r="BK953" s="147"/>
      <c r="BL953" s="147"/>
      <c r="BM953" s="147"/>
      <c r="BN953" s="147"/>
      <c r="BO953" s="147"/>
      <c r="BP953" s="147"/>
    </row>
    <row r="954" spans="1:68">
      <c r="A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c r="AC954" s="147"/>
      <c r="AD954" s="147"/>
      <c r="AE954" s="147"/>
      <c r="AF954" s="147"/>
      <c r="AG954" s="147"/>
      <c r="AH954" s="147"/>
      <c r="AI954" s="147"/>
      <c r="AJ954" s="147"/>
      <c r="AK954" s="147"/>
      <c r="AL954" s="147"/>
      <c r="AM954" s="147"/>
      <c r="AN954" s="147"/>
      <c r="AO954" s="147"/>
      <c r="AP954" s="147"/>
      <c r="AQ954" s="147"/>
      <c r="AR954" s="147"/>
      <c r="AS954" s="147"/>
      <c r="AT954" s="147"/>
      <c r="AU954" s="147"/>
      <c r="AV954" s="147"/>
      <c r="AW954" s="147"/>
      <c r="AX954" s="147"/>
      <c r="AY954" s="147"/>
      <c r="AZ954" s="147"/>
      <c r="BA954" s="147"/>
      <c r="BB954" s="147"/>
      <c r="BC954" s="147"/>
      <c r="BD954" s="147"/>
      <c r="BE954" s="147"/>
      <c r="BF954" s="147"/>
      <c r="BG954" s="147"/>
      <c r="BH954" s="147"/>
      <c r="BI954" s="147"/>
      <c r="BJ954" s="147"/>
      <c r="BK954" s="147"/>
      <c r="BL954" s="147"/>
      <c r="BM954" s="147"/>
      <c r="BN954" s="147"/>
      <c r="BO954" s="147"/>
      <c r="BP954" s="147"/>
    </row>
    <row r="955" spans="1:68">
      <c r="A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c r="AC955" s="147"/>
      <c r="AD955" s="147"/>
      <c r="AE955" s="147"/>
      <c r="AF955" s="147"/>
      <c r="AG955" s="147"/>
      <c r="AH955" s="147"/>
      <c r="AI955" s="147"/>
      <c r="AJ955" s="147"/>
      <c r="AK955" s="147"/>
      <c r="AL955" s="147"/>
      <c r="AM955" s="147"/>
      <c r="AN955" s="147"/>
      <c r="AO955" s="147"/>
      <c r="AP955" s="147"/>
      <c r="AQ955" s="147"/>
      <c r="AR955" s="147"/>
      <c r="AS955" s="147"/>
      <c r="AT955" s="147"/>
      <c r="AU955" s="147"/>
      <c r="AV955" s="147"/>
      <c r="AW955" s="147"/>
      <c r="AX955" s="147"/>
      <c r="AY955" s="147"/>
      <c r="AZ955" s="147"/>
      <c r="BA955" s="147"/>
      <c r="BB955" s="147"/>
      <c r="BC955" s="147"/>
      <c r="BD955" s="147"/>
      <c r="BE955" s="147"/>
      <c r="BF955" s="147"/>
      <c r="BG955" s="147"/>
      <c r="BH955" s="147"/>
      <c r="BI955" s="147"/>
      <c r="BJ955" s="147"/>
      <c r="BK955" s="147"/>
      <c r="BL955" s="147"/>
      <c r="BM955" s="147"/>
      <c r="BN955" s="147"/>
      <c r="BO955" s="147"/>
      <c r="BP955" s="147"/>
    </row>
    <row r="956" spans="1:68">
      <c r="A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c r="AC956" s="147"/>
      <c r="AD956" s="147"/>
      <c r="AE956" s="147"/>
      <c r="AF956" s="147"/>
      <c r="AG956" s="147"/>
      <c r="AH956" s="147"/>
      <c r="AI956" s="147"/>
      <c r="AJ956" s="147"/>
      <c r="AK956" s="147"/>
      <c r="AL956" s="147"/>
      <c r="AM956" s="147"/>
      <c r="AN956" s="147"/>
      <c r="AO956" s="147"/>
      <c r="AP956" s="147"/>
      <c r="AQ956" s="147"/>
      <c r="AR956" s="147"/>
      <c r="AS956" s="147"/>
      <c r="AT956" s="147"/>
      <c r="AU956" s="147"/>
      <c r="AV956" s="147"/>
      <c r="AW956" s="147"/>
      <c r="AX956" s="147"/>
      <c r="AY956" s="147"/>
      <c r="AZ956" s="147"/>
      <c r="BA956" s="147"/>
      <c r="BB956" s="147"/>
      <c r="BC956" s="147"/>
      <c r="BD956" s="147"/>
      <c r="BE956" s="147"/>
      <c r="BF956" s="147"/>
      <c r="BG956" s="147"/>
      <c r="BH956" s="147"/>
      <c r="BI956" s="147"/>
      <c r="BJ956" s="147"/>
      <c r="BK956" s="147"/>
      <c r="BL956" s="147"/>
      <c r="BM956" s="147"/>
      <c r="BN956" s="147"/>
      <c r="BO956" s="147"/>
      <c r="BP956" s="147"/>
    </row>
    <row r="957" spans="1:68">
      <c r="A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c r="AC957" s="147"/>
      <c r="AD957" s="147"/>
      <c r="AE957" s="147"/>
      <c r="AF957" s="147"/>
      <c r="AG957" s="147"/>
      <c r="AH957" s="147"/>
      <c r="AI957" s="147"/>
      <c r="AJ957" s="147"/>
      <c r="AK957" s="147"/>
      <c r="AL957" s="147"/>
      <c r="AM957" s="147"/>
      <c r="AN957" s="147"/>
      <c r="AO957" s="147"/>
      <c r="AP957" s="147"/>
      <c r="AQ957" s="147"/>
      <c r="AR957" s="147"/>
      <c r="AS957" s="147"/>
      <c r="AT957" s="147"/>
      <c r="AU957" s="147"/>
      <c r="AV957" s="147"/>
      <c r="AW957" s="147"/>
      <c r="AX957" s="147"/>
      <c r="AY957" s="147"/>
      <c r="AZ957" s="147"/>
      <c r="BA957" s="147"/>
      <c r="BB957" s="147"/>
      <c r="BC957" s="147"/>
      <c r="BD957" s="147"/>
      <c r="BE957" s="147"/>
      <c r="BF957" s="147"/>
      <c r="BG957" s="147"/>
      <c r="BH957" s="147"/>
      <c r="BI957" s="147"/>
      <c r="BJ957" s="147"/>
      <c r="BK957" s="147"/>
      <c r="BL957" s="147"/>
      <c r="BM957" s="147"/>
      <c r="BN957" s="147"/>
      <c r="BO957" s="147"/>
      <c r="BP957" s="147"/>
    </row>
    <row r="958" spans="1:68">
      <c r="A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c r="AC958" s="147"/>
      <c r="AD958" s="147"/>
      <c r="AE958" s="147"/>
      <c r="AF958" s="147"/>
      <c r="AG958" s="147"/>
      <c r="AH958" s="147"/>
      <c r="AI958" s="147"/>
      <c r="AJ958" s="147"/>
      <c r="AK958" s="147"/>
      <c r="AL958" s="147"/>
      <c r="AM958" s="147"/>
      <c r="AN958" s="147"/>
      <c r="AO958" s="147"/>
      <c r="AP958" s="147"/>
      <c r="AQ958" s="147"/>
      <c r="AR958" s="147"/>
      <c r="AS958" s="147"/>
      <c r="AT958" s="147"/>
      <c r="AU958" s="147"/>
      <c r="AV958" s="147"/>
      <c r="AW958" s="147"/>
      <c r="AX958" s="147"/>
      <c r="AY958" s="147"/>
      <c r="AZ958" s="147"/>
      <c r="BA958" s="147"/>
      <c r="BB958" s="147"/>
      <c r="BC958" s="147"/>
      <c r="BD958" s="147"/>
      <c r="BE958" s="147"/>
      <c r="BF958" s="147"/>
      <c r="BG958" s="147"/>
      <c r="BH958" s="147"/>
      <c r="BI958" s="147"/>
      <c r="BJ958" s="147"/>
      <c r="BK958" s="147"/>
      <c r="BL958" s="147"/>
      <c r="BM958" s="147"/>
      <c r="BN958" s="147"/>
      <c r="BO958" s="147"/>
      <c r="BP958" s="147"/>
    </row>
    <row r="959" spans="1:68">
      <c r="A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c r="AC959" s="147"/>
      <c r="AD959" s="147"/>
      <c r="AE959" s="147"/>
      <c r="AF959" s="147"/>
      <c r="AG959" s="147"/>
      <c r="AH959" s="147"/>
      <c r="AI959" s="147"/>
      <c r="AJ959" s="147"/>
      <c r="AK959" s="147"/>
      <c r="AL959" s="147"/>
      <c r="AM959" s="147"/>
      <c r="AN959" s="147"/>
      <c r="AO959" s="147"/>
      <c r="AP959" s="147"/>
      <c r="AQ959" s="147"/>
      <c r="AR959" s="147"/>
      <c r="AS959" s="147"/>
      <c r="AT959" s="147"/>
      <c r="AU959" s="147"/>
      <c r="AV959" s="147"/>
      <c r="AW959" s="147"/>
      <c r="AX959" s="147"/>
      <c r="AY959" s="147"/>
      <c r="AZ959" s="147"/>
      <c r="BA959" s="147"/>
      <c r="BB959" s="147"/>
      <c r="BC959" s="147"/>
      <c r="BD959" s="147"/>
      <c r="BE959" s="147"/>
      <c r="BF959" s="147"/>
      <c r="BG959" s="147"/>
      <c r="BH959" s="147"/>
      <c r="BI959" s="147"/>
      <c r="BJ959" s="147"/>
      <c r="BK959" s="147"/>
      <c r="BL959" s="147"/>
      <c r="BM959" s="147"/>
      <c r="BN959" s="147"/>
      <c r="BO959" s="147"/>
      <c r="BP959" s="147"/>
    </row>
    <row r="960" spans="1:68">
      <c r="A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c r="AC960" s="147"/>
      <c r="AD960" s="147"/>
      <c r="AE960" s="147"/>
      <c r="AF960" s="147"/>
      <c r="AG960" s="147"/>
      <c r="AH960" s="147"/>
      <c r="AI960" s="147"/>
      <c r="AJ960" s="147"/>
      <c r="AK960" s="147"/>
      <c r="AL960" s="147"/>
      <c r="AM960" s="147"/>
      <c r="AN960" s="147"/>
      <c r="AO960" s="147"/>
      <c r="AP960" s="147"/>
      <c r="AQ960" s="147"/>
      <c r="AR960" s="147"/>
      <c r="AS960" s="147"/>
      <c r="AT960" s="147"/>
      <c r="AU960" s="147"/>
      <c r="AV960" s="147"/>
      <c r="AW960" s="147"/>
      <c r="AX960" s="147"/>
      <c r="AY960" s="147"/>
      <c r="AZ960" s="147"/>
      <c r="BA960" s="147"/>
      <c r="BB960" s="147"/>
      <c r="BC960" s="147"/>
      <c r="BD960" s="147"/>
      <c r="BE960" s="147"/>
      <c r="BF960" s="147"/>
      <c r="BG960" s="147"/>
      <c r="BH960" s="147"/>
      <c r="BI960" s="147"/>
      <c r="BJ960" s="147"/>
      <c r="BK960" s="147"/>
      <c r="BL960" s="147"/>
      <c r="BM960" s="147"/>
      <c r="BN960" s="147"/>
      <c r="BO960" s="147"/>
      <c r="BP960" s="147"/>
    </row>
    <row r="961" spans="1:68">
      <c r="A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c r="AC961" s="147"/>
      <c r="AD961" s="147"/>
      <c r="AE961" s="147"/>
      <c r="AF961" s="147"/>
      <c r="AG961" s="147"/>
      <c r="AH961" s="147"/>
      <c r="AI961" s="147"/>
      <c r="AJ961" s="147"/>
      <c r="AK961" s="147"/>
      <c r="AL961" s="147"/>
      <c r="AM961" s="147"/>
      <c r="AN961" s="147"/>
      <c r="AO961" s="147"/>
      <c r="AP961" s="147"/>
      <c r="AQ961" s="147"/>
      <c r="AR961" s="147"/>
      <c r="AS961" s="147"/>
      <c r="AT961" s="147"/>
      <c r="AU961" s="147"/>
      <c r="AV961" s="147"/>
      <c r="AW961" s="147"/>
      <c r="AX961" s="147"/>
      <c r="AY961" s="147"/>
      <c r="AZ961" s="147"/>
      <c r="BA961" s="147"/>
      <c r="BB961" s="147"/>
      <c r="BC961" s="147"/>
      <c r="BD961" s="147"/>
      <c r="BE961" s="147"/>
      <c r="BF961" s="147"/>
      <c r="BG961" s="147"/>
      <c r="BH961" s="147"/>
      <c r="BI961" s="147"/>
      <c r="BJ961" s="147"/>
      <c r="BK961" s="147"/>
      <c r="BL961" s="147"/>
      <c r="BM961" s="147"/>
      <c r="BN961" s="147"/>
      <c r="BO961" s="147"/>
      <c r="BP961" s="147"/>
    </row>
    <row r="962" spans="1:68">
      <c r="A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c r="AC962" s="147"/>
      <c r="AD962" s="147"/>
      <c r="AE962" s="147"/>
      <c r="AF962" s="147"/>
      <c r="AG962" s="147"/>
      <c r="AH962" s="147"/>
      <c r="AI962" s="147"/>
      <c r="AJ962" s="147"/>
      <c r="AK962" s="147"/>
      <c r="AL962" s="147"/>
      <c r="AM962" s="147"/>
      <c r="AN962" s="147"/>
      <c r="AO962" s="147"/>
      <c r="AP962" s="147"/>
      <c r="AQ962" s="147"/>
      <c r="AR962" s="147"/>
      <c r="AS962" s="147"/>
      <c r="AT962" s="147"/>
      <c r="AU962" s="147"/>
      <c r="AV962" s="147"/>
      <c r="AW962" s="147"/>
      <c r="AX962" s="147"/>
      <c r="AY962" s="147"/>
      <c r="AZ962" s="147"/>
      <c r="BA962" s="147"/>
      <c r="BB962" s="147"/>
      <c r="BC962" s="147"/>
      <c r="BD962" s="147"/>
      <c r="BE962" s="147"/>
      <c r="BF962" s="147"/>
      <c r="BG962" s="147"/>
      <c r="BH962" s="147"/>
      <c r="BI962" s="147"/>
      <c r="BJ962" s="147"/>
      <c r="BK962" s="147"/>
      <c r="BL962" s="147"/>
      <c r="BM962" s="147"/>
      <c r="BN962" s="147"/>
      <c r="BO962" s="147"/>
      <c r="BP962" s="147"/>
    </row>
    <row r="963" spans="1:68">
      <c r="A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c r="AC963" s="147"/>
      <c r="AD963" s="147"/>
      <c r="AE963" s="147"/>
      <c r="AF963" s="147"/>
      <c r="AG963" s="147"/>
      <c r="AH963" s="147"/>
      <c r="AI963" s="147"/>
      <c r="AJ963" s="147"/>
      <c r="AK963" s="147"/>
      <c r="AL963" s="147"/>
      <c r="AM963" s="147"/>
      <c r="AN963" s="147"/>
      <c r="AO963" s="147"/>
      <c r="AP963" s="147"/>
      <c r="AQ963" s="147"/>
      <c r="AR963" s="147"/>
      <c r="AS963" s="147"/>
      <c r="AT963" s="147"/>
      <c r="AU963" s="147"/>
      <c r="AV963" s="147"/>
      <c r="AW963" s="147"/>
      <c r="AX963" s="147"/>
      <c r="AY963" s="147"/>
      <c r="AZ963" s="147"/>
      <c r="BA963" s="147"/>
      <c r="BB963" s="147"/>
      <c r="BC963" s="147"/>
      <c r="BD963" s="147"/>
      <c r="BE963" s="147"/>
      <c r="BF963" s="147"/>
      <c r="BG963" s="147"/>
      <c r="BH963" s="147"/>
      <c r="BI963" s="147"/>
      <c r="BJ963" s="147"/>
      <c r="BK963" s="147"/>
      <c r="BL963" s="147"/>
      <c r="BM963" s="147"/>
      <c r="BN963" s="147"/>
      <c r="BO963" s="147"/>
      <c r="BP963" s="147"/>
    </row>
    <row r="964" spans="1:68">
      <c r="A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c r="AC964" s="147"/>
      <c r="AD964" s="147"/>
      <c r="AE964" s="147"/>
      <c r="AF964" s="147"/>
      <c r="AG964" s="147"/>
      <c r="AH964" s="147"/>
      <c r="AI964" s="147"/>
      <c r="AJ964" s="147"/>
      <c r="AK964" s="147"/>
      <c r="AL964" s="147"/>
      <c r="AM964" s="147"/>
      <c r="AN964" s="147"/>
      <c r="AO964" s="147"/>
      <c r="AP964" s="147"/>
      <c r="AQ964" s="147"/>
      <c r="AR964" s="147"/>
      <c r="AS964" s="147"/>
      <c r="AT964" s="147"/>
      <c r="AU964" s="147"/>
      <c r="AV964" s="147"/>
      <c r="AW964" s="147"/>
      <c r="AX964" s="147"/>
      <c r="AY964" s="147"/>
      <c r="AZ964" s="147"/>
      <c r="BA964" s="147"/>
      <c r="BB964" s="147"/>
      <c r="BC964" s="147"/>
      <c r="BD964" s="147"/>
      <c r="BE964" s="147"/>
      <c r="BF964" s="147"/>
      <c r="BG964" s="147"/>
      <c r="BH964" s="147"/>
      <c r="BI964" s="147"/>
      <c r="BJ964" s="147"/>
      <c r="BK964" s="147"/>
      <c r="BL964" s="147"/>
      <c r="BM964" s="147"/>
      <c r="BN964" s="147"/>
      <c r="BO964" s="147"/>
      <c r="BP964" s="147"/>
    </row>
    <row r="965" spans="1:68">
      <c r="A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c r="AC965" s="147"/>
      <c r="AD965" s="147"/>
      <c r="AE965" s="147"/>
      <c r="AF965" s="147"/>
      <c r="AG965" s="147"/>
      <c r="AH965" s="147"/>
      <c r="AI965" s="147"/>
      <c r="AJ965" s="147"/>
      <c r="AK965" s="147"/>
      <c r="AL965" s="147"/>
      <c r="AM965" s="147"/>
      <c r="AN965" s="147"/>
      <c r="AO965" s="147"/>
      <c r="AP965" s="147"/>
      <c r="AQ965" s="147"/>
      <c r="AR965" s="147"/>
      <c r="AS965" s="147"/>
      <c r="AT965" s="147"/>
      <c r="AU965" s="147"/>
      <c r="AV965" s="147"/>
      <c r="AW965" s="147"/>
      <c r="AX965" s="147"/>
      <c r="AY965" s="147"/>
      <c r="AZ965" s="147"/>
      <c r="BA965" s="147"/>
      <c r="BB965" s="147"/>
      <c r="BC965" s="147"/>
      <c r="BD965" s="147"/>
      <c r="BE965" s="147"/>
      <c r="BF965" s="147"/>
      <c r="BG965" s="147"/>
      <c r="BH965" s="147"/>
      <c r="BI965" s="147"/>
      <c r="BJ965" s="147"/>
      <c r="BK965" s="147"/>
      <c r="BL965" s="147"/>
      <c r="BM965" s="147"/>
      <c r="BN965" s="147"/>
      <c r="BO965" s="147"/>
      <c r="BP965" s="147"/>
    </row>
    <row r="966" spans="1:68">
      <c r="A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c r="AC966" s="147"/>
      <c r="AD966" s="147"/>
      <c r="AE966" s="147"/>
      <c r="AF966" s="147"/>
      <c r="AG966" s="147"/>
      <c r="AH966" s="147"/>
      <c r="AI966" s="147"/>
      <c r="AJ966" s="147"/>
      <c r="AK966" s="147"/>
      <c r="AL966" s="147"/>
      <c r="AM966" s="147"/>
      <c r="AN966" s="147"/>
      <c r="AO966" s="147"/>
      <c r="AP966" s="147"/>
      <c r="AQ966" s="147"/>
      <c r="AR966" s="147"/>
      <c r="AS966" s="147"/>
      <c r="AT966" s="147"/>
      <c r="AU966" s="147"/>
      <c r="AV966" s="147"/>
      <c r="AW966" s="147"/>
      <c r="AX966" s="147"/>
      <c r="AY966" s="147"/>
      <c r="AZ966" s="147"/>
      <c r="BA966" s="147"/>
      <c r="BB966" s="147"/>
      <c r="BC966" s="147"/>
      <c r="BD966" s="147"/>
      <c r="BE966" s="147"/>
      <c r="BF966" s="147"/>
      <c r="BG966" s="147"/>
      <c r="BH966" s="147"/>
      <c r="BI966" s="147"/>
      <c r="BJ966" s="147"/>
      <c r="BK966" s="147"/>
      <c r="BL966" s="147"/>
      <c r="BM966" s="147"/>
      <c r="BN966" s="147"/>
      <c r="BO966" s="147"/>
      <c r="BP966" s="147"/>
    </row>
    <row r="967" spans="1:68">
      <c r="A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c r="AC967" s="147"/>
      <c r="AD967" s="147"/>
      <c r="AE967" s="147"/>
      <c r="AF967" s="147"/>
      <c r="AG967" s="147"/>
      <c r="AH967" s="147"/>
      <c r="AI967" s="147"/>
      <c r="AJ967" s="147"/>
      <c r="AK967" s="147"/>
      <c r="AL967" s="147"/>
      <c r="AM967" s="147"/>
      <c r="AN967" s="147"/>
      <c r="AO967" s="147"/>
      <c r="AP967" s="147"/>
      <c r="AQ967" s="147"/>
      <c r="AR967" s="147"/>
      <c r="AS967" s="147"/>
      <c r="AT967" s="147"/>
      <c r="AU967" s="147"/>
      <c r="AV967" s="147"/>
      <c r="AW967" s="147"/>
      <c r="AX967" s="147"/>
      <c r="AY967" s="147"/>
      <c r="AZ967" s="147"/>
      <c r="BA967" s="147"/>
      <c r="BB967" s="147"/>
      <c r="BC967" s="147"/>
      <c r="BD967" s="147"/>
      <c r="BE967" s="147"/>
      <c r="BF967" s="147"/>
      <c r="BG967" s="147"/>
      <c r="BH967" s="147"/>
      <c r="BI967" s="147"/>
      <c r="BJ967" s="147"/>
      <c r="BK967" s="147"/>
      <c r="BL967" s="147"/>
      <c r="BM967" s="147"/>
      <c r="BN967" s="147"/>
      <c r="BO967" s="147"/>
      <c r="BP967" s="147"/>
    </row>
    <row r="968" spans="1:68">
      <c r="A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c r="AC968" s="147"/>
      <c r="AD968" s="147"/>
      <c r="AE968" s="147"/>
      <c r="AF968" s="147"/>
      <c r="AG968" s="147"/>
      <c r="AH968" s="147"/>
      <c r="AI968" s="147"/>
      <c r="AJ968" s="147"/>
      <c r="AK968" s="147"/>
      <c r="AL968" s="147"/>
      <c r="AM968" s="147"/>
      <c r="AN968" s="147"/>
      <c r="AO968" s="147"/>
      <c r="AP968" s="147"/>
      <c r="AQ968" s="147"/>
      <c r="AR968" s="147"/>
      <c r="AS968" s="147"/>
      <c r="AT968" s="147"/>
      <c r="AU968" s="147"/>
      <c r="AV968" s="147"/>
      <c r="AW968" s="147"/>
      <c r="AX968" s="147"/>
      <c r="AY968" s="147"/>
      <c r="AZ968" s="147"/>
      <c r="BA968" s="147"/>
      <c r="BB968" s="147"/>
      <c r="BC968" s="147"/>
      <c r="BD968" s="147"/>
      <c r="BE968" s="147"/>
      <c r="BF968" s="147"/>
      <c r="BG968" s="147"/>
      <c r="BH968" s="147"/>
      <c r="BI968" s="147"/>
      <c r="BJ968" s="147"/>
      <c r="BK968" s="147"/>
      <c r="BL968" s="147"/>
      <c r="BM968" s="147"/>
      <c r="BN968" s="147"/>
      <c r="BO968" s="147"/>
      <c r="BP968" s="147"/>
    </row>
    <row r="969" spans="1:68">
      <c r="A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c r="AC969" s="147"/>
      <c r="AD969" s="147"/>
      <c r="AE969" s="147"/>
      <c r="AF969" s="147"/>
      <c r="AG969" s="147"/>
      <c r="AH969" s="147"/>
      <c r="AI969" s="147"/>
      <c r="AJ969" s="147"/>
      <c r="AK969" s="147"/>
      <c r="AL969" s="147"/>
      <c r="AM969" s="147"/>
      <c r="AN969" s="147"/>
      <c r="AO969" s="147"/>
      <c r="AP969" s="147"/>
      <c r="AQ969" s="147"/>
      <c r="AR969" s="147"/>
      <c r="AS969" s="147"/>
      <c r="AT969" s="147"/>
      <c r="AU969" s="147"/>
      <c r="AV969" s="147"/>
      <c r="AW969" s="147"/>
      <c r="AX969" s="147"/>
      <c r="AY969" s="147"/>
      <c r="AZ969" s="147"/>
      <c r="BA969" s="147"/>
      <c r="BB969" s="147"/>
      <c r="BC969" s="147"/>
      <c r="BD969" s="147"/>
      <c r="BE969" s="147"/>
      <c r="BF969" s="147"/>
      <c r="BG969" s="147"/>
      <c r="BH969" s="147"/>
      <c r="BI969" s="147"/>
      <c r="BJ969" s="147"/>
      <c r="BK969" s="147"/>
      <c r="BL969" s="147"/>
      <c r="BM969" s="147"/>
      <c r="BN969" s="147"/>
      <c r="BO969" s="147"/>
      <c r="BP969" s="147"/>
    </row>
    <row r="970" spans="1:68">
      <c r="A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c r="AC970" s="147"/>
      <c r="AD970" s="147"/>
      <c r="AE970" s="147"/>
      <c r="AF970" s="147"/>
      <c r="AG970" s="147"/>
      <c r="AH970" s="147"/>
      <c r="AI970" s="147"/>
      <c r="AJ970" s="147"/>
      <c r="AK970" s="147"/>
      <c r="AL970" s="147"/>
      <c r="AM970" s="147"/>
      <c r="AN970" s="147"/>
      <c r="AO970" s="147"/>
      <c r="AP970" s="147"/>
      <c r="AQ970" s="147"/>
      <c r="AR970" s="147"/>
      <c r="AS970" s="147"/>
      <c r="AT970" s="147"/>
      <c r="AU970" s="147"/>
      <c r="AV970" s="147"/>
      <c r="AW970" s="147"/>
      <c r="AX970" s="147"/>
      <c r="AY970" s="147"/>
      <c r="AZ970" s="147"/>
      <c r="BA970" s="147"/>
      <c r="BB970" s="147"/>
      <c r="BC970" s="147"/>
      <c r="BD970" s="147"/>
      <c r="BE970" s="147"/>
      <c r="BF970" s="147"/>
      <c r="BG970" s="147"/>
      <c r="BH970" s="147"/>
      <c r="BI970" s="147"/>
      <c r="BJ970" s="147"/>
      <c r="BK970" s="147"/>
      <c r="BL970" s="147"/>
      <c r="BM970" s="147"/>
      <c r="BN970" s="147"/>
      <c r="BO970" s="147"/>
      <c r="BP970" s="147"/>
    </row>
    <row r="971" spans="1:68">
      <c r="A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c r="AC971" s="147"/>
      <c r="AD971" s="147"/>
      <c r="AE971" s="147"/>
      <c r="AF971" s="147"/>
      <c r="AG971" s="147"/>
      <c r="AH971" s="147"/>
      <c r="AI971" s="147"/>
      <c r="AJ971" s="147"/>
      <c r="AK971" s="147"/>
      <c r="AL971" s="147"/>
      <c r="AM971" s="147"/>
      <c r="AN971" s="147"/>
      <c r="AO971" s="147"/>
      <c r="AP971" s="147"/>
      <c r="AQ971" s="147"/>
      <c r="AR971" s="147"/>
      <c r="AS971" s="147"/>
      <c r="AT971" s="147"/>
      <c r="AU971" s="147"/>
      <c r="AV971" s="147"/>
      <c r="AW971" s="147"/>
      <c r="AX971" s="147"/>
      <c r="AY971" s="147"/>
      <c r="AZ971" s="147"/>
      <c r="BA971" s="147"/>
      <c r="BB971" s="147"/>
      <c r="BC971" s="147"/>
      <c r="BD971" s="147"/>
      <c r="BE971" s="147"/>
      <c r="BF971" s="147"/>
      <c r="BG971" s="147"/>
      <c r="BH971" s="147"/>
      <c r="BI971" s="147"/>
      <c r="BJ971" s="147"/>
      <c r="BK971" s="147"/>
      <c r="BL971" s="147"/>
      <c r="BM971" s="147"/>
      <c r="BN971" s="147"/>
      <c r="BO971" s="147"/>
      <c r="BP971" s="147"/>
    </row>
    <row r="972" spans="1:68">
      <c r="A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7"/>
      <c r="AN972" s="147"/>
      <c r="AO972" s="147"/>
      <c r="AP972" s="147"/>
      <c r="AQ972" s="147"/>
      <c r="AR972" s="147"/>
      <c r="AS972" s="147"/>
      <c r="AT972" s="147"/>
      <c r="AU972" s="147"/>
      <c r="AV972" s="147"/>
      <c r="AW972" s="147"/>
      <c r="AX972" s="147"/>
      <c r="AY972" s="147"/>
      <c r="AZ972" s="147"/>
      <c r="BA972" s="147"/>
      <c r="BB972" s="147"/>
      <c r="BC972" s="147"/>
      <c r="BD972" s="147"/>
      <c r="BE972" s="147"/>
      <c r="BF972" s="147"/>
      <c r="BG972" s="147"/>
      <c r="BH972" s="147"/>
      <c r="BI972" s="147"/>
      <c r="BJ972" s="147"/>
      <c r="BK972" s="147"/>
      <c r="BL972" s="147"/>
      <c r="BM972" s="147"/>
      <c r="BN972" s="147"/>
      <c r="BO972" s="147"/>
      <c r="BP972" s="147"/>
    </row>
    <row r="973" spans="1:68">
      <c r="A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c r="AC973" s="147"/>
      <c r="AD973" s="147"/>
      <c r="AE973" s="147"/>
      <c r="AF973" s="147"/>
      <c r="AG973" s="147"/>
      <c r="AH973" s="147"/>
      <c r="AI973" s="147"/>
      <c r="AJ973" s="147"/>
      <c r="AK973" s="147"/>
      <c r="AL973" s="147"/>
      <c r="AM973" s="147"/>
      <c r="AN973" s="147"/>
      <c r="AO973" s="147"/>
      <c r="AP973" s="147"/>
      <c r="AQ973" s="147"/>
      <c r="AR973" s="147"/>
      <c r="AS973" s="147"/>
      <c r="AT973" s="147"/>
      <c r="AU973" s="147"/>
      <c r="AV973" s="147"/>
      <c r="AW973" s="147"/>
      <c r="AX973" s="147"/>
      <c r="AY973" s="147"/>
      <c r="AZ973" s="147"/>
      <c r="BA973" s="147"/>
      <c r="BB973" s="147"/>
      <c r="BC973" s="147"/>
      <c r="BD973" s="147"/>
      <c r="BE973" s="147"/>
      <c r="BF973" s="147"/>
      <c r="BG973" s="147"/>
      <c r="BH973" s="147"/>
      <c r="BI973" s="147"/>
      <c r="BJ973" s="147"/>
      <c r="BK973" s="147"/>
      <c r="BL973" s="147"/>
      <c r="BM973" s="147"/>
      <c r="BN973" s="147"/>
      <c r="BO973" s="147"/>
      <c r="BP973" s="147"/>
    </row>
    <row r="974" spans="1:68">
      <c r="A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c r="AC974" s="147"/>
      <c r="AD974" s="147"/>
      <c r="AE974" s="147"/>
      <c r="AF974" s="147"/>
      <c r="AG974" s="147"/>
      <c r="AH974" s="147"/>
      <c r="AI974" s="147"/>
      <c r="AJ974" s="147"/>
      <c r="AK974" s="147"/>
      <c r="AL974" s="147"/>
      <c r="AM974" s="147"/>
      <c r="AN974" s="147"/>
      <c r="AO974" s="147"/>
      <c r="AP974" s="147"/>
      <c r="AQ974" s="147"/>
      <c r="AR974" s="147"/>
      <c r="AS974" s="147"/>
      <c r="AT974" s="147"/>
      <c r="AU974" s="147"/>
      <c r="AV974" s="147"/>
      <c r="AW974" s="147"/>
      <c r="AX974" s="147"/>
      <c r="AY974" s="147"/>
      <c r="AZ974" s="147"/>
      <c r="BA974" s="147"/>
      <c r="BB974" s="147"/>
      <c r="BC974" s="147"/>
      <c r="BD974" s="147"/>
      <c r="BE974" s="147"/>
      <c r="BF974" s="147"/>
      <c r="BG974" s="147"/>
      <c r="BH974" s="147"/>
      <c r="BI974" s="147"/>
      <c r="BJ974" s="147"/>
      <c r="BK974" s="147"/>
      <c r="BL974" s="147"/>
      <c r="BM974" s="147"/>
      <c r="BN974" s="147"/>
      <c r="BO974" s="147"/>
      <c r="BP974" s="147"/>
    </row>
    <row r="975" spans="1:68">
      <c r="A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c r="AC975" s="147"/>
      <c r="AD975" s="147"/>
      <c r="AE975" s="147"/>
      <c r="AF975" s="147"/>
      <c r="AG975" s="147"/>
      <c r="AH975" s="147"/>
      <c r="AI975" s="147"/>
      <c r="AJ975" s="147"/>
      <c r="AK975" s="147"/>
      <c r="AL975" s="147"/>
      <c r="AM975" s="147"/>
      <c r="AN975" s="147"/>
      <c r="AO975" s="147"/>
      <c r="AP975" s="147"/>
      <c r="AQ975" s="147"/>
      <c r="AR975" s="147"/>
      <c r="AS975" s="147"/>
      <c r="AT975" s="147"/>
      <c r="AU975" s="147"/>
      <c r="AV975" s="147"/>
      <c r="AW975" s="147"/>
      <c r="AX975" s="147"/>
      <c r="AY975" s="147"/>
      <c r="AZ975" s="147"/>
      <c r="BA975" s="147"/>
      <c r="BB975" s="147"/>
      <c r="BC975" s="147"/>
      <c r="BD975" s="147"/>
      <c r="BE975" s="147"/>
      <c r="BF975" s="147"/>
      <c r="BG975" s="147"/>
      <c r="BH975" s="147"/>
      <c r="BI975" s="147"/>
      <c r="BJ975" s="147"/>
      <c r="BK975" s="147"/>
      <c r="BL975" s="147"/>
      <c r="BM975" s="147"/>
      <c r="BN975" s="147"/>
      <c r="BO975" s="147"/>
      <c r="BP975" s="147"/>
    </row>
    <row r="976" spans="1:68">
      <c r="A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c r="AC976" s="147"/>
      <c r="AD976" s="147"/>
      <c r="AE976" s="147"/>
      <c r="AF976" s="147"/>
      <c r="AG976" s="147"/>
      <c r="AH976" s="147"/>
      <c r="AI976" s="147"/>
      <c r="AJ976" s="147"/>
      <c r="AK976" s="147"/>
      <c r="AL976" s="147"/>
      <c r="AM976" s="147"/>
      <c r="AN976" s="147"/>
      <c r="AO976" s="147"/>
      <c r="AP976" s="147"/>
      <c r="AQ976" s="147"/>
      <c r="AR976" s="147"/>
      <c r="AS976" s="147"/>
      <c r="AT976" s="147"/>
      <c r="AU976" s="147"/>
      <c r="AV976" s="147"/>
      <c r="AW976" s="147"/>
      <c r="AX976" s="147"/>
      <c r="AY976" s="147"/>
      <c r="AZ976" s="147"/>
      <c r="BA976" s="147"/>
      <c r="BB976" s="147"/>
      <c r="BC976" s="147"/>
      <c r="BD976" s="147"/>
      <c r="BE976" s="147"/>
      <c r="BF976" s="147"/>
      <c r="BG976" s="147"/>
      <c r="BH976" s="147"/>
      <c r="BI976" s="147"/>
      <c r="BJ976" s="147"/>
      <c r="BK976" s="147"/>
      <c r="BL976" s="147"/>
      <c r="BM976" s="147"/>
      <c r="BN976" s="147"/>
      <c r="BO976" s="147"/>
      <c r="BP976" s="147"/>
    </row>
    <row r="977" spans="1:68">
      <c r="A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c r="AC977" s="147"/>
      <c r="AD977" s="147"/>
      <c r="AE977" s="147"/>
      <c r="AF977" s="147"/>
      <c r="AG977" s="147"/>
      <c r="AH977" s="147"/>
      <c r="AI977" s="147"/>
      <c r="AJ977" s="147"/>
      <c r="AK977" s="147"/>
      <c r="AL977" s="147"/>
      <c r="AM977" s="147"/>
      <c r="AN977" s="147"/>
      <c r="AO977" s="147"/>
      <c r="AP977" s="147"/>
      <c r="AQ977" s="147"/>
      <c r="AR977" s="147"/>
      <c r="AS977" s="147"/>
      <c r="AT977" s="147"/>
      <c r="AU977" s="147"/>
      <c r="AV977" s="147"/>
      <c r="AW977" s="147"/>
      <c r="AX977" s="147"/>
      <c r="AY977" s="147"/>
      <c r="AZ977" s="147"/>
      <c r="BA977" s="147"/>
      <c r="BB977" s="147"/>
      <c r="BC977" s="147"/>
      <c r="BD977" s="147"/>
      <c r="BE977" s="147"/>
      <c r="BF977" s="147"/>
      <c r="BG977" s="147"/>
      <c r="BH977" s="147"/>
      <c r="BI977" s="147"/>
      <c r="BJ977" s="147"/>
      <c r="BK977" s="147"/>
      <c r="BL977" s="147"/>
      <c r="BM977" s="147"/>
      <c r="BN977" s="147"/>
      <c r="BO977" s="147"/>
      <c r="BP977" s="147"/>
    </row>
    <row r="978" spans="1:68">
      <c r="A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c r="AC978" s="147"/>
      <c r="AD978" s="147"/>
      <c r="AE978" s="147"/>
      <c r="AF978" s="147"/>
      <c r="AG978" s="147"/>
      <c r="AH978" s="147"/>
      <c r="AI978" s="147"/>
      <c r="AJ978" s="147"/>
      <c r="AK978" s="147"/>
      <c r="AL978" s="147"/>
      <c r="AM978" s="147"/>
      <c r="AN978" s="147"/>
      <c r="AO978" s="147"/>
      <c r="AP978" s="147"/>
      <c r="AQ978" s="147"/>
      <c r="AR978" s="147"/>
      <c r="AS978" s="147"/>
      <c r="AT978" s="147"/>
      <c r="AU978" s="147"/>
      <c r="AV978" s="147"/>
      <c r="AW978" s="147"/>
      <c r="AX978" s="147"/>
      <c r="AY978" s="147"/>
      <c r="AZ978" s="147"/>
      <c r="BA978" s="147"/>
      <c r="BB978" s="147"/>
      <c r="BC978" s="147"/>
      <c r="BD978" s="147"/>
      <c r="BE978" s="147"/>
      <c r="BF978" s="147"/>
      <c r="BG978" s="147"/>
      <c r="BH978" s="147"/>
      <c r="BI978" s="147"/>
      <c r="BJ978" s="147"/>
      <c r="BK978" s="147"/>
      <c r="BL978" s="147"/>
      <c r="BM978" s="147"/>
      <c r="BN978" s="147"/>
      <c r="BO978" s="147"/>
      <c r="BP978" s="147"/>
    </row>
    <row r="979" spans="1:68">
      <c r="A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c r="AC979" s="147"/>
      <c r="AD979" s="147"/>
      <c r="AE979" s="147"/>
      <c r="AF979" s="147"/>
      <c r="AG979" s="147"/>
      <c r="AH979" s="147"/>
      <c r="AI979" s="147"/>
      <c r="AJ979" s="147"/>
      <c r="AK979" s="147"/>
      <c r="AL979" s="147"/>
      <c r="AM979" s="147"/>
      <c r="AN979" s="147"/>
      <c r="AO979" s="147"/>
      <c r="AP979" s="147"/>
      <c r="AQ979" s="147"/>
      <c r="AR979" s="147"/>
      <c r="AS979" s="147"/>
      <c r="AT979" s="147"/>
      <c r="AU979" s="147"/>
      <c r="AV979" s="147"/>
      <c r="AW979" s="147"/>
      <c r="AX979" s="147"/>
      <c r="AY979" s="147"/>
      <c r="AZ979" s="147"/>
      <c r="BA979" s="147"/>
      <c r="BB979" s="147"/>
      <c r="BC979" s="147"/>
      <c r="BD979" s="147"/>
      <c r="BE979" s="147"/>
      <c r="BF979" s="147"/>
      <c r="BG979" s="147"/>
      <c r="BH979" s="147"/>
      <c r="BI979" s="147"/>
      <c r="BJ979" s="147"/>
      <c r="BK979" s="147"/>
      <c r="BL979" s="147"/>
      <c r="BM979" s="147"/>
      <c r="BN979" s="147"/>
      <c r="BO979" s="147"/>
      <c r="BP979" s="147"/>
    </row>
    <row r="980" spans="1:68">
      <c r="A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c r="AC980" s="147"/>
      <c r="AD980" s="147"/>
      <c r="AE980" s="147"/>
      <c r="AF980" s="147"/>
      <c r="AG980" s="147"/>
      <c r="AH980" s="147"/>
      <c r="AI980" s="147"/>
      <c r="AJ980" s="147"/>
      <c r="AK980" s="147"/>
      <c r="AL980" s="147"/>
      <c r="AM980" s="147"/>
      <c r="AN980" s="147"/>
      <c r="AO980" s="147"/>
      <c r="AP980" s="147"/>
      <c r="AQ980" s="147"/>
      <c r="AR980" s="147"/>
      <c r="AS980" s="147"/>
      <c r="AT980" s="147"/>
      <c r="AU980" s="147"/>
      <c r="AV980" s="147"/>
      <c r="AW980" s="147"/>
      <c r="AX980" s="147"/>
      <c r="AY980" s="147"/>
      <c r="AZ980" s="147"/>
      <c r="BA980" s="147"/>
      <c r="BB980" s="147"/>
      <c r="BC980" s="147"/>
      <c r="BD980" s="147"/>
      <c r="BE980" s="147"/>
      <c r="BF980" s="147"/>
      <c r="BG980" s="147"/>
      <c r="BH980" s="147"/>
      <c r="BI980" s="147"/>
      <c r="BJ980" s="147"/>
      <c r="BK980" s="147"/>
      <c r="BL980" s="147"/>
      <c r="BM980" s="147"/>
      <c r="BN980" s="147"/>
      <c r="BO980" s="147"/>
      <c r="BP980" s="147"/>
    </row>
    <row r="981" spans="1:68">
      <c r="A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c r="AC981" s="147"/>
      <c r="AD981" s="147"/>
      <c r="AE981" s="147"/>
      <c r="AF981" s="147"/>
      <c r="AG981" s="147"/>
      <c r="AH981" s="147"/>
      <c r="AI981" s="147"/>
      <c r="AJ981" s="147"/>
      <c r="AK981" s="147"/>
      <c r="AL981" s="147"/>
      <c r="AM981" s="147"/>
      <c r="AN981" s="147"/>
      <c r="AO981" s="147"/>
      <c r="AP981" s="147"/>
      <c r="AQ981" s="147"/>
      <c r="AR981" s="147"/>
      <c r="AS981" s="147"/>
      <c r="AT981" s="147"/>
      <c r="AU981" s="147"/>
      <c r="AV981" s="147"/>
      <c r="AW981" s="147"/>
      <c r="AX981" s="147"/>
      <c r="AY981" s="147"/>
      <c r="AZ981" s="147"/>
      <c r="BA981" s="147"/>
      <c r="BB981" s="147"/>
      <c r="BC981" s="147"/>
      <c r="BD981" s="147"/>
      <c r="BE981" s="147"/>
      <c r="BF981" s="147"/>
      <c r="BG981" s="147"/>
      <c r="BH981" s="147"/>
      <c r="BI981" s="147"/>
      <c r="BJ981" s="147"/>
      <c r="BK981" s="147"/>
      <c r="BL981" s="147"/>
      <c r="BM981" s="147"/>
      <c r="BN981" s="147"/>
      <c r="BO981" s="147"/>
      <c r="BP981" s="147"/>
    </row>
    <row r="982" spans="1:68">
      <c r="A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c r="AC982" s="147"/>
      <c r="AD982" s="147"/>
      <c r="AE982" s="147"/>
      <c r="AF982" s="147"/>
      <c r="AG982" s="147"/>
      <c r="AH982" s="147"/>
      <c r="AI982" s="147"/>
      <c r="AJ982" s="147"/>
      <c r="AK982" s="147"/>
      <c r="AL982" s="147"/>
      <c r="AM982" s="147"/>
      <c r="AN982" s="147"/>
      <c r="AO982" s="147"/>
      <c r="AP982" s="147"/>
      <c r="AQ982" s="147"/>
      <c r="AR982" s="147"/>
      <c r="AS982" s="147"/>
      <c r="AT982" s="147"/>
      <c r="AU982" s="147"/>
      <c r="AV982" s="147"/>
      <c r="AW982" s="147"/>
      <c r="AX982" s="147"/>
      <c r="AY982" s="147"/>
      <c r="AZ982" s="147"/>
      <c r="BA982" s="147"/>
      <c r="BB982" s="147"/>
      <c r="BC982" s="147"/>
      <c r="BD982" s="147"/>
      <c r="BE982" s="147"/>
      <c r="BF982" s="147"/>
      <c r="BG982" s="147"/>
      <c r="BH982" s="147"/>
      <c r="BI982" s="147"/>
      <c r="BJ982" s="147"/>
      <c r="BK982" s="147"/>
      <c r="BL982" s="147"/>
      <c r="BM982" s="147"/>
      <c r="BN982" s="147"/>
      <c r="BO982" s="147"/>
      <c r="BP982" s="147"/>
    </row>
    <row r="983" spans="1:68">
      <c r="A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c r="AC983" s="147"/>
      <c r="AD983" s="147"/>
      <c r="AE983" s="147"/>
      <c r="AF983" s="147"/>
      <c r="AG983" s="147"/>
      <c r="AH983" s="147"/>
      <c r="AI983" s="147"/>
      <c r="AJ983" s="147"/>
      <c r="AK983" s="147"/>
      <c r="AL983" s="147"/>
      <c r="AM983" s="147"/>
      <c r="AN983" s="147"/>
      <c r="AO983" s="147"/>
      <c r="AP983" s="147"/>
      <c r="AQ983" s="147"/>
      <c r="AR983" s="147"/>
      <c r="AS983" s="147"/>
      <c r="AT983" s="147"/>
      <c r="AU983" s="147"/>
      <c r="AV983" s="147"/>
      <c r="AW983" s="147"/>
      <c r="AX983" s="147"/>
      <c r="AY983" s="147"/>
      <c r="AZ983" s="147"/>
      <c r="BA983" s="147"/>
      <c r="BB983" s="147"/>
      <c r="BC983" s="147"/>
      <c r="BD983" s="147"/>
      <c r="BE983" s="147"/>
      <c r="BF983" s="147"/>
      <c r="BG983" s="147"/>
      <c r="BH983" s="147"/>
      <c r="BI983" s="147"/>
      <c r="BJ983" s="147"/>
      <c r="BK983" s="147"/>
      <c r="BL983" s="147"/>
      <c r="BM983" s="147"/>
      <c r="BN983" s="147"/>
      <c r="BO983" s="147"/>
      <c r="BP983" s="147"/>
    </row>
    <row r="984" spans="1:68">
      <c r="A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c r="AC984" s="147"/>
      <c r="AD984" s="147"/>
      <c r="AE984" s="147"/>
      <c r="AF984" s="147"/>
      <c r="AG984" s="147"/>
      <c r="AH984" s="147"/>
      <c r="AI984" s="147"/>
      <c r="AJ984" s="147"/>
      <c r="AK984" s="147"/>
      <c r="AL984" s="147"/>
      <c r="AM984" s="147"/>
      <c r="AN984" s="147"/>
      <c r="AO984" s="147"/>
      <c r="AP984" s="147"/>
      <c r="AQ984" s="147"/>
      <c r="AR984" s="147"/>
      <c r="AS984" s="147"/>
      <c r="AT984" s="147"/>
      <c r="AU984" s="147"/>
      <c r="AV984" s="147"/>
      <c r="AW984" s="147"/>
      <c r="AX984" s="147"/>
      <c r="AY984" s="147"/>
      <c r="AZ984" s="147"/>
      <c r="BA984" s="147"/>
      <c r="BB984" s="147"/>
      <c r="BC984" s="147"/>
      <c r="BD984" s="147"/>
      <c r="BE984" s="147"/>
      <c r="BF984" s="147"/>
      <c r="BG984" s="147"/>
      <c r="BH984" s="147"/>
      <c r="BI984" s="147"/>
      <c r="BJ984" s="147"/>
      <c r="BK984" s="147"/>
      <c r="BL984" s="147"/>
      <c r="BM984" s="147"/>
      <c r="BN984" s="147"/>
      <c r="BO984" s="147"/>
      <c r="BP984" s="147"/>
    </row>
    <row r="985" spans="1:68">
      <c r="A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c r="AC985" s="147"/>
      <c r="AD985" s="147"/>
      <c r="AE985" s="147"/>
      <c r="AF985" s="147"/>
      <c r="AG985" s="147"/>
      <c r="AH985" s="147"/>
      <c r="AI985" s="147"/>
      <c r="AJ985" s="147"/>
      <c r="AK985" s="147"/>
      <c r="AL985" s="147"/>
      <c r="AM985" s="147"/>
      <c r="AN985" s="147"/>
      <c r="AO985" s="147"/>
      <c r="AP985" s="147"/>
      <c r="AQ985" s="147"/>
      <c r="AR985" s="147"/>
      <c r="AS985" s="147"/>
      <c r="AT985" s="147"/>
      <c r="AU985" s="147"/>
      <c r="AV985" s="147"/>
      <c r="AW985" s="147"/>
      <c r="AX985" s="147"/>
      <c r="AY985" s="147"/>
      <c r="AZ985" s="147"/>
      <c r="BA985" s="147"/>
      <c r="BB985" s="147"/>
      <c r="BC985" s="147"/>
      <c r="BD985" s="147"/>
      <c r="BE985" s="147"/>
      <c r="BF985" s="147"/>
      <c r="BG985" s="147"/>
      <c r="BH985" s="147"/>
      <c r="BI985" s="147"/>
      <c r="BJ985" s="147"/>
      <c r="BK985" s="147"/>
      <c r="BL985" s="147"/>
      <c r="BM985" s="147"/>
      <c r="BN985" s="147"/>
      <c r="BO985" s="147"/>
      <c r="BP985" s="147"/>
    </row>
    <row r="986" spans="1:68">
      <c r="A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c r="AC986" s="147"/>
      <c r="AD986" s="147"/>
      <c r="AE986" s="147"/>
      <c r="AF986" s="147"/>
      <c r="AG986" s="147"/>
      <c r="AH986" s="147"/>
      <c r="AI986" s="147"/>
      <c r="AJ986" s="147"/>
      <c r="AK986" s="147"/>
      <c r="AL986" s="147"/>
      <c r="AM986" s="147"/>
      <c r="AN986" s="147"/>
      <c r="AO986" s="147"/>
      <c r="AP986" s="147"/>
      <c r="AQ986" s="147"/>
      <c r="AR986" s="147"/>
      <c r="AS986" s="147"/>
      <c r="AT986" s="147"/>
      <c r="AU986" s="147"/>
      <c r="AV986" s="147"/>
      <c r="AW986" s="147"/>
      <c r="AX986" s="147"/>
      <c r="AY986" s="147"/>
      <c r="AZ986" s="147"/>
      <c r="BA986" s="147"/>
      <c r="BB986" s="147"/>
      <c r="BC986" s="147"/>
      <c r="BD986" s="147"/>
      <c r="BE986" s="147"/>
      <c r="BF986" s="147"/>
      <c r="BG986" s="147"/>
      <c r="BH986" s="147"/>
      <c r="BI986" s="147"/>
      <c r="BJ986" s="147"/>
      <c r="BK986" s="147"/>
      <c r="BL986" s="147"/>
      <c r="BM986" s="147"/>
      <c r="BN986" s="147"/>
      <c r="BO986" s="147"/>
      <c r="BP986" s="147"/>
    </row>
    <row r="987" spans="1:68">
      <c r="A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c r="AC987" s="147"/>
      <c r="AD987" s="147"/>
      <c r="AE987" s="147"/>
      <c r="AF987" s="147"/>
      <c r="AG987" s="147"/>
      <c r="AH987" s="147"/>
      <c r="AI987" s="147"/>
      <c r="AJ987" s="147"/>
      <c r="AK987" s="147"/>
      <c r="AL987" s="147"/>
      <c r="AM987" s="147"/>
      <c r="AN987" s="147"/>
      <c r="AO987" s="147"/>
      <c r="AP987" s="147"/>
      <c r="AQ987" s="147"/>
      <c r="AR987" s="147"/>
      <c r="AS987" s="147"/>
      <c r="AT987" s="147"/>
      <c r="AU987" s="147"/>
      <c r="AV987" s="147"/>
      <c r="AW987" s="147"/>
      <c r="AX987" s="147"/>
      <c r="AY987" s="147"/>
      <c r="AZ987" s="147"/>
      <c r="BA987" s="147"/>
      <c r="BB987" s="147"/>
      <c r="BC987" s="147"/>
      <c r="BD987" s="147"/>
      <c r="BE987" s="147"/>
      <c r="BF987" s="147"/>
      <c r="BG987" s="147"/>
      <c r="BH987" s="147"/>
      <c r="BI987" s="147"/>
      <c r="BJ987" s="147"/>
      <c r="BK987" s="147"/>
      <c r="BL987" s="147"/>
      <c r="BM987" s="147"/>
      <c r="BN987" s="147"/>
      <c r="BO987" s="147"/>
      <c r="BP987" s="147"/>
    </row>
    <row r="988" spans="1:68">
      <c r="A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c r="AC988" s="147"/>
      <c r="AD988" s="147"/>
      <c r="AE988" s="147"/>
      <c r="AF988" s="147"/>
      <c r="AG988" s="147"/>
      <c r="AH988" s="147"/>
      <c r="AI988" s="147"/>
      <c r="AJ988" s="147"/>
      <c r="AK988" s="147"/>
      <c r="AL988" s="147"/>
      <c r="AM988" s="147"/>
      <c r="AN988" s="147"/>
      <c r="AO988" s="147"/>
      <c r="AP988" s="147"/>
      <c r="AQ988" s="147"/>
      <c r="AR988" s="147"/>
      <c r="AS988" s="147"/>
      <c r="AT988" s="147"/>
      <c r="AU988" s="147"/>
      <c r="AV988" s="147"/>
      <c r="AW988" s="147"/>
      <c r="AX988" s="147"/>
      <c r="AY988" s="147"/>
      <c r="AZ988" s="147"/>
      <c r="BA988" s="147"/>
      <c r="BB988" s="147"/>
      <c r="BC988" s="147"/>
      <c r="BD988" s="147"/>
      <c r="BE988" s="147"/>
      <c r="BF988" s="147"/>
      <c r="BG988" s="147"/>
      <c r="BH988" s="147"/>
      <c r="BI988" s="147"/>
      <c r="BJ988" s="147"/>
      <c r="BK988" s="147"/>
      <c r="BL988" s="147"/>
      <c r="BM988" s="147"/>
      <c r="BN988" s="147"/>
      <c r="BO988" s="147"/>
      <c r="BP988" s="147"/>
    </row>
    <row r="989" spans="1:68">
      <c r="A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c r="AC989" s="147"/>
      <c r="AD989" s="147"/>
      <c r="AE989" s="147"/>
      <c r="AF989" s="147"/>
      <c r="AG989" s="147"/>
      <c r="AH989" s="147"/>
      <c r="AI989" s="147"/>
      <c r="AJ989" s="147"/>
      <c r="AK989" s="147"/>
      <c r="AL989" s="147"/>
      <c r="AM989" s="147"/>
      <c r="AN989" s="147"/>
      <c r="AO989" s="147"/>
      <c r="AP989" s="147"/>
      <c r="AQ989" s="147"/>
      <c r="AR989" s="147"/>
      <c r="AS989" s="147"/>
      <c r="AT989" s="147"/>
      <c r="AU989" s="147"/>
      <c r="AV989" s="147"/>
      <c r="AW989" s="147"/>
      <c r="AX989" s="147"/>
      <c r="AY989" s="147"/>
      <c r="AZ989" s="147"/>
      <c r="BA989" s="147"/>
      <c r="BB989" s="147"/>
      <c r="BC989" s="147"/>
      <c r="BD989" s="147"/>
      <c r="BE989" s="147"/>
      <c r="BF989" s="147"/>
      <c r="BG989" s="147"/>
      <c r="BH989" s="147"/>
      <c r="BI989" s="147"/>
      <c r="BJ989" s="147"/>
      <c r="BK989" s="147"/>
      <c r="BL989" s="147"/>
      <c r="BM989" s="147"/>
      <c r="BN989" s="147"/>
      <c r="BO989" s="147"/>
      <c r="BP989" s="147"/>
    </row>
    <row r="990" spans="1:68">
      <c r="A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c r="AC990" s="147"/>
      <c r="AD990" s="147"/>
      <c r="AE990" s="147"/>
      <c r="AF990" s="147"/>
      <c r="AG990" s="147"/>
      <c r="AH990" s="147"/>
      <c r="AI990" s="147"/>
      <c r="AJ990" s="147"/>
      <c r="AK990" s="147"/>
      <c r="AL990" s="147"/>
      <c r="AM990" s="147"/>
      <c r="AN990" s="147"/>
      <c r="AO990" s="147"/>
      <c r="AP990" s="147"/>
      <c r="AQ990" s="147"/>
      <c r="AR990" s="147"/>
      <c r="AS990" s="147"/>
      <c r="AT990" s="147"/>
      <c r="AU990" s="147"/>
      <c r="AV990" s="147"/>
      <c r="AW990" s="147"/>
      <c r="AX990" s="147"/>
      <c r="AY990" s="147"/>
      <c r="AZ990" s="147"/>
      <c r="BA990" s="147"/>
      <c r="BB990" s="147"/>
      <c r="BC990" s="147"/>
      <c r="BD990" s="147"/>
      <c r="BE990" s="147"/>
      <c r="BF990" s="147"/>
      <c r="BG990" s="147"/>
      <c r="BH990" s="147"/>
      <c r="BI990" s="147"/>
      <c r="BJ990" s="147"/>
      <c r="BK990" s="147"/>
      <c r="BL990" s="147"/>
      <c r="BM990" s="147"/>
      <c r="BN990" s="147"/>
      <c r="BO990" s="147"/>
      <c r="BP990" s="147"/>
    </row>
    <row r="991" spans="1:68">
      <c r="A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c r="AC991" s="147"/>
      <c r="AD991" s="147"/>
      <c r="AE991" s="147"/>
      <c r="AF991" s="147"/>
      <c r="AG991" s="147"/>
      <c r="AH991" s="147"/>
      <c r="AI991" s="147"/>
      <c r="AJ991" s="147"/>
      <c r="AK991" s="147"/>
      <c r="AL991" s="147"/>
      <c r="AM991" s="147"/>
      <c r="AN991" s="147"/>
      <c r="AO991" s="147"/>
      <c r="AP991" s="147"/>
      <c r="AQ991" s="147"/>
      <c r="AR991" s="147"/>
      <c r="AS991" s="147"/>
      <c r="AT991" s="147"/>
      <c r="AU991" s="147"/>
      <c r="AV991" s="147"/>
      <c r="AW991" s="147"/>
      <c r="AX991" s="147"/>
      <c r="AY991" s="147"/>
      <c r="AZ991" s="147"/>
      <c r="BA991" s="147"/>
      <c r="BB991" s="147"/>
      <c r="BC991" s="147"/>
      <c r="BD991" s="147"/>
      <c r="BE991" s="147"/>
      <c r="BF991" s="147"/>
      <c r="BG991" s="147"/>
      <c r="BH991" s="147"/>
      <c r="BI991" s="147"/>
      <c r="BJ991" s="147"/>
      <c r="BK991" s="147"/>
      <c r="BL991" s="147"/>
      <c r="BM991" s="147"/>
      <c r="BN991" s="147"/>
      <c r="BO991" s="147"/>
      <c r="BP991" s="147"/>
    </row>
    <row r="992" spans="1:68">
      <c r="A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c r="AC992" s="147"/>
      <c r="AD992" s="147"/>
      <c r="AE992" s="147"/>
      <c r="AF992" s="147"/>
      <c r="AG992" s="147"/>
      <c r="AH992" s="147"/>
      <c r="AI992" s="147"/>
      <c r="AJ992" s="147"/>
      <c r="AK992" s="147"/>
      <c r="AL992" s="147"/>
      <c r="AM992" s="147"/>
      <c r="AN992" s="147"/>
      <c r="AO992" s="147"/>
      <c r="AP992" s="147"/>
      <c r="AQ992" s="147"/>
      <c r="AR992" s="147"/>
      <c r="AS992" s="147"/>
      <c r="AT992" s="147"/>
      <c r="AU992" s="147"/>
      <c r="AV992" s="147"/>
      <c r="AW992" s="147"/>
      <c r="AX992" s="147"/>
      <c r="AY992" s="147"/>
      <c r="AZ992" s="147"/>
      <c r="BA992" s="147"/>
      <c r="BB992" s="147"/>
      <c r="BC992" s="147"/>
      <c r="BD992" s="147"/>
      <c r="BE992" s="147"/>
      <c r="BF992" s="147"/>
      <c r="BG992" s="147"/>
      <c r="BH992" s="147"/>
      <c r="BI992" s="147"/>
      <c r="BJ992" s="147"/>
      <c r="BK992" s="147"/>
      <c r="BL992" s="147"/>
      <c r="BM992" s="147"/>
      <c r="BN992" s="147"/>
      <c r="BO992" s="147"/>
      <c r="BP992" s="147"/>
    </row>
    <row r="993" spans="1:68">
      <c r="A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c r="AC993" s="147"/>
      <c r="AD993" s="147"/>
      <c r="AE993" s="147"/>
      <c r="AF993" s="147"/>
      <c r="AG993" s="147"/>
      <c r="AH993" s="147"/>
      <c r="AI993" s="147"/>
      <c r="AJ993" s="147"/>
      <c r="AK993" s="147"/>
      <c r="AL993" s="147"/>
      <c r="AM993" s="147"/>
      <c r="AN993" s="147"/>
      <c r="AO993" s="147"/>
      <c r="AP993" s="147"/>
      <c r="AQ993" s="147"/>
      <c r="AR993" s="147"/>
      <c r="AS993" s="147"/>
      <c r="AT993" s="147"/>
      <c r="AU993" s="147"/>
      <c r="AV993" s="147"/>
      <c r="AW993" s="147"/>
      <c r="AX993" s="147"/>
      <c r="AY993" s="147"/>
      <c r="AZ993" s="147"/>
      <c r="BA993" s="147"/>
      <c r="BB993" s="147"/>
      <c r="BC993" s="147"/>
      <c r="BD993" s="147"/>
      <c r="BE993" s="147"/>
      <c r="BF993" s="147"/>
      <c r="BG993" s="147"/>
      <c r="BH993" s="147"/>
      <c r="BI993" s="147"/>
      <c r="BJ993" s="147"/>
      <c r="BK993" s="147"/>
      <c r="BL993" s="147"/>
      <c r="BM993" s="147"/>
      <c r="BN993" s="147"/>
      <c r="BO993" s="147"/>
      <c r="BP993" s="147"/>
    </row>
    <row r="994" spans="1:68">
      <c r="A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c r="AC994" s="147"/>
      <c r="AD994" s="147"/>
      <c r="AE994" s="147"/>
      <c r="AF994" s="147"/>
      <c r="AG994" s="147"/>
      <c r="AH994" s="147"/>
      <c r="AI994" s="147"/>
      <c r="AJ994" s="147"/>
      <c r="AK994" s="147"/>
      <c r="AL994" s="147"/>
      <c r="AM994" s="147"/>
      <c r="AN994" s="147"/>
      <c r="AO994" s="147"/>
      <c r="AP994" s="147"/>
      <c r="AQ994" s="147"/>
      <c r="AR994" s="147"/>
      <c r="AS994" s="147"/>
      <c r="AT994" s="147"/>
      <c r="AU994" s="147"/>
      <c r="AV994" s="147"/>
      <c r="AW994" s="147"/>
      <c r="AX994" s="147"/>
      <c r="AY994" s="147"/>
      <c r="AZ994" s="147"/>
      <c r="BA994" s="147"/>
      <c r="BB994" s="147"/>
      <c r="BC994" s="147"/>
      <c r="BD994" s="147"/>
      <c r="BE994" s="147"/>
      <c r="BF994" s="147"/>
      <c r="BG994" s="147"/>
      <c r="BH994" s="147"/>
      <c r="BI994" s="147"/>
      <c r="BJ994" s="147"/>
      <c r="BK994" s="147"/>
      <c r="BL994" s="147"/>
      <c r="BM994" s="147"/>
      <c r="BN994" s="147"/>
      <c r="BO994" s="147"/>
      <c r="BP994" s="147"/>
    </row>
    <row r="995" spans="1:68">
      <c r="A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c r="AC995" s="147"/>
      <c r="AD995" s="147"/>
      <c r="AE995" s="147"/>
      <c r="AF995" s="147"/>
      <c r="AG995" s="147"/>
      <c r="AH995" s="147"/>
      <c r="AI995" s="147"/>
      <c r="AJ995" s="147"/>
      <c r="AK995" s="147"/>
      <c r="AL995" s="147"/>
      <c r="AM995" s="147"/>
      <c r="AN995" s="147"/>
      <c r="AO995" s="147"/>
      <c r="AP995" s="147"/>
      <c r="AQ995" s="147"/>
      <c r="AR995" s="147"/>
      <c r="AS995" s="147"/>
      <c r="AT995" s="147"/>
      <c r="AU995" s="147"/>
      <c r="AV995" s="147"/>
      <c r="AW995" s="147"/>
      <c r="AX995" s="147"/>
      <c r="AY995" s="147"/>
      <c r="AZ995" s="147"/>
      <c r="BA995" s="147"/>
      <c r="BB995" s="147"/>
      <c r="BC995" s="147"/>
      <c r="BD995" s="147"/>
      <c r="BE995" s="147"/>
      <c r="BF995" s="147"/>
      <c r="BG995" s="147"/>
      <c r="BH995" s="147"/>
      <c r="BI995" s="147"/>
      <c r="BJ995" s="147"/>
      <c r="BK995" s="147"/>
      <c r="BL995" s="147"/>
      <c r="BM995" s="147"/>
      <c r="BN995" s="147"/>
      <c r="BO995" s="147"/>
      <c r="BP995" s="147"/>
    </row>
    <row r="996" spans="1:68">
      <c r="A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c r="AC996" s="147"/>
      <c r="AD996" s="147"/>
      <c r="AE996" s="147"/>
      <c r="AF996" s="147"/>
      <c r="AG996" s="147"/>
      <c r="AH996" s="147"/>
      <c r="AI996" s="147"/>
      <c r="AJ996" s="147"/>
      <c r="AK996" s="147"/>
      <c r="AL996" s="147"/>
      <c r="AM996" s="147"/>
      <c r="AN996" s="147"/>
      <c r="AO996" s="147"/>
      <c r="AP996" s="147"/>
      <c r="AQ996" s="147"/>
      <c r="AR996" s="147"/>
      <c r="AS996" s="147"/>
      <c r="AT996" s="147"/>
      <c r="AU996" s="147"/>
      <c r="AV996" s="147"/>
      <c r="AW996" s="147"/>
      <c r="AX996" s="147"/>
      <c r="AY996" s="147"/>
      <c r="AZ996" s="147"/>
      <c r="BA996" s="147"/>
      <c r="BB996" s="147"/>
      <c r="BC996" s="147"/>
      <c r="BD996" s="147"/>
      <c r="BE996" s="147"/>
      <c r="BF996" s="147"/>
      <c r="BG996" s="147"/>
      <c r="BH996" s="147"/>
      <c r="BI996" s="147"/>
      <c r="BJ996" s="147"/>
      <c r="BK996" s="147"/>
      <c r="BL996" s="147"/>
      <c r="BM996" s="147"/>
      <c r="BN996" s="147"/>
      <c r="BO996" s="147"/>
      <c r="BP996" s="147"/>
    </row>
    <row r="997" spans="1:68">
      <c r="A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c r="AC997" s="147"/>
      <c r="AD997" s="147"/>
      <c r="AE997" s="147"/>
      <c r="AF997" s="147"/>
      <c r="AG997" s="147"/>
      <c r="AH997" s="147"/>
      <c r="AI997" s="147"/>
      <c r="AJ997" s="147"/>
      <c r="AK997" s="147"/>
      <c r="AL997" s="147"/>
      <c r="AM997" s="147"/>
      <c r="AN997" s="147"/>
      <c r="AO997" s="147"/>
      <c r="AP997" s="147"/>
      <c r="AQ997" s="147"/>
      <c r="AR997" s="147"/>
      <c r="AS997" s="147"/>
      <c r="AT997" s="147"/>
      <c r="AU997" s="147"/>
      <c r="AV997" s="147"/>
      <c r="AW997" s="147"/>
      <c r="AX997" s="147"/>
      <c r="AY997" s="147"/>
      <c r="AZ997" s="147"/>
      <c r="BA997" s="147"/>
      <c r="BB997" s="147"/>
      <c r="BC997" s="147"/>
      <c r="BD997" s="147"/>
      <c r="BE997" s="147"/>
      <c r="BF997" s="147"/>
      <c r="BG997" s="147"/>
      <c r="BH997" s="147"/>
      <c r="BI997" s="147"/>
      <c r="BJ997" s="147"/>
      <c r="BK997" s="147"/>
      <c r="BL997" s="147"/>
      <c r="BM997" s="147"/>
      <c r="BN997" s="147"/>
      <c r="BO997" s="147"/>
      <c r="BP997" s="147"/>
    </row>
    <row r="998" spans="1:68">
      <c r="A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c r="AA998" s="147"/>
      <c r="AB998" s="147"/>
      <c r="AC998" s="147"/>
      <c r="AD998" s="147"/>
      <c r="AE998" s="147"/>
      <c r="AF998" s="147"/>
      <c r="AG998" s="147"/>
      <c r="AH998" s="147"/>
      <c r="AI998" s="147"/>
      <c r="AJ998" s="147"/>
      <c r="AK998" s="147"/>
      <c r="AL998" s="147"/>
      <c r="AM998" s="147"/>
      <c r="AN998" s="147"/>
      <c r="AO998" s="147"/>
      <c r="AP998" s="147"/>
      <c r="AQ998" s="147"/>
      <c r="AR998" s="147"/>
      <c r="AS998" s="147"/>
      <c r="AT998" s="147"/>
      <c r="AU998" s="147"/>
      <c r="AV998" s="147"/>
      <c r="AW998" s="147"/>
      <c r="AX998" s="147"/>
      <c r="AY998" s="147"/>
      <c r="AZ998" s="147"/>
      <c r="BA998" s="147"/>
      <c r="BB998" s="147"/>
      <c r="BC998" s="147"/>
      <c r="BD998" s="147"/>
      <c r="BE998" s="147"/>
      <c r="BF998" s="147"/>
      <c r="BG998" s="147"/>
      <c r="BH998" s="147"/>
      <c r="BI998" s="147"/>
      <c r="BJ998" s="147"/>
      <c r="BK998" s="147"/>
      <c r="BL998" s="147"/>
      <c r="BM998" s="147"/>
      <c r="BN998" s="147"/>
      <c r="BO998" s="147"/>
      <c r="BP998" s="147"/>
    </row>
    <row r="999" spans="1:68">
      <c r="A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c r="AC999" s="147"/>
      <c r="AD999" s="147"/>
      <c r="AE999" s="147"/>
      <c r="AF999" s="147"/>
      <c r="AG999" s="147"/>
      <c r="AH999" s="147"/>
      <c r="AI999" s="147"/>
      <c r="AJ999" s="147"/>
      <c r="AK999" s="147"/>
      <c r="AL999" s="147"/>
      <c r="AM999" s="147"/>
      <c r="AN999" s="147"/>
      <c r="AO999" s="147"/>
      <c r="AP999" s="147"/>
      <c r="AQ999" s="147"/>
      <c r="AR999" s="147"/>
      <c r="AS999" s="147"/>
      <c r="AT999" s="147"/>
      <c r="AU999" s="147"/>
      <c r="AV999" s="147"/>
      <c r="AW999" s="147"/>
      <c r="AX999" s="147"/>
      <c r="AY999" s="147"/>
      <c r="AZ999" s="147"/>
      <c r="BA999" s="147"/>
      <c r="BB999" s="147"/>
      <c r="BC999" s="147"/>
      <c r="BD999" s="147"/>
      <c r="BE999" s="147"/>
      <c r="BF999" s="147"/>
      <c r="BG999" s="147"/>
      <c r="BH999" s="147"/>
      <c r="BI999" s="147"/>
      <c r="BJ999" s="147"/>
      <c r="BK999" s="147"/>
      <c r="BL999" s="147"/>
      <c r="BM999" s="147"/>
      <c r="BN999" s="147"/>
      <c r="BO999" s="147"/>
      <c r="BP999" s="147"/>
    </row>
    <row r="1000" spans="1:68">
      <c r="A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c r="AB1000" s="147"/>
      <c r="AC1000" s="147"/>
      <c r="AD1000" s="147"/>
      <c r="AE1000" s="147"/>
      <c r="AF1000" s="147"/>
      <c r="AG1000" s="147"/>
      <c r="AH1000" s="147"/>
      <c r="AI1000" s="147"/>
      <c r="AJ1000" s="147"/>
      <c r="AK1000" s="147"/>
      <c r="AL1000" s="147"/>
      <c r="AM1000" s="147"/>
      <c r="AN1000" s="147"/>
      <c r="AO1000" s="147"/>
      <c r="AP1000" s="147"/>
      <c r="AQ1000" s="147"/>
      <c r="AR1000" s="147"/>
      <c r="AS1000" s="147"/>
      <c r="AT1000" s="147"/>
      <c r="AU1000" s="147"/>
      <c r="AV1000" s="147"/>
      <c r="AW1000" s="147"/>
      <c r="AX1000" s="147"/>
      <c r="AY1000" s="147"/>
      <c r="AZ1000" s="147"/>
      <c r="BA1000" s="147"/>
      <c r="BB1000" s="147"/>
      <c r="BC1000" s="147"/>
      <c r="BD1000" s="147"/>
      <c r="BE1000" s="147"/>
      <c r="BF1000" s="147"/>
      <c r="BG1000" s="147"/>
      <c r="BH1000" s="147"/>
      <c r="BI1000" s="147"/>
      <c r="BJ1000" s="147"/>
      <c r="BK1000" s="147"/>
      <c r="BL1000" s="147"/>
      <c r="BM1000" s="147"/>
      <c r="BN1000" s="147"/>
      <c r="BO1000" s="147"/>
      <c r="BP1000" s="147"/>
    </row>
  </sheetData>
  <sheetProtection sheet="1" objects="1" scenarios="1"/>
  <mergeCells count="1">
    <mergeCell ref="C3:BQ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B18EC-CECA-4042-B7C8-F5BED48D7A47}">
  <dimension ref="A1:CP1000"/>
  <sheetViews>
    <sheetView zoomScaleNormal="100" workbookViewId="0">
      <selection activeCell="C3" sqref="C3:BQ3"/>
    </sheetView>
  </sheetViews>
  <sheetFormatPr baseColWidth="10" defaultRowHeight="14.5"/>
  <cols>
    <col min="1" max="1" width="10.81640625" style="147"/>
    <col min="2" max="2" width="2.453125" style="2" customWidth="1"/>
    <col min="70" max="70" width="2.453125" style="2" customWidth="1"/>
    <col min="71" max="94" width="10.81640625" style="147"/>
  </cols>
  <sheetData>
    <row r="1" spans="2:70" ht="15" thickBot="1">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row>
    <row r="2" spans="2:70" ht="15" thickBot="1">
      <c r="B2" s="36"/>
      <c r="C2" s="37"/>
      <c r="D2" s="37"/>
      <c r="E2" s="37"/>
      <c r="F2" s="37"/>
      <c r="G2" s="37"/>
      <c r="H2" s="37"/>
      <c r="I2" s="37"/>
      <c r="J2" s="37"/>
      <c r="K2" s="37"/>
      <c r="L2" s="37"/>
      <c r="M2" s="37"/>
      <c r="N2" s="6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8"/>
    </row>
    <row r="3" spans="2:70" ht="25.5" thickBot="1">
      <c r="B3" s="39"/>
      <c r="C3" s="240" t="s">
        <v>29</v>
      </c>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2"/>
      <c r="BR3" s="40"/>
    </row>
    <row r="4" spans="2:70">
      <c r="B4" s="39"/>
      <c r="C4" s="29"/>
      <c r="D4" s="29"/>
      <c r="E4" s="29"/>
      <c r="F4" s="29"/>
      <c r="G4" s="29"/>
      <c r="H4" s="29"/>
      <c r="I4" s="29"/>
      <c r="J4" s="29"/>
      <c r="K4" s="29"/>
      <c r="L4" s="29"/>
      <c r="M4" s="29"/>
      <c r="N4" s="22"/>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40"/>
    </row>
    <row r="5" spans="2:70" ht="115">
      <c r="B5" s="70"/>
      <c r="C5" s="71" t="s">
        <v>33</v>
      </c>
      <c r="D5" s="132" t="s">
        <v>173</v>
      </c>
      <c r="E5" s="132" t="s">
        <v>347</v>
      </c>
      <c r="F5" s="132" t="s">
        <v>346</v>
      </c>
      <c r="G5" s="132" t="s">
        <v>340</v>
      </c>
      <c r="H5" s="132" t="s">
        <v>341</v>
      </c>
      <c r="I5" s="132" t="s">
        <v>342</v>
      </c>
      <c r="J5" s="132" t="s">
        <v>343</v>
      </c>
      <c r="K5" s="132" t="s">
        <v>344</v>
      </c>
      <c r="L5" s="132" t="s">
        <v>345</v>
      </c>
      <c r="M5" s="132" t="s">
        <v>394</v>
      </c>
      <c r="N5" s="132" t="s">
        <v>177</v>
      </c>
      <c r="O5" s="132" t="s">
        <v>188</v>
      </c>
      <c r="P5" s="169" t="s">
        <v>380</v>
      </c>
      <c r="Q5" s="169" t="s">
        <v>381</v>
      </c>
      <c r="R5" s="169" t="s">
        <v>382</v>
      </c>
      <c r="S5" s="169" t="s">
        <v>383</v>
      </c>
      <c r="T5" s="169" t="s">
        <v>384</v>
      </c>
      <c r="U5" s="169" t="s">
        <v>385</v>
      </c>
      <c r="V5" s="133" t="s">
        <v>386</v>
      </c>
      <c r="W5" s="169" t="s">
        <v>387</v>
      </c>
      <c r="X5" s="169" t="s">
        <v>388</v>
      </c>
      <c r="Y5" s="169" t="s">
        <v>389</v>
      </c>
      <c r="Z5" s="169" t="s">
        <v>390</v>
      </c>
      <c r="AA5" s="169" t="s">
        <v>391</v>
      </c>
      <c r="AB5" s="169" t="s">
        <v>392</v>
      </c>
      <c r="AC5" s="169" t="s">
        <v>393</v>
      </c>
      <c r="AD5" s="132" t="s">
        <v>179</v>
      </c>
      <c r="AE5" s="132" t="s">
        <v>189</v>
      </c>
      <c r="AF5" s="132" t="s">
        <v>190</v>
      </c>
      <c r="AG5" s="71" t="s">
        <v>193</v>
      </c>
      <c r="AH5" s="71" t="s">
        <v>222</v>
      </c>
      <c r="AI5" s="71" t="s">
        <v>235</v>
      </c>
      <c r="AJ5" s="71" t="s">
        <v>216</v>
      </c>
      <c r="AK5" s="71" t="s">
        <v>191</v>
      </c>
      <c r="AL5" s="71" t="s">
        <v>192</v>
      </c>
      <c r="AM5" s="71" t="s">
        <v>194</v>
      </c>
      <c r="AN5" s="71" t="s">
        <v>195</v>
      </c>
      <c r="AO5" s="71" t="s">
        <v>196</v>
      </c>
      <c r="AP5" s="71" t="s">
        <v>197</v>
      </c>
      <c r="AQ5" s="71" t="s">
        <v>198</v>
      </c>
      <c r="AR5" s="71" t="s">
        <v>199</v>
      </c>
      <c r="AS5" s="71" t="s">
        <v>200</v>
      </c>
      <c r="AT5" s="71" t="s">
        <v>201</v>
      </c>
      <c r="AU5" s="71" t="s">
        <v>395</v>
      </c>
      <c r="AV5" s="71" t="s">
        <v>426</v>
      </c>
      <c r="AW5" s="169" t="s">
        <v>380</v>
      </c>
      <c r="AX5" s="169" t="s">
        <v>381</v>
      </c>
      <c r="AY5" s="169" t="s">
        <v>412</v>
      </c>
      <c r="AZ5" s="169" t="s">
        <v>413</v>
      </c>
      <c r="BA5" s="169" t="s">
        <v>414</v>
      </c>
      <c r="BB5" s="169" t="s">
        <v>415</v>
      </c>
      <c r="BC5" s="169" t="s">
        <v>416</v>
      </c>
      <c r="BD5" s="169" t="s">
        <v>417</v>
      </c>
      <c r="BE5" s="169" t="s">
        <v>418</v>
      </c>
      <c r="BF5" s="169" t="s">
        <v>419</v>
      </c>
      <c r="BG5" s="169" t="s">
        <v>420</v>
      </c>
      <c r="BH5" s="169" t="s">
        <v>421</v>
      </c>
      <c r="BI5" s="169" t="s">
        <v>422</v>
      </c>
      <c r="BJ5" s="169" t="s">
        <v>423</v>
      </c>
      <c r="BK5" s="71" t="s">
        <v>425</v>
      </c>
      <c r="BL5" s="71" t="s">
        <v>427</v>
      </c>
      <c r="BM5" s="71" t="s">
        <v>433</v>
      </c>
      <c r="BN5" s="71" t="s">
        <v>432</v>
      </c>
      <c r="BO5" s="132" t="s">
        <v>181</v>
      </c>
      <c r="BP5" s="132" t="s">
        <v>182</v>
      </c>
      <c r="BQ5" s="132" t="s">
        <v>183</v>
      </c>
      <c r="BR5" s="73"/>
    </row>
    <row r="6" spans="2:70">
      <c r="B6" s="39"/>
      <c r="C6" s="75">
        <v>0</v>
      </c>
      <c r="D6" s="146"/>
      <c r="E6" s="76"/>
      <c r="F6" s="76"/>
      <c r="G6" s="76"/>
      <c r="H6" s="76"/>
      <c r="I6" s="76"/>
      <c r="J6" s="76"/>
      <c r="K6" s="76"/>
      <c r="L6" s="76"/>
      <c r="M6" s="76"/>
      <c r="N6" s="76">
        <f>Constantes!$D$13</f>
        <v>48.75</v>
      </c>
      <c r="O6" s="76">
        <f>MAX(0,(N6-Constantes!$D$14)*(1-EXP(-Constantes!$D$22)))</f>
        <v>1.2773876653182901</v>
      </c>
      <c r="P6" s="170">
        <f>Entradas!$F$78</f>
        <v>0</v>
      </c>
      <c r="Q6" s="170">
        <f>8000*Entradas!$D$26*P6/Constantes!$F$45</f>
        <v>0</v>
      </c>
      <c r="R6" s="171"/>
      <c r="S6" s="171"/>
      <c r="T6" s="170"/>
      <c r="U6" s="170"/>
      <c r="V6" s="146"/>
      <c r="W6" s="170"/>
      <c r="X6" s="170"/>
      <c r="Y6" s="170"/>
      <c r="Z6" s="170">
        <f>1000*Entradas!$F$78+Constantes!$F$34</f>
        <v>58.5</v>
      </c>
      <c r="AA6" s="2"/>
      <c r="AB6" s="170"/>
      <c r="AC6" s="170"/>
      <c r="AD6" s="76">
        <f>Constantes!$D$13</f>
        <v>48.75</v>
      </c>
      <c r="AE6" s="76">
        <f>MAX(0,(AD6-Constantes!$D$13)*(1-EXP(-Constantes!$D$23)))</f>
        <v>0</v>
      </c>
      <c r="AF6" s="76"/>
      <c r="AG6" s="76"/>
      <c r="AH6" s="76"/>
      <c r="AI6" s="76"/>
      <c r="AJ6" s="76"/>
      <c r="AK6" s="76"/>
      <c r="AL6" s="76"/>
      <c r="AM6" s="76"/>
      <c r="AN6" s="76">
        <f>MAX(0,O6*Escenarios!$F$13/Escenarios!$F$16-AM6)</f>
        <v>1.1241011454800953</v>
      </c>
      <c r="AO6" s="76"/>
      <c r="AP6" s="76">
        <f>MAX(0,AE6-AO6)</f>
        <v>0</v>
      </c>
      <c r="AQ6" s="76"/>
      <c r="AR6" s="76"/>
      <c r="AS6" s="76"/>
      <c r="AT6" s="76"/>
      <c r="AU6" s="76">
        <f>Constantes!$D$13</f>
        <v>48.75</v>
      </c>
      <c r="AV6" s="76">
        <f>MAX(0,(AU6-Constantes!$D$13)*(1-EXP(-Constantes!$D$24)))</f>
        <v>0</v>
      </c>
      <c r="AW6" s="170">
        <f>Entradas!$F$111</f>
        <v>0</v>
      </c>
      <c r="AX6" s="170">
        <f>8000*Entradas!$D$26*AW6/Constantes!$F$45</f>
        <v>0</v>
      </c>
      <c r="AY6" s="171"/>
      <c r="AZ6" s="171"/>
      <c r="BA6" s="170"/>
      <c r="BB6" s="170"/>
      <c r="BC6" s="170"/>
      <c r="BD6" s="170"/>
      <c r="BE6" s="170"/>
      <c r="BF6" s="170"/>
      <c r="BG6" s="170">
        <f>IF(Escenarios!$F$17&gt;0,Entradas!$F$111*Escenarios!$F$17/2,0)</f>
        <v>0</v>
      </c>
      <c r="BH6" s="170"/>
      <c r="BI6" s="170"/>
      <c r="BJ6" s="170"/>
      <c r="BK6" s="76">
        <f>Constantes!$D$13</f>
        <v>48.75</v>
      </c>
      <c r="BL6" s="76">
        <f>MAX(0,(BK6-Constantes!$D$13)*(1-EXP(-Constantes!$D$23)))</f>
        <v>0</v>
      </c>
      <c r="BM6" s="76">
        <f>AP6+AV6+BL6</f>
        <v>0</v>
      </c>
      <c r="BN6" s="76"/>
      <c r="BO6" s="76"/>
      <c r="BP6" s="76"/>
      <c r="BQ6" s="76"/>
      <c r="BR6" s="40"/>
    </row>
    <row r="7" spans="2:70">
      <c r="B7" s="39"/>
      <c r="C7" s="75">
        <v>1</v>
      </c>
      <c r="D7" s="146">
        <f>ETo!$I6*((1-Constantes!$F$19)*ETo!$K6+ETo!$L6)</f>
        <v>4.5142314674281394</v>
      </c>
      <c r="E7" s="76">
        <f>MIN(D7*Constantes!$F$17,0.8*(N6+Observaciones!$F6-F7-M7-Constantes!$D$14))</f>
        <v>2.5745192824430045</v>
      </c>
      <c r="F7" s="76">
        <f>IF(Observaciones!$F6&gt;0.05*Constantes!$F$18,((Observaciones!$F6-0.05*Constantes!$F$18)^2)/(Observaciones!$F6+0.95*Constantes!$F$18),0)</f>
        <v>0.36405194741742103</v>
      </c>
      <c r="G7" s="76">
        <f>IF(Escenarios!$F$11&gt;0,(F7*Escenarios!$F$16*10000)/1000,0)</f>
        <v>0</v>
      </c>
      <c r="H7" s="76">
        <f>IF(Escenarios!$F$11&gt;0,(Observaciones!$F6*Constantes!$F$29)/1000,0)</f>
        <v>0</v>
      </c>
      <c r="I7" s="76">
        <f>IF(Escenarios!$F$11&gt;0,(D7*Constantes!$F$29)/1000,0)</f>
        <v>0</v>
      </c>
      <c r="J7" s="76">
        <f>IF(Escenarios!$F$11&gt;0,MAX(0,G7+H7-I7),0)</f>
        <v>0</v>
      </c>
      <c r="K7" s="76">
        <f>IF(Escenarios!$F$11&gt;0,IF(J7&gt;Constantes!$F$30,1000*((J7-Constantes!$F$30)/(Escenarios!$F$16*10000)),0),F7)</f>
        <v>0.36405194741742103</v>
      </c>
      <c r="L7" s="76">
        <f>IF(Escenarios!$F$11&gt;0,I7*1000/Escenarios!$F$16/10000+E7,E7)</f>
        <v>2.5745192824430045</v>
      </c>
      <c r="M7" s="76">
        <f>MAX(0,N6+Observaciones!$F6-K7-Constantes!$D$13)</f>
        <v>19.735948052582572</v>
      </c>
      <c r="N7" s="76">
        <f>N6+Observaciones!$F6-K7-L7-M7-O6</f>
        <v>44.898093052238707</v>
      </c>
      <c r="O7" s="76">
        <f>MAX(0,(N7-Constantes!$D$14)*(1-EXP(-Constantes!$D$22)))</f>
        <v>1.1461775740376474</v>
      </c>
      <c r="P7" s="170">
        <f>P6+(Entradas!$F$83*M7-Q6)/(800*Entradas!$D$25)</f>
        <v>0</v>
      </c>
      <c r="Q7" s="170">
        <f>8000*Entradas!$D$26*P7/Constantes!$F$45</f>
        <v>0</v>
      </c>
      <c r="R7" s="170">
        <f>IF(Escenarios!$F$14&gt;0,K7*Escenarios!$F$13/Escenarios!$F$14,0)</f>
        <v>2.6697142810610877</v>
      </c>
      <c r="S7" s="170">
        <f>IF(Escenarios!$F$14&gt;0,Q7*Escenarios!$F$13/Escenarios!$F$14,0)</f>
        <v>0</v>
      </c>
      <c r="T7" s="170">
        <f>IF(Escenarios!$F$14&gt;0,Observaciones!$I6,0)</f>
        <v>0</v>
      </c>
      <c r="U7" s="170">
        <f>IF(Escenarios!$F$14&gt;0,MAX(0,Constantes!$F$36/((Z6+R7+S7+T7+Observaciones!$F6)^2)+Entradas!$F$77),0)</f>
        <v>1.4455544244862251</v>
      </c>
      <c r="V7" s="146">
        <f>IF(ETo!D6&gt;0,ETo!I6*((1-Entradas!$F$81)*ETo!K6+ETo!L6),0)</f>
        <v>4.0127079859557035</v>
      </c>
      <c r="W7" s="170">
        <f>IF(Escenarios!$F$14&gt;0,MIN(V7*1,0.8*(Z6+R7+S7+T7+Observaciones!$F6-U7-Constantes!$F$35)),0)</f>
        <v>4.0127079859557035</v>
      </c>
      <c r="X7" s="170">
        <f>IF(Escenarios!$F$14&gt;0,Observaciones!$J6,0)</f>
        <v>0</v>
      </c>
      <c r="Y7" s="170">
        <f>IF(Escenarios!$F$14&gt;0,MAX(0,Z6+R7+S7+T7+Observaciones!$F6-U7-W7-X7-Constantes!$F$33),0)</f>
        <v>0</v>
      </c>
      <c r="Z7" s="170">
        <f>Z6+R7+S7+T7+Observaciones!$F6-U7-W7-Y7</f>
        <v>75.811451870619166</v>
      </c>
      <c r="AA7" s="170">
        <f>IF(Escenarios!$F$14&gt;0,(Escenarios!$F$13*L7+Escenarios!$F$14*W7)/(Escenarios!$F$16),L7)</f>
        <v>2.7471019268645285</v>
      </c>
      <c r="AB7" s="170">
        <f>IF(Escenarios!$F$14&gt;0,(Escenarios!$F$14*Y7)/(Escenarios!$F$16),K7)</f>
        <v>0</v>
      </c>
      <c r="AC7" s="170">
        <f>IF(Escenarios!$F$14&gt;0,(Escenarios!$F$13*M7+Escenarios!$F$14*U7)/(Escenarios!$F$16),M7)</f>
        <v>17.54110081721101</v>
      </c>
      <c r="AD7" s="76">
        <f>AD6+AC7-AE6</f>
        <v>66.291100817211003</v>
      </c>
      <c r="AE7" s="76">
        <f>MAX(0,(AD7-Constantes!$D$13)*(1-EXP(-Constantes!$D$23)))</f>
        <v>0.17283664431669055</v>
      </c>
      <c r="AF7" s="76">
        <f>AB7+O7*Escenarios!$F$13/Escenarios!$F$16+AE7</f>
        <v>1.1814729094698202</v>
      </c>
      <c r="AG7" s="76">
        <f>IF(Entradas!$F$91&gt;0,IF(AF7-Escenarios!$F$38&lt;=0,0,IF(AF7-Escenarios!$F$38&gt;Escenarios!$F$37,Escenarios!$F$37,AF7-Escenarios!$F$38)),0)</f>
        <v>0.14467290946982025</v>
      </c>
      <c r="AH7" s="76">
        <f>AG7*Entradas!$F$99</f>
        <v>0</v>
      </c>
      <c r="AI7" s="76">
        <f>IF(Entradas!$F$91&gt;0,D7*Entradas!$D$23/Escenarios!$F$16,0)</f>
        <v>0.2166831104365507</v>
      </c>
      <c r="AJ7" s="76">
        <f>IF(Entradas!$F$91&gt;0,Entradas!$D$24*Entradas!$D$22/Escenarios!$F$16,0)</f>
        <v>0.12</v>
      </c>
      <c r="AK7" s="76">
        <f>AA7+AI7</f>
        <v>2.9637850373010792</v>
      </c>
      <c r="AL7" s="76">
        <f>MAX(0,AB7-AG7)</f>
        <v>0</v>
      </c>
      <c r="AM7" s="76">
        <f>AG7+AL7-AB7</f>
        <v>0.14467290946982025</v>
      </c>
      <c r="AN7" s="76">
        <f>MAX(0,O7*Escenarios!$F$13/Escenarios!$F$16-AM7)</f>
        <v>0.86396335568330951</v>
      </c>
      <c r="AO7" s="76">
        <f>AM7+AN7-O7*Escenarios!$F$13/Escenarios!$F$16</f>
        <v>0</v>
      </c>
      <c r="AP7" s="76">
        <f>MAX(0,AE7-AO7)</f>
        <v>0.17283664431669055</v>
      </c>
      <c r="AQ7" s="76">
        <f>AO7+AP7-AE7</f>
        <v>0</v>
      </c>
      <c r="AR7" s="76">
        <f>AL7+AN7+AP7+AH7</f>
        <v>1.0367999999999999</v>
      </c>
      <c r="AS7" s="76">
        <f>MAX(0,AG7-AH7-AI7-AJ7)</f>
        <v>0</v>
      </c>
      <c r="AT7" s="76">
        <f>AC7+AS7</f>
        <v>17.54110081721101</v>
      </c>
      <c r="AU7" s="76">
        <f>AU6+AS7-AV6</f>
        <v>48.75</v>
      </c>
      <c r="AV7" s="76">
        <f>MAX(0,(AU7-Constantes!$D$13)*(1-EXP(-Constantes!$D$24)))</f>
        <v>0</v>
      </c>
      <c r="AW7" s="170">
        <f>AW6+(Entradas!$F$112*AT7-AX6)/(800*Entradas!$D$25)</f>
        <v>0</v>
      </c>
      <c r="AX7" s="170">
        <f>8000*Entradas!$D$26*AW7/Constantes!$F$45</f>
        <v>0</v>
      </c>
      <c r="AY7" s="170">
        <f>IF(Escenarios!$F$17&gt;0,10*Escenarios!$F$16*AL7,0)</f>
        <v>0</v>
      </c>
      <c r="AZ7" s="170">
        <f>IF(Escenarios!$F$17&gt;0,10*Escenarios!$F$16*AX7,0)</f>
        <v>0</v>
      </c>
      <c r="BA7" s="170">
        <f>IF(Escenarios!$F$17&gt;0,0.001*Observaciones!$F6*Escenarios!$F$17,0)</f>
        <v>0</v>
      </c>
      <c r="BB7" s="170">
        <f>IF(Escenarios!$F$17&gt;0,Observaciones!$K6,0)</f>
        <v>0</v>
      </c>
      <c r="BC7" s="170">
        <f>IF(Escenarios!$F$17&gt;0,MIN(0.0005*ETo!$M6*Escenarios!$F$17*(BG6/Constantes!$F$40)^(2/3),BG6+AY7+AZ7+BA7+BB7),0)</f>
        <v>0</v>
      </c>
      <c r="BD7" s="170">
        <f>IF(Escenarios!$F$17&gt;0,MIN(Constantes!$F$39*(BG6/Constantes!$F$40)^(2/3),BG6+AY7+AZ7+BA7+BB7-BC7),0)</f>
        <v>0</v>
      </c>
      <c r="BE7" s="170">
        <f>IF(Escenarios!$F$17&gt;0,MIN(Entradas!$F$113,BG6+AY7+AZ7+BA7+BB7-BC7-BD7),0)</f>
        <v>0</v>
      </c>
      <c r="BF7" s="170">
        <f>IF(Escenarios!$F$17&gt;0,MAX(0,BG6+AY7+AZ7+BA7+BB7-BC7-BD7-BE7-Constantes!$F$40),0)</f>
        <v>0</v>
      </c>
      <c r="BG7" s="170">
        <f>BG6+AY7+AZ7+BA7+BB7-BF7-BC7-BD7-BE7</f>
        <v>0</v>
      </c>
      <c r="BH7" s="170">
        <f>(Escenarios!$F$16*AK7+0.1*BC7)/(Escenarios!$F$19)</f>
        <v>2.9637850373010792</v>
      </c>
      <c r="BI7" s="170">
        <f>IF(Escenarios!$F$17&gt;0,BF7/10/Escenarios!$F$19,AL7)</f>
        <v>0</v>
      </c>
      <c r="BJ7" s="170">
        <f>(Escenarios!$F$16*AT7+0.1*BD7)/(Escenarios!$F$19)</f>
        <v>17.54110081721101</v>
      </c>
      <c r="BK7" s="76">
        <f>BK6+(0.1*BD7)/(Escenarios!$F$19)-BL6</f>
        <v>48.75</v>
      </c>
      <c r="BL7" s="76">
        <f>MAX(0,(BK7-Constantes!$D$13)*(1-EXP(-Constantes!$D$23)))</f>
        <v>0</v>
      </c>
      <c r="BM7" s="76">
        <f t="shared" ref="BM7" si="0">AP7+AV7+BL7</f>
        <v>0.17283664431669055</v>
      </c>
      <c r="BN7" s="76">
        <f>AN7+AP7+AV7+BI7+BL7</f>
        <v>1.0367999999999999</v>
      </c>
      <c r="BO7" s="76">
        <f>0.0526*BI7*Observaciones!$F6^1.218</f>
        <v>0</v>
      </c>
      <c r="BP7" s="76">
        <f>BO7*Constantes!$F$51</f>
        <v>0</v>
      </c>
      <c r="BQ7" s="76">
        <f>BP7*1000000/(BN7/1000*10000)</f>
        <v>0</v>
      </c>
      <c r="BR7" s="40"/>
    </row>
    <row r="8" spans="2:70">
      <c r="B8" s="39"/>
      <c r="C8" s="75">
        <v>2</v>
      </c>
      <c r="D8" s="146">
        <f>ETo!$I7*((1-Constantes!$F$19)*ETo!$K7+ETo!$L7)</f>
        <v>4.500294037122285</v>
      </c>
      <c r="E8" s="76">
        <f>MIN(D8*Constantes!$F$17,0.8*(N7+Observaciones!$F7-F8-M8-Constantes!$D$14))</f>
        <v>2.5665706020687189</v>
      </c>
      <c r="F8" s="76">
        <f>IF(Observaciones!$F7&gt;0.05*Constantes!$F$18,((Observaciones!$F7-0.05*Constantes!$F$18)^2)/(Observaciones!$F7+0.95*Constantes!$F$18),0)</f>
        <v>0</v>
      </c>
      <c r="G8" s="76">
        <f>IF(Escenarios!$F$11&gt;0,(F8*Escenarios!$F$16*10000)/1000,0)</f>
        <v>0</v>
      </c>
      <c r="H8" s="76">
        <f>IF(Escenarios!$F$11&gt;0,(Observaciones!$F7*Constantes!$F$29)/1000,0)</f>
        <v>0</v>
      </c>
      <c r="I8" s="76">
        <f>IF(Escenarios!$F$11&gt;0,(D8*Constantes!$F$29)/1000,0)</f>
        <v>0</v>
      </c>
      <c r="J8" s="76">
        <f>IF(Escenarios!$F$11&gt;0,MAX(0,G8+H8-I8),0)</f>
        <v>0</v>
      </c>
      <c r="K8" s="76">
        <f>IF(Escenarios!$F$11&gt;0,IF(J8&gt;Constantes!$F$30,1000*((J8-Constantes!$F$30)/(Escenarios!$F$16*10000)),0),F8)</f>
        <v>0</v>
      </c>
      <c r="L8" s="76">
        <f>IF(Escenarios!$F$11&gt;0,I8*1000/Escenarios!$F$16/10000+E8,E8)</f>
        <v>2.5665706020687189</v>
      </c>
      <c r="M8" s="76">
        <f>MAX(0,N7+Observaciones!$F7-K8-Constantes!$D$13)</f>
        <v>0</v>
      </c>
      <c r="N8" s="76">
        <f>N7+Observaciones!$F7-K8-L8-M8-O7</f>
        <v>41.985344876132331</v>
      </c>
      <c r="O8" s="76">
        <f>MAX(0,(N8-Constantes!$D$14)*(1-EXP(-Constantes!$D$22)))</f>
        <v>1.0469586782420039</v>
      </c>
      <c r="P8" s="170">
        <f>P7+(Entradas!$F$83*M8-Q7)/(800*Entradas!$D$25)</f>
        <v>0</v>
      </c>
      <c r="Q8" s="170">
        <f>8000*Entradas!$D$26*P8/Constantes!$F$45</f>
        <v>0</v>
      </c>
      <c r="R8" s="170">
        <f>IF(Escenarios!$F$14&gt;0,K8*Escenarios!$F$13/Escenarios!$F$14,0)</f>
        <v>0</v>
      </c>
      <c r="S8" s="170">
        <f>IF(Escenarios!$F$14&gt;0,Q8*Escenarios!$F$13/Escenarios!$F$14,0)</f>
        <v>0</v>
      </c>
      <c r="T8" s="170">
        <f>IF(Escenarios!$F$14&gt;0,Observaciones!$I7,0)</f>
        <v>0</v>
      </c>
      <c r="U8" s="170">
        <f>IF(Escenarios!$F$14&gt;0,MAX(0,Constantes!$F$36/((Z7+R8+S8+T8+Observaciones!$F7)^2)+Entradas!$F$77),0)</f>
        <v>1.2507752993935817</v>
      </c>
      <c r="V8" s="146">
        <f>IF(ETo!D7&gt;0,ETo!I7*((1-Entradas!$F$81)*ETo!K7+ETo!L7),0)</f>
        <v>4.0001264312471712</v>
      </c>
      <c r="W8" s="170">
        <f>IF(Escenarios!$F$14&gt;0,MIN(V8*1,0.8*(Z7+R8+S8+T8+Observaciones!$F7-U8-Constantes!$F$35)),0)</f>
        <v>4.0001264312471712</v>
      </c>
      <c r="X8" s="170">
        <f>IF(Escenarios!$F$14&gt;0,Observaciones!$J7,0)</f>
        <v>0</v>
      </c>
      <c r="Y8" s="170">
        <f>IF(Escenarios!$F$14&gt;0,MAX(0,Z7+R8+S8+T8+Observaciones!$F7-U8-W8-X8-Constantes!$F$33),0)</f>
        <v>0</v>
      </c>
      <c r="Z8" s="170">
        <f>Z7+R8+S8+T8+Observaciones!$F7-U8-W8-Y8</f>
        <v>71.360550139978415</v>
      </c>
      <c r="AA8" s="170">
        <f>IF(Escenarios!$F$14&gt;0,(Escenarios!$F$13*L8+Escenarios!$F$14*W8)/(Escenarios!$F$16),L8)</f>
        <v>2.7385973015701333</v>
      </c>
      <c r="AB8" s="170">
        <f>IF(Escenarios!$F$14&gt;0,(Escenarios!$F$14*Y8)/(Escenarios!$F$16),K8)</f>
        <v>0</v>
      </c>
      <c r="AC8" s="170">
        <f>IF(Escenarios!$F$14&gt;0,(Escenarios!$F$13*M8+Escenarios!$F$14*U8)/(Escenarios!$F$16),M8)</f>
        <v>0.15009303592722981</v>
      </c>
      <c r="AD8" s="76">
        <f t="shared" ref="AD8:AD71" si="1">AD7+AC8-AE7</f>
        <v>66.268357208821541</v>
      </c>
      <c r="AE8" s="76">
        <f>MAX(0,(AD8-Constantes!$D$13)*(1-EXP(-Constantes!$D$23)))</f>
        <v>0.1726125461261237</v>
      </c>
      <c r="AF8" s="76">
        <f>AB8+O8*Escenarios!$F$13/Escenarios!$F$16+AE8</f>
        <v>1.0939361829790872</v>
      </c>
      <c r="AG8" s="76">
        <f>IF(Entradas!$F$91&gt;0,IF(AF8-Escenarios!$F$38&lt;=0,0,IF(AF8-Escenarios!$F$38&gt;Escenarios!$F$37,Escenarios!$F$37,AF8-Escenarios!$F$38)),0)</f>
        <v>5.7136182979087291E-2</v>
      </c>
      <c r="AH8" s="76">
        <f>AG8*Entradas!$F$99</f>
        <v>0</v>
      </c>
      <c r="AI8" s="76">
        <f>IF(Entradas!$F$91&gt;0,D8*Entradas!$D$23/Escenarios!$F$16,0)</f>
        <v>0.21601411378186969</v>
      </c>
      <c r="AJ8" s="76">
        <f>IF(Entradas!$F$91&gt;0,Entradas!$D$24*Entradas!$D$22/Escenarios!$F$16,0)</f>
        <v>0.12</v>
      </c>
      <c r="AK8" s="76">
        <f t="shared" ref="AK8:AK71" si="2">AA8+AI8</f>
        <v>2.9546114153520029</v>
      </c>
      <c r="AL8" s="76">
        <f t="shared" ref="AL8:AL71" si="3">MAX(0,AB8-AG8)</f>
        <v>0</v>
      </c>
      <c r="AM8" s="76">
        <f t="shared" ref="AM8:AM71" si="4">AG8+AL8-AB8</f>
        <v>5.7136182979087291E-2</v>
      </c>
      <c r="AN8" s="76">
        <f>MAX(0,O8*Escenarios!$F$13/Escenarios!$F$16-AM8)</f>
        <v>0.86418745387387619</v>
      </c>
      <c r="AO8" s="76">
        <f>AM8+AN8-O8*Escenarios!$F$13/Escenarios!$F$16</f>
        <v>0</v>
      </c>
      <c r="AP8" s="76">
        <f t="shared" ref="AP8:AP71" si="5">MAX(0,AE8-AO8)</f>
        <v>0.1726125461261237</v>
      </c>
      <c r="AQ8" s="76">
        <f t="shared" ref="AQ8:AQ71" si="6">AO8+AP8-AE8</f>
        <v>0</v>
      </c>
      <c r="AR8" s="76">
        <f t="shared" ref="AR8:AR71" si="7">AL8+AN8+AP8+AH8</f>
        <v>1.0367999999999999</v>
      </c>
      <c r="AS8" s="76">
        <f t="shared" ref="AS8:AS71" si="8">MAX(0,AG8-AH8-AI8-AJ8)</f>
        <v>0</v>
      </c>
      <c r="AT8" s="76">
        <f t="shared" ref="AT8:AT71" si="9">AC8+AS8</f>
        <v>0.15009303592722981</v>
      </c>
      <c r="AU8" s="76">
        <f t="shared" ref="AU8:AU71" si="10">AU7+AS8-AV7</f>
        <v>48.75</v>
      </c>
      <c r="AV8" s="76">
        <f>MAX(0,(AU8-Constantes!$D$13)*(1-EXP(-Constantes!$D$24)))</f>
        <v>0</v>
      </c>
      <c r="AW8" s="170">
        <f>AW7+(Entradas!$F$112*AT8-AX7)/(800*Entradas!$D$25)</f>
        <v>0</v>
      </c>
      <c r="AX8" s="170">
        <f>8000*Entradas!$D$26*AW8/Constantes!$F$45</f>
        <v>0</v>
      </c>
      <c r="AY8" s="170">
        <f>IF(Escenarios!$F$17&gt;0,10*Escenarios!$F$16*AL8,0)</f>
        <v>0</v>
      </c>
      <c r="AZ8" s="170">
        <f>IF(Escenarios!$F$17&gt;0,10*Escenarios!$F$16*AX8,0)</f>
        <v>0</v>
      </c>
      <c r="BA8" s="170">
        <f>IF(Escenarios!$F$17&gt;0,0.001*Observaciones!$F7*Escenarios!$F$17,0)</f>
        <v>0</v>
      </c>
      <c r="BB8" s="170">
        <f>IF(Escenarios!$F$17&gt;0,Observaciones!$K7,0)</f>
        <v>0</v>
      </c>
      <c r="BC8" s="170">
        <f>IF(Escenarios!$F$17&gt;0,MIN(0.0005*ETo!$M7*Escenarios!$F$17*(BG7/Constantes!$F$40)^(2/3),BG7+AY8+AZ8+BA8+BB8),0)</f>
        <v>0</v>
      </c>
      <c r="BD8" s="170">
        <f>IF(Escenarios!$F$17&gt;0,MIN(Constantes!$F$39*(BG7/Constantes!$F$40)^(2/3),BG7+AY8+AZ8+BA8+BB8-BC8),0)</f>
        <v>0</v>
      </c>
      <c r="BE8" s="170">
        <f>IF(Escenarios!$F$17&gt;0,MIN(Entradas!$F$113,BG7+AY8+AZ8+BA8+BB8-BC8-BD8),0)</f>
        <v>0</v>
      </c>
      <c r="BF8" s="170">
        <f>IF(Escenarios!$F$17&gt;0,MAX(0,BG7+AY8+AZ8+BA8+BB8-BC8-BD8-BE8-Constantes!$F$40),0)</f>
        <v>0</v>
      </c>
      <c r="BG8" s="170">
        <f t="shared" ref="BG8:BG71" si="11">BG7+AY8+AZ8+BA8+BB8-BF8-BC8-BD8-BE8</f>
        <v>0</v>
      </c>
      <c r="BH8" s="170">
        <f>(Escenarios!$F$16*AK8+0.1*BC8)/(Escenarios!$F$19)</f>
        <v>2.9546114153520029</v>
      </c>
      <c r="BI8" s="170">
        <f>IF(Escenarios!$F$17&gt;0,BF8/10/Escenarios!$F$19,AL8)</f>
        <v>0</v>
      </c>
      <c r="BJ8" s="170">
        <f>(Escenarios!$F$16*AT8+0.1*BD8)/(Escenarios!$F$19)</f>
        <v>0.15009303592722981</v>
      </c>
      <c r="BK8" s="76">
        <f>BK7+(0.1*BD8)/(Escenarios!$F$19)-BL7</f>
        <v>48.75</v>
      </c>
      <c r="BL8" s="76">
        <f>MAX(0,(BK8-Constantes!$D$13)*(1-EXP(-Constantes!$D$23)))</f>
        <v>0</v>
      </c>
      <c r="BM8" s="76">
        <f t="shared" ref="BM8:BM71" si="12">AP8+AV8+BL8</f>
        <v>0.1726125461261237</v>
      </c>
      <c r="BN8" s="76">
        <f t="shared" ref="BN8:BN71" si="13">AN8+AP8+AV8+BI8+BL8</f>
        <v>1.0367999999999999</v>
      </c>
      <c r="BO8" s="76">
        <f>0.0526*BI8*Observaciones!$F7^1.218</f>
        <v>0</v>
      </c>
      <c r="BP8" s="76">
        <f>BO8*Constantes!$F$51</f>
        <v>0</v>
      </c>
      <c r="BQ8" s="76">
        <f t="shared" ref="BQ8:BQ71" si="14">BP8*1000000/(BN8/1000*10000)</f>
        <v>0</v>
      </c>
      <c r="BR8" s="40"/>
    </row>
    <row r="9" spans="2:70">
      <c r="B9" s="39"/>
      <c r="C9" s="75">
        <v>3</v>
      </c>
      <c r="D9" s="146">
        <f>ETo!$I8*((1-Constantes!$F$19)*ETo!$K8+ETo!$L8)</f>
        <v>4.5747311471032166</v>
      </c>
      <c r="E9" s="76">
        <f>MIN(D9*Constantes!$F$17,0.8*(N8+Observaciones!$F8-F9-M9-Constantes!$D$14))</f>
        <v>2.6090229610932818</v>
      </c>
      <c r="F9" s="76">
        <f>IF(Observaciones!$F8&gt;0.05*Constantes!$F$18,((Observaciones!$F8-0.05*Constantes!$F$18)^2)/(Observaciones!$F8+0.95*Constantes!$F$18),0)</f>
        <v>9.1333328092413846E-2</v>
      </c>
      <c r="G9" s="76">
        <f>IF(Escenarios!$F$11&gt;0,(F9*Escenarios!$F$16*10000)/1000,0)</f>
        <v>0</v>
      </c>
      <c r="H9" s="76">
        <f>IF(Escenarios!$F$11&gt;0,(Observaciones!$F8*Constantes!$F$29)/1000,0)</f>
        <v>0</v>
      </c>
      <c r="I9" s="76">
        <f>IF(Escenarios!$F$11&gt;0,(D9*Constantes!$F$29)/1000,0)</f>
        <v>0</v>
      </c>
      <c r="J9" s="76">
        <f>IF(Escenarios!$F$11&gt;0,MAX(0,G9+H9-I9),0)</f>
        <v>0</v>
      </c>
      <c r="K9" s="76">
        <f>IF(Escenarios!$F$11&gt;0,IF(J9&gt;Constantes!$F$30,1000*((J9-Constantes!$F$30)/(Escenarios!$F$16*10000)),0),F9)</f>
        <v>9.1333328092413846E-2</v>
      </c>
      <c r="L9" s="76">
        <f>IF(Escenarios!$F$11&gt;0,I9*1000/Escenarios!$F$16/10000+E9,E9)</f>
        <v>2.6090229610932818</v>
      </c>
      <c r="M9" s="76">
        <f>MAX(0,N8+Observaciones!$F8-K9-Constantes!$D$13)</f>
        <v>8.64401154803992</v>
      </c>
      <c r="N9" s="76">
        <f>N8+Observaciones!$F8-K9-L9-M9-O8</f>
        <v>45.094018360664712</v>
      </c>
      <c r="O9" s="76">
        <f>MAX(0,(N9-Constantes!$D$14)*(1-EXP(-Constantes!$D$22)))</f>
        <v>1.1528515092991689</v>
      </c>
      <c r="P9" s="170">
        <f>P8+(Entradas!$F$83*M9-Q8)/(800*Entradas!$D$25)</f>
        <v>0</v>
      </c>
      <c r="Q9" s="170">
        <f>8000*Entradas!$D$26*P9/Constantes!$F$45</f>
        <v>0</v>
      </c>
      <c r="R9" s="170">
        <f>IF(Escenarios!$F$14&gt;0,K9*Escenarios!$F$13/Escenarios!$F$14,0)</f>
        <v>0.66977773934436824</v>
      </c>
      <c r="S9" s="170">
        <f>IF(Escenarios!$F$14&gt;0,Q9*Escenarios!$F$13/Escenarios!$F$14,0)</f>
        <v>0</v>
      </c>
      <c r="T9" s="170">
        <f>IF(Escenarios!$F$14&gt;0,Observaciones!$I8,0)</f>
        <v>0</v>
      </c>
      <c r="U9" s="170">
        <f>IF(Escenarios!$F$14&gt;0,MAX(0,Constantes!$F$36/((Z8+R9+S9+T9+Observaciones!$F8)^2)+Entradas!$F$77),0)</f>
        <v>1.6599658189909878</v>
      </c>
      <c r="V9" s="146">
        <f>IF(ETo!D8&gt;0,ETo!I8*((1-Entradas!$F$81)*ETo!K8+ETo!L8),0)</f>
        <v>4.0673851009236195</v>
      </c>
      <c r="W9" s="170">
        <f>IF(Escenarios!$F$14&gt;0,MIN(V9*1,0.8*(Z8+R9+S9+T9+Observaciones!$F8-U9-Constantes!$F$35)),0)</f>
        <v>4.0673851009236195</v>
      </c>
      <c r="X9" s="170">
        <f>IF(Escenarios!$F$14&gt;0,Observaciones!$J8,0)</f>
        <v>0</v>
      </c>
      <c r="Y9" s="170">
        <f>IF(Escenarios!$F$14&gt;0,MAX(0,Z8+R9+S9+T9+Observaciones!$F8-U9-W9-X9-Constantes!$F$33),0)</f>
        <v>0</v>
      </c>
      <c r="Z9" s="170">
        <f>Z8+R9+S9+T9+Observaciones!$F8-U9-W9-Y9</f>
        <v>81.802976959408184</v>
      </c>
      <c r="AA9" s="170">
        <f>IF(Escenarios!$F$14&gt;0,(Escenarios!$F$13*L9+Escenarios!$F$14*W9)/(Escenarios!$F$16),L9)</f>
        <v>2.7840264178729219</v>
      </c>
      <c r="AB9" s="170">
        <f>IF(Escenarios!$F$14&gt;0,(Escenarios!$F$14*Y9)/(Escenarios!$F$16),K9)</f>
        <v>0</v>
      </c>
      <c r="AC9" s="170">
        <f>IF(Escenarios!$F$14&gt;0,(Escenarios!$F$13*M9+Escenarios!$F$14*U9)/(Escenarios!$F$16),M9)</f>
        <v>7.8059260605540475</v>
      </c>
      <c r="AD9" s="76">
        <f t="shared" si="1"/>
        <v>73.901670723249467</v>
      </c>
      <c r="AE9" s="76">
        <f>MAX(0,(AD9-Constantes!$D$13)*(1-EXP(-Constantes!$D$23)))</f>
        <v>0.24782540229741243</v>
      </c>
      <c r="AF9" s="76">
        <f>AB9+O9*Escenarios!$F$13/Escenarios!$F$16+AE9</f>
        <v>1.2623347304806811</v>
      </c>
      <c r="AG9" s="76">
        <f>IF(Entradas!$F$91&gt;0,IF(AF9-Escenarios!$F$38&lt;=0,0,IF(AF9-Escenarios!$F$38&gt;Escenarios!$F$37,Escenarios!$F$37,AF9-Escenarios!$F$38)),0)</f>
        <v>0.22553473048068118</v>
      </c>
      <c r="AH9" s="76">
        <f>AG9*Entradas!$F$99</f>
        <v>0</v>
      </c>
      <c r="AI9" s="76">
        <f>IF(Entradas!$F$91&gt;0,D9*Entradas!$D$23/Escenarios!$F$16,0)</f>
        <v>0.21958709506095439</v>
      </c>
      <c r="AJ9" s="76">
        <f>IF(Entradas!$F$91&gt;0,Entradas!$D$24*Entradas!$D$22/Escenarios!$F$16,0)</f>
        <v>0.12</v>
      </c>
      <c r="AK9" s="76">
        <f t="shared" si="2"/>
        <v>3.0036135129338764</v>
      </c>
      <c r="AL9" s="76">
        <f t="shared" si="3"/>
        <v>0</v>
      </c>
      <c r="AM9" s="76">
        <f t="shared" si="4"/>
        <v>0.22553473048068118</v>
      </c>
      <c r="AN9" s="76">
        <f>MAX(0,O9*Escenarios!$F$13/Escenarios!$F$16-AM9)</f>
        <v>0.78897459770258749</v>
      </c>
      <c r="AO9" s="76">
        <f>AM9+AN9-O9*Escenarios!$F$13/Escenarios!$F$16</f>
        <v>0</v>
      </c>
      <c r="AP9" s="76">
        <f t="shared" si="5"/>
        <v>0.24782540229741243</v>
      </c>
      <c r="AQ9" s="76">
        <f t="shared" si="6"/>
        <v>0</v>
      </c>
      <c r="AR9" s="76">
        <f t="shared" si="7"/>
        <v>1.0367999999999999</v>
      </c>
      <c r="AS9" s="76">
        <f t="shared" si="8"/>
        <v>0</v>
      </c>
      <c r="AT9" s="76">
        <f t="shared" si="9"/>
        <v>7.8059260605540475</v>
      </c>
      <c r="AU9" s="76">
        <f t="shared" si="10"/>
        <v>48.75</v>
      </c>
      <c r="AV9" s="76">
        <f>MAX(0,(AU9-Constantes!$D$13)*(1-EXP(-Constantes!$D$24)))</f>
        <v>0</v>
      </c>
      <c r="AW9" s="170">
        <f>AW8+(Entradas!$F$112*AT9-AX8)/(800*Entradas!$D$25)</f>
        <v>0</v>
      </c>
      <c r="AX9" s="170">
        <f>8000*Entradas!$D$26*AW9/Constantes!$F$45</f>
        <v>0</v>
      </c>
      <c r="AY9" s="170">
        <f>IF(Escenarios!$F$17&gt;0,10*Escenarios!$F$16*AL9,0)</f>
        <v>0</v>
      </c>
      <c r="AZ9" s="170">
        <f>IF(Escenarios!$F$17&gt;0,10*Escenarios!$F$16*AX9,0)</f>
        <v>0</v>
      </c>
      <c r="BA9" s="170">
        <f>IF(Escenarios!$F$17&gt;0,0.001*Observaciones!$F8*Escenarios!$F$17,0)</f>
        <v>0</v>
      </c>
      <c r="BB9" s="170">
        <f>IF(Escenarios!$F$17&gt;0,Observaciones!$K8,0)</f>
        <v>0</v>
      </c>
      <c r="BC9" s="170">
        <f>IF(Escenarios!$F$17&gt;0,MIN(0.0005*ETo!$M8*Escenarios!$F$17*(BG8/Constantes!$F$40)^(2/3),BG8+AY9+AZ9+BA9+BB9),0)</f>
        <v>0</v>
      </c>
      <c r="BD9" s="170">
        <f>IF(Escenarios!$F$17&gt;0,MIN(Constantes!$F$39*(BG8/Constantes!$F$40)^(2/3),BG8+AY9+AZ9+BA9+BB9-BC9),0)</f>
        <v>0</v>
      </c>
      <c r="BE9" s="170">
        <f>IF(Escenarios!$F$17&gt;0,MIN(Entradas!$F$113,BG8+AY9+AZ9+BA9+BB9-BC9-BD9),0)</f>
        <v>0</v>
      </c>
      <c r="BF9" s="170">
        <f>IF(Escenarios!$F$17&gt;0,MAX(0,BG8+AY9+AZ9+BA9+BB9-BC9-BD9-BE9-Constantes!$F$40),0)</f>
        <v>0</v>
      </c>
      <c r="BG9" s="170">
        <f t="shared" si="11"/>
        <v>0</v>
      </c>
      <c r="BH9" s="170">
        <f>(Escenarios!$F$16*AK9+0.1*BC9)/(Escenarios!$F$19)</f>
        <v>3.0036135129338764</v>
      </c>
      <c r="BI9" s="170">
        <f>IF(Escenarios!$F$17&gt;0,BF9/10/Escenarios!$F$19,AL9)</f>
        <v>0</v>
      </c>
      <c r="BJ9" s="170">
        <f>(Escenarios!$F$16*AT9+0.1*BD9)/(Escenarios!$F$19)</f>
        <v>7.8059260605540475</v>
      </c>
      <c r="BK9" s="76">
        <f>BK8+(0.1*BD9)/(Escenarios!$F$19)-BL8</f>
        <v>48.75</v>
      </c>
      <c r="BL9" s="76">
        <f>MAX(0,(BK9-Constantes!$D$13)*(1-EXP(-Constantes!$D$23)))</f>
        <v>0</v>
      </c>
      <c r="BM9" s="76">
        <f t="shared" si="12"/>
        <v>0.24782540229741243</v>
      </c>
      <c r="BN9" s="76">
        <f t="shared" si="13"/>
        <v>1.0367999999999999</v>
      </c>
      <c r="BO9" s="76">
        <f>0.0526*BI9*Observaciones!$F8^1.218</f>
        <v>0</v>
      </c>
      <c r="BP9" s="76">
        <f>BO9*Constantes!$F$51</f>
        <v>0</v>
      </c>
      <c r="BQ9" s="76">
        <f t="shared" si="14"/>
        <v>0</v>
      </c>
      <c r="BR9" s="40"/>
    </row>
    <row r="10" spans="2:70">
      <c r="B10" s="39"/>
      <c r="C10" s="75">
        <v>4</v>
      </c>
      <c r="D10" s="146">
        <f>ETo!$I9*((1-Constantes!$F$19)*ETo!$K9+ETo!$L9)</f>
        <v>4.5421814257905453</v>
      </c>
      <c r="E10" s="76">
        <f>MIN(D10*Constantes!$F$17,0.8*(N9+Observaciones!$F9-F10-M10-Constantes!$D$14))</f>
        <v>2.5904594723217675</v>
      </c>
      <c r="F10" s="76">
        <f>IF(Observaciones!$F9&gt;0.05*Constantes!$F$18,((Observaciones!$F9-0.05*Constantes!$F$18)^2)/(Observaciones!$F9+0.95*Constantes!$F$18),0)</f>
        <v>0</v>
      </c>
      <c r="G10" s="76">
        <f>IF(Escenarios!$F$11&gt;0,(F10*Escenarios!$F$16*10000)/1000,0)</f>
        <v>0</v>
      </c>
      <c r="H10" s="76">
        <f>IF(Escenarios!$F$11&gt;0,(Observaciones!$F9*Constantes!$F$29)/1000,0)</f>
        <v>0</v>
      </c>
      <c r="I10" s="76">
        <f>IF(Escenarios!$F$11&gt;0,(D10*Constantes!$F$29)/1000,0)</f>
        <v>0</v>
      </c>
      <c r="J10" s="76">
        <f>IF(Escenarios!$F$11&gt;0,MAX(0,G10+H10-I10),0)</f>
        <v>0</v>
      </c>
      <c r="K10" s="76">
        <f>IF(Escenarios!$F$11&gt;0,IF(J10&gt;Constantes!$F$30,1000*((J10-Constantes!$F$30)/(Escenarios!$F$16*10000)),0),F10)</f>
        <v>0</v>
      </c>
      <c r="L10" s="76">
        <f>IF(Escenarios!$F$11&gt;0,I10*1000/Escenarios!$F$16/10000+E10,E10)</f>
        <v>2.5904594723217675</v>
      </c>
      <c r="M10" s="76">
        <f>MAX(0,N9+Observaciones!$F9-K10-Constantes!$D$13)</f>
        <v>0</v>
      </c>
      <c r="N10" s="76">
        <f>N9+Observaciones!$F9-K10-L10-M10-O9</f>
        <v>43.650707379043773</v>
      </c>
      <c r="O10" s="76">
        <f>MAX(0,(N10-Constantes!$D$14)*(1-EXP(-Constantes!$D$22)))</f>
        <v>1.1036870387620752</v>
      </c>
      <c r="P10" s="170">
        <f>P9+(Entradas!$F$83*M10-Q9)/(800*Entradas!$D$25)</f>
        <v>0</v>
      </c>
      <c r="Q10" s="170">
        <f>8000*Entradas!$D$26*P10/Constantes!$F$45</f>
        <v>0</v>
      </c>
      <c r="R10" s="170">
        <f>IF(Escenarios!$F$14&gt;0,K10*Escenarios!$F$13/Escenarios!$F$14,0)</f>
        <v>0</v>
      </c>
      <c r="S10" s="170">
        <f>IF(Escenarios!$F$14&gt;0,Q10*Escenarios!$F$13/Escenarios!$F$14,0)</f>
        <v>0</v>
      </c>
      <c r="T10" s="170">
        <f>IF(Escenarios!$F$14&gt;0,Observaciones!$I9,0)</f>
        <v>0</v>
      </c>
      <c r="U10" s="170">
        <f>IF(Escenarios!$F$14&gt;0,MAX(0,Constantes!$F$36/((Z9+R10+S10+T10+Observaciones!$F9)^2)+Entradas!$F$77),0)</f>
        <v>1.5485226951121731</v>
      </c>
      <c r="V10" s="146">
        <f>IF(ETo!D9&gt;0,ETo!I9*((1-Entradas!$F$81)*ETo!K9+ETo!L9),0)</f>
        <v>4.0379558966518694</v>
      </c>
      <c r="W10" s="170">
        <f>IF(Escenarios!$F$14&gt;0,MIN(V10*1,0.8*(Z9+R10+S10+T10+Observaciones!$F9-U10-Constantes!$F$35)),0)</f>
        <v>4.0379558966518694</v>
      </c>
      <c r="X10" s="170">
        <f>IF(Escenarios!$F$14&gt;0,Observaciones!$J9,0)</f>
        <v>0</v>
      </c>
      <c r="Y10" s="170">
        <f>IF(Escenarios!$F$14&gt;0,MAX(0,Z9+R10+S10+T10+Observaciones!$F9-U10-W10-X10-Constantes!$F$33),0)</f>
        <v>0</v>
      </c>
      <c r="Z10" s="170">
        <f>Z9+R10+S10+T10+Observaciones!$F9-U10-W10-Y10</f>
        <v>78.516498367644147</v>
      </c>
      <c r="AA10" s="170">
        <f>IF(Escenarios!$F$14&gt;0,(Escenarios!$F$13*L10+Escenarios!$F$14*W10)/(Escenarios!$F$16),L10)</f>
        <v>2.7641590432413801</v>
      </c>
      <c r="AB10" s="170">
        <f>IF(Escenarios!$F$14&gt;0,(Escenarios!$F$14*Y10)/(Escenarios!$F$16),K10)</f>
        <v>0</v>
      </c>
      <c r="AC10" s="170">
        <f>IF(Escenarios!$F$14&gt;0,(Escenarios!$F$13*M10+Escenarios!$F$14*U10)/(Escenarios!$F$16),M10)</f>
        <v>0.18582272341346079</v>
      </c>
      <c r="AD10" s="76">
        <f t="shared" si="1"/>
        <v>73.839668044365524</v>
      </c>
      <c r="AE10" s="76">
        <f>MAX(0,(AD10-Constantes!$D$13)*(1-EXP(-Constantes!$D$23)))</f>
        <v>0.24721447513448142</v>
      </c>
      <c r="AF10" s="76">
        <f>AB10+O10*Escenarios!$F$13/Escenarios!$F$16+AE10</f>
        <v>1.2184590692451076</v>
      </c>
      <c r="AG10" s="76">
        <f>IF(Entradas!$F$91&gt;0,IF(AF10-Escenarios!$F$38&lt;=0,0,IF(AF10-Escenarios!$F$38&gt;Escenarios!$F$37,Escenarios!$F$37,AF10-Escenarios!$F$38)),0)</f>
        <v>0.18165906924510766</v>
      </c>
      <c r="AH10" s="76">
        <f>AG10*Entradas!$F$99</f>
        <v>0</v>
      </c>
      <c r="AI10" s="76">
        <f>IF(Entradas!$F$91&gt;0,D10*Entradas!$D$23/Escenarios!$F$16,0)</f>
        <v>0.21802470843794616</v>
      </c>
      <c r="AJ10" s="76">
        <f>IF(Entradas!$F$91&gt;0,Entradas!$D$24*Entradas!$D$22/Escenarios!$F$16,0)</f>
        <v>0.12</v>
      </c>
      <c r="AK10" s="76">
        <f t="shared" si="2"/>
        <v>2.9821837516793264</v>
      </c>
      <c r="AL10" s="76">
        <f t="shared" si="3"/>
        <v>0</v>
      </c>
      <c r="AM10" s="76">
        <f t="shared" si="4"/>
        <v>0.18165906924510766</v>
      </c>
      <c r="AN10" s="76">
        <f>MAX(0,O10*Escenarios!$F$13/Escenarios!$F$16-AM10)</f>
        <v>0.78958552486551847</v>
      </c>
      <c r="AO10" s="76">
        <f>AM10+AN10-O10*Escenarios!$F$13/Escenarios!$F$16</f>
        <v>0</v>
      </c>
      <c r="AP10" s="76">
        <f t="shared" si="5"/>
        <v>0.24721447513448142</v>
      </c>
      <c r="AQ10" s="76">
        <f t="shared" si="6"/>
        <v>0</v>
      </c>
      <c r="AR10" s="76">
        <f t="shared" si="7"/>
        <v>1.0367999999999999</v>
      </c>
      <c r="AS10" s="76">
        <f t="shared" si="8"/>
        <v>0</v>
      </c>
      <c r="AT10" s="76">
        <f t="shared" si="9"/>
        <v>0.18582272341346079</v>
      </c>
      <c r="AU10" s="76">
        <f t="shared" si="10"/>
        <v>48.75</v>
      </c>
      <c r="AV10" s="76">
        <f>MAX(0,(AU10-Constantes!$D$13)*(1-EXP(-Constantes!$D$24)))</f>
        <v>0</v>
      </c>
      <c r="AW10" s="170">
        <f>AW9+(Entradas!$F$112*AT10-AX9)/(800*Entradas!$D$25)</f>
        <v>0</v>
      </c>
      <c r="AX10" s="170">
        <f>8000*Entradas!$D$26*AW10/Constantes!$F$45</f>
        <v>0</v>
      </c>
      <c r="AY10" s="170">
        <f>IF(Escenarios!$F$17&gt;0,10*Escenarios!$F$16*AL10,0)</f>
        <v>0</v>
      </c>
      <c r="AZ10" s="170">
        <f>IF(Escenarios!$F$17&gt;0,10*Escenarios!$F$16*AX10,0)</f>
        <v>0</v>
      </c>
      <c r="BA10" s="170">
        <f>IF(Escenarios!$F$17&gt;0,0.001*Observaciones!$F9*Escenarios!$F$17,0)</f>
        <v>0</v>
      </c>
      <c r="BB10" s="170">
        <f>IF(Escenarios!$F$17&gt;0,Observaciones!$K9,0)</f>
        <v>0</v>
      </c>
      <c r="BC10" s="170">
        <f>IF(Escenarios!$F$17&gt;0,MIN(0.0005*ETo!$M9*Escenarios!$F$17*(BG9/Constantes!$F$40)^(2/3),BG9+AY10+AZ10+BA10+BB10),0)</f>
        <v>0</v>
      </c>
      <c r="BD10" s="170">
        <f>IF(Escenarios!$F$17&gt;0,MIN(Constantes!$F$39*(BG9/Constantes!$F$40)^(2/3),BG9+AY10+AZ10+BA10+BB10-BC10),0)</f>
        <v>0</v>
      </c>
      <c r="BE10" s="170">
        <f>IF(Escenarios!$F$17&gt;0,MIN(Entradas!$F$113,BG9+AY10+AZ10+BA10+BB10-BC10-BD10),0)</f>
        <v>0</v>
      </c>
      <c r="BF10" s="170">
        <f>IF(Escenarios!$F$17&gt;0,MAX(0,BG9+AY10+AZ10+BA10+BB10-BC10-BD10-BE10-Constantes!$F$40),0)</f>
        <v>0</v>
      </c>
      <c r="BG10" s="170">
        <f t="shared" si="11"/>
        <v>0</v>
      </c>
      <c r="BH10" s="170">
        <f>(Escenarios!$F$16*AK10+0.1*BC10)/(Escenarios!$F$19)</f>
        <v>2.9821837516793264</v>
      </c>
      <c r="BI10" s="170">
        <f>IF(Escenarios!$F$17&gt;0,BF10/10/Escenarios!$F$19,AL10)</f>
        <v>0</v>
      </c>
      <c r="BJ10" s="170">
        <f>(Escenarios!$F$16*AT10+0.1*BD10)/(Escenarios!$F$19)</f>
        <v>0.18582272341346079</v>
      </c>
      <c r="BK10" s="76">
        <f>BK9+(0.1*BD10)/(Escenarios!$F$19)-BL9</f>
        <v>48.75</v>
      </c>
      <c r="BL10" s="76">
        <f>MAX(0,(BK10-Constantes!$D$13)*(1-EXP(-Constantes!$D$23)))</f>
        <v>0</v>
      </c>
      <c r="BM10" s="76">
        <f t="shared" si="12"/>
        <v>0.24721447513448142</v>
      </c>
      <c r="BN10" s="76">
        <f t="shared" si="13"/>
        <v>1.0367999999999999</v>
      </c>
      <c r="BO10" s="76">
        <f>0.0526*BI10*Observaciones!$F9^1.218</f>
        <v>0</v>
      </c>
      <c r="BP10" s="76">
        <f>BO10*Constantes!$F$51</f>
        <v>0</v>
      </c>
      <c r="BQ10" s="76">
        <f t="shared" si="14"/>
        <v>0</v>
      </c>
      <c r="BR10" s="40"/>
    </row>
    <row r="11" spans="2:70">
      <c r="B11" s="39"/>
      <c r="C11" s="75">
        <v>5</v>
      </c>
      <c r="D11" s="146">
        <f>ETo!$I10*((1-Constantes!$F$19)*ETo!$K10+ETo!$L10)</f>
        <v>4.5003004370894581</v>
      </c>
      <c r="E11" s="76">
        <f>MIN(D11*Constantes!$F$17,0.8*(N10+Observaciones!$F10-F11-M11-Constantes!$D$14))</f>
        <v>2.5665742520452461</v>
      </c>
      <c r="F11" s="76">
        <f>IF(Observaciones!$F10&gt;0.05*Constantes!$F$18,((Observaciones!$F10-0.05*Constantes!$F$18)^2)/(Observaciones!$F10+0.95*Constantes!$F$18),0)</f>
        <v>0</v>
      </c>
      <c r="G11" s="76">
        <f>IF(Escenarios!$F$11&gt;0,(F11*Escenarios!$F$16*10000)/1000,0)</f>
        <v>0</v>
      </c>
      <c r="H11" s="76">
        <f>IF(Escenarios!$F$11&gt;0,(Observaciones!$F10*Constantes!$F$29)/1000,0)</f>
        <v>0</v>
      </c>
      <c r="I11" s="76">
        <f>IF(Escenarios!$F$11&gt;0,(D11*Constantes!$F$29)/1000,0)</f>
        <v>0</v>
      </c>
      <c r="J11" s="76">
        <f>IF(Escenarios!$F$11&gt;0,MAX(0,G11+H11-I11),0)</f>
        <v>0</v>
      </c>
      <c r="K11" s="76">
        <f>IF(Escenarios!$F$11&gt;0,IF(J11&gt;Constantes!$F$30,1000*((J11-Constantes!$F$30)/(Escenarios!$F$16*10000)),0),F11)</f>
        <v>0</v>
      </c>
      <c r="L11" s="76">
        <f>IF(Escenarios!$F$11&gt;0,I11*1000/Escenarios!$F$16/10000+E11,E11)</f>
        <v>2.5665742520452461</v>
      </c>
      <c r="M11" s="76">
        <f>MAX(0,N10+Observaciones!$F10-K11-Constantes!$D$13)</f>
        <v>4.5007073790437744</v>
      </c>
      <c r="N11" s="76">
        <f>N10+Observaciones!$F10-K11-L11-M11-O10</f>
        <v>45.079738709192682</v>
      </c>
      <c r="O11" s="76">
        <f>MAX(0,(N11-Constantes!$D$14)*(1-EXP(-Constantes!$D$22)))</f>
        <v>1.1523650919483579</v>
      </c>
      <c r="P11" s="170">
        <f>P10+(Entradas!$F$83*M11-Q10)/(800*Entradas!$D$25)</f>
        <v>0</v>
      </c>
      <c r="Q11" s="170">
        <f>8000*Entradas!$D$26*P11/Constantes!$F$45</f>
        <v>0</v>
      </c>
      <c r="R11" s="170">
        <f>IF(Escenarios!$F$14&gt;0,K11*Escenarios!$F$13/Escenarios!$F$14,0)</f>
        <v>0</v>
      </c>
      <c r="S11" s="170">
        <f>IF(Escenarios!$F$14&gt;0,Q11*Escenarios!$F$13/Escenarios!$F$14,0)</f>
        <v>0</v>
      </c>
      <c r="T11" s="170">
        <f>IF(Escenarios!$F$14&gt;0,Observaciones!$I10,0)</f>
        <v>0</v>
      </c>
      <c r="U11" s="170">
        <f>IF(Escenarios!$F$14&gt;0,MAX(0,Constantes!$F$36/((Z10+R11+S11+T11+Observaciones!$F10)^2)+Entradas!$F$77),0)</f>
        <v>1.6777349288157428</v>
      </c>
      <c r="V11" s="146">
        <f>IF(ETo!D10&gt;0,ETo!I10*((1-Entradas!$F$81)*ETo!K10+ETo!L10),0)</f>
        <v>4.0001323014303152</v>
      </c>
      <c r="W11" s="170">
        <f>IF(Escenarios!$F$14&gt;0,MIN(V11*1,0.8*(Z10+R11+S11+T11+Observaciones!$F10-U11-Constantes!$F$35)),0)</f>
        <v>4.0001323014303152</v>
      </c>
      <c r="X11" s="170">
        <f>IF(Escenarios!$F$14&gt;0,Observaciones!$J10,0)</f>
        <v>0</v>
      </c>
      <c r="Y11" s="170">
        <f>IF(Escenarios!$F$14&gt;0,MAX(0,Z10+R11+S11+T11+Observaciones!$F10-U11-W11-X11-Constantes!$F$33),0)</f>
        <v>0</v>
      </c>
      <c r="Z11" s="170">
        <f>Z10+R11+S11+T11+Observaciones!$F10-U11-W11-Y11</f>
        <v>82.43863113739809</v>
      </c>
      <c r="AA11" s="170">
        <f>IF(Escenarios!$F$14&gt;0,(Escenarios!$F$13*L11+Escenarios!$F$14*W11)/(Escenarios!$F$16),L11)</f>
        <v>2.7386012179714543</v>
      </c>
      <c r="AB11" s="170">
        <f>IF(Escenarios!$F$14&gt;0,(Escenarios!$F$14*Y11)/(Escenarios!$F$16),K11)</f>
        <v>0</v>
      </c>
      <c r="AC11" s="170">
        <f>IF(Escenarios!$F$14&gt;0,(Escenarios!$F$13*M11+Escenarios!$F$14*U11)/(Escenarios!$F$16),M11)</f>
        <v>4.1619506850164107</v>
      </c>
      <c r="AD11" s="76">
        <f t="shared" si="1"/>
        <v>77.754404254247447</v>
      </c>
      <c r="AE11" s="76">
        <f>MAX(0,(AD11-Constantes!$D$13)*(1-EXP(-Constantes!$D$23)))</f>
        <v>0.28578730342796876</v>
      </c>
      <c r="AF11" s="76">
        <f>AB11+O11*Escenarios!$F$13/Escenarios!$F$16+AE11</f>
        <v>1.2998685843425237</v>
      </c>
      <c r="AG11" s="76">
        <f>IF(Entradas!$F$91&gt;0,IF(AF11-Escenarios!$F$38&lt;=0,0,IF(AF11-Escenarios!$F$38&gt;Escenarios!$F$37,Escenarios!$F$37,AF11-Escenarios!$F$38)),0)</f>
        <v>0.26306858434252378</v>
      </c>
      <c r="AH11" s="76">
        <f>AG11*Entradas!$F$99</f>
        <v>0</v>
      </c>
      <c r="AI11" s="76">
        <f>IF(Entradas!$F$91&gt;0,D11*Entradas!$D$23/Escenarios!$F$16,0)</f>
        <v>0.216014420980294</v>
      </c>
      <c r="AJ11" s="76">
        <f>IF(Entradas!$F$91&gt;0,Entradas!$D$24*Entradas!$D$22/Escenarios!$F$16,0)</f>
        <v>0.12</v>
      </c>
      <c r="AK11" s="76">
        <f t="shared" si="2"/>
        <v>2.9546156389517484</v>
      </c>
      <c r="AL11" s="76">
        <f t="shared" si="3"/>
        <v>0</v>
      </c>
      <c r="AM11" s="76">
        <f t="shared" si="4"/>
        <v>0.26306858434252378</v>
      </c>
      <c r="AN11" s="76">
        <f>MAX(0,O11*Escenarios!$F$13/Escenarios!$F$16-AM11)</f>
        <v>0.75101269657203118</v>
      </c>
      <c r="AO11" s="76">
        <f>AM11+AN11-O11*Escenarios!$F$13/Escenarios!$F$16</f>
        <v>0</v>
      </c>
      <c r="AP11" s="76">
        <f t="shared" si="5"/>
        <v>0.28578730342796876</v>
      </c>
      <c r="AQ11" s="76">
        <f t="shared" si="6"/>
        <v>0</v>
      </c>
      <c r="AR11" s="76">
        <f t="shared" si="7"/>
        <v>1.0367999999999999</v>
      </c>
      <c r="AS11" s="76">
        <f t="shared" si="8"/>
        <v>0</v>
      </c>
      <c r="AT11" s="76">
        <f t="shared" si="9"/>
        <v>4.1619506850164107</v>
      </c>
      <c r="AU11" s="76">
        <f t="shared" si="10"/>
        <v>48.75</v>
      </c>
      <c r="AV11" s="76">
        <f>MAX(0,(AU11-Constantes!$D$13)*(1-EXP(-Constantes!$D$24)))</f>
        <v>0</v>
      </c>
      <c r="AW11" s="170">
        <f>AW10+(Entradas!$F$112*AT11-AX10)/(800*Entradas!$D$25)</f>
        <v>0</v>
      </c>
      <c r="AX11" s="170">
        <f>8000*Entradas!$D$26*AW11/Constantes!$F$45</f>
        <v>0</v>
      </c>
      <c r="AY11" s="170">
        <f>IF(Escenarios!$F$17&gt;0,10*Escenarios!$F$16*AL11,0)</f>
        <v>0</v>
      </c>
      <c r="AZ11" s="170">
        <f>IF(Escenarios!$F$17&gt;0,10*Escenarios!$F$16*AX11,0)</f>
        <v>0</v>
      </c>
      <c r="BA11" s="170">
        <f>IF(Escenarios!$F$17&gt;0,0.001*Observaciones!$F10*Escenarios!$F$17,0)</f>
        <v>0</v>
      </c>
      <c r="BB11" s="170">
        <f>IF(Escenarios!$F$17&gt;0,Observaciones!$K10,0)</f>
        <v>0</v>
      </c>
      <c r="BC11" s="170">
        <f>IF(Escenarios!$F$17&gt;0,MIN(0.0005*ETo!$M10*Escenarios!$F$17*(BG10/Constantes!$F$40)^(2/3),BG10+AY11+AZ11+BA11+BB11),0)</f>
        <v>0</v>
      </c>
      <c r="BD11" s="170">
        <f>IF(Escenarios!$F$17&gt;0,MIN(Constantes!$F$39*(BG10/Constantes!$F$40)^(2/3),BG10+AY11+AZ11+BA11+BB11-BC11),0)</f>
        <v>0</v>
      </c>
      <c r="BE11" s="170">
        <f>IF(Escenarios!$F$17&gt;0,MIN(Entradas!$F$113,BG10+AY11+AZ11+BA11+BB11-BC11-BD11),0)</f>
        <v>0</v>
      </c>
      <c r="BF11" s="170">
        <f>IF(Escenarios!$F$17&gt;0,MAX(0,BG10+AY11+AZ11+BA11+BB11-BC11-BD11-BE11-Constantes!$F$40),0)</f>
        <v>0</v>
      </c>
      <c r="BG11" s="170">
        <f t="shared" si="11"/>
        <v>0</v>
      </c>
      <c r="BH11" s="170">
        <f>(Escenarios!$F$16*AK11+0.1*BC11)/(Escenarios!$F$19)</f>
        <v>2.9546156389517484</v>
      </c>
      <c r="BI11" s="170">
        <f>IF(Escenarios!$F$17&gt;0,BF11/10/Escenarios!$F$19,AL11)</f>
        <v>0</v>
      </c>
      <c r="BJ11" s="170">
        <f>(Escenarios!$F$16*AT11+0.1*BD11)/(Escenarios!$F$19)</f>
        <v>4.1619506850164107</v>
      </c>
      <c r="BK11" s="76">
        <f>BK10+(0.1*BD11)/(Escenarios!$F$19)-BL10</f>
        <v>48.75</v>
      </c>
      <c r="BL11" s="76">
        <f>MAX(0,(BK11-Constantes!$D$13)*(1-EXP(-Constantes!$D$23)))</f>
        <v>0</v>
      </c>
      <c r="BM11" s="76">
        <f t="shared" si="12"/>
        <v>0.28578730342796876</v>
      </c>
      <c r="BN11" s="76">
        <f t="shared" si="13"/>
        <v>1.0367999999999999</v>
      </c>
      <c r="BO11" s="76">
        <f>0.0526*BI11*Observaciones!$F10^1.218</f>
        <v>0</v>
      </c>
      <c r="BP11" s="76">
        <f>BO11*Constantes!$F$51</f>
        <v>0</v>
      </c>
      <c r="BQ11" s="76">
        <f t="shared" si="14"/>
        <v>0</v>
      </c>
      <c r="BR11" s="40"/>
    </row>
    <row r="12" spans="2:70">
      <c r="B12" s="39"/>
      <c r="C12" s="75">
        <v>6</v>
      </c>
      <c r="D12" s="146">
        <f>ETo!$I11*((1-Constantes!$F$19)*ETo!$K11+ETo!$L11)</f>
        <v>4.4723471973303859</v>
      </c>
      <c r="E12" s="76">
        <f>MIN(D12*Constantes!$F$17,0.8*(N11+Observaciones!$F11-F12-M12-Constantes!$D$14))</f>
        <v>2.5506321907473826</v>
      </c>
      <c r="F12" s="76">
        <f>IF(Observaciones!$F11&gt;0.05*Constantes!$F$18,((Observaciones!$F11-0.05*Constantes!$F$18)^2)/(Observaciones!$F11+0.95*Constantes!$F$18),0)</f>
        <v>0.16618131182278115</v>
      </c>
      <c r="G12" s="76">
        <f>IF(Escenarios!$F$11&gt;0,(F12*Escenarios!$F$16*10000)/1000,0)</f>
        <v>0</v>
      </c>
      <c r="H12" s="76">
        <f>IF(Escenarios!$F$11&gt;0,(Observaciones!$F11*Constantes!$F$29)/1000,0)</f>
        <v>0</v>
      </c>
      <c r="I12" s="76">
        <f>IF(Escenarios!$F$11&gt;0,(D12*Constantes!$F$29)/1000,0)</f>
        <v>0</v>
      </c>
      <c r="J12" s="76">
        <f>IF(Escenarios!$F$11&gt;0,MAX(0,G12+H12-I12),0)</f>
        <v>0</v>
      </c>
      <c r="K12" s="76">
        <f>IF(Escenarios!$F$11&gt;0,IF(J12&gt;Constantes!$F$30,1000*((J12-Constantes!$F$30)/(Escenarios!$F$16*10000)),0),F12)</f>
        <v>0.16618131182278115</v>
      </c>
      <c r="L12" s="76">
        <f>IF(Escenarios!$F$11&gt;0,I12*1000/Escenarios!$F$16/10000+E12,E12)</f>
        <v>2.5506321907473826</v>
      </c>
      <c r="M12" s="76">
        <f>MAX(0,N11+Observaciones!$F11-K12-Constantes!$D$13)</f>
        <v>13.263557397369901</v>
      </c>
      <c r="N12" s="76">
        <f>N11+Observaciones!$F11-K12-L12-M12-O11</f>
        <v>45.047002717304252</v>
      </c>
      <c r="O12" s="76">
        <f>MAX(0,(N12-Constantes!$D$14)*(1-EXP(-Constantes!$D$22)))</f>
        <v>1.1512499838883514</v>
      </c>
      <c r="P12" s="170">
        <f>P11+(Entradas!$F$83*M12-Q11)/(800*Entradas!$D$25)</f>
        <v>0</v>
      </c>
      <c r="Q12" s="170">
        <f>8000*Entradas!$D$26*P12/Constantes!$F$45</f>
        <v>0</v>
      </c>
      <c r="R12" s="170">
        <f>IF(Escenarios!$F$14&gt;0,K12*Escenarios!$F$13/Escenarios!$F$14,0)</f>
        <v>1.2186629533670617</v>
      </c>
      <c r="S12" s="170">
        <f>IF(Escenarios!$F$14&gt;0,Q12*Escenarios!$F$13/Escenarios!$F$14,0)</f>
        <v>0</v>
      </c>
      <c r="T12" s="170">
        <f>IF(Escenarios!$F$14&gt;0,Observaciones!$I11,0)</f>
        <v>0</v>
      </c>
      <c r="U12" s="170">
        <f>IF(Escenarios!$F$14&gt;0,MAX(0,Constantes!$F$36/((Z11+R12+S12+T12+Observaciones!$F11)^2)+Entradas!$F$77),0)</f>
        <v>1.9887000273466535</v>
      </c>
      <c r="V12" s="146">
        <f>IF(ETo!D11&gt;0,ETo!I11*((1-Entradas!$F$81)*ETo!K11+ETo!L11),0)</f>
        <v>3.9749131088516454</v>
      </c>
      <c r="W12" s="170">
        <f>IF(Escenarios!$F$14&gt;0,MIN(V12*1,0.8*(Z11+R12+S12+T12+Observaciones!$F11-U12-Constantes!$F$35)),0)</f>
        <v>3.9749131088516454</v>
      </c>
      <c r="X12" s="170">
        <f>IF(Escenarios!$F$14&gt;0,Observaciones!$J11,0)</f>
        <v>0</v>
      </c>
      <c r="Y12" s="170">
        <f>IF(Escenarios!$F$14&gt;0,MAX(0,Z11+R12+S12+T12+Observaciones!$F11-U12-W12-X12-Constantes!$F$33),0)</f>
        <v>0</v>
      </c>
      <c r="Z12" s="170">
        <f>Z11+R12+S12+T12+Observaciones!$F11-U12-W12-Y12</f>
        <v>94.793680954566852</v>
      </c>
      <c r="AA12" s="170">
        <f>IF(Escenarios!$F$14&gt;0,(Escenarios!$F$13*L12+Escenarios!$F$14*W12)/(Escenarios!$F$16),L12)</f>
        <v>2.7215459009198941</v>
      </c>
      <c r="AB12" s="170">
        <f>IF(Escenarios!$F$14&gt;0,(Escenarios!$F$14*Y12)/(Escenarios!$F$16),K12)</f>
        <v>0</v>
      </c>
      <c r="AC12" s="170">
        <f>IF(Escenarios!$F$14&gt;0,(Escenarios!$F$13*M12+Escenarios!$F$14*U12)/(Escenarios!$F$16),M12)</f>
        <v>11.910574512967113</v>
      </c>
      <c r="AD12" s="76">
        <f t="shared" si="1"/>
        <v>89.379191463786597</v>
      </c>
      <c r="AE12" s="76">
        <f>MAX(0,(AD12-Constantes!$D$13)*(1-EXP(-Constantes!$D$23)))</f>
        <v>0.40032910061215421</v>
      </c>
      <c r="AF12" s="76">
        <f>AB12+O12*Escenarios!$F$13/Escenarios!$F$16+AE12</f>
        <v>1.4134290864339034</v>
      </c>
      <c r="AG12" s="76">
        <f>IF(Entradas!$F$91&gt;0,IF(AF12-Escenarios!$F$38&lt;=0,0,IF(AF12-Escenarios!$F$38&gt;Escenarios!$F$37,Escenarios!$F$37,AF12-Escenarios!$F$38)),0)</f>
        <v>0.37662908643390347</v>
      </c>
      <c r="AH12" s="76">
        <f>AG12*Entradas!$F$99</f>
        <v>0</v>
      </c>
      <c r="AI12" s="76">
        <f>IF(Entradas!$F$91&gt;0,D12*Entradas!$D$23/Escenarios!$F$16,0)</f>
        <v>0.21467266547185851</v>
      </c>
      <c r="AJ12" s="76">
        <f>IF(Entradas!$F$91&gt;0,Entradas!$D$24*Entradas!$D$22/Escenarios!$F$16,0)</f>
        <v>0.12</v>
      </c>
      <c r="AK12" s="76">
        <f t="shared" si="2"/>
        <v>2.9362185663917528</v>
      </c>
      <c r="AL12" s="76">
        <f t="shared" si="3"/>
        <v>0</v>
      </c>
      <c r="AM12" s="76">
        <f t="shared" si="4"/>
        <v>0.37662908643390347</v>
      </c>
      <c r="AN12" s="76">
        <f>MAX(0,O12*Escenarios!$F$13/Escenarios!$F$16-AM12)</f>
        <v>0.63647089938784585</v>
      </c>
      <c r="AO12" s="76">
        <f>AM12+AN12-O12*Escenarios!$F$13/Escenarios!$F$16</f>
        <v>0</v>
      </c>
      <c r="AP12" s="76">
        <f t="shared" si="5"/>
        <v>0.40032910061215421</v>
      </c>
      <c r="AQ12" s="76">
        <f t="shared" si="6"/>
        <v>0</v>
      </c>
      <c r="AR12" s="76">
        <f t="shared" si="7"/>
        <v>1.0367999999999999</v>
      </c>
      <c r="AS12" s="76">
        <f t="shared" si="8"/>
        <v>4.1956420962044966E-2</v>
      </c>
      <c r="AT12" s="76">
        <f t="shared" si="9"/>
        <v>11.952530933929157</v>
      </c>
      <c r="AU12" s="76">
        <f t="shared" si="10"/>
        <v>48.791956420962045</v>
      </c>
      <c r="AV12" s="76">
        <f>MAX(0,(AU12-Constantes!$D$13)*(1-EXP(-Constantes!$D$24)))</f>
        <v>6.4131426039186132E-4</v>
      </c>
      <c r="AW12" s="170">
        <f>AW11+(Entradas!$F$112*AT12-AX11)/(800*Entradas!$D$25)</f>
        <v>0</v>
      </c>
      <c r="AX12" s="170">
        <f>8000*Entradas!$D$26*AW12/Constantes!$F$45</f>
        <v>0</v>
      </c>
      <c r="AY12" s="170">
        <f>IF(Escenarios!$F$17&gt;0,10*Escenarios!$F$16*AL12,0)</f>
        <v>0</v>
      </c>
      <c r="AZ12" s="170">
        <f>IF(Escenarios!$F$17&gt;0,10*Escenarios!$F$16*AX12,0)</f>
        <v>0</v>
      </c>
      <c r="BA12" s="170">
        <f>IF(Escenarios!$F$17&gt;0,0.001*Observaciones!$F11*Escenarios!$F$17,0)</f>
        <v>0</v>
      </c>
      <c r="BB12" s="170">
        <f>IF(Escenarios!$F$17&gt;0,Observaciones!$K11,0)</f>
        <v>0</v>
      </c>
      <c r="BC12" s="170">
        <f>IF(Escenarios!$F$17&gt;0,MIN(0.0005*ETo!$M11*Escenarios!$F$17*(BG11/Constantes!$F$40)^(2/3),BG11+AY12+AZ12+BA12+BB12),0)</f>
        <v>0</v>
      </c>
      <c r="BD12" s="170">
        <f>IF(Escenarios!$F$17&gt;0,MIN(Constantes!$F$39*(BG11/Constantes!$F$40)^(2/3),BG11+AY12+AZ12+BA12+BB12-BC12),0)</f>
        <v>0</v>
      </c>
      <c r="BE12" s="170">
        <f>IF(Escenarios!$F$17&gt;0,MIN(Entradas!$F$113,BG11+AY12+AZ12+BA12+BB12-BC12-BD12),0)</f>
        <v>0</v>
      </c>
      <c r="BF12" s="170">
        <f>IF(Escenarios!$F$17&gt;0,MAX(0,BG11+AY12+AZ12+BA12+BB12-BC12-BD12-BE12-Constantes!$F$40),0)</f>
        <v>0</v>
      </c>
      <c r="BG12" s="170">
        <f t="shared" si="11"/>
        <v>0</v>
      </c>
      <c r="BH12" s="170">
        <f>(Escenarios!$F$16*AK12+0.1*BC12)/(Escenarios!$F$19)</f>
        <v>2.9362185663917528</v>
      </c>
      <c r="BI12" s="170">
        <f>IF(Escenarios!$F$17&gt;0,BF12/10/Escenarios!$F$19,AL12)</f>
        <v>0</v>
      </c>
      <c r="BJ12" s="170">
        <f>(Escenarios!$F$16*AT12+0.1*BD12)/(Escenarios!$F$19)</f>
        <v>11.952530933929157</v>
      </c>
      <c r="BK12" s="76">
        <f>BK11+(0.1*BD12)/(Escenarios!$F$19)-BL11</f>
        <v>48.75</v>
      </c>
      <c r="BL12" s="76">
        <f>MAX(0,(BK12-Constantes!$D$13)*(1-EXP(-Constantes!$D$23)))</f>
        <v>0</v>
      </c>
      <c r="BM12" s="76">
        <f t="shared" si="12"/>
        <v>0.40097041487254609</v>
      </c>
      <c r="BN12" s="76">
        <f t="shared" si="13"/>
        <v>1.0374413142603918</v>
      </c>
      <c r="BO12" s="76">
        <f>0.0526*BI12*Observaciones!$F11^1.218</f>
        <v>0</v>
      </c>
      <c r="BP12" s="76">
        <f>BO12*Constantes!$F$51</f>
        <v>0</v>
      </c>
      <c r="BQ12" s="76">
        <f t="shared" si="14"/>
        <v>0</v>
      </c>
      <c r="BR12" s="40"/>
    </row>
    <row r="13" spans="2:70">
      <c r="B13" s="39"/>
      <c r="C13" s="75">
        <v>7</v>
      </c>
      <c r="D13" s="146">
        <f>ETo!$I12*((1-Constantes!$F$19)*ETo!$K12+ETo!$L12)</f>
        <v>4.5048801738846365</v>
      </c>
      <c r="E13" s="76">
        <f>MIN(D13*Constantes!$F$17,0.8*(N12+Observaciones!$F12-F13-M13-Constantes!$D$14))</f>
        <v>2.5691861297862912</v>
      </c>
      <c r="F13" s="76">
        <f>IF(Observaciones!$F12&gt;0.05*Constantes!$F$18,((Observaciones!$F12-0.05*Constantes!$F$18)^2)/(Observaciones!$F12+0.95*Constantes!$F$18),0)</f>
        <v>0</v>
      </c>
      <c r="G13" s="76">
        <f>IF(Escenarios!$F$11&gt;0,(F13*Escenarios!$F$16*10000)/1000,0)</f>
        <v>0</v>
      </c>
      <c r="H13" s="76">
        <f>IF(Escenarios!$F$11&gt;0,(Observaciones!$F12*Constantes!$F$29)/1000,0)</f>
        <v>0</v>
      </c>
      <c r="I13" s="76">
        <f>IF(Escenarios!$F$11&gt;0,(D13*Constantes!$F$29)/1000,0)</f>
        <v>0</v>
      </c>
      <c r="J13" s="76">
        <f>IF(Escenarios!$F$11&gt;0,MAX(0,G13+H13-I13),0)</f>
        <v>0</v>
      </c>
      <c r="K13" s="76">
        <f>IF(Escenarios!$F$11&gt;0,IF(J13&gt;Constantes!$F$30,1000*((J13-Constantes!$F$30)/(Escenarios!$F$16*10000)),0),F13)</f>
        <v>0</v>
      </c>
      <c r="L13" s="76">
        <f>IF(Escenarios!$F$11&gt;0,I13*1000/Escenarios!$F$16/10000+E13,E13)</f>
        <v>2.5691861297862912</v>
      </c>
      <c r="M13" s="76">
        <f>MAX(0,N12+Observaciones!$F12-K13-Constantes!$D$13)</f>
        <v>0</v>
      </c>
      <c r="N13" s="76">
        <f>N12+Observaciones!$F12-K13-L13-M13-O12</f>
        <v>42.026566603629618</v>
      </c>
      <c r="O13" s="76">
        <f>MAX(0,(N13-Constantes!$D$14)*(1-EXP(-Constantes!$D$22)))</f>
        <v>1.048362841608621</v>
      </c>
      <c r="P13" s="170">
        <f>P12+(Entradas!$F$83*M13-Q12)/(800*Entradas!$D$25)</f>
        <v>0</v>
      </c>
      <c r="Q13" s="170">
        <f>8000*Entradas!$D$26*P13/Constantes!$F$45</f>
        <v>0</v>
      </c>
      <c r="R13" s="170">
        <f>IF(Escenarios!$F$14&gt;0,K13*Escenarios!$F$13/Escenarios!$F$14,0)</f>
        <v>0</v>
      </c>
      <c r="S13" s="170">
        <f>IF(Escenarios!$F$14&gt;0,Q13*Escenarios!$F$13/Escenarios!$F$14,0)</f>
        <v>0</v>
      </c>
      <c r="T13" s="170">
        <f>IF(Escenarios!$F$14&gt;0,Observaciones!$I12,0)</f>
        <v>0</v>
      </c>
      <c r="U13" s="170">
        <f>IF(Escenarios!$F$14&gt;0,MAX(0,Constantes!$F$36/((Z12+R13+S13+T13+Observaciones!$F12)^2)+Entradas!$F$77),0)</f>
        <v>1.8741417399963942</v>
      </c>
      <c r="V13" s="146">
        <f>IF(ETo!D12&gt;0,ETo!I12*((1-Entradas!$F$81)*ETo!K12+ETo!L12),0)</f>
        <v>4.0042649617514998</v>
      </c>
      <c r="W13" s="170">
        <f>IF(Escenarios!$F$14&gt;0,MIN(V13*1,0.8*(Z12+R13+S13+T13+Observaciones!$F12-U13-Constantes!$F$35)),0)</f>
        <v>4.0042649617514998</v>
      </c>
      <c r="X13" s="170">
        <f>IF(Escenarios!$F$14&gt;0,Observaciones!$J12,0)</f>
        <v>0</v>
      </c>
      <c r="Y13" s="170">
        <f>IF(Escenarios!$F$14&gt;0,MAX(0,Z12+R13+S13+T13+Observaciones!$F12-U13-W13-X13-Constantes!$F$33),0)</f>
        <v>0</v>
      </c>
      <c r="Z13" s="170">
        <f>Z12+R13+S13+T13+Observaciones!$F12-U13-W13-Y13</f>
        <v>89.615274252818963</v>
      </c>
      <c r="AA13" s="170">
        <f>IF(Escenarios!$F$14&gt;0,(Escenarios!$F$13*L13+Escenarios!$F$14*W13)/(Escenarios!$F$16),L13)</f>
        <v>2.7413955896221158</v>
      </c>
      <c r="AB13" s="170">
        <f>IF(Escenarios!$F$14&gt;0,(Escenarios!$F$14*Y13)/(Escenarios!$F$16),K13)</f>
        <v>0</v>
      </c>
      <c r="AC13" s="170">
        <f>IF(Escenarios!$F$14&gt;0,(Escenarios!$F$13*M13+Escenarios!$F$14*U13)/(Escenarios!$F$16),M13)</f>
        <v>0.22489700879956731</v>
      </c>
      <c r="AD13" s="76">
        <f t="shared" si="1"/>
        <v>89.203759371974016</v>
      </c>
      <c r="AE13" s="76">
        <f>MAX(0,(AD13-Constantes!$D$13)*(1-EXP(-Constantes!$D$23)))</f>
        <v>0.39860052642685601</v>
      </c>
      <c r="AF13" s="76">
        <f>AB13+O13*Escenarios!$F$13/Escenarios!$F$16+AE13</f>
        <v>1.3211598270424425</v>
      </c>
      <c r="AG13" s="76">
        <f>IF(Entradas!$F$91&gt;0,IF(AF13-Escenarios!$F$38&lt;=0,0,IF(AF13-Escenarios!$F$38&gt;Escenarios!$F$37,Escenarios!$F$37,AF13-Escenarios!$F$38)),0)</f>
        <v>0.28435982704244256</v>
      </c>
      <c r="AH13" s="76">
        <f>AG13*Entradas!$F$99</f>
        <v>0</v>
      </c>
      <c r="AI13" s="76">
        <f>IF(Entradas!$F$91&gt;0,D13*Entradas!$D$23/Escenarios!$F$16,0)</f>
        <v>0.21623424834646254</v>
      </c>
      <c r="AJ13" s="76">
        <f>IF(Entradas!$F$91&gt;0,Entradas!$D$24*Entradas!$D$22/Escenarios!$F$16,0)</f>
        <v>0.12</v>
      </c>
      <c r="AK13" s="76">
        <f t="shared" si="2"/>
        <v>2.9576298379685784</v>
      </c>
      <c r="AL13" s="76">
        <f t="shared" si="3"/>
        <v>0</v>
      </c>
      <c r="AM13" s="76">
        <f t="shared" si="4"/>
        <v>0.28435982704244256</v>
      </c>
      <c r="AN13" s="76">
        <f>MAX(0,O13*Escenarios!$F$13/Escenarios!$F$16-AM13)</f>
        <v>0.63819947357314388</v>
      </c>
      <c r="AO13" s="76">
        <f>AM13+AN13-O13*Escenarios!$F$13/Escenarios!$F$16</f>
        <v>0</v>
      </c>
      <c r="AP13" s="76">
        <f t="shared" si="5"/>
        <v>0.39860052642685601</v>
      </c>
      <c r="AQ13" s="76">
        <f t="shared" si="6"/>
        <v>0</v>
      </c>
      <c r="AR13" s="76">
        <f t="shared" si="7"/>
        <v>1.0367999999999999</v>
      </c>
      <c r="AS13" s="76">
        <f t="shared" si="8"/>
        <v>0</v>
      </c>
      <c r="AT13" s="76">
        <f t="shared" si="9"/>
        <v>0.22489700879956731</v>
      </c>
      <c r="AU13" s="76">
        <f t="shared" si="10"/>
        <v>48.791315106701653</v>
      </c>
      <c r="AV13" s="76">
        <f>MAX(0,(AU13-Constantes!$D$13)*(1-EXP(-Constantes!$D$24)))</f>
        <v>6.3151161347509979E-4</v>
      </c>
      <c r="AW13" s="170">
        <f>AW12+(Entradas!$F$112*AT13-AX12)/(800*Entradas!$D$25)</f>
        <v>0</v>
      </c>
      <c r="AX13" s="170">
        <f>8000*Entradas!$D$26*AW13/Constantes!$F$45</f>
        <v>0</v>
      </c>
      <c r="AY13" s="170">
        <f>IF(Escenarios!$F$17&gt;0,10*Escenarios!$F$16*AL13,0)</f>
        <v>0</v>
      </c>
      <c r="AZ13" s="170">
        <f>IF(Escenarios!$F$17&gt;0,10*Escenarios!$F$16*AX13,0)</f>
        <v>0</v>
      </c>
      <c r="BA13" s="170">
        <f>IF(Escenarios!$F$17&gt;0,0.001*Observaciones!$F12*Escenarios!$F$17,0)</f>
        <v>0</v>
      </c>
      <c r="BB13" s="170">
        <f>IF(Escenarios!$F$17&gt;0,Observaciones!$K12,0)</f>
        <v>0</v>
      </c>
      <c r="BC13" s="170">
        <f>IF(Escenarios!$F$17&gt;0,MIN(0.0005*ETo!$M12*Escenarios!$F$17*(BG12/Constantes!$F$40)^(2/3),BG12+AY13+AZ13+BA13+BB13),0)</f>
        <v>0</v>
      </c>
      <c r="BD13" s="170">
        <f>IF(Escenarios!$F$17&gt;0,MIN(Constantes!$F$39*(BG12/Constantes!$F$40)^(2/3),BG12+AY13+AZ13+BA13+BB13-BC13),0)</f>
        <v>0</v>
      </c>
      <c r="BE13" s="170">
        <f>IF(Escenarios!$F$17&gt;0,MIN(Entradas!$F$113,BG12+AY13+AZ13+BA13+BB13-BC13-BD13),0)</f>
        <v>0</v>
      </c>
      <c r="BF13" s="170">
        <f>IF(Escenarios!$F$17&gt;0,MAX(0,BG12+AY13+AZ13+BA13+BB13-BC13-BD13-BE13-Constantes!$F$40),0)</f>
        <v>0</v>
      </c>
      <c r="BG13" s="170">
        <f t="shared" si="11"/>
        <v>0</v>
      </c>
      <c r="BH13" s="170">
        <f>(Escenarios!$F$16*AK13+0.1*BC13)/(Escenarios!$F$19)</f>
        <v>2.9576298379685784</v>
      </c>
      <c r="BI13" s="170">
        <f>IF(Escenarios!$F$17&gt;0,BF13/10/Escenarios!$F$19,AL13)</f>
        <v>0</v>
      </c>
      <c r="BJ13" s="170">
        <f>(Escenarios!$F$16*AT13+0.1*BD13)/(Escenarios!$F$19)</f>
        <v>0.22489700879956731</v>
      </c>
      <c r="BK13" s="76">
        <f>BK12+(0.1*BD13)/(Escenarios!$F$19)-BL12</f>
        <v>48.75</v>
      </c>
      <c r="BL13" s="76">
        <f>MAX(0,(BK13-Constantes!$D$13)*(1-EXP(-Constantes!$D$23)))</f>
        <v>0</v>
      </c>
      <c r="BM13" s="76">
        <f t="shared" si="12"/>
        <v>0.39923203804033108</v>
      </c>
      <c r="BN13" s="76">
        <f t="shared" si="13"/>
        <v>1.0374315116134751</v>
      </c>
      <c r="BO13" s="76">
        <f>0.0526*BI13*Observaciones!$F12^1.218</f>
        <v>0</v>
      </c>
      <c r="BP13" s="76">
        <f>BO13*Constantes!$F$51</f>
        <v>0</v>
      </c>
      <c r="BQ13" s="76">
        <f t="shared" si="14"/>
        <v>0</v>
      </c>
      <c r="BR13" s="40"/>
    </row>
    <row r="14" spans="2:70">
      <c r="B14" s="39"/>
      <c r="C14" s="75">
        <v>8</v>
      </c>
      <c r="D14" s="146">
        <f>ETo!$I13*((1-Constantes!$F$19)*ETo!$K13+ETo!$L13)</f>
        <v>4.5420264047026349</v>
      </c>
      <c r="E14" s="76">
        <f>MIN(D14*Constantes!$F$17,0.8*(N13+Observaciones!$F13-F14-M14-Constantes!$D$14))</f>
        <v>2.5903710619726552</v>
      </c>
      <c r="F14" s="76">
        <f>IF(Observaciones!$F13&gt;0.05*Constantes!$F$18,((Observaciones!$F13-0.05*Constantes!$F$18)^2)/(Observaciones!$F13+0.95*Constantes!$F$18),0)</f>
        <v>0</v>
      </c>
      <c r="G14" s="76">
        <f>IF(Escenarios!$F$11&gt;0,(F14*Escenarios!$F$16*10000)/1000,0)</f>
        <v>0</v>
      </c>
      <c r="H14" s="76">
        <f>IF(Escenarios!$F$11&gt;0,(Observaciones!$F13*Constantes!$F$29)/1000,0)</f>
        <v>0</v>
      </c>
      <c r="I14" s="76">
        <f>IF(Escenarios!$F$11&gt;0,(D14*Constantes!$F$29)/1000,0)</f>
        <v>0</v>
      </c>
      <c r="J14" s="76">
        <f>IF(Escenarios!$F$11&gt;0,MAX(0,G14+H14-I14),0)</f>
        <v>0</v>
      </c>
      <c r="K14" s="76">
        <f>IF(Escenarios!$F$11&gt;0,IF(J14&gt;Constantes!$F$30,1000*((J14-Constantes!$F$30)/(Escenarios!$F$16*10000)),0),F14)</f>
        <v>0</v>
      </c>
      <c r="L14" s="76">
        <f>IF(Escenarios!$F$11&gt;0,I14*1000/Escenarios!$F$16/10000+E14,E14)</f>
        <v>2.5903710619726552</v>
      </c>
      <c r="M14" s="76">
        <f>MAX(0,N13+Observaciones!$F13-K14-Constantes!$D$13)</f>
        <v>0</v>
      </c>
      <c r="N14" s="76">
        <f>N13+Observaciones!$F13-K14-L14-M14-O13</f>
        <v>38.387832700048342</v>
      </c>
      <c r="O14" s="76">
        <f>MAX(0,(N14-Constantes!$D$14)*(1-EXP(-Constantes!$D$22)))</f>
        <v>0.92441420678701591</v>
      </c>
      <c r="P14" s="170">
        <f>P13+(Entradas!$F$83*M14-Q13)/(800*Entradas!$D$25)</f>
        <v>0</v>
      </c>
      <c r="Q14" s="170">
        <f>8000*Entradas!$D$26*P14/Constantes!$F$45</f>
        <v>0</v>
      </c>
      <c r="R14" s="170">
        <f>IF(Escenarios!$F$14&gt;0,K14*Escenarios!$F$13/Escenarios!$F$14,0)</f>
        <v>0</v>
      </c>
      <c r="S14" s="170">
        <f>IF(Escenarios!$F$14&gt;0,Q14*Escenarios!$F$13/Escenarios!$F$14,0)</f>
        <v>0</v>
      </c>
      <c r="T14" s="170">
        <f>IF(Escenarios!$F$14&gt;0,Observaciones!$I13,0)</f>
        <v>0</v>
      </c>
      <c r="U14" s="170">
        <f>IF(Escenarios!$F$14&gt;0,MAX(0,Constantes!$F$36/((Z13+R14+S14+T14+Observaciones!$F13)^2)+Entradas!$F$77),0)</f>
        <v>1.721593675655102</v>
      </c>
      <c r="V14" s="146">
        <f>IF(ETo!D13&gt;0,ETo!I13*((1-Entradas!$F$81)*ETo!K13+ETo!L13),0)</f>
        <v>4.0378137080823562</v>
      </c>
      <c r="W14" s="170">
        <f>IF(Escenarios!$F$14&gt;0,MIN(V14*1,0.8*(Z13+R14+S14+T14+Observaciones!$F13-U14-Constantes!$F$35)),0)</f>
        <v>4.0378137080823562</v>
      </c>
      <c r="X14" s="170">
        <f>IF(Escenarios!$F$14&gt;0,Observaciones!$J13,0)</f>
        <v>0</v>
      </c>
      <c r="Y14" s="170">
        <f>IF(Escenarios!$F$14&gt;0,MAX(0,Z13+R14+S14+T14+Observaciones!$F13-U14-W14-X14-Constantes!$F$33),0)</f>
        <v>0</v>
      </c>
      <c r="Z14" s="170">
        <f>Z13+R14+S14+T14+Observaciones!$F13-U14-W14-Y14</f>
        <v>83.85586686908151</v>
      </c>
      <c r="AA14" s="170">
        <f>IF(Escenarios!$F$14&gt;0,(Escenarios!$F$13*L14+Escenarios!$F$14*W14)/(Escenarios!$F$16),L14)</f>
        <v>2.7640641795058194</v>
      </c>
      <c r="AB14" s="170">
        <f>IF(Escenarios!$F$14&gt;0,(Escenarios!$F$14*Y14)/(Escenarios!$F$16),K14)</f>
        <v>0</v>
      </c>
      <c r="AC14" s="170">
        <f>IF(Escenarios!$F$14&gt;0,(Escenarios!$F$13*M14+Escenarios!$F$14*U14)/(Escenarios!$F$16),M14)</f>
        <v>0.20659124107861226</v>
      </c>
      <c r="AD14" s="76">
        <f t="shared" si="1"/>
        <v>89.011750086625767</v>
      </c>
      <c r="AE14" s="76">
        <f>MAX(0,(AD14-Constantes!$D$13)*(1-EXP(-Constantes!$D$23)))</f>
        <v>0.39670861320527095</v>
      </c>
      <c r="AF14" s="76">
        <f>AB14+O14*Escenarios!$F$13/Escenarios!$F$16+AE14</f>
        <v>1.2101931151778449</v>
      </c>
      <c r="AG14" s="76">
        <f>IF(Entradas!$F$91&gt;0,IF(AF14-Escenarios!$F$38&lt;=0,0,IF(AF14-Escenarios!$F$38&gt;Escenarios!$F$37,Escenarios!$F$37,AF14-Escenarios!$F$38)),0)</f>
        <v>0.17339311517784495</v>
      </c>
      <c r="AH14" s="76">
        <f>AG14*Entradas!$F$99</f>
        <v>0</v>
      </c>
      <c r="AI14" s="76">
        <f>IF(Entradas!$F$91&gt;0,D14*Entradas!$D$23/Escenarios!$F$16,0)</f>
        <v>0.21801726742572647</v>
      </c>
      <c r="AJ14" s="76">
        <f>IF(Entradas!$F$91&gt;0,Entradas!$D$24*Entradas!$D$22/Escenarios!$F$16,0)</f>
        <v>0.12</v>
      </c>
      <c r="AK14" s="76">
        <f t="shared" si="2"/>
        <v>2.982081446931546</v>
      </c>
      <c r="AL14" s="76">
        <f t="shared" si="3"/>
        <v>0</v>
      </c>
      <c r="AM14" s="76">
        <f t="shared" si="4"/>
        <v>0.17339311517784495</v>
      </c>
      <c r="AN14" s="76">
        <f>MAX(0,O14*Escenarios!$F$13/Escenarios!$F$16-AM14)</f>
        <v>0.64009138679472899</v>
      </c>
      <c r="AO14" s="76">
        <f>AM14+AN14-O14*Escenarios!$F$13/Escenarios!$F$16</f>
        <v>0</v>
      </c>
      <c r="AP14" s="76">
        <f t="shared" si="5"/>
        <v>0.39670861320527095</v>
      </c>
      <c r="AQ14" s="76">
        <f t="shared" si="6"/>
        <v>0</v>
      </c>
      <c r="AR14" s="76">
        <f t="shared" si="7"/>
        <v>1.0367999999999999</v>
      </c>
      <c r="AS14" s="76">
        <f t="shared" si="8"/>
        <v>0</v>
      </c>
      <c r="AT14" s="76">
        <f t="shared" si="9"/>
        <v>0.20659124107861226</v>
      </c>
      <c r="AU14" s="76">
        <f t="shared" si="10"/>
        <v>48.790683595088176</v>
      </c>
      <c r="AV14" s="76">
        <f>MAX(0,(AU14-Constantes!$D$13)*(1-EXP(-Constantes!$D$24)))</f>
        <v>6.2185880243832508E-4</v>
      </c>
      <c r="AW14" s="170">
        <f>AW13+(Entradas!$F$112*AT14-AX13)/(800*Entradas!$D$25)</f>
        <v>0</v>
      </c>
      <c r="AX14" s="170">
        <f>8000*Entradas!$D$26*AW14/Constantes!$F$45</f>
        <v>0</v>
      </c>
      <c r="AY14" s="170">
        <f>IF(Escenarios!$F$17&gt;0,10*Escenarios!$F$16*AL14,0)</f>
        <v>0</v>
      </c>
      <c r="AZ14" s="170">
        <f>IF(Escenarios!$F$17&gt;0,10*Escenarios!$F$16*AX14,0)</f>
        <v>0</v>
      </c>
      <c r="BA14" s="170">
        <f>IF(Escenarios!$F$17&gt;0,0.001*Observaciones!$F13*Escenarios!$F$17,0)</f>
        <v>0</v>
      </c>
      <c r="BB14" s="170">
        <f>IF(Escenarios!$F$17&gt;0,Observaciones!$K13,0)</f>
        <v>0</v>
      </c>
      <c r="BC14" s="170">
        <f>IF(Escenarios!$F$17&gt;0,MIN(0.0005*ETo!$M13*Escenarios!$F$17*(BG13/Constantes!$F$40)^(2/3),BG13+AY14+AZ14+BA14+BB14),0)</f>
        <v>0</v>
      </c>
      <c r="BD14" s="170">
        <f>IF(Escenarios!$F$17&gt;0,MIN(Constantes!$F$39*(BG13/Constantes!$F$40)^(2/3),BG13+AY14+AZ14+BA14+BB14-BC14),0)</f>
        <v>0</v>
      </c>
      <c r="BE14" s="170">
        <f>IF(Escenarios!$F$17&gt;0,MIN(Entradas!$F$113,BG13+AY14+AZ14+BA14+BB14-BC14-BD14),0)</f>
        <v>0</v>
      </c>
      <c r="BF14" s="170">
        <f>IF(Escenarios!$F$17&gt;0,MAX(0,BG13+AY14+AZ14+BA14+BB14-BC14-BD14-BE14-Constantes!$F$40),0)</f>
        <v>0</v>
      </c>
      <c r="BG14" s="170">
        <f t="shared" si="11"/>
        <v>0</v>
      </c>
      <c r="BH14" s="170">
        <f>(Escenarios!$F$16*AK14+0.1*BC14)/(Escenarios!$F$19)</f>
        <v>2.982081446931546</v>
      </c>
      <c r="BI14" s="170">
        <f>IF(Escenarios!$F$17&gt;0,BF14/10/Escenarios!$F$19,AL14)</f>
        <v>0</v>
      </c>
      <c r="BJ14" s="170">
        <f>(Escenarios!$F$16*AT14+0.1*BD14)/(Escenarios!$F$19)</f>
        <v>0.20659124107861226</v>
      </c>
      <c r="BK14" s="76">
        <f>BK13+(0.1*BD14)/(Escenarios!$F$19)-BL13</f>
        <v>48.75</v>
      </c>
      <c r="BL14" s="76">
        <f>MAX(0,(BK14-Constantes!$D$13)*(1-EXP(-Constantes!$D$23)))</f>
        <v>0</v>
      </c>
      <c r="BM14" s="76">
        <f t="shared" si="12"/>
        <v>0.39733047200770927</v>
      </c>
      <c r="BN14" s="76">
        <f t="shared" si="13"/>
        <v>1.0374218588024382</v>
      </c>
      <c r="BO14" s="76">
        <f>0.0526*BI14*Observaciones!$F13^1.218</f>
        <v>0</v>
      </c>
      <c r="BP14" s="76">
        <f>BO14*Constantes!$F$51</f>
        <v>0</v>
      </c>
      <c r="BQ14" s="76">
        <f t="shared" si="14"/>
        <v>0</v>
      </c>
      <c r="BR14" s="40"/>
    </row>
    <row r="15" spans="2:70">
      <c r="B15" s="39"/>
      <c r="C15" s="75">
        <v>9</v>
      </c>
      <c r="D15" s="146">
        <f>ETo!$I14*((1-Constantes!$F$19)*ETo!$K14+ETo!$L14)</f>
        <v>4.5326266556950499</v>
      </c>
      <c r="E15" s="76">
        <f>MIN(D15*Constantes!$F$17,0.8*(N14+Observaciones!$F14-F15-M15-Constantes!$D$14))</f>
        <v>2.5850102745950552</v>
      </c>
      <c r="F15" s="76">
        <f>IF(Observaciones!$F14&gt;0.05*Constantes!$F$18,((Observaciones!$F14-0.05*Constantes!$F$18)^2)/(Observaciones!$F14+0.95*Constantes!$F$18),0)</f>
        <v>0</v>
      </c>
      <c r="G15" s="76">
        <f>IF(Escenarios!$F$11&gt;0,(F15*Escenarios!$F$16*10000)/1000,0)</f>
        <v>0</v>
      </c>
      <c r="H15" s="76">
        <f>IF(Escenarios!$F$11&gt;0,(Observaciones!$F14*Constantes!$F$29)/1000,0)</f>
        <v>0</v>
      </c>
      <c r="I15" s="76">
        <f>IF(Escenarios!$F$11&gt;0,(D15*Constantes!$F$29)/1000,0)</f>
        <v>0</v>
      </c>
      <c r="J15" s="76">
        <f>IF(Escenarios!$F$11&gt;0,MAX(0,G15+H15-I15),0)</f>
        <v>0</v>
      </c>
      <c r="K15" s="76">
        <f>IF(Escenarios!$F$11&gt;0,IF(J15&gt;Constantes!$F$30,1000*((J15-Constantes!$F$30)/(Escenarios!$F$16*10000)),0),F15)</f>
        <v>0</v>
      </c>
      <c r="L15" s="76">
        <f>IF(Escenarios!$F$11&gt;0,I15*1000/Escenarios!$F$16/10000+E15,E15)</f>
        <v>2.5850102745950552</v>
      </c>
      <c r="M15" s="76">
        <f>MAX(0,N14+Observaciones!$F14-K15-Constantes!$D$13)</f>
        <v>0</v>
      </c>
      <c r="N15" s="76">
        <f>N14+Observaciones!$F14-K15-L15-M15-O14</f>
        <v>34.878408218666273</v>
      </c>
      <c r="O15" s="76">
        <f>MAX(0,(N15-Constantes!$D$14)*(1-EXP(-Constantes!$D$22)))</f>
        <v>0.80487032559012284</v>
      </c>
      <c r="P15" s="170">
        <f>P14+(Entradas!$F$83*M15-Q14)/(800*Entradas!$D$25)</f>
        <v>0</v>
      </c>
      <c r="Q15" s="170">
        <f>8000*Entradas!$D$26*P15/Constantes!$F$45</f>
        <v>0</v>
      </c>
      <c r="R15" s="170">
        <f>IF(Escenarios!$F$14&gt;0,K15*Escenarios!$F$13/Escenarios!$F$14,0)</f>
        <v>0</v>
      </c>
      <c r="S15" s="170">
        <f>IF(Escenarios!$F$14&gt;0,Q15*Escenarios!$F$13/Escenarios!$F$14,0)</f>
        <v>0</v>
      </c>
      <c r="T15" s="170">
        <f>IF(Escenarios!$F$14&gt;0,Observaciones!$I14,0)</f>
        <v>0</v>
      </c>
      <c r="U15" s="170">
        <f>IF(Escenarios!$F$14&gt;0,MAX(0,Constantes!$F$36/((Z14+R15+S15+T15+Observaciones!$F14)^2)+Entradas!$F$77),0)</f>
        <v>1.5399555386242501</v>
      </c>
      <c r="V15" s="146">
        <f>IF(ETo!D14&gt;0,ETo!I14*((1-Entradas!$F$81)*ETo!K14+ETo!L14),0)</f>
        <v>4.0293191541155222</v>
      </c>
      <c r="W15" s="170">
        <f>IF(Escenarios!$F$14&gt;0,MIN(V15*1,0.8*(Z14+R15+S15+T15+Observaciones!$F14-U15-Constantes!$F$35)),0)</f>
        <v>4.0293191541155222</v>
      </c>
      <c r="X15" s="170">
        <f>IF(Escenarios!$F$14&gt;0,Observaciones!$J14,0)</f>
        <v>0</v>
      </c>
      <c r="Y15" s="170">
        <f>IF(Escenarios!$F$14&gt;0,MAX(0,Z14+R15+S15+T15+Observaciones!$F14-U15-W15-X15-Constantes!$F$33),0)</f>
        <v>0</v>
      </c>
      <c r="Z15" s="170">
        <f>Z14+R15+S15+T15+Observaciones!$F14-U15-W15-Y15</f>
        <v>78.286592176341728</v>
      </c>
      <c r="AA15" s="170">
        <f>IF(Escenarios!$F$14&gt;0,(Escenarios!$F$13*L15+Escenarios!$F$14*W15)/(Escenarios!$F$16),L15)</f>
        <v>2.7583273401375115</v>
      </c>
      <c r="AB15" s="170">
        <f>IF(Escenarios!$F$14&gt;0,(Escenarios!$F$14*Y15)/(Escenarios!$F$16),K15)</f>
        <v>0</v>
      </c>
      <c r="AC15" s="170">
        <f>IF(Escenarios!$F$14&gt;0,(Escenarios!$F$13*M15+Escenarios!$F$14*U15)/(Escenarios!$F$16),M15)</f>
        <v>0.18479466463491001</v>
      </c>
      <c r="AD15" s="76">
        <f t="shared" si="1"/>
        <v>88.799836138055397</v>
      </c>
      <c r="AE15" s="76">
        <f>MAX(0,(AD15-Constantes!$D$13)*(1-EXP(-Constantes!$D$23)))</f>
        <v>0.394620574596037</v>
      </c>
      <c r="AF15" s="76">
        <f>AB15+O15*Escenarios!$F$13/Escenarios!$F$16+AE15</f>
        <v>1.102906461115345</v>
      </c>
      <c r="AG15" s="76">
        <f>IF(Entradas!$F$91&gt;0,IF(AF15-Escenarios!$F$38&lt;=0,0,IF(AF15-Escenarios!$F$38&gt;Escenarios!$F$37,Escenarios!$F$37,AF15-Escenarios!$F$38)),0)</f>
        <v>6.6106461115345017E-2</v>
      </c>
      <c r="AH15" s="76">
        <f>AG15*Entradas!$F$99</f>
        <v>0</v>
      </c>
      <c r="AI15" s="76">
        <f>IF(Entradas!$F$91&gt;0,D15*Entradas!$D$23/Escenarios!$F$16,0)</f>
        <v>0.21756607947336237</v>
      </c>
      <c r="AJ15" s="76">
        <f>IF(Entradas!$F$91&gt;0,Entradas!$D$24*Entradas!$D$22/Escenarios!$F$16,0)</f>
        <v>0.12</v>
      </c>
      <c r="AK15" s="76">
        <f t="shared" si="2"/>
        <v>2.9758934196108737</v>
      </c>
      <c r="AL15" s="76">
        <f t="shared" si="3"/>
        <v>0</v>
      </c>
      <c r="AM15" s="76">
        <f t="shared" si="4"/>
        <v>6.6106461115345017E-2</v>
      </c>
      <c r="AN15" s="76">
        <f>MAX(0,O15*Escenarios!$F$13/Escenarios!$F$16-AM15)</f>
        <v>0.642179425403963</v>
      </c>
      <c r="AO15" s="76">
        <f>AM15+AN15-O15*Escenarios!$F$13/Escenarios!$F$16</f>
        <v>0</v>
      </c>
      <c r="AP15" s="76">
        <f t="shared" si="5"/>
        <v>0.394620574596037</v>
      </c>
      <c r="AQ15" s="76">
        <f t="shared" si="6"/>
        <v>0</v>
      </c>
      <c r="AR15" s="76">
        <f t="shared" si="7"/>
        <v>1.0367999999999999</v>
      </c>
      <c r="AS15" s="76">
        <f t="shared" si="8"/>
        <v>0</v>
      </c>
      <c r="AT15" s="76">
        <f t="shared" si="9"/>
        <v>0.18479466463491001</v>
      </c>
      <c r="AU15" s="76">
        <f t="shared" si="10"/>
        <v>48.790061736285736</v>
      </c>
      <c r="AV15" s="76">
        <f>MAX(0,(AU15-Constantes!$D$13)*(1-EXP(-Constantes!$D$24)))</f>
        <v>6.1235353700313721E-4</v>
      </c>
      <c r="AW15" s="170">
        <f>AW14+(Entradas!$F$112*AT15-AX14)/(800*Entradas!$D$25)</f>
        <v>0</v>
      </c>
      <c r="AX15" s="170">
        <f>8000*Entradas!$D$26*AW15/Constantes!$F$45</f>
        <v>0</v>
      </c>
      <c r="AY15" s="170">
        <f>IF(Escenarios!$F$17&gt;0,10*Escenarios!$F$16*AL15,0)</f>
        <v>0</v>
      </c>
      <c r="AZ15" s="170">
        <f>IF(Escenarios!$F$17&gt;0,10*Escenarios!$F$16*AX15,0)</f>
        <v>0</v>
      </c>
      <c r="BA15" s="170">
        <f>IF(Escenarios!$F$17&gt;0,0.001*Observaciones!$F14*Escenarios!$F$17,0)</f>
        <v>0</v>
      </c>
      <c r="BB15" s="170">
        <f>IF(Escenarios!$F$17&gt;0,Observaciones!$K14,0)</f>
        <v>0</v>
      </c>
      <c r="BC15" s="170">
        <f>IF(Escenarios!$F$17&gt;0,MIN(0.0005*ETo!$M14*Escenarios!$F$17*(BG14/Constantes!$F$40)^(2/3),BG14+AY15+AZ15+BA15+BB15),0)</f>
        <v>0</v>
      </c>
      <c r="BD15" s="170">
        <f>IF(Escenarios!$F$17&gt;0,MIN(Constantes!$F$39*(BG14/Constantes!$F$40)^(2/3),BG14+AY15+AZ15+BA15+BB15-BC15),0)</f>
        <v>0</v>
      </c>
      <c r="BE15" s="170">
        <f>IF(Escenarios!$F$17&gt;0,MIN(Entradas!$F$113,BG14+AY15+AZ15+BA15+BB15-BC15-BD15),0)</f>
        <v>0</v>
      </c>
      <c r="BF15" s="170">
        <f>IF(Escenarios!$F$17&gt;0,MAX(0,BG14+AY15+AZ15+BA15+BB15-BC15-BD15-BE15-Constantes!$F$40),0)</f>
        <v>0</v>
      </c>
      <c r="BG15" s="170">
        <f t="shared" si="11"/>
        <v>0</v>
      </c>
      <c r="BH15" s="170">
        <f>(Escenarios!$F$16*AK15+0.1*BC15)/(Escenarios!$F$19)</f>
        <v>2.9758934196108737</v>
      </c>
      <c r="BI15" s="170">
        <f>IF(Escenarios!$F$17&gt;0,BF15/10/Escenarios!$F$19,AL15)</f>
        <v>0</v>
      </c>
      <c r="BJ15" s="170">
        <f>(Escenarios!$F$16*AT15+0.1*BD15)/(Escenarios!$F$19)</f>
        <v>0.18479466463491001</v>
      </c>
      <c r="BK15" s="76">
        <f>BK14+(0.1*BD15)/(Escenarios!$F$19)-BL14</f>
        <v>48.75</v>
      </c>
      <c r="BL15" s="76">
        <f>MAX(0,(BK15-Constantes!$D$13)*(1-EXP(-Constantes!$D$23)))</f>
        <v>0</v>
      </c>
      <c r="BM15" s="76">
        <f t="shared" si="12"/>
        <v>0.39523292813304012</v>
      </c>
      <c r="BN15" s="76">
        <f t="shared" si="13"/>
        <v>1.037412353537003</v>
      </c>
      <c r="BO15" s="76">
        <f>0.0526*BI15*Observaciones!$F14^1.218</f>
        <v>0</v>
      </c>
      <c r="BP15" s="76">
        <f>BO15*Constantes!$F$51</f>
        <v>0</v>
      </c>
      <c r="BQ15" s="76">
        <f t="shared" si="14"/>
        <v>0</v>
      </c>
      <c r="BR15" s="40"/>
    </row>
    <row r="16" spans="2:70">
      <c r="B16" s="39"/>
      <c r="C16" s="75">
        <v>10</v>
      </c>
      <c r="D16" s="146">
        <f>ETo!$I15*((1-Constantes!$F$19)*ETo!$K15+ETo!$L15)</f>
        <v>4.5371497983066851</v>
      </c>
      <c r="E16" s="76">
        <f>MIN(D16*Constantes!$F$17,0.8*(N15+Observaciones!$F15-F16-M16-Constantes!$D$14))</f>
        <v>2.5875898760078133</v>
      </c>
      <c r="F16" s="76">
        <f>IF(Observaciones!$F15&gt;0.05*Constantes!$F$18,((Observaciones!$F15-0.05*Constantes!$F$18)^2)/(Observaciones!$F15+0.95*Constantes!$F$18),0)</f>
        <v>0</v>
      </c>
      <c r="G16" s="76">
        <f>IF(Escenarios!$F$11&gt;0,(F16*Escenarios!$F$16*10000)/1000,0)</f>
        <v>0</v>
      </c>
      <c r="H16" s="76">
        <f>IF(Escenarios!$F$11&gt;0,(Observaciones!$F15*Constantes!$F$29)/1000,0)</f>
        <v>0</v>
      </c>
      <c r="I16" s="76">
        <f>IF(Escenarios!$F$11&gt;0,(D16*Constantes!$F$29)/1000,0)</f>
        <v>0</v>
      </c>
      <c r="J16" s="76">
        <f>IF(Escenarios!$F$11&gt;0,MAX(0,G16+H16-I16),0)</f>
        <v>0</v>
      </c>
      <c r="K16" s="76">
        <f>IF(Escenarios!$F$11&gt;0,IF(J16&gt;Constantes!$F$30,1000*((J16-Constantes!$F$30)/(Escenarios!$F$16*10000)),0),F16)</f>
        <v>0</v>
      </c>
      <c r="L16" s="76">
        <f>IF(Escenarios!$F$11&gt;0,I16*1000/Escenarios!$F$16/10000+E16,E16)</f>
        <v>2.5875898760078133</v>
      </c>
      <c r="M16" s="76">
        <f>MAX(0,N15+Observaciones!$F15-K16-Constantes!$D$13)</f>
        <v>0</v>
      </c>
      <c r="N16" s="76">
        <f>N15+Observaciones!$F15-K16-L16-M16-O15</f>
        <v>31.58594801706834</v>
      </c>
      <c r="O16" s="76">
        <f>MAX(0,(N16-Constantes!$D$14)*(1-EXP(-Constantes!$D$22)))</f>
        <v>0.69271704425485425</v>
      </c>
      <c r="P16" s="170">
        <f>P15+(Entradas!$F$83*M16-Q15)/(800*Entradas!$D$25)</f>
        <v>0</v>
      </c>
      <c r="Q16" s="170">
        <f>8000*Entradas!$D$26*P16/Constantes!$F$45</f>
        <v>0</v>
      </c>
      <c r="R16" s="170">
        <f>IF(Escenarios!$F$14&gt;0,K16*Escenarios!$F$13/Escenarios!$F$14,0)</f>
        <v>0</v>
      </c>
      <c r="S16" s="170">
        <f>IF(Escenarios!$F$14&gt;0,Q16*Escenarios!$F$13/Escenarios!$F$14,0)</f>
        <v>0</v>
      </c>
      <c r="T16" s="170">
        <f>IF(Escenarios!$F$14&gt;0,Observaciones!$I15,0)</f>
        <v>0</v>
      </c>
      <c r="U16" s="170">
        <f>IF(Escenarios!$F$14&gt;0,MAX(0,Constantes!$F$36/((Z15+R16+S16+T16+Observaciones!$F15)^2)+Entradas!$F$77),0)</f>
        <v>1.3291040025001364</v>
      </c>
      <c r="V16" s="146">
        <f>IF(ETo!D15&gt;0,ETo!I15*((1-Entradas!$F$81)*ETo!K15+ETo!L15),0)</f>
        <v>4.0334040324854259</v>
      </c>
      <c r="W16" s="170">
        <f>IF(Escenarios!$F$14&gt;0,MIN(V16*1,0.8*(Z15+R16+S16+T16+Observaciones!$F15-U16-Constantes!$F$35)),0)</f>
        <v>4.0334040324854259</v>
      </c>
      <c r="X16" s="170">
        <f>IF(Escenarios!$F$14&gt;0,Observaciones!$J15,0)</f>
        <v>0</v>
      </c>
      <c r="Y16" s="170">
        <f>IF(Escenarios!$F$14&gt;0,MAX(0,Z15+R16+S16+T16+Observaciones!$F15-U16-W16-X16-Constantes!$F$33),0)</f>
        <v>0</v>
      </c>
      <c r="Z16" s="170">
        <f>Z15+R16+S16+T16+Observaciones!$F15-U16-W16-Y16</f>
        <v>73.02408414135617</v>
      </c>
      <c r="AA16" s="170">
        <f>IF(Escenarios!$F$14&gt;0,(Escenarios!$F$13*L16+Escenarios!$F$14*W16)/(Escenarios!$F$16),L16)</f>
        <v>2.7610875747851269</v>
      </c>
      <c r="AB16" s="170">
        <f>IF(Escenarios!$F$14&gt;0,(Escenarios!$F$14*Y16)/(Escenarios!$F$16),K16)</f>
        <v>0</v>
      </c>
      <c r="AC16" s="170">
        <f>IF(Escenarios!$F$14&gt;0,(Escenarios!$F$13*M16+Escenarios!$F$14*U16)/(Escenarios!$F$16),M16)</f>
        <v>0.15949248030001636</v>
      </c>
      <c r="AD16" s="76">
        <f t="shared" si="1"/>
        <v>88.564708043759381</v>
      </c>
      <c r="AE16" s="76">
        <f>MAX(0,(AD16-Constantes!$D$13)*(1-EXP(-Constantes!$D$23)))</f>
        <v>0.39230380147978949</v>
      </c>
      <c r="AF16" s="76">
        <f>AB16+O16*Escenarios!$F$13/Escenarios!$F$16+AE16</f>
        <v>1.0018948004240613</v>
      </c>
      <c r="AG16" s="76">
        <f>IF(Entradas!$F$91&gt;0,IF(AF16-Escenarios!$F$38&lt;=0,0,IF(AF16-Escenarios!$F$38&gt;Escenarios!$F$37,Escenarios!$F$37,AF16-Escenarios!$F$38)),0)</f>
        <v>0</v>
      </c>
      <c r="AH16" s="76">
        <f>AG16*Entradas!$F$99</f>
        <v>0</v>
      </c>
      <c r="AI16" s="76">
        <f>IF(Entradas!$F$91&gt;0,D16*Entradas!$D$23/Escenarios!$F$16,0)</f>
        <v>0.21778319031872087</v>
      </c>
      <c r="AJ16" s="76">
        <f>IF(Entradas!$F$91&gt;0,Entradas!$D$24*Entradas!$D$22/Escenarios!$F$16,0)</f>
        <v>0.12</v>
      </c>
      <c r="AK16" s="76">
        <f t="shared" si="2"/>
        <v>2.978870765103848</v>
      </c>
      <c r="AL16" s="76">
        <f t="shared" si="3"/>
        <v>0</v>
      </c>
      <c r="AM16" s="76">
        <f t="shared" si="4"/>
        <v>0</v>
      </c>
      <c r="AN16" s="76">
        <f>MAX(0,O16*Escenarios!$F$13/Escenarios!$F$16-AM16)</f>
        <v>0.60959099894427171</v>
      </c>
      <c r="AO16" s="76">
        <f>AM16+AN16-O16*Escenarios!$F$13/Escenarios!$F$16</f>
        <v>0</v>
      </c>
      <c r="AP16" s="76">
        <f t="shared" si="5"/>
        <v>0.39230380147978949</v>
      </c>
      <c r="AQ16" s="76">
        <f t="shared" si="6"/>
        <v>0</v>
      </c>
      <c r="AR16" s="76">
        <f t="shared" si="7"/>
        <v>1.0018948004240613</v>
      </c>
      <c r="AS16" s="76">
        <f t="shared" si="8"/>
        <v>0</v>
      </c>
      <c r="AT16" s="76">
        <f t="shared" si="9"/>
        <v>0.15949248030001636</v>
      </c>
      <c r="AU16" s="76">
        <f t="shared" si="10"/>
        <v>48.789449382748735</v>
      </c>
      <c r="AV16" s="76">
        <f>MAX(0,(AU16-Constantes!$D$13)*(1-EXP(-Constantes!$D$24)))</f>
        <v>6.0299356189860438E-4</v>
      </c>
      <c r="AW16" s="170">
        <f>AW15+(Entradas!$F$112*AT16-AX15)/(800*Entradas!$D$25)</f>
        <v>0</v>
      </c>
      <c r="AX16" s="170">
        <f>8000*Entradas!$D$26*AW16/Constantes!$F$45</f>
        <v>0</v>
      </c>
      <c r="AY16" s="170">
        <f>IF(Escenarios!$F$17&gt;0,10*Escenarios!$F$16*AL16,0)</f>
        <v>0</v>
      </c>
      <c r="AZ16" s="170">
        <f>IF(Escenarios!$F$17&gt;0,10*Escenarios!$F$16*AX16,0)</f>
        <v>0</v>
      </c>
      <c r="BA16" s="170">
        <f>IF(Escenarios!$F$17&gt;0,0.001*Observaciones!$F15*Escenarios!$F$17,0)</f>
        <v>0</v>
      </c>
      <c r="BB16" s="170">
        <f>IF(Escenarios!$F$17&gt;0,Observaciones!$K15,0)</f>
        <v>0</v>
      </c>
      <c r="BC16" s="170">
        <f>IF(Escenarios!$F$17&gt;0,MIN(0.0005*ETo!$M15*Escenarios!$F$17*(BG15/Constantes!$F$40)^(2/3),BG15+AY16+AZ16+BA16+BB16),0)</f>
        <v>0</v>
      </c>
      <c r="BD16" s="170">
        <f>IF(Escenarios!$F$17&gt;0,MIN(Constantes!$F$39*(BG15/Constantes!$F$40)^(2/3),BG15+AY16+AZ16+BA16+BB16-BC16),0)</f>
        <v>0</v>
      </c>
      <c r="BE16" s="170">
        <f>IF(Escenarios!$F$17&gt;0,MIN(Entradas!$F$113,BG15+AY16+AZ16+BA16+BB16-BC16-BD16),0)</f>
        <v>0</v>
      </c>
      <c r="BF16" s="170">
        <f>IF(Escenarios!$F$17&gt;0,MAX(0,BG15+AY16+AZ16+BA16+BB16-BC16-BD16-BE16-Constantes!$F$40),0)</f>
        <v>0</v>
      </c>
      <c r="BG16" s="170">
        <f t="shared" si="11"/>
        <v>0</v>
      </c>
      <c r="BH16" s="170">
        <f>(Escenarios!$F$16*AK16+0.1*BC16)/(Escenarios!$F$19)</f>
        <v>2.978870765103848</v>
      </c>
      <c r="BI16" s="170">
        <f>IF(Escenarios!$F$17&gt;0,BF16/10/Escenarios!$F$19,AL16)</f>
        <v>0</v>
      </c>
      <c r="BJ16" s="170">
        <f>(Escenarios!$F$16*AT16+0.1*BD16)/(Escenarios!$F$19)</f>
        <v>0.15949248030001636</v>
      </c>
      <c r="BK16" s="76">
        <f>BK15+(0.1*BD16)/(Escenarios!$F$19)-BL15</f>
        <v>48.75</v>
      </c>
      <c r="BL16" s="76">
        <f>MAX(0,(BK16-Constantes!$D$13)*(1-EXP(-Constantes!$D$23)))</f>
        <v>0</v>
      </c>
      <c r="BM16" s="76">
        <f t="shared" si="12"/>
        <v>0.39290679504168807</v>
      </c>
      <c r="BN16" s="76">
        <f t="shared" si="13"/>
        <v>1.0024977939859598</v>
      </c>
      <c r="BO16" s="76">
        <f>0.0526*BI16*Observaciones!$F15^1.218</f>
        <v>0</v>
      </c>
      <c r="BP16" s="76">
        <f>BO16*Constantes!$F$51</f>
        <v>0</v>
      </c>
      <c r="BQ16" s="76">
        <f t="shared" si="14"/>
        <v>0</v>
      </c>
      <c r="BR16" s="40"/>
    </row>
    <row r="17" spans="2:70">
      <c r="B17" s="39"/>
      <c r="C17" s="75">
        <v>11</v>
      </c>
      <c r="D17" s="146">
        <f>ETo!$I16*((1-Constantes!$F$19)*ETo!$K16+ETo!$L16)</f>
        <v>4.4532255640532936</v>
      </c>
      <c r="E17" s="76">
        <f>MIN(D17*Constantes!$F$17,0.8*(N16+Observaciones!$F16-F17-M17-Constantes!$D$14))</f>
        <v>2.5397268984647683</v>
      </c>
      <c r="F17" s="76">
        <f>IF(Observaciones!$F16&gt;0.05*Constantes!$F$18,((Observaciones!$F16-0.05*Constantes!$F$18)^2)/(Observaciones!$F16+0.95*Constantes!$F$18),0)</f>
        <v>0</v>
      </c>
      <c r="G17" s="76">
        <f>IF(Escenarios!$F$11&gt;0,(F17*Escenarios!$F$16*10000)/1000,0)</f>
        <v>0</v>
      </c>
      <c r="H17" s="76">
        <f>IF(Escenarios!$F$11&gt;0,(Observaciones!$F16*Constantes!$F$29)/1000,0)</f>
        <v>0</v>
      </c>
      <c r="I17" s="76">
        <f>IF(Escenarios!$F$11&gt;0,(D17*Constantes!$F$29)/1000,0)</f>
        <v>0</v>
      </c>
      <c r="J17" s="76">
        <f>IF(Escenarios!$F$11&gt;0,MAX(0,G17+H17-I17),0)</f>
        <v>0</v>
      </c>
      <c r="K17" s="76">
        <f>IF(Escenarios!$F$11&gt;0,IF(J17&gt;Constantes!$F$30,1000*((J17-Constantes!$F$30)/(Escenarios!$F$16*10000)),0),F17)</f>
        <v>0</v>
      </c>
      <c r="L17" s="76">
        <f>IF(Escenarios!$F$11&gt;0,I17*1000/Escenarios!$F$16/10000+E17,E17)</f>
        <v>2.5397268984647683</v>
      </c>
      <c r="M17" s="76">
        <f>MAX(0,N16+Observaciones!$F16-K17-Constantes!$D$13)</f>
        <v>0</v>
      </c>
      <c r="N17" s="76">
        <f>N16+Observaciones!$F16-K17-L17-M17-O16</f>
        <v>31.253504074348715</v>
      </c>
      <c r="O17" s="76">
        <f>MAX(0,(N17-Constantes!$D$14)*(1-EXP(-Constantes!$D$22)))</f>
        <v>0.68139278313912555</v>
      </c>
      <c r="P17" s="170">
        <f>P16+(Entradas!$F$83*M17-Q16)/(800*Entradas!$D$25)</f>
        <v>0</v>
      </c>
      <c r="Q17" s="170">
        <f>8000*Entradas!$D$26*P17/Constantes!$F$45</f>
        <v>0</v>
      </c>
      <c r="R17" s="170">
        <f>IF(Escenarios!$F$14&gt;0,K17*Escenarios!$F$13/Escenarios!$F$14,0)</f>
        <v>0</v>
      </c>
      <c r="S17" s="170">
        <f>IF(Escenarios!$F$14&gt;0,Q17*Escenarios!$F$13/Escenarios!$F$14,0)</f>
        <v>0</v>
      </c>
      <c r="T17" s="170">
        <f>IF(Escenarios!$F$14&gt;0,Observaciones!$I16,0)</f>
        <v>0</v>
      </c>
      <c r="U17" s="170">
        <f>IF(Escenarios!$F$14&gt;0,MAX(0,Constantes!$F$36/((Z16+R17+S17+T17+Observaciones!$F16)^2)+Entradas!$F$77),0)</f>
        <v>1.2189592209213977</v>
      </c>
      <c r="V17" s="146">
        <f>IF(ETo!D16&gt;0,ETo!I16*((1-Entradas!$F$81)*ETo!K16+ETo!L16),0)</f>
        <v>3.9576660515773541</v>
      </c>
      <c r="W17" s="170">
        <f>IF(Escenarios!$F$14&gt;0,MIN(V17*1,0.8*(Z16+R17+S17+T17+Observaciones!$F16-U17-Constantes!$F$35)),0)</f>
        <v>3.9576660515773541</v>
      </c>
      <c r="X17" s="170">
        <f>IF(Escenarios!$F$14&gt;0,Observaciones!$J16,0)</f>
        <v>0</v>
      </c>
      <c r="Y17" s="170">
        <f>IF(Escenarios!$F$14&gt;0,MAX(0,Z16+R17+S17+T17+Observaciones!$F16-U17-W17-X17-Constantes!$F$33),0)</f>
        <v>0</v>
      </c>
      <c r="Z17" s="170">
        <f>Z16+R17+S17+T17+Observaciones!$F16-U17-W17-Y17</f>
        <v>70.747458868857436</v>
      </c>
      <c r="AA17" s="170">
        <f>IF(Escenarios!$F$14&gt;0,(Escenarios!$F$13*L17+Escenarios!$F$14*W17)/(Escenarios!$F$16),L17)</f>
        <v>2.7098795968382783</v>
      </c>
      <c r="AB17" s="170">
        <f>IF(Escenarios!$F$14&gt;0,(Escenarios!$F$14*Y17)/(Escenarios!$F$16),K17)</f>
        <v>0</v>
      </c>
      <c r="AC17" s="170">
        <f>IF(Escenarios!$F$14&gt;0,(Escenarios!$F$13*M17+Escenarios!$F$14*U17)/(Escenarios!$F$16),M17)</f>
        <v>0.14627510651056772</v>
      </c>
      <c r="AD17" s="76">
        <f t="shared" si="1"/>
        <v>88.31867934879017</v>
      </c>
      <c r="AE17" s="76">
        <f>MAX(0,(AD17-Constantes!$D$13)*(1-EXP(-Constantes!$D$23)))</f>
        <v>0.38987962214878819</v>
      </c>
      <c r="AF17" s="76">
        <f>AB17+O17*Escenarios!$F$13/Escenarios!$F$16+AE17</f>
        <v>0.98950527131121868</v>
      </c>
      <c r="AG17" s="76">
        <f>IF(Entradas!$F$91&gt;0,IF(AF17-Escenarios!$F$38&lt;=0,0,IF(AF17-Escenarios!$F$38&gt;Escenarios!$F$37,Escenarios!$F$37,AF17-Escenarios!$F$38)),0)</f>
        <v>0</v>
      </c>
      <c r="AH17" s="76">
        <f>AG17*Entradas!$F$99</f>
        <v>0</v>
      </c>
      <c r="AI17" s="76">
        <f>IF(Entradas!$F$91&gt;0,D17*Entradas!$D$23/Escenarios!$F$16,0)</f>
        <v>0.21375482707455809</v>
      </c>
      <c r="AJ17" s="76">
        <f>IF(Entradas!$F$91&gt;0,Entradas!$D$24*Entradas!$D$22/Escenarios!$F$16,0)</f>
        <v>0.12</v>
      </c>
      <c r="AK17" s="76">
        <f t="shared" si="2"/>
        <v>2.9236344239128362</v>
      </c>
      <c r="AL17" s="76">
        <f t="shared" si="3"/>
        <v>0</v>
      </c>
      <c r="AM17" s="76">
        <f t="shared" si="4"/>
        <v>0</v>
      </c>
      <c r="AN17" s="76">
        <f>MAX(0,O17*Escenarios!$F$13/Escenarios!$F$16-AM17)</f>
        <v>0.59962564916243044</v>
      </c>
      <c r="AO17" s="76">
        <f>AM17+AN17-O17*Escenarios!$F$13/Escenarios!$F$16</f>
        <v>0</v>
      </c>
      <c r="AP17" s="76">
        <f t="shared" si="5"/>
        <v>0.38987962214878819</v>
      </c>
      <c r="AQ17" s="76">
        <f t="shared" si="6"/>
        <v>0</v>
      </c>
      <c r="AR17" s="76">
        <f t="shared" si="7"/>
        <v>0.98950527131121868</v>
      </c>
      <c r="AS17" s="76">
        <f t="shared" si="8"/>
        <v>0</v>
      </c>
      <c r="AT17" s="76">
        <f t="shared" si="9"/>
        <v>0.14627510651056772</v>
      </c>
      <c r="AU17" s="76">
        <f t="shared" si="10"/>
        <v>48.788846389186837</v>
      </c>
      <c r="AV17" s="76">
        <f>MAX(0,(AU17-Constantes!$D$13)*(1-EXP(-Constantes!$D$24)))</f>
        <v>5.9377665632604154E-4</v>
      </c>
      <c r="AW17" s="170">
        <f>AW16+(Entradas!$F$112*AT17-AX16)/(800*Entradas!$D$25)</f>
        <v>0</v>
      </c>
      <c r="AX17" s="170">
        <f>8000*Entradas!$D$26*AW17/Constantes!$F$45</f>
        <v>0</v>
      </c>
      <c r="AY17" s="170">
        <f>IF(Escenarios!$F$17&gt;0,10*Escenarios!$F$16*AL17,0)</f>
        <v>0</v>
      </c>
      <c r="AZ17" s="170">
        <f>IF(Escenarios!$F$17&gt;0,10*Escenarios!$F$16*AX17,0)</f>
        <v>0</v>
      </c>
      <c r="BA17" s="170">
        <f>IF(Escenarios!$F$17&gt;0,0.001*Observaciones!$F16*Escenarios!$F$17,0)</f>
        <v>0</v>
      </c>
      <c r="BB17" s="170">
        <f>IF(Escenarios!$F$17&gt;0,Observaciones!$K16,0)</f>
        <v>0</v>
      </c>
      <c r="BC17" s="170">
        <f>IF(Escenarios!$F$17&gt;0,MIN(0.0005*ETo!$M16*Escenarios!$F$17*(BG16/Constantes!$F$40)^(2/3),BG16+AY17+AZ17+BA17+BB17),0)</f>
        <v>0</v>
      </c>
      <c r="BD17" s="170">
        <f>IF(Escenarios!$F$17&gt;0,MIN(Constantes!$F$39*(BG16/Constantes!$F$40)^(2/3),BG16+AY17+AZ17+BA17+BB17-BC17),0)</f>
        <v>0</v>
      </c>
      <c r="BE17" s="170">
        <f>IF(Escenarios!$F$17&gt;0,MIN(Entradas!$F$113,BG16+AY17+AZ17+BA17+BB17-BC17-BD17),0)</f>
        <v>0</v>
      </c>
      <c r="BF17" s="170">
        <f>IF(Escenarios!$F$17&gt;0,MAX(0,BG16+AY17+AZ17+BA17+BB17-BC17-BD17-BE17-Constantes!$F$40),0)</f>
        <v>0</v>
      </c>
      <c r="BG17" s="170">
        <f t="shared" si="11"/>
        <v>0</v>
      </c>
      <c r="BH17" s="170">
        <f>(Escenarios!$F$16*AK17+0.1*BC17)/(Escenarios!$F$19)</f>
        <v>2.9236344239128362</v>
      </c>
      <c r="BI17" s="170">
        <f>IF(Escenarios!$F$17&gt;0,BF17/10/Escenarios!$F$19,AL17)</f>
        <v>0</v>
      </c>
      <c r="BJ17" s="170">
        <f>(Escenarios!$F$16*AT17+0.1*BD17)/(Escenarios!$F$19)</f>
        <v>0.14627510651056772</v>
      </c>
      <c r="BK17" s="76">
        <f>BK16+(0.1*BD17)/(Escenarios!$F$19)-BL16</f>
        <v>48.75</v>
      </c>
      <c r="BL17" s="76">
        <f>MAX(0,(BK17-Constantes!$D$13)*(1-EXP(-Constantes!$D$23)))</f>
        <v>0</v>
      </c>
      <c r="BM17" s="76">
        <f t="shared" si="12"/>
        <v>0.39047339880511422</v>
      </c>
      <c r="BN17" s="76">
        <f t="shared" si="13"/>
        <v>0.99009904796754478</v>
      </c>
      <c r="BO17" s="76">
        <f>0.0526*BI17*Observaciones!$F16^1.218</f>
        <v>0</v>
      </c>
      <c r="BP17" s="76">
        <f>BO17*Constantes!$F$51</f>
        <v>0</v>
      </c>
      <c r="BQ17" s="76">
        <f t="shared" si="14"/>
        <v>0</v>
      </c>
      <c r="BR17" s="40"/>
    </row>
    <row r="18" spans="2:70">
      <c r="B18" s="39"/>
      <c r="C18" s="75">
        <v>12</v>
      </c>
      <c r="D18" s="146">
        <f>ETo!$I17*((1-Constantes!$F$19)*ETo!$K17+ETo!$L17)</f>
        <v>4.369154279803678</v>
      </c>
      <c r="E18" s="76">
        <f>MIN(D18*Constantes!$F$17,0.8*(N17+Observaciones!$F17-F18-M18-Constantes!$D$14))</f>
        <v>2.4917800565799206</v>
      </c>
      <c r="F18" s="76">
        <f>IF(Observaciones!$F17&gt;0.05*Constantes!$F$18,((Observaciones!$F17-0.05*Constantes!$F$18)^2)/(Observaciones!$F17+0.95*Constantes!$F$18),0)</f>
        <v>0.19981061243644588</v>
      </c>
      <c r="G18" s="76">
        <f>IF(Escenarios!$F$11&gt;0,(F18*Escenarios!$F$16*10000)/1000,0)</f>
        <v>0</v>
      </c>
      <c r="H18" s="76">
        <f>IF(Escenarios!$F$11&gt;0,(Observaciones!$F17*Constantes!$F$29)/1000,0)</f>
        <v>0</v>
      </c>
      <c r="I18" s="76">
        <f>IF(Escenarios!$F$11&gt;0,(D18*Constantes!$F$29)/1000,0)</f>
        <v>0</v>
      </c>
      <c r="J18" s="76">
        <f>IF(Escenarios!$F$11&gt;0,MAX(0,G18+H18-I18),0)</f>
        <v>0</v>
      </c>
      <c r="K18" s="76">
        <f>IF(Escenarios!$F$11&gt;0,IF(J18&gt;Constantes!$F$30,1000*((J18-Constantes!$F$30)/(Escenarios!$F$16*10000)),0),F18)</f>
        <v>0.19981061243644588</v>
      </c>
      <c r="L18" s="76">
        <f>IF(Escenarios!$F$11&gt;0,I18*1000/Escenarios!$F$16/10000+E18,E18)</f>
        <v>2.4917800565799206</v>
      </c>
      <c r="M18" s="76">
        <f>MAX(0,N17+Observaciones!$F17-K18-Constantes!$D$13)</f>
        <v>3.6934619122703793E-3</v>
      </c>
      <c r="N18" s="76">
        <f>N17+Observaciones!$F17-K18-L18-M18-O17</f>
        <v>45.576827160280956</v>
      </c>
      <c r="O18" s="76">
        <f>MAX(0,(N18-Constantes!$D$14)*(1-EXP(-Constantes!$D$22)))</f>
        <v>1.1692977494414869</v>
      </c>
      <c r="P18" s="170">
        <f>P17+(Entradas!$F$83*M18-Q17)/(800*Entradas!$D$25)</f>
        <v>0</v>
      </c>
      <c r="Q18" s="170">
        <f>8000*Entradas!$D$26*P18/Constantes!$F$45</f>
        <v>0</v>
      </c>
      <c r="R18" s="170">
        <f>IF(Escenarios!$F$14&gt;0,K18*Escenarios!$F$13/Escenarios!$F$14,0)</f>
        <v>1.4652778245339364</v>
      </c>
      <c r="S18" s="170">
        <f>IF(Escenarios!$F$14&gt;0,Q18*Escenarios!$F$13/Escenarios!$F$14,0)</f>
        <v>0</v>
      </c>
      <c r="T18" s="170">
        <f>IF(Escenarios!$F$14&gt;0,Observaciones!$I17,0)</f>
        <v>0</v>
      </c>
      <c r="U18" s="170">
        <f>IF(Escenarios!$F$14&gt;0,MAX(0,Constantes!$F$36/((Z17+R18+S18+T18+Observaciones!$F17)^2)+Entradas!$F$77),0)</f>
        <v>1.730038504138188</v>
      </c>
      <c r="V18" s="146">
        <f>IF(ETo!D17&gt;0,ETo!I17*((1-Entradas!$F$81)*ETo!K17+ETo!L17),0)</f>
        <v>3.8819803340952155</v>
      </c>
      <c r="W18" s="170">
        <f>IF(Escenarios!$F$14&gt;0,MIN(V18*1,0.8*(Z17+R18+S18+T18+Observaciones!$F17-U18-Constantes!$F$35)),0)</f>
        <v>3.8819803340952155</v>
      </c>
      <c r="X18" s="170">
        <f>IF(Escenarios!$F$14&gt;0,Observaciones!$J17,0)</f>
        <v>0</v>
      </c>
      <c r="Y18" s="170">
        <f>IF(Escenarios!$F$14&gt;0,MAX(0,Z17+R18+S18+T18+Observaciones!$F17-U18-W18-X18-Constantes!$F$33),0)</f>
        <v>0</v>
      </c>
      <c r="Z18" s="170">
        <f>Z17+R18+S18+T18+Observaciones!$F17-U18-W18-Y18</f>
        <v>84.30071785515797</v>
      </c>
      <c r="AA18" s="170">
        <f>IF(Escenarios!$F$14&gt;0,(Escenarios!$F$13*L18+Escenarios!$F$14*W18)/(Escenarios!$F$16),L18)</f>
        <v>2.6586040898817558</v>
      </c>
      <c r="AB18" s="170">
        <f>IF(Escenarios!$F$14&gt;0,(Escenarios!$F$14*Y18)/(Escenarios!$F$16),K18)</f>
        <v>0</v>
      </c>
      <c r="AC18" s="170">
        <f>IF(Escenarios!$F$14&gt;0,(Escenarios!$F$13*M18+Escenarios!$F$14*U18)/(Escenarios!$F$16),M18)</f>
        <v>0.2108548669793805</v>
      </c>
      <c r="AD18" s="76">
        <f t="shared" si="1"/>
        <v>88.139654593620762</v>
      </c>
      <c r="AE18" s="76">
        <f>MAX(0,(AD18-Constantes!$D$13)*(1-EXP(-Constantes!$D$23)))</f>
        <v>0.38811564859572939</v>
      </c>
      <c r="AF18" s="76">
        <f>AB18+O18*Escenarios!$F$13/Escenarios!$F$16+AE18</f>
        <v>1.4170976681042378</v>
      </c>
      <c r="AG18" s="76">
        <f>IF(Entradas!$F$91&gt;0,IF(AF18-Escenarios!$F$38&lt;=0,0,IF(AF18-Escenarios!$F$38&gt;Escenarios!$F$37,Escenarios!$F$37,AF18-Escenarios!$F$38)),0)</f>
        <v>0.38029766810423782</v>
      </c>
      <c r="AH18" s="76">
        <f>AG18*Entradas!$F$99</f>
        <v>0</v>
      </c>
      <c r="AI18" s="76">
        <f>IF(Entradas!$F$91&gt;0,D18*Entradas!$D$23/Escenarios!$F$16,0)</f>
        <v>0.20971940543057654</v>
      </c>
      <c r="AJ18" s="76">
        <f>IF(Entradas!$F$91&gt;0,Entradas!$D$24*Entradas!$D$22/Escenarios!$F$16,0)</f>
        <v>0.12</v>
      </c>
      <c r="AK18" s="76">
        <f t="shared" si="2"/>
        <v>2.8683234953123322</v>
      </c>
      <c r="AL18" s="76">
        <f t="shared" si="3"/>
        <v>0</v>
      </c>
      <c r="AM18" s="76">
        <f t="shared" si="4"/>
        <v>0.38029766810423782</v>
      </c>
      <c r="AN18" s="76">
        <f>MAX(0,O18*Escenarios!$F$13/Escenarios!$F$16-AM18)</f>
        <v>0.64868435140427061</v>
      </c>
      <c r="AO18" s="76">
        <f>AM18+AN18-O18*Escenarios!$F$13/Escenarios!$F$16</f>
        <v>0</v>
      </c>
      <c r="AP18" s="76">
        <f t="shared" si="5"/>
        <v>0.38811564859572939</v>
      </c>
      <c r="AQ18" s="76">
        <f t="shared" si="6"/>
        <v>0</v>
      </c>
      <c r="AR18" s="76">
        <f t="shared" si="7"/>
        <v>1.0367999999999999</v>
      </c>
      <c r="AS18" s="76">
        <f t="shared" si="8"/>
        <v>5.0578262673661278E-2</v>
      </c>
      <c r="AT18" s="76">
        <f t="shared" si="9"/>
        <v>0.26143312965304177</v>
      </c>
      <c r="AU18" s="76">
        <f t="shared" si="10"/>
        <v>48.838830875204174</v>
      </c>
      <c r="AV18" s="76">
        <f>MAX(0,(AU18-Constantes!$D$13)*(1-EXP(-Constantes!$D$24)))</f>
        <v>1.357801874546503E-3</v>
      </c>
      <c r="AW18" s="170">
        <f>AW17+(Entradas!$F$112*AT18-AX17)/(800*Entradas!$D$25)</f>
        <v>0</v>
      </c>
      <c r="AX18" s="170">
        <f>8000*Entradas!$D$26*AW18/Constantes!$F$45</f>
        <v>0</v>
      </c>
      <c r="AY18" s="170">
        <f>IF(Escenarios!$F$17&gt;0,10*Escenarios!$F$16*AL18,0)</f>
        <v>0</v>
      </c>
      <c r="AZ18" s="170">
        <f>IF(Escenarios!$F$17&gt;0,10*Escenarios!$F$16*AX18,0)</f>
        <v>0</v>
      </c>
      <c r="BA18" s="170">
        <f>IF(Escenarios!$F$17&gt;0,0.001*Observaciones!$F17*Escenarios!$F$17,0)</f>
        <v>0</v>
      </c>
      <c r="BB18" s="170">
        <f>IF(Escenarios!$F$17&gt;0,Observaciones!$K17,0)</f>
        <v>0</v>
      </c>
      <c r="BC18" s="170">
        <f>IF(Escenarios!$F$17&gt;0,MIN(0.0005*ETo!$M17*Escenarios!$F$17*(BG17/Constantes!$F$40)^(2/3),BG17+AY18+AZ18+BA18+BB18),0)</f>
        <v>0</v>
      </c>
      <c r="BD18" s="170">
        <f>IF(Escenarios!$F$17&gt;0,MIN(Constantes!$F$39*(BG17/Constantes!$F$40)^(2/3),BG17+AY18+AZ18+BA18+BB18-BC18),0)</f>
        <v>0</v>
      </c>
      <c r="BE18" s="170">
        <f>IF(Escenarios!$F$17&gt;0,MIN(Entradas!$F$113,BG17+AY18+AZ18+BA18+BB18-BC18-BD18),0)</f>
        <v>0</v>
      </c>
      <c r="BF18" s="170">
        <f>IF(Escenarios!$F$17&gt;0,MAX(0,BG17+AY18+AZ18+BA18+BB18-BC18-BD18-BE18-Constantes!$F$40),0)</f>
        <v>0</v>
      </c>
      <c r="BG18" s="170">
        <f t="shared" si="11"/>
        <v>0</v>
      </c>
      <c r="BH18" s="170">
        <f>(Escenarios!$F$16*AK18+0.1*BC18)/(Escenarios!$F$19)</f>
        <v>2.8683234953123322</v>
      </c>
      <c r="BI18" s="170">
        <f>IF(Escenarios!$F$17&gt;0,BF18/10/Escenarios!$F$19,AL18)</f>
        <v>0</v>
      </c>
      <c r="BJ18" s="170">
        <f>(Escenarios!$F$16*AT18+0.1*BD18)/(Escenarios!$F$19)</f>
        <v>0.26143312965304177</v>
      </c>
      <c r="BK18" s="76">
        <f>BK17+(0.1*BD18)/(Escenarios!$F$19)-BL17</f>
        <v>48.75</v>
      </c>
      <c r="BL18" s="76">
        <f>MAX(0,(BK18-Constantes!$D$13)*(1-EXP(-Constantes!$D$23)))</f>
        <v>0</v>
      </c>
      <c r="BM18" s="76">
        <f t="shared" si="12"/>
        <v>0.38947345047027587</v>
      </c>
      <c r="BN18" s="76">
        <f t="shared" si="13"/>
        <v>1.0381578018745465</v>
      </c>
      <c r="BO18" s="76">
        <f>0.0526*BI18*Observaciones!$F17^1.218</f>
        <v>0</v>
      </c>
      <c r="BP18" s="76">
        <f>BO18*Constantes!$F$51</f>
        <v>0</v>
      </c>
      <c r="BQ18" s="76">
        <f t="shared" si="14"/>
        <v>0</v>
      </c>
      <c r="BR18" s="40"/>
    </row>
    <row r="19" spans="2:70">
      <c r="B19" s="39"/>
      <c r="C19" s="75">
        <v>13</v>
      </c>
      <c r="D19" s="146">
        <f>ETo!$I18*((1-Constantes!$F$19)*ETo!$K18+ETo!$L18)</f>
        <v>4.5086319601045943</v>
      </c>
      <c r="E19" s="76">
        <f>MIN(D19*Constantes!$F$17,0.8*(N18+Observaciones!$F18-F19-M19-Constantes!$D$14))</f>
        <v>2.5713258175795688</v>
      </c>
      <c r="F19" s="76">
        <f>IF(Observaciones!$F18&gt;0.05*Constantes!$F$18,((Observaciones!$F18-0.05*Constantes!$F$18)^2)/(Observaciones!$F18+0.95*Constantes!$F$18),0)</f>
        <v>0</v>
      </c>
      <c r="G19" s="76">
        <f>IF(Escenarios!$F$11&gt;0,(F19*Escenarios!$F$16*10000)/1000,0)</f>
        <v>0</v>
      </c>
      <c r="H19" s="76">
        <f>IF(Escenarios!$F$11&gt;0,(Observaciones!$F18*Constantes!$F$29)/1000,0)</f>
        <v>0</v>
      </c>
      <c r="I19" s="76">
        <f>IF(Escenarios!$F$11&gt;0,(D19*Constantes!$F$29)/1000,0)</f>
        <v>0</v>
      </c>
      <c r="J19" s="76">
        <f>IF(Escenarios!$F$11&gt;0,MAX(0,G19+H19-I19),0)</f>
        <v>0</v>
      </c>
      <c r="K19" s="76">
        <f>IF(Escenarios!$F$11&gt;0,IF(J19&gt;Constantes!$F$30,1000*((J19-Constantes!$F$30)/(Escenarios!$F$16*10000)),0),F19)</f>
        <v>0</v>
      </c>
      <c r="L19" s="76">
        <f>IF(Escenarios!$F$11&gt;0,I19*1000/Escenarios!$F$16/10000+E19,E19)</f>
        <v>2.5713258175795688</v>
      </c>
      <c r="M19" s="76">
        <f>MAX(0,N18+Observaciones!$F18-K19-Constantes!$D$13)</f>
        <v>0</v>
      </c>
      <c r="N19" s="76">
        <f>N18+Observaciones!$F18-K19-L19-M19-O18</f>
        <v>42.236203593259901</v>
      </c>
      <c r="O19" s="76">
        <f>MAX(0,(N19-Constantes!$D$14)*(1-EXP(-Constantes!$D$22)))</f>
        <v>1.0555038470685727</v>
      </c>
      <c r="P19" s="170">
        <f>P18+(Entradas!$F$83*M19-Q18)/(800*Entradas!$D$25)</f>
        <v>0</v>
      </c>
      <c r="Q19" s="170">
        <f>8000*Entradas!$D$26*P19/Constantes!$F$45</f>
        <v>0</v>
      </c>
      <c r="R19" s="170">
        <f>IF(Escenarios!$F$14&gt;0,K19*Escenarios!$F$13/Escenarios!$F$14,0)</f>
        <v>0</v>
      </c>
      <c r="S19" s="170">
        <f>IF(Escenarios!$F$14&gt;0,Q19*Escenarios!$F$13/Escenarios!$F$14,0)</f>
        <v>0</v>
      </c>
      <c r="T19" s="170">
        <f>IF(Escenarios!$F$14&gt;0,Observaciones!$I18,0)</f>
        <v>0</v>
      </c>
      <c r="U19" s="170">
        <f>IF(Escenarios!$F$14&gt;0,MAX(0,Constantes!$F$36/((Z18+R19+S19+T19+Observaciones!$F18)^2)+Entradas!$F$77),0)</f>
        <v>1.568936830272972</v>
      </c>
      <c r="V19" s="146">
        <f>IF(ETo!D18&gt;0,ETo!I18*((1-Entradas!$F$81)*ETo!K18+ETo!L18),0)</f>
        <v>4.0076387957249384</v>
      </c>
      <c r="W19" s="170">
        <f>IF(Escenarios!$F$14&gt;0,MIN(V19*1,0.8*(Z18+R19+S19+T19+Observaciones!$F18-U19-Constantes!$F$35)),0)</f>
        <v>4.0076387957249384</v>
      </c>
      <c r="X19" s="170">
        <f>IF(Escenarios!$F$14&gt;0,Observaciones!$J18,0)</f>
        <v>0</v>
      </c>
      <c r="Y19" s="170">
        <f>IF(Escenarios!$F$14&gt;0,MAX(0,Z18+R19+S19+T19+Observaciones!$F18-U19-W19-X19-Constantes!$F$33),0)</f>
        <v>0</v>
      </c>
      <c r="Z19" s="170">
        <f>Z18+R19+S19+T19+Observaciones!$F18-U19-W19-Y19</f>
        <v>79.124142229160057</v>
      </c>
      <c r="AA19" s="170">
        <f>IF(Escenarios!$F$14&gt;0,(Escenarios!$F$13*L19+Escenarios!$F$14*W19)/(Escenarios!$F$16),L19)</f>
        <v>2.7436833749570133</v>
      </c>
      <c r="AB19" s="170">
        <f>IF(Escenarios!$F$14&gt;0,(Escenarios!$F$14*Y19)/(Escenarios!$F$16),K19)</f>
        <v>0</v>
      </c>
      <c r="AC19" s="170">
        <f>IF(Escenarios!$F$14&gt;0,(Escenarios!$F$13*M19+Escenarios!$F$14*U19)/(Escenarios!$F$16),M19)</f>
        <v>0.18827241963275665</v>
      </c>
      <c r="AD19" s="76">
        <f t="shared" si="1"/>
        <v>87.939811364657785</v>
      </c>
      <c r="AE19" s="76">
        <f>MAX(0,(AD19-Constantes!$D$13)*(1-EXP(-Constantes!$D$23)))</f>
        <v>0.3861465456618085</v>
      </c>
      <c r="AF19" s="76">
        <f>AB19+O19*Escenarios!$F$13/Escenarios!$F$16+AE19</f>
        <v>1.3149899310821525</v>
      </c>
      <c r="AG19" s="76">
        <f>IF(Entradas!$F$91&gt;0,IF(AF19-Escenarios!$F$38&lt;=0,0,IF(AF19-Escenarios!$F$38&gt;Escenarios!$F$37,Escenarios!$F$37,AF19-Escenarios!$F$38)),0)</f>
        <v>0.27818993108215251</v>
      </c>
      <c r="AH19" s="76">
        <f>AG19*Entradas!$F$99</f>
        <v>0</v>
      </c>
      <c r="AI19" s="76">
        <f>IF(Entradas!$F$91&gt;0,D19*Entradas!$D$23/Escenarios!$F$16,0)</f>
        <v>0.21641433408502053</v>
      </c>
      <c r="AJ19" s="76">
        <f>IF(Entradas!$F$91&gt;0,Entradas!$D$24*Entradas!$D$22/Escenarios!$F$16,0)</f>
        <v>0.12</v>
      </c>
      <c r="AK19" s="76">
        <f t="shared" si="2"/>
        <v>2.9600977090420337</v>
      </c>
      <c r="AL19" s="76">
        <f t="shared" si="3"/>
        <v>0</v>
      </c>
      <c r="AM19" s="76">
        <f t="shared" si="4"/>
        <v>0.27818993108215251</v>
      </c>
      <c r="AN19" s="76">
        <f>MAX(0,O19*Escenarios!$F$13/Escenarios!$F$16-AM19)</f>
        <v>0.65065345433819155</v>
      </c>
      <c r="AO19" s="76">
        <f>AM19+AN19-O19*Escenarios!$F$13/Escenarios!$F$16</f>
        <v>0</v>
      </c>
      <c r="AP19" s="76">
        <f t="shared" si="5"/>
        <v>0.3861465456618085</v>
      </c>
      <c r="AQ19" s="76">
        <f t="shared" si="6"/>
        <v>0</v>
      </c>
      <c r="AR19" s="76">
        <f t="shared" si="7"/>
        <v>1.0367999999999999</v>
      </c>
      <c r="AS19" s="76">
        <f t="shared" si="8"/>
        <v>0</v>
      </c>
      <c r="AT19" s="76">
        <f t="shared" si="9"/>
        <v>0.18827241963275665</v>
      </c>
      <c r="AU19" s="76">
        <f t="shared" si="10"/>
        <v>48.837473073329626</v>
      </c>
      <c r="AV19" s="76">
        <f>MAX(0,(AU19-Constantes!$D$13)*(1-EXP(-Constantes!$D$24)))</f>
        <v>1.337047537427949E-3</v>
      </c>
      <c r="AW19" s="170">
        <f>AW18+(Entradas!$F$112*AT19-AX18)/(800*Entradas!$D$25)</f>
        <v>0</v>
      </c>
      <c r="AX19" s="170">
        <f>8000*Entradas!$D$26*AW19/Constantes!$F$45</f>
        <v>0</v>
      </c>
      <c r="AY19" s="170">
        <f>IF(Escenarios!$F$17&gt;0,10*Escenarios!$F$16*AL19,0)</f>
        <v>0</v>
      </c>
      <c r="AZ19" s="170">
        <f>IF(Escenarios!$F$17&gt;0,10*Escenarios!$F$16*AX19,0)</f>
        <v>0</v>
      </c>
      <c r="BA19" s="170">
        <f>IF(Escenarios!$F$17&gt;0,0.001*Observaciones!$F18*Escenarios!$F$17,0)</f>
        <v>0</v>
      </c>
      <c r="BB19" s="170">
        <f>IF(Escenarios!$F$17&gt;0,Observaciones!$K18,0)</f>
        <v>0</v>
      </c>
      <c r="BC19" s="170">
        <f>IF(Escenarios!$F$17&gt;0,MIN(0.0005*ETo!$M18*Escenarios!$F$17*(BG18/Constantes!$F$40)^(2/3),BG18+AY19+AZ19+BA19+BB19),0)</f>
        <v>0</v>
      </c>
      <c r="BD19" s="170">
        <f>IF(Escenarios!$F$17&gt;0,MIN(Constantes!$F$39*(BG18/Constantes!$F$40)^(2/3),BG18+AY19+AZ19+BA19+BB19-BC19),0)</f>
        <v>0</v>
      </c>
      <c r="BE19" s="170">
        <f>IF(Escenarios!$F$17&gt;0,MIN(Entradas!$F$113,BG18+AY19+AZ19+BA19+BB19-BC19-BD19),0)</f>
        <v>0</v>
      </c>
      <c r="BF19" s="170">
        <f>IF(Escenarios!$F$17&gt;0,MAX(0,BG18+AY19+AZ19+BA19+BB19-BC19-BD19-BE19-Constantes!$F$40),0)</f>
        <v>0</v>
      </c>
      <c r="BG19" s="170">
        <f t="shared" si="11"/>
        <v>0</v>
      </c>
      <c r="BH19" s="170">
        <f>(Escenarios!$F$16*AK19+0.1*BC19)/(Escenarios!$F$19)</f>
        <v>2.9600977090420337</v>
      </c>
      <c r="BI19" s="170">
        <f>IF(Escenarios!$F$17&gt;0,BF19/10/Escenarios!$F$19,AL19)</f>
        <v>0</v>
      </c>
      <c r="BJ19" s="170">
        <f>(Escenarios!$F$16*AT19+0.1*BD19)/(Escenarios!$F$19)</f>
        <v>0.18827241963275665</v>
      </c>
      <c r="BK19" s="76">
        <f>BK18+(0.1*BD19)/(Escenarios!$F$19)-BL18</f>
        <v>48.75</v>
      </c>
      <c r="BL19" s="76">
        <f>MAX(0,(BK19-Constantes!$D$13)*(1-EXP(-Constantes!$D$23)))</f>
        <v>0</v>
      </c>
      <c r="BM19" s="76">
        <f t="shared" si="12"/>
        <v>0.38748359319923648</v>
      </c>
      <c r="BN19" s="76">
        <f t="shared" si="13"/>
        <v>1.0381370475374279</v>
      </c>
      <c r="BO19" s="76">
        <f>0.0526*BI19*Observaciones!$F18^1.218</f>
        <v>0</v>
      </c>
      <c r="BP19" s="76">
        <f>BO19*Constantes!$F$51</f>
        <v>0</v>
      </c>
      <c r="BQ19" s="76">
        <f t="shared" si="14"/>
        <v>0</v>
      </c>
      <c r="BR19" s="40"/>
    </row>
    <row r="20" spans="2:70">
      <c r="B20" s="39"/>
      <c r="C20" s="75">
        <v>14</v>
      </c>
      <c r="D20" s="146">
        <f>ETo!$I19*((1-Constantes!$F$19)*ETo!$K19+ETo!$L19)</f>
        <v>4.4990362131084352</v>
      </c>
      <c r="E20" s="76">
        <f>MIN(D20*Constantes!$F$17,0.8*(N19+Observaciones!$F19-F20-M20-Constantes!$D$14))</f>
        <v>2.5658532502446172</v>
      </c>
      <c r="F20" s="76">
        <f>IF(Observaciones!$F19&gt;0.05*Constantes!$F$18,((Observaciones!$F19-0.05*Constantes!$F$18)^2)/(Observaciones!$F19+0.95*Constantes!$F$18),0)</f>
        <v>0</v>
      </c>
      <c r="G20" s="76">
        <f>IF(Escenarios!$F$11&gt;0,(F20*Escenarios!$F$16*10000)/1000,0)</f>
        <v>0</v>
      </c>
      <c r="H20" s="76">
        <f>IF(Escenarios!$F$11&gt;0,(Observaciones!$F19*Constantes!$F$29)/1000,0)</f>
        <v>0</v>
      </c>
      <c r="I20" s="76">
        <f>IF(Escenarios!$F$11&gt;0,(D20*Constantes!$F$29)/1000,0)</f>
        <v>0</v>
      </c>
      <c r="J20" s="76">
        <f>IF(Escenarios!$F$11&gt;0,MAX(0,G20+H20-I20),0)</f>
        <v>0</v>
      </c>
      <c r="K20" s="76">
        <f>IF(Escenarios!$F$11&gt;0,IF(J20&gt;Constantes!$F$30,1000*((J20-Constantes!$F$30)/(Escenarios!$F$16*10000)),0),F20)</f>
        <v>0</v>
      </c>
      <c r="L20" s="76">
        <f>IF(Escenarios!$F$11&gt;0,I20*1000/Escenarios!$F$16/10000+E20,E20)</f>
        <v>2.5658532502446172</v>
      </c>
      <c r="M20" s="76">
        <f>MAX(0,N19+Observaciones!$F19-K20-Constantes!$D$13)</f>
        <v>0</v>
      </c>
      <c r="N20" s="76">
        <f>N19+Observaciones!$F19-K20-L20-M20-O19</f>
        <v>39.014846495946713</v>
      </c>
      <c r="O20" s="76">
        <f>MAX(0,(N20-Constantes!$D$14)*(1-EXP(-Constantes!$D$22)))</f>
        <v>0.94577259849008211</v>
      </c>
      <c r="P20" s="170">
        <f>P19+(Entradas!$F$83*M20-Q19)/(800*Entradas!$D$25)</f>
        <v>0</v>
      </c>
      <c r="Q20" s="170">
        <f>8000*Entradas!$D$26*P20/Constantes!$F$45</f>
        <v>0</v>
      </c>
      <c r="R20" s="170">
        <f>IF(Escenarios!$F$14&gt;0,K20*Escenarios!$F$13/Escenarios!$F$14,0)</f>
        <v>0</v>
      </c>
      <c r="S20" s="170">
        <f>IF(Escenarios!$F$14&gt;0,Q20*Escenarios!$F$13/Escenarios!$F$14,0)</f>
        <v>0</v>
      </c>
      <c r="T20" s="170">
        <f>IF(Escenarios!$F$14&gt;0,Observaciones!$I19,0)</f>
        <v>0</v>
      </c>
      <c r="U20" s="170">
        <f>IF(Escenarios!$F$14&gt;0,MAX(0,Constantes!$F$36/((Z19+R20+S20+T20+Observaciones!$F19)^2)+Entradas!$F$77),0)</f>
        <v>1.376564643583811</v>
      </c>
      <c r="V20" s="146">
        <f>IF(ETo!D19&gt;0,ETo!I19*((1-Entradas!$F$81)*ETo!K19+ETo!L19),0)</f>
        <v>3.9989727288726247</v>
      </c>
      <c r="W20" s="170">
        <f>IF(Escenarios!$F$14&gt;0,MIN(V20*1,0.8*(Z19+R20+S20+T20+Observaciones!$F19-U20-Constantes!$F$35)),0)</f>
        <v>3.9989727288726247</v>
      </c>
      <c r="X20" s="170">
        <f>IF(Escenarios!$F$14&gt;0,Observaciones!$J19,0)</f>
        <v>0</v>
      </c>
      <c r="Y20" s="170">
        <f>IF(Escenarios!$F$14&gt;0,MAX(0,Z19+R20+S20+T20+Observaciones!$F19-U20-W20-X20-Constantes!$F$33),0)</f>
        <v>0</v>
      </c>
      <c r="Z20" s="170">
        <f>Z19+R20+S20+T20+Observaciones!$F19-U20-W20-Y20</f>
        <v>74.148604856703628</v>
      </c>
      <c r="AA20" s="170">
        <f>IF(Escenarios!$F$14&gt;0,(Escenarios!$F$13*L20+Escenarios!$F$14*W20)/(Escenarios!$F$16),L20)</f>
        <v>2.7378275876799778</v>
      </c>
      <c r="AB20" s="170">
        <f>IF(Escenarios!$F$14&gt;0,(Escenarios!$F$14*Y20)/(Escenarios!$F$16),K20)</f>
        <v>0</v>
      </c>
      <c r="AC20" s="170">
        <f>IF(Escenarios!$F$14&gt;0,(Escenarios!$F$13*M20+Escenarios!$F$14*U20)/(Escenarios!$F$16),M20)</f>
        <v>0.16518775723005732</v>
      </c>
      <c r="AD20" s="76">
        <f t="shared" si="1"/>
        <v>87.718852576226041</v>
      </c>
      <c r="AE20" s="76">
        <f>MAX(0,(AD20-Constantes!$D$13)*(1-EXP(-Constantes!$D$23)))</f>
        <v>0.38396938609110737</v>
      </c>
      <c r="AF20" s="76">
        <f>AB20+O20*Escenarios!$F$13/Escenarios!$F$16+AE20</f>
        <v>1.2162492727623797</v>
      </c>
      <c r="AG20" s="76">
        <f>IF(Entradas!$F$91&gt;0,IF(AF20-Escenarios!$F$38&lt;=0,0,IF(AF20-Escenarios!$F$38&gt;Escenarios!$F$37,Escenarios!$F$37,AF20-Escenarios!$F$38)),0)</f>
        <v>0.17944927276237976</v>
      </c>
      <c r="AH20" s="76">
        <f>AG20*Entradas!$F$99</f>
        <v>0</v>
      </c>
      <c r="AI20" s="76">
        <f>IF(Entradas!$F$91&gt;0,D20*Entradas!$D$23/Escenarios!$F$16,0)</f>
        <v>0.21595373822920488</v>
      </c>
      <c r="AJ20" s="76">
        <f>IF(Entradas!$F$91&gt;0,Entradas!$D$24*Entradas!$D$22/Escenarios!$F$16,0)</f>
        <v>0.12</v>
      </c>
      <c r="AK20" s="76">
        <f t="shared" si="2"/>
        <v>2.9537813259091825</v>
      </c>
      <c r="AL20" s="76">
        <f t="shared" si="3"/>
        <v>0</v>
      </c>
      <c r="AM20" s="76">
        <f t="shared" si="4"/>
        <v>0.17944927276237976</v>
      </c>
      <c r="AN20" s="76">
        <f>MAX(0,O20*Escenarios!$F$13/Escenarios!$F$16-AM20)</f>
        <v>0.65283061390889252</v>
      </c>
      <c r="AO20" s="76">
        <f>AM20+AN20-O20*Escenarios!$F$13/Escenarios!$F$16</f>
        <v>0</v>
      </c>
      <c r="AP20" s="76">
        <f t="shared" si="5"/>
        <v>0.38396938609110737</v>
      </c>
      <c r="AQ20" s="76">
        <f t="shared" si="6"/>
        <v>0</v>
      </c>
      <c r="AR20" s="76">
        <f t="shared" si="7"/>
        <v>1.0367999999999999</v>
      </c>
      <c r="AS20" s="76">
        <f t="shared" si="8"/>
        <v>0</v>
      </c>
      <c r="AT20" s="76">
        <f t="shared" si="9"/>
        <v>0.16518775723005732</v>
      </c>
      <c r="AU20" s="76">
        <f t="shared" si="10"/>
        <v>48.8361360257922</v>
      </c>
      <c r="AV20" s="76">
        <f>MAX(0,(AU20-Constantes!$D$13)*(1-EXP(-Constantes!$D$24)))</f>
        <v>1.3166104354799834E-3</v>
      </c>
      <c r="AW20" s="170">
        <f>AW19+(Entradas!$F$112*AT20-AX19)/(800*Entradas!$D$25)</f>
        <v>0</v>
      </c>
      <c r="AX20" s="170">
        <f>8000*Entradas!$D$26*AW20/Constantes!$F$45</f>
        <v>0</v>
      </c>
      <c r="AY20" s="170">
        <f>IF(Escenarios!$F$17&gt;0,10*Escenarios!$F$16*AL20,0)</f>
        <v>0</v>
      </c>
      <c r="AZ20" s="170">
        <f>IF(Escenarios!$F$17&gt;0,10*Escenarios!$F$16*AX20,0)</f>
        <v>0</v>
      </c>
      <c r="BA20" s="170">
        <f>IF(Escenarios!$F$17&gt;0,0.001*Observaciones!$F19*Escenarios!$F$17,0)</f>
        <v>0</v>
      </c>
      <c r="BB20" s="170">
        <f>IF(Escenarios!$F$17&gt;0,Observaciones!$K19,0)</f>
        <v>0</v>
      </c>
      <c r="BC20" s="170">
        <f>IF(Escenarios!$F$17&gt;0,MIN(0.0005*ETo!$M19*Escenarios!$F$17*(BG19/Constantes!$F$40)^(2/3),BG19+AY20+AZ20+BA20+BB20),0)</f>
        <v>0</v>
      </c>
      <c r="BD20" s="170">
        <f>IF(Escenarios!$F$17&gt;0,MIN(Constantes!$F$39*(BG19/Constantes!$F$40)^(2/3),BG19+AY20+AZ20+BA20+BB20-BC20),0)</f>
        <v>0</v>
      </c>
      <c r="BE20" s="170">
        <f>IF(Escenarios!$F$17&gt;0,MIN(Entradas!$F$113,BG19+AY20+AZ20+BA20+BB20-BC20-BD20),0)</f>
        <v>0</v>
      </c>
      <c r="BF20" s="170">
        <f>IF(Escenarios!$F$17&gt;0,MAX(0,BG19+AY20+AZ20+BA20+BB20-BC20-BD20-BE20-Constantes!$F$40),0)</f>
        <v>0</v>
      </c>
      <c r="BG20" s="170">
        <f t="shared" si="11"/>
        <v>0</v>
      </c>
      <c r="BH20" s="170">
        <f>(Escenarios!$F$16*AK20+0.1*BC20)/(Escenarios!$F$19)</f>
        <v>2.9537813259091825</v>
      </c>
      <c r="BI20" s="170">
        <f>IF(Escenarios!$F$17&gt;0,BF20/10/Escenarios!$F$19,AL20)</f>
        <v>0</v>
      </c>
      <c r="BJ20" s="170">
        <f>(Escenarios!$F$16*AT20+0.1*BD20)/(Escenarios!$F$19)</f>
        <v>0.16518775723005732</v>
      </c>
      <c r="BK20" s="76">
        <f>BK19+(0.1*BD20)/(Escenarios!$F$19)-BL19</f>
        <v>48.75</v>
      </c>
      <c r="BL20" s="76">
        <f>MAX(0,(BK20-Constantes!$D$13)*(1-EXP(-Constantes!$D$23)))</f>
        <v>0</v>
      </c>
      <c r="BM20" s="76">
        <f t="shared" si="12"/>
        <v>0.38528599652658735</v>
      </c>
      <c r="BN20" s="76">
        <f t="shared" si="13"/>
        <v>1.03811661043548</v>
      </c>
      <c r="BO20" s="76">
        <f>0.0526*BI20*Observaciones!$F19^1.218</f>
        <v>0</v>
      </c>
      <c r="BP20" s="76">
        <f>BO20*Constantes!$F$51</f>
        <v>0</v>
      </c>
      <c r="BQ20" s="76">
        <f t="shared" si="14"/>
        <v>0</v>
      </c>
      <c r="BR20" s="40"/>
    </row>
    <row r="21" spans="2:70">
      <c r="B21" s="39"/>
      <c r="C21" s="75">
        <v>15</v>
      </c>
      <c r="D21" s="146">
        <f>ETo!$I20*((1-Constantes!$F$19)*ETo!$K20+ETo!$L20)</f>
        <v>4.4940408070914115</v>
      </c>
      <c r="E21" s="76">
        <f>MIN(D21*Constantes!$F$17,0.8*(N20+Observaciones!$F20-F21-M21-Constantes!$D$14))</f>
        <v>2.5630043114590779</v>
      </c>
      <c r="F21" s="76">
        <f>IF(Observaciones!$F20&gt;0.05*Constantes!$F$18,((Observaciones!$F20-0.05*Constantes!$F$18)^2)/(Observaciones!$F20+0.95*Constantes!$F$18),0)</f>
        <v>0</v>
      </c>
      <c r="G21" s="76">
        <f>IF(Escenarios!$F$11&gt;0,(F21*Escenarios!$F$16*10000)/1000,0)</f>
        <v>0</v>
      </c>
      <c r="H21" s="76">
        <f>IF(Escenarios!$F$11&gt;0,(Observaciones!$F20*Constantes!$F$29)/1000,0)</f>
        <v>0</v>
      </c>
      <c r="I21" s="76">
        <f>IF(Escenarios!$F$11&gt;0,(D21*Constantes!$F$29)/1000,0)</f>
        <v>0</v>
      </c>
      <c r="J21" s="76">
        <f>IF(Escenarios!$F$11&gt;0,MAX(0,G21+H21-I21),0)</f>
        <v>0</v>
      </c>
      <c r="K21" s="76">
        <f>IF(Escenarios!$F$11&gt;0,IF(J21&gt;Constantes!$F$30,1000*((J21-Constantes!$F$30)/(Escenarios!$F$16*10000)),0),F21)</f>
        <v>0</v>
      </c>
      <c r="L21" s="76">
        <f>IF(Escenarios!$F$11&gt;0,I21*1000/Escenarios!$F$16/10000+E21,E21)</f>
        <v>2.5630043114590779</v>
      </c>
      <c r="M21" s="76">
        <f>MAX(0,N20+Observaciones!$F20-K21-Constantes!$D$13)</f>
        <v>0</v>
      </c>
      <c r="N21" s="76">
        <f>N20+Observaciones!$F20-K21-L21-M21-O20</f>
        <v>36.006069585997558</v>
      </c>
      <c r="O21" s="76">
        <f>MAX(0,(N21-Constantes!$D$14)*(1-EXP(-Constantes!$D$22)))</f>
        <v>0.84328261149105455</v>
      </c>
      <c r="P21" s="170">
        <f>P20+(Entradas!$F$83*M21-Q20)/(800*Entradas!$D$25)</f>
        <v>0</v>
      </c>
      <c r="Q21" s="170">
        <f>8000*Entradas!$D$26*P21/Constantes!$F$45</f>
        <v>0</v>
      </c>
      <c r="R21" s="170">
        <f>IF(Escenarios!$F$14&gt;0,K21*Escenarios!$F$13/Escenarios!$F$14,0)</f>
        <v>0</v>
      </c>
      <c r="S21" s="170">
        <f>IF(Escenarios!$F$14&gt;0,Q21*Escenarios!$F$13/Escenarios!$F$14,0)</f>
        <v>0</v>
      </c>
      <c r="T21" s="170">
        <f>IF(Escenarios!$F$14&gt;0,Observaciones!$I20,0)</f>
        <v>0</v>
      </c>
      <c r="U21" s="170">
        <f>IF(Escenarios!$F$14&gt;0,MAX(0,Constantes!$F$36/((Z20+R21+S21+T21+Observaciones!$F20)^2)+Entradas!$F$77),0)</f>
        <v>1.157575941320601</v>
      </c>
      <c r="V21" s="146">
        <f>IF(ETo!D20&gt;0,ETo!I20*((1-Entradas!$F$81)*ETo!K20+ETo!L20),0)</f>
        <v>3.9944593944092763</v>
      </c>
      <c r="W21" s="170">
        <f>IF(Escenarios!$F$14&gt;0,MIN(V21*1,0.8*(Z20+R21+S21+T21+Observaciones!$F20-U21-Constantes!$F$35)),0)</f>
        <v>3.9944593944092763</v>
      </c>
      <c r="X21" s="170">
        <f>IF(Escenarios!$F$14&gt;0,Observaciones!$J20,0)</f>
        <v>0</v>
      </c>
      <c r="Y21" s="170">
        <f>IF(Escenarios!$F$14&gt;0,MAX(0,Z20+R21+S21+T21+Observaciones!$F20-U21-W21-X21-Constantes!$F$33),0)</f>
        <v>0</v>
      </c>
      <c r="Z21" s="170">
        <f>Z20+R21+S21+T21+Observaciones!$F20-U21-W21-Y21</f>
        <v>69.49656952097375</v>
      </c>
      <c r="AA21" s="170">
        <f>IF(Escenarios!$F$14&gt;0,(Escenarios!$F$13*L21+Escenarios!$F$14*W21)/(Escenarios!$F$16),L21)</f>
        <v>2.7347789214131017</v>
      </c>
      <c r="AB21" s="170">
        <f>IF(Escenarios!$F$14&gt;0,(Escenarios!$F$14*Y21)/(Escenarios!$F$16),K21)</f>
        <v>0</v>
      </c>
      <c r="AC21" s="170">
        <f>IF(Escenarios!$F$14&gt;0,(Escenarios!$F$13*M21+Escenarios!$F$14*U21)/(Escenarios!$F$16),M21)</f>
        <v>0.13890911295847211</v>
      </c>
      <c r="AD21" s="76">
        <f t="shared" si="1"/>
        <v>87.473792303093404</v>
      </c>
      <c r="AE21" s="76">
        <f>MAX(0,(AD21-Constantes!$D$13)*(1-EXP(-Constantes!$D$23)))</f>
        <v>0.38155474885112189</v>
      </c>
      <c r="AF21" s="76">
        <f>AB21+O21*Escenarios!$F$13/Escenarios!$F$16+AE21</f>
        <v>1.1236434469632499</v>
      </c>
      <c r="AG21" s="76">
        <f>IF(Entradas!$F$91&gt;0,IF(AF21-Escenarios!$F$38&lt;=0,0,IF(AF21-Escenarios!$F$38&gt;Escenarios!$F$37,Escenarios!$F$37,AF21-Escenarios!$F$38)),0)</f>
        <v>8.6843446963249971E-2</v>
      </c>
      <c r="AH21" s="76">
        <f>AG21*Entradas!$F$99</f>
        <v>0</v>
      </c>
      <c r="AI21" s="76">
        <f>IF(Entradas!$F$91&gt;0,D21*Entradas!$D$23/Escenarios!$F$16,0)</f>
        <v>0.21571395874038773</v>
      </c>
      <c r="AJ21" s="76">
        <f>IF(Entradas!$F$91&gt;0,Entradas!$D$24*Entradas!$D$22/Escenarios!$F$16,0)</f>
        <v>0.12</v>
      </c>
      <c r="AK21" s="76">
        <f t="shared" si="2"/>
        <v>2.9504928801534893</v>
      </c>
      <c r="AL21" s="76">
        <f t="shared" si="3"/>
        <v>0</v>
      </c>
      <c r="AM21" s="76">
        <f t="shared" si="4"/>
        <v>8.6843446963249971E-2</v>
      </c>
      <c r="AN21" s="76">
        <f>MAX(0,O21*Escenarios!$F$13/Escenarios!$F$16-AM21)</f>
        <v>0.65524525114887799</v>
      </c>
      <c r="AO21" s="76">
        <f>AM21+AN21-O21*Escenarios!$F$13/Escenarios!$F$16</f>
        <v>0</v>
      </c>
      <c r="AP21" s="76">
        <f t="shared" si="5"/>
        <v>0.38155474885112189</v>
      </c>
      <c r="AQ21" s="76">
        <f t="shared" si="6"/>
        <v>0</v>
      </c>
      <c r="AR21" s="76">
        <f t="shared" si="7"/>
        <v>1.0367999999999999</v>
      </c>
      <c r="AS21" s="76">
        <f t="shared" si="8"/>
        <v>0</v>
      </c>
      <c r="AT21" s="76">
        <f t="shared" si="9"/>
        <v>0.13890911295847211</v>
      </c>
      <c r="AU21" s="76">
        <f t="shared" si="10"/>
        <v>48.834819415356719</v>
      </c>
      <c r="AV21" s="76">
        <f>MAX(0,(AU21-Constantes!$D$13)*(1-EXP(-Constantes!$D$24)))</f>
        <v>1.2964857196845515E-3</v>
      </c>
      <c r="AW21" s="170">
        <f>AW20+(Entradas!$F$112*AT21-AX20)/(800*Entradas!$D$25)</f>
        <v>0</v>
      </c>
      <c r="AX21" s="170">
        <f>8000*Entradas!$D$26*AW21/Constantes!$F$45</f>
        <v>0</v>
      </c>
      <c r="AY21" s="170">
        <f>IF(Escenarios!$F$17&gt;0,10*Escenarios!$F$16*AL21,0)</f>
        <v>0</v>
      </c>
      <c r="AZ21" s="170">
        <f>IF(Escenarios!$F$17&gt;0,10*Escenarios!$F$16*AX21,0)</f>
        <v>0</v>
      </c>
      <c r="BA21" s="170">
        <f>IF(Escenarios!$F$17&gt;0,0.001*Observaciones!$F20*Escenarios!$F$17,0)</f>
        <v>0</v>
      </c>
      <c r="BB21" s="170">
        <f>IF(Escenarios!$F$17&gt;0,Observaciones!$K20,0)</f>
        <v>0</v>
      </c>
      <c r="BC21" s="170">
        <f>IF(Escenarios!$F$17&gt;0,MIN(0.0005*ETo!$M20*Escenarios!$F$17*(BG20/Constantes!$F$40)^(2/3),BG20+AY21+AZ21+BA21+BB21),0)</f>
        <v>0</v>
      </c>
      <c r="BD21" s="170">
        <f>IF(Escenarios!$F$17&gt;0,MIN(Constantes!$F$39*(BG20/Constantes!$F$40)^(2/3),BG20+AY21+AZ21+BA21+BB21-BC21),0)</f>
        <v>0</v>
      </c>
      <c r="BE21" s="170">
        <f>IF(Escenarios!$F$17&gt;0,MIN(Entradas!$F$113,BG20+AY21+AZ21+BA21+BB21-BC21-BD21),0)</f>
        <v>0</v>
      </c>
      <c r="BF21" s="170">
        <f>IF(Escenarios!$F$17&gt;0,MAX(0,BG20+AY21+AZ21+BA21+BB21-BC21-BD21-BE21-Constantes!$F$40),0)</f>
        <v>0</v>
      </c>
      <c r="BG21" s="170">
        <f t="shared" si="11"/>
        <v>0</v>
      </c>
      <c r="BH21" s="170">
        <f>(Escenarios!$F$16*AK21+0.1*BC21)/(Escenarios!$F$19)</f>
        <v>2.9504928801534893</v>
      </c>
      <c r="BI21" s="170">
        <f>IF(Escenarios!$F$17&gt;0,BF21/10/Escenarios!$F$19,AL21)</f>
        <v>0</v>
      </c>
      <c r="BJ21" s="170">
        <f>(Escenarios!$F$16*AT21+0.1*BD21)/(Escenarios!$F$19)</f>
        <v>0.13890911295847211</v>
      </c>
      <c r="BK21" s="76">
        <f>BK20+(0.1*BD21)/(Escenarios!$F$19)-BL20</f>
        <v>48.75</v>
      </c>
      <c r="BL21" s="76">
        <f>MAX(0,(BK21-Constantes!$D$13)*(1-EXP(-Constantes!$D$23)))</f>
        <v>0</v>
      </c>
      <c r="BM21" s="76">
        <f t="shared" si="12"/>
        <v>0.38285123457080644</v>
      </c>
      <c r="BN21" s="76">
        <f t="shared" si="13"/>
        <v>1.0380964857196846</v>
      </c>
      <c r="BO21" s="76">
        <f>0.0526*BI21*Observaciones!$F20^1.218</f>
        <v>0</v>
      </c>
      <c r="BP21" s="76">
        <f>BO21*Constantes!$F$51</f>
        <v>0</v>
      </c>
      <c r="BQ21" s="76">
        <f t="shared" si="14"/>
        <v>0</v>
      </c>
      <c r="BR21" s="40"/>
    </row>
    <row r="22" spans="2:70">
      <c r="B22" s="39"/>
      <c r="C22" s="75">
        <v>16</v>
      </c>
      <c r="D22" s="146">
        <f>ETo!$I21*((1-Constantes!$F$19)*ETo!$K21+ETo!$L21)</f>
        <v>4.5215478051262732</v>
      </c>
      <c r="E22" s="76">
        <f>MIN(D22*Constantes!$F$17,0.8*(N21+Observaciones!$F21-F22-M22-Constantes!$D$14))</f>
        <v>2.5786918758548882</v>
      </c>
      <c r="F22" s="76">
        <f>IF(Observaciones!$F21&gt;0.05*Constantes!$F$18,((Observaciones!$F21-0.05*Constantes!$F$18)^2)/(Observaciones!$F21+0.95*Constantes!$F$18),0)</f>
        <v>0</v>
      </c>
      <c r="G22" s="76">
        <f>IF(Escenarios!$F$11&gt;0,(F22*Escenarios!$F$16*10000)/1000,0)</f>
        <v>0</v>
      </c>
      <c r="H22" s="76">
        <f>IF(Escenarios!$F$11&gt;0,(Observaciones!$F21*Constantes!$F$29)/1000,0)</f>
        <v>0</v>
      </c>
      <c r="I22" s="76">
        <f>IF(Escenarios!$F$11&gt;0,(D22*Constantes!$F$29)/1000,0)</f>
        <v>0</v>
      </c>
      <c r="J22" s="76">
        <f>IF(Escenarios!$F$11&gt;0,MAX(0,G22+H22-I22),0)</f>
        <v>0</v>
      </c>
      <c r="K22" s="76">
        <f>IF(Escenarios!$F$11&gt;0,IF(J22&gt;Constantes!$F$30,1000*((J22-Constantes!$F$30)/(Escenarios!$F$16*10000)),0),F22)</f>
        <v>0</v>
      </c>
      <c r="L22" s="76">
        <f>IF(Escenarios!$F$11&gt;0,I22*1000/Escenarios!$F$16/10000+E22,E22)</f>
        <v>2.5786918758548882</v>
      </c>
      <c r="M22" s="76">
        <f>MAX(0,N21+Observaciones!$F21-K22-Constantes!$D$13)</f>
        <v>0</v>
      </c>
      <c r="N22" s="76">
        <f>N21+Observaciones!$F21-K22-L22-M22-O21</f>
        <v>32.584095098651616</v>
      </c>
      <c r="O22" s="76">
        <f>MAX(0,(N22-Constantes!$D$14)*(1-EXP(-Constantes!$D$22)))</f>
        <v>0.72671759812653236</v>
      </c>
      <c r="P22" s="170">
        <f>P21+(Entradas!$F$83*M22-Q21)/(800*Entradas!$D$25)</f>
        <v>0</v>
      </c>
      <c r="Q22" s="170">
        <f>8000*Entradas!$D$26*P22/Constantes!$F$45</f>
        <v>0</v>
      </c>
      <c r="R22" s="170">
        <f>IF(Escenarios!$F$14&gt;0,K22*Escenarios!$F$13/Escenarios!$F$14,0)</f>
        <v>0</v>
      </c>
      <c r="S22" s="170">
        <f>IF(Escenarios!$F$14&gt;0,Q22*Escenarios!$F$13/Escenarios!$F$14,0)</f>
        <v>0</v>
      </c>
      <c r="T22" s="170">
        <f>IF(Escenarios!$F$14&gt;0,Observaciones!$I21,0)</f>
        <v>0</v>
      </c>
      <c r="U22" s="170">
        <f>IF(Escenarios!$F$14&gt;0,MAX(0,Constantes!$F$36/((Z21+R22+S22+T22+Observaciones!$F21)^2)+Entradas!$F$77),0)</f>
        <v>0.87427905460387345</v>
      </c>
      <c r="V22" s="146">
        <f>IF(ETo!D21&gt;0,ETo!I21*((1-Entradas!$F$81)*ETo!K21+ETo!L21),0)</f>
        <v>4.0192868615514925</v>
      </c>
      <c r="W22" s="170">
        <f>IF(Escenarios!$F$14&gt;0,MIN(V22*1,0.8*(Z21+R22+S22+T22+Observaciones!$F21-U22-Constantes!$F$35)),0)</f>
        <v>4.0192868615514925</v>
      </c>
      <c r="X22" s="170">
        <f>IF(Escenarios!$F$14&gt;0,Observaciones!$J21,0)</f>
        <v>0</v>
      </c>
      <c r="Y22" s="170">
        <f>IF(Escenarios!$F$14&gt;0,MAX(0,Z21+R22+S22+T22+Observaciones!$F21-U22-W22-X22-Constantes!$F$33),0)</f>
        <v>0</v>
      </c>
      <c r="Z22" s="170">
        <f>Z21+R22+S22+T22+Observaciones!$F21-U22-W22-Y22</f>
        <v>64.603003604818383</v>
      </c>
      <c r="AA22" s="170">
        <f>IF(Escenarios!$F$14&gt;0,(Escenarios!$F$13*L22+Escenarios!$F$14*W22)/(Escenarios!$F$16),L22)</f>
        <v>2.7515632741384808</v>
      </c>
      <c r="AB22" s="170">
        <f>IF(Escenarios!$F$14&gt;0,(Escenarios!$F$14*Y22)/(Escenarios!$F$16),K22)</f>
        <v>0</v>
      </c>
      <c r="AC22" s="170">
        <f>IF(Escenarios!$F$14&gt;0,(Escenarios!$F$13*M22+Escenarios!$F$14*U22)/(Escenarios!$F$16),M22)</f>
        <v>0.10491348655246482</v>
      </c>
      <c r="AD22" s="76">
        <f t="shared" si="1"/>
        <v>87.197151040794751</v>
      </c>
      <c r="AE22" s="76">
        <f>MAX(0,(AD22-Constantes!$D$13)*(1-EXP(-Constantes!$D$23)))</f>
        <v>0.37882893660287814</v>
      </c>
      <c r="AF22" s="76">
        <f>AB22+O22*Escenarios!$F$13/Escenarios!$F$16+AE22</f>
        <v>1.0183404229542266</v>
      </c>
      <c r="AG22" s="76">
        <f>IF(Entradas!$F$91&gt;0,IF(AF22-Escenarios!$F$38&lt;=0,0,IF(AF22-Escenarios!$F$38&gt;Escenarios!$F$37,Escenarios!$F$37,AF22-Escenarios!$F$38)),0)</f>
        <v>0</v>
      </c>
      <c r="AH22" s="76">
        <f>AG22*Entradas!$F$99</f>
        <v>0</v>
      </c>
      <c r="AI22" s="76">
        <f>IF(Entradas!$F$91&gt;0,D22*Entradas!$D$23/Escenarios!$F$16,0)</f>
        <v>0.21703429464606111</v>
      </c>
      <c r="AJ22" s="76">
        <f>IF(Entradas!$F$91&gt;0,Entradas!$D$24*Entradas!$D$22/Escenarios!$F$16,0)</f>
        <v>0.12</v>
      </c>
      <c r="AK22" s="76">
        <f t="shared" si="2"/>
        <v>2.9685975687845421</v>
      </c>
      <c r="AL22" s="76">
        <f t="shared" si="3"/>
        <v>0</v>
      </c>
      <c r="AM22" s="76">
        <f t="shared" si="4"/>
        <v>0</v>
      </c>
      <c r="AN22" s="76">
        <f>MAX(0,O22*Escenarios!$F$13/Escenarios!$F$16-AM22)</f>
        <v>0.63951148635134847</v>
      </c>
      <c r="AO22" s="76">
        <f>AM22+AN22-O22*Escenarios!$F$13/Escenarios!$F$16</f>
        <v>0</v>
      </c>
      <c r="AP22" s="76">
        <f t="shared" si="5"/>
        <v>0.37882893660287814</v>
      </c>
      <c r="AQ22" s="76">
        <f t="shared" si="6"/>
        <v>0</v>
      </c>
      <c r="AR22" s="76">
        <f t="shared" si="7"/>
        <v>1.0183404229542266</v>
      </c>
      <c r="AS22" s="76">
        <f t="shared" si="8"/>
        <v>0</v>
      </c>
      <c r="AT22" s="76">
        <f t="shared" si="9"/>
        <v>0.10491348655246482</v>
      </c>
      <c r="AU22" s="76">
        <f t="shared" si="10"/>
        <v>48.833522929637034</v>
      </c>
      <c r="AV22" s="76">
        <f>MAX(0,(AU22-Constantes!$D$13)*(1-EXP(-Constantes!$D$24)))</f>
        <v>1.2766686151421864E-3</v>
      </c>
      <c r="AW22" s="170">
        <f>AW21+(Entradas!$F$112*AT22-AX21)/(800*Entradas!$D$25)</f>
        <v>0</v>
      </c>
      <c r="AX22" s="170">
        <f>8000*Entradas!$D$26*AW22/Constantes!$F$45</f>
        <v>0</v>
      </c>
      <c r="AY22" s="170">
        <f>IF(Escenarios!$F$17&gt;0,10*Escenarios!$F$16*AL22,0)</f>
        <v>0</v>
      </c>
      <c r="AZ22" s="170">
        <f>IF(Escenarios!$F$17&gt;0,10*Escenarios!$F$16*AX22,0)</f>
        <v>0</v>
      </c>
      <c r="BA22" s="170">
        <f>IF(Escenarios!$F$17&gt;0,0.001*Observaciones!$F21*Escenarios!$F$17,0)</f>
        <v>0</v>
      </c>
      <c r="BB22" s="170">
        <f>IF(Escenarios!$F$17&gt;0,Observaciones!$K21,0)</f>
        <v>0</v>
      </c>
      <c r="BC22" s="170">
        <f>IF(Escenarios!$F$17&gt;0,MIN(0.0005*ETo!$M21*Escenarios!$F$17*(BG21/Constantes!$F$40)^(2/3),BG21+AY22+AZ22+BA22+BB22),0)</f>
        <v>0</v>
      </c>
      <c r="BD22" s="170">
        <f>IF(Escenarios!$F$17&gt;0,MIN(Constantes!$F$39*(BG21/Constantes!$F$40)^(2/3),BG21+AY22+AZ22+BA22+BB22-BC22),0)</f>
        <v>0</v>
      </c>
      <c r="BE22" s="170">
        <f>IF(Escenarios!$F$17&gt;0,MIN(Entradas!$F$113,BG21+AY22+AZ22+BA22+BB22-BC22-BD22),0)</f>
        <v>0</v>
      </c>
      <c r="BF22" s="170">
        <f>IF(Escenarios!$F$17&gt;0,MAX(0,BG21+AY22+AZ22+BA22+BB22-BC22-BD22-BE22-Constantes!$F$40),0)</f>
        <v>0</v>
      </c>
      <c r="BG22" s="170">
        <f t="shared" si="11"/>
        <v>0</v>
      </c>
      <c r="BH22" s="170">
        <f>(Escenarios!$F$16*AK22+0.1*BC22)/(Escenarios!$F$19)</f>
        <v>2.9685975687845421</v>
      </c>
      <c r="BI22" s="170">
        <f>IF(Escenarios!$F$17&gt;0,BF22/10/Escenarios!$F$19,AL22)</f>
        <v>0</v>
      </c>
      <c r="BJ22" s="170">
        <f>(Escenarios!$F$16*AT22+0.1*BD22)/(Escenarios!$F$19)</f>
        <v>0.10491348655246482</v>
      </c>
      <c r="BK22" s="76">
        <f>BK21+(0.1*BD22)/(Escenarios!$F$19)-BL21</f>
        <v>48.75</v>
      </c>
      <c r="BL22" s="76">
        <f>MAX(0,(BK22-Constantes!$D$13)*(1-EXP(-Constantes!$D$23)))</f>
        <v>0</v>
      </c>
      <c r="BM22" s="76">
        <f t="shared" si="12"/>
        <v>0.38010560521802034</v>
      </c>
      <c r="BN22" s="76">
        <f t="shared" si="13"/>
        <v>1.0196170915693687</v>
      </c>
      <c r="BO22" s="76">
        <f>0.0526*BI22*Observaciones!$F21^1.218</f>
        <v>0</v>
      </c>
      <c r="BP22" s="76">
        <f>BO22*Constantes!$F$51</f>
        <v>0</v>
      </c>
      <c r="BQ22" s="76">
        <f t="shared" si="14"/>
        <v>0</v>
      </c>
      <c r="BR22" s="40"/>
    </row>
    <row r="23" spans="2:70">
      <c r="B23" s="39"/>
      <c r="C23" s="75">
        <v>17</v>
      </c>
      <c r="D23" s="146">
        <f>ETo!$I22*((1-Constantes!$F$19)*ETo!$K22+ETo!$L22)</f>
        <v>4.4838758355331922</v>
      </c>
      <c r="E23" s="76">
        <f>MIN(D23*Constantes!$F$17,0.8*(N22+Observaciones!$F22-F23-M23-Constantes!$D$14))</f>
        <v>2.5572071086636639</v>
      </c>
      <c r="F23" s="76">
        <f>IF(Observaciones!$F22&gt;0.05*Constantes!$F$18,((Observaciones!$F22-0.05*Constantes!$F$18)^2)/(Observaciones!$F22+0.95*Constantes!$F$18),0)</f>
        <v>0</v>
      </c>
      <c r="G23" s="76">
        <f>IF(Escenarios!$F$11&gt;0,(F23*Escenarios!$F$16*10000)/1000,0)</f>
        <v>0</v>
      </c>
      <c r="H23" s="76">
        <f>IF(Escenarios!$F$11&gt;0,(Observaciones!$F22*Constantes!$F$29)/1000,0)</f>
        <v>0</v>
      </c>
      <c r="I23" s="76">
        <f>IF(Escenarios!$F$11&gt;0,(D23*Constantes!$F$29)/1000,0)</f>
        <v>0</v>
      </c>
      <c r="J23" s="76">
        <f>IF(Escenarios!$F$11&gt;0,MAX(0,G23+H23-I23),0)</f>
        <v>0</v>
      </c>
      <c r="K23" s="76">
        <f>IF(Escenarios!$F$11&gt;0,IF(J23&gt;Constantes!$F$30,1000*((J23-Constantes!$F$30)/(Escenarios!$F$16*10000)),0),F23)</f>
        <v>0</v>
      </c>
      <c r="L23" s="76">
        <f>IF(Escenarios!$F$11&gt;0,I23*1000/Escenarios!$F$16/10000+E23,E23)</f>
        <v>2.5572071086636639</v>
      </c>
      <c r="M23" s="76">
        <f>MAX(0,N22+Observaciones!$F22-K23-Constantes!$D$13)</f>
        <v>0</v>
      </c>
      <c r="N23" s="76">
        <f>N22+Observaciones!$F22-K23-L23-M23-O22</f>
        <v>38.100170391861418</v>
      </c>
      <c r="O23" s="76">
        <f>MAX(0,(N23-Constantes!$D$14)*(1-EXP(-Constantes!$D$22)))</f>
        <v>0.91461537254021685</v>
      </c>
      <c r="P23" s="170">
        <f>P22+(Entradas!$F$83*M23-Q22)/(800*Entradas!$D$25)</f>
        <v>0</v>
      </c>
      <c r="Q23" s="170">
        <f>8000*Entradas!$D$26*P23/Constantes!$F$45</f>
        <v>0</v>
      </c>
      <c r="R23" s="170">
        <f>IF(Escenarios!$F$14&gt;0,K23*Escenarios!$F$13/Escenarios!$F$14,0)</f>
        <v>0</v>
      </c>
      <c r="S23" s="170">
        <f>IF(Escenarios!$F$14&gt;0,Q23*Escenarios!$F$13/Escenarios!$F$14,0)</f>
        <v>0</v>
      </c>
      <c r="T23" s="170">
        <f>IF(Escenarios!$F$14&gt;0,Observaciones!$I22,0)</f>
        <v>0</v>
      </c>
      <c r="U23" s="170">
        <f>IF(Escenarios!$F$14&gt;0,MAX(0,Constantes!$F$36/((Z22+R23+S23+T23+Observaciones!$F22)^2)+Entradas!$F$77),0)</f>
        <v>1.0945159220011644</v>
      </c>
      <c r="V23" s="146">
        <f>IF(ETo!D22&gt;0,ETo!I22*((1-Entradas!$F$81)*ETo!K22+ETo!L22),0)</f>
        <v>3.9852747383434242</v>
      </c>
      <c r="W23" s="170">
        <f>IF(Escenarios!$F$14&gt;0,MIN(V23*1,0.8*(Z22+R23+S23+T23+Observaciones!$F22-U23-Constantes!$F$35)),0)</f>
        <v>3.9852747383434242</v>
      </c>
      <c r="X23" s="170">
        <f>IF(Escenarios!$F$14&gt;0,Observaciones!$J22,0)</f>
        <v>0</v>
      </c>
      <c r="Y23" s="170">
        <f>IF(Escenarios!$F$14&gt;0,MAX(0,Z22+R23+S23+T23+Observaciones!$F22-U23-W23-X23-Constantes!$F$33),0)</f>
        <v>0</v>
      </c>
      <c r="Z23" s="170">
        <f>Z22+R23+S23+T23+Observaciones!$F22-U23-W23-Y23</f>
        <v>68.323212944473795</v>
      </c>
      <c r="AA23" s="170">
        <f>IF(Escenarios!$F$14&gt;0,(Escenarios!$F$13*L23+Escenarios!$F$14*W23)/(Escenarios!$F$16),L23)</f>
        <v>2.728575224225235</v>
      </c>
      <c r="AB23" s="170">
        <f>IF(Escenarios!$F$14&gt;0,(Escenarios!$F$14*Y23)/(Escenarios!$F$16),K23)</f>
        <v>0</v>
      </c>
      <c r="AC23" s="170">
        <f>IF(Escenarios!$F$14&gt;0,(Escenarios!$F$13*M23+Escenarios!$F$14*U23)/(Escenarios!$F$16),M23)</f>
        <v>0.13134191064013973</v>
      </c>
      <c r="AD23" s="76">
        <f t="shared" si="1"/>
        <v>86.949664014832024</v>
      </c>
      <c r="AE23" s="76">
        <f>MAX(0,(AD23-Constantes!$D$13)*(1-EXP(-Constantes!$D$23)))</f>
        <v>0.37639038798925034</v>
      </c>
      <c r="AF23" s="76">
        <f>AB23+O23*Escenarios!$F$13/Escenarios!$F$16+AE23</f>
        <v>1.1812519158246411</v>
      </c>
      <c r="AG23" s="76">
        <f>IF(Entradas!$F$91&gt;0,IF(AF23-Escenarios!$F$38&lt;=0,0,IF(AF23-Escenarios!$F$38&gt;Escenarios!$F$37,Escenarios!$F$37,AF23-Escenarios!$F$38)),0)</f>
        <v>0.14445191582464112</v>
      </c>
      <c r="AH23" s="76">
        <f>AG23*Entradas!$F$99</f>
        <v>0</v>
      </c>
      <c r="AI23" s="76">
        <f>IF(Entradas!$F$91&gt;0,D23*Entradas!$D$23/Escenarios!$F$16,0)</f>
        <v>0.21522604010559324</v>
      </c>
      <c r="AJ23" s="76">
        <f>IF(Entradas!$F$91&gt;0,Entradas!$D$24*Entradas!$D$22/Escenarios!$F$16,0)</f>
        <v>0.12</v>
      </c>
      <c r="AK23" s="76">
        <f t="shared" si="2"/>
        <v>2.9438012643308284</v>
      </c>
      <c r="AL23" s="76">
        <f t="shared" si="3"/>
        <v>0</v>
      </c>
      <c r="AM23" s="76">
        <f t="shared" si="4"/>
        <v>0.14445191582464112</v>
      </c>
      <c r="AN23" s="76">
        <f>MAX(0,O23*Escenarios!$F$13/Escenarios!$F$16-AM23)</f>
        <v>0.66040961201074966</v>
      </c>
      <c r="AO23" s="76">
        <f>AM23+AN23-O23*Escenarios!$F$13/Escenarios!$F$16</f>
        <v>0</v>
      </c>
      <c r="AP23" s="76">
        <f t="shared" si="5"/>
        <v>0.37639038798925034</v>
      </c>
      <c r="AQ23" s="76">
        <f t="shared" si="6"/>
        <v>0</v>
      </c>
      <c r="AR23" s="76">
        <f t="shared" si="7"/>
        <v>1.0367999999999999</v>
      </c>
      <c r="AS23" s="76">
        <f t="shared" si="8"/>
        <v>0</v>
      </c>
      <c r="AT23" s="76">
        <f t="shared" si="9"/>
        <v>0.13134191064013973</v>
      </c>
      <c r="AU23" s="76">
        <f t="shared" si="10"/>
        <v>48.832246261021893</v>
      </c>
      <c r="AV23" s="76">
        <f>MAX(0,(AU23-Constantes!$D$13)*(1-EXP(-Constantes!$D$24)))</f>
        <v>1.2571544199389006E-3</v>
      </c>
      <c r="AW23" s="170">
        <f>AW22+(Entradas!$F$112*AT23-AX22)/(800*Entradas!$D$25)</f>
        <v>0</v>
      </c>
      <c r="AX23" s="170">
        <f>8000*Entradas!$D$26*AW23/Constantes!$F$45</f>
        <v>0</v>
      </c>
      <c r="AY23" s="170">
        <f>IF(Escenarios!$F$17&gt;0,10*Escenarios!$F$16*AL23,0)</f>
        <v>0</v>
      </c>
      <c r="AZ23" s="170">
        <f>IF(Escenarios!$F$17&gt;0,10*Escenarios!$F$16*AX23,0)</f>
        <v>0</v>
      </c>
      <c r="BA23" s="170">
        <f>IF(Escenarios!$F$17&gt;0,0.001*Observaciones!$F22*Escenarios!$F$17,0)</f>
        <v>0</v>
      </c>
      <c r="BB23" s="170">
        <f>IF(Escenarios!$F$17&gt;0,Observaciones!$K22,0)</f>
        <v>0</v>
      </c>
      <c r="BC23" s="170">
        <f>IF(Escenarios!$F$17&gt;0,MIN(0.0005*ETo!$M22*Escenarios!$F$17*(BG22/Constantes!$F$40)^(2/3),BG22+AY23+AZ23+BA23+BB23),0)</f>
        <v>0</v>
      </c>
      <c r="BD23" s="170">
        <f>IF(Escenarios!$F$17&gt;0,MIN(Constantes!$F$39*(BG22/Constantes!$F$40)^(2/3),BG22+AY23+AZ23+BA23+BB23-BC23),0)</f>
        <v>0</v>
      </c>
      <c r="BE23" s="170">
        <f>IF(Escenarios!$F$17&gt;0,MIN(Entradas!$F$113,BG22+AY23+AZ23+BA23+BB23-BC23-BD23),0)</f>
        <v>0</v>
      </c>
      <c r="BF23" s="170">
        <f>IF(Escenarios!$F$17&gt;0,MAX(0,BG22+AY23+AZ23+BA23+BB23-BC23-BD23-BE23-Constantes!$F$40),0)</f>
        <v>0</v>
      </c>
      <c r="BG23" s="170">
        <f t="shared" si="11"/>
        <v>0</v>
      </c>
      <c r="BH23" s="170">
        <f>(Escenarios!$F$16*AK23+0.1*BC23)/(Escenarios!$F$19)</f>
        <v>2.9438012643308284</v>
      </c>
      <c r="BI23" s="170">
        <f>IF(Escenarios!$F$17&gt;0,BF23/10/Escenarios!$F$19,AL23)</f>
        <v>0</v>
      </c>
      <c r="BJ23" s="170">
        <f>(Escenarios!$F$16*AT23+0.1*BD23)/(Escenarios!$F$19)</f>
        <v>0.13134191064013973</v>
      </c>
      <c r="BK23" s="76">
        <f>BK22+(0.1*BD23)/(Escenarios!$F$19)-BL22</f>
        <v>48.75</v>
      </c>
      <c r="BL23" s="76">
        <f>MAX(0,(BK23-Constantes!$D$13)*(1-EXP(-Constantes!$D$23)))</f>
        <v>0</v>
      </c>
      <c r="BM23" s="76">
        <f t="shared" si="12"/>
        <v>0.37764754240918924</v>
      </c>
      <c r="BN23" s="76">
        <f t="shared" si="13"/>
        <v>1.0380571544199388</v>
      </c>
      <c r="BO23" s="76">
        <f>0.0526*BI23*Observaciones!$F22^1.218</f>
        <v>0</v>
      </c>
      <c r="BP23" s="76">
        <f>BO23*Constantes!$F$51</f>
        <v>0</v>
      </c>
      <c r="BQ23" s="76">
        <f t="shared" si="14"/>
        <v>0</v>
      </c>
      <c r="BR23" s="40"/>
    </row>
    <row r="24" spans="2:70">
      <c r="B24" s="39"/>
      <c r="C24" s="75">
        <v>18</v>
      </c>
      <c r="D24" s="146">
        <f>ETo!$I23*((1-Constantes!$F$19)*ETo!$K23+ETo!$L23)</f>
        <v>4.3203074961424228</v>
      </c>
      <c r="E24" s="76">
        <f>MIN(D24*Constantes!$F$17,0.8*(N23+Observaciones!$F23-F24-M24-Constantes!$D$14))</f>
        <v>2.4639221615365212</v>
      </c>
      <c r="F24" s="76">
        <f>IF(Observaciones!$F23&gt;0.05*Constantes!$F$18,((Observaciones!$F23-0.05*Constantes!$F$18)^2)/(Observaciones!$F23+0.95*Constantes!$F$18),0)</f>
        <v>0</v>
      </c>
      <c r="G24" s="76">
        <f>IF(Escenarios!$F$11&gt;0,(F24*Escenarios!$F$16*10000)/1000,0)</f>
        <v>0</v>
      </c>
      <c r="H24" s="76">
        <f>IF(Escenarios!$F$11&gt;0,(Observaciones!$F23*Constantes!$F$29)/1000,0)</f>
        <v>0</v>
      </c>
      <c r="I24" s="76">
        <f>IF(Escenarios!$F$11&gt;0,(D24*Constantes!$F$29)/1000,0)</f>
        <v>0</v>
      </c>
      <c r="J24" s="76">
        <f>IF(Escenarios!$F$11&gt;0,MAX(0,G24+H24-I24),0)</f>
        <v>0</v>
      </c>
      <c r="K24" s="76">
        <f>IF(Escenarios!$F$11&gt;0,IF(J24&gt;Constantes!$F$30,1000*((J24-Constantes!$F$30)/(Escenarios!$F$16*10000)),0),F24)</f>
        <v>0</v>
      </c>
      <c r="L24" s="76">
        <f>IF(Escenarios!$F$11&gt;0,I24*1000/Escenarios!$F$16/10000+E24,E24)</f>
        <v>2.4639221615365212</v>
      </c>
      <c r="M24" s="76">
        <f>MAX(0,N23+Observaciones!$F23-K24-Constantes!$D$13)</f>
        <v>0</v>
      </c>
      <c r="N24" s="76">
        <f>N23+Observaciones!$F23-K24-L24-M24-O23</f>
        <v>37.221632857784677</v>
      </c>
      <c r="O24" s="76">
        <f>MAX(0,(N24-Constantes!$D$14)*(1-EXP(-Constantes!$D$22)))</f>
        <v>0.88468915895224953</v>
      </c>
      <c r="P24" s="170">
        <f>P23+(Entradas!$F$83*M24-Q23)/(800*Entradas!$D$25)</f>
        <v>0</v>
      </c>
      <c r="Q24" s="170">
        <f>8000*Entradas!$D$26*P24/Constantes!$F$45</f>
        <v>0</v>
      </c>
      <c r="R24" s="170">
        <f>IF(Escenarios!$F$14&gt;0,K24*Escenarios!$F$13/Escenarios!$F$14,0)</f>
        <v>0</v>
      </c>
      <c r="S24" s="170">
        <f>IF(Escenarios!$F$14&gt;0,Q24*Escenarios!$F$13/Escenarios!$F$14,0)</f>
        <v>0</v>
      </c>
      <c r="T24" s="170">
        <f>IF(Escenarios!$F$14&gt;0,Observaciones!$I23,0)</f>
        <v>0</v>
      </c>
      <c r="U24" s="170">
        <f>IF(Escenarios!$F$14&gt;0,MAX(0,Constantes!$F$36/((Z23+R24+S24+T24+Observaciones!$F23)^2)+Entradas!$F$77),0)</f>
        <v>0.95317017304806306</v>
      </c>
      <c r="V24" s="146">
        <f>IF(ETo!D23&gt;0,ETo!I23*((1-Entradas!$F$81)*ETo!K23+ETo!L23),0)</f>
        <v>3.8380482869337542</v>
      </c>
      <c r="W24" s="170">
        <f>IF(Escenarios!$F$14&gt;0,MIN(V24*1,0.8*(Z23+R24+S24+T24+Observaciones!$F23-U24-Constantes!$F$35)),0)</f>
        <v>3.8380482869337542</v>
      </c>
      <c r="X24" s="170">
        <f>IF(Escenarios!$F$14&gt;0,Observaciones!$J23,0)</f>
        <v>0</v>
      </c>
      <c r="Y24" s="170">
        <f>IF(Escenarios!$F$14&gt;0,MAX(0,Z23+R24+S24+T24+Observaciones!$F23-U24-W24-X24-Constantes!$F$33),0)</f>
        <v>0</v>
      </c>
      <c r="Z24" s="170">
        <f>Z23+R24+S24+T24+Observaciones!$F23-U24-W24-Y24</f>
        <v>66.031994484491975</v>
      </c>
      <c r="AA24" s="170">
        <f>IF(Escenarios!$F$14&gt;0,(Escenarios!$F$13*L24+Escenarios!$F$14*W24)/(Escenarios!$F$16),L24)</f>
        <v>2.6288172965841889</v>
      </c>
      <c r="AB24" s="170">
        <f>IF(Escenarios!$F$14&gt;0,(Escenarios!$F$14*Y24)/(Escenarios!$F$16),K24)</f>
        <v>0</v>
      </c>
      <c r="AC24" s="170">
        <f>IF(Escenarios!$F$14&gt;0,(Escenarios!$F$13*M24+Escenarios!$F$14*U24)/(Escenarios!$F$16),M24)</f>
        <v>0.11438042076576757</v>
      </c>
      <c r="AD24" s="76">
        <f t="shared" si="1"/>
        <v>86.687654047608547</v>
      </c>
      <c r="AE24" s="76">
        <f>MAX(0,(AD24-Constantes!$D$13)*(1-EXP(-Constantes!$D$23)))</f>
        <v>0.37380874137628528</v>
      </c>
      <c r="AF24" s="76">
        <f>AB24+O24*Escenarios!$F$13/Escenarios!$F$16+AE24</f>
        <v>1.1523352012542649</v>
      </c>
      <c r="AG24" s="76">
        <f>IF(Entradas!$F$91&gt;0,IF(AF24-Escenarios!$F$38&lt;=0,0,IF(AF24-Escenarios!$F$38&gt;Escenarios!$F$37,Escenarios!$F$37,AF24-Escenarios!$F$38)),0)</f>
        <v>0.11553520125426497</v>
      </c>
      <c r="AH24" s="76">
        <f>AG24*Entradas!$F$99</f>
        <v>0</v>
      </c>
      <c r="AI24" s="76">
        <f>IF(Entradas!$F$91&gt;0,D24*Entradas!$D$23/Escenarios!$F$16,0)</f>
        <v>0.2073747598148363</v>
      </c>
      <c r="AJ24" s="76">
        <f>IF(Entradas!$F$91&gt;0,Entradas!$D$24*Entradas!$D$22/Escenarios!$F$16,0)</f>
        <v>0.12</v>
      </c>
      <c r="AK24" s="76">
        <f t="shared" si="2"/>
        <v>2.8361920563990251</v>
      </c>
      <c r="AL24" s="76">
        <f t="shared" si="3"/>
        <v>0</v>
      </c>
      <c r="AM24" s="76">
        <f t="shared" si="4"/>
        <v>0.11553520125426497</v>
      </c>
      <c r="AN24" s="76">
        <f>MAX(0,O24*Escenarios!$F$13/Escenarios!$F$16-AM24)</f>
        <v>0.66299125862371466</v>
      </c>
      <c r="AO24" s="76">
        <f>AM24+AN24-O24*Escenarios!$F$13/Escenarios!$F$16</f>
        <v>0</v>
      </c>
      <c r="AP24" s="76">
        <f t="shared" si="5"/>
        <v>0.37380874137628528</v>
      </c>
      <c r="AQ24" s="76">
        <f t="shared" si="6"/>
        <v>0</v>
      </c>
      <c r="AR24" s="76">
        <f t="shared" si="7"/>
        <v>1.0367999999999999</v>
      </c>
      <c r="AS24" s="76">
        <f t="shared" si="8"/>
        <v>0</v>
      </c>
      <c r="AT24" s="76">
        <f t="shared" si="9"/>
        <v>0.11438042076576757</v>
      </c>
      <c r="AU24" s="76">
        <f t="shared" si="10"/>
        <v>48.830989106601955</v>
      </c>
      <c r="AV24" s="76">
        <f>MAX(0,(AU24-Constantes!$D$13)*(1-EXP(-Constantes!$D$24)))</f>
        <v>1.2379385040305628E-3</v>
      </c>
      <c r="AW24" s="170">
        <f>AW23+(Entradas!$F$112*AT24-AX23)/(800*Entradas!$D$25)</f>
        <v>0</v>
      </c>
      <c r="AX24" s="170">
        <f>8000*Entradas!$D$26*AW24/Constantes!$F$45</f>
        <v>0</v>
      </c>
      <c r="AY24" s="170">
        <f>IF(Escenarios!$F$17&gt;0,10*Escenarios!$F$16*AL24,0)</f>
        <v>0</v>
      </c>
      <c r="AZ24" s="170">
        <f>IF(Escenarios!$F$17&gt;0,10*Escenarios!$F$16*AX24,0)</f>
        <v>0</v>
      </c>
      <c r="BA24" s="170">
        <f>IF(Escenarios!$F$17&gt;0,0.001*Observaciones!$F23*Escenarios!$F$17,0)</f>
        <v>0</v>
      </c>
      <c r="BB24" s="170">
        <f>IF(Escenarios!$F$17&gt;0,Observaciones!$K23,0)</f>
        <v>0</v>
      </c>
      <c r="BC24" s="170">
        <f>IF(Escenarios!$F$17&gt;0,MIN(0.0005*ETo!$M23*Escenarios!$F$17*(BG23/Constantes!$F$40)^(2/3),BG23+AY24+AZ24+BA24+BB24),0)</f>
        <v>0</v>
      </c>
      <c r="BD24" s="170">
        <f>IF(Escenarios!$F$17&gt;0,MIN(Constantes!$F$39*(BG23/Constantes!$F$40)^(2/3),BG23+AY24+AZ24+BA24+BB24-BC24),0)</f>
        <v>0</v>
      </c>
      <c r="BE24" s="170">
        <f>IF(Escenarios!$F$17&gt;0,MIN(Entradas!$F$113,BG23+AY24+AZ24+BA24+BB24-BC24-BD24),0)</f>
        <v>0</v>
      </c>
      <c r="BF24" s="170">
        <f>IF(Escenarios!$F$17&gt;0,MAX(0,BG23+AY24+AZ24+BA24+BB24-BC24-BD24-BE24-Constantes!$F$40),0)</f>
        <v>0</v>
      </c>
      <c r="BG24" s="170">
        <f t="shared" si="11"/>
        <v>0</v>
      </c>
      <c r="BH24" s="170">
        <f>(Escenarios!$F$16*AK24+0.1*BC24)/(Escenarios!$F$19)</f>
        <v>2.8361920563990251</v>
      </c>
      <c r="BI24" s="170">
        <f>IF(Escenarios!$F$17&gt;0,BF24/10/Escenarios!$F$19,AL24)</f>
        <v>0</v>
      </c>
      <c r="BJ24" s="170">
        <f>(Escenarios!$F$16*AT24+0.1*BD24)/(Escenarios!$F$19)</f>
        <v>0.11438042076576757</v>
      </c>
      <c r="BK24" s="76">
        <f>BK23+(0.1*BD24)/(Escenarios!$F$19)-BL23</f>
        <v>48.75</v>
      </c>
      <c r="BL24" s="76">
        <f>MAX(0,(BK24-Constantes!$D$13)*(1-EXP(-Constantes!$D$23)))</f>
        <v>0</v>
      </c>
      <c r="BM24" s="76">
        <f t="shared" si="12"/>
        <v>0.37504667988031587</v>
      </c>
      <c r="BN24" s="76">
        <f t="shared" si="13"/>
        <v>1.0380379385040306</v>
      </c>
      <c r="BO24" s="76">
        <f>0.0526*BI24*Observaciones!$F23^1.218</f>
        <v>0</v>
      </c>
      <c r="BP24" s="76">
        <f>BO24*Constantes!$F$51</f>
        <v>0</v>
      </c>
      <c r="BQ24" s="76">
        <f t="shared" si="14"/>
        <v>0</v>
      </c>
      <c r="BR24" s="40"/>
    </row>
    <row r="25" spans="2:70">
      <c r="B25" s="39"/>
      <c r="C25" s="75">
        <v>19</v>
      </c>
      <c r="D25" s="146">
        <f>ETo!$I24*((1-Constantes!$F$19)*ETo!$K24+ETo!$L24)</f>
        <v>4.4129443772106285</v>
      </c>
      <c r="E25" s="76">
        <f>MIN(D25*Constantes!$F$17,0.8*(N24+Observaciones!$F24-F25-M25-Constantes!$D$14))</f>
        <v>2.5167540639979498</v>
      </c>
      <c r="F25" s="76">
        <f>IF(Observaciones!$F24&gt;0.05*Constantes!$F$18,((Observaciones!$F24-0.05*Constantes!$F$18)^2)/(Observaciones!$F24+0.95*Constantes!$F$18),0)</f>
        <v>0</v>
      </c>
      <c r="G25" s="76">
        <f>IF(Escenarios!$F$11&gt;0,(F25*Escenarios!$F$16*10000)/1000,0)</f>
        <v>0</v>
      </c>
      <c r="H25" s="76">
        <f>IF(Escenarios!$F$11&gt;0,(Observaciones!$F24*Constantes!$F$29)/1000,0)</f>
        <v>0</v>
      </c>
      <c r="I25" s="76">
        <f>IF(Escenarios!$F$11&gt;0,(D25*Constantes!$F$29)/1000,0)</f>
        <v>0</v>
      </c>
      <c r="J25" s="76">
        <f>IF(Escenarios!$F$11&gt;0,MAX(0,G25+H25-I25),0)</f>
        <v>0</v>
      </c>
      <c r="K25" s="76">
        <f>IF(Escenarios!$F$11&gt;0,IF(J25&gt;Constantes!$F$30,1000*((J25-Constantes!$F$30)/(Escenarios!$F$16*10000)),0),F25)</f>
        <v>0</v>
      </c>
      <c r="L25" s="76">
        <f>IF(Escenarios!$F$11&gt;0,I25*1000/Escenarios!$F$16/10000+E25,E25)</f>
        <v>2.5167540639979498</v>
      </c>
      <c r="M25" s="76">
        <f>MAX(0,N24+Observaciones!$F24-K25-Constantes!$D$13)</f>
        <v>0</v>
      </c>
      <c r="N25" s="76">
        <f>N24+Observaciones!$F24-K25-L25-M25-O24</f>
        <v>41.720189634834476</v>
      </c>
      <c r="O25" s="76">
        <f>MAX(0,(N25-Constantes!$D$14)*(1-EXP(-Constantes!$D$22)))</f>
        <v>1.0379265173185805</v>
      </c>
      <c r="P25" s="170">
        <f>P24+(Entradas!$F$83*M25-Q24)/(800*Entradas!$D$25)</f>
        <v>0</v>
      </c>
      <c r="Q25" s="170">
        <f>8000*Entradas!$D$26*P25/Constantes!$F$45</f>
        <v>0</v>
      </c>
      <c r="R25" s="170">
        <f>IF(Escenarios!$F$14&gt;0,K25*Escenarios!$F$13/Escenarios!$F$14,0)</f>
        <v>0</v>
      </c>
      <c r="S25" s="170">
        <f>IF(Escenarios!$F$14&gt;0,Q25*Escenarios!$F$13/Escenarios!$F$14,0)</f>
        <v>0</v>
      </c>
      <c r="T25" s="170">
        <f>IF(Escenarios!$F$14&gt;0,Observaciones!$I24,0)</f>
        <v>0</v>
      </c>
      <c r="U25" s="170">
        <f>IF(Escenarios!$F$14&gt;0,MAX(0,Constantes!$F$36/((Z24+R25+S25+T25+Observaciones!$F24)^2)+Entradas!$F$77),0)</f>
        <v>1.1216862315024132</v>
      </c>
      <c r="V25" s="146">
        <f>IF(ETo!D24&gt;0,ETo!I24*((1-Entradas!$F$81)*ETo!K24+ETo!L24),0)</f>
        <v>3.9213303871607632</v>
      </c>
      <c r="W25" s="170">
        <f>IF(Escenarios!$F$14&gt;0,MIN(V25*1,0.8*(Z24+R25+S25+T25+Observaciones!$F24-U25-Constantes!$F$35)),0)</f>
        <v>3.9213303871607632</v>
      </c>
      <c r="X25" s="170">
        <f>IF(Escenarios!$F$14&gt;0,Observaciones!$J24,0)</f>
        <v>0</v>
      </c>
      <c r="Y25" s="170">
        <f>IF(Escenarios!$F$14&gt;0,MAX(0,Z24+R25+S25+T25+Observaciones!$F24-U25-W25-X25-Constantes!$F$33),0)</f>
        <v>0</v>
      </c>
      <c r="Z25" s="170">
        <f>Z24+R25+S25+T25+Observaciones!$F24-U25-W25-Y25</f>
        <v>68.888977865828807</v>
      </c>
      <c r="AA25" s="170">
        <f>IF(Escenarios!$F$14&gt;0,(Escenarios!$F$13*L25+Escenarios!$F$14*W25)/(Escenarios!$F$16),L25)</f>
        <v>2.6853032227774873</v>
      </c>
      <c r="AB25" s="170">
        <f>IF(Escenarios!$F$14&gt;0,(Escenarios!$F$14*Y25)/(Escenarios!$F$16),K25)</f>
        <v>0</v>
      </c>
      <c r="AC25" s="170">
        <f>IF(Escenarios!$F$14&gt;0,(Escenarios!$F$13*M25+Escenarios!$F$14*U25)/(Escenarios!$F$16),M25)</f>
        <v>0.13460234778028959</v>
      </c>
      <c r="AD25" s="76">
        <f t="shared" si="1"/>
        <v>86.448447654012554</v>
      </c>
      <c r="AE25" s="76">
        <f>MAX(0,(AD25-Constantes!$D$13)*(1-EXP(-Constantes!$D$23)))</f>
        <v>0.37145178380565985</v>
      </c>
      <c r="AF25" s="76">
        <f>AB25+O25*Escenarios!$F$13/Escenarios!$F$16+AE25</f>
        <v>1.2848271190460108</v>
      </c>
      <c r="AG25" s="76">
        <f>IF(Entradas!$F$91&gt;0,IF(AF25-Escenarios!$F$38&lt;=0,0,IF(AF25-Escenarios!$F$38&gt;Escenarios!$F$37,Escenarios!$F$37,AF25-Escenarios!$F$38)),0)</f>
        <v>0.24802711904601082</v>
      </c>
      <c r="AH25" s="76">
        <f>AG25*Entradas!$F$99</f>
        <v>0</v>
      </c>
      <c r="AI25" s="76">
        <f>IF(Entradas!$F$91&gt;0,D25*Entradas!$D$23/Escenarios!$F$16,0)</f>
        <v>0.21182133010611018</v>
      </c>
      <c r="AJ25" s="76">
        <f>IF(Entradas!$F$91&gt;0,Entradas!$D$24*Entradas!$D$22/Escenarios!$F$16,0)</f>
        <v>0.12</v>
      </c>
      <c r="AK25" s="76">
        <f t="shared" si="2"/>
        <v>2.8971245528835974</v>
      </c>
      <c r="AL25" s="76">
        <f t="shared" si="3"/>
        <v>0</v>
      </c>
      <c r="AM25" s="76">
        <f t="shared" si="4"/>
        <v>0.24802711904601082</v>
      </c>
      <c r="AN25" s="76">
        <f>MAX(0,O25*Escenarios!$F$13/Escenarios!$F$16-AM25)</f>
        <v>0.66534821619434004</v>
      </c>
      <c r="AO25" s="76">
        <f>AM25+AN25-O25*Escenarios!$F$13/Escenarios!$F$16</f>
        <v>0</v>
      </c>
      <c r="AP25" s="76">
        <f t="shared" si="5"/>
        <v>0.37145178380565985</v>
      </c>
      <c r="AQ25" s="76">
        <f t="shared" si="6"/>
        <v>0</v>
      </c>
      <c r="AR25" s="76">
        <f t="shared" si="7"/>
        <v>1.0367999999999999</v>
      </c>
      <c r="AS25" s="76">
        <f t="shared" si="8"/>
        <v>0</v>
      </c>
      <c r="AT25" s="76">
        <f t="shared" si="9"/>
        <v>0.13460234778028959</v>
      </c>
      <c r="AU25" s="76">
        <f t="shared" si="10"/>
        <v>48.829751168097921</v>
      </c>
      <c r="AV25" s="76">
        <f>MAX(0,(AU25-Constantes!$D$13)*(1-EXP(-Constantes!$D$24)))</f>
        <v>1.219016308144433E-3</v>
      </c>
      <c r="AW25" s="170">
        <f>AW24+(Entradas!$F$112*AT25-AX24)/(800*Entradas!$D$25)</f>
        <v>0</v>
      </c>
      <c r="AX25" s="170">
        <f>8000*Entradas!$D$26*AW25/Constantes!$F$45</f>
        <v>0</v>
      </c>
      <c r="AY25" s="170">
        <f>IF(Escenarios!$F$17&gt;0,10*Escenarios!$F$16*AL25,0)</f>
        <v>0</v>
      </c>
      <c r="AZ25" s="170">
        <f>IF(Escenarios!$F$17&gt;0,10*Escenarios!$F$16*AX25,0)</f>
        <v>0</v>
      </c>
      <c r="BA25" s="170">
        <f>IF(Escenarios!$F$17&gt;0,0.001*Observaciones!$F24*Escenarios!$F$17,0)</f>
        <v>0</v>
      </c>
      <c r="BB25" s="170">
        <f>IF(Escenarios!$F$17&gt;0,Observaciones!$K24,0)</f>
        <v>0</v>
      </c>
      <c r="BC25" s="170">
        <f>IF(Escenarios!$F$17&gt;0,MIN(0.0005*ETo!$M24*Escenarios!$F$17*(BG24/Constantes!$F$40)^(2/3),BG24+AY25+AZ25+BA25+BB25),0)</f>
        <v>0</v>
      </c>
      <c r="BD25" s="170">
        <f>IF(Escenarios!$F$17&gt;0,MIN(Constantes!$F$39*(BG24/Constantes!$F$40)^(2/3),BG24+AY25+AZ25+BA25+BB25-BC25),0)</f>
        <v>0</v>
      </c>
      <c r="BE25" s="170">
        <f>IF(Escenarios!$F$17&gt;0,MIN(Entradas!$F$113,BG24+AY25+AZ25+BA25+BB25-BC25-BD25),0)</f>
        <v>0</v>
      </c>
      <c r="BF25" s="170">
        <f>IF(Escenarios!$F$17&gt;0,MAX(0,BG24+AY25+AZ25+BA25+BB25-BC25-BD25-BE25-Constantes!$F$40),0)</f>
        <v>0</v>
      </c>
      <c r="BG25" s="170">
        <f t="shared" si="11"/>
        <v>0</v>
      </c>
      <c r="BH25" s="170">
        <f>(Escenarios!$F$16*AK25+0.1*BC25)/(Escenarios!$F$19)</f>
        <v>2.8971245528835974</v>
      </c>
      <c r="BI25" s="170">
        <f>IF(Escenarios!$F$17&gt;0,BF25/10/Escenarios!$F$19,AL25)</f>
        <v>0</v>
      </c>
      <c r="BJ25" s="170">
        <f>(Escenarios!$F$16*AT25+0.1*BD25)/(Escenarios!$F$19)</f>
        <v>0.13460234778028959</v>
      </c>
      <c r="BK25" s="76">
        <f>BK24+(0.1*BD25)/(Escenarios!$F$19)-BL24</f>
        <v>48.75</v>
      </c>
      <c r="BL25" s="76">
        <f>MAX(0,(BK25-Constantes!$D$13)*(1-EXP(-Constantes!$D$23)))</f>
        <v>0</v>
      </c>
      <c r="BM25" s="76">
        <f t="shared" si="12"/>
        <v>0.37267080011380427</v>
      </c>
      <c r="BN25" s="76">
        <f t="shared" si="13"/>
        <v>1.0380190163081444</v>
      </c>
      <c r="BO25" s="76">
        <f>0.0526*BI25*Observaciones!$F24^1.218</f>
        <v>0</v>
      </c>
      <c r="BP25" s="76">
        <f>BO25*Constantes!$F$51</f>
        <v>0</v>
      </c>
      <c r="BQ25" s="76">
        <f t="shared" si="14"/>
        <v>0</v>
      </c>
      <c r="BR25" s="40"/>
    </row>
    <row r="26" spans="2:70">
      <c r="B26" s="39"/>
      <c r="C26" s="75">
        <v>20</v>
      </c>
      <c r="D26" s="146">
        <f>ETo!$I25*((1-Constantes!$F$19)*ETo!$K25+ETo!$L25)</f>
        <v>4.3563774131041706</v>
      </c>
      <c r="E26" s="76">
        <f>MIN(D26*Constantes!$F$17,0.8*(N25+Observaciones!$F25-F26-M26-Constantes!$D$14))</f>
        <v>2.484493259275788</v>
      </c>
      <c r="F26" s="76">
        <f>IF(Observaciones!$F25&gt;0.05*Constantes!$F$18,((Observaciones!$F25-0.05*Constantes!$F$18)^2)/(Observaciones!$F25+0.95*Constantes!$F$18),0)</f>
        <v>0</v>
      </c>
      <c r="G26" s="76">
        <f>IF(Escenarios!$F$11&gt;0,(F26*Escenarios!$F$16*10000)/1000,0)</f>
        <v>0</v>
      </c>
      <c r="H26" s="76">
        <f>IF(Escenarios!$F$11&gt;0,(Observaciones!$F25*Constantes!$F$29)/1000,0)</f>
        <v>0</v>
      </c>
      <c r="I26" s="76">
        <f>IF(Escenarios!$F$11&gt;0,(D26*Constantes!$F$29)/1000,0)</f>
        <v>0</v>
      </c>
      <c r="J26" s="76">
        <f>IF(Escenarios!$F$11&gt;0,MAX(0,G26+H26-I26),0)</f>
        <v>0</v>
      </c>
      <c r="K26" s="76">
        <f>IF(Escenarios!$F$11&gt;0,IF(J26&gt;Constantes!$F$30,1000*((J26-Constantes!$F$30)/(Escenarios!$F$16*10000)),0),F26)</f>
        <v>0</v>
      </c>
      <c r="L26" s="76">
        <f>IF(Escenarios!$F$11&gt;0,I26*1000/Escenarios!$F$16/10000+E26,E26)</f>
        <v>2.484493259275788</v>
      </c>
      <c r="M26" s="76">
        <f>MAX(0,N25+Observaciones!$F25-K26-Constantes!$D$13)</f>
        <v>0</v>
      </c>
      <c r="N26" s="76">
        <f>N25+Observaciones!$F25-K26-L26-M26-O25</f>
        <v>43.197769858240108</v>
      </c>
      <c r="O26" s="76">
        <f>MAX(0,(N26-Constantes!$D$14)*(1-EXP(-Constantes!$D$22)))</f>
        <v>1.0882583240358232</v>
      </c>
      <c r="P26" s="170">
        <f>P25+(Entradas!$F$83*M26-Q25)/(800*Entradas!$D$25)</f>
        <v>0</v>
      </c>
      <c r="Q26" s="170">
        <f>8000*Entradas!$D$26*P26/Constantes!$F$45</f>
        <v>0</v>
      </c>
      <c r="R26" s="170">
        <f>IF(Escenarios!$F$14&gt;0,K26*Escenarios!$F$13/Escenarios!$F$14,0)</f>
        <v>0</v>
      </c>
      <c r="S26" s="170">
        <f>IF(Escenarios!$F$14&gt;0,Q26*Escenarios!$F$13/Escenarios!$F$14,0)</f>
        <v>0</v>
      </c>
      <c r="T26" s="170">
        <f>IF(Escenarios!$F$14&gt;0,Observaciones!$I25,0)</f>
        <v>0</v>
      </c>
      <c r="U26" s="170">
        <f>IF(Escenarios!$F$14&gt;0,MAX(0,Constantes!$F$36/((Z25+R26+S26+T26+Observaciones!$F25)^2)+Entradas!$F$77),0)</f>
        <v>1.1194985648408087</v>
      </c>
      <c r="V26" s="146">
        <f>IF(ETo!D25&gt;0,ETo!I25*((1-Entradas!$F$81)*ETo!K25+ETo!L25),0)</f>
        <v>3.8704309165882385</v>
      </c>
      <c r="W26" s="170">
        <f>IF(Escenarios!$F$14&gt;0,MIN(V26*1,0.8*(Z25+R26+S26+T26+Observaciones!$F25-U26-Constantes!$F$35)),0)</f>
        <v>3.8704309165882385</v>
      </c>
      <c r="X26" s="170">
        <f>IF(Escenarios!$F$14&gt;0,Observaciones!$J25,0)</f>
        <v>0</v>
      </c>
      <c r="Y26" s="170">
        <f>IF(Escenarios!$F$14&gt;0,MAX(0,Z25+R26+S26+T26+Observaciones!$F25-U26-W26-X26-Constantes!$F$33),0)</f>
        <v>0</v>
      </c>
      <c r="Z26" s="170">
        <f>Z25+R26+S26+T26+Observaciones!$F25-U26-W26-Y26</f>
        <v>68.899048384399762</v>
      </c>
      <c r="AA26" s="170">
        <f>IF(Escenarios!$F$14&gt;0,(Escenarios!$F$13*L26+Escenarios!$F$14*W26)/(Escenarios!$F$16),L26)</f>
        <v>2.6508057781532814</v>
      </c>
      <c r="AB26" s="170">
        <f>IF(Escenarios!$F$14&gt;0,(Escenarios!$F$14*Y26)/(Escenarios!$F$16),K26)</f>
        <v>0</v>
      </c>
      <c r="AC26" s="170">
        <f>IF(Escenarios!$F$14&gt;0,(Escenarios!$F$13*M26+Escenarios!$F$14*U26)/(Escenarios!$F$16),M26)</f>
        <v>0.13433982778089706</v>
      </c>
      <c r="AD26" s="76">
        <f t="shared" si="1"/>
        <v>86.211335697987792</v>
      </c>
      <c r="AE26" s="76">
        <f>MAX(0,(AD26-Constantes!$D$13)*(1-EXP(-Constantes!$D$23)))</f>
        <v>0.36911546322727995</v>
      </c>
      <c r="AF26" s="76">
        <f>AB26+O26*Escenarios!$F$13/Escenarios!$F$16+AE26</f>
        <v>1.3267827883788044</v>
      </c>
      <c r="AG26" s="76">
        <f>IF(Entradas!$F$91&gt;0,IF(AF26-Escenarios!$F$38&lt;=0,0,IF(AF26-Escenarios!$F$38&gt;Escenarios!$F$37,Escenarios!$F$37,AF26-Escenarios!$F$38)),0)</f>
        <v>0.28998278837880442</v>
      </c>
      <c r="AH26" s="76">
        <f>AG26*Entradas!$F$99</f>
        <v>0</v>
      </c>
      <c r="AI26" s="76">
        <f>IF(Entradas!$F$91&gt;0,D26*Entradas!$D$23/Escenarios!$F$16,0)</f>
        <v>0.20910611582900021</v>
      </c>
      <c r="AJ26" s="76">
        <f>IF(Entradas!$F$91&gt;0,Entradas!$D$24*Entradas!$D$22/Escenarios!$F$16,0)</f>
        <v>0.12</v>
      </c>
      <c r="AK26" s="76">
        <f t="shared" si="2"/>
        <v>2.8599118939822818</v>
      </c>
      <c r="AL26" s="76">
        <f t="shared" si="3"/>
        <v>0</v>
      </c>
      <c r="AM26" s="76">
        <f t="shared" si="4"/>
        <v>0.28998278837880442</v>
      </c>
      <c r="AN26" s="76">
        <f>MAX(0,O26*Escenarios!$F$13/Escenarios!$F$16-AM26)</f>
        <v>0.66768453677271999</v>
      </c>
      <c r="AO26" s="76">
        <f>AM26+AN26-O26*Escenarios!$F$13/Escenarios!$F$16</f>
        <v>0</v>
      </c>
      <c r="AP26" s="76">
        <f t="shared" si="5"/>
        <v>0.36911546322727995</v>
      </c>
      <c r="AQ26" s="76">
        <f t="shared" si="6"/>
        <v>0</v>
      </c>
      <c r="AR26" s="76">
        <f t="shared" si="7"/>
        <v>1.0367999999999999</v>
      </c>
      <c r="AS26" s="76">
        <f t="shared" si="8"/>
        <v>0</v>
      </c>
      <c r="AT26" s="76">
        <f t="shared" si="9"/>
        <v>0.13433982778089706</v>
      </c>
      <c r="AU26" s="76">
        <f t="shared" si="10"/>
        <v>48.82853215178978</v>
      </c>
      <c r="AV26" s="76">
        <f>MAX(0,(AU26-Constantes!$D$13)*(1-EXP(-Constantes!$D$24)))</f>
        <v>1.2003833426975348E-3</v>
      </c>
      <c r="AW26" s="170">
        <f>AW25+(Entradas!$F$112*AT26-AX25)/(800*Entradas!$D$25)</f>
        <v>0</v>
      </c>
      <c r="AX26" s="170">
        <f>8000*Entradas!$D$26*AW26/Constantes!$F$45</f>
        <v>0</v>
      </c>
      <c r="AY26" s="170">
        <f>IF(Escenarios!$F$17&gt;0,10*Escenarios!$F$16*AL26,0)</f>
        <v>0</v>
      </c>
      <c r="AZ26" s="170">
        <f>IF(Escenarios!$F$17&gt;0,10*Escenarios!$F$16*AX26,0)</f>
        <v>0</v>
      </c>
      <c r="BA26" s="170">
        <f>IF(Escenarios!$F$17&gt;0,0.001*Observaciones!$F25*Escenarios!$F$17,0)</f>
        <v>0</v>
      </c>
      <c r="BB26" s="170">
        <f>IF(Escenarios!$F$17&gt;0,Observaciones!$K25,0)</f>
        <v>0</v>
      </c>
      <c r="BC26" s="170">
        <f>IF(Escenarios!$F$17&gt;0,MIN(0.0005*ETo!$M25*Escenarios!$F$17*(BG25/Constantes!$F$40)^(2/3),BG25+AY26+AZ26+BA26+BB26),0)</f>
        <v>0</v>
      </c>
      <c r="BD26" s="170">
        <f>IF(Escenarios!$F$17&gt;0,MIN(Constantes!$F$39*(BG25/Constantes!$F$40)^(2/3),BG25+AY26+AZ26+BA26+BB26-BC26),0)</f>
        <v>0</v>
      </c>
      <c r="BE26" s="170">
        <f>IF(Escenarios!$F$17&gt;0,MIN(Entradas!$F$113,BG25+AY26+AZ26+BA26+BB26-BC26-BD26),0)</f>
        <v>0</v>
      </c>
      <c r="BF26" s="170">
        <f>IF(Escenarios!$F$17&gt;0,MAX(0,BG25+AY26+AZ26+BA26+BB26-BC26-BD26-BE26-Constantes!$F$40),0)</f>
        <v>0</v>
      </c>
      <c r="BG26" s="170">
        <f t="shared" si="11"/>
        <v>0</v>
      </c>
      <c r="BH26" s="170">
        <f>(Escenarios!$F$16*AK26+0.1*BC26)/(Escenarios!$F$19)</f>
        <v>2.8599118939822818</v>
      </c>
      <c r="BI26" s="170">
        <f>IF(Escenarios!$F$17&gt;0,BF26/10/Escenarios!$F$19,AL26)</f>
        <v>0</v>
      </c>
      <c r="BJ26" s="170">
        <f>(Escenarios!$F$16*AT26+0.1*BD26)/(Escenarios!$F$19)</f>
        <v>0.13433982778089706</v>
      </c>
      <c r="BK26" s="76">
        <f>BK25+(0.1*BD26)/(Escenarios!$F$19)-BL25</f>
        <v>48.75</v>
      </c>
      <c r="BL26" s="76">
        <f>MAX(0,(BK26-Constantes!$D$13)*(1-EXP(-Constantes!$D$23)))</f>
        <v>0</v>
      </c>
      <c r="BM26" s="76">
        <f t="shared" si="12"/>
        <v>0.37031584656997746</v>
      </c>
      <c r="BN26" s="76">
        <f t="shared" si="13"/>
        <v>1.0380003833426974</v>
      </c>
      <c r="BO26" s="76">
        <f>0.0526*BI26*Observaciones!$F25^1.218</f>
        <v>0</v>
      </c>
      <c r="BP26" s="76">
        <f>BO26*Constantes!$F$51</f>
        <v>0</v>
      </c>
      <c r="BQ26" s="76">
        <f t="shared" si="14"/>
        <v>0</v>
      </c>
      <c r="BR26" s="40"/>
    </row>
    <row r="27" spans="2:70">
      <c r="B27" s="39"/>
      <c r="C27" s="75">
        <v>21</v>
      </c>
      <c r="D27" s="146">
        <f>ETo!$I26*((1-Constantes!$F$19)*ETo!$K26+ETo!$L26)</f>
        <v>4.5649683350187669</v>
      </c>
      <c r="E27" s="76">
        <f>MIN(D27*Constantes!$F$17,0.8*(N26+Observaciones!$F26-F27-M27-Constantes!$D$14))</f>
        <v>2.6034551145741927</v>
      </c>
      <c r="F27" s="76">
        <f>IF(Observaciones!$F26&gt;0.05*Constantes!$F$18,((Observaciones!$F26-0.05*Constantes!$F$18)^2)/(Observaciones!$F26+0.95*Constantes!$F$18),0)</f>
        <v>0</v>
      </c>
      <c r="G27" s="76">
        <f>IF(Escenarios!$F$11&gt;0,(F27*Escenarios!$F$16*10000)/1000,0)</f>
        <v>0</v>
      </c>
      <c r="H27" s="76">
        <f>IF(Escenarios!$F$11&gt;0,(Observaciones!$F26*Constantes!$F$29)/1000,0)</f>
        <v>0</v>
      </c>
      <c r="I27" s="76">
        <f>IF(Escenarios!$F$11&gt;0,(D27*Constantes!$F$29)/1000,0)</f>
        <v>0</v>
      </c>
      <c r="J27" s="76">
        <f>IF(Escenarios!$F$11&gt;0,MAX(0,G27+H27-I27),0)</f>
        <v>0</v>
      </c>
      <c r="K27" s="76">
        <f>IF(Escenarios!$F$11&gt;0,IF(J27&gt;Constantes!$F$30,1000*((J27-Constantes!$F$30)/(Escenarios!$F$16*10000)),0),F27)</f>
        <v>0</v>
      </c>
      <c r="L27" s="76">
        <f>IF(Escenarios!$F$11&gt;0,I27*1000/Escenarios!$F$16/10000+E27,E27)</f>
        <v>2.6034551145741927</v>
      </c>
      <c r="M27" s="76">
        <f>MAX(0,N26+Observaciones!$F26-K27-Constantes!$D$13)</f>
        <v>0.64776985824011035</v>
      </c>
      <c r="N27" s="76">
        <f>N26+Observaciones!$F26-K27-L27-M27-O26</f>
        <v>45.058286561389984</v>
      </c>
      <c r="O27" s="76">
        <f>MAX(0,(N27-Constantes!$D$14)*(1-EXP(-Constantes!$D$22)))</f>
        <v>1.1516343530417512</v>
      </c>
      <c r="P27" s="170">
        <f>P26+(Entradas!$F$83*M27-Q26)/(800*Entradas!$D$25)</f>
        <v>0</v>
      </c>
      <c r="Q27" s="170">
        <f>8000*Entradas!$D$26*P27/Constantes!$F$45</f>
        <v>0</v>
      </c>
      <c r="R27" s="170">
        <f>IF(Escenarios!$F$14&gt;0,K27*Escenarios!$F$13/Escenarios!$F$14,0)</f>
        <v>0</v>
      </c>
      <c r="S27" s="170">
        <f>IF(Escenarios!$F$14&gt;0,Q27*Escenarios!$F$13/Escenarios!$F$14,0)</f>
        <v>0</v>
      </c>
      <c r="T27" s="170">
        <f>IF(Escenarios!$F$14&gt;0,Observaciones!$I26,0)</f>
        <v>0</v>
      </c>
      <c r="U27" s="170">
        <f>IF(Escenarios!$F$14&gt;0,MAX(0,Constantes!$F$36/((Z26+R27+S27+T27+Observaciones!$F26)^2)+Entradas!$F$77),0)</f>
        <v>1.1796113497406449</v>
      </c>
      <c r="V27" s="146">
        <f>IF(ETo!D26&gt;0,ETo!I26*((1-Entradas!$F$81)*ETo!K26+ETo!L26),0)</f>
        <v>4.0584895233784835</v>
      </c>
      <c r="W27" s="170">
        <f>IF(Escenarios!$F$14&gt;0,MIN(V27*1,0.8*(Z26+R27+S27+T27+Observaciones!$F26-U27-Constantes!$F$35)),0)</f>
        <v>4.0584895233784835</v>
      </c>
      <c r="X27" s="170">
        <f>IF(Escenarios!$F$14&gt;0,Observaciones!$J26,0)</f>
        <v>0</v>
      </c>
      <c r="Y27" s="170">
        <f>IF(Escenarios!$F$14&gt;0,MAX(0,Z26+R27+S27+T27+Observaciones!$F26-U27-W27-X27-Constantes!$F$33),0)</f>
        <v>0</v>
      </c>
      <c r="Z27" s="170">
        <f>Z26+R27+S27+T27+Observaciones!$F26-U27-W27-Y27</f>
        <v>69.860947511280642</v>
      </c>
      <c r="AA27" s="170">
        <f>IF(Escenarios!$F$14&gt;0,(Escenarios!$F$13*L27+Escenarios!$F$14*W27)/(Escenarios!$F$16),L27)</f>
        <v>2.7780592436307079</v>
      </c>
      <c r="AB27" s="170">
        <f>IF(Escenarios!$F$14&gt;0,(Escenarios!$F$14*Y27)/(Escenarios!$F$16),K27)</f>
        <v>0</v>
      </c>
      <c r="AC27" s="170">
        <f>IF(Escenarios!$F$14&gt;0,(Escenarios!$F$13*M27+Escenarios!$F$14*U27)/(Escenarios!$F$16),M27)</f>
        <v>0.71159083722017458</v>
      </c>
      <c r="AD27" s="76">
        <f t="shared" si="1"/>
        <v>86.553811071980689</v>
      </c>
      <c r="AE27" s="76">
        <f>MAX(0,(AD27-Constantes!$D$13)*(1-EXP(-Constantes!$D$23)))</f>
        <v>0.37248995465851087</v>
      </c>
      <c r="AF27" s="76">
        <f>AB27+O27*Escenarios!$F$13/Escenarios!$F$16+AE27</f>
        <v>1.3859281853352519</v>
      </c>
      <c r="AG27" s="76">
        <f>IF(Entradas!$F$91&gt;0,IF(AF27-Escenarios!$F$38&lt;=0,0,IF(AF27-Escenarios!$F$38&gt;Escenarios!$F$37,Escenarios!$F$37,AF27-Escenarios!$F$38)),0)</f>
        <v>0.34912818533525192</v>
      </c>
      <c r="AH27" s="76">
        <f>AG27*Entradas!$F$99</f>
        <v>0</v>
      </c>
      <c r="AI27" s="76">
        <f>IF(Entradas!$F$91&gt;0,D27*Entradas!$D$23/Escenarios!$F$16,0)</f>
        <v>0.21911848008090082</v>
      </c>
      <c r="AJ27" s="76">
        <f>IF(Entradas!$F$91&gt;0,Entradas!$D$24*Entradas!$D$22/Escenarios!$F$16,0)</f>
        <v>0.12</v>
      </c>
      <c r="AK27" s="76">
        <f t="shared" si="2"/>
        <v>2.9971777237116086</v>
      </c>
      <c r="AL27" s="76">
        <f t="shared" si="3"/>
        <v>0</v>
      </c>
      <c r="AM27" s="76">
        <f t="shared" si="4"/>
        <v>0.34912818533525192</v>
      </c>
      <c r="AN27" s="76">
        <f>MAX(0,O27*Escenarios!$F$13/Escenarios!$F$16-AM27)</f>
        <v>0.66431004534148919</v>
      </c>
      <c r="AO27" s="76">
        <f>AM27+AN27-O27*Escenarios!$F$13/Escenarios!$F$16</f>
        <v>0</v>
      </c>
      <c r="AP27" s="76">
        <f t="shared" si="5"/>
        <v>0.37248995465851087</v>
      </c>
      <c r="AQ27" s="76">
        <f t="shared" si="6"/>
        <v>0</v>
      </c>
      <c r="AR27" s="76">
        <f t="shared" si="7"/>
        <v>1.0367999999999999</v>
      </c>
      <c r="AS27" s="76">
        <f t="shared" si="8"/>
        <v>1.0009705254351103E-2</v>
      </c>
      <c r="AT27" s="76">
        <f t="shared" si="9"/>
        <v>0.72160054247452565</v>
      </c>
      <c r="AU27" s="76">
        <f t="shared" si="10"/>
        <v>48.837341473701436</v>
      </c>
      <c r="AV27" s="76">
        <f>MAX(0,(AU27-Constantes!$D$13)*(1-EXP(-Constantes!$D$24)))</f>
        <v>1.3350360045973231E-3</v>
      </c>
      <c r="AW27" s="170">
        <f>AW26+(Entradas!$F$112*AT27-AX26)/(800*Entradas!$D$25)</f>
        <v>0</v>
      </c>
      <c r="AX27" s="170">
        <f>8000*Entradas!$D$26*AW27/Constantes!$F$45</f>
        <v>0</v>
      </c>
      <c r="AY27" s="170">
        <f>IF(Escenarios!$F$17&gt;0,10*Escenarios!$F$16*AL27,0)</f>
        <v>0</v>
      </c>
      <c r="AZ27" s="170">
        <f>IF(Escenarios!$F$17&gt;0,10*Escenarios!$F$16*AX27,0)</f>
        <v>0</v>
      </c>
      <c r="BA27" s="170">
        <f>IF(Escenarios!$F$17&gt;0,0.001*Observaciones!$F26*Escenarios!$F$17,0)</f>
        <v>0</v>
      </c>
      <c r="BB27" s="170">
        <f>IF(Escenarios!$F$17&gt;0,Observaciones!$K26,0)</f>
        <v>0</v>
      </c>
      <c r="BC27" s="170">
        <f>IF(Escenarios!$F$17&gt;0,MIN(0.0005*ETo!$M26*Escenarios!$F$17*(BG26/Constantes!$F$40)^(2/3),BG26+AY27+AZ27+BA27+BB27),0)</f>
        <v>0</v>
      </c>
      <c r="BD27" s="170">
        <f>IF(Escenarios!$F$17&gt;0,MIN(Constantes!$F$39*(BG26/Constantes!$F$40)^(2/3),BG26+AY27+AZ27+BA27+BB27-BC27),0)</f>
        <v>0</v>
      </c>
      <c r="BE27" s="170">
        <f>IF(Escenarios!$F$17&gt;0,MIN(Entradas!$F$113,BG26+AY27+AZ27+BA27+BB27-BC27-BD27),0)</f>
        <v>0</v>
      </c>
      <c r="BF27" s="170">
        <f>IF(Escenarios!$F$17&gt;0,MAX(0,BG26+AY27+AZ27+BA27+BB27-BC27-BD27-BE27-Constantes!$F$40),0)</f>
        <v>0</v>
      </c>
      <c r="BG27" s="170">
        <f t="shared" si="11"/>
        <v>0</v>
      </c>
      <c r="BH27" s="170">
        <f>(Escenarios!$F$16*AK27+0.1*BC27)/(Escenarios!$F$19)</f>
        <v>2.9971777237116086</v>
      </c>
      <c r="BI27" s="170">
        <f>IF(Escenarios!$F$17&gt;0,BF27/10/Escenarios!$F$19,AL27)</f>
        <v>0</v>
      </c>
      <c r="BJ27" s="170">
        <f>(Escenarios!$F$16*AT27+0.1*BD27)/(Escenarios!$F$19)</f>
        <v>0.72160054247452565</v>
      </c>
      <c r="BK27" s="76">
        <f>BK26+(0.1*BD27)/(Escenarios!$F$19)-BL26</f>
        <v>48.75</v>
      </c>
      <c r="BL27" s="76">
        <f>MAX(0,(BK27-Constantes!$D$13)*(1-EXP(-Constantes!$D$23)))</f>
        <v>0</v>
      </c>
      <c r="BM27" s="76">
        <f t="shared" si="12"/>
        <v>0.3738249906631082</v>
      </c>
      <c r="BN27" s="76">
        <f t="shared" si="13"/>
        <v>1.0381350360045973</v>
      </c>
      <c r="BO27" s="76">
        <f>0.0526*BI27*Observaciones!$F26^1.218</f>
        <v>0</v>
      </c>
      <c r="BP27" s="76">
        <f>BO27*Constantes!$F$51</f>
        <v>0</v>
      </c>
      <c r="BQ27" s="76">
        <f t="shared" si="14"/>
        <v>0</v>
      </c>
      <c r="BR27" s="40"/>
    </row>
    <row r="28" spans="2:70">
      <c r="B28" s="39"/>
      <c r="C28" s="75">
        <v>22</v>
      </c>
      <c r="D28" s="146">
        <f>ETo!$I27*((1-Constantes!$F$19)*ETo!$K27+ETo!$L27)</f>
        <v>4.4572188669527204</v>
      </c>
      <c r="E28" s="76">
        <f>MIN(D28*Constantes!$F$17,0.8*(N27+Observaciones!$F27-F28-M28-Constantes!$D$14))</f>
        <v>2.542004326060006</v>
      </c>
      <c r="F28" s="76">
        <f>IF(Observaciones!$F27&gt;0.05*Constantes!$F$18,((Observaciones!$F27-0.05*Constantes!$F$18)^2)/(Observaciones!$F27+0.95*Constantes!$F$18),0)</f>
        <v>0</v>
      </c>
      <c r="G28" s="76">
        <f>IF(Escenarios!$F$11&gt;0,(F28*Escenarios!$F$16*10000)/1000,0)</f>
        <v>0</v>
      </c>
      <c r="H28" s="76">
        <f>IF(Escenarios!$F$11&gt;0,(Observaciones!$F27*Constantes!$F$29)/1000,0)</f>
        <v>0</v>
      </c>
      <c r="I28" s="76">
        <f>IF(Escenarios!$F$11&gt;0,(D28*Constantes!$F$29)/1000,0)</f>
        <v>0</v>
      </c>
      <c r="J28" s="76">
        <f>IF(Escenarios!$F$11&gt;0,MAX(0,G28+H28-I28),0)</f>
        <v>0</v>
      </c>
      <c r="K28" s="76">
        <f>IF(Escenarios!$F$11&gt;0,IF(J28&gt;Constantes!$F$30,1000*((J28-Constantes!$F$30)/(Escenarios!$F$16*10000)),0),F28)</f>
        <v>0</v>
      </c>
      <c r="L28" s="76">
        <f>IF(Escenarios!$F$11&gt;0,I28*1000/Escenarios!$F$16/10000+E28,E28)</f>
        <v>2.542004326060006</v>
      </c>
      <c r="M28" s="76">
        <f>MAX(0,N27+Observaciones!$F27-K28-Constantes!$D$13)</f>
        <v>0</v>
      </c>
      <c r="N28" s="76">
        <f>N27+Observaciones!$F27-K28-L28-M28-O27</f>
        <v>41.464647882288226</v>
      </c>
      <c r="O28" s="76">
        <f>MAX(0,(N28-Constantes!$D$14)*(1-EXP(-Constantes!$D$22)))</f>
        <v>1.0292218271138767</v>
      </c>
      <c r="P28" s="170">
        <f>P27+(Entradas!$F$83*M28-Q27)/(800*Entradas!$D$25)</f>
        <v>0</v>
      </c>
      <c r="Q28" s="170">
        <f>8000*Entradas!$D$26*P28/Constantes!$F$45</f>
        <v>0</v>
      </c>
      <c r="R28" s="170">
        <f>IF(Escenarios!$F$14&gt;0,K28*Escenarios!$F$13/Escenarios!$F$14,0)</f>
        <v>0</v>
      </c>
      <c r="S28" s="170">
        <f>IF(Escenarios!$F$14&gt;0,Q28*Escenarios!$F$13/Escenarios!$F$14,0)</f>
        <v>0</v>
      </c>
      <c r="T28" s="170">
        <f>IF(Escenarios!$F$14&gt;0,Observaciones!$I27,0)</f>
        <v>0</v>
      </c>
      <c r="U28" s="170">
        <f>IF(Escenarios!$F$14&gt;0,MAX(0,Constantes!$F$36/((Z27+R28+S28+T28+Observaciones!$F27)^2)+Entradas!$F$77),0)</f>
        <v>0.90240508505917472</v>
      </c>
      <c r="V28" s="146">
        <f>IF(ETo!D27&gt;0,ETo!I27*((1-Entradas!$F$81)*ETo!K27+ETo!L27),0)</f>
        <v>3.9611817817454047</v>
      </c>
      <c r="W28" s="170">
        <f>IF(Escenarios!$F$14&gt;0,MIN(V28*1,0.8*(Z27+R28+S28+T28+Observaciones!$F27-U28-Constantes!$F$35)),0)</f>
        <v>3.9611817817454047</v>
      </c>
      <c r="X28" s="170">
        <f>IF(Escenarios!$F$14&gt;0,Observaciones!$J27,0)</f>
        <v>0</v>
      </c>
      <c r="Y28" s="170">
        <f>IF(Escenarios!$F$14&gt;0,MAX(0,Z27+R28+S28+T28+Observaciones!$F27-U28-W28-X28-Constantes!$F$33),0)</f>
        <v>0</v>
      </c>
      <c r="Z28" s="170">
        <f>Z27+R28+S28+T28+Observaciones!$F27-U28-W28-Y28</f>
        <v>65.097360644476055</v>
      </c>
      <c r="AA28" s="170">
        <f>IF(Escenarios!$F$14&gt;0,(Escenarios!$F$13*L28+Escenarios!$F$14*W28)/(Escenarios!$F$16),L28)</f>
        <v>2.7123056207422538</v>
      </c>
      <c r="AB28" s="170">
        <f>IF(Escenarios!$F$14&gt;0,(Escenarios!$F$14*Y28)/(Escenarios!$F$16),K28)</f>
        <v>0</v>
      </c>
      <c r="AC28" s="170">
        <f>IF(Escenarios!$F$14&gt;0,(Escenarios!$F$13*M28+Escenarios!$F$14*U28)/(Escenarios!$F$16),M28)</f>
        <v>0.10828861020710095</v>
      </c>
      <c r="AD28" s="76">
        <f t="shared" si="1"/>
        <v>86.289609727529282</v>
      </c>
      <c r="AE28" s="76">
        <f>MAX(0,(AD28-Constantes!$D$13)*(1-EXP(-Constantes!$D$23)))</f>
        <v>0.36988671588377359</v>
      </c>
      <c r="AF28" s="76">
        <f>AB28+O28*Escenarios!$F$13/Escenarios!$F$16+AE28</f>
        <v>1.2756019237439851</v>
      </c>
      <c r="AG28" s="76">
        <f>IF(Entradas!$F$91&gt;0,IF(AF28-Escenarios!$F$38&lt;=0,0,IF(AF28-Escenarios!$F$38&gt;Escenarios!$F$37,Escenarios!$F$37,AF28-Escenarios!$F$38)),0)</f>
        <v>0.23880192374398512</v>
      </c>
      <c r="AH28" s="76">
        <f>AG28*Entradas!$F$99</f>
        <v>0</v>
      </c>
      <c r="AI28" s="76">
        <f>IF(Entradas!$F$91&gt;0,D28*Entradas!$D$23/Escenarios!$F$16,0)</f>
        <v>0.21394650561373058</v>
      </c>
      <c r="AJ28" s="76">
        <f>IF(Entradas!$F$91&gt;0,Entradas!$D$24*Entradas!$D$22/Escenarios!$F$16,0)</f>
        <v>0.12</v>
      </c>
      <c r="AK28" s="76">
        <f t="shared" si="2"/>
        <v>2.9262521263559842</v>
      </c>
      <c r="AL28" s="76">
        <f t="shared" si="3"/>
        <v>0</v>
      </c>
      <c r="AM28" s="76">
        <f t="shared" si="4"/>
        <v>0.23880192374398512</v>
      </c>
      <c r="AN28" s="76">
        <f>MAX(0,O28*Escenarios!$F$13/Escenarios!$F$16-AM28)</f>
        <v>0.6669132841162263</v>
      </c>
      <c r="AO28" s="76">
        <f>AM28+AN28-O28*Escenarios!$F$13/Escenarios!$F$16</f>
        <v>0</v>
      </c>
      <c r="AP28" s="76">
        <f t="shared" si="5"/>
        <v>0.36988671588377359</v>
      </c>
      <c r="AQ28" s="76">
        <f t="shared" si="6"/>
        <v>0</v>
      </c>
      <c r="AR28" s="76">
        <f t="shared" si="7"/>
        <v>1.0367999999999999</v>
      </c>
      <c r="AS28" s="76">
        <f t="shared" si="8"/>
        <v>0</v>
      </c>
      <c r="AT28" s="76">
        <f t="shared" si="9"/>
        <v>0.10828861020710095</v>
      </c>
      <c r="AU28" s="76">
        <f t="shared" si="10"/>
        <v>48.836006437696838</v>
      </c>
      <c r="AV28" s="76">
        <f>MAX(0,(AU28-Constantes!$D$13)*(1-EXP(-Constantes!$D$24)))</f>
        <v>1.3146296494256186E-3</v>
      </c>
      <c r="AW28" s="170">
        <f>AW27+(Entradas!$F$112*AT28-AX27)/(800*Entradas!$D$25)</f>
        <v>0</v>
      </c>
      <c r="AX28" s="170">
        <f>8000*Entradas!$D$26*AW28/Constantes!$F$45</f>
        <v>0</v>
      </c>
      <c r="AY28" s="170">
        <f>IF(Escenarios!$F$17&gt;0,10*Escenarios!$F$16*AL28,0)</f>
        <v>0</v>
      </c>
      <c r="AZ28" s="170">
        <f>IF(Escenarios!$F$17&gt;0,10*Escenarios!$F$16*AX28,0)</f>
        <v>0</v>
      </c>
      <c r="BA28" s="170">
        <f>IF(Escenarios!$F$17&gt;0,0.001*Observaciones!$F27*Escenarios!$F$17,0)</f>
        <v>0</v>
      </c>
      <c r="BB28" s="170">
        <f>IF(Escenarios!$F$17&gt;0,Observaciones!$K27,0)</f>
        <v>0</v>
      </c>
      <c r="BC28" s="170">
        <f>IF(Escenarios!$F$17&gt;0,MIN(0.0005*ETo!$M27*Escenarios!$F$17*(BG27/Constantes!$F$40)^(2/3),BG27+AY28+AZ28+BA28+BB28),0)</f>
        <v>0</v>
      </c>
      <c r="BD28" s="170">
        <f>IF(Escenarios!$F$17&gt;0,MIN(Constantes!$F$39*(BG27/Constantes!$F$40)^(2/3),BG27+AY28+AZ28+BA28+BB28-BC28),0)</f>
        <v>0</v>
      </c>
      <c r="BE28" s="170">
        <f>IF(Escenarios!$F$17&gt;0,MIN(Entradas!$F$113,BG27+AY28+AZ28+BA28+BB28-BC28-BD28),0)</f>
        <v>0</v>
      </c>
      <c r="BF28" s="170">
        <f>IF(Escenarios!$F$17&gt;0,MAX(0,BG27+AY28+AZ28+BA28+BB28-BC28-BD28-BE28-Constantes!$F$40),0)</f>
        <v>0</v>
      </c>
      <c r="BG28" s="170">
        <f t="shared" si="11"/>
        <v>0</v>
      </c>
      <c r="BH28" s="170">
        <f>(Escenarios!$F$16*AK28+0.1*BC28)/(Escenarios!$F$19)</f>
        <v>2.9262521263559842</v>
      </c>
      <c r="BI28" s="170">
        <f>IF(Escenarios!$F$17&gt;0,BF28/10/Escenarios!$F$19,AL28)</f>
        <v>0</v>
      </c>
      <c r="BJ28" s="170">
        <f>(Escenarios!$F$16*AT28+0.1*BD28)/(Escenarios!$F$19)</f>
        <v>0.10828861020710095</v>
      </c>
      <c r="BK28" s="76">
        <f>BK27+(0.1*BD28)/(Escenarios!$F$19)-BL27</f>
        <v>48.75</v>
      </c>
      <c r="BL28" s="76">
        <f>MAX(0,(BK28-Constantes!$D$13)*(1-EXP(-Constantes!$D$23)))</f>
        <v>0</v>
      </c>
      <c r="BM28" s="76">
        <f t="shared" si="12"/>
        <v>0.37120134553319922</v>
      </c>
      <c r="BN28" s="76">
        <f t="shared" si="13"/>
        <v>1.0381146296494255</v>
      </c>
      <c r="BO28" s="76">
        <f>0.0526*BI28*Observaciones!$F27^1.218</f>
        <v>0</v>
      </c>
      <c r="BP28" s="76">
        <f>BO28*Constantes!$F$51</f>
        <v>0</v>
      </c>
      <c r="BQ28" s="76">
        <f t="shared" si="14"/>
        <v>0</v>
      </c>
      <c r="BR28" s="40"/>
    </row>
    <row r="29" spans="2:70">
      <c r="B29" s="39"/>
      <c r="C29" s="75">
        <v>23</v>
      </c>
      <c r="D29" s="146">
        <f>ETo!$I28*((1-Constantes!$F$19)*ETo!$K28+ETo!$L28)</f>
        <v>4.391150642451664</v>
      </c>
      <c r="E29" s="76">
        <f>MIN(D29*Constantes!$F$17,0.8*(N28+Observaciones!$F28-F29-M29-Constantes!$D$14))</f>
        <v>2.5043248408226995</v>
      </c>
      <c r="F29" s="76">
        <f>IF(Observaciones!$F28&gt;0.05*Constantes!$F$18,((Observaciones!$F28-0.05*Constantes!$F$18)^2)/(Observaciones!$F28+0.95*Constantes!$F$18),0)</f>
        <v>0.33341333095932862</v>
      </c>
      <c r="G29" s="76">
        <f>IF(Escenarios!$F$11&gt;0,(F29*Escenarios!$F$16*10000)/1000,0)</f>
        <v>0</v>
      </c>
      <c r="H29" s="76">
        <f>IF(Escenarios!$F$11&gt;0,(Observaciones!$F28*Constantes!$F$29)/1000,0)</f>
        <v>0</v>
      </c>
      <c r="I29" s="76">
        <f>IF(Escenarios!$F$11&gt;0,(D29*Constantes!$F$29)/1000,0)</f>
        <v>0</v>
      </c>
      <c r="J29" s="76">
        <f>IF(Escenarios!$F$11&gt;0,MAX(0,G29+H29-I29),0)</f>
        <v>0</v>
      </c>
      <c r="K29" s="76">
        <f>IF(Escenarios!$F$11&gt;0,IF(J29&gt;Constantes!$F$30,1000*((J29-Constantes!$F$30)/(Escenarios!$F$16*10000)),0),F29)</f>
        <v>0.33341333095932862</v>
      </c>
      <c r="L29" s="76">
        <f>IF(Escenarios!$F$11&gt;0,I29*1000/Escenarios!$F$16/10000+E29,E29)</f>
        <v>2.5043248408226995</v>
      </c>
      <c r="M29" s="76">
        <f>MAX(0,N28+Observaciones!$F28-K29-Constantes!$D$13)</f>
        <v>12.08123455132889</v>
      </c>
      <c r="N29" s="76">
        <f>N28+Observaciones!$F28-K29-L29-M29-O28</f>
        <v>45.216453332063423</v>
      </c>
      <c r="O29" s="76">
        <f>MAX(0,(N29-Constantes!$D$14)*(1-EXP(-Constantes!$D$22)))</f>
        <v>1.1570220938929907</v>
      </c>
      <c r="P29" s="170">
        <f>P28+(Entradas!$F$83*M29-Q28)/(800*Entradas!$D$25)</f>
        <v>0</v>
      </c>
      <c r="Q29" s="170">
        <f>8000*Entradas!$D$26*P29/Constantes!$F$45</f>
        <v>0</v>
      </c>
      <c r="R29" s="170">
        <f>IF(Escenarios!$F$14&gt;0,K29*Escenarios!$F$13/Escenarios!$F$14,0)</f>
        <v>2.4450310937017434</v>
      </c>
      <c r="S29" s="170">
        <f>IF(Escenarios!$F$14&gt;0,Q29*Escenarios!$F$13/Escenarios!$F$14,0)</f>
        <v>0</v>
      </c>
      <c r="T29" s="170">
        <f>IF(Escenarios!$F$14&gt;0,Observaciones!$I28,0)</f>
        <v>0</v>
      </c>
      <c r="U29" s="170">
        <f>IF(Escenarios!$F$14&gt;0,MAX(0,Constantes!$F$36/((Z28+R29+S29+T29+Observaciones!$F28)^2)+Entradas!$F$77),0)</f>
        <v>1.6511058832054899</v>
      </c>
      <c r="V29" s="146">
        <f>IF(ETo!D28&gt;0,ETo!I28*((1-Entradas!$F$81)*ETo!K28+ETo!L28),0)</f>
        <v>3.901659980438545</v>
      </c>
      <c r="W29" s="170">
        <f>IF(Escenarios!$F$14&gt;0,MIN(V29*1,0.8*(Z28+R29+S29+T29+Observaciones!$F28-U29-Constantes!$F$35)),0)</f>
        <v>3.901659980438545</v>
      </c>
      <c r="X29" s="170">
        <f>IF(Escenarios!$F$14&gt;0,Observaciones!$J28,0)</f>
        <v>0</v>
      </c>
      <c r="Y29" s="170">
        <f>IF(Escenarios!$F$14&gt;0,MAX(0,Z28+R29+S29+T29+Observaciones!$F28-U29-W29-X29-Constantes!$F$33),0)</f>
        <v>0</v>
      </c>
      <c r="Z29" s="170">
        <f>Z28+R29+S29+T29+Observaciones!$F28-U29-W29-Y29</f>
        <v>81.68962587453376</v>
      </c>
      <c r="AA29" s="170">
        <f>IF(Escenarios!$F$14&gt;0,(Escenarios!$F$13*L29+Escenarios!$F$14*W29)/(Escenarios!$F$16),L29)</f>
        <v>2.6720050575766012</v>
      </c>
      <c r="AB29" s="170">
        <f>IF(Escenarios!$F$14&gt;0,(Escenarios!$F$14*Y29)/(Escenarios!$F$16),K29)</f>
        <v>0</v>
      </c>
      <c r="AC29" s="170">
        <f>IF(Escenarios!$F$14&gt;0,(Escenarios!$F$13*M29+Escenarios!$F$14*U29)/(Escenarios!$F$16),M29)</f>
        <v>10.829619111154082</v>
      </c>
      <c r="AD29" s="76">
        <f t="shared" si="1"/>
        <v>96.74934212279959</v>
      </c>
      <c r="AE29" s="76">
        <f>MAX(0,(AD29-Constantes!$D$13)*(1-EXP(-Constantes!$D$23)))</f>
        <v>0.47294895048853086</v>
      </c>
      <c r="AF29" s="76">
        <f>AB29+O29*Escenarios!$F$13/Escenarios!$F$16+AE29</f>
        <v>1.4911283931143628</v>
      </c>
      <c r="AG29" s="76">
        <f>IF(Entradas!$F$91&gt;0,IF(AF29-Escenarios!$F$38&lt;=0,0,IF(AF29-Escenarios!$F$38&gt;Escenarios!$F$37,Escenarios!$F$37,AF29-Escenarios!$F$38)),0)</f>
        <v>0.45432839311436291</v>
      </c>
      <c r="AH29" s="76">
        <f>AG29*Entradas!$F$99</f>
        <v>0</v>
      </c>
      <c r="AI29" s="76">
        <f>IF(Entradas!$F$91&gt;0,D29*Entradas!$D$23/Escenarios!$F$16,0)</f>
        <v>0.21077523083767988</v>
      </c>
      <c r="AJ29" s="76">
        <f>IF(Entradas!$F$91&gt;0,Entradas!$D$24*Entradas!$D$22/Escenarios!$F$16,0)</f>
        <v>0.12</v>
      </c>
      <c r="AK29" s="76">
        <f t="shared" si="2"/>
        <v>2.8827802884142812</v>
      </c>
      <c r="AL29" s="76">
        <f t="shared" si="3"/>
        <v>0</v>
      </c>
      <c r="AM29" s="76">
        <f t="shared" si="4"/>
        <v>0.45432839311436291</v>
      </c>
      <c r="AN29" s="76">
        <f>MAX(0,O29*Escenarios!$F$13/Escenarios!$F$16-AM29)</f>
        <v>0.56385104951146903</v>
      </c>
      <c r="AO29" s="76">
        <f>AM29+AN29-O29*Escenarios!$F$13/Escenarios!$F$16</f>
        <v>0</v>
      </c>
      <c r="AP29" s="76">
        <f t="shared" si="5"/>
        <v>0.47294895048853086</v>
      </c>
      <c r="AQ29" s="76">
        <f t="shared" si="6"/>
        <v>0</v>
      </c>
      <c r="AR29" s="76">
        <f t="shared" si="7"/>
        <v>1.0367999999999999</v>
      </c>
      <c r="AS29" s="76">
        <f t="shared" si="8"/>
        <v>0.12355316227668303</v>
      </c>
      <c r="AT29" s="76">
        <f t="shared" si="9"/>
        <v>10.953172273430766</v>
      </c>
      <c r="AU29" s="76">
        <f t="shared" si="10"/>
        <v>48.958244970324095</v>
      </c>
      <c r="AV29" s="76">
        <f>MAX(0,(AU29-Constantes!$D$13)*(1-EXP(-Constantes!$D$24)))</f>
        <v>3.1830758215658354E-3</v>
      </c>
      <c r="AW29" s="170">
        <f>AW28+(Entradas!$F$112*AT29-AX28)/(800*Entradas!$D$25)</f>
        <v>0</v>
      </c>
      <c r="AX29" s="170">
        <f>8000*Entradas!$D$26*AW29/Constantes!$F$45</f>
        <v>0</v>
      </c>
      <c r="AY29" s="170">
        <f>IF(Escenarios!$F$17&gt;0,10*Escenarios!$F$16*AL29,0)</f>
        <v>0</v>
      </c>
      <c r="AZ29" s="170">
        <f>IF(Escenarios!$F$17&gt;0,10*Escenarios!$F$16*AX29,0)</f>
        <v>0</v>
      </c>
      <c r="BA29" s="170">
        <f>IF(Escenarios!$F$17&gt;0,0.001*Observaciones!$F28*Escenarios!$F$17,0)</f>
        <v>0</v>
      </c>
      <c r="BB29" s="170">
        <f>IF(Escenarios!$F$17&gt;0,Observaciones!$K28,0)</f>
        <v>0</v>
      </c>
      <c r="BC29" s="170">
        <f>IF(Escenarios!$F$17&gt;0,MIN(0.0005*ETo!$M28*Escenarios!$F$17*(BG28/Constantes!$F$40)^(2/3),BG28+AY29+AZ29+BA29+BB29),0)</f>
        <v>0</v>
      </c>
      <c r="BD29" s="170">
        <f>IF(Escenarios!$F$17&gt;0,MIN(Constantes!$F$39*(BG28/Constantes!$F$40)^(2/3),BG28+AY29+AZ29+BA29+BB29-BC29),0)</f>
        <v>0</v>
      </c>
      <c r="BE29" s="170">
        <f>IF(Escenarios!$F$17&gt;0,MIN(Entradas!$F$113,BG28+AY29+AZ29+BA29+BB29-BC29-BD29),0)</f>
        <v>0</v>
      </c>
      <c r="BF29" s="170">
        <f>IF(Escenarios!$F$17&gt;0,MAX(0,BG28+AY29+AZ29+BA29+BB29-BC29-BD29-BE29-Constantes!$F$40),0)</f>
        <v>0</v>
      </c>
      <c r="BG29" s="170">
        <f t="shared" si="11"/>
        <v>0</v>
      </c>
      <c r="BH29" s="170">
        <f>(Escenarios!$F$16*AK29+0.1*BC29)/(Escenarios!$F$19)</f>
        <v>2.8827802884142812</v>
      </c>
      <c r="BI29" s="170">
        <f>IF(Escenarios!$F$17&gt;0,BF29/10/Escenarios!$F$19,AL29)</f>
        <v>0</v>
      </c>
      <c r="BJ29" s="170">
        <f>(Escenarios!$F$16*AT29+0.1*BD29)/(Escenarios!$F$19)</f>
        <v>10.953172273430766</v>
      </c>
      <c r="BK29" s="76">
        <f>BK28+(0.1*BD29)/(Escenarios!$F$19)-BL28</f>
        <v>48.75</v>
      </c>
      <c r="BL29" s="76">
        <f>MAX(0,(BK29-Constantes!$D$13)*(1-EXP(-Constantes!$D$23)))</f>
        <v>0</v>
      </c>
      <c r="BM29" s="76">
        <f t="shared" si="12"/>
        <v>0.47613202631009671</v>
      </c>
      <c r="BN29" s="76">
        <f t="shared" si="13"/>
        <v>1.0399830758215658</v>
      </c>
      <c r="BO29" s="76">
        <f>0.0526*BI29*Observaciones!$F28^1.218</f>
        <v>0</v>
      </c>
      <c r="BP29" s="76">
        <f>BO29*Constantes!$F$51</f>
        <v>0</v>
      </c>
      <c r="BQ29" s="76">
        <f t="shared" si="14"/>
        <v>0</v>
      </c>
      <c r="BR29" s="40"/>
    </row>
    <row r="30" spans="2:70">
      <c r="B30" s="39"/>
      <c r="C30" s="75">
        <v>24</v>
      </c>
      <c r="D30" s="146">
        <f>ETo!$I29*((1-Constantes!$F$19)*ETo!$K29+ETo!$L29)</f>
        <v>4.287628544335373</v>
      </c>
      <c r="E30" s="76">
        <f>MIN(D30*Constantes!$F$17,0.8*(N29+Observaciones!$F29-F30-M30-Constantes!$D$14))</f>
        <v>2.4452849710946212</v>
      </c>
      <c r="F30" s="76">
        <f>IF(Observaciones!$F29&gt;0.05*Constantes!$F$18,((Observaciones!$F29-0.05*Constantes!$F$18)^2)/(Observaciones!$F29+0.95*Constantes!$F$18),0)</f>
        <v>0</v>
      </c>
      <c r="G30" s="76">
        <f>IF(Escenarios!$F$11&gt;0,(F30*Escenarios!$F$16*10000)/1000,0)</f>
        <v>0</v>
      </c>
      <c r="H30" s="76">
        <f>IF(Escenarios!$F$11&gt;0,(Observaciones!$F29*Constantes!$F$29)/1000,0)</f>
        <v>0</v>
      </c>
      <c r="I30" s="76">
        <f>IF(Escenarios!$F$11&gt;0,(D30*Constantes!$F$29)/1000,0)</f>
        <v>0</v>
      </c>
      <c r="J30" s="76">
        <f>IF(Escenarios!$F$11&gt;0,MAX(0,G30+H30-I30),0)</f>
        <v>0</v>
      </c>
      <c r="K30" s="76">
        <f>IF(Escenarios!$F$11&gt;0,IF(J30&gt;Constantes!$F$30,1000*((J30-Constantes!$F$30)/(Escenarios!$F$16*10000)),0),F30)</f>
        <v>0</v>
      </c>
      <c r="L30" s="76">
        <f>IF(Escenarios!$F$11&gt;0,I30*1000/Escenarios!$F$16/10000+E30,E30)</f>
        <v>2.4452849710946212</v>
      </c>
      <c r="M30" s="76">
        <f>MAX(0,N29+Observaciones!$F29-K30-Constantes!$D$13)</f>
        <v>0</v>
      </c>
      <c r="N30" s="76">
        <f>N29+Observaciones!$F29-K30-L30-M30-O29</f>
        <v>44.014146267075809</v>
      </c>
      <c r="O30" s="76">
        <f>MAX(0,(N30-Constantes!$D$14)*(1-EXP(-Constantes!$D$22)))</f>
        <v>1.1160671014999182</v>
      </c>
      <c r="P30" s="170">
        <f>P29+(Entradas!$F$83*M30-Q29)/(800*Entradas!$D$25)</f>
        <v>0</v>
      </c>
      <c r="Q30" s="170">
        <f>8000*Entradas!$D$26*P30/Constantes!$F$45</f>
        <v>0</v>
      </c>
      <c r="R30" s="170">
        <f>IF(Escenarios!$F$14&gt;0,K30*Escenarios!$F$13/Escenarios!$F$14,0)</f>
        <v>0</v>
      </c>
      <c r="S30" s="170">
        <f>IF(Escenarios!$F$14&gt;0,Q30*Escenarios!$F$13/Escenarios!$F$14,0)</f>
        <v>0</v>
      </c>
      <c r="T30" s="170">
        <f>IF(Escenarios!$F$14&gt;0,Observaciones!$I29,0)</f>
        <v>0</v>
      </c>
      <c r="U30" s="170">
        <f>IF(Escenarios!$F$14&gt;0,MAX(0,Constantes!$F$36/((Z29+R30+S30+T30+Observaciones!$F29)^2)+Entradas!$F$77),0)</f>
        <v>1.5480617503786169</v>
      </c>
      <c r="V30" s="146">
        <f>IF(ETo!D29&gt;0,ETo!I29*((1-Entradas!$F$81)*ETo!K29+ETo!L29),0)</f>
        <v>3.8086237359557242</v>
      </c>
      <c r="W30" s="170">
        <f>IF(Escenarios!$F$14&gt;0,MIN(V30*1,0.8*(Z29+R30+S30+T30+Observaciones!$F29-U30-Constantes!$F$35)),0)</f>
        <v>3.8086237359557242</v>
      </c>
      <c r="X30" s="170">
        <f>IF(Escenarios!$F$14&gt;0,Observaciones!$J29,0)</f>
        <v>0</v>
      </c>
      <c r="Y30" s="170">
        <f>IF(Escenarios!$F$14&gt;0,MAX(0,Z29+R30+S30+T30+Observaciones!$F29-U30-W30-X30-Constantes!$F$33),0)</f>
        <v>0</v>
      </c>
      <c r="Z30" s="170">
        <f>Z29+R30+S30+T30+Observaciones!$F29-U30-W30-Y30</f>
        <v>78.732940388199424</v>
      </c>
      <c r="AA30" s="170">
        <f>IF(Escenarios!$F$14&gt;0,(Escenarios!$F$13*L30+Escenarios!$F$14*W30)/(Escenarios!$F$16),L30)</f>
        <v>2.6088856228779531</v>
      </c>
      <c r="AB30" s="170">
        <f>IF(Escenarios!$F$14&gt;0,(Escenarios!$F$14*Y30)/(Escenarios!$F$16),K30)</f>
        <v>0</v>
      </c>
      <c r="AC30" s="170">
        <f>IF(Escenarios!$F$14&gt;0,(Escenarios!$F$13*M30+Escenarios!$F$14*U30)/(Escenarios!$F$16),M30)</f>
        <v>0.18576741004543401</v>
      </c>
      <c r="AD30" s="76">
        <f t="shared" si="1"/>
        <v>96.462160582356489</v>
      </c>
      <c r="AE30" s="76">
        <f>MAX(0,(AD30-Constantes!$D$13)*(1-EXP(-Constantes!$D$23)))</f>
        <v>0.47011928236923117</v>
      </c>
      <c r="AF30" s="76">
        <f>AB30+O30*Escenarios!$F$13/Escenarios!$F$16+AE30</f>
        <v>1.4522583316891591</v>
      </c>
      <c r="AG30" s="76">
        <f>IF(Entradas!$F$91&gt;0,IF(AF30-Escenarios!$F$38&lt;=0,0,IF(AF30-Escenarios!$F$38&gt;Escenarios!$F$37,Escenarios!$F$37,AF30-Escenarios!$F$38)),0)</f>
        <v>0.41545833168915913</v>
      </c>
      <c r="AH30" s="76">
        <f>AG30*Entradas!$F$99</f>
        <v>0</v>
      </c>
      <c r="AI30" s="76">
        <f>IF(Entradas!$F$91&gt;0,D30*Entradas!$D$23/Escenarios!$F$16,0)</f>
        <v>0.2058061701280979</v>
      </c>
      <c r="AJ30" s="76">
        <f>IF(Entradas!$F$91&gt;0,Entradas!$D$24*Entradas!$D$22/Escenarios!$F$16,0)</f>
        <v>0.12</v>
      </c>
      <c r="AK30" s="76">
        <f t="shared" si="2"/>
        <v>2.8146917930060509</v>
      </c>
      <c r="AL30" s="76">
        <f t="shared" si="3"/>
        <v>0</v>
      </c>
      <c r="AM30" s="76">
        <f t="shared" si="4"/>
        <v>0.41545833168915913</v>
      </c>
      <c r="AN30" s="76">
        <f>MAX(0,O30*Escenarios!$F$13/Escenarios!$F$16-AM30)</f>
        <v>0.56668071763076877</v>
      </c>
      <c r="AO30" s="76">
        <f>AM30+AN30-O30*Escenarios!$F$13/Escenarios!$F$16</f>
        <v>0</v>
      </c>
      <c r="AP30" s="76">
        <f t="shared" si="5"/>
        <v>0.47011928236923117</v>
      </c>
      <c r="AQ30" s="76">
        <f t="shared" si="6"/>
        <v>0</v>
      </c>
      <c r="AR30" s="76">
        <f t="shared" si="7"/>
        <v>1.0367999999999999</v>
      </c>
      <c r="AS30" s="76">
        <f t="shared" si="8"/>
        <v>8.9652161561061233E-2</v>
      </c>
      <c r="AT30" s="76">
        <f t="shared" si="9"/>
        <v>0.27541957160649522</v>
      </c>
      <c r="AU30" s="76">
        <f t="shared" si="10"/>
        <v>49.04471405606359</v>
      </c>
      <c r="AV30" s="76">
        <f>MAX(0,(AU30-Constantes!$D$13)*(1-EXP(-Constantes!$D$24)))</f>
        <v>4.5047771606278623E-3</v>
      </c>
      <c r="AW30" s="170">
        <f>AW29+(Entradas!$F$112*AT30-AX29)/(800*Entradas!$D$25)</f>
        <v>0</v>
      </c>
      <c r="AX30" s="170">
        <f>8000*Entradas!$D$26*AW30/Constantes!$F$45</f>
        <v>0</v>
      </c>
      <c r="AY30" s="170">
        <f>IF(Escenarios!$F$17&gt;0,10*Escenarios!$F$16*AL30,0)</f>
        <v>0</v>
      </c>
      <c r="AZ30" s="170">
        <f>IF(Escenarios!$F$17&gt;0,10*Escenarios!$F$16*AX30,0)</f>
        <v>0</v>
      </c>
      <c r="BA30" s="170">
        <f>IF(Escenarios!$F$17&gt;0,0.001*Observaciones!$F29*Escenarios!$F$17,0)</f>
        <v>0</v>
      </c>
      <c r="BB30" s="170">
        <f>IF(Escenarios!$F$17&gt;0,Observaciones!$K29,0)</f>
        <v>0</v>
      </c>
      <c r="BC30" s="170">
        <f>IF(Escenarios!$F$17&gt;0,MIN(0.0005*ETo!$M29*Escenarios!$F$17*(BG29/Constantes!$F$40)^(2/3),BG29+AY30+AZ30+BA30+BB30),0)</f>
        <v>0</v>
      </c>
      <c r="BD30" s="170">
        <f>IF(Escenarios!$F$17&gt;0,MIN(Constantes!$F$39*(BG29/Constantes!$F$40)^(2/3),BG29+AY30+AZ30+BA30+BB30-BC30),0)</f>
        <v>0</v>
      </c>
      <c r="BE30" s="170">
        <f>IF(Escenarios!$F$17&gt;0,MIN(Entradas!$F$113,BG29+AY30+AZ30+BA30+BB30-BC30-BD30),0)</f>
        <v>0</v>
      </c>
      <c r="BF30" s="170">
        <f>IF(Escenarios!$F$17&gt;0,MAX(0,BG29+AY30+AZ30+BA30+BB30-BC30-BD30-BE30-Constantes!$F$40),0)</f>
        <v>0</v>
      </c>
      <c r="BG30" s="170">
        <f t="shared" si="11"/>
        <v>0</v>
      </c>
      <c r="BH30" s="170">
        <f>(Escenarios!$F$16*AK30+0.1*BC30)/(Escenarios!$F$19)</f>
        <v>2.8146917930060509</v>
      </c>
      <c r="BI30" s="170">
        <f>IF(Escenarios!$F$17&gt;0,BF30/10/Escenarios!$F$19,AL30)</f>
        <v>0</v>
      </c>
      <c r="BJ30" s="170">
        <f>(Escenarios!$F$16*AT30+0.1*BD30)/(Escenarios!$F$19)</f>
        <v>0.27541957160649522</v>
      </c>
      <c r="BK30" s="76">
        <f>BK29+(0.1*BD30)/(Escenarios!$F$19)-BL29</f>
        <v>48.75</v>
      </c>
      <c r="BL30" s="76">
        <f>MAX(0,(BK30-Constantes!$D$13)*(1-EXP(-Constantes!$D$23)))</f>
        <v>0</v>
      </c>
      <c r="BM30" s="76">
        <f t="shared" si="12"/>
        <v>0.47462405952985903</v>
      </c>
      <c r="BN30" s="76">
        <f t="shared" si="13"/>
        <v>1.0413047771606279</v>
      </c>
      <c r="BO30" s="76">
        <f>0.0526*BI30*Observaciones!$F29^1.218</f>
        <v>0</v>
      </c>
      <c r="BP30" s="76">
        <f>BO30*Constantes!$F$51</f>
        <v>0</v>
      </c>
      <c r="BQ30" s="76">
        <f t="shared" si="14"/>
        <v>0</v>
      </c>
      <c r="BR30" s="40"/>
    </row>
    <row r="31" spans="2:70">
      <c r="B31" s="39"/>
      <c r="C31" s="75">
        <v>25</v>
      </c>
      <c r="D31" s="146">
        <f>ETo!$I30*((1-Constantes!$F$19)*ETo!$K30+ETo!$L30)</f>
        <v>4.472698884688703</v>
      </c>
      <c r="E31" s="76">
        <f>MIN(D31*Constantes!$F$17,0.8*(N30+Observaciones!$F30-F31-M31-Constantes!$D$14))</f>
        <v>2.5508327621828335</v>
      </c>
      <c r="F31" s="76">
        <f>IF(Observaciones!$F30&gt;0.05*Constantes!$F$18,((Observaciones!$F30-0.05*Constantes!$F$18)^2)/(Observaciones!$F30+0.95*Constantes!$F$18),0)</f>
        <v>0</v>
      </c>
      <c r="G31" s="76">
        <f>IF(Escenarios!$F$11&gt;0,(F31*Escenarios!$F$16*10000)/1000,0)</f>
        <v>0</v>
      </c>
      <c r="H31" s="76">
        <f>IF(Escenarios!$F$11&gt;0,(Observaciones!$F30*Constantes!$F$29)/1000,0)</f>
        <v>0</v>
      </c>
      <c r="I31" s="76">
        <f>IF(Escenarios!$F$11&gt;0,(D31*Constantes!$F$29)/1000,0)</f>
        <v>0</v>
      </c>
      <c r="J31" s="76">
        <f>IF(Escenarios!$F$11&gt;0,MAX(0,G31+H31-I31),0)</f>
        <v>0</v>
      </c>
      <c r="K31" s="76">
        <f>IF(Escenarios!$F$11&gt;0,IF(J31&gt;Constantes!$F$30,1000*((J31-Constantes!$F$30)/(Escenarios!$F$16*10000)),0),F31)</f>
        <v>0</v>
      </c>
      <c r="L31" s="76">
        <f>IF(Escenarios!$F$11&gt;0,I31*1000/Escenarios!$F$16/10000+E31,E31)</f>
        <v>2.5508327621828335</v>
      </c>
      <c r="M31" s="76">
        <f>MAX(0,N30+Observaciones!$F30-K31-Constantes!$D$13)</f>
        <v>0</v>
      </c>
      <c r="N31" s="76">
        <f>N30+Observaciones!$F30-K31-L31-M31-O30</f>
        <v>40.347246403393058</v>
      </c>
      <c r="O31" s="76">
        <f>MAX(0,(N31-Constantes!$D$14)*(1-EXP(-Constantes!$D$22)))</f>
        <v>0.99115903067790045</v>
      </c>
      <c r="P31" s="170">
        <f>P30+(Entradas!$F$83*M31-Q30)/(800*Entradas!$D$25)</f>
        <v>0</v>
      </c>
      <c r="Q31" s="170">
        <f>8000*Entradas!$D$26*P31/Constantes!$F$45</f>
        <v>0</v>
      </c>
      <c r="R31" s="170">
        <f>IF(Escenarios!$F$14&gt;0,K31*Escenarios!$F$13/Escenarios!$F$14,0)</f>
        <v>0</v>
      </c>
      <c r="S31" s="170">
        <f>IF(Escenarios!$F$14&gt;0,Q31*Escenarios!$F$13/Escenarios!$F$14,0)</f>
        <v>0</v>
      </c>
      <c r="T31" s="170">
        <f>IF(Escenarios!$F$14&gt;0,Observaciones!$I30,0)</f>
        <v>0</v>
      </c>
      <c r="U31" s="170">
        <f>IF(Escenarios!$F$14&gt;0,MAX(0,Constantes!$F$36/((Z30+R31+S31+T31+Observaciones!$F30)^2)+Entradas!$F$77),0)</f>
        <v>1.34377229645732</v>
      </c>
      <c r="V31" s="146">
        <f>IF(ETo!D30&gt;0,ETo!I30*((1-Entradas!$F$81)*ETo!K30+ETo!L30),0)</f>
        <v>3.9750933161674782</v>
      </c>
      <c r="W31" s="170">
        <f>IF(Escenarios!$F$14&gt;0,MIN(V31*1,0.8*(Z30+R31+S31+T31+Observaciones!$F30-U31-Constantes!$F$35)),0)</f>
        <v>3.9750933161674782</v>
      </c>
      <c r="X31" s="170">
        <f>IF(Escenarios!$F$14&gt;0,Observaciones!$J30,0)</f>
        <v>0</v>
      </c>
      <c r="Y31" s="170">
        <f>IF(Escenarios!$F$14&gt;0,MAX(0,Z30+R31+S31+T31+Observaciones!$F30-U31-W31-X31-Constantes!$F$33),0)</f>
        <v>0</v>
      </c>
      <c r="Z31" s="170">
        <f>Z30+R31+S31+T31+Observaciones!$F30-U31-W31-Y31</f>
        <v>73.414074775574633</v>
      </c>
      <c r="AA31" s="170">
        <f>IF(Escenarios!$F$14&gt;0,(Escenarios!$F$13*L31+Escenarios!$F$14*W31)/(Escenarios!$F$16),L31)</f>
        <v>2.7217440286609906</v>
      </c>
      <c r="AB31" s="170">
        <f>IF(Escenarios!$F$14&gt;0,(Escenarios!$F$14*Y31)/(Escenarios!$F$16),K31)</f>
        <v>0</v>
      </c>
      <c r="AC31" s="170">
        <f>IF(Escenarios!$F$14&gt;0,(Escenarios!$F$13*M31+Escenarios!$F$14*U31)/(Escenarios!$F$16),M31)</f>
        <v>0.16125267557487841</v>
      </c>
      <c r="AD31" s="76">
        <f t="shared" si="1"/>
        <v>96.153293975562136</v>
      </c>
      <c r="AE31" s="76">
        <f>MAX(0,(AD31-Constantes!$D$13)*(1-EXP(-Constantes!$D$23)))</f>
        <v>0.46707594612619219</v>
      </c>
      <c r="AF31" s="76">
        <f>AB31+O31*Escenarios!$F$13/Escenarios!$F$16+AE31</f>
        <v>1.3392958931227446</v>
      </c>
      <c r="AG31" s="76">
        <f>IF(Entradas!$F$91&gt;0,IF(AF31-Escenarios!$F$38&lt;=0,0,IF(AF31-Escenarios!$F$38&gt;Escenarios!$F$37,Escenarios!$F$37,AF31-Escenarios!$F$38)),0)</f>
        <v>0.30249589312274461</v>
      </c>
      <c r="AH31" s="76">
        <f>AG31*Entradas!$F$99</f>
        <v>0</v>
      </c>
      <c r="AI31" s="76">
        <f>IF(Entradas!$F$91&gt;0,D31*Entradas!$D$23/Escenarios!$F$16,0)</f>
        <v>0.21468954646505772</v>
      </c>
      <c r="AJ31" s="76">
        <f>IF(Entradas!$F$91&gt;0,Entradas!$D$24*Entradas!$D$22/Escenarios!$F$16,0)</f>
        <v>0.12</v>
      </c>
      <c r="AK31" s="76">
        <f t="shared" si="2"/>
        <v>2.9364335751260482</v>
      </c>
      <c r="AL31" s="76">
        <f t="shared" si="3"/>
        <v>0</v>
      </c>
      <c r="AM31" s="76">
        <f t="shared" si="4"/>
        <v>0.30249589312274461</v>
      </c>
      <c r="AN31" s="76">
        <f>MAX(0,O31*Escenarios!$F$13/Escenarios!$F$16-AM31)</f>
        <v>0.56972405387380776</v>
      </c>
      <c r="AO31" s="76">
        <f>AM31+AN31-O31*Escenarios!$F$13/Escenarios!$F$16</f>
        <v>0</v>
      </c>
      <c r="AP31" s="76">
        <f t="shared" si="5"/>
        <v>0.46707594612619219</v>
      </c>
      <c r="AQ31" s="76">
        <f t="shared" si="6"/>
        <v>0</v>
      </c>
      <c r="AR31" s="76">
        <f t="shared" si="7"/>
        <v>1.0367999999999999</v>
      </c>
      <c r="AS31" s="76">
        <f t="shared" si="8"/>
        <v>0</v>
      </c>
      <c r="AT31" s="76">
        <f t="shared" si="9"/>
        <v>0.16125267557487841</v>
      </c>
      <c r="AU31" s="76">
        <f t="shared" si="10"/>
        <v>49.040209278902964</v>
      </c>
      <c r="AV31" s="76">
        <f>MAX(0,(AU31-Constantes!$D$13)*(1-EXP(-Constantes!$D$24)))</f>
        <v>4.4359205287523573E-3</v>
      </c>
      <c r="AW31" s="170">
        <f>AW30+(Entradas!$F$112*AT31-AX30)/(800*Entradas!$D$25)</f>
        <v>0</v>
      </c>
      <c r="AX31" s="170">
        <f>8000*Entradas!$D$26*AW31/Constantes!$F$45</f>
        <v>0</v>
      </c>
      <c r="AY31" s="170">
        <f>IF(Escenarios!$F$17&gt;0,10*Escenarios!$F$16*AL31,0)</f>
        <v>0</v>
      </c>
      <c r="AZ31" s="170">
        <f>IF(Escenarios!$F$17&gt;0,10*Escenarios!$F$16*AX31,0)</f>
        <v>0</v>
      </c>
      <c r="BA31" s="170">
        <f>IF(Escenarios!$F$17&gt;0,0.001*Observaciones!$F30*Escenarios!$F$17,0)</f>
        <v>0</v>
      </c>
      <c r="BB31" s="170">
        <f>IF(Escenarios!$F$17&gt;0,Observaciones!$K30,0)</f>
        <v>0</v>
      </c>
      <c r="BC31" s="170">
        <f>IF(Escenarios!$F$17&gt;0,MIN(0.0005*ETo!$M30*Escenarios!$F$17*(BG30/Constantes!$F$40)^(2/3),BG30+AY31+AZ31+BA31+BB31),0)</f>
        <v>0</v>
      </c>
      <c r="BD31" s="170">
        <f>IF(Escenarios!$F$17&gt;0,MIN(Constantes!$F$39*(BG30/Constantes!$F$40)^(2/3),BG30+AY31+AZ31+BA31+BB31-BC31),0)</f>
        <v>0</v>
      </c>
      <c r="BE31" s="170">
        <f>IF(Escenarios!$F$17&gt;0,MIN(Entradas!$F$113,BG30+AY31+AZ31+BA31+BB31-BC31-BD31),0)</f>
        <v>0</v>
      </c>
      <c r="BF31" s="170">
        <f>IF(Escenarios!$F$17&gt;0,MAX(0,BG30+AY31+AZ31+BA31+BB31-BC31-BD31-BE31-Constantes!$F$40),0)</f>
        <v>0</v>
      </c>
      <c r="BG31" s="170">
        <f t="shared" si="11"/>
        <v>0</v>
      </c>
      <c r="BH31" s="170">
        <f>(Escenarios!$F$16*AK31+0.1*BC31)/(Escenarios!$F$19)</f>
        <v>2.9364335751260482</v>
      </c>
      <c r="BI31" s="170">
        <f>IF(Escenarios!$F$17&gt;0,BF31/10/Escenarios!$F$19,AL31)</f>
        <v>0</v>
      </c>
      <c r="BJ31" s="170">
        <f>(Escenarios!$F$16*AT31+0.1*BD31)/(Escenarios!$F$19)</f>
        <v>0.16125267557487841</v>
      </c>
      <c r="BK31" s="76">
        <f>BK30+(0.1*BD31)/(Escenarios!$F$19)-BL30</f>
        <v>48.75</v>
      </c>
      <c r="BL31" s="76">
        <f>MAX(0,(BK31-Constantes!$D$13)*(1-EXP(-Constantes!$D$23)))</f>
        <v>0</v>
      </c>
      <c r="BM31" s="76">
        <f t="shared" si="12"/>
        <v>0.47151186665494454</v>
      </c>
      <c r="BN31" s="76">
        <f t="shared" si="13"/>
        <v>1.0412359205287522</v>
      </c>
      <c r="BO31" s="76">
        <f>0.0526*BI31*Observaciones!$F30^1.218</f>
        <v>0</v>
      </c>
      <c r="BP31" s="76">
        <f>BO31*Constantes!$F$51</f>
        <v>0</v>
      </c>
      <c r="BQ31" s="76">
        <f t="shared" si="14"/>
        <v>0</v>
      </c>
      <c r="BR31" s="40"/>
    </row>
    <row r="32" spans="2:70">
      <c r="B32" s="39"/>
      <c r="C32" s="75">
        <v>26</v>
      </c>
      <c r="D32" s="146">
        <f>ETo!$I31*((1-Constantes!$F$19)*ETo!$K31+ETo!$L31)</f>
        <v>4.4760908727466013</v>
      </c>
      <c r="E32" s="76">
        <f>MIN(D32*Constantes!$F$17,0.8*(N31+Observaciones!$F31-F32-M32-Constantes!$D$14))</f>
        <v>2.552767252853922</v>
      </c>
      <c r="F32" s="76">
        <f>IF(Observaciones!$F31&gt;0.05*Constantes!$F$18,((Observaciones!$F31-0.05*Constantes!$F$18)^2)/(Observaciones!$F31+0.95*Constantes!$F$18),0)</f>
        <v>0</v>
      </c>
      <c r="G32" s="76">
        <f>IF(Escenarios!$F$11&gt;0,(F32*Escenarios!$F$16*10000)/1000,0)</f>
        <v>0</v>
      </c>
      <c r="H32" s="76">
        <f>IF(Escenarios!$F$11&gt;0,(Observaciones!$F31*Constantes!$F$29)/1000,0)</f>
        <v>0</v>
      </c>
      <c r="I32" s="76">
        <f>IF(Escenarios!$F$11&gt;0,(D32*Constantes!$F$29)/1000,0)</f>
        <v>0</v>
      </c>
      <c r="J32" s="76">
        <f>IF(Escenarios!$F$11&gt;0,MAX(0,G32+H32-I32),0)</f>
        <v>0</v>
      </c>
      <c r="K32" s="76">
        <f>IF(Escenarios!$F$11&gt;0,IF(J32&gt;Constantes!$F$30,1000*((J32-Constantes!$F$30)/(Escenarios!$F$16*10000)),0),F32)</f>
        <v>0</v>
      </c>
      <c r="L32" s="76">
        <f>IF(Escenarios!$F$11&gt;0,I32*1000/Escenarios!$F$16/10000+E32,E32)</f>
        <v>2.552767252853922</v>
      </c>
      <c r="M32" s="76">
        <f>MAX(0,N31+Observaciones!$F31-K32-Constantes!$D$13)</f>
        <v>0</v>
      </c>
      <c r="N32" s="76">
        <f>N31+Observaciones!$F31-K32-L32-M32-O31</f>
        <v>40.803320119861233</v>
      </c>
      <c r="O32" s="76">
        <f>MAX(0,(N32-Constantes!$D$14)*(1-EXP(-Constantes!$D$22)))</f>
        <v>1.0066945757416956</v>
      </c>
      <c r="P32" s="170">
        <f>P31+(Entradas!$F$83*M32-Q31)/(800*Entradas!$D$25)</f>
        <v>0</v>
      </c>
      <c r="Q32" s="170">
        <f>8000*Entradas!$D$26*P32/Constantes!$F$45</f>
        <v>0</v>
      </c>
      <c r="R32" s="170">
        <f>IF(Escenarios!$F$14&gt;0,K32*Escenarios!$F$13/Escenarios!$F$14,0)</f>
        <v>0</v>
      </c>
      <c r="S32" s="170">
        <f>IF(Escenarios!$F$14&gt;0,Q32*Escenarios!$F$13/Escenarios!$F$14,0)</f>
        <v>0</v>
      </c>
      <c r="T32" s="170">
        <f>IF(Escenarios!$F$14&gt;0,Observaciones!$I31,0)</f>
        <v>0</v>
      </c>
      <c r="U32" s="170">
        <f>IF(Escenarios!$F$14&gt;0,MAX(0,Constantes!$F$36/((Z31+R32+S32+T32+Observaciones!$F31)^2)+Entradas!$F$77),0)</f>
        <v>1.2868589108547479</v>
      </c>
      <c r="V32" s="146">
        <f>IF(ETo!D31&gt;0,ETo!I31*((1-Entradas!$F$81)*ETo!K31+ETo!L31),0)</f>
        <v>3.9781342083855336</v>
      </c>
      <c r="W32" s="170">
        <f>IF(Escenarios!$F$14&gt;0,MIN(V32*1,0.8*(Z31+R32+S32+T32+Observaciones!$F31-U32-Constantes!$F$35)),0)</f>
        <v>3.9781342083855336</v>
      </c>
      <c r="X32" s="170">
        <f>IF(Escenarios!$F$14&gt;0,Observaciones!$J31,0)</f>
        <v>0</v>
      </c>
      <c r="Y32" s="170">
        <f>IF(Escenarios!$F$14&gt;0,MAX(0,Z31+R32+S32+T32+Observaciones!$F31-U32-W32-X32-Constantes!$F$33),0)</f>
        <v>0</v>
      </c>
      <c r="Z32" s="170">
        <f>Z31+R32+S32+T32+Observaciones!$F31-U32-W32-Y32</f>
        <v>72.149081656334346</v>
      </c>
      <c r="AA32" s="170">
        <f>IF(Escenarios!$F$14&gt;0,(Escenarios!$F$13*L32+Escenarios!$F$14*W32)/(Escenarios!$F$16),L32)</f>
        <v>2.7238112875177154</v>
      </c>
      <c r="AB32" s="170">
        <f>IF(Escenarios!$F$14&gt;0,(Escenarios!$F$14*Y32)/(Escenarios!$F$16),K32)</f>
        <v>0</v>
      </c>
      <c r="AC32" s="170">
        <f>IF(Escenarios!$F$14&gt;0,(Escenarios!$F$13*M32+Escenarios!$F$14*U32)/(Escenarios!$F$16),M32)</f>
        <v>0.15442306930256977</v>
      </c>
      <c r="AD32" s="76">
        <f t="shared" si="1"/>
        <v>95.840641098738516</v>
      </c>
      <c r="AE32" s="76">
        <f>MAX(0,(AD32-Constantes!$D$13)*(1-EXP(-Constantes!$D$23)))</f>
        <v>0.4639953028627356</v>
      </c>
      <c r="AF32" s="76">
        <f>AB32+O32*Escenarios!$F$13/Escenarios!$F$16+AE32</f>
        <v>1.3498865295154276</v>
      </c>
      <c r="AG32" s="76">
        <f>IF(Entradas!$F$91&gt;0,IF(AF32-Escenarios!$F$38&lt;=0,0,IF(AF32-Escenarios!$F$38&gt;Escenarios!$F$37,Escenarios!$F$37,AF32-Escenarios!$F$38)),0)</f>
        <v>0.3130865295154277</v>
      </c>
      <c r="AH32" s="76">
        <f>AG32*Entradas!$F$99</f>
        <v>0</v>
      </c>
      <c r="AI32" s="76">
        <f>IF(Entradas!$F$91&gt;0,D32*Entradas!$D$23/Escenarios!$F$16,0)</f>
        <v>0.21485236189183687</v>
      </c>
      <c r="AJ32" s="76">
        <f>IF(Entradas!$F$91&gt;0,Entradas!$D$24*Entradas!$D$22/Escenarios!$F$16,0)</f>
        <v>0.12</v>
      </c>
      <c r="AK32" s="76">
        <f t="shared" si="2"/>
        <v>2.9386636494095524</v>
      </c>
      <c r="AL32" s="76">
        <f t="shared" si="3"/>
        <v>0</v>
      </c>
      <c r="AM32" s="76">
        <f t="shared" si="4"/>
        <v>0.3130865295154277</v>
      </c>
      <c r="AN32" s="76">
        <f>MAX(0,O32*Escenarios!$F$13/Escenarios!$F$16-AM32)</f>
        <v>0.57280469713726445</v>
      </c>
      <c r="AO32" s="76">
        <f>AM32+AN32-O32*Escenarios!$F$13/Escenarios!$F$16</f>
        <v>0</v>
      </c>
      <c r="AP32" s="76">
        <f t="shared" si="5"/>
        <v>0.4639953028627356</v>
      </c>
      <c r="AQ32" s="76">
        <f t="shared" si="6"/>
        <v>0</v>
      </c>
      <c r="AR32" s="76">
        <f t="shared" si="7"/>
        <v>1.0367999999999999</v>
      </c>
      <c r="AS32" s="76">
        <f t="shared" si="8"/>
        <v>0</v>
      </c>
      <c r="AT32" s="76">
        <f t="shared" si="9"/>
        <v>0.15442306930256977</v>
      </c>
      <c r="AU32" s="76">
        <f t="shared" si="10"/>
        <v>49.035773358374215</v>
      </c>
      <c r="AV32" s="76">
        <f>MAX(0,(AU32-Constantes!$D$13)*(1-EXP(-Constantes!$D$24)))</f>
        <v>4.3681163875071973E-3</v>
      </c>
      <c r="AW32" s="170">
        <f>AW31+(Entradas!$F$112*AT32-AX31)/(800*Entradas!$D$25)</f>
        <v>0</v>
      </c>
      <c r="AX32" s="170">
        <f>8000*Entradas!$D$26*AW32/Constantes!$F$45</f>
        <v>0</v>
      </c>
      <c r="AY32" s="170">
        <f>IF(Escenarios!$F$17&gt;0,10*Escenarios!$F$16*AL32,0)</f>
        <v>0</v>
      </c>
      <c r="AZ32" s="170">
        <f>IF(Escenarios!$F$17&gt;0,10*Escenarios!$F$16*AX32,0)</f>
        <v>0</v>
      </c>
      <c r="BA32" s="170">
        <f>IF(Escenarios!$F$17&gt;0,0.001*Observaciones!$F31*Escenarios!$F$17,0)</f>
        <v>0</v>
      </c>
      <c r="BB32" s="170">
        <f>IF(Escenarios!$F$17&gt;0,Observaciones!$K31,0)</f>
        <v>0</v>
      </c>
      <c r="BC32" s="170">
        <f>IF(Escenarios!$F$17&gt;0,MIN(0.0005*ETo!$M31*Escenarios!$F$17*(BG31/Constantes!$F$40)^(2/3),BG31+AY32+AZ32+BA32+BB32),0)</f>
        <v>0</v>
      </c>
      <c r="BD32" s="170">
        <f>IF(Escenarios!$F$17&gt;0,MIN(Constantes!$F$39*(BG31/Constantes!$F$40)^(2/3),BG31+AY32+AZ32+BA32+BB32-BC32),0)</f>
        <v>0</v>
      </c>
      <c r="BE32" s="170">
        <f>IF(Escenarios!$F$17&gt;0,MIN(Entradas!$F$113,BG31+AY32+AZ32+BA32+BB32-BC32-BD32),0)</f>
        <v>0</v>
      </c>
      <c r="BF32" s="170">
        <f>IF(Escenarios!$F$17&gt;0,MAX(0,BG31+AY32+AZ32+BA32+BB32-BC32-BD32-BE32-Constantes!$F$40),0)</f>
        <v>0</v>
      </c>
      <c r="BG32" s="170">
        <f t="shared" si="11"/>
        <v>0</v>
      </c>
      <c r="BH32" s="170">
        <f>(Escenarios!$F$16*AK32+0.1*BC32)/(Escenarios!$F$19)</f>
        <v>2.9386636494095524</v>
      </c>
      <c r="BI32" s="170">
        <f>IF(Escenarios!$F$17&gt;0,BF32/10/Escenarios!$F$19,AL32)</f>
        <v>0</v>
      </c>
      <c r="BJ32" s="170">
        <f>(Escenarios!$F$16*AT32+0.1*BD32)/(Escenarios!$F$19)</f>
        <v>0.15442306930256977</v>
      </c>
      <c r="BK32" s="76">
        <f>BK31+(0.1*BD32)/(Escenarios!$F$19)-BL31</f>
        <v>48.75</v>
      </c>
      <c r="BL32" s="76">
        <f>MAX(0,(BK32-Constantes!$D$13)*(1-EXP(-Constantes!$D$23)))</f>
        <v>0</v>
      </c>
      <c r="BM32" s="76">
        <f t="shared" si="12"/>
        <v>0.46836341925024277</v>
      </c>
      <c r="BN32" s="76">
        <f t="shared" si="13"/>
        <v>1.0411681163875071</v>
      </c>
      <c r="BO32" s="76">
        <f>0.0526*BI32*Observaciones!$F31^1.218</f>
        <v>0</v>
      </c>
      <c r="BP32" s="76">
        <f>BO32*Constantes!$F$51</f>
        <v>0</v>
      </c>
      <c r="BQ32" s="76">
        <f t="shared" si="14"/>
        <v>0</v>
      </c>
      <c r="BR32" s="40"/>
    </row>
    <row r="33" spans="2:70">
      <c r="B33" s="39"/>
      <c r="C33" s="75">
        <v>27</v>
      </c>
      <c r="D33" s="146">
        <f>ETo!$I32*((1-Constantes!$F$19)*ETo!$K32+ETo!$L32)</f>
        <v>4.5257854356889782</v>
      </c>
      <c r="E33" s="76">
        <f>MIN(D33*Constantes!$F$17,0.8*(N32+Observaciones!$F32-F33-M33-Constantes!$D$14))</f>
        <v>2.5811086463892026</v>
      </c>
      <c r="F33" s="76">
        <f>IF(Observaciones!$F32&gt;0.05*Constantes!$F$18,((Observaciones!$F32-0.05*Constantes!$F$18)^2)/(Observaciones!$F32+0.95*Constantes!$F$18),0)</f>
        <v>0</v>
      </c>
      <c r="G33" s="76">
        <f>IF(Escenarios!$F$11&gt;0,(F33*Escenarios!$F$16*10000)/1000,0)</f>
        <v>0</v>
      </c>
      <c r="H33" s="76">
        <f>IF(Escenarios!$F$11&gt;0,(Observaciones!$F32*Constantes!$F$29)/1000,0)</f>
        <v>0</v>
      </c>
      <c r="I33" s="76">
        <f>IF(Escenarios!$F$11&gt;0,(D33*Constantes!$F$29)/1000,0)</f>
        <v>0</v>
      </c>
      <c r="J33" s="76">
        <f>IF(Escenarios!$F$11&gt;0,MAX(0,G33+H33-I33),0)</f>
        <v>0</v>
      </c>
      <c r="K33" s="76">
        <f>IF(Escenarios!$F$11&gt;0,IF(J33&gt;Constantes!$F$30,1000*((J33-Constantes!$F$30)/(Escenarios!$F$16*10000)),0),F33)</f>
        <v>0</v>
      </c>
      <c r="L33" s="76">
        <f>IF(Escenarios!$F$11&gt;0,I33*1000/Escenarios!$F$16/10000+E33,E33)</f>
        <v>2.5811086463892026</v>
      </c>
      <c r="M33" s="76">
        <f>MAX(0,N32+Observaciones!$F32-K33-Constantes!$D$13)</f>
        <v>0</v>
      </c>
      <c r="N33" s="76">
        <f>N32+Observaciones!$F32-K33-L33-M33-O32</f>
        <v>37.315516897730333</v>
      </c>
      <c r="O33" s="76">
        <f>MAX(0,(N33-Constantes!$D$14)*(1-EXP(-Constantes!$D$22)))</f>
        <v>0.88788719400816496</v>
      </c>
      <c r="P33" s="170">
        <f>P32+(Entradas!$F$83*M33-Q32)/(800*Entradas!$D$25)</f>
        <v>0</v>
      </c>
      <c r="Q33" s="170">
        <f>8000*Entradas!$D$26*P33/Constantes!$F$45</f>
        <v>0</v>
      </c>
      <c r="R33" s="170">
        <f>IF(Escenarios!$F$14&gt;0,K33*Escenarios!$F$13/Escenarios!$F$14,0)</f>
        <v>0</v>
      </c>
      <c r="S33" s="170">
        <f>IF(Escenarios!$F$14&gt;0,Q33*Escenarios!$F$13/Escenarios!$F$14,0)</f>
        <v>0</v>
      </c>
      <c r="T33" s="170">
        <f>IF(Escenarios!$F$14&gt;0,Observaciones!$I32,0)</f>
        <v>0</v>
      </c>
      <c r="U33" s="170">
        <f>IF(Escenarios!$F$14&gt;0,MAX(0,Constantes!$F$36/((Z32+R33+S33+T33+Observaciones!$F32)^2)+Entradas!$F$77),0)</f>
        <v>1.0331632046778183</v>
      </c>
      <c r="V33" s="146">
        <f>IF(ETo!D32&gt;0,ETo!I32*((1-Entradas!$F$81)*ETo!K32+ETo!L32),0)</f>
        <v>4.0229804024760645</v>
      </c>
      <c r="W33" s="170">
        <f>IF(Escenarios!$F$14&gt;0,MIN(V33*1,0.8*(Z32+R33+S33+T33+Observaciones!$F32-U33-Constantes!$F$35)),0)</f>
        <v>4.0229804024760645</v>
      </c>
      <c r="X33" s="170">
        <f>IF(Escenarios!$F$14&gt;0,Observaciones!$J32,0)</f>
        <v>0</v>
      </c>
      <c r="Y33" s="170">
        <f>IF(Escenarios!$F$14&gt;0,MAX(0,Z32+R33+S33+T33+Observaciones!$F32-U33-W33-X33-Constantes!$F$33),0)</f>
        <v>0</v>
      </c>
      <c r="Z33" s="170">
        <f>Z32+R33+S33+T33+Observaciones!$F32-U33-W33-Y33</f>
        <v>67.192938049180455</v>
      </c>
      <c r="AA33" s="170">
        <f>IF(Escenarios!$F$14&gt;0,(Escenarios!$F$13*L33+Escenarios!$F$14*W33)/(Escenarios!$F$16),L33)</f>
        <v>2.754133257119626</v>
      </c>
      <c r="AB33" s="170">
        <f>IF(Escenarios!$F$14&gt;0,(Escenarios!$F$14*Y33)/(Escenarios!$F$16),K33)</f>
        <v>0</v>
      </c>
      <c r="AC33" s="170">
        <f>IF(Escenarios!$F$14&gt;0,(Escenarios!$F$13*M33+Escenarios!$F$14*U33)/(Escenarios!$F$16),M33)</f>
        <v>0.1239795845613382</v>
      </c>
      <c r="AD33" s="76">
        <f t="shared" si="1"/>
        <v>95.500625380437114</v>
      </c>
      <c r="AE33" s="76">
        <f>MAX(0,(AD33-Constantes!$D$13)*(1-EXP(-Constantes!$D$23)))</f>
        <v>0.46064504700487735</v>
      </c>
      <c r="AF33" s="76">
        <f>AB33+O33*Escenarios!$F$13/Escenarios!$F$16+AE33</f>
        <v>1.2419857777320624</v>
      </c>
      <c r="AG33" s="76">
        <f>IF(Entradas!$F$91&gt;0,IF(AF33-Escenarios!$F$38&lt;=0,0,IF(AF33-Escenarios!$F$38&gt;Escenarios!$F$37,Escenarios!$F$37,AF33-Escenarios!$F$38)),0)</f>
        <v>0.20518577773206248</v>
      </c>
      <c r="AH33" s="76">
        <f>AG33*Entradas!$F$99</f>
        <v>0</v>
      </c>
      <c r="AI33" s="76">
        <f>IF(Entradas!$F$91&gt;0,D33*Entradas!$D$23/Escenarios!$F$16,0)</f>
        <v>0.21723770091307096</v>
      </c>
      <c r="AJ33" s="76">
        <f>IF(Entradas!$F$91&gt;0,Entradas!$D$24*Entradas!$D$22/Escenarios!$F$16,0)</f>
        <v>0.12</v>
      </c>
      <c r="AK33" s="76">
        <f t="shared" si="2"/>
        <v>2.971370958032697</v>
      </c>
      <c r="AL33" s="76">
        <f t="shared" si="3"/>
        <v>0</v>
      </c>
      <c r="AM33" s="76">
        <f t="shared" si="4"/>
        <v>0.20518577773206248</v>
      </c>
      <c r="AN33" s="76">
        <f>MAX(0,O33*Escenarios!$F$13/Escenarios!$F$16-AM33)</f>
        <v>0.57615495299512265</v>
      </c>
      <c r="AO33" s="76">
        <f>AM33+AN33-O33*Escenarios!$F$13/Escenarios!$F$16</f>
        <v>0</v>
      </c>
      <c r="AP33" s="76">
        <f t="shared" si="5"/>
        <v>0.46064504700487735</v>
      </c>
      <c r="AQ33" s="76">
        <f t="shared" si="6"/>
        <v>0</v>
      </c>
      <c r="AR33" s="76">
        <f t="shared" si="7"/>
        <v>1.0367999999999999</v>
      </c>
      <c r="AS33" s="76">
        <f t="shared" si="8"/>
        <v>0</v>
      </c>
      <c r="AT33" s="76">
        <f t="shared" si="9"/>
        <v>0.1239795845613382</v>
      </c>
      <c r="AU33" s="76">
        <f t="shared" si="10"/>
        <v>49.031405241986704</v>
      </c>
      <c r="AV33" s="76">
        <f>MAX(0,(AU33-Constantes!$D$13)*(1-EXP(-Constantes!$D$24)))</f>
        <v>4.3013486493129367E-3</v>
      </c>
      <c r="AW33" s="170">
        <f>AW32+(Entradas!$F$112*AT33-AX32)/(800*Entradas!$D$25)</f>
        <v>0</v>
      </c>
      <c r="AX33" s="170">
        <f>8000*Entradas!$D$26*AW33/Constantes!$F$45</f>
        <v>0</v>
      </c>
      <c r="AY33" s="170">
        <f>IF(Escenarios!$F$17&gt;0,10*Escenarios!$F$16*AL33,0)</f>
        <v>0</v>
      </c>
      <c r="AZ33" s="170">
        <f>IF(Escenarios!$F$17&gt;0,10*Escenarios!$F$16*AX33,0)</f>
        <v>0</v>
      </c>
      <c r="BA33" s="170">
        <f>IF(Escenarios!$F$17&gt;0,0.001*Observaciones!$F32*Escenarios!$F$17,0)</f>
        <v>0</v>
      </c>
      <c r="BB33" s="170">
        <f>IF(Escenarios!$F$17&gt;0,Observaciones!$K32,0)</f>
        <v>0</v>
      </c>
      <c r="BC33" s="170">
        <f>IF(Escenarios!$F$17&gt;0,MIN(0.0005*ETo!$M32*Escenarios!$F$17*(BG32/Constantes!$F$40)^(2/3),BG32+AY33+AZ33+BA33+BB33),0)</f>
        <v>0</v>
      </c>
      <c r="BD33" s="170">
        <f>IF(Escenarios!$F$17&gt;0,MIN(Constantes!$F$39*(BG32/Constantes!$F$40)^(2/3),BG32+AY33+AZ33+BA33+BB33-BC33),0)</f>
        <v>0</v>
      </c>
      <c r="BE33" s="170">
        <f>IF(Escenarios!$F$17&gt;0,MIN(Entradas!$F$113,BG32+AY33+AZ33+BA33+BB33-BC33-BD33),0)</f>
        <v>0</v>
      </c>
      <c r="BF33" s="170">
        <f>IF(Escenarios!$F$17&gt;0,MAX(0,BG32+AY33+AZ33+BA33+BB33-BC33-BD33-BE33-Constantes!$F$40),0)</f>
        <v>0</v>
      </c>
      <c r="BG33" s="170">
        <f t="shared" si="11"/>
        <v>0</v>
      </c>
      <c r="BH33" s="170">
        <f>(Escenarios!$F$16*AK33+0.1*BC33)/(Escenarios!$F$19)</f>
        <v>2.971370958032697</v>
      </c>
      <c r="BI33" s="170">
        <f>IF(Escenarios!$F$17&gt;0,BF33/10/Escenarios!$F$19,AL33)</f>
        <v>0</v>
      </c>
      <c r="BJ33" s="170">
        <f>(Escenarios!$F$16*AT33+0.1*BD33)/(Escenarios!$F$19)</f>
        <v>0.1239795845613382</v>
      </c>
      <c r="BK33" s="76">
        <f>BK32+(0.1*BD33)/(Escenarios!$F$19)-BL32</f>
        <v>48.75</v>
      </c>
      <c r="BL33" s="76">
        <f>MAX(0,(BK33-Constantes!$D$13)*(1-EXP(-Constantes!$D$23)))</f>
        <v>0</v>
      </c>
      <c r="BM33" s="76">
        <f t="shared" si="12"/>
        <v>0.46494639565419027</v>
      </c>
      <c r="BN33" s="76">
        <f t="shared" si="13"/>
        <v>1.0411013486493128</v>
      </c>
      <c r="BO33" s="76">
        <f>0.0526*BI33*Observaciones!$F32^1.218</f>
        <v>0</v>
      </c>
      <c r="BP33" s="76">
        <f>BO33*Constantes!$F$51</f>
        <v>0</v>
      </c>
      <c r="BQ33" s="76">
        <f t="shared" si="14"/>
        <v>0</v>
      </c>
      <c r="BR33" s="40"/>
    </row>
    <row r="34" spans="2:70">
      <c r="B34" s="39"/>
      <c r="C34" s="75">
        <v>28</v>
      </c>
      <c r="D34" s="146">
        <f>ETo!$I33*((1-Constantes!$F$19)*ETo!$K33+ETo!$L33)</f>
        <v>4.4871531808139302</v>
      </c>
      <c r="E34" s="76">
        <f>MIN(D34*Constantes!$F$17,0.8*(N33+Observaciones!$F33-F34-M34-Constantes!$D$14))</f>
        <v>2.5590762172110133</v>
      </c>
      <c r="F34" s="76">
        <f>IF(Observaciones!$F33&gt;0.05*Constantes!$F$18,((Observaciones!$F33-0.05*Constantes!$F$18)^2)/(Observaciones!$F33+0.95*Constantes!$F$18),0)</f>
        <v>0</v>
      </c>
      <c r="G34" s="76">
        <f>IF(Escenarios!$F$11&gt;0,(F34*Escenarios!$F$16*10000)/1000,0)</f>
        <v>0</v>
      </c>
      <c r="H34" s="76">
        <f>IF(Escenarios!$F$11&gt;0,(Observaciones!$F33*Constantes!$F$29)/1000,0)</f>
        <v>0</v>
      </c>
      <c r="I34" s="76">
        <f>IF(Escenarios!$F$11&gt;0,(D34*Constantes!$F$29)/1000,0)</f>
        <v>0</v>
      </c>
      <c r="J34" s="76">
        <f>IF(Escenarios!$F$11&gt;0,MAX(0,G34+H34-I34),0)</f>
        <v>0</v>
      </c>
      <c r="K34" s="76">
        <f>IF(Escenarios!$F$11&gt;0,IF(J34&gt;Constantes!$F$30,1000*((J34-Constantes!$F$30)/(Escenarios!$F$16*10000)),0),F34)</f>
        <v>0</v>
      </c>
      <c r="L34" s="76">
        <f>IF(Escenarios!$F$11&gt;0,I34*1000/Escenarios!$F$16/10000+E34,E34)</f>
        <v>2.5590762172110133</v>
      </c>
      <c r="M34" s="76">
        <f>MAX(0,N33+Observaciones!$F33-K34-Constantes!$D$13)</f>
        <v>0</v>
      </c>
      <c r="N34" s="76">
        <f>N33+Observaciones!$F33-K34-L34-M34-O33</f>
        <v>33.868553486511153</v>
      </c>
      <c r="O34" s="76">
        <f>MAX(0,(N34-Constantes!$D$14)*(1-EXP(-Constantes!$D$22)))</f>
        <v>0.77047096616030264</v>
      </c>
      <c r="P34" s="170">
        <f>P33+(Entradas!$F$83*M34-Q33)/(800*Entradas!$D$25)</f>
        <v>0</v>
      </c>
      <c r="Q34" s="170">
        <f>8000*Entradas!$D$26*P34/Constantes!$F$45</f>
        <v>0</v>
      </c>
      <c r="R34" s="170">
        <f>IF(Escenarios!$F$14&gt;0,K34*Escenarios!$F$13/Escenarios!$F$14,0)</f>
        <v>0</v>
      </c>
      <c r="S34" s="170">
        <f>IF(Escenarios!$F$14&gt;0,Q34*Escenarios!$F$13/Escenarios!$F$14,0)</f>
        <v>0</v>
      </c>
      <c r="T34" s="170">
        <f>IF(Escenarios!$F$14&gt;0,Observaciones!$I33,0)</f>
        <v>0</v>
      </c>
      <c r="U34" s="170">
        <f>IF(Escenarios!$F$14&gt;0,MAX(0,Constantes!$F$36/((Z33+R34+S34+T34+Observaciones!$F33)^2)+Entradas!$F$77),0)</f>
        <v>0.72602479804108055</v>
      </c>
      <c r="V34" s="146">
        <f>IF(ETo!D33&gt;0,ETo!I33*((1-Entradas!$F$81)*ETo!K33+ETo!L33),0)</f>
        <v>3.988073364236528</v>
      </c>
      <c r="W34" s="170">
        <f>IF(Escenarios!$F$14&gt;0,MIN(V34*1,0.8*(Z33+R34+S34+T34+Observaciones!$F33-U34-Constantes!$F$35)),0)</f>
        <v>3.988073364236528</v>
      </c>
      <c r="X34" s="170">
        <f>IF(Escenarios!$F$14&gt;0,Observaciones!$J33,0)</f>
        <v>0</v>
      </c>
      <c r="Y34" s="170">
        <f>IF(Escenarios!$F$14&gt;0,MAX(0,Z33+R34+S34+T34+Observaciones!$F33-U34-W34-X34-Constantes!$F$33),0)</f>
        <v>0</v>
      </c>
      <c r="Z34" s="170">
        <f>Z33+R34+S34+T34+Observaciones!$F33-U34-W34-Y34</f>
        <v>62.478839886902847</v>
      </c>
      <c r="AA34" s="170">
        <f>IF(Escenarios!$F$14&gt;0,(Escenarios!$F$13*L34+Escenarios!$F$14*W34)/(Escenarios!$F$16),L34)</f>
        <v>2.7305558748540748</v>
      </c>
      <c r="AB34" s="170">
        <f>IF(Escenarios!$F$14&gt;0,(Escenarios!$F$14*Y34)/(Escenarios!$F$16),K34)</f>
        <v>0</v>
      </c>
      <c r="AC34" s="170">
        <f>IF(Escenarios!$F$14&gt;0,(Escenarios!$F$13*M34+Escenarios!$F$14*U34)/(Escenarios!$F$16),M34)</f>
        <v>8.7122975764929667E-2</v>
      </c>
      <c r="AD34" s="76">
        <f t="shared" si="1"/>
        <v>95.127103309197167</v>
      </c>
      <c r="AE34" s="76">
        <f>MAX(0,(AD34-Constantes!$D$13)*(1-EXP(-Constantes!$D$23)))</f>
        <v>0.4569646450709241</v>
      </c>
      <c r="AF34" s="76">
        <f>AB34+O34*Escenarios!$F$13/Escenarios!$F$16+AE34</f>
        <v>1.1349790952919905</v>
      </c>
      <c r="AG34" s="76">
        <f>IF(Entradas!$F$91&gt;0,IF(AF34-Escenarios!$F$38&lt;=0,0,IF(AF34-Escenarios!$F$38&gt;Escenarios!$F$37,Escenarios!$F$37,AF34-Escenarios!$F$38)),0)</f>
        <v>9.8179095291990537E-2</v>
      </c>
      <c r="AH34" s="76">
        <f>AG34*Entradas!$F$99</f>
        <v>0</v>
      </c>
      <c r="AI34" s="76">
        <f>IF(Entradas!$F$91&gt;0,D34*Entradas!$D$23/Escenarios!$F$16,0)</f>
        <v>0.21538335267906866</v>
      </c>
      <c r="AJ34" s="76">
        <f>IF(Entradas!$F$91&gt;0,Entradas!$D$24*Entradas!$D$22/Escenarios!$F$16,0)</f>
        <v>0.12</v>
      </c>
      <c r="AK34" s="76">
        <f t="shared" si="2"/>
        <v>2.9459392275331435</v>
      </c>
      <c r="AL34" s="76">
        <f t="shared" si="3"/>
        <v>0</v>
      </c>
      <c r="AM34" s="76">
        <f t="shared" si="4"/>
        <v>9.8179095291990537E-2</v>
      </c>
      <c r="AN34" s="76">
        <f>MAX(0,O34*Escenarios!$F$13/Escenarios!$F$16-AM34)</f>
        <v>0.57983535492907579</v>
      </c>
      <c r="AO34" s="76">
        <f>AM34+AN34-O34*Escenarios!$F$13/Escenarios!$F$16</f>
        <v>0</v>
      </c>
      <c r="AP34" s="76">
        <f t="shared" si="5"/>
        <v>0.4569646450709241</v>
      </c>
      <c r="AQ34" s="76">
        <f t="shared" si="6"/>
        <v>0</v>
      </c>
      <c r="AR34" s="76">
        <f t="shared" si="7"/>
        <v>1.0367999999999999</v>
      </c>
      <c r="AS34" s="76">
        <f t="shared" si="8"/>
        <v>0</v>
      </c>
      <c r="AT34" s="76">
        <f t="shared" si="9"/>
        <v>8.7122975764929667E-2</v>
      </c>
      <c r="AU34" s="76">
        <f t="shared" si="10"/>
        <v>49.02710389333739</v>
      </c>
      <c r="AV34" s="76">
        <f>MAX(0,(AU34-Constantes!$D$13)*(1-EXP(-Constantes!$D$24)))</f>
        <v>4.2356014724930259E-3</v>
      </c>
      <c r="AW34" s="170">
        <f>AW33+(Entradas!$F$112*AT34-AX33)/(800*Entradas!$D$25)</f>
        <v>0</v>
      </c>
      <c r="AX34" s="170">
        <f>8000*Entradas!$D$26*AW34/Constantes!$F$45</f>
        <v>0</v>
      </c>
      <c r="AY34" s="170">
        <f>IF(Escenarios!$F$17&gt;0,10*Escenarios!$F$16*AL34,0)</f>
        <v>0</v>
      </c>
      <c r="AZ34" s="170">
        <f>IF(Escenarios!$F$17&gt;0,10*Escenarios!$F$16*AX34,0)</f>
        <v>0</v>
      </c>
      <c r="BA34" s="170">
        <f>IF(Escenarios!$F$17&gt;0,0.001*Observaciones!$F33*Escenarios!$F$17,0)</f>
        <v>0</v>
      </c>
      <c r="BB34" s="170">
        <f>IF(Escenarios!$F$17&gt;0,Observaciones!$K33,0)</f>
        <v>0</v>
      </c>
      <c r="BC34" s="170">
        <f>IF(Escenarios!$F$17&gt;0,MIN(0.0005*ETo!$M33*Escenarios!$F$17*(BG33/Constantes!$F$40)^(2/3),BG33+AY34+AZ34+BA34+BB34),0)</f>
        <v>0</v>
      </c>
      <c r="BD34" s="170">
        <f>IF(Escenarios!$F$17&gt;0,MIN(Constantes!$F$39*(BG33/Constantes!$F$40)^(2/3),BG33+AY34+AZ34+BA34+BB34-BC34),0)</f>
        <v>0</v>
      </c>
      <c r="BE34" s="170">
        <f>IF(Escenarios!$F$17&gt;0,MIN(Entradas!$F$113,BG33+AY34+AZ34+BA34+BB34-BC34-BD34),0)</f>
        <v>0</v>
      </c>
      <c r="BF34" s="170">
        <f>IF(Escenarios!$F$17&gt;0,MAX(0,BG33+AY34+AZ34+BA34+BB34-BC34-BD34-BE34-Constantes!$F$40),0)</f>
        <v>0</v>
      </c>
      <c r="BG34" s="170">
        <f t="shared" si="11"/>
        <v>0</v>
      </c>
      <c r="BH34" s="170">
        <f>(Escenarios!$F$16*AK34+0.1*BC34)/(Escenarios!$F$19)</f>
        <v>2.9459392275331435</v>
      </c>
      <c r="BI34" s="170">
        <f>IF(Escenarios!$F$17&gt;0,BF34/10/Escenarios!$F$19,AL34)</f>
        <v>0</v>
      </c>
      <c r="BJ34" s="170">
        <f>(Escenarios!$F$16*AT34+0.1*BD34)/(Escenarios!$F$19)</f>
        <v>8.7122975764929667E-2</v>
      </c>
      <c r="BK34" s="76">
        <f>BK33+(0.1*BD34)/(Escenarios!$F$19)-BL33</f>
        <v>48.75</v>
      </c>
      <c r="BL34" s="76">
        <f>MAX(0,(BK34-Constantes!$D$13)*(1-EXP(-Constantes!$D$23)))</f>
        <v>0</v>
      </c>
      <c r="BM34" s="76">
        <f t="shared" si="12"/>
        <v>0.46120024654341713</v>
      </c>
      <c r="BN34" s="76">
        <f t="shared" si="13"/>
        <v>1.0410356014724931</v>
      </c>
      <c r="BO34" s="76">
        <f>0.0526*BI34*Observaciones!$F33^1.218</f>
        <v>0</v>
      </c>
      <c r="BP34" s="76">
        <f>BO34*Constantes!$F$51</f>
        <v>0</v>
      </c>
      <c r="BQ34" s="76">
        <f t="shared" si="14"/>
        <v>0</v>
      </c>
      <c r="BR34" s="40"/>
    </row>
    <row r="35" spans="2:70">
      <c r="B35" s="39"/>
      <c r="C35" s="75">
        <v>29</v>
      </c>
      <c r="D35" s="146">
        <f>ETo!$I34*((1-Constantes!$F$19)*ETo!$K34+ETo!$L34)</f>
        <v>4.2810101532915699</v>
      </c>
      <c r="E35" s="76">
        <f>MIN(D35*Constantes!$F$17,0.8*(N34+Observaciones!$F34-F35-M35-Constantes!$D$14))</f>
        <v>2.4415104248658861</v>
      </c>
      <c r="F35" s="76">
        <f>IF(Observaciones!$F34&gt;0.05*Constantes!$F$18,((Observaciones!$F34-0.05*Constantes!$F$18)^2)/(Observaciones!$F34+0.95*Constantes!$F$18),0)</f>
        <v>0</v>
      </c>
      <c r="G35" s="76">
        <f>IF(Escenarios!$F$11&gt;0,(F35*Escenarios!$F$16*10000)/1000,0)</f>
        <v>0</v>
      </c>
      <c r="H35" s="76">
        <f>IF(Escenarios!$F$11&gt;0,(Observaciones!$F34*Constantes!$F$29)/1000,0)</f>
        <v>0</v>
      </c>
      <c r="I35" s="76">
        <f>IF(Escenarios!$F$11&gt;0,(D35*Constantes!$F$29)/1000,0)</f>
        <v>0</v>
      </c>
      <c r="J35" s="76">
        <f>IF(Escenarios!$F$11&gt;0,MAX(0,G35+H35-I35),0)</f>
        <v>0</v>
      </c>
      <c r="K35" s="76">
        <f>IF(Escenarios!$F$11&gt;0,IF(J35&gt;Constantes!$F$30,1000*((J35-Constantes!$F$30)/(Escenarios!$F$16*10000)),0),F35)</f>
        <v>0</v>
      </c>
      <c r="L35" s="76">
        <f>IF(Escenarios!$F$11&gt;0,I35*1000/Escenarios!$F$16/10000+E35,E35)</f>
        <v>2.4415104248658861</v>
      </c>
      <c r="M35" s="76">
        <f>MAX(0,N34+Observaciones!$F34-K35-Constantes!$D$13)</f>
        <v>0</v>
      </c>
      <c r="N35" s="76">
        <f>N34+Observaciones!$F34-K35-L35-M35-O34</f>
        <v>32.356572095484964</v>
      </c>
      <c r="O35" s="76">
        <f>MAX(0,(N35-Constantes!$D$14)*(1-EXP(-Constantes!$D$22)))</f>
        <v>0.71896732938463215</v>
      </c>
      <c r="P35" s="170">
        <f>P34+(Entradas!$F$83*M35-Q34)/(800*Entradas!$D$25)</f>
        <v>0</v>
      </c>
      <c r="Q35" s="170">
        <f>8000*Entradas!$D$26*P35/Constantes!$F$45</f>
        <v>0</v>
      </c>
      <c r="R35" s="170">
        <f>IF(Escenarios!$F$14&gt;0,K35*Escenarios!$F$13/Escenarios!$F$14,0)</f>
        <v>0</v>
      </c>
      <c r="S35" s="170">
        <f>IF(Escenarios!$F$14&gt;0,Q35*Escenarios!$F$13/Escenarios!$F$14,0)</f>
        <v>0</v>
      </c>
      <c r="T35" s="170">
        <f>IF(Escenarios!$F$14&gt;0,Observaciones!$I34,0)</f>
        <v>0</v>
      </c>
      <c r="U35" s="170">
        <f>IF(Escenarios!$F$14&gt;0,MAX(0,Constantes!$F$36/((Z34+R35+S35+T35+Observaciones!$F34)^2)+Entradas!$F$77),0)</f>
        <v>0.50741910432463566</v>
      </c>
      <c r="V35" s="146">
        <f>IF(ETo!D34&gt;0,ETo!I34*((1-Entradas!$F$81)*ETo!K34+ETo!L34),0)</f>
        <v>3.8025532098894073</v>
      </c>
      <c r="W35" s="170">
        <f>IF(Escenarios!$F$14&gt;0,MIN(V35*1,0.8*(Z34+R35+S35+T35+Observaciones!$F34-U35-Constantes!$F$35)),0)</f>
        <v>3.8025532098894073</v>
      </c>
      <c r="X35" s="170">
        <f>IF(Escenarios!$F$14&gt;0,Observaciones!$J34,0)</f>
        <v>0</v>
      </c>
      <c r="Y35" s="170">
        <f>IF(Escenarios!$F$14&gt;0,MAX(0,Z34+R35+S35+T35+Observaciones!$F34-U35-W35-X35-Constantes!$F$33),0)</f>
        <v>0</v>
      </c>
      <c r="Z35" s="170">
        <f>Z34+R35+S35+T35+Observaciones!$F34-U35-W35-Y35</f>
        <v>59.868867572688806</v>
      </c>
      <c r="AA35" s="170">
        <f>IF(Escenarios!$F$14&gt;0,(Escenarios!$F$13*L35+Escenarios!$F$14*W35)/(Escenarios!$F$16),L35)</f>
        <v>2.6048355590687082</v>
      </c>
      <c r="AB35" s="170">
        <f>IF(Escenarios!$F$14&gt;0,(Escenarios!$F$14*Y35)/(Escenarios!$F$16),K35)</f>
        <v>0</v>
      </c>
      <c r="AC35" s="170">
        <f>IF(Escenarios!$F$14&gt;0,(Escenarios!$F$13*M35+Escenarios!$F$14*U35)/(Escenarios!$F$16),M35)</f>
        <v>6.0890292518956279E-2</v>
      </c>
      <c r="AD35" s="76">
        <f t="shared" si="1"/>
        <v>94.731028956645204</v>
      </c>
      <c r="AE35" s="76">
        <f>MAX(0,(AD35-Constantes!$D$13)*(1-EXP(-Constantes!$D$23)))</f>
        <v>0.45306203013766866</v>
      </c>
      <c r="AF35" s="76">
        <f>AB35+O35*Escenarios!$F$13/Escenarios!$F$16+AE35</f>
        <v>1.0857532799961449</v>
      </c>
      <c r="AG35" s="76">
        <f>IF(Entradas!$F$91&gt;0,IF(AF35-Escenarios!$F$38&lt;=0,0,IF(AF35-Escenarios!$F$38&gt;Escenarios!$F$37,Escenarios!$F$37,AF35-Escenarios!$F$38)),0)</f>
        <v>4.8953279996144961E-2</v>
      </c>
      <c r="AH35" s="76">
        <f>AG35*Entradas!$F$99</f>
        <v>0</v>
      </c>
      <c r="AI35" s="76">
        <f>IF(Entradas!$F$91&gt;0,D35*Entradas!$D$23/Escenarios!$F$16,0)</f>
        <v>0.20548848735799535</v>
      </c>
      <c r="AJ35" s="76">
        <f>IF(Entradas!$F$91&gt;0,Entradas!$D$24*Entradas!$D$22/Escenarios!$F$16,0)</f>
        <v>0.12</v>
      </c>
      <c r="AK35" s="76">
        <f t="shared" si="2"/>
        <v>2.8103240464267034</v>
      </c>
      <c r="AL35" s="76">
        <f t="shared" si="3"/>
        <v>0</v>
      </c>
      <c r="AM35" s="76">
        <f t="shared" si="4"/>
        <v>4.8953279996144961E-2</v>
      </c>
      <c r="AN35" s="76">
        <f>MAX(0,O35*Escenarios!$F$13/Escenarios!$F$16-AM35)</f>
        <v>0.5837379698623314</v>
      </c>
      <c r="AO35" s="76">
        <f>AM35+AN35-O35*Escenarios!$F$13/Escenarios!$F$16</f>
        <v>0</v>
      </c>
      <c r="AP35" s="76">
        <f t="shared" si="5"/>
        <v>0.45306203013766866</v>
      </c>
      <c r="AQ35" s="76">
        <f t="shared" si="6"/>
        <v>0</v>
      </c>
      <c r="AR35" s="76">
        <f t="shared" si="7"/>
        <v>1.0367999999999999</v>
      </c>
      <c r="AS35" s="76">
        <f t="shared" si="8"/>
        <v>0</v>
      </c>
      <c r="AT35" s="76">
        <f t="shared" si="9"/>
        <v>6.0890292518956279E-2</v>
      </c>
      <c r="AU35" s="76">
        <f t="shared" si="10"/>
        <v>49.022868291864896</v>
      </c>
      <c r="AV35" s="76">
        <f>MAX(0,(AU35-Constantes!$D$13)*(1-EXP(-Constantes!$D$24)))</f>
        <v>4.1708592575146605E-3</v>
      </c>
      <c r="AW35" s="170">
        <f>AW34+(Entradas!$F$112*AT35-AX34)/(800*Entradas!$D$25)</f>
        <v>0</v>
      </c>
      <c r="AX35" s="170">
        <f>8000*Entradas!$D$26*AW35/Constantes!$F$45</f>
        <v>0</v>
      </c>
      <c r="AY35" s="170">
        <f>IF(Escenarios!$F$17&gt;0,10*Escenarios!$F$16*AL35,0)</f>
        <v>0</v>
      </c>
      <c r="AZ35" s="170">
        <f>IF(Escenarios!$F$17&gt;0,10*Escenarios!$F$16*AX35,0)</f>
        <v>0</v>
      </c>
      <c r="BA35" s="170">
        <f>IF(Escenarios!$F$17&gt;0,0.001*Observaciones!$F34*Escenarios!$F$17,0)</f>
        <v>0</v>
      </c>
      <c r="BB35" s="170">
        <f>IF(Escenarios!$F$17&gt;0,Observaciones!$K34,0)</f>
        <v>0</v>
      </c>
      <c r="BC35" s="170">
        <f>IF(Escenarios!$F$17&gt;0,MIN(0.0005*ETo!$M34*Escenarios!$F$17*(BG34/Constantes!$F$40)^(2/3),BG34+AY35+AZ35+BA35+BB35),0)</f>
        <v>0</v>
      </c>
      <c r="BD35" s="170">
        <f>IF(Escenarios!$F$17&gt;0,MIN(Constantes!$F$39*(BG34/Constantes!$F$40)^(2/3),BG34+AY35+AZ35+BA35+BB35-BC35),0)</f>
        <v>0</v>
      </c>
      <c r="BE35" s="170">
        <f>IF(Escenarios!$F$17&gt;0,MIN(Entradas!$F$113,BG34+AY35+AZ35+BA35+BB35-BC35-BD35),0)</f>
        <v>0</v>
      </c>
      <c r="BF35" s="170">
        <f>IF(Escenarios!$F$17&gt;0,MAX(0,BG34+AY35+AZ35+BA35+BB35-BC35-BD35-BE35-Constantes!$F$40),0)</f>
        <v>0</v>
      </c>
      <c r="BG35" s="170">
        <f t="shared" si="11"/>
        <v>0</v>
      </c>
      <c r="BH35" s="170">
        <f>(Escenarios!$F$16*AK35+0.1*BC35)/(Escenarios!$F$19)</f>
        <v>2.8103240464267034</v>
      </c>
      <c r="BI35" s="170">
        <f>IF(Escenarios!$F$17&gt;0,BF35/10/Escenarios!$F$19,AL35)</f>
        <v>0</v>
      </c>
      <c r="BJ35" s="170">
        <f>(Escenarios!$F$16*AT35+0.1*BD35)/(Escenarios!$F$19)</f>
        <v>6.0890292518956279E-2</v>
      </c>
      <c r="BK35" s="76">
        <f>BK34+(0.1*BD35)/(Escenarios!$F$19)-BL34</f>
        <v>48.75</v>
      </c>
      <c r="BL35" s="76">
        <f>MAX(0,(BK35-Constantes!$D$13)*(1-EXP(-Constantes!$D$23)))</f>
        <v>0</v>
      </c>
      <c r="BM35" s="76">
        <f t="shared" si="12"/>
        <v>0.45723288939518331</v>
      </c>
      <c r="BN35" s="76">
        <f t="shared" si="13"/>
        <v>1.0409708592575146</v>
      </c>
      <c r="BO35" s="76">
        <f>0.0526*BI35*Observaciones!$F34^1.218</f>
        <v>0</v>
      </c>
      <c r="BP35" s="76">
        <f>BO35*Constantes!$F$51</f>
        <v>0</v>
      </c>
      <c r="BQ35" s="76">
        <f t="shared" si="14"/>
        <v>0</v>
      </c>
      <c r="BR35" s="40"/>
    </row>
    <row r="36" spans="2:70">
      <c r="B36" s="39"/>
      <c r="C36" s="75">
        <v>30</v>
      </c>
      <c r="D36" s="146">
        <f>ETo!$I35*((1-Constantes!$F$19)*ETo!$K35+ETo!$L35)</f>
        <v>4.4652113482307687</v>
      </c>
      <c r="E36" s="76">
        <f>MIN(D36*Constantes!$F$17,0.8*(N35+Observaciones!$F35-F36-M36-Constantes!$D$14))</f>
        <v>2.5465625321053471</v>
      </c>
      <c r="F36" s="76">
        <f>IF(Observaciones!$F35&gt;0.05*Constantes!$F$18,((Observaciones!$F35-0.05*Constantes!$F$18)^2)/(Observaciones!$F35+0.95*Constantes!$F$18),0)</f>
        <v>0</v>
      </c>
      <c r="G36" s="76">
        <f>IF(Escenarios!$F$11&gt;0,(F36*Escenarios!$F$16*10000)/1000,0)</f>
        <v>0</v>
      </c>
      <c r="H36" s="76">
        <f>IF(Escenarios!$F$11&gt;0,(Observaciones!$F35*Constantes!$F$29)/1000,0)</f>
        <v>0</v>
      </c>
      <c r="I36" s="76">
        <f>IF(Escenarios!$F$11&gt;0,(D36*Constantes!$F$29)/1000,0)</f>
        <v>0</v>
      </c>
      <c r="J36" s="76">
        <f>IF(Escenarios!$F$11&gt;0,MAX(0,G36+H36-I36),0)</f>
        <v>0</v>
      </c>
      <c r="K36" s="76">
        <f>IF(Escenarios!$F$11&gt;0,IF(J36&gt;Constantes!$F$30,1000*((J36-Constantes!$F$30)/(Escenarios!$F$16*10000)),0),F36)</f>
        <v>0</v>
      </c>
      <c r="L36" s="76">
        <f>IF(Escenarios!$F$11&gt;0,I36*1000/Escenarios!$F$16/10000+E36,E36)</f>
        <v>2.5465625321053471</v>
      </c>
      <c r="M36" s="76">
        <f>MAX(0,N35+Observaciones!$F35-K36-Constantes!$D$13)</f>
        <v>0</v>
      </c>
      <c r="N36" s="76">
        <f>N35+Observaciones!$F35-K36-L36-M36-O35</f>
        <v>34.291042233994986</v>
      </c>
      <c r="O36" s="76">
        <f>MAX(0,(N36-Constantes!$D$14)*(1-EXP(-Constantes!$D$22)))</f>
        <v>0.78486248388754598</v>
      </c>
      <c r="P36" s="170">
        <f>P35+(Entradas!$F$83*M36-Q35)/(800*Entradas!$D$25)</f>
        <v>0</v>
      </c>
      <c r="Q36" s="170">
        <f>8000*Entradas!$D$26*P36/Constantes!$F$45</f>
        <v>0</v>
      </c>
      <c r="R36" s="170">
        <f>IF(Escenarios!$F$14&gt;0,K36*Escenarios!$F$13/Escenarios!$F$14,0)</f>
        <v>0</v>
      </c>
      <c r="S36" s="170">
        <f>IF(Escenarios!$F$14&gt;0,Q36*Escenarios!$F$13/Escenarios!$F$14,0)</f>
        <v>0</v>
      </c>
      <c r="T36" s="170">
        <f>IF(Escenarios!$F$14&gt;0,Observaciones!$I35,0)</f>
        <v>0</v>
      </c>
      <c r="U36" s="170">
        <f>IF(Escenarios!$F$14&gt;0,MAX(0,Constantes!$F$36/((Z35+R36+S36+T36+Observaciones!$F35)^2)+Entradas!$F$77),0)</f>
        <v>0.57514100364423548</v>
      </c>
      <c r="V36" s="146">
        <f>IF(ETo!D35&gt;0,ETo!I35*((1-Entradas!$F$81)*ETo!K35+ETo!L35),0)</f>
        <v>3.9682255918309188</v>
      </c>
      <c r="W36" s="170">
        <f>IF(Escenarios!$F$14&gt;0,MIN(V36*1,0.8*(Z35+R36+S36+T36+Observaciones!$F35-U36-Constantes!$F$35)),0)</f>
        <v>3.9682255918309188</v>
      </c>
      <c r="X36" s="170">
        <f>IF(Escenarios!$F$14&gt;0,Observaciones!$J35,0)</f>
        <v>0</v>
      </c>
      <c r="Y36" s="170">
        <f>IF(Escenarios!$F$14&gt;0,MAX(0,Z35+R36+S36+T36+Observaciones!$F35-U36-W36-X36-Constantes!$F$33),0)</f>
        <v>0</v>
      </c>
      <c r="Z36" s="170">
        <f>Z35+R36+S36+T36+Observaciones!$F35-U36-W36-Y36</f>
        <v>60.525500977213653</v>
      </c>
      <c r="AA36" s="170">
        <f>IF(Escenarios!$F$14&gt;0,(Escenarios!$F$13*L36+Escenarios!$F$14*W36)/(Escenarios!$F$16),L36)</f>
        <v>2.7171620992724161</v>
      </c>
      <c r="AB36" s="170">
        <f>IF(Escenarios!$F$14&gt;0,(Escenarios!$F$14*Y36)/(Escenarios!$F$16),K36)</f>
        <v>0</v>
      </c>
      <c r="AC36" s="170">
        <f>IF(Escenarios!$F$14&gt;0,(Escenarios!$F$13*M36+Escenarios!$F$14*U36)/(Escenarios!$F$16),M36)</f>
        <v>6.9016920437308255E-2</v>
      </c>
      <c r="AD36" s="76">
        <f t="shared" si="1"/>
        <v>94.346983846944838</v>
      </c>
      <c r="AE36" s="76">
        <f>MAX(0,(AD36-Constantes!$D$13)*(1-EXP(-Constantes!$D$23)))</f>
        <v>0.44927794219937239</v>
      </c>
      <c r="AF36" s="76">
        <f>AB36+O36*Escenarios!$F$13/Escenarios!$F$16+AE36</f>
        <v>1.1399569280204129</v>
      </c>
      <c r="AG36" s="76">
        <f>IF(Entradas!$F$91&gt;0,IF(AF36-Escenarios!$F$38&lt;=0,0,IF(AF36-Escenarios!$F$38&gt;Escenarios!$F$37,Escenarios!$F$37,AF36-Escenarios!$F$38)),0)</f>
        <v>0.10315692802041299</v>
      </c>
      <c r="AH36" s="76">
        <f>AG36*Entradas!$F$99</f>
        <v>0</v>
      </c>
      <c r="AI36" s="76">
        <f>IF(Entradas!$F$91&gt;0,D36*Entradas!$D$23/Escenarios!$F$16,0)</f>
        <v>0.21433014471507689</v>
      </c>
      <c r="AJ36" s="76">
        <f>IF(Entradas!$F$91&gt;0,Entradas!$D$24*Entradas!$D$22/Escenarios!$F$16,0)</f>
        <v>0.12</v>
      </c>
      <c r="AK36" s="76">
        <f t="shared" si="2"/>
        <v>2.9314922439874929</v>
      </c>
      <c r="AL36" s="76">
        <f t="shared" si="3"/>
        <v>0</v>
      </c>
      <c r="AM36" s="76">
        <f t="shared" si="4"/>
        <v>0.10315692802041299</v>
      </c>
      <c r="AN36" s="76">
        <f>MAX(0,O36*Escenarios!$F$13/Escenarios!$F$16-AM36)</f>
        <v>0.5875220578006275</v>
      </c>
      <c r="AO36" s="76">
        <f>AM36+AN36-O36*Escenarios!$F$13/Escenarios!$F$16</f>
        <v>0</v>
      </c>
      <c r="AP36" s="76">
        <f t="shared" si="5"/>
        <v>0.44927794219937239</v>
      </c>
      <c r="AQ36" s="76">
        <f t="shared" si="6"/>
        <v>0</v>
      </c>
      <c r="AR36" s="76">
        <f t="shared" si="7"/>
        <v>1.0367999999999999</v>
      </c>
      <c r="AS36" s="76">
        <f t="shared" si="8"/>
        <v>0</v>
      </c>
      <c r="AT36" s="76">
        <f t="shared" si="9"/>
        <v>6.9016920437308255E-2</v>
      </c>
      <c r="AU36" s="76">
        <f t="shared" si="10"/>
        <v>49.018697432607382</v>
      </c>
      <c r="AV36" s="76">
        <f>MAX(0,(AU36-Constantes!$D$13)*(1-EXP(-Constantes!$D$24)))</f>
        <v>4.1071066432878545E-3</v>
      </c>
      <c r="AW36" s="170">
        <f>AW35+(Entradas!$F$112*AT36-AX35)/(800*Entradas!$D$25)</f>
        <v>0</v>
      </c>
      <c r="AX36" s="170">
        <f>8000*Entradas!$D$26*AW36/Constantes!$F$45</f>
        <v>0</v>
      </c>
      <c r="AY36" s="170">
        <f>IF(Escenarios!$F$17&gt;0,10*Escenarios!$F$16*AL36,0)</f>
        <v>0</v>
      </c>
      <c r="AZ36" s="170">
        <f>IF(Escenarios!$F$17&gt;0,10*Escenarios!$F$16*AX36,0)</f>
        <v>0</v>
      </c>
      <c r="BA36" s="170">
        <f>IF(Escenarios!$F$17&gt;0,0.001*Observaciones!$F35*Escenarios!$F$17,0)</f>
        <v>0</v>
      </c>
      <c r="BB36" s="170">
        <f>IF(Escenarios!$F$17&gt;0,Observaciones!$K35,0)</f>
        <v>0</v>
      </c>
      <c r="BC36" s="170">
        <f>IF(Escenarios!$F$17&gt;0,MIN(0.0005*ETo!$M35*Escenarios!$F$17*(BG35/Constantes!$F$40)^(2/3),BG35+AY36+AZ36+BA36+BB36),0)</f>
        <v>0</v>
      </c>
      <c r="BD36" s="170">
        <f>IF(Escenarios!$F$17&gt;0,MIN(Constantes!$F$39*(BG35/Constantes!$F$40)^(2/3),BG35+AY36+AZ36+BA36+BB36-BC36),0)</f>
        <v>0</v>
      </c>
      <c r="BE36" s="170">
        <f>IF(Escenarios!$F$17&gt;0,MIN(Entradas!$F$113,BG35+AY36+AZ36+BA36+BB36-BC36-BD36),0)</f>
        <v>0</v>
      </c>
      <c r="BF36" s="170">
        <f>IF(Escenarios!$F$17&gt;0,MAX(0,BG35+AY36+AZ36+BA36+BB36-BC36-BD36-BE36-Constantes!$F$40),0)</f>
        <v>0</v>
      </c>
      <c r="BG36" s="170">
        <f t="shared" si="11"/>
        <v>0</v>
      </c>
      <c r="BH36" s="170">
        <f>(Escenarios!$F$16*AK36+0.1*BC36)/(Escenarios!$F$19)</f>
        <v>2.9314922439874929</v>
      </c>
      <c r="BI36" s="170">
        <f>IF(Escenarios!$F$17&gt;0,BF36/10/Escenarios!$F$19,AL36)</f>
        <v>0</v>
      </c>
      <c r="BJ36" s="170">
        <f>(Escenarios!$F$16*AT36+0.1*BD36)/(Escenarios!$F$19)</f>
        <v>6.9016920437308255E-2</v>
      </c>
      <c r="BK36" s="76">
        <f>BK35+(0.1*BD36)/(Escenarios!$F$19)-BL35</f>
        <v>48.75</v>
      </c>
      <c r="BL36" s="76">
        <f>MAX(0,(BK36-Constantes!$D$13)*(1-EXP(-Constantes!$D$23)))</f>
        <v>0</v>
      </c>
      <c r="BM36" s="76">
        <f t="shared" si="12"/>
        <v>0.45338504884266023</v>
      </c>
      <c r="BN36" s="76">
        <f t="shared" si="13"/>
        <v>1.0409071066432878</v>
      </c>
      <c r="BO36" s="76">
        <f>0.0526*BI36*Observaciones!$F35^1.218</f>
        <v>0</v>
      </c>
      <c r="BP36" s="76">
        <f>BO36*Constantes!$F$51</f>
        <v>0</v>
      </c>
      <c r="BQ36" s="76">
        <f t="shared" si="14"/>
        <v>0</v>
      </c>
      <c r="BR36" s="40"/>
    </row>
    <row r="37" spans="2:70">
      <c r="B37" s="39"/>
      <c r="C37" s="75">
        <v>31</v>
      </c>
      <c r="D37" s="146">
        <f>ETo!$I36*((1-Constantes!$F$19)*ETo!$K36+ETo!$L36)</f>
        <v>4.4215638767537548</v>
      </c>
      <c r="E37" s="76">
        <f>MIN(D37*Constantes!$F$17,0.8*(N36+Observaciones!$F36-F37-M37-Constantes!$D$14))</f>
        <v>2.5216698659321004</v>
      </c>
      <c r="F37" s="76">
        <f>IF(Observaciones!$F36&gt;0.05*Constantes!$F$18,((Observaciones!$F36-0.05*Constantes!$F$18)^2)/(Observaciones!$F36+0.95*Constantes!$F$18),0)</f>
        <v>0</v>
      </c>
      <c r="G37" s="76">
        <f>IF(Escenarios!$F$11&gt;0,(F37*Escenarios!$F$16*10000)/1000,0)</f>
        <v>0</v>
      </c>
      <c r="H37" s="76">
        <f>IF(Escenarios!$F$11&gt;0,(Observaciones!$F36*Constantes!$F$29)/1000,0)</f>
        <v>0</v>
      </c>
      <c r="I37" s="76">
        <f>IF(Escenarios!$F$11&gt;0,(D37*Constantes!$F$29)/1000,0)</f>
        <v>0</v>
      </c>
      <c r="J37" s="76">
        <f>IF(Escenarios!$F$11&gt;0,MAX(0,G37+H37-I37),0)</f>
        <v>0</v>
      </c>
      <c r="K37" s="76">
        <f>IF(Escenarios!$F$11&gt;0,IF(J37&gt;Constantes!$F$30,1000*((J37-Constantes!$F$30)/(Escenarios!$F$16*10000)),0),F37)</f>
        <v>0</v>
      </c>
      <c r="L37" s="76">
        <f>IF(Escenarios!$F$11&gt;0,I37*1000/Escenarios!$F$16/10000+E37,E37)</f>
        <v>2.5216698659321004</v>
      </c>
      <c r="M37" s="76">
        <f>MAX(0,N36+Observaciones!$F36-K37-Constantes!$D$13)</f>
        <v>0</v>
      </c>
      <c r="N37" s="76">
        <f>N36+Observaciones!$F36-K37-L37-M37-O36</f>
        <v>34.08450988417534</v>
      </c>
      <c r="O37" s="76">
        <f>MAX(0,(N37-Constantes!$D$14)*(1-EXP(-Constantes!$D$22)))</f>
        <v>0.77782723385691077</v>
      </c>
      <c r="P37" s="170">
        <f>P36+(Entradas!$F$83*M37-Q36)/(800*Entradas!$D$25)</f>
        <v>0</v>
      </c>
      <c r="Q37" s="170">
        <f>8000*Entradas!$D$26*P37/Constantes!$F$45</f>
        <v>0</v>
      </c>
      <c r="R37" s="170">
        <f>IF(Escenarios!$F$14&gt;0,K37*Escenarios!$F$13/Escenarios!$F$14,0)</f>
        <v>0</v>
      </c>
      <c r="S37" s="170">
        <f>IF(Escenarios!$F$14&gt;0,Q37*Escenarios!$F$13/Escenarios!$F$14,0)</f>
        <v>0</v>
      </c>
      <c r="T37" s="170">
        <f>IF(Escenarios!$F$14&gt;0,Observaciones!$I36,0)</f>
        <v>0</v>
      </c>
      <c r="U37" s="170">
        <f>IF(Escenarios!$F$14&gt;0,MAX(0,Constantes!$F$36/((Z36+R37+S37+T37+Observaciones!$F36)^2)+Entradas!$F$77),0)</f>
        <v>0.46387557297898052</v>
      </c>
      <c r="V37" s="146">
        <f>IF(ETo!D36&gt;0,ETo!I36*((1-Entradas!$F$81)*ETo!K36+ETo!L36),0)</f>
        <v>3.9288501390092119</v>
      </c>
      <c r="W37" s="170">
        <f>IF(Escenarios!$F$14&gt;0,MIN(V37*1,0.8*(Z36+R37+S37+T37+Observaciones!$F36-U37-Constantes!$F$35)),0)</f>
        <v>3.9288501390092119</v>
      </c>
      <c r="X37" s="170">
        <f>IF(Escenarios!$F$14&gt;0,Observaciones!$J36,0)</f>
        <v>0</v>
      </c>
      <c r="Y37" s="170">
        <f>IF(Escenarios!$F$14&gt;0,MAX(0,Z36+R37+S37+T37+Observaciones!$F36-U37-W37-X37-Constantes!$F$33),0)</f>
        <v>0</v>
      </c>
      <c r="Z37" s="170">
        <f>Z36+R37+S37+T37+Observaciones!$F36-U37-W37-Y37</f>
        <v>59.232775265225463</v>
      </c>
      <c r="AA37" s="170">
        <f>IF(Escenarios!$F$14&gt;0,(Escenarios!$F$13*L37+Escenarios!$F$14*W37)/(Escenarios!$F$16),L37)</f>
        <v>2.690531498701354</v>
      </c>
      <c r="AB37" s="170">
        <f>IF(Escenarios!$F$14&gt;0,(Escenarios!$F$14*Y37)/(Escenarios!$F$16),K37)</f>
        <v>0</v>
      </c>
      <c r="AC37" s="170">
        <f>IF(Escenarios!$F$14&gt;0,(Escenarios!$F$13*M37+Escenarios!$F$14*U37)/(Escenarios!$F$16),M37)</f>
        <v>5.5665068757477662E-2</v>
      </c>
      <c r="AD37" s="76">
        <f t="shared" si="1"/>
        <v>93.953370973502942</v>
      </c>
      <c r="AE37" s="76">
        <f>MAX(0,(AD37-Constantes!$D$13)*(1-EXP(-Constantes!$D$23)))</f>
        <v>0.44539958080606712</v>
      </c>
      <c r="AF37" s="76">
        <f>AB37+O37*Escenarios!$F$13/Escenarios!$F$16+AE37</f>
        <v>1.1298875466001486</v>
      </c>
      <c r="AG37" s="76">
        <f>IF(Entradas!$F$91&gt;0,IF(AF37-Escenarios!$F$38&lt;=0,0,IF(AF37-Escenarios!$F$38&gt;Escenarios!$F$37,Escenarios!$F$37,AF37-Escenarios!$F$38)),0)</f>
        <v>9.3087546600148618E-2</v>
      </c>
      <c r="AH37" s="76">
        <f>AG37*Entradas!$F$99</f>
        <v>0</v>
      </c>
      <c r="AI37" s="76">
        <f>IF(Entradas!$F$91&gt;0,D37*Entradas!$D$23/Escenarios!$F$16,0)</f>
        <v>0.21223506608418025</v>
      </c>
      <c r="AJ37" s="76">
        <f>IF(Entradas!$F$91&gt;0,Entradas!$D$24*Entradas!$D$22/Escenarios!$F$16,0)</f>
        <v>0.12</v>
      </c>
      <c r="AK37" s="76">
        <f t="shared" si="2"/>
        <v>2.9027665647855341</v>
      </c>
      <c r="AL37" s="76">
        <f t="shared" si="3"/>
        <v>0</v>
      </c>
      <c r="AM37" s="76">
        <f t="shared" si="4"/>
        <v>9.3087546600148618E-2</v>
      </c>
      <c r="AN37" s="76">
        <f>MAX(0,O37*Escenarios!$F$13/Escenarios!$F$16-AM37)</f>
        <v>0.59140041919393282</v>
      </c>
      <c r="AO37" s="76">
        <f>AM37+AN37-O37*Escenarios!$F$13/Escenarios!$F$16</f>
        <v>0</v>
      </c>
      <c r="AP37" s="76">
        <f t="shared" si="5"/>
        <v>0.44539958080606712</v>
      </c>
      <c r="AQ37" s="76">
        <f t="shared" si="6"/>
        <v>0</v>
      </c>
      <c r="AR37" s="76">
        <f t="shared" si="7"/>
        <v>1.0367999999999999</v>
      </c>
      <c r="AS37" s="76">
        <f t="shared" si="8"/>
        <v>0</v>
      </c>
      <c r="AT37" s="76">
        <f t="shared" si="9"/>
        <v>5.5665068757477662E-2</v>
      </c>
      <c r="AU37" s="76">
        <f t="shared" si="10"/>
        <v>49.014590325964093</v>
      </c>
      <c r="AV37" s="76">
        <f>MAX(0,(AU37-Constantes!$D$13)*(1-EXP(-Constantes!$D$24)))</f>
        <v>4.0443285035205402E-3</v>
      </c>
      <c r="AW37" s="170">
        <f>AW36+(Entradas!$F$112*AT37-AX36)/(800*Entradas!$D$25)</f>
        <v>0</v>
      </c>
      <c r="AX37" s="170">
        <f>8000*Entradas!$D$26*AW37/Constantes!$F$45</f>
        <v>0</v>
      </c>
      <c r="AY37" s="170">
        <f>IF(Escenarios!$F$17&gt;0,10*Escenarios!$F$16*AL37,0)</f>
        <v>0</v>
      </c>
      <c r="AZ37" s="170">
        <f>IF(Escenarios!$F$17&gt;0,10*Escenarios!$F$16*AX37,0)</f>
        <v>0</v>
      </c>
      <c r="BA37" s="170">
        <f>IF(Escenarios!$F$17&gt;0,0.001*Observaciones!$F36*Escenarios!$F$17,0)</f>
        <v>0</v>
      </c>
      <c r="BB37" s="170">
        <f>IF(Escenarios!$F$17&gt;0,Observaciones!$K36,0)</f>
        <v>0</v>
      </c>
      <c r="BC37" s="170">
        <f>IF(Escenarios!$F$17&gt;0,MIN(0.0005*ETo!$M36*Escenarios!$F$17*(BG36/Constantes!$F$40)^(2/3),BG36+AY37+AZ37+BA37+BB37),0)</f>
        <v>0</v>
      </c>
      <c r="BD37" s="170">
        <f>IF(Escenarios!$F$17&gt;0,MIN(Constantes!$F$39*(BG36/Constantes!$F$40)^(2/3),BG36+AY37+AZ37+BA37+BB37-BC37),0)</f>
        <v>0</v>
      </c>
      <c r="BE37" s="170">
        <f>IF(Escenarios!$F$17&gt;0,MIN(Entradas!$F$113,BG36+AY37+AZ37+BA37+BB37-BC37-BD37),0)</f>
        <v>0</v>
      </c>
      <c r="BF37" s="170">
        <f>IF(Escenarios!$F$17&gt;0,MAX(0,BG36+AY37+AZ37+BA37+BB37-BC37-BD37-BE37-Constantes!$F$40),0)</f>
        <v>0</v>
      </c>
      <c r="BG37" s="170">
        <f t="shared" si="11"/>
        <v>0</v>
      </c>
      <c r="BH37" s="170">
        <f>(Escenarios!$F$16*AK37+0.1*BC37)/(Escenarios!$F$19)</f>
        <v>2.9027665647855341</v>
      </c>
      <c r="BI37" s="170">
        <f>IF(Escenarios!$F$17&gt;0,BF37/10/Escenarios!$F$19,AL37)</f>
        <v>0</v>
      </c>
      <c r="BJ37" s="170">
        <f>(Escenarios!$F$16*AT37+0.1*BD37)/(Escenarios!$F$19)</f>
        <v>5.5665068757477662E-2</v>
      </c>
      <c r="BK37" s="76">
        <f>BK36+(0.1*BD37)/(Escenarios!$F$19)-BL36</f>
        <v>48.75</v>
      </c>
      <c r="BL37" s="76">
        <f>MAX(0,(BK37-Constantes!$D$13)*(1-EXP(-Constantes!$D$23)))</f>
        <v>0</v>
      </c>
      <c r="BM37" s="76">
        <f t="shared" si="12"/>
        <v>0.44944390930958766</v>
      </c>
      <c r="BN37" s="76">
        <f t="shared" si="13"/>
        <v>1.0408443285035205</v>
      </c>
      <c r="BO37" s="76">
        <f>0.0526*BI37*Observaciones!$F36^1.218</f>
        <v>0</v>
      </c>
      <c r="BP37" s="76">
        <f>BO37*Constantes!$F$51</f>
        <v>0</v>
      </c>
      <c r="BQ37" s="76">
        <f t="shared" si="14"/>
        <v>0</v>
      </c>
      <c r="BR37" s="40"/>
    </row>
    <row r="38" spans="2:70">
      <c r="B38" s="39"/>
      <c r="C38" s="75">
        <v>32</v>
      </c>
      <c r="D38" s="146">
        <f>ETo!$I37*((1-Constantes!$F$19)*ETo!$K37+ETo!$L37)</f>
        <v>4.4983580892341806</v>
      </c>
      <c r="E38" s="76">
        <f>MIN(D38*Constantes!$F$17,0.8*(N37+Observaciones!$F37-F38-M38-Constantes!$D$14))</f>
        <v>2.5654665082260144</v>
      </c>
      <c r="F38" s="76">
        <f>IF(Observaciones!$F37&gt;0.05*Constantes!$F$18,((Observaciones!$F37-0.05*Constantes!$F$18)^2)/(Observaciones!$F37+0.95*Constantes!$F$18),0)</f>
        <v>0</v>
      </c>
      <c r="G38" s="76">
        <f>IF(Escenarios!$F$11&gt;0,(F38*Escenarios!$F$16*10000)/1000,0)</f>
        <v>0</v>
      </c>
      <c r="H38" s="76">
        <f>IF(Escenarios!$F$11&gt;0,(Observaciones!$F37*Constantes!$F$29)/1000,0)</f>
        <v>0</v>
      </c>
      <c r="I38" s="76">
        <f>IF(Escenarios!$F$11&gt;0,(D38*Constantes!$F$29)/1000,0)</f>
        <v>0</v>
      </c>
      <c r="J38" s="76">
        <f>IF(Escenarios!$F$11&gt;0,MAX(0,G38+H38-I38),0)</f>
        <v>0</v>
      </c>
      <c r="K38" s="76">
        <f>IF(Escenarios!$F$11&gt;0,IF(J38&gt;Constantes!$F$30,1000*((J38-Constantes!$F$30)/(Escenarios!$F$16*10000)),0),F38)</f>
        <v>0</v>
      </c>
      <c r="L38" s="76">
        <f>IF(Escenarios!$F$11&gt;0,I38*1000/Escenarios!$F$16/10000+E38,E38)</f>
        <v>2.5654665082260144</v>
      </c>
      <c r="M38" s="76">
        <f>MAX(0,N37+Observaciones!$F37-K38-Constantes!$D$13)</f>
        <v>0</v>
      </c>
      <c r="N38" s="76">
        <f>N37+Observaciones!$F37-K38-L38-M38-O37</f>
        <v>32.141216142092411</v>
      </c>
      <c r="O38" s="76">
        <f>MAX(0,(N38-Constantes!$D$14)*(1-EXP(-Constantes!$D$22)))</f>
        <v>0.71163151502419197</v>
      </c>
      <c r="P38" s="170">
        <f>P37+(Entradas!$F$83*M38-Q37)/(800*Entradas!$D$25)</f>
        <v>0</v>
      </c>
      <c r="Q38" s="170">
        <f>8000*Entradas!$D$26*P38/Constantes!$F$45</f>
        <v>0</v>
      </c>
      <c r="R38" s="170">
        <f>IF(Escenarios!$F$14&gt;0,K38*Escenarios!$F$13/Escenarios!$F$14,0)</f>
        <v>0</v>
      </c>
      <c r="S38" s="170">
        <f>IF(Escenarios!$F$14&gt;0,Q38*Escenarios!$F$13/Escenarios!$F$14,0)</f>
        <v>0</v>
      </c>
      <c r="T38" s="170">
        <f>IF(Escenarios!$F$14&gt;0,Observaciones!$I37,0)</f>
        <v>0</v>
      </c>
      <c r="U38" s="170">
        <f>IF(Escenarios!$F$14&gt;0,MAX(0,Constantes!$F$36/((Z37+R38+S38+T38+Observaciones!$F37)^2)+Entradas!$F$77),0)</f>
        <v>0.20733981894853226</v>
      </c>
      <c r="V38" s="146">
        <f>IF(ETo!D37&gt;0,ETo!I37*((1-Entradas!$F$81)*ETo!K37+ETo!L37),0)</f>
        <v>3.9980823873215012</v>
      </c>
      <c r="W38" s="170">
        <f>IF(Escenarios!$F$14&gt;0,MIN(V38*1,0.8*(Z37+R38+S38+T38+Observaciones!$F37-U38-Constantes!$F$35)),0)</f>
        <v>3.9980823873215012</v>
      </c>
      <c r="X38" s="170">
        <f>IF(Escenarios!$F$14&gt;0,Observaciones!$J37,0)</f>
        <v>0</v>
      </c>
      <c r="Y38" s="170">
        <f>IF(Escenarios!$F$14&gt;0,MAX(0,Z37+R38+S38+T38+Observaciones!$F37-U38-W38-X38-Constantes!$F$33),0)</f>
        <v>0</v>
      </c>
      <c r="Z38" s="170">
        <f>Z37+R38+S38+T38+Observaciones!$F37-U38-W38-Y38</f>
        <v>56.427353058955426</v>
      </c>
      <c r="AA38" s="170">
        <f>IF(Escenarios!$F$14&gt;0,(Escenarios!$F$13*L38+Escenarios!$F$14*W38)/(Escenarios!$F$16),L38)</f>
        <v>2.7373804137174731</v>
      </c>
      <c r="AB38" s="170">
        <f>IF(Escenarios!$F$14&gt;0,(Escenarios!$F$14*Y38)/(Escenarios!$F$16),K38)</f>
        <v>0</v>
      </c>
      <c r="AC38" s="170">
        <f>IF(Escenarios!$F$14&gt;0,(Escenarios!$F$13*M38+Escenarios!$F$14*U38)/(Escenarios!$F$16),M38)</f>
        <v>2.4880778273823873E-2</v>
      </c>
      <c r="AD38" s="76">
        <f t="shared" si="1"/>
        <v>93.532852170970699</v>
      </c>
      <c r="AE38" s="76">
        <f>MAX(0,(AD38-Constantes!$D$13)*(1-EXP(-Constantes!$D$23)))</f>
        <v>0.44125610888494154</v>
      </c>
      <c r="AF38" s="76">
        <f>AB38+O38*Escenarios!$F$13/Escenarios!$F$16+AE38</f>
        <v>1.0674918421062305</v>
      </c>
      <c r="AG38" s="76">
        <f>IF(Entradas!$F$91&gt;0,IF(AF38-Escenarios!$F$38&lt;=0,0,IF(AF38-Escenarios!$F$38&gt;Escenarios!$F$37,Escenarios!$F$37,AF38-Escenarios!$F$38)),0)</f>
        <v>3.0691842106230549E-2</v>
      </c>
      <c r="AH38" s="76">
        <f>AG38*Entradas!$F$99</f>
        <v>0</v>
      </c>
      <c r="AI38" s="76">
        <f>IF(Entradas!$F$91&gt;0,D38*Entradas!$D$23/Escenarios!$F$16,0)</f>
        <v>0.21592118828324067</v>
      </c>
      <c r="AJ38" s="76">
        <f>IF(Entradas!$F$91&gt;0,Entradas!$D$24*Entradas!$D$22/Escenarios!$F$16,0)</f>
        <v>0.12</v>
      </c>
      <c r="AK38" s="76">
        <f t="shared" si="2"/>
        <v>2.9533016020007139</v>
      </c>
      <c r="AL38" s="76">
        <f t="shared" si="3"/>
        <v>0</v>
      </c>
      <c r="AM38" s="76">
        <f t="shared" si="4"/>
        <v>3.0691842106230549E-2</v>
      </c>
      <c r="AN38" s="76">
        <f>MAX(0,O38*Escenarios!$F$13/Escenarios!$F$16-AM38)</f>
        <v>0.59554389111505834</v>
      </c>
      <c r="AO38" s="76">
        <f>AM38+AN38-O38*Escenarios!$F$13/Escenarios!$F$16</f>
        <v>0</v>
      </c>
      <c r="AP38" s="76">
        <f t="shared" si="5"/>
        <v>0.44125610888494154</v>
      </c>
      <c r="AQ38" s="76">
        <f t="shared" si="6"/>
        <v>0</v>
      </c>
      <c r="AR38" s="76">
        <f t="shared" si="7"/>
        <v>1.0367999999999999</v>
      </c>
      <c r="AS38" s="76">
        <f t="shared" si="8"/>
        <v>0</v>
      </c>
      <c r="AT38" s="76">
        <f t="shared" si="9"/>
        <v>2.4880778273823873E-2</v>
      </c>
      <c r="AU38" s="76">
        <f t="shared" si="10"/>
        <v>49.010545997460575</v>
      </c>
      <c r="AV38" s="76">
        <f>MAX(0,(AU38-Constantes!$D$13)*(1-EXP(-Constantes!$D$24)))</f>
        <v>3.9825099431299443E-3</v>
      </c>
      <c r="AW38" s="170">
        <f>AW37+(Entradas!$F$112*AT38-AX37)/(800*Entradas!$D$25)</f>
        <v>0</v>
      </c>
      <c r="AX38" s="170">
        <f>8000*Entradas!$D$26*AW38/Constantes!$F$45</f>
        <v>0</v>
      </c>
      <c r="AY38" s="170">
        <f>IF(Escenarios!$F$17&gt;0,10*Escenarios!$F$16*AL38,0)</f>
        <v>0</v>
      </c>
      <c r="AZ38" s="170">
        <f>IF(Escenarios!$F$17&gt;0,10*Escenarios!$F$16*AX38,0)</f>
        <v>0</v>
      </c>
      <c r="BA38" s="170">
        <f>IF(Escenarios!$F$17&gt;0,0.001*Observaciones!$F37*Escenarios!$F$17,0)</f>
        <v>0</v>
      </c>
      <c r="BB38" s="170">
        <f>IF(Escenarios!$F$17&gt;0,Observaciones!$K37,0)</f>
        <v>0</v>
      </c>
      <c r="BC38" s="170">
        <f>IF(Escenarios!$F$17&gt;0,MIN(0.0005*ETo!$M37*Escenarios!$F$17*(BG37/Constantes!$F$40)^(2/3),BG37+AY38+AZ38+BA38+BB38),0)</f>
        <v>0</v>
      </c>
      <c r="BD38" s="170">
        <f>IF(Escenarios!$F$17&gt;0,MIN(Constantes!$F$39*(BG37/Constantes!$F$40)^(2/3),BG37+AY38+AZ38+BA38+BB38-BC38),0)</f>
        <v>0</v>
      </c>
      <c r="BE38" s="170">
        <f>IF(Escenarios!$F$17&gt;0,MIN(Entradas!$F$113,BG37+AY38+AZ38+BA38+BB38-BC38-BD38),0)</f>
        <v>0</v>
      </c>
      <c r="BF38" s="170">
        <f>IF(Escenarios!$F$17&gt;0,MAX(0,BG37+AY38+AZ38+BA38+BB38-BC38-BD38-BE38-Constantes!$F$40),0)</f>
        <v>0</v>
      </c>
      <c r="BG38" s="170">
        <f t="shared" si="11"/>
        <v>0</v>
      </c>
      <c r="BH38" s="170">
        <f>(Escenarios!$F$16*AK38+0.1*BC38)/(Escenarios!$F$19)</f>
        <v>2.9533016020007139</v>
      </c>
      <c r="BI38" s="170">
        <f>IF(Escenarios!$F$17&gt;0,BF38/10/Escenarios!$F$19,AL38)</f>
        <v>0</v>
      </c>
      <c r="BJ38" s="170">
        <f>(Escenarios!$F$16*AT38+0.1*BD38)/(Escenarios!$F$19)</f>
        <v>2.4880778273823873E-2</v>
      </c>
      <c r="BK38" s="76">
        <f>BK37+(0.1*BD38)/(Escenarios!$F$19)-BL37</f>
        <v>48.75</v>
      </c>
      <c r="BL38" s="76">
        <f>MAX(0,(BK38-Constantes!$D$13)*(1-EXP(-Constantes!$D$23)))</f>
        <v>0</v>
      </c>
      <c r="BM38" s="76">
        <f t="shared" si="12"/>
        <v>0.44523861882807148</v>
      </c>
      <c r="BN38" s="76">
        <f t="shared" si="13"/>
        <v>1.0407825099431298</v>
      </c>
      <c r="BO38" s="76">
        <f>0.0526*BI38*Observaciones!$F37^1.218</f>
        <v>0</v>
      </c>
      <c r="BP38" s="76">
        <f>BO38*Constantes!$F$51</f>
        <v>0</v>
      </c>
      <c r="BQ38" s="76">
        <f t="shared" si="14"/>
        <v>0</v>
      </c>
      <c r="BR38" s="40"/>
    </row>
    <row r="39" spans="2:70">
      <c r="B39" s="39"/>
      <c r="C39" s="75">
        <v>33</v>
      </c>
      <c r="D39" s="146">
        <f>ETo!$I38*((1-Constantes!$F$19)*ETo!$K38+ETo!$L38)</f>
        <v>4.6026368041999879</v>
      </c>
      <c r="E39" s="76">
        <f>MIN(D39*Constantes!$F$17,0.8*(N38+Observaciones!$F38-F39-M39-Constantes!$D$14))</f>
        <v>2.624937885439377</v>
      </c>
      <c r="F39" s="76">
        <f>IF(Observaciones!$F38&gt;0.05*Constantes!$F$18,((Observaciones!$F38-0.05*Constantes!$F$18)^2)/(Observaciones!$F38+0.95*Constantes!$F$18),0)</f>
        <v>0</v>
      </c>
      <c r="G39" s="76">
        <f>IF(Escenarios!$F$11&gt;0,(F39*Escenarios!$F$16*10000)/1000,0)</f>
        <v>0</v>
      </c>
      <c r="H39" s="76">
        <f>IF(Escenarios!$F$11&gt;0,(Observaciones!$F38*Constantes!$F$29)/1000,0)</f>
        <v>0</v>
      </c>
      <c r="I39" s="76">
        <f>IF(Escenarios!$F$11&gt;0,(D39*Constantes!$F$29)/1000,0)</f>
        <v>0</v>
      </c>
      <c r="J39" s="76">
        <f>IF(Escenarios!$F$11&gt;0,MAX(0,G39+H39-I39),0)</f>
        <v>0</v>
      </c>
      <c r="K39" s="76">
        <f>IF(Escenarios!$F$11&gt;0,IF(J39&gt;Constantes!$F$30,1000*((J39-Constantes!$F$30)/(Escenarios!$F$16*10000)),0),F39)</f>
        <v>0</v>
      </c>
      <c r="L39" s="76">
        <f>IF(Escenarios!$F$11&gt;0,I39*1000/Escenarios!$F$16/10000+E39,E39)</f>
        <v>2.624937885439377</v>
      </c>
      <c r="M39" s="76">
        <f>MAX(0,N38+Observaciones!$F38-K39-Constantes!$D$13)</f>
        <v>0</v>
      </c>
      <c r="N39" s="76">
        <f>N38+Observaciones!$F38-K39-L39-M39-O38</f>
        <v>31.004646741628846</v>
      </c>
      <c r="O39" s="76">
        <f>MAX(0,(N39-Constantes!$D$14)*(1-EXP(-Constantes!$D$22)))</f>
        <v>0.67291578881271563</v>
      </c>
      <c r="P39" s="170">
        <f>P38+(Entradas!$F$83*M39-Q38)/(800*Entradas!$D$25)</f>
        <v>0</v>
      </c>
      <c r="Q39" s="170">
        <f>8000*Entradas!$D$26*P39/Constantes!$F$45</f>
        <v>0</v>
      </c>
      <c r="R39" s="170">
        <f>IF(Escenarios!$F$14&gt;0,K39*Escenarios!$F$13/Escenarios!$F$14,0)</f>
        <v>0</v>
      </c>
      <c r="S39" s="170">
        <f>IF(Escenarios!$F$14&gt;0,Q39*Escenarios!$F$13/Escenarios!$F$14,0)</f>
        <v>0</v>
      </c>
      <c r="T39" s="170">
        <f>IF(Escenarios!$F$14&gt;0,Observaciones!$I38,0)</f>
        <v>0</v>
      </c>
      <c r="U39" s="170">
        <f>IF(Escenarios!$F$14&gt;0,MAX(0,Constantes!$F$36/((Z38+R39+S39+T39+Observaciones!$F38)^2)+Entradas!$F$77),0)</f>
        <v>1.3019322674832079E-2</v>
      </c>
      <c r="V39" s="146">
        <f>IF(ETo!D38&gt;0,ETo!I38*((1-Entradas!$F$81)*ETo!K38+ETo!L38),0)</f>
        <v>4.0923706150738752</v>
      </c>
      <c r="W39" s="170">
        <f>IF(Escenarios!$F$14&gt;0,MIN(V39*1,0.8*(Z38+R39+S39+T39+Observaciones!$F38-U39-Constantes!$F$35)),0)</f>
        <v>4.0923706150738752</v>
      </c>
      <c r="X39" s="170">
        <f>IF(Escenarios!$F$14&gt;0,Observaciones!$J38,0)</f>
        <v>0</v>
      </c>
      <c r="Y39" s="170">
        <f>IF(Escenarios!$F$14&gt;0,MAX(0,Z38+R39+S39+T39+Observaciones!$F38-U39-W39-X39-Constantes!$F$33),0)</f>
        <v>0</v>
      </c>
      <c r="Z39" s="170">
        <f>Z38+R39+S39+T39+Observaciones!$F38-U39-W39-Y39</f>
        <v>54.521963121206724</v>
      </c>
      <c r="AA39" s="170">
        <f>IF(Escenarios!$F$14&gt;0,(Escenarios!$F$13*L39+Escenarios!$F$14*W39)/(Escenarios!$F$16),L39)</f>
        <v>2.8010298129955169</v>
      </c>
      <c r="AB39" s="170">
        <f>IF(Escenarios!$F$14&gt;0,(Escenarios!$F$14*Y39)/(Escenarios!$F$16),K39)</f>
        <v>0</v>
      </c>
      <c r="AC39" s="170">
        <f>IF(Escenarios!$F$14&gt;0,(Escenarios!$F$13*M39+Escenarios!$F$14*U39)/(Escenarios!$F$16),M39)</f>
        <v>1.5623187209798494E-3</v>
      </c>
      <c r="AD39" s="76">
        <f t="shared" si="1"/>
        <v>93.093158380806742</v>
      </c>
      <c r="AE39" s="76">
        <f>MAX(0,(AD39-Constantes!$D$13)*(1-EXP(-Constantes!$D$23)))</f>
        <v>0.43692370124355451</v>
      </c>
      <c r="AF39" s="76">
        <f>AB39+O39*Escenarios!$F$13/Escenarios!$F$16+AE39</f>
        <v>1.0290895953987444</v>
      </c>
      <c r="AG39" s="76">
        <f>IF(Entradas!$F$91&gt;0,IF(AF39-Escenarios!$F$38&lt;=0,0,IF(AF39-Escenarios!$F$38&gt;Escenarios!$F$37,Escenarios!$F$37,AF39-Escenarios!$F$38)),0)</f>
        <v>0</v>
      </c>
      <c r="AH39" s="76">
        <f>AG39*Entradas!$F$99</f>
        <v>0</v>
      </c>
      <c r="AI39" s="76">
        <f>IF(Entradas!$F$91&gt;0,D39*Entradas!$D$23/Escenarios!$F$16,0)</f>
        <v>0.2209265666015994</v>
      </c>
      <c r="AJ39" s="76">
        <f>IF(Entradas!$F$91&gt;0,Entradas!$D$24*Entradas!$D$22/Escenarios!$F$16,0)</f>
        <v>0.12</v>
      </c>
      <c r="AK39" s="76">
        <f t="shared" si="2"/>
        <v>3.0219563795971163</v>
      </c>
      <c r="AL39" s="76">
        <f t="shared" si="3"/>
        <v>0</v>
      </c>
      <c r="AM39" s="76">
        <f t="shared" si="4"/>
        <v>0</v>
      </c>
      <c r="AN39" s="76">
        <f>MAX(0,O39*Escenarios!$F$13/Escenarios!$F$16-AM39)</f>
        <v>0.59216589415518983</v>
      </c>
      <c r="AO39" s="76">
        <f>AM39+AN39-O39*Escenarios!$F$13/Escenarios!$F$16</f>
        <v>0</v>
      </c>
      <c r="AP39" s="76">
        <f t="shared" si="5"/>
        <v>0.43692370124355451</v>
      </c>
      <c r="AQ39" s="76">
        <f t="shared" si="6"/>
        <v>0</v>
      </c>
      <c r="AR39" s="76">
        <f t="shared" si="7"/>
        <v>1.0290895953987444</v>
      </c>
      <c r="AS39" s="76">
        <f t="shared" si="8"/>
        <v>0</v>
      </c>
      <c r="AT39" s="76">
        <f t="shared" si="9"/>
        <v>1.5623187209798494E-3</v>
      </c>
      <c r="AU39" s="76">
        <f t="shared" si="10"/>
        <v>49.006563487517447</v>
      </c>
      <c r="AV39" s="76">
        <f>MAX(0,(AU39-Constantes!$D$13)*(1-EXP(-Constantes!$D$24)))</f>
        <v>3.9216362947081434E-3</v>
      </c>
      <c r="AW39" s="170">
        <f>AW38+(Entradas!$F$112*AT39-AX38)/(800*Entradas!$D$25)</f>
        <v>0</v>
      </c>
      <c r="AX39" s="170">
        <f>8000*Entradas!$D$26*AW39/Constantes!$F$45</f>
        <v>0</v>
      </c>
      <c r="AY39" s="170">
        <f>IF(Escenarios!$F$17&gt;0,10*Escenarios!$F$16*AL39,0)</f>
        <v>0</v>
      </c>
      <c r="AZ39" s="170">
        <f>IF(Escenarios!$F$17&gt;0,10*Escenarios!$F$16*AX39,0)</f>
        <v>0</v>
      </c>
      <c r="BA39" s="170">
        <f>IF(Escenarios!$F$17&gt;0,0.001*Observaciones!$F38*Escenarios!$F$17,0)</f>
        <v>0</v>
      </c>
      <c r="BB39" s="170">
        <f>IF(Escenarios!$F$17&gt;0,Observaciones!$K38,0)</f>
        <v>0</v>
      </c>
      <c r="BC39" s="170">
        <f>IF(Escenarios!$F$17&gt;0,MIN(0.0005*ETo!$M38*Escenarios!$F$17*(BG38/Constantes!$F$40)^(2/3),BG38+AY39+AZ39+BA39+BB39),0)</f>
        <v>0</v>
      </c>
      <c r="BD39" s="170">
        <f>IF(Escenarios!$F$17&gt;0,MIN(Constantes!$F$39*(BG38/Constantes!$F$40)^(2/3),BG38+AY39+AZ39+BA39+BB39-BC39),0)</f>
        <v>0</v>
      </c>
      <c r="BE39" s="170">
        <f>IF(Escenarios!$F$17&gt;0,MIN(Entradas!$F$113,BG38+AY39+AZ39+BA39+BB39-BC39-BD39),0)</f>
        <v>0</v>
      </c>
      <c r="BF39" s="170">
        <f>IF(Escenarios!$F$17&gt;0,MAX(0,BG38+AY39+AZ39+BA39+BB39-BC39-BD39-BE39-Constantes!$F$40),0)</f>
        <v>0</v>
      </c>
      <c r="BG39" s="170">
        <f t="shared" si="11"/>
        <v>0</v>
      </c>
      <c r="BH39" s="170">
        <f>(Escenarios!$F$16*AK39+0.1*BC39)/(Escenarios!$F$19)</f>
        <v>3.0219563795971163</v>
      </c>
      <c r="BI39" s="170">
        <f>IF(Escenarios!$F$17&gt;0,BF39/10/Escenarios!$F$19,AL39)</f>
        <v>0</v>
      </c>
      <c r="BJ39" s="170">
        <f>(Escenarios!$F$16*AT39+0.1*BD39)/(Escenarios!$F$19)</f>
        <v>1.5623187209798494E-3</v>
      </c>
      <c r="BK39" s="76">
        <f>BK38+(0.1*BD39)/(Escenarios!$F$19)-BL38</f>
        <v>48.75</v>
      </c>
      <c r="BL39" s="76">
        <f>MAX(0,(BK39-Constantes!$D$13)*(1-EXP(-Constantes!$D$23)))</f>
        <v>0</v>
      </c>
      <c r="BM39" s="76">
        <f t="shared" si="12"/>
        <v>0.44084533753826266</v>
      </c>
      <c r="BN39" s="76">
        <f t="shared" si="13"/>
        <v>1.0330112316934525</v>
      </c>
      <c r="BO39" s="76">
        <f>0.0526*BI39*Observaciones!$F38^1.218</f>
        <v>0</v>
      </c>
      <c r="BP39" s="76">
        <f>BO39*Constantes!$F$51</f>
        <v>0</v>
      </c>
      <c r="BQ39" s="76">
        <f t="shared" si="14"/>
        <v>0</v>
      </c>
      <c r="BR39" s="40"/>
    </row>
    <row r="40" spans="2:70">
      <c r="B40" s="39"/>
      <c r="C40" s="75">
        <v>34</v>
      </c>
      <c r="D40" s="146">
        <f>ETo!$I39*((1-Constantes!$F$19)*ETo!$K39+ETo!$L39)</f>
        <v>4.6649867832784873</v>
      </c>
      <c r="E40" s="76">
        <f>MIN(D40*Constantes!$F$17,0.8*(N39+Observaciones!$F39-F40-M40-Constantes!$D$14))</f>
        <v>2.6604968115945229</v>
      </c>
      <c r="F40" s="76">
        <f>IF(Observaciones!$F39&gt;0.05*Constantes!$F$18,((Observaciones!$F39-0.05*Constantes!$F$18)^2)/(Observaciones!$F39+0.95*Constantes!$F$18),0)</f>
        <v>0</v>
      </c>
      <c r="G40" s="76">
        <f>IF(Escenarios!$F$11&gt;0,(F40*Escenarios!$F$16*10000)/1000,0)</f>
        <v>0</v>
      </c>
      <c r="H40" s="76">
        <f>IF(Escenarios!$F$11&gt;0,(Observaciones!$F39*Constantes!$F$29)/1000,0)</f>
        <v>0</v>
      </c>
      <c r="I40" s="76">
        <f>IF(Escenarios!$F$11&gt;0,(D40*Constantes!$F$29)/1000,0)</f>
        <v>0</v>
      </c>
      <c r="J40" s="76">
        <f>IF(Escenarios!$F$11&gt;0,MAX(0,G40+H40-I40),0)</f>
        <v>0</v>
      </c>
      <c r="K40" s="76">
        <f>IF(Escenarios!$F$11&gt;0,IF(J40&gt;Constantes!$F$30,1000*((J40-Constantes!$F$30)/(Escenarios!$F$16*10000)),0),F40)</f>
        <v>0</v>
      </c>
      <c r="L40" s="76">
        <f>IF(Escenarios!$F$11&gt;0,I40*1000/Escenarios!$F$16/10000+E40,E40)</f>
        <v>2.6604968115945229</v>
      </c>
      <c r="M40" s="76">
        <f>MAX(0,N39+Observaciones!$F39-K40-Constantes!$D$13)</f>
        <v>0</v>
      </c>
      <c r="N40" s="76">
        <f>N39+Observaciones!$F39-K40-L40-M40-O39</f>
        <v>27.671234141221607</v>
      </c>
      <c r="O40" s="76">
        <f>MAX(0,(N40-Constantes!$D$14)*(1-EXP(-Constantes!$D$22)))</f>
        <v>0.55936751843466836</v>
      </c>
      <c r="P40" s="170">
        <f>P39+(Entradas!$F$83*M40-Q39)/(800*Entradas!$D$25)</f>
        <v>0</v>
      </c>
      <c r="Q40" s="170">
        <f>8000*Entradas!$D$26*P40/Constantes!$F$45</f>
        <v>0</v>
      </c>
      <c r="R40" s="170">
        <f>IF(Escenarios!$F$14&gt;0,K40*Escenarios!$F$13/Escenarios!$F$14,0)</f>
        <v>0</v>
      </c>
      <c r="S40" s="170">
        <f>IF(Escenarios!$F$14&gt;0,Q40*Escenarios!$F$13/Escenarios!$F$14,0)</f>
        <v>0</v>
      </c>
      <c r="T40" s="170">
        <f>IF(Escenarios!$F$14&gt;0,Observaciones!$I39,0)</f>
        <v>0</v>
      </c>
      <c r="U40" s="170">
        <f>IF(Escenarios!$F$14&gt;0,MAX(0,Constantes!$F$36/((Z39+R40+S40+T40+Observaciones!$F39)^2)+Entradas!$F$77),0)</f>
        <v>0</v>
      </c>
      <c r="V40" s="146">
        <f>IF(ETo!D39&gt;0,ETo!I39*((1-Entradas!$F$81)*ETo!K39+ETo!L39),0)</f>
        <v>4.148889179746317</v>
      </c>
      <c r="W40" s="170">
        <f>IF(Escenarios!$F$14&gt;0,MIN(V40*1,0.8*(Z39+R40+S40+T40+Observaciones!$F39-U40-Constantes!$F$35)),0)</f>
        <v>4.148889179746317</v>
      </c>
      <c r="X40" s="170">
        <f>IF(Escenarios!$F$14&gt;0,Observaciones!$J39,0)</f>
        <v>0</v>
      </c>
      <c r="Y40" s="170">
        <f>IF(Escenarios!$F$14&gt;0,MAX(0,Z39+R40+S40+T40+Observaciones!$F39-U40-W40-X40-Constantes!$F$33),0)</f>
        <v>0</v>
      </c>
      <c r="Z40" s="170">
        <f>Z39+R40+S40+T40+Observaciones!$F39-U40-W40-Y40</f>
        <v>50.373073941460405</v>
      </c>
      <c r="AA40" s="170">
        <f>IF(Escenarios!$F$14&gt;0,(Escenarios!$F$13*L40+Escenarios!$F$14*W40)/(Escenarios!$F$16),L40)</f>
        <v>2.8391038957727379</v>
      </c>
      <c r="AB40" s="170">
        <f>IF(Escenarios!$F$14&gt;0,(Escenarios!$F$14*Y40)/(Escenarios!$F$16),K40)</f>
        <v>0</v>
      </c>
      <c r="AC40" s="170">
        <f>IF(Escenarios!$F$14&gt;0,(Escenarios!$F$13*M40+Escenarios!$F$14*U40)/(Escenarios!$F$16),M40)</f>
        <v>0</v>
      </c>
      <c r="AD40" s="76">
        <f t="shared" si="1"/>
        <v>92.656234679563184</v>
      </c>
      <c r="AE40" s="76">
        <f>MAX(0,(AD40-Constantes!$D$13)*(1-EXP(-Constantes!$D$23)))</f>
        <v>0.43261858794808394</v>
      </c>
      <c r="AF40" s="76">
        <f>AB40+O40*Escenarios!$F$13/Escenarios!$F$16+AE40</f>
        <v>0.92486200417059217</v>
      </c>
      <c r="AG40" s="76">
        <f>IF(Entradas!$F$91&gt;0,IF(AF40-Escenarios!$F$38&lt;=0,0,IF(AF40-Escenarios!$F$38&gt;Escenarios!$F$37,Escenarios!$F$37,AF40-Escenarios!$F$38)),0)</f>
        <v>0</v>
      </c>
      <c r="AH40" s="76">
        <f>AG40*Entradas!$F$99</f>
        <v>0</v>
      </c>
      <c r="AI40" s="76">
        <f>IF(Entradas!$F$91&gt;0,D40*Entradas!$D$23/Escenarios!$F$16,0)</f>
        <v>0.22391936559736741</v>
      </c>
      <c r="AJ40" s="76">
        <f>IF(Entradas!$F$91&gt;0,Entradas!$D$24*Entradas!$D$22/Escenarios!$F$16,0)</f>
        <v>0.12</v>
      </c>
      <c r="AK40" s="76">
        <f t="shared" si="2"/>
        <v>3.0630232613701054</v>
      </c>
      <c r="AL40" s="76">
        <f t="shared" si="3"/>
        <v>0</v>
      </c>
      <c r="AM40" s="76">
        <f t="shared" si="4"/>
        <v>0</v>
      </c>
      <c r="AN40" s="76">
        <f>MAX(0,O40*Escenarios!$F$13/Escenarios!$F$16-AM40)</f>
        <v>0.49224341622250817</v>
      </c>
      <c r="AO40" s="76">
        <f>AM40+AN40-O40*Escenarios!$F$13/Escenarios!$F$16</f>
        <v>0</v>
      </c>
      <c r="AP40" s="76">
        <f t="shared" si="5"/>
        <v>0.43261858794808394</v>
      </c>
      <c r="AQ40" s="76">
        <f t="shared" si="6"/>
        <v>0</v>
      </c>
      <c r="AR40" s="76">
        <f t="shared" si="7"/>
        <v>0.92486200417059217</v>
      </c>
      <c r="AS40" s="76">
        <f t="shared" si="8"/>
        <v>0</v>
      </c>
      <c r="AT40" s="76">
        <f t="shared" si="9"/>
        <v>0</v>
      </c>
      <c r="AU40" s="76">
        <f t="shared" si="10"/>
        <v>49.002641851222741</v>
      </c>
      <c r="AV40" s="76">
        <f>MAX(0,(AU40-Constantes!$D$13)*(1-EXP(-Constantes!$D$24)))</f>
        <v>3.8616931150422624E-3</v>
      </c>
      <c r="AW40" s="170">
        <f>AW39+(Entradas!$F$112*AT40-AX39)/(800*Entradas!$D$25)</f>
        <v>0</v>
      </c>
      <c r="AX40" s="170">
        <f>8000*Entradas!$D$26*AW40/Constantes!$F$45</f>
        <v>0</v>
      </c>
      <c r="AY40" s="170">
        <f>IF(Escenarios!$F$17&gt;0,10*Escenarios!$F$16*AL40,0)</f>
        <v>0</v>
      </c>
      <c r="AZ40" s="170">
        <f>IF(Escenarios!$F$17&gt;0,10*Escenarios!$F$16*AX40,0)</f>
        <v>0</v>
      </c>
      <c r="BA40" s="170">
        <f>IF(Escenarios!$F$17&gt;0,0.001*Observaciones!$F39*Escenarios!$F$17,0)</f>
        <v>0</v>
      </c>
      <c r="BB40" s="170">
        <f>IF(Escenarios!$F$17&gt;0,Observaciones!$K39,0)</f>
        <v>0</v>
      </c>
      <c r="BC40" s="170">
        <f>IF(Escenarios!$F$17&gt;0,MIN(0.0005*ETo!$M39*Escenarios!$F$17*(BG39/Constantes!$F$40)^(2/3),BG39+AY40+AZ40+BA40+BB40),0)</f>
        <v>0</v>
      </c>
      <c r="BD40" s="170">
        <f>IF(Escenarios!$F$17&gt;0,MIN(Constantes!$F$39*(BG39/Constantes!$F$40)^(2/3),BG39+AY40+AZ40+BA40+BB40-BC40),0)</f>
        <v>0</v>
      </c>
      <c r="BE40" s="170">
        <f>IF(Escenarios!$F$17&gt;0,MIN(Entradas!$F$113,BG39+AY40+AZ40+BA40+BB40-BC40-BD40),0)</f>
        <v>0</v>
      </c>
      <c r="BF40" s="170">
        <f>IF(Escenarios!$F$17&gt;0,MAX(0,BG39+AY40+AZ40+BA40+BB40-BC40-BD40-BE40-Constantes!$F$40),0)</f>
        <v>0</v>
      </c>
      <c r="BG40" s="170">
        <f t="shared" si="11"/>
        <v>0</v>
      </c>
      <c r="BH40" s="170">
        <f>(Escenarios!$F$16*AK40+0.1*BC40)/(Escenarios!$F$19)</f>
        <v>3.0630232613701054</v>
      </c>
      <c r="BI40" s="170">
        <f>IF(Escenarios!$F$17&gt;0,BF40/10/Escenarios!$F$19,AL40)</f>
        <v>0</v>
      </c>
      <c r="BJ40" s="170">
        <f>(Escenarios!$F$16*AT40+0.1*BD40)/(Escenarios!$F$19)</f>
        <v>0</v>
      </c>
      <c r="BK40" s="76">
        <f>BK39+(0.1*BD40)/(Escenarios!$F$19)-BL39</f>
        <v>48.75</v>
      </c>
      <c r="BL40" s="76">
        <f>MAX(0,(BK40-Constantes!$D$13)*(1-EXP(-Constantes!$D$23)))</f>
        <v>0</v>
      </c>
      <c r="BM40" s="76">
        <f t="shared" si="12"/>
        <v>0.4364802810631262</v>
      </c>
      <c r="BN40" s="76">
        <f t="shared" si="13"/>
        <v>0.92872369728563442</v>
      </c>
      <c r="BO40" s="76">
        <f>0.0526*BI40*Observaciones!$F39^1.218</f>
        <v>0</v>
      </c>
      <c r="BP40" s="76">
        <f>BO40*Constantes!$F$51</f>
        <v>0</v>
      </c>
      <c r="BQ40" s="76">
        <f t="shared" si="14"/>
        <v>0</v>
      </c>
      <c r="BR40" s="40"/>
    </row>
    <row r="41" spans="2:70">
      <c r="B41" s="39"/>
      <c r="C41" s="75">
        <v>35</v>
      </c>
      <c r="D41" s="146">
        <f>ETo!$I40*((1-Constantes!$F$19)*ETo!$K40+ETo!$L40)</f>
        <v>4.5190153660691443</v>
      </c>
      <c r="E41" s="76">
        <f>MIN(D41*Constantes!$F$17,0.8*(N40+Observaciones!$F40-F41-M41-Constantes!$D$14))</f>
        <v>2.5772475960851793</v>
      </c>
      <c r="F41" s="76">
        <f>IF(Observaciones!$F40&gt;0.05*Constantes!$F$18,((Observaciones!$F40-0.05*Constantes!$F$18)^2)/(Observaciones!$F40+0.95*Constantes!$F$18),0)</f>
        <v>0</v>
      </c>
      <c r="G41" s="76">
        <f>IF(Escenarios!$F$11&gt;0,(F41*Escenarios!$F$16*10000)/1000,0)</f>
        <v>0</v>
      </c>
      <c r="H41" s="76">
        <f>IF(Escenarios!$F$11&gt;0,(Observaciones!$F40*Constantes!$F$29)/1000,0)</f>
        <v>0</v>
      </c>
      <c r="I41" s="76">
        <f>IF(Escenarios!$F$11&gt;0,(D41*Constantes!$F$29)/1000,0)</f>
        <v>0</v>
      </c>
      <c r="J41" s="76">
        <f>IF(Escenarios!$F$11&gt;0,MAX(0,G41+H41-I41),0)</f>
        <v>0</v>
      </c>
      <c r="K41" s="76">
        <f>IF(Escenarios!$F$11&gt;0,IF(J41&gt;Constantes!$F$30,1000*((J41-Constantes!$F$30)/(Escenarios!$F$16*10000)),0),F41)</f>
        <v>0</v>
      </c>
      <c r="L41" s="76">
        <f>IF(Escenarios!$F$11&gt;0,I41*1000/Escenarios!$F$16/10000+E41,E41)</f>
        <v>2.5772475960851793</v>
      </c>
      <c r="M41" s="76">
        <f>MAX(0,N40+Observaciones!$F40-K41-Constantes!$D$13)</f>
        <v>0</v>
      </c>
      <c r="N41" s="76">
        <f>N40+Observaciones!$F40-K41-L41-M41-O40</f>
        <v>27.834619026701759</v>
      </c>
      <c r="O41" s="76">
        <f>MAX(0,(N41-Constantes!$D$14)*(1-EXP(-Constantes!$D$22)))</f>
        <v>0.564933007432316</v>
      </c>
      <c r="P41" s="170">
        <f>P40+(Entradas!$F$83*M41-Q40)/(800*Entradas!$D$25)</f>
        <v>0</v>
      </c>
      <c r="Q41" s="170">
        <f>8000*Entradas!$D$26*P41/Constantes!$F$45</f>
        <v>0</v>
      </c>
      <c r="R41" s="170">
        <f>IF(Escenarios!$F$14&gt;0,K41*Escenarios!$F$13/Escenarios!$F$14,0)</f>
        <v>0</v>
      </c>
      <c r="S41" s="170">
        <f>IF(Escenarios!$F$14&gt;0,Q41*Escenarios!$F$13/Escenarios!$F$14,0)</f>
        <v>0</v>
      </c>
      <c r="T41" s="170">
        <f>IF(Escenarios!$F$14&gt;0,Observaciones!$I40,0)</f>
        <v>0</v>
      </c>
      <c r="U41" s="170">
        <f>IF(Escenarios!$F$14&gt;0,MAX(0,Constantes!$F$36/((Z40+R41+S41+T41+Observaciones!$F40)^2)+Entradas!$F$77),0)</f>
        <v>0</v>
      </c>
      <c r="V41" s="146">
        <f>IF(ETo!D40&gt;0,ETo!I40*((1-Entradas!$F$81)*ETo!K40+ETo!L40),0)</f>
        <v>4.0166448486969974</v>
      </c>
      <c r="W41" s="170">
        <f>IF(Escenarios!$F$14&gt;0,MIN(V41*1,0.8*(Z40+R41+S41+T41+Observaciones!$F40-U41-Constantes!$F$35)),0)</f>
        <v>4.0166448486969974</v>
      </c>
      <c r="X41" s="170">
        <f>IF(Escenarios!$F$14&gt;0,Observaciones!$J40,0)</f>
        <v>0</v>
      </c>
      <c r="Y41" s="170">
        <f>IF(Escenarios!$F$14&gt;0,MAX(0,Z40+R41+S41+T41+Observaciones!$F40-U41-W41-X41-Constantes!$F$33),0)</f>
        <v>0</v>
      </c>
      <c r="Z41" s="170">
        <f>Z40+R41+S41+T41+Observaciones!$F40-U41-W41-Y41</f>
        <v>49.656429092763403</v>
      </c>
      <c r="AA41" s="170">
        <f>IF(Escenarios!$F$14&gt;0,(Escenarios!$F$13*L41+Escenarios!$F$14*W41)/(Escenarios!$F$16),L41)</f>
        <v>2.7499752663985975</v>
      </c>
      <c r="AB41" s="170">
        <f>IF(Escenarios!$F$14&gt;0,(Escenarios!$F$14*Y41)/(Escenarios!$F$16),K41)</f>
        <v>0</v>
      </c>
      <c r="AC41" s="170">
        <f>IF(Escenarios!$F$14&gt;0,(Escenarios!$F$13*M41+Escenarios!$F$14*U41)/(Escenarios!$F$16),M41)</f>
        <v>0</v>
      </c>
      <c r="AD41" s="76">
        <f t="shared" si="1"/>
        <v>92.223616091615099</v>
      </c>
      <c r="AE41" s="76">
        <f>MAX(0,(AD41-Constantes!$D$13)*(1-EXP(-Constantes!$D$23)))</f>
        <v>0.42835589395931178</v>
      </c>
      <c r="AF41" s="76">
        <f>AB41+O41*Escenarios!$F$13/Escenarios!$F$16+AE41</f>
        <v>0.92549694049974984</v>
      </c>
      <c r="AG41" s="76">
        <f>IF(Entradas!$F$91&gt;0,IF(AF41-Escenarios!$F$38&lt;=0,0,IF(AF41-Escenarios!$F$38&gt;Escenarios!$F$37,Escenarios!$F$37,AF41-Escenarios!$F$38)),0)</f>
        <v>0</v>
      </c>
      <c r="AH41" s="76">
        <f>AG41*Entradas!$F$99</f>
        <v>0</v>
      </c>
      <c r="AI41" s="76">
        <f>IF(Entradas!$F$91&gt;0,D41*Entradas!$D$23/Escenarios!$F$16,0)</f>
        <v>0.21691273757131893</v>
      </c>
      <c r="AJ41" s="76">
        <f>IF(Entradas!$F$91&gt;0,Entradas!$D$24*Entradas!$D$22/Escenarios!$F$16,0)</f>
        <v>0.12</v>
      </c>
      <c r="AK41" s="76">
        <f t="shared" si="2"/>
        <v>2.9668880039699164</v>
      </c>
      <c r="AL41" s="76">
        <f t="shared" si="3"/>
        <v>0</v>
      </c>
      <c r="AM41" s="76">
        <f t="shared" si="4"/>
        <v>0</v>
      </c>
      <c r="AN41" s="76">
        <f>MAX(0,O41*Escenarios!$F$13/Escenarios!$F$16-AM41)</f>
        <v>0.49714104654043806</v>
      </c>
      <c r="AO41" s="76">
        <f>AM41+AN41-O41*Escenarios!$F$13/Escenarios!$F$16</f>
        <v>0</v>
      </c>
      <c r="AP41" s="76">
        <f t="shared" si="5"/>
        <v>0.42835589395931178</v>
      </c>
      <c r="AQ41" s="76">
        <f t="shared" si="6"/>
        <v>0</v>
      </c>
      <c r="AR41" s="76">
        <f t="shared" si="7"/>
        <v>0.92549694049974984</v>
      </c>
      <c r="AS41" s="76">
        <f t="shared" si="8"/>
        <v>0</v>
      </c>
      <c r="AT41" s="76">
        <f t="shared" si="9"/>
        <v>0</v>
      </c>
      <c r="AU41" s="76">
        <f t="shared" si="10"/>
        <v>48.998780158107699</v>
      </c>
      <c r="AV41" s="76">
        <f>MAX(0,(AU41-Constantes!$D$13)*(1-EXP(-Constantes!$D$24)))</f>
        <v>3.8026661816874478E-3</v>
      </c>
      <c r="AW41" s="170">
        <f>AW40+(Entradas!$F$112*AT41-AX40)/(800*Entradas!$D$25)</f>
        <v>0</v>
      </c>
      <c r="AX41" s="170">
        <f>8000*Entradas!$D$26*AW41/Constantes!$F$45</f>
        <v>0</v>
      </c>
      <c r="AY41" s="170">
        <f>IF(Escenarios!$F$17&gt;0,10*Escenarios!$F$16*AL41,0)</f>
        <v>0</v>
      </c>
      <c r="AZ41" s="170">
        <f>IF(Escenarios!$F$17&gt;0,10*Escenarios!$F$16*AX41,0)</f>
        <v>0</v>
      </c>
      <c r="BA41" s="170">
        <f>IF(Escenarios!$F$17&gt;0,0.001*Observaciones!$F40*Escenarios!$F$17,0)</f>
        <v>0</v>
      </c>
      <c r="BB41" s="170">
        <f>IF(Escenarios!$F$17&gt;0,Observaciones!$K40,0)</f>
        <v>0</v>
      </c>
      <c r="BC41" s="170">
        <f>IF(Escenarios!$F$17&gt;0,MIN(0.0005*ETo!$M40*Escenarios!$F$17*(BG40/Constantes!$F$40)^(2/3),BG40+AY41+AZ41+BA41+BB41),0)</f>
        <v>0</v>
      </c>
      <c r="BD41" s="170">
        <f>IF(Escenarios!$F$17&gt;0,MIN(Constantes!$F$39*(BG40/Constantes!$F$40)^(2/3),BG40+AY41+AZ41+BA41+BB41-BC41),0)</f>
        <v>0</v>
      </c>
      <c r="BE41" s="170">
        <f>IF(Escenarios!$F$17&gt;0,MIN(Entradas!$F$113,BG40+AY41+AZ41+BA41+BB41-BC41-BD41),0)</f>
        <v>0</v>
      </c>
      <c r="BF41" s="170">
        <f>IF(Escenarios!$F$17&gt;0,MAX(0,BG40+AY41+AZ41+BA41+BB41-BC41-BD41-BE41-Constantes!$F$40),0)</f>
        <v>0</v>
      </c>
      <c r="BG41" s="170">
        <f t="shared" si="11"/>
        <v>0</v>
      </c>
      <c r="BH41" s="170">
        <f>(Escenarios!$F$16*AK41+0.1*BC41)/(Escenarios!$F$19)</f>
        <v>2.9668880039699164</v>
      </c>
      <c r="BI41" s="170">
        <f>IF(Escenarios!$F$17&gt;0,BF41/10/Escenarios!$F$19,AL41)</f>
        <v>0</v>
      </c>
      <c r="BJ41" s="170">
        <f>(Escenarios!$F$16*AT41+0.1*BD41)/(Escenarios!$F$19)</f>
        <v>0</v>
      </c>
      <c r="BK41" s="76">
        <f>BK40+(0.1*BD41)/(Escenarios!$F$19)-BL40</f>
        <v>48.75</v>
      </c>
      <c r="BL41" s="76">
        <f>MAX(0,(BK41-Constantes!$D$13)*(1-EXP(-Constantes!$D$23)))</f>
        <v>0</v>
      </c>
      <c r="BM41" s="76">
        <f t="shared" si="12"/>
        <v>0.43215856014099924</v>
      </c>
      <c r="BN41" s="76">
        <f t="shared" si="13"/>
        <v>0.9292996066814373</v>
      </c>
      <c r="BO41" s="76">
        <f>0.0526*BI41*Observaciones!$F40^1.218</f>
        <v>0</v>
      </c>
      <c r="BP41" s="76">
        <f>BO41*Constantes!$F$51</f>
        <v>0</v>
      </c>
      <c r="BQ41" s="76">
        <f t="shared" si="14"/>
        <v>0</v>
      </c>
      <c r="BR41" s="40"/>
    </row>
    <row r="42" spans="2:70">
      <c r="B42" s="39"/>
      <c r="C42" s="75">
        <v>36</v>
      </c>
      <c r="D42" s="146">
        <f>ETo!$I41*((1-Constantes!$F$19)*ETo!$K41+ETo!$L41)</f>
        <v>4.6965589077362191</v>
      </c>
      <c r="E42" s="76">
        <f>MIN(D42*Constantes!$F$17,0.8*(N41+Observaciones!$F41-F42-M42-Constantes!$D$14))</f>
        <v>2.6785027653854638</v>
      </c>
      <c r="F42" s="76">
        <f>IF(Observaciones!$F41&gt;0.05*Constantes!$F$18,((Observaciones!$F41-0.05*Constantes!$F$18)^2)/(Observaciones!$F41+0.95*Constantes!$F$18),0)</f>
        <v>0</v>
      </c>
      <c r="G42" s="76">
        <f>IF(Escenarios!$F$11&gt;0,(F42*Escenarios!$F$16*10000)/1000,0)</f>
        <v>0</v>
      </c>
      <c r="H42" s="76">
        <f>IF(Escenarios!$F$11&gt;0,(Observaciones!$F41*Constantes!$F$29)/1000,0)</f>
        <v>0</v>
      </c>
      <c r="I42" s="76">
        <f>IF(Escenarios!$F$11&gt;0,(D42*Constantes!$F$29)/1000,0)</f>
        <v>0</v>
      </c>
      <c r="J42" s="76">
        <f>IF(Escenarios!$F$11&gt;0,MAX(0,G42+H42-I42),0)</f>
        <v>0</v>
      </c>
      <c r="K42" s="76">
        <f>IF(Escenarios!$F$11&gt;0,IF(J42&gt;Constantes!$F$30,1000*((J42-Constantes!$F$30)/(Escenarios!$F$16*10000)),0),F42)</f>
        <v>0</v>
      </c>
      <c r="L42" s="76">
        <f>IF(Escenarios!$F$11&gt;0,I42*1000/Escenarios!$F$16/10000+E42,E42)</f>
        <v>2.6785027653854638</v>
      </c>
      <c r="M42" s="76">
        <f>MAX(0,N41+Observaciones!$F41-K42-Constantes!$D$13)</f>
        <v>0</v>
      </c>
      <c r="N42" s="76">
        <f>N41+Observaciones!$F41-K42-L42-M42-O41</f>
        <v>24.59118325388398</v>
      </c>
      <c r="O42" s="76">
        <f>MAX(0,(N42-Constantes!$D$14)*(1-EXP(-Constantes!$D$22)))</f>
        <v>0.45444967811366199</v>
      </c>
      <c r="P42" s="170">
        <f>P41+(Entradas!$F$83*M42-Q41)/(800*Entradas!$D$25)</f>
        <v>0</v>
      </c>
      <c r="Q42" s="170">
        <f>8000*Entradas!$D$26*P42/Constantes!$F$45</f>
        <v>0</v>
      </c>
      <c r="R42" s="170">
        <f>IF(Escenarios!$F$14&gt;0,K42*Escenarios!$F$13/Escenarios!$F$14,0)</f>
        <v>0</v>
      </c>
      <c r="S42" s="170">
        <f>IF(Escenarios!$F$14&gt;0,Q42*Escenarios!$F$13/Escenarios!$F$14,0)</f>
        <v>0</v>
      </c>
      <c r="T42" s="170">
        <f>IF(Escenarios!$F$14&gt;0,Observaciones!$I41,0)</f>
        <v>0</v>
      </c>
      <c r="U42" s="170">
        <f>IF(Escenarios!$F$14&gt;0,MAX(0,Constantes!$F$36/((Z41+R42+S42+T42+Observaciones!$F41)^2)+Entradas!$F$77),0)</f>
        <v>0</v>
      </c>
      <c r="V42" s="146">
        <f>IF(ETo!D41&gt;0,ETo!I41*((1-Entradas!$F$81)*ETo!K41+ETo!L41),0)</f>
        <v>4.1775190327746099</v>
      </c>
      <c r="W42" s="170">
        <f>IF(Escenarios!$F$14&gt;0,MIN(V42*1,0.8*(Z41+R42+S42+T42+Observaciones!$F41-U42-Constantes!$F$35)),0)</f>
        <v>4.1775190327746099</v>
      </c>
      <c r="X42" s="170">
        <f>IF(Escenarios!$F$14&gt;0,Observaciones!$J41,0)</f>
        <v>0</v>
      </c>
      <c r="Y42" s="170">
        <f>IF(Escenarios!$F$14&gt;0,MAX(0,Z41+R42+S42+T42+Observaciones!$F41-U42-W42-X42-Constantes!$F$33),0)</f>
        <v>0</v>
      </c>
      <c r="Z42" s="170">
        <f>Z41+R42+S42+T42+Observaciones!$F41-U42-W42-Y42</f>
        <v>45.478910059988792</v>
      </c>
      <c r="AA42" s="170">
        <f>IF(Escenarios!$F$14&gt;0,(Escenarios!$F$13*L42+Escenarios!$F$14*W42)/(Escenarios!$F$16),L42)</f>
        <v>2.8583847174721613</v>
      </c>
      <c r="AB42" s="170">
        <f>IF(Escenarios!$F$14&gt;0,(Escenarios!$F$14*Y42)/(Escenarios!$F$16),K42)</f>
        <v>0</v>
      </c>
      <c r="AC42" s="170">
        <f>IF(Escenarios!$F$14&gt;0,(Escenarios!$F$13*M42+Escenarios!$F$14*U42)/(Escenarios!$F$16),M42)</f>
        <v>0</v>
      </c>
      <c r="AD42" s="76">
        <f t="shared" si="1"/>
        <v>91.795260197655793</v>
      </c>
      <c r="AE42" s="76">
        <f>MAX(0,(AD42-Constantes!$D$13)*(1-EXP(-Constantes!$D$23)))</f>
        <v>0.42413520130970567</v>
      </c>
      <c r="AF42" s="76">
        <f>AB42+O42*Escenarios!$F$13/Escenarios!$F$16+AE42</f>
        <v>0.82405091804972819</v>
      </c>
      <c r="AG42" s="76">
        <f>IF(Entradas!$F$91&gt;0,IF(AF42-Escenarios!$F$38&lt;=0,0,IF(AF42-Escenarios!$F$38&gt;Escenarios!$F$37,Escenarios!$F$37,AF42-Escenarios!$F$38)),0)</f>
        <v>0</v>
      </c>
      <c r="AH42" s="76">
        <f>AG42*Entradas!$F$99</f>
        <v>0</v>
      </c>
      <c r="AI42" s="76">
        <f>IF(Entradas!$F$91&gt;0,D42*Entradas!$D$23/Escenarios!$F$16,0)</f>
        <v>0.22543482757133854</v>
      </c>
      <c r="AJ42" s="76">
        <f>IF(Entradas!$F$91&gt;0,Entradas!$D$24*Entradas!$D$22/Escenarios!$F$16,0)</f>
        <v>0.12</v>
      </c>
      <c r="AK42" s="76">
        <f t="shared" si="2"/>
        <v>3.0838195450434998</v>
      </c>
      <c r="AL42" s="76">
        <f t="shared" si="3"/>
        <v>0</v>
      </c>
      <c r="AM42" s="76">
        <f t="shared" si="4"/>
        <v>0</v>
      </c>
      <c r="AN42" s="76">
        <f>MAX(0,O42*Escenarios!$F$13/Escenarios!$F$16-AM42)</f>
        <v>0.39991571674002258</v>
      </c>
      <c r="AO42" s="76">
        <f>AM42+AN42-O42*Escenarios!$F$13/Escenarios!$F$16</f>
        <v>0</v>
      </c>
      <c r="AP42" s="76">
        <f t="shared" si="5"/>
        <v>0.42413520130970567</v>
      </c>
      <c r="AQ42" s="76">
        <f t="shared" si="6"/>
        <v>0</v>
      </c>
      <c r="AR42" s="76">
        <f t="shared" si="7"/>
        <v>0.82405091804972819</v>
      </c>
      <c r="AS42" s="76">
        <f t="shared" si="8"/>
        <v>0</v>
      </c>
      <c r="AT42" s="76">
        <f t="shared" si="9"/>
        <v>0</v>
      </c>
      <c r="AU42" s="76">
        <f t="shared" si="10"/>
        <v>48.994977491926015</v>
      </c>
      <c r="AV42" s="76">
        <f>MAX(0,(AU42-Constantes!$D$13)*(1-EXP(-Constantes!$D$24)))</f>
        <v>3.7445414895925194E-3</v>
      </c>
      <c r="AW42" s="170">
        <f>AW41+(Entradas!$F$112*AT42-AX41)/(800*Entradas!$D$25)</f>
        <v>0</v>
      </c>
      <c r="AX42" s="170">
        <f>8000*Entradas!$D$26*AW42/Constantes!$F$45</f>
        <v>0</v>
      </c>
      <c r="AY42" s="170">
        <f>IF(Escenarios!$F$17&gt;0,10*Escenarios!$F$16*AL42,0)</f>
        <v>0</v>
      </c>
      <c r="AZ42" s="170">
        <f>IF(Escenarios!$F$17&gt;0,10*Escenarios!$F$16*AX42,0)</f>
        <v>0</v>
      </c>
      <c r="BA42" s="170">
        <f>IF(Escenarios!$F$17&gt;0,0.001*Observaciones!$F41*Escenarios!$F$17,0)</f>
        <v>0</v>
      </c>
      <c r="BB42" s="170">
        <f>IF(Escenarios!$F$17&gt;0,Observaciones!$K41,0)</f>
        <v>0</v>
      </c>
      <c r="BC42" s="170">
        <f>IF(Escenarios!$F$17&gt;0,MIN(0.0005*ETo!$M41*Escenarios!$F$17*(BG41/Constantes!$F$40)^(2/3),BG41+AY42+AZ42+BA42+BB42),0)</f>
        <v>0</v>
      </c>
      <c r="BD42" s="170">
        <f>IF(Escenarios!$F$17&gt;0,MIN(Constantes!$F$39*(BG41/Constantes!$F$40)^(2/3),BG41+AY42+AZ42+BA42+BB42-BC42),0)</f>
        <v>0</v>
      </c>
      <c r="BE42" s="170">
        <f>IF(Escenarios!$F$17&gt;0,MIN(Entradas!$F$113,BG41+AY42+AZ42+BA42+BB42-BC42-BD42),0)</f>
        <v>0</v>
      </c>
      <c r="BF42" s="170">
        <f>IF(Escenarios!$F$17&gt;0,MAX(0,BG41+AY42+AZ42+BA42+BB42-BC42-BD42-BE42-Constantes!$F$40),0)</f>
        <v>0</v>
      </c>
      <c r="BG42" s="170">
        <f t="shared" si="11"/>
        <v>0</v>
      </c>
      <c r="BH42" s="170">
        <f>(Escenarios!$F$16*AK42+0.1*BC42)/(Escenarios!$F$19)</f>
        <v>3.0838195450434998</v>
      </c>
      <c r="BI42" s="170">
        <f>IF(Escenarios!$F$17&gt;0,BF42/10/Escenarios!$F$19,AL42)</f>
        <v>0</v>
      </c>
      <c r="BJ42" s="170">
        <f>(Escenarios!$F$16*AT42+0.1*BD42)/(Escenarios!$F$19)</f>
        <v>0</v>
      </c>
      <c r="BK42" s="76">
        <f>BK41+(0.1*BD42)/(Escenarios!$F$19)-BL41</f>
        <v>48.75</v>
      </c>
      <c r="BL42" s="76">
        <f>MAX(0,(BK42-Constantes!$D$13)*(1-EXP(-Constantes!$D$23)))</f>
        <v>0</v>
      </c>
      <c r="BM42" s="76">
        <f t="shared" si="12"/>
        <v>0.42787974279929819</v>
      </c>
      <c r="BN42" s="76">
        <f t="shared" si="13"/>
        <v>0.82779545953932065</v>
      </c>
      <c r="BO42" s="76">
        <f>0.0526*BI42*Observaciones!$F41^1.218</f>
        <v>0</v>
      </c>
      <c r="BP42" s="76">
        <f>BO42*Constantes!$F$51</f>
        <v>0</v>
      </c>
      <c r="BQ42" s="76">
        <f t="shared" si="14"/>
        <v>0</v>
      </c>
      <c r="BR42" s="40"/>
    </row>
    <row r="43" spans="2:70">
      <c r="B43" s="39"/>
      <c r="C43" s="75">
        <v>37</v>
      </c>
      <c r="D43" s="146">
        <f>ETo!$I42*((1-Constantes!$F$19)*ETo!$K42+ETo!$L42)</f>
        <v>4.7628796333802441</v>
      </c>
      <c r="E43" s="76">
        <f>MIN(D43*Constantes!$F$17,0.8*(N42+Observaciones!$F42-F43-M43-Constantes!$D$14))</f>
        <v>2.7163262549934148</v>
      </c>
      <c r="F43" s="76">
        <f>IF(Observaciones!$F42&gt;0.05*Constantes!$F$18,((Observaciones!$F42-0.05*Constantes!$F$18)^2)/(Observaciones!$F42+0.95*Constantes!$F$18),0)</f>
        <v>0</v>
      </c>
      <c r="G43" s="76">
        <f>IF(Escenarios!$F$11&gt;0,(F43*Escenarios!$F$16*10000)/1000,0)</f>
        <v>0</v>
      </c>
      <c r="H43" s="76">
        <f>IF(Escenarios!$F$11&gt;0,(Observaciones!$F42*Constantes!$F$29)/1000,0)</f>
        <v>0</v>
      </c>
      <c r="I43" s="76">
        <f>IF(Escenarios!$F$11&gt;0,(D43*Constantes!$F$29)/1000,0)</f>
        <v>0</v>
      </c>
      <c r="J43" s="76">
        <f>IF(Escenarios!$F$11&gt;0,MAX(0,G43+H43-I43),0)</f>
        <v>0</v>
      </c>
      <c r="K43" s="76">
        <f>IF(Escenarios!$F$11&gt;0,IF(J43&gt;Constantes!$F$30,1000*((J43-Constantes!$F$30)/(Escenarios!$F$16*10000)),0),F43)</f>
        <v>0</v>
      </c>
      <c r="L43" s="76">
        <f>IF(Escenarios!$F$11&gt;0,I43*1000/Escenarios!$F$16/10000+E43,E43)</f>
        <v>2.7163262549934148</v>
      </c>
      <c r="M43" s="76">
        <f>MAX(0,N42+Observaciones!$F42-K43-Constantes!$D$13)</f>
        <v>0</v>
      </c>
      <c r="N43" s="76">
        <f>N42+Observaciones!$F42-K43-L43-M43-O42</f>
        <v>21.420407320776903</v>
      </c>
      <c r="O43" s="76">
        <f>MAX(0,(N43-Constantes!$D$14)*(1-EXP(-Constantes!$D$22)))</f>
        <v>0.34644140967528675</v>
      </c>
      <c r="P43" s="170">
        <f>P42+(Entradas!$F$83*M43-Q42)/(800*Entradas!$D$25)</f>
        <v>0</v>
      </c>
      <c r="Q43" s="170">
        <f>8000*Entradas!$D$26*P43/Constantes!$F$45</f>
        <v>0</v>
      </c>
      <c r="R43" s="170">
        <f>IF(Escenarios!$F$14&gt;0,K43*Escenarios!$F$13/Escenarios!$F$14,0)</f>
        <v>0</v>
      </c>
      <c r="S43" s="170">
        <f>IF(Escenarios!$F$14&gt;0,Q43*Escenarios!$F$13/Escenarios!$F$14,0)</f>
        <v>0</v>
      </c>
      <c r="T43" s="170">
        <f>IF(Escenarios!$F$14&gt;0,Observaciones!$I42,0)</f>
        <v>0</v>
      </c>
      <c r="U43" s="170">
        <f>IF(Escenarios!$F$14&gt;0,MAX(0,Constantes!$F$36/((Z42+R43+S43+T43+Observaciones!$F42)^2)+Entradas!$F$77),0)</f>
        <v>0</v>
      </c>
      <c r="V43" s="146">
        <f>IF(ETo!D42&gt;0,ETo!I42*((1-Entradas!$F$81)*ETo!K42+ETo!L42),0)</f>
        <v>4.2378409355744786</v>
      </c>
      <c r="W43" s="170">
        <f>IF(Escenarios!$F$14&gt;0,MIN(V43*1,0.8*(Z42+R43+S43+T43+Observaciones!$F42-U43-Constantes!$F$35)),0)</f>
        <v>3.3831280479910335</v>
      </c>
      <c r="X43" s="170">
        <f>IF(Escenarios!$F$14&gt;0,Observaciones!$J42,0)</f>
        <v>0</v>
      </c>
      <c r="Y43" s="170">
        <f>IF(Escenarios!$F$14&gt;0,MAX(0,Z42+R43+S43+T43+Observaciones!$F42-U43-W43-X43-Constantes!$F$33),0)</f>
        <v>0</v>
      </c>
      <c r="Z43" s="170">
        <f>Z42+R43+S43+T43+Observaciones!$F42-U43-W43-Y43</f>
        <v>42.095782011997755</v>
      </c>
      <c r="AA43" s="170">
        <f>IF(Escenarios!$F$14&gt;0,(Escenarios!$F$13*L43+Escenarios!$F$14*W43)/(Escenarios!$F$16),L43)</f>
        <v>2.796342470153129</v>
      </c>
      <c r="AB43" s="170">
        <f>IF(Escenarios!$F$14&gt;0,(Escenarios!$F$14*Y43)/(Escenarios!$F$16),K43)</f>
        <v>0</v>
      </c>
      <c r="AC43" s="170">
        <f>IF(Escenarios!$F$14&gt;0,(Escenarios!$F$13*M43+Escenarios!$F$14*U43)/(Escenarios!$F$16),M43)</f>
        <v>0</v>
      </c>
      <c r="AD43" s="76">
        <f t="shared" si="1"/>
        <v>91.371124996346083</v>
      </c>
      <c r="AE43" s="76">
        <f>MAX(0,(AD43-Constantes!$D$13)*(1-EXP(-Constantes!$D$23)))</f>
        <v>0.41995609615006663</v>
      </c>
      <c r="AF43" s="76">
        <f>AB43+O43*Escenarios!$F$13/Escenarios!$F$16+AE43</f>
        <v>0.7248245366643189</v>
      </c>
      <c r="AG43" s="76">
        <f>IF(Entradas!$F$91&gt;0,IF(AF43-Escenarios!$F$38&lt;=0,0,IF(AF43-Escenarios!$F$38&gt;Escenarios!$F$37,Escenarios!$F$37,AF43-Escenarios!$F$38)),0)</f>
        <v>0</v>
      </c>
      <c r="AH43" s="76">
        <f>AG43*Entradas!$F$99</f>
        <v>0</v>
      </c>
      <c r="AI43" s="76">
        <f>IF(Entradas!$F$91&gt;0,D43*Entradas!$D$23/Escenarios!$F$16,0)</f>
        <v>0.22861822240225171</v>
      </c>
      <c r="AJ43" s="76">
        <f>IF(Entradas!$F$91&gt;0,Entradas!$D$24*Entradas!$D$22/Escenarios!$F$16,0)</f>
        <v>0.12</v>
      </c>
      <c r="AK43" s="76">
        <f t="shared" si="2"/>
        <v>3.0249606925553807</v>
      </c>
      <c r="AL43" s="76">
        <f t="shared" si="3"/>
        <v>0</v>
      </c>
      <c r="AM43" s="76">
        <f t="shared" si="4"/>
        <v>0</v>
      </c>
      <c r="AN43" s="76">
        <f>MAX(0,O43*Escenarios!$F$13/Escenarios!$F$16-AM43)</f>
        <v>0.30486844051425233</v>
      </c>
      <c r="AO43" s="76">
        <f>AM43+AN43-O43*Escenarios!$F$13/Escenarios!$F$16</f>
        <v>0</v>
      </c>
      <c r="AP43" s="76">
        <f t="shared" si="5"/>
        <v>0.41995609615006663</v>
      </c>
      <c r="AQ43" s="76">
        <f t="shared" si="6"/>
        <v>0</v>
      </c>
      <c r="AR43" s="76">
        <f t="shared" si="7"/>
        <v>0.7248245366643189</v>
      </c>
      <c r="AS43" s="76">
        <f t="shared" si="8"/>
        <v>0</v>
      </c>
      <c r="AT43" s="76">
        <f t="shared" si="9"/>
        <v>0</v>
      </c>
      <c r="AU43" s="76">
        <f t="shared" si="10"/>
        <v>48.991232950436419</v>
      </c>
      <c r="AV43" s="76">
        <f>MAX(0,(AU43-Constantes!$D$13)*(1-EXP(-Constantes!$D$24)))</f>
        <v>3.6873052477767779E-3</v>
      </c>
      <c r="AW43" s="170">
        <f>AW42+(Entradas!$F$112*AT43-AX42)/(800*Entradas!$D$25)</f>
        <v>0</v>
      </c>
      <c r="AX43" s="170">
        <f>8000*Entradas!$D$26*AW43/Constantes!$F$45</f>
        <v>0</v>
      </c>
      <c r="AY43" s="170">
        <f>IF(Escenarios!$F$17&gt;0,10*Escenarios!$F$16*AL43,0)</f>
        <v>0</v>
      </c>
      <c r="AZ43" s="170">
        <f>IF(Escenarios!$F$17&gt;0,10*Escenarios!$F$16*AX43,0)</f>
        <v>0</v>
      </c>
      <c r="BA43" s="170">
        <f>IF(Escenarios!$F$17&gt;0,0.001*Observaciones!$F42*Escenarios!$F$17,0)</f>
        <v>0</v>
      </c>
      <c r="BB43" s="170">
        <f>IF(Escenarios!$F$17&gt;0,Observaciones!$K42,0)</f>
        <v>0</v>
      </c>
      <c r="BC43" s="170">
        <f>IF(Escenarios!$F$17&gt;0,MIN(0.0005*ETo!$M42*Escenarios!$F$17*(BG42/Constantes!$F$40)^(2/3),BG42+AY43+AZ43+BA43+BB43),0)</f>
        <v>0</v>
      </c>
      <c r="BD43" s="170">
        <f>IF(Escenarios!$F$17&gt;0,MIN(Constantes!$F$39*(BG42/Constantes!$F$40)^(2/3),BG42+AY43+AZ43+BA43+BB43-BC43),0)</f>
        <v>0</v>
      </c>
      <c r="BE43" s="170">
        <f>IF(Escenarios!$F$17&gt;0,MIN(Entradas!$F$113,BG42+AY43+AZ43+BA43+BB43-BC43-BD43),0)</f>
        <v>0</v>
      </c>
      <c r="BF43" s="170">
        <f>IF(Escenarios!$F$17&gt;0,MAX(0,BG42+AY43+AZ43+BA43+BB43-BC43-BD43-BE43-Constantes!$F$40),0)</f>
        <v>0</v>
      </c>
      <c r="BG43" s="170">
        <f t="shared" si="11"/>
        <v>0</v>
      </c>
      <c r="BH43" s="170">
        <f>(Escenarios!$F$16*AK43+0.1*BC43)/(Escenarios!$F$19)</f>
        <v>3.0249606925553807</v>
      </c>
      <c r="BI43" s="170">
        <f>IF(Escenarios!$F$17&gt;0,BF43/10/Escenarios!$F$19,AL43)</f>
        <v>0</v>
      </c>
      <c r="BJ43" s="170">
        <f>(Escenarios!$F$16*AT43+0.1*BD43)/(Escenarios!$F$19)</f>
        <v>0</v>
      </c>
      <c r="BK43" s="76">
        <f>BK42+(0.1*BD43)/(Escenarios!$F$19)-BL42</f>
        <v>48.75</v>
      </c>
      <c r="BL43" s="76">
        <f>MAX(0,(BK43-Constantes!$D$13)*(1-EXP(-Constantes!$D$23)))</f>
        <v>0</v>
      </c>
      <c r="BM43" s="76">
        <f t="shared" si="12"/>
        <v>0.4236434013978434</v>
      </c>
      <c r="BN43" s="76">
        <f t="shared" si="13"/>
        <v>0.72851184191209573</v>
      </c>
      <c r="BO43" s="76">
        <f>0.0526*BI43*Observaciones!$F42^1.218</f>
        <v>0</v>
      </c>
      <c r="BP43" s="76">
        <f>BO43*Constantes!$F$51</f>
        <v>0</v>
      </c>
      <c r="BQ43" s="76">
        <f t="shared" si="14"/>
        <v>0</v>
      </c>
      <c r="BR43" s="40"/>
    </row>
    <row r="44" spans="2:70">
      <c r="B44" s="39"/>
      <c r="C44" s="75">
        <v>38</v>
      </c>
      <c r="D44" s="146">
        <f>ETo!$I43*((1-Constantes!$F$19)*ETo!$K43+ETo!$L43)</f>
        <v>4.6580693363375083</v>
      </c>
      <c r="E44" s="76">
        <f>MIN(D44*Constantes!$F$17,0.8*(N43+Observaciones!$F43-F44-M44-Constantes!$D$14))</f>
        <v>2.656551710271446</v>
      </c>
      <c r="F44" s="76">
        <f>IF(Observaciones!$F43&gt;0.05*Constantes!$F$18,((Observaciones!$F43-0.05*Constantes!$F$18)^2)/(Observaciones!$F43+0.95*Constantes!$F$18),0)</f>
        <v>2.8681511308678784E-2</v>
      </c>
      <c r="G44" s="76">
        <f>IF(Escenarios!$F$11&gt;0,(F44*Escenarios!$F$16*10000)/1000,0)</f>
        <v>0</v>
      </c>
      <c r="H44" s="76">
        <f>IF(Escenarios!$F$11&gt;0,(Observaciones!$F43*Constantes!$F$29)/1000,0)</f>
        <v>0</v>
      </c>
      <c r="I44" s="76">
        <f>IF(Escenarios!$F$11&gt;0,(D44*Constantes!$F$29)/1000,0)</f>
        <v>0</v>
      </c>
      <c r="J44" s="76">
        <f>IF(Escenarios!$F$11&gt;0,MAX(0,G44+H44-I44),0)</f>
        <v>0</v>
      </c>
      <c r="K44" s="76">
        <f>IF(Escenarios!$F$11&gt;0,IF(J44&gt;Constantes!$F$30,1000*((J44-Constantes!$F$30)/(Escenarios!$F$16*10000)),0),F44)</f>
        <v>2.8681511308678784E-2</v>
      </c>
      <c r="L44" s="76">
        <f>IF(Escenarios!$F$11&gt;0,I44*1000/Escenarios!$F$16/10000+E44,E44)</f>
        <v>2.656551710271446</v>
      </c>
      <c r="M44" s="76">
        <f>MAX(0,N43+Observaciones!$F43-K44-Constantes!$D$13)</f>
        <v>0</v>
      </c>
      <c r="N44" s="76">
        <f>N43+Observaciones!$F43-K44-L44-M44-O43</f>
        <v>31.888732689521497</v>
      </c>
      <c r="O44" s="76">
        <f>MAX(0,(N44-Constantes!$D$14)*(1-EXP(-Constantes!$D$22)))</f>
        <v>0.70303100174389699</v>
      </c>
      <c r="P44" s="170">
        <f>P43+(Entradas!$F$83*M44-Q43)/(800*Entradas!$D$25)</f>
        <v>0</v>
      </c>
      <c r="Q44" s="170">
        <f>8000*Entradas!$D$26*P44/Constantes!$F$45</f>
        <v>0</v>
      </c>
      <c r="R44" s="170">
        <f>IF(Escenarios!$F$14&gt;0,K44*Escenarios!$F$13/Escenarios!$F$14,0)</f>
        <v>0.21033108293031108</v>
      </c>
      <c r="S44" s="170">
        <f>IF(Escenarios!$F$14&gt;0,Q44*Escenarios!$F$13/Escenarios!$F$14,0)</f>
        <v>0</v>
      </c>
      <c r="T44" s="170">
        <f>IF(Escenarios!$F$14&gt;0,Observaciones!$I43,0)</f>
        <v>0</v>
      </c>
      <c r="U44" s="170">
        <f>IF(Escenarios!$F$14&gt;0,MAX(0,Constantes!$F$36/((Z43+R44+S44+T44+Observaciones!$F43)^2)+Entradas!$F$77),0)</f>
        <v>0</v>
      </c>
      <c r="V44" s="146">
        <f>IF(ETo!D43&gt;0,ETo!I43*((1-Entradas!$F$81)*ETo!K43+ETo!L43),0)</f>
        <v>4.1425010923283656</v>
      </c>
      <c r="W44" s="170">
        <f>IF(Escenarios!$F$14&gt;0,MIN(V44*1,0.8*(Z43+R44+S44+T44+Observaciones!$F43-U44-Constantes!$F$35)),0)</f>
        <v>4.1425010923283656</v>
      </c>
      <c r="X44" s="170">
        <f>IF(Escenarios!$F$14&gt;0,Observaciones!$J43,0)</f>
        <v>0</v>
      </c>
      <c r="Y44" s="170">
        <f>IF(Escenarios!$F$14&gt;0,MAX(0,Z43+R44+S44+T44+Observaciones!$F43-U44-W44-X44-Constantes!$F$33),0)</f>
        <v>0</v>
      </c>
      <c r="Z44" s="170">
        <f>Z43+R44+S44+T44+Observaciones!$F43-U44-W44-Y44</f>
        <v>51.663612002599699</v>
      </c>
      <c r="AA44" s="170">
        <f>IF(Escenarios!$F$14&gt;0,(Escenarios!$F$13*L44+Escenarios!$F$14*W44)/(Escenarios!$F$16),L44)</f>
        <v>2.8348656361182765</v>
      </c>
      <c r="AB44" s="170">
        <f>IF(Escenarios!$F$14&gt;0,(Escenarios!$F$14*Y44)/(Escenarios!$F$16),K44)</f>
        <v>0</v>
      </c>
      <c r="AC44" s="170">
        <f>IF(Escenarios!$F$14&gt;0,(Escenarios!$F$13*M44+Escenarios!$F$14*U44)/(Escenarios!$F$16),M44)</f>
        <v>0</v>
      </c>
      <c r="AD44" s="76">
        <f t="shared" si="1"/>
        <v>90.951168900196009</v>
      </c>
      <c r="AE44" s="76">
        <f>MAX(0,(AD44-Constantes!$D$13)*(1-EXP(-Constantes!$D$23)))</f>
        <v>0.41581816870895083</v>
      </c>
      <c r="AF44" s="76">
        <f>AB44+O44*Escenarios!$F$13/Escenarios!$F$16+AE44</f>
        <v>1.0344854502435801</v>
      </c>
      <c r="AG44" s="76">
        <f>IF(Entradas!$F$91&gt;0,IF(AF44-Escenarios!$F$38&lt;=0,0,IF(AF44-Escenarios!$F$38&gt;Escenarios!$F$37,Escenarios!$F$37,AF44-Escenarios!$F$38)),0)</f>
        <v>0</v>
      </c>
      <c r="AH44" s="76">
        <f>AG44*Entradas!$F$99</f>
        <v>0</v>
      </c>
      <c r="AI44" s="76">
        <f>IF(Entradas!$F$91&gt;0,D44*Entradas!$D$23/Escenarios!$F$16,0)</f>
        <v>0.2235873281442004</v>
      </c>
      <c r="AJ44" s="76">
        <f>IF(Entradas!$F$91&gt;0,Entradas!$D$24*Entradas!$D$22/Escenarios!$F$16,0)</f>
        <v>0.12</v>
      </c>
      <c r="AK44" s="76">
        <f t="shared" si="2"/>
        <v>3.0584529642624769</v>
      </c>
      <c r="AL44" s="76">
        <f t="shared" si="3"/>
        <v>0</v>
      </c>
      <c r="AM44" s="76">
        <f t="shared" si="4"/>
        <v>0</v>
      </c>
      <c r="AN44" s="76">
        <f>MAX(0,O44*Escenarios!$F$13/Escenarios!$F$16-AM44)</f>
        <v>0.61866728153462924</v>
      </c>
      <c r="AO44" s="76">
        <f>AM44+AN44-O44*Escenarios!$F$13/Escenarios!$F$16</f>
        <v>0</v>
      </c>
      <c r="AP44" s="76">
        <f t="shared" si="5"/>
        <v>0.41581816870895083</v>
      </c>
      <c r="AQ44" s="76">
        <f t="shared" si="6"/>
        <v>0</v>
      </c>
      <c r="AR44" s="76">
        <f t="shared" si="7"/>
        <v>1.0344854502435801</v>
      </c>
      <c r="AS44" s="76">
        <f t="shared" si="8"/>
        <v>0</v>
      </c>
      <c r="AT44" s="76">
        <f t="shared" si="9"/>
        <v>0</v>
      </c>
      <c r="AU44" s="76">
        <f t="shared" si="10"/>
        <v>48.987545645188639</v>
      </c>
      <c r="AV44" s="76">
        <f>MAX(0,(AU44-Constantes!$D$13)*(1-EXP(-Constantes!$D$24)))</f>
        <v>3.6309438760582899E-3</v>
      </c>
      <c r="AW44" s="170">
        <f>AW43+(Entradas!$F$112*AT44-AX43)/(800*Entradas!$D$25)</f>
        <v>0</v>
      </c>
      <c r="AX44" s="170">
        <f>8000*Entradas!$D$26*AW44/Constantes!$F$45</f>
        <v>0</v>
      </c>
      <c r="AY44" s="170">
        <f>IF(Escenarios!$F$17&gt;0,10*Escenarios!$F$16*AL44,0)</f>
        <v>0</v>
      </c>
      <c r="AZ44" s="170">
        <f>IF(Escenarios!$F$17&gt;0,10*Escenarios!$F$16*AX44,0)</f>
        <v>0</v>
      </c>
      <c r="BA44" s="170">
        <f>IF(Escenarios!$F$17&gt;0,0.001*Observaciones!$F43*Escenarios!$F$17,0)</f>
        <v>0</v>
      </c>
      <c r="BB44" s="170">
        <f>IF(Escenarios!$F$17&gt;0,Observaciones!$K43,0)</f>
        <v>0</v>
      </c>
      <c r="BC44" s="170">
        <f>IF(Escenarios!$F$17&gt;0,MIN(0.0005*ETo!$M43*Escenarios!$F$17*(BG43/Constantes!$F$40)^(2/3),BG43+AY44+AZ44+BA44+BB44),0)</f>
        <v>0</v>
      </c>
      <c r="BD44" s="170">
        <f>IF(Escenarios!$F$17&gt;0,MIN(Constantes!$F$39*(BG43/Constantes!$F$40)^(2/3),BG43+AY44+AZ44+BA44+BB44-BC44),0)</f>
        <v>0</v>
      </c>
      <c r="BE44" s="170">
        <f>IF(Escenarios!$F$17&gt;0,MIN(Entradas!$F$113,BG43+AY44+AZ44+BA44+BB44-BC44-BD44),0)</f>
        <v>0</v>
      </c>
      <c r="BF44" s="170">
        <f>IF(Escenarios!$F$17&gt;0,MAX(0,BG43+AY44+AZ44+BA44+BB44-BC44-BD44-BE44-Constantes!$F$40),0)</f>
        <v>0</v>
      </c>
      <c r="BG44" s="170">
        <f t="shared" si="11"/>
        <v>0</v>
      </c>
      <c r="BH44" s="170">
        <f>(Escenarios!$F$16*AK44+0.1*BC44)/(Escenarios!$F$19)</f>
        <v>3.0584529642624769</v>
      </c>
      <c r="BI44" s="170">
        <f>IF(Escenarios!$F$17&gt;0,BF44/10/Escenarios!$F$19,AL44)</f>
        <v>0</v>
      </c>
      <c r="BJ44" s="170">
        <f>(Escenarios!$F$16*AT44+0.1*BD44)/(Escenarios!$F$19)</f>
        <v>0</v>
      </c>
      <c r="BK44" s="76">
        <f>BK43+(0.1*BD44)/(Escenarios!$F$19)-BL43</f>
        <v>48.75</v>
      </c>
      <c r="BL44" s="76">
        <f>MAX(0,(BK44-Constantes!$D$13)*(1-EXP(-Constantes!$D$23)))</f>
        <v>0</v>
      </c>
      <c r="BM44" s="76">
        <f t="shared" si="12"/>
        <v>0.41944911258500911</v>
      </c>
      <c r="BN44" s="76">
        <f t="shared" si="13"/>
        <v>1.0381163941196383</v>
      </c>
      <c r="BO44" s="76">
        <f>0.0526*BI44*Observaciones!$F43^1.218</f>
        <v>0</v>
      </c>
      <c r="BP44" s="76">
        <f>BO44*Constantes!$F$51</f>
        <v>0</v>
      </c>
      <c r="BQ44" s="76">
        <f t="shared" si="14"/>
        <v>0</v>
      </c>
      <c r="BR44" s="40"/>
    </row>
    <row r="45" spans="2:70">
      <c r="B45" s="39"/>
      <c r="C45" s="75">
        <v>39</v>
      </c>
      <c r="D45" s="146">
        <f>ETo!$I44*((1-Constantes!$F$19)*ETo!$K44+ETo!$L44)</f>
        <v>4.700853857553863</v>
      </c>
      <c r="E45" s="76">
        <f>MIN(D45*Constantes!$F$17,0.8*(N44+Observaciones!$F44-F45-M45-Constantes!$D$14))</f>
        <v>2.6809522257648069</v>
      </c>
      <c r="F45" s="76">
        <f>IF(Observaciones!$F44&gt;0.05*Constantes!$F$18,((Observaciones!$F44-0.05*Constantes!$F$18)^2)/(Observaciones!$F44+0.95*Constantes!$F$18),0)</f>
        <v>0</v>
      </c>
      <c r="G45" s="76">
        <f>IF(Escenarios!$F$11&gt;0,(F45*Escenarios!$F$16*10000)/1000,0)</f>
        <v>0</v>
      </c>
      <c r="H45" s="76">
        <f>IF(Escenarios!$F$11&gt;0,(Observaciones!$F44*Constantes!$F$29)/1000,0)</f>
        <v>0</v>
      </c>
      <c r="I45" s="76">
        <f>IF(Escenarios!$F$11&gt;0,(D45*Constantes!$F$29)/1000,0)</f>
        <v>0</v>
      </c>
      <c r="J45" s="76">
        <f>IF(Escenarios!$F$11&gt;0,MAX(0,G45+H45-I45),0)</f>
        <v>0</v>
      </c>
      <c r="K45" s="76">
        <f>IF(Escenarios!$F$11&gt;0,IF(J45&gt;Constantes!$F$30,1000*((J45-Constantes!$F$30)/(Escenarios!$F$16*10000)),0),F45)</f>
        <v>0</v>
      </c>
      <c r="L45" s="76">
        <f>IF(Escenarios!$F$11&gt;0,I45*1000/Escenarios!$F$16/10000+E45,E45)</f>
        <v>2.6809522257648069</v>
      </c>
      <c r="M45" s="76">
        <f>MAX(0,N44+Observaciones!$F44-K45-Constantes!$D$13)</f>
        <v>0</v>
      </c>
      <c r="N45" s="76">
        <f>N44+Observaciones!$F44-K45-L45-M45-O44</f>
        <v>28.504749462012793</v>
      </c>
      <c r="O45" s="76">
        <f>MAX(0,(N45-Constantes!$D$14)*(1-EXP(-Constantes!$D$22)))</f>
        <v>0.58776011015820107</v>
      </c>
      <c r="P45" s="170">
        <f>P44+(Entradas!$F$83*M45-Q44)/(800*Entradas!$D$25)</f>
        <v>0</v>
      </c>
      <c r="Q45" s="170">
        <f>8000*Entradas!$D$26*P45/Constantes!$F$45</f>
        <v>0</v>
      </c>
      <c r="R45" s="170">
        <f>IF(Escenarios!$F$14&gt;0,K45*Escenarios!$F$13/Escenarios!$F$14,0)</f>
        <v>0</v>
      </c>
      <c r="S45" s="170">
        <f>IF(Escenarios!$F$14&gt;0,Q45*Escenarios!$F$13/Escenarios!$F$14,0)</f>
        <v>0</v>
      </c>
      <c r="T45" s="170">
        <f>IF(Escenarios!$F$14&gt;0,Observaciones!$I44,0)</f>
        <v>0</v>
      </c>
      <c r="U45" s="170">
        <f>IF(Escenarios!$F$14&gt;0,MAX(0,Constantes!$F$36/((Z44+R45+S45+T45+Observaciones!$F44)^2)+Entradas!$F$77),0)</f>
        <v>0</v>
      </c>
      <c r="V45" s="146">
        <f>IF(ETo!D44&gt;0,ETo!I44*((1-Entradas!$F$81)*ETo!K44+ETo!L44),0)</f>
        <v>4.1813454148836957</v>
      </c>
      <c r="W45" s="170">
        <f>IF(Escenarios!$F$14&gt;0,MIN(V45*1,0.8*(Z44+R45+S45+T45+Observaciones!$F44-U45-Constantes!$F$35)),0)</f>
        <v>4.1813454148836957</v>
      </c>
      <c r="X45" s="170">
        <f>IF(Escenarios!$F$14&gt;0,Observaciones!$J44,0)</f>
        <v>0</v>
      </c>
      <c r="Y45" s="170">
        <f>IF(Escenarios!$F$14&gt;0,MAX(0,Z44+R45+S45+T45+Observaciones!$F44-U45-W45-X45-Constantes!$F$33),0)</f>
        <v>0</v>
      </c>
      <c r="Z45" s="170">
        <f>Z44+R45+S45+T45+Observaciones!$F44-U45-W45-Y45</f>
        <v>47.482266587716005</v>
      </c>
      <c r="AA45" s="170">
        <f>IF(Escenarios!$F$14&gt;0,(Escenarios!$F$13*L45+Escenarios!$F$14*W45)/(Escenarios!$F$16),L45)</f>
        <v>2.8609994084590733</v>
      </c>
      <c r="AB45" s="170">
        <f>IF(Escenarios!$F$14&gt;0,(Escenarios!$F$14*Y45)/(Escenarios!$F$16),K45)</f>
        <v>0</v>
      </c>
      <c r="AC45" s="170">
        <f>IF(Escenarios!$F$14&gt;0,(Escenarios!$F$13*M45+Escenarios!$F$14*U45)/(Escenarios!$F$16),M45)</f>
        <v>0</v>
      </c>
      <c r="AD45" s="76">
        <f t="shared" si="1"/>
        <v>90.535350731487057</v>
      </c>
      <c r="AE45" s="76">
        <f>MAX(0,(AD45-Constantes!$D$13)*(1-EXP(-Constantes!$D$23)))</f>
        <v>0.41172101325248994</v>
      </c>
      <c r="AF45" s="76">
        <f>AB45+O45*Escenarios!$F$13/Escenarios!$F$16+AE45</f>
        <v>0.92894991019170692</v>
      </c>
      <c r="AG45" s="76">
        <f>IF(Entradas!$F$91&gt;0,IF(AF45-Escenarios!$F$38&lt;=0,0,IF(AF45-Escenarios!$F$38&gt;Escenarios!$F$37,Escenarios!$F$37,AF45-Escenarios!$F$38)),0)</f>
        <v>0</v>
      </c>
      <c r="AH45" s="76">
        <f>AG45*Entradas!$F$99</f>
        <v>0</v>
      </c>
      <c r="AI45" s="76">
        <f>IF(Entradas!$F$91&gt;0,D45*Entradas!$D$23/Escenarios!$F$16,0)</f>
        <v>0.22564098516258543</v>
      </c>
      <c r="AJ45" s="76">
        <f>IF(Entradas!$F$91&gt;0,Entradas!$D$24*Entradas!$D$22/Escenarios!$F$16,0)</f>
        <v>0.12</v>
      </c>
      <c r="AK45" s="76">
        <f t="shared" si="2"/>
        <v>3.0866403936216589</v>
      </c>
      <c r="AL45" s="76">
        <f t="shared" si="3"/>
        <v>0</v>
      </c>
      <c r="AM45" s="76">
        <f t="shared" si="4"/>
        <v>0</v>
      </c>
      <c r="AN45" s="76">
        <f>MAX(0,O45*Escenarios!$F$13/Escenarios!$F$16-AM45)</f>
        <v>0.51722889693921692</v>
      </c>
      <c r="AO45" s="76">
        <f>AM45+AN45-O45*Escenarios!$F$13/Escenarios!$F$16</f>
        <v>0</v>
      </c>
      <c r="AP45" s="76">
        <f t="shared" si="5"/>
        <v>0.41172101325248994</v>
      </c>
      <c r="AQ45" s="76">
        <f t="shared" si="6"/>
        <v>0</v>
      </c>
      <c r="AR45" s="76">
        <f t="shared" si="7"/>
        <v>0.92894991019170692</v>
      </c>
      <c r="AS45" s="76">
        <f t="shared" si="8"/>
        <v>0</v>
      </c>
      <c r="AT45" s="76">
        <f t="shared" si="9"/>
        <v>0</v>
      </c>
      <c r="AU45" s="76">
        <f t="shared" si="10"/>
        <v>48.983914701312578</v>
      </c>
      <c r="AV45" s="76">
        <f>MAX(0,(AU45-Constantes!$D$13)*(1-EXP(-Constantes!$D$24)))</f>
        <v>3.5754440018314821E-3</v>
      </c>
      <c r="AW45" s="170">
        <f>AW44+(Entradas!$F$112*AT45-AX44)/(800*Entradas!$D$25)</f>
        <v>0</v>
      </c>
      <c r="AX45" s="170">
        <f>8000*Entradas!$D$26*AW45/Constantes!$F$45</f>
        <v>0</v>
      </c>
      <c r="AY45" s="170">
        <f>IF(Escenarios!$F$17&gt;0,10*Escenarios!$F$16*AL45,0)</f>
        <v>0</v>
      </c>
      <c r="AZ45" s="170">
        <f>IF(Escenarios!$F$17&gt;0,10*Escenarios!$F$16*AX45,0)</f>
        <v>0</v>
      </c>
      <c r="BA45" s="170">
        <f>IF(Escenarios!$F$17&gt;0,0.001*Observaciones!$F44*Escenarios!$F$17,0)</f>
        <v>0</v>
      </c>
      <c r="BB45" s="170">
        <f>IF(Escenarios!$F$17&gt;0,Observaciones!$K44,0)</f>
        <v>0</v>
      </c>
      <c r="BC45" s="170">
        <f>IF(Escenarios!$F$17&gt;0,MIN(0.0005*ETo!$M44*Escenarios!$F$17*(BG44/Constantes!$F$40)^(2/3),BG44+AY45+AZ45+BA45+BB45),0)</f>
        <v>0</v>
      </c>
      <c r="BD45" s="170">
        <f>IF(Escenarios!$F$17&gt;0,MIN(Constantes!$F$39*(BG44/Constantes!$F$40)^(2/3),BG44+AY45+AZ45+BA45+BB45-BC45),0)</f>
        <v>0</v>
      </c>
      <c r="BE45" s="170">
        <f>IF(Escenarios!$F$17&gt;0,MIN(Entradas!$F$113,BG44+AY45+AZ45+BA45+BB45-BC45-BD45),0)</f>
        <v>0</v>
      </c>
      <c r="BF45" s="170">
        <f>IF(Escenarios!$F$17&gt;0,MAX(0,BG44+AY45+AZ45+BA45+BB45-BC45-BD45-BE45-Constantes!$F$40),0)</f>
        <v>0</v>
      </c>
      <c r="BG45" s="170">
        <f t="shared" si="11"/>
        <v>0</v>
      </c>
      <c r="BH45" s="170">
        <f>(Escenarios!$F$16*AK45+0.1*BC45)/(Escenarios!$F$19)</f>
        <v>3.0866403936216589</v>
      </c>
      <c r="BI45" s="170">
        <f>IF(Escenarios!$F$17&gt;0,BF45/10/Escenarios!$F$19,AL45)</f>
        <v>0</v>
      </c>
      <c r="BJ45" s="170">
        <f>(Escenarios!$F$16*AT45+0.1*BD45)/(Escenarios!$F$19)</f>
        <v>0</v>
      </c>
      <c r="BK45" s="76">
        <f>BK44+(0.1*BD45)/(Escenarios!$F$19)-BL44</f>
        <v>48.75</v>
      </c>
      <c r="BL45" s="76">
        <f>MAX(0,(BK45-Constantes!$D$13)*(1-EXP(-Constantes!$D$23)))</f>
        <v>0</v>
      </c>
      <c r="BM45" s="76">
        <f t="shared" si="12"/>
        <v>0.41529645725432141</v>
      </c>
      <c r="BN45" s="76">
        <f t="shared" si="13"/>
        <v>0.93252535419353844</v>
      </c>
      <c r="BO45" s="76">
        <f>0.0526*BI45*Observaciones!$F44^1.218</f>
        <v>0</v>
      </c>
      <c r="BP45" s="76">
        <f>BO45*Constantes!$F$51</f>
        <v>0</v>
      </c>
      <c r="BQ45" s="76">
        <f t="shared" si="14"/>
        <v>0</v>
      </c>
      <c r="BR45" s="40"/>
    </row>
    <row r="46" spans="2:70">
      <c r="B46" s="39"/>
      <c r="C46" s="75">
        <v>40</v>
      </c>
      <c r="D46" s="146">
        <f>ETo!$I45*((1-Constantes!$F$19)*ETo!$K45+ETo!$L45)</f>
        <v>4.4297711716669612</v>
      </c>
      <c r="E46" s="76">
        <f>MIN(D46*Constantes!$F$17,0.8*(N45+Observaciones!$F45-F46-M46-Constantes!$D$14))</f>
        <v>2.5263505827192669</v>
      </c>
      <c r="F46" s="76">
        <f>IF(Observaciones!$F45&gt;0.05*Constantes!$F$18,((Observaciones!$F45-0.05*Constantes!$F$18)^2)/(Observaciones!$F45+0.95*Constantes!$F$18),0)</f>
        <v>0</v>
      </c>
      <c r="G46" s="76">
        <f>IF(Escenarios!$F$11&gt;0,(F46*Escenarios!$F$16*10000)/1000,0)</f>
        <v>0</v>
      </c>
      <c r="H46" s="76">
        <f>IF(Escenarios!$F$11&gt;0,(Observaciones!$F45*Constantes!$F$29)/1000,0)</f>
        <v>0</v>
      </c>
      <c r="I46" s="76">
        <f>IF(Escenarios!$F$11&gt;0,(D46*Constantes!$F$29)/1000,0)</f>
        <v>0</v>
      </c>
      <c r="J46" s="76">
        <f>IF(Escenarios!$F$11&gt;0,MAX(0,G46+H46-I46),0)</f>
        <v>0</v>
      </c>
      <c r="K46" s="76">
        <f>IF(Escenarios!$F$11&gt;0,IF(J46&gt;Constantes!$F$30,1000*((J46-Constantes!$F$30)/(Escenarios!$F$16*10000)),0),F46)</f>
        <v>0</v>
      </c>
      <c r="L46" s="76">
        <f>IF(Escenarios!$F$11&gt;0,I46*1000/Escenarios!$F$16/10000+E46,E46)</f>
        <v>2.5263505827192669</v>
      </c>
      <c r="M46" s="76">
        <f>MAX(0,N45+Observaciones!$F45-K46-Constantes!$D$13)</f>
        <v>0</v>
      </c>
      <c r="N46" s="76">
        <f>N45+Observaciones!$F45-K46-L46-M46-O45</f>
        <v>27.390638769135325</v>
      </c>
      <c r="O46" s="76">
        <f>MAX(0,(N46-Constantes!$D$14)*(1-EXP(-Constantes!$D$22)))</f>
        <v>0.54980940997471073</v>
      </c>
      <c r="P46" s="170">
        <f>P45+(Entradas!$F$83*M46-Q45)/(800*Entradas!$D$25)</f>
        <v>0</v>
      </c>
      <c r="Q46" s="170">
        <f>8000*Entradas!$D$26*P46/Constantes!$F$45</f>
        <v>0</v>
      </c>
      <c r="R46" s="170">
        <f>IF(Escenarios!$F$14&gt;0,K46*Escenarios!$F$13/Escenarios!$F$14,0)</f>
        <v>0</v>
      </c>
      <c r="S46" s="170">
        <f>IF(Escenarios!$F$14&gt;0,Q46*Escenarios!$F$13/Escenarios!$F$14,0)</f>
        <v>0</v>
      </c>
      <c r="T46" s="170">
        <f>IF(Escenarios!$F$14&gt;0,Observaciones!$I45,0)</f>
        <v>0</v>
      </c>
      <c r="U46" s="170">
        <f>IF(Escenarios!$F$14&gt;0,MAX(0,Constantes!$F$36/((Z45+R46+S46+T46+Observaciones!$F45)^2)+Entradas!$F$77),0)</f>
        <v>0</v>
      </c>
      <c r="V46" s="146">
        <f>IF(ETo!D45&gt;0,ETo!I45*((1-Entradas!$F$81)*ETo!K45+ETo!L45),0)</f>
        <v>3.9358614916414423</v>
      </c>
      <c r="W46" s="170">
        <f>IF(Escenarios!$F$14&gt;0,MIN(V46*1,0.8*(Z45+R46+S46+T46+Observaciones!$F45-U46-Constantes!$F$35)),0)</f>
        <v>3.9358614916414423</v>
      </c>
      <c r="X46" s="170">
        <f>IF(Escenarios!$F$14&gt;0,Observaciones!$J45,0)</f>
        <v>0</v>
      </c>
      <c r="Y46" s="170">
        <f>IF(Escenarios!$F$14&gt;0,MAX(0,Z45+R46+S46+T46+Observaciones!$F45-U46-W46-X46-Constantes!$F$33),0)</f>
        <v>0</v>
      </c>
      <c r="Z46" s="170">
        <f>Z45+R46+S46+T46+Observaciones!$F45-U46-W46-Y46</f>
        <v>45.546405096074565</v>
      </c>
      <c r="AA46" s="170">
        <f>IF(Escenarios!$F$14&gt;0,(Escenarios!$F$13*L46+Escenarios!$F$14*W46)/(Escenarios!$F$16),L46)</f>
        <v>2.6954918917899282</v>
      </c>
      <c r="AB46" s="170">
        <f>IF(Escenarios!$F$14&gt;0,(Escenarios!$F$14*Y46)/(Escenarios!$F$16),K46)</f>
        <v>0</v>
      </c>
      <c r="AC46" s="170">
        <f>IF(Escenarios!$F$14&gt;0,(Escenarios!$F$13*M46+Escenarios!$F$14*U46)/(Escenarios!$F$16),M46)</f>
        <v>0</v>
      </c>
      <c r="AD46" s="76">
        <f t="shared" si="1"/>
        <v>90.123629718234568</v>
      </c>
      <c r="AE46" s="76">
        <f>MAX(0,(AD46-Constantes!$D$13)*(1-EXP(-Constantes!$D$23)))</f>
        <v>0.407664228044608</v>
      </c>
      <c r="AF46" s="76">
        <f>AB46+O46*Escenarios!$F$13/Escenarios!$F$16+AE46</f>
        <v>0.89149650882235343</v>
      </c>
      <c r="AG46" s="76">
        <f>IF(Entradas!$F$91&gt;0,IF(AF46-Escenarios!$F$38&lt;=0,0,IF(AF46-Escenarios!$F$38&gt;Escenarios!$F$37,Escenarios!$F$37,AF46-Escenarios!$F$38)),0)</f>
        <v>0</v>
      </c>
      <c r="AH46" s="76">
        <f>AG46*Entradas!$F$99</f>
        <v>0</v>
      </c>
      <c r="AI46" s="76">
        <f>IF(Entradas!$F$91&gt;0,D46*Entradas!$D$23/Escenarios!$F$16,0)</f>
        <v>0.21262901624001415</v>
      </c>
      <c r="AJ46" s="76">
        <f>IF(Entradas!$F$91&gt;0,Entradas!$D$24*Entradas!$D$22/Escenarios!$F$16,0)</f>
        <v>0.12</v>
      </c>
      <c r="AK46" s="76">
        <f t="shared" si="2"/>
        <v>2.9081209080299422</v>
      </c>
      <c r="AL46" s="76">
        <f t="shared" si="3"/>
        <v>0</v>
      </c>
      <c r="AM46" s="76">
        <f t="shared" si="4"/>
        <v>0</v>
      </c>
      <c r="AN46" s="76">
        <f>MAX(0,O46*Escenarios!$F$13/Escenarios!$F$16-AM46)</f>
        <v>0.48383228077774543</v>
      </c>
      <c r="AO46" s="76">
        <f>AM46+AN46-O46*Escenarios!$F$13/Escenarios!$F$16</f>
        <v>0</v>
      </c>
      <c r="AP46" s="76">
        <f t="shared" si="5"/>
        <v>0.407664228044608</v>
      </c>
      <c r="AQ46" s="76">
        <f t="shared" si="6"/>
        <v>0</v>
      </c>
      <c r="AR46" s="76">
        <f t="shared" si="7"/>
        <v>0.89149650882235343</v>
      </c>
      <c r="AS46" s="76">
        <f t="shared" si="8"/>
        <v>0</v>
      </c>
      <c r="AT46" s="76">
        <f t="shared" si="9"/>
        <v>0</v>
      </c>
      <c r="AU46" s="76">
        <f t="shared" si="10"/>
        <v>48.980339257310746</v>
      </c>
      <c r="AV46" s="76">
        <f>MAX(0,(AU46-Constantes!$D$13)*(1-EXP(-Constantes!$D$24)))</f>
        <v>3.5207924568943696E-3</v>
      </c>
      <c r="AW46" s="170">
        <f>AW45+(Entradas!$F$112*AT46-AX45)/(800*Entradas!$D$25)</f>
        <v>0</v>
      </c>
      <c r="AX46" s="170">
        <f>8000*Entradas!$D$26*AW46/Constantes!$F$45</f>
        <v>0</v>
      </c>
      <c r="AY46" s="170">
        <f>IF(Escenarios!$F$17&gt;0,10*Escenarios!$F$16*AL46,0)</f>
        <v>0</v>
      </c>
      <c r="AZ46" s="170">
        <f>IF(Escenarios!$F$17&gt;0,10*Escenarios!$F$16*AX46,0)</f>
        <v>0</v>
      </c>
      <c r="BA46" s="170">
        <f>IF(Escenarios!$F$17&gt;0,0.001*Observaciones!$F45*Escenarios!$F$17,0)</f>
        <v>0</v>
      </c>
      <c r="BB46" s="170">
        <f>IF(Escenarios!$F$17&gt;0,Observaciones!$K45,0)</f>
        <v>0</v>
      </c>
      <c r="BC46" s="170">
        <f>IF(Escenarios!$F$17&gt;0,MIN(0.0005*ETo!$M45*Escenarios!$F$17*(BG45/Constantes!$F$40)^(2/3),BG45+AY46+AZ46+BA46+BB46),0)</f>
        <v>0</v>
      </c>
      <c r="BD46" s="170">
        <f>IF(Escenarios!$F$17&gt;0,MIN(Constantes!$F$39*(BG45/Constantes!$F$40)^(2/3),BG45+AY46+AZ46+BA46+BB46-BC46),0)</f>
        <v>0</v>
      </c>
      <c r="BE46" s="170">
        <f>IF(Escenarios!$F$17&gt;0,MIN(Entradas!$F$113,BG45+AY46+AZ46+BA46+BB46-BC46-BD46),0)</f>
        <v>0</v>
      </c>
      <c r="BF46" s="170">
        <f>IF(Escenarios!$F$17&gt;0,MAX(0,BG45+AY46+AZ46+BA46+BB46-BC46-BD46-BE46-Constantes!$F$40),0)</f>
        <v>0</v>
      </c>
      <c r="BG46" s="170">
        <f t="shared" si="11"/>
        <v>0</v>
      </c>
      <c r="BH46" s="170">
        <f>(Escenarios!$F$16*AK46+0.1*BC46)/(Escenarios!$F$19)</f>
        <v>2.9081209080299422</v>
      </c>
      <c r="BI46" s="170">
        <f>IF(Escenarios!$F$17&gt;0,BF46/10/Escenarios!$F$19,AL46)</f>
        <v>0</v>
      </c>
      <c r="BJ46" s="170">
        <f>(Escenarios!$F$16*AT46+0.1*BD46)/(Escenarios!$F$19)</f>
        <v>0</v>
      </c>
      <c r="BK46" s="76">
        <f>BK45+(0.1*BD46)/(Escenarios!$F$19)-BL45</f>
        <v>48.75</v>
      </c>
      <c r="BL46" s="76">
        <f>MAX(0,(BK46-Constantes!$D$13)*(1-EXP(-Constantes!$D$23)))</f>
        <v>0</v>
      </c>
      <c r="BM46" s="76">
        <f t="shared" si="12"/>
        <v>0.41118502050150235</v>
      </c>
      <c r="BN46" s="76">
        <f t="shared" si="13"/>
        <v>0.89501730127924783</v>
      </c>
      <c r="BO46" s="76">
        <f>0.0526*BI46*Observaciones!$F45^1.218</f>
        <v>0</v>
      </c>
      <c r="BP46" s="76">
        <f>BO46*Constantes!$F$51</f>
        <v>0</v>
      </c>
      <c r="BQ46" s="76">
        <f t="shared" si="14"/>
        <v>0</v>
      </c>
      <c r="BR46" s="40"/>
    </row>
    <row r="47" spans="2:70">
      <c r="B47" s="39"/>
      <c r="C47" s="75">
        <v>41</v>
      </c>
      <c r="D47" s="146">
        <f>ETo!$I46*((1-Constantes!$F$19)*ETo!$K46+ETo!$L46)</f>
        <v>4.513764286815694</v>
      </c>
      <c r="E47" s="76">
        <f>MIN(D47*Constantes!$F$17,0.8*(N46+Observaciones!$F46-F47-M47-Constantes!$D$14))</f>
        <v>2.5742528438467995</v>
      </c>
      <c r="F47" s="76">
        <f>IF(Observaciones!$F46&gt;0.05*Constantes!$F$18,((Observaciones!$F46-0.05*Constantes!$F$18)^2)/(Observaciones!$F46+0.95*Constantes!$F$18),0)</f>
        <v>0.50857706400179847</v>
      </c>
      <c r="G47" s="76">
        <f>IF(Escenarios!$F$11&gt;0,(F47*Escenarios!$F$16*10000)/1000,0)</f>
        <v>0</v>
      </c>
      <c r="H47" s="76">
        <f>IF(Escenarios!$F$11&gt;0,(Observaciones!$F46*Constantes!$F$29)/1000,0)</f>
        <v>0</v>
      </c>
      <c r="I47" s="76">
        <f>IF(Escenarios!$F$11&gt;0,(D47*Constantes!$F$29)/1000,0)</f>
        <v>0</v>
      </c>
      <c r="J47" s="76">
        <f>IF(Escenarios!$F$11&gt;0,MAX(0,G47+H47-I47),0)</f>
        <v>0</v>
      </c>
      <c r="K47" s="76">
        <f>IF(Escenarios!$F$11&gt;0,IF(J47&gt;Constantes!$F$30,1000*((J47-Constantes!$F$30)/(Escenarios!$F$16*10000)),0),F47)</f>
        <v>0.50857706400179847</v>
      </c>
      <c r="L47" s="76">
        <f>IF(Escenarios!$F$11&gt;0,I47*1000/Escenarios!$F$16/10000+E47,E47)</f>
        <v>2.5742528438467995</v>
      </c>
      <c r="M47" s="76">
        <f>MAX(0,N46+Observaciones!$F46-K47-Constantes!$D$13)</f>
        <v>0</v>
      </c>
      <c r="N47" s="76">
        <f>N46+Observaciones!$F46-K47-L47-M47-O46</f>
        <v>45.557999451312014</v>
      </c>
      <c r="O47" s="76">
        <f>MAX(0,(N47-Constantes!$D$14)*(1-EXP(-Constantes!$D$22)))</f>
        <v>1.16865640855607</v>
      </c>
      <c r="P47" s="170">
        <f>P46+(Entradas!$F$83*M47-Q46)/(800*Entradas!$D$25)</f>
        <v>0</v>
      </c>
      <c r="Q47" s="170">
        <f>8000*Entradas!$D$26*P47/Constantes!$F$45</f>
        <v>0</v>
      </c>
      <c r="R47" s="170">
        <f>IF(Escenarios!$F$14&gt;0,K47*Escenarios!$F$13/Escenarios!$F$14,0)</f>
        <v>3.7295651360131887</v>
      </c>
      <c r="S47" s="170">
        <f>IF(Escenarios!$F$14&gt;0,Q47*Escenarios!$F$13/Escenarios!$F$14,0)</f>
        <v>0</v>
      </c>
      <c r="T47" s="170">
        <f>IF(Escenarios!$F$14&gt;0,Observaciones!$I46,0)</f>
        <v>0</v>
      </c>
      <c r="U47" s="170">
        <f>IF(Escenarios!$F$14&gt;0,MAX(0,Constantes!$F$36/((Z46+R47+S47+T47+Observaciones!$F46)^2)+Entradas!$F$77),0)</f>
        <v>0.96770198352334402</v>
      </c>
      <c r="V47" s="146">
        <f>IF(ETo!D46&gt;0,ETo!I46*((1-Entradas!$F$81)*ETo!K46+ETo!L46),0)</f>
        <v>4.0116440526006034</v>
      </c>
      <c r="W47" s="170">
        <f>IF(Escenarios!$F$14&gt;0,MIN(V47*1,0.8*(Z46+R47+S47+T47+Observaciones!$F46-U47-Constantes!$F$35)),0)</f>
        <v>4.0116440526006034</v>
      </c>
      <c r="X47" s="170">
        <f>IF(Escenarios!$F$14&gt;0,Observaciones!$J46,0)</f>
        <v>0</v>
      </c>
      <c r="Y47" s="170">
        <f>IF(Escenarios!$F$14&gt;0,MAX(0,Z46+R47+S47+T47+Observaciones!$F46-U47-W47-X47-Constantes!$F$33),0)</f>
        <v>0</v>
      </c>
      <c r="Z47" s="170">
        <f>Z46+R47+S47+T47+Observaciones!$F46-U47-W47-Y47</f>
        <v>66.096624195963813</v>
      </c>
      <c r="AA47" s="170">
        <f>IF(Escenarios!$F$14&gt;0,(Escenarios!$F$13*L47+Escenarios!$F$14*W47)/(Escenarios!$F$16),L47)</f>
        <v>2.7467397888972558</v>
      </c>
      <c r="AB47" s="170">
        <f>IF(Escenarios!$F$14&gt;0,(Escenarios!$F$14*Y47)/(Escenarios!$F$16),K47)</f>
        <v>0</v>
      </c>
      <c r="AC47" s="170">
        <f>IF(Escenarios!$F$14&gt;0,(Escenarios!$F$13*M47+Escenarios!$F$14*U47)/(Escenarios!$F$16),M47)</f>
        <v>0.11612423802280128</v>
      </c>
      <c r="AD47" s="76">
        <f t="shared" si="1"/>
        <v>89.832089728212765</v>
      </c>
      <c r="AE47" s="76">
        <f>MAX(0,(AD47-Constantes!$D$13)*(1-EXP(-Constantes!$D$23)))</f>
        <v>0.40479161508350753</v>
      </c>
      <c r="AF47" s="76">
        <f>AB47+O47*Escenarios!$F$13/Escenarios!$F$16+AE47</f>
        <v>1.4332092546128492</v>
      </c>
      <c r="AG47" s="76">
        <f>IF(Entradas!$F$91&gt;0,IF(AF47-Escenarios!$F$38&lt;=0,0,IF(AF47-Escenarios!$F$38&gt;Escenarios!$F$37,Escenarios!$F$37,AF47-Escenarios!$F$38)),0)</f>
        <v>0.39640925461284926</v>
      </c>
      <c r="AH47" s="76">
        <f>AG47*Entradas!$F$99</f>
        <v>0</v>
      </c>
      <c r="AI47" s="76">
        <f>IF(Entradas!$F$91&gt;0,D47*Entradas!$D$23/Escenarios!$F$16,0)</f>
        <v>0.21666068576715333</v>
      </c>
      <c r="AJ47" s="76">
        <f>IF(Entradas!$F$91&gt;0,Entradas!$D$24*Entradas!$D$22/Escenarios!$F$16,0)</f>
        <v>0.12</v>
      </c>
      <c r="AK47" s="76">
        <f t="shared" si="2"/>
        <v>2.9634004746644091</v>
      </c>
      <c r="AL47" s="76">
        <f t="shared" si="3"/>
        <v>0</v>
      </c>
      <c r="AM47" s="76">
        <f t="shared" si="4"/>
        <v>0.39640925461284926</v>
      </c>
      <c r="AN47" s="76">
        <f>MAX(0,O47*Escenarios!$F$13/Escenarios!$F$16-AM47)</f>
        <v>0.63200838491649236</v>
      </c>
      <c r="AO47" s="76">
        <f>AM47+AN47-O47*Escenarios!$F$13/Escenarios!$F$16</f>
        <v>0</v>
      </c>
      <c r="AP47" s="76">
        <f t="shared" si="5"/>
        <v>0.40479161508350753</v>
      </c>
      <c r="AQ47" s="76">
        <f t="shared" si="6"/>
        <v>0</v>
      </c>
      <c r="AR47" s="76">
        <f t="shared" si="7"/>
        <v>1.0367999999999999</v>
      </c>
      <c r="AS47" s="76">
        <f t="shared" si="8"/>
        <v>5.9748568845695932E-2</v>
      </c>
      <c r="AT47" s="76">
        <f t="shared" si="9"/>
        <v>0.17587280686849721</v>
      </c>
      <c r="AU47" s="76">
        <f t="shared" si="10"/>
        <v>49.036567033699548</v>
      </c>
      <c r="AV47" s="76">
        <f>MAX(0,(AU47-Constantes!$D$13)*(1-EXP(-Constantes!$D$24)))</f>
        <v>4.3802479109447618E-3</v>
      </c>
      <c r="AW47" s="170">
        <f>AW46+(Entradas!$F$112*AT47-AX46)/(800*Entradas!$D$25)</f>
        <v>0</v>
      </c>
      <c r="AX47" s="170">
        <f>8000*Entradas!$D$26*AW47/Constantes!$F$45</f>
        <v>0</v>
      </c>
      <c r="AY47" s="170">
        <f>IF(Escenarios!$F$17&gt;0,10*Escenarios!$F$16*AL47,0)</f>
        <v>0</v>
      </c>
      <c r="AZ47" s="170">
        <f>IF(Escenarios!$F$17&gt;0,10*Escenarios!$F$16*AX47,0)</f>
        <v>0</v>
      </c>
      <c r="BA47" s="170">
        <f>IF(Escenarios!$F$17&gt;0,0.001*Observaciones!$F46*Escenarios!$F$17,0)</f>
        <v>0</v>
      </c>
      <c r="BB47" s="170">
        <f>IF(Escenarios!$F$17&gt;0,Observaciones!$K46,0)</f>
        <v>0</v>
      </c>
      <c r="BC47" s="170">
        <f>IF(Escenarios!$F$17&gt;0,MIN(0.0005*ETo!$M46*Escenarios!$F$17*(BG46/Constantes!$F$40)^(2/3),BG46+AY47+AZ47+BA47+BB47),0)</f>
        <v>0</v>
      </c>
      <c r="BD47" s="170">
        <f>IF(Escenarios!$F$17&gt;0,MIN(Constantes!$F$39*(BG46/Constantes!$F$40)^(2/3),BG46+AY47+AZ47+BA47+BB47-BC47),0)</f>
        <v>0</v>
      </c>
      <c r="BE47" s="170">
        <f>IF(Escenarios!$F$17&gt;0,MIN(Entradas!$F$113,BG46+AY47+AZ47+BA47+BB47-BC47-BD47),0)</f>
        <v>0</v>
      </c>
      <c r="BF47" s="170">
        <f>IF(Escenarios!$F$17&gt;0,MAX(0,BG46+AY47+AZ47+BA47+BB47-BC47-BD47-BE47-Constantes!$F$40),0)</f>
        <v>0</v>
      </c>
      <c r="BG47" s="170">
        <f t="shared" si="11"/>
        <v>0</v>
      </c>
      <c r="BH47" s="170">
        <f>(Escenarios!$F$16*AK47+0.1*BC47)/(Escenarios!$F$19)</f>
        <v>2.9634004746644091</v>
      </c>
      <c r="BI47" s="170">
        <f>IF(Escenarios!$F$17&gt;0,BF47/10/Escenarios!$F$19,AL47)</f>
        <v>0</v>
      </c>
      <c r="BJ47" s="170">
        <f>(Escenarios!$F$16*AT47+0.1*BD47)/(Escenarios!$F$19)</f>
        <v>0.17587280686849721</v>
      </c>
      <c r="BK47" s="76">
        <f>BK46+(0.1*BD47)/(Escenarios!$F$19)-BL46</f>
        <v>48.75</v>
      </c>
      <c r="BL47" s="76">
        <f>MAX(0,(BK47-Constantes!$D$13)*(1-EXP(-Constantes!$D$23)))</f>
        <v>0</v>
      </c>
      <c r="BM47" s="76">
        <f t="shared" si="12"/>
        <v>0.4091718629944523</v>
      </c>
      <c r="BN47" s="76">
        <f t="shared" si="13"/>
        <v>1.0411802479109447</v>
      </c>
      <c r="BO47" s="76">
        <f>0.0526*BI47*Observaciones!$F46^1.218</f>
        <v>0</v>
      </c>
      <c r="BP47" s="76">
        <f>BO47*Constantes!$F$51</f>
        <v>0</v>
      </c>
      <c r="BQ47" s="76">
        <f t="shared" si="14"/>
        <v>0</v>
      </c>
      <c r="BR47" s="40"/>
    </row>
    <row r="48" spans="2:70">
      <c r="B48" s="39"/>
      <c r="C48" s="75">
        <v>42</v>
      </c>
      <c r="D48" s="146">
        <f>ETo!$I47*((1-Constantes!$F$19)*ETo!$K47+ETo!$L47)</f>
        <v>4.3670138005240666</v>
      </c>
      <c r="E48" s="76">
        <f>MIN(D48*Constantes!$F$17,0.8*(N47+Observaciones!$F47-F48-M48-Constantes!$D$14))</f>
        <v>2.4905593160798394</v>
      </c>
      <c r="F48" s="76">
        <f>IF(Observaciones!$F47&gt;0.05*Constantes!$F$18,((Observaciones!$F47-0.05*Constantes!$F$18)^2)/(Observaciones!$F47+0.95*Constantes!$F$18),0)</f>
        <v>0</v>
      </c>
      <c r="G48" s="76">
        <f>IF(Escenarios!$F$11&gt;0,(F48*Escenarios!$F$16*10000)/1000,0)</f>
        <v>0</v>
      </c>
      <c r="H48" s="76">
        <f>IF(Escenarios!$F$11&gt;0,(Observaciones!$F47*Constantes!$F$29)/1000,0)</f>
        <v>0</v>
      </c>
      <c r="I48" s="76">
        <f>IF(Escenarios!$F$11&gt;0,(D48*Constantes!$F$29)/1000,0)</f>
        <v>0</v>
      </c>
      <c r="J48" s="76">
        <f>IF(Escenarios!$F$11&gt;0,MAX(0,G48+H48-I48),0)</f>
        <v>0</v>
      </c>
      <c r="K48" s="76">
        <f>IF(Escenarios!$F$11&gt;0,IF(J48&gt;Constantes!$F$30,1000*((J48-Constantes!$F$30)/(Escenarios!$F$16*10000)),0),F48)</f>
        <v>0</v>
      </c>
      <c r="L48" s="76">
        <f>IF(Escenarios!$F$11&gt;0,I48*1000/Escenarios!$F$16/10000+E48,E48)</f>
        <v>2.4905593160798394</v>
      </c>
      <c r="M48" s="76">
        <f>MAX(0,N47+Observaciones!$F47-K48-Constantes!$D$13)</f>
        <v>0</v>
      </c>
      <c r="N48" s="76">
        <f>N47+Observaciones!$F47-K48-L48-M48-O47</f>
        <v>41.898783726676108</v>
      </c>
      <c r="O48" s="76">
        <f>MAX(0,(N48-Constantes!$D$14)*(1-EXP(-Constantes!$D$22)))</f>
        <v>1.0440100877190399</v>
      </c>
      <c r="P48" s="170">
        <f>P47+(Entradas!$F$83*M48-Q47)/(800*Entradas!$D$25)</f>
        <v>0</v>
      </c>
      <c r="Q48" s="170">
        <f>8000*Entradas!$D$26*P48/Constantes!$F$45</f>
        <v>0</v>
      </c>
      <c r="R48" s="170">
        <f>IF(Escenarios!$F$14&gt;0,K48*Escenarios!$F$13/Escenarios!$F$14,0)</f>
        <v>0</v>
      </c>
      <c r="S48" s="170">
        <f>IF(Escenarios!$F$14&gt;0,Q48*Escenarios!$F$13/Escenarios!$F$14,0)</f>
        <v>0</v>
      </c>
      <c r="T48" s="170">
        <f>IF(Escenarios!$F$14&gt;0,Observaciones!$I47,0)</f>
        <v>0</v>
      </c>
      <c r="U48" s="170">
        <f>IF(Escenarios!$F$14&gt;0,MAX(0,Constantes!$F$36/((Z47+R48+S48+T48+Observaciones!$F47)^2)+Entradas!$F$77),0)</f>
        <v>0.64996446723403034</v>
      </c>
      <c r="V48" s="146">
        <f>IF(ETo!D47&gt;0,ETo!I47*((1-Entradas!$F$81)*ETo!K47+ETo!L47),0)</f>
        <v>3.8792019059073235</v>
      </c>
      <c r="W48" s="170">
        <f>IF(Escenarios!$F$14&gt;0,MIN(V48*1,0.8*(Z47+R48+S48+T48+Observaciones!$F47-U48-Constantes!$F$35)),0)</f>
        <v>3.8792019059073235</v>
      </c>
      <c r="X48" s="170">
        <f>IF(Escenarios!$F$14&gt;0,Observaciones!$J47,0)</f>
        <v>0</v>
      </c>
      <c r="Y48" s="170">
        <f>IF(Escenarios!$F$14&gt;0,MAX(0,Z47+R48+S48+T48+Observaciones!$F47-U48-W48-X48-Constantes!$F$33),0)</f>
        <v>0</v>
      </c>
      <c r="Z48" s="170">
        <f>Z47+R48+S48+T48+Observaciones!$F47-U48-W48-Y48</f>
        <v>61.567457822822462</v>
      </c>
      <c r="AA48" s="170">
        <f>IF(Escenarios!$F$14&gt;0,(Escenarios!$F$13*L48+Escenarios!$F$14*W48)/(Escenarios!$F$16),L48)</f>
        <v>2.6571964268591373</v>
      </c>
      <c r="AB48" s="170">
        <f>IF(Escenarios!$F$14&gt;0,(Escenarios!$F$14*Y48)/(Escenarios!$F$16),K48)</f>
        <v>0</v>
      </c>
      <c r="AC48" s="170">
        <f>IF(Escenarios!$F$14&gt;0,(Escenarios!$F$13*M48+Escenarios!$F$14*U48)/(Escenarios!$F$16),M48)</f>
        <v>7.7995736068083646E-2</v>
      </c>
      <c r="AD48" s="76">
        <f t="shared" si="1"/>
        <v>89.505293849197344</v>
      </c>
      <c r="AE48" s="76">
        <f>MAX(0,(AD48-Constantes!$D$13)*(1-EXP(-Constantes!$D$23)))</f>
        <v>0.40157161745085446</v>
      </c>
      <c r="AF48" s="76">
        <f>AB48+O48*Escenarios!$F$13/Escenarios!$F$16+AE48</f>
        <v>1.3203004946436097</v>
      </c>
      <c r="AG48" s="76">
        <f>IF(Entradas!$F$91&gt;0,IF(AF48-Escenarios!$F$38&lt;=0,0,IF(AF48-Escenarios!$F$38&gt;Escenarios!$F$37,Escenarios!$F$37,AF48-Escenarios!$F$38)),0)</f>
        <v>0.28350049464360971</v>
      </c>
      <c r="AH48" s="76">
        <f>AG48*Entradas!$F$99</f>
        <v>0</v>
      </c>
      <c r="AI48" s="76">
        <f>IF(Entradas!$F$91&gt;0,D48*Entradas!$D$23/Escenarios!$F$16,0)</f>
        <v>0.2096166624251552</v>
      </c>
      <c r="AJ48" s="76">
        <f>IF(Entradas!$F$91&gt;0,Entradas!$D$24*Entradas!$D$22/Escenarios!$F$16,0)</f>
        <v>0.12</v>
      </c>
      <c r="AK48" s="76">
        <f t="shared" si="2"/>
        <v>2.8668130892842925</v>
      </c>
      <c r="AL48" s="76">
        <f t="shared" si="3"/>
        <v>0</v>
      </c>
      <c r="AM48" s="76">
        <f t="shared" si="4"/>
        <v>0.28350049464360971</v>
      </c>
      <c r="AN48" s="76">
        <f>MAX(0,O48*Escenarios!$F$13/Escenarios!$F$16-AM48)</f>
        <v>0.63522838254914538</v>
      </c>
      <c r="AO48" s="76">
        <f>AM48+AN48-O48*Escenarios!$F$13/Escenarios!$F$16</f>
        <v>0</v>
      </c>
      <c r="AP48" s="76">
        <f t="shared" si="5"/>
        <v>0.40157161745085446</v>
      </c>
      <c r="AQ48" s="76">
        <f t="shared" si="6"/>
        <v>0</v>
      </c>
      <c r="AR48" s="76">
        <f t="shared" si="7"/>
        <v>1.0367999999999999</v>
      </c>
      <c r="AS48" s="76">
        <f t="shared" si="8"/>
        <v>0</v>
      </c>
      <c r="AT48" s="76">
        <f t="shared" si="9"/>
        <v>7.7995736068083646E-2</v>
      </c>
      <c r="AU48" s="76">
        <f t="shared" si="10"/>
        <v>49.032186785788603</v>
      </c>
      <c r="AV48" s="76">
        <f>MAX(0,(AU48-Constantes!$D$13)*(1-EXP(-Constantes!$D$24)))</f>
        <v>4.3132947394175338E-3</v>
      </c>
      <c r="AW48" s="170">
        <f>AW47+(Entradas!$F$112*AT48-AX47)/(800*Entradas!$D$25)</f>
        <v>0</v>
      </c>
      <c r="AX48" s="170">
        <f>8000*Entradas!$D$26*AW48/Constantes!$F$45</f>
        <v>0</v>
      </c>
      <c r="AY48" s="170">
        <f>IF(Escenarios!$F$17&gt;0,10*Escenarios!$F$16*AL48,0)</f>
        <v>0</v>
      </c>
      <c r="AZ48" s="170">
        <f>IF(Escenarios!$F$17&gt;0,10*Escenarios!$F$16*AX48,0)</f>
        <v>0</v>
      </c>
      <c r="BA48" s="170">
        <f>IF(Escenarios!$F$17&gt;0,0.001*Observaciones!$F47*Escenarios!$F$17,0)</f>
        <v>0</v>
      </c>
      <c r="BB48" s="170">
        <f>IF(Escenarios!$F$17&gt;0,Observaciones!$K47,0)</f>
        <v>0</v>
      </c>
      <c r="BC48" s="170">
        <f>IF(Escenarios!$F$17&gt;0,MIN(0.0005*ETo!$M47*Escenarios!$F$17*(BG47/Constantes!$F$40)^(2/3),BG47+AY48+AZ48+BA48+BB48),0)</f>
        <v>0</v>
      </c>
      <c r="BD48" s="170">
        <f>IF(Escenarios!$F$17&gt;0,MIN(Constantes!$F$39*(BG47/Constantes!$F$40)^(2/3),BG47+AY48+AZ48+BA48+BB48-BC48),0)</f>
        <v>0</v>
      </c>
      <c r="BE48" s="170">
        <f>IF(Escenarios!$F$17&gt;0,MIN(Entradas!$F$113,BG47+AY48+AZ48+BA48+BB48-BC48-BD48),0)</f>
        <v>0</v>
      </c>
      <c r="BF48" s="170">
        <f>IF(Escenarios!$F$17&gt;0,MAX(0,BG47+AY48+AZ48+BA48+BB48-BC48-BD48-BE48-Constantes!$F$40),0)</f>
        <v>0</v>
      </c>
      <c r="BG48" s="170">
        <f t="shared" si="11"/>
        <v>0</v>
      </c>
      <c r="BH48" s="170">
        <f>(Escenarios!$F$16*AK48+0.1*BC48)/(Escenarios!$F$19)</f>
        <v>2.8668130892842925</v>
      </c>
      <c r="BI48" s="170">
        <f>IF(Escenarios!$F$17&gt;0,BF48/10/Escenarios!$F$19,AL48)</f>
        <v>0</v>
      </c>
      <c r="BJ48" s="170">
        <f>(Escenarios!$F$16*AT48+0.1*BD48)/(Escenarios!$F$19)</f>
        <v>7.7995736068083646E-2</v>
      </c>
      <c r="BK48" s="76">
        <f>BK47+(0.1*BD48)/(Escenarios!$F$19)-BL47</f>
        <v>48.75</v>
      </c>
      <c r="BL48" s="76">
        <f>MAX(0,(BK48-Constantes!$D$13)*(1-EXP(-Constantes!$D$23)))</f>
        <v>0</v>
      </c>
      <c r="BM48" s="76">
        <f t="shared" si="12"/>
        <v>0.40588491219027201</v>
      </c>
      <c r="BN48" s="76">
        <f t="shared" si="13"/>
        <v>1.0411132947394175</v>
      </c>
      <c r="BO48" s="76">
        <f>0.0526*BI48*Observaciones!$F47^1.218</f>
        <v>0</v>
      </c>
      <c r="BP48" s="76">
        <f>BO48*Constantes!$F$51</f>
        <v>0</v>
      </c>
      <c r="BQ48" s="76">
        <f t="shared" si="14"/>
        <v>0</v>
      </c>
      <c r="BR48" s="40"/>
    </row>
    <row r="49" spans="2:70">
      <c r="B49" s="39"/>
      <c r="C49" s="75">
        <v>43</v>
      </c>
      <c r="D49" s="146">
        <f>ETo!$I48*((1-Constantes!$F$19)*ETo!$K48+ETo!$L48)</f>
        <v>4.5564075013329814</v>
      </c>
      <c r="E49" s="76">
        <f>MIN(D49*Constantes!$F$17,0.8*(N48+Observaciones!$F48-F49-M49-Constantes!$D$14))</f>
        <v>2.5985727704682535</v>
      </c>
      <c r="F49" s="76">
        <f>IF(Observaciones!$F48&gt;0.05*Constantes!$F$18,((Observaciones!$F48-0.05*Constantes!$F$18)^2)/(Observaciones!$F48+0.95*Constantes!$F$18),0)</f>
        <v>0</v>
      </c>
      <c r="G49" s="76">
        <f>IF(Escenarios!$F$11&gt;0,(F49*Escenarios!$F$16*10000)/1000,0)</f>
        <v>0</v>
      </c>
      <c r="H49" s="76">
        <f>IF(Escenarios!$F$11&gt;0,(Observaciones!$F48*Constantes!$F$29)/1000,0)</f>
        <v>0</v>
      </c>
      <c r="I49" s="76">
        <f>IF(Escenarios!$F$11&gt;0,(D49*Constantes!$F$29)/1000,0)</f>
        <v>0</v>
      </c>
      <c r="J49" s="76">
        <f>IF(Escenarios!$F$11&gt;0,MAX(0,G49+H49-I49),0)</f>
        <v>0</v>
      </c>
      <c r="K49" s="76">
        <f>IF(Escenarios!$F$11&gt;0,IF(J49&gt;Constantes!$F$30,1000*((J49-Constantes!$F$30)/(Escenarios!$F$16*10000)),0),F49)</f>
        <v>0</v>
      </c>
      <c r="L49" s="76">
        <f>IF(Escenarios!$F$11&gt;0,I49*1000/Escenarios!$F$16/10000+E49,E49)</f>
        <v>2.5985727704682535</v>
      </c>
      <c r="M49" s="76">
        <f>MAX(0,N48+Observaciones!$F48-K49-Constantes!$D$13)</f>
        <v>0</v>
      </c>
      <c r="N49" s="76">
        <f>N48+Observaciones!$F48-K49-L49-M49-O48</f>
        <v>40.156200868488817</v>
      </c>
      <c r="O49" s="76">
        <f>MAX(0,(N49-Constantes!$D$14)*(1-EXP(-Constantes!$D$22)))</f>
        <v>0.98465131841654552</v>
      </c>
      <c r="P49" s="170">
        <f>P48+(Entradas!$F$83*M49-Q48)/(800*Entradas!$D$25)</f>
        <v>0</v>
      </c>
      <c r="Q49" s="170">
        <f>8000*Entradas!$D$26*P49/Constantes!$F$45</f>
        <v>0</v>
      </c>
      <c r="R49" s="170">
        <f>IF(Escenarios!$F$14&gt;0,K49*Escenarios!$F$13/Escenarios!$F$14,0)</f>
        <v>0</v>
      </c>
      <c r="S49" s="170">
        <f>IF(Escenarios!$F$14&gt;0,Q49*Escenarios!$F$13/Escenarios!$F$14,0)</f>
        <v>0</v>
      </c>
      <c r="T49" s="170">
        <f>IF(Escenarios!$F$14&gt;0,Observaciones!$I48,0)</f>
        <v>0</v>
      </c>
      <c r="U49" s="170">
        <f>IF(Escenarios!$F$14&gt;0,MAX(0,Constantes!$F$36/((Z48+R49+S49+T49+Observaciones!$F48)^2)+Entradas!$F$77),0)</f>
        <v>0.45122921327157028</v>
      </c>
      <c r="V49" s="146">
        <f>IF(ETo!D48&gt;0,ETo!I48*((1-Entradas!$F$81)*ETo!K48+ETo!L48),0)</f>
        <v>4.0501272894215647</v>
      </c>
      <c r="W49" s="170">
        <f>IF(Escenarios!$F$14&gt;0,MIN(V49*1,0.8*(Z48+R49+S49+T49+Observaciones!$F48-U49-Constantes!$F$35)),0)</f>
        <v>4.0501272894215647</v>
      </c>
      <c r="X49" s="170">
        <f>IF(Escenarios!$F$14&gt;0,Observaciones!$J48,0)</f>
        <v>0</v>
      </c>
      <c r="Y49" s="170">
        <f>IF(Escenarios!$F$14&gt;0,MAX(0,Z48+R49+S49+T49+Observaciones!$F48-U49-W49-X49-Constantes!$F$33),0)</f>
        <v>0</v>
      </c>
      <c r="Z49" s="170">
        <f>Z48+R49+S49+T49+Observaciones!$F48-U49-W49-Y49</f>
        <v>58.966101320129326</v>
      </c>
      <c r="AA49" s="170">
        <f>IF(Escenarios!$F$14&gt;0,(Escenarios!$F$13*L49+Escenarios!$F$14*W49)/(Escenarios!$F$16),L49)</f>
        <v>2.7727593127426506</v>
      </c>
      <c r="AB49" s="170">
        <f>IF(Escenarios!$F$14&gt;0,(Escenarios!$F$14*Y49)/(Escenarios!$F$16),K49)</f>
        <v>0</v>
      </c>
      <c r="AC49" s="170">
        <f>IF(Escenarios!$F$14&gt;0,(Escenarios!$F$13*M49+Escenarios!$F$14*U49)/(Escenarios!$F$16),M49)</f>
        <v>5.4147505592588428E-2</v>
      </c>
      <c r="AD49" s="76">
        <f t="shared" si="1"/>
        <v>89.15786973733907</v>
      </c>
      <c r="AE49" s="76">
        <f>MAX(0,(AD49-Constantes!$D$13)*(1-EXP(-Constantes!$D$23)))</f>
        <v>0.39814836492673844</v>
      </c>
      <c r="AF49" s="76">
        <f>AB49+O49*Escenarios!$F$13/Escenarios!$F$16+AE49</f>
        <v>1.2646415251332985</v>
      </c>
      <c r="AG49" s="76">
        <f>IF(Entradas!$F$91&gt;0,IF(AF49-Escenarios!$F$38&lt;=0,0,IF(AF49-Escenarios!$F$38&gt;Escenarios!$F$37,Escenarios!$F$37,AF49-Escenarios!$F$38)),0)</f>
        <v>0.22784152513329858</v>
      </c>
      <c r="AH49" s="76">
        <f>AG49*Entradas!$F$99</f>
        <v>0</v>
      </c>
      <c r="AI49" s="76">
        <f>IF(Entradas!$F$91&gt;0,D49*Entradas!$D$23/Escenarios!$F$16,0)</f>
        <v>0.21870756006398312</v>
      </c>
      <c r="AJ49" s="76">
        <f>IF(Entradas!$F$91&gt;0,Entradas!$D$24*Entradas!$D$22/Escenarios!$F$16,0)</f>
        <v>0.12</v>
      </c>
      <c r="AK49" s="76">
        <f t="shared" si="2"/>
        <v>2.9914668728066336</v>
      </c>
      <c r="AL49" s="76">
        <f t="shared" si="3"/>
        <v>0</v>
      </c>
      <c r="AM49" s="76">
        <f t="shared" si="4"/>
        <v>0.22784152513329858</v>
      </c>
      <c r="AN49" s="76">
        <f>MAX(0,O49*Escenarios!$F$13/Escenarios!$F$16-AM49)</f>
        <v>0.6386516350732615</v>
      </c>
      <c r="AO49" s="76">
        <f>AM49+AN49-O49*Escenarios!$F$13/Escenarios!$F$16</f>
        <v>0</v>
      </c>
      <c r="AP49" s="76">
        <f t="shared" si="5"/>
        <v>0.39814836492673844</v>
      </c>
      <c r="AQ49" s="76">
        <f t="shared" si="6"/>
        <v>0</v>
      </c>
      <c r="AR49" s="76">
        <f t="shared" si="7"/>
        <v>1.0367999999999999</v>
      </c>
      <c r="AS49" s="76">
        <f t="shared" si="8"/>
        <v>0</v>
      </c>
      <c r="AT49" s="76">
        <f t="shared" si="9"/>
        <v>5.4147505592588428E-2</v>
      </c>
      <c r="AU49" s="76">
        <f t="shared" si="10"/>
        <v>49.027873491049185</v>
      </c>
      <c r="AV49" s="76">
        <f>MAX(0,(AU49-Constantes!$D$13)*(1-EXP(-Constantes!$D$24)))</f>
        <v>4.2473649636589044E-3</v>
      </c>
      <c r="AW49" s="170">
        <f>AW48+(Entradas!$F$112*AT49-AX48)/(800*Entradas!$D$25)</f>
        <v>0</v>
      </c>
      <c r="AX49" s="170">
        <f>8000*Entradas!$D$26*AW49/Constantes!$F$45</f>
        <v>0</v>
      </c>
      <c r="AY49" s="170">
        <f>IF(Escenarios!$F$17&gt;0,10*Escenarios!$F$16*AL49,0)</f>
        <v>0</v>
      </c>
      <c r="AZ49" s="170">
        <f>IF(Escenarios!$F$17&gt;0,10*Escenarios!$F$16*AX49,0)</f>
        <v>0</v>
      </c>
      <c r="BA49" s="170">
        <f>IF(Escenarios!$F$17&gt;0,0.001*Observaciones!$F48*Escenarios!$F$17,0)</f>
        <v>0</v>
      </c>
      <c r="BB49" s="170">
        <f>IF(Escenarios!$F$17&gt;0,Observaciones!$K48,0)</f>
        <v>0</v>
      </c>
      <c r="BC49" s="170">
        <f>IF(Escenarios!$F$17&gt;0,MIN(0.0005*ETo!$M48*Escenarios!$F$17*(BG48/Constantes!$F$40)^(2/3),BG48+AY49+AZ49+BA49+BB49),0)</f>
        <v>0</v>
      </c>
      <c r="BD49" s="170">
        <f>IF(Escenarios!$F$17&gt;0,MIN(Constantes!$F$39*(BG48/Constantes!$F$40)^(2/3),BG48+AY49+AZ49+BA49+BB49-BC49),0)</f>
        <v>0</v>
      </c>
      <c r="BE49" s="170">
        <f>IF(Escenarios!$F$17&gt;0,MIN(Entradas!$F$113,BG48+AY49+AZ49+BA49+BB49-BC49-BD49),0)</f>
        <v>0</v>
      </c>
      <c r="BF49" s="170">
        <f>IF(Escenarios!$F$17&gt;0,MAX(0,BG48+AY49+AZ49+BA49+BB49-BC49-BD49-BE49-Constantes!$F$40),0)</f>
        <v>0</v>
      </c>
      <c r="BG49" s="170">
        <f t="shared" si="11"/>
        <v>0</v>
      </c>
      <c r="BH49" s="170">
        <f>(Escenarios!$F$16*AK49+0.1*BC49)/(Escenarios!$F$19)</f>
        <v>2.9914668728066336</v>
      </c>
      <c r="BI49" s="170">
        <f>IF(Escenarios!$F$17&gt;0,BF49/10/Escenarios!$F$19,AL49)</f>
        <v>0</v>
      </c>
      <c r="BJ49" s="170">
        <f>(Escenarios!$F$16*AT49+0.1*BD49)/(Escenarios!$F$19)</f>
        <v>5.4147505592588428E-2</v>
      </c>
      <c r="BK49" s="76">
        <f>BK48+(0.1*BD49)/(Escenarios!$F$19)-BL48</f>
        <v>48.75</v>
      </c>
      <c r="BL49" s="76">
        <f>MAX(0,(BK49-Constantes!$D$13)*(1-EXP(-Constantes!$D$23)))</f>
        <v>0</v>
      </c>
      <c r="BM49" s="76">
        <f t="shared" si="12"/>
        <v>0.40239572989039735</v>
      </c>
      <c r="BN49" s="76">
        <f t="shared" si="13"/>
        <v>1.0410473649636589</v>
      </c>
      <c r="BO49" s="76">
        <f>0.0526*BI49*Observaciones!$F48^1.218</f>
        <v>0</v>
      </c>
      <c r="BP49" s="76">
        <f>BO49*Constantes!$F$51</f>
        <v>0</v>
      </c>
      <c r="BQ49" s="76">
        <f t="shared" si="14"/>
        <v>0</v>
      </c>
      <c r="BR49" s="40"/>
    </row>
    <row r="50" spans="2:70">
      <c r="B50" s="39"/>
      <c r="C50" s="75">
        <v>44</v>
      </c>
      <c r="D50" s="146">
        <f>ETo!$I49*((1-Constantes!$F$19)*ETo!$K49+ETo!$L49)</f>
        <v>4.6302054196446081</v>
      </c>
      <c r="E50" s="76">
        <f>MIN(D50*Constantes!$F$17,0.8*(N49+Observaciones!$F49-F50-M50-Constantes!$D$14))</f>
        <v>2.6406605909684462</v>
      </c>
      <c r="F50" s="76">
        <f>IF(Observaciones!$F49&gt;0.05*Constantes!$F$18,((Observaciones!$F49-0.05*Constantes!$F$18)^2)/(Observaciones!$F49+0.95*Constantes!$F$18),0)</f>
        <v>0</v>
      </c>
      <c r="G50" s="76">
        <f>IF(Escenarios!$F$11&gt;0,(F50*Escenarios!$F$16*10000)/1000,0)</f>
        <v>0</v>
      </c>
      <c r="H50" s="76">
        <f>IF(Escenarios!$F$11&gt;0,(Observaciones!$F49*Constantes!$F$29)/1000,0)</f>
        <v>0</v>
      </c>
      <c r="I50" s="76">
        <f>IF(Escenarios!$F$11&gt;0,(D50*Constantes!$F$29)/1000,0)</f>
        <v>0</v>
      </c>
      <c r="J50" s="76">
        <f>IF(Escenarios!$F$11&gt;0,MAX(0,G50+H50-I50),0)</f>
        <v>0</v>
      </c>
      <c r="K50" s="76">
        <f>IF(Escenarios!$F$11&gt;0,IF(J50&gt;Constantes!$F$30,1000*((J50-Constantes!$F$30)/(Escenarios!$F$16*10000)),0),F50)</f>
        <v>0</v>
      </c>
      <c r="L50" s="76">
        <f>IF(Escenarios!$F$11&gt;0,I50*1000/Escenarios!$F$16/10000+E50,E50)</f>
        <v>2.6406605909684462</v>
      </c>
      <c r="M50" s="76">
        <f>MAX(0,N49+Observaciones!$F49-K50-Constantes!$D$13)</f>
        <v>0</v>
      </c>
      <c r="N50" s="76">
        <f>N49+Observaciones!$F49-K50-L50-M50-O49</f>
        <v>37.330888959103824</v>
      </c>
      <c r="O50" s="76">
        <f>MAX(0,(N50-Constantes!$D$14)*(1-EXP(-Constantes!$D$22)))</f>
        <v>0.88841082285053863</v>
      </c>
      <c r="P50" s="170">
        <f>P49+(Entradas!$F$83*M50-Q49)/(800*Entradas!$D$25)</f>
        <v>0</v>
      </c>
      <c r="Q50" s="170">
        <f>8000*Entradas!$D$26*P50/Constantes!$F$45</f>
        <v>0</v>
      </c>
      <c r="R50" s="170">
        <f>IF(Escenarios!$F$14&gt;0,K50*Escenarios!$F$13/Escenarios!$F$14,0)</f>
        <v>0</v>
      </c>
      <c r="S50" s="170">
        <f>IF(Escenarios!$F$14&gt;0,Q50*Escenarios!$F$13/Escenarios!$F$14,0)</f>
        <v>0</v>
      </c>
      <c r="T50" s="170">
        <f>IF(Escenarios!$F$14&gt;0,Observaciones!$I49,0)</f>
        <v>0</v>
      </c>
      <c r="U50" s="170">
        <f>IF(Escenarios!$F$14&gt;0,MAX(0,Constantes!$F$36/((Z49+R50+S50+T50+Observaciones!$F49)^2)+Entradas!$F$77),0)</f>
        <v>0.12575930924409251</v>
      </c>
      <c r="V50" s="146">
        <f>IF(ETo!D49&gt;0,ETo!I49*((1-Entradas!$F$81)*ETo!K49+ETo!L49),0)</f>
        <v>4.1169869888415889</v>
      </c>
      <c r="W50" s="170">
        <f>IF(Escenarios!$F$14&gt;0,MIN(V50*1,0.8*(Z49+R50+S50+T50+Observaciones!$F49-U50-Constantes!$F$35)),0)</f>
        <v>4.1169869888415889</v>
      </c>
      <c r="X50" s="170">
        <f>IF(Escenarios!$F$14&gt;0,Observaciones!$J49,0)</f>
        <v>0</v>
      </c>
      <c r="Y50" s="170">
        <f>IF(Escenarios!$F$14&gt;0,MAX(0,Z49+R50+S50+T50+Observaciones!$F49-U50-W50-X50-Constantes!$F$33),0)</f>
        <v>0</v>
      </c>
      <c r="Z50" s="170">
        <f>Z49+R50+S50+T50+Observaciones!$F49-U50-W50-Y50</f>
        <v>55.523355022043638</v>
      </c>
      <c r="AA50" s="170">
        <f>IF(Escenarios!$F$14&gt;0,(Escenarios!$F$13*L50+Escenarios!$F$14*W50)/(Escenarios!$F$16),L50)</f>
        <v>2.8178197587132234</v>
      </c>
      <c r="AB50" s="170">
        <f>IF(Escenarios!$F$14&gt;0,(Escenarios!$F$14*Y50)/(Escenarios!$F$16),K50)</f>
        <v>0</v>
      </c>
      <c r="AC50" s="170">
        <f>IF(Escenarios!$F$14&gt;0,(Escenarios!$F$13*M50+Escenarios!$F$14*U50)/(Escenarios!$F$16),M50)</f>
        <v>1.5091117109291102E-2</v>
      </c>
      <c r="AD50" s="76">
        <f t="shared" si="1"/>
        <v>88.774812489521622</v>
      </c>
      <c r="AE50" s="76">
        <f>MAX(0,(AD50-Constantes!$D$13)*(1-EXP(-Constantes!$D$23)))</f>
        <v>0.394374010626865</v>
      </c>
      <c r="AF50" s="76">
        <f>AB50+O50*Escenarios!$F$13/Escenarios!$F$16+AE50</f>
        <v>1.1761755347353391</v>
      </c>
      <c r="AG50" s="76">
        <f>IF(Entradas!$F$91&gt;0,IF(AF50-Escenarios!$F$38&lt;=0,0,IF(AF50-Escenarios!$F$38&gt;Escenarios!$F$37,Escenarios!$F$37,AF50-Escenarios!$F$38)),0)</f>
        <v>0.13937553473533915</v>
      </c>
      <c r="AH50" s="76">
        <f>AG50*Entradas!$F$99</f>
        <v>0</v>
      </c>
      <c r="AI50" s="76">
        <f>IF(Entradas!$F$91&gt;0,D50*Entradas!$D$23/Escenarios!$F$16,0)</f>
        <v>0.22224986014294121</v>
      </c>
      <c r="AJ50" s="76">
        <f>IF(Entradas!$F$91&gt;0,Entradas!$D$24*Entradas!$D$22/Escenarios!$F$16,0)</f>
        <v>0.12</v>
      </c>
      <c r="AK50" s="76">
        <f t="shared" si="2"/>
        <v>3.0400696188561644</v>
      </c>
      <c r="AL50" s="76">
        <f t="shared" si="3"/>
        <v>0</v>
      </c>
      <c r="AM50" s="76">
        <f t="shared" si="4"/>
        <v>0.13937553473533915</v>
      </c>
      <c r="AN50" s="76">
        <f>MAX(0,O50*Escenarios!$F$13/Escenarios!$F$16-AM50)</f>
        <v>0.64242598937313489</v>
      </c>
      <c r="AO50" s="76">
        <f>AM50+AN50-O50*Escenarios!$F$13/Escenarios!$F$16</f>
        <v>0</v>
      </c>
      <c r="AP50" s="76">
        <f t="shared" si="5"/>
        <v>0.394374010626865</v>
      </c>
      <c r="AQ50" s="76">
        <f t="shared" si="6"/>
        <v>0</v>
      </c>
      <c r="AR50" s="76">
        <f t="shared" si="7"/>
        <v>1.0367999999999999</v>
      </c>
      <c r="AS50" s="76">
        <f t="shared" si="8"/>
        <v>0</v>
      </c>
      <c r="AT50" s="76">
        <f t="shared" si="9"/>
        <v>1.5091117109291102E-2</v>
      </c>
      <c r="AU50" s="76">
        <f t="shared" si="10"/>
        <v>49.023626126085524</v>
      </c>
      <c r="AV50" s="76">
        <f>MAX(0,(AU50-Constantes!$D$13)*(1-EXP(-Constantes!$D$24)))</f>
        <v>4.182442940811713E-3</v>
      </c>
      <c r="AW50" s="170">
        <f>AW49+(Entradas!$F$112*AT50-AX49)/(800*Entradas!$D$25)</f>
        <v>0</v>
      </c>
      <c r="AX50" s="170">
        <f>8000*Entradas!$D$26*AW50/Constantes!$F$45</f>
        <v>0</v>
      </c>
      <c r="AY50" s="170">
        <f>IF(Escenarios!$F$17&gt;0,10*Escenarios!$F$16*AL50,0)</f>
        <v>0</v>
      </c>
      <c r="AZ50" s="170">
        <f>IF(Escenarios!$F$17&gt;0,10*Escenarios!$F$16*AX50,0)</f>
        <v>0</v>
      </c>
      <c r="BA50" s="170">
        <f>IF(Escenarios!$F$17&gt;0,0.001*Observaciones!$F49*Escenarios!$F$17,0)</f>
        <v>0</v>
      </c>
      <c r="BB50" s="170">
        <f>IF(Escenarios!$F$17&gt;0,Observaciones!$K49,0)</f>
        <v>0</v>
      </c>
      <c r="BC50" s="170">
        <f>IF(Escenarios!$F$17&gt;0,MIN(0.0005*ETo!$M49*Escenarios!$F$17*(BG49/Constantes!$F$40)^(2/3),BG49+AY50+AZ50+BA50+BB50),0)</f>
        <v>0</v>
      </c>
      <c r="BD50" s="170">
        <f>IF(Escenarios!$F$17&gt;0,MIN(Constantes!$F$39*(BG49/Constantes!$F$40)^(2/3),BG49+AY50+AZ50+BA50+BB50-BC50),0)</f>
        <v>0</v>
      </c>
      <c r="BE50" s="170">
        <f>IF(Escenarios!$F$17&gt;0,MIN(Entradas!$F$113,BG49+AY50+AZ50+BA50+BB50-BC50-BD50),0)</f>
        <v>0</v>
      </c>
      <c r="BF50" s="170">
        <f>IF(Escenarios!$F$17&gt;0,MAX(0,BG49+AY50+AZ50+BA50+BB50-BC50-BD50-BE50-Constantes!$F$40),0)</f>
        <v>0</v>
      </c>
      <c r="BG50" s="170">
        <f t="shared" si="11"/>
        <v>0</v>
      </c>
      <c r="BH50" s="170">
        <f>(Escenarios!$F$16*AK50+0.1*BC50)/(Escenarios!$F$19)</f>
        <v>3.0400696188561644</v>
      </c>
      <c r="BI50" s="170">
        <f>IF(Escenarios!$F$17&gt;0,BF50/10/Escenarios!$F$19,AL50)</f>
        <v>0</v>
      </c>
      <c r="BJ50" s="170">
        <f>(Escenarios!$F$16*AT50+0.1*BD50)/(Escenarios!$F$19)</f>
        <v>1.5091117109291102E-2</v>
      </c>
      <c r="BK50" s="76">
        <f>BK49+(0.1*BD50)/(Escenarios!$F$19)-BL49</f>
        <v>48.75</v>
      </c>
      <c r="BL50" s="76">
        <f>MAX(0,(BK50-Constantes!$D$13)*(1-EXP(-Constantes!$D$23)))</f>
        <v>0</v>
      </c>
      <c r="BM50" s="76">
        <f t="shared" si="12"/>
        <v>0.39855645356767672</v>
      </c>
      <c r="BN50" s="76">
        <f t="shared" si="13"/>
        <v>1.0409824429408117</v>
      </c>
      <c r="BO50" s="76">
        <f>0.0526*BI50*Observaciones!$F49^1.218</f>
        <v>0</v>
      </c>
      <c r="BP50" s="76">
        <f>BO50*Constantes!$F$51</f>
        <v>0</v>
      </c>
      <c r="BQ50" s="76">
        <f t="shared" si="14"/>
        <v>0</v>
      </c>
      <c r="BR50" s="40"/>
    </row>
    <row r="51" spans="2:70">
      <c r="B51" s="39"/>
      <c r="C51" s="75">
        <v>45</v>
      </c>
      <c r="D51" s="146">
        <f>ETo!$I50*((1-Constantes!$F$19)*ETo!$K50+ETo!$L50)</f>
        <v>4.5428876531327438</v>
      </c>
      <c r="E51" s="76">
        <f>MIN(D51*Constantes!$F$17,0.8*(N50+Observaciones!$F50-F51-M51-Constantes!$D$14))</f>
        <v>2.5908622420785683</v>
      </c>
      <c r="F51" s="76">
        <f>IF(Observaciones!$F50&gt;0.05*Constantes!$F$18,((Observaciones!$F50-0.05*Constantes!$F$18)^2)/(Observaciones!$F50+0.95*Constantes!$F$18),0)</f>
        <v>0</v>
      </c>
      <c r="G51" s="76">
        <f>IF(Escenarios!$F$11&gt;0,(F51*Escenarios!$F$16*10000)/1000,0)</f>
        <v>0</v>
      </c>
      <c r="H51" s="76">
        <f>IF(Escenarios!$F$11&gt;0,(Observaciones!$F50*Constantes!$F$29)/1000,0)</f>
        <v>0</v>
      </c>
      <c r="I51" s="76">
        <f>IF(Escenarios!$F$11&gt;0,(D51*Constantes!$F$29)/1000,0)</f>
        <v>0</v>
      </c>
      <c r="J51" s="76">
        <f>IF(Escenarios!$F$11&gt;0,MAX(0,G51+H51-I51),0)</f>
        <v>0</v>
      </c>
      <c r="K51" s="76">
        <f>IF(Escenarios!$F$11&gt;0,IF(J51&gt;Constantes!$F$30,1000*((J51-Constantes!$F$30)/(Escenarios!$F$16*10000)),0),F51)</f>
        <v>0</v>
      </c>
      <c r="L51" s="76">
        <f>IF(Escenarios!$F$11&gt;0,I51*1000/Escenarios!$F$16/10000+E51,E51)</f>
        <v>2.5908622420785683</v>
      </c>
      <c r="M51" s="76">
        <f>MAX(0,N50+Observaciones!$F50-K51-Constantes!$D$13)</f>
        <v>0</v>
      </c>
      <c r="N51" s="76">
        <f>N50+Observaciones!$F50-K51-L51-M51-O50</f>
        <v>33.851615894174721</v>
      </c>
      <c r="O51" s="76">
        <f>MAX(0,(N51-Constantes!$D$14)*(1-EXP(-Constantes!$D$22)))</f>
        <v>0.7698940095861494</v>
      </c>
      <c r="P51" s="170">
        <f>P50+(Entradas!$F$83*M51-Q50)/(800*Entradas!$D$25)</f>
        <v>0</v>
      </c>
      <c r="Q51" s="170">
        <f>8000*Entradas!$D$26*P51/Constantes!$F$45</f>
        <v>0</v>
      </c>
      <c r="R51" s="170">
        <f>IF(Escenarios!$F$14&gt;0,K51*Escenarios!$F$13/Escenarios!$F$14,0)</f>
        <v>0</v>
      </c>
      <c r="S51" s="170">
        <f>IF(Escenarios!$F$14&gt;0,Q51*Escenarios!$F$13/Escenarios!$F$14,0)</f>
        <v>0</v>
      </c>
      <c r="T51" s="170">
        <f>IF(Escenarios!$F$14&gt;0,Observaciones!$I50,0)</f>
        <v>0</v>
      </c>
      <c r="U51" s="170">
        <f>IF(Escenarios!$F$14&gt;0,MAX(0,Constantes!$F$36/((Z50+R51+S51+T51+Observaciones!$F50)^2)+Entradas!$F$77),0)</f>
        <v>0</v>
      </c>
      <c r="V51" s="146">
        <f>IF(ETo!D50&gt;0,ETo!I50*((1-Entradas!$F$81)*ETo!K50+ETo!L50),0)</f>
        <v>4.0377808656215093</v>
      </c>
      <c r="W51" s="170">
        <f>IF(Escenarios!$F$14&gt;0,MIN(V51*1,0.8*(Z50+R51+S51+T51+Observaciones!$F50-U51-Constantes!$F$35)),0)</f>
        <v>4.0377808656215093</v>
      </c>
      <c r="X51" s="170">
        <f>IF(Escenarios!$F$14&gt;0,Observaciones!$J50,0)</f>
        <v>0</v>
      </c>
      <c r="Y51" s="170">
        <f>IF(Escenarios!$F$14&gt;0,MAX(0,Z50+R51+S51+T51+Observaciones!$F50-U51-W51-X51-Constantes!$F$33),0)</f>
        <v>0</v>
      </c>
      <c r="Z51" s="170">
        <f>Z50+R51+S51+T51+Observaciones!$F50-U51-W51-Y51</f>
        <v>51.485574156422132</v>
      </c>
      <c r="AA51" s="170">
        <f>IF(Escenarios!$F$14&gt;0,(Escenarios!$F$13*L51+Escenarios!$F$14*W51)/(Escenarios!$F$16),L51)</f>
        <v>2.7644924769037211</v>
      </c>
      <c r="AB51" s="170">
        <f>IF(Escenarios!$F$14&gt;0,(Escenarios!$F$14*Y51)/(Escenarios!$F$16),K51)</f>
        <v>0</v>
      </c>
      <c r="AC51" s="170">
        <f>IF(Escenarios!$F$14&gt;0,(Escenarios!$F$13*M51+Escenarios!$F$14*U51)/(Escenarios!$F$16),M51)</f>
        <v>0</v>
      </c>
      <c r="AD51" s="76">
        <f t="shared" si="1"/>
        <v>88.38043847889476</v>
      </c>
      <c r="AE51" s="76">
        <f>MAX(0,(AD51-Constantes!$D$13)*(1-EXP(-Constantes!$D$23)))</f>
        <v>0.39048814956758743</v>
      </c>
      <c r="AF51" s="76">
        <f>AB51+O51*Escenarios!$F$13/Escenarios!$F$16+AE51</f>
        <v>1.067994878003399</v>
      </c>
      <c r="AG51" s="76">
        <f>IF(Entradas!$F$91&gt;0,IF(AF51-Escenarios!$F$38&lt;=0,0,IF(AF51-Escenarios!$F$38&gt;Escenarios!$F$37,Escenarios!$F$37,AF51-Escenarios!$F$38)),0)</f>
        <v>3.119487800339904E-2</v>
      </c>
      <c r="AH51" s="76">
        <f>AG51*Entradas!$F$99</f>
        <v>0</v>
      </c>
      <c r="AI51" s="76">
        <f>IF(Entradas!$F$91&gt;0,D51*Entradas!$D$23/Escenarios!$F$16,0)</f>
        <v>0.21805860735037169</v>
      </c>
      <c r="AJ51" s="76">
        <f>IF(Entradas!$F$91&gt;0,Entradas!$D$24*Entradas!$D$22/Escenarios!$F$16,0)</f>
        <v>0.12</v>
      </c>
      <c r="AK51" s="76">
        <f t="shared" si="2"/>
        <v>2.982551084254093</v>
      </c>
      <c r="AL51" s="76">
        <f t="shared" si="3"/>
        <v>0</v>
      </c>
      <c r="AM51" s="76">
        <f t="shared" si="4"/>
        <v>3.119487800339904E-2</v>
      </c>
      <c r="AN51" s="76">
        <f>MAX(0,O51*Escenarios!$F$13/Escenarios!$F$16-AM51)</f>
        <v>0.64631185043241246</v>
      </c>
      <c r="AO51" s="76">
        <f>AM51+AN51-O51*Escenarios!$F$13/Escenarios!$F$16</f>
        <v>0</v>
      </c>
      <c r="AP51" s="76">
        <f t="shared" si="5"/>
        <v>0.39048814956758743</v>
      </c>
      <c r="AQ51" s="76">
        <f t="shared" si="6"/>
        <v>0</v>
      </c>
      <c r="AR51" s="76">
        <f t="shared" si="7"/>
        <v>1.0367999999999999</v>
      </c>
      <c r="AS51" s="76">
        <f t="shared" si="8"/>
        <v>0</v>
      </c>
      <c r="AT51" s="76">
        <f t="shared" si="9"/>
        <v>0</v>
      </c>
      <c r="AU51" s="76">
        <f t="shared" si="10"/>
        <v>49.019443683144715</v>
      </c>
      <c r="AV51" s="76">
        <f>MAX(0,(AU51-Constantes!$D$13)*(1-EXP(-Constantes!$D$24)))</f>
        <v>4.118513267123796E-3</v>
      </c>
      <c r="AW51" s="170">
        <f>AW50+(Entradas!$F$112*AT51-AX50)/(800*Entradas!$D$25)</f>
        <v>0</v>
      </c>
      <c r="AX51" s="170">
        <f>8000*Entradas!$D$26*AW51/Constantes!$F$45</f>
        <v>0</v>
      </c>
      <c r="AY51" s="170">
        <f>IF(Escenarios!$F$17&gt;0,10*Escenarios!$F$16*AL51,0)</f>
        <v>0</v>
      </c>
      <c r="AZ51" s="170">
        <f>IF(Escenarios!$F$17&gt;0,10*Escenarios!$F$16*AX51,0)</f>
        <v>0</v>
      </c>
      <c r="BA51" s="170">
        <f>IF(Escenarios!$F$17&gt;0,0.001*Observaciones!$F50*Escenarios!$F$17,0)</f>
        <v>0</v>
      </c>
      <c r="BB51" s="170">
        <f>IF(Escenarios!$F$17&gt;0,Observaciones!$K50,0)</f>
        <v>0</v>
      </c>
      <c r="BC51" s="170">
        <f>IF(Escenarios!$F$17&gt;0,MIN(0.0005*ETo!$M50*Escenarios!$F$17*(BG50/Constantes!$F$40)^(2/3),BG50+AY51+AZ51+BA51+BB51),0)</f>
        <v>0</v>
      </c>
      <c r="BD51" s="170">
        <f>IF(Escenarios!$F$17&gt;0,MIN(Constantes!$F$39*(BG50/Constantes!$F$40)^(2/3),BG50+AY51+AZ51+BA51+BB51-BC51),0)</f>
        <v>0</v>
      </c>
      <c r="BE51" s="170">
        <f>IF(Escenarios!$F$17&gt;0,MIN(Entradas!$F$113,BG50+AY51+AZ51+BA51+BB51-BC51-BD51),0)</f>
        <v>0</v>
      </c>
      <c r="BF51" s="170">
        <f>IF(Escenarios!$F$17&gt;0,MAX(0,BG50+AY51+AZ51+BA51+BB51-BC51-BD51-BE51-Constantes!$F$40),0)</f>
        <v>0</v>
      </c>
      <c r="BG51" s="170">
        <f t="shared" si="11"/>
        <v>0</v>
      </c>
      <c r="BH51" s="170">
        <f>(Escenarios!$F$16*AK51+0.1*BC51)/(Escenarios!$F$19)</f>
        <v>2.982551084254093</v>
      </c>
      <c r="BI51" s="170">
        <f>IF(Escenarios!$F$17&gt;0,BF51/10/Escenarios!$F$19,AL51)</f>
        <v>0</v>
      </c>
      <c r="BJ51" s="170">
        <f>(Escenarios!$F$16*AT51+0.1*BD51)/(Escenarios!$F$19)</f>
        <v>0</v>
      </c>
      <c r="BK51" s="76">
        <f>BK50+(0.1*BD51)/(Escenarios!$F$19)-BL50</f>
        <v>48.75</v>
      </c>
      <c r="BL51" s="76">
        <f>MAX(0,(BK51-Constantes!$D$13)*(1-EXP(-Constantes!$D$23)))</f>
        <v>0</v>
      </c>
      <c r="BM51" s="76">
        <f t="shared" si="12"/>
        <v>0.39460666283471124</v>
      </c>
      <c r="BN51" s="76">
        <f t="shared" si="13"/>
        <v>1.0409185132671237</v>
      </c>
      <c r="BO51" s="76">
        <f>0.0526*BI51*Observaciones!$F50^1.218</f>
        <v>0</v>
      </c>
      <c r="BP51" s="76">
        <f>BO51*Constantes!$F$51</f>
        <v>0</v>
      </c>
      <c r="BQ51" s="76">
        <f t="shared" si="14"/>
        <v>0</v>
      </c>
      <c r="BR51" s="40"/>
    </row>
    <row r="52" spans="2:70">
      <c r="B52" s="39"/>
      <c r="C52" s="75">
        <v>46</v>
      </c>
      <c r="D52" s="146">
        <f>ETo!$I51*((1-Constantes!$F$19)*ETo!$K51+ETo!$L51)</f>
        <v>4.5702080588819127</v>
      </c>
      <c r="E52" s="76">
        <f>MIN(D52*Constantes!$F$17,0.8*(N51+Observaciones!$F51-F52-M52-Constantes!$D$14))</f>
        <v>2.6064433906999693</v>
      </c>
      <c r="F52" s="76">
        <f>IF(Observaciones!$F51&gt;0.05*Constantes!$F$18,((Observaciones!$F51-0.05*Constantes!$F$18)^2)/(Observaciones!$F51+0.95*Constantes!$F$18),0)</f>
        <v>0</v>
      </c>
      <c r="G52" s="76">
        <f>IF(Escenarios!$F$11&gt;0,(F52*Escenarios!$F$16*10000)/1000,0)</f>
        <v>0</v>
      </c>
      <c r="H52" s="76">
        <f>IF(Escenarios!$F$11&gt;0,(Observaciones!$F51*Constantes!$F$29)/1000,0)</f>
        <v>0</v>
      </c>
      <c r="I52" s="76">
        <f>IF(Escenarios!$F$11&gt;0,(D52*Constantes!$F$29)/1000,0)</f>
        <v>0</v>
      </c>
      <c r="J52" s="76">
        <f>IF(Escenarios!$F$11&gt;0,MAX(0,G52+H52-I52),0)</f>
        <v>0</v>
      </c>
      <c r="K52" s="76">
        <f>IF(Escenarios!$F$11&gt;0,IF(J52&gt;Constantes!$F$30,1000*((J52-Constantes!$F$30)/(Escenarios!$F$16*10000)),0),F52)</f>
        <v>0</v>
      </c>
      <c r="L52" s="76">
        <f>IF(Escenarios!$F$11&gt;0,I52*1000/Escenarios!$F$16/10000+E52,E52)</f>
        <v>2.6064433906999693</v>
      </c>
      <c r="M52" s="76">
        <f>MAX(0,N51+Observaciones!$F51-K52-Constantes!$D$13)</f>
        <v>0</v>
      </c>
      <c r="N52" s="76">
        <f>N51+Observaciones!$F51-K52-L52-M52-O51</f>
        <v>32.175278493888605</v>
      </c>
      <c r="O52" s="76">
        <f>MAX(0,(N52-Constantes!$D$14)*(1-EXP(-Constantes!$D$22)))</f>
        <v>0.71279180377182372</v>
      </c>
      <c r="P52" s="170">
        <f>P51+(Entradas!$F$83*M52-Q51)/(800*Entradas!$D$25)</f>
        <v>0</v>
      </c>
      <c r="Q52" s="170">
        <f>8000*Entradas!$D$26*P52/Constantes!$F$45</f>
        <v>0</v>
      </c>
      <c r="R52" s="170">
        <f>IF(Escenarios!$F$14&gt;0,K52*Escenarios!$F$13/Escenarios!$F$14,0)</f>
        <v>0</v>
      </c>
      <c r="S52" s="170">
        <f>IF(Escenarios!$F$14&gt;0,Q52*Escenarios!$F$13/Escenarios!$F$14,0)</f>
        <v>0</v>
      </c>
      <c r="T52" s="170">
        <f>IF(Escenarios!$F$14&gt;0,Observaciones!$I51,0)</f>
        <v>0</v>
      </c>
      <c r="U52" s="170">
        <f>IF(Escenarios!$F$14&gt;0,MAX(0,Constantes!$F$36/((Z51+R52+S52+T52+Observaciones!$F51)^2)+Entradas!$F$77),0)</f>
        <v>0</v>
      </c>
      <c r="V52" s="146">
        <f>IF(ETo!D51&gt;0,ETo!I51*((1-Entradas!$F$81)*ETo!K51+ETo!L51),0)</f>
        <v>4.0624726072972264</v>
      </c>
      <c r="W52" s="170">
        <f>IF(Escenarios!$F$14&gt;0,MIN(V52*1,0.8*(Z51+R52+S52+T52+Observaciones!$F51-U52-Constantes!$F$35)),0)</f>
        <v>4.0624726072972264</v>
      </c>
      <c r="X52" s="170">
        <f>IF(Escenarios!$F$14&gt;0,Observaciones!$J51,0)</f>
        <v>0</v>
      </c>
      <c r="Y52" s="170">
        <f>IF(Escenarios!$F$14&gt;0,MAX(0,Z51+R52+S52+T52+Observaciones!$F51-U52-W52-X52-Constantes!$F$33),0)</f>
        <v>0</v>
      </c>
      <c r="Z52" s="170">
        <f>Z51+R52+S52+T52+Observaciones!$F51-U52-W52-Y52</f>
        <v>49.123101549124911</v>
      </c>
      <c r="AA52" s="170">
        <f>IF(Escenarios!$F$14&gt;0,(Escenarios!$F$13*L52+Escenarios!$F$14*W52)/(Escenarios!$F$16),L52)</f>
        <v>2.7811668966916399</v>
      </c>
      <c r="AB52" s="170">
        <f>IF(Escenarios!$F$14&gt;0,(Escenarios!$F$14*Y52)/(Escenarios!$F$16),K52)</f>
        <v>0</v>
      </c>
      <c r="AC52" s="170">
        <f>IF(Escenarios!$F$14&gt;0,(Escenarios!$F$13*M52+Escenarios!$F$14*U52)/(Escenarios!$F$16),M52)</f>
        <v>0</v>
      </c>
      <c r="AD52" s="76">
        <f t="shared" si="1"/>
        <v>87.989950329327172</v>
      </c>
      <c r="AE52" s="76">
        <f>MAX(0,(AD52-Constantes!$D$13)*(1-EXP(-Constantes!$D$23)))</f>
        <v>0.3866405768228669</v>
      </c>
      <c r="AF52" s="76">
        <f>AB52+O52*Escenarios!$F$13/Escenarios!$F$16+AE52</f>
        <v>1.0138973641420717</v>
      </c>
      <c r="AG52" s="76">
        <f>IF(Entradas!$F$91&gt;0,IF(AF52-Escenarios!$F$38&lt;=0,0,IF(AF52-Escenarios!$F$38&gt;Escenarios!$F$37,Escenarios!$F$37,AF52-Escenarios!$F$38)),0)</f>
        <v>0</v>
      </c>
      <c r="AH52" s="76">
        <f>AG52*Entradas!$F$99</f>
        <v>0</v>
      </c>
      <c r="AI52" s="76">
        <f>IF(Entradas!$F$91&gt;0,D52*Entradas!$D$23/Escenarios!$F$16,0)</f>
        <v>0.2193699868263318</v>
      </c>
      <c r="AJ52" s="76">
        <f>IF(Entradas!$F$91&gt;0,Entradas!$D$24*Entradas!$D$22/Escenarios!$F$16,0)</f>
        <v>0.12</v>
      </c>
      <c r="AK52" s="76">
        <f t="shared" si="2"/>
        <v>3.0005368835179715</v>
      </c>
      <c r="AL52" s="76">
        <f t="shared" si="3"/>
        <v>0</v>
      </c>
      <c r="AM52" s="76">
        <f t="shared" si="4"/>
        <v>0</v>
      </c>
      <c r="AN52" s="76">
        <f>MAX(0,O52*Escenarios!$F$13/Escenarios!$F$16-AM52)</f>
        <v>0.62725678731920487</v>
      </c>
      <c r="AO52" s="76">
        <f>AM52+AN52-O52*Escenarios!$F$13/Escenarios!$F$16</f>
        <v>0</v>
      </c>
      <c r="AP52" s="76">
        <f t="shared" si="5"/>
        <v>0.3866405768228669</v>
      </c>
      <c r="AQ52" s="76">
        <f t="shared" si="6"/>
        <v>0</v>
      </c>
      <c r="AR52" s="76">
        <f t="shared" si="7"/>
        <v>1.0138973641420717</v>
      </c>
      <c r="AS52" s="76">
        <f t="shared" si="8"/>
        <v>0</v>
      </c>
      <c r="AT52" s="76">
        <f t="shared" si="9"/>
        <v>0</v>
      </c>
      <c r="AU52" s="76">
        <f t="shared" si="10"/>
        <v>49.015325169877592</v>
      </c>
      <c r="AV52" s="76">
        <f>MAX(0,(AU52-Constantes!$D$13)*(1-EXP(-Constantes!$D$24)))</f>
        <v>4.0555607742929966E-3</v>
      </c>
      <c r="AW52" s="170">
        <f>AW51+(Entradas!$F$112*AT52-AX51)/(800*Entradas!$D$25)</f>
        <v>0</v>
      </c>
      <c r="AX52" s="170">
        <f>8000*Entradas!$D$26*AW52/Constantes!$F$45</f>
        <v>0</v>
      </c>
      <c r="AY52" s="170">
        <f>IF(Escenarios!$F$17&gt;0,10*Escenarios!$F$16*AL52,0)</f>
        <v>0</v>
      </c>
      <c r="AZ52" s="170">
        <f>IF(Escenarios!$F$17&gt;0,10*Escenarios!$F$16*AX52,0)</f>
        <v>0</v>
      </c>
      <c r="BA52" s="170">
        <f>IF(Escenarios!$F$17&gt;0,0.001*Observaciones!$F51*Escenarios!$F$17,0)</f>
        <v>0</v>
      </c>
      <c r="BB52" s="170">
        <f>IF(Escenarios!$F$17&gt;0,Observaciones!$K51,0)</f>
        <v>0</v>
      </c>
      <c r="BC52" s="170">
        <f>IF(Escenarios!$F$17&gt;0,MIN(0.0005*ETo!$M51*Escenarios!$F$17*(BG51/Constantes!$F$40)^(2/3),BG51+AY52+AZ52+BA52+BB52),0)</f>
        <v>0</v>
      </c>
      <c r="BD52" s="170">
        <f>IF(Escenarios!$F$17&gt;0,MIN(Constantes!$F$39*(BG51/Constantes!$F$40)^(2/3),BG51+AY52+AZ52+BA52+BB52-BC52),0)</f>
        <v>0</v>
      </c>
      <c r="BE52" s="170">
        <f>IF(Escenarios!$F$17&gt;0,MIN(Entradas!$F$113,BG51+AY52+AZ52+BA52+BB52-BC52-BD52),0)</f>
        <v>0</v>
      </c>
      <c r="BF52" s="170">
        <f>IF(Escenarios!$F$17&gt;0,MAX(0,BG51+AY52+AZ52+BA52+BB52-BC52-BD52-BE52-Constantes!$F$40),0)</f>
        <v>0</v>
      </c>
      <c r="BG52" s="170">
        <f t="shared" si="11"/>
        <v>0</v>
      </c>
      <c r="BH52" s="170">
        <f>(Escenarios!$F$16*AK52+0.1*BC52)/(Escenarios!$F$19)</f>
        <v>3.0005368835179715</v>
      </c>
      <c r="BI52" s="170">
        <f>IF(Escenarios!$F$17&gt;0,BF52/10/Escenarios!$F$19,AL52)</f>
        <v>0</v>
      </c>
      <c r="BJ52" s="170">
        <f>(Escenarios!$F$16*AT52+0.1*BD52)/(Escenarios!$F$19)</f>
        <v>0</v>
      </c>
      <c r="BK52" s="76">
        <f>BK51+(0.1*BD52)/(Escenarios!$F$19)-BL51</f>
        <v>48.75</v>
      </c>
      <c r="BL52" s="76">
        <f>MAX(0,(BK52-Constantes!$D$13)*(1-EXP(-Constantes!$D$23)))</f>
        <v>0</v>
      </c>
      <c r="BM52" s="76">
        <f t="shared" si="12"/>
        <v>0.39069613759715988</v>
      </c>
      <c r="BN52" s="76">
        <f t="shared" si="13"/>
        <v>1.0179529249163646</v>
      </c>
      <c r="BO52" s="76">
        <f>0.0526*BI52*Observaciones!$F51^1.218</f>
        <v>0</v>
      </c>
      <c r="BP52" s="76">
        <f>BO52*Constantes!$F$51</f>
        <v>0</v>
      </c>
      <c r="BQ52" s="76">
        <f t="shared" si="14"/>
        <v>0</v>
      </c>
      <c r="BR52" s="40"/>
    </row>
    <row r="53" spans="2:70">
      <c r="B53" s="39"/>
      <c r="C53" s="75">
        <v>47</v>
      </c>
      <c r="D53" s="146">
        <f>ETo!$I52*((1-Constantes!$F$19)*ETo!$K52+ETo!$L52)</f>
        <v>4.5330479957981131</v>
      </c>
      <c r="E53" s="76">
        <f>MIN(D53*Constantes!$F$17,0.8*(N52+Observaciones!$F52-F53-M53-Constantes!$D$14))</f>
        <v>2.5852505698097845</v>
      </c>
      <c r="F53" s="76">
        <f>IF(Observaciones!$F52&gt;0.05*Constantes!$F$18,((Observaciones!$F52-0.05*Constantes!$F$18)^2)/(Observaciones!$F52+0.95*Constantes!$F$18),0)</f>
        <v>0.22389605854431077</v>
      </c>
      <c r="G53" s="76">
        <f>IF(Escenarios!$F$11&gt;0,(F53*Escenarios!$F$16*10000)/1000,0)</f>
        <v>0</v>
      </c>
      <c r="H53" s="76">
        <f>IF(Escenarios!$F$11&gt;0,(Observaciones!$F52*Constantes!$F$29)/1000,0)</f>
        <v>0</v>
      </c>
      <c r="I53" s="76">
        <f>IF(Escenarios!$F$11&gt;0,(D53*Constantes!$F$29)/1000,0)</f>
        <v>0</v>
      </c>
      <c r="J53" s="76">
        <f>IF(Escenarios!$F$11&gt;0,MAX(0,G53+H53-I53),0)</f>
        <v>0</v>
      </c>
      <c r="K53" s="76">
        <f>IF(Escenarios!$F$11&gt;0,IF(J53&gt;Constantes!$F$30,1000*((J53-Constantes!$F$30)/(Escenarios!$F$16*10000)),0),F53)</f>
        <v>0.22389605854431077</v>
      </c>
      <c r="L53" s="76">
        <f>IF(Escenarios!$F$11&gt;0,I53*1000/Escenarios!$F$16/10000+E53,E53)</f>
        <v>2.5852505698097845</v>
      </c>
      <c r="M53" s="76">
        <f>MAX(0,N52+Observaciones!$F52-K53-Constantes!$D$13)</f>
        <v>1.3013824353442942</v>
      </c>
      <c r="N53" s="76">
        <f>N52+Observaciones!$F52-K53-L53-M53-O52</f>
        <v>45.451957626418391</v>
      </c>
      <c r="O53" s="76">
        <f>MAX(0,(N53-Constantes!$D$14)*(1-EXP(-Constantes!$D$22)))</f>
        <v>1.1650442347126846</v>
      </c>
      <c r="P53" s="170">
        <f>P52+(Entradas!$F$83*M53-Q52)/(800*Entradas!$D$25)</f>
        <v>0</v>
      </c>
      <c r="Q53" s="170">
        <f>8000*Entradas!$D$26*P53/Constantes!$F$45</f>
        <v>0</v>
      </c>
      <c r="R53" s="170">
        <f>IF(Escenarios!$F$14&gt;0,K53*Escenarios!$F$13/Escenarios!$F$14,0)</f>
        <v>1.6419044293249456</v>
      </c>
      <c r="S53" s="170">
        <f>IF(Escenarios!$F$14&gt;0,Q53*Escenarios!$F$13/Escenarios!$F$14,0)</f>
        <v>0</v>
      </c>
      <c r="T53" s="170">
        <f>IF(Escenarios!$F$14&gt;0,Observaciones!$I52,0)</f>
        <v>0</v>
      </c>
      <c r="U53" s="170">
        <f>IF(Escenarios!$F$14&gt;0,MAX(0,Constantes!$F$36/((Z52+R53+S53+T53+Observaciones!$F52)^2)+Entradas!$F$77),0)</f>
        <v>0.83511013221532604</v>
      </c>
      <c r="V53" s="146">
        <f>IF(ETo!D52&gt;0,ETo!I52*((1-Entradas!$F$81)*ETo!K52+ETo!L52),0)</f>
        <v>4.0287557270435403</v>
      </c>
      <c r="W53" s="170">
        <f>IF(Escenarios!$F$14&gt;0,MIN(V53*1,0.8*(Z52+R53+S53+T53+Observaciones!$F52-U53-Constantes!$F$35)),0)</f>
        <v>4.0287557270435403</v>
      </c>
      <c r="X53" s="170">
        <f>IF(Escenarios!$F$14&gt;0,Observaciones!$J52,0)</f>
        <v>0</v>
      </c>
      <c r="Y53" s="170">
        <f>IF(Escenarios!$F$14&gt;0,MAX(0,Z52+R53+S53+T53+Observaciones!$F52-U53-W53-X53-Constantes!$F$33),0)</f>
        <v>0</v>
      </c>
      <c r="Z53" s="170">
        <f>Z52+R53+S53+T53+Observaciones!$F52-U53-W53-Y53</f>
        <v>64.001140119190993</v>
      </c>
      <c r="AA53" s="170">
        <f>IF(Escenarios!$F$14&gt;0,(Escenarios!$F$13*L53+Escenarios!$F$14*W53)/(Escenarios!$F$16),L53)</f>
        <v>2.7584711886778348</v>
      </c>
      <c r="AB53" s="170">
        <f>IF(Escenarios!$F$14&gt;0,(Escenarios!$F$14*Y53)/(Escenarios!$F$16),K53)</f>
        <v>0</v>
      </c>
      <c r="AC53" s="170">
        <f>IF(Escenarios!$F$14&gt;0,(Escenarios!$F$13*M53+Escenarios!$F$14*U53)/(Escenarios!$F$16),M53)</f>
        <v>1.2454297589688181</v>
      </c>
      <c r="AD53" s="76">
        <f t="shared" si="1"/>
        <v>88.848739511473113</v>
      </c>
      <c r="AE53" s="76">
        <f>MAX(0,(AD53-Constantes!$D$13)*(1-EXP(-Constantes!$D$23)))</f>
        <v>0.39510243118219779</v>
      </c>
      <c r="AF53" s="76">
        <f>AB53+O53*Escenarios!$F$13/Escenarios!$F$16+AE53</f>
        <v>1.4203413577293602</v>
      </c>
      <c r="AG53" s="76">
        <f>IF(Entradas!$F$91&gt;0,IF(AF53-Escenarios!$F$38&lt;=0,0,IF(AF53-Escenarios!$F$38&gt;Escenarios!$F$37,Escenarios!$F$37,AF53-Escenarios!$F$38)),0)</f>
        <v>0.38354135772936027</v>
      </c>
      <c r="AH53" s="76">
        <f>AG53*Entradas!$F$99</f>
        <v>0</v>
      </c>
      <c r="AI53" s="76">
        <f>IF(Entradas!$F$91&gt;0,D53*Entradas!$D$23/Escenarios!$F$16,0)</f>
        <v>0.21758630379830943</v>
      </c>
      <c r="AJ53" s="76">
        <f>IF(Entradas!$F$91&gt;0,Entradas!$D$24*Entradas!$D$22/Escenarios!$F$16,0)</f>
        <v>0.12</v>
      </c>
      <c r="AK53" s="76">
        <f t="shared" si="2"/>
        <v>2.9760574924761443</v>
      </c>
      <c r="AL53" s="76">
        <f t="shared" si="3"/>
        <v>0</v>
      </c>
      <c r="AM53" s="76">
        <f t="shared" si="4"/>
        <v>0.38354135772936027</v>
      </c>
      <c r="AN53" s="76">
        <f>MAX(0,O53*Escenarios!$F$13/Escenarios!$F$16-AM53)</f>
        <v>0.64169756881780216</v>
      </c>
      <c r="AO53" s="76">
        <f>AM53+AN53-O53*Escenarios!$F$13/Escenarios!$F$16</f>
        <v>0</v>
      </c>
      <c r="AP53" s="76">
        <f t="shared" si="5"/>
        <v>0.39510243118219779</v>
      </c>
      <c r="AQ53" s="76">
        <f t="shared" si="6"/>
        <v>0</v>
      </c>
      <c r="AR53" s="76">
        <f t="shared" si="7"/>
        <v>1.0367999999999999</v>
      </c>
      <c r="AS53" s="76">
        <f t="shared" si="8"/>
        <v>4.5955053931050843E-2</v>
      </c>
      <c r="AT53" s="76">
        <f t="shared" si="9"/>
        <v>1.2913848128998691</v>
      </c>
      <c r="AU53" s="76">
        <f t="shared" si="10"/>
        <v>49.057224663034354</v>
      </c>
      <c r="AV53" s="76">
        <f>MAX(0,(AU53-Constantes!$D$13)*(1-EXP(-Constantes!$D$24)))</f>
        <v>4.6960048791162192E-3</v>
      </c>
      <c r="AW53" s="170">
        <f>AW52+(Entradas!$F$112*AT53-AX52)/(800*Entradas!$D$25)</f>
        <v>0</v>
      </c>
      <c r="AX53" s="170">
        <f>8000*Entradas!$D$26*AW53/Constantes!$F$45</f>
        <v>0</v>
      </c>
      <c r="AY53" s="170">
        <f>IF(Escenarios!$F$17&gt;0,10*Escenarios!$F$16*AL53,0)</f>
        <v>0</v>
      </c>
      <c r="AZ53" s="170">
        <f>IF(Escenarios!$F$17&gt;0,10*Escenarios!$F$16*AX53,0)</f>
        <v>0</v>
      </c>
      <c r="BA53" s="170">
        <f>IF(Escenarios!$F$17&gt;0,0.001*Observaciones!$F52*Escenarios!$F$17,0)</f>
        <v>0</v>
      </c>
      <c r="BB53" s="170">
        <f>IF(Escenarios!$F$17&gt;0,Observaciones!$K52,0)</f>
        <v>0</v>
      </c>
      <c r="BC53" s="170">
        <f>IF(Escenarios!$F$17&gt;0,MIN(0.0005*ETo!$M52*Escenarios!$F$17*(BG52/Constantes!$F$40)^(2/3),BG52+AY53+AZ53+BA53+BB53),0)</f>
        <v>0</v>
      </c>
      <c r="BD53" s="170">
        <f>IF(Escenarios!$F$17&gt;0,MIN(Constantes!$F$39*(BG52/Constantes!$F$40)^(2/3),BG52+AY53+AZ53+BA53+BB53-BC53),0)</f>
        <v>0</v>
      </c>
      <c r="BE53" s="170">
        <f>IF(Escenarios!$F$17&gt;0,MIN(Entradas!$F$113,BG52+AY53+AZ53+BA53+BB53-BC53-BD53),0)</f>
        <v>0</v>
      </c>
      <c r="BF53" s="170">
        <f>IF(Escenarios!$F$17&gt;0,MAX(0,BG52+AY53+AZ53+BA53+BB53-BC53-BD53-BE53-Constantes!$F$40),0)</f>
        <v>0</v>
      </c>
      <c r="BG53" s="170">
        <f t="shared" si="11"/>
        <v>0</v>
      </c>
      <c r="BH53" s="170">
        <f>(Escenarios!$F$16*AK53+0.1*BC53)/(Escenarios!$F$19)</f>
        <v>2.9760574924761438</v>
      </c>
      <c r="BI53" s="170">
        <f>IF(Escenarios!$F$17&gt;0,BF53/10/Escenarios!$F$19,AL53)</f>
        <v>0</v>
      </c>
      <c r="BJ53" s="170">
        <f>(Escenarios!$F$16*AT53+0.1*BD53)/(Escenarios!$F$19)</f>
        <v>1.2913848128998691</v>
      </c>
      <c r="BK53" s="76">
        <f>BK52+(0.1*BD53)/(Escenarios!$F$19)-BL52</f>
        <v>48.75</v>
      </c>
      <c r="BL53" s="76">
        <f>MAX(0,(BK53-Constantes!$D$13)*(1-EXP(-Constantes!$D$23)))</f>
        <v>0</v>
      </c>
      <c r="BM53" s="76">
        <f t="shared" si="12"/>
        <v>0.39979843606131399</v>
      </c>
      <c r="BN53" s="76">
        <f t="shared" si="13"/>
        <v>1.0414960048791162</v>
      </c>
      <c r="BO53" s="76">
        <f>0.0526*BI53*Observaciones!$F52^1.218</f>
        <v>0</v>
      </c>
      <c r="BP53" s="76">
        <f>BO53*Constantes!$F$51</f>
        <v>0</v>
      </c>
      <c r="BQ53" s="76">
        <f t="shared" si="14"/>
        <v>0</v>
      </c>
      <c r="BR53" s="40"/>
    </row>
    <row r="54" spans="2:70">
      <c r="B54" s="39"/>
      <c r="C54" s="75">
        <v>48</v>
      </c>
      <c r="D54" s="146">
        <f>ETo!$I53*((1-Constantes!$F$19)*ETo!$K53+ETo!$L53)</f>
        <v>4.5323505399334376</v>
      </c>
      <c r="E54" s="76">
        <f>MIN(D54*Constantes!$F$17,0.8*(N53+Observaciones!$F53-F54-M54-Constantes!$D$14))</f>
        <v>2.5848528025297468</v>
      </c>
      <c r="F54" s="76">
        <f>IF(Observaciones!$F53&gt;0.05*Constantes!$F$18,((Observaciones!$F53-0.05*Constantes!$F$18)^2)/(Observaciones!$F53+0.95*Constantes!$F$18),0)</f>
        <v>0</v>
      </c>
      <c r="G54" s="76">
        <f>IF(Escenarios!$F$11&gt;0,(F54*Escenarios!$F$16*10000)/1000,0)</f>
        <v>0</v>
      </c>
      <c r="H54" s="76">
        <f>IF(Escenarios!$F$11&gt;0,(Observaciones!$F53*Constantes!$F$29)/1000,0)</f>
        <v>0</v>
      </c>
      <c r="I54" s="76">
        <f>IF(Escenarios!$F$11&gt;0,(D54*Constantes!$F$29)/1000,0)</f>
        <v>0</v>
      </c>
      <c r="J54" s="76">
        <f>IF(Escenarios!$F$11&gt;0,MAX(0,G54+H54-I54),0)</f>
        <v>0</v>
      </c>
      <c r="K54" s="76">
        <f>IF(Escenarios!$F$11&gt;0,IF(J54&gt;Constantes!$F$30,1000*((J54-Constantes!$F$30)/(Escenarios!$F$16*10000)),0),F54)</f>
        <v>0</v>
      </c>
      <c r="L54" s="76">
        <f>IF(Escenarios!$F$11&gt;0,I54*1000/Escenarios!$F$16/10000+E54,E54)</f>
        <v>2.5848528025297468</v>
      </c>
      <c r="M54" s="76">
        <f>MAX(0,N53+Observaciones!$F53-K54-Constantes!$D$13)</f>
        <v>0</v>
      </c>
      <c r="N54" s="76">
        <f>N53+Observaciones!$F53-K54-L54-M54-O53</f>
        <v>43.102060589175963</v>
      </c>
      <c r="O54" s="76">
        <f>MAX(0,(N54-Constantes!$D$14)*(1-EXP(-Constantes!$D$22)))</f>
        <v>1.0849981149755787</v>
      </c>
      <c r="P54" s="170">
        <f>P53+(Entradas!$F$83*M54-Q53)/(800*Entradas!$D$25)</f>
        <v>0</v>
      </c>
      <c r="Q54" s="170">
        <f>8000*Entradas!$D$26*P54/Constantes!$F$45</f>
        <v>0</v>
      </c>
      <c r="R54" s="170">
        <f>IF(Escenarios!$F$14&gt;0,K54*Escenarios!$F$13/Escenarios!$F$14,0)</f>
        <v>0</v>
      </c>
      <c r="S54" s="170">
        <f>IF(Escenarios!$F$14&gt;0,Q54*Escenarios!$F$13/Escenarios!$F$14,0)</f>
        <v>0</v>
      </c>
      <c r="T54" s="170">
        <f>IF(Escenarios!$F$14&gt;0,Observaciones!$I53,0)</f>
        <v>0</v>
      </c>
      <c r="U54" s="170">
        <f>IF(Escenarios!$F$14&gt;0,MAX(0,Constantes!$F$36/((Z53+R54+S54+T54+Observaciones!$F53)^2)+Entradas!$F$77),0)</f>
        <v>0.59971755825275519</v>
      </c>
      <c r="V54" s="146">
        <f>IF(ETo!D53&gt;0,ETo!I53*((1-Entradas!$F$81)*ETo!K53+ETo!L53),0)</f>
        <v>4.0280617435380126</v>
      </c>
      <c r="W54" s="170">
        <f>IF(Escenarios!$F$14&gt;0,MIN(V54*1,0.8*(Z53+R54+S54+T54+Observaciones!$F53-U54-Constantes!$F$35)),0)</f>
        <v>4.0280617435380126</v>
      </c>
      <c r="X54" s="170">
        <f>IF(Escenarios!$F$14&gt;0,Observaciones!$J53,0)</f>
        <v>0</v>
      </c>
      <c r="Y54" s="170">
        <f>IF(Escenarios!$F$14&gt;0,MAX(0,Z53+R54+S54+T54+Observaciones!$F53-U54-W54-X54-Constantes!$F$33),0)</f>
        <v>0</v>
      </c>
      <c r="Z54" s="170">
        <f>Z53+R54+S54+T54+Observaciones!$F53-U54-W54-Y54</f>
        <v>60.773360817400238</v>
      </c>
      <c r="AA54" s="170">
        <f>IF(Escenarios!$F$14&gt;0,(Escenarios!$F$13*L54+Escenarios!$F$14*W54)/(Escenarios!$F$16),L54)</f>
        <v>2.7580378754507389</v>
      </c>
      <c r="AB54" s="170">
        <f>IF(Escenarios!$F$14&gt;0,(Escenarios!$F$14*Y54)/(Escenarios!$F$16),K54)</f>
        <v>0</v>
      </c>
      <c r="AC54" s="170">
        <f>IF(Escenarios!$F$14&gt;0,(Escenarios!$F$13*M54+Escenarios!$F$14*U54)/(Escenarios!$F$16),M54)</f>
        <v>7.1966106990330611E-2</v>
      </c>
      <c r="AD54" s="76">
        <f t="shared" si="1"/>
        <v>88.525603187281249</v>
      </c>
      <c r="AE54" s="76">
        <f>MAX(0,(AD54-Constantes!$D$13)*(1-EXP(-Constantes!$D$23)))</f>
        <v>0.39191849201485929</v>
      </c>
      <c r="AF54" s="76">
        <f>AB54+O54*Escenarios!$F$13/Escenarios!$F$16+AE54</f>
        <v>1.3467168331933685</v>
      </c>
      <c r="AG54" s="76">
        <f>IF(Entradas!$F$91&gt;0,IF(AF54-Escenarios!$F$38&lt;=0,0,IF(AF54-Escenarios!$F$38&gt;Escenarios!$F$37,Escenarios!$F$37,AF54-Escenarios!$F$38)),0)</f>
        <v>0.3099168331933686</v>
      </c>
      <c r="AH54" s="76">
        <f>AG54*Entradas!$F$99</f>
        <v>0</v>
      </c>
      <c r="AI54" s="76">
        <f>IF(Entradas!$F$91&gt;0,D54*Entradas!$D$23/Escenarios!$F$16,0)</f>
        <v>0.217552825916805</v>
      </c>
      <c r="AJ54" s="76">
        <f>IF(Entradas!$F$91&gt;0,Entradas!$D$24*Entradas!$D$22/Escenarios!$F$16,0)</f>
        <v>0.12</v>
      </c>
      <c r="AK54" s="76">
        <f t="shared" si="2"/>
        <v>2.975590701367544</v>
      </c>
      <c r="AL54" s="76">
        <f t="shared" si="3"/>
        <v>0</v>
      </c>
      <c r="AM54" s="76">
        <f t="shared" si="4"/>
        <v>0.3099168331933686</v>
      </c>
      <c r="AN54" s="76">
        <f>MAX(0,O54*Escenarios!$F$13/Escenarios!$F$16-AM54)</f>
        <v>0.64488150798514066</v>
      </c>
      <c r="AO54" s="76">
        <f>AM54+AN54-O54*Escenarios!$F$13/Escenarios!$F$16</f>
        <v>0</v>
      </c>
      <c r="AP54" s="76">
        <f t="shared" si="5"/>
        <v>0.39191849201485929</v>
      </c>
      <c r="AQ54" s="76">
        <f t="shared" si="6"/>
        <v>0</v>
      </c>
      <c r="AR54" s="76">
        <f t="shared" si="7"/>
        <v>1.0367999999999999</v>
      </c>
      <c r="AS54" s="76">
        <f t="shared" si="8"/>
        <v>0</v>
      </c>
      <c r="AT54" s="76">
        <f t="shared" si="9"/>
        <v>7.1966106990330611E-2</v>
      </c>
      <c r="AU54" s="76">
        <f t="shared" si="10"/>
        <v>49.052528658155239</v>
      </c>
      <c r="AV54" s="76">
        <f>MAX(0,(AU54-Constantes!$D$13)*(1-EXP(-Constantes!$D$24)))</f>
        <v>4.6242252843178306E-3</v>
      </c>
      <c r="AW54" s="170">
        <f>AW53+(Entradas!$F$112*AT54-AX53)/(800*Entradas!$D$25)</f>
        <v>0</v>
      </c>
      <c r="AX54" s="170">
        <f>8000*Entradas!$D$26*AW54/Constantes!$F$45</f>
        <v>0</v>
      </c>
      <c r="AY54" s="170">
        <f>IF(Escenarios!$F$17&gt;0,10*Escenarios!$F$16*AL54,0)</f>
        <v>0</v>
      </c>
      <c r="AZ54" s="170">
        <f>IF(Escenarios!$F$17&gt;0,10*Escenarios!$F$16*AX54,0)</f>
        <v>0</v>
      </c>
      <c r="BA54" s="170">
        <f>IF(Escenarios!$F$17&gt;0,0.001*Observaciones!$F53*Escenarios!$F$17,0)</f>
        <v>0</v>
      </c>
      <c r="BB54" s="170">
        <f>IF(Escenarios!$F$17&gt;0,Observaciones!$K53,0)</f>
        <v>0</v>
      </c>
      <c r="BC54" s="170">
        <f>IF(Escenarios!$F$17&gt;0,MIN(0.0005*ETo!$M53*Escenarios!$F$17*(BG53/Constantes!$F$40)^(2/3),BG53+AY54+AZ54+BA54+BB54),0)</f>
        <v>0</v>
      </c>
      <c r="BD54" s="170">
        <f>IF(Escenarios!$F$17&gt;0,MIN(Constantes!$F$39*(BG53/Constantes!$F$40)^(2/3),BG53+AY54+AZ54+BA54+BB54-BC54),0)</f>
        <v>0</v>
      </c>
      <c r="BE54" s="170">
        <f>IF(Escenarios!$F$17&gt;0,MIN(Entradas!$F$113,BG53+AY54+AZ54+BA54+BB54-BC54-BD54),0)</f>
        <v>0</v>
      </c>
      <c r="BF54" s="170">
        <f>IF(Escenarios!$F$17&gt;0,MAX(0,BG53+AY54+AZ54+BA54+BB54-BC54-BD54-BE54-Constantes!$F$40),0)</f>
        <v>0</v>
      </c>
      <c r="BG54" s="170">
        <f t="shared" si="11"/>
        <v>0</v>
      </c>
      <c r="BH54" s="170">
        <f>(Escenarios!$F$16*AK54+0.1*BC54)/(Escenarios!$F$19)</f>
        <v>2.975590701367544</v>
      </c>
      <c r="BI54" s="170">
        <f>IF(Escenarios!$F$17&gt;0,BF54/10/Escenarios!$F$19,AL54)</f>
        <v>0</v>
      </c>
      <c r="BJ54" s="170">
        <f>(Escenarios!$F$16*AT54+0.1*BD54)/(Escenarios!$F$19)</f>
        <v>7.1966106990330611E-2</v>
      </c>
      <c r="BK54" s="76">
        <f>BK53+(0.1*BD54)/(Escenarios!$F$19)-BL53</f>
        <v>48.75</v>
      </c>
      <c r="BL54" s="76">
        <f>MAX(0,(BK54-Constantes!$D$13)*(1-EXP(-Constantes!$D$23)))</f>
        <v>0</v>
      </c>
      <c r="BM54" s="76">
        <f t="shared" si="12"/>
        <v>0.39654271729917712</v>
      </c>
      <c r="BN54" s="76">
        <f t="shared" si="13"/>
        <v>1.0414242252843178</v>
      </c>
      <c r="BO54" s="76">
        <f>0.0526*BI54*Observaciones!$F53^1.218</f>
        <v>0</v>
      </c>
      <c r="BP54" s="76">
        <f>BO54*Constantes!$F$51</f>
        <v>0</v>
      </c>
      <c r="BQ54" s="76">
        <f t="shared" si="14"/>
        <v>0</v>
      </c>
      <c r="BR54" s="40"/>
    </row>
    <row r="55" spans="2:70">
      <c r="B55" s="39"/>
      <c r="C55" s="75">
        <v>49</v>
      </c>
      <c r="D55" s="146">
        <f>ETo!$I54*((1-Constantes!$F$19)*ETo!$K54+ETo!$L54)</f>
        <v>4.6137603400833234</v>
      </c>
      <c r="E55" s="76">
        <f>MIN(D55*Constantes!$F$17,0.8*(N54+Observaciones!$F54-F55-M55-Constantes!$D$14))</f>
        <v>2.6312817687398291</v>
      </c>
      <c r="F55" s="76">
        <f>IF(Observaciones!$F54&gt;0.05*Constantes!$F$18,((Observaciones!$F54-0.05*Constantes!$F$18)^2)/(Observaciones!$F54+0.95*Constantes!$F$18),0)</f>
        <v>1.0501999663621345E-2</v>
      </c>
      <c r="G55" s="76">
        <f>IF(Escenarios!$F$11&gt;0,(F55*Escenarios!$F$16*10000)/1000,0)</f>
        <v>0</v>
      </c>
      <c r="H55" s="76">
        <f>IF(Escenarios!$F$11&gt;0,(Observaciones!$F54*Constantes!$F$29)/1000,0)</f>
        <v>0</v>
      </c>
      <c r="I55" s="76">
        <f>IF(Escenarios!$F$11&gt;0,(D55*Constantes!$F$29)/1000,0)</f>
        <v>0</v>
      </c>
      <c r="J55" s="76">
        <f>IF(Escenarios!$F$11&gt;0,MAX(0,G55+H55-I55),0)</f>
        <v>0</v>
      </c>
      <c r="K55" s="76">
        <f>IF(Escenarios!$F$11&gt;0,IF(J55&gt;Constantes!$F$30,1000*((J55-Constantes!$F$30)/(Escenarios!$F$16*10000)),0),F55)</f>
        <v>1.0501999663621345E-2</v>
      </c>
      <c r="L55" s="76">
        <f>IF(Escenarios!$F$11&gt;0,I55*1000/Escenarios!$F$16/10000+E55,E55)</f>
        <v>2.6312817687398291</v>
      </c>
      <c r="M55" s="76">
        <f>MAX(0,N54+Observaciones!$F54-K55-Constantes!$D$13)</f>
        <v>6.8415585895123385</v>
      </c>
      <c r="N55" s="76">
        <f>N54+Observaciones!$F54-K55-L55-M55-O54</f>
        <v>45.033720116284591</v>
      </c>
      <c r="O55" s="76">
        <f>MAX(0,(N55-Constantes!$D$14)*(1-EXP(-Constantes!$D$22)))</f>
        <v>1.1507975297361952</v>
      </c>
      <c r="P55" s="170">
        <f>P54+(Entradas!$F$83*M55-Q54)/(800*Entradas!$D$25)</f>
        <v>0</v>
      </c>
      <c r="Q55" s="170">
        <f>8000*Entradas!$D$26*P55/Constantes!$F$45</f>
        <v>0</v>
      </c>
      <c r="R55" s="170">
        <f>IF(Escenarios!$F$14&gt;0,K55*Escenarios!$F$13/Escenarios!$F$14,0)</f>
        <v>7.7014664199889865E-2</v>
      </c>
      <c r="S55" s="170">
        <f>IF(Escenarios!$F$14&gt;0,Q55*Escenarios!$F$13/Escenarios!$F$14,0)</f>
        <v>0</v>
      </c>
      <c r="T55" s="170">
        <f>IF(Escenarios!$F$14&gt;0,Observaciones!$I54,0)</f>
        <v>0</v>
      </c>
      <c r="U55" s="170">
        <f>IF(Escenarios!$F$14&gt;0,MAX(0,Constantes!$F$36/((Z54+R55+S55+T55+Observaciones!$F54)^2)+Entradas!$F$77),0)</f>
        <v>1.0917806114905568</v>
      </c>
      <c r="V55" s="146">
        <f>IF(ETo!D54&gt;0,ETo!I54*((1-Entradas!$F$81)*ETo!K54+ETo!L54),0)</f>
        <v>4.1018173150367545</v>
      </c>
      <c r="W55" s="170">
        <f>IF(Escenarios!$F$14&gt;0,MIN(V55*1,0.8*(Z54+R55+S55+T55+Observaciones!$F54-U55-Constantes!$F$35)),0)</f>
        <v>4.1018173150367545</v>
      </c>
      <c r="X55" s="170">
        <f>IF(Escenarios!$F$14&gt;0,Observaciones!$J54,0)</f>
        <v>0</v>
      </c>
      <c r="Y55" s="170">
        <f>IF(Escenarios!$F$14&gt;0,MAX(0,Z54+R55+S55+T55+Observaciones!$F54-U55-W55-X55-Constantes!$F$33),0)</f>
        <v>0</v>
      </c>
      <c r="Z55" s="170">
        <f>Z54+R55+S55+T55+Observaciones!$F54-U55-W55-Y55</f>
        <v>68.156777555072807</v>
      </c>
      <c r="AA55" s="170">
        <f>IF(Escenarios!$F$14&gt;0,(Escenarios!$F$13*L55+Escenarios!$F$14*W55)/(Escenarios!$F$16),L55)</f>
        <v>2.8077460342954601</v>
      </c>
      <c r="AB55" s="170">
        <f>IF(Escenarios!$F$14&gt;0,(Escenarios!$F$14*Y55)/(Escenarios!$F$16),K55)</f>
        <v>0</v>
      </c>
      <c r="AC55" s="170">
        <f>IF(Escenarios!$F$14&gt;0,(Escenarios!$F$13*M55+Escenarios!$F$14*U55)/(Escenarios!$F$16),M55)</f>
        <v>6.1515852321497251</v>
      </c>
      <c r="AD55" s="76">
        <f t="shared" si="1"/>
        <v>94.285269927416124</v>
      </c>
      <c r="AE55" s="76">
        <f>MAX(0,(AD55-Constantes!$D$13)*(1-EXP(-Constantes!$D$23)))</f>
        <v>0.44866986025114558</v>
      </c>
      <c r="AF55" s="76">
        <f>AB55+O55*Escenarios!$F$13/Escenarios!$F$16+AE55</f>
        <v>1.4613716864189974</v>
      </c>
      <c r="AG55" s="76">
        <f>IF(Entradas!$F$91&gt;0,IF(AF55-Escenarios!$F$38&lt;=0,0,IF(AF55-Escenarios!$F$38&gt;Escenarios!$F$37,Escenarios!$F$37,AF55-Escenarios!$F$38)),0)</f>
        <v>0.42457168641899745</v>
      </c>
      <c r="AH55" s="76">
        <f>AG55*Entradas!$F$99</f>
        <v>0</v>
      </c>
      <c r="AI55" s="76">
        <f>IF(Entradas!$F$91&gt;0,D55*Entradas!$D$23/Escenarios!$F$16,0)</f>
        <v>0.2214604963239995</v>
      </c>
      <c r="AJ55" s="76">
        <f>IF(Entradas!$F$91&gt;0,Entradas!$D$24*Entradas!$D$22/Escenarios!$F$16,0)</f>
        <v>0.12</v>
      </c>
      <c r="AK55" s="76">
        <f t="shared" si="2"/>
        <v>3.0292065306194598</v>
      </c>
      <c r="AL55" s="76">
        <f t="shared" si="3"/>
        <v>0</v>
      </c>
      <c r="AM55" s="76">
        <f t="shared" si="4"/>
        <v>0.42457168641899745</v>
      </c>
      <c r="AN55" s="76">
        <f>MAX(0,O55*Escenarios!$F$13/Escenarios!$F$16-AM55)</f>
        <v>0.58813013974885431</v>
      </c>
      <c r="AO55" s="76">
        <f>AM55+AN55-O55*Escenarios!$F$13/Escenarios!$F$16</f>
        <v>0</v>
      </c>
      <c r="AP55" s="76">
        <f t="shared" si="5"/>
        <v>0.44866986025114558</v>
      </c>
      <c r="AQ55" s="76">
        <f t="shared" si="6"/>
        <v>0</v>
      </c>
      <c r="AR55" s="76">
        <f t="shared" si="7"/>
        <v>1.0367999999999999</v>
      </c>
      <c r="AS55" s="76">
        <f t="shared" si="8"/>
        <v>8.3111190094997955E-2</v>
      </c>
      <c r="AT55" s="76">
        <f t="shared" si="9"/>
        <v>6.2346964222447232</v>
      </c>
      <c r="AU55" s="76">
        <f t="shared" si="10"/>
        <v>49.131015622965919</v>
      </c>
      <c r="AV55" s="76">
        <f>MAX(0,(AU55-Constantes!$D$13)*(1-EXP(-Constantes!$D$24)))</f>
        <v>5.8239179328756644E-3</v>
      </c>
      <c r="AW55" s="170">
        <f>AW54+(Entradas!$F$112*AT55-AX54)/(800*Entradas!$D$25)</f>
        <v>0</v>
      </c>
      <c r="AX55" s="170">
        <f>8000*Entradas!$D$26*AW55/Constantes!$F$45</f>
        <v>0</v>
      </c>
      <c r="AY55" s="170">
        <f>IF(Escenarios!$F$17&gt;0,10*Escenarios!$F$16*AL55,0)</f>
        <v>0</v>
      </c>
      <c r="AZ55" s="170">
        <f>IF(Escenarios!$F$17&gt;0,10*Escenarios!$F$16*AX55,0)</f>
        <v>0</v>
      </c>
      <c r="BA55" s="170">
        <f>IF(Escenarios!$F$17&gt;0,0.001*Observaciones!$F54*Escenarios!$F$17,0)</f>
        <v>0</v>
      </c>
      <c r="BB55" s="170">
        <f>IF(Escenarios!$F$17&gt;0,Observaciones!$K54,0)</f>
        <v>0</v>
      </c>
      <c r="BC55" s="170">
        <f>IF(Escenarios!$F$17&gt;0,MIN(0.0005*ETo!$M54*Escenarios!$F$17*(BG54/Constantes!$F$40)^(2/3),BG54+AY55+AZ55+BA55+BB55),0)</f>
        <v>0</v>
      </c>
      <c r="BD55" s="170">
        <f>IF(Escenarios!$F$17&gt;0,MIN(Constantes!$F$39*(BG54/Constantes!$F$40)^(2/3),BG54+AY55+AZ55+BA55+BB55-BC55),0)</f>
        <v>0</v>
      </c>
      <c r="BE55" s="170">
        <f>IF(Escenarios!$F$17&gt;0,MIN(Entradas!$F$113,BG54+AY55+AZ55+BA55+BB55-BC55-BD55),0)</f>
        <v>0</v>
      </c>
      <c r="BF55" s="170">
        <f>IF(Escenarios!$F$17&gt;0,MAX(0,BG54+AY55+AZ55+BA55+BB55-BC55-BD55-BE55-Constantes!$F$40),0)</f>
        <v>0</v>
      </c>
      <c r="BG55" s="170">
        <f t="shared" si="11"/>
        <v>0</v>
      </c>
      <c r="BH55" s="170">
        <f>(Escenarios!$F$16*AK55+0.1*BC55)/(Escenarios!$F$19)</f>
        <v>3.0292065306194598</v>
      </c>
      <c r="BI55" s="170">
        <f>IF(Escenarios!$F$17&gt;0,BF55/10/Escenarios!$F$19,AL55)</f>
        <v>0</v>
      </c>
      <c r="BJ55" s="170">
        <f>(Escenarios!$F$16*AT55+0.1*BD55)/(Escenarios!$F$19)</f>
        <v>6.2346964222447232</v>
      </c>
      <c r="BK55" s="76">
        <f>BK54+(0.1*BD55)/(Escenarios!$F$19)-BL54</f>
        <v>48.75</v>
      </c>
      <c r="BL55" s="76">
        <f>MAX(0,(BK55-Constantes!$D$13)*(1-EXP(-Constantes!$D$23)))</f>
        <v>0</v>
      </c>
      <c r="BM55" s="76">
        <f t="shared" si="12"/>
        <v>0.45449377818402126</v>
      </c>
      <c r="BN55" s="76">
        <f t="shared" si="13"/>
        <v>1.0426239179328756</v>
      </c>
      <c r="BO55" s="76">
        <f>0.0526*BI55*Observaciones!$F54^1.218</f>
        <v>0</v>
      </c>
      <c r="BP55" s="76">
        <f>BO55*Constantes!$F$51</f>
        <v>0</v>
      </c>
      <c r="BQ55" s="76">
        <f t="shared" si="14"/>
        <v>0</v>
      </c>
      <c r="BR55" s="40"/>
    </row>
    <row r="56" spans="2:70">
      <c r="B56" s="39"/>
      <c r="C56" s="75">
        <v>50</v>
      </c>
      <c r="D56" s="146">
        <f>ETo!$I55*((1-Constantes!$F$19)*ETo!$K55+ETo!$L55)</f>
        <v>4.4890524473129991</v>
      </c>
      <c r="E56" s="76">
        <f>MIN(D56*Constantes!$F$17,0.8*(N55+Observaciones!$F55-F56-M56-Constantes!$D$14))</f>
        <v>2.5601593912262652</v>
      </c>
      <c r="F56" s="76">
        <f>IF(Observaciones!$F55&gt;0.05*Constantes!$F$18,((Observaciones!$F55-0.05*Constantes!$F$18)^2)/(Observaciones!$F55+0.95*Constantes!$F$18),0)</f>
        <v>0</v>
      </c>
      <c r="G56" s="76">
        <f>IF(Escenarios!$F$11&gt;0,(F56*Escenarios!$F$16*10000)/1000,0)</f>
        <v>0</v>
      </c>
      <c r="H56" s="76">
        <f>IF(Escenarios!$F$11&gt;0,(Observaciones!$F55*Constantes!$F$29)/1000,0)</f>
        <v>0</v>
      </c>
      <c r="I56" s="76">
        <f>IF(Escenarios!$F$11&gt;0,(D56*Constantes!$F$29)/1000,0)</f>
        <v>0</v>
      </c>
      <c r="J56" s="76">
        <f>IF(Escenarios!$F$11&gt;0,MAX(0,G56+H56-I56),0)</f>
        <v>0</v>
      </c>
      <c r="K56" s="76">
        <f>IF(Escenarios!$F$11&gt;0,IF(J56&gt;Constantes!$F$30,1000*((J56-Constantes!$F$30)/(Escenarios!$F$16*10000)),0),F56)</f>
        <v>0</v>
      </c>
      <c r="L56" s="76">
        <f>IF(Escenarios!$F$11&gt;0,I56*1000/Escenarios!$F$16/10000+E56,E56)</f>
        <v>2.5601593912262652</v>
      </c>
      <c r="M56" s="76">
        <f>MAX(0,N55+Observaciones!$F55-K56-Constantes!$D$13)</f>
        <v>0</v>
      </c>
      <c r="N56" s="76">
        <f>N55+Observaciones!$F55-K56-L56-M56-O55</f>
        <v>41.322763195322132</v>
      </c>
      <c r="O56" s="76">
        <f>MAX(0,(N56-Constantes!$D$14)*(1-EXP(-Constantes!$D$22)))</f>
        <v>1.0243887138064622</v>
      </c>
      <c r="P56" s="170">
        <f>P55+(Entradas!$F$83*M56-Q55)/(800*Entradas!$D$25)</f>
        <v>0</v>
      </c>
      <c r="Q56" s="170">
        <f>8000*Entradas!$D$26*P56/Constantes!$F$45</f>
        <v>0</v>
      </c>
      <c r="R56" s="170">
        <f>IF(Escenarios!$F$14&gt;0,K56*Escenarios!$F$13/Escenarios!$F$14,0)</f>
        <v>0</v>
      </c>
      <c r="S56" s="170">
        <f>IF(Escenarios!$F$14&gt;0,Q56*Escenarios!$F$13/Escenarios!$F$14,0)</f>
        <v>0</v>
      </c>
      <c r="T56" s="170">
        <f>IF(Escenarios!$F$14&gt;0,Observaciones!$I55,0)</f>
        <v>0</v>
      </c>
      <c r="U56" s="170">
        <f>IF(Escenarios!$F$14&gt;0,MAX(0,Constantes!$F$36/((Z55+R56+S56+T56+Observaciones!$F55)^2)+Entradas!$F$77),0)</f>
        <v>0.78988491320693921</v>
      </c>
      <c r="V56" s="146">
        <f>IF(ETo!D55&gt;0,ETo!I55*((1-Entradas!$F$81)*ETo!K55+ETo!L55),0)</f>
        <v>3.9887403357624045</v>
      </c>
      <c r="W56" s="170">
        <f>IF(Escenarios!$F$14&gt;0,MIN(V56*1,0.8*(Z55+R56+S56+T56+Observaciones!$F55-U56-Constantes!$F$35)),0)</f>
        <v>3.9887403357624045</v>
      </c>
      <c r="X56" s="170">
        <f>IF(Escenarios!$F$14&gt;0,Observaciones!$J55,0)</f>
        <v>0</v>
      </c>
      <c r="Y56" s="170">
        <f>IF(Escenarios!$F$14&gt;0,MAX(0,Z55+R56+S56+T56+Observaciones!$F55-U56-W56-X56-Constantes!$F$33),0)</f>
        <v>0</v>
      </c>
      <c r="Z56" s="170">
        <f>Z55+R56+S56+T56+Observaciones!$F55-U56-W56-Y56</f>
        <v>63.378152306103473</v>
      </c>
      <c r="AA56" s="170">
        <f>IF(Escenarios!$F$14&gt;0,(Escenarios!$F$13*L56+Escenarios!$F$14*W56)/(Escenarios!$F$16),L56)</f>
        <v>2.731589104570602</v>
      </c>
      <c r="AB56" s="170">
        <f>IF(Escenarios!$F$14&gt;0,(Escenarios!$F$14*Y56)/(Escenarios!$F$16),K56)</f>
        <v>0</v>
      </c>
      <c r="AC56" s="170">
        <f>IF(Escenarios!$F$14&gt;0,(Escenarios!$F$13*M56+Escenarios!$F$14*U56)/(Escenarios!$F$16),M56)</f>
        <v>9.4786189584832703E-2</v>
      </c>
      <c r="AD56" s="76">
        <f t="shared" si="1"/>
        <v>93.931386256749818</v>
      </c>
      <c r="AE56" s="76">
        <f>MAX(0,(AD56-Constantes!$D$13)*(1-EXP(-Constantes!$D$23)))</f>
        <v>0.44518296015554698</v>
      </c>
      <c r="AF56" s="76">
        <f>AB56+O56*Escenarios!$F$13/Escenarios!$F$16+AE56</f>
        <v>1.3466450283052338</v>
      </c>
      <c r="AG56" s="76">
        <f>IF(Entradas!$F$91&gt;0,IF(AF56-Escenarios!$F$38&lt;=0,0,IF(AF56-Escenarios!$F$38&gt;Escenarios!$F$37,Escenarios!$F$37,AF56-Escenarios!$F$38)),0)</f>
        <v>0.30984502830523386</v>
      </c>
      <c r="AH56" s="76">
        <f>AG56*Entradas!$F$99</f>
        <v>0</v>
      </c>
      <c r="AI56" s="76">
        <f>IF(Entradas!$F$91&gt;0,D56*Entradas!$D$23/Escenarios!$F$16,0)</f>
        <v>0.21547451747102395</v>
      </c>
      <c r="AJ56" s="76">
        <f>IF(Entradas!$F$91&gt;0,Entradas!$D$24*Entradas!$D$22/Escenarios!$F$16,0)</f>
        <v>0.12</v>
      </c>
      <c r="AK56" s="76">
        <f t="shared" si="2"/>
        <v>2.9470636220416258</v>
      </c>
      <c r="AL56" s="76">
        <f t="shared" si="3"/>
        <v>0</v>
      </c>
      <c r="AM56" s="76">
        <f t="shared" si="4"/>
        <v>0.30984502830523386</v>
      </c>
      <c r="AN56" s="76">
        <f>MAX(0,O56*Escenarios!$F$13/Escenarios!$F$16-AM56)</f>
        <v>0.59161703984445291</v>
      </c>
      <c r="AO56" s="76">
        <f>AM56+AN56-O56*Escenarios!$F$13/Escenarios!$F$16</f>
        <v>0</v>
      </c>
      <c r="AP56" s="76">
        <f t="shared" si="5"/>
        <v>0.44518296015554698</v>
      </c>
      <c r="AQ56" s="76">
        <f t="shared" si="6"/>
        <v>0</v>
      </c>
      <c r="AR56" s="76">
        <f t="shared" si="7"/>
        <v>1.0367999999999999</v>
      </c>
      <c r="AS56" s="76">
        <f t="shared" si="8"/>
        <v>0</v>
      </c>
      <c r="AT56" s="76">
        <f t="shared" si="9"/>
        <v>9.4786189584832703E-2</v>
      </c>
      <c r="AU56" s="76">
        <f t="shared" si="10"/>
        <v>49.125191705033046</v>
      </c>
      <c r="AV56" s="76">
        <f>MAX(0,(AU56-Constantes!$D$13)*(1-EXP(-Constantes!$D$24)))</f>
        <v>5.7348979083821153E-3</v>
      </c>
      <c r="AW56" s="170">
        <f>AW55+(Entradas!$F$112*AT56-AX55)/(800*Entradas!$D$25)</f>
        <v>0</v>
      </c>
      <c r="AX56" s="170">
        <f>8000*Entradas!$D$26*AW56/Constantes!$F$45</f>
        <v>0</v>
      </c>
      <c r="AY56" s="170">
        <f>IF(Escenarios!$F$17&gt;0,10*Escenarios!$F$16*AL56,0)</f>
        <v>0</v>
      </c>
      <c r="AZ56" s="170">
        <f>IF(Escenarios!$F$17&gt;0,10*Escenarios!$F$16*AX56,0)</f>
        <v>0</v>
      </c>
      <c r="BA56" s="170">
        <f>IF(Escenarios!$F$17&gt;0,0.001*Observaciones!$F55*Escenarios!$F$17,0)</f>
        <v>0</v>
      </c>
      <c r="BB56" s="170">
        <f>IF(Escenarios!$F$17&gt;0,Observaciones!$K55,0)</f>
        <v>0</v>
      </c>
      <c r="BC56" s="170">
        <f>IF(Escenarios!$F$17&gt;0,MIN(0.0005*ETo!$M55*Escenarios!$F$17*(BG55/Constantes!$F$40)^(2/3),BG55+AY56+AZ56+BA56+BB56),0)</f>
        <v>0</v>
      </c>
      <c r="BD56" s="170">
        <f>IF(Escenarios!$F$17&gt;0,MIN(Constantes!$F$39*(BG55/Constantes!$F$40)^(2/3),BG55+AY56+AZ56+BA56+BB56-BC56),0)</f>
        <v>0</v>
      </c>
      <c r="BE56" s="170">
        <f>IF(Escenarios!$F$17&gt;0,MIN(Entradas!$F$113,BG55+AY56+AZ56+BA56+BB56-BC56-BD56),0)</f>
        <v>0</v>
      </c>
      <c r="BF56" s="170">
        <f>IF(Escenarios!$F$17&gt;0,MAX(0,BG55+AY56+AZ56+BA56+BB56-BC56-BD56-BE56-Constantes!$F$40),0)</f>
        <v>0</v>
      </c>
      <c r="BG56" s="170">
        <f t="shared" si="11"/>
        <v>0</v>
      </c>
      <c r="BH56" s="170">
        <f>(Escenarios!$F$16*AK56+0.1*BC56)/(Escenarios!$F$19)</f>
        <v>2.9470636220416258</v>
      </c>
      <c r="BI56" s="170">
        <f>IF(Escenarios!$F$17&gt;0,BF56/10/Escenarios!$F$19,AL56)</f>
        <v>0</v>
      </c>
      <c r="BJ56" s="170">
        <f>(Escenarios!$F$16*AT56+0.1*BD56)/(Escenarios!$F$19)</f>
        <v>9.4786189584832703E-2</v>
      </c>
      <c r="BK56" s="76">
        <f>BK55+(0.1*BD56)/(Escenarios!$F$19)-BL55</f>
        <v>48.75</v>
      </c>
      <c r="BL56" s="76">
        <f>MAX(0,(BK56-Constantes!$D$13)*(1-EXP(-Constantes!$D$23)))</f>
        <v>0</v>
      </c>
      <c r="BM56" s="76">
        <f t="shared" si="12"/>
        <v>0.45091785806392909</v>
      </c>
      <c r="BN56" s="76">
        <f t="shared" si="13"/>
        <v>1.0425348979083822</v>
      </c>
      <c r="BO56" s="76">
        <f>0.0526*BI56*Observaciones!$F55^1.218</f>
        <v>0</v>
      </c>
      <c r="BP56" s="76">
        <f>BO56*Constantes!$F$51</f>
        <v>0</v>
      </c>
      <c r="BQ56" s="76">
        <f t="shared" si="14"/>
        <v>0</v>
      </c>
      <c r="BR56" s="40"/>
    </row>
    <row r="57" spans="2:70">
      <c r="B57" s="39"/>
      <c r="C57" s="75">
        <v>51</v>
      </c>
      <c r="D57" s="146">
        <f>ETo!$I56*((1-Constantes!$F$19)*ETo!$K56+ETo!$L56)</f>
        <v>4.33689457399199</v>
      </c>
      <c r="E57" s="76">
        <f>MIN(D57*Constantes!$F$17,0.8*(N56+Observaciones!$F56-F57-M57-Constantes!$D$14))</f>
        <v>2.473381967058506</v>
      </c>
      <c r="F57" s="76">
        <f>IF(Observaciones!$F56&gt;0.05*Constantes!$F$18,((Observaciones!$F56-0.05*Constantes!$F$18)^2)/(Observaciones!$F56+0.95*Constantes!$F$18),0)</f>
        <v>0.72936808979004231</v>
      </c>
      <c r="G57" s="76">
        <f>IF(Escenarios!$F$11&gt;0,(F57*Escenarios!$F$16*10000)/1000,0)</f>
        <v>0</v>
      </c>
      <c r="H57" s="76">
        <f>IF(Escenarios!$F$11&gt;0,(Observaciones!$F56*Constantes!$F$29)/1000,0)</f>
        <v>0</v>
      </c>
      <c r="I57" s="76">
        <f>IF(Escenarios!$F$11&gt;0,(D57*Constantes!$F$29)/1000,0)</f>
        <v>0</v>
      </c>
      <c r="J57" s="76">
        <f>IF(Escenarios!$F$11&gt;0,MAX(0,G57+H57-I57),0)</f>
        <v>0</v>
      </c>
      <c r="K57" s="76">
        <f>IF(Escenarios!$F$11&gt;0,IF(J57&gt;Constantes!$F$30,1000*((J57-Constantes!$F$30)/(Escenarios!$F$16*10000)),0),F57)</f>
        <v>0.72936808979004231</v>
      </c>
      <c r="L57" s="76">
        <f>IF(Escenarios!$F$11&gt;0,I57*1000/Escenarios!$F$16/10000+E57,E57)</f>
        <v>2.473381967058506</v>
      </c>
      <c r="M57" s="76">
        <f>MAX(0,N56+Observaciones!$F56-K57-Constantes!$D$13)</f>
        <v>15.843395105532082</v>
      </c>
      <c r="N57" s="76">
        <f>N56+Observaciones!$F56-K57-L57-M57-O56</f>
        <v>45.252229319135033</v>
      </c>
      <c r="O57" s="76">
        <f>MAX(0,(N57-Constantes!$D$14)*(1-EXP(-Constantes!$D$22)))</f>
        <v>1.1582407553489869</v>
      </c>
      <c r="P57" s="170">
        <f>P56+(Entradas!$F$83*M57-Q56)/(800*Entradas!$D$25)</f>
        <v>0</v>
      </c>
      <c r="Q57" s="170">
        <f>8000*Entradas!$D$26*P57/Constantes!$F$45</f>
        <v>0</v>
      </c>
      <c r="R57" s="170">
        <f>IF(Escenarios!$F$14&gt;0,K57*Escenarios!$F$13/Escenarios!$F$14,0)</f>
        <v>5.3486993251269768</v>
      </c>
      <c r="S57" s="170">
        <f>IF(Escenarios!$F$14&gt;0,Q57*Escenarios!$F$13/Escenarios!$F$14,0)</f>
        <v>0</v>
      </c>
      <c r="T57" s="170">
        <f>IF(Escenarios!$F$14&gt;0,Observaciones!$I56,0)</f>
        <v>0</v>
      </c>
      <c r="U57" s="170">
        <f>IF(Escenarios!$F$14&gt;0,MAX(0,Constantes!$F$36/((Z56+R57+S57+T57+Observaciones!$F56)^2)+Entradas!$F$77),0)</f>
        <v>1.8059515253649634</v>
      </c>
      <c r="V57" s="146">
        <f>IF(ETo!D56&gt;0,ETo!I56*((1-Entradas!$F$81)*ETo!K56+ETo!L56),0)</f>
        <v>3.8513424658427327</v>
      </c>
      <c r="W57" s="170">
        <f>IF(Escenarios!$F$14&gt;0,MIN(V57*1,0.8*(Z56+R57+S57+T57+Observaciones!$F56-U57-Constantes!$F$35)),0)</f>
        <v>3.8513424658427327</v>
      </c>
      <c r="X57" s="170">
        <f>IF(Escenarios!$F$14&gt;0,Observaciones!$J56,0)</f>
        <v>0</v>
      </c>
      <c r="Y57" s="170">
        <f>IF(Escenarios!$F$14&gt;0,MAX(0,Z56+R57+S57+T57+Observaciones!$F56-U57-W57-X57-Constantes!$F$33),0)</f>
        <v>0</v>
      </c>
      <c r="Z57" s="170">
        <f>Z56+R57+S57+T57+Observaciones!$F56-U57-W57-Y57</f>
        <v>87.069557640022751</v>
      </c>
      <c r="AA57" s="170">
        <f>IF(Escenarios!$F$14&gt;0,(Escenarios!$F$13*L57+Escenarios!$F$14*W57)/(Escenarios!$F$16),L57)</f>
        <v>2.638737226912613</v>
      </c>
      <c r="AB57" s="170">
        <f>IF(Escenarios!$F$14&gt;0,(Escenarios!$F$14*Y57)/(Escenarios!$F$16),K57)</f>
        <v>0</v>
      </c>
      <c r="AC57" s="170">
        <f>IF(Escenarios!$F$14&gt;0,(Escenarios!$F$13*M57+Escenarios!$F$14*U57)/(Escenarios!$F$16),M57)</f>
        <v>14.158901875912028</v>
      </c>
      <c r="AD57" s="76">
        <f t="shared" si="1"/>
        <v>107.64510517250629</v>
      </c>
      <c r="AE57" s="76">
        <f>MAX(0,(AD57-Constantes!$D$13)*(1-EXP(-Constantes!$D$23)))</f>
        <v>0.58030749898586054</v>
      </c>
      <c r="AF57" s="76">
        <f>AB57+O57*Escenarios!$F$13/Escenarios!$F$16+AE57</f>
        <v>1.599559363692969</v>
      </c>
      <c r="AG57" s="76">
        <f>IF(Entradas!$F$91&gt;0,IF(AF57-Escenarios!$F$38&lt;=0,0,IF(AF57-Escenarios!$F$38&gt;Escenarios!$F$37,Escenarios!$F$37,AF57-Escenarios!$F$38)),0)</f>
        <v>0.56275936369296908</v>
      </c>
      <c r="AH57" s="76">
        <f>AG57*Entradas!$F$99</f>
        <v>0</v>
      </c>
      <c r="AI57" s="76">
        <f>IF(Entradas!$F$91&gt;0,D57*Entradas!$D$23/Escenarios!$F$16,0)</f>
        <v>0.2081709395516155</v>
      </c>
      <c r="AJ57" s="76">
        <f>IF(Entradas!$F$91&gt;0,Entradas!$D$24*Entradas!$D$22/Escenarios!$F$16,0)</f>
        <v>0.12</v>
      </c>
      <c r="AK57" s="76">
        <f t="shared" si="2"/>
        <v>2.8469081664642286</v>
      </c>
      <c r="AL57" s="76">
        <f t="shared" si="3"/>
        <v>0</v>
      </c>
      <c r="AM57" s="76">
        <f t="shared" si="4"/>
        <v>0.56275936369296908</v>
      </c>
      <c r="AN57" s="76">
        <f>MAX(0,O57*Escenarios!$F$13/Escenarios!$F$16-AM57)</f>
        <v>0.45649250101413941</v>
      </c>
      <c r="AO57" s="76">
        <f>AM57+AN57-O57*Escenarios!$F$13/Escenarios!$F$16</f>
        <v>0</v>
      </c>
      <c r="AP57" s="76">
        <f t="shared" si="5"/>
        <v>0.58030749898586054</v>
      </c>
      <c r="AQ57" s="76">
        <f t="shared" si="6"/>
        <v>0</v>
      </c>
      <c r="AR57" s="76">
        <f t="shared" si="7"/>
        <v>1.0367999999999999</v>
      </c>
      <c r="AS57" s="76">
        <f t="shared" si="8"/>
        <v>0.23458842414135361</v>
      </c>
      <c r="AT57" s="76">
        <f t="shared" si="9"/>
        <v>14.393490300053381</v>
      </c>
      <c r="AU57" s="76">
        <f t="shared" si="10"/>
        <v>49.354045231266014</v>
      </c>
      <c r="AV57" s="76">
        <f>MAX(0,(AU57-Constantes!$D$13)*(1-EXP(-Constantes!$D$24)))</f>
        <v>9.2329805986796458E-3</v>
      </c>
      <c r="AW57" s="170">
        <f>AW56+(Entradas!$F$112*AT57-AX56)/(800*Entradas!$D$25)</f>
        <v>0</v>
      </c>
      <c r="AX57" s="170">
        <f>8000*Entradas!$D$26*AW57/Constantes!$F$45</f>
        <v>0</v>
      </c>
      <c r="AY57" s="170">
        <f>IF(Escenarios!$F$17&gt;0,10*Escenarios!$F$16*AL57,0)</f>
        <v>0</v>
      </c>
      <c r="AZ57" s="170">
        <f>IF(Escenarios!$F$17&gt;0,10*Escenarios!$F$16*AX57,0)</f>
        <v>0</v>
      </c>
      <c r="BA57" s="170">
        <f>IF(Escenarios!$F$17&gt;0,0.001*Observaciones!$F56*Escenarios!$F$17,0)</f>
        <v>0</v>
      </c>
      <c r="BB57" s="170">
        <f>IF(Escenarios!$F$17&gt;0,Observaciones!$K56,0)</f>
        <v>0</v>
      </c>
      <c r="BC57" s="170">
        <f>IF(Escenarios!$F$17&gt;0,MIN(0.0005*ETo!$M56*Escenarios!$F$17*(BG56/Constantes!$F$40)^(2/3),BG56+AY57+AZ57+BA57+BB57),0)</f>
        <v>0</v>
      </c>
      <c r="BD57" s="170">
        <f>IF(Escenarios!$F$17&gt;0,MIN(Constantes!$F$39*(BG56/Constantes!$F$40)^(2/3),BG56+AY57+AZ57+BA57+BB57-BC57),0)</f>
        <v>0</v>
      </c>
      <c r="BE57" s="170">
        <f>IF(Escenarios!$F$17&gt;0,MIN(Entradas!$F$113,BG56+AY57+AZ57+BA57+BB57-BC57-BD57),0)</f>
        <v>0</v>
      </c>
      <c r="BF57" s="170">
        <f>IF(Escenarios!$F$17&gt;0,MAX(0,BG56+AY57+AZ57+BA57+BB57-BC57-BD57-BE57-Constantes!$F$40),0)</f>
        <v>0</v>
      </c>
      <c r="BG57" s="170">
        <f t="shared" si="11"/>
        <v>0</v>
      </c>
      <c r="BH57" s="170">
        <f>(Escenarios!$F$16*AK57+0.1*BC57)/(Escenarios!$F$19)</f>
        <v>2.8469081664642286</v>
      </c>
      <c r="BI57" s="170">
        <f>IF(Escenarios!$F$17&gt;0,BF57/10/Escenarios!$F$19,AL57)</f>
        <v>0</v>
      </c>
      <c r="BJ57" s="170">
        <f>(Escenarios!$F$16*AT57+0.1*BD57)/(Escenarios!$F$19)</f>
        <v>14.393490300053381</v>
      </c>
      <c r="BK57" s="76">
        <f>BK56+(0.1*BD57)/(Escenarios!$F$19)-BL56</f>
        <v>48.75</v>
      </c>
      <c r="BL57" s="76">
        <f>MAX(0,(BK57-Constantes!$D$13)*(1-EXP(-Constantes!$D$23)))</f>
        <v>0</v>
      </c>
      <c r="BM57" s="76">
        <f t="shared" si="12"/>
        <v>0.58954047958454014</v>
      </c>
      <c r="BN57" s="76">
        <f t="shared" si="13"/>
        <v>1.0460329805986797</v>
      </c>
      <c r="BO57" s="76">
        <f>0.0526*BI57*Observaciones!$F56^1.218</f>
        <v>0</v>
      </c>
      <c r="BP57" s="76">
        <f>BO57*Constantes!$F$51</f>
        <v>0</v>
      </c>
      <c r="BQ57" s="76">
        <f t="shared" si="14"/>
        <v>0</v>
      </c>
      <c r="BR57" s="40"/>
    </row>
    <row r="58" spans="2:70">
      <c r="B58" s="39"/>
      <c r="C58" s="75">
        <v>52</v>
      </c>
      <c r="D58" s="146">
        <f>ETo!$I57*((1-Constantes!$F$19)*ETo!$K57+ETo!$L57)</f>
        <v>4.1662595612929687</v>
      </c>
      <c r="E58" s="76">
        <f>MIN(D58*Constantes!$F$17,0.8*(N57+Observaciones!$F57-F58-M58-Constantes!$D$14))</f>
        <v>2.376066813056485</v>
      </c>
      <c r="F58" s="76">
        <f>IF(Observaciones!$F57&gt;0.05*Constantes!$F$18,((Observaciones!$F57-0.05*Constantes!$F$18)^2)/(Observaciones!$F57+0.95*Constantes!$F$18),0)</f>
        <v>5.7220025586548371E-3</v>
      </c>
      <c r="G58" s="76">
        <f>IF(Escenarios!$F$11&gt;0,(F58*Escenarios!$F$16*10000)/1000,0)</f>
        <v>0</v>
      </c>
      <c r="H58" s="76">
        <f>IF(Escenarios!$F$11&gt;0,(Observaciones!$F57*Constantes!$F$29)/1000,0)</f>
        <v>0</v>
      </c>
      <c r="I58" s="76">
        <f>IF(Escenarios!$F$11&gt;0,(D58*Constantes!$F$29)/1000,0)</f>
        <v>0</v>
      </c>
      <c r="J58" s="76">
        <f>IF(Escenarios!$F$11&gt;0,MAX(0,G58+H58-I58),0)</f>
        <v>0</v>
      </c>
      <c r="K58" s="76">
        <f>IF(Escenarios!$F$11&gt;0,IF(J58&gt;Constantes!$F$30,1000*((J58-Constantes!$F$30)/(Escenarios!$F$16*10000)),0),F58)</f>
        <v>5.7220025586548371E-3</v>
      </c>
      <c r="L58" s="76">
        <f>IF(Escenarios!$F$11&gt;0,I58*1000/Escenarios!$F$16/10000+E58,E58)</f>
        <v>2.376066813056485</v>
      </c>
      <c r="M58" s="76">
        <f>MAX(0,N57+Observaciones!$F57-K58-Constantes!$D$13)</f>
        <v>8.5965073165763783</v>
      </c>
      <c r="N58" s="76">
        <f>N57+Observaciones!$F57-K58-L58-M58-O57</f>
        <v>45.215692431594533</v>
      </c>
      <c r="O58" s="76">
        <f>MAX(0,(N58-Constantes!$D$14)*(1-EXP(-Constantes!$D$22)))</f>
        <v>1.1569961748296975</v>
      </c>
      <c r="P58" s="170">
        <f>P57+(Entradas!$F$83*M58-Q57)/(800*Entradas!$D$25)</f>
        <v>0</v>
      </c>
      <c r="Q58" s="170">
        <f>8000*Entradas!$D$26*P58/Constantes!$F$45</f>
        <v>0</v>
      </c>
      <c r="R58" s="170">
        <f>IF(Escenarios!$F$14&gt;0,K58*Escenarios!$F$13/Escenarios!$F$14,0)</f>
        <v>4.1961352096802143E-2</v>
      </c>
      <c r="S58" s="170">
        <f>IF(Escenarios!$F$14&gt;0,Q58*Escenarios!$F$13/Escenarios!$F$14,0)</f>
        <v>0</v>
      </c>
      <c r="T58" s="170">
        <f>IF(Escenarios!$F$14&gt;0,Observaciones!$I57,0)</f>
        <v>0</v>
      </c>
      <c r="U58" s="170">
        <f>IF(Escenarios!$F$14&gt;0,MAX(0,Constantes!$F$36/((Z57+R58+S58+T58+Observaciones!$F57)^2)+Entradas!$F$77),0)</f>
        <v>1.9569412062252083</v>
      </c>
      <c r="V58" s="146">
        <f>IF(ETo!D57&gt;0,ETo!I57*((1-Entradas!$F$81)*ETo!K57+ETo!L57),0)</f>
        <v>3.6979671674801056</v>
      </c>
      <c r="W58" s="170">
        <f>IF(Escenarios!$F$14&gt;0,MIN(V58*1,0.8*(Z57+R58+S58+T58+Observaciones!$F57-U58-Constantes!$F$35)),0)</f>
        <v>3.6979671674801056</v>
      </c>
      <c r="X58" s="170">
        <f>IF(Escenarios!$F$14&gt;0,Observaciones!$J57,0)</f>
        <v>0</v>
      </c>
      <c r="Y58" s="170">
        <f>IF(Escenarios!$F$14&gt;0,MAX(0,Z57+R58+S58+T58+Observaciones!$F57-U58-W58-X58-Constantes!$F$33),0)</f>
        <v>0</v>
      </c>
      <c r="Z58" s="170">
        <f>Z57+R58+S58+T58+Observaciones!$F57-U58-W58-Y58</f>
        <v>93.55661061841424</v>
      </c>
      <c r="AA58" s="170">
        <f>IF(Escenarios!$F$14&gt;0,(Escenarios!$F$13*L58+Escenarios!$F$14*W58)/(Escenarios!$F$16),L58)</f>
        <v>2.5346948555873197</v>
      </c>
      <c r="AB58" s="170">
        <f>IF(Escenarios!$F$14&gt;0,(Escenarios!$F$14*Y58)/(Escenarios!$F$16),K58)</f>
        <v>0</v>
      </c>
      <c r="AC58" s="170">
        <f>IF(Escenarios!$F$14&gt;0,(Escenarios!$F$13*M58+Escenarios!$F$14*U58)/(Escenarios!$F$16),M58)</f>
        <v>7.799759383334238</v>
      </c>
      <c r="AD58" s="76">
        <f t="shared" si="1"/>
        <v>114.86455705685466</v>
      </c>
      <c r="AE58" s="76">
        <f>MAX(0,(AD58-Constantes!$D$13)*(1-EXP(-Constantes!$D$23)))</f>
        <v>0.65144247794181509</v>
      </c>
      <c r="AF58" s="76">
        <f>AB58+O58*Escenarios!$F$13/Escenarios!$F$16+AE58</f>
        <v>1.6695991117919489</v>
      </c>
      <c r="AG58" s="76">
        <f>IF(Entradas!$F$91&gt;0,IF(AF58-Escenarios!$F$38&lt;=0,0,IF(AF58-Escenarios!$F$38&gt;Escenarios!$F$37,Escenarios!$F$37,AF58-Escenarios!$F$38)),0)</f>
        <v>0.63279911179194892</v>
      </c>
      <c r="AH58" s="76">
        <f>AG58*Entradas!$F$99</f>
        <v>0</v>
      </c>
      <c r="AI58" s="76">
        <f>IF(Entradas!$F$91&gt;0,D58*Entradas!$D$23/Escenarios!$F$16,0)</f>
        <v>0.19998045894206251</v>
      </c>
      <c r="AJ58" s="76">
        <f>IF(Entradas!$F$91&gt;0,Entradas!$D$24*Entradas!$D$22/Escenarios!$F$16,0)</f>
        <v>0.12</v>
      </c>
      <c r="AK58" s="76">
        <f t="shared" si="2"/>
        <v>2.7346753145293823</v>
      </c>
      <c r="AL58" s="76">
        <f t="shared" si="3"/>
        <v>0</v>
      </c>
      <c r="AM58" s="76">
        <f t="shared" si="4"/>
        <v>0.63279911179194892</v>
      </c>
      <c r="AN58" s="76">
        <f>MAX(0,O58*Escenarios!$F$13/Escenarios!$F$16-AM58)</f>
        <v>0.38535752205818485</v>
      </c>
      <c r="AO58" s="76">
        <f>AM58+AN58-O58*Escenarios!$F$13/Escenarios!$F$16</f>
        <v>0</v>
      </c>
      <c r="AP58" s="76">
        <f t="shared" si="5"/>
        <v>0.65144247794181509</v>
      </c>
      <c r="AQ58" s="76">
        <f t="shared" si="6"/>
        <v>0</v>
      </c>
      <c r="AR58" s="76">
        <f t="shared" si="7"/>
        <v>1.0367999999999999</v>
      </c>
      <c r="AS58" s="76">
        <f t="shared" si="8"/>
        <v>0.31281865284988641</v>
      </c>
      <c r="AT58" s="76">
        <f t="shared" si="9"/>
        <v>8.1125780361841251</v>
      </c>
      <c r="AU58" s="76">
        <f t="shared" si="10"/>
        <v>49.657630903517216</v>
      </c>
      <c r="AV58" s="76">
        <f>MAX(0,(AU58-Constantes!$D$13)*(1-EXP(-Constantes!$D$24)))</f>
        <v>1.387336260460606E-2</v>
      </c>
      <c r="AW58" s="170">
        <f>AW57+(Entradas!$F$112*AT58-AX57)/(800*Entradas!$D$25)</f>
        <v>0</v>
      </c>
      <c r="AX58" s="170">
        <f>8000*Entradas!$D$26*AW58/Constantes!$F$45</f>
        <v>0</v>
      </c>
      <c r="AY58" s="170">
        <f>IF(Escenarios!$F$17&gt;0,10*Escenarios!$F$16*AL58,0)</f>
        <v>0</v>
      </c>
      <c r="AZ58" s="170">
        <f>IF(Escenarios!$F$17&gt;0,10*Escenarios!$F$16*AX58,0)</f>
        <v>0</v>
      </c>
      <c r="BA58" s="170">
        <f>IF(Escenarios!$F$17&gt;0,0.001*Observaciones!$F57*Escenarios!$F$17,0)</f>
        <v>0</v>
      </c>
      <c r="BB58" s="170">
        <f>IF(Escenarios!$F$17&gt;0,Observaciones!$K57,0)</f>
        <v>0</v>
      </c>
      <c r="BC58" s="170">
        <f>IF(Escenarios!$F$17&gt;0,MIN(0.0005*ETo!$M57*Escenarios!$F$17*(BG57/Constantes!$F$40)^(2/3),BG57+AY58+AZ58+BA58+BB58),0)</f>
        <v>0</v>
      </c>
      <c r="BD58" s="170">
        <f>IF(Escenarios!$F$17&gt;0,MIN(Constantes!$F$39*(BG57/Constantes!$F$40)^(2/3),BG57+AY58+AZ58+BA58+BB58-BC58),0)</f>
        <v>0</v>
      </c>
      <c r="BE58" s="170">
        <f>IF(Escenarios!$F$17&gt;0,MIN(Entradas!$F$113,BG57+AY58+AZ58+BA58+BB58-BC58-BD58),0)</f>
        <v>0</v>
      </c>
      <c r="BF58" s="170">
        <f>IF(Escenarios!$F$17&gt;0,MAX(0,BG57+AY58+AZ58+BA58+BB58-BC58-BD58-BE58-Constantes!$F$40),0)</f>
        <v>0</v>
      </c>
      <c r="BG58" s="170">
        <f t="shared" si="11"/>
        <v>0</v>
      </c>
      <c r="BH58" s="170">
        <f>(Escenarios!$F$16*AK58+0.1*BC58)/(Escenarios!$F$19)</f>
        <v>2.7346753145293823</v>
      </c>
      <c r="BI58" s="170">
        <f>IF(Escenarios!$F$17&gt;0,BF58/10/Escenarios!$F$19,AL58)</f>
        <v>0</v>
      </c>
      <c r="BJ58" s="170">
        <f>(Escenarios!$F$16*AT58+0.1*BD58)/(Escenarios!$F$19)</f>
        <v>8.1125780361841251</v>
      </c>
      <c r="BK58" s="76">
        <f>BK57+(0.1*BD58)/(Escenarios!$F$19)-BL57</f>
        <v>48.75</v>
      </c>
      <c r="BL58" s="76">
        <f>MAX(0,(BK58-Constantes!$D$13)*(1-EXP(-Constantes!$D$23)))</f>
        <v>0</v>
      </c>
      <c r="BM58" s="76">
        <f t="shared" si="12"/>
        <v>0.66531584054642112</v>
      </c>
      <c r="BN58" s="76">
        <f t="shared" si="13"/>
        <v>1.0506733626046061</v>
      </c>
      <c r="BO58" s="76">
        <f>0.0526*BI58*Observaciones!$F57^1.218</f>
        <v>0</v>
      </c>
      <c r="BP58" s="76">
        <f>BO58*Constantes!$F$51</f>
        <v>0</v>
      </c>
      <c r="BQ58" s="76">
        <f t="shared" si="14"/>
        <v>0</v>
      </c>
      <c r="BR58" s="40"/>
    </row>
    <row r="59" spans="2:70">
      <c r="B59" s="39"/>
      <c r="C59" s="75">
        <v>53</v>
      </c>
      <c r="D59" s="146">
        <f>ETo!$I58*((1-Constantes!$F$19)*ETo!$K58+ETo!$L58)</f>
        <v>4.114406675246979</v>
      </c>
      <c r="E59" s="76">
        <f>MIN(D59*Constantes!$F$17,0.8*(N58+Observaciones!$F58-F59-M59-Constantes!$D$14))</f>
        <v>2.3464945024784951</v>
      </c>
      <c r="F59" s="76">
        <f>IF(Observaciones!$F58&gt;0.05*Constantes!$F$18,((Observaciones!$F58-0.05*Constantes!$F$18)^2)/(Observaciones!$F58+0.95*Constantes!$F$18),0)</f>
        <v>0</v>
      </c>
      <c r="G59" s="76">
        <f>IF(Escenarios!$F$11&gt;0,(F59*Escenarios!$F$16*10000)/1000,0)</f>
        <v>0</v>
      </c>
      <c r="H59" s="76">
        <f>IF(Escenarios!$F$11&gt;0,(Observaciones!$F58*Constantes!$F$29)/1000,0)</f>
        <v>0</v>
      </c>
      <c r="I59" s="76">
        <f>IF(Escenarios!$F$11&gt;0,(D59*Constantes!$F$29)/1000,0)</f>
        <v>0</v>
      </c>
      <c r="J59" s="76">
        <f>IF(Escenarios!$F$11&gt;0,MAX(0,G59+H59-I59),0)</f>
        <v>0</v>
      </c>
      <c r="K59" s="76">
        <f>IF(Escenarios!$F$11&gt;0,IF(J59&gt;Constantes!$F$30,1000*((J59-Constantes!$F$30)/(Escenarios!$F$16*10000)),0),F59)</f>
        <v>0</v>
      </c>
      <c r="L59" s="76">
        <f>IF(Escenarios!$F$11&gt;0,I59*1000/Escenarios!$F$16/10000+E59,E59)</f>
        <v>2.3464945024784951</v>
      </c>
      <c r="M59" s="76">
        <f>MAX(0,N58+Observaciones!$F58-K59-Constantes!$D$13)</f>
        <v>3.2656924315945304</v>
      </c>
      <c r="N59" s="76">
        <f>N58+Observaciones!$F58-K59-L59-M59-O58</f>
        <v>45.246509322691807</v>
      </c>
      <c r="O59" s="76">
        <f>MAX(0,(N59-Constantes!$D$14)*(1-EXP(-Constantes!$D$22)))</f>
        <v>1.1580459112715937</v>
      </c>
      <c r="P59" s="170">
        <f>P58+(Entradas!$F$83*M59-Q58)/(800*Entradas!$D$25)</f>
        <v>0</v>
      </c>
      <c r="Q59" s="170">
        <f>8000*Entradas!$D$26*P59/Constantes!$F$45</f>
        <v>0</v>
      </c>
      <c r="R59" s="170">
        <f>IF(Escenarios!$F$14&gt;0,K59*Escenarios!$F$13/Escenarios!$F$14,0)</f>
        <v>0</v>
      </c>
      <c r="S59" s="170">
        <f>IF(Escenarios!$F$14&gt;0,Q59*Escenarios!$F$13/Escenarios!$F$14,0)</f>
        <v>0</v>
      </c>
      <c r="T59" s="170">
        <f>IF(Escenarios!$F$14&gt;0,Observaciones!$I58,0)</f>
        <v>0</v>
      </c>
      <c r="U59" s="170">
        <f>IF(Escenarios!$F$14&gt;0,MAX(0,Constantes!$F$36/((Z58+R59+S59+T59+Observaciones!$F58)^2)+Entradas!$F$77),0)</f>
        <v>1.9806084805208211</v>
      </c>
      <c r="V59" s="146">
        <f>IF(ETo!D58&gt;0,ETo!I58*((1-Entradas!$F$81)*ETo!K58+ETo!L58),0)</f>
        <v>3.6514030662886081</v>
      </c>
      <c r="W59" s="170">
        <f>IF(Escenarios!$F$14&gt;0,MIN(V59*1,0.8*(Z58+R59+S59+T59+Observaciones!$F58-U59-Constantes!$F$35)),0)</f>
        <v>3.6514030662886081</v>
      </c>
      <c r="X59" s="170">
        <f>IF(Escenarios!$F$14&gt;0,Observaciones!$J58,0)</f>
        <v>0</v>
      </c>
      <c r="Y59" s="170">
        <f>IF(Escenarios!$F$14&gt;0,MAX(0,Z58+R59+S59+T59+Observaciones!$F58-U59-W59-X59-Constantes!$F$33),0)</f>
        <v>0</v>
      </c>
      <c r="Z59" s="170">
        <f>Z58+R59+S59+T59+Observaciones!$F58-U59-W59-Y59</f>
        <v>94.724599071604814</v>
      </c>
      <c r="AA59" s="170">
        <f>IF(Escenarios!$F$14&gt;0,(Escenarios!$F$13*L59+Escenarios!$F$14*W59)/(Escenarios!$F$16),L59)</f>
        <v>2.5030835301357088</v>
      </c>
      <c r="AB59" s="170">
        <f>IF(Escenarios!$F$14&gt;0,(Escenarios!$F$14*Y59)/(Escenarios!$F$16),K59)</f>
        <v>0</v>
      </c>
      <c r="AC59" s="170">
        <f>IF(Escenarios!$F$14&gt;0,(Escenarios!$F$13*M59+Escenarios!$F$14*U59)/(Escenarios!$F$16),M59)</f>
        <v>3.1114823574656856</v>
      </c>
      <c r="AD59" s="76">
        <f t="shared" si="1"/>
        <v>117.32459693637854</v>
      </c>
      <c r="AE59" s="76">
        <f>MAX(0,(AD59-Constantes!$D$13)*(1-EXP(-Constantes!$D$23)))</f>
        <v>0.675681836810613</v>
      </c>
      <c r="AF59" s="76">
        <f>AB59+O59*Escenarios!$F$13/Escenarios!$F$16+AE59</f>
        <v>1.6947622387296155</v>
      </c>
      <c r="AG59" s="76">
        <f>IF(Entradas!$F$91&gt;0,IF(AF59-Escenarios!$F$38&lt;=0,0,IF(AF59-Escenarios!$F$38&gt;Escenarios!$F$37,Escenarios!$F$37,AF59-Escenarios!$F$38)),0)</f>
        <v>0.65796223872961557</v>
      </c>
      <c r="AH59" s="76">
        <f>AG59*Entradas!$F$99</f>
        <v>0</v>
      </c>
      <c r="AI59" s="76">
        <f>IF(Entradas!$F$91&gt;0,D59*Entradas!$D$23/Escenarios!$F$16,0)</f>
        <v>0.197491520411855</v>
      </c>
      <c r="AJ59" s="76">
        <f>IF(Entradas!$F$91&gt;0,Entradas!$D$24*Entradas!$D$22/Escenarios!$F$16,0)</f>
        <v>0.12</v>
      </c>
      <c r="AK59" s="76">
        <f t="shared" si="2"/>
        <v>2.7005750505475636</v>
      </c>
      <c r="AL59" s="76">
        <f t="shared" si="3"/>
        <v>0</v>
      </c>
      <c r="AM59" s="76">
        <f t="shared" si="4"/>
        <v>0.65796223872961557</v>
      </c>
      <c r="AN59" s="76">
        <f>MAX(0,O59*Escenarios!$F$13/Escenarios!$F$16-AM59)</f>
        <v>0.36111816318938694</v>
      </c>
      <c r="AO59" s="76">
        <f>AM59+AN59-O59*Escenarios!$F$13/Escenarios!$F$16</f>
        <v>0</v>
      </c>
      <c r="AP59" s="76">
        <f t="shared" si="5"/>
        <v>0.675681836810613</v>
      </c>
      <c r="AQ59" s="76">
        <f t="shared" si="6"/>
        <v>0</v>
      </c>
      <c r="AR59" s="76">
        <f t="shared" si="7"/>
        <v>1.0367999999999999</v>
      </c>
      <c r="AS59" s="76">
        <f t="shared" si="8"/>
        <v>0.34047071831776055</v>
      </c>
      <c r="AT59" s="76">
        <f t="shared" si="9"/>
        <v>3.4519530757834462</v>
      </c>
      <c r="AU59" s="76">
        <f t="shared" si="10"/>
        <v>49.98422825923037</v>
      </c>
      <c r="AV59" s="76">
        <f>MAX(0,(AU59-Constantes!$D$13)*(1-EXP(-Constantes!$D$24)))</f>
        <v>1.8865483877643075E-2</v>
      </c>
      <c r="AW59" s="170">
        <f>AW58+(Entradas!$F$112*AT59-AX58)/(800*Entradas!$D$25)</f>
        <v>0</v>
      </c>
      <c r="AX59" s="170">
        <f>8000*Entradas!$D$26*AW59/Constantes!$F$45</f>
        <v>0</v>
      </c>
      <c r="AY59" s="170">
        <f>IF(Escenarios!$F$17&gt;0,10*Escenarios!$F$16*AL59,0)</f>
        <v>0</v>
      </c>
      <c r="AZ59" s="170">
        <f>IF(Escenarios!$F$17&gt;0,10*Escenarios!$F$16*AX59,0)</f>
        <v>0</v>
      </c>
      <c r="BA59" s="170">
        <f>IF(Escenarios!$F$17&gt;0,0.001*Observaciones!$F58*Escenarios!$F$17,0)</f>
        <v>0</v>
      </c>
      <c r="BB59" s="170">
        <f>IF(Escenarios!$F$17&gt;0,Observaciones!$K58,0)</f>
        <v>0</v>
      </c>
      <c r="BC59" s="170">
        <f>IF(Escenarios!$F$17&gt;0,MIN(0.0005*ETo!$M58*Escenarios!$F$17*(BG58/Constantes!$F$40)^(2/3),BG58+AY59+AZ59+BA59+BB59),0)</f>
        <v>0</v>
      </c>
      <c r="BD59" s="170">
        <f>IF(Escenarios!$F$17&gt;0,MIN(Constantes!$F$39*(BG58/Constantes!$F$40)^(2/3),BG58+AY59+AZ59+BA59+BB59-BC59),0)</f>
        <v>0</v>
      </c>
      <c r="BE59" s="170">
        <f>IF(Escenarios!$F$17&gt;0,MIN(Entradas!$F$113,BG58+AY59+AZ59+BA59+BB59-BC59-BD59),0)</f>
        <v>0</v>
      </c>
      <c r="BF59" s="170">
        <f>IF(Escenarios!$F$17&gt;0,MAX(0,BG58+AY59+AZ59+BA59+BB59-BC59-BD59-BE59-Constantes!$F$40),0)</f>
        <v>0</v>
      </c>
      <c r="BG59" s="170">
        <f t="shared" si="11"/>
        <v>0</v>
      </c>
      <c r="BH59" s="170">
        <f>(Escenarios!$F$16*AK59+0.1*BC59)/(Escenarios!$F$19)</f>
        <v>2.7005750505475636</v>
      </c>
      <c r="BI59" s="170">
        <f>IF(Escenarios!$F$17&gt;0,BF59/10/Escenarios!$F$19,AL59)</f>
        <v>0</v>
      </c>
      <c r="BJ59" s="170">
        <f>(Escenarios!$F$16*AT59+0.1*BD59)/(Escenarios!$F$19)</f>
        <v>3.4519530757834462</v>
      </c>
      <c r="BK59" s="76">
        <f>BK58+(0.1*BD59)/(Escenarios!$F$19)-BL58</f>
        <v>48.75</v>
      </c>
      <c r="BL59" s="76">
        <f>MAX(0,(BK59-Constantes!$D$13)*(1-EXP(-Constantes!$D$23)))</f>
        <v>0</v>
      </c>
      <c r="BM59" s="76">
        <f t="shared" si="12"/>
        <v>0.69454732068825609</v>
      </c>
      <c r="BN59" s="76">
        <f t="shared" si="13"/>
        <v>1.0556654838776429</v>
      </c>
      <c r="BO59" s="76">
        <f>0.0526*BI59*Observaciones!$F58^1.218</f>
        <v>0</v>
      </c>
      <c r="BP59" s="76">
        <f>BO59*Constantes!$F$51</f>
        <v>0</v>
      </c>
      <c r="BQ59" s="76">
        <f t="shared" si="14"/>
        <v>0</v>
      </c>
      <c r="BR59" s="40"/>
    </row>
    <row r="60" spans="2:70">
      <c r="B60" s="39"/>
      <c r="C60" s="75">
        <v>54</v>
      </c>
      <c r="D60" s="146">
        <f>ETo!$I59*((1-Constantes!$F$19)*ETo!$K59+ETo!$L59)</f>
        <v>4.4316765077191071</v>
      </c>
      <c r="E60" s="76">
        <f>MIN(D60*Constantes!$F$17,0.8*(N59+Observaciones!$F59-F60-M60-Constantes!$D$14))</f>
        <v>2.5274372182720022</v>
      </c>
      <c r="F60" s="76">
        <f>IF(Observaciones!$F59&gt;0.05*Constantes!$F$18,((Observaciones!$F59-0.05*Constantes!$F$18)^2)/(Observaciones!$F59+0.95*Constantes!$F$18),0)</f>
        <v>1.1838268305113291</v>
      </c>
      <c r="G60" s="76">
        <f>IF(Escenarios!$F$11&gt;0,(F60*Escenarios!$F$16*10000)/1000,0)</f>
        <v>0</v>
      </c>
      <c r="H60" s="76">
        <f>IF(Escenarios!$F$11&gt;0,(Observaciones!$F59*Constantes!$F$29)/1000,0)</f>
        <v>0</v>
      </c>
      <c r="I60" s="76">
        <f>IF(Escenarios!$F$11&gt;0,(D60*Constantes!$F$29)/1000,0)</f>
        <v>0</v>
      </c>
      <c r="J60" s="76">
        <f>IF(Escenarios!$F$11&gt;0,MAX(0,G60+H60-I60),0)</f>
        <v>0</v>
      </c>
      <c r="K60" s="76">
        <f>IF(Escenarios!$F$11&gt;0,IF(J60&gt;Constantes!$F$30,1000*((J60-Constantes!$F$30)/(Escenarios!$F$16*10000)),0),F60)</f>
        <v>1.1838268305113291</v>
      </c>
      <c r="L60" s="76">
        <f>IF(Escenarios!$F$11&gt;0,I60*1000/Escenarios!$F$16/10000+E60,E60)</f>
        <v>2.5274372182720022</v>
      </c>
      <c r="M60" s="76">
        <f>MAX(0,N59+Observaciones!$F59-K60-Constantes!$D$13)</f>
        <v>23.012682492180474</v>
      </c>
      <c r="N60" s="76">
        <f>N59+Observaciones!$F59-K60-L60-M60-O59</f>
        <v>45.064516870456409</v>
      </c>
      <c r="O60" s="76">
        <f>MAX(0,(N60-Constantes!$D$14)*(1-EXP(-Constantes!$D$22)))</f>
        <v>1.1518465802404865</v>
      </c>
      <c r="P60" s="170">
        <f>P59+(Entradas!$F$83*M60-Q59)/(800*Entradas!$D$25)</f>
        <v>0</v>
      </c>
      <c r="Q60" s="170">
        <f>8000*Entradas!$D$26*P60/Constantes!$F$45</f>
        <v>0</v>
      </c>
      <c r="R60" s="170">
        <f>IF(Escenarios!$F$14&gt;0,K60*Escenarios!$F$13/Escenarios!$F$14,0)</f>
        <v>8.6813967570830801</v>
      </c>
      <c r="S60" s="170">
        <f>IF(Escenarios!$F$14&gt;0,Q60*Escenarios!$F$13/Escenarios!$F$14,0)</f>
        <v>0</v>
      </c>
      <c r="T60" s="170">
        <f>IF(Escenarios!$F$14&gt;0,Observaciones!$I59,0)</f>
        <v>0</v>
      </c>
      <c r="U60" s="170">
        <f>IF(Escenarios!$F$14&gt;0,MAX(0,Constantes!$F$36/((Z59+R60+S60+T60+Observaciones!$F59)^2)+Entradas!$F$77),0)</f>
        <v>2.4027063747131252</v>
      </c>
      <c r="V60" s="146">
        <f>IF(ETo!D59&gt;0,ETo!I59*((1-Entradas!$F$81)*ETo!K59+ETo!L59),0)</f>
        <v>3.9365358293436037</v>
      </c>
      <c r="W60" s="170">
        <f>IF(Escenarios!$F$14&gt;0,MIN(V60*1,0.8*(Z59+R60+S60+T60+Observaciones!$F59-U60-Constantes!$F$35)),0)</f>
        <v>3.9365358293436037</v>
      </c>
      <c r="X60" s="170">
        <f>IF(Escenarios!$F$14&gt;0,Observaciones!$J59,0)</f>
        <v>0</v>
      </c>
      <c r="Y60" s="170">
        <f>IF(Escenarios!$F$14&gt;0,MAX(0,Z59+R60+S60+T60+Observaciones!$F59-U60-W60-X60-Constantes!$F$33),0)</f>
        <v>0</v>
      </c>
      <c r="Z60" s="170">
        <f>Z59+R60+S60+T60+Observaciones!$F59-U60-W60-Y60</f>
        <v>124.76675362463118</v>
      </c>
      <c r="AA60" s="170">
        <f>IF(Escenarios!$F$14&gt;0,(Escenarios!$F$13*L60+Escenarios!$F$14*W60)/(Escenarios!$F$16),L60)</f>
        <v>2.6965290516005944</v>
      </c>
      <c r="AB60" s="170">
        <f>IF(Escenarios!$F$14&gt;0,(Escenarios!$F$14*Y60)/(Escenarios!$F$16),K60)</f>
        <v>0</v>
      </c>
      <c r="AC60" s="170">
        <f>IF(Escenarios!$F$14&gt;0,(Escenarios!$F$13*M60+Escenarios!$F$14*U60)/(Escenarios!$F$16),M60)</f>
        <v>20.539485358084391</v>
      </c>
      <c r="AD60" s="76">
        <f t="shared" si="1"/>
        <v>137.18840045765234</v>
      </c>
      <c r="AE60" s="76">
        <f>MAX(0,(AD60-Constantes!$D$13)*(1-EXP(-Constantes!$D$23)))</f>
        <v>0.87140462409511676</v>
      </c>
      <c r="AF60" s="76">
        <f>AB60+O60*Escenarios!$F$13/Escenarios!$F$16+AE60</f>
        <v>1.8850296147067449</v>
      </c>
      <c r="AG60" s="76">
        <f>IF(Entradas!$F$91&gt;0,IF(AF60-Escenarios!$F$38&lt;=0,0,IF(AF60-Escenarios!$F$38&gt;Escenarios!$F$37,Escenarios!$F$37,AF60-Escenarios!$F$38)),0)</f>
        <v>0.84822961470674496</v>
      </c>
      <c r="AH60" s="76">
        <f>AG60*Entradas!$F$99</f>
        <v>0</v>
      </c>
      <c r="AI60" s="76">
        <f>IF(Entradas!$F$91&gt;0,D60*Entradas!$D$23/Escenarios!$F$16,0)</f>
        <v>0.21272047237051714</v>
      </c>
      <c r="AJ60" s="76">
        <f>IF(Entradas!$F$91&gt;0,Entradas!$D$24*Entradas!$D$22/Escenarios!$F$16,0)</f>
        <v>0.12</v>
      </c>
      <c r="AK60" s="76">
        <f t="shared" si="2"/>
        <v>2.9092495239711114</v>
      </c>
      <c r="AL60" s="76">
        <f t="shared" si="3"/>
        <v>0</v>
      </c>
      <c r="AM60" s="76">
        <f t="shared" si="4"/>
        <v>0.84822961470674496</v>
      </c>
      <c r="AN60" s="76">
        <f>MAX(0,O60*Escenarios!$F$13/Escenarios!$F$16-AM60)</f>
        <v>0.16539537590488318</v>
      </c>
      <c r="AO60" s="76">
        <f>AM60+AN60-O60*Escenarios!$F$13/Escenarios!$F$16</f>
        <v>0</v>
      </c>
      <c r="AP60" s="76">
        <f t="shared" si="5"/>
        <v>0.87140462409511676</v>
      </c>
      <c r="AQ60" s="76">
        <f t="shared" si="6"/>
        <v>0</v>
      </c>
      <c r="AR60" s="76">
        <f t="shared" si="7"/>
        <v>1.0367999999999999</v>
      </c>
      <c r="AS60" s="76">
        <f t="shared" si="8"/>
        <v>0.5155091423362278</v>
      </c>
      <c r="AT60" s="76">
        <f t="shared" si="9"/>
        <v>21.054994500420619</v>
      </c>
      <c r="AU60" s="76">
        <f t="shared" si="10"/>
        <v>50.480871917688958</v>
      </c>
      <c r="AV60" s="76">
        <f>MAX(0,(AU60-Constantes!$D$13)*(1-EXP(-Constantes!$D$24)))</f>
        <v>2.6456804900730546E-2</v>
      </c>
      <c r="AW60" s="170">
        <f>AW59+(Entradas!$F$112*AT60-AX59)/(800*Entradas!$D$25)</f>
        <v>0</v>
      </c>
      <c r="AX60" s="170">
        <f>8000*Entradas!$D$26*AW60/Constantes!$F$45</f>
        <v>0</v>
      </c>
      <c r="AY60" s="170">
        <f>IF(Escenarios!$F$17&gt;0,10*Escenarios!$F$16*AL60,0)</f>
        <v>0</v>
      </c>
      <c r="AZ60" s="170">
        <f>IF(Escenarios!$F$17&gt;0,10*Escenarios!$F$16*AX60,0)</f>
        <v>0</v>
      </c>
      <c r="BA60" s="170">
        <f>IF(Escenarios!$F$17&gt;0,0.001*Observaciones!$F59*Escenarios!$F$17,0)</f>
        <v>0</v>
      </c>
      <c r="BB60" s="170">
        <f>IF(Escenarios!$F$17&gt;0,Observaciones!$K59,0)</f>
        <v>0</v>
      </c>
      <c r="BC60" s="170">
        <f>IF(Escenarios!$F$17&gt;0,MIN(0.0005*ETo!$M59*Escenarios!$F$17*(BG59/Constantes!$F$40)^(2/3),BG59+AY60+AZ60+BA60+BB60),0)</f>
        <v>0</v>
      </c>
      <c r="BD60" s="170">
        <f>IF(Escenarios!$F$17&gt;0,MIN(Constantes!$F$39*(BG59/Constantes!$F$40)^(2/3),BG59+AY60+AZ60+BA60+BB60-BC60),0)</f>
        <v>0</v>
      </c>
      <c r="BE60" s="170">
        <f>IF(Escenarios!$F$17&gt;0,MIN(Entradas!$F$113,BG59+AY60+AZ60+BA60+BB60-BC60-BD60),0)</f>
        <v>0</v>
      </c>
      <c r="BF60" s="170">
        <f>IF(Escenarios!$F$17&gt;0,MAX(0,BG59+AY60+AZ60+BA60+BB60-BC60-BD60-BE60-Constantes!$F$40),0)</f>
        <v>0</v>
      </c>
      <c r="BG60" s="170">
        <f t="shared" si="11"/>
        <v>0</v>
      </c>
      <c r="BH60" s="170">
        <f>(Escenarios!$F$16*AK60+0.1*BC60)/(Escenarios!$F$19)</f>
        <v>2.9092495239711114</v>
      </c>
      <c r="BI60" s="170">
        <f>IF(Escenarios!$F$17&gt;0,BF60/10/Escenarios!$F$19,AL60)</f>
        <v>0</v>
      </c>
      <c r="BJ60" s="170">
        <f>(Escenarios!$F$16*AT60+0.1*BD60)/(Escenarios!$F$19)</f>
        <v>21.054994500420619</v>
      </c>
      <c r="BK60" s="76">
        <f>BK59+(0.1*BD60)/(Escenarios!$F$19)-BL59</f>
        <v>48.75</v>
      </c>
      <c r="BL60" s="76">
        <f>MAX(0,(BK60-Constantes!$D$13)*(1-EXP(-Constantes!$D$23)))</f>
        <v>0</v>
      </c>
      <c r="BM60" s="76">
        <f t="shared" si="12"/>
        <v>0.89786142899584731</v>
      </c>
      <c r="BN60" s="76">
        <f t="shared" si="13"/>
        <v>1.0632568049007305</v>
      </c>
      <c r="BO60" s="76">
        <f>0.0526*BI60*Observaciones!$F59^1.218</f>
        <v>0</v>
      </c>
      <c r="BP60" s="76">
        <f>BO60*Constantes!$F$51</f>
        <v>0</v>
      </c>
      <c r="BQ60" s="76">
        <f t="shared" si="14"/>
        <v>0</v>
      </c>
      <c r="BR60" s="40"/>
    </row>
    <row r="61" spans="2:70">
      <c r="B61" s="39"/>
      <c r="C61" s="75">
        <v>55</v>
      </c>
      <c r="D61" s="146">
        <f>ETo!$I60*((1-Constantes!$F$19)*ETo!$K60+ETo!$L60)</f>
        <v>4.4473868346390635</v>
      </c>
      <c r="E61" s="76">
        <f>MIN(D61*Constantes!$F$17,0.8*(N60+Observaciones!$F60-F61-M61-Constantes!$D$14))</f>
        <v>2.5363970024303351</v>
      </c>
      <c r="F61" s="76">
        <f>IF(Observaciones!$F60&gt;0.05*Constantes!$F$18,((Observaciones!$F60-0.05*Constantes!$F$18)^2)/(Observaciones!$F60+0.95*Constantes!$F$18),0)</f>
        <v>0</v>
      </c>
      <c r="G61" s="76">
        <f>IF(Escenarios!$F$11&gt;0,(F61*Escenarios!$F$16*10000)/1000,0)</f>
        <v>0</v>
      </c>
      <c r="H61" s="76">
        <f>IF(Escenarios!$F$11&gt;0,(Observaciones!$F60*Constantes!$F$29)/1000,0)</f>
        <v>0</v>
      </c>
      <c r="I61" s="76">
        <f>IF(Escenarios!$F$11&gt;0,(D61*Constantes!$F$29)/1000,0)</f>
        <v>0</v>
      </c>
      <c r="J61" s="76">
        <f>IF(Escenarios!$F$11&gt;0,MAX(0,G61+H61-I61),0)</f>
        <v>0</v>
      </c>
      <c r="K61" s="76">
        <f>IF(Escenarios!$F$11&gt;0,IF(J61&gt;Constantes!$F$30,1000*((J61-Constantes!$F$30)/(Escenarios!$F$16*10000)),0),F61)</f>
        <v>0</v>
      </c>
      <c r="L61" s="76">
        <f>IF(Escenarios!$F$11&gt;0,I61*1000/Escenarios!$F$16/10000+E61,E61)</f>
        <v>2.5363970024303351</v>
      </c>
      <c r="M61" s="76">
        <f>MAX(0,N60+Observaciones!$F60-K61-Constantes!$D$13)</f>
        <v>5.3145168704564085</v>
      </c>
      <c r="N61" s="76">
        <f>N60+Observaciones!$F60-K61-L61-M61-O60</f>
        <v>45.061756417329178</v>
      </c>
      <c r="O61" s="76">
        <f>MAX(0,(N61-Constantes!$D$14)*(1-EXP(-Constantes!$D$22)))</f>
        <v>1.1517525490731422</v>
      </c>
      <c r="P61" s="170">
        <f>P60+(Entradas!$F$83*M61-Q60)/(800*Entradas!$D$25)</f>
        <v>0</v>
      </c>
      <c r="Q61" s="170">
        <f>8000*Entradas!$D$26*P61/Constantes!$F$45</f>
        <v>0</v>
      </c>
      <c r="R61" s="170">
        <f>IF(Escenarios!$F$14&gt;0,K61*Escenarios!$F$13/Escenarios!$F$14,0)</f>
        <v>0</v>
      </c>
      <c r="S61" s="170">
        <f>IF(Escenarios!$F$14&gt;0,Q61*Escenarios!$F$13/Escenarios!$F$14,0)</f>
        <v>0</v>
      </c>
      <c r="T61" s="170">
        <f>IF(Escenarios!$F$14&gt;0,Observaciones!$I60,0)</f>
        <v>0</v>
      </c>
      <c r="U61" s="170">
        <f>IF(Escenarios!$F$14&gt;0,MAX(0,Constantes!$F$36/((Z60+R61+S61+T61+Observaciones!$F60)^2)+Entradas!$F$77),0)</f>
        <v>2.4262316182484396</v>
      </c>
      <c r="V61" s="146">
        <f>IF(ETo!D60&gt;0,ETo!I60*((1-Entradas!$F$81)*ETo!K60+ETo!L60),0)</f>
        <v>3.9506413230760722</v>
      </c>
      <c r="W61" s="170">
        <f>IF(Escenarios!$F$14&gt;0,MIN(V61*1,0.8*(Z60+R61+S61+T61+Observaciones!$F60-U61-Constantes!$F$35)),0)</f>
        <v>3.9506413230760722</v>
      </c>
      <c r="X61" s="170">
        <f>IF(Escenarios!$F$14&gt;0,Observaciones!$J60,0)</f>
        <v>0</v>
      </c>
      <c r="Y61" s="170">
        <f>IF(Escenarios!$F$14&gt;0,MAX(0,Z60+R61+S61+T61+Observaciones!$F60-U61-W61-X61-Constantes!$F$33),0)</f>
        <v>0</v>
      </c>
      <c r="Z61" s="170">
        <f>Z60+R61+S61+T61+Observaciones!$F60-U61-W61-Y61</f>
        <v>127.38988068330667</v>
      </c>
      <c r="AA61" s="170">
        <f>IF(Escenarios!$F$14&gt;0,(Escenarios!$F$13*L61+Escenarios!$F$14*W61)/(Escenarios!$F$16),L61)</f>
        <v>2.706106320907824</v>
      </c>
      <c r="AB61" s="170">
        <f>IF(Escenarios!$F$14&gt;0,(Escenarios!$F$14*Y61)/(Escenarios!$F$16),K61)</f>
        <v>0</v>
      </c>
      <c r="AC61" s="170">
        <f>IF(Escenarios!$F$14&gt;0,(Escenarios!$F$13*M61+Escenarios!$F$14*U61)/(Escenarios!$F$16),M61)</f>
        <v>4.9679226401914525</v>
      </c>
      <c r="AD61" s="76">
        <f t="shared" si="1"/>
        <v>141.28491847374869</v>
      </c>
      <c r="AE61" s="76">
        <f>MAX(0,(AD61-Constantes!$D$13)*(1-EXP(-Constantes!$D$23)))</f>
        <v>0.91176859182228787</v>
      </c>
      <c r="AF61" s="76">
        <f>AB61+O61*Escenarios!$F$13/Escenarios!$F$16+AE61</f>
        <v>1.9253108350066528</v>
      </c>
      <c r="AG61" s="76">
        <f>IF(Entradas!$F$91&gt;0,IF(AF61-Escenarios!$F$38&lt;=0,0,IF(AF61-Escenarios!$F$38&gt;Escenarios!$F$37,Escenarios!$F$37,AF61-Escenarios!$F$38)),0)</f>
        <v>0.88851083500665284</v>
      </c>
      <c r="AH61" s="76">
        <f>AG61*Entradas!$F$99</f>
        <v>0</v>
      </c>
      <c r="AI61" s="76">
        <f>IF(Entradas!$F$91&gt;0,D61*Entradas!$D$23/Escenarios!$F$16,0)</f>
        <v>0.21347456806267504</v>
      </c>
      <c r="AJ61" s="76">
        <f>IF(Entradas!$F$91&gt;0,Entradas!$D$24*Entradas!$D$22/Escenarios!$F$16,0)</f>
        <v>0.12</v>
      </c>
      <c r="AK61" s="76">
        <f t="shared" si="2"/>
        <v>2.9195808889704988</v>
      </c>
      <c r="AL61" s="76">
        <f t="shared" si="3"/>
        <v>0</v>
      </c>
      <c r="AM61" s="76">
        <f t="shared" si="4"/>
        <v>0.88851083500665284</v>
      </c>
      <c r="AN61" s="76">
        <f>MAX(0,O61*Escenarios!$F$13/Escenarios!$F$16-AM61)</f>
        <v>0.12503140817771219</v>
      </c>
      <c r="AO61" s="76">
        <f>AM61+AN61-O61*Escenarios!$F$13/Escenarios!$F$16</f>
        <v>0</v>
      </c>
      <c r="AP61" s="76">
        <f t="shared" si="5"/>
        <v>0.91176859182228787</v>
      </c>
      <c r="AQ61" s="76">
        <f t="shared" si="6"/>
        <v>0</v>
      </c>
      <c r="AR61" s="76">
        <f t="shared" si="7"/>
        <v>1.0367999999999999</v>
      </c>
      <c r="AS61" s="76">
        <f t="shared" si="8"/>
        <v>0.55503626694397779</v>
      </c>
      <c r="AT61" s="76">
        <f t="shared" si="9"/>
        <v>5.5229589071354299</v>
      </c>
      <c r="AU61" s="76">
        <f t="shared" si="10"/>
        <v>51.009451379732205</v>
      </c>
      <c r="AV61" s="76">
        <f>MAX(0,(AU61-Constantes!$D$13)*(1-EXP(-Constantes!$D$24)))</f>
        <v>3.4536272571847007E-2</v>
      </c>
      <c r="AW61" s="170">
        <f>AW60+(Entradas!$F$112*AT61-AX60)/(800*Entradas!$D$25)</f>
        <v>0</v>
      </c>
      <c r="AX61" s="170">
        <f>8000*Entradas!$D$26*AW61/Constantes!$F$45</f>
        <v>0</v>
      </c>
      <c r="AY61" s="170">
        <f>IF(Escenarios!$F$17&gt;0,10*Escenarios!$F$16*AL61,0)</f>
        <v>0</v>
      </c>
      <c r="AZ61" s="170">
        <f>IF(Escenarios!$F$17&gt;0,10*Escenarios!$F$16*AX61,0)</f>
        <v>0</v>
      </c>
      <c r="BA61" s="170">
        <f>IF(Escenarios!$F$17&gt;0,0.001*Observaciones!$F60*Escenarios!$F$17,0)</f>
        <v>0</v>
      </c>
      <c r="BB61" s="170">
        <f>IF(Escenarios!$F$17&gt;0,Observaciones!$K60,0)</f>
        <v>0</v>
      </c>
      <c r="BC61" s="170">
        <f>IF(Escenarios!$F$17&gt;0,MIN(0.0005*ETo!$M60*Escenarios!$F$17*(BG60/Constantes!$F$40)^(2/3),BG60+AY61+AZ61+BA61+BB61),0)</f>
        <v>0</v>
      </c>
      <c r="BD61" s="170">
        <f>IF(Escenarios!$F$17&gt;0,MIN(Constantes!$F$39*(BG60/Constantes!$F$40)^(2/3),BG60+AY61+AZ61+BA61+BB61-BC61),0)</f>
        <v>0</v>
      </c>
      <c r="BE61" s="170">
        <f>IF(Escenarios!$F$17&gt;0,MIN(Entradas!$F$113,BG60+AY61+AZ61+BA61+BB61-BC61-BD61),0)</f>
        <v>0</v>
      </c>
      <c r="BF61" s="170">
        <f>IF(Escenarios!$F$17&gt;0,MAX(0,BG60+AY61+AZ61+BA61+BB61-BC61-BD61-BE61-Constantes!$F$40),0)</f>
        <v>0</v>
      </c>
      <c r="BG61" s="170">
        <f t="shared" si="11"/>
        <v>0</v>
      </c>
      <c r="BH61" s="170">
        <f>(Escenarios!$F$16*AK61+0.1*BC61)/(Escenarios!$F$19)</f>
        <v>2.9195808889704988</v>
      </c>
      <c r="BI61" s="170">
        <f>IF(Escenarios!$F$17&gt;0,BF61/10/Escenarios!$F$19,AL61)</f>
        <v>0</v>
      </c>
      <c r="BJ61" s="170">
        <f>(Escenarios!$F$16*AT61+0.1*BD61)/(Escenarios!$F$19)</f>
        <v>5.5229589071354299</v>
      </c>
      <c r="BK61" s="76">
        <f>BK60+(0.1*BD61)/(Escenarios!$F$19)-BL60</f>
        <v>48.75</v>
      </c>
      <c r="BL61" s="76">
        <f>MAX(0,(BK61-Constantes!$D$13)*(1-EXP(-Constantes!$D$23)))</f>
        <v>0</v>
      </c>
      <c r="BM61" s="76">
        <f t="shared" si="12"/>
        <v>0.94630486439413486</v>
      </c>
      <c r="BN61" s="76">
        <f t="shared" si="13"/>
        <v>1.0713362725718469</v>
      </c>
      <c r="BO61" s="76">
        <f>0.0526*BI61*Observaciones!$F60^1.218</f>
        <v>0</v>
      </c>
      <c r="BP61" s="76">
        <f>BO61*Constantes!$F$51</f>
        <v>0</v>
      </c>
      <c r="BQ61" s="76">
        <f t="shared" si="14"/>
        <v>0</v>
      </c>
      <c r="BR61" s="40"/>
    </row>
    <row r="62" spans="2:70">
      <c r="B62" s="39"/>
      <c r="C62" s="75">
        <v>56</v>
      </c>
      <c r="D62" s="146">
        <f>ETo!$I61*((1-Constantes!$F$19)*ETo!$K61+ETo!$L61)</f>
        <v>4.4083297198108244</v>
      </c>
      <c r="E62" s="76">
        <f>MIN(D62*Constantes!$F$17,0.8*(N61+Observaciones!$F61-F62-M62-Constantes!$D$14))</f>
        <v>2.5141222706255038</v>
      </c>
      <c r="F62" s="76">
        <f>IF(Observaciones!$F61&gt;0.05*Constantes!$F$18,((Observaciones!$F61-0.05*Constantes!$F$18)^2)/(Observaciones!$F61+0.95*Constantes!$F$18),0)</f>
        <v>0</v>
      </c>
      <c r="G62" s="76">
        <f>IF(Escenarios!$F$11&gt;0,(F62*Escenarios!$F$16*10000)/1000,0)</f>
        <v>0</v>
      </c>
      <c r="H62" s="76">
        <f>IF(Escenarios!$F$11&gt;0,(Observaciones!$F61*Constantes!$F$29)/1000,0)</f>
        <v>0</v>
      </c>
      <c r="I62" s="76">
        <f>IF(Escenarios!$F$11&gt;0,(D62*Constantes!$F$29)/1000,0)</f>
        <v>0</v>
      </c>
      <c r="J62" s="76">
        <f>IF(Escenarios!$F$11&gt;0,MAX(0,G62+H62-I62),0)</f>
        <v>0</v>
      </c>
      <c r="K62" s="76">
        <f>IF(Escenarios!$F$11&gt;0,IF(J62&gt;Constantes!$F$30,1000*((J62-Constantes!$F$30)/(Escenarios!$F$16*10000)),0),F62)</f>
        <v>0</v>
      </c>
      <c r="L62" s="76">
        <f>IF(Escenarios!$F$11&gt;0,I62*1000/Escenarios!$F$16/10000+E62,E62)</f>
        <v>2.5141222706255038</v>
      </c>
      <c r="M62" s="76">
        <f>MAX(0,N61+Observaciones!$F61-K62-Constantes!$D$13)</f>
        <v>0</v>
      </c>
      <c r="N62" s="76">
        <f>N61+Observaciones!$F61-K62-L62-M62-O61</f>
        <v>41.895881597630527</v>
      </c>
      <c r="O62" s="76">
        <f>MAX(0,(N62-Constantes!$D$14)*(1-EXP(-Constantes!$D$22)))</f>
        <v>1.0439112305498135</v>
      </c>
      <c r="P62" s="170">
        <f>P61+(Entradas!$F$83*M62-Q61)/(800*Entradas!$D$25)</f>
        <v>0</v>
      </c>
      <c r="Q62" s="170">
        <f>8000*Entradas!$D$26*P62/Constantes!$F$45</f>
        <v>0</v>
      </c>
      <c r="R62" s="170">
        <f>IF(Escenarios!$F$14&gt;0,K62*Escenarios!$F$13/Escenarios!$F$14,0)</f>
        <v>0</v>
      </c>
      <c r="S62" s="170">
        <f>IF(Escenarios!$F$14&gt;0,Q62*Escenarios!$F$13/Escenarios!$F$14,0)</f>
        <v>0</v>
      </c>
      <c r="T62" s="170">
        <f>IF(Escenarios!$F$14&gt;0,Observaciones!$I61,0)</f>
        <v>0</v>
      </c>
      <c r="U62" s="170">
        <f>IF(Escenarios!$F$14&gt;0,MAX(0,Constantes!$F$36/((Z61+R62+S62+T62+Observaciones!$F61)^2)+Entradas!$F$77),0)</f>
        <v>2.3722877234239945</v>
      </c>
      <c r="V62" s="146">
        <f>IF(ETo!D61&gt;0,ETo!I61*((1-Entradas!$F$81)*ETo!K61+ETo!L61),0)</f>
        <v>3.915247574337422</v>
      </c>
      <c r="W62" s="170">
        <f>IF(Escenarios!$F$14&gt;0,MIN(V62*1,0.8*(Z61+R62+S62+T62+Observaciones!$F61-U62-Constantes!$F$35)),0)</f>
        <v>3.915247574337422</v>
      </c>
      <c r="X62" s="170">
        <f>IF(Escenarios!$F$14&gt;0,Observaciones!$J61,0)</f>
        <v>0</v>
      </c>
      <c r="Y62" s="170">
        <f>IF(Escenarios!$F$14&gt;0,MAX(0,Z61+R62+S62+T62+Observaciones!$F61-U62-W62-X62-Constantes!$F$33),0)</f>
        <v>0</v>
      </c>
      <c r="Z62" s="170">
        <f>Z61+R62+S62+T62+Observaciones!$F61-U62-W62-Y62</f>
        <v>121.60234538554525</v>
      </c>
      <c r="AA62" s="170">
        <f>IF(Escenarios!$F$14&gt;0,(Escenarios!$F$13*L62+Escenarios!$F$14*W62)/(Escenarios!$F$16),L62)</f>
        <v>2.6822573070709339</v>
      </c>
      <c r="AB62" s="170">
        <f>IF(Escenarios!$F$14&gt;0,(Escenarios!$F$14*Y62)/(Escenarios!$F$16),K62)</f>
        <v>0</v>
      </c>
      <c r="AC62" s="170">
        <f>IF(Escenarios!$F$14&gt;0,(Escenarios!$F$13*M62+Escenarios!$F$14*U62)/(Escenarios!$F$16),M62)</f>
        <v>0.28467452681087935</v>
      </c>
      <c r="AD62" s="76">
        <f t="shared" si="1"/>
        <v>140.65782440873727</v>
      </c>
      <c r="AE62" s="76">
        <f>MAX(0,(AD62-Constantes!$D$13)*(1-EXP(-Constantes!$D$23)))</f>
        <v>0.90558968463756084</v>
      </c>
      <c r="AF62" s="76">
        <f>AB62+O62*Escenarios!$F$13/Escenarios!$F$16+AE62</f>
        <v>1.8242315675213967</v>
      </c>
      <c r="AG62" s="76">
        <f>IF(Entradas!$F$91&gt;0,IF(AF62-Escenarios!$F$38&lt;=0,0,IF(AF62-Escenarios!$F$38&gt;Escenarios!$F$37,Escenarios!$F$37,AF62-Escenarios!$F$38)),0)</f>
        <v>0.78743156752139676</v>
      </c>
      <c r="AH62" s="76">
        <f>AG62*Entradas!$F$99</f>
        <v>0</v>
      </c>
      <c r="AI62" s="76">
        <f>IF(Entradas!$F$91&gt;0,D62*Entradas!$D$23/Escenarios!$F$16,0)</f>
        <v>0.21159982655091958</v>
      </c>
      <c r="AJ62" s="76">
        <f>IF(Entradas!$F$91&gt;0,Entradas!$D$24*Entradas!$D$22/Escenarios!$F$16,0)</f>
        <v>0.12</v>
      </c>
      <c r="AK62" s="76">
        <f t="shared" si="2"/>
        <v>2.8938571336218537</v>
      </c>
      <c r="AL62" s="76">
        <f t="shared" si="3"/>
        <v>0</v>
      </c>
      <c r="AM62" s="76">
        <f t="shared" si="4"/>
        <v>0.78743156752139676</v>
      </c>
      <c r="AN62" s="76">
        <f>MAX(0,O62*Escenarios!$F$13/Escenarios!$F$16-AM62)</f>
        <v>0.13121031536243921</v>
      </c>
      <c r="AO62" s="76">
        <f>AM62+AN62-O62*Escenarios!$F$13/Escenarios!$F$16</f>
        <v>0</v>
      </c>
      <c r="AP62" s="76">
        <f t="shared" si="5"/>
        <v>0.90558968463756084</v>
      </c>
      <c r="AQ62" s="76">
        <f t="shared" si="6"/>
        <v>0</v>
      </c>
      <c r="AR62" s="76">
        <f t="shared" si="7"/>
        <v>1.0367999999999999</v>
      </c>
      <c r="AS62" s="76">
        <f t="shared" si="8"/>
        <v>0.45583174097047718</v>
      </c>
      <c r="AT62" s="76">
        <f t="shared" si="9"/>
        <v>0.74050626778135653</v>
      </c>
      <c r="AU62" s="76">
        <f t="shared" si="10"/>
        <v>51.430746848130831</v>
      </c>
      <c r="AV62" s="76">
        <f>MAX(0,(AU62-Constantes!$D$13)*(1-EXP(-Constantes!$D$24)))</f>
        <v>4.0975877893924519E-2</v>
      </c>
      <c r="AW62" s="170">
        <f>AW61+(Entradas!$F$112*AT62-AX61)/(800*Entradas!$D$25)</f>
        <v>0</v>
      </c>
      <c r="AX62" s="170">
        <f>8000*Entradas!$D$26*AW62/Constantes!$F$45</f>
        <v>0</v>
      </c>
      <c r="AY62" s="170">
        <f>IF(Escenarios!$F$17&gt;0,10*Escenarios!$F$16*AL62,0)</f>
        <v>0</v>
      </c>
      <c r="AZ62" s="170">
        <f>IF(Escenarios!$F$17&gt;0,10*Escenarios!$F$16*AX62,0)</f>
        <v>0</v>
      </c>
      <c r="BA62" s="170">
        <f>IF(Escenarios!$F$17&gt;0,0.001*Observaciones!$F61*Escenarios!$F$17,0)</f>
        <v>0</v>
      </c>
      <c r="BB62" s="170">
        <f>IF(Escenarios!$F$17&gt;0,Observaciones!$K61,0)</f>
        <v>0</v>
      </c>
      <c r="BC62" s="170">
        <f>IF(Escenarios!$F$17&gt;0,MIN(0.0005*ETo!$M61*Escenarios!$F$17*(BG61/Constantes!$F$40)^(2/3),BG61+AY62+AZ62+BA62+BB62),0)</f>
        <v>0</v>
      </c>
      <c r="BD62" s="170">
        <f>IF(Escenarios!$F$17&gt;0,MIN(Constantes!$F$39*(BG61/Constantes!$F$40)^(2/3),BG61+AY62+AZ62+BA62+BB62-BC62),0)</f>
        <v>0</v>
      </c>
      <c r="BE62" s="170">
        <f>IF(Escenarios!$F$17&gt;0,MIN(Entradas!$F$113,BG61+AY62+AZ62+BA62+BB62-BC62-BD62),0)</f>
        <v>0</v>
      </c>
      <c r="BF62" s="170">
        <f>IF(Escenarios!$F$17&gt;0,MAX(0,BG61+AY62+AZ62+BA62+BB62-BC62-BD62-BE62-Constantes!$F$40),0)</f>
        <v>0</v>
      </c>
      <c r="BG62" s="170">
        <f t="shared" si="11"/>
        <v>0</v>
      </c>
      <c r="BH62" s="170">
        <f>(Escenarios!$F$16*AK62+0.1*BC62)/(Escenarios!$F$19)</f>
        <v>2.8938571336218537</v>
      </c>
      <c r="BI62" s="170">
        <f>IF(Escenarios!$F$17&gt;0,BF62/10/Escenarios!$F$19,AL62)</f>
        <v>0</v>
      </c>
      <c r="BJ62" s="170">
        <f>(Escenarios!$F$16*AT62+0.1*BD62)/(Escenarios!$F$19)</f>
        <v>0.74050626778135653</v>
      </c>
      <c r="BK62" s="76">
        <f>BK61+(0.1*BD62)/(Escenarios!$F$19)-BL61</f>
        <v>48.75</v>
      </c>
      <c r="BL62" s="76">
        <f>MAX(0,(BK62-Constantes!$D$13)*(1-EXP(-Constantes!$D$23)))</f>
        <v>0</v>
      </c>
      <c r="BM62" s="76">
        <f t="shared" si="12"/>
        <v>0.94656556253148538</v>
      </c>
      <c r="BN62" s="76">
        <f t="shared" si="13"/>
        <v>1.0777758778939244</v>
      </c>
      <c r="BO62" s="76">
        <f>0.0526*BI62*Observaciones!$F61^1.218</f>
        <v>0</v>
      </c>
      <c r="BP62" s="76">
        <f>BO62*Constantes!$F$51</f>
        <v>0</v>
      </c>
      <c r="BQ62" s="76">
        <f t="shared" si="14"/>
        <v>0</v>
      </c>
      <c r="BR62" s="40"/>
    </row>
    <row r="63" spans="2:70">
      <c r="B63" s="39"/>
      <c r="C63" s="75">
        <v>57</v>
      </c>
      <c r="D63" s="146">
        <f>ETo!$I62*((1-Constantes!$F$19)*ETo!$K62+ETo!$L62)</f>
        <v>4.5095048298076783</v>
      </c>
      <c r="E63" s="76">
        <f>MIN(D63*Constantes!$F$17,0.8*(N62+Observaciones!$F62-F63-M63-Constantes!$D$14))</f>
        <v>2.571823625434098</v>
      </c>
      <c r="F63" s="76">
        <f>IF(Observaciones!$F62&gt;0.05*Constantes!$F$18,((Observaciones!$F62-0.05*Constantes!$F$18)^2)/(Observaciones!$F62+0.95*Constantes!$F$18),0)</f>
        <v>0</v>
      </c>
      <c r="G63" s="76">
        <f>IF(Escenarios!$F$11&gt;0,(F63*Escenarios!$F$16*10000)/1000,0)</f>
        <v>0</v>
      </c>
      <c r="H63" s="76">
        <f>IF(Escenarios!$F$11&gt;0,(Observaciones!$F62*Constantes!$F$29)/1000,0)</f>
        <v>0</v>
      </c>
      <c r="I63" s="76">
        <f>IF(Escenarios!$F$11&gt;0,(D63*Constantes!$F$29)/1000,0)</f>
        <v>0</v>
      </c>
      <c r="J63" s="76">
        <f>IF(Escenarios!$F$11&gt;0,MAX(0,G63+H63-I63),0)</f>
        <v>0</v>
      </c>
      <c r="K63" s="76">
        <f>IF(Escenarios!$F$11&gt;0,IF(J63&gt;Constantes!$F$30,1000*((J63-Constantes!$F$30)/(Escenarios!$F$16*10000)),0),F63)</f>
        <v>0</v>
      </c>
      <c r="L63" s="76">
        <f>IF(Escenarios!$F$11&gt;0,I63*1000/Escenarios!$F$16/10000+E63,E63)</f>
        <v>2.571823625434098</v>
      </c>
      <c r="M63" s="76">
        <f>MAX(0,N62+Observaciones!$F62-K63-Constantes!$D$13)</f>
        <v>0</v>
      </c>
      <c r="N63" s="76">
        <f>N62+Observaciones!$F62-K63-L63-M63-O62</f>
        <v>38.280146741646618</v>
      </c>
      <c r="O63" s="76">
        <f>MAX(0,(N63-Constantes!$D$14)*(1-EXP(-Constantes!$D$22)))</f>
        <v>0.92074602772060687</v>
      </c>
      <c r="P63" s="170">
        <f>P62+(Entradas!$F$83*M63-Q62)/(800*Entradas!$D$25)</f>
        <v>0</v>
      </c>
      <c r="Q63" s="170">
        <f>8000*Entradas!$D$26*P63/Constantes!$F$45</f>
        <v>0</v>
      </c>
      <c r="R63" s="170">
        <f>IF(Escenarios!$F$14&gt;0,K63*Escenarios!$F$13/Escenarios!$F$14,0)</f>
        <v>0</v>
      </c>
      <c r="S63" s="170">
        <f>IF(Escenarios!$F$14&gt;0,Q63*Escenarios!$F$13/Escenarios!$F$14,0)</f>
        <v>0</v>
      </c>
      <c r="T63" s="170">
        <f>IF(Escenarios!$F$14&gt;0,Observaciones!$I62,0)</f>
        <v>0</v>
      </c>
      <c r="U63" s="170">
        <f>IF(Escenarios!$F$14&gt;0,MAX(0,Constantes!$F$36/((Z62+R63+S63+T63+Observaciones!$F62)^2)+Entradas!$F$77),0)</f>
        <v>2.3056969323992167</v>
      </c>
      <c r="V63" s="146">
        <f>IF(ETo!D62&gt;0,ETo!I62*((1-Entradas!$F$81)*ETo!K62+ETo!L62),0)</f>
        <v>4.0066949297003953</v>
      </c>
      <c r="W63" s="170">
        <f>IF(Escenarios!$F$14&gt;0,MIN(V63*1,0.8*(Z62+R63+S63+T63+Observaciones!$F62-U63-Constantes!$F$35)),0)</f>
        <v>4.0066949297003953</v>
      </c>
      <c r="X63" s="170">
        <f>IF(Escenarios!$F$14&gt;0,Observaciones!$J62,0)</f>
        <v>0</v>
      </c>
      <c r="Y63" s="170">
        <f>IF(Escenarios!$F$14&gt;0,MAX(0,Z62+R63+S63+T63+Observaciones!$F62-U63-W63-X63-Constantes!$F$33),0)</f>
        <v>0</v>
      </c>
      <c r="Z63" s="170">
        <f>Z62+R63+S63+T63+Observaciones!$F62-U63-W63-Y63</f>
        <v>115.28995352344563</v>
      </c>
      <c r="AA63" s="170">
        <f>IF(Escenarios!$F$14&gt;0,(Escenarios!$F$13*L63+Escenarios!$F$14*W63)/(Escenarios!$F$16),L63)</f>
        <v>2.7440081819460538</v>
      </c>
      <c r="AB63" s="170">
        <f>IF(Escenarios!$F$14&gt;0,(Escenarios!$F$14*Y63)/(Escenarios!$F$16),K63)</f>
        <v>0</v>
      </c>
      <c r="AC63" s="170">
        <f>IF(Escenarios!$F$14&gt;0,(Escenarios!$F$13*M63+Escenarios!$F$14*U63)/(Escenarios!$F$16),M63)</f>
        <v>0.27668363188790601</v>
      </c>
      <c r="AD63" s="76">
        <f t="shared" si="1"/>
        <v>140.02891835598763</v>
      </c>
      <c r="AE63" s="76">
        <f>MAX(0,(AD63-Constantes!$D$13)*(1-EXP(-Constantes!$D$23)))</f>
        <v>0.89939292350606725</v>
      </c>
      <c r="AF63" s="76">
        <f>AB63+O63*Escenarios!$F$13/Escenarios!$F$16+AE63</f>
        <v>1.7096494279002012</v>
      </c>
      <c r="AG63" s="76">
        <f>IF(Entradas!$F$91&gt;0,IF(AF63-Escenarios!$F$38&lt;=0,0,IF(AF63-Escenarios!$F$38&gt;Escenarios!$F$37,Escenarios!$F$37,AF63-Escenarios!$F$38)),0)</f>
        <v>0.6728494279002013</v>
      </c>
      <c r="AH63" s="76">
        <f>AG63*Entradas!$F$99</f>
        <v>0</v>
      </c>
      <c r="AI63" s="76">
        <f>IF(Entradas!$F$91&gt;0,D63*Entradas!$D$23/Escenarios!$F$16,0)</f>
        <v>0.21645623183076856</v>
      </c>
      <c r="AJ63" s="76">
        <f>IF(Entradas!$F$91&gt;0,Entradas!$D$24*Entradas!$D$22/Escenarios!$F$16,0)</f>
        <v>0.12</v>
      </c>
      <c r="AK63" s="76">
        <f t="shared" si="2"/>
        <v>2.9604644137768226</v>
      </c>
      <c r="AL63" s="76">
        <f t="shared" si="3"/>
        <v>0</v>
      </c>
      <c r="AM63" s="76">
        <f t="shared" si="4"/>
        <v>0.6728494279002013</v>
      </c>
      <c r="AN63" s="76">
        <f>MAX(0,O63*Escenarios!$F$13/Escenarios!$F$16-AM63)</f>
        <v>0.13740707649393269</v>
      </c>
      <c r="AO63" s="76">
        <f>AM63+AN63-O63*Escenarios!$F$13/Escenarios!$F$16</f>
        <v>0</v>
      </c>
      <c r="AP63" s="76">
        <f t="shared" si="5"/>
        <v>0.89939292350606725</v>
      </c>
      <c r="AQ63" s="76">
        <f t="shared" si="6"/>
        <v>0</v>
      </c>
      <c r="AR63" s="76">
        <f t="shared" si="7"/>
        <v>1.0367999999999999</v>
      </c>
      <c r="AS63" s="76">
        <f t="shared" si="8"/>
        <v>0.33639319606943274</v>
      </c>
      <c r="AT63" s="76">
        <f t="shared" si="9"/>
        <v>0.61307682795733875</v>
      </c>
      <c r="AU63" s="76">
        <f t="shared" si="10"/>
        <v>51.726164166306333</v>
      </c>
      <c r="AV63" s="76">
        <f>MAX(0,(AU63-Constantes!$D$13)*(1-EXP(-Constantes!$D$24)))</f>
        <v>4.5491404589684814E-2</v>
      </c>
      <c r="AW63" s="170">
        <f>AW62+(Entradas!$F$112*AT63-AX62)/(800*Entradas!$D$25)</f>
        <v>0</v>
      </c>
      <c r="AX63" s="170">
        <f>8000*Entradas!$D$26*AW63/Constantes!$F$45</f>
        <v>0</v>
      </c>
      <c r="AY63" s="170">
        <f>IF(Escenarios!$F$17&gt;0,10*Escenarios!$F$16*AL63,0)</f>
        <v>0</v>
      </c>
      <c r="AZ63" s="170">
        <f>IF(Escenarios!$F$17&gt;0,10*Escenarios!$F$16*AX63,0)</f>
        <v>0</v>
      </c>
      <c r="BA63" s="170">
        <f>IF(Escenarios!$F$17&gt;0,0.001*Observaciones!$F62*Escenarios!$F$17,0)</f>
        <v>0</v>
      </c>
      <c r="BB63" s="170">
        <f>IF(Escenarios!$F$17&gt;0,Observaciones!$K62,0)</f>
        <v>0</v>
      </c>
      <c r="BC63" s="170">
        <f>IF(Escenarios!$F$17&gt;0,MIN(0.0005*ETo!$M62*Escenarios!$F$17*(BG62/Constantes!$F$40)^(2/3),BG62+AY63+AZ63+BA63+BB63),0)</f>
        <v>0</v>
      </c>
      <c r="BD63" s="170">
        <f>IF(Escenarios!$F$17&gt;0,MIN(Constantes!$F$39*(BG62/Constantes!$F$40)^(2/3),BG62+AY63+AZ63+BA63+BB63-BC63),0)</f>
        <v>0</v>
      </c>
      <c r="BE63" s="170">
        <f>IF(Escenarios!$F$17&gt;0,MIN(Entradas!$F$113,BG62+AY63+AZ63+BA63+BB63-BC63-BD63),0)</f>
        <v>0</v>
      </c>
      <c r="BF63" s="170">
        <f>IF(Escenarios!$F$17&gt;0,MAX(0,BG62+AY63+AZ63+BA63+BB63-BC63-BD63-BE63-Constantes!$F$40),0)</f>
        <v>0</v>
      </c>
      <c r="BG63" s="170">
        <f t="shared" si="11"/>
        <v>0</v>
      </c>
      <c r="BH63" s="170">
        <f>(Escenarios!$F$16*AK63+0.1*BC63)/(Escenarios!$F$19)</f>
        <v>2.9604644137768226</v>
      </c>
      <c r="BI63" s="170">
        <f>IF(Escenarios!$F$17&gt;0,BF63/10/Escenarios!$F$19,AL63)</f>
        <v>0</v>
      </c>
      <c r="BJ63" s="170">
        <f>(Escenarios!$F$16*AT63+0.1*BD63)/(Escenarios!$F$19)</f>
        <v>0.61307682795733875</v>
      </c>
      <c r="BK63" s="76">
        <f>BK62+(0.1*BD63)/(Escenarios!$F$19)-BL62</f>
        <v>48.75</v>
      </c>
      <c r="BL63" s="76">
        <f>MAX(0,(BK63-Constantes!$D$13)*(1-EXP(-Constantes!$D$23)))</f>
        <v>0</v>
      </c>
      <c r="BM63" s="76">
        <f t="shared" si="12"/>
        <v>0.94488432809575207</v>
      </c>
      <c r="BN63" s="76">
        <f t="shared" si="13"/>
        <v>1.0822914045896848</v>
      </c>
      <c r="BO63" s="76">
        <f>0.0526*BI63*Observaciones!$F62^1.218</f>
        <v>0</v>
      </c>
      <c r="BP63" s="76">
        <f>BO63*Constantes!$F$51</f>
        <v>0</v>
      </c>
      <c r="BQ63" s="76">
        <f t="shared" si="14"/>
        <v>0</v>
      </c>
      <c r="BR63" s="40"/>
    </row>
    <row r="64" spans="2:70">
      <c r="B64" s="39"/>
      <c r="C64" s="75">
        <v>58</v>
      </c>
      <c r="D64" s="146">
        <f>ETo!$I63*((1-Constantes!$F$19)*ETo!$K63+ETo!$L63)</f>
        <v>4.2798860669950836</v>
      </c>
      <c r="E64" s="76">
        <f>MIN(D64*Constantes!$F$17,0.8*(N63+Observaciones!$F63-F64-M64-Constantes!$D$14))</f>
        <v>2.4408693452344328</v>
      </c>
      <c r="F64" s="76">
        <f>IF(Observaciones!$F63&gt;0.05*Constantes!$F$18,((Observaciones!$F63-0.05*Constantes!$F$18)^2)/(Observaciones!$F63+0.95*Constantes!$F$18),0)</f>
        <v>0</v>
      </c>
      <c r="G64" s="76">
        <f>IF(Escenarios!$F$11&gt;0,(F64*Escenarios!$F$16*10000)/1000,0)</f>
        <v>0</v>
      </c>
      <c r="H64" s="76">
        <f>IF(Escenarios!$F$11&gt;0,(Observaciones!$F63*Constantes!$F$29)/1000,0)</f>
        <v>0</v>
      </c>
      <c r="I64" s="76">
        <f>IF(Escenarios!$F$11&gt;0,(D64*Constantes!$F$29)/1000,0)</f>
        <v>0</v>
      </c>
      <c r="J64" s="76">
        <f>IF(Escenarios!$F$11&gt;0,MAX(0,G64+H64-I64),0)</f>
        <v>0</v>
      </c>
      <c r="K64" s="76">
        <f>IF(Escenarios!$F$11&gt;0,IF(J64&gt;Constantes!$F$30,1000*((J64-Constantes!$F$30)/(Escenarios!$F$16*10000)),0),F64)</f>
        <v>0</v>
      </c>
      <c r="L64" s="76">
        <f>IF(Escenarios!$F$11&gt;0,I64*1000/Escenarios!$F$16/10000+E64,E64)</f>
        <v>2.4408693452344328</v>
      </c>
      <c r="M64" s="76">
        <f>MAX(0,N63+Observaciones!$F63-K64-Constantes!$D$13)</f>
        <v>0</v>
      </c>
      <c r="N64" s="76">
        <f>N63+Observaciones!$F63-K64-L64-M64-O63</f>
        <v>36.018531368691583</v>
      </c>
      <c r="O64" s="76">
        <f>MAX(0,(N64-Constantes!$D$14)*(1-EXP(-Constantes!$D$22)))</f>
        <v>0.84370710555775397</v>
      </c>
      <c r="P64" s="170">
        <f>P63+(Entradas!$F$83*M64-Q63)/(800*Entradas!$D$25)</f>
        <v>0</v>
      </c>
      <c r="Q64" s="170">
        <f>8000*Entradas!$D$26*P64/Constantes!$F$45</f>
        <v>0</v>
      </c>
      <c r="R64" s="170">
        <f>IF(Escenarios!$F$14&gt;0,K64*Escenarios!$F$13/Escenarios!$F$14,0)</f>
        <v>0</v>
      </c>
      <c r="S64" s="170">
        <f>IF(Escenarios!$F$14&gt;0,Q64*Escenarios!$F$13/Escenarios!$F$14,0)</f>
        <v>0</v>
      </c>
      <c r="T64" s="170">
        <f>IF(Escenarios!$F$14&gt;0,Observaciones!$I63,0)</f>
        <v>0</v>
      </c>
      <c r="U64" s="170">
        <f>IF(Escenarios!$F$14&gt;0,MAX(0,Constantes!$F$36/((Z63+R64+S64+T64+Observaciones!$F63)^2)+Entradas!$F$77),0)</f>
        <v>2.242117293538286</v>
      </c>
      <c r="V64" s="146">
        <f>IF(ETo!D63&gt;0,ETo!I63*((1-Entradas!$F$81)*ETo!K63+ETo!L63),0)</f>
        <v>3.7992081434481495</v>
      </c>
      <c r="W64" s="170">
        <f>IF(Escenarios!$F$14&gt;0,MIN(V64*1,0.8*(Z63+R64+S64+T64+Observaciones!$F63-U64-Constantes!$F$35)),0)</f>
        <v>3.7992081434481495</v>
      </c>
      <c r="X64" s="170">
        <f>IF(Escenarios!$F$14&gt;0,Observaciones!$J63,0)</f>
        <v>0</v>
      </c>
      <c r="Y64" s="170">
        <f>IF(Escenarios!$F$14&gt;0,MAX(0,Z63+R64+S64+T64+Observaciones!$F63-U64-W64-X64-Constantes!$F$33),0)</f>
        <v>0</v>
      </c>
      <c r="Z64" s="170">
        <f>Z63+R64+S64+T64+Observaciones!$F63-U64-W64-Y64</f>
        <v>110.34862808645919</v>
      </c>
      <c r="AA64" s="170">
        <f>IF(Escenarios!$F$14&gt;0,(Escenarios!$F$13*L64+Escenarios!$F$14*W64)/(Escenarios!$F$16),L64)</f>
        <v>2.6038700010200788</v>
      </c>
      <c r="AB64" s="170">
        <f>IF(Escenarios!$F$14&gt;0,(Escenarios!$F$14*Y64)/(Escenarios!$F$16),K64)</f>
        <v>0</v>
      </c>
      <c r="AC64" s="170">
        <f>IF(Escenarios!$F$14&gt;0,(Escenarios!$F$13*M64+Escenarios!$F$14*U64)/(Escenarios!$F$16),M64)</f>
        <v>0.26905407522459435</v>
      </c>
      <c r="AD64" s="76">
        <f t="shared" si="1"/>
        <v>139.39857950770616</v>
      </c>
      <c r="AE64" s="76">
        <f>MAX(0,(AD64-Constantes!$D$13)*(1-EXP(-Constantes!$D$23)))</f>
        <v>0.89318204469893325</v>
      </c>
      <c r="AF64" s="76">
        <f>AB64+O64*Escenarios!$F$13/Escenarios!$F$16+AE64</f>
        <v>1.6356442975897567</v>
      </c>
      <c r="AG64" s="76">
        <f>IF(Entradas!$F$91&gt;0,IF(AF64-Escenarios!$F$38&lt;=0,0,IF(AF64-Escenarios!$F$38&gt;Escenarios!$F$37,Escenarios!$F$37,AF64-Escenarios!$F$38)),0)</f>
        <v>0.59884429758975677</v>
      </c>
      <c r="AH64" s="76">
        <f>AG64*Entradas!$F$99</f>
        <v>0</v>
      </c>
      <c r="AI64" s="76">
        <f>IF(Entradas!$F$91&gt;0,D64*Entradas!$D$23/Escenarios!$F$16,0)</f>
        <v>0.20543453121576402</v>
      </c>
      <c r="AJ64" s="76">
        <f>IF(Entradas!$F$91&gt;0,Entradas!$D$24*Entradas!$D$22/Escenarios!$F$16,0)</f>
        <v>0.12</v>
      </c>
      <c r="AK64" s="76">
        <f t="shared" si="2"/>
        <v>2.809304532235843</v>
      </c>
      <c r="AL64" s="76">
        <f t="shared" si="3"/>
        <v>0</v>
      </c>
      <c r="AM64" s="76">
        <f t="shared" si="4"/>
        <v>0.59884429758975677</v>
      </c>
      <c r="AN64" s="76">
        <f>MAX(0,O64*Escenarios!$F$13/Escenarios!$F$16-AM64)</f>
        <v>0.14361795530106669</v>
      </c>
      <c r="AO64" s="76">
        <f>AM64+AN64-O64*Escenarios!$F$13/Escenarios!$F$16</f>
        <v>0</v>
      </c>
      <c r="AP64" s="76">
        <f t="shared" si="5"/>
        <v>0.89318204469893325</v>
      </c>
      <c r="AQ64" s="76">
        <f t="shared" si="6"/>
        <v>0</v>
      </c>
      <c r="AR64" s="76">
        <f t="shared" si="7"/>
        <v>1.0367999999999999</v>
      </c>
      <c r="AS64" s="76">
        <f t="shared" si="8"/>
        <v>0.27340976637399272</v>
      </c>
      <c r="AT64" s="76">
        <f t="shared" si="9"/>
        <v>0.54246384159858707</v>
      </c>
      <c r="AU64" s="76">
        <f t="shared" si="10"/>
        <v>51.954082528090645</v>
      </c>
      <c r="AV64" s="76">
        <f>MAX(0,(AU64-Constantes!$D$13)*(1-EXP(-Constantes!$D$24)))</f>
        <v>4.8975193060337707E-2</v>
      </c>
      <c r="AW64" s="170">
        <f>AW63+(Entradas!$F$112*AT64-AX63)/(800*Entradas!$D$25)</f>
        <v>0</v>
      </c>
      <c r="AX64" s="170">
        <f>8000*Entradas!$D$26*AW64/Constantes!$F$45</f>
        <v>0</v>
      </c>
      <c r="AY64" s="170">
        <f>IF(Escenarios!$F$17&gt;0,10*Escenarios!$F$16*AL64,0)</f>
        <v>0</v>
      </c>
      <c r="AZ64" s="170">
        <f>IF(Escenarios!$F$17&gt;0,10*Escenarios!$F$16*AX64,0)</f>
        <v>0</v>
      </c>
      <c r="BA64" s="170">
        <f>IF(Escenarios!$F$17&gt;0,0.001*Observaciones!$F63*Escenarios!$F$17,0)</f>
        <v>0</v>
      </c>
      <c r="BB64" s="170">
        <f>IF(Escenarios!$F$17&gt;0,Observaciones!$K63,0)</f>
        <v>0</v>
      </c>
      <c r="BC64" s="170">
        <f>IF(Escenarios!$F$17&gt;0,MIN(0.0005*ETo!$M63*Escenarios!$F$17*(BG63/Constantes!$F$40)^(2/3),BG63+AY64+AZ64+BA64+BB64),0)</f>
        <v>0</v>
      </c>
      <c r="BD64" s="170">
        <f>IF(Escenarios!$F$17&gt;0,MIN(Constantes!$F$39*(BG63/Constantes!$F$40)^(2/3),BG63+AY64+AZ64+BA64+BB64-BC64),0)</f>
        <v>0</v>
      </c>
      <c r="BE64" s="170">
        <f>IF(Escenarios!$F$17&gt;0,MIN(Entradas!$F$113,BG63+AY64+AZ64+BA64+BB64-BC64-BD64),0)</f>
        <v>0</v>
      </c>
      <c r="BF64" s="170">
        <f>IF(Escenarios!$F$17&gt;0,MAX(0,BG63+AY64+AZ64+BA64+BB64-BC64-BD64-BE64-Constantes!$F$40),0)</f>
        <v>0</v>
      </c>
      <c r="BG64" s="170">
        <f t="shared" si="11"/>
        <v>0</v>
      </c>
      <c r="BH64" s="170">
        <f>(Escenarios!$F$16*AK64+0.1*BC64)/(Escenarios!$F$19)</f>
        <v>2.809304532235843</v>
      </c>
      <c r="BI64" s="170">
        <f>IF(Escenarios!$F$17&gt;0,BF64/10/Escenarios!$F$19,AL64)</f>
        <v>0</v>
      </c>
      <c r="BJ64" s="170">
        <f>(Escenarios!$F$16*AT64+0.1*BD64)/(Escenarios!$F$19)</f>
        <v>0.54246384159858707</v>
      </c>
      <c r="BK64" s="76">
        <f>BK63+(0.1*BD64)/(Escenarios!$F$19)-BL63</f>
        <v>48.75</v>
      </c>
      <c r="BL64" s="76">
        <f>MAX(0,(BK64-Constantes!$D$13)*(1-EXP(-Constantes!$D$23)))</f>
        <v>0</v>
      </c>
      <c r="BM64" s="76">
        <f t="shared" si="12"/>
        <v>0.94215723775927096</v>
      </c>
      <c r="BN64" s="76">
        <f t="shared" si="13"/>
        <v>1.0857751930603377</v>
      </c>
      <c r="BO64" s="76">
        <f>0.0526*BI64*Observaciones!$F63^1.218</f>
        <v>0</v>
      </c>
      <c r="BP64" s="76">
        <f>BO64*Constantes!$F$51</f>
        <v>0</v>
      </c>
      <c r="BQ64" s="76">
        <f t="shared" si="14"/>
        <v>0</v>
      </c>
      <c r="BR64" s="40"/>
    </row>
    <row r="65" spans="2:70">
      <c r="B65" s="39"/>
      <c r="C65" s="75">
        <v>59</v>
      </c>
      <c r="D65" s="146">
        <f>ETo!$I64*((1-Constantes!$F$19)*ETo!$K64+ETo!$L64)</f>
        <v>4.4119963401423634</v>
      </c>
      <c r="E65" s="76">
        <f>MIN(D65*Constantes!$F$17,0.8*(N64+Observaciones!$F64-F65-M65-Constantes!$D$14))</f>
        <v>2.5162133873112689</v>
      </c>
      <c r="F65" s="76">
        <f>IF(Observaciones!$F64&gt;0.05*Constantes!$F$18,((Observaciones!$F64-0.05*Constantes!$F$18)^2)/(Observaciones!$F64+0.95*Constantes!$F$18),0)</f>
        <v>0</v>
      </c>
      <c r="G65" s="76">
        <f>IF(Escenarios!$F$11&gt;0,(F65*Escenarios!$F$16*10000)/1000,0)</f>
        <v>0</v>
      </c>
      <c r="H65" s="76">
        <f>IF(Escenarios!$F$11&gt;0,(Observaciones!$F64*Constantes!$F$29)/1000,0)</f>
        <v>0</v>
      </c>
      <c r="I65" s="76">
        <f>IF(Escenarios!$F$11&gt;0,(D65*Constantes!$F$29)/1000,0)</f>
        <v>0</v>
      </c>
      <c r="J65" s="76">
        <f>IF(Escenarios!$F$11&gt;0,MAX(0,G65+H65-I65),0)</f>
        <v>0</v>
      </c>
      <c r="K65" s="76">
        <f>IF(Escenarios!$F$11&gt;0,IF(J65&gt;Constantes!$F$30,1000*((J65-Constantes!$F$30)/(Escenarios!$F$16*10000)),0),F65)</f>
        <v>0</v>
      </c>
      <c r="L65" s="76">
        <f>IF(Escenarios!$F$11&gt;0,I65*1000/Escenarios!$F$16/10000+E65,E65)</f>
        <v>2.5162133873112689</v>
      </c>
      <c r="M65" s="76">
        <f>MAX(0,N64+Observaciones!$F64-K65-Constantes!$D$13)</f>
        <v>0</v>
      </c>
      <c r="N65" s="76">
        <f>N64+Observaciones!$F64-K65-L65-M65-O64</f>
        <v>33.058610875822559</v>
      </c>
      <c r="O65" s="76">
        <f>MAX(0,(N65-Constantes!$D$14)*(1-EXP(-Constantes!$D$22)))</f>
        <v>0.74288134748005463</v>
      </c>
      <c r="P65" s="170">
        <f>P64+(Entradas!$F$83*M65-Q64)/(800*Entradas!$D$25)</f>
        <v>0</v>
      </c>
      <c r="Q65" s="170">
        <f>8000*Entradas!$D$26*P65/Constantes!$F$45</f>
        <v>0</v>
      </c>
      <c r="R65" s="170">
        <f>IF(Escenarios!$F$14&gt;0,K65*Escenarios!$F$13/Escenarios!$F$14,0)</f>
        <v>0</v>
      </c>
      <c r="S65" s="170">
        <f>IF(Escenarios!$F$14&gt;0,Q65*Escenarios!$F$13/Escenarios!$F$14,0)</f>
        <v>0</v>
      </c>
      <c r="T65" s="170">
        <f>IF(Escenarios!$F$14&gt;0,Observaciones!$I64,0)</f>
        <v>0</v>
      </c>
      <c r="U65" s="170">
        <f>IF(Escenarios!$F$14&gt;0,MAX(0,Constantes!$F$36/((Z64+R65+S65+T65+Observaciones!$F64)^2)+Entradas!$F$77),0)</f>
        <v>2.1629406019437591</v>
      </c>
      <c r="V65" s="146">
        <f>IF(ETo!D64&gt;0,ETo!I64*((1-Entradas!$F$81)*ETo!K64+ETo!L64),0)</f>
        <v>3.9182401000254474</v>
      </c>
      <c r="W65" s="170">
        <f>IF(Escenarios!$F$14&gt;0,MIN(V65*1,0.8*(Z64+R65+S65+T65+Observaciones!$F64-U65-Constantes!$F$35)),0)</f>
        <v>3.9182401000254474</v>
      </c>
      <c r="X65" s="170">
        <f>IF(Escenarios!$F$14&gt;0,Observaciones!$J64,0)</f>
        <v>0</v>
      </c>
      <c r="Y65" s="170">
        <f>IF(Escenarios!$F$14&gt;0,MAX(0,Z64+R65+S65+T65+Observaciones!$F64-U65-W65-X65-Constantes!$F$33),0)</f>
        <v>0</v>
      </c>
      <c r="Z65" s="170">
        <f>Z64+R65+S65+T65+Observaciones!$F64-U65-W65-Y65</f>
        <v>104.66744738448999</v>
      </c>
      <c r="AA65" s="170">
        <f>IF(Escenarios!$F$14&gt;0,(Escenarios!$F$13*L65+Escenarios!$F$14*W65)/(Escenarios!$F$16),L65)</f>
        <v>2.6844565928369701</v>
      </c>
      <c r="AB65" s="170">
        <f>IF(Escenarios!$F$14&gt;0,(Escenarios!$F$14*Y65)/(Escenarios!$F$16),K65)</f>
        <v>0</v>
      </c>
      <c r="AC65" s="170">
        <f>IF(Escenarios!$F$14&gt;0,(Escenarios!$F$13*M65+Escenarios!$F$14*U65)/(Escenarios!$F$16),M65)</f>
        <v>0.25955287223325108</v>
      </c>
      <c r="AD65" s="76">
        <f t="shared" si="1"/>
        <v>138.76495033524048</v>
      </c>
      <c r="AE65" s="76">
        <f>MAX(0,(AD65-Constantes!$D$13)*(1-EXP(-Constantes!$D$23)))</f>
        <v>0.88693874554391816</v>
      </c>
      <c r="AF65" s="76">
        <f>AB65+O65*Escenarios!$F$13/Escenarios!$F$16+AE65</f>
        <v>1.5406743313263662</v>
      </c>
      <c r="AG65" s="76">
        <f>IF(Entradas!$F$91&gt;0,IF(AF65-Escenarios!$F$38&lt;=0,0,IF(AF65-Escenarios!$F$38&gt;Escenarios!$F$37,Escenarios!$F$37,AF65-Escenarios!$F$38)),0)</f>
        <v>0.50387433132636628</v>
      </c>
      <c r="AH65" s="76">
        <f>AG65*Entradas!$F$99</f>
        <v>0</v>
      </c>
      <c r="AI65" s="76">
        <f>IF(Entradas!$F$91&gt;0,D65*Entradas!$D$23/Escenarios!$F$16,0)</f>
        <v>0.21177582432683345</v>
      </c>
      <c r="AJ65" s="76">
        <f>IF(Entradas!$F$91&gt;0,Entradas!$D$24*Entradas!$D$22/Escenarios!$F$16,0)</f>
        <v>0.12</v>
      </c>
      <c r="AK65" s="76">
        <f t="shared" si="2"/>
        <v>2.8962324171638034</v>
      </c>
      <c r="AL65" s="76">
        <f t="shared" si="3"/>
        <v>0</v>
      </c>
      <c r="AM65" s="76">
        <f t="shared" si="4"/>
        <v>0.50387433132636628</v>
      </c>
      <c r="AN65" s="76">
        <f>MAX(0,O65*Escenarios!$F$13/Escenarios!$F$16-AM65)</f>
        <v>0.14986125445608178</v>
      </c>
      <c r="AO65" s="76">
        <f>AM65+AN65-O65*Escenarios!$F$13/Escenarios!$F$16</f>
        <v>0</v>
      </c>
      <c r="AP65" s="76">
        <f t="shared" si="5"/>
        <v>0.88693874554391816</v>
      </c>
      <c r="AQ65" s="76">
        <f t="shared" si="6"/>
        <v>0</v>
      </c>
      <c r="AR65" s="76">
        <f t="shared" si="7"/>
        <v>1.0367999999999999</v>
      </c>
      <c r="AS65" s="76">
        <f t="shared" si="8"/>
        <v>0.17209850699953283</v>
      </c>
      <c r="AT65" s="76">
        <f t="shared" si="9"/>
        <v>0.4316513792327839</v>
      </c>
      <c r="AU65" s="76">
        <f t="shared" si="10"/>
        <v>52.077205842029841</v>
      </c>
      <c r="AV65" s="76">
        <f>MAX(0,(AU65-Constantes!$D$13)*(1-EXP(-Constantes!$D$24)))</f>
        <v>5.0857163333429906E-2</v>
      </c>
      <c r="AW65" s="170">
        <f>AW64+(Entradas!$F$112*AT65-AX64)/(800*Entradas!$D$25)</f>
        <v>0</v>
      </c>
      <c r="AX65" s="170">
        <f>8000*Entradas!$D$26*AW65/Constantes!$F$45</f>
        <v>0</v>
      </c>
      <c r="AY65" s="170">
        <f>IF(Escenarios!$F$17&gt;0,10*Escenarios!$F$16*AL65,0)</f>
        <v>0</v>
      </c>
      <c r="AZ65" s="170">
        <f>IF(Escenarios!$F$17&gt;0,10*Escenarios!$F$16*AX65,0)</f>
        <v>0</v>
      </c>
      <c r="BA65" s="170">
        <f>IF(Escenarios!$F$17&gt;0,0.001*Observaciones!$F64*Escenarios!$F$17,0)</f>
        <v>0</v>
      </c>
      <c r="BB65" s="170">
        <f>IF(Escenarios!$F$17&gt;0,Observaciones!$K64,0)</f>
        <v>0</v>
      </c>
      <c r="BC65" s="170">
        <f>IF(Escenarios!$F$17&gt;0,MIN(0.0005*ETo!$M64*Escenarios!$F$17*(BG64/Constantes!$F$40)^(2/3),BG64+AY65+AZ65+BA65+BB65),0)</f>
        <v>0</v>
      </c>
      <c r="BD65" s="170">
        <f>IF(Escenarios!$F$17&gt;0,MIN(Constantes!$F$39*(BG64/Constantes!$F$40)^(2/3),BG64+AY65+AZ65+BA65+BB65-BC65),0)</f>
        <v>0</v>
      </c>
      <c r="BE65" s="170">
        <f>IF(Escenarios!$F$17&gt;0,MIN(Entradas!$F$113,BG64+AY65+AZ65+BA65+BB65-BC65-BD65),0)</f>
        <v>0</v>
      </c>
      <c r="BF65" s="170">
        <f>IF(Escenarios!$F$17&gt;0,MAX(0,BG64+AY65+AZ65+BA65+BB65-BC65-BD65-BE65-Constantes!$F$40),0)</f>
        <v>0</v>
      </c>
      <c r="BG65" s="170">
        <f t="shared" si="11"/>
        <v>0</v>
      </c>
      <c r="BH65" s="170">
        <f>(Escenarios!$F$16*AK65+0.1*BC65)/(Escenarios!$F$19)</f>
        <v>2.8962324171638034</v>
      </c>
      <c r="BI65" s="170">
        <f>IF(Escenarios!$F$17&gt;0,BF65/10/Escenarios!$F$19,AL65)</f>
        <v>0</v>
      </c>
      <c r="BJ65" s="170">
        <f>(Escenarios!$F$16*AT65+0.1*BD65)/(Escenarios!$F$19)</f>
        <v>0.4316513792327839</v>
      </c>
      <c r="BK65" s="76">
        <f>BK64+(0.1*BD65)/(Escenarios!$F$19)-BL64</f>
        <v>48.75</v>
      </c>
      <c r="BL65" s="76">
        <f>MAX(0,(BK65-Constantes!$D$13)*(1-EXP(-Constantes!$D$23)))</f>
        <v>0</v>
      </c>
      <c r="BM65" s="76">
        <f t="shared" si="12"/>
        <v>0.93779590887734809</v>
      </c>
      <c r="BN65" s="76">
        <f t="shared" si="13"/>
        <v>1.0876571633334298</v>
      </c>
      <c r="BO65" s="76">
        <f>0.0526*BI65*Observaciones!$F64^1.218</f>
        <v>0</v>
      </c>
      <c r="BP65" s="76">
        <f>BO65*Constantes!$F$51</f>
        <v>0</v>
      </c>
      <c r="BQ65" s="76">
        <f t="shared" si="14"/>
        <v>0</v>
      </c>
      <c r="BR65" s="40"/>
    </row>
    <row r="66" spans="2:70">
      <c r="B66" s="39"/>
      <c r="C66" s="75">
        <v>60</v>
      </c>
      <c r="D66" s="146">
        <f>ETo!$I65*((1-Constantes!$F$19)*ETo!$K65+ETo!$L65)</f>
        <v>4.4080928702561204</v>
      </c>
      <c r="E66" s="76">
        <f>MIN(D66*Constantes!$F$17,0.8*(N65+Observaciones!$F65-F66-M66-Constantes!$D$14))</f>
        <v>2.5139871925396715</v>
      </c>
      <c r="F66" s="76">
        <f>IF(Observaciones!$F65&gt;0.05*Constantes!$F$18,((Observaciones!$F65-0.05*Constantes!$F$18)^2)/(Observaciones!$F65+0.95*Constantes!$F$18),0)</f>
        <v>0</v>
      </c>
      <c r="G66" s="76">
        <f>IF(Escenarios!$F$11&gt;0,(F66*Escenarios!$F$16*10000)/1000,0)</f>
        <v>0</v>
      </c>
      <c r="H66" s="76">
        <f>IF(Escenarios!$F$11&gt;0,(Observaciones!$F65*Constantes!$F$29)/1000,0)</f>
        <v>0</v>
      </c>
      <c r="I66" s="76">
        <f>IF(Escenarios!$F$11&gt;0,(D66*Constantes!$F$29)/1000,0)</f>
        <v>0</v>
      </c>
      <c r="J66" s="76">
        <f>IF(Escenarios!$F$11&gt;0,MAX(0,G66+H66-I66),0)</f>
        <v>0</v>
      </c>
      <c r="K66" s="76">
        <f>IF(Escenarios!$F$11&gt;0,IF(J66&gt;Constantes!$F$30,1000*((J66-Constantes!$F$30)/(Escenarios!$F$16*10000)),0),F66)</f>
        <v>0</v>
      </c>
      <c r="L66" s="76">
        <f>IF(Escenarios!$F$11&gt;0,I66*1000/Escenarios!$F$16/10000+E66,E66)</f>
        <v>2.5139871925396715</v>
      </c>
      <c r="M66" s="76">
        <f>MAX(0,N65+Observaciones!$F65-K66-Constantes!$D$13)</f>
        <v>0</v>
      </c>
      <c r="N66" s="76">
        <f>N65+Observaciones!$F65-K66-L66-M66-O65</f>
        <v>29.801742335802832</v>
      </c>
      <c r="O66" s="76">
        <f>MAX(0,(N66-Constantes!$D$14)*(1-EXP(-Constantes!$D$22)))</f>
        <v>0.6319404487978042</v>
      </c>
      <c r="P66" s="170">
        <f>P65+(Entradas!$F$83*M66-Q65)/(800*Entradas!$D$25)</f>
        <v>0</v>
      </c>
      <c r="Q66" s="170">
        <f>8000*Entradas!$D$26*P66/Constantes!$F$45</f>
        <v>0</v>
      </c>
      <c r="R66" s="170">
        <f>IF(Escenarios!$F$14&gt;0,K66*Escenarios!$F$13/Escenarios!$F$14,0)</f>
        <v>0</v>
      </c>
      <c r="S66" s="170">
        <f>IF(Escenarios!$F$14&gt;0,Q66*Escenarios!$F$13/Escenarios!$F$14,0)</f>
        <v>0</v>
      </c>
      <c r="T66" s="170">
        <f>IF(Escenarios!$F$14&gt;0,Observaciones!$I65,0)</f>
        <v>0</v>
      </c>
      <c r="U66" s="170">
        <f>IF(Escenarios!$F$14&gt;0,MAX(0,Constantes!$F$36/((Z65+R66+S66+T66+Observaciones!$F65)^2)+Entradas!$F$77),0)</f>
        <v>2.0628486798159442</v>
      </c>
      <c r="V66" s="146">
        <f>IF(ETo!D65&gt;0,ETo!I65*((1-Entradas!$F$81)*ETo!K65+ETo!L65),0)</f>
        <v>3.9146000808078369</v>
      </c>
      <c r="W66" s="170">
        <f>IF(Escenarios!$F$14&gt;0,MIN(V66*1,0.8*(Z65+R66+S66+T66+Observaciones!$F65-U66-Constantes!$F$35)),0)</f>
        <v>3.9146000808078369</v>
      </c>
      <c r="X66" s="170">
        <f>IF(Escenarios!$F$14&gt;0,Observaciones!$J65,0)</f>
        <v>0</v>
      </c>
      <c r="Y66" s="170">
        <f>IF(Escenarios!$F$14&gt;0,MAX(0,Z65+R66+S66+T66+Observaciones!$F65-U66-W66-X66-Constantes!$F$33),0)</f>
        <v>0</v>
      </c>
      <c r="Z66" s="170">
        <f>Z65+R66+S66+T66+Observaciones!$F65-U66-W66-Y66</f>
        <v>98.689998623866217</v>
      </c>
      <c r="AA66" s="170">
        <f>IF(Escenarios!$F$14&gt;0,(Escenarios!$F$13*L66+Escenarios!$F$14*W66)/(Escenarios!$F$16),L66)</f>
        <v>2.6820607391318516</v>
      </c>
      <c r="AB66" s="170">
        <f>IF(Escenarios!$F$14&gt;0,(Escenarios!$F$14*Y66)/(Escenarios!$F$16),K66)</f>
        <v>0</v>
      </c>
      <c r="AC66" s="170">
        <f>IF(Escenarios!$F$14&gt;0,(Escenarios!$F$13*M66+Escenarios!$F$14*U66)/(Escenarios!$F$16),M66)</f>
        <v>0.24754184157791331</v>
      </c>
      <c r="AD66" s="76">
        <f t="shared" si="1"/>
        <v>138.12555343127448</v>
      </c>
      <c r="AE66" s="76">
        <f>MAX(0,(AD66-Constantes!$D$13)*(1-EXP(-Constantes!$D$23)))</f>
        <v>0.88063861555666367</v>
      </c>
      <c r="AF66" s="76">
        <f>AB66+O66*Escenarios!$F$13/Escenarios!$F$16+AE66</f>
        <v>1.4367462104987314</v>
      </c>
      <c r="AG66" s="76">
        <f>IF(Entradas!$F$91&gt;0,IF(AF66-Escenarios!$F$38&lt;=0,0,IF(AF66-Escenarios!$F$38&gt;Escenarios!$F$37,Escenarios!$F$37,AF66-Escenarios!$F$38)),0)</f>
        <v>0.39994621049873147</v>
      </c>
      <c r="AH66" s="76">
        <f>AG66*Entradas!$F$99</f>
        <v>0</v>
      </c>
      <c r="AI66" s="76">
        <f>IF(Entradas!$F$91&gt;0,D66*Entradas!$D$23/Escenarios!$F$16,0)</f>
        <v>0.21158845777229379</v>
      </c>
      <c r="AJ66" s="76">
        <f>IF(Entradas!$F$91&gt;0,Entradas!$D$24*Entradas!$D$22/Escenarios!$F$16,0)</f>
        <v>0.12</v>
      </c>
      <c r="AK66" s="76">
        <f t="shared" si="2"/>
        <v>2.8936491969041453</v>
      </c>
      <c r="AL66" s="76">
        <f t="shared" si="3"/>
        <v>0</v>
      </c>
      <c r="AM66" s="76">
        <f t="shared" si="4"/>
        <v>0.39994621049873147</v>
      </c>
      <c r="AN66" s="76">
        <f>MAX(0,O66*Escenarios!$F$13/Escenarios!$F$16-AM66)</f>
        <v>0.15616138444333627</v>
      </c>
      <c r="AO66" s="76">
        <f>AM66+AN66-O66*Escenarios!$F$13/Escenarios!$F$16</f>
        <v>0</v>
      </c>
      <c r="AP66" s="76">
        <f t="shared" si="5"/>
        <v>0.88063861555666367</v>
      </c>
      <c r="AQ66" s="76">
        <f t="shared" si="6"/>
        <v>0</v>
      </c>
      <c r="AR66" s="76">
        <f t="shared" si="7"/>
        <v>1.0367999999999999</v>
      </c>
      <c r="AS66" s="76">
        <f t="shared" si="8"/>
        <v>6.8357752726437682E-2</v>
      </c>
      <c r="AT66" s="76">
        <f t="shared" si="9"/>
        <v>0.31589959430435099</v>
      </c>
      <c r="AU66" s="76">
        <f t="shared" si="10"/>
        <v>52.094706431422843</v>
      </c>
      <c r="AV66" s="76">
        <f>MAX(0,(AU66-Constantes!$D$13)*(1-EXP(-Constantes!$D$24)))</f>
        <v>5.1124664166095013E-2</v>
      </c>
      <c r="AW66" s="170">
        <f>AW65+(Entradas!$F$112*AT66-AX65)/(800*Entradas!$D$25)</f>
        <v>0</v>
      </c>
      <c r="AX66" s="170">
        <f>8000*Entradas!$D$26*AW66/Constantes!$F$45</f>
        <v>0</v>
      </c>
      <c r="AY66" s="170">
        <f>IF(Escenarios!$F$17&gt;0,10*Escenarios!$F$16*AL66,0)</f>
        <v>0</v>
      </c>
      <c r="AZ66" s="170">
        <f>IF(Escenarios!$F$17&gt;0,10*Escenarios!$F$16*AX66,0)</f>
        <v>0</v>
      </c>
      <c r="BA66" s="170">
        <f>IF(Escenarios!$F$17&gt;0,0.001*Observaciones!$F65*Escenarios!$F$17,0)</f>
        <v>0</v>
      </c>
      <c r="BB66" s="170">
        <f>IF(Escenarios!$F$17&gt;0,Observaciones!$K65,0)</f>
        <v>0</v>
      </c>
      <c r="BC66" s="170">
        <f>IF(Escenarios!$F$17&gt;0,MIN(0.0005*ETo!$M65*Escenarios!$F$17*(BG65/Constantes!$F$40)^(2/3),BG65+AY66+AZ66+BA66+BB66),0)</f>
        <v>0</v>
      </c>
      <c r="BD66" s="170">
        <f>IF(Escenarios!$F$17&gt;0,MIN(Constantes!$F$39*(BG65/Constantes!$F$40)^(2/3),BG65+AY66+AZ66+BA66+BB66-BC66),0)</f>
        <v>0</v>
      </c>
      <c r="BE66" s="170">
        <f>IF(Escenarios!$F$17&gt;0,MIN(Entradas!$F$113,BG65+AY66+AZ66+BA66+BB66-BC66-BD66),0)</f>
        <v>0</v>
      </c>
      <c r="BF66" s="170">
        <f>IF(Escenarios!$F$17&gt;0,MAX(0,BG65+AY66+AZ66+BA66+BB66-BC66-BD66-BE66-Constantes!$F$40),0)</f>
        <v>0</v>
      </c>
      <c r="BG66" s="170">
        <f t="shared" si="11"/>
        <v>0</v>
      </c>
      <c r="BH66" s="170">
        <f>(Escenarios!$F$16*AK66+0.1*BC66)/(Escenarios!$F$19)</f>
        <v>2.8936491969041453</v>
      </c>
      <c r="BI66" s="170">
        <f>IF(Escenarios!$F$17&gt;0,BF66/10/Escenarios!$F$19,AL66)</f>
        <v>0</v>
      </c>
      <c r="BJ66" s="170">
        <f>(Escenarios!$F$16*AT66+0.1*BD66)/(Escenarios!$F$19)</f>
        <v>0.31589959430435099</v>
      </c>
      <c r="BK66" s="76">
        <f>BK65+(0.1*BD66)/(Escenarios!$F$19)-BL65</f>
        <v>48.75</v>
      </c>
      <c r="BL66" s="76">
        <f>MAX(0,(BK66-Constantes!$D$13)*(1-EXP(-Constantes!$D$23)))</f>
        <v>0</v>
      </c>
      <c r="BM66" s="76">
        <f t="shared" si="12"/>
        <v>0.93176327972275863</v>
      </c>
      <c r="BN66" s="76">
        <f t="shared" si="13"/>
        <v>1.0879246641660949</v>
      </c>
      <c r="BO66" s="76">
        <f>0.0526*BI66*Observaciones!$F65^1.218</f>
        <v>0</v>
      </c>
      <c r="BP66" s="76">
        <f>BO66*Constantes!$F$51</f>
        <v>0</v>
      </c>
      <c r="BQ66" s="76">
        <f t="shared" si="14"/>
        <v>0</v>
      </c>
      <c r="BR66" s="40"/>
    </row>
    <row r="67" spans="2:70">
      <c r="B67" s="39"/>
      <c r="C67" s="75">
        <v>61</v>
      </c>
      <c r="D67" s="146">
        <f>ETo!$I66*((1-Constantes!$F$19)*ETo!$K66+ETo!$L66)</f>
        <v>4.363386950924256</v>
      </c>
      <c r="E67" s="76">
        <f>MIN(D67*Constantes!$F$17,0.8*(N66+Observaciones!$F66-F67-M67-Constantes!$D$14))</f>
        <v>2.4884908811099877</v>
      </c>
      <c r="F67" s="76">
        <f>IF(Observaciones!$F66&gt;0.05*Constantes!$F$18,((Observaciones!$F66-0.05*Constantes!$F$18)^2)/(Observaciones!$F66+0.95*Constantes!$F$18),0)</f>
        <v>0</v>
      </c>
      <c r="G67" s="76">
        <f>IF(Escenarios!$F$11&gt;0,(F67*Escenarios!$F$16*10000)/1000,0)</f>
        <v>0</v>
      </c>
      <c r="H67" s="76">
        <f>IF(Escenarios!$F$11&gt;0,(Observaciones!$F66*Constantes!$F$29)/1000,0)</f>
        <v>0</v>
      </c>
      <c r="I67" s="76">
        <f>IF(Escenarios!$F$11&gt;0,(D67*Constantes!$F$29)/1000,0)</f>
        <v>0</v>
      </c>
      <c r="J67" s="76">
        <f>IF(Escenarios!$F$11&gt;0,MAX(0,G67+H67-I67),0)</f>
        <v>0</v>
      </c>
      <c r="K67" s="76">
        <f>IF(Escenarios!$F$11&gt;0,IF(J67&gt;Constantes!$F$30,1000*((J67-Constantes!$F$30)/(Escenarios!$F$16*10000)),0),F67)</f>
        <v>0</v>
      </c>
      <c r="L67" s="76">
        <f>IF(Escenarios!$F$11&gt;0,I67*1000/Escenarios!$F$16/10000+E67,E67)</f>
        <v>2.4884908811099877</v>
      </c>
      <c r="M67" s="76">
        <f>MAX(0,N66+Observaciones!$F66-K67-Constantes!$D$13)</f>
        <v>0</v>
      </c>
      <c r="N67" s="76">
        <f>N66+Observaciones!$F66-K67-L67-M67-O66</f>
        <v>30.081311005895042</v>
      </c>
      <c r="O67" s="76">
        <f>MAX(0,(N67-Constantes!$D$14)*(1-EXP(-Constantes!$D$22)))</f>
        <v>0.6414635840187437</v>
      </c>
      <c r="P67" s="170">
        <f>P66+(Entradas!$F$83*M67-Q66)/(800*Entradas!$D$25)</f>
        <v>0</v>
      </c>
      <c r="Q67" s="170">
        <f>8000*Entradas!$D$26*P67/Constantes!$F$45</f>
        <v>0</v>
      </c>
      <c r="R67" s="170">
        <f>IF(Escenarios!$F$14&gt;0,K67*Escenarios!$F$13/Escenarios!$F$14,0)</f>
        <v>0</v>
      </c>
      <c r="S67" s="170">
        <f>IF(Escenarios!$F$14&gt;0,Q67*Escenarios!$F$13/Escenarios!$F$14,0)</f>
        <v>0</v>
      </c>
      <c r="T67" s="170">
        <f>IF(Escenarios!$F$14&gt;0,Observaciones!$I66,0)</f>
        <v>0</v>
      </c>
      <c r="U67" s="170">
        <f>IF(Escenarios!$F$14&gt;0,MAX(0,Constantes!$F$36/((Z66+R67+S67+T67+Observaciones!$F66)^2)+Entradas!$F$77),0)</f>
        <v>2.014931138655172</v>
      </c>
      <c r="V67" s="146">
        <f>IF(ETo!D66&gt;0,ETo!I66*((1-Entradas!$F$81)*ETo!K66+ETo!L66),0)</f>
        <v>3.8740889731746422</v>
      </c>
      <c r="W67" s="170">
        <f>IF(Escenarios!$F$14&gt;0,MIN(V67*1,0.8*(Z66+R67+S67+T67+Observaciones!$F66-U67-Constantes!$F$35)),0)</f>
        <v>3.8740889731746422</v>
      </c>
      <c r="X67" s="170">
        <f>IF(Escenarios!$F$14&gt;0,Observaciones!$J66,0)</f>
        <v>0</v>
      </c>
      <c r="Y67" s="170">
        <f>IF(Escenarios!$F$14&gt;0,MAX(0,Z66+R67+S67+T67+Observaciones!$F66-U67-W67-X67-Constantes!$F$33),0)</f>
        <v>0</v>
      </c>
      <c r="Z67" s="170">
        <f>Z66+R67+S67+T67+Observaciones!$F66-U67-W67-Y67</f>
        <v>96.200978512036414</v>
      </c>
      <c r="AA67" s="170">
        <f>IF(Escenarios!$F$14&gt;0,(Escenarios!$F$13*L67+Escenarios!$F$14*W67)/(Escenarios!$F$16),L67)</f>
        <v>2.6547626521577463</v>
      </c>
      <c r="AB67" s="170">
        <f>IF(Escenarios!$F$14&gt;0,(Escenarios!$F$14*Y67)/(Escenarios!$F$16),K67)</f>
        <v>0</v>
      </c>
      <c r="AC67" s="170">
        <f>IF(Escenarios!$F$14&gt;0,(Escenarios!$F$13*M67+Escenarios!$F$14*U67)/(Escenarios!$F$16),M67)</f>
        <v>0.24179173663862064</v>
      </c>
      <c r="AD67" s="76">
        <f t="shared" si="1"/>
        <v>137.48670655235642</v>
      </c>
      <c r="AE67" s="76">
        <f>MAX(0,(AD67-Constantes!$D$13)*(1-EXP(-Constantes!$D$23)))</f>
        <v>0.87434390509721227</v>
      </c>
      <c r="AF67" s="76">
        <f>AB67+O67*Escenarios!$F$13/Escenarios!$F$16+AE67</f>
        <v>1.4388318590337068</v>
      </c>
      <c r="AG67" s="76">
        <f>IF(Entradas!$F$91&gt;0,IF(AF67-Escenarios!$F$38&lt;=0,0,IF(AF67-Escenarios!$F$38&gt;Escenarios!$F$37,Escenarios!$F$37,AF67-Escenarios!$F$38)),0)</f>
        <v>0.40203185903370686</v>
      </c>
      <c r="AH67" s="76">
        <f>AG67*Entradas!$F$99</f>
        <v>0</v>
      </c>
      <c r="AI67" s="76">
        <f>IF(Entradas!$F$91&gt;0,D67*Entradas!$D$23/Escenarios!$F$16,0)</f>
        <v>0.2094425736443643</v>
      </c>
      <c r="AJ67" s="76">
        <f>IF(Entradas!$F$91&gt;0,Entradas!$D$24*Entradas!$D$22/Escenarios!$F$16,0)</f>
        <v>0.12</v>
      </c>
      <c r="AK67" s="76">
        <f t="shared" si="2"/>
        <v>2.8642052258021105</v>
      </c>
      <c r="AL67" s="76">
        <f t="shared" si="3"/>
        <v>0</v>
      </c>
      <c r="AM67" s="76">
        <f t="shared" si="4"/>
        <v>0.40203185903370686</v>
      </c>
      <c r="AN67" s="76">
        <f>MAX(0,O67*Escenarios!$F$13/Escenarios!$F$16-AM67)</f>
        <v>0.16245609490278756</v>
      </c>
      <c r="AO67" s="76">
        <f>AM67+AN67-O67*Escenarios!$F$13/Escenarios!$F$16</f>
        <v>0</v>
      </c>
      <c r="AP67" s="76">
        <f t="shared" si="5"/>
        <v>0.87434390509721227</v>
      </c>
      <c r="AQ67" s="76">
        <f t="shared" si="6"/>
        <v>0</v>
      </c>
      <c r="AR67" s="76">
        <f t="shared" si="7"/>
        <v>1.0367999999999999</v>
      </c>
      <c r="AS67" s="76">
        <f t="shared" si="8"/>
        <v>7.2589285389342562E-2</v>
      </c>
      <c r="AT67" s="76">
        <f t="shared" si="9"/>
        <v>0.3143810220279632</v>
      </c>
      <c r="AU67" s="76">
        <f t="shared" si="10"/>
        <v>52.116171052646088</v>
      </c>
      <c r="AV67" s="76">
        <f>MAX(0,(AU67-Constantes!$D$13)*(1-EXP(-Constantes!$D$24)))</f>
        <v>5.1452756204661165E-2</v>
      </c>
      <c r="AW67" s="170">
        <f>AW66+(Entradas!$F$112*AT67-AX66)/(800*Entradas!$D$25)</f>
        <v>0</v>
      </c>
      <c r="AX67" s="170">
        <f>8000*Entradas!$D$26*AW67/Constantes!$F$45</f>
        <v>0</v>
      </c>
      <c r="AY67" s="170">
        <f>IF(Escenarios!$F$17&gt;0,10*Escenarios!$F$16*AL67,0)</f>
        <v>0</v>
      </c>
      <c r="AZ67" s="170">
        <f>IF(Escenarios!$F$17&gt;0,10*Escenarios!$F$16*AX67,0)</f>
        <v>0</v>
      </c>
      <c r="BA67" s="170">
        <f>IF(Escenarios!$F$17&gt;0,0.001*Observaciones!$F66*Escenarios!$F$17,0)</f>
        <v>0</v>
      </c>
      <c r="BB67" s="170">
        <f>IF(Escenarios!$F$17&gt;0,Observaciones!$K66,0)</f>
        <v>0</v>
      </c>
      <c r="BC67" s="170">
        <f>IF(Escenarios!$F$17&gt;0,MIN(0.0005*ETo!$M66*Escenarios!$F$17*(BG66/Constantes!$F$40)^(2/3),BG66+AY67+AZ67+BA67+BB67),0)</f>
        <v>0</v>
      </c>
      <c r="BD67" s="170">
        <f>IF(Escenarios!$F$17&gt;0,MIN(Constantes!$F$39*(BG66/Constantes!$F$40)^(2/3),BG66+AY67+AZ67+BA67+BB67-BC67),0)</f>
        <v>0</v>
      </c>
      <c r="BE67" s="170">
        <f>IF(Escenarios!$F$17&gt;0,MIN(Entradas!$F$113,BG66+AY67+AZ67+BA67+BB67-BC67-BD67),0)</f>
        <v>0</v>
      </c>
      <c r="BF67" s="170">
        <f>IF(Escenarios!$F$17&gt;0,MAX(0,BG66+AY67+AZ67+BA67+BB67-BC67-BD67-BE67-Constantes!$F$40),0)</f>
        <v>0</v>
      </c>
      <c r="BG67" s="170">
        <f t="shared" si="11"/>
        <v>0</v>
      </c>
      <c r="BH67" s="170">
        <f>(Escenarios!$F$16*AK67+0.1*BC67)/(Escenarios!$F$19)</f>
        <v>2.8642052258021105</v>
      </c>
      <c r="BI67" s="170">
        <f>IF(Escenarios!$F$17&gt;0,BF67/10/Escenarios!$F$19,AL67)</f>
        <v>0</v>
      </c>
      <c r="BJ67" s="170">
        <f>(Escenarios!$F$16*AT67+0.1*BD67)/(Escenarios!$F$19)</f>
        <v>0.3143810220279632</v>
      </c>
      <c r="BK67" s="76">
        <f>BK66+(0.1*BD67)/(Escenarios!$F$19)-BL66</f>
        <v>48.75</v>
      </c>
      <c r="BL67" s="76">
        <f>MAX(0,(BK67-Constantes!$D$13)*(1-EXP(-Constantes!$D$23)))</f>
        <v>0</v>
      </c>
      <c r="BM67" s="76">
        <f t="shared" si="12"/>
        <v>0.92579666130187344</v>
      </c>
      <c r="BN67" s="76">
        <f t="shared" si="13"/>
        <v>1.0882527562046611</v>
      </c>
      <c r="BO67" s="76">
        <f>0.0526*BI67*Observaciones!$F66^1.218</f>
        <v>0</v>
      </c>
      <c r="BP67" s="76">
        <f>BO67*Constantes!$F$51</f>
        <v>0</v>
      </c>
      <c r="BQ67" s="76">
        <f t="shared" si="14"/>
        <v>0</v>
      </c>
      <c r="BR67" s="40"/>
    </row>
    <row r="68" spans="2:70">
      <c r="B68" s="39"/>
      <c r="C68" s="75">
        <v>62</v>
      </c>
      <c r="D68" s="146">
        <f>ETo!$I67*((1-Constantes!$F$19)*ETo!$K67+ETo!$L67)</f>
        <v>4.3544599338551633</v>
      </c>
      <c r="E68" s="76">
        <f>MIN(D68*Constantes!$F$17,0.8*(N67+Observaciones!$F67-F68-M68-Constantes!$D$14))</f>
        <v>2.4833996983151079</v>
      </c>
      <c r="F68" s="76">
        <f>IF(Observaciones!$F67&gt;0.05*Constantes!$F$18,((Observaciones!$F67-0.05*Constantes!$F$18)^2)/(Observaciones!$F67+0.95*Constantes!$F$18),0)</f>
        <v>0</v>
      </c>
      <c r="G68" s="76">
        <f>IF(Escenarios!$F$11&gt;0,(F68*Escenarios!$F$16*10000)/1000,0)</f>
        <v>0</v>
      </c>
      <c r="H68" s="76">
        <f>IF(Escenarios!$F$11&gt;0,(Observaciones!$F67*Constantes!$F$29)/1000,0)</f>
        <v>0</v>
      </c>
      <c r="I68" s="76">
        <f>IF(Escenarios!$F$11&gt;0,(D68*Constantes!$F$29)/1000,0)</f>
        <v>0</v>
      </c>
      <c r="J68" s="76">
        <f>IF(Escenarios!$F$11&gt;0,MAX(0,G68+H68-I68),0)</f>
        <v>0</v>
      </c>
      <c r="K68" s="76">
        <f>IF(Escenarios!$F$11&gt;0,IF(J68&gt;Constantes!$F$30,1000*((J68-Constantes!$F$30)/(Escenarios!$F$16*10000)),0),F68)</f>
        <v>0</v>
      </c>
      <c r="L68" s="76">
        <f>IF(Escenarios!$F$11&gt;0,I68*1000/Escenarios!$F$16/10000+E68,E68)</f>
        <v>2.4833996983151079</v>
      </c>
      <c r="M68" s="76">
        <f>MAX(0,N67+Observaciones!$F67-K68-Constantes!$D$13)</f>
        <v>0</v>
      </c>
      <c r="N68" s="76">
        <f>N67+Observaciones!$F67-K68-L68-M68-O67</f>
        <v>26.95644772356119</v>
      </c>
      <c r="O68" s="76">
        <f>MAX(0,(N68-Constantes!$D$14)*(1-EXP(-Constantes!$D$22)))</f>
        <v>0.53501926901449604</v>
      </c>
      <c r="P68" s="170">
        <f>P67+(Entradas!$F$83*M68-Q67)/(800*Entradas!$D$25)</f>
        <v>0</v>
      </c>
      <c r="Q68" s="170">
        <f>8000*Entradas!$D$26*P68/Constantes!$F$45</f>
        <v>0</v>
      </c>
      <c r="R68" s="170">
        <f>IF(Escenarios!$F$14&gt;0,K68*Escenarios!$F$13/Escenarios!$F$14,0)</f>
        <v>0</v>
      </c>
      <c r="S68" s="170">
        <f>IF(Escenarios!$F$14&gt;0,Q68*Escenarios!$F$13/Escenarios!$F$14,0)</f>
        <v>0</v>
      </c>
      <c r="T68" s="170">
        <f>IF(Escenarios!$F$14&gt;0,Observaciones!$I67,0)</f>
        <v>0</v>
      </c>
      <c r="U68" s="170">
        <f>IF(Escenarios!$F$14&gt;0,MAX(0,Constantes!$F$36/((Z67+R68+S68+T68+Observaciones!$F67)^2)+Entradas!$F$77),0)</f>
        <v>1.8906361547798256</v>
      </c>
      <c r="V68" s="146">
        <f>IF(ETo!D67&gt;0,ETo!I67*((1-Entradas!$F$81)*ETo!K67+ETo!L67),0)</f>
        <v>3.8659009272502276</v>
      </c>
      <c r="W68" s="170">
        <f>IF(Escenarios!$F$14&gt;0,MIN(V68*1,0.8*(Z67+R68+S68+T68+Observaciones!$F67-U68-Constantes!$F$35)),0)</f>
        <v>3.8659009272502276</v>
      </c>
      <c r="X68" s="170">
        <f>IF(Escenarios!$F$14&gt;0,Observaciones!$J67,0)</f>
        <v>0</v>
      </c>
      <c r="Y68" s="170">
        <f>IF(Escenarios!$F$14&gt;0,MAX(0,Z67+R68+S68+T68+Observaciones!$F67-U68-W68-X68-Constantes!$F$33),0)</f>
        <v>0</v>
      </c>
      <c r="Z68" s="170">
        <f>Z67+R68+S68+T68+Observaciones!$F67-U68-W68-Y68</f>
        <v>90.444441430006364</v>
      </c>
      <c r="AA68" s="170">
        <f>IF(Escenarios!$F$14&gt;0,(Escenarios!$F$13*L68+Escenarios!$F$14*W68)/(Escenarios!$F$16),L68)</f>
        <v>2.6492998457873225</v>
      </c>
      <c r="AB68" s="170">
        <f>IF(Escenarios!$F$14&gt;0,(Escenarios!$F$14*Y68)/(Escenarios!$F$16),K68)</f>
        <v>0</v>
      </c>
      <c r="AC68" s="170">
        <f>IF(Escenarios!$F$14&gt;0,(Escenarios!$F$13*M68+Escenarios!$F$14*U68)/(Escenarios!$F$16),M68)</f>
        <v>0.22687633857357906</v>
      </c>
      <c r="AD68" s="76">
        <f t="shared" si="1"/>
        <v>136.83923898583279</v>
      </c>
      <c r="AE68" s="76">
        <f>MAX(0,(AD68-Constantes!$D$13)*(1-EXP(-Constantes!$D$23)))</f>
        <v>0.86796425294949542</v>
      </c>
      <c r="AF68" s="76">
        <f>AB68+O68*Escenarios!$F$13/Escenarios!$F$16+AE68</f>
        <v>1.338781209682252</v>
      </c>
      <c r="AG68" s="76">
        <f>IF(Entradas!$F$91&gt;0,IF(AF68-Escenarios!$F$38&lt;=0,0,IF(AF68-Escenarios!$F$38&gt;Escenarios!$F$37,Escenarios!$F$37,AF68-Escenarios!$F$38)),0)</f>
        <v>0.30198120968225206</v>
      </c>
      <c r="AH68" s="76">
        <f>AG68*Entradas!$F$99</f>
        <v>0</v>
      </c>
      <c r="AI68" s="76">
        <f>IF(Entradas!$F$91&gt;0,D68*Entradas!$D$23/Escenarios!$F$16,0)</f>
        <v>0.20901407682504783</v>
      </c>
      <c r="AJ68" s="76">
        <f>IF(Entradas!$F$91&gt;0,Entradas!$D$24*Entradas!$D$22/Escenarios!$F$16,0)</f>
        <v>0.12</v>
      </c>
      <c r="AK68" s="76">
        <f t="shared" si="2"/>
        <v>2.8583139226123704</v>
      </c>
      <c r="AL68" s="76">
        <f t="shared" si="3"/>
        <v>0</v>
      </c>
      <c r="AM68" s="76">
        <f t="shared" si="4"/>
        <v>0.30198120968225206</v>
      </c>
      <c r="AN68" s="76">
        <f>MAX(0,O68*Escenarios!$F$13/Escenarios!$F$16-AM68)</f>
        <v>0.16883574705050447</v>
      </c>
      <c r="AO68" s="76">
        <f>AM68+AN68-O68*Escenarios!$F$13/Escenarios!$F$16</f>
        <v>0</v>
      </c>
      <c r="AP68" s="76">
        <f t="shared" si="5"/>
        <v>0.86796425294949542</v>
      </c>
      <c r="AQ68" s="76">
        <f t="shared" si="6"/>
        <v>0</v>
      </c>
      <c r="AR68" s="76">
        <f t="shared" si="7"/>
        <v>1.0367999999999999</v>
      </c>
      <c r="AS68" s="76">
        <f t="shared" si="8"/>
        <v>0</v>
      </c>
      <c r="AT68" s="76">
        <f t="shared" si="9"/>
        <v>0.22687633857357906</v>
      </c>
      <c r="AU68" s="76">
        <f t="shared" si="10"/>
        <v>52.064718296441427</v>
      </c>
      <c r="AV68" s="76">
        <f>MAX(0,(AU68-Constantes!$D$13)*(1-EXP(-Constantes!$D$24)))</f>
        <v>5.0666288113868446E-2</v>
      </c>
      <c r="AW68" s="170">
        <f>AW67+(Entradas!$F$112*AT68-AX67)/(800*Entradas!$D$25)</f>
        <v>0</v>
      </c>
      <c r="AX68" s="170">
        <f>8000*Entradas!$D$26*AW68/Constantes!$F$45</f>
        <v>0</v>
      </c>
      <c r="AY68" s="170">
        <f>IF(Escenarios!$F$17&gt;0,10*Escenarios!$F$16*AL68,0)</f>
        <v>0</v>
      </c>
      <c r="AZ68" s="170">
        <f>IF(Escenarios!$F$17&gt;0,10*Escenarios!$F$16*AX68,0)</f>
        <v>0</v>
      </c>
      <c r="BA68" s="170">
        <f>IF(Escenarios!$F$17&gt;0,0.001*Observaciones!$F67*Escenarios!$F$17,0)</f>
        <v>0</v>
      </c>
      <c r="BB68" s="170">
        <f>IF(Escenarios!$F$17&gt;0,Observaciones!$K67,0)</f>
        <v>0</v>
      </c>
      <c r="BC68" s="170">
        <f>IF(Escenarios!$F$17&gt;0,MIN(0.0005*ETo!$M67*Escenarios!$F$17*(BG67/Constantes!$F$40)^(2/3),BG67+AY68+AZ68+BA68+BB68),0)</f>
        <v>0</v>
      </c>
      <c r="BD68" s="170">
        <f>IF(Escenarios!$F$17&gt;0,MIN(Constantes!$F$39*(BG67/Constantes!$F$40)^(2/3),BG67+AY68+AZ68+BA68+BB68-BC68),0)</f>
        <v>0</v>
      </c>
      <c r="BE68" s="170">
        <f>IF(Escenarios!$F$17&gt;0,MIN(Entradas!$F$113,BG67+AY68+AZ68+BA68+BB68-BC68-BD68),0)</f>
        <v>0</v>
      </c>
      <c r="BF68" s="170">
        <f>IF(Escenarios!$F$17&gt;0,MAX(0,BG67+AY68+AZ68+BA68+BB68-BC68-BD68-BE68-Constantes!$F$40),0)</f>
        <v>0</v>
      </c>
      <c r="BG68" s="170">
        <f t="shared" si="11"/>
        <v>0</v>
      </c>
      <c r="BH68" s="170">
        <f>(Escenarios!$F$16*AK68+0.1*BC68)/(Escenarios!$F$19)</f>
        <v>2.8583139226123704</v>
      </c>
      <c r="BI68" s="170">
        <f>IF(Escenarios!$F$17&gt;0,BF68/10/Escenarios!$F$19,AL68)</f>
        <v>0</v>
      </c>
      <c r="BJ68" s="170">
        <f>(Escenarios!$F$16*AT68+0.1*BD68)/(Escenarios!$F$19)</f>
        <v>0.22687633857357906</v>
      </c>
      <c r="BK68" s="76">
        <f>BK67+(0.1*BD68)/(Escenarios!$F$19)-BL67</f>
        <v>48.75</v>
      </c>
      <c r="BL68" s="76">
        <f>MAX(0,(BK68-Constantes!$D$13)*(1-EXP(-Constantes!$D$23)))</f>
        <v>0</v>
      </c>
      <c r="BM68" s="76">
        <f t="shared" si="12"/>
        <v>0.91863054106336384</v>
      </c>
      <c r="BN68" s="76">
        <f t="shared" si="13"/>
        <v>1.0874662881138684</v>
      </c>
      <c r="BO68" s="76">
        <f>0.0526*BI68*Observaciones!$F67^1.218</f>
        <v>0</v>
      </c>
      <c r="BP68" s="76">
        <f>BO68*Constantes!$F$51</f>
        <v>0</v>
      </c>
      <c r="BQ68" s="76">
        <f t="shared" si="14"/>
        <v>0</v>
      </c>
      <c r="BR68" s="40"/>
    </row>
    <row r="69" spans="2:70">
      <c r="B69" s="39"/>
      <c r="C69" s="75">
        <v>63</v>
      </c>
      <c r="D69" s="146">
        <f>ETo!$I68*((1-Constantes!$F$19)*ETo!$K68+ETo!$L68)</f>
        <v>4.4169960056006694</v>
      </c>
      <c r="E69" s="76">
        <f>MIN(D69*Constantes!$F$17,0.8*(N68+Observaciones!$F68-F69-M69-Constantes!$D$14))</f>
        <v>2.5190647553062528</v>
      </c>
      <c r="F69" s="76">
        <f>IF(Observaciones!$F68&gt;0.05*Constantes!$F$18,((Observaciones!$F68-0.05*Constantes!$F$18)^2)/(Observaciones!$F68+0.95*Constantes!$F$18),0)</f>
        <v>0</v>
      </c>
      <c r="G69" s="76">
        <f>IF(Escenarios!$F$11&gt;0,(F69*Escenarios!$F$16*10000)/1000,0)</f>
        <v>0</v>
      </c>
      <c r="H69" s="76">
        <f>IF(Escenarios!$F$11&gt;0,(Observaciones!$F68*Constantes!$F$29)/1000,0)</f>
        <v>0</v>
      </c>
      <c r="I69" s="76">
        <f>IF(Escenarios!$F$11&gt;0,(D69*Constantes!$F$29)/1000,0)</f>
        <v>0</v>
      </c>
      <c r="J69" s="76">
        <f>IF(Escenarios!$F$11&gt;0,MAX(0,G69+H69-I69),0)</f>
        <v>0</v>
      </c>
      <c r="K69" s="76">
        <f>IF(Escenarios!$F$11&gt;0,IF(J69&gt;Constantes!$F$30,1000*((J69-Constantes!$F$30)/(Escenarios!$F$16*10000)),0),F69)</f>
        <v>0</v>
      </c>
      <c r="L69" s="76">
        <f>IF(Escenarios!$F$11&gt;0,I69*1000/Escenarios!$F$16/10000+E69,E69)</f>
        <v>2.5190647553062528</v>
      </c>
      <c r="M69" s="76">
        <f>MAX(0,N68+Observaciones!$F68-K69-Constantes!$D$13)</f>
        <v>0</v>
      </c>
      <c r="N69" s="76">
        <f>N68+Observaciones!$F68-K69-L69-M69-O68</f>
        <v>26.502363699240444</v>
      </c>
      <c r="O69" s="76">
        <f>MAX(0,(N69-Constantes!$D$14)*(1-EXP(-Constantes!$D$22)))</f>
        <v>0.51955150016955165</v>
      </c>
      <c r="P69" s="170">
        <f>P68+(Entradas!$F$83*M69-Q68)/(800*Entradas!$D$25)</f>
        <v>0</v>
      </c>
      <c r="Q69" s="170">
        <f>8000*Entradas!$D$26*P69/Constantes!$F$45</f>
        <v>0</v>
      </c>
      <c r="R69" s="170">
        <f>IF(Escenarios!$F$14&gt;0,K69*Escenarios!$F$13/Escenarios!$F$14,0)</f>
        <v>0</v>
      </c>
      <c r="S69" s="170">
        <f>IF(Escenarios!$F$14&gt;0,Q69*Escenarios!$F$13/Escenarios!$F$14,0)</f>
        <v>0</v>
      </c>
      <c r="T69" s="170">
        <f>IF(Escenarios!$F$14&gt;0,Observaciones!$I68,0)</f>
        <v>0</v>
      </c>
      <c r="U69" s="170">
        <f>IF(Escenarios!$F$14&gt;0,MAX(0,Constantes!$F$36/((Z68+R69+S69+T69+Observaciones!$F68)^2)+Entradas!$F$77),0)</f>
        <v>1.8140889361499204</v>
      </c>
      <c r="V69" s="146">
        <f>IF(ETo!D68&gt;0,ETo!I68*((1-Entradas!$F$81)*ETo!K68+ETo!L68),0)</f>
        <v>3.9223104253260974</v>
      </c>
      <c r="W69" s="170">
        <f>IF(Escenarios!$F$14&gt;0,MIN(V69*1,0.8*(Z68+R69+S69+T69+Observaciones!$F68-U69-Constantes!$F$35)),0)</f>
        <v>3.9223104253260974</v>
      </c>
      <c r="X69" s="170">
        <f>IF(Escenarios!$F$14&gt;0,Observaciones!$J68,0)</f>
        <v>0</v>
      </c>
      <c r="Y69" s="170">
        <f>IF(Escenarios!$F$14&gt;0,MAX(0,Z68+R69+S69+T69+Observaciones!$F68-U69-W69-X69-Constantes!$F$33),0)</f>
        <v>0</v>
      </c>
      <c r="Z69" s="170">
        <f>Z68+R69+S69+T69+Observaciones!$F68-U69-W69-Y69</f>
        <v>87.308042068530341</v>
      </c>
      <c r="AA69" s="170">
        <f>IF(Escenarios!$F$14&gt;0,(Escenarios!$F$13*L69+Escenarios!$F$14*W69)/(Escenarios!$F$16),L69)</f>
        <v>2.6874542357086337</v>
      </c>
      <c r="AB69" s="170">
        <f>IF(Escenarios!$F$14&gt;0,(Escenarios!$F$14*Y69)/(Escenarios!$F$16),K69)</f>
        <v>0</v>
      </c>
      <c r="AC69" s="170">
        <f>IF(Escenarios!$F$14&gt;0,(Escenarios!$F$13*M69+Escenarios!$F$14*U69)/(Escenarios!$F$16),M69)</f>
        <v>0.21769067233799044</v>
      </c>
      <c r="AD69" s="76">
        <f t="shared" si="1"/>
        <v>136.1889654052213</v>
      </c>
      <c r="AE69" s="76">
        <f>MAX(0,(AD69-Constantes!$D$13)*(1-EXP(-Constantes!$D$23)))</f>
        <v>0.86155695247663044</v>
      </c>
      <c r="AF69" s="76">
        <f>AB69+O69*Escenarios!$F$13/Escenarios!$F$16+AE69</f>
        <v>1.3187622726258359</v>
      </c>
      <c r="AG69" s="76">
        <f>IF(Entradas!$F$91&gt;0,IF(AF69-Escenarios!$F$38&lt;=0,0,IF(AF69-Escenarios!$F$38&gt;Escenarios!$F$37,Escenarios!$F$37,AF69-Escenarios!$F$38)),0)</f>
        <v>0.28196227262583595</v>
      </c>
      <c r="AH69" s="76">
        <f>AG69*Entradas!$F$99</f>
        <v>0</v>
      </c>
      <c r="AI69" s="76">
        <f>IF(Entradas!$F$91&gt;0,D69*Entradas!$D$23/Escenarios!$F$16,0)</f>
        <v>0.21201580826883212</v>
      </c>
      <c r="AJ69" s="76">
        <f>IF(Entradas!$F$91&gt;0,Entradas!$D$24*Entradas!$D$22/Escenarios!$F$16,0)</f>
        <v>0.12</v>
      </c>
      <c r="AK69" s="76">
        <f t="shared" si="2"/>
        <v>2.8994700439774657</v>
      </c>
      <c r="AL69" s="76">
        <f t="shared" si="3"/>
        <v>0</v>
      </c>
      <c r="AM69" s="76">
        <f t="shared" si="4"/>
        <v>0.28196227262583595</v>
      </c>
      <c r="AN69" s="76">
        <f>MAX(0,O69*Escenarios!$F$13/Escenarios!$F$16-AM69)</f>
        <v>0.1752430475233695</v>
      </c>
      <c r="AO69" s="76">
        <f>AM69+AN69-O69*Escenarios!$F$13/Escenarios!$F$16</f>
        <v>0</v>
      </c>
      <c r="AP69" s="76">
        <f t="shared" si="5"/>
        <v>0.86155695247663044</v>
      </c>
      <c r="AQ69" s="76">
        <f t="shared" si="6"/>
        <v>0</v>
      </c>
      <c r="AR69" s="76">
        <f t="shared" si="7"/>
        <v>1.0367999999999999</v>
      </c>
      <c r="AS69" s="76">
        <f t="shared" si="8"/>
        <v>0</v>
      </c>
      <c r="AT69" s="76">
        <f t="shared" si="9"/>
        <v>0.21769067233799044</v>
      </c>
      <c r="AU69" s="76">
        <f t="shared" si="10"/>
        <v>52.01405200832756</v>
      </c>
      <c r="AV69" s="76">
        <f>MAX(0,(AU69-Constantes!$D$13)*(1-EXP(-Constantes!$D$24)))</f>
        <v>4.9891841382152705E-2</v>
      </c>
      <c r="AW69" s="170">
        <f>AW68+(Entradas!$F$112*AT69-AX68)/(800*Entradas!$D$25)</f>
        <v>0</v>
      </c>
      <c r="AX69" s="170">
        <f>8000*Entradas!$D$26*AW69/Constantes!$F$45</f>
        <v>0</v>
      </c>
      <c r="AY69" s="170">
        <f>IF(Escenarios!$F$17&gt;0,10*Escenarios!$F$16*AL69,0)</f>
        <v>0</v>
      </c>
      <c r="AZ69" s="170">
        <f>IF(Escenarios!$F$17&gt;0,10*Escenarios!$F$16*AX69,0)</f>
        <v>0</v>
      </c>
      <c r="BA69" s="170">
        <f>IF(Escenarios!$F$17&gt;0,0.001*Observaciones!$F68*Escenarios!$F$17,0)</f>
        <v>0</v>
      </c>
      <c r="BB69" s="170">
        <f>IF(Escenarios!$F$17&gt;0,Observaciones!$K68,0)</f>
        <v>0</v>
      </c>
      <c r="BC69" s="170">
        <f>IF(Escenarios!$F$17&gt;0,MIN(0.0005*ETo!$M68*Escenarios!$F$17*(BG68/Constantes!$F$40)^(2/3),BG68+AY69+AZ69+BA69+BB69),0)</f>
        <v>0</v>
      </c>
      <c r="BD69" s="170">
        <f>IF(Escenarios!$F$17&gt;0,MIN(Constantes!$F$39*(BG68/Constantes!$F$40)^(2/3),BG68+AY69+AZ69+BA69+BB69-BC69),0)</f>
        <v>0</v>
      </c>
      <c r="BE69" s="170">
        <f>IF(Escenarios!$F$17&gt;0,MIN(Entradas!$F$113,BG68+AY69+AZ69+BA69+BB69-BC69-BD69),0)</f>
        <v>0</v>
      </c>
      <c r="BF69" s="170">
        <f>IF(Escenarios!$F$17&gt;0,MAX(0,BG68+AY69+AZ69+BA69+BB69-BC69-BD69-BE69-Constantes!$F$40),0)</f>
        <v>0</v>
      </c>
      <c r="BG69" s="170">
        <f t="shared" si="11"/>
        <v>0</v>
      </c>
      <c r="BH69" s="170">
        <f>(Escenarios!$F$16*AK69+0.1*BC69)/(Escenarios!$F$19)</f>
        <v>2.8994700439774657</v>
      </c>
      <c r="BI69" s="170">
        <f>IF(Escenarios!$F$17&gt;0,BF69/10/Escenarios!$F$19,AL69)</f>
        <v>0</v>
      </c>
      <c r="BJ69" s="170">
        <f>(Escenarios!$F$16*AT69+0.1*BD69)/(Escenarios!$F$19)</f>
        <v>0.21769067233799044</v>
      </c>
      <c r="BK69" s="76">
        <f>BK68+(0.1*BD69)/(Escenarios!$F$19)-BL68</f>
        <v>48.75</v>
      </c>
      <c r="BL69" s="76">
        <f>MAX(0,(BK69-Constantes!$D$13)*(1-EXP(-Constantes!$D$23)))</f>
        <v>0</v>
      </c>
      <c r="BM69" s="76">
        <f t="shared" si="12"/>
        <v>0.91144879385878319</v>
      </c>
      <c r="BN69" s="76">
        <f t="shared" si="13"/>
        <v>1.0866918413821527</v>
      </c>
      <c r="BO69" s="76">
        <f>0.0526*BI69*Observaciones!$F68^1.218</f>
        <v>0</v>
      </c>
      <c r="BP69" s="76">
        <f>BO69*Constantes!$F$51</f>
        <v>0</v>
      </c>
      <c r="BQ69" s="76">
        <f t="shared" si="14"/>
        <v>0</v>
      </c>
      <c r="BR69" s="40"/>
    </row>
    <row r="70" spans="2:70">
      <c r="B70" s="39"/>
      <c r="C70" s="75">
        <v>64</v>
      </c>
      <c r="D70" s="146">
        <f>ETo!$I69*((1-Constantes!$F$19)*ETo!$K69+ETo!$L69)</f>
        <v>4.3267935303145295</v>
      </c>
      <c r="E70" s="76">
        <f>MIN(D70*Constantes!$F$17,0.8*(N69+Observaciones!$F69-F70-M70-Constantes!$D$14))</f>
        <v>2.4676212230851275</v>
      </c>
      <c r="F70" s="76">
        <f>IF(Observaciones!$F69&gt;0.05*Constantes!$F$18,((Observaciones!$F69-0.05*Constantes!$F$18)^2)/(Observaciones!$F69+0.95*Constantes!$F$18),0)</f>
        <v>0</v>
      </c>
      <c r="G70" s="76">
        <f>IF(Escenarios!$F$11&gt;0,(F70*Escenarios!$F$16*10000)/1000,0)</f>
        <v>0</v>
      </c>
      <c r="H70" s="76">
        <f>IF(Escenarios!$F$11&gt;0,(Observaciones!$F69*Constantes!$F$29)/1000,0)</f>
        <v>0</v>
      </c>
      <c r="I70" s="76">
        <f>IF(Escenarios!$F$11&gt;0,(D70*Constantes!$F$29)/1000,0)</f>
        <v>0</v>
      </c>
      <c r="J70" s="76">
        <f>IF(Escenarios!$F$11&gt;0,MAX(0,G70+H70-I70),0)</f>
        <v>0</v>
      </c>
      <c r="K70" s="76">
        <f>IF(Escenarios!$F$11&gt;0,IF(J70&gt;Constantes!$F$30,1000*((J70-Constantes!$F$30)/(Escenarios!$F$16*10000)),0),F70)</f>
        <v>0</v>
      </c>
      <c r="L70" s="76">
        <f>IF(Escenarios!$F$11&gt;0,I70*1000/Escenarios!$F$16/10000+E70,E70)</f>
        <v>2.4676212230851275</v>
      </c>
      <c r="M70" s="76">
        <f>MAX(0,N69+Observaciones!$F69-K70-Constantes!$D$13)</f>
        <v>0</v>
      </c>
      <c r="N70" s="76">
        <f>N69+Observaciones!$F69-K70-L70-M70-O69</f>
        <v>23.515190975985764</v>
      </c>
      <c r="O70" s="76">
        <f>MAX(0,(N70-Constantes!$D$14)*(1-EXP(-Constantes!$D$22)))</f>
        <v>0.41779743107993106</v>
      </c>
      <c r="P70" s="170">
        <f>P69+(Entradas!$F$83*M70-Q69)/(800*Entradas!$D$25)</f>
        <v>0</v>
      </c>
      <c r="Q70" s="170">
        <f>8000*Entradas!$D$26*P70/Constantes!$F$45</f>
        <v>0</v>
      </c>
      <c r="R70" s="170">
        <f>IF(Escenarios!$F$14&gt;0,K70*Escenarios!$F$13/Escenarios!$F$14,0)</f>
        <v>0</v>
      </c>
      <c r="S70" s="170">
        <f>IF(Escenarios!$F$14&gt;0,Q70*Escenarios!$F$13/Escenarios!$F$14,0)</f>
        <v>0</v>
      </c>
      <c r="T70" s="170">
        <f>IF(Escenarios!$F$14&gt;0,Observaciones!$I69,0)</f>
        <v>0</v>
      </c>
      <c r="U70" s="170">
        <f>IF(Escenarios!$F$14&gt;0,MAX(0,Constantes!$F$36/((Z69+R70+S70+T70+Observaciones!$F69)^2)+Entradas!$F$77),0)</f>
        <v>1.6531336929734792</v>
      </c>
      <c r="V70" s="146">
        <f>IF(ETo!D69&gt;0,ETo!I69*((1-Entradas!$F$81)*ETo!K69+ETo!L69),0)</f>
        <v>3.8406541857324199</v>
      </c>
      <c r="W70" s="170">
        <f>IF(Escenarios!$F$14&gt;0,MIN(V70*1,0.8*(Z69+R70+S70+T70+Observaciones!$F69-U70-Constantes!$F$35)),0)</f>
        <v>3.8406541857324199</v>
      </c>
      <c r="X70" s="170">
        <f>IF(Escenarios!$F$14&gt;0,Observaciones!$J69,0)</f>
        <v>0</v>
      </c>
      <c r="Y70" s="170">
        <f>IF(Escenarios!$F$14&gt;0,MAX(0,Z69+R70+S70+T70+Observaciones!$F69-U70-W70-X70-Constantes!$F$33),0)</f>
        <v>0</v>
      </c>
      <c r="Z70" s="170">
        <f>Z69+R70+S70+T70+Observaciones!$F69-U70-W70-Y70</f>
        <v>81.814254189824439</v>
      </c>
      <c r="AA70" s="170">
        <f>IF(Escenarios!$F$14&gt;0,(Escenarios!$F$13*L70+Escenarios!$F$14*W70)/(Escenarios!$F$16),L70)</f>
        <v>2.6323851786028025</v>
      </c>
      <c r="AB70" s="170">
        <f>IF(Escenarios!$F$14&gt;0,(Escenarios!$F$14*Y70)/(Escenarios!$F$16),K70)</f>
        <v>0</v>
      </c>
      <c r="AC70" s="170">
        <f>IF(Escenarios!$F$14&gt;0,(Escenarios!$F$13*M70+Escenarios!$F$14*U70)/(Escenarios!$F$16),M70)</f>
        <v>0.19837604315681751</v>
      </c>
      <c r="AD70" s="76">
        <f t="shared" si="1"/>
        <v>135.52578449590149</v>
      </c>
      <c r="AE70" s="76">
        <f>MAX(0,(AD70-Constantes!$D$13)*(1-EXP(-Constantes!$D$23)))</f>
        <v>0.85502247301971612</v>
      </c>
      <c r="AF70" s="76">
        <f>AB70+O70*Escenarios!$F$13/Escenarios!$F$16+AE70</f>
        <v>1.2226842123700554</v>
      </c>
      <c r="AG70" s="76">
        <f>IF(Entradas!$F$91&gt;0,IF(AF70-Escenarios!$F$38&lt;=0,0,IF(AF70-Escenarios!$F$38&gt;Escenarios!$F$37,Escenarios!$F$37,AF70-Escenarios!$F$38)),0)</f>
        <v>0.18588421237005548</v>
      </c>
      <c r="AH70" s="76">
        <f>AG70*Entradas!$F$99</f>
        <v>0</v>
      </c>
      <c r="AI70" s="76">
        <f>IF(Entradas!$F$91&gt;0,D70*Entradas!$D$23/Escenarios!$F$16,0)</f>
        <v>0.20768608945509742</v>
      </c>
      <c r="AJ70" s="76">
        <f>IF(Entradas!$F$91&gt;0,Entradas!$D$24*Entradas!$D$22/Escenarios!$F$16,0)</f>
        <v>0.12</v>
      </c>
      <c r="AK70" s="76">
        <f t="shared" si="2"/>
        <v>2.8400712680578999</v>
      </c>
      <c r="AL70" s="76">
        <f t="shared" si="3"/>
        <v>0</v>
      </c>
      <c r="AM70" s="76">
        <f t="shared" si="4"/>
        <v>0.18588421237005548</v>
      </c>
      <c r="AN70" s="76">
        <f>MAX(0,O70*Escenarios!$F$13/Escenarios!$F$16-AM70)</f>
        <v>0.18177752698028382</v>
      </c>
      <c r="AO70" s="76">
        <f>AM70+AN70-O70*Escenarios!$F$13/Escenarios!$F$16</f>
        <v>0</v>
      </c>
      <c r="AP70" s="76">
        <f t="shared" si="5"/>
        <v>0.85502247301971612</v>
      </c>
      <c r="AQ70" s="76">
        <f t="shared" si="6"/>
        <v>0</v>
      </c>
      <c r="AR70" s="76">
        <f t="shared" si="7"/>
        <v>1.0367999999999999</v>
      </c>
      <c r="AS70" s="76">
        <f t="shared" si="8"/>
        <v>0</v>
      </c>
      <c r="AT70" s="76">
        <f t="shared" si="9"/>
        <v>0.19837604315681751</v>
      </c>
      <c r="AU70" s="76">
        <f t="shared" si="10"/>
        <v>51.964160166945405</v>
      </c>
      <c r="AV70" s="76">
        <f>MAX(0,(AU70-Constantes!$D$13)*(1-EXP(-Constantes!$D$24)))</f>
        <v>4.9129232260070287E-2</v>
      </c>
      <c r="AW70" s="170">
        <f>AW69+(Entradas!$F$112*AT70-AX69)/(800*Entradas!$D$25)</f>
        <v>0</v>
      </c>
      <c r="AX70" s="170">
        <f>8000*Entradas!$D$26*AW70/Constantes!$F$45</f>
        <v>0</v>
      </c>
      <c r="AY70" s="170">
        <f>IF(Escenarios!$F$17&gt;0,10*Escenarios!$F$16*AL70,0)</f>
        <v>0</v>
      </c>
      <c r="AZ70" s="170">
        <f>IF(Escenarios!$F$17&gt;0,10*Escenarios!$F$16*AX70,0)</f>
        <v>0</v>
      </c>
      <c r="BA70" s="170">
        <f>IF(Escenarios!$F$17&gt;0,0.001*Observaciones!$F69*Escenarios!$F$17,0)</f>
        <v>0</v>
      </c>
      <c r="BB70" s="170">
        <f>IF(Escenarios!$F$17&gt;0,Observaciones!$K69,0)</f>
        <v>0</v>
      </c>
      <c r="BC70" s="170">
        <f>IF(Escenarios!$F$17&gt;0,MIN(0.0005*ETo!$M69*Escenarios!$F$17*(BG69/Constantes!$F$40)^(2/3),BG69+AY70+AZ70+BA70+BB70),0)</f>
        <v>0</v>
      </c>
      <c r="BD70" s="170">
        <f>IF(Escenarios!$F$17&gt;0,MIN(Constantes!$F$39*(BG69/Constantes!$F$40)^(2/3),BG69+AY70+AZ70+BA70+BB70-BC70),0)</f>
        <v>0</v>
      </c>
      <c r="BE70" s="170">
        <f>IF(Escenarios!$F$17&gt;0,MIN(Entradas!$F$113,BG69+AY70+AZ70+BA70+BB70-BC70-BD70),0)</f>
        <v>0</v>
      </c>
      <c r="BF70" s="170">
        <f>IF(Escenarios!$F$17&gt;0,MAX(0,BG69+AY70+AZ70+BA70+BB70-BC70-BD70-BE70-Constantes!$F$40),0)</f>
        <v>0</v>
      </c>
      <c r="BG70" s="170">
        <f t="shared" si="11"/>
        <v>0</v>
      </c>
      <c r="BH70" s="170">
        <f>(Escenarios!$F$16*AK70+0.1*BC70)/(Escenarios!$F$19)</f>
        <v>2.8400712680578999</v>
      </c>
      <c r="BI70" s="170">
        <f>IF(Escenarios!$F$17&gt;0,BF70/10/Escenarios!$F$19,AL70)</f>
        <v>0</v>
      </c>
      <c r="BJ70" s="170">
        <f>(Escenarios!$F$16*AT70+0.1*BD70)/(Escenarios!$F$19)</f>
        <v>0.19837604315681751</v>
      </c>
      <c r="BK70" s="76">
        <f>BK69+(0.1*BD70)/(Escenarios!$F$19)-BL69</f>
        <v>48.75</v>
      </c>
      <c r="BL70" s="76">
        <f>MAX(0,(BK70-Constantes!$D$13)*(1-EXP(-Constantes!$D$23)))</f>
        <v>0</v>
      </c>
      <c r="BM70" s="76">
        <f t="shared" si="12"/>
        <v>0.90415170527978639</v>
      </c>
      <c r="BN70" s="76">
        <f t="shared" si="13"/>
        <v>1.0859292322600702</v>
      </c>
      <c r="BO70" s="76">
        <f>0.0526*BI70*Observaciones!$F69^1.218</f>
        <v>0</v>
      </c>
      <c r="BP70" s="76">
        <f>BO70*Constantes!$F$51</f>
        <v>0</v>
      </c>
      <c r="BQ70" s="76">
        <f t="shared" si="14"/>
        <v>0</v>
      </c>
      <c r="BR70" s="40"/>
    </row>
    <row r="71" spans="2:70">
      <c r="B71" s="39"/>
      <c r="C71" s="75">
        <v>65</v>
      </c>
      <c r="D71" s="146">
        <f>ETo!$I70*((1-Constantes!$F$19)*ETo!$K70+ETo!$L70)</f>
        <v>4.2366075166015023</v>
      </c>
      <c r="E71" s="76">
        <f>MIN(D71*Constantes!$F$17,0.8*(N70+Observaciones!$F70-F71-M71-Constantes!$D$14))</f>
        <v>2.4161870790926976</v>
      </c>
      <c r="F71" s="76">
        <f>IF(Observaciones!$F70&gt;0.05*Constantes!$F$18,((Observaciones!$F70-0.05*Constantes!$F$18)^2)/(Observaciones!$F70+0.95*Constantes!$F$18),0)</f>
        <v>0</v>
      </c>
      <c r="G71" s="76">
        <f>IF(Escenarios!$F$11&gt;0,(F71*Escenarios!$F$16*10000)/1000,0)</f>
        <v>0</v>
      </c>
      <c r="H71" s="76">
        <f>IF(Escenarios!$F$11&gt;0,(Observaciones!$F70*Constantes!$F$29)/1000,0)</f>
        <v>0</v>
      </c>
      <c r="I71" s="76">
        <f>IF(Escenarios!$F$11&gt;0,(D71*Constantes!$F$29)/1000,0)</f>
        <v>0</v>
      </c>
      <c r="J71" s="76">
        <f>IF(Escenarios!$F$11&gt;0,MAX(0,G71+H71-I71),0)</f>
        <v>0</v>
      </c>
      <c r="K71" s="76">
        <f>IF(Escenarios!$F$11&gt;0,IF(J71&gt;Constantes!$F$30,1000*((J71-Constantes!$F$30)/(Escenarios!$F$16*10000)),0),F71)</f>
        <v>0</v>
      </c>
      <c r="L71" s="76">
        <f>IF(Escenarios!$F$11&gt;0,I71*1000/Escenarios!$F$16/10000+E71,E71)</f>
        <v>2.4161870790926976</v>
      </c>
      <c r="M71" s="76">
        <f>MAX(0,N70+Observaciones!$F70-K71-Constantes!$D$13)</f>
        <v>0</v>
      </c>
      <c r="N71" s="76">
        <f>N70+Observaciones!$F70-K71-L71-M71-O70</f>
        <v>26.481206465813138</v>
      </c>
      <c r="O71" s="76">
        <f>MAX(0,(N71-Constantes!$D$14)*(1-EXP(-Constantes!$D$22)))</f>
        <v>0.51883080712922369</v>
      </c>
      <c r="P71" s="170">
        <f>P70+(Entradas!$F$83*M71-Q70)/(800*Entradas!$D$25)</f>
        <v>0</v>
      </c>
      <c r="Q71" s="170">
        <f>8000*Entradas!$D$26*P71/Constantes!$F$45</f>
        <v>0</v>
      </c>
      <c r="R71" s="170">
        <f>IF(Escenarios!$F$14&gt;0,K71*Escenarios!$F$13/Escenarios!$F$14,0)</f>
        <v>0</v>
      </c>
      <c r="S71" s="170">
        <f>IF(Escenarios!$F$14&gt;0,Q71*Escenarios!$F$13/Escenarios!$F$14,0)</f>
        <v>0</v>
      </c>
      <c r="T71" s="170">
        <f>IF(Escenarios!$F$14&gt;0,Observaciones!$I70,0)</f>
        <v>0</v>
      </c>
      <c r="U71" s="170">
        <f>IF(Escenarios!$F$14&gt;0,MAX(0,Constantes!$F$36/((Z70+R71+S71+T71+Observaciones!$F70)^2)+Entradas!$F$77),0)</f>
        <v>1.6625318457342269</v>
      </c>
      <c r="V71" s="146">
        <f>IF(ETo!D70&gt;0,ETo!I70*((1-Entradas!$F$81)*ETo!K70+ETo!L70),0)</f>
        <v>3.7592043145173499</v>
      </c>
      <c r="W71" s="170">
        <f>IF(Escenarios!$F$14&gt;0,MIN(V71*1,0.8*(Z70+R71+S71+T71+Observaciones!$F70-U71-Constantes!$F$35)),0)</f>
        <v>3.7592043145173499</v>
      </c>
      <c r="X71" s="170">
        <f>IF(Escenarios!$F$14&gt;0,Observaciones!$J70,0)</f>
        <v>0</v>
      </c>
      <c r="Y71" s="170">
        <f>IF(Escenarios!$F$14&gt;0,MAX(0,Z70+R71+S71+T71+Observaciones!$F70-U71-W71-X71-Constantes!$F$33),0)</f>
        <v>0</v>
      </c>
      <c r="Z71" s="170">
        <f>Z70+R71+S71+T71+Observaciones!$F70-U71-W71-Y71</f>
        <v>82.192518029572867</v>
      </c>
      <c r="AA71" s="170">
        <f>IF(Escenarios!$F$14&gt;0,(Escenarios!$F$13*L71+Escenarios!$F$14*W71)/(Escenarios!$F$16),L71)</f>
        <v>2.5773491473436558</v>
      </c>
      <c r="AB71" s="170">
        <f>IF(Escenarios!$F$14&gt;0,(Escenarios!$F$14*Y71)/(Escenarios!$F$16),K71)</f>
        <v>0</v>
      </c>
      <c r="AC71" s="170">
        <f>IF(Escenarios!$F$14&gt;0,(Escenarios!$F$13*M71+Escenarios!$F$14*U71)/(Escenarios!$F$16),M71)</f>
        <v>0.19950382148810725</v>
      </c>
      <c r="AD71" s="76">
        <f t="shared" si="1"/>
        <v>134.87026584436987</v>
      </c>
      <c r="AE71" s="76">
        <f>MAX(0,(AD71-Constantes!$D$13)*(1-EXP(-Constantes!$D$23)))</f>
        <v>0.84856349161379652</v>
      </c>
      <c r="AF71" s="76">
        <f>AB71+O71*Escenarios!$F$13/Escenarios!$F$16+AE71</f>
        <v>1.3051346018875134</v>
      </c>
      <c r="AG71" s="76">
        <f>IF(Entradas!$F$91&gt;0,IF(AF71-Escenarios!$F$38&lt;=0,0,IF(AF71-Escenarios!$F$38&gt;Escenarios!$F$37,Escenarios!$F$37,AF71-Escenarios!$F$38)),0)</f>
        <v>0.26833460188751346</v>
      </c>
      <c r="AH71" s="76">
        <f>AG71*Entradas!$F$99</f>
        <v>0</v>
      </c>
      <c r="AI71" s="76">
        <f>IF(Entradas!$F$91&gt;0,D71*Entradas!$D$23/Escenarios!$F$16,0)</f>
        <v>0.20335716079687211</v>
      </c>
      <c r="AJ71" s="76">
        <f>IF(Entradas!$F$91&gt;0,Entradas!$D$24*Entradas!$D$22/Escenarios!$F$16,0)</f>
        <v>0.12</v>
      </c>
      <c r="AK71" s="76">
        <f t="shared" si="2"/>
        <v>2.7807063081405281</v>
      </c>
      <c r="AL71" s="76">
        <f t="shared" si="3"/>
        <v>0</v>
      </c>
      <c r="AM71" s="76">
        <f t="shared" si="4"/>
        <v>0.26833460188751346</v>
      </c>
      <c r="AN71" s="76">
        <f>MAX(0,O71*Escenarios!$F$13/Escenarios!$F$16-AM71)</f>
        <v>0.18823650838620337</v>
      </c>
      <c r="AO71" s="76">
        <f>AM71+AN71-O71*Escenarios!$F$13/Escenarios!$F$16</f>
        <v>0</v>
      </c>
      <c r="AP71" s="76">
        <f t="shared" si="5"/>
        <v>0.84856349161379652</v>
      </c>
      <c r="AQ71" s="76">
        <f t="shared" si="6"/>
        <v>0</v>
      </c>
      <c r="AR71" s="76">
        <f t="shared" si="7"/>
        <v>1.0367999999999999</v>
      </c>
      <c r="AS71" s="76">
        <f t="shared" si="8"/>
        <v>0</v>
      </c>
      <c r="AT71" s="76">
        <f t="shared" si="9"/>
        <v>0.19950382148810725</v>
      </c>
      <c r="AU71" s="76">
        <f t="shared" si="10"/>
        <v>51.915030934685333</v>
      </c>
      <c r="AV71" s="76">
        <f>MAX(0,(AU71-Constantes!$D$13)*(1-EXP(-Constantes!$D$24)))</f>
        <v>4.8378279806833388E-2</v>
      </c>
      <c r="AW71" s="170">
        <f>AW70+(Entradas!$F$112*AT71-AX70)/(800*Entradas!$D$25)</f>
        <v>0</v>
      </c>
      <c r="AX71" s="170">
        <f>8000*Entradas!$D$26*AW71/Constantes!$F$45</f>
        <v>0</v>
      </c>
      <c r="AY71" s="170">
        <f>IF(Escenarios!$F$17&gt;0,10*Escenarios!$F$16*AL71,0)</f>
        <v>0</v>
      </c>
      <c r="AZ71" s="170">
        <f>IF(Escenarios!$F$17&gt;0,10*Escenarios!$F$16*AX71,0)</f>
        <v>0</v>
      </c>
      <c r="BA71" s="170">
        <f>IF(Escenarios!$F$17&gt;0,0.001*Observaciones!$F70*Escenarios!$F$17,0)</f>
        <v>0</v>
      </c>
      <c r="BB71" s="170">
        <f>IF(Escenarios!$F$17&gt;0,Observaciones!$K70,0)</f>
        <v>0</v>
      </c>
      <c r="BC71" s="170">
        <f>IF(Escenarios!$F$17&gt;0,MIN(0.0005*ETo!$M70*Escenarios!$F$17*(BG70/Constantes!$F$40)^(2/3),BG70+AY71+AZ71+BA71+BB71),0)</f>
        <v>0</v>
      </c>
      <c r="BD71" s="170">
        <f>IF(Escenarios!$F$17&gt;0,MIN(Constantes!$F$39*(BG70/Constantes!$F$40)^(2/3),BG70+AY71+AZ71+BA71+BB71-BC71),0)</f>
        <v>0</v>
      </c>
      <c r="BE71" s="170">
        <f>IF(Escenarios!$F$17&gt;0,MIN(Entradas!$F$113,BG70+AY71+AZ71+BA71+BB71-BC71-BD71),0)</f>
        <v>0</v>
      </c>
      <c r="BF71" s="170">
        <f>IF(Escenarios!$F$17&gt;0,MAX(0,BG70+AY71+AZ71+BA71+BB71-BC71-BD71-BE71-Constantes!$F$40),0)</f>
        <v>0</v>
      </c>
      <c r="BG71" s="170">
        <f t="shared" si="11"/>
        <v>0</v>
      </c>
      <c r="BH71" s="170">
        <f>(Escenarios!$F$16*AK71+0.1*BC71)/(Escenarios!$F$19)</f>
        <v>2.7807063081405281</v>
      </c>
      <c r="BI71" s="170">
        <f>IF(Escenarios!$F$17&gt;0,BF71/10/Escenarios!$F$19,AL71)</f>
        <v>0</v>
      </c>
      <c r="BJ71" s="170">
        <f>(Escenarios!$F$16*AT71+0.1*BD71)/(Escenarios!$F$19)</f>
        <v>0.19950382148810725</v>
      </c>
      <c r="BK71" s="76">
        <f>BK70+(0.1*BD71)/(Escenarios!$F$19)-BL70</f>
        <v>48.75</v>
      </c>
      <c r="BL71" s="76">
        <f>MAX(0,(BK71-Constantes!$D$13)*(1-EXP(-Constantes!$D$23)))</f>
        <v>0</v>
      </c>
      <c r="BM71" s="76">
        <f t="shared" si="12"/>
        <v>0.89694177142062992</v>
      </c>
      <c r="BN71" s="76">
        <f t="shared" si="13"/>
        <v>1.0851782798068332</v>
      </c>
      <c r="BO71" s="76">
        <f>0.0526*BI71*Observaciones!$F70^1.218</f>
        <v>0</v>
      </c>
      <c r="BP71" s="76">
        <f>BO71*Constantes!$F$51</f>
        <v>0</v>
      </c>
      <c r="BQ71" s="76">
        <f t="shared" si="14"/>
        <v>0</v>
      </c>
      <c r="BR71" s="40"/>
    </row>
    <row r="72" spans="2:70">
      <c r="B72" s="39"/>
      <c r="C72" s="75">
        <v>66</v>
      </c>
      <c r="D72" s="146">
        <f>ETo!$I71*((1-Constantes!$F$19)*ETo!$K71+ETo!$L71)</f>
        <v>4.1821133778729838</v>
      </c>
      <c r="E72" s="76">
        <f>MIN(D72*Constantes!$F$17,0.8*(N71+Observaciones!$F71-F72-M72-Constantes!$D$14))</f>
        <v>2.3851084310550452</v>
      </c>
      <c r="F72" s="76">
        <f>IF(Observaciones!$F71&gt;0.05*Constantes!$F$18,((Observaciones!$F71-0.05*Constantes!$F$18)^2)/(Observaciones!$F71+0.95*Constantes!$F$18),0)</f>
        <v>0</v>
      </c>
      <c r="G72" s="76">
        <f>IF(Escenarios!$F$11&gt;0,(F72*Escenarios!$F$16*10000)/1000,0)</f>
        <v>0</v>
      </c>
      <c r="H72" s="76">
        <f>IF(Escenarios!$F$11&gt;0,(Observaciones!$F71*Constantes!$F$29)/1000,0)</f>
        <v>0</v>
      </c>
      <c r="I72" s="76">
        <f>IF(Escenarios!$F$11&gt;0,(D72*Constantes!$F$29)/1000,0)</f>
        <v>0</v>
      </c>
      <c r="J72" s="76">
        <f>IF(Escenarios!$F$11&gt;0,MAX(0,G72+H72-I72),0)</f>
        <v>0</v>
      </c>
      <c r="K72" s="76">
        <f>IF(Escenarios!$F$11&gt;0,IF(J72&gt;Constantes!$F$30,1000*((J72-Constantes!$F$30)/(Escenarios!$F$16*10000)),0),F72)</f>
        <v>0</v>
      </c>
      <c r="L72" s="76">
        <f>IF(Escenarios!$F$11&gt;0,I72*1000/Escenarios!$F$16/10000+E72,E72)</f>
        <v>2.3851084310550452</v>
      </c>
      <c r="M72" s="76">
        <f>MAX(0,N71+Observaciones!$F71-K72-Constantes!$D$13)</f>
        <v>0</v>
      </c>
      <c r="N72" s="76">
        <f>N71+Observaciones!$F71-K72-L72-M72-O71</f>
        <v>23.57726722762887</v>
      </c>
      <c r="O72" s="76">
        <f>MAX(0,(N72-Constantes!$D$14)*(1-EXP(-Constantes!$D$22)))</f>
        <v>0.41991197609748032</v>
      </c>
      <c r="P72" s="170">
        <f>P71+(Entradas!$F$83*M72-Q71)/(800*Entradas!$D$25)</f>
        <v>0</v>
      </c>
      <c r="Q72" s="170">
        <f>8000*Entradas!$D$26*P72/Constantes!$F$45</f>
        <v>0</v>
      </c>
      <c r="R72" s="170">
        <f>IF(Escenarios!$F$14&gt;0,K72*Escenarios!$F$13/Escenarios!$F$14,0)</f>
        <v>0</v>
      </c>
      <c r="S72" s="170">
        <f>IF(Escenarios!$F$14&gt;0,Q72*Escenarios!$F$13/Escenarios!$F$14,0)</f>
        <v>0</v>
      </c>
      <c r="T72" s="170">
        <f>IF(Escenarios!$F$14&gt;0,Observaciones!$I71,0)</f>
        <v>0</v>
      </c>
      <c r="U72" s="170">
        <f>IF(Escenarios!$F$14&gt;0,MAX(0,Constantes!$F$36/((Z71+R72+S72+T72+Observaciones!$F71)^2)+Entradas!$F$77),0)</f>
        <v>1.4802630747568393</v>
      </c>
      <c r="V72" s="146">
        <f>IF(ETo!D71&gt;0,ETo!I71*((1-Entradas!$F$81)*ETo!K71+ETo!L71),0)</f>
        <v>3.7100078834699173</v>
      </c>
      <c r="W72" s="170">
        <f>IF(Escenarios!$F$14&gt;0,MIN(V72*1,0.8*(Z71+R72+S72+T72+Observaciones!$F71-U72-Constantes!$F$35)),0)</f>
        <v>3.7100078834699173</v>
      </c>
      <c r="X72" s="170">
        <f>IF(Escenarios!$F$14&gt;0,Observaciones!$J71,0)</f>
        <v>0</v>
      </c>
      <c r="Y72" s="170">
        <f>IF(Escenarios!$F$14&gt;0,MAX(0,Z71+R72+S72+T72+Observaciones!$F71-U72-W72-X72-Constantes!$F$33),0)</f>
        <v>0</v>
      </c>
      <c r="Z72" s="170">
        <f>Z71+R72+S72+T72+Observaciones!$F71-U72-W72-Y72</f>
        <v>77.002247071346119</v>
      </c>
      <c r="AA72" s="170">
        <f>IF(Escenarios!$F$14&gt;0,(Escenarios!$F$13*L72+Escenarios!$F$14*W72)/(Escenarios!$F$16),L72)</f>
        <v>2.5440963653448296</v>
      </c>
      <c r="AB72" s="170">
        <f>IF(Escenarios!$F$14&gt;0,(Escenarios!$F$14*Y72)/(Escenarios!$F$16),K72)</f>
        <v>0</v>
      </c>
      <c r="AC72" s="170">
        <f>IF(Escenarios!$F$14&gt;0,(Escenarios!$F$13*M72+Escenarios!$F$14*U72)/(Escenarios!$F$16),M72)</f>
        <v>0.17763156897082072</v>
      </c>
      <c r="AD72" s="76">
        <f t="shared" ref="AD72:AD135" si="15">AD71+AC72-AE71</f>
        <v>134.19933392172689</v>
      </c>
      <c r="AE72" s="76">
        <f>MAX(0,(AD72-Constantes!$D$13)*(1-EXP(-Constantes!$D$23)))</f>
        <v>0.84195263957646149</v>
      </c>
      <c r="AF72" s="76">
        <f>AB72+O72*Escenarios!$F$13/Escenarios!$F$16+AE72</f>
        <v>1.2114751785422442</v>
      </c>
      <c r="AG72" s="76">
        <f>IF(Entradas!$F$91&gt;0,IF(AF72-Escenarios!$F$38&lt;=0,0,IF(AF72-Escenarios!$F$38&gt;Escenarios!$F$37,Escenarios!$F$37,AF72-Escenarios!$F$38)),0)</f>
        <v>0.17467517854224424</v>
      </c>
      <c r="AH72" s="76">
        <f>AG72*Entradas!$F$99</f>
        <v>0</v>
      </c>
      <c r="AI72" s="76">
        <f>IF(Entradas!$F$91&gt;0,D72*Entradas!$D$23/Escenarios!$F$16,0)</f>
        <v>0.20074144213790321</v>
      </c>
      <c r="AJ72" s="76">
        <f>IF(Entradas!$F$91&gt;0,Entradas!$D$24*Entradas!$D$22/Escenarios!$F$16,0)</f>
        <v>0.12</v>
      </c>
      <c r="AK72" s="76">
        <f t="shared" ref="AK72:AK135" si="16">AA72+AI72</f>
        <v>2.7448378074827327</v>
      </c>
      <c r="AL72" s="76">
        <f t="shared" ref="AL72:AL135" si="17">MAX(0,AB72-AG72)</f>
        <v>0</v>
      </c>
      <c r="AM72" s="76">
        <f t="shared" ref="AM72:AM135" si="18">AG72+AL72-AB72</f>
        <v>0.17467517854224424</v>
      </c>
      <c r="AN72" s="76">
        <f>MAX(0,O72*Escenarios!$F$13/Escenarios!$F$16-AM72)</f>
        <v>0.19484736042353845</v>
      </c>
      <c r="AO72" s="76">
        <f>AM72+AN72-O72*Escenarios!$F$13/Escenarios!$F$16</f>
        <v>0</v>
      </c>
      <c r="AP72" s="76">
        <f t="shared" ref="AP72:AP135" si="19">MAX(0,AE72-AO72)</f>
        <v>0.84195263957646149</v>
      </c>
      <c r="AQ72" s="76">
        <f t="shared" ref="AQ72:AQ135" si="20">AO72+AP72-AE72</f>
        <v>0</v>
      </c>
      <c r="AR72" s="76">
        <f t="shared" ref="AR72:AR135" si="21">AL72+AN72+AP72+AH72</f>
        <v>1.0367999999999999</v>
      </c>
      <c r="AS72" s="76">
        <f t="shared" ref="AS72:AS135" si="22">MAX(0,AG72-AH72-AI72-AJ72)</f>
        <v>0</v>
      </c>
      <c r="AT72" s="76">
        <f t="shared" ref="AT72:AT135" si="23">AC72+AS72</f>
        <v>0.17763156897082072</v>
      </c>
      <c r="AU72" s="76">
        <f t="shared" ref="AU72:AU135" si="24">AU71+AS72-AV71</f>
        <v>51.8666526548785</v>
      </c>
      <c r="AV72" s="76">
        <f>MAX(0,(AU72-Constantes!$D$13)*(1-EXP(-Constantes!$D$24)))</f>
        <v>4.7638805847378722E-2</v>
      </c>
      <c r="AW72" s="170">
        <f>AW71+(Entradas!$F$112*AT72-AX71)/(800*Entradas!$D$25)</f>
        <v>0</v>
      </c>
      <c r="AX72" s="170">
        <f>8000*Entradas!$D$26*AW72/Constantes!$F$45</f>
        <v>0</v>
      </c>
      <c r="AY72" s="170">
        <f>IF(Escenarios!$F$17&gt;0,10*Escenarios!$F$16*AL72,0)</f>
        <v>0</v>
      </c>
      <c r="AZ72" s="170">
        <f>IF(Escenarios!$F$17&gt;0,10*Escenarios!$F$16*AX72,0)</f>
        <v>0</v>
      </c>
      <c r="BA72" s="170">
        <f>IF(Escenarios!$F$17&gt;0,0.001*Observaciones!$F71*Escenarios!$F$17,0)</f>
        <v>0</v>
      </c>
      <c r="BB72" s="170">
        <f>IF(Escenarios!$F$17&gt;0,Observaciones!$K71,0)</f>
        <v>0</v>
      </c>
      <c r="BC72" s="170">
        <f>IF(Escenarios!$F$17&gt;0,MIN(0.0005*ETo!$M71*Escenarios!$F$17*(BG71/Constantes!$F$40)^(2/3),BG71+AY72+AZ72+BA72+BB72),0)</f>
        <v>0</v>
      </c>
      <c r="BD72" s="170">
        <f>IF(Escenarios!$F$17&gt;0,MIN(Constantes!$F$39*(BG71/Constantes!$F$40)^(2/3),BG71+AY72+AZ72+BA72+BB72-BC72),0)</f>
        <v>0</v>
      </c>
      <c r="BE72" s="170">
        <f>IF(Escenarios!$F$17&gt;0,MIN(Entradas!$F$113,BG71+AY72+AZ72+BA72+BB72-BC72-BD72),0)</f>
        <v>0</v>
      </c>
      <c r="BF72" s="170">
        <f>IF(Escenarios!$F$17&gt;0,MAX(0,BG71+AY72+AZ72+BA72+BB72-BC72-BD72-BE72-Constantes!$F$40),0)</f>
        <v>0</v>
      </c>
      <c r="BG72" s="170">
        <f t="shared" ref="BG72:BG135" si="25">BG71+AY72+AZ72+BA72+BB72-BF72-BC72-BD72-BE72</f>
        <v>0</v>
      </c>
      <c r="BH72" s="170">
        <f>(Escenarios!$F$16*AK72+0.1*BC72)/(Escenarios!$F$19)</f>
        <v>2.7448378074827327</v>
      </c>
      <c r="BI72" s="170">
        <f>IF(Escenarios!$F$17&gt;0,BF72/10/Escenarios!$F$19,AL72)</f>
        <v>0</v>
      </c>
      <c r="BJ72" s="170">
        <f>(Escenarios!$F$16*AT72+0.1*BD72)/(Escenarios!$F$19)</f>
        <v>0.17763156897082072</v>
      </c>
      <c r="BK72" s="76">
        <f>BK71+(0.1*BD72)/(Escenarios!$F$19)-BL71</f>
        <v>48.75</v>
      </c>
      <c r="BL72" s="76">
        <f>MAX(0,(BK72-Constantes!$D$13)*(1-EXP(-Constantes!$D$23)))</f>
        <v>0</v>
      </c>
      <c r="BM72" s="76">
        <f t="shared" ref="BM72:BM135" si="26">AP72+AV72+BL72</f>
        <v>0.88959144542384017</v>
      </c>
      <c r="BN72" s="76">
        <f t="shared" ref="BN72:BN135" si="27">AN72+AP72+AV72+BI72+BL72</f>
        <v>1.0844388058473786</v>
      </c>
      <c r="BO72" s="76">
        <f>0.0526*BI72*Observaciones!$F71^1.218</f>
        <v>0</v>
      </c>
      <c r="BP72" s="76">
        <f>BO72*Constantes!$F$51</f>
        <v>0</v>
      </c>
      <c r="BQ72" s="76">
        <f t="shared" ref="BQ72:BQ135" si="28">BP72*1000000/(BN72/1000*10000)</f>
        <v>0</v>
      </c>
      <c r="BR72" s="40"/>
    </row>
    <row r="73" spans="2:70">
      <c r="B73" s="39"/>
      <c r="C73" s="75">
        <v>67</v>
      </c>
      <c r="D73" s="146">
        <f>ETo!$I72*((1-Constantes!$F$19)*ETo!$K72+ETo!$L72)</f>
        <v>4.3277465435571418</v>
      </c>
      <c r="E73" s="76">
        <f>MIN(D73*Constantes!$F$17,0.8*(N72+Observaciones!$F72-F73-M73-Constantes!$D$14))</f>
        <v>2.4681647377425469</v>
      </c>
      <c r="F73" s="76">
        <f>IF(Observaciones!$F72&gt;0.05*Constantes!$F$18,((Observaciones!$F72-0.05*Constantes!$F$18)^2)/(Observaciones!$F72+0.95*Constantes!$F$18),0)</f>
        <v>2.1674216116389355</v>
      </c>
      <c r="G73" s="76">
        <f>IF(Escenarios!$F$11&gt;0,(F73*Escenarios!$F$16*10000)/1000,0)</f>
        <v>0</v>
      </c>
      <c r="H73" s="76">
        <f>IF(Escenarios!$F$11&gt;0,(Observaciones!$F72*Constantes!$F$29)/1000,0)</f>
        <v>0</v>
      </c>
      <c r="I73" s="76">
        <f>IF(Escenarios!$F$11&gt;0,(D73*Constantes!$F$29)/1000,0)</f>
        <v>0</v>
      </c>
      <c r="J73" s="76">
        <f>IF(Escenarios!$F$11&gt;0,MAX(0,G73+H73-I73),0)</f>
        <v>0</v>
      </c>
      <c r="K73" s="76">
        <f>IF(Escenarios!$F$11&gt;0,IF(J73&gt;Constantes!$F$30,1000*((J73-Constantes!$F$30)/(Escenarios!$F$16*10000)),0),F73)</f>
        <v>2.1674216116389355</v>
      </c>
      <c r="L73" s="76">
        <f>IF(Escenarios!$F$11&gt;0,I73*1000/Escenarios!$F$16/10000+E73,E73)</f>
        <v>2.4681647377425469</v>
      </c>
      <c r="M73" s="76">
        <f>MAX(0,N72+Observaciones!$F72-K73-Constantes!$D$13)</f>
        <v>6.5598456159899357</v>
      </c>
      <c r="N73" s="76">
        <f>N72+Observaciones!$F72-K73-L73-M73-O72</f>
        <v>45.861923286159971</v>
      </c>
      <c r="O73" s="76">
        <f>MAX(0,(N73-Constantes!$D$14)*(1-EXP(-Constantes!$D$22)))</f>
        <v>1.1790091700982304</v>
      </c>
      <c r="P73" s="170">
        <f>P72+(Entradas!$F$83*M73-Q72)/(800*Entradas!$D$25)</f>
        <v>0</v>
      </c>
      <c r="Q73" s="170">
        <f>8000*Entradas!$D$26*P73/Constantes!$F$45</f>
        <v>0</v>
      </c>
      <c r="R73" s="170">
        <f>IF(Escenarios!$F$14&gt;0,K73*Escenarios!$F$13/Escenarios!$F$14,0)</f>
        <v>15.894425152018862</v>
      </c>
      <c r="S73" s="170">
        <f>IF(Escenarios!$F$14&gt;0,Q73*Escenarios!$F$13/Escenarios!$F$14,0)</f>
        <v>0</v>
      </c>
      <c r="T73" s="170">
        <f>IF(Escenarios!$F$14&gt;0,Observaciones!$I72,0)</f>
        <v>0</v>
      </c>
      <c r="U73" s="170">
        <f>IF(Escenarios!$F$14&gt;0,MAX(0,Constantes!$F$36/((Z72+R73+S73+T73+Observaciones!$F72)^2)+Entradas!$F$77),0)</f>
        <v>2.3614171135366249</v>
      </c>
      <c r="V73" s="146">
        <f>IF(ETo!D72&gt;0,ETo!I72*((1-Entradas!$F$81)*ETo!K72+ETo!L72),0)</f>
        <v>3.8410855752518254</v>
      </c>
      <c r="W73" s="170">
        <f>IF(Escenarios!$F$14&gt;0,MIN(V73*1,0.8*(Z72+R73+S73+T73+Observaciones!$F72-U73-Constantes!$F$35)),0)</f>
        <v>3.8410855752518254</v>
      </c>
      <c r="X73" s="170">
        <f>IF(Escenarios!$F$14&gt;0,Observaciones!$J72,0)</f>
        <v>0</v>
      </c>
      <c r="Y73" s="170">
        <f>IF(Escenarios!$F$14&gt;0,MAX(0,Z72+R73+S73+T73+Observaciones!$F72-U73-W73-X73-Constantes!$F$33),0)</f>
        <v>0</v>
      </c>
      <c r="Z73" s="170">
        <f>Z72+R73+S73+T73+Observaciones!$F72-U73-W73-Y73</f>
        <v>120.59416953457655</v>
      </c>
      <c r="AA73" s="170">
        <f>IF(Escenarios!$F$14&gt;0,(Escenarios!$F$13*L73+Escenarios!$F$14*W73)/(Escenarios!$F$16),L73)</f>
        <v>2.6329152382436605</v>
      </c>
      <c r="AB73" s="170">
        <f>IF(Escenarios!$F$14&gt;0,(Escenarios!$F$14*Y73)/(Escenarios!$F$16),K73)</f>
        <v>0</v>
      </c>
      <c r="AC73" s="170">
        <f>IF(Escenarios!$F$14&gt;0,(Escenarios!$F$13*M73+Escenarios!$F$14*U73)/(Escenarios!$F$16),M73)</f>
        <v>6.0560341956955384</v>
      </c>
      <c r="AD73" s="76">
        <f t="shared" si="15"/>
        <v>139.41341547784597</v>
      </c>
      <c r="AE73" s="76">
        <f>MAX(0,(AD73-Constantes!$D$13)*(1-EXP(-Constantes!$D$23)))</f>
        <v>0.8933282270463736</v>
      </c>
      <c r="AF73" s="76">
        <f>AB73+O73*Escenarios!$F$13/Escenarios!$F$16+AE73</f>
        <v>1.9308562967328162</v>
      </c>
      <c r="AG73" s="76">
        <f>IF(Entradas!$F$91&gt;0,IF(AF73-Escenarios!$F$38&lt;=0,0,IF(AF73-Escenarios!$F$38&gt;Escenarios!$F$37,Escenarios!$F$37,AF73-Escenarios!$F$38)),0)</f>
        <v>0.89405629673281628</v>
      </c>
      <c r="AH73" s="76">
        <f>AG73*Entradas!$F$99</f>
        <v>0</v>
      </c>
      <c r="AI73" s="76">
        <f>IF(Entradas!$F$91&gt;0,D73*Entradas!$D$23/Escenarios!$F$16,0)</f>
        <v>0.20773183409074281</v>
      </c>
      <c r="AJ73" s="76">
        <f>IF(Entradas!$F$91&gt;0,Entradas!$D$24*Entradas!$D$22/Escenarios!$F$16,0)</f>
        <v>0.12</v>
      </c>
      <c r="AK73" s="76">
        <f t="shared" si="16"/>
        <v>2.8406470723344031</v>
      </c>
      <c r="AL73" s="76">
        <f t="shared" si="17"/>
        <v>0</v>
      </c>
      <c r="AM73" s="76">
        <f t="shared" si="18"/>
        <v>0.89405629673281628</v>
      </c>
      <c r="AN73" s="76">
        <f>MAX(0,O73*Escenarios!$F$13/Escenarios!$F$16-AM73)</f>
        <v>0.14347177295362634</v>
      </c>
      <c r="AO73" s="76">
        <f>AM73+AN73-O73*Escenarios!$F$13/Escenarios!$F$16</f>
        <v>0</v>
      </c>
      <c r="AP73" s="76">
        <f t="shared" si="19"/>
        <v>0.8933282270463736</v>
      </c>
      <c r="AQ73" s="76">
        <f t="shared" si="20"/>
        <v>0</v>
      </c>
      <c r="AR73" s="76">
        <f t="shared" si="21"/>
        <v>1.0367999999999999</v>
      </c>
      <c r="AS73" s="76">
        <f t="shared" si="22"/>
        <v>0.56632446264207348</v>
      </c>
      <c r="AT73" s="76">
        <f t="shared" si="23"/>
        <v>6.6223586583376122</v>
      </c>
      <c r="AU73" s="76">
        <f t="shared" si="24"/>
        <v>52.385338311673195</v>
      </c>
      <c r="AV73" s="76">
        <f>MAX(0,(AU73-Constantes!$D$13)*(1-EXP(-Constantes!$D$24)))</f>
        <v>5.556704426085244E-2</v>
      </c>
      <c r="AW73" s="170">
        <f>AW72+(Entradas!$F$112*AT73-AX72)/(800*Entradas!$D$25)</f>
        <v>0</v>
      </c>
      <c r="AX73" s="170">
        <f>8000*Entradas!$D$26*AW73/Constantes!$F$45</f>
        <v>0</v>
      </c>
      <c r="AY73" s="170">
        <f>IF(Escenarios!$F$17&gt;0,10*Escenarios!$F$16*AL73,0)</f>
        <v>0</v>
      </c>
      <c r="AZ73" s="170">
        <f>IF(Escenarios!$F$17&gt;0,10*Escenarios!$F$16*AX73,0)</f>
        <v>0</v>
      </c>
      <c r="BA73" s="170">
        <f>IF(Escenarios!$F$17&gt;0,0.001*Observaciones!$F72*Escenarios!$F$17,0)</f>
        <v>0</v>
      </c>
      <c r="BB73" s="170">
        <f>IF(Escenarios!$F$17&gt;0,Observaciones!$K72,0)</f>
        <v>0</v>
      </c>
      <c r="BC73" s="170">
        <f>IF(Escenarios!$F$17&gt;0,MIN(0.0005*ETo!$M72*Escenarios!$F$17*(BG72/Constantes!$F$40)^(2/3),BG72+AY73+AZ73+BA73+BB73),0)</f>
        <v>0</v>
      </c>
      <c r="BD73" s="170">
        <f>IF(Escenarios!$F$17&gt;0,MIN(Constantes!$F$39*(BG72/Constantes!$F$40)^(2/3),BG72+AY73+AZ73+BA73+BB73-BC73),0)</f>
        <v>0</v>
      </c>
      <c r="BE73" s="170">
        <f>IF(Escenarios!$F$17&gt;0,MIN(Entradas!$F$113,BG72+AY73+AZ73+BA73+BB73-BC73-BD73),0)</f>
        <v>0</v>
      </c>
      <c r="BF73" s="170">
        <f>IF(Escenarios!$F$17&gt;0,MAX(0,BG72+AY73+AZ73+BA73+BB73-BC73-BD73-BE73-Constantes!$F$40),0)</f>
        <v>0</v>
      </c>
      <c r="BG73" s="170">
        <f t="shared" si="25"/>
        <v>0</v>
      </c>
      <c r="BH73" s="170">
        <f>(Escenarios!$F$16*AK73+0.1*BC73)/(Escenarios!$F$19)</f>
        <v>2.8406470723344031</v>
      </c>
      <c r="BI73" s="170">
        <f>IF(Escenarios!$F$17&gt;0,BF73/10/Escenarios!$F$19,AL73)</f>
        <v>0</v>
      </c>
      <c r="BJ73" s="170">
        <f>(Escenarios!$F$16*AT73+0.1*BD73)/(Escenarios!$F$19)</f>
        <v>6.6223586583376122</v>
      </c>
      <c r="BK73" s="76">
        <f>BK72+(0.1*BD73)/(Escenarios!$F$19)-BL72</f>
        <v>48.75</v>
      </c>
      <c r="BL73" s="76">
        <f>MAX(0,(BK73-Constantes!$D$13)*(1-EXP(-Constantes!$D$23)))</f>
        <v>0</v>
      </c>
      <c r="BM73" s="76">
        <f t="shared" si="26"/>
        <v>0.94889527130722606</v>
      </c>
      <c r="BN73" s="76">
        <f t="shared" si="27"/>
        <v>1.0923670442608524</v>
      </c>
      <c r="BO73" s="76">
        <f>0.0526*BI73*Observaciones!$F72^1.218</f>
        <v>0</v>
      </c>
      <c r="BP73" s="76">
        <f>BO73*Constantes!$F$51</f>
        <v>0</v>
      </c>
      <c r="BQ73" s="76">
        <f t="shared" si="28"/>
        <v>0</v>
      </c>
      <c r="BR73" s="40"/>
    </row>
    <row r="74" spans="2:70">
      <c r="B74" s="39"/>
      <c r="C74" s="75">
        <v>68</v>
      </c>
      <c r="D74" s="146">
        <f>ETo!$I73*((1-Constantes!$F$19)*ETo!$K73+ETo!$L73)</f>
        <v>4.2060562201697005</v>
      </c>
      <c r="E74" s="76">
        <f>MIN(D74*Constantes!$F$17,0.8*(N73+Observaciones!$F73-F74-M74-Constantes!$D$14))</f>
        <v>2.3987633155274417</v>
      </c>
      <c r="F74" s="76">
        <f>IF(Observaciones!$F73&gt;0.05*Constantes!$F$18,((Observaciones!$F73-0.05*Constantes!$F$18)^2)/(Observaciones!$F73+0.95*Constantes!$F$18),0)</f>
        <v>0</v>
      </c>
      <c r="G74" s="76">
        <f>IF(Escenarios!$F$11&gt;0,(F74*Escenarios!$F$16*10000)/1000,0)</f>
        <v>0</v>
      </c>
      <c r="H74" s="76">
        <f>IF(Escenarios!$F$11&gt;0,(Observaciones!$F73*Constantes!$F$29)/1000,0)</f>
        <v>0</v>
      </c>
      <c r="I74" s="76">
        <f>IF(Escenarios!$F$11&gt;0,(D74*Constantes!$F$29)/1000,0)</f>
        <v>0</v>
      </c>
      <c r="J74" s="76">
        <f>IF(Escenarios!$F$11&gt;0,MAX(0,G74+H74-I74),0)</f>
        <v>0</v>
      </c>
      <c r="K74" s="76">
        <f>IF(Escenarios!$F$11&gt;0,IF(J74&gt;Constantes!$F$30,1000*((J74-Constantes!$F$30)/(Escenarios!$F$16*10000)),0),F74)</f>
        <v>0</v>
      </c>
      <c r="L74" s="76">
        <f>IF(Escenarios!$F$11&gt;0,I74*1000/Escenarios!$F$16/10000+E74,E74)</f>
        <v>2.3987633155274417</v>
      </c>
      <c r="M74" s="76">
        <f>MAX(0,N73+Observaciones!$F73-K74-Constantes!$D$13)</f>
        <v>0</v>
      </c>
      <c r="N74" s="76">
        <f>N73+Observaciones!$F73-K74-L74-M74-O73</f>
        <v>44.284150800534299</v>
      </c>
      <c r="O74" s="76">
        <f>MAX(0,(N74-Constantes!$D$14)*(1-EXP(-Constantes!$D$22)))</f>
        <v>1.1252644471164488</v>
      </c>
      <c r="P74" s="170">
        <f>P73+(Entradas!$F$83*M74-Q73)/(800*Entradas!$D$25)</f>
        <v>0</v>
      </c>
      <c r="Q74" s="170">
        <f>8000*Entradas!$D$26*P74/Constantes!$F$45</f>
        <v>0</v>
      </c>
      <c r="R74" s="170">
        <f>IF(Escenarios!$F$14&gt;0,K74*Escenarios!$F$13/Escenarios!$F$14,0)</f>
        <v>0</v>
      </c>
      <c r="S74" s="170">
        <f>IF(Escenarios!$F$14&gt;0,Q74*Escenarios!$F$13/Escenarios!$F$14,0)</f>
        <v>0</v>
      </c>
      <c r="T74" s="170">
        <f>IF(Escenarios!$F$14&gt;0,Observaciones!$I73,0)</f>
        <v>0</v>
      </c>
      <c r="U74" s="170">
        <f>IF(Escenarios!$F$14&gt;0,MAX(0,Constantes!$F$36/((Z73+R74+S74+T74+Observaciones!$F73)^2)+Entradas!$F$77),0)</f>
        <v>2.3168857344865716</v>
      </c>
      <c r="V74" s="146">
        <f>IF(ETo!D73&gt;0,ETo!I73*((1-Entradas!$F$81)*ETo!K73+ETo!L73),0)</f>
        <v>3.7311820293242275</v>
      </c>
      <c r="W74" s="170">
        <f>IF(Escenarios!$F$14&gt;0,MIN(V74*1,0.8*(Z73+R74+S74+T74+Observaciones!$F73-U74-Constantes!$F$35)),0)</f>
        <v>3.7311820293242275</v>
      </c>
      <c r="X74" s="170">
        <f>IF(Escenarios!$F$14&gt;0,Observaciones!$J73,0)</f>
        <v>0</v>
      </c>
      <c r="Y74" s="170">
        <f>IF(Escenarios!$F$14&gt;0,MAX(0,Z73+R74+S74+T74+Observaciones!$F73-U74-W74-X74-Constantes!$F$33),0)</f>
        <v>0</v>
      </c>
      <c r="Z74" s="170">
        <f>Z73+R74+S74+T74+Observaciones!$F73-U74-W74-Y74</f>
        <v>116.54610177076574</v>
      </c>
      <c r="AA74" s="170">
        <f>IF(Escenarios!$F$14&gt;0,(Escenarios!$F$13*L74+Escenarios!$F$14*W74)/(Escenarios!$F$16),L74)</f>
        <v>2.5586535611830565</v>
      </c>
      <c r="AB74" s="170">
        <f>IF(Escenarios!$F$14&gt;0,(Escenarios!$F$14*Y74)/(Escenarios!$F$16),K74)</f>
        <v>0</v>
      </c>
      <c r="AC74" s="170">
        <f>IF(Escenarios!$F$14&gt;0,(Escenarios!$F$13*M74+Escenarios!$F$14*U74)/(Escenarios!$F$16),M74)</f>
        <v>0.27802628813838864</v>
      </c>
      <c r="AD74" s="76">
        <f t="shared" si="15"/>
        <v>138.798113538938</v>
      </c>
      <c r="AE74" s="76">
        <f>MAX(0,(AD74-Constantes!$D$13)*(1-EXP(-Constantes!$D$23)))</f>
        <v>0.88726551048880942</v>
      </c>
      <c r="AF74" s="76">
        <f>AB74+O74*Escenarios!$F$13/Escenarios!$F$16+AE74</f>
        <v>1.8774982239512843</v>
      </c>
      <c r="AG74" s="76">
        <f>IF(Entradas!$F$91&gt;0,IF(AF74-Escenarios!$F$38&lt;=0,0,IF(AF74-Escenarios!$F$38&gt;Escenarios!$F$37,Escenarios!$F$37,AF74-Escenarios!$F$38)),0)</f>
        <v>0.84069822395128435</v>
      </c>
      <c r="AH74" s="76">
        <f>AG74*Entradas!$F$99</f>
        <v>0</v>
      </c>
      <c r="AI74" s="76">
        <f>IF(Entradas!$F$91&gt;0,D74*Entradas!$D$23/Escenarios!$F$16,0)</f>
        <v>0.20189069856814565</v>
      </c>
      <c r="AJ74" s="76">
        <f>IF(Entradas!$F$91&gt;0,Entradas!$D$24*Entradas!$D$22/Escenarios!$F$16,0)</f>
        <v>0.12</v>
      </c>
      <c r="AK74" s="76">
        <f t="shared" si="16"/>
        <v>2.7605442597512022</v>
      </c>
      <c r="AL74" s="76">
        <f t="shared" si="17"/>
        <v>0</v>
      </c>
      <c r="AM74" s="76">
        <f t="shared" si="18"/>
        <v>0.84069822395128435</v>
      </c>
      <c r="AN74" s="76">
        <f>MAX(0,O74*Escenarios!$F$13/Escenarios!$F$16-AM74)</f>
        <v>0.14953448951119064</v>
      </c>
      <c r="AO74" s="76">
        <f>AM74+AN74-O74*Escenarios!$F$13/Escenarios!$F$16</f>
        <v>0</v>
      </c>
      <c r="AP74" s="76">
        <f t="shared" si="19"/>
        <v>0.88726551048880942</v>
      </c>
      <c r="AQ74" s="76">
        <f t="shared" si="20"/>
        <v>0</v>
      </c>
      <c r="AR74" s="76">
        <f t="shared" si="21"/>
        <v>1.0367999999999999</v>
      </c>
      <c r="AS74" s="76">
        <f t="shared" si="22"/>
        <v>0.51880752538313868</v>
      </c>
      <c r="AT74" s="76">
        <f t="shared" si="23"/>
        <v>0.79683381352152738</v>
      </c>
      <c r="AU74" s="76">
        <f t="shared" si="24"/>
        <v>52.848578792795479</v>
      </c>
      <c r="AV74" s="76">
        <f>MAX(0,(AU74-Constantes!$D$13)*(1-EXP(-Constantes!$D$24)))</f>
        <v>6.2647789465579501E-2</v>
      </c>
      <c r="AW74" s="170">
        <f>AW73+(Entradas!$F$112*AT74-AX73)/(800*Entradas!$D$25)</f>
        <v>0</v>
      </c>
      <c r="AX74" s="170">
        <f>8000*Entradas!$D$26*AW74/Constantes!$F$45</f>
        <v>0</v>
      </c>
      <c r="AY74" s="170">
        <f>IF(Escenarios!$F$17&gt;0,10*Escenarios!$F$16*AL74,0)</f>
        <v>0</v>
      </c>
      <c r="AZ74" s="170">
        <f>IF(Escenarios!$F$17&gt;0,10*Escenarios!$F$16*AX74,0)</f>
        <v>0</v>
      </c>
      <c r="BA74" s="170">
        <f>IF(Escenarios!$F$17&gt;0,0.001*Observaciones!$F73*Escenarios!$F$17,0)</f>
        <v>0</v>
      </c>
      <c r="BB74" s="170">
        <f>IF(Escenarios!$F$17&gt;0,Observaciones!$K73,0)</f>
        <v>0</v>
      </c>
      <c r="BC74" s="170">
        <f>IF(Escenarios!$F$17&gt;0,MIN(0.0005*ETo!$M73*Escenarios!$F$17*(BG73/Constantes!$F$40)^(2/3),BG73+AY74+AZ74+BA74+BB74),0)</f>
        <v>0</v>
      </c>
      <c r="BD74" s="170">
        <f>IF(Escenarios!$F$17&gt;0,MIN(Constantes!$F$39*(BG73/Constantes!$F$40)^(2/3),BG73+AY74+AZ74+BA74+BB74-BC74),0)</f>
        <v>0</v>
      </c>
      <c r="BE74" s="170">
        <f>IF(Escenarios!$F$17&gt;0,MIN(Entradas!$F$113,BG73+AY74+AZ74+BA74+BB74-BC74-BD74),0)</f>
        <v>0</v>
      </c>
      <c r="BF74" s="170">
        <f>IF(Escenarios!$F$17&gt;0,MAX(0,BG73+AY74+AZ74+BA74+BB74-BC74-BD74-BE74-Constantes!$F$40),0)</f>
        <v>0</v>
      </c>
      <c r="BG74" s="170">
        <f t="shared" si="25"/>
        <v>0</v>
      </c>
      <c r="BH74" s="170">
        <f>(Escenarios!$F$16*AK74+0.1*BC74)/(Escenarios!$F$19)</f>
        <v>2.7605442597512022</v>
      </c>
      <c r="BI74" s="170">
        <f>IF(Escenarios!$F$17&gt;0,BF74/10/Escenarios!$F$19,AL74)</f>
        <v>0</v>
      </c>
      <c r="BJ74" s="170">
        <f>(Escenarios!$F$16*AT74+0.1*BD74)/(Escenarios!$F$19)</f>
        <v>0.79683381352152738</v>
      </c>
      <c r="BK74" s="76">
        <f>BK73+(0.1*BD74)/(Escenarios!$F$19)-BL73</f>
        <v>48.75</v>
      </c>
      <c r="BL74" s="76">
        <f>MAX(0,(BK74-Constantes!$D$13)*(1-EXP(-Constantes!$D$23)))</f>
        <v>0</v>
      </c>
      <c r="BM74" s="76">
        <f t="shared" si="26"/>
        <v>0.94991329995438889</v>
      </c>
      <c r="BN74" s="76">
        <f t="shared" si="27"/>
        <v>1.0994477894655794</v>
      </c>
      <c r="BO74" s="76">
        <f>0.0526*BI74*Observaciones!$F73^1.218</f>
        <v>0</v>
      </c>
      <c r="BP74" s="76">
        <f>BO74*Constantes!$F$51</f>
        <v>0</v>
      </c>
      <c r="BQ74" s="76">
        <f t="shared" si="28"/>
        <v>0</v>
      </c>
      <c r="BR74" s="40"/>
    </row>
    <row r="75" spans="2:70">
      <c r="B75" s="39"/>
      <c r="C75" s="75">
        <v>69</v>
      </c>
      <c r="D75" s="146">
        <f>ETo!$I74*((1-Constantes!$F$19)*ETo!$K74+ETo!$L74)</f>
        <v>4.3370460646731832</v>
      </c>
      <c r="E75" s="76">
        <f>MIN(D75*Constantes!$F$17,0.8*(N74+Observaciones!$F74-F75-M75-Constantes!$D$14))</f>
        <v>2.4734683639751585</v>
      </c>
      <c r="F75" s="76">
        <f>IF(Observaciones!$F74&gt;0.05*Constantes!$F$18,((Observaciones!$F74-0.05*Constantes!$F$18)^2)/(Observaciones!$F74+0.95*Constantes!$F$18),0)</f>
        <v>2.0346607144569501E-2</v>
      </c>
      <c r="G75" s="76">
        <f>IF(Escenarios!$F$11&gt;0,(F75*Escenarios!$F$16*10000)/1000,0)</f>
        <v>0</v>
      </c>
      <c r="H75" s="76">
        <f>IF(Escenarios!$F$11&gt;0,(Observaciones!$F74*Constantes!$F$29)/1000,0)</f>
        <v>0</v>
      </c>
      <c r="I75" s="76">
        <f>IF(Escenarios!$F$11&gt;0,(D75*Constantes!$F$29)/1000,0)</f>
        <v>0</v>
      </c>
      <c r="J75" s="76">
        <f>IF(Escenarios!$F$11&gt;0,MAX(0,G75+H75-I75),0)</f>
        <v>0</v>
      </c>
      <c r="K75" s="76">
        <f>IF(Escenarios!$F$11&gt;0,IF(J75&gt;Constantes!$F$30,1000*((J75-Constantes!$F$30)/(Escenarios!$F$16*10000)),0),F75)</f>
        <v>2.0346607144569501E-2</v>
      </c>
      <c r="L75" s="76">
        <f>IF(Escenarios!$F$11&gt;0,I75*1000/Escenarios!$F$16/10000+E75,E75)</f>
        <v>2.4734683639751585</v>
      </c>
      <c r="M75" s="76">
        <f>MAX(0,N74+Observaciones!$F74-K75-Constantes!$D$13)</f>
        <v>8.6138041933897327</v>
      </c>
      <c r="N75" s="76">
        <f>N74+Observaciones!$F74-K75-L75-M75-O74</f>
        <v>45.151267188908392</v>
      </c>
      <c r="O75" s="76">
        <f>MAX(0,(N75-Constantes!$D$14)*(1-EXP(-Constantes!$D$22)))</f>
        <v>1.1548016145538997</v>
      </c>
      <c r="P75" s="170">
        <f>P74+(Entradas!$F$83*M75-Q74)/(800*Entradas!$D$25)</f>
        <v>0</v>
      </c>
      <c r="Q75" s="170">
        <f>8000*Entradas!$D$26*P75/Constantes!$F$45</f>
        <v>0</v>
      </c>
      <c r="R75" s="170">
        <f>IF(Escenarios!$F$14&gt;0,K75*Escenarios!$F$13/Escenarios!$F$14,0)</f>
        <v>0.14920845239350966</v>
      </c>
      <c r="S75" s="170">
        <f>IF(Escenarios!$F$14&gt;0,Q75*Escenarios!$F$13/Escenarios!$F$14,0)</f>
        <v>0</v>
      </c>
      <c r="T75" s="170">
        <f>IF(Escenarios!$F$14&gt;0,Observaciones!$I74,0)</f>
        <v>0</v>
      </c>
      <c r="U75" s="170">
        <f>IF(Escenarios!$F$14&gt;0,MAX(0,Constantes!$F$36/((Z74+R75+S75+T75+Observaciones!$F74)^2)+Entradas!$F$77),0)</f>
        <v>2.3905824100706456</v>
      </c>
      <c r="V75" s="146">
        <f>IF(ETo!D74&gt;0,ETo!I74*((1-Entradas!$F$81)*ETo!K74+ETo!L74),0)</f>
        <v>3.8492017616343404</v>
      </c>
      <c r="W75" s="170">
        <f>IF(Escenarios!$F$14&gt;0,MIN(V75*1,0.8*(Z74+R75+S75+T75+Observaciones!$F74-U75-Constantes!$F$35)),0)</f>
        <v>3.8492017616343404</v>
      </c>
      <c r="X75" s="170">
        <f>IF(Escenarios!$F$14&gt;0,Observaciones!$J74,0)</f>
        <v>0</v>
      </c>
      <c r="Y75" s="170">
        <f>IF(Escenarios!$F$14&gt;0,MAX(0,Z74+R75+S75+T75+Observaciones!$F74-U75-W75-X75-Constantes!$F$33),0)</f>
        <v>0</v>
      </c>
      <c r="Z75" s="170">
        <f>Z74+R75+S75+T75+Observaciones!$F74-U75-W75-Y75</f>
        <v>123.55552605145425</v>
      </c>
      <c r="AA75" s="170">
        <f>IF(Escenarios!$F$14&gt;0,(Escenarios!$F$13*L75+Escenarios!$F$14*W75)/(Escenarios!$F$16),L75)</f>
        <v>2.6385563716942602</v>
      </c>
      <c r="AB75" s="170">
        <f>IF(Escenarios!$F$14&gt;0,(Escenarios!$F$14*Y75)/(Escenarios!$F$16),K75)</f>
        <v>0</v>
      </c>
      <c r="AC75" s="170">
        <f>IF(Escenarios!$F$14&gt;0,(Escenarios!$F$13*M75+Escenarios!$F$14*U75)/(Escenarios!$F$16),M75)</f>
        <v>7.8670175793914421</v>
      </c>
      <c r="AD75" s="76">
        <f t="shared" si="15"/>
        <v>145.77786560784062</v>
      </c>
      <c r="AE75" s="76">
        <f>MAX(0,(AD75-Constantes!$D$13)*(1-EXP(-Constantes!$D$23)))</f>
        <v>0.95603867007112897</v>
      </c>
      <c r="AF75" s="76">
        <f>AB75+O75*Escenarios!$F$13/Escenarios!$F$16+AE75</f>
        <v>1.9722640908785607</v>
      </c>
      <c r="AG75" s="76">
        <f>IF(Entradas!$F$91&gt;0,IF(AF75-Escenarios!$F$38&lt;=0,0,IF(AF75-Escenarios!$F$38&gt;Escenarios!$F$37,Escenarios!$F$37,AF75-Escenarios!$F$38)),0)</f>
        <v>0.93546409087856075</v>
      </c>
      <c r="AH75" s="76">
        <f>AG75*Entradas!$F$99</f>
        <v>0</v>
      </c>
      <c r="AI75" s="76">
        <f>IF(Entradas!$F$91&gt;0,D75*Entradas!$D$23/Escenarios!$F$16,0)</f>
        <v>0.20817821110431278</v>
      </c>
      <c r="AJ75" s="76">
        <f>IF(Entradas!$F$91&gt;0,Entradas!$D$24*Entradas!$D$22/Escenarios!$F$16,0)</f>
        <v>0.12</v>
      </c>
      <c r="AK75" s="76">
        <f t="shared" si="16"/>
        <v>2.8467345827985731</v>
      </c>
      <c r="AL75" s="76">
        <f t="shared" si="17"/>
        <v>0</v>
      </c>
      <c r="AM75" s="76">
        <f t="shared" si="18"/>
        <v>0.93546409087856075</v>
      </c>
      <c r="AN75" s="76">
        <f>MAX(0,O75*Escenarios!$F$13/Escenarios!$F$16-AM75)</f>
        <v>8.0761329928870973E-2</v>
      </c>
      <c r="AO75" s="76">
        <f>AM75+AN75-O75*Escenarios!$F$13/Escenarios!$F$16</f>
        <v>0</v>
      </c>
      <c r="AP75" s="76">
        <f t="shared" si="19"/>
        <v>0.95603867007112897</v>
      </c>
      <c r="AQ75" s="76">
        <f t="shared" si="20"/>
        <v>0</v>
      </c>
      <c r="AR75" s="76">
        <f t="shared" si="21"/>
        <v>1.0367999999999999</v>
      </c>
      <c r="AS75" s="76">
        <f t="shared" si="22"/>
        <v>0.60728587977424797</v>
      </c>
      <c r="AT75" s="76">
        <f t="shared" si="23"/>
        <v>8.4743034591656894</v>
      </c>
      <c r="AU75" s="76">
        <f t="shared" si="24"/>
        <v>53.393216883104145</v>
      </c>
      <c r="AV75" s="76">
        <f>MAX(0,(AU75-Constantes!$D$13)*(1-EXP(-Constantes!$D$24)))</f>
        <v>7.097271723726703E-2</v>
      </c>
      <c r="AW75" s="170">
        <f>AW74+(Entradas!$F$112*AT75-AX74)/(800*Entradas!$D$25)</f>
        <v>0</v>
      </c>
      <c r="AX75" s="170">
        <f>8000*Entradas!$D$26*AW75/Constantes!$F$45</f>
        <v>0</v>
      </c>
      <c r="AY75" s="170">
        <f>IF(Escenarios!$F$17&gt;0,10*Escenarios!$F$16*AL75,0)</f>
        <v>0</v>
      </c>
      <c r="AZ75" s="170">
        <f>IF(Escenarios!$F$17&gt;0,10*Escenarios!$F$16*AX75,0)</f>
        <v>0</v>
      </c>
      <c r="BA75" s="170">
        <f>IF(Escenarios!$F$17&gt;0,0.001*Observaciones!$F74*Escenarios!$F$17,0)</f>
        <v>0</v>
      </c>
      <c r="BB75" s="170">
        <f>IF(Escenarios!$F$17&gt;0,Observaciones!$K74,0)</f>
        <v>0</v>
      </c>
      <c r="BC75" s="170">
        <f>IF(Escenarios!$F$17&gt;0,MIN(0.0005*ETo!$M74*Escenarios!$F$17*(BG74/Constantes!$F$40)^(2/3),BG74+AY75+AZ75+BA75+BB75),0)</f>
        <v>0</v>
      </c>
      <c r="BD75" s="170">
        <f>IF(Escenarios!$F$17&gt;0,MIN(Constantes!$F$39*(BG74/Constantes!$F$40)^(2/3),BG74+AY75+AZ75+BA75+BB75-BC75),0)</f>
        <v>0</v>
      </c>
      <c r="BE75" s="170">
        <f>IF(Escenarios!$F$17&gt;0,MIN(Entradas!$F$113,BG74+AY75+AZ75+BA75+BB75-BC75-BD75),0)</f>
        <v>0</v>
      </c>
      <c r="BF75" s="170">
        <f>IF(Escenarios!$F$17&gt;0,MAX(0,BG74+AY75+AZ75+BA75+BB75-BC75-BD75-BE75-Constantes!$F$40),0)</f>
        <v>0</v>
      </c>
      <c r="BG75" s="170">
        <f t="shared" si="25"/>
        <v>0</v>
      </c>
      <c r="BH75" s="170">
        <f>(Escenarios!$F$16*AK75+0.1*BC75)/(Escenarios!$F$19)</f>
        <v>2.8467345827985731</v>
      </c>
      <c r="BI75" s="170">
        <f>IF(Escenarios!$F$17&gt;0,BF75/10/Escenarios!$F$19,AL75)</f>
        <v>0</v>
      </c>
      <c r="BJ75" s="170">
        <f>(Escenarios!$F$16*AT75+0.1*BD75)/(Escenarios!$F$19)</f>
        <v>8.4743034591656894</v>
      </c>
      <c r="BK75" s="76">
        <f>BK74+(0.1*BD75)/(Escenarios!$F$19)-BL74</f>
        <v>48.75</v>
      </c>
      <c r="BL75" s="76">
        <f>MAX(0,(BK75-Constantes!$D$13)*(1-EXP(-Constantes!$D$23)))</f>
        <v>0</v>
      </c>
      <c r="BM75" s="76">
        <f t="shared" si="26"/>
        <v>1.0270113873083959</v>
      </c>
      <c r="BN75" s="76">
        <f t="shared" si="27"/>
        <v>1.1077727172372669</v>
      </c>
      <c r="BO75" s="76">
        <f>0.0526*BI75*Observaciones!$F74^1.218</f>
        <v>0</v>
      </c>
      <c r="BP75" s="76">
        <f>BO75*Constantes!$F$51</f>
        <v>0</v>
      </c>
      <c r="BQ75" s="76">
        <f t="shared" si="28"/>
        <v>0</v>
      </c>
      <c r="BR75" s="40"/>
    </row>
    <row r="76" spans="2:70">
      <c r="B76" s="39"/>
      <c r="C76" s="75">
        <v>70</v>
      </c>
      <c r="D76" s="146">
        <f>ETo!$I75*((1-Constantes!$F$19)*ETo!$K75+ETo!$L75)</f>
        <v>4.219613226044169</v>
      </c>
      <c r="E76" s="76">
        <f>MIN(D76*Constantes!$F$17,0.8*(N75+Observaciones!$F75-F76-M76-Constantes!$D$14))</f>
        <v>2.406495035375626</v>
      </c>
      <c r="F76" s="76">
        <f>IF(Observaciones!$F75&gt;0.05*Constantes!$F$18,((Observaciones!$F75-0.05*Constantes!$F$18)^2)/(Observaciones!$F75+0.95*Constantes!$F$18),0)</f>
        <v>0</v>
      </c>
      <c r="G76" s="76">
        <f>IF(Escenarios!$F$11&gt;0,(F76*Escenarios!$F$16*10000)/1000,0)</f>
        <v>0</v>
      </c>
      <c r="H76" s="76">
        <f>IF(Escenarios!$F$11&gt;0,(Observaciones!$F75*Constantes!$F$29)/1000,0)</f>
        <v>0</v>
      </c>
      <c r="I76" s="76">
        <f>IF(Escenarios!$F$11&gt;0,(D76*Constantes!$F$29)/1000,0)</f>
        <v>0</v>
      </c>
      <c r="J76" s="76">
        <f>IF(Escenarios!$F$11&gt;0,MAX(0,G76+H76-I76),0)</f>
        <v>0</v>
      </c>
      <c r="K76" s="76">
        <f>IF(Escenarios!$F$11&gt;0,IF(J76&gt;Constantes!$F$30,1000*((J76-Constantes!$F$30)/(Escenarios!$F$16*10000)),0),F76)</f>
        <v>0</v>
      </c>
      <c r="L76" s="76">
        <f>IF(Escenarios!$F$11&gt;0,I76*1000/Escenarios!$F$16/10000+E76,E76)</f>
        <v>2.406495035375626</v>
      </c>
      <c r="M76" s="76">
        <f>MAX(0,N75+Observaciones!$F75-K76-Constantes!$D$13)</f>
        <v>1.8012671889083904</v>
      </c>
      <c r="N76" s="76">
        <f>N75+Observaciones!$F75-K76-L76-M76-O75</f>
        <v>45.188703350070476</v>
      </c>
      <c r="O76" s="76">
        <f>MAX(0,(N76-Constantes!$D$14)*(1-EXP(-Constantes!$D$22)))</f>
        <v>1.1560768276340414</v>
      </c>
      <c r="P76" s="170">
        <f>P75+(Entradas!$F$83*M76-Q75)/(800*Entradas!$D$25)</f>
        <v>0</v>
      </c>
      <c r="Q76" s="170">
        <f>8000*Entradas!$D$26*P76/Constantes!$F$45</f>
        <v>0</v>
      </c>
      <c r="R76" s="170">
        <f>IF(Escenarios!$F$14&gt;0,K76*Escenarios!$F$13/Escenarios!$F$14,0)</f>
        <v>0</v>
      </c>
      <c r="S76" s="170">
        <f>IF(Escenarios!$F$14&gt;0,Q76*Escenarios!$F$13/Escenarios!$F$14,0)</f>
        <v>0</v>
      </c>
      <c r="T76" s="170">
        <f>IF(Escenarios!$F$14&gt;0,Observaciones!$I75,0)</f>
        <v>0</v>
      </c>
      <c r="U76" s="170">
        <f>IF(Escenarios!$F$14&gt;0,MAX(0,Constantes!$F$36/((Z75+R76+S76+T76+Observaciones!$F75)^2)+Entradas!$F$77),0)</f>
        <v>2.3826192670228754</v>
      </c>
      <c r="V76" s="146">
        <f>IF(ETo!D75&gt;0,ETo!I75*((1-Entradas!$F$81)*ETo!K75+ETo!L75),0)</f>
        <v>3.7430287733719441</v>
      </c>
      <c r="W76" s="170">
        <f>IF(Escenarios!$F$14&gt;0,MIN(V76*1,0.8*(Z75+R76+S76+T76+Observaciones!$F75-U76-Constantes!$F$35)),0)</f>
        <v>3.7430287733719441</v>
      </c>
      <c r="X76" s="170">
        <f>IF(Escenarios!$F$14&gt;0,Observaciones!$J75,0)</f>
        <v>0</v>
      </c>
      <c r="Y76" s="170">
        <f>IF(Escenarios!$F$14&gt;0,MAX(0,Z75+R76+S76+T76+Observaciones!$F75-U76-W76-X76-Constantes!$F$33),0)</f>
        <v>0</v>
      </c>
      <c r="Z76" s="170">
        <f>Z75+R76+S76+T76+Observaciones!$F75-U76-W76-Y76</f>
        <v>122.82987801105944</v>
      </c>
      <c r="AA76" s="170">
        <f>IF(Escenarios!$F$14&gt;0,(Escenarios!$F$13*L76+Escenarios!$F$14*W76)/(Escenarios!$F$16),L76)</f>
        <v>2.5668790839351843</v>
      </c>
      <c r="AB76" s="170">
        <f>IF(Escenarios!$F$14&gt;0,(Escenarios!$F$14*Y76)/(Escenarios!$F$16),K76)</f>
        <v>0</v>
      </c>
      <c r="AC76" s="170">
        <f>IF(Escenarios!$F$14&gt;0,(Escenarios!$F$13*M76+Escenarios!$F$14*U76)/(Escenarios!$F$16),M76)</f>
        <v>1.8710294382821286</v>
      </c>
      <c r="AD76" s="76">
        <f t="shared" si="15"/>
        <v>146.69285637605162</v>
      </c>
      <c r="AE76" s="76">
        <f>MAX(0,(AD76-Constantes!$D$13)*(1-EXP(-Constantes!$D$23)))</f>
        <v>0.96505429204413373</v>
      </c>
      <c r="AF76" s="76">
        <f>AB76+O76*Escenarios!$F$13/Escenarios!$F$16+AE76</f>
        <v>1.9824019003620901</v>
      </c>
      <c r="AG76" s="76">
        <f>IF(Entradas!$F$91&gt;0,IF(AF76-Escenarios!$F$38&lt;=0,0,IF(AF76-Escenarios!$F$38&gt;Escenarios!$F$37,Escenarios!$F$37,AF76-Escenarios!$F$38)),0)</f>
        <v>0.94560190036209013</v>
      </c>
      <c r="AH76" s="76">
        <f>AG76*Entradas!$F$99</f>
        <v>0</v>
      </c>
      <c r="AI76" s="76">
        <f>IF(Entradas!$F$91&gt;0,D76*Entradas!$D$23/Escenarios!$F$16,0)</f>
        <v>0.20254143485012011</v>
      </c>
      <c r="AJ76" s="76">
        <f>IF(Entradas!$F$91&gt;0,Entradas!$D$24*Entradas!$D$22/Escenarios!$F$16,0)</f>
        <v>0.12</v>
      </c>
      <c r="AK76" s="76">
        <f t="shared" si="16"/>
        <v>2.7694205187853043</v>
      </c>
      <c r="AL76" s="76">
        <f t="shared" si="17"/>
        <v>0</v>
      </c>
      <c r="AM76" s="76">
        <f t="shared" si="18"/>
        <v>0.94560190036209013</v>
      </c>
      <c r="AN76" s="76">
        <f>MAX(0,O76*Escenarios!$F$13/Escenarios!$F$16-AM76)</f>
        <v>7.1745707955866322E-2</v>
      </c>
      <c r="AO76" s="76">
        <f>AM76+AN76-O76*Escenarios!$F$13/Escenarios!$F$16</f>
        <v>0</v>
      </c>
      <c r="AP76" s="76">
        <f t="shared" si="19"/>
        <v>0.96505429204413373</v>
      </c>
      <c r="AQ76" s="76">
        <f t="shared" si="20"/>
        <v>0</v>
      </c>
      <c r="AR76" s="76">
        <f t="shared" si="21"/>
        <v>1.0367999999999999</v>
      </c>
      <c r="AS76" s="76">
        <f t="shared" si="22"/>
        <v>0.62306046551197003</v>
      </c>
      <c r="AT76" s="76">
        <f t="shared" si="23"/>
        <v>2.4940899037940989</v>
      </c>
      <c r="AU76" s="76">
        <f t="shared" si="24"/>
        <v>53.945304631378846</v>
      </c>
      <c r="AV76" s="76">
        <f>MAX(0,(AU76-Constantes!$D$13)*(1-EXP(-Constantes!$D$24)))</f>
        <v>7.9411514871519373E-2</v>
      </c>
      <c r="AW76" s="170">
        <f>AW75+(Entradas!$F$112*AT76-AX75)/(800*Entradas!$D$25)</f>
        <v>0</v>
      </c>
      <c r="AX76" s="170">
        <f>8000*Entradas!$D$26*AW76/Constantes!$F$45</f>
        <v>0</v>
      </c>
      <c r="AY76" s="170">
        <f>IF(Escenarios!$F$17&gt;0,10*Escenarios!$F$16*AL76,0)</f>
        <v>0</v>
      </c>
      <c r="AZ76" s="170">
        <f>IF(Escenarios!$F$17&gt;0,10*Escenarios!$F$16*AX76,0)</f>
        <v>0</v>
      </c>
      <c r="BA76" s="170">
        <f>IF(Escenarios!$F$17&gt;0,0.001*Observaciones!$F75*Escenarios!$F$17,0)</f>
        <v>0</v>
      </c>
      <c r="BB76" s="170">
        <f>IF(Escenarios!$F$17&gt;0,Observaciones!$K75,0)</f>
        <v>0</v>
      </c>
      <c r="BC76" s="170">
        <f>IF(Escenarios!$F$17&gt;0,MIN(0.0005*ETo!$M75*Escenarios!$F$17*(BG75/Constantes!$F$40)^(2/3),BG75+AY76+AZ76+BA76+BB76),0)</f>
        <v>0</v>
      </c>
      <c r="BD76" s="170">
        <f>IF(Escenarios!$F$17&gt;0,MIN(Constantes!$F$39*(BG75/Constantes!$F$40)^(2/3),BG75+AY76+AZ76+BA76+BB76-BC76),0)</f>
        <v>0</v>
      </c>
      <c r="BE76" s="170">
        <f>IF(Escenarios!$F$17&gt;0,MIN(Entradas!$F$113,BG75+AY76+AZ76+BA76+BB76-BC76-BD76),0)</f>
        <v>0</v>
      </c>
      <c r="BF76" s="170">
        <f>IF(Escenarios!$F$17&gt;0,MAX(0,BG75+AY76+AZ76+BA76+BB76-BC76-BD76-BE76-Constantes!$F$40),0)</f>
        <v>0</v>
      </c>
      <c r="BG76" s="170">
        <f t="shared" si="25"/>
        <v>0</v>
      </c>
      <c r="BH76" s="170">
        <f>(Escenarios!$F$16*AK76+0.1*BC76)/(Escenarios!$F$19)</f>
        <v>2.7694205187853043</v>
      </c>
      <c r="BI76" s="170">
        <f>IF(Escenarios!$F$17&gt;0,BF76/10/Escenarios!$F$19,AL76)</f>
        <v>0</v>
      </c>
      <c r="BJ76" s="170">
        <f>(Escenarios!$F$16*AT76+0.1*BD76)/(Escenarios!$F$19)</f>
        <v>2.4940899037940989</v>
      </c>
      <c r="BK76" s="76">
        <f>BK75+(0.1*BD76)/(Escenarios!$F$19)-BL75</f>
        <v>48.75</v>
      </c>
      <c r="BL76" s="76">
        <f>MAX(0,(BK76-Constantes!$D$13)*(1-EXP(-Constantes!$D$23)))</f>
        <v>0</v>
      </c>
      <c r="BM76" s="76">
        <f t="shared" si="26"/>
        <v>1.0444658069156532</v>
      </c>
      <c r="BN76" s="76">
        <f t="shared" si="27"/>
        <v>1.1162115148715193</v>
      </c>
      <c r="BO76" s="76">
        <f>0.0526*BI76*Observaciones!$F75^1.218</f>
        <v>0</v>
      </c>
      <c r="BP76" s="76">
        <f>BO76*Constantes!$F$51</f>
        <v>0</v>
      </c>
      <c r="BQ76" s="76">
        <f t="shared" si="28"/>
        <v>0</v>
      </c>
      <c r="BR76" s="40"/>
    </row>
    <row r="77" spans="2:70">
      <c r="B77" s="39"/>
      <c r="C77" s="75">
        <v>71</v>
      </c>
      <c r="D77" s="146">
        <f>ETo!$I76*((1-Constantes!$F$19)*ETo!$K76+ETo!$L76)</f>
        <v>4.252290143423906</v>
      </c>
      <c r="E77" s="76">
        <f>MIN(D77*Constantes!$F$17,0.8*(N76+Observaciones!$F76-F77-M77-Constantes!$D$14))</f>
        <v>2.4251310655597096</v>
      </c>
      <c r="F77" s="76">
        <f>IF(Observaciones!$F76&gt;0.05*Constantes!$F$18,((Observaciones!$F76-0.05*Constantes!$F$18)^2)/(Observaciones!$F76+0.95*Constantes!$F$18),0)</f>
        <v>0.36405194741742103</v>
      </c>
      <c r="G77" s="76">
        <f>IF(Escenarios!$F$11&gt;0,(F77*Escenarios!$F$16*10000)/1000,0)</f>
        <v>0</v>
      </c>
      <c r="H77" s="76">
        <f>IF(Escenarios!$F$11&gt;0,(Observaciones!$F76*Constantes!$F$29)/1000,0)</f>
        <v>0</v>
      </c>
      <c r="I77" s="76">
        <f>IF(Escenarios!$F$11&gt;0,(D77*Constantes!$F$29)/1000,0)</f>
        <v>0</v>
      </c>
      <c r="J77" s="76">
        <f>IF(Escenarios!$F$11&gt;0,MAX(0,G77+H77-I77),0)</f>
        <v>0</v>
      </c>
      <c r="K77" s="76">
        <f>IF(Escenarios!$F$11&gt;0,IF(J77&gt;Constantes!$F$30,1000*((J77-Constantes!$F$30)/(Escenarios!$F$16*10000)),0),F77)</f>
        <v>0.36405194741742103</v>
      </c>
      <c r="L77" s="76">
        <f>IF(Escenarios!$F$11&gt;0,I77*1000/Escenarios!$F$16/10000+E77,E77)</f>
        <v>2.4251310655597096</v>
      </c>
      <c r="M77" s="76">
        <f>MAX(0,N76+Observaciones!$F76-K77-Constantes!$D$13)</f>
        <v>16.174651402653055</v>
      </c>
      <c r="N77" s="76">
        <f>N76+Observaciones!$F76-K77-L77-M77-O76</f>
        <v>45.168792106806251</v>
      </c>
      <c r="O77" s="76">
        <f>MAX(0,(N77-Constantes!$D$14)*(1-EXP(-Constantes!$D$22)))</f>
        <v>1.1553985775927915</v>
      </c>
      <c r="P77" s="170">
        <f>P76+(Entradas!$F$83*M77-Q76)/(800*Entradas!$D$25)</f>
        <v>0</v>
      </c>
      <c r="Q77" s="170">
        <f>8000*Entradas!$D$26*P77/Constantes!$F$45</f>
        <v>0</v>
      </c>
      <c r="R77" s="170">
        <f>IF(Escenarios!$F$14&gt;0,K77*Escenarios!$F$13/Escenarios!$F$14,0)</f>
        <v>2.6697142810610877</v>
      </c>
      <c r="S77" s="170">
        <f>IF(Escenarios!$F$14&gt;0,Q77*Escenarios!$F$13/Escenarios!$F$14,0)</f>
        <v>0</v>
      </c>
      <c r="T77" s="170">
        <f>IF(Escenarios!$F$14&gt;0,Observaciones!$I76,0)</f>
        <v>0</v>
      </c>
      <c r="U77" s="170">
        <f>IF(Escenarios!$F$14&gt;0,MAX(0,Constantes!$F$36/((Z76+R77+S77+T77+Observaciones!$F76)^2)+Entradas!$F$77),0)</f>
        <v>2.5157020071373259</v>
      </c>
      <c r="V77" s="146">
        <f>IF(ETo!D76&gt;0,ETo!I76*((1-Entradas!$F$81)*ETo!K76+ETo!L76),0)</f>
        <v>3.7723181280478304</v>
      </c>
      <c r="W77" s="170">
        <f>IF(Escenarios!$F$14&gt;0,MIN(V77*1,0.8*(Z76+R77+S77+T77+Observaciones!$F76-U77-Constantes!$F$35)),0)</f>
        <v>3.7723181280478304</v>
      </c>
      <c r="X77" s="170">
        <f>IF(Escenarios!$F$14&gt;0,Observaciones!$J76,0)</f>
        <v>0</v>
      </c>
      <c r="Y77" s="170">
        <f>IF(Escenarios!$F$14&gt;0,MAX(0,Z76+R77+S77+T77+Observaciones!$F76-U77-W77-X77-Constantes!$F$33),0)</f>
        <v>0</v>
      </c>
      <c r="Z77" s="170">
        <f>Z76+R77+S77+T77+Observaciones!$F76-U77-W77-Y77</f>
        <v>139.31157215693537</v>
      </c>
      <c r="AA77" s="170">
        <f>IF(Escenarios!$F$14&gt;0,(Escenarios!$F$13*L77+Escenarios!$F$14*W77)/(Escenarios!$F$16),L77)</f>
        <v>2.586793513058284</v>
      </c>
      <c r="AB77" s="170">
        <f>IF(Escenarios!$F$14&gt;0,(Escenarios!$F$14*Y77)/(Escenarios!$F$16),K77)</f>
        <v>0</v>
      </c>
      <c r="AC77" s="170">
        <f>IF(Escenarios!$F$14&gt;0,(Escenarios!$F$13*M77+Escenarios!$F$14*U77)/(Escenarios!$F$16),M77)</f>
        <v>14.535577475191168</v>
      </c>
      <c r="AD77" s="76">
        <f t="shared" si="15"/>
        <v>160.26337955919865</v>
      </c>
      <c r="AE77" s="76">
        <f>MAX(0,(AD77-Constantes!$D$13)*(1-EXP(-Constantes!$D$23)))</f>
        <v>1.0987678892144803</v>
      </c>
      <c r="AF77" s="76">
        <f>AB77+O77*Escenarios!$F$13/Escenarios!$F$16+AE77</f>
        <v>2.115518637496137</v>
      </c>
      <c r="AG77" s="76">
        <f>IF(Entradas!$F$91&gt;0,IF(AF77-Escenarios!$F$38&lt;=0,0,IF(AF77-Escenarios!$F$38&gt;Escenarios!$F$37,Escenarios!$F$37,AF77-Escenarios!$F$38)),0)</f>
        <v>1.0787186374961371</v>
      </c>
      <c r="AH77" s="76">
        <f>AG77*Entradas!$F$99</f>
        <v>0</v>
      </c>
      <c r="AI77" s="76">
        <f>IF(Entradas!$F$91&gt;0,D77*Entradas!$D$23/Escenarios!$F$16,0)</f>
        <v>0.20410992688434748</v>
      </c>
      <c r="AJ77" s="76">
        <f>IF(Entradas!$F$91&gt;0,Entradas!$D$24*Entradas!$D$22/Escenarios!$F$16,0)</f>
        <v>0.12</v>
      </c>
      <c r="AK77" s="76">
        <f t="shared" si="16"/>
        <v>2.7909034399426313</v>
      </c>
      <c r="AL77" s="76">
        <f t="shared" si="17"/>
        <v>0</v>
      </c>
      <c r="AM77" s="76">
        <f t="shared" si="18"/>
        <v>1.0787186374961371</v>
      </c>
      <c r="AN77" s="76">
        <f>MAX(0,O77*Escenarios!$F$13/Escenarios!$F$16-AM77)</f>
        <v>0</v>
      </c>
      <c r="AO77" s="76">
        <f>AM77+AN77-O77*Escenarios!$F$13/Escenarios!$F$16</f>
        <v>6.1967889214480376E-2</v>
      </c>
      <c r="AP77" s="76">
        <f t="shared" si="19"/>
        <v>1.0367999999999999</v>
      </c>
      <c r="AQ77" s="76">
        <f t="shared" si="20"/>
        <v>0</v>
      </c>
      <c r="AR77" s="76">
        <f t="shared" si="21"/>
        <v>1.0367999999999999</v>
      </c>
      <c r="AS77" s="76">
        <f t="shared" si="22"/>
        <v>0.75460871061178958</v>
      </c>
      <c r="AT77" s="76">
        <f t="shared" si="23"/>
        <v>15.290186185802957</v>
      </c>
      <c r="AU77" s="76">
        <f t="shared" si="24"/>
        <v>54.620501827119121</v>
      </c>
      <c r="AV77" s="76">
        <f>MAX(0,(AU77-Constantes!$D$13)*(1-EXP(-Constantes!$D$24)))</f>
        <v>8.9732070826388663E-2</v>
      </c>
      <c r="AW77" s="170">
        <f>AW76+(Entradas!$F$112*AT77-AX76)/(800*Entradas!$D$25)</f>
        <v>0</v>
      </c>
      <c r="AX77" s="170">
        <f>8000*Entradas!$D$26*AW77/Constantes!$F$45</f>
        <v>0</v>
      </c>
      <c r="AY77" s="170">
        <f>IF(Escenarios!$F$17&gt;0,10*Escenarios!$F$16*AL77,0)</f>
        <v>0</v>
      </c>
      <c r="AZ77" s="170">
        <f>IF(Escenarios!$F$17&gt;0,10*Escenarios!$F$16*AX77,0)</f>
        <v>0</v>
      </c>
      <c r="BA77" s="170">
        <f>IF(Escenarios!$F$17&gt;0,0.001*Observaciones!$F76*Escenarios!$F$17,0)</f>
        <v>0</v>
      </c>
      <c r="BB77" s="170">
        <f>IF(Escenarios!$F$17&gt;0,Observaciones!$K76,0)</f>
        <v>0</v>
      </c>
      <c r="BC77" s="170">
        <f>IF(Escenarios!$F$17&gt;0,MIN(0.0005*ETo!$M76*Escenarios!$F$17*(BG76/Constantes!$F$40)^(2/3),BG76+AY77+AZ77+BA77+BB77),0)</f>
        <v>0</v>
      </c>
      <c r="BD77" s="170">
        <f>IF(Escenarios!$F$17&gt;0,MIN(Constantes!$F$39*(BG76/Constantes!$F$40)^(2/3),BG76+AY77+AZ77+BA77+BB77-BC77),0)</f>
        <v>0</v>
      </c>
      <c r="BE77" s="170">
        <f>IF(Escenarios!$F$17&gt;0,MIN(Entradas!$F$113,BG76+AY77+AZ77+BA77+BB77-BC77-BD77),0)</f>
        <v>0</v>
      </c>
      <c r="BF77" s="170">
        <f>IF(Escenarios!$F$17&gt;0,MAX(0,BG76+AY77+AZ77+BA77+BB77-BC77-BD77-BE77-Constantes!$F$40),0)</f>
        <v>0</v>
      </c>
      <c r="BG77" s="170">
        <f t="shared" si="25"/>
        <v>0</v>
      </c>
      <c r="BH77" s="170">
        <f>(Escenarios!$F$16*AK77+0.1*BC77)/(Escenarios!$F$19)</f>
        <v>2.7909034399426313</v>
      </c>
      <c r="BI77" s="170">
        <f>IF(Escenarios!$F$17&gt;0,BF77/10/Escenarios!$F$19,AL77)</f>
        <v>0</v>
      </c>
      <c r="BJ77" s="170">
        <f>(Escenarios!$F$16*AT77+0.1*BD77)/(Escenarios!$F$19)</f>
        <v>15.290186185802957</v>
      </c>
      <c r="BK77" s="76">
        <f>BK76+(0.1*BD77)/(Escenarios!$F$19)-BL76</f>
        <v>48.75</v>
      </c>
      <c r="BL77" s="76">
        <f>MAX(0,(BK77-Constantes!$D$13)*(1-EXP(-Constantes!$D$23)))</f>
        <v>0</v>
      </c>
      <c r="BM77" s="76">
        <f t="shared" si="26"/>
        <v>1.1265320708263886</v>
      </c>
      <c r="BN77" s="76">
        <f t="shared" si="27"/>
        <v>1.1265320708263886</v>
      </c>
      <c r="BO77" s="76">
        <f>0.0526*BI77*Observaciones!$F76^1.218</f>
        <v>0</v>
      </c>
      <c r="BP77" s="76">
        <f>BO77*Constantes!$F$51</f>
        <v>0</v>
      </c>
      <c r="BQ77" s="76">
        <f t="shared" si="28"/>
        <v>0</v>
      </c>
      <c r="BR77" s="40"/>
    </row>
    <row r="78" spans="2:70">
      <c r="B78" s="39"/>
      <c r="C78" s="75">
        <v>72</v>
      </c>
      <c r="D78" s="146">
        <f>ETo!$I77*((1-Constantes!$F$19)*ETo!$K77+ETo!$L77)</f>
        <v>4.2448857368241679</v>
      </c>
      <c r="E78" s="76">
        <f>MIN(D78*Constantes!$F$17,0.8*(N77+Observaciones!$F77-F78-M78-Constantes!$D$14))</f>
        <v>2.4209082454177606</v>
      </c>
      <c r="F78" s="76">
        <f>IF(Observaciones!$F77&gt;0.05*Constantes!$F$18,((Observaciones!$F77-0.05*Constantes!$F$18)^2)/(Observaciones!$F77+0.95*Constantes!$F$18),0)</f>
        <v>0</v>
      </c>
      <c r="G78" s="76">
        <f>IF(Escenarios!$F$11&gt;0,(F78*Escenarios!$F$16*10000)/1000,0)</f>
        <v>0</v>
      </c>
      <c r="H78" s="76">
        <f>IF(Escenarios!$F$11&gt;0,(Observaciones!$F77*Constantes!$F$29)/1000,0)</f>
        <v>0</v>
      </c>
      <c r="I78" s="76">
        <f>IF(Escenarios!$F$11&gt;0,(D78*Constantes!$F$29)/1000,0)</f>
        <v>0</v>
      </c>
      <c r="J78" s="76">
        <f>IF(Escenarios!$F$11&gt;0,MAX(0,G78+H78-I78),0)</f>
        <v>0</v>
      </c>
      <c r="K78" s="76">
        <f>IF(Escenarios!$F$11&gt;0,IF(J78&gt;Constantes!$F$30,1000*((J78-Constantes!$F$30)/(Escenarios!$F$16*10000)),0),F78)</f>
        <v>0</v>
      </c>
      <c r="L78" s="76">
        <f>IF(Escenarios!$F$11&gt;0,I78*1000/Escenarios!$F$16/10000+E78,E78)</f>
        <v>2.4209082454177606</v>
      </c>
      <c r="M78" s="76">
        <f>MAX(0,N77+Observaciones!$F77-K78-Constantes!$D$13)</f>
        <v>4.9187921068062508</v>
      </c>
      <c r="N78" s="76">
        <f>N77+Observaciones!$F77-K78-L78-M78-O77</f>
        <v>45.173693176989445</v>
      </c>
      <c r="O78" s="76">
        <f>MAX(0,(N78-Constantes!$D$14)*(1-EXP(-Constantes!$D$22)))</f>
        <v>1.1555655260354281</v>
      </c>
      <c r="P78" s="170">
        <f>P77+(Entradas!$F$83*M78-Q77)/(800*Entradas!$D$25)</f>
        <v>0</v>
      </c>
      <c r="Q78" s="170">
        <f>8000*Entradas!$D$26*P78/Constantes!$F$45</f>
        <v>0</v>
      </c>
      <c r="R78" s="170">
        <f>IF(Escenarios!$F$14&gt;0,K78*Escenarios!$F$13/Escenarios!$F$14,0)</f>
        <v>0</v>
      </c>
      <c r="S78" s="170">
        <f>IF(Escenarios!$F$14&gt;0,Q78*Escenarios!$F$13/Escenarios!$F$14,0)</f>
        <v>0</v>
      </c>
      <c r="T78" s="170">
        <f>IF(Escenarios!$F$14&gt;0,Observaciones!$I77,0)</f>
        <v>0</v>
      </c>
      <c r="U78" s="170">
        <f>IF(Escenarios!$F$14&gt;0,MAX(0,Constantes!$F$36/((Z77+R78+S78+T78+Observaciones!$F77)^2)+Entradas!$F$77),0)</f>
        <v>2.5300884558207803</v>
      </c>
      <c r="V78" s="146">
        <f>IF(ETo!D77&gt;0,ETo!I77*((1-Entradas!$F$81)*ETo!K77+ETo!L77),0)</f>
        <v>3.7654616265879537</v>
      </c>
      <c r="W78" s="170">
        <f>IF(Escenarios!$F$14&gt;0,MIN(V78*1,0.8*(Z77+R78+S78+T78+Observaciones!$F77-U78-Constantes!$F$35)),0)</f>
        <v>3.7654616265879537</v>
      </c>
      <c r="X78" s="170">
        <f>IF(Escenarios!$F$14&gt;0,Observaciones!$J77,0)</f>
        <v>0</v>
      </c>
      <c r="Y78" s="170">
        <f>IF(Escenarios!$F$14&gt;0,MAX(0,Z77+R78+S78+T78+Observaciones!$F77-U78-W78-X78-Constantes!$F$33),0)</f>
        <v>0</v>
      </c>
      <c r="Z78" s="170">
        <f>Z77+R78+S78+T78+Observaciones!$F77-U78-W78-Y78</f>
        <v>141.51602207452663</v>
      </c>
      <c r="AA78" s="170">
        <f>IF(Escenarios!$F$14&gt;0,(Escenarios!$F$13*L78+Escenarios!$F$14*W78)/(Escenarios!$F$16),L78)</f>
        <v>2.5822546511581841</v>
      </c>
      <c r="AB78" s="170">
        <f>IF(Escenarios!$F$14&gt;0,(Escenarios!$F$14*Y78)/(Escenarios!$F$16),K78)</f>
        <v>0</v>
      </c>
      <c r="AC78" s="170">
        <f>IF(Escenarios!$F$14&gt;0,(Escenarios!$F$13*M78+Escenarios!$F$14*U78)/(Escenarios!$F$16),M78)</f>
        <v>4.6321476686879954</v>
      </c>
      <c r="AD78" s="76">
        <f t="shared" si="15"/>
        <v>163.79675933867216</v>
      </c>
      <c r="AE78" s="76">
        <f>MAX(0,(AD78-Constantes!$D$13)*(1-EXP(-Constantes!$D$23)))</f>
        <v>1.1335831217671284</v>
      </c>
      <c r="AF78" s="76">
        <f>AB78+O78*Escenarios!$F$13/Escenarios!$F$16+AE78</f>
        <v>2.1504807846783049</v>
      </c>
      <c r="AG78" s="76">
        <f>IF(Entradas!$F$91&gt;0,IF(AF78-Escenarios!$F$38&lt;=0,0,IF(AF78-Escenarios!$F$38&gt;Escenarios!$F$37,Escenarios!$F$37,AF78-Escenarios!$F$38)),0)</f>
        <v>1.113680784678305</v>
      </c>
      <c r="AH78" s="76">
        <f>AG78*Entradas!$F$99</f>
        <v>0</v>
      </c>
      <c r="AI78" s="76">
        <f>IF(Entradas!$F$91&gt;0,D78*Entradas!$D$23/Escenarios!$F$16,0)</f>
        <v>0.20375451536756006</v>
      </c>
      <c r="AJ78" s="76">
        <f>IF(Entradas!$F$91&gt;0,Entradas!$D$24*Entradas!$D$22/Escenarios!$F$16,0)</f>
        <v>0.12</v>
      </c>
      <c r="AK78" s="76">
        <f t="shared" si="16"/>
        <v>2.7860091665257443</v>
      </c>
      <c r="AL78" s="76">
        <f t="shared" si="17"/>
        <v>0</v>
      </c>
      <c r="AM78" s="76">
        <f t="shared" si="18"/>
        <v>1.113680784678305</v>
      </c>
      <c r="AN78" s="76">
        <f>MAX(0,O78*Escenarios!$F$13/Escenarios!$F$16-AM78)</f>
        <v>0</v>
      </c>
      <c r="AO78" s="76">
        <f>AM78+AN78-O78*Escenarios!$F$13/Escenarios!$F$16</f>
        <v>9.6783121767128444E-2</v>
      </c>
      <c r="AP78" s="76">
        <f t="shared" si="19"/>
        <v>1.0367999999999999</v>
      </c>
      <c r="AQ78" s="76">
        <f t="shared" si="20"/>
        <v>0</v>
      </c>
      <c r="AR78" s="76">
        <f t="shared" si="21"/>
        <v>1.0367999999999999</v>
      </c>
      <c r="AS78" s="76">
        <f t="shared" si="22"/>
        <v>0.78992626931074494</v>
      </c>
      <c r="AT78" s="76">
        <f t="shared" si="23"/>
        <v>5.4220739379987402</v>
      </c>
      <c r="AU78" s="76">
        <f t="shared" si="24"/>
        <v>55.320696025603482</v>
      </c>
      <c r="AV78" s="76">
        <f>MAX(0,(AU78-Constantes!$D$13)*(1-EXP(-Constantes!$D$24)))</f>
        <v>0.10043471214410003</v>
      </c>
      <c r="AW78" s="170">
        <f>AW77+(Entradas!$F$112*AT78-AX77)/(800*Entradas!$D$25)</f>
        <v>0</v>
      </c>
      <c r="AX78" s="170">
        <f>8000*Entradas!$D$26*AW78/Constantes!$F$45</f>
        <v>0</v>
      </c>
      <c r="AY78" s="170">
        <f>IF(Escenarios!$F$17&gt;0,10*Escenarios!$F$16*AL78,0)</f>
        <v>0</v>
      </c>
      <c r="AZ78" s="170">
        <f>IF(Escenarios!$F$17&gt;0,10*Escenarios!$F$16*AX78,0)</f>
        <v>0</v>
      </c>
      <c r="BA78" s="170">
        <f>IF(Escenarios!$F$17&gt;0,0.001*Observaciones!$F77*Escenarios!$F$17,0)</f>
        <v>0</v>
      </c>
      <c r="BB78" s="170">
        <f>IF(Escenarios!$F$17&gt;0,Observaciones!$K77,0)</f>
        <v>0</v>
      </c>
      <c r="BC78" s="170">
        <f>IF(Escenarios!$F$17&gt;0,MIN(0.0005*ETo!$M77*Escenarios!$F$17*(BG77/Constantes!$F$40)^(2/3),BG77+AY78+AZ78+BA78+BB78),0)</f>
        <v>0</v>
      </c>
      <c r="BD78" s="170">
        <f>IF(Escenarios!$F$17&gt;0,MIN(Constantes!$F$39*(BG77/Constantes!$F$40)^(2/3),BG77+AY78+AZ78+BA78+BB78-BC78),0)</f>
        <v>0</v>
      </c>
      <c r="BE78" s="170">
        <f>IF(Escenarios!$F$17&gt;0,MIN(Entradas!$F$113,BG77+AY78+AZ78+BA78+BB78-BC78-BD78),0)</f>
        <v>0</v>
      </c>
      <c r="BF78" s="170">
        <f>IF(Escenarios!$F$17&gt;0,MAX(0,BG77+AY78+AZ78+BA78+BB78-BC78-BD78-BE78-Constantes!$F$40),0)</f>
        <v>0</v>
      </c>
      <c r="BG78" s="170">
        <f t="shared" si="25"/>
        <v>0</v>
      </c>
      <c r="BH78" s="170">
        <f>(Escenarios!$F$16*AK78+0.1*BC78)/(Escenarios!$F$19)</f>
        <v>2.7860091665257443</v>
      </c>
      <c r="BI78" s="170">
        <f>IF(Escenarios!$F$17&gt;0,BF78/10/Escenarios!$F$19,AL78)</f>
        <v>0</v>
      </c>
      <c r="BJ78" s="170">
        <f>(Escenarios!$F$16*AT78+0.1*BD78)/(Escenarios!$F$19)</f>
        <v>5.4220739379987402</v>
      </c>
      <c r="BK78" s="76">
        <f>BK77+(0.1*BD78)/(Escenarios!$F$19)-BL77</f>
        <v>48.75</v>
      </c>
      <c r="BL78" s="76">
        <f>MAX(0,(BK78-Constantes!$D$13)*(1-EXP(-Constantes!$D$23)))</f>
        <v>0</v>
      </c>
      <c r="BM78" s="76">
        <f t="shared" si="26"/>
        <v>1.1372347121441</v>
      </c>
      <c r="BN78" s="76">
        <f t="shared" si="27"/>
        <v>1.1372347121441</v>
      </c>
      <c r="BO78" s="76">
        <f>0.0526*BI78*Observaciones!$F77^1.218</f>
        <v>0</v>
      </c>
      <c r="BP78" s="76">
        <f>BO78*Constantes!$F$51</f>
        <v>0</v>
      </c>
      <c r="BQ78" s="76">
        <f t="shared" si="28"/>
        <v>0</v>
      </c>
      <c r="BR78" s="40"/>
    </row>
    <row r="79" spans="2:70">
      <c r="B79" s="39"/>
      <c r="C79" s="75">
        <v>73</v>
      </c>
      <c r="D79" s="146">
        <f>ETo!$I78*((1-Constantes!$F$19)*ETo!$K78+ETo!$L78)</f>
        <v>4.0792363196465473</v>
      </c>
      <c r="E79" s="76">
        <f>MIN(D79*Constantes!$F$17,0.8*(N78+Observaciones!$F78-F79-M79-Constantes!$D$14))</f>
        <v>2.3264364351602778</v>
      </c>
      <c r="F79" s="76">
        <f>IF(Observaciones!$F78&gt;0.05*Constantes!$F$18,((Observaciones!$F78-0.05*Constantes!$F$18)^2)/(Observaciones!$F78+0.95*Constantes!$F$18),0)</f>
        <v>0</v>
      </c>
      <c r="G79" s="76">
        <f>IF(Escenarios!$F$11&gt;0,(F79*Escenarios!$F$16*10000)/1000,0)</f>
        <v>0</v>
      </c>
      <c r="H79" s="76">
        <f>IF(Escenarios!$F$11&gt;0,(Observaciones!$F78*Constantes!$F$29)/1000,0)</f>
        <v>0</v>
      </c>
      <c r="I79" s="76">
        <f>IF(Escenarios!$F$11&gt;0,(D79*Constantes!$F$29)/1000,0)</f>
        <v>0</v>
      </c>
      <c r="J79" s="76">
        <f>IF(Escenarios!$F$11&gt;0,MAX(0,G79+H79-I79),0)</f>
        <v>0</v>
      </c>
      <c r="K79" s="76">
        <f>IF(Escenarios!$F$11&gt;0,IF(J79&gt;Constantes!$F$30,1000*((J79-Constantes!$F$30)/(Escenarios!$F$16*10000)),0),F79)</f>
        <v>0</v>
      </c>
      <c r="L79" s="76">
        <f>IF(Escenarios!$F$11&gt;0,I79*1000/Escenarios!$F$16/10000+E79,E79)</f>
        <v>2.3264364351602778</v>
      </c>
      <c r="M79" s="76">
        <f>MAX(0,N78+Observaciones!$F78-K79-Constantes!$D$13)</f>
        <v>0</v>
      </c>
      <c r="N79" s="76">
        <f>N78+Observaciones!$F78-K79-L79-M79-O78</f>
        <v>45.091691215793738</v>
      </c>
      <c r="O79" s="76">
        <f>MAX(0,(N79-Constantes!$D$14)*(1-EXP(-Constantes!$D$22)))</f>
        <v>1.1527722382017398</v>
      </c>
      <c r="P79" s="170">
        <f>P78+(Entradas!$F$83*M79-Q78)/(800*Entradas!$D$25)</f>
        <v>0</v>
      </c>
      <c r="Q79" s="170">
        <f>8000*Entradas!$D$26*P79/Constantes!$F$45</f>
        <v>0</v>
      </c>
      <c r="R79" s="170">
        <f>IF(Escenarios!$F$14&gt;0,K79*Escenarios!$F$13/Escenarios!$F$14,0)</f>
        <v>0</v>
      </c>
      <c r="S79" s="170">
        <f>IF(Escenarios!$F$14&gt;0,Q79*Escenarios!$F$13/Escenarios!$F$14,0)</f>
        <v>0</v>
      </c>
      <c r="T79" s="170">
        <f>IF(Escenarios!$F$14&gt;0,Observaciones!$I78,0)</f>
        <v>0</v>
      </c>
      <c r="U79" s="170">
        <f>IF(Escenarios!$F$14&gt;0,MAX(0,Constantes!$F$36/((Z78+R79+S79+T79+Observaciones!$F78)^2)+Entradas!$F$77),0)</f>
        <v>2.511122355190758</v>
      </c>
      <c r="V79" s="146">
        <f>IF(ETo!D78&gt;0,ETo!I78*((1-Entradas!$F$81)*ETo!K78+ETo!L78),0)</f>
        <v>3.616146159956382</v>
      </c>
      <c r="W79" s="170">
        <f>IF(Escenarios!$F$14&gt;0,MIN(V79*1,0.8*(Z78+R79+S79+T79+Observaciones!$F78-U79-Constantes!$F$35)),0)</f>
        <v>3.616146159956382</v>
      </c>
      <c r="X79" s="170">
        <f>IF(Escenarios!$F$14&gt;0,Observaciones!$J78,0)</f>
        <v>0</v>
      </c>
      <c r="Y79" s="170">
        <f>IF(Escenarios!$F$14&gt;0,MAX(0,Z78+R79+S79+T79+Observaciones!$F78-U79-W79-X79-Constantes!$F$33),0)</f>
        <v>0</v>
      </c>
      <c r="Z79" s="170">
        <f>Z78+R79+S79+T79+Observaciones!$F78-U79-W79-Y79</f>
        <v>138.7887535593795</v>
      </c>
      <c r="AA79" s="170">
        <f>IF(Escenarios!$F$14&gt;0,(Escenarios!$F$13*L79+Escenarios!$F$14*W79)/(Escenarios!$F$16),L79)</f>
        <v>2.4812016021358105</v>
      </c>
      <c r="AB79" s="170">
        <f>IF(Escenarios!$F$14&gt;0,(Escenarios!$F$14*Y79)/(Escenarios!$F$16),K79)</f>
        <v>0</v>
      </c>
      <c r="AC79" s="170">
        <f>IF(Escenarios!$F$14&gt;0,(Escenarios!$F$13*M79+Escenarios!$F$14*U79)/(Escenarios!$F$16),M79)</f>
        <v>0.30133468262289098</v>
      </c>
      <c r="AD79" s="76">
        <f t="shared" si="15"/>
        <v>162.96451089952794</v>
      </c>
      <c r="AE79" s="76">
        <f>MAX(0,(AD79-Constantes!$D$13)*(1-EXP(-Constantes!$D$23)))</f>
        <v>1.1253827796701059</v>
      </c>
      <c r="AF79" s="76">
        <f>AB79+O79*Escenarios!$F$13/Escenarios!$F$16+AE79</f>
        <v>2.1398223492876367</v>
      </c>
      <c r="AG79" s="76">
        <f>IF(Entradas!$F$91&gt;0,IF(AF79-Escenarios!$F$38&lt;=0,0,IF(AF79-Escenarios!$F$38&gt;Escenarios!$F$37,Escenarios!$F$37,AF79-Escenarios!$F$38)),0)</f>
        <v>1.1030223492876368</v>
      </c>
      <c r="AH79" s="76">
        <f>AG79*Entradas!$F$99</f>
        <v>0</v>
      </c>
      <c r="AI79" s="76">
        <f>IF(Entradas!$F$91&gt;0,D79*Entradas!$D$23/Escenarios!$F$16,0)</f>
        <v>0.19580334334303426</v>
      </c>
      <c r="AJ79" s="76">
        <f>IF(Entradas!$F$91&gt;0,Entradas!$D$24*Entradas!$D$22/Escenarios!$F$16,0)</f>
        <v>0.12</v>
      </c>
      <c r="AK79" s="76">
        <f t="shared" si="16"/>
        <v>2.6770049454788447</v>
      </c>
      <c r="AL79" s="76">
        <f t="shared" si="17"/>
        <v>0</v>
      </c>
      <c r="AM79" s="76">
        <f t="shared" si="18"/>
        <v>1.1030223492876368</v>
      </c>
      <c r="AN79" s="76">
        <f>MAX(0,O79*Escenarios!$F$13/Escenarios!$F$16-AM79)</f>
        <v>0</v>
      </c>
      <c r="AO79" s="76">
        <f>AM79+AN79-O79*Escenarios!$F$13/Escenarios!$F$16</f>
        <v>8.8582779670105749E-2</v>
      </c>
      <c r="AP79" s="76">
        <f t="shared" si="19"/>
        <v>1.0368000000000002</v>
      </c>
      <c r="AQ79" s="76">
        <f t="shared" si="20"/>
        <v>0</v>
      </c>
      <c r="AR79" s="76">
        <f t="shared" si="21"/>
        <v>1.0368000000000002</v>
      </c>
      <c r="AS79" s="76">
        <f t="shared" si="22"/>
        <v>0.78721900594460248</v>
      </c>
      <c r="AT79" s="76">
        <f t="shared" si="23"/>
        <v>1.0885536885674933</v>
      </c>
      <c r="AU79" s="76">
        <f t="shared" si="24"/>
        <v>56.007480319403982</v>
      </c>
      <c r="AV79" s="76">
        <f>MAX(0,(AU79-Constantes!$D$13)*(1-EXP(-Constantes!$D$24)))</f>
        <v>0.11093237975559284</v>
      </c>
      <c r="AW79" s="170">
        <f>AW78+(Entradas!$F$112*AT79-AX78)/(800*Entradas!$D$25)</f>
        <v>0</v>
      </c>
      <c r="AX79" s="170">
        <f>8000*Entradas!$D$26*AW79/Constantes!$F$45</f>
        <v>0</v>
      </c>
      <c r="AY79" s="170">
        <f>IF(Escenarios!$F$17&gt;0,10*Escenarios!$F$16*AL79,0)</f>
        <v>0</v>
      </c>
      <c r="AZ79" s="170">
        <f>IF(Escenarios!$F$17&gt;0,10*Escenarios!$F$16*AX79,0)</f>
        <v>0</v>
      </c>
      <c r="BA79" s="170">
        <f>IF(Escenarios!$F$17&gt;0,0.001*Observaciones!$F78*Escenarios!$F$17,0)</f>
        <v>0</v>
      </c>
      <c r="BB79" s="170">
        <f>IF(Escenarios!$F$17&gt;0,Observaciones!$K78,0)</f>
        <v>0</v>
      </c>
      <c r="BC79" s="170">
        <f>IF(Escenarios!$F$17&gt;0,MIN(0.0005*ETo!$M78*Escenarios!$F$17*(BG78/Constantes!$F$40)^(2/3),BG78+AY79+AZ79+BA79+BB79),0)</f>
        <v>0</v>
      </c>
      <c r="BD79" s="170">
        <f>IF(Escenarios!$F$17&gt;0,MIN(Constantes!$F$39*(BG78/Constantes!$F$40)^(2/3),BG78+AY79+AZ79+BA79+BB79-BC79),0)</f>
        <v>0</v>
      </c>
      <c r="BE79" s="170">
        <f>IF(Escenarios!$F$17&gt;0,MIN(Entradas!$F$113,BG78+AY79+AZ79+BA79+BB79-BC79-BD79),0)</f>
        <v>0</v>
      </c>
      <c r="BF79" s="170">
        <f>IF(Escenarios!$F$17&gt;0,MAX(0,BG78+AY79+AZ79+BA79+BB79-BC79-BD79-BE79-Constantes!$F$40),0)</f>
        <v>0</v>
      </c>
      <c r="BG79" s="170">
        <f t="shared" si="25"/>
        <v>0</v>
      </c>
      <c r="BH79" s="170">
        <f>(Escenarios!$F$16*AK79+0.1*BC79)/(Escenarios!$F$19)</f>
        <v>2.6770049454788447</v>
      </c>
      <c r="BI79" s="170">
        <f>IF(Escenarios!$F$17&gt;0,BF79/10/Escenarios!$F$19,AL79)</f>
        <v>0</v>
      </c>
      <c r="BJ79" s="170">
        <f>(Escenarios!$F$16*AT79+0.1*BD79)/(Escenarios!$F$19)</f>
        <v>1.0885536885674933</v>
      </c>
      <c r="BK79" s="76">
        <f>BK78+(0.1*BD79)/(Escenarios!$F$19)-BL78</f>
        <v>48.75</v>
      </c>
      <c r="BL79" s="76">
        <f>MAX(0,(BK79-Constantes!$D$13)*(1-EXP(-Constantes!$D$23)))</f>
        <v>0</v>
      </c>
      <c r="BM79" s="76">
        <f t="shared" si="26"/>
        <v>1.1477323797555929</v>
      </c>
      <c r="BN79" s="76">
        <f t="shared" si="27"/>
        <v>1.1477323797555929</v>
      </c>
      <c r="BO79" s="76">
        <f>0.0526*BI79*Observaciones!$F78^1.218</f>
        <v>0</v>
      </c>
      <c r="BP79" s="76">
        <f>BO79*Constantes!$F$51</f>
        <v>0</v>
      </c>
      <c r="BQ79" s="76">
        <f t="shared" si="28"/>
        <v>0</v>
      </c>
      <c r="BR79" s="40"/>
    </row>
    <row r="80" spans="2:70">
      <c r="B80" s="39"/>
      <c r="C80" s="75">
        <v>74</v>
      </c>
      <c r="D80" s="146">
        <f>ETo!$I79*((1-Constantes!$F$19)*ETo!$K79+ETo!$L79)</f>
        <v>4.1022525348964116</v>
      </c>
      <c r="E80" s="76">
        <f>MIN(D80*Constantes!$F$17,0.8*(N79+Observaciones!$F79-F80-M80-Constantes!$D$14))</f>
        <v>2.3395628533329362</v>
      </c>
      <c r="F80" s="76">
        <f>IF(Observaciones!$F79&gt;0.05*Constantes!$F$18,((Observaciones!$F79-0.05*Constantes!$F$18)^2)/(Observaciones!$F79+0.95*Constantes!$F$18),0)</f>
        <v>0</v>
      </c>
      <c r="G80" s="76">
        <f>IF(Escenarios!$F$11&gt;0,(F80*Escenarios!$F$16*10000)/1000,0)</f>
        <v>0</v>
      </c>
      <c r="H80" s="76">
        <f>IF(Escenarios!$F$11&gt;0,(Observaciones!$F79*Constantes!$F$29)/1000,0)</f>
        <v>0</v>
      </c>
      <c r="I80" s="76">
        <f>IF(Escenarios!$F$11&gt;0,(D80*Constantes!$F$29)/1000,0)</f>
        <v>0</v>
      </c>
      <c r="J80" s="76">
        <f>IF(Escenarios!$F$11&gt;0,MAX(0,G80+H80-I80),0)</f>
        <v>0</v>
      </c>
      <c r="K80" s="76">
        <f>IF(Escenarios!$F$11&gt;0,IF(J80&gt;Constantes!$F$30,1000*((J80-Constantes!$F$30)/(Escenarios!$F$16*10000)),0),F80)</f>
        <v>0</v>
      </c>
      <c r="L80" s="76">
        <f>IF(Escenarios!$F$11&gt;0,I80*1000/Escenarios!$F$16/10000+E80,E80)</f>
        <v>2.3395628533329362</v>
      </c>
      <c r="M80" s="76">
        <f>MAX(0,N79+Observaciones!$F79-K80-Constantes!$D$13)</f>
        <v>1.9416912157937389</v>
      </c>
      <c r="N80" s="76">
        <f>N79+Observaciones!$F79-K80-L80-M80-O79</f>
        <v>45.257664908465323</v>
      </c>
      <c r="O80" s="76">
        <f>MAX(0,(N80-Constantes!$D$14)*(1-EXP(-Constantes!$D$22)))</f>
        <v>1.1584259114760336</v>
      </c>
      <c r="P80" s="170">
        <f>P79+(Entradas!$F$83*M80-Q79)/(800*Entradas!$D$25)</f>
        <v>0</v>
      </c>
      <c r="Q80" s="170">
        <f>8000*Entradas!$D$26*P80/Constantes!$F$45</f>
        <v>0</v>
      </c>
      <c r="R80" s="170">
        <f>IF(Escenarios!$F$14&gt;0,K80*Escenarios!$F$13/Escenarios!$F$14,0)</f>
        <v>0</v>
      </c>
      <c r="S80" s="170">
        <f>IF(Escenarios!$F$14&gt;0,Q80*Escenarios!$F$13/Escenarios!$F$14,0)</f>
        <v>0</v>
      </c>
      <c r="T80" s="170">
        <f>IF(Escenarios!$F$14&gt;0,Observaciones!$I79,0)</f>
        <v>0</v>
      </c>
      <c r="U80" s="170">
        <f>IF(Escenarios!$F$14&gt;0,MAX(0,Constantes!$F$36/((Z79+R80+S80+T80+Observaciones!$F79)^2)+Entradas!$F$77),0)</f>
        <v>2.5075453391679003</v>
      </c>
      <c r="V80" s="146">
        <f>IF(ETo!D79&gt;0,ETo!I79*((1-Entradas!$F$81)*ETo!K79+ETo!L79),0)</f>
        <v>3.6365959534068284</v>
      </c>
      <c r="W80" s="170">
        <f>IF(Escenarios!$F$14&gt;0,MIN(V80*1,0.8*(Z79+R80+S80+T80+Observaciones!$F79-U80-Constantes!$F$35)),0)</f>
        <v>3.6365959534068284</v>
      </c>
      <c r="X80" s="170">
        <f>IF(Escenarios!$F$14&gt;0,Observaciones!$J79,0)</f>
        <v>0</v>
      </c>
      <c r="Y80" s="170">
        <f>IF(Escenarios!$F$14&gt;0,MAX(0,Z79+R80+S80+T80+Observaciones!$F79-U80-W80-X80-Constantes!$F$33),0)</f>
        <v>0</v>
      </c>
      <c r="Z80" s="170">
        <f>Z79+R80+S80+T80+Observaciones!$F79-U80-W80-Y80</f>
        <v>138.24461226680475</v>
      </c>
      <c r="AA80" s="170">
        <f>IF(Escenarios!$F$14&gt;0,(Escenarios!$F$13*L80+Escenarios!$F$14*W80)/(Escenarios!$F$16),L80)</f>
        <v>2.4952068253418034</v>
      </c>
      <c r="AB80" s="170">
        <f>IF(Escenarios!$F$14&gt;0,(Escenarios!$F$14*Y80)/(Escenarios!$F$16),K80)</f>
        <v>0</v>
      </c>
      <c r="AC80" s="170">
        <f>IF(Escenarios!$F$14&gt;0,(Escenarios!$F$13*M80+Escenarios!$F$14*U80)/(Escenarios!$F$16),M80)</f>
        <v>2.0095937105986383</v>
      </c>
      <c r="AD80" s="76">
        <f t="shared" si="15"/>
        <v>163.84872183045647</v>
      </c>
      <c r="AE80" s="76">
        <f>MAX(0,(AD80-Constantes!$D$13)*(1-EXP(-Constantes!$D$23)))</f>
        <v>1.1340951205751806</v>
      </c>
      <c r="AF80" s="76">
        <f>AB80+O80*Escenarios!$F$13/Escenarios!$F$16+AE80</f>
        <v>2.1535099226740901</v>
      </c>
      <c r="AG80" s="76">
        <f>IF(Entradas!$F$91&gt;0,IF(AF80-Escenarios!$F$38&lt;=0,0,IF(AF80-Escenarios!$F$38&gt;Escenarios!$F$37,Escenarios!$F$37,AF80-Escenarios!$F$38)),0)</f>
        <v>1.1167099226740902</v>
      </c>
      <c r="AH80" s="76">
        <f>AG80*Entradas!$F$99</f>
        <v>0</v>
      </c>
      <c r="AI80" s="76">
        <f>IF(Entradas!$F$91&gt;0,D80*Entradas!$D$23/Escenarios!$F$16,0)</f>
        <v>0.19690812167502775</v>
      </c>
      <c r="AJ80" s="76">
        <f>IF(Entradas!$F$91&gt;0,Entradas!$D$24*Entradas!$D$22/Escenarios!$F$16,0)</f>
        <v>0.12</v>
      </c>
      <c r="AK80" s="76">
        <f t="shared" si="16"/>
        <v>2.6921149470168313</v>
      </c>
      <c r="AL80" s="76">
        <f t="shared" si="17"/>
        <v>0</v>
      </c>
      <c r="AM80" s="76">
        <f t="shared" si="18"/>
        <v>1.1167099226740902</v>
      </c>
      <c r="AN80" s="76">
        <f>MAX(0,O80*Escenarios!$F$13/Escenarios!$F$16-AM80)</f>
        <v>0</v>
      </c>
      <c r="AO80" s="76">
        <f>AM80+AN80-O80*Escenarios!$F$13/Escenarios!$F$16</f>
        <v>9.7295120575180638E-2</v>
      </c>
      <c r="AP80" s="76">
        <f t="shared" si="19"/>
        <v>1.0367999999999999</v>
      </c>
      <c r="AQ80" s="76">
        <f t="shared" si="20"/>
        <v>0</v>
      </c>
      <c r="AR80" s="76">
        <f t="shared" si="21"/>
        <v>1.0367999999999999</v>
      </c>
      <c r="AS80" s="76">
        <f t="shared" si="22"/>
        <v>0.79980180099906251</v>
      </c>
      <c r="AT80" s="76">
        <f t="shared" si="23"/>
        <v>2.809395511597701</v>
      </c>
      <c r="AU80" s="76">
        <f t="shared" si="24"/>
        <v>56.696349740647449</v>
      </c>
      <c r="AV80" s="76">
        <f>MAX(0,(AU80-Constantes!$D$13)*(1-EXP(-Constantes!$D$24)))</f>
        <v>0.12146191905521461</v>
      </c>
      <c r="AW80" s="170">
        <f>AW79+(Entradas!$F$112*AT80-AX79)/(800*Entradas!$D$25)</f>
        <v>0</v>
      </c>
      <c r="AX80" s="170">
        <f>8000*Entradas!$D$26*AW80/Constantes!$F$45</f>
        <v>0</v>
      </c>
      <c r="AY80" s="170">
        <f>IF(Escenarios!$F$17&gt;0,10*Escenarios!$F$16*AL80,0)</f>
        <v>0</v>
      </c>
      <c r="AZ80" s="170">
        <f>IF(Escenarios!$F$17&gt;0,10*Escenarios!$F$16*AX80,0)</f>
        <v>0</v>
      </c>
      <c r="BA80" s="170">
        <f>IF(Escenarios!$F$17&gt;0,0.001*Observaciones!$F79*Escenarios!$F$17,0)</f>
        <v>0</v>
      </c>
      <c r="BB80" s="170">
        <f>IF(Escenarios!$F$17&gt;0,Observaciones!$K79,0)</f>
        <v>0</v>
      </c>
      <c r="BC80" s="170">
        <f>IF(Escenarios!$F$17&gt;0,MIN(0.0005*ETo!$M79*Escenarios!$F$17*(BG79/Constantes!$F$40)^(2/3),BG79+AY80+AZ80+BA80+BB80),0)</f>
        <v>0</v>
      </c>
      <c r="BD80" s="170">
        <f>IF(Escenarios!$F$17&gt;0,MIN(Constantes!$F$39*(BG79/Constantes!$F$40)^(2/3),BG79+AY80+AZ80+BA80+BB80-BC80),0)</f>
        <v>0</v>
      </c>
      <c r="BE80" s="170">
        <f>IF(Escenarios!$F$17&gt;0,MIN(Entradas!$F$113,BG79+AY80+AZ80+BA80+BB80-BC80-BD80),0)</f>
        <v>0</v>
      </c>
      <c r="BF80" s="170">
        <f>IF(Escenarios!$F$17&gt;0,MAX(0,BG79+AY80+AZ80+BA80+BB80-BC80-BD80-BE80-Constantes!$F$40),0)</f>
        <v>0</v>
      </c>
      <c r="BG80" s="170">
        <f t="shared" si="25"/>
        <v>0</v>
      </c>
      <c r="BH80" s="170">
        <f>(Escenarios!$F$16*AK80+0.1*BC80)/(Escenarios!$F$19)</f>
        <v>2.6921149470168313</v>
      </c>
      <c r="BI80" s="170">
        <f>IF(Escenarios!$F$17&gt;0,BF80/10/Escenarios!$F$19,AL80)</f>
        <v>0</v>
      </c>
      <c r="BJ80" s="170">
        <f>(Escenarios!$F$16*AT80+0.1*BD80)/(Escenarios!$F$19)</f>
        <v>2.809395511597701</v>
      </c>
      <c r="BK80" s="76">
        <f>BK79+(0.1*BD80)/(Escenarios!$F$19)-BL79</f>
        <v>48.75</v>
      </c>
      <c r="BL80" s="76">
        <f>MAX(0,(BK80-Constantes!$D$13)*(1-EXP(-Constantes!$D$23)))</f>
        <v>0</v>
      </c>
      <c r="BM80" s="76">
        <f t="shared" si="26"/>
        <v>1.1582619190552146</v>
      </c>
      <c r="BN80" s="76">
        <f t="shared" si="27"/>
        <v>1.1582619190552146</v>
      </c>
      <c r="BO80" s="76">
        <f>0.0526*BI80*Observaciones!$F79^1.218</f>
        <v>0</v>
      </c>
      <c r="BP80" s="76">
        <f>BO80*Constantes!$F$51</f>
        <v>0</v>
      </c>
      <c r="BQ80" s="76">
        <f t="shared" si="28"/>
        <v>0</v>
      </c>
      <c r="BR80" s="40"/>
    </row>
    <row r="81" spans="2:70">
      <c r="B81" s="39"/>
      <c r="C81" s="75">
        <v>75</v>
      </c>
      <c r="D81" s="146">
        <f>ETo!$I80*((1-Constantes!$F$19)*ETo!$K80+ETo!$L80)</f>
        <v>4.1422568934112496</v>
      </c>
      <c r="E81" s="76">
        <f>MIN(D81*Constantes!$F$17,0.8*(N80+Observaciones!$F80-F81-M81-Constantes!$D$14))</f>
        <v>2.3623778093495558</v>
      </c>
      <c r="F81" s="76">
        <f>IF(Observaciones!$F80&gt;0.05*Constantes!$F$18,((Observaciones!$F80-0.05*Constantes!$F$18)^2)/(Observaciones!$F80+0.95*Constantes!$F$18),0)</f>
        <v>0.23643591159535299</v>
      </c>
      <c r="G81" s="76">
        <f>IF(Escenarios!$F$11&gt;0,(F81*Escenarios!$F$16*10000)/1000,0)</f>
        <v>0</v>
      </c>
      <c r="H81" s="76">
        <f>IF(Escenarios!$F$11&gt;0,(Observaciones!$F80*Constantes!$F$29)/1000,0)</f>
        <v>0</v>
      </c>
      <c r="I81" s="76">
        <f>IF(Escenarios!$F$11&gt;0,(D81*Constantes!$F$29)/1000,0)</f>
        <v>0</v>
      </c>
      <c r="J81" s="76">
        <f>IF(Escenarios!$F$11&gt;0,MAX(0,G81+H81-I81),0)</f>
        <v>0</v>
      </c>
      <c r="K81" s="76">
        <f>IF(Escenarios!$F$11&gt;0,IF(J81&gt;Constantes!$F$30,1000*((J81-Constantes!$F$30)/(Escenarios!$F$16*10000)),0),F81)</f>
        <v>0.23643591159535299</v>
      </c>
      <c r="L81" s="76">
        <f>IF(Escenarios!$F$11&gt;0,I81*1000/Escenarios!$F$16/10000+E81,E81)</f>
        <v>2.3623778093495558</v>
      </c>
      <c r="M81" s="76">
        <f>MAX(0,N80+Observaciones!$F80-K81-Constantes!$D$13)</f>
        <v>14.571228996869976</v>
      </c>
      <c r="N81" s="76">
        <f>N80+Observaciones!$F80-K81-L81-M81-O80</f>
        <v>45.229196279174417</v>
      </c>
      <c r="O81" s="76">
        <f>MAX(0,(N81-Constantes!$D$14)*(1-EXP(-Constantes!$D$22)))</f>
        <v>1.1574561654519075</v>
      </c>
      <c r="P81" s="170">
        <f>P80+(Entradas!$F$83*M81-Q80)/(800*Entradas!$D$25)</f>
        <v>0</v>
      </c>
      <c r="Q81" s="170">
        <f>8000*Entradas!$D$26*P81/Constantes!$F$45</f>
        <v>0</v>
      </c>
      <c r="R81" s="170">
        <f>IF(Escenarios!$F$14&gt;0,K81*Escenarios!$F$13/Escenarios!$F$14,0)</f>
        <v>1.7338633516992552</v>
      </c>
      <c r="S81" s="170">
        <f>IF(Escenarios!$F$14&gt;0,Q81*Escenarios!$F$13/Escenarios!$F$14,0)</f>
        <v>0</v>
      </c>
      <c r="T81" s="170">
        <f>IF(Escenarios!$F$14&gt;0,Observaciones!$I80,0)</f>
        <v>0</v>
      </c>
      <c r="U81" s="170">
        <f>IF(Escenarios!$F$14&gt;0,MAX(0,Constantes!$F$36/((Z80+R81+S81+T81+Observaciones!$F80)^2)+Entradas!$F$77),0)</f>
        <v>2.5901836612708964</v>
      </c>
      <c r="V81" s="146">
        <f>IF(ETo!D80&gt;0,ETo!I80*((1-Entradas!$F$81)*ETo!K80+ETo!L80),0)</f>
        <v>3.6723653177160824</v>
      </c>
      <c r="W81" s="170">
        <f>IF(Escenarios!$F$14&gt;0,MIN(V81*1,0.8*(Z80+R81+S81+T81+Observaciones!$F80-U81-Constantes!$F$35)),0)</f>
        <v>3.6723653177160824</v>
      </c>
      <c r="X81" s="170">
        <f>IF(Escenarios!$F$14&gt;0,Observaciones!$J80,0)</f>
        <v>0</v>
      </c>
      <c r="Y81" s="170">
        <f>IF(Escenarios!$F$14&gt;0,MAX(0,Z80+R81+S81+T81+Observaciones!$F80-U81-W81-X81-Constantes!$F$33),0)</f>
        <v>0</v>
      </c>
      <c r="Z81" s="170">
        <f>Z80+R81+S81+T81+Observaciones!$F80-U81-W81-Y81</f>
        <v>152.01592663951706</v>
      </c>
      <c r="AA81" s="170">
        <f>IF(Escenarios!$F$14&gt;0,(Escenarios!$F$13*L81+Escenarios!$F$14*W81)/(Escenarios!$F$16),L81)</f>
        <v>2.5195763103535391</v>
      </c>
      <c r="AB81" s="170">
        <f>IF(Escenarios!$F$14&gt;0,(Escenarios!$F$14*Y81)/(Escenarios!$F$16),K81)</f>
        <v>0</v>
      </c>
      <c r="AC81" s="170">
        <f>IF(Escenarios!$F$14&gt;0,(Escenarios!$F$13*M81+Escenarios!$F$14*U81)/(Escenarios!$F$16),M81)</f>
        <v>13.133503556598088</v>
      </c>
      <c r="AD81" s="76">
        <f t="shared" si="15"/>
        <v>175.84813026647939</v>
      </c>
      <c r="AE81" s="76">
        <f>MAX(0,(AD81-Constantes!$D$13)*(1-EXP(-Constantes!$D$23)))</f>
        <v>1.2523281499317349</v>
      </c>
      <c r="AF81" s="76">
        <f>AB81+O81*Escenarios!$F$13/Escenarios!$F$16+AE81</f>
        <v>2.2708895755294138</v>
      </c>
      <c r="AG81" s="76">
        <f>IF(Entradas!$F$91&gt;0,IF(AF81-Escenarios!$F$38&lt;=0,0,IF(AF81-Escenarios!$F$38&gt;Escenarios!$F$37,Escenarios!$F$37,AF81-Escenarios!$F$38)),0)</f>
        <v>1.2340895755294139</v>
      </c>
      <c r="AH81" s="76">
        <f>AG81*Entradas!$F$99</f>
        <v>0</v>
      </c>
      <c r="AI81" s="76">
        <f>IF(Entradas!$F$91&gt;0,D81*Entradas!$D$23/Escenarios!$F$16,0)</f>
        <v>0.19882833088373997</v>
      </c>
      <c r="AJ81" s="76">
        <f>IF(Entradas!$F$91&gt;0,Entradas!$D$24*Entradas!$D$22/Escenarios!$F$16,0)</f>
        <v>0.12</v>
      </c>
      <c r="AK81" s="76">
        <f t="shared" si="16"/>
        <v>2.7184046412372789</v>
      </c>
      <c r="AL81" s="76">
        <f t="shared" si="17"/>
        <v>0</v>
      </c>
      <c r="AM81" s="76">
        <f t="shared" si="18"/>
        <v>1.2340895755294139</v>
      </c>
      <c r="AN81" s="76">
        <f>MAX(0,O81*Escenarios!$F$13/Escenarios!$F$16-AM81)</f>
        <v>0</v>
      </c>
      <c r="AO81" s="76">
        <f>AM81+AN81-O81*Escenarios!$F$13/Escenarios!$F$16</f>
        <v>0.21552814993173519</v>
      </c>
      <c r="AP81" s="76">
        <f t="shared" si="19"/>
        <v>1.0367999999999997</v>
      </c>
      <c r="AQ81" s="76">
        <f t="shared" si="20"/>
        <v>0</v>
      </c>
      <c r="AR81" s="76">
        <f t="shared" si="21"/>
        <v>1.0367999999999997</v>
      </c>
      <c r="AS81" s="76">
        <f t="shared" si="22"/>
        <v>0.91526124464567393</v>
      </c>
      <c r="AT81" s="76">
        <f t="shared" si="23"/>
        <v>14.048764801243761</v>
      </c>
      <c r="AU81" s="76">
        <f t="shared" si="24"/>
        <v>57.490149066237912</v>
      </c>
      <c r="AV81" s="76">
        <f>MAX(0,(AU81-Constantes!$D$13)*(1-EXP(-Constantes!$D$24)))</f>
        <v>0.1335953378673467</v>
      </c>
      <c r="AW81" s="170">
        <f>AW80+(Entradas!$F$112*AT81-AX80)/(800*Entradas!$D$25)</f>
        <v>0</v>
      </c>
      <c r="AX81" s="170">
        <f>8000*Entradas!$D$26*AW81/Constantes!$F$45</f>
        <v>0</v>
      </c>
      <c r="AY81" s="170">
        <f>IF(Escenarios!$F$17&gt;0,10*Escenarios!$F$16*AL81,0)</f>
        <v>0</v>
      </c>
      <c r="AZ81" s="170">
        <f>IF(Escenarios!$F$17&gt;0,10*Escenarios!$F$16*AX81,0)</f>
        <v>0</v>
      </c>
      <c r="BA81" s="170">
        <f>IF(Escenarios!$F$17&gt;0,0.001*Observaciones!$F80*Escenarios!$F$17,0)</f>
        <v>0</v>
      </c>
      <c r="BB81" s="170">
        <f>IF(Escenarios!$F$17&gt;0,Observaciones!$K80,0)</f>
        <v>0</v>
      </c>
      <c r="BC81" s="170">
        <f>IF(Escenarios!$F$17&gt;0,MIN(0.0005*ETo!$M80*Escenarios!$F$17*(BG80/Constantes!$F$40)^(2/3),BG80+AY81+AZ81+BA81+BB81),0)</f>
        <v>0</v>
      </c>
      <c r="BD81" s="170">
        <f>IF(Escenarios!$F$17&gt;0,MIN(Constantes!$F$39*(BG80/Constantes!$F$40)^(2/3),BG80+AY81+AZ81+BA81+BB81-BC81),0)</f>
        <v>0</v>
      </c>
      <c r="BE81" s="170">
        <f>IF(Escenarios!$F$17&gt;0,MIN(Entradas!$F$113,BG80+AY81+AZ81+BA81+BB81-BC81-BD81),0)</f>
        <v>0</v>
      </c>
      <c r="BF81" s="170">
        <f>IF(Escenarios!$F$17&gt;0,MAX(0,BG80+AY81+AZ81+BA81+BB81-BC81-BD81-BE81-Constantes!$F$40),0)</f>
        <v>0</v>
      </c>
      <c r="BG81" s="170">
        <f t="shared" si="25"/>
        <v>0</v>
      </c>
      <c r="BH81" s="170">
        <f>(Escenarios!$F$16*AK81+0.1*BC81)/(Escenarios!$F$19)</f>
        <v>2.7184046412372789</v>
      </c>
      <c r="BI81" s="170">
        <f>IF(Escenarios!$F$17&gt;0,BF81/10/Escenarios!$F$19,AL81)</f>
        <v>0</v>
      </c>
      <c r="BJ81" s="170">
        <f>(Escenarios!$F$16*AT81+0.1*BD81)/(Escenarios!$F$19)</f>
        <v>14.048764801243761</v>
      </c>
      <c r="BK81" s="76">
        <f>BK80+(0.1*BD81)/(Escenarios!$F$19)-BL80</f>
        <v>48.75</v>
      </c>
      <c r="BL81" s="76">
        <f>MAX(0,(BK81-Constantes!$D$13)*(1-EXP(-Constantes!$D$23)))</f>
        <v>0</v>
      </c>
      <c r="BM81" s="76">
        <f t="shared" si="26"/>
        <v>1.1703953378673464</v>
      </c>
      <c r="BN81" s="76">
        <f t="shared" si="27"/>
        <v>1.1703953378673464</v>
      </c>
      <c r="BO81" s="76">
        <f>0.0526*BI81*Observaciones!$F80^1.218</f>
        <v>0</v>
      </c>
      <c r="BP81" s="76">
        <f>BO81*Constantes!$F$51</f>
        <v>0</v>
      </c>
      <c r="BQ81" s="76">
        <f t="shared" si="28"/>
        <v>0</v>
      </c>
      <c r="BR81" s="40"/>
    </row>
    <row r="82" spans="2:70">
      <c r="B82" s="39"/>
      <c r="C82" s="75">
        <v>76</v>
      </c>
      <c r="D82" s="146">
        <f>ETo!$I81*((1-Constantes!$F$19)*ETo!$K81+ETo!$L81)</f>
        <v>4.142533039370413</v>
      </c>
      <c r="E82" s="76">
        <f>MIN(D82*Constantes!$F$17,0.8*(N81+Observaciones!$F81-F82-M82-Constantes!$D$14))</f>
        <v>2.3625352986368831</v>
      </c>
      <c r="F82" s="76">
        <f>IF(Observaciones!$F81&gt;0.05*Constantes!$F$18,((Observaciones!$F81-0.05*Constantes!$F$18)^2)/(Observaciones!$F81+0.95*Constantes!$F$18),0)</f>
        <v>0</v>
      </c>
      <c r="G82" s="76">
        <f>IF(Escenarios!$F$11&gt;0,(F82*Escenarios!$F$16*10000)/1000,0)</f>
        <v>0</v>
      </c>
      <c r="H82" s="76">
        <f>IF(Escenarios!$F$11&gt;0,(Observaciones!$F81*Constantes!$F$29)/1000,0)</f>
        <v>0</v>
      </c>
      <c r="I82" s="76">
        <f>IF(Escenarios!$F$11&gt;0,(D82*Constantes!$F$29)/1000,0)</f>
        <v>0</v>
      </c>
      <c r="J82" s="76">
        <f>IF(Escenarios!$F$11&gt;0,MAX(0,G82+H82-I82),0)</f>
        <v>0</v>
      </c>
      <c r="K82" s="76">
        <f>IF(Escenarios!$F$11&gt;0,IF(J82&gt;Constantes!$F$30,1000*((J82-Constantes!$F$30)/(Escenarios!$F$16*10000)),0),F82)</f>
        <v>0</v>
      </c>
      <c r="L82" s="76">
        <f>IF(Escenarios!$F$11&gt;0,I82*1000/Escenarios!$F$16/10000+E82,E82)</f>
        <v>2.3625352986368831</v>
      </c>
      <c r="M82" s="76">
        <f>MAX(0,N81+Observaciones!$F81-K82-Constantes!$D$13)</f>
        <v>0</v>
      </c>
      <c r="N82" s="76">
        <f>N81+Observaciones!$F81-K82-L82-M82-O81</f>
        <v>41.90920481508563</v>
      </c>
      <c r="O82" s="76">
        <f>MAX(0,(N82-Constantes!$D$14)*(1-EXP(-Constantes!$D$22)))</f>
        <v>1.0443650682468668</v>
      </c>
      <c r="P82" s="170">
        <f>P81+(Entradas!$F$83*M82-Q81)/(800*Entradas!$D$25)</f>
        <v>0</v>
      </c>
      <c r="Q82" s="170">
        <f>8000*Entradas!$D$26*P82/Constantes!$F$45</f>
        <v>0</v>
      </c>
      <c r="R82" s="170">
        <f>IF(Escenarios!$F$14&gt;0,K82*Escenarios!$F$13/Escenarios!$F$14,0)</f>
        <v>0</v>
      </c>
      <c r="S82" s="170">
        <f>IF(Escenarios!$F$14&gt;0,Q82*Escenarios!$F$13/Escenarios!$F$14,0)</f>
        <v>0</v>
      </c>
      <c r="T82" s="170">
        <f>IF(Escenarios!$F$14&gt;0,Observaciones!$I81,0)</f>
        <v>0</v>
      </c>
      <c r="U82" s="170">
        <f>IF(Escenarios!$F$14&gt;0,MAX(0,Constantes!$F$36/((Z81+R82+S82+T82+Observaciones!$F81)^2)+Entradas!$F$77),0)</f>
        <v>2.5568887307849764</v>
      </c>
      <c r="V82" s="146">
        <f>IF(ETo!D81&gt;0,ETo!I81*((1-Entradas!$F$81)*ETo!K81+ETo!L81),0)</f>
        <v>3.6724006961389901</v>
      </c>
      <c r="W82" s="170">
        <f>IF(Escenarios!$F$14&gt;0,MIN(V82*1,0.8*(Z81+R82+S82+T82+Observaciones!$F81-U82-Constantes!$F$35)),0)</f>
        <v>3.6724006961389901</v>
      </c>
      <c r="X82" s="170">
        <f>IF(Escenarios!$F$14&gt;0,Observaciones!$J81,0)</f>
        <v>0</v>
      </c>
      <c r="Y82" s="170">
        <f>IF(Escenarios!$F$14&gt;0,MAX(0,Z81+R82+S82+T82+Observaciones!$F81-U82-W82-X82-Constantes!$F$33),0)</f>
        <v>0</v>
      </c>
      <c r="Z82" s="170">
        <f>Z81+R82+S82+T82+Observaciones!$F81-U82-W82-Y82</f>
        <v>145.98663721259308</v>
      </c>
      <c r="AA82" s="170">
        <f>IF(Escenarios!$F$14&gt;0,(Escenarios!$F$13*L82+Escenarios!$F$14*W82)/(Escenarios!$F$16),L82)</f>
        <v>2.519719146337136</v>
      </c>
      <c r="AB82" s="170">
        <f>IF(Escenarios!$F$14&gt;0,(Escenarios!$F$14*Y82)/(Escenarios!$F$16),K82)</f>
        <v>0</v>
      </c>
      <c r="AC82" s="170">
        <f>IF(Escenarios!$F$14&gt;0,(Escenarios!$F$13*M82+Escenarios!$F$14*U82)/(Escenarios!$F$16),M82)</f>
        <v>0.30682664769419715</v>
      </c>
      <c r="AD82" s="76">
        <f t="shared" si="15"/>
        <v>174.90262876424185</v>
      </c>
      <c r="AE82" s="76">
        <f>MAX(0,(AD82-Constantes!$D$13)*(1-EXP(-Constantes!$D$23)))</f>
        <v>1.243011898429276</v>
      </c>
      <c r="AF82" s="76">
        <f>AB82+O82*Escenarios!$F$13/Escenarios!$F$16+AE82</f>
        <v>2.1620531584865188</v>
      </c>
      <c r="AG82" s="76">
        <f>IF(Entradas!$F$91&gt;0,IF(AF82-Escenarios!$F$38&lt;=0,0,IF(AF82-Escenarios!$F$38&gt;Escenarios!$F$37,Escenarios!$F$37,AF82-Escenarios!$F$38)),0)</f>
        <v>1.1252531584865189</v>
      </c>
      <c r="AH82" s="76">
        <f>AG82*Entradas!$F$99</f>
        <v>0</v>
      </c>
      <c r="AI82" s="76">
        <f>IF(Entradas!$F$91&gt;0,D82*Entradas!$D$23/Escenarios!$F$16,0)</f>
        <v>0.19884158588977982</v>
      </c>
      <c r="AJ82" s="76">
        <f>IF(Entradas!$F$91&gt;0,Entradas!$D$24*Entradas!$D$22/Escenarios!$F$16,0)</f>
        <v>0.12</v>
      </c>
      <c r="AK82" s="76">
        <f t="shared" si="16"/>
        <v>2.7185607322269156</v>
      </c>
      <c r="AL82" s="76">
        <f t="shared" si="17"/>
        <v>0</v>
      </c>
      <c r="AM82" s="76">
        <f t="shared" si="18"/>
        <v>1.1252531584865189</v>
      </c>
      <c r="AN82" s="76">
        <f>MAX(0,O82*Escenarios!$F$13/Escenarios!$F$16-AM82)</f>
        <v>0</v>
      </c>
      <c r="AO82" s="76">
        <f>AM82+AN82-O82*Escenarios!$F$13/Escenarios!$F$16</f>
        <v>0.20621189842927612</v>
      </c>
      <c r="AP82" s="76">
        <f t="shared" si="19"/>
        <v>1.0367999999999999</v>
      </c>
      <c r="AQ82" s="76">
        <f t="shared" si="20"/>
        <v>0</v>
      </c>
      <c r="AR82" s="76">
        <f t="shared" si="21"/>
        <v>1.0367999999999999</v>
      </c>
      <c r="AS82" s="76">
        <f t="shared" si="22"/>
        <v>0.80641157259673901</v>
      </c>
      <c r="AT82" s="76">
        <f t="shared" si="23"/>
        <v>1.1132382202909361</v>
      </c>
      <c r="AU82" s="76">
        <f t="shared" si="24"/>
        <v>58.162965300967301</v>
      </c>
      <c r="AV82" s="76">
        <f>MAX(0,(AU82-Constantes!$D$13)*(1-EXP(-Constantes!$D$24)))</f>
        <v>0.14387950024491114</v>
      </c>
      <c r="AW82" s="170">
        <f>AW81+(Entradas!$F$112*AT82-AX81)/(800*Entradas!$D$25)</f>
        <v>0</v>
      </c>
      <c r="AX82" s="170">
        <f>8000*Entradas!$D$26*AW82/Constantes!$F$45</f>
        <v>0</v>
      </c>
      <c r="AY82" s="170">
        <f>IF(Escenarios!$F$17&gt;0,10*Escenarios!$F$16*AL82,0)</f>
        <v>0</v>
      </c>
      <c r="AZ82" s="170">
        <f>IF(Escenarios!$F$17&gt;0,10*Escenarios!$F$16*AX82,0)</f>
        <v>0</v>
      </c>
      <c r="BA82" s="170">
        <f>IF(Escenarios!$F$17&gt;0,0.001*Observaciones!$F81*Escenarios!$F$17,0)</f>
        <v>0</v>
      </c>
      <c r="BB82" s="170">
        <f>IF(Escenarios!$F$17&gt;0,Observaciones!$K81,0)</f>
        <v>0</v>
      </c>
      <c r="BC82" s="170">
        <f>IF(Escenarios!$F$17&gt;0,MIN(0.0005*ETo!$M81*Escenarios!$F$17*(BG81/Constantes!$F$40)^(2/3),BG81+AY82+AZ82+BA82+BB82),0)</f>
        <v>0</v>
      </c>
      <c r="BD82" s="170">
        <f>IF(Escenarios!$F$17&gt;0,MIN(Constantes!$F$39*(BG81/Constantes!$F$40)^(2/3),BG81+AY82+AZ82+BA82+BB82-BC82),0)</f>
        <v>0</v>
      </c>
      <c r="BE82" s="170">
        <f>IF(Escenarios!$F$17&gt;0,MIN(Entradas!$F$113,BG81+AY82+AZ82+BA82+BB82-BC82-BD82),0)</f>
        <v>0</v>
      </c>
      <c r="BF82" s="170">
        <f>IF(Escenarios!$F$17&gt;0,MAX(0,BG81+AY82+AZ82+BA82+BB82-BC82-BD82-BE82-Constantes!$F$40),0)</f>
        <v>0</v>
      </c>
      <c r="BG82" s="170">
        <f t="shared" si="25"/>
        <v>0</v>
      </c>
      <c r="BH82" s="170">
        <f>(Escenarios!$F$16*AK82+0.1*BC82)/(Escenarios!$F$19)</f>
        <v>2.7185607322269156</v>
      </c>
      <c r="BI82" s="170">
        <f>IF(Escenarios!$F$17&gt;0,BF82/10/Escenarios!$F$19,AL82)</f>
        <v>0</v>
      </c>
      <c r="BJ82" s="170">
        <f>(Escenarios!$F$16*AT82+0.1*BD82)/(Escenarios!$F$19)</f>
        <v>1.1132382202909361</v>
      </c>
      <c r="BK82" s="76">
        <f>BK81+(0.1*BD82)/(Escenarios!$F$19)-BL81</f>
        <v>48.75</v>
      </c>
      <c r="BL82" s="76">
        <f>MAX(0,(BK82-Constantes!$D$13)*(1-EXP(-Constantes!$D$23)))</f>
        <v>0</v>
      </c>
      <c r="BM82" s="76">
        <f t="shared" si="26"/>
        <v>1.1806795002449111</v>
      </c>
      <c r="BN82" s="76">
        <f t="shared" si="27"/>
        <v>1.1806795002449111</v>
      </c>
      <c r="BO82" s="76">
        <f>0.0526*BI82*Observaciones!$F81^1.218</f>
        <v>0</v>
      </c>
      <c r="BP82" s="76">
        <f>BO82*Constantes!$F$51</f>
        <v>0</v>
      </c>
      <c r="BQ82" s="76">
        <f t="shared" si="28"/>
        <v>0</v>
      </c>
      <c r="BR82" s="40"/>
    </row>
    <row r="83" spans="2:70">
      <c r="B83" s="39"/>
      <c r="C83" s="75">
        <v>77</v>
      </c>
      <c r="D83" s="146">
        <f>ETo!$I82*((1-Constantes!$F$19)*ETo!$K82+ETo!$L82)</f>
        <v>4.2597172301233392</v>
      </c>
      <c r="E83" s="76">
        <f>MIN(D83*Constantes!$F$17,0.8*(N82+Observaciones!$F82-F83-M83-Constantes!$D$14))</f>
        <v>2.4293668204291778</v>
      </c>
      <c r="F83" s="76">
        <f>IF(Observaciones!$F82&gt;0.05*Constantes!$F$18,((Observaciones!$F82-0.05*Constantes!$F$18)^2)/(Observaciones!$F82+0.95*Constantes!$F$18),0)</f>
        <v>0</v>
      </c>
      <c r="G83" s="76">
        <f>IF(Escenarios!$F$11&gt;0,(F83*Escenarios!$F$16*10000)/1000,0)</f>
        <v>0</v>
      </c>
      <c r="H83" s="76">
        <f>IF(Escenarios!$F$11&gt;0,(Observaciones!$F82*Constantes!$F$29)/1000,0)</f>
        <v>0</v>
      </c>
      <c r="I83" s="76">
        <f>IF(Escenarios!$F$11&gt;0,(D83*Constantes!$F$29)/1000,0)</f>
        <v>0</v>
      </c>
      <c r="J83" s="76">
        <f>IF(Escenarios!$F$11&gt;0,MAX(0,G83+H83-I83),0)</f>
        <v>0</v>
      </c>
      <c r="K83" s="76">
        <f>IF(Escenarios!$F$11&gt;0,IF(J83&gt;Constantes!$F$30,1000*((J83-Constantes!$F$30)/(Escenarios!$F$16*10000)),0),F83)</f>
        <v>0</v>
      </c>
      <c r="L83" s="76">
        <f>IF(Escenarios!$F$11&gt;0,I83*1000/Escenarios!$F$16/10000+E83,E83)</f>
        <v>2.4293668204291778</v>
      </c>
      <c r="M83" s="76">
        <f>MAX(0,N82+Observaciones!$F82-K83-Constantes!$D$13)</f>
        <v>0</v>
      </c>
      <c r="N83" s="76">
        <f>N82+Observaciones!$F82-K83-L83-M83-O82</f>
        <v>40.635472926409584</v>
      </c>
      <c r="O83" s="76">
        <f>MAX(0,(N83-Constantes!$D$14)*(1-EXP(-Constantes!$D$22)))</f>
        <v>1.000977084153071</v>
      </c>
      <c r="P83" s="170">
        <f>P82+(Entradas!$F$83*M83-Q82)/(800*Entradas!$D$25)</f>
        <v>0</v>
      </c>
      <c r="Q83" s="170">
        <f>8000*Entradas!$D$26*P83/Constantes!$F$45</f>
        <v>0</v>
      </c>
      <c r="R83" s="170">
        <f>IF(Escenarios!$F$14&gt;0,K83*Escenarios!$F$13/Escenarios!$F$14,0)</f>
        <v>0</v>
      </c>
      <c r="S83" s="170">
        <f>IF(Escenarios!$F$14&gt;0,Q83*Escenarios!$F$13/Escenarios!$F$14,0)</f>
        <v>0</v>
      </c>
      <c r="T83" s="170">
        <f>IF(Escenarios!$F$14&gt;0,Observaciones!$I82,0)</f>
        <v>0</v>
      </c>
      <c r="U83" s="170">
        <f>IF(Escenarios!$F$14&gt;0,MAX(0,Constantes!$F$36/((Z82+R83+S83+T83+Observaciones!$F82)^2)+Entradas!$F$77),0)</f>
        <v>2.5324641674087824</v>
      </c>
      <c r="V83" s="146">
        <f>IF(ETo!D82&gt;0,ETo!I82*((1-Entradas!$F$81)*ETo!K82+ETo!L82),0)</f>
        <v>3.7779967953058655</v>
      </c>
      <c r="W83" s="170">
        <f>IF(Escenarios!$F$14&gt;0,MIN(V83*1,0.8*(Z82+R83+S83+T83+Observaciones!$F82-U83-Constantes!$F$35)),0)</f>
        <v>3.7779967953058655</v>
      </c>
      <c r="X83" s="170">
        <f>IF(Escenarios!$F$14&gt;0,Observaciones!$J82,0)</f>
        <v>0</v>
      </c>
      <c r="Y83" s="170">
        <f>IF(Escenarios!$F$14&gt;0,MAX(0,Z82+R83+S83+T83+Observaciones!$F82-U83-W83-X83-Constantes!$F$33),0)</f>
        <v>0</v>
      </c>
      <c r="Z83" s="170">
        <f>Z82+R83+S83+T83+Observaciones!$F82-U83-W83-Y83</f>
        <v>141.87617624987843</v>
      </c>
      <c r="AA83" s="170">
        <f>IF(Escenarios!$F$14&gt;0,(Escenarios!$F$13*L83+Escenarios!$F$14*W83)/(Escenarios!$F$16),L83)</f>
        <v>2.5912024174143804</v>
      </c>
      <c r="AB83" s="170">
        <f>IF(Escenarios!$F$14&gt;0,(Escenarios!$F$14*Y83)/(Escenarios!$F$16),K83)</f>
        <v>0</v>
      </c>
      <c r="AC83" s="170">
        <f>IF(Escenarios!$F$14&gt;0,(Escenarios!$F$13*M83+Escenarios!$F$14*U83)/(Escenarios!$F$16),M83)</f>
        <v>0.30389570008905387</v>
      </c>
      <c r="AD83" s="76">
        <f t="shared" si="15"/>
        <v>173.96351256590162</v>
      </c>
      <c r="AE83" s="76">
        <f>MAX(0,(AD83-Constantes!$D$13)*(1-EXP(-Constantes!$D$23)))</f>
        <v>1.2337585628469783</v>
      </c>
      <c r="AF83" s="76">
        <f>AB83+O83*Escenarios!$F$13/Escenarios!$F$16+AE83</f>
        <v>2.1146183969016805</v>
      </c>
      <c r="AG83" s="76">
        <f>IF(Entradas!$F$91&gt;0,IF(AF83-Escenarios!$F$38&lt;=0,0,IF(AF83-Escenarios!$F$38&gt;Escenarios!$F$37,Escenarios!$F$37,AF83-Escenarios!$F$38)),0)</f>
        <v>1.0778183969016806</v>
      </c>
      <c r="AH83" s="76">
        <f>AG83*Entradas!$F$99</f>
        <v>0</v>
      </c>
      <c r="AI83" s="76">
        <f>IF(Entradas!$F$91&gt;0,D83*Entradas!$D$23/Escenarios!$F$16,0)</f>
        <v>0.20446642704592027</v>
      </c>
      <c r="AJ83" s="76">
        <f>IF(Entradas!$F$91&gt;0,Entradas!$D$24*Entradas!$D$22/Escenarios!$F$16,0)</f>
        <v>0.12</v>
      </c>
      <c r="AK83" s="76">
        <f t="shared" si="16"/>
        <v>2.7956688444603008</v>
      </c>
      <c r="AL83" s="76">
        <f t="shared" si="17"/>
        <v>0</v>
      </c>
      <c r="AM83" s="76">
        <f t="shared" si="18"/>
        <v>1.0778183969016806</v>
      </c>
      <c r="AN83" s="76">
        <f>MAX(0,O83*Escenarios!$F$13/Escenarios!$F$16-AM83)</f>
        <v>0</v>
      </c>
      <c r="AO83" s="76">
        <f>AM83+AN83-O83*Escenarios!$F$13/Escenarios!$F$16</f>
        <v>0.1969585628469781</v>
      </c>
      <c r="AP83" s="76">
        <f t="shared" si="19"/>
        <v>1.0368000000000002</v>
      </c>
      <c r="AQ83" s="76">
        <f t="shared" si="20"/>
        <v>0</v>
      </c>
      <c r="AR83" s="76">
        <f t="shared" si="21"/>
        <v>1.0368000000000002</v>
      </c>
      <c r="AS83" s="76">
        <f t="shared" si="22"/>
        <v>0.75335196985576036</v>
      </c>
      <c r="AT83" s="76">
        <f t="shared" si="23"/>
        <v>1.0572476699448141</v>
      </c>
      <c r="AU83" s="76">
        <f t="shared" si="24"/>
        <v>58.772437770578144</v>
      </c>
      <c r="AV83" s="76">
        <f>MAX(0,(AU83-Constantes!$D$13)*(1-EXP(-Constantes!$D$24)))</f>
        <v>0.15319543752257522</v>
      </c>
      <c r="AW83" s="170">
        <f>AW82+(Entradas!$F$112*AT83-AX82)/(800*Entradas!$D$25)</f>
        <v>0</v>
      </c>
      <c r="AX83" s="170">
        <f>8000*Entradas!$D$26*AW83/Constantes!$F$45</f>
        <v>0</v>
      </c>
      <c r="AY83" s="170">
        <f>IF(Escenarios!$F$17&gt;0,10*Escenarios!$F$16*AL83,0)</f>
        <v>0</v>
      </c>
      <c r="AZ83" s="170">
        <f>IF(Escenarios!$F$17&gt;0,10*Escenarios!$F$16*AX83,0)</f>
        <v>0</v>
      </c>
      <c r="BA83" s="170">
        <f>IF(Escenarios!$F$17&gt;0,0.001*Observaciones!$F82*Escenarios!$F$17,0)</f>
        <v>0</v>
      </c>
      <c r="BB83" s="170">
        <f>IF(Escenarios!$F$17&gt;0,Observaciones!$K82,0)</f>
        <v>0</v>
      </c>
      <c r="BC83" s="170">
        <f>IF(Escenarios!$F$17&gt;0,MIN(0.0005*ETo!$M82*Escenarios!$F$17*(BG82/Constantes!$F$40)^(2/3),BG82+AY83+AZ83+BA83+BB83),0)</f>
        <v>0</v>
      </c>
      <c r="BD83" s="170">
        <f>IF(Escenarios!$F$17&gt;0,MIN(Constantes!$F$39*(BG82/Constantes!$F$40)^(2/3),BG82+AY83+AZ83+BA83+BB83-BC83),0)</f>
        <v>0</v>
      </c>
      <c r="BE83" s="170">
        <f>IF(Escenarios!$F$17&gt;0,MIN(Entradas!$F$113,BG82+AY83+AZ83+BA83+BB83-BC83-BD83),0)</f>
        <v>0</v>
      </c>
      <c r="BF83" s="170">
        <f>IF(Escenarios!$F$17&gt;0,MAX(0,BG82+AY83+AZ83+BA83+BB83-BC83-BD83-BE83-Constantes!$F$40),0)</f>
        <v>0</v>
      </c>
      <c r="BG83" s="170">
        <f t="shared" si="25"/>
        <v>0</v>
      </c>
      <c r="BH83" s="170">
        <f>(Escenarios!$F$16*AK83+0.1*BC83)/(Escenarios!$F$19)</f>
        <v>2.7956688444603008</v>
      </c>
      <c r="BI83" s="170">
        <f>IF(Escenarios!$F$17&gt;0,BF83/10/Escenarios!$F$19,AL83)</f>
        <v>0</v>
      </c>
      <c r="BJ83" s="170">
        <f>(Escenarios!$F$16*AT83+0.1*BD83)/(Escenarios!$F$19)</f>
        <v>1.0572476699448141</v>
      </c>
      <c r="BK83" s="76">
        <f>BK82+(0.1*BD83)/(Escenarios!$F$19)-BL82</f>
        <v>48.75</v>
      </c>
      <c r="BL83" s="76">
        <f>MAX(0,(BK83-Constantes!$D$13)*(1-EXP(-Constantes!$D$23)))</f>
        <v>0</v>
      </c>
      <c r="BM83" s="76">
        <f t="shared" si="26"/>
        <v>1.1899954375225754</v>
      </c>
      <c r="BN83" s="76">
        <f t="shared" si="27"/>
        <v>1.1899954375225754</v>
      </c>
      <c r="BO83" s="76">
        <f>0.0526*BI83*Observaciones!$F82^1.218</f>
        <v>0</v>
      </c>
      <c r="BP83" s="76">
        <f>BO83*Constantes!$F$51</f>
        <v>0</v>
      </c>
      <c r="BQ83" s="76">
        <f t="shared" si="28"/>
        <v>0</v>
      </c>
      <c r="BR83" s="40"/>
    </row>
    <row r="84" spans="2:70">
      <c r="B84" s="39"/>
      <c r="C84" s="75">
        <v>78</v>
      </c>
      <c r="D84" s="146">
        <f>ETo!$I83*((1-Constantes!$F$19)*ETo!$K83+ETo!$L83)</f>
        <v>4.2980234038231977</v>
      </c>
      <c r="E84" s="76">
        <f>MIN(D84*Constantes!$F$17,0.8*(N83+Observaciones!$F83-F84-M84-Constantes!$D$14))</f>
        <v>2.4512132816792218</v>
      </c>
      <c r="F84" s="76">
        <f>IF(Observaciones!$F83&gt;0.05*Constantes!$F$18,((Observaciones!$F83-0.05*Constantes!$F$18)^2)/(Observaciones!$F83+0.95*Constantes!$F$18),0)</f>
        <v>0</v>
      </c>
      <c r="G84" s="76">
        <f>IF(Escenarios!$F$11&gt;0,(F84*Escenarios!$F$16*10000)/1000,0)</f>
        <v>0</v>
      </c>
      <c r="H84" s="76">
        <f>IF(Escenarios!$F$11&gt;0,(Observaciones!$F83*Constantes!$F$29)/1000,0)</f>
        <v>0</v>
      </c>
      <c r="I84" s="76">
        <f>IF(Escenarios!$F$11&gt;0,(D84*Constantes!$F$29)/1000,0)</f>
        <v>0</v>
      </c>
      <c r="J84" s="76">
        <f>IF(Escenarios!$F$11&gt;0,MAX(0,G84+H84-I84),0)</f>
        <v>0</v>
      </c>
      <c r="K84" s="76">
        <f>IF(Escenarios!$F$11&gt;0,IF(J84&gt;Constantes!$F$30,1000*((J84-Constantes!$F$30)/(Escenarios!$F$16*10000)),0),F84)</f>
        <v>0</v>
      </c>
      <c r="L84" s="76">
        <f>IF(Escenarios!$F$11&gt;0,I84*1000/Escenarios!$F$16/10000+E84,E84)</f>
        <v>2.4512132816792218</v>
      </c>
      <c r="M84" s="76">
        <f>MAX(0,N83+Observaciones!$F83-K84-Constantes!$D$13)</f>
        <v>0</v>
      </c>
      <c r="N84" s="76">
        <f>N83+Observaciones!$F83-K84-L84-M84-O83</f>
        <v>37.383282560577292</v>
      </c>
      <c r="O84" s="76">
        <f>MAX(0,(N84-Constantes!$D$14)*(1-EXP(-Constantes!$D$22)))</f>
        <v>0.89019554125757361</v>
      </c>
      <c r="P84" s="170">
        <f>P83+(Entradas!$F$83*M84-Q83)/(800*Entradas!$D$25)</f>
        <v>0</v>
      </c>
      <c r="Q84" s="170">
        <f>8000*Entradas!$D$26*P84/Constantes!$F$45</f>
        <v>0</v>
      </c>
      <c r="R84" s="170">
        <f>IF(Escenarios!$F$14&gt;0,K84*Escenarios!$F$13/Escenarios!$F$14,0)</f>
        <v>0</v>
      </c>
      <c r="S84" s="170">
        <f>IF(Escenarios!$F$14&gt;0,Q84*Escenarios!$F$13/Escenarios!$F$14,0)</f>
        <v>0</v>
      </c>
      <c r="T84" s="170">
        <f>IF(Escenarios!$F$14&gt;0,Observaciones!$I83,0)</f>
        <v>0</v>
      </c>
      <c r="U84" s="170">
        <f>IF(Escenarios!$F$14&gt;0,MAX(0,Constantes!$F$36/((Z83+R84+S84+T84+Observaciones!$F83)^2)+Entradas!$F$77),0)</f>
        <v>2.4913834749687336</v>
      </c>
      <c r="V84" s="146">
        <f>IF(ETo!D83&gt;0,ETo!I83*((1-Entradas!$F$81)*ETo!K83+ETo!L83),0)</f>
        <v>3.8125282748707705</v>
      </c>
      <c r="W84" s="170">
        <f>IF(Escenarios!$F$14&gt;0,MIN(V84*1,0.8*(Z83+R84+S84+T84+Observaciones!$F83-U84-Constantes!$F$35)),0)</f>
        <v>3.8125282748707705</v>
      </c>
      <c r="X84" s="170">
        <f>IF(Escenarios!$F$14&gt;0,Observaciones!$J83,0)</f>
        <v>0</v>
      </c>
      <c r="Y84" s="170">
        <f>IF(Escenarios!$F$14&gt;0,MAX(0,Z83+R84+S84+T84+Observaciones!$F83-U84-W84-X84-Constantes!$F$33),0)</f>
        <v>0</v>
      </c>
      <c r="Z84" s="170">
        <f>Z83+R84+S84+T84+Observaciones!$F83-U84-W84-Y84</f>
        <v>135.77226450003892</v>
      </c>
      <c r="AA84" s="170">
        <f>IF(Escenarios!$F$14&gt;0,(Escenarios!$F$13*L84+Escenarios!$F$14*W84)/(Escenarios!$F$16),L84)</f>
        <v>2.6145710808622078</v>
      </c>
      <c r="AB84" s="170">
        <f>IF(Escenarios!$F$14&gt;0,(Escenarios!$F$14*Y84)/(Escenarios!$F$16),K84)</f>
        <v>0</v>
      </c>
      <c r="AC84" s="170">
        <f>IF(Escenarios!$F$14&gt;0,(Escenarios!$F$13*M84+Escenarios!$F$14*U84)/(Escenarios!$F$16),M84)</f>
        <v>0.29896601699624803</v>
      </c>
      <c r="AD84" s="76">
        <f t="shared" si="15"/>
        <v>173.02872002005088</v>
      </c>
      <c r="AE84" s="76">
        <f>MAX(0,(AD84-Constantes!$D$13)*(1-EXP(-Constantes!$D$23)))</f>
        <v>1.224547829242473</v>
      </c>
      <c r="AF84" s="76">
        <f>AB84+O84*Escenarios!$F$13/Escenarios!$F$16+AE84</f>
        <v>2.0079199055491377</v>
      </c>
      <c r="AG84" s="76">
        <f>IF(Entradas!$F$91&gt;0,IF(AF84-Escenarios!$F$38&lt;=0,0,IF(AF84-Escenarios!$F$38&gt;Escenarios!$F$37,Escenarios!$F$37,AF84-Escenarios!$F$38)),0)</f>
        <v>0.97111990554913774</v>
      </c>
      <c r="AH84" s="76">
        <f>AG84*Entradas!$F$99</f>
        <v>0</v>
      </c>
      <c r="AI84" s="76">
        <f>IF(Entradas!$F$91&gt;0,D84*Entradas!$D$23/Escenarios!$F$16,0)</f>
        <v>0.20630512338351348</v>
      </c>
      <c r="AJ84" s="76">
        <f>IF(Entradas!$F$91&gt;0,Entradas!$D$24*Entradas!$D$22/Escenarios!$F$16,0)</f>
        <v>0.12</v>
      </c>
      <c r="AK84" s="76">
        <f t="shared" si="16"/>
        <v>2.8208762042457214</v>
      </c>
      <c r="AL84" s="76">
        <f t="shared" si="17"/>
        <v>0</v>
      </c>
      <c r="AM84" s="76">
        <f t="shared" si="18"/>
        <v>0.97111990554913774</v>
      </c>
      <c r="AN84" s="76">
        <f>MAX(0,O84*Escenarios!$F$13/Escenarios!$F$16-AM84)</f>
        <v>0</v>
      </c>
      <c r="AO84" s="76">
        <f>AM84+AN84-O84*Escenarios!$F$13/Escenarios!$F$16</f>
        <v>0.18774782924247291</v>
      </c>
      <c r="AP84" s="76">
        <f t="shared" si="19"/>
        <v>1.0367999999999999</v>
      </c>
      <c r="AQ84" s="76">
        <f t="shared" si="20"/>
        <v>0</v>
      </c>
      <c r="AR84" s="76">
        <f t="shared" si="21"/>
        <v>1.0367999999999999</v>
      </c>
      <c r="AS84" s="76">
        <f t="shared" si="22"/>
        <v>0.64481478216562427</v>
      </c>
      <c r="AT84" s="76">
        <f t="shared" si="23"/>
        <v>0.9437807991618723</v>
      </c>
      <c r="AU84" s="76">
        <f t="shared" si="24"/>
        <v>59.264057115221192</v>
      </c>
      <c r="AV84" s="76">
        <f>MAX(0,(AU84-Constantes!$D$13)*(1-EXP(-Constantes!$D$24)))</f>
        <v>0.16070996066765722</v>
      </c>
      <c r="AW84" s="170">
        <f>AW83+(Entradas!$F$112*AT84-AX83)/(800*Entradas!$D$25)</f>
        <v>0</v>
      </c>
      <c r="AX84" s="170">
        <f>8000*Entradas!$D$26*AW84/Constantes!$F$45</f>
        <v>0</v>
      </c>
      <c r="AY84" s="170">
        <f>IF(Escenarios!$F$17&gt;0,10*Escenarios!$F$16*AL84,0)</f>
        <v>0</v>
      </c>
      <c r="AZ84" s="170">
        <f>IF(Escenarios!$F$17&gt;0,10*Escenarios!$F$16*AX84,0)</f>
        <v>0</v>
      </c>
      <c r="BA84" s="170">
        <f>IF(Escenarios!$F$17&gt;0,0.001*Observaciones!$F83*Escenarios!$F$17,0)</f>
        <v>0</v>
      </c>
      <c r="BB84" s="170">
        <f>IF(Escenarios!$F$17&gt;0,Observaciones!$K83,0)</f>
        <v>0</v>
      </c>
      <c r="BC84" s="170">
        <f>IF(Escenarios!$F$17&gt;0,MIN(0.0005*ETo!$M83*Escenarios!$F$17*(BG83/Constantes!$F$40)^(2/3),BG83+AY84+AZ84+BA84+BB84),0)</f>
        <v>0</v>
      </c>
      <c r="BD84" s="170">
        <f>IF(Escenarios!$F$17&gt;0,MIN(Constantes!$F$39*(BG83/Constantes!$F$40)^(2/3),BG83+AY84+AZ84+BA84+BB84-BC84),0)</f>
        <v>0</v>
      </c>
      <c r="BE84" s="170">
        <f>IF(Escenarios!$F$17&gt;0,MIN(Entradas!$F$113,BG83+AY84+AZ84+BA84+BB84-BC84-BD84),0)</f>
        <v>0</v>
      </c>
      <c r="BF84" s="170">
        <f>IF(Escenarios!$F$17&gt;0,MAX(0,BG83+AY84+AZ84+BA84+BB84-BC84-BD84-BE84-Constantes!$F$40),0)</f>
        <v>0</v>
      </c>
      <c r="BG84" s="170">
        <f t="shared" si="25"/>
        <v>0</v>
      </c>
      <c r="BH84" s="170">
        <f>(Escenarios!$F$16*AK84+0.1*BC84)/(Escenarios!$F$19)</f>
        <v>2.8208762042457214</v>
      </c>
      <c r="BI84" s="170">
        <f>IF(Escenarios!$F$17&gt;0,BF84/10/Escenarios!$F$19,AL84)</f>
        <v>0</v>
      </c>
      <c r="BJ84" s="170">
        <f>(Escenarios!$F$16*AT84+0.1*BD84)/(Escenarios!$F$19)</f>
        <v>0.9437807991618723</v>
      </c>
      <c r="BK84" s="76">
        <f>BK83+(0.1*BD84)/(Escenarios!$F$19)-BL83</f>
        <v>48.75</v>
      </c>
      <c r="BL84" s="76">
        <f>MAX(0,(BK84-Constantes!$D$13)*(1-EXP(-Constantes!$D$23)))</f>
        <v>0</v>
      </c>
      <c r="BM84" s="76">
        <f t="shared" si="26"/>
        <v>1.1975099606676571</v>
      </c>
      <c r="BN84" s="76">
        <f t="shared" si="27"/>
        <v>1.1975099606676571</v>
      </c>
      <c r="BO84" s="76">
        <f>0.0526*BI84*Observaciones!$F83^1.218</f>
        <v>0</v>
      </c>
      <c r="BP84" s="76">
        <f>BO84*Constantes!$F$51</f>
        <v>0</v>
      </c>
      <c r="BQ84" s="76">
        <f t="shared" si="28"/>
        <v>0</v>
      </c>
      <c r="BR84" s="40"/>
    </row>
    <row r="85" spans="2:70">
      <c r="B85" s="39"/>
      <c r="C85" s="75">
        <v>79</v>
      </c>
      <c r="D85" s="146">
        <f>ETo!$I84*((1-Constantes!$F$19)*ETo!$K84+ETo!$L84)</f>
        <v>4.2103726849550904</v>
      </c>
      <c r="E85" s="76">
        <f>MIN(D85*Constantes!$F$17,0.8*(N84+Observaciones!$F84-F85-M85-Constantes!$D$14))</f>
        <v>2.4012250461458549</v>
      </c>
      <c r="F85" s="76">
        <f>IF(Observaciones!$F84&gt;0.05*Constantes!$F$18,((Observaciones!$F84-0.05*Constantes!$F$18)^2)/(Observaciones!$F84+0.95*Constantes!$F$18),0)</f>
        <v>0</v>
      </c>
      <c r="G85" s="76">
        <f>IF(Escenarios!$F$11&gt;0,(F85*Escenarios!$F$16*10000)/1000,0)</f>
        <v>0</v>
      </c>
      <c r="H85" s="76">
        <f>IF(Escenarios!$F$11&gt;0,(Observaciones!$F84*Constantes!$F$29)/1000,0)</f>
        <v>0</v>
      </c>
      <c r="I85" s="76">
        <f>IF(Escenarios!$F$11&gt;0,(D85*Constantes!$F$29)/1000,0)</f>
        <v>0</v>
      </c>
      <c r="J85" s="76">
        <f>IF(Escenarios!$F$11&gt;0,MAX(0,G85+H85-I85),0)</f>
        <v>0</v>
      </c>
      <c r="K85" s="76">
        <f>IF(Escenarios!$F$11&gt;0,IF(J85&gt;Constantes!$F$30,1000*((J85-Constantes!$F$30)/(Escenarios!$F$16*10000)),0),F85)</f>
        <v>0</v>
      </c>
      <c r="L85" s="76">
        <f>IF(Escenarios!$F$11&gt;0,I85*1000/Escenarios!$F$16/10000+E85,E85)</f>
        <v>2.4012250461458549</v>
      </c>
      <c r="M85" s="76">
        <f>MAX(0,N84+Observaciones!$F84-K85-Constantes!$D$13)</f>
        <v>0</v>
      </c>
      <c r="N85" s="76">
        <f>N84+Observaciones!$F84-K85-L85-M85-O84</f>
        <v>37.691861973173864</v>
      </c>
      <c r="O85" s="76">
        <f>MAX(0,(N85-Constantes!$D$14)*(1-EXP(-Constantes!$D$22)))</f>
        <v>0.90070688886882766</v>
      </c>
      <c r="P85" s="170">
        <f>P84+(Entradas!$F$83*M85-Q84)/(800*Entradas!$D$25)</f>
        <v>0</v>
      </c>
      <c r="Q85" s="170">
        <f>8000*Entradas!$D$26*P85/Constantes!$F$45</f>
        <v>0</v>
      </c>
      <c r="R85" s="170">
        <f>IF(Escenarios!$F$14&gt;0,K85*Escenarios!$F$13/Escenarios!$F$14,0)</f>
        <v>0</v>
      </c>
      <c r="S85" s="170">
        <f>IF(Escenarios!$F$14&gt;0,Q85*Escenarios!$F$13/Escenarios!$F$14,0)</f>
        <v>0</v>
      </c>
      <c r="T85" s="170">
        <f>IF(Escenarios!$F$14&gt;0,Observaciones!$I84,0)</f>
        <v>0</v>
      </c>
      <c r="U85" s="170">
        <f>IF(Escenarios!$F$14&gt;0,MAX(0,Constantes!$F$36/((Z84+R85+S85+T85+Observaciones!$F84)^2)+Entradas!$F$77),0)</f>
        <v>2.4714570626077093</v>
      </c>
      <c r="V85" s="146">
        <f>IF(ETo!D84&gt;0,ETo!I84*((1-Entradas!$F$81)*ETo!K84+ETo!L84),0)</f>
        <v>3.7330143003015333</v>
      </c>
      <c r="W85" s="170">
        <f>IF(Escenarios!$F$14&gt;0,MIN(V85*1,0.8*(Z84+R85+S85+T85+Observaciones!$F84-U85-Constantes!$F$35)),0)</f>
        <v>3.7330143003015333</v>
      </c>
      <c r="X85" s="170">
        <f>IF(Escenarios!$F$14&gt;0,Observaciones!$J84,0)</f>
        <v>0</v>
      </c>
      <c r="Y85" s="170">
        <f>IF(Escenarios!$F$14&gt;0,MAX(0,Z84+R85+S85+T85+Observaciones!$F84-U85-W85-X85-Constantes!$F$33),0)</f>
        <v>0</v>
      </c>
      <c r="Z85" s="170">
        <f>Z84+R85+S85+T85+Observaciones!$F84-U85-W85-Y85</f>
        <v>133.16779313712968</v>
      </c>
      <c r="AA85" s="170">
        <f>IF(Escenarios!$F$14&gt;0,(Escenarios!$F$13*L85+Escenarios!$F$14*W85)/(Escenarios!$F$16),L85)</f>
        <v>2.5610397566445364</v>
      </c>
      <c r="AB85" s="170">
        <f>IF(Escenarios!$F$14&gt;0,(Escenarios!$F$14*Y85)/(Escenarios!$F$16),K85)</f>
        <v>0</v>
      </c>
      <c r="AC85" s="170">
        <f>IF(Escenarios!$F$14&gt;0,(Escenarios!$F$13*M85+Escenarios!$F$14*U85)/(Escenarios!$F$16),M85)</f>
        <v>0.29657484751292507</v>
      </c>
      <c r="AD85" s="76">
        <f t="shared" si="15"/>
        <v>172.10074703832132</v>
      </c>
      <c r="AE85" s="76">
        <f>MAX(0,(AD85-Constantes!$D$13)*(1-EXP(-Constantes!$D$23)))</f>
        <v>1.2154042904275475</v>
      </c>
      <c r="AF85" s="76">
        <f>AB85+O85*Escenarios!$F$13/Escenarios!$F$16+AE85</f>
        <v>2.0080263526321156</v>
      </c>
      <c r="AG85" s="76">
        <f>IF(Entradas!$F$91&gt;0,IF(AF85-Escenarios!$F$38&lt;=0,0,IF(AF85-Escenarios!$F$38&gt;Escenarios!$F$37,Escenarios!$F$37,AF85-Escenarios!$F$38)),0)</f>
        <v>0.97122635263211565</v>
      </c>
      <c r="AH85" s="76">
        <f>AG85*Entradas!$F$99</f>
        <v>0</v>
      </c>
      <c r="AI85" s="76">
        <f>IF(Entradas!$F$91&gt;0,D85*Entradas!$D$23/Escenarios!$F$16,0)</f>
        <v>0.20209788887784436</v>
      </c>
      <c r="AJ85" s="76">
        <f>IF(Entradas!$F$91&gt;0,Entradas!$D$24*Entradas!$D$22/Escenarios!$F$16,0)</f>
        <v>0.12</v>
      </c>
      <c r="AK85" s="76">
        <f t="shared" si="16"/>
        <v>2.7631376455223808</v>
      </c>
      <c r="AL85" s="76">
        <f t="shared" si="17"/>
        <v>0</v>
      </c>
      <c r="AM85" s="76">
        <f t="shared" si="18"/>
        <v>0.97122635263211565</v>
      </c>
      <c r="AN85" s="76">
        <f>MAX(0,O85*Escenarios!$F$13/Escenarios!$F$16-AM85)</f>
        <v>0</v>
      </c>
      <c r="AO85" s="76">
        <f>AM85+AN85-O85*Escenarios!$F$13/Escenarios!$F$16</f>
        <v>0.17860429042754733</v>
      </c>
      <c r="AP85" s="76">
        <f t="shared" si="19"/>
        <v>1.0368000000000002</v>
      </c>
      <c r="AQ85" s="76">
        <f t="shared" si="20"/>
        <v>0</v>
      </c>
      <c r="AR85" s="76">
        <f t="shared" si="21"/>
        <v>1.0368000000000002</v>
      </c>
      <c r="AS85" s="76">
        <f t="shared" si="22"/>
        <v>0.64912846375427125</v>
      </c>
      <c r="AT85" s="76">
        <f t="shared" si="23"/>
        <v>0.94570331126719631</v>
      </c>
      <c r="AU85" s="76">
        <f t="shared" si="24"/>
        <v>59.752475618307805</v>
      </c>
      <c r="AV85" s="76">
        <f>MAX(0,(AU85-Constantes!$D$13)*(1-EXP(-Constantes!$D$24)))</f>
        <v>0.16817555815873136</v>
      </c>
      <c r="AW85" s="170">
        <f>AW84+(Entradas!$F$112*AT85-AX84)/(800*Entradas!$D$25)</f>
        <v>0</v>
      </c>
      <c r="AX85" s="170">
        <f>8000*Entradas!$D$26*AW85/Constantes!$F$45</f>
        <v>0</v>
      </c>
      <c r="AY85" s="170">
        <f>IF(Escenarios!$F$17&gt;0,10*Escenarios!$F$16*AL85,0)</f>
        <v>0</v>
      </c>
      <c r="AZ85" s="170">
        <f>IF(Escenarios!$F$17&gt;0,10*Escenarios!$F$16*AX85,0)</f>
        <v>0</v>
      </c>
      <c r="BA85" s="170">
        <f>IF(Escenarios!$F$17&gt;0,0.001*Observaciones!$F84*Escenarios!$F$17,0)</f>
        <v>0</v>
      </c>
      <c r="BB85" s="170">
        <f>IF(Escenarios!$F$17&gt;0,Observaciones!$K84,0)</f>
        <v>0</v>
      </c>
      <c r="BC85" s="170">
        <f>IF(Escenarios!$F$17&gt;0,MIN(0.0005*ETo!$M84*Escenarios!$F$17*(BG84/Constantes!$F$40)^(2/3),BG84+AY85+AZ85+BA85+BB85),0)</f>
        <v>0</v>
      </c>
      <c r="BD85" s="170">
        <f>IF(Escenarios!$F$17&gt;0,MIN(Constantes!$F$39*(BG84/Constantes!$F$40)^(2/3),BG84+AY85+AZ85+BA85+BB85-BC85),0)</f>
        <v>0</v>
      </c>
      <c r="BE85" s="170">
        <f>IF(Escenarios!$F$17&gt;0,MIN(Entradas!$F$113,BG84+AY85+AZ85+BA85+BB85-BC85-BD85),0)</f>
        <v>0</v>
      </c>
      <c r="BF85" s="170">
        <f>IF(Escenarios!$F$17&gt;0,MAX(0,BG84+AY85+AZ85+BA85+BB85-BC85-BD85-BE85-Constantes!$F$40),0)</f>
        <v>0</v>
      </c>
      <c r="BG85" s="170">
        <f t="shared" si="25"/>
        <v>0</v>
      </c>
      <c r="BH85" s="170">
        <f>(Escenarios!$F$16*AK85+0.1*BC85)/(Escenarios!$F$19)</f>
        <v>2.7631376455223808</v>
      </c>
      <c r="BI85" s="170">
        <f>IF(Escenarios!$F$17&gt;0,BF85/10/Escenarios!$F$19,AL85)</f>
        <v>0</v>
      </c>
      <c r="BJ85" s="170">
        <f>(Escenarios!$F$16*AT85+0.1*BD85)/(Escenarios!$F$19)</f>
        <v>0.94570331126719631</v>
      </c>
      <c r="BK85" s="76">
        <f>BK84+(0.1*BD85)/(Escenarios!$F$19)-BL84</f>
        <v>48.75</v>
      </c>
      <c r="BL85" s="76">
        <f>MAX(0,(BK85-Constantes!$D$13)*(1-EXP(-Constantes!$D$23)))</f>
        <v>0</v>
      </c>
      <c r="BM85" s="76">
        <f t="shared" si="26"/>
        <v>1.2049755581587316</v>
      </c>
      <c r="BN85" s="76">
        <f t="shared" si="27"/>
        <v>1.2049755581587316</v>
      </c>
      <c r="BO85" s="76">
        <f>0.0526*BI85*Observaciones!$F84^1.218</f>
        <v>0</v>
      </c>
      <c r="BP85" s="76">
        <f>BO85*Constantes!$F$51</f>
        <v>0</v>
      </c>
      <c r="BQ85" s="76">
        <f t="shared" si="28"/>
        <v>0</v>
      </c>
      <c r="BR85" s="40"/>
    </row>
    <row r="86" spans="2:70">
      <c r="B86" s="39"/>
      <c r="C86" s="75">
        <v>80</v>
      </c>
      <c r="D86" s="146">
        <f>ETo!$I85*((1-Constantes!$F$19)*ETo!$K85+ETo!$L85)</f>
        <v>4.0584078735620768</v>
      </c>
      <c r="E86" s="76">
        <f>MIN(D86*Constantes!$F$17,0.8*(N85+Observaciones!$F85-F86-M86-Constantes!$D$14))</f>
        <v>2.3145577274655782</v>
      </c>
      <c r="F86" s="76">
        <f>IF(Observaciones!$F85&gt;0.05*Constantes!$F$18,((Observaciones!$F85-0.05*Constantes!$F$18)^2)/(Observaciones!$F85+0.95*Constantes!$F$18),0)</f>
        <v>0</v>
      </c>
      <c r="G86" s="76">
        <f>IF(Escenarios!$F$11&gt;0,(F86*Escenarios!$F$16*10000)/1000,0)</f>
        <v>0</v>
      </c>
      <c r="H86" s="76">
        <f>IF(Escenarios!$F$11&gt;0,(Observaciones!$F85*Constantes!$F$29)/1000,0)</f>
        <v>0</v>
      </c>
      <c r="I86" s="76">
        <f>IF(Escenarios!$F$11&gt;0,(D86*Constantes!$F$29)/1000,0)</f>
        <v>0</v>
      </c>
      <c r="J86" s="76">
        <f>IF(Escenarios!$F$11&gt;0,MAX(0,G86+H86-I86),0)</f>
        <v>0</v>
      </c>
      <c r="K86" s="76">
        <f>IF(Escenarios!$F$11&gt;0,IF(J86&gt;Constantes!$F$30,1000*((J86-Constantes!$F$30)/(Escenarios!$F$16*10000)),0),F86)</f>
        <v>0</v>
      </c>
      <c r="L86" s="76">
        <f>IF(Escenarios!$F$11&gt;0,I86*1000/Escenarios!$F$16/10000+E86,E86)</f>
        <v>2.3145577274655782</v>
      </c>
      <c r="M86" s="76">
        <f>MAX(0,N85+Observaciones!$F85-K86-Constantes!$D$13)</f>
        <v>0</v>
      </c>
      <c r="N86" s="76">
        <f>N85+Observaciones!$F85-K86-L86-M86-O85</f>
        <v>34.476597356839463</v>
      </c>
      <c r="O86" s="76">
        <f>MAX(0,(N86-Constantes!$D$14)*(1-EXP(-Constantes!$D$22)))</f>
        <v>0.79118317255843007</v>
      </c>
      <c r="P86" s="170">
        <f>P85+(Entradas!$F$83*M86-Q85)/(800*Entradas!$D$25)</f>
        <v>0</v>
      </c>
      <c r="Q86" s="170">
        <f>8000*Entradas!$D$26*P86/Constantes!$F$45</f>
        <v>0</v>
      </c>
      <c r="R86" s="170">
        <f>IF(Escenarios!$F$14&gt;0,K86*Escenarios!$F$13/Escenarios!$F$14,0)</f>
        <v>0</v>
      </c>
      <c r="S86" s="170">
        <f>IF(Escenarios!$F$14&gt;0,Q86*Escenarios!$F$13/Escenarios!$F$14,0)</f>
        <v>0</v>
      </c>
      <c r="T86" s="170">
        <f>IF(Escenarios!$F$14&gt;0,Observaciones!$I85,0)</f>
        <v>0</v>
      </c>
      <c r="U86" s="170">
        <f>IF(Escenarios!$F$14&gt;0,MAX(0,Constantes!$F$36/((Z85+R86+S86+T86+Observaciones!$F85)^2)+Entradas!$F$77),0)</f>
        <v>2.4210586338991802</v>
      </c>
      <c r="V86" s="146">
        <f>IF(ETo!D85&gt;0,ETo!I85*((1-Entradas!$F$81)*ETo!K85+ETo!L85),0)</f>
        <v>3.5957558916423906</v>
      </c>
      <c r="W86" s="170">
        <f>IF(Escenarios!$F$14&gt;0,MIN(V86*1,0.8*(Z85+R86+S86+T86+Observaciones!$F85-U86-Constantes!$F$35)),0)</f>
        <v>3.5957558916423906</v>
      </c>
      <c r="X86" s="170">
        <f>IF(Escenarios!$F$14&gt;0,Observaciones!$J85,0)</f>
        <v>0</v>
      </c>
      <c r="Y86" s="170">
        <f>IF(Escenarios!$F$14&gt;0,MAX(0,Z85+R86+S86+T86+Observaciones!$F85-U86-W86-X86-Constantes!$F$33),0)</f>
        <v>0</v>
      </c>
      <c r="Z86" s="170">
        <f>Z85+R86+S86+T86+Observaciones!$F85-U86-W86-Y86</f>
        <v>127.1509786115881</v>
      </c>
      <c r="AA86" s="170">
        <f>IF(Escenarios!$F$14&gt;0,(Escenarios!$F$13*L86+Escenarios!$F$14*W86)/(Escenarios!$F$16),L86)</f>
        <v>2.4683015071667955</v>
      </c>
      <c r="AB86" s="170">
        <f>IF(Escenarios!$F$14&gt;0,(Escenarios!$F$14*Y86)/(Escenarios!$F$16),K86)</f>
        <v>0</v>
      </c>
      <c r="AC86" s="170">
        <f>IF(Escenarios!$F$14&gt;0,(Escenarios!$F$13*M86+Escenarios!$F$14*U86)/(Escenarios!$F$16),M86)</f>
        <v>0.29052703606790165</v>
      </c>
      <c r="AD86" s="76">
        <f t="shared" si="15"/>
        <v>171.17586978396167</v>
      </c>
      <c r="AE86" s="76">
        <f>MAX(0,(AD86-Constantes!$D$13)*(1-EXP(-Constantes!$D$23)))</f>
        <v>1.2062912545517426</v>
      </c>
      <c r="AF86" s="76">
        <f>AB86+O86*Escenarios!$F$13/Escenarios!$F$16+AE86</f>
        <v>1.902532446403161</v>
      </c>
      <c r="AG86" s="76">
        <f>IF(Entradas!$F$91&gt;0,IF(AF86-Escenarios!$F$38&lt;=0,0,IF(AF86-Escenarios!$F$38&gt;Escenarios!$F$37,Escenarios!$F$37,AF86-Escenarios!$F$38)),0)</f>
        <v>0.86573244640316105</v>
      </c>
      <c r="AH86" s="76">
        <f>AG86*Entradas!$F$99</f>
        <v>0</v>
      </c>
      <c r="AI86" s="76">
        <f>IF(Entradas!$F$91&gt;0,D86*Entradas!$D$23/Escenarios!$F$16,0)</f>
        <v>0.19480357793097969</v>
      </c>
      <c r="AJ86" s="76">
        <f>IF(Entradas!$F$91&gt;0,Entradas!$D$24*Entradas!$D$22/Escenarios!$F$16,0)</f>
        <v>0.12</v>
      </c>
      <c r="AK86" s="76">
        <f t="shared" si="16"/>
        <v>2.6631050850977753</v>
      </c>
      <c r="AL86" s="76">
        <f t="shared" si="17"/>
        <v>0</v>
      </c>
      <c r="AM86" s="76">
        <f t="shared" si="18"/>
        <v>0.86573244640316105</v>
      </c>
      <c r="AN86" s="76">
        <f>MAX(0,O86*Escenarios!$F$13/Escenarios!$F$16-AM86)</f>
        <v>0</v>
      </c>
      <c r="AO86" s="76">
        <f>AM86+AN86-O86*Escenarios!$F$13/Escenarios!$F$16</f>
        <v>0.16949125455174263</v>
      </c>
      <c r="AP86" s="76">
        <f t="shared" si="19"/>
        <v>1.0367999999999999</v>
      </c>
      <c r="AQ86" s="76">
        <f t="shared" si="20"/>
        <v>0</v>
      </c>
      <c r="AR86" s="76">
        <f t="shared" si="21"/>
        <v>1.0367999999999999</v>
      </c>
      <c r="AS86" s="76">
        <f t="shared" si="22"/>
        <v>0.55092886847218137</v>
      </c>
      <c r="AT86" s="76">
        <f t="shared" si="23"/>
        <v>0.84145590454008301</v>
      </c>
      <c r="AU86" s="76">
        <f t="shared" si="24"/>
        <v>60.13522892862126</v>
      </c>
      <c r="AV86" s="76">
        <f>MAX(0,(AU86-Constantes!$D$13)*(1-EXP(-Constantes!$D$24)))</f>
        <v>0.17402603707203684</v>
      </c>
      <c r="AW86" s="170">
        <f>AW85+(Entradas!$F$112*AT86-AX85)/(800*Entradas!$D$25)</f>
        <v>0</v>
      </c>
      <c r="AX86" s="170">
        <f>8000*Entradas!$D$26*AW86/Constantes!$F$45</f>
        <v>0</v>
      </c>
      <c r="AY86" s="170">
        <f>IF(Escenarios!$F$17&gt;0,10*Escenarios!$F$16*AL86,0)</f>
        <v>0</v>
      </c>
      <c r="AZ86" s="170">
        <f>IF(Escenarios!$F$17&gt;0,10*Escenarios!$F$16*AX86,0)</f>
        <v>0</v>
      </c>
      <c r="BA86" s="170">
        <f>IF(Escenarios!$F$17&gt;0,0.001*Observaciones!$F85*Escenarios!$F$17,0)</f>
        <v>0</v>
      </c>
      <c r="BB86" s="170">
        <f>IF(Escenarios!$F$17&gt;0,Observaciones!$K85,0)</f>
        <v>0</v>
      </c>
      <c r="BC86" s="170">
        <f>IF(Escenarios!$F$17&gt;0,MIN(0.0005*ETo!$M85*Escenarios!$F$17*(BG85/Constantes!$F$40)^(2/3),BG85+AY86+AZ86+BA86+BB86),0)</f>
        <v>0</v>
      </c>
      <c r="BD86" s="170">
        <f>IF(Escenarios!$F$17&gt;0,MIN(Constantes!$F$39*(BG85/Constantes!$F$40)^(2/3),BG85+AY86+AZ86+BA86+BB86-BC86),0)</f>
        <v>0</v>
      </c>
      <c r="BE86" s="170">
        <f>IF(Escenarios!$F$17&gt;0,MIN(Entradas!$F$113,BG85+AY86+AZ86+BA86+BB86-BC86-BD86),0)</f>
        <v>0</v>
      </c>
      <c r="BF86" s="170">
        <f>IF(Escenarios!$F$17&gt;0,MAX(0,BG85+AY86+AZ86+BA86+BB86-BC86-BD86-BE86-Constantes!$F$40),0)</f>
        <v>0</v>
      </c>
      <c r="BG86" s="170">
        <f t="shared" si="25"/>
        <v>0</v>
      </c>
      <c r="BH86" s="170">
        <f>(Escenarios!$F$16*AK86+0.1*BC86)/(Escenarios!$F$19)</f>
        <v>2.6631050850977753</v>
      </c>
      <c r="BI86" s="170">
        <f>IF(Escenarios!$F$17&gt;0,BF86/10/Escenarios!$F$19,AL86)</f>
        <v>0</v>
      </c>
      <c r="BJ86" s="170">
        <f>(Escenarios!$F$16*AT86+0.1*BD86)/(Escenarios!$F$19)</f>
        <v>0.84145590454008301</v>
      </c>
      <c r="BK86" s="76">
        <f>BK85+(0.1*BD86)/(Escenarios!$F$19)-BL85</f>
        <v>48.75</v>
      </c>
      <c r="BL86" s="76">
        <f>MAX(0,(BK86-Constantes!$D$13)*(1-EXP(-Constantes!$D$23)))</f>
        <v>0</v>
      </c>
      <c r="BM86" s="76">
        <f t="shared" si="26"/>
        <v>1.2108260370720367</v>
      </c>
      <c r="BN86" s="76">
        <f t="shared" si="27"/>
        <v>1.2108260370720367</v>
      </c>
      <c r="BO86" s="76">
        <f>0.0526*BI86*Observaciones!$F85^1.218</f>
        <v>0</v>
      </c>
      <c r="BP86" s="76">
        <f>BO86*Constantes!$F$51</f>
        <v>0</v>
      </c>
      <c r="BQ86" s="76">
        <f t="shared" si="28"/>
        <v>0</v>
      </c>
      <c r="BR86" s="40"/>
    </row>
    <row r="87" spans="2:70">
      <c r="B87" s="39"/>
      <c r="C87" s="75">
        <v>81</v>
      </c>
      <c r="D87" s="146">
        <f>ETo!$I86*((1-Constantes!$F$19)*ETo!$K86+ETo!$L86)</f>
        <v>4.0614812654930956</v>
      </c>
      <c r="E87" s="76">
        <f>MIN(D87*Constantes!$F$17,0.8*(N86+Observaciones!$F86-F87-M87-Constantes!$D$14))</f>
        <v>2.316310519019579</v>
      </c>
      <c r="F87" s="76">
        <f>IF(Observaciones!$F86&gt;0.05*Constantes!$F$18,((Observaciones!$F86-0.05*Constantes!$F$18)^2)/(Observaciones!$F86+0.95*Constantes!$F$18),0)</f>
        <v>0</v>
      </c>
      <c r="G87" s="76">
        <f>IF(Escenarios!$F$11&gt;0,(F87*Escenarios!$F$16*10000)/1000,0)</f>
        <v>0</v>
      </c>
      <c r="H87" s="76">
        <f>IF(Escenarios!$F$11&gt;0,(Observaciones!$F86*Constantes!$F$29)/1000,0)</f>
        <v>0</v>
      </c>
      <c r="I87" s="76">
        <f>IF(Escenarios!$F$11&gt;0,(D87*Constantes!$F$29)/1000,0)</f>
        <v>0</v>
      </c>
      <c r="J87" s="76">
        <f>IF(Escenarios!$F$11&gt;0,MAX(0,G87+H87-I87),0)</f>
        <v>0</v>
      </c>
      <c r="K87" s="76">
        <f>IF(Escenarios!$F$11&gt;0,IF(J87&gt;Constantes!$F$30,1000*((J87-Constantes!$F$30)/(Escenarios!$F$16*10000)),0),F87)</f>
        <v>0</v>
      </c>
      <c r="L87" s="76">
        <f>IF(Escenarios!$F$11&gt;0,I87*1000/Escenarios!$F$16/10000+E87,E87)</f>
        <v>2.316310519019579</v>
      </c>
      <c r="M87" s="76">
        <f>MAX(0,N86+Observaciones!$F86-K87-Constantes!$D$13)</f>
        <v>0</v>
      </c>
      <c r="N87" s="76">
        <f>N86+Observaciones!$F86-K87-L87-M87-O86</f>
        <v>33.069103665261451</v>
      </c>
      <c r="O87" s="76">
        <f>MAX(0,(N87-Constantes!$D$14)*(1-EXP(-Constantes!$D$22)))</f>
        <v>0.74323877040816189</v>
      </c>
      <c r="P87" s="170">
        <f>P86+(Entradas!$F$83*M87-Q86)/(800*Entradas!$D$25)</f>
        <v>0</v>
      </c>
      <c r="Q87" s="170">
        <f>8000*Entradas!$D$26*P87/Constantes!$F$45</f>
        <v>0</v>
      </c>
      <c r="R87" s="170">
        <f>IF(Escenarios!$F$14&gt;0,K87*Escenarios!$F$13/Escenarios!$F$14,0)</f>
        <v>0</v>
      </c>
      <c r="S87" s="170">
        <f>IF(Escenarios!$F$14&gt;0,Q87*Escenarios!$F$13/Escenarios!$F$14,0)</f>
        <v>0</v>
      </c>
      <c r="T87" s="170">
        <f>IF(Escenarios!$F$14&gt;0,Observaciones!$I86,0)</f>
        <v>0</v>
      </c>
      <c r="U87" s="170">
        <f>IF(Escenarios!$F$14&gt;0,MAX(0,Constantes!$F$36/((Z86+R87+S87+T87+Observaciones!$F86)^2)+Entradas!$F$77),0)</f>
        <v>2.3816169966275869</v>
      </c>
      <c r="V87" s="146">
        <f>IF(ETo!D86&gt;0,ETo!I86*((1-Entradas!$F$81)*ETo!K86+ETo!L86),0)</f>
        <v>3.5982762299672593</v>
      </c>
      <c r="W87" s="170">
        <f>IF(Escenarios!$F$14&gt;0,MIN(V87*1,0.8*(Z86+R87+S87+T87+Observaciones!$F86-U87-Constantes!$F$35)),0)</f>
        <v>3.5982762299672593</v>
      </c>
      <c r="X87" s="170">
        <f>IF(Escenarios!$F$14&gt;0,Observaciones!$J86,0)</f>
        <v>0</v>
      </c>
      <c r="Y87" s="170">
        <f>IF(Escenarios!$F$14&gt;0,MAX(0,Z86+R87+S87+T87+Observaciones!$F86-U87-W87-X87-Constantes!$F$33),0)</f>
        <v>0</v>
      </c>
      <c r="Z87" s="170">
        <f>Z86+R87+S87+T87+Observaciones!$F86-U87-W87-Y87</f>
        <v>122.87108538499325</v>
      </c>
      <c r="AA87" s="170">
        <f>IF(Escenarios!$F$14&gt;0,(Escenarios!$F$13*L87+Escenarios!$F$14*W87)/(Escenarios!$F$16),L87)</f>
        <v>2.4701464043333008</v>
      </c>
      <c r="AB87" s="170">
        <f>IF(Escenarios!$F$14&gt;0,(Escenarios!$F$14*Y87)/(Escenarios!$F$16),K87)</f>
        <v>0</v>
      </c>
      <c r="AC87" s="170">
        <f>IF(Escenarios!$F$14&gt;0,(Escenarios!$F$13*M87+Escenarios!$F$14*U87)/(Escenarios!$F$16),M87)</f>
        <v>0.28579403959531041</v>
      </c>
      <c r="AD87" s="76">
        <f t="shared" si="15"/>
        <v>170.25537256900526</v>
      </c>
      <c r="AE87" s="76">
        <f>MAX(0,(AD87-Constantes!$D$13)*(1-EXP(-Constantes!$D$23)))</f>
        <v>1.1972213762474218</v>
      </c>
      <c r="AF87" s="76">
        <f>AB87+O87*Escenarios!$F$13/Escenarios!$F$16+AE87</f>
        <v>1.8512714942066042</v>
      </c>
      <c r="AG87" s="76">
        <f>IF(Entradas!$F$91&gt;0,IF(AF87-Escenarios!$F$38&lt;=0,0,IF(AF87-Escenarios!$F$38&gt;Escenarios!$F$37,Escenarios!$F$37,AF87-Escenarios!$F$38)),0)</f>
        <v>0.81447149420660425</v>
      </c>
      <c r="AH87" s="76">
        <f>AG87*Entradas!$F$99</f>
        <v>0</v>
      </c>
      <c r="AI87" s="76">
        <f>IF(Entradas!$F$91&gt;0,D87*Entradas!$D$23/Escenarios!$F$16,0)</f>
        <v>0.19495110074366859</v>
      </c>
      <c r="AJ87" s="76">
        <f>IF(Entradas!$F$91&gt;0,Entradas!$D$24*Entradas!$D$22/Escenarios!$F$16,0)</f>
        <v>0.12</v>
      </c>
      <c r="AK87" s="76">
        <f t="shared" si="16"/>
        <v>2.6650975050769694</v>
      </c>
      <c r="AL87" s="76">
        <f t="shared" si="17"/>
        <v>0</v>
      </c>
      <c r="AM87" s="76">
        <f t="shared" si="18"/>
        <v>0.81447149420660425</v>
      </c>
      <c r="AN87" s="76">
        <f>MAX(0,O87*Escenarios!$F$13/Escenarios!$F$16-AM87)</f>
        <v>0</v>
      </c>
      <c r="AO87" s="76">
        <f>AM87+AN87-O87*Escenarios!$F$13/Escenarios!$F$16</f>
        <v>0.16042137624742181</v>
      </c>
      <c r="AP87" s="76">
        <f t="shared" si="19"/>
        <v>1.0367999999999999</v>
      </c>
      <c r="AQ87" s="76">
        <f t="shared" si="20"/>
        <v>0</v>
      </c>
      <c r="AR87" s="76">
        <f t="shared" si="21"/>
        <v>1.0367999999999999</v>
      </c>
      <c r="AS87" s="76">
        <f t="shared" si="22"/>
        <v>0.49952039346293564</v>
      </c>
      <c r="AT87" s="76">
        <f t="shared" si="23"/>
        <v>0.785314433058246</v>
      </c>
      <c r="AU87" s="76">
        <f t="shared" si="24"/>
        <v>60.460723285012158</v>
      </c>
      <c r="AV87" s="76">
        <f>MAX(0,(AU87-Constantes!$D$13)*(1-EXP(-Constantes!$D$24)))</f>
        <v>0.17900129872792001</v>
      </c>
      <c r="AW87" s="170">
        <f>AW86+(Entradas!$F$112*AT87-AX86)/(800*Entradas!$D$25)</f>
        <v>0</v>
      </c>
      <c r="AX87" s="170">
        <f>8000*Entradas!$D$26*AW87/Constantes!$F$45</f>
        <v>0</v>
      </c>
      <c r="AY87" s="170">
        <f>IF(Escenarios!$F$17&gt;0,10*Escenarios!$F$16*AL87,0)</f>
        <v>0</v>
      </c>
      <c r="AZ87" s="170">
        <f>IF(Escenarios!$F$17&gt;0,10*Escenarios!$F$16*AX87,0)</f>
        <v>0</v>
      </c>
      <c r="BA87" s="170">
        <f>IF(Escenarios!$F$17&gt;0,0.001*Observaciones!$F86*Escenarios!$F$17,0)</f>
        <v>0</v>
      </c>
      <c r="BB87" s="170">
        <f>IF(Escenarios!$F$17&gt;0,Observaciones!$K86,0)</f>
        <v>0</v>
      </c>
      <c r="BC87" s="170">
        <f>IF(Escenarios!$F$17&gt;0,MIN(0.0005*ETo!$M86*Escenarios!$F$17*(BG86/Constantes!$F$40)^(2/3),BG86+AY87+AZ87+BA87+BB87),0)</f>
        <v>0</v>
      </c>
      <c r="BD87" s="170">
        <f>IF(Escenarios!$F$17&gt;0,MIN(Constantes!$F$39*(BG86/Constantes!$F$40)^(2/3),BG86+AY87+AZ87+BA87+BB87-BC87),0)</f>
        <v>0</v>
      </c>
      <c r="BE87" s="170">
        <f>IF(Escenarios!$F$17&gt;0,MIN(Entradas!$F$113,BG86+AY87+AZ87+BA87+BB87-BC87-BD87),0)</f>
        <v>0</v>
      </c>
      <c r="BF87" s="170">
        <f>IF(Escenarios!$F$17&gt;0,MAX(0,BG86+AY87+AZ87+BA87+BB87-BC87-BD87-BE87-Constantes!$F$40),0)</f>
        <v>0</v>
      </c>
      <c r="BG87" s="170">
        <f t="shared" si="25"/>
        <v>0</v>
      </c>
      <c r="BH87" s="170">
        <f>(Escenarios!$F$16*AK87+0.1*BC87)/(Escenarios!$F$19)</f>
        <v>2.6650975050769694</v>
      </c>
      <c r="BI87" s="170">
        <f>IF(Escenarios!$F$17&gt;0,BF87/10/Escenarios!$F$19,AL87)</f>
        <v>0</v>
      </c>
      <c r="BJ87" s="170">
        <f>(Escenarios!$F$16*AT87+0.1*BD87)/(Escenarios!$F$19)</f>
        <v>0.785314433058246</v>
      </c>
      <c r="BK87" s="76">
        <f>BK86+(0.1*BD87)/(Escenarios!$F$19)-BL86</f>
        <v>48.75</v>
      </c>
      <c r="BL87" s="76">
        <f>MAX(0,(BK87-Constantes!$D$13)*(1-EXP(-Constantes!$D$23)))</f>
        <v>0</v>
      </c>
      <c r="BM87" s="76">
        <f t="shared" si="26"/>
        <v>1.2158012987279199</v>
      </c>
      <c r="BN87" s="76">
        <f t="shared" si="27"/>
        <v>1.2158012987279199</v>
      </c>
      <c r="BO87" s="76">
        <f>0.0526*BI87*Observaciones!$F86^1.218</f>
        <v>0</v>
      </c>
      <c r="BP87" s="76">
        <f>BO87*Constantes!$F$51</f>
        <v>0</v>
      </c>
      <c r="BQ87" s="76">
        <f t="shared" si="28"/>
        <v>0</v>
      </c>
      <c r="BR87" s="40"/>
    </row>
    <row r="88" spans="2:70">
      <c r="B88" s="39"/>
      <c r="C88" s="75">
        <v>82</v>
      </c>
      <c r="D88" s="146">
        <f>ETo!$I87*((1-Constantes!$F$19)*ETo!$K87+ETo!$L87)</f>
        <v>3.9145780251248028</v>
      </c>
      <c r="E88" s="76">
        <f>MIN(D88*Constantes!$F$17,0.8*(N87+Observaciones!$F87-F88-M88-Constantes!$D$14))</f>
        <v>2.2325298738066741</v>
      </c>
      <c r="F88" s="76">
        <f>IF(Observaciones!$F87&gt;0.05*Constantes!$F$18,((Observaciones!$F87-0.05*Constantes!$F$18)^2)/(Observaciones!$F87+0.95*Constantes!$F$18),0)</f>
        <v>0</v>
      </c>
      <c r="G88" s="76">
        <f>IF(Escenarios!$F$11&gt;0,(F88*Escenarios!$F$16*10000)/1000,0)</f>
        <v>0</v>
      </c>
      <c r="H88" s="76">
        <f>IF(Escenarios!$F$11&gt;0,(Observaciones!$F87*Constantes!$F$29)/1000,0)</f>
        <v>0</v>
      </c>
      <c r="I88" s="76">
        <f>IF(Escenarios!$F$11&gt;0,(D88*Constantes!$F$29)/1000,0)</f>
        <v>0</v>
      </c>
      <c r="J88" s="76">
        <f>IF(Escenarios!$F$11&gt;0,MAX(0,G88+H88-I88),0)</f>
        <v>0</v>
      </c>
      <c r="K88" s="76">
        <f>IF(Escenarios!$F$11&gt;0,IF(J88&gt;Constantes!$F$30,1000*((J88-Constantes!$F$30)/(Escenarios!$F$16*10000)),0),F88)</f>
        <v>0</v>
      </c>
      <c r="L88" s="76">
        <f>IF(Escenarios!$F$11&gt;0,I88*1000/Escenarios!$F$16/10000+E88,E88)</f>
        <v>2.2325298738066741</v>
      </c>
      <c r="M88" s="76">
        <f>MAX(0,N87+Observaciones!$F87-K88-Constantes!$D$13)</f>
        <v>0</v>
      </c>
      <c r="N88" s="76">
        <f>N87+Observaciones!$F87-K88-L88-M88-O87</f>
        <v>32.39333502104661</v>
      </c>
      <c r="O88" s="76">
        <f>MAX(0,(N88-Constantes!$D$14)*(1-EXP(-Constantes!$D$22)))</f>
        <v>0.72021960958872444</v>
      </c>
      <c r="P88" s="170">
        <f>P87+(Entradas!$F$83*M88-Q87)/(800*Entradas!$D$25)</f>
        <v>0</v>
      </c>
      <c r="Q88" s="170">
        <f>8000*Entradas!$D$26*P88/Constantes!$F$45</f>
        <v>0</v>
      </c>
      <c r="R88" s="170">
        <f>IF(Escenarios!$F$14&gt;0,K88*Escenarios!$F$13/Escenarios!$F$14,0)</f>
        <v>0</v>
      </c>
      <c r="S88" s="170">
        <f>IF(Escenarios!$F$14&gt;0,Q88*Escenarios!$F$13/Escenarios!$F$14,0)</f>
        <v>0</v>
      </c>
      <c r="T88" s="170">
        <f>IF(Escenarios!$F$14&gt;0,Observaciones!$I87,0)</f>
        <v>0</v>
      </c>
      <c r="U88" s="170">
        <f>IF(Escenarios!$F$14&gt;0,MAX(0,Constantes!$F$36/((Z87+R88+S88+T88+Observaciones!$F87)^2)+Entradas!$F$77),0)</f>
        <v>2.3447229607188178</v>
      </c>
      <c r="V88" s="146">
        <f>IF(ETo!D87&gt;0,ETo!I87*((1-Entradas!$F$81)*ETo!K87+ETo!L87),0)</f>
        <v>3.4660856626286285</v>
      </c>
      <c r="W88" s="170">
        <f>IF(Escenarios!$F$14&gt;0,MIN(V88*1,0.8*(Z87+R88+S88+T88+Observaciones!$F87-U88-Constantes!$F$35)),0)</f>
        <v>3.4660856626286285</v>
      </c>
      <c r="X88" s="170">
        <f>IF(Escenarios!$F$14&gt;0,Observaciones!$J87,0)</f>
        <v>0</v>
      </c>
      <c r="Y88" s="170">
        <f>IF(Escenarios!$F$14&gt;0,MAX(0,Z87+R88+S88+T88+Observaciones!$F87-U88-W88-X88-Constantes!$F$33),0)</f>
        <v>0</v>
      </c>
      <c r="Z88" s="170">
        <f>Z87+R88+S88+T88+Observaciones!$F87-U88-W88-Y88</f>
        <v>119.36027676164581</v>
      </c>
      <c r="AA88" s="170">
        <f>IF(Escenarios!$F$14&gt;0,(Escenarios!$F$13*L88+Escenarios!$F$14*W88)/(Escenarios!$F$16),L88)</f>
        <v>2.3805565684653089</v>
      </c>
      <c r="AB88" s="170">
        <f>IF(Escenarios!$F$14&gt;0,(Escenarios!$F$14*Y88)/(Escenarios!$F$16),K88)</f>
        <v>0</v>
      </c>
      <c r="AC88" s="170">
        <f>IF(Escenarios!$F$14&gt;0,(Escenarios!$F$13*M88+Escenarios!$F$14*U88)/(Escenarios!$F$16),M88)</f>
        <v>0.28136675528625815</v>
      </c>
      <c r="AD88" s="76">
        <f t="shared" si="15"/>
        <v>169.33951794804409</v>
      </c>
      <c r="AE88" s="76">
        <f>MAX(0,(AD88-Constantes!$D$13)*(1-EXP(-Constantes!$D$23)))</f>
        <v>1.1881972425275158</v>
      </c>
      <c r="AF88" s="76">
        <f>AB88+O88*Escenarios!$F$13/Escenarios!$F$16+AE88</f>
        <v>1.8219904989655933</v>
      </c>
      <c r="AG88" s="76">
        <f>IF(Entradas!$F$91&gt;0,IF(AF88-Escenarios!$F$38&lt;=0,0,IF(AF88-Escenarios!$F$38&gt;Escenarios!$F$37,Escenarios!$F$37,AF88-Escenarios!$F$38)),0)</f>
        <v>0.78519049896559334</v>
      </c>
      <c r="AH88" s="76">
        <f>AG88*Entradas!$F$99</f>
        <v>0</v>
      </c>
      <c r="AI88" s="76">
        <f>IF(Entradas!$F$91&gt;0,D88*Entradas!$D$23/Escenarios!$F$16,0)</f>
        <v>0.18789974520599054</v>
      </c>
      <c r="AJ88" s="76">
        <f>IF(Entradas!$F$91&gt;0,Entradas!$D$24*Entradas!$D$22/Escenarios!$F$16,0)</f>
        <v>0.12</v>
      </c>
      <c r="AK88" s="76">
        <f t="shared" si="16"/>
        <v>2.5684563136712995</v>
      </c>
      <c r="AL88" s="76">
        <f t="shared" si="17"/>
        <v>0</v>
      </c>
      <c r="AM88" s="76">
        <f t="shared" si="18"/>
        <v>0.78519049896559334</v>
      </c>
      <c r="AN88" s="76">
        <f>MAX(0,O88*Escenarios!$F$13/Escenarios!$F$16-AM88)</f>
        <v>0</v>
      </c>
      <c r="AO88" s="76">
        <f>AM88+AN88-O88*Escenarios!$F$13/Escenarios!$F$16</f>
        <v>0.15139724252751585</v>
      </c>
      <c r="AP88" s="76">
        <f t="shared" si="19"/>
        <v>1.0367999999999999</v>
      </c>
      <c r="AQ88" s="76">
        <f t="shared" si="20"/>
        <v>0</v>
      </c>
      <c r="AR88" s="76">
        <f t="shared" si="21"/>
        <v>1.0367999999999999</v>
      </c>
      <c r="AS88" s="76">
        <f t="shared" si="22"/>
        <v>0.47729075375960284</v>
      </c>
      <c r="AT88" s="76">
        <f t="shared" si="23"/>
        <v>0.75865750904586093</v>
      </c>
      <c r="AU88" s="76">
        <f t="shared" si="24"/>
        <v>60.759012740043843</v>
      </c>
      <c r="AV88" s="76">
        <f>MAX(0,(AU88-Constantes!$D$13)*(1-EXP(-Constantes!$D$24)))</f>
        <v>0.18356072674513318</v>
      </c>
      <c r="AW88" s="170">
        <f>AW87+(Entradas!$F$112*AT88-AX87)/(800*Entradas!$D$25)</f>
        <v>0</v>
      </c>
      <c r="AX88" s="170">
        <f>8000*Entradas!$D$26*AW88/Constantes!$F$45</f>
        <v>0</v>
      </c>
      <c r="AY88" s="170">
        <f>IF(Escenarios!$F$17&gt;0,10*Escenarios!$F$16*AL88,0)</f>
        <v>0</v>
      </c>
      <c r="AZ88" s="170">
        <f>IF(Escenarios!$F$17&gt;0,10*Escenarios!$F$16*AX88,0)</f>
        <v>0</v>
      </c>
      <c r="BA88" s="170">
        <f>IF(Escenarios!$F$17&gt;0,0.001*Observaciones!$F87*Escenarios!$F$17,0)</f>
        <v>0</v>
      </c>
      <c r="BB88" s="170">
        <f>IF(Escenarios!$F$17&gt;0,Observaciones!$K87,0)</f>
        <v>0</v>
      </c>
      <c r="BC88" s="170">
        <f>IF(Escenarios!$F$17&gt;0,MIN(0.0005*ETo!$M87*Escenarios!$F$17*(BG87/Constantes!$F$40)^(2/3),BG87+AY88+AZ88+BA88+BB88),0)</f>
        <v>0</v>
      </c>
      <c r="BD88" s="170">
        <f>IF(Escenarios!$F$17&gt;0,MIN(Constantes!$F$39*(BG87/Constantes!$F$40)^(2/3),BG87+AY88+AZ88+BA88+BB88-BC88),0)</f>
        <v>0</v>
      </c>
      <c r="BE88" s="170">
        <f>IF(Escenarios!$F$17&gt;0,MIN(Entradas!$F$113,BG87+AY88+AZ88+BA88+BB88-BC88-BD88),0)</f>
        <v>0</v>
      </c>
      <c r="BF88" s="170">
        <f>IF(Escenarios!$F$17&gt;0,MAX(0,BG87+AY88+AZ88+BA88+BB88-BC88-BD88-BE88-Constantes!$F$40),0)</f>
        <v>0</v>
      </c>
      <c r="BG88" s="170">
        <f t="shared" si="25"/>
        <v>0</v>
      </c>
      <c r="BH88" s="170">
        <f>(Escenarios!$F$16*AK88+0.1*BC88)/(Escenarios!$F$19)</f>
        <v>2.5684563136712995</v>
      </c>
      <c r="BI88" s="170">
        <f>IF(Escenarios!$F$17&gt;0,BF88/10/Escenarios!$F$19,AL88)</f>
        <v>0</v>
      </c>
      <c r="BJ88" s="170">
        <f>(Escenarios!$F$16*AT88+0.1*BD88)/(Escenarios!$F$19)</f>
        <v>0.75865750904586093</v>
      </c>
      <c r="BK88" s="76">
        <f>BK87+(0.1*BD88)/(Escenarios!$F$19)-BL87</f>
        <v>48.75</v>
      </c>
      <c r="BL88" s="76">
        <f>MAX(0,(BK88-Constantes!$D$13)*(1-EXP(-Constantes!$D$23)))</f>
        <v>0</v>
      </c>
      <c r="BM88" s="76">
        <f t="shared" si="26"/>
        <v>1.2203607267451331</v>
      </c>
      <c r="BN88" s="76">
        <f t="shared" si="27"/>
        <v>1.2203607267451331</v>
      </c>
      <c r="BO88" s="76">
        <f>0.0526*BI88*Observaciones!$F87^1.218</f>
        <v>0</v>
      </c>
      <c r="BP88" s="76">
        <f>BO88*Constantes!$F$51</f>
        <v>0</v>
      </c>
      <c r="BQ88" s="76">
        <f t="shared" si="28"/>
        <v>0</v>
      </c>
      <c r="BR88" s="40"/>
    </row>
    <row r="89" spans="2:70">
      <c r="B89" s="39"/>
      <c r="C89" s="75">
        <v>83</v>
      </c>
      <c r="D89" s="146">
        <f>ETo!$I88*((1-Constantes!$F$19)*ETo!$K88+ETo!$L88)</f>
        <v>4.0153867077924854</v>
      </c>
      <c r="E89" s="76">
        <f>MIN(D89*Constantes!$F$17,0.8*(N88+Observaciones!$F88-F89-M89-Constantes!$D$14))</f>
        <v>2.2900222508011328</v>
      </c>
      <c r="F89" s="76">
        <f>IF(Observaciones!$F88&gt;0.05*Constantes!$F$18,((Observaciones!$F88-0.05*Constantes!$F$18)^2)/(Observaciones!$F88+0.95*Constantes!$F$18),0)</f>
        <v>0</v>
      </c>
      <c r="G89" s="76">
        <f>IF(Escenarios!$F$11&gt;0,(F89*Escenarios!$F$16*10000)/1000,0)</f>
        <v>0</v>
      </c>
      <c r="H89" s="76">
        <f>IF(Escenarios!$F$11&gt;0,(Observaciones!$F88*Constantes!$F$29)/1000,0)</f>
        <v>0</v>
      </c>
      <c r="I89" s="76">
        <f>IF(Escenarios!$F$11&gt;0,(D89*Constantes!$F$29)/1000,0)</f>
        <v>0</v>
      </c>
      <c r="J89" s="76">
        <f>IF(Escenarios!$F$11&gt;0,MAX(0,G89+H89-I89),0)</f>
        <v>0</v>
      </c>
      <c r="K89" s="76">
        <f>IF(Escenarios!$F$11&gt;0,IF(J89&gt;Constantes!$F$30,1000*((J89-Constantes!$F$30)/(Escenarios!$F$16*10000)),0),F89)</f>
        <v>0</v>
      </c>
      <c r="L89" s="76">
        <f>IF(Escenarios!$F$11&gt;0,I89*1000/Escenarios!$F$16/10000+E89,E89)</f>
        <v>2.2900222508011328</v>
      </c>
      <c r="M89" s="76">
        <f>MAX(0,N88+Observaciones!$F88-K89-Constantes!$D$13)</f>
        <v>0</v>
      </c>
      <c r="N89" s="76">
        <f>N88+Observaciones!$F88-K89-L89-M89-O88</f>
        <v>29.383093160656752</v>
      </c>
      <c r="O89" s="76">
        <f>MAX(0,(N89-Constantes!$D$14)*(1-EXP(-Constantes!$D$22)))</f>
        <v>0.61767972099974355</v>
      </c>
      <c r="P89" s="170">
        <f>P88+(Entradas!$F$83*M89-Q88)/(800*Entradas!$D$25)</f>
        <v>0</v>
      </c>
      <c r="Q89" s="170">
        <f>8000*Entradas!$D$26*P89/Constantes!$F$45</f>
        <v>0</v>
      </c>
      <c r="R89" s="170">
        <f>IF(Escenarios!$F$14&gt;0,K89*Escenarios!$F$13/Escenarios!$F$14,0)</f>
        <v>0</v>
      </c>
      <c r="S89" s="170">
        <f>IF(Escenarios!$F$14&gt;0,Q89*Escenarios!$F$13/Escenarios!$F$14,0)</f>
        <v>0</v>
      </c>
      <c r="T89" s="170">
        <f>IF(Escenarios!$F$14&gt;0,Observaciones!$I88,0)</f>
        <v>0</v>
      </c>
      <c r="U89" s="170">
        <f>IF(Escenarios!$F$14&gt;0,MAX(0,Constantes!$F$36/((Z88+R89+S89+T89+Observaciones!$F88)^2)+Entradas!$F$77),0)</f>
        <v>2.2793683163378891</v>
      </c>
      <c r="V89" s="146">
        <f>IF(ETo!D88&gt;0,ETo!I88*((1-Entradas!$F$81)*ETo!K88+ETo!L88),0)</f>
        <v>3.5562959826585878</v>
      </c>
      <c r="W89" s="170">
        <f>IF(Escenarios!$F$14&gt;0,MIN(V89*1,0.8*(Z88+R89+S89+T89+Observaciones!$F88-U89-Constantes!$F$35)),0)</f>
        <v>3.5562959826585878</v>
      </c>
      <c r="X89" s="170">
        <f>IF(Escenarios!$F$14&gt;0,Observaciones!$J88,0)</f>
        <v>0</v>
      </c>
      <c r="Y89" s="170">
        <f>IF(Escenarios!$F$14&gt;0,MAX(0,Z88+R89+S89+T89+Observaciones!$F88-U89-W89-X89-Constantes!$F$33),0)</f>
        <v>0</v>
      </c>
      <c r="Z89" s="170">
        <f>Z88+R89+S89+T89+Observaciones!$F88-U89-W89-Y89</f>
        <v>113.52461246264933</v>
      </c>
      <c r="AA89" s="170">
        <f>IF(Escenarios!$F$14&gt;0,(Escenarios!$F$13*L89+Escenarios!$F$14*W89)/(Escenarios!$F$16),L89)</f>
        <v>2.4419750986240274</v>
      </c>
      <c r="AB89" s="170">
        <f>IF(Escenarios!$F$14&gt;0,(Escenarios!$F$14*Y89)/(Escenarios!$F$16),K89)</f>
        <v>0</v>
      </c>
      <c r="AC89" s="170">
        <f>IF(Escenarios!$F$14&gt;0,(Escenarios!$F$13*M89+Escenarios!$F$14*U89)/(Escenarios!$F$16),M89)</f>
        <v>0.27352419796054672</v>
      </c>
      <c r="AD89" s="76">
        <f t="shared" si="15"/>
        <v>168.42484490347712</v>
      </c>
      <c r="AE89" s="76">
        <f>MAX(0,(AD89-Constantes!$D$13)*(1-EXP(-Constantes!$D$23)))</f>
        <v>1.1791847511612514</v>
      </c>
      <c r="AF89" s="76">
        <f>AB89+O89*Escenarios!$F$13/Escenarios!$F$16+AE89</f>
        <v>1.7227429056410257</v>
      </c>
      <c r="AG89" s="76">
        <f>IF(Entradas!$F$91&gt;0,IF(AF89-Escenarios!$F$38&lt;=0,0,IF(AF89-Escenarios!$F$38&gt;Escenarios!$F$37,Escenarios!$F$37,AF89-Escenarios!$F$38)),0)</f>
        <v>0.68594290564102578</v>
      </c>
      <c r="AH89" s="76">
        <f>AG89*Entradas!$F$99</f>
        <v>0</v>
      </c>
      <c r="AI89" s="76">
        <f>IF(Entradas!$F$91&gt;0,D89*Entradas!$D$23/Escenarios!$F$16,0)</f>
        <v>0.1927385619740393</v>
      </c>
      <c r="AJ89" s="76">
        <f>IF(Entradas!$F$91&gt;0,Entradas!$D$24*Entradas!$D$22/Escenarios!$F$16,0)</f>
        <v>0.12</v>
      </c>
      <c r="AK89" s="76">
        <f t="shared" si="16"/>
        <v>2.6347136605980666</v>
      </c>
      <c r="AL89" s="76">
        <f t="shared" si="17"/>
        <v>0</v>
      </c>
      <c r="AM89" s="76">
        <f t="shared" si="18"/>
        <v>0.68594290564102578</v>
      </c>
      <c r="AN89" s="76">
        <f>MAX(0,O89*Escenarios!$F$13/Escenarios!$F$16-AM89)</f>
        <v>0</v>
      </c>
      <c r="AO89" s="76">
        <f>AM89+AN89-O89*Escenarios!$F$13/Escenarios!$F$16</f>
        <v>0.14238475116125149</v>
      </c>
      <c r="AP89" s="76">
        <f t="shared" si="19"/>
        <v>1.0367999999999999</v>
      </c>
      <c r="AQ89" s="76">
        <f t="shared" si="20"/>
        <v>0</v>
      </c>
      <c r="AR89" s="76">
        <f t="shared" si="21"/>
        <v>1.0367999999999999</v>
      </c>
      <c r="AS89" s="76">
        <f t="shared" si="22"/>
        <v>0.37320434366698652</v>
      </c>
      <c r="AT89" s="76">
        <f t="shared" si="23"/>
        <v>0.64672854162753324</v>
      </c>
      <c r="AU89" s="76">
        <f t="shared" si="24"/>
        <v>60.948656356965692</v>
      </c>
      <c r="AV89" s="76">
        <f>MAX(0,(AU89-Constantes!$D$13)*(1-EXP(-Constantes!$D$24)))</f>
        <v>0.18645947628419171</v>
      </c>
      <c r="AW89" s="170">
        <f>AW88+(Entradas!$F$112*AT89-AX88)/(800*Entradas!$D$25)</f>
        <v>0</v>
      </c>
      <c r="AX89" s="170">
        <f>8000*Entradas!$D$26*AW89/Constantes!$F$45</f>
        <v>0</v>
      </c>
      <c r="AY89" s="170">
        <f>IF(Escenarios!$F$17&gt;0,10*Escenarios!$F$16*AL89,0)</f>
        <v>0</v>
      </c>
      <c r="AZ89" s="170">
        <f>IF(Escenarios!$F$17&gt;0,10*Escenarios!$F$16*AX89,0)</f>
        <v>0</v>
      </c>
      <c r="BA89" s="170">
        <f>IF(Escenarios!$F$17&gt;0,0.001*Observaciones!$F88*Escenarios!$F$17,0)</f>
        <v>0</v>
      </c>
      <c r="BB89" s="170">
        <f>IF(Escenarios!$F$17&gt;0,Observaciones!$K88,0)</f>
        <v>0</v>
      </c>
      <c r="BC89" s="170">
        <f>IF(Escenarios!$F$17&gt;0,MIN(0.0005*ETo!$M88*Escenarios!$F$17*(BG88/Constantes!$F$40)^(2/3),BG88+AY89+AZ89+BA89+BB89),0)</f>
        <v>0</v>
      </c>
      <c r="BD89" s="170">
        <f>IF(Escenarios!$F$17&gt;0,MIN(Constantes!$F$39*(BG88/Constantes!$F$40)^(2/3),BG88+AY89+AZ89+BA89+BB89-BC89),0)</f>
        <v>0</v>
      </c>
      <c r="BE89" s="170">
        <f>IF(Escenarios!$F$17&gt;0,MIN(Entradas!$F$113,BG88+AY89+AZ89+BA89+BB89-BC89-BD89),0)</f>
        <v>0</v>
      </c>
      <c r="BF89" s="170">
        <f>IF(Escenarios!$F$17&gt;0,MAX(0,BG88+AY89+AZ89+BA89+BB89-BC89-BD89-BE89-Constantes!$F$40),0)</f>
        <v>0</v>
      </c>
      <c r="BG89" s="170">
        <f t="shared" si="25"/>
        <v>0</v>
      </c>
      <c r="BH89" s="170">
        <f>(Escenarios!$F$16*AK89+0.1*BC89)/(Escenarios!$F$19)</f>
        <v>2.634713660598067</v>
      </c>
      <c r="BI89" s="170">
        <f>IF(Escenarios!$F$17&gt;0,BF89/10/Escenarios!$F$19,AL89)</f>
        <v>0</v>
      </c>
      <c r="BJ89" s="170">
        <f>(Escenarios!$F$16*AT89+0.1*BD89)/(Escenarios!$F$19)</f>
        <v>0.64672854162753324</v>
      </c>
      <c r="BK89" s="76">
        <f>BK88+(0.1*BD89)/(Escenarios!$F$19)-BL88</f>
        <v>48.75</v>
      </c>
      <c r="BL89" s="76">
        <f>MAX(0,(BK89-Constantes!$D$13)*(1-EXP(-Constantes!$D$23)))</f>
        <v>0</v>
      </c>
      <c r="BM89" s="76">
        <f t="shared" si="26"/>
        <v>1.2232594762841917</v>
      </c>
      <c r="BN89" s="76">
        <f t="shared" si="27"/>
        <v>1.2232594762841917</v>
      </c>
      <c r="BO89" s="76">
        <f>0.0526*BI89*Observaciones!$F88^1.218</f>
        <v>0</v>
      </c>
      <c r="BP89" s="76">
        <f>BO89*Constantes!$F$51</f>
        <v>0</v>
      </c>
      <c r="BQ89" s="76">
        <f t="shared" si="28"/>
        <v>0</v>
      </c>
      <c r="BR89" s="40"/>
    </row>
    <row r="90" spans="2:70">
      <c r="B90" s="39"/>
      <c r="C90" s="75">
        <v>84</v>
      </c>
      <c r="D90" s="146">
        <f>ETo!$I89*((1-Constantes!$F$19)*ETo!$K89+ETo!$L89)</f>
        <v>4.1749133008881554</v>
      </c>
      <c r="E90" s="76">
        <f>MIN(D90*Constantes!$F$17,0.8*(N89+Observaciones!$F89-F90-M90-Constantes!$D$14))</f>
        <v>2.381002142494907</v>
      </c>
      <c r="F90" s="76">
        <f>IF(Observaciones!$F89&gt;0.05*Constantes!$F$18,((Observaciones!$F89-0.05*Constantes!$F$18)^2)/(Observaciones!$F89+0.95*Constantes!$F$18),0)</f>
        <v>0</v>
      </c>
      <c r="G90" s="76">
        <f>IF(Escenarios!$F$11&gt;0,(F90*Escenarios!$F$16*10000)/1000,0)</f>
        <v>0</v>
      </c>
      <c r="H90" s="76">
        <f>IF(Escenarios!$F$11&gt;0,(Observaciones!$F89*Constantes!$F$29)/1000,0)</f>
        <v>0</v>
      </c>
      <c r="I90" s="76">
        <f>IF(Escenarios!$F$11&gt;0,(D90*Constantes!$F$29)/1000,0)</f>
        <v>0</v>
      </c>
      <c r="J90" s="76">
        <f>IF(Escenarios!$F$11&gt;0,MAX(0,G90+H90-I90),0)</f>
        <v>0</v>
      </c>
      <c r="K90" s="76">
        <f>IF(Escenarios!$F$11&gt;0,IF(J90&gt;Constantes!$F$30,1000*((J90-Constantes!$F$30)/(Escenarios!$F$16*10000)),0),F90)</f>
        <v>0</v>
      </c>
      <c r="L90" s="76">
        <f>IF(Escenarios!$F$11&gt;0,I90*1000/Escenarios!$F$16/10000+E90,E90)</f>
        <v>2.381002142494907</v>
      </c>
      <c r="M90" s="76">
        <f>MAX(0,N89+Observaciones!$F89-K90-Constantes!$D$13)</f>
        <v>0</v>
      </c>
      <c r="N90" s="76">
        <f>N89+Observaciones!$F89-K90-L90-M90-O89</f>
        <v>26.384411297162103</v>
      </c>
      <c r="O90" s="76">
        <f>MAX(0,(N90-Constantes!$D$14)*(1-EXP(-Constantes!$D$22)))</f>
        <v>0.51553360834263073</v>
      </c>
      <c r="P90" s="170">
        <f>P89+(Entradas!$F$83*M90-Q89)/(800*Entradas!$D$25)</f>
        <v>0</v>
      </c>
      <c r="Q90" s="170">
        <f>8000*Entradas!$D$26*P90/Constantes!$F$45</f>
        <v>0</v>
      </c>
      <c r="R90" s="170">
        <f>IF(Escenarios!$F$14&gt;0,K90*Escenarios!$F$13/Escenarios!$F$14,0)</f>
        <v>0</v>
      </c>
      <c r="S90" s="170">
        <f>IF(Escenarios!$F$14&gt;0,Q90*Escenarios!$F$13/Escenarios!$F$14,0)</f>
        <v>0</v>
      </c>
      <c r="T90" s="170">
        <f>IF(Escenarios!$F$14&gt;0,Observaciones!$I89,0)</f>
        <v>0</v>
      </c>
      <c r="U90" s="170">
        <f>IF(Escenarios!$F$14&gt;0,MAX(0,Constantes!$F$36/((Z89+R90+S90+T90+Observaciones!$F89)^2)+Entradas!$F$77),0)</f>
        <v>2.2033768355149257</v>
      </c>
      <c r="V90" s="146">
        <f>IF(ETo!D89&gt;0,ETo!I89*((1-Entradas!$F$81)*ETo!K89+ETo!L89),0)</f>
        <v>3.7000018748141845</v>
      </c>
      <c r="W90" s="170">
        <f>IF(Escenarios!$F$14&gt;0,MIN(V90*1,0.8*(Z89+R90+S90+T90+Observaciones!$F89-U90-Constantes!$F$35)),0)</f>
        <v>3.7000018748141845</v>
      </c>
      <c r="X90" s="170">
        <f>IF(Escenarios!$F$14&gt;0,Observaciones!$J89,0)</f>
        <v>0</v>
      </c>
      <c r="Y90" s="170">
        <f>IF(Escenarios!$F$14&gt;0,MAX(0,Z89+R90+S90+T90+Observaciones!$F89-U90-W90-X90-Constantes!$F$33),0)</f>
        <v>0</v>
      </c>
      <c r="Z90" s="170">
        <f>Z89+R90+S90+T90+Observaciones!$F89-U90-W90-Y90</f>
        <v>107.62123375232021</v>
      </c>
      <c r="AA90" s="170">
        <f>IF(Escenarios!$F$14&gt;0,(Escenarios!$F$13*L90+Escenarios!$F$14*W90)/(Escenarios!$F$16),L90)</f>
        <v>2.5392821103732204</v>
      </c>
      <c r="AB90" s="170">
        <f>IF(Escenarios!$F$14&gt;0,(Escenarios!$F$14*Y90)/(Escenarios!$F$16),K90)</f>
        <v>0</v>
      </c>
      <c r="AC90" s="170">
        <f>IF(Escenarios!$F$14&gt;0,(Escenarios!$F$13*M90+Escenarios!$F$14*U90)/(Escenarios!$F$16),M90)</f>
        <v>0.26440522026179109</v>
      </c>
      <c r="AD90" s="76">
        <f t="shared" si="15"/>
        <v>167.51006537257766</v>
      </c>
      <c r="AE90" s="76">
        <f>MAX(0,(AD90-Constantes!$D$13)*(1-EXP(-Constantes!$D$23)))</f>
        <v>1.1701712105597901</v>
      </c>
      <c r="AF90" s="76">
        <f>AB90+O90*Escenarios!$F$13/Escenarios!$F$16+AE90</f>
        <v>1.6238407859013051</v>
      </c>
      <c r="AG90" s="76">
        <f>IF(Entradas!$F$91&gt;0,IF(AF90-Escenarios!$F$38&lt;=0,0,IF(AF90-Escenarios!$F$38&gt;Escenarios!$F$37,Escenarios!$F$37,AF90-Escenarios!$F$38)),0)</f>
        <v>0.58704078590130515</v>
      </c>
      <c r="AH90" s="76">
        <f>AG90*Entradas!$F$99</f>
        <v>0</v>
      </c>
      <c r="AI90" s="76">
        <f>IF(Entradas!$F$91&gt;0,D90*Entradas!$D$23/Escenarios!$F$16,0)</f>
        <v>0.20039583844263145</v>
      </c>
      <c r="AJ90" s="76">
        <f>IF(Entradas!$F$91&gt;0,Entradas!$D$24*Entradas!$D$22/Escenarios!$F$16,0)</f>
        <v>0.12</v>
      </c>
      <c r="AK90" s="76">
        <f t="shared" si="16"/>
        <v>2.739677948815852</v>
      </c>
      <c r="AL90" s="76">
        <f t="shared" si="17"/>
        <v>0</v>
      </c>
      <c r="AM90" s="76">
        <f t="shared" si="18"/>
        <v>0.58704078590130515</v>
      </c>
      <c r="AN90" s="76">
        <f>MAX(0,O90*Escenarios!$F$13/Escenarios!$F$16-AM90)</f>
        <v>0</v>
      </c>
      <c r="AO90" s="76">
        <f>AM90+AN90-O90*Escenarios!$F$13/Escenarios!$F$16</f>
        <v>0.13337121055979012</v>
      </c>
      <c r="AP90" s="76">
        <f t="shared" si="19"/>
        <v>1.0367999999999999</v>
      </c>
      <c r="AQ90" s="76">
        <f t="shared" si="20"/>
        <v>0</v>
      </c>
      <c r="AR90" s="76">
        <f t="shared" si="21"/>
        <v>1.0367999999999999</v>
      </c>
      <c r="AS90" s="76">
        <f t="shared" si="22"/>
        <v>0.26664494745867373</v>
      </c>
      <c r="AT90" s="76">
        <f t="shared" si="23"/>
        <v>0.53105016772046487</v>
      </c>
      <c r="AU90" s="76">
        <f t="shared" si="24"/>
        <v>61.028841828140173</v>
      </c>
      <c r="AV90" s="76">
        <f>MAX(0,(AU90-Constantes!$D$13)*(1-EXP(-Constantes!$D$24)))</f>
        <v>0.18768513102216272</v>
      </c>
      <c r="AW90" s="170">
        <f>AW89+(Entradas!$F$112*AT90-AX89)/(800*Entradas!$D$25)</f>
        <v>0</v>
      </c>
      <c r="AX90" s="170">
        <f>8000*Entradas!$D$26*AW90/Constantes!$F$45</f>
        <v>0</v>
      </c>
      <c r="AY90" s="170">
        <f>IF(Escenarios!$F$17&gt;0,10*Escenarios!$F$16*AL90,0)</f>
        <v>0</v>
      </c>
      <c r="AZ90" s="170">
        <f>IF(Escenarios!$F$17&gt;0,10*Escenarios!$F$16*AX90,0)</f>
        <v>0</v>
      </c>
      <c r="BA90" s="170">
        <f>IF(Escenarios!$F$17&gt;0,0.001*Observaciones!$F89*Escenarios!$F$17,0)</f>
        <v>0</v>
      </c>
      <c r="BB90" s="170">
        <f>IF(Escenarios!$F$17&gt;0,Observaciones!$K89,0)</f>
        <v>0</v>
      </c>
      <c r="BC90" s="170">
        <f>IF(Escenarios!$F$17&gt;0,MIN(0.0005*ETo!$M89*Escenarios!$F$17*(BG89/Constantes!$F$40)^(2/3),BG89+AY90+AZ90+BA90+BB90),0)</f>
        <v>0</v>
      </c>
      <c r="BD90" s="170">
        <f>IF(Escenarios!$F$17&gt;0,MIN(Constantes!$F$39*(BG89/Constantes!$F$40)^(2/3),BG89+AY90+AZ90+BA90+BB90-BC90),0)</f>
        <v>0</v>
      </c>
      <c r="BE90" s="170">
        <f>IF(Escenarios!$F$17&gt;0,MIN(Entradas!$F$113,BG89+AY90+AZ90+BA90+BB90-BC90-BD90),0)</f>
        <v>0</v>
      </c>
      <c r="BF90" s="170">
        <f>IF(Escenarios!$F$17&gt;0,MAX(0,BG89+AY90+AZ90+BA90+BB90-BC90-BD90-BE90-Constantes!$F$40),0)</f>
        <v>0</v>
      </c>
      <c r="BG90" s="170">
        <f t="shared" si="25"/>
        <v>0</v>
      </c>
      <c r="BH90" s="170">
        <f>(Escenarios!$F$16*AK90+0.1*BC90)/(Escenarios!$F$19)</f>
        <v>2.739677948815852</v>
      </c>
      <c r="BI90" s="170">
        <f>IF(Escenarios!$F$17&gt;0,BF90/10/Escenarios!$F$19,AL90)</f>
        <v>0</v>
      </c>
      <c r="BJ90" s="170">
        <f>(Escenarios!$F$16*AT90+0.1*BD90)/(Escenarios!$F$19)</f>
        <v>0.53105016772046487</v>
      </c>
      <c r="BK90" s="76">
        <f>BK89+(0.1*BD90)/(Escenarios!$F$19)-BL89</f>
        <v>48.75</v>
      </c>
      <c r="BL90" s="76">
        <f>MAX(0,(BK90-Constantes!$D$13)*(1-EXP(-Constantes!$D$23)))</f>
        <v>0</v>
      </c>
      <c r="BM90" s="76">
        <f t="shared" si="26"/>
        <v>1.2244851310221627</v>
      </c>
      <c r="BN90" s="76">
        <f t="shared" si="27"/>
        <v>1.2244851310221627</v>
      </c>
      <c r="BO90" s="76">
        <f>0.0526*BI90*Observaciones!$F89^1.218</f>
        <v>0</v>
      </c>
      <c r="BP90" s="76">
        <f>BO90*Constantes!$F$51</f>
        <v>0</v>
      </c>
      <c r="BQ90" s="76">
        <f t="shared" si="28"/>
        <v>0</v>
      </c>
      <c r="BR90" s="40"/>
    </row>
    <row r="91" spans="2:70">
      <c r="B91" s="39"/>
      <c r="C91" s="75">
        <v>85</v>
      </c>
      <c r="D91" s="146">
        <f>ETo!$I90*((1-Constantes!$F$19)*ETo!$K90+ETo!$L90)</f>
        <v>4.0659246372777265</v>
      </c>
      <c r="E91" s="76">
        <f>MIN(D91*Constantes!$F$17,0.8*(N90+Observaciones!$F90-F91-M91-Constantes!$D$14))</f>
        <v>2.3188446261917823</v>
      </c>
      <c r="F91" s="76">
        <f>IF(Observaciones!$F90&gt;0.05*Constantes!$F$18,((Observaciones!$F90-0.05*Constantes!$F$18)^2)/(Observaciones!$F90+0.95*Constantes!$F$18),0)</f>
        <v>0</v>
      </c>
      <c r="G91" s="76">
        <f>IF(Escenarios!$F$11&gt;0,(F91*Escenarios!$F$16*10000)/1000,0)</f>
        <v>0</v>
      </c>
      <c r="H91" s="76">
        <f>IF(Escenarios!$F$11&gt;0,(Observaciones!$F90*Constantes!$F$29)/1000,0)</f>
        <v>0</v>
      </c>
      <c r="I91" s="76">
        <f>IF(Escenarios!$F$11&gt;0,(D91*Constantes!$F$29)/1000,0)</f>
        <v>0</v>
      </c>
      <c r="J91" s="76">
        <f>IF(Escenarios!$F$11&gt;0,MAX(0,G91+H91-I91),0)</f>
        <v>0</v>
      </c>
      <c r="K91" s="76">
        <f>IF(Escenarios!$F$11&gt;0,IF(J91&gt;Constantes!$F$30,1000*((J91-Constantes!$F$30)/(Escenarios!$F$16*10000)),0),F91)</f>
        <v>0</v>
      </c>
      <c r="L91" s="76">
        <f>IF(Escenarios!$F$11&gt;0,I91*1000/Escenarios!$F$16/10000+E91,E91)</f>
        <v>2.3188446261917823</v>
      </c>
      <c r="M91" s="76">
        <f>MAX(0,N90+Observaciones!$F90-K91-Constantes!$D$13)</f>
        <v>0</v>
      </c>
      <c r="N91" s="76">
        <f>N90+Observaciones!$F90-K91-L91-M91-O90</f>
        <v>23.550033062627691</v>
      </c>
      <c r="O91" s="76">
        <f>MAX(0,(N91-Constantes!$D$14)*(1-EXP(-Constantes!$D$22)))</f>
        <v>0.41898428045887365</v>
      </c>
      <c r="P91" s="170">
        <f>P90+(Entradas!$F$83*M91-Q90)/(800*Entradas!$D$25)</f>
        <v>0</v>
      </c>
      <c r="Q91" s="170">
        <f>8000*Entradas!$D$26*P91/Constantes!$F$45</f>
        <v>0</v>
      </c>
      <c r="R91" s="170">
        <f>IF(Escenarios!$F$14&gt;0,K91*Escenarios!$F$13/Escenarios!$F$14,0)</f>
        <v>0</v>
      </c>
      <c r="S91" s="170">
        <f>IF(Escenarios!$F$14&gt;0,Q91*Escenarios!$F$13/Escenarios!$F$14,0)</f>
        <v>0</v>
      </c>
      <c r="T91" s="170">
        <f>IF(Escenarios!$F$14&gt;0,Observaciones!$I90,0)</f>
        <v>0</v>
      </c>
      <c r="U91" s="170">
        <f>IF(Escenarios!$F$14&gt;0,MAX(0,Constantes!$F$36/((Z90+R91+S91+T91+Observaciones!$F90)^2)+Entradas!$F$77),0)</f>
        <v>2.113585086899981</v>
      </c>
      <c r="V91" s="146">
        <f>IF(ETo!D90&gt;0,ETo!I90*((1-Entradas!$F$81)*ETo!K90+ETo!L90),0)</f>
        <v>3.6013147799505396</v>
      </c>
      <c r="W91" s="170">
        <f>IF(Escenarios!$F$14&gt;0,MIN(V91*1,0.8*(Z90+R91+S91+T91+Observaciones!$F90-U91-Constantes!$F$35)),0)</f>
        <v>3.6013147799505396</v>
      </c>
      <c r="X91" s="170">
        <f>IF(Escenarios!$F$14&gt;0,Observaciones!$J90,0)</f>
        <v>0</v>
      </c>
      <c r="Y91" s="170">
        <f>IF(Escenarios!$F$14&gt;0,MAX(0,Z90+R91+S91+T91+Observaciones!$F90-U91-W91-X91-Constantes!$F$33),0)</f>
        <v>0</v>
      </c>
      <c r="Z91" s="170">
        <f>Z90+R91+S91+T91+Observaciones!$F90-U91-W91-Y91</f>
        <v>101.90633388546968</v>
      </c>
      <c r="AA91" s="170">
        <f>IF(Escenarios!$F$14&gt;0,(Escenarios!$F$13*L91+Escenarios!$F$14*W91)/(Escenarios!$F$16),L91)</f>
        <v>2.4727410446428331</v>
      </c>
      <c r="AB91" s="170">
        <f>IF(Escenarios!$F$14&gt;0,(Escenarios!$F$14*Y91)/(Escenarios!$F$16),K91)</f>
        <v>0</v>
      </c>
      <c r="AC91" s="170">
        <f>IF(Escenarios!$F$14&gt;0,(Escenarios!$F$13*M91+Escenarios!$F$14*U91)/(Escenarios!$F$16),M91)</f>
        <v>0.25363021042799772</v>
      </c>
      <c r="AD91" s="76">
        <f t="shared" si="15"/>
        <v>166.59352437244584</v>
      </c>
      <c r="AE91" s="76">
        <f>MAX(0,(AD91-Constantes!$D$13)*(1-EXP(-Constantes!$D$23)))</f>
        <v>1.161140313782433</v>
      </c>
      <c r="AF91" s="76">
        <f>AB91+O91*Escenarios!$F$13/Escenarios!$F$16+AE91</f>
        <v>1.5298464805862417</v>
      </c>
      <c r="AG91" s="76">
        <f>IF(Entradas!$F$91&gt;0,IF(AF91-Escenarios!$F$38&lt;=0,0,IF(AF91-Escenarios!$F$38&gt;Escenarios!$F$37,Escenarios!$F$37,AF91-Escenarios!$F$38)),0)</f>
        <v>0.49304648058624179</v>
      </c>
      <c r="AH91" s="76">
        <f>AG91*Entradas!$F$99</f>
        <v>0</v>
      </c>
      <c r="AI91" s="76">
        <f>IF(Entradas!$F$91&gt;0,D91*Entradas!$D$23/Escenarios!$F$16,0)</f>
        <v>0.19516438258933086</v>
      </c>
      <c r="AJ91" s="76">
        <f>IF(Entradas!$F$91&gt;0,Entradas!$D$24*Entradas!$D$22/Escenarios!$F$16,0)</f>
        <v>0.12</v>
      </c>
      <c r="AK91" s="76">
        <f t="shared" si="16"/>
        <v>2.6679054272321641</v>
      </c>
      <c r="AL91" s="76">
        <f t="shared" si="17"/>
        <v>0</v>
      </c>
      <c r="AM91" s="76">
        <f t="shared" si="18"/>
        <v>0.49304648058624179</v>
      </c>
      <c r="AN91" s="76">
        <f>MAX(0,O91*Escenarios!$F$13/Escenarios!$F$16-AM91)</f>
        <v>0</v>
      </c>
      <c r="AO91" s="76">
        <f>AM91+AN91-O91*Escenarios!$F$13/Escenarios!$F$16</f>
        <v>0.12434031378243299</v>
      </c>
      <c r="AP91" s="76">
        <f t="shared" si="19"/>
        <v>1.0367999999999999</v>
      </c>
      <c r="AQ91" s="76">
        <f t="shared" si="20"/>
        <v>0</v>
      </c>
      <c r="AR91" s="76">
        <f t="shared" si="21"/>
        <v>1.0367999999999999</v>
      </c>
      <c r="AS91" s="76">
        <f t="shared" si="22"/>
        <v>0.1778820979969109</v>
      </c>
      <c r="AT91" s="76">
        <f t="shared" si="23"/>
        <v>0.43151230842490862</v>
      </c>
      <c r="AU91" s="76">
        <f t="shared" si="24"/>
        <v>61.019038795114923</v>
      </c>
      <c r="AV91" s="76">
        <f>MAX(0,(AU91-Constantes!$D$13)*(1-EXP(-Constantes!$D$24)))</f>
        <v>0.18753528924037982</v>
      </c>
      <c r="AW91" s="170">
        <f>AW90+(Entradas!$F$112*AT91-AX90)/(800*Entradas!$D$25)</f>
        <v>0</v>
      </c>
      <c r="AX91" s="170">
        <f>8000*Entradas!$D$26*AW91/Constantes!$F$45</f>
        <v>0</v>
      </c>
      <c r="AY91" s="170">
        <f>IF(Escenarios!$F$17&gt;0,10*Escenarios!$F$16*AL91,0)</f>
        <v>0</v>
      </c>
      <c r="AZ91" s="170">
        <f>IF(Escenarios!$F$17&gt;0,10*Escenarios!$F$16*AX91,0)</f>
        <v>0</v>
      </c>
      <c r="BA91" s="170">
        <f>IF(Escenarios!$F$17&gt;0,0.001*Observaciones!$F90*Escenarios!$F$17,0)</f>
        <v>0</v>
      </c>
      <c r="BB91" s="170">
        <f>IF(Escenarios!$F$17&gt;0,Observaciones!$K90,0)</f>
        <v>0</v>
      </c>
      <c r="BC91" s="170">
        <f>IF(Escenarios!$F$17&gt;0,MIN(0.0005*ETo!$M90*Escenarios!$F$17*(BG90/Constantes!$F$40)^(2/3),BG90+AY91+AZ91+BA91+BB91),0)</f>
        <v>0</v>
      </c>
      <c r="BD91" s="170">
        <f>IF(Escenarios!$F$17&gt;0,MIN(Constantes!$F$39*(BG90/Constantes!$F$40)^(2/3),BG90+AY91+AZ91+BA91+BB91-BC91),0)</f>
        <v>0</v>
      </c>
      <c r="BE91" s="170">
        <f>IF(Escenarios!$F$17&gt;0,MIN(Entradas!$F$113,BG90+AY91+AZ91+BA91+BB91-BC91-BD91),0)</f>
        <v>0</v>
      </c>
      <c r="BF91" s="170">
        <f>IF(Escenarios!$F$17&gt;0,MAX(0,BG90+AY91+AZ91+BA91+BB91-BC91-BD91-BE91-Constantes!$F$40),0)</f>
        <v>0</v>
      </c>
      <c r="BG91" s="170">
        <f t="shared" si="25"/>
        <v>0</v>
      </c>
      <c r="BH91" s="170">
        <f>(Escenarios!$F$16*AK91+0.1*BC91)/(Escenarios!$F$19)</f>
        <v>2.6679054272321641</v>
      </c>
      <c r="BI91" s="170">
        <f>IF(Escenarios!$F$17&gt;0,BF91/10/Escenarios!$F$19,AL91)</f>
        <v>0</v>
      </c>
      <c r="BJ91" s="170">
        <f>(Escenarios!$F$16*AT91+0.1*BD91)/(Escenarios!$F$19)</f>
        <v>0.43151230842490862</v>
      </c>
      <c r="BK91" s="76">
        <f>BK90+(0.1*BD91)/(Escenarios!$F$19)-BL90</f>
        <v>48.75</v>
      </c>
      <c r="BL91" s="76">
        <f>MAX(0,(BK91-Constantes!$D$13)*(1-EXP(-Constantes!$D$23)))</f>
        <v>0</v>
      </c>
      <c r="BM91" s="76">
        <f t="shared" si="26"/>
        <v>1.2243352892403798</v>
      </c>
      <c r="BN91" s="76">
        <f t="shared" si="27"/>
        <v>1.2243352892403798</v>
      </c>
      <c r="BO91" s="76">
        <f>0.0526*BI91*Observaciones!$F90^1.218</f>
        <v>0</v>
      </c>
      <c r="BP91" s="76">
        <f>BO91*Constantes!$F$51</f>
        <v>0</v>
      </c>
      <c r="BQ91" s="76">
        <f t="shared" si="28"/>
        <v>0</v>
      </c>
      <c r="BR91" s="40"/>
    </row>
    <row r="92" spans="2:70">
      <c r="B92" s="39"/>
      <c r="C92" s="75">
        <v>86</v>
      </c>
      <c r="D92" s="146">
        <f>ETo!$I91*((1-Constantes!$F$19)*ETo!$K91+ETo!$L91)</f>
        <v>4.1010390466722697</v>
      </c>
      <c r="E92" s="76">
        <f>MIN(D92*Constantes!$F$17,0.8*(N91+Observaciones!$F91-F92-M92-Constantes!$D$14))</f>
        <v>2.3388707867309879</v>
      </c>
      <c r="F92" s="76">
        <f>IF(Observaciones!$F91&gt;0.05*Constantes!$F$18,((Observaciones!$F91-0.05*Constantes!$F$18)^2)/(Observaciones!$F91+0.95*Constantes!$F$18),0)</f>
        <v>0</v>
      </c>
      <c r="G92" s="76">
        <f>IF(Escenarios!$F$11&gt;0,(F92*Escenarios!$F$16*10000)/1000,0)</f>
        <v>0</v>
      </c>
      <c r="H92" s="76">
        <f>IF(Escenarios!$F$11&gt;0,(Observaciones!$F91*Constantes!$F$29)/1000,0)</f>
        <v>0</v>
      </c>
      <c r="I92" s="76">
        <f>IF(Escenarios!$F$11&gt;0,(D92*Constantes!$F$29)/1000,0)</f>
        <v>0</v>
      </c>
      <c r="J92" s="76">
        <f>IF(Escenarios!$F$11&gt;0,MAX(0,G92+H92-I92),0)</f>
        <v>0</v>
      </c>
      <c r="K92" s="76">
        <f>IF(Escenarios!$F$11&gt;0,IF(J92&gt;Constantes!$F$30,1000*((J92-Constantes!$F$30)/(Escenarios!$F$16*10000)),0),F92)</f>
        <v>0</v>
      </c>
      <c r="L92" s="76">
        <f>IF(Escenarios!$F$11&gt;0,I92*1000/Escenarios!$F$16/10000+E92,E92)</f>
        <v>2.3388707867309879</v>
      </c>
      <c r="M92" s="76">
        <f>MAX(0,N91+Observaciones!$F91-K92-Constantes!$D$13)</f>
        <v>0</v>
      </c>
      <c r="N92" s="76">
        <f>N91+Observaciones!$F91-K92-L92-M92-O91</f>
        <v>20.792177995437832</v>
      </c>
      <c r="O92" s="76">
        <f>MAX(0,(N92-Constantes!$D$14)*(1-EXP(-Constantes!$D$22)))</f>
        <v>0.32504161257717046</v>
      </c>
      <c r="P92" s="170">
        <f>P91+(Entradas!$F$83*M92-Q91)/(800*Entradas!$D$25)</f>
        <v>0</v>
      </c>
      <c r="Q92" s="170">
        <f>8000*Entradas!$D$26*P92/Constantes!$F$45</f>
        <v>0</v>
      </c>
      <c r="R92" s="170">
        <f>IF(Escenarios!$F$14&gt;0,K92*Escenarios!$F$13/Escenarios!$F$14,0)</f>
        <v>0</v>
      </c>
      <c r="S92" s="170">
        <f>IF(Escenarios!$F$14&gt;0,Q92*Escenarios!$F$13/Escenarios!$F$14,0)</f>
        <v>0</v>
      </c>
      <c r="T92" s="170">
        <f>IF(Escenarios!$F$14&gt;0,Observaciones!$I91,0)</f>
        <v>0</v>
      </c>
      <c r="U92" s="170">
        <f>IF(Escenarios!$F$14&gt;0,MAX(0,Constantes!$F$36/((Z91+R92+S92+T92+Observaciones!$F91)^2)+Entradas!$F$77),0)</f>
        <v>2.0113771799340299</v>
      </c>
      <c r="V92" s="146">
        <f>IF(ETo!D91&gt;0,ETo!I91*((1-Entradas!$F$81)*ETo!K91+ETo!L91),0)</f>
        <v>3.6327884880265575</v>
      </c>
      <c r="W92" s="170">
        <f>IF(Escenarios!$F$14&gt;0,MIN(V92*1,0.8*(Z91+R92+S92+T92+Observaciones!$F91-U92-Constantes!$F$35)),0)</f>
        <v>3.6327884880265575</v>
      </c>
      <c r="X92" s="170">
        <f>IF(Escenarios!$F$14&gt;0,Observaciones!$J91,0)</f>
        <v>0</v>
      </c>
      <c r="Y92" s="170">
        <f>IF(Escenarios!$F$14&gt;0,MAX(0,Z91+R92+S92+T92+Observaciones!$F91-U92-W92-X92-Constantes!$F$33),0)</f>
        <v>0</v>
      </c>
      <c r="Z92" s="170">
        <f>Z91+R92+S92+T92+Observaciones!$F91-U92-W92-Y92</f>
        <v>96.262168217509085</v>
      </c>
      <c r="AA92" s="170">
        <f>IF(Escenarios!$F$14&gt;0,(Escenarios!$F$13*L92+Escenarios!$F$14*W92)/(Escenarios!$F$16),L92)</f>
        <v>2.4941409108864563</v>
      </c>
      <c r="AB92" s="170">
        <f>IF(Escenarios!$F$14&gt;0,(Escenarios!$F$14*Y92)/(Escenarios!$F$16),K92)</f>
        <v>0</v>
      </c>
      <c r="AC92" s="170">
        <f>IF(Escenarios!$F$14&gt;0,(Escenarios!$F$13*M92+Escenarios!$F$14*U92)/(Escenarios!$F$16),M92)</f>
        <v>0.24136526159208357</v>
      </c>
      <c r="AD92" s="76">
        <f t="shared" si="15"/>
        <v>165.6737493202555</v>
      </c>
      <c r="AE92" s="76">
        <f>MAX(0,(AD92-Constantes!$D$13)*(1-EXP(-Constantes!$D$23)))</f>
        <v>1.152077551119852</v>
      </c>
      <c r="AF92" s="76">
        <f>AB92+O92*Escenarios!$F$13/Escenarios!$F$16+AE92</f>
        <v>1.438114170187762</v>
      </c>
      <c r="AG92" s="76">
        <f>IF(Entradas!$F$91&gt;0,IF(AF92-Escenarios!$F$38&lt;=0,0,IF(AF92-Escenarios!$F$38&gt;Escenarios!$F$37,Escenarios!$F$37,AF92-Escenarios!$F$38)),0)</f>
        <v>0.40131417018776205</v>
      </c>
      <c r="AH92" s="76">
        <f>AG92*Entradas!$F$99</f>
        <v>0</v>
      </c>
      <c r="AI92" s="76">
        <f>IF(Entradas!$F$91&gt;0,D92*Entradas!$D$23/Escenarios!$F$16,0)</f>
        <v>0.19684987424026895</v>
      </c>
      <c r="AJ92" s="76">
        <f>IF(Entradas!$F$91&gt;0,Entradas!$D$24*Entradas!$D$22/Escenarios!$F$16,0)</f>
        <v>0.12</v>
      </c>
      <c r="AK92" s="76">
        <f t="shared" si="16"/>
        <v>2.6909907851267252</v>
      </c>
      <c r="AL92" s="76">
        <f t="shared" si="17"/>
        <v>0</v>
      </c>
      <c r="AM92" s="76">
        <f t="shared" si="18"/>
        <v>0.40131417018776205</v>
      </c>
      <c r="AN92" s="76">
        <f>MAX(0,O92*Escenarios!$F$13/Escenarios!$F$16-AM92)</f>
        <v>0</v>
      </c>
      <c r="AO92" s="76">
        <f>AM92+AN92-O92*Escenarios!$F$13/Escenarios!$F$16</f>
        <v>0.11527755111985205</v>
      </c>
      <c r="AP92" s="76">
        <f t="shared" si="19"/>
        <v>1.0367999999999999</v>
      </c>
      <c r="AQ92" s="76">
        <f t="shared" si="20"/>
        <v>0</v>
      </c>
      <c r="AR92" s="76">
        <f t="shared" si="21"/>
        <v>1.0367999999999999</v>
      </c>
      <c r="AS92" s="76">
        <f t="shared" si="22"/>
        <v>8.4464295947493107E-2</v>
      </c>
      <c r="AT92" s="76">
        <f t="shared" si="23"/>
        <v>0.32582955753957665</v>
      </c>
      <c r="AU92" s="76">
        <f t="shared" si="24"/>
        <v>60.915967801822035</v>
      </c>
      <c r="AV92" s="76">
        <f>MAX(0,(AU92-Constantes!$D$13)*(1-EXP(-Constantes!$D$24)))</f>
        <v>0.18595982364260444</v>
      </c>
      <c r="AW92" s="170">
        <f>AW91+(Entradas!$F$112*AT92-AX91)/(800*Entradas!$D$25)</f>
        <v>0</v>
      </c>
      <c r="AX92" s="170">
        <f>8000*Entradas!$D$26*AW92/Constantes!$F$45</f>
        <v>0</v>
      </c>
      <c r="AY92" s="170">
        <f>IF(Escenarios!$F$17&gt;0,10*Escenarios!$F$16*AL92,0)</f>
        <v>0</v>
      </c>
      <c r="AZ92" s="170">
        <f>IF(Escenarios!$F$17&gt;0,10*Escenarios!$F$16*AX92,0)</f>
        <v>0</v>
      </c>
      <c r="BA92" s="170">
        <f>IF(Escenarios!$F$17&gt;0,0.001*Observaciones!$F91*Escenarios!$F$17,0)</f>
        <v>0</v>
      </c>
      <c r="BB92" s="170">
        <f>IF(Escenarios!$F$17&gt;0,Observaciones!$K91,0)</f>
        <v>0</v>
      </c>
      <c r="BC92" s="170">
        <f>IF(Escenarios!$F$17&gt;0,MIN(0.0005*ETo!$M91*Escenarios!$F$17*(BG91/Constantes!$F$40)^(2/3),BG91+AY92+AZ92+BA92+BB92),0)</f>
        <v>0</v>
      </c>
      <c r="BD92" s="170">
        <f>IF(Escenarios!$F$17&gt;0,MIN(Constantes!$F$39*(BG91/Constantes!$F$40)^(2/3),BG91+AY92+AZ92+BA92+BB92-BC92),0)</f>
        <v>0</v>
      </c>
      <c r="BE92" s="170">
        <f>IF(Escenarios!$F$17&gt;0,MIN(Entradas!$F$113,BG91+AY92+AZ92+BA92+BB92-BC92-BD92),0)</f>
        <v>0</v>
      </c>
      <c r="BF92" s="170">
        <f>IF(Escenarios!$F$17&gt;0,MAX(0,BG91+AY92+AZ92+BA92+BB92-BC92-BD92-BE92-Constantes!$F$40),0)</f>
        <v>0</v>
      </c>
      <c r="BG92" s="170">
        <f t="shared" si="25"/>
        <v>0</v>
      </c>
      <c r="BH92" s="170">
        <f>(Escenarios!$F$16*AK92+0.1*BC92)/(Escenarios!$F$19)</f>
        <v>2.6909907851267252</v>
      </c>
      <c r="BI92" s="170">
        <f>IF(Escenarios!$F$17&gt;0,BF92/10/Escenarios!$F$19,AL92)</f>
        <v>0</v>
      </c>
      <c r="BJ92" s="170">
        <f>(Escenarios!$F$16*AT92+0.1*BD92)/(Escenarios!$F$19)</f>
        <v>0.32582955753957665</v>
      </c>
      <c r="BK92" s="76">
        <f>BK91+(0.1*BD92)/(Escenarios!$F$19)-BL91</f>
        <v>48.75</v>
      </c>
      <c r="BL92" s="76">
        <f>MAX(0,(BK92-Constantes!$D$13)*(1-EXP(-Constantes!$D$23)))</f>
        <v>0</v>
      </c>
      <c r="BM92" s="76">
        <f t="shared" si="26"/>
        <v>1.2227598236426043</v>
      </c>
      <c r="BN92" s="76">
        <f t="shared" si="27"/>
        <v>1.2227598236426043</v>
      </c>
      <c r="BO92" s="76">
        <f>0.0526*BI92*Observaciones!$F91^1.218</f>
        <v>0</v>
      </c>
      <c r="BP92" s="76">
        <f>BO92*Constantes!$F$51</f>
        <v>0</v>
      </c>
      <c r="BQ92" s="76">
        <f t="shared" si="28"/>
        <v>0</v>
      </c>
      <c r="BR92" s="40"/>
    </row>
    <row r="93" spans="2:70">
      <c r="B93" s="39"/>
      <c r="C93" s="75">
        <v>87</v>
      </c>
      <c r="D93" s="146">
        <f>ETo!$I92*((1-Constantes!$F$19)*ETo!$K92+ETo!$L92)</f>
        <v>3.9713578441973083</v>
      </c>
      <c r="E93" s="76">
        <f>MIN(D93*Constantes!$F$17,0.8*(N92+Observaciones!$F92-F93-M93-Constantes!$D$14))</f>
        <v>2.264912072218638</v>
      </c>
      <c r="F93" s="76">
        <f>IF(Observaciones!$F92&gt;0.05*Constantes!$F$18,((Observaciones!$F92-0.05*Constantes!$F$18)^2)/(Observaciones!$F92+0.95*Constantes!$F$18),0)</f>
        <v>2.3775322244161436E-3</v>
      </c>
      <c r="G93" s="76">
        <f>IF(Escenarios!$F$11&gt;0,(F93*Escenarios!$F$16*10000)/1000,0)</f>
        <v>0</v>
      </c>
      <c r="H93" s="76">
        <f>IF(Escenarios!$F$11&gt;0,(Observaciones!$F92*Constantes!$F$29)/1000,0)</f>
        <v>0</v>
      </c>
      <c r="I93" s="76">
        <f>IF(Escenarios!$F$11&gt;0,(D93*Constantes!$F$29)/1000,0)</f>
        <v>0</v>
      </c>
      <c r="J93" s="76">
        <f>IF(Escenarios!$F$11&gt;0,MAX(0,G93+H93-I93),0)</f>
        <v>0</v>
      </c>
      <c r="K93" s="76">
        <f>IF(Escenarios!$F$11&gt;0,IF(J93&gt;Constantes!$F$30,1000*((J93-Constantes!$F$30)/(Escenarios!$F$16*10000)),0),F93)</f>
        <v>2.3775322244161436E-3</v>
      </c>
      <c r="L93" s="76">
        <f>IF(Escenarios!$F$11&gt;0,I93*1000/Escenarios!$F$16/10000+E93,E93)</f>
        <v>2.264912072218638</v>
      </c>
      <c r="M93" s="76">
        <f>MAX(0,N92+Observaciones!$F92-K93-Constantes!$D$13)</f>
        <v>0</v>
      </c>
      <c r="N93" s="76">
        <f>N92+Observaciones!$F92-K93-L93-M93-O92</f>
        <v>29.899846778417604</v>
      </c>
      <c r="O93" s="76">
        <f>MAX(0,(N93-Constantes!$D$14)*(1-EXP(-Constantes!$D$22)))</f>
        <v>0.63528224626204521</v>
      </c>
      <c r="P93" s="170">
        <f>P92+(Entradas!$F$83*M93-Q92)/(800*Entradas!$D$25)</f>
        <v>0</v>
      </c>
      <c r="Q93" s="170">
        <f>8000*Entradas!$D$26*P93/Constantes!$F$45</f>
        <v>0</v>
      </c>
      <c r="R93" s="170">
        <f>IF(Escenarios!$F$14&gt;0,K93*Escenarios!$F$13/Escenarios!$F$14,0)</f>
        <v>1.7435236312385052E-2</v>
      </c>
      <c r="S93" s="170">
        <f>IF(Escenarios!$F$14&gt;0,Q93*Escenarios!$F$13/Escenarios!$F$14,0)</f>
        <v>0</v>
      </c>
      <c r="T93" s="170">
        <f>IF(Escenarios!$F$14&gt;0,Observaciones!$I92,0)</f>
        <v>0</v>
      </c>
      <c r="U93" s="170">
        <f>IF(Escenarios!$F$14&gt;0,MAX(0,Constantes!$F$36/((Z92+R93+S93+T93+Observaciones!$F92)^2)+Entradas!$F$77),0)</f>
        <v>2.1194591056096272</v>
      </c>
      <c r="V93" s="146">
        <f>IF(ETo!D92&gt;0,ETo!I92*((1-Entradas!$F$81)*ETo!K92+ETo!L92),0)</f>
        <v>3.5156131515028823</v>
      </c>
      <c r="W93" s="170">
        <f>IF(Escenarios!$F$14&gt;0,MIN(V93*1,0.8*(Z92+R93+S93+T93+Observaciones!$F92-U93-Constantes!$F$35)),0)</f>
        <v>3.5156131515028823</v>
      </c>
      <c r="X93" s="170">
        <f>IF(Escenarios!$F$14&gt;0,Observaciones!$J92,0)</f>
        <v>0</v>
      </c>
      <c r="Y93" s="170">
        <f>IF(Escenarios!$F$14&gt;0,MAX(0,Z92+R93+S93+T93+Observaciones!$F92-U93-W93-X93-Constantes!$F$33),0)</f>
        <v>0</v>
      </c>
      <c r="Z93" s="170">
        <f>Z92+R93+S93+T93+Observaciones!$F92-U93-W93-Y93</f>
        <v>102.34453119670897</v>
      </c>
      <c r="AA93" s="170">
        <f>IF(Escenarios!$F$14&gt;0,(Escenarios!$F$13*L93+Escenarios!$F$14*W93)/(Escenarios!$F$16),L93)</f>
        <v>2.4149962017327469</v>
      </c>
      <c r="AB93" s="170">
        <f>IF(Escenarios!$F$14&gt;0,(Escenarios!$F$14*Y93)/(Escenarios!$F$16),K93)</f>
        <v>0</v>
      </c>
      <c r="AC93" s="170">
        <f>IF(Escenarios!$F$14&gt;0,(Escenarios!$F$13*M93+Escenarios!$F$14*U93)/(Escenarios!$F$16),M93)</f>
        <v>0.25433509267315524</v>
      </c>
      <c r="AD93" s="76">
        <f t="shared" si="15"/>
        <v>164.77600686180881</v>
      </c>
      <c r="AE93" s="76">
        <f>MAX(0,(AD93-Constantes!$D$13)*(1-EXP(-Constantes!$D$23)))</f>
        <v>1.1432318808511823</v>
      </c>
      <c r="AF93" s="76">
        <f>AB93+O93*Escenarios!$F$13/Escenarios!$F$16+AE93</f>
        <v>1.7022802575617821</v>
      </c>
      <c r="AG93" s="76">
        <f>IF(Entradas!$F$91&gt;0,IF(AF93-Escenarios!$F$38&lt;=0,0,IF(AF93-Escenarios!$F$38&gt;Escenarios!$F$37,Escenarios!$F$37,AF93-Escenarios!$F$38)),0)</f>
        <v>0.6654802575617822</v>
      </c>
      <c r="AH93" s="76">
        <f>AG93*Entradas!$F$99</f>
        <v>0</v>
      </c>
      <c r="AI93" s="76">
        <f>IF(Entradas!$F$91&gt;0,D93*Entradas!$D$23/Escenarios!$F$16,0)</f>
        <v>0.19062517652147079</v>
      </c>
      <c r="AJ93" s="76">
        <f>IF(Entradas!$F$91&gt;0,Entradas!$D$24*Entradas!$D$22/Escenarios!$F$16,0)</f>
        <v>0.12</v>
      </c>
      <c r="AK93" s="76">
        <f t="shared" si="16"/>
        <v>2.6056213782542175</v>
      </c>
      <c r="AL93" s="76">
        <f t="shared" si="17"/>
        <v>0</v>
      </c>
      <c r="AM93" s="76">
        <f t="shared" si="18"/>
        <v>0.6654802575617822</v>
      </c>
      <c r="AN93" s="76">
        <f>MAX(0,O93*Escenarios!$F$13/Escenarios!$F$16-AM93)</f>
        <v>0</v>
      </c>
      <c r="AO93" s="76">
        <f>AM93+AN93-O93*Escenarios!$F$13/Escenarios!$F$16</f>
        <v>0.10643188085118238</v>
      </c>
      <c r="AP93" s="76">
        <f t="shared" si="19"/>
        <v>1.0367999999999999</v>
      </c>
      <c r="AQ93" s="76">
        <f t="shared" si="20"/>
        <v>0</v>
      </c>
      <c r="AR93" s="76">
        <f t="shared" si="21"/>
        <v>1.0367999999999999</v>
      </c>
      <c r="AS93" s="76">
        <f t="shared" si="22"/>
        <v>0.35485508104031138</v>
      </c>
      <c r="AT93" s="76">
        <f t="shared" si="23"/>
        <v>0.60919017371346662</v>
      </c>
      <c r="AU93" s="76">
        <f t="shared" si="24"/>
        <v>61.084863059219742</v>
      </c>
      <c r="AV93" s="76">
        <f>MAX(0,(AU93-Constantes!$D$13)*(1-EXP(-Constantes!$D$24)))</f>
        <v>0.18854142938013124</v>
      </c>
      <c r="AW93" s="170">
        <f>AW92+(Entradas!$F$112*AT93-AX92)/(800*Entradas!$D$25)</f>
        <v>0</v>
      </c>
      <c r="AX93" s="170">
        <f>8000*Entradas!$D$26*AW93/Constantes!$F$45</f>
        <v>0</v>
      </c>
      <c r="AY93" s="170">
        <f>IF(Escenarios!$F$17&gt;0,10*Escenarios!$F$16*AL93,0)</f>
        <v>0</v>
      </c>
      <c r="AZ93" s="170">
        <f>IF(Escenarios!$F$17&gt;0,10*Escenarios!$F$16*AX93,0)</f>
        <v>0</v>
      </c>
      <c r="BA93" s="170">
        <f>IF(Escenarios!$F$17&gt;0,0.001*Observaciones!$F92*Escenarios!$F$17,0)</f>
        <v>0</v>
      </c>
      <c r="BB93" s="170">
        <f>IF(Escenarios!$F$17&gt;0,Observaciones!$K92,0)</f>
        <v>0</v>
      </c>
      <c r="BC93" s="170">
        <f>IF(Escenarios!$F$17&gt;0,MIN(0.0005*ETo!$M92*Escenarios!$F$17*(BG92/Constantes!$F$40)^(2/3),BG92+AY93+AZ93+BA93+BB93),0)</f>
        <v>0</v>
      </c>
      <c r="BD93" s="170">
        <f>IF(Escenarios!$F$17&gt;0,MIN(Constantes!$F$39*(BG92/Constantes!$F$40)^(2/3),BG92+AY93+AZ93+BA93+BB93-BC93),0)</f>
        <v>0</v>
      </c>
      <c r="BE93" s="170">
        <f>IF(Escenarios!$F$17&gt;0,MIN(Entradas!$F$113,BG92+AY93+AZ93+BA93+BB93-BC93-BD93),0)</f>
        <v>0</v>
      </c>
      <c r="BF93" s="170">
        <f>IF(Escenarios!$F$17&gt;0,MAX(0,BG92+AY93+AZ93+BA93+BB93-BC93-BD93-BE93-Constantes!$F$40),0)</f>
        <v>0</v>
      </c>
      <c r="BG93" s="170">
        <f t="shared" si="25"/>
        <v>0</v>
      </c>
      <c r="BH93" s="170">
        <f>(Escenarios!$F$16*AK93+0.1*BC93)/(Escenarios!$F$19)</f>
        <v>2.6056213782542175</v>
      </c>
      <c r="BI93" s="170">
        <f>IF(Escenarios!$F$17&gt;0,BF93/10/Escenarios!$F$19,AL93)</f>
        <v>0</v>
      </c>
      <c r="BJ93" s="170">
        <f>(Escenarios!$F$16*AT93+0.1*BD93)/(Escenarios!$F$19)</f>
        <v>0.60919017371346662</v>
      </c>
      <c r="BK93" s="76">
        <f>BK92+(0.1*BD93)/(Escenarios!$F$19)-BL92</f>
        <v>48.75</v>
      </c>
      <c r="BL93" s="76">
        <f>MAX(0,(BK93-Constantes!$D$13)*(1-EXP(-Constantes!$D$23)))</f>
        <v>0</v>
      </c>
      <c r="BM93" s="76">
        <f t="shared" si="26"/>
        <v>1.2253414293801312</v>
      </c>
      <c r="BN93" s="76">
        <f t="shared" si="27"/>
        <v>1.2253414293801312</v>
      </c>
      <c r="BO93" s="76">
        <f>0.0526*BI93*Observaciones!$F92^1.218</f>
        <v>0</v>
      </c>
      <c r="BP93" s="76">
        <f>BO93*Constantes!$F$51</f>
        <v>0</v>
      </c>
      <c r="BQ93" s="76">
        <f t="shared" si="28"/>
        <v>0</v>
      </c>
      <c r="BR93" s="40"/>
    </row>
    <row r="94" spans="2:70">
      <c r="B94" s="39"/>
      <c r="C94" s="75">
        <v>88</v>
      </c>
      <c r="D94" s="146">
        <f>ETo!$I93*((1-Constantes!$F$19)*ETo!$K93+ETo!$L93)</f>
        <v>4.0225933624825698</v>
      </c>
      <c r="E94" s="76">
        <f>MIN(D94*Constantes!$F$17,0.8*(N93+Observaciones!$F93-F94-M94-Constantes!$D$14))</f>
        <v>2.2941322907039159</v>
      </c>
      <c r="F94" s="76">
        <f>IF(Observaciones!$F93&gt;0.05*Constantes!$F$18,((Observaciones!$F93-0.05*Constantes!$F$18)^2)/(Observaciones!$F93+0.95*Constantes!$F$18),0)</f>
        <v>0</v>
      </c>
      <c r="G94" s="76">
        <f>IF(Escenarios!$F$11&gt;0,(F94*Escenarios!$F$16*10000)/1000,0)</f>
        <v>0</v>
      </c>
      <c r="H94" s="76">
        <f>IF(Escenarios!$F$11&gt;0,(Observaciones!$F93*Constantes!$F$29)/1000,0)</f>
        <v>0</v>
      </c>
      <c r="I94" s="76">
        <f>IF(Escenarios!$F$11&gt;0,(D94*Constantes!$F$29)/1000,0)</f>
        <v>0</v>
      </c>
      <c r="J94" s="76">
        <f>IF(Escenarios!$F$11&gt;0,MAX(0,G94+H94-I94),0)</f>
        <v>0</v>
      </c>
      <c r="K94" s="76">
        <f>IF(Escenarios!$F$11&gt;0,IF(J94&gt;Constantes!$F$30,1000*((J94-Constantes!$F$30)/(Escenarios!$F$16*10000)),0),F94)</f>
        <v>0</v>
      </c>
      <c r="L94" s="76">
        <f>IF(Escenarios!$F$11&gt;0,I94*1000/Escenarios!$F$16/10000+E94,E94)</f>
        <v>2.2941322907039159</v>
      </c>
      <c r="M94" s="76">
        <f>MAX(0,N93+Observaciones!$F93-K94-Constantes!$D$13)</f>
        <v>0</v>
      </c>
      <c r="N94" s="76">
        <f>N93+Observaciones!$F93-K94-L94-M94-O93</f>
        <v>26.970432241451643</v>
      </c>
      <c r="O94" s="76">
        <f>MAX(0,(N94-Constantes!$D$14)*(1-EXP(-Constantes!$D$22)))</f>
        <v>0.53549563303206105</v>
      </c>
      <c r="P94" s="170">
        <f>P93+(Entradas!$F$83*M94-Q93)/(800*Entradas!$D$25)</f>
        <v>0</v>
      </c>
      <c r="Q94" s="170">
        <f>8000*Entradas!$D$26*P94/Constantes!$F$45</f>
        <v>0</v>
      </c>
      <c r="R94" s="170">
        <f>IF(Escenarios!$F$14&gt;0,K94*Escenarios!$F$13/Escenarios!$F$14,0)</f>
        <v>0</v>
      </c>
      <c r="S94" s="170">
        <f>IF(Escenarios!$F$14&gt;0,Q94*Escenarios!$F$13/Escenarios!$F$14,0)</f>
        <v>0</v>
      </c>
      <c r="T94" s="170">
        <f>IF(Escenarios!$F$14&gt;0,Observaciones!$I93,0)</f>
        <v>0</v>
      </c>
      <c r="U94" s="170">
        <f>IF(Escenarios!$F$14&gt;0,MAX(0,Constantes!$F$36/((Z93+R94+S94+T94+Observaciones!$F93)^2)+Entradas!$F$77),0)</f>
        <v>2.0198248114539981</v>
      </c>
      <c r="V94" s="146">
        <f>IF(ETo!D93&gt;0,ETo!I93*((1-Entradas!$F$81)*ETo!K93+ETo!L93),0)</f>
        <v>3.5615059982223958</v>
      </c>
      <c r="W94" s="170">
        <f>IF(Escenarios!$F$14&gt;0,MIN(V94*1,0.8*(Z93+R94+S94+T94+Observaciones!$F93-U94-Constantes!$F$35)),0)</f>
        <v>3.5615059982223958</v>
      </c>
      <c r="X94" s="170">
        <f>IF(Escenarios!$F$14&gt;0,Observaciones!$J93,0)</f>
        <v>0</v>
      </c>
      <c r="Y94" s="170">
        <f>IF(Escenarios!$F$14&gt;0,MAX(0,Z93+R94+S94+T94+Observaciones!$F93-U94-W94-X94-Constantes!$F$33),0)</f>
        <v>0</v>
      </c>
      <c r="Z94" s="170">
        <f>Z93+R94+S94+T94+Observaciones!$F93-U94-W94-Y94</f>
        <v>96.763200387032569</v>
      </c>
      <c r="AA94" s="170">
        <f>IF(Escenarios!$F$14&gt;0,(Escenarios!$F$13*L94+Escenarios!$F$14*W94)/(Escenarios!$F$16),L94)</f>
        <v>2.4462171356061337</v>
      </c>
      <c r="AB94" s="170">
        <f>IF(Escenarios!$F$14&gt;0,(Escenarios!$F$14*Y94)/(Escenarios!$F$16),K94)</f>
        <v>0</v>
      </c>
      <c r="AC94" s="170">
        <f>IF(Escenarios!$F$14&gt;0,(Escenarios!$F$13*M94+Escenarios!$F$14*U94)/(Escenarios!$F$16),M94)</f>
        <v>0.24237897737447978</v>
      </c>
      <c r="AD94" s="76">
        <f t="shared" si="15"/>
        <v>163.87515395833211</v>
      </c>
      <c r="AE94" s="76">
        <f>MAX(0,(AD94-Constantes!$D$13)*(1-EXP(-Constantes!$D$23)))</f>
        <v>1.1343555626267816</v>
      </c>
      <c r="AF94" s="76">
        <f>AB94+O94*Escenarios!$F$13/Escenarios!$F$16+AE94</f>
        <v>1.6055917196949954</v>
      </c>
      <c r="AG94" s="76">
        <f>IF(Entradas!$F$91&gt;0,IF(AF94-Escenarios!$F$38&lt;=0,0,IF(AF94-Escenarios!$F$38&gt;Escenarios!$F$37,Escenarios!$F$37,AF94-Escenarios!$F$38)),0)</f>
        <v>0.56879171969499542</v>
      </c>
      <c r="AH94" s="76">
        <f>AG94*Entradas!$F$99</f>
        <v>0</v>
      </c>
      <c r="AI94" s="76">
        <f>IF(Entradas!$F$91&gt;0,D94*Entradas!$D$23/Escenarios!$F$16,0)</f>
        <v>0.19308448139916334</v>
      </c>
      <c r="AJ94" s="76">
        <f>IF(Entradas!$F$91&gt;0,Entradas!$D$24*Entradas!$D$22/Escenarios!$F$16,0)</f>
        <v>0.12</v>
      </c>
      <c r="AK94" s="76">
        <f t="shared" si="16"/>
        <v>2.6393016170052972</v>
      </c>
      <c r="AL94" s="76">
        <f t="shared" si="17"/>
        <v>0</v>
      </c>
      <c r="AM94" s="76">
        <f t="shared" si="18"/>
        <v>0.56879171969499542</v>
      </c>
      <c r="AN94" s="76">
        <f>MAX(0,O94*Escenarios!$F$13/Escenarios!$F$16-AM94)</f>
        <v>0</v>
      </c>
      <c r="AO94" s="76">
        <f>AM94+AN94-O94*Escenarios!$F$13/Escenarios!$F$16</f>
        <v>9.7555562626781667E-2</v>
      </c>
      <c r="AP94" s="76">
        <f t="shared" si="19"/>
        <v>1.0367999999999999</v>
      </c>
      <c r="AQ94" s="76">
        <f t="shared" si="20"/>
        <v>0</v>
      </c>
      <c r="AR94" s="76">
        <f t="shared" si="21"/>
        <v>1.0367999999999999</v>
      </c>
      <c r="AS94" s="76">
        <f t="shared" si="22"/>
        <v>0.25570723829583208</v>
      </c>
      <c r="AT94" s="76">
        <f t="shared" si="23"/>
        <v>0.49808621567031186</v>
      </c>
      <c r="AU94" s="76">
        <f t="shared" si="24"/>
        <v>61.152028868135446</v>
      </c>
      <c r="AV94" s="76">
        <f>MAX(0,(AU94-Constantes!$D$13)*(1-EXP(-Constantes!$D$24)))</f>
        <v>0.18956807536376655</v>
      </c>
      <c r="AW94" s="170">
        <f>AW93+(Entradas!$F$112*AT94-AX93)/(800*Entradas!$D$25)</f>
        <v>0</v>
      </c>
      <c r="AX94" s="170">
        <f>8000*Entradas!$D$26*AW94/Constantes!$F$45</f>
        <v>0</v>
      </c>
      <c r="AY94" s="170">
        <f>IF(Escenarios!$F$17&gt;0,10*Escenarios!$F$16*AL94,0)</f>
        <v>0</v>
      </c>
      <c r="AZ94" s="170">
        <f>IF(Escenarios!$F$17&gt;0,10*Escenarios!$F$16*AX94,0)</f>
        <v>0</v>
      </c>
      <c r="BA94" s="170">
        <f>IF(Escenarios!$F$17&gt;0,0.001*Observaciones!$F93*Escenarios!$F$17,0)</f>
        <v>0</v>
      </c>
      <c r="BB94" s="170">
        <f>IF(Escenarios!$F$17&gt;0,Observaciones!$K93,0)</f>
        <v>0</v>
      </c>
      <c r="BC94" s="170">
        <f>IF(Escenarios!$F$17&gt;0,MIN(0.0005*ETo!$M93*Escenarios!$F$17*(BG93/Constantes!$F$40)^(2/3),BG93+AY94+AZ94+BA94+BB94),0)</f>
        <v>0</v>
      </c>
      <c r="BD94" s="170">
        <f>IF(Escenarios!$F$17&gt;0,MIN(Constantes!$F$39*(BG93/Constantes!$F$40)^(2/3),BG93+AY94+AZ94+BA94+BB94-BC94),0)</f>
        <v>0</v>
      </c>
      <c r="BE94" s="170">
        <f>IF(Escenarios!$F$17&gt;0,MIN(Entradas!$F$113,BG93+AY94+AZ94+BA94+BB94-BC94-BD94),0)</f>
        <v>0</v>
      </c>
      <c r="BF94" s="170">
        <f>IF(Escenarios!$F$17&gt;0,MAX(0,BG93+AY94+AZ94+BA94+BB94-BC94-BD94-BE94-Constantes!$F$40),0)</f>
        <v>0</v>
      </c>
      <c r="BG94" s="170">
        <f t="shared" si="25"/>
        <v>0</v>
      </c>
      <c r="BH94" s="170">
        <f>(Escenarios!$F$16*AK94+0.1*BC94)/(Escenarios!$F$19)</f>
        <v>2.6393016170052972</v>
      </c>
      <c r="BI94" s="170">
        <f>IF(Escenarios!$F$17&gt;0,BF94/10/Escenarios!$F$19,AL94)</f>
        <v>0</v>
      </c>
      <c r="BJ94" s="170">
        <f>(Escenarios!$F$16*AT94+0.1*BD94)/(Escenarios!$F$19)</f>
        <v>0.49808621567031186</v>
      </c>
      <c r="BK94" s="76">
        <f>BK93+(0.1*BD94)/(Escenarios!$F$19)-BL93</f>
        <v>48.75</v>
      </c>
      <c r="BL94" s="76">
        <f>MAX(0,(BK94-Constantes!$D$13)*(1-EXP(-Constantes!$D$23)))</f>
        <v>0</v>
      </c>
      <c r="BM94" s="76">
        <f t="shared" si="26"/>
        <v>1.2263680753637665</v>
      </c>
      <c r="BN94" s="76">
        <f t="shared" si="27"/>
        <v>1.2263680753637665</v>
      </c>
      <c r="BO94" s="76">
        <f>0.0526*BI94*Observaciones!$F93^1.218</f>
        <v>0</v>
      </c>
      <c r="BP94" s="76">
        <f>BO94*Constantes!$F$51</f>
        <v>0</v>
      </c>
      <c r="BQ94" s="76">
        <f t="shared" si="28"/>
        <v>0</v>
      </c>
      <c r="BR94" s="40"/>
    </row>
    <row r="95" spans="2:70">
      <c r="B95" s="39"/>
      <c r="C95" s="75">
        <v>89</v>
      </c>
      <c r="D95" s="146">
        <f>ETo!$I94*((1-Constantes!$F$19)*ETo!$K94+ETo!$L94)</f>
        <v>3.9060101530453628</v>
      </c>
      <c r="E95" s="76">
        <f>MIN(D95*Constantes!$F$17,0.8*(N94+Observaciones!$F94-F95-M95-Constantes!$D$14))</f>
        <v>2.2276435156220789</v>
      </c>
      <c r="F95" s="76">
        <f>IF(Observaciones!$F94&gt;0.05*Constantes!$F$18,((Observaciones!$F94-0.05*Constantes!$F$18)^2)/(Observaciones!$F94+0.95*Constantes!$F$18),0)</f>
        <v>0</v>
      </c>
      <c r="G95" s="76">
        <f>IF(Escenarios!$F$11&gt;0,(F95*Escenarios!$F$16*10000)/1000,0)</f>
        <v>0</v>
      </c>
      <c r="H95" s="76">
        <f>IF(Escenarios!$F$11&gt;0,(Observaciones!$F94*Constantes!$F$29)/1000,0)</f>
        <v>0</v>
      </c>
      <c r="I95" s="76">
        <f>IF(Escenarios!$F$11&gt;0,(D95*Constantes!$F$29)/1000,0)</f>
        <v>0</v>
      </c>
      <c r="J95" s="76">
        <f>IF(Escenarios!$F$11&gt;0,MAX(0,G95+H95-I95),0)</f>
        <v>0</v>
      </c>
      <c r="K95" s="76">
        <f>IF(Escenarios!$F$11&gt;0,IF(J95&gt;Constantes!$F$30,1000*((J95-Constantes!$F$30)/(Escenarios!$F$16*10000)),0),F95)</f>
        <v>0</v>
      </c>
      <c r="L95" s="76">
        <f>IF(Escenarios!$F$11&gt;0,I95*1000/Escenarios!$F$16/10000+E95,E95)</f>
        <v>2.2276435156220789</v>
      </c>
      <c r="M95" s="76">
        <f>MAX(0,N94+Observaciones!$F94-K95-Constantes!$D$13)</f>
        <v>0</v>
      </c>
      <c r="N95" s="76">
        <f>N94+Observaciones!$F94-K95-L95-M95-O94</f>
        <v>25.907293092797506</v>
      </c>
      <c r="O95" s="76">
        <f>MAX(0,(N95-Constantes!$D$14)*(1-EXP(-Constantes!$D$22)))</f>
        <v>0.49928121076518678</v>
      </c>
      <c r="P95" s="170">
        <f>P94+(Entradas!$F$83*M95-Q94)/(800*Entradas!$D$25)</f>
        <v>0</v>
      </c>
      <c r="Q95" s="170">
        <f>8000*Entradas!$D$26*P95/Constantes!$F$45</f>
        <v>0</v>
      </c>
      <c r="R95" s="170">
        <f>IF(Escenarios!$F$14&gt;0,K95*Escenarios!$F$13/Escenarios!$F$14,0)</f>
        <v>0</v>
      </c>
      <c r="S95" s="170">
        <f>IF(Escenarios!$F$14&gt;0,Q95*Escenarios!$F$13/Escenarios!$F$14,0)</f>
        <v>0</v>
      </c>
      <c r="T95" s="170">
        <f>IF(Escenarios!$F$14&gt;0,Observaciones!$I94,0)</f>
        <v>0</v>
      </c>
      <c r="U95" s="170">
        <f>IF(Escenarios!$F$14&gt;0,MAX(0,Constantes!$F$36/((Z94+R95+S95+T95+Observaciones!$F94)^2)+Entradas!$F$77),0)</f>
        <v>1.9410265021563051</v>
      </c>
      <c r="V95" s="146">
        <f>IF(ETo!D94&gt;0,ETo!I94*((1-Entradas!$F$81)*ETo!K94+ETo!L94),0)</f>
        <v>3.4562813707357249</v>
      </c>
      <c r="W95" s="170">
        <f>IF(Escenarios!$F$14&gt;0,MIN(V95*1,0.8*(Z94+R95+S95+T95+Observaciones!$F94-U95-Constantes!$F$35)),0)</f>
        <v>3.4562813707357249</v>
      </c>
      <c r="X95" s="170">
        <f>IF(Escenarios!$F$14&gt;0,Observaciones!$J94,0)</f>
        <v>0</v>
      </c>
      <c r="Y95" s="170">
        <f>IF(Escenarios!$F$14&gt;0,MAX(0,Z94+R95+S95+T95+Observaciones!$F94-U95-W95-X95-Constantes!$F$33),0)</f>
        <v>0</v>
      </c>
      <c r="Z95" s="170">
        <f>Z94+R95+S95+T95+Observaciones!$F94-U95-W95-Y95</f>
        <v>93.065892514140543</v>
      </c>
      <c r="AA95" s="170">
        <f>IF(Escenarios!$F$14&gt;0,(Escenarios!$F$13*L95+Escenarios!$F$14*W95)/(Escenarios!$F$16),L95)</f>
        <v>2.3750800582357163</v>
      </c>
      <c r="AB95" s="170">
        <f>IF(Escenarios!$F$14&gt;0,(Escenarios!$F$14*Y95)/(Escenarios!$F$16),K95)</f>
        <v>0</v>
      </c>
      <c r="AC95" s="170">
        <f>IF(Escenarios!$F$14&gt;0,(Escenarios!$F$13*M95+Escenarios!$F$14*U95)/(Escenarios!$F$16),M95)</f>
        <v>0.23292318025875661</v>
      </c>
      <c r="AD95" s="76">
        <f t="shared" si="15"/>
        <v>162.97372157596408</v>
      </c>
      <c r="AE95" s="76">
        <f>MAX(0,(AD95-Constantes!$D$13)*(1-EXP(-Constantes!$D$23)))</f>
        <v>1.1254735346588434</v>
      </c>
      <c r="AF95" s="76">
        <f>AB95+O95*Escenarios!$F$13/Escenarios!$F$16+AE95</f>
        <v>1.5648410001322077</v>
      </c>
      <c r="AG95" s="76">
        <f>IF(Entradas!$F$91&gt;0,IF(AF95-Escenarios!$F$38&lt;=0,0,IF(AF95-Escenarios!$F$38&gt;Escenarios!$F$37,Escenarios!$F$37,AF95-Escenarios!$F$38)),0)</f>
        <v>0.52804100013220778</v>
      </c>
      <c r="AH95" s="76">
        <f>AG95*Entradas!$F$99</f>
        <v>0</v>
      </c>
      <c r="AI95" s="76">
        <f>IF(Entradas!$F$91&gt;0,D95*Entradas!$D$23/Escenarios!$F$16,0)</f>
        <v>0.1874884873461774</v>
      </c>
      <c r="AJ95" s="76">
        <f>IF(Entradas!$F$91&gt;0,Entradas!$D$24*Entradas!$D$22/Escenarios!$F$16,0)</f>
        <v>0.12</v>
      </c>
      <c r="AK95" s="76">
        <f t="shared" si="16"/>
        <v>2.5625685455818936</v>
      </c>
      <c r="AL95" s="76">
        <f t="shared" si="17"/>
        <v>0</v>
      </c>
      <c r="AM95" s="76">
        <f t="shared" si="18"/>
        <v>0.52804100013220778</v>
      </c>
      <c r="AN95" s="76">
        <f>MAX(0,O95*Escenarios!$F$13/Escenarios!$F$16-AM95)</f>
        <v>0</v>
      </c>
      <c r="AO95" s="76">
        <f>AM95+AN95-O95*Escenarios!$F$13/Escenarios!$F$16</f>
        <v>8.8673534658843423E-2</v>
      </c>
      <c r="AP95" s="76">
        <f t="shared" si="19"/>
        <v>1.0367999999999999</v>
      </c>
      <c r="AQ95" s="76">
        <f t="shared" si="20"/>
        <v>0</v>
      </c>
      <c r="AR95" s="76">
        <f t="shared" si="21"/>
        <v>1.0367999999999999</v>
      </c>
      <c r="AS95" s="76">
        <f t="shared" si="22"/>
        <v>0.22055251278603039</v>
      </c>
      <c r="AT95" s="76">
        <f t="shared" si="23"/>
        <v>0.45347569304478696</v>
      </c>
      <c r="AU95" s="76">
        <f t="shared" si="24"/>
        <v>61.183013305557708</v>
      </c>
      <c r="AV95" s="76">
        <f>MAX(0,(AU95-Constantes!$D$13)*(1-EXP(-Constantes!$D$24)))</f>
        <v>0.19004168014495348</v>
      </c>
      <c r="AW95" s="170">
        <f>AW94+(Entradas!$F$112*AT95-AX94)/(800*Entradas!$D$25)</f>
        <v>0</v>
      </c>
      <c r="AX95" s="170">
        <f>8000*Entradas!$D$26*AW95/Constantes!$F$45</f>
        <v>0</v>
      </c>
      <c r="AY95" s="170">
        <f>IF(Escenarios!$F$17&gt;0,10*Escenarios!$F$16*AL95,0)</f>
        <v>0</v>
      </c>
      <c r="AZ95" s="170">
        <f>IF(Escenarios!$F$17&gt;0,10*Escenarios!$F$16*AX95,0)</f>
        <v>0</v>
      </c>
      <c r="BA95" s="170">
        <f>IF(Escenarios!$F$17&gt;0,0.001*Observaciones!$F94*Escenarios!$F$17,0)</f>
        <v>0</v>
      </c>
      <c r="BB95" s="170">
        <f>IF(Escenarios!$F$17&gt;0,Observaciones!$K94,0)</f>
        <v>0</v>
      </c>
      <c r="BC95" s="170">
        <f>IF(Escenarios!$F$17&gt;0,MIN(0.0005*ETo!$M94*Escenarios!$F$17*(BG94/Constantes!$F$40)^(2/3),BG94+AY95+AZ95+BA95+BB95),0)</f>
        <v>0</v>
      </c>
      <c r="BD95" s="170">
        <f>IF(Escenarios!$F$17&gt;0,MIN(Constantes!$F$39*(BG94/Constantes!$F$40)^(2/3),BG94+AY95+AZ95+BA95+BB95-BC95),0)</f>
        <v>0</v>
      </c>
      <c r="BE95" s="170">
        <f>IF(Escenarios!$F$17&gt;0,MIN(Entradas!$F$113,BG94+AY95+AZ95+BA95+BB95-BC95-BD95),0)</f>
        <v>0</v>
      </c>
      <c r="BF95" s="170">
        <f>IF(Escenarios!$F$17&gt;0,MAX(0,BG94+AY95+AZ95+BA95+BB95-BC95-BD95-BE95-Constantes!$F$40),0)</f>
        <v>0</v>
      </c>
      <c r="BG95" s="170">
        <f t="shared" si="25"/>
        <v>0</v>
      </c>
      <c r="BH95" s="170">
        <f>(Escenarios!$F$16*AK95+0.1*BC95)/(Escenarios!$F$19)</f>
        <v>2.5625685455818936</v>
      </c>
      <c r="BI95" s="170">
        <f>IF(Escenarios!$F$17&gt;0,BF95/10/Escenarios!$F$19,AL95)</f>
        <v>0</v>
      </c>
      <c r="BJ95" s="170">
        <f>(Escenarios!$F$16*AT95+0.1*BD95)/(Escenarios!$F$19)</f>
        <v>0.45347569304478696</v>
      </c>
      <c r="BK95" s="76">
        <f>BK94+(0.1*BD95)/(Escenarios!$F$19)-BL94</f>
        <v>48.75</v>
      </c>
      <c r="BL95" s="76">
        <f>MAX(0,(BK95-Constantes!$D$13)*(1-EXP(-Constantes!$D$23)))</f>
        <v>0</v>
      </c>
      <c r="BM95" s="76">
        <f t="shared" si="26"/>
        <v>1.2268416801449535</v>
      </c>
      <c r="BN95" s="76">
        <f t="shared" si="27"/>
        <v>1.2268416801449535</v>
      </c>
      <c r="BO95" s="76">
        <f>0.0526*BI95*Observaciones!$F94^1.218</f>
        <v>0</v>
      </c>
      <c r="BP95" s="76">
        <f>BO95*Constantes!$F$51</f>
        <v>0</v>
      </c>
      <c r="BQ95" s="76">
        <f t="shared" si="28"/>
        <v>0</v>
      </c>
      <c r="BR95" s="40"/>
    </row>
    <row r="96" spans="2:70">
      <c r="B96" s="39"/>
      <c r="C96" s="75">
        <v>90</v>
      </c>
      <c r="D96" s="146">
        <f>ETo!$I95*((1-Constantes!$F$19)*ETo!$K95+ETo!$L95)</f>
        <v>4.0230773675581739</v>
      </c>
      <c r="E96" s="76">
        <f>MIN(D96*Constantes!$F$17,0.8*(N95+Observaciones!$F95-F96-M96-Constantes!$D$14))</f>
        <v>2.2944083244892757</v>
      </c>
      <c r="F96" s="76">
        <f>IF(Observaciones!$F95&gt;0.05*Constantes!$F$18,((Observaciones!$F95-0.05*Constantes!$F$18)^2)/(Observaciones!$F95+0.95*Constantes!$F$18),0)</f>
        <v>0</v>
      </c>
      <c r="G96" s="76">
        <f>IF(Escenarios!$F$11&gt;0,(F96*Escenarios!$F$16*10000)/1000,0)</f>
        <v>0</v>
      </c>
      <c r="H96" s="76">
        <f>IF(Escenarios!$F$11&gt;0,(Observaciones!$F95*Constantes!$F$29)/1000,0)</f>
        <v>0</v>
      </c>
      <c r="I96" s="76">
        <f>IF(Escenarios!$F$11&gt;0,(D96*Constantes!$F$29)/1000,0)</f>
        <v>0</v>
      </c>
      <c r="J96" s="76">
        <f>IF(Escenarios!$F$11&gt;0,MAX(0,G96+H96-I96),0)</f>
        <v>0</v>
      </c>
      <c r="K96" s="76">
        <f>IF(Escenarios!$F$11&gt;0,IF(J96&gt;Constantes!$F$30,1000*((J96-Constantes!$F$30)/(Escenarios!$F$16*10000)),0),F96)</f>
        <v>0</v>
      </c>
      <c r="L96" s="76">
        <f>IF(Escenarios!$F$11&gt;0,I96*1000/Escenarios!$F$16/10000+E96,E96)</f>
        <v>2.2944083244892757</v>
      </c>
      <c r="M96" s="76">
        <f>MAX(0,N95+Observaciones!$F95-K96-Constantes!$D$13)</f>
        <v>0</v>
      </c>
      <c r="N96" s="76">
        <f>N95+Observaciones!$F95-K96-L96-M96-O95</f>
        <v>23.113603557543044</v>
      </c>
      <c r="O96" s="76">
        <f>MAX(0,(N96-Constantes!$D$14)*(1-EXP(-Constantes!$D$22)))</f>
        <v>0.40411788935017784</v>
      </c>
      <c r="P96" s="170">
        <f>P95+(Entradas!$F$83*M96-Q95)/(800*Entradas!$D$25)</f>
        <v>0</v>
      </c>
      <c r="Q96" s="170">
        <f>8000*Entradas!$D$26*P96/Constantes!$F$45</f>
        <v>0</v>
      </c>
      <c r="R96" s="170">
        <f>IF(Escenarios!$F$14&gt;0,K96*Escenarios!$F$13/Escenarios!$F$14,0)</f>
        <v>0</v>
      </c>
      <c r="S96" s="170">
        <f>IF(Escenarios!$F$14&gt;0,Q96*Escenarios!$F$13/Escenarios!$F$14,0)</f>
        <v>0</v>
      </c>
      <c r="T96" s="170">
        <f>IF(Escenarios!$F$14&gt;0,Observaciones!$I95,0)</f>
        <v>0</v>
      </c>
      <c r="U96" s="170">
        <f>IF(Escenarios!$F$14&gt;0,MAX(0,Constantes!$F$36/((Z95+R96+S96+T96+Observaciones!$F95)^2)+Entradas!$F$77),0)</f>
        <v>1.814635562750665</v>
      </c>
      <c r="V96" s="146">
        <f>IF(ETo!D95&gt;0,ETo!I95*((1-Entradas!$F$81)*ETo!K95+ETo!L95),0)</f>
        <v>3.5614558453591356</v>
      </c>
      <c r="W96" s="170">
        <f>IF(Escenarios!$F$14&gt;0,MIN(V96*1,0.8*(Z95+R96+S96+T96+Observaciones!$F95-U96-Constantes!$F$35)),0)</f>
        <v>3.5614558453591356</v>
      </c>
      <c r="X96" s="170">
        <f>IF(Escenarios!$F$14&gt;0,Observaciones!$J95,0)</f>
        <v>0</v>
      </c>
      <c r="Y96" s="170">
        <f>IF(Escenarios!$F$14&gt;0,MAX(0,Z95+R96+S96+T96+Observaciones!$F95-U96-W96-X96-Constantes!$F$33),0)</f>
        <v>0</v>
      </c>
      <c r="Z96" s="170">
        <f>Z95+R96+S96+T96+Observaciones!$F95-U96-W96-Y96</f>
        <v>87.689801106030743</v>
      </c>
      <c r="AA96" s="170">
        <f>IF(Escenarios!$F$14&gt;0,(Escenarios!$F$13*L96+Escenarios!$F$14*W96)/(Escenarios!$F$16),L96)</f>
        <v>2.446454026993659</v>
      </c>
      <c r="AB96" s="170">
        <f>IF(Escenarios!$F$14&gt;0,(Escenarios!$F$14*Y96)/(Escenarios!$F$16),K96)</f>
        <v>0</v>
      </c>
      <c r="AC96" s="170">
        <f>IF(Escenarios!$F$14&gt;0,(Escenarios!$F$13*M96+Escenarios!$F$14*U96)/(Escenarios!$F$16),M96)</f>
        <v>0.21775626753007979</v>
      </c>
      <c r="AD96" s="76">
        <f t="shared" si="15"/>
        <v>162.06600430883532</v>
      </c>
      <c r="AE96" s="76">
        <f>MAX(0,(AD96-Constantes!$D$13)*(1-EXP(-Constantes!$D$23)))</f>
        <v>1.1165295802244148</v>
      </c>
      <c r="AF96" s="76">
        <f>AB96+O96*Escenarios!$F$13/Escenarios!$F$16+AE96</f>
        <v>1.4721533228525714</v>
      </c>
      <c r="AG96" s="76">
        <f>IF(Entradas!$F$91&gt;0,IF(AF96-Escenarios!$F$38&lt;=0,0,IF(AF96-Escenarios!$F$38&gt;Escenarios!$F$37,Escenarios!$F$37,AF96-Escenarios!$F$38)),0)</f>
        <v>0.43535332285257144</v>
      </c>
      <c r="AH96" s="76">
        <f>AG96*Entradas!$F$99</f>
        <v>0</v>
      </c>
      <c r="AI96" s="76">
        <f>IF(Entradas!$F$91&gt;0,D96*Entradas!$D$23/Escenarios!$F$16,0)</f>
        <v>0.19310771364279236</v>
      </c>
      <c r="AJ96" s="76">
        <f>IF(Entradas!$F$91&gt;0,Entradas!$D$24*Entradas!$D$22/Escenarios!$F$16,0)</f>
        <v>0.12</v>
      </c>
      <c r="AK96" s="76">
        <f t="shared" si="16"/>
        <v>2.6395617406364513</v>
      </c>
      <c r="AL96" s="76">
        <f t="shared" si="17"/>
        <v>0</v>
      </c>
      <c r="AM96" s="76">
        <f t="shared" si="18"/>
        <v>0.43535332285257144</v>
      </c>
      <c r="AN96" s="76">
        <f>MAX(0,O96*Escenarios!$F$13/Escenarios!$F$16-AM96)</f>
        <v>0</v>
      </c>
      <c r="AO96" s="76">
        <f>AM96+AN96-O96*Escenarios!$F$13/Escenarios!$F$16</f>
        <v>7.9729580224414953E-2</v>
      </c>
      <c r="AP96" s="76">
        <f t="shared" si="19"/>
        <v>1.0367999999999999</v>
      </c>
      <c r="AQ96" s="76">
        <f t="shared" si="20"/>
        <v>0</v>
      </c>
      <c r="AR96" s="76">
        <f t="shared" si="21"/>
        <v>1.0367999999999999</v>
      </c>
      <c r="AS96" s="76">
        <f t="shared" si="22"/>
        <v>0.12224560920977909</v>
      </c>
      <c r="AT96" s="76">
        <f t="shared" si="23"/>
        <v>0.34000187673985888</v>
      </c>
      <c r="AU96" s="76">
        <f t="shared" si="24"/>
        <v>61.115217234622534</v>
      </c>
      <c r="AV96" s="76">
        <f>MAX(0,(AU96-Constantes!$D$13)*(1-EXP(-Constantes!$D$24)))</f>
        <v>0.18900540045063452</v>
      </c>
      <c r="AW96" s="170">
        <f>AW95+(Entradas!$F$112*AT96-AX95)/(800*Entradas!$D$25)</f>
        <v>0</v>
      </c>
      <c r="AX96" s="170">
        <f>8000*Entradas!$D$26*AW96/Constantes!$F$45</f>
        <v>0</v>
      </c>
      <c r="AY96" s="170">
        <f>IF(Escenarios!$F$17&gt;0,10*Escenarios!$F$16*AL96,0)</f>
        <v>0</v>
      </c>
      <c r="AZ96" s="170">
        <f>IF(Escenarios!$F$17&gt;0,10*Escenarios!$F$16*AX96,0)</f>
        <v>0</v>
      </c>
      <c r="BA96" s="170">
        <f>IF(Escenarios!$F$17&gt;0,0.001*Observaciones!$F95*Escenarios!$F$17,0)</f>
        <v>0</v>
      </c>
      <c r="BB96" s="170">
        <f>IF(Escenarios!$F$17&gt;0,Observaciones!$K95,0)</f>
        <v>0</v>
      </c>
      <c r="BC96" s="170">
        <f>IF(Escenarios!$F$17&gt;0,MIN(0.0005*ETo!$M95*Escenarios!$F$17*(BG95/Constantes!$F$40)^(2/3),BG95+AY96+AZ96+BA96+BB96),0)</f>
        <v>0</v>
      </c>
      <c r="BD96" s="170">
        <f>IF(Escenarios!$F$17&gt;0,MIN(Constantes!$F$39*(BG95/Constantes!$F$40)^(2/3),BG95+AY96+AZ96+BA96+BB96-BC96),0)</f>
        <v>0</v>
      </c>
      <c r="BE96" s="170">
        <f>IF(Escenarios!$F$17&gt;0,MIN(Entradas!$F$113,BG95+AY96+AZ96+BA96+BB96-BC96-BD96),0)</f>
        <v>0</v>
      </c>
      <c r="BF96" s="170">
        <f>IF(Escenarios!$F$17&gt;0,MAX(0,BG95+AY96+AZ96+BA96+BB96-BC96-BD96-BE96-Constantes!$F$40),0)</f>
        <v>0</v>
      </c>
      <c r="BG96" s="170">
        <f t="shared" si="25"/>
        <v>0</v>
      </c>
      <c r="BH96" s="170">
        <f>(Escenarios!$F$16*AK96+0.1*BC96)/(Escenarios!$F$19)</f>
        <v>2.6395617406364513</v>
      </c>
      <c r="BI96" s="170">
        <f>IF(Escenarios!$F$17&gt;0,BF96/10/Escenarios!$F$19,AL96)</f>
        <v>0</v>
      </c>
      <c r="BJ96" s="170">
        <f>(Escenarios!$F$16*AT96+0.1*BD96)/(Escenarios!$F$19)</f>
        <v>0.34000187673985888</v>
      </c>
      <c r="BK96" s="76">
        <f>BK95+(0.1*BD96)/(Escenarios!$F$19)-BL95</f>
        <v>48.75</v>
      </c>
      <c r="BL96" s="76">
        <f>MAX(0,(BK96-Constantes!$D$13)*(1-EXP(-Constantes!$D$23)))</f>
        <v>0</v>
      </c>
      <c r="BM96" s="76">
        <f t="shared" si="26"/>
        <v>1.2258054004506345</v>
      </c>
      <c r="BN96" s="76">
        <f t="shared" si="27"/>
        <v>1.2258054004506345</v>
      </c>
      <c r="BO96" s="76">
        <f>0.0526*BI96*Observaciones!$F95^1.218</f>
        <v>0</v>
      </c>
      <c r="BP96" s="76">
        <f>BO96*Constantes!$F$51</f>
        <v>0</v>
      </c>
      <c r="BQ96" s="76">
        <f t="shared" si="28"/>
        <v>0</v>
      </c>
      <c r="BR96" s="40"/>
    </row>
    <row r="97" spans="2:70">
      <c r="B97" s="39"/>
      <c r="C97" s="75">
        <v>91</v>
      </c>
      <c r="D97" s="146">
        <f>ETo!$I96*((1-Constantes!$F$19)*ETo!$K96+ETo!$L96)</f>
        <v>4.0061992235074513</v>
      </c>
      <c r="E97" s="76">
        <f>MIN(D97*Constantes!$F$17,0.8*(N96+Observaciones!$F96-F97-M97-Constantes!$D$14))</f>
        <v>2.2847825204905292</v>
      </c>
      <c r="F97" s="76">
        <f>IF(Observaciones!$F96&gt;0.05*Constantes!$F$18,((Observaciones!$F96-0.05*Constantes!$F$18)^2)/(Observaciones!$F96+0.95*Constantes!$F$18),0)</f>
        <v>0</v>
      </c>
      <c r="G97" s="76">
        <f>IF(Escenarios!$F$11&gt;0,(F97*Escenarios!$F$16*10000)/1000,0)</f>
        <v>0</v>
      </c>
      <c r="H97" s="76">
        <f>IF(Escenarios!$F$11&gt;0,(Observaciones!$F96*Constantes!$F$29)/1000,0)</f>
        <v>0</v>
      </c>
      <c r="I97" s="76">
        <f>IF(Escenarios!$F$11&gt;0,(D97*Constantes!$F$29)/1000,0)</f>
        <v>0</v>
      </c>
      <c r="J97" s="76">
        <f>IF(Escenarios!$F$11&gt;0,MAX(0,G97+H97-I97),0)</f>
        <v>0</v>
      </c>
      <c r="K97" s="76">
        <f>IF(Escenarios!$F$11&gt;0,IF(J97&gt;Constantes!$F$30,1000*((J97-Constantes!$F$30)/(Escenarios!$F$16*10000)),0),F97)</f>
        <v>0</v>
      </c>
      <c r="L97" s="76">
        <f>IF(Escenarios!$F$11&gt;0,I97*1000/Escenarios!$F$16/10000+E97,E97)</f>
        <v>2.2847825204905292</v>
      </c>
      <c r="M97" s="76">
        <f>MAX(0,N96+Observaciones!$F96-K97-Constantes!$D$13)</f>
        <v>0</v>
      </c>
      <c r="N97" s="76">
        <f>N96+Observaciones!$F96-K97-L97-M97-O96</f>
        <v>20.424703147702335</v>
      </c>
      <c r="O97" s="76">
        <f>MAX(0,(N97-Constantes!$D$14)*(1-EXP(-Constantes!$D$22)))</f>
        <v>0.31252407023551604</v>
      </c>
      <c r="P97" s="170">
        <f>P96+(Entradas!$F$83*M97-Q96)/(800*Entradas!$D$25)</f>
        <v>0</v>
      </c>
      <c r="Q97" s="170">
        <f>8000*Entradas!$D$26*P97/Constantes!$F$45</f>
        <v>0</v>
      </c>
      <c r="R97" s="170">
        <f>IF(Escenarios!$F$14&gt;0,K97*Escenarios!$F$13/Escenarios!$F$14,0)</f>
        <v>0</v>
      </c>
      <c r="S97" s="170">
        <f>IF(Escenarios!$F$14&gt;0,Q97*Escenarios!$F$13/Escenarios!$F$14,0)</f>
        <v>0</v>
      </c>
      <c r="T97" s="170">
        <f>IF(Escenarios!$F$14&gt;0,Observaciones!$I96,0)</f>
        <v>0</v>
      </c>
      <c r="U97" s="170">
        <f>IF(Escenarios!$F$14&gt;0,MAX(0,Constantes!$F$36/((Z96+R97+S97+T97+Observaciones!$F96)^2)+Entradas!$F$77),0)</f>
        <v>1.6648353763249688</v>
      </c>
      <c r="V97" s="146">
        <f>IF(ETo!D96&gt;0,ETo!I96*((1-Entradas!$F$81)*ETo!K96+ETo!L96),0)</f>
        <v>3.5459748602174499</v>
      </c>
      <c r="W97" s="170">
        <f>IF(Escenarios!$F$14&gt;0,MIN(V97*1,0.8*(Z96+R97+S97+T97+Observaciones!$F96-U97-Constantes!$F$35)),0)</f>
        <v>3.5459748602174499</v>
      </c>
      <c r="X97" s="170">
        <f>IF(Escenarios!$F$14&gt;0,Observaciones!$J96,0)</f>
        <v>0</v>
      </c>
      <c r="Y97" s="170">
        <f>IF(Escenarios!$F$14&gt;0,MAX(0,Z96+R97+S97+T97+Observaciones!$F96-U97-W97-X97-Constantes!$F$33),0)</f>
        <v>0</v>
      </c>
      <c r="Z97" s="170">
        <f>Z96+R97+S97+T97+Observaciones!$F96-U97-W97-Y97</f>
        <v>82.478990869488314</v>
      </c>
      <c r="AA97" s="170">
        <f>IF(Escenarios!$F$14&gt;0,(Escenarios!$F$13*L97+Escenarios!$F$14*W97)/(Escenarios!$F$16),L97)</f>
        <v>2.4361256012577597</v>
      </c>
      <c r="AB97" s="170">
        <f>IF(Escenarios!$F$14&gt;0,(Escenarios!$F$14*Y97)/(Escenarios!$F$16),K97)</f>
        <v>0</v>
      </c>
      <c r="AC97" s="170">
        <f>IF(Escenarios!$F$14&gt;0,(Escenarios!$F$13*M97+Escenarios!$F$14*U97)/(Escenarios!$F$16),M97)</f>
        <v>0.19978024515899626</v>
      </c>
      <c r="AD97" s="76">
        <f t="shared" si="15"/>
        <v>161.1492549737699</v>
      </c>
      <c r="AE97" s="76">
        <f>MAX(0,(AD97-Constantes!$D$13)*(1-EXP(-Constantes!$D$23)))</f>
        <v>1.1074966306733356</v>
      </c>
      <c r="AF97" s="76">
        <f>AB97+O97*Escenarios!$F$13/Escenarios!$F$16+AE97</f>
        <v>1.3825178124805897</v>
      </c>
      <c r="AG97" s="76">
        <f>IF(Entradas!$F$91&gt;0,IF(AF97-Escenarios!$F$38&lt;=0,0,IF(AF97-Escenarios!$F$38&gt;Escenarios!$F$37,Escenarios!$F$37,AF97-Escenarios!$F$38)),0)</f>
        <v>0.34571781248058975</v>
      </c>
      <c r="AH97" s="76">
        <f>AG97*Entradas!$F$99</f>
        <v>0</v>
      </c>
      <c r="AI97" s="76">
        <f>IF(Entradas!$F$91&gt;0,D97*Entradas!$D$23/Escenarios!$F$16,0)</f>
        <v>0.19229756272835766</v>
      </c>
      <c r="AJ97" s="76">
        <f>IF(Entradas!$F$91&gt;0,Entradas!$D$24*Entradas!$D$22/Escenarios!$F$16,0)</f>
        <v>0.12</v>
      </c>
      <c r="AK97" s="76">
        <f t="shared" si="16"/>
        <v>2.6284231639861173</v>
      </c>
      <c r="AL97" s="76">
        <f t="shared" si="17"/>
        <v>0</v>
      </c>
      <c r="AM97" s="76">
        <f t="shared" si="18"/>
        <v>0.34571781248058975</v>
      </c>
      <c r="AN97" s="76">
        <f>MAX(0,O97*Escenarios!$F$13/Escenarios!$F$16-AM97)</f>
        <v>0</v>
      </c>
      <c r="AO97" s="76">
        <f>AM97+AN97-O97*Escenarios!$F$13/Escenarios!$F$16</f>
        <v>7.0696630673335648E-2</v>
      </c>
      <c r="AP97" s="76">
        <f t="shared" si="19"/>
        <v>1.0367999999999999</v>
      </c>
      <c r="AQ97" s="76">
        <f t="shared" si="20"/>
        <v>0</v>
      </c>
      <c r="AR97" s="76">
        <f t="shared" si="21"/>
        <v>1.0367999999999999</v>
      </c>
      <c r="AS97" s="76">
        <f t="shared" si="22"/>
        <v>3.3420249752232095E-2</v>
      </c>
      <c r="AT97" s="76">
        <f t="shared" si="23"/>
        <v>0.23320049491122835</v>
      </c>
      <c r="AU97" s="76">
        <f t="shared" si="24"/>
        <v>60.959632083924134</v>
      </c>
      <c r="AV97" s="76">
        <f>MAX(0,(AU97-Constantes!$D$13)*(1-EXP(-Constantes!$D$24)))</f>
        <v>0.18662724298247574</v>
      </c>
      <c r="AW97" s="170">
        <f>AW96+(Entradas!$F$112*AT97-AX96)/(800*Entradas!$D$25)</f>
        <v>0</v>
      </c>
      <c r="AX97" s="170">
        <f>8000*Entradas!$D$26*AW97/Constantes!$F$45</f>
        <v>0</v>
      </c>
      <c r="AY97" s="170">
        <f>IF(Escenarios!$F$17&gt;0,10*Escenarios!$F$16*AL97,0)</f>
        <v>0</v>
      </c>
      <c r="AZ97" s="170">
        <f>IF(Escenarios!$F$17&gt;0,10*Escenarios!$F$16*AX97,0)</f>
        <v>0</v>
      </c>
      <c r="BA97" s="170">
        <f>IF(Escenarios!$F$17&gt;0,0.001*Observaciones!$F96*Escenarios!$F$17,0)</f>
        <v>0</v>
      </c>
      <c r="BB97" s="170">
        <f>IF(Escenarios!$F$17&gt;0,Observaciones!$K96,0)</f>
        <v>0</v>
      </c>
      <c r="BC97" s="170">
        <f>IF(Escenarios!$F$17&gt;0,MIN(0.0005*ETo!$M96*Escenarios!$F$17*(BG96/Constantes!$F$40)^(2/3),BG96+AY97+AZ97+BA97+BB97),0)</f>
        <v>0</v>
      </c>
      <c r="BD97" s="170">
        <f>IF(Escenarios!$F$17&gt;0,MIN(Constantes!$F$39*(BG96/Constantes!$F$40)^(2/3),BG96+AY97+AZ97+BA97+BB97-BC97),0)</f>
        <v>0</v>
      </c>
      <c r="BE97" s="170">
        <f>IF(Escenarios!$F$17&gt;0,MIN(Entradas!$F$113,BG96+AY97+AZ97+BA97+BB97-BC97-BD97),0)</f>
        <v>0</v>
      </c>
      <c r="BF97" s="170">
        <f>IF(Escenarios!$F$17&gt;0,MAX(0,BG96+AY97+AZ97+BA97+BB97-BC97-BD97-BE97-Constantes!$F$40),0)</f>
        <v>0</v>
      </c>
      <c r="BG97" s="170">
        <f t="shared" si="25"/>
        <v>0</v>
      </c>
      <c r="BH97" s="170">
        <f>(Escenarios!$F$16*AK97+0.1*BC97)/(Escenarios!$F$19)</f>
        <v>2.6284231639861173</v>
      </c>
      <c r="BI97" s="170">
        <f>IF(Escenarios!$F$17&gt;0,BF97/10/Escenarios!$F$19,AL97)</f>
        <v>0</v>
      </c>
      <c r="BJ97" s="170">
        <f>(Escenarios!$F$16*AT97+0.1*BD97)/(Escenarios!$F$19)</f>
        <v>0.23320049491122835</v>
      </c>
      <c r="BK97" s="76">
        <f>BK96+(0.1*BD97)/(Escenarios!$F$19)-BL96</f>
        <v>48.75</v>
      </c>
      <c r="BL97" s="76">
        <f>MAX(0,(BK97-Constantes!$D$13)*(1-EXP(-Constantes!$D$23)))</f>
        <v>0</v>
      </c>
      <c r="BM97" s="76">
        <f t="shared" si="26"/>
        <v>1.2234272429824757</v>
      </c>
      <c r="BN97" s="76">
        <f t="shared" si="27"/>
        <v>1.2234272429824757</v>
      </c>
      <c r="BO97" s="76">
        <f>0.0526*BI97*Observaciones!$F96^1.218</f>
        <v>0</v>
      </c>
      <c r="BP97" s="76">
        <f>BO97*Constantes!$F$51</f>
        <v>0</v>
      </c>
      <c r="BQ97" s="76">
        <f t="shared" si="28"/>
        <v>0</v>
      </c>
      <c r="BR97" s="40"/>
    </row>
    <row r="98" spans="2:70">
      <c r="B98" s="39"/>
      <c r="C98" s="75">
        <v>92</v>
      </c>
      <c r="D98" s="146">
        <f>ETo!$I97*((1-Constantes!$F$19)*ETo!$K97+ETo!$L97)</f>
        <v>4.0388383605505878</v>
      </c>
      <c r="E98" s="76">
        <f>MIN(D98*Constantes!$F$17,0.8*(N97+Observaciones!$F97-F98-M98-Constantes!$D$14))</f>
        <v>2.3033970041044429</v>
      </c>
      <c r="F98" s="76">
        <f>IF(Observaciones!$F97&gt;0.05*Constantes!$F$18,((Observaciones!$F97-0.05*Constantes!$F$18)^2)/(Observaciones!$F97+0.95*Constantes!$F$18),0)</f>
        <v>0</v>
      </c>
      <c r="G98" s="76">
        <f>IF(Escenarios!$F$11&gt;0,(F98*Escenarios!$F$16*10000)/1000,0)</f>
        <v>0</v>
      </c>
      <c r="H98" s="76">
        <f>IF(Escenarios!$F$11&gt;0,(Observaciones!$F97*Constantes!$F$29)/1000,0)</f>
        <v>0</v>
      </c>
      <c r="I98" s="76">
        <f>IF(Escenarios!$F$11&gt;0,(D98*Constantes!$F$29)/1000,0)</f>
        <v>0</v>
      </c>
      <c r="J98" s="76">
        <f>IF(Escenarios!$F$11&gt;0,MAX(0,G98+H98-I98),0)</f>
        <v>0</v>
      </c>
      <c r="K98" s="76">
        <f>IF(Escenarios!$F$11&gt;0,IF(J98&gt;Constantes!$F$30,1000*((J98-Constantes!$F$30)/(Escenarios!$F$16*10000)),0),F98)</f>
        <v>0</v>
      </c>
      <c r="L98" s="76">
        <f>IF(Escenarios!$F$11&gt;0,I98*1000/Escenarios!$F$16/10000+E98,E98)</f>
        <v>2.3033970041044429</v>
      </c>
      <c r="M98" s="76">
        <f>MAX(0,N97+Observaciones!$F97-K98-Constantes!$D$13)</f>
        <v>0</v>
      </c>
      <c r="N98" s="76">
        <f>N97+Observaciones!$F97-K98-L98-M98-O97</f>
        <v>17.808782073362377</v>
      </c>
      <c r="O98" s="76">
        <f>MAX(0,(N98-Constantes!$D$14)*(1-EXP(-Constantes!$D$22)))</f>
        <v>0.22341619520063519</v>
      </c>
      <c r="P98" s="170">
        <f>P97+(Entradas!$F$83*M98-Q97)/(800*Entradas!$D$25)</f>
        <v>0</v>
      </c>
      <c r="Q98" s="170">
        <f>8000*Entradas!$D$26*P98/Constantes!$F$45</f>
        <v>0</v>
      </c>
      <c r="R98" s="170">
        <f>IF(Escenarios!$F$14&gt;0,K98*Escenarios!$F$13/Escenarios!$F$14,0)</f>
        <v>0</v>
      </c>
      <c r="S98" s="170">
        <f>IF(Escenarios!$F$14&gt;0,Q98*Escenarios!$F$13/Escenarios!$F$14,0)</f>
        <v>0</v>
      </c>
      <c r="T98" s="170">
        <f>IF(Escenarios!$F$14&gt;0,Observaciones!$I97,0)</f>
        <v>0</v>
      </c>
      <c r="U98" s="170">
        <f>IF(Escenarios!$F$14&gt;0,MAX(0,Constantes!$F$36/((Z97+R98+S98+T98+Observaciones!$F97)^2)+Entradas!$F$77),0)</f>
        <v>1.4908016926120877</v>
      </c>
      <c r="V98" s="146">
        <f>IF(ETo!D97&gt;0,ETo!I97*((1-Entradas!$F$81)*ETo!K97+ETo!L97),0)</f>
        <v>3.5752429437605073</v>
      </c>
      <c r="W98" s="170">
        <f>IF(Escenarios!$F$14&gt;0,MIN(V98*1,0.8*(Z97+R98+S98+T98+Observaciones!$F97-U98-Constantes!$F$35)),0)</f>
        <v>3.5752429437605073</v>
      </c>
      <c r="X98" s="170">
        <f>IF(Escenarios!$F$14&gt;0,Observaciones!$J97,0)</f>
        <v>0</v>
      </c>
      <c r="Y98" s="170">
        <f>IF(Escenarios!$F$14&gt;0,MAX(0,Z97+R98+S98+T98+Observaciones!$F97-U98-W98-X98-Constantes!$F$33),0)</f>
        <v>0</v>
      </c>
      <c r="Z98" s="170">
        <f>Z97+R98+S98+T98+Observaciones!$F97-U98-W98-Y98</f>
        <v>77.412946233115719</v>
      </c>
      <c r="AA98" s="170">
        <f>IF(Escenarios!$F$14&gt;0,(Escenarios!$F$13*L98+Escenarios!$F$14*W98)/(Escenarios!$F$16),L98)</f>
        <v>2.4560185168631707</v>
      </c>
      <c r="AB98" s="170">
        <f>IF(Escenarios!$F$14&gt;0,(Escenarios!$F$14*Y98)/(Escenarios!$F$16),K98)</f>
        <v>0</v>
      </c>
      <c r="AC98" s="170">
        <f>IF(Escenarios!$F$14&gt;0,(Escenarios!$F$13*M98+Escenarios!$F$14*U98)/(Escenarios!$F$16),M98)</f>
        <v>0.17889620311345053</v>
      </c>
      <c r="AD98" s="76">
        <f t="shared" si="15"/>
        <v>160.22065454621003</v>
      </c>
      <c r="AE98" s="76">
        <f>MAX(0,(AD98-Constantes!$D$13)*(1-EXP(-Constantes!$D$23)))</f>
        <v>1.0983469094851981</v>
      </c>
      <c r="AF98" s="76">
        <f>AB98+O98*Escenarios!$F$13/Escenarios!$F$16+AE98</f>
        <v>1.2949531612617571</v>
      </c>
      <c r="AG98" s="76">
        <f>IF(Entradas!$F$91&gt;0,IF(AF98-Escenarios!$F$38&lt;=0,0,IF(AF98-Escenarios!$F$38&gt;Escenarios!$F$37,Escenarios!$F$37,AF98-Escenarios!$F$38)),0)</f>
        <v>0.25815316126175714</v>
      </c>
      <c r="AH98" s="76">
        <f>AG98*Entradas!$F$99</f>
        <v>0</v>
      </c>
      <c r="AI98" s="76">
        <f>IF(Entradas!$F$91&gt;0,D98*Entradas!$D$23/Escenarios!$F$16,0)</f>
        <v>0.19386424130642821</v>
      </c>
      <c r="AJ98" s="76">
        <f>IF(Entradas!$F$91&gt;0,Entradas!$D$24*Entradas!$D$22/Escenarios!$F$16,0)</f>
        <v>0.12</v>
      </c>
      <c r="AK98" s="76">
        <f t="shared" si="16"/>
        <v>2.649882758169599</v>
      </c>
      <c r="AL98" s="76">
        <f t="shared" si="17"/>
        <v>0</v>
      </c>
      <c r="AM98" s="76">
        <f t="shared" si="18"/>
        <v>0.25815316126175714</v>
      </c>
      <c r="AN98" s="76">
        <f>MAX(0,O98*Escenarios!$F$13/Escenarios!$F$16-AM98)</f>
        <v>0</v>
      </c>
      <c r="AO98" s="76">
        <f>AM98+AN98-O98*Escenarios!$F$13/Escenarios!$F$16</f>
        <v>6.154690948519817E-2</v>
      </c>
      <c r="AP98" s="76">
        <f t="shared" si="19"/>
        <v>1.0367999999999999</v>
      </c>
      <c r="AQ98" s="76">
        <f t="shared" si="20"/>
        <v>0</v>
      </c>
      <c r="AR98" s="76">
        <f t="shared" si="21"/>
        <v>1.0367999999999999</v>
      </c>
      <c r="AS98" s="76">
        <f t="shared" si="22"/>
        <v>0</v>
      </c>
      <c r="AT98" s="76">
        <f t="shared" si="23"/>
        <v>0.17889620311345053</v>
      </c>
      <c r="AU98" s="76">
        <f t="shared" si="24"/>
        <v>60.77300484094166</v>
      </c>
      <c r="AV98" s="76">
        <f>MAX(0,(AU98-Constantes!$D$13)*(1-EXP(-Constantes!$D$24)))</f>
        <v>0.18377459946432267</v>
      </c>
      <c r="AW98" s="170">
        <f>AW97+(Entradas!$F$112*AT98-AX97)/(800*Entradas!$D$25)</f>
        <v>0</v>
      </c>
      <c r="AX98" s="170">
        <f>8000*Entradas!$D$26*AW98/Constantes!$F$45</f>
        <v>0</v>
      </c>
      <c r="AY98" s="170">
        <f>IF(Escenarios!$F$17&gt;0,10*Escenarios!$F$16*AL98,0)</f>
        <v>0</v>
      </c>
      <c r="AZ98" s="170">
        <f>IF(Escenarios!$F$17&gt;0,10*Escenarios!$F$16*AX98,0)</f>
        <v>0</v>
      </c>
      <c r="BA98" s="170">
        <f>IF(Escenarios!$F$17&gt;0,0.001*Observaciones!$F97*Escenarios!$F$17,0)</f>
        <v>0</v>
      </c>
      <c r="BB98" s="170">
        <f>IF(Escenarios!$F$17&gt;0,Observaciones!$K97,0)</f>
        <v>0</v>
      </c>
      <c r="BC98" s="170">
        <f>IF(Escenarios!$F$17&gt;0,MIN(0.0005*ETo!$M97*Escenarios!$F$17*(BG97/Constantes!$F$40)^(2/3),BG97+AY98+AZ98+BA98+BB98),0)</f>
        <v>0</v>
      </c>
      <c r="BD98" s="170">
        <f>IF(Escenarios!$F$17&gt;0,MIN(Constantes!$F$39*(BG97/Constantes!$F$40)^(2/3),BG97+AY98+AZ98+BA98+BB98-BC98),0)</f>
        <v>0</v>
      </c>
      <c r="BE98" s="170">
        <f>IF(Escenarios!$F$17&gt;0,MIN(Entradas!$F$113,BG97+AY98+AZ98+BA98+BB98-BC98-BD98),0)</f>
        <v>0</v>
      </c>
      <c r="BF98" s="170">
        <f>IF(Escenarios!$F$17&gt;0,MAX(0,BG97+AY98+AZ98+BA98+BB98-BC98-BD98-BE98-Constantes!$F$40),0)</f>
        <v>0</v>
      </c>
      <c r="BG98" s="170">
        <f t="shared" si="25"/>
        <v>0</v>
      </c>
      <c r="BH98" s="170">
        <f>(Escenarios!$F$16*AK98+0.1*BC98)/(Escenarios!$F$19)</f>
        <v>2.649882758169599</v>
      </c>
      <c r="BI98" s="170">
        <f>IF(Escenarios!$F$17&gt;0,BF98/10/Escenarios!$F$19,AL98)</f>
        <v>0</v>
      </c>
      <c r="BJ98" s="170">
        <f>(Escenarios!$F$16*AT98+0.1*BD98)/(Escenarios!$F$19)</f>
        <v>0.17889620311345053</v>
      </c>
      <c r="BK98" s="76">
        <f>BK97+(0.1*BD98)/(Escenarios!$F$19)-BL97</f>
        <v>48.75</v>
      </c>
      <c r="BL98" s="76">
        <f>MAX(0,(BK98-Constantes!$D$13)*(1-EXP(-Constantes!$D$23)))</f>
        <v>0</v>
      </c>
      <c r="BM98" s="76">
        <f t="shared" si="26"/>
        <v>1.2205745994643227</v>
      </c>
      <c r="BN98" s="76">
        <f t="shared" si="27"/>
        <v>1.2205745994643227</v>
      </c>
      <c r="BO98" s="76">
        <f>0.0526*BI98*Observaciones!$F97^1.218</f>
        <v>0</v>
      </c>
      <c r="BP98" s="76">
        <f>BO98*Constantes!$F$51</f>
        <v>0</v>
      </c>
      <c r="BQ98" s="76">
        <f t="shared" si="28"/>
        <v>0</v>
      </c>
      <c r="BR98" s="40"/>
    </row>
    <row r="99" spans="2:70">
      <c r="B99" s="39"/>
      <c r="C99" s="75">
        <v>93</v>
      </c>
      <c r="D99" s="146">
        <f>ETo!$I98*((1-Constantes!$F$19)*ETo!$K98+ETo!$L98)</f>
        <v>3.9635698740396603</v>
      </c>
      <c r="E99" s="76">
        <f>MIN(D99*Constantes!$F$17,0.8*(N98+Observaciones!$F98-F99-M99-Constantes!$D$14))</f>
        <v>2.2604705012698232</v>
      </c>
      <c r="F99" s="76">
        <f>IF(Observaciones!$F98&gt;0.05*Constantes!$F$18,((Observaciones!$F98-0.05*Constantes!$F$18)^2)/(Observaciones!$F98+0.95*Constantes!$F$18),0)</f>
        <v>0</v>
      </c>
      <c r="G99" s="76">
        <f>IF(Escenarios!$F$11&gt;0,(F99*Escenarios!$F$16*10000)/1000,0)</f>
        <v>0</v>
      </c>
      <c r="H99" s="76">
        <f>IF(Escenarios!$F$11&gt;0,(Observaciones!$F98*Constantes!$F$29)/1000,0)</f>
        <v>0</v>
      </c>
      <c r="I99" s="76">
        <f>IF(Escenarios!$F$11&gt;0,(D99*Constantes!$F$29)/1000,0)</f>
        <v>0</v>
      </c>
      <c r="J99" s="76">
        <f>IF(Escenarios!$F$11&gt;0,MAX(0,G99+H99-I99),0)</f>
        <v>0</v>
      </c>
      <c r="K99" s="76">
        <f>IF(Escenarios!$F$11&gt;0,IF(J99&gt;Constantes!$F$30,1000*((J99-Constantes!$F$30)/(Escenarios!$F$16*10000)),0),F99)</f>
        <v>0</v>
      </c>
      <c r="L99" s="76">
        <f>IF(Escenarios!$F$11&gt;0,I99*1000/Escenarios!$F$16/10000+E99,E99)</f>
        <v>2.2604705012698232</v>
      </c>
      <c r="M99" s="76">
        <f>MAX(0,N98+Observaciones!$F98-K99-Constantes!$D$13)</f>
        <v>0</v>
      </c>
      <c r="N99" s="76">
        <f>N98+Observaciones!$F98-K99-L99-M99-O98</f>
        <v>15.82489537689192</v>
      </c>
      <c r="O99" s="76">
        <f>MAX(0,(N99-Constantes!$D$14)*(1-EXP(-Constantes!$D$22)))</f>
        <v>0.15583773132169088</v>
      </c>
      <c r="P99" s="170">
        <f>P98+(Entradas!$F$83*M99-Q98)/(800*Entradas!$D$25)</f>
        <v>0</v>
      </c>
      <c r="Q99" s="170">
        <f>8000*Entradas!$D$26*P99/Constantes!$F$45</f>
        <v>0</v>
      </c>
      <c r="R99" s="170">
        <f>IF(Escenarios!$F$14&gt;0,K99*Escenarios!$F$13/Escenarios!$F$14,0)</f>
        <v>0</v>
      </c>
      <c r="S99" s="170">
        <f>IF(Escenarios!$F$14&gt;0,Q99*Escenarios!$F$13/Escenarios!$F$14,0)</f>
        <v>0</v>
      </c>
      <c r="T99" s="170">
        <f>IF(Escenarios!$F$14&gt;0,Observaciones!$I98,0)</f>
        <v>0</v>
      </c>
      <c r="U99" s="170">
        <f>IF(Escenarios!$F$14&gt;0,MAX(0,Constantes!$F$36/((Z98+R99+S99+T99+Observaciones!$F98)^2)+Entradas!$F$77),0)</f>
        <v>1.3087269351179098</v>
      </c>
      <c r="V99" s="146">
        <f>IF(ETo!D98&gt;0,ETo!I98*((1-Entradas!$F$81)*ETo!K98+ETo!L98),0)</f>
        <v>3.5069942816526241</v>
      </c>
      <c r="W99" s="170">
        <f>IF(Escenarios!$F$14&gt;0,MIN(V99*1,0.8*(Z98+R99+S99+T99+Observaciones!$F98-U99-Constantes!$F$35)),0)</f>
        <v>3.5069942816526241</v>
      </c>
      <c r="X99" s="170">
        <f>IF(Escenarios!$F$14&gt;0,Observaciones!$J98,0)</f>
        <v>0</v>
      </c>
      <c r="Y99" s="170">
        <f>IF(Escenarios!$F$14&gt;0,MAX(0,Z98+R99+S99+T99+Observaciones!$F98-U99-W99-X99-Constantes!$F$33),0)</f>
        <v>0</v>
      </c>
      <c r="Z99" s="170">
        <f>Z98+R99+S99+T99+Observaciones!$F98-U99-W99-Y99</f>
        <v>73.097225016345192</v>
      </c>
      <c r="AA99" s="170">
        <f>IF(Escenarios!$F$14&gt;0,(Escenarios!$F$13*L99+Escenarios!$F$14*W99)/(Escenarios!$F$16),L99)</f>
        <v>2.4100533549157594</v>
      </c>
      <c r="AB99" s="170">
        <f>IF(Escenarios!$F$14&gt;0,(Escenarios!$F$14*Y99)/(Escenarios!$F$16),K99)</f>
        <v>0</v>
      </c>
      <c r="AC99" s="170">
        <f>IF(Escenarios!$F$14&gt;0,(Escenarios!$F$13*M99+Escenarios!$F$14*U99)/(Escenarios!$F$16),M99)</f>
        <v>0.15704723221414918</v>
      </c>
      <c r="AD99" s="76">
        <f t="shared" si="15"/>
        <v>159.27935486893898</v>
      </c>
      <c r="AE99" s="76">
        <f>MAX(0,(AD99-Constantes!$D$13)*(1-EXP(-Constantes!$D$23)))</f>
        <v>1.0890720595649306</v>
      </c>
      <c r="AF99" s="76">
        <f>AB99+O99*Escenarios!$F$13/Escenarios!$F$16+AE99</f>
        <v>1.2262092631280186</v>
      </c>
      <c r="AG99" s="76">
        <f>IF(Entradas!$F$91&gt;0,IF(AF99-Escenarios!$F$38&lt;=0,0,IF(AF99-Escenarios!$F$38&gt;Escenarios!$F$37,Escenarios!$F$37,AF99-Escenarios!$F$38)),0)</f>
        <v>0.18940926312801865</v>
      </c>
      <c r="AH99" s="76">
        <f>AG99*Entradas!$F$99</f>
        <v>0</v>
      </c>
      <c r="AI99" s="76">
        <f>IF(Entradas!$F$91&gt;0,D99*Entradas!$D$23/Escenarios!$F$16,0)</f>
        <v>0.19025135395390369</v>
      </c>
      <c r="AJ99" s="76">
        <f>IF(Entradas!$F$91&gt;0,Entradas!$D$24*Entradas!$D$22/Escenarios!$F$16,0)</f>
        <v>0.12</v>
      </c>
      <c r="AK99" s="76">
        <f t="shared" si="16"/>
        <v>2.6003047088696629</v>
      </c>
      <c r="AL99" s="76">
        <f t="shared" si="17"/>
        <v>0</v>
      </c>
      <c r="AM99" s="76">
        <f t="shared" si="18"/>
        <v>0.18940926312801865</v>
      </c>
      <c r="AN99" s="76">
        <f>MAX(0,O99*Escenarios!$F$13/Escenarios!$F$16-AM99)</f>
        <v>0</v>
      </c>
      <c r="AO99" s="76">
        <f>AM99+AN99-O99*Escenarios!$F$13/Escenarios!$F$16</f>
        <v>5.2272059564930667E-2</v>
      </c>
      <c r="AP99" s="76">
        <f t="shared" si="19"/>
        <v>1.0367999999999999</v>
      </c>
      <c r="AQ99" s="76">
        <f t="shared" si="20"/>
        <v>0</v>
      </c>
      <c r="AR99" s="76">
        <f t="shared" si="21"/>
        <v>1.0367999999999999</v>
      </c>
      <c r="AS99" s="76">
        <f t="shared" si="22"/>
        <v>0</v>
      </c>
      <c r="AT99" s="76">
        <f t="shared" si="23"/>
        <v>0.15704723221414918</v>
      </c>
      <c r="AU99" s="76">
        <f t="shared" si="24"/>
        <v>60.589230241477338</v>
      </c>
      <c r="AV99" s="76">
        <f>MAX(0,(AU99-Constantes!$D$13)*(1-EXP(-Constantes!$D$24)))</f>
        <v>0.18096555930713457</v>
      </c>
      <c r="AW99" s="170">
        <f>AW98+(Entradas!$F$112*AT99-AX98)/(800*Entradas!$D$25)</f>
        <v>0</v>
      </c>
      <c r="AX99" s="170">
        <f>8000*Entradas!$D$26*AW99/Constantes!$F$45</f>
        <v>0</v>
      </c>
      <c r="AY99" s="170">
        <f>IF(Escenarios!$F$17&gt;0,10*Escenarios!$F$16*AL99,0)</f>
        <v>0</v>
      </c>
      <c r="AZ99" s="170">
        <f>IF(Escenarios!$F$17&gt;0,10*Escenarios!$F$16*AX99,0)</f>
        <v>0</v>
      </c>
      <c r="BA99" s="170">
        <f>IF(Escenarios!$F$17&gt;0,0.001*Observaciones!$F98*Escenarios!$F$17,0)</f>
        <v>0</v>
      </c>
      <c r="BB99" s="170">
        <f>IF(Escenarios!$F$17&gt;0,Observaciones!$K98,0)</f>
        <v>0</v>
      </c>
      <c r="BC99" s="170">
        <f>IF(Escenarios!$F$17&gt;0,MIN(0.0005*ETo!$M98*Escenarios!$F$17*(BG98/Constantes!$F$40)^(2/3),BG98+AY99+AZ99+BA99+BB99),0)</f>
        <v>0</v>
      </c>
      <c r="BD99" s="170">
        <f>IF(Escenarios!$F$17&gt;0,MIN(Constantes!$F$39*(BG98/Constantes!$F$40)^(2/3),BG98+AY99+AZ99+BA99+BB99-BC99),0)</f>
        <v>0</v>
      </c>
      <c r="BE99" s="170">
        <f>IF(Escenarios!$F$17&gt;0,MIN(Entradas!$F$113,BG98+AY99+AZ99+BA99+BB99-BC99-BD99),0)</f>
        <v>0</v>
      </c>
      <c r="BF99" s="170">
        <f>IF(Escenarios!$F$17&gt;0,MAX(0,BG98+AY99+AZ99+BA99+BB99-BC99-BD99-BE99-Constantes!$F$40),0)</f>
        <v>0</v>
      </c>
      <c r="BG99" s="170">
        <f t="shared" si="25"/>
        <v>0</v>
      </c>
      <c r="BH99" s="170">
        <f>(Escenarios!$F$16*AK99+0.1*BC99)/(Escenarios!$F$19)</f>
        <v>2.6003047088696629</v>
      </c>
      <c r="BI99" s="170">
        <f>IF(Escenarios!$F$17&gt;0,BF99/10/Escenarios!$F$19,AL99)</f>
        <v>0</v>
      </c>
      <c r="BJ99" s="170">
        <f>(Escenarios!$F$16*AT99+0.1*BD99)/(Escenarios!$F$19)</f>
        <v>0.15704723221414918</v>
      </c>
      <c r="BK99" s="76">
        <f>BK98+(0.1*BD99)/(Escenarios!$F$19)-BL98</f>
        <v>48.75</v>
      </c>
      <c r="BL99" s="76">
        <f>MAX(0,(BK99-Constantes!$D$13)*(1-EXP(-Constantes!$D$23)))</f>
        <v>0</v>
      </c>
      <c r="BM99" s="76">
        <f t="shared" si="26"/>
        <v>1.2177655593071346</v>
      </c>
      <c r="BN99" s="76">
        <f t="shared" si="27"/>
        <v>1.2177655593071346</v>
      </c>
      <c r="BO99" s="76">
        <f>0.0526*BI99*Observaciones!$F98^1.218</f>
        <v>0</v>
      </c>
      <c r="BP99" s="76">
        <f>BO99*Constantes!$F$51</f>
        <v>0</v>
      </c>
      <c r="BQ99" s="76">
        <f t="shared" si="28"/>
        <v>0</v>
      </c>
      <c r="BR99" s="40"/>
    </row>
    <row r="100" spans="2:70">
      <c r="B100" s="39"/>
      <c r="C100" s="75">
        <v>94</v>
      </c>
      <c r="D100" s="146">
        <f>ETo!$I99*((1-Constantes!$F$19)*ETo!$K99+ETo!$L99)</f>
        <v>3.8927389697957597</v>
      </c>
      <c r="E100" s="76">
        <f>MIN(D100*Constantes!$F$17,0.8*(N99+Observaciones!$F99-F100-M100-Constantes!$D$14))</f>
        <v>2.2200748037774463</v>
      </c>
      <c r="F100" s="76">
        <f>IF(Observaciones!$F99&gt;0.05*Constantes!$F$18,((Observaciones!$F99-0.05*Constantes!$F$18)^2)/(Observaciones!$F99+0.95*Constantes!$F$18),0)</f>
        <v>0</v>
      </c>
      <c r="G100" s="76">
        <f>IF(Escenarios!$F$11&gt;0,(F100*Escenarios!$F$16*10000)/1000,0)</f>
        <v>0</v>
      </c>
      <c r="H100" s="76">
        <f>IF(Escenarios!$F$11&gt;0,(Observaciones!$F99*Constantes!$F$29)/1000,0)</f>
        <v>0</v>
      </c>
      <c r="I100" s="76">
        <f>IF(Escenarios!$F$11&gt;0,(D100*Constantes!$F$29)/1000,0)</f>
        <v>0</v>
      </c>
      <c r="J100" s="76">
        <f>IF(Escenarios!$F$11&gt;0,MAX(0,G100+H100-I100),0)</f>
        <v>0</v>
      </c>
      <c r="K100" s="76">
        <f>IF(Escenarios!$F$11&gt;0,IF(J100&gt;Constantes!$F$30,1000*((J100-Constantes!$F$30)/(Escenarios!$F$16*10000)),0),F100)</f>
        <v>0</v>
      </c>
      <c r="L100" s="76">
        <f>IF(Escenarios!$F$11&gt;0,I100*1000/Escenarios!$F$16/10000+E100,E100)</f>
        <v>2.2200748037774463</v>
      </c>
      <c r="M100" s="76">
        <f>MAX(0,N99+Observaciones!$F99-K100-Constantes!$D$13)</f>
        <v>0</v>
      </c>
      <c r="N100" s="76">
        <f>N99+Observaciones!$F99-K100-L100-M100-O99</f>
        <v>13.448982841792782</v>
      </c>
      <c r="O100" s="76">
        <f>MAX(0,(N100-Constantes!$D$14)*(1-EXP(-Constantes!$D$22)))</f>
        <v>7.4905428222737616E-2</v>
      </c>
      <c r="P100" s="170">
        <f>P99+(Entradas!$F$83*M100-Q99)/(800*Entradas!$D$25)</f>
        <v>0</v>
      </c>
      <c r="Q100" s="170">
        <f>8000*Entradas!$D$26*P100/Constantes!$F$45</f>
        <v>0</v>
      </c>
      <c r="R100" s="170">
        <f>IF(Escenarios!$F$14&gt;0,K100*Escenarios!$F$13/Escenarios!$F$14,0)</f>
        <v>0</v>
      </c>
      <c r="S100" s="170">
        <f>IF(Escenarios!$F$14&gt;0,Q100*Escenarios!$F$13/Escenarios!$F$14,0)</f>
        <v>0</v>
      </c>
      <c r="T100" s="170">
        <f>IF(Escenarios!$F$14&gt;0,Observaciones!$I99,0)</f>
        <v>0</v>
      </c>
      <c r="U100" s="170">
        <f>IF(Escenarios!$F$14&gt;0,MAX(0,Constantes!$F$36/((Z99+R100+S100+T100+Observaciones!$F99)^2)+Entradas!$F$77),0)</f>
        <v>1.0785406258526582</v>
      </c>
      <c r="V100" s="146">
        <f>IF(ETo!D99&gt;0,ETo!I99*((1-Entradas!$F$81)*ETo!K99+ETo!L99),0)</f>
        <v>3.4428642736443051</v>
      </c>
      <c r="W100" s="170">
        <f>IF(Escenarios!$F$14&gt;0,MIN(V100*1,0.8*(Z99+R100+S100+T100+Observaciones!$F99-U100-Constantes!$F$35)),0)</f>
        <v>3.4428642736443051</v>
      </c>
      <c r="X100" s="170">
        <f>IF(Escenarios!$F$14&gt;0,Observaciones!$J99,0)</f>
        <v>0</v>
      </c>
      <c r="Y100" s="170">
        <f>IF(Escenarios!$F$14&gt;0,MAX(0,Z99+R100+S100+T100+Observaciones!$F99-U100-W100-X100-Constantes!$F$33),0)</f>
        <v>0</v>
      </c>
      <c r="Z100" s="170">
        <f>Z99+R100+S100+T100+Observaciones!$F99-U100-W100-Y100</f>
        <v>68.575820116848234</v>
      </c>
      <c r="AA100" s="170">
        <f>IF(Escenarios!$F$14&gt;0,(Escenarios!$F$13*L100+Escenarios!$F$14*W100)/(Escenarios!$F$16),L100)</f>
        <v>2.3668095401614697</v>
      </c>
      <c r="AB100" s="170">
        <f>IF(Escenarios!$F$14&gt;0,(Escenarios!$F$14*Y100)/(Escenarios!$F$16),K100)</f>
        <v>0</v>
      </c>
      <c r="AC100" s="170">
        <f>IF(Escenarios!$F$14&gt;0,(Escenarios!$F$13*M100+Escenarios!$F$14*U100)/(Escenarios!$F$16),M100)</f>
        <v>0.12942487510231898</v>
      </c>
      <c r="AD100" s="76">
        <f t="shared" si="15"/>
        <v>158.31970768447638</v>
      </c>
      <c r="AE100" s="76">
        <f>MAX(0,(AD100-Constantes!$D$13)*(1-EXP(-Constantes!$D$23)))</f>
        <v>1.0796164272862692</v>
      </c>
      <c r="AF100" s="76">
        <f>AB100+O100*Escenarios!$F$13/Escenarios!$F$16+AE100</f>
        <v>1.1455332041222783</v>
      </c>
      <c r="AG100" s="76">
        <f>IF(Entradas!$F$91&gt;0,IF(AF100-Escenarios!$F$38&lt;=0,0,IF(AF100-Escenarios!$F$38&gt;Escenarios!$F$37,Escenarios!$F$37,AF100-Escenarios!$F$38)),0)</f>
        <v>0.10873320412227838</v>
      </c>
      <c r="AH100" s="76">
        <f>AG100*Entradas!$F$99</f>
        <v>0</v>
      </c>
      <c r="AI100" s="76">
        <f>IF(Entradas!$F$91&gt;0,D100*Entradas!$D$23/Escenarios!$F$16,0)</f>
        <v>0.18685147055019646</v>
      </c>
      <c r="AJ100" s="76">
        <f>IF(Entradas!$F$91&gt;0,Entradas!$D$24*Entradas!$D$22/Escenarios!$F$16,0)</f>
        <v>0.12</v>
      </c>
      <c r="AK100" s="76">
        <f t="shared" si="16"/>
        <v>2.5536610107116662</v>
      </c>
      <c r="AL100" s="76">
        <f t="shared" si="17"/>
        <v>0</v>
      </c>
      <c r="AM100" s="76">
        <f t="shared" si="18"/>
        <v>0.10873320412227838</v>
      </c>
      <c r="AN100" s="76">
        <f>MAX(0,O100*Escenarios!$F$13/Escenarios!$F$16-AM100)</f>
        <v>0</v>
      </c>
      <c r="AO100" s="76">
        <f>AM100+AN100-O100*Escenarios!$F$13/Escenarios!$F$16</f>
        <v>4.2816427286269276E-2</v>
      </c>
      <c r="AP100" s="76">
        <f t="shared" si="19"/>
        <v>1.0367999999999999</v>
      </c>
      <c r="AQ100" s="76">
        <f t="shared" si="20"/>
        <v>0</v>
      </c>
      <c r="AR100" s="76">
        <f t="shared" si="21"/>
        <v>1.0367999999999999</v>
      </c>
      <c r="AS100" s="76">
        <f t="shared" si="22"/>
        <v>0</v>
      </c>
      <c r="AT100" s="76">
        <f t="shared" si="23"/>
        <v>0.12942487510231898</v>
      </c>
      <c r="AU100" s="76">
        <f t="shared" si="24"/>
        <v>60.408264682170206</v>
      </c>
      <c r="AV100" s="76">
        <f>MAX(0,(AU100-Constantes!$D$13)*(1-EXP(-Constantes!$D$24)))</f>
        <v>0.17819945602276621</v>
      </c>
      <c r="AW100" s="170">
        <f>AW99+(Entradas!$F$112*AT100-AX99)/(800*Entradas!$D$25)</f>
        <v>0</v>
      </c>
      <c r="AX100" s="170">
        <f>8000*Entradas!$D$26*AW100/Constantes!$F$45</f>
        <v>0</v>
      </c>
      <c r="AY100" s="170">
        <f>IF(Escenarios!$F$17&gt;0,10*Escenarios!$F$16*AL100,0)</f>
        <v>0</v>
      </c>
      <c r="AZ100" s="170">
        <f>IF(Escenarios!$F$17&gt;0,10*Escenarios!$F$16*AX100,0)</f>
        <v>0</v>
      </c>
      <c r="BA100" s="170">
        <f>IF(Escenarios!$F$17&gt;0,0.001*Observaciones!$F99*Escenarios!$F$17,0)</f>
        <v>0</v>
      </c>
      <c r="BB100" s="170">
        <f>IF(Escenarios!$F$17&gt;0,Observaciones!$K99,0)</f>
        <v>0</v>
      </c>
      <c r="BC100" s="170">
        <f>IF(Escenarios!$F$17&gt;0,MIN(0.0005*ETo!$M99*Escenarios!$F$17*(BG99/Constantes!$F$40)^(2/3),BG99+AY100+AZ100+BA100+BB100),0)</f>
        <v>0</v>
      </c>
      <c r="BD100" s="170">
        <f>IF(Escenarios!$F$17&gt;0,MIN(Constantes!$F$39*(BG99/Constantes!$F$40)^(2/3),BG99+AY100+AZ100+BA100+BB100-BC100),0)</f>
        <v>0</v>
      </c>
      <c r="BE100" s="170">
        <f>IF(Escenarios!$F$17&gt;0,MIN(Entradas!$F$113,BG99+AY100+AZ100+BA100+BB100-BC100-BD100),0)</f>
        <v>0</v>
      </c>
      <c r="BF100" s="170">
        <f>IF(Escenarios!$F$17&gt;0,MAX(0,BG99+AY100+AZ100+BA100+BB100-BC100-BD100-BE100-Constantes!$F$40),0)</f>
        <v>0</v>
      </c>
      <c r="BG100" s="170">
        <f t="shared" si="25"/>
        <v>0</v>
      </c>
      <c r="BH100" s="170">
        <f>(Escenarios!$F$16*AK100+0.1*BC100)/(Escenarios!$F$19)</f>
        <v>2.5536610107116662</v>
      </c>
      <c r="BI100" s="170">
        <f>IF(Escenarios!$F$17&gt;0,BF100/10/Escenarios!$F$19,AL100)</f>
        <v>0</v>
      </c>
      <c r="BJ100" s="170">
        <f>(Escenarios!$F$16*AT100+0.1*BD100)/(Escenarios!$F$19)</f>
        <v>0.12942487510231898</v>
      </c>
      <c r="BK100" s="76">
        <f>BK99+(0.1*BD100)/(Escenarios!$F$19)-BL99</f>
        <v>48.75</v>
      </c>
      <c r="BL100" s="76">
        <f>MAX(0,(BK100-Constantes!$D$13)*(1-EXP(-Constantes!$D$23)))</f>
        <v>0</v>
      </c>
      <c r="BM100" s="76">
        <f t="shared" si="26"/>
        <v>1.2149994560227662</v>
      </c>
      <c r="BN100" s="76">
        <f t="shared" si="27"/>
        <v>1.2149994560227662</v>
      </c>
      <c r="BO100" s="76">
        <f>0.0526*BI100*Observaciones!$F99^1.218</f>
        <v>0</v>
      </c>
      <c r="BP100" s="76">
        <f>BO100*Constantes!$F$51</f>
        <v>0</v>
      </c>
      <c r="BQ100" s="76">
        <f t="shared" si="28"/>
        <v>0</v>
      </c>
      <c r="BR100" s="40"/>
    </row>
    <row r="101" spans="2:70">
      <c r="B101" s="39"/>
      <c r="C101" s="75">
        <v>95</v>
      </c>
      <c r="D101" s="146">
        <f>ETo!$I100*((1-Constantes!$F$19)*ETo!$K100+ETo!$L100)</f>
        <v>3.8793868084853766</v>
      </c>
      <c r="E101" s="76">
        <f>MIN(D101*Constantes!$F$17,0.8*(N100+Observaciones!$F100-F101-M101-Constantes!$D$14))</f>
        <v>1.7591862734342258</v>
      </c>
      <c r="F101" s="76">
        <f>IF(Observaciones!$F100&gt;0.05*Constantes!$F$18,((Observaciones!$F100-0.05*Constantes!$F$18)^2)/(Observaciones!$F100+0.95*Constantes!$F$18),0)</f>
        <v>0</v>
      </c>
      <c r="G101" s="76">
        <f>IF(Escenarios!$F$11&gt;0,(F101*Escenarios!$F$16*10000)/1000,0)</f>
        <v>0</v>
      </c>
      <c r="H101" s="76">
        <f>IF(Escenarios!$F$11&gt;0,(Observaciones!$F100*Constantes!$F$29)/1000,0)</f>
        <v>0</v>
      </c>
      <c r="I101" s="76">
        <f>IF(Escenarios!$F$11&gt;0,(D101*Constantes!$F$29)/1000,0)</f>
        <v>0</v>
      </c>
      <c r="J101" s="76">
        <f>IF(Escenarios!$F$11&gt;0,MAX(0,G101+H101-I101),0)</f>
        <v>0</v>
      </c>
      <c r="K101" s="76">
        <f>IF(Escenarios!$F$11&gt;0,IF(J101&gt;Constantes!$F$30,1000*((J101-Constantes!$F$30)/(Escenarios!$F$16*10000)),0),F101)</f>
        <v>0</v>
      </c>
      <c r="L101" s="76">
        <f>IF(Escenarios!$F$11&gt;0,I101*1000/Escenarios!$F$16/10000+E101,E101)</f>
        <v>1.7591862734342258</v>
      </c>
      <c r="M101" s="76">
        <f>MAX(0,N100+Observaciones!$F100-K101-Constantes!$D$13)</f>
        <v>0</v>
      </c>
      <c r="N101" s="76">
        <f>N100+Observaciones!$F100-K101-L101-M101-O100</f>
        <v>11.614891140135818</v>
      </c>
      <c r="O101" s="76">
        <f>MAX(0,(N101-Constantes!$D$14)*(1-EXP(-Constantes!$D$22)))</f>
        <v>1.2429531775824563E-2</v>
      </c>
      <c r="P101" s="170">
        <f>P100+(Entradas!$F$83*M101-Q100)/(800*Entradas!$D$25)</f>
        <v>0</v>
      </c>
      <c r="Q101" s="170">
        <f>8000*Entradas!$D$26*P101/Constantes!$F$45</f>
        <v>0</v>
      </c>
      <c r="R101" s="170">
        <f>IF(Escenarios!$F$14&gt;0,K101*Escenarios!$F$13/Escenarios!$F$14,0)</f>
        <v>0</v>
      </c>
      <c r="S101" s="170">
        <f>IF(Escenarios!$F$14&gt;0,Q101*Escenarios!$F$13/Escenarios!$F$14,0)</f>
        <v>0</v>
      </c>
      <c r="T101" s="170">
        <f>IF(Escenarios!$F$14&gt;0,Observaciones!$I100,0)</f>
        <v>0</v>
      </c>
      <c r="U101" s="170">
        <f>IF(Escenarios!$F$14&gt;0,MAX(0,Constantes!$F$36/((Z100+R101+S101+T101+Observaciones!$F100)^2)+Entradas!$F$77),0)</f>
        <v>0.81681284940745913</v>
      </c>
      <c r="V101" s="146">
        <f>IF(ETo!D100&gt;0,ETo!I100*((1-Entradas!$F$81)*ETo!K100+ETo!L100),0)</f>
        <v>3.4305494236645844</v>
      </c>
      <c r="W101" s="170">
        <f>IF(Escenarios!$F$14&gt;0,MIN(V101*1,0.8*(Z100+R101+S101+T101+Observaciones!$F100-U101-Constantes!$F$35)),0)</f>
        <v>3.4305494236645844</v>
      </c>
      <c r="X101" s="170">
        <f>IF(Escenarios!$F$14&gt;0,Observaciones!$J100,0)</f>
        <v>0</v>
      </c>
      <c r="Y101" s="170">
        <f>IF(Escenarios!$F$14&gt;0,MAX(0,Z100+R101+S101+T101+Observaciones!$F100-U101-W101-X101-Constantes!$F$33),0)</f>
        <v>0</v>
      </c>
      <c r="Z101" s="170">
        <f>Z100+R101+S101+T101+Observaciones!$F100-U101-W101-Y101</f>
        <v>64.328457843776192</v>
      </c>
      <c r="AA101" s="170">
        <f>IF(Escenarios!$F$14&gt;0,(Escenarios!$F$13*L101+Escenarios!$F$14*W101)/(Escenarios!$F$16),L101)</f>
        <v>1.9597498514618688</v>
      </c>
      <c r="AB101" s="170">
        <f>IF(Escenarios!$F$14&gt;0,(Escenarios!$F$14*Y101)/(Escenarios!$F$16),K101)</f>
        <v>0</v>
      </c>
      <c r="AC101" s="170">
        <f>IF(Escenarios!$F$14&gt;0,(Escenarios!$F$13*M101+Escenarios!$F$14*U101)/(Escenarios!$F$16),M101)</f>
        <v>9.8017541928895099E-2</v>
      </c>
      <c r="AD101" s="76">
        <f t="shared" si="15"/>
        <v>157.338108799119</v>
      </c>
      <c r="AE101" s="76">
        <f>MAX(0,(AD101-Constantes!$D$13)*(1-EXP(-Constantes!$D$23)))</f>
        <v>1.0699444996702037</v>
      </c>
      <c r="AF101" s="76">
        <f>AB101+O101*Escenarios!$F$13/Escenarios!$F$16+AE101</f>
        <v>1.0808824876329293</v>
      </c>
      <c r="AG101" s="76">
        <f>IF(Entradas!$F$91&gt;0,IF(AF101-Escenarios!$F$38&lt;=0,0,IF(AF101-Escenarios!$F$38&gt;Escenarios!$F$37,Escenarios!$F$37,AF101-Escenarios!$F$38)),0)</f>
        <v>4.4082487632929324E-2</v>
      </c>
      <c r="AH101" s="76">
        <f>AG101*Entradas!$F$99</f>
        <v>0</v>
      </c>
      <c r="AI101" s="76">
        <f>IF(Entradas!$F$91&gt;0,D101*Entradas!$D$23/Escenarios!$F$16,0)</f>
        <v>0.18621056680729808</v>
      </c>
      <c r="AJ101" s="76">
        <f>IF(Entradas!$F$91&gt;0,Entradas!$D$24*Entradas!$D$22/Escenarios!$F$16,0)</f>
        <v>0.12</v>
      </c>
      <c r="AK101" s="76">
        <f t="shared" si="16"/>
        <v>2.1459604182691669</v>
      </c>
      <c r="AL101" s="76">
        <f t="shared" si="17"/>
        <v>0</v>
      </c>
      <c r="AM101" s="76">
        <f t="shared" si="18"/>
        <v>4.4082487632929324E-2</v>
      </c>
      <c r="AN101" s="76">
        <f>MAX(0,O101*Escenarios!$F$13/Escenarios!$F$16-AM101)</f>
        <v>0</v>
      </c>
      <c r="AO101" s="76">
        <f>AM101+AN101-O101*Escenarios!$F$13/Escenarios!$F$16</f>
        <v>3.3144499670203706E-2</v>
      </c>
      <c r="AP101" s="76">
        <f t="shared" si="19"/>
        <v>1.0367999999999999</v>
      </c>
      <c r="AQ101" s="76">
        <f t="shared" si="20"/>
        <v>0</v>
      </c>
      <c r="AR101" s="76">
        <f t="shared" si="21"/>
        <v>1.0367999999999999</v>
      </c>
      <c r="AS101" s="76">
        <f t="shared" si="22"/>
        <v>0</v>
      </c>
      <c r="AT101" s="76">
        <f t="shared" si="23"/>
        <v>9.8017541928895099E-2</v>
      </c>
      <c r="AU101" s="76">
        <f t="shared" si="24"/>
        <v>60.230065226147438</v>
      </c>
      <c r="AV101" s="76">
        <f>MAX(0,(AU101-Constantes!$D$13)*(1-EXP(-Constantes!$D$24)))</f>
        <v>0.17547563331050825</v>
      </c>
      <c r="AW101" s="170">
        <f>AW100+(Entradas!$F$112*AT101-AX100)/(800*Entradas!$D$25)</f>
        <v>0</v>
      </c>
      <c r="AX101" s="170">
        <f>8000*Entradas!$D$26*AW101/Constantes!$F$45</f>
        <v>0</v>
      </c>
      <c r="AY101" s="170">
        <f>IF(Escenarios!$F$17&gt;0,10*Escenarios!$F$16*AL101,0)</f>
        <v>0</v>
      </c>
      <c r="AZ101" s="170">
        <f>IF(Escenarios!$F$17&gt;0,10*Escenarios!$F$16*AX101,0)</f>
        <v>0</v>
      </c>
      <c r="BA101" s="170">
        <f>IF(Escenarios!$F$17&gt;0,0.001*Observaciones!$F100*Escenarios!$F$17,0)</f>
        <v>0</v>
      </c>
      <c r="BB101" s="170">
        <f>IF(Escenarios!$F$17&gt;0,Observaciones!$K100,0)</f>
        <v>0</v>
      </c>
      <c r="BC101" s="170">
        <f>IF(Escenarios!$F$17&gt;0,MIN(0.0005*ETo!$M100*Escenarios!$F$17*(BG100/Constantes!$F$40)^(2/3),BG100+AY101+AZ101+BA101+BB101),0)</f>
        <v>0</v>
      </c>
      <c r="BD101" s="170">
        <f>IF(Escenarios!$F$17&gt;0,MIN(Constantes!$F$39*(BG100/Constantes!$F$40)^(2/3),BG100+AY101+AZ101+BA101+BB101-BC101),0)</f>
        <v>0</v>
      </c>
      <c r="BE101" s="170">
        <f>IF(Escenarios!$F$17&gt;0,MIN(Entradas!$F$113,BG100+AY101+AZ101+BA101+BB101-BC101-BD101),0)</f>
        <v>0</v>
      </c>
      <c r="BF101" s="170">
        <f>IF(Escenarios!$F$17&gt;0,MAX(0,BG100+AY101+AZ101+BA101+BB101-BC101-BD101-BE101-Constantes!$F$40),0)</f>
        <v>0</v>
      </c>
      <c r="BG101" s="170">
        <f t="shared" si="25"/>
        <v>0</v>
      </c>
      <c r="BH101" s="170">
        <f>(Escenarios!$F$16*AK101+0.1*BC101)/(Escenarios!$F$19)</f>
        <v>2.1459604182691669</v>
      </c>
      <c r="BI101" s="170">
        <f>IF(Escenarios!$F$17&gt;0,BF101/10/Escenarios!$F$19,AL101)</f>
        <v>0</v>
      </c>
      <c r="BJ101" s="170">
        <f>(Escenarios!$F$16*AT101+0.1*BD101)/(Escenarios!$F$19)</f>
        <v>9.8017541928895099E-2</v>
      </c>
      <c r="BK101" s="76">
        <f>BK100+(0.1*BD101)/(Escenarios!$F$19)-BL100</f>
        <v>48.75</v>
      </c>
      <c r="BL101" s="76">
        <f>MAX(0,(BK101-Constantes!$D$13)*(1-EXP(-Constantes!$D$23)))</f>
        <v>0</v>
      </c>
      <c r="BM101" s="76">
        <f t="shared" si="26"/>
        <v>1.2122756333105082</v>
      </c>
      <c r="BN101" s="76">
        <f t="shared" si="27"/>
        <v>1.2122756333105082</v>
      </c>
      <c r="BO101" s="76">
        <f>0.0526*BI101*Observaciones!$F100^1.218</f>
        <v>0</v>
      </c>
      <c r="BP101" s="76">
        <f>BO101*Constantes!$F$51</f>
        <v>0</v>
      </c>
      <c r="BQ101" s="76">
        <f t="shared" si="28"/>
        <v>0</v>
      </c>
      <c r="BR101" s="40"/>
    </row>
    <row r="102" spans="2:70">
      <c r="B102" s="39"/>
      <c r="C102" s="75">
        <v>96</v>
      </c>
      <c r="D102" s="146">
        <f>ETo!$I101*((1-Constantes!$F$19)*ETo!$K101+ETo!$L101)</f>
        <v>3.6870587586930581</v>
      </c>
      <c r="E102" s="76">
        <f>MIN(D102*Constantes!$F$17,0.8*(N101+Observaciones!$F101-F102-M102-Constantes!$D$14))</f>
        <v>0.29191291210865417</v>
      </c>
      <c r="F102" s="76">
        <f>IF(Observaciones!$F101&gt;0.05*Constantes!$F$18,((Observaciones!$F101-0.05*Constantes!$F$18)^2)/(Observaciones!$F101+0.95*Constantes!$F$18),0)</f>
        <v>0</v>
      </c>
      <c r="G102" s="76">
        <f>IF(Escenarios!$F$11&gt;0,(F102*Escenarios!$F$16*10000)/1000,0)</f>
        <v>0</v>
      </c>
      <c r="H102" s="76">
        <f>IF(Escenarios!$F$11&gt;0,(Observaciones!$F101*Constantes!$F$29)/1000,0)</f>
        <v>0</v>
      </c>
      <c r="I102" s="76">
        <f>IF(Escenarios!$F$11&gt;0,(D102*Constantes!$F$29)/1000,0)</f>
        <v>0</v>
      </c>
      <c r="J102" s="76">
        <f>IF(Escenarios!$F$11&gt;0,MAX(0,G102+H102-I102),0)</f>
        <v>0</v>
      </c>
      <c r="K102" s="76">
        <f>IF(Escenarios!$F$11&gt;0,IF(J102&gt;Constantes!$F$30,1000*((J102-Constantes!$F$30)/(Escenarios!$F$16*10000)),0),F102)</f>
        <v>0</v>
      </c>
      <c r="L102" s="76">
        <f>IF(Escenarios!$F$11&gt;0,I102*1000/Escenarios!$F$16/10000+E102,E102)</f>
        <v>0.29191291210865417</v>
      </c>
      <c r="M102" s="76">
        <f>MAX(0,N101+Observaciones!$F101-K102-Constantes!$D$13)</f>
        <v>0</v>
      </c>
      <c r="N102" s="76">
        <f>N101+Observaciones!$F101-K102-L102-M102-O101</f>
        <v>11.31054869625134</v>
      </c>
      <c r="O102" s="76">
        <f>MAX(0,(N102-Constantes!$D$14)*(1-EXP(-Constantes!$D$22)))</f>
        <v>2.0625108731350786E-3</v>
      </c>
      <c r="P102" s="170">
        <f>P101+(Entradas!$F$83*M102-Q101)/(800*Entradas!$D$25)</f>
        <v>0</v>
      </c>
      <c r="Q102" s="170">
        <f>8000*Entradas!$D$26*P102/Constantes!$F$45</f>
        <v>0</v>
      </c>
      <c r="R102" s="170">
        <f>IF(Escenarios!$F$14&gt;0,K102*Escenarios!$F$13/Escenarios!$F$14,0)</f>
        <v>0</v>
      </c>
      <c r="S102" s="170">
        <f>IF(Escenarios!$F$14&gt;0,Q102*Escenarios!$F$13/Escenarios!$F$14,0)</f>
        <v>0</v>
      </c>
      <c r="T102" s="170">
        <f>IF(Escenarios!$F$14&gt;0,Observaciones!$I101,0)</f>
        <v>0</v>
      </c>
      <c r="U102" s="170">
        <f>IF(Escenarios!$F$14&gt;0,MAX(0,Constantes!$F$36/((Z101+R102+S102+T102+Observaciones!$F101)^2)+Entradas!$F$77),0)</f>
        <v>0.51900032916000027</v>
      </c>
      <c r="V102" s="146">
        <f>IF(ETo!D101&gt;0,ETo!I101*((1-Entradas!$F$81)*ETo!K101+ETo!L101),0)</f>
        <v>3.2575833450462803</v>
      </c>
      <c r="W102" s="170">
        <f>IF(Escenarios!$F$14&gt;0,MIN(V102*1,0.8*(Z101+R102+S102+T102+Observaciones!$F101-U102-Constantes!$F$35)),0)</f>
        <v>3.2575833450462803</v>
      </c>
      <c r="X102" s="170">
        <f>IF(Escenarios!$F$14&gt;0,Observaciones!$J101,0)</f>
        <v>0</v>
      </c>
      <c r="Y102" s="170">
        <f>IF(Escenarios!$F$14&gt;0,MAX(0,Z101+R102+S102+T102+Observaciones!$F101-U102-W102-X102-Constantes!$F$33),0)</f>
        <v>0</v>
      </c>
      <c r="Z102" s="170">
        <f>Z101+R102+S102+T102+Observaciones!$F101-U102-W102-Y102</f>
        <v>60.551874169569913</v>
      </c>
      <c r="AA102" s="170">
        <f>IF(Escenarios!$F$14&gt;0,(Escenarios!$F$13*L102+Escenarios!$F$14*W102)/(Escenarios!$F$16),L102)</f>
        <v>0.64779336406116927</v>
      </c>
      <c r="AB102" s="170">
        <f>IF(Escenarios!$F$14&gt;0,(Escenarios!$F$14*Y102)/(Escenarios!$F$16),K102)</f>
        <v>0</v>
      </c>
      <c r="AC102" s="170">
        <f>IF(Escenarios!$F$14&gt;0,(Escenarios!$F$13*M102+Escenarios!$F$14*U102)/(Escenarios!$F$16),M102)</f>
        <v>6.2280039499200031E-2</v>
      </c>
      <c r="AD102" s="76">
        <f t="shared" si="15"/>
        <v>156.33044433894798</v>
      </c>
      <c r="AE102" s="76">
        <f>MAX(0,(AD102-Constantes!$D$13)*(1-EXP(-Constantes!$D$23)))</f>
        <v>1.060015741737163</v>
      </c>
      <c r="AF102" s="76">
        <f>AB102+O102*Escenarios!$F$13/Escenarios!$F$16+AE102</f>
        <v>1.0618307513055218</v>
      </c>
      <c r="AG102" s="76">
        <f>IF(Entradas!$F$91&gt;0,IF(AF102-Escenarios!$F$38&lt;=0,0,IF(AF102-Escenarios!$F$38&gt;Escenarios!$F$37,Escenarios!$F$37,AF102-Escenarios!$F$38)),0)</f>
        <v>2.5030751305521903E-2</v>
      </c>
      <c r="AH102" s="76">
        <f>AG102*Entradas!$F$99</f>
        <v>0</v>
      </c>
      <c r="AI102" s="76">
        <f>IF(Entradas!$F$91&gt;0,D102*Entradas!$D$23/Escenarios!$F$16,0)</f>
        <v>0.17697882041726679</v>
      </c>
      <c r="AJ102" s="76">
        <f>IF(Entradas!$F$91&gt;0,Entradas!$D$24*Entradas!$D$22/Escenarios!$F$16,0)</f>
        <v>0.12</v>
      </c>
      <c r="AK102" s="76">
        <f t="shared" si="16"/>
        <v>0.82477218447843603</v>
      </c>
      <c r="AL102" s="76">
        <f t="shared" si="17"/>
        <v>0</v>
      </c>
      <c r="AM102" s="76">
        <f t="shared" si="18"/>
        <v>2.5030751305521903E-2</v>
      </c>
      <c r="AN102" s="76">
        <f>MAX(0,O102*Escenarios!$F$13/Escenarios!$F$16-AM102)</f>
        <v>0</v>
      </c>
      <c r="AO102" s="76">
        <f>AM102+AN102-O102*Escenarios!$F$13/Escenarios!$F$16</f>
        <v>2.3215741737163034E-2</v>
      </c>
      <c r="AP102" s="76">
        <f t="shared" si="19"/>
        <v>1.0367999999999999</v>
      </c>
      <c r="AQ102" s="76">
        <f t="shared" si="20"/>
        <v>0</v>
      </c>
      <c r="AR102" s="76">
        <f t="shared" si="21"/>
        <v>1.0367999999999999</v>
      </c>
      <c r="AS102" s="76">
        <f t="shared" si="22"/>
        <v>0</v>
      </c>
      <c r="AT102" s="76">
        <f t="shared" si="23"/>
        <v>6.2280039499200031E-2</v>
      </c>
      <c r="AU102" s="76">
        <f t="shared" si="24"/>
        <v>60.054589592836933</v>
      </c>
      <c r="AV102" s="76">
        <f>MAX(0,(AU102-Constantes!$D$13)*(1-EXP(-Constantes!$D$24)))</f>
        <v>0.17279344490137005</v>
      </c>
      <c r="AW102" s="170">
        <f>AW101+(Entradas!$F$112*AT102-AX101)/(800*Entradas!$D$25)</f>
        <v>0</v>
      </c>
      <c r="AX102" s="170">
        <f>8000*Entradas!$D$26*AW102/Constantes!$F$45</f>
        <v>0</v>
      </c>
      <c r="AY102" s="170">
        <f>IF(Escenarios!$F$17&gt;0,10*Escenarios!$F$16*AL102,0)</f>
        <v>0</v>
      </c>
      <c r="AZ102" s="170">
        <f>IF(Escenarios!$F$17&gt;0,10*Escenarios!$F$16*AX102,0)</f>
        <v>0</v>
      </c>
      <c r="BA102" s="170">
        <f>IF(Escenarios!$F$17&gt;0,0.001*Observaciones!$F101*Escenarios!$F$17,0)</f>
        <v>0</v>
      </c>
      <c r="BB102" s="170">
        <f>IF(Escenarios!$F$17&gt;0,Observaciones!$K101,0)</f>
        <v>0</v>
      </c>
      <c r="BC102" s="170">
        <f>IF(Escenarios!$F$17&gt;0,MIN(0.0005*ETo!$M101*Escenarios!$F$17*(BG101/Constantes!$F$40)^(2/3),BG101+AY102+AZ102+BA102+BB102),0)</f>
        <v>0</v>
      </c>
      <c r="BD102" s="170">
        <f>IF(Escenarios!$F$17&gt;0,MIN(Constantes!$F$39*(BG101/Constantes!$F$40)^(2/3),BG101+AY102+AZ102+BA102+BB102-BC102),0)</f>
        <v>0</v>
      </c>
      <c r="BE102" s="170">
        <f>IF(Escenarios!$F$17&gt;0,MIN(Entradas!$F$113,BG101+AY102+AZ102+BA102+BB102-BC102-BD102),0)</f>
        <v>0</v>
      </c>
      <c r="BF102" s="170">
        <f>IF(Escenarios!$F$17&gt;0,MAX(0,BG101+AY102+AZ102+BA102+BB102-BC102-BD102-BE102-Constantes!$F$40),0)</f>
        <v>0</v>
      </c>
      <c r="BG102" s="170">
        <f t="shared" si="25"/>
        <v>0</v>
      </c>
      <c r="BH102" s="170">
        <f>(Escenarios!$F$16*AK102+0.1*BC102)/(Escenarios!$F$19)</f>
        <v>0.82477218447843614</v>
      </c>
      <c r="BI102" s="170">
        <f>IF(Escenarios!$F$17&gt;0,BF102/10/Escenarios!$F$19,AL102)</f>
        <v>0</v>
      </c>
      <c r="BJ102" s="170">
        <f>(Escenarios!$F$16*AT102+0.1*BD102)/(Escenarios!$F$19)</f>
        <v>6.2280039499200031E-2</v>
      </c>
      <c r="BK102" s="76">
        <f>BK101+(0.1*BD102)/(Escenarios!$F$19)-BL101</f>
        <v>48.75</v>
      </c>
      <c r="BL102" s="76">
        <f>MAX(0,(BK102-Constantes!$D$13)*(1-EXP(-Constantes!$D$23)))</f>
        <v>0</v>
      </c>
      <c r="BM102" s="76">
        <f t="shared" si="26"/>
        <v>1.2095934449013699</v>
      </c>
      <c r="BN102" s="76">
        <f t="shared" si="27"/>
        <v>1.2095934449013699</v>
      </c>
      <c r="BO102" s="76">
        <f>0.0526*BI102*Observaciones!$F101^1.218</f>
        <v>0</v>
      </c>
      <c r="BP102" s="76">
        <f>BO102*Constantes!$F$51</f>
        <v>0</v>
      </c>
      <c r="BQ102" s="76">
        <f t="shared" si="28"/>
        <v>0</v>
      </c>
      <c r="BR102" s="40"/>
    </row>
    <row r="103" spans="2:70">
      <c r="B103" s="39"/>
      <c r="C103" s="75">
        <v>97</v>
      </c>
      <c r="D103" s="146">
        <f>ETo!$I102*((1-Constantes!$F$19)*ETo!$K102+ETo!$L102)</f>
        <v>3.7103726391610499</v>
      </c>
      <c r="E103" s="76">
        <f>MIN(D103*Constantes!$F$17,0.8*(N102+Observaciones!$F102-F103-M103-Constantes!$D$14))</f>
        <v>0.2084389570010714</v>
      </c>
      <c r="F103" s="76">
        <f>IF(Observaciones!$F102&gt;0.05*Constantes!$F$18,((Observaciones!$F102-0.05*Constantes!$F$18)^2)/(Observaciones!$F102+0.95*Constantes!$F$18),0)</f>
        <v>0</v>
      </c>
      <c r="G103" s="76">
        <f>IF(Escenarios!$F$11&gt;0,(F103*Escenarios!$F$16*10000)/1000,0)</f>
        <v>0</v>
      </c>
      <c r="H103" s="76">
        <f>IF(Escenarios!$F$11&gt;0,(Observaciones!$F102*Constantes!$F$29)/1000,0)</f>
        <v>0</v>
      </c>
      <c r="I103" s="76">
        <f>IF(Escenarios!$F$11&gt;0,(D103*Constantes!$F$29)/1000,0)</f>
        <v>0</v>
      </c>
      <c r="J103" s="76">
        <f>IF(Escenarios!$F$11&gt;0,MAX(0,G103+H103-I103),0)</f>
        <v>0</v>
      </c>
      <c r="K103" s="76">
        <f>IF(Escenarios!$F$11&gt;0,IF(J103&gt;Constantes!$F$30,1000*((J103-Constantes!$F$30)/(Escenarios!$F$16*10000)),0),F103)</f>
        <v>0</v>
      </c>
      <c r="L103" s="76">
        <f>IF(Escenarios!$F$11&gt;0,I103*1000/Escenarios!$F$16/10000+E103,E103)</f>
        <v>0.2084389570010714</v>
      </c>
      <c r="M103" s="76">
        <f>MAX(0,N102+Observaciones!$F102-K103-Constantes!$D$13)</f>
        <v>0</v>
      </c>
      <c r="N103" s="76">
        <f>N102+Observaciones!$F102-K103-L103-M103-O102</f>
        <v>11.300047228377133</v>
      </c>
      <c r="O103" s="76">
        <f>MAX(0,(N103-Constantes!$D$14)*(1-EXP(-Constantes!$D$22)))</f>
        <v>1.7047923256618047E-3</v>
      </c>
      <c r="P103" s="170">
        <f>P102+(Entradas!$F$83*M103-Q102)/(800*Entradas!$D$25)</f>
        <v>0</v>
      </c>
      <c r="Q103" s="170">
        <f>8000*Entradas!$D$26*P103/Constantes!$F$45</f>
        <v>0</v>
      </c>
      <c r="R103" s="170">
        <f>IF(Escenarios!$F$14&gt;0,K103*Escenarios!$F$13/Escenarios!$F$14,0)</f>
        <v>0</v>
      </c>
      <c r="S103" s="170">
        <f>IF(Escenarios!$F$14&gt;0,Q103*Escenarios!$F$13/Escenarios!$F$14,0)</f>
        <v>0</v>
      </c>
      <c r="T103" s="170">
        <f>IF(Escenarios!$F$14&gt;0,Observaciones!$I102,0)</f>
        <v>0</v>
      </c>
      <c r="U103" s="170">
        <f>IF(Escenarios!$F$14&gt;0,MAX(0,Constantes!$F$36/((Z102+R103+S103+T103+Observaciones!$F102)^2)+Entradas!$F$77),0)</f>
        <v>0.21827863367753375</v>
      </c>
      <c r="V103" s="146">
        <f>IF(ETo!D102&gt;0,ETo!I102*((1-Entradas!$F$81)*ETo!K102+ETo!L102),0)</f>
        <v>3.2780739147101241</v>
      </c>
      <c r="W103" s="170">
        <f>IF(Escenarios!$F$14&gt;0,MIN(V103*1,0.8*(Z102+R103+S103+T103+Observaciones!$F102-U103-Constantes!$F$35)),0)</f>
        <v>3.2780739147101241</v>
      </c>
      <c r="X103" s="170">
        <f>IF(Escenarios!$F$14&gt;0,Observaciones!$J102,0)</f>
        <v>0</v>
      </c>
      <c r="Y103" s="170">
        <f>IF(Escenarios!$F$14&gt;0,MAX(0,Z102+R103+S103+T103+Observaciones!$F102-U103-W103-X103-Constantes!$F$33),0)</f>
        <v>0</v>
      </c>
      <c r="Z103" s="170">
        <f>Z102+R103+S103+T103+Observaciones!$F102-U103-W103-Y103</f>
        <v>57.255521621182254</v>
      </c>
      <c r="AA103" s="170">
        <f>IF(Escenarios!$F$14&gt;0,(Escenarios!$F$13*L103+Escenarios!$F$14*W103)/(Escenarios!$F$16),L103)</f>
        <v>0.57679515192615771</v>
      </c>
      <c r="AB103" s="170">
        <f>IF(Escenarios!$F$14&gt;0,(Escenarios!$F$14*Y103)/(Escenarios!$F$16),K103)</f>
        <v>0</v>
      </c>
      <c r="AC103" s="170">
        <f>IF(Escenarios!$F$14&gt;0,(Escenarios!$F$13*M103+Escenarios!$F$14*U103)/(Escenarios!$F$16),M103)</f>
        <v>2.6193436041304051E-2</v>
      </c>
      <c r="AD103" s="76">
        <f t="shared" si="15"/>
        <v>155.29662203325211</v>
      </c>
      <c r="AE103" s="76">
        <f>MAX(0,(AD103-Constantes!$D$13)*(1-EXP(-Constantes!$D$23)))</f>
        <v>1.0498292443218527</v>
      </c>
      <c r="AF103" s="76">
        <f>AB103+O103*Escenarios!$F$13/Escenarios!$F$16+AE103</f>
        <v>1.051329461568435</v>
      </c>
      <c r="AG103" s="76">
        <f>IF(Entradas!$F$91&gt;0,IF(AF103-Escenarios!$F$38&lt;=0,0,IF(AF103-Escenarios!$F$38&gt;Escenarios!$F$37,Escenarios!$F$37,AF103-Escenarios!$F$38)),0)</f>
        <v>1.4529461568435043E-2</v>
      </c>
      <c r="AH103" s="76">
        <f>AG103*Entradas!$F$99</f>
        <v>0</v>
      </c>
      <c r="AI103" s="76">
        <f>IF(Entradas!$F$91&gt;0,D103*Entradas!$D$23/Escenarios!$F$16,0)</f>
        <v>0.17809788667973037</v>
      </c>
      <c r="AJ103" s="76">
        <f>IF(Entradas!$F$91&gt;0,Entradas!$D$24*Entradas!$D$22/Escenarios!$F$16,0)</f>
        <v>0.12</v>
      </c>
      <c r="AK103" s="76">
        <f t="shared" si="16"/>
        <v>0.75489303860588808</v>
      </c>
      <c r="AL103" s="76">
        <f t="shared" si="17"/>
        <v>0</v>
      </c>
      <c r="AM103" s="76">
        <f t="shared" si="18"/>
        <v>1.4529461568435043E-2</v>
      </c>
      <c r="AN103" s="76">
        <f>MAX(0,O103*Escenarios!$F$13/Escenarios!$F$16-AM103)</f>
        <v>0</v>
      </c>
      <c r="AO103" s="76">
        <f>AM103+AN103-O103*Escenarios!$F$13/Escenarios!$F$16</f>
        <v>1.3029244321852654E-2</v>
      </c>
      <c r="AP103" s="76">
        <f t="shared" si="19"/>
        <v>1.0367999999999999</v>
      </c>
      <c r="AQ103" s="76">
        <f t="shared" si="20"/>
        <v>0</v>
      </c>
      <c r="AR103" s="76">
        <f t="shared" si="21"/>
        <v>1.0367999999999999</v>
      </c>
      <c r="AS103" s="76">
        <f t="shared" si="22"/>
        <v>0</v>
      </c>
      <c r="AT103" s="76">
        <f t="shared" si="23"/>
        <v>2.6193436041304051E-2</v>
      </c>
      <c r="AU103" s="76">
        <f t="shared" si="24"/>
        <v>59.88179614793556</v>
      </c>
      <c r="AV103" s="76">
        <f>MAX(0,(AU103-Constantes!$D$13)*(1-EXP(-Constantes!$D$24)))</f>
        <v>0.1701522544047418</v>
      </c>
      <c r="AW103" s="170">
        <f>AW102+(Entradas!$F$112*AT103-AX102)/(800*Entradas!$D$25)</f>
        <v>0</v>
      </c>
      <c r="AX103" s="170">
        <f>8000*Entradas!$D$26*AW103/Constantes!$F$45</f>
        <v>0</v>
      </c>
      <c r="AY103" s="170">
        <f>IF(Escenarios!$F$17&gt;0,10*Escenarios!$F$16*AL103,0)</f>
        <v>0</v>
      </c>
      <c r="AZ103" s="170">
        <f>IF(Escenarios!$F$17&gt;0,10*Escenarios!$F$16*AX103,0)</f>
        <v>0</v>
      </c>
      <c r="BA103" s="170">
        <f>IF(Escenarios!$F$17&gt;0,0.001*Observaciones!$F102*Escenarios!$F$17,0)</f>
        <v>0</v>
      </c>
      <c r="BB103" s="170">
        <f>IF(Escenarios!$F$17&gt;0,Observaciones!$K102,0)</f>
        <v>0</v>
      </c>
      <c r="BC103" s="170">
        <f>IF(Escenarios!$F$17&gt;0,MIN(0.0005*ETo!$M102*Escenarios!$F$17*(BG102/Constantes!$F$40)^(2/3),BG102+AY103+AZ103+BA103+BB103),0)</f>
        <v>0</v>
      </c>
      <c r="BD103" s="170">
        <f>IF(Escenarios!$F$17&gt;0,MIN(Constantes!$F$39*(BG102/Constantes!$F$40)^(2/3),BG102+AY103+AZ103+BA103+BB103-BC103),0)</f>
        <v>0</v>
      </c>
      <c r="BE103" s="170">
        <f>IF(Escenarios!$F$17&gt;0,MIN(Entradas!$F$113,BG102+AY103+AZ103+BA103+BB103-BC103-BD103),0)</f>
        <v>0</v>
      </c>
      <c r="BF103" s="170">
        <f>IF(Escenarios!$F$17&gt;0,MAX(0,BG102+AY103+AZ103+BA103+BB103-BC103-BD103-BE103-Constantes!$F$40),0)</f>
        <v>0</v>
      </c>
      <c r="BG103" s="170">
        <f t="shared" si="25"/>
        <v>0</v>
      </c>
      <c r="BH103" s="170">
        <f>(Escenarios!$F$16*AK103+0.1*BC103)/(Escenarios!$F$19)</f>
        <v>0.75489303860588808</v>
      </c>
      <c r="BI103" s="170">
        <f>IF(Escenarios!$F$17&gt;0,BF103/10/Escenarios!$F$19,AL103)</f>
        <v>0</v>
      </c>
      <c r="BJ103" s="170">
        <f>(Escenarios!$F$16*AT103+0.1*BD103)/(Escenarios!$F$19)</f>
        <v>2.6193436041304051E-2</v>
      </c>
      <c r="BK103" s="76">
        <f>BK102+(0.1*BD103)/(Escenarios!$F$19)-BL102</f>
        <v>48.75</v>
      </c>
      <c r="BL103" s="76">
        <f>MAX(0,(BK103-Constantes!$D$13)*(1-EXP(-Constantes!$D$23)))</f>
        <v>0</v>
      </c>
      <c r="BM103" s="76">
        <f t="shared" si="26"/>
        <v>1.2069522544047417</v>
      </c>
      <c r="BN103" s="76">
        <f t="shared" si="27"/>
        <v>1.2069522544047417</v>
      </c>
      <c r="BO103" s="76">
        <f>0.0526*BI103*Observaciones!$F102^1.218</f>
        <v>0</v>
      </c>
      <c r="BP103" s="76">
        <f>BO103*Constantes!$F$51</f>
        <v>0</v>
      </c>
      <c r="BQ103" s="76">
        <f t="shared" si="28"/>
        <v>0</v>
      </c>
      <c r="BR103" s="40"/>
    </row>
    <row r="104" spans="2:70">
      <c r="B104" s="39"/>
      <c r="C104" s="75">
        <v>98</v>
      </c>
      <c r="D104" s="146">
        <f>ETo!$I103*((1-Constantes!$F$19)*ETo!$K103+ETo!$L103)</f>
        <v>3.7090604128889897</v>
      </c>
      <c r="E104" s="76">
        <f>MIN(D104*Constantes!$F$17,0.8*(N103+Observaciones!$F103-F104-M104-Constantes!$D$14))</f>
        <v>4.0037782701706708E-2</v>
      </c>
      <c r="F104" s="76">
        <f>IF(Observaciones!$F103&gt;0.05*Constantes!$F$18,((Observaciones!$F103-0.05*Constantes!$F$18)^2)/(Observaciones!$F103+0.95*Constantes!$F$18),0)</f>
        <v>0</v>
      </c>
      <c r="G104" s="76">
        <f>IF(Escenarios!$F$11&gt;0,(F104*Escenarios!$F$16*10000)/1000,0)</f>
        <v>0</v>
      </c>
      <c r="H104" s="76">
        <f>IF(Escenarios!$F$11&gt;0,(Observaciones!$F103*Constantes!$F$29)/1000,0)</f>
        <v>0</v>
      </c>
      <c r="I104" s="76">
        <f>IF(Escenarios!$F$11&gt;0,(D104*Constantes!$F$29)/1000,0)</f>
        <v>0</v>
      </c>
      <c r="J104" s="76">
        <f>IF(Escenarios!$F$11&gt;0,MAX(0,G104+H104-I104),0)</f>
        <v>0</v>
      </c>
      <c r="K104" s="76">
        <f>IF(Escenarios!$F$11&gt;0,IF(J104&gt;Constantes!$F$30,1000*((J104-Constantes!$F$30)/(Escenarios!$F$16*10000)),0),F104)</f>
        <v>0</v>
      </c>
      <c r="L104" s="76">
        <f>IF(Escenarios!$F$11&gt;0,I104*1000/Escenarios!$F$16/10000+E104,E104)</f>
        <v>4.0037782701706708E-2</v>
      </c>
      <c r="M104" s="76">
        <f>MAX(0,N103+Observaciones!$F103-K104-Constantes!$D$13)</f>
        <v>0</v>
      </c>
      <c r="N104" s="76">
        <f>N103+Observaciones!$F103-K104-L104-M104-O103</f>
        <v>11.258304653349766</v>
      </c>
      <c r="O104" s="76">
        <f>MAX(0,(N104-Constantes!$D$14)*(1-EXP(-Constantes!$D$22)))</f>
        <v>2.8288698009961349E-4</v>
      </c>
      <c r="P104" s="170">
        <f>P103+(Entradas!$F$83*M104-Q103)/(800*Entradas!$D$25)</f>
        <v>0</v>
      </c>
      <c r="Q104" s="170">
        <f>8000*Entradas!$D$26*P104/Constantes!$F$45</f>
        <v>0</v>
      </c>
      <c r="R104" s="170">
        <f>IF(Escenarios!$F$14&gt;0,K104*Escenarios!$F$13/Escenarios!$F$14,0)</f>
        <v>0</v>
      </c>
      <c r="S104" s="170">
        <f>IF(Escenarios!$F$14&gt;0,Q104*Escenarios!$F$13/Escenarios!$F$14,0)</f>
        <v>0</v>
      </c>
      <c r="T104" s="170">
        <f>IF(Escenarios!$F$14&gt;0,Observaciones!$I103,0)</f>
        <v>0</v>
      </c>
      <c r="U104" s="170">
        <f>IF(Escenarios!$F$14&gt;0,MAX(0,Constantes!$F$36/((Z103+R104+S104+T104+Observaciones!$F103)^2)+Entradas!$F$77),0)</f>
        <v>0</v>
      </c>
      <c r="V104" s="146">
        <f>IF(ETo!D103&gt;0,ETo!I103*((1-Entradas!$F$81)*ETo!K103+ETo!L103),0)</f>
        <v>3.2765284956043299</v>
      </c>
      <c r="W104" s="170">
        <f>IF(Escenarios!$F$14&gt;0,MIN(V104*1,0.8*(Z103+R104+S104+T104+Observaciones!$F103-U104-Constantes!$F$35)),0)</f>
        <v>3.2765284956043299</v>
      </c>
      <c r="X104" s="170">
        <f>IF(Escenarios!$F$14&gt;0,Observaciones!$J103,0)</f>
        <v>0</v>
      </c>
      <c r="Y104" s="170">
        <f>IF(Escenarios!$F$14&gt;0,MAX(0,Z103+R104+S104+T104+Observaciones!$F103-U104-W104-X104-Constantes!$F$33),0)</f>
        <v>0</v>
      </c>
      <c r="Z104" s="170">
        <f>Z103+R104+S104+T104+Observaciones!$F103-U104-W104-Y104</f>
        <v>53.978993125577922</v>
      </c>
      <c r="AA104" s="170">
        <f>IF(Escenarios!$F$14&gt;0,(Escenarios!$F$13*L104+Escenarios!$F$14*W104)/(Escenarios!$F$16),L104)</f>
        <v>0.42841666825002145</v>
      </c>
      <c r="AB104" s="170">
        <f>IF(Escenarios!$F$14&gt;0,(Escenarios!$F$14*Y104)/(Escenarios!$F$16),K104)</f>
        <v>0</v>
      </c>
      <c r="AC104" s="170">
        <f>IF(Escenarios!$F$14&gt;0,(Escenarios!$F$13*M104+Escenarios!$F$14*U104)/(Escenarios!$F$16),M104)</f>
        <v>0</v>
      </c>
      <c r="AD104" s="76">
        <f t="shared" si="15"/>
        <v>154.24679278893026</v>
      </c>
      <c r="AE104" s="76">
        <f>MAX(0,(AD104-Constantes!$D$13)*(1-EXP(-Constantes!$D$23)))</f>
        <v>1.0394850267277047</v>
      </c>
      <c r="AF104" s="76">
        <f>AB104+O104*Escenarios!$F$13/Escenarios!$F$16+AE104</f>
        <v>1.0397339672701924</v>
      </c>
      <c r="AG104" s="76">
        <f>IF(Entradas!$F$91&gt;0,IF(AF104-Escenarios!$F$38&lt;=0,0,IF(AF104-Escenarios!$F$38&gt;Escenarios!$F$37,Escenarios!$F$37,AF104-Escenarios!$F$38)),0)</f>
        <v>2.9339672701924613E-3</v>
      </c>
      <c r="AH104" s="76">
        <f>AG104*Entradas!$F$99</f>
        <v>0</v>
      </c>
      <c r="AI104" s="76">
        <f>IF(Entradas!$F$91&gt;0,D104*Entradas!$D$23/Escenarios!$F$16,0)</f>
        <v>0.17803489981867152</v>
      </c>
      <c r="AJ104" s="76">
        <f>IF(Entradas!$F$91&gt;0,Entradas!$D$24*Entradas!$D$22/Escenarios!$F$16,0)</f>
        <v>0.12</v>
      </c>
      <c r="AK104" s="76">
        <f t="shared" si="16"/>
        <v>0.60645156806869294</v>
      </c>
      <c r="AL104" s="76">
        <f t="shared" si="17"/>
        <v>0</v>
      </c>
      <c r="AM104" s="76">
        <f t="shared" si="18"/>
        <v>2.9339672701924613E-3</v>
      </c>
      <c r="AN104" s="76">
        <f>MAX(0,O104*Escenarios!$F$13/Escenarios!$F$16-AM104)</f>
        <v>0</v>
      </c>
      <c r="AO104" s="76">
        <f>AM104+AN104-O104*Escenarios!$F$13/Escenarios!$F$16</f>
        <v>2.6850267277048014E-3</v>
      </c>
      <c r="AP104" s="76">
        <f t="shared" si="19"/>
        <v>1.0367999999999999</v>
      </c>
      <c r="AQ104" s="76">
        <f t="shared" si="20"/>
        <v>0</v>
      </c>
      <c r="AR104" s="76">
        <f t="shared" si="21"/>
        <v>1.0367999999999999</v>
      </c>
      <c r="AS104" s="76">
        <f t="shared" si="22"/>
        <v>0</v>
      </c>
      <c r="AT104" s="76">
        <f t="shared" si="23"/>
        <v>0</v>
      </c>
      <c r="AU104" s="76">
        <f t="shared" si="24"/>
        <v>59.71164389353082</v>
      </c>
      <c r="AV104" s="76">
        <f>MAX(0,(AU104-Constantes!$D$13)*(1-EXP(-Constantes!$D$24)))</f>
        <v>0.16755143515740184</v>
      </c>
      <c r="AW104" s="170">
        <f>AW103+(Entradas!$F$112*AT104-AX103)/(800*Entradas!$D$25)</f>
        <v>0</v>
      </c>
      <c r="AX104" s="170">
        <f>8000*Entradas!$D$26*AW104/Constantes!$F$45</f>
        <v>0</v>
      </c>
      <c r="AY104" s="170">
        <f>IF(Escenarios!$F$17&gt;0,10*Escenarios!$F$16*AL104,0)</f>
        <v>0</v>
      </c>
      <c r="AZ104" s="170">
        <f>IF(Escenarios!$F$17&gt;0,10*Escenarios!$F$16*AX104,0)</f>
        <v>0</v>
      </c>
      <c r="BA104" s="170">
        <f>IF(Escenarios!$F$17&gt;0,0.001*Observaciones!$F103*Escenarios!$F$17,0)</f>
        <v>0</v>
      </c>
      <c r="BB104" s="170">
        <f>IF(Escenarios!$F$17&gt;0,Observaciones!$K103,0)</f>
        <v>0</v>
      </c>
      <c r="BC104" s="170">
        <f>IF(Escenarios!$F$17&gt;0,MIN(0.0005*ETo!$M103*Escenarios!$F$17*(BG103/Constantes!$F$40)^(2/3),BG103+AY104+AZ104+BA104+BB104),0)</f>
        <v>0</v>
      </c>
      <c r="BD104" s="170">
        <f>IF(Escenarios!$F$17&gt;0,MIN(Constantes!$F$39*(BG103/Constantes!$F$40)^(2/3),BG103+AY104+AZ104+BA104+BB104-BC104),0)</f>
        <v>0</v>
      </c>
      <c r="BE104" s="170">
        <f>IF(Escenarios!$F$17&gt;0,MIN(Entradas!$F$113,BG103+AY104+AZ104+BA104+BB104-BC104-BD104),0)</f>
        <v>0</v>
      </c>
      <c r="BF104" s="170">
        <f>IF(Escenarios!$F$17&gt;0,MAX(0,BG103+AY104+AZ104+BA104+BB104-BC104-BD104-BE104-Constantes!$F$40),0)</f>
        <v>0</v>
      </c>
      <c r="BG104" s="170">
        <f t="shared" si="25"/>
        <v>0</v>
      </c>
      <c r="BH104" s="170">
        <f>(Escenarios!$F$16*AK104+0.1*BC104)/(Escenarios!$F$19)</f>
        <v>0.60645156806869294</v>
      </c>
      <c r="BI104" s="170">
        <f>IF(Escenarios!$F$17&gt;0,BF104/10/Escenarios!$F$19,AL104)</f>
        <v>0</v>
      </c>
      <c r="BJ104" s="170">
        <f>(Escenarios!$F$16*AT104+0.1*BD104)/(Escenarios!$F$19)</f>
        <v>0</v>
      </c>
      <c r="BK104" s="76">
        <f>BK103+(0.1*BD104)/(Escenarios!$F$19)-BL103</f>
        <v>48.75</v>
      </c>
      <c r="BL104" s="76">
        <f>MAX(0,(BK104-Constantes!$D$13)*(1-EXP(-Constantes!$D$23)))</f>
        <v>0</v>
      </c>
      <c r="BM104" s="76">
        <f t="shared" si="26"/>
        <v>1.2043514351574018</v>
      </c>
      <c r="BN104" s="76">
        <f t="shared" si="27"/>
        <v>1.2043514351574018</v>
      </c>
      <c r="BO104" s="76">
        <f>0.0526*BI104*Observaciones!$F103^1.218</f>
        <v>0</v>
      </c>
      <c r="BP104" s="76">
        <f>BO104*Constantes!$F$51</f>
        <v>0</v>
      </c>
      <c r="BQ104" s="76">
        <f t="shared" si="28"/>
        <v>0</v>
      </c>
      <c r="BR104" s="40"/>
    </row>
    <row r="105" spans="2:70">
      <c r="B105" s="39"/>
      <c r="C105" s="75">
        <v>99</v>
      </c>
      <c r="D105" s="146">
        <f>ETo!$I104*((1-Constantes!$F$19)*ETo!$K104+ETo!$L104)</f>
        <v>3.6233254456494044</v>
      </c>
      <c r="E105" s="76">
        <f>MIN(D105*Constantes!$F$17,0.8*(N104+Observaciones!$F104-F105-M105-Constantes!$D$14))</f>
        <v>6.643722679812925E-3</v>
      </c>
      <c r="F105" s="76">
        <f>IF(Observaciones!$F104&gt;0.05*Constantes!$F$18,((Observaciones!$F104-0.05*Constantes!$F$18)^2)/(Observaciones!$F104+0.95*Constantes!$F$18),0)</f>
        <v>0</v>
      </c>
      <c r="G105" s="76">
        <f>IF(Escenarios!$F$11&gt;0,(F105*Escenarios!$F$16*10000)/1000,0)</f>
        <v>0</v>
      </c>
      <c r="H105" s="76">
        <f>IF(Escenarios!$F$11&gt;0,(Observaciones!$F104*Constantes!$F$29)/1000,0)</f>
        <v>0</v>
      </c>
      <c r="I105" s="76">
        <f>IF(Escenarios!$F$11&gt;0,(D105*Constantes!$F$29)/1000,0)</f>
        <v>0</v>
      </c>
      <c r="J105" s="76">
        <f>IF(Escenarios!$F$11&gt;0,MAX(0,G105+H105-I105),0)</f>
        <v>0</v>
      </c>
      <c r="K105" s="76">
        <f>IF(Escenarios!$F$11&gt;0,IF(J105&gt;Constantes!$F$30,1000*((J105-Constantes!$F$30)/(Escenarios!$F$16*10000)),0),F105)</f>
        <v>0</v>
      </c>
      <c r="L105" s="76">
        <f>IF(Escenarios!$F$11&gt;0,I105*1000/Escenarios!$F$16/10000+E105,E105)</f>
        <v>6.643722679812925E-3</v>
      </c>
      <c r="M105" s="76">
        <f>MAX(0,N104+Observaciones!$F104-K105-Constantes!$D$13)</f>
        <v>0</v>
      </c>
      <c r="N105" s="76">
        <f>N104+Observaciones!$F104-K105-L105-M105-O104</f>
        <v>11.251378043689853</v>
      </c>
      <c r="O105" s="76">
        <f>MAX(0,(N105-Constantes!$D$14)*(1-EXP(-Constantes!$D$22)))</f>
        <v>4.6941226978327779E-5</v>
      </c>
      <c r="P105" s="170">
        <f>P104+(Entradas!$F$83*M105-Q104)/(800*Entradas!$D$25)</f>
        <v>0</v>
      </c>
      <c r="Q105" s="170">
        <f>8000*Entradas!$D$26*P105/Constantes!$F$45</f>
        <v>0</v>
      </c>
      <c r="R105" s="170">
        <f>IF(Escenarios!$F$14&gt;0,K105*Escenarios!$F$13/Escenarios!$F$14,0)</f>
        <v>0</v>
      </c>
      <c r="S105" s="170">
        <f>IF(Escenarios!$F$14&gt;0,Q105*Escenarios!$F$13/Escenarios!$F$14,0)</f>
        <v>0</v>
      </c>
      <c r="T105" s="170">
        <f>IF(Escenarios!$F$14&gt;0,Observaciones!$I104,0)</f>
        <v>0</v>
      </c>
      <c r="U105" s="170">
        <f>IF(Escenarios!$F$14&gt;0,MAX(0,Constantes!$F$36/((Z104+R105+S105+T105+Observaciones!$F104)^2)+Entradas!$F$77),0)</f>
        <v>0</v>
      </c>
      <c r="V105" s="146">
        <f>IF(ETo!D104&gt;0,ETo!I104*((1-Entradas!$F$81)*ETo!K104+ETo!L104),0)</f>
        <v>3.1994045600438934</v>
      </c>
      <c r="W105" s="170">
        <f>IF(Escenarios!$F$14&gt;0,MIN(V105*1,0.8*(Z104+R105+S105+T105+Observaciones!$F104-U105-Constantes!$F$35)),0)</f>
        <v>3.1994045600438934</v>
      </c>
      <c r="X105" s="170">
        <f>IF(Escenarios!$F$14&gt;0,Observaciones!$J104,0)</f>
        <v>0</v>
      </c>
      <c r="Y105" s="170">
        <f>IF(Escenarios!$F$14&gt;0,MAX(0,Z104+R105+S105+T105+Observaciones!$F104-U105-W105-X105-Constantes!$F$33),0)</f>
        <v>0</v>
      </c>
      <c r="Z105" s="170">
        <f>Z104+R105+S105+T105+Observaciones!$F104-U105-W105-Y105</f>
        <v>50.779588565534027</v>
      </c>
      <c r="AA105" s="170">
        <f>IF(Escenarios!$F$14&gt;0,(Escenarios!$F$13*L105+Escenarios!$F$14*W105)/(Escenarios!$F$16),L105)</f>
        <v>0.38977502316350254</v>
      </c>
      <c r="AB105" s="170">
        <f>IF(Escenarios!$F$14&gt;0,(Escenarios!$F$14*Y105)/(Escenarios!$F$16),K105)</f>
        <v>0</v>
      </c>
      <c r="AC105" s="170">
        <f>IF(Escenarios!$F$14&gt;0,(Escenarios!$F$13*M105+Escenarios!$F$14*U105)/(Escenarios!$F$16),M105)</f>
        <v>0</v>
      </c>
      <c r="AD105" s="76">
        <f t="shared" si="15"/>
        <v>153.20730776220256</v>
      </c>
      <c r="AE105" s="76">
        <f>MAX(0,(AD105-Constantes!$D$13)*(1-EXP(-Constantes!$D$23)))</f>
        <v>1.0292427331733127</v>
      </c>
      <c r="AF105" s="76">
        <f>AB105+O105*Escenarios!$F$13/Escenarios!$F$16+AE105</f>
        <v>1.0292840414530537</v>
      </c>
      <c r="AG105" s="76">
        <f>IF(Entradas!$F$91&gt;0,IF(AF105-Escenarios!$F$38&lt;=0,0,IF(AF105-Escenarios!$F$38&gt;Escenarios!$F$37,Escenarios!$F$37,AF105-Escenarios!$F$38)),0)</f>
        <v>0</v>
      </c>
      <c r="AH105" s="76">
        <f>AG105*Entradas!$F$99</f>
        <v>0</v>
      </c>
      <c r="AI105" s="76">
        <f>IF(Entradas!$F$91&gt;0,D105*Entradas!$D$23/Escenarios!$F$16,0)</f>
        <v>0.1739196213911714</v>
      </c>
      <c r="AJ105" s="76">
        <f>IF(Entradas!$F$91&gt;0,Entradas!$D$24*Entradas!$D$22/Escenarios!$F$16,0)</f>
        <v>0.12</v>
      </c>
      <c r="AK105" s="76">
        <f t="shared" si="16"/>
        <v>0.563694644554674</v>
      </c>
      <c r="AL105" s="76">
        <f t="shared" si="17"/>
        <v>0</v>
      </c>
      <c r="AM105" s="76">
        <f t="shared" si="18"/>
        <v>0</v>
      </c>
      <c r="AN105" s="76">
        <f>MAX(0,O105*Escenarios!$F$13/Escenarios!$F$16-AM105)</f>
        <v>4.1308279740928445E-5</v>
      </c>
      <c r="AO105" s="76">
        <f>AM105+AN105-O105*Escenarios!$F$13/Escenarios!$F$16</f>
        <v>0</v>
      </c>
      <c r="AP105" s="76">
        <f t="shared" si="19"/>
        <v>1.0292427331733127</v>
      </c>
      <c r="AQ105" s="76">
        <f t="shared" si="20"/>
        <v>0</v>
      </c>
      <c r="AR105" s="76">
        <f t="shared" si="21"/>
        <v>1.0292840414530537</v>
      </c>
      <c r="AS105" s="76">
        <f t="shared" si="22"/>
        <v>0</v>
      </c>
      <c r="AT105" s="76">
        <f t="shared" si="23"/>
        <v>0</v>
      </c>
      <c r="AU105" s="76">
        <f t="shared" si="24"/>
        <v>59.54409245837342</v>
      </c>
      <c r="AV105" s="76">
        <f>MAX(0,(AU105-Constantes!$D$13)*(1-EXP(-Constantes!$D$24)))</f>
        <v>0.16499037007483036</v>
      </c>
      <c r="AW105" s="170">
        <f>AW104+(Entradas!$F$112*AT105-AX104)/(800*Entradas!$D$25)</f>
        <v>0</v>
      </c>
      <c r="AX105" s="170">
        <f>8000*Entradas!$D$26*AW105/Constantes!$F$45</f>
        <v>0</v>
      </c>
      <c r="AY105" s="170">
        <f>IF(Escenarios!$F$17&gt;0,10*Escenarios!$F$16*AL105,0)</f>
        <v>0</v>
      </c>
      <c r="AZ105" s="170">
        <f>IF(Escenarios!$F$17&gt;0,10*Escenarios!$F$16*AX105,0)</f>
        <v>0</v>
      </c>
      <c r="BA105" s="170">
        <f>IF(Escenarios!$F$17&gt;0,0.001*Observaciones!$F104*Escenarios!$F$17,0)</f>
        <v>0</v>
      </c>
      <c r="BB105" s="170">
        <f>IF(Escenarios!$F$17&gt;0,Observaciones!$K104,0)</f>
        <v>0</v>
      </c>
      <c r="BC105" s="170">
        <f>IF(Escenarios!$F$17&gt;0,MIN(0.0005*ETo!$M104*Escenarios!$F$17*(BG104/Constantes!$F$40)^(2/3),BG104+AY105+AZ105+BA105+BB105),0)</f>
        <v>0</v>
      </c>
      <c r="BD105" s="170">
        <f>IF(Escenarios!$F$17&gt;0,MIN(Constantes!$F$39*(BG104/Constantes!$F$40)^(2/3),BG104+AY105+AZ105+BA105+BB105-BC105),0)</f>
        <v>0</v>
      </c>
      <c r="BE105" s="170">
        <f>IF(Escenarios!$F$17&gt;0,MIN(Entradas!$F$113,BG104+AY105+AZ105+BA105+BB105-BC105-BD105),0)</f>
        <v>0</v>
      </c>
      <c r="BF105" s="170">
        <f>IF(Escenarios!$F$17&gt;0,MAX(0,BG104+AY105+AZ105+BA105+BB105-BC105-BD105-BE105-Constantes!$F$40),0)</f>
        <v>0</v>
      </c>
      <c r="BG105" s="170">
        <f t="shared" si="25"/>
        <v>0</v>
      </c>
      <c r="BH105" s="170">
        <f>(Escenarios!$F$16*AK105+0.1*BC105)/(Escenarios!$F$19)</f>
        <v>0.563694644554674</v>
      </c>
      <c r="BI105" s="170">
        <f>IF(Escenarios!$F$17&gt;0,BF105/10/Escenarios!$F$19,AL105)</f>
        <v>0</v>
      </c>
      <c r="BJ105" s="170">
        <f>(Escenarios!$F$16*AT105+0.1*BD105)/(Escenarios!$F$19)</f>
        <v>0</v>
      </c>
      <c r="BK105" s="76">
        <f>BK104+(0.1*BD105)/(Escenarios!$F$19)-BL104</f>
        <v>48.75</v>
      </c>
      <c r="BL105" s="76">
        <f>MAX(0,(BK105-Constantes!$D$13)*(1-EXP(-Constantes!$D$23)))</f>
        <v>0</v>
      </c>
      <c r="BM105" s="76">
        <f t="shared" si="26"/>
        <v>1.194233103248143</v>
      </c>
      <c r="BN105" s="76">
        <f t="shared" si="27"/>
        <v>1.194274411527884</v>
      </c>
      <c r="BO105" s="76">
        <f>0.0526*BI105*Observaciones!$F104^1.218</f>
        <v>0</v>
      </c>
      <c r="BP105" s="76">
        <f>BO105*Constantes!$F$51</f>
        <v>0</v>
      </c>
      <c r="BQ105" s="76">
        <f t="shared" si="28"/>
        <v>0</v>
      </c>
      <c r="BR105" s="40"/>
    </row>
    <row r="106" spans="2:70">
      <c r="B106" s="39"/>
      <c r="C106" s="75">
        <v>100</v>
      </c>
      <c r="D106" s="146">
        <f>ETo!$I105*((1-Constantes!$F$19)*ETo!$K105+ETo!$L105)</f>
        <v>3.7295911081666566</v>
      </c>
      <c r="E106" s="76">
        <f>MIN(D106*Constantes!$F$17,0.8*(N105+Observaciones!$F105-F106-M106-Constantes!$D$14))</f>
        <v>1.1024349518820031E-3</v>
      </c>
      <c r="F106" s="76">
        <f>IF(Observaciones!$F105&gt;0.05*Constantes!$F$18,((Observaciones!$F105-0.05*Constantes!$F$18)^2)/(Observaciones!$F105+0.95*Constantes!$F$18),0)</f>
        <v>0</v>
      </c>
      <c r="G106" s="76">
        <f>IF(Escenarios!$F$11&gt;0,(F106*Escenarios!$F$16*10000)/1000,0)</f>
        <v>0</v>
      </c>
      <c r="H106" s="76">
        <f>IF(Escenarios!$F$11&gt;0,(Observaciones!$F105*Constantes!$F$29)/1000,0)</f>
        <v>0</v>
      </c>
      <c r="I106" s="76">
        <f>IF(Escenarios!$F$11&gt;0,(D106*Constantes!$F$29)/1000,0)</f>
        <v>0</v>
      </c>
      <c r="J106" s="76">
        <f>IF(Escenarios!$F$11&gt;0,MAX(0,G106+H106-I106),0)</f>
        <v>0</v>
      </c>
      <c r="K106" s="76">
        <f>IF(Escenarios!$F$11&gt;0,IF(J106&gt;Constantes!$F$30,1000*((J106-Constantes!$F$30)/(Escenarios!$F$16*10000)),0),F106)</f>
        <v>0</v>
      </c>
      <c r="L106" s="76">
        <f>IF(Escenarios!$F$11&gt;0,I106*1000/Escenarios!$F$16/10000+E106,E106)</f>
        <v>1.1024349518820031E-3</v>
      </c>
      <c r="M106" s="76">
        <f>MAX(0,N105+Observaciones!$F105-K106-Constantes!$D$13)</f>
        <v>0</v>
      </c>
      <c r="N106" s="76">
        <f>N105+Observaciones!$F105-K106-L106-M106-O105</f>
        <v>11.250228667510992</v>
      </c>
      <c r="O106" s="76">
        <f>MAX(0,(N106-Constantes!$D$14)*(1-EXP(-Constantes!$D$22)))</f>
        <v>7.7892548800109597E-6</v>
      </c>
      <c r="P106" s="170">
        <f>P105+(Entradas!$F$83*M106-Q105)/(800*Entradas!$D$25)</f>
        <v>0</v>
      </c>
      <c r="Q106" s="170">
        <f>8000*Entradas!$D$26*P106/Constantes!$F$45</f>
        <v>0</v>
      </c>
      <c r="R106" s="170">
        <f>IF(Escenarios!$F$14&gt;0,K106*Escenarios!$F$13/Escenarios!$F$14,0)</f>
        <v>0</v>
      </c>
      <c r="S106" s="170">
        <f>IF(Escenarios!$F$14&gt;0,Q106*Escenarios!$F$13/Escenarios!$F$14,0)</f>
        <v>0</v>
      </c>
      <c r="T106" s="170">
        <f>IF(Escenarios!$F$14&gt;0,Observaciones!$I105,0)</f>
        <v>0</v>
      </c>
      <c r="U106" s="170">
        <f>IF(Escenarios!$F$14&gt;0,MAX(0,Constantes!$F$36/((Z105+R106+S106+T106+Observaciones!$F105)^2)+Entradas!$F$77),0)</f>
        <v>0</v>
      </c>
      <c r="V106" s="146">
        <f>IF(ETo!D105&gt;0,ETo!I105*((1-Entradas!$F$81)*ETo!K105+ETo!L105),0)</f>
        <v>3.2942344081918513</v>
      </c>
      <c r="W106" s="170">
        <f>IF(Escenarios!$F$14&gt;0,MIN(V106*1,0.8*(Z105+R106+S106+T106+Observaciones!$F105-U106-Constantes!$F$35)),0)</f>
        <v>3.2942344081918513</v>
      </c>
      <c r="X106" s="170">
        <f>IF(Escenarios!$F$14&gt;0,Observaciones!$J105,0)</f>
        <v>0</v>
      </c>
      <c r="Y106" s="170">
        <f>IF(Escenarios!$F$14&gt;0,MAX(0,Z105+R106+S106+T106+Observaciones!$F105-U106-W106-X106-Constantes!$F$33),0)</f>
        <v>0</v>
      </c>
      <c r="Z106" s="170">
        <f>Z105+R106+S106+T106+Observaciones!$F105-U106-W106-Y106</f>
        <v>47.485354157342172</v>
      </c>
      <c r="AA106" s="170">
        <f>IF(Escenarios!$F$14&gt;0,(Escenarios!$F$13*L106+Escenarios!$F$14*W106)/(Escenarios!$F$16),L106)</f>
        <v>0.39627827174067831</v>
      </c>
      <c r="AB106" s="170">
        <f>IF(Escenarios!$F$14&gt;0,(Escenarios!$F$14*Y106)/(Escenarios!$F$16),K106)</f>
        <v>0</v>
      </c>
      <c r="AC106" s="170">
        <f>IF(Escenarios!$F$14&gt;0,(Escenarios!$F$13*M106+Escenarios!$F$14*U106)/(Escenarios!$F$16),M106)</f>
        <v>0</v>
      </c>
      <c r="AD106" s="76">
        <f t="shared" si="15"/>
        <v>152.17806502902926</v>
      </c>
      <c r="AE106" s="76">
        <f>MAX(0,(AD106-Constantes!$D$13)*(1-EXP(-Constantes!$D$23)))</f>
        <v>1.0191013593768363</v>
      </c>
      <c r="AF106" s="76">
        <f>AB106+O106*Escenarios!$F$13/Escenarios!$F$16+AE106</f>
        <v>1.0191082139211307</v>
      </c>
      <c r="AG106" s="76">
        <f>IF(Entradas!$F$91&gt;0,IF(AF106-Escenarios!$F$38&lt;=0,0,IF(AF106-Escenarios!$F$38&gt;Escenarios!$F$37,Escenarios!$F$37,AF106-Escenarios!$F$38)),0)</f>
        <v>0</v>
      </c>
      <c r="AH106" s="76">
        <f>AG106*Entradas!$F$99</f>
        <v>0</v>
      </c>
      <c r="AI106" s="76">
        <f>IF(Entradas!$F$91&gt;0,D106*Entradas!$D$23/Escenarios!$F$16,0)</f>
        <v>0.17902037319199951</v>
      </c>
      <c r="AJ106" s="76">
        <f>IF(Entradas!$F$91&gt;0,Entradas!$D$24*Entradas!$D$22/Escenarios!$F$16,0)</f>
        <v>0.12</v>
      </c>
      <c r="AK106" s="76">
        <f t="shared" si="16"/>
        <v>0.57529864493267779</v>
      </c>
      <c r="AL106" s="76">
        <f t="shared" si="17"/>
        <v>0</v>
      </c>
      <c r="AM106" s="76">
        <f t="shared" si="18"/>
        <v>0</v>
      </c>
      <c r="AN106" s="76">
        <f>MAX(0,O106*Escenarios!$F$13/Escenarios!$F$16-AM106)</f>
        <v>6.8545442944096448E-6</v>
      </c>
      <c r="AO106" s="76">
        <f>AM106+AN106-O106*Escenarios!$F$13/Escenarios!$F$16</f>
        <v>0</v>
      </c>
      <c r="AP106" s="76">
        <f t="shared" si="19"/>
        <v>1.0191013593768363</v>
      </c>
      <c r="AQ106" s="76">
        <f t="shared" si="20"/>
        <v>0</v>
      </c>
      <c r="AR106" s="76">
        <f t="shared" si="21"/>
        <v>1.0191082139211307</v>
      </c>
      <c r="AS106" s="76">
        <f t="shared" si="22"/>
        <v>0</v>
      </c>
      <c r="AT106" s="76">
        <f t="shared" si="23"/>
        <v>0</v>
      </c>
      <c r="AU106" s="76">
        <f t="shared" si="24"/>
        <v>59.379102088298588</v>
      </c>
      <c r="AV106" s="76">
        <f>MAX(0,(AU106-Constantes!$D$13)*(1-EXP(-Constantes!$D$24)))</f>
        <v>0.16246845150479691</v>
      </c>
      <c r="AW106" s="170">
        <f>AW105+(Entradas!$F$112*AT106-AX105)/(800*Entradas!$D$25)</f>
        <v>0</v>
      </c>
      <c r="AX106" s="170">
        <f>8000*Entradas!$D$26*AW106/Constantes!$F$45</f>
        <v>0</v>
      </c>
      <c r="AY106" s="170">
        <f>IF(Escenarios!$F$17&gt;0,10*Escenarios!$F$16*AL106,0)</f>
        <v>0</v>
      </c>
      <c r="AZ106" s="170">
        <f>IF(Escenarios!$F$17&gt;0,10*Escenarios!$F$16*AX106,0)</f>
        <v>0</v>
      </c>
      <c r="BA106" s="170">
        <f>IF(Escenarios!$F$17&gt;0,0.001*Observaciones!$F105*Escenarios!$F$17,0)</f>
        <v>0</v>
      </c>
      <c r="BB106" s="170">
        <f>IF(Escenarios!$F$17&gt;0,Observaciones!$K105,0)</f>
        <v>0</v>
      </c>
      <c r="BC106" s="170">
        <f>IF(Escenarios!$F$17&gt;0,MIN(0.0005*ETo!$M105*Escenarios!$F$17*(BG105/Constantes!$F$40)^(2/3),BG105+AY106+AZ106+BA106+BB106),0)</f>
        <v>0</v>
      </c>
      <c r="BD106" s="170">
        <f>IF(Escenarios!$F$17&gt;0,MIN(Constantes!$F$39*(BG105/Constantes!$F$40)^(2/3),BG105+AY106+AZ106+BA106+BB106-BC106),0)</f>
        <v>0</v>
      </c>
      <c r="BE106" s="170">
        <f>IF(Escenarios!$F$17&gt;0,MIN(Entradas!$F$113,BG105+AY106+AZ106+BA106+BB106-BC106-BD106),0)</f>
        <v>0</v>
      </c>
      <c r="BF106" s="170">
        <f>IF(Escenarios!$F$17&gt;0,MAX(0,BG105+AY106+AZ106+BA106+BB106-BC106-BD106-BE106-Constantes!$F$40),0)</f>
        <v>0</v>
      </c>
      <c r="BG106" s="170">
        <f t="shared" si="25"/>
        <v>0</v>
      </c>
      <c r="BH106" s="170">
        <f>(Escenarios!$F$16*AK106+0.1*BC106)/(Escenarios!$F$19)</f>
        <v>0.57529864493267779</v>
      </c>
      <c r="BI106" s="170">
        <f>IF(Escenarios!$F$17&gt;0,BF106/10/Escenarios!$F$19,AL106)</f>
        <v>0</v>
      </c>
      <c r="BJ106" s="170">
        <f>(Escenarios!$F$16*AT106+0.1*BD106)/(Escenarios!$F$19)</f>
        <v>0</v>
      </c>
      <c r="BK106" s="76">
        <f>BK105+(0.1*BD106)/(Escenarios!$F$19)-BL105</f>
        <v>48.75</v>
      </c>
      <c r="BL106" s="76">
        <f>MAX(0,(BK106-Constantes!$D$13)*(1-EXP(-Constantes!$D$23)))</f>
        <v>0</v>
      </c>
      <c r="BM106" s="76">
        <f t="shared" si="26"/>
        <v>1.1815698108816333</v>
      </c>
      <c r="BN106" s="76">
        <f t="shared" si="27"/>
        <v>1.1815766654259277</v>
      </c>
      <c r="BO106" s="76">
        <f>0.0526*BI106*Observaciones!$F105^1.218</f>
        <v>0</v>
      </c>
      <c r="BP106" s="76">
        <f>BO106*Constantes!$F$51</f>
        <v>0</v>
      </c>
      <c r="BQ106" s="76">
        <f t="shared" si="28"/>
        <v>0</v>
      </c>
      <c r="BR106" s="40"/>
    </row>
    <row r="107" spans="2:70">
      <c r="B107" s="39"/>
      <c r="C107" s="75">
        <v>101</v>
      </c>
      <c r="D107" s="146">
        <f>ETo!$I106*((1-Constantes!$F$19)*ETo!$K106+ETo!$L106)</f>
        <v>3.7512902993958894</v>
      </c>
      <c r="E107" s="76">
        <f>MIN(D107*Constantes!$F$17,0.8*(N106+Observaciones!$F106-F107-M107-Constantes!$D$14))</f>
        <v>1.8293400879372258E-4</v>
      </c>
      <c r="F107" s="76">
        <f>IF(Observaciones!$F106&gt;0.05*Constantes!$F$18,((Observaciones!$F106-0.05*Constantes!$F$18)^2)/(Observaciones!$F106+0.95*Constantes!$F$18),0)</f>
        <v>0</v>
      </c>
      <c r="G107" s="76">
        <f>IF(Escenarios!$F$11&gt;0,(F107*Escenarios!$F$16*10000)/1000,0)</f>
        <v>0</v>
      </c>
      <c r="H107" s="76">
        <f>IF(Escenarios!$F$11&gt;0,(Observaciones!$F106*Constantes!$F$29)/1000,0)</f>
        <v>0</v>
      </c>
      <c r="I107" s="76">
        <f>IF(Escenarios!$F$11&gt;0,(D107*Constantes!$F$29)/1000,0)</f>
        <v>0</v>
      </c>
      <c r="J107" s="76">
        <f>IF(Escenarios!$F$11&gt;0,MAX(0,G107+H107-I107),0)</f>
        <v>0</v>
      </c>
      <c r="K107" s="76">
        <f>IF(Escenarios!$F$11&gt;0,IF(J107&gt;Constantes!$F$30,1000*((J107-Constantes!$F$30)/(Escenarios!$F$16*10000)),0),F107)</f>
        <v>0</v>
      </c>
      <c r="L107" s="76">
        <f>IF(Escenarios!$F$11&gt;0,I107*1000/Escenarios!$F$16/10000+E107,E107)</f>
        <v>1.8293400879372258E-4</v>
      </c>
      <c r="M107" s="76">
        <f>MAX(0,N106+Observaciones!$F106-K107-Constantes!$D$13)</f>
        <v>0</v>
      </c>
      <c r="N107" s="76">
        <f>N106+Observaciones!$F106-K107-L107-M107-O106</f>
        <v>11.250037944247318</v>
      </c>
      <c r="O107" s="76">
        <f>MAX(0,(N107-Constantes!$D$14)*(1-EXP(-Constantes!$D$22)))</f>
        <v>1.2925203598180309E-6</v>
      </c>
      <c r="P107" s="170">
        <f>P106+(Entradas!$F$83*M107-Q106)/(800*Entradas!$D$25)</f>
        <v>0</v>
      </c>
      <c r="Q107" s="170">
        <f>8000*Entradas!$D$26*P107/Constantes!$F$45</f>
        <v>0</v>
      </c>
      <c r="R107" s="170">
        <f>IF(Escenarios!$F$14&gt;0,K107*Escenarios!$F$13/Escenarios!$F$14,0)</f>
        <v>0</v>
      </c>
      <c r="S107" s="170">
        <f>IF(Escenarios!$F$14&gt;0,Q107*Escenarios!$F$13/Escenarios!$F$14,0)</f>
        <v>0</v>
      </c>
      <c r="T107" s="170">
        <f>IF(Escenarios!$F$14&gt;0,Observaciones!$I106,0)</f>
        <v>0</v>
      </c>
      <c r="U107" s="170">
        <f>IF(Escenarios!$F$14&gt;0,MAX(0,Constantes!$F$36/((Z106+R107+S107+T107+Observaciones!$F106)^2)+Entradas!$F$77),0)</f>
        <v>0</v>
      </c>
      <c r="V107" s="146">
        <f>IF(ETo!D106&gt;0,ETo!I106*((1-Entradas!$F$81)*ETo!K106+ETo!L106),0)</f>
        <v>3.3134023413517828</v>
      </c>
      <c r="W107" s="170">
        <f>IF(Escenarios!$F$14&gt;0,MIN(V107*1,0.8*(Z106+R107+S107+T107+Observaciones!$F106-U107-Constantes!$F$35)),0)</f>
        <v>3.3134023413517828</v>
      </c>
      <c r="X107" s="170">
        <f>IF(Escenarios!$F$14&gt;0,Observaciones!$J106,0)</f>
        <v>0</v>
      </c>
      <c r="Y107" s="170">
        <f>IF(Escenarios!$F$14&gt;0,MAX(0,Z106+R107+S107+T107+Observaciones!$F106-U107-W107-X107-Constantes!$F$33),0)</f>
        <v>0</v>
      </c>
      <c r="Z107" s="170">
        <f>Z106+R107+S107+T107+Observaciones!$F106-U107-W107-Y107</f>
        <v>44.17195181599039</v>
      </c>
      <c r="AA107" s="170">
        <f>IF(Escenarios!$F$14&gt;0,(Escenarios!$F$13*L107+Escenarios!$F$14*W107)/(Escenarios!$F$16),L107)</f>
        <v>0.3977692628899524</v>
      </c>
      <c r="AB107" s="170">
        <f>IF(Escenarios!$F$14&gt;0,(Escenarios!$F$14*Y107)/(Escenarios!$F$16),K107)</f>
        <v>0</v>
      </c>
      <c r="AC107" s="170">
        <f>IF(Escenarios!$F$14&gt;0,(Escenarios!$F$13*M107+Escenarios!$F$14*U107)/(Escenarios!$F$16),M107)</f>
        <v>0</v>
      </c>
      <c r="AD107" s="76">
        <f t="shared" si="15"/>
        <v>151.15896366965242</v>
      </c>
      <c r="AE107" s="76">
        <f>MAX(0,(AD107-Constantes!$D$13)*(1-EXP(-Constantes!$D$23)))</f>
        <v>1.0090599109518639</v>
      </c>
      <c r="AF107" s="76">
        <f>AB107+O107*Escenarios!$F$13/Escenarios!$F$16+AE107</f>
        <v>1.0090610483697806</v>
      </c>
      <c r="AG107" s="76">
        <f>IF(Entradas!$F$91&gt;0,IF(AF107-Escenarios!$F$38&lt;=0,0,IF(AF107-Escenarios!$F$38&gt;Escenarios!$F$37,Escenarios!$F$37,AF107-Escenarios!$F$38)),0)</f>
        <v>0</v>
      </c>
      <c r="AH107" s="76">
        <f>AG107*Entradas!$F$99</f>
        <v>0</v>
      </c>
      <c r="AI107" s="76">
        <f>IF(Entradas!$F$91&gt;0,D107*Entradas!$D$23/Escenarios!$F$16,0)</f>
        <v>0.18006193437100268</v>
      </c>
      <c r="AJ107" s="76">
        <f>IF(Entradas!$F$91&gt;0,Entradas!$D$24*Entradas!$D$22/Escenarios!$F$16,0)</f>
        <v>0.12</v>
      </c>
      <c r="AK107" s="76">
        <f t="shared" si="16"/>
        <v>0.57783119726095511</v>
      </c>
      <c r="AL107" s="76">
        <f t="shared" si="17"/>
        <v>0</v>
      </c>
      <c r="AM107" s="76">
        <f t="shared" si="18"/>
        <v>0</v>
      </c>
      <c r="AN107" s="76">
        <f>MAX(0,O107*Escenarios!$F$13/Escenarios!$F$16-AM107)</f>
        <v>1.1374179166398672E-6</v>
      </c>
      <c r="AO107" s="76">
        <f>AM107+AN107-O107*Escenarios!$F$13/Escenarios!$F$16</f>
        <v>0</v>
      </c>
      <c r="AP107" s="76">
        <f t="shared" si="19"/>
        <v>1.0090599109518639</v>
      </c>
      <c r="AQ107" s="76">
        <f t="shared" si="20"/>
        <v>0</v>
      </c>
      <c r="AR107" s="76">
        <f t="shared" si="21"/>
        <v>1.0090610483697806</v>
      </c>
      <c r="AS107" s="76">
        <f t="shared" si="22"/>
        <v>0</v>
      </c>
      <c r="AT107" s="76">
        <f t="shared" si="23"/>
        <v>0</v>
      </c>
      <c r="AU107" s="76">
        <f t="shared" si="24"/>
        <v>59.216633636793787</v>
      </c>
      <c r="AV107" s="76">
        <f>MAX(0,(AU107-Constantes!$D$13)*(1-EXP(-Constantes!$D$24)))</f>
        <v>0.15998508108318565</v>
      </c>
      <c r="AW107" s="170">
        <f>AW106+(Entradas!$F$112*AT107-AX106)/(800*Entradas!$D$25)</f>
        <v>0</v>
      </c>
      <c r="AX107" s="170">
        <f>8000*Entradas!$D$26*AW107/Constantes!$F$45</f>
        <v>0</v>
      </c>
      <c r="AY107" s="170">
        <f>IF(Escenarios!$F$17&gt;0,10*Escenarios!$F$16*AL107,0)</f>
        <v>0</v>
      </c>
      <c r="AZ107" s="170">
        <f>IF(Escenarios!$F$17&gt;0,10*Escenarios!$F$16*AX107,0)</f>
        <v>0</v>
      </c>
      <c r="BA107" s="170">
        <f>IF(Escenarios!$F$17&gt;0,0.001*Observaciones!$F106*Escenarios!$F$17,0)</f>
        <v>0</v>
      </c>
      <c r="BB107" s="170">
        <f>IF(Escenarios!$F$17&gt;0,Observaciones!$K106,0)</f>
        <v>0</v>
      </c>
      <c r="BC107" s="170">
        <f>IF(Escenarios!$F$17&gt;0,MIN(0.0005*ETo!$M106*Escenarios!$F$17*(BG106/Constantes!$F$40)^(2/3),BG106+AY107+AZ107+BA107+BB107),0)</f>
        <v>0</v>
      </c>
      <c r="BD107" s="170">
        <f>IF(Escenarios!$F$17&gt;0,MIN(Constantes!$F$39*(BG106/Constantes!$F$40)^(2/3),BG106+AY107+AZ107+BA107+BB107-BC107),0)</f>
        <v>0</v>
      </c>
      <c r="BE107" s="170">
        <f>IF(Escenarios!$F$17&gt;0,MIN(Entradas!$F$113,BG106+AY107+AZ107+BA107+BB107-BC107-BD107),0)</f>
        <v>0</v>
      </c>
      <c r="BF107" s="170">
        <f>IF(Escenarios!$F$17&gt;0,MAX(0,BG106+AY107+AZ107+BA107+BB107-BC107-BD107-BE107-Constantes!$F$40),0)</f>
        <v>0</v>
      </c>
      <c r="BG107" s="170">
        <f t="shared" si="25"/>
        <v>0</v>
      </c>
      <c r="BH107" s="170">
        <f>(Escenarios!$F$16*AK107+0.1*BC107)/(Escenarios!$F$19)</f>
        <v>0.57783119726095511</v>
      </c>
      <c r="BI107" s="170">
        <f>IF(Escenarios!$F$17&gt;0,BF107/10/Escenarios!$F$19,AL107)</f>
        <v>0</v>
      </c>
      <c r="BJ107" s="170">
        <f>(Escenarios!$F$16*AT107+0.1*BD107)/(Escenarios!$F$19)</f>
        <v>0</v>
      </c>
      <c r="BK107" s="76">
        <f>BK106+(0.1*BD107)/(Escenarios!$F$19)-BL106</f>
        <v>48.75</v>
      </c>
      <c r="BL107" s="76">
        <f>MAX(0,(BK107-Constantes!$D$13)*(1-EXP(-Constantes!$D$23)))</f>
        <v>0</v>
      </c>
      <c r="BM107" s="76">
        <f t="shared" si="26"/>
        <v>1.1690449920350496</v>
      </c>
      <c r="BN107" s="76">
        <f t="shared" si="27"/>
        <v>1.1690461294529664</v>
      </c>
      <c r="BO107" s="76">
        <f>0.0526*BI107*Observaciones!$F106^1.218</f>
        <v>0</v>
      </c>
      <c r="BP107" s="76">
        <f>BO107*Constantes!$F$51</f>
        <v>0</v>
      </c>
      <c r="BQ107" s="76">
        <f t="shared" si="28"/>
        <v>0</v>
      </c>
      <c r="BR107" s="40"/>
    </row>
    <row r="108" spans="2:70">
      <c r="B108" s="39"/>
      <c r="C108" s="75">
        <v>102</v>
      </c>
      <c r="D108" s="146">
        <f>ETo!$I107*((1-Constantes!$F$19)*ETo!$K107+ETo!$L107)</f>
        <v>3.7288902717723684</v>
      </c>
      <c r="E108" s="76">
        <f>MIN(D108*Constantes!$F$17,0.8*(N107+Observaciones!$F107-F108-M108-Constantes!$D$14))</f>
        <v>2.126629964825772</v>
      </c>
      <c r="F108" s="76">
        <f>IF(Observaciones!$F107&gt;0.05*Constantes!$F$18,((Observaciones!$F107-0.05*Constantes!$F$18)^2)/(Observaciones!$F107+0.95*Constantes!$F$18),0)</f>
        <v>0</v>
      </c>
      <c r="G108" s="76">
        <f>IF(Escenarios!$F$11&gt;0,(F108*Escenarios!$F$16*10000)/1000,0)</f>
        <v>0</v>
      </c>
      <c r="H108" s="76">
        <f>IF(Escenarios!$F$11&gt;0,(Observaciones!$F107*Constantes!$F$29)/1000,0)</f>
        <v>0</v>
      </c>
      <c r="I108" s="76">
        <f>IF(Escenarios!$F$11&gt;0,(D108*Constantes!$F$29)/1000,0)</f>
        <v>0</v>
      </c>
      <c r="J108" s="76">
        <f>IF(Escenarios!$F$11&gt;0,MAX(0,G108+H108-I108),0)</f>
        <v>0</v>
      </c>
      <c r="K108" s="76">
        <f>IF(Escenarios!$F$11&gt;0,IF(J108&gt;Constantes!$F$30,1000*((J108-Constantes!$F$30)/(Escenarios!$F$16*10000)),0),F108)</f>
        <v>0</v>
      </c>
      <c r="L108" s="76">
        <f>IF(Escenarios!$F$11&gt;0,I108*1000/Escenarios!$F$16/10000+E108,E108)</f>
        <v>2.126629964825772</v>
      </c>
      <c r="M108" s="76">
        <f>MAX(0,N107+Observaciones!$F107-K108-Constantes!$D$13)</f>
        <v>0</v>
      </c>
      <c r="N108" s="76">
        <f>N107+Observaciones!$F107-K108-L108-M108-O107</f>
        <v>12.623406686901186</v>
      </c>
      <c r="O108" s="76">
        <f>MAX(0,(N108-Constantes!$D$14)*(1-EXP(-Constantes!$D$22)))</f>
        <v>4.6783273635019558E-2</v>
      </c>
      <c r="P108" s="170">
        <f>P107+(Entradas!$F$83*M108-Q107)/(800*Entradas!$D$25)</f>
        <v>0</v>
      </c>
      <c r="Q108" s="170">
        <f>8000*Entradas!$D$26*P108/Constantes!$F$45</f>
        <v>0</v>
      </c>
      <c r="R108" s="170">
        <f>IF(Escenarios!$F$14&gt;0,K108*Escenarios!$F$13/Escenarios!$F$14,0)</f>
        <v>0</v>
      </c>
      <c r="S108" s="170">
        <f>IF(Escenarios!$F$14&gt;0,Q108*Escenarios!$F$13/Escenarios!$F$14,0)</f>
        <v>0</v>
      </c>
      <c r="T108" s="170">
        <f>IF(Escenarios!$F$14&gt;0,Observaciones!$I107,0)</f>
        <v>0</v>
      </c>
      <c r="U108" s="170">
        <f>IF(Escenarios!$F$14&gt;0,MAX(0,Constantes!$F$36/((Z107+R108+S108+T108+Observaciones!$F107)^2)+Entradas!$F$77),0)</f>
        <v>0</v>
      </c>
      <c r="V108" s="146">
        <f>IF(ETo!D107&gt;0,ETo!I107*((1-Entradas!$F$81)*ETo!K107+ETo!L107),0)</f>
        <v>3.2929274624140894</v>
      </c>
      <c r="W108" s="170">
        <f>IF(Escenarios!$F$14&gt;0,MIN(V108*1,0.8*(Z107+R108+S108+T108+Observaciones!$F107-U108-Constantes!$F$35)),0)</f>
        <v>3.2929274624140894</v>
      </c>
      <c r="X108" s="170">
        <f>IF(Escenarios!$F$14&gt;0,Observaciones!$J107,0)</f>
        <v>0</v>
      </c>
      <c r="Y108" s="170">
        <f>IF(Escenarios!$F$14&gt;0,MAX(0,Z107+R108+S108+T108+Observaciones!$F107-U108-W108-X108-Constantes!$F$33),0)</f>
        <v>0</v>
      </c>
      <c r="Z108" s="170">
        <f>Z107+R108+S108+T108+Observaciones!$F107-U108-W108-Y108</f>
        <v>44.379024353576298</v>
      </c>
      <c r="AA108" s="170">
        <f>IF(Escenarios!$F$14&gt;0,(Escenarios!$F$13*L108+Escenarios!$F$14*W108)/(Escenarios!$F$16),L108)</f>
        <v>2.26658566453637</v>
      </c>
      <c r="AB108" s="170">
        <f>IF(Escenarios!$F$14&gt;0,(Escenarios!$F$14*Y108)/(Escenarios!$F$16),K108)</f>
        <v>0</v>
      </c>
      <c r="AC108" s="170">
        <f>IF(Escenarios!$F$14&gt;0,(Escenarios!$F$13*M108+Escenarios!$F$14*U108)/(Escenarios!$F$16),M108)</f>
        <v>0</v>
      </c>
      <c r="AD108" s="76">
        <f t="shared" si="15"/>
        <v>150.14990375870056</v>
      </c>
      <c r="AE108" s="76">
        <f>MAX(0,(AD108-Constantes!$D$13)*(1-EXP(-Constantes!$D$23)))</f>
        <v>0.99911740330990906</v>
      </c>
      <c r="AF108" s="76">
        <f>AB108+O108*Escenarios!$F$13/Escenarios!$F$16+AE108</f>
        <v>1.0402866841087262</v>
      </c>
      <c r="AG108" s="76">
        <f>IF(Entradas!$F$91&gt;0,IF(AF108-Escenarios!$F$38&lt;=0,0,IF(AF108-Escenarios!$F$38&gt;Escenarios!$F$37,Escenarios!$F$37,AF108-Escenarios!$F$38)),0)</f>
        <v>3.4866841087262124E-3</v>
      </c>
      <c r="AH108" s="76">
        <f>AG108*Entradas!$F$99</f>
        <v>0</v>
      </c>
      <c r="AI108" s="76">
        <f>IF(Entradas!$F$91&gt;0,D108*Entradas!$D$23/Escenarios!$F$16,0)</f>
        <v>0.1789867330450737</v>
      </c>
      <c r="AJ108" s="76">
        <f>IF(Entradas!$F$91&gt;0,Entradas!$D$24*Entradas!$D$22/Escenarios!$F$16,0)</f>
        <v>0.12</v>
      </c>
      <c r="AK108" s="76">
        <f t="shared" si="16"/>
        <v>2.4455723975814436</v>
      </c>
      <c r="AL108" s="76">
        <f t="shared" si="17"/>
        <v>0</v>
      </c>
      <c r="AM108" s="76">
        <f t="shared" si="18"/>
        <v>3.4866841087262124E-3</v>
      </c>
      <c r="AN108" s="76">
        <f>MAX(0,O108*Escenarios!$F$13/Escenarios!$F$16-AM108)</f>
        <v>3.7682596690090997E-2</v>
      </c>
      <c r="AO108" s="76">
        <f>AM108+AN108-O108*Escenarios!$F$13/Escenarios!$F$16</f>
        <v>0</v>
      </c>
      <c r="AP108" s="76">
        <f t="shared" si="19"/>
        <v>0.99911740330990906</v>
      </c>
      <c r="AQ108" s="76">
        <f t="shared" si="20"/>
        <v>0</v>
      </c>
      <c r="AR108" s="76">
        <f t="shared" si="21"/>
        <v>1.0367999999999999</v>
      </c>
      <c r="AS108" s="76">
        <f t="shared" si="22"/>
        <v>0</v>
      </c>
      <c r="AT108" s="76">
        <f t="shared" si="23"/>
        <v>0</v>
      </c>
      <c r="AU108" s="76">
        <f t="shared" si="24"/>
        <v>59.056648555710602</v>
      </c>
      <c r="AV108" s="76">
        <f>MAX(0,(AU108-Constantes!$D$13)*(1-EXP(-Constantes!$D$24)))</f>
        <v>0.15753966959202412</v>
      </c>
      <c r="AW108" s="170">
        <f>AW107+(Entradas!$F$112*AT108-AX107)/(800*Entradas!$D$25)</f>
        <v>0</v>
      </c>
      <c r="AX108" s="170">
        <f>8000*Entradas!$D$26*AW108/Constantes!$F$45</f>
        <v>0</v>
      </c>
      <c r="AY108" s="170">
        <f>IF(Escenarios!$F$17&gt;0,10*Escenarios!$F$16*AL108,0)</f>
        <v>0</v>
      </c>
      <c r="AZ108" s="170">
        <f>IF(Escenarios!$F$17&gt;0,10*Escenarios!$F$16*AX108,0)</f>
        <v>0</v>
      </c>
      <c r="BA108" s="170">
        <f>IF(Escenarios!$F$17&gt;0,0.001*Observaciones!$F107*Escenarios!$F$17,0)</f>
        <v>0</v>
      </c>
      <c r="BB108" s="170">
        <f>IF(Escenarios!$F$17&gt;0,Observaciones!$K107,0)</f>
        <v>0</v>
      </c>
      <c r="BC108" s="170">
        <f>IF(Escenarios!$F$17&gt;0,MIN(0.0005*ETo!$M107*Escenarios!$F$17*(BG107/Constantes!$F$40)^(2/3),BG107+AY108+AZ108+BA108+BB108),0)</f>
        <v>0</v>
      </c>
      <c r="BD108" s="170">
        <f>IF(Escenarios!$F$17&gt;0,MIN(Constantes!$F$39*(BG107/Constantes!$F$40)^(2/3),BG107+AY108+AZ108+BA108+BB108-BC108),0)</f>
        <v>0</v>
      </c>
      <c r="BE108" s="170">
        <f>IF(Escenarios!$F$17&gt;0,MIN(Entradas!$F$113,BG107+AY108+AZ108+BA108+BB108-BC108-BD108),0)</f>
        <v>0</v>
      </c>
      <c r="BF108" s="170">
        <f>IF(Escenarios!$F$17&gt;0,MAX(0,BG107+AY108+AZ108+BA108+BB108-BC108-BD108-BE108-Constantes!$F$40),0)</f>
        <v>0</v>
      </c>
      <c r="BG108" s="170">
        <f t="shared" si="25"/>
        <v>0</v>
      </c>
      <c r="BH108" s="170">
        <f>(Escenarios!$F$16*AK108+0.1*BC108)/(Escenarios!$F$19)</f>
        <v>2.4455723975814436</v>
      </c>
      <c r="BI108" s="170">
        <f>IF(Escenarios!$F$17&gt;0,BF108/10/Escenarios!$F$19,AL108)</f>
        <v>0</v>
      </c>
      <c r="BJ108" s="170">
        <f>(Escenarios!$F$16*AT108+0.1*BD108)/(Escenarios!$F$19)</f>
        <v>0</v>
      </c>
      <c r="BK108" s="76">
        <f>BK107+(0.1*BD108)/(Escenarios!$F$19)-BL107</f>
        <v>48.75</v>
      </c>
      <c r="BL108" s="76">
        <f>MAX(0,(BK108-Constantes!$D$13)*(1-EXP(-Constantes!$D$23)))</f>
        <v>0</v>
      </c>
      <c r="BM108" s="76">
        <f t="shared" si="26"/>
        <v>1.1566570729019332</v>
      </c>
      <c r="BN108" s="76">
        <f t="shared" si="27"/>
        <v>1.1943396695920241</v>
      </c>
      <c r="BO108" s="76">
        <f>0.0526*BI108*Observaciones!$F107^1.218</f>
        <v>0</v>
      </c>
      <c r="BP108" s="76">
        <f>BO108*Constantes!$F$51</f>
        <v>0</v>
      </c>
      <c r="BQ108" s="76">
        <f t="shared" si="28"/>
        <v>0</v>
      </c>
      <c r="BR108" s="40"/>
    </row>
    <row r="109" spans="2:70">
      <c r="B109" s="39"/>
      <c r="C109" s="75">
        <v>103</v>
      </c>
      <c r="D109" s="146">
        <f>ETo!$I108*((1-Constantes!$F$19)*ETo!$K108+ETo!$L108)</f>
        <v>3.4858885228192356</v>
      </c>
      <c r="E109" s="76">
        <f>MIN(D109*Constantes!$F$17,0.8*(N108+Observaciones!$F108-F109-M109-Constantes!$D$14))</f>
        <v>1.9880432102782388</v>
      </c>
      <c r="F109" s="76">
        <f>IF(Observaciones!$F108&gt;0.05*Constantes!$F$18,((Observaciones!$F108-0.05*Constantes!$F$18)^2)/(Observaciones!$F108+0.95*Constantes!$F$18),0)</f>
        <v>0</v>
      </c>
      <c r="G109" s="76">
        <f>IF(Escenarios!$F$11&gt;0,(F109*Escenarios!$F$16*10000)/1000,0)</f>
        <v>0</v>
      </c>
      <c r="H109" s="76">
        <f>IF(Escenarios!$F$11&gt;0,(Observaciones!$F108*Constantes!$F$29)/1000,0)</f>
        <v>0</v>
      </c>
      <c r="I109" s="76">
        <f>IF(Escenarios!$F$11&gt;0,(D109*Constantes!$F$29)/1000,0)</f>
        <v>0</v>
      </c>
      <c r="J109" s="76">
        <f>IF(Escenarios!$F$11&gt;0,MAX(0,G109+H109-I109),0)</f>
        <v>0</v>
      </c>
      <c r="K109" s="76">
        <f>IF(Escenarios!$F$11&gt;0,IF(J109&gt;Constantes!$F$30,1000*((J109-Constantes!$F$30)/(Escenarios!$F$16*10000)),0),F109)</f>
        <v>0</v>
      </c>
      <c r="L109" s="76">
        <f>IF(Escenarios!$F$11&gt;0,I109*1000/Escenarios!$F$16/10000+E109,E109)</f>
        <v>1.9880432102782388</v>
      </c>
      <c r="M109" s="76">
        <f>MAX(0,N108+Observaciones!$F108-K109-Constantes!$D$13)</f>
        <v>0</v>
      </c>
      <c r="N109" s="76">
        <f>N108+Observaciones!$F108-K109-L109-M109-O108</f>
        <v>12.388580202987928</v>
      </c>
      <c r="O109" s="76">
        <f>MAX(0,(N109-Constantes!$D$14)*(1-EXP(-Constantes!$D$22)))</f>
        <v>3.878422152726331E-2</v>
      </c>
      <c r="P109" s="170">
        <f>P108+(Entradas!$F$83*M109-Q108)/(800*Entradas!$D$25)</f>
        <v>0</v>
      </c>
      <c r="Q109" s="170">
        <f>8000*Entradas!$D$26*P109/Constantes!$F$45</f>
        <v>0</v>
      </c>
      <c r="R109" s="170">
        <f>IF(Escenarios!$F$14&gt;0,K109*Escenarios!$F$13/Escenarios!$F$14,0)</f>
        <v>0</v>
      </c>
      <c r="S109" s="170">
        <f>IF(Escenarios!$F$14&gt;0,Q109*Escenarios!$F$13/Escenarios!$F$14,0)</f>
        <v>0</v>
      </c>
      <c r="T109" s="170">
        <f>IF(Escenarios!$F$14&gt;0,Observaciones!$I108,0)</f>
        <v>0</v>
      </c>
      <c r="U109" s="170">
        <f>IF(Escenarios!$F$14&gt;0,MAX(0,Constantes!$F$36/((Z108+R109+S109+T109+Observaciones!$F108)^2)+Entradas!$F$77),0)</f>
        <v>0</v>
      </c>
      <c r="V109" s="146">
        <f>IF(ETo!D108&gt;0,ETo!I108*((1-Entradas!$F$81)*ETo!K108+ETo!L108),0)</f>
        <v>3.0750156898741232</v>
      </c>
      <c r="W109" s="170">
        <f>IF(Escenarios!$F$14&gt;0,MIN(V109*1,0.8*(Z108+R109+S109+T109+Observaciones!$F108-U109-Constantes!$F$35)),0)</f>
        <v>3.0750156898741232</v>
      </c>
      <c r="X109" s="170">
        <f>IF(Escenarios!$F$14&gt;0,Observaciones!$J108,0)</f>
        <v>0</v>
      </c>
      <c r="Y109" s="170">
        <f>IF(Escenarios!$F$14&gt;0,MAX(0,Z108+R109+S109+T109+Observaciones!$F108-U109-W109-X109-Constantes!$F$33),0)</f>
        <v>0</v>
      </c>
      <c r="Z109" s="170">
        <f>Z108+R109+S109+T109+Observaciones!$F108-U109-W109-Y109</f>
        <v>43.104008663702174</v>
      </c>
      <c r="AA109" s="170">
        <f>IF(Escenarios!$F$14&gt;0,(Escenarios!$F$13*L109+Escenarios!$F$14*W109)/(Escenarios!$F$16),L109)</f>
        <v>2.1184799078297449</v>
      </c>
      <c r="AB109" s="170">
        <f>IF(Escenarios!$F$14&gt;0,(Escenarios!$F$14*Y109)/(Escenarios!$F$16),K109)</f>
        <v>0</v>
      </c>
      <c r="AC109" s="170">
        <f>IF(Escenarios!$F$14&gt;0,(Escenarios!$F$13*M109+Escenarios!$F$14*U109)/(Escenarios!$F$16),M109)</f>
        <v>0</v>
      </c>
      <c r="AD109" s="76">
        <f t="shared" si="15"/>
        <v>149.15078635539066</v>
      </c>
      <c r="AE109" s="76">
        <f>MAX(0,(AD109-Constantes!$D$13)*(1-EXP(-Constantes!$D$23)))</f>
        <v>0.98927286156387151</v>
      </c>
      <c r="AF109" s="76">
        <f>AB109+O109*Escenarios!$F$13/Escenarios!$F$16+AE109</f>
        <v>1.0234029765078632</v>
      </c>
      <c r="AG109" s="76">
        <f>IF(Entradas!$F$91&gt;0,IF(AF109-Escenarios!$F$38&lt;=0,0,IF(AF109-Escenarios!$F$38&gt;Escenarios!$F$37,Escenarios!$F$37,AF109-Escenarios!$F$38)),0)</f>
        <v>0</v>
      </c>
      <c r="AH109" s="76">
        <f>AG109*Entradas!$F$99</f>
        <v>0</v>
      </c>
      <c r="AI109" s="76">
        <f>IF(Entradas!$F$91&gt;0,D109*Entradas!$D$23/Escenarios!$F$16,0)</f>
        <v>0.16732264909532329</v>
      </c>
      <c r="AJ109" s="76">
        <f>IF(Entradas!$F$91&gt;0,Entradas!$D$24*Entradas!$D$22/Escenarios!$F$16,0)</f>
        <v>0.12</v>
      </c>
      <c r="AK109" s="76">
        <f t="shared" si="16"/>
        <v>2.2858025569250682</v>
      </c>
      <c r="AL109" s="76">
        <f t="shared" si="17"/>
        <v>0</v>
      </c>
      <c r="AM109" s="76">
        <f t="shared" si="18"/>
        <v>0</v>
      </c>
      <c r="AN109" s="76">
        <f>MAX(0,O109*Escenarios!$F$13/Escenarios!$F$16-AM109)</f>
        <v>3.4130114943991714E-2</v>
      </c>
      <c r="AO109" s="76">
        <f>AM109+AN109-O109*Escenarios!$F$13/Escenarios!$F$16</f>
        <v>0</v>
      </c>
      <c r="AP109" s="76">
        <f t="shared" si="19"/>
        <v>0.98927286156387151</v>
      </c>
      <c r="AQ109" s="76">
        <f t="shared" si="20"/>
        <v>0</v>
      </c>
      <c r="AR109" s="76">
        <f t="shared" si="21"/>
        <v>1.0234029765078632</v>
      </c>
      <c r="AS109" s="76">
        <f t="shared" si="22"/>
        <v>0</v>
      </c>
      <c r="AT109" s="76">
        <f t="shared" si="23"/>
        <v>0</v>
      </c>
      <c r="AU109" s="76">
        <f t="shared" si="24"/>
        <v>58.899108886118576</v>
      </c>
      <c r="AV109" s="76">
        <f>MAX(0,(AU109-Constantes!$D$13)*(1-EXP(-Constantes!$D$24)))</f>
        <v>0.15513163681968192</v>
      </c>
      <c r="AW109" s="170">
        <f>AW108+(Entradas!$F$112*AT109-AX108)/(800*Entradas!$D$25)</f>
        <v>0</v>
      </c>
      <c r="AX109" s="170">
        <f>8000*Entradas!$D$26*AW109/Constantes!$F$45</f>
        <v>0</v>
      </c>
      <c r="AY109" s="170">
        <f>IF(Escenarios!$F$17&gt;0,10*Escenarios!$F$16*AL109,0)</f>
        <v>0</v>
      </c>
      <c r="AZ109" s="170">
        <f>IF(Escenarios!$F$17&gt;0,10*Escenarios!$F$16*AX109,0)</f>
        <v>0</v>
      </c>
      <c r="BA109" s="170">
        <f>IF(Escenarios!$F$17&gt;0,0.001*Observaciones!$F108*Escenarios!$F$17,0)</f>
        <v>0</v>
      </c>
      <c r="BB109" s="170">
        <f>IF(Escenarios!$F$17&gt;0,Observaciones!$K108,0)</f>
        <v>0</v>
      </c>
      <c r="BC109" s="170">
        <f>IF(Escenarios!$F$17&gt;0,MIN(0.0005*ETo!$M108*Escenarios!$F$17*(BG108/Constantes!$F$40)^(2/3),BG108+AY109+AZ109+BA109+BB109),0)</f>
        <v>0</v>
      </c>
      <c r="BD109" s="170">
        <f>IF(Escenarios!$F$17&gt;0,MIN(Constantes!$F$39*(BG108/Constantes!$F$40)^(2/3),BG108+AY109+AZ109+BA109+BB109-BC109),0)</f>
        <v>0</v>
      </c>
      <c r="BE109" s="170">
        <f>IF(Escenarios!$F$17&gt;0,MIN(Entradas!$F$113,BG108+AY109+AZ109+BA109+BB109-BC109-BD109),0)</f>
        <v>0</v>
      </c>
      <c r="BF109" s="170">
        <f>IF(Escenarios!$F$17&gt;0,MAX(0,BG108+AY109+AZ109+BA109+BB109-BC109-BD109-BE109-Constantes!$F$40),0)</f>
        <v>0</v>
      </c>
      <c r="BG109" s="170">
        <f t="shared" si="25"/>
        <v>0</v>
      </c>
      <c r="BH109" s="170">
        <f>(Escenarios!$F$16*AK109+0.1*BC109)/(Escenarios!$F$19)</f>
        <v>2.2858025569250682</v>
      </c>
      <c r="BI109" s="170">
        <f>IF(Escenarios!$F$17&gt;0,BF109/10/Escenarios!$F$19,AL109)</f>
        <v>0</v>
      </c>
      <c r="BJ109" s="170">
        <f>(Escenarios!$F$16*AT109+0.1*BD109)/(Escenarios!$F$19)</f>
        <v>0</v>
      </c>
      <c r="BK109" s="76">
        <f>BK108+(0.1*BD109)/(Escenarios!$F$19)-BL108</f>
        <v>48.75</v>
      </c>
      <c r="BL109" s="76">
        <f>MAX(0,(BK109-Constantes!$D$13)*(1-EXP(-Constantes!$D$23)))</f>
        <v>0</v>
      </c>
      <c r="BM109" s="76">
        <f t="shared" si="26"/>
        <v>1.1444044983835535</v>
      </c>
      <c r="BN109" s="76">
        <f t="shared" si="27"/>
        <v>1.1785346133275452</v>
      </c>
      <c r="BO109" s="76">
        <f>0.0526*BI109*Observaciones!$F108^1.218</f>
        <v>0</v>
      </c>
      <c r="BP109" s="76">
        <f>BO109*Constantes!$F$51</f>
        <v>0</v>
      </c>
      <c r="BQ109" s="76">
        <f t="shared" si="28"/>
        <v>0</v>
      </c>
      <c r="BR109" s="40"/>
    </row>
    <row r="110" spans="2:70">
      <c r="B110" s="39"/>
      <c r="C110" s="75">
        <v>104</v>
      </c>
      <c r="D110" s="146">
        <f>ETo!$I109*((1-Constantes!$F$19)*ETo!$K109+ETo!$L109)</f>
        <v>3.6838617250403303</v>
      </c>
      <c r="E110" s="76">
        <f>MIN(D110*Constantes!$F$17,0.8*(N109+Observaciones!$F109-F110-M110-Constantes!$D$14))</f>
        <v>0.9108641623903424</v>
      </c>
      <c r="F110" s="76">
        <f>IF(Observaciones!$F109&gt;0.05*Constantes!$F$18,((Observaciones!$F109-0.05*Constantes!$F$18)^2)/(Observaciones!$F109+0.95*Constantes!$F$18),0)</f>
        <v>0</v>
      </c>
      <c r="G110" s="76">
        <f>IF(Escenarios!$F$11&gt;0,(F110*Escenarios!$F$16*10000)/1000,0)</f>
        <v>0</v>
      </c>
      <c r="H110" s="76">
        <f>IF(Escenarios!$F$11&gt;0,(Observaciones!$F109*Constantes!$F$29)/1000,0)</f>
        <v>0</v>
      </c>
      <c r="I110" s="76">
        <f>IF(Escenarios!$F$11&gt;0,(D110*Constantes!$F$29)/1000,0)</f>
        <v>0</v>
      </c>
      <c r="J110" s="76">
        <f>IF(Escenarios!$F$11&gt;0,MAX(0,G110+H110-I110),0)</f>
        <v>0</v>
      </c>
      <c r="K110" s="76">
        <f>IF(Escenarios!$F$11&gt;0,IF(J110&gt;Constantes!$F$30,1000*((J110-Constantes!$F$30)/(Escenarios!$F$16*10000)),0),F110)</f>
        <v>0</v>
      </c>
      <c r="L110" s="76">
        <f>IF(Escenarios!$F$11&gt;0,I110*1000/Escenarios!$F$16/10000+E110,E110)</f>
        <v>0.9108641623903424</v>
      </c>
      <c r="M110" s="76">
        <f>MAX(0,N109+Observaciones!$F109-K110-Constantes!$D$13)</f>
        <v>0</v>
      </c>
      <c r="N110" s="76">
        <f>N109+Observaciones!$F109-K110-L110-M110-O109</f>
        <v>11.438931819070321</v>
      </c>
      <c r="O110" s="76">
        <f>MAX(0,(N110-Constantes!$D$14)*(1-EXP(-Constantes!$D$22)))</f>
        <v>6.4357113404420012E-3</v>
      </c>
      <c r="P110" s="170">
        <f>P109+(Entradas!$F$83*M110-Q109)/(800*Entradas!$D$25)</f>
        <v>0</v>
      </c>
      <c r="Q110" s="170">
        <f>8000*Entradas!$D$26*P110/Constantes!$F$45</f>
        <v>0</v>
      </c>
      <c r="R110" s="170">
        <f>IF(Escenarios!$F$14&gt;0,K110*Escenarios!$F$13/Escenarios!$F$14,0)</f>
        <v>0</v>
      </c>
      <c r="S110" s="170">
        <f>IF(Escenarios!$F$14&gt;0,Q110*Escenarios!$F$13/Escenarios!$F$14,0)</f>
        <v>0</v>
      </c>
      <c r="T110" s="170">
        <f>IF(Escenarios!$F$14&gt;0,Observaciones!$I109,0)</f>
        <v>0</v>
      </c>
      <c r="U110" s="170">
        <f>IF(Escenarios!$F$14&gt;0,MAX(0,Constantes!$F$36/((Z109+R110+S110+T110+Observaciones!$F109)^2)+Entradas!$F$77),0)</f>
        <v>0</v>
      </c>
      <c r="V110" s="146">
        <f>IF(ETo!D109&gt;0,ETo!I109*((1-Entradas!$F$81)*ETo!K109+ETo!L109),0)</f>
        <v>3.2517698727577851</v>
      </c>
      <c r="W110" s="170">
        <f>IF(Escenarios!$F$14&gt;0,MIN(V110*1,0.8*(Z109+R110+S110+T110+Observaciones!$F109-U110-Constantes!$F$35)),0)</f>
        <v>1.4832069309617397</v>
      </c>
      <c r="X110" s="170">
        <f>IF(Escenarios!$F$14&gt;0,Observaciones!$J109,0)</f>
        <v>0</v>
      </c>
      <c r="Y110" s="170">
        <f>IF(Escenarios!$F$14&gt;0,MAX(0,Z109+R110+S110+T110+Observaciones!$F109-U110-W110-X110-Constantes!$F$33),0)</f>
        <v>0</v>
      </c>
      <c r="Z110" s="170">
        <f>Z109+R110+S110+T110+Observaciones!$F109-U110-W110-Y110</f>
        <v>41.620801732740432</v>
      </c>
      <c r="AA110" s="170">
        <f>IF(Escenarios!$F$14&gt;0,(Escenarios!$F$13*L110+Escenarios!$F$14*W110)/(Escenarios!$F$16),L110)</f>
        <v>0.97954529461891005</v>
      </c>
      <c r="AB110" s="170">
        <f>IF(Escenarios!$F$14&gt;0,(Escenarios!$F$14*Y110)/(Escenarios!$F$16),K110)</f>
        <v>0</v>
      </c>
      <c r="AC110" s="170">
        <f>IF(Escenarios!$F$14&gt;0,(Escenarios!$F$13*M110+Escenarios!$F$14*U110)/(Escenarios!$F$16),M110)</f>
        <v>0</v>
      </c>
      <c r="AD110" s="76">
        <f t="shared" si="15"/>
        <v>148.16151349382679</v>
      </c>
      <c r="AE110" s="76">
        <f>MAX(0,(AD110-Constantes!$D$13)*(1-EXP(-Constantes!$D$23)))</f>
        <v>0.97952532043244456</v>
      </c>
      <c r="AF110" s="76">
        <f>AB110+O110*Escenarios!$F$13/Escenarios!$F$16+AE110</f>
        <v>0.98518874641203347</v>
      </c>
      <c r="AG110" s="76">
        <f>IF(Entradas!$F$91&gt;0,IF(AF110-Escenarios!$F$38&lt;=0,0,IF(AF110-Escenarios!$F$38&gt;Escenarios!$F$37,Escenarios!$F$37,AF110-Escenarios!$F$38)),0)</f>
        <v>0</v>
      </c>
      <c r="AH110" s="76">
        <f>AG110*Entradas!$F$99</f>
        <v>0</v>
      </c>
      <c r="AI110" s="76">
        <f>IF(Entradas!$F$91&gt;0,D110*Entradas!$D$23/Escenarios!$F$16,0)</f>
        <v>0.17682536280193586</v>
      </c>
      <c r="AJ110" s="76">
        <f>IF(Entradas!$F$91&gt;0,Entradas!$D$24*Entradas!$D$22/Escenarios!$F$16,0)</f>
        <v>0.12</v>
      </c>
      <c r="AK110" s="76">
        <f t="shared" si="16"/>
        <v>1.1563706574208459</v>
      </c>
      <c r="AL110" s="76">
        <f t="shared" si="17"/>
        <v>0</v>
      </c>
      <c r="AM110" s="76">
        <f t="shared" si="18"/>
        <v>0</v>
      </c>
      <c r="AN110" s="76">
        <f>MAX(0,O110*Escenarios!$F$13/Escenarios!$F$16-AM110)</f>
        <v>5.6634259795889609E-3</v>
      </c>
      <c r="AO110" s="76">
        <f>AM110+AN110-O110*Escenarios!$F$13/Escenarios!$F$16</f>
        <v>0</v>
      </c>
      <c r="AP110" s="76">
        <f t="shared" si="19"/>
        <v>0.97952532043244456</v>
      </c>
      <c r="AQ110" s="76">
        <f t="shared" si="20"/>
        <v>0</v>
      </c>
      <c r="AR110" s="76">
        <f t="shared" si="21"/>
        <v>0.98518874641203347</v>
      </c>
      <c r="AS110" s="76">
        <f t="shared" si="22"/>
        <v>0</v>
      </c>
      <c r="AT110" s="76">
        <f t="shared" si="23"/>
        <v>0</v>
      </c>
      <c r="AU110" s="76">
        <f t="shared" si="24"/>
        <v>58.743977249298894</v>
      </c>
      <c r="AV110" s="76">
        <f>MAX(0,(AU110-Constantes!$D$13)*(1-EXP(-Constantes!$D$24)))</f>
        <v>0.15276041142320701</v>
      </c>
      <c r="AW110" s="170">
        <f>AW109+(Entradas!$F$112*AT110-AX109)/(800*Entradas!$D$25)</f>
        <v>0</v>
      </c>
      <c r="AX110" s="170">
        <f>8000*Entradas!$D$26*AW110/Constantes!$F$45</f>
        <v>0</v>
      </c>
      <c r="AY110" s="170">
        <f>IF(Escenarios!$F$17&gt;0,10*Escenarios!$F$16*AL110,0)</f>
        <v>0</v>
      </c>
      <c r="AZ110" s="170">
        <f>IF(Escenarios!$F$17&gt;0,10*Escenarios!$F$16*AX110,0)</f>
        <v>0</v>
      </c>
      <c r="BA110" s="170">
        <f>IF(Escenarios!$F$17&gt;0,0.001*Observaciones!$F109*Escenarios!$F$17,0)</f>
        <v>0</v>
      </c>
      <c r="BB110" s="170">
        <f>IF(Escenarios!$F$17&gt;0,Observaciones!$K109,0)</f>
        <v>0</v>
      </c>
      <c r="BC110" s="170">
        <f>IF(Escenarios!$F$17&gt;0,MIN(0.0005*ETo!$M109*Escenarios!$F$17*(BG109/Constantes!$F$40)^(2/3),BG109+AY110+AZ110+BA110+BB110),0)</f>
        <v>0</v>
      </c>
      <c r="BD110" s="170">
        <f>IF(Escenarios!$F$17&gt;0,MIN(Constantes!$F$39*(BG109/Constantes!$F$40)^(2/3),BG109+AY110+AZ110+BA110+BB110-BC110),0)</f>
        <v>0</v>
      </c>
      <c r="BE110" s="170">
        <f>IF(Escenarios!$F$17&gt;0,MIN(Entradas!$F$113,BG109+AY110+AZ110+BA110+BB110-BC110-BD110),0)</f>
        <v>0</v>
      </c>
      <c r="BF110" s="170">
        <f>IF(Escenarios!$F$17&gt;0,MAX(0,BG109+AY110+AZ110+BA110+BB110-BC110-BD110-BE110-Constantes!$F$40),0)</f>
        <v>0</v>
      </c>
      <c r="BG110" s="170">
        <f t="shared" si="25"/>
        <v>0</v>
      </c>
      <c r="BH110" s="170">
        <f>(Escenarios!$F$16*AK110+0.1*BC110)/(Escenarios!$F$19)</f>
        <v>1.1563706574208459</v>
      </c>
      <c r="BI110" s="170">
        <f>IF(Escenarios!$F$17&gt;0,BF110/10/Escenarios!$F$19,AL110)</f>
        <v>0</v>
      </c>
      <c r="BJ110" s="170">
        <f>(Escenarios!$F$16*AT110+0.1*BD110)/(Escenarios!$F$19)</f>
        <v>0</v>
      </c>
      <c r="BK110" s="76">
        <f>BK109+(0.1*BD110)/(Escenarios!$F$19)-BL109</f>
        <v>48.75</v>
      </c>
      <c r="BL110" s="76">
        <f>MAX(0,(BK110-Constantes!$D$13)*(1-EXP(-Constantes!$D$23)))</f>
        <v>0</v>
      </c>
      <c r="BM110" s="76">
        <f t="shared" si="26"/>
        <v>1.1322857318556516</v>
      </c>
      <c r="BN110" s="76">
        <f t="shared" si="27"/>
        <v>1.1379491578352405</v>
      </c>
      <c r="BO110" s="76">
        <f>0.0526*BI110*Observaciones!$F109^1.218</f>
        <v>0</v>
      </c>
      <c r="BP110" s="76">
        <f>BO110*Constantes!$F$51</f>
        <v>0</v>
      </c>
      <c r="BQ110" s="76">
        <f t="shared" si="28"/>
        <v>0</v>
      </c>
      <c r="BR110" s="40"/>
    </row>
    <row r="111" spans="2:70">
      <c r="B111" s="39"/>
      <c r="C111" s="75">
        <v>105</v>
      </c>
      <c r="D111" s="146">
        <f>ETo!$I110*((1-Constantes!$F$19)*ETo!$K110+ETo!$L110)</f>
        <v>3.5011635474656848</v>
      </c>
      <c r="E111" s="76">
        <f>MIN(D111*Constantes!$F$17,0.8*(N110+Observaciones!$F110-F111-M111-Constantes!$D$14))</f>
        <v>0.15114545525625689</v>
      </c>
      <c r="F111" s="76">
        <f>IF(Observaciones!$F110&gt;0.05*Constantes!$F$18,((Observaciones!$F110-0.05*Constantes!$F$18)^2)/(Observaciones!$F110+0.95*Constantes!$F$18),0)</f>
        <v>0</v>
      </c>
      <c r="G111" s="76">
        <f>IF(Escenarios!$F$11&gt;0,(F111*Escenarios!$F$16*10000)/1000,0)</f>
        <v>0</v>
      </c>
      <c r="H111" s="76">
        <f>IF(Escenarios!$F$11&gt;0,(Observaciones!$F110*Constantes!$F$29)/1000,0)</f>
        <v>0</v>
      </c>
      <c r="I111" s="76">
        <f>IF(Escenarios!$F$11&gt;0,(D111*Constantes!$F$29)/1000,0)</f>
        <v>0</v>
      </c>
      <c r="J111" s="76">
        <f>IF(Escenarios!$F$11&gt;0,MAX(0,G111+H111-I111),0)</f>
        <v>0</v>
      </c>
      <c r="K111" s="76">
        <f>IF(Escenarios!$F$11&gt;0,IF(J111&gt;Constantes!$F$30,1000*((J111-Constantes!$F$30)/(Escenarios!$F$16*10000)),0),F111)</f>
        <v>0</v>
      </c>
      <c r="L111" s="76">
        <f>IF(Escenarios!$F$11&gt;0,I111*1000/Escenarios!$F$16/10000+E111,E111)</f>
        <v>0.15114545525625689</v>
      </c>
      <c r="M111" s="76">
        <f>MAX(0,N110+Observaciones!$F110-K111-Constantes!$D$13)</f>
        <v>0</v>
      </c>
      <c r="N111" s="76">
        <f>N110+Observaciones!$F110-K111-L111-M111-O110</f>
        <v>11.281350652473622</v>
      </c>
      <c r="O111" s="76">
        <f>MAX(0,(N111-Constantes!$D$14)*(1-EXP(-Constantes!$D$22)))</f>
        <v>1.0679183138529206E-3</v>
      </c>
      <c r="P111" s="170">
        <f>P110+(Entradas!$F$83*M111-Q110)/(800*Entradas!$D$25)</f>
        <v>0</v>
      </c>
      <c r="Q111" s="170">
        <f>8000*Entradas!$D$26*P111/Constantes!$F$45</f>
        <v>0</v>
      </c>
      <c r="R111" s="170">
        <f>IF(Escenarios!$F$14&gt;0,K111*Escenarios!$F$13/Escenarios!$F$14,0)</f>
        <v>0</v>
      </c>
      <c r="S111" s="170">
        <f>IF(Escenarios!$F$14&gt;0,Q111*Escenarios!$F$13/Escenarios!$F$14,0)</f>
        <v>0</v>
      </c>
      <c r="T111" s="170">
        <f>IF(Escenarios!$F$14&gt;0,Observaciones!$I110,0)</f>
        <v>0</v>
      </c>
      <c r="U111" s="170">
        <f>IF(Escenarios!$F$14&gt;0,MAX(0,Constantes!$F$36/((Z110+R111+S111+T111+Observaciones!$F110)^2)+Entradas!$F$77),0)</f>
        <v>0</v>
      </c>
      <c r="V111" s="146">
        <f>IF(ETo!D110&gt;0,ETo!I110*((1-Entradas!$F$81)*ETo!K110+ETo!L110),0)</f>
        <v>3.0877343831360178</v>
      </c>
      <c r="W111" s="170">
        <f>IF(Escenarios!$F$14&gt;0,MIN(V111*1,0.8*(Z110+R111+S111+T111+Observaciones!$F110-U111-Constantes!$F$35)),0)</f>
        <v>0.29664138619234565</v>
      </c>
      <c r="X111" s="170">
        <f>IF(Escenarios!$F$14&gt;0,Observaciones!$J110,0)</f>
        <v>0</v>
      </c>
      <c r="Y111" s="170">
        <f>IF(Escenarios!$F$14&gt;0,MAX(0,Z110+R111+S111+T111+Observaciones!$F110-U111-W111-X111-Constantes!$F$33),0)</f>
        <v>0</v>
      </c>
      <c r="Z111" s="170">
        <f>Z110+R111+S111+T111+Observaciones!$F110-U111-W111-Y111</f>
        <v>41.324160346548084</v>
      </c>
      <c r="AA111" s="170">
        <f>IF(Escenarios!$F$14&gt;0,(Escenarios!$F$13*L111+Escenarios!$F$14*W111)/(Escenarios!$F$16),L111)</f>
        <v>0.16860496696858754</v>
      </c>
      <c r="AB111" s="170">
        <f>IF(Escenarios!$F$14&gt;0,(Escenarios!$F$14*Y111)/(Escenarios!$F$16),K111)</f>
        <v>0</v>
      </c>
      <c r="AC111" s="170">
        <f>IF(Escenarios!$F$14&gt;0,(Escenarios!$F$13*M111+Escenarios!$F$14*U111)/(Escenarios!$F$16),M111)</f>
        <v>0</v>
      </c>
      <c r="AD111" s="76">
        <f t="shared" si="15"/>
        <v>147.18198817339433</v>
      </c>
      <c r="AE111" s="76">
        <f>MAX(0,(AD111-Constantes!$D$13)*(1-EXP(-Constantes!$D$23)))</f>
        <v>0.96987382414546897</v>
      </c>
      <c r="AF111" s="76">
        <f>AB111+O111*Escenarios!$F$13/Escenarios!$F$16+AE111</f>
        <v>0.97081359226165953</v>
      </c>
      <c r="AG111" s="76">
        <f>IF(Entradas!$F$91&gt;0,IF(AF111-Escenarios!$F$38&lt;=0,0,IF(AF111-Escenarios!$F$38&gt;Escenarios!$F$37,Escenarios!$F$37,AF111-Escenarios!$F$38)),0)</f>
        <v>0</v>
      </c>
      <c r="AH111" s="76">
        <f>AG111*Entradas!$F$99</f>
        <v>0</v>
      </c>
      <c r="AI111" s="76">
        <f>IF(Entradas!$F$91&gt;0,D111*Entradas!$D$23/Escenarios!$F$16,0)</f>
        <v>0.16805585027835288</v>
      </c>
      <c r="AJ111" s="76">
        <f>IF(Entradas!$F$91&gt;0,Entradas!$D$24*Entradas!$D$22/Escenarios!$F$16,0)</f>
        <v>0.12</v>
      </c>
      <c r="AK111" s="76">
        <f t="shared" si="16"/>
        <v>0.33666081724694041</v>
      </c>
      <c r="AL111" s="76">
        <f t="shared" si="17"/>
        <v>0</v>
      </c>
      <c r="AM111" s="76">
        <f t="shared" si="18"/>
        <v>0</v>
      </c>
      <c r="AN111" s="76">
        <f>MAX(0,O111*Escenarios!$F$13/Escenarios!$F$16-AM111)</f>
        <v>9.3976811619057008E-4</v>
      </c>
      <c r="AO111" s="76">
        <f>AM111+AN111-O111*Escenarios!$F$13/Escenarios!$F$16</f>
        <v>0</v>
      </c>
      <c r="AP111" s="76">
        <f t="shared" si="19"/>
        <v>0.96987382414546897</v>
      </c>
      <c r="AQ111" s="76">
        <f t="shared" si="20"/>
        <v>0</v>
      </c>
      <c r="AR111" s="76">
        <f t="shared" si="21"/>
        <v>0.97081359226165953</v>
      </c>
      <c r="AS111" s="76">
        <f t="shared" si="22"/>
        <v>0</v>
      </c>
      <c r="AT111" s="76">
        <f t="shared" si="23"/>
        <v>0</v>
      </c>
      <c r="AU111" s="76">
        <f t="shared" si="24"/>
        <v>58.591216837875685</v>
      </c>
      <c r="AV111" s="76">
        <f>MAX(0,(AU111-Constantes!$D$13)*(1-EXP(-Constantes!$D$24)))</f>
        <v>0.15042543079276532</v>
      </c>
      <c r="AW111" s="170">
        <f>AW110+(Entradas!$F$112*AT111-AX110)/(800*Entradas!$D$25)</f>
        <v>0</v>
      </c>
      <c r="AX111" s="170">
        <f>8000*Entradas!$D$26*AW111/Constantes!$F$45</f>
        <v>0</v>
      </c>
      <c r="AY111" s="170">
        <f>IF(Escenarios!$F$17&gt;0,10*Escenarios!$F$16*AL111,0)</f>
        <v>0</v>
      </c>
      <c r="AZ111" s="170">
        <f>IF(Escenarios!$F$17&gt;0,10*Escenarios!$F$16*AX111,0)</f>
        <v>0</v>
      </c>
      <c r="BA111" s="170">
        <f>IF(Escenarios!$F$17&gt;0,0.001*Observaciones!$F110*Escenarios!$F$17,0)</f>
        <v>0</v>
      </c>
      <c r="BB111" s="170">
        <f>IF(Escenarios!$F$17&gt;0,Observaciones!$K110,0)</f>
        <v>0</v>
      </c>
      <c r="BC111" s="170">
        <f>IF(Escenarios!$F$17&gt;0,MIN(0.0005*ETo!$M110*Escenarios!$F$17*(BG110/Constantes!$F$40)^(2/3),BG110+AY111+AZ111+BA111+BB111),0)</f>
        <v>0</v>
      </c>
      <c r="BD111" s="170">
        <f>IF(Escenarios!$F$17&gt;0,MIN(Constantes!$F$39*(BG110/Constantes!$F$40)^(2/3),BG110+AY111+AZ111+BA111+BB111-BC111),0)</f>
        <v>0</v>
      </c>
      <c r="BE111" s="170">
        <f>IF(Escenarios!$F$17&gt;0,MIN(Entradas!$F$113,BG110+AY111+AZ111+BA111+BB111-BC111-BD111),0)</f>
        <v>0</v>
      </c>
      <c r="BF111" s="170">
        <f>IF(Escenarios!$F$17&gt;0,MAX(0,BG110+AY111+AZ111+BA111+BB111-BC111-BD111-BE111-Constantes!$F$40),0)</f>
        <v>0</v>
      </c>
      <c r="BG111" s="170">
        <f t="shared" si="25"/>
        <v>0</v>
      </c>
      <c r="BH111" s="170">
        <f>(Escenarios!$F$16*AK111+0.1*BC111)/(Escenarios!$F$19)</f>
        <v>0.33666081724694041</v>
      </c>
      <c r="BI111" s="170">
        <f>IF(Escenarios!$F$17&gt;0,BF111/10/Escenarios!$F$19,AL111)</f>
        <v>0</v>
      </c>
      <c r="BJ111" s="170">
        <f>(Escenarios!$F$16*AT111+0.1*BD111)/(Escenarios!$F$19)</f>
        <v>0</v>
      </c>
      <c r="BK111" s="76">
        <f>BK110+(0.1*BD111)/(Escenarios!$F$19)-BL110</f>
        <v>48.75</v>
      </c>
      <c r="BL111" s="76">
        <f>MAX(0,(BK111-Constantes!$D$13)*(1-EXP(-Constantes!$D$23)))</f>
        <v>0</v>
      </c>
      <c r="BM111" s="76">
        <f t="shared" si="26"/>
        <v>1.1202992549382342</v>
      </c>
      <c r="BN111" s="76">
        <f t="shared" si="27"/>
        <v>1.1212390230544249</v>
      </c>
      <c r="BO111" s="76">
        <f>0.0526*BI111*Observaciones!$F110^1.218</f>
        <v>0</v>
      </c>
      <c r="BP111" s="76">
        <f>BO111*Constantes!$F$51</f>
        <v>0</v>
      </c>
      <c r="BQ111" s="76">
        <f t="shared" si="28"/>
        <v>0</v>
      </c>
      <c r="BR111" s="40"/>
    </row>
    <row r="112" spans="2:70">
      <c r="B112" s="39"/>
      <c r="C112" s="75">
        <v>106</v>
      </c>
      <c r="D112" s="146">
        <f>ETo!$I111*((1-Constantes!$F$19)*ETo!$K111+ETo!$L111)</f>
        <v>3.5724218632691032</v>
      </c>
      <c r="E112" s="76">
        <f>MIN(D112*Constantes!$F$17,0.8*(N111+Observaciones!$F111-F112-M112-Constantes!$D$14))</f>
        <v>2.5080521978897253E-2</v>
      </c>
      <c r="F112" s="76">
        <f>IF(Observaciones!$F111&gt;0.05*Constantes!$F$18,((Observaciones!$F111-0.05*Constantes!$F$18)^2)/(Observaciones!$F111+0.95*Constantes!$F$18),0)</f>
        <v>0</v>
      </c>
      <c r="G112" s="76">
        <f>IF(Escenarios!$F$11&gt;0,(F112*Escenarios!$F$16*10000)/1000,0)</f>
        <v>0</v>
      </c>
      <c r="H112" s="76">
        <f>IF(Escenarios!$F$11&gt;0,(Observaciones!$F111*Constantes!$F$29)/1000,0)</f>
        <v>0</v>
      </c>
      <c r="I112" s="76">
        <f>IF(Escenarios!$F$11&gt;0,(D112*Constantes!$F$29)/1000,0)</f>
        <v>0</v>
      </c>
      <c r="J112" s="76">
        <f>IF(Escenarios!$F$11&gt;0,MAX(0,G112+H112-I112),0)</f>
        <v>0</v>
      </c>
      <c r="K112" s="76">
        <f>IF(Escenarios!$F$11&gt;0,IF(J112&gt;Constantes!$F$30,1000*((J112-Constantes!$F$30)/(Escenarios!$F$16*10000)),0),F112)</f>
        <v>0</v>
      </c>
      <c r="L112" s="76">
        <f>IF(Escenarios!$F$11&gt;0,I112*1000/Escenarios!$F$16/10000+E112,E112)</f>
        <v>2.5080521978897253E-2</v>
      </c>
      <c r="M112" s="76">
        <f>MAX(0,N111+Observaciones!$F111-K112-Constantes!$D$13)</f>
        <v>0</v>
      </c>
      <c r="N112" s="76">
        <f>N111+Observaciones!$F111-K112-L112-M112-O111</f>
        <v>11.255202212180873</v>
      </c>
      <c r="O112" s="76">
        <f>MAX(0,(N112-Constantes!$D$14)*(1-EXP(-Constantes!$D$22)))</f>
        <v>1.7720644459240514E-4</v>
      </c>
      <c r="P112" s="170">
        <f>P111+(Entradas!$F$83*M112-Q111)/(800*Entradas!$D$25)</f>
        <v>0</v>
      </c>
      <c r="Q112" s="170">
        <f>8000*Entradas!$D$26*P112/Constantes!$F$45</f>
        <v>0</v>
      </c>
      <c r="R112" s="170">
        <f>IF(Escenarios!$F$14&gt;0,K112*Escenarios!$F$13/Escenarios!$F$14,0)</f>
        <v>0</v>
      </c>
      <c r="S112" s="170">
        <f>IF(Escenarios!$F$14&gt;0,Q112*Escenarios!$F$13/Escenarios!$F$14,0)</f>
        <v>0</v>
      </c>
      <c r="T112" s="170">
        <f>IF(Escenarios!$F$14&gt;0,Observaciones!$I111,0)</f>
        <v>0</v>
      </c>
      <c r="U112" s="170">
        <f>IF(Escenarios!$F$14&gt;0,MAX(0,Constantes!$F$36/((Z111+R112+S112+T112+Observaciones!$F111)^2)+Entradas!$F$77),0)</f>
        <v>0</v>
      </c>
      <c r="V112" s="146">
        <f>IF(ETo!D111&gt;0,ETo!I111*((1-Entradas!$F$81)*ETo!K111+ETo!L111),0)</f>
        <v>3.1510332265999637</v>
      </c>
      <c r="W112" s="170">
        <f>IF(Escenarios!$F$14&gt;0,MIN(V112*1,0.8*(Z111+R112+S112+T112+Observaciones!$F111-U112-Constantes!$F$35)),0)</f>
        <v>5.9328277238466856E-2</v>
      </c>
      <c r="X112" s="170">
        <f>IF(Escenarios!$F$14&gt;0,Observaciones!$J111,0)</f>
        <v>0</v>
      </c>
      <c r="Y112" s="170">
        <f>IF(Escenarios!$F$14&gt;0,MAX(0,Z111+R112+S112+T112+Observaciones!$F111-U112-W112-X112-Constantes!$F$33),0)</f>
        <v>0</v>
      </c>
      <c r="Z112" s="170">
        <f>Z111+R112+S112+T112+Observaciones!$F111-U112-W112-Y112</f>
        <v>41.26483206930962</v>
      </c>
      <c r="AA112" s="170">
        <f>IF(Escenarios!$F$14&gt;0,(Escenarios!$F$13*L112+Escenarios!$F$14*W112)/(Escenarios!$F$16),L112)</f>
        <v>2.9190252610045604E-2</v>
      </c>
      <c r="AB112" s="170">
        <f>IF(Escenarios!$F$14&gt;0,(Escenarios!$F$14*Y112)/(Escenarios!$F$16),K112)</f>
        <v>0</v>
      </c>
      <c r="AC112" s="170">
        <f>IF(Escenarios!$F$14&gt;0,(Escenarios!$F$13*M112+Escenarios!$F$14*U112)/(Escenarios!$F$16),M112)</f>
        <v>0</v>
      </c>
      <c r="AD112" s="76">
        <f t="shared" si="15"/>
        <v>146.21211434924885</v>
      </c>
      <c r="AE112" s="76">
        <f>MAX(0,(AD112-Constantes!$D$13)*(1-EXP(-Constantes!$D$23)))</f>
        <v>0.96031742635021622</v>
      </c>
      <c r="AF112" s="76">
        <f>AB112+O112*Escenarios!$F$13/Escenarios!$F$16+AE112</f>
        <v>0.96047336802145755</v>
      </c>
      <c r="AG112" s="76">
        <f>IF(Entradas!$F$91&gt;0,IF(AF112-Escenarios!$F$38&lt;=0,0,IF(AF112-Escenarios!$F$38&gt;Escenarios!$F$37,Escenarios!$F$37,AF112-Escenarios!$F$38)),0)</f>
        <v>0</v>
      </c>
      <c r="AH112" s="76">
        <f>AG112*Entradas!$F$99</f>
        <v>0</v>
      </c>
      <c r="AI112" s="76">
        <f>IF(Entradas!$F$91&gt;0,D112*Entradas!$D$23/Escenarios!$F$16,0)</f>
        <v>0.17147624943691697</v>
      </c>
      <c r="AJ112" s="76">
        <f>IF(Entradas!$F$91&gt;0,Entradas!$D$24*Entradas!$D$22/Escenarios!$F$16,0)</f>
        <v>0.12</v>
      </c>
      <c r="AK112" s="76">
        <f t="shared" si="16"/>
        <v>0.20066650204696257</v>
      </c>
      <c r="AL112" s="76">
        <f t="shared" si="17"/>
        <v>0</v>
      </c>
      <c r="AM112" s="76">
        <f t="shared" si="18"/>
        <v>0</v>
      </c>
      <c r="AN112" s="76">
        <f>MAX(0,O112*Escenarios!$F$13/Escenarios!$F$16-AM112)</f>
        <v>1.5594167124131653E-4</v>
      </c>
      <c r="AO112" s="76">
        <f>AM112+AN112-O112*Escenarios!$F$13/Escenarios!$F$16</f>
        <v>0</v>
      </c>
      <c r="AP112" s="76">
        <f t="shared" si="19"/>
        <v>0.96031742635021622</v>
      </c>
      <c r="AQ112" s="76">
        <f t="shared" si="20"/>
        <v>0</v>
      </c>
      <c r="AR112" s="76">
        <f t="shared" si="21"/>
        <v>0.96047336802145755</v>
      </c>
      <c r="AS112" s="76">
        <f t="shared" si="22"/>
        <v>0</v>
      </c>
      <c r="AT112" s="76">
        <f t="shared" si="23"/>
        <v>0</v>
      </c>
      <c r="AU112" s="76">
        <f t="shared" si="24"/>
        <v>58.440791407082919</v>
      </c>
      <c r="AV112" s="76">
        <f>MAX(0,(AU112-Constantes!$D$13)*(1-EXP(-Constantes!$D$24)))</f>
        <v>0.14812614091815329</v>
      </c>
      <c r="AW112" s="170">
        <f>AW111+(Entradas!$F$112*AT112-AX111)/(800*Entradas!$D$25)</f>
        <v>0</v>
      </c>
      <c r="AX112" s="170">
        <f>8000*Entradas!$D$26*AW112/Constantes!$F$45</f>
        <v>0</v>
      </c>
      <c r="AY112" s="170">
        <f>IF(Escenarios!$F$17&gt;0,10*Escenarios!$F$16*AL112,0)</f>
        <v>0</v>
      </c>
      <c r="AZ112" s="170">
        <f>IF(Escenarios!$F$17&gt;0,10*Escenarios!$F$16*AX112,0)</f>
        <v>0</v>
      </c>
      <c r="BA112" s="170">
        <f>IF(Escenarios!$F$17&gt;0,0.001*Observaciones!$F111*Escenarios!$F$17,0)</f>
        <v>0</v>
      </c>
      <c r="BB112" s="170">
        <f>IF(Escenarios!$F$17&gt;0,Observaciones!$K111,0)</f>
        <v>0</v>
      </c>
      <c r="BC112" s="170">
        <f>IF(Escenarios!$F$17&gt;0,MIN(0.0005*ETo!$M111*Escenarios!$F$17*(BG111/Constantes!$F$40)^(2/3),BG111+AY112+AZ112+BA112+BB112),0)</f>
        <v>0</v>
      </c>
      <c r="BD112" s="170">
        <f>IF(Escenarios!$F$17&gt;0,MIN(Constantes!$F$39*(BG111/Constantes!$F$40)^(2/3),BG111+AY112+AZ112+BA112+BB112-BC112),0)</f>
        <v>0</v>
      </c>
      <c r="BE112" s="170">
        <f>IF(Escenarios!$F$17&gt;0,MIN(Entradas!$F$113,BG111+AY112+AZ112+BA112+BB112-BC112-BD112),0)</f>
        <v>0</v>
      </c>
      <c r="BF112" s="170">
        <f>IF(Escenarios!$F$17&gt;0,MAX(0,BG111+AY112+AZ112+BA112+BB112-BC112-BD112-BE112-Constantes!$F$40),0)</f>
        <v>0</v>
      </c>
      <c r="BG112" s="170">
        <f t="shared" si="25"/>
        <v>0</v>
      </c>
      <c r="BH112" s="170">
        <f>(Escenarios!$F$16*AK112+0.1*BC112)/(Escenarios!$F$19)</f>
        <v>0.20066650204696257</v>
      </c>
      <c r="BI112" s="170">
        <f>IF(Escenarios!$F$17&gt;0,BF112/10/Escenarios!$F$19,AL112)</f>
        <v>0</v>
      </c>
      <c r="BJ112" s="170">
        <f>(Escenarios!$F$16*AT112+0.1*BD112)/(Escenarios!$F$19)</f>
        <v>0</v>
      </c>
      <c r="BK112" s="76">
        <f>BK111+(0.1*BD112)/(Escenarios!$F$19)-BL111</f>
        <v>48.75</v>
      </c>
      <c r="BL112" s="76">
        <f>MAX(0,(BK112-Constantes!$D$13)*(1-EXP(-Constantes!$D$23)))</f>
        <v>0</v>
      </c>
      <c r="BM112" s="76">
        <f t="shared" si="26"/>
        <v>1.1084435672683695</v>
      </c>
      <c r="BN112" s="76">
        <f t="shared" si="27"/>
        <v>1.1085995089396108</v>
      </c>
      <c r="BO112" s="76">
        <f>0.0526*BI112*Observaciones!$F111^1.218</f>
        <v>0</v>
      </c>
      <c r="BP112" s="76">
        <f>BO112*Constantes!$F$51</f>
        <v>0</v>
      </c>
      <c r="BQ112" s="76">
        <f t="shared" si="28"/>
        <v>0</v>
      </c>
      <c r="BR112" s="40"/>
    </row>
    <row r="113" spans="2:70">
      <c r="B113" s="39"/>
      <c r="C113" s="75">
        <v>107</v>
      </c>
      <c r="D113" s="146">
        <f>ETo!$I112*((1-Constantes!$F$19)*ETo!$K112+ETo!$L112)</f>
        <v>3.5229646183672414</v>
      </c>
      <c r="E113" s="76">
        <f>MIN(D113*Constantes!$F$17,0.8*(N112+Observaciones!$F112-F113-M113-Constantes!$D$14))</f>
        <v>4.1617697446980628E-3</v>
      </c>
      <c r="F113" s="76">
        <f>IF(Observaciones!$F112&gt;0.05*Constantes!$F$18,((Observaciones!$F112-0.05*Constantes!$F$18)^2)/(Observaciones!$F112+0.95*Constantes!$F$18),0)</f>
        <v>0</v>
      </c>
      <c r="G113" s="76">
        <f>IF(Escenarios!$F$11&gt;0,(F113*Escenarios!$F$16*10000)/1000,0)</f>
        <v>0</v>
      </c>
      <c r="H113" s="76">
        <f>IF(Escenarios!$F$11&gt;0,(Observaciones!$F112*Constantes!$F$29)/1000,0)</f>
        <v>0</v>
      </c>
      <c r="I113" s="76">
        <f>IF(Escenarios!$F$11&gt;0,(D113*Constantes!$F$29)/1000,0)</f>
        <v>0</v>
      </c>
      <c r="J113" s="76">
        <f>IF(Escenarios!$F$11&gt;0,MAX(0,G113+H113-I113),0)</f>
        <v>0</v>
      </c>
      <c r="K113" s="76">
        <f>IF(Escenarios!$F$11&gt;0,IF(J113&gt;Constantes!$F$30,1000*((J113-Constantes!$F$30)/(Escenarios!$F$16*10000)),0),F113)</f>
        <v>0</v>
      </c>
      <c r="L113" s="76">
        <f>IF(Escenarios!$F$11&gt;0,I113*1000/Escenarios!$F$16/10000+E113,E113)</f>
        <v>4.1617697446980628E-3</v>
      </c>
      <c r="M113" s="76">
        <f>MAX(0,N112+Observaciones!$F112-K113-Constantes!$D$13)</f>
        <v>0</v>
      </c>
      <c r="N113" s="76">
        <f>N112+Observaciones!$F112-K113-L113-M113-O112</f>
        <v>11.250863235991583</v>
      </c>
      <c r="O113" s="76">
        <f>MAX(0,(N113-Constantes!$D$14)*(1-EXP(-Constantes!$D$22)))</f>
        <v>2.940498687750294E-5</v>
      </c>
      <c r="P113" s="170">
        <f>P112+(Entradas!$F$83*M113-Q112)/(800*Entradas!$D$25)</f>
        <v>0</v>
      </c>
      <c r="Q113" s="170">
        <f>8000*Entradas!$D$26*P113/Constantes!$F$45</f>
        <v>0</v>
      </c>
      <c r="R113" s="170">
        <f>IF(Escenarios!$F$14&gt;0,K113*Escenarios!$F$13/Escenarios!$F$14,0)</f>
        <v>0</v>
      </c>
      <c r="S113" s="170">
        <f>IF(Escenarios!$F$14&gt;0,Q113*Escenarios!$F$13/Escenarios!$F$14,0)</f>
        <v>0</v>
      </c>
      <c r="T113" s="170">
        <f>IF(Escenarios!$F$14&gt;0,Observaciones!$I112,0)</f>
        <v>0</v>
      </c>
      <c r="U113" s="170">
        <f>IF(Escenarios!$F$14&gt;0,MAX(0,Constantes!$F$36/((Z112+R113+S113+T113+Observaciones!$F112)^2)+Entradas!$F$77),0)</f>
        <v>0</v>
      </c>
      <c r="V113" s="146">
        <f>IF(ETo!D112&gt;0,ETo!I112*((1-Entradas!$F$81)*ETo!K112+ETo!L112),0)</f>
        <v>3.1063536319178122</v>
      </c>
      <c r="W113" s="170">
        <f>IF(Escenarios!$F$14&gt;0,MIN(V113*1,0.8*(Z112+R113+S113+T113+Observaciones!$F112-U113-Constantes!$F$35)),0)</f>
        <v>1.1865655447695645E-2</v>
      </c>
      <c r="X113" s="170">
        <f>IF(Escenarios!$F$14&gt;0,Observaciones!$J112,0)</f>
        <v>0</v>
      </c>
      <c r="Y113" s="170">
        <f>IF(Escenarios!$F$14&gt;0,MAX(0,Z112+R113+S113+T113+Observaciones!$F112-U113-W113-X113-Constantes!$F$33),0)</f>
        <v>0</v>
      </c>
      <c r="Z113" s="170">
        <f>Z112+R113+S113+T113+Observaciones!$F112-U113-W113-Y113</f>
        <v>41.252966413861927</v>
      </c>
      <c r="AA113" s="170">
        <f>IF(Escenarios!$F$14&gt;0,(Escenarios!$F$13*L113+Escenarios!$F$14*W113)/(Escenarios!$F$16),L113)</f>
        <v>5.0862360290577727E-3</v>
      </c>
      <c r="AB113" s="170">
        <f>IF(Escenarios!$F$14&gt;0,(Escenarios!$F$14*Y113)/(Escenarios!$F$16),K113)</f>
        <v>0</v>
      </c>
      <c r="AC113" s="170">
        <f>IF(Escenarios!$F$14&gt;0,(Escenarios!$F$13*M113+Escenarios!$F$14*U113)/(Escenarios!$F$16),M113)</f>
        <v>0</v>
      </c>
      <c r="AD113" s="76">
        <f t="shared" si="15"/>
        <v>145.25179692289862</v>
      </c>
      <c r="AE113" s="76">
        <f>MAX(0,(AD113-Constantes!$D$13)*(1-EXP(-Constantes!$D$23)))</f>
        <v>0.95085519001859675</v>
      </c>
      <c r="AF113" s="76">
        <f>AB113+O113*Escenarios!$F$13/Escenarios!$F$16+AE113</f>
        <v>0.95088106640704895</v>
      </c>
      <c r="AG113" s="76">
        <f>IF(Entradas!$F$91&gt;0,IF(AF113-Escenarios!$F$38&lt;=0,0,IF(AF113-Escenarios!$F$38&gt;Escenarios!$F$37,Escenarios!$F$37,AF113-Escenarios!$F$38)),0)</f>
        <v>0</v>
      </c>
      <c r="AH113" s="76">
        <f>AG113*Entradas!$F$99</f>
        <v>0</v>
      </c>
      <c r="AI113" s="76">
        <f>IF(Entradas!$F$91&gt;0,D113*Entradas!$D$23/Escenarios!$F$16,0)</f>
        <v>0.16910230168162757</v>
      </c>
      <c r="AJ113" s="76">
        <f>IF(Entradas!$F$91&gt;0,Entradas!$D$24*Entradas!$D$22/Escenarios!$F$16,0)</f>
        <v>0.12</v>
      </c>
      <c r="AK113" s="76">
        <f t="shared" si="16"/>
        <v>0.17418853771068535</v>
      </c>
      <c r="AL113" s="76">
        <f t="shared" si="17"/>
        <v>0</v>
      </c>
      <c r="AM113" s="76">
        <f t="shared" si="18"/>
        <v>0</v>
      </c>
      <c r="AN113" s="76">
        <f>MAX(0,O113*Escenarios!$F$13/Escenarios!$F$16-AM113)</f>
        <v>2.5876388452202588E-5</v>
      </c>
      <c r="AO113" s="76">
        <f>AM113+AN113-O113*Escenarios!$F$13/Escenarios!$F$16</f>
        <v>0</v>
      </c>
      <c r="AP113" s="76">
        <f t="shared" si="19"/>
        <v>0.95085519001859675</v>
      </c>
      <c r="AQ113" s="76">
        <f t="shared" si="20"/>
        <v>0</v>
      </c>
      <c r="AR113" s="76">
        <f t="shared" si="21"/>
        <v>0.95088106640704895</v>
      </c>
      <c r="AS113" s="76">
        <f t="shared" si="22"/>
        <v>0</v>
      </c>
      <c r="AT113" s="76">
        <f t="shared" si="23"/>
        <v>0</v>
      </c>
      <c r="AU113" s="76">
        <f t="shared" si="24"/>
        <v>58.292665266164768</v>
      </c>
      <c r="AV113" s="76">
        <f>MAX(0,(AU113-Constantes!$D$13)*(1-EXP(-Constantes!$D$24)))</f>
        <v>0.14586199625735008</v>
      </c>
      <c r="AW113" s="170">
        <f>AW112+(Entradas!$F$112*AT113-AX112)/(800*Entradas!$D$25)</f>
        <v>0</v>
      </c>
      <c r="AX113" s="170">
        <f>8000*Entradas!$D$26*AW113/Constantes!$F$45</f>
        <v>0</v>
      </c>
      <c r="AY113" s="170">
        <f>IF(Escenarios!$F$17&gt;0,10*Escenarios!$F$16*AL113,0)</f>
        <v>0</v>
      </c>
      <c r="AZ113" s="170">
        <f>IF(Escenarios!$F$17&gt;0,10*Escenarios!$F$16*AX113,0)</f>
        <v>0</v>
      </c>
      <c r="BA113" s="170">
        <f>IF(Escenarios!$F$17&gt;0,0.001*Observaciones!$F112*Escenarios!$F$17,0)</f>
        <v>0</v>
      </c>
      <c r="BB113" s="170">
        <f>IF(Escenarios!$F$17&gt;0,Observaciones!$K112,0)</f>
        <v>0</v>
      </c>
      <c r="BC113" s="170">
        <f>IF(Escenarios!$F$17&gt;0,MIN(0.0005*ETo!$M112*Escenarios!$F$17*(BG112/Constantes!$F$40)^(2/3),BG112+AY113+AZ113+BA113+BB113),0)</f>
        <v>0</v>
      </c>
      <c r="BD113" s="170">
        <f>IF(Escenarios!$F$17&gt;0,MIN(Constantes!$F$39*(BG112/Constantes!$F$40)^(2/3),BG112+AY113+AZ113+BA113+BB113-BC113),0)</f>
        <v>0</v>
      </c>
      <c r="BE113" s="170">
        <f>IF(Escenarios!$F$17&gt;0,MIN(Entradas!$F$113,BG112+AY113+AZ113+BA113+BB113-BC113-BD113),0)</f>
        <v>0</v>
      </c>
      <c r="BF113" s="170">
        <f>IF(Escenarios!$F$17&gt;0,MAX(0,BG112+AY113+AZ113+BA113+BB113-BC113-BD113-BE113-Constantes!$F$40),0)</f>
        <v>0</v>
      </c>
      <c r="BG113" s="170">
        <f t="shared" si="25"/>
        <v>0</v>
      </c>
      <c r="BH113" s="170">
        <f>(Escenarios!$F$16*AK113+0.1*BC113)/(Escenarios!$F$19)</f>
        <v>0.17418853771068535</v>
      </c>
      <c r="BI113" s="170">
        <f>IF(Escenarios!$F$17&gt;0,BF113/10/Escenarios!$F$19,AL113)</f>
        <v>0</v>
      </c>
      <c r="BJ113" s="170">
        <f>(Escenarios!$F$16*AT113+0.1*BD113)/(Escenarios!$F$19)</f>
        <v>0</v>
      </c>
      <c r="BK113" s="76">
        <f>BK112+(0.1*BD113)/(Escenarios!$F$19)-BL112</f>
        <v>48.75</v>
      </c>
      <c r="BL113" s="76">
        <f>MAX(0,(BK113-Constantes!$D$13)*(1-EXP(-Constantes!$D$23)))</f>
        <v>0</v>
      </c>
      <c r="BM113" s="76">
        <f t="shared" si="26"/>
        <v>1.0967171862759468</v>
      </c>
      <c r="BN113" s="76">
        <f t="shared" si="27"/>
        <v>1.096743062664399</v>
      </c>
      <c r="BO113" s="76">
        <f>0.0526*BI113*Observaciones!$F112^1.218</f>
        <v>0</v>
      </c>
      <c r="BP113" s="76">
        <f>BO113*Constantes!$F$51</f>
        <v>0</v>
      </c>
      <c r="BQ113" s="76">
        <f t="shared" si="28"/>
        <v>0</v>
      </c>
      <c r="BR113" s="40"/>
    </row>
    <row r="114" spans="2:70">
      <c r="B114" s="39"/>
      <c r="C114" s="75">
        <v>108</v>
      </c>
      <c r="D114" s="146">
        <f>ETo!$I113*((1-Constantes!$F$19)*ETo!$K113+ETo!$L113)</f>
        <v>3.577739567402991</v>
      </c>
      <c r="E114" s="76">
        <f>MIN(D114*Constantes!$F$17,0.8*(N113+Observaciones!$F113-F114-M114-Constantes!$D$14))</f>
        <v>0.5606905887932655</v>
      </c>
      <c r="F114" s="76">
        <f>IF(Observaciones!$F113&gt;0.05*Constantes!$F$18,((Observaciones!$F113-0.05*Constantes!$F$18)^2)/(Observaciones!$F113+0.95*Constantes!$F$18),0)</f>
        <v>0</v>
      </c>
      <c r="G114" s="76">
        <f>IF(Escenarios!$F$11&gt;0,(F114*Escenarios!$F$16*10000)/1000,0)</f>
        <v>0</v>
      </c>
      <c r="H114" s="76">
        <f>IF(Escenarios!$F$11&gt;0,(Observaciones!$F113*Constantes!$F$29)/1000,0)</f>
        <v>0</v>
      </c>
      <c r="I114" s="76">
        <f>IF(Escenarios!$F$11&gt;0,(D114*Constantes!$F$29)/1000,0)</f>
        <v>0</v>
      </c>
      <c r="J114" s="76">
        <f>IF(Escenarios!$F$11&gt;0,MAX(0,G114+H114-I114),0)</f>
        <v>0</v>
      </c>
      <c r="K114" s="76">
        <f>IF(Escenarios!$F$11&gt;0,IF(J114&gt;Constantes!$F$30,1000*((J114-Constantes!$F$30)/(Escenarios!$F$16*10000)),0),F114)</f>
        <v>0</v>
      </c>
      <c r="L114" s="76">
        <f>IF(Escenarios!$F$11&gt;0,I114*1000/Escenarios!$F$16/10000+E114,E114)</f>
        <v>0.5606905887932655</v>
      </c>
      <c r="M114" s="76">
        <f>MAX(0,N113+Observaciones!$F113-K114-Constantes!$D$13)</f>
        <v>0</v>
      </c>
      <c r="N114" s="76">
        <f>N113+Observaciones!$F113-K114-L114-M114-O113</f>
        <v>11.390143242211439</v>
      </c>
      <c r="O114" s="76">
        <f>MAX(0,(N114-Constantes!$D$14)*(1-EXP(-Constantes!$D$22)))</f>
        <v>4.7737933060961382E-3</v>
      </c>
      <c r="P114" s="170">
        <f>P113+(Entradas!$F$83*M114-Q113)/(800*Entradas!$D$25)</f>
        <v>0</v>
      </c>
      <c r="Q114" s="170">
        <f>8000*Entradas!$D$26*P114/Constantes!$F$45</f>
        <v>0</v>
      </c>
      <c r="R114" s="170">
        <f>IF(Escenarios!$F$14&gt;0,K114*Escenarios!$F$13/Escenarios!$F$14,0)</f>
        <v>0</v>
      </c>
      <c r="S114" s="170">
        <f>IF(Escenarios!$F$14&gt;0,Q114*Escenarios!$F$13/Escenarios!$F$14,0)</f>
        <v>0</v>
      </c>
      <c r="T114" s="170">
        <f>IF(Escenarios!$F$14&gt;0,Observaciones!$I113,0)</f>
        <v>0</v>
      </c>
      <c r="U114" s="170">
        <f>IF(Escenarios!$F$14&gt;0,MAX(0,Constantes!$F$36/((Z113+R114+S114+T114+Observaciones!$F113)^2)+Entradas!$F$77),0)</f>
        <v>0</v>
      </c>
      <c r="V114" s="146">
        <f>IF(ETo!D113&gt;0,ETo!I113*((1-Entradas!$F$81)*ETo!K113+ETo!L113),0)</f>
        <v>3.1550296874992338</v>
      </c>
      <c r="W114" s="170">
        <f>IF(Escenarios!$F$14&gt;0,MIN(V114*1,0.8*(Z113+R114+S114+T114+Observaciones!$F113-U114-Constantes!$F$35)),0)</f>
        <v>0.56237313108954368</v>
      </c>
      <c r="X114" s="170">
        <f>IF(Escenarios!$F$14&gt;0,Observaciones!$J113,0)</f>
        <v>0</v>
      </c>
      <c r="Y114" s="170">
        <f>IF(Escenarios!$F$14&gt;0,MAX(0,Z113+R114+S114+T114+Observaciones!$F113-U114-W114-X114-Constantes!$F$33),0)</f>
        <v>0</v>
      </c>
      <c r="Z114" s="170">
        <f>Z113+R114+S114+T114+Observaciones!$F113-U114-W114-Y114</f>
        <v>41.390593282772386</v>
      </c>
      <c r="AA114" s="170">
        <f>IF(Escenarios!$F$14&gt;0,(Escenarios!$F$13*L114+Escenarios!$F$14*W114)/(Escenarios!$F$16),L114)</f>
        <v>0.5608924938688189</v>
      </c>
      <c r="AB114" s="170">
        <f>IF(Escenarios!$F$14&gt;0,(Escenarios!$F$14*Y114)/(Escenarios!$F$16),K114)</f>
        <v>0</v>
      </c>
      <c r="AC114" s="170">
        <f>IF(Escenarios!$F$14&gt;0,(Escenarios!$F$13*M114+Escenarios!$F$14*U114)/(Escenarios!$F$16),M114)</f>
        <v>0</v>
      </c>
      <c r="AD114" s="76">
        <f t="shared" si="15"/>
        <v>144.30094173288003</v>
      </c>
      <c r="AE114" s="76">
        <f>MAX(0,(AD114-Constantes!$D$13)*(1-EXP(-Constantes!$D$23)))</f>
        <v>0.941486187355282</v>
      </c>
      <c r="AF114" s="76">
        <f>AB114+O114*Escenarios!$F$13/Escenarios!$F$16+AE114</f>
        <v>0.94568712546464662</v>
      </c>
      <c r="AG114" s="76">
        <f>IF(Entradas!$F$91&gt;0,IF(AF114-Escenarios!$F$38&lt;=0,0,IF(AF114-Escenarios!$F$38&gt;Escenarios!$F$37,Escenarios!$F$37,AF114-Escenarios!$F$38)),0)</f>
        <v>0</v>
      </c>
      <c r="AH114" s="76">
        <f>AG114*Entradas!$F$99</f>
        <v>0</v>
      </c>
      <c r="AI114" s="76">
        <f>IF(Entradas!$F$91&gt;0,D114*Entradas!$D$23/Escenarios!$F$16,0)</f>
        <v>0.17173149923534356</v>
      </c>
      <c r="AJ114" s="76">
        <f>IF(Entradas!$F$91&gt;0,Entradas!$D$24*Entradas!$D$22/Escenarios!$F$16,0)</f>
        <v>0.12</v>
      </c>
      <c r="AK114" s="76">
        <f t="shared" si="16"/>
        <v>0.73262399310416249</v>
      </c>
      <c r="AL114" s="76">
        <f t="shared" si="17"/>
        <v>0</v>
      </c>
      <c r="AM114" s="76">
        <f t="shared" si="18"/>
        <v>0</v>
      </c>
      <c r="AN114" s="76">
        <f>MAX(0,O114*Escenarios!$F$13/Escenarios!$F$16-AM114)</f>
        <v>4.200938109364602E-3</v>
      </c>
      <c r="AO114" s="76">
        <f>AM114+AN114-O114*Escenarios!$F$13/Escenarios!$F$16</f>
        <v>0</v>
      </c>
      <c r="AP114" s="76">
        <f t="shared" si="19"/>
        <v>0.941486187355282</v>
      </c>
      <c r="AQ114" s="76">
        <f t="shared" si="20"/>
        <v>0</v>
      </c>
      <c r="AR114" s="76">
        <f t="shared" si="21"/>
        <v>0.94568712546464662</v>
      </c>
      <c r="AS114" s="76">
        <f t="shared" si="22"/>
        <v>0</v>
      </c>
      <c r="AT114" s="76">
        <f t="shared" si="23"/>
        <v>0</v>
      </c>
      <c r="AU114" s="76">
        <f t="shared" si="24"/>
        <v>58.146803269907416</v>
      </c>
      <c r="AV114" s="76">
        <f>MAX(0,(AU114-Constantes!$D$13)*(1-EXP(-Constantes!$D$24)))</f>
        <v>0.1436324596070794</v>
      </c>
      <c r="AW114" s="170">
        <f>AW113+(Entradas!$F$112*AT114-AX113)/(800*Entradas!$D$25)</f>
        <v>0</v>
      </c>
      <c r="AX114" s="170">
        <f>8000*Entradas!$D$26*AW114/Constantes!$F$45</f>
        <v>0</v>
      </c>
      <c r="AY114" s="170">
        <f>IF(Escenarios!$F$17&gt;0,10*Escenarios!$F$16*AL114,0)</f>
        <v>0</v>
      </c>
      <c r="AZ114" s="170">
        <f>IF(Escenarios!$F$17&gt;0,10*Escenarios!$F$16*AX114,0)</f>
        <v>0</v>
      </c>
      <c r="BA114" s="170">
        <f>IF(Escenarios!$F$17&gt;0,0.001*Observaciones!$F113*Escenarios!$F$17,0)</f>
        <v>0</v>
      </c>
      <c r="BB114" s="170">
        <f>IF(Escenarios!$F$17&gt;0,Observaciones!$K113,0)</f>
        <v>0</v>
      </c>
      <c r="BC114" s="170">
        <f>IF(Escenarios!$F$17&gt;0,MIN(0.0005*ETo!$M113*Escenarios!$F$17*(BG113/Constantes!$F$40)^(2/3),BG113+AY114+AZ114+BA114+BB114),0)</f>
        <v>0</v>
      </c>
      <c r="BD114" s="170">
        <f>IF(Escenarios!$F$17&gt;0,MIN(Constantes!$F$39*(BG113/Constantes!$F$40)^(2/3),BG113+AY114+AZ114+BA114+BB114-BC114),0)</f>
        <v>0</v>
      </c>
      <c r="BE114" s="170">
        <f>IF(Escenarios!$F$17&gt;0,MIN(Entradas!$F$113,BG113+AY114+AZ114+BA114+BB114-BC114-BD114),0)</f>
        <v>0</v>
      </c>
      <c r="BF114" s="170">
        <f>IF(Escenarios!$F$17&gt;0,MAX(0,BG113+AY114+AZ114+BA114+BB114-BC114-BD114-BE114-Constantes!$F$40),0)</f>
        <v>0</v>
      </c>
      <c r="BG114" s="170">
        <f t="shared" si="25"/>
        <v>0</v>
      </c>
      <c r="BH114" s="170">
        <f>(Escenarios!$F$16*AK114+0.1*BC114)/(Escenarios!$F$19)</f>
        <v>0.73262399310416249</v>
      </c>
      <c r="BI114" s="170">
        <f>IF(Escenarios!$F$17&gt;0,BF114/10/Escenarios!$F$19,AL114)</f>
        <v>0</v>
      </c>
      <c r="BJ114" s="170">
        <f>(Escenarios!$F$16*AT114+0.1*BD114)/(Escenarios!$F$19)</f>
        <v>0</v>
      </c>
      <c r="BK114" s="76">
        <f>BK113+(0.1*BD114)/(Escenarios!$F$19)-BL113</f>
        <v>48.75</v>
      </c>
      <c r="BL114" s="76">
        <f>MAX(0,(BK114-Constantes!$D$13)*(1-EXP(-Constantes!$D$23)))</f>
        <v>0</v>
      </c>
      <c r="BM114" s="76">
        <f t="shared" si="26"/>
        <v>1.0851186469623615</v>
      </c>
      <c r="BN114" s="76">
        <f t="shared" si="27"/>
        <v>1.0893195850717261</v>
      </c>
      <c r="BO114" s="76">
        <f>0.0526*BI114*Observaciones!$F113^1.218</f>
        <v>0</v>
      </c>
      <c r="BP114" s="76">
        <f>BO114*Constantes!$F$51</f>
        <v>0</v>
      </c>
      <c r="BQ114" s="76">
        <f t="shared" si="28"/>
        <v>0</v>
      </c>
      <c r="BR114" s="40"/>
    </row>
    <row r="115" spans="2:70">
      <c r="B115" s="39"/>
      <c r="C115" s="75">
        <v>109</v>
      </c>
      <c r="D115" s="146">
        <f>ETo!$I114*((1-Constantes!$F$19)*ETo!$K114+ETo!$L114)</f>
        <v>3.6050622740075786</v>
      </c>
      <c r="E115" s="76">
        <f>MIN(D115*Constantes!$F$17,0.8*(N114+Observaciones!$F114-F115-M115-Constantes!$D$14))</f>
        <v>0.51211459376915092</v>
      </c>
      <c r="F115" s="76">
        <f>IF(Observaciones!$F114&gt;0.05*Constantes!$F$18,((Observaciones!$F114-0.05*Constantes!$F$18)^2)/(Observaciones!$F114+0.95*Constantes!$F$18),0)</f>
        <v>0</v>
      </c>
      <c r="G115" s="76">
        <f>IF(Escenarios!$F$11&gt;0,(F115*Escenarios!$F$16*10000)/1000,0)</f>
        <v>0</v>
      </c>
      <c r="H115" s="76">
        <f>IF(Escenarios!$F$11&gt;0,(Observaciones!$F114*Constantes!$F$29)/1000,0)</f>
        <v>0</v>
      </c>
      <c r="I115" s="76">
        <f>IF(Escenarios!$F$11&gt;0,(D115*Constantes!$F$29)/1000,0)</f>
        <v>0</v>
      </c>
      <c r="J115" s="76">
        <f>IF(Escenarios!$F$11&gt;0,MAX(0,G115+H115-I115),0)</f>
        <v>0</v>
      </c>
      <c r="K115" s="76">
        <f>IF(Escenarios!$F$11&gt;0,IF(J115&gt;Constantes!$F$30,1000*((J115-Constantes!$F$30)/(Escenarios!$F$16*10000)),0),F115)</f>
        <v>0</v>
      </c>
      <c r="L115" s="76">
        <f>IF(Escenarios!$F$11&gt;0,I115*1000/Escenarios!$F$16/10000+E115,E115)</f>
        <v>0.51211459376915092</v>
      </c>
      <c r="M115" s="76">
        <f>MAX(0,N114+Observaciones!$F114-K115-Constantes!$D$13)</f>
        <v>0</v>
      </c>
      <c r="N115" s="76">
        <f>N114+Observaciones!$F114-K115-L115-M115-O114</f>
        <v>11.37325485513619</v>
      </c>
      <c r="O115" s="76">
        <f>MAX(0,(N115-Constantes!$D$14)*(1-EXP(-Constantes!$D$22)))</f>
        <v>4.1985128437749984E-3</v>
      </c>
      <c r="P115" s="170">
        <f>P114+(Entradas!$F$83*M115-Q114)/(800*Entradas!$D$25)</f>
        <v>0</v>
      </c>
      <c r="Q115" s="170">
        <f>8000*Entradas!$D$26*P115/Constantes!$F$45</f>
        <v>0</v>
      </c>
      <c r="R115" s="170">
        <f>IF(Escenarios!$F$14&gt;0,K115*Escenarios!$F$13/Escenarios!$F$14,0)</f>
        <v>0</v>
      </c>
      <c r="S115" s="170">
        <f>IF(Escenarios!$F$14&gt;0,Q115*Escenarios!$F$13/Escenarios!$F$14,0)</f>
        <v>0</v>
      </c>
      <c r="T115" s="170">
        <f>IF(Escenarios!$F$14&gt;0,Observaciones!$I114,0)</f>
        <v>0</v>
      </c>
      <c r="U115" s="170">
        <f>IF(Escenarios!$F$14&gt;0,MAX(0,Constantes!$F$36/((Z114+R115+S115+T115+Observaciones!$F114)^2)+Entradas!$F$77),0)</f>
        <v>0</v>
      </c>
      <c r="V115" s="146">
        <f>IF(ETo!D114&gt;0,ETo!I114*((1-Entradas!$F$81)*ETo!K114+ETo!L114),0)</f>
        <v>3.1792086420117447</v>
      </c>
      <c r="W115" s="170">
        <f>IF(Escenarios!$F$14&gt;0,MIN(V115*1,0.8*(Z114+R115+S115+T115+Observaciones!$F114-U115-Constantes!$F$35)),0)</f>
        <v>0.51247462621790874</v>
      </c>
      <c r="X115" s="170">
        <f>IF(Escenarios!$F$14&gt;0,Observaciones!$J114,0)</f>
        <v>0</v>
      </c>
      <c r="Y115" s="170">
        <f>IF(Escenarios!$F$14&gt;0,MAX(0,Z114+R115+S115+T115+Observaciones!$F114-U115-W115-X115-Constantes!$F$33),0)</f>
        <v>0</v>
      </c>
      <c r="Z115" s="170">
        <f>Z114+R115+S115+T115+Observaciones!$F114-U115-W115-Y115</f>
        <v>41.378118656554477</v>
      </c>
      <c r="AA115" s="170">
        <f>IF(Escenarios!$F$14&gt;0,(Escenarios!$F$13*L115+Escenarios!$F$14*W115)/(Escenarios!$F$16),L115)</f>
        <v>0.51215779766300196</v>
      </c>
      <c r="AB115" s="170">
        <f>IF(Escenarios!$F$14&gt;0,(Escenarios!$F$14*Y115)/(Escenarios!$F$16),K115)</f>
        <v>0</v>
      </c>
      <c r="AC115" s="170">
        <f>IF(Escenarios!$F$14&gt;0,(Escenarios!$F$13*M115+Escenarios!$F$14*U115)/(Escenarios!$F$16),M115)</f>
        <v>0</v>
      </c>
      <c r="AD115" s="76">
        <f t="shared" si="15"/>
        <v>143.35945554552475</v>
      </c>
      <c r="AE115" s="76">
        <f>MAX(0,(AD115-Constantes!$D$13)*(1-EXP(-Constantes!$D$23)))</f>
        <v>0.9322094997067315</v>
      </c>
      <c r="AF115" s="76">
        <f>AB115+O115*Escenarios!$F$13/Escenarios!$F$16+AE115</f>
        <v>0.93590419100925348</v>
      </c>
      <c r="AG115" s="76">
        <f>IF(Entradas!$F$91&gt;0,IF(AF115-Escenarios!$F$38&lt;=0,0,IF(AF115-Escenarios!$F$38&gt;Escenarios!$F$37,Escenarios!$F$37,AF115-Escenarios!$F$38)),0)</f>
        <v>0</v>
      </c>
      <c r="AH115" s="76">
        <f>AG115*Entradas!$F$99</f>
        <v>0</v>
      </c>
      <c r="AI115" s="76">
        <f>IF(Entradas!$F$91&gt;0,D115*Entradas!$D$23/Escenarios!$F$16,0)</f>
        <v>0.17304298915236377</v>
      </c>
      <c r="AJ115" s="76">
        <f>IF(Entradas!$F$91&gt;0,Entradas!$D$24*Entradas!$D$22/Escenarios!$F$16,0)</f>
        <v>0.12</v>
      </c>
      <c r="AK115" s="76">
        <f t="shared" si="16"/>
        <v>0.68520078681536578</v>
      </c>
      <c r="AL115" s="76">
        <f t="shared" si="17"/>
        <v>0</v>
      </c>
      <c r="AM115" s="76">
        <f t="shared" si="18"/>
        <v>0</v>
      </c>
      <c r="AN115" s="76">
        <f>MAX(0,O115*Escenarios!$F$13/Escenarios!$F$16-AM115)</f>
        <v>3.6946913025219987E-3</v>
      </c>
      <c r="AO115" s="76">
        <f>AM115+AN115-O115*Escenarios!$F$13/Escenarios!$F$16</f>
        <v>0</v>
      </c>
      <c r="AP115" s="76">
        <f t="shared" si="19"/>
        <v>0.9322094997067315</v>
      </c>
      <c r="AQ115" s="76">
        <f t="shared" si="20"/>
        <v>0</v>
      </c>
      <c r="AR115" s="76">
        <f t="shared" si="21"/>
        <v>0.93590419100925348</v>
      </c>
      <c r="AS115" s="76">
        <f t="shared" si="22"/>
        <v>0</v>
      </c>
      <c r="AT115" s="76">
        <f t="shared" si="23"/>
        <v>0</v>
      </c>
      <c r="AU115" s="76">
        <f t="shared" si="24"/>
        <v>58.00317081030034</v>
      </c>
      <c r="AV115" s="76">
        <f>MAX(0,(AU115-Constantes!$D$13)*(1-EXP(-Constantes!$D$24)))</f>
        <v>0.14143700197534992</v>
      </c>
      <c r="AW115" s="170">
        <f>AW114+(Entradas!$F$112*AT115-AX114)/(800*Entradas!$D$25)</f>
        <v>0</v>
      </c>
      <c r="AX115" s="170">
        <f>8000*Entradas!$D$26*AW115/Constantes!$F$45</f>
        <v>0</v>
      </c>
      <c r="AY115" s="170">
        <f>IF(Escenarios!$F$17&gt;0,10*Escenarios!$F$16*AL115,0)</f>
        <v>0</v>
      </c>
      <c r="AZ115" s="170">
        <f>IF(Escenarios!$F$17&gt;0,10*Escenarios!$F$16*AX115,0)</f>
        <v>0</v>
      </c>
      <c r="BA115" s="170">
        <f>IF(Escenarios!$F$17&gt;0,0.001*Observaciones!$F114*Escenarios!$F$17,0)</f>
        <v>0</v>
      </c>
      <c r="BB115" s="170">
        <f>IF(Escenarios!$F$17&gt;0,Observaciones!$K114,0)</f>
        <v>0</v>
      </c>
      <c r="BC115" s="170">
        <f>IF(Escenarios!$F$17&gt;0,MIN(0.0005*ETo!$M114*Escenarios!$F$17*(BG114/Constantes!$F$40)^(2/3),BG114+AY115+AZ115+BA115+BB115),0)</f>
        <v>0</v>
      </c>
      <c r="BD115" s="170">
        <f>IF(Escenarios!$F$17&gt;0,MIN(Constantes!$F$39*(BG114/Constantes!$F$40)^(2/3),BG114+AY115+AZ115+BA115+BB115-BC115),0)</f>
        <v>0</v>
      </c>
      <c r="BE115" s="170">
        <f>IF(Escenarios!$F$17&gt;0,MIN(Entradas!$F$113,BG114+AY115+AZ115+BA115+BB115-BC115-BD115),0)</f>
        <v>0</v>
      </c>
      <c r="BF115" s="170">
        <f>IF(Escenarios!$F$17&gt;0,MAX(0,BG114+AY115+AZ115+BA115+BB115-BC115-BD115-BE115-Constantes!$F$40),0)</f>
        <v>0</v>
      </c>
      <c r="BG115" s="170">
        <f t="shared" si="25"/>
        <v>0</v>
      </c>
      <c r="BH115" s="170">
        <f>(Escenarios!$F$16*AK115+0.1*BC115)/(Escenarios!$F$19)</f>
        <v>0.68520078681536578</v>
      </c>
      <c r="BI115" s="170">
        <f>IF(Escenarios!$F$17&gt;0,BF115/10/Escenarios!$F$19,AL115)</f>
        <v>0</v>
      </c>
      <c r="BJ115" s="170">
        <f>(Escenarios!$F$16*AT115+0.1*BD115)/(Escenarios!$F$19)</f>
        <v>0</v>
      </c>
      <c r="BK115" s="76">
        <f>BK114+(0.1*BD115)/(Escenarios!$F$19)-BL114</f>
        <v>48.75</v>
      </c>
      <c r="BL115" s="76">
        <f>MAX(0,(BK115-Constantes!$D$13)*(1-EXP(-Constantes!$D$23)))</f>
        <v>0</v>
      </c>
      <c r="BM115" s="76">
        <f t="shared" si="26"/>
        <v>1.0736465016820813</v>
      </c>
      <c r="BN115" s="76">
        <f t="shared" si="27"/>
        <v>1.0773411929846035</v>
      </c>
      <c r="BO115" s="76">
        <f>0.0526*BI115*Observaciones!$F114^1.218</f>
        <v>0</v>
      </c>
      <c r="BP115" s="76">
        <f>BO115*Constantes!$F$51</f>
        <v>0</v>
      </c>
      <c r="BQ115" s="76">
        <f t="shared" si="28"/>
        <v>0</v>
      </c>
      <c r="BR115" s="40"/>
    </row>
    <row r="116" spans="2:70">
      <c r="B116" s="39"/>
      <c r="C116" s="75">
        <v>110</v>
      </c>
      <c r="D116" s="146">
        <f>ETo!$I115*((1-Constantes!$F$19)*ETo!$K115+ETo!$L115)</f>
        <v>3.6551076817440884</v>
      </c>
      <c r="E116" s="76">
        <f>MIN(D116*Constantes!$F$17,0.8*(N115+Observaciones!$F115-F116-M116-Constantes!$D$14))</f>
        <v>9.8603884108952405E-2</v>
      </c>
      <c r="F116" s="76">
        <f>IF(Observaciones!$F115&gt;0.05*Constantes!$F$18,((Observaciones!$F115-0.05*Constantes!$F$18)^2)/(Observaciones!$F115+0.95*Constantes!$F$18),0)</f>
        <v>0</v>
      </c>
      <c r="G116" s="76">
        <f>IF(Escenarios!$F$11&gt;0,(F116*Escenarios!$F$16*10000)/1000,0)</f>
        <v>0</v>
      </c>
      <c r="H116" s="76">
        <f>IF(Escenarios!$F$11&gt;0,(Observaciones!$F115*Constantes!$F$29)/1000,0)</f>
        <v>0</v>
      </c>
      <c r="I116" s="76">
        <f>IF(Escenarios!$F$11&gt;0,(D116*Constantes!$F$29)/1000,0)</f>
        <v>0</v>
      </c>
      <c r="J116" s="76">
        <f>IF(Escenarios!$F$11&gt;0,MAX(0,G116+H116-I116),0)</f>
        <v>0</v>
      </c>
      <c r="K116" s="76">
        <f>IF(Escenarios!$F$11&gt;0,IF(J116&gt;Constantes!$F$30,1000*((J116-Constantes!$F$30)/(Escenarios!$F$16*10000)),0),F116)</f>
        <v>0</v>
      </c>
      <c r="L116" s="76">
        <f>IF(Escenarios!$F$11&gt;0,I116*1000/Escenarios!$F$16/10000+E116,E116)</f>
        <v>9.8603884108952405E-2</v>
      </c>
      <c r="M116" s="76">
        <f>MAX(0,N115+Observaciones!$F115-K116-Constantes!$D$13)</f>
        <v>0</v>
      </c>
      <c r="N116" s="76">
        <f>N115+Observaciones!$F115-K116-L116-M116-O115</f>
        <v>11.270452458183463</v>
      </c>
      <c r="O116" s="76">
        <f>MAX(0,(N116-Constantes!$D$14)*(1-EXP(-Constantes!$D$22)))</f>
        <v>6.9668580823984392E-4</v>
      </c>
      <c r="P116" s="170">
        <f>P115+(Entradas!$F$83*M116-Q115)/(800*Entradas!$D$25)</f>
        <v>0</v>
      </c>
      <c r="Q116" s="170">
        <f>8000*Entradas!$D$26*P116/Constantes!$F$45</f>
        <v>0</v>
      </c>
      <c r="R116" s="170">
        <f>IF(Escenarios!$F$14&gt;0,K116*Escenarios!$F$13/Escenarios!$F$14,0)</f>
        <v>0</v>
      </c>
      <c r="S116" s="170">
        <f>IF(Escenarios!$F$14&gt;0,Q116*Escenarios!$F$13/Escenarios!$F$14,0)</f>
        <v>0</v>
      </c>
      <c r="T116" s="170">
        <f>IF(Escenarios!$F$14&gt;0,Observaciones!$I115,0)</f>
        <v>0</v>
      </c>
      <c r="U116" s="170">
        <f>IF(Escenarios!$F$14&gt;0,MAX(0,Constantes!$F$36/((Z115+R116+S116+T116+Observaciones!$F115)^2)+Entradas!$F$77),0)</f>
        <v>0</v>
      </c>
      <c r="V116" s="146">
        <f>IF(ETo!D115&gt;0,ETo!I115*((1-Entradas!$F$81)*ETo!K115+ETo!L115),0)</f>
        <v>3.2239463880657762</v>
      </c>
      <c r="W116" s="170">
        <f>IF(Escenarios!$F$14&gt;0,MIN(V116*1,0.8*(Z115+R116+S116+T116+Observaciones!$F115-U116-Constantes!$F$35)),0)</f>
        <v>0.10249492524358175</v>
      </c>
      <c r="X116" s="170">
        <f>IF(Escenarios!$F$14&gt;0,Observaciones!$J115,0)</f>
        <v>0</v>
      </c>
      <c r="Y116" s="170">
        <f>IF(Escenarios!$F$14&gt;0,MAX(0,Z115+R116+S116+T116+Observaciones!$F115-U116-W116-X116-Constantes!$F$33),0)</f>
        <v>0</v>
      </c>
      <c r="Z116" s="170">
        <f>Z115+R116+S116+T116+Observaciones!$F115-U116-W116-Y116</f>
        <v>41.275623731310894</v>
      </c>
      <c r="AA116" s="170">
        <f>IF(Escenarios!$F$14&gt;0,(Escenarios!$F$13*L116+Escenarios!$F$14*W116)/(Escenarios!$F$16),L116)</f>
        <v>9.9070809045107927E-2</v>
      </c>
      <c r="AB116" s="170">
        <f>IF(Escenarios!$F$14&gt;0,(Escenarios!$F$14*Y116)/(Escenarios!$F$16),K116)</f>
        <v>0</v>
      </c>
      <c r="AC116" s="170">
        <f>IF(Escenarios!$F$14&gt;0,(Escenarios!$F$13*M116+Escenarios!$F$14*U116)/(Escenarios!$F$16),M116)</f>
        <v>0</v>
      </c>
      <c r="AD116" s="76">
        <f t="shared" si="15"/>
        <v>142.42724604581801</v>
      </c>
      <c r="AE116" s="76">
        <f>MAX(0,(AD116-Constantes!$D$13)*(1-EXP(-Constantes!$D$23)))</f>
        <v>0.92302421747111674</v>
      </c>
      <c r="AF116" s="76">
        <f>AB116+O116*Escenarios!$F$13/Escenarios!$F$16+AE116</f>
        <v>0.92363730098236785</v>
      </c>
      <c r="AG116" s="76">
        <f>IF(Entradas!$F$91&gt;0,IF(AF116-Escenarios!$F$38&lt;=0,0,IF(AF116-Escenarios!$F$38&gt;Escenarios!$F$37,Escenarios!$F$37,AF116-Escenarios!$F$38)),0)</f>
        <v>0</v>
      </c>
      <c r="AH116" s="76">
        <f>AG116*Entradas!$F$99</f>
        <v>0</v>
      </c>
      <c r="AI116" s="76">
        <f>IF(Entradas!$F$91&gt;0,D116*Entradas!$D$23/Escenarios!$F$16,0)</f>
        <v>0.17544516872371624</v>
      </c>
      <c r="AJ116" s="76">
        <f>IF(Entradas!$F$91&gt;0,Entradas!$D$24*Entradas!$D$22/Escenarios!$F$16,0)</f>
        <v>0.12</v>
      </c>
      <c r="AK116" s="76">
        <f t="shared" si="16"/>
        <v>0.27451597776882419</v>
      </c>
      <c r="AL116" s="76">
        <f t="shared" si="17"/>
        <v>0</v>
      </c>
      <c r="AM116" s="76">
        <f t="shared" si="18"/>
        <v>0</v>
      </c>
      <c r="AN116" s="76">
        <f>MAX(0,O116*Escenarios!$F$13/Escenarios!$F$16-AM116)</f>
        <v>6.1308351125106259E-4</v>
      </c>
      <c r="AO116" s="76">
        <f>AM116+AN116-O116*Escenarios!$F$13/Escenarios!$F$16</f>
        <v>0</v>
      </c>
      <c r="AP116" s="76">
        <f t="shared" si="19"/>
        <v>0.92302421747111674</v>
      </c>
      <c r="AQ116" s="76">
        <f t="shared" si="20"/>
        <v>0</v>
      </c>
      <c r="AR116" s="76">
        <f t="shared" si="21"/>
        <v>0.92363730098236785</v>
      </c>
      <c r="AS116" s="76">
        <f t="shared" si="22"/>
        <v>0</v>
      </c>
      <c r="AT116" s="76">
        <f t="shared" si="23"/>
        <v>0</v>
      </c>
      <c r="AU116" s="76">
        <f t="shared" si="24"/>
        <v>57.861733808324992</v>
      </c>
      <c r="AV116" s="76">
        <f>MAX(0,(AU116-Constantes!$D$13)*(1-EXP(-Constantes!$D$24)))</f>
        <v>0.13927510245594338</v>
      </c>
      <c r="AW116" s="170">
        <f>AW115+(Entradas!$F$112*AT116-AX115)/(800*Entradas!$D$25)</f>
        <v>0</v>
      </c>
      <c r="AX116" s="170">
        <f>8000*Entradas!$D$26*AW116/Constantes!$F$45</f>
        <v>0</v>
      </c>
      <c r="AY116" s="170">
        <f>IF(Escenarios!$F$17&gt;0,10*Escenarios!$F$16*AL116,0)</f>
        <v>0</v>
      </c>
      <c r="AZ116" s="170">
        <f>IF(Escenarios!$F$17&gt;0,10*Escenarios!$F$16*AX116,0)</f>
        <v>0</v>
      </c>
      <c r="BA116" s="170">
        <f>IF(Escenarios!$F$17&gt;0,0.001*Observaciones!$F115*Escenarios!$F$17,0)</f>
        <v>0</v>
      </c>
      <c r="BB116" s="170">
        <f>IF(Escenarios!$F$17&gt;0,Observaciones!$K115,0)</f>
        <v>0</v>
      </c>
      <c r="BC116" s="170">
        <f>IF(Escenarios!$F$17&gt;0,MIN(0.0005*ETo!$M115*Escenarios!$F$17*(BG115/Constantes!$F$40)^(2/3),BG115+AY116+AZ116+BA116+BB116),0)</f>
        <v>0</v>
      </c>
      <c r="BD116" s="170">
        <f>IF(Escenarios!$F$17&gt;0,MIN(Constantes!$F$39*(BG115/Constantes!$F$40)^(2/3),BG115+AY116+AZ116+BA116+BB116-BC116),0)</f>
        <v>0</v>
      </c>
      <c r="BE116" s="170">
        <f>IF(Escenarios!$F$17&gt;0,MIN(Entradas!$F$113,BG115+AY116+AZ116+BA116+BB116-BC116-BD116),0)</f>
        <v>0</v>
      </c>
      <c r="BF116" s="170">
        <f>IF(Escenarios!$F$17&gt;0,MAX(0,BG115+AY116+AZ116+BA116+BB116-BC116-BD116-BE116-Constantes!$F$40),0)</f>
        <v>0</v>
      </c>
      <c r="BG116" s="170">
        <f t="shared" si="25"/>
        <v>0</v>
      </c>
      <c r="BH116" s="170">
        <f>(Escenarios!$F$16*AK116+0.1*BC116)/(Escenarios!$F$19)</f>
        <v>0.27451597776882419</v>
      </c>
      <c r="BI116" s="170">
        <f>IF(Escenarios!$F$17&gt;0,BF116/10/Escenarios!$F$19,AL116)</f>
        <v>0</v>
      </c>
      <c r="BJ116" s="170">
        <f>(Escenarios!$F$16*AT116+0.1*BD116)/(Escenarios!$F$19)</f>
        <v>0</v>
      </c>
      <c r="BK116" s="76">
        <f>BK115+(0.1*BD116)/(Escenarios!$F$19)-BL115</f>
        <v>48.75</v>
      </c>
      <c r="BL116" s="76">
        <f>MAX(0,(BK116-Constantes!$D$13)*(1-EXP(-Constantes!$D$23)))</f>
        <v>0</v>
      </c>
      <c r="BM116" s="76">
        <f t="shared" si="26"/>
        <v>1.0622993199270601</v>
      </c>
      <c r="BN116" s="76">
        <f t="shared" si="27"/>
        <v>1.0629124034383113</v>
      </c>
      <c r="BO116" s="76">
        <f>0.0526*BI116*Observaciones!$F115^1.218</f>
        <v>0</v>
      </c>
      <c r="BP116" s="76">
        <f>BO116*Constantes!$F$51</f>
        <v>0</v>
      </c>
      <c r="BQ116" s="76">
        <f t="shared" si="28"/>
        <v>0</v>
      </c>
      <c r="BR116" s="40"/>
    </row>
    <row r="117" spans="2:70">
      <c r="B117" s="39"/>
      <c r="C117" s="75">
        <v>111</v>
      </c>
      <c r="D117" s="146">
        <f>ETo!$I116*((1-Constantes!$F$19)*ETo!$K116+ETo!$L116)</f>
        <v>3.4793334120464325</v>
      </c>
      <c r="E117" s="76">
        <f>MIN(D117*Constantes!$F$17,0.8*(N116+Observaciones!$F116-F117-M117-Constantes!$D$14))</f>
        <v>1.6361966546770645E-2</v>
      </c>
      <c r="F117" s="76">
        <f>IF(Observaciones!$F116&gt;0.05*Constantes!$F$18,((Observaciones!$F116-0.05*Constantes!$F$18)^2)/(Observaciones!$F116+0.95*Constantes!$F$18),0)</f>
        <v>0</v>
      </c>
      <c r="G117" s="76">
        <f>IF(Escenarios!$F$11&gt;0,(F117*Escenarios!$F$16*10000)/1000,0)</f>
        <v>0</v>
      </c>
      <c r="H117" s="76">
        <f>IF(Escenarios!$F$11&gt;0,(Observaciones!$F116*Constantes!$F$29)/1000,0)</f>
        <v>0</v>
      </c>
      <c r="I117" s="76">
        <f>IF(Escenarios!$F$11&gt;0,(D117*Constantes!$F$29)/1000,0)</f>
        <v>0</v>
      </c>
      <c r="J117" s="76">
        <f>IF(Escenarios!$F$11&gt;0,MAX(0,G117+H117-I117),0)</f>
        <v>0</v>
      </c>
      <c r="K117" s="76">
        <f>IF(Escenarios!$F$11&gt;0,IF(J117&gt;Constantes!$F$30,1000*((J117-Constantes!$F$30)/(Escenarios!$F$16*10000)),0),F117)</f>
        <v>0</v>
      </c>
      <c r="L117" s="76">
        <f>IF(Escenarios!$F$11&gt;0,I117*1000/Escenarios!$F$16/10000+E117,E117)</f>
        <v>1.6361966546770645E-2</v>
      </c>
      <c r="M117" s="76">
        <f>MAX(0,N116+Observaciones!$F116-K117-Constantes!$D$13)</f>
        <v>0</v>
      </c>
      <c r="N117" s="76">
        <f>N116+Observaciones!$F116-K117-L117-M117-O116</f>
        <v>11.253393805828452</v>
      </c>
      <c r="O117" s="76">
        <f>MAX(0,(N117-Constantes!$D$14)*(1-EXP(-Constantes!$D$22)))</f>
        <v>1.1560548543332895E-4</v>
      </c>
      <c r="P117" s="170">
        <f>P116+(Entradas!$F$83*M117-Q116)/(800*Entradas!$D$25)</f>
        <v>0</v>
      </c>
      <c r="Q117" s="170">
        <f>8000*Entradas!$D$26*P117/Constantes!$F$45</f>
        <v>0</v>
      </c>
      <c r="R117" s="170">
        <f>IF(Escenarios!$F$14&gt;0,K117*Escenarios!$F$13/Escenarios!$F$14,0)</f>
        <v>0</v>
      </c>
      <c r="S117" s="170">
        <f>IF(Escenarios!$F$14&gt;0,Q117*Escenarios!$F$13/Escenarios!$F$14,0)</f>
        <v>0</v>
      </c>
      <c r="T117" s="170">
        <f>IF(Escenarios!$F$14&gt;0,Observaciones!$I116,0)</f>
        <v>0</v>
      </c>
      <c r="U117" s="170">
        <f>IF(Escenarios!$F$14&gt;0,MAX(0,Constantes!$F$36/((Z116+R117+S117+T117+Observaciones!$F116)^2)+Entradas!$F$77),0)</f>
        <v>0</v>
      </c>
      <c r="V117" s="146">
        <f>IF(ETo!D116&gt;0,ETo!I116*((1-Entradas!$F$81)*ETo!K116+ETo!L116),0)</f>
        <v>3.0656505609520206</v>
      </c>
      <c r="W117" s="170">
        <f>IF(Escenarios!$F$14&gt;0,MIN(V117*1,0.8*(Z116+R117+S117+T117+Observaciones!$F116-U117-Constantes!$F$35)),0)</f>
        <v>2.0498985048715213E-2</v>
      </c>
      <c r="X117" s="170">
        <f>IF(Escenarios!$F$14&gt;0,Observaciones!$J116,0)</f>
        <v>0</v>
      </c>
      <c r="Y117" s="170">
        <f>IF(Escenarios!$F$14&gt;0,MAX(0,Z116+R117+S117+T117+Observaciones!$F116-U117-W117-X117-Constantes!$F$33),0)</f>
        <v>0</v>
      </c>
      <c r="Z117" s="170">
        <f>Z116+R117+S117+T117+Observaciones!$F116-U117-W117-Y117</f>
        <v>41.255124746262176</v>
      </c>
      <c r="AA117" s="170">
        <f>IF(Escenarios!$F$14&gt;0,(Escenarios!$F$13*L117+Escenarios!$F$14*W117)/(Escenarios!$F$16),L117)</f>
        <v>1.6858408767003993E-2</v>
      </c>
      <c r="AB117" s="170">
        <f>IF(Escenarios!$F$14&gt;0,(Escenarios!$F$14*Y117)/(Escenarios!$F$16),K117)</f>
        <v>0</v>
      </c>
      <c r="AC117" s="170">
        <f>IF(Escenarios!$F$14&gt;0,(Escenarios!$F$13*M117+Escenarios!$F$14*U117)/(Escenarios!$F$16),M117)</f>
        <v>0</v>
      </c>
      <c r="AD117" s="76">
        <f t="shared" si="15"/>
        <v>141.50422182834689</v>
      </c>
      <c r="AE117" s="76">
        <f>MAX(0,(AD117-Constantes!$D$13)*(1-EXP(-Constantes!$D$23)))</f>
        <v>0.91392944000913345</v>
      </c>
      <c r="AF117" s="76">
        <f>AB117+O117*Escenarios!$F$13/Escenarios!$F$16+AE117</f>
        <v>0.91403117283631474</v>
      </c>
      <c r="AG117" s="76">
        <f>IF(Entradas!$F$91&gt;0,IF(AF117-Escenarios!$F$38&lt;=0,0,IF(AF117-Escenarios!$F$38&gt;Escenarios!$F$37,Escenarios!$F$37,AF117-Escenarios!$F$38)),0)</f>
        <v>0</v>
      </c>
      <c r="AH117" s="76">
        <f>AG117*Entradas!$F$99</f>
        <v>0</v>
      </c>
      <c r="AI117" s="76">
        <f>IF(Entradas!$F$91&gt;0,D117*Entradas!$D$23/Escenarios!$F$16,0)</f>
        <v>0.16700800377822875</v>
      </c>
      <c r="AJ117" s="76">
        <f>IF(Entradas!$F$91&gt;0,Entradas!$D$24*Entradas!$D$22/Escenarios!$F$16,0)</f>
        <v>0.12</v>
      </c>
      <c r="AK117" s="76">
        <f t="shared" si="16"/>
        <v>0.18386641254523273</v>
      </c>
      <c r="AL117" s="76">
        <f t="shared" si="17"/>
        <v>0</v>
      </c>
      <c r="AM117" s="76">
        <f t="shared" si="18"/>
        <v>0</v>
      </c>
      <c r="AN117" s="76">
        <f>MAX(0,O117*Escenarios!$F$13/Escenarios!$F$16-AM117)</f>
        <v>1.0173282718132948E-4</v>
      </c>
      <c r="AO117" s="76">
        <f>AM117+AN117-O117*Escenarios!$F$13/Escenarios!$F$16</f>
        <v>0</v>
      </c>
      <c r="AP117" s="76">
        <f t="shared" si="19"/>
        <v>0.91392944000913345</v>
      </c>
      <c r="AQ117" s="76">
        <f t="shared" si="20"/>
        <v>0</v>
      </c>
      <c r="AR117" s="76">
        <f t="shared" si="21"/>
        <v>0.91403117283631474</v>
      </c>
      <c r="AS117" s="76">
        <f t="shared" si="22"/>
        <v>0</v>
      </c>
      <c r="AT117" s="76">
        <f t="shared" si="23"/>
        <v>0</v>
      </c>
      <c r="AU117" s="76">
        <f t="shared" si="24"/>
        <v>57.722458705869052</v>
      </c>
      <c r="AV117" s="76">
        <f>MAX(0,(AU117-Constantes!$D$13)*(1-EXP(-Constantes!$D$24)))</f>
        <v>0.13714624810482193</v>
      </c>
      <c r="AW117" s="170">
        <f>AW116+(Entradas!$F$112*AT117-AX116)/(800*Entradas!$D$25)</f>
        <v>0</v>
      </c>
      <c r="AX117" s="170">
        <f>8000*Entradas!$D$26*AW117/Constantes!$F$45</f>
        <v>0</v>
      </c>
      <c r="AY117" s="170">
        <f>IF(Escenarios!$F$17&gt;0,10*Escenarios!$F$16*AL117,0)</f>
        <v>0</v>
      </c>
      <c r="AZ117" s="170">
        <f>IF(Escenarios!$F$17&gt;0,10*Escenarios!$F$16*AX117,0)</f>
        <v>0</v>
      </c>
      <c r="BA117" s="170">
        <f>IF(Escenarios!$F$17&gt;0,0.001*Observaciones!$F116*Escenarios!$F$17,0)</f>
        <v>0</v>
      </c>
      <c r="BB117" s="170">
        <f>IF(Escenarios!$F$17&gt;0,Observaciones!$K116,0)</f>
        <v>0</v>
      </c>
      <c r="BC117" s="170">
        <f>IF(Escenarios!$F$17&gt;0,MIN(0.0005*ETo!$M116*Escenarios!$F$17*(BG116/Constantes!$F$40)^(2/3),BG116+AY117+AZ117+BA117+BB117),0)</f>
        <v>0</v>
      </c>
      <c r="BD117" s="170">
        <f>IF(Escenarios!$F$17&gt;0,MIN(Constantes!$F$39*(BG116/Constantes!$F$40)^(2/3),BG116+AY117+AZ117+BA117+BB117-BC117),0)</f>
        <v>0</v>
      </c>
      <c r="BE117" s="170">
        <f>IF(Escenarios!$F$17&gt;0,MIN(Entradas!$F$113,BG116+AY117+AZ117+BA117+BB117-BC117-BD117),0)</f>
        <v>0</v>
      </c>
      <c r="BF117" s="170">
        <f>IF(Escenarios!$F$17&gt;0,MAX(0,BG116+AY117+AZ117+BA117+BB117-BC117-BD117-BE117-Constantes!$F$40),0)</f>
        <v>0</v>
      </c>
      <c r="BG117" s="170">
        <f t="shared" si="25"/>
        <v>0</v>
      </c>
      <c r="BH117" s="170">
        <f>(Escenarios!$F$16*AK117+0.1*BC117)/(Escenarios!$F$19)</f>
        <v>0.18386641254523273</v>
      </c>
      <c r="BI117" s="170">
        <f>IF(Escenarios!$F$17&gt;0,BF117/10/Escenarios!$F$19,AL117)</f>
        <v>0</v>
      </c>
      <c r="BJ117" s="170">
        <f>(Escenarios!$F$16*AT117+0.1*BD117)/(Escenarios!$F$19)</f>
        <v>0</v>
      </c>
      <c r="BK117" s="76">
        <f>BK116+(0.1*BD117)/(Escenarios!$F$19)-BL116</f>
        <v>48.75</v>
      </c>
      <c r="BL117" s="76">
        <f>MAX(0,(BK117-Constantes!$D$13)*(1-EXP(-Constantes!$D$23)))</f>
        <v>0</v>
      </c>
      <c r="BM117" s="76">
        <f t="shared" si="26"/>
        <v>1.0510756881139554</v>
      </c>
      <c r="BN117" s="76">
        <f t="shared" si="27"/>
        <v>1.0511774209411366</v>
      </c>
      <c r="BO117" s="76">
        <f>0.0526*BI117*Observaciones!$F116^1.218</f>
        <v>0</v>
      </c>
      <c r="BP117" s="76">
        <f>BO117*Constantes!$F$51</f>
        <v>0</v>
      </c>
      <c r="BQ117" s="76">
        <f t="shared" si="28"/>
        <v>0</v>
      </c>
      <c r="BR117" s="40"/>
    </row>
    <row r="118" spans="2:70">
      <c r="B118" s="39"/>
      <c r="C118" s="75">
        <v>112</v>
      </c>
      <c r="D118" s="146">
        <f>ETo!$I117*((1-Constantes!$F$19)*ETo!$K117+ETo!$L117)</f>
        <v>3.4115271186057923</v>
      </c>
      <c r="E118" s="76">
        <f>MIN(D118*Constantes!$F$17,0.8*(N117+Observaciones!$F117-F118-M118-Constantes!$D$14))</f>
        <v>0.48271504466276127</v>
      </c>
      <c r="F118" s="76">
        <f>IF(Observaciones!$F117&gt;0.05*Constantes!$F$18,((Observaciones!$F117-0.05*Constantes!$F$18)^2)/(Observaciones!$F117+0.95*Constantes!$F$18),0)</f>
        <v>0</v>
      </c>
      <c r="G118" s="76">
        <f>IF(Escenarios!$F$11&gt;0,(F118*Escenarios!$F$16*10000)/1000,0)</f>
        <v>0</v>
      </c>
      <c r="H118" s="76">
        <f>IF(Escenarios!$F$11&gt;0,(Observaciones!$F117*Constantes!$F$29)/1000,0)</f>
        <v>0</v>
      </c>
      <c r="I118" s="76">
        <f>IF(Escenarios!$F$11&gt;0,(D118*Constantes!$F$29)/1000,0)</f>
        <v>0</v>
      </c>
      <c r="J118" s="76">
        <f>IF(Escenarios!$F$11&gt;0,MAX(0,G118+H118-I118),0)</f>
        <v>0</v>
      </c>
      <c r="K118" s="76">
        <f>IF(Escenarios!$F$11&gt;0,IF(J118&gt;Constantes!$F$30,1000*((J118-Constantes!$F$30)/(Escenarios!$F$16*10000)),0),F118)</f>
        <v>0</v>
      </c>
      <c r="L118" s="76">
        <f>IF(Escenarios!$F$11&gt;0,I118*1000/Escenarios!$F$16/10000+E118,E118)</f>
        <v>0.48271504466276127</v>
      </c>
      <c r="M118" s="76">
        <f>MAX(0,N117+Observaciones!$F117-K118-Constantes!$D$13)</f>
        <v>0</v>
      </c>
      <c r="N118" s="76">
        <f>N117+Observaciones!$F117-K118-L118-M118-O117</f>
        <v>11.370563155680257</v>
      </c>
      <c r="O118" s="76">
        <f>MAX(0,(N118-Constantes!$D$14)*(1-EXP(-Constantes!$D$22)))</f>
        <v>4.1068236788749032E-3</v>
      </c>
      <c r="P118" s="170">
        <f>P117+(Entradas!$F$83*M118-Q117)/(800*Entradas!$D$25)</f>
        <v>0</v>
      </c>
      <c r="Q118" s="170">
        <f>8000*Entradas!$D$26*P118/Constantes!$F$45</f>
        <v>0</v>
      </c>
      <c r="R118" s="170">
        <f>IF(Escenarios!$F$14&gt;0,K118*Escenarios!$F$13/Escenarios!$F$14,0)</f>
        <v>0</v>
      </c>
      <c r="S118" s="170">
        <f>IF(Escenarios!$F$14&gt;0,Q118*Escenarios!$F$13/Escenarios!$F$14,0)</f>
        <v>0</v>
      </c>
      <c r="T118" s="170">
        <f>IF(Escenarios!$F$14&gt;0,Observaciones!$I117,0)</f>
        <v>0</v>
      </c>
      <c r="U118" s="170">
        <f>IF(Escenarios!$F$14&gt;0,MAX(0,Constantes!$F$36/((Z117+R118+S118+T118+Observaciones!$F117)^2)+Entradas!$F$77),0)</f>
        <v>0</v>
      </c>
      <c r="V118" s="146">
        <f>IF(ETo!D117&gt;0,ETo!I117*((1-Entradas!$F$81)*ETo!K117+ETo!L117),0)</f>
        <v>3.0045861750225153</v>
      </c>
      <c r="W118" s="170">
        <f>IF(Escenarios!$F$14&gt;0,MIN(V118*1,0.8*(Z117+R118+S118+T118+Observaciones!$F117-U118-Constantes!$F$35)),0)</f>
        <v>0.48409979700974193</v>
      </c>
      <c r="X118" s="170">
        <f>IF(Escenarios!$F$14&gt;0,Observaciones!$J117,0)</f>
        <v>0</v>
      </c>
      <c r="Y118" s="170">
        <f>IF(Escenarios!$F$14&gt;0,MAX(0,Z117+R118+S118+T118+Observaciones!$F117-U118-W118-X118-Constantes!$F$33),0)</f>
        <v>0</v>
      </c>
      <c r="Z118" s="170">
        <f>Z117+R118+S118+T118+Observaciones!$F117-U118-W118-Y118</f>
        <v>41.371024949252437</v>
      </c>
      <c r="AA118" s="170">
        <f>IF(Escenarios!$F$14&gt;0,(Escenarios!$F$13*L118+Escenarios!$F$14*W118)/(Escenarios!$F$16),L118)</f>
        <v>0.48288121494439895</v>
      </c>
      <c r="AB118" s="170">
        <f>IF(Escenarios!$F$14&gt;0,(Escenarios!$F$14*Y118)/(Escenarios!$F$16),K118)</f>
        <v>0</v>
      </c>
      <c r="AC118" s="170">
        <f>IF(Escenarios!$F$14&gt;0,(Escenarios!$F$13*M118+Escenarios!$F$14*U118)/(Escenarios!$F$16),M118)</f>
        <v>0</v>
      </c>
      <c r="AD118" s="76">
        <f t="shared" si="15"/>
        <v>140.59029238833776</v>
      </c>
      <c r="AE118" s="76">
        <f>MAX(0,(AD118-Constantes!$D$13)*(1-EXP(-Constantes!$D$23)))</f>
        <v>0.90492427555569033</v>
      </c>
      <c r="AF118" s="76">
        <f>AB118+O118*Escenarios!$F$13/Escenarios!$F$16+AE118</f>
        <v>0.90853828039310025</v>
      </c>
      <c r="AG118" s="76">
        <f>IF(Entradas!$F$91&gt;0,IF(AF118-Escenarios!$F$38&lt;=0,0,IF(AF118-Escenarios!$F$38&gt;Escenarios!$F$37,Escenarios!$F$37,AF118-Escenarios!$F$38)),0)</f>
        <v>0</v>
      </c>
      <c r="AH118" s="76">
        <f>AG118*Entradas!$F$99</f>
        <v>0</v>
      </c>
      <c r="AI118" s="76">
        <f>IF(Entradas!$F$91&gt;0,D118*Entradas!$D$23/Escenarios!$F$16,0)</f>
        <v>0.163753301693078</v>
      </c>
      <c r="AJ118" s="76">
        <f>IF(Entradas!$F$91&gt;0,Entradas!$D$24*Entradas!$D$22/Escenarios!$F$16,0)</f>
        <v>0.12</v>
      </c>
      <c r="AK118" s="76">
        <f t="shared" si="16"/>
        <v>0.64663451663747695</v>
      </c>
      <c r="AL118" s="76">
        <f t="shared" si="17"/>
        <v>0</v>
      </c>
      <c r="AM118" s="76">
        <f t="shared" si="18"/>
        <v>0</v>
      </c>
      <c r="AN118" s="76">
        <f>MAX(0,O118*Escenarios!$F$13/Escenarios!$F$16-AM118)</f>
        <v>3.6140048374099149E-3</v>
      </c>
      <c r="AO118" s="76">
        <f>AM118+AN118-O118*Escenarios!$F$13/Escenarios!$F$16</f>
        <v>0</v>
      </c>
      <c r="AP118" s="76">
        <f t="shared" si="19"/>
        <v>0.90492427555569033</v>
      </c>
      <c r="AQ118" s="76">
        <f t="shared" si="20"/>
        <v>0</v>
      </c>
      <c r="AR118" s="76">
        <f t="shared" si="21"/>
        <v>0.90853828039310025</v>
      </c>
      <c r="AS118" s="76">
        <f t="shared" si="22"/>
        <v>0</v>
      </c>
      <c r="AT118" s="76">
        <f t="shared" si="23"/>
        <v>0</v>
      </c>
      <c r="AU118" s="76">
        <f t="shared" si="24"/>
        <v>57.585312457764232</v>
      </c>
      <c r="AV118" s="76">
        <f>MAX(0,(AU118-Constantes!$D$13)*(1-EXP(-Constantes!$D$24)))</f>
        <v>0.13504993381842395</v>
      </c>
      <c r="AW118" s="170">
        <f>AW117+(Entradas!$F$112*AT118-AX117)/(800*Entradas!$D$25)</f>
        <v>0</v>
      </c>
      <c r="AX118" s="170">
        <f>8000*Entradas!$D$26*AW118/Constantes!$F$45</f>
        <v>0</v>
      </c>
      <c r="AY118" s="170">
        <f>IF(Escenarios!$F$17&gt;0,10*Escenarios!$F$16*AL118,0)</f>
        <v>0</v>
      </c>
      <c r="AZ118" s="170">
        <f>IF(Escenarios!$F$17&gt;0,10*Escenarios!$F$16*AX118,0)</f>
        <v>0</v>
      </c>
      <c r="BA118" s="170">
        <f>IF(Escenarios!$F$17&gt;0,0.001*Observaciones!$F117*Escenarios!$F$17,0)</f>
        <v>0</v>
      </c>
      <c r="BB118" s="170">
        <f>IF(Escenarios!$F$17&gt;0,Observaciones!$K117,0)</f>
        <v>0</v>
      </c>
      <c r="BC118" s="170">
        <f>IF(Escenarios!$F$17&gt;0,MIN(0.0005*ETo!$M117*Escenarios!$F$17*(BG117/Constantes!$F$40)^(2/3),BG117+AY118+AZ118+BA118+BB118),0)</f>
        <v>0</v>
      </c>
      <c r="BD118" s="170">
        <f>IF(Escenarios!$F$17&gt;0,MIN(Constantes!$F$39*(BG117/Constantes!$F$40)^(2/3),BG117+AY118+AZ118+BA118+BB118-BC118),0)</f>
        <v>0</v>
      </c>
      <c r="BE118" s="170">
        <f>IF(Escenarios!$F$17&gt;0,MIN(Entradas!$F$113,BG117+AY118+AZ118+BA118+BB118-BC118-BD118),0)</f>
        <v>0</v>
      </c>
      <c r="BF118" s="170">
        <f>IF(Escenarios!$F$17&gt;0,MAX(0,BG117+AY118+AZ118+BA118+BB118-BC118-BD118-BE118-Constantes!$F$40),0)</f>
        <v>0</v>
      </c>
      <c r="BG118" s="170">
        <f t="shared" si="25"/>
        <v>0</v>
      </c>
      <c r="BH118" s="170">
        <f>(Escenarios!$F$16*AK118+0.1*BC118)/(Escenarios!$F$19)</f>
        <v>0.64663451663747695</v>
      </c>
      <c r="BI118" s="170">
        <f>IF(Escenarios!$F$17&gt;0,BF118/10/Escenarios!$F$19,AL118)</f>
        <v>0</v>
      </c>
      <c r="BJ118" s="170">
        <f>(Escenarios!$F$16*AT118+0.1*BD118)/(Escenarios!$F$19)</f>
        <v>0</v>
      </c>
      <c r="BK118" s="76">
        <f>BK117+(0.1*BD118)/(Escenarios!$F$19)-BL117</f>
        <v>48.75</v>
      </c>
      <c r="BL118" s="76">
        <f>MAX(0,(BK118-Constantes!$D$13)*(1-EXP(-Constantes!$D$23)))</f>
        <v>0</v>
      </c>
      <c r="BM118" s="76">
        <f t="shared" si="26"/>
        <v>1.0399742093741142</v>
      </c>
      <c r="BN118" s="76">
        <f t="shared" si="27"/>
        <v>1.0435882142115243</v>
      </c>
      <c r="BO118" s="76">
        <f>0.0526*BI118*Observaciones!$F117^1.218</f>
        <v>0</v>
      </c>
      <c r="BP118" s="76">
        <f>BO118*Constantes!$F$51</f>
        <v>0</v>
      </c>
      <c r="BQ118" s="76">
        <f t="shared" si="28"/>
        <v>0</v>
      </c>
      <c r="BR118" s="40"/>
    </row>
    <row r="119" spans="2:70">
      <c r="B119" s="39"/>
      <c r="C119" s="75">
        <v>113</v>
      </c>
      <c r="D119" s="146">
        <f>ETo!$I118*((1-Constantes!$F$19)*ETo!$K118+ETo!$L118)</f>
        <v>3.3218218376495581</v>
      </c>
      <c r="E119" s="76">
        <f>MIN(D119*Constantes!$F$17,0.8*(N118+Observaciones!$F118-F119-M119-Constantes!$D$14))</f>
        <v>9.645052454420551E-2</v>
      </c>
      <c r="F119" s="76">
        <f>IF(Observaciones!$F118&gt;0.05*Constantes!$F$18,((Observaciones!$F118-0.05*Constantes!$F$18)^2)/(Observaciones!$F118+0.95*Constantes!$F$18),0)</f>
        <v>0</v>
      </c>
      <c r="G119" s="76">
        <f>IF(Escenarios!$F$11&gt;0,(F119*Escenarios!$F$16*10000)/1000,0)</f>
        <v>0</v>
      </c>
      <c r="H119" s="76">
        <f>IF(Escenarios!$F$11&gt;0,(Observaciones!$F118*Constantes!$F$29)/1000,0)</f>
        <v>0</v>
      </c>
      <c r="I119" s="76">
        <f>IF(Escenarios!$F$11&gt;0,(D119*Constantes!$F$29)/1000,0)</f>
        <v>0</v>
      </c>
      <c r="J119" s="76">
        <f>IF(Escenarios!$F$11&gt;0,MAX(0,G119+H119-I119),0)</f>
        <v>0</v>
      </c>
      <c r="K119" s="76">
        <f>IF(Escenarios!$F$11&gt;0,IF(J119&gt;Constantes!$F$30,1000*((J119-Constantes!$F$30)/(Escenarios!$F$16*10000)),0),F119)</f>
        <v>0</v>
      </c>
      <c r="L119" s="76">
        <f>IF(Escenarios!$F$11&gt;0,I119*1000/Escenarios!$F$16/10000+E119,E119)</f>
        <v>9.645052454420551E-2</v>
      </c>
      <c r="M119" s="76">
        <f>MAX(0,N118+Observaciones!$F118-K119-Constantes!$D$13)</f>
        <v>0</v>
      </c>
      <c r="N119" s="76">
        <f>N118+Observaciones!$F118-K119-L119-M119-O118</f>
        <v>11.270005807457176</v>
      </c>
      <c r="O119" s="76">
        <f>MAX(0,(N119-Constantes!$D$14)*(1-EXP(-Constantes!$D$22)))</f>
        <v>6.8147124481411636E-4</v>
      </c>
      <c r="P119" s="170">
        <f>P118+(Entradas!$F$83*M119-Q118)/(800*Entradas!$D$25)</f>
        <v>0</v>
      </c>
      <c r="Q119" s="170">
        <f>8000*Entradas!$D$26*P119/Constantes!$F$45</f>
        <v>0</v>
      </c>
      <c r="R119" s="170">
        <f>IF(Escenarios!$F$14&gt;0,K119*Escenarios!$F$13/Escenarios!$F$14,0)</f>
        <v>0</v>
      </c>
      <c r="S119" s="170">
        <f>IF(Escenarios!$F$14&gt;0,Q119*Escenarios!$F$13/Escenarios!$F$14,0)</f>
        <v>0</v>
      </c>
      <c r="T119" s="170">
        <f>IF(Escenarios!$F$14&gt;0,Observaciones!$I118,0)</f>
        <v>0</v>
      </c>
      <c r="U119" s="170">
        <f>IF(Escenarios!$F$14&gt;0,MAX(0,Constantes!$F$36/((Z118+R119+S119+T119+Observaciones!$F118)^2)+Entradas!$F$77),0)</f>
        <v>0</v>
      </c>
      <c r="V119" s="146">
        <f>IF(ETo!D118&gt;0,ETo!I118*((1-Entradas!$F$81)*ETo!K118+ETo!L118),0)</f>
        <v>2.9241232371895163</v>
      </c>
      <c r="W119" s="170">
        <f>IF(Escenarios!$F$14&gt;0,MIN(V119*1,0.8*(Z118+R119+S119+T119+Observaciones!$F118-U119-Constantes!$F$35)),0)</f>
        <v>9.6819959401949526E-2</v>
      </c>
      <c r="X119" s="170">
        <f>IF(Escenarios!$F$14&gt;0,Observaciones!$J118,0)</f>
        <v>0</v>
      </c>
      <c r="Y119" s="170">
        <f>IF(Escenarios!$F$14&gt;0,MAX(0,Z118+R119+S119+T119+Observaciones!$F118-U119-W119-X119-Constantes!$F$33),0)</f>
        <v>0</v>
      </c>
      <c r="Z119" s="170">
        <f>Z118+R119+S119+T119+Observaciones!$F118-U119-W119-Y119</f>
        <v>41.274204989850489</v>
      </c>
      <c r="AA119" s="170">
        <f>IF(Escenarios!$F$14&gt;0,(Escenarios!$F$13*L119+Escenarios!$F$14*W119)/(Escenarios!$F$16),L119)</f>
        <v>9.6494856727134787E-2</v>
      </c>
      <c r="AB119" s="170">
        <f>IF(Escenarios!$F$14&gt;0,(Escenarios!$F$14*Y119)/(Escenarios!$F$16),K119)</f>
        <v>0</v>
      </c>
      <c r="AC119" s="170">
        <f>IF(Escenarios!$F$14&gt;0,(Escenarios!$F$13*M119+Escenarios!$F$14*U119)/(Escenarios!$F$16),M119)</f>
        <v>0</v>
      </c>
      <c r="AD119" s="76">
        <f t="shared" si="15"/>
        <v>139.68536811278207</v>
      </c>
      <c r="AE119" s="76">
        <f>MAX(0,(AD119-Constantes!$D$13)*(1-EXP(-Constantes!$D$23)))</f>
        <v>0.89600784113247012</v>
      </c>
      <c r="AF119" s="76">
        <f>AB119+O119*Escenarios!$F$13/Escenarios!$F$16+AE119</f>
        <v>0.89660753582790653</v>
      </c>
      <c r="AG119" s="76">
        <f>IF(Entradas!$F$91&gt;0,IF(AF119-Escenarios!$F$38&lt;=0,0,IF(AF119-Escenarios!$F$38&gt;Escenarios!$F$37,Escenarios!$F$37,AF119-Escenarios!$F$38)),0)</f>
        <v>0</v>
      </c>
      <c r="AH119" s="76">
        <f>AG119*Entradas!$F$99</f>
        <v>0</v>
      </c>
      <c r="AI119" s="76">
        <f>IF(Entradas!$F$91&gt;0,D119*Entradas!$D$23/Escenarios!$F$16,0)</f>
        <v>0.15944744820717879</v>
      </c>
      <c r="AJ119" s="76">
        <f>IF(Entradas!$F$91&gt;0,Entradas!$D$24*Entradas!$D$22/Escenarios!$F$16,0)</f>
        <v>0.12</v>
      </c>
      <c r="AK119" s="76">
        <f t="shared" si="16"/>
        <v>0.25594230493431358</v>
      </c>
      <c r="AL119" s="76">
        <f t="shared" si="17"/>
        <v>0</v>
      </c>
      <c r="AM119" s="76">
        <f t="shared" si="18"/>
        <v>0</v>
      </c>
      <c r="AN119" s="76">
        <f>MAX(0,O119*Escenarios!$F$13/Escenarios!$F$16-AM119)</f>
        <v>5.9969469543642243E-4</v>
      </c>
      <c r="AO119" s="76">
        <f>AM119+AN119-O119*Escenarios!$F$13/Escenarios!$F$16</f>
        <v>0</v>
      </c>
      <c r="AP119" s="76">
        <f t="shared" si="19"/>
        <v>0.89600784113247012</v>
      </c>
      <c r="AQ119" s="76">
        <f t="shared" si="20"/>
        <v>0</v>
      </c>
      <c r="AR119" s="76">
        <f t="shared" si="21"/>
        <v>0.89660753582790653</v>
      </c>
      <c r="AS119" s="76">
        <f t="shared" si="22"/>
        <v>0</v>
      </c>
      <c r="AT119" s="76">
        <f t="shared" si="23"/>
        <v>0</v>
      </c>
      <c r="AU119" s="76">
        <f t="shared" si="24"/>
        <v>57.45026252394581</v>
      </c>
      <c r="AV119" s="76">
        <f>MAX(0,(AU119-Constantes!$D$13)*(1-EXP(-Constantes!$D$24)))</f>
        <v>0.13298566221382066</v>
      </c>
      <c r="AW119" s="170">
        <f>AW118+(Entradas!$F$112*AT119-AX118)/(800*Entradas!$D$25)</f>
        <v>0</v>
      </c>
      <c r="AX119" s="170">
        <f>8000*Entradas!$D$26*AW119/Constantes!$F$45</f>
        <v>0</v>
      </c>
      <c r="AY119" s="170">
        <f>IF(Escenarios!$F$17&gt;0,10*Escenarios!$F$16*AL119,0)</f>
        <v>0</v>
      </c>
      <c r="AZ119" s="170">
        <f>IF(Escenarios!$F$17&gt;0,10*Escenarios!$F$16*AX119,0)</f>
        <v>0</v>
      </c>
      <c r="BA119" s="170">
        <f>IF(Escenarios!$F$17&gt;0,0.001*Observaciones!$F118*Escenarios!$F$17,0)</f>
        <v>0</v>
      </c>
      <c r="BB119" s="170">
        <f>IF(Escenarios!$F$17&gt;0,Observaciones!$K118,0)</f>
        <v>0</v>
      </c>
      <c r="BC119" s="170">
        <f>IF(Escenarios!$F$17&gt;0,MIN(0.0005*ETo!$M118*Escenarios!$F$17*(BG118/Constantes!$F$40)^(2/3),BG118+AY119+AZ119+BA119+BB119),0)</f>
        <v>0</v>
      </c>
      <c r="BD119" s="170">
        <f>IF(Escenarios!$F$17&gt;0,MIN(Constantes!$F$39*(BG118/Constantes!$F$40)^(2/3),BG118+AY119+AZ119+BA119+BB119-BC119),0)</f>
        <v>0</v>
      </c>
      <c r="BE119" s="170">
        <f>IF(Escenarios!$F$17&gt;0,MIN(Entradas!$F$113,BG118+AY119+AZ119+BA119+BB119-BC119-BD119),0)</f>
        <v>0</v>
      </c>
      <c r="BF119" s="170">
        <f>IF(Escenarios!$F$17&gt;0,MAX(0,BG118+AY119+AZ119+BA119+BB119-BC119-BD119-BE119-Constantes!$F$40),0)</f>
        <v>0</v>
      </c>
      <c r="BG119" s="170">
        <f t="shared" si="25"/>
        <v>0</v>
      </c>
      <c r="BH119" s="170">
        <f>(Escenarios!$F$16*AK119+0.1*BC119)/(Escenarios!$F$19)</f>
        <v>0.25594230493431358</v>
      </c>
      <c r="BI119" s="170">
        <f>IF(Escenarios!$F$17&gt;0,BF119/10/Escenarios!$F$19,AL119)</f>
        <v>0</v>
      </c>
      <c r="BJ119" s="170">
        <f>(Escenarios!$F$16*AT119+0.1*BD119)/(Escenarios!$F$19)</f>
        <v>0</v>
      </c>
      <c r="BK119" s="76">
        <f>BK118+(0.1*BD119)/(Escenarios!$F$19)-BL118</f>
        <v>48.75</v>
      </c>
      <c r="BL119" s="76">
        <f>MAX(0,(BK119-Constantes!$D$13)*(1-EXP(-Constantes!$D$23)))</f>
        <v>0</v>
      </c>
      <c r="BM119" s="76">
        <f t="shared" si="26"/>
        <v>1.0289935033462907</v>
      </c>
      <c r="BN119" s="76">
        <f t="shared" si="27"/>
        <v>1.0295931980417272</v>
      </c>
      <c r="BO119" s="76">
        <f>0.0526*BI119*Observaciones!$F118^1.218</f>
        <v>0</v>
      </c>
      <c r="BP119" s="76">
        <f>BO119*Constantes!$F$51</f>
        <v>0</v>
      </c>
      <c r="BQ119" s="76">
        <f t="shared" si="28"/>
        <v>0</v>
      </c>
      <c r="BR119" s="40"/>
    </row>
    <row r="120" spans="2:70">
      <c r="B120" s="39"/>
      <c r="C120" s="75">
        <v>114</v>
      </c>
      <c r="D120" s="146">
        <f>ETo!$I119*((1-Constantes!$F$19)*ETo!$K119+ETo!$L119)</f>
        <v>3.3820233984139847</v>
      </c>
      <c r="E120" s="76">
        <f>MIN(D120*Constantes!$F$17,0.8*(N119+Observaciones!$F119-F120-M120-Constantes!$D$14))</f>
        <v>1.600464596574085E-2</v>
      </c>
      <c r="F120" s="76">
        <f>IF(Observaciones!$F119&gt;0.05*Constantes!$F$18,((Observaciones!$F119-0.05*Constantes!$F$18)^2)/(Observaciones!$F119+0.95*Constantes!$F$18),0)</f>
        <v>0</v>
      </c>
      <c r="G120" s="76">
        <f>IF(Escenarios!$F$11&gt;0,(F120*Escenarios!$F$16*10000)/1000,0)</f>
        <v>0</v>
      </c>
      <c r="H120" s="76">
        <f>IF(Escenarios!$F$11&gt;0,(Observaciones!$F119*Constantes!$F$29)/1000,0)</f>
        <v>0</v>
      </c>
      <c r="I120" s="76">
        <f>IF(Escenarios!$F$11&gt;0,(D120*Constantes!$F$29)/1000,0)</f>
        <v>0</v>
      </c>
      <c r="J120" s="76">
        <f>IF(Escenarios!$F$11&gt;0,MAX(0,G120+H120-I120),0)</f>
        <v>0</v>
      </c>
      <c r="K120" s="76">
        <f>IF(Escenarios!$F$11&gt;0,IF(J120&gt;Constantes!$F$30,1000*((J120-Constantes!$F$30)/(Escenarios!$F$16*10000)),0),F120)</f>
        <v>0</v>
      </c>
      <c r="L120" s="76">
        <f>IF(Escenarios!$F$11&gt;0,I120*1000/Escenarios!$F$16/10000+E120,E120)</f>
        <v>1.600464596574085E-2</v>
      </c>
      <c r="M120" s="76">
        <f>MAX(0,N119+Observaciones!$F119-K120-Constantes!$D$13)</f>
        <v>0</v>
      </c>
      <c r="N120" s="76">
        <f>N119+Observaciones!$F119-K120-L120-M120-O119</f>
        <v>11.253319690246622</v>
      </c>
      <c r="O120" s="76">
        <f>MAX(0,(N120-Constantes!$D$14)*(1-EXP(-Constantes!$D$22)))</f>
        <v>1.1308083663232766E-4</v>
      </c>
      <c r="P120" s="170">
        <f>P119+(Entradas!$F$83*M120-Q119)/(800*Entradas!$D$25)</f>
        <v>0</v>
      </c>
      <c r="Q120" s="170">
        <f>8000*Entradas!$D$26*P120/Constantes!$F$45</f>
        <v>0</v>
      </c>
      <c r="R120" s="170">
        <f>IF(Escenarios!$F$14&gt;0,K120*Escenarios!$F$13/Escenarios!$F$14,0)</f>
        <v>0</v>
      </c>
      <c r="S120" s="170">
        <f>IF(Escenarios!$F$14&gt;0,Q120*Escenarios!$F$13/Escenarios!$F$14,0)</f>
        <v>0</v>
      </c>
      <c r="T120" s="170">
        <f>IF(Escenarios!$F$14&gt;0,Observaciones!$I119,0)</f>
        <v>0</v>
      </c>
      <c r="U120" s="170">
        <f>IF(Escenarios!$F$14&gt;0,MAX(0,Constantes!$F$36/((Z119+R120+S120+T120+Observaciones!$F119)^2)+Entradas!$F$77),0)</f>
        <v>0</v>
      </c>
      <c r="V120" s="146">
        <f>IF(ETo!D119&gt;0,ETo!I119*((1-Entradas!$F$81)*ETo!K119+ETo!L119),0)</f>
        <v>2.9773449557449227</v>
      </c>
      <c r="W120" s="170">
        <f>IF(Escenarios!$F$14&gt;0,MIN(V120*1,0.8*(Z119+R120+S120+T120+Observaciones!$F119-U120-Constantes!$F$35)),0)</f>
        <v>1.9363991880391042E-2</v>
      </c>
      <c r="X120" s="170">
        <f>IF(Escenarios!$F$14&gt;0,Observaciones!$J119,0)</f>
        <v>0</v>
      </c>
      <c r="Y120" s="170">
        <f>IF(Escenarios!$F$14&gt;0,MAX(0,Z119+R120+S120+T120+Observaciones!$F119-U120-W120-X120-Constantes!$F$33),0)</f>
        <v>0</v>
      </c>
      <c r="Z120" s="170">
        <f>Z119+R120+S120+T120+Observaciones!$F119-U120-W120-Y120</f>
        <v>41.254840997970099</v>
      </c>
      <c r="AA120" s="170">
        <f>IF(Escenarios!$F$14&gt;0,(Escenarios!$F$13*L120+Escenarios!$F$14*W120)/(Escenarios!$F$16),L120)</f>
        <v>1.6407767475498873E-2</v>
      </c>
      <c r="AB120" s="170">
        <f>IF(Escenarios!$F$14&gt;0,(Escenarios!$F$14*Y120)/(Escenarios!$F$16),K120)</f>
        <v>0</v>
      </c>
      <c r="AC120" s="170">
        <f>IF(Escenarios!$F$14&gt;0,(Escenarios!$F$13*M120+Escenarios!$F$14*U120)/(Escenarios!$F$16),M120)</f>
        <v>0</v>
      </c>
      <c r="AD120" s="76">
        <f t="shared" si="15"/>
        <v>138.7893602716496</v>
      </c>
      <c r="AE120" s="76">
        <f>MAX(0,(AD120-Constantes!$D$13)*(1-EXP(-Constantes!$D$23)))</f>
        <v>0.88717926246135104</v>
      </c>
      <c r="AF120" s="76">
        <f>AB120+O120*Escenarios!$F$13/Escenarios!$F$16+AE120</f>
        <v>0.88727877359758744</v>
      </c>
      <c r="AG120" s="76">
        <f>IF(Entradas!$F$91&gt;0,IF(AF120-Escenarios!$F$38&lt;=0,0,IF(AF120-Escenarios!$F$38&gt;Escenarios!$F$37,Escenarios!$F$37,AF120-Escenarios!$F$38)),0)</f>
        <v>0</v>
      </c>
      <c r="AH120" s="76">
        <f>AG120*Entradas!$F$99</f>
        <v>0</v>
      </c>
      <c r="AI120" s="76">
        <f>IF(Entradas!$F$91&gt;0,D120*Entradas!$D$23/Escenarios!$F$16,0)</f>
        <v>0.16233712312387127</v>
      </c>
      <c r="AJ120" s="76">
        <f>IF(Entradas!$F$91&gt;0,Entradas!$D$24*Entradas!$D$22/Escenarios!$F$16,0)</f>
        <v>0.12</v>
      </c>
      <c r="AK120" s="76">
        <f t="shared" si="16"/>
        <v>0.17874489059937015</v>
      </c>
      <c r="AL120" s="76">
        <f t="shared" si="17"/>
        <v>0</v>
      </c>
      <c r="AM120" s="76">
        <f t="shared" si="18"/>
        <v>0</v>
      </c>
      <c r="AN120" s="76">
        <f>MAX(0,O120*Escenarios!$F$13/Escenarios!$F$16-AM120)</f>
        <v>9.9511136236448341E-5</v>
      </c>
      <c r="AO120" s="76">
        <f>AM120+AN120-O120*Escenarios!$F$13/Escenarios!$F$16</f>
        <v>0</v>
      </c>
      <c r="AP120" s="76">
        <f t="shared" si="19"/>
        <v>0.88717926246135104</v>
      </c>
      <c r="AQ120" s="76">
        <f t="shared" si="20"/>
        <v>0</v>
      </c>
      <c r="AR120" s="76">
        <f t="shared" si="21"/>
        <v>0.88727877359758744</v>
      </c>
      <c r="AS120" s="76">
        <f t="shared" si="22"/>
        <v>0</v>
      </c>
      <c r="AT120" s="76">
        <f t="shared" si="23"/>
        <v>0</v>
      </c>
      <c r="AU120" s="76">
        <f t="shared" si="24"/>
        <v>57.31727686173199</v>
      </c>
      <c r="AV120" s="76">
        <f>MAX(0,(AU120-Constantes!$D$13)*(1-EXP(-Constantes!$D$24)))</f>
        <v>0.13095294351070416</v>
      </c>
      <c r="AW120" s="170">
        <f>AW119+(Entradas!$F$112*AT120-AX119)/(800*Entradas!$D$25)</f>
        <v>0</v>
      </c>
      <c r="AX120" s="170">
        <f>8000*Entradas!$D$26*AW120/Constantes!$F$45</f>
        <v>0</v>
      </c>
      <c r="AY120" s="170">
        <f>IF(Escenarios!$F$17&gt;0,10*Escenarios!$F$16*AL120,0)</f>
        <v>0</v>
      </c>
      <c r="AZ120" s="170">
        <f>IF(Escenarios!$F$17&gt;0,10*Escenarios!$F$16*AX120,0)</f>
        <v>0</v>
      </c>
      <c r="BA120" s="170">
        <f>IF(Escenarios!$F$17&gt;0,0.001*Observaciones!$F119*Escenarios!$F$17,0)</f>
        <v>0</v>
      </c>
      <c r="BB120" s="170">
        <f>IF(Escenarios!$F$17&gt;0,Observaciones!$K119,0)</f>
        <v>0</v>
      </c>
      <c r="BC120" s="170">
        <f>IF(Escenarios!$F$17&gt;0,MIN(0.0005*ETo!$M119*Escenarios!$F$17*(BG119/Constantes!$F$40)^(2/3),BG119+AY120+AZ120+BA120+BB120),0)</f>
        <v>0</v>
      </c>
      <c r="BD120" s="170">
        <f>IF(Escenarios!$F$17&gt;0,MIN(Constantes!$F$39*(BG119/Constantes!$F$40)^(2/3),BG119+AY120+AZ120+BA120+BB120-BC120),0)</f>
        <v>0</v>
      </c>
      <c r="BE120" s="170">
        <f>IF(Escenarios!$F$17&gt;0,MIN(Entradas!$F$113,BG119+AY120+AZ120+BA120+BB120-BC120-BD120),0)</f>
        <v>0</v>
      </c>
      <c r="BF120" s="170">
        <f>IF(Escenarios!$F$17&gt;0,MAX(0,BG119+AY120+AZ120+BA120+BB120-BC120-BD120-BE120-Constantes!$F$40),0)</f>
        <v>0</v>
      </c>
      <c r="BG120" s="170">
        <f t="shared" si="25"/>
        <v>0</v>
      </c>
      <c r="BH120" s="170">
        <f>(Escenarios!$F$16*AK120+0.1*BC120)/(Escenarios!$F$19)</f>
        <v>0.17874489059937015</v>
      </c>
      <c r="BI120" s="170">
        <f>IF(Escenarios!$F$17&gt;0,BF120/10/Escenarios!$F$19,AL120)</f>
        <v>0</v>
      </c>
      <c r="BJ120" s="170">
        <f>(Escenarios!$F$16*AT120+0.1*BD120)/(Escenarios!$F$19)</f>
        <v>0</v>
      </c>
      <c r="BK120" s="76">
        <f>BK119+(0.1*BD120)/(Escenarios!$F$19)-BL119</f>
        <v>48.75</v>
      </c>
      <c r="BL120" s="76">
        <f>MAX(0,(BK120-Constantes!$D$13)*(1-EXP(-Constantes!$D$23)))</f>
        <v>0</v>
      </c>
      <c r="BM120" s="76">
        <f t="shared" si="26"/>
        <v>1.0181322059720552</v>
      </c>
      <c r="BN120" s="76">
        <f t="shared" si="27"/>
        <v>1.0182317171082915</v>
      </c>
      <c r="BO120" s="76">
        <f>0.0526*BI120*Observaciones!$F119^1.218</f>
        <v>0</v>
      </c>
      <c r="BP120" s="76">
        <f>BO120*Constantes!$F$51</f>
        <v>0</v>
      </c>
      <c r="BQ120" s="76">
        <f t="shared" si="28"/>
        <v>0</v>
      </c>
      <c r="BR120" s="40"/>
    </row>
    <row r="121" spans="2:70">
      <c r="B121" s="39"/>
      <c r="C121" s="75">
        <v>115</v>
      </c>
      <c r="D121" s="146">
        <f>ETo!$I120*((1-Constantes!$F$19)*ETo!$K120+ETo!$L120)</f>
        <v>3.3412163336296405</v>
      </c>
      <c r="E121" s="76">
        <f>MIN(D121*Constantes!$F$17,0.8*(N120+Observaciones!$F120-F121-M121-Constantes!$D$14))</f>
        <v>2.6557521972975454E-3</v>
      </c>
      <c r="F121" s="76">
        <f>IF(Observaciones!$F120&gt;0.05*Constantes!$F$18,((Observaciones!$F120-0.05*Constantes!$F$18)^2)/(Observaciones!$F120+0.95*Constantes!$F$18),0)</f>
        <v>0</v>
      </c>
      <c r="G121" s="76">
        <f>IF(Escenarios!$F$11&gt;0,(F121*Escenarios!$F$16*10000)/1000,0)</f>
        <v>0</v>
      </c>
      <c r="H121" s="76">
        <f>IF(Escenarios!$F$11&gt;0,(Observaciones!$F120*Constantes!$F$29)/1000,0)</f>
        <v>0</v>
      </c>
      <c r="I121" s="76">
        <f>IF(Escenarios!$F$11&gt;0,(D121*Constantes!$F$29)/1000,0)</f>
        <v>0</v>
      </c>
      <c r="J121" s="76">
        <f>IF(Escenarios!$F$11&gt;0,MAX(0,G121+H121-I121),0)</f>
        <v>0</v>
      </c>
      <c r="K121" s="76">
        <f>IF(Escenarios!$F$11&gt;0,IF(J121&gt;Constantes!$F$30,1000*((J121-Constantes!$F$30)/(Escenarios!$F$16*10000)),0),F121)</f>
        <v>0</v>
      </c>
      <c r="L121" s="76">
        <f>IF(Escenarios!$F$11&gt;0,I121*1000/Escenarios!$F$16/10000+E121,E121)</f>
        <v>2.6557521972975454E-3</v>
      </c>
      <c r="M121" s="76">
        <f>MAX(0,N120+Observaciones!$F120-K121-Constantes!$D$13)</f>
        <v>0</v>
      </c>
      <c r="N121" s="76">
        <f>N120+Observaciones!$F120-K121-L121-M121-O120</f>
        <v>11.250550857212692</v>
      </c>
      <c r="O121" s="76">
        <f>MAX(0,(N121-Constantes!$D$14)*(1-EXP(-Constantes!$D$22)))</f>
        <v>1.8764218902531473E-5</v>
      </c>
      <c r="P121" s="170">
        <f>P120+(Entradas!$F$83*M121-Q120)/(800*Entradas!$D$25)</f>
        <v>0</v>
      </c>
      <c r="Q121" s="170">
        <f>8000*Entradas!$D$26*P121/Constantes!$F$45</f>
        <v>0</v>
      </c>
      <c r="R121" s="170">
        <f>IF(Escenarios!$F$14&gt;0,K121*Escenarios!$F$13/Escenarios!$F$14,0)</f>
        <v>0</v>
      </c>
      <c r="S121" s="170">
        <f>IF(Escenarios!$F$14&gt;0,Q121*Escenarios!$F$13/Escenarios!$F$14,0)</f>
        <v>0</v>
      </c>
      <c r="T121" s="170">
        <f>IF(Escenarios!$F$14&gt;0,Observaciones!$I120,0)</f>
        <v>0</v>
      </c>
      <c r="U121" s="170">
        <f>IF(Escenarios!$F$14&gt;0,MAX(0,Constantes!$F$36/((Z120+R121+S121+T121+Observaciones!$F120)^2)+Entradas!$F$77),0)</f>
        <v>0</v>
      </c>
      <c r="V121" s="146">
        <f>IF(ETo!D120&gt;0,ETo!I120*((1-Entradas!$F$81)*ETo!K120+ETo!L120),0)</f>
        <v>2.9404618385484489</v>
      </c>
      <c r="W121" s="170">
        <f>IF(Escenarios!$F$14&gt;0,MIN(V121*1,0.8*(Z120+R121+S121+T121+Observaciones!$F120-U121-Constantes!$F$35)),0)</f>
        <v>3.872798376079345E-3</v>
      </c>
      <c r="X121" s="170">
        <f>IF(Escenarios!$F$14&gt;0,Observaciones!$J120,0)</f>
        <v>0</v>
      </c>
      <c r="Y121" s="170">
        <f>IF(Escenarios!$F$14&gt;0,MAX(0,Z120+R121+S121+T121+Observaciones!$F120-U121-W121-X121-Constantes!$F$33),0)</f>
        <v>0</v>
      </c>
      <c r="Z121" s="170">
        <f>Z120+R121+S121+T121+Observaciones!$F120-U121-W121-Y121</f>
        <v>41.25096819959402</v>
      </c>
      <c r="AA121" s="170">
        <f>IF(Escenarios!$F$14&gt;0,(Escenarios!$F$13*L121+Escenarios!$F$14*W121)/(Escenarios!$F$16),L121)</f>
        <v>2.8017977387513617E-3</v>
      </c>
      <c r="AB121" s="170">
        <f>IF(Escenarios!$F$14&gt;0,(Escenarios!$F$14*Y121)/(Escenarios!$F$16),K121)</f>
        <v>0</v>
      </c>
      <c r="AC121" s="170">
        <f>IF(Escenarios!$F$14&gt;0,(Escenarios!$F$13*M121+Escenarios!$F$14*U121)/(Escenarios!$F$16),M121)</f>
        <v>0</v>
      </c>
      <c r="AD121" s="76">
        <f t="shared" si="15"/>
        <v>137.90218100918824</v>
      </c>
      <c r="AE121" s="76">
        <f>MAX(0,(AD121-Constantes!$D$13)*(1-EXP(-Constantes!$D$23)))</f>
        <v>0.87843767387868199</v>
      </c>
      <c r="AF121" s="76">
        <f>AB121+O121*Escenarios!$F$13/Escenarios!$F$16+AE121</f>
        <v>0.87845418639131623</v>
      </c>
      <c r="AG121" s="76">
        <f>IF(Entradas!$F$91&gt;0,IF(AF121-Escenarios!$F$38&lt;=0,0,IF(AF121-Escenarios!$F$38&gt;Escenarios!$F$37,Escenarios!$F$37,AF121-Escenarios!$F$38)),0)</f>
        <v>0</v>
      </c>
      <c r="AH121" s="76">
        <f>AG121*Entradas!$F$99</f>
        <v>0</v>
      </c>
      <c r="AI121" s="76">
        <f>IF(Entradas!$F$91&gt;0,D121*Entradas!$D$23/Escenarios!$F$16,0)</f>
        <v>0.16037838401422275</v>
      </c>
      <c r="AJ121" s="76">
        <f>IF(Entradas!$F$91&gt;0,Entradas!$D$24*Entradas!$D$22/Escenarios!$F$16,0)</f>
        <v>0.12</v>
      </c>
      <c r="AK121" s="76">
        <f t="shared" si="16"/>
        <v>0.16318018175297411</v>
      </c>
      <c r="AL121" s="76">
        <f t="shared" si="17"/>
        <v>0</v>
      </c>
      <c r="AM121" s="76">
        <f t="shared" si="18"/>
        <v>0</v>
      </c>
      <c r="AN121" s="76">
        <f>MAX(0,O121*Escenarios!$F$13/Escenarios!$F$16-AM121)</f>
        <v>1.6512512634227694E-5</v>
      </c>
      <c r="AO121" s="76">
        <f>AM121+AN121-O121*Escenarios!$F$13/Escenarios!$F$16</f>
        <v>0</v>
      </c>
      <c r="AP121" s="76">
        <f t="shared" si="19"/>
        <v>0.87843767387868199</v>
      </c>
      <c r="AQ121" s="76">
        <f t="shared" si="20"/>
        <v>0</v>
      </c>
      <c r="AR121" s="76">
        <f t="shared" si="21"/>
        <v>0.87845418639131623</v>
      </c>
      <c r="AS121" s="76">
        <f t="shared" si="22"/>
        <v>0</v>
      </c>
      <c r="AT121" s="76">
        <f t="shared" si="23"/>
        <v>0</v>
      </c>
      <c r="AU121" s="76">
        <f t="shared" si="24"/>
        <v>57.186323918221284</v>
      </c>
      <c r="AV121" s="76">
        <f>MAX(0,(AU121-Constantes!$D$13)*(1-EXP(-Constantes!$D$24)))</f>
        <v>0.12895129541517955</v>
      </c>
      <c r="AW121" s="170">
        <f>AW120+(Entradas!$F$112*AT121-AX120)/(800*Entradas!$D$25)</f>
        <v>0</v>
      </c>
      <c r="AX121" s="170">
        <f>8000*Entradas!$D$26*AW121/Constantes!$F$45</f>
        <v>0</v>
      </c>
      <c r="AY121" s="170">
        <f>IF(Escenarios!$F$17&gt;0,10*Escenarios!$F$16*AL121,0)</f>
        <v>0</v>
      </c>
      <c r="AZ121" s="170">
        <f>IF(Escenarios!$F$17&gt;0,10*Escenarios!$F$16*AX121,0)</f>
        <v>0</v>
      </c>
      <c r="BA121" s="170">
        <f>IF(Escenarios!$F$17&gt;0,0.001*Observaciones!$F120*Escenarios!$F$17,0)</f>
        <v>0</v>
      </c>
      <c r="BB121" s="170">
        <f>IF(Escenarios!$F$17&gt;0,Observaciones!$K120,0)</f>
        <v>0</v>
      </c>
      <c r="BC121" s="170">
        <f>IF(Escenarios!$F$17&gt;0,MIN(0.0005*ETo!$M120*Escenarios!$F$17*(BG120/Constantes!$F$40)^(2/3),BG120+AY121+AZ121+BA121+BB121),0)</f>
        <v>0</v>
      </c>
      <c r="BD121" s="170">
        <f>IF(Escenarios!$F$17&gt;0,MIN(Constantes!$F$39*(BG120/Constantes!$F$40)^(2/3),BG120+AY121+AZ121+BA121+BB121-BC121),0)</f>
        <v>0</v>
      </c>
      <c r="BE121" s="170">
        <f>IF(Escenarios!$F$17&gt;0,MIN(Entradas!$F$113,BG120+AY121+AZ121+BA121+BB121-BC121-BD121),0)</f>
        <v>0</v>
      </c>
      <c r="BF121" s="170">
        <f>IF(Escenarios!$F$17&gt;0,MAX(0,BG120+AY121+AZ121+BA121+BB121-BC121-BD121-BE121-Constantes!$F$40),0)</f>
        <v>0</v>
      </c>
      <c r="BG121" s="170">
        <f t="shared" si="25"/>
        <v>0</v>
      </c>
      <c r="BH121" s="170">
        <f>(Escenarios!$F$16*AK121+0.1*BC121)/(Escenarios!$F$19)</f>
        <v>0.16318018175297411</v>
      </c>
      <c r="BI121" s="170">
        <f>IF(Escenarios!$F$17&gt;0,BF121/10/Escenarios!$F$19,AL121)</f>
        <v>0</v>
      </c>
      <c r="BJ121" s="170">
        <f>(Escenarios!$F$16*AT121+0.1*BD121)/(Escenarios!$F$19)</f>
        <v>0</v>
      </c>
      <c r="BK121" s="76">
        <f>BK120+(0.1*BD121)/(Escenarios!$F$19)-BL120</f>
        <v>48.75</v>
      </c>
      <c r="BL121" s="76">
        <f>MAX(0,(BK121-Constantes!$D$13)*(1-EXP(-Constantes!$D$23)))</f>
        <v>0</v>
      </c>
      <c r="BM121" s="76">
        <f t="shared" si="26"/>
        <v>1.0073889692938616</v>
      </c>
      <c r="BN121" s="76">
        <f t="shared" si="27"/>
        <v>1.0074054818064957</v>
      </c>
      <c r="BO121" s="76">
        <f>0.0526*BI121*Observaciones!$F120^1.218</f>
        <v>0</v>
      </c>
      <c r="BP121" s="76">
        <f>BO121*Constantes!$F$51</f>
        <v>0</v>
      </c>
      <c r="BQ121" s="76">
        <f t="shared" si="28"/>
        <v>0</v>
      </c>
      <c r="BR121" s="40"/>
    </row>
    <row r="122" spans="2:70">
      <c r="B122" s="39"/>
      <c r="C122" s="75">
        <v>116</v>
      </c>
      <c r="D122" s="146">
        <f>ETo!$I121*((1-Constantes!$F$19)*ETo!$K121+ETo!$L121)</f>
        <v>3.3450328125745212</v>
      </c>
      <c r="E122" s="76">
        <f>MIN(D122*Constantes!$F$17,0.8*(N121+Observaciones!$F121-F122-M122-Constantes!$D$14))</f>
        <v>1.9077115425993052</v>
      </c>
      <c r="F122" s="76">
        <f>IF(Observaciones!$F121&gt;0.05*Constantes!$F$18,((Observaciones!$F121-0.05*Constantes!$F$18)^2)/(Observaciones!$F121+0.95*Constantes!$F$18),0)</f>
        <v>1.0501999663621345E-2</v>
      </c>
      <c r="G122" s="76">
        <f>IF(Escenarios!$F$11&gt;0,(F122*Escenarios!$F$16*10000)/1000,0)</f>
        <v>0</v>
      </c>
      <c r="H122" s="76">
        <f>IF(Escenarios!$F$11&gt;0,(Observaciones!$F121*Constantes!$F$29)/1000,0)</f>
        <v>0</v>
      </c>
      <c r="I122" s="76">
        <f>IF(Escenarios!$F$11&gt;0,(D122*Constantes!$F$29)/1000,0)</f>
        <v>0</v>
      </c>
      <c r="J122" s="76">
        <f>IF(Escenarios!$F$11&gt;0,MAX(0,G122+H122-I122),0)</f>
        <v>0</v>
      </c>
      <c r="K122" s="76">
        <f>IF(Escenarios!$F$11&gt;0,IF(J122&gt;Constantes!$F$30,1000*((J122-Constantes!$F$30)/(Escenarios!$F$16*10000)),0),F122)</f>
        <v>1.0501999663621345E-2</v>
      </c>
      <c r="L122" s="76">
        <f>IF(Escenarios!$F$11&gt;0,I122*1000/Escenarios!$F$16/10000+E122,E122)</f>
        <v>1.9077115425993052</v>
      </c>
      <c r="M122" s="76">
        <f>MAX(0,N121+Observaciones!$F121-K122-Constantes!$D$13)</f>
        <v>0</v>
      </c>
      <c r="N122" s="76">
        <f>N121+Observaciones!$F121-K122-L122-M122-O121</f>
        <v>21.832318550730864</v>
      </c>
      <c r="O122" s="76">
        <f>MAX(0,(N122-Constantes!$D$14)*(1-EXP(-Constantes!$D$22)))</f>
        <v>0.36047261832460076</v>
      </c>
      <c r="P122" s="170">
        <f>P121+(Entradas!$F$83*M122-Q121)/(800*Entradas!$D$25)</f>
        <v>0</v>
      </c>
      <c r="Q122" s="170">
        <f>8000*Entradas!$D$26*P122/Constantes!$F$45</f>
        <v>0</v>
      </c>
      <c r="R122" s="170">
        <f>IF(Escenarios!$F$14&gt;0,K122*Escenarios!$F$13/Escenarios!$F$14,0)</f>
        <v>7.7014664199889865E-2</v>
      </c>
      <c r="S122" s="170">
        <f>IF(Escenarios!$F$14&gt;0,Q122*Escenarios!$F$13/Escenarios!$F$14,0)</f>
        <v>0</v>
      </c>
      <c r="T122" s="170">
        <f>IF(Escenarios!$F$14&gt;0,Observaciones!$I121,0)</f>
        <v>0</v>
      </c>
      <c r="U122" s="170">
        <f>IF(Escenarios!$F$14&gt;0,MAX(0,Constantes!$F$36/((Z121+R122+S122+T122+Observaciones!$F121)^2)+Entradas!$F$77),0)</f>
        <v>0</v>
      </c>
      <c r="V122" s="146">
        <f>IF(ETo!D121&gt;0,ETo!I121*((1-Entradas!$F$81)*ETo!K121+ETo!L121),0)</f>
        <v>2.9434164202352102</v>
      </c>
      <c r="W122" s="170">
        <f>IF(Escenarios!$F$14&gt;0,MIN(V122*1,0.8*(Z121+R122+S122+T122+Observaciones!$F121-U122-Constantes!$F$35)),0)</f>
        <v>2.9434164202352102</v>
      </c>
      <c r="X122" s="170">
        <f>IF(Escenarios!$F$14&gt;0,Observaciones!$J121,0)</f>
        <v>0</v>
      </c>
      <c r="Y122" s="170">
        <f>IF(Escenarios!$F$14&gt;0,MAX(0,Z121+R122+S122+T122+Observaciones!$F121-U122-W122-X122-Constantes!$F$33),0)</f>
        <v>0</v>
      </c>
      <c r="Z122" s="170">
        <f>Z121+R122+S122+T122+Observaciones!$F121-U122-W122-Y122</f>
        <v>50.884566443558697</v>
      </c>
      <c r="AA122" s="170">
        <f>IF(Escenarios!$F$14&gt;0,(Escenarios!$F$13*L122+Escenarios!$F$14*W122)/(Escenarios!$F$16),L122)</f>
        <v>2.031996127915614</v>
      </c>
      <c r="AB122" s="170">
        <f>IF(Escenarios!$F$14&gt;0,(Escenarios!$F$14*Y122)/(Escenarios!$F$16),K122)</f>
        <v>0</v>
      </c>
      <c r="AC122" s="170">
        <f>IF(Escenarios!$F$14&gt;0,(Escenarios!$F$13*M122+Escenarios!$F$14*U122)/(Escenarios!$F$16),M122)</f>
        <v>0</v>
      </c>
      <c r="AD122" s="76">
        <f t="shared" si="15"/>
        <v>137.02374333530955</v>
      </c>
      <c r="AE122" s="76">
        <f>MAX(0,(AD122-Constantes!$D$13)*(1-EXP(-Constantes!$D$23)))</f>
        <v>0.86978221825040214</v>
      </c>
      <c r="AF122" s="76">
        <f>AB122+O122*Escenarios!$F$13/Escenarios!$F$16+AE122</f>
        <v>1.1869981223760508</v>
      </c>
      <c r="AG122" s="76">
        <f>IF(Entradas!$F$91&gt;0,IF(AF122-Escenarios!$F$38&lt;=0,0,IF(AF122-Escenarios!$F$38&gt;Escenarios!$F$37,Escenarios!$F$37,AF122-Escenarios!$F$38)),0)</f>
        <v>0.1501981223760509</v>
      </c>
      <c r="AH122" s="76">
        <f>AG122*Entradas!$F$99</f>
        <v>0</v>
      </c>
      <c r="AI122" s="76">
        <f>IF(Entradas!$F$91&gt;0,D122*Entradas!$D$23/Escenarios!$F$16,0)</f>
        <v>0.16056157500357701</v>
      </c>
      <c r="AJ122" s="76">
        <f>IF(Entradas!$F$91&gt;0,Entradas!$D$24*Entradas!$D$22/Escenarios!$F$16,0)</f>
        <v>0.12</v>
      </c>
      <c r="AK122" s="76">
        <f t="shared" si="16"/>
        <v>2.1925577029191912</v>
      </c>
      <c r="AL122" s="76">
        <f t="shared" si="17"/>
        <v>0</v>
      </c>
      <c r="AM122" s="76">
        <f t="shared" si="18"/>
        <v>0.1501981223760509</v>
      </c>
      <c r="AN122" s="76">
        <f>MAX(0,O122*Escenarios!$F$13/Escenarios!$F$16-AM122)</f>
        <v>0.16701778174959775</v>
      </c>
      <c r="AO122" s="76">
        <f>AM122+AN122-O122*Escenarios!$F$13/Escenarios!$F$16</f>
        <v>0</v>
      </c>
      <c r="AP122" s="76">
        <f t="shared" si="19"/>
        <v>0.86978221825040214</v>
      </c>
      <c r="AQ122" s="76">
        <f t="shared" si="20"/>
        <v>0</v>
      </c>
      <c r="AR122" s="76">
        <f t="shared" si="21"/>
        <v>1.0367999999999999</v>
      </c>
      <c r="AS122" s="76">
        <f t="shared" si="22"/>
        <v>0</v>
      </c>
      <c r="AT122" s="76">
        <f t="shared" si="23"/>
        <v>0</v>
      </c>
      <c r="AU122" s="76">
        <f t="shared" si="24"/>
        <v>57.057372622806106</v>
      </c>
      <c r="AV122" s="76">
        <f>MAX(0,(AU122-Constantes!$D$13)*(1-EXP(-Constantes!$D$24)))</f>
        <v>0.12698024300533342</v>
      </c>
      <c r="AW122" s="170">
        <f>AW121+(Entradas!$F$112*AT122-AX121)/(800*Entradas!$D$25)</f>
        <v>0</v>
      </c>
      <c r="AX122" s="170">
        <f>8000*Entradas!$D$26*AW122/Constantes!$F$45</f>
        <v>0</v>
      </c>
      <c r="AY122" s="170">
        <f>IF(Escenarios!$F$17&gt;0,10*Escenarios!$F$16*AL122,0)</f>
        <v>0</v>
      </c>
      <c r="AZ122" s="170">
        <f>IF(Escenarios!$F$17&gt;0,10*Escenarios!$F$16*AX122,0)</f>
        <v>0</v>
      </c>
      <c r="BA122" s="170">
        <f>IF(Escenarios!$F$17&gt;0,0.001*Observaciones!$F121*Escenarios!$F$17,0)</f>
        <v>0</v>
      </c>
      <c r="BB122" s="170">
        <f>IF(Escenarios!$F$17&gt;0,Observaciones!$K121,0)</f>
        <v>0</v>
      </c>
      <c r="BC122" s="170">
        <f>IF(Escenarios!$F$17&gt;0,MIN(0.0005*ETo!$M121*Escenarios!$F$17*(BG121/Constantes!$F$40)^(2/3),BG121+AY122+AZ122+BA122+BB122),0)</f>
        <v>0</v>
      </c>
      <c r="BD122" s="170">
        <f>IF(Escenarios!$F$17&gt;0,MIN(Constantes!$F$39*(BG121/Constantes!$F$40)^(2/3),BG121+AY122+AZ122+BA122+BB122-BC122),0)</f>
        <v>0</v>
      </c>
      <c r="BE122" s="170">
        <f>IF(Escenarios!$F$17&gt;0,MIN(Entradas!$F$113,BG121+AY122+AZ122+BA122+BB122-BC122-BD122),0)</f>
        <v>0</v>
      </c>
      <c r="BF122" s="170">
        <f>IF(Escenarios!$F$17&gt;0,MAX(0,BG121+AY122+AZ122+BA122+BB122-BC122-BD122-BE122-Constantes!$F$40),0)</f>
        <v>0</v>
      </c>
      <c r="BG122" s="170">
        <f t="shared" si="25"/>
        <v>0</v>
      </c>
      <c r="BH122" s="170">
        <f>(Escenarios!$F$16*AK122+0.1*BC122)/(Escenarios!$F$19)</f>
        <v>2.1925577029191912</v>
      </c>
      <c r="BI122" s="170">
        <f>IF(Escenarios!$F$17&gt;0,BF122/10/Escenarios!$F$19,AL122)</f>
        <v>0</v>
      </c>
      <c r="BJ122" s="170">
        <f>(Escenarios!$F$16*AT122+0.1*BD122)/(Escenarios!$F$19)</f>
        <v>0</v>
      </c>
      <c r="BK122" s="76">
        <f>BK121+(0.1*BD122)/(Escenarios!$F$19)-BL121</f>
        <v>48.75</v>
      </c>
      <c r="BL122" s="76">
        <f>MAX(0,(BK122-Constantes!$D$13)*(1-EXP(-Constantes!$D$23)))</f>
        <v>0</v>
      </c>
      <c r="BM122" s="76">
        <f t="shared" si="26"/>
        <v>0.99676246125573553</v>
      </c>
      <c r="BN122" s="76">
        <f t="shared" si="27"/>
        <v>1.1637802430053334</v>
      </c>
      <c r="BO122" s="76">
        <f>0.0526*BI122*Observaciones!$F121^1.218</f>
        <v>0</v>
      </c>
      <c r="BP122" s="76">
        <f>BO122*Constantes!$F$51</f>
        <v>0</v>
      </c>
      <c r="BQ122" s="76">
        <f t="shared" si="28"/>
        <v>0</v>
      </c>
      <c r="BR122" s="40"/>
    </row>
    <row r="123" spans="2:70">
      <c r="B123" s="39"/>
      <c r="C123" s="75">
        <v>117</v>
      </c>
      <c r="D123" s="146">
        <f>ETo!$I122*((1-Constantes!$F$19)*ETo!$K122+ETo!$L122)</f>
        <v>3.4893928325084014</v>
      </c>
      <c r="E123" s="76">
        <f>MIN(D123*Constantes!$F$17,0.8*(N122+Observaciones!$F122-F123-M123-Constantes!$D$14))</f>
        <v>1.9900417592962734</v>
      </c>
      <c r="F123" s="76">
        <f>IF(Observaciones!$F122&gt;0.05*Constantes!$F$18,((Observaciones!$F122-0.05*Constantes!$F$18)^2)/(Observaciones!$F122+0.95*Constantes!$F$18),0)</f>
        <v>0</v>
      </c>
      <c r="G123" s="76">
        <f>IF(Escenarios!$F$11&gt;0,(F123*Escenarios!$F$16*10000)/1000,0)</f>
        <v>0</v>
      </c>
      <c r="H123" s="76">
        <f>IF(Escenarios!$F$11&gt;0,(Observaciones!$F122*Constantes!$F$29)/1000,0)</f>
        <v>0</v>
      </c>
      <c r="I123" s="76">
        <f>IF(Escenarios!$F$11&gt;0,(D123*Constantes!$F$29)/1000,0)</f>
        <v>0</v>
      </c>
      <c r="J123" s="76">
        <f>IF(Escenarios!$F$11&gt;0,MAX(0,G123+H123-I123),0)</f>
        <v>0</v>
      </c>
      <c r="K123" s="76">
        <f>IF(Escenarios!$F$11&gt;0,IF(J123&gt;Constantes!$F$30,1000*((J123-Constantes!$F$30)/(Escenarios!$F$16*10000)),0),F123)</f>
        <v>0</v>
      </c>
      <c r="L123" s="76">
        <f>IF(Escenarios!$F$11&gt;0,I123*1000/Escenarios!$F$16/10000+E123,E123)</f>
        <v>1.9900417592962734</v>
      </c>
      <c r="M123" s="76">
        <f>MAX(0,N122+Observaciones!$F122-K123-Constantes!$D$13)</f>
        <v>0</v>
      </c>
      <c r="N123" s="76">
        <f>N122+Observaciones!$F122-K123-L123-M123-O122</f>
        <v>19.481804173109992</v>
      </c>
      <c r="O123" s="76">
        <f>MAX(0,(N123-Constantes!$D$14)*(1-EXP(-Constantes!$D$22)))</f>
        <v>0.28040546970790214</v>
      </c>
      <c r="P123" s="170">
        <f>P122+(Entradas!$F$83*M123-Q122)/(800*Entradas!$D$25)</f>
        <v>0</v>
      </c>
      <c r="Q123" s="170">
        <f>8000*Entradas!$D$26*P123/Constantes!$F$45</f>
        <v>0</v>
      </c>
      <c r="R123" s="170">
        <f>IF(Escenarios!$F$14&gt;0,K123*Escenarios!$F$13/Escenarios!$F$14,0)</f>
        <v>0</v>
      </c>
      <c r="S123" s="170">
        <f>IF(Escenarios!$F$14&gt;0,Q123*Escenarios!$F$13/Escenarios!$F$14,0)</f>
        <v>0</v>
      </c>
      <c r="T123" s="170">
        <f>IF(Escenarios!$F$14&gt;0,Observaciones!$I122,0)</f>
        <v>0</v>
      </c>
      <c r="U123" s="170">
        <f>IF(Escenarios!$F$14&gt;0,MAX(0,Constantes!$F$36/((Z122+R123+S123+T123+Observaciones!$F122)^2)+Entradas!$F$77),0)</f>
        <v>0</v>
      </c>
      <c r="V123" s="146">
        <f>IF(ETo!D122&gt;0,ETo!I122*((1-Entradas!$F$81)*ETo!K122+ETo!L122),0)</f>
        <v>3.072443370408438</v>
      </c>
      <c r="W123" s="170">
        <f>IF(Escenarios!$F$14&gt;0,MIN(V123*1,0.8*(Z122+R123+S123+T123+Observaciones!$F122-U123-Constantes!$F$35)),0)</f>
        <v>3.072443370408438</v>
      </c>
      <c r="X123" s="170">
        <f>IF(Escenarios!$F$14&gt;0,Observaciones!$J122,0)</f>
        <v>0</v>
      </c>
      <c r="Y123" s="170">
        <f>IF(Escenarios!$F$14&gt;0,MAX(0,Z122+R123+S123+T123+Observaciones!$F122-U123-W123-X123-Constantes!$F$33),0)</f>
        <v>0</v>
      </c>
      <c r="Z123" s="170">
        <f>Z122+R123+S123+T123+Observaciones!$F122-U123-W123-Y123</f>
        <v>47.812123073150261</v>
      </c>
      <c r="AA123" s="170">
        <f>IF(Escenarios!$F$14&gt;0,(Escenarios!$F$13*L123+Escenarios!$F$14*W123)/(Escenarios!$F$16),L123)</f>
        <v>2.1199299526297333</v>
      </c>
      <c r="AB123" s="170">
        <f>IF(Escenarios!$F$14&gt;0,(Escenarios!$F$14*Y123)/(Escenarios!$F$16),K123)</f>
        <v>0</v>
      </c>
      <c r="AC123" s="170">
        <f>IF(Escenarios!$F$14&gt;0,(Escenarios!$F$13*M123+Escenarios!$F$14*U123)/(Escenarios!$F$16),M123)</f>
        <v>0</v>
      </c>
      <c r="AD123" s="76">
        <f t="shared" si="15"/>
        <v>136.15396111705914</v>
      </c>
      <c r="AE123" s="76">
        <f>MAX(0,(AD123-Constantes!$D$13)*(1-EXP(-Constantes!$D$23)))</f>
        <v>0.8612120468879968</v>
      </c>
      <c r="AF123" s="76">
        <f>AB123+O123*Escenarios!$F$13/Escenarios!$F$16+AE123</f>
        <v>1.1079688602309508</v>
      </c>
      <c r="AG123" s="76">
        <f>IF(Entradas!$F$91&gt;0,IF(AF123-Escenarios!$F$38&lt;=0,0,IF(AF123-Escenarios!$F$38&gt;Escenarios!$F$37,Escenarios!$F$37,AF123-Escenarios!$F$38)),0)</f>
        <v>7.1168860230950814E-2</v>
      </c>
      <c r="AH123" s="76">
        <f>AG123*Entradas!$F$99</f>
        <v>0</v>
      </c>
      <c r="AI123" s="76">
        <f>IF(Entradas!$F$91&gt;0,D123*Entradas!$D$23/Escenarios!$F$16,0)</f>
        <v>0.16749085596040328</v>
      </c>
      <c r="AJ123" s="76">
        <f>IF(Entradas!$F$91&gt;0,Entradas!$D$24*Entradas!$D$22/Escenarios!$F$16,0)</f>
        <v>0.12</v>
      </c>
      <c r="AK123" s="76">
        <f t="shared" si="16"/>
        <v>2.2874208085901366</v>
      </c>
      <c r="AL123" s="76">
        <f t="shared" si="17"/>
        <v>0</v>
      </c>
      <c r="AM123" s="76">
        <f t="shared" si="18"/>
        <v>7.1168860230950814E-2</v>
      </c>
      <c r="AN123" s="76">
        <f>MAX(0,O123*Escenarios!$F$13/Escenarios!$F$16-AM123)</f>
        <v>0.17558795311200306</v>
      </c>
      <c r="AO123" s="76">
        <f>AM123+AN123-O123*Escenarios!$F$13/Escenarios!$F$16</f>
        <v>0</v>
      </c>
      <c r="AP123" s="76">
        <f t="shared" si="19"/>
        <v>0.8612120468879968</v>
      </c>
      <c r="AQ123" s="76">
        <f t="shared" si="20"/>
        <v>0</v>
      </c>
      <c r="AR123" s="76">
        <f t="shared" si="21"/>
        <v>1.0367999999999999</v>
      </c>
      <c r="AS123" s="76">
        <f t="shared" si="22"/>
        <v>0</v>
      </c>
      <c r="AT123" s="76">
        <f t="shared" si="23"/>
        <v>0</v>
      </c>
      <c r="AU123" s="76">
        <f t="shared" si="24"/>
        <v>56.930392379800772</v>
      </c>
      <c r="AV123" s="76">
        <f>MAX(0,(AU123-Constantes!$D$13)*(1-EXP(-Constantes!$D$24)))</f>
        <v>0.12503931861855092</v>
      </c>
      <c r="AW123" s="170">
        <f>AW122+(Entradas!$F$112*AT123-AX122)/(800*Entradas!$D$25)</f>
        <v>0</v>
      </c>
      <c r="AX123" s="170">
        <f>8000*Entradas!$D$26*AW123/Constantes!$F$45</f>
        <v>0</v>
      </c>
      <c r="AY123" s="170">
        <f>IF(Escenarios!$F$17&gt;0,10*Escenarios!$F$16*AL123,0)</f>
        <v>0</v>
      </c>
      <c r="AZ123" s="170">
        <f>IF(Escenarios!$F$17&gt;0,10*Escenarios!$F$16*AX123,0)</f>
        <v>0</v>
      </c>
      <c r="BA123" s="170">
        <f>IF(Escenarios!$F$17&gt;0,0.001*Observaciones!$F122*Escenarios!$F$17,0)</f>
        <v>0</v>
      </c>
      <c r="BB123" s="170">
        <f>IF(Escenarios!$F$17&gt;0,Observaciones!$K122,0)</f>
        <v>0</v>
      </c>
      <c r="BC123" s="170">
        <f>IF(Escenarios!$F$17&gt;0,MIN(0.0005*ETo!$M122*Escenarios!$F$17*(BG122/Constantes!$F$40)^(2/3),BG122+AY123+AZ123+BA123+BB123),0)</f>
        <v>0</v>
      </c>
      <c r="BD123" s="170">
        <f>IF(Escenarios!$F$17&gt;0,MIN(Constantes!$F$39*(BG122/Constantes!$F$40)^(2/3),BG122+AY123+AZ123+BA123+BB123-BC123),0)</f>
        <v>0</v>
      </c>
      <c r="BE123" s="170">
        <f>IF(Escenarios!$F$17&gt;0,MIN(Entradas!$F$113,BG122+AY123+AZ123+BA123+BB123-BC123-BD123),0)</f>
        <v>0</v>
      </c>
      <c r="BF123" s="170">
        <f>IF(Escenarios!$F$17&gt;0,MAX(0,BG122+AY123+AZ123+BA123+BB123-BC123-BD123-BE123-Constantes!$F$40),0)</f>
        <v>0</v>
      </c>
      <c r="BG123" s="170">
        <f t="shared" si="25"/>
        <v>0</v>
      </c>
      <c r="BH123" s="170">
        <f>(Escenarios!$F$16*AK123+0.1*BC123)/(Escenarios!$F$19)</f>
        <v>2.2874208085901371</v>
      </c>
      <c r="BI123" s="170">
        <f>IF(Escenarios!$F$17&gt;0,BF123/10/Escenarios!$F$19,AL123)</f>
        <v>0</v>
      </c>
      <c r="BJ123" s="170">
        <f>(Escenarios!$F$16*AT123+0.1*BD123)/(Escenarios!$F$19)</f>
        <v>0</v>
      </c>
      <c r="BK123" s="76">
        <f>BK122+(0.1*BD123)/(Escenarios!$F$19)-BL122</f>
        <v>48.75</v>
      </c>
      <c r="BL123" s="76">
        <f>MAX(0,(BK123-Constantes!$D$13)*(1-EXP(-Constantes!$D$23)))</f>
        <v>0</v>
      </c>
      <c r="BM123" s="76">
        <f t="shared" si="26"/>
        <v>0.98625136550654768</v>
      </c>
      <c r="BN123" s="76">
        <f t="shared" si="27"/>
        <v>1.1618393186185509</v>
      </c>
      <c r="BO123" s="76">
        <f>0.0526*BI123*Observaciones!$F122^1.218</f>
        <v>0</v>
      </c>
      <c r="BP123" s="76">
        <f>BO123*Constantes!$F$51</f>
        <v>0</v>
      </c>
      <c r="BQ123" s="76">
        <f t="shared" si="28"/>
        <v>0</v>
      </c>
      <c r="BR123" s="40"/>
    </row>
    <row r="124" spans="2:70">
      <c r="B124" s="39"/>
      <c r="C124" s="75">
        <v>118</v>
      </c>
      <c r="D124" s="146">
        <f>ETo!$I123*((1-Constantes!$F$19)*ETo!$K123+ETo!$L123)</f>
        <v>3.3301885580467223</v>
      </c>
      <c r="E124" s="76">
        <f>MIN(D124*Constantes!$F$17,0.8*(N123+Observaciones!$F123-F124-M124-Constantes!$D$14))</f>
        <v>1.8992456897091603</v>
      </c>
      <c r="F124" s="76">
        <f>IF(Observaciones!$F123&gt;0.05*Constantes!$F$18,((Observaciones!$F123-0.05*Constantes!$F$18)^2)/(Observaciones!$F123+0.95*Constantes!$F$18),0)</f>
        <v>0</v>
      </c>
      <c r="G124" s="76">
        <f>IF(Escenarios!$F$11&gt;0,(F124*Escenarios!$F$16*10000)/1000,0)</f>
        <v>0</v>
      </c>
      <c r="H124" s="76">
        <f>IF(Escenarios!$F$11&gt;0,(Observaciones!$F123*Constantes!$F$29)/1000,0)</f>
        <v>0</v>
      </c>
      <c r="I124" s="76">
        <f>IF(Escenarios!$F$11&gt;0,(D124*Constantes!$F$29)/1000,0)</f>
        <v>0</v>
      </c>
      <c r="J124" s="76">
        <f>IF(Escenarios!$F$11&gt;0,MAX(0,G124+H124-I124),0)</f>
        <v>0</v>
      </c>
      <c r="K124" s="76">
        <f>IF(Escenarios!$F$11&gt;0,IF(J124&gt;Constantes!$F$30,1000*((J124-Constantes!$F$30)/(Escenarios!$F$16*10000)),0),F124)</f>
        <v>0</v>
      </c>
      <c r="L124" s="76">
        <f>IF(Escenarios!$F$11&gt;0,I124*1000/Escenarios!$F$16/10000+E124,E124)</f>
        <v>1.8992456897091603</v>
      </c>
      <c r="M124" s="76">
        <f>MAX(0,N123+Observaciones!$F123-K124-Constantes!$D$13)</f>
        <v>0</v>
      </c>
      <c r="N124" s="76">
        <f>N123+Observaciones!$F123-K124-L124-M124-O123</f>
        <v>17.30215301369293</v>
      </c>
      <c r="O124" s="76">
        <f>MAX(0,(N124-Constantes!$D$14)*(1-EXP(-Constantes!$D$22)))</f>
        <v>0.2061585495549404</v>
      </c>
      <c r="P124" s="170">
        <f>P123+(Entradas!$F$83*M124-Q123)/(800*Entradas!$D$25)</f>
        <v>0</v>
      </c>
      <c r="Q124" s="170">
        <f>8000*Entradas!$D$26*P124/Constantes!$F$45</f>
        <v>0</v>
      </c>
      <c r="R124" s="170">
        <f>IF(Escenarios!$F$14&gt;0,K124*Escenarios!$F$13/Escenarios!$F$14,0)</f>
        <v>0</v>
      </c>
      <c r="S124" s="170">
        <f>IF(Escenarios!$F$14&gt;0,Q124*Escenarios!$F$13/Escenarios!$F$14,0)</f>
        <v>0</v>
      </c>
      <c r="T124" s="170">
        <f>IF(Escenarios!$F$14&gt;0,Observaciones!$I123,0)</f>
        <v>0</v>
      </c>
      <c r="U124" s="170">
        <f>IF(Escenarios!$F$14&gt;0,MAX(0,Constantes!$F$36/((Z123+R124+S124+T124+Observaciones!$F123)^2)+Entradas!$F$77),0)</f>
        <v>0</v>
      </c>
      <c r="V124" s="146">
        <f>IF(ETo!D123&gt;0,ETo!I123*((1-Entradas!$F$81)*ETo!K123+ETo!L123),0)</f>
        <v>2.9292748670581599</v>
      </c>
      <c r="W124" s="170">
        <f>IF(Escenarios!$F$14&gt;0,MIN(V124*1,0.8*(Z123+R124+S124+T124+Observaciones!$F123-U124-Constantes!$F$35)),0)</f>
        <v>2.9292748670581599</v>
      </c>
      <c r="X124" s="170">
        <f>IF(Escenarios!$F$14&gt;0,Observaciones!$J123,0)</f>
        <v>0</v>
      </c>
      <c r="Y124" s="170">
        <f>IF(Escenarios!$F$14&gt;0,MAX(0,Z123+R124+S124+T124+Observaciones!$F123-U124-W124-X124-Constantes!$F$33),0)</f>
        <v>0</v>
      </c>
      <c r="Z124" s="170">
        <f>Z123+R124+S124+T124+Observaciones!$F123-U124-W124-Y124</f>
        <v>44.882848206092099</v>
      </c>
      <c r="AA124" s="170">
        <f>IF(Escenarios!$F$14&gt;0,(Escenarios!$F$13*L124+Escenarios!$F$14*W124)/(Escenarios!$F$16),L124)</f>
        <v>2.0228491909910402</v>
      </c>
      <c r="AB124" s="170">
        <f>IF(Escenarios!$F$14&gt;0,(Escenarios!$F$14*Y124)/(Escenarios!$F$16),K124)</f>
        <v>0</v>
      </c>
      <c r="AC124" s="170">
        <f>IF(Escenarios!$F$14&gt;0,(Escenarios!$F$13*M124+Escenarios!$F$14*U124)/(Escenarios!$F$16),M124)</f>
        <v>0</v>
      </c>
      <c r="AD124" s="76">
        <f t="shared" si="15"/>
        <v>135.29274907017114</v>
      </c>
      <c r="AE124" s="76">
        <f>MAX(0,(AD124-Constantes!$D$13)*(1-EXP(-Constantes!$D$23)))</f>
        <v>0.85272631946528099</v>
      </c>
      <c r="AF124" s="76">
        <f>AB124+O124*Escenarios!$F$13/Escenarios!$F$16+AE124</f>
        <v>1.0341458430736286</v>
      </c>
      <c r="AG124" s="76">
        <f>IF(Entradas!$F$91&gt;0,IF(AF124-Escenarios!$F$38&lt;=0,0,IF(AF124-Escenarios!$F$38&gt;Escenarios!$F$37,Escenarios!$F$37,AF124-Escenarios!$F$38)),0)</f>
        <v>0</v>
      </c>
      <c r="AH124" s="76">
        <f>AG124*Entradas!$F$99</f>
        <v>0</v>
      </c>
      <c r="AI124" s="76">
        <f>IF(Entradas!$F$91&gt;0,D124*Entradas!$D$23/Escenarios!$F$16,0)</f>
        <v>0.15984905078624267</v>
      </c>
      <c r="AJ124" s="76">
        <f>IF(Entradas!$F$91&gt;0,Entradas!$D$24*Entradas!$D$22/Escenarios!$F$16,0)</f>
        <v>0.12</v>
      </c>
      <c r="AK124" s="76">
        <f t="shared" si="16"/>
        <v>2.1826982417772829</v>
      </c>
      <c r="AL124" s="76">
        <f t="shared" si="17"/>
        <v>0</v>
      </c>
      <c r="AM124" s="76">
        <f t="shared" si="18"/>
        <v>0</v>
      </c>
      <c r="AN124" s="76">
        <f>MAX(0,O124*Escenarios!$F$13/Escenarios!$F$16-AM124)</f>
        <v>0.18141952360834757</v>
      </c>
      <c r="AO124" s="76">
        <f>AM124+AN124-O124*Escenarios!$F$13/Escenarios!$F$16</f>
        <v>0</v>
      </c>
      <c r="AP124" s="76">
        <f t="shared" si="19"/>
        <v>0.85272631946528099</v>
      </c>
      <c r="AQ124" s="76">
        <f t="shared" si="20"/>
        <v>0</v>
      </c>
      <c r="AR124" s="76">
        <f t="shared" si="21"/>
        <v>1.0341458430736286</v>
      </c>
      <c r="AS124" s="76">
        <f t="shared" si="22"/>
        <v>0</v>
      </c>
      <c r="AT124" s="76">
        <f t="shared" si="23"/>
        <v>0</v>
      </c>
      <c r="AU124" s="76">
        <f t="shared" si="24"/>
        <v>56.805353061182224</v>
      </c>
      <c r="AV124" s="76">
        <f>MAX(0,(AU124-Constantes!$D$13)*(1-EXP(-Constantes!$D$24)))</f>
        <v>0.12312806174055603</v>
      </c>
      <c r="AW124" s="170">
        <f>AW123+(Entradas!$F$112*AT124-AX123)/(800*Entradas!$D$25)</f>
        <v>0</v>
      </c>
      <c r="AX124" s="170">
        <f>8000*Entradas!$D$26*AW124/Constantes!$F$45</f>
        <v>0</v>
      </c>
      <c r="AY124" s="170">
        <f>IF(Escenarios!$F$17&gt;0,10*Escenarios!$F$16*AL124,0)</f>
        <v>0</v>
      </c>
      <c r="AZ124" s="170">
        <f>IF(Escenarios!$F$17&gt;0,10*Escenarios!$F$16*AX124,0)</f>
        <v>0</v>
      </c>
      <c r="BA124" s="170">
        <f>IF(Escenarios!$F$17&gt;0,0.001*Observaciones!$F123*Escenarios!$F$17,0)</f>
        <v>0</v>
      </c>
      <c r="BB124" s="170">
        <f>IF(Escenarios!$F$17&gt;0,Observaciones!$K123,0)</f>
        <v>0</v>
      </c>
      <c r="BC124" s="170">
        <f>IF(Escenarios!$F$17&gt;0,MIN(0.0005*ETo!$M123*Escenarios!$F$17*(BG123/Constantes!$F$40)^(2/3),BG123+AY124+AZ124+BA124+BB124),0)</f>
        <v>0</v>
      </c>
      <c r="BD124" s="170">
        <f>IF(Escenarios!$F$17&gt;0,MIN(Constantes!$F$39*(BG123/Constantes!$F$40)^(2/3),BG123+AY124+AZ124+BA124+BB124-BC124),0)</f>
        <v>0</v>
      </c>
      <c r="BE124" s="170">
        <f>IF(Escenarios!$F$17&gt;0,MIN(Entradas!$F$113,BG123+AY124+AZ124+BA124+BB124-BC124-BD124),0)</f>
        <v>0</v>
      </c>
      <c r="BF124" s="170">
        <f>IF(Escenarios!$F$17&gt;0,MAX(0,BG123+AY124+AZ124+BA124+BB124-BC124-BD124-BE124-Constantes!$F$40),0)</f>
        <v>0</v>
      </c>
      <c r="BG124" s="170">
        <f t="shared" si="25"/>
        <v>0</v>
      </c>
      <c r="BH124" s="170">
        <f>(Escenarios!$F$16*AK124+0.1*BC124)/(Escenarios!$F$19)</f>
        <v>2.1826982417772829</v>
      </c>
      <c r="BI124" s="170">
        <f>IF(Escenarios!$F$17&gt;0,BF124/10/Escenarios!$F$19,AL124)</f>
        <v>0</v>
      </c>
      <c r="BJ124" s="170">
        <f>(Escenarios!$F$16*AT124+0.1*BD124)/(Escenarios!$F$19)</f>
        <v>0</v>
      </c>
      <c r="BK124" s="76">
        <f>BK123+(0.1*BD124)/(Escenarios!$F$19)-BL123</f>
        <v>48.75</v>
      </c>
      <c r="BL124" s="76">
        <f>MAX(0,(BK124-Constantes!$D$13)*(1-EXP(-Constantes!$D$23)))</f>
        <v>0</v>
      </c>
      <c r="BM124" s="76">
        <f t="shared" si="26"/>
        <v>0.97585438120583701</v>
      </c>
      <c r="BN124" s="76">
        <f t="shared" si="27"/>
        <v>1.1572739048141847</v>
      </c>
      <c r="BO124" s="76">
        <f>0.0526*BI124*Observaciones!$F123^1.218</f>
        <v>0</v>
      </c>
      <c r="BP124" s="76">
        <f>BO124*Constantes!$F$51</f>
        <v>0</v>
      </c>
      <c r="BQ124" s="76">
        <f t="shared" si="28"/>
        <v>0</v>
      </c>
      <c r="BR124" s="40"/>
    </row>
    <row r="125" spans="2:70">
      <c r="B125" s="39"/>
      <c r="C125" s="75">
        <v>119</v>
      </c>
      <c r="D125" s="146">
        <f>ETo!$I124*((1-Constantes!$F$19)*ETo!$K124+ETo!$L124)</f>
        <v>3.4326942328039203</v>
      </c>
      <c r="E125" s="76">
        <f>MIN(D125*Constantes!$F$17,0.8*(N124+Observaciones!$F124-F125-M125-Constantes!$D$14))</f>
        <v>1.9577058812448389</v>
      </c>
      <c r="F125" s="76">
        <f>IF(Observaciones!$F124&gt;0.05*Constantes!$F$18,((Observaciones!$F124-0.05*Constantes!$F$18)^2)/(Observaciones!$F124+0.95*Constantes!$F$18),0)</f>
        <v>0</v>
      </c>
      <c r="G125" s="76">
        <f>IF(Escenarios!$F$11&gt;0,(F125*Escenarios!$F$16*10000)/1000,0)</f>
        <v>0</v>
      </c>
      <c r="H125" s="76">
        <f>IF(Escenarios!$F$11&gt;0,(Observaciones!$F124*Constantes!$F$29)/1000,0)</f>
        <v>0</v>
      </c>
      <c r="I125" s="76">
        <f>IF(Escenarios!$F$11&gt;0,(D125*Constantes!$F$29)/1000,0)</f>
        <v>0</v>
      </c>
      <c r="J125" s="76">
        <f>IF(Escenarios!$F$11&gt;0,MAX(0,G125+H125-I125),0)</f>
        <v>0</v>
      </c>
      <c r="K125" s="76">
        <f>IF(Escenarios!$F$11&gt;0,IF(J125&gt;Constantes!$F$30,1000*((J125-Constantes!$F$30)/(Escenarios!$F$16*10000)),0),F125)</f>
        <v>0</v>
      </c>
      <c r="L125" s="76">
        <f>IF(Escenarios!$F$11&gt;0,I125*1000/Escenarios!$F$16/10000+E125,E125)</f>
        <v>1.9577058812448389</v>
      </c>
      <c r="M125" s="76">
        <f>MAX(0,N124+Observaciones!$F124-K125-Constantes!$D$13)</f>
        <v>0</v>
      </c>
      <c r="N125" s="76">
        <f>N124+Observaciones!$F124-K125-L125-M125-O124</f>
        <v>15.13828858289315</v>
      </c>
      <c r="O125" s="76">
        <f>MAX(0,(N125-Constantes!$D$14)*(1-EXP(-Constantes!$D$22)))</f>
        <v>0.13244938333295048</v>
      </c>
      <c r="P125" s="170">
        <f>P124+(Entradas!$F$83*M125-Q124)/(800*Entradas!$D$25)</f>
        <v>0</v>
      </c>
      <c r="Q125" s="170">
        <f>8000*Entradas!$D$26*P125/Constantes!$F$45</f>
        <v>0</v>
      </c>
      <c r="R125" s="170">
        <f>IF(Escenarios!$F$14&gt;0,K125*Escenarios!$F$13/Escenarios!$F$14,0)</f>
        <v>0</v>
      </c>
      <c r="S125" s="170">
        <f>IF(Escenarios!$F$14&gt;0,Q125*Escenarios!$F$13/Escenarios!$F$14,0)</f>
        <v>0</v>
      </c>
      <c r="T125" s="170">
        <f>IF(Escenarios!$F$14&gt;0,Observaciones!$I124,0)</f>
        <v>0</v>
      </c>
      <c r="U125" s="170">
        <f>IF(Escenarios!$F$14&gt;0,MAX(0,Constantes!$F$36/((Z124+R125+S125+T125+Observaciones!$F124)^2)+Entradas!$F$77),0)</f>
        <v>0</v>
      </c>
      <c r="V125" s="146">
        <f>IF(ETo!D124&gt;0,ETo!I124*((1-Entradas!$F$81)*ETo!K124+ETo!L124),0)</f>
        <v>3.0207663102393405</v>
      </c>
      <c r="W125" s="170">
        <f>IF(Escenarios!$F$14&gt;0,MIN(V125*1,0.8*(Z124+R125+S125+T125+Observaciones!$F124-U125-Constantes!$F$35)),0)</f>
        <v>2.9062785648736793</v>
      </c>
      <c r="X125" s="170">
        <f>IF(Escenarios!$F$14&gt;0,Observaciones!$J124,0)</f>
        <v>0</v>
      </c>
      <c r="Y125" s="170">
        <f>IF(Escenarios!$F$14&gt;0,MAX(0,Z124+R125+S125+T125+Observaciones!$F124-U125-W125-X125-Constantes!$F$33),0)</f>
        <v>0</v>
      </c>
      <c r="Z125" s="170">
        <f>Z124+R125+S125+T125+Observaciones!$F124-U125-W125-Y125</f>
        <v>41.976569641218418</v>
      </c>
      <c r="AA125" s="170">
        <f>IF(Escenarios!$F$14&gt;0,(Escenarios!$F$13*L125+Escenarios!$F$14*W125)/(Escenarios!$F$16),L125)</f>
        <v>2.0715346032803001</v>
      </c>
      <c r="AB125" s="170">
        <f>IF(Escenarios!$F$14&gt;0,(Escenarios!$F$14*Y125)/(Escenarios!$F$16),K125)</f>
        <v>0</v>
      </c>
      <c r="AC125" s="170">
        <f>IF(Escenarios!$F$14&gt;0,(Escenarios!$F$13*M125+Escenarios!$F$14*U125)/(Escenarios!$F$16),M125)</f>
        <v>0</v>
      </c>
      <c r="AD125" s="76">
        <f t="shared" si="15"/>
        <v>134.44002275070585</v>
      </c>
      <c r="AE125" s="76">
        <f>MAX(0,(AD125-Constantes!$D$13)*(1-EXP(-Constantes!$D$23)))</f>
        <v>0.84432420393600394</v>
      </c>
      <c r="AF125" s="76">
        <f>AB125+O125*Escenarios!$F$13/Escenarios!$F$16+AE125</f>
        <v>0.96087966126900037</v>
      </c>
      <c r="AG125" s="76">
        <f>IF(Entradas!$F$91&gt;0,IF(AF125-Escenarios!$F$38&lt;=0,0,IF(AF125-Escenarios!$F$38&gt;Escenarios!$F$37,Escenarios!$F$37,AF125-Escenarios!$F$38)),0)</f>
        <v>0</v>
      </c>
      <c r="AH125" s="76">
        <f>AG125*Entradas!$F$99</f>
        <v>0</v>
      </c>
      <c r="AI125" s="76">
        <f>IF(Entradas!$F$91&gt;0,D125*Entradas!$D$23/Escenarios!$F$16,0)</f>
        <v>0.16476932317458817</v>
      </c>
      <c r="AJ125" s="76">
        <f>IF(Entradas!$F$91&gt;0,Entradas!$D$24*Entradas!$D$22/Escenarios!$F$16,0)</f>
        <v>0.12</v>
      </c>
      <c r="AK125" s="76">
        <f t="shared" si="16"/>
        <v>2.2363039264548883</v>
      </c>
      <c r="AL125" s="76">
        <f t="shared" si="17"/>
        <v>0</v>
      </c>
      <c r="AM125" s="76">
        <f t="shared" si="18"/>
        <v>0</v>
      </c>
      <c r="AN125" s="76">
        <f>MAX(0,O125*Escenarios!$F$13/Escenarios!$F$16-AM125)</f>
        <v>0.11655545733299642</v>
      </c>
      <c r="AO125" s="76">
        <f>AM125+AN125-O125*Escenarios!$F$13/Escenarios!$F$16</f>
        <v>0</v>
      </c>
      <c r="AP125" s="76">
        <f t="shared" si="19"/>
        <v>0.84432420393600394</v>
      </c>
      <c r="AQ125" s="76">
        <f t="shared" si="20"/>
        <v>0</v>
      </c>
      <c r="AR125" s="76">
        <f t="shared" si="21"/>
        <v>0.96087966126900037</v>
      </c>
      <c r="AS125" s="76">
        <f t="shared" si="22"/>
        <v>0</v>
      </c>
      <c r="AT125" s="76">
        <f t="shared" si="23"/>
        <v>0</v>
      </c>
      <c r="AU125" s="76">
        <f t="shared" si="24"/>
        <v>56.682224999441665</v>
      </c>
      <c r="AV125" s="76">
        <f>MAX(0,(AU125-Constantes!$D$13)*(1-EXP(-Constantes!$D$24)))</f>
        <v>0.12124601889614699</v>
      </c>
      <c r="AW125" s="170">
        <f>AW124+(Entradas!$F$112*AT125-AX124)/(800*Entradas!$D$25)</f>
        <v>0</v>
      </c>
      <c r="AX125" s="170">
        <f>8000*Entradas!$D$26*AW125/Constantes!$F$45</f>
        <v>0</v>
      </c>
      <c r="AY125" s="170">
        <f>IF(Escenarios!$F$17&gt;0,10*Escenarios!$F$16*AL125,0)</f>
        <v>0</v>
      </c>
      <c r="AZ125" s="170">
        <f>IF(Escenarios!$F$17&gt;0,10*Escenarios!$F$16*AX125,0)</f>
        <v>0</v>
      </c>
      <c r="BA125" s="170">
        <f>IF(Escenarios!$F$17&gt;0,0.001*Observaciones!$F124*Escenarios!$F$17,0)</f>
        <v>0</v>
      </c>
      <c r="BB125" s="170">
        <f>IF(Escenarios!$F$17&gt;0,Observaciones!$K124,0)</f>
        <v>0</v>
      </c>
      <c r="BC125" s="170">
        <f>IF(Escenarios!$F$17&gt;0,MIN(0.0005*ETo!$M124*Escenarios!$F$17*(BG124/Constantes!$F$40)^(2/3),BG124+AY125+AZ125+BA125+BB125),0)</f>
        <v>0</v>
      </c>
      <c r="BD125" s="170">
        <f>IF(Escenarios!$F$17&gt;0,MIN(Constantes!$F$39*(BG124/Constantes!$F$40)^(2/3),BG124+AY125+AZ125+BA125+BB125-BC125),0)</f>
        <v>0</v>
      </c>
      <c r="BE125" s="170">
        <f>IF(Escenarios!$F$17&gt;0,MIN(Entradas!$F$113,BG124+AY125+AZ125+BA125+BB125-BC125-BD125),0)</f>
        <v>0</v>
      </c>
      <c r="BF125" s="170">
        <f>IF(Escenarios!$F$17&gt;0,MAX(0,BG124+AY125+AZ125+BA125+BB125-BC125-BD125-BE125-Constantes!$F$40),0)</f>
        <v>0</v>
      </c>
      <c r="BG125" s="170">
        <f t="shared" si="25"/>
        <v>0</v>
      </c>
      <c r="BH125" s="170">
        <f>(Escenarios!$F$16*AK125+0.1*BC125)/(Escenarios!$F$19)</f>
        <v>2.2363039264548883</v>
      </c>
      <c r="BI125" s="170">
        <f>IF(Escenarios!$F$17&gt;0,BF125/10/Escenarios!$F$19,AL125)</f>
        <v>0</v>
      </c>
      <c r="BJ125" s="170">
        <f>(Escenarios!$F$16*AT125+0.1*BD125)/(Escenarios!$F$19)</f>
        <v>0</v>
      </c>
      <c r="BK125" s="76">
        <f>BK124+(0.1*BD125)/(Escenarios!$F$19)-BL124</f>
        <v>48.75</v>
      </c>
      <c r="BL125" s="76">
        <f>MAX(0,(BK125-Constantes!$D$13)*(1-EXP(-Constantes!$D$23)))</f>
        <v>0</v>
      </c>
      <c r="BM125" s="76">
        <f t="shared" si="26"/>
        <v>0.96557022283215088</v>
      </c>
      <c r="BN125" s="76">
        <f t="shared" si="27"/>
        <v>1.0821256801651473</v>
      </c>
      <c r="BO125" s="76">
        <f>0.0526*BI125*Observaciones!$F124^1.218</f>
        <v>0</v>
      </c>
      <c r="BP125" s="76">
        <f>BO125*Constantes!$F$51</f>
        <v>0</v>
      </c>
      <c r="BQ125" s="76">
        <f t="shared" si="28"/>
        <v>0</v>
      </c>
      <c r="BR125" s="40"/>
    </row>
    <row r="126" spans="2:70">
      <c r="B126" s="39"/>
      <c r="C126" s="75">
        <v>120</v>
      </c>
      <c r="D126" s="146">
        <f>ETo!$I125*((1-Constantes!$F$19)*ETo!$K125+ETo!$L125)</f>
        <v>3.3224612402572951</v>
      </c>
      <c r="E126" s="76">
        <f>MIN(D126*Constantes!$F$17,0.8*(N125+Observaciones!$F125-F126-M126-Constantes!$D$14))</f>
        <v>1.8948387095190682</v>
      </c>
      <c r="F126" s="76">
        <f>IF(Observaciones!$F125&gt;0.05*Constantes!$F$18,((Observaciones!$F125-0.05*Constantes!$F$18)^2)/(Observaciones!$F125+0.95*Constantes!$F$18),0)</f>
        <v>0</v>
      </c>
      <c r="G126" s="76">
        <f>IF(Escenarios!$F$11&gt;0,(F126*Escenarios!$F$16*10000)/1000,0)</f>
        <v>0</v>
      </c>
      <c r="H126" s="76">
        <f>IF(Escenarios!$F$11&gt;0,(Observaciones!$F125*Constantes!$F$29)/1000,0)</f>
        <v>0</v>
      </c>
      <c r="I126" s="76">
        <f>IF(Escenarios!$F$11&gt;0,(D126*Constantes!$F$29)/1000,0)</f>
        <v>0</v>
      </c>
      <c r="J126" s="76">
        <f>IF(Escenarios!$F$11&gt;0,MAX(0,G126+H126-I126),0)</f>
        <v>0</v>
      </c>
      <c r="K126" s="76">
        <f>IF(Escenarios!$F$11&gt;0,IF(J126&gt;Constantes!$F$30,1000*((J126-Constantes!$F$30)/(Escenarios!$F$16*10000)),0),F126)</f>
        <v>0</v>
      </c>
      <c r="L126" s="76">
        <f>IF(Escenarios!$F$11&gt;0,I126*1000/Escenarios!$F$16/10000+E126,E126)</f>
        <v>1.8948387095190682</v>
      </c>
      <c r="M126" s="76">
        <f>MAX(0,N125+Observaciones!$F125-K126-Constantes!$D$13)</f>
        <v>0</v>
      </c>
      <c r="N126" s="76">
        <f>N125+Observaciones!$F125-K126-L126-M126-O125</f>
        <v>13.111000490041132</v>
      </c>
      <c r="O126" s="76">
        <f>MAX(0,(N126-Constantes!$D$14)*(1-EXP(-Constantes!$D$22)))</f>
        <v>6.3392508563462263E-2</v>
      </c>
      <c r="P126" s="170">
        <f>P125+(Entradas!$F$83*M126-Q125)/(800*Entradas!$D$25)</f>
        <v>0</v>
      </c>
      <c r="Q126" s="170">
        <f>8000*Entradas!$D$26*P126/Constantes!$F$45</f>
        <v>0</v>
      </c>
      <c r="R126" s="170">
        <f>IF(Escenarios!$F$14&gt;0,K126*Escenarios!$F$13/Escenarios!$F$14,0)</f>
        <v>0</v>
      </c>
      <c r="S126" s="170">
        <f>IF(Escenarios!$F$14&gt;0,Q126*Escenarios!$F$13/Escenarios!$F$14,0)</f>
        <v>0</v>
      </c>
      <c r="T126" s="170">
        <f>IF(Escenarios!$F$14&gt;0,Observaciones!$I125,0)</f>
        <v>0</v>
      </c>
      <c r="U126" s="170">
        <f>IF(Escenarios!$F$14&gt;0,MAX(0,Constantes!$F$36/((Z125+R126+S126+T126+Observaciones!$F125)^2)+Entradas!$F$77),0)</f>
        <v>0</v>
      </c>
      <c r="V126" s="146">
        <f>IF(ETo!D125&gt;0,ETo!I125*((1-Entradas!$F$81)*ETo!K125+ETo!L125),0)</f>
        <v>2.9215170441067553</v>
      </c>
      <c r="W126" s="170">
        <f>IF(Escenarios!$F$14&gt;0,MIN(V126*1,0.8*(Z125+R126+S126+T126+Observaciones!$F125-U126-Constantes!$F$35)),0)</f>
        <v>0.58125571297473477</v>
      </c>
      <c r="X126" s="170">
        <f>IF(Escenarios!$F$14&gt;0,Observaciones!$J125,0)</f>
        <v>0</v>
      </c>
      <c r="Y126" s="170">
        <f>IF(Escenarios!$F$14&gt;0,MAX(0,Z125+R126+S126+T126+Observaciones!$F125-U126-W126-X126-Constantes!$F$33),0)</f>
        <v>0</v>
      </c>
      <c r="Z126" s="170">
        <f>Z125+R126+S126+T126+Observaciones!$F125-U126-W126-Y126</f>
        <v>41.395313928243681</v>
      </c>
      <c r="AA126" s="170">
        <f>IF(Escenarios!$F$14&gt;0,(Escenarios!$F$13*L126+Escenarios!$F$14*W126)/(Escenarios!$F$16),L126)</f>
        <v>1.7372087499337481</v>
      </c>
      <c r="AB126" s="170">
        <f>IF(Escenarios!$F$14&gt;0,(Escenarios!$F$14*Y126)/(Escenarios!$F$16),K126)</f>
        <v>0</v>
      </c>
      <c r="AC126" s="170">
        <f>IF(Escenarios!$F$14&gt;0,(Escenarios!$F$13*M126+Escenarios!$F$14*U126)/(Escenarios!$F$16),M126)</f>
        <v>0</v>
      </c>
      <c r="AD126" s="76">
        <f t="shared" si="15"/>
        <v>133.59569854676985</v>
      </c>
      <c r="AE126" s="76">
        <f>MAX(0,(AD126-Constantes!$D$13)*(1-EXP(-Constantes!$D$23)))</f>
        <v>0.83600487645226496</v>
      </c>
      <c r="AF126" s="76">
        <f>AB126+O126*Escenarios!$F$13/Escenarios!$F$16+AE126</f>
        <v>0.89179028398811178</v>
      </c>
      <c r="AG126" s="76">
        <f>IF(Entradas!$F$91&gt;0,IF(AF126-Escenarios!$F$38&lt;=0,0,IF(AF126-Escenarios!$F$38&gt;Escenarios!$F$37,Escenarios!$F$37,AF126-Escenarios!$F$38)),0)</f>
        <v>0</v>
      </c>
      <c r="AH126" s="76">
        <f>AG126*Entradas!$F$99</f>
        <v>0</v>
      </c>
      <c r="AI126" s="76">
        <f>IF(Entradas!$F$91&gt;0,D126*Entradas!$D$23/Escenarios!$F$16,0)</f>
        <v>0.15947813953235015</v>
      </c>
      <c r="AJ126" s="76">
        <f>IF(Entradas!$F$91&gt;0,Entradas!$D$24*Entradas!$D$22/Escenarios!$F$16,0)</f>
        <v>0.12</v>
      </c>
      <c r="AK126" s="76">
        <f t="shared" si="16"/>
        <v>1.8966868894660982</v>
      </c>
      <c r="AL126" s="76">
        <f t="shared" si="17"/>
        <v>0</v>
      </c>
      <c r="AM126" s="76">
        <f t="shared" si="18"/>
        <v>0</v>
      </c>
      <c r="AN126" s="76">
        <f>MAX(0,O126*Escenarios!$F$13/Escenarios!$F$16-AM126)</f>
        <v>5.5785407535846793E-2</v>
      </c>
      <c r="AO126" s="76">
        <f>AM126+AN126-O126*Escenarios!$F$13/Escenarios!$F$16</f>
        <v>0</v>
      </c>
      <c r="AP126" s="76">
        <f t="shared" si="19"/>
        <v>0.83600487645226496</v>
      </c>
      <c r="AQ126" s="76">
        <f t="shared" si="20"/>
        <v>0</v>
      </c>
      <c r="AR126" s="76">
        <f t="shared" si="21"/>
        <v>0.89179028398811178</v>
      </c>
      <c r="AS126" s="76">
        <f t="shared" si="22"/>
        <v>0</v>
      </c>
      <c r="AT126" s="76">
        <f t="shared" si="23"/>
        <v>0</v>
      </c>
      <c r="AU126" s="76">
        <f t="shared" si="24"/>
        <v>56.560978980545521</v>
      </c>
      <c r="AV126" s="76">
        <f>MAX(0,(AU126-Constantes!$D$13)*(1-EXP(-Constantes!$D$24)))</f>
        <v>0.1193927435416028</v>
      </c>
      <c r="AW126" s="170">
        <f>AW125+(Entradas!$F$112*AT126-AX125)/(800*Entradas!$D$25)</f>
        <v>0</v>
      </c>
      <c r="AX126" s="170">
        <f>8000*Entradas!$D$26*AW126/Constantes!$F$45</f>
        <v>0</v>
      </c>
      <c r="AY126" s="170">
        <f>IF(Escenarios!$F$17&gt;0,10*Escenarios!$F$16*AL126,0)</f>
        <v>0</v>
      </c>
      <c r="AZ126" s="170">
        <f>IF(Escenarios!$F$17&gt;0,10*Escenarios!$F$16*AX126,0)</f>
        <v>0</v>
      </c>
      <c r="BA126" s="170">
        <f>IF(Escenarios!$F$17&gt;0,0.001*Observaciones!$F125*Escenarios!$F$17,0)</f>
        <v>0</v>
      </c>
      <c r="BB126" s="170">
        <f>IF(Escenarios!$F$17&gt;0,Observaciones!$K125,0)</f>
        <v>0</v>
      </c>
      <c r="BC126" s="170">
        <f>IF(Escenarios!$F$17&gt;0,MIN(0.0005*ETo!$M125*Escenarios!$F$17*(BG125/Constantes!$F$40)^(2/3),BG125+AY126+AZ126+BA126+BB126),0)</f>
        <v>0</v>
      </c>
      <c r="BD126" s="170">
        <f>IF(Escenarios!$F$17&gt;0,MIN(Constantes!$F$39*(BG125/Constantes!$F$40)^(2/3),BG125+AY126+AZ126+BA126+BB126-BC126),0)</f>
        <v>0</v>
      </c>
      <c r="BE126" s="170">
        <f>IF(Escenarios!$F$17&gt;0,MIN(Entradas!$F$113,BG125+AY126+AZ126+BA126+BB126-BC126-BD126),0)</f>
        <v>0</v>
      </c>
      <c r="BF126" s="170">
        <f>IF(Escenarios!$F$17&gt;0,MAX(0,BG125+AY126+AZ126+BA126+BB126-BC126-BD126-BE126-Constantes!$F$40),0)</f>
        <v>0</v>
      </c>
      <c r="BG126" s="170">
        <f t="shared" si="25"/>
        <v>0</v>
      </c>
      <c r="BH126" s="170">
        <f>(Escenarios!$F$16*AK126+0.1*BC126)/(Escenarios!$F$19)</f>
        <v>1.8966868894660982</v>
      </c>
      <c r="BI126" s="170">
        <f>IF(Escenarios!$F$17&gt;0,BF126/10/Escenarios!$F$19,AL126)</f>
        <v>0</v>
      </c>
      <c r="BJ126" s="170">
        <f>(Escenarios!$F$16*AT126+0.1*BD126)/(Escenarios!$F$19)</f>
        <v>0</v>
      </c>
      <c r="BK126" s="76">
        <f>BK125+(0.1*BD126)/(Escenarios!$F$19)-BL125</f>
        <v>48.75</v>
      </c>
      <c r="BL126" s="76">
        <f>MAX(0,(BK126-Constantes!$D$13)*(1-EXP(-Constantes!$D$23)))</f>
        <v>0</v>
      </c>
      <c r="BM126" s="76">
        <f t="shared" si="26"/>
        <v>0.95539761999386774</v>
      </c>
      <c r="BN126" s="76">
        <f t="shared" si="27"/>
        <v>1.0111830275297147</v>
      </c>
      <c r="BO126" s="76">
        <f>0.0526*BI126*Observaciones!$F125^1.218</f>
        <v>0</v>
      </c>
      <c r="BP126" s="76">
        <f>BO126*Constantes!$F$51</f>
        <v>0</v>
      </c>
      <c r="BQ126" s="76">
        <f t="shared" si="28"/>
        <v>0</v>
      </c>
      <c r="BR126" s="40"/>
    </row>
    <row r="127" spans="2:70">
      <c r="B127" s="39"/>
      <c r="C127" s="75">
        <v>121</v>
      </c>
      <c r="D127" s="146">
        <f>ETo!$I126*((1-Constantes!$F$19)*ETo!$K126+ETo!$L126)</f>
        <v>3.3004098328336497</v>
      </c>
      <c r="E127" s="76">
        <f>MIN(D127*Constantes!$F$17,0.8*(N126+Observaciones!$F126-F127-M127-Constantes!$D$14))</f>
        <v>1.4888003920329056</v>
      </c>
      <c r="F127" s="76">
        <f>IF(Observaciones!$F126&gt;0.05*Constantes!$F$18,((Observaciones!$F126-0.05*Constantes!$F$18)^2)/(Observaciones!$F126+0.95*Constantes!$F$18),0)</f>
        <v>0</v>
      </c>
      <c r="G127" s="76">
        <f>IF(Escenarios!$F$11&gt;0,(F127*Escenarios!$F$16*10000)/1000,0)</f>
        <v>0</v>
      </c>
      <c r="H127" s="76">
        <f>IF(Escenarios!$F$11&gt;0,(Observaciones!$F126*Constantes!$F$29)/1000,0)</f>
        <v>0</v>
      </c>
      <c r="I127" s="76">
        <f>IF(Escenarios!$F$11&gt;0,(D127*Constantes!$F$29)/1000,0)</f>
        <v>0</v>
      </c>
      <c r="J127" s="76">
        <f>IF(Escenarios!$F$11&gt;0,MAX(0,G127+H127-I127),0)</f>
        <v>0</v>
      </c>
      <c r="K127" s="76">
        <f>IF(Escenarios!$F$11&gt;0,IF(J127&gt;Constantes!$F$30,1000*((J127-Constantes!$F$30)/(Escenarios!$F$16*10000)),0),F127)</f>
        <v>0</v>
      </c>
      <c r="L127" s="76">
        <f>IF(Escenarios!$F$11&gt;0,I127*1000/Escenarios!$F$16/10000+E127,E127)</f>
        <v>1.4888003920329056</v>
      </c>
      <c r="M127" s="76">
        <f>MAX(0,N126+Observaciones!$F126-K127-Constantes!$D$13)</f>
        <v>0</v>
      </c>
      <c r="N127" s="76">
        <f>N126+Observaciones!$F126-K127-L127-M127-O126</f>
        <v>11.558807589444765</v>
      </c>
      <c r="O127" s="76">
        <f>MAX(0,(N127-Constantes!$D$14)*(1-EXP(-Constantes!$D$22)))</f>
        <v>1.0519120152357791E-2</v>
      </c>
      <c r="P127" s="170">
        <f>P126+(Entradas!$F$83*M127-Q126)/(800*Entradas!$D$25)</f>
        <v>0</v>
      </c>
      <c r="Q127" s="170">
        <f>8000*Entradas!$D$26*P127/Constantes!$F$45</f>
        <v>0</v>
      </c>
      <c r="R127" s="170">
        <f>IF(Escenarios!$F$14&gt;0,K127*Escenarios!$F$13/Escenarios!$F$14,0)</f>
        <v>0</v>
      </c>
      <c r="S127" s="170">
        <f>IF(Escenarios!$F$14&gt;0,Q127*Escenarios!$F$13/Escenarios!$F$14,0)</f>
        <v>0</v>
      </c>
      <c r="T127" s="170">
        <f>IF(Escenarios!$F$14&gt;0,Observaciones!$I126,0)</f>
        <v>0</v>
      </c>
      <c r="U127" s="170">
        <f>IF(Escenarios!$F$14&gt;0,MAX(0,Constantes!$F$36/((Z126+R127+S127+T127+Observaciones!$F126)^2)+Entradas!$F$77),0)</f>
        <v>0</v>
      </c>
      <c r="V127" s="146">
        <f>IF(ETo!D126&gt;0,ETo!I126*((1-Entradas!$F$81)*ETo!K126+ETo!L126),0)</f>
        <v>2.9013728343861329</v>
      </c>
      <c r="W127" s="170">
        <f>IF(Escenarios!$F$14&gt;0,MIN(V127*1,0.8*(Z126+R127+S127+T127+Observaciones!$F126-U127-Constantes!$F$35)),0)</f>
        <v>0.11625114259494468</v>
      </c>
      <c r="X127" s="170">
        <f>IF(Escenarios!$F$14&gt;0,Observaciones!$J126,0)</f>
        <v>0</v>
      </c>
      <c r="Y127" s="170">
        <f>IF(Escenarios!$F$14&gt;0,MAX(0,Z126+R127+S127+T127+Observaciones!$F126-U127-W127-X127-Constantes!$F$33),0)</f>
        <v>0</v>
      </c>
      <c r="Z127" s="170">
        <f>Z126+R127+S127+T127+Observaciones!$F126-U127-W127-Y127</f>
        <v>41.279062785648733</v>
      </c>
      <c r="AA127" s="170">
        <f>IF(Escenarios!$F$14&gt;0,(Escenarios!$F$13*L127+Escenarios!$F$14*W127)/(Escenarios!$F$16),L127)</f>
        <v>1.3240944821003502</v>
      </c>
      <c r="AB127" s="170">
        <f>IF(Escenarios!$F$14&gt;0,(Escenarios!$F$14*Y127)/(Escenarios!$F$16),K127)</f>
        <v>0</v>
      </c>
      <c r="AC127" s="170">
        <f>IF(Escenarios!$F$14&gt;0,(Escenarios!$F$13*M127+Escenarios!$F$14*U127)/(Escenarios!$F$16),M127)</f>
        <v>0</v>
      </c>
      <c r="AD127" s="76">
        <f t="shared" si="15"/>
        <v>132.75969367031757</v>
      </c>
      <c r="AE127" s="76">
        <f>MAX(0,(AD127-Constantes!$D$13)*(1-EXP(-Constantes!$D$23)))</f>
        <v>0.82776752128373254</v>
      </c>
      <c r="AF127" s="76">
        <f>AB127+O127*Escenarios!$F$13/Escenarios!$F$16+AE127</f>
        <v>0.83702434701780737</v>
      </c>
      <c r="AG127" s="76">
        <f>IF(Entradas!$F$91&gt;0,IF(AF127-Escenarios!$F$38&lt;=0,0,IF(AF127-Escenarios!$F$38&gt;Escenarios!$F$37,Escenarios!$F$37,AF127-Escenarios!$F$38)),0)</f>
        <v>0</v>
      </c>
      <c r="AH127" s="76">
        <f>AG127*Entradas!$F$99</f>
        <v>0</v>
      </c>
      <c r="AI127" s="76">
        <f>IF(Entradas!$F$91&gt;0,D127*Entradas!$D$23/Escenarios!$F$16,0)</f>
        <v>0.1584196719760152</v>
      </c>
      <c r="AJ127" s="76">
        <f>IF(Entradas!$F$91&gt;0,Entradas!$D$24*Entradas!$D$22/Escenarios!$F$16,0)</f>
        <v>0.12</v>
      </c>
      <c r="AK127" s="76">
        <f t="shared" si="16"/>
        <v>1.4825141540763653</v>
      </c>
      <c r="AL127" s="76">
        <f t="shared" si="17"/>
        <v>0</v>
      </c>
      <c r="AM127" s="76">
        <f t="shared" si="18"/>
        <v>0</v>
      </c>
      <c r="AN127" s="76">
        <f>MAX(0,O127*Escenarios!$F$13/Escenarios!$F$16-AM127)</f>
        <v>9.2568257340748562E-3</v>
      </c>
      <c r="AO127" s="76">
        <f>AM127+AN127-O127*Escenarios!$F$13/Escenarios!$F$16</f>
        <v>0</v>
      </c>
      <c r="AP127" s="76">
        <f t="shared" si="19"/>
        <v>0.82776752128373254</v>
      </c>
      <c r="AQ127" s="76">
        <f t="shared" si="20"/>
        <v>0</v>
      </c>
      <c r="AR127" s="76">
        <f t="shared" si="21"/>
        <v>0.83702434701780737</v>
      </c>
      <c r="AS127" s="76">
        <f t="shared" si="22"/>
        <v>0</v>
      </c>
      <c r="AT127" s="76">
        <f t="shared" si="23"/>
        <v>0</v>
      </c>
      <c r="AU127" s="76">
        <f t="shared" si="24"/>
        <v>56.441586237003918</v>
      </c>
      <c r="AV127" s="76">
        <f>MAX(0,(AU127-Constantes!$D$13)*(1-EXP(-Constantes!$D$24)))</f>
        <v>0.1175677959587333</v>
      </c>
      <c r="AW127" s="170">
        <f>AW126+(Entradas!$F$112*AT127-AX126)/(800*Entradas!$D$25)</f>
        <v>0</v>
      </c>
      <c r="AX127" s="170">
        <f>8000*Entradas!$D$26*AW127/Constantes!$F$45</f>
        <v>0</v>
      </c>
      <c r="AY127" s="170">
        <f>IF(Escenarios!$F$17&gt;0,10*Escenarios!$F$16*AL127,0)</f>
        <v>0</v>
      </c>
      <c r="AZ127" s="170">
        <f>IF(Escenarios!$F$17&gt;0,10*Escenarios!$F$16*AX127,0)</f>
        <v>0</v>
      </c>
      <c r="BA127" s="170">
        <f>IF(Escenarios!$F$17&gt;0,0.001*Observaciones!$F126*Escenarios!$F$17,0)</f>
        <v>0</v>
      </c>
      <c r="BB127" s="170">
        <f>IF(Escenarios!$F$17&gt;0,Observaciones!$K126,0)</f>
        <v>0</v>
      </c>
      <c r="BC127" s="170">
        <f>IF(Escenarios!$F$17&gt;0,MIN(0.0005*ETo!$M126*Escenarios!$F$17*(BG126/Constantes!$F$40)^(2/3),BG126+AY127+AZ127+BA127+BB127),0)</f>
        <v>0</v>
      </c>
      <c r="BD127" s="170">
        <f>IF(Escenarios!$F$17&gt;0,MIN(Constantes!$F$39*(BG126/Constantes!$F$40)^(2/3),BG126+AY127+AZ127+BA127+BB127-BC127),0)</f>
        <v>0</v>
      </c>
      <c r="BE127" s="170">
        <f>IF(Escenarios!$F$17&gt;0,MIN(Entradas!$F$113,BG126+AY127+AZ127+BA127+BB127-BC127-BD127),0)</f>
        <v>0</v>
      </c>
      <c r="BF127" s="170">
        <f>IF(Escenarios!$F$17&gt;0,MAX(0,BG126+AY127+AZ127+BA127+BB127-BC127-BD127-BE127-Constantes!$F$40),0)</f>
        <v>0</v>
      </c>
      <c r="BG127" s="170">
        <f t="shared" si="25"/>
        <v>0</v>
      </c>
      <c r="BH127" s="170">
        <f>(Escenarios!$F$16*AK127+0.1*BC127)/(Escenarios!$F$19)</f>
        <v>1.4825141540763653</v>
      </c>
      <c r="BI127" s="170">
        <f>IF(Escenarios!$F$17&gt;0,BF127/10/Escenarios!$F$19,AL127)</f>
        <v>0</v>
      </c>
      <c r="BJ127" s="170">
        <f>(Escenarios!$F$16*AT127+0.1*BD127)/(Escenarios!$F$19)</f>
        <v>0</v>
      </c>
      <c r="BK127" s="76">
        <f>BK126+(0.1*BD127)/(Escenarios!$F$19)-BL126</f>
        <v>48.75</v>
      </c>
      <c r="BL127" s="76">
        <f>MAX(0,(BK127-Constantes!$D$13)*(1-EXP(-Constantes!$D$23)))</f>
        <v>0</v>
      </c>
      <c r="BM127" s="76">
        <f t="shared" si="26"/>
        <v>0.94533531724246589</v>
      </c>
      <c r="BN127" s="76">
        <f t="shared" si="27"/>
        <v>0.95459214297654071</v>
      </c>
      <c r="BO127" s="76">
        <f>0.0526*BI127*Observaciones!$F126^1.218</f>
        <v>0</v>
      </c>
      <c r="BP127" s="76">
        <f>BO127*Constantes!$F$51</f>
        <v>0</v>
      </c>
      <c r="BQ127" s="76">
        <f t="shared" si="28"/>
        <v>0</v>
      </c>
      <c r="BR127" s="40"/>
    </row>
    <row r="128" spans="2:70">
      <c r="B128" s="39"/>
      <c r="C128" s="75">
        <v>122</v>
      </c>
      <c r="D128" s="146">
        <f>ETo!$I127*((1-Constantes!$F$19)*ETo!$K127+ETo!$L127)</f>
        <v>3.3254050323538022</v>
      </c>
      <c r="E128" s="76">
        <f>MIN(D128*Constantes!$F$17,0.8*(N127+Observaciones!$F127-F128-M128-Constantes!$D$14))</f>
        <v>0.24704607155581187</v>
      </c>
      <c r="F128" s="76">
        <f>IF(Observaciones!$F127&gt;0.05*Constantes!$F$18,((Observaciones!$F127-0.05*Constantes!$F$18)^2)/(Observaciones!$F127+0.95*Constantes!$F$18),0)</f>
        <v>0</v>
      </c>
      <c r="G128" s="76">
        <f>IF(Escenarios!$F$11&gt;0,(F128*Escenarios!$F$16*10000)/1000,0)</f>
        <v>0</v>
      </c>
      <c r="H128" s="76">
        <f>IF(Escenarios!$F$11&gt;0,(Observaciones!$F127*Constantes!$F$29)/1000,0)</f>
        <v>0</v>
      </c>
      <c r="I128" s="76">
        <f>IF(Escenarios!$F$11&gt;0,(D128*Constantes!$F$29)/1000,0)</f>
        <v>0</v>
      </c>
      <c r="J128" s="76">
        <f>IF(Escenarios!$F$11&gt;0,MAX(0,G128+H128-I128),0)</f>
        <v>0</v>
      </c>
      <c r="K128" s="76">
        <f>IF(Escenarios!$F$11&gt;0,IF(J128&gt;Constantes!$F$30,1000*((J128-Constantes!$F$30)/(Escenarios!$F$16*10000)),0),F128)</f>
        <v>0</v>
      </c>
      <c r="L128" s="76">
        <f>IF(Escenarios!$F$11&gt;0,I128*1000/Escenarios!$F$16/10000+E128,E128)</f>
        <v>0.24704607155581187</v>
      </c>
      <c r="M128" s="76">
        <f>MAX(0,N127+Observaciones!$F127-K128-Constantes!$D$13)</f>
        <v>0</v>
      </c>
      <c r="N128" s="76">
        <f>N127+Observaciones!$F127-K128-L128-M128-O127</f>
        <v>11.301242397736596</v>
      </c>
      <c r="O128" s="76">
        <f>MAX(0,(N128-Constantes!$D$14)*(1-EXP(-Constantes!$D$22)))</f>
        <v>1.7455041816016388E-3</v>
      </c>
      <c r="P128" s="170">
        <f>P127+(Entradas!$F$83*M128-Q127)/(800*Entradas!$D$25)</f>
        <v>0</v>
      </c>
      <c r="Q128" s="170">
        <f>8000*Entradas!$D$26*P128/Constantes!$F$45</f>
        <v>0</v>
      </c>
      <c r="R128" s="170">
        <f>IF(Escenarios!$F$14&gt;0,K128*Escenarios!$F$13/Escenarios!$F$14,0)</f>
        <v>0</v>
      </c>
      <c r="S128" s="170">
        <f>IF(Escenarios!$F$14&gt;0,Q128*Escenarios!$F$13/Escenarios!$F$14,0)</f>
        <v>0</v>
      </c>
      <c r="T128" s="170">
        <f>IF(Escenarios!$F$14&gt;0,Observaciones!$I127,0)</f>
        <v>0</v>
      </c>
      <c r="U128" s="170">
        <f>IF(Escenarios!$F$14&gt;0,MAX(0,Constantes!$F$36/((Z127+R128+S128+T128+Observaciones!$F127)^2)+Entradas!$F$77),0)</f>
        <v>0</v>
      </c>
      <c r="V128" s="146">
        <f>IF(ETo!D127&gt;0,ETo!I127*((1-Entradas!$F$81)*ETo!K127+ETo!L127),0)</f>
        <v>2.923354898910083</v>
      </c>
      <c r="W128" s="170">
        <f>IF(Escenarios!$F$14&gt;0,MIN(V128*1,0.8*(Z127+R128+S128+T128+Observaciones!$F127-U128-Constantes!$F$35)),0)</f>
        <v>2.325022851898666E-2</v>
      </c>
      <c r="X128" s="170">
        <f>IF(Escenarios!$F$14&gt;0,Observaciones!$J127,0)</f>
        <v>0</v>
      </c>
      <c r="Y128" s="170">
        <f>IF(Escenarios!$F$14&gt;0,MAX(0,Z127+R128+S128+T128+Observaciones!$F127-U128-W128-X128-Constantes!$F$33),0)</f>
        <v>0</v>
      </c>
      <c r="Z128" s="170">
        <f>Z127+R128+S128+T128+Observaciones!$F127-U128-W128-Y128</f>
        <v>41.255812557129744</v>
      </c>
      <c r="AA128" s="170">
        <f>IF(Escenarios!$F$14&gt;0,(Escenarios!$F$13*L128+Escenarios!$F$14*W128)/(Escenarios!$F$16),L128)</f>
        <v>0.22019057039139284</v>
      </c>
      <c r="AB128" s="170">
        <f>IF(Escenarios!$F$14&gt;0,(Escenarios!$F$14*Y128)/(Escenarios!$F$16),K128)</f>
        <v>0</v>
      </c>
      <c r="AC128" s="170">
        <f>IF(Escenarios!$F$14&gt;0,(Escenarios!$F$13*M128+Escenarios!$F$14*U128)/(Escenarios!$F$16),M128)</f>
        <v>0</v>
      </c>
      <c r="AD128" s="76">
        <f t="shared" si="15"/>
        <v>131.93192614903384</v>
      </c>
      <c r="AE128" s="76">
        <f>MAX(0,(AD128-Constantes!$D$13)*(1-EXP(-Constantes!$D$23)))</f>
        <v>0.81961133073766101</v>
      </c>
      <c r="AF128" s="76">
        <f>AB128+O128*Escenarios!$F$13/Escenarios!$F$16+AE128</f>
        <v>0.82114737441747043</v>
      </c>
      <c r="AG128" s="76">
        <f>IF(Entradas!$F$91&gt;0,IF(AF128-Escenarios!$F$38&lt;=0,0,IF(AF128-Escenarios!$F$38&gt;Escenarios!$F$37,Escenarios!$F$37,AF128-Escenarios!$F$38)),0)</f>
        <v>0</v>
      </c>
      <c r="AH128" s="76">
        <f>AG128*Entradas!$F$99</f>
        <v>0</v>
      </c>
      <c r="AI128" s="76">
        <f>IF(Entradas!$F$91&gt;0,D128*Entradas!$D$23/Escenarios!$F$16,0)</f>
        <v>0.15961944155298249</v>
      </c>
      <c r="AJ128" s="76">
        <f>IF(Entradas!$F$91&gt;0,Entradas!$D$24*Entradas!$D$22/Escenarios!$F$16,0)</f>
        <v>0.12</v>
      </c>
      <c r="AK128" s="76">
        <f t="shared" si="16"/>
        <v>0.37981001194437536</v>
      </c>
      <c r="AL128" s="76">
        <f t="shared" si="17"/>
        <v>0</v>
      </c>
      <c r="AM128" s="76">
        <f t="shared" si="18"/>
        <v>0</v>
      </c>
      <c r="AN128" s="76">
        <f>MAX(0,O128*Escenarios!$F$13/Escenarios!$F$16-AM128)</f>
        <v>1.5360436798094422E-3</v>
      </c>
      <c r="AO128" s="76">
        <f>AM128+AN128-O128*Escenarios!$F$13/Escenarios!$F$16</f>
        <v>0</v>
      </c>
      <c r="AP128" s="76">
        <f t="shared" si="19"/>
        <v>0.81961133073766101</v>
      </c>
      <c r="AQ128" s="76">
        <f t="shared" si="20"/>
        <v>0</v>
      </c>
      <c r="AR128" s="76">
        <f t="shared" si="21"/>
        <v>0.82114737441747043</v>
      </c>
      <c r="AS128" s="76">
        <f t="shared" si="22"/>
        <v>0</v>
      </c>
      <c r="AT128" s="76">
        <f t="shared" si="23"/>
        <v>0</v>
      </c>
      <c r="AU128" s="76">
        <f t="shared" si="24"/>
        <v>56.324018441045183</v>
      </c>
      <c r="AV128" s="76">
        <f>MAX(0,(AU128-Constantes!$D$13)*(1-EXP(-Constantes!$D$24)))</f>
        <v>0.11577074315054967</v>
      </c>
      <c r="AW128" s="170">
        <f>AW127+(Entradas!$F$112*AT128-AX127)/(800*Entradas!$D$25)</f>
        <v>0</v>
      </c>
      <c r="AX128" s="170">
        <f>8000*Entradas!$D$26*AW128/Constantes!$F$45</f>
        <v>0</v>
      </c>
      <c r="AY128" s="170">
        <f>IF(Escenarios!$F$17&gt;0,10*Escenarios!$F$16*AL128,0)</f>
        <v>0</v>
      </c>
      <c r="AZ128" s="170">
        <f>IF(Escenarios!$F$17&gt;0,10*Escenarios!$F$16*AX128,0)</f>
        <v>0</v>
      </c>
      <c r="BA128" s="170">
        <f>IF(Escenarios!$F$17&gt;0,0.001*Observaciones!$F127*Escenarios!$F$17,0)</f>
        <v>0</v>
      </c>
      <c r="BB128" s="170">
        <f>IF(Escenarios!$F$17&gt;0,Observaciones!$K127,0)</f>
        <v>0</v>
      </c>
      <c r="BC128" s="170">
        <f>IF(Escenarios!$F$17&gt;0,MIN(0.0005*ETo!$M127*Escenarios!$F$17*(BG127/Constantes!$F$40)^(2/3),BG127+AY128+AZ128+BA128+BB128),0)</f>
        <v>0</v>
      </c>
      <c r="BD128" s="170">
        <f>IF(Escenarios!$F$17&gt;0,MIN(Constantes!$F$39*(BG127/Constantes!$F$40)^(2/3),BG127+AY128+AZ128+BA128+BB128-BC128),0)</f>
        <v>0</v>
      </c>
      <c r="BE128" s="170">
        <f>IF(Escenarios!$F$17&gt;0,MIN(Entradas!$F$113,BG127+AY128+AZ128+BA128+BB128-BC128-BD128),0)</f>
        <v>0</v>
      </c>
      <c r="BF128" s="170">
        <f>IF(Escenarios!$F$17&gt;0,MAX(0,BG127+AY128+AZ128+BA128+BB128-BC128-BD128-BE128-Constantes!$F$40),0)</f>
        <v>0</v>
      </c>
      <c r="BG128" s="170">
        <f t="shared" si="25"/>
        <v>0</v>
      </c>
      <c r="BH128" s="170">
        <f>(Escenarios!$F$16*AK128+0.1*BC128)/(Escenarios!$F$19)</f>
        <v>0.37981001194437536</v>
      </c>
      <c r="BI128" s="170">
        <f>IF(Escenarios!$F$17&gt;0,BF128/10/Escenarios!$F$19,AL128)</f>
        <v>0</v>
      </c>
      <c r="BJ128" s="170">
        <f>(Escenarios!$F$16*AT128+0.1*BD128)/(Escenarios!$F$19)</f>
        <v>0</v>
      </c>
      <c r="BK128" s="76">
        <f>BK127+(0.1*BD128)/(Escenarios!$F$19)-BL127</f>
        <v>48.75</v>
      </c>
      <c r="BL128" s="76">
        <f>MAX(0,(BK128-Constantes!$D$13)*(1-EXP(-Constantes!$D$23)))</f>
        <v>0</v>
      </c>
      <c r="BM128" s="76">
        <f t="shared" si="26"/>
        <v>0.93538207388821071</v>
      </c>
      <c r="BN128" s="76">
        <f t="shared" si="27"/>
        <v>0.93691811756802013</v>
      </c>
      <c r="BO128" s="76">
        <f>0.0526*BI128*Observaciones!$F127^1.218</f>
        <v>0</v>
      </c>
      <c r="BP128" s="76">
        <f>BO128*Constantes!$F$51</f>
        <v>0</v>
      </c>
      <c r="BQ128" s="76">
        <f t="shared" si="28"/>
        <v>0</v>
      </c>
      <c r="BR128" s="40"/>
    </row>
    <row r="129" spans="2:70">
      <c r="B129" s="39"/>
      <c r="C129" s="75">
        <v>123</v>
      </c>
      <c r="D129" s="146">
        <f>ETo!$I128*((1-Constantes!$F$19)*ETo!$K128+ETo!$L128)</f>
        <v>3.3141875062175075</v>
      </c>
      <c r="E129" s="76">
        <f>MIN(D129*Constantes!$F$17,0.8*(N128+Observaciones!$F128-F129-M129-Constantes!$D$14))</f>
        <v>4.0993918189276717E-2</v>
      </c>
      <c r="F129" s="76">
        <f>IF(Observaciones!$F128&gt;0.05*Constantes!$F$18,((Observaciones!$F128-0.05*Constantes!$F$18)^2)/(Observaciones!$F128+0.95*Constantes!$F$18),0)</f>
        <v>0</v>
      </c>
      <c r="G129" s="76">
        <f>IF(Escenarios!$F$11&gt;0,(F129*Escenarios!$F$16*10000)/1000,0)</f>
        <v>0</v>
      </c>
      <c r="H129" s="76">
        <f>IF(Escenarios!$F$11&gt;0,(Observaciones!$F128*Constantes!$F$29)/1000,0)</f>
        <v>0</v>
      </c>
      <c r="I129" s="76">
        <f>IF(Escenarios!$F$11&gt;0,(D129*Constantes!$F$29)/1000,0)</f>
        <v>0</v>
      </c>
      <c r="J129" s="76">
        <f>IF(Escenarios!$F$11&gt;0,MAX(0,G129+H129-I129),0)</f>
        <v>0</v>
      </c>
      <c r="K129" s="76">
        <f>IF(Escenarios!$F$11&gt;0,IF(J129&gt;Constantes!$F$30,1000*((J129-Constantes!$F$30)/(Escenarios!$F$16*10000)),0),F129)</f>
        <v>0</v>
      </c>
      <c r="L129" s="76">
        <f>IF(Escenarios!$F$11&gt;0,I129*1000/Escenarios!$F$16/10000+E129,E129)</f>
        <v>4.0993918189276717E-2</v>
      </c>
      <c r="M129" s="76">
        <f>MAX(0,N128+Observaciones!$F128-K129-Constantes!$D$13)</f>
        <v>0</v>
      </c>
      <c r="N129" s="76">
        <f>N128+Observaciones!$F128-K129-L129-M129-O128</f>
        <v>11.258502975365719</v>
      </c>
      <c r="O129" s="76">
        <f>MAX(0,(N129-Constantes!$D$14)*(1-EXP(-Constantes!$D$22)))</f>
        <v>2.8964255601798822E-4</v>
      </c>
      <c r="P129" s="170">
        <f>P128+(Entradas!$F$83*M129-Q128)/(800*Entradas!$D$25)</f>
        <v>0</v>
      </c>
      <c r="Q129" s="170">
        <f>8000*Entradas!$D$26*P129/Constantes!$F$45</f>
        <v>0</v>
      </c>
      <c r="R129" s="170">
        <f>IF(Escenarios!$F$14&gt;0,K129*Escenarios!$F$13/Escenarios!$F$14,0)</f>
        <v>0</v>
      </c>
      <c r="S129" s="170">
        <f>IF(Escenarios!$F$14&gt;0,Q129*Escenarios!$F$13/Escenarios!$F$14,0)</f>
        <v>0</v>
      </c>
      <c r="T129" s="170">
        <f>IF(Escenarios!$F$14&gt;0,Observaciones!$I128,0)</f>
        <v>0</v>
      </c>
      <c r="U129" s="170">
        <f>IF(Escenarios!$F$14&gt;0,MAX(0,Constantes!$F$36/((Z128+R129+S129+T129+Observaciones!$F128)^2)+Entradas!$F$77),0)</f>
        <v>0</v>
      </c>
      <c r="V129" s="146">
        <f>IF(ETo!D128&gt;0,ETo!I128*((1-Entradas!$F$81)*ETo!K128+ETo!L128),0)</f>
        <v>2.9129166291184805</v>
      </c>
      <c r="W129" s="170">
        <f>IF(Escenarios!$F$14&gt;0,MIN(V129*1,0.8*(Z128+R129+S129+T129+Observaciones!$F128-U129-Constantes!$F$35)),0)</f>
        <v>4.650045703795058E-3</v>
      </c>
      <c r="X129" s="170">
        <f>IF(Escenarios!$F$14&gt;0,Observaciones!$J128,0)</f>
        <v>0</v>
      </c>
      <c r="Y129" s="170">
        <f>IF(Escenarios!$F$14&gt;0,MAX(0,Z128+R129+S129+T129+Observaciones!$F128-U129-W129-X129-Constantes!$F$33),0)</f>
        <v>0</v>
      </c>
      <c r="Z129" s="170">
        <f>Z128+R129+S129+T129+Observaciones!$F128-U129-W129-Y129</f>
        <v>41.251162511425946</v>
      </c>
      <c r="AA129" s="170">
        <f>IF(Escenarios!$F$14&gt;0,(Escenarios!$F$13*L129+Escenarios!$F$14*W129)/(Escenarios!$F$16),L129)</f>
        <v>3.6632653491018921E-2</v>
      </c>
      <c r="AB129" s="170">
        <f>IF(Escenarios!$F$14&gt;0,(Escenarios!$F$14*Y129)/(Escenarios!$F$16),K129)</f>
        <v>0</v>
      </c>
      <c r="AC129" s="170">
        <f>IF(Escenarios!$F$14&gt;0,(Escenarios!$F$13*M129+Escenarios!$F$14*U129)/(Escenarios!$F$16),M129)</f>
        <v>0</v>
      </c>
      <c r="AD129" s="76">
        <f t="shared" si="15"/>
        <v>131.11231481829617</v>
      </c>
      <c r="AE129" s="76">
        <f>MAX(0,(AD129-Constantes!$D$13)*(1-EXP(-Constantes!$D$23)))</f>
        <v>0.81153550507969296</v>
      </c>
      <c r="AF129" s="76">
        <f>AB129+O129*Escenarios!$F$13/Escenarios!$F$16+AE129</f>
        <v>0.81179039052898883</v>
      </c>
      <c r="AG129" s="76">
        <f>IF(Entradas!$F$91&gt;0,IF(AF129-Escenarios!$F$38&lt;=0,0,IF(AF129-Escenarios!$F$38&gt;Escenarios!$F$37,Escenarios!$F$37,AF129-Escenarios!$F$38)),0)</f>
        <v>0</v>
      </c>
      <c r="AH129" s="76">
        <f>AG129*Entradas!$F$99</f>
        <v>0</v>
      </c>
      <c r="AI129" s="76">
        <f>IF(Entradas!$F$91&gt;0,D129*Entradas!$D$23/Escenarios!$F$16,0)</f>
        <v>0.15908100029844036</v>
      </c>
      <c r="AJ129" s="76">
        <f>IF(Entradas!$F$91&gt;0,Entradas!$D$24*Entradas!$D$22/Escenarios!$F$16,0)</f>
        <v>0.12</v>
      </c>
      <c r="AK129" s="76">
        <f t="shared" si="16"/>
        <v>0.19571365378945926</v>
      </c>
      <c r="AL129" s="76">
        <f t="shared" si="17"/>
        <v>0</v>
      </c>
      <c r="AM129" s="76">
        <f t="shared" si="18"/>
        <v>0</v>
      </c>
      <c r="AN129" s="76">
        <f>MAX(0,O129*Escenarios!$F$13/Escenarios!$F$16-AM129)</f>
        <v>2.5488544929582965E-4</v>
      </c>
      <c r="AO129" s="76">
        <f>AM129+AN129-O129*Escenarios!$F$13/Escenarios!$F$16</f>
        <v>0</v>
      </c>
      <c r="AP129" s="76">
        <f t="shared" si="19"/>
        <v>0.81153550507969296</v>
      </c>
      <c r="AQ129" s="76">
        <f t="shared" si="20"/>
        <v>0</v>
      </c>
      <c r="AR129" s="76">
        <f t="shared" si="21"/>
        <v>0.81179039052898883</v>
      </c>
      <c r="AS129" s="76">
        <f t="shared" si="22"/>
        <v>0</v>
      </c>
      <c r="AT129" s="76">
        <f t="shared" si="23"/>
        <v>0</v>
      </c>
      <c r="AU129" s="76">
        <f t="shared" si="24"/>
        <v>56.208247697894635</v>
      </c>
      <c r="AV129" s="76">
        <f>MAX(0,(AU129-Constantes!$D$13)*(1-EXP(-Constantes!$D$24)))</f>
        <v>0.11400115873852903</v>
      </c>
      <c r="AW129" s="170">
        <f>AW128+(Entradas!$F$112*AT129-AX128)/(800*Entradas!$D$25)</f>
        <v>0</v>
      </c>
      <c r="AX129" s="170">
        <f>8000*Entradas!$D$26*AW129/Constantes!$F$45</f>
        <v>0</v>
      </c>
      <c r="AY129" s="170">
        <f>IF(Escenarios!$F$17&gt;0,10*Escenarios!$F$16*AL129,0)</f>
        <v>0</v>
      </c>
      <c r="AZ129" s="170">
        <f>IF(Escenarios!$F$17&gt;0,10*Escenarios!$F$16*AX129,0)</f>
        <v>0</v>
      </c>
      <c r="BA129" s="170">
        <f>IF(Escenarios!$F$17&gt;0,0.001*Observaciones!$F128*Escenarios!$F$17,0)</f>
        <v>0</v>
      </c>
      <c r="BB129" s="170">
        <f>IF(Escenarios!$F$17&gt;0,Observaciones!$K128,0)</f>
        <v>0</v>
      </c>
      <c r="BC129" s="170">
        <f>IF(Escenarios!$F$17&gt;0,MIN(0.0005*ETo!$M128*Escenarios!$F$17*(BG128/Constantes!$F$40)^(2/3),BG128+AY129+AZ129+BA129+BB129),0)</f>
        <v>0</v>
      </c>
      <c r="BD129" s="170">
        <f>IF(Escenarios!$F$17&gt;0,MIN(Constantes!$F$39*(BG128/Constantes!$F$40)^(2/3),BG128+AY129+AZ129+BA129+BB129-BC129),0)</f>
        <v>0</v>
      </c>
      <c r="BE129" s="170">
        <f>IF(Escenarios!$F$17&gt;0,MIN(Entradas!$F$113,BG128+AY129+AZ129+BA129+BB129-BC129-BD129),0)</f>
        <v>0</v>
      </c>
      <c r="BF129" s="170">
        <f>IF(Escenarios!$F$17&gt;0,MAX(0,BG128+AY129+AZ129+BA129+BB129-BC129-BD129-BE129-Constantes!$F$40),0)</f>
        <v>0</v>
      </c>
      <c r="BG129" s="170">
        <f t="shared" si="25"/>
        <v>0</v>
      </c>
      <c r="BH129" s="170">
        <f>(Escenarios!$F$16*AK129+0.1*BC129)/(Escenarios!$F$19)</f>
        <v>0.19571365378945926</v>
      </c>
      <c r="BI129" s="170">
        <f>IF(Escenarios!$F$17&gt;0,BF129/10/Escenarios!$F$19,AL129)</f>
        <v>0</v>
      </c>
      <c r="BJ129" s="170">
        <f>(Escenarios!$F$16*AT129+0.1*BD129)/(Escenarios!$F$19)</f>
        <v>0</v>
      </c>
      <c r="BK129" s="76">
        <f>BK128+(0.1*BD129)/(Escenarios!$F$19)-BL128</f>
        <v>48.75</v>
      </c>
      <c r="BL129" s="76">
        <f>MAX(0,(BK129-Constantes!$D$13)*(1-EXP(-Constantes!$D$23)))</f>
        <v>0</v>
      </c>
      <c r="BM129" s="76">
        <f t="shared" si="26"/>
        <v>0.92553666381822197</v>
      </c>
      <c r="BN129" s="76">
        <f t="shared" si="27"/>
        <v>0.92579154926751783</v>
      </c>
      <c r="BO129" s="76">
        <f>0.0526*BI129*Observaciones!$F128^1.218</f>
        <v>0</v>
      </c>
      <c r="BP129" s="76">
        <f>BO129*Constantes!$F$51</f>
        <v>0</v>
      </c>
      <c r="BQ129" s="76">
        <f t="shared" si="28"/>
        <v>0</v>
      </c>
      <c r="BR129" s="40"/>
    </row>
    <row r="130" spans="2:70">
      <c r="B130" s="39"/>
      <c r="C130" s="75">
        <v>124</v>
      </c>
      <c r="D130" s="146">
        <f>ETo!$I129*((1-Constantes!$F$19)*ETo!$K129+ETo!$L129)</f>
        <v>3.1994814703471834</v>
      </c>
      <c r="E130" s="76">
        <f>MIN(D130*Constantes!$F$17,0.8*(N129+Observaciones!$F129-F130-M130-Constantes!$D$14))</f>
        <v>6.8023802925750946E-3</v>
      </c>
      <c r="F130" s="76">
        <f>IF(Observaciones!$F129&gt;0.05*Constantes!$F$18,((Observaciones!$F129-0.05*Constantes!$F$18)^2)/(Observaciones!$F129+0.95*Constantes!$F$18),0)</f>
        <v>0</v>
      </c>
      <c r="G130" s="76">
        <f>IF(Escenarios!$F$11&gt;0,(F130*Escenarios!$F$16*10000)/1000,0)</f>
        <v>0</v>
      </c>
      <c r="H130" s="76">
        <f>IF(Escenarios!$F$11&gt;0,(Observaciones!$F129*Constantes!$F$29)/1000,0)</f>
        <v>0</v>
      </c>
      <c r="I130" s="76">
        <f>IF(Escenarios!$F$11&gt;0,(D130*Constantes!$F$29)/1000,0)</f>
        <v>0</v>
      </c>
      <c r="J130" s="76">
        <f>IF(Escenarios!$F$11&gt;0,MAX(0,G130+H130-I130),0)</f>
        <v>0</v>
      </c>
      <c r="K130" s="76">
        <f>IF(Escenarios!$F$11&gt;0,IF(J130&gt;Constantes!$F$30,1000*((J130-Constantes!$F$30)/(Escenarios!$F$16*10000)),0),F130)</f>
        <v>0</v>
      </c>
      <c r="L130" s="76">
        <f>IF(Escenarios!$F$11&gt;0,I130*1000/Escenarios!$F$16/10000+E130,E130)</f>
        <v>6.8023802925750946E-3</v>
      </c>
      <c r="M130" s="76">
        <f>MAX(0,N129+Observaciones!$F129-K130-Constantes!$D$13)</f>
        <v>0</v>
      </c>
      <c r="N130" s="76">
        <f>N129+Observaciones!$F129-K130-L130-M130-O129</f>
        <v>11.251410952517126</v>
      </c>
      <c r="O130" s="76">
        <f>MAX(0,(N130-Constantes!$D$14)*(1-EXP(-Constantes!$D$22)))</f>
        <v>4.806222244605546E-5</v>
      </c>
      <c r="P130" s="170">
        <f>P129+(Entradas!$F$83*M130-Q129)/(800*Entradas!$D$25)</f>
        <v>0</v>
      </c>
      <c r="Q130" s="170">
        <f>8000*Entradas!$D$26*P130/Constantes!$F$45</f>
        <v>0</v>
      </c>
      <c r="R130" s="170">
        <f>IF(Escenarios!$F$14&gt;0,K130*Escenarios!$F$13/Escenarios!$F$14,0)</f>
        <v>0</v>
      </c>
      <c r="S130" s="170">
        <f>IF(Escenarios!$F$14&gt;0,Q130*Escenarios!$F$13/Escenarios!$F$14,0)</f>
        <v>0</v>
      </c>
      <c r="T130" s="170">
        <f>IF(Escenarios!$F$14&gt;0,Observaciones!$I129,0)</f>
        <v>0</v>
      </c>
      <c r="U130" s="170">
        <f>IF(Escenarios!$F$14&gt;0,MAX(0,Constantes!$F$36/((Z129+R130+S130+T130+Observaciones!$F129)^2)+Entradas!$F$77),0)</f>
        <v>0</v>
      </c>
      <c r="V130" s="146">
        <f>IF(ETo!D129&gt;0,ETo!I129*((1-Entradas!$F$81)*ETo!K129+ETo!L129),0)</f>
        <v>2.8099136986325162</v>
      </c>
      <c r="W130" s="170">
        <f>IF(Escenarios!$F$14&gt;0,MIN(V130*1,0.8*(Z129+R130+S130+T130+Observaciones!$F129-U130-Constantes!$F$35)),0)</f>
        <v>9.3000914075673795E-4</v>
      </c>
      <c r="X130" s="170">
        <f>IF(Escenarios!$F$14&gt;0,Observaciones!$J129,0)</f>
        <v>0</v>
      </c>
      <c r="Y130" s="170">
        <f>IF(Escenarios!$F$14&gt;0,MAX(0,Z129+R130+S130+T130+Observaciones!$F129-U130-W130-X130-Constantes!$F$33),0)</f>
        <v>0</v>
      </c>
      <c r="Z130" s="170">
        <f>Z129+R130+S130+T130+Observaciones!$F129-U130-W130-Y130</f>
        <v>41.250232502285186</v>
      </c>
      <c r="AA130" s="170">
        <f>IF(Escenarios!$F$14&gt;0,(Escenarios!$F$13*L130+Escenarios!$F$14*W130)/(Escenarios!$F$16),L130)</f>
        <v>6.0976957543568914E-3</v>
      </c>
      <c r="AB130" s="170">
        <f>IF(Escenarios!$F$14&gt;0,(Escenarios!$F$14*Y130)/(Escenarios!$F$16),K130)</f>
        <v>0</v>
      </c>
      <c r="AC130" s="170">
        <f>IF(Escenarios!$F$14&gt;0,(Escenarios!$F$13*M130+Escenarios!$F$14*U130)/(Escenarios!$F$16),M130)</f>
        <v>0</v>
      </c>
      <c r="AD130" s="76">
        <f t="shared" si="15"/>
        <v>130.30077931321648</v>
      </c>
      <c r="AE130" s="76">
        <f>MAX(0,(AD130-Constantes!$D$13)*(1-EXP(-Constantes!$D$23)))</f>
        <v>0.80353925245544489</v>
      </c>
      <c r="AF130" s="76">
        <f>AB130+O130*Escenarios!$F$13/Escenarios!$F$16+AE130</f>
        <v>0.80358154721119746</v>
      </c>
      <c r="AG130" s="76">
        <f>IF(Entradas!$F$91&gt;0,IF(AF130-Escenarios!$F$38&lt;=0,0,IF(AF130-Escenarios!$F$38&gt;Escenarios!$F$37,Escenarios!$F$37,AF130-Escenarios!$F$38)),0)</f>
        <v>0</v>
      </c>
      <c r="AH130" s="76">
        <f>AG130*Entradas!$F$99</f>
        <v>0</v>
      </c>
      <c r="AI130" s="76">
        <f>IF(Entradas!$F$91&gt;0,D130*Entradas!$D$23/Escenarios!$F$16,0)</f>
        <v>0.15357511057666479</v>
      </c>
      <c r="AJ130" s="76">
        <f>IF(Entradas!$F$91&gt;0,Entradas!$D$24*Entradas!$D$22/Escenarios!$F$16,0)</f>
        <v>0.12</v>
      </c>
      <c r="AK130" s="76">
        <f t="shared" si="16"/>
        <v>0.15967280633102168</v>
      </c>
      <c r="AL130" s="76">
        <f t="shared" si="17"/>
        <v>0</v>
      </c>
      <c r="AM130" s="76">
        <f t="shared" si="18"/>
        <v>0</v>
      </c>
      <c r="AN130" s="76">
        <f>MAX(0,O130*Escenarios!$F$13/Escenarios!$F$16-AM130)</f>
        <v>4.2294755752528808E-5</v>
      </c>
      <c r="AO130" s="76">
        <f>AM130+AN130-O130*Escenarios!$F$13/Escenarios!$F$16</f>
        <v>0</v>
      </c>
      <c r="AP130" s="76">
        <f t="shared" si="19"/>
        <v>0.80353925245544489</v>
      </c>
      <c r="AQ130" s="76">
        <f t="shared" si="20"/>
        <v>0</v>
      </c>
      <c r="AR130" s="76">
        <f t="shared" si="21"/>
        <v>0.80358154721119746</v>
      </c>
      <c r="AS130" s="76">
        <f t="shared" si="22"/>
        <v>0</v>
      </c>
      <c r="AT130" s="76">
        <f t="shared" si="23"/>
        <v>0</v>
      </c>
      <c r="AU130" s="76">
        <f t="shared" si="24"/>
        <v>56.094246539156103</v>
      </c>
      <c r="AV130" s="76">
        <f>MAX(0,(AU130-Constantes!$D$13)*(1-EXP(-Constantes!$D$24)))</f>
        <v>0.11225862286144946</v>
      </c>
      <c r="AW130" s="170">
        <f>AW129+(Entradas!$F$112*AT130-AX129)/(800*Entradas!$D$25)</f>
        <v>0</v>
      </c>
      <c r="AX130" s="170">
        <f>8000*Entradas!$D$26*AW130/Constantes!$F$45</f>
        <v>0</v>
      </c>
      <c r="AY130" s="170">
        <f>IF(Escenarios!$F$17&gt;0,10*Escenarios!$F$16*AL130,0)</f>
        <v>0</v>
      </c>
      <c r="AZ130" s="170">
        <f>IF(Escenarios!$F$17&gt;0,10*Escenarios!$F$16*AX130,0)</f>
        <v>0</v>
      </c>
      <c r="BA130" s="170">
        <f>IF(Escenarios!$F$17&gt;0,0.001*Observaciones!$F129*Escenarios!$F$17,0)</f>
        <v>0</v>
      </c>
      <c r="BB130" s="170">
        <f>IF(Escenarios!$F$17&gt;0,Observaciones!$K129,0)</f>
        <v>0</v>
      </c>
      <c r="BC130" s="170">
        <f>IF(Escenarios!$F$17&gt;0,MIN(0.0005*ETo!$M129*Escenarios!$F$17*(BG129/Constantes!$F$40)^(2/3),BG129+AY130+AZ130+BA130+BB130),0)</f>
        <v>0</v>
      </c>
      <c r="BD130" s="170">
        <f>IF(Escenarios!$F$17&gt;0,MIN(Constantes!$F$39*(BG129/Constantes!$F$40)^(2/3),BG129+AY130+AZ130+BA130+BB130-BC130),0)</f>
        <v>0</v>
      </c>
      <c r="BE130" s="170">
        <f>IF(Escenarios!$F$17&gt;0,MIN(Entradas!$F$113,BG129+AY130+AZ130+BA130+BB130-BC130-BD130),0)</f>
        <v>0</v>
      </c>
      <c r="BF130" s="170">
        <f>IF(Escenarios!$F$17&gt;0,MAX(0,BG129+AY130+AZ130+BA130+BB130-BC130-BD130-BE130-Constantes!$F$40),0)</f>
        <v>0</v>
      </c>
      <c r="BG130" s="170">
        <f t="shared" si="25"/>
        <v>0</v>
      </c>
      <c r="BH130" s="170">
        <f>(Escenarios!$F$16*AK130+0.1*BC130)/(Escenarios!$F$19)</f>
        <v>0.15967280633102168</v>
      </c>
      <c r="BI130" s="170">
        <f>IF(Escenarios!$F$17&gt;0,BF130/10/Escenarios!$F$19,AL130)</f>
        <v>0</v>
      </c>
      <c r="BJ130" s="170">
        <f>(Escenarios!$F$16*AT130+0.1*BD130)/(Escenarios!$F$19)</f>
        <v>0</v>
      </c>
      <c r="BK130" s="76">
        <f>BK129+(0.1*BD130)/(Escenarios!$F$19)-BL129</f>
        <v>48.75</v>
      </c>
      <c r="BL130" s="76">
        <f>MAX(0,(BK130-Constantes!$D$13)*(1-EXP(-Constantes!$D$23)))</f>
        <v>0</v>
      </c>
      <c r="BM130" s="76">
        <f t="shared" si="26"/>
        <v>0.91579787531689438</v>
      </c>
      <c r="BN130" s="76">
        <f t="shared" si="27"/>
        <v>0.91584017007264695</v>
      </c>
      <c r="BO130" s="76">
        <f>0.0526*BI130*Observaciones!$F129^1.218</f>
        <v>0</v>
      </c>
      <c r="BP130" s="76">
        <f>BO130*Constantes!$F$51</f>
        <v>0</v>
      </c>
      <c r="BQ130" s="76">
        <f t="shared" si="28"/>
        <v>0</v>
      </c>
      <c r="BR130" s="40"/>
    </row>
    <row r="131" spans="2:70">
      <c r="B131" s="39"/>
      <c r="C131" s="75">
        <v>125</v>
      </c>
      <c r="D131" s="146">
        <f>ETo!$I130*((1-Constantes!$F$19)*ETo!$K130+ETo!$L130)</f>
        <v>3.2207394258358022</v>
      </c>
      <c r="E131" s="76">
        <f>MIN(D131*Constantes!$F$17,0.8*(N130+Observaciones!$F130-F131-M131-Constantes!$D$14))</f>
        <v>1.1287620137011346E-3</v>
      </c>
      <c r="F131" s="76">
        <f>IF(Observaciones!$F130&gt;0.05*Constantes!$F$18,((Observaciones!$F130-0.05*Constantes!$F$18)^2)/(Observaciones!$F130+0.95*Constantes!$F$18),0)</f>
        <v>0</v>
      </c>
      <c r="G131" s="76">
        <f>IF(Escenarios!$F$11&gt;0,(F131*Escenarios!$F$16*10000)/1000,0)</f>
        <v>0</v>
      </c>
      <c r="H131" s="76">
        <f>IF(Escenarios!$F$11&gt;0,(Observaciones!$F130*Constantes!$F$29)/1000,0)</f>
        <v>0</v>
      </c>
      <c r="I131" s="76">
        <f>IF(Escenarios!$F$11&gt;0,(D131*Constantes!$F$29)/1000,0)</f>
        <v>0</v>
      </c>
      <c r="J131" s="76">
        <f>IF(Escenarios!$F$11&gt;0,MAX(0,G131+H131-I131),0)</f>
        <v>0</v>
      </c>
      <c r="K131" s="76">
        <f>IF(Escenarios!$F$11&gt;0,IF(J131&gt;Constantes!$F$30,1000*((J131-Constantes!$F$30)/(Escenarios!$F$16*10000)),0),F131)</f>
        <v>0</v>
      </c>
      <c r="L131" s="76">
        <f>IF(Escenarios!$F$11&gt;0,I131*1000/Escenarios!$F$16/10000+E131,E131)</f>
        <v>1.1287620137011346E-3</v>
      </c>
      <c r="M131" s="76">
        <f>MAX(0,N130+Observaciones!$F130-K131-Constantes!$D$13)</f>
        <v>0</v>
      </c>
      <c r="N131" s="76">
        <f>N130+Observaciones!$F130-K131-L131-M131-O130</f>
        <v>11.250234128280979</v>
      </c>
      <c r="O131" s="76">
        <f>MAX(0,(N131-Constantes!$D$14)*(1-EXP(-Constantes!$D$22)))</f>
        <v>7.9752687526757238E-6</v>
      </c>
      <c r="P131" s="170">
        <f>P130+(Entradas!$F$83*M131-Q130)/(800*Entradas!$D$25)</f>
        <v>0</v>
      </c>
      <c r="Q131" s="170">
        <f>8000*Entradas!$D$26*P131/Constantes!$F$45</f>
        <v>0</v>
      </c>
      <c r="R131" s="170">
        <f>IF(Escenarios!$F$14&gt;0,K131*Escenarios!$F$13/Escenarios!$F$14,0)</f>
        <v>0</v>
      </c>
      <c r="S131" s="170">
        <f>IF(Escenarios!$F$14&gt;0,Q131*Escenarios!$F$13/Escenarios!$F$14,0)</f>
        <v>0</v>
      </c>
      <c r="T131" s="170">
        <f>IF(Escenarios!$F$14&gt;0,Observaciones!$I130,0)</f>
        <v>0</v>
      </c>
      <c r="U131" s="170">
        <f>IF(Escenarios!$F$14&gt;0,MAX(0,Constantes!$F$36/((Z130+R131+S131+T131+Observaciones!$F130)^2)+Entradas!$F$77),0)</f>
        <v>0</v>
      </c>
      <c r="V131" s="146">
        <f>IF(ETo!D130&gt;0,ETo!I130*((1-Entradas!$F$81)*ETo!K130+ETo!L130),0)</f>
        <v>2.8284627726368359</v>
      </c>
      <c r="W131" s="170">
        <f>IF(Escenarios!$F$14&gt;0,MIN(V131*1,0.8*(Z130+R131+S131+T131+Observaciones!$F130-U131-Constantes!$F$35)),0)</f>
        <v>1.8600182814907385E-4</v>
      </c>
      <c r="X131" s="170">
        <f>IF(Escenarios!$F$14&gt;0,Observaciones!$J130,0)</f>
        <v>0</v>
      </c>
      <c r="Y131" s="170">
        <f>IF(Escenarios!$F$14&gt;0,MAX(0,Z130+R131+S131+T131+Observaciones!$F130-U131-W131-X131-Constantes!$F$33),0)</f>
        <v>0</v>
      </c>
      <c r="Z131" s="170">
        <f>Z130+R131+S131+T131+Observaciones!$F130-U131-W131-Y131</f>
        <v>41.250046500457039</v>
      </c>
      <c r="AA131" s="170">
        <f>IF(Escenarios!$F$14&gt;0,(Escenarios!$F$13*L131+Escenarios!$F$14*W131)/(Escenarios!$F$16),L131)</f>
        <v>1.0156307914348872E-3</v>
      </c>
      <c r="AB131" s="170">
        <f>IF(Escenarios!$F$14&gt;0,(Escenarios!$F$14*Y131)/(Escenarios!$F$16),K131)</f>
        <v>0</v>
      </c>
      <c r="AC131" s="170">
        <f>IF(Escenarios!$F$14&gt;0,(Escenarios!$F$13*M131+Escenarios!$F$14*U131)/(Escenarios!$F$16),M131)</f>
        <v>0</v>
      </c>
      <c r="AD131" s="76">
        <f t="shared" si="15"/>
        <v>129.49724006076104</v>
      </c>
      <c r="AE131" s="76">
        <f>MAX(0,(AD131-Constantes!$D$13)*(1-EXP(-Constantes!$D$23)))</f>
        <v>0.7956217888128625</v>
      </c>
      <c r="AF131" s="76">
        <f>AB131+O131*Escenarios!$F$13/Escenarios!$F$16+AE131</f>
        <v>0.79562880704936489</v>
      </c>
      <c r="AG131" s="76">
        <f>IF(Entradas!$F$91&gt;0,IF(AF131-Escenarios!$F$38&lt;=0,0,IF(AF131-Escenarios!$F$38&gt;Escenarios!$F$37,Escenarios!$F$37,AF131-Escenarios!$F$38)),0)</f>
        <v>0</v>
      </c>
      <c r="AH131" s="76">
        <f>AG131*Entradas!$F$99</f>
        <v>0</v>
      </c>
      <c r="AI131" s="76">
        <f>IF(Entradas!$F$91&gt;0,D131*Entradas!$D$23/Escenarios!$F$16,0)</f>
        <v>0.1545954924401185</v>
      </c>
      <c r="AJ131" s="76">
        <f>IF(Entradas!$F$91&gt;0,Entradas!$D$24*Entradas!$D$22/Escenarios!$F$16,0)</f>
        <v>0.12</v>
      </c>
      <c r="AK131" s="76">
        <f t="shared" si="16"/>
        <v>0.15561112323155338</v>
      </c>
      <c r="AL131" s="76">
        <f t="shared" si="17"/>
        <v>0</v>
      </c>
      <c r="AM131" s="76">
        <f t="shared" si="18"/>
        <v>0</v>
      </c>
      <c r="AN131" s="76">
        <f>MAX(0,O131*Escenarios!$F$13/Escenarios!$F$16-AM131)</f>
        <v>7.0182365023546371E-6</v>
      </c>
      <c r="AO131" s="76">
        <f>AM131+AN131-O131*Escenarios!$F$13/Escenarios!$F$16</f>
        <v>0</v>
      </c>
      <c r="AP131" s="76">
        <f t="shared" si="19"/>
        <v>0.7956217888128625</v>
      </c>
      <c r="AQ131" s="76">
        <f t="shared" si="20"/>
        <v>0</v>
      </c>
      <c r="AR131" s="76">
        <f t="shared" si="21"/>
        <v>0.79562880704936489</v>
      </c>
      <c r="AS131" s="76">
        <f t="shared" si="22"/>
        <v>0</v>
      </c>
      <c r="AT131" s="76">
        <f t="shared" si="23"/>
        <v>0</v>
      </c>
      <c r="AU131" s="76">
        <f t="shared" si="24"/>
        <v>55.981987916294656</v>
      </c>
      <c r="AV131" s="76">
        <f>MAX(0,(AU131-Constantes!$D$13)*(1-EXP(-Constantes!$D$24)))</f>
        <v>0.11054272207577173</v>
      </c>
      <c r="AW131" s="170">
        <f>AW130+(Entradas!$F$112*AT131-AX130)/(800*Entradas!$D$25)</f>
        <v>0</v>
      </c>
      <c r="AX131" s="170">
        <f>8000*Entradas!$D$26*AW131/Constantes!$F$45</f>
        <v>0</v>
      </c>
      <c r="AY131" s="170">
        <f>IF(Escenarios!$F$17&gt;0,10*Escenarios!$F$16*AL131,0)</f>
        <v>0</v>
      </c>
      <c r="AZ131" s="170">
        <f>IF(Escenarios!$F$17&gt;0,10*Escenarios!$F$16*AX131,0)</f>
        <v>0</v>
      </c>
      <c r="BA131" s="170">
        <f>IF(Escenarios!$F$17&gt;0,0.001*Observaciones!$F130*Escenarios!$F$17,0)</f>
        <v>0</v>
      </c>
      <c r="BB131" s="170">
        <f>IF(Escenarios!$F$17&gt;0,Observaciones!$K130,0)</f>
        <v>0</v>
      </c>
      <c r="BC131" s="170">
        <f>IF(Escenarios!$F$17&gt;0,MIN(0.0005*ETo!$M130*Escenarios!$F$17*(BG130/Constantes!$F$40)^(2/3),BG130+AY131+AZ131+BA131+BB131),0)</f>
        <v>0</v>
      </c>
      <c r="BD131" s="170">
        <f>IF(Escenarios!$F$17&gt;0,MIN(Constantes!$F$39*(BG130/Constantes!$F$40)^(2/3),BG130+AY131+AZ131+BA131+BB131-BC131),0)</f>
        <v>0</v>
      </c>
      <c r="BE131" s="170">
        <f>IF(Escenarios!$F$17&gt;0,MIN(Entradas!$F$113,BG130+AY131+AZ131+BA131+BB131-BC131-BD131),0)</f>
        <v>0</v>
      </c>
      <c r="BF131" s="170">
        <f>IF(Escenarios!$F$17&gt;0,MAX(0,BG130+AY131+AZ131+BA131+BB131-BC131-BD131-BE131-Constantes!$F$40),0)</f>
        <v>0</v>
      </c>
      <c r="BG131" s="170">
        <f t="shared" si="25"/>
        <v>0</v>
      </c>
      <c r="BH131" s="170">
        <f>(Escenarios!$F$16*AK131+0.1*BC131)/(Escenarios!$F$19)</f>
        <v>0.15561112323155338</v>
      </c>
      <c r="BI131" s="170">
        <f>IF(Escenarios!$F$17&gt;0,BF131/10/Escenarios!$F$19,AL131)</f>
        <v>0</v>
      </c>
      <c r="BJ131" s="170">
        <f>(Escenarios!$F$16*AT131+0.1*BD131)/(Escenarios!$F$19)</f>
        <v>0</v>
      </c>
      <c r="BK131" s="76">
        <f>BK130+(0.1*BD131)/(Escenarios!$F$19)-BL130</f>
        <v>48.75</v>
      </c>
      <c r="BL131" s="76">
        <f>MAX(0,(BK131-Constantes!$D$13)*(1-EXP(-Constantes!$D$23)))</f>
        <v>0</v>
      </c>
      <c r="BM131" s="76">
        <f t="shared" si="26"/>
        <v>0.90616451088863426</v>
      </c>
      <c r="BN131" s="76">
        <f t="shared" si="27"/>
        <v>0.90617152912513665</v>
      </c>
      <c r="BO131" s="76">
        <f>0.0526*BI131*Observaciones!$F130^1.218</f>
        <v>0</v>
      </c>
      <c r="BP131" s="76">
        <f>BO131*Constantes!$F$51</f>
        <v>0</v>
      </c>
      <c r="BQ131" s="76">
        <f t="shared" si="28"/>
        <v>0</v>
      </c>
      <c r="BR131" s="40"/>
    </row>
    <row r="132" spans="2:70">
      <c r="B132" s="39"/>
      <c r="C132" s="75">
        <v>126</v>
      </c>
      <c r="D132" s="146">
        <f>ETo!$I131*((1-Constantes!$F$19)*ETo!$K131+ETo!$L131)</f>
        <v>3.1114292393677716</v>
      </c>
      <c r="E132" s="76">
        <f>MIN(D132*Constantes!$F$17,0.8*(N131+Observaciones!$F131-F132-M132-Constantes!$D$14))</f>
        <v>1.8730262478356964E-4</v>
      </c>
      <c r="F132" s="76">
        <f>IF(Observaciones!$F131&gt;0.05*Constantes!$F$18,((Observaciones!$F131-0.05*Constantes!$F$18)^2)/(Observaciones!$F131+0.95*Constantes!$F$18),0)</f>
        <v>0</v>
      </c>
      <c r="G132" s="76">
        <f>IF(Escenarios!$F$11&gt;0,(F132*Escenarios!$F$16*10000)/1000,0)</f>
        <v>0</v>
      </c>
      <c r="H132" s="76">
        <f>IF(Escenarios!$F$11&gt;0,(Observaciones!$F131*Constantes!$F$29)/1000,0)</f>
        <v>0</v>
      </c>
      <c r="I132" s="76">
        <f>IF(Escenarios!$F$11&gt;0,(D132*Constantes!$F$29)/1000,0)</f>
        <v>0</v>
      </c>
      <c r="J132" s="76">
        <f>IF(Escenarios!$F$11&gt;0,MAX(0,G132+H132-I132),0)</f>
        <v>0</v>
      </c>
      <c r="K132" s="76">
        <f>IF(Escenarios!$F$11&gt;0,IF(J132&gt;Constantes!$F$30,1000*((J132-Constantes!$F$30)/(Escenarios!$F$16*10000)),0),F132)</f>
        <v>0</v>
      </c>
      <c r="L132" s="76">
        <f>IF(Escenarios!$F$11&gt;0,I132*1000/Escenarios!$F$16/10000+E132,E132)</f>
        <v>1.8730262478356964E-4</v>
      </c>
      <c r="M132" s="76">
        <f>MAX(0,N131+Observaciones!$F131-K132-Constantes!$D$13)</f>
        <v>0</v>
      </c>
      <c r="N132" s="76">
        <f>N131+Observaciones!$F131-K132-L132-M132-O131</f>
        <v>11.250038850387442</v>
      </c>
      <c r="O132" s="76">
        <f>MAX(0,(N132-Constantes!$D$14)*(1-EXP(-Constantes!$D$22)))</f>
        <v>1.3233868189742318E-6</v>
      </c>
      <c r="P132" s="170">
        <f>P131+(Entradas!$F$83*M132-Q131)/(800*Entradas!$D$25)</f>
        <v>0</v>
      </c>
      <c r="Q132" s="170">
        <f>8000*Entradas!$D$26*P132/Constantes!$F$45</f>
        <v>0</v>
      </c>
      <c r="R132" s="170">
        <f>IF(Escenarios!$F$14&gt;0,K132*Escenarios!$F$13/Escenarios!$F$14,0)</f>
        <v>0</v>
      </c>
      <c r="S132" s="170">
        <f>IF(Escenarios!$F$14&gt;0,Q132*Escenarios!$F$13/Escenarios!$F$14,0)</f>
        <v>0</v>
      </c>
      <c r="T132" s="170">
        <f>IF(Escenarios!$F$14&gt;0,Observaciones!$I131,0)</f>
        <v>0</v>
      </c>
      <c r="U132" s="170">
        <f>IF(Escenarios!$F$14&gt;0,MAX(0,Constantes!$F$36/((Z131+R132+S132+T132+Observaciones!$F131)^2)+Entradas!$F$77),0)</f>
        <v>0</v>
      </c>
      <c r="V132" s="146">
        <f>IF(ETo!D131&gt;0,ETo!I131*((1-Entradas!$F$81)*ETo!K131+ETo!L131),0)</f>
        <v>2.7305520769111915</v>
      </c>
      <c r="W132" s="170">
        <f>IF(Escenarios!$F$14&gt;0,MIN(V132*1,0.8*(Z131+R132+S132+T132+Observaciones!$F131-U132-Constantes!$F$35)),0)</f>
        <v>3.7200365630951639E-5</v>
      </c>
      <c r="X132" s="170">
        <f>IF(Escenarios!$F$14&gt;0,Observaciones!$J131,0)</f>
        <v>0</v>
      </c>
      <c r="Y132" s="170">
        <f>IF(Escenarios!$F$14&gt;0,MAX(0,Z131+R132+S132+T132+Observaciones!$F131-U132-W132-X132-Constantes!$F$33),0)</f>
        <v>0</v>
      </c>
      <c r="Z132" s="170">
        <f>Z131+R132+S132+T132+Observaciones!$F131-U132-W132-Y132</f>
        <v>41.250009300091406</v>
      </c>
      <c r="AA132" s="170">
        <f>IF(Escenarios!$F$14&gt;0,(Escenarios!$F$13*L132+Escenarios!$F$14*W132)/(Escenarios!$F$16),L132)</f>
        <v>1.6929035368525548E-4</v>
      </c>
      <c r="AB132" s="170">
        <f>IF(Escenarios!$F$14&gt;0,(Escenarios!$F$14*Y132)/(Escenarios!$F$16),K132)</f>
        <v>0</v>
      </c>
      <c r="AC132" s="170">
        <f>IF(Escenarios!$F$14&gt;0,(Escenarios!$F$13*M132+Escenarios!$F$14*U132)/(Escenarios!$F$16),M132)</f>
        <v>0</v>
      </c>
      <c r="AD132" s="76">
        <f t="shared" si="15"/>
        <v>128.70161827194818</v>
      </c>
      <c r="AE132" s="76">
        <f>MAX(0,(AD132-Constantes!$D$13)*(1-EXP(-Constantes!$D$23)))</f>
        <v>0.78778233782534335</v>
      </c>
      <c r="AF132" s="76">
        <f>AB132+O132*Escenarios!$F$13/Escenarios!$F$16+AE132</f>
        <v>0.78778350240574402</v>
      </c>
      <c r="AG132" s="76">
        <f>IF(Entradas!$F$91&gt;0,IF(AF132-Escenarios!$F$38&lt;=0,0,IF(AF132-Escenarios!$F$38&gt;Escenarios!$F$37,Escenarios!$F$37,AF132-Escenarios!$F$38)),0)</f>
        <v>0</v>
      </c>
      <c r="AH132" s="76">
        <f>AG132*Entradas!$F$99</f>
        <v>0</v>
      </c>
      <c r="AI132" s="76">
        <f>IF(Entradas!$F$91&gt;0,D132*Entradas!$D$23/Escenarios!$F$16,0)</f>
        <v>0.14934860348965304</v>
      </c>
      <c r="AJ132" s="76">
        <f>IF(Entradas!$F$91&gt;0,Entradas!$D$24*Entradas!$D$22/Escenarios!$F$16,0)</f>
        <v>0.12</v>
      </c>
      <c r="AK132" s="76">
        <f t="shared" si="16"/>
        <v>0.1495178938433383</v>
      </c>
      <c r="AL132" s="76">
        <f t="shared" si="17"/>
        <v>0</v>
      </c>
      <c r="AM132" s="76">
        <f t="shared" si="18"/>
        <v>0</v>
      </c>
      <c r="AN132" s="76">
        <f>MAX(0,O132*Escenarios!$F$13/Escenarios!$F$16-AM132)</f>
        <v>1.164580400697324E-6</v>
      </c>
      <c r="AO132" s="76">
        <f>AM132+AN132-O132*Escenarios!$F$13/Escenarios!$F$16</f>
        <v>0</v>
      </c>
      <c r="AP132" s="76">
        <f t="shared" si="19"/>
        <v>0.78778233782534335</v>
      </c>
      <c r="AQ132" s="76">
        <f t="shared" si="20"/>
        <v>0</v>
      </c>
      <c r="AR132" s="76">
        <f t="shared" si="21"/>
        <v>0.78778350240574402</v>
      </c>
      <c r="AS132" s="76">
        <f t="shared" si="22"/>
        <v>0</v>
      </c>
      <c r="AT132" s="76">
        <f t="shared" si="23"/>
        <v>0</v>
      </c>
      <c r="AU132" s="76">
        <f t="shared" si="24"/>
        <v>55.871445194218886</v>
      </c>
      <c r="AV132" s="76">
        <f>MAX(0,(AU132-Constantes!$D$13)*(1-EXP(-Constantes!$D$24)))</f>
        <v>0.10885304925754308</v>
      </c>
      <c r="AW132" s="170">
        <f>AW131+(Entradas!$F$112*AT132-AX131)/(800*Entradas!$D$25)</f>
        <v>0</v>
      </c>
      <c r="AX132" s="170">
        <f>8000*Entradas!$D$26*AW132/Constantes!$F$45</f>
        <v>0</v>
      </c>
      <c r="AY132" s="170">
        <f>IF(Escenarios!$F$17&gt;0,10*Escenarios!$F$16*AL132,0)</f>
        <v>0</v>
      </c>
      <c r="AZ132" s="170">
        <f>IF(Escenarios!$F$17&gt;0,10*Escenarios!$F$16*AX132,0)</f>
        <v>0</v>
      </c>
      <c r="BA132" s="170">
        <f>IF(Escenarios!$F$17&gt;0,0.001*Observaciones!$F131*Escenarios!$F$17,0)</f>
        <v>0</v>
      </c>
      <c r="BB132" s="170">
        <f>IF(Escenarios!$F$17&gt;0,Observaciones!$K131,0)</f>
        <v>0</v>
      </c>
      <c r="BC132" s="170">
        <f>IF(Escenarios!$F$17&gt;0,MIN(0.0005*ETo!$M131*Escenarios!$F$17*(BG131/Constantes!$F$40)^(2/3),BG131+AY132+AZ132+BA132+BB132),0)</f>
        <v>0</v>
      </c>
      <c r="BD132" s="170">
        <f>IF(Escenarios!$F$17&gt;0,MIN(Constantes!$F$39*(BG131/Constantes!$F$40)^(2/3),BG131+AY132+AZ132+BA132+BB132-BC132),0)</f>
        <v>0</v>
      </c>
      <c r="BE132" s="170">
        <f>IF(Escenarios!$F$17&gt;0,MIN(Entradas!$F$113,BG131+AY132+AZ132+BA132+BB132-BC132-BD132),0)</f>
        <v>0</v>
      </c>
      <c r="BF132" s="170">
        <f>IF(Escenarios!$F$17&gt;0,MAX(0,BG131+AY132+AZ132+BA132+BB132-BC132-BD132-BE132-Constantes!$F$40),0)</f>
        <v>0</v>
      </c>
      <c r="BG132" s="170">
        <f t="shared" si="25"/>
        <v>0</v>
      </c>
      <c r="BH132" s="170">
        <f>(Escenarios!$F$16*AK132+0.1*BC132)/(Escenarios!$F$19)</f>
        <v>0.1495178938433383</v>
      </c>
      <c r="BI132" s="170">
        <f>IF(Escenarios!$F$17&gt;0,BF132/10/Escenarios!$F$19,AL132)</f>
        <v>0</v>
      </c>
      <c r="BJ132" s="170">
        <f>(Escenarios!$F$16*AT132+0.1*BD132)/(Escenarios!$F$19)</f>
        <v>0</v>
      </c>
      <c r="BK132" s="76">
        <f>BK131+(0.1*BD132)/(Escenarios!$F$19)-BL131</f>
        <v>48.75</v>
      </c>
      <c r="BL132" s="76">
        <f>MAX(0,(BK132-Constantes!$D$13)*(1-EXP(-Constantes!$D$23)))</f>
        <v>0</v>
      </c>
      <c r="BM132" s="76">
        <f t="shared" si="26"/>
        <v>0.89663538708288648</v>
      </c>
      <c r="BN132" s="76">
        <f t="shared" si="27"/>
        <v>0.89663655166328704</v>
      </c>
      <c r="BO132" s="76">
        <f>0.0526*BI132*Observaciones!$F131^1.218</f>
        <v>0</v>
      </c>
      <c r="BP132" s="76">
        <f>BO132*Constantes!$F$51</f>
        <v>0</v>
      </c>
      <c r="BQ132" s="76">
        <f t="shared" si="28"/>
        <v>0</v>
      </c>
      <c r="BR132" s="40"/>
    </row>
    <row r="133" spans="2:70">
      <c r="B133" s="39"/>
      <c r="C133" s="75">
        <v>127</v>
      </c>
      <c r="D133" s="146">
        <f>ETo!$I132*((1-Constantes!$F$19)*ETo!$K132+ETo!$L132)</f>
        <v>3.1818210718770974</v>
      </c>
      <c r="E133" s="76">
        <f>MIN(D133*Constantes!$F$17,0.8*(N132+Observaciones!$F132-F133-M133-Constantes!$D$14))</f>
        <v>3.1080309953779305E-5</v>
      </c>
      <c r="F133" s="76">
        <f>IF(Observaciones!$F132&gt;0.05*Constantes!$F$18,((Observaciones!$F132-0.05*Constantes!$F$18)^2)/(Observaciones!$F132+0.95*Constantes!$F$18),0)</f>
        <v>0</v>
      </c>
      <c r="G133" s="76">
        <f>IF(Escenarios!$F$11&gt;0,(F133*Escenarios!$F$16*10000)/1000,0)</f>
        <v>0</v>
      </c>
      <c r="H133" s="76">
        <f>IF(Escenarios!$F$11&gt;0,(Observaciones!$F132*Constantes!$F$29)/1000,0)</f>
        <v>0</v>
      </c>
      <c r="I133" s="76">
        <f>IF(Escenarios!$F$11&gt;0,(D133*Constantes!$F$29)/1000,0)</f>
        <v>0</v>
      </c>
      <c r="J133" s="76">
        <f>IF(Escenarios!$F$11&gt;0,MAX(0,G133+H133-I133),0)</f>
        <v>0</v>
      </c>
      <c r="K133" s="76">
        <f>IF(Escenarios!$F$11&gt;0,IF(J133&gt;Constantes!$F$30,1000*((J133-Constantes!$F$30)/(Escenarios!$F$16*10000)),0),F133)</f>
        <v>0</v>
      </c>
      <c r="L133" s="76">
        <f>IF(Escenarios!$F$11&gt;0,I133*1000/Escenarios!$F$16/10000+E133,E133)</f>
        <v>3.1080309953779305E-5</v>
      </c>
      <c r="M133" s="76">
        <f>MAX(0,N132+Observaciones!$F132-K133-Constantes!$D$13)</f>
        <v>0</v>
      </c>
      <c r="N133" s="76">
        <f>N132+Observaciones!$F132-K133-L133-M133-O132</f>
        <v>11.250006446690669</v>
      </c>
      <c r="O133" s="76">
        <f>MAX(0,(N133-Constantes!$D$14)*(1-EXP(-Constantes!$D$22)))</f>
        <v>2.195979504820576E-7</v>
      </c>
      <c r="P133" s="170">
        <f>P132+(Entradas!$F$83*M133-Q132)/(800*Entradas!$D$25)</f>
        <v>0</v>
      </c>
      <c r="Q133" s="170">
        <f>8000*Entradas!$D$26*P133/Constantes!$F$45</f>
        <v>0</v>
      </c>
      <c r="R133" s="170">
        <f>IF(Escenarios!$F$14&gt;0,K133*Escenarios!$F$13/Escenarios!$F$14,0)</f>
        <v>0</v>
      </c>
      <c r="S133" s="170">
        <f>IF(Escenarios!$F$14&gt;0,Q133*Escenarios!$F$13/Escenarios!$F$14,0)</f>
        <v>0</v>
      </c>
      <c r="T133" s="170">
        <f>IF(Escenarios!$F$14&gt;0,Observaciones!$I132,0)</f>
        <v>0</v>
      </c>
      <c r="U133" s="170">
        <f>IF(Escenarios!$F$14&gt;0,MAX(0,Constantes!$F$36/((Z132+R133+S133+T133+Observaciones!$F132)^2)+Entradas!$F$77),0)</f>
        <v>0</v>
      </c>
      <c r="V133" s="146">
        <f>IF(ETo!D132&gt;0,ETo!I132*((1-Entradas!$F$81)*ETo!K132+ETo!L132),0)</f>
        <v>2.7928495402268596</v>
      </c>
      <c r="W133" s="170">
        <f>IF(Escenarios!$F$14&gt;0,MIN(V133*1,0.8*(Z132+R133+S133+T133+Observaciones!$F132-U133-Constantes!$F$35)),0)</f>
        <v>7.4400731250534596E-6</v>
      </c>
      <c r="X133" s="170">
        <f>IF(Escenarios!$F$14&gt;0,Observaciones!$J132,0)</f>
        <v>0</v>
      </c>
      <c r="Y133" s="170">
        <f>IF(Escenarios!$F$14&gt;0,MAX(0,Z132+R133+S133+T133+Observaciones!$F132-U133-W133-X133-Constantes!$F$33),0)</f>
        <v>0</v>
      </c>
      <c r="Z133" s="170">
        <f>Z132+R133+S133+T133+Observaciones!$F132-U133-W133-Y133</f>
        <v>41.25000186001828</v>
      </c>
      <c r="AA133" s="170">
        <f>IF(Escenarios!$F$14&gt;0,(Escenarios!$F$13*L133+Escenarios!$F$14*W133)/(Escenarios!$F$16),L133)</f>
        <v>2.8243481534332205E-5</v>
      </c>
      <c r="AB133" s="170">
        <f>IF(Escenarios!$F$14&gt;0,(Escenarios!$F$14*Y133)/(Escenarios!$F$16),K133)</f>
        <v>0</v>
      </c>
      <c r="AC133" s="170">
        <f>IF(Escenarios!$F$14&gt;0,(Escenarios!$F$13*M133+Escenarios!$F$14*U133)/(Escenarios!$F$16),M133)</f>
        <v>0</v>
      </c>
      <c r="AD133" s="76">
        <f t="shared" si="15"/>
        <v>127.91383593412283</v>
      </c>
      <c r="AE133" s="76">
        <f>MAX(0,(AD133-Constantes!$D$13)*(1-EXP(-Constantes!$D$23)))</f>
        <v>0.78002013081561594</v>
      </c>
      <c r="AF133" s="76">
        <f>AB133+O133*Escenarios!$F$13/Escenarios!$F$16+AE133</f>
        <v>0.78002032406181232</v>
      </c>
      <c r="AG133" s="76">
        <f>IF(Entradas!$F$91&gt;0,IF(AF133-Escenarios!$F$38&lt;=0,0,IF(AF133-Escenarios!$F$38&gt;Escenarios!$F$37,Escenarios!$F$37,AF133-Escenarios!$F$38)),0)</f>
        <v>0</v>
      </c>
      <c r="AH133" s="76">
        <f>AG133*Entradas!$F$99</f>
        <v>0</v>
      </c>
      <c r="AI133" s="76">
        <f>IF(Entradas!$F$91&gt;0,D133*Entradas!$D$23/Escenarios!$F$16,0)</f>
        <v>0.15272741145010069</v>
      </c>
      <c r="AJ133" s="76">
        <f>IF(Entradas!$F$91&gt;0,Entradas!$D$24*Entradas!$D$22/Escenarios!$F$16,0)</f>
        <v>0.12</v>
      </c>
      <c r="AK133" s="76">
        <f t="shared" si="16"/>
        <v>0.15275565493163501</v>
      </c>
      <c r="AL133" s="76">
        <f t="shared" si="17"/>
        <v>0</v>
      </c>
      <c r="AM133" s="76">
        <f t="shared" si="18"/>
        <v>0</v>
      </c>
      <c r="AN133" s="76">
        <f>MAX(0,O133*Escenarios!$F$13/Escenarios!$F$16-AM133)</f>
        <v>1.932461964242107E-7</v>
      </c>
      <c r="AO133" s="76">
        <f>AM133+AN133-O133*Escenarios!$F$13/Escenarios!$F$16</f>
        <v>0</v>
      </c>
      <c r="AP133" s="76">
        <f t="shared" si="19"/>
        <v>0.78002013081561594</v>
      </c>
      <c r="AQ133" s="76">
        <f t="shared" si="20"/>
        <v>0</v>
      </c>
      <c r="AR133" s="76">
        <f t="shared" si="21"/>
        <v>0.78002032406181232</v>
      </c>
      <c r="AS133" s="76">
        <f t="shared" si="22"/>
        <v>0</v>
      </c>
      <c r="AT133" s="76">
        <f t="shared" si="23"/>
        <v>0</v>
      </c>
      <c r="AU133" s="76">
        <f t="shared" si="24"/>
        <v>55.762592144961346</v>
      </c>
      <c r="AV133" s="76">
        <f>MAX(0,(AU133-Constantes!$D$13)*(1-EXP(-Constantes!$D$24)))</f>
        <v>0.10718920350580105</v>
      </c>
      <c r="AW133" s="170">
        <f>AW132+(Entradas!$F$112*AT133-AX132)/(800*Entradas!$D$25)</f>
        <v>0</v>
      </c>
      <c r="AX133" s="170">
        <f>8000*Entradas!$D$26*AW133/Constantes!$F$45</f>
        <v>0</v>
      </c>
      <c r="AY133" s="170">
        <f>IF(Escenarios!$F$17&gt;0,10*Escenarios!$F$16*AL133,0)</f>
        <v>0</v>
      </c>
      <c r="AZ133" s="170">
        <f>IF(Escenarios!$F$17&gt;0,10*Escenarios!$F$16*AX133,0)</f>
        <v>0</v>
      </c>
      <c r="BA133" s="170">
        <f>IF(Escenarios!$F$17&gt;0,0.001*Observaciones!$F132*Escenarios!$F$17,0)</f>
        <v>0</v>
      </c>
      <c r="BB133" s="170">
        <f>IF(Escenarios!$F$17&gt;0,Observaciones!$K132,0)</f>
        <v>0</v>
      </c>
      <c r="BC133" s="170">
        <f>IF(Escenarios!$F$17&gt;0,MIN(0.0005*ETo!$M132*Escenarios!$F$17*(BG132/Constantes!$F$40)^(2/3),BG132+AY133+AZ133+BA133+BB133),0)</f>
        <v>0</v>
      </c>
      <c r="BD133" s="170">
        <f>IF(Escenarios!$F$17&gt;0,MIN(Constantes!$F$39*(BG132/Constantes!$F$40)^(2/3),BG132+AY133+AZ133+BA133+BB133-BC133),0)</f>
        <v>0</v>
      </c>
      <c r="BE133" s="170">
        <f>IF(Escenarios!$F$17&gt;0,MIN(Entradas!$F$113,BG132+AY133+AZ133+BA133+BB133-BC133-BD133),0)</f>
        <v>0</v>
      </c>
      <c r="BF133" s="170">
        <f>IF(Escenarios!$F$17&gt;0,MAX(0,BG132+AY133+AZ133+BA133+BB133-BC133-BD133-BE133-Constantes!$F$40),0)</f>
        <v>0</v>
      </c>
      <c r="BG133" s="170">
        <f t="shared" si="25"/>
        <v>0</v>
      </c>
      <c r="BH133" s="170">
        <f>(Escenarios!$F$16*AK133+0.1*BC133)/(Escenarios!$F$19)</f>
        <v>0.15275565493163501</v>
      </c>
      <c r="BI133" s="170">
        <f>IF(Escenarios!$F$17&gt;0,BF133/10/Escenarios!$F$19,AL133)</f>
        <v>0</v>
      </c>
      <c r="BJ133" s="170">
        <f>(Escenarios!$F$16*AT133+0.1*BD133)/(Escenarios!$F$19)</f>
        <v>0</v>
      </c>
      <c r="BK133" s="76">
        <f>BK132+(0.1*BD133)/(Escenarios!$F$19)-BL132</f>
        <v>48.75</v>
      </c>
      <c r="BL133" s="76">
        <f>MAX(0,(BK133-Constantes!$D$13)*(1-EXP(-Constantes!$D$23)))</f>
        <v>0</v>
      </c>
      <c r="BM133" s="76">
        <f t="shared" si="26"/>
        <v>0.88720933432141702</v>
      </c>
      <c r="BN133" s="76">
        <f t="shared" si="27"/>
        <v>0.8872095275676134</v>
      </c>
      <c r="BO133" s="76">
        <f>0.0526*BI133*Observaciones!$F132^1.218</f>
        <v>0</v>
      </c>
      <c r="BP133" s="76">
        <f>BO133*Constantes!$F$51</f>
        <v>0</v>
      </c>
      <c r="BQ133" s="76">
        <f t="shared" si="28"/>
        <v>0</v>
      </c>
      <c r="BR133" s="40"/>
    </row>
    <row r="134" spans="2:70">
      <c r="B134" s="39"/>
      <c r="C134" s="75">
        <v>128</v>
      </c>
      <c r="D134" s="146">
        <f>ETo!$I133*((1-Constantes!$F$19)*ETo!$K133+ETo!$L133)</f>
        <v>3.077238842326171</v>
      </c>
      <c r="E134" s="76">
        <f>MIN(D134*Constantes!$F$17,0.8*(N133+Observaciones!$F133-F134-M134-Constantes!$D$14))</f>
        <v>5.1573525354342571E-6</v>
      </c>
      <c r="F134" s="76">
        <f>IF(Observaciones!$F133&gt;0.05*Constantes!$F$18,((Observaciones!$F133-0.05*Constantes!$F$18)^2)/(Observaciones!$F133+0.95*Constantes!$F$18),0)</f>
        <v>0</v>
      </c>
      <c r="G134" s="76">
        <f>IF(Escenarios!$F$11&gt;0,(F134*Escenarios!$F$16*10000)/1000,0)</f>
        <v>0</v>
      </c>
      <c r="H134" s="76">
        <f>IF(Escenarios!$F$11&gt;0,(Observaciones!$F133*Constantes!$F$29)/1000,0)</f>
        <v>0</v>
      </c>
      <c r="I134" s="76">
        <f>IF(Escenarios!$F$11&gt;0,(D134*Constantes!$F$29)/1000,0)</f>
        <v>0</v>
      </c>
      <c r="J134" s="76">
        <f>IF(Escenarios!$F$11&gt;0,MAX(0,G134+H134-I134),0)</f>
        <v>0</v>
      </c>
      <c r="K134" s="76">
        <f>IF(Escenarios!$F$11&gt;0,IF(J134&gt;Constantes!$F$30,1000*((J134-Constantes!$F$30)/(Escenarios!$F$16*10000)),0),F134)</f>
        <v>0</v>
      </c>
      <c r="L134" s="76">
        <f>IF(Escenarios!$F$11&gt;0,I134*1000/Escenarios!$F$16/10000+E134,E134)</f>
        <v>5.1573525354342571E-6</v>
      </c>
      <c r="M134" s="76">
        <f>MAX(0,N133+Observaciones!$F133-K134-Constantes!$D$13)</f>
        <v>0</v>
      </c>
      <c r="N134" s="76">
        <f>N133+Observaciones!$F133-K134-L134-M134-O133</f>
        <v>11.250001069740183</v>
      </c>
      <c r="O134" s="76">
        <f>MAX(0,(N134-Constantes!$D$14)*(1-EXP(-Constantes!$D$22)))</f>
        <v>3.6439277717923969E-8</v>
      </c>
      <c r="P134" s="170">
        <f>P133+(Entradas!$F$83*M134-Q133)/(800*Entradas!$D$25)</f>
        <v>0</v>
      </c>
      <c r="Q134" s="170">
        <f>8000*Entradas!$D$26*P134/Constantes!$F$45</f>
        <v>0</v>
      </c>
      <c r="R134" s="170">
        <f>IF(Escenarios!$F$14&gt;0,K134*Escenarios!$F$13/Escenarios!$F$14,0)</f>
        <v>0</v>
      </c>
      <c r="S134" s="170">
        <f>IF(Escenarios!$F$14&gt;0,Q134*Escenarios!$F$13/Escenarios!$F$14,0)</f>
        <v>0</v>
      </c>
      <c r="T134" s="170">
        <f>IF(Escenarios!$F$14&gt;0,Observaciones!$I133,0)</f>
        <v>0</v>
      </c>
      <c r="U134" s="170">
        <f>IF(Escenarios!$F$14&gt;0,MAX(0,Constantes!$F$36/((Z133+R134+S134+T134+Observaciones!$F133)^2)+Entradas!$F$77),0)</f>
        <v>0</v>
      </c>
      <c r="V134" s="146">
        <f>IF(ETo!D133&gt;0,ETo!I133*((1-Entradas!$F$81)*ETo!K133+ETo!L133),0)</f>
        <v>2.6991919328693652</v>
      </c>
      <c r="W134" s="170">
        <f>IF(Escenarios!$F$14&gt;0,MIN(V134*1,0.8*(Z133+R134+S134+T134+Observaciones!$F133-U134-Constantes!$F$35)),0)</f>
        <v>1.4880146238738235E-6</v>
      </c>
      <c r="X134" s="170">
        <f>IF(Escenarios!$F$14&gt;0,Observaciones!$J133,0)</f>
        <v>0</v>
      </c>
      <c r="Y134" s="170">
        <f>IF(Escenarios!$F$14&gt;0,MAX(0,Z133+R134+S134+T134+Observaciones!$F133-U134-W134-X134-Constantes!$F$33),0)</f>
        <v>0</v>
      </c>
      <c r="Z134" s="170">
        <f>Z133+R134+S134+T134+Observaciones!$F133-U134-W134-Y134</f>
        <v>41.250000372003655</v>
      </c>
      <c r="AA134" s="170">
        <f>IF(Escenarios!$F$14&gt;0,(Escenarios!$F$13*L134+Escenarios!$F$14*W134)/(Escenarios!$F$16),L134)</f>
        <v>4.7170319860470049E-6</v>
      </c>
      <c r="AB134" s="170">
        <f>IF(Escenarios!$F$14&gt;0,(Escenarios!$F$14*Y134)/(Escenarios!$F$16),K134)</f>
        <v>0</v>
      </c>
      <c r="AC134" s="170">
        <f>IF(Escenarios!$F$14&gt;0,(Escenarios!$F$13*M134+Escenarios!$F$14*U134)/(Escenarios!$F$16),M134)</f>
        <v>0</v>
      </c>
      <c r="AD134" s="76">
        <f t="shared" si="15"/>
        <v>127.13381580330721</v>
      </c>
      <c r="AE134" s="76">
        <f>MAX(0,(AD134-Constantes!$D$13)*(1-EXP(-Constantes!$D$23)))</f>
        <v>0.77233440668036901</v>
      </c>
      <c r="AF134" s="76">
        <f>AB134+O134*Escenarios!$F$13/Escenarios!$F$16+AE134</f>
        <v>0.77233443874693342</v>
      </c>
      <c r="AG134" s="76">
        <f>IF(Entradas!$F$91&gt;0,IF(AF134-Escenarios!$F$38&lt;=0,0,IF(AF134-Escenarios!$F$38&gt;Escenarios!$F$37,Escenarios!$F$37,AF134-Escenarios!$F$38)),0)</f>
        <v>0</v>
      </c>
      <c r="AH134" s="76">
        <f>AG134*Entradas!$F$99</f>
        <v>0</v>
      </c>
      <c r="AI134" s="76">
        <f>IF(Entradas!$F$91&gt;0,D134*Entradas!$D$23/Escenarios!$F$16,0)</f>
        <v>0.14770746443165619</v>
      </c>
      <c r="AJ134" s="76">
        <f>IF(Entradas!$F$91&gt;0,Entradas!$D$24*Entradas!$D$22/Escenarios!$F$16,0)</f>
        <v>0.12</v>
      </c>
      <c r="AK134" s="76">
        <f t="shared" si="16"/>
        <v>0.14771218146364223</v>
      </c>
      <c r="AL134" s="76">
        <f t="shared" si="17"/>
        <v>0</v>
      </c>
      <c r="AM134" s="76">
        <f t="shared" si="18"/>
        <v>0</v>
      </c>
      <c r="AN134" s="76">
        <f>MAX(0,O134*Escenarios!$F$13/Escenarios!$F$16-AM134)</f>
        <v>3.2066564391773092E-8</v>
      </c>
      <c r="AO134" s="76">
        <f>AM134+AN134-O134*Escenarios!$F$13/Escenarios!$F$16</f>
        <v>0</v>
      </c>
      <c r="AP134" s="76">
        <f t="shared" si="19"/>
        <v>0.77233440668036901</v>
      </c>
      <c r="AQ134" s="76">
        <f t="shared" si="20"/>
        <v>0</v>
      </c>
      <c r="AR134" s="76">
        <f t="shared" si="21"/>
        <v>0.77233443874693342</v>
      </c>
      <c r="AS134" s="76">
        <f t="shared" si="22"/>
        <v>0</v>
      </c>
      <c r="AT134" s="76">
        <f t="shared" si="23"/>
        <v>0</v>
      </c>
      <c r="AU134" s="76">
        <f t="shared" si="24"/>
        <v>55.655402941455542</v>
      </c>
      <c r="AV134" s="76">
        <f>MAX(0,(AU134-Constantes!$D$13)*(1-EXP(-Constantes!$D$24)))</f>
        <v>0.1055507900474533</v>
      </c>
      <c r="AW134" s="170">
        <f>AW133+(Entradas!$F$112*AT134-AX133)/(800*Entradas!$D$25)</f>
        <v>0</v>
      </c>
      <c r="AX134" s="170">
        <f>8000*Entradas!$D$26*AW134/Constantes!$F$45</f>
        <v>0</v>
      </c>
      <c r="AY134" s="170">
        <f>IF(Escenarios!$F$17&gt;0,10*Escenarios!$F$16*AL134,0)</f>
        <v>0</v>
      </c>
      <c r="AZ134" s="170">
        <f>IF(Escenarios!$F$17&gt;0,10*Escenarios!$F$16*AX134,0)</f>
        <v>0</v>
      </c>
      <c r="BA134" s="170">
        <f>IF(Escenarios!$F$17&gt;0,0.001*Observaciones!$F133*Escenarios!$F$17,0)</f>
        <v>0</v>
      </c>
      <c r="BB134" s="170">
        <f>IF(Escenarios!$F$17&gt;0,Observaciones!$K133,0)</f>
        <v>0</v>
      </c>
      <c r="BC134" s="170">
        <f>IF(Escenarios!$F$17&gt;0,MIN(0.0005*ETo!$M133*Escenarios!$F$17*(BG133/Constantes!$F$40)^(2/3),BG133+AY134+AZ134+BA134+BB134),0)</f>
        <v>0</v>
      </c>
      <c r="BD134" s="170">
        <f>IF(Escenarios!$F$17&gt;0,MIN(Constantes!$F$39*(BG133/Constantes!$F$40)^(2/3),BG133+AY134+AZ134+BA134+BB134-BC134),0)</f>
        <v>0</v>
      </c>
      <c r="BE134" s="170">
        <f>IF(Escenarios!$F$17&gt;0,MIN(Entradas!$F$113,BG133+AY134+AZ134+BA134+BB134-BC134-BD134),0)</f>
        <v>0</v>
      </c>
      <c r="BF134" s="170">
        <f>IF(Escenarios!$F$17&gt;0,MAX(0,BG133+AY134+AZ134+BA134+BB134-BC134-BD134-BE134-Constantes!$F$40),0)</f>
        <v>0</v>
      </c>
      <c r="BG134" s="170">
        <f t="shared" si="25"/>
        <v>0</v>
      </c>
      <c r="BH134" s="170">
        <f>(Escenarios!$F$16*AK134+0.1*BC134)/(Escenarios!$F$19)</f>
        <v>0.14771218146364223</v>
      </c>
      <c r="BI134" s="170">
        <f>IF(Escenarios!$F$17&gt;0,BF134/10/Escenarios!$F$19,AL134)</f>
        <v>0</v>
      </c>
      <c r="BJ134" s="170">
        <f>(Escenarios!$F$16*AT134+0.1*BD134)/(Escenarios!$F$19)</f>
        <v>0</v>
      </c>
      <c r="BK134" s="76">
        <f>BK133+(0.1*BD134)/(Escenarios!$F$19)-BL133</f>
        <v>48.75</v>
      </c>
      <c r="BL134" s="76">
        <f>MAX(0,(BK134-Constantes!$D$13)*(1-EXP(-Constantes!$D$23)))</f>
        <v>0</v>
      </c>
      <c r="BM134" s="76">
        <f t="shared" si="26"/>
        <v>0.87788519672782228</v>
      </c>
      <c r="BN134" s="76">
        <f t="shared" si="27"/>
        <v>0.87788522879438669</v>
      </c>
      <c r="BO134" s="76">
        <f>0.0526*BI134*Observaciones!$F133^1.218</f>
        <v>0</v>
      </c>
      <c r="BP134" s="76">
        <f>BO134*Constantes!$F$51</f>
        <v>0</v>
      </c>
      <c r="BQ134" s="76">
        <f t="shared" si="28"/>
        <v>0</v>
      </c>
      <c r="BR134" s="40"/>
    </row>
    <row r="135" spans="2:70">
      <c r="B135" s="39"/>
      <c r="C135" s="75">
        <v>129</v>
      </c>
      <c r="D135" s="146">
        <f>ETo!$I134*((1-Constantes!$F$19)*ETo!$K134+ETo!$L134)</f>
        <v>3.1019483950134497</v>
      </c>
      <c r="E135" s="76">
        <f>MIN(D135*Constantes!$F$17,0.8*(N134+Observaciones!$F134-F135-M135-Constantes!$D$14))</f>
        <v>0.16000085579214557</v>
      </c>
      <c r="F135" s="76">
        <f>IF(Observaciones!$F134&gt;0.05*Constantes!$F$18,((Observaciones!$F134-0.05*Constantes!$F$18)^2)/(Observaciones!$F134+0.95*Constantes!$F$18),0)</f>
        <v>0</v>
      </c>
      <c r="G135" s="76">
        <f>IF(Escenarios!$F$11&gt;0,(F135*Escenarios!$F$16*10000)/1000,0)</f>
        <v>0</v>
      </c>
      <c r="H135" s="76">
        <f>IF(Escenarios!$F$11&gt;0,(Observaciones!$F134*Constantes!$F$29)/1000,0)</f>
        <v>0</v>
      </c>
      <c r="I135" s="76">
        <f>IF(Escenarios!$F$11&gt;0,(D135*Constantes!$F$29)/1000,0)</f>
        <v>0</v>
      </c>
      <c r="J135" s="76">
        <f>IF(Escenarios!$F$11&gt;0,MAX(0,G135+H135-I135),0)</f>
        <v>0</v>
      </c>
      <c r="K135" s="76">
        <f>IF(Escenarios!$F$11&gt;0,IF(J135&gt;Constantes!$F$30,1000*((J135-Constantes!$F$30)/(Escenarios!$F$16*10000)),0),F135)</f>
        <v>0</v>
      </c>
      <c r="L135" s="76">
        <f>IF(Escenarios!$F$11&gt;0,I135*1000/Escenarios!$F$16/10000+E135,E135)</f>
        <v>0.16000085579214557</v>
      </c>
      <c r="M135" s="76">
        <f>MAX(0,N134+Observaciones!$F134-K135-Constantes!$D$13)</f>
        <v>0</v>
      </c>
      <c r="N135" s="76">
        <f>N134+Observaciones!$F134-K135-L135-M135-O134</f>
        <v>11.290000177508759</v>
      </c>
      <c r="O135" s="76">
        <f>MAX(0,(N135-Constantes!$D$14)*(1-EXP(-Constantes!$D$22)))</f>
        <v>1.36255288960615E-3</v>
      </c>
      <c r="P135" s="170">
        <f>P134+(Entradas!$F$83*M135-Q134)/(800*Entradas!$D$25)</f>
        <v>0</v>
      </c>
      <c r="Q135" s="170">
        <f>8000*Entradas!$D$26*P135/Constantes!$F$45</f>
        <v>0</v>
      </c>
      <c r="R135" s="170">
        <f>IF(Escenarios!$F$14&gt;0,K135*Escenarios!$F$13/Escenarios!$F$14,0)</f>
        <v>0</v>
      </c>
      <c r="S135" s="170">
        <f>IF(Escenarios!$F$14&gt;0,Q135*Escenarios!$F$13/Escenarios!$F$14,0)</f>
        <v>0</v>
      </c>
      <c r="T135" s="170">
        <f>IF(Escenarios!$F$14&gt;0,Observaciones!$I134,0)</f>
        <v>0</v>
      </c>
      <c r="U135" s="170">
        <f>IF(Escenarios!$F$14&gt;0,MAX(0,Constantes!$F$36/((Z134+R135+S135+T135+Observaciones!$F134)^2)+Entradas!$F$77),0)</f>
        <v>0</v>
      </c>
      <c r="V135" s="146">
        <f>IF(ETo!D134&gt;0,ETo!I134*((1-Entradas!$F$81)*ETo!K134+ETo!L134),0)</f>
        <v>2.7207248461999618</v>
      </c>
      <c r="W135" s="170">
        <f>IF(Escenarios!$F$14&gt;0,MIN(V135*1,0.8*(Z134+R135+S135+T135+Observaciones!$F134-U135-Constantes!$F$35)),0)</f>
        <v>0.16000029760292592</v>
      </c>
      <c r="X135" s="170">
        <f>IF(Escenarios!$F$14&gt;0,Observaciones!$J134,0)</f>
        <v>0</v>
      </c>
      <c r="Y135" s="170">
        <f>IF(Escenarios!$F$14&gt;0,MAX(0,Z134+R135+S135+T135+Observaciones!$F134-U135-W135-X135-Constantes!$F$33),0)</f>
        <v>0</v>
      </c>
      <c r="Z135" s="170">
        <f>Z134+R135+S135+T135+Observaciones!$F134-U135-W135-Y135</f>
        <v>41.29000007440073</v>
      </c>
      <c r="AA135" s="170">
        <f>IF(Escenarios!$F$14&gt;0,(Escenarios!$F$13*L135+Escenarios!$F$14*W135)/(Escenarios!$F$16),L135)</f>
        <v>0.16000078880943919</v>
      </c>
      <c r="AB135" s="170">
        <f>IF(Escenarios!$F$14&gt;0,(Escenarios!$F$14*Y135)/(Escenarios!$F$16),K135)</f>
        <v>0</v>
      </c>
      <c r="AC135" s="170">
        <f>IF(Escenarios!$F$14&gt;0,(Escenarios!$F$13*M135+Escenarios!$F$14*U135)/(Escenarios!$F$16),M135)</f>
        <v>0</v>
      </c>
      <c r="AD135" s="76">
        <f t="shared" si="15"/>
        <v>126.36148139662684</v>
      </c>
      <c r="AE135" s="76">
        <f>MAX(0,(AD135-Constantes!$D$13)*(1-EXP(-Constantes!$D$23)))</f>
        <v>0.76472441181562356</v>
      </c>
      <c r="AF135" s="76">
        <f>AB135+O135*Escenarios!$F$13/Escenarios!$F$16+AE135</f>
        <v>0.76592345835847697</v>
      </c>
      <c r="AG135" s="76">
        <f>IF(Entradas!$F$91&gt;0,IF(AF135-Escenarios!$F$38&lt;=0,0,IF(AF135-Escenarios!$F$38&gt;Escenarios!$F$37,Escenarios!$F$37,AF135-Escenarios!$F$38)),0)</f>
        <v>0</v>
      </c>
      <c r="AH135" s="76">
        <f>AG135*Entradas!$F$99</f>
        <v>0</v>
      </c>
      <c r="AI135" s="76">
        <f>IF(Entradas!$F$91&gt;0,D135*Entradas!$D$23/Escenarios!$F$16,0)</f>
        <v>0.14889352296064559</v>
      </c>
      <c r="AJ135" s="76">
        <f>IF(Entradas!$F$91&gt;0,Entradas!$D$24*Entradas!$D$22/Escenarios!$F$16,0)</f>
        <v>0.12</v>
      </c>
      <c r="AK135" s="76">
        <f t="shared" si="16"/>
        <v>0.30889431177008475</v>
      </c>
      <c r="AL135" s="76">
        <f t="shared" si="17"/>
        <v>0</v>
      </c>
      <c r="AM135" s="76">
        <f t="shared" si="18"/>
        <v>0</v>
      </c>
      <c r="AN135" s="76">
        <f>MAX(0,O135*Escenarios!$F$13/Escenarios!$F$16-AM135)</f>
        <v>1.199046542853412E-3</v>
      </c>
      <c r="AO135" s="76">
        <f>AM135+AN135-O135*Escenarios!$F$13/Escenarios!$F$16</f>
        <v>0</v>
      </c>
      <c r="AP135" s="76">
        <f t="shared" si="19"/>
        <v>0.76472441181562356</v>
      </c>
      <c r="AQ135" s="76">
        <f t="shared" si="20"/>
        <v>0</v>
      </c>
      <c r="AR135" s="76">
        <f t="shared" si="21"/>
        <v>0.76592345835847697</v>
      </c>
      <c r="AS135" s="76">
        <f t="shared" si="22"/>
        <v>0</v>
      </c>
      <c r="AT135" s="76">
        <f t="shared" si="23"/>
        <v>0</v>
      </c>
      <c r="AU135" s="76">
        <f t="shared" si="24"/>
        <v>55.549852151408089</v>
      </c>
      <c r="AV135" s="76">
        <f>MAX(0,(AU135-Constantes!$D$13)*(1-EXP(-Constantes!$D$24)))</f>
        <v>0.10393742014361201</v>
      </c>
      <c r="AW135" s="170">
        <f>AW134+(Entradas!$F$112*AT135-AX134)/(800*Entradas!$D$25)</f>
        <v>0</v>
      </c>
      <c r="AX135" s="170">
        <f>8000*Entradas!$D$26*AW135/Constantes!$F$45</f>
        <v>0</v>
      </c>
      <c r="AY135" s="170">
        <f>IF(Escenarios!$F$17&gt;0,10*Escenarios!$F$16*AL135,0)</f>
        <v>0</v>
      </c>
      <c r="AZ135" s="170">
        <f>IF(Escenarios!$F$17&gt;0,10*Escenarios!$F$16*AX135,0)</f>
        <v>0</v>
      </c>
      <c r="BA135" s="170">
        <f>IF(Escenarios!$F$17&gt;0,0.001*Observaciones!$F134*Escenarios!$F$17,0)</f>
        <v>0</v>
      </c>
      <c r="BB135" s="170">
        <f>IF(Escenarios!$F$17&gt;0,Observaciones!$K134,0)</f>
        <v>0</v>
      </c>
      <c r="BC135" s="170">
        <f>IF(Escenarios!$F$17&gt;0,MIN(0.0005*ETo!$M134*Escenarios!$F$17*(BG134/Constantes!$F$40)^(2/3),BG134+AY135+AZ135+BA135+BB135),0)</f>
        <v>0</v>
      </c>
      <c r="BD135" s="170">
        <f>IF(Escenarios!$F$17&gt;0,MIN(Constantes!$F$39*(BG134/Constantes!$F$40)^(2/3),BG134+AY135+AZ135+BA135+BB135-BC135),0)</f>
        <v>0</v>
      </c>
      <c r="BE135" s="170">
        <f>IF(Escenarios!$F$17&gt;0,MIN(Entradas!$F$113,BG134+AY135+AZ135+BA135+BB135-BC135-BD135),0)</f>
        <v>0</v>
      </c>
      <c r="BF135" s="170">
        <f>IF(Escenarios!$F$17&gt;0,MAX(0,BG134+AY135+AZ135+BA135+BB135-BC135-BD135-BE135-Constantes!$F$40),0)</f>
        <v>0</v>
      </c>
      <c r="BG135" s="170">
        <f t="shared" si="25"/>
        <v>0</v>
      </c>
      <c r="BH135" s="170">
        <f>(Escenarios!$F$16*AK135+0.1*BC135)/(Escenarios!$F$19)</f>
        <v>0.30889431177008475</v>
      </c>
      <c r="BI135" s="170">
        <f>IF(Escenarios!$F$17&gt;0,BF135/10/Escenarios!$F$19,AL135)</f>
        <v>0</v>
      </c>
      <c r="BJ135" s="170">
        <f>(Escenarios!$F$16*AT135+0.1*BD135)/(Escenarios!$F$19)</f>
        <v>0</v>
      </c>
      <c r="BK135" s="76">
        <f>BK134+(0.1*BD135)/(Escenarios!$F$19)-BL134</f>
        <v>48.75</v>
      </c>
      <c r="BL135" s="76">
        <f>MAX(0,(BK135-Constantes!$D$13)*(1-EXP(-Constantes!$D$23)))</f>
        <v>0</v>
      </c>
      <c r="BM135" s="76">
        <f t="shared" si="26"/>
        <v>0.86866183195923563</v>
      </c>
      <c r="BN135" s="76">
        <f t="shared" si="27"/>
        <v>0.86986087850208893</v>
      </c>
      <c r="BO135" s="76">
        <f>0.0526*BI135*Observaciones!$F134^1.218</f>
        <v>0</v>
      </c>
      <c r="BP135" s="76">
        <f>BO135*Constantes!$F$51</f>
        <v>0</v>
      </c>
      <c r="BQ135" s="76">
        <f t="shared" si="28"/>
        <v>0</v>
      </c>
      <c r="BR135" s="40"/>
    </row>
    <row r="136" spans="2:70">
      <c r="B136" s="39"/>
      <c r="C136" s="75">
        <v>130</v>
      </c>
      <c r="D136" s="146">
        <f>ETo!$I135*((1-Constantes!$F$19)*ETo!$K135+ETo!$L135)</f>
        <v>3.1196556692458954</v>
      </c>
      <c r="E136" s="76">
        <f>MIN(D136*Constantes!$F$17,0.8*(N135+Observaciones!$F135-F136-M136-Constantes!$D$14))</f>
        <v>3.2000142007007071E-2</v>
      </c>
      <c r="F136" s="76">
        <f>IF(Observaciones!$F135&gt;0.05*Constantes!$F$18,((Observaciones!$F135-0.05*Constantes!$F$18)^2)/(Observaciones!$F135+0.95*Constantes!$F$18),0)</f>
        <v>0</v>
      </c>
      <c r="G136" s="76">
        <f>IF(Escenarios!$F$11&gt;0,(F136*Escenarios!$F$16*10000)/1000,0)</f>
        <v>0</v>
      </c>
      <c r="H136" s="76">
        <f>IF(Escenarios!$F$11&gt;0,(Observaciones!$F135*Constantes!$F$29)/1000,0)</f>
        <v>0</v>
      </c>
      <c r="I136" s="76">
        <f>IF(Escenarios!$F$11&gt;0,(D136*Constantes!$F$29)/1000,0)</f>
        <v>0</v>
      </c>
      <c r="J136" s="76">
        <f>IF(Escenarios!$F$11&gt;0,MAX(0,G136+H136-I136),0)</f>
        <v>0</v>
      </c>
      <c r="K136" s="76">
        <f>IF(Escenarios!$F$11&gt;0,IF(J136&gt;Constantes!$F$30,1000*((J136-Constantes!$F$30)/(Escenarios!$F$16*10000)),0),F136)</f>
        <v>0</v>
      </c>
      <c r="L136" s="76">
        <f>IF(Escenarios!$F$11&gt;0,I136*1000/Escenarios!$F$16/10000+E136,E136)</f>
        <v>3.2000142007007071E-2</v>
      </c>
      <c r="M136" s="76">
        <f>MAX(0,N135+Observaciones!$F135-K136-Constantes!$D$13)</f>
        <v>0</v>
      </c>
      <c r="N136" s="76">
        <f>N135+Observaciones!$F135-K136-L136-M136-O135</f>
        <v>11.256637482612145</v>
      </c>
      <c r="O136" s="76">
        <f>MAX(0,(N136-Constantes!$D$14)*(1-EXP(-Constantes!$D$22)))</f>
        <v>2.2609702446717625E-4</v>
      </c>
      <c r="P136" s="170">
        <f>P135+(Entradas!$F$83*M136-Q135)/(800*Entradas!$D$25)</f>
        <v>0</v>
      </c>
      <c r="Q136" s="170">
        <f>8000*Entradas!$D$26*P136/Constantes!$F$45</f>
        <v>0</v>
      </c>
      <c r="R136" s="170">
        <f>IF(Escenarios!$F$14&gt;0,K136*Escenarios!$F$13/Escenarios!$F$14,0)</f>
        <v>0</v>
      </c>
      <c r="S136" s="170">
        <f>IF(Escenarios!$F$14&gt;0,Q136*Escenarios!$F$13/Escenarios!$F$14,0)</f>
        <v>0</v>
      </c>
      <c r="T136" s="170">
        <f>IF(Escenarios!$F$14&gt;0,Observaciones!$I135,0)</f>
        <v>0</v>
      </c>
      <c r="U136" s="170">
        <f>IF(Escenarios!$F$14&gt;0,MAX(0,Constantes!$F$36/((Z135+R136+S136+T136+Observaciones!$F135)^2)+Entradas!$F$77),0)</f>
        <v>0</v>
      </c>
      <c r="V136" s="146">
        <f>IF(ETo!D135&gt;0,ETo!I135*((1-Entradas!$F$81)*ETo!K135+ETo!L135),0)</f>
        <v>2.7360839834460466</v>
      </c>
      <c r="W136" s="170">
        <f>IF(Escenarios!$F$14&gt;0,MIN(V136*1,0.8*(Z135+R136+S136+T136+Observaciones!$F135-U136-Constantes!$F$35)),0)</f>
        <v>3.2000059520584045E-2</v>
      </c>
      <c r="X136" s="170">
        <f>IF(Escenarios!$F$14&gt;0,Observaciones!$J135,0)</f>
        <v>0</v>
      </c>
      <c r="Y136" s="170">
        <f>IF(Escenarios!$F$14&gt;0,MAX(0,Z135+R136+S136+T136+Observaciones!$F135-U136-W136-X136-Constantes!$F$33),0)</f>
        <v>0</v>
      </c>
      <c r="Z136" s="170">
        <f>Z135+R136+S136+T136+Observaciones!$F135-U136-W136-Y136</f>
        <v>41.258000014880146</v>
      </c>
      <c r="AA136" s="170">
        <f>IF(Escenarios!$F$14&gt;0,(Escenarios!$F$13*L136+Escenarios!$F$14*W136)/(Escenarios!$F$16),L136)</f>
        <v>3.2000132108636309E-2</v>
      </c>
      <c r="AB136" s="170">
        <f>IF(Escenarios!$F$14&gt;0,(Escenarios!$F$14*Y136)/(Escenarios!$F$16),K136)</f>
        <v>0</v>
      </c>
      <c r="AC136" s="170">
        <f>IF(Escenarios!$F$14&gt;0,(Escenarios!$F$13*M136+Escenarios!$F$14*U136)/(Escenarios!$F$16),M136)</f>
        <v>0</v>
      </c>
      <c r="AD136" s="76">
        <f t="shared" ref="AD136:AD199" si="29">AD135+AC136-AE135</f>
        <v>125.59675698481122</v>
      </c>
      <c r="AE136" s="76">
        <f>MAX(0,(AD136-Constantes!$D$13)*(1-EXP(-Constantes!$D$23)))</f>
        <v>0.75718940004284008</v>
      </c>
      <c r="AF136" s="76">
        <f>AB136+O136*Escenarios!$F$13/Escenarios!$F$16+AE136</f>
        <v>0.75738836542437116</v>
      </c>
      <c r="AG136" s="76">
        <f>IF(Entradas!$F$91&gt;0,IF(AF136-Escenarios!$F$38&lt;=0,0,IF(AF136-Escenarios!$F$38&gt;Escenarios!$F$37,Escenarios!$F$37,AF136-Escenarios!$F$38)),0)</f>
        <v>0</v>
      </c>
      <c r="AH136" s="76">
        <f>AG136*Entradas!$F$99</f>
        <v>0</v>
      </c>
      <c r="AI136" s="76">
        <f>IF(Entradas!$F$91&gt;0,D136*Entradas!$D$23/Escenarios!$F$16,0)</f>
        <v>0.14974347212380298</v>
      </c>
      <c r="AJ136" s="76">
        <f>IF(Entradas!$F$91&gt;0,Entradas!$D$24*Entradas!$D$22/Escenarios!$F$16,0)</f>
        <v>0.12</v>
      </c>
      <c r="AK136" s="76">
        <f t="shared" ref="AK136:AK199" si="30">AA136+AI136</f>
        <v>0.18174360423243929</v>
      </c>
      <c r="AL136" s="76">
        <f t="shared" ref="AL136:AL199" si="31">MAX(0,AB136-AG136)</f>
        <v>0</v>
      </c>
      <c r="AM136" s="76">
        <f t="shared" ref="AM136:AM199" si="32">AG136+AL136-AB136</f>
        <v>0</v>
      </c>
      <c r="AN136" s="76">
        <f>MAX(0,O136*Escenarios!$F$13/Escenarios!$F$16-AM136)</f>
        <v>1.9896538153111508E-4</v>
      </c>
      <c r="AO136" s="76">
        <f>AM136+AN136-O136*Escenarios!$F$13/Escenarios!$F$16</f>
        <v>0</v>
      </c>
      <c r="AP136" s="76">
        <f t="shared" ref="AP136:AP199" si="33">MAX(0,AE136-AO136)</f>
        <v>0.75718940004284008</v>
      </c>
      <c r="AQ136" s="76">
        <f t="shared" ref="AQ136:AQ199" si="34">AO136+AP136-AE136</f>
        <v>0</v>
      </c>
      <c r="AR136" s="76">
        <f t="shared" ref="AR136:AR199" si="35">AL136+AN136+AP136+AH136</f>
        <v>0.75738836542437116</v>
      </c>
      <c r="AS136" s="76">
        <f t="shared" ref="AS136:AS199" si="36">MAX(0,AG136-AH136-AI136-AJ136)</f>
        <v>0</v>
      </c>
      <c r="AT136" s="76">
        <f t="shared" ref="AT136:AT199" si="37">AC136+AS136</f>
        <v>0</v>
      </c>
      <c r="AU136" s="76">
        <f t="shared" ref="AU136:AU199" si="38">AU135+AS136-AV135</f>
        <v>55.44591473126448</v>
      </c>
      <c r="AV136" s="76">
        <f>MAX(0,(AU136-Constantes!$D$13)*(1-EXP(-Constantes!$D$24)))</f>
        <v>0.10234871099735912</v>
      </c>
      <c r="AW136" s="170">
        <f>AW135+(Entradas!$F$112*AT136-AX135)/(800*Entradas!$D$25)</f>
        <v>0</v>
      </c>
      <c r="AX136" s="170">
        <f>8000*Entradas!$D$26*AW136/Constantes!$F$45</f>
        <v>0</v>
      </c>
      <c r="AY136" s="170">
        <f>IF(Escenarios!$F$17&gt;0,10*Escenarios!$F$16*AL136,0)</f>
        <v>0</v>
      </c>
      <c r="AZ136" s="170">
        <f>IF(Escenarios!$F$17&gt;0,10*Escenarios!$F$16*AX136,0)</f>
        <v>0</v>
      </c>
      <c r="BA136" s="170">
        <f>IF(Escenarios!$F$17&gt;0,0.001*Observaciones!$F135*Escenarios!$F$17,0)</f>
        <v>0</v>
      </c>
      <c r="BB136" s="170">
        <f>IF(Escenarios!$F$17&gt;0,Observaciones!$K135,0)</f>
        <v>0</v>
      </c>
      <c r="BC136" s="170">
        <f>IF(Escenarios!$F$17&gt;0,MIN(0.0005*ETo!$M135*Escenarios!$F$17*(BG135/Constantes!$F$40)^(2/3),BG135+AY136+AZ136+BA136+BB136),0)</f>
        <v>0</v>
      </c>
      <c r="BD136" s="170">
        <f>IF(Escenarios!$F$17&gt;0,MIN(Constantes!$F$39*(BG135/Constantes!$F$40)^(2/3),BG135+AY136+AZ136+BA136+BB136-BC136),0)</f>
        <v>0</v>
      </c>
      <c r="BE136" s="170">
        <f>IF(Escenarios!$F$17&gt;0,MIN(Entradas!$F$113,BG135+AY136+AZ136+BA136+BB136-BC136-BD136),0)</f>
        <v>0</v>
      </c>
      <c r="BF136" s="170">
        <f>IF(Escenarios!$F$17&gt;0,MAX(0,BG135+AY136+AZ136+BA136+BB136-BC136-BD136-BE136-Constantes!$F$40),0)</f>
        <v>0</v>
      </c>
      <c r="BG136" s="170">
        <f t="shared" ref="BG136:BG199" si="39">BG135+AY136+AZ136+BA136+BB136-BF136-BC136-BD136-BE136</f>
        <v>0</v>
      </c>
      <c r="BH136" s="170">
        <f>(Escenarios!$F$16*AK136+0.1*BC136)/(Escenarios!$F$19)</f>
        <v>0.18174360423243929</v>
      </c>
      <c r="BI136" s="170">
        <f>IF(Escenarios!$F$17&gt;0,BF136/10/Escenarios!$F$19,AL136)</f>
        <v>0</v>
      </c>
      <c r="BJ136" s="170">
        <f>(Escenarios!$F$16*AT136+0.1*BD136)/(Escenarios!$F$19)</f>
        <v>0</v>
      </c>
      <c r="BK136" s="76">
        <f>BK135+(0.1*BD136)/(Escenarios!$F$19)-BL135</f>
        <v>48.75</v>
      </c>
      <c r="BL136" s="76">
        <f>MAX(0,(BK136-Constantes!$D$13)*(1-EXP(-Constantes!$D$23)))</f>
        <v>0</v>
      </c>
      <c r="BM136" s="76">
        <f t="shared" ref="BM136:BM199" si="40">AP136+AV136+BL136</f>
        <v>0.85953811104019917</v>
      </c>
      <c r="BN136" s="76">
        <f t="shared" ref="BN136:BN199" si="41">AN136+AP136+AV136+BI136+BL136</f>
        <v>0.85973707642173025</v>
      </c>
      <c r="BO136" s="76">
        <f>0.0526*BI136*Observaciones!$F135^1.218</f>
        <v>0</v>
      </c>
      <c r="BP136" s="76">
        <f>BO136*Constantes!$F$51</f>
        <v>0</v>
      </c>
      <c r="BQ136" s="76">
        <f t="shared" ref="BQ136:BQ199" si="42">BP136*1000000/(BN136/1000*10000)</f>
        <v>0</v>
      </c>
      <c r="BR136" s="40"/>
    </row>
    <row r="137" spans="2:70">
      <c r="B137" s="39"/>
      <c r="C137" s="75">
        <v>131</v>
      </c>
      <c r="D137" s="146">
        <f>ETo!$I136*((1-Constantes!$F$19)*ETo!$K136+ETo!$L136)</f>
        <v>3.0959447704370264</v>
      </c>
      <c r="E137" s="76">
        <f>MIN(D137*Constantes!$F$17,0.8*(N136+Observaciones!$F136-F137-M137-Constantes!$D$14))</f>
        <v>5.30998608971629E-3</v>
      </c>
      <c r="F137" s="76">
        <f>IF(Observaciones!$F136&gt;0.05*Constantes!$F$18,((Observaciones!$F136-0.05*Constantes!$F$18)^2)/(Observaciones!$F136+0.95*Constantes!$F$18),0)</f>
        <v>0</v>
      </c>
      <c r="G137" s="76">
        <f>IF(Escenarios!$F$11&gt;0,(F137*Escenarios!$F$16*10000)/1000,0)</f>
        <v>0</v>
      </c>
      <c r="H137" s="76">
        <f>IF(Escenarios!$F$11&gt;0,(Observaciones!$F136*Constantes!$F$29)/1000,0)</f>
        <v>0</v>
      </c>
      <c r="I137" s="76">
        <f>IF(Escenarios!$F$11&gt;0,(D137*Constantes!$F$29)/1000,0)</f>
        <v>0</v>
      </c>
      <c r="J137" s="76">
        <f>IF(Escenarios!$F$11&gt;0,MAX(0,G137+H137-I137),0)</f>
        <v>0</v>
      </c>
      <c r="K137" s="76">
        <f>IF(Escenarios!$F$11&gt;0,IF(J137&gt;Constantes!$F$30,1000*((J137-Constantes!$F$30)/(Escenarios!$F$16*10000)),0),F137)</f>
        <v>0</v>
      </c>
      <c r="L137" s="76">
        <f>IF(Escenarios!$F$11&gt;0,I137*1000/Escenarios!$F$16/10000+E137,E137)</f>
        <v>5.30998608971629E-3</v>
      </c>
      <c r="M137" s="76">
        <f>MAX(0,N136+Observaciones!$F136-K137-Constantes!$D$13)</f>
        <v>0</v>
      </c>
      <c r="N137" s="76">
        <f>N136+Observaciones!$F136-K137-L137-M137-O136</f>
        <v>11.251101399497962</v>
      </c>
      <c r="O137" s="76">
        <f>MAX(0,(N137-Constantes!$D$14)*(1-EXP(-Constantes!$D$22)))</f>
        <v>3.7517710220919917E-5</v>
      </c>
      <c r="P137" s="170">
        <f>P136+(Entradas!$F$83*M137-Q136)/(800*Entradas!$D$25)</f>
        <v>0</v>
      </c>
      <c r="Q137" s="170">
        <f>8000*Entradas!$D$26*P137/Constantes!$F$45</f>
        <v>0</v>
      </c>
      <c r="R137" s="170">
        <f>IF(Escenarios!$F$14&gt;0,K137*Escenarios!$F$13/Escenarios!$F$14,0)</f>
        <v>0</v>
      </c>
      <c r="S137" s="170">
        <f>IF(Escenarios!$F$14&gt;0,Q137*Escenarios!$F$13/Escenarios!$F$14,0)</f>
        <v>0</v>
      </c>
      <c r="T137" s="170">
        <f>IF(Escenarios!$F$14&gt;0,Observaciones!$I136,0)</f>
        <v>0</v>
      </c>
      <c r="U137" s="170">
        <f>IF(Escenarios!$F$14&gt;0,MAX(0,Constantes!$F$36/((Z136+R137+S137+T137+Observaciones!$F136)^2)+Entradas!$F$77),0)</f>
        <v>0</v>
      </c>
      <c r="V137" s="146">
        <f>IF(ETo!D136&gt;0,ETo!I136*((1-Entradas!$F$81)*ETo!K136+ETo!L136),0)</f>
        <v>2.7145078805674756</v>
      </c>
      <c r="W137" s="170">
        <f>IF(Escenarios!$F$14&gt;0,MIN(V137*1,0.8*(Z136+R137+S137+T137+Observaciones!$F136-U137-Constantes!$F$35)),0)</f>
        <v>6.4000119041168098E-3</v>
      </c>
      <c r="X137" s="170">
        <f>IF(Escenarios!$F$14&gt;0,Observaciones!$J136,0)</f>
        <v>0</v>
      </c>
      <c r="Y137" s="170">
        <f>IF(Escenarios!$F$14&gt;0,MAX(0,Z136+R137+S137+T137+Observaciones!$F136-U137-W137-X137-Constantes!$F$33),0)</f>
        <v>0</v>
      </c>
      <c r="Z137" s="170">
        <f>Z136+R137+S137+T137+Observaciones!$F136-U137-W137-Y137</f>
        <v>41.251600002976026</v>
      </c>
      <c r="AA137" s="170">
        <f>IF(Escenarios!$F$14&gt;0,(Escenarios!$F$13*L137+Escenarios!$F$14*W137)/(Escenarios!$F$16),L137)</f>
        <v>5.4407891874443523E-3</v>
      </c>
      <c r="AB137" s="170">
        <f>IF(Escenarios!$F$14&gt;0,(Escenarios!$F$14*Y137)/(Escenarios!$F$16),K137)</f>
        <v>0</v>
      </c>
      <c r="AC137" s="170">
        <f>IF(Escenarios!$F$14&gt;0,(Escenarios!$F$13*M137+Escenarios!$F$14*U137)/(Escenarios!$F$16),M137)</f>
        <v>0</v>
      </c>
      <c r="AD137" s="76">
        <f t="shared" si="29"/>
        <v>124.83956758476839</v>
      </c>
      <c r="AE137" s="76">
        <f>MAX(0,(AD137-Constantes!$D$13)*(1-EXP(-Constantes!$D$23)))</f>
        <v>0.74972863253575395</v>
      </c>
      <c r="AF137" s="76">
        <f>AB137+O137*Escenarios!$F$13/Escenarios!$F$16+AE137</f>
        <v>0.7497616481207483</v>
      </c>
      <c r="AG137" s="76">
        <f>IF(Entradas!$F$91&gt;0,IF(AF137-Escenarios!$F$38&lt;=0,0,IF(AF137-Escenarios!$F$38&gt;Escenarios!$F$37,Escenarios!$F$37,AF137-Escenarios!$F$38)),0)</f>
        <v>0</v>
      </c>
      <c r="AH137" s="76">
        <f>AG137*Entradas!$F$99</f>
        <v>0</v>
      </c>
      <c r="AI137" s="76">
        <f>IF(Entradas!$F$91&gt;0,D137*Entradas!$D$23/Escenarios!$F$16,0)</f>
        <v>0.14860534898097727</v>
      </c>
      <c r="AJ137" s="76">
        <f>IF(Entradas!$F$91&gt;0,Entradas!$D$24*Entradas!$D$22/Escenarios!$F$16,0)</f>
        <v>0.12</v>
      </c>
      <c r="AK137" s="76">
        <f t="shared" si="30"/>
        <v>0.15404613816842161</v>
      </c>
      <c r="AL137" s="76">
        <f t="shared" si="31"/>
        <v>0</v>
      </c>
      <c r="AM137" s="76">
        <f t="shared" si="32"/>
        <v>0</v>
      </c>
      <c r="AN137" s="76">
        <f>MAX(0,O137*Escenarios!$F$13/Escenarios!$F$16-AM137)</f>
        <v>3.301558499440953E-5</v>
      </c>
      <c r="AO137" s="76">
        <f>AM137+AN137-O137*Escenarios!$F$13/Escenarios!$F$16</f>
        <v>0</v>
      </c>
      <c r="AP137" s="76">
        <f t="shared" si="33"/>
        <v>0.74972863253575395</v>
      </c>
      <c r="AQ137" s="76">
        <f t="shared" si="34"/>
        <v>0</v>
      </c>
      <c r="AR137" s="76">
        <f t="shared" si="35"/>
        <v>0.7497616481207483</v>
      </c>
      <c r="AS137" s="76">
        <f t="shared" si="36"/>
        <v>0</v>
      </c>
      <c r="AT137" s="76">
        <f t="shared" si="37"/>
        <v>0</v>
      </c>
      <c r="AU137" s="76">
        <f t="shared" si="38"/>
        <v>55.343566020267119</v>
      </c>
      <c r="AV137" s="76">
        <f>MAX(0,(AU137-Constantes!$D$13)*(1-EXP(-Constantes!$D$24)))</f>
        <v>0.10078428566292195</v>
      </c>
      <c r="AW137" s="170">
        <f>AW136+(Entradas!$F$112*AT137-AX136)/(800*Entradas!$D$25)</f>
        <v>0</v>
      </c>
      <c r="AX137" s="170">
        <f>8000*Entradas!$D$26*AW137/Constantes!$F$45</f>
        <v>0</v>
      </c>
      <c r="AY137" s="170">
        <f>IF(Escenarios!$F$17&gt;0,10*Escenarios!$F$16*AL137,0)</f>
        <v>0</v>
      </c>
      <c r="AZ137" s="170">
        <f>IF(Escenarios!$F$17&gt;0,10*Escenarios!$F$16*AX137,0)</f>
        <v>0</v>
      </c>
      <c r="BA137" s="170">
        <f>IF(Escenarios!$F$17&gt;0,0.001*Observaciones!$F136*Escenarios!$F$17,0)</f>
        <v>0</v>
      </c>
      <c r="BB137" s="170">
        <f>IF(Escenarios!$F$17&gt;0,Observaciones!$K136,0)</f>
        <v>0</v>
      </c>
      <c r="BC137" s="170">
        <f>IF(Escenarios!$F$17&gt;0,MIN(0.0005*ETo!$M136*Escenarios!$F$17*(BG136/Constantes!$F$40)^(2/3),BG136+AY137+AZ137+BA137+BB137),0)</f>
        <v>0</v>
      </c>
      <c r="BD137" s="170">
        <f>IF(Escenarios!$F$17&gt;0,MIN(Constantes!$F$39*(BG136/Constantes!$F$40)^(2/3),BG136+AY137+AZ137+BA137+BB137-BC137),0)</f>
        <v>0</v>
      </c>
      <c r="BE137" s="170">
        <f>IF(Escenarios!$F$17&gt;0,MIN(Entradas!$F$113,BG136+AY137+AZ137+BA137+BB137-BC137-BD137),0)</f>
        <v>0</v>
      </c>
      <c r="BF137" s="170">
        <f>IF(Escenarios!$F$17&gt;0,MAX(0,BG136+AY137+AZ137+BA137+BB137-BC137-BD137-BE137-Constantes!$F$40),0)</f>
        <v>0</v>
      </c>
      <c r="BG137" s="170">
        <f t="shared" si="39"/>
        <v>0</v>
      </c>
      <c r="BH137" s="170">
        <f>(Escenarios!$F$16*AK137+0.1*BC137)/(Escenarios!$F$19)</f>
        <v>0.15404613816842161</v>
      </c>
      <c r="BI137" s="170">
        <f>IF(Escenarios!$F$17&gt;0,BF137/10/Escenarios!$F$19,AL137)</f>
        <v>0</v>
      </c>
      <c r="BJ137" s="170">
        <f>(Escenarios!$F$16*AT137+0.1*BD137)/(Escenarios!$F$19)</f>
        <v>0</v>
      </c>
      <c r="BK137" s="76">
        <f>BK136+(0.1*BD137)/(Escenarios!$F$19)-BL136</f>
        <v>48.75</v>
      </c>
      <c r="BL137" s="76">
        <f>MAX(0,(BK137-Constantes!$D$13)*(1-EXP(-Constantes!$D$23)))</f>
        <v>0</v>
      </c>
      <c r="BM137" s="76">
        <f t="shared" si="40"/>
        <v>0.85051291819867592</v>
      </c>
      <c r="BN137" s="76">
        <f t="shared" si="41"/>
        <v>0.85054593378367027</v>
      </c>
      <c r="BO137" s="76">
        <f>0.0526*BI137*Observaciones!$F136^1.218</f>
        <v>0</v>
      </c>
      <c r="BP137" s="76">
        <f>BO137*Constantes!$F$51</f>
        <v>0</v>
      </c>
      <c r="BQ137" s="76">
        <f t="shared" si="42"/>
        <v>0</v>
      </c>
      <c r="BR137" s="40"/>
    </row>
    <row r="138" spans="2:70">
      <c r="B138" s="39"/>
      <c r="C138" s="75">
        <v>132</v>
      </c>
      <c r="D138" s="146">
        <f>ETo!$I137*((1-Constantes!$F$19)*ETo!$K137+ETo!$L137)</f>
        <v>3.0110341526131137</v>
      </c>
      <c r="E138" s="76">
        <f>MIN(D138*Constantes!$F$17,0.8*(N137+Observaciones!$F137-F138-M138-Constantes!$D$14))</f>
        <v>8.8111959836965079E-4</v>
      </c>
      <c r="F138" s="76">
        <f>IF(Observaciones!$F137&gt;0.05*Constantes!$F$18,((Observaciones!$F137-0.05*Constantes!$F$18)^2)/(Observaciones!$F137+0.95*Constantes!$F$18),0)</f>
        <v>0</v>
      </c>
      <c r="G138" s="76">
        <f>IF(Escenarios!$F$11&gt;0,(F138*Escenarios!$F$16*10000)/1000,0)</f>
        <v>0</v>
      </c>
      <c r="H138" s="76">
        <f>IF(Escenarios!$F$11&gt;0,(Observaciones!$F137*Constantes!$F$29)/1000,0)</f>
        <v>0</v>
      </c>
      <c r="I138" s="76">
        <f>IF(Escenarios!$F$11&gt;0,(D138*Constantes!$F$29)/1000,0)</f>
        <v>0</v>
      </c>
      <c r="J138" s="76">
        <f>IF(Escenarios!$F$11&gt;0,MAX(0,G138+H138-I138),0)</f>
        <v>0</v>
      </c>
      <c r="K138" s="76">
        <f>IF(Escenarios!$F$11&gt;0,IF(J138&gt;Constantes!$F$30,1000*((J138-Constantes!$F$30)/(Escenarios!$F$16*10000)),0),F138)</f>
        <v>0</v>
      </c>
      <c r="L138" s="76">
        <f>IF(Escenarios!$F$11&gt;0,I138*1000/Escenarios!$F$16/10000+E138,E138)</f>
        <v>8.8111959836965079E-4</v>
      </c>
      <c r="M138" s="76">
        <f>MAX(0,N137+Observaciones!$F137-K138-Constantes!$D$13)</f>
        <v>0</v>
      </c>
      <c r="N138" s="76">
        <f>N137+Observaciones!$F137-K138-L138-M138-O137</f>
        <v>11.250182762189372</v>
      </c>
      <c r="O138" s="76">
        <f>MAX(0,(N138-Constantes!$D$14)*(1-EXP(-Constantes!$D$22)))</f>
        <v>6.2255511037341492E-6</v>
      </c>
      <c r="P138" s="170">
        <f>P137+(Entradas!$F$83*M138-Q137)/(800*Entradas!$D$25)</f>
        <v>0</v>
      </c>
      <c r="Q138" s="170">
        <f>8000*Entradas!$D$26*P138/Constantes!$F$45</f>
        <v>0</v>
      </c>
      <c r="R138" s="170">
        <f>IF(Escenarios!$F$14&gt;0,K138*Escenarios!$F$13/Escenarios!$F$14,0)</f>
        <v>0</v>
      </c>
      <c r="S138" s="170">
        <f>IF(Escenarios!$F$14&gt;0,Q138*Escenarios!$F$13/Escenarios!$F$14,0)</f>
        <v>0</v>
      </c>
      <c r="T138" s="170">
        <f>IF(Escenarios!$F$14&gt;0,Observaciones!$I137,0)</f>
        <v>0</v>
      </c>
      <c r="U138" s="170">
        <f>IF(Escenarios!$F$14&gt;0,MAX(0,Constantes!$F$36/((Z137+R138+S138+T138+Observaciones!$F137)^2)+Entradas!$F$77),0)</f>
        <v>0</v>
      </c>
      <c r="V138" s="146">
        <f>IF(ETo!D137&gt;0,ETo!I137*((1-Entradas!$F$81)*ETo!K137+ETo!L137),0)</f>
        <v>2.6384676130224882</v>
      </c>
      <c r="W138" s="170">
        <f>IF(Escenarios!$F$14&gt;0,MIN(V138*1,0.8*(Z137+R138+S138+T138+Observaciones!$F137-U138-Constantes!$F$35)),0)</f>
        <v>1.2800023808210881E-3</v>
      </c>
      <c r="X138" s="170">
        <f>IF(Escenarios!$F$14&gt;0,Observaciones!$J137,0)</f>
        <v>0</v>
      </c>
      <c r="Y138" s="170">
        <f>IF(Escenarios!$F$14&gt;0,MAX(0,Z137+R138+S138+T138+Observaciones!$F137-U138-W138-X138-Constantes!$F$33),0)</f>
        <v>0</v>
      </c>
      <c r="Z138" s="170">
        <f>Z137+R138+S138+T138+Observaciones!$F137-U138-W138-Y138</f>
        <v>41.250320000595202</v>
      </c>
      <c r="AA138" s="170">
        <f>IF(Escenarios!$F$14&gt;0,(Escenarios!$F$13*L138+Escenarios!$F$14*W138)/(Escenarios!$F$16),L138)</f>
        <v>9.289855322638233E-4</v>
      </c>
      <c r="AB138" s="170">
        <f>IF(Escenarios!$F$14&gt;0,(Escenarios!$F$14*Y138)/(Escenarios!$F$16),K138)</f>
        <v>0</v>
      </c>
      <c r="AC138" s="170">
        <f>IF(Escenarios!$F$14&gt;0,(Escenarios!$F$13*M138+Escenarios!$F$14*U138)/(Escenarios!$F$16),M138)</f>
        <v>0</v>
      </c>
      <c r="AD138" s="76">
        <f t="shared" si="29"/>
        <v>124.08983895223264</v>
      </c>
      <c r="AE138" s="76">
        <f>MAX(0,(AD138-Constantes!$D$13)*(1-EXP(-Constantes!$D$23)))</f>
        <v>0.7423413777479313</v>
      </c>
      <c r="AF138" s="76">
        <f>AB138+O138*Escenarios!$F$13/Escenarios!$F$16+AE138</f>
        <v>0.74234685623290253</v>
      </c>
      <c r="AG138" s="76">
        <f>IF(Entradas!$F$91&gt;0,IF(AF138-Escenarios!$F$38&lt;=0,0,IF(AF138-Escenarios!$F$38&gt;Escenarios!$F$37,Escenarios!$F$37,AF138-Escenarios!$F$38)),0)</f>
        <v>0</v>
      </c>
      <c r="AH138" s="76">
        <f>AG138*Entradas!$F$99</f>
        <v>0</v>
      </c>
      <c r="AI138" s="76">
        <f>IF(Entradas!$F$91&gt;0,D138*Entradas!$D$23/Escenarios!$F$16,0)</f>
        <v>0.14452963932542945</v>
      </c>
      <c r="AJ138" s="76">
        <f>IF(Entradas!$F$91&gt;0,Entradas!$D$24*Entradas!$D$22/Escenarios!$F$16,0)</f>
        <v>0.12</v>
      </c>
      <c r="AK138" s="76">
        <f t="shared" si="30"/>
        <v>0.14545862485769326</v>
      </c>
      <c r="AL138" s="76">
        <f t="shared" si="31"/>
        <v>0</v>
      </c>
      <c r="AM138" s="76">
        <f t="shared" si="32"/>
        <v>0</v>
      </c>
      <c r="AN138" s="76">
        <f>MAX(0,O138*Escenarios!$F$13/Escenarios!$F$16-AM138)</f>
        <v>5.4784849712860514E-6</v>
      </c>
      <c r="AO138" s="76">
        <f>AM138+AN138-O138*Escenarios!$F$13/Escenarios!$F$16</f>
        <v>0</v>
      </c>
      <c r="AP138" s="76">
        <f t="shared" si="33"/>
        <v>0.7423413777479313</v>
      </c>
      <c r="AQ138" s="76">
        <f t="shared" si="34"/>
        <v>0</v>
      </c>
      <c r="AR138" s="76">
        <f t="shared" si="35"/>
        <v>0.74234685623290253</v>
      </c>
      <c r="AS138" s="76">
        <f t="shared" si="36"/>
        <v>0</v>
      </c>
      <c r="AT138" s="76">
        <f t="shared" si="37"/>
        <v>0</v>
      </c>
      <c r="AU138" s="76">
        <f t="shared" si="38"/>
        <v>55.242781734604193</v>
      </c>
      <c r="AV138" s="76">
        <f>MAX(0,(AU138-Constantes!$D$13)*(1-EXP(-Constantes!$D$24)))</f>
        <v>9.9243772956237278E-2</v>
      </c>
      <c r="AW138" s="170">
        <f>AW137+(Entradas!$F$112*AT138-AX137)/(800*Entradas!$D$25)</f>
        <v>0</v>
      </c>
      <c r="AX138" s="170">
        <f>8000*Entradas!$D$26*AW138/Constantes!$F$45</f>
        <v>0</v>
      </c>
      <c r="AY138" s="170">
        <f>IF(Escenarios!$F$17&gt;0,10*Escenarios!$F$16*AL138,0)</f>
        <v>0</v>
      </c>
      <c r="AZ138" s="170">
        <f>IF(Escenarios!$F$17&gt;0,10*Escenarios!$F$16*AX138,0)</f>
        <v>0</v>
      </c>
      <c r="BA138" s="170">
        <f>IF(Escenarios!$F$17&gt;0,0.001*Observaciones!$F137*Escenarios!$F$17,0)</f>
        <v>0</v>
      </c>
      <c r="BB138" s="170">
        <f>IF(Escenarios!$F$17&gt;0,Observaciones!$K137,0)</f>
        <v>0</v>
      </c>
      <c r="BC138" s="170">
        <f>IF(Escenarios!$F$17&gt;0,MIN(0.0005*ETo!$M137*Escenarios!$F$17*(BG137/Constantes!$F$40)^(2/3),BG137+AY138+AZ138+BA138+BB138),0)</f>
        <v>0</v>
      </c>
      <c r="BD138" s="170">
        <f>IF(Escenarios!$F$17&gt;0,MIN(Constantes!$F$39*(BG137/Constantes!$F$40)^(2/3),BG137+AY138+AZ138+BA138+BB138-BC138),0)</f>
        <v>0</v>
      </c>
      <c r="BE138" s="170">
        <f>IF(Escenarios!$F$17&gt;0,MIN(Entradas!$F$113,BG137+AY138+AZ138+BA138+BB138-BC138-BD138),0)</f>
        <v>0</v>
      </c>
      <c r="BF138" s="170">
        <f>IF(Escenarios!$F$17&gt;0,MAX(0,BG137+AY138+AZ138+BA138+BB138-BC138-BD138-BE138-Constantes!$F$40),0)</f>
        <v>0</v>
      </c>
      <c r="BG138" s="170">
        <f t="shared" si="39"/>
        <v>0</v>
      </c>
      <c r="BH138" s="170">
        <f>(Escenarios!$F$16*AK138+0.1*BC138)/(Escenarios!$F$19)</f>
        <v>0.14545862485769326</v>
      </c>
      <c r="BI138" s="170">
        <f>IF(Escenarios!$F$17&gt;0,BF138/10/Escenarios!$F$19,AL138)</f>
        <v>0</v>
      </c>
      <c r="BJ138" s="170">
        <f>(Escenarios!$F$16*AT138+0.1*BD138)/(Escenarios!$F$19)</f>
        <v>0</v>
      </c>
      <c r="BK138" s="76">
        <f>BK137+(0.1*BD138)/(Escenarios!$F$19)-BL137</f>
        <v>48.75</v>
      </c>
      <c r="BL138" s="76">
        <f>MAX(0,(BK138-Constantes!$D$13)*(1-EXP(-Constantes!$D$23)))</f>
        <v>0</v>
      </c>
      <c r="BM138" s="76">
        <f t="shared" si="40"/>
        <v>0.84158515070416862</v>
      </c>
      <c r="BN138" s="76">
        <f t="shared" si="41"/>
        <v>0.84159062918913985</v>
      </c>
      <c r="BO138" s="76">
        <f>0.0526*BI138*Observaciones!$F137^1.218</f>
        <v>0</v>
      </c>
      <c r="BP138" s="76">
        <f>BO138*Constantes!$F$51</f>
        <v>0</v>
      </c>
      <c r="BQ138" s="76">
        <f t="shared" si="42"/>
        <v>0</v>
      </c>
      <c r="BR138" s="40"/>
    </row>
    <row r="139" spans="2:70">
      <c r="B139" s="39"/>
      <c r="C139" s="75">
        <v>133</v>
      </c>
      <c r="D139" s="146">
        <f>ETo!$I138*((1-Constantes!$F$19)*ETo!$K138+ETo!$L138)</f>
        <v>2.9510065324554993</v>
      </c>
      <c r="E139" s="76">
        <f>MIN(D139*Constantes!$F$17,0.8*(N138+Observaciones!$F138-F139-M139-Constantes!$D$14))</f>
        <v>1.4620975149739479E-4</v>
      </c>
      <c r="F139" s="76">
        <f>IF(Observaciones!$F138&gt;0.05*Constantes!$F$18,((Observaciones!$F138-0.05*Constantes!$F$18)^2)/(Observaciones!$F138+0.95*Constantes!$F$18),0)</f>
        <v>0</v>
      </c>
      <c r="G139" s="76">
        <f>IF(Escenarios!$F$11&gt;0,(F139*Escenarios!$F$16*10000)/1000,0)</f>
        <v>0</v>
      </c>
      <c r="H139" s="76">
        <f>IF(Escenarios!$F$11&gt;0,(Observaciones!$F138*Constantes!$F$29)/1000,0)</f>
        <v>0</v>
      </c>
      <c r="I139" s="76">
        <f>IF(Escenarios!$F$11&gt;0,(D139*Constantes!$F$29)/1000,0)</f>
        <v>0</v>
      </c>
      <c r="J139" s="76">
        <f>IF(Escenarios!$F$11&gt;0,MAX(0,G139+H139-I139),0)</f>
        <v>0</v>
      </c>
      <c r="K139" s="76">
        <f>IF(Escenarios!$F$11&gt;0,IF(J139&gt;Constantes!$F$30,1000*((J139-Constantes!$F$30)/(Escenarios!$F$16*10000)),0),F139)</f>
        <v>0</v>
      </c>
      <c r="L139" s="76">
        <f>IF(Escenarios!$F$11&gt;0,I139*1000/Escenarios!$F$16/10000+E139,E139)</f>
        <v>1.4620975149739479E-4</v>
      </c>
      <c r="M139" s="76">
        <f>MAX(0,N138+Observaciones!$F138-K139-Constantes!$D$13)</f>
        <v>0</v>
      </c>
      <c r="N139" s="76">
        <f>N138+Observaciones!$F138-K139-L139-M139-O138</f>
        <v>11.250030326886771</v>
      </c>
      <c r="O139" s="76">
        <f>MAX(0,(N139-Constantes!$D$14)*(1-EXP(-Constantes!$D$22)))</f>
        <v>1.0330450956918488E-6</v>
      </c>
      <c r="P139" s="170">
        <f>P138+(Entradas!$F$83*M139-Q138)/(800*Entradas!$D$25)</f>
        <v>0</v>
      </c>
      <c r="Q139" s="170">
        <f>8000*Entradas!$D$26*P139/Constantes!$F$45</f>
        <v>0</v>
      </c>
      <c r="R139" s="170">
        <f>IF(Escenarios!$F$14&gt;0,K139*Escenarios!$F$13/Escenarios!$F$14,0)</f>
        <v>0</v>
      </c>
      <c r="S139" s="170">
        <f>IF(Escenarios!$F$14&gt;0,Q139*Escenarios!$F$13/Escenarios!$F$14,0)</f>
        <v>0</v>
      </c>
      <c r="T139" s="170">
        <f>IF(Escenarios!$F$14&gt;0,Observaciones!$I138,0)</f>
        <v>0</v>
      </c>
      <c r="U139" s="170">
        <f>IF(Escenarios!$F$14&gt;0,MAX(0,Constantes!$F$36/((Z138+R139+S139+T139+Observaciones!$F138)^2)+Entradas!$F$77),0)</f>
        <v>0</v>
      </c>
      <c r="V139" s="146">
        <f>IF(ETo!D138&gt;0,ETo!I138*((1-Entradas!$F$81)*ETo!K138+ETo!L138),0)</f>
        <v>2.5847216179997323</v>
      </c>
      <c r="W139" s="170">
        <f>IF(Escenarios!$F$14&gt;0,MIN(V139*1,0.8*(Z138+R139+S139+T139+Observaciones!$F138-U139-Constantes!$F$35)),0)</f>
        <v>2.560004761619439E-4</v>
      </c>
      <c r="X139" s="170">
        <f>IF(Escenarios!$F$14&gt;0,Observaciones!$J138,0)</f>
        <v>0</v>
      </c>
      <c r="Y139" s="170">
        <f>IF(Escenarios!$F$14&gt;0,MAX(0,Z138+R139+S139+T139+Observaciones!$F138-U139-W139-X139-Constantes!$F$33),0)</f>
        <v>0</v>
      </c>
      <c r="Z139" s="170">
        <f>Z138+R139+S139+T139+Observaciones!$F138-U139-W139-Y139</f>
        <v>41.250064000119039</v>
      </c>
      <c r="AA139" s="170">
        <f>IF(Escenarios!$F$14&gt;0,(Escenarios!$F$13*L139+Escenarios!$F$14*W139)/(Escenarios!$F$16),L139)</f>
        <v>1.5938463845714069E-4</v>
      </c>
      <c r="AB139" s="170">
        <f>IF(Escenarios!$F$14&gt;0,(Escenarios!$F$14*Y139)/(Escenarios!$F$16),K139)</f>
        <v>0</v>
      </c>
      <c r="AC139" s="170">
        <f>IF(Escenarios!$F$14&gt;0,(Escenarios!$F$13*M139+Escenarios!$F$14*U139)/(Escenarios!$F$16),M139)</f>
        <v>0</v>
      </c>
      <c r="AD139" s="76">
        <f t="shared" si="29"/>
        <v>123.34749757448471</v>
      </c>
      <c r="AE139" s="76">
        <f>MAX(0,(AD139-Constantes!$D$13)*(1-EXP(-Constantes!$D$23)))</f>
        <v>0.73502691134104015</v>
      </c>
      <c r="AF139" s="76">
        <f>AB139+O139*Escenarios!$F$13/Escenarios!$F$16+AE139</f>
        <v>0.73502782042072434</v>
      </c>
      <c r="AG139" s="76">
        <f>IF(Entradas!$F$91&gt;0,IF(AF139-Escenarios!$F$38&lt;=0,0,IF(AF139-Escenarios!$F$38&gt;Escenarios!$F$37,Escenarios!$F$37,AF139-Escenarios!$F$38)),0)</f>
        <v>0</v>
      </c>
      <c r="AH139" s="76">
        <f>AG139*Entradas!$F$99</f>
        <v>0</v>
      </c>
      <c r="AI139" s="76">
        <f>IF(Entradas!$F$91&gt;0,D139*Entradas!$D$23/Escenarios!$F$16,0)</f>
        <v>0.14164831355786395</v>
      </c>
      <c r="AJ139" s="76">
        <f>IF(Entradas!$F$91&gt;0,Entradas!$D$24*Entradas!$D$22/Escenarios!$F$16,0)</f>
        <v>0.12</v>
      </c>
      <c r="AK139" s="76">
        <f t="shared" si="30"/>
        <v>0.14180769819632108</v>
      </c>
      <c r="AL139" s="76">
        <f t="shared" si="31"/>
        <v>0</v>
      </c>
      <c r="AM139" s="76">
        <f t="shared" si="32"/>
        <v>0</v>
      </c>
      <c r="AN139" s="76">
        <f>MAX(0,O139*Escenarios!$F$13/Escenarios!$F$16-AM139)</f>
        <v>9.0907968420882687E-7</v>
      </c>
      <c r="AO139" s="76">
        <f>AM139+AN139-O139*Escenarios!$F$13/Escenarios!$F$16</f>
        <v>0</v>
      </c>
      <c r="AP139" s="76">
        <f t="shared" si="33"/>
        <v>0.73502691134104015</v>
      </c>
      <c r="AQ139" s="76">
        <f t="shared" si="34"/>
        <v>0</v>
      </c>
      <c r="AR139" s="76">
        <f t="shared" si="35"/>
        <v>0.73502782042072434</v>
      </c>
      <c r="AS139" s="76">
        <f t="shared" si="36"/>
        <v>0</v>
      </c>
      <c r="AT139" s="76">
        <f t="shared" si="37"/>
        <v>0</v>
      </c>
      <c r="AU139" s="76">
        <f t="shared" si="38"/>
        <v>55.143537961647958</v>
      </c>
      <c r="AV139" s="76">
        <f>MAX(0,(AU139-Constantes!$D$13)*(1-EXP(-Constantes!$D$24)))</f>
        <v>9.772680736688201E-2</v>
      </c>
      <c r="AW139" s="170">
        <f>AW138+(Entradas!$F$112*AT139-AX138)/(800*Entradas!$D$25)</f>
        <v>0</v>
      </c>
      <c r="AX139" s="170">
        <f>8000*Entradas!$D$26*AW139/Constantes!$F$45</f>
        <v>0</v>
      </c>
      <c r="AY139" s="170">
        <f>IF(Escenarios!$F$17&gt;0,10*Escenarios!$F$16*AL139,0)</f>
        <v>0</v>
      </c>
      <c r="AZ139" s="170">
        <f>IF(Escenarios!$F$17&gt;0,10*Escenarios!$F$16*AX139,0)</f>
        <v>0</v>
      </c>
      <c r="BA139" s="170">
        <f>IF(Escenarios!$F$17&gt;0,0.001*Observaciones!$F138*Escenarios!$F$17,0)</f>
        <v>0</v>
      </c>
      <c r="BB139" s="170">
        <f>IF(Escenarios!$F$17&gt;0,Observaciones!$K138,0)</f>
        <v>0</v>
      </c>
      <c r="BC139" s="170">
        <f>IF(Escenarios!$F$17&gt;0,MIN(0.0005*ETo!$M138*Escenarios!$F$17*(BG138/Constantes!$F$40)^(2/3),BG138+AY139+AZ139+BA139+BB139),0)</f>
        <v>0</v>
      </c>
      <c r="BD139" s="170">
        <f>IF(Escenarios!$F$17&gt;0,MIN(Constantes!$F$39*(BG138/Constantes!$F$40)^(2/3),BG138+AY139+AZ139+BA139+BB139-BC139),0)</f>
        <v>0</v>
      </c>
      <c r="BE139" s="170">
        <f>IF(Escenarios!$F$17&gt;0,MIN(Entradas!$F$113,BG138+AY139+AZ139+BA139+BB139-BC139-BD139),0)</f>
        <v>0</v>
      </c>
      <c r="BF139" s="170">
        <f>IF(Escenarios!$F$17&gt;0,MAX(0,BG138+AY139+AZ139+BA139+BB139-BC139-BD139-BE139-Constantes!$F$40),0)</f>
        <v>0</v>
      </c>
      <c r="BG139" s="170">
        <f t="shared" si="39"/>
        <v>0</v>
      </c>
      <c r="BH139" s="170">
        <f>(Escenarios!$F$16*AK139+0.1*BC139)/(Escenarios!$F$19)</f>
        <v>0.14180769819632108</v>
      </c>
      <c r="BI139" s="170">
        <f>IF(Escenarios!$F$17&gt;0,BF139/10/Escenarios!$F$19,AL139)</f>
        <v>0</v>
      </c>
      <c r="BJ139" s="170">
        <f>(Escenarios!$F$16*AT139+0.1*BD139)/(Escenarios!$F$19)</f>
        <v>0</v>
      </c>
      <c r="BK139" s="76">
        <f>BK138+(0.1*BD139)/(Escenarios!$F$19)-BL138</f>
        <v>48.75</v>
      </c>
      <c r="BL139" s="76">
        <f>MAX(0,(BK139-Constantes!$D$13)*(1-EXP(-Constantes!$D$23)))</f>
        <v>0</v>
      </c>
      <c r="BM139" s="76">
        <f t="shared" si="40"/>
        <v>0.83275371870792214</v>
      </c>
      <c r="BN139" s="76">
        <f t="shared" si="41"/>
        <v>0.83275462778760634</v>
      </c>
      <c r="BO139" s="76">
        <f>0.0526*BI139*Observaciones!$F138^1.218</f>
        <v>0</v>
      </c>
      <c r="BP139" s="76">
        <f>BO139*Constantes!$F$51</f>
        <v>0</v>
      </c>
      <c r="BQ139" s="76">
        <f t="shared" si="42"/>
        <v>0</v>
      </c>
      <c r="BR139" s="40"/>
    </row>
    <row r="140" spans="2:70">
      <c r="B140" s="39"/>
      <c r="C140" s="75">
        <v>134</v>
      </c>
      <c r="D140" s="146">
        <f>ETo!$I139*((1-Constantes!$F$19)*ETo!$K139+ETo!$L139)</f>
        <v>2.9354149556007378</v>
      </c>
      <c r="E140" s="76">
        <f>MIN(D140*Constantes!$F$17,0.8*(N139+Observaciones!$F139-F140-M140-Constantes!$D$14))</f>
        <v>2.4261509416589888E-5</v>
      </c>
      <c r="F140" s="76">
        <f>IF(Observaciones!$F139&gt;0.05*Constantes!$F$18,((Observaciones!$F139-0.05*Constantes!$F$18)^2)/(Observaciones!$F139+0.95*Constantes!$F$18),0)</f>
        <v>0</v>
      </c>
      <c r="G140" s="76">
        <f>IF(Escenarios!$F$11&gt;0,(F140*Escenarios!$F$16*10000)/1000,0)</f>
        <v>0</v>
      </c>
      <c r="H140" s="76">
        <f>IF(Escenarios!$F$11&gt;0,(Observaciones!$F139*Constantes!$F$29)/1000,0)</f>
        <v>0</v>
      </c>
      <c r="I140" s="76">
        <f>IF(Escenarios!$F$11&gt;0,(D140*Constantes!$F$29)/1000,0)</f>
        <v>0</v>
      </c>
      <c r="J140" s="76">
        <f>IF(Escenarios!$F$11&gt;0,MAX(0,G140+H140-I140),0)</f>
        <v>0</v>
      </c>
      <c r="K140" s="76">
        <f>IF(Escenarios!$F$11&gt;0,IF(J140&gt;Constantes!$F$30,1000*((J140-Constantes!$F$30)/(Escenarios!$F$16*10000)),0),F140)</f>
        <v>0</v>
      </c>
      <c r="L140" s="76">
        <f>IF(Escenarios!$F$11&gt;0,I140*1000/Escenarios!$F$16/10000+E140,E140)</f>
        <v>2.4261509416589888E-5</v>
      </c>
      <c r="M140" s="76">
        <f>MAX(0,N139+Observaciones!$F139-K140-Constantes!$D$13)</f>
        <v>0</v>
      </c>
      <c r="N140" s="76">
        <f>N139+Observaciones!$F139-K140-L140-M140-O139</f>
        <v>11.250005032332258</v>
      </c>
      <c r="O140" s="76">
        <f>MAX(0,(N140-Constantes!$D$14)*(1-EXP(-Constantes!$D$22)))</f>
        <v>1.7141971076277801E-7</v>
      </c>
      <c r="P140" s="170">
        <f>P139+(Entradas!$F$83*M140-Q139)/(800*Entradas!$D$25)</f>
        <v>0</v>
      </c>
      <c r="Q140" s="170">
        <f>8000*Entradas!$D$26*P140/Constantes!$F$45</f>
        <v>0</v>
      </c>
      <c r="R140" s="170">
        <f>IF(Escenarios!$F$14&gt;0,K140*Escenarios!$F$13/Escenarios!$F$14,0)</f>
        <v>0</v>
      </c>
      <c r="S140" s="170">
        <f>IF(Escenarios!$F$14&gt;0,Q140*Escenarios!$F$13/Escenarios!$F$14,0)</f>
        <v>0</v>
      </c>
      <c r="T140" s="170">
        <f>IF(Escenarios!$F$14&gt;0,Observaciones!$I139,0)</f>
        <v>0</v>
      </c>
      <c r="U140" s="170">
        <f>IF(Escenarios!$F$14&gt;0,MAX(0,Constantes!$F$36/((Z139+R140+S140+T140+Observaciones!$F139)^2)+Entradas!$F$77),0)</f>
        <v>0</v>
      </c>
      <c r="V140" s="146">
        <f>IF(ETo!D139&gt;0,ETo!I139*((1-Entradas!$F$81)*ETo!K139+ETo!L139),0)</f>
        <v>2.570420699077685</v>
      </c>
      <c r="W140" s="170">
        <f>IF(Escenarios!$F$14&gt;0,MIN(V140*1,0.8*(Z139+R140+S140+T140+Observaciones!$F139-U140-Constantes!$F$35)),0)</f>
        <v>5.1200095231251912E-5</v>
      </c>
      <c r="X140" s="170">
        <f>IF(Escenarios!$F$14&gt;0,Observaciones!$J139,0)</f>
        <v>0</v>
      </c>
      <c r="Y140" s="170">
        <f>IF(Escenarios!$F$14&gt;0,MAX(0,Z139+R140+S140+T140+Observaciones!$F139-U140-W140-X140-Constantes!$F$33),0)</f>
        <v>0</v>
      </c>
      <c r="Z140" s="170">
        <f>Z139+R140+S140+T140+Observaciones!$F139-U140-W140-Y140</f>
        <v>41.250012800023811</v>
      </c>
      <c r="AA140" s="170">
        <f>IF(Escenarios!$F$14&gt;0,(Escenarios!$F$13*L140+Escenarios!$F$14*W140)/(Escenarios!$F$16),L140)</f>
        <v>2.7494139714349331E-5</v>
      </c>
      <c r="AB140" s="170">
        <f>IF(Escenarios!$F$14&gt;0,(Escenarios!$F$14*Y140)/(Escenarios!$F$16),K140)</f>
        <v>0</v>
      </c>
      <c r="AC140" s="170">
        <f>IF(Escenarios!$F$14&gt;0,(Escenarios!$F$13*M140+Escenarios!$F$14*U140)/(Escenarios!$F$16),M140)</f>
        <v>0</v>
      </c>
      <c r="AD140" s="76">
        <f t="shared" si="29"/>
        <v>122.61247066314367</v>
      </c>
      <c r="AE140" s="76">
        <f>MAX(0,(AD140-Constantes!$D$13)*(1-EXP(-Constantes!$D$23)))</f>
        <v>0.72778451611382622</v>
      </c>
      <c r="AF140" s="76">
        <f>AB140+O140*Escenarios!$F$13/Escenarios!$F$16+AE140</f>
        <v>0.72778466696317168</v>
      </c>
      <c r="AG140" s="76">
        <f>IF(Entradas!$F$91&gt;0,IF(AF140-Escenarios!$F$38&lt;=0,0,IF(AF140-Escenarios!$F$38&gt;Escenarios!$F$37,Escenarios!$F$37,AF140-Escenarios!$F$38)),0)</f>
        <v>0</v>
      </c>
      <c r="AH140" s="76">
        <f>AG140*Entradas!$F$99</f>
        <v>0</v>
      </c>
      <c r="AI140" s="76">
        <f>IF(Entradas!$F$91&gt;0,D140*Entradas!$D$23/Escenarios!$F$16,0)</f>
        <v>0.14089991786883541</v>
      </c>
      <c r="AJ140" s="76">
        <f>IF(Entradas!$F$91&gt;0,Entradas!$D$24*Entradas!$D$22/Escenarios!$F$16,0)</f>
        <v>0.12</v>
      </c>
      <c r="AK140" s="76">
        <f t="shared" si="30"/>
        <v>0.14092741200854975</v>
      </c>
      <c r="AL140" s="76">
        <f t="shared" si="31"/>
        <v>0</v>
      </c>
      <c r="AM140" s="76">
        <f t="shared" si="32"/>
        <v>0</v>
      </c>
      <c r="AN140" s="76">
        <f>MAX(0,O140*Escenarios!$F$13/Escenarios!$F$16-AM140)</f>
        <v>1.5084934547124465E-7</v>
      </c>
      <c r="AO140" s="76">
        <f>AM140+AN140-O140*Escenarios!$F$13/Escenarios!$F$16</f>
        <v>0</v>
      </c>
      <c r="AP140" s="76">
        <f t="shared" si="33"/>
        <v>0.72778451611382622</v>
      </c>
      <c r="AQ140" s="76">
        <f t="shared" si="34"/>
        <v>0</v>
      </c>
      <c r="AR140" s="76">
        <f t="shared" si="35"/>
        <v>0.72778466696317168</v>
      </c>
      <c r="AS140" s="76">
        <f t="shared" si="36"/>
        <v>0</v>
      </c>
      <c r="AT140" s="76">
        <f t="shared" si="37"/>
        <v>0</v>
      </c>
      <c r="AU140" s="76">
        <f t="shared" si="38"/>
        <v>55.045811154281076</v>
      </c>
      <c r="AV140" s="76">
        <f>MAX(0,(AU140-Constantes!$D$13)*(1-EXP(-Constantes!$D$24)))</f>
        <v>9.6233028971349971E-2</v>
      </c>
      <c r="AW140" s="170">
        <f>AW139+(Entradas!$F$112*AT140-AX139)/(800*Entradas!$D$25)</f>
        <v>0</v>
      </c>
      <c r="AX140" s="170">
        <f>8000*Entradas!$D$26*AW140/Constantes!$F$45</f>
        <v>0</v>
      </c>
      <c r="AY140" s="170">
        <f>IF(Escenarios!$F$17&gt;0,10*Escenarios!$F$16*AL140,0)</f>
        <v>0</v>
      </c>
      <c r="AZ140" s="170">
        <f>IF(Escenarios!$F$17&gt;0,10*Escenarios!$F$16*AX140,0)</f>
        <v>0</v>
      </c>
      <c r="BA140" s="170">
        <f>IF(Escenarios!$F$17&gt;0,0.001*Observaciones!$F139*Escenarios!$F$17,0)</f>
        <v>0</v>
      </c>
      <c r="BB140" s="170">
        <f>IF(Escenarios!$F$17&gt;0,Observaciones!$K139,0)</f>
        <v>0</v>
      </c>
      <c r="BC140" s="170">
        <f>IF(Escenarios!$F$17&gt;0,MIN(0.0005*ETo!$M139*Escenarios!$F$17*(BG139/Constantes!$F$40)^(2/3),BG139+AY140+AZ140+BA140+BB140),0)</f>
        <v>0</v>
      </c>
      <c r="BD140" s="170">
        <f>IF(Escenarios!$F$17&gt;0,MIN(Constantes!$F$39*(BG139/Constantes!$F$40)^(2/3),BG139+AY140+AZ140+BA140+BB140-BC140),0)</f>
        <v>0</v>
      </c>
      <c r="BE140" s="170">
        <f>IF(Escenarios!$F$17&gt;0,MIN(Entradas!$F$113,BG139+AY140+AZ140+BA140+BB140-BC140-BD140),0)</f>
        <v>0</v>
      </c>
      <c r="BF140" s="170">
        <f>IF(Escenarios!$F$17&gt;0,MAX(0,BG139+AY140+AZ140+BA140+BB140-BC140-BD140-BE140-Constantes!$F$40),0)</f>
        <v>0</v>
      </c>
      <c r="BG140" s="170">
        <f t="shared" si="39"/>
        <v>0</v>
      </c>
      <c r="BH140" s="170">
        <f>(Escenarios!$F$16*AK140+0.1*BC140)/(Escenarios!$F$19)</f>
        <v>0.14092741200854975</v>
      </c>
      <c r="BI140" s="170">
        <f>IF(Escenarios!$F$17&gt;0,BF140/10/Escenarios!$F$19,AL140)</f>
        <v>0</v>
      </c>
      <c r="BJ140" s="170">
        <f>(Escenarios!$F$16*AT140+0.1*BD140)/(Escenarios!$F$19)</f>
        <v>0</v>
      </c>
      <c r="BK140" s="76">
        <f>BK139+(0.1*BD140)/(Escenarios!$F$19)-BL139</f>
        <v>48.75</v>
      </c>
      <c r="BL140" s="76">
        <f>MAX(0,(BK140-Constantes!$D$13)*(1-EXP(-Constantes!$D$23)))</f>
        <v>0</v>
      </c>
      <c r="BM140" s="76">
        <f t="shared" si="40"/>
        <v>0.82401754508517622</v>
      </c>
      <c r="BN140" s="76">
        <f t="shared" si="41"/>
        <v>0.82401769593452168</v>
      </c>
      <c r="BO140" s="76">
        <f>0.0526*BI140*Observaciones!$F139^1.218</f>
        <v>0</v>
      </c>
      <c r="BP140" s="76">
        <f>BO140*Constantes!$F$51</f>
        <v>0</v>
      </c>
      <c r="BQ140" s="76">
        <f t="shared" si="42"/>
        <v>0</v>
      </c>
      <c r="BR140" s="40"/>
    </row>
    <row r="141" spans="2:70">
      <c r="B141" s="39"/>
      <c r="C141" s="75">
        <v>135</v>
      </c>
      <c r="D141" s="146">
        <f>ETo!$I140*((1-Constantes!$F$19)*ETo!$K140+ETo!$L140)</f>
        <v>2.970356513038261</v>
      </c>
      <c r="E141" s="76">
        <f>MIN(D141*Constantes!$F$17,0.8*(N140+Observaciones!$F140-F141-M141-Constantes!$D$14))</f>
        <v>4.0258658060565722E-6</v>
      </c>
      <c r="F141" s="76">
        <f>IF(Observaciones!$F140&gt;0.05*Constantes!$F$18,((Observaciones!$F140-0.05*Constantes!$F$18)^2)/(Observaciones!$F140+0.95*Constantes!$F$18),0)</f>
        <v>0</v>
      </c>
      <c r="G141" s="76">
        <f>IF(Escenarios!$F$11&gt;0,(F141*Escenarios!$F$16*10000)/1000,0)</f>
        <v>0</v>
      </c>
      <c r="H141" s="76">
        <f>IF(Escenarios!$F$11&gt;0,(Observaciones!$F140*Constantes!$F$29)/1000,0)</f>
        <v>0</v>
      </c>
      <c r="I141" s="76">
        <f>IF(Escenarios!$F$11&gt;0,(D141*Constantes!$F$29)/1000,0)</f>
        <v>0</v>
      </c>
      <c r="J141" s="76">
        <f>IF(Escenarios!$F$11&gt;0,MAX(0,G141+H141-I141),0)</f>
        <v>0</v>
      </c>
      <c r="K141" s="76">
        <f>IF(Escenarios!$F$11&gt;0,IF(J141&gt;Constantes!$F$30,1000*((J141-Constantes!$F$30)/(Escenarios!$F$16*10000)),0),F141)</f>
        <v>0</v>
      </c>
      <c r="L141" s="76">
        <f>IF(Escenarios!$F$11&gt;0,I141*1000/Escenarios!$F$16/10000+E141,E141)</f>
        <v>4.0258658060565722E-6</v>
      </c>
      <c r="M141" s="76">
        <f>MAX(0,N140+Observaciones!$F140-K141-Constantes!$D$13)</f>
        <v>0</v>
      </c>
      <c r="N141" s="76">
        <f>N140+Observaciones!$F140-K141-L141-M141-O140</f>
        <v>11.250000835046741</v>
      </c>
      <c r="O141" s="76">
        <f>MAX(0,(N141-Constantes!$D$14)*(1-EXP(-Constantes!$D$22)))</f>
        <v>2.8444757520794716E-8</v>
      </c>
      <c r="P141" s="170">
        <f>P140+(Entradas!$F$83*M141-Q140)/(800*Entradas!$D$25)</f>
        <v>0</v>
      </c>
      <c r="Q141" s="170">
        <f>8000*Entradas!$D$26*P141/Constantes!$F$45</f>
        <v>0</v>
      </c>
      <c r="R141" s="170">
        <f>IF(Escenarios!$F$14&gt;0,K141*Escenarios!$F$13/Escenarios!$F$14,0)</f>
        <v>0</v>
      </c>
      <c r="S141" s="170">
        <f>IF(Escenarios!$F$14&gt;0,Q141*Escenarios!$F$13/Escenarios!$F$14,0)</f>
        <v>0</v>
      </c>
      <c r="T141" s="170">
        <f>IF(Escenarios!$F$14&gt;0,Observaciones!$I140,0)</f>
        <v>0</v>
      </c>
      <c r="U141" s="170">
        <f>IF(Escenarios!$F$14&gt;0,MAX(0,Constantes!$F$36/((Z140+R141+S141+T141+Observaciones!$F140)^2)+Entradas!$F$77),0)</f>
        <v>0</v>
      </c>
      <c r="V141" s="146">
        <f>IF(ETo!D140&gt;0,ETo!I140*((1-Entradas!$F$81)*ETo!K140+ETo!L140),0)</f>
        <v>2.6009632862083656</v>
      </c>
      <c r="W141" s="170">
        <f>IF(Escenarios!$F$14&gt;0,MIN(V141*1,0.8*(Z140+R141+S141+T141+Observaciones!$F140-U141-Constantes!$F$35)),0)</f>
        <v>1.0240019048524119E-5</v>
      </c>
      <c r="X141" s="170">
        <f>IF(Escenarios!$F$14&gt;0,Observaciones!$J140,0)</f>
        <v>0</v>
      </c>
      <c r="Y141" s="170">
        <f>IF(Escenarios!$F$14&gt;0,MAX(0,Z140+R141+S141+T141+Observaciones!$F140-U141-W141-X141-Constantes!$F$33),0)</f>
        <v>0</v>
      </c>
      <c r="Z141" s="170">
        <f>Z140+R141+S141+T141+Observaciones!$F140-U141-W141-Y141</f>
        <v>41.250002560004759</v>
      </c>
      <c r="AA141" s="170">
        <f>IF(Escenarios!$F$14&gt;0,(Escenarios!$F$13*L141+Escenarios!$F$14*W141)/(Escenarios!$F$16),L141)</f>
        <v>4.7715641951526777E-6</v>
      </c>
      <c r="AB141" s="170">
        <f>IF(Escenarios!$F$14&gt;0,(Escenarios!$F$14*Y141)/(Escenarios!$F$16),K141)</f>
        <v>0</v>
      </c>
      <c r="AC141" s="170">
        <f>IF(Escenarios!$F$14&gt;0,(Escenarios!$F$13*M141+Escenarios!$F$14*U141)/(Escenarios!$F$16),M141)</f>
        <v>0</v>
      </c>
      <c r="AD141" s="76">
        <f t="shared" si="29"/>
        <v>121.88468614702984</v>
      </c>
      <c r="AE141" s="76">
        <f>MAX(0,(AD141-Constantes!$D$13)*(1-EXP(-Constantes!$D$23)))</f>
        <v>0.7206134819317902</v>
      </c>
      <c r="AF141" s="76">
        <f>AB141+O141*Escenarios!$F$13/Escenarios!$F$16+AE141</f>
        <v>0.72061350696317683</v>
      </c>
      <c r="AG141" s="76">
        <f>IF(Entradas!$F$91&gt;0,IF(AF141-Escenarios!$F$38&lt;=0,0,IF(AF141-Escenarios!$F$38&gt;Escenarios!$F$37,Escenarios!$F$37,AF141-Escenarios!$F$38)),0)</f>
        <v>0</v>
      </c>
      <c r="AH141" s="76">
        <f>AG141*Entradas!$F$99</f>
        <v>0</v>
      </c>
      <c r="AI141" s="76">
        <f>IF(Entradas!$F$91&gt;0,D141*Entradas!$D$23/Escenarios!$F$16,0)</f>
        <v>0.14257711262583653</v>
      </c>
      <c r="AJ141" s="76">
        <f>IF(Entradas!$F$91&gt;0,Entradas!$D$24*Entradas!$D$22/Escenarios!$F$16,0)</f>
        <v>0.12</v>
      </c>
      <c r="AK141" s="76">
        <f t="shared" si="30"/>
        <v>0.14258188419003168</v>
      </c>
      <c r="AL141" s="76">
        <f t="shared" si="31"/>
        <v>0</v>
      </c>
      <c r="AM141" s="76">
        <f t="shared" si="32"/>
        <v>0</v>
      </c>
      <c r="AN141" s="76">
        <f>MAX(0,O141*Escenarios!$F$13/Escenarios!$F$16-AM141)</f>
        <v>2.5031386618299351E-8</v>
      </c>
      <c r="AO141" s="76">
        <f>AM141+AN141-O141*Escenarios!$F$13/Escenarios!$F$16</f>
        <v>0</v>
      </c>
      <c r="AP141" s="76">
        <f t="shared" si="33"/>
        <v>0.7206134819317902</v>
      </c>
      <c r="AQ141" s="76">
        <f t="shared" si="34"/>
        <v>0</v>
      </c>
      <c r="AR141" s="76">
        <f t="shared" si="35"/>
        <v>0.72061350696317683</v>
      </c>
      <c r="AS141" s="76">
        <f t="shared" si="36"/>
        <v>0</v>
      </c>
      <c r="AT141" s="76">
        <f t="shared" si="37"/>
        <v>0</v>
      </c>
      <c r="AU141" s="76">
        <f t="shared" si="38"/>
        <v>54.949578125309728</v>
      </c>
      <c r="AV141" s="76">
        <f>MAX(0,(AU141-Constantes!$D$13)*(1-EXP(-Constantes!$D$24)))</f>
        <v>9.4762083347654874E-2</v>
      </c>
      <c r="AW141" s="170">
        <f>AW140+(Entradas!$F$112*AT141-AX140)/(800*Entradas!$D$25)</f>
        <v>0</v>
      </c>
      <c r="AX141" s="170">
        <f>8000*Entradas!$D$26*AW141/Constantes!$F$45</f>
        <v>0</v>
      </c>
      <c r="AY141" s="170">
        <f>IF(Escenarios!$F$17&gt;0,10*Escenarios!$F$16*AL141,0)</f>
        <v>0</v>
      </c>
      <c r="AZ141" s="170">
        <f>IF(Escenarios!$F$17&gt;0,10*Escenarios!$F$16*AX141,0)</f>
        <v>0</v>
      </c>
      <c r="BA141" s="170">
        <f>IF(Escenarios!$F$17&gt;0,0.001*Observaciones!$F140*Escenarios!$F$17,0)</f>
        <v>0</v>
      </c>
      <c r="BB141" s="170">
        <f>IF(Escenarios!$F$17&gt;0,Observaciones!$K140,0)</f>
        <v>0</v>
      </c>
      <c r="BC141" s="170">
        <f>IF(Escenarios!$F$17&gt;0,MIN(0.0005*ETo!$M140*Escenarios!$F$17*(BG140/Constantes!$F$40)^(2/3),BG140+AY141+AZ141+BA141+BB141),0)</f>
        <v>0</v>
      </c>
      <c r="BD141" s="170">
        <f>IF(Escenarios!$F$17&gt;0,MIN(Constantes!$F$39*(BG140/Constantes!$F$40)^(2/3),BG140+AY141+AZ141+BA141+BB141-BC141),0)</f>
        <v>0</v>
      </c>
      <c r="BE141" s="170">
        <f>IF(Escenarios!$F$17&gt;0,MIN(Entradas!$F$113,BG140+AY141+AZ141+BA141+BB141-BC141-BD141),0)</f>
        <v>0</v>
      </c>
      <c r="BF141" s="170">
        <f>IF(Escenarios!$F$17&gt;0,MAX(0,BG140+AY141+AZ141+BA141+BB141-BC141-BD141-BE141-Constantes!$F$40),0)</f>
        <v>0</v>
      </c>
      <c r="BG141" s="170">
        <f t="shared" si="39"/>
        <v>0</v>
      </c>
      <c r="BH141" s="170">
        <f>(Escenarios!$F$16*AK141+0.1*BC141)/(Escenarios!$F$19)</f>
        <v>0.14258188419003168</v>
      </c>
      <c r="BI141" s="170">
        <f>IF(Escenarios!$F$17&gt;0,BF141/10/Escenarios!$F$19,AL141)</f>
        <v>0</v>
      </c>
      <c r="BJ141" s="170">
        <f>(Escenarios!$F$16*AT141+0.1*BD141)/(Escenarios!$F$19)</f>
        <v>0</v>
      </c>
      <c r="BK141" s="76">
        <f>BK140+(0.1*BD141)/(Escenarios!$F$19)-BL140</f>
        <v>48.75</v>
      </c>
      <c r="BL141" s="76">
        <f>MAX(0,(BK141-Constantes!$D$13)*(1-EXP(-Constantes!$D$23)))</f>
        <v>0</v>
      </c>
      <c r="BM141" s="76">
        <f t="shared" si="40"/>
        <v>0.8153755652794451</v>
      </c>
      <c r="BN141" s="76">
        <f t="shared" si="41"/>
        <v>0.81537559031083173</v>
      </c>
      <c r="BO141" s="76">
        <f>0.0526*BI141*Observaciones!$F140^1.218</f>
        <v>0</v>
      </c>
      <c r="BP141" s="76">
        <f>BO141*Constantes!$F$51</f>
        <v>0</v>
      </c>
      <c r="BQ141" s="76">
        <f t="shared" si="42"/>
        <v>0</v>
      </c>
      <c r="BR141" s="40"/>
    </row>
    <row r="142" spans="2:70">
      <c r="B142" s="39"/>
      <c r="C142" s="75">
        <v>136</v>
      </c>
      <c r="D142" s="146">
        <f>ETo!$I141*((1-Constantes!$F$19)*ETo!$K141+ETo!$L141)</f>
        <v>2.888316216182564</v>
      </c>
      <c r="E142" s="76">
        <f>MIN(D142*Constantes!$F$17,0.8*(N141+Observaciones!$F141-F142-M142-Constantes!$D$14))</f>
        <v>6.6803739287024663E-7</v>
      </c>
      <c r="F142" s="76">
        <f>IF(Observaciones!$F141&gt;0.05*Constantes!$F$18,((Observaciones!$F141-0.05*Constantes!$F$18)^2)/(Observaciones!$F141+0.95*Constantes!$F$18),0)</f>
        <v>0</v>
      </c>
      <c r="G142" s="76">
        <f>IF(Escenarios!$F$11&gt;0,(F142*Escenarios!$F$16*10000)/1000,0)</f>
        <v>0</v>
      </c>
      <c r="H142" s="76">
        <f>IF(Escenarios!$F$11&gt;0,(Observaciones!$F141*Constantes!$F$29)/1000,0)</f>
        <v>0</v>
      </c>
      <c r="I142" s="76">
        <f>IF(Escenarios!$F$11&gt;0,(D142*Constantes!$F$29)/1000,0)</f>
        <v>0</v>
      </c>
      <c r="J142" s="76">
        <f>IF(Escenarios!$F$11&gt;0,MAX(0,G142+H142-I142),0)</f>
        <v>0</v>
      </c>
      <c r="K142" s="76">
        <f>IF(Escenarios!$F$11&gt;0,IF(J142&gt;Constantes!$F$30,1000*((J142-Constantes!$F$30)/(Escenarios!$F$16*10000)),0),F142)</f>
        <v>0</v>
      </c>
      <c r="L142" s="76">
        <f>IF(Escenarios!$F$11&gt;0,I142*1000/Escenarios!$F$16/10000+E142,E142)</f>
        <v>6.6803739287024663E-7</v>
      </c>
      <c r="M142" s="76">
        <f>MAX(0,N141+Observaciones!$F141-K142-Constantes!$D$13)</f>
        <v>0</v>
      </c>
      <c r="N142" s="76">
        <f>N141+Observaciones!$F141-K142-L142-M142-O141</f>
        <v>11.250000138564591</v>
      </c>
      <c r="O142" s="76">
        <f>MAX(0,(N142-Constantes!$D$14)*(1-EXP(-Constantes!$D$22)))</f>
        <v>4.7200186475046091E-9</v>
      </c>
      <c r="P142" s="170">
        <f>P141+(Entradas!$F$83*M142-Q141)/(800*Entradas!$D$25)</f>
        <v>0</v>
      </c>
      <c r="Q142" s="170">
        <f>8000*Entradas!$D$26*P142/Constantes!$F$45</f>
        <v>0</v>
      </c>
      <c r="R142" s="170">
        <f>IF(Escenarios!$F$14&gt;0,K142*Escenarios!$F$13/Escenarios!$F$14,0)</f>
        <v>0</v>
      </c>
      <c r="S142" s="170">
        <f>IF(Escenarios!$F$14&gt;0,Q142*Escenarios!$F$13/Escenarios!$F$14,0)</f>
        <v>0</v>
      </c>
      <c r="T142" s="170">
        <f>IF(Escenarios!$F$14&gt;0,Observaciones!$I141,0)</f>
        <v>0</v>
      </c>
      <c r="U142" s="170">
        <f>IF(Escenarios!$F$14&gt;0,MAX(0,Constantes!$F$36/((Z141+R142+S142+T142+Observaciones!$F141)^2)+Entradas!$F$77),0)</f>
        <v>0</v>
      </c>
      <c r="V142" s="146">
        <f>IF(ETo!D141&gt;0,ETo!I141*((1-Entradas!$F$81)*ETo!K141+ETo!L141),0)</f>
        <v>2.5277492252386637</v>
      </c>
      <c r="W142" s="170">
        <f>IF(Escenarios!$F$14&gt;0,MIN(V142*1,0.8*(Z141+R142+S142+T142+Observaciones!$F141-U142-Constantes!$F$35)),0)</f>
        <v>2.0480038074310869E-6</v>
      </c>
      <c r="X142" s="170">
        <f>IF(Escenarios!$F$14&gt;0,Observaciones!$J141,0)</f>
        <v>0</v>
      </c>
      <c r="Y142" s="170">
        <f>IF(Escenarios!$F$14&gt;0,MAX(0,Z141+R142+S142+T142+Observaciones!$F141-U142-W142-X142-Constantes!$F$33),0)</f>
        <v>0</v>
      </c>
      <c r="Z142" s="170">
        <f>Z141+R142+S142+T142+Observaciones!$F141-U142-W142-Y142</f>
        <v>41.250000512000952</v>
      </c>
      <c r="AA142" s="170">
        <f>IF(Escenarios!$F$14&gt;0,(Escenarios!$F$13*L142+Escenarios!$F$14*W142)/(Escenarios!$F$16),L142)</f>
        <v>8.3363336261754753E-7</v>
      </c>
      <c r="AB142" s="170">
        <f>IF(Escenarios!$F$14&gt;0,(Escenarios!$F$14*Y142)/(Escenarios!$F$16),K142)</f>
        <v>0</v>
      </c>
      <c r="AC142" s="170">
        <f>IF(Escenarios!$F$14&gt;0,(Escenarios!$F$13*M142+Escenarios!$F$14*U142)/(Escenarios!$F$16),M142)</f>
        <v>0</v>
      </c>
      <c r="AD142" s="76">
        <f t="shared" si="29"/>
        <v>121.16407266509805</v>
      </c>
      <c r="AE142" s="76">
        <f>MAX(0,(AD142-Constantes!$D$13)*(1-EXP(-Constantes!$D$23)))</f>
        <v>0.71351310565755699</v>
      </c>
      <c r="AF142" s="76">
        <f>AB142+O142*Escenarios!$F$13/Escenarios!$F$16+AE142</f>
        <v>0.71351310981117344</v>
      </c>
      <c r="AG142" s="76">
        <f>IF(Entradas!$F$91&gt;0,IF(AF142-Escenarios!$F$38&lt;=0,0,IF(AF142-Escenarios!$F$38&gt;Escenarios!$F$37,Escenarios!$F$37,AF142-Escenarios!$F$38)),0)</f>
        <v>0</v>
      </c>
      <c r="AH142" s="76">
        <f>AG142*Entradas!$F$99</f>
        <v>0</v>
      </c>
      <c r="AI142" s="76">
        <f>IF(Entradas!$F$91&gt;0,D142*Entradas!$D$23/Escenarios!$F$16,0)</f>
        <v>0.13863917837676309</v>
      </c>
      <c r="AJ142" s="76">
        <f>IF(Entradas!$F$91&gt;0,Entradas!$D$24*Entradas!$D$22/Escenarios!$F$16,0)</f>
        <v>0.12</v>
      </c>
      <c r="AK142" s="76">
        <f t="shared" si="30"/>
        <v>0.13864001201012571</v>
      </c>
      <c r="AL142" s="76">
        <f t="shared" si="31"/>
        <v>0</v>
      </c>
      <c r="AM142" s="76">
        <f t="shared" si="32"/>
        <v>0</v>
      </c>
      <c r="AN142" s="76">
        <f>MAX(0,O142*Escenarios!$F$13/Escenarios!$F$16-AM142)</f>
        <v>4.1536164098040561E-9</v>
      </c>
      <c r="AO142" s="76">
        <f>AM142+AN142-O142*Escenarios!$F$13/Escenarios!$F$16</f>
        <v>0</v>
      </c>
      <c r="AP142" s="76">
        <f t="shared" si="33"/>
        <v>0.71351310565755699</v>
      </c>
      <c r="AQ142" s="76">
        <f t="shared" si="34"/>
        <v>0</v>
      </c>
      <c r="AR142" s="76">
        <f t="shared" si="35"/>
        <v>0.71351310981117344</v>
      </c>
      <c r="AS142" s="76">
        <f t="shared" si="36"/>
        <v>0</v>
      </c>
      <c r="AT142" s="76">
        <f t="shared" si="37"/>
        <v>0</v>
      </c>
      <c r="AU142" s="76">
        <f t="shared" si="38"/>
        <v>54.854816041962074</v>
      </c>
      <c r="AV142" s="76">
        <f>MAX(0,(AU142-Constantes!$D$13)*(1-EXP(-Constantes!$D$24)))</f>
        <v>9.331362149123798E-2</v>
      </c>
      <c r="AW142" s="170">
        <f>AW141+(Entradas!$F$112*AT142-AX141)/(800*Entradas!$D$25)</f>
        <v>0</v>
      </c>
      <c r="AX142" s="170">
        <f>8000*Entradas!$D$26*AW142/Constantes!$F$45</f>
        <v>0</v>
      </c>
      <c r="AY142" s="170">
        <f>IF(Escenarios!$F$17&gt;0,10*Escenarios!$F$16*AL142,0)</f>
        <v>0</v>
      </c>
      <c r="AZ142" s="170">
        <f>IF(Escenarios!$F$17&gt;0,10*Escenarios!$F$16*AX142,0)</f>
        <v>0</v>
      </c>
      <c r="BA142" s="170">
        <f>IF(Escenarios!$F$17&gt;0,0.001*Observaciones!$F141*Escenarios!$F$17,0)</f>
        <v>0</v>
      </c>
      <c r="BB142" s="170">
        <f>IF(Escenarios!$F$17&gt;0,Observaciones!$K141,0)</f>
        <v>0</v>
      </c>
      <c r="BC142" s="170">
        <f>IF(Escenarios!$F$17&gt;0,MIN(0.0005*ETo!$M141*Escenarios!$F$17*(BG141/Constantes!$F$40)^(2/3),BG141+AY142+AZ142+BA142+BB142),0)</f>
        <v>0</v>
      </c>
      <c r="BD142" s="170">
        <f>IF(Escenarios!$F$17&gt;0,MIN(Constantes!$F$39*(BG141/Constantes!$F$40)^(2/3),BG141+AY142+AZ142+BA142+BB142-BC142),0)</f>
        <v>0</v>
      </c>
      <c r="BE142" s="170">
        <f>IF(Escenarios!$F$17&gt;0,MIN(Entradas!$F$113,BG141+AY142+AZ142+BA142+BB142-BC142-BD142),0)</f>
        <v>0</v>
      </c>
      <c r="BF142" s="170">
        <f>IF(Escenarios!$F$17&gt;0,MAX(0,BG141+AY142+AZ142+BA142+BB142-BC142-BD142-BE142-Constantes!$F$40),0)</f>
        <v>0</v>
      </c>
      <c r="BG142" s="170">
        <f t="shared" si="39"/>
        <v>0</v>
      </c>
      <c r="BH142" s="170">
        <f>(Escenarios!$F$16*AK142+0.1*BC142)/(Escenarios!$F$19)</f>
        <v>0.13864001201012571</v>
      </c>
      <c r="BI142" s="170">
        <f>IF(Escenarios!$F$17&gt;0,BF142/10/Escenarios!$F$19,AL142)</f>
        <v>0</v>
      </c>
      <c r="BJ142" s="170">
        <f>(Escenarios!$F$16*AT142+0.1*BD142)/(Escenarios!$F$19)</f>
        <v>0</v>
      </c>
      <c r="BK142" s="76">
        <f>BK141+(0.1*BD142)/(Escenarios!$F$19)-BL141</f>
        <v>48.75</v>
      </c>
      <c r="BL142" s="76">
        <f>MAX(0,(BK142-Constantes!$D$13)*(1-EXP(-Constantes!$D$23)))</f>
        <v>0</v>
      </c>
      <c r="BM142" s="76">
        <f t="shared" si="40"/>
        <v>0.806826727148795</v>
      </c>
      <c r="BN142" s="76">
        <f t="shared" si="41"/>
        <v>0.80682673130241145</v>
      </c>
      <c r="BO142" s="76">
        <f>0.0526*BI142*Observaciones!$F141^1.218</f>
        <v>0</v>
      </c>
      <c r="BP142" s="76">
        <f>BO142*Constantes!$F$51</f>
        <v>0</v>
      </c>
      <c r="BQ142" s="76">
        <f t="shared" si="42"/>
        <v>0</v>
      </c>
      <c r="BR142" s="40"/>
    </row>
    <row r="143" spans="2:70">
      <c r="B143" s="39"/>
      <c r="C143" s="75">
        <v>137</v>
      </c>
      <c r="D143" s="146">
        <f>ETo!$I142*((1-Constantes!$F$19)*ETo!$K142+ETo!$L142)</f>
        <v>2.916654323500901</v>
      </c>
      <c r="E143" s="76">
        <f>MIN(D143*Constantes!$F$17,0.8*(N142+Observaciones!$F142-F143-M143-Constantes!$D$14))</f>
        <v>1.1085167272995022E-7</v>
      </c>
      <c r="F143" s="76">
        <f>IF(Observaciones!$F142&gt;0.05*Constantes!$F$18,((Observaciones!$F142-0.05*Constantes!$F$18)^2)/(Observaciones!$F142+0.95*Constantes!$F$18),0)</f>
        <v>0</v>
      </c>
      <c r="G143" s="76">
        <f>IF(Escenarios!$F$11&gt;0,(F143*Escenarios!$F$16*10000)/1000,0)</f>
        <v>0</v>
      </c>
      <c r="H143" s="76">
        <f>IF(Escenarios!$F$11&gt;0,(Observaciones!$F142*Constantes!$F$29)/1000,0)</f>
        <v>0</v>
      </c>
      <c r="I143" s="76">
        <f>IF(Escenarios!$F$11&gt;0,(D143*Constantes!$F$29)/1000,0)</f>
        <v>0</v>
      </c>
      <c r="J143" s="76">
        <f>IF(Escenarios!$F$11&gt;0,MAX(0,G143+H143-I143),0)</f>
        <v>0</v>
      </c>
      <c r="K143" s="76">
        <f>IF(Escenarios!$F$11&gt;0,IF(J143&gt;Constantes!$F$30,1000*((J143-Constantes!$F$30)/(Escenarios!$F$16*10000)),0),F143)</f>
        <v>0</v>
      </c>
      <c r="L143" s="76">
        <f>IF(Escenarios!$F$11&gt;0,I143*1000/Escenarios!$F$16/10000+E143,E143)</f>
        <v>1.1085167272995022E-7</v>
      </c>
      <c r="M143" s="76">
        <f>MAX(0,N142+Observaciones!$F142-K143-Constantes!$D$13)</f>
        <v>0</v>
      </c>
      <c r="N143" s="76">
        <f>N142+Observaciones!$F142-K143-L143-M143-O142</f>
        <v>11.2500000229929</v>
      </c>
      <c r="O143" s="76">
        <f>MAX(0,(N143-Constantes!$D$14)*(1-EXP(-Constantes!$D$22)))</f>
        <v>7.8322258363080169E-10</v>
      </c>
      <c r="P143" s="170">
        <f>P142+(Entradas!$F$83*M143-Q142)/(800*Entradas!$D$25)</f>
        <v>0</v>
      </c>
      <c r="Q143" s="170">
        <f>8000*Entradas!$D$26*P143/Constantes!$F$45</f>
        <v>0</v>
      </c>
      <c r="R143" s="170">
        <f>IF(Escenarios!$F$14&gt;0,K143*Escenarios!$F$13/Escenarios!$F$14,0)</f>
        <v>0</v>
      </c>
      <c r="S143" s="170">
        <f>IF(Escenarios!$F$14&gt;0,Q143*Escenarios!$F$13/Escenarios!$F$14,0)</f>
        <v>0</v>
      </c>
      <c r="T143" s="170">
        <f>IF(Escenarios!$F$14&gt;0,Observaciones!$I142,0)</f>
        <v>0</v>
      </c>
      <c r="U143" s="170">
        <f>IF(Escenarios!$F$14&gt;0,MAX(0,Constantes!$F$36/((Z142+R143+S143+T143+Observaciones!$F142)^2)+Entradas!$F$77),0)</f>
        <v>0</v>
      </c>
      <c r="V143" s="146">
        <f>IF(ETo!D142&gt;0,ETo!I142*((1-Entradas!$F$81)*ETo!K142+ETo!L142),0)</f>
        <v>2.5523947111432075</v>
      </c>
      <c r="W143" s="170">
        <f>IF(Escenarios!$F$14&gt;0,MIN(V143*1,0.8*(Z142+R143+S143+T143+Observaciones!$F142-U143-Constantes!$F$35)),0)</f>
        <v>4.0960076148621742E-7</v>
      </c>
      <c r="X143" s="170">
        <f>IF(Escenarios!$F$14&gt;0,Observaciones!$J142,0)</f>
        <v>0</v>
      </c>
      <c r="Y143" s="170">
        <f>IF(Escenarios!$F$14&gt;0,MAX(0,Z142+R143+S143+T143+Observaciones!$F142-U143-W143-X143-Constantes!$F$33),0)</f>
        <v>0</v>
      </c>
      <c r="Z143" s="170">
        <f>Z142+R143+S143+T143+Observaciones!$F142-U143-W143-Y143</f>
        <v>41.250000102400193</v>
      </c>
      <c r="AA143" s="170">
        <f>IF(Escenarios!$F$14&gt;0,(Escenarios!$F$13*L143+Escenarios!$F$14*W143)/(Escenarios!$F$16),L143)</f>
        <v>1.4670156338070228E-7</v>
      </c>
      <c r="AB143" s="170">
        <f>IF(Escenarios!$F$14&gt;0,(Escenarios!$F$14*Y143)/(Escenarios!$F$16),K143)</f>
        <v>0</v>
      </c>
      <c r="AC143" s="170">
        <f>IF(Escenarios!$F$14&gt;0,(Escenarios!$F$13*M143+Escenarios!$F$14*U143)/(Escenarios!$F$16),M143)</f>
        <v>0</v>
      </c>
      <c r="AD143" s="76">
        <f t="shared" si="29"/>
        <v>120.45055955944049</v>
      </c>
      <c r="AE143" s="76">
        <f>MAX(0,(AD143-Constantes!$D$13)*(1-EXP(-Constantes!$D$23)))</f>
        <v>0.70648269108193185</v>
      </c>
      <c r="AF143" s="76">
        <f>AB143+O143*Escenarios!$F$13/Escenarios!$F$16+AE143</f>
        <v>0.70648269177116774</v>
      </c>
      <c r="AG143" s="76">
        <f>IF(Entradas!$F$91&gt;0,IF(AF143-Escenarios!$F$38&lt;=0,0,IF(AF143-Escenarios!$F$38&gt;Escenarios!$F$37,Escenarios!$F$37,AF143-Escenarios!$F$38)),0)</f>
        <v>0</v>
      </c>
      <c r="AH143" s="76">
        <f>AG143*Entradas!$F$99</f>
        <v>0</v>
      </c>
      <c r="AI143" s="76">
        <f>IF(Entradas!$F$91&gt;0,D143*Entradas!$D$23/Escenarios!$F$16,0)</f>
        <v>0.13999940752804327</v>
      </c>
      <c r="AJ143" s="76">
        <f>IF(Entradas!$F$91&gt;0,Entradas!$D$24*Entradas!$D$22/Escenarios!$F$16,0)</f>
        <v>0.12</v>
      </c>
      <c r="AK143" s="76">
        <f t="shared" si="30"/>
        <v>0.13999955422960664</v>
      </c>
      <c r="AL143" s="76">
        <f t="shared" si="31"/>
        <v>0</v>
      </c>
      <c r="AM143" s="76">
        <f t="shared" si="32"/>
        <v>0</v>
      </c>
      <c r="AN143" s="76">
        <f>MAX(0,O143*Escenarios!$F$13/Escenarios!$F$16-AM143)</f>
        <v>6.892358735951054E-10</v>
      </c>
      <c r="AO143" s="76">
        <f>AM143+AN143-O143*Escenarios!$F$13/Escenarios!$F$16</f>
        <v>0</v>
      </c>
      <c r="AP143" s="76">
        <f t="shared" si="33"/>
        <v>0.70648269108193185</v>
      </c>
      <c r="AQ143" s="76">
        <f t="shared" si="34"/>
        <v>0</v>
      </c>
      <c r="AR143" s="76">
        <f t="shared" si="35"/>
        <v>0.70648269177116774</v>
      </c>
      <c r="AS143" s="76">
        <f t="shared" si="36"/>
        <v>0</v>
      </c>
      <c r="AT143" s="76">
        <f t="shared" si="37"/>
        <v>0</v>
      </c>
      <c r="AU143" s="76">
        <f t="shared" si="38"/>
        <v>54.761502420470833</v>
      </c>
      <c r="AV143" s="76">
        <f>MAX(0,(AU143-Constantes!$D$13)*(1-EXP(-Constantes!$D$24)))</f>
        <v>9.1887299732161393E-2</v>
      </c>
      <c r="AW143" s="170">
        <f>AW142+(Entradas!$F$112*AT143-AX142)/(800*Entradas!$D$25)</f>
        <v>0</v>
      </c>
      <c r="AX143" s="170">
        <f>8000*Entradas!$D$26*AW143/Constantes!$F$45</f>
        <v>0</v>
      </c>
      <c r="AY143" s="170">
        <f>IF(Escenarios!$F$17&gt;0,10*Escenarios!$F$16*AL143,0)</f>
        <v>0</v>
      </c>
      <c r="AZ143" s="170">
        <f>IF(Escenarios!$F$17&gt;0,10*Escenarios!$F$16*AX143,0)</f>
        <v>0</v>
      </c>
      <c r="BA143" s="170">
        <f>IF(Escenarios!$F$17&gt;0,0.001*Observaciones!$F142*Escenarios!$F$17,0)</f>
        <v>0</v>
      </c>
      <c r="BB143" s="170">
        <f>IF(Escenarios!$F$17&gt;0,Observaciones!$K142,0)</f>
        <v>0</v>
      </c>
      <c r="BC143" s="170">
        <f>IF(Escenarios!$F$17&gt;0,MIN(0.0005*ETo!$M142*Escenarios!$F$17*(BG142/Constantes!$F$40)^(2/3),BG142+AY143+AZ143+BA143+BB143),0)</f>
        <v>0</v>
      </c>
      <c r="BD143" s="170">
        <f>IF(Escenarios!$F$17&gt;0,MIN(Constantes!$F$39*(BG142/Constantes!$F$40)^(2/3),BG142+AY143+AZ143+BA143+BB143-BC143),0)</f>
        <v>0</v>
      </c>
      <c r="BE143" s="170">
        <f>IF(Escenarios!$F$17&gt;0,MIN(Entradas!$F$113,BG142+AY143+AZ143+BA143+BB143-BC143-BD143),0)</f>
        <v>0</v>
      </c>
      <c r="BF143" s="170">
        <f>IF(Escenarios!$F$17&gt;0,MAX(0,BG142+AY143+AZ143+BA143+BB143-BC143-BD143-BE143-Constantes!$F$40),0)</f>
        <v>0</v>
      </c>
      <c r="BG143" s="170">
        <f t="shared" si="39"/>
        <v>0</v>
      </c>
      <c r="BH143" s="170">
        <f>(Escenarios!$F$16*AK143+0.1*BC143)/(Escenarios!$F$19)</f>
        <v>0.13999955422960664</v>
      </c>
      <c r="BI143" s="170">
        <f>IF(Escenarios!$F$17&gt;0,BF143/10/Escenarios!$F$19,AL143)</f>
        <v>0</v>
      </c>
      <c r="BJ143" s="170">
        <f>(Escenarios!$F$16*AT143+0.1*BD143)/(Escenarios!$F$19)</f>
        <v>0</v>
      </c>
      <c r="BK143" s="76">
        <f>BK142+(0.1*BD143)/(Escenarios!$F$19)-BL142</f>
        <v>48.75</v>
      </c>
      <c r="BL143" s="76">
        <f>MAX(0,(BK143-Constantes!$D$13)*(1-EXP(-Constantes!$D$23)))</f>
        <v>0</v>
      </c>
      <c r="BM143" s="76">
        <f t="shared" si="40"/>
        <v>0.79836999081409321</v>
      </c>
      <c r="BN143" s="76">
        <f t="shared" si="41"/>
        <v>0.7983699915033291</v>
      </c>
      <c r="BO143" s="76">
        <f>0.0526*BI143*Observaciones!$F142^1.218</f>
        <v>0</v>
      </c>
      <c r="BP143" s="76">
        <f>BO143*Constantes!$F$51</f>
        <v>0</v>
      </c>
      <c r="BQ143" s="76">
        <f t="shared" si="42"/>
        <v>0</v>
      </c>
      <c r="BR143" s="40"/>
    </row>
    <row r="144" spans="2:70">
      <c r="B144" s="39"/>
      <c r="C144" s="75">
        <v>138</v>
      </c>
      <c r="D144" s="146">
        <f>ETo!$I143*((1-Constantes!$F$19)*ETo!$K143+ETo!$L143)</f>
        <v>2.9251302413845983</v>
      </c>
      <c r="E144" s="76">
        <f>MIN(D144*Constantes!$F$17,0.8*(N143+Observaciones!$F143-F144-M144-Constantes!$D$14))</f>
        <v>1.8394320022707691E-8</v>
      </c>
      <c r="F144" s="76">
        <f>IF(Observaciones!$F143&gt;0.05*Constantes!$F$18,((Observaciones!$F143-0.05*Constantes!$F$18)^2)/(Observaciones!$F143+0.95*Constantes!$F$18),0)</f>
        <v>0</v>
      </c>
      <c r="G144" s="76">
        <f>IF(Escenarios!$F$11&gt;0,(F144*Escenarios!$F$16*10000)/1000,0)</f>
        <v>0</v>
      </c>
      <c r="H144" s="76">
        <f>IF(Escenarios!$F$11&gt;0,(Observaciones!$F143*Constantes!$F$29)/1000,0)</f>
        <v>0</v>
      </c>
      <c r="I144" s="76">
        <f>IF(Escenarios!$F$11&gt;0,(D144*Constantes!$F$29)/1000,0)</f>
        <v>0</v>
      </c>
      <c r="J144" s="76">
        <f>IF(Escenarios!$F$11&gt;0,MAX(0,G144+H144-I144),0)</f>
        <v>0</v>
      </c>
      <c r="K144" s="76">
        <f>IF(Escenarios!$F$11&gt;0,IF(J144&gt;Constantes!$F$30,1000*((J144-Constantes!$F$30)/(Escenarios!$F$16*10000)),0),F144)</f>
        <v>0</v>
      </c>
      <c r="L144" s="76">
        <f>IF(Escenarios!$F$11&gt;0,I144*1000/Escenarios!$F$16/10000+E144,E144)</f>
        <v>1.8394320022707691E-8</v>
      </c>
      <c r="M144" s="76">
        <f>MAX(0,N143+Observaciones!$F143-K144-Constantes!$D$13)</f>
        <v>0</v>
      </c>
      <c r="N144" s="76">
        <f>N143+Observaciones!$F143-K144-L144-M144-O143</f>
        <v>11.250000003815357</v>
      </c>
      <c r="O144" s="76">
        <f>MAX(0,(N144-Constantes!$D$14)*(1-EXP(-Constantes!$D$22)))</f>
        <v>1.2996506313300983E-10</v>
      </c>
      <c r="P144" s="170">
        <f>P143+(Entradas!$F$83*M144-Q143)/(800*Entradas!$D$25)</f>
        <v>0</v>
      </c>
      <c r="Q144" s="170">
        <f>8000*Entradas!$D$26*P144/Constantes!$F$45</f>
        <v>0</v>
      </c>
      <c r="R144" s="170">
        <f>IF(Escenarios!$F$14&gt;0,K144*Escenarios!$F$13/Escenarios!$F$14,0)</f>
        <v>0</v>
      </c>
      <c r="S144" s="170">
        <f>IF(Escenarios!$F$14&gt;0,Q144*Escenarios!$F$13/Escenarios!$F$14,0)</f>
        <v>0</v>
      </c>
      <c r="T144" s="170">
        <f>IF(Escenarios!$F$14&gt;0,Observaciones!$I143,0)</f>
        <v>0</v>
      </c>
      <c r="U144" s="170">
        <f>IF(Escenarios!$F$14&gt;0,MAX(0,Constantes!$F$36/((Z143+R144+S144+T144+Observaciones!$F143)^2)+Entradas!$F$77),0)</f>
        <v>0</v>
      </c>
      <c r="V144" s="146">
        <f>IF(ETo!D143&gt;0,ETo!I143*((1-Entradas!$F$81)*ETo!K143+ETo!L143),0)</f>
        <v>2.5594808081953753</v>
      </c>
      <c r="W144" s="170">
        <f>IF(Escenarios!$F$14&gt;0,MIN(V144*1,0.8*(Z143+R144+S144+T144+Observaciones!$F143-U144-Constantes!$F$35)),0)</f>
        <v>8.1920154570980236E-8</v>
      </c>
      <c r="X144" s="170">
        <f>IF(Escenarios!$F$14&gt;0,Observaciones!$J143,0)</f>
        <v>0</v>
      </c>
      <c r="Y144" s="170">
        <f>IF(Escenarios!$F$14&gt;0,MAX(0,Z143+R144+S144+T144+Observaciones!$F143-U144-W144-X144-Constantes!$F$33),0)</f>
        <v>0</v>
      </c>
      <c r="Z144" s="170">
        <f>Z143+R144+S144+T144+Observaciones!$F143-U144-W144-Y144</f>
        <v>41.250000020480037</v>
      </c>
      <c r="AA144" s="170">
        <f>IF(Escenarios!$F$14&gt;0,(Escenarios!$F$13*L144+Escenarios!$F$14*W144)/(Escenarios!$F$16),L144)</f>
        <v>2.6017420168500395E-8</v>
      </c>
      <c r="AB144" s="170">
        <f>IF(Escenarios!$F$14&gt;0,(Escenarios!$F$14*Y144)/(Escenarios!$F$16),K144)</f>
        <v>0</v>
      </c>
      <c r="AC144" s="170">
        <f>IF(Escenarios!$F$14&gt;0,(Escenarios!$F$13*M144+Escenarios!$F$14*U144)/(Escenarios!$F$16),M144)</f>
        <v>0</v>
      </c>
      <c r="AD144" s="76">
        <f t="shared" si="29"/>
        <v>119.74407686835856</v>
      </c>
      <c r="AE144" s="76">
        <f>MAX(0,(AD144-Constantes!$D$13)*(1-EXP(-Constantes!$D$23)))</f>
        <v>0.69952154885563445</v>
      </c>
      <c r="AF144" s="76">
        <f>AB144+O144*Escenarios!$F$13/Escenarios!$F$16+AE144</f>
        <v>0.69952154897000374</v>
      </c>
      <c r="AG144" s="76">
        <f>IF(Entradas!$F$91&gt;0,IF(AF144-Escenarios!$F$38&lt;=0,0,IF(AF144-Escenarios!$F$38&gt;Escenarios!$F$37,Escenarios!$F$37,AF144-Escenarios!$F$38)),0)</f>
        <v>0</v>
      </c>
      <c r="AH144" s="76">
        <f>AG144*Entradas!$F$99</f>
        <v>0</v>
      </c>
      <c r="AI144" s="76">
        <f>IF(Entradas!$F$91&gt;0,D144*Entradas!$D$23/Escenarios!$F$16,0)</f>
        <v>0.14040625158646072</v>
      </c>
      <c r="AJ144" s="76">
        <f>IF(Entradas!$F$91&gt;0,Entradas!$D$24*Entradas!$D$22/Escenarios!$F$16,0)</f>
        <v>0.12</v>
      </c>
      <c r="AK144" s="76">
        <f t="shared" si="30"/>
        <v>0.14040627760388089</v>
      </c>
      <c r="AL144" s="76">
        <f t="shared" si="31"/>
        <v>0</v>
      </c>
      <c r="AM144" s="76">
        <f t="shared" si="32"/>
        <v>0</v>
      </c>
      <c r="AN144" s="76">
        <f>MAX(0,O144*Escenarios!$F$13/Escenarios!$F$16-AM144)</f>
        <v>1.1436925555704866E-10</v>
      </c>
      <c r="AO144" s="76">
        <f>AM144+AN144-O144*Escenarios!$F$13/Escenarios!$F$16</f>
        <v>0</v>
      </c>
      <c r="AP144" s="76">
        <f t="shared" si="33"/>
        <v>0.69952154885563445</v>
      </c>
      <c r="AQ144" s="76">
        <f t="shared" si="34"/>
        <v>0</v>
      </c>
      <c r="AR144" s="76">
        <f t="shared" si="35"/>
        <v>0.69952154897000374</v>
      </c>
      <c r="AS144" s="76">
        <f t="shared" si="36"/>
        <v>0</v>
      </c>
      <c r="AT144" s="76">
        <f t="shared" si="37"/>
        <v>0</v>
      </c>
      <c r="AU144" s="76">
        <f t="shared" si="38"/>
        <v>54.669615120738669</v>
      </c>
      <c r="AV144" s="76">
        <f>MAX(0,(AU144-Constantes!$D$13)*(1-EXP(-Constantes!$D$24)))</f>
        <v>9.0482779653567283E-2</v>
      </c>
      <c r="AW144" s="170">
        <f>AW143+(Entradas!$F$112*AT144-AX143)/(800*Entradas!$D$25)</f>
        <v>0</v>
      </c>
      <c r="AX144" s="170">
        <f>8000*Entradas!$D$26*AW144/Constantes!$F$45</f>
        <v>0</v>
      </c>
      <c r="AY144" s="170">
        <f>IF(Escenarios!$F$17&gt;0,10*Escenarios!$F$16*AL144,0)</f>
        <v>0</v>
      </c>
      <c r="AZ144" s="170">
        <f>IF(Escenarios!$F$17&gt;0,10*Escenarios!$F$16*AX144,0)</f>
        <v>0</v>
      </c>
      <c r="BA144" s="170">
        <f>IF(Escenarios!$F$17&gt;0,0.001*Observaciones!$F143*Escenarios!$F$17,0)</f>
        <v>0</v>
      </c>
      <c r="BB144" s="170">
        <f>IF(Escenarios!$F$17&gt;0,Observaciones!$K143,0)</f>
        <v>0</v>
      </c>
      <c r="BC144" s="170">
        <f>IF(Escenarios!$F$17&gt;0,MIN(0.0005*ETo!$M143*Escenarios!$F$17*(BG143/Constantes!$F$40)^(2/3),BG143+AY144+AZ144+BA144+BB144),0)</f>
        <v>0</v>
      </c>
      <c r="BD144" s="170">
        <f>IF(Escenarios!$F$17&gt;0,MIN(Constantes!$F$39*(BG143/Constantes!$F$40)^(2/3),BG143+AY144+AZ144+BA144+BB144-BC144),0)</f>
        <v>0</v>
      </c>
      <c r="BE144" s="170">
        <f>IF(Escenarios!$F$17&gt;0,MIN(Entradas!$F$113,BG143+AY144+AZ144+BA144+BB144-BC144-BD144),0)</f>
        <v>0</v>
      </c>
      <c r="BF144" s="170">
        <f>IF(Escenarios!$F$17&gt;0,MAX(0,BG143+AY144+AZ144+BA144+BB144-BC144-BD144-BE144-Constantes!$F$40),0)</f>
        <v>0</v>
      </c>
      <c r="BG144" s="170">
        <f t="shared" si="39"/>
        <v>0</v>
      </c>
      <c r="BH144" s="170">
        <f>(Escenarios!$F$16*AK144+0.1*BC144)/(Escenarios!$F$19)</f>
        <v>0.14040627760388089</v>
      </c>
      <c r="BI144" s="170">
        <f>IF(Escenarios!$F$17&gt;0,BF144/10/Escenarios!$F$19,AL144)</f>
        <v>0</v>
      </c>
      <c r="BJ144" s="170">
        <f>(Escenarios!$F$16*AT144+0.1*BD144)/(Escenarios!$F$19)</f>
        <v>0</v>
      </c>
      <c r="BK144" s="76">
        <f>BK143+(0.1*BD144)/(Escenarios!$F$19)-BL143</f>
        <v>48.75</v>
      </c>
      <c r="BL144" s="76">
        <f>MAX(0,(BK144-Constantes!$D$13)*(1-EXP(-Constantes!$D$23)))</f>
        <v>0</v>
      </c>
      <c r="BM144" s="76">
        <f t="shared" si="40"/>
        <v>0.79000432850920177</v>
      </c>
      <c r="BN144" s="76">
        <f t="shared" si="41"/>
        <v>0.79000432862357106</v>
      </c>
      <c r="BO144" s="76">
        <f>0.0526*BI144*Observaciones!$F143^1.218</f>
        <v>0</v>
      </c>
      <c r="BP144" s="76">
        <f>BO144*Constantes!$F$51</f>
        <v>0</v>
      </c>
      <c r="BQ144" s="76">
        <f t="shared" si="42"/>
        <v>0</v>
      </c>
      <c r="BR144" s="40"/>
    </row>
    <row r="145" spans="2:70">
      <c r="B145" s="39"/>
      <c r="C145" s="75">
        <v>139</v>
      </c>
      <c r="D145" s="146">
        <f>ETo!$I144*((1-Constantes!$F$19)*ETo!$K144+ETo!$L144)</f>
        <v>2.8448207704253488</v>
      </c>
      <c r="E145" s="76">
        <f>MIN(D145*Constantes!$F$17,0.8*(N144+Observaciones!$F144-F145-M145-Constantes!$D$14))</f>
        <v>3.05228553543202E-9</v>
      </c>
      <c r="F145" s="76">
        <f>IF(Observaciones!$F144&gt;0.05*Constantes!$F$18,((Observaciones!$F144-0.05*Constantes!$F$18)^2)/(Observaciones!$F144+0.95*Constantes!$F$18),0)</f>
        <v>0</v>
      </c>
      <c r="G145" s="76">
        <f>IF(Escenarios!$F$11&gt;0,(F145*Escenarios!$F$16*10000)/1000,0)</f>
        <v>0</v>
      </c>
      <c r="H145" s="76">
        <f>IF(Escenarios!$F$11&gt;0,(Observaciones!$F144*Constantes!$F$29)/1000,0)</f>
        <v>0</v>
      </c>
      <c r="I145" s="76">
        <f>IF(Escenarios!$F$11&gt;0,(D145*Constantes!$F$29)/1000,0)</f>
        <v>0</v>
      </c>
      <c r="J145" s="76">
        <f>IF(Escenarios!$F$11&gt;0,MAX(0,G145+H145-I145),0)</f>
        <v>0</v>
      </c>
      <c r="K145" s="76">
        <f>IF(Escenarios!$F$11&gt;0,IF(J145&gt;Constantes!$F$30,1000*((J145-Constantes!$F$30)/(Escenarios!$F$16*10000)),0),F145)</f>
        <v>0</v>
      </c>
      <c r="L145" s="76">
        <f>IF(Escenarios!$F$11&gt;0,I145*1000/Escenarios!$F$16/10000+E145,E145)</f>
        <v>3.05228553543202E-9</v>
      </c>
      <c r="M145" s="76">
        <f>MAX(0,N144+Observaciones!$F144-K145-Constantes!$D$13)</f>
        <v>0</v>
      </c>
      <c r="N145" s="76">
        <f>N144+Observaciones!$F144-K145-L145-M145-O144</f>
        <v>11.250000000633106</v>
      </c>
      <c r="O145" s="76">
        <f>MAX(0,(N145-Constantes!$D$14)*(1-EXP(-Constantes!$D$22)))</f>
        <v>2.1565914950518835E-11</v>
      </c>
      <c r="P145" s="170">
        <f>P144+(Entradas!$F$83*M145-Q144)/(800*Entradas!$D$25)</f>
        <v>0</v>
      </c>
      <c r="Q145" s="170">
        <f>8000*Entradas!$D$26*P145/Constantes!$F$45</f>
        <v>0</v>
      </c>
      <c r="R145" s="170">
        <f>IF(Escenarios!$F$14&gt;0,K145*Escenarios!$F$13/Escenarios!$F$14,0)</f>
        <v>0</v>
      </c>
      <c r="S145" s="170">
        <f>IF(Escenarios!$F$14&gt;0,Q145*Escenarios!$F$13/Escenarios!$F$14,0)</f>
        <v>0</v>
      </c>
      <c r="T145" s="170">
        <f>IF(Escenarios!$F$14&gt;0,Observaciones!$I144,0)</f>
        <v>0</v>
      </c>
      <c r="U145" s="170">
        <f>IF(Escenarios!$F$14&gt;0,MAX(0,Constantes!$F$36/((Z144+R145+S145+T145+Observaciones!$F144)^2)+Entradas!$F$77),0)</f>
        <v>0</v>
      </c>
      <c r="V145" s="146">
        <f>IF(ETo!D144&gt;0,ETo!I144*((1-Entradas!$F$81)*ETo!K144+ETo!L144),0)</f>
        <v>2.4878542967752701</v>
      </c>
      <c r="W145" s="170">
        <f>IF(Escenarios!$F$14&gt;0,MIN(V145*1,0.8*(Z144+R145+S145+T145+Observaciones!$F144-U145-Constantes!$F$35)),0)</f>
        <v>1.638402977732767E-8</v>
      </c>
      <c r="X145" s="170">
        <f>IF(Escenarios!$F$14&gt;0,Observaciones!$J144,0)</f>
        <v>0</v>
      </c>
      <c r="Y145" s="170">
        <f>IF(Escenarios!$F$14&gt;0,MAX(0,Z144+R145+S145+T145+Observaciones!$F144-U145-W145-X145-Constantes!$F$33),0)</f>
        <v>0</v>
      </c>
      <c r="Z145" s="170">
        <f>Z144+R145+S145+T145+Observaciones!$F144-U145-W145-Y145</f>
        <v>41.250000004096009</v>
      </c>
      <c r="AA145" s="170">
        <f>IF(Escenarios!$F$14&gt;0,(Escenarios!$F$13*L145+Escenarios!$F$14*W145)/(Escenarios!$F$16),L145)</f>
        <v>4.6520948444594976E-9</v>
      </c>
      <c r="AB145" s="170">
        <f>IF(Escenarios!$F$14&gt;0,(Escenarios!$F$14*Y145)/(Escenarios!$F$16),K145)</f>
        <v>0</v>
      </c>
      <c r="AC145" s="170">
        <f>IF(Escenarios!$F$14&gt;0,(Escenarios!$F$13*M145+Escenarios!$F$14*U145)/(Escenarios!$F$16),M145)</f>
        <v>0</v>
      </c>
      <c r="AD145" s="76">
        <f t="shared" si="29"/>
        <v>119.04455531950293</v>
      </c>
      <c r="AE145" s="76">
        <f>MAX(0,(AD145-Constantes!$D$13)*(1-EXP(-Constantes!$D$23)))</f>
        <v>0.69262899642170783</v>
      </c>
      <c r="AF145" s="76">
        <f>AB145+O145*Escenarios!$F$13/Escenarios!$F$16+AE145</f>
        <v>0.69262899644068587</v>
      </c>
      <c r="AG145" s="76">
        <f>IF(Entradas!$F$91&gt;0,IF(AF145-Escenarios!$F$38&lt;=0,0,IF(AF145-Escenarios!$F$38&gt;Escenarios!$F$37,Escenarios!$F$37,AF145-Escenarios!$F$38)),0)</f>
        <v>0</v>
      </c>
      <c r="AH145" s="76">
        <f>AG145*Entradas!$F$99</f>
        <v>0</v>
      </c>
      <c r="AI145" s="76">
        <f>IF(Entradas!$F$91&gt;0,D145*Entradas!$D$23/Escenarios!$F$16,0)</f>
        <v>0.13655139698041674</v>
      </c>
      <c r="AJ145" s="76">
        <f>IF(Entradas!$F$91&gt;0,Entradas!$D$24*Entradas!$D$22/Escenarios!$F$16,0)</f>
        <v>0.12</v>
      </c>
      <c r="AK145" s="76">
        <f t="shared" si="30"/>
        <v>0.13655140163251159</v>
      </c>
      <c r="AL145" s="76">
        <f t="shared" si="31"/>
        <v>0</v>
      </c>
      <c r="AM145" s="76">
        <f t="shared" si="32"/>
        <v>0</v>
      </c>
      <c r="AN145" s="76">
        <f>MAX(0,O145*Escenarios!$F$13/Escenarios!$F$16-AM145)</f>
        <v>1.8978005156456577E-11</v>
      </c>
      <c r="AO145" s="76">
        <f>AM145+AN145-O145*Escenarios!$F$13/Escenarios!$F$16</f>
        <v>0</v>
      </c>
      <c r="AP145" s="76">
        <f t="shared" si="33"/>
        <v>0.69262899642170783</v>
      </c>
      <c r="AQ145" s="76">
        <f t="shared" si="34"/>
        <v>0</v>
      </c>
      <c r="AR145" s="76">
        <f t="shared" si="35"/>
        <v>0.69262899644068587</v>
      </c>
      <c r="AS145" s="76">
        <f t="shared" si="36"/>
        <v>0</v>
      </c>
      <c r="AT145" s="76">
        <f t="shared" si="37"/>
        <v>0</v>
      </c>
      <c r="AU145" s="76">
        <f t="shared" si="38"/>
        <v>54.579132341085099</v>
      </c>
      <c r="AV145" s="76">
        <f>MAX(0,(AU145-Constantes!$D$13)*(1-EXP(-Constantes!$D$24)))</f>
        <v>8.909972801138305E-2</v>
      </c>
      <c r="AW145" s="170">
        <f>AW144+(Entradas!$F$112*AT145-AX144)/(800*Entradas!$D$25)</f>
        <v>0</v>
      </c>
      <c r="AX145" s="170">
        <f>8000*Entradas!$D$26*AW145/Constantes!$F$45</f>
        <v>0</v>
      </c>
      <c r="AY145" s="170">
        <f>IF(Escenarios!$F$17&gt;0,10*Escenarios!$F$16*AL145,0)</f>
        <v>0</v>
      </c>
      <c r="AZ145" s="170">
        <f>IF(Escenarios!$F$17&gt;0,10*Escenarios!$F$16*AX145,0)</f>
        <v>0</v>
      </c>
      <c r="BA145" s="170">
        <f>IF(Escenarios!$F$17&gt;0,0.001*Observaciones!$F144*Escenarios!$F$17,0)</f>
        <v>0</v>
      </c>
      <c r="BB145" s="170">
        <f>IF(Escenarios!$F$17&gt;0,Observaciones!$K144,0)</f>
        <v>0</v>
      </c>
      <c r="BC145" s="170">
        <f>IF(Escenarios!$F$17&gt;0,MIN(0.0005*ETo!$M144*Escenarios!$F$17*(BG144/Constantes!$F$40)^(2/3),BG144+AY145+AZ145+BA145+BB145),0)</f>
        <v>0</v>
      </c>
      <c r="BD145" s="170">
        <f>IF(Escenarios!$F$17&gt;0,MIN(Constantes!$F$39*(BG144/Constantes!$F$40)^(2/3),BG144+AY145+AZ145+BA145+BB145-BC145),0)</f>
        <v>0</v>
      </c>
      <c r="BE145" s="170">
        <f>IF(Escenarios!$F$17&gt;0,MIN(Entradas!$F$113,BG144+AY145+AZ145+BA145+BB145-BC145-BD145),0)</f>
        <v>0</v>
      </c>
      <c r="BF145" s="170">
        <f>IF(Escenarios!$F$17&gt;0,MAX(0,BG144+AY145+AZ145+BA145+BB145-BC145-BD145-BE145-Constantes!$F$40),0)</f>
        <v>0</v>
      </c>
      <c r="BG145" s="170">
        <f t="shared" si="39"/>
        <v>0</v>
      </c>
      <c r="BH145" s="170">
        <f>(Escenarios!$F$16*AK145+0.1*BC145)/(Escenarios!$F$19)</f>
        <v>0.13655140163251159</v>
      </c>
      <c r="BI145" s="170">
        <f>IF(Escenarios!$F$17&gt;0,BF145/10/Escenarios!$F$19,AL145)</f>
        <v>0</v>
      </c>
      <c r="BJ145" s="170">
        <f>(Escenarios!$F$16*AT145+0.1*BD145)/(Escenarios!$F$19)</f>
        <v>0</v>
      </c>
      <c r="BK145" s="76">
        <f>BK144+(0.1*BD145)/(Escenarios!$F$19)-BL144</f>
        <v>48.75</v>
      </c>
      <c r="BL145" s="76">
        <f>MAX(0,(BK145-Constantes!$D$13)*(1-EXP(-Constantes!$D$23)))</f>
        <v>0</v>
      </c>
      <c r="BM145" s="76">
        <f t="shared" si="40"/>
        <v>0.78172872443309083</v>
      </c>
      <c r="BN145" s="76">
        <f t="shared" si="41"/>
        <v>0.78172872445206898</v>
      </c>
      <c r="BO145" s="76">
        <f>0.0526*BI145*Observaciones!$F144^1.218</f>
        <v>0</v>
      </c>
      <c r="BP145" s="76">
        <f>BO145*Constantes!$F$51</f>
        <v>0</v>
      </c>
      <c r="BQ145" s="76">
        <f t="shared" si="42"/>
        <v>0</v>
      </c>
      <c r="BR145" s="40"/>
    </row>
    <row r="146" spans="2:70">
      <c r="B146" s="39"/>
      <c r="C146" s="75">
        <v>140</v>
      </c>
      <c r="D146" s="146">
        <f>ETo!$I145*((1-Constantes!$F$19)*ETo!$K145+ETo!$L145)</f>
        <v>2.922699097110709</v>
      </c>
      <c r="E146" s="76">
        <f>MIN(D146*Constantes!$F$17,0.8*(N145+Observaciones!$F145-F146-M146-Constantes!$D$14))</f>
        <v>5.0648480964810012E-10</v>
      </c>
      <c r="F146" s="76">
        <f>IF(Observaciones!$F145&gt;0.05*Constantes!$F$18,((Observaciones!$F145-0.05*Constantes!$F$18)^2)/(Observaciones!$F145+0.95*Constantes!$F$18),0)</f>
        <v>0</v>
      </c>
      <c r="G146" s="76">
        <f>IF(Escenarios!$F$11&gt;0,(F146*Escenarios!$F$16*10000)/1000,0)</f>
        <v>0</v>
      </c>
      <c r="H146" s="76">
        <f>IF(Escenarios!$F$11&gt;0,(Observaciones!$F145*Constantes!$F$29)/1000,0)</f>
        <v>0</v>
      </c>
      <c r="I146" s="76">
        <f>IF(Escenarios!$F$11&gt;0,(D146*Constantes!$F$29)/1000,0)</f>
        <v>0</v>
      </c>
      <c r="J146" s="76">
        <f>IF(Escenarios!$F$11&gt;0,MAX(0,G146+H146-I146),0)</f>
        <v>0</v>
      </c>
      <c r="K146" s="76">
        <f>IF(Escenarios!$F$11&gt;0,IF(J146&gt;Constantes!$F$30,1000*((J146-Constantes!$F$30)/(Escenarios!$F$16*10000)),0),F146)</f>
        <v>0</v>
      </c>
      <c r="L146" s="76">
        <f>IF(Escenarios!$F$11&gt;0,I146*1000/Escenarios!$F$16/10000+E146,E146)</f>
        <v>5.0648480964810012E-10</v>
      </c>
      <c r="M146" s="76">
        <f>MAX(0,N145+Observaciones!$F145-K146-Constantes!$D$13)</f>
        <v>0</v>
      </c>
      <c r="N146" s="76">
        <f>N145+Observaciones!$F145-K146-L146-M146-O145</f>
        <v>11.250000000105054</v>
      </c>
      <c r="O146" s="76">
        <f>MAX(0,(N146-Constantes!$D$14)*(1-EXP(-Constantes!$D$22)))</f>
        <v>3.5785161631889496E-12</v>
      </c>
      <c r="P146" s="170">
        <f>P145+(Entradas!$F$83*M146-Q145)/(800*Entradas!$D$25)</f>
        <v>0</v>
      </c>
      <c r="Q146" s="170">
        <f>8000*Entradas!$D$26*P146/Constantes!$F$45</f>
        <v>0</v>
      </c>
      <c r="R146" s="170">
        <f>IF(Escenarios!$F$14&gt;0,K146*Escenarios!$F$13/Escenarios!$F$14,0)</f>
        <v>0</v>
      </c>
      <c r="S146" s="170">
        <f>IF(Escenarios!$F$14&gt;0,Q146*Escenarios!$F$13/Escenarios!$F$14,0)</f>
        <v>0</v>
      </c>
      <c r="T146" s="170">
        <f>IF(Escenarios!$F$14&gt;0,Observaciones!$I145,0)</f>
        <v>0</v>
      </c>
      <c r="U146" s="170">
        <f>IF(Escenarios!$F$14&gt;0,MAX(0,Constantes!$F$36/((Z145+R146+S146+T146+Observaciones!$F145)^2)+Entradas!$F$77),0)</f>
        <v>0</v>
      </c>
      <c r="V146" s="146">
        <f>IF(ETo!D145&gt;0,ETo!I145*((1-Entradas!$F$81)*ETo!K145+ETo!L145),0)</f>
        <v>2.5564967487772146</v>
      </c>
      <c r="W146" s="170">
        <f>IF(Escenarios!$F$14&gt;0,MIN(V146*1,0.8*(Z145+R146+S146+T146+Observaciones!$F145-U146-Constantes!$F$35)),0)</f>
        <v>3.2768070923339112E-9</v>
      </c>
      <c r="X146" s="170">
        <f>IF(Escenarios!$F$14&gt;0,Observaciones!$J145,0)</f>
        <v>0</v>
      </c>
      <c r="Y146" s="170">
        <f>IF(Escenarios!$F$14&gt;0,MAX(0,Z145+R146+S146+T146+Observaciones!$F145-U146-W146-X146-Constantes!$F$33),0)</f>
        <v>0</v>
      </c>
      <c r="Z146" s="170">
        <f>Z145+R146+S146+T146+Observaciones!$F145-U146-W146-Y146</f>
        <v>41.250000000819199</v>
      </c>
      <c r="AA146" s="170">
        <f>IF(Escenarios!$F$14&gt;0,(Escenarios!$F$13*L146+Escenarios!$F$14*W146)/(Escenarios!$F$16),L146)</f>
        <v>8.3892348357039745E-10</v>
      </c>
      <c r="AB146" s="170">
        <f>IF(Escenarios!$F$14&gt;0,(Escenarios!$F$14*Y146)/(Escenarios!$F$16),K146)</f>
        <v>0</v>
      </c>
      <c r="AC146" s="170">
        <f>IF(Escenarios!$F$14&gt;0,(Escenarios!$F$13*M146+Escenarios!$F$14*U146)/(Escenarios!$F$16),M146)</f>
        <v>0</v>
      </c>
      <c r="AD146" s="76">
        <f t="shared" si="29"/>
        <v>118.35192632308123</v>
      </c>
      <c r="AE146" s="76">
        <f>MAX(0,(AD146-Constantes!$D$13)*(1-EXP(-Constantes!$D$23)))</f>
        <v>0.68580435794859074</v>
      </c>
      <c r="AF146" s="76">
        <f>AB146+O146*Escenarios!$F$13/Escenarios!$F$16+AE146</f>
        <v>0.68580435795173988</v>
      </c>
      <c r="AG146" s="76">
        <f>IF(Entradas!$F$91&gt;0,IF(AF146-Escenarios!$F$38&lt;=0,0,IF(AF146-Escenarios!$F$38&gt;Escenarios!$F$37,Escenarios!$F$37,AF146-Escenarios!$F$38)),0)</f>
        <v>0</v>
      </c>
      <c r="AH146" s="76">
        <f>AG146*Entradas!$F$99</f>
        <v>0</v>
      </c>
      <c r="AI146" s="76">
        <f>IF(Entradas!$F$91&gt;0,D146*Entradas!$D$23/Escenarios!$F$16,0)</f>
        <v>0.14028955666131404</v>
      </c>
      <c r="AJ146" s="76">
        <f>IF(Entradas!$F$91&gt;0,Entradas!$D$24*Entradas!$D$22/Escenarios!$F$16,0)</f>
        <v>0.12</v>
      </c>
      <c r="AK146" s="76">
        <f t="shared" si="30"/>
        <v>0.14028955750023753</v>
      </c>
      <c r="AL146" s="76">
        <f t="shared" si="31"/>
        <v>0</v>
      </c>
      <c r="AM146" s="76">
        <f t="shared" si="32"/>
        <v>0</v>
      </c>
      <c r="AN146" s="76">
        <f>MAX(0,O146*Escenarios!$F$13/Escenarios!$F$16-AM146)</f>
        <v>3.1490942236062757E-12</v>
      </c>
      <c r="AO146" s="76">
        <f>AM146+AN146-O146*Escenarios!$F$13/Escenarios!$F$16</f>
        <v>0</v>
      </c>
      <c r="AP146" s="76">
        <f t="shared" si="33"/>
        <v>0.68580435794859074</v>
      </c>
      <c r="AQ146" s="76">
        <f t="shared" si="34"/>
        <v>0</v>
      </c>
      <c r="AR146" s="76">
        <f t="shared" si="35"/>
        <v>0.68580435795173988</v>
      </c>
      <c r="AS146" s="76">
        <f t="shared" si="36"/>
        <v>0</v>
      </c>
      <c r="AT146" s="76">
        <f t="shared" si="37"/>
        <v>0</v>
      </c>
      <c r="AU146" s="76">
        <f t="shared" si="38"/>
        <v>54.490032613073716</v>
      </c>
      <c r="AV146" s="76">
        <f>MAX(0,(AU146-Constantes!$D$13)*(1-EXP(-Constantes!$D$24)))</f>
        <v>8.7737816655254069E-2</v>
      </c>
      <c r="AW146" s="170">
        <f>AW145+(Entradas!$F$112*AT146-AX145)/(800*Entradas!$D$25)</f>
        <v>0</v>
      </c>
      <c r="AX146" s="170">
        <f>8000*Entradas!$D$26*AW146/Constantes!$F$45</f>
        <v>0</v>
      </c>
      <c r="AY146" s="170">
        <f>IF(Escenarios!$F$17&gt;0,10*Escenarios!$F$16*AL146,0)</f>
        <v>0</v>
      </c>
      <c r="AZ146" s="170">
        <f>IF(Escenarios!$F$17&gt;0,10*Escenarios!$F$16*AX146,0)</f>
        <v>0</v>
      </c>
      <c r="BA146" s="170">
        <f>IF(Escenarios!$F$17&gt;0,0.001*Observaciones!$F145*Escenarios!$F$17,0)</f>
        <v>0</v>
      </c>
      <c r="BB146" s="170">
        <f>IF(Escenarios!$F$17&gt;0,Observaciones!$K145,0)</f>
        <v>0</v>
      </c>
      <c r="BC146" s="170">
        <f>IF(Escenarios!$F$17&gt;0,MIN(0.0005*ETo!$M145*Escenarios!$F$17*(BG145/Constantes!$F$40)^(2/3),BG145+AY146+AZ146+BA146+BB146),0)</f>
        <v>0</v>
      </c>
      <c r="BD146" s="170">
        <f>IF(Escenarios!$F$17&gt;0,MIN(Constantes!$F$39*(BG145/Constantes!$F$40)^(2/3),BG145+AY146+AZ146+BA146+BB146-BC146),0)</f>
        <v>0</v>
      </c>
      <c r="BE146" s="170">
        <f>IF(Escenarios!$F$17&gt;0,MIN(Entradas!$F$113,BG145+AY146+AZ146+BA146+BB146-BC146-BD146),0)</f>
        <v>0</v>
      </c>
      <c r="BF146" s="170">
        <f>IF(Escenarios!$F$17&gt;0,MAX(0,BG145+AY146+AZ146+BA146+BB146-BC146-BD146-BE146-Constantes!$F$40),0)</f>
        <v>0</v>
      </c>
      <c r="BG146" s="170">
        <f t="shared" si="39"/>
        <v>0</v>
      </c>
      <c r="BH146" s="170">
        <f>(Escenarios!$F$16*AK146+0.1*BC146)/(Escenarios!$F$19)</f>
        <v>0.14028955750023753</v>
      </c>
      <c r="BI146" s="170">
        <f>IF(Escenarios!$F$17&gt;0,BF146/10/Escenarios!$F$19,AL146)</f>
        <v>0</v>
      </c>
      <c r="BJ146" s="170">
        <f>(Escenarios!$F$16*AT146+0.1*BD146)/(Escenarios!$F$19)</f>
        <v>0</v>
      </c>
      <c r="BK146" s="76">
        <f>BK145+(0.1*BD146)/(Escenarios!$F$19)-BL145</f>
        <v>48.75</v>
      </c>
      <c r="BL146" s="76">
        <f>MAX(0,(BK146-Constantes!$D$13)*(1-EXP(-Constantes!$D$23)))</f>
        <v>0</v>
      </c>
      <c r="BM146" s="76">
        <f t="shared" si="40"/>
        <v>0.77354217460384478</v>
      </c>
      <c r="BN146" s="76">
        <f t="shared" si="41"/>
        <v>0.77354217460699393</v>
      </c>
      <c r="BO146" s="76">
        <f>0.0526*BI146*Observaciones!$F145^1.218</f>
        <v>0</v>
      </c>
      <c r="BP146" s="76">
        <f>BO146*Constantes!$F$51</f>
        <v>0</v>
      </c>
      <c r="BQ146" s="76">
        <f t="shared" si="42"/>
        <v>0</v>
      </c>
      <c r="BR146" s="40"/>
    </row>
    <row r="147" spans="2:70">
      <c r="B147" s="39"/>
      <c r="C147" s="75">
        <v>141</v>
      </c>
      <c r="D147" s="146">
        <f>ETo!$I146*((1-Constantes!$F$19)*ETo!$K146+ETo!$L146)</f>
        <v>2.9316552101487758</v>
      </c>
      <c r="E147" s="76">
        <f>MIN(D147*Constantes!$F$17,0.8*(N146+Observaciones!$F146-F147-M147-Constantes!$D$14))</f>
        <v>8.404299478570465E-11</v>
      </c>
      <c r="F147" s="76">
        <f>IF(Observaciones!$F146&gt;0.05*Constantes!$F$18,((Observaciones!$F146-0.05*Constantes!$F$18)^2)/(Observaciones!$F146+0.95*Constantes!$F$18),0)</f>
        <v>0</v>
      </c>
      <c r="G147" s="76">
        <f>IF(Escenarios!$F$11&gt;0,(F147*Escenarios!$F$16*10000)/1000,0)</f>
        <v>0</v>
      </c>
      <c r="H147" s="76">
        <f>IF(Escenarios!$F$11&gt;0,(Observaciones!$F146*Constantes!$F$29)/1000,0)</f>
        <v>0</v>
      </c>
      <c r="I147" s="76">
        <f>IF(Escenarios!$F$11&gt;0,(D147*Constantes!$F$29)/1000,0)</f>
        <v>0</v>
      </c>
      <c r="J147" s="76">
        <f>IF(Escenarios!$F$11&gt;0,MAX(0,G147+H147-I147),0)</f>
        <v>0</v>
      </c>
      <c r="K147" s="76">
        <f>IF(Escenarios!$F$11&gt;0,IF(J147&gt;Constantes!$F$30,1000*((J147-Constantes!$F$30)/(Escenarios!$F$16*10000)),0),F147)</f>
        <v>0</v>
      </c>
      <c r="L147" s="76">
        <f>IF(Escenarios!$F$11&gt;0,I147*1000/Escenarios!$F$16/10000+E147,E147)</f>
        <v>8.404299478570465E-11</v>
      </c>
      <c r="M147" s="76">
        <f>MAX(0,N146+Observaciones!$F146-K147-Constantes!$D$13)</f>
        <v>0</v>
      </c>
      <c r="N147" s="76">
        <f>N146+Observaciones!$F146-K147-L147-M147-O146</f>
        <v>11.250000000017431</v>
      </c>
      <c r="O147" s="76">
        <f>MAX(0,(N147-Constantes!$D$14)*(1-EXP(-Constantes!$D$22)))</f>
        <v>5.937771239325864E-13</v>
      </c>
      <c r="P147" s="170">
        <f>P146+(Entradas!$F$83*M147-Q146)/(800*Entradas!$D$25)</f>
        <v>0</v>
      </c>
      <c r="Q147" s="170">
        <f>8000*Entradas!$D$26*P147/Constantes!$F$45</f>
        <v>0</v>
      </c>
      <c r="R147" s="170">
        <f>IF(Escenarios!$F$14&gt;0,K147*Escenarios!$F$13/Escenarios!$F$14,0)</f>
        <v>0</v>
      </c>
      <c r="S147" s="170">
        <f>IF(Escenarios!$F$14&gt;0,Q147*Escenarios!$F$13/Escenarios!$F$14,0)</f>
        <v>0</v>
      </c>
      <c r="T147" s="170">
        <f>IF(Escenarios!$F$14&gt;0,Observaciones!$I146,0)</f>
        <v>0</v>
      </c>
      <c r="U147" s="170">
        <f>IF(Escenarios!$F$14&gt;0,MAX(0,Constantes!$F$36/((Z146+R147+S147+T147+Observaciones!$F146)^2)+Entradas!$F$77),0)</f>
        <v>0</v>
      </c>
      <c r="V147" s="146">
        <f>IF(ETo!D146&gt;0,ETo!I146*((1-Entradas!$F$81)*ETo!K146+ETo!L146),0)</f>
        <v>2.5640802923306607</v>
      </c>
      <c r="W147" s="170">
        <f>IF(Escenarios!$F$14&gt;0,MIN(V147*1,0.8*(Z146+R147+S147+T147+Observaciones!$F146-U147-Constantes!$F$35)),0)</f>
        <v>6.5535914473002781E-10</v>
      </c>
      <c r="X147" s="170">
        <f>IF(Escenarios!$F$14&gt;0,Observaciones!$J146,0)</f>
        <v>0</v>
      </c>
      <c r="Y147" s="170">
        <f>IF(Escenarios!$F$14&gt;0,MAX(0,Z146+R147+S147+T147+Observaciones!$F146-U147-W147-X147-Constantes!$F$33),0)</f>
        <v>0</v>
      </c>
      <c r="Z147" s="170">
        <f>Z146+R147+S147+T147+Observaciones!$F146-U147-W147-Y147</f>
        <v>41.250000000163837</v>
      </c>
      <c r="AA147" s="170">
        <f>IF(Escenarios!$F$14&gt;0,(Escenarios!$F$13*L147+Escenarios!$F$14*W147)/(Escenarios!$F$16),L147)</f>
        <v>1.5260093277902341E-10</v>
      </c>
      <c r="AB147" s="170">
        <f>IF(Escenarios!$F$14&gt;0,(Escenarios!$F$14*Y147)/(Escenarios!$F$16),K147)</f>
        <v>0</v>
      </c>
      <c r="AC147" s="170">
        <f>IF(Escenarios!$F$14&gt;0,(Escenarios!$F$13*M147+Escenarios!$F$14*U147)/(Escenarios!$F$16),M147)</f>
        <v>0</v>
      </c>
      <c r="AD147" s="76">
        <f t="shared" si="29"/>
        <v>117.66612196513265</v>
      </c>
      <c r="AE147" s="76">
        <f>MAX(0,(AD147-Constantes!$D$13)*(1-EXP(-Constantes!$D$23)))</f>
        <v>0.67904696426385147</v>
      </c>
      <c r="AF147" s="76">
        <f>AB147+O147*Escenarios!$F$13/Escenarios!$F$16+AE147</f>
        <v>0.67904696426437394</v>
      </c>
      <c r="AG147" s="76">
        <f>IF(Entradas!$F$91&gt;0,IF(AF147-Escenarios!$F$38&lt;=0,0,IF(AF147-Escenarios!$F$38&gt;Escenarios!$F$37,Escenarios!$F$37,AF147-Escenarios!$F$38)),0)</f>
        <v>0</v>
      </c>
      <c r="AH147" s="76">
        <f>AG147*Entradas!$F$99</f>
        <v>0</v>
      </c>
      <c r="AI147" s="76">
        <f>IF(Entradas!$F$91&gt;0,D147*Entradas!$D$23/Escenarios!$F$16,0)</f>
        <v>0.14071945008714123</v>
      </c>
      <c r="AJ147" s="76">
        <f>IF(Entradas!$F$91&gt;0,Entradas!$D$24*Entradas!$D$22/Escenarios!$F$16,0)</f>
        <v>0.12</v>
      </c>
      <c r="AK147" s="76">
        <f t="shared" si="30"/>
        <v>0.14071945023974217</v>
      </c>
      <c r="AL147" s="76">
        <f t="shared" si="31"/>
        <v>0</v>
      </c>
      <c r="AM147" s="76">
        <f t="shared" si="32"/>
        <v>0</v>
      </c>
      <c r="AN147" s="76">
        <f>MAX(0,O147*Escenarios!$F$13/Escenarios!$F$16-AM147)</f>
        <v>5.2252386906067608E-13</v>
      </c>
      <c r="AO147" s="76">
        <f>AM147+AN147-O147*Escenarios!$F$13/Escenarios!$F$16</f>
        <v>0</v>
      </c>
      <c r="AP147" s="76">
        <f t="shared" si="33"/>
        <v>0.67904696426385147</v>
      </c>
      <c r="AQ147" s="76">
        <f t="shared" si="34"/>
        <v>0</v>
      </c>
      <c r="AR147" s="76">
        <f t="shared" si="35"/>
        <v>0.67904696426437394</v>
      </c>
      <c r="AS147" s="76">
        <f t="shared" si="36"/>
        <v>0</v>
      </c>
      <c r="AT147" s="76">
        <f t="shared" si="37"/>
        <v>0</v>
      </c>
      <c r="AU147" s="76">
        <f t="shared" si="38"/>
        <v>54.40229479641846</v>
      </c>
      <c r="AV147" s="76">
        <f>MAX(0,(AU147-Constantes!$D$13)*(1-EXP(-Constantes!$D$24)))</f>
        <v>8.6396722450684915E-2</v>
      </c>
      <c r="AW147" s="170">
        <f>AW146+(Entradas!$F$112*AT147-AX146)/(800*Entradas!$D$25)</f>
        <v>0</v>
      </c>
      <c r="AX147" s="170">
        <f>8000*Entradas!$D$26*AW147/Constantes!$F$45</f>
        <v>0</v>
      </c>
      <c r="AY147" s="170">
        <f>IF(Escenarios!$F$17&gt;0,10*Escenarios!$F$16*AL147,0)</f>
        <v>0</v>
      </c>
      <c r="AZ147" s="170">
        <f>IF(Escenarios!$F$17&gt;0,10*Escenarios!$F$16*AX147,0)</f>
        <v>0</v>
      </c>
      <c r="BA147" s="170">
        <f>IF(Escenarios!$F$17&gt;0,0.001*Observaciones!$F146*Escenarios!$F$17,0)</f>
        <v>0</v>
      </c>
      <c r="BB147" s="170">
        <f>IF(Escenarios!$F$17&gt;0,Observaciones!$K146,0)</f>
        <v>0</v>
      </c>
      <c r="BC147" s="170">
        <f>IF(Escenarios!$F$17&gt;0,MIN(0.0005*ETo!$M146*Escenarios!$F$17*(BG146/Constantes!$F$40)^(2/3),BG146+AY147+AZ147+BA147+BB147),0)</f>
        <v>0</v>
      </c>
      <c r="BD147" s="170">
        <f>IF(Escenarios!$F$17&gt;0,MIN(Constantes!$F$39*(BG146/Constantes!$F$40)^(2/3),BG146+AY147+AZ147+BA147+BB147-BC147),0)</f>
        <v>0</v>
      </c>
      <c r="BE147" s="170">
        <f>IF(Escenarios!$F$17&gt;0,MIN(Entradas!$F$113,BG146+AY147+AZ147+BA147+BB147-BC147-BD147),0)</f>
        <v>0</v>
      </c>
      <c r="BF147" s="170">
        <f>IF(Escenarios!$F$17&gt;0,MAX(0,BG146+AY147+AZ147+BA147+BB147-BC147-BD147-BE147-Constantes!$F$40),0)</f>
        <v>0</v>
      </c>
      <c r="BG147" s="170">
        <f t="shared" si="39"/>
        <v>0</v>
      </c>
      <c r="BH147" s="170">
        <f>(Escenarios!$F$16*AK147+0.1*BC147)/(Escenarios!$F$19)</f>
        <v>0.14071945023974217</v>
      </c>
      <c r="BI147" s="170">
        <f>IF(Escenarios!$F$17&gt;0,BF147/10/Escenarios!$F$19,AL147)</f>
        <v>0</v>
      </c>
      <c r="BJ147" s="170">
        <f>(Escenarios!$F$16*AT147+0.1*BD147)/(Escenarios!$F$19)</f>
        <v>0</v>
      </c>
      <c r="BK147" s="76">
        <f>BK146+(0.1*BD147)/(Escenarios!$F$19)-BL146</f>
        <v>48.75</v>
      </c>
      <c r="BL147" s="76">
        <f>MAX(0,(BK147-Constantes!$D$13)*(1-EXP(-Constantes!$D$23)))</f>
        <v>0</v>
      </c>
      <c r="BM147" s="76">
        <f t="shared" si="40"/>
        <v>0.76544368671453644</v>
      </c>
      <c r="BN147" s="76">
        <f t="shared" si="41"/>
        <v>0.76544368671505891</v>
      </c>
      <c r="BO147" s="76">
        <f>0.0526*BI147*Observaciones!$F146^1.218</f>
        <v>0</v>
      </c>
      <c r="BP147" s="76">
        <f>BO147*Constantes!$F$51</f>
        <v>0</v>
      </c>
      <c r="BQ147" s="76">
        <f t="shared" si="42"/>
        <v>0</v>
      </c>
      <c r="BR147" s="40"/>
    </row>
    <row r="148" spans="2:70">
      <c r="B148" s="39"/>
      <c r="C148" s="75">
        <v>142</v>
      </c>
      <c r="D148" s="146">
        <f>ETo!$I147*((1-Constantes!$F$19)*ETo!$K147+ETo!$L147)</f>
        <v>2.8590764671257278</v>
      </c>
      <c r="E148" s="76">
        <f>MIN(D148*Constantes!$F$17,0.8*(N147+Observaciones!$F147-F148-M148-Constantes!$D$14))</f>
        <v>1.3945111732027727E-11</v>
      </c>
      <c r="F148" s="76">
        <f>IF(Observaciones!$F147&gt;0.05*Constantes!$F$18,((Observaciones!$F147-0.05*Constantes!$F$18)^2)/(Observaciones!$F147+0.95*Constantes!$F$18),0)</f>
        <v>0</v>
      </c>
      <c r="G148" s="76">
        <f>IF(Escenarios!$F$11&gt;0,(F148*Escenarios!$F$16*10000)/1000,0)</f>
        <v>0</v>
      </c>
      <c r="H148" s="76">
        <f>IF(Escenarios!$F$11&gt;0,(Observaciones!$F147*Constantes!$F$29)/1000,0)</f>
        <v>0</v>
      </c>
      <c r="I148" s="76">
        <f>IF(Escenarios!$F$11&gt;0,(D148*Constantes!$F$29)/1000,0)</f>
        <v>0</v>
      </c>
      <c r="J148" s="76">
        <f>IF(Escenarios!$F$11&gt;0,MAX(0,G148+H148-I148),0)</f>
        <v>0</v>
      </c>
      <c r="K148" s="76">
        <f>IF(Escenarios!$F$11&gt;0,IF(J148&gt;Constantes!$F$30,1000*((J148-Constantes!$F$30)/(Escenarios!$F$16*10000)),0),F148)</f>
        <v>0</v>
      </c>
      <c r="L148" s="76">
        <f>IF(Escenarios!$F$11&gt;0,I148*1000/Escenarios!$F$16/10000+E148,E148)</f>
        <v>1.3945111732027727E-11</v>
      </c>
      <c r="M148" s="76">
        <f>MAX(0,N147+Observaciones!$F147-K148-Constantes!$D$13)</f>
        <v>0</v>
      </c>
      <c r="N148" s="76">
        <f>N147+Observaciones!$F147-K148-L148-M148-O147</f>
        <v>11.250000000002894</v>
      </c>
      <c r="O148" s="76">
        <f>MAX(0,(N148-Constantes!$D$14)*(1-EXP(-Constantes!$D$22)))</f>
        <v>9.8569543960683106E-14</v>
      </c>
      <c r="P148" s="170">
        <f>P147+(Entradas!$F$83*M148-Q147)/(800*Entradas!$D$25)</f>
        <v>0</v>
      </c>
      <c r="Q148" s="170">
        <f>8000*Entradas!$D$26*P148/Constantes!$F$45</f>
        <v>0</v>
      </c>
      <c r="R148" s="170">
        <f>IF(Escenarios!$F$14&gt;0,K148*Escenarios!$F$13/Escenarios!$F$14,0)</f>
        <v>0</v>
      </c>
      <c r="S148" s="170">
        <f>IF(Escenarios!$F$14&gt;0,Q148*Escenarios!$F$13/Escenarios!$F$14,0)</f>
        <v>0</v>
      </c>
      <c r="T148" s="170">
        <f>IF(Escenarios!$F$14&gt;0,Observaciones!$I147,0)</f>
        <v>0</v>
      </c>
      <c r="U148" s="170">
        <f>IF(Escenarios!$F$14&gt;0,MAX(0,Constantes!$F$36/((Z147+R148+S148+T148+Observaciones!$F147)^2)+Entradas!$F$77),0)</f>
        <v>0</v>
      </c>
      <c r="V148" s="146">
        <f>IF(ETo!D147&gt;0,ETo!I147*((1-Entradas!$F$81)*ETo!K147+ETo!L147),0)</f>
        <v>2.499186639760727</v>
      </c>
      <c r="W148" s="170">
        <f>IF(Escenarios!$F$14&gt;0,MIN(V148*1,0.8*(Z147+R148+S148+T148+Observaciones!$F147-U148-Constantes!$F$35)),0)</f>
        <v>1.3106955520925113E-10</v>
      </c>
      <c r="X148" s="170">
        <f>IF(Escenarios!$F$14&gt;0,Observaciones!$J147,0)</f>
        <v>0</v>
      </c>
      <c r="Y148" s="170">
        <f>IF(Escenarios!$F$14&gt;0,MAX(0,Z147+R148+S148+T148+Observaciones!$F147-U148-W148-X148-Constantes!$F$33),0)</f>
        <v>0</v>
      </c>
      <c r="Z148" s="170">
        <f>Z147+R148+S148+T148+Observaciones!$F147-U148-W148-Y148</f>
        <v>41.25000000003277</v>
      </c>
      <c r="AA148" s="170">
        <f>IF(Escenarios!$F$14&gt;0,(Escenarios!$F$13*L148+Escenarios!$F$14*W148)/(Escenarios!$F$16),L148)</f>
        <v>2.8000044949294533E-11</v>
      </c>
      <c r="AB148" s="170">
        <f>IF(Escenarios!$F$14&gt;0,(Escenarios!$F$14*Y148)/(Escenarios!$F$16),K148)</f>
        <v>0</v>
      </c>
      <c r="AC148" s="170">
        <f>IF(Escenarios!$F$14&gt;0,(Escenarios!$F$13*M148+Escenarios!$F$14*U148)/(Escenarios!$F$16),M148)</f>
        <v>0</v>
      </c>
      <c r="AD148" s="76">
        <f t="shared" si="29"/>
        <v>116.9870750008688</v>
      </c>
      <c r="AE148" s="76">
        <f>MAX(0,(AD148-Constantes!$D$13)*(1-EXP(-Constantes!$D$23)))</f>
        <v>0.67235615278857375</v>
      </c>
      <c r="AF148" s="76">
        <f>AB148+O148*Escenarios!$F$13/Escenarios!$F$16+AE148</f>
        <v>0.67235615278866045</v>
      </c>
      <c r="AG148" s="76">
        <f>IF(Entradas!$F$91&gt;0,IF(AF148-Escenarios!$F$38&lt;=0,0,IF(AF148-Escenarios!$F$38&gt;Escenarios!$F$37,Escenarios!$F$37,AF148-Escenarios!$F$38)),0)</f>
        <v>0</v>
      </c>
      <c r="AH148" s="76">
        <f>AG148*Entradas!$F$99</f>
        <v>0</v>
      </c>
      <c r="AI148" s="76">
        <f>IF(Entradas!$F$91&gt;0,D148*Entradas!$D$23/Escenarios!$F$16,0)</f>
        <v>0.13723567042203494</v>
      </c>
      <c r="AJ148" s="76">
        <f>IF(Entradas!$F$91&gt;0,Entradas!$D$24*Entradas!$D$22/Escenarios!$F$16,0)</f>
        <v>0.12</v>
      </c>
      <c r="AK148" s="76">
        <f t="shared" si="30"/>
        <v>0.13723567045003499</v>
      </c>
      <c r="AL148" s="76">
        <f t="shared" si="31"/>
        <v>0</v>
      </c>
      <c r="AM148" s="76">
        <f t="shared" si="32"/>
        <v>0</v>
      </c>
      <c r="AN148" s="76">
        <f>MAX(0,O148*Escenarios!$F$13/Escenarios!$F$16-AM148)</f>
        <v>8.6741198685401132E-14</v>
      </c>
      <c r="AO148" s="76">
        <f>AM148+AN148-O148*Escenarios!$F$13/Escenarios!$F$16</f>
        <v>0</v>
      </c>
      <c r="AP148" s="76">
        <f t="shared" si="33"/>
        <v>0.67235615278857375</v>
      </c>
      <c r="AQ148" s="76">
        <f t="shared" si="34"/>
        <v>0</v>
      </c>
      <c r="AR148" s="76">
        <f t="shared" si="35"/>
        <v>0.67235615278866045</v>
      </c>
      <c r="AS148" s="76">
        <f t="shared" si="36"/>
        <v>0</v>
      </c>
      <c r="AT148" s="76">
        <f t="shared" si="37"/>
        <v>0</v>
      </c>
      <c r="AU148" s="76">
        <f t="shared" si="38"/>
        <v>54.315898073967773</v>
      </c>
      <c r="AV148" s="76">
        <f>MAX(0,(AU148-Constantes!$D$13)*(1-EXP(-Constantes!$D$24)))</f>
        <v>8.5076127202370802E-2</v>
      </c>
      <c r="AW148" s="170">
        <f>AW147+(Entradas!$F$112*AT148-AX147)/(800*Entradas!$D$25)</f>
        <v>0</v>
      </c>
      <c r="AX148" s="170">
        <f>8000*Entradas!$D$26*AW148/Constantes!$F$45</f>
        <v>0</v>
      </c>
      <c r="AY148" s="170">
        <f>IF(Escenarios!$F$17&gt;0,10*Escenarios!$F$16*AL148,0)</f>
        <v>0</v>
      </c>
      <c r="AZ148" s="170">
        <f>IF(Escenarios!$F$17&gt;0,10*Escenarios!$F$16*AX148,0)</f>
        <v>0</v>
      </c>
      <c r="BA148" s="170">
        <f>IF(Escenarios!$F$17&gt;0,0.001*Observaciones!$F147*Escenarios!$F$17,0)</f>
        <v>0</v>
      </c>
      <c r="BB148" s="170">
        <f>IF(Escenarios!$F$17&gt;0,Observaciones!$K147,0)</f>
        <v>0</v>
      </c>
      <c r="BC148" s="170">
        <f>IF(Escenarios!$F$17&gt;0,MIN(0.0005*ETo!$M147*Escenarios!$F$17*(BG147/Constantes!$F$40)^(2/3),BG147+AY148+AZ148+BA148+BB148),0)</f>
        <v>0</v>
      </c>
      <c r="BD148" s="170">
        <f>IF(Escenarios!$F$17&gt;0,MIN(Constantes!$F$39*(BG147/Constantes!$F$40)^(2/3),BG147+AY148+AZ148+BA148+BB148-BC148),0)</f>
        <v>0</v>
      </c>
      <c r="BE148" s="170">
        <f>IF(Escenarios!$F$17&gt;0,MIN(Entradas!$F$113,BG147+AY148+AZ148+BA148+BB148-BC148-BD148),0)</f>
        <v>0</v>
      </c>
      <c r="BF148" s="170">
        <f>IF(Escenarios!$F$17&gt;0,MAX(0,BG147+AY148+AZ148+BA148+BB148-BC148-BD148-BE148-Constantes!$F$40),0)</f>
        <v>0</v>
      </c>
      <c r="BG148" s="170">
        <f t="shared" si="39"/>
        <v>0</v>
      </c>
      <c r="BH148" s="170">
        <f>(Escenarios!$F$16*AK148+0.1*BC148)/(Escenarios!$F$19)</f>
        <v>0.13723567045003499</v>
      </c>
      <c r="BI148" s="170">
        <f>IF(Escenarios!$F$17&gt;0,BF148/10/Escenarios!$F$19,AL148)</f>
        <v>0</v>
      </c>
      <c r="BJ148" s="170">
        <f>(Escenarios!$F$16*AT148+0.1*BD148)/(Escenarios!$F$19)</f>
        <v>0</v>
      </c>
      <c r="BK148" s="76">
        <f>BK147+(0.1*BD148)/(Escenarios!$F$19)-BL147</f>
        <v>48.75</v>
      </c>
      <c r="BL148" s="76">
        <f>MAX(0,(BK148-Constantes!$D$13)*(1-EXP(-Constantes!$D$23)))</f>
        <v>0</v>
      </c>
      <c r="BM148" s="76">
        <f t="shared" si="40"/>
        <v>0.75743227999094453</v>
      </c>
      <c r="BN148" s="76">
        <f t="shared" si="41"/>
        <v>0.75743227999103124</v>
      </c>
      <c r="BO148" s="76">
        <f>0.0526*BI148*Observaciones!$F147^1.218</f>
        <v>0</v>
      </c>
      <c r="BP148" s="76">
        <f>BO148*Constantes!$F$51</f>
        <v>0</v>
      </c>
      <c r="BQ148" s="76">
        <f t="shared" si="42"/>
        <v>0</v>
      </c>
      <c r="BR148" s="40"/>
    </row>
    <row r="149" spans="2:70">
      <c r="B149" s="39"/>
      <c r="C149" s="75">
        <v>143</v>
      </c>
      <c r="D149" s="146">
        <f>ETo!$I148*((1-Constantes!$F$19)*ETo!$K148+ETo!$L148)</f>
        <v>2.7908990598547603</v>
      </c>
      <c r="E149" s="76">
        <f>MIN(D149*Constantes!$F$17,0.8*(N148+Observaciones!$F148-F149-M149-Constantes!$D$14))</f>
        <v>2.3149482331064065E-12</v>
      </c>
      <c r="F149" s="76">
        <f>IF(Observaciones!$F148&gt;0.05*Constantes!$F$18,((Observaciones!$F148-0.05*Constantes!$F$18)^2)/(Observaciones!$F148+0.95*Constantes!$F$18),0)</f>
        <v>0</v>
      </c>
      <c r="G149" s="76">
        <f>IF(Escenarios!$F$11&gt;0,(F149*Escenarios!$F$16*10000)/1000,0)</f>
        <v>0</v>
      </c>
      <c r="H149" s="76">
        <f>IF(Escenarios!$F$11&gt;0,(Observaciones!$F148*Constantes!$F$29)/1000,0)</f>
        <v>0</v>
      </c>
      <c r="I149" s="76">
        <f>IF(Escenarios!$F$11&gt;0,(D149*Constantes!$F$29)/1000,0)</f>
        <v>0</v>
      </c>
      <c r="J149" s="76">
        <f>IF(Escenarios!$F$11&gt;0,MAX(0,G149+H149-I149),0)</f>
        <v>0</v>
      </c>
      <c r="K149" s="76">
        <f>IF(Escenarios!$F$11&gt;0,IF(J149&gt;Constantes!$F$30,1000*((J149-Constantes!$F$30)/(Escenarios!$F$16*10000)),0),F149)</f>
        <v>0</v>
      </c>
      <c r="L149" s="76">
        <f>IF(Escenarios!$F$11&gt;0,I149*1000/Escenarios!$F$16/10000+E149,E149)</f>
        <v>2.3149482331064065E-12</v>
      </c>
      <c r="M149" s="76">
        <f>MAX(0,N148+Observaciones!$F148-K149-Constantes!$D$13)</f>
        <v>0</v>
      </c>
      <c r="N149" s="76">
        <f>N148+Observaciones!$F148-K149-L149-M149-O148</f>
        <v>11.250000000000481</v>
      </c>
      <c r="O149" s="76">
        <f>MAX(0,(N149-Constantes!$D$14)*(1-EXP(-Constantes!$D$22)))</f>
        <v>1.6398002709235802E-14</v>
      </c>
      <c r="P149" s="170">
        <f>P148+(Entradas!$F$83*M149-Q148)/(800*Entradas!$D$25)</f>
        <v>0</v>
      </c>
      <c r="Q149" s="170">
        <f>8000*Entradas!$D$26*P149/Constantes!$F$45</f>
        <v>0</v>
      </c>
      <c r="R149" s="170">
        <f>IF(Escenarios!$F$14&gt;0,K149*Escenarios!$F$13/Escenarios!$F$14,0)</f>
        <v>0</v>
      </c>
      <c r="S149" s="170">
        <f>IF(Escenarios!$F$14&gt;0,Q149*Escenarios!$F$13/Escenarios!$F$14,0)</f>
        <v>0</v>
      </c>
      <c r="T149" s="170">
        <f>IF(Escenarios!$F$14&gt;0,Observaciones!$I148,0)</f>
        <v>0</v>
      </c>
      <c r="U149" s="170">
        <f>IF(Escenarios!$F$14&gt;0,MAX(0,Constantes!$F$36/((Z148+R149+S149+T149+Observaciones!$F148)^2)+Entradas!$F$77),0)</f>
        <v>0</v>
      </c>
      <c r="V149" s="146">
        <f>IF(ETo!D148&gt;0,ETo!I148*((1-Entradas!$F$81)*ETo!K148+ETo!L148),0)</f>
        <v>2.4383961811407007</v>
      </c>
      <c r="W149" s="170">
        <f>IF(Escenarios!$F$14&gt;0,MIN(V149*1,0.8*(Z148+R149+S149+T149+Observaciones!$F148-U149-Constantes!$F$35)),0)</f>
        <v>2.6216184778604659E-11</v>
      </c>
      <c r="X149" s="170">
        <f>IF(Escenarios!$F$14&gt;0,Observaciones!$J148,0)</f>
        <v>0</v>
      </c>
      <c r="Y149" s="170">
        <f>IF(Escenarios!$F$14&gt;0,MAX(0,Z148+R149+S149+T149+Observaciones!$F148-U149-W149-X149-Constantes!$F$33),0)</f>
        <v>0</v>
      </c>
      <c r="Z149" s="170">
        <f>Z148+R149+S149+T149+Observaciones!$F148-U149-W149-Y149</f>
        <v>41.250000000006551</v>
      </c>
      <c r="AA149" s="170">
        <f>IF(Escenarios!$F$14&gt;0,(Escenarios!$F$13*L149+Escenarios!$F$14*W149)/(Escenarios!$F$16),L149)</f>
        <v>5.1830966185661965E-12</v>
      </c>
      <c r="AB149" s="170">
        <f>IF(Escenarios!$F$14&gt;0,(Escenarios!$F$14*Y149)/(Escenarios!$F$16),K149)</f>
        <v>0</v>
      </c>
      <c r="AC149" s="170">
        <f>IF(Escenarios!$F$14&gt;0,(Escenarios!$F$13*M149+Escenarios!$F$14*U149)/(Escenarios!$F$16),M149)</f>
        <v>0</v>
      </c>
      <c r="AD149" s="76">
        <f t="shared" si="29"/>
        <v>116.31471884808022</v>
      </c>
      <c r="AE149" s="76">
        <f>MAX(0,(AD149-Constantes!$D$13)*(1-EXP(-Constantes!$D$23)))</f>
        <v>0.66573126747238898</v>
      </c>
      <c r="AF149" s="76">
        <f>AB149+O149*Escenarios!$F$13/Escenarios!$F$16+AE149</f>
        <v>0.66573126747240341</v>
      </c>
      <c r="AG149" s="76">
        <f>IF(Entradas!$F$91&gt;0,IF(AF149-Escenarios!$F$38&lt;=0,0,IF(AF149-Escenarios!$F$38&gt;Escenarios!$F$37,Escenarios!$F$37,AF149-Escenarios!$F$38)),0)</f>
        <v>0</v>
      </c>
      <c r="AH149" s="76">
        <f>AG149*Entradas!$F$99</f>
        <v>0</v>
      </c>
      <c r="AI149" s="76">
        <f>IF(Entradas!$F$91&gt;0,D149*Entradas!$D$23/Escenarios!$F$16,0)</f>
        <v>0.13396315487302848</v>
      </c>
      <c r="AJ149" s="76">
        <f>IF(Entradas!$F$91&gt;0,Entradas!$D$24*Entradas!$D$22/Escenarios!$F$16,0)</f>
        <v>0.12</v>
      </c>
      <c r="AK149" s="76">
        <f t="shared" si="30"/>
        <v>0.13396315487821159</v>
      </c>
      <c r="AL149" s="76">
        <f t="shared" si="31"/>
        <v>0</v>
      </c>
      <c r="AM149" s="76">
        <f t="shared" si="32"/>
        <v>0</v>
      </c>
      <c r="AN149" s="76">
        <f>MAX(0,O149*Escenarios!$F$13/Escenarios!$F$16-AM149)</f>
        <v>1.4430242384127505E-14</v>
      </c>
      <c r="AO149" s="76">
        <f>AM149+AN149-O149*Escenarios!$F$13/Escenarios!$F$16</f>
        <v>0</v>
      </c>
      <c r="AP149" s="76">
        <f t="shared" si="33"/>
        <v>0.66573126747238898</v>
      </c>
      <c r="AQ149" s="76">
        <f t="shared" si="34"/>
        <v>0</v>
      </c>
      <c r="AR149" s="76">
        <f t="shared" si="35"/>
        <v>0.66573126747240341</v>
      </c>
      <c r="AS149" s="76">
        <f t="shared" si="36"/>
        <v>0</v>
      </c>
      <c r="AT149" s="76">
        <f t="shared" si="37"/>
        <v>0</v>
      </c>
      <c r="AU149" s="76">
        <f t="shared" si="38"/>
        <v>54.230821946765403</v>
      </c>
      <c r="AV149" s="76">
        <f>MAX(0,(AU149-Constantes!$D$13)*(1-EXP(-Constantes!$D$24)))</f>
        <v>8.3775717578700809E-2</v>
      </c>
      <c r="AW149" s="170">
        <f>AW148+(Entradas!$F$112*AT149-AX148)/(800*Entradas!$D$25)</f>
        <v>0</v>
      </c>
      <c r="AX149" s="170">
        <f>8000*Entradas!$D$26*AW149/Constantes!$F$45</f>
        <v>0</v>
      </c>
      <c r="AY149" s="170">
        <f>IF(Escenarios!$F$17&gt;0,10*Escenarios!$F$16*AL149,0)</f>
        <v>0</v>
      </c>
      <c r="AZ149" s="170">
        <f>IF(Escenarios!$F$17&gt;0,10*Escenarios!$F$16*AX149,0)</f>
        <v>0</v>
      </c>
      <c r="BA149" s="170">
        <f>IF(Escenarios!$F$17&gt;0,0.001*Observaciones!$F148*Escenarios!$F$17,0)</f>
        <v>0</v>
      </c>
      <c r="BB149" s="170">
        <f>IF(Escenarios!$F$17&gt;0,Observaciones!$K148,0)</f>
        <v>0</v>
      </c>
      <c r="BC149" s="170">
        <f>IF(Escenarios!$F$17&gt;0,MIN(0.0005*ETo!$M148*Escenarios!$F$17*(BG148/Constantes!$F$40)^(2/3),BG148+AY149+AZ149+BA149+BB149),0)</f>
        <v>0</v>
      </c>
      <c r="BD149" s="170">
        <f>IF(Escenarios!$F$17&gt;0,MIN(Constantes!$F$39*(BG148/Constantes!$F$40)^(2/3),BG148+AY149+AZ149+BA149+BB149-BC149),0)</f>
        <v>0</v>
      </c>
      <c r="BE149" s="170">
        <f>IF(Escenarios!$F$17&gt;0,MIN(Entradas!$F$113,BG148+AY149+AZ149+BA149+BB149-BC149-BD149),0)</f>
        <v>0</v>
      </c>
      <c r="BF149" s="170">
        <f>IF(Escenarios!$F$17&gt;0,MAX(0,BG148+AY149+AZ149+BA149+BB149-BC149-BD149-BE149-Constantes!$F$40),0)</f>
        <v>0</v>
      </c>
      <c r="BG149" s="170">
        <f t="shared" si="39"/>
        <v>0</v>
      </c>
      <c r="BH149" s="170">
        <f>(Escenarios!$F$16*AK149+0.1*BC149)/(Escenarios!$F$19)</f>
        <v>0.13396315487821159</v>
      </c>
      <c r="BI149" s="170">
        <f>IF(Escenarios!$F$17&gt;0,BF149/10/Escenarios!$F$19,AL149)</f>
        <v>0</v>
      </c>
      <c r="BJ149" s="170">
        <f>(Escenarios!$F$16*AT149+0.1*BD149)/(Escenarios!$F$19)</f>
        <v>0</v>
      </c>
      <c r="BK149" s="76">
        <f>BK148+(0.1*BD149)/(Escenarios!$F$19)-BL148</f>
        <v>48.75</v>
      </c>
      <c r="BL149" s="76">
        <f>MAX(0,(BK149-Constantes!$D$13)*(1-EXP(-Constantes!$D$23)))</f>
        <v>0</v>
      </c>
      <c r="BM149" s="76">
        <f t="shared" si="40"/>
        <v>0.74950698505108981</v>
      </c>
      <c r="BN149" s="76">
        <f t="shared" si="41"/>
        <v>0.74950698505110425</v>
      </c>
      <c r="BO149" s="76">
        <f>0.0526*BI149*Observaciones!$F148^1.218</f>
        <v>0</v>
      </c>
      <c r="BP149" s="76">
        <f>BO149*Constantes!$F$51</f>
        <v>0</v>
      </c>
      <c r="BQ149" s="76">
        <f t="shared" si="42"/>
        <v>0</v>
      </c>
      <c r="BR149" s="40"/>
    </row>
    <row r="150" spans="2:70">
      <c r="B150" s="39"/>
      <c r="C150" s="75">
        <v>144</v>
      </c>
      <c r="D150" s="146">
        <f>ETo!$I149*((1-Constantes!$F$19)*ETo!$K149+ETo!$L149)</f>
        <v>2.762179847341248</v>
      </c>
      <c r="E150" s="76">
        <f>MIN(D150*Constantes!$F$17,0.8*(N149+Observaciones!$F149-F150-M150-Constantes!$D$14))</f>
        <v>3.8511416278197432E-13</v>
      </c>
      <c r="F150" s="76">
        <f>IF(Observaciones!$F149&gt;0.05*Constantes!$F$18,((Observaciones!$F149-0.05*Constantes!$F$18)^2)/(Observaciones!$F149+0.95*Constantes!$F$18),0)</f>
        <v>0</v>
      </c>
      <c r="G150" s="76">
        <f>IF(Escenarios!$F$11&gt;0,(F150*Escenarios!$F$16*10000)/1000,0)</f>
        <v>0</v>
      </c>
      <c r="H150" s="76">
        <f>IF(Escenarios!$F$11&gt;0,(Observaciones!$F149*Constantes!$F$29)/1000,0)</f>
        <v>0</v>
      </c>
      <c r="I150" s="76">
        <f>IF(Escenarios!$F$11&gt;0,(D150*Constantes!$F$29)/1000,0)</f>
        <v>0</v>
      </c>
      <c r="J150" s="76">
        <f>IF(Escenarios!$F$11&gt;0,MAX(0,G150+H150-I150),0)</f>
        <v>0</v>
      </c>
      <c r="K150" s="76">
        <f>IF(Escenarios!$F$11&gt;0,IF(J150&gt;Constantes!$F$30,1000*((J150-Constantes!$F$30)/(Escenarios!$F$16*10000)),0),F150)</f>
        <v>0</v>
      </c>
      <c r="L150" s="76">
        <f>IF(Escenarios!$F$11&gt;0,I150*1000/Escenarios!$F$16/10000+E150,E150)</f>
        <v>3.8511416278197432E-13</v>
      </c>
      <c r="M150" s="76">
        <f>MAX(0,N149+Observaciones!$F149-K150-Constantes!$D$13)</f>
        <v>0</v>
      </c>
      <c r="N150" s="76">
        <f>N149+Observaciones!$F149-K150-L150-M150-O149</f>
        <v>11.25000000000008</v>
      </c>
      <c r="O150" s="76">
        <f>MAX(0,(N150-Constantes!$D$14)*(1-EXP(-Constantes!$D$22)))</f>
        <v>2.7229155790243949E-15</v>
      </c>
      <c r="P150" s="170">
        <f>P149+(Entradas!$F$83*M150-Q149)/(800*Entradas!$D$25)</f>
        <v>0</v>
      </c>
      <c r="Q150" s="170">
        <f>8000*Entradas!$D$26*P150/Constantes!$F$45</f>
        <v>0</v>
      </c>
      <c r="R150" s="170">
        <f>IF(Escenarios!$F$14&gt;0,K150*Escenarios!$F$13/Escenarios!$F$14,0)</f>
        <v>0</v>
      </c>
      <c r="S150" s="170">
        <f>IF(Escenarios!$F$14&gt;0,Q150*Escenarios!$F$13/Escenarios!$F$14,0)</f>
        <v>0</v>
      </c>
      <c r="T150" s="170">
        <f>IF(Escenarios!$F$14&gt;0,Observaciones!$I149,0)</f>
        <v>0</v>
      </c>
      <c r="U150" s="170">
        <f>IF(Escenarios!$F$14&gt;0,MAX(0,Constantes!$F$36/((Z149+R150+S150+T150+Observaciones!$F149)^2)+Entradas!$F$77),0)</f>
        <v>0</v>
      </c>
      <c r="V150" s="146">
        <f>IF(ETo!D149&gt;0,ETo!I149*((1-Entradas!$F$81)*ETo!K149+ETo!L149),0)</f>
        <v>2.4125957000120719</v>
      </c>
      <c r="W150" s="170">
        <f>IF(Escenarios!$F$14&gt;0,MIN(V150*1,0.8*(Z149+R150+S150+T150+Observaciones!$F149-U150-Constantes!$F$35)),0)</f>
        <v>5.2409632189664991E-12</v>
      </c>
      <c r="X150" s="170">
        <f>IF(Escenarios!$F$14&gt;0,Observaciones!$J149,0)</f>
        <v>0</v>
      </c>
      <c r="Y150" s="170">
        <f>IF(Escenarios!$F$14&gt;0,MAX(0,Z149+R150+S150+T150+Observaciones!$F149-U150-W150-X150-Constantes!$F$33),0)</f>
        <v>0</v>
      </c>
      <c r="Z150" s="170">
        <f>Z149+R150+S150+T150+Observaciones!$F149-U150-W150-Y150</f>
        <v>41.250000000001307</v>
      </c>
      <c r="AA150" s="170">
        <f>IF(Escenarios!$F$14&gt;0,(Escenarios!$F$13*L150+Escenarios!$F$14*W150)/(Escenarios!$F$16),L150)</f>
        <v>9.6781604952411725E-13</v>
      </c>
      <c r="AB150" s="170">
        <f>IF(Escenarios!$F$14&gt;0,(Escenarios!$F$14*Y150)/(Escenarios!$F$16),K150)</f>
        <v>0</v>
      </c>
      <c r="AC150" s="170">
        <f>IF(Escenarios!$F$14&gt;0,(Escenarios!$F$13*M150+Escenarios!$F$14*U150)/(Escenarios!$F$16),M150)</f>
        <v>0</v>
      </c>
      <c r="AD150" s="76">
        <f t="shared" si="29"/>
        <v>115.64898758060782</v>
      </c>
      <c r="AE150" s="76">
        <f>MAX(0,(AD150-Constantes!$D$13)*(1-EXP(-Constantes!$D$23)))</f>
        <v>0.65917165872914929</v>
      </c>
      <c r="AF150" s="76">
        <f>AB150+O150*Escenarios!$F$13/Escenarios!$F$16+AE150</f>
        <v>0.65917165872915173</v>
      </c>
      <c r="AG150" s="76">
        <f>IF(Entradas!$F$91&gt;0,IF(AF150-Escenarios!$F$38&lt;=0,0,IF(AF150-Escenarios!$F$38&gt;Escenarios!$F$37,Escenarios!$F$37,AF150-Escenarios!$F$38)),0)</f>
        <v>0</v>
      </c>
      <c r="AH150" s="76">
        <f>AG150*Entradas!$F$99</f>
        <v>0</v>
      </c>
      <c r="AI150" s="76">
        <f>IF(Entradas!$F$91&gt;0,D150*Entradas!$D$23/Escenarios!$F$16,0)</f>
        <v>0.13258463267237991</v>
      </c>
      <c r="AJ150" s="76">
        <f>IF(Entradas!$F$91&gt;0,Entradas!$D$24*Entradas!$D$22/Escenarios!$F$16,0)</f>
        <v>0.12</v>
      </c>
      <c r="AK150" s="76">
        <f t="shared" si="30"/>
        <v>0.13258463267334772</v>
      </c>
      <c r="AL150" s="76">
        <f t="shared" si="31"/>
        <v>0</v>
      </c>
      <c r="AM150" s="76">
        <f t="shared" si="32"/>
        <v>0</v>
      </c>
      <c r="AN150" s="76">
        <f>MAX(0,O150*Escenarios!$F$13/Escenarios!$F$16-AM150)</f>
        <v>2.3961657095414675E-15</v>
      </c>
      <c r="AO150" s="76">
        <f>AM150+AN150-O150*Escenarios!$F$13/Escenarios!$F$16</f>
        <v>0</v>
      </c>
      <c r="AP150" s="76">
        <f t="shared" si="33"/>
        <v>0.65917165872914929</v>
      </c>
      <c r="AQ150" s="76">
        <f t="shared" si="34"/>
        <v>0</v>
      </c>
      <c r="AR150" s="76">
        <f t="shared" si="35"/>
        <v>0.65917165872915173</v>
      </c>
      <c r="AS150" s="76">
        <f t="shared" si="36"/>
        <v>0</v>
      </c>
      <c r="AT150" s="76">
        <f t="shared" si="37"/>
        <v>0</v>
      </c>
      <c r="AU150" s="76">
        <f t="shared" si="38"/>
        <v>54.147046229186699</v>
      </c>
      <c r="AV150" s="76">
        <f>MAX(0,(AU150-Constantes!$D$13)*(1-EXP(-Constantes!$D$24)))</f>
        <v>8.2495185037415014E-2</v>
      </c>
      <c r="AW150" s="170">
        <f>AW149+(Entradas!$F$112*AT150-AX149)/(800*Entradas!$D$25)</f>
        <v>0</v>
      </c>
      <c r="AX150" s="170">
        <f>8000*Entradas!$D$26*AW150/Constantes!$F$45</f>
        <v>0</v>
      </c>
      <c r="AY150" s="170">
        <f>IF(Escenarios!$F$17&gt;0,10*Escenarios!$F$16*AL150,0)</f>
        <v>0</v>
      </c>
      <c r="AZ150" s="170">
        <f>IF(Escenarios!$F$17&gt;0,10*Escenarios!$F$16*AX150,0)</f>
        <v>0</v>
      </c>
      <c r="BA150" s="170">
        <f>IF(Escenarios!$F$17&gt;0,0.001*Observaciones!$F149*Escenarios!$F$17,0)</f>
        <v>0</v>
      </c>
      <c r="BB150" s="170">
        <f>IF(Escenarios!$F$17&gt;0,Observaciones!$K149,0)</f>
        <v>0</v>
      </c>
      <c r="BC150" s="170">
        <f>IF(Escenarios!$F$17&gt;0,MIN(0.0005*ETo!$M149*Escenarios!$F$17*(BG149/Constantes!$F$40)^(2/3),BG149+AY150+AZ150+BA150+BB150),0)</f>
        <v>0</v>
      </c>
      <c r="BD150" s="170">
        <f>IF(Escenarios!$F$17&gt;0,MIN(Constantes!$F$39*(BG149/Constantes!$F$40)^(2/3),BG149+AY150+AZ150+BA150+BB150-BC150),0)</f>
        <v>0</v>
      </c>
      <c r="BE150" s="170">
        <f>IF(Escenarios!$F$17&gt;0,MIN(Entradas!$F$113,BG149+AY150+AZ150+BA150+BB150-BC150-BD150),0)</f>
        <v>0</v>
      </c>
      <c r="BF150" s="170">
        <f>IF(Escenarios!$F$17&gt;0,MAX(0,BG149+AY150+AZ150+BA150+BB150-BC150-BD150-BE150-Constantes!$F$40),0)</f>
        <v>0</v>
      </c>
      <c r="BG150" s="170">
        <f t="shared" si="39"/>
        <v>0</v>
      </c>
      <c r="BH150" s="170">
        <f>(Escenarios!$F$16*AK150+0.1*BC150)/(Escenarios!$F$19)</f>
        <v>0.13258463267334772</v>
      </c>
      <c r="BI150" s="170">
        <f>IF(Escenarios!$F$17&gt;0,BF150/10/Escenarios!$F$19,AL150)</f>
        <v>0</v>
      </c>
      <c r="BJ150" s="170">
        <f>(Escenarios!$F$16*AT150+0.1*BD150)/(Escenarios!$F$19)</f>
        <v>0</v>
      </c>
      <c r="BK150" s="76">
        <f>BK149+(0.1*BD150)/(Escenarios!$F$19)-BL149</f>
        <v>48.75</v>
      </c>
      <c r="BL150" s="76">
        <f>MAX(0,(BK150-Constantes!$D$13)*(1-EXP(-Constantes!$D$23)))</f>
        <v>0</v>
      </c>
      <c r="BM150" s="76">
        <f t="shared" si="40"/>
        <v>0.74166684376656433</v>
      </c>
      <c r="BN150" s="76">
        <f t="shared" si="41"/>
        <v>0.74166684376656677</v>
      </c>
      <c r="BO150" s="76">
        <f>0.0526*BI150*Observaciones!$F149^1.218</f>
        <v>0</v>
      </c>
      <c r="BP150" s="76">
        <f>BO150*Constantes!$F$51</f>
        <v>0</v>
      </c>
      <c r="BQ150" s="76">
        <f t="shared" si="42"/>
        <v>0</v>
      </c>
      <c r="BR150" s="40"/>
    </row>
    <row r="151" spans="2:70">
      <c r="B151" s="39"/>
      <c r="C151" s="75">
        <v>145</v>
      </c>
      <c r="D151" s="146">
        <f>ETo!$I150*((1-Constantes!$F$19)*ETo!$K150+ETo!$L150)</f>
        <v>2.7180389271641809</v>
      </c>
      <c r="E151" s="76">
        <f>MIN(D151*Constantes!$F$17,0.8*(N150+Observaciones!$F150-F151-M151-Constantes!$D$14))</f>
        <v>6.3948846218409017E-14</v>
      </c>
      <c r="F151" s="76">
        <f>IF(Observaciones!$F150&gt;0.05*Constantes!$F$18,((Observaciones!$F150-0.05*Constantes!$F$18)^2)/(Observaciones!$F150+0.95*Constantes!$F$18),0)</f>
        <v>0</v>
      </c>
      <c r="G151" s="76">
        <f>IF(Escenarios!$F$11&gt;0,(F151*Escenarios!$F$16*10000)/1000,0)</f>
        <v>0</v>
      </c>
      <c r="H151" s="76">
        <f>IF(Escenarios!$F$11&gt;0,(Observaciones!$F150*Constantes!$F$29)/1000,0)</f>
        <v>0</v>
      </c>
      <c r="I151" s="76">
        <f>IF(Escenarios!$F$11&gt;0,(D151*Constantes!$F$29)/1000,0)</f>
        <v>0</v>
      </c>
      <c r="J151" s="76">
        <f>IF(Escenarios!$F$11&gt;0,MAX(0,G151+H151-I151),0)</f>
        <v>0</v>
      </c>
      <c r="K151" s="76">
        <f>IF(Escenarios!$F$11&gt;0,IF(J151&gt;Constantes!$F$30,1000*((J151-Constantes!$F$30)/(Escenarios!$F$16*10000)),0),F151)</f>
        <v>0</v>
      </c>
      <c r="L151" s="76">
        <f>IF(Escenarios!$F$11&gt;0,I151*1000/Escenarios!$F$16/10000+E151,E151)</f>
        <v>6.3948846218409017E-14</v>
      </c>
      <c r="M151" s="76">
        <f>MAX(0,N150+Observaciones!$F150-K151-Constantes!$D$13)</f>
        <v>0</v>
      </c>
      <c r="N151" s="76">
        <f>N150+Observaciones!$F150-K151-L151-M151-O150</f>
        <v>11.250000000000012</v>
      </c>
      <c r="O151" s="76">
        <f>MAX(0,(N151-Constantes!$D$14)*(1-EXP(-Constantes!$D$22)))</f>
        <v>4.2356464562601701E-16</v>
      </c>
      <c r="P151" s="170">
        <f>P150+(Entradas!$F$83*M151-Q150)/(800*Entradas!$D$25)</f>
        <v>0</v>
      </c>
      <c r="Q151" s="170">
        <f>8000*Entradas!$D$26*P151/Constantes!$F$45</f>
        <v>0</v>
      </c>
      <c r="R151" s="170">
        <f>IF(Escenarios!$F$14&gt;0,K151*Escenarios!$F$13/Escenarios!$F$14,0)</f>
        <v>0</v>
      </c>
      <c r="S151" s="170">
        <f>IF(Escenarios!$F$14&gt;0,Q151*Escenarios!$F$13/Escenarios!$F$14,0)</f>
        <v>0</v>
      </c>
      <c r="T151" s="170">
        <f>IF(Escenarios!$F$14&gt;0,Observaciones!$I150,0)</f>
        <v>0</v>
      </c>
      <c r="U151" s="170">
        <f>IF(Escenarios!$F$14&gt;0,MAX(0,Constantes!$F$36/((Z150+R151+S151+T151+Observaciones!$F150)^2)+Entradas!$F$77),0)</f>
        <v>0</v>
      </c>
      <c r="V151" s="146">
        <f>IF(ETo!D150&gt;0,ETo!I150*((1-Entradas!$F$81)*ETo!K150+ETo!L150),0)</f>
        <v>2.3732296180385024</v>
      </c>
      <c r="W151" s="170">
        <f>IF(Escenarios!$F$14&gt;0,MIN(V151*1,0.8*(Z150+R151+S151+T151+Observaciones!$F150-U151-Constantes!$F$35)),0)</f>
        <v>1.0459189070388676E-12</v>
      </c>
      <c r="X151" s="170">
        <f>IF(Escenarios!$F$14&gt;0,Observaciones!$J150,0)</f>
        <v>0</v>
      </c>
      <c r="Y151" s="170">
        <f>IF(Escenarios!$F$14&gt;0,MAX(0,Z150+R151+S151+T151+Observaciones!$F150-U151-W151-X151-Constantes!$F$33),0)</f>
        <v>0</v>
      </c>
      <c r="Z151" s="170">
        <f>Z150+R151+S151+T151+Observaciones!$F150-U151-W151-Y151</f>
        <v>41.250000000000263</v>
      </c>
      <c r="AA151" s="170">
        <f>IF(Escenarios!$F$14&gt;0,(Escenarios!$F$13*L151+Escenarios!$F$14*W151)/(Escenarios!$F$16),L151)</f>
        <v>1.8178525351686405E-13</v>
      </c>
      <c r="AB151" s="170">
        <f>IF(Escenarios!$F$14&gt;0,(Escenarios!$F$14*Y151)/(Escenarios!$F$16),K151)</f>
        <v>0</v>
      </c>
      <c r="AC151" s="170">
        <f>IF(Escenarios!$F$14&gt;0,(Escenarios!$F$13*M151+Escenarios!$F$14*U151)/(Escenarios!$F$16),M151)</f>
        <v>0</v>
      </c>
      <c r="AD151" s="76">
        <f t="shared" si="29"/>
        <v>114.98981592187867</v>
      </c>
      <c r="AE151" s="76">
        <f>MAX(0,(AD151-Constantes!$D$13)*(1-EXP(-Constantes!$D$23)))</f>
        <v>0.65267668337323381</v>
      </c>
      <c r="AF151" s="76">
        <f>AB151+O151*Escenarios!$F$13/Escenarios!$F$16+AE151</f>
        <v>0.65267668337323415</v>
      </c>
      <c r="AG151" s="76">
        <f>IF(Entradas!$F$91&gt;0,IF(AF151-Escenarios!$F$38&lt;=0,0,IF(AF151-Escenarios!$F$38&gt;Escenarios!$F$37,Escenarios!$F$37,AF151-Escenarios!$F$38)),0)</f>
        <v>0</v>
      </c>
      <c r="AH151" s="76">
        <f>AG151*Entradas!$F$99</f>
        <v>0</v>
      </c>
      <c r="AI151" s="76">
        <f>IF(Entradas!$F$91&gt;0,D151*Entradas!$D$23/Escenarios!$F$16,0)</f>
        <v>0.1304658685038807</v>
      </c>
      <c r="AJ151" s="76">
        <f>IF(Entradas!$F$91&gt;0,Entradas!$D$24*Entradas!$D$22/Escenarios!$F$16,0)</f>
        <v>0.12</v>
      </c>
      <c r="AK151" s="76">
        <f t="shared" si="30"/>
        <v>0.1304658685040625</v>
      </c>
      <c r="AL151" s="76">
        <f t="shared" si="31"/>
        <v>0</v>
      </c>
      <c r="AM151" s="76">
        <f t="shared" si="32"/>
        <v>0</v>
      </c>
      <c r="AN151" s="76">
        <f>MAX(0,O151*Escenarios!$F$13/Escenarios!$F$16-AM151)</f>
        <v>3.7273688815089499E-16</v>
      </c>
      <c r="AO151" s="76">
        <f>AM151+AN151-O151*Escenarios!$F$13/Escenarios!$F$16</f>
        <v>0</v>
      </c>
      <c r="AP151" s="76">
        <f t="shared" si="33"/>
        <v>0.65267668337323381</v>
      </c>
      <c r="AQ151" s="76">
        <f t="shared" si="34"/>
        <v>0</v>
      </c>
      <c r="AR151" s="76">
        <f t="shared" si="35"/>
        <v>0.65267668337323415</v>
      </c>
      <c r="AS151" s="76">
        <f t="shared" si="36"/>
        <v>0</v>
      </c>
      <c r="AT151" s="76">
        <f t="shared" si="37"/>
        <v>0</v>
      </c>
      <c r="AU151" s="76">
        <f t="shared" si="38"/>
        <v>54.064551044149283</v>
      </c>
      <c r="AV151" s="76">
        <f>MAX(0,(AU151-Constantes!$D$13)*(1-EXP(-Constantes!$D$24)))</f>
        <v>8.123422575239829E-2</v>
      </c>
      <c r="AW151" s="170">
        <f>AW150+(Entradas!$F$112*AT151-AX150)/(800*Entradas!$D$25)</f>
        <v>0</v>
      </c>
      <c r="AX151" s="170">
        <f>8000*Entradas!$D$26*AW151/Constantes!$F$45</f>
        <v>0</v>
      </c>
      <c r="AY151" s="170">
        <f>IF(Escenarios!$F$17&gt;0,10*Escenarios!$F$16*AL151,0)</f>
        <v>0</v>
      </c>
      <c r="AZ151" s="170">
        <f>IF(Escenarios!$F$17&gt;0,10*Escenarios!$F$16*AX151,0)</f>
        <v>0</v>
      </c>
      <c r="BA151" s="170">
        <f>IF(Escenarios!$F$17&gt;0,0.001*Observaciones!$F150*Escenarios!$F$17,0)</f>
        <v>0</v>
      </c>
      <c r="BB151" s="170">
        <f>IF(Escenarios!$F$17&gt;0,Observaciones!$K150,0)</f>
        <v>0</v>
      </c>
      <c r="BC151" s="170">
        <f>IF(Escenarios!$F$17&gt;0,MIN(0.0005*ETo!$M150*Escenarios!$F$17*(BG150/Constantes!$F$40)^(2/3),BG150+AY151+AZ151+BA151+BB151),0)</f>
        <v>0</v>
      </c>
      <c r="BD151" s="170">
        <f>IF(Escenarios!$F$17&gt;0,MIN(Constantes!$F$39*(BG150/Constantes!$F$40)^(2/3),BG150+AY151+AZ151+BA151+BB151-BC151),0)</f>
        <v>0</v>
      </c>
      <c r="BE151" s="170">
        <f>IF(Escenarios!$F$17&gt;0,MIN(Entradas!$F$113,BG150+AY151+AZ151+BA151+BB151-BC151-BD151),0)</f>
        <v>0</v>
      </c>
      <c r="BF151" s="170">
        <f>IF(Escenarios!$F$17&gt;0,MAX(0,BG150+AY151+AZ151+BA151+BB151-BC151-BD151-BE151-Constantes!$F$40),0)</f>
        <v>0</v>
      </c>
      <c r="BG151" s="170">
        <f t="shared" si="39"/>
        <v>0</v>
      </c>
      <c r="BH151" s="170">
        <f>(Escenarios!$F$16*AK151+0.1*BC151)/(Escenarios!$F$19)</f>
        <v>0.13046586850406247</v>
      </c>
      <c r="BI151" s="170">
        <f>IF(Escenarios!$F$17&gt;0,BF151/10/Escenarios!$F$19,AL151)</f>
        <v>0</v>
      </c>
      <c r="BJ151" s="170">
        <f>(Escenarios!$F$16*AT151+0.1*BD151)/(Escenarios!$F$19)</f>
        <v>0</v>
      </c>
      <c r="BK151" s="76">
        <f>BK150+(0.1*BD151)/(Escenarios!$F$19)-BL150</f>
        <v>48.75</v>
      </c>
      <c r="BL151" s="76">
        <f>MAX(0,(BK151-Constantes!$D$13)*(1-EXP(-Constantes!$D$23)))</f>
        <v>0</v>
      </c>
      <c r="BM151" s="76">
        <f t="shared" si="40"/>
        <v>0.73391090912563206</v>
      </c>
      <c r="BN151" s="76">
        <f t="shared" si="41"/>
        <v>0.73391090912563239</v>
      </c>
      <c r="BO151" s="76">
        <f>0.0526*BI151*Observaciones!$F150^1.218</f>
        <v>0</v>
      </c>
      <c r="BP151" s="76">
        <f>BO151*Constantes!$F$51</f>
        <v>0</v>
      </c>
      <c r="BQ151" s="76">
        <f t="shared" si="42"/>
        <v>0</v>
      </c>
      <c r="BR151" s="40"/>
    </row>
    <row r="152" spans="2:70">
      <c r="B152" s="39"/>
      <c r="C152" s="75">
        <v>146</v>
      </c>
      <c r="D152" s="146">
        <f>ETo!$I151*((1-Constantes!$F$19)*ETo!$K151+ETo!$L151)</f>
        <v>2.7697745430742047</v>
      </c>
      <c r="E152" s="76">
        <f>MIN(D152*Constantes!$F$17,0.8*(N151+Observaciones!$F151-F152-M152-Constantes!$D$14))</f>
        <v>9.9475983006414035E-15</v>
      </c>
      <c r="F152" s="76">
        <f>IF(Observaciones!$F151&gt;0.05*Constantes!$F$18,((Observaciones!$F151-0.05*Constantes!$F$18)^2)/(Observaciones!$F151+0.95*Constantes!$F$18),0)</f>
        <v>0</v>
      </c>
      <c r="G152" s="76">
        <f>IF(Escenarios!$F$11&gt;0,(F152*Escenarios!$F$16*10000)/1000,0)</f>
        <v>0</v>
      </c>
      <c r="H152" s="76">
        <f>IF(Escenarios!$F$11&gt;0,(Observaciones!$F151*Constantes!$F$29)/1000,0)</f>
        <v>0</v>
      </c>
      <c r="I152" s="76">
        <f>IF(Escenarios!$F$11&gt;0,(D152*Constantes!$F$29)/1000,0)</f>
        <v>0</v>
      </c>
      <c r="J152" s="76">
        <f>IF(Escenarios!$F$11&gt;0,MAX(0,G152+H152-I152),0)</f>
        <v>0</v>
      </c>
      <c r="K152" s="76">
        <f>IF(Escenarios!$F$11&gt;0,IF(J152&gt;Constantes!$F$30,1000*((J152-Constantes!$F$30)/(Escenarios!$F$16*10000)),0),F152)</f>
        <v>0</v>
      </c>
      <c r="L152" s="76">
        <f>IF(Escenarios!$F$11&gt;0,I152*1000/Escenarios!$F$16/10000+E152,E152)</f>
        <v>9.9475983006414035E-15</v>
      </c>
      <c r="M152" s="76">
        <f>MAX(0,N151+Observaciones!$F151-K152-Constantes!$D$13)</f>
        <v>0</v>
      </c>
      <c r="N152" s="76">
        <f>N151+Observaciones!$F151-K152-L152-M152-O151</f>
        <v>11.250000000000002</v>
      </c>
      <c r="O152" s="76">
        <f>MAX(0,(N152-Constantes!$D$14)*(1-EXP(-Constantes!$D$22)))</f>
        <v>6.0509235089431002E-17</v>
      </c>
      <c r="P152" s="170">
        <f>P151+(Entradas!$F$83*M152-Q151)/(800*Entradas!$D$25)</f>
        <v>0</v>
      </c>
      <c r="Q152" s="170">
        <f>8000*Entradas!$D$26*P152/Constantes!$F$45</f>
        <v>0</v>
      </c>
      <c r="R152" s="170">
        <f>IF(Escenarios!$F$14&gt;0,K152*Escenarios!$F$13/Escenarios!$F$14,0)</f>
        <v>0</v>
      </c>
      <c r="S152" s="170">
        <f>IF(Escenarios!$F$14&gt;0,Q152*Escenarios!$F$13/Escenarios!$F$14,0)</f>
        <v>0</v>
      </c>
      <c r="T152" s="170">
        <f>IF(Escenarios!$F$14&gt;0,Observaciones!$I151,0)</f>
        <v>0</v>
      </c>
      <c r="U152" s="170">
        <f>IF(Escenarios!$F$14&gt;0,MAX(0,Constantes!$F$36/((Z151+R152+S152+T152+Observaciones!$F151)^2)+Entradas!$F$77),0)</f>
        <v>0</v>
      </c>
      <c r="V152" s="146">
        <f>IF(ETo!D151&gt;0,ETo!I151*((1-Entradas!$F$81)*ETo!K151+ETo!L151),0)</f>
        <v>2.4184918639237911</v>
      </c>
      <c r="W152" s="170">
        <f>IF(Escenarios!$F$14&gt;0,MIN(V152*1,0.8*(Z151+R152+S152+T152+Observaciones!$F151-U152-Constantes!$F$35)),0)</f>
        <v>2.1032064978498967E-13</v>
      </c>
      <c r="X152" s="170">
        <f>IF(Escenarios!$F$14&gt;0,Observaciones!$J151,0)</f>
        <v>0</v>
      </c>
      <c r="Y152" s="170">
        <f>IF(Escenarios!$F$14&gt;0,MAX(0,Z151+R152+S152+T152+Observaciones!$F151-U152-W152-X152-Constantes!$F$33),0)</f>
        <v>0</v>
      </c>
      <c r="Z152" s="170">
        <f>Z151+R152+S152+T152+Observaciones!$F151-U152-W152-Y152</f>
        <v>41.25000000000005</v>
      </c>
      <c r="AA152" s="170">
        <f>IF(Escenarios!$F$14&gt;0,(Escenarios!$F$13*L152+Escenarios!$F$14*W152)/(Escenarios!$F$16),L152)</f>
        <v>3.3992364478763192E-14</v>
      </c>
      <c r="AB152" s="170">
        <f>IF(Escenarios!$F$14&gt;0,(Escenarios!$F$14*Y152)/(Escenarios!$F$16),K152)</f>
        <v>0</v>
      </c>
      <c r="AC152" s="170">
        <f>IF(Escenarios!$F$14&gt;0,(Escenarios!$F$13*M152+Escenarios!$F$14*U152)/(Escenarios!$F$16),M152)</f>
        <v>0</v>
      </c>
      <c r="AD152" s="76">
        <f t="shared" si="29"/>
        <v>114.33713923850544</v>
      </c>
      <c r="AE152" s="76">
        <f>MAX(0,(AD152-Constantes!$D$13)*(1-EXP(-Constantes!$D$23)))</f>
        <v>0.64624570455648289</v>
      </c>
      <c r="AF152" s="76">
        <f>AB152+O152*Escenarios!$F$13/Escenarios!$F$16+AE152</f>
        <v>0.64624570455648289</v>
      </c>
      <c r="AG152" s="76">
        <f>IF(Entradas!$F$91&gt;0,IF(AF152-Escenarios!$F$38&lt;=0,0,IF(AF152-Escenarios!$F$38&gt;Escenarios!$F$37,Escenarios!$F$37,AF152-Escenarios!$F$38)),0)</f>
        <v>0</v>
      </c>
      <c r="AH152" s="76">
        <f>AG152*Entradas!$F$99</f>
        <v>0</v>
      </c>
      <c r="AI152" s="76">
        <f>IF(Entradas!$F$91&gt;0,D152*Entradas!$D$23/Escenarios!$F$16,0)</f>
        <v>0.13294917806756182</v>
      </c>
      <c r="AJ152" s="76">
        <f>IF(Entradas!$F$91&gt;0,Entradas!$D$24*Entradas!$D$22/Escenarios!$F$16,0)</f>
        <v>0.12</v>
      </c>
      <c r="AK152" s="76">
        <f t="shared" si="30"/>
        <v>0.13294917806759582</v>
      </c>
      <c r="AL152" s="76">
        <f t="shared" si="31"/>
        <v>0</v>
      </c>
      <c r="AM152" s="76">
        <f t="shared" si="32"/>
        <v>0</v>
      </c>
      <c r="AN152" s="76">
        <f>MAX(0,O152*Escenarios!$F$13/Escenarios!$F$16-AM152)</f>
        <v>5.3248126878699284E-17</v>
      </c>
      <c r="AO152" s="76">
        <f>AM152+AN152-O152*Escenarios!$F$13/Escenarios!$F$16</f>
        <v>0</v>
      </c>
      <c r="AP152" s="76">
        <f t="shared" si="33"/>
        <v>0.64624570455648289</v>
      </c>
      <c r="AQ152" s="76">
        <f t="shared" si="34"/>
        <v>0</v>
      </c>
      <c r="AR152" s="76">
        <f t="shared" si="35"/>
        <v>0.64624570455648289</v>
      </c>
      <c r="AS152" s="76">
        <f t="shared" si="36"/>
        <v>0</v>
      </c>
      <c r="AT152" s="76">
        <f t="shared" si="37"/>
        <v>0</v>
      </c>
      <c r="AU152" s="76">
        <f t="shared" si="38"/>
        <v>53.983316818396887</v>
      </c>
      <c r="AV152" s="76">
        <f>MAX(0,(AU152-Constantes!$D$13)*(1-EXP(-Constantes!$D$24)))</f>
        <v>7.999254054159273E-2</v>
      </c>
      <c r="AW152" s="170">
        <f>AW151+(Entradas!$F$112*AT152-AX151)/(800*Entradas!$D$25)</f>
        <v>0</v>
      </c>
      <c r="AX152" s="170">
        <f>8000*Entradas!$D$26*AW152/Constantes!$F$45</f>
        <v>0</v>
      </c>
      <c r="AY152" s="170">
        <f>IF(Escenarios!$F$17&gt;0,10*Escenarios!$F$16*AL152,0)</f>
        <v>0</v>
      </c>
      <c r="AZ152" s="170">
        <f>IF(Escenarios!$F$17&gt;0,10*Escenarios!$F$16*AX152,0)</f>
        <v>0</v>
      </c>
      <c r="BA152" s="170">
        <f>IF(Escenarios!$F$17&gt;0,0.001*Observaciones!$F151*Escenarios!$F$17,0)</f>
        <v>0</v>
      </c>
      <c r="BB152" s="170">
        <f>IF(Escenarios!$F$17&gt;0,Observaciones!$K151,0)</f>
        <v>0</v>
      </c>
      <c r="BC152" s="170">
        <f>IF(Escenarios!$F$17&gt;0,MIN(0.0005*ETo!$M151*Escenarios!$F$17*(BG151/Constantes!$F$40)^(2/3),BG151+AY152+AZ152+BA152+BB152),0)</f>
        <v>0</v>
      </c>
      <c r="BD152" s="170">
        <f>IF(Escenarios!$F$17&gt;0,MIN(Constantes!$F$39*(BG151/Constantes!$F$40)^(2/3),BG151+AY152+AZ152+BA152+BB152-BC152),0)</f>
        <v>0</v>
      </c>
      <c r="BE152" s="170">
        <f>IF(Escenarios!$F$17&gt;0,MIN(Entradas!$F$113,BG151+AY152+AZ152+BA152+BB152-BC152-BD152),0)</f>
        <v>0</v>
      </c>
      <c r="BF152" s="170">
        <f>IF(Escenarios!$F$17&gt;0,MAX(0,BG151+AY152+AZ152+BA152+BB152-BC152-BD152-BE152-Constantes!$F$40),0)</f>
        <v>0</v>
      </c>
      <c r="BG152" s="170">
        <f t="shared" si="39"/>
        <v>0</v>
      </c>
      <c r="BH152" s="170">
        <f>(Escenarios!$F$16*AK152+0.1*BC152)/(Escenarios!$F$19)</f>
        <v>0.13294917806759582</v>
      </c>
      <c r="BI152" s="170">
        <f>IF(Escenarios!$F$17&gt;0,BF152/10/Escenarios!$F$19,AL152)</f>
        <v>0</v>
      </c>
      <c r="BJ152" s="170">
        <f>(Escenarios!$F$16*AT152+0.1*BD152)/(Escenarios!$F$19)</f>
        <v>0</v>
      </c>
      <c r="BK152" s="76">
        <f>BK151+(0.1*BD152)/(Escenarios!$F$19)-BL151</f>
        <v>48.75</v>
      </c>
      <c r="BL152" s="76">
        <f>MAX(0,(BK152-Constantes!$D$13)*(1-EXP(-Constantes!$D$23)))</f>
        <v>0</v>
      </c>
      <c r="BM152" s="76">
        <f t="shared" si="40"/>
        <v>0.72623824509807566</v>
      </c>
      <c r="BN152" s="76">
        <f t="shared" si="41"/>
        <v>0.72623824509807566</v>
      </c>
      <c r="BO152" s="76">
        <f>0.0526*BI152*Observaciones!$F151^1.218</f>
        <v>0</v>
      </c>
      <c r="BP152" s="76">
        <f>BO152*Constantes!$F$51</f>
        <v>0</v>
      </c>
      <c r="BQ152" s="76">
        <f t="shared" si="42"/>
        <v>0</v>
      </c>
      <c r="BR152" s="40"/>
    </row>
    <row r="153" spans="2:70">
      <c r="B153" s="39"/>
      <c r="C153" s="75">
        <v>147</v>
      </c>
      <c r="D153" s="146">
        <f>ETo!$I152*((1-Constantes!$F$19)*ETo!$K152+ETo!$L152)</f>
        <v>2.7803157996196304</v>
      </c>
      <c r="E153" s="76">
        <f>MIN(D153*Constantes!$F$17,0.8*(N152+Observaciones!$F152-F153-M153-Constantes!$D$14))</f>
        <v>1.4210854715202005E-15</v>
      </c>
      <c r="F153" s="76">
        <f>IF(Observaciones!$F152&gt;0.05*Constantes!$F$18,((Observaciones!$F152-0.05*Constantes!$F$18)^2)/(Observaciones!$F152+0.95*Constantes!$F$18),0)</f>
        <v>0</v>
      </c>
      <c r="G153" s="76">
        <f>IF(Escenarios!$F$11&gt;0,(F153*Escenarios!$F$16*10000)/1000,0)</f>
        <v>0</v>
      </c>
      <c r="H153" s="76">
        <f>IF(Escenarios!$F$11&gt;0,(Observaciones!$F152*Constantes!$F$29)/1000,0)</f>
        <v>0</v>
      </c>
      <c r="I153" s="76">
        <f>IF(Escenarios!$F$11&gt;0,(D153*Constantes!$F$29)/1000,0)</f>
        <v>0</v>
      </c>
      <c r="J153" s="76">
        <f>IF(Escenarios!$F$11&gt;0,MAX(0,G153+H153-I153),0)</f>
        <v>0</v>
      </c>
      <c r="K153" s="76">
        <f>IF(Escenarios!$F$11&gt;0,IF(J153&gt;Constantes!$F$30,1000*((J153-Constantes!$F$30)/(Escenarios!$F$16*10000)),0),F153)</f>
        <v>0</v>
      </c>
      <c r="L153" s="76">
        <f>IF(Escenarios!$F$11&gt;0,I153*1000/Escenarios!$F$16/10000+E153,E153)</f>
        <v>1.4210854715202005E-15</v>
      </c>
      <c r="M153" s="76">
        <f>MAX(0,N152+Observaciones!$F152-K153-Constantes!$D$13)</f>
        <v>0</v>
      </c>
      <c r="N153" s="76">
        <f>N152+Observaciones!$F152-K153-L153-M153-O152</f>
        <v>11.25</v>
      </c>
      <c r="O153" s="76">
        <f>MAX(0,(N153-Constantes!$D$14)*(1-EXP(-Constantes!$D$22)))</f>
        <v>0</v>
      </c>
      <c r="P153" s="170">
        <f>P152+(Entradas!$F$83*M153-Q152)/(800*Entradas!$D$25)</f>
        <v>0</v>
      </c>
      <c r="Q153" s="170">
        <f>8000*Entradas!$D$26*P153/Constantes!$F$45</f>
        <v>0</v>
      </c>
      <c r="R153" s="170">
        <f>IF(Escenarios!$F$14&gt;0,K153*Escenarios!$F$13/Escenarios!$F$14,0)</f>
        <v>0</v>
      </c>
      <c r="S153" s="170">
        <f>IF(Escenarios!$F$14&gt;0,Q153*Escenarios!$F$13/Escenarios!$F$14,0)</f>
        <v>0</v>
      </c>
      <c r="T153" s="170">
        <f>IF(Escenarios!$F$14&gt;0,Observaciones!$I152,0)</f>
        <v>0</v>
      </c>
      <c r="U153" s="170">
        <f>IF(Escenarios!$F$14&gt;0,MAX(0,Constantes!$F$36/((Z152+R153+S153+T153+Observaciones!$F152)^2)+Entradas!$F$77),0)</f>
        <v>0</v>
      </c>
      <c r="V153" s="146">
        <f>IF(ETo!D152&gt;0,ETo!I152*((1-Entradas!$F$81)*ETo!K152+ETo!L152),0)</f>
        <v>2.427442624458557</v>
      </c>
      <c r="W153" s="170">
        <f>IF(Escenarios!$F$14&gt;0,MIN(V153*1,0.8*(Z152+R153+S153+T153+Observaciones!$F152-U153-Constantes!$F$35)),0)</f>
        <v>3.9790393202565614E-14</v>
      </c>
      <c r="X153" s="170">
        <f>IF(Escenarios!$F$14&gt;0,Observaciones!$J152,0)</f>
        <v>0</v>
      </c>
      <c r="Y153" s="170">
        <f>IF(Escenarios!$F$14&gt;0,MAX(0,Z152+R153+S153+T153+Observaciones!$F152-U153-W153-X153-Constantes!$F$33),0)</f>
        <v>0</v>
      </c>
      <c r="Z153" s="170">
        <f>Z152+R153+S153+T153+Observaciones!$F152-U153-W153-Y153</f>
        <v>41.250000000000007</v>
      </c>
      <c r="AA153" s="170">
        <f>IF(Escenarios!$F$14&gt;0,(Escenarios!$F$13*L153+Escenarios!$F$14*W153)/(Escenarios!$F$16),L153)</f>
        <v>6.0254023992456502E-15</v>
      </c>
      <c r="AB153" s="170">
        <f>IF(Escenarios!$F$14&gt;0,(Escenarios!$F$14*Y153)/(Escenarios!$F$16),K153)</f>
        <v>0</v>
      </c>
      <c r="AC153" s="170">
        <f>IF(Escenarios!$F$14&gt;0,(Escenarios!$F$13*M153+Escenarios!$F$14*U153)/(Escenarios!$F$16),M153)</f>
        <v>0</v>
      </c>
      <c r="AD153" s="76">
        <f t="shared" si="29"/>
        <v>113.69089353394897</v>
      </c>
      <c r="AE153" s="76">
        <f>MAX(0,(AD153-Constantes!$D$13)*(1-EXP(-Constantes!$D$23)))</f>
        <v>0.63987809170575327</v>
      </c>
      <c r="AF153" s="76">
        <f>AB153+O153*Escenarios!$F$13/Escenarios!$F$16+AE153</f>
        <v>0.63987809170575327</v>
      </c>
      <c r="AG153" s="76">
        <f>IF(Entradas!$F$91&gt;0,IF(AF153-Escenarios!$F$38&lt;=0,0,IF(AF153-Escenarios!$F$38&gt;Escenarios!$F$37,Escenarios!$F$37,AF153-Escenarios!$F$38)),0)</f>
        <v>0</v>
      </c>
      <c r="AH153" s="76">
        <f>AG153*Entradas!$F$99</f>
        <v>0</v>
      </c>
      <c r="AI153" s="76">
        <f>IF(Entradas!$F$91&gt;0,D153*Entradas!$D$23/Escenarios!$F$16,0)</f>
        <v>0.13345515838174224</v>
      </c>
      <c r="AJ153" s="76">
        <f>IF(Entradas!$F$91&gt;0,Entradas!$D$24*Entradas!$D$22/Escenarios!$F$16,0)</f>
        <v>0.12</v>
      </c>
      <c r="AK153" s="76">
        <f t="shared" si="30"/>
        <v>0.13345515838174826</v>
      </c>
      <c r="AL153" s="76">
        <f t="shared" si="31"/>
        <v>0</v>
      </c>
      <c r="AM153" s="76">
        <f t="shared" si="32"/>
        <v>0</v>
      </c>
      <c r="AN153" s="76">
        <f>MAX(0,O153*Escenarios!$F$13/Escenarios!$F$16-AM153)</f>
        <v>0</v>
      </c>
      <c r="AO153" s="76">
        <f>AM153+AN153-O153*Escenarios!$F$13/Escenarios!$F$16</f>
        <v>0</v>
      </c>
      <c r="AP153" s="76">
        <f t="shared" si="33"/>
        <v>0.63987809170575327</v>
      </c>
      <c r="AQ153" s="76">
        <f t="shared" si="34"/>
        <v>0</v>
      </c>
      <c r="AR153" s="76">
        <f t="shared" si="35"/>
        <v>0.63987809170575327</v>
      </c>
      <c r="AS153" s="76">
        <f t="shared" si="36"/>
        <v>0</v>
      </c>
      <c r="AT153" s="76">
        <f t="shared" si="37"/>
        <v>0</v>
      </c>
      <c r="AU153" s="76">
        <f t="shared" si="38"/>
        <v>53.90332427785529</v>
      </c>
      <c r="AV153" s="76">
        <f>MAX(0,(AU153-Constantes!$D$13)*(1-EXP(-Constantes!$D$24)))</f>
        <v>7.8769834796011906E-2</v>
      </c>
      <c r="AW153" s="170">
        <f>AW152+(Entradas!$F$112*AT153-AX152)/(800*Entradas!$D$25)</f>
        <v>0</v>
      </c>
      <c r="AX153" s="170">
        <f>8000*Entradas!$D$26*AW153/Constantes!$F$45</f>
        <v>0</v>
      </c>
      <c r="AY153" s="170">
        <f>IF(Escenarios!$F$17&gt;0,10*Escenarios!$F$16*AL153,0)</f>
        <v>0</v>
      </c>
      <c r="AZ153" s="170">
        <f>IF(Escenarios!$F$17&gt;0,10*Escenarios!$F$16*AX153,0)</f>
        <v>0</v>
      </c>
      <c r="BA153" s="170">
        <f>IF(Escenarios!$F$17&gt;0,0.001*Observaciones!$F152*Escenarios!$F$17,0)</f>
        <v>0</v>
      </c>
      <c r="BB153" s="170">
        <f>IF(Escenarios!$F$17&gt;0,Observaciones!$K152,0)</f>
        <v>0</v>
      </c>
      <c r="BC153" s="170">
        <f>IF(Escenarios!$F$17&gt;0,MIN(0.0005*ETo!$M152*Escenarios!$F$17*(BG152/Constantes!$F$40)^(2/3),BG152+AY153+AZ153+BA153+BB153),0)</f>
        <v>0</v>
      </c>
      <c r="BD153" s="170">
        <f>IF(Escenarios!$F$17&gt;0,MIN(Constantes!$F$39*(BG152/Constantes!$F$40)^(2/3),BG152+AY153+AZ153+BA153+BB153-BC153),0)</f>
        <v>0</v>
      </c>
      <c r="BE153" s="170">
        <f>IF(Escenarios!$F$17&gt;0,MIN(Entradas!$F$113,BG152+AY153+AZ153+BA153+BB153-BC153-BD153),0)</f>
        <v>0</v>
      </c>
      <c r="BF153" s="170">
        <f>IF(Escenarios!$F$17&gt;0,MAX(0,BG152+AY153+AZ153+BA153+BB153-BC153-BD153-BE153-Constantes!$F$40),0)</f>
        <v>0</v>
      </c>
      <c r="BG153" s="170">
        <f t="shared" si="39"/>
        <v>0</v>
      </c>
      <c r="BH153" s="170">
        <f>(Escenarios!$F$16*AK153+0.1*BC153)/(Escenarios!$F$19)</f>
        <v>0.13345515838174829</v>
      </c>
      <c r="BI153" s="170">
        <f>IF(Escenarios!$F$17&gt;0,BF153/10/Escenarios!$F$19,AL153)</f>
        <v>0</v>
      </c>
      <c r="BJ153" s="170">
        <f>(Escenarios!$F$16*AT153+0.1*BD153)/(Escenarios!$F$19)</f>
        <v>0</v>
      </c>
      <c r="BK153" s="76">
        <f>BK152+(0.1*BD153)/(Escenarios!$F$19)-BL152</f>
        <v>48.75</v>
      </c>
      <c r="BL153" s="76">
        <f>MAX(0,(BK153-Constantes!$D$13)*(1-EXP(-Constantes!$D$23)))</f>
        <v>0</v>
      </c>
      <c r="BM153" s="76">
        <f t="shared" si="40"/>
        <v>0.71864792650176512</v>
      </c>
      <c r="BN153" s="76">
        <f t="shared" si="41"/>
        <v>0.71864792650176512</v>
      </c>
      <c r="BO153" s="76">
        <f>0.0526*BI153*Observaciones!$F152^1.218</f>
        <v>0</v>
      </c>
      <c r="BP153" s="76">
        <f>BO153*Constantes!$F$51</f>
        <v>0</v>
      </c>
      <c r="BQ153" s="76">
        <f t="shared" si="42"/>
        <v>0</v>
      </c>
      <c r="BR153" s="40"/>
    </row>
    <row r="154" spans="2:70">
      <c r="B154" s="39"/>
      <c r="C154" s="75">
        <v>148</v>
      </c>
      <c r="D154" s="146">
        <f>ETo!$I153*((1-Constantes!$F$19)*ETo!$K153+ETo!$L153)</f>
        <v>2.7214229904239788</v>
      </c>
      <c r="E154" s="76">
        <f>MIN(D154*Constantes!$F$17,0.8*(N153+Observaciones!$F153-F154-M154-Constantes!$D$14))</f>
        <v>0</v>
      </c>
      <c r="F154" s="76">
        <f>IF(Observaciones!$F153&gt;0.05*Constantes!$F$18,((Observaciones!$F153-0.05*Constantes!$F$18)^2)/(Observaciones!$F153+0.95*Constantes!$F$18),0)</f>
        <v>0</v>
      </c>
      <c r="G154" s="76">
        <f>IF(Escenarios!$F$11&gt;0,(F154*Escenarios!$F$16*10000)/1000,0)</f>
        <v>0</v>
      </c>
      <c r="H154" s="76">
        <f>IF(Escenarios!$F$11&gt;0,(Observaciones!$F153*Constantes!$F$29)/1000,0)</f>
        <v>0</v>
      </c>
      <c r="I154" s="76">
        <f>IF(Escenarios!$F$11&gt;0,(D154*Constantes!$F$29)/1000,0)</f>
        <v>0</v>
      </c>
      <c r="J154" s="76">
        <f>IF(Escenarios!$F$11&gt;0,MAX(0,G154+H154-I154),0)</f>
        <v>0</v>
      </c>
      <c r="K154" s="76">
        <f>IF(Escenarios!$F$11&gt;0,IF(J154&gt;Constantes!$F$30,1000*((J154-Constantes!$F$30)/(Escenarios!$F$16*10000)),0),F154)</f>
        <v>0</v>
      </c>
      <c r="L154" s="76">
        <f>IF(Escenarios!$F$11&gt;0,I154*1000/Escenarios!$F$16/10000+E154,E154)</f>
        <v>0</v>
      </c>
      <c r="M154" s="76">
        <f>MAX(0,N153+Observaciones!$F153-K154-Constantes!$D$13)</f>
        <v>0</v>
      </c>
      <c r="N154" s="76">
        <f>N153+Observaciones!$F153-K154-L154-M154-O153</f>
        <v>11.25</v>
      </c>
      <c r="O154" s="76">
        <f>MAX(0,(N154-Constantes!$D$14)*(1-EXP(-Constantes!$D$22)))</f>
        <v>0</v>
      </c>
      <c r="P154" s="170">
        <f>P153+(Entradas!$F$83*M154-Q153)/(800*Entradas!$D$25)</f>
        <v>0</v>
      </c>
      <c r="Q154" s="170">
        <f>8000*Entradas!$D$26*P154/Constantes!$F$45</f>
        <v>0</v>
      </c>
      <c r="R154" s="170">
        <f>IF(Escenarios!$F$14&gt;0,K154*Escenarios!$F$13/Escenarios!$F$14,0)</f>
        <v>0</v>
      </c>
      <c r="S154" s="170">
        <f>IF(Escenarios!$F$14&gt;0,Q154*Escenarios!$F$13/Escenarios!$F$14,0)</f>
        <v>0</v>
      </c>
      <c r="T154" s="170">
        <f>IF(Escenarios!$F$14&gt;0,Observaciones!$I153,0)</f>
        <v>0</v>
      </c>
      <c r="U154" s="170">
        <f>IF(Escenarios!$F$14&gt;0,MAX(0,Constantes!$F$36/((Z153+R154+S154+T154+Observaciones!$F153)^2)+Entradas!$F$77),0)</f>
        <v>0</v>
      </c>
      <c r="V154" s="146">
        <f>IF(ETo!D153&gt;0,ETo!I153*((1-Entradas!$F$81)*ETo!K153+ETo!L153),0)</f>
        <v>2.3749945712333251</v>
      </c>
      <c r="W154" s="170">
        <f>IF(Escenarios!$F$14&gt;0,MIN(V154*1,0.8*(Z153+R154+S154+T154+Observaciones!$F153-U154-Constantes!$F$35)),0)</f>
        <v>5.6843418860808018E-15</v>
      </c>
      <c r="X154" s="170">
        <f>IF(Escenarios!$F$14&gt;0,Observaciones!$J153,0)</f>
        <v>0</v>
      </c>
      <c r="Y154" s="170">
        <f>IF(Escenarios!$F$14&gt;0,MAX(0,Z153+R154+S154+T154+Observaciones!$F153-U154-W154-X154-Constantes!$F$33),0)</f>
        <v>0</v>
      </c>
      <c r="Z154" s="170">
        <f>Z153+R154+S154+T154+Observaciones!$F153-U154-W154-Y154</f>
        <v>41.25</v>
      </c>
      <c r="AA154" s="170">
        <f>IF(Escenarios!$F$14&gt;0,(Escenarios!$F$13*L154+Escenarios!$F$14*W154)/(Escenarios!$F$16),L154)</f>
        <v>6.8212102632969619E-16</v>
      </c>
      <c r="AB154" s="170">
        <f>IF(Escenarios!$F$14&gt;0,(Escenarios!$F$14*Y154)/(Escenarios!$F$16),K154)</f>
        <v>0</v>
      </c>
      <c r="AC154" s="170">
        <f>IF(Escenarios!$F$14&gt;0,(Escenarios!$F$13*M154+Escenarios!$F$14*U154)/(Escenarios!$F$16),M154)</f>
        <v>0</v>
      </c>
      <c r="AD154" s="76">
        <f t="shared" si="29"/>
        <v>113.05101544224321</v>
      </c>
      <c r="AE154" s="76">
        <f>MAX(0,(AD154-Constantes!$D$13)*(1-EXP(-Constantes!$D$23)))</f>
        <v>0.6335732204610891</v>
      </c>
      <c r="AF154" s="76">
        <f>AB154+O154*Escenarios!$F$13/Escenarios!$F$16+AE154</f>
        <v>0.6335732204610891</v>
      </c>
      <c r="AG154" s="76">
        <f>IF(Entradas!$F$91&gt;0,IF(AF154-Escenarios!$F$38&lt;=0,0,IF(AF154-Escenarios!$F$38&gt;Escenarios!$F$37,Escenarios!$F$37,AF154-Escenarios!$F$38)),0)</f>
        <v>0</v>
      </c>
      <c r="AH154" s="76">
        <f>AG154*Entradas!$F$99</f>
        <v>0</v>
      </c>
      <c r="AI154" s="76">
        <f>IF(Entradas!$F$91&gt;0,D154*Entradas!$D$23/Escenarios!$F$16,0)</f>
        <v>0.13062830354035099</v>
      </c>
      <c r="AJ154" s="76">
        <f>IF(Entradas!$F$91&gt;0,Entradas!$D$24*Entradas!$D$22/Escenarios!$F$16,0)</f>
        <v>0.12</v>
      </c>
      <c r="AK154" s="76">
        <f t="shared" si="30"/>
        <v>0.13062830354035168</v>
      </c>
      <c r="AL154" s="76">
        <f t="shared" si="31"/>
        <v>0</v>
      </c>
      <c r="AM154" s="76">
        <f t="shared" si="32"/>
        <v>0</v>
      </c>
      <c r="AN154" s="76">
        <f>MAX(0,O154*Escenarios!$F$13/Escenarios!$F$16-AM154)</f>
        <v>0</v>
      </c>
      <c r="AO154" s="76">
        <f>AM154+AN154-O154*Escenarios!$F$13/Escenarios!$F$16</f>
        <v>0</v>
      </c>
      <c r="AP154" s="76">
        <f t="shared" si="33"/>
        <v>0.6335732204610891</v>
      </c>
      <c r="AQ154" s="76">
        <f t="shared" si="34"/>
        <v>0</v>
      </c>
      <c r="AR154" s="76">
        <f t="shared" si="35"/>
        <v>0.6335732204610891</v>
      </c>
      <c r="AS154" s="76">
        <f t="shared" si="36"/>
        <v>0</v>
      </c>
      <c r="AT154" s="76">
        <f t="shared" si="37"/>
        <v>0</v>
      </c>
      <c r="AU154" s="76">
        <f t="shared" si="38"/>
        <v>53.824554443059277</v>
      </c>
      <c r="AV154" s="76">
        <f>MAX(0,(AU154-Constantes!$D$13)*(1-EXP(-Constantes!$D$24)))</f>
        <v>7.7565818409840809E-2</v>
      </c>
      <c r="AW154" s="170">
        <f>AW153+(Entradas!$F$112*AT154-AX153)/(800*Entradas!$D$25)</f>
        <v>0</v>
      </c>
      <c r="AX154" s="170">
        <f>8000*Entradas!$D$26*AW154/Constantes!$F$45</f>
        <v>0</v>
      </c>
      <c r="AY154" s="170">
        <f>IF(Escenarios!$F$17&gt;0,10*Escenarios!$F$16*AL154,0)</f>
        <v>0</v>
      </c>
      <c r="AZ154" s="170">
        <f>IF(Escenarios!$F$17&gt;0,10*Escenarios!$F$16*AX154,0)</f>
        <v>0</v>
      </c>
      <c r="BA154" s="170">
        <f>IF(Escenarios!$F$17&gt;0,0.001*Observaciones!$F153*Escenarios!$F$17,0)</f>
        <v>0</v>
      </c>
      <c r="BB154" s="170">
        <f>IF(Escenarios!$F$17&gt;0,Observaciones!$K153,0)</f>
        <v>0</v>
      </c>
      <c r="BC154" s="170">
        <f>IF(Escenarios!$F$17&gt;0,MIN(0.0005*ETo!$M153*Escenarios!$F$17*(BG153/Constantes!$F$40)^(2/3),BG153+AY154+AZ154+BA154+BB154),0)</f>
        <v>0</v>
      </c>
      <c r="BD154" s="170">
        <f>IF(Escenarios!$F$17&gt;0,MIN(Constantes!$F$39*(BG153/Constantes!$F$40)^(2/3),BG153+AY154+AZ154+BA154+BB154-BC154),0)</f>
        <v>0</v>
      </c>
      <c r="BE154" s="170">
        <f>IF(Escenarios!$F$17&gt;0,MIN(Entradas!$F$113,BG153+AY154+AZ154+BA154+BB154-BC154-BD154),0)</f>
        <v>0</v>
      </c>
      <c r="BF154" s="170">
        <f>IF(Escenarios!$F$17&gt;0,MAX(0,BG153+AY154+AZ154+BA154+BB154-BC154-BD154-BE154-Constantes!$F$40),0)</f>
        <v>0</v>
      </c>
      <c r="BG154" s="170">
        <f t="shared" si="39"/>
        <v>0</v>
      </c>
      <c r="BH154" s="170">
        <f>(Escenarios!$F$16*AK154+0.1*BC154)/(Escenarios!$F$19)</f>
        <v>0.13062830354035168</v>
      </c>
      <c r="BI154" s="170">
        <f>IF(Escenarios!$F$17&gt;0,BF154/10/Escenarios!$F$19,AL154)</f>
        <v>0</v>
      </c>
      <c r="BJ154" s="170">
        <f>(Escenarios!$F$16*AT154+0.1*BD154)/(Escenarios!$F$19)</f>
        <v>0</v>
      </c>
      <c r="BK154" s="76">
        <f>BK153+(0.1*BD154)/(Escenarios!$F$19)-BL153</f>
        <v>48.75</v>
      </c>
      <c r="BL154" s="76">
        <f>MAX(0,(BK154-Constantes!$D$13)*(1-EXP(-Constantes!$D$23)))</f>
        <v>0</v>
      </c>
      <c r="BM154" s="76">
        <f t="shared" si="40"/>
        <v>0.71113903887092988</v>
      </c>
      <c r="BN154" s="76">
        <f t="shared" si="41"/>
        <v>0.71113903887092988</v>
      </c>
      <c r="BO154" s="76">
        <f>0.0526*BI154*Observaciones!$F153^1.218</f>
        <v>0</v>
      </c>
      <c r="BP154" s="76">
        <f>BO154*Constantes!$F$51</f>
        <v>0</v>
      </c>
      <c r="BQ154" s="76">
        <f t="shared" si="42"/>
        <v>0</v>
      </c>
      <c r="BR154" s="40"/>
    </row>
    <row r="155" spans="2:70">
      <c r="B155" s="39"/>
      <c r="C155" s="75">
        <v>149</v>
      </c>
      <c r="D155" s="146">
        <f>ETo!$I154*((1-Constantes!$F$19)*ETo!$K154+ETo!$L154)</f>
        <v>2.7073878948290875</v>
      </c>
      <c r="E155" s="76">
        <f>MIN(D155*Constantes!$F$17,0.8*(N154+Observaciones!$F154-F155-M155-Constantes!$D$14))</f>
        <v>0</v>
      </c>
      <c r="F155" s="76">
        <f>IF(Observaciones!$F154&gt;0.05*Constantes!$F$18,((Observaciones!$F154-0.05*Constantes!$F$18)^2)/(Observaciones!$F154+0.95*Constantes!$F$18),0)</f>
        <v>0</v>
      </c>
      <c r="G155" s="76">
        <f>IF(Escenarios!$F$11&gt;0,(F155*Escenarios!$F$16*10000)/1000,0)</f>
        <v>0</v>
      </c>
      <c r="H155" s="76">
        <f>IF(Escenarios!$F$11&gt;0,(Observaciones!$F154*Constantes!$F$29)/1000,0)</f>
        <v>0</v>
      </c>
      <c r="I155" s="76">
        <f>IF(Escenarios!$F$11&gt;0,(D155*Constantes!$F$29)/1000,0)</f>
        <v>0</v>
      </c>
      <c r="J155" s="76">
        <f>IF(Escenarios!$F$11&gt;0,MAX(0,G155+H155-I155),0)</f>
        <v>0</v>
      </c>
      <c r="K155" s="76">
        <f>IF(Escenarios!$F$11&gt;0,IF(J155&gt;Constantes!$F$30,1000*((J155-Constantes!$F$30)/(Escenarios!$F$16*10000)),0),F155)</f>
        <v>0</v>
      </c>
      <c r="L155" s="76">
        <f>IF(Escenarios!$F$11&gt;0,I155*1000/Escenarios!$F$16/10000+E155,E155)</f>
        <v>0</v>
      </c>
      <c r="M155" s="76">
        <f>MAX(0,N154+Observaciones!$F154-K155-Constantes!$D$13)</f>
        <v>0</v>
      </c>
      <c r="N155" s="76">
        <f>N154+Observaciones!$F154-K155-L155-M155-O154</f>
        <v>11.25</v>
      </c>
      <c r="O155" s="76">
        <f>MAX(0,(N155-Constantes!$D$14)*(1-EXP(-Constantes!$D$22)))</f>
        <v>0</v>
      </c>
      <c r="P155" s="170">
        <f>P154+(Entradas!$F$83*M155-Q154)/(800*Entradas!$D$25)</f>
        <v>0</v>
      </c>
      <c r="Q155" s="170">
        <f>8000*Entradas!$D$26*P155/Constantes!$F$45</f>
        <v>0</v>
      </c>
      <c r="R155" s="170">
        <f>IF(Escenarios!$F$14&gt;0,K155*Escenarios!$F$13/Escenarios!$F$14,0)</f>
        <v>0</v>
      </c>
      <c r="S155" s="170">
        <f>IF(Escenarios!$F$14&gt;0,Q155*Escenarios!$F$13/Escenarios!$F$14,0)</f>
        <v>0</v>
      </c>
      <c r="T155" s="170">
        <f>IF(Escenarios!$F$14&gt;0,Observaciones!$I154,0)</f>
        <v>0</v>
      </c>
      <c r="U155" s="170">
        <f>IF(Escenarios!$F$14&gt;0,MAX(0,Constantes!$F$36/((Z154+R155+S155+T155+Observaciones!$F154)^2)+Entradas!$F$77),0)</f>
        <v>0</v>
      </c>
      <c r="V155" s="146">
        <f>IF(ETo!D154&gt;0,ETo!I154*((1-Entradas!$F$81)*ETo!K154+ETo!L154),0)</f>
        <v>2.3622300790266682</v>
      </c>
      <c r="W155" s="170">
        <f>IF(Escenarios!$F$14&gt;0,MIN(V155*1,0.8*(Z154+R155+S155+T155+Observaciones!$F154-U155-Constantes!$F$35)),0)</f>
        <v>0</v>
      </c>
      <c r="X155" s="170">
        <f>IF(Escenarios!$F$14&gt;0,Observaciones!$J154,0)</f>
        <v>0</v>
      </c>
      <c r="Y155" s="170">
        <f>IF(Escenarios!$F$14&gt;0,MAX(0,Z154+R155+S155+T155+Observaciones!$F154-U155-W155-X155-Constantes!$F$33),0)</f>
        <v>0</v>
      </c>
      <c r="Z155" s="170">
        <f>Z154+R155+S155+T155+Observaciones!$F154-U155-W155-Y155</f>
        <v>41.25</v>
      </c>
      <c r="AA155" s="170">
        <f>IF(Escenarios!$F$14&gt;0,(Escenarios!$F$13*L155+Escenarios!$F$14*W155)/(Escenarios!$F$16),L155)</f>
        <v>0</v>
      </c>
      <c r="AB155" s="170">
        <f>IF(Escenarios!$F$14&gt;0,(Escenarios!$F$14*Y155)/(Escenarios!$F$16),K155)</f>
        <v>0</v>
      </c>
      <c r="AC155" s="170">
        <f>IF(Escenarios!$F$14&gt;0,(Escenarios!$F$13*M155+Escenarios!$F$14*U155)/(Escenarios!$F$16),M155)</f>
        <v>0</v>
      </c>
      <c r="AD155" s="76">
        <f t="shared" si="29"/>
        <v>112.41744222178212</v>
      </c>
      <c r="AE155" s="76">
        <f>MAX(0,(AD155-Constantes!$D$13)*(1-EXP(-Constantes!$D$23)))</f>
        <v>0.62733047261450181</v>
      </c>
      <c r="AF155" s="76">
        <f>AB155+O155*Escenarios!$F$13/Escenarios!$F$16+AE155</f>
        <v>0.62733047261450181</v>
      </c>
      <c r="AG155" s="76">
        <f>IF(Entradas!$F$91&gt;0,IF(AF155-Escenarios!$F$38&lt;=0,0,IF(AF155-Escenarios!$F$38&gt;Escenarios!$F$37,Escenarios!$F$37,AF155-Escenarios!$F$38)),0)</f>
        <v>0</v>
      </c>
      <c r="AH155" s="76">
        <f>AG155*Entradas!$F$99</f>
        <v>0</v>
      </c>
      <c r="AI155" s="76">
        <f>IF(Entradas!$F$91&gt;0,D155*Entradas!$D$23/Escenarios!$F$16,0)</f>
        <v>0.12995461895179619</v>
      </c>
      <c r="AJ155" s="76">
        <f>IF(Entradas!$F$91&gt;0,Entradas!$D$24*Entradas!$D$22/Escenarios!$F$16,0)</f>
        <v>0.12</v>
      </c>
      <c r="AK155" s="76">
        <f t="shared" si="30"/>
        <v>0.12995461895179619</v>
      </c>
      <c r="AL155" s="76">
        <f t="shared" si="31"/>
        <v>0</v>
      </c>
      <c r="AM155" s="76">
        <f t="shared" si="32"/>
        <v>0</v>
      </c>
      <c r="AN155" s="76">
        <f>MAX(0,O155*Escenarios!$F$13/Escenarios!$F$16-AM155)</f>
        <v>0</v>
      </c>
      <c r="AO155" s="76">
        <f>AM155+AN155-O155*Escenarios!$F$13/Escenarios!$F$16</f>
        <v>0</v>
      </c>
      <c r="AP155" s="76">
        <f t="shared" si="33"/>
        <v>0.62733047261450181</v>
      </c>
      <c r="AQ155" s="76">
        <f t="shared" si="34"/>
        <v>0</v>
      </c>
      <c r="AR155" s="76">
        <f t="shared" si="35"/>
        <v>0.62733047261450181</v>
      </c>
      <c r="AS155" s="76">
        <f t="shared" si="36"/>
        <v>0</v>
      </c>
      <c r="AT155" s="76">
        <f t="shared" si="37"/>
        <v>0</v>
      </c>
      <c r="AU155" s="76">
        <f t="shared" si="38"/>
        <v>53.74698862464944</v>
      </c>
      <c r="AV155" s="76">
        <f>MAX(0,(AU155-Constantes!$D$13)*(1-EXP(-Constantes!$D$24)))</f>
        <v>7.6380205711603394E-2</v>
      </c>
      <c r="AW155" s="170">
        <f>AW154+(Entradas!$F$112*AT155-AX154)/(800*Entradas!$D$25)</f>
        <v>0</v>
      </c>
      <c r="AX155" s="170">
        <f>8000*Entradas!$D$26*AW155/Constantes!$F$45</f>
        <v>0</v>
      </c>
      <c r="AY155" s="170">
        <f>IF(Escenarios!$F$17&gt;0,10*Escenarios!$F$16*AL155,0)</f>
        <v>0</v>
      </c>
      <c r="AZ155" s="170">
        <f>IF(Escenarios!$F$17&gt;0,10*Escenarios!$F$16*AX155,0)</f>
        <v>0</v>
      </c>
      <c r="BA155" s="170">
        <f>IF(Escenarios!$F$17&gt;0,0.001*Observaciones!$F154*Escenarios!$F$17,0)</f>
        <v>0</v>
      </c>
      <c r="BB155" s="170">
        <f>IF(Escenarios!$F$17&gt;0,Observaciones!$K154,0)</f>
        <v>0</v>
      </c>
      <c r="BC155" s="170">
        <f>IF(Escenarios!$F$17&gt;0,MIN(0.0005*ETo!$M154*Escenarios!$F$17*(BG154/Constantes!$F$40)^(2/3),BG154+AY155+AZ155+BA155+BB155),0)</f>
        <v>0</v>
      </c>
      <c r="BD155" s="170">
        <f>IF(Escenarios!$F$17&gt;0,MIN(Constantes!$F$39*(BG154/Constantes!$F$40)^(2/3),BG154+AY155+AZ155+BA155+BB155-BC155),0)</f>
        <v>0</v>
      </c>
      <c r="BE155" s="170">
        <f>IF(Escenarios!$F$17&gt;0,MIN(Entradas!$F$113,BG154+AY155+AZ155+BA155+BB155-BC155-BD155),0)</f>
        <v>0</v>
      </c>
      <c r="BF155" s="170">
        <f>IF(Escenarios!$F$17&gt;0,MAX(0,BG154+AY155+AZ155+BA155+BB155-BC155-BD155-BE155-Constantes!$F$40),0)</f>
        <v>0</v>
      </c>
      <c r="BG155" s="170">
        <f t="shared" si="39"/>
        <v>0</v>
      </c>
      <c r="BH155" s="170">
        <f>(Escenarios!$F$16*AK155+0.1*BC155)/(Escenarios!$F$19)</f>
        <v>0.12995461895179619</v>
      </c>
      <c r="BI155" s="170">
        <f>IF(Escenarios!$F$17&gt;0,BF155/10/Escenarios!$F$19,AL155)</f>
        <v>0</v>
      </c>
      <c r="BJ155" s="170">
        <f>(Escenarios!$F$16*AT155+0.1*BD155)/(Escenarios!$F$19)</f>
        <v>0</v>
      </c>
      <c r="BK155" s="76">
        <f>BK154+(0.1*BD155)/(Escenarios!$F$19)-BL154</f>
        <v>48.75</v>
      </c>
      <c r="BL155" s="76">
        <f>MAX(0,(BK155-Constantes!$D$13)*(1-EXP(-Constantes!$D$23)))</f>
        <v>0</v>
      </c>
      <c r="BM155" s="76">
        <f t="shared" si="40"/>
        <v>0.70371067832610523</v>
      </c>
      <c r="BN155" s="76">
        <f t="shared" si="41"/>
        <v>0.70371067832610523</v>
      </c>
      <c r="BO155" s="76">
        <f>0.0526*BI155*Observaciones!$F154^1.218</f>
        <v>0</v>
      </c>
      <c r="BP155" s="76">
        <f>BO155*Constantes!$F$51</f>
        <v>0</v>
      </c>
      <c r="BQ155" s="76">
        <f t="shared" si="42"/>
        <v>0</v>
      </c>
      <c r="BR155" s="40"/>
    </row>
    <row r="156" spans="2:70">
      <c r="B156" s="39"/>
      <c r="C156" s="75">
        <v>150</v>
      </c>
      <c r="D156" s="146">
        <f>ETo!$I155*((1-Constantes!$F$19)*ETo!$K155+ETo!$L155)</f>
        <v>2.6531508387420959</v>
      </c>
      <c r="E156" s="76">
        <f>MIN(D156*Constantes!$F$17,0.8*(N155+Observaciones!$F155-F156-M156-Constantes!$D$14))</f>
        <v>0</v>
      </c>
      <c r="F156" s="76">
        <f>IF(Observaciones!$F155&gt;0.05*Constantes!$F$18,((Observaciones!$F155-0.05*Constantes!$F$18)^2)/(Observaciones!$F155+0.95*Constantes!$F$18),0)</f>
        <v>0</v>
      </c>
      <c r="G156" s="76">
        <f>IF(Escenarios!$F$11&gt;0,(F156*Escenarios!$F$16*10000)/1000,0)</f>
        <v>0</v>
      </c>
      <c r="H156" s="76">
        <f>IF(Escenarios!$F$11&gt;0,(Observaciones!$F155*Constantes!$F$29)/1000,0)</f>
        <v>0</v>
      </c>
      <c r="I156" s="76">
        <f>IF(Escenarios!$F$11&gt;0,(D156*Constantes!$F$29)/1000,0)</f>
        <v>0</v>
      </c>
      <c r="J156" s="76">
        <f>IF(Escenarios!$F$11&gt;0,MAX(0,G156+H156-I156),0)</f>
        <v>0</v>
      </c>
      <c r="K156" s="76">
        <f>IF(Escenarios!$F$11&gt;0,IF(J156&gt;Constantes!$F$30,1000*((J156-Constantes!$F$30)/(Escenarios!$F$16*10000)),0),F156)</f>
        <v>0</v>
      </c>
      <c r="L156" s="76">
        <f>IF(Escenarios!$F$11&gt;0,I156*1000/Escenarios!$F$16/10000+E156,E156)</f>
        <v>0</v>
      </c>
      <c r="M156" s="76">
        <f>MAX(0,N155+Observaciones!$F155-K156-Constantes!$D$13)</f>
        <v>0</v>
      </c>
      <c r="N156" s="76">
        <f>N155+Observaciones!$F155-K156-L156-M156-O155</f>
        <v>11.25</v>
      </c>
      <c r="O156" s="76">
        <f>MAX(0,(N156-Constantes!$D$14)*(1-EXP(-Constantes!$D$22)))</f>
        <v>0</v>
      </c>
      <c r="P156" s="170">
        <f>P155+(Entradas!$F$83*M156-Q155)/(800*Entradas!$D$25)</f>
        <v>0</v>
      </c>
      <c r="Q156" s="170">
        <f>8000*Entradas!$D$26*P156/Constantes!$F$45</f>
        <v>0</v>
      </c>
      <c r="R156" s="170">
        <f>IF(Escenarios!$F$14&gt;0,K156*Escenarios!$F$13/Escenarios!$F$14,0)</f>
        <v>0</v>
      </c>
      <c r="S156" s="170">
        <f>IF(Escenarios!$F$14&gt;0,Q156*Escenarios!$F$13/Escenarios!$F$14,0)</f>
        <v>0</v>
      </c>
      <c r="T156" s="170">
        <f>IF(Escenarios!$F$14&gt;0,Observaciones!$I155,0)</f>
        <v>0</v>
      </c>
      <c r="U156" s="170">
        <f>IF(Escenarios!$F$14&gt;0,MAX(0,Constantes!$F$36/((Z155+R156+S156+T156+Observaciones!$F155)^2)+Entradas!$F$77),0)</f>
        <v>0</v>
      </c>
      <c r="V156" s="146">
        <f>IF(ETo!D155&gt;0,ETo!I155*((1-Entradas!$F$81)*ETo!K155+ETo!L155),0)</f>
        <v>2.314058951601448</v>
      </c>
      <c r="W156" s="170">
        <f>IF(Escenarios!$F$14&gt;0,MIN(V156*1,0.8*(Z155+R156+S156+T156+Observaciones!$F155-U156-Constantes!$F$35)),0)</f>
        <v>0</v>
      </c>
      <c r="X156" s="170">
        <f>IF(Escenarios!$F$14&gt;0,Observaciones!$J155,0)</f>
        <v>0</v>
      </c>
      <c r="Y156" s="170">
        <f>IF(Escenarios!$F$14&gt;0,MAX(0,Z155+R156+S156+T156+Observaciones!$F155-U156-W156-X156-Constantes!$F$33),0)</f>
        <v>0</v>
      </c>
      <c r="Z156" s="170">
        <f>Z155+R156+S156+T156+Observaciones!$F155-U156-W156-Y156</f>
        <v>41.25</v>
      </c>
      <c r="AA156" s="170">
        <f>IF(Escenarios!$F$14&gt;0,(Escenarios!$F$13*L156+Escenarios!$F$14*W156)/(Escenarios!$F$16),L156)</f>
        <v>0</v>
      </c>
      <c r="AB156" s="170">
        <f>IF(Escenarios!$F$14&gt;0,(Escenarios!$F$14*Y156)/(Escenarios!$F$16),K156)</f>
        <v>0</v>
      </c>
      <c r="AC156" s="170">
        <f>IF(Escenarios!$F$14&gt;0,(Escenarios!$F$13*M156+Escenarios!$F$14*U156)/(Escenarios!$F$16),M156)</f>
        <v>0</v>
      </c>
      <c r="AD156" s="76">
        <f t="shared" si="29"/>
        <v>111.79011174916762</v>
      </c>
      <c r="AE156" s="76">
        <f>MAX(0,(AD156-Constantes!$D$13)*(1-EXP(-Constantes!$D$23)))</f>
        <v>0.62114923604935368</v>
      </c>
      <c r="AF156" s="76">
        <f>AB156+O156*Escenarios!$F$13/Escenarios!$F$16+AE156</f>
        <v>0.62114923604935368</v>
      </c>
      <c r="AG156" s="76">
        <f>IF(Entradas!$F$91&gt;0,IF(AF156-Escenarios!$F$38&lt;=0,0,IF(AF156-Escenarios!$F$38&gt;Escenarios!$F$37,Escenarios!$F$37,AF156-Escenarios!$F$38)),0)</f>
        <v>0</v>
      </c>
      <c r="AH156" s="76">
        <f>AG156*Entradas!$F$99</f>
        <v>0</v>
      </c>
      <c r="AI156" s="76">
        <f>IF(Entradas!$F$91&gt;0,D156*Entradas!$D$23/Escenarios!$F$16,0)</f>
        <v>0.12735124025962061</v>
      </c>
      <c r="AJ156" s="76">
        <f>IF(Entradas!$F$91&gt;0,Entradas!$D$24*Entradas!$D$22/Escenarios!$F$16,0)</f>
        <v>0.12</v>
      </c>
      <c r="AK156" s="76">
        <f t="shared" si="30"/>
        <v>0.12735124025962061</v>
      </c>
      <c r="AL156" s="76">
        <f t="shared" si="31"/>
        <v>0</v>
      </c>
      <c r="AM156" s="76">
        <f t="shared" si="32"/>
        <v>0</v>
      </c>
      <c r="AN156" s="76">
        <f>MAX(0,O156*Escenarios!$F$13/Escenarios!$F$16-AM156)</f>
        <v>0</v>
      </c>
      <c r="AO156" s="76">
        <f>AM156+AN156-O156*Escenarios!$F$13/Escenarios!$F$16</f>
        <v>0</v>
      </c>
      <c r="AP156" s="76">
        <f t="shared" si="33"/>
        <v>0.62114923604935368</v>
      </c>
      <c r="AQ156" s="76">
        <f t="shared" si="34"/>
        <v>0</v>
      </c>
      <c r="AR156" s="76">
        <f t="shared" si="35"/>
        <v>0.62114923604935368</v>
      </c>
      <c r="AS156" s="76">
        <f t="shared" si="36"/>
        <v>0</v>
      </c>
      <c r="AT156" s="76">
        <f t="shared" si="37"/>
        <v>0</v>
      </c>
      <c r="AU156" s="76">
        <f t="shared" si="38"/>
        <v>53.670608418937839</v>
      </c>
      <c r="AV156" s="76">
        <f>MAX(0,(AU156-Constantes!$D$13)*(1-EXP(-Constantes!$D$24)))</f>
        <v>7.5212715396382607E-2</v>
      </c>
      <c r="AW156" s="170">
        <f>AW155+(Entradas!$F$112*AT156-AX155)/(800*Entradas!$D$25)</f>
        <v>0</v>
      </c>
      <c r="AX156" s="170">
        <f>8000*Entradas!$D$26*AW156/Constantes!$F$45</f>
        <v>0</v>
      </c>
      <c r="AY156" s="170">
        <f>IF(Escenarios!$F$17&gt;0,10*Escenarios!$F$16*AL156,0)</f>
        <v>0</v>
      </c>
      <c r="AZ156" s="170">
        <f>IF(Escenarios!$F$17&gt;0,10*Escenarios!$F$16*AX156,0)</f>
        <v>0</v>
      </c>
      <c r="BA156" s="170">
        <f>IF(Escenarios!$F$17&gt;0,0.001*Observaciones!$F155*Escenarios!$F$17,0)</f>
        <v>0</v>
      </c>
      <c r="BB156" s="170">
        <f>IF(Escenarios!$F$17&gt;0,Observaciones!$K155,0)</f>
        <v>0</v>
      </c>
      <c r="BC156" s="170">
        <f>IF(Escenarios!$F$17&gt;0,MIN(0.0005*ETo!$M155*Escenarios!$F$17*(BG155/Constantes!$F$40)^(2/3),BG155+AY156+AZ156+BA156+BB156),0)</f>
        <v>0</v>
      </c>
      <c r="BD156" s="170">
        <f>IF(Escenarios!$F$17&gt;0,MIN(Constantes!$F$39*(BG155/Constantes!$F$40)^(2/3),BG155+AY156+AZ156+BA156+BB156-BC156),0)</f>
        <v>0</v>
      </c>
      <c r="BE156" s="170">
        <f>IF(Escenarios!$F$17&gt;0,MIN(Entradas!$F$113,BG155+AY156+AZ156+BA156+BB156-BC156-BD156),0)</f>
        <v>0</v>
      </c>
      <c r="BF156" s="170">
        <f>IF(Escenarios!$F$17&gt;0,MAX(0,BG155+AY156+AZ156+BA156+BB156-BC156-BD156-BE156-Constantes!$F$40),0)</f>
        <v>0</v>
      </c>
      <c r="BG156" s="170">
        <f t="shared" si="39"/>
        <v>0</v>
      </c>
      <c r="BH156" s="170">
        <f>(Escenarios!$F$16*AK156+0.1*BC156)/(Escenarios!$F$19)</f>
        <v>0.12735124025962061</v>
      </c>
      <c r="BI156" s="170">
        <f>IF(Escenarios!$F$17&gt;0,BF156/10/Escenarios!$F$19,AL156)</f>
        <v>0</v>
      </c>
      <c r="BJ156" s="170">
        <f>(Escenarios!$F$16*AT156+0.1*BD156)/(Escenarios!$F$19)</f>
        <v>0</v>
      </c>
      <c r="BK156" s="76">
        <f>BK155+(0.1*BD156)/(Escenarios!$F$19)-BL155</f>
        <v>48.75</v>
      </c>
      <c r="BL156" s="76">
        <f>MAX(0,(BK156-Constantes!$D$13)*(1-EXP(-Constantes!$D$23)))</f>
        <v>0</v>
      </c>
      <c r="BM156" s="76">
        <f t="shared" si="40"/>
        <v>0.69636195144573632</v>
      </c>
      <c r="BN156" s="76">
        <f t="shared" si="41"/>
        <v>0.69636195144573632</v>
      </c>
      <c r="BO156" s="76">
        <f>0.0526*BI156*Observaciones!$F155^1.218</f>
        <v>0</v>
      </c>
      <c r="BP156" s="76">
        <f>BO156*Constantes!$F$51</f>
        <v>0</v>
      </c>
      <c r="BQ156" s="76">
        <f t="shared" si="42"/>
        <v>0</v>
      </c>
      <c r="BR156" s="40"/>
    </row>
    <row r="157" spans="2:70">
      <c r="B157" s="39"/>
      <c r="C157" s="75">
        <v>151</v>
      </c>
      <c r="D157" s="146">
        <f>ETo!$I156*((1-Constantes!$F$19)*ETo!$K156+ETo!$L156)</f>
        <v>2.6680586028673585</v>
      </c>
      <c r="E157" s="76">
        <f>MIN(D157*Constantes!$F$17,0.8*(N156+Observaciones!$F156-F157-M157-Constantes!$D$14))</f>
        <v>0</v>
      </c>
      <c r="F157" s="76">
        <f>IF(Observaciones!$F156&gt;0.05*Constantes!$F$18,((Observaciones!$F156-0.05*Constantes!$F$18)^2)/(Observaciones!$F156+0.95*Constantes!$F$18),0)</f>
        <v>0</v>
      </c>
      <c r="G157" s="76">
        <f>IF(Escenarios!$F$11&gt;0,(F157*Escenarios!$F$16*10000)/1000,0)</f>
        <v>0</v>
      </c>
      <c r="H157" s="76">
        <f>IF(Escenarios!$F$11&gt;0,(Observaciones!$F156*Constantes!$F$29)/1000,0)</f>
        <v>0</v>
      </c>
      <c r="I157" s="76">
        <f>IF(Escenarios!$F$11&gt;0,(D157*Constantes!$F$29)/1000,0)</f>
        <v>0</v>
      </c>
      <c r="J157" s="76">
        <f>IF(Escenarios!$F$11&gt;0,MAX(0,G157+H157-I157),0)</f>
        <v>0</v>
      </c>
      <c r="K157" s="76">
        <f>IF(Escenarios!$F$11&gt;0,IF(J157&gt;Constantes!$F$30,1000*((J157-Constantes!$F$30)/(Escenarios!$F$16*10000)),0),F157)</f>
        <v>0</v>
      </c>
      <c r="L157" s="76">
        <f>IF(Escenarios!$F$11&gt;0,I157*1000/Escenarios!$F$16/10000+E157,E157)</f>
        <v>0</v>
      </c>
      <c r="M157" s="76">
        <f>MAX(0,N156+Observaciones!$F156-K157-Constantes!$D$13)</f>
        <v>0</v>
      </c>
      <c r="N157" s="76">
        <f>N156+Observaciones!$F156-K157-L157-M157-O156</f>
        <v>11.25</v>
      </c>
      <c r="O157" s="76">
        <f>MAX(0,(N157-Constantes!$D$14)*(1-EXP(-Constantes!$D$22)))</f>
        <v>0</v>
      </c>
      <c r="P157" s="170">
        <f>P156+(Entradas!$F$83*M157-Q156)/(800*Entradas!$D$25)</f>
        <v>0</v>
      </c>
      <c r="Q157" s="170">
        <f>8000*Entradas!$D$26*P157/Constantes!$F$45</f>
        <v>0</v>
      </c>
      <c r="R157" s="170">
        <f>IF(Escenarios!$F$14&gt;0,K157*Escenarios!$F$13/Escenarios!$F$14,0)</f>
        <v>0</v>
      </c>
      <c r="S157" s="170">
        <f>IF(Escenarios!$F$14&gt;0,Q157*Escenarios!$F$13/Escenarios!$F$14,0)</f>
        <v>0</v>
      </c>
      <c r="T157" s="170">
        <f>IF(Escenarios!$F$14&gt;0,Observaciones!$I156,0)</f>
        <v>0</v>
      </c>
      <c r="U157" s="170">
        <f>IF(Escenarios!$F$14&gt;0,MAX(0,Constantes!$F$36/((Z156+R157+S157+T157+Observaciones!$F156)^2)+Entradas!$F$77),0)</f>
        <v>0</v>
      </c>
      <c r="V157" s="146">
        <f>IF(ETo!D156&gt;0,ETo!I156*((1-Entradas!$F$81)*ETo!K156+ETo!L156),0)</f>
        <v>2.3268198741718984</v>
      </c>
      <c r="W157" s="170">
        <f>IF(Escenarios!$F$14&gt;0,MIN(V157*1,0.8*(Z156+R157+S157+T157+Observaciones!$F156-U157-Constantes!$F$35)),0)</f>
        <v>0</v>
      </c>
      <c r="X157" s="170">
        <f>IF(Escenarios!$F$14&gt;0,Observaciones!$J156,0)</f>
        <v>0</v>
      </c>
      <c r="Y157" s="170">
        <f>IF(Escenarios!$F$14&gt;0,MAX(0,Z156+R157+S157+T157+Observaciones!$F156-U157-W157-X157-Constantes!$F$33),0)</f>
        <v>0</v>
      </c>
      <c r="Z157" s="170">
        <f>Z156+R157+S157+T157+Observaciones!$F156-U157-W157-Y157</f>
        <v>41.25</v>
      </c>
      <c r="AA157" s="170">
        <f>IF(Escenarios!$F$14&gt;0,(Escenarios!$F$13*L157+Escenarios!$F$14*W157)/(Escenarios!$F$16),L157)</f>
        <v>0</v>
      </c>
      <c r="AB157" s="170">
        <f>IF(Escenarios!$F$14&gt;0,(Escenarios!$F$14*Y157)/(Escenarios!$F$16),K157)</f>
        <v>0</v>
      </c>
      <c r="AC157" s="170">
        <f>IF(Escenarios!$F$14&gt;0,(Escenarios!$F$13*M157+Escenarios!$F$14*U157)/(Escenarios!$F$16),M157)</f>
        <v>0</v>
      </c>
      <c r="AD157" s="76">
        <f t="shared" si="29"/>
        <v>111.16896251311827</v>
      </c>
      <c r="AE157" s="76">
        <f>MAX(0,(AD157-Constantes!$D$13)*(1-EXP(-Constantes!$D$23)))</f>
        <v>0.61502890468033788</v>
      </c>
      <c r="AF157" s="76">
        <f>AB157+O157*Escenarios!$F$13/Escenarios!$F$16+AE157</f>
        <v>0.61502890468033788</v>
      </c>
      <c r="AG157" s="76">
        <f>IF(Entradas!$F$91&gt;0,IF(AF157-Escenarios!$F$38&lt;=0,0,IF(AF157-Escenarios!$F$38&gt;Escenarios!$F$37,Escenarios!$F$37,AF157-Escenarios!$F$38)),0)</f>
        <v>0</v>
      </c>
      <c r="AH157" s="76">
        <f>AG157*Entradas!$F$99</f>
        <v>0</v>
      </c>
      <c r="AI157" s="76">
        <f>IF(Entradas!$F$91&gt;0,D157*Entradas!$D$23/Escenarios!$F$16,0)</f>
        <v>0.12806681293763322</v>
      </c>
      <c r="AJ157" s="76">
        <f>IF(Entradas!$F$91&gt;0,Entradas!$D$24*Entradas!$D$22/Escenarios!$F$16,0)</f>
        <v>0.12</v>
      </c>
      <c r="AK157" s="76">
        <f t="shared" si="30"/>
        <v>0.12806681293763322</v>
      </c>
      <c r="AL157" s="76">
        <f t="shared" si="31"/>
        <v>0</v>
      </c>
      <c r="AM157" s="76">
        <f t="shared" si="32"/>
        <v>0</v>
      </c>
      <c r="AN157" s="76">
        <f>MAX(0,O157*Escenarios!$F$13/Escenarios!$F$16-AM157)</f>
        <v>0</v>
      </c>
      <c r="AO157" s="76">
        <f>AM157+AN157-O157*Escenarios!$F$13/Escenarios!$F$16</f>
        <v>0</v>
      </c>
      <c r="AP157" s="76">
        <f t="shared" si="33"/>
        <v>0.61502890468033788</v>
      </c>
      <c r="AQ157" s="76">
        <f t="shared" si="34"/>
        <v>0</v>
      </c>
      <c r="AR157" s="76">
        <f t="shared" si="35"/>
        <v>0.61502890468033788</v>
      </c>
      <c r="AS157" s="76">
        <f t="shared" si="36"/>
        <v>0</v>
      </c>
      <c r="AT157" s="76">
        <f t="shared" si="37"/>
        <v>0</v>
      </c>
      <c r="AU157" s="76">
        <f t="shared" si="38"/>
        <v>53.595395703541456</v>
      </c>
      <c r="AV157" s="76">
        <f>MAX(0,(AU157-Constantes!$D$13)*(1-EXP(-Constantes!$D$24)))</f>
        <v>7.4063070459076591E-2</v>
      </c>
      <c r="AW157" s="170">
        <f>AW156+(Entradas!$F$112*AT157-AX156)/(800*Entradas!$D$25)</f>
        <v>0</v>
      </c>
      <c r="AX157" s="170">
        <f>8000*Entradas!$D$26*AW157/Constantes!$F$45</f>
        <v>0</v>
      </c>
      <c r="AY157" s="170">
        <f>IF(Escenarios!$F$17&gt;0,10*Escenarios!$F$16*AL157,0)</f>
        <v>0</v>
      </c>
      <c r="AZ157" s="170">
        <f>IF(Escenarios!$F$17&gt;0,10*Escenarios!$F$16*AX157,0)</f>
        <v>0</v>
      </c>
      <c r="BA157" s="170">
        <f>IF(Escenarios!$F$17&gt;0,0.001*Observaciones!$F156*Escenarios!$F$17,0)</f>
        <v>0</v>
      </c>
      <c r="BB157" s="170">
        <f>IF(Escenarios!$F$17&gt;0,Observaciones!$K156,0)</f>
        <v>0</v>
      </c>
      <c r="BC157" s="170">
        <f>IF(Escenarios!$F$17&gt;0,MIN(0.0005*ETo!$M156*Escenarios!$F$17*(BG156/Constantes!$F$40)^(2/3),BG156+AY157+AZ157+BA157+BB157),0)</f>
        <v>0</v>
      </c>
      <c r="BD157" s="170">
        <f>IF(Escenarios!$F$17&gt;0,MIN(Constantes!$F$39*(BG156/Constantes!$F$40)^(2/3),BG156+AY157+AZ157+BA157+BB157-BC157),0)</f>
        <v>0</v>
      </c>
      <c r="BE157" s="170">
        <f>IF(Escenarios!$F$17&gt;0,MIN(Entradas!$F$113,BG156+AY157+AZ157+BA157+BB157-BC157-BD157),0)</f>
        <v>0</v>
      </c>
      <c r="BF157" s="170">
        <f>IF(Escenarios!$F$17&gt;0,MAX(0,BG156+AY157+AZ157+BA157+BB157-BC157-BD157-BE157-Constantes!$F$40),0)</f>
        <v>0</v>
      </c>
      <c r="BG157" s="170">
        <f t="shared" si="39"/>
        <v>0</v>
      </c>
      <c r="BH157" s="170">
        <f>(Escenarios!$F$16*AK157+0.1*BC157)/(Escenarios!$F$19)</f>
        <v>0.12806681293763322</v>
      </c>
      <c r="BI157" s="170">
        <f>IF(Escenarios!$F$17&gt;0,BF157/10/Escenarios!$F$19,AL157)</f>
        <v>0</v>
      </c>
      <c r="BJ157" s="170">
        <f>(Escenarios!$F$16*AT157+0.1*BD157)/(Escenarios!$F$19)</f>
        <v>0</v>
      </c>
      <c r="BK157" s="76">
        <f>BK156+(0.1*BD157)/(Escenarios!$F$19)-BL156</f>
        <v>48.75</v>
      </c>
      <c r="BL157" s="76">
        <f>MAX(0,(BK157-Constantes!$D$13)*(1-EXP(-Constantes!$D$23)))</f>
        <v>0</v>
      </c>
      <c r="BM157" s="76">
        <f t="shared" si="40"/>
        <v>0.68909197513941445</v>
      </c>
      <c r="BN157" s="76">
        <f t="shared" si="41"/>
        <v>0.68909197513941445</v>
      </c>
      <c r="BO157" s="76">
        <f>0.0526*BI157*Observaciones!$F156^1.218</f>
        <v>0</v>
      </c>
      <c r="BP157" s="76">
        <f>BO157*Constantes!$F$51</f>
        <v>0</v>
      </c>
      <c r="BQ157" s="76">
        <f t="shared" si="42"/>
        <v>0</v>
      </c>
      <c r="BR157" s="40"/>
    </row>
    <row r="158" spans="2:70">
      <c r="B158" s="39"/>
      <c r="C158" s="75">
        <v>152</v>
      </c>
      <c r="D158" s="146">
        <f>ETo!$I157*((1-Constantes!$F$19)*ETo!$K157+ETo!$L157)</f>
        <v>2.6677051571663384</v>
      </c>
      <c r="E158" s="76">
        <f>MIN(D158*Constantes!$F$17,0.8*(N157+Observaciones!$F157-F158-M158-Constantes!$D$14))</f>
        <v>0</v>
      </c>
      <c r="F158" s="76">
        <f>IF(Observaciones!$F157&gt;0.05*Constantes!$F$18,((Observaciones!$F157-0.05*Constantes!$F$18)^2)/(Observaciones!$F157+0.95*Constantes!$F$18),0)</f>
        <v>0</v>
      </c>
      <c r="G158" s="76">
        <f>IF(Escenarios!$F$11&gt;0,(F158*Escenarios!$F$16*10000)/1000,0)</f>
        <v>0</v>
      </c>
      <c r="H158" s="76">
        <f>IF(Escenarios!$F$11&gt;0,(Observaciones!$F157*Constantes!$F$29)/1000,0)</f>
        <v>0</v>
      </c>
      <c r="I158" s="76">
        <f>IF(Escenarios!$F$11&gt;0,(D158*Constantes!$F$29)/1000,0)</f>
        <v>0</v>
      </c>
      <c r="J158" s="76">
        <f>IF(Escenarios!$F$11&gt;0,MAX(0,G158+H158-I158),0)</f>
        <v>0</v>
      </c>
      <c r="K158" s="76">
        <f>IF(Escenarios!$F$11&gt;0,IF(J158&gt;Constantes!$F$30,1000*((J158-Constantes!$F$30)/(Escenarios!$F$16*10000)),0),F158)</f>
        <v>0</v>
      </c>
      <c r="L158" s="76">
        <f>IF(Escenarios!$F$11&gt;0,I158*1000/Escenarios!$F$16/10000+E158,E158)</f>
        <v>0</v>
      </c>
      <c r="M158" s="76">
        <f>MAX(0,N157+Observaciones!$F157-K158-Constantes!$D$13)</f>
        <v>0</v>
      </c>
      <c r="N158" s="76">
        <f>N157+Observaciones!$F157-K158-L158-M158-O157</f>
        <v>11.25</v>
      </c>
      <c r="O158" s="76">
        <f>MAX(0,(N158-Constantes!$D$14)*(1-EXP(-Constantes!$D$22)))</f>
        <v>0</v>
      </c>
      <c r="P158" s="170">
        <f>P157+(Entradas!$F$83*M158-Q157)/(800*Entradas!$D$25)</f>
        <v>0</v>
      </c>
      <c r="Q158" s="170">
        <f>8000*Entradas!$D$26*P158/Constantes!$F$45</f>
        <v>0</v>
      </c>
      <c r="R158" s="170">
        <f>IF(Escenarios!$F$14&gt;0,K158*Escenarios!$F$13/Escenarios!$F$14,0)</f>
        <v>0</v>
      </c>
      <c r="S158" s="170">
        <f>IF(Escenarios!$F$14&gt;0,Q158*Escenarios!$F$13/Escenarios!$F$14,0)</f>
        <v>0</v>
      </c>
      <c r="T158" s="170">
        <f>IF(Escenarios!$F$14&gt;0,Observaciones!$I157,0)</f>
        <v>0</v>
      </c>
      <c r="U158" s="170">
        <f>IF(Escenarios!$F$14&gt;0,MAX(0,Constantes!$F$36/((Z157+R158+S158+T158+Observaciones!$F157)^2)+Entradas!$F$77),0)</f>
        <v>0</v>
      </c>
      <c r="V158" s="146">
        <f>IF(ETo!D157&gt;0,ETo!I157*((1-Entradas!$F$81)*ETo!K157+ETo!L157),0)</f>
        <v>2.3261616799045166</v>
      </c>
      <c r="W158" s="170">
        <f>IF(Escenarios!$F$14&gt;0,MIN(V158*1,0.8*(Z157+R158+S158+T158+Observaciones!$F157-U158-Constantes!$F$35)),0)</f>
        <v>0</v>
      </c>
      <c r="X158" s="170">
        <f>IF(Escenarios!$F$14&gt;0,Observaciones!$J157,0)</f>
        <v>0</v>
      </c>
      <c r="Y158" s="170">
        <f>IF(Escenarios!$F$14&gt;0,MAX(0,Z157+R158+S158+T158+Observaciones!$F157-U158-W158-X158-Constantes!$F$33),0)</f>
        <v>0</v>
      </c>
      <c r="Z158" s="170">
        <f>Z157+R158+S158+T158+Observaciones!$F157-U158-W158-Y158</f>
        <v>41.25</v>
      </c>
      <c r="AA158" s="170">
        <f>IF(Escenarios!$F$14&gt;0,(Escenarios!$F$13*L158+Escenarios!$F$14*W158)/(Escenarios!$F$16),L158)</f>
        <v>0</v>
      </c>
      <c r="AB158" s="170">
        <f>IF(Escenarios!$F$14&gt;0,(Escenarios!$F$14*Y158)/(Escenarios!$F$16),K158)</f>
        <v>0</v>
      </c>
      <c r="AC158" s="170">
        <f>IF(Escenarios!$F$14&gt;0,(Escenarios!$F$13*M158+Escenarios!$F$14*U158)/(Escenarios!$F$16),M158)</f>
        <v>0</v>
      </c>
      <c r="AD158" s="76">
        <f t="shared" si="29"/>
        <v>110.55393360843793</v>
      </c>
      <c r="AE158" s="76">
        <f>MAX(0,(AD158-Constantes!$D$13)*(1-EXP(-Constantes!$D$23)))</f>
        <v>0.60896887839405034</v>
      </c>
      <c r="AF158" s="76">
        <f>AB158+O158*Escenarios!$F$13/Escenarios!$F$16+AE158</f>
        <v>0.60896887839405034</v>
      </c>
      <c r="AG158" s="76">
        <f>IF(Entradas!$F$91&gt;0,IF(AF158-Escenarios!$F$38&lt;=0,0,IF(AF158-Escenarios!$F$38&gt;Escenarios!$F$37,Escenarios!$F$37,AF158-Escenarios!$F$38)),0)</f>
        <v>0</v>
      </c>
      <c r="AH158" s="76">
        <f>AG158*Entradas!$F$99</f>
        <v>0</v>
      </c>
      <c r="AI158" s="76">
        <f>IF(Entradas!$F$91&gt;0,D158*Entradas!$D$23/Escenarios!$F$16,0)</f>
        <v>0.12804984754398424</v>
      </c>
      <c r="AJ158" s="76">
        <f>IF(Entradas!$F$91&gt;0,Entradas!$D$24*Entradas!$D$22/Escenarios!$F$16,0)</f>
        <v>0.12</v>
      </c>
      <c r="AK158" s="76">
        <f t="shared" si="30"/>
        <v>0.12804984754398424</v>
      </c>
      <c r="AL158" s="76">
        <f t="shared" si="31"/>
        <v>0</v>
      </c>
      <c r="AM158" s="76">
        <f t="shared" si="32"/>
        <v>0</v>
      </c>
      <c r="AN158" s="76">
        <f>MAX(0,O158*Escenarios!$F$13/Escenarios!$F$16-AM158)</f>
        <v>0</v>
      </c>
      <c r="AO158" s="76">
        <f>AM158+AN158-O158*Escenarios!$F$13/Escenarios!$F$16</f>
        <v>0</v>
      </c>
      <c r="AP158" s="76">
        <f t="shared" si="33"/>
        <v>0.60896887839405034</v>
      </c>
      <c r="AQ158" s="76">
        <f t="shared" si="34"/>
        <v>0</v>
      </c>
      <c r="AR158" s="76">
        <f t="shared" si="35"/>
        <v>0.60896887839405034</v>
      </c>
      <c r="AS158" s="76">
        <f t="shared" si="36"/>
        <v>0</v>
      </c>
      <c r="AT158" s="76">
        <f t="shared" si="37"/>
        <v>0</v>
      </c>
      <c r="AU158" s="76">
        <f t="shared" si="38"/>
        <v>53.52133263308238</v>
      </c>
      <c r="AV158" s="76">
        <f>MAX(0,(AU158-Constantes!$D$13)*(1-EXP(-Constantes!$D$24)))</f>
        <v>7.2930998128674984E-2</v>
      </c>
      <c r="AW158" s="170">
        <f>AW157+(Entradas!$F$112*AT158-AX157)/(800*Entradas!$D$25)</f>
        <v>0</v>
      </c>
      <c r="AX158" s="170">
        <f>8000*Entradas!$D$26*AW158/Constantes!$F$45</f>
        <v>0</v>
      </c>
      <c r="AY158" s="170">
        <f>IF(Escenarios!$F$17&gt;0,10*Escenarios!$F$16*AL158,0)</f>
        <v>0</v>
      </c>
      <c r="AZ158" s="170">
        <f>IF(Escenarios!$F$17&gt;0,10*Escenarios!$F$16*AX158,0)</f>
        <v>0</v>
      </c>
      <c r="BA158" s="170">
        <f>IF(Escenarios!$F$17&gt;0,0.001*Observaciones!$F157*Escenarios!$F$17,0)</f>
        <v>0</v>
      </c>
      <c r="BB158" s="170">
        <f>IF(Escenarios!$F$17&gt;0,Observaciones!$K157,0)</f>
        <v>0</v>
      </c>
      <c r="BC158" s="170">
        <f>IF(Escenarios!$F$17&gt;0,MIN(0.0005*ETo!$M157*Escenarios!$F$17*(BG157/Constantes!$F$40)^(2/3),BG157+AY158+AZ158+BA158+BB158),0)</f>
        <v>0</v>
      </c>
      <c r="BD158" s="170">
        <f>IF(Escenarios!$F$17&gt;0,MIN(Constantes!$F$39*(BG157/Constantes!$F$40)^(2/3),BG157+AY158+AZ158+BA158+BB158-BC158),0)</f>
        <v>0</v>
      </c>
      <c r="BE158" s="170">
        <f>IF(Escenarios!$F$17&gt;0,MIN(Entradas!$F$113,BG157+AY158+AZ158+BA158+BB158-BC158-BD158),0)</f>
        <v>0</v>
      </c>
      <c r="BF158" s="170">
        <f>IF(Escenarios!$F$17&gt;0,MAX(0,BG157+AY158+AZ158+BA158+BB158-BC158-BD158-BE158-Constantes!$F$40),0)</f>
        <v>0</v>
      </c>
      <c r="BG158" s="170">
        <f t="shared" si="39"/>
        <v>0</v>
      </c>
      <c r="BH158" s="170">
        <f>(Escenarios!$F$16*AK158+0.1*BC158)/(Escenarios!$F$19)</f>
        <v>0.12804984754398424</v>
      </c>
      <c r="BI158" s="170">
        <f>IF(Escenarios!$F$17&gt;0,BF158/10/Escenarios!$F$19,AL158)</f>
        <v>0</v>
      </c>
      <c r="BJ158" s="170">
        <f>(Escenarios!$F$16*AT158+0.1*BD158)/(Escenarios!$F$19)</f>
        <v>0</v>
      </c>
      <c r="BK158" s="76">
        <f>BK157+(0.1*BD158)/(Escenarios!$F$19)-BL157</f>
        <v>48.75</v>
      </c>
      <c r="BL158" s="76">
        <f>MAX(0,(BK158-Constantes!$D$13)*(1-EXP(-Constantes!$D$23)))</f>
        <v>0</v>
      </c>
      <c r="BM158" s="76">
        <f t="shared" si="40"/>
        <v>0.68189987652272532</v>
      </c>
      <c r="BN158" s="76">
        <f t="shared" si="41"/>
        <v>0.68189987652272532</v>
      </c>
      <c r="BO158" s="76">
        <f>0.0526*BI158*Observaciones!$F157^1.218</f>
        <v>0</v>
      </c>
      <c r="BP158" s="76">
        <f>BO158*Constantes!$F$51</f>
        <v>0</v>
      </c>
      <c r="BQ158" s="76">
        <f t="shared" si="42"/>
        <v>0</v>
      </c>
      <c r="BR158" s="40"/>
    </row>
    <row r="159" spans="2:70">
      <c r="B159" s="39"/>
      <c r="C159" s="75">
        <v>153</v>
      </c>
      <c r="D159" s="146">
        <f>ETo!$I158*((1-Constantes!$F$19)*ETo!$K158+ETo!$L158)</f>
        <v>2.633663864793613</v>
      </c>
      <c r="E159" s="76">
        <f>MIN(D159*Constantes!$F$17,0.8*(N158+Observaciones!$F158-F159-M159-Constantes!$D$14))</f>
        <v>1.5020094676818778</v>
      </c>
      <c r="F159" s="76">
        <f>IF(Observaciones!$F158&gt;0.05*Constantes!$F$18,((Observaciones!$F158-0.05*Constantes!$F$18)^2)/(Observaciones!$F158+0.95*Constantes!$F$18),0)</f>
        <v>1.7666326652408884E-3</v>
      </c>
      <c r="G159" s="76">
        <f>IF(Escenarios!$F$11&gt;0,(F159*Escenarios!$F$16*10000)/1000,0)</f>
        <v>0</v>
      </c>
      <c r="H159" s="76">
        <f>IF(Escenarios!$F$11&gt;0,(Observaciones!$F158*Constantes!$F$29)/1000,0)</f>
        <v>0</v>
      </c>
      <c r="I159" s="76">
        <f>IF(Escenarios!$F$11&gt;0,(D159*Constantes!$F$29)/1000,0)</f>
        <v>0</v>
      </c>
      <c r="J159" s="76">
        <f>IF(Escenarios!$F$11&gt;0,MAX(0,G159+H159-I159),0)</f>
        <v>0</v>
      </c>
      <c r="K159" s="76">
        <f>IF(Escenarios!$F$11&gt;0,IF(J159&gt;Constantes!$F$30,1000*((J159-Constantes!$F$30)/(Escenarios!$F$16*10000)),0),F159)</f>
        <v>1.7666326652408884E-3</v>
      </c>
      <c r="L159" s="76">
        <f>IF(Escenarios!$F$11&gt;0,I159*1000/Escenarios!$F$16/10000+E159,E159)</f>
        <v>1.5020094676818778</v>
      </c>
      <c r="M159" s="76">
        <f>MAX(0,N158+Observaciones!$F158-K159-Constantes!$D$13)</f>
        <v>0</v>
      </c>
      <c r="N159" s="76">
        <f>N158+Observaciones!$F158-K159-L159-M159-O158</f>
        <v>21.346223899652884</v>
      </c>
      <c r="O159" s="76">
        <f>MAX(0,(N159-Constantes!$D$14)*(1-EXP(-Constantes!$D$22)))</f>
        <v>0.34391445001888848</v>
      </c>
      <c r="P159" s="170">
        <f>P158+(Entradas!$F$83*M159-Q158)/(800*Entradas!$D$25)</f>
        <v>0</v>
      </c>
      <c r="Q159" s="170">
        <f>8000*Entradas!$D$26*P159/Constantes!$F$45</f>
        <v>0</v>
      </c>
      <c r="R159" s="170">
        <f>IF(Escenarios!$F$14&gt;0,K159*Escenarios!$F$13/Escenarios!$F$14,0)</f>
        <v>1.2955306211766516E-2</v>
      </c>
      <c r="S159" s="170">
        <f>IF(Escenarios!$F$14&gt;0,Q159*Escenarios!$F$13/Escenarios!$F$14,0)</f>
        <v>0</v>
      </c>
      <c r="T159" s="170">
        <f>IF(Escenarios!$F$14&gt;0,Observaciones!$I158,0)</f>
        <v>0</v>
      </c>
      <c r="U159" s="170">
        <f>IF(Escenarios!$F$14&gt;0,MAX(0,Constantes!$F$36/((Z158+R159+S159+T159+Observaciones!$F158)^2)+Entradas!$F$77),0)</f>
        <v>0</v>
      </c>
      <c r="V159" s="146">
        <f>IF(ETo!D158&gt;0,ETo!I158*((1-Entradas!$F$81)*ETo!K158+ETo!L158),0)</f>
        <v>2.2958390540664158</v>
      </c>
      <c r="W159" s="170">
        <f>IF(Escenarios!$F$14&gt;0,MIN(V159*1,0.8*(Z158+R159+S159+T159+Observaciones!$F158-U159-Constantes!$F$35)),0)</f>
        <v>2.2958390540664158</v>
      </c>
      <c r="X159" s="170">
        <f>IF(Escenarios!$F$14&gt;0,Observaciones!$J158,0)</f>
        <v>0</v>
      </c>
      <c r="Y159" s="170">
        <f>IF(Escenarios!$F$14&gt;0,MAX(0,Z158+R159+S159+T159+Observaciones!$F158-U159-W159-X159-Constantes!$F$33),0)</f>
        <v>0</v>
      </c>
      <c r="Z159" s="170">
        <f>Z158+R159+S159+T159+Observaciones!$F158-U159-W159-Y159</f>
        <v>50.567116252145354</v>
      </c>
      <c r="AA159" s="170">
        <f>IF(Escenarios!$F$14&gt;0,(Escenarios!$F$13*L159+Escenarios!$F$14*W159)/(Escenarios!$F$16),L159)</f>
        <v>1.5972690180480225</v>
      </c>
      <c r="AB159" s="170">
        <f>IF(Escenarios!$F$14&gt;0,(Escenarios!$F$14*Y159)/(Escenarios!$F$16),K159)</f>
        <v>0</v>
      </c>
      <c r="AC159" s="170">
        <f>IF(Escenarios!$F$14&gt;0,(Escenarios!$F$13*M159+Escenarios!$F$14*U159)/(Escenarios!$F$16),M159)</f>
        <v>0</v>
      </c>
      <c r="AD159" s="76">
        <f t="shared" si="29"/>
        <v>109.94496473004388</v>
      </c>
      <c r="AE159" s="76">
        <f>MAX(0,(AD159-Constantes!$D$13)*(1-EXP(-Constantes!$D$23)))</f>
        <v>0.60296856299014734</v>
      </c>
      <c r="AF159" s="76">
        <f>AB159+O159*Escenarios!$F$13/Escenarios!$F$16+AE159</f>
        <v>0.90561327900676925</v>
      </c>
      <c r="AG159" s="76">
        <f>IF(Entradas!$F$91&gt;0,IF(AF159-Escenarios!$F$38&lt;=0,0,IF(AF159-Escenarios!$F$38&gt;Escenarios!$F$37,Escenarios!$F$37,AF159-Escenarios!$F$38)),0)</f>
        <v>0</v>
      </c>
      <c r="AH159" s="76">
        <f>AG159*Entradas!$F$99</f>
        <v>0</v>
      </c>
      <c r="AI159" s="76">
        <f>IF(Entradas!$F$91&gt;0,D159*Entradas!$D$23/Escenarios!$F$16,0)</f>
        <v>0.12641586551009343</v>
      </c>
      <c r="AJ159" s="76">
        <f>IF(Entradas!$F$91&gt;0,Entradas!$D$24*Entradas!$D$22/Escenarios!$F$16,0)</f>
        <v>0.12</v>
      </c>
      <c r="AK159" s="76">
        <f t="shared" si="30"/>
        <v>1.723684883558116</v>
      </c>
      <c r="AL159" s="76">
        <f t="shared" si="31"/>
        <v>0</v>
      </c>
      <c r="AM159" s="76">
        <f t="shared" si="32"/>
        <v>0</v>
      </c>
      <c r="AN159" s="76">
        <f>MAX(0,O159*Escenarios!$F$13/Escenarios!$F$16-AM159)</f>
        <v>0.30264471601662191</v>
      </c>
      <c r="AO159" s="76">
        <f>AM159+AN159-O159*Escenarios!$F$13/Escenarios!$F$16</f>
        <v>0</v>
      </c>
      <c r="AP159" s="76">
        <f t="shared" si="33"/>
        <v>0.60296856299014734</v>
      </c>
      <c r="AQ159" s="76">
        <f t="shared" si="34"/>
        <v>0</v>
      </c>
      <c r="AR159" s="76">
        <f t="shared" si="35"/>
        <v>0.90561327900676925</v>
      </c>
      <c r="AS159" s="76">
        <f t="shared" si="36"/>
        <v>0</v>
      </c>
      <c r="AT159" s="76">
        <f t="shared" si="37"/>
        <v>0</v>
      </c>
      <c r="AU159" s="76">
        <f t="shared" si="38"/>
        <v>53.448401634953704</v>
      </c>
      <c r="AV159" s="76">
        <f>MAX(0,(AU159-Constantes!$D$13)*(1-EXP(-Constantes!$D$24)))</f>
        <v>7.1816229803539647E-2</v>
      </c>
      <c r="AW159" s="170">
        <f>AW158+(Entradas!$F$112*AT159-AX158)/(800*Entradas!$D$25)</f>
        <v>0</v>
      </c>
      <c r="AX159" s="170">
        <f>8000*Entradas!$D$26*AW159/Constantes!$F$45</f>
        <v>0</v>
      </c>
      <c r="AY159" s="170">
        <f>IF(Escenarios!$F$17&gt;0,10*Escenarios!$F$16*AL159,0)</f>
        <v>0</v>
      </c>
      <c r="AZ159" s="170">
        <f>IF(Escenarios!$F$17&gt;0,10*Escenarios!$F$16*AX159,0)</f>
        <v>0</v>
      </c>
      <c r="BA159" s="170">
        <f>IF(Escenarios!$F$17&gt;0,0.001*Observaciones!$F158*Escenarios!$F$17,0)</f>
        <v>0</v>
      </c>
      <c r="BB159" s="170">
        <f>IF(Escenarios!$F$17&gt;0,Observaciones!$K158,0)</f>
        <v>0</v>
      </c>
      <c r="BC159" s="170">
        <f>IF(Escenarios!$F$17&gt;0,MIN(0.0005*ETo!$M158*Escenarios!$F$17*(BG158/Constantes!$F$40)^(2/3),BG158+AY159+AZ159+BA159+BB159),0)</f>
        <v>0</v>
      </c>
      <c r="BD159" s="170">
        <f>IF(Escenarios!$F$17&gt;0,MIN(Constantes!$F$39*(BG158/Constantes!$F$40)^(2/3),BG158+AY159+AZ159+BA159+BB159-BC159),0)</f>
        <v>0</v>
      </c>
      <c r="BE159" s="170">
        <f>IF(Escenarios!$F$17&gt;0,MIN(Entradas!$F$113,BG158+AY159+AZ159+BA159+BB159-BC159-BD159),0)</f>
        <v>0</v>
      </c>
      <c r="BF159" s="170">
        <f>IF(Escenarios!$F$17&gt;0,MAX(0,BG158+AY159+AZ159+BA159+BB159-BC159-BD159-BE159-Constantes!$F$40),0)</f>
        <v>0</v>
      </c>
      <c r="BG159" s="170">
        <f t="shared" si="39"/>
        <v>0</v>
      </c>
      <c r="BH159" s="170">
        <f>(Escenarios!$F$16*AK159+0.1*BC159)/(Escenarios!$F$19)</f>
        <v>1.723684883558116</v>
      </c>
      <c r="BI159" s="170">
        <f>IF(Escenarios!$F$17&gt;0,BF159/10/Escenarios!$F$19,AL159)</f>
        <v>0</v>
      </c>
      <c r="BJ159" s="170">
        <f>(Escenarios!$F$16*AT159+0.1*BD159)/(Escenarios!$F$19)</f>
        <v>0</v>
      </c>
      <c r="BK159" s="76">
        <f>BK158+(0.1*BD159)/(Escenarios!$F$19)-BL158</f>
        <v>48.75</v>
      </c>
      <c r="BL159" s="76">
        <f>MAX(0,(BK159-Constantes!$D$13)*(1-EXP(-Constantes!$D$23)))</f>
        <v>0</v>
      </c>
      <c r="BM159" s="76">
        <f t="shared" si="40"/>
        <v>0.67478479279368697</v>
      </c>
      <c r="BN159" s="76">
        <f t="shared" si="41"/>
        <v>0.97742950881030888</v>
      </c>
      <c r="BO159" s="76">
        <f>0.0526*BI159*Observaciones!$F158^1.218</f>
        <v>0</v>
      </c>
      <c r="BP159" s="76">
        <f>BO159*Constantes!$F$51</f>
        <v>0</v>
      </c>
      <c r="BQ159" s="76">
        <f t="shared" si="42"/>
        <v>0</v>
      </c>
      <c r="BR159" s="40"/>
    </row>
    <row r="160" spans="2:70">
      <c r="B160" s="39"/>
      <c r="C160" s="75">
        <v>154</v>
      </c>
      <c r="D160" s="146">
        <f>ETo!$I159*((1-Constantes!$F$19)*ETo!$K159+ETo!$L159)</f>
        <v>2.5055553431937385</v>
      </c>
      <c r="E160" s="76">
        <f>MIN(D160*Constantes!$F$17,0.8*(N159+Observaciones!$F159-F160-M160-Constantes!$D$14))</f>
        <v>1.4289476715635572</v>
      </c>
      <c r="F160" s="76">
        <f>IF(Observaciones!$F159&gt;0.05*Constantes!$F$18,((Observaciones!$F159-0.05*Constantes!$F$18)^2)/(Observaciones!$F159+0.95*Constantes!$F$18),0)</f>
        <v>0</v>
      </c>
      <c r="G160" s="76">
        <f>IF(Escenarios!$F$11&gt;0,(F160*Escenarios!$F$16*10000)/1000,0)</f>
        <v>0</v>
      </c>
      <c r="H160" s="76">
        <f>IF(Escenarios!$F$11&gt;0,(Observaciones!$F159*Constantes!$F$29)/1000,0)</f>
        <v>0</v>
      </c>
      <c r="I160" s="76">
        <f>IF(Escenarios!$F$11&gt;0,(D160*Constantes!$F$29)/1000,0)</f>
        <v>0</v>
      </c>
      <c r="J160" s="76">
        <f>IF(Escenarios!$F$11&gt;0,MAX(0,G160+H160-I160),0)</f>
        <v>0</v>
      </c>
      <c r="K160" s="76">
        <f>IF(Escenarios!$F$11&gt;0,IF(J160&gt;Constantes!$F$30,1000*((J160-Constantes!$F$30)/(Escenarios!$F$16*10000)),0),F160)</f>
        <v>0</v>
      </c>
      <c r="L160" s="76">
        <f>IF(Escenarios!$F$11&gt;0,I160*1000/Escenarios!$F$16/10000+E160,E160)</f>
        <v>1.4289476715635572</v>
      </c>
      <c r="M160" s="76">
        <f>MAX(0,N159+Observaciones!$F159-K160-Constantes!$D$13)</f>
        <v>0</v>
      </c>
      <c r="N160" s="76">
        <f>N159+Observaciones!$F159-K160-L160-M160-O159</f>
        <v>20.873361778070439</v>
      </c>
      <c r="O160" s="76">
        <f>MAX(0,(N160-Constantes!$D$14)*(1-EXP(-Constantes!$D$22)))</f>
        <v>0.32780703024540442</v>
      </c>
      <c r="P160" s="170">
        <f>P159+(Entradas!$F$83*M160-Q159)/(800*Entradas!$D$25)</f>
        <v>0</v>
      </c>
      <c r="Q160" s="170">
        <f>8000*Entradas!$D$26*P160/Constantes!$F$45</f>
        <v>0</v>
      </c>
      <c r="R160" s="170">
        <f>IF(Escenarios!$F$14&gt;0,K160*Escenarios!$F$13/Escenarios!$F$14,0)</f>
        <v>0</v>
      </c>
      <c r="S160" s="170">
        <f>IF(Escenarios!$F$14&gt;0,Q160*Escenarios!$F$13/Escenarios!$F$14,0)</f>
        <v>0</v>
      </c>
      <c r="T160" s="170">
        <f>IF(Escenarios!$F$14&gt;0,Observaciones!$I159,0)</f>
        <v>0</v>
      </c>
      <c r="U160" s="170">
        <f>IF(Escenarios!$F$14&gt;0,MAX(0,Constantes!$F$36/((Z159+R160+S160+T160+Observaciones!$F159)^2)+Entradas!$F$77),0)</f>
        <v>0</v>
      </c>
      <c r="V160" s="146">
        <f>IF(ETo!D159&gt;0,ETo!I159*((1-Entradas!$F$81)*ETo!K159+ETo!L159),0)</f>
        <v>2.1831709411267566</v>
      </c>
      <c r="W160" s="170">
        <f>IF(Escenarios!$F$14&gt;0,MIN(V160*1,0.8*(Z159+R160+S160+T160+Observaciones!$F159-U160-Constantes!$F$35)),0)</f>
        <v>2.1831709411267566</v>
      </c>
      <c r="X160" s="170">
        <f>IF(Escenarios!$F$14&gt;0,Observaciones!$J159,0)</f>
        <v>0</v>
      </c>
      <c r="Y160" s="170">
        <f>IF(Escenarios!$F$14&gt;0,MAX(0,Z159+R160+S160+T160+Observaciones!$F159-U160-W160-X160-Constantes!$F$33),0)</f>
        <v>0</v>
      </c>
      <c r="Z160" s="170">
        <f>Z159+R160+S160+T160+Observaciones!$F159-U160-W160-Y160</f>
        <v>49.683945311018597</v>
      </c>
      <c r="AA160" s="170">
        <f>IF(Escenarios!$F$14&gt;0,(Escenarios!$F$13*L160+Escenarios!$F$14*W160)/(Escenarios!$F$16),L160)</f>
        <v>1.5194544639111411</v>
      </c>
      <c r="AB160" s="170">
        <f>IF(Escenarios!$F$14&gt;0,(Escenarios!$F$14*Y160)/(Escenarios!$F$16),K160)</f>
        <v>0</v>
      </c>
      <c r="AC160" s="170">
        <f>IF(Escenarios!$F$14&gt;0,(Escenarios!$F$13*M160+Escenarios!$F$14*U160)/(Escenarios!$F$16),M160)</f>
        <v>0</v>
      </c>
      <c r="AD160" s="76">
        <f t="shared" si="29"/>
        <v>109.34199616705374</v>
      </c>
      <c r="AE160" s="76">
        <f>MAX(0,(AD160-Constantes!$D$13)*(1-EXP(-Constantes!$D$23)))</f>
        <v>0.59702737012308282</v>
      </c>
      <c r="AF160" s="76">
        <f>AB160+O160*Escenarios!$F$13/Escenarios!$F$16+AE160</f>
        <v>0.88549755673903863</v>
      </c>
      <c r="AG160" s="76">
        <f>IF(Entradas!$F$91&gt;0,IF(AF160-Escenarios!$F$38&lt;=0,0,IF(AF160-Escenarios!$F$38&gt;Escenarios!$F$37,Escenarios!$F$37,AF160-Escenarios!$F$38)),0)</f>
        <v>0</v>
      </c>
      <c r="AH160" s="76">
        <f>AG160*Entradas!$F$99</f>
        <v>0</v>
      </c>
      <c r="AI160" s="76">
        <f>IF(Entradas!$F$91&gt;0,D160*Entradas!$D$23/Escenarios!$F$16,0)</f>
        <v>0.12026665647329945</v>
      </c>
      <c r="AJ160" s="76">
        <f>IF(Entradas!$F$91&gt;0,Entradas!$D$24*Entradas!$D$22/Escenarios!$F$16,0)</f>
        <v>0.12</v>
      </c>
      <c r="AK160" s="76">
        <f t="shared" si="30"/>
        <v>1.6397211203844406</v>
      </c>
      <c r="AL160" s="76">
        <f t="shared" si="31"/>
        <v>0</v>
      </c>
      <c r="AM160" s="76">
        <f t="shared" si="32"/>
        <v>0</v>
      </c>
      <c r="AN160" s="76">
        <f>MAX(0,O160*Escenarios!$F$13/Escenarios!$F$16-AM160)</f>
        <v>0.28847018661595586</v>
      </c>
      <c r="AO160" s="76">
        <f>AM160+AN160-O160*Escenarios!$F$13/Escenarios!$F$16</f>
        <v>0</v>
      </c>
      <c r="AP160" s="76">
        <f t="shared" si="33"/>
        <v>0.59702737012308282</v>
      </c>
      <c r="AQ160" s="76">
        <f t="shared" si="34"/>
        <v>0</v>
      </c>
      <c r="AR160" s="76">
        <f t="shared" si="35"/>
        <v>0.88549755673903863</v>
      </c>
      <c r="AS160" s="76">
        <f t="shared" si="36"/>
        <v>0</v>
      </c>
      <c r="AT160" s="76">
        <f t="shared" si="37"/>
        <v>0</v>
      </c>
      <c r="AU160" s="76">
        <f t="shared" si="38"/>
        <v>53.376585405150166</v>
      </c>
      <c r="AV160" s="76">
        <f>MAX(0,(AU160-Constantes!$D$13)*(1-EXP(-Constantes!$D$24)))</f>
        <v>7.0718500987674904E-2</v>
      </c>
      <c r="AW160" s="170">
        <f>AW159+(Entradas!$F$112*AT160-AX159)/(800*Entradas!$D$25)</f>
        <v>0</v>
      </c>
      <c r="AX160" s="170">
        <f>8000*Entradas!$D$26*AW160/Constantes!$F$45</f>
        <v>0</v>
      </c>
      <c r="AY160" s="170">
        <f>IF(Escenarios!$F$17&gt;0,10*Escenarios!$F$16*AL160,0)</f>
        <v>0</v>
      </c>
      <c r="AZ160" s="170">
        <f>IF(Escenarios!$F$17&gt;0,10*Escenarios!$F$16*AX160,0)</f>
        <v>0</v>
      </c>
      <c r="BA160" s="170">
        <f>IF(Escenarios!$F$17&gt;0,0.001*Observaciones!$F159*Escenarios!$F$17,0)</f>
        <v>0</v>
      </c>
      <c r="BB160" s="170">
        <f>IF(Escenarios!$F$17&gt;0,Observaciones!$K159,0)</f>
        <v>0</v>
      </c>
      <c r="BC160" s="170">
        <f>IF(Escenarios!$F$17&gt;0,MIN(0.0005*ETo!$M159*Escenarios!$F$17*(BG159/Constantes!$F$40)^(2/3),BG159+AY160+AZ160+BA160+BB160),0)</f>
        <v>0</v>
      </c>
      <c r="BD160" s="170">
        <f>IF(Escenarios!$F$17&gt;0,MIN(Constantes!$F$39*(BG159/Constantes!$F$40)^(2/3),BG159+AY160+AZ160+BA160+BB160-BC160),0)</f>
        <v>0</v>
      </c>
      <c r="BE160" s="170">
        <f>IF(Escenarios!$F$17&gt;0,MIN(Entradas!$F$113,BG159+AY160+AZ160+BA160+BB160-BC160-BD160),0)</f>
        <v>0</v>
      </c>
      <c r="BF160" s="170">
        <f>IF(Escenarios!$F$17&gt;0,MAX(0,BG159+AY160+AZ160+BA160+BB160-BC160-BD160-BE160-Constantes!$F$40),0)</f>
        <v>0</v>
      </c>
      <c r="BG160" s="170">
        <f t="shared" si="39"/>
        <v>0</v>
      </c>
      <c r="BH160" s="170">
        <f>(Escenarios!$F$16*AK160+0.1*BC160)/(Escenarios!$F$19)</f>
        <v>1.6397211203844406</v>
      </c>
      <c r="BI160" s="170">
        <f>IF(Escenarios!$F$17&gt;0,BF160/10/Escenarios!$F$19,AL160)</f>
        <v>0</v>
      </c>
      <c r="BJ160" s="170">
        <f>(Escenarios!$F$16*AT160+0.1*BD160)/(Escenarios!$F$19)</f>
        <v>0</v>
      </c>
      <c r="BK160" s="76">
        <f>BK159+(0.1*BD160)/(Escenarios!$F$19)-BL159</f>
        <v>48.75</v>
      </c>
      <c r="BL160" s="76">
        <f>MAX(0,(BK160-Constantes!$D$13)*(1-EXP(-Constantes!$D$23)))</f>
        <v>0</v>
      </c>
      <c r="BM160" s="76">
        <f t="shared" si="40"/>
        <v>0.66774587111075778</v>
      </c>
      <c r="BN160" s="76">
        <f t="shared" si="41"/>
        <v>0.95621605772671359</v>
      </c>
      <c r="BO160" s="76">
        <f>0.0526*BI160*Observaciones!$F159^1.218</f>
        <v>0</v>
      </c>
      <c r="BP160" s="76">
        <f>BO160*Constantes!$F$51</f>
        <v>0</v>
      </c>
      <c r="BQ160" s="76">
        <f t="shared" si="42"/>
        <v>0</v>
      </c>
      <c r="BR160" s="40"/>
    </row>
    <row r="161" spans="2:70">
      <c r="B161" s="39"/>
      <c r="C161" s="75">
        <v>155</v>
      </c>
      <c r="D161" s="146">
        <f>ETo!$I160*((1-Constantes!$F$19)*ETo!$K160+ETo!$L160)</f>
        <v>2.8122097665814727</v>
      </c>
      <c r="E161" s="76">
        <f>MIN(D161*Constantes!$F$17,0.8*(N160+Observaciones!$F160-F161-M161-Constantes!$D$14))</f>
        <v>1.6038362947444043</v>
      </c>
      <c r="F161" s="76">
        <f>IF(Observaciones!$F160&gt;0.05*Constantes!$F$18,((Observaciones!$F160-0.05*Constantes!$F$18)^2)/(Observaciones!$F160+0.95*Constantes!$F$18),0)</f>
        <v>0</v>
      </c>
      <c r="G161" s="76">
        <f>IF(Escenarios!$F$11&gt;0,(F161*Escenarios!$F$16*10000)/1000,0)</f>
        <v>0</v>
      </c>
      <c r="H161" s="76">
        <f>IF(Escenarios!$F$11&gt;0,(Observaciones!$F160*Constantes!$F$29)/1000,0)</f>
        <v>0</v>
      </c>
      <c r="I161" s="76">
        <f>IF(Escenarios!$F$11&gt;0,(D161*Constantes!$F$29)/1000,0)</f>
        <v>0</v>
      </c>
      <c r="J161" s="76">
        <f>IF(Escenarios!$F$11&gt;0,MAX(0,G161+H161-I161),0)</f>
        <v>0</v>
      </c>
      <c r="K161" s="76">
        <f>IF(Escenarios!$F$11&gt;0,IF(J161&gt;Constantes!$F$30,1000*((J161-Constantes!$F$30)/(Escenarios!$F$16*10000)),0),F161)</f>
        <v>0</v>
      </c>
      <c r="L161" s="76">
        <f>IF(Escenarios!$F$11&gt;0,I161*1000/Escenarios!$F$16/10000+E161,E161)</f>
        <v>1.6038362947444043</v>
      </c>
      <c r="M161" s="76">
        <f>MAX(0,N160+Observaciones!$F160-K161-Constantes!$D$13)</f>
        <v>0</v>
      </c>
      <c r="N161" s="76">
        <f>N160+Observaciones!$F160-K161-L161-M161-O160</f>
        <v>18.941718453080629</v>
      </c>
      <c r="O161" s="76">
        <f>MAX(0,(N161-Constantes!$D$14)*(1-EXP(-Constantes!$D$22)))</f>
        <v>0.26200816738843397</v>
      </c>
      <c r="P161" s="170">
        <f>P160+(Entradas!$F$83*M161-Q160)/(800*Entradas!$D$25)</f>
        <v>0</v>
      </c>
      <c r="Q161" s="170">
        <f>8000*Entradas!$D$26*P161/Constantes!$F$45</f>
        <v>0</v>
      </c>
      <c r="R161" s="170">
        <f>IF(Escenarios!$F$14&gt;0,K161*Escenarios!$F$13/Escenarios!$F$14,0)</f>
        <v>0</v>
      </c>
      <c r="S161" s="170">
        <f>IF(Escenarios!$F$14&gt;0,Q161*Escenarios!$F$13/Escenarios!$F$14,0)</f>
        <v>0</v>
      </c>
      <c r="T161" s="170">
        <f>IF(Escenarios!$F$14&gt;0,Observaciones!$I160,0)</f>
        <v>0</v>
      </c>
      <c r="U161" s="170">
        <f>IF(Escenarios!$F$14&gt;0,MAX(0,Constantes!$F$36/((Z160+R161+S161+T161+Observaciones!$F160)^2)+Entradas!$F$77),0)</f>
        <v>0</v>
      </c>
      <c r="V161" s="146">
        <f>IF(ETo!D160&gt;0,ETo!I160*((1-Entradas!$F$81)*ETo!K160+ETo!L160),0)</f>
        <v>2.4534225341003739</v>
      </c>
      <c r="W161" s="170">
        <f>IF(Escenarios!$F$14&gt;0,MIN(V161*1,0.8*(Z160+R161+S161+T161+Observaciones!$F160-U161-Constantes!$F$35)),0)</f>
        <v>2.4534225341003739</v>
      </c>
      <c r="X161" s="170">
        <f>IF(Escenarios!$F$14&gt;0,Observaciones!$J160,0)</f>
        <v>0</v>
      </c>
      <c r="Y161" s="170">
        <f>IF(Escenarios!$F$14&gt;0,MAX(0,Z160+R161+S161+T161+Observaciones!$F160-U161-W161-X161-Constantes!$F$33),0)</f>
        <v>0</v>
      </c>
      <c r="Z161" s="170">
        <f>Z160+R161+S161+T161+Observaciones!$F160-U161-W161-Y161</f>
        <v>47.230522776918221</v>
      </c>
      <c r="AA161" s="170">
        <f>IF(Escenarios!$F$14&gt;0,(Escenarios!$F$13*L161+Escenarios!$F$14*W161)/(Escenarios!$F$16),L161)</f>
        <v>1.7057866434671205</v>
      </c>
      <c r="AB161" s="170">
        <f>IF(Escenarios!$F$14&gt;0,(Escenarios!$F$14*Y161)/(Escenarios!$F$16),K161)</f>
        <v>0</v>
      </c>
      <c r="AC161" s="170">
        <f>IF(Escenarios!$F$14&gt;0,(Escenarios!$F$13*M161+Escenarios!$F$14*U161)/(Escenarios!$F$16),M161)</f>
        <v>0</v>
      </c>
      <c r="AD161" s="76">
        <f t="shared" si="29"/>
        <v>108.74496879693065</v>
      </c>
      <c r="AE161" s="76">
        <f>MAX(0,(AD161-Constantes!$D$13)*(1-EXP(-Constantes!$D$23)))</f>
        <v>0.5911447172444193</v>
      </c>
      <c r="AF161" s="76">
        <f>AB161+O161*Escenarios!$F$13/Escenarios!$F$16+AE161</f>
        <v>0.82171190454624121</v>
      </c>
      <c r="AG161" s="76">
        <f>IF(Entradas!$F$91&gt;0,IF(AF161-Escenarios!$F$38&lt;=0,0,IF(AF161-Escenarios!$F$38&gt;Escenarios!$F$37,Escenarios!$F$37,AF161-Escenarios!$F$38)),0)</f>
        <v>0</v>
      </c>
      <c r="AH161" s="76">
        <f>AG161*Entradas!$F$99</f>
        <v>0</v>
      </c>
      <c r="AI161" s="76">
        <f>IF(Entradas!$F$91&gt;0,D161*Entradas!$D$23/Escenarios!$F$16,0)</f>
        <v>0.13498606879591069</v>
      </c>
      <c r="AJ161" s="76">
        <f>IF(Entradas!$F$91&gt;0,Entradas!$D$24*Entradas!$D$22/Escenarios!$F$16,0)</f>
        <v>0.12</v>
      </c>
      <c r="AK161" s="76">
        <f t="shared" si="30"/>
        <v>1.8407727122630311</v>
      </c>
      <c r="AL161" s="76">
        <f t="shared" si="31"/>
        <v>0</v>
      </c>
      <c r="AM161" s="76">
        <f t="shared" si="32"/>
        <v>0</v>
      </c>
      <c r="AN161" s="76">
        <f>MAX(0,O161*Escenarios!$F$13/Escenarios!$F$16-AM161)</f>
        <v>0.23056718730182188</v>
      </c>
      <c r="AO161" s="76">
        <f>AM161+AN161-O161*Escenarios!$F$13/Escenarios!$F$16</f>
        <v>0</v>
      </c>
      <c r="AP161" s="76">
        <f t="shared" si="33"/>
        <v>0.5911447172444193</v>
      </c>
      <c r="AQ161" s="76">
        <f t="shared" si="34"/>
        <v>0</v>
      </c>
      <c r="AR161" s="76">
        <f t="shared" si="35"/>
        <v>0.82171190454624121</v>
      </c>
      <c r="AS161" s="76">
        <f t="shared" si="36"/>
        <v>0</v>
      </c>
      <c r="AT161" s="76">
        <f t="shared" si="37"/>
        <v>0</v>
      </c>
      <c r="AU161" s="76">
        <f t="shared" si="38"/>
        <v>53.305866904162492</v>
      </c>
      <c r="AV161" s="76">
        <f>MAX(0,(AU161-Constantes!$D$13)*(1-EXP(-Constantes!$D$24)))</f>
        <v>6.9637551227971634E-2</v>
      </c>
      <c r="AW161" s="170">
        <f>AW160+(Entradas!$F$112*AT161-AX160)/(800*Entradas!$D$25)</f>
        <v>0</v>
      </c>
      <c r="AX161" s="170">
        <f>8000*Entradas!$D$26*AW161/Constantes!$F$45</f>
        <v>0</v>
      </c>
      <c r="AY161" s="170">
        <f>IF(Escenarios!$F$17&gt;0,10*Escenarios!$F$16*AL161,0)</f>
        <v>0</v>
      </c>
      <c r="AZ161" s="170">
        <f>IF(Escenarios!$F$17&gt;0,10*Escenarios!$F$16*AX161,0)</f>
        <v>0</v>
      </c>
      <c r="BA161" s="170">
        <f>IF(Escenarios!$F$17&gt;0,0.001*Observaciones!$F160*Escenarios!$F$17,0)</f>
        <v>0</v>
      </c>
      <c r="BB161" s="170">
        <f>IF(Escenarios!$F$17&gt;0,Observaciones!$K160,0)</f>
        <v>0</v>
      </c>
      <c r="BC161" s="170">
        <f>IF(Escenarios!$F$17&gt;0,MIN(0.0005*ETo!$M160*Escenarios!$F$17*(BG160/Constantes!$F$40)^(2/3),BG160+AY161+AZ161+BA161+BB161),0)</f>
        <v>0</v>
      </c>
      <c r="BD161" s="170">
        <f>IF(Escenarios!$F$17&gt;0,MIN(Constantes!$F$39*(BG160/Constantes!$F$40)^(2/3),BG160+AY161+AZ161+BA161+BB161-BC161),0)</f>
        <v>0</v>
      </c>
      <c r="BE161" s="170">
        <f>IF(Escenarios!$F$17&gt;0,MIN(Entradas!$F$113,BG160+AY161+AZ161+BA161+BB161-BC161-BD161),0)</f>
        <v>0</v>
      </c>
      <c r="BF161" s="170">
        <f>IF(Escenarios!$F$17&gt;0,MAX(0,BG160+AY161+AZ161+BA161+BB161-BC161-BD161-BE161-Constantes!$F$40),0)</f>
        <v>0</v>
      </c>
      <c r="BG161" s="170">
        <f t="shared" si="39"/>
        <v>0</v>
      </c>
      <c r="BH161" s="170">
        <f>(Escenarios!$F$16*AK161+0.1*BC161)/(Escenarios!$F$19)</f>
        <v>1.8407727122630311</v>
      </c>
      <c r="BI161" s="170">
        <f>IF(Escenarios!$F$17&gt;0,BF161/10/Escenarios!$F$19,AL161)</f>
        <v>0</v>
      </c>
      <c r="BJ161" s="170">
        <f>(Escenarios!$F$16*AT161+0.1*BD161)/(Escenarios!$F$19)</f>
        <v>0</v>
      </c>
      <c r="BK161" s="76">
        <f>BK160+(0.1*BD161)/(Escenarios!$F$19)-BL160</f>
        <v>48.75</v>
      </c>
      <c r="BL161" s="76">
        <f>MAX(0,(BK161-Constantes!$D$13)*(1-EXP(-Constantes!$D$23)))</f>
        <v>0</v>
      </c>
      <c r="BM161" s="76">
        <f t="shared" si="40"/>
        <v>0.66078226847239097</v>
      </c>
      <c r="BN161" s="76">
        <f t="shared" si="41"/>
        <v>0.89134945577421287</v>
      </c>
      <c r="BO161" s="76">
        <f>0.0526*BI161*Observaciones!$F160^1.218</f>
        <v>0</v>
      </c>
      <c r="BP161" s="76">
        <f>BO161*Constantes!$F$51</f>
        <v>0</v>
      </c>
      <c r="BQ161" s="76">
        <f t="shared" si="42"/>
        <v>0</v>
      </c>
      <c r="BR161" s="40"/>
    </row>
    <row r="162" spans="2:70">
      <c r="B162" s="39"/>
      <c r="C162" s="75">
        <v>156</v>
      </c>
      <c r="D162" s="146">
        <f>ETo!$I161*((1-Constantes!$F$19)*ETo!$K161+ETo!$L161)</f>
        <v>2.6237337462773254</v>
      </c>
      <c r="E162" s="76">
        <f>MIN(D162*Constantes!$F$17,0.8*(N161+Observaciones!$F161-F162-M162-Constantes!$D$14))</f>
        <v>1.4963462043375877</v>
      </c>
      <c r="F162" s="76">
        <f>IF(Observaciones!$F161&gt;0.05*Constantes!$F$18,((Observaciones!$F161-0.05*Constantes!$F$18)^2)/(Observaciones!$F161+0.95*Constantes!$F$18),0)</f>
        <v>0</v>
      </c>
      <c r="G162" s="76">
        <f>IF(Escenarios!$F$11&gt;0,(F162*Escenarios!$F$16*10000)/1000,0)</f>
        <v>0</v>
      </c>
      <c r="H162" s="76">
        <f>IF(Escenarios!$F$11&gt;0,(Observaciones!$F161*Constantes!$F$29)/1000,0)</f>
        <v>0</v>
      </c>
      <c r="I162" s="76">
        <f>IF(Escenarios!$F$11&gt;0,(D162*Constantes!$F$29)/1000,0)</f>
        <v>0</v>
      </c>
      <c r="J162" s="76">
        <f>IF(Escenarios!$F$11&gt;0,MAX(0,G162+H162-I162),0)</f>
        <v>0</v>
      </c>
      <c r="K162" s="76">
        <f>IF(Escenarios!$F$11&gt;0,IF(J162&gt;Constantes!$F$30,1000*((J162-Constantes!$F$30)/(Escenarios!$F$16*10000)),0),F162)</f>
        <v>0</v>
      </c>
      <c r="L162" s="76">
        <f>IF(Escenarios!$F$11&gt;0,I162*1000/Escenarios!$F$16/10000+E162,E162)</f>
        <v>1.4963462043375877</v>
      </c>
      <c r="M162" s="76">
        <f>MAX(0,N161+Observaciones!$F161-K162-Constantes!$D$13)</f>
        <v>0</v>
      </c>
      <c r="N162" s="76">
        <f>N161+Observaciones!$F161-K162-L162-M162-O161</f>
        <v>17.183364081354608</v>
      </c>
      <c r="O162" s="76">
        <f>MAX(0,(N162-Constantes!$D$14)*(1-EXP(-Constantes!$D$22)))</f>
        <v>0.20211216243639901</v>
      </c>
      <c r="P162" s="170">
        <f>P161+(Entradas!$F$83*M162-Q161)/(800*Entradas!$D$25)</f>
        <v>0</v>
      </c>
      <c r="Q162" s="170">
        <f>8000*Entradas!$D$26*P162/Constantes!$F$45</f>
        <v>0</v>
      </c>
      <c r="R162" s="170">
        <f>IF(Escenarios!$F$14&gt;0,K162*Escenarios!$F$13/Escenarios!$F$14,0)</f>
        <v>0</v>
      </c>
      <c r="S162" s="170">
        <f>IF(Escenarios!$F$14&gt;0,Q162*Escenarios!$F$13/Escenarios!$F$14,0)</f>
        <v>0</v>
      </c>
      <c r="T162" s="170">
        <f>IF(Escenarios!$F$14&gt;0,Observaciones!$I161,0)</f>
        <v>0</v>
      </c>
      <c r="U162" s="170">
        <f>IF(Escenarios!$F$14&gt;0,MAX(0,Constantes!$F$36/((Z161+R162+S162+T162+Observaciones!$F161)^2)+Entradas!$F$77),0)</f>
        <v>0</v>
      </c>
      <c r="V162" s="146">
        <f>IF(ETo!D161&gt;0,ETo!I161*((1-Entradas!$F$81)*ETo!K161+ETo!L161),0)</f>
        <v>2.2861641928235521</v>
      </c>
      <c r="W162" s="170">
        <f>IF(Escenarios!$F$14&gt;0,MIN(V162*1,0.8*(Z161+R162+S162+T162+Observaciones!$F161-U162-Constantes!$F$35)),0)</f>
        <v>2.2861641928235521</v>
      </c>
      <c r="X162" s="170">
        <f>IF(Escenarios!$F$14&gt;0,Observaciones!$J161,0)</f>
        <v>0</v>
      </c>
      <c r="Y162" s="170">
        <f>IF(Escenarios!$F$14&gt;0,MAX(0,Z161+R162+S162+T162+Observaciones!$F161-U162-W162-X162-Constantes!$F$33),0)</f>
        <v>0</v>
      </c>
      <c r="Z162" s="170">
        <f>Z161+R162+S162+T162+Observaciones!$F161-U162-W162-Y162</f>
        <v>44.944358584094672</v>
      </c>
      <c r="AA162" s="170">
        <f>IF(Escenarios!$F$14&gt;0,(Escenarios!$F$13*L162+Escenarios!$F$14*W162)/(Escenarios!$F$16),L162)</f>
        <v>1.5911243629559035</v>
      </c>
      <c r="AB162" s="170">
        <f>IF(Escenarios!$F$14&gt;0,(Escenarios!$F$14*Y162)/(Escenarios!$F$16),K162)</f>
        <v>0</v>
      </c>
      <c r="AC162" s="170">
        <f>IF(Escenarios!$F$14&gt;0,(Escenarios!$F$13*M162+Escenarios!$F$14*U162)/(Escenarios!$F$16),M162)</f>
        <v>0</v>
      </c>
      <c r="AD162" s="76">
        <f t="shared" si="29"/>
        <v>108.15382407968623</v>
      </c>
      <c r="AE162" s="76">
        <f>MAX(0,(AD162-Constantes!$D$13)*(1-EXP(-Constantes!$D$23)))</f>
        <v>0.585320027545708</v>
      </c>
      <c r="AF162" s="76">
        <f>AB162+O162*Escenarios!$F$13/Escenarios!$F$16+AE162</f>
        <v>0.76317873048973917</v>
      </c>
      <c r="AG162" s="76">
        <f>IF(Entradas!$F$91&gt;0,IF(AF162-Escenarios!$F$38&lt;=0,0,IF(AF162-Escenarios!$F$38&gt;Escenarios!$F$37,Escenarios!$F$37,AF162-Escenarios!$F$38)),0)</f>
        <v>0</v>
      </c>
      <c r="AH162" s="76">
        <f>AG162*Entradas!$F$99</f>
        <v>0</v>
      </c>
      <c r="AI162" s="76">
        <f>IF(Entradas!$F$91&gt;0,D162*Entradas!$D$23/Escenarios!$F$16,0)</f>
        <v>0.12593921982131162</v>
      </c>
      <c r="AJ162" s="76">
        <f>IF(Entradas!$F$91&gt;0,Entradas!$D$24*Entradas!$D$22/Escenarios!$F$16,0)</f>
        <v>0.12</v>
      </c>
      <c r="AK162" s="76">
        <f t="shared" si="30"/>
        <v>1.7170635827772152</v>
      </c>
      <c r="AL162" s="76">
        <f t="shared" si="31"/>
        <v>0</v>
      </c>
      <c r="AM162" s="76">
        <f t="shared" si="32"/>
        <v>0</v>
      </c>
      <c r="AN162" s="76">
        <f>MAX(0,O162*Escenarios!$F$13/Escenarios!$F$16-AM162)</f>
        <v>0.17785870294403114</v>
      </c>
      <c r="AO162" s="76">
        <f>AM162+AN162-O162*Escenarios!$F$13/Escenarios!$F$16</f>
        <v>0</v>
      </c>
      <c r="AP162" s="76">
        <f t="shared" si="33"/>
        <v>0.585320027545708</v>
      </c>
      <c r="AQ162" s="76">
        <f t="shared" si="34"/>
        <v>0</v>
      </c>
      <c r="AR162" s="76">
        <f t="shared" si="35"/>
        <v>0.76317873048973917</v>
      </c>
      <c r="AS162" s="76">
        <f t="shared" si="36"/>
        <v>0</v>
      </c>
      <c r="AT162" s="76">
        <f t="shared" si="37"/>
        <v>0</v>
      </c>
      <c r="AU162" s="76">
        <f t="shared" si="38"/>
        <v>53.236229352934522</v>
      </c>
      <c r="AV162" s="76">
        <f>MAX(0,(AU162-Constantes!$D$13)*(1-EXP(-Constantes!$D$24)))</f>
        <v>6.8573124052410908E-2</v>
      </c>
      <c r="AW162" s="170">
        <f>AW161+(Entradas!$F$112*AT162-AX161)/(800*Entradas!$D$25)</f>
        <v>0</v>
      </c>
      <c r="AX162" s="170">
        <f>8000*Entradas!$D$26*AW162/Constantes!$F$45</f>
        <v>0</v>
      </c>
      <c r="AY162" s="170">
        <f>IF(Escenarios!$F$17&gt;0,10*Escenarios!$F$16*AL162,0)</f>
        <v>0</v>
      </c>
      <c r="AZ162" s="170">
        <f>IF(Escenarios!$F$17&gt;0,10*Escenarios!$F$16*AX162,0)</f>
        <v>0</v>
      </c>
      <c r="BA162" s="170">
        <f>IF(Escenarios!$F$17&gt;0,0.001*Observaciones!$F161*Escenarios!$F$17,0)</f>
        <v>0</v>
      </c>
      <c r="BB162" s="170">
        <f>IF(Escenarios!$F$17&gt;0,Observaciones!$K161,0)</f>
        <v>0</v>
      </c>
      <c r="BC162" s="170">
        <f>IF(Escenarios!$F$17&gt;0,MIN(0.0005*ETo!$M161*Escenarios!$F$17*(BG161/Constantes!$F$40)^(2/3),BG161+AY162+AZ162+BA162+BB162),0)</f>
        <v>0</v>
      </c>
      <c r="BD162" s="170">
        <f>IF(Escenarios!$F$17&gt;0,MIN(Constantes!$F$39*(BG161/Constantes!$F$40)^(2/3),BG161+AY162+AZ162+BA162+BB162-BC162),0)</f>
        <v>0</v>
      </c>
      <c r="BE162" s="170">
        <f>IF(Escenarios!$F$17&gt;0,MIN(Entradas!$F$113,BG161+AY162+AZ162+BA162+BB162-BC162-BD162),0)</f>
        <v>0</v>
      </c>
      <c r="BF162" s="170">
        <f>IF(Escenarios!$F$17&gt;0,MAX(0,BG161+AY162+AZ162+BA162+BB162-BC162-BD162-BE162-Constantes!$F$40),0)</f>
        <v>0</v>
      </c>
      <c r="BG162" s="170">
        <f t="shared" si="39"/>
        <v>0</v>
      </c>
      <c r="BH162" s="170">
        <f>(Escenarios!$F$16*AK162+0.1*BC162)/(Escenarios!$F$19)</f>
        <v>1.7170635827772152</v>
      </c>
      <c r="BI162" s="170">
        <f>IF(Escenarios!$F$17&gt;0,BF162/10/Escenarios!$F$19,AL162)</f>
        <v>0</v>
      </c>
      <c r="BJ162" s="170">
        <f>(Escenarios!$F$16*AT162+0.1*BD162)/(Escenarios!$F$19)</f>
        <v>0</v>
      </c>
      <c r="BK162" s="76">
        <f>BK161+(0.1*BD162)/(Escenarios!$F$19)-BL161</f>
        <v>48.75</v>
      </c>
      <c r="BL162" s="76">
        <f>MAX(0,(BK162-Constantes!$D$13)*(1-EXP(-Constantes!$D$23)))</f>
        <v>0</v>
      </c>
      <c r="BM162" s="76">
        <f t="shared" si="40"/>
        <v>0.65389315159811889</v>
      </c>
      <c r="BN162" s="76">
        <f t="shared" si="41"/>
        <v>0.83175185454215006</v>
      </c>
      <c r="BO162" s="76">
        <f>0.0526*BI162*Observaciones!$F161^1.218</f>
        <v>0</v>
      </c>
      <c r="BP162" s="76">
        <f>BO162*Constantes!$F$51</f>
        <v>0</v>
      </c>
      <c r="BQ162" s="76">
        <f t="shared" si="42"/>
        <v>0</v>
      </c>
      <c r="BR162" s="40"/>
    </row>
    <row r="163" spans="2:70">
      <c r="B163" s="39"/>
      <c r="C163" s="75">
        <v>157</v>
      </c>
      <c r="D163" s="146">
        <f>ETo!$I162*((1-Constantes!$F$19)*ETo!$K162+ETo!$L162)</f>
        <v>2.6960070502377524</v>
      </c>
      <c r="E163" s="76">
        <f>MIN(D163*Constantes!$F$17,0.8*(N162+Observaciones!$F162-F163-M163-Constantes!$D$14))</f>
        <v>1.5375645193474718</v>
      </c>
      <c r="F163" s="76">
        <f>IF(Observaciones!$F162&gt;0.05*Constantes!$F$18,((Observaciones!$F162-0.05*Constantes!$F$18)^2)/(Observaciones!$F162+0.95*Constantes!$F$18),0)</f>
        <v>0</v>
      </c>
      <c r="G163" s="76">
        <f>IF(Escenarios!$F$11&gt;0,(F163*Escenarios!$F$16*10000)/1000,0)</f>
        <v>0</v>
      </c>
      <c r="H163" s="76">
        <f>IF(Escenarios!$F$11&gt;0,(Observaciones!$F162*Constantes!$F$29)/1000,0)</f>
        <v>0</v>
      </c>
      <c r="I163" s="76">
        <f>IF(Escenarios!$F$11&gt;0,(D163*Constantes!$F$29)/1000,0)</f>
        <v>0</v>
      </c>
      <c r="J163" s="76">
        <f>IF(Escenarios!$F$11&gt;0,MAX(0,G163+H163-I163),0)</f>
        <v>0</v>
      </c>
      <c r="K163" s="76">
        <f>IF(Escenarios!$F$11&gt;0,IF(J163&gt;Constantes!$F$30,1000*((J163-Constantes!$F$30)/(Escenarios!$F$16*10000)),0),F163)</f>
        <v>0</v>
      </c>
      <c r="L163" s="76">
        <f>IF(Escenarios!$F$11&gt;0,I163*1000/Escenarios!$F$16/10000+E163,E163)</f>
        <v>1.5375645193474718</v>
      </c>
      <c r="M163" s="76">
        <f>MAX(0,N162+Observaciones!$F162-K163-Constantes!$D$13)</f>
        <v>0</v>
      </c>
      <c r="N163" s="76">
        <f>N162+Observaciones!$F162-K163-L163-M163-O162</f>
        <v>15.443687399570738</v>
      </c>
      <c r="O163" s="76">
        <f>MAX(0,(N163-Constantes!$D$14)*(1-EXP(-Constantes!$D$22)))</f>
        <v>0.14285238817099721</v>
      </c>
      <c r="P163" s="170">
        <f>P162+(Entradas!$F$83*M163-Q162)/(800*Entradas!$D$25)</f>
        <v>0</v>
      </c>
      <c r="Q163" s="170">
        <f>8000*Entradas!$D$26*P163/Constantes!$F$45</f>
        <v>0</v>
      </c>
      <c r="R163" s="170">
        <f>IF(Escenarios!$F$14&gt;0,K163*Escenarios!$F$13/Escenarios!$F$14,0)</f>
        <v>0</v>
      </c>
      <c r="S163" s="170">
        <f>IF(Escenarios!$F$14&gt;0,Q163*Escenarios!$F$13/Escenarios!$F$14,0)</f>
        <v>0</v>
      </c>
      <c r="T163" s="170">
        <f>IF(Escenarios!$F$14&gt;0,Observaciones!$I162,0)</f>
        <v>0</v>
      </c>
      <c r="U163" s="170">
        <f>IF(Escenarios!$F$14&gt;0,MAX(0,Constantes!$F$36/((Z162+R163+S163+T163+Observaciones!$F162)^2)+Entradas!$F$77),0)</f>
        <v>0</v>
      </c>
      <c r="V163" s="146">
        <f>IF(ETo!D162&gt;0,ETo!I162*((1-Entradas!$F$81)*ETo!K162+ETo!L162),0)</f>
        <v>2.3497142905541804</v>
      </c>
      <c r="W163" s="170">
        <f>IF(Escenarios!$F$14&gt;0,MIN(V163*1,0.8*(Z162+R163+S163+T163+Observaciones!$F162-U163-Constantes!$F$35)),0)</f>
        <v>2.3497142905541804</v>
      </c>
      <c r="X163" s="170">
        <f>IF(Escenarios!$F$14&gt;0,Observaciones!$J162,0)</f>
        <v>0</v>
      </c>
      <c r="Y163" s="170">
        <f>IF(Escenarios!$F$14&gt;0,MAX(0,Z162+R163+S163+T163+Observaciones!$F162-U163-W163-X163-Constantes!$F$33),0)</f>
        <v>0</v>
      </c>
      <c r="Z163" s="170">
        <f>Z162+R163+S163+T163+Observaciones!$F162-U163-W163-Y163</f>
        <v>42.59464429354049</v>
      </c>
      <c r="AA163" s="170">
        <f>IF(Escenarios!$F$14&gt;0,(Escenarios!$F$13*L163+Escenarios!$F$14*W163)/(Escenarios!$F$16),L163)</f>
        <v>1.6350224918922771</v>
      </c>
      <c r="AB163" s="170">
        <f>IF(Escenarios!$F$14&gt;0,(Escenarios!$F$14*Y163)/(Escenarios!$F$16),K163)</f>
        <v>0</v>
      </c>
      <c r="AC163" s="170">
        <f>IF(Escenarios!$F$14&gt;0,(Escenarios!$F$13*M163+Escenarios!$F$14*U163)/(Escenarios!$F$16),M163)</f>
        <v>0</v>
      </c>
      <c r="AD163" s="76">
        <f t="shared" si="29"/>
        <v>107.56850405214053</v>
      </c>
      <c r="AE163" s="76">
        <f>MAX(0,(AD163-Constantes!$D$13)*(1-EXP(-Constantes!$D$23)))</f>
        <v>0.57955272990193119</v>
      </c>
      <c r="AF163" s="76">
        <f>AB163+O163*Escenarios!$F$13/Escenarios!$F$16+AE163</f>
        <v>0.70526283149240876</v>
      </c>
      <c r="AG163" s="76">
        <f>IF(Entradas!$F$91&gt;0,IF(AF163-Escenarios!$F$38&lt;=0,0,IF(AF163-Escenarios!$F$38&gt;Escenarios!$F$37,Escenarios!$F$37,AF163-Escenarios!$F$38)),0)</f>
        <v>0</v>
      </c>
      <c r="AH163" s="76">
        <f>AG163*Entradas!$F$99</f>
        <v>0</v>
      </c>
      <c r="AI163" s="76">
        <f>IF(Entradas!$F$91&gt;0,D163*Entradas!$D$23/Escenarios!$F$16,0)</f>
        <v>0.12940833841141211</v>
      </c>
      <c r="AJ163" s="76">
        <f>IF(Entradas!$F$91&gt;0,Entradas!$D$24*Entradas!$D$22/Escenarios!$F$16,0)</f>
        <v>0.12</v>
      </c>
      <c r="AK163" s="76">
        <f t="shared" si="30"/>
        <v>1.7644308303036893</v>
      </c>
      <c r="AL163" s="76">
        <f t="shared" si="31"/>
        <v>0</v>
      </c>
      <c r="AM163" s="76">
        <f t="shared" si="32"/>
        <v>0</v>
      </c>
      <c r="AN163" s="76">
        <f>MAX(0,O163*Escenarios!$F$13/Escenarios!$F$16-AM163)</f>
        <v>0.12571010159047755</v>
      </c>
      <c r="AO163" s="76">
        <f>AM163+AN163-O163*Escenarios!$F$13/Escenarios!$F$16</f>
        <v>0</v>
      </c>
      <c r="AP163" s="76">
        <f t="shared" si="33"/>
        <v>0.57955272990193119</v>
      </c>
      <c r="AQ163" s="76">
        <f t="shared" si="34"/>
        <v>0</v>
      </c>
      <c r="AR163" s="76">
        <f t="shared" si="35"/>
        <v>0.70526283149240876</v>
      </c>
      <c r="AS163" s="76">
        <f t="shared" si="36"/>
        <v>0</v>
      </c>
      <c r="AT163" s="76">
        <f t="shared" si="37"/>
        <v>0</v>
      </c>
      <c r="AU163" s="76">
        <f t="shared" si="38"/>
        <v>53.167656228882109</v>
      </c>
      <c r="AV163" s="76">
        <f>MAX(0,(AU163-Constantes!$D$13)*(1-EXP(-Constantes!$D$24)))</f>
        <v>6.7524966909211878E-2</v>
      </c>
      <c r="AW163" s="170">
        <f>AW162+(Entradas!$F$112*AT163-AX162)/(800*Entradas!$D$25)</f>
        <v>0</v>
      </c>
      <c r="AX163" s="170">
        <f>8000*Entradas!$D$26*AW163/Constantes!$F$45</f>
        <v>0</v>
      </c>
      <c r="AY163" s="170">
        <f>IF(Escenarios!$F$17&gt;0,10*Escenarios!$F$16*AL163,0)</f>
        <v>0</v>
      </c>
      <c r="AZ163" s="170">
        <f>IF(Escenarios!$F$17&gt;0,10*Escenarios!$F$16*AX163,0)</f>
        <v>0</v>
      </c>
      <c r="BA163" s="170">
        <f>IF(Escenarios!$F$17&gt;0,0.001*Observaciones!$F162*Escenarios!$F$17,0)</f>
        <v>0</v>
      </c>
      <c r="BB163" s="170">
        <f>IF(Escenarios!$F$17&gt;0,Observaciones!$K162,0)</f>
        <v>0</v>
      </c>
      <c r="BC163" s="170">
        <f>IF(Escenarios!$F$17&gt;0,MIN(0.0005*ETo!$M162*Escenarios!$F$17*(BG162/Constantes!$F$40)^(2/3),BG162+AY163+AZ163+BA163+BB163),0)</f>
        <v>0</v>
      </c>
      <c r="BD163" s="170">
        <f>IF(Escenarios!$F$17&gt;0,MIN(Constantes!$F$39*(BG162/Constantes!$F$40)^(2/3),BG162+AY163+AZ163+BA163+BB163-BC163),0)</f>
        <v>0</v>
      </c>
      <c r="BE163" s="170">
        <f>IF(Escenarios!$F$17&gt;0,MIN(Entradas!$F$113,BG162+AY163+AZ163+BA163+BB163-BC163-BD163),0)</f>
        <v>0</v>
      </c>
      <c r="BF163" s="170">
        <f>IF(Escenarios!$F$17&gt;0,MAX(0,BG162+AY163+AZ163+BA163+BB163-BC163-BD163-BE163-Constantes!$F$40),0)</f>
        <v>0</v>
      </c>
      <c r="BG163" s="170">
        <f t="shared" si="39"/>
        <v>0</v>
      </c>
      <c r="BH163" s="170">
        <f>(Escenarios!$F$16*AK163+0.1*BC163)/(Escenarios!$F$19)</f>
        <v>1.7644308303036893</v>
      </c>
      <c r="BI163" s="170">
        <f>IF(Escenarios!$F$17&gt;0,BF163/10/Escenarios!$F$19,AL163)</f>
        <v>0</v>
      </c>
      <c r="BJ163" s="170">
        <f>(Escenarios!$F$16*AT163+0.1*BD163)/(Escenarios!$F$19)</f>
        <v>0</v>
      </c>
      <c r="BK163" s="76">
        <f>BK162+(0.1*BD163)/(Escenarios!$F$19)-BL162</f>
        <v>48.75</v>
      </c>
      <c r="BL163" s="76">
        <f>MAX(0,(BK163-Constantes!$D$13)*(1-EXP(-Constantes!$D$23)))</f>
        <v>0</v>
      </c>
      <c r="BM163" s="76">
        <f t="shared" si="40"/>
        <v>0.64707769681114302</v>
      </c>
      <c r="BN163" s="76">
        <f t="shared" si="41"/>
        <v>0.7727877984016206</v>
      </c>
      <c r="BO163" s="76">
        <f>0.0526*BI163*Observaciones!$F162^1.218</f>
        <v>0</v>
      </c>
      <c r="BP163" s="76">
        <f>BO163*Constantes!$F$51</f>
        <v>0</v>
      </c>
      <c r="BQ163" s="76">
        <f t="shared" si="42"/>
        <v>0</v>
      </c>
      <c r="BR163" s="40"/>
    </row>
    <row r="164" spans="2:70">
      <c r="B164" s="39"/>
      <c r="C164" s="75">
        <v>158</v>
      </c>
      <c r="D164" s="146">
        <f>ETo!$I163*((1-Constantes!$F$19)*ETo!$K163+ETo!$L163)</f>
        <v>2.6241672219202226</v>
      </c>
      <c r="E164" s="76">
        <f>MIN(D164*Constantes!$F$17,0.8*(N163+Observaciones!$F163-F164-M164-Constantes!$D$14))</f>
        <v>1.4965934205933691</v>
      </c>
      <c r="F164" s="76">
        <f>IF(Observaciones!$F163&gt;0.05*Constantes!$F$18,((Observaciones!$F163-0.05*Constantes!$F$18)^2)/(Observaciones!$F163+0.95*Constantes!$F$18),0)</f>
        <v>0</v>
      </c>
      <c r="G164" s="76">
        <f>IF(Escenarios!$F$11&gt;0,(F164*Escenarios!$F$16*10000)/1000,0)</f>
        <v>0</v>
      </c>
      <c r="H164" s="76">
        <f>IF(Escenarios!$F$11&gt;0,(Observaciones!$F163*Constantes!$F$29)/1000,0)</f>
        <v>0</v>
      </c>
      <c r="I164" s="76">
        <f>IF(Escenarios!$F$11&gt;0,(D164*Constantes!$F$29)/1000,0)</f>
        <v>0</v>
      </c>
      <c r="J164" s="76">
        <f>IF(Escenarios!$F$11&gt;0,MAX(0,G164+H164-I164),0)</f>
        <v>0</v>
      </c>
      <c r="K164" s="76">
        <f>IF(Escenarios!$F$11&gt;0,IF(J164&gt;Constantes!$F$30,1000*((J164-Constantes!$F$30)/(Escenarios!$F$16*10000)),0),F164)</f>
        <v>0</v>
      </c>
      <c r="L164" s="76">
        <f>IF(Escenarios!$F$11&gt;0,I164*1000/Escenarios!$F$16/10000+E164,E164)</f>
        <v>1.4965934205933691</v>
      </c>
      <c r="M164" s="76">
        <f>MAX(0,N163+Observaciones!$F163-K164-Constantes!$D$13)</f>
        <v>0</v>
      </c>
      <c r="N164" s="76">
        <f>N163+Observaciones!$F163-K164-L164-M164-O163</f>
        <v>13.804241590806372</v>
      </c>
      <c r="O164" s="76">
        <f>MAX(0,(N164-Constantes!$D$14)*(1-EXP(-Constantes!$D$22)))</f>
        <v>8.7006845395707383E-2</v>
      </c>
      <c r="P164" s="170">
        <f>P163+(Entradas!$F$83*M164-Q163)/(800*Entradas!$D$25)</f>
        <v>0</v>
      </c>
      <c r="Q164" s="170">
        <f>8000*Entradas!$D$26*P164/Constantes!$F$45</f>
        <v>0</v>
      </c>
      <c r="R164" s="170">
        <f>IF(Escenarios!$F$14&gt;0,K164*Escenarios!$F$13/Escenarios!$F$14,0)</f>
        <v>0</v>
      </c>
      <c r="S164" s="170">
        <f>IF(Escenarios!$F$14&gt;0,Q164*Escenarios!$F$13/Escenarios!$F$14,0)</f>
        <v>0</v>
      </c>
      <c r="T164" s="170">
        <f>IF(Escenarios!$F$14&gt;0,Observaciones!$I163,0)</f>
        <v>0</v>
      </c>
      <c r="U164" s="170">
        <f>IF(Escenarios!$F$14&gt;0,MAX(0,Constantes!$F$36/((Z163+R164+S164+T164+Observaciones!$F163)^2)+Entradas!$F$77),0)</f>
        <v>0</v>
      </c>
      <c r="V164" s="146">
        <f>IF(ETo!D163&gt;0,ETo!I163*((1-Entradas!$F$81)*ETo!K163+ETo!L163),0)</f>
        <v>2.2860076464270906</v>
      </c>
      <c r="W164" s="170">
        <f>IF(Escenarios!$F$14&gt;0,MIN(V164*1,0.8*(Z163+R164+S164+T164+Observaciones!$F163-U164-Constantes!$F$35)),0)</f>
        <v>1.0757154348323923</v>
      </c>
      <c r="X164" s="170">
        <f>IF(Escenarios!$F$14&gt;0,Observaciones!$J163,0)</f>
        <v>0</v>
      </c>
      <c r="Y164" s="170">
        <f>IF(Escenarios!$F$14&gt;0,MAX(0,Z163+R164+S164+T164+Observaciones!$F163-U164-W164-X164-Constantes!$F$33),0)</f>
        <v>0</v>
      </c>
      <c r="Z164" s="170">
        <f>Z163+R164+S164+T164+Observaciones!$F163-U164-W164-Y164</f>
        <v>41.518928858708101</v>
      </c>
      <c r="AA164" s="170">
        <f>IF(Escenarios!$F$14&gt;0,(Escenarios!$F$13*L164+Escenarios!$F$14*W164)/(Escenarios!$F$16),L164)</f>
        <v>1.4460880623020518</v>
      </c>
      <c r="AB164" s="170">
        <f>IF(Escenarios!$F$14&gt;0,(Escenarios!$F$14*Y164)/(Escenarios!$F$16),K164)</f>
        <v>0</v>
      </c>
      <c r="AC164" s="170">
        <f>IF(Escenarios!$F$14&gt;0,(Escenarios!$F$13*M164+Escenarios!$F$14*U164)/(Escenarios!$F$16),M164)</f>
        <v>0</v>
      </c>
      <c r="AD164" s="76">
        <f t="shared" si="29"/>
        <v>106.98895132223859</v>
      </c>
      <c r="AE164" s="76">
        <f>MAX(0,(AD164-Constantes!$D$13)*(1-EXP(-Constantes!$D$23)))</f>
        <v>0.57384225881550177</v>
      </c>
      <c r="AF164" s="76">
        <f>AB164+O164*Escenarios!$F$13/Escenarios!$F$16+AE164</f>
        <v>0.65040828276372431</v>
      </c>
      <c r="AG164" s="76">
        <f>IF(Entradas!$F$91&gt;0,IF(AF164-Escenarios!$F$38&lt;=0,0,IF(AF164-Escenarios!$F$38&gt;Escenarios!$F$37,Escenarios!$F$37,AF164-Escenarios!$F$38)),0)</f>
        <v>0</v>
      </c>
      <c r="AH164" s="76">
        <f>AG164*Entradas!$F$99</f>
        <v>0</v>
      </c>
      <c r="AI164" s="76">
        <f>IF(Entradas!$F$91&gt;0,D164*Entradas!$D$23/Escenarios!$F$16,0)</f>
        <v>0.12596002665217068</v>
      </c>
      <c r="AJ164" s="76">
        <f>IF(Entradas!$F$91&gt;0,Entradas!$D$24*Entradas!$D$22/Escenarios!$F$16,0)</f>
        <v>0.12</v>
      </c>
      <c r="AK164" s="76">
        <f t="shared" si="30"/>
        <v>1.5720480889542225</v>
      </c>
      <c r="AL164" s="76">
        <f t="shared" si="31"/>
        <v>0</v>
      </c>
      <c r="AM164" s="76">
        <f t="shared" si="32"/>
        <v>0</v>
      </c>
      <c r="AN164" s="76">
        <f>MAX(0,O164*Escenarios!$F$13/Escenarios!$F$16-AM164)</f>
        <v>7.6566023948222497E-2</v>
      </c>
      <c r="AO164" s="76">
        <f>AM164+AN164-O164*Escenarios!$F$13/Escenarios!$F$16</f>
        <v>0</v>
      </c>
      <c r="AP164" s="76">
        <f t="shared" si="33"/>
        <v>0.57384225881550177</v>
      </c>
      <c r="AQ164" s="76">
        <f t="shared" si="34"/>
        <v>0</v>
      </c>
      <c r="AR164" s="76">
        <f t="shared" si="35"/>
        <v>0.65040828276372431</v>
      </c>
      <c r="AS164" s="76">
        <f t="shared" si="36"/>
        <v>0</v>
      </c>
      <c r="AT164" s="76">
        <f t="shared" si="37"/>
        <v>0</v>
      </c>
      <c r="AU164" s="76">
        <f t="shared" si="38"/>
        <v>53.100131261972898</v>
      </c>
      <c r="AV164" s="76">
        <f>MAX(0,(AU164-Constantes!$D$13)*(1-EXP(-Constantes!$D$24)))</f>
        <v>6.6492831106910219E-2</v>
      </c>
      <c r="AW164" s="170">
        <f>AW163+(Entradas!$F$112*AT164-AX163)/(800*Entradas!$D$25)</f>
        <v>0</v>
      </c>
      <c r="AX164" s="170">
        <f>8000*Entradas!$D$26*AW164/Constantes!$F$45</f>
        <v>0</v>
      </c>
      <c r="AY164" s="170">
        <f>IF(Escenarios!$F$17&gt;0,10*Escenarios!$F$16*AL164,0)</f>
        <v>0</v>
      </c>
      <c r="AZ164" s="170">
        <f>IF(Escenarios!$F$17&gt;0,10*Escenarios!$F$16*AX164,0)</f>
        <v>0</v>
      </c>
      <c r="BA164" s="170">
        <f>IF(Escenarios!$F$17&gt;0,0.001*Observaciones!$F163*Escenarios!$F$17,0)</f>
        <v>0</v>
      </c>
      <c r="BB164" s="170">
        <f>IF(Escenarios!$F$17&gt;0,Observaciones!$K163,0)</f>
        <v>0</v>
      </c>
      <c r="BC164" s="170">
        <f>IF(Escenarios!$F$17&gt;0,MIN(0.0005*ETo!$M163*Escenarios!$F$17*(BG163/Constantes!$F$40)^(2/3),BG163+AY164+AZ164+BA164+BB164),0)</f>
        <v>0</v>
      </c>
      <c r="BD164" s="170">
        <f>IF(Escenarios!$F$17&gt;0,MIN(Constantes!$F$39*(BG163/Constantes!$F$40)^(2/3),BG163+AY164+AZ164+BA164+BB164-BC164),0)</f>
        <v>0</v>
      </c>
      <c r="BE164" s="170">
        <f>IF(Escenarios!$F$17&gt;0,MIN(Entradas!$F$113,BG163+AY164+AZ164+BA164+BB164-BC164-BD164),0)</f>
        <v>0</v>
      </c>
      <c r="BF164" s="170">
        <f>IF(Escenarios!$F$17&gt;0,MAX(0,BG163+AY164+AZ164+BA164+BB164-BC164-BD164-BE164-Constantes!$F$40),0)</f>
        <v>0</v>
      </c>
      <c r="BG164" s="170">
        <f t="shared" si="39"/>
        <v>0</v>
      </c>
      <c r="BH164" s="170">
        <f>(Escenarios!$F$16*AK164+0.1*BC164)/(Escenarios!$F$19)</f>
        <v>1.5720480889542225</v>
      </c>
      <c r="BI164" s="170">
        <f>IF(Escenarios!$F$17&gt;0,BF164/10/Escenarios!$F$19,AL164)</f>
        <v>0</v>
      </c>
      <c r="BJ164" s="170">
        <f>(Escenarios!$F$16*AT164+0.1*BD164)/(Escenarios!$F$19)</f>
        <v>0</v>
      </c>
      <c r="BK164" s="76">
        <f>BK163+(0.1*BD164)/(Escenarios!$F$19)-BL163</f>
        <v>48.75</v>
      </c>
      <c r="BL164" s="76">
        <f>MAX(0,(BK164-Constantes!$D$13)*(1-EXP(-Constantes!$D$23)))</f>
        <v>0</v>
      </c>
      <c r="BM164" s="76">
        <f t="shared" si="40"/>
        <v>0.64033508992241195</v>
      </c>
      <c r="BN164" s="76">
        <f t="shared" si="41"/>
        <v>0.71690111387063449</v>
      </c>
      <c r="BO164" s="76">
        <f>0.0526*BI164*Observaciones!$F163^1.218</f>
        <v>0</v>
      </c>
      <c r="BP164" s="76">
        <f>BO164*Constantes!$F$51</f>
        <v>0</v>
      </c>
      <c r="BQ164" s="76">
        <f t="shared" si="42"/>
        <v>0</v>
      </c>
      <c r="BR164" s="40"/>
    </row>
    <row r="165" spans="2:70">
      <c r="B165" s="39"/>
      <c r="C165" s="75">
        <v>159</v>
      </c>
      <c r="D165" s="146">
        <f>ETo!$I164*((1-Constantes!$F$19)*ETo!$K164+ETo!$L164)</f>
        <v>2.6479037508674073</v>
      </c>
      <c r="E165" s="76">
        <f>MIN(D165*Constantes!$F$17,0.8*(N164+Observaciones!$F164-F165-M165-Constantes!$D$14))</f>
        <v>1.5101306421367762</v>
      </c>
      <c r="F165" s="76">
        <f>IF(Observaciones!$F164&gt;0.05*Constantes!$F$18,((Observaciones!$F164-0.05*Constantes!$F$18)^2)/(Observaciones!$F164+0.95*Constantes!$F$18),0)</f>
        <v>0</v>
      </c>
      <c r="G165" s="76">
        <f>IF(Escenarios!$F$11&gt;0,(F165*Escenarios!$F$16*10000)/1000,0)</f>
        <v>0</v>
      </c>
      <c r="H165" s="76">
        <f>IF(Escenarios!$F$11&gt;0,(Observaciones!$F164*Constantes!$F$29)/1000,0)</f>
        <v>0</v>
      </c>
      <c r="I165" s="76">
        <f>IF(Escenarios!$F$11&gt;0,(D165*Constantes!$F$29)/1000,0)</f>
        <v>0</v>
      </c>
      <c r="J165" s="76">
        <f>IF(Escenarios!$F$11&gt;0,MAX(0,G165+H165-I165),0)</f>
        <v>0</v>
      </c>
      <c r="K165" s="76">
        <f>IF(Escenarios!$F$11&gt;0,IF(J165&gt;Constantes!$F$30,1000*((J165-Constantes!$F$30)/(Escenarios!$F$16*10000)),0),F165)</f>
        <v>0</v>
      </c>
      <c r="L165" s="76">
        <f>IF(Escenarios!$F$11&gt;0,I165*1000/Escenarios!$F$16/10000+E165,E165)</f>
        <v>1.5101306421367762</v>
      </c>
      <c r="M165" s="76">
        <f>MAX(0,N164+Observaciones!$F164-K165-Constantes!$D$13)</f>
        <v>0</v>
      </c>
      <c r="N165" s="76">
        <f>N164+Observaciones!$F164-K165-L165-M165-O164</f>
        <v>12.207104103273888</v>
      </c>
      <c r="O165" s="76">
        <f>MAX(0,(N165-Constantes!$D$14)*(1-EXP(-Constantes!$D$22)))</f>
        <v>3.2602479358602339E-2</v>
      </c>
      <c r="P165" s="170">
        <f>P164+(Entradas!$F$83*M165-Q164)/(800*Entradas!$D$25)</f>
        <v>0</v>
      </c>
      <c r="Q165" s="170">
        <f>8000*Entradas!$D$26*P165/Constantes!$F$45</f>
        <v>0</v>
      </c>
      <c r="R165" s="170">
        <f>IF(Escenarios!$F$14&gt;0,K165*Escenarios!$F$13/Escenarios!$F$14,0)</f>
        <v>0</v>
      </c>
      <c r="S165" s="170">
        <f>IF(Escenarios!$F$14&gt;0,Q165*Escenarios!$F$13/Escenarios!$F$14,0)</f>
        <v>0</v>
      </c>
      <c r="T165" s="170">
        <f>IF(Escenarios!$F$14&gt;0,Observaciones!$I164,0)</f>
        <v>0</v>
      </c>
      <c r="U165" s="170">
        <f>IF(Escenarios!$F$14&gt;0,MAX(0,Constantes!$F$36/((Z164+R165+S165+T165+Observaciones!$F164)^2)+Entradas!$F$77),0)</f>
        <v>0</v>
      </c>
      <c r="V165" s="146">
        <f>IF(ETo!D164&gt;0,ETo!I164*((1-Entradas!$F$81)*ETo!K164+ETo!L164),0)</f>
        <v>2.3067094358505993</v>
      </c>
      <c r="W165" s="170">
        <f>IF(Escenarios!$F$14&gt;0,MIN(V165*1,0.8*(Z164+R165+S165+T165+Observaciones!$F164-U165-Constantes!$F$35)),0)</f>
        <v>0.21514308696648074</v>
      </c>
      <c r="X165" s="170">
        <f>IF(Escenarios!$F$14&gt;0,Observaciones!$J164,0)</f>
        <v>0</v>
      </c>
      <c r="Y165" s="170">
        <f>IF(Escenarios!$F$14&gt;0,MAX(0,Z164+R165+S165+T165+Observaciones!$F164-U165-W165-X165-Constantes!$F$33),0)</f>
        <v>0</v>
      </c>
      <c r="Z165" s="170">
        <f>Z164+R165+S165+T165+Observaciones!$F164-U165-W165-Y165</f>
        <v>41.303785771741623</v>
      </c>
      <c r="AA165" s="170">
        <f>IF(Escenarios!$F$14&gt;0,(Escenarios!$F$13*L165+Escenarios!$F$14*W165)/(Escenarios!$F$16),L165)</f>
        <v>1.3547321355163409</v>
      </c>
      <c r="AB165" s="170">
        <f>IF(Escenarios!$F$14&gt;0,(Escenarios!$F$14*Y165)/(Escenarios!$F$16),K165)</f>
        <v>0</v>
      </c>
      <c r="AC165" s="170">
        <f>IF(Escenarios!$F$14&gt;0,(Escenarios!$F$13*M165+Escenarios!$F$14*U165)/(Escenarios!$F$16),M165)</f>
        <v>0</v>
      </c>
      <c r="AD165" s="76">
        <f t="shared" si="29"/>
        <v>106.41510906342309</v>
      </c>
      <c r="AE165" s="76">
        <f>MAX(0,(AD165-Constantes!$D$13)*(1-EXP(-Constantes!$D$23)))</f>
        <v>0.56818805436081521</v>
      </c>
      <c r="AF165" s="76">
        <f>AB165+O165*Escenarios!$F$13/Escenarios!$F$16+AE165</f>
        <v>0.59687823619638525</v>
      </c>
      <c r="AG165" s="76">
        <f>IF(Entradas!$F$91&gt;0,IF(AF165-Escenarios!$F$38&lt;=0,0,IF(AF165-Escenarios!$F$38&gt;Escenarios!$F$37,Escenarios!$F$37,AF165-Escenarios!$F$38)),0)</f>
        <v>0</v>
      </c>
      <c r="AH165" s="76">
        <f>AG165*Entradas!$F$99</f>
        <v>0</v>
      </c>
      <c r="AI165" s="76">
        <f>IF(Entradas!$F$91&gt;0,D165*Entradas!$D$23/Escenarios!$F$16,0)</f>
        <v>0.12709938004163557</v>
      </c>
      <c r="AJ165" s="76">
        <f>IF(Entradas!$F$91&gt;0,Entradas!$D$24*Entradas!$D$22/Escenarios!$F$16,0)</f>
        <v>0.12</v>
      </c>
      <c r="AK165" s="76">
        <f t="shared" si="30"/>
        <v>1.4818315155579764</v>
      </c>
      <c r="AL165" s="76">
        <f t="shared" si="31"/>
        <v>0</v>
      </c>
      <c r="AM165" s="76">
        <f t="shared" si="32"/>
        <v>0</v>
      </c>
      <c r="AN165" s="76">
        <f>MAX(0,O165*Escenarios!$F$13/Escenarios!$F$16-AM165)</f>
        <v>2.869018183557006E-2</v>
      </c>
      <c r="AO165" s="76">
        <f>AM165+AN165-O165*Escenarios!$F$13/Escenarios!$F$16</f>
        <v>0</v>
      </c>
      <c r="AP165" s="76">
        <f t="shared" si="33"/>
        <v>0.56818805436081521</v>
      </c>
      <c r="AQ165" s="76">
        <f t="shared" si="34"/>
        <v>0</v>
      </c>
      <c r="AR165" s="76">
        <f t="shared" si="35"/>
        <v>0.59687823619638525</v>
      </c>
      <c r="AS165" s="76">
        <f t="shared" si="36"/>
        <v>0</v>
      </c>
      <c r="AT165" s="76">
        <f t="shared" si="37"/>
        <v>0</v>
      </c>
      <c r="AU165" s="76">
        <f t="shared" si="38"/>
        <v>53.033638430865985</v>
      </c>
      <c r="AV165" s="76">
        <f>MAX(0,(AU165-Constantes!$D$13)*(1-EXP(-Constantes!$D$24)))</f>
        <v>6.5476471755351914E-2</v>
      </c>
      <c r="AW165" s="170">
        <f>AW164+(Entradas!$F$112*AT165-AX164)/(800*Entradas!$D$25)</f>
        <v>0</v>
      </c>
      <c r="AX165" s="170">
        <f>8000*Entradas!$D$26*AW165/Constantes!$F$45</f>
        <v>0</v>
      </c>
      <c r="AY165" s="170">
        <f>IF(Escenarios!$F$17&gt;0,10*Escenarios!$F$16*AL165,0)</f>
        <v>0</v>
      </c>
      <c r="AZ165" s="170">
        <f>IF(Escenarios!$F$17&gt;0,10*Escenarios!$F$16*AX165,0)</f>
        <v>0</v>
      </c>
      <c r="BA165" s="170">
        <f>IF(Escenarios!$F$17&gt;0,0.001*Observaciones!$F164*Escenarios!$F$17,0)</f>
        <v>0</v>
      </c>
      <c r="BB165" s="170">
        <f>IF(Escenarios!$F$17&gt;0,Observaciones!$K164,0)</f>
        <v>0</v>
      </c>
      <c r="BC165" s="170">
        <f>IF(Escenarios!$F$17&gt;0,MIN(0.0005*ETo!$M164*Escenarios!$F$17*(BG164/Constantes!$F$40)^(2/3),BG164+AY165+AZ165+BA165+BB165),0)</f>
        <v>0</v>
      </c>
      <c r="BD165" s="170">
        <f>IF(Escenarios!$F$17&gt;0,MIN(Constantes!$F$39*(BG164/Constantes!$F$40)^(2/3),BG164+AY165+AZ165+BA165+BB165-BC165),0)</f>
        <v>0</v>
      </c>
      <c r="BE165" s="170">
        <f>IF(Escenarios!$F$17&gt;0,MIN(Entradas!$F$113,BG164+AY165+AZ165+BA165+BB165-BC165-BD165),0)</f>
        <v>0</v>
      </c>
      <c r="BF165" s="170">
        <f>IF(Escenarios!$F$17&gt;0,MAX(0,BG164+AY165+AZ165+BA165+BB165-BC165-BD165-BE165-Constantes!$F$40),0)</f>
        <v>0</v>
      </c>
      <c r="BG165" s="170">
        <f t="shared" si="39"/>
        <v>0</v>
      </c>
      <c r="BH165" s="170">
        <f>(Escenarios!$F$16*AK165+0.1*BC165)/(Escenarios!$F$19)</f>
        <v>1.4818315155579764</v>
      </c>
      <c r="BI165" s="170">
        <f>IF(Escenarios!$F$17&gt;0,BF165/10/Escenarios!$F$19,AL165)</f>
        <v>0</v>
      </c>
      <c r="BJ165" s="170">
        <f>(Escenarios!$F$16*AT165+0.1*BD165)/(Escenarios!$F$19)</f>
        <v>0</v>
      </c>
      <c r="BK165" s="76">
        <f>BK164+(0.1*BD165)/(Escenarios!$F$19)-BL164</f>
        <v>48.75</v>
      </c>
      <c r="BL165" s="76">
        <f>MAX(0,(BK165-Constantes!$D$13)*(1-EXP(-Constantes!$D$23)))</f>
        <v>0</v>
      </c>
      <c r="BM165" s="76">
        <f t="shared" si="40"/>
        <v>0.63366452611616708</v>
      </c>
      <c r="BN165" s="76">
        <f t="shared" si="41"/>
        <v>0.66235470795173712</v>
      </c>
      <c r="BO165" s="76">
        <f>0.0526*BI165*Observaciones!$F164^1.218</f>
        <v>0</v>
      </c>
      <c r="BP165" s="76">
        <f>BO165*Constantes!$F$51</f>
        <v>0</v>
      </c>
      <c r="BQ165" s="76">
        <f t="shared" si="42"/>
        <v>0</v>
      </c>
      <c r="BR165" s="40"/>
    </row>
    <row r="166" spans="2:70">
      <c r="B166" s="39"/>
      <c r="C166" s="75">
        <v>160</v>
      </c>
      <c r="D166" s="146">
        <f>ETo!$I165*((1-Constantes!$F$19)*ETo!$K165+ETo!$L165)</f>
        <v>2.5082356632335574</v>
      </c>
      <c r="E166" s="76">
        <f>MIN(D166*Constantes!$F$17,0.8*(N165+Observaciones!$F165-F166-M166-Constantes!$D$14))</f>
        <v>1.4304762895964209</v>
      </c>
      <c r="F166" s="76">
        <f>IF(Observaciones!$F165&gt;0.05*Constantes!$F$18,((Observaciones!$F165-0.05*Constantes!$F$18)^2)/(Observaciones!$F165+0.95*Constantes!$F$18),0)</f>
        <v>0</v>
      </c>
      <c r="G166" s="76">
        <f>IF(Escenarios!$F$11&gt;0,(F166*Escenarios!$F$16*10000)/1000,0)</f>
        <v>0</v>
      </c>
      <c r="H166" s="76">
        <f>IF(Escenarios!$F$11&gt;0,(Observaciones!$F165*Constantes!$F$29)/1000,0)</f>
        <v>0</v>
      </c>
      <c r="I166" s="76">
        <f>IF(Escenarios!$F$11&gt;0,(D166*Constantes!$F$29)/1000,0)</f>
        <v>0</v>
      </c>
      <c r="J166" s="76">
        <f>IF(Escenarios!$F$11&gt;0,MAX(0,G166+H166-I166),0)</f>
        <v>0</v>
      </c>
      <c r="K166" s="76">
        <f>IF(Escenarios!$F$11&gt;0,IF(J166&gt;Constantes!$F$30,1000*((J166-Constantes!$F$30)/(Escenarios!$F$16*10000)),0),F166)</f>
        <v>0</v>
      </c>
      <c r="L166" s="76">
        <f>IF(Escenarios!$F$11&gt;0,I166*1000/Escenarios!$F$16/10000+E166,E166)</f>
        <v>1.4304762895964209</v>
      </c>
      <c r="M166" s="76">
        <f>MAX(0,N165+Observaciones!$F165-K166-Constantes!$D$13)</f>
        <v>0</v>
      </c>
      <c r="N166" s="76">
        <f>N165+Observaciones!$F165-K166-L166-M166-O165</f>
        <v>12.444025334318866</v>
      </c>
      <c r="O166" s="76">
        <f>MAX(0,(N166-Constantes!$D$14)*(1-EXP(-Constantes!$D$22)))</f>
        <v>4.0672886243639114E-2</v>
      </c>
      <c r="P166" s="170">
        <f>P165+(Entradas!$F$83*M166-Q165)/(800*Entradas!$D$25)</f>
        <v>0</v>
      </c>
      <c r="Q166" s="170">
        <f>8000*Entradas!$D$26*P166/Constantes!$F$45</f>
        <v>0</v>
      </c>
      <c r="R166" s="170">
        <f>IF(Escenarios!$F$14&gt;0,K166*Escenarios!$F$13/Escenarios!$F$14,0)</f>
        <v>0</v>
      </c>
      <c r="S166" s="170">
        <f>IF(Escenarios!$F$14&gt;0,Q166*Escenarios!$F$13/Escenarios!$F$14,0)</f>
        <v>0</v>
      </c>
      <c r="T166" s="170">
        <f>IF(Escenarios!$F$14&gt;0,Observaciones!$I165,0)</f>
        <v>0</v>
      </c>
      <c r="U166" s="170">
        <f>IF(Escenarios!$F$14&gt;0,MAX(0,Constantes!$F$36/((Z165+R166+S166+T166+Observaciones!$F165)^2)+Entradas!$F$77),0)</f>
        <v>0</v>
      </c>
      <c r="V166" s="146">
        <f>IF(ETo!D165&gt;0,ETo!I165*((1-Entradas!$F$81)*ETo!K165+ETo!L165),0)</f>
        <v>2.1836847084703606</v>
      </c>
      <c r="W166" s="170">
        <f>IF(Escenarios!$F$14&gt;0,MIN(V166*1,0.8*(Z165+R166+S166+T166+Observaciones!$F165-U166-Constantes!$F$35)),0)</f>
        <v>1.4030286173933009</v>
      </c>
      <c r="X166" s="170">
        <f>IF(Escenarios!$F$14&gt;0,Observaciones!$J165,0)</f>
        <v>0</v>
      </c>
      <c r="Y166" s="170">
        <f>IF(Escenarios!$F$14&gt;0,MAX(0,Z165+R166+S166+T166+Observaciones!$F165-U166-W166-X166-Constantes!$F$33),0)</f>
        <v>0</v>
      </c>
      <c r="Z166" s="170">
        <f>Z165+R166+S166+T166+Observaciones!$F165-U166-W166-Y166</f>
        <v>41.600757154348322</v>
      </c>
      <c r="AA166" s="170">
        <f>IF(Escenarios!$F$14&gt;0,(Escenarios!$F$13*L166+Escenarios!$F$14*W166)/(Escenarios!$F$16),L166)</f>
        <v>1.4271825689320465</v>
      </c>
      <c r="AB166" s="170">
        <f>IF(Escenarios!$F$14&gt;0,(Escenarios!$F$14*Y166)/(Escenarios!$F$16),K166)</f>
        <v>0</v>
      </c>
      <c r="AC166" s="170">
        <f>IF(Escenarios!$F$14&gt;0,(Escenarios!$F$13*M166+Escenarios!$F$14*U166)/(Escenarios!$F$16),M166)</f>
        <v>0</v>
      </c>
      <c r="AD166" s="76">
        <f t="shared" si="29"/>
        <v>105.84692100906227</v>
      </c>
      <c r="AE166" s="76">
        <f>MAX(0,(AD166-Constantes!$D$13)*(1-EXP(-Constantes!$D$23)))</f>
        <v>0.56258956212934719</v>
      </c>
      <c r="AF166" s="76">
        <f>AB166+O166*Escenarios!$F$13/Escenarios!$F$16+AE166</f>
        <v>0.59838170202374963</v>
      </c>
      <c r="AG166" s="76">
        <f>IF(Entradas!$F$91&gt;0,IF(AF166-Escenarios!$F$38&lt;=0,0,IF(AF166-Escenarios!$F$38&gt;Escenarios!$F$37,Escenarios!$F$37,AF166-Escenarios!$F$38)),0)</f>
        <v>0</v>
      </c>
      <c r="AH166" s="76">
        <f>AG166*Entradas!$F$99</f>
        <v>0</v>
      </c>
      <c r="AI166" s="76">
        <f>IF(Entradas!$F$91&gt;0,D166*Entradas!$D$23/Escenarios!$F$16,0)</f>
        <v>0.12039531183521075</v>
      </c>
      <c r="AJ166" s="76">
        <f>IF(Entradas!$F$91&gt;0,Entradas!$D$24*Entradas!$D$22/Escenarios!$F$16,0)</f>
        <v>0.12</v>
      </c>
      <c r="AK166" s="76">
        <f t="shared" si="30"/>
        <v>1.5475778807672573</v>
      </c>
      <c r="AL166" s="76">
        <f t="shared" si="31"/>
        <v>0</v>
      </c>
      <c r="AM166" s="76">
        <f t="shared" si="32"/>
        <v>0</v>
      </c>
      <c r="AN166" s="76">
        <f>MAX(0,O166*Escenarios!$F$13/Escenarios!$F$16-AM166)</f>
        <v>3.5792139894402421E-2</v>
      </c>
      <c r="AO166" s="76">
        <f>AM166+AN166-O166*Escenarios!$F$13/Escenarios!$F$16</f>
        <v>0</v>
      </c>
      <c r="AP166" s="76">
        <f t="shared" si="33"/>
        <v>0.56258956212934719</v>
      </c>
      <c r="AQ166" s="76">
        <f t="shared" si="34"/>
        <v>0</v>
      </c>
      <c r="AR166" s="76">
        <f t="shared" si="35"/>
        <v>0.59838170202374963</v>
      </c>
      <c r="AS166" s="76">
        <f t="shared" si="36"/>
        <v>0</v>
      </c>
      <c r="AT166" s="76">
        <f t="shared" si="37"/>
        <v>0</v>
      </c>
      <c r="AU166" s="76">
        <f t="shared" si="38"/>
        <v>52.968161959110631</v>
      </c>
      <c r="AV166" s="76">
        <f>MAX(0,(AU166-Constantes!$D$13)*(1-EXP(-Constantes!$D$24)))</f>
        <v>6.4475647707589609E-2</v>
      </c>
      <c r="AW166" s="170">
        <f>AW165+(Entradas!$F$112*AT166-AX165)/(800*Entradas!$D$25)</f>
        <v>0</v>
      </c>
      <c r="AX166" s="170">
        <f>8000*Entradas!$D$26*AW166/Constantes!$F$45</f>
        <v>0</v>
      </c>
      <c r="AY166" s="170">
        <f>IF(Escenarios!$F$17&gt;0,10*Escenarios!$F$16*AL166,0)</f>
        <v>0</v>
      </c>
      <c r="AZ166" s="170">
        <f>IF(Escenarios!$F$17&gt;0,10*Escenarios!$F$16*AX166,0)</f>
        <v>0</v>
      </c>
      <c r="BA166" s="170">
        <f>IF(Escenarios!$F$17&gt;0,0.001*Observaciones!$F165*Escenarios!$F$17,0)</f>
        <v>0</v>
      </c>
      <c r="BB166" s="170">
        <f>IF(Escenarios!$F$17&gt;0,Observaciones!$K165,0)</f>
        <v>0</v>
      </c>
      <c r="BC166" s="170">
        <f>IF(Escenarios!$F$17&gt;0,MIN(0.0005*ETo!$M165*Escenarios!$F$17*(BG165/Constantes!$F$40)^(2/3),BG165+AY166+AZ166+BA166+BB166),0)</f>
        <v>0</v>
      </c>
      <c r="BD166" s="170">
        <f>IF(Escenarios!$F$17&gt;0,MIN(Constantes!$F$39*(BG165/Constantes!$F$40)^(2/3),BG165+AY166+AZ166+BA166+BB166-BC166),0)</f>
        <v>0</v>
      </c>
      <c r="BE166" s="170">
        <f>IF(Escenarios!$F$17&gt;0,MIN(Entradas!$F$113,BG165+AY166+AZ166+BA166+BB166-BC166-BD166),0)</f>
        <v>0</v>
      </c>
      <c r="BF166" s="170">
        <f>IF(Escenarios!$F$17&gt;0,MAX(0,BG165+AY166+AZ166+BA166+BB166-BC166-BD166-BE166-Constantes!$F$40),0)</f>
        <v>0</v>
      </c>
      <c r="BG166" s="170">
        <f t="shared" si="39"/>
        <v>0</v>
      </c>
      <c r="BH166" s="170">
        <f>(Escenarios!$F$16*AK166+0.1*BC166)/(Escenarios!$F$19)</f>
        <v>1.5475778807672573</v>
      </c>
      <c r="BI166" s="170">
        <f>IF(Escenarios!$F$17&gt;0,BF166/10/Escenarios!$F$19,AL166)</f>
        <v>0</v>
      </c>
      <c r="BJ166" s="170">
        <f>(Escenarios!$F$16*AT166+0.1*BD166)/(Escenarios!$F$19)</f>
        <v>0</v>
      </c>
      <c r="BK166" s="76">
        <f>BK165+(0.1*BD166)/(Escenarios!$F$19)-BL165</f>
        <v>48.75</v>
      </c>
      <c r="BL166" s="76">
        <f>MAX(0,(BK166-Constantes!$D$13)*(1-EXP(-Constantes!$D$23)))</f>
        <v>0</v>
      </c>
      <c r="BM166" s="76">
        <f t="shared" si="40"/>
        <v>0.62706520983693681</v>
      </c>
      <c r="BN166" s="76">
        <f t="shared" si="41"/>
        <v>0.66285734973133925</v>
      </c>
      <c r="BO166" s="76">
        <f>0.0526*BI166*Observaciones!$F165^1.218</f>
        <v>0</v>
      </c>
      <c r="BP166" s="76">
        <f>BO166*Constantes!$F$51</f>
        <v>0</v>
      </c>
      <c r="BQ166" s="76">
        <f t="shared" si="42"/>
        <v>0</v>
      </c>
      <c r="BR166" s="40"/>
    </row>
    <row r="167" spans="2:70">
      <c r="B167" s="39"/>
      <c r="C167" s="75">
        <v>161</v>
      </c>
      <c r="D167" s="146">
        <f>ETo!$I166*((1-Constantes!$F$19)*ETo!$K166+ETo!$L166)</f>
        <v>2.4546927836241008</v>
      </c>
      <c r="E167" s="76">
        <f>MIN(D167*Constantes!$F$17,0.8*(N166+Observaciones!$F166-F167-M167-Constantes!$D$14))</f>
        <v>1.3999401558189022</v>
      </c>
      <c r="F167" s="76">
        <f>IF(Observaciones!$F166&gt;0.05*Constantes!$F$18,((Observaciones!$F166-0.05*Constantes!$F$18)^2)/(Observaciones!$F166+0.95*Constantes!$F$18),0)</f>
        <v>0</v>
      </c>
      <c r="G167" s="76">
        <f>IF(Escenarios!$F$11&gt;0,(F167*Escenarios!$F$16*10000)/1000,0)</f>
        <v>0</v>
      </c>
      <c r="H167" s="76">
        <f>IF(Escenarios!$F$11&gt;0,(Observaciones!$F166*Constantes!$F$29)/1000,0)</f>
        <v>0</v>
      </c>
      <c r="I167" s="76">
        <f>IF(Escenarios!$F$11&gt;0,(D167*Constantes!$F$29)/1000,0)</f>
        <v>0</v>
      </c>
      <c r="J167" s="76">
        <f>IF(Escenarios!$F$11&gt;0,MAX(0,G167+H167-I167),0)</f>
        <v>0</v>
      </c>
      <c r="K167" s="76">
        <f>IF(Escenarios!$F$11&gt;0,IF(J167&gt;Constantes!$F$30,1000*((J167-Constantes!$F$30)/(Escenarios!$F$16*10000)),0),F167)</f>
        <v>0</v>
      </c>
      <c r="L167" s="76">
        <f>IF(Escenarios!$F$11&gt;0,I167*1000/Escenarios!$F$16/10000+E167,E167)</f>
        <v>1.3999401558189022</v>
      </c>
      <c r="M167" s="76">
        <f>MAX(0,N166+Observaciones!$F166-K167-Constantes!$D$13)</f>
        <v>0</v>
      </c>
      <c r="N167" s="76">
        <f>N166+Observaciones!$F166-K167-L167-M167-O166</f>
        <v>12.303412292256326</v>
      </c>
      <c r="O167" s="76">
        <f>MAX(0,(N167-Constantes!$D$14)*(1-EXP(-Constantes!$D$22)))</f>
        <v>3.5883089829943891E-2</v>
      </c>
      <c r="P167" s="170">
        <f>P166+(Entradas!$F$83*M167-Q166)/(800*Entradas!$D$25)</f>
        <v>0</v>
      </c>
      <c r="Q167" s="170">
        <f>8000*Entradas!$D$26*P167/Constantes!$F$45</f>
        <v>0</v>
      </c>
      <c r="R167" s="170">
        <f>IF(Escenarios!$F$14&gt;0,K167*Escenarios!$F$13/Escenarios!$F$14,0)</f>
        <v>0</v>
      </c>
      <c r="S167" s="170">
        <f>IF(Escenarios!$F$14&gt;0,Q167*Escenarios!$F$13/Escenarios!$F$14,0)</f>
        <v>0</v>
      </c>
      <c r="T167" s="170">
        <f>IF(Escenarios!$F$14&gt;0,Observaciones!$I166,0)</f>
        <v>0</v>
      </c>
      <c r="U167" s="170">
        <f>IF(Escenarios!$F$14&gt;0,MAX(0,Constantes!$F$36/((Z166+R167+S167+T167+Observaciones!$F166)^2)+Entradas!$F$77),0)</f>
        <v>0</v>
      </c>
      <c r="V167" s="146">
        <f>IF(ETo!D166&gt;0,ETo!I166*((1-Entradas!$F$81)*ETo!K166+ETo!L166),0)</f>
        <v>2.1366520112961207</v>
      </c>
      <c r="W167" s="170">
        <f>IF(Escenarios!$F$14&gt;0,MIN(V167*1,0.8*(Z166+R167+S167+T167+Observaciones!$F166-U167-Constantes!$F$35)),0)</f>
        <v>1.3206057234786557</v>
      </c>
      <c r="X167" s="170">
        <f>IF(Escenarios!$F$14&gt;0,Observaciones!$J166,0)</f>
        <v>0</v>
      </c>
      <c r="Y167" s="170">
        <f>IF(Escenarios!$F$14&gt;0,MAX(0,Z166+R167+S167+T167+Observaciones!$F166-U167-W167-X167-Constantes!$F$33),0)</f>
        <v>0</v>
      </c>
      <c r="Z167" s="170">
        <f>Z166+R167+S167+T167+Observaciones!$F166-U167-W167-Y167</f>
        <v>41.580151430869662</v>
      </c>
      <c r="AA167" s="170">
        <f>IF(Escenarios!$F$14&gt;0,(Escenarios!$F$13*L167+Escenarios!$F$14*W167)/(Escenarios!$F$16),L167)</f>
        <v>1.3904200239380726</v>
      </c>
      <c r="AB167" s="170">
        <f>IF(Escenarios!$F$14&gt;0,(Escenarios!$F$14*Y167)/(Escenarios!$F$16),K167)</f>
        <v>0</v>
      </c>
      <c r="AC167" s="170">
        <f>IF(Escenarios!$F$14&gt;0,(Escenarios!$F$13*M167+Escenarios!$F$14*U167)/(Escenarios!$F$16),M167)</f>
        <v>0</v>
      </c>
      <c r="AD167" s="76">
        <f t="shared" si="29"/>
        <v>105.28433144693292</v>
      </c>
      <c r="AE167" s="76">
        <f>MAX(0,(AD167-Constantes!$D$13)*(1-EXP(-Constantes!$D$23)))</f>
        <v>0.55704623317529278</v>
      </c>
      <c r="AF167" s="76">
        <f>AB167+O167*Escenarios!$F$13/Escenarios!$F$16+AE167</f>
        <v>0.58862335222564344</v>
      </c>
      <c r="AG167" s="76">
        <f>IF(Entradas!$F$91&gt;0,IF(AF167-Escenarios!$F$38&lt;=0,0,IF(AF167-Escenarios!$F$38&gt;Escenarios!$F$37,Escenarios!$F$37,AF167-Escenarios!$F$38)),0)</f>
        <v>0</v>
      </c>
      <c r="AH167" s="76">
        <f>AG167*Entradas!$F$99</f>
        <v>0</v>
      </c>
      <c r="AI167" s="76">
        <f>IF(Entradas!$F$91&gt;0,D167*Entradas!$D$23/Escenarios!$F$16,0)</f>
        <v>0.11782525361395685</v>
      </c>
      <c r="AJ167" s="76">
        <f>IF(Entradas!$F$91&gt;0,Entradas!$D$24*Entradas!$D$22/Escenarios!$F$16,0)</f>
        <v>0.12</v>
      </c>
      <c r="AK167" s="76">
        <f t="shared" si="30"/>
        <v>1.5082452775520294</v>
      </c>
      <c r="AL167" s="76">
        <f t="shared" si="31"/>
        <v>0</v>
      </c>
      <c r="AM167" s="76">
        <f t="shared" si="32"/>
        <v>0</v>
      </c>
      <c r="AN167" s="76">
        <f>MAX(0,O167*Escenarios!$F$13/Escenarios!$F$16-AM167)</f>
        <v>3.1577119050350627E-2</v>
      </c>
      <c r="AO167" s="76">
        <f>AM167+AN167-O167*Escenarios!$F$13/Escenarios!$F$16</f>
        <v>0</v>
      </c>
      <c r="AP167" s="76">
        <f t="shared" si="33"/>
        <v>0.55704623317529278</v>
      </c>
      <c r="AQ167" s="76">
        <f t="shared" si="34"/>
        <v>0</v>
      </c>
      <c r="AR167" s="76">
        <f t="shared" si="35"/>
        <v>0.58862335222564344</v>
      </c>
      <c r="AS167" s="76">
        <f t="shared" si="36"/>
        <v>0</v>
      </c>
      <c r="AT167" s="76">
        <f t="shared" si="37"/>
        <v>0</v>
      </c>
      <c r="AU167" s="76">
        <f t="shared" si="38"/>
        <v>52.903686311403042</v>
      </c>
      <c r="AV167" s="76">
        <f>MAX(0,(AU167-Constantes!$D$13)*(1-EXP(-Constantes!$D$24)))</f>
        <v>6.3490121502666544E-2</v>
      </c>
      <c r="AW167" s="170">
        <f>AW166+(Entradas!$F$112*AT167-AX166)/(800*Entradas!$D$25)</f>
        <v>0</v>
      </c>
      <c r="AX167" s="170">
        <f>8000*Entradas!$D$26*AW167/Constantes!$F$45</f>
        <v>0</v>
      </c>
      <c r="AY167" s="170">
        <f>IF(Escenarios!$F$17&gt;0,10*Escenarios!$F$16*AL167,0)</f>
        <v>0</v>
      </c>
      <c r="AZ167" s="170">
        <f>IF(Escenarios!$F$17&gt;0,10*Escenarios!$F$16*AX167,0)</f>
        <v>0</v>
      </c>
      <c r="BA167" s="170">
        <f>IF(Escenarios!$F$17&gt;0,0.001*Observaciones!$F166*Escenarios!$F$17,0)</f>
        <v>0</v>
      </c>
      <c r="BB167" s="170">
        <f>IF(Escenarios!$F$17&gt;0,Observaciones!$K166,0)</f>
        <v>0</v>
      </c>
      <c r="BC167" s="170">
        <f>IF(Escenarios!$F$17&gt;0,MIN(0.0005*ETo!$M166*Escenarios!$F$17*(BG166/Constantes!$F$40)^(2/3),BG166+AY167+AZ167+BA167+BB167),0)</f>
        <v>0</v>
      </c>
      <c r="BD167" s="170">
        <f>IF(Escenarios!$F$17&gt;0,MIN(Constantes!$F$39*(BG166/Constantes!$F$40)^(2/3),BG166+AY167+AZ167+BA167+BB167-BC167),0)</f>
        <v>0</v>
      </c>
      <c r="BE167" s="170">
        <f>IF(Escenarios!$F$17&gt;0,MIN(Entradas!$F$113,BG166+AY167+AZ167+BA167+BB167-BC167-BD167),0)</f>
        <v>0</v>
      </c>
      <c r="BF167" s="170">
        <f>IF(Escenarios!$F$17&gt;0,MAX(0,BG166+AY167+AZ167+BA167+BB167-BC167-BD167-BE167-Constantes!$F$40),0)</f>
        <v>0</v>
      </c>
      <c r="BG167" s="170">
        <f t="shared" si="39"/>
        <v>0</v>
      </c>
      <c r="BH167" s="170">
        <f>(Escenarios!$F$16*AK167+0.1*BC167)/(Escenarios!$F$19)</f>
        <v>1.5082452775520294</v>
      </c>
      <c r="BI167" s="170">
        <f>IF(Escenarios!$F$17&gt;0,BF167/10/Escenarios!$F$19,AL167)</f>
        <v>0</v>
      </c>
      <c r="BJ167" s="170">
        <f>(Escenarios!$F$16*AT167+0.1*BD167)/(Escenarios!$F$19)</f>
        <v>0</v>
      </c>
      <c r="BK167" s="76">
        <f>BK166+(0.1*BD167)/(Escenarios!$F$19)-BL166</f>
        <v>48.75</v>
      </c>
      <c r="BL167" s="76">
        <f>MAX(0,(BK167-Constantes!$D$13)*(1-EXP(-Constantes!$D$23)))</f>
        <v>0</v>
      </c>
      <c r="BM167" s="76">
        <f t="shared" si="40"/>
        <v>0.62053635467795931</v>
      </c>
      <c r="BN167" s="76">
        <f t="shared" si="41"/>
        <v>0.65211347372830997</v>
      </c>
      <c r="BO167" s="76">
        <f>0.0526*BI167*Observaciones!$F166^1.218</f>
        <v>0</v>
      </c>
      <c r="BP167" s="76">
        <f>BO167*Constantes!$F$51</f>
        <v>0</v>
      </c>
      <c r="BQ167" s="76">
        <f t="shared" si="42"/>
        <v>0</v>
      </c>
      <c r="BR167" s="40"/>
    </row>
    <row r="168" spans="2:70">
      <c r="B168" s="39"/>
      <c r="C168" s="75">
        <v>162</v>
      </c>
      <c r="D168" s="146">
        <f>ETo!$I167*((1-Constantes!$F$19)*ETo!$K167+ETo!$L167)</f>
        <v>2.545255723439547</v>
      </c>
      <c r="E168" s="76">
        <f>MIN(D168*Constantes!$F$17,0.8*(N167+Observaciones!$F167-F168-M168-Constantes!$D$14))</f>
        <v>1.082729833805061</v>
      </c>
      <c r="F168" s="76">
        <f>IF(Observaciones!$F167&gt;0.05*Constantes!$F$18,((Observaciones!$F167-0.05*Constantes!$F$18)^2)/(Observaciones!$F167+0.95*Constantes!$F$18),0)</f>
        <v>0</v>
      </c>
      <c r="G168" s="76">
        <f>IF(Escenarios!$F$11&gt;0,(F168*Escenarios!$F$16*10000)/1000,0)</f>
        <v>0</v>
      </c>
      <c r="H168" s="76">
        <f>IF(Escenarios!$F$11&gt;0,(Observaciones!$F167*Constantes!$F$29)/1000,0)</f>
        <v>0</v>
      </c>
      <c r="I168" s="76">
        <f>IF(Escenarios!$F$11&gt;0,(D168*Constantes!$F$29)/1000,0)</f>
        <v>0</v>
      </c>
      <c r="J168" s="76">
        <f>IF(Escenarios!$F$11&gt;0,MAX(0,G168+H168-I168),0)</f>
        <v>0</v>
      </c>
      <c r="K168" s="76">
        <f>IF(Escenarios!$F$11&gt;0,IF(J168&gt;Constantes!$F$30,1000*((J168-Constantes!$F$30)/(Escenarios!$F$16*10000)),0),F168)</f>
        <v>0</v>
      </c>
      <c r="L168" s="76">
        <f>IF(Escenarios!$F$11&gt;0,I168*1000/Escenarios!$F$16/10000+E168,E168)</f>
        <v>1.082729833805061</v>
      </c>
      <c r="M168" s="76">
        <f>MAX(0,N167+Observaciones!$F167-K168-Constantes!$D$13)</f>
        <v>0</v>
      </c>
      <c r="N168" s="76">
        <f>N167+Observaciones!$F167-K168-L168-M168-O167</f>
        <v>11.484799368621321</v>
      </c>
      <c r="O168" s="76">
        <f>MAX(0,(N168-Constantes!$D$14)*(1-EXP(-Constantes!$D$22)))</f>
        <v>7.9981284613705999E-3</v>
      </c>
      <c r="P168" s="170">
        <f>P167+(Entradas!$F$83*M168-Q167)/(800*Entradas!$D$25)</f>
        <v>0</v>
      </c>
      <c r="Q168" s="170">
        <f>8000*Entradas!$D$26*P168/Constantes!$F$45</f>
        <v>0</v>
      </c>
      <c r="R168" s="170">
        <f>IF(Escenarios!$F$14&gt;0,K168*Escenarios!$F$13/Escenarios!$F$14,0)</f>
        <v>0</v>
      </c>
      <c r="S168" s="170">
        <f>IF(Escenarios!$F$14&gt;0,Q168*Escenarios!$F$13/Escenarios!$F$14,0)</f>
        <v>0</v>
      </c>
      <c r="T168" s="170">
        <f>IF(Escenarios!$F$14&gt;0,Observaciones!$I167,0)</f>
        <v>0</v>
      </c>
      <c r="U168" s="170">
        <f>IF(Escenarios!$F$14&gt;0,MAX(0,Constantes!$F$36/((Z167+R168+S168+T168+Observaciones!$F167)^2)+Entradas!$F$77),0)</f>
        <v>0</v>
      </c>
      <c r="V168" s="146">
        <f>IF(ETo!D167&gt;0,ETo!I167*((1-Entradas!$F$81)*ETo!K167+ETo!L167),0)</f>
        <v>2.2156819119866995</v>
      </c>
      <c r="W168" s="170">
        <f>IF(Escenarios!$F$14&gt;0,MIN(V168*1,0.8*(Z167+R168+S168+T168+Observaciones!$F167-U168-Constantes!$F$35)),0)</f>
        <v>0.50412114469572777</v>
      </c>
      <c r="X168" s="170">
        <f>IF(Escenarios!$F$14&gt;0,Observaciones!$J167,0)</f>
        <v>0</v>
      </c>
      <c r="Y168" s="170">
        <f>IF(Escenarios!$F$14&gt;0,MAX(0,Z167+R168+S168+T168+Observaciones!$F167-U168-W168-X168-Constantes!$F$33),0)</f>
        <v>0</v>
      </c>
      <c r="Z168" s="170">
        <f>Z167+R168+S168+T168+Observaciones!$F167-U168-W168-Y168</f>
        <v>41.376030286173929</v>
      </c>
      <c r="AA168" s="170">
        <f>IF(Escenarios!$F$14&gt;0,(Escenarios!$F$13*L168+Escenarios!$F$14*W168)/(Escenarios!$F$16),L168)</f>
        <v>1.013296791111941</v>
      </c>
      <c r="AB168" s="170">
        <f>IF(Escenarios!$F$14&gt;0,(Escenarios!$F$14*Y168)/(Escenarios!$F$16),K168)</f>
        <v>0</v>
      </c>
      <c r="AC168" s="170">
        <f>IF(Escenarios!$F$14&gt;0,(Escenarios!$F$13*M168+Escenarios!$F$14*U168)/(Escenarios!$F$16),M168)</f>
        <v>0</v>
      </c>
      <c r="AD168" s="76">
        <f t="shared" si="29"/>
        <v>104.72728521375763</v>
      </c>
      <c r="AE168" s="76">
        <f>MAX(0,(AD168-Constantes!$D$13)*(1-EXP(-Constantes!$D$23)))</f>
        <v>0.55155752396174074</v>
      </c>
      <c r="AF168" s="76">
        <f>AB168+O168*Escenarios!$F$13/Escenarios!$F$16+AE168</f>
        <v>0.55859587700774682</v>
      </c>
      <c r="AG168" s="76">
        <f>IF(Entradas!$F$91&gt;0,IF(AF168-Escenarios!$F$38&lt;=0,0,IF(AF168-Escenarios!$F$38&gt;Escenarios!$F$37,Escenarios!$F$37,AF168-Escenarios!$F$38)),0)</f>
        <v>0</v>
      </c>
      <c r="AH168" s="76">
        <f>AG168*Entradas!$F$99</f>
        <v>0</v>
      </c>
      <c r="AI168" s="76">
        <f>IF(Entradas!$F$91&gt;0,D168*Entradas!$D$23/Escenarios!$F$16,0)</f>
        <v>0.12217227472509824</v>
      </c>
      <c r="AJ168" s="76">
        <f>IF(Entradas!$F$91&gt;0,Entradas!$D$24*Entradas!$D$22/Escenarios!$F$16,0)</f>
        <v>0.12</v>
      </c>
      <c r="AK168" s="76">
        <f t="shared" si="30"/>
        <v>1.1354690658370392</v>
      </c>
      <c r="AL168" s="76">
        <f t="shared" si="31"/>
        <v>0</v>
      </c>
      <c r="AM168" s="76">
        <f t="shared" si="32"/>
        <v>0</v>
      </c>
      <c r="AN168" s="76">
        <f>MAX(0,O168*Escenarios!$F$13/Escenarios!$F$16-AM168)</f>
        <v>7.0383530460061275E-3</v>
      </c>
      <c r="AO168" s="76">
        <f>AM168+AN168-O168*Escenarios!$F$13/Escenarios!$F$16</f>
        <v>0</v>
      </c>
      <c r="AP168" s="76">
        <f t="shared" si="33"/>
        <v>0.55155752396174074</v>
      </c>
      <c r="AQ168" s="76">
        <f t="shared" si="34"/>
        <v>0</v>
      </c>
      <c r="AR168" s="76">
        <f t="shared" si="35"/>
        <v>0.55859587700774682</v>
      </c>
      <c r="AS168" s="76">
        <f t="shared" si="36"/>
        <v>0</v>
      </c>
      <c r="AT168" s="76">
        <f t="shared" si="37"/>
        <v>0</v>
      </c>
      <c r="AU168" s="76">
        <f t="shared" si="38"/>
        <v>52.840196189900375</v>
      </c>
      <c r="AV168" s="76">
        <f>MAX(0,(AU168-Constantes!$D$13)*(1-EXP(-Constantes!$D$24)))</f>
        <v>6.2519659309275291E-2</v>
      </c>
      <c r="AW168" s="170">
        <f>AW167+(Entradas!$F$112*AT168-AX167)/(800*Entradas!$D$25)</f>
        <v>0</v>
      </c>
      <c r="AX168" s="170">
        <f>8000*Entradas!$D$26*AW168/Constantes!$F$45</f>
        <v>0</v>
      </c>
      <c r="AY168" s="170">
        <f>IF(Escenarios!$F$17&gt;0,10*Escenarios!$F$16*AL168,0)</f>
        <v>0</v>
      </c>
      <c r="AZ168" s="170">
        <f>IF(Escenarios!$F$17&gt;0,10*Escenarios!$F$16*AX168,0)</f>
        <v>0</v>
      </c>
      <c r="BA168" s="170">
        <f>IF(Escenarios!$F$17&gt;0,0.001*Observaciones!$F167*Escenarios!$F$17,0)</f>
        <v>0</v>
      </c>
      <c r="BB168" s="170">
        <f>IF(Escenarios!$F$17&gt;0,Observaciones!$K167,0)</f>
        <v>0</v>
      </c>
      <c r="BC168" s="170">
        <f>IF(Escenarios!$F$17&gt;0,MIN(0.0005*ETo!$M167*Escenarios!$F$17*(BG167/Constantes!$F$40)^(2/3),BG167+AY168+AZ168+BA168+BB168),0)</f>
        <v>0</v>
      </c>
      <c r="BD168" s="170">
        <f>IF(Escenarios!$F$17&gt;0,MIN(Constantes!$F$39*(BG167/Constantes!$F$40)^(2/3),BG167+AY168+AZ168+BA168+BB168-BC168),0)</f>
        <v>0</v>
      </c>
      <c r="BE168" s="170">
        <f>IF(Escenarios!$F$17&gt;0,MIN(Entradas!$F$113,BG167+AY168+AZ168+BA168+BB168-BC168-BD168),0)</f>
        <v>0</v>
      </c>
      <c r="BF168" s="170">
        <f>IF(Escenarios!$F$17&gt;0,MAX(0,BG167+AY168+AZ168+BA168+BB168-BC168-BD168-BE168-Constantes!$F$40),0)</f>
        <v>0</v>
      </c>
      <c r="BG168" s="170">
        <f t="shared" si="39"/>
        <v>0</v>
      </c>
      <c r="BH168" s="170">
        <f>(Escenarios!$F$16*AK168+0.1*BC168)/(Escenarios!$F$19)</f>
        <v>1.1354690658370392</v>
      </c>
      <c r="BI168" s="170">
        <f>IF(Escenarios!$F$17&gt;0,BF168/10/Escenarios!$F$19,AL168)</f>
        <v>0</v>
      </c>
      <c r="BJ168" s="170">
        <f>(Escenarios!$F$16*AT168+0.1*BD168)/(Escenarios!$F$19)</f>
        <v>0</v>
      </c>
      <c r="BK168" s="76">
        <f>BK167+(0.1*BD168)/(Escenarios!$F$19)-BL167</f>
        <v>48.75</v>
      </c>
      <c r="BL168" s="76">
        <f>MAX(0,(BK168-Constantes!$D$13)*(1-EXP(-Constantes!$D$23)))</f>
        <v>0</v>
      </c>
      <c r="BM168" s="76">
        <f t="shared" si="40"/>
        <v>0.61407718327101601</v>
      </c>
      <c r="BN168" s="76">
        <f t="shared" si="41"/>
        <v>0.6211155363170221</v>
      </c>
      <c r="BO168" s="76">
        <f>0.0526*BI168*Observaciones!$F167^1.218</f>
        <v>0</v>
      </c>
      <c r="BP168" s="76">
        <f>BO168*Constantes!$F$51</f>
        <v>0</v>
      </c>
      <c r="BQ168" s="76">
        <f t="shared" si="42"/>
        <v>0</v>
      </c>
      <c r="BR168" s="40"/>
    </row>
    <row r="169" spans="2:70">
      <c r="B169" s="39"/>
      <c r="C169" s="75">
        <v>163</v>
      </c>
      <c r="D169" s="146">
        <f>ETo!$I168*((1-Constantes!$F$19)*ETo!$K168+ETo!$L168)</f>
        <v>2.6461536532840229</v>
      </c>
      <c r="E169" s="76">
        <f>MIN(D169*Constantes!$F$17,0.8*(N168+Observaciones!$F168-F169-M169-Constantes!$D$14))</f>
        <v>0.18783949489705665</v>
      </c>
      <c r="F169" s="76">
        <f>IF(Observaciones!$F168&gt;0.05*Constantes!$F$18,((Observaciones!$F168-0.05*Constantes!$F$18)^2)/(Observaciones!$F168+0.95*Constantes!$F$18),0)</f>
        <v>0</v>
      </c>
      <c r="G169" s="76">
        <f>IF(Escenarios!$F$11&gt;0,(F169*Escenarios!$F$16*10000)/1000,0)</f>
        <v>0</v>
      </c>
      <c r="H169" s="76">
        <f>IF(Escenarios!$F$11&gt;0,(Observaciones!$F168*Constantes!$F$29)/1000,0)</f>
        <v>0</v>
      </c>
      <c r="I169" s="76">
        <f>IF(Escenarios!$F$11&gt;0,(D169*Constantes!$F$29)/1000,0)</f>
        <v>0</v>
      </c>
      <c r="J169" s="76">
        <f>IF(Escenarios!$F$11&gt;0,MAX(0,G169+H169-I169),0)</f>
        <v>0</v>
      </c>
      <c r="K169" s="76">
        <f>IF(Escenarios!$F$11&gt;0,IF(J169&gt;Constantes!$F$30,1000*((J169-Constantes!$F$30)/(Escenarios!$F$16*10000)),0),F169)</f>
        <v>0</v>
      </c>
      <c r="L169" s="76">
        <f>IF(Escenarios!$F$11&gt;0,I169*1000/Escenarios!$F$16/10000+E169,E169)</f>
        <v>0.18783949489705665</v>
      </c>
      <c r="M169" s="76">
        <f>MAX(0,N168+Observaciones!$F168-K169-Constantes!$D$13)</f>
        <v>0</v>
      </c>
      <c r="N169" s="76">
        <f>N168+Observaciones!$F168-K169-L169-M169-O168</f>
        <v>11.288961745262894</v>
      </c>
      <c r="O169" s="76">
        <f>MAX(0,(N169-Constantes!$D$14)*(1-EXP(-Constantes!$D$22)))</f>
        <v>1.3271800751491641E-3</v>
      </c>
      <c r="P169" s="170">
        <f>P168+(Entradas!$F$83*M169-Q168)/(800*Entradas!$D$25)</f>
        <v>0</v>
      </c>
      <c r="Q169" s="170">
        <f>8000*Entradas!$D$26*P169/Constantes!$F$45</f>
        <v>0</v>
      </c>
      <c r="R169" s="170">
        <f>IF(Escenarios!$F$14&gt;0,K169*Escenarios!$F$13/Escenarios!$F$14,0)</f>
        <v>0</v>
      </c>
      <c r="S169" s="170">
        <f>IF(Escenarios!$F$14&gt;0,Q169*Escenarios!$F$13/Escenarios!$F$14,0)</f>
        <v>0</v>
      </c>
      <c r="T169" s="170">
        <f>IF(Escenarios!$F$14&gt;0,Observaciones!$I168,0)</f>
        <v>0</v>
      </c>
      <c r="U169" s="170">
        <f>IF(Escenarios!$F$14&gt;0,MAX(0,Constantes!$F$36/((Z168+R169+S169+T169+Observaciones!$F168)^2)+Entradas!$F$77),0)</f>
        <v>0</v>
      </c>
      <c r="V169" s="146">
        <f>IF(ETo!D168&gt;0,ETo!I168*((1-Entradas!$F$81)*ETo!K168+ETo!L168),0)</f>
        <v>2.3043863104612101</v>
      </c>
      <c r="W169" s="170">
        <f>IF(Escenarios!$F$14&gt;0,MIN(V169*1,0.8*(Z168+R169+S169+T169+Observaciones!$F168-U169-Constantes!$F$35)),0)</f>
        <v>0.10082422893914328</v>
      </c>
      <c r="X169" s="170">
        <f>IF(Escenarios!$F$14&gt;0,Observaciones!$J168,0)</f>
        <v>0</v>
      </c>
      <c r="Y169" s="170">
        <f>IF(Escenarios!$F$14&gt;0,MAX(0,Z168+R169+S169+T169+Observaciones!$F168-U169-W169-X169-Constantes!$F$33),0)</f>
        <v>0</v>
      </c>
      <c r="Z169" s="170">
        <f>Z168+R169+S169+T169+Observaciones!$F168-U169-W169-Y169</f>
        <v>41.275206057234783</v>
      </c>
      <c r="AA169" s="170">
        <f>IF(Escenarios!$F$14&gt;0,(Escenarios!$F$13*L169+Escenarios!$F$14*W169)/(Escenarios!$F$16),L169)</f>
        <v>0.17739766298210705</v>
      </c>
      <c r="AB169" s="170">
        <f>IF(Escenarios!$F$14&gt;0,(Escenarios!$F$14*Y169)/(Escenarios!$F$16),K169)</f>
        <v>0</v>
      </c>
      <c r="AC169" s="170">
        <f>IF(Escenarios!$F$14&gt;0,(Escenarios!$F$13*M169+Escenarios!$F$14*U169)/(Escenarios!$F$16),M169)</f>
        <v>0</v>
      </c>
      <c r="AD169" s="76">
        <f t="shared" si="29"/>
        <v>104.17572768979588</v>
      </c>
      <c r="AE169" s="76">
        <f>MAX(0,(AD169-Constantes!$D$13)*(1-EXP(-Constantes!$D$23)))</f>
        <v>0.54612289630737842</v>
      </c>
      <c r="AF169" s="76">
        <f>AB169+O169*Escenarios!$F$13/Escenarios!$F$16+AE169</f>
        <v>0.54729081477350972</v>
      </c>
      <c r="AG169" s="76">
        <f>IF(Entradas!$F$91&gt;0,IF(AF169-Escenarios!$F$38&lt;=0,0,IF(AF169-Escenarios!$F$38&gt;Escenarios!$F$37,Escenarios!$F$37,AF169-Escenarios!$F$38)),0)</f>
        <v>0</v>
      </c>
      <c r="AH169" s="76">
        <f>AG169*Entradas!$F$99</f>
        <v>0</v>
      </c>
      <c r="AI169" s="76">
        <f>IF(Entradas!$F$91&gt;0,D169*Entradas!$D$23/Escenarios!$F$16,0)</f>
        <v>0.1270153753576331</v>
      </c>
      <c r="AJ169" s="76">
        <f>IF(Entradas!$F$91&gt;0,Entradas!$D$24*Entradas!$D$22/Escenarios!$F$16,0)</f>
        <v>0.12</v>
      </c>
      <c r="AK169" s="76">
        <f t="shared" si="30"/>
        <v>0.30441303833974015</v>
      </c>
      <c r="AL169" s="76">
        <f t="shared" si="31"/>
        <v>0</v>
      </c>
      <c r="AM169" s="76">
        <f t="shared" si="32"/>
        <v>0</v>
      </c>
      <c r="AN169" s="76">
        <f>MAX(0,O169*Escenarios!$F$13/Escenarios!$F$16-AM169)</f>
        <v>1.1679184661312644E-3</v>
      </c>
      <c r="AO169" s="76">
        <f>AM169+AN169-O169*Escenarios!$F$13/Escenarios!$F$16</f>
        <v>0</v>
      </c>
      <c r="AP169" s="76">
        <f t="shared" si="33"/>
        <v>0.54612289630737842</v>
      </c>
      <c r="AQ169" s="76">
        <f t="shared" si="34"/>
        <v>0</v>
      </c>
      <c r="AR169" s="76">
        <f t="shared" si="35"/>
        <v>0.54729081477350972</v>
      </c>
      <c r="AS169" s="76">
        <f t="shared" si="36"/>
        <v>0</v>
      </c>
      <c r="AT169" s="76">
        <f t="shared" si="37"/>
        <v>0</v>
      </c>
      <c r="AU169" s="76">
        <f t="shared" si="38"/>
        <v>52.777676530591101</v>
      </c>
      <c r="AV169" s="76">
        <f>MAX(0,(AU169-Constantes!$D$13)*(1-EXP(-Constantes!$D$24)))</f>
        <v>6.1564030870277855E-2</v>
      </c>
      <c r="AW169" s="170">
        <f>AW168+(Entradas!$F$112*AT169-AX168)/(800*Entradas!$D$25)</f>
        <v>0</v>
      </c>
      <c r="AX169" s="170">
        <f>8000*Entradas!$D$26*AW169/Constantes!$F$45</f>
        <v>0</v>
      </c>
      <c r="AY169" s="170">
        <f>IF(Escenarios!$F$17&gt;0,10*Escenarios!$F$16*AL169,0)</f>
        <v>0</v>
      </c>
      <c r="AZ169" s="170">
        <f>IF(Escenarios!$F$17&gt;0,10*Escenarios!$F$16*AX169,0)</f>
        <v>0</v>
      </c>
      <c r="BA169" s="170">
        <f>IF(Escenarios!$F$17&gt;0,0.001*Observaciones!$F168*Escenarios!$F$17,0)</f>
        <v>0</v>
      </c>
      <c r="BB169" s="170">
        <f>IF(Escenarios!$F$17&gt;0,Observaciones!$K168,0)</f>
        <v>0</v>
      </c>
      <c r="BC169" s="170">
        <f>IF(Escenarios!$F$17&gt;0,MIN(0.0005*ETo!$M168*Escenarios!$F$17*(BG168/Constantes!$F$40)^(2/3),BG168+AY169+AZ169+BA169+BB169),0)</f>
        <v>0</v>
      </c>
      <c r="BD169" s="170">
        <f>IF(Escenarios!$F$17&gt;0,MIN(Constantes!$F$39*(BG168/Constantes!$F$40)^(2/3),BG168+AY169+AZ169+BA169+BB169-BC169),0)</f>
        <v>0</v>
      </c>
      <c r="BE169" s="170">
        <f>IF(Escenarios!$F$17&gt;0,MIN(Entradas!$F$113,BG168+AY169+AZ169+BA169+BB169-BC169-BD169),0)</f>
        <v>0</v>
      </c>
      <c r="BF169" s="170">
        <f>IF(Escenarios!$F$17&gt;0,MAX(0,BG168+AY169+AZ169+BA169+BB169-BC169-BD169-BE169-Constantes!$F$40),0)</f>
        <v>0</v>
      </c>
      <c r="BG169" s="170">
        <f t="shared" si="39"/>
        <v>0</v>
      </c>
      <c r="BH169" s="170">
        <f>(Escenarios!$F$16*AK169+0.1*BC169)/(Escenarios!$F$19)</f>
        <v>0.30441303833974015</v>
      </c>
      <c r="BI169" s="170">
        <f>IF(Escenarios!$F$17&gt;0,BF169/10/Escenarios!$F$19,AL169)</f>
        <v>0</v>
      </c>
      <c r="BJ169" s="170">
        <f>(Escenarios!$F$16*AT169+0.1*BD169)/(Escenarios!$F$19)</f>
        <v>0</v>
      </c>
      <c r="BK169" s="76">
        <f>BK168+(0.1*BD169)/(Escenarios!$F$19)-BL168</f>
        <v>48.75</v>
      </c>
      <c r="BL169" s="76">
        <f>MAX(0,(BK169-Constantes!$D$13)*(1-EXP(-Constantes!$D$23)))</f>
        <v>0</v>
      </c>
      <c r="BM169" s="76">
        <f t="shared" si="40"/>
        <v>0.60768692717765627</v>
      </c>
      <c r="BN169" s="76">
        <f t="shared" si="41"/>
        <v>0.60885484564378756</v>
      </c>
      <c r="BO169" s="76">
        <f>0.0526*BI169*Observaciones!$F168^1.218</f>
        <v>0</v>
      </c>
      <c r="BP169" s="76">
        <f>BO169*Constantes!$F$51</f>
        <v>0</v>
      </c>
      <c r="BQ169" s="76">
        <f t="shared" si="42"/>
        <v>0</v>
      </c>
      <c r="BR169" s="40"/>
    </row>
    <row r="170" spans="2:70">
      <c r="B170" s="39"/>
      <c r="C170" s="75">
        <v>164</v>
      </c>
      <c r="D170" s="146">
        <f>ETo!$I169*((1-Constantes!$F$19)*ETo!$K169+ETo!$L169)</f>
        <v>2.5029382467736614</v>
      </c>
      <c r="E170" s="76">
        <f>MIN(D170*Constantes!$F$17,0.8*(N169+Observaciones!$F169-F170-M170-Constantes!$D$14))</f>
        <v>3.1169396210314917E-2</v>
      </c>
      <c r="F170" s="76">
        <f>IF(Observaciones!$F169&gt;0.05*Constantes!$F$18,((Observaciones!$F169-0.05*Constantes!$F$18)^2)/(Observaciones!$F169+0.95*Constantes!$F$18),0)</f>
        <v>0</v>
      </c>
      <c r="G170" s="76">
        <f>IF(Escenarios!$F$11&gt;0,(F170*Escenarios!$F$16*10000)/1000,0)</f>
        <v>0</v>
      </c>
      <c r="H170" s="76">
        <f>IF(Escenarios!$F$11&gt;0,(Observaciones!$F169*Constantes!$F$29)/1000,0)</f>
        <v>0</v>
      </c>
      <c r="I170" s="76">
        <f>IF(Escenarios!$F$11&gt;0,(D170*Constantes!$F$29)/1000,0)</f>
        <v>0</v>
      </c>
      <c r="J170" s="76">
        <f>IF(Escenarios!$F$11&gt;0,MAX(0,G170+H170-I170),0)</f>
        <v>0</v>
      </c>
      <c r="K170" s="76">
        <f>IF(Escenarios!$F$11&gt;0,IF(J170&gt;Constantes!$F$30,1000*((J170-Constantes!$F$30)/(Escenarios!$F$16*10000)),0),F170)</f>
        <v>0</v>
      </c>
      <c r="L170" s="76">
        <f>IF(Escenarios!$F$11&gt;0,I170*1000/Escenarios!$F$16/10000+E170,E170)</f>
        <v>3.1169396210314917E-2</v>
      </c>
      <c r="M170" s="76">
        <f>MAX(0,N169+Observaciones!$F169-K170-Constantes!$D$13)</f>
        <v>0</v>
      </c>
      <c r="N170" s="76">
        <f>N169+Observaciones!$F169-K170-L170-M170-O169</f>
        <v>11.25646516897743</v>
      </c>
      <c r="O170" s="76">
        <f>MAX(0,(N170-Constantes!$D$14)*(1-EXP(-Constantes!$D$22)))</f>
        <v>2.2022738949245999E-4</v>
      </c>
      <c r="P170" s="170">
        <f>P169+(Entradas!$F$83*M170-Q169)/(800*Entradas!$D$25)</f>
        <v>0</v>
      </c>
      <c r="Q170" s="170">
        <f>8000*Entradas!$D$26*P170/Constantes!$F$45</f>
        <v>0</v>
      </c>
      <c r="R170" s="170">
        <f>IF(Escenarios!$F$14&gt;0,K170*Escenarios!$F$13/Escenarios!$F$14,0)</f>
        <v>0</v>
      </c>
      <c r="S170" s="170">
        <f>IF(Escenarios!$F$14&gt;0,Q170*Escenarios!$F$13/Escenarios!$F$14,0)</f>
        <v>0</v>
      </c>
      <c r="T170" s="170">
        <f>IF(Escenarios!$F$14&gt;0,Observaciones!$I169,0)</f>
        <v>0</v>
      </c>
      <c r="U170" s="170">
        <f>IF(Escenarios!$F$14&gt;0,MAX(0,Constantes!$F$36/((Z169+R170+S170+T170+Observaciones!$F169)^2)+Entradas!$F$77),0)</f>
        <v>0</v>
      </c>
      <c r="V170" s="146">
        <f>IF(ETo!D169&gt;0,ETo!I169*((1-Entradas!$F$81)*ETo!K169+ETo!L169),0)</f>
        <v>2.178200713501572</v>
      </c>
      <c r="W170" s="170">
        <f>IF(Escenarios!$F$14&gt;0,MIN(V170*1,0.8*(Z169+R170+S170+T170+Observaciones!$F169-U170-Constantes!$F$35)),0)</f>
        <v>2.0164845787826381E-2</v>
      </c>
      <c r="X170" s="170">
        <f>IF(Escenarios!$F$14&gt;0,Observaciones!$J169,0)</f>
        <v>0</v>
      </c>
      <c r="Y170" s="170">
        <f>IF(Escenarios!$F$14&gt;0,MAX(0,Z169+R170+S170+T170+Observaciones!$F169-U170-W170-X170-Constantes!$F$33),0)</f>
        <v>0</v>
      </c>
      <c r="Z170" s="170">
        <f>Z169+R170+S170+T170+Observaciones!$F169-U170-W170-Y170</f>
        <v>41.255041211446958</v>
      </c>
      <c r="AA170" s="170">
        <f>IF(Escenarios!$F$14&gt;0,(Escenarios!$F$13*L170+Escenarios!$F$14*W170)/(Escenarios!$F$16),L170)</f>
        <v>2.9848850159616296E-2</v>
      </c>
      <c r="AB170" s="170">
        <f>IF(Escenarios!$F$14&gt;0,(Escenarios!$F$14*Y170)/(Escenarios!$F$16),K170)</f>
        <v>0</v>
      </c>
      <c r="AC170" s="170">
        <f>IF(Escenarios!$F$14&gt;0,(Escenarios!$F$13*M170+Escenarios!$F$14*U170)/(Escenarios!$F$16),M170)</f>
        <v>0</v>
      </c>
      <c r="AD170" s="76">
        <f t="shared" si="29"/>
        <v>103.6296047934885</v>
      </c>
      <c r="AE170" s="76">
        <f>MAX(0,(AD170-Constantes!$D$13)*(1-EXP(-Constantes!$D$23)))</f>
        <v>0.54074181733372217</v>
      </c>
      <c r="AF170" s="76">
        <f>AB170+O170*Escenarios!$F$13/Escenarios!$F$16+AE170</f>
        <v>0.54093561743647556</v>
      </c>
      <c r="AG170" s="76">
        <f>IF(Entradas!$F$91&gt;0,IF(AF170-Escenarios!$F$38&lt;=0,0,IF(AF170-Escenarios!$F$38&gt;Escenarios!$F$37,Escenarios!$F$37,AF170-Escenarios!$F$38)),0)</f>
        <v>0</v>
      </c>
      <c r="AH170" s="76">
        <f>AG170*Entradas!$F$99</f>
        <v>0</v>
      </c>
      <c r="AI170" s="76">
        <f>IF(Entradas!$F$91&gt;0,D170*Entradas!$D$23/Escenarios!$F$16,0)</f>
        <v>0.12014103584513575</v>
      </c>
      <c r="AJ170" s="76">
        <f>IF(Entradas!$F$91&gt;0,Entradas!$D$24*Entradas!$D$22/Escenarios!$F$16,0)</f>
        <v>0.12</v>
      </c>
      <c r="AK170" s="76">
        <f t="shared" si="30"/>
        <v>0.14998988600475205</v>
      </c>
      <c r="AL170" s="76">
        <f t="shared" si="31"/>
        <v>0</v>
      </c>
      <c r="AM170" s="76">
        <f t="shared" si="32"/>
        <v>0</v>
      </c>
      <c r="AN170" s="76">
        <f>MAX(0,O170*Escenarios!$F$13/Escenarios!$F$16-AM170)</f>
        <v>1.9380010275336478E-4</v>
      </c>
      <c r="AO170" s="76">
        <f>AM170+AN170-O170*Escenarios!$F$13/Escenarios!$F$16</f>
        <v>0</v>
      </c>
      <c r="AP170" s="76">
        <f t="shared" si="33"/>
        <v>0.54074181733372217</v>
      </c>
      <c r="AQ170" s="76">
        <f t="shared" si="34"/>
        <v>0</v>
      </c>
      <c r="AR170" s="76">
        <f t="shared" si="35"/>
        <v>0.54093561743647556</v>
      </c>
      <c r="AS170" s="76">
        <f t="shared" si="36"/>
        <v>0</v>
      </c>
      <c r="AT170" s="76">
        <f t="shared" si="37"/>
        <v>0</v>
      </c>
      <c r="AU170" s="76">
        <f t="shared" si="38"/>
        <v>52.716112499720822</v>
      </c>
      <c r="AV170" s="76">
        <f>MAX(0,(AU170-Constantes!$D$13)*(1-EXP(-Constantes!$D$24)))</f>
        <v>6.0623009448073327E-2</v>
      </c>
      <c r="AW170" s="170">
        <f>AW169+(Entradas!$F$112*AT170-AX169)/(800*Entradas!$D$25)</f>
        <v>0</v>
      </c>
      <c r="AX170" s="170">
        <f>8000*Entradas!$D$26*AW170/Constantes!$F$45</f>
        <v>0</v>
      </c>
      <c r="AY170" s="170">
        <f>IF(Escenarios!$F$17&gt;0,10*Escenarios!$F$16*AL170,0)</f>
        <v>0</v>
      </c>
      <c r="AZ170" s="170">
        <f>IF(Escenarios!$F$17&gt;0,10*Escenarios!$F$16*AX170,0)</f>
        <v>0</v>
      </c>
      <c r="BA170" s="170">
        <f>IF(Escenarios!$F$17&gt;0,0.001*Observaciones!$F169*Escenarios!$F$17,0)</f>
        <v>0</v>
      </c>
      <c r="BB170" s="170">
        <f>IF(Escenarios!$F$17&gt;0,Observaciones!$K169,0)</f>
        <v>0</v>
      </c>
      <c r="BC170" s="170">
        <f>IF(Escenarios!$F$17&gt;0,MIN(0.0005*ETo!$M169*Escenarios!$F$17*(BG169/Constantes!$F$40)^(2/3),BG169+AY170+AZ170+BA170+BB170),0)</f>
        <v>0</v>
      </c>
      <c r="BD170" s="170">
        <f>IF(Escenarios!$F$17&gt;0,MIN(Constantes!$F$39*(BG169/Constantes!$F$40)^(2/3),BG169+AY170+AZ170+BA170+BB170-BC170),0)</f>
        <v>0</v>
      </c>
      <c r="BE170" s="170">
        <f>IF(Escenarios!$F$17&gt;0,MIN(Entradas!$F$113,BG169+AY170+AZ170+BA170+BB170-BC170-BD170),0)</f>
        <v>0</v>
      </c>
      <c r="BF170" s="170">
        <f>IF(Escenarios!$F$17&gt;0,MAX(0,BG169+AY170+AZ170+BA170+BB170-BC170-BD170-BE170-Constantes!$F$40),0)</f>
        <v>0</v>
      </c>
      <c r="BG170" s="170">
        <f t="shared" si="39"/>
        <v>0</v>
      </c>
      <c r="BH170" s="170">
        <f>(Escenarios!$F$16*AK170+0.1*BC170)/(Escenarios!$F$19)</f>
        <v>0.14998988600475205</v>
      </c>
      <c r="BI170" s="170">
        <f>IF(Escenarios!$F$17&gt;0,BF170/10/Escenarios!$F$19,AL170)</f>
        <v>0</v>
      </c>
      <c r="BJ170" s="170">
        <f>(Escenarios!$F$16*AT170+0.1*BD170)/(Escenarios!$F$19)</f>
        <v>0</v>
      </c>
      <c r="BK170" s="76">
        <f>BK169+(0.1*BD170)/(Escenarios!$F$19)-BL169</f>
        <v>48.75</v>
      </c>
      <c r="BL170" s="76">
        <f>MAX(0,(BK170-Constantes!$D$13)*(1-EXP(-Constantes!$D$23)))</f>
        <v>0</v>
      </c>
      <c r="BM170" s="76">
        <f t="shared" si="40"/>
        <v>0.60136482678179548</v>
      </c>
      <c r="BN170" s="76">
        <f t="shared" si="41"/>
        <v>0.60155862688454886</v>
      </c>
      <c r="BO170" s="76">
        <f>0.0526*BI170*Observaciones!$F169^1.218</f>
        <v>0</v>
      </c>
      <c r="BP170" s="76">
        <f>BO170*Constantes!$F$51</f>
        <v>0</v>
      </c>
      <c r="BQ170" s="76">
        <f t="shared" si="42"/>
        <v>0</v>
      </c>
      <c r="BR170" s="40"/>
    </row>
    <row r="171" spans="2:70">
      <c r="B171" s="39"/>
      <c r="C171" s="75">
        <v>165</v>
      </c>
      <c r="D171" s="146">
        <f>ETo!$I170*((1-Constantes!$F$19)*ETo!$K170+ETo!$L170)</f>
        <v>2.5708308123227392</v>
      </c>
      <c r="E171" s="76">
        <f>MIN(D171*Constantes!$F$17,0.8*(N170+Observaciones!$F170-F171-M171-Constantes!$D$14))</f>
        <v>5.1721351819438155E-3</v>
      </c>
      <c r="F171" s="76">
        <f>IF(Observaciones!$F170&gt;0.05*Constantes!$F$18,((Observaciones!$F170-0.05*Constantes!$F$18)^2)/(Observaciones!$F170+0.95*Constantes!$F$18),0)</f>
        <v>0</v>
      </c>
      <c r="G171" s="76">
        <f>IF(Escenarios!$F$11&gt;0,(F171*Escenarios!$F$16*10000)/1000,0)</f>
        <v>0</v>
      </c>
      <c r="H171" s="76">
        <f>IF(Escenarios!$F$11&gt;0,(Observaciones!$F170*Constantes!$F$29)/1000,0)</f>
        <v>0</v>
      </c>
      <c r="I171" s="76">
        <f>IF(Escenarios!$F$11&gt;0,(D171*Constantes!$F$29)/1000,0)</f>
        <v>0</v>
      </c>
      <c r="J171" s="76">
        <f>IF(Escenarios!$F$11&gt;0,MAX(0,G171+H171-I171),0)</f>
        <v>0</v>
      </c>
      <c r="K171" s="76">
        <f>IF(Escenarios!$F$11&gt;0,IF(J171&gt;Constantes!$F$30,1000*((J171-Constantes!$F$30)/(Escenarios!$F$16*10000)),0),F171)</f>
        <v>0</v>
      </c>
      <c r="L171" s="76">
        <f>IF(Escenarios!$F$11&gt;0,I171*1000/Escenarios!$F$16/10000+E171,E171)</f>
        <v>5.1721351819438155E-3</v>
      </c>
      <c r="M171" s="76">
        <f>MAX(0,N170+Observaciones!$F170-K171-Constantes!$D$13)</f>
        <v>0</v>
      </c>
      <c r="N171" s="76">
        <f>N170+Observaciones!$F170-K171-L171-M171-O170</f>
        <v>11.251072806405993</v>
      </c>
      <c r="O171" s="76">
        <f>MAX(0,(N171-Constantes!$D$14)*(1-EXP(-Constantes!$D$22)))</f>
        <v>3.6543724541073513E-5</v>
      </c>
      <c r="P171" s="170">
        <f>P170+(Entradas!$F$83*M171-Q170)/(800*Entradas!$D$25)</f>
        <v>0</v>
      </c>
      <c r="Q171" s="170">
        <f>8000*Entradas!$D$26*P171/Constantes!$F$45</f>
        <v>0</v>
      </c>
      <c r="R171" s="170">
        <f>IF(Escenarios!$F$14&gt;0,K171*Escenarios!$F$13/Escenarios!$F$14,0)</f>
        <v>0</v>
      </c>
      <c r="S171" s="170">
        <f>IF(Escenarios!$F$14&gt;0,Q171*Escenarios!$F$13/Escenarios!$F$14,0)</f>
        <v>0</v>
      </c>
      <c r="T171" s="170">
        <f>IF(Escenarios!$F$14&gt;0,Observaciones!$I170,0)</f>
        <v>0</v>
      </c>
      <c r="U171" s="170">
        <f>IF(Escenarios!$F$14&gt;0,MAX(0,Constantes!$F$36/((Z170+R171+S171+T171+Observaciones!$F170)^2)+Entradas!$F$77),0)</f>
        <v>0</v>
      </c>
      <c r="V171" s="146">
        <f>IF(ETo!D170&gt;0,ETo!I170*((1-Entradas!$F$81)*ETo!K170+ETo!L170),0)</f>
        <v>2.2376405203130401</v>
      </c>
      <c r="W171" s="170">
        <f>IF(Escenarios!$F$14&gt;0,MIN(V171*1,0.8*(Z170+R171+S171+T171+Observaciones!$F170-U171-Constantes!$F$35)),0)</f>
        <v>4.032969157566413E-3</v>
      </c>
      <c r="X171" s="170">
        <f>IF(Escenarios!$F$14&gt;0,Observaciones!$J170,0)</f>
        <v>0</v>
      </c>
      <c r="Y171" s="170">
        <f>IF(Escenarios!$F$14&gt;0,MAX(0,Z170+R171+S171+T171+Observaciones!$F170-U171-W171-X171-Constantes!$F$33),0)</f>
        <v>0</v>
      </c>
      <c r="Z171" s="170">
        <f>Z170+R171+S171+T171+Observaciones!$F170-U171-W171-Y171</f>
        <v>41.251008242289394</v>
      </c>
      <c r="AA171" s="170">
        <f>IF(Escenarios!$F$14&gt;0,(Escenarios!$F$13*L171+Escenarios!$F$14*W171)/(Escenarios!$F$16),L171)</f>
        <v>5.0354352590185275E-3</v>
      </c>
      <c r="AB171" s="170">
        <f>IF(Escenarios!$F$14&gt;0,(Escenarios!$F$14*Y171)/(Escenarios!$F$16),K171)</f>
        <v>0</v>
      </c>
      <c r="AC171" s="170">
        <f>IF(Escenarios!$F$14&gt;0,(Escenarios!$F$13*M171+Escenarios!$F$14*U171)/(Escenarios!$F$16),M171)</f>
        <v>0</v>
      </c>
      <c r="AD171" s="76">
        <f t="shared" si="29"/>
        <v>103.08886297615477</v>
      </c>
      <c r="AE171" s="76">
        <f>MAX(0,(AD171-Constantes!$D$13)*(1-EXP(-Constantes!$D$23)))</f>
        <v>0.5354137594128664</v>
      </c>
      <c r="AF171" s="76">
        <f>AB171+O171*Escenarios!$F$13/Escenarios!$F$16+AE171</f>
        <v>0.53544591789046259</v>
      </c>
      <c r="AG171" s="76">
        <f>IF(Entradas!$F$91&gt;0,IF(AF171-Escenarios!$F$38&lt;=0,0,IF(AF171-Escenarios!$F$38&gt;Escenarios!$F$37,Escenarios!$F$37,AF171-Escenarios!$F$38)),0)</f>
        <v>0</v>
      </c>
      <c r="AH171" s="76">
        <f>AG171*Entradas!$F$99</f>
        <v>0</v>
      </c>
      <c r="AI171" s="76">
        <f>IF(Entradas!$F$91&gt;0,D171*Entradas!$D$23/Escenarios!$F$16,0)</f>
        <v>0.12339987899149148</v>
      </c>
      <c r="AJ171" s="76">
        <f>IF(Entradas!$F$91&gt;0,Entradas!$D$24*Entradas!$D$22/Escenarios!$F$16,0)</f>
        <v>0.12</v>
      </c>
      <c r="AK171" s="76">
        <f t="shared" si="30"/>
        <v>0.12843531425051</v>
      </c>
      <c r="AL171" s="76">
        <f t="shared" si="31"/>
        <v>0</v>
      </c>
      <c r="AM171" s="76">
        <f t="shared" si="32"/>
        <v>0</v>
      </c>
      <c r="AN171" s="76">
        <f>MAX(0,O171*Escenarios!$F$13/Escenarios!$F$16-AM171)</f>
        <v>3.2158477596144693E-5</v>
      </c>
      <c r="AO171" s="76">
        <f>AM171+AN171-O171*Escenarios!$F$13/Escenarios!$F$16</f>
        <v>0</v>
      </c>
      <c r="AP171" s="76">
        <f t="shared" si="33"/>
        <v>0.5354137594128664</v>
      </c>
      <c r="AQ171" s="76">
        <f t="shared" si="34"/>
        <v>0</v>
      </c>
      <c r="AR171" s="76">
        <f t="shared" si="35"/>
        <v>0.53544591789046259</v>
      </c>
      <c r="AS171" s="76">
        <f t="shared" si="36"/>
        <v>0</v>
      </c>
      <c r="AT171" s="76">
        <f t="shared" si="37"/>
        <v>0</v>
      </c>
      <c r="AU171" s="76">
        <f t="shared" si="38"/>
        <v>52.65548949027275</v>
      </c>
      <c r="AV171" s="76">
        <f>MAX(0,(AU171-Constantes!$D$13)*(1-EXP(-Constantes!$D$24)))</f>
        <v>5.9696371770801233E-2</v>
      </c>
      <c r="AW171" s="170">
        <f>AW170+(Entradas!$F$112*AT171-AX170)/(800*Entradas!$D$25)</f>
        <v>0</v>
      </c>
      <c r="AX171" s="170">
        <f>8000*Entradas!$D$26*AW171/Constantes!$F$45</f>
        <v>0</v>
      </c>
      <c r="AY171" s="170">
        <f>IF(Escenarios!$F$17&gt;0,10*Escenarios!$F$16*AL171,0)</f>
        <v>0</v>
      </c>
      <c r="AZ171" s="170">
        <f>IF(Escenarios!$F$17&gt;0,10*Escenarios!$F$16*AX171,0)</f>
        <v>0</v>
      </c>
      <c r="BA171" s="170">
        <f>IF(Escenarios!$F$17&gt;0,0.001*Observaciones!$F170*Escenarios!$F$17,0)</f>
        <v>0</v>
      </c>
      <c r="BB171" s="170">
        <f>IF(Escenarios!$F$17&gt;0,Observaciones!$K170,0)</f>
        <v>0</v>
      </c>
      <c r="BC171" s="170">
        <f>IF(Escenarios!$F$17&gt;0,MIN(0.0005*ETo!$M170*Escenarios!$F$17*(BG170/Constantes!$F$40)^(2/3),BG170+AY171+AZ171+BA171+BB171),0)</f>
        <v>0</v>
      </c>
      <c r="BD171" s="170">
        <f>IF(Escenarios!$F$17&gt;0,MIN(Constantes!$F$39*(BG170/Constantes!$F$40)^(2/3),BG170+AY171+AZ171+BA171+BB171-BC171),0)</f>
        <v>0</v>
      </c>
      <c r="BE171" s="170">
        <f>IF(Escenarios!$F$17&gt;0,MIN(Entradas!$F$113,BG170+AY171+AZ171+BA171+BB171-BC171-BD171),0)</f>
        <v>0</v>
      </c>
      <c r="BF171" s="170">
        <f>IF(Escenarios!$F$17&gt;0,MAX(0,BG170+AY171+AZ171+BA171+BB171-BC171-BD171-BE171-Constantes!$F$40),0)</f>
        <v>0</v>
      </c>
      <c r="BG171" s="170">
        <f t="shared" si="39"/>
        <v>0</v>
      </c>
      <c r="BH171" s="170">
        <f>(Escenarios!$F$16*AK171+0.1*BC171)/(Escenarios!$F$19)</f>
        <v>0.12843531425051</v>
      </c>
      <c r="BI171" s="170">
        <f>IF(Escenarios!$F$17&gt;0,BF171/10/Escenarios!$F$19,AL171)</f>
        <v>0</v>
      </c>
      <c r="BJ171" s="170">
        <f>(Escenarios!$F$16*AT171+0.1*BD171)/(Escenarios!$F$19)</f>
        <v>0</v>
      </c>
      <c r="BK171" s="76">
        <f>BK170+(0.1*BD171)/(Escenarios!$F$19)-BL170</f>
        <v>48.75</v>
      </c>
      <c r="BL171" s="76">
        <f>MAX(0,(BK171-Constantes!$D$13)*(1-EXP(-Constantes!$D$23)))</f>
        <v>0</v>
      </c>
      <c r="BM171" s="76">
        <f t="shared" si="40"/>
        <v>0.59511013118366762</v>
      </c>
      <c r="BN171" s="76">
        <f t="shared" si="41"/>
        <v>0.59514228966126381</v>
      </c>
      <c r="BO171" s="76">
        <f>0.0526*BI171*Observaciones!$F170^1.218</f>
        <v>0</v>
      </c>
      <c r="BP171" s="76">
        <f>BO171*Constantes!$F$51</f>
        <v>0</v>
      </c>
      <c r="BQ171" s="76">
        <f t="shared" si="42"/>
        <v>0</v>
      </c>
      <c r="BR171" s="40"/>
    </row>
    <row r="172" spans="2:70">
      <c r="B172" s="39"/>
      <c r="C172" s="75">
        <v>166</v>
      </c>
      <c r="D172" s="146">
        <f>ETo!$I171*((1-Constantes!$F$19)*ETo!$K171+ETo!$L171)</f>
        <v>2.4716396515234376</v>
      </c>
      <c r="E172" s="76">
        <f>MIN(D172*Constantes!$F$17,0.8*(N171+Observaciones!$F171-F172-M172-Constantes!$D$14))</f>
        <v>8.5824512479462103E-4</v>
      </c>
      <c r="F172" s="76">
        <f>IF(Observaciones!$F171&gt;0.05*Constantes!$F$18,((Observaciones!$F171-0.05*Constantes!$F$18)^2)/(Observaciones!$F171+0.95*Constantes!$F$18),0)</f>
        <v>0</v>
      </c>
      <c r="G172" s="76">
        <f>IF(Escenarios!$F$11&gt;0,(F172*Escenarios!$F$16*10000)/1000,0)</f>
        <v>0</v>
      </c>
      <c r="H172" s="76">
        <f>IF(Escenarios!$F$11&gt;0,(Observaciones!$F171*Constantes!$F$29)/1000,0)</f>
        <v>0</v>
      </c>
      <c r="I172" s="76">
        <f>IF(Escenarios!$F$11&gt;0,(D172*Constantes!$F$29)/1000,0)</f>
        <v>0</v>
      </c>
      <c r="J172" s="76">
        <f>IF(Escenarios!$F$11&gt;0,MAX(0,G172+H172-I172),0)</f>
        <v>0</v>
      </c>
      <c r="K172" s="76">
        <f>IF(Escenarios!$F$11&gt;0,IF(J172&gt;Constantes!$F$30,1000*((J172-Constantes!$F$30)/(Escenarios!$F$16*10000)),0),F172)</f>
        <v>0</v>
      </c>
      <c r="L172" s="76">
        <f>IF(Escenarios!$F$11&gt;0,I172*1000/Escenarios!$F$16/10000+E172,E172)</f>
        <v>8.5824512479462103E-4</v>
      </c>
      <c r="M172" s="76">
        <f>MAX(0,N171+Observaciones!$F171-K172-Constantes!$D$13)</f>
        <v>0</v>
      </c>
      <c r="N172" s="76">
        <f>N171+Observaciones!$F171-K172-L172-M172-O171</f>
        <v>11.250178017556658</v>
      </c>
      <c r="O172" s="76">
        <f>MAX(0,(N172-Constantes!$D$14)*(1-EXP(-Constantes!$D$22)))</f>
        <v>6.0639314956130656E-6</v>
      </c>
      <c r="P172" s="170">
        <f>P171+(Entradas!$F$83*M172-Q171)/(800*Entradas!$D$25)</f>
        <v>0</v>
      </c>
      <c r="Q172" s="170">
        <f>8000*Entradas!$D$26*P172/Constantes!$F$45</f>
        <v>0</v>
      </c>
      <c r="R172" s="170">
        <f>IF(Escenarios!$F$14&gt;0,K172*Escenarios!$F$13/Escenarios!$F$14,0)</f>
        <v>0</v>
      </c>
      <c r="S172" s="170">
        <f>IF(Escenarios!$F$14&gt;0,Q172*Escenarios!$F$13/Escenarios!$F$14,0)</f>
        <v>0</v>
      </c>
      <c r="T172" s="170">
        <f>IF(Escenarios!$F$14&gt;0,Observaciones!$I171,0)</f>
        <v>0</v>
      </c>
      <c r="U172" s="170">
        <f>IF(Escenarios!$F$14&gt;0,MAX(0,Constantes!$F$36/((Z171+R172+S172+T172+Observaciones!$F171)^2)+Entradas!$F$77),0)</f>
        <v>0</v>
      </c>
      <c r="V172" s="146">
        <f>IF(ETo!D171&gt;0,ETo!I171*((1-Entradas!$F$81)*ETo!K171+ETo!L171),0)</f>
        <v>2.1504987584151629</v>
      </c>
      <c r="W172" s="170">
        <f>IF(Escenarios!$F$14&gt;0,MIN(V172*1,0.8*(Z171+R172+S172+T172+Observaciones!$F171-U172-Constantes!$F$35)),0)</f>
        <v>8.0659383151555637E-4</v>
      </c>
      <c r="X172" s="170">
        <f>IF(Escenarios!$F$14&gt;0,Observaciones!$J171,0)</f>
        <v>0</v>
      </c>
      <c r="Y172" s="170">
        <f>IF(Escenarios!$F$14&gt;0,MAX(0,Z171+R172+S172+T172+Observaciones!$F171-U172-W172-X172-Constantes!$F$33),0)</f>
        <v>0</v>
      </c>
      <c r="Z172" s="170">
        <f>Z171+R172+S172+T172+Observaciones!$F171-U172-W172-Y172</f>
        <v>41.250201648457882</v>
      </c>
      <c r="AA172" s="170">
        <f>IF(Escenarios!$F$14&gt;0,(Escenarios!$F$13*L172+Escenarios!$F$14*W172)/(Escenarios!$F$16),L172)</f>
        <v>8.5204696960113329E-4</v>
      </c>
      <c r="AB172" s="170">
        <f>IF(Escenarios!$F$14&gt;0,(Escenarios!$F$14*Y172)/(Escenarios!$F$16),K172)</f>
        <v>0</v>
      </c>
      <c r="AC172" s="170">
        <f>IF(Escenarios!$F$14&gt;0,(Escenarios!$F$13*M172+Escenarios!$F$14*U172)/(Escenarios!$F$16),M172)</f>
        <v>0</v>
      </c>
      <c r="AD172" s="76">
        <f t="shared" si="29"/>
        <v>102.55344921674191</v>
      </c>
      <c r="AE172" s="76">
        <f>MAX(0,(AD172-Constantes!$D$13)*(1-EXP(-Constantes!$D$23)))</f>
        <v>0.53013820011574952</v>
      </c>
      <c r="AF172" s="76">
        <f>AB172+O172*Escenarios!$F$13/Escenarios!$F$16+AE172</f>
        <v>0.53014353637546563</v>
      </c>
      <c r="AG172" s="76">
        <f>IF(Entradas!$F$91&gt;0,IF(AF172-Escenarios!$F$38&lt;=0,0,IF(AF172-Escenarios!$F$38&gt;Escenarios!$F$37,Escenarios!$F$37,AF172-Escenarios!$F$38)),0)</f>
        <v>0</v>
      </c>
      <c r="AH172" s="76">
        <f>AG172*Entradas!$F$99</f>
        <v>0</v>
      </c>
      <c r="AI172" s="76">
        <f>IF(Entradas!$F$91&gt;0,D172*Entradas!$D$23/Escenarios!$F$16,0)</f>
        <v>0.11863870327312501</v>
      </c>
      <c r="AJ172" s="76">
        <f>IF(Entradas!$F$91&gt;0,Entradas!$D$24*Entradas!$D$22/Escenarios!$F$16,0)</f>
        <v>0.12</v>
      </c>
      <c r="AK172" s="76">
        <f t="shared" si="30"/>
        <v>0.11949075024272614</v>
      </c>
      <c r="AL172" s="76">
        <f t="shared" si="31"/>
        <v>0</v>
      </c>
      <c r="AM172" s="76">
        <f t="shared" si="32"/>
        <v>0</v>
      </c>
      <c r="AN172" s="76">
        <f>MAX(0,O172*Escenarios!$F$13/Escenarios!$F$16-AM172)</f>
        <v>5.3362597161394979E-6</v>
      </c>
      <c r="AO172" s="76">
        <f>AM172+AN172-O172*Escenarios!$F$13/Escenarios!$F$16</f>
        <v>0</v>
      </c>
      <c r="AP172" s="76">
        <f t="shared" si="33"/>
        <v>0.53013820011574952</v>
      </c>
      <c r="AQ172" s="76">
        <f t="shared" si="34"/>
        <v>0</v>
      </c>
      <c r="AR172" s="76">
        <f t="shared" si="35"/>
        <v>0.53014353637546563</v>
      </c>
      <c r="AS172" s="76">
        <f t="shared" si="36"/>
        <v>0</v>
      </c>
      <c r="AT172" s="76">
        <f t="shared" si="37"/>
        <v>0</v>
      </c>
      <c r="AU172" s="76">
        <f t="shared" si="38"/>
        <v>52.595793118501952</v>
      </c>
      <c r="AV172" s="76">
        <f>MAX(0,(AU172-Constantes!$D$13)*(1-EXP(-Constantes!$D$24)))</f>
        <v>5.8783897979366548E-2</v>
      </c>
      <c r="AW172" s="170">
        <f>AW171+(Entradas!$F$112*AT172-AX171)/(800*Entradas!$D$25)</f>
        <v>0</v>
      </c>
      <c r="AX172" s="170">
        <f>8000*Entradas!$D$26*AW172/Constantes!$F$45</f>
        <v>0</v>
      </c>
      <c r="AY172" s="170">
        <f>IF(Escenarios!$F$17&gt;0,10*Escenarios!$F$16*AL172,0)</f>
        <v>0</v>
      </c>
      <c r="AZ172" s="170">
        <f>IF(Escenarios!$F$17&gt;0,10*Escenarios!$F$16*AX172,0)</f>
        <v>0</v>
      </c>
      <c r="BA172" s="170">
        <f>IF(Escenarios!$F$17&gt;0,0.001*Observaciones!$F171*Escenarios!$F$17,0)</f>
        <v>0</v>
      </c>
      <c r="BB172" s="170">
        <f>IF(Escenarios!$F$17&gt;0,Observaciones!$K171,0)</f>
        <v>0</v>
      </c>
      <c r="BC172" s="170">
        <f>IF(Escenarios!$F$17&gt;0,MIN(0.0005*ETo!$M171*Escenarios!$F$17*(BG171/Constantes!$F$40)^(2/3),BG171+AY172+AZ172+BA172+BB172),0)</f>
        <v>0</v>
      </c>
      <c r="BD172" s="170">
        <f>IF(Escenarios!$F$17&gt;0,MIN(Constantes!$F$39*(BG171/Constantes!$F$40)^(2/3),BG171+AY172+AZ172+BA172+BB172-BC172),0)</f>
        <v>0</v>
      </c>
      <c r="BE172" s="170">
        <f>IF(Escenarios!$F$17&gt;0,MIN(Entradas!$F$113,BG171+AY172+AZ172+BA172+BB172-BC172-BD172),0)</f>
        <v>0</v>
      </c>
      <c r="BF172" s="170">
        <f>IF(Escenarios!$F$17&gt;0,MAX(0,BG171+AY172+AZ172+BA172+BB172-BC172-BD172-BE172-Constantes!$F$40),0)</f>
        <v>0</v>
      </c>
      <c r="BG172" s="170">
        <f t="shared" si="39"/>
        <v>0</v>
      </c>
      <c r="BH172" s="170">
        <f>(Escenarios!$F$16*AK172+0.1*BC172)/(Escenarios!$F$19)</f>
        <v>0.11949075024272614</v>
      </c>
      <c r="BI172" s="170">
        <f>IF(Escenarios!$F$17&gt;0,BF172/10/Escenarios!$F$19,AL172)</f>
        <v>0</v>
      </c>
      <c r="BJ172" s="170">
        <f>(Escenarios!$F$16*AT172+0.1*BD172)/(Escenarios!$F$19)</f>
        <v>0</v>
      </c>
      <c r="BK172" s="76">
        <f>BK171+(0.1*BD172)/(Escenarios!$F$19)-BL171</f>
        <v>48.75</v>
      </c>
      <c r="BL172" s="76">
        <f>MAX(0,(BK172-Constantes!$D$13)*(1-EXP(-Constantes!$D$23)))</f>
        <v>0</v>
      </c>
      <c r="BM172" s="76">
        <f t="shared" si="40"/>
        <v>0.58892209809511609</v>
      </c>
      <c r="BN172" s="76">
        <f t="shared" si="41"/>
        <v>0.58892743435483219</v>
      </c>
      <c r="BO172" s="76">
        <f>0.0526*BI172*Observaciones!$F171^1.218</f>
        <v>0</v>
      </c>
      <c r="BP172" s="76">
        <f>BO172*Constantes!$F$51</f>
        <v>0</v>
      </c>
      <c r="BQ172" s="76">
        <f t="shared" si="42"/>
        <v>0</v>
      </c>
      <c r="BR172" s="40"/>
    </row>
    <row r="173" spans="2:70">
      <c r="B173" s="39"/>
      <c r="C173" s="75">
        <v>167</v>
      </c>
      <c r="D173" s="146">
        <f>ETo!$I172*((1-Constantes!$F$19)*ETo!$K172+ETo!$L172)</f>
        <v>2.5700420507699957</v>
      </c>
      <c r="E173" s="76">
        <f>MIN(D173*Constantes!$F$17,0.8*(N172+Observaciones!$F172-F173-M173-Constantes!$D$14))</f>
        <v>1.4241404532668866E-4</v>
      </c>
      <c r="F173" s="76">
        <f>IF(Observaciones!$F172&gt;0.05*Constantes!$F$18,((Observaciones!$F172-0.05*Constantes!$F$18)^2)/(Observaciones!$F172+0.95*Constantes!$F$18),0)</f>
        <v>0</v>
      </c>
      <c r="G173" s="76">
        <f>IF(Escenarios!$F$11&gt;0,(F173*Escenarios!$F$16*10000)/1000,0)</f>
        <v>0</v>
      </c>
      <c r="H173" s="76">
        <f>IF(Escenarios!$F$11&gt;0,(Observaciones!$F172*Constantes!$F$29)/1000,0)</f>
        <v>0</v>
      </c>
      <c r="I173" s="76">
        <f>IF(Escenarios!$F$11&gt;0,(D173*Constantes!$F$29)/1000,0)</f>
        <v>0</v>
      </c>
      <c r="J173" s="76">
        <f>IF(Escenarios!$F$11&gt;0,MAX(0,G173+H173-I173),0)</f>
        <v>0</v>
      </c>
      <c r="K173" s="76">
        <f>IF(Escenarios!$F$11&gt;0,IF(J173&gt;Constantes!$F$30,1000*((J173-Constantes!$F$30)/(Escenarios!$F$16*10000)),0),F173)</f>
        <v>0</v>
      </c>
      <c r="L173" s="76">
        <f>IF(Escenarios!$F$11&gt;0,I173*1000/Escenarios!$F$16/10000+E173,E173)</f>
        <v>1.4241404532668866E-4</v>
      </c>
      <c r="M173" s="76">
        <f>MAX(0,N172+Observaciones!$F172-K173-Constantes!$D$13)</f>
        <v>0</v>
      </c>
      <c r="N173" s="76">
        <f>N172+Observaciones!$F172-K173-L173-M173-O172</f>
        <v>11.250029539579836</v>
      </c>
      <c r="O173" s="76">
        <f>MAX(0,(N173-Constantes!$D$14)*(1-EXP(-Constantes!$D$22)))</f>
        <v>1.0062265312462092E-6</v>
      </c>
      <c r="P173" s="170">
        <f>P172+(Entradas!$F$83*M173-Q172)/(800*Entradas!$D$25)</f>
        <v>0</v>
      </c>
      <c r="Q173" s="170">
        <f>8000*Entradas!$D$26*P173/Constantes!$F$45</f>
        <v>0</v>
      </c>
      <c r="R173" s="170">
        <f>IF(Escenarios!$F$14&gt;0,K173*Escenarios!$F$13/Escenarios!$F$14,0)</f>
        <v>0</v>
      </c>
      <c r="S173" s="170">
        <f>IF(Escenarios!$F$14&gt;0,Q173*Escenarios!$F$13/Escenarios!$F$14,0)</f>
        <v>0</v>
      </c>
      <c r="T173" s="170">
        <f>IF(Escenarios!$F$14&gt;0,Observaciones!$I172,0)</f>
        <v>0</v>
      </c>
      <c r="U173" s="170">
        <f>IF(Escenarios!$F$14&gt;0,MAX(0,Constantes!$F$36/((Z172+R173+S173+T173+Observaciones!$F172)^2)+Entradas!$F$77),0)</f>
        <v>0</v>
      </c>
      <c r="V173" s="146">
        <f>IF(ETo!D172&gt;0,ETo!I172*((1-Entradas!$F$81)*ETo!K172+ETo!L172),0)</f>
        <v>2.2366938743409097</v>
      </c>
      <c r="W173" s="170">
        <f>IF(Escenarios!$F$14&gt;0,MIN(V173*1,0.8*(Z172+R173+S173+T173+Observaciones!$F172-U173-Constantes!$F$35)),0)</f>
        <v>1.6131876630538501E-4</v>
      </c>
      <c r="X173" s="170">
        <f>IF(Escenarios!$F$14&gt;0,Observaciones!$J172,0)</f>
        <v>0</v>
      </c>
      <c r="Y173" s="170">
        <f>IF(Escenarios!$F$14&gt;0,MAX(0,Z172+R173+S173+T173+Observaciones!$F172-U173-W173-X173-Constantes!$F$33),0)</f>
        <v>0</v>
      </c>
      <c r="Z173" s="170">
        <f>Z172+R173+S173+T173+Observaciones!$F172-U173-W173-Y173</f>
        <v>41.250040329691579</v>
      </c>
      <c r="AA173" s="170">
        <f>IF(Escenarios!$F$14&gt;0,(Escenarios!$F$13*L173+Escenarios!$F$14*W173)/(Escenarios!$F$16),L173)</f>
        <v>1.4468261184413222E-4</v>
      </c>
      <c r="AB173" s="170">
        <f>IF(Escenarios!$F$14&gt;0,(Escenarios!$F$14*Y173)/(Escenarios!$F$16),K173)</f>
        <v>0</v>
      </c>
      <c r="AC173" s="170">
        <f>IF(Escenarios!$F$14&gt;0,(Escenarios!$F$13*M173+Escenarios!$F$14*U173)/(Escenarios!$F$16),M173)</f>
        <v>0</v>
      </c>
      <c r="AD173" s="76">
        <f t="shared" si="29"/>
        <v>102.02331101662617</v>
      </c>
      <c r="AE173" s="76">
        <f>MAX(0,(AD173-Constantes!$D$13)*(1-EXP(-Constantes!$D$23)))</f>
        <v>0.52491462216092744</v>
      </c>
      <c r="AF173" s="76">
        <f>AB173+O173*Escenarios!$F$13/Escenarios!$F$16+AE173</f>
        <v>0.52491550764027495</v>
      </c>
      <c r="AG173" s="76">
        <f>IF(Entradas!$F$91&gt;0,IF(AF173-Escenarios!$F$38&lt;=0,0,IF(AF173-Escenarios!$F$38&gt;Escenarios!$F$37,Escenarios!$F$37,AF173-Escenarios!$F$38)),0)</f>
        <v>0</v>
      </c>
      <c r="AH173" s="76">
        <f>AG173*Entradas!$F$99</f>
        <v>0</v>
      </c>
      <c r="AI173" s="76">
        <f>IF(Entradas!$F$91&gt;0,D173*Entradas!$D$23/Escenarios!$F$16,0)</f>
        <v>0.12336201843695981</v>
      </c>
      <c r="AJ173" s="76">
        <f>IF(Entradas!$F$91&gt;0,Entradas!$D$24*Entradas!$D$22/Escenarios!$F$16,0)</f>
        <v>0.12</v>
      </c>
      <c r="AK173" s="76">
        <f t="shared" si="30"/>
        <v>0.12350670104880394</v>
      </c>
      <c r="AL173" s="76">
        <f t="shared" si="31"/>
        <v>0</v>
      </c>
      <c r="AM173" s="76">
        <f t="shared" si="32"/>
        <v>0</v>
      </c>
      <c r="AN173" s="76">
        <f>MAX(0,O173*Escenarios!$F$13/Escenarios!$F$16-AM173)</f>
        <v>8.8547934749666399E-7</v>
      </c>
      <c r="AO173" s="76">
        <f>AM173+AN173-O173*Escenarios!$F$13/Escenarios!$F$16</f>
        <v>0</v>
      </c>
      <c r="AP173" s="76">
        <f t="shared" si="33"/>
        <v>0.52491462216092744</v>
      </c>
      <c r="AQ173" s="76">
        <f t="shared" si="34"/>
        <v>0</v>
      </c>
      <c r="AR173" s="76">
        <f t="shared" si="35"/>
        <v>0.52491550764027495</v>
      </c>
      <c r="AS173" s="76">
        <f t="shared" si="36"/>
        <v>0</v>
      </c>
      <c r="AT173" s="76">
        <f t="shared" si="37"/>
        <v>0</v>
      </c>
      <c r="AU173" s="76">
        <f t="shared" si="38"/>
        <v>52.537009220522584</v>
      </c>
      <c r="AV173" s="76">
        <f>MAX(0,(AU173-Constantes!$D$13)*(1-EXP(-Constantes!$D$24)))</f>
        <v>5.7885371575274729E-2</v>
      </c>
      <c r="AW173" s="170">
        <f>AW172+(Entradas!$F$112*AT173-AX172)/(800*Entradas!$D$25)</f>
        <v>0</v>
      </c>
      <c r="AX173" s="170">
        <f>8000*Entradas!$D$26*AW173/Constantes!$F$45</f>
        <v>0</v>
      </c>
      <c r="AY173" s="170">
        <f>IF(Escenarios!$F$17&gt;0,10*Escenarios!$F$16*AL173,0)</f>
        <v>0</v>
      </c>
      <c r="AZ173" s="170">
        <f>IF(Escenarios!$F$17&gt;0,10*Escenarios!$F$16*AX173,0)</f>
        <v>0</v>
      </c>
      <c r="BA173" s="170">
        <f>IF(Escenarios!$F$17&gt;0,0.001*Observaciones!$F172*Escenarios!$F$17,0)</f>
        <v>0</v>
      </c>
      <c r="BB173" s="170">
        <f>IF(Escenarios!$F$17&gt;0,Observaciones!$K172,0)</f>
        <v>0</v>
      </c>
      <c r="BC173" s="170">
        <f>IF(Escenarios!$F$17&gt;0,MIN(0.0005*ETo!$M172*Escenarios!$F$17*(BG172/Constantes!$F$40)^(2/3),BG172+AY173+AZ173+BA173+BB173),0)</f>
        <v>0</v>
      </c>
      <c r="BD173" s="170">
        <f>IF(Escenarios!$F$17&gt;0,MIN(Constantes!$F$39*(BG172/Constantes!$F$40)^(2/3),BG172+AY173+AZ173+BA173+BB173-BC173),0)</f>
        <v>0</v>
      </c>
      <c r="BE173" s="170">
        <f>IF(Escenarios!$F$17&gt;0,MIN(Entradas!$F$113,BG172+AY173+AZ173+BA173+BB173-BC173-BD173),0)</f>
        <v>0</v>
      </c>
      <c r="BF173" s="170">
        <f>IF(Escenarios!$F$17&gt;0,MAX(0,BG172+AY173+AZ173+BA173+BB173-BC173-BD173-BE173-Constantes!$F$40),0)</f>
        <v>0</v>
      </c>
      <c r="BG173" s="170">
        <f t="shared" si="39"/>
        <v>0</v>
      </c>
      <c r="BH173" s="170">
        <f>(Escenarios!$F$16*AK173+0.1*BC173)/(Escenarios!$F$19)</f>
        <v>0.12350670104880394</v>
      </c>
      <c r="BI173" s="170">
        <f>IF(Escenarios!$F$17&gt;0,BF173/10/Escenarios!$F$19,AL173)</f>
        <v>0</v>
      </c>
      <c r="BJ173" s="170">
        <f>(Escenarios!$F$16*AT173+0.1*BD173)/(Escenarios!$F$19)</f>
        <v>0</v>
      </c>
      <c r="BK173" s="76">
        <f>BK172+(0.1*BD173)/(Escenarios!$F$19)-BL172</f>
        <v>48.75</v>
      </c>
      <c r="BL173" s="76">
        <f>MAX(0,(BK173-Constantes!$D$13)*(1-EXP(-Constantes!$D$23)))</f>
        <v>0</v>
      </c>
      <c r="BM173" s="76">
        <f t="shared" si="40"/>
        <v>0.58279999373620217</v>
      </c>
      <c r="BN173" s="76">
        <f t="shared" si="41"/>
        <v>0.58280087921554968</v>
      </c>
      <c r="BO173" s="76">
        <f>0.0526*BI173*Observaciones!$F172^1.218</f>
        <v>0</v>
      </c>
      <c r="BP173" s="76">
        <f>BO173*Constantes!$F$51</f>
        <v>0</v>
      </c>
      <c r="BQ173" s="76">
        <f t="shared" si="42"/>
        <v>0</v>
      </c>
      <c r="BR173" s="40"/>
    </row>
    <row r="174" spans="2:70">
      <c r="B174" s="39"/>
      <c r="C174" s="75">
        <v>168</v>
      </c>
      <c r="D174" s="146">
        <f>ETo!$I173*((1-Constantes!$F$19)*ETo!$K173+ETo!$L173)</f>
        <v>2.5045826226826344</v>
      </c>
      <c r="E174" s="76">
        <f>MIN(D174*Constantes!$F$17,0.8*(N173+Observaciones!$F173-F174-M174-Constantes!$D$14))</f>
        <v>2.3631663869139177E-5</v>
      </c>
      <c r="F174" s="76">
        <f>IF(Observaciones!$F173&gt;0.05*Constantes!$F$18,((Observaciones!$F173-0.05*Constantes!$F$18)^2)/(Observaciones!$F173+0.95*Constantes!$F$18),0)</f>
        <v>0</v>
      </c>
      <c r="G174" s="76">
        <f>IF(Escenarios!$F$11&gt;0,(F174*Escenarios!$F$16*10000)/1000,0)</f>
        <v>0</v>
      </c>
      <c r="H174" s="76">
        <f>IF(Escenarios!$F$11&gt;0,(Observaciones!$F173*Constantes!$F$29)/1000,0)</f>
        <v>0</v>
      </c>
      <c r="I174" s="76">
        <f>IF(Escenarios!$F$11&gt;0,(D174*Constantes!$F$29)/1000,0)</f>
        <v>0</v>
      </c>
      <c r="J174" s="76">
        <f>IF(Escenarios!$F$11&gt;0,MAX(0,G174+H174-I174),0)</f>
        <v>0</v>
      </c>
      <c r="K174" s="76">
        <f>IF(Escenarios!$F$11&gt;0,IF(J174&gt;Constantes!$F$30,1000*((J174-Constantes!$F$30)/(Escenarios!$F$16*10000)),0),F174)</f>
        <v>0</v>
      </c>
      <c r="L174" s="76">
        <f>IF(Escenarios!$F$11&gt;0,I174*1000/Escenarios!$F$16/10000+E174,E174)</f>
        <v>2.3631663869139177E-5</v>
      </c>
      <c r="M174" s="76">
        <f>MAX(0,N173+Observaciones!$F173-K174-Constantes!$D$13)</f>
        <v>0</v>
      </c>
      <c r="N174" s="76">
        <f>N173+Observaciones!$F173-K174-L174-M174-O173</f>
        <v>11.250004901689437</v>
      </c>
      <c r="O174" s="76">
        <f>MAX(0,(N174-Constantes!$D$14)*(1-EXP(-Constantes!$D$22)))</f>
        <v>1.6696953667970882E-7</v>
      </c>
      <c r="P174" s="170">
        <f>P173+(Entradas!$F$83*M174-Q173)/(800*Entradas!$D$25)</f>
        <v>0</v>
      </c>
      <c r="Q174" s="170">
        <f>8000*Entradas!$D$26*P174/Constantes!$F$45</f>
        <v>0</v>
      </c>
      <c r="R174" s="170">
        <f>IF(Escenarios!$F$14&gt;0,K174*Escenarios!$F$13/Escenarios!$F$14,0)</f>
        <v>0</v>
      </c>
      <c r="S174" s="170">
        <f>IF(Escenarios!$F$14&gt;0,Q174*Escenarios!$F$13/Escenarios!$F$14,0)</f>
        <v>0</v>
      </c>
      <c r="T174" s="170">
        <f>IF(Escenarios!$F$14&gt;0,Observaciones!$I173,0)</f>
        <v>0</v>
      </c>
      <c r="U174" s="170">
        <f>IF(Escenarios!$F$14&gt;0,MAX(0,Constantes!$F$36/((Z173+R174+S174+T174+Observaciones!$F173)^2)+Entradas!$F$77),0)</f>
        <v>0</v>
      </c>
      <c r="V174" s="146">
        <f>IF(ETo!D173&gt;0,ETo!I173*((1-Entradas!$F$81)*ETo!K173+ETo!L173),0)</f>
        <v>2.1790957226636545</v>
      </c>
      <c r="W174" s="170">
        <f>IF(Escenarios!$F$14&gt;0,MIN(V174*1,0.8*(Z173+R174+S174+T174+Observaciones!$F173-U174-Constantes!$F$35)),0)</f>
        <v>3.2263753263350735E-5</v>
      </c>
      <c r="X174" s="170">
        <f>IF(Escenarios!$F$14&gt;0,Observaciones!$J173,0)</f>
        <v>0</v>
      </c>
      <c r="Y174" s="170">
        <f>IF(Escenarios!$F$14&gt;0,MAX(0,Z173+R174+S174+T174+Observaciones!$F173-U174-W174-X174-Constantes!$F$33),0)</f>
        <v>0</v>
      </c>
      <c r="Z174" s="170">
        <f>Z173+R174+S174+T174+Observaciones!$F173-U174-W174-Y174</f>
        <v>41.250008065938317</v>
      </c>
      <c r="AA174" s="170">
        <f>IF(Escenarios!$F$14&gt;0,(Escenarios!$F$13*L174+Escenarios!$F$14*W174)/(Escenarios!$F$16),L174)</f>
        <v>2.4667514596444564E-5</v>
      </c>
      <c r="AB174" s="170">
        <f>IF(Escenarios!$F$14&gt;0,(Escenarios!$F$14*Y174)/(Escenarios!$F$16),K174)</f>
        <v>0</v>
      </c>
      <c r="AC174" s="170">
        <f>IF(Escenarios!$F$14&gt;0,(Escenarios!$F$13*M174+Escenarios!$F$14*U174)/(Escenarios!$F$16),M174)</f>
        <v>0</v>
      </c>
      <c r="AD174" s="76">
        <f t="shared" si="29"/>
        <v>101.49839639446525</v>
      </c>
      <c r="AE174" s="76">
        <f>MAX(0,(AD174-Constantes!$D$13)*(1-EXP(-Constantes!$D$23)))</f>
        <v>0.51974251336385358</v>
      </c>
      <c r="AF174" s="76">
        <f>AB174+O174*Escenarios!$F$13/Escenarios!$F$16+AE174</f>
        <v>0.51974266029704586</v>
      </c>
      <c r="AG174" s="76">
        <f>IF(Entradas!$F$91&gt;0,IF(AF174-Escenarios!$F$38&lt;=0,0,IF(AF174-Escenarios!$F$38&gt;Escenarios!$F$37,Escenarios!$F$37,AF174-Escenarios!$F$38)),0)</f>
        <v>0</v>
      </c>
      <c r="AH174" s="76">
        <f>AG174*Entradas!$F$99</f>
        <v>0</v>
      </c>
      <c r="AI174" s="76">
        <f>IF(Entradas!$F$91&gt;0,D174*Entradas!$D$23/Escenarios!$F$16,0)</f>
        <v>0.12021996588876645</v>
      </c>
      <c r="AJ174" s="76">
        <f>IF(Entradas!$F$91&gt;0,Entradas!$D$24*Entradas!$D$22/Escenarios!$F$16,0)</f>
        <v>0.12</v>
      </c>
      <c r="AK174" s="76">
        <f t="shared" si="30"/>
        <v>0.12024463340336289</v>
      </c>
      <c r="AL174" s="76">
        <f t="shared" si="31"/>
        <v>0</v>
      </c>
      <c r="AM174" s="76">
        <f t="shared" si="32"/>
        <v>0</v>
      </c>
      <c r="AN174" s="76">
        <f>MAX(0,O174*Escenarios!$F$13/Escenarios!$F$16-AM174)</f>
        <v>1.4693319227814377E-7</v>
      </c>
      <c r="AO174" s="76">
        <f>AM174+AN174-O174*Escenarios!$F$13/Escenarios!$F$16</f>
        <v>0</v>
      </c>
      <c r="AP174" s="76">
        <f t="shared" si="33"/>
        <v>0.51974251336385358</v>
      </c>
      <c r="AQ174" s="76">
        <f t="shared" si="34"/>
        <v>0</v>
      </c>
      <c r="AR174" s="76">
        <f t="shared" si="35"/>
        <v>0.51974266029704586</v>
      </c>
      <c r="AS174" s="76">
        <f t="shared" si="36"/>
        <v>0</v>
      </c>
      <c r="AT174" s="76">
        <f t="shared" si="37"/>
        <v>0</v>
      </c>
      <c r="AU174" s="76">
        <f t="shared" si="38"/>
        <v>52.47912384894731</v>
      </c>
      <c r="AV174" s="76">
        <f>MAX(0,(AU174-Constantes!$D$13)*(1-EXP(-Constantes!$D$24)))</f>
        <v>5.7000579369264406E-2</v>
      </c>
      <c r="AW174" s="170">
        <f>AW173+(Entradas!$F$112*AT174-AX173)/(800*Entradas!$D$25)</f>
        <v>0</v>
      </c>
      <c r="AX174" s="170">
        <f>8000*Entradas!$D$26*AW174/Constantes!$F$45</f>
        <v>0</v>
      </c>
      <c r="AY174" s="170">
        <f>IF(Escenarios!$F$17&gt;0,10*Escenarios!$F$16*AL174,0)</f>
        <v>0</v>
      </c>
      <c r="AZ174" s="170">
        <f>IF(Escenarios!$F$17&gt;0,10*Escenarios!$F$16*AX174,0)</f>
        <v>0</v>
      </c>
      <c r="BA174" s="170">
        <f>IF(Escenarios!$F$17&gt;0,0.001*Observaciones!$F173*Escenarios!$F$17,0)</f>
        <v>0</v>
      </c>
      <c r="BB174" s="170">
        <f>IF(Escenarios!$F$17&gt;0,Observaciones!$K173,0)</f>
        <v>0</v>
      </c>
      <c r="BC174" s="170">
        <f>IF(Escenarios!$F$17&gt;0,MIN(0.0005*ETo!$M173*Escenarios!$F$17*(BG173/Constantes!$F$40)^(2/3),BG173+AY174+AZ174+BA174+BB174),0)</f>
        <v>0</v>
      </c>
      <c r="BD174" s="170">
        <f>IF(Escenarios!$F$17&gt;0,MIN(Constantes!$F$39*(BG173/Constantes!$F$40)^(2/3),BG173+AY174+AZ174+BA174+BB174-BC174),0)</f>
        <v>0</v>
      </c>
      <c r="BE174" s="170">
        <f>IF(Escenarios!$F$17&gt;0,MIN(Entradas!$F$113,BG173+AY174+AZ174+BA174+BB174-BC174-BD174),0)</f>
        <v>0</v>
      </c>
      <c r="BF174" s="170">
        <f>IF(Escenarios!$F$17&gt;0,MAX(0,BG173+AY174+AZ174+BA174+BB174-BC174-BD174-BE174-Constantes!$F$40),0)</f>
        <v>0</v>
      </c>
      <c r="BG174" s="170">
        <f t="shared" si="39"/>
        <v>0</v>
      </c>
      <c r="BH174" s="170">
        <f>(Escenarios!$F$16*AK174+0.1*BC174)/(Escenarios!$F$19)</f>
        <v>0.12024463340336289</v>
      </c>
      <c r="BI174" s="170">
        <f>IF(Escenarios!$F$17&gt;0,BF174/10/Escenarios!$F$19,AL174)</f>
        <v>0</v>
      </c>
      <c r="BJ174" s="170">
        <f>(Escenarios!$F$16*AT174+0.1*BD174)/(Escenarios!$F$19)</f>
        <v>0</v>
      </c>
      <c r="BK174" s="76">
        <f>BK173+(0.1*BD174)/(Escenarios!$F$19)-BL173</f>
        <v>48.75</v>
      </c>
      <c r="BL174" s="76">
        <f>MAX(0,(BK174-Constantes!$D$13)*(1-EXP(-Constantes!$D$23)))</f>
        <v>0</v>
      </c>
      <c r="BM174" s="76">
        <f t="shared" si="40"/>
        <v>0.57674309273311797</v>
      </c>
      <c r="BN174" s="76">
        <f t="shared" si="41"/>
        <v>0.57674323966631025</v>
      </c>
      <c r="BO174" s="76">
        <f>0.0526*BI174*Observaciones!$F173^1.218</f>
        <v>0</v>
      </c>
      <c r="BP174" s="76">
        <f>BO174*Constantes!$F$51</f>
        <v>0</v>
      </c>
      <c r="BQ174" s="76">
        <f t="shared" si="42"/>
        <v>0</v>
      </c>
      <c r="BR174" s="40"/>
    </row>
    <row r="175" spans="2:70">
      <c r="B175" s="39"/>
      <c r="C175" s="75">
        <v>169</v>
      </c>
      <c r="D175" s="146">
        <f>ETo!$I174*((1-Constantes!$F$19)*ETo!$K174+ETo!$L174)</f>
        <v>2.4875394646304025</v>
      </c>
      <c r="E175" s="76">
        <f>MIN(D175*Constantes!$F$17,0.8*(N174+Observaciones!$F174-F175-M175-Constantes!$D$14))</f>
        <v>3.9213515492519946E-6</v>
      </c>
      <c r="F175" s="76">
        <f>IF(Observaciones!$F174&gt;0.05*Constantes!$F$18,((Observaciones!$F174-0.05*Constantes!$F$18)^2)/(Observaciones!$F174+0.95*Constantes!$F$18),0)</f>
        <v>0</v>
      </c>
      <c r="G175" s="76">
        <f>IF(Escenarios!$F$11&gt;0,(F175*Escenarios!$F$16*10000)/1000,0)</f>
        <v>0</v>
      </c>
      <c r="H175" s="76">
        <f>IF(Escenarios!$F$11&gt;0,(Observaciones!$F174*Constantes!$F$29)/1000,0)</f>
        <v>0</v>
      </c>
      <c r="I175" s="76">
        <f>IF(Escenarios!$F$11&gt;0,(D175*Constantes!$F$29)/1000,0)</f>
        <v>0</v>
      </c>
      <c r="J175" s="76">
        <f>IF(Escenarios!$F$11&gt;0,MAX(0,G175+H175-I175),0)</f>
        <v>0</v>
      </c>
      <c r="K175" s="76">
        <f>IF(Escenarios!$F$11&gt;0,IF(J175&gt;Constantes!$F$30,1000*((J175-Constantes!$F$30)/(Escenarios!$F$16*10000)),0),F175)</f>
        <v>0</v>
      </c>
      <c r="L175" s="76">
        <f>IF(Escenarios!$F$11&gt;0,I175*1000/Escenarios!$F$16/10000+E175,E175)</f>
        <v>3.9213515492519946E-6</v>
      </c>
      <c r="M175" s="76">
        <f>MAX(0,N174+Observaciones!$F174-K175-Constantes!$D$13)</f>
        <v>0</v>
      </c>
      <c r="N175" s="76">
        <f>N174+Observaciones!$F174-K175-L175-M175-O174</f>
        <v>11.25000081336835</v>
      </c>
      <c r="O175" s="76">
        <f>MAX(0,(N175-Constantes!$D$14)*(1-EXP(-Constantes!$D$22)))</f>
        <v>2.77063119526578E-8</v>
      </c>
      <c r="P175" s="170">
        <f>P174+(Entradas!$F$83*M175-Q174)/(800*Entradas!$D$25)</f>
        <v>0</v>
      </c>
      <c r="Q175" s="170">
        <f>8000*Entradas!$D$26*P175/Constantes!$F$45</f>
        <v>0</v>
      </c>
      <c r="R175" s="170">
        <f>IF(Escenarios!$F$14&gt;0,K175*Escenarios!$F$13/Escenarios!$F$14,0)</f>
        <v>0</v>
      </c>
      <c r="S175" s="170">
        <f>IF(Escenarios!$F$14&gt;0,Q175*Escenarios!$F$13/Escenarios!$F$14,0)</f>
        <v>0</v>
      </c>
      <c r="T175" s="170">
        <f>IF(Escenarios!$F$14&gt;0,Observaciones!$I174,0)</f>
        <v>0</v>
      </c>
      <c r="U175" s="170">
        <f>IF(Escenarios!$F$14&gt;0,MAX(0,Constantes!$F$36/((Z174+R175+S175+T175+Observaciones!$F174)^2)+Entradas!$F$77),0)</f>
        <v>0</v>
      </c>
      <c r="V175" s="146">
        <f>IF(ETo!D174&gt;0,ETo!I174*((1-Entradas!$F$81)*ETo!K174+ETo!L174),0)</f>
        <v>2.1640766299030774</v>
      </c>
      <c r="W175" s="170">
        <f>IF(Escenarios!$F$14&gt;0,MIN(V175*1,0.8*(Z174+R175+S175+T175+Observaciones!$F174-U175-Constantes!$F$35)),0)</f>
        <v>6.4527506538070156E-6</v>
      </c>
      <c r="X175" s="170">
        <f>IF(Escenarios!$F$14&gt;0,Observaciones!$J174,0)</f>
        <v>0</v>
      </c>
      <c r="Y175" s="170">
        <f>IF(Escenarios!$F$14&gt;0,MAX(0,Z174+R175+S175+T175+Observaciones!$F174-U175-W175-X175-Constantes!$F$33),0)</f>
        <v>0</v>
      </c>
      <c r="Z175" s="170">
        <f>Z174+R175+S175+T175+Observaciones!$F174-U175-W175-Y175</f>
        <v>41.250001613187663</v>
      </c>
      <c r="AA175" s="170">
        <f>IF(Escenarios!$F$14&gt;0,(Escenarios!$F$13*L175+Escenarios!$F$14*W175)/(Escenarios!$F$16),L175)</f>
        <v>4.2251194417985972E-6</v>
      </c>
      <c r="AB175" s="170">
        <f>IF(Escenarios!$F$14&gt;0,(Escenarios!$F$14*Y175)/(Escenarios!$F$16),K175)</f>
        <v>0</v>
      </c>
      <c r="AC175" s="170">
        <f>IF(Escenarios!$F$14&gt;0,(Escenarios!$F$13*M175+Escenarios!$F$14*U175)/(Escenarios!$F$16),M175)</f>
        <v>0</v>
      </c>
      <c r="AD175" s="76">
        <f t="shared" si="29"/>
        <v>100.97865388110139</v>
      </c>
      <c r="AE175" s="76">
        <f>MAX(0,(AD175-Constantes!$D$13)*(1-EXP(-Constantes!$D$23)))</f>
        <v>0.51462136658665747</v>
      </c>
      <c r="AF175" s="76">
        <f>AB175+O175*Escenarios!$F$13/Escenarios!$F$16+AE175</f>
        <v>0.51462139096821202</v>
      </c>
      <c r="AG175" s="76">
        <f>IF(Entradas!$F$91&gt;0,IF(AF175-Escenarios!$F$38&lt;=0,0,IF(AF175-Escenarios!$F$38&gt;Escenarios!$F$37,Escenarios!$F$37,AF175-Escenarios!$F$38)),0)</f>
        <v>0</v>
      </c>
      <c r="AH175" s="76">
        <f>AG175*Entradas!$F$99</f>
        <v>0</v>
      </c>
      <c r="AI175" s="76">
        <f>IF(Entradas!$F$91&gt;0,D175*Entradas!$D$23/Escenarios!$F$16,0)</f>
        <v>0.11940189430225932</v>
      </c>
      <c r="AJ175" s="76">
        <f>IF(Entradas!$F$91&gt;0,Entradas!$D$24*Entradas!$D$22/Escenarios!$F$16,0)</f>
        <v>0.12</v>
      </c>
      <c r="AK175" s="76">
        <f t="shared" si="30"/>
        <v>0.11940611942170112</v>
      </c>
      <c r="AL175" s="76">
        <f t="shared" si="31"/>
        <v>0</v>
      </c>
      <c r="AM175" s="76">
        <f t="shared" si="32"/>
        <v>0</v>
      </c>
      <c r="AN175" s="76">
        <f>MAX(0,O175*Escenarios!$F$13/Escenarios!$F$16-AM175)</f>
        <v>2.4381554518338867E-8</v>
      </c>
      <c r="AO175" s="76">
        <f>AM175+AN175-O175*Escenarios!$F$13/Escenarios!$F$16</f>
        <v>0</v>
      </c>
      <c r="AP175" s="76">
        <f t="shared" si="33"/>
        <v>0.51462136658665747</v>
      </c>
      <c r="AQ175" s="76">
        <f t="shared" si="34"/>
        <v>0</v>
      </c>
      <c r="AR175" s="76">
        <f t="shared" si="35"/>
        <v>0.51462139096821202</v>
      </c>
      <c r="AS175" s="76">
        <f t="shared" si="36"/>
        <v>0</v>
      </c>
      <c r="AT175" s="76">
        <f t="shared" si="37"/>
        <v>0</v>
      </c>
      <c r="AU175" s="76">
        <f t="shared" si="38"/>
        <v>52.422123269578044</v>
      </c>
      <c r="AV175" s="76">
        <f>MAX(0,(AU175-Constantes!$D$13)*(1-EXP(-Constantes!$D$24)))</f>
        <v>5.6129311430724617E-2</v>
      </c>
      <c r="AW175" s="170">
        <f>AW174+(Entradas!$F$112*AT175-AX174)/(800*Entradas!$D$25)</f>
        <v>0</v>
      </c>
      <c r="AX175" s="170">
        <f>8000*Entradas!$D$26*AW175/Constantes!$F$45</f>
        <v>0</v>
      </c>
      <c r="AY175" s="170">
        <f>IF(Escenarios!$F$17&gt;0,10*Escenarios!$F$16*AL175,0)</f>
        <v>0</v>
      </c>
      <c r="AZ175" s="170">
        <f>IF(Escenarios!$F$17&gt;0,10*Escenarios!$F$16*AX175,0)</f>
        <v>0</v>
      </c>
      <c r="BA175" s="170">
        <f>IF(Escenarios!$F$17&gt;0,0.001*Observaciones!$F174*Escenarios!$F$17,0)</f>
        <v>0</v>
      </c>
      <c r="BB175" s="170">
        <f>IF(Escenarios!$F$17&gt;0,Observaciones!$K174,0)</f>
        <v>0</v>
      </c>
      <c r="BC175" s="170">
        <f>IF(Escenarios!$F$17&gt;0,MIN(0.0005*ETo!$M174*Escenarios!$F$17*(BG174/Constantes!$F$40)^(2/3),BG174+AY175+AZ175+BA175+BB175),0)</f>
        <v>0</v>
      </c>
      <c r="BD175" s="170">
        <f>IF(Escenarios!$F$17&gt;0,MIN(Constantes!$F$39*(BG174/Constantes!$F$40)^(2/3),BG174+AY175+AZ175+BA175+BB175-BC175),0)</f>
        <v>0</v>
      </c>
      <c r="BE175" s="170">
        <f>IF(Escenarios!$F$17&gt;0,MIN(Entradas!$F$113,BG174+AY175+AZ175+BA175+BB175-BC175-BD175),0)</f>
        <v>0</v>
      </c>
      <c r="BF175" s="170">
        <f>IF(Escenarios!$F$17&gt;0,MAX(0,BG174+AY175+AZ175+BA175+BB175-BC175-BD175-BE175-Constantes!$F$40),0)</f>
        <v>0</v>
      </c>
      <c r="BG175" s="170">
        <f t="shared" si="39"/>
        <v>0</v>
      </c>
      <c r="BH175" s="170">
        <f>(Escenarios!$F$16*AK175+0.1*BC175)/(Escenarios!$F$19)</f>
        <v>0.11940611942170112</v>
      </c>
      <c r="BI175" s="170">
        <f>IF(Escenarios!$F$17&gt;0,BF175/10/Escenarios!$F$19,AL175)</f>
        <v>0</v>
      </c>
      <c r="BJ175" s="170">
        <f>(Escenarios!$F$16*AT175+0.1*BD175)/(Escenarios!$F$19)</f>
        <v>0</v>
      </c>
      <c r="BK175" s="76">
        <f>BK174+(0.1*BD175)/(Escenarios!$F$19)-BL174</f>
        <v>48.75</v>
      </c>
      <c r="BL175" s="76">
        <f>MAX(0,(BK175-Constantes!$D$13)*(1-EXP(-Constantes!$D$23)))</f>
        <v>0</v>
      </c>
      <c r="BM175" s="76">
        <f t="shared" si="40"/>
        <v>0.57075067801738211</v>
      </c>
      <c r="BN175" s="76">
        <f t="shared" si="41"/>
        <v>0.57075070239893666</v>
      </c>
      <c r="BO175" s="76">
        <f>0.0526*BI175*Observaciones!$F174^1.218</f>
        <v>0</v>
      </c>
      <c r="BP175" s="76">
        <f>BO175*Constantes!$F$51</f>
        <v>0</v>
      </c>
      <c r="BQ175" s="76">
        <f t="shared" si="42"/>
        <v>0</v>
      </c>
      <c r="BR175" s="40"/>
    </row>
    <row r="176" spans="2:70">
      <c r="B176" s="39"/>
      <c r="C176" s="75">
        <v>170</v>
      </c>
      <c r="D176" s="146">
        <f>ETo!$I175*((1-Constantes!$F$19)*ETo!$K175+ETo!$L175)</f>
        <v>2.4917556063442432</v>
      </c>
      <c r="E176" s="76">
        <f>MIN(D176*Constantes!$F$17,0.8*(N175+Observaciones!$F175-F176-M176-Constantes!$D$14))</f>
        <v>6.5069468035972022E-7</v>
      </c>
      <c r="F176" s="76">
        <f>IF(Observaciones!$F175&gt;0.05*Constantes!$F$18,((Observaciones!$F175-0.05*Constantes!$F$18)^2)/(Observaciones!$F175+0.95*Constantes!$F$18),0)</f>
        <v>0</v>
      </c>
      <c r="G176" s="76">
        <f>IF(Escenarios!$F$11&gt;0,(F176*Escenarios!$F$16*10000)/1000,0)</f>
        <v>0</v>
      </c>
      <c r="H176" s="76">
        <f>IF(Escenarios!$F$11&gt;0,(Observaciones!$F175*Constantes!$F$29)/1000,0)</f>
        <v>0</v>
      </c>
      <c r="I176" s="76">
        <f>IF(Escenarios!$F$11&gt;0,(D176*Constantes!$F$29)/1000,0)</f>
        <v>0</v>
      </c>
      <c r="J176" s="76">
        <f>IF(Escenarios!$F$11&gt;0,MAX(0,G176+H176-I176),0)</f>
        <v>0</v>
      </c>
      <c r="K176" s="76">
        <f>IF(Escenarios!$F$11&gt;0,IF(J176&gt;Constantes!$F$30,1000*((J176-Constantes!$F$30)/(Escenarios!$F$16*10000)),0),F176)</f>
        <v>0</v>
      </c>
      <c r="L176" s="76">
        <f>IF(Escenarios!$F$11&gt;0,I176*1000/Escenarios!$F$16/10000+E176,E176)</f>
        <v>6.5069468035972022E-7</v>
      </c>
      <c r="M176" s="76">
        <f>MAX(0,N175+Observaciones!$F175-K176-Constantes!$D$13)</f>
        <v>0</v>
      </c>
      <c r="N176" s="76">
        <f>N175+Observaciones!$F175-K176-L176-M176-O175</f>
        <v>11.250000134967358</v>
      </c>
      <c r="O176" s="76">
        <f>MAX(0,(N176-Constantes!$D$14)*(1-EXP(-Constantes!$D$22)))</f>
        <v>4.5974836948759355E-9</v>
      </c>
      <c r="P176" s="170">
        <f>P175+(Entradas!$F$83*M176-Q175)/(800*Entradas!$D$25)</f>
        <v>0</v>
      </c>
      <c r="Q176" s="170">
        <f>8000*Entradas!$D$26*P176/Constantes!$F$45</f>
        <v>0</v>
      </c>
      <c r="R176" s="170">
        <f>IF(Escenarios!$F$14&gt;0,K176*Escenarios!$F$13/Escenarios!$F$14,0)</f>
        <v>0</v>
      </c>
      <c r="S176" s="170">
        <f>IF(Escenarios!$F$14&gt;0,Q176*Escenarios!$F$13/Escenarios!$F$14,0)</f>
        <v>0</v>
      </c>
      <c r="T176" s="170">
        <f>IF(Escenarios!$F$14&gt;0,Observaciones!$I175,0)</f>
        <v>0</v>
      </c>
      <c r="U176" s="170">
        <f>IF(Escenarios!$F$14&gt;0,MAX(0,Constantes!$F$36/((Z175+R176+S176+T176+Observaciones!$F175)^2)+Entradas!$F$77),0)</f>
        <v>0</v>
      </c>
      <c r="V176" s="146">
        <f>IF(ETo!D175&gt;0,ETo!I175*((1-Entradas!$F$81)*ETo!K175+ETo!L175),0)</f>
        <v>2.1676970332017769</v>
      </c>
      <c r="W176" s="170">
        <f>IF(Escenarios!$F$14&gt;0,MIN(V176*1,0.8*(Z175+R176+S176+T176+Observaciones!$F175-U176-Constantes!$F$35)),0)</f>
        <v>1.2905501307614031E-6</v>
      </c>
      <c r="X176" s="170">
        <f>IF(Escenarios!$F$14&gt;0,Observaciones!$J175,0)</f>
        <v>0</v>
      </c>
      <c r="Y176" s="170">
        <f>IF(Escenarios!$F$14&gt;0,MAX(0,Z175+R176+S176+T176+Observaciones!$F175-U176-W176-X176-Constantes!$F$33),0)</f>
        <v>0</v>
      </c>
      <c r="Z176" s="170">
        <f>Z175+R176+S176+T176+Observaciones!$F175-U176-W176-Y176</f>
        <v>41.250000322637533</v>
      </c>
      <c r="AA176" s="170">
        <f>IF(Escenarios!$F$14&gt;0,(Escenarios!$F$13*L176+Escenarios!$F$14*W176)/(Escenarios!$F$16),L176)</f>
        <v>7.2747733440792214E-7</v>
      </c>
      <c r="AB176" s="170">
        <f>IF(Escenarios!$F$14&gt;0,(Escenarios!$F$14*Y176)/(Escenarios!$F$16),K176)</f>
        <v>0</v>
      </c>
      <c r="AC176" s="170">
        <f>IF(Escenarios!$F$14&gt;0,(Escenarios!$F$13*M176+Escenarios!$F$14*U176)/(Escenarios!$F$16),M176)</f>
        <v>0</v>
      </c>
      <c r="AD176" s="76">
        <f t="shared" si="29"/>
        <v>100.46403251451474</v>
      </c>
      <c r="AE176" s="76">
        <f>MAX(0,(AD176-Constantes!$D$13)*(1-EXP(-Constantes!$D$23)))</f>
        <v>0.50955067968841938</v>
      </c>
      <c r="AF176" s="76">
        <f>AB176+O176*Escenarios!$F$13/Escenarios!$F$16+AE176</f>
        <v>0.50955068373420509</v>
      </c>
      <c r="AG176" s="76">
        <f>IF(Entradas!$F$91&gt;0,IF(AF176-Escenarios!$F$38&lt;=0,0,IF(AF176-Escenarios!$F$38&gt;Escenarios!$F$37,Escenarios!$F$37,AF176-Escenarios!$F$38)),0)</f>
        <v>0</v>
      </c>
      <c r="AH176" s="76">
        <f>AG176*Entradas!$F$99</f>
        <v>0</v>
      </c>
      <c r="AI176" s="76">
        <f>IF(Entradas!$F$91&gt;0,D176*Entradas!$D$23/Escenarios!$F$16,0)</f>
        <v>0.11960426910452367</v>
      </c>
      <c r="AJ176" s="76">
        <f>IF(Entradas!$F$91&gt;0,Entradas!$D$24*Entradas!$D$22/Escenarios!$F$16,0)</f>
        <v>0.12</v>
      </c>
      <c r="AK176" s="76">
        <f t="shared" si="30"/>
        <v>0.11960499658185808</v>
      </c>
      <c r="AL176" s="76">
        <f t="shared" si="31"/>
        <v>0</v>
      </c>
      <c r="AM176" s="76">
        <f t="shared" si="32"/>
        <v>0</v>
      </c>
      <c r="AN176" s="76">
        <f>MAX(0,O176*Escenarios!$F$13/Escenarios!$F$16-AM176)</f>
        <v>4.0457856514908233E-9</v>
      </c>
      <c r="AO176" s="76">
        <f>AM176+AN176-O176*Escenarios!$F$13/Escenarios!$F$16</f>
        <v>0</v>
      </c>
      <c r="AP176" s="76">
        <f t="shared" si="33"/>
        <v>0.50955067968841938</v>
      </c>
      <c r="AQ176" s="76">
        <f t="shared" si="34"/>
        <v>0</v>
      </c>
      <c r="AR176" s="76">
        <f t="shared" si="35"/>
        <v>0.50955068373420509</v>
      </c>
      <c r="AS176" s="76">
        <f t="shared" si="36"/>
        <v>0</v>
      </c>
      <c r="AT176" s="76">
        <f t="shared" si="37"/>
        <v>0</v>
      </c>
      <c r="AU176" s="76">
        <f t="shared" si="38"/>
        <v>52.365993958147321</v>
      </c>
      <c r="AV176" s="76">
        <f>MAX(0,(AU176-Constantes!$D$13)*(1-EXP(-Constantes!$D$24)))</f>
        <v>5.5271361037885755E-2</v>
      </c>
      <c r="AW176" s="170">
        <f>AW175+(Entradas!$F$112*AT176-AX175)/(800*Entradas!$D$25)</f>
        <v>0</v>
      </c>
      <c r="AX176" s="170">
        <f>8000*Entradas!$D$26*AW176/Constantes!$F$45</f>
        <v>0</v>
      </c>
      <c r="AY176" s="170">
        <f>IF(Escenarios!$F$17&gt;0,10*Escenarios!$F$16*AL176,0)</f>
        <v>0</v>
      </c>
      <c r="AZ176" s="170">
        <f>IF(Escenarios!$F$17&gt;0,10*Escenarios!$F$16*AX176,0)</f>
        <v>0</v>
      </c>
      <c r="BA176" s="170">
        <f>IF(Escenarios!$F$17&gt;0,0.001*Observaciones!$F175*Escenarios!$F$17,0)</f>
        <v>0</v>
      </c>
      <c r="BB176" s="170">
        <f>IF(Escenarios!$F$17&gt;0,Observaciones!$K175,0)</f>
        <v>0</v>
      </c>
      <c r="BC176" s="170">
        <f>IF(Escenarios!$F$17&gt;0,MIN(0.0005*ETo!$M175*Escenarios!$F$17*(BG175/Constantes!$F$40)^(2/3),BG175+AY176+AZ176+BA176+BB176),0)</f>
        <v>0</v>
      </c>
      <c r="BD176" s="170">
        <f>IF(Escenarios!$F$17&gt;0,MIN(Constantes!$F$39*(BG175/Constantes!$F$40)^(2/3),BG175+AY176+AZ176+BA176+BB176-BC176),0)</f>
        <v>0</v>
      </c>
      <c r="BE176" s="170">
        <f>IF(Escenarios!$F$17&gt;0,MIN(Entradas!$F$113,BG175+AY176+AZ176+BA176+BB176-BC176-BD176),0)</f>
        <v>0</v>
      </c>
      <c r="BF176" s="170">
        <f>IF(Escenarios!$F$17&gt;0,MAX(0,BG175+AY176+AZ176+BA176+BB176-BC176-BD176-BE176-Constantes!$F$40),0)</f>
        <v>0</v>
      </c>
      <c r="BG176" s="170">
        <f t="shared" si="39"/>
        <v>0</v>
      </c>
      <c r="BH176" s="170">
        <f>(Escenarios!$F$16*AK176+0.1*BC176)/(Escenarios!$F$19)</f>
        <v>0.11960499658185808</v>
      </c>
      <c r="BI176" s="170">
        <f>IF(Escenarios!$F$17&gt;0,BF176/10/Escenarios!$F$19,AL176)</f>
        <v>0</v>
      </c>
      <c r="BJ176" s="170">
        <f>(Escenarios!$F$16*AT176+0.1*BD176)/(Escenarios!$F$19)</f>
        <v>0</v>
      </c>
      <c r="BK176" s="76">
        <f>BK175+(0.1*BD176)/(Escenarios!$F$19)-BL175</f>
        <v>48.75</v>
      </c>
      <c r="BL176" s="76">
        <f>MAX(0,(BK176-Constantes!$D$13)*(1-EXP(-Constantes!$D$23)))</f>
        <v>0</v>
      </c>
      <c r="BM176" s="76">
        <f t="shared" si="40"/>
        <v>0.56482204072630515</v>
      </c>
      <c r="BN176" s="76">
        <f t="shared" si="41"/>
        <v>0.56482204477209086</v>
      </c>
      <c r="BO176" s="76">
        <f>0.0526*BI176*Observaciones!$F175^1.218</f>
        <v>0</v>
      </c>
      <c r="BP176" s="76">
        <f>BO176*Constantes!$F$51</f>
        <v>0</v>
      </c>
      <c r="BQ176" s="76">
        <f t="shared" si="42"/>
        <v>0</v>
      </c>
      <c r="BR176" s="40"/>
    </row>
    <row r="177" spans="2:70">
      <c r="B177" s="39"/>
      <c r="C177" s="75">
        <v>171</v>
      </c>
      <c r="D177" s="146">
        <f>ETo!$I176*((1-Constantes!$F$19)*ETo!$K176+ETo!$L176)</f>
        <v>2.5202180558245573</v>
      </c>
      <c r="E177" s="76">
        <f>MIN(D177*Constantes!$F$17,0.8*(N176+Observaciones!$F176-F177-M177-Constantes!$D$14))</f>
        <v>1.0797388654282259E-7</v>
      </c>
      <c r="F177" s="76">
        <f>IF(Observaciones!$F176&gt;0.05*Constantes!$F$18,((Observaciones!$F176-0.05*Constantes!$F$18)^2)/(Observaciones!$F176+0.95*Constantes!$F$18),0)</f>
        <v>0</v>
      </c>
      <c r="G177" s="76">
        <f>IF(Escenarios!$F$11&gt;0,(F177*Escenarios!$F$16*10000)/1000,0)</f>
        <v>0</v>
      </c>
      <c r="H177" s="76">
        <f>IF(Escenarios!$F$11&gt;0,(Observaciones!$F176*Constantes!$F$29)/1000,0)</f>
        <v>0</v>
      </c>
      <c r="I177" s="76">
        <f>IF(Escenarios!$F$11&gt;0,(D177*Constantes!$F$29)/1000,0)</f>
        <v>0</v>
      </c>
      <c r="J177" s="76">
        <f>IF(Escenarios!$F$11&gt;0,MAX(0,G177+H177-I177),0)</f>
        <v>0</v>
      </c>
      <c r="K177" s="76">
        <f>IF(Escenarios!$F$11&gt;0,IF(J177&gt;Constantes!$F$30,1000*((J177-Constantes!$F$30)/(Escenarios!$F$16*10000)),0),F177)</f>
        <v>0</v>
      </c>
      <c r="L177" s="76">
        <f>IF(Escenarios!$F$11&gt;0,I177*1000/Escenarios!$F$16/10000+E177,E177)</f>
        <v>1.0797388654282259E-7</v>
      </c>
      <c r="M177" s="76">
        <f>MAX(0,N176+Observaciones!$F176-K177-Constantes!$D$13)</f>
        <v>0</v>
      </c>
      <c r="N177" s="76">
        <f>N176+Observaciones!$F176-K177-L177-M177-O176</f>
        <v>11.250000022395989</v>
      </c>
      <c r="O177" s="76">
        <f>MAX(0,(N177-Constantes!$D$14)*(1-EXP(-Constantes!$D$22)))</f>
        <v>7.6288960485446505E-10</v>
      </c>
      <c r="P177" s="170">
        <f>P176+(Entradas!$F$83*M177-Q176)/(800*Entradas!$D$25)</f>
        <v>0</v>
      </c>
      <c r="Q177" s="170">
        <f>8000*Entradas!$D$26*P177/Constantes!$F$45</f>
        <v>0</v>
      </c>
      <c r="R177" s="170">
        <f>IF(Escenarios!$F$14&gt;0,K177*Escenarios!$F$13/Escenarios!$F$14,0)</f>
        <v>0</v>
      </c>
      <c r="S177" s="170">
        <f>IF(Escenarios!$F$14&gt;0,Q177*Escenarios!$F$13/Escenarios!$F$14,0)</f>
        <v>0</v>
      </c>
      <c r="T177" s="170">
        <f>IF(Escenarios!$F$14&gt;0,Observaciones!$I176,0)</f>
        <v>0</v>
      </c>
      <c r="U177" s="170">
        <f>IF(Escenarios!$F$14&gt;0,MAX(0,Constantes!$F$36/((Z176+R177+S177+T177+Observaciones!$F176)^2)+Entradas!$F$77),0)</f>
        <v>0</v>
      </c>
      <c r="V177" s="146">
        <f>IF(ETo!D176&gt;0,ETo!I176*((1-Entradas!$F$81)*ETo!K176+ETo!L176),0)</f>
        <v>2.1925985390516654</v>
      </c>
      <c r="W177" s="170">
        <f>IF(Escenarios!$F$14&gt;0,MIN(V177*1,0.8*(Z176+R177+S177+T177+Observaciones!$F176-U177-Constantes!$F$35)),0)</f>
        <v>2.5811002615228066E-7</v>
      </c>
      <c r="X177" s="170">
        <f>IF(Escenarios!$F$14&gt;0,Observaciones!$J176,0)</f>
        <v>0</v>
      </c>
      <c r="Y177" s="170">
        <f>IF(Escenarios!$F$14&gt;0,MAX(0,Z176+R177+S177+T177+Observaciones!$F176-U177-W177-X177-Constantes!$F$33),0)</f>
        <v>0</v>
      </c>
      <c r="Z177" s="170">
        <f>Z176+R177+S177+T177+Observaciones!$F176-U177-W177-Y177</f>
        <v>41.250000064527505</v>
      </c>
      <c r="AA177" s="170">
        <f>IF(Escenarios!$F$14&gt;0,(Escenarios!$F$13*L177+Escenarios!$F$14*W177)/(Escenarios!$F$16),L177)</f>
        <v>1.2599022329595757E-7</v>
      </c>
      <c r="AB177" s="170">
        <f>IF(Escenarios!$F$14&gt;0,(Escenarios!$F$14*Y177)/(Escenarios!$F$16),K177)</f>
        <v>0</v>
      </c>
      <c r="AC177" s="170">
        <f>IF(Escenarios!$F$14&gt;0,(Escenarios!$F$13*M177+Escenarios!$F$14*U177)/(Escenarios!$F$16),M177)</f>
        <v>0</v>
      </c>
      <c r="AD177" s="76">
        <f t="shared" si="29"/>
        <v>99.954481834826325</v>
      </c>
      <c r="AE177" s="76">
        <f>MAX(0,(AD177-Constantes!$D$13)*(1-EXP(-Constantes!$D$23)))</f>
        <v>0.50452995547593305</v>
      </c>
      <c r="AF177" s="76">
        <f>AB177+O177*Escenarios!$F$13/Escenarios!$F$16+AE177</f>
        <v>0.50452995614727592</v>
      </c>
      <c r="AG177" s="76">
        <f>IF(Entradas!$F$91&gt;0,IF(AF177-Escenarios!$F$38&lt;=0,0,IF(AF177-Escenarios!$F$38&gt;Escenarios!$F$37,Escenarios!$F$37,AF177-Escenarios!$F$38)),0)</f>
        <v>0</v>
      </c>
      <c r="AH177" s="76">
        <f>AG177*Entradas!$F$99</f>
        <v>0</v>
      </c>
      <c r="AI177" s="76">
        <f>IF(Entradas!$F$91&gt;0,D177*Entradas!$D$23/Escenarios!$F$16,0)</f>
        <v>0.12097046667957875</v>
      </c>
      <c r="AJ177" s="76">
        <f>IF(Entradas!$F$91&gt;0,Entradas!$D$24*Entradas!$D$22/Escenarios!$F$16,0)</f>
        <v>0.12</v>
      </c>
      <c r="AK177" s="76">
        <f t="shared" si="30"/>
        <v>0.12097059266980205</v>
      </c>
      <c r="AL177" s="76">
        <f t="shared" si="31"/>
        <v>0</v>
      </c>
      <c r="AM177" s="76">
        <f t="shared" si="32"/>
        <v>0</v>
      </c>
      <c r="AN177" s="76">
        <f>MAX(0,O177*Escenarios!$F$13/Escenarios!$F$16-AM177)</f>
        <v>6.7134285227192926E-10</v>
      </c>
      <c r="AO177" s="76">
        <f>AM177+AN177-O177*Escenarios!$F$13/Escenarios!$F$16</f>
        <v>0</v>
      </c>
      <c r="AP177" s="76">
        <f t="shared" si="33"/>
        <v>0.50452995547593305</v>
      </c>
      <c r="AQ177" s="76">
        <f t="shared" si="34"/>
        <v>0</v>
      </c>
      <c r="AR177" s="76">
        <f t="shared" si="35"/>
        <v>0.50452995614727592</v>
      </c>
      <c r="AS177" s="76">
        <f t="shared" si="36"/>
        <v>0</v>
      </c>
      <c r="AT177" s="76">
        <f t="shared" si="37"/>
        <v>0</v>
      </c>
      <c r="AU177" s="76">
        <f t="shared" si="38"/>
        <v>52.310722597109432</v>
      </c>
      <c r="AV177" s="76">
        <f>MAX(0,(AU177-Constantes!$D$13)*(1-EXP(-Constantes!$D$24)))</f>
        <v>5.4426524628771372E-2</v>
      </c>
      <c r="AW177" s="170">
        <f>AW176+(Entradas!$F$112*AT177-AX176)/(800*Entradas!$D$25)</f>
        <v>0</v>
      </c>
      <c r="AX177" s="170">
        <f>8000*Entradas!$D$26*AW177/Constantes!$F$45</f>
        <v>0</v>
      </c>
      <c r="AY177" s="170">
        <f>IF(Escenarios!$F$17&gt;0,10*Escenarios!$F$16*AL177,0)</f>
        <v>0</v>
      </c>
      <c r="AZ177" s="170">
        <f>IF(Escenarios!$F$17&gt;0,10*Escenarios!$F$16*AX177,0)</f>
        <v>0</v>
      </c>
      <c r="BA177" s="170">
        <f>IF(Escenarios!$F$17&gt;0,0.001*Observaciones!$F176*Escenarios!$F$17,0)</f>
        <v>0</v>
      </c>
      <c r="BB177" s="170">
        <f>IF(Escenarios!$F$17&gt;0,Observaciones!$K176,0)</f>
        <v>0</v>
      </c>
      <c r="BC177" s="170">
        <f>IF(Escenarios!$F$17&gt;0,MIN(0.0005*ETo!$M176*Escenarios!$F$17*(BG176/Constantes!$F$40)^(2/3),BG176+AY177+AZ177+BA177+BB177),0)</f>
        <v>0</v>
      </c>
      <c r="BD177" s="170">
        <f>IF(Escenarios!$F$17&gt;0,MIN(Constantes!$F$39*(BG176/Constantes!$F$40)^(2/3),BG176+AY177+AZ177+BA177+BB177-BC177),0)</f>
        <v>0</v>
      </c>
      <c r="BE177" s="170">
        <f>IF(Escenarios!$F$17&gt;0,MIN(Entradas!$F$113,BG176+AY177+AZ177+BA177+BB177-BC177-BD177),0)</f>
        <v>0</v>
      </c>
      <c r="BF177" s="170">
        <f>IF(Escenarios!$F$17&gt;0,MAX(0,BG176+AY177+AZ177+BA177+BB177-BC177-BD177-BE177-Constantes!$F$40),0)</f>
        <v>0</v>
      </c>
      <c r="BG177" s="170">
        <f t="shared" si="39"/>
        <v>0</v>
      </c>
      <c r="BH177" s="170">
        <f>(Escenarios!$F$16*AK177+0.1*BC177)/(Escenarios!$F$19)</f>
        <v>0.12097059266980205</v>
      </c>
      <c r="BI177" s="170">
        <f>IF(Escenarios!$F$17&gt;0,BF177/10/Escenarios!$F$19,AL177)</f>
        <v>0</v>
      </c>
      <c r="BJ177" s="170">
        <f>(Escenarios!$F$16*AT177+0.1*BD177)/(Escenarios!$F$19)</f>
        <v>0</v>
      </c>
      <c r="BK177" s="76">
        <f>BK176+(0.1*BD177)/(Escenarios!$F$19)-BL176</f>
        <v>48.75</v>
      </c>
      <c r="BL177" s="76">
        <f>MAX(0,(BK177-Constantes!$D$13)*(1-EXP(-Constantes!$D$23)))</f>
        <v>0</v>
      </c>
      <c r="BM177" s="76">
        <f t="shared" si="40"/>
        <v>0.55895648010470445</v>
      </c>
      <c r="BN177" s="76">
        <f t="shared" si="41"/>
        <v>0.55895648077604732</v>
      </c>
      <c r="BO177" s="76">
        <f>0.0526*BI177*Observaciones!$F176^1.218</f>
        <v>0</v>
      </c>
      <c r="BP177" s="76">
        <f>BO177*Constantes!$F$51</f>
        <v>0</v>
      </c>
      <c r="BQ177" s="76">
        <f t="shared" si="42"/>
        <v>0</v>
      </c>
      <c r="BR177" s="40"/>
    </row>
    <row r="178" spans="2:70">
      <c r="B178" s="39"/>
      <c r="C178" s="75">
        <v>172</v>
      </c>
      <c r="D178" s="146">
        <f>ETo!$I177*((1-Constantes!$F$19)*ETo!$K177+ETo!$L177)</f>
        <v>2.5015598259580871</v>
      </c>
      <c r="E178" s="76">
        <f>MIN(D178*Constantes!$F$17,0.8*(N177+Observaciones!$F177-F178-M178-Constantes!$D$14))</f>
        <v>1.7916791250627285E-8</v>
      </c>
      <c r="F178" s="76">
        <f>IF(Observaciones!$F177&gt;0.05*Constantes!$F$18,((Observaciones!$F177-0.05*Constantes!$F$18)^2)/(Observaciones!$F177+0.95*Constantes!$F$18),0)</f>
        <v>0</v>
      </c>
      <c r="G178" s="76">
        <f>IF(Escenarios!$F$11&gt;0,(F178*Escenarios!$F$16*10000)/1000,0)</f>
        <v>0</v>
      </c>
      <c r="H178" s="76">
        <f>IF(Escenarios!$F$11&gt;0,(Observaciones!$F177*Constantes!$F$29)/1000,0)</f>
        <v>0</v>
      </c>
      <c r="I178" s="76">
        <f>IF(Escenarios!$F$11&gt;0,(D178*Constantes!$F$29)/1000,0)</f>
        <v>0</v>
      </c>
      <c r="J178" s="76">
        <f>IF(Escenarios!$F$11&gt;0,MAX(0,G178+H178-I178),0)</f>
        <v>0</v>
      </c>
      <c r="K178" s="76">
        <f>IF(Escenarios!$F$11&gt;0,IF(J178&gt;Constantes!$F$30,1000*((J178-Constantes!$F$30)/(Escenarios!$F$16*10000)),0),F178)</f>
        <v>0</v>
      </c>
      <c r="L178" s="76">
        <f>IF(Escenarios!$F$11&gt;0,I178*1000/Escenarios!$F$16/10000+E178,E178)</f>
        <v>1.7916791250627285E-8</v>
      </c>
      <c r="M178" s="76">
        <f>MAX(0,N177+Observaciones!$F177-K178-Constantes!$D$13)</f>
        <v>0</v>
      </c>
      <c r="N178" s="76">
        <f>N177+Observaciones!$F177-K178-L178-M178-O177</f>
        <v>11.250000003716307</v>
      </c>
      <c r="O178" s="76">
        <f>MAX(0,(N178-Constantes!$D$14)*(1-EXP(-Constantes!$D$22)))</f>
        <v>1.2659106818442314E-10</v>
      </c>
      <c r="P178" s="170">
        <f>P177+(Entradas!$F$83*M178-Q177)/(800*Entradas!$D$25)</f>
        <v>0</v>
      </c>
      <c r="Q178" s="170">
        <f>8000*Entradas!$D$26*P178/Constantes!$F$45</f>
        <v>0</v>
      </c>
      <c r="R178" s="170">
        <f>IF(Escenarios!$F$14&gt;0,K178*Escenarios!$F$13/Escenarios!$F$14,0)</f>
        <v>0</v>
      </c>
      <c r="S178" s="170">
        <f>IF(Escenarios!$F$14&gt;0,Q178*Escenarios!$F$13/Escenarios!$F$14,0)</f>
        <v>0</v>
      </c>
      <c r="T178" s="170">
        <f>IF(Escenarios!$F$14&gt;0,Observaciones!$I177,0)</f>
        <v>0</v>
      </c>
      <c r="U178" s="170">
        <f>IF(Escenarios!$F$14&gt;0,MAX(0,Constantes!$F$36/((Z177+R178+S178+T178+Observaciones!$F177)^2)+Entradas!$F$77),0)</f>
        <v>0</v>
      </c>
      <c r="V178" s="146">
        <f>IF(ETo!D177&gt;0,ETo!I177*((1-Entradas!$F$81)*ETo!K177+ETo!L177),0)</f>
        <v>2.176201937493687</v>
      </c>
      <c r="W178" s="170">
        <f>IF(Escenarios!$F$14&gt;0,MIN(V178*1,0.8*(Z177+R178+S178+T178+Observaciones!$F177-U178-Constantes!$F$35)),0)</f>
        <v>5.1622004093587749E-8</v>
      </c>
      <c r="X178" s="170">
        <f>IF(Escenarios!$F$14&gt;0,Observaciones!$J177,0)</f>
        <v>0</v>
      </c>
      <c r="Y178" s="170">
        <f>IF(Escenarios!$F$14&gt;0,MAX(0,Z177+R178+S178+T178+Observaciones!$F177-U178-W178-X178-Constantes!$F$33),0)</f>
        <v>0</v>
      </c>
      <c r="Z178" s="170">
        <f>Z177+R178+S178+T178+Observaciones!$F177-U178-W178-Y178</f>
        <v>41.250000012905502</v>
      </c>
      <c r="AA178" s="170">
        <f>IF(Escenarios!$F$14&gt;0,(Escenarios!$F$13*L178+Escenarios!$F$14*W178)/(Escenarios!$F$16),L178)</f>
        <v>2.1961416791782541E-8</v>
      </c>
      <c r="AB178" s="170">
        <f>IF(Escenarios!$F$14&gt;0,(Escenarios!$F$14*Y178)/(Escenarios!$F$16),K178)</f>
        <v>0</v>
      </c>
      <c r="AC178" s="170">
        <f>IF(Escenarios!$F$14&gt;0,(Escenarios!$F$13*M178+Escenarios!$F$14*U178)/(Escenarios!$F$16),M178)</f>
        <v>0</v>
      </c>
      <c r="AD178" s="76">
        <f t="shared" si="29"/>
        <v>99.449951879350394</v>
      </c>
      <c r="AE178" s="76">
        <f>MAX(0,(AD178-Constantes!$D$13)*(1-EXP(-Constantes!$D$23)))</f>
        <v>0.49955870165495564</v>
      </c>
      <c r="AF178" s="76">
        <f>AB178+O178*Escenarios!$F$13/Escenarios!$F$16+AE178</f>
        <v>0.49955870176635581</v>
      </c>
      <c r="AG178" s="76">
        <f>IF(Entradas!$F$91&gt;0,IF(AF178-Escenarios!$F$38&lt;=0,0,IF(AF178-Escenarios!$F$38&gt;Escenarios!$F$37,Escenarios!$F$37,AF178-Escenarios!$F$38)),0)</f>
        <v>0</v>
      </c>
      <c r="AH178" s="76">
        <f>AG178*Entradas!$F$99</f>
        <v>0</v>
      </c>
      <c r="AI178" s="76">
        <f>IF(Entradas!$F$91&gt;0,D178*Entradas!$D$23/Escenarios!$F$16,0)</f>
        <v>0.12007487164598818</v>
      </c>
      <c r="AJ178" s="76">
        <f>IF(Entradas!$F$91&gt;0,Entradas!$D$24*Entradas!$D$22/Escenarios!$F$16,0)</f>
        <v>0.12</v>
      </c>
      <c r="AK178" s="76">
        <f t="shared" si="30"/>
        <v>0.12007489360740498</v>
      </c>
      <c r="AL178" s="76">
        <f t="shared" si="31"/>
        <v>0</v>
      </c>
      <c r="AM178" s="76">
        <f t="shared" si="32"/>
        <v>0</v>
      </c>
      <c r="AN178" s="76">
        <f>MAX(0,O178*Escenarios!$F$13/Escenarios!$F$16-AM178)</f>
        <v>1.1140014000229238E-10</v>
      </c>
      <c r="AO178" s="76">
        <f>AM178+AN178-O178*Escenarios!$F$13/Escenarios!$F$16</f>
        <v>0</v>
      </c>
      <c r="AP178" s="76">
        <f t="shared" si="33"/>
        <v>0.49955870165495564</v>
      </c>
      <c r="AQ178" s="76">
        <f t="shared" si="34"/>
        <v>0</v>
      </c>
      <c r="AR178" s="76">
        <f t="shared" si="35"/>
        <v>0.49955870176635581</v>
      </c>
      <c r="AS178" s="76">
        <f t="shared" si="36"/>
        <v>0</v>
      </c>
      <c r="AT178" s="76">
        <f t="shared" si="37"/>
        <v>0</v>
      </c>
      <c r="AU178" s="76">
        <f t="shared" si="38"/>
        <v>52.256296072480659</v>
      </c>
      <c r="AV178" s="76">
        <f>MAX(0,(AU178-Constantes!$D$13)*(1-EXP(-Constantes!$D$24)))</f>
        <v>5.3594601752900303E-2</v>
      </c>
      <c r="AW178" s="170">
        <f>AW177+(Entradas!$F$112*AT178-AX177)/(800*Entradas!$D$25)</f>
        <v>0</v>
      </c>
      <c r="AX178" s="170">
        <f>8000*Entradas!$D$26*AW178/Constantes!$F$45</f>
        <v>0</v>
      </c>
      <c r="AY178" s="170">
        <f>IF(Escenarios!$F$17&gt;0,10*Escenarios!$F$16*AL178,0)</f>
        <v>0</v>
      </c>
      <c r="AZ178" s="170">
        <f>IF(Escenarios!$F$17&gt;0,10*Escenarios!$F$16*AX178,0)</f>
        <v>0</v>
      </c>
      <c r="BA178" s="170">
        <f>IF(Escenarios!$F$17&gt;0,0.001*Observaciones!$F177*Escenarios!$F$17,0)</f>
        <v>0</v>
      </c>
      <c r="BB178" s="170">
        <f>IF(Escenarios!$F$17&gt;0,Observaciones!$K177,0)</f>
        <v>0</v>
      </c>
      <c r="BC178" s="170">
        <f>IF(Escenarios!$F$17&gt;0,MIN(0.0005*ETo!$M177*Escenarios!$F$17*(BG177/Constantes!$F$40)^(2/3),BG177+AY178+AZ178+BA178+BB178),0)</f>
        <v>0</v>
      </c>
      <c r="BD178" s="170">
        <f>IF(Escenarios!$F$17&gt;0,MIN(Constantes!$F$39*(BG177/Constantes!$F$40)^(2/3),BG177+AY178+AZ178+BA178+BB178-BC178),0)</f>
        <v>0</v>
      </c>
      <c r="BE178" s="170">
        <f>IF(Escenarios!$F$17&gt;0,MIN(Entradas!$F$113,BG177+AY178+AZ178+BA178+BB178-BC178-BD178),0)</f>
        <v>0</v>
      </c>
      <c r="BF178" s="170">
        <f>IF(Escenarios!$F$17&gt;0,MAX(0,BG177+AY178+AZ178+BA178+BB178-BC178-BD178-BE178-Constantes!$F$40),0)</f>
        <v>0</v>
      </c>
      <c r="BG178" s="170">
        <f t="shared" si="39"/>
        <v>0</v>
      </c>
      <c r="BH178" s="170">
        <f>(Escenarios!$F$16*AK178+0.1*BC178)/(Escenarios!$F$19)</f>
        <v>0.12007489360740498</v>
      </c>
      <c r="BI178" s="170">
        <f>IF(Escenarios!$F$17&gt;0,BF178/10/Escenarios!$F$19,AL178)</f>
        <v>0</v>
      </c>
      <c r="BJ178" s="170">
        <f>(Escenarios!$F$16*AT178+0.1*BD178)/(Escenarios!$F$19)</f>
        <v>0</v>
      </c>
      <c r="BK178" s="76">
        <f>BK177+(0.1*BD178)/(Escenarios!$F$19)-BL177</f>
        <v>48.75</v>
      </c>
      <c r="BL178" s="76">
        <f>MAX(0,(BK178-Constantes!$D$13)*(1-EXP(-Constantes!$D$23)))</f>
        <v>0</v>
      </c>
      <c r="BM178" s="76">
        <f t="shared" si="40"/>
        <v>0.55315330340785596</v>
      </c>
      <c r="BN178" s="76">
        <f t="shared" si="41"/>
        <v>0.55315330351925607</v>
      </c>
      <c r="BO178" s="76">
        <f>0.0526*BI178*Observaciones!$F177^1.218</f>
        <v>0</v>
      </c>
      <c r="BP178" s="76">
        <f>BO178*Constantes!$F$51</f>
        <v>0</v>
      </c>
      <c r="BQ178" s="76">
        <f t="shared" si="42"/>
        <v>0</v>
      </c>
      <c r="BR178" s="40"/>
    </row>
    <row r="179" spans="2:70">
      <c r="B179" s="39"/>
      <c r="C179" s="75">
        <v>173</v>
      </c>
      <c r="D179" s="146">
        <f>ETo!$I178*((1-Constantes!$F$19)*ETo!$K178+ETo!$L178)</f>
        <v>2.5041839108078223</v>
      </c>
      <c r="E179" s="76">
        <f>MIN(D179*Constantes!$F$17,0.8*(N178+Observaciones!$F178-F179-M179-Constantes!$D$14))</f>
        <v>2.9730458095400536E-9</v>
      </c>
      <c r="F179" s="76">
        <f>IF(Observaciones!$F178&gt;0.05*Constantes!$F$18,((Observaciones!$F178-0.05*Constantes!$F$18)^2)/(Observaciones!$F178+0.95*Constantes!$F$18),0)</f>
        <v>0</v>
      </c>
      <c r="G179" s="76">
        <f>IF(Escenarios!$F$11&gt;0,(F179*Escenarios!$F$16*10000)/1000,0)</f>
        <v>0</v>
      </c>
      <c r="H179" s="76">
        <f>IF(Escenarios!$F$11&gt;0,(Observaciones!$F178*Constantes!$F$29)/1000,0)</f>
        <v>0</v>
      </c>
      <c r="I179" s="76">
        <f>IF(Escenarios!$F$11&gt;0,(D179*Constantes!$F$29)/1000,0)</f>
        <v>0</v>
      </c>
      <c r="J179" s="76">
        <f>IF(Escenarios!$F$11&gt;0,MAX(0,G179+H179-I179),0)</f>
        <v>0</v>
      </c>
      <c r="K179" s="76">
        <f>IF(Escenarios!$F$11&gt;0,IF(J179&gt;Constantes!$F$30,1000*((J179-Constantes!$F$30)/(Escenarios!$F$16*10000)),0),F179)</f>
        <v>0</v>
      </c>
      <c r="L179" s="76">
        <f>IF(Escenarios!$F$11&gt;0,I179*1000/Escenarios!$F$16/10000+E179,E179)</f>
        <v>2.9730458095400536E-9</v>
      </c>
      <c r="M179" s="76">
        <f>MAX(0,N178+Observaciones!$F178-K179-Constantes!$D$13)</f>
        <v>0</v>
      </c>
      <c r="N179" s="76">
        <f>N178+Observaciones!$F178-K179-L179-M179-O178</f>
        <v>11.250000000616671</v>
      </c>
      <c r="O179" s="76">
        <f>MAX(0,(N179-Constantes!$D$14)*(1-EXP(-Constantes!$D$22)))</f>
        <v>2.100608350747142E-11</v>
      </c>
      <c r="P179" s="170">
        <f>P178+(Entradas!$F$83*M179-Q178)/(800*Entradas!$D$25)</f>
        <v>0</v>
      </c>
      <c r="Q179" s="170">
        <f>8000*Entradas!$D$26*P179/Constantes!$F$45</f>
        <v>0</v>
      </c>
      <c r="R179" s="170">
        <f>IF(Escenarios!$F$14&gt;0,K179*Escenarios!$F$13/Escenarios!$F$14,0)</f>
        <v>0</v>
      </c>
      <c r="S179" s="170">
        <f>IF(Escenarios!$F$14&gt;0,Q179*Escenarios!$F$13/Escenarios!$F$14,0)</f>
        <v>0</v>
      </c>
      <c r="T179" s="170">
        <f>IF(Escenarios!$F$14&gt;0,Observaciones!$I178,0)</f>
        <v>0</v>
      </c>
      <c r="U179" s="170">
        <f>IF(Escenarios!$F$14&gt;0,MAX(0,Constantes!$F$36/((Z178+R179+S179+T179+Observaciones!$F178)^2)+Entradas!$F$77),0)</f>
        <v>0</v>
      </c>
      <c r="V179" s="146">
        <f>IF(ETo!D178&gt;0,ETo!I178*((1-Entradas!$F$81)*ETo!K178+ETo!L178),0)</f>
        <v>2.1784880714791242</v>
      </c>
      <c r="W179" s="170">
        <f>IF(Escenarios!$F$14&gt;0,MIN(V179*1,0.8*(Z178+R179+S179+T179+Observaciones!$F178-U179-Constantes!$F$35)),0)</f>
        <v>1.0324401955585928E-8</v>
      </c>
      <c r="X179" s="170">
        <f>IF(Escenarios!$F$14&gt;0,Observaciones!$J178,0)</f>
        <v>0</v>
      </c>
      <c r="Y179" s="170">
        <f>IF(Escenarios!$F$14&gt;0,MAX(0,Z178+R179+S179+T179+Observaciones!$F178-U179-W179-X179-Constantes!$F$33),0)</f>
        <v>0</v>
      </c>
      <c r="Z179" s="170">
        <f>Z178+R179+S179+T179+Observaciones!$F178-U179-W179-Y179</f>
        <v>41.250000002581103</v>
      </c>
      <c r="AA179" s="170">
        <f>IF(Escenarios!$F$14&gt;0,(Escenarios!$F$13*L179+Escenarios!$F$14*W179)/(Escenarios!$F$16),L179)</f>
        <v>3.8552085470655585E-9</v>
      </c>
      <c r="AB179" s="170">
        <f>IF(Escenarios!$F$14&gt;0,(Escenarios!$F$14*Y179)/(Escenarios!$F$16),K179)</f>
        <v>0</v>
      </c>
      <c r="AC179" s="170">
        <f>IF(Escenarios!$F$14&gt;0,(Escenarios!$F$13*M179+Escenarios!$F$14*U179)/(Escenarios!$F$16),M179)</f>
        <v>0</v>
      </c>
      <c r="AD179" s="76">
        <f t="shared" si="29"/>
        <v>98.950393177695432</v>
      </c>
      <c r="AE179" s="76">
        <f>MAX(0,(AD179-Constantes!$D$13)*(1-EXP(-Constantes!$D$23)))</f>
        <v>0.49463643078193675</v>
      </c>
      <c r="AF179" s="76">
        <f>AB179+O179*Escenarios!$F$13/Escenarios!$F$16+AE179</f>
        <v>0.49463643080042213</v>
      </c>
      <c r="AG179" s="76">
        <f>IF(Entradas!$F$91&gt;0,IF(AF179-Escenarios!$F$38&lt;=0,0,IF(AF179-Escenarios!$F$38&gt;Escenarios!$F$37,Escenarios!$F$37,AF179-Escenarios!$F$38)),0)</f>
        <v>0</v>
      </c>
      <c r="AH179" s="76">
        <f>AG179*Entradas!$F$99</f>
        <v>0</v>
      </c>
      <c r="AI179" s="76">
        <f>IF(Entradas!$F$91&gt;0,D179*Entradas!$D$23/Escenarios!$F$16,0)</f>
        <v>0.12020082771877547</v>
      </c>
      <c r="AJ179" s="76">
        <f>IF(Entradas!$F$91&gt;0,Entradas!$D$24*Entradas!$D$22/Escenarios!$F$16,0)</f>
        <v>0.12</v>
      </c>
      <c r="AK179" s="76">
        <f t="shared" si="30"/>
        <v>0.12020083157398401</v>
      </c>
      <c r="AL179" s="76">
        <f t="shared" si="31"/>
        <v>0</v>
      </c>
      <c r="AM179" s="76">
        <f t="shared" si="32"/>
        <v>0</v>
      </c>
      <c r="AN179" s="76">
        <f>MAX(0,O179*Escenarios!$F$13/Escenarios!$F$16-AM179)</f>
        <v>1.8485353486574851E-11</v>
      </c>
      <c r="AO179" s="76">
        <f>AM179+AN179-O179*Escenarios!$F$13/Escenarios!$F$16</f>
        <v>0</v>
      </c>
      <c r="AP179" s="76">
        <f t="shared" si="33"/>
        <v>0.49463643078193675</v>
      </c>
      <c r="AQ179" s="76">
        <f t="shared" si="34"/>
        <v>0</v>
      </c>
      <c r="AR179" s="76">
        <f t="shared" si="35"/>
        <v>0.49463643080042213</v>
      </c>
      <c r="AS179" s="76">
        <f t="shared" si="36"/>
        <v>0</v>
      </c>
      <c r="AT179" s="76">
        <f t="shared" si="37"/>
        <v>0</v>
      </c>
      <c r="AU179" s="76">
        <f t="shared" si="38"/>
        <v>52.20270147072776</v>
      </c>
      <c r="AV179" s="76">
        <f>MAX(0,(AU179-Constantes!$D$13)*(1-EXP(-Constantes!$D$24)))</f>
        <v>5.2775395023726489E-2</v>
      </c>
      <c r="AW179" s="170">
        <f>AW178+(Entradas!$F$112*AT179-AX178)/(800*Entradas!$D$25)</f>
        <v>0</v>
      </c>
      <c r="AX179" s="170">
        <f>8000*Entradas!$D$26*AW179/Constantes!$F$45</f>
        <v>0</v>
      </c>
      <c r="AY179" s="170">
        <f>IF(Escenarios!$F$17&gt;0,10*Escenarios!$F$16*AL179,0)</f>
        <v>0</v>
      </c>
      <c r="AZ179" s="170">
        <f>IF(Escenarios!$F$17&gt;0,10*Escenarios!$F$16*AX179,0)</f>
        <v>0</v>
      </c>
      <c r="BA179" s="170">
        <f>IF(Escenarios!$F$17&gt;0,0.001*Observaciones!$F178*Escenarios!$F$17,0)</f>
        <v>0</v>
      </c>
      <c r="BB179" s="170">
        <f>IF(Escenarios!$F$17&gt;0,Observaciones!$K178,0)</f>
        <v>0</v>
      </c>
      <c r="BC179" s="170">
        <f>IF(Escenarios!$F$17&gt;0,MIN(0.0005*ETo!$M178*Escenarios!$F$17*(BG178/Constantes!$F$40)^(2/3),BG178+AY179+AZ179+BA179+BB179),0)</f>
        <v>0</v>
      </c>
      <c r="BD179" s="170">
        <f>IF(Escenarios!$F$17&gt;0,MIN(Constantes!$F$39*(BG178/Constantes!$F$40)^(2/3),BG178+AY179+AZ179+BA179+BB179-BC179),0)</f>
        <v>0</v>
      </c>
      <c r="BE179" s="170">
        <f>IF(Escenarios!$F$17&gt;0,MIN(Entradas!$F$113,BG178+AY179+AZ179+BA179+BB179-BC179-BD179),0)</f>
        <v>0</v>
      </c>
      <c r="BF179" s="170">
        <f>IF(Escenarios!$F$17&gt;0,MAX(0,BG178+AY179+AZ179+BA179+BB179-BC179-BD179-BE179-Constantes!$F$40),0)</f>
        <v>0</v>
      </c>
      <c r="BG179" s="170">
        <f t="shared" si="39"/>
        <v>0</v>
      </c>
      <c r="BH179" s="170">
        <f>(Escenarios!$F$16*AK179+0.1*BC179)/(Escenarios!$F$19)</f>
        <v>0.12020083157398401</v>
      </c>
      <c r="BI179" s="170">
        <f>IF(Escenarios!$F$17&gt;0,BF179/10/Escenarios!$F$19,AL179)</f>
        <v>0</v>
      </c>
      <c r="BJ179" s="170">
        <f>(Escenarios!$F$16*AT179+0.1*BD179)/(Escenarios!$F$19)</f>
        <v>0</v>
      </c>
      <c r="BK179" s="76">
        <f>BK178+(0.1*BD179)/(Escenarios!$F$19)-BL178</f>
        <v>48.75</v>
      </c>
      <c r="BL179" s="76">
        <f>MAX(0,(BK179-Constantes!$D$13)*(1-EXP(-Constantes!$D$23)))</f>
        <v>0</v>
      </c>
      <c r="BM179" s="76">
        <f t="shared" si="40"/>
        <v>0.54741182580566328</v>
      </c>
      <c r="BN179" s="76">
        <f t="shared" si="41"/>
        <v>0.5474118258241486</v>
      </c>
      <c r="BO179" s="76">
        <f>0.0526*BI179*Observaciones!$F178^1.218</f>
        <v>0</v>
      </c>
      <c r="BP179" s="76">
        <f>BO179*Constantes!$F$51</f>
        <v>0</v>
      </c>
      <c r="BQ179" s="76">
        <f t="shared" si="42"/>
        <v>0</v>
      </c>
      <c r="BR179" s="40"/>
    </row>
    <row r="180" spans="2:70">
      <c r="B180" s="39"/>
      <c r="C180" s="75">
        <v>174</v>
      </c>
      <c r="D180" s="146">
        <f>ETo!$I179*((1-Constantes!$F$19)*ETo!$K179+ETo!$L179)</f>
        <v>2.5699524177882749</v>
      </c>
      <c r="E180" s="76">
        <f>MIN(D180*Constantes!$F$17,0.8*(N179+Observaciones!$F179-F180-M180-Constantes!$D$14))</f>
        <v>4.9333692686559516E-10</v>
      </c>
      <c r="F180" s="76">
        <f>IF(Observaciones!$F179&gt;0.05*Constantes!$F$18,((Observaciones!$F179-0.05*Constantes!$F$18)^2)/(Observaciones!$F179+0.95*Constantes!$F$18),0)</f>
        <v>0</v>
      </c>
      <c r="G180" s="76">
        <f>IF(Escenarios!$F$11&gt;0,(F180*Escenarios!$F$16*10000)/1000,0)</f>
        <v>0</v>
      </c>
      <c r="H180" s="76">
        <f>IF(Escenarios!$F$11&gt;0,(Observaciones!$F179*Constantes!$F$29)/1000,0)</f>
        <v>0</v>
      </c>
      <c r="I180" s="76">
        <f>IF(Escenarios!$F$11&gt;0,(D180*Constantes!$F$29)/1000,0)</f>
        <v>0</v>
      </c>
      <c r="J180" s="76">
        <f>IF(Escenarios!$F$11&gt;0,MAX(0,G180+H180-I180),0)</f>
        <v>0</v>
      </c>
      <c r="K180" s="76">
        <f>IF(Escenarios!$F$11&gt;0,IF(J180&gt;Constantes!$F$30,1000*((J180-Constantes!$F$30)/(Escenarios!$F$16*10000)),0),F180)</f>
        <v>0</v>
      </c>
      <c r="L180" s="76">
        <f>IF(Escenarios!$F$11&gt;0,I180*1000/Escenarios!$F$16/10000+E180,E180)</f>
        <v>4.9333692686559516E-10</v>
      </c>
      <c r="M180" s="76">
        <f>MAX(0,N179+Observaciones!$F179-K180-Constantes!$D$13)</f>
        <v>0</v>
      </c>
      <c r="N180" s="76">
        <f>N179+Observaciones!$F179-K180-L180-M180-O179</f>
        <v>11.250000000102329</v>
      </c>
      <c r="O180" s="76">
        <f>MAX(0,(N180-Constantes!$D$14)*(1-EXP(-Constantes!$D$22)))</f>
        <v>3.4856949965617623E-12</v>
      </c>
      <c r="P180" s="170">
        <f>P179+(Entradas!$F$83*M180-Q179)/(800*Entradas!$D$25)</f>
        <v>0</v>
      </c>
      <c r="Q180" s="170">
        <f>8000*Entradas!$D$26*P180/Constantes!$F$45</f>
        <v>0</v>
      </c>
      <c r="R180" s="170">
        <f>IF(Escenarios!$F$14&gt;0,K180*Escenarios!$F$13/Escenarios!$F$14,0)</f>
        <v>0</v>
      </c>
      <c r="S180" s="170">
        <f>IF(Escenarios!$F$14&gt;0,Q180*Escenarios!$F$13/Escenarios!$F$14,0)</f>
        <v>0</v>
      </c>
      <c r="T180" s="170">
        <f>IF(Escenarios!$F$14&gt;0,Observaciones!$I179,0)</f>
        <v>0</v>
      </c>
      <c r="U180" s="170">
        <f>IF(Escenarios!$F$14&gt;0,MAX(0,Constantes!$F$36/((Z179+R180+S180+T180+Observaciones!$F179)^2)+Entradas!$F$77),0)</f>
        <v>0</v>
      </c>
      <c r="V180" s="146">
        <f>IF(ETo!D179&gt;0,ETo!I179*((1-Entradas!$F$81)*ETo!K179+ETo!L179),0)</f>
        <v>2.2362806992755679</v>
      </c>
      <c r="W180" s="170">
        <f>IF(Escenarios!$F$14&gt;0,MIN(V180*1,0.8*(Z179+R180+S180+T180+Observaciones!$F179-U180-Constantes!$F$35)),0)</f>
        <v>2.06488266485394E-9</v>
      </c>
      <c r="X180" s="170">
        <f>IF(Escenarios!$F$14&gt;0,Observaciones!$J179,0)</f>
        <v>0</v>
      </c>
      <c r="Y180" s="170">
        <f>IF(Escenarios!$F$14&gt;0,MAX(0,Z179+R180+S180+T180+Observaciones!$F179-U180-W180-X180-Constantes!$F$33),0)</f>
        <v>0</v>
      </c>
      <c r="Z180" s="170">
        <f>Z179+R180+S180+T180+Observaciones!$F179-U180-W180-Y180</f>
        <v>41.250000000516224</v>
      </c>
      <c r="AA180" s="170">
        <f>IF(Escenarios!$F$14&gt;0,(Escenarios!$F$13*L180+Escenarios!$F$14*W180)/(Escenarios!$F$16),L180)</f>
        <v>6.8192241542419648E-10</v>
      </c>
      <c r="AB180" s="170">
        <f>IF(Escenarios!$F$14&gt;0,(Escenarios!$F$14*Y180)/(Escenarios!$F$16),K180)</f>
        <v>0</v>
      </c>
      <c r="AC180" s="170">
        <f>IF(Escenarios!$F$14&gt;0,(Escenarios!$F$13*M180+Escenarios!$F$14*U180)/(Escenarios!$F$16),M180)</f>
        <v>0</v>
      </c>
      <c r="AD180" s="76">
        <f t="shared" si="29"/>
        <v>98.455756746913494</v>
      </c>
      <c r="AE180" s="76">
        <f>MAX(0,(AD180-Constantes!$D$13)*(1-EXP(-Constantes!$D$23)))</f>
        <v>0.48976266021622328</v>
      </c>
      <c r="AF180" s="76">
        <f>AB180+O180*Escenarios!$F$13/Escenarios!$F$16+AE180</f>
        <v>0.48976266021929071</v>
      </c>
      <c r="AG180" s="76">
        <f>IF(Entradas!$F$91&gt;0,IF(AF180-Escenarios!$F$38&lt;=0,0,IF(AF180-Escenarios!$F$38&gt;Escenarios!$F$37,Escenarios!$F$37,AF180-Escenarios!$F$38)),0)</f>
        <v>0</v>
      </c>
      <c r="AH180" s="76">
        <f>AG180*Entradas!$F$99</f>
        <v>0</v>
      </c>
      <c r="AI180" s="76">
        <f>IF(Entradas!$F$91&gt;0,D180*Entradas!$D$23/Escenarios!$F$16,0)</f>
        <v>0.12335771605383719</v>
      </c>
      <c r="AJ180" s="76">
        <f>IF(Entradas!$F$91&gt;0,Entradas!$D$24*Entradas!$D$22/Escenarios!$F$16,0)</f>
        <v>0.12</v>
      </c>
      <c r="AK180" s="76">
        <f t="shared" si="30"/>
        <v>0.12335771673575961</v>
      </c>
      <c r="AL180" s="76">
        <f t="shared" si="31"/>
        <v>0</v>
      </c>
      <c r="AM180" s="76">
        <f t="shared" si="32"/>
        <v>0</v>
      </c>
      <c r="AN180" s="76">
        <f>MAX(0,O180*Escenarios!$F$13/Escenarios!$F$16-AM180)</f>
        <v>3.0674115969743509E-12</v>
      </c>
      <c r="AO180" s="76">
        <f>AM180+AN180-O180*Escenarios!$F$13/Escenarios!$F$16</f>
        <v>0</v>
      </c>
      <c r="AP180" s="76">
        <f t="shared" si="33"/>
        <v>0.48976266021622328</v>
      </c>
      <c r="AQ180" s="76">
        <f t="shared" si="34"/>
        <v>0</v>
      </c>
      <c r="AR180" s="76">
        <f t="shared" si="35"/>
        <v>0.48976266021929071</v>
      </c>
      <c r="AS180" s="76">
        <f t="shared" si="36"/>
        <v>0</v>
      </c>
      <c r="AT180" s="76">
        <f t="shared" si="37"/>
        <v>0</v>
      </c>
      <c r="AU180" s="76">
        <f t="shared" si="38"/>
        <v>52.14992607570403</v>
      </c>
      <c r="AV180" s="76">
        <f>MAX(0,(AU180-Constantes!$D$13)*(1-EXP(-Constantes!$D$24)))</f>
        <v>5.1968710071805792E-2</v>
      </c>
      <c r="AW180" s="170">
        <f>AW179+(Entradas!$F$112*AT180-AX179)/(800*Entradas!$D$25)</f>
        <v>0</v>
      </c>
      <c r="AX180" s="170">
        <f>8000*Entradas!$D$26*AW180/Constantes!$F$45</f>
        <v>0</v>
      </c>
      <c r="AY180" s="170">
        <f>IF(Escenarios!$F$17&gt;0,10*Escenarios!$F$16*AL180,0)</f>
        <v>0</v>
      </c>
      <c r="AZ180" s="170">
        <f>IF(Escenarios!$F$17&gt;0,10*Escenarios!$F$16*AX180,0)</f>
        <v>0</v>
      </c>
      <c r="BA180" s="170">
        <f>IF(Escenarios!$F$17&gt;0,0.001*Observaciones!$F179*Escenarios!$F$17,0)</f>
        <v>0</v>
      </c>
      <c r="BB180" s="170">
        <f>IF(Escenarios!$F$17&gt;0,Observaciones!$K179,0)</f>
        <v>0</v>
      </c>
      <c r="BC180" s="170">
        <f>IF(Escenarios!$F$17&gt;0,MIN(0.0005*ETo!$M179*Escenarios!$F$17*(BG179/Constantes!$F$40)^(2/3),BG179+AY180+AZ180+BA180+BB180),0)</f>
        <v>0</v>
      </c>
      <c r="BD180" s="170">
        <f>IF(Escenarios!$F$17&gt;0,MIN(Constantes!$F$39*(BG179/Constantes!$F$40)^(2/3),BG179+AY180+AZ180+BA180+BB180-BC180),0)</f>
        <v>0</v>
      </c>
      <c r="BE180" s="170">
        <f>IF(Escenarios!$F$17&gt;0,MIN(Entradas!$F$113,BG179+AY180+AZ180+BA180+BB180-BC180-BD180),0)</f>
        <v>0</v>
      </c>
      <c r="BF180" s="170">
        <f>IF(Escenarios!$F$17&gt;0,MAX(0,BG179+AY180+AZ180+BA180+BB180-BC180-BD180-BE180-Constantes!$F$40),0)</f>
        <v>0</v>
      </c>
      <c r="BG180" s="170">
        <f t="shared" si="39"/>
        <v>0</v>
      </c>
      <c r="BH180" s="170">
        <f>(Escenarios!$F$16*AK180+0.1*BC180)/(Escenarios!$F$19)</f>
        <v>0.12335771673575961</v>
      </c>
      <c r="BI180" s="170">
        <f>IF(Escenarios!$F$17&gt;0,BF180/10/Escenarios!$F$19,AL180)</f>
        <v>0</v>
      </c>
      <c r="BJ180" s="170">
        <f>(Escenarios!$F$16*AT180+0.1*BD180)/(Escenarios!$F$19)</f>
        <v>0</v>
      </c>
      <c r="BK180" s="76">
        <f>BK179+(0.1*BD180)/(Escenarios!$F$19)-BL179</f>
        <v>48.75</v>
      </c>
      <c r="BL180" s="76">
        <f>MAX(0,(BK180-Constantes!$D$13)*(1-EXP(-Constantes!$D$23)))</f>
        <v>0</v>
      </c>
      <c r="BM180" s="76">
        <f t="shared" si="40"/>
        <v>0.54173137028802909</v>
      </c>
      <c r="BN180" s="76">
        <f t="shared" si="41"/>
        <v>0.54173137029109653</v>
      </c>
      <c r="BO180" s="76">
        <f>0.0526*BI180*Observaciones!$F179^1.218</f>
        <v>0</v>
      </c>
      <c r="BP180" s="76">
        <f>BO180*Constantes!$F$51</f>
        <v>0</v>
      </c>
      <c r="BQ180" s="76">
        <f t="shared" si="42"/>
        <v>0</v>
      </c>
      <c r="BR180" s="40"/>
    </row>
    <row r="181" spans="2:70">
      <c r="B181" s="39"/>
      <c r="C181" s="75">
        <v>175</v>
      </c>
      <c r="D181" s="146">
        <f>ETo!$I180*((1-Constantes!$F$19)*ETo!$K180+ETo!$L180)</f>
        <v>2.5108246049608098</v>
      </c>
      <c r="E181" s="76">
        <f>MIN(D181*Constantes!$F$17,0.8*(N180+Observaciones!$F180-F181-M181-Constantes!$D$14))</f>
        <v>8.1863049672392668E-11</v>
      </c>
      <c r="F181" s="76">
        <f>IF(Observaciones!$F180&gt;0.05*Constantes!$F$18,((Observaciones!$F180-0.05*Constantes!$F$18)^2)/(Observaciones!$F180+0.95*Constantes!$F$18),0)</f>
        <v>0</v>
      </c>
      <c r="G181" s="76">
        <f>IF(Escenarios!$F$11&gt;0,(F181*Escenarios!$F$16*10000)/1000,0)</f>
        <v>0</v>
      </c>
      <c r="H181" s="76">
        <f>IF(Escenarios!$F$11&gt;0,(Observaciones!$F180*Constantes!$F$29)/1000,0)</f>
        <v>0</v>
      </c>
      <c r="I181" s="76">
        <f>IF(Escenarios!$F$11&gt;0,(D181*Constantes!$F$29)/1000,0)</f>
        <v>0</v>
      </c>
      <c r="J181" s="76">
        <f>IF(Escenarios!$F$11&gt;0,MAX(0,G181+H181-I181),0)</f>
        <v>0</v>
      </c>
      <c r="K181" s="76">
        <f>IF(Escenarios!$F$11&gt;0,IF(J181&gt;Constantes!$F$30,1000*((J181-Constantes!$F$30)/(Escenarios!$F$16*10000)),0),F181)</f>
        <v>0</v>
      </c>
      <c r="L181" s="76">
        <f>IF(Escenarios!$F$11&gt;0,I181*1000/Escenarios!$F$16/10000+E181,E181)</f>
        <v>8.1863049672392668E-11</v>
      </c>
      <c r="M181" s="76">
        <f>MAX(0,N180+Observaciones!$F180-K181-Constantes!$D$13)</f>
        <v>0</v>
      </c>
      <c r="N181" s="76">
        <f>N180+Observaciones!$F180-K181-L181-M181-O180</f>
        <v>11.25000000001698</v>
      </c>
      <c r="O181" s="76">
        <f>MAX(0,(N181-Constantes!$D$14)*(1-EXP(-Constantes!$D$22)))</f>
        <v>5.78407778219871E-13</v>
      </c>
      <c r="P181" s="170">
        <f>P180+(Entradas!$F$83*M181-Q180)/(800*Entradas!$D$25)</f>
        <v>0</v>
      </c>
      <c r="Q181" s="170">
        <f>8000*Entradas!$D$26*P181/Constantes!$F$45</f>
        <v>0</v>
      </c>
      <c r="R181" s="170">
        <f>IF(Escenarios!$F$14&gt;0,K181*Escenarios!$F$13/Escenarios!$F$14,0)</f>
        <v>0</v>
      </c>
      <c r="S181" s="170">
        <f>IF(Escenarios!$F$14&gt;0,Q181*Escenarios!$F$13/Escenarios!$F$14,0)</f>
        <v>0</v>
      </c>
      <c r="T181" s="170">
        <f>IF(Escenarios!$F$14&gt;0,Observaciones!$I180,0)</f>
        <v>0</v>
      </c>
      <c r="U181" s="170">
        <f>IF(Escenarios!$F$14&gt;0,MAX(0,Constantes!$F$36/((Z180+R181+S181+T181+Observaciones!$F180)^2)+Entradas!$F$77),0)</f>
        <v>0</v>
      </c>
      <c r="V181" s="146">
        <f>IF(ETo!D180&gt;0,ETo!I180*((1-Entradas!$F$81)*ETo!K180+ETo!L180),0)</f>
        <v>2.1843390424657008</v>
      </c>
      <c r="W181" s="170">
        <f>IF(Escenarios!$F$14&gt;0,MIN(V181*1,0.8*(Z180+R181+S181+T181+Observaciones!$F180-U181-Constantes!$F$35)),0)</f>
        <v>4.1297880670754243E-10</v>
      </c>
      <c r="X181" s="170">
        <f>IF(Escenarios!$F$14&gt;0,Observaciones!$J180,0)</f>
        <v>0</v>
      </c>
      <c r="Y181" s="170">
        <f>IF(Escenarios!$F$14&gt;0,MAX(0,Z180+R181+S181+T181+Observaciones!$F180-U181-W181-X181-Constantes!$F$33),0)</f>
        <v>0</v>
      </c>
      <c r="Z181" s="170">
        <f>Z180+R181+S181+T181+Observaciones!$F180-U181-W181-Y181</f>
        <v>41.250000000103242</v>
      </c>
      <c r="AA181" s="170">
        <f>IF(Escenarios!$F$14&gt;0,(Escenarios!$F$13*L181+Escenarios!$F$14*W181)/(Escenarios!$F$16),L181)</f>
        <v>1.2159694051661063E-10</v>
      </c>
      <c r="AB181" s="170">
        <f>IF(Escenarios!$F$14&gt;0,(Escenarios!$F$14*Y181)/(Escenarios!$F$16),K181)</f>
        <v>0</v>
      </c>
      <c r="AC181" s="170">
        <f>IF(Escenarios!$F$14&gt;0,(Escenarios!$F$13*M181+Escenarios!$F$14*U181)/(Escenarios!$F$16),M181)</f>
        <v>0</v>
      </c>
      <c r="AD181" s="76">
        <f t="shared" si="29"/>
        <v>97.965994086697265</v>
      </c>
      <c r="AE181" s="76">
        <f>MAX(0,(AD181-Constantes!$D$13)*(1-EXP(-Constantes!$D$23)))</f>
        <v>0.48493691207273548</v>
      </c>
      <c r="AF181" s="76">
        <f>AB181+O181*Escenarios!$F$13/Escenarios!$F$16+AE181</f>
        <v>0.48493691207324446</v>
      </c>
      <c r="AG181" s="76">
        <f>IF(Entradas!$F$91&gt;0,IF(AF181-Escenarios!$F$38&lt;=0,0,IF(AF181-Escenarios!$F$38&gt;Escenarios!$F$37,Escenarios!$F$37,AF181-Escenarios!$F$38)),0)</f>
        <v>0</v>
      </c>
      <c r="AH181" s="76">
        <f>AG181*Entradas!$F$99</f>
        <v>0</v>
      </c>
      <c r="AI181" s="76">
        <f>IF(Entradas!$F$91&gt;0,D181*Entradas!$D$23/Escenarios!$F$16,0)</f>
        <v>0.12051958103811887</v>
      </c>
      <c r="AJ181" s="76">
        <f>IF(Entradas!$F$91&gt;0,Entradas!$D$24*Entradas!$D$22/Escenarios!$F$16,0)</f>
        <v>0.12</v>
      </c>
      <c r="AK181" s="76">
        <f t="shared" si="30"/>
        <v>0.12051958115971581</v>
      </c>
      <c r="AL181" s="76">
        <f t="shared" si="31"/>
        <v>0</v>
      </c>
      <c r="AM181" s="76">
        <f t="shared" si="32"/>
        <v>0</v>
      </c>
      <c r="AN181" s="76">
        <f>MAX(0,O181*Escenarios!$F$13/Escenarios!$F$16-AM181)</f>
        <v>5.0899884483348654E-13</v>
      </c>
      <c r="AO181" s="76">
        <f>AM181+AN181-O181*Escenarios!$F$13/Escenarios!$F$16</f>
        <v>0</v>
      </c>
      <c r="AP181" s="76">
        <f t="shared" si="33"/>
        <v>0.48493691207273548</v>
      </c>
      <c r="AQ181" s="76">
        <f t="shared" si="34"/>
        <v>0</v>
      </c>
      <c r="AR181" s="76">
        <f t="shared" si="35"/>
        <v>0.48493691207324446</v>
      </c>
      <c r="AS181" s="76">
        <f t="shared" si="36"/>
        <v>0</v>
      </c>
      <c r="AT181" s="76">
        <f t="shared" si="37"/>
        <v>0</v>
      </c>
      <c r="AU181" s="76">
        <f t="shared" si="38"/>
        <v>52.097957365632226</v>
      </c>
      <c r="AV181" s="76">
        <f>MAX(0,(AU181-Constantes!$D$13)*(1-EXP(-Constantes!$D$24)))</f>
        <v>5.1174355498679346E-2</v>
      </c>
      <c r="AW181" s="170">
        <f>AW180+(Entradas!$F$112*AT181-AX180)/(800*Entradas!$D$25)</f>
        <v>0</v>
      </c>
      <c r="AX181" s="170">
        <f>8000*Entradas!$D$26*AW181/Constantes!$F$45</f>
        <v>0</v>
      </c>
      <c r="AY181" s="170">
        <f>IF(Escenarios!$F$17&gt;0,10*Escenarios!$F$16*AL181,0)</f>
        <v>0</v>
      </c>
      <c r="AZ181" s="170">
        <f>IF(Escenarios!$F$17&gt;0,10*Escenarios!$F$16*AX181,0)</f>
        <v>0</v>
      </c>
      <c r="BA181" s="170">
        <f>IF(Escenarios!$F$17&gt;0,0.001*Observaciones!$F180*Escenarios!$F$17,0)</f>
        <v>0</v>
      </c>
      <c r="BB181" s="170">
        <f>IF(Escenarios!$F$17&gt;0,Observaciones!$K180,0)</f>
        <v>0</v>
      </c>
      <c r="BC181" s="170">
        <f>IF(Escenarios!$F$17&gt;0,MIN(0.0005*ETo!$M180*Escenarios!$F$17*(BG180/Constantes!$F$40)^(2/3),BG180+AY181+AZ181+BA181+BB181),0)</f>
        <v>0</v>
      </c>
      <c r="BD181" s="170">
        <f>IF(Escenarios!$F$17&gt;0,MIN(Constantes!$F$39*(BG180/Constantes!$F$40)^(2/3),BG180+AY181+AZ181+BA181+BB181-BC181),0)</f>
        <v>0</v>
      </c>
      <c r="BE181" s="170">
        <f>IF(Escenarios!$F$17&gt;0,MIN(Entradas!$F$113,BG180+AY181+AZ181+BA181+BB181-BC181-BD181),0)</f>
        <v>0</v>
      </c>
      <c r="BF181" s="170">
        <f>IF(Escenarios!$F$17&gt;0,MAX(0,BG180+AY181+AZ181+BA181+BB181-BC181-BD181-BE181-Constantes!$F$40),0)</f>
        <v>0</v>
      </c>
      <c r="BG181" s="170">
        <f t="shared" si="39"/>
        <v>0</v>
      </c>
      <c r="BH181" s="170">
        <f>(Escenarios!$F$16*AK181+0.1*BC181)/(Escenarios!$F$19)</f>
        <v>0.12051958115971581</v>
      </c>
      <c r="BI181" s="170">
        <f>IF(Escenarios!$F$17&gt;0,BF181/10/Escenarios!$F$19,AL181)</f>
        <v>0</v>
      </c>
      <c r="BJ181" s="170">
        <f>(Escenarios!$F$16*AT181+0.1*BD181)/(Escenarios!$F$19)</f>
        <v>0</v>
      </c>
      <c r="BK181" s="76">
        <f>BK180+(0.1*BD181)/(Escenarios!$F$19)-BL180</f>
        <v>48.75</v>
      </c>
      <c r="BL181" s="76">
        <f>MAX(0,(BK181-Constantes!$D$13)*(1-EXP(-Constantes!$D$23)))</f>
        <v>0</v>
      </c>
      <c r="BM181" s="76">
        <f t="shared" si="40"/>
        <v>0.53611126757141481</v>
      </c>
      <c r="BN181" s="76">
        <f t="shared" si="41"/>
        <v>0.53611126757192384</v>
      </c>
      <c r="BO181" s="76">
        <f>0.0526*BI181*Observaciones!$F180^1.218</f>
        <v>0</v>
      </c>
      <c r="BP181" s="76">
        <f>BO181*Constantes!$F$51</f>
        <v>0</v>
      </c>
      <c r="BQ181" s="76">
        <f t="shared" si="42"/>
        <v>0</v>
      </c>
      <c r="BR181" s="40"/>
    </row>
    <row r="182" spans="2:70">
      <c r="B182" s="39"/>
      <c r="C182" s="75">
        <v>176</v>
      </c>
      <c r="D182" s="146">
        <f>ETo!$I181*((1-Constantes!$F$19)*ETo!$K181+ETo!$L181)</f>
        <v>2.5118677150761517</v>
      </c>
      <c r="E182" s="76">
        <f>MIN(D182*Constantes!$F$17,0.8*(N181+Observaciones!$F181-F182-M182-Constantes!$D$14))</f>
        <v>1.3584156022261597E-11</v>
      </c>
      <c r="F182" s="76">
        <f>IF(Observaciones!$F181&gt;0.05*Constantes!$F$18,((Observaciones!$F181-0.05*Constantes!$F$18)^2)/(Observaciones!$F181+0.95*Constantes!$F$18),0)</f>
        <v>0</v>
      </c>
      <c r="G182" s="76">
        <f>IF(Escenarios!$F$11&gt;0,(F182*Escenarios!$F$16*10000)/1000,0)</f>
        <v>0</v>
      </c>
      <c r="H182" s="76">
        <f>IF(Escenarios!$F$11&gt;0,(Observaciones!$F181*Constantes!$F$29)/1000,0)</f>
        <v>0</v>
      </c>
      <c r="I182" s="76">
        <f>IF(Escenarios!$F$11&gt;0,(D182*Constantes!$F$29)/1000,0)</f>
        <v>0</v>
      </c>
      <c r="J182" s="76">
        <f>IF(Escenarios!$F$11&gt;0,MAX(0,G182+H182-I182),0)</f>
        <v>0</v>
      </c>
      <c r="K182" s="76">
        <f>IF(Escenarios!$F$11&gt;0,IF(J182&gt;Constantes!$F$30,1000*((J182-Constantes!$F$30)/(Escenarios!$F$16*10000)),0),F182)</f>
        <v>0</v>
      </c>
      <c r="L182" s="76">
        <f>IF(Escenarios!$F$11&gt;0,I182*1000/Escenarios!$F$16/10000+E182,E182)</f>
        <v>1.3584156022261597E-11</v>
      </c>
      <c r="M182" s="76">
        <f>MAX(0,N181+Observaciones!$F181-K182-Constantes!$D$13)</f>
        <v>0</v>
      </c>
      <c r="N182" s="76">
        <f>N181+Observaciones!$F181-K182-L182-M182-O181</f>
        <v>11.250000000002817</v>
      </c>
      <c r="O182" s="76">
        <f>MAX(0,(N182-Constantes!$D$14)*(1-EXP(-Constantes!$D$22)))</f>
        <v>9.5967646851837566E-14</v>
      </c>
      <c r="P182" s="170">
        <f>P181+(Entradas!$F$83*M182-Q181)/(800*Entradas!$D$25)</f>
        <v>0</v>
      </c>
      <c r="Q182" s="170">
        <f>8000*Entradas!$D$26*P182/Constantes!$F$45</f>
        <v>0</v>
      </c>
      <c r="R182" s="170">
        <f>IF(Escenarios!$F$14&gt;0,K182*Escenarios!$F$13/Escenarios!$F$14,0)</f>
        <v>0</v>
      </c>
      <c r="S182" s="170">
        <f>IF(Escenarios!$F$14&gt;0,Q182*Escenarios!$F$13/Escenarios!$F$14,0)</f>
        <v>0</v>
      </c>
      <c r="T182" s="170">
        <f>IF(Escenarios!$F$14&gt;0,Observaciones!$I181,0)</f>
        <v>0</v>
      </c>
      <c r="U182" s="170">
        <f>IF(Escenarios!$F$14&gt;0,MAX(0,Constantes!$F$36/((Z181+R182+S182+T182+Observaciones!$F181)^2)+Entradas!$F$77),0)</f>
        <v>0</v>
      </c>
      <c r="V182" s="146">
        <f>IF(ETo!D181&gt;0,ETo!I181*((1-Entradas!$F$81)*ETo!K181+ETo!L181),0)</f>
        <v>2.185295804781997</v>
      </c>
      <c r="W182" s="170">
        <f>IF(Escenarios!$F$14&gt;0,MIN(V182*1,0.8*(Z181+R182+S182+T182+Observaciones!$F181-U182-Constantes!$F$35)),0)</f>
        <v>8.2593487604754046E-11</v>
      </c>
      <c r="X182" s="170">
        <f>IF(Escenarios!$F$14&gt;0,Observaciones!$J181,0)</f>
        <v>0</v>
      </c>
      <c r="Y182" s="170">
        <f>IF(Escenarios!$F$14&gt;0,MAX(0,Z181+R182+S182+T182+Observaciones!$F181-U182-W182-X182-Constantes!$F$33),0)</f>
        <v>0</v>
      </c>
      <c r="Z182" s="170">
        <f>Z181+R182+S182+T182+Observaciones!$F181-U182-W182-Y182</f>
        <v>41.250000000020648</v>
      </c>
      <c r="AA182" s="170">
        <f>IF(Escenarios!$F$14&gt;0,(Escenarios!$F$13*L182+Escenarios!$F$14*W182)/(Escenarios!$F$16),L182)</f>
        <v>2.186527581216069E-11</v>
      </c>
      <c r="AB182" s="170">
        <f>IF(Escenarios!$F$14&gt;0,(Escenarios!$F$14*Y182)/(Escenarios!$F$16),K182)</f>
        <v>0</v>
      </c>
      <c r="AC182" s="170">
        <f>IF(Escenarios!$F$14&gt;0,(Escenarios!$F$13*M182+Escenarios!$F$14*U182)/(Escenarios!$F$16),M182)</f>
        <v>0</v>
      </c>
      <c r="AD182" s="76">
        <f t="shared" si="29"/>
        <v>97.481057174624524</v>
      </c>
      <c r="AE182" s="76">
        <f>MAX(0,(AD182-Constantes!$D$13)*(1-EXP(-Constantes!$D$23)))</f>
        <v>0.48015871317510911</v>
      </c>
      <c r="AF182" s="76">
        <f>AB182+O182*Escenarios!$F$13/Escenarios!$F$16+AE182</f>
        <v>0.48015871317519354</v>
      </c>
      <c r="AG182" s="76">
        <f>IF(Entradas!$F$91&gt;0,IF(AF182-Escenarios!$F$38&lt;=0,0,IF(AF182-Escenarios!$F$38&gt;Escenarios!$F$37,Escenarios!$F$37,AF182-Escenarios!$F$38)),0)</f>
        <v>0</v>
      </c>
      <c r="AH182" s="76">
        <f>AG182*Entradas!$F$99</f>
        <v>0</v>
      </c>
      <c r="AI182" s="76">
        <f>IF(Entradas!$F$91&gt;0,D182*Entradas!$D$23/Escenarios!$F$16,0)</f>
        <v>0.12056965032365528</v>
      </c>
      <c r="AJ182" s="76">
        <f>IF(Entradas!$F$91&gt;0,Entradas!$D$24*Entradas!$D$22/Escenarios!$F$16,0)</f>
        <v>0.12</v>
      </c>
      <c r="AK182" s="76">
        <f t="shared" si="30"/>
        <v>0.12056965034552056</v>
      </c>
      <c r="AL182" s="76">
        <f t="shared" si="31"/>
        <v>0</v>
      </c>
      <c r="AM182" s="76">
        <f t="shared" si="32"/>
        <v>0</v>
      </c>
      <c r="AN182" s="76">
        <f>MAX(0,O182*Escenarios!$F$13/Escenarios!$F$16-AM182)</f>
        <v>8.4451529229617055E-14</v>
      </c>
      <c r="AO182" s="76">
        <f>AM182+AN182-O182*Escenarios!$F$13/Escenarios!$F$16</f>
        <v>0</v>
      </c>
      <c r="AP182" s="76">
        <f t="shared" si="33"/>
        <v>0.48015871317510911</v>
      </c>
      <c r="AQ182" s="76">
        <f t="shared" si="34"/>
        <v>0</v>
      </c>
      <c r="AR182" s="76">
        <f t="shared" si="35"/>
        <v>0.48015871317519354</v>
      </c>
      <c r="AS182" s="76">
        <f t="shared" si="36"/>
        <v>0</v>
      </c>
      <c r="AT182" s="76">
        <f t="shared" si="37"/>
        <v>0</v>
      </c>
      <c r="AU182" s="76">
        <f t="shared" si="38"/>
        <v>52.046783010133545</v>
      </c>
      <c r="AV182" s="76">
        <f>MAX(0,(AU182-Constantes!$D$13)*(1-EXP(-Constantes!$D$24)))</f>
        <v>5.0392142831460762E-2</v>
      </c>
      <c r="AW182" s="170">
        <f>AW181+(Entradas!$F$112*AT182-AX181)/(800*Entradas!$D$25)</f>
        <v>0</v>
      </c>
      <c r="AX182" s="170">
        <f>8000*Entradas!$D$26*AW182/Constantes!$F$45</f>
        <v>0</v>
      </c>
      <c r="AY182" s="170">
        <f>IF(Escenarios!$F$17&gt;0,10*Escenarios!$F$16*AL182,0)</f>
        <v>0</v>
      </c>
      <c r="AZ182" s="170">
        <f>IF(Escenarios!$F$17&gt;0,10*Escenarios!$F$16*AX182,0)</f>
        <v>0</v>
      </c>
      <c r="BA182" s="170">
        <f>IF(Escenarios!$F$17&gt;0,0.001*Observaciones!$F181*Escenarios!$F$17,0)</f>
        <v>0</v>
      </c>
      <c r="BB182" s="170">
        <f>IF(Escenarios!$F$17&gt;0,Observaciones!$K181,0)</f>
        <v>0</v>
      </c>
      <c r="BC182" s="170">
        <f>IF(Escenarios!$F$17&gt;0,MIN(0.0005*ETo!$M181*Escenarios!$F$17*(BG181/Constantes!$F$40)^(2/3),BG181+AY182+AZ182+BA182+BB182),0)</f>
        <v>0</v>
      </c>
      <c r="BD182" s="170">
        <f>IF(Escenarios!$F$17&gt;0,MIN(Constantes!$F$39*(BG181/Constantes!$F$40)^(2/3),BG181+AY182+AZ182+BA182+BB182-BC182),0)</f>
        <v>0</v>
      </c>
      <c r="BE182" s="170">
        <f>IF(Escenarios!$F$17&gt;0,MIN(Entradas!$F$113,BG181+AY182+AZ182+BA182+BB182-BC182-BD182),0)</f>
        <v>0</v>
      </c>
      <c r="BF182" s="170">
        <f>IF(Escenarios!$F$17&gt;0,MAX(0,BG181+AY182+AZ182+BA182+BB182-BC182-BD182-BE182-Constantes!$F$40),0)</f>
        <v>0</v>
      </c>
      <c r="BG182" s="170">
        <f t="shared" si="39"/>
        <v>0</v>
      </c>
      <c r="BH182" s="170">
        <f>(Escenarios!$F$16*AK182+0.1*BC182)/(Escenarios!$F$19)</f>
        <v>0.12056965034552056</v>
      </c>
      <c r="BI182" s="170">
        <f>IF(Escenarios!$F$17&gt;0,BF182/10/Escenarios!$F$19,AL182)</f>
        <v>0</v>
      </c>
      <c r="BJ182" s="170">
        <f>(Escenarios!$F$16*AT182+0.1*BD182)/(Escenarios!$F$19)</f>
        <v>0</v>
      </c>
      <c r="BK182" s="76">
        <f>BK181+(0.1*BD182)/(Escenarios!$F$19)-BL181</f>
        <v>48.75</v>
      </c>
      <c r="BL182" s="76">
        <f>MAX(0,(BK182-Constantes!$D$13)*(1-EXP(-Constantes!$D$23)))</f>
        <v>0</v>
      </c>
      <c r="BM182" s="76">
        <f t="shared" si="40"/>
        <v>0.53055085600656993</v>
      </c>
      <c r="BN182" s="76">
        <f t="shared" si="41"/>
        <v>0.5305508560066543</v>
      </c>
      <c r="BO182" s="76">
        <f>0.0526*BI182*Observaciones!$F181^1.218</f>
        <v>0</v>
      </c>
      <c r="BP182" s="76">
        <f>BO182*Constantes!$F$51</f>
        <v>0</v>
      </c>
      <c r="BQ182" s="76">
        <f t="shared" si="42"/>
        <v>0</v>
      </c>
      <c r="BR182" s="40"/>
    </row>
    <row r="183" spans="2:70">
      <c r="B183" s="39"/>
      <c r="C183" s="75">
        <v>177</v>
      </c>
      <c r="D183" s="146">
        <f>ETo!$I182*((1-Constantes!$F$19)*ETo!$K182+ETo!$L182)</f>
        <v>2.6152877676428719</v>
      </c>
      <c r="E183" s="76">
        <f>MIN(D183*Constantes!$F$17,0.8*(N182+Observaciones!$F182-F183-M183-Constantes!$D$14))</f>
        <v>2.2538415578310381E-12</v>
      </c>
      <c r="F183" s="76">
        <f>IF(Observaciones!$F182&gt;0.05*Constantes!$F$18,((Observaciones!$F182-0.05*Constantes!$F$18)^2)/(Observaciones!$F182+0.95*Constantes!$F$18),0)</f>
        <v>0</v>
      </c>
      <c r="G183" s="76">
        <f>IF(Escenarios!$F$11&gt;0,(F183*Escenarios!$F$16*10000)/1000,0)</f>
        <v>0</v>
      </c>
      <c r="H183" s="76">
        <f>IF(Escenarios!$F$11&gt;0,(Observaciones!$F182*Constantes!$F$29)/1000,0)</f>
        <v>0</v>
      </c>
      <c r="I183" s="76">
        <f>IF(Escenarios!$F$11&gt;0,(D183*Constantes!$F$29)/1000,0)</f>
        <v>0</v>
      </c>
      <c r="J183" s="76">
        <f>IF(Escenarios!$F$11&gt;0,MAX(0,G183+H183-I183),0)</f>
        <v>0</v>
      </c>
      <c r="K183" s="76">
        <f>IF(Escenarios!$F$11&gt;0,IF(J183&gt;Constantes!$F$30,1000*((J183-Constantes!$F$30)/(Escenarios!$F$16*10000)),0),F183)</f>
        <v>0</v>
      </c>
      <c r="L183" s="76">
        <f>IF(Escenarios!$F$11&gt;0,I183*1000/Escenarios!$F$16/10000+E183,E183)</f>
        <v>2.2538415578310381E-12</v>
      </c>
      <c r="M183" s="76">
        <f>MAX(0,N182+Observaciones!$F182-K183-Constantes!$D$13)</f>
        <v>0</v>
      </c>
      <c r="N183" s="76">
        <f>N182+Observaciones!$F182-K183-L183-M183-O182</f>
        <v>11.250000000000467</v>
      </c>
      <c r="O183" s="76">
        <f>MAX(0,(N183-Constantes!$D$14)*(1-EXP(-Constantes!$D$22)))</f>
        <v>1.5913928828520352E-14</v>
      </c>
      <c r="P183" s="170">
        <f>P182+(Entradas!$F$83*M183-Q182)/(800*Entradas!$D$25)</f>
        <v>0</v>
      </c>
      <c r="Q183" s="170">
        <f>8000*Entradas!$D$26*P183/Constantes!$F$45</f>
        <v>0</v>
      </c>
      <c r="R183" s="170">
        <f>IF(Escenarios!$F$14&gt;0,K183*Escenarios!$F$13/Escenarios!$F$14,0)</f>
        <v>0</v>
      </c>
      <c r="S183" s="170">
        <f>IF(Escenarios!$F$14&gt;0,Q183*Escenarios!$F$13/Escenarios!$F$14,0)</f>
        <v>0</v>
      </c>
      <c r="T183" s="170">
        <f>IF(Escenarios!$F$14&gt;0,Observaciones!$I182,0)</f>
        <v>0</v>
      </c>
      <c r="U183" s="170">
        <f>IF(Escenarios!$F$14&gt;0,MAX(0,Constantes!$F$36/((Z182+R183+S183+T183+Observaciones!$F182)^2)+Entradas!$F$77),0)</f>
        <v>0</v>
      </c>
      <c r="V183" s="146">
        <f>IF(ETo!D182&gt;0,ETo!I182*((1-Entradas!$F$81)*ETo!K182+ETo!L182),0)</f>
        <v>2.2763799912103164</v>
      </c>
      <c r="W183" s="170">
        <f>IF(Escenarios!$F$14&gt;0,MIN(V183*1,0.8*(Z182+R183+S183+T183+Observaciones!$F182-U183-Constantes!$F$35)),0)</f>
        <v>1.651869752095081E-11</v>
      </c>
      <c r="X183" s="170">
        <f>IF(Escenarios!$F$14&gt;0,Observaciones!$J182,0)</f>
        <v>0</v>
      </c>
      <c r="Y183" s="170">
        <f>IF(Escenarios!$F$14&gt;0,MAX(0,Z182+R183+S183+T183+Observaciones!$F182-U183-W183-X183-Constantes!$F$33),0)</f>
        <v>0</v>
      </c>
      <c r="Z183" s="170">
        <f>Z182+R183+S183+T183+Observaciones!$F182-U183-W183-Y183</f>
        <v>41.250000000004128</v>
      </c>
      <c r="AA183" s="170">
        <f>IF(Escenarios!$F$14&gt;0,(Escenarios!$F$13*L183+Escenarios!$F$14*W183)/(Escenarios!$F$16),L183)</f>
        <v>3.9656242734054101E-12</v>
      </c>
      <c r="AB183" s="170">
        <f>IF(Escenarios!$F$14&gt;0,(Escenarios!$F$14*Y183)/(Escenarios!$F$16),K183)</f>
        <v>0</v>
      </c>
      <c r="AC183" s="170">
        <f>IF(Escenarios!$F$14&gt;0,(Escenarios!$F$13*M183+Escenarios!$F$14*U183)/(Escenarios!$F$16),M183)</f>
        <v>0</v>
      </c>
      <c r="AD183" s="76">
        <f t="shared" si="29"/>
        <v>97.00089846144941</v>
      </c>
      <c r="AE183" s="76">
        <f>MAX(0,(AD183-Constantes!$D$13)*(1-EXP(-Constantes!$D$23)))</f>
        <v>0.47542759500929938</v>
      </c>
      <c r="AF183" s="76">
        <f>AB183+O183*Escenarios!$F$13/Escenarios!$F$16+AE183</f>
        <v>0.47542759500931336</v>
      </c>
      <c r="AG183" s="76">
        <f>IF(Entradas!$F$91&gt;0,IF(AF183-Escenarios!$F$38&lt;=0,0,IF(AF183-Escenarios!$F$38&gt;Escenarios!$F$37,Escenarios!$F$37,AF183-Escenarios!$F$38)),0)</f>
        <v>0</v>
      </c>
      <c r="AH183" s="76">
        <f>AG183*Entradas!$F$99</f>
        <v>0</v>
      </c>
      <c r="AI183" s="76">
        <f>IF(Entradas!$F$91&gt;0,D183*Entradas!$D$23/Escenarios!$F$16,0)</f>
        <v>0.12553381284685783</v>
      </c>
      <c r="AJ183" s="76">
        <f>IF(Entradas!$F$91&gt;0,Entradas!$D$24*Entradas!$D$22/Escenarios!$F$16,0)</f>
        <v>0.12</v>
      </c>
      <c r="AK183" s="76">
        <f t="shared" si="30"/>
        <v>0.12553381285082346</v>
      </c>
      <c r="AL183" s="76">
        <f t="shared" si="31"/>
        <v>0</v>
      </c>
      <c r="AM183" s="76">
        <f t="shared" si="32"/>
        <v>0</v>
      </c>
      <c r="AN183" s="76">
        <f>MAX(0,O183*Escenarios!$F$13/Escenarios!$F$16-AM183)</f>
        <v>1.400425736909791E-14</v>
      </c>
      <c r="AO183" s="76">
        <f>AM183+AN183-O183*Escenarios!$F$13/Escenarios!$F$16</f>
        <v>0</v>
      </c>
      <c r="AP183" s="76">
        <f t="shared" si="33"/>
        <v>0.47542759500929938</v>
      </c>
      <c r="AQ183" s="76">
        <f t="shared" si="34"/>
        <v>0</v>
      </c>
      <c r="AR183" s="76">
        <f t="shared" si="35"/>
        <v>0.47542759500931336</v>
      </c>
      <c r="AS183" s="76">
        <f t="shared" si="36"/>
        <v>0</v>
      </c>
      <c r="AT183" s="76">
        <f t="shared" si="37"/>
        <v>0</v>
      </c>
      <c r="AU183" s="76">
        <f t="shared" si="38"/>
        <v>51.996390867302082</v>
      </c>
      <c r="AV183" s="76">
        <f>MAX(0,(AU183-Constantes!$D$13)*(1-EXP(-Constantes!$D$24)))</f>
        <v>4.9621886478118424E-2</v>
      </c>
      <c r="AW183" s="170">
        <f>AW182+(Entradas!$F$112*AT183-AX182)/(800*Entradas!$D$25)</f>
        <v>0</v>
      </c>
      <c r="AX183" s="170">
        <f>8000*Entradas!$D$26*AW183/Constantes!$F$45</f>
        <v>0</v>
      </c>
      <c r="AY183" s="170">
        <f>IF(Escenarios!$F$17&gt;0,10*Escenarios!$F$16*AL183,0)</f>
        <v>0</v>
      </c>
      <c r="AZ183" s="170">
        <f>IF(Escenarios!$F$17&gt;0,10*Escenarios!$F$16*AX183,0)</f>
        <v>0</v>
      </c>
      <c r="BA183" s="170">
        <f>IF(Escenarios!$F$17&gt;0,0.001*Observaciones!$F182*Escenarios!$F$17,0)</f>
        <v>0</v>
      </c>
      <c r="BB183" s="170">
        <f>IF(Escenarios!$F$17&gt;0,Observaciones!$K182,0)</f>
        <v>0</v>
      </c>
      <c r="BC183" s="170">
        <f>IF(Escenarios!$F$17&gt;0,MIN(0.0005*ETo!$M182*Escenarios!$F$17*(BG182/Constantes!$F$40)^(2/3),BG182+AY183+AZ183+BA183+BB183),0)</f>
        <v>0</v>
      </c>
      <c r="BD183" s="170">
        <f>IF(Escenarios!$F$17&gt;0,MIN(Constantes!$F$39*(BG182/Constantes!$F$40)^(2/3),BG182+AY183+AZ183+BA183+BB183-BC183),0)</f>
        <v>0</v>
      </c>
      <c r="BE183" s="170">
        <f>IF(Escenarios!$F$17&gt;0,MIN(Entradas!$F$113,BG182+AY183+AZ183+BA183+BB183-BC183-BD183),0)</f>
        <v>0</v>
      </c>
      <c r="BF183" s="170">
        <f>IF(Escenarios!$F$17&gt;0,MAX(0,BG182+AY183+AZ183+BA183+BB183-BC183-BD183-BE183-Constantes!$F$40),0)</f>
        <v>0</v>
      </c>
      <c r="BG183" s="170">
        <f t="shared" si="39"/>
        <v>0</v>
      </c>
      <c r="BH183" s="170">
        <f>(Escenarios!$F$16*AK183+0.1*BC183)/(Escenarios!$F$19)</f>
        <v>0.12553381285082346</v>
      </c>
      <c r="BI183" s="170">
        <f>IF(Escenarios!$F$17&gt;0,BF183/10/Escenarios!$F$19,AL183)</f>
        <v>0</v>
      </c>
      <c r="BJ183" s="170">
        <f>(Escenarios!$F$16*AT183+0.1*BD183)/(Escenarios!$F$19)</f>
        <v>0</v>
      </c>
      <c r="BK183" s="76">
        <f>BK182+(0.1*BD183)/(Escenarios!$F$19)-BL182</f>
        <v>48.75</v>
      </c>
      <c r="BL183" s="76">
        <f>MAX(0,(BK183-Constantes!$D$13)*(1-EXP(-Constantes!$D$23)))</f>
        <v>0</v>
      </c>
      <c r="BM183" s="76">
        <f t="shared" si="40"/>
        <v>0.52504948148741781</v>
      </c>
      <c r="BN183" s="76">
        <f t="shared" si="41"/>
        <v>0.5250494814874318</v>
      </c>
      <c r="BO183" s="76">
        <f>0.0526*BI183*Observaciones!$F182^1.218</f>
        <v>0</v>
      </c>
      <c r="BP183" s="76">
        <f>BO183*Constantes!$F$51</f>
        <v>0</v>
      </c>
      <c r="BQ183" s="76">
        <f t="shared" si="42"/>
        <v>0</v>
      </c>
      <c r="BR183" s="40"/>
    </row>
    <row r="184" spans="2:70">
      <c r="B184" s="39"/>
      <c r="C184" s="75">
        <v>178</v>
      </c>
      <c r="D184" s="146">
        <f>ETo!$I183*((1-Constantes!$F$19)*ETo!$K183+ETo!$L183)</f>
        <v>2.5183205315496284</v>
      </c>
      <c r="E184" s="76">
        <f>MIN(D184*Constantes!$F$17,0.8*(N183+Observaciones!$F183-F184-M184-Constantes!$D$14))</f>
        <v>3.7374547900981271E-13</v>
      </c>
      <c r="F184" s="76">
        <f>IF(Observaciones!$F183&gt;0.05*Constantes!$F$18,((Observaciones!$F183-0.05*Constantes!$F$18)^2)/(Observaciones!$F183+0.95*Constantes!$F$18),0)</f>
        <v>0</v>
      </c>
      <c r="G184" s="76">
        <f>IF(Escenarios!$F$11&gt;0,(F184*Escenarios!$F$16*10000)/1000,0)</f>
        <v>0</v>
      </c>
      <c r="H184" s="76">
        <f>IF(Escenarios!$F$11&gt;0,(Observaciones!$F183*Constantes!$F$29)/1000,0)</f>
        <v>0</v>
      </c>
      <c r="I184" s="76">
        <f>IF(Escenarios!$F$11&gt;0,(D184*Constantes!$F$29)/1000,0)</f>
        <v>0</v>
      </c>
      <c r="J184" s="76">
        <f>IF(Escenarios!$F$11&gt;0,MAX(0,G184+H184-I184),0)</f>
        <v>0</v>
      </c>
      <c r="K184" s="76">
        <f>IF(Escenarios!$F$11&gt;0,IF(J184&gt;Constantes!$F$30,1000*((J184-Constantes!$F$30)/(Escenarios!$F$16*10000)),0),F184)</f>
        <v>0</v>
      </c>
      <c r="L184" s="76">
        <f>IF(Escenarios!$F$11&gt;0,I184*1000/Escenarios!$F$16/10000+E184,E184)</f>
        <v>3.7374547900981271E-13</v>
      </c>
      <c r="M184" s="76">
        <f>MAX(0,N183+Observaciones!$F183-K184-Constantes!$D$13)</f>
        <v>0</v>
      </c>
      <c r="N184" s="76">
        <f>N183+Observaciones!$F183-K184-L184-M184-O183</f>
        <v>11.250000000000078</v>
      </c>
      <c r="O184" s="76">
        <f>MAX(0,(N184-Constantes!$D$14)*(1-EXP(-Constantes!$D$22)))</f>
        <v>2.6624063439349641E-15</v>
      </c>
      <c r="P184" s="170">
        <f>P183+(Entradas!$F$83*M184-Q183)/(800*Entradas!$D$25)</f>
        <v>0</v>
      </c>
      <c r="Q184" s="170">
        <f>8000*Entradas!$D$26*P184/Constantes!$F$45</f>
        <v>0</v>
      </c>
      <c r="R184" s="170">
        <f>IF(Escenarios!$F$14&gt;0,K184*Escenarios!$F$13/Escenarios!$F$14,0)</f>
        <v>0</v>
      </c>
      <c r="S184" s="170">
        <f>IF(Escenarios!$F$14&gt;0,Q184*Escenarios!$F$13/Escenarios!$F$14,0)</f>
        <v>0</v>
      </c>
      <c r="T184" s="170">
        <f>IF(Escenarios!$F$14&gt;0,Observaciones!$I183,0)</f>
        <v>0</v>
      </c>
      <c r="U184" s="170">
        <f>IF(Escenarios!$F$14&gt;0,MAX(0,Constantes!$F$36/((Z183+R184+S184+T184+Observaciones!$F183)^2)+Entradas!$F$77),0)</f>
        <v>0</v>
      </c>
      <c r="V184" s="146">
        <f>IF(ETo!D183&gt;0,ETo!I183*((1-Entradas!$F$81)*ETo!K183+ETo!L183),0)</f>
        <v>2.1910951843050475</v>
      </c>
      <c r="W184" s="170">
        <f>IF(Escenarios!$F$14&gt;0,MIN(V184*1,0.8*(Z183+R184+S184+T184+Observaciones!$F183-U184-Constantes!$F$35)),0)</f>
        <v>3.3026026358129457E-12</v>
      </c>
      <c r="X184" s="170">
        <f>IF(Escenarios!$F$14&gt;0,Observaciones!$J183,0)</f>
        <v>0</v>
      </c>
      <c r="Y184" s="170">
        <f>IF(Escenarios!$F$14&gt;0,MAX(0,Z183+R184+S184+T184+Observaciones!$F183-U184-W184-X184-Constantes!$F$33),0)</f>
        <v>0</v>
      </c>
      <c r="Z184" s="170">
        <f>Z183+R184+S184+T184+Observaciones!$F183-U184-W184-Y184</f>
        <v>41.250000000000824</v>
      </c>
      <c r="AA184" s="170">
        <f>IF(Escenarios!$F$14&gt;0,(Escenarios!$F$13*L184+Escenarios!$F$14*W184)/(Escenarios!$F$16),L184)</f>
        <v>7.252083378261886E-13</v>
      </c>
      <c r="AB184" s="170">
        <f>IF(Escenarios!$F$14&gt;0,(Escenarios!$F$14*Y184)/(Escenarios!$F$16),K184)</f>
        <v>0</v>
      </c>
      <c r="AC184" s="170">
        <f>IF(Escenarios!$F$14&gt;0,(Escenarios!$F$13*M184+Escenarios!$F$14*U184)/(Escenarios!$F$16),M184)</f>
        <v>0</v>
      </c>
      <c r="AD184" s="76">
        <f t="shared" si="29"/>
        <v>96.525470866440116</v>
      </c>
      <c r="AE184" s="76">
        <f>MAX(0,(AD184-Constantes!$D$13)*(1-EXP(-Constantes!$D$23)))</f>
        <v>0.470743093677642</v>
      </c>
      <c r="AF184" s="76">
        <f>AB184+O184*Escenarios!$F$13/Escenarios!$F$16+AE184</f>
        <v>0.47074309367764433</v>
      </c>
      <c r="AG184" s="76">
        <f>IF(Entradas!$F$91&gt;0,IF(AF184-Escenarios!$F$38&lt;=0,0,IF(AF184-Escenarios!$F$38&gt;Escenarios!$F$37,Escenarios!$F$37,AF184-Escenarios!$F$38)),0)</f>
        <v>0</v>
      </c>
      <c r="AH184" s="76">
        <f>AG184*Entradas!$F$99</f>
        <v>0</v>
      </c>
      <c r="AI184" s="76">
        <f>IF(Entradas!$F$91&gt;0,D184*Entradas!$D$23/Escenarios!$F$16,0)</f>
        <v>0.12087938551438217</v>
      </c>
      <c r="AJ184" s="76">
        <f>IF(Entradas!$F$91&gt;0,Entradas!$D$24*Entradas!$D$22/Escenarios!$F$16,0)</f>
        <v>0.12</v>
      </c>
      <c r="AK184" s="76">
        <f t="shared" si="30"/>
        <v>0.12087938551510738</v>
      </c>
      <c r="AL184" s="76">
        <f t="shared" si="31"/>
        <v>0</v>
      </c>
      <c r="AM184" s="76">
        <f t="shared" si="32"/>
        <v>0</v>
      </c>
      <c r="AN184" s="76">
        <f>MAX(0,O184*Escenarios!$F$13/Escenarios!$F$16-AM184)</f>
        <v>2.3429175826627683E-15</v>
      </c>
      <c r="AO184" s="76">
        <f>AM184+AN184-O184*Escenarios!$F$13/Escenarios!$F$16</f>
        <v>0</v>
      </c>
      <c r="AP184" s="76">
        <f t="shared" si="33"/>
        <v>0.470743093677642</v>
      </c>
      <c r="AQ184" s="76">
        <f t="shared" si="34"/>
        <v>0</v>
      </c>
      <c r="AR184" s="76">
        <f t="shared" si="35"/>
        <v>0.47074309367764433</v>
      </c>
      <c r="AS184" s="76">
        <f t="shared" si="36"/>
        <v>0</v>
      </c>
      <c r="AT184" s="76">
        <f t="shared" si="37"/>
        <v>0</v>
      </c>
      <c r="AU184" s="76">
        <f t="shared" si="38"/>
        <v>51.946768980823961</v>
      </c>
      <c r="AV184" s="76">
        <f>MAX(0,(AU184-Constantes!$D$13)*(1-EXP(-Constantes!$D$24)))</f>
        <v>4.8863403683440734E-2</v>
      </c>
      <c r="AW184" s="170">
        <f>AW183+(Entradas!$F$112*AT184-AX183)/(800*Entradas!$D$25)</f>
        <v>0</v>
      </c>
      <c r="AX184" s="170">
        <f>8000*Entradas!$D$26*AW184/Constantes!$F$45</f>
        <v>0</v>
      </c>
      <c r="AY184" s="170">
        <f>IF(Escenarios!$F$17&gt;0,10*Escenarios!$F$16*AL184,0)</f>
        <v>0</v>
      </c>
      <c r="AZ184" s="170">
        <f>IF(Escenarios!$F$17&gt;0,10*Escenarios!$F$16*AX184,0)</f>
        <v>0</v>
      </c>
      <c r="BA184" s="170">
        <f>IF(Escenarios!$F$17&gt;0,0.001*Observaciones!$F183*Escenarios!$F$17,0)</f>
        <v>0</v>
      </c>
      <c r="BB184" s="170">
        <f>IF(Escenarios!$F$17&gt;0,Observaciones!$K183,0)</f>
        <v>0</v>
      </c>
      <c r="BC184" s="170">
        <f>IF(Escenarios!$F$17&gt;0,MIN(0.0005*ETo!$M183*Escenarios!$F$17*(BG183/Constantes!$F$40)^(2/3),BG183+AY184+AZ184+BA184+BB184),0)</f>
        <v>0</v>
      </c>
      <c r="BD184" s="170">
        <f>IF(Escenarios!$F$17&gt;0,MIN(Constantes!$F$39*(BG183/Constantes!$F$40)^(2/3),BG183+AY184+AZ184+BA184+BB184-BC184),0)</f>
        <v>0</v>
      </c>
      <c r="BE184" s="170">
        <f>IF(Escenarios!$F$17&gt;0,MIN(Entradas!$F$113,BG183+AY184+AZ184+BA184+BB184-BC184-BD184),0)</f>
        <v>0</v>
      </c>
      <c r="BF184" s="170">
        <f>IF(Escenarios!$F$17&gt;0,MAX(0,BG183+AY184+AZ184+BA184+BB184-BC184-BD184-BE184-Constantes!$F$40),0)</f>
        <v>0</v>
      </c>
      <c r="BG184" s="170">
        <f t="shared" si="39"/>
        <v>0</v>
      </c>
      <c r="BH184" s="170">
        <f>(Escenarios!$F$16*AK184+0.1*BC184)/(Escenarios!$F$19)</f>
        <v>0.12087938551510738</v>
      </c>
      <c r="BI184" s="170">
        <f>IF(Escenarios!$F$17&gt;0,BF184/10/Escenarios!$F$19,AL184)</f>
        <v>0</v>
      </c>
      <c r="BJ184" s="170">
        <f>(Escenarios!$F$16*AT184+0.1*BD184)/(Escenarios!$F$19)</f>
        <v>0</v>
      </c>
      <c r="BK184" s="76">
        <f>BK183+(0.1*BD184)/(Escenarios!$F$19)-BL183</f>
        <v>48.75</v>
      </c>
      <c r="BL184" s="76">
        <f>MAX(0,(BK184-Constantes!$D$13)*(1-EXP(-Constantes!$D$23)))</f>
        <v>0</v>
      </c>
      <c r="BM184" s="76">
        <f t="shared" si="40"/>
        <v>0.51960649736108278</v>
      </c>
      <c r="BN184" s="76">
        <f t="shared" si="41"/>
        <v>0.51960649736108511</v>
      </c>
      <c r="BO184" s="76">
        <f>0.0526*BI184*Observaciones!$F183^1.218</f>
        <v>0</v>
      </c>
      <c r="BP184" s="76">
        <f>BO184*Constantes!$F$51</f>
        <v>0</v>
      </c>
      <c r="BQ184" s="76">
        <f t="shared" si="42"/>
        <v>0</v>
      </c>
      <c r="BR184" s="40"/>
    </row>
    <row r="185" spans="2:70">
      <c r="B185" s="39"/>
      <c r="C185" s="75">
        <v>179</v>
      </c>
      <c r="D185" s="146">
        <f>ETo!$I184*((1-Constantes!$F$19)*ETo!$K184+ETo!$L184)</f>
        <v>2.6349816637197914</v>
      </c>
      <c r="E185" s="76">
        <f>MIN(D185*Constantes!$F$17,0.8*(N184+Observaciones!$F184-F185-M185-Constantes!$D$14))</f>
        <v>6.2527760746888821E-14</v>
      </c>
      <c r="F185" s="76">
        <f>IF(Observaciones!$F184&gt;0.05*Constantes!$F$18,((Observaciones!$F184-0.05*Constantes!$F$18)^2)/(Observaciones!$F184+0.95*Constantes!$F$18),0)</f>
        <v>0</v>
      </c>
      <c r="G185" s="76">
        <f>IF(Escenarios!$F$11&gt;0,(F185*Escenarios!$F$16*10000)/1000,0)</f>
        <v>0</v>
      </c>
      <c r="H185" s="76">
        <f>IF(Escenarios!$F$11&gt;0,(Observaciones!$F184*Constantes!$F$29)/1000,0)</f>
        <v>0</v>
      </c>
      <c r="I185" s="76">
        <f>IF(Escenarios!$F$11&gt;0,(D185*Constantes!$F$29)/1000,0)</f>
        <v>0</v>
      </c>
      <c r="J185" s="76">
        <f>IF(Escenarios!$F$11&gt;0,MAX(0,G185+H185-I185),0)</f>
        <v>0</v>
      </c>
      <c r="K185" s="76">
        <f>IF(Escenarios!$F$11&gt;0,IF(J185&gt;Constantes!$F$30,1000*((J185-Constantes!$F$30)/(Escenarios!$F$16*10000)),0),F185)</f>
        <v>0</v>
      </c>
      <c r="L185" s="76">
        <f>IF(Escenarios!$F$11&gt;0,I185*1000/Escenarios!$F$16/10000+E185,E185)</f>
        <v>6.2527760746888821E-14</v>
      </c>
      <c r="M185" s="76">
        <f>MAX(0,N184+Observaciones!$F184-K185-Constantes!$D$13)</f>
        <v>0</v>
      </c>
      <c r="N185" s="76">
        <f>N184+Observaciones!$F184-K185-L185-M185-O184</f>
        <v>11.250000000000014</v>
      </c>
      <c r="O185" s="76">
        <f>MAX(0,(N185-Constantes!$D$14)*(1-EXP(-Constantes!$D$22)))</f>
        <v>4.8407388071544802E-16</v>
      </c>
      <c r="P185" s="170">
        <f>P184+(Entradas!$F$83*M185-Q184)/(800*Entradas!$D$25)</f>
        <v>0</v>
      </c>
      <c r="Q185" s="170">
        <f>8000*Entradas!$D$26*P185/Constantes!$F$45</f>
        <v>0</v>
      </c>
      <c r="R185" s="170">
        <f>IF(Escenarios!$F$14&gt;0,K185*Escenarios!$F$13/Escenarios!$F$14,0)</f>
        <v>0</v>
      </c>
      <c r="S185" s="170">
        <f>IF(Escenarios!$F$14&gt;0,Q185*Escenarios!$F$13/Escenarios!$F$14,0)</f>
        <v>0</v>
      </c>
      <c r="T185" s="170">
        <f>IF(Escenarios!$F$14&gt;0,Observaciones!$I184,0)</f>
        <v>0</v>
      </c>
      <c r="U185" s="170">
        <f>IF(Escenarios!$F$14&gt;0,MAX(0,Constantes!$F$36/((Z184+R185+S185+T185+Observaciones!$F184)^2)+Entradas!$F$77),0)</f>
        <v>0</v>
      </c>
      <c r="V185" s="146">
        <f>IF(ETo!D184&gt;0,ETo!I184*((1-Entradas!$F$81)*ETo!K184+ETo!L184),0)</f>
        <v>2.293938767875316</v>
      </c>
      <c r="W185" s="170">
        <f>IF(Escenarios!$F$14&gt;0,MIN(V185*1,0.8*(Z184+R185+S185+T185+Observaciones!$F184-U185-Constantes!$F$35)),0)</f>
        <v>6.5938365878537305E-13</v>
      </c>
      <c r="X185" s="170">
        <f>IF(Escenarios!$F$14&gt;0,Observaciones!$J184,0)</f>
        <v>0</v>
      </c>
      <c r="Y185" s="170">
        <f>IF(Escenarios!$F$14&gt;0,MAX(0,Z184+R185+S185+T185+Observaciones!$F184-U185-W185-X185-Constantes!$F$33),0)</f>
        <v>0</v>
      </c>
      <c r="Z185" s="170">
        <f>Z184+R185+S185+T185+Observaciones!$F184-U185-W185-Y185</f>
        <v>41.250000000000163</v>
      </c>
      <c r="AA185" s="170">
        <f>IF(Escenarios!$F$14&gt;0,(Escenarios!$F$13*L185+Escenarios!$F$14*W185)/(Escenarios!$F$16),L185)</f>
        <v>1.3415046851150693E-13</v>
      </c>
      <c r="AB185" s="170">
        <f>IF(Escenarios!$F$14&gt;0,(Escenarios!$F$14*Y185)/(Escenarios!$F$16),K185)</f>
        <v>0</v>
      </c>
      <c r="AC185" s="170">
        <f>IF(Escenarios!$F$14&gt;0,(Escenarios!$F$13*M185+Escenarios!$F$14*U185)/(Escenarios!$F$16),M185)</f>
        <v>0</v>
      </c>
      <c r="AD185" s="76">
        <f t="shared" si="29"/>
        <v>96.054727772762476</v>
      </c>
      <c r="AE185" s="76">
        <f>MAX(0,(AD185-Constantes!$D$13)*(1-EXP(-Constantes!$D$23)))</f>
        <v>0.4661047498533667</v>
      </c>
      <c r="AF185" s="76">
        <f>AB185+O185*Escenarios!$F$13/Escenarios!$F$16+AE185</f>
        <v>0.46610474985336714</v>
      </c>
      <c r="AG185" s="76">
        <f>IF(Entradas!$F$91&gt;0,IF(AF185-Escenarios!$F$38&lt;=0,0,IF(AF185-Escenarios!$F$38&gt;Escenarios!$F$37,Escenarios!$F$37,AF185-Escenarios!$F$38)),0)</f>
        <v>0</v>
      </c>
      <c r="AH185" s="76">
        <f>AG185*Entradas!$F$99</f>
        <v>0</v>
      </c>
      <c r="AI185" s="76">
        <f>IF(Entradas!$F$91&gt;0,D185*Entradas!$D$23/Escenarios!$F$16,0)</f>
        <v>0.12647911985854998</v>
      </c>
      <c r="AJ185" s="76">
        <f>IF(Entradas!$F$91&gt;0,Entradas!$D$24*Entradas!$D$22/Escenarios!$F$16,0)</f>
        <v>0.12</v>
      </c>
      <c r="AK185" s="76">
        <f t="shared" si="30"/>
        <v>0.12647911985868412</v>
      </c>
      <c r="AL185" s="76">
        <f t="shared" si="31"/>
        <v>0</v>
      </c>
      <c r="AM185" s="76">
        <f t="shared" si="32"/>
        <v>0</v>
      </c>
      <c r="AN185" s="76">
        <f>MAX(0,O185*Escenarios!$F$13/Escenarios!$F$16-AM185)</f>
        <v>4.2598501502959427E-16</v>
      </c>
      <c r="AO185" s="76">
        <f>AM185+AN185-O185*Escenarios!$F$13/Escenarios!$F$16</f>
        <v>0</v>
      </c>
      <c r="AP185" s="76">
        <f t="shared" si="33"/>
        <v>0.4661047498533667</v>
      </c>
      <c r="AQ185" s="76">
        <f t="shared" si="34"/>
        <v>0</v>
      </c>
      <c r="AR185" s="76">
        <f t="shared" si="35"/>
        <v>0.46610474985336714</v>
      </c>
      <c r="AS185" s="76">
        <f t="shared" si="36"/>
        <v>0</v>
      </c>
      <c r="AT185" s="76">
        <f t="shared" si="37"/>
        <v>0</v>
      </c>
      <c r="AU185" s="76">
        <f t="shared" si="38"/>
        <v>51.89790557714052</v>
      </c>
      <c r="AV185" s="76">
        <f>MAX(0,(AU185-Constantes!$D$13)*(1-EXP(-Constantes!$D$24)))</f>
        <v>4.8116514485674715E-2</v>
      </c>
      <c r="AW185" s="170">
        <f>AW184+(Entradas!$F$112*AT185-AX184)/(800*Entradas!$D$25)</f>
        <v>0</v>
      </c>
      <c r="AX185" s="170">
        <f>8000*Entradas!$D$26*AW185/Constantes!$F$45</f>
        <v>0</v>
      </c>
      <c r="AY185" s="170">
        <f>IF(Escenarios!$F$17&gt;0,10*Escenarios!$F$16*AL185,0)</f>
        <v>0</v>
      </c>
      <c r="AZ185" s="170">
        <f>IF(Escenarios!$F$17&gt;0,10*Escenarios!$F$16*AX185,0)</f>
        <v>0</v>
      </c>
      <c r="BA185" s="170">
        <f>IF(Escenarios!$F$17&gt;0,0.001*Observaciones!$F184*Escenarios!$F$17,0)</f>
        <v>0</v>
      </c>
      <c r="BB185" s="170">
        <f>IF(Escenarios!$F$17&gt;0,Observaciones!$K184,0)</f>
        <v>0</v>
      </c>
      <c r="BC185" s="170">
        <f>IF(Escenarios!$F$17&gt;0,MIN(0.0005*ETo!$M184*Escenarios!$F$17*(BG184/Constantes!$F$40)^(2/3),BG184+AY185+AZ185+BA185+BB185),0)</f>
        <v>0</v>
      </c>
      <c r="BD185" s="170">
        <f>IF(Escenarios!$F$17&gt;0,MIN(Constantes!$F$39*(BG184/Constantes!$F$40)^(2/3),BG184+AY185+AZ185+BA185+BB185-BC185),0)</f>
        <v>0</v>
      </c>
      <c r="BE185" s="170">
        <f>IF(Escenarios!$F$17&gt;0,MIN(Entradas!$F$113,BG184+AY185+AZ185+BA185+BB185-BC185-BD185),0)</f>
        <v>0</v>
      </c>
      <c r="BF185" s="170">
        <f>IF(Escenarios!$F$17&gt;0,MAX(0,BG184+AY185+AZ185+BA185+BB185-BC185-BD185-BE185-Constantes!$F$40),0)</f>
        <v>0</v>
      </c>
      <c r="BG185" s="170">
        <f t="shared" si="39"/>
        <v>0</v>
      </c>
      <c r="BH185" s="170">
        <f>(Escenarios!$F$16*AK185+0.1*BC185)/(Escenarios!$F$19)</f>
        <v>0.12647911985868412</v>
      </c>
      <c r="BI185" s="170">
        <f>IF(Escenarios!$F$17&gt;0,BF185/10/Escenarios!$F$19,AL185)</f>
        <v>0</v>
      </c>
      <c r="BJ185" s="170">
        <f>(Escenarios!$F$16*AT185+0.1*BD185)/(Escenarios!$F$19)</f>
        <v>0</v>
      </c>
      <c r="BK185" s="76">
        <f>BK184+(0.1*BD185)/(Escenarios!$F$19)-BL184</f>
        <v>48.75</v>
      </c>
      <c r="BL185" s="76">
        <f>MAX(0,(BK185-Constantes!$D$13)*(1-EXP(-Constantes!$D$23)))</f>
        <v>0</v>
      </c>
      <c r="BM185" s="76">
        <f t="shared" si="40"/>
        <v>0.51422126433904136</v>
      </c>
      <c r="BN185" s="76">
        <f t="shared" si="41"/>
        <v>0.51422126433904181</v>
      </c>
      <c r="BO185" s="76">
        <f>0.0526*BI185*Observaciones!$F184^1.218</f>
        <v>0</v>
      </c>
      <c r="BP185" s="76">
        <f>BO185*Constantes!$F$51</f>
        <v>0</v>
      </c>
      <c r="BQ185" s="76">
        <f t="shared" si="42"/>
        <v>0</v>
      </c>
      <c r="BR185" s="40"/>
    </row>
    <row r="186" spans="2:70">
      <c r="B186" s="39"/>
      <c r="C186" s="75">
        <v>180</v>
      </c>
      <c r="D186" s="146">
        <f>ETo!$I185*((1-Constantes!$F$19)*ETo!$K185+ETo!$L185)</f>
        <v>2.6623030821662397</v>
      </c>
      <c r="E186" s="76">
        <f>MIN(D186*Constantes!$F$17,0.8*(N185+Observaciones!$F185-F186-M186-Constantes!$D$14))</f>
        <v>1.1368683772161604E-14</v>
      </c>
      <c r="F186" s="76">
        <f>IF(Observaciones!$F185&gt;0.05*Constantes!$F$18,((Observaciones!$F185-0.05*Constantes!$F$18)^2)/(Observaciones!$F185+0.95*Constantes!$F$18),0)</f>
        <v>0</v>
      </c>
      <c r="G186" s="76">
        <f>IF(Escenarios!$F$11&gt;0,(F186*Escenarios!$F$16*10000)/1000,0)</f>
        <v>0</v>
      </c>
      <c r="H186" s="76">
        <f>IF(Escenarios!$F$11&gt;0,(Observaciones!$F185*Constantes!$F$29)/1000,0)</f>
        <v>0</v>
      </c>
      <c r="I186" s="76">
        <f>IF(Escenarios!$F$11&gt;0,(D186*Constantes!$F$29)/1000,0)</f>
        <v>0</v>
      </c>
      <c r="J186" s="76">
        <f>IF(Escenarios!$F$11&gt;0,MAX(0,G186+H186-I186),0)</f>
        <v>0</v>
      </c>
      <c r="K186" s="76">
        <f>IF(Escenarios!$F$11&gt;0,IF(J186&gt;Constantes!$F$30,1000*((J186-Constantes!$F$30)/(Escenarios!$F$16*10000)),0),F186)</f>
        <v>0</v>
      </c>
      <c r="L186" s="76">
        <f>IF(Escenarios!$F$11&gt;0,I186*1000/Escenarios!$F$16/10000+E186,E186)</f>
        <v>1.1368683772161604E-14</v>
      </c>
      <c r="M186" s="76">
        <f>MAX(0,N185+Observaciones!$F185-K186-Constantes!$D$13)</f>
        <v>0</v>
      </c>
      <c r="N186" s="76">
        <f>N185+Observaciones!$F185-K186-L186-M186-O185</f>
        <v>11.250000000000004</v>
      </c>
      <c r="O186" s="76">
        <f>MAX(0,(N186-Constantes!$D$14)*(1-EXP(-Constantes!$D$22)))</f>
        <v>1.21018470178862E-16</v>
      </c>
      <c r="P186" s="170">
        <f>P185+(Entradas!$F$83*M186-Q185)/(800*Entradas!$D$25)</f>
        <v>0</v>
      </c>
      <c r="Q186" s="170">
        <f>8000*Entradas!$D$26*P186/Constantes!$F$45</f>
        <v>0</v>
      </c>
      <c r="R186" s="170">
        <f>IF(Escenarios!$F$14&gt;0,K186*Escenarios!$F$13/Escenarios!$F$14,0)</f>
        <v>0</v>
      </c>
      <c r="S186" s="170">
        <f>IF(Escenarios!$F$14&gt;0,Q186*Escenarios!$F$13/Escenarios!$F$14,0)</f>
        <v>0</v>
      </c>
      <c r="T186" s="170">
        <f>IF(Escenarios!$F$14&gt;0,Observaciones!$I185,0)</f>
        <v>0</v>
      </c>
      <c r="U186" s="170">
        <f>IF(Escenarios!$F$14&gt;0,MAX(0,Constantes!$F$36/((Z185+R186+S186+T186+Observaciones!$F185)^2)+Entradas!$F$77),0)</f>
        <v>0</v>
      </c>
      <c r="V186" s="146">
        <f>IF(ETo!D185&gt;0,ETo!I185*((1-Entradas!$F$81)*ETo!K185+ETo!L185),0)</f>
        <v>2.3182184713379796</v>
      </c>
      <c r="W186" s="170">
        <f>IF(Escenarios!$F$14&gt;0,MIN(V186*1,0.8*(Z185+R186+S186+T186+Observaciones!$F185-U186-Constantes!$F$35)),0)</f>
        <v>1.3073986337985845E-13</v>
      </c>
      <c r="X186" s="170">
        <f>IF(Escenarios!$F$14&gt;0,Observaciones!$J185,0)</f>
        <v>0</v>
      </c>
      <c r="Y186" s="170">
        <f>IF(Escenarios!$F$14&gt;0,MAX(0,Z185+R186+S186+T186+Observaciones!$F185-U186-W186-X186-Constantes!$F$33),0)</f>
        <v>0</v>
      </c>
      <c r="Z186" s="170">
        <f>Z185+R186+S186+T186+Observaciones!$F185-U186-W186-Y186</f>
        <v>41.250000000000036</v>
      </c>
      <c r="AA186" s="170">
        <f>IF(Escenarios!$F$14&gt;0,(Escenarios!$F$13*L186+Escenarios!$F$14*W186)/(Escenarios!$F$16),L186)</f>
        <v>2.5693225325085227E-14</v>
      </c>
      <c r="AB186" s="170">
        <f>IF(Escenarios!$F$14&gt;0,(Escenarios!$F$14*Y186)/(Escenarios!$F$16),K186)</f>
        <v>0</v>
      </c>
      <c r="AC186" s="170">
        <f>IF(Escenarios!$F$14&gt;0,(Escenarios!$F$13*M186+Escenarios!$F$14*U186)/(Escenarios!$F$16),M186)</f>
        <v>0</v>
      </c>
      <c r="AD186" s="76">
        <f t="shared" si="29"/>
        <v>95.588623022909104</v>
      </c>
      <c r="AE186" s="76">
        <f>MAX(0,(AD186-Constantes!$D$13)*(1-EXP(-Constantes!$D$23)))</f>
        <v>0.46151210873555937</v>
      </c>
      <c r="AF186" s="76">
        <f>AB186+O186*Escenarios!$F$13/Escenarios!$F$16+AE186</f>
        <v>0.46151210873555948</v>
      </c>
      <c r="AG186" s="76">
        <f>IF(Entradas!$F$91&gt;0,IF(AF186-Escenarios!$F$38&lt;=0,0,IF(AF186-Escenarios!$F$38&gt;Escenarios!$F$37,Escenarios!$F$37,AF186-Escenarios!$F$38)),0)</f>
        <v>0</v>
      </c>
      <c r="AH186" s="76">
        <f>AG186*Entradas!$F$99</f>
        <v>0</v>
      </c>
      <c r="AI186" s="76">
        <f>IF(Entradas!$F$91&gt;0,D186*Entradas!$D$23/Escenarios!$F$16,0)</f>
        <v>0.12779054794397951</v>
      </c>
      <c r="AJ186" s="76">
        <f>IF(Entradas!$F$91&gt;0,Entradas!$D$24*Entradas!$D$22/Escenarios!$F$16,0)</f>
        <v>0.12</v>
      </c>
      <c r="AK186" s="76">
        <f t="shared" si="30"/>
        <v>0.12779054794400521</v>
      </c>
      <c r="AL186" s="76">
        <f t="shared" si="31"/>
        <v>0</v>
      </c>
      <c r="AM186" s="76">
        <f t="shared" si="32"/>
        <v>0</v>
      </c>
      <c r="AN186" s="76">
        <f>MAX(0,O186*Escenarios!$F$13/Escenarios!$F$16-AM186)</f>
        <v>1.0649625375739857E-16</v>
      </c>
      <c r="AO186" s="76">
        <f>AM186+AN186-O186*Escenarios!$F$13/Escenarios!$F$16</f>
        <v>0</v>
      </c>
      <c r="AP186" s="76">
        <f t="shared" si="33"/>
        <v>0.46151210873555937</v>
      </c>
      <c r="AQ186" s="76">
        <f t="shared" si="34"/>
        <v>0</v>
      </c>
      <c r="AR186" s="76">
        <f t="shared" si="35"/>
        <v>0.46151210873555948</v>
      </c>
      <c r="AS186" s="76">
        <f t="shared" si="36"/>
        <v>0</v>
      </c>
      <c r="AT186" s="76">
        <f t="shared" si="37"/>
        <v>0</v>
      </c>
      <c r="AU186" s="76">
        <f t="shared" si="38"/>
        <v>51.849789062654843</v>
      </c>
      <c r="AV186" s="76">
        <f>MAX(0,(AU186-Constantes!$D$13)*(1-EXP(-Constantes!$D$24)))</f>
        <v>4.7381041673827111E-2</v>
      </c>
      <c r="AW186" s="170">
        <f>AW185+(Entradas!$F$112*AT186-AX185)/(800*Entradas!$D$25)</f>
        <v>0</v>
      </c>
      <c r="AX186" s="170">
        <f>8000*Entradas!$D$26*AW186/Constantes!$F$45</f>
        <v>0</v>
      </c>
      <c r="AY186" s="170">
        <f>IF(Escenarios!$F$17&gt;0,10*Escenarios!$F$16*AL186,0)</f>
        <v>0</v>
      </c>
      <c r="AZ186" s="170">
        <f>IF(Escenarios!$F$17&gt;0,10*Escenarios!$F$16*AX186,0)</f>
        <v>0</v>
      </c>
      <c r="BA186" s="170">
        <f>IF(Escenarios!$F$17&gt;0,0.001*Observaciones!$F185*Escenarios!$F$17,0)</f>
        <v>0</v>
      </c>
      <c r="BB186" s="170">
        <f>IF(Escenarios!$F$17&gt;0,Observaciones!$K185,0)</f>
        <v>0</v>
      </c>
      <c r="BC186" s="170">
        <f>IF(Escenarios!$F$17&gt;0,MIN(0.0005*ETo!$M185*Escenarios!$F$17*(BG185/Constantes!$F$40)^(2/3),BG185+AY186+AZ186+BA186+BB186),0)</f>
        <v>0</v>
      </c>
      <c r="BD186" s="170">
        <f>IF(Escenarios!$F$17&gt;0,MIN(Constantes!$F$39*(BG185/Constantes!$F$40)^(2/3),BG185+AY186+AZ186+BA186+BB186-BC186),0)</f>
        <v>0</v>
      </c>
      <c r="BE186" s="170">
        <f>IF(Escenarios!$F$17&gt;0,MIN(Entradas!$F$113,BG185+AY186+AZ186+BA186+BB186-BC186-BD186),0)</f>
        <v>0</v>
      </c>
      <c r="BF186" s="170">
        <f>IF(Escenarios!$F$17&gt;0,MAX(0,BG185+AY186+AZ186+BA186+BB186-BC186-BD186-BE186-Constantes!$F$40),0)</f>
        <v>0</v>
      </c>
      <c r="BG186" s="170">
        <f t="shared" si="39"/>
        <v>0</v>
      </c>
      <c r="BH186" s="170">
        <f>(Escenarios!$F$16*AK186+0.1*BC186)/(Escenarios!$F$19)</f>
        <v>0.12779054794400521</v>
      </c>
      <c r="BI186" s="170">
        <f>IF(Escenarios!$F$17&gt;0,BF186/10/Escenarios!$F$19,AL186)</f>
        <v>0</v>
      </c>
      <c r="BJ186" s="170">
        <f>(Escenarios!$F$16*AT186+0.1*BD186)/(Escenarios!$F$19)</f>
        <v>0</v>
      </c>
      <c r="BK186" s="76">
        <f>BK185+(0.1*BD186)/(Escenarios!$F$19)-BL185</f>
        <v>48.75</v>
      </c>
      <c r="BL186" s="76">
        <f>MAX(0,(BK186-Constantes!$D$13)*(1-EXP(-Constantes!$D$23)))</f>
        <v>0</v>
      </c>
      <c r="BM186" s="76">
        <f t="shared" si="40"/>
        <v>0.50889315040938643</v>
      </c>
      <c r="BN186" s="76">
        <f t="shared" si="41"/>
        <v>0.50889315040938654</v>
      </c>
      <c r="BO186" s="76">
        <f>0.0526*BI186*Observaciones!$F185^1.218</f>
        <v>0</v>
      </c>
      <c r="BP186" s="76">
        <f>BO186*Constantes!$F$51</f>
        <v>0</v>
      </c>
      <c r="BQ186" s="76">
        <f t="shared" si="42"/>
        <v>0</v>
      </c>
      <c r="BR186" s="40"/>
    </row>
    <row r="187" spans="2:70">
      <c r="B187" s="39"/>
      <c r="C187" s="75">
        <v>181</v>
      </c>
      <c r="D187" s="146">
        <f>ETo!$I186*((1-Constantes!$F$19)*ETo!$K186+ETo!$L186)</f>
        <v>2.5689592276417663</v>
      </c>
      <c r="E187" s="76">
        <f>MIN(D187*Constantes!$F$17,0.8*(N186+Observaciones!$F186-F187-M187-Constantes!$D$14))</f>
        <v>2.8421709430404009E-15</v>
      </c>
      <c r="F187" s="76">
        <f>IF(Observaciones!$F186&gt;0.05*Constantes!$F$18,((Observaciones!$F186-0.05*Constantes!$F$18)^2)/(Observaciones!$F186+0.95*Constantes!$F$18),0)</f>
        <v>0</v>
      </c>
      <c r="G187" s="76">
        <f>IF(Escenarios!$F$11&gt;0,(F187*Escenarios!$F$16*10000)/1000,0)</f>
        <v>0</v>
      </c>
      <c r="H187" s="76">
        <f>IF(Escenarios!$F$11&gt;0,(Observaciones!$F186*Constantes!$F$29)/1000,0)</f>
        <v>0</v>
      </c>
      <c r="I187" s="76">
        <f>IF(Escenarios!$F$11&gt;0,(D187*Constantes!$F$29)/1000,0)</f>
        <v>0</v>
      </c>
      <c r="J187" s="76">
        <f>IF(Escenarios!$F$11&gt;0,MAX(0,G187+H187-I187),0)</f>
        <v>0</v>
      </c>
      <c r="K187" s="76">
        <f>IF(Escenarios!$F$11&gt;0,IF(J187&gt;Constantes!$F$30,1000*((J187-Constantes!$F$30)/(Escenarios!$F$16*10000)),0),F187)</f>
        <v>0</v>
      </c>
      <c r="L187" s="76">
        <f>IF(Escenarios!$F$11&gt;0,I187*1000/Escenarios!$F$16/10000+E187,E187)</f>
        <v>2.8421709430404009E-15</v>
      </c>
      <c r="M187" s="76">
        <f>MAX(0,N186+Observaciones!$F186-K187-Constantes!$D$13)</f>
        <v>0</v>
      </c>
      <c r="N187" s="76">
        <f>N186+Observaciones!$F186-K187-L187-M187-O186</f>
        <v>11.25</v>
      </c>
      <c r="O187" s="76">
        <f>MAX(0,(N187-Constantes!$D$14)*(1-EXP(-Constantes!$D$22)))</f>
        <v>0</v>
      </c>
      <c r="P187" s="170">
        <f>P186+(Entradas!$F$83*M187-Q186)/(800*Entradas!$D$25)</f>
        <v>0</v>
      </c>
      <c r="Q187" s="170">
        <f>8000*Entradas!$D$26*P187/Constantes!$F$45</f>
        <v>0</v>
      </c>
      <c r="R187" s="170">
        <f>IF(Escenarios!$F$14&gt;0,K187*Escenarios!$F$13/Escenarios!$F$14,0)</f>
        <v>0</v>
      </c>
      <c r="S187" s="170">
        <f>IF(Escenarios!$F$14&gt;0,Q187*Escenarios!$F$13/Escenarios!$F$14,0)</f>
        <v>0</v>
      </c>
      <c r="T187" s="170">
        <f>IF(Escenarios!$F$14&gt;0,Observaciones!$I186,0)</f>
        <v>0</v>
      </c>
      <c r="U187" s="170">
        <f>IF(Escenarios!$F$14&gt;0,MAX(0,Constantes!$F$36/((Z186+R187+S187+T187+Observaciones!$F186)^2)+Entradas!$F$77),0)</f>
        <v>0</v>
      </c>
      <c r="V187" s="146">
        <f>IF(ETo!D186&gt;0,ETo!I186*((1-Entradas!$F$81)*ETo!K186+ETo!L186),0)</f>
        <v>2.2359238638755503</v>
      </c>
      <c r="W187" s="170">
        <f>IF(Escenarios!$F$14&gt;0,MIN(V187*1,0.8*(Z186+R187+S187+T187+Observaciones!$F186-U187-Constantes!$F$35)),0)</f>
        <v>2.8421709430404007E-14</v>
      </c>
      <c r="X187" s="170">
        <f>IF(Escenarios!$F$14&gt;0,Observaciones!$J186,0)</f>
        <v>0</v>
      </c>
      <c r="Y187" s="170">
        <f>IF(Escenarios!$F$14&gt;0,MAX(0,Z186+R187+S187+T187+Observaciones!$F186-U187-W187-X187-Constantes!$F$33),0)</f>
        <v>0</v>
      </c>
      <c r="Z187" s="170">
        <f>Z186+R187+S187+T187+Observaciones!$F186-U187-W187-Y187</f>
        <v>41.250000000000007</v>
      </c>
      <c r="AA187" s="170">
        <f>IF(Escenarios!$F$14&gt;0,(Escenarios!$F$13*L187+Escenarios!$F$14*W187)/(Escenarios!$F$16),L187)</f>
        <v>5.9117155615240333E-15</v>
      </c>
      <c r="AB187" s="170">
        <f>IF(Escenarios!$F$14&gt;0,(Escenarios!$F$14*Y187)/(Escenarios!$F$16),K187)</f>
        <v>0</v>
      </c>
      <c r="AC187" s="170">
        <f>IF(Escenarios!$F$14&gt;0,(Escenarios!$F$13*M187+Escenarios!$F$14*U187)/(Escenarios!$F$16),M187)</f>
        <v>0</v>
      </c>
      <c r="AD187" s="76">
        <f t="shared" si="29"/>
        <v>95.127110914173542</v>
      </c>
      <c r="AE187" s="76">
        <f>MAX(0,(AD187-Constantes!$D$13)*(1-EXP(-Constantes!$D$23)))</f>
        <v>0.45696472000456773</v>
      </c>
      <c r="AF187" s="76">
        <f>AB187+O187*Escenarios!$F$13/Escenarios!$F$16+AE187</f>
        <v>0.45696472000456773</v>
      </c>
      <c r="AG187" s="76">
        <f>IF(Entradas!$F$91&gt;0,IF(AF187-Escenarios!$F$38&lt;=0,0,IF(AF187-Escenarios!$F$38&gt;Escenarios!$F$37,Escenarios!$F$37,AF187-Escenarios!$F$38)),0)</f>
        <v>0</v>
      </c>
      <c r="AH187" s="76">
        <f>AG187*Entradas!$F$99</f>
        <v>0</v>
      </c>
      <c r="AI187" s="76">
        <f>IF(Entradas!$F$91&gt;0,D187*Entradas!$D$23/Escenarios!$F$16,0)</f>
        <v>0.12331004292680478</v>
      </c>
      <c r="AJ187" s="76">
        <f>IF(Entradas!$F$91&gt;0,Entradas!$D$24*Entradas!$D$22/Escenarios!$F$16,0)</f>
        <v>0.12</v>
      </c>
      <c r="AK187" s="76">
        <f t="shared" si="30"/>
        <v>0.12331004292681069</v>
      </c>
      <c r="AL187" s="76">
        <f t="shared" si="31"/>
        <v>0</v>
      </c>
      <c r="AM187" s="76">
        <f t="shared" si="32"/>
        <v>0</v>
      </c>
      <c r="AN187" s="76">
        <f>MAX(0,O187*Escenarios!$F$13/Escenarios!$F$16-AM187)</f>
        <v>0</v>
      </c>
      <c r="AO187" s="76">
        <f>AM187+AN187-O187*Escenarios!$F$13/Escenarios!$F$16</f>
        <v>0</v>
      </c>
      <c r="AP187" s="76">
        <f t="shared" si="33"/>
        <v>0.45696472000456773</v>
      </c>
      <c r="AQ187" s="76">
        <f t="shared" si="34"/>
        <v>0</v>
      </c>
      <c r="AR187" s="76">
        <f t="shared" si="35"/>
        <v>0.45696472000456773</v>
      </c>
      <c r="AS187" s="76">
        <f t="shared" si="36"/>
        <v>0</v>
      </c>
      <c r="AT187" s="76">
        <f t="shared" si="37"/>
        <v>0</v>
      </c>
      <c r="AU187" s="76">
        <f t="shared" si="38"/>
        <v>51.802408020981012</v>
      </c>
      <c r="AV187" s="76">
        <f>MAX(0,(AU187-Constantes!$D$13)*(1-EXP(-Constantes!$D$24)))</f>
        <v>4.6656810745618608E-2</v>
      </c>
      <c r="AW187" s="170">
        <f>AW186+(Entradas!$F$112*AT187-AX186)/(800*Entradas!$D$25)</f>
        <v>0</v>
      </c>
      <c r="AX187" s="170">
        <f>8000*Entradas!$D$26*AW187/Constantes!$F$45</f>
        <v>0</v>
      </c>
      <c r="AY187" s="170">
        <f>IF(Escenarios!$F$17&gt;0,10*Escenarios!$F$16*AL187,0)</f>
        <v>0</v>
      </c>
      <c r="AZ187" s="170">
        <f>IF(Escenarios!$F$17&gt;0,10*Escenarios!$F$16*AX187,0)</f>
        <v>0</v>
      </c>
      <c r="BA187" s="170">
        <f>IF(Escenarios!$F$17&gt;0,0.001*Observaciones!$F186*Escenarios!$F$17,0)</f>
        <v>0</v>
      </c>
      <c r="BB187" s="170">
        <f>IF(Escenarios!$F$17&gt;0,Observaciones!$K186,0)</f>
        <v>0</v>
      </c>
      <c r="BC187" s="170">
        <f>IF(Escenarios!$F$17&gt;0,MIN(0.0005*ETo!$M186*Escenarios!$F$17*(BG186/Constantes!$F$40)^(2/3),BG186+AY187+AZ187+BA187+BB187),0)</f>
        <v>0</v>
      </c>
      <c r="BD187" s="170">
        <f>IF(Escenarios!$F$17&gt;0,MIN(Constantes!$F$39*(BG186/Constantes!$F$40)^(2/3),BG186+AY187+AZ187+BA187+BB187-BC187),0)</f>
        <v>0</v>
      </c>
      <c r="BE187" s="170">
        <f>IF(Escenarios!$F$17&gt;0,MIN(Entradas!$F$113,BG186+AY187+AZ187+BA187+BB187-BC187-BD187),0)</f>
        <v>0</v>
      </c>
      <c r="BF187" s="170">
        <f>IF(Escenarios!$F$17&gt;0,MAX(0,BG186+AY187+AZ187+BA187+BB187-BC187-BD187-BE187-Constantes!$F$40),0)</f>
        <v>0</v>
      </c>
      <c r="BG187" s="170">
        <f t="shared" si="39"/>
        <v>0</v>
      </c>
      <c r="BH187" s="170">
        <f>(Escenarios!$F$16*AK187+0.1*BC187)/(Escenarios!$F$19)</f>
        <v>0.12331004292681069</v>
      </c>
      <c r="BI187" s="170">
        <f>IF(Escenarios!$F$17&gt;0,BF187/10/Escenarios!$F$19,AL187)</f>
        <v>0</v>
      </c>
      <c r="BJ187" s="170">
        <f>(Escenarios!$F$16*AT187+0.1*BD187)/(Escenarios!$F$19)</f>
        <v>0</v>
      </c>
      <c r="BK187" s="76">
        <f>BK186+(0.1*BD187)/(Escenarios!$F$19)-BL186</f>
        <v>48.75</v>
      </c>
      <c r="BL187" s="76">
        <f>MAX(0,(BK187-Constantes!$D$13)*(1-EXP(-Constantes!$D$23)))</f>
        <v>0</v>
      </c>
      <c r="BM187" s="76">
        <f t="shared" si="40"/>
        <v>0.50362153075018634</v>
      </c>
      <c r="BN187" s="76">
        <f t="shared" si="41"/>
        <v>0.50362153075018634</v>
      </c>
      <c r="BO187" s="76">
        <f>0.0526*BI187*Observaciones!$F186^1.218</f>
        <v>0</v>
      </c>
      <c r="BP187" s="76">
        <f>BO187*Constantes!$F$51</f>
        <v>0</v>
      </c>
      <c r="BQ187" s="76">
        <f t="shared" si="42"/>
        <v>0</v>
      </c>
      <c r="BR187" s="40"/>
    </row>
    <row r="188" spans="2:70">
      <c r="B188" s="39"/>
      <c r="C188" s="75">
        <v>182</v>
      </c>
      <c r="D188" s="146">
        <f>ETo!$I187*((1-Constantes!$F$19)*ETo!$K187+ETo!$L187)</f>
        <v>2.6332774896551419</v>
      </c>
      <c r="E188" s="76">
        <f>MIN(D188*Constantes!$F$17,0.8*(N187+Observaciones!$F187-F188-M188-Constantes!$D$14))</f>
        <v>0</v>
      </c>
      <c r="F188" s="76">
        <f>IF(Observaciones!$F187&gt;0.05*Constantes!$F$18,((Observaciones!$F187-0.05*Constantes!$F$18)^2)/(Observaciones!$F187+0.95*Constantes!$F$18),0)</f>
        <v>0</v>
      </c>
      <c r="G188" s="76">
        <f>IF(Escenarios!$F$11&gt;0,(F188*Escenarios!$F$16*10000)/1000,0)</f>
        <v>0</v>
      </c>
      <c r="H188" s="76">
        <f>IF(Escenarios!$F$11&gt;0,(Observaciones!$F187*Constantes!$F$29)/1000,0)</f>
        <v>0</v>
      </c>
      <c r="I188" s="76">
        <f>IF(Escenarios!$F$11&gt;0,(D188*Constantes!$F$29)/1000,0)</f>
        <v>0</v>
      </c>
      <c r="J188" s="76">
        <f>IF(Escenarios!$F$11&gt;0,MAX(0,G188+H188-I188),0)</f>
        <v>0</v>
      </c>
      <c r="K188" s="76">
        <f>IF(Escenarios!$F$11&gt;0,IF(J188&gt;Constantes!$F$30,1000*((J188-Constantes!$F$30)/(Escenarios!$F$16*10000)),0),F188)</f>
        <v>0</v>
      </c>
      <c r="L188" s="76">
        <f>IF(Escenarios!$F$11&gt;0,I188*1000/Escenarios!$F$16/10000+E188,E188)</f>
        <v>0</v>
      </c>
      <c r="M188" s="76">
        <f>MAX(0,N187+Observaciones!$F187-K188-Constantes!$D$13)</f>
        <v>0</v>
      </c>
      <c r="N188" s="76">
        <f>N187+Observaciones!$F187-K188-L188-M188-O187</f>
        <v>11.25</v>
      </c>
      <c r="O188" s="76">
        <f>MAX(0,(N188-Constantes!$D$14)*(1-EXP(-Constantes!$D$22)))</f>
        <v>0</v>
      </c>
      <c r="P188" s="170">
        <f>P187+(Entradas!$F$83*M188-Q187)/(800*Entradas!$D$25)</f>
        <v>0</v>
      </c>
      <c r="Q188" s="170">
        <f>8000*Entradas!$D$26*P188/Constantes!$F$45</f>
        <v>0</v>
      </c>
      <c r="R188" s="170">
        <f>IF(Escenarios!$F$14&gt;0,K188*Escenarios!$F$13/Escenarios!$F$14,0)</f>
        <v>0</v>
      </c>
      <c r="S188" s="170">
        <f>IF(Escenarios!$F$14&gt;0,Q188*Escenarios!$F$13/Escenarios!$F$14,0)</f>
        <v>0</v>
      </c>
      <c r="T188" s="170">
        <f>IF(Escenarios!$F$14&gt;0,Observaciones!$I187,0)</f>
        <v>0</v>
      </c>
      <c r="U188" s="170">
        <f>IF(Escenarios!$F$14&gt;0,MAX(0,Constantes!$F$36/((Z187+R188+S188+T188+Observaciones!$F187)^2)+Entradas!$F$77),0)</f>
        <v>0</v>
      </c>
      <c r="V188" s="146">
        <f>IF(ETo!D187&gt;0,ETo!I187*((1-Entradas!$F$81)*ETo!K187+ETo!L187),0)</f>
        <v>2.2927785061136965</v>
      </c>
      <c r="W188" s="170">
        <f>IF(Escenarios!$F$14&gt;0,MIN(V188*1,0.8*(Z187+R188+S188+T188+Observaciones!$F187-U188-Constantes!$F$35)),0)</f>
        <v>5.6843418860808018E-15</v>
      </c>
      <c r="X188" s="170">
        <f>IF(Escenarios!$F$14&gt;0,Observaciones!$J187,0)</f>
        <v>0</v>
      </c>
      <c r="Y188" s="170">
        <f>IF(Escenarios!$F$14&gt;0,MAX(0,Z187+R188+S188+T188+Observaciones!$F187-U188-W188-X188-Constantes!$F$33),0)</f>
        <v>0</v>
      </c>
      <c r="Z188" s="170">
        <f>Z187+R188+S188+T188+Observaciones!$F187-U188-W188-Y188</f>
        <v>41.25</v>
      </c>
      <c r="AA188" s="170">
        <f>IF(Escenarios!$F$14&gt;0,(Escenarios!$F$13*L188+Escenarios!$F$14*W188)/(Escenarios!$F$16),L188)</f>
        <v>6.8212102632969619E-16</v>
      </c>
      <c r="AB188" s="170">
        <f>IF(Escenarios!$F$14&gt;0,(Escenarios!$F$14*Y188)/(Escenarios!$F$16),K188)</f>
        <v>0</v>
      </c>
      <c r="AC188" s="170">
        <f>IF(Escenarios!$F$14&gt;0,(Escenarios!$F$13*M188+Escenarios!$F$14*U188)/(Escenarios!$F$16),M188)</f>
        <v>0</v>
      </c>
      <c r="AD188" s="76">
        <f t="shared" si="29"/>
        <v>94.670146194168979</v>
      </c>
      <c r="AE188" s="76">
        <f>MAX(0,(AD188-Constantes!$D$13)*(1-EXP(-Constantes!$D$23)))</f>
        <v>0.45246213777784616</v>
      </c>
      <c r="AF188" s="76">
        <f>AB188+O188*Escenarios!$F$13/Escenarios!$F$16+AE188</f>
        <v>0.45246213777784616</v>
      </c>
      <c r="AG188" s="76">
        <f>IF(Entradas!$F$91&gt;0,IF(AF188-Escenarios!$F$38&lt;=0,0,IF(AF188-Escenarios!$F$38&gt;Escenarios!$F$37,Escenarios!$F$37,AF188-Escenarios!$F$38)),0)</f>
        <v>0</v>
      </c>
      <c r="AH188" s="76">
        <f>AG188*Entradas!$F$99</f>
        <v>0</v>
      </c>
      <c r="AI188" s="76">
        <f>IF(Entradas!$F$91&gt;0,D188*Entradas!$D$23/Escenarios!$F$16,0)</f>
        <v>0.12639731950344682</v>
      </c>
      <c r="AJ188" s="76">
        <f>IF(Entradas!$F$91&gt;0,Entradas!$D$24*Entradas!$D$22/Escenarios!$F$16,0)</f>
        <v>0.12</v>
      </c>
      <c r="AK188" s="76">
        <f t="shared" si="30"/>
        <v>0.12639731950344751</v>
      </c>
      <c r="AL188" s="76">
        <f t="shared" si="31"/>
        <v>0</v>
      </c>
      <c r="AM188" s="76">
        <f t="shared" si="32"/>
        <v>0</v>
      </c>
      <c r="AN188" s="76">
        <f>MAX(0,O188*Escenarios!$F$13/Escenarios!$F$16-AM188)</f>
        <v>0</v>
      </c>
      <c r="AO188" s="76">
        <f>AM188+AN188-O188*Escenarios!$F$13/Escenarios!$F$16</f>
        <v>0</v>
      </c>
      <c r="AP188" s="76">
        <f t="shared" si="33"/>
        <v>0.45246213777784616</v>
      </c>
      <c r="AQ188" s="76">
        <f t="shared" si="34"/>
        <v>0</v>
      </c>
      <c r="AR188" s="76">
        <f t="shared" si="35"/>
        <v>0.45246213777784616</v>
      </c>
      <c r="AS188" s="76">
        <f t="shared" si="36"/>
        <v>0</v>
      </c>
      <c r="AT188" s="76">
        <f t="shared" si="37"/>
        <v>0</v>
      </c>
      <c r="AU188" s="76">
        <f t="shared" si="38"/>
        <v>51.755751210235395</v>
      </c>
      <c r="AV188" s="76">
        <f>MAX(0,(AU188-Constantes!$D$13)*(1-EXP(-Constantes!$D$24)))</f>
        <v>4.594364986608037E-2</v>
      </c>
      <c r="AW188" s="170">
        <f>AW187+(Entradas!$F$112*AT188-AX187)/(800*Entradas!$D$25)</f>
        <v>0</v>
      </c>
      <c r="AX188" s="170">
        <f>8000*Entradas!$D$26*AW188/Constantes!$F$45</f>
        <v>0</v>
      </c>
      <c r="AY188" s="170">
        <f>IF(Escenarios!$F$17&gt;0,10*Escenarios!$F$16*AL188,0)</f>
        <v>0</v>
      </c>
      <c r="AZ188" s="170">
        <f>IF(Escenarios!$F$17&gt;0,10*Escenarios!$F$16*AX188,0)</f>
        <v>0</v>
      </c>
      <c r="BA188" s="170">
        <f>IF(Escenarios!$F$17&gt;0,0.001*Observaciones!$F187*Escenarios!$F$17,0)</f>
        <v>0</v>
      </c>
      <c r="BB188" s="170">
        <f>IF(Escenarios!$F$17&gt;0,Observaciones!$K187,0)</f>
        <v>0</v>
      </c>
      <c r="BC188" s="170">
        <f>IF(Escenarios!$F$17&gt;0,MIN(0.0005*ETo!$M187*Escenarios!$F$17*(BG187/Constantes!$F$40)^(2/3),BG187+AY188+AZ188+BA188+BB188),0)</f>
        <v>0</v>
      </c>
      <c r="BD188" s="170">
        <f>IF(Escenarios!$F$17&gt;0,MIN(Constantes!$F$39*(BG187/Constantes!$F$40)^(2/3),BG187+AY188+AZ188+BA188+BB188-BC188),0)</f>
        <v>0</v>
      </c>
      <c r="BE188" s="170">
        <f>IF(Escenarios!$F$17&gt;0,MIN(Entradas!$F$113,BG187+AY188+AZ188+BA188+BB188-BC188-BD188),0)</f>
        <v>0</v>
      </c>
      <c r="BF188" s="170">
        <f>IF(Escenarios!$F$17&gt;0,MAX(0,BG187+AY188+AZ188+BA188+BB188-BC188-BD188-BE188-Constantes!$F$40),0)</f>
        <v>0</v>
      </c>
      <c r="BG188" s="170">
        <f t="shared" si="39"/>
        <v>0</v>
      </c>
      <c r="BH188" s="170">
        <f>(Escenarios!$F$16*AK188+0.1*BC188)/(Escenarios!$F$19)</f>
        <v>0.12639731950344751</v>
      </c>
      <c r="BI188" s="170">
        <f>IF(Escenarios!$F$17&gt;0,BF188/10/Escenarios!$F$19,AL188)</f>
        <v>0</v>
      </c>
      <c r="BJ188" s="170">
        <f>(Escenarios!$F$16*AT188+0.1*BD188)/(Escenarios!$F$19)</f>
        <v>0</v>
      </c>
      <c r="BK188" s="76">
        <f>BK187+(0.1*BD188)/(Escenarios!$F$19)-BL187</f>
        <v>48.75</v>
      </c>
      <c r="BL188" s="76">
        <f>MAX(0,(BK188-Constantes!$D$13)*(1-EXP(-Constantes!$D$23)))</f>
        <v>0</v>
      </c>
      <c r="BM188" s="76">
        <f t="shared" si="40"/>
        <v>0.49840578764392651</v>
      </c>
      <c r="BN188" s="76">
        <f t="shared" si="41"/>
        <v>0.49840578764392651</v>
      </c>
      <c r="BO188" s="76">
        <f>0.0526*BI188*Observaciones!$F187^1.218</f>
        <v>0</v>
      </c>
      <c r="BP188" s="76">
        <f>BO188*Constantes!$F$51</f>
        <v>0</v>
      </c>
      <c r="BQ188" s="76">
        <f t="shared" si="42"/>
        <v>0</v>
      </c>
      <c r="BR188" s="40"/>
    </row>
    <row r="189" spans="2:70">
      <c r="B189" s="39"/>
      <c r="C189" s="75">
        <v>183</v>
      </c>
      <c r="D189" s="146">
        <f>ETo!$I188*((1-Constantes!$F$19)*ETo!$K188+ETo!$L188)</f>
        <v>2.6468135495888965</v>
      </c>
      <c r="E189" s="76">
        <f>MIN(D189*Constantes!$F$17,0.8*(N188+Observaciones!$F188-F189-M189-Constantes!$D$14))</f>
        <v>0</v>
      </c>
      <c r="F189" s="76">
        <f>IF(Observaciones!$F188&gt;0.05*Constantes!$F$18,((Observaciones!$F188-0.05*Constantes!$F$18)^2)/(Observaciones!$F188+0.95*Constantes!$F$18),0)</f>
        <v>0</v>
      </c>
      <c r="G189" s="76">
        <f>IF(Escenarios!$F$11&gt;0,(F189*Escenarios!$F$16*10000)/1000,0)</f>
        <v>0</v>
      </c>
      <c r="H189" s="76">
        <f>IF(Escenarios!$F$11&gt;0,(Observaciones!$F188*Constantes!$F$29)/1000,0)</f>
        <v>0</v>
      </c>
      <c r="I189" s="76">
        <f>IF(Escenarios!$F$11&gt;0,(D189*Constantes!$F$29)/1000,0)</f>
        <v>0</v>
      </c>
      <c r="J189" s="76">
        <f>IF(Escenarios!$F$11&gt;0,MAX(0,G189+H189-I189),0)</f>
        <v>0</v>
      </c>
      <c r="K189" s="76">
        <f>IF(Escenarios!$F$11&gt;0,IF(J189&gt;Constantes!$F$30,1000*((J189-Constantes!$F$30)/(Escenarios!$F$16*10000)),0),F189)</f>
        <v>0</v>
      </c>
      <c r="L189" s="76">
        <f>IF(Escenarios!$F$11&gt;0,I189*1000/Escenarios!$F$16/10000+E189,E189)</f>
        <v>0</v>
      </c>
      <c r="M189" s="76">
        <f>MAX(0,N188+Observaciones!$F188-K189-Constantes!$D$13)</f>
        <v>0</v>
      </c>
      <c r="N189" s="76">
        <f>N188+Observaciones!$F188-K189-L189-M189-O188</f>
        <v>11.25</v>
      </c>
      <c r="O189" s="76">
        <f>MAX(0,(N189-Constantes!$D$14)*(1-EXP(-Constantes!$D$22)))</f>
        <v>0</v>
      </c>
      <c r="P189" s="170">
        <f>P188+(Entradas!$F$83*M189-Q188)/(800*Entradas!$D$25)</f>
        <v>0</v>
      </c>
      <c r="Q189" s="170">
        <f>8000*Entradas!$D$26*P189/Constantes!$F$45</f>
        <v>0</v>
      </c>
      <c r="R189" s="170">
        <f>IF(Escenarios!$F$14&gt;0,K189*Escenarios!$F$13/Escenarios!$F$14,0)</f>
        <v>0</v>
      </c>
      <c r="S189" s="170">
        <f>IF(Escenarios!$F$14&gt;0,Q189*Escenarios!$F$13/Escenarios!$F$14,0)</f>
        <v>0</v>
      </c>
      <c r="T189" s="170">
        <f>IF(Escenarios!$F$14&gt;0,Observaciones!$I188,0)</f>
        <v>0</v>
      </c>
      <c r="U189" s="170">
        <f>IF(Escenarios!$F$14&gt;0,MAX(0,Constantes!$F$36/((Z188+R189+S189+T189+Observaciones!$F188)^2)+Entradas!$F$77),0)</f>
        <v>0</v>
      </c>
      <c r="V189" s="146">
        <f>IF(ETo!D188&gt;0,ETo!I188*((1-Entradas!$F$81)*ETo!K188+ETo!L188),0)</f>
        <v>2.3048911349799379</v>
      </c>
      <c r="W189" s="170">
        <f>IF(Escenarios!$F$14&gt;0,MIN(V189*1,0.8*(Z188+R189+S189+T189+Observaciones!$F188-U189-Constantes!$F$35)),0)</f>
        <v>0</v>
      </c>
      <c r="X189" s="170">
        <f>IF(Escenarios!$F$14&gt;0,Observaciones!$J188,0)</f>
        <v>0</v>
      </c>
      <c r="Y189" s="170">
        <f>IF(Escenarios!$F$14&gt;0,MAX(0,Z188+R189+S189+T189+Observaciones!$F188-U189-W189-X189-Constantes!$F$33),0)</f>
        <v>0</v>
      </c>
      <c r="Z189" s="170">
        <f>Z188+R189+S189+T189+Observaciones!$F188-U189-W189-Y189</f>
        <v>41.25</v>
      </c>
      <c r="AA189" s="170">
        <f>IF(Escenarios!$F$14&gt;0,(Escenarios!$F$13*L189+Escenarios!$F$14*W189)/(Escenarios!$F$16),L189)</f>
        <v>0</v>
      </c>
      <c r="AB189" s="170">
        <f>IF(Escenarios!$F$14&gt;0,(Escenarios!$F$14*Y189)/(Escenarios!$F$16),K189)</f>
        <v>0</v>
      </c>
      <c r="AC189" s="170">
        <f>IF(Escenarios!$F$14&gt;0,(Escenarios!$F$13*M189+Escenarios!$F$14*U189)/(Escenarios!$F$16),M189)</f>
        <v>0</v>
      </c>
      <c r="AD189" s="76">
        <f t="shared" si="29"/>
        <v>94.217684056391136</v>
      </c>
      <c r="AE189" s="76">
        <f>MAX(0,(AD189-Constantes!$D$13)*(1-EXP(-Constantes!$D$23)))</f>
        <v>0.44800392056623606</v>
      </c>
      <c r="AF189" s="76">
        <f>AB189+O189*Escenarios!$F$13/Escenarios!$F$16+AE189</f>
        <v>0.44800392056623606</v>
      </c>
      <c r="AG189" s="76">
        <f>IF(Entradas!$F$91&gt;0,IF(AF189-Escenarios!$F$38&lt;=0,0,IF(AF189-Escenarios!$F$38&gt;Escenarios!$F$37,Escenarios!$F$37,AF189-Escenarios!$F$38)),0)</f>
        <v>0</v>
      </c>
      <c r="AH189" s="76">
        <f>AG189*Entradas!$F$99</f>
        <v>0</v>
      </c>
      <c r="AI189" s="76">
        <f>IF(Entradas!$F$91&gt;0,D189*Entradas!$D$23/Escenarios!$F$16,0)</f>
        <v>0.12704705038026703</v>
      </c>
      <c r="AJ189" s="76">
        <f>IF(Entradas!$F$91&gt;0,Entradas!$D$24*Entradas!$D$22/Escenarios!$F$16,0)</f>
        <v>0.12</v>
      </c>
      <c r="AK189" s="76">
        <f t="shared" si="30"/>
        <v>0.12704705038026703</v>
      </c>
      <c r="AL189" s="76">
        <f t="shared" si="31"/>
        <v>0</v>
      </c>
      <c r="AM189" s="76">
        <f t="shared" si="32"/>
        <v>0</v>
      </c>
      <c r="AN189" s="76">
        <f>MAX(0,O189*Escenarios!$F$13/Escenarios!$F$16-AM189)</f>
        <v>0</v>
      </c>
      <c r="AO189" s="76">
        <f>AM189+AN189-O189*Escenarios!$F$13/Escenarios!$F$16</f>
        <v>0</v>
      </c>
      <c r="AP189" s="76">
        <f t="shared" si="33"/>
        <v>0.44800392056623606</v>
      </c>
      <c r="AQ189" s="76">
        <f t="shared" si="34"/>
        <v>0</v>
      </c>
      <c r="AR189" s="76">
        <f t="shared" si="35"/>
        <v>0.44800392056623606</v>
      </c>
      <c r="AS189" s="76">
        <f t="shared" si="36"/>
        <v>0</v>
      </c>
      <c r="AT189" s="76">
        <f t="shared" si="37"/>
        <v>0</v>
      </c>
      <c r="AU189" s="76">
        <f t="shared" si="38"/>
        <v>51.709807560369313</v>
      </c>
      <c r="AV189" s="76">
        <f>MAX(0,(AU189-Constantes!$D$13)*(1-EXP(-Constantes!$D$24)))</f>
        <v>4.5241389826783315E-2</v>
      </c>
      <c r="AW189" s="170">
        <f>AW188+(Entradas!$F$112*AT189-AX188)/(800*Entradas!$D$25)</f>
        <v>0</v>
      </c>
      <c r="AX189" s="170">
        <f>8000*Entradas!$D$26*AW189/Constantes!$F$45</f>
        <v>0</v>
      </c>
      <c r="AY189" s="170">
        <f>IF(Escenarios!$F$17&gt;0,10*Escenarios!$F$16*AL189,0)</f>
        <v>0</v>
      </c>
      <c r="AZ189" s="170">
        <f>IF(Escenarios!$F$17&gt;0,10*Escenarios!$F$16*AX189,0)</f>
        <v>0</v>
      </c>
      <c r="BA189" s="170">
        <f>IF(Escenarios!$F$17&gt;0,0.001*Observaciones!$F188*Escenarios!$F$17,0)</f>
        <v>0</v>
      </c>
      <c r="BB189" s="170">
        <f>IF(Escenarios!$F$17&gt;0,Observaciones!$K188,0)</f>
        <v>0</v>
      </c>
      <c r="BC189" s="170">
        <f>IF(Escenarios!$F$17&gt;0,MIN(0.0005*ETo!$M188*Escenarios!$F$17*(BG188/Constantes!$F$40)^(2/3),BG188+AY189+AZ189+BA189+BB189),0)</f>
        <v>0</v>
      </c>
      <c r="BD189" s="170">
        <f>IF(Escenarios!$F$17&gt;0,MIN(Constantes!$F$39*(BG188/Constantes!$F$40)^(2/3),BG188+AY189+AZ189+BA189+BB189-BC189),0)</f>
        <v>0</v>
      </c>
      <c r="BE189" s="170">
        <f>IF(Escenarios!$F$17&gt;0,MIN(Entradas!$F$113,BG188+AY189+AZ189+BA189+BB189-BC189-BD189),0)</f>
        <v>0</v>
      </c>
      <c r="BF189" s="170">
        <f>IF(Escenarios!$F$17&gt;0,MAX(0,BG188+AY189+AZ189+BA189+BB189-BC189-BD189-BE189-Constantes!$F$40),0)</f>
        <v>0</v>
      </c>
      <c r="BG189" s="170">
        <f t="shared" si="39"/>
        <v>0</v>
      </c>
      <c r="BH189" s="170">
        <f>(Escenarios!$F$16*AK189+0.1*BC189)/(Escenarios!$F$19)</f>
        <v>0.12704705038026703</v>
      </c>
      <c r="BI189" s="170">
        <f>IF(Escenarios!$F$17&gt;0,BF189/10/Escenarios!$F$19,AL189)</f>
        <v>0</v>
      </c>
      <c r="BJ189" s="170">
        <f>(Escenarios!$F$16*AT189+0.1*BD189)/(Escenarios!$F$19)</f>
        <v>0</v>
      </c>
      <c r="BK189" s="76">
        <f>BK188+(0.1*BD189)/(Escenarios!$F$19)-BL188</f>
        <v>48.75</v>
      </c>
      <c r="BL189" s="76">
        <f>MAX(0,(BK189-Constantes!$D$13)*(1-EXP(-Constantes!$D$23)))</f>
        <v>0</v>
      </c>
      <c r="BM189" s="76">
        <f t="shared" si="40"/>
        <v>0.49324531039301939</v>
      </c>
      <c r="BN189" s="76">
        <f t="shared" si="41"/>
        <v>0.49324531039301939</v>
      </c>
      <c r="BO189" s="76">
        <f>0.0526*BI189*Observaciones!$F188^1.218</f>
        <v>0</v>
      </c>
      <c r="BP189" s="76">
        <f>BO189*Constantes!$F$51</f>
        <v>0</v>
      </c>
      <c r="BQ189" s="76">
        <f t="shared" si="42"/>
        <v>0</v>
      </c>
      <c r="BR189" s="40"/>
    </row>
    <row r="190" spans="2:70">
      <c r="B190" s="39"/>
      <c r="C190" s="75">
        <v>184</v>
      </c>
      <c r="D190" s="146">
        <f>ETo!$I189*((1-Constantes!$F$19)*ETo!$K189+ETo!$L189)</f>
        <v>2.5970222528561084</v>
      </c>
      <c r="E190" s="76">
        <f>MIN(D190*Constantes!$F$17,0.8*(N189+Observaciones!$F189-F190-M190-Constantes!$D$14))</f>
        <v>0</v>
      </c>
      <c r="F190" s="76">
        <f>IF(Observaciones!$F189&gt;0.05*Constantes!$F$18,((Observaciones!$F189-0.05*Constantes!$F$18)^2)/(Observaciones!$F189+0.95*Constantes!$F$18),0)</f>
        <v>0</v>
      </c>
      <c r="G190" s="76">
        <f>IF(Escenarios!$F$11&gt;0,(F190*Escenarios!$F$16*10000)/1000,0)</f>
        <v>0</v>
      </c>
      <c r="H190" s="76">
        <f>IF(Escenarios!$F$11&gt;0,(Observaciones!$F189*Constantes!$F$29)/1000,0)</f>
        <v>0</v>
      </c>
      <c r="I190" s="76">
        <f>IF(Escenarios!$F$11&gt;0,(D190*Constantes!$F$29)/1000,0)</f>
        <v>0</v>
      </c>
      <c r="J190" s="76">
        <f>IF(Escenarios!$F$11&gt;0,MAX(0,G190+H190-I190),0)</f>
        <v>0</v>
      </c>
      <c r="K190" s="76">
        <f>IF(Escenarios!$F$11&gt;0,IF(J190&gt;Constantes!$F$30,1000*((J190-Constantes!$F$30)/(Escenarios!$F$16*10000)),0),F190)</f>
        <v>0</v>
      </c>
      <c r="L190" s="76">
        <f>IF(Escenarios!$F$11&gt;0,I190*1000/Escenarios!$F$16/10000+E190,E190)</f>
        <v>0</v>
      </c>
      <c r="M190" s="76">
        <f>MAX(0,N189+Observaciones!$F189-K190-Constantes!$D$13)</f>
        <v>0</v>
      </c>
      <c r="N190" s="76">
        <f>N189+Observaciones!$F189-K190-L190-M190-O189</f>
        <v>11.25</v>
      </c>
      <c r="O190" s="76">
        <f>MAX(0,(N190-Constantes!$D$14)*(1-EXP(-Constantes!$D$22)))</f>
        <v>0</v>
      </c>
      <c r="P190" s="170">
        <f>P189+(Entradas!$F$83*M190-Q189)/(800*Entradas!$D$25)</f>
        <v>0</v>
      </c>
      <c r="Q190" s="170">
        <f>8000*Entradas!$D$26*P190/Constantes!$F$45</f>
        <v>0</v>
      </c>
      <c r="R190" s="170">
        <f>IF(Escenarios!$F$14&gt;0,K190*Escenarios!$F$13/Escenarios!$F$14,0)</f>
        <v>0</v>
      </c>
      <c r="S190" s="170">
        <f>IF(Escenarios!$F$14&gt;0,Q190*Escenarios!$F$13/Escenarios!$F$14,0)</f>
        <v>0</v>
      </c>
      <c r="T190" s="170">
        <f>IF(Escenarios!$F$14&gt;0,Observaciones!$I189,0)</f>
        <v>0</v>
      </c>
      <c r="U190" s="170">
        <f>IF(Escenarios!$F$14&gt;0,MAX(0,Constantes!$F$36/((Z189+R190+S190+T190+Observaciones!$F189)^2)+Entradas!$F$77),0)</f>
        <v>0</v>
      </c>
      <c r="V190" s="146">
        <f>IF(ETo!D189&gt;0,ETo!I189*((1-Entradas!$F$81)*ETo!K189+ETo!L189),0)</f>
        <v>2.2611097156184563</v>
      </c>
      <c r="W190" s="170">
        <f>IF(Escenarios!$F$14&gt;0,MIN(V190*1,0.8*(Z189+R190+S190+T190+Observaciones!$F189-U190-Constantes!$F$35)),0)</f>
        <v>0</v>
      </c>
      <c r="X190" s="170">
        <f>IF(Escenarios!$F$14&gt;0,Observaciones!$J189,0)</f>
        <v>0</v>
      </c>
      <c r="Y190" s="170">
        <f>IF(Escenarios!$F$14&gt;0,MAX(0,Z189+R190+S190+T190+Observaciones!$F189-U190-W190-X190-Constantes!$F$33),0)</f>
        <v>0</v>
      </c>
      <c r="Z190" s="170">
        <f>Z189+R190+S190+T190+Observaciones!$F189-U190-W190-Y190</f>
        <v>41.25</v>
      </c>
      <c r="AA190" s="170">
        <f>IF(Escenarios!$F$14&gt;0,(Escenarios!$F$13*L190+Escenarios!$F$14*W190)/(Escenarios!$F$16),L190)</f>
        <v>0</v>
      </c>
      <c r="AB190" s="170">
        <f>IF(Escenarios!$F$14&gt;0,(Escenarios!$F$14*Y190)/(Escenarios!$F$16),K190)</f>
        <v>0</v>
      </c>
      <c r="AC190" s="170">
        <f>IF(Escenarios!$F$14&gt;0,(Escenarios!$F$13*M190+Escenarios!$F$14*U190)/(Escenarios!$F$16),M190)</f>
        <v>0</v>
      </c>
      <c r="AD190" s="76">
        <f t="shared" si="29"/>
        <v>93.769680135824899</v>
      </c>
      <c r="AE190" s="76">
        <f>MAX(0,(AD190-Constantes!$D$13)*(1-EXP(-Constantes!$D$23)))</f>
        <v>0.44358963123067646</v>
      </c>
      <c r="AF190" s="76">
        <f>AB190+O190*Escenarios!$F$13/Escenarios!$F$16+AE190</f>
        <v>0.44358963123067646</v>
      </c>
      <c r="AG190" s="76">
        <f>IF(Entradas!$F$91&gt;0,IF(AF190-Escenarios!$F$38&lt;=0,0,IF(AF190-Escenarios!$F$38&gt;Escenarios!$F$37,Escenarios!$F$37,AF190-Escenarios!$F$38)),0)</f>
        <v>0</v>
      </c>
      <c r="AH190" s="76">
        <f>AG190*Entradas!$F$99</f>
        <v>0</v>
      </c>
      <c r="AI190" s="76">
        <f>IF(Entradas!$F$91&gt;0,D190*Entradas!$D$23/Escenarios!$F$16,0)</f>
        <v>0.12465706813709321</v>
      </c>
      <c r="AJ190" s="76">
        <f>IF(Entradas!$F$91&gt;0,Entradas!$D$24*Entradas!$D$22/Escenarios!$F$16,0)</f>
        <v>0.12</v>
      </c>
      <c r="AK190" s="76">
        <f t="shared" si="30"/>
        <v>0.12465706813709321</v>
      </c>
      <c r="AL190" s="76">
        <f t="shared" si="31"/>
        <v>0</v>
      </c>
      <c r="AM190" s="76">
        <f t="shared" si="32"/>
        <v>0</v>
      </c>
      <c r="AN190" s="76">
        <f>MAX(0,O190*Escenarios!$F$13/Escenarios!$F$16-AM190)</f>
        <v>0</v>
      </c>
      <c r="AO190" s="76">
        <f>AM190+AN190-O190*Escenarios!$F$13/Escenarios!$F$16</f>
        <v>0</v>
      </c>
      <c r="AP190" s="76">
        <f t="shared" si="33"/>
        <v>0.44358963123067646</v>
      </c>
      <c r="AQ190" s="76">
        <f t="shared" si="34"/>
        <v>0</v>
      </c>
      <c r="AR190" s="76">
        <f t="shared" si="35"/>
        <v>0.44358963123067646</v>
      </c>
      <c r="AS190" s="76">
        <f t="shared" si="36"/>
        <v>0</v>
      </c>
      <c r="AT190" s="76">
        <f t="shared" si="37"/>
        <v>0</v>
      </c>
      <c r="AU190" s="76">
        <f t="shared" si="38"/>
        <v>51.664566170542528</v>
      </c>
      <c r="AV190" s="76">
        <f>MAX(0,(AU190-Constantes!$D$13)*(1-EXP(-Constantes!$D$24)))</f>
        <v>4.4549864005691199E-2</v>
      </c>
      <c r="AW190" s="170">
        <f>AW189+(Entradas!$F$112*AT190-AX189)/(800*Entradas!$D$25)</f>
        <v>0</v>
      </c>
      <c r="AX190" s="170">
        <f>8000*Entradas!$D$26*AW190/Constantes!$F$45</f>
        <v>0</v>
      </c>
      <c r="AY190" s="170">
        <f>IF(Escenarios!$F$17&gt;0,10*Escenarios!$F$16*AL190,0)</f>
        <v>0</v>
      </c>
      <c r="AZ190" s="170">
        <f>IF(Escenarios!$F$17&gt;0,10*Escenarios!$F$16*AX190,0)</f>
        <v>0</v>
      </c>
      <c r="BA190" s="170">
        <f>IF(Escenarios!$F$17&gt;0,0.001*Observaciones!$F189*Escenarios!$F$17,0)</f>
        <v>0</v>
      </c>
      <c r="BB190" s="170">
        <f>IF(Escenarios!$F$17&gt;0,Observaciones!$K189,0)</f>
        <v>0</v>
      </c>
      <c r="BC190" s="170">
        <f>IF(Escenarios!$F$17&gt;0,MIN(0.0005*ETo!$M189*Escenarios!$F$17*(BG189/Constantes!$F$40)^(2/3),BG189+AY190+AZ190+BA190+BB190),0)</f>
        <v>0</v>
      </c>
      <c r="BD190" s="170">
        <f>IF(Escenarios!$F$17&gt;0,MIN(Constantes!$F$39*(BG189/Constantes!$F$40)^(2/3),BG189+AY190+AZ190+BA190+BB190-BC190),0)</f>
        <v>0</v>
      </c>
      <c r="BE190" s="170">
        <f>IF(Escenarios!$F$17&gt;0,MIN(Entradas!$F$113,BG189+AY190+AZ190+BA190+BB190-BC190-BD190),0)</f>
        <v>0</v>
      </c>
      <c r="BF190" s="170">
        <f>IF(Escenarios!$F$17&gt;0,MAX(0,BG189+AY190+AZ190+BA190+BB190-BC190-BD190-BE190-Constantes!$F$40),0)</f>
        <v>0</v>
      </c>
      <c r="BG190" s="170">
        <f t="shared" si="39"/>
        <v>0</v>
      </c>
      <c r="BH190" s="170">
        <f>(Escenarios!$F$16*AK190+0.1*BC190)/(Escenarios!$F$19)</f>
        <v>0.12465706813709321</v>
      </c>
      <c r="BI190" s="170">
        <f>IF(Escenarios!$F$17&gt;0,BF190/10/Escenarios!$F$19,AL190)</f>
        <v>0</v>
      </c>
      <c r="BJ190" s="170">
        <f>(Escenarios!$F$16*AT190+0.1*BD190)/(Escenarios!$F$19)</f>
        <v>0</v>
      </c>
      <c r="BK190" s="76">
        <f>BK189+(0.1*BD190)/(Escenarios!$F$19)-BL189</f>
        <v>48.75</v>
      </c>
      <c r="BL190" s="76">
        <f>MAX(0,(BK190-Constantes!$D$13)*(1-EXP(-Constantes!$D$23)))</f>
        <v>0</v>
      </c>
      <c r="BM190" s="76">
        <f t="shared" si="40"/>
        <v>0.48813949523636768</v>
      </c>
      <c r="BN190" s="76">
        <f t="shared" si="41"/>
        <v>0.48813949523636768</v>
      </c>
      <c r="BO190" s="76">
        <f>0.0526*BI190*Observaciones!$F189^1.218</f>
        <v>0</v>
      </c>
      <c r="BP190" s="76">
        <f>BO190*Constantes!$F$51</f>
        <v>0</v>
      </c>
      <c r="BQ190" s="76">
        <f t="shared" si="42"/>
        <v>0</v>
      </c>
      <c r="BR190" s="40"/>
    </row>
    <row r="191" spans="2:70">
      <c r="B191" s="39"/>
      <c r="C191" s="75">
        <v>185</v>
      </c>
      <c r="D191" s="146">
        <f>ETo!$I190*((1-Constantes!$F$19)*ETo!$K190+ETo!$L190)</f>
        <v>2.7030316107690062</v>
      </c>
      <c r="E191" s="76">
        <f>MIN(D191*Constantes!$F$17,0.8*(N190+Observaciones!$F190-F191-M191-Constantes!$D$14))</f>
        <v>0</v>
      </c>
      <c r="F191" s="76">
        <f>IF(Observaciones!$F190&gt;0.05*Constantes!$F$18,((Observaciones!$F190-0.05*Constantes!$F$18)^2)/(Observaciones!$F190+0.95*Constantes!$F$18),0)</f>
        <v>0</v>
      </c>
      <c r="G191" s="76">
        <f>IF(Escenarios!$F$11&gt;0,(F191*Escenarios!$F$16*10000)/1000,0)</f>
        <v>0</v>
      </c>
      <c r="H191" s="76">
        <f>IF(Escenarios!$F$11&gt;0,(Observaciones!$F190*Constantes!$F$29)/1000,0)</f>
        <v>0</v>
      </c>
      <c r="I191" s="76">
        <f>IF(Escenarios!$F$11&gt;0,(D191*Constantes!$F$29)/1000,0)</f>
        <v>0</v>
      </c>
      <c r="J191" s="76">
        <f>IF(Escenarios!$F$11&gt;0,MAX(0,G191+H191-I191),0)</f>
        <v>0</v>
      </c>
      <c r="K191" s="76">
        <f>IF(Escenarios!$F$11&gt;0,IF(J191&gt;Constantes!$F$30,1000*((J191-Constantes!$F$30)/(Escenarios!$F$16*10000)),0),F191)</f>
        <v>0</v>
      </c>
      <c r="L191" s="76">
        <f>IF(Escenarios!$F$11&gt;0,I191*1000/Escenarios!$F$16/10000+E191,E191)</f>
        <v>0</v>
      </c>
      <c r="M191" s="76">
        <f>MAX(0,N190+Observaciones!$F190-K191-Constantes!$D$13)</f>
        <v>0</v>
      </c>
      <c r="N191" s="76">
        <f>N190+Observaciones!$F190-K191-L191-M191-O190</f>
        <v>11.25</v>
      </c>
      <c r="O191" s="76">
        <f>MAX(0,(N191-Constantes!$D$14)*(1-EXP(-Constantes!$D$22)))</f>
        <v>0</v>
      </c>
      <c r="P191" s="170">
        <f>P190+(Entradas!$F$83*M191-Q190)/(800*Entradas!$D$25)</f>
        <v>0</v>
      </c>
      <c r="Q191" s="170">
        <f>8000*Entradas!$D$26*P191/Constantes!$F$45</f>
        <v>0</v>
      </c>
      <c r="R191" s="170">
        <f>IF(Escenarios!$F$14&gt;0,K191*Escenarios!$F$13/Escenarios!$F$14,0)</f>
        <v>0</v>
      </c>
      <c r="S191" s="170">
        <f>IF(Escenarios!$F$14&gt;0,Q191*Escenarios!$F$13/Escenarios!$F$14,0)</f>
        <v>0</v>
      </c>
      <c r="T191" s="170">
        <f>IF(Escenarios!$F$14&gt;0,Observaciones!$I190,0)</f>
        <v>0</v>
      </c>
      <c r="U191" s="170">
        <f>IF(Escenarios!$F$14&gt;0,MAX(0,Constantes!$F$36/((Z190+R191+S191+T191+Observaciones!$F190)^2)+Entradas!$F$77),0)</f>
        <v>0</v>
      </c>
      <c r="V191" s="146">
        <f>IF(ETo!D190&gt;0,ETo!I190*((1-Entradas!$F$81)*ETo!K190+ETo!L190),0)</f>
        <v>2.3550131566270633</v>
      </c>
      <c r="W191" s="170">
        <f>IF(Escenarios!$F$14&gt;0,MIN(V191*1,0.8*(Z190+R191+S191+T191+Observaciones!$F190-U191-Constantes!$F$35)),0)</f>
        <v>0</v>
      </c>
      <c r="X191" s="170">
        <f>IF(Escenarios!$F$14&gt;0,Observaciones!$J190,0)</f>
        <v>0</v>
      </c>
      <c r="Y191" s="170">
        <f>IF(Escenarios!$F$14&gt;0,MAX(0,Z190+R191+S191+T191+Observaciones!$F190-U191-W191-X191-Constantes!$F$33),0)</f>
        <v>0</v>
      </c>
      <c r="Z191" s="170">
        <f>Z190+R191+S191+T191+Observaciones!$F190-U191-W191-Y191</f>
        <v>41.25</v>
      </c>
      <c r="AA191" s="170">
        <f>IF(Escenarios!$F$14&gt;0,(Escenarios!$F$13*L191+Escenarios!$F$14*W191)/(Escenarios!$F$16),L191)</f>
        <v>0</v>
      </c>
      <c r="AB191" s="170">
        <f>IF(Escenarios!$F$14&gt;0,(Escenarios!$F$14*Y191)/(Escenarios!$F$16),K191)</f>
        <v>0</v>
      </c>
      <c r="AC191" s="170">
        <f>IF(Escenarios!$F$14&gt;0,(Escenarios!$F$13*M191+Escenarios!$F$14*U191)/(Escenarios!$F$16),M191)</f>
        <v>0</v>
      </c>
      <c r="AD191" s="76">
        <f t="shared" si="29"/>
        <v>93.32609050459422</v>
      </c>
      <c r="AE191" s="76">
        <f>MAX(0,(AD191-Constantes!$D$13)*(1-EXP(-Constantes!$D$23)))</f>
        <v>0.43921883693934199</v>
      </c>
      <c r="AF191" s="76">
        <f>AB191+O191*Escenarios!$F$13/Escenarios!$F$16+AE191</f>
        <v>0.43921883693934199</v>
      </c>
      <c r="AG191" s="76">
        <f>IF(Entradas!$F$91&gt;0,IF(AF191-Escenarios!$F$38&lt;=0,0,IF(AF191-Escenarios!$F$38&gt;Escenarios!$F$37,Escenarios!$F$37,AF191-Escenarios!$F$38)),0)</f>
        <v>0</v>
      </c>
      <c r="AH191" s="76">
        <f>AG191*Entradas!$F$99</f>
        <v>0</v>
      </c>
      <c r="AI191" s="76">
        <f>IF(Entradas!$F$91&gt;0,D191*Entradas!$D$23/Escenarios!$F$16,0)</f>
        <v>0.12974551731691231</v>
      </c>
      <c r="AJ191" s="76">
        <f>IF(Entradas!$F$91&gt;0,Entradas!$D$24*Entradas!$D$22/Escenarios!$F$16,0)</f>
        <v>0.12</v>
      </c>
      <c r="AK191" s="76">
        <f t="shared" si="30"/>
        <v>0.12974551731691231</v>
      </c>
      <c r="AL191" s="76">
        <f t="shared" si="31"/>
        <v>0</v>
      </c>
      <c r="AM191" s="76">
        <f t="shared" si="32"/>
        <v>0</v>
      </c>
      <c r="AN191" s="76">
        <f>MAX(0,O191*Escenarios!$F$13/Escenarios!$F$16-AM191)</f>
        <v>0</v>
      </c>
      <c r="AO191" s="76">
        <f>AM191+AN191-O191*Escenarios!$F$13/Escenarios!$F$16</f>
        <v>0</v>
      </c>
      <c r="AP191" s="76">
        <f t="shared" si="33"/>
        <v>0.43921883693934199</v>
      </c>
      <c r="AQ191" s="76">
        <f t="shared" si="34"/>
        <v>0</v>
      </c>
      <c r="AR191" s="76">
        <f t="shared" si="35"/>
        <v>0.43921883693934199</v>
      </c>
      <c r="AS191" s="76">
        <f t="shared" si="36"/>
        <v>0</v>
      </c>
      <c r="AT191" s="76">
        <f t="shared" si="37"/>
        <v>0</v>
      </c>
      <c r="AU191" s="76">
        <f t="shared" si="38"/>
        <v>51.62001630653684</v>
      </c>
      <c r="AV191" s="76">
        <f>MAX(0,(AU191-Constantes!$D$13)*(1-EXP(-Constantes!$D$24)))</f>
        <v>4.3868908327626764E-2</v>
      </c>
      <c r="AW191" s="170">
        <f>AW190+(Entradas!$F$112*AT191-AX190)/(800*Entradas!$D$25)</f>
        <v>0</v>
      </c>
      <c r="AX191" s="170">
        <f>8000*Entradas!$D$26*AW191/Constantes!$F$45</f>
        <v>0</v>
      </c>
      <c r="AY191" s="170">
        <f>IF(Escenarios!$F$17&gt;0,10*Escenarios!$F$16*AL191,0)</f>
        <v>0</v>
      </c>
      <c r="AZ191" s="170">
        <f>IF(Escenarios!$F$17&gt;0,10*Escenarios!$F$16*AX191,0)</f>
        <v>0</v>
      </c>
      <c r="BA191" s="170">
        <f>IF(Escenarios!$F$17&gt;0,0.001*Observaciones!$F190*Escenarios!$F$17,0)</f>
        <v>0</v>
      </c>
      <c r="BB191" s="170">
        <f>IF(Escenarios!$F$17&gt;0,Observaciones!$K190,0)</f>
        <v>0</v>
      </c>
      <c r="BC191" s="170">
        <f>IF(Escenarios!$F$17&gt;0,MIN(0.0005*ETo!$M190*Escenarios!$F$17*(BG190/Constantes!$F$40)^(2/3),BG190+AY191+AZ191+BA191+BB191),0)</f>
        <v>0</v>
      </c>
      <c r="BD191" s="170">
        <f>IF(Escenarios!$F$17&gt;0,MIN(Constantes!$F$39*(BG190/Constantes!$F$40)^(2/3),BG190+AY191+AZ191+BA191+BB191-BC191),0)</f>
        <v>0</v>
      </c>
      <c r="BE191" s="170">
        <f>IF(Escenarios!$F$17&gt;0,MIN(Entradas!$F$113,BG190+AY191+AZ191+BA191+BB191-BC191-BD191),0)</f>
        <v>0</v>
      </c>
      <c r="BF191" s="170">
        <f>IF(Escenarios!$F$17&gt;0,MAX(0,BG190+AY191+AZ191+BA191+BB191-BC191-BD191-BE191-Constantes!$F$40),0)</f>
        <v>0</v>
      </c>
      <c r="BG191" s="170">
        <f t="shared" si="39"/>
        <v>0</v>
      </c>
      <c r="BH191" s="170">
        <f>(Escenarios!$F$16*AK191+0.1*BC191)/(Escenarios!$F$19)</f>
        <v>0.12974551731691231</v>
      </c>
      <c r="BI191" s="170">
        <f>IF(Escenarios!$F$17&gt;0,BF191/10/Escenarios!$F$19,AL191)</f>
        <v>0</v>
      </c>
      <c r="BJ191" s="170">
        <f>(Escenarios!$F$16*AT191+0.1*BD191)/(Escenarios!$F$19)</f>
        <v>0</v>
      </c>
      <c r="BK191" s="76">
        <f>BK190+(0.1*BD191)/(Escenarios!$F$19)-BL190</f>
        <v>48.75</v>
      </c>
      <c r="BL191" s="76">
        <f>MAX(0,(BK191-Constantes!$D$13)*(1-EXP(-Constantes!$D$23)))</f>
        <v>0</v>
      </c>
      <c r="BM191" s="76">
        <f t="shared" si="40"/>
        <v>0.48308774526696874</v>
      </c>
      <c r="BN191" s="76">
        <f t="shared" si="41"/>
        <v>0.48308774526696874</v>
      </c>
      <c r="BO191" s="76">
        <f>0.0526*BI191*Observaciones!$F190^1.218</f>
        <v>0</v>
      </c>
      <c r="BP191" s="76">
        <f>BO191*Constantes!$F$51</f>
        <v>0</v>
      </c>
      <c r="BQ191" s="76">
        <f t="shared" si="42"/>
        <v>0</v>
      </c>
      <c r="BR191" s="40"/>
    </row>
    <row r="192" spans="2:70">
      <c r="B192" s="39"/>
      <c r="C192" s="75">
        <v>186</v>
      </c>
      <c r="D192" s="146">
        <f>ETo!$I191*((1-Constantes!$F$19)*ETo!$K191+ETo!$L191)</f>
        <v>2.6966155207095737</v>
      </c>
      <c r="E192" s="76">
        <f>MIN(D192*Constantes!$F$17,0.8*(N191+Observaciones!$F191-F192-M192-Constantes!$D$14))</f>
        <v>0</v>
      </c>
      <c r="F192" s="76">
        <f>IF(Observaciones!$F191&gt;0.05*Constantes!$F$18,((Observaciones!$F191-0.05*Constantes!$F$18)^2)/(Observaciones!$F191+0.95*Constantes!$F$18),0)</f>
        <v>0</v>
      </c>
      <c r="G192" s="76">
        <f>IF(Escenarios!$F$11&gt;0,(F192*Escenarios!$F$16*10000)/1000,0)</f>
        <v>0</v>
      </c>
      <c r="H192" s="76">
        <f>IF(Escenarios!$F$11&gt;0,(Observaciones!$F191*Constantes!$F$29)/1000,0)</f>
        <v>0</v>
      </c>
      <c r="I192" s="76">
        <f>IF(Escenarios!$F$11&gt;0,(D192*Constantes!$F$29)/1000,0)</f>
        <v>0</v>
      </c>
      <c r="J192" s="76">
        <f>IF(Escenarios!$F$11&gt;0,MAX(0,G192+H192-I192),0)</f>
        <v>0</v>
      </c>
      <c r="K192" s="76">
        <f>IF(Escenarios!$F$11&gt;0,IF(J192&gt;Constantes!$F$30,1000*((J192-Constantes!$F$30)/(Escenarios!$F$16*10000)),0),F192)</f>
        <v>0</v>
      </c>
      <c r="L192" s="76">
        <f>IF(Escenarios!$F$11&gt;0,I192*1000/Escenarios!$F$16/10000+E192,E192)</f>
        <v>0</v>
      </c>
      <c r="M192" s="76">
        <f>MAX(0,N191+Observaciones!$F191-K192-Constantes!$D$13)</f>
        <v>0</v>
      </c>
      <c r="N192" s="76">
        <f>N191+Observaciones!$F191-K192-L192-M192-O191</f>
        <v>11.25</v>
      </c>
      <c r="O192" s="76">
        <f>MAX(0,(N192-Constantes!$D$14)*(1-EXP(-Constantes!$D$22)))</f>
        <v>0</v>
      </c>
      <c r="P192" s="170">
        <f>P191+(Entradas!$F$83*M192-Q191)/(800*Entradas!$D$25)</f>
        <v>0</v>
      </c>
      <c r="Q192" s="170">
        <f>8000*Entradas!$D$26*P192/Constantes!$F$45</f>
        <v>0</v>
      </c>
      <c r="R192" s="170">
        <f>IF(Escenarios!$F$14&gt;0,K192*Escenarios!$F$13/Escenarios!$F$14,0)</f>
        <v>0</v>
      </c>
      <c r="S192" s="170">
        <f>IF(Escenarios!$F$14&gt;0,Q192*Escenarios!$F$13/Escenarios!$F$14,0)</f>
        <v>0</v>
      </c>
      <c r="T192" s="170">
        <f>IF(Escenarios!$F$14&gt;0,Observaciones!$I191,0)</f>
        <v>0</v>
      </c>
      <c r="U192" s="170">
        <f>IF(Escenarios!$F$14&gt;0,MAX(0,Constantes!$F$36/((Z191+R192+S192+T192+Observaciones!$F191)^2)+Entradas!$F$77),0)</f>
        <v>0</v>
      </c>
      <c r="V192" s="146">
        <f>IF(ETo!D191&gt;0,ETo!I191*((1-Entradas!$F$81)*ETo!K191+ETo!L191),0)</f>
        <v>2.349500923516306</v>
      </c>
      <c r="W192" s="170">
        <f>IF(Escenarios!$F$14&gt;0,MIN(V192*1,0.8*(Z191+R192+S192+T192+Observaciones!$F191-U192-Constantes!$F$35)),0)</f>
        <v>0</v>
      </c>
      <c r="X192" s="170">
        <f>IF(Escenarios!$F$14&gt;0,Observaciones!$J191,0)</f>
        <v>0</v>
      </c>
      <c r="Y192" s="170">
        <f>IF(Escenarios!$F$14&gt;0,MAX(0,Z191+R192+S192+T192+Observaciones!$F191-U192-W192-X192-Constantes!$F$33),0)</f>
        <v>0</v>
      </c>
      <c r="Z192" s="170">
        <f>Z191+R192+S192+T192+Observaciones!$F191-U192-W192-Y192</f>
        <v>41.25</v>
      </c>
      <c r="AA192" s="170">
        <f>IF(Escenarios!$F$14&gt;0,(Escenarios!$F$13*L192+Escenarios!$F$14*W192)/(Escenarios!$F$16),L192)</f>
        <v>0</v>
      </c>
      <c r="AB192" s="170">
        <f>IF(Escenarios!$F$14&gt;0,(Escenarios!$F$14*Y192)/(Escenarios!$F$16),K192)</f>
        <v>0</v>
      </c>
      <c r="AC192" s="170">
        <f>IF(Escenarios!$F$14&gt;0,(Escenarios!$F$13*M192+Escenarios!$F$14*U192)/(Escenarios!$F$16),M192)</f>
        <v>0</v>
      </c>
      <c r="AD192" s="76">
        <f t="shared" si="29"/>
        <v>92.886871667654873</v>
      </c>
      <c r="AE192" s="76">
        <f>MAX(0,(AD192-Constantes!$D$13)*(1-EXP(-Constantes!$D$23)))</f>
        <v>0.43489110912520207</v>
      </c>
      <c r="AF192" s="76">
        <f>AB192+O192*Escenarios!$F$13/Escenarios!$F$16+AE192</f>
        <v>0.43489110912520207</v>
      </c>
      <c r="AG192" s="76">
        <f>IF(Entradas!$F$91&gt;0,IF(AF192-Escenarios!$F$38&lt;=0,0,IF(AF192-Escenarios!$F$38&gt;Escenarios!$F$37,Escenarios!$F$37,AF192-Escenarios!$F$38)),0)</f>
        <v>0</v>
      </c>
      <c r="AH192" s="76">
        <f>AG192*Entradas!$F$99</f>
        <v>0</v>
      </c>
      <c r="AI192" s="76">
        <f>IF(Entradas!$F$91&gt;0,D192*Entradas!$D$23/Escenarios!$F$16,0)</f>
        <v>0.12943754499405952</v>
      </c>
      <c r="AJ192" s="76">
        <f>IF(Entradas!$F$91&gt;0,Entradas!$D$24*Entradas!$D$22/Escenarios!$F$16,0)</f>
        <v>0.12</v>
      </c>
      <c r="AK192" s="76">
        <f t="shared" si="30"/>
        <v>0.12943754499405952</v>
      </c>
      <c r="AL192" s="76">
        <f t="shared" si="31"/>
        <v>0</v>
      </c>
      <c r="AM192" s="76">
        <f t="shared" si="32"/>
        <v>0</v>
      </c>
      <c r="AN192" s="76">
        <f>MAX(0,O192*Escenarios!$F$13/Escenarios!$F$16-AM192)</f>
        <v>0</v>
      </c>
      <c r="AO192" s="76">
        <f>AM192+AN192-O192*Escenarios!$F$13/Escenarios!$F$16</f>
        <v>0</v>
      </c>
      <c r="AP192" s="76">
        <f t="shared" si="33"/>
        <v>0.43489110912520207</v>
      </c>
      <c r="AQ192" s="76">
        <f t="shared" si="34"/>
        <v>0</v>
      </c>
      <c r="AR192" s="76">
        <f t="shared" si="35"/>
        <v>0.43489110912520207</v>
      </c>
      <c r="AS192" s="76">
        <f t="shared" si="36"/>
        <v>0</v>
      </c>
      <c r="AT192" s="76">
        <f t="shared" si="37"/>
        <v>0</v>
      </c>
      <c r="AU192" s="76">
        <f t="shared" si="38"/>
        <v>51.576147398209216</v>
      </c>
      <c r="AV192" s="76">
        <f>MAX(0,(AU192-Constantes!$D$13)*(1-EXP(-Constantes!$D$24)))</f>
        <v>4.3198361225342236E-2</v>
      </c>
      <c r="AW192" s="170">
        <f>AW191+(Entradas!$F$112*AT192-AX191)/(800*Entradas!$D$25)</f>
        <v>0</v>
      </c>
      <c r="AX192" s="170">
        <f>8000*Entradas!$D$26*AW192/Constantes!$F$45</f>
        <v>0</v>
      </c>
      <c r="AY192" s="170">
        <f>IF(Escenarios!$F$17&gt;0,10*Escenarios!$F$16*AL192,0)</f>
        <v>0</v>
      </c>
      <c r="AZ192" s="170">
        <f>IF(Escenarios!$F$17&gt;0,10*Escenarios!$F$16*AX192,0)</f>
        <v>0</v>
      </c>
      <c r="BA192" s="170">
        <f>IF(Escenarios!$F$17&gt;0,0.001*Observaciones!$F191*Escenarios!$F$17,0)</f>
        <v>0</v>
      </c>
      <c r="BB192" s="170">
        <f>IF(Escenarios!$F$17&gt;0,Observaciones!$K191,0)</f>
        <v>0</v>
      </c>
      <c r="BC192" s="170">
        <f>IF(Escenarios!$F$17&gt;0,MIN(0.0005*ETo!$M191*Escenarios!$F$17*(BG191/Constantes!$F$40)^(2/3),BG191+AY192+AZ192+BA192+BB192),0)</f>
        <v>0</v>
      </c>
      <c r="BD192" s="170">
        <f>IF(Escenarios!$F$17&gt;0,MIN(Constantes!$F$39*(BG191/Constantes!$F$40)^(2/3),BG191+AY192+AZ192+BA192+BB192-BC192),0)</f>
        <v>0</v>
      </c>
      <c r="BE192" s="170">
        <f>IF(Escenarios!$F$17&gt;0,MIN(Entradas!$F$113,BG191+AY192+AZ192+BA192+BB192-BC192-BD192),0)</f>
        <v>0</v>
      </c>
      <c r="BF192" s="170">
        <f>IF(Escenarios!$F$17&gt;0,MAX(0,BG191+AY192+AZ192+BA192+BB192-BC192-BD192-BE192-Constantes!$F$40),0)</f>
        <v>0</v>
      </c>
      <c r="BG192" s="170">
        <f t="shared" si="39"/>
        <v>0</v>
      </c>
      <c r="BH192" s="170">
        <f>(Escenarios!$F$16*AK192+0.1*BC192)/(Escenarios!$F$19)</f>
        <v>0.12943754499405952</v>
      </c>
      <c r="BI192" s="170">
        <f>IF(Escenarios!$F$17&gt;0,BF192/10/Escenarios!$F$19,AL192)</f>
        <v>0</v>
      </c>
      <c r="BJ192" s="170">
        <f>(Escenarios!$F$16*AT192+0.1*BD192)/(Escenarios!$F$19)</f>
        <v>0</v>
      </c>
      <c r="BK192" s="76">
        <f>BK191+(0.1*BD192)/(Escenarios!$F$19)-BL191</f>
        <v>48.75</v>
      </c>
      <c r="BL192" s="76">
        <f>MAX(0,(BK192-Constantes!$D$13)*(1-EXP(-Constantes!$D$23)))</f>
        <v>0</v>
      </c>
      <c r="BM192" s="76">
        <f t="shared" si="40"/>
        <v>0.47808947035054428</v>
      </c>
      <c r="BN192" s="76">
        <f t="shared" si="41"/>
        <v>0.47808947035054428</v>
      </c>
      <c r="BO192" s="76">
        <f>0.0526*BI192*Observaciones!$F191^1.218</f>
        <v>0</v>
      </c>
      <c r="BP192" s="76">
        <f>BO192*Constantes!$F$51</f>
        <v>0</v>
      </c>
      <c r="BQ192" s="76">
        <f t="shared" si="42"/>
        <v>0</v>
      </c>
      <c r="BR192" s="40"/>
    </row>
    <row r="193" spans="2:70">
      <c r="B193" s="39"/>
      <c r="C193" s="75">
        <v>187</v>
      </c>
      <c r="D193" s="146">
        <f>ETo!$I192*((1-Constantes!$F$19)*ETo!$K192+ETo!$L192)</f>
        <v>2.7183792371829161</v>
      </c>
      <c r="E193" s="76">
        <f>MIN(D193*Constantes!$F$17,0.8*(N192+Observaciones!$F192-F193-M193-Constantes!$D$14))</f>
        <v>0</v>
      </c>
      <c r="F193" s="76">
        <f>IF(Observaciones!$F192&gt;0.05*Constantes!$F$18,((Observaciones!$F192-0.05*Constantes!$F$18)^2)/(Observaciones!$F192+0.95*Constantes!$F$18),0)</f>
        <v>0</v>
      </c>
      <c r="G193" s="76">
        <f>IF(Escenarios!$F$11&gt;0,(F193*Escenarios!$F$16*10000)/1000,0)</f>
        <v>0</v>
      </c>
      <c r="H193" s="76">
        <f>IF(Escenarios!$F$11&gt;0,(Observaciones!$F192*Constantes!$F$29)/1000,0)</f>
        <v>0</v>
      </c>
      <c r="I193" s="76">
        <f>IF(Escenarios!$F$11&gt;0,(D193*Constantes!$F$29)/1000,0)</f>
        <v>0</v>
      </c>
      <c r="J193" s="76">
        <f>IF(Escenarios!$F$11&gt;0,MAX(0,G193+H193-I193),0)</f>
        <v>0</v>
      </c>
      <c r="K193" s="76">
        <f>IF(Escenarios!$F$11&gt;0,IF(J193&gt;Constantes!$F$30,1000*((J193-Constantes!$F$30)/(Escenarios!$F$16*10000)),0),F193)</f>
        <v>0</v>
      </c>
      <c r="L193" s="76">
        <f>IF(Escenarios!$F$11&gt;0,I193*1000/Escenarios!$F$16/10000+E193,E193)</f>
        <v>0</v>
      </c>
      <c r="M193" s="76">
        <f>MAX(0,N192+Observaciones!$F192-K193-Constantes!$D$13)</f>
        <v>0</v>
      </c>
      <c r="N193" s="76">
        <f>N192+Observaciones!$F192-K193-L193-M193-O192</f>
        <v>11.25</v>
      </c>
      <c r="O193" s="76">
        <f>MAX(0,(N193-Constantes!$D$14)*(1-EXP(-Constantes!$D$22)))</f>
        <v>0</v>
      </c>
      <c r="P193" s="170">
        <f>P192+(Entradas!$F$83*M193-Q192)/(800*Entradas!$D$25)</f>
        <v>0</v>
      </c>
      <c r="Q193" s="170">
        <f>8000*Entradas!$D$26*P193/Constantes!$F$45</f>
        <v>0</v>
      </c>
      <c r="R193" s="170">
        <f>IF(Escenarios!$F$14&gt;0,K193*Escenarios!$F$13/Escenarios!$F$14,0)</f>
        <v>0</v>
      </c>
      <c r="S193" s="170">
        <f>IF(Escenarios!$F$14&gt;0,Q193*Escenarios!$F$13/Escenarios!$F$14,0)</f>
        <v>0</v>
      </c>
      <c r="T193" s="170">
        <f>IF(Escenarios!$F$14&gt;0,Observaciones!$I192,0)</f>
        <v>0</v>
      </c>
      <c r="U193" s="170">
        <f>IF(Escenarios!$F$14&gt;0,MAX(0,Constantes!$F$36/((Z192+R193+S193+T193+Observaciones!$F192)^2)+Entradas!$F$77),0)</f>
        <v>0</v>
      </c>
      <c r="V193" s="146">
        <f>IF(ETo!D192&gt;0,ETo!I192*((1-Entradas!$F$81)*ETo!K192+ETo!L192),0)</f>
        <v>2.3689984996913345</v>
      </c>
      <c r="W193" s="170">
        <f>IF(Escenarios!$F$14&gt;0,MIN(V193*1,0.8*(Z192+R193+S193+T193+Observaciones!$F192-U193-Constantes!$F$35)),0)</f>
        <v>0</v>
      </c>
      <c r="X193" s="170">
        <f>IF(Escenarios!$F$14&gt;0,Observaciones!$J192,0)</f>
        <v>0</v>
      </c>
      <c r="Y193" s="170">
        <f>IF(Escenarios!$F$14&gt;0,MAX(0,Z192+R193+S193+T193+Observaciones!$F192-U193-W193-X193-Constantes!$F$33),0)</f>
        <v>0</v>
      </c>
      <c r="Z193" s="170">
        <f>Z192+R193+S193+T193+Observaciones!$F192-U193-W193-Y193</f>
        <v>41.25</v>
      </c>
      <c r="AA193" s="170">
        <f>IF(Escenarios!$F$14&gt;0,(Escenarios!$F$13*L193+Escenarios!$F$14*W193)/(Escenarios!$F$16),L193)</f>
        <v>0</v>
      </c>
      <c r="AB193" s="170">
        <f>IF(Escenarios!$F$14&gt;0,(Escenarios!$F$14*Y193)/(Escenarios!$F$16),K193)</f>
        <v>0</v>
      </c>
      <c r="AC193" s="170">
        <f>IF(Escenarios!$F$14&gt;0,(Escenarios!$F$13*M193+Escenarios!$F$14*U193)/(Escenarios!$F$16),M193)</f>
        <v>0</v>
      </c>
      <c r="AD193" s="76">
        <f t="shared" si="29"/>
        <v>92.451980558529669</v>
      </c>
      <c r="AE193" s="76">
        <f>MAX(0,(AD193-Constantes!$D$13)*(1-EXP(-Constantes!$D$23)))</f>
        <v>0.4306060234439994</v>
      </c>
      <c r="AF193" s="76">
        <f>AB193+O193*Escenarios!$F$13/Escenarios!$F$16+AE193</f>
        <v>0.4306060234439994</v>
      </c>
      <c r="AG193" s="76">
        <f>IF(Entradas!$F$91&gt;0,IF(AF193-Escenarios!$F$38&lt;=0,0,IF(AF193-Escenarios!$F$38&gt;Escenarios!$F$37,Escenarios!$F$37,AF193-Escenarios!$F$38)),0)</f>
        <v>0</v>
      </c>
      <c r="AH193" s="76">
        <f>AG193*Entradas!$F$99</f>
        <v>0</v>
      </c>
      <c r="AI193" s="76">
        <f>IF(Entradas!$F$91&gt;0,D193*Entradas!$D$23/Escenarios!$F$16,0)</f>
        <v>0.13048220338477998</v>
      </c>
      <c r="AJ193" s="76">
        <f>IF(Entradas!$F$91&gt;0,Entradas!$D$24*Entradas!$D$22/Escenarios!$F$16,0)</f>
        <v>0.12</v>
      </c>
      <c r="AK193" s="76">
        <f t="shared" si="30"/>
        <v>0.13048220338477998</v>
      </c>
      <c r="AL193" s="76">
        <f t="shared" si="31"/>
        <v>0</v>
      </c>
      <c r="AM193" s="76">
        <f t="shared" si="32"/>
        <v>0</v>
      </c>
      <c r="AN193" s="76">
        <f>MAX(0,O193*Escenarios!$F$13/Escenarios!$F$16-AM193)</f>
        <v>0</v>
      </c>
      <c r="AO193" s="76">
        <f>AM193+AN193-O193*Escenarios!$F$13/Escenarios!$F$16</f>
        <v>0</v>
      </c>
      <c r="AP193" s="76">
        <f t="shared" si="33"/>
        <v>0.4306060234439994</v>
      </c>
      <c r="AQ193" s="76">
        <f t="shared" si="34"/>
        <v>0</v>
      </c>
      <c r="AR193" s="76">
        <f t="shared" si="35"/>
        <v>0.4306060234439994</v>
      </c>
      <c r="AS193" s="76">
        <f t="shared" si="36"/>
        <v>0</v>
      </c>
      <c r="AT193" s="76">
        <f t="shared" si="37"/>
        <v>0</v>
      </c>
      <c r="AU193" s="76">
        <f t="shared" si="38"/>
        <v>51.532949036983872</v>
      </c>
      <c r="AV193" s="76">
        <f>MAX(0,(AU193-Constantes!$D$13)*(1-EXP(-Constantes!$D$24)))</f>
        <v>4.2538063601185179E-2</v>
      </c>
      <c r="AW193" s="170">
        <f>AW192+(Entradas!$F$112*AT193-AX192)/(800*Entradas!$D$25)</f>
        <v>0</v>
      </c>
      <c r="AX193" s="170">
        <f>8000*Entradas!$D$26*AW193/Constantes!$F$45</f>
        <v>0</v>
      </c>
      <c r="AY193" s="170">
        <f>IF(Escenarios!$F$17&gt;0,10*Escenarios!$F$16*AL193,0)</f>
        <v>0</v>
      </c>
      <c r="AZ193" s="170">
        <f>IF(Escenarios!$F$17&gt;0,10*Escenarios!$F$16*AX193,0)</f>
        <v>0</v>
      </c>
      <c r="BA193" s="170">
        <f>IF(Escenarios!$F$17&gt;0,0.001*Observaciones!$F192*Escenarios!$F$17,0)</f>
        <v>0</v>
      </c>
      <c r="BB193" s="170">
        <f>IF(Escenarios!$F$17&gt;0,Observaciones!$K192,0)</f>
        <v>0</v>
      </c>
      <c r="BC193" s="170">
        <f>IF(Escenarios!$F$17&gt;0,MIN(0.0005*ETo!$M192*Escenarios!$F$17*(BG192/Constantes!$F$40)^(2/3),BG192+AY193+AZ193+BA193+BB193),0)</f>
        <v>0</v>
      </c>
      <c r="BD193" s="170">
        <f>IF(Escenarios!$F$17&gt;0,MIN(Constantes!$F$39*(BG192/Constantes!$F$40)^(2/3),BG192+AY193+AZ193+BA193+BB193-BC193),0)</f>
        <v>0</v>
      </c>
      <c r="BE193" s="170">
        <f>IF(Escenarios!$F$17&gt;0,MIN(Entradas!$F$113,BG192+AY193+AZ193+BA193+BB193-BC193-BD193),0)</f>
        <v>0</v>
      </c>
      <c r="BF193" s="170">
        <f>IF(Escenarios!$F$17&gt;0,MAX(0,BG192+AY193+AZ193+BA193+BB193-BC193-BD193-BE193-Constantes!$F$40),0)</f>
        <v>0</v>
      </c>
      <c r="BG193" s="170">
        <f t="shared" si="39"/>
        <v>0</v>
      </c>
      <c r="BH193" s="170">
        <f>(Escenarios!$F$16*AK193+0.1*BC193)/(Escenarios!$F$19)</f>
        <v>0.13048220338477998</v>
      </c>
      <c r="BI193" s="170">
        <f>IF(Escenarios!$F$17&gt;0,BF193/10/Escenarios!$F$19,AL193)</f>
        <v>0</v>
      </c>
      <c r="BJ193" s="170">
        <f>(Escenarios!$F$16*AT193+0.1*BD193)/(Escenarios!$F$19)</f>
        <v>0</v>
      </c>
      <c r="BK193" s="76">
        <f>BK192+(0.1*BD193)/(Escenarios!$F$19)-BL192</f>
        <v>48.75</v>
      </c>
      <c r="BL193" s="76">
        <f>MAX(0,(BK193-Constantes!$D$13)*(1-EXP(-Constantes!$D$23)))</f>
        <v>0</v>
      </c>
      <c r="BM193" s="76">
        <f t="shared" si="40"/>
        <v>0.47314408704518457</v>
      </c>
      <c r="BN193" s="76">
        <f t="shared" si="41"/>
        <v>0.47314408704518457</v>
      </c>
      <c r="BO193" s="76">
        <f>0.0526*BI193*Observaciones!$F192^1.218</f>
        <v>0</v>
      </c>
      <c r="BP193" s="76">
        <f>BO193*Constantes!$F$51</f>
        <v>0</v>
      </c>
      <c r="BQ193" s="76">
        <f t="shared" si="42"/>
        <v>0</v>
      </c>
      <c r="BR193" s="40"/>
    </row>
    <row r="194" spans="2:70">
      <c r="B194" s="39"/>
      <c r="C194" s="75">
        <v>188</v>
      </c>
      <c r="D194" s="146">
        <f>ETo!$I193*((1-Constantes!$F$19)*ETo!$K193+ETo!$L193)</f>
        <v>2.6054646568647013</v>
      </c>
      <c r="E194" s="76">
        <f>MIN(D194*Constantes!$F$17,0.8*(N193+Observaciones!$F193-F194-M194-Constantes!$D$14))</f>
        <v>0</v>
      </c>
      <c r="F194" s="76">
        <f>IF(Observaciones!$F193&gt;0.05*Constantes!$F$18,((Observaciones!$F193-0.05*Constantes!$F$18)^2)/(Observaciones!$F193+0.95*Constantes!$F$18),0)</f>
        <v>0</v>
      </c>
      <c r="G194" s="76">
        <f>IF(Escenarios!$F$11&gt;0,(F194*Escenarios!$F$16*10000)/1000,0)</f>
        <v>0</v>
      </c>
      <c r="H194" s="76">
        <f>IF(Escenarios!$F$11&gt;0,(Observaciones!$F193*Constantes!$F$29)/1000,0)</f>
        <v>0</v>
      </c>
      <c r="I194" s="76">
        <f>IF(Escenarios!$F$11&gt;0,(D194*Constantes!$F$29)/1000,0)</f>
        <v>0</v>
      </c>
      <c r="J194" s="76">
        <f>IF(Escenarios!$F$11&gt;0,MAX(0,G194+H194-I194),0)</f>
        <v>0</v>
      </c>
      <c r="K194" s="76">
        <f>IF(Escenarios!$F$11&gt;0,IF(J194&gt;Constantes!$F$30,1000*((J194-Constantes!$F$30)/(Escenarios!$F$16*10000)),0),F194)</f>
        <v>0</v>
      </c>
      <c r="L194" s="76">
        <f>IF(Escenarios!$F$11&gt;0,I194*1000/Escenarios!$F$16/10000+E194,E194)</f>
        <v>0</v>
      </c>
      <c r="M194" s="76">
        <f>MAX(0,N193+Observaciones!$F193-K194-Constantes!$D$13)</f>
        <v>0</v>
      </c>
      <c r="N194" s="76">
        <f>N193+Observaciones!$F193-K194-L194-M194-O193</f>
        <v>11.25</v>
      </c>
      <c r="O194" s="76">
        <f>MAX(0,(N194-Constantes!$D$14)*(1-EXP(-Constantes!$D$22)))</f>
        <v>0</v>
      </c>
      <c r="P194" s="170">
        <f>P193+(Entradas!$F$83*M194-Q193)/(800*Entradas!$D$25)</f>
        <v>0</v>
      </c>
      <c r="Q194" s="170">
        <f>8000*Entradas!$D$26*P194/Constantes!$F$45</f>
        <v>0</v>
      </c>
      <c r="R194" s="170">
        <f>IF(Escenarios!$F$14&gt;0,K194*Escenarios!$F$13/Escenarios!$F$14,0)</f>
        <v>0</v>
      </c>
      <c r="S194" s="170">
        <f>IF(Escenarios!$F$14&gt;0,Q194*Escenarios!$F$13/Escenarios!$F$14,0)</f>
        <v>0</v>
      </c>
      <c r="T194" s="170">
        <f>IF(Escenarios!$F$14&gt;0,Observaciones!$I193,0)</f>
        <v>0</v>
      </c>
      <c r="U194" s="170">
        <f>IF(Escenarios!$F$14&gt;0,MAX(0,Constantes!$F$36/((Z193+R194+S194+T194+Observaciones!$F193)^2)+Entradas!$F$77),0)</f>
        <v>0</v>
      </c>
      <c r="V194" s="146">
        <f>IF(ETo!D193&gt;0,ETo!I193*((1-Entradas!$F$81)*ETo!K193+ETo!L193),0)</f>
        <v>2.2694074036351788</v>
      </c>
      <c r="W194" s="170">
        <f>IF(Escenarios!$F$14&gt;0,MIN(V194*1,0.8*(Z193+R194+S194+T194+Observaciones!$F193-U194-Constantes!$F$35)),0)</f>
        <v>0</v>
      </c>
      <c r="X194" s="170">
        <f>IF(Escenarios!$F$14&gt;0,Observaciones!$J193,0)</f>
        <v>0</v>
      </c>
      <c r="Y194" s="170">
        <f>IF(Escenarios!$F$14&gt;0,MAX(0,Z193+R194+S194+T194+Observaciones!$F193-U194-W194-X194-Constantes!$F$33),0)</f>
        <v>0</v>
      </c>
      <c r="Z194" s="170">
        <f>Z193+R194+S194+T194+Observaciones!$F193-U194-W194-Y194</f>
        <v>41.25</v>
      </c>
      <c r="AA194" s="170">
        <f>IF(Escenarios!$F$14&gt;0,(Escenarios!$F$13*L194+Escenarios!$F$14*W194)/(Escenarios!$F$16),L194)</f>
        <v>0</v>
      </c>
      <c r="AB194" s="170">
        <f>IF(Escenarios!$F$14&gt;0,(Escenarios!$F$14*Y194)/(Escenarios!$F$16),K194)</f>
        <v>0</v>
      </c>
      <c r="AC194" s="170">
        <f>IF(Escenarios!$F$14&gt;0,(Escenarios!$F$13*M194+Escenarios!$F$14*U194)/(Escenarios!$F$16),M194)</f>
        <v>0</v>
      </c>
      <c r="AD194" s="76">
        <f t="shared" si="29"/>
        <v>92.02137453508567</v>
      </c>
      <c r="AE194" s="76">
        <f>MAX(0,(AD194-Constantes!$D$13)*(1-EXP(-Constantes!$D$23)))</f>
        <v>0.42636315973264149</v>
      </c>
      <c r="AF194" s="76">
        <f>AB194+O194*Escenarios!$F$13/Escenarios!$F$16+AE194</f>
        <v>0.42636315973264149</v>
      </c>
      <c r="AG194" s="76">
        <f>IF(Entradas!$F$91&gt;0,IF(AF194-Escenarios!$F$38&lt;=0,0,IF(AF194-Escenarios!$F$38&gt;Escenarios!$F$37,Escenarios!$F$37,AF194-Escenarios!$F$38)),0)</f>
        <v>0</v>
      </c>
      <c r="AH194" s="76">
        <f>AG194*Entradas!$F$99</f>
        <v>0</v>
      </c>
      <c r="AI194" s="76">
        <f>IF(Entradas!$F$91&gt;0,D194*Entradas!$D$23/Escenarios!$F$16,0)</f>
        <v>0.12506230352950568</v>
      </c>
      <c r="AJ194" s="76">
        <f>IF(Entradas!$F$91&gt;0,Entradas!$D$24*Entradas!$D$22/Escenarios!$F$16,0)</f>
        <v>0.12</v>
      </c>
      <c r="AK194" s="76">
        <f t="shared" si="30"/>
        <v>0.12506230352950568</v>
      </c>
      <c r="AL194" s="76">
        <f t="shared" si="31"/>
        <v>0</v>
      </c>
      <c r="AM194" s="76">
        <f t="shared" si="32"/>
        <v>0</v>
      </c>
      <c r="AN194" s="76">
        <f>MAX(0,O194*Escenarios!$F$13/Escenarios!$F$16-AM194)</f>
        <v>0</v>
      </c>
      <c r="AO194" s="76">
        <f>AM194+AN194-O194*Escenarios!$F$13/Escenarios!$F$16</f>
        <v>0</v>
      </c>
      <c r="AP194" s="76">
        <f t="shared" si="33"/>
        <v>0.42636315973264149</v>
      </c>
      <c r="AQ194" s="76">
        <f t="shared" si="34"/>
        <v>0</v>
      </c>
      <c r="AR194" s="76">
        <f t="shared" si="35"/>
        <v>0.42636315973264149</v>
      </c>
      <c r="AS194" s="76">
        <f t="shared" si="36"/>
        <v>0</v>
      </c>
      <c r="AT194" s="76">
        <f t="shared" si="37"/>
        <v>0</v>
      </c>
      <c r="AU194" s="76">
        <f t="shared" si="38"/>
        <v>51.490410973382687</v>
      </c>
      <c r="AV194" s="76">
        <f>MAX(0,(AU194-Constantes!$D$13)*(1-EXP(-Constantes!$D$24)))</f>
        <v>4.1887858789350189E-2</v>
      </c>
      <c r="AW194" s="170">
        <f>AW193+(Entradas!$F$112*AT194-AX193)/(800*Entradas!$D$25)</f>
        <v>0</v>
      </c>
      <c r="AX194" s="170">
        <f>8000*Entradas!$D$26*AW194/Constantes!$F$45</f>
        <v>0</v>
      </c>
      <c r="AY194" s="170">
        <f>IF(Escenarios!$F$17&gt;0,10*Escenarios!$F$16*AL194,0)</f>
        <v>0</v>
      </c>
      <c r="AZ194" s="170">
        <f>IF(Escenarios!$F$17&gt;0,10*Escenarios!$F$16*AX194,0)</f>
        <v>0</v>
      </c>
      <c r="BA194" s="170">
        <f>IF(Escenarios!$F$17&gt;0,0.001*Observaciones!$F193*Escenarios!$F$17,0)</f>
        <v>0</v>
      </c>
      <c r="BB194" s="170">
        <f>IF(Escenarios!$F$17&gt;0,Observaciones!$K193,0)</f>
        <v>0</v>
      </c>
      <c r="BC194" s="170">
        <f>IF(Escenarios!$F$17&gt;0,MIN(0.0005*ETo!$M193*Escenarios!$F$17*(BG193/Constantes!$F$40)^(2/3),BG193+AY194+AZ194+BA194+BB194),0)</f>
        <v>0</v>
      </c>
      <c r="BD194" s="170">
        <f>IF(Escenarios!$F$17&gt;0,MIN(Constantes!$F$39*(BG193/Constantes!$F$40)^(2/3),BG193+AY194+AZ194+BA194+BB194-BC194),0)</f>
        <v>0</v>
      </c>
      <c r="BE194" s="170">
        <f>IF(Escenarios!$F$17&gt;0,MIN(Entradas!$F$113,BG193+AY194+AZ194+BA194+BB194-BC194-BD194),0)</f>
        <v>0</v>
      </c>
      <c r="BF194" s="170">
        <f>IF(Escenarios!$F$17&gt;0,MAX(0,BG193+AY194+AZ194+BA194+BB194-BC194-BD194-BE194-Constantes!$F$40),0)</f>
        <v>0</v>
      </c>
      <c r="BG194" s="170">
        <f t="shared" si="39"/>
        <v>0</v>
      </c>
      <c r="BH194" s="170">
        <f>(Escenarios!$F$16*AK194+0.1*BC194)/(Escenarios!$F$19)</f>
        <v>0.12506230352950568</v>
      </c>
      <c r="BI194" s="170">
        <f>IF(Escenarios!$F$17&gt;0,BF194/10/Escenarios!$F$19,AL194)</f>
        <v>0</v>
      </c>
      <c r="BJ194" s="170">
        <f>(Escenarios!$F$16*AT194+0.1*BD194)/(Escenarios!$F$19)</f>
        <v>0</v>
      </c>
      <c r="BK194" s="76">
        <f>BK193+(0.1*BD194)/(Escenarios!$F$19)-BL193</f>
        <v>48.75</v>
      </c>
      <c r="BL194" s="76">
        <f>MAX(0,(BK194-Constantes!$D$13)*(1-EXP(-Constantes!$D$23)))</f>
        <v>0</v>
      </c>
      <c r="BM194" s="76">
        <f t="shared" si="40"/>
        <v>0.46825101852199169</v>
      </c>
      <c r="BN194" s="76">
        <f t="shared" si="41"/>
        <v>0.46825101852199169</v>
      </c>
      <c r="BO194" s="76">
        <f>0.0526*BI194*Observaciones!$F193^1.218</f>
        <v>0</v>
      </c>
      <c r="BP194" s="76">
        <f>BO194*Constantes!$F$51</f>
        <v>0</v>
      </c>
      <c r="BQ194" s="76">
        <f t="shared" si="42"/>
        <v>0</v>
      </c>
      <c r="BR194" s="40"/>
    </row>
    <row r="195" spans="2:70">
      <c r="B195" s="39"/>
      <c r="C195" s="75">
        <v>189</v>
      </c>
      <c r="D195" s="146">
        <f>ETo!$I194*((1-Constantes!$F$19)*ETo!$K194+ETo!$L194)</f>
        <v>2.5243552854710236</v>
      </c>
      <c r="E195" s="76">
        <f>MIN(D195*Constantes!$F$17,0.8*(N194+Observaciones!$F194-F195-M195-Constantes!$D$14))</f>
        <v>0</v>
      </c>
      <c r="F195" s="76">
        <f>IF(Observaciones!$F194&gt;0.05*Constantes!$F$18,((Observaciones!$F194-0.05*Constantes!$F$18)^2)/(Observaciones!$F194+0.95*Constantes!$F$18),0)</f>
        <v>0</v>
      </c>
      <c r="G195" s="76">
        <f>IF(Escenarios!$F$11&gt;0,(F195*Escenarios!$F$16*10000)/1000,0)</f>
        <v>0</v>
      </c>
      <c r="H195" s="76">
        <f>IF(Escenarios!$F$11&gt;0,(Observaciones!$F194*Constantes!$F$29)/1000,0)</f>
        <v>0</v>
      </c>
      <c r="I195" s="76">
        <f>IF(Escenarios!$F$11&gt;0,(D195*Constantes!$F$29)/1000,0)</f>
        <v>0</v>
      </c>
      <c r="J195" s="76">
        <f>IF(Escenarios!$F$11&gt;0,MAX(0,G195+H195-I195),0)</f>
        <v>0</v>
      </c>
      <c r="K195" s="76">
        <f>IF(Escenarios!$F$11&gt;0,IF(J195&gt;Constantes!$F$30,1000*((J195-Constantes!$F$30)/(Escenarios!$F$16*10000)),0),F195)</f>
        <v>0</v>
      </c>
      <c r="L195" s="76">
        <f>IF(Escenarios!$F$11&gt;0,I195*1000/Escenarios!$F$16/10000+E195,E195)</f>
        <v>0</v>
      </c>
      <c r="M195" s="76">
        <f>MAX(0,N194+Observaciones!$F194-K195-Constantes!$D$13)</f>
        <v>0</v>
      </c>
      <c r="N195" s="76">
        <f>N194+Observaciones!$F194-K195-L195-M195-O194</f>
        <v>11.25</v>
      </c>
      <c r="O195" s="76">
        <f>MAX(0,(N195-Constantes!$D$14)*(1-EXP(-Constantes!$D$22)))</f>
        <v>0</v>
      </c>
      <c r="P195" s="170">
        <f>P194+(Entradas!$F$83*M195-Q194)/(800*Entradas!$D$25)</f>
        <v>0</v>
      </c>
      <c r="Q195" s="170">
        <f>8000*Entradas!$D$26*P195/Constantes!$F$45</f>
        <v>0</v>
      </c>
      <c r="R195" s="170">
        <f>IF(Escenarios!$F$14&gt;0,K195*Escenarios!$F$13/Escenarios!$F$14,0)</f>
        <v>0</v>
      </c>
      <c r="S195" s="170">
        <f>IF(Escenarios!$F$14&gt;0,Q195*Escenarios!$F$13/Escenarios!$F$14,0)</f>
        <v>0</v>
      </c>
      <c r="T195" s="170">
        <f>IF(Escenarios!$F$14&gt;0,Observaciones!$I194,0)</f>
        <v>0</v>
      </c>
      <c r="U195" s="170">
        <f>IF(Escenarios!$F$14&gt;0,MAX(0,Constantes!$F$36/((Z194+R195+S195+T195+Observaciones!$F194)^2)+Entradas!$F$77),0)</f>
        <v>0</v>
      </c>
      <c r="V195" s="146">
        <f>IF(ETo!D194&gt;0,ETo!I194*((1-Entradas!$F$81)*ETo!K194+ETo!L194),0)</f>
        <v>2.1984699616118113</v>
      </c>
      <c r="W195" s="170">
        <f>IF(Escenarios!$F$14&gt;0,MIN(V195*1,0.8*(Z194+R195+S195+T195+Observaciones!$F194-U195-Constantes!$F$35)),0)</f>
        <v>0</v>
      </c>
      <c r="X195" s="170">
        <f>IF(Escenarios!$F$14&gt;0,Observaciones!$J194,0)</f>
        <v>0</v>
      </c>
      <c r="Y195" s="170">
        <f>IF(Escenarios!$F$14&gt;0,MAX(0,Z194+R195+S195+T195+Observaciones!$F194-U195-W195-X195-Constantes!$F$33),0)</f>
        <v>0</v>
      </c>
      <c r="Z195" s="170">
        <f>Z194+R195+S195+T195+Observaciones!$F194-U195-W195-Y195</f>
        <v>41.25</v>
      </c>
      <c r="AA195" s="170">
        <f>IF(Escenarios!$F$14&gt;0,(Escenarios!$F$13*L195+Escenarios!$F$14*W195)/(Escenarios!$F$16),L195)</f>
        <v>0</v>
      </c>
      <c r="AB195" s="170">
        <f>IF(Escenarios!$F$14&gt;0,(Escenarios!$F$14*Y195)/(Escenarios!$F$16),K195)</f>
        <v>0</v>
      </c>
      <c r="AC195" s="170">
        <f>IF(Escenarios!$F$14&gt;0,(Escenarios!$F$13*M195+Escenarios!$F$14*U195)/(Escenarios!$F$16),M195)</f>
        <v>0</v>
      </c>
      <c r="AD195" s="76">
        <f t="shared" si="29"/>
        <v>91.595011375353025</v>
      </c>
      <c r="AE195" s="76">
        <f>MAX(0,(AD195-Constantes!$D$13)*(1-EXP(-Constantes!$D$23)))</f>
        <v>0.42216210196800297</v>
      </c>
      <c r="AF195" s="76">
        <f>AB195+O195*Escenarios!$F$13/Escenarios!$F$16+AE195</f>
        <v>0.42216210196800297</v>
      </c>
      <c r="AG195" s="76">
        <f>IF(Entradas!$F$91&gt;0,IF(AF195-Escenarios!$F$38&lt;=0,0,IF(AF195-Escenarios!$F$38&gt;Escenarios!$F$37,Escenarios!$F$37,AF195-Escenarios!$F$38)),0)</f>
        <v>0</v>
      </c>
      <c r="AH195" s="76">
        <f>AG195*Entradas!$F$99</f>
        <v>0</v>
      </c>
      <c r="AI195" s="76">
        <f>IF(Entradas!$F$91&gt;0,D195*Entradas!$D$23/Escenarios!$F$16,0)</f>
        <v>0.12116905370260914</v>
      </c>
      <c r="AJ195" s="76">
        <f>IF(Entradas!$F$91&gt;0,Entradas!$D$24*Entradas!$D$22/Escenarios!$F$16,0)</f>
        <v>0.12</v>
      </c>
      <c r="AK195" s="76">
        <f t="shared" si="30"/>
        <v>0.12116905370260914</v>
      </c>
      <c r="AL195" s="76">
        <f t="shared" si="31"/>
        <v>0</v>
      </c>
      <c r="AM195" s="76">
        <f t="shared" si="32"/>
        <v>0</v>
      </c>
      <c r="AN195" s="76">
        <f>MAX(0,O195*Escenarios!$F$13/Escenarios!$F$16-AM195)</f>
        <v>0</v>
      </c>
      <c r="AO195" s="76">
        <f>AM195+AN195-O195*Escenarios!$F$13/Escenarios!$F$16</f>
        <v>0</v>
      </c>
      <c r="AP195" s="76">
        <f t="shared" si="33"/>
        <v>0.42216210196800297</v>
      </c>
      <c r="AQ195" s="76">
        <f t="shared" si="34"/>
        <v>0</v>
      </c>
      <c r="AR195" s="76">
        <f t="shared" si="35"/>
        <v>0.42216210196800297</v>
      </c>
      <c r="AS195" s="76">
        <f t="shared" si="36"/>
        <v>0</v>
      </c>
      <c r="AT195" s="76">
        <f t="shared" si="37"/>
        <v>0</v>
      </c>
      <c r="AU195" s="76">
        <f t="shared" si="38"/>
        <v>51.448523114593335</v>
      </c>
      <c r="AV195" s="76">
        <f>MAX(0,(AU195-Constantes!$D$13)*(1-EXP(-Constantes!$D$24)))</f>
        <v>4.1247592518707292E-2</v>
      </c>
      <c r="AW195" s="170">
        <f>AW194+(Entradas!$F$112*AT195-AX194)/(800*Entradas!$D$25)</f>
        <v>0</v>
      </c>
      <c r="AX195" s="170">
        <f>8000*Entradas!$D$26*AW195/Constantes!$F$45</f>
        <v>0</v>
      </c>
      <c r="AY195" s="170">
        <f>IF(Escenarios!$F$17&gt;0,10*Escenarios!$F$16*AL195,0)</f>
        <v>0</v>
      </c>
      <c r="AZ195" s="170">
        <f>IF(Escenarios!$F$17&gt;0,10*Escenarios!$F$16*AX195,0)</f>
        <v>0</v>
      </c>
      <c r="BA195" s="170">
        <f>IF(Escenarios!$F$17&gt;0,0.001*Observaciones!$F194*Escenarios!$F$17,0)</f>
        <v>0</v>
      </c>
      <c r="BB195" s="170">
        <f>IF(Escenarios!$F$17&gt;0,Observaciones!$K194,0)</f>
        <v>0</v>
      </c>
      <c r="BC195" s="170">
        <f>IF(Escenarios!$F$17&gt;0,MIN(0.0005*ETo!$M194*Escenarios!$F$17*(BG194/Constantes!$F$40)^(2/3),BG194+AY195+AZ195+BA195+BB195),0)</f>
        <v>0</v>
      </c>
      <c r="BD195" s="170">
        <f>IF(Escenarios!$F$17&gt;0,MIN(Constantes!$F$39*(BG194/Constantes!$F$40)^(2/3),BG194+AY195+AZ195+BA195+BB195-BC195),0)</f>
        <v>0</v>
      </c>
      <c r="BE195" s="170">
        <f>IF(Escenarios!$F$17&gt;0,MIN(Entradas!$F$113,BG194+AY195+AZ195+BA195+BB195-BC195-BD195),0)</f>
        <v>0</v>
      </c>
      <c r="BF195" s="170">
        <f>IF(Escenarios!$F$17&gt;0,MAX(0,BG194+AY195+AZ195+BA195+BB195-BC195-BD195-BE195-Constantes!$F$40),0)</f>
        <v>0</v>
      </c>
      <c r="BG195" s="170">
        <f t="shared" si="39"/>
        <v>0</v>
      </c>
      <c r="BH195" s="170">
        <f>(Escenarios!$F$16*AK195+0.1*BC195)/(Escenarios!$F$19)</f>
        <v>0.12116905370260914</v>
      </c>
      <c r="BI195" s="170">
        <f>IF(Escenarios!$F$17&gt;0,BF195/10/Escenarios!$F$19,AL195)</f>
        <v>0</v>
      </c>
      <c r="BJ195" s="170">
        <f>(Escenarios!$F$16*AT195+0.1*BD195)/(Escenarios!$F$19)</f>
        <v>0</v>
      </c>
      <c r="BK195" s="76">
        <f>BK194+(0.1*BD195)/(Escenarios!$F$19)-BL194</f>
        <v>48.75</v>
      </c>
      <c r="BL195" s="76">
        <f>MAX(0,(BK195-Constantes!$D$13)*(1-EXP(-Constantes!$D$23)))</f>
        <v>0</v>
      </c>
      <c r="BM195" s="76">
        <f t="shared" si="40"/>
        <v>0.46340969448671027</v>
      </c>
      <c r="BN195" s="76">
        <f t="shared" si="41"/>
        <v>0.46340969448671027</v>
      </c>
      <c r="BO195" s="76">
        <f>0.0526*BI195*Observaciones!$F194^1.218</f>
        <v>0</v>
      </c>
      <c r="BP195" s="76">
        <f>BO195*Constantes!$F$51</f>
        <v>0</v>
      </c>
      <c r="BQ195" s="76">
        <f t="shared" si="42"/>
        <v>0</v>
      </c>
      <c r="BR195" s="40"/>
    </row>
    <row r="196" spans="2:70">
      <c r="B196" s="39"/>
      <c r="C196" s="75">
        <v>190</v>
      </c>
      <c r="D196" s="146">
        <f>ETo!$I195*((1-Constantes!$F$19)*ETo!$K195+ETo!$L195)</f>
        <v>2.465072297541151</v>
      </c>
      <c r="E196" s="76">
        <f>MIN(D196*Constantes!$F$17,0.8*(N195+Observaciones!$F195-F196-M196-Constantes!$D$14))</f>
        <v>1.4058597146440626</v>
      </c>
      <c r="F196" s="76">
        <f>IF(Observaciones!$F195&gt;0.05*Constantes!$F$18,((Observaciones!$F195-0.05*Constantes!$F$18)^2)/(Observaciones!$F195+0.95*Constantes!$F$18),0)</f>
        <v>0</v>
      </c>
      <c r="G196" s="76">
        <f>IF(Escenarios!$F$11&gt;0,(F196*Escenarios!$F$16*10000)/1000,0)</f>
        <v>0</v>
      </c>
      <c r="H196" s="76">
        <f>IF(Escenarios!$F$11&gt;0,(Observaciones!$F195*Constantes!$F$29)/1000,0)</f>
        <v>0</v>
      </c>
      <c r="I196" s="76">
        <f>IF(Escenarios!$F$11&gt;0,(D196*Constantes!$F$29)/1000,0)</f>
        <v>0</v>
      </c>
      <c r="J196" s="76">
        <f>IF(Escenarios!$F$11&gt;0,MAX(0,G196+H196-I196),0)</f>
        <v>0</v>
      </c>
      <c r="K196" s="76">
        <f>IF(Escenarios!$F$11&gt;0,IF(J196&gt;Constantes!$F$30,1000*((J196-Constantes!$F$30)/(Escenarios!$F$16*10000)),0),F196)</f>
        <v>0</v>
      </c>
      <c r="L196" s="76">
        <f>IF(Escenarios!$F$11&gt;0,I196*1000/Escenarios!$F$16/10000+E196,E196)</f>
        <v>1.4058597146440626</v>
      </c>
      <c r="M196" s="76">
        <f>MAX(0,N195+Observaciones!$F195-K196-Constantes!$D$13)</f>
        <v>0</v>
      </c>
      <c r="N196" s="76">
        <f>N195+Observaciones!$F195-K196-L196-M196-O195</f>
        <v>12.044140285355937</v>
      </c>
      <c r="O196" s="76">
        <f>MAX(0,(N196-Constantes!$D$14)*(1-EXP(-Constantes!$D$22)))</f>
        <v>2.7051333467893884E-2</v>
      </c>
      <c r="P196" s="170">
        <f>P195+(Entradas!$F$83*M196-Q195)/(800*Entradas!$D$25)</f>
        <v>0</v>
      </c>
      <c r="Q196" s="170">
        <f>8000*Entradas!$D$26*P196/Constantes!$F$45</f>
        <v>0</v>
      </c>
      <c r="R196" s="170">
        <f>IF(Escenarios!$F$14&gt;0,K196*Escenarios!$F$13/Escenarios!$F$14,0)</f>
        <v>0</v>
      </c>
      <c r="S196" s="170">
        <f>IF(Escenarios!$F$14&gt;0,Q196*Escenarios!$F$13/Escenarios!$F$14,0)</f>
        <v>0</v>
      </c>
      <c r="T196" s="170">
        <f>IF(Escenarios!$F$14&gt;0,Observaciones!$I195,0)</f>
        <v>0</v>
      </c>
      <c r="U196" s="170">
        <f>IF(Escenarios!$F$14&gt;0,MAX(0,Constantes!$F$36/((Z195+R196+S196+T196+Observaciones!$F195)^2)+Entradas!$F$77),0)</f>
        <v>0</v>
      </c>
      <c r="V196" s="146">
        <f>IF(ETo!D195&gt;0,ETo!I195*((1-Entradas!$F$81)*ETo!K195+ETo!L195),0)</f>
        <v>2.1469812245303079</v>
      </c>
      <c r="W196" s="170">
        <f>IF(Escenarios!$F$14&gt;0,MIN(V196*1,0.8*(Z195+R196+S196+T196+Observaciones!$F195-U196-Constantes!$F$35)),0)</f>
        <v>1.7600000000000025</v>
      </c>
      <c r="X196" s="170">
        <f>IF(Escenarios!$F$14&gt;0,Observaciones!$J195,0)</f>
        <v>0</v>
      </c>
      <c r="Y196" s="170">
        <f>IF(Escenarios!$F$14&gt;0,MAX(0,Z195+R196+S196+T196+Observaciones!$F195-U196-W196-X196-Constantes!$F$33),0)</f>
        <v>0</v>
      </c>
      <c r="Z196" s="170">
        <f>Z195+R196+S196+T196+Observaciones!$F195-U196-W196-Y196</f>
        <v>41.69</v>
      </c>
      <c r="AA196" s="170">
        <f>IF(Escenarios!$F$14&gt;0,(Escenarios!$F$13*L196+Escenarios!$F$14*W196)/(Escenarios!$F$16),L196)</f>
        <v>1.4483565488867753</v>
      </c>
      <c r="AB196" s="170">
        <f>IF(Escenarios!$F$14&gt;0,(Escenarios!$F$14*Y196)/(Escenarios!$F$16),K196)</f>
        <v>0</v>
      </c>
      <c r="AC196" s="170">
        <f>IF(Escenarios!$F$14&gt;0,(Escenarios!$F$13*M196+Escenarios!$F$14*U196)/(Escenarios!$F$16),M196)</f>
        <v>0</v>
      </c>
      <c r="AD196" s="76">
        <f t="shared" si="29"/>
        <v>91.172849273385026</v>
      </c>
      <c r="AE196" s="76">
        <f>MAX(0,(AD196-Constantes!$D$13)*(1-EXP(-Constantes!$D$23)))</f>
        <v>0.41800243822613348</v>
      </c>
      <c r="AF196" s="76">
        <f>AB196+O196*Escenarios!$F$13/Escenarios!$F$16+AE196</f>
        <v>0.44180761167788007</v>
      </c>
      <c r="AG196" s="76">
        <f>IF(Entradas!$F$91&gt;0,IF(AF196-Escenarios!$F$38&lt;=0,0,IF(AF196-Escenarios!$F$38&gt;Escenarios!$F$37,Escenarios!$F$37,AF196-Escenarios!$F$38)),0)</f>
        <v>0</v>
      </c>
      <c r="AH196" s="76">
        <f>AG196*Entradas!$F$99</f>
        <v>0</v>
      </c>
      <c r="AI196" s="76">
        <f>IF(Entradas!$F$91&gt;0,D196*Entradas!$D$23/Escenarios!$F$16,0)</f>
        <v>0.11832347028197525</v>
      </c>
      <c r="AJ196" s="76">
        <f>IF(Entradas!$F$91&gt;0,Entradas!$D$24*Entradas!$D$22/Escenarios!$F$16,0)</f>
        <v>0.12</v>
      </c>
      <c r="AK196" s="76">
        <f t="shared" si="30"/>
        <v>1.5666800191687507</v>
      </c>
      <c r="AL196" s="76">
        <f t="shared" si="31"/>
        <v>0</v>
      </c>
      <c r="AM196" s="76">
        <f t="shared" si="32"/>
        <v>0</v>
      </c>
      <c r="AN196" s="76">
        <f>MAX(0,O196*Escenarios!$F$13/Escenarios!$F$16-AM196)</f>
        <v>2.3805173451746618E-2</v>
      </c>
      <c r="AO196" s="76">
        <f>AM196+AN196-O196*Escenarios!$F$13/Escenarios!$F$16</f>
        <v>0</v>
      </c>
      <c r="AP196" s="76">
        <f t="shared" si="33"/>
        <v>0.41800243822613348</v>
      </c>
      <c r="AQ196" s="76">
        <f t="shared" si="34"/>
        <v>0</v>
      </c>
      <c r="AR196" s="76">
        <f t="shared" si="35"/>
        <v>0.44180761167788007</v>
      </c>
      <c r="AS196" s="76">
        <f t="shared" si="36"/>
        <v>0</v>
      </c>
      <c r="AT196" s="76">
        <f t="shared" si="37"/>
        <v>0</v>
      </c>
      <c r="AU196" s="76">
        <f t="shared" si="38"/>
        <v>51.407275522074627</v>
      </c>
      <c r="AV196" s="76">
        <f>MAX(0,(AU196-Constantes!$D$13)*(1-EXP(-Constantes!$D$24)))</f>
        <v>4.061711287619893E-2</v>
      </c>
      <c r="AW196" s="170">
        <f>AW195+(Entradas!$F$112*AT196-AX195)/(800*Entradas!$D$25)</f>
        <v>0</v>
      </c>
      <c r="AX196" s="170">
        <f>8000*Entradas!$D$26*AW196/Constantes!$F$45</f>
        <v>0</v>
      </c>
      <c r="AY196" s="170">
        <f>IF(Escenarios!$F$17&gt;0,10*Escenarios!$F$16*AL196,0)</f>
        <v>0</v>
      </c>
      <c r="AZ196" s="170">
        <f>IF(Escenarios!$F$17&gt;0,10*Escenarios!$F$16*AX196,0)</f>
        <v>0</v>
      </c>
      <c r="BA196" s="170">
        <f>IF(Escenarios!$F$17&gt;0,0.001*Observaciones!$F195*Escenarios!$F$17,0)</f>
        <v>0</v>
      </c>
      <c r="BB196" s="170">
        <f>IF(Escenarios!$F$17&gt;0,Observaciones!$K195,0)</f>
        <v>0</v>
      </c>
      <c r="BC196" s="170">
        <f>IF(Escenarios!$F$17&gt;0,MIN(0.0005*ETo!$M195*Escenarios!$F$17*(BG195/Constantes!$F$40)^(2/3),BG195+AY196+AZ196+BA196+BB196),0)</f>
        <v>0</v>
      </c>
      <c r="BD196" s="170">
        <f>IF(Escenarios!$F$17&gt;0,MIN(Constantes!$F$39*(BG195/Constantes!$F$40)^(2/3),BG195+AY196+AZ196+BA196+BB196-BC196),0)</f>
        <v>0</v>
      </c>
      <c r="BE196" s="170">
        <f>IF(Escenarios!$F$17&gt;0,MIN(Entradas!$F$113,BG195+AY196+AZ196+BA196+BB196-BC196-BD196),0)</f>
        <v>0</v>
      </c>
      <c r="BF196" s="170">
        <f>IF(Escenarios!$F$17&gt;0,MAX(0,BG195+AY196+AZ196+BA196+BB196-BC196-BD196-BE196-Constantes!$F$40),0)</f>
        <v>0</v>
      </c>
      <c r="BG196" s="170">
        <f t="shared" si="39"/>
        <v>0</v>
      </c>
      <c r="BH196" s="170">
        <f>(Escenarios!$F$16*AK196+0.1*BC196)/(Escenarios!$F$19)</f>
        <v>1.5666800191687507</v>
      </c>
      <c r="BI196" s="170">
        <f>IF(Escenarios!$F$17&gt;0,BF196/10/Escenarios!$F$19,AL196)</f>
        <v>0</v>
      </c>
      <c r="BJ196" s="170">
        <f>(Escenarios!$F$16*AT196+0.1*BD196)/(Escenarios!$F$19)</f>
        <v>0</v>
      </c>
      <c r="BK196" s="76">
        <f>BK195+(0.1*BD196)/(Escenarios!$F$19)-BL195</f>
        <v>48.75</v>
      </c>
      <c r="BL196" s="76">
        <f>MAX(0,(BK196-Constantes!$D$13)*(1-EXP(-Constantes!$D$23)))</f>
        <v>0</v>
      </c>
      <c r="BM196" s="76">
        <f t="shared" si="40"/>
        <v>0.45861955110233243</v>
      </c>
      <c r="BN196" s="76">
        <f t="shared" si="41"/>
        <v>0.48242472455407903</v>
      </c>
      <c r="BO196" s="76">
        <f>0.0526*BI196*Observaciones!$F195^1.218</f>
        <v>0</v>
      </c>
      <c r="BP196" s="76">
        <f>BO196*Constantes!$F$51</f>
        <v>0</v>
      </c>
      <c r="BQ196" s="76">
        <f t="shared" si="42"/>
        <v>0</v>
      </c>
      <c r="BR196" s="40"/>
    </row>
    <row r="197" spans="2:70">
      <c r="B197" s="39"/>
      <c r="C197" s="75">
        <v>191</v>
      </c>
      <c r="D197" s="146">
        <f>ETo!$I196*((1-Constantes!$F$19)*ETo!$K196+ETo!$L196)</f>
        <v>2.6154343216267604</v>
      </c>
      <c r="E197" s="76">
        <f>MIN(D197*Constantes!$F$17,0.8*(N196+Observaciones!$F196-F197-M197-Constantes!$D$14))</f>
        <v>0.63531222828474943</v>
      </c>
      <c r="F197" s="76">
        <f>IF(Observaciones!$F196&gt;0.05*Constantes!$F$18,((Observaciones!$F196-0.05*Constantes!$F$18)^2)/(Observaciones!$F196+0.95*Constantes!$F$18),0)</f>
        <v>0</v>
      </c>
      <c r="G197" s="76">
        <f>IF(Escenarios!$F$11&gt;0,(F197*Escenarios!$F$16*10000)/1000,0)</f>
        <v>0</v>
      </c>
      <c r="H197" s="76">
        <f>IF(Escenarios!$F$11&gt;0,(Observaciones!$F196*Constantes!$F$29)/1000,0)</f>
        <v>0</v>
      </c>
      <c r="I197" s="76">
        <f>IF(Escenarios!$F$11&gt;0,(D197*Constantes!$F$29)/1000,0)</f>
        <v>0</v>
      </c>
      <c r="J197" s="76">
        <f>IF(Escenarios!$F$11&gt;0,MAX(0,G197+H197-I197),0)</f>
        <v>0</v>
      </c>
      <c r="K197" s="76">
        <f>IF(Escenarios!$F$11&gt;0,IF(J197&gt;Constantes!$F$30,1000*((J197-Constantes!$F$30)/(Escenarios!$F$16*10000)),0),F197)</f>
        <v>0</v>
      </c>
      <c r="L197" s="76">
        <f>IF(Escenarios!$F$11&gt;0,I197*1000/Escenarios!$F$16/10000+E197,E197)</f>
        <v>0.63531222828474943</v>
      </c>
      <c r="M197" s="76">
        <f>MAX(0,N196+Observaciones!$F196-K197-Constantes!$D$13)</f>
        <v>0</v>
      </c>
      <c r="N197" s="76">
        <f>N196+Observaciones!$F196-K197-L197-M197-O196</f>
        <v>11.381776723603293</v>
      </c>
      <c r="O197" s="76">
        <f>MAX(0,(N197-Constantes!$D$14)*(1-EXP(-Constantes!$D$22)))</f>
        <v>4.4887989681841141E-3</v>
      </c>
      <c r="P197" s="170">
        <f>P196+(Entradas!$F$83*M197-Q196)/(800*Entradas!$D$25)</f>
        <v>0</v>
      </c>
      <c r="Q197" s="170">
        <f>8000*Entradas!$D$26*P197/Constantes!$F$45</f>
        <v>0</v>
      </c>
      <c r="R197" s="170">
        <f>IF(Escenarios!$F$14&gt;0,K197*Escenarios!$F$13/Escenarios!$F$14,0)</f>
        <v>0</v>
      </c>
      <c r="S197" s="170">
        <f>IF(Escenarios!$F$14&gt;0,Q197*Escenarios!$F$13/Escenarios!$F$14,0)</f>
        <v>0</v>
      </c>
      <c r="T197" s="170">
        <f>IF(Escenarios!$F$14&gt;0,Observaciones!$I196,0)</f>
        <v>0</v>
      </c>
      <c r="U197" s="170">
        <f>IF(Escenarios!$F$14&gt;0,MAX(0,Constantes!$F$36/((Z196+R197+S197+T197+Observaciones!$F196)^2)+Entradas!$F$77),0)</f>
        <v>0</v>
      </c>
      <c r="V197" s="146">
        <f>IF(ETo!D196&gt;0,ETo!I196*((1-Entradas!$F$81)*ETo!K196+ETo!L196),0)</f>
        <v>2.2790041860325743</v>
      </c>
      <c r="W197" s="170">
        <f>IF(Escenarios!$F$14&gt;0,MIN(V197*1,0.8*(Z196+R197+S197+T197+Observaciones!$F196-U197-Constantes!$F$35)),0)</f>
        <v>0.3519999999999982</v>
      </c>
      <c r="X197" s="170">
        <f>IF(Escenarios!$F$14&gt;0,Observaciones!$J196,0)</f>
        <v>0</v>
      </c>
      <c r="Y197" s="170">
        <f>IF(Escenarios!$F$14&gt;0,MAX(0,Z196+R197+S197+T197+Observaciones!$F196-U197-W197-X197-Constantes!$F$33),0)</f>
        <v>0</v>
      </c>
      <c r="Z197" s="170">
        <f>Z196+R197+S197+T197+Observaciones!$F196-U197-W197-Y197</f>
        <v>41.338000000000001</v>
      </c>
      <c r="AA197" s="170">
        <f>IF(Escenarios!$F$14&gt;0,(Escenarios!$F$13*L197+Escenarios!$F$14*W197)/(Escenarios!$F$16),L197)</f>
        <v>0.60131476089057923</v>
      </c>
      <c r="AB197" s="170">
        <f>IF(Escenarios!$F$14&gt;0,(Escenarios!$F$14*Y197)/(Escenarios!$F$16),K197)</f>
        <v>0</v>
      </c>
      <c r="AC197" s="170">
        <f>IF(Escenarios!$F$14&gt;0,(Escenarios!$F$13*M197+Escenarios!$F$14*U197)/(Escenarios!$F$16),M197)</f>
        <v>0</v>
      </c>
      <c r="AD197" s="76">
        <f t="shared" si="29"/>
        <v>90.754846835158887</v>
      </c>
      <c r="AE197" s="76">
        <f>MAX(0,(AD197-Constantes!$D$13)*(1-EXP(-Constantes!$D$23)))</f>
        <v>0.41388376064186727</v>
      </c>
      <c r="AF197" s="76">
        <f>AB197+O197*Escenarios!$F$13/Escenarios!$F$16+AE197</f>
        <v>0.41783390373386931</v>
      </c>
      <c r="AG197" s="76">
        <f>IF(Entradas!$F$91&gt;0,IF(AF197-Escenarios!$F$38&lt;=0,0,IF(AF197-Escenarios!$F$38&gt;Escenarios!$F$37,Escenarios!$F$37,AF197-Escenarios!$F$38)),0)</f>
        <v>0</v>
      </c>
      <c r="AH197" s="76">
        <f>AG197*Entradas!$F$99</f>
        <v>0</v>
      </c>
      <c r="AI197" s="76">
        <f>IF(Entradas!$F$91&gt;0,D197*Entradas!$D$23/Escenarios!$F$16,0)</f>
        <v>0.1255408474380845</v>
      </c>
      <c r="AJ197" s="76">
        <f>IF(Entradas!$F$91&gt;0,Entradas!$D$24*Entradas!$D$22/Escenarios!$F$16,0)</f>
        <v>0.12</v>
      </c>
      <c r="AK197" s="76">
        <f t="shared" si="30"/>
        <v>0.72685560832866369</v>
      </c>
      <c r="AL197" s="76">
        <f t="shared" si="31"/>
        <v>0</v>
      </c>
      <c r="AM197" s="76">
        <f t="shared" si="32"/>
        <v>0</v>
      </c>
      <c r="AN197" s="76">
        <f>MAX(0,O197*Escenarios!$F$13/Escenarios!$F$16-AM197)</f>
        <v>3.9501430920020203E-3</v>
      </c>
      <c r="AO197" s="76">
        <f>AM197+AN197-O197*Escenarios!$F$13/Escenarios!$F$16</f>
        <v>0</v>
      </c>
      <c r="AP197" s="76">
        <f t="shared" si="33"/>
        <v>0.41388376064186727</v>
      </c>
      <c r="AQ197" s="76">
        <f t="shared" si="34"/>
        <v>0</v>
      </c>
      <c r="AR197" s="76">
        <f t="shared" si="35"/>
        <v>0.41783390373386931</v>
      </c>
      <c r="AS197" s="76">
        <f t="shared" si="36"/>
        <v>0</v>
      </c>
      <c r="AT197" s="76">
        <f t="shared" si="37"/>
        <v>0</v>
      </c>
      <c r="AU197" s="76">
        <f t="shared" si="38"/>
        <v>51.366658409198429</v>
      </c>
      <c r="AV197" s="76">
        <f>MAX(0,(AU197-Constantes!$D$13)*(1-EXP(-Constantes!$D$24)))</f>
        <v>3.9996270270796143E-2</v>
      </c>
      <c r="AW197" s="170">
        <f>AW196+(Entradas!$F$112*AT197-AX196)/(800*Entradas!$D$25)</f>
        <v>0</v>
      </c>
      <c r="AX197" s="170">
        <f>8000*Entradas!$D$26*AW197/Constantes!$F$45</f>
        <v>0</v>
      </c>
      <c r="AY197" s="170">
        <f>IF(Escenarios!$F$17&gt;0,10*Escenarios!$F$16*AL197,0)</f>
        <v>0</v>
      </c>
      <c r="AZ197" s="170">
        <f>IF(Escenarios!$F$17&gt;0,10*Escenarios!$F$16*AX197,0)</f>
        <v>0</v>
      </c>
      <c r="BA197" s="170">
        <f>IF(Escenarios!$F$17&gt;0,0.001*Observaciones!$F196*Escenarios!$F$17,0)</f>
        <v>0</v>
      </c>
      <c r="BB197" s="170">
        <f>IF(Escenarios!$F$17&gt;0,Observaciones!$K196,0)</f>
        <v>0</v>
      </c>
      <c r="BC197" s="170">
        <f>IF(Escenarios!$F$17&gt;0,MIN(0.0005*ETo!$M196*Escenarios!$F$17*(BG196/Constantes!$F$40)^(2/3),BG196+AY197+AZ197+BA197+BB197),0)</f>
        <v>0</v>
      </c>
      <c r="BD197" s="170">
        <f>IF(Escenarios!$F$17&gt;0,MIN(Constantes!$F$39*(BG196/Constantes!$F$40)^(2/3),BG196+AY197+AZ197+BA197+BB197-BC197),0)</f>
        <v>0</v>
      </c>
      <c r="BE197" s="170">
        <f>IF(Escenarios!$F$17&gt;0,MIN(Entradas!$F$113,BG196+AY197+AZ197+BA197+BB197-BC197-BD197),0)</f>
        <v>0</v>
      </c>
      <c r="BF197" s="170">
        <f>IF(Escenarios!$F$17&gt;0,MAX(0,BG196+AY197+AZ197+BA197+BB197-BC197-BD197-BE197-Constantes!$F$40),0)</f>
        <v>0</v>
      </c>
      <c r="BG197" s="170">
        <f t="shared" si="39"/>
        <v>0</v>
      </c>
      <c r="BH197" s="170">
        <f>(Escenarios!$F$16*AK197+0.1*BC197)/(Escenarios!$F$19)</f>
        <v>0.72685560832866369</v>
      </c>
      <c r="BI197" s="170">
        <f>IF(Escenarios!$F$17&gt;0,BF197/10/Escenarios!$F$19,AL197)</f>
        <v>0</v>
      </c>
      <c r="BJ197" s="170">
        <f>(Escenarios!$F$16*AT197+0.1*BD197)/(Escenarios!$F$19)</f>
        <v>0</v>
      </c>
      <c r="BK197" s="76">
        <f>BK196+(0.1*BD197)/(Escenarios!$F$19)-BL196</f>
        <v>48.75</v>
      </c>
      <c r="BL197" s="76">
        <f>MAX(0,(BK197-Constantes!$D$13)*(1-EXP(-Constantes!$D$23)))</f>
        <v>0</v>
      </c>
      <c r="BM197" s="76">
        <f t="shared" si="40"/>
        <v>0.45388003091266343</v>
      </c>
      <c r="BN197" s="76">
        <f t="shared" si="41"/>
        <v>0.45783017400466547</v>
      </c>
      <c r="BO197" s="76">
        <f>0.0526*BI197*Observaciones!$F196^1.218</f>
        <v>0</v>
      </c>
      <c r="BP197" s="76">
        <f>BO197*Constantes!$F$51</f>
        <v>0</v>
      </c>
      <c r="BQ197" s="76">
        <f t="shared" si="42"/>
        <v>0</v>
      </c>
      <c r="BR197" s="40"/>
    </row>
    <row r="198" spans="2:70">
      <c r="B198" s="39"/>
      <c r="C198" s="75">
        <v>192</v>
      </c>
      <c r="D198" s="146">
        <f>ETo!$I197*((1-Constantes!$F$19)*ETo!$K197+ETo!$L197)</f>
        <v>2.7101967083944394</v>
      </c>
      <c r="E198" s="76">
        <f>MIN(D198*Constantes!$F$17,0.8*(N197+Observaciones!$F197-F198-M198-Constantes!$D$14))</f>
        <v>0.10542137888263454</v>
      </c>
      <c r="F198" s="76">
        <f>IF(Observaciones!$F197&gt;0.05*Constantes!$F$18,((Observaciones!$F197-0.05*Constantes!$F$18)^2)/(Observaciones!$F197+0.95*Constantes!$F$18),0)</f>
        <v>0</v>
      </c>
      <c r="G198" s="76">
        <f>IF(Escenarios!$F$11&gt;0,(F198*Escenarios!$F$16*10000)/1000,0)</f>
        <v>0</v>
      </c>
      <c r="H198" s="76">
        <f>IF(Escenarios!$F$11&gt;0,(Observaciones!$F197*Constantes!$F$29)/1000,0)</f>
        <v>0</v>
      </c>
      <c r="I198" s="76">
        <f>IF(Escenarios!$F$11&gt;0,(D198*Constantes!$F$29)/1000,0)</f>
        <v>0</v>
      </c>
      <c r="J198" s="76">
        <f>IF(Escenarios!$F$11&gt;0,MAX(0,G198+H198-I198),0)</f>
        <v>0</v>
      </c>
      <c r="K198" s="76">
        <f>IF(Escenarios!$F$11&gt;0,IF(J198&gt;Constantes!$F$30,1000*((J198-Constantes!$F$30)/(Escenarios!$F$16*10000)),0),F198)</f>
        <v>0</v>
      </c>
      <c r="L198" s="76">
        <f>IF(Escenarios!$F$11&gt;0,I198*1000/Escenarios!$F$16/10000+E198,E198)</f>
        <v>0.10542137888263454</v>
      </c>
      <c r="M198" s="76">
        <f>MAX(0,N197+Observaciones!$F197-K198-Constantes!$D$13)</f>
        <v>0</v>
      </c>
      <c r="N198" s="76">
        <f>N197+Observaciones!$F197-K198-L198-M198-O197</f>
        <v>11.271866545752474</v>
      </c>
      <c r="O198" s="76">
        <f>MAX(0,(N198-Constantes!$D$14)*(1-EXP(-Constantes!$D$22)))</f>
        <v>7.4485482206207519E-4</v>
      </c>
      <c r="P198" s="170">
        <f>P197+(Entradas!$F$83*M198-Q197)/(800*Entradas!$D$25)</f>
        <v>0</v>
      </c>
      <c r="Q198" s="170">
        <f>8000*Entradas!$D$26*P198/Constantes!$F$45</f>
        <v>0</v>
      </c>
      <c r="R198" s="170">
        <f>IF(Escenarios!$F$14&gt;0,K198*Escenarios!$F$13/Escenarios!$F$14,0)</f>
        <v>0</v>
      </c>
      <c r="S198" s="170">
        <f>IF(Escenarios!$F$14&gt;0,Q198*Escenarios!$F$13/Escenarios!$F$14,0)</f>
        <v>0</v>
      </c>
      <c r="T198" s="170">
        <f>IF(Escenarios!$F$14&gt;0,Observaciones!$I197,0)</f>
        <v>0</v>
      </c>
      <c r="U198" s="170">
        <f>IF(Escenarios!$F$14&gt;0,MAX(0,Constantes!$F$36/((Z197+R198+S198+T198+Observaciones!$F197)^2)+Entradas!$F$77),0)</f>
        <v>0</v>
      </c>
      <c r="V198" s="146">
        <f>IF(ETo!D197&gt;0,ETo!I197*((1-Entradas!$F$81)*ETo!K197+ETo!L197),0)</f>
        <v>2.3629275728967771</v>
      </c>
      <c r="W198" s="170">
        <f>IF(Escenarios!$F$14&gt;0,MIN(V198*1,0.8*(Z197+R198+S198+T198+Observaciones!$F197-U198-Constantes!$F$35)),0)</f>
        <v>7.0400000000000781E-2</v>
      </c>
      <c r="X198" s="170">
        <f>IF(Escenarios!$F$14&gt;0,Observaciones!$J197,0)</f>
        <v>0</v>
      </c>
      <c r="Y198" s="170">
        <f>IF(Escenarios!$F$14&gt;0,MAX(0,Z197+R198+S198+T198+Observaciones!$F197-U198-W198-X198-Constantes!$F$33),0)</f>
        <v>0</v>
      </c>
      <c r="Z198" s="170">
        <f>Z197+R198+S198+T198+Observaciones!$F197-U198-W198-Y198</f>
        <v>41.267600000000002</v>
      </c>
      <c r="AA198" s="170">
        <f>IF(Escenarios!$F$14&gt;0,(Escenarios!$F$13*L198+Escenarios!$F$14*W198)/(Escenarios!$F$16),L198)</f>
        <v>0.10121881341671848</v>
      </c>
      <c r="AB198" s="170">
        <f>IF(Escenarios!$F$14&gt;0,(Escenarios!$F$14*Y198)/(Escenarios!$F$16),K198)</f>
        <v>0</v>
      </c>
      <c r="AC198" s="170">
        <f>IF(Escenarios!$F$14&gt;0,(Escenarios!$F$13*M198+Escenarios!$F$14*U198)/(Escenarios!$F$16),M198)</f>
        <v>0</v>
      </c>
      <c r="AD198" s="76">
        <f t="shared" si="29"/>
        <v>90.34096307451702</v>
      </c>
      <c r="AE198" s="76">
        <f>MAX(0,(AD198-Constantes!$D$13)*(1-EXP(-Constantes!$D$23)))</f>
        <v>0.40980566536883145</v>
      </c>
      <c r="AF198" s="76">
        <f>AB198+O198*Escenarios!$F$13/Escenarios!$F$16+AE198</f>
        <v>0.41046113761224606</v>
      </c>
      <c r="AG198" s="76">
        <f>IF(Entradas!$F$91&gt;0,IF(AF198-Escenarios!$F$38&lt;=0,0,IF(AF198-Escenarios!$F$38&gt;Escenarios!$F$37,Escenarios!$F$37,AF198-Escenarios!$F$38)),0)</f>
        <v>0</v>
      </c>
      <c r="AH198" s="76">
        <f>AG198*Entradas!$F$99</f>
        <v>0</v>
      </c>
      <c r="AI198" s="76">
        <f>IF(Entradas!$F$91&gt;0,D198*Entradas!$D$23/Escenarios!$F$16,0)</f>
        <v>0.13008944200293307</v>
      </c>
      <c r="AJ198" s="76">
        <f>IF(Entradas!$F$91&gt;0,Entradas!$D$24*Entradas!$D$22/Escenarios!$F$16,0)</f>
        <v>0.12</v>
      </c>
      <c r="AK198" s="76">
        <f t="shared" si="30"/>
        <v>0.23130825541965155</v>
      </c>
      <c r="AL198" s="76">
        <f t="shared" si="31"/>
        <v>0</v>
      </c>
      <c r="AM198" s="76">
        <f t="shared" si="32"/>
        <v>0</v>
      </c>
      <c r="AN198" s="76">
        <f>MAX(0,O198*Escenarios!$F$13/Escenarios!$F$16-AM198)</f>
        <v>6.5547224341462617E-4</v>
      </c>
      <c r="AO198" s="76">
        <f>AM198+AN198-O198*Escenarios!$F$13/Escenarios!$F$16</f>
        <v>0</v>
      </c>
      <c r="AP198" s="76">
        <f t="shared" si="33"/>
        <v>0.40980566536883145</v>
      </c>
      <c r="AQ198" s="76">
        <f t="shared" si="34"/>
        <v>0</v>
      </c>
      <c r="AR198" s="76">
        <f t="shared" si="35"/>
        <v>0.41046113761224606</v>
      </c>
      <c r="AS198" s="76">
        <f t="shared" si="36"/>
        <v>0</v>
      </c>
      <c r="AT198" s="76">
        <f t="shared" si="37"/>
        <v>0</v>
      </c>
      <c r="AU198" s="76">
        <f t="shared" si="38"/>
        <v>51.326662138927631</v>
      </c>
      <c r="AV198" s="76">
        <f>MAX(0,(AU198-Constantes!$D$13)*(1-EXP(-Constantes!$D$24)))</f>
        <v>3.9384917398005731E-2</v>
      </c>
      <c r="AW198" s="170">
        <f>AW197+(Entradas!$F$112*AT198-AX197)/(800*Entradas!$D$25)</f>
        <v>0</v>
      </c>
      <c r="AX198" s="170">
        <f>8000*Entradas!$D$26*AW198/Constantes!$F$45</f>
        <v>0</v>
      </c>
      <c r="AY198" s="170">
        <f>IF(Escenarios!$F$17&gt;0,10*Escenarios!$F$16*AL198,0)</f>
        <v>0</v>
      </c>
      <c r="AZ198" s="170">
        <f>IF(Escenarios!$F$17&gt;0,10*Escenarios!$F$16*AX198,0)</f>
        <v>0</v>
      </c>
      <c r="BA198" s="170">
        <f>IF(Escenarios!$F$17&gt;0,0.001*Observaciones!$F197*Escenarios!$F$17,0)</f>
        <v>0</v>
      </c>
      <c r="BB198" s="170">
        <f>IF(Escenarios!$F$17&gt;0,Observaciones!$K197,0)</f>
        <v>0</v>
      </c>
      <c r="BC198" s="170">
        <f>IF(Escenarios!$F$17&gt;0,MIN(0.0005*ETo!$M197*Escenarios!$F$17*(BG197/Constantes!$F$40)^(2/3),BG197+AY198+AZ198+BA198+BB198),0)</f>
        <v>0</v>
      </c>
      <c r="BD198" s="170">
        <f>IF(Escenarios!$F$17&gt;0,MIN(Constantes!$F$39*(BG197/Constantes!$F$40)^(2/3),BG197+AY198+AZ198+BA198+BB198-BC198),0)</f>
        <v>0</v>
      </c>
      <c r="BE198" s="170">
        <f>IF(Escenarios!$F$17&gt;0,MIN(Entradas!$F$113,BG197+AY198+AZ198+BA198+BB198-BC198-BD198),0)</f>
        <v>0</v>
      </c>
      <c r="BF198" s="170">
        <f>IF(Escenarios!$F$17&gt;0,MAX(0,BG197+AY198+AZ198+BA198+BB198-BC198-BD198-BE198-Constantes!$F$40),0)</f>
        <v>0</v>
      </c>
      <c r="BG198" s="170">
        <f t="shared" si="39"/>
        <v>0</v>
      </c>
      <c r="BH198" s="170">
        <f>(Escenarios!$F$16*AK198+0.1*BC198)/(Escenarios!$F$19)</f>
        <v>0.23130825541965155</v>
      </c>
      <c r="BI198" s="170">
        <f>IF(Escenarios!$F$17&gt;0,BF198/10/Escenarios!$F$19,AL198)</f>
        <v>0</v>
      </c>
      <c r="BJ198" s="170">
        <f>(Escenarios!$F$16*AT198+0.1*BD198)/(Escenarios!$F$19)</f>
        <v>0</v>
      </c>
      <c r="BK198" s="76">
        <f>BK197+(0.1*BD198)/(Escenarios!$F$19)-BL197</f>
        <v>48.75</v>
      </c>
      <c r="BL198" s="76">
        <f>MAX(0,(BK198-Constantes!$D$13)*(1-EXP(-Constantes!$D$23)))</f>
        <v>0</v>
      </c>
      <c r="BM198" s="76">
        <f t="shared" si="40"/>
        <v>0.44919058276683721</v>
      </c>
      <c r="BN198" s="76">
        <f t="shared" si="41"/>
        <v>0.44984605501025177</v>
      </c>
      <c r="BO198" s="76">
        <f>0.0526*BI198*Observaciones!$F197^1.218</f>
        <v>0</v>
      </c>
      <c r="BP198" s="76">
        <f>BO198*Constantes!$F$51</f>
        <v>0</v>
      </c>
      <c r="BQ198" s="76">
        <f t="shared" si="42"/>
        <v>0</v>
      </c>
      <c r="BR198" s="40"/>
    </row>
    <row r="199" spans="2:70">
      <c r="B199" s="39"/>
      <c r="C199" s="75">
        <v>193</v>
      </c>
      <c r="D199" s="146">
        <f>ETo!$I198*((1-Constantes!$F$19)*ETo!$K198+ETo!$L198)</f>
        <v>2.7097421120494243</v>
      </c>
      <c r="E199" s="76">
        <f>MIN(D199*Constantes!$F$17,0.8*(N198+Observaciones!$F198-F199-M199-Constantes!$D$14))</f>
        <v>1.7493236601978879E-2</v>
      </c>
      <c r="F199" s="76">
        <f>IF(Observaciones!$F198&gt;0.05*Constantes!$F$18,((Observaciones!$F198-0.05*Constantes!$F$18)^2)/(Observaciones!$F198+0.95*Constantes!$F$18),0)</f>
        <v>0</v>
      </c>
      <c r="G199" s="76">
        <f>IF(Escenarios!$F$11&gt;0,(F199*Escenarios!$F$16*10000)/1000,0)</f>
        <v>0</v>
      </c>
      <c r="H199" s="76">
        <f>IF(Escenarios!$F$11&gt;0,(Observaciones!$F198*Constantes!$F$29)/1000,0)</f>
        <v>0</v>
      </c>
      <c r="I199" s="76">
        <f>IF(Escenarios!$F$11&gt;0,(D199*Constantes!$F$29)/1000,0)</f>
        <v>0</v>
      </c>
      <c r="J199" s="76">
        <f>IF(Escenarios!$F$11&gt;0,MAX(0,G199+H199-I199),0)</f>
        <v>0</v>
      </c>
      <c r="K199" s="76">
        <f>IF(Escenarios!$F$11&gt;0,IF(J199&gt;Constantes!$F$30,1000*((J199-Constantes!$F$30)/(Escenarios!$F$16*10000)),0),F199)</f>
        <v>0</v>
      </c>
      <c r="L199" s="76">
        <f>IF(Escenarios!$F$11&gt;0,I199*1000/Escenarios!$F$16/10000+E199,E199)</f>
        <v>1.7493236601978879E-2</v>
      </c>
      <c r="M199" s="76">
        <f>MAX(0,N198+Observaciones!$F198-K199-Constantes!$D$13)</f>
        <v>0</v>
      </c>
      <c r="N199" s="76">
        <f>N198+Observaciones!$F198-K199-L199-M199-O198</f>
        <v>11.253628454328434</v>
      </c>
      <c r="O199" s="76">
        <f>MAX(0,(N199-Constantes!$D$14)*(1-EXP(-Constantes!$D$22)))</f>
        <v>1.2359847475497919E-4</v>
      </c>
      <c r="P199" s="170">
        <f>P198+(Entradas!$F$83*M199-Q198)/(800*Entradas!$D$25)</f>
        <v>0</v>
      </c>
      <c r="Q199" s="170">
        <f>8000*Entradas!$D$26*P199/Constantes!$F$45</f>
        <v>0</v>
      </c>
      <c r="R199" s="170">
        <f>IF(Escenarios!$F$14&gt;0,K199*Escenarios!$F$13/Escenarios!$F$14,0)</f>
        <v>0</v>
      </c>
      <c r="S199" s="170">
        <f>IF(Escenarios!$F$14&gt;0,Q199*Escenarios!$F$13/Escenarios!$F$14,0)</f>
        <v>0</v>
      </c>
      <c r="T199" s="170">
        <f>IF(Escenarios!$F$14&gt;0,Observaciones!$I198,0)</f>
        <v>0</v>
      </c>
      <c r="U199" s="170">
        <f>IF(Escenarios!$F$14&gt;0,MAX(0,Constantes!$F$36/((Z198+R199+S199+T199+Observaciones!$F198)^2)+Entradas!$F$77),0)</f>
        <v>0</v>
      </c>
      <c r="V199" s="146">
        <f>IF(ETo!D198&gt;0,ETo!I198*((1-Entradas!$F$81)*ETo!K198+ETo!L198),0)</f>
        <v>2.3628119448934761</v>
      </c>
      <c r="W199" s="170">
        <f>IF(Escenarios!$F$14&gt;0,MIN(V199*1,0.8*(Z198+R199+S199+T199+Observaciones!$F198-U199-Constantes!$F$35)),0)</f>
        <v>1.4080000000001293E-2</v>
      </c>
      <c r="X199" s="170">
        <f>IF(Escenarios!$F$14&gt;0,Observaciones!$J198,0)</f>
        <v>0</v>
      </c>
      <c r="Y199" s="170">
        <f>IF(Escenarios!$F$14&gt;0,MAX(0,Z198+R199+S199+T199+Observaciones!$F198-U199-W199-X199-Constantes!$F$33),0)</f>
        <v>0</v>
      </c>
      <c r="Z199" s="170">
        <f>Z198+R199+S199+T199+Observaciones!$F198-U199-W199-Y199</f>
        <v>41.253520000000002</v>
      </c>
      <c r="AA199" s="170">
        <f>IF(Escenarios!$F$14&gt;0,(Escenarios!$F$13*L199+Escenarios!$F$14*W199)/(Escenarios!$F$16),L199)</f>
        <v>1.7083648209741568E-2</v>
      </c>
      <c r="AB199" s="170">
        <f>IF(Escenarios!$F$14&gt;0,(Escenarios!$F$14*Y199)/(Escenarios!$F$16),K199)</f>
        <v>0</v>
      </c>
      <c r="AC199" s="170">
        <f>IF(Escenarios!$F$14&gt;0,(Escenarios!$F$13*M199+Escenarios!$F$14*U199)/(Escenarios!$F$16),M199)</f>
        <v>0</v>
      </c>
      <c r="AD199" s="76">
        <f t="shared" si="29"/>
        <v>89.931157409148184</v>
      </c>
      <c r="AE199" s="76">
        <f>MAX(0,(AD199-Constantes!$D$13)*(1-EXP(-Constantes!$D$23)))</f>
        <v>0.40576775253984748</v>
      </c>
      <c r="AF199" s="76">
        <f>AB199+O199*Escenarios!$F$13/Escenarios!$F$16+AE199</f>
        <v>0.40587651919763185</v>
      </c>
      <c r="AG199" s="76">
        <f>IF(Entradas!$F$91&gt;0,IF(AF199-Escenarios!$F$38&lt;=0,0,IF(AF199-Escenarios!$F$38&gt;Escenarios!$F$37,Escenarios!$F$37,AF199-Escenarios!$F$38)),0)</f>
        <v>0</v>
      </c>
      <c r="AH199" s="76">
        <f>AG199*Entradas!$F$99</f>
        <v>0</v>
      </c>
      <c r="AI199" s="76">
        <f>IF(Entradas!$F$91&gt;0,D199*Entradas!$D$23/Escenarios!$F$16,0)</f>
        <v>0.13006762137837236</v>
      </c>
      <c r="AJ199" s="76">
        <f>IF(Entradas!$F$91&gt;0,Entradas!$D$24*Entradas!$D$22/Escenarios!$F$16,0)</f>
        <v>0.12</v>
      </c>
      <c r="AK199" s="76">
        <f t="shared" si="30"/>
        <v>0.14715126958811392</v>
      </c>
      <c r="AL199" s="76">
        <f t="shared" si="31"/>
        <v>0</v>
      </c>
      <c r="AM199" s="76">
        <f t="shared" si="32"/>
        <v>0</v>
      </c>
      <c r="AN199" s="76">
        <f>MAX(0,O199*Escenarios!$F$13/Escenarios!$F$16-AM199)</f>
        <v>1.0876665778438169E-4</v>
      </c>
      <c r="AO199" s="76">
        <f>AM199+AN199-O199*Escenarios!$F$13/Escenarios!$F$16</f>
        <v>0</v>
      </c>
      <c r="AP199" s="76">
        <f t="shared" si="33"/>
        <v>0.40576775253984748</v>
      </c>
      <c r="AQ199" s="76">
        <f t="shared" si="34"/>
        <v>0</v>
      </c>
      <c r="AR199" s="76">
        <f t="shared" si="35"/>
        <v>0.40587651919763185</v>
      </c>
      <c r="AS199" s="76">
        <f t="shared" si="36"/>
        <v>0</v>
      </c>
      <c r="AT199" s="76">
        <f t="shared" si="37"/>
        <v>0</v>
      </c>
      <c r="AU199" s="76">
        <f t="shared" si="38"/>
        <v>51.287277221529628</v>
      </c>
      <c r="AV199" s="76">
        <f>MAX(0,(AU199-Constantes!$D$13)*(1-EXP(-Constantes!$D$24)))</f>
        <v>3.8782909204920238E-2</v>
      </c>
      <c r="AW199" s="170">
        <f>AW198+(Entradas!$F$112*AT199-AX198)/(800*Entradas!$D$25)</f>
        <v>0</v>
      </c>
      <c r="AX199" s="170">
        <f>8000*Entradas!$D$26*AW199/Constantes!$F$45</f>
        <v>0</v>
      </c>
      <c r="AY199" s="170">
        <f>IF(Escenarios!$F$17&gt;0,10*Escenarios!$F$16*AL199,0)</f>
        <v>0</v>
      </c>
      <c r="AZ199" s="170">
        <f>IF(Escenarios!$F$17&gt;0,10*Escenarios!$F$16*AX199,0)</f>
        <v>0</v>
      </c>
      <c r="BA199" s="170">
        <f>IF(Escenarios!$F$17&gt;0,0.001*Observaciones!$F198*Escenarios!$F$17,0)</f>
        <v>0</v>
      </c>
      <c r="BB199" s="170">
        <f>IF(Escenarios!$F$17&gt;0,Observaciones!$K198,0)</f>
        <v>0</v>
      </c>
      <c r="BC199" s="170">
        <f>IF(Escenarios!$F$17&gt;0,MIN(0.0005*ETo!$M198*Escenarios!$F$17*(BG198/Constantes!$F$40)^(2/3),BG198+AY199+AZ199+BA199+BB199),0)</f>
        <v>0</v>
      </c>
      <c r="BD199" s="170">
        <f>IF(Escenarios!$F$17&gt;0,MIN(Constantes!$F$39*(BG198/Constantes!$F$40)^(2/3),BG198+AY199+AZ199+BA199+BB199-BC199),0)</f>
        <v>0</v>
      </c>
      <c r="BE199" s="170">
        <f>IF(Escenarios!$F$17&gt;0,MIN(Entradas!$F$113,BG198+AY199+AZ199+BA199+BB199-BC199-BD199),0)</f>
        <v>0</v>
      </c>
      <c r="BF199" s="170">
        <f>IF(Escenarios!$F$17&gt;0,MAX(0,BG198+AY199+AZ199+BA199+BB199-BC199-BD199-BE199-Constantes!$F$40),0)</f>
        <v>0</v>
      </c>
      <c r="BG199" s="170">
        <f t="shared" si="39"/>
        <v>0</v>
      </c>
      <c r="BH199" s="170">
        <f>(Escenarios!$F$16*AK199+0.1*BC199)/(Escenarios!$F$19)</f>
        <v>0.14715126958811392</v>
      </c>
      <c r="BI199" s="170">
        <f>IF(Escenarios!$F$17&gt;0,BF199/10/Escenarios!$F$19,AL199)</f>
        <v>0</v>
      </c>
      <c r="BJ199" s="170">
        <f>(Escenarios!$F$16*AT199+0.1*BD199)/(Escenarios!$F$19)</f>
        <v>0</v>
      </c>
      <c r="BK199" s="76">
        <f>BK198+(0.1*BD199)/(Escenarios!$F$19)-BL198</f>
        <v>48.75</v>
      </c>
      <c r="BL199" s="76">
        <f>MAX(0,(BK199-Constantes!$D$13)*(1-EXP(-Constantes!$D$23)))</f>
        <v>0</v>
      </c>
      <c r="BM199" s="76">
        <f t="shared" si="40"/>
        <v>0.44455066174476771</v>
      </c>
      <c r="BN199" s="76">
        <f t="shared" si="41"/>
        <v>0.44465942840255207</v>
      </c>
      <c r="BO199" s="76">
        <f>0.0526*BI199*Observaciones!$F198^1.218</f>
        <v>0</v>
      </c>
      <c r="BP199" s="76">
        <f>BO199*Constantes!$F$51</f>
        <v>0</v>
      </c>
      <c r="BQ199" s="76">
        <f t="shared" si="42"/>
        <v>0</v>
      </c>
      <c r="BR199" s="40"/>
    </row>
    <row r="200" spans="2:70">
      <c r="B200" s="39"/>
      <c r="C200" s="75">
        <v>194</v>
      </c>
      <c r="D200" s="146">
        <f>ETo!$I199*((1-Constantes!$F$19)*ETo!$K199+ETo!$L199)</f>
        <v>2.6073493960911955</v>
      </c>
      <c r="E200" s="76">
        <f>MIN(D200*Constantes!$F$17,0.8*(N199+Observaciones!$F199-F200-M200-Constantes!$D$14))</f>
        <v>2.9027634627468049E-3</v>
      </c>
      <c r="F200" s="76">
        <f>IF(Observaciones!$F199&gt;0.05*Constantes!$F$18,((Observaciones!$F199-0.05*Constantes!$F$18)^2)/(Observaciones!$F199+0.95*Constantes!$F$18),0)</f>
        <v>0</v>
      </c>
      <c r="G200" s="76">
        <f>IF(Escenarios!$F$11&gt;0,(F200*Escenarios!$F$16*10000)/1000,0)</f>
        <v>0</v>
      </c>
      <c r="H200" s="76">
        <f>IF(Escenarios!$F$11&gt;0,(Observaciones!$F199*Constantes!$F$29)/1000,0)</f>
        <v>0</v>
      </c>
      <c r="I200" s="76">
        <f>IF(Escenarios!$F$11&gt;0,(D200*Constantes!$F$29)/1000,0)</f>
        <v>0</v>
      </c>
      <c r="J200" s="76">
        <f>IF(Escenarios!$F$11&gt;0,MAX(0,G200+H200-I200),0)</f>
        <v>0</v>
      </c>
      <c r="K200" s="76">
        <f>IF(Escenarios!$F$11&gt;0,IF(J200&gt;Constantes!$F$30,1000*((J200-Constantes!$F$30)/(Escenarios!$F$16*10000)),0),F200)</f>
        <v>0</v>
      </c>
      <c r="L200" s="76">
        <f>IF(Escenarios!$F$11&gt;0,I200*1000/Escenarios!$F$16/10000+E200,E200)</f>
        <v>2.9027634627468049E-3</v>
      </c>
      <c r="M200" s="76">
        <f>MAX(0,N199+Observaciones!$F199-K200-Constantes!$D$13)</f>
        <v>0</v>
      </c>
      <c r="N200" s="76">
        <f>N199+Observaciones!$F199-K200-L200-M200-O199</f>
        <v>11.250602092390933</v>
      </c>
      <c r="O200" s="76">
        <f>MAX(0,(N200-Constantes!$D$14)*(1-EXP(-Constantes!$D$22)))</f>
        <v>2.0509477161591434E-5</v>
      </c>
      <c r="P200" s="170">
        <f>P199+(Entradas!$F$83*M200-Q199)/(800*Entradas!$D$25)</f>
        <v>0</v>
      </c>
      <c r="Q200" s="170">
        <f>8000*Entradas!$D$26*P200/Constantes!$F$45</f>
        <v>0</v>
      </c>
      <c r="R200" s="170">
        <f>IF(Escenarios!$F$14&gt;0,K200*Escenarios!$F$13/Escenarios!$F$14,0)</f>
        <v>0</v>
      </c>
      <c r="S200" s="170">
        <f>IF(Escenarios!$F$14&gt;0,Q200*Escenarios!$F$13/Escenarios!$F$14,0)</f>
        <v>0</v>
      </c>
      <c r="T200" s="170">
        <f>IF(Escenarios!$F$14&gt;0,Observaciones!$I199,0)</f>
        <v>0</v>
      </c>
      <c r="U200" s="170">
        <f>IF(Escenarios!$F$14&gt;0,MAX(0,Constantes!$F$36/((Z199+R200+S200+T200+Observaciones!$F199)^2)+Entradas!$F$77),0)</f>
        <v>0</v>
      </c>
      <c r="V200" s="146">
        <f>IF(ETo!D199&gt;0,ETo!I199*((1-Entradas!$F$81)*ETo!K199+ETo!L199),0)</f>
        <v>2.2728735906247342</v>
      </c>
      <c r="W200" s="170">
        <f>IF(Escenarios!$F$14&gt;0,MIN(V200*1,0.8*(Z199+R200+S200+T200+Observaciones!$F199-U200-Constantes!$F$35)),0)</f>
        <v>2.8160000000013955E-3</v>
      </c>
      <c r="X200" s="170">
        <f>IF(Escenarios!$F$14&gt;0,Observaciones!$J199,0)</f>
        <v>0</v>
      </c>
      <c r="Y200" s="170">
        <f>IF(Escenarios!$F$14&gt;0,MAX(0,Z199+R200+S200+T200+Observaciones!$F199-U200-W200-X200-Constantes!$F$33),0)</f>
        <v>0</v>
      </c>
      <c r="Z200" s="170">
        <f>Z199+R200+S200+T200+Observaciones!$F199-U200-W200-Y200</f>
        <v>41.250703999999999</v>
      </c>
      <c r="AA200" s="170">
        <f>IF(Escenarios!$F$14&gt;0,(Escenarios!$F$13*L200+Escenarios!$F$14*W200)/(Escenarios!$F$16),L200)</f>
        <v>2.8923518472173558E-3</v>
      </c>
      <c r="AB200" s="170">
        <f>IF(Escenarios!$F$14&gt;0,(Escenarios!$F$14*Y200)/(Escenarios!$F$16),K200)</f>
        <v>0</v>
      </c>
      <c r="AC200" s="170">
        <f>IF(Escenarios!$F$14&gt;0,(Escenarios!$F$13*M200+Escenarios!$F$14*U200)/(Escenarios!$F$16),M200)</f>
        <v>0</v>
      </c>
      <c r="AD200" s="76">
        <f t="shared" ref="AD200:AD263" si="43">AD199+AC200-AE199</f>
        <v>89.52538965660834</v>
      </c>
      <c r="AE200" s="76">
        <f>MAX(0,(AD200-Constantes!$D$13)*(1-EXP(-Constantes!$D$23)))</f>
        <v>0.40176962622772339</v>
      </c>
      <c r="AF200" s="76">
        <f>AB200+O200*Escenarios!$F$13/Escenarios!$F$16+AE200</f>
        <v>0.4017876745676256</v>
      </c>
      <c r="AG200" s="76">
        <f>IF(Entradas!$F$91&gt;0,IF(AF200-Escenarios!$F$38&lt;=0,0,IF(AF200-Escenarios!$F$38&gt;Escenarios!$F$37,Escenarios!$F$37,AF200-Escenarios!$F$38)),0)</f>
        <v>0</v>
      </c>
      <c r="AH200" s="76">
        <f>AG200*Entradas!$F$99</f>
        <v>0</v>
      </c>
      <c r="AI200" s="76">
        <f>IF(Entradas!$F$91&gt;0,D200*Entradas!$D$23/Escenarios!$F$16,0)</f>
        <v>0.12515277101237737</v>
      </c>
      <c r="AJ200" s="76">
        <f>IF(Entradas!$F$91&gt;0,Entradas!$D$24*Entradas!$D$22/Escenarios!$F$16,0)</f>
        <v>0.12</v>
      </c>
      <c r="AK200" s="76">
        <f t="shared" ref="AK200:AK263" si="44">AA200+AI200</f>
        <v>0.12804512285959474</v>
      </c>
      <c r="AL200" s="76">
        <f t="shared" ref="AL200:AL263" si="45">MAX(0,AB200-AG200)</f>
        <v>0</v>
      </c>
      <c r="AM200" s="76">
        <f t="shared" ref="AM200:AM263" si="46">AG200+AL200-AB200</f>
        <v>0</v>
      </c>
      <c r="AN200" s="76">
        <f>MAX(0,O200*Escenarios!$F$13/Escenarios!$F$16-AM200)</f>
        <v>1.8048339902200465E-5</v>
      </c>
      <c r="AO200" s="76">
        <f>AM200+AN200-O200*Escenarios!$F$13/Escenarios!$F$16</f>
        <v>0</v>
      </c>
      <c r="AP200" s="76">
        <f t="shared" ref="AP200:AP263" si="47">MAX(0,AE200-AO200)</f>
        <v>0.40176962622772339</v>
      </c>
      <c r="AQ200" s="76">
        <f t="shared" ref="AQ200:AQ263" si="48">AO200+AP200-AE200</f>
        <v>0</v>
      </c>
      <c r="AR200" s="76">
        <f t="shared" ref="AR200:AR263" si="49">AL200+AN200+AP200+AH200</f>
        <v>0.4017876745676256</v>
      </c>
      <c r="AS200" s="76">
        <f t="shared" ref="AS200:AS263" si="50">MAX(0,AG200-AH200-AI200-AJ200)</f>
        <v>0</v>
      </c>
      <c r="AT200" s="76">
        <f t="shared" ref="AT200:AT263" si="51">AC200+AS200</f>
        <v>0</v>
      </c>
      <c r="AU200" s="76">
        <f t="shared" ref="AU200:AU263" si="52">AU199+AS200-AV199</f>
        <v>51.248494312324709</v>
      </c>
      <c r="AV200" s="76">
        <f>MAX(0,(AU200-Constantes!$D$13)*(1-EXP(-Constantes!$D$24)))</f>
        <v>3.8190102855801537E-2</v>
      </c>
      <c r="AW200" s="170">
        <f>AW199+(Entradas!$F$112*AT200-AX199)/(800*Entradas!$D$25)</f>
        <v>0</v>
      </c>
      <c r="AX200" s="170">
        <f>8000*Entradas!$D$26*AW200/Constantes!$F$45</f>
        <v>0</v>
      </c>
      <c r="AY200" s="170">
        <f>IF(Escenarios!$F$17&gt;0,10*Escenarios!$F$16*AL200,0)</f>
        <v>0</v>
      </c>
      <c r="AZ200" s="170">
        <f>IF(Escenarios!$F$17&gt;0,10*Escenarios!$F$16*AX200,0)</f>
        <v>0</v>
      </c>
      <c r="BA200" s="170">
        <f>IF(Escenarios!$F$17&gt;0,0.001*Observaciones!$F199*Escenarios!$F$17,0)</f>
        <v>0</v>
      </c>
      <c r="BB200" s="170">
        <f>IF(Escenarios!$F$17&gt;0,Observaciones!$K199,0)</f>
        <v>0</v>
      </c>
      <c r="BC200" s="170">
        <f>IF(Escenarios!$F$17&gt;0,MIN(0.0005*ETo!$M199*Escenarios!$F$17*(BG199/Constantes!$F$40)^(2/3),BG199+AY200+AZ200+BA200+BB200),0)</f>
        <v>0</v>
      </c>
      <c r="BD200" s="170">
        <f>IF(Escenarios!$F$17&gt;0,MIN(Constantes!$F$39*(BG199/Constantes!$F$40)^(2/3),BG199+AY200+AZ200+BA200+BB200-BC200),0)</f>
        <v>0</v>
      </c>
      <c r="BE200" s="170">
        <f>IF(Escenarios!$F$17&gt;0,MIN(Entradas!$F$113,BG199+AY200+AZ200+BA200+BB200-BC200-BD200),0)</f>
        <v>0</v>
      </c>
      <c r="BF200" s="170">
        <f>IF(Escenarios!$F$17&gt;0,MAX(0,BG199+AY200+AZ200+BA200+BB200-BC200-BD200-BE200-Constantes!$F$40),0)</f>
        <v>0</v>
      </c>
      <c r="BG200" s="170">
        <f t="shared" ref="BG200:BG263" si="53">BG199+AY200+AZ200+BA200+BB200-BF200-BC200-BD200-BE200</f>
        <v>0</v>
      </c>
      <c r="BH200" s="170">
        <f>(Escenarios!$F$16*AK200+0.1*BC200)/(Escenarios!$F$19)</f>
        <v>0.12804512285959474</v>
      </c>
      <c r="BI200" s="170">
        <f>IF(Escenarios!$F$17&gt;0,BF200/10/Escenarios!$F$19,AL200)</f>
        <v>0</v>
      </c>
      <c r="BJ200" s="170">
        <f>(Escenarios!$F$16*AT200+0.1*BD200)/(Escenarios!$F$19)</f>
        <v>0</v>
      </c>
      <c r="BK200" s="76">
        <f>BK199+(0.1*BD200)/(Escenarios!$F$19)-BL199</f>
        <v>48.75</v>
      </c>
      <c r="BL200" s="76">
        <f>MAX(0,(BK200-Constantes!$D$13)*(1-EXP(-Constantes!$D$23)))</f>
        <v>0</v>
      </c>
      <c r="BM200" s="76">
        <f t="shared" ref="BM200:BM263" si="54">AP200+AV200+BL200</f>
        <v>0.43995972908352493</v>
      </c>
      <c r="BN200" s="76">
        <f t="shared" ref="BN200:BN263" si="55">AN200+AP200+AV200+BI200+BL200</f>
        <v>0.43997777742342714</v>
      </c>
      <c r="BO200" s="76">
        <f>0.0526*BI200*Observaciones!$F199^1.218</f>
        <v>0</v>
      </c>
      <c r="BP200" s="76">
        <f>BO200*Constantes!$F$51</f>
        <v>0</v>
      </c>
      <c r="BQ200" s="76">
        <f t="shared" ref="BQ200:BQ263" si="56">BP200*1000000/(BN200/1000*10000)</f>
        <v>0</v>
      </c>
      <c r="BR200" s="40"/>
    </row>
    <row r="201" spans="2:70">
      <c r="B201" s="39"/>
      <c r="C201" s="75">
        <v>195</v>
      </c>
      <c r="D201" s="146">
        <f>ETo!$I200*((1-Constantes!$F$19)*ETo!$K200+ETo!$L200)</f>
        <v>2.5642248697674828</v>
      </c>
      <c r="E201" s="76">
        <f>MIN(D201*Constantes!$F$17,0.8*(N200+Observaciones!$F200-F201-M201-Constantes!$D$14))</f>
        <v>4.8167391274631658E-4</v>
      </c>
      <c r="F201" s="76">
        <f>IF(Observaciones!$F200&gt;0.05*Constantes!$F$18,((Observaciones!$F200-0.05*Constantes!$F$18)^2)/(Observaciones!$F200+0.95*Constantes!$F$18),0)</f>
        <v>0</v>
      </c>
      <c r="G201" s="76">
        <f>IF(Escenarios!$F$11&gt;0,(F201*Escenarios!$F$16*10000)/1000,0)</f>
        <v>0</v>
      </c>
      <c r="H201" s="76">
        <f>IF(Escenarios!$F$11&gt;0,(Observaciones!$F200*Constantes!$F$29)/1000,0)</f>
        <v>0</v>
      </c>
      <c r="I201" s="76">
        <f>IF(Escenarios!$F$11&gt;0,(D201*Constantes!$F$29)/1000,0)</f>
        <v>0</v>
      </c>
      <c r="J201" s="76">
        <f>IF(Escenarios!$F$11&gt;0,MAX(0,G201+H201-I201),0)</f>
        <v>0</v>
      </c>
      <c r="K201" s="76">
        <f>IF(Escenarios!$F$11&gt;0,IF(J201&gt;Constantes!$F$30,1000*((J201-Constantes!$F$30)/(Escenarios!$F$16*10000)),0),F201)</f>
        <v>0</v>
      </c>
      <c r="L201" s="76">
        <f>IF(Escenarios!$F$11&gt;0,I201*1000/Escenarios!$F$16/10000+E201,E201)</f>
        <v>4.8167391274631658E-4</v>
      </c>
      <c r="M201" s="76">
        <f>MAX(0,N200+Observaciones!$F200-K201-Constantes!$D$13)</f>
        <v>0</v>
      </c>
      <c r="N201" s="76">
        <f>N200+Observaciones!$F200-K201-L201-M201-O200</f>
        <v>11.250099909001024</v>
      </c>
      <c r="O201" s="76">
        <f>MAX(0,(N201-Constantes!$D$14)*(1-EXP(-Constantes!$D$22)))</f>
        <v>3.4032673483390497E-6</v>
      </c>
      <c r="P201" s="170">
        <f>P200+(Entradas!$F$83*M201-Q200)/(800*Entradas!$D$25)</f>
        <v>0</v>
      </c>
      <c r="Q201" s="170">
        <f>8000*Entradas!$D$26*P201/Constantes!$F$45</f>
        <v>0</v>
      </c>
      <c r="R201" s="170">
        <f>IF(Escenarios!$F$14&gt;0,K201*Escenarios!$F$13/Escenarios!$F$14,0)</f>
        <v>0</v>
      </c>
      <c r="S201" s="170">
        <f>IF(Escenarios!$F$14&gt;0,Q201*Escenarios!$F$13/Escenarios!$F$14,0)</f>
        <v>0</v>
      </c>
      <c r="T201" s="170">
        <f>IF(Escenarios!$F$14&gt;0,Observaciones!$I200,0)</f>
        <v>0</v>
      </c>
      <c r="U201" s="170">
        <f>IF(Escenarios!$F$14&gt;0,MAX(0,Constantes!$F$36/((Z200+R201+S201+T201+Observaciones!$F200)^2)+Entradas!$F$77),0)</f>
        <v>0</v>
      </c>
      <c r="V201" s="146">
        <f>IF(ETo!D200&gt;0,ETo!I200*((1-Entradas!$F$81)*ETo!K200+ETo!L200),0)</f>
        <v>2.2354198482973415</v>
      </c>
      <c r="W201" s="170">
        <f>IF(Escenarios!$F$14&gt;0,MIN(V201*1,0.8*(Z200+R201+S201+T201+Observaciones!$F200-U201-Constantes!$F$35)),0)</f>
        <v>5.6319999999914221E-4</v>
      </c>
      <c r="X201" s="170">
        <f>IF(Escenarios!$F$14&gt;0,Observaciones!$J200,0)</f>
        <v>0</v>
      </c>
      <c r="Y201" s="170">
        <f>IF(Escenarios!$F$14&gt;0,MAX(0,Z200+R201+S201+T201+Observaciones!$F200-U201-W201-X201-Constantes!$F$33),0)</f>
        <v>0</v>
      </c>
      <c r="Z201" s="170">
        <f>Z200+R201+S201+T201+Observaciones!$F200-U201-W201-Y201</f>
        <v>41.250140799999997</v>
      </c>
      <c r="AA201" s="170">
        <f>IF(Escenarios!$F$14&gt;0,(Escenarios!$F$13*L201+Escenarios!$F$14*W201)/(Escenarios!$F$16),L201)</f>
        <v>4.9145704321665567E-4</v>
      </c>
      <c r="AB201" s="170">
        <f>IF(Escenarios!$F$14&gt;0,(Escenarios!$F$14*Y201)/(Escenarios!$F$16),K201)</f>
        <v>0</v>
      </c>
      <c r="AC201" s="170">
        <f>IF(Escenarios!$F$14&gt;0,(Escenarios!$F$13*M201+Escenarios!$F$14*U201)/(Escenarios!$F$16),M201)</f>
        <v>0</v>
      </c>
      <c r="AD201" s="76">
        <f t="shared" si="43"/>
        <v>89.123620030380621</v>
      </c>
      <c r="AE201" s="76">
        <f>MAX(0,(AD201-Constantes!$D$13)*(1-EXP(-Constantes!$D$23)))</f>
        <v>0.39781089440643225</v>
      </c>
      <c r="AF201" s="76">
        <f>AB201+O201*Escenarios!$F$13/Escenarios!$F$16+AE201</f>
        <v>0.39781388928169881</v>
      </c>
      <c r="AG201" s="76">
        <f>IF(Entradas!$F$91&gt;0,IF(AF201-Escenarios!$F$38&lt;=0,0,IF(AF201-Escenarios!$F$38&gt;Escenarios!$F$37,Escenarios!$F$37,AF201-Escenarios!$F$38)),0)</f>
        <v>0</v>
      </c>
      <c r="AH201" s="76">
        <f>AG201*Entradas!$F$99</f>
        <v>0</v>
      </c>
      <c r="AI201" s="76">
        <f>IF(Entradas!$F$91&gt;0,D201*Entradas!$D$23/Escenarios!$F$16,0)</f>
        <v>0.12308279374883918</v>
      </c>
      <c r="AJ201" s="76">
        <f>IF(Entradas!$F$91&gt;0,Entradas!$D$24*Entradas!$D$22/Escenarios!$F$16,0)</f>
        <v>0.12</v>
      </c>
      <c r="AK201" s="76">
        <f t="shared" si="44"/>
        <v>0.12357425079205583</v>
      </c>
      <c r="AL201" s="76">
        <f t="shared" si="45"/>
        <v>0</v>
      </c>
      <c r="AM201" s="76">
        <f t="shared" si="46"/>
        <v>0</v>
      </c>
      <c r="AN201" s="76">
        <f>MAX(0,O201*Escenarios!$F$13/Escenarios!$F$16-AM201)</f>
        <v>2.9948752665383637E-6</v>
      </c>
      <c r="AO201" s="76">
        <f>AM201+AN201-O201*Escenarios!$F$13/Escenarios!$F$16</f>
        <v>0</v>
      </c>
      <c r="AP201" s="76">
        <f t="shared" si="47"/>
        <v>0.39781089440643225</v>
      </c>
      <c r="AQ201" s="76">
        <f t="shared" si="48"/>
        <v>0</v>
      </c>
      <c r="AR201" s="76">
        <f t="shared" si="49"/>
        <v>0.39781388928169881</v>
      </c>
      <c r="AS201" s="76">
        <f t="shared" si="50"/>
        <v>0</v>
      </c>
      <c r="AT201" s="76">
        <f t="shared" si="51"/>
        <v>0</v>
      </c>
      <c r="AU201" s="76">
        <f t="shared" si="52"/>
        <v>51.210304209468909</v>
      </c>
      <c r="AV201" s="76">
        <f>MAX(0,(AU201-Constantes!$D$13)*(1-EXP(-Constantes!$D$24)))</f>
        <v>3.7606357698191137E-2</v>
      </c>
      <c r="AW201" s="170">
        <f>AW200+(Entradas!$F$112*AT201-AX200)/(800*Entradas!$D$25)</f>
        <v>0</v>
      </c>
      <c r="AX201" s="170">
        <f>8000*Entradas!$D$26*AW201/Constantes!$F$45</f>
        <v>0</v>
      </c>
      <c r="AY201" s="170">
        <f>IF(Escenarios!$F$17&gt;0,10*Escenarios!$F$16*AL201,0)</f>
        <v>0</v>
      </c>
      <c r="AZ201" s="170">
        <f>IF(Escenarios!$F$17&gt;0,10*Escenarios!$F$16*AX201,0)</f>
        <v>0</v>
      </c>
      <c r="BA201" s="170">
        <f>IF(Escenarios!$F$17&gt;0,0.001*Observaciones!$F200*Escenarios!$F$17,0)</f>
        <v>0</v>
      </c>
      <c r="BB201" s="170">
        <f>IF(Escenarios!$F$17&gt;0,Observaciones!$K200,0)</f>
        <v>0</v>
      </c>
      <c r="BC201" s="170">
        <f>IF(Escenarios!$F$17&gt;0,MIN(0.0005*ETo!$M200*Escenarios!$F$17*(BG200/Constantes!$F$40)^(2/3),BG200+AY201+AZ201+BA201+BB201),0)</f>
        <v>0</v>
      </c>
      <c r="BD201" s="170">
        <f>IF(Escenarios!$F$17&gt;0,MIN(Constantes!$F$39*(BG200/Constantes!$F$40)^(2/3),BG200+AY201+AZ201+BA201+BB201-BC201),0)</f>
        <v>0</v>
      </c>
      <c r="BE201" s="170">
        <f>IF(Escenarios!$F$17&gt;0,MIN(Entradas!$F$113,BG200+AY201+AZ201+BA201+BB201-BC201-BD201),0)</f>
        <v>0</v>
      </c>
      <c r="BF201" s="170">
        <f>IF(Escenarios!$F$17&gt;0,MAX(0,BG200+AY201+AZ201+BA201+BB201-BC201-BD201-BE201-Constantes!$F$40),0)</f>
        <v>0</v>
      </c>
      <c r="BG201" s="170">
        <f t="shared" si="53"/>
        <v>0</v>
      </c>
      <c r="BH201" s="170">
        <f>(Escenarios!$F$16*AK201+0.1*BC201)/(Escenarios!$F$19)</f>
        <v>0.12357425079205583</v>
      </c>
      <c r="BI201" s="170">
        <f>IF(Escenarios!$F$17&gt;0,BF201/10/Escenarios!$F$19,AL201)</f>
        <v>0</v>
      </c>
      <c r="BJ201" s="170">
        <f>(Escenarios!$F$16*AT201+0.1*BD201)/(Escenarios!$F$19)</f>
        <v>0</v>
      </c>
      <c r="BK201" s="76">
        <f>BK200+(0.1*BD201)/(Escenarios!$F$19)-BL200</f>
        <v>48.75</v>
      </c>
      <c r="BL201" s="76">
        <f>MAX(0,(BK201-Constantes!$D$13)*(1-EXP(-Constantes!$D$23)))</f>
        <v>0</v>
      </c>
      <c r="BM201" s="76">
        <f t="shared" si="54"/>
        <v>0.4354172521046234</v>
      </c>
      <c r="BN201" s="76">
        <f t="shared" si="55"/>
        <v>0.43542024697988996</v>
      </c>
      <c r="BO201" s="76">
        <f>0.0526*BI201*Observaciones!$F200^1.218</f>
        <v>0</v>
      </c>
      <c r="BP201" s="76">
        <f>BO201*Constantes!$F$51</f>
        <v>0</v>
      </c>
      <c r="BQ201" s="76">
        <f t="shared" si="56"/>
        <v>0</v>
      </c>
      <c r="BR201" s="40"/>
    </row>
    <row r="202" spans="2:70">
      <c r="B202" s="39"/>
      <c r="C202" s="75">
        <v>196</v>
      </c>
      <c r="D202" s="146">
        <f>ETo!$I201*((1-Constantes!$F$19)*ETo!$K201+ETo!$L201)</f>
        <v>2.6699201050892323</v>
      </c>
      <c r="E202" s="76">
        <f>MIN(D202*Constantes!$F$17,0.8*(N201+Observaciones!$F201-F202-M202-Constantes!$D$14))</f>
        <v>7.9927200819440716E-5</v>
      </c>
      <c r="F202" s="76">
        <f>IF(Observaciones!$F201&gt;0.05*Constantes!$F$18,((Observaciones!$F201-0.05*Constantes!$F$18)^2)/(Observaciones!$F201+0.95*Constantes!$F$18),0)</f>
        <v>0</v>
      </c>
      <c r="G202" s="76">
        <f>IF(Escenarios!$F$11&gt;0,(F202*Escenarios!$F$16*10000)/1000,0)</f>
        <v>0</v>
      </c>
      <c r="H202" s="76">
        <f>IF(Escenarios!$F$11&gt;0,(Observaciones!$F201*Constantes!$F$29)/1000,0)</f>
        <v>0</v>
      </c>
      <c r="I202" s="76">
        <f>IF(Escenarios!$F$11&gt;0,(D202*Constantes!$F$29)/1000,0)</f>
        <v>0</v>
      </c>
      <c r="J202" s="76">
        <f>IF(Escenarios!$F$11&gt;0,MAX(0,G202+H202-I202),0)</f>
        <v>0</v>
      </c>
      <c r="K202" s="76">
        <f>IF(Escenarios!$F$11&gt;0,IF(J202&gt;Constantes!$F$30,1000*((J202-Constantes!$F$30)/(Escenarios!$F$16*10000)),0),F202)</f>
        <v>0</v>
      </c>
      <c r="L202" s="76">
        <f>IF(Escenarios!$F$11&gt;0,I202*1000/Escenarios!$F$16/10000+E202,E202)</f>
        <v>7.9927200819440716E-5</v>
      </c>
      <c r="M202" s="76">
        <f>MAX(0,N201+Observaciones!$F201-K202-Constantes!$D$13)</f>
        <v>0</v>
      </c>
      <c r="N202" s="76">
        <f>N201+Observaciones!$F201-K202-L202-M202-O201</f>
        <v>11.250016578532858</v>
      </c>
      <c r="O202" s="76">
        <f>MAX(0,(N202-Constantes!$D$14)*(1-EXP(-Constantes!$D$22)))</f>
        <v>5.6472569017115972E-7</v>
      </c>
      <c r="P202" s="170">
        <f>P201+(Entradas!$F$83*M202-Q201)/(800*Entradas!$D$25)</f>
        <v>0</v>
      </c>
      <c r="Q202" s="170">
        <f>8000*Entradas!$D$26*P202/Constantes!$F$45</f>
        <v>0</v>
      </c>
      <c r="R202" s="170">
        <f>IF(Escenarios!$F$14&gt;0,K202*Escenarios!$F$13/Escenarios!$F$14,0)</f>
        <v>0</v>
      </c>
      <c r="S202" s="170">
        <f>IF(Escenarios!$F$14&gt;0,Q202*Escenarios!$F$13/Escenarios!$F$14,0)</f>
        <v>0</v>
      </c>
      <c r="T202" s="170">
        <f>IF(Escenarios!$F$14&gt;0,Observaciones!$I201,0)</f>
        <v>0</v>
      </c>
      <c r="U202" s="170">
        <f>IF(Escenarios!$F$14&gt;0,MAX(0,Constantes!$F$36/((Z201+R202+S202+T202+Observaciones!$F201)^2)+Entradas!$F$77),0)</f>
        <v>0</v>
      </c>
      <c r="V202" s="146">
        <f>IF(ETo!D201&gt;0,ETo!I201*((1-Entradas!$F$81)*ETo!K201+ETo!L201),0)</f>
        <v>2.3286396287449835</v>
      </c>
      <c r="W202" s="170">
        <f>IF(Escenarios!$F$14&gt;0,MIN(V202*1,0.8*(Z201+R202+S202+T202+Observaciones!$F201-U202-Constantes!$F$35)),0)</f>
        <v>1.126399999975547E-4</v>
      </c>
      <c r="X202" s="170">
        <f>IF(Escenarios!$F$14&gt;0,Observaciones!$J201,0)</f>
        <v>0</v>
      </c>
      <c r="Y202" s="170">
        <f>IF(Escenarios!$F$14&gt;0,MAX(0,Z201+R202+S202+T202+Observaciones!$F201-U202-W202-X202-Constantes!$F$33),0)</f>
        <v>0</v>
      </c>
      <c r="Z202" s="170">
        <f>Z201+R202+S202+T202+Observaciones!$F201-U202-W202-Y202</f>
        <v>41.250028159999999</v>
      </c>
      <c r="AA202" s="170">
        <f>IF(Escenarios!$F$14&gt;0,(Escenarios!$F$13*L202+Escenarios!$F$14*W202)/(Escenarios!$F$16),L202)</f>
        <v>8.3852736720814395E-5</v>
      </c>
      <c r="AB202" s="170">
        <f>IF(Escenarios!$F$14&gt;0,(Escenarios!$F$14*Y202)/(Escenarios!$F$16),K202)</f>
        <v>0</v>
      </c>
      <c r="AC202" s="170">
        <f>IF(Escenarios!$F$14&gt;0,(Escenarios!$F$13*M202+Escenarios!$F$14*U202)/(Escenarios!$F$16),M202)</f>
        <v>0</v>
      </c>
      <c r="AD202" s="76">
        <f t="shared" si="43"/>
        <v>88.725809135974188</v>
      </c>
      <c r="AE202" s="76">
        <f>MAX(0,(AD202-Constantes!$D$13)*(1-EXP(-Constantes!$D$23)))</f>
        <v>0.39389116891267262</v>
      </c>
      <c r="AF202" s="76">
        <f>AB202+O202*Escenarios!$F$13/Escenarios!$F$16+AE202</f>
        <v>0.39389166587127999</v>
      </c>
      <c r="AG202" s="76">
        <f>IF(Entradas!$F$91&gt;0,IF(AF202-Escenarios!$F$38&lt;=0,0,IF(AF202-Escenarios!$F$38&gt;Escenarios!$F$37,Escenarios!$F$37,AF202-Escenarios!$F$38)),0)</f>
        <v>0</v>
      </c>
      <c r="AH202" s="76">
        <f>AG202*Entradas!$F$99</f>
        <v>0</v>
      </c>
      <c r="AI202" s="76">
        <f>IF(Entradas!$F$91&gt;0,D202*Entradas!$D$23/Escenarios!$F$16,0)</f>
        <v>0.12815616504428315</v>
      </c>
      <c r="AJ202" s="76">
        <f>IF(Entradas!$F$91&gt;0,Entradas!$D$24*Entradas!$D$22/Escenarios!$F$16,0)</f>
        <v>0.12</v>
      </c>
      <c r="AK202" s="76">
        <f t="shared" si="44"/>
        <v>0.12824001778100397</v>
      </c>
      <c r="AL202" s="76">
        <f t="shared" si="45"/>
        <v>0</v>
      </c>
      <c r="AM202" s="76">
        <f t="shared" si="46"/>
        <v>0</v>
      </c>
      <c r="AN202" s="76">
        <f>MAX(0,O202*Escenarios!$F$13/Escenarios!$F$16-AM202)</f>
        <v>4.9695860735062055E-7</v>
      </c>
      <c r="AO202" s="76">
        <f>AM202+AN202-O202*Escenarios!$F$13/Escenarios!$F$16</f>
        <v>0</v>
      </c>
      <c r="AP202" s="76">
        <f t="shared" si="47"/>
        <v>0.39389116891267262</v>
      </c>
      <c r="AQ202" s="76">
        <f t="shared" si="48"/>
        <v>0</v>
      </c>
      <c r="AR202" s="76">
        <f t="shared" si="49"/>
        <v>0.39389166587127999</v>
      </c>
      <c r="AS202" s="76">
        <f t="shared" si="50"/>
        <v>0</v>
      </c>
      <c r="AT202" s="76">
        <f t="shared" si="51"/>
        <v>0</v>
      </c>
      <c r="AU202" s="76">
        <f t="shared" si="52"/>
        <v>51.172697851770721</v>
      </c>
      <c r="AV202" s="76">
        <f>MAX(0,(AU202-Constantes!$D$13)*(1-EXP(-Constantes!$D$24)))</f>
        <v>3.7031535229538184E-2</v>
      </c>
      <c r="AW202" s="170">
        <f>AW201+(Entradas!$F$112*AT202-AX201)/(800*Entradas!$D$25)</f>
        <v>0</v>
      </c>
      <c r="AX202" s="170">
        <f>8000*Entradas!$D$26*AW202/Constantes!$F$45</f>
        <v>0</v>
      </c>
      <c r="AY202" s="170">
        <f>IF(Escenarios!$F$17&gt;0,10*Escenarios!$F$16*AL202,0)</f>
        <v>0</v>
      </c>
      <c r="AZ202" s="170">
        <f>IF(Escenarios!$F$17&gt;0,10*Escenarios!$F$16*AX202,0)</f>
        <v>0</v>
      </c>
      <c r="BA202" s="170">
        <f>IF(Escenarios!$F$17&gt;0,0.001*Observaciones!$F201*Escenarios!$F$17,0)</f>
        <v>0</v>
      </c>
      <c r="BB202" s="170">
        <f>IF(Escenarios!$F$17&gt;0,Observaciones!$K201,0)</f>
        <v>0</v>
      </c>
      <c r="BC202" s="170">
        <f>IF(Escenarios!$F$17&gt;0,MIN(0.0005*ETo!$M201*Escenarios!$F$17*(BG201/Constantes!$F$40)^(2/3),BG201+AY202+AZ202+BA202+BB202),0)</f>
        <v>0</v>
      </c>
      <c r="BD202" s="170">
        <f>IF(Escenarios!$F$17&gt;0,MIN(Constantes!$F$39*(BG201/Constantes!$F$40)^(2/3),BG201+AY202+AZ202+BA202+BB202-BC202),0)</f>
        <v>0</v>
      </c>
      <c r="BE202" s="170">
        <f>IF(Escenarios!$F$17&gt;0,MIN(Entradas!$F$113,BG201+AY202+AZ202+BA202+BB202-BC202-BD202),0)</f>
        <v>0</v>
      </c>
      <c r="BF202" s="170">
        <f>IF(Escenarios!$F$17&gt;0,MAX(0,BG201+AY202+AZ202+BA202+BB202-BC202-BD202-BE202-Constantes!$F$40),0)</f>
        <v>0</v>
      </c>
      <c r="BG202" s="170">
        <f t="shared" si="53"/>
        <v>0</v>
      </c>
      <c r="BH202" s="170">
        <f>(Escenarios!$F$16*AK202+0.1*BC202)/(Escenarios!$F$19)</f>
        <v>0.12824001778100397</v>
      </c>
      <c r="BI202" s="170">
        <f>IF(Escenarios!$F$17&gt;0,BF202/10/Escenarios!$F$19,AL202)</f>
        <v>0</v>
      </c>
      <c r="BJ202" s="170">
        <f>(Escenarios!$F$16*AT202+0.1*BD202)/(Escenarios!$F$19)</f>
        <v>0</v>
      </c>
      <c r="BK202" s="76">
        <f>BK201+(0.1*BD202)/(Escenarios!$F$19)-BL201</f>
        <v>48.75</v>
      </c>
      <c r="BL202" s="76">
        <f>MAX(0,(BK202-Constantes!$D$13)*(1-EXP(-Constantes!$D$23)))</f>
        <v>0</v>
      </c>
      <c r="BM202" s="76">
        <f t="shared" si="54"/>
        <v>0.43092270414221079</v>
      </c>
      <c r="BN202" s="76">
        <f t="shared" si="55"/>
        <v>0.43092320110081817</v>
      </c>
      <c r="BO202" s="76">
        <f>0.0526*BI202*Observaciones!$F201^1.218</f>
        <v>0</v>
      </c>
      <c r="BP202" s="76">
        <f>BO202*Constantes!$F$51</f>
        <v>0</v>
      </c>
      <c r="BQ202" s="76">
        <f t="shared" si="56"/>
        <v>0</v>
      </c>
      <c r="BR202" s="40"/>
    </row>
    <row r="203" spans="2:70">
      <c r="B203" s="39"/>
      <c r="C203" s="75">
        <v>197</v>
      </c>
      <c r="D203" s="146">
        <f>ETo!$I202*((1-Constantes!$F$19)*ETo!$K202+ETo!$L202)</f>
        <v>2.6364474169000061</v>
      </c>
      <c r="E203" s="76">
        <f>MIN(D203*Constantes!$F$17,0.8*(N202+Observaciones!$F202-F203-M203-Constantes!$D$14))</f>
        <v>1.3262826286108975E-5</v>
      </c>
      <c r="F203" s="76">
        <f>IF(Observaciones!$F202&gt;0.05*Constantes!$F$18,((Observaciones!$F202-0.05*Constantes!$F$18)^2)/(Observaciones!$F202+0.95*Constantes!$F$18),0)</f>
        <v>0</v>
      </c>
      <c r="G203" s="76">
        <f>IF(Escenarios!$F$11&gt;0,(F203*Escenarios!$F$16*10000)/1000,0)</f>
        <v>0</v>
      </c>
      <c r="H203" s="76">
        <f>IF(Escenarios!$F$11&gt;0,(Observaciones!$F202*Constantes!$F$29)/1000,0)</f>
        <v>0</v>
      </c>
      <c r="I203" s="76">
        <f>IF(Escenarios!$F$11&gt;0,(D203*Constantes!$F$29)/1000,0)</f>
        <v>0</v>
      </c>
      <c r="J203" s="76">
        <f>IF(Escenarios!$F$11&gt;0,MAX(0,G203+H203-I203),0)</f>
        <v>0</v>
      </c>
      <c r="K203" s="76">
        <f>IF(Escenarios!$F$11&gt;0,IF(J203&gt;Constantes!$F$30,1000*((J203-Constantes!$F$30)/(Escenarios!$F$16*10000)),0),F203)</f>
        <v>0</v>
      </c>
      <c r="L203" s="76">
        <f>IF(Escenarios!$F$11&gt;0,I203*1000/Escenarios!$F$16/10000+E203,E203)</f>
        <v>1.3262826286108975E-5</v>
      </c>
      <c r="M203" s="76">
        <f>MAX(0,N202+Observaciones!$F202-K203-Constantes!$D$13)</f>
        <v>0</v>
      </c>
      <c r="N203" s="76">
        <f>N202+Observaciones!$F202-K203-L203-M203-O202</f>
        <v>11.250002750980881</v>
      </c>
      <c r="O203" s="76">
        <f>MAX(0,(N203-Constantes!$D$14)*(1-EXP(-Constantes!$D$22)))</f>
        <v>9.3708507875200982E-8</v>
      </c>
      <c r="P203" s="170">
        <f>P202+(Entradas!$F$83*M203-Q202)/(800*Entradas!$D$25)</f>
        <v>0</v>
      </c>
      <c r="Q203" s="170">
        <f>8000*Entradas!$D$26*P203/Constantes!$F$45</f>
        <v>0</v>
      </c>
      <c r="R203" s="170">
        <f>IF(Escenarios!$F$14&gt;0,K203*Escenarios!$F$13/Escenarios!$F$14,0)</f>
        <v>0</v>
      </c>
      <c r="S203" s="170">
        <f>IF(Escenarios!$F$14&gt;0,Q203*Escenarios!$F$13/Escenarios!$F$14,0)</f>
        <v>0</v>
      </c>
      <c r="T203" s="170">
        <f>IF(Escenarios!$F$14&gt;0,Observaciones!$I202,0)</f>
        <v>0</v>
      </c>
      <c r="U203" s="170">
        <f>IF(Escenarios!$F$14&gt;0,MAX(0,Constantes!$F$36/((Z202+R203+S203+T203+Observaciones!$F202)^2)+Entradas!$F$77),0)</f>
        <v>0</v>
      </c>
      <c r="V203" s="146">
        <f>IF(ETo!D202&gt;0,ETo!I202*((1-Entradas!$F$81)*ETo!K202+ETo!L202),0)</f>
        <v>2.2995629011579237</v>
      </c>
      <c r="W203" s="170">
        <f>IF(Escenarios!$F$14&gt;0,MIN(V203*1,0.8*(Z202+R203+S203+T203+Observaciones!$F202-U203-Constantes!$F$35)),0)</f>
        <v>2.2527999999510942E-5</v>
      </c>
      <c r="X203" s="170">
        <f>IF(Escenarios!$F$14&gt;0,Observaciones!$J202,0)</f>
        <v>0</v>
      </c>
      <c r="Y203" s="170">
        <f>IF(Escenarios!$F$14&gt;0,MAX(0,Z202+R203+S203+T203+Observaciones!$F202-U203-W203-X203-Constantes!$F$33),0)</f>
        <v>0</v>
      </c>
      <c r="Z203" s="170">
        <f>Z202+R203+S203+T203+Observaciones!$F202-U203-W203-Y203</f>
        <v>41.250005631999997</v>
      </c>
      <c r="AA203" s="170">
        <f>IF(Escenarios!$F$14&gt;0,(Escenarios!$F$13*L203+Escenarios!$F$14*W203)/(Escenarios!$F$16),L203)</f>
        <v>1.4374647131717211E-5</v>
      </c>
      <c r="AB203" s="170">
        <f>IF(Escenarios!$F$14&gt;0,(Escenarios!$F$14*Y203)/(Escenarios!$F$16),K203)</f>
        <v>0</v>
      </c>
      <c r="AC203" s="170">
        <f>IF(Escenarios!$F$14&gt;0,(Escenarios!$F$13*M203+Escenarios!$F$14*U203)/(Escenarios!$F$16),M203)</f>
        <v>0</v>
      </c>
      <c r="AD203" s="76">
        <f t="shared" si="43"/>
        <v>88.331917967061514</v>
      </c>
      <c r="AE203" s="76">
        <f>MAX(0,(AD203-Constantes!$D$13)*(1-EXP(-Constantes!$D$23)))</f>
        <v>0.39001006540780891</v>
      </c>
      <c r="AF203" s="76">
        <f>AB203+O203*Escenarios!$F$13/Escenarios!$F$16+AE203</f>
        <v>0.39001014787129584</v>
      </c>
      <c r="AG203" s="76">
        <f>IF(Entradas!$F$91&gt;0,IF(AF203-Escenarios!$F$38&lt;=0,0,IF(AF203-Escenarios!$F$38&gt;Escenarios!$F$37,Escenarios!$F$37,AF203-Escenarios!$F$38)),0)</f>
        <v>0</v>
      </c>
      <c r="AH203" s="76">
        <f>AG203*Entradas!$F$99</f>
        <v>0</v>
      </c>
      <c r="AI203" s="76">
        <f>IF(Entradas!$F$91&gt;0,D203*Entradas!$D$23/Escenarios!$F$16,0)</f>
        <v>0.12654947601120028</v>
      </c>
      <c r="AJ203" s="76">
        <f>IF(Entradas!$F$91&gt;0,Entradas!$D$24*Entradas!$D$22/Escenarios!$F$16,0)</f>
        <v>0.12</v>
      </c>
      <c r="AK203" s="76">
        <f t="shared" si="44"/>
        <v>0.12656385065833201</v>
      </c>
      <c r="AL203" s="76">
        <f t="shared" si="45"/>
        <v>0</v>
      </c>
      <c r="AM203" s="76">
        <f t="shared" si="46"/>
        <v>0</v>
      </c>
      <c r="AN203" s="76">
        <f>MAX(0,O203*Escenarios!$F$13/Escenarios!$F$16-AM203)</f>
        <v>8.2463486930176872E-8</v>
      </c>
      <c r="AO203" s="76">
        <f>AM203+AN203-O203*Escenarios!$F$13/Escenarios!$F$16</f>
        <v>0</v>
      </c>
      <c r="AP203" s="76">
        <f t="shared" si="47"/>
        <v>0.39001006540780891</v>
      </c>
      <c r="AQ203" s="76">
        <f t="shared" si="48"/>
        <v>0</v>
      </c>
      <c r="AR203" s="76">
        <f t="shared" si="49"/>
        <v>0.39001014787129584</v>
      </c>
      <c r="AS203" s="76">
        <f t="shared" si="50"/>
        <v>0</v>
      </c>
      <c r="AT203" s="76">
        <f t="shared" si="51"/>
        <v>0</v>
      </c>
      <c r="AU203" s="76">
        <f t="shared" si="52"/>
        <v>51.135666316541183</v>
      </c>
      <c r="AV203" s="76">
        <f>MAX(0,(AU203-Constantes!$D$13)*(1-EXP(-Constantes!$D$24)))</f>
        <v>3.6465499064337388E-2</v>
      </c>
      <c r="AW203" s="170">
        <f>AW202+(Entradas!$F$112*AT203-AX202)/(800*Entradas!$D$25)</f>
        <v>0</v>
      </c>
      <c r="AX203" s="170">
        <f>8000*Entradas!$D$26*AW203/Constantes!$F$45</f>
        <v>0</v>
      </c>
      <c r="AY203" s="170">
        <f>IF(Escenarios!$F$17&gt;0,10*Escenarios!$F$16*AL203,0)</f>
        <v>0</v>
      </c>
      <c r="AZ203" s="170">
        <f>IF(Escenarios!$F$17&gt;0,10*Escenarios!$F$16*AX203,0)</f>
        <v>0</v>
      </c>
      <c r="BA203" s="170">
        <f>IF(Escenarios!$F$17&gt;0,0.001*Observaciones!$F202*Escenarios!$F$17,0)</f>
        <v>0</v>
      </c>
      <c r="BB203" s="170">
        <f>IF(Escenarios!$F$17&gt;0,Observaciones!$K202,0)</f>
        <v>0</v>
      </c>
      <c r="BC203" s="170">
        <f>IF(Escenarios!$F$17&gt;0,MIN(0.0005*ETo!$M202*Escenarios!$F$17*(BG202/Constantes!$F$40)^(2/3),BG202+AY203+AZ203+BA203+BB203),0)</f>
        <v>0</v>
      </c>
      <c r="BD203" s="170">
        <f>IF(Escenarios!$F$17&gt;0,MIN(Constantes!$F$39*(BG202/Constantes!$F$40)^(2/3),BG202+AY203+AZ203+BA203+BB203-BC203),0)</f>
        <v>0</v>
      </c>
      <c r="BE203" s="170">
        <f>IF(Escenarios!$F$17&gt;0,MIN(Entradas!$F$113,BG202+AY203+AZ203+BA203+BB203-BC203-BD203),0)</f>
        <v>0</v>
      </c>
      <c r="BF203" s="170">
        <f>IF(Escenarios!$F$17&gt;0,MAX(0,BG202+AY203+AZ203+BA203+BB203-BC203-BD203-BE203-Constantes!$F$40),0)</f>
        <v>0</v>
      </c>
      <c r="BG203" s="170">
        <f t="shared" si="53"/>
        <v>0</v>
      </c>
      <c r="BH203" s="170">
        <f>(Escenarios!$F$16*AK203+0.1*BC203)/(Escenarios!$F$19)</f>
        <v>0.12656385065833201</v>
      </c>
      <c r="BI203" s="170">
        <f>IF(Escenarios!$F$17&gt;0,BF203/10/Escenarios!$F$19,AL203)</f>
        <v>0</v>
      </c>
      <c r="BJ203" s="170">
        <f>(Escenarios!$F$16*AT203+0.1*BD203)/(Escenarios!$F$19)</f>
        <v>0</v>
      </c>
      <c r="BK203" s="76">
        <f>BK202+(0.1*BD203)/(Escenarios!$F$19)-BL202</f>
        <v>48.75</v>
      </c>
      <c r="BL203" s="76">
        <f>MAX(0,(BK203-Constantes!$D$13)*(1-EXP(-Constantes!$D$23)))</f>
        <v>0</v>
      </c>
      <c r="BM203" s="76">
        <f t="shared" si="54"/>
        <v>0.4264755644721463</v>
      </c>
      <c r="BN203" s="76">
        <f t="shared" si="55"/>
        <v>0.42647564693563322</v>
      </c>
      <c r="BO203" s="76">
        <f>0.0526*BI203*Observaciones!$F202^1.218</f>
        <v>0</v>
      </c>
      <c r="BP203" s="76">
        <f>BO203*Constantes!$F$51</f>
        <v>0</v>
      </c>
      <c r="BQ203" s="76">
        <f t="shared" si="56"/>
        <v>0</v>
      </c>
      <c r="BR203" s="40"/>
    </row>
    <row r="204" spans="2:70">
      <c r="B204" s="39"/>
      <c r="C204" s="75">
        <v>198</v>
      </c>
      <c r="D204" s="146">
        <f>ETo!$I203*((1-Constantes!$F$19)*ETo!$K203+ETo!$L203)</f>
        <v>2.6187948080783325</v>
      </c>
      <c r="E204" s="76">
        <f>MIN(D204*Constantes!$F$17,0.8*(N203+Observaciones!$F203-F204-M204-Constantes!$D$14))</f>
        <v>2.2007847050531383E-6</v>
      </c>
      <c r="F204" s="76">
        <f>IF(Observaciones!$F203&gt;0.05*Constantes!$F$18,((Observaciones!$F203-0.05*Constantes!$F$18)^2)/(Observaciones!$F203+0.95*Constantes!$F$18),0)</f>
        <v>0</v>
      </c>
      <c r="G204" s="76">
        <f>IF(Escenarios!$F$11&gt;0,(F204*Escenarios!$F$16*10000)/1000,0)</f>
        <v>0</v>
      </c>
      <c r="H204" s="76">
        <f>IF(Escenarios!$F$11&gt;0,(Observaciones!$F203*Constantes!$F$29)/1000,0)</f>
        <v>0</v>
      </c>
      <c r="I204" s="76">
        <f>IF(Escenarios!$F$11&gt;0,(D204*Constantes!$F$29)/1000,0)</f>
        <v>0</v>
      </c>
      <c r="J204" s="76">
        <f>IF(Escenarios!$F$11&gt;0,MAX(0,G204+H204-I204),0)</f>
        <v>0</v>
      </c>
      <c r="K204" s="76">
        <f>IF(Escenarios!$F$11&gt;0,IF(J204&gt;Constantes!$F$30,1000*((J204-Constantes!$F$30)/(Escenarios!$F$16*10000)),0),F204)</f>
        <v>0</v>
      </c>
      <c r="L204" s="76">
        <f>IF(Escenarios!$F$11&gt;0,I204*1000/Escenarios!$F$16/10000+E204,E204)</f>
        <v>2.2007847050531383E-6</v>
      </c>
      <c r="M204" s="76">
        <f>MAX(0,N203+Observaciones!$F203-K204-Constantes!$D$13)</f>
        <v>0</v>
      </c>
      <c r="N204" s="76">
        <f>N203+Observaciones!$F203-K204-L204-M204-O203</f>
        <v>11.250000456487669</v>
      </c>
      <c r="O204" s="76">
        <f>MAX(0,(N204-Constantes!$D$14)*(1-EXP(-Constantes!$D$22)))</f>
        <v>1.5549645806622272E-8</v>
      </c>
      <c r="P204" s="170">
        <f>P203+(Entradas!$F$83*M204-Q203)/(800*Entradas!$D$25)</f>
        <v>0</v>
      </c>
      <c r="Q204" s="170">
        <f>8000*Entradas!$D$26*P204/Constantes!$F$45</f>
        <v>0</v>
      </c>
      <c r="R204" s="170">
        <f>IF(Escenarios!$F$14&gt;0,K204*Escenarios!$F$13/Escenarios!$F$14,0)</f>
        <v>0</v>
      </c>
      <c r="S204" s="170">
        <f>IF(Escenarios!$F$14&gt;0,Q204*Escenarios!$F$13/Escenarios!$F$14,0)</f>
        <v>0</v>
      </c>
      <c r="T204" s="170">
        <f>IF(Escenarios!$F$14&gt;0,Observaciones!$I203,0)</f>
        <v>0</v>
      </c>
      <c r="U204" s="170">
        <f>IF(Escenarios!$F$14&gt;0,MAX(0,Constantes!$F$36/((Z203+R204+S204+T204+Observaciones!$F203)^2)+Entradas!$F$77),0)</f>
        <v>0</v>
      </c>
      <c r="V204" s="146">
        <f>IF(ETo!D203&gt;0,ETo!I203*((1-Entradas!$F$81)*ETo!K203+ETo!L203),0)</f>
        <v>2.284466763769557</v>
      </c>
      <c r="W204" s="170">
        <f>IF(Escenarios!$F$14&gt;0,MIN(V204*1,0.8*(Z203+R204+S204+T204+Observaciones!$F203-U204-Constantes!$F$35)),0)</f>
        <v>4.5055999976284514E-6</v>
      </c>
      <c r="X204" s="170">
        <f>IF(Escenarios!$F$14&gt;0,Observaciones!$J203,0)</f>
        <v>0</v>
      </c>
      <c r="Y204" s="170">
        <f>IF(Escenarios!$F$14&gt;0,MAX(0,Z203+R204+S204+T204+Observaciones!$F203-U204-W204-X204-Constantes!$F$33),0)</f>
        <v>0</v>
      </c>
      <c r="Z204" s="170">
        <f>Z203+R204+S204+T204+Observaciones!$F203-U204-W204-Y204</f>
        <v>41.250001126400001</v>
      </c>
      <c r="AA204" s="170">
        <f>IF(Escenarios!$F$14&gt;0,(Escenarios!$F$13*L204+Escenarios!$F$14*W204)/(Escenarios!$F$16),L204)</f>
        <v>2.4773625401621757E-6</v>
      </c>
      <c r="AB204" s="170">
        <f>IF(Escenarios!$F$14&gt;0,(Escenarios!$F$14*Y204)/(Escenarios!$F$16),K204)</f>
        <v>0</v>
      </c>
      <c r="AC204" s="170">
        <f>IF(Escenarios!$F$14&gt;0,(Escenarios!$F$13*M204+Escenarios!$F$14*U204)/(Escenarios!$F$16),M204)</f>
        <v>0</v>
      </c>
      <c r="AD204" s="76">
        <f t="shared" si="43"/>
        <v>87.941907901653707</v>
      </c>
      <c r="AE204" s="76">
        <f>MAX(0,(AD204-Constantes!$D$13)*(1-EXP(-Constantes!$D$23)))</f>
        <v>0.38616720334018551</v>
      </c>
      <c r="AF204" s="76">
        <f>AB204+O204*Escenarios!$F$13/Escenarios!$F$16+AE204</f>
        <v>0.3861672170238738</v>
      </c>
      <c r="AG204" s="76">
        <f>IF(Entradas!$F$91&gt;0,IF(AF204-Escenarios!$F$38&lt;=0,0,IF(AF204-Escenarios!$F$38&gt;Escenarios!$F$37,Escenarios!$F$37,AF204-Escenarios!$F$38)),0)</f>
        <v>0</v>
      </c>
      <c r="AH204" s="76">
        <f>AG204*Entradas!$F$99</f>
        <v>0</v>
      </c>
      <c r="AI204" s="76">
        <f>IF(Entradas!$F$91&gt;0,D204*Entradas!$D$23/Escenarios!$F$16,0)</f>
        <v>0.12570215078775995</v>
      </c>
      <c r="AJ204" s="76">
        <f>IF(Entradas!$F$91&gt;0,Entradas!$D$24*Entradas!$D$22/Escenarios!$F$16,0)</f>
        <v>0.12</v>
      </c>
      <c r="AK204" s="76">
        <f t="shared" si="44"/>
        <v>0.12570462815030012</v>
      </c>
      <c r="AL204" s="76">
        <f t="shared" si="45"/>
        <v>0</v>
      </c>
      <c r="AM204" s="76">
        <f t="shared" si="46"/>
        <v>0</v>
      </c>
      <c r="AN204" s="76">
        <f>MAX(0,O204*Escenarios!$F$13/Escenarios!$F$16-AM204)</f>
        <v>1.3683688309827599E-8</v>
      </c>
      <c r="AO204" s="76">
        <f>AM204+AN204-O204*Escenarios!$F$13/Escenarios!$F$16</f>
        <v>0</v>
      </c>
      <c r="AP204" s="76">
        <f t="shared" si="47"/>
        <v>0.38616720334018551</v>
      </c>
      <c r="AQ204" s="76">
        <f t="shared" si="48"/>
        <v>0</v>
      </c>
      <c r="AR204" s="76">
        <f t="shared" si="49"/>
        <v>0.3861672170238738</v>
      </c>
      <c r="AS204" s="76">
        <f t="shared" si="50"/>
        <v>0</v>
      </c>
      <c r="AT204" s="76">
        <f t="shared" si="51"/>
        <v>0</v>
      </c>
      <c r="AU204" s="76">
        <f t="shared" si="52"/>
        <v>51.099200817476849</v>
      </c>
      <c r="AV204" s="76">
        <f>MAX(0,(AU204-Constantes!$D$13)*(1-EXP(-Constantes!$D$24)))</f>
        <v>3.5908114901769768E-2</v>
      </c>
      <c r="AW204" s="170">
        <f>AW203+(Entradas!$F$112*AT204-AX203)/(800*Entradas!$D$25)</f>
        <v>0</v>
      </c>
      <c r="AX204" s="170">
        <f>8000*Entradas!$D$26*AW204/Constantes!$F$45</f>
        <v>0</v>
      </c>
      <c r="AY204" s="170">
        <f>IF(Escenarios!$F$17&gt;0,10*Escenarios!$F$16*AL204,0)</f>
        <v>0</v>
      </c>
      <c r="AZ204" s="170">
        <f>IF(Escenarios!$F$17&gt;0,10*Escenarios!$F$16*AX204,0)</f>
        <v>0</v>
      </c>
      <c r="BA204" s="170">
        <f>IF(Escenarios!$F$17&gt;0,0.001*Observaciones!$F203*Escenarios!$F$17,0)</f>
        <v>0</v>
      </c>
      <c r="BB204" s="170">
        <f>IF(Escenarios!$F$17&gt;0,Observaciones!$K203,0)</f>
        <v>0</v>
      </c>
      <c r="BC204" s="170">
        <f>IF(Escenarios!$F$17&gt;0,MIN(0.0005*ETo!$M203*Escenarios!$F$17*(BG203/Constantes!$F$40)^(2/3),BG203+AY204+AZ204+BA204+BB204),0)</f>
        <v>0</v>
      </c>
      <c r="BD204" s="170">
        <f>IF(Escenarios!$F$17&gt;0,MIN(Constantes!$F$39*(BG203/Constantes!$F$40)^(2/3),BG203+AY204+AZ204+BA204+BB204-BC204),0)</f>
        <v>0</v>
      </c>
      <c r="BE204" s="170">
        <f>IF(Escenarios!$F$17&gt;0,MIN(Entradas!$F$113,BG203+AY204+AZ204+BA204+BB204-BC204-BD204),0)</f>
        <v>0</v>
      </c>
      <c r="BF204" s="170">
        <f>IF(Escenarios!$F$17&gt;0,MAX(0,BG203+AY204+AZ204+BA204+BB204-BC204-BD204-BE204-Constantes!$F$40),0)</f>
        <v>0</v>
      </c>
      <c r="BG204" s="170">
        <f t="shared" si="53"/>
        <v>0</v>
      </c>
      <c r="BH204" s="170">
        <f>(Escenarios!$F$16*AK204+0.1*BC204)/(Escenarios!$F$19)</f>
        <v>0.12570462815030012</v>
      </c>
      <c r="BI204" s="170">
        <f>IF(Escenarios!$F$17&gt;0,BF204/10/Escenarios!$F$19,AL204)</f>
        <v>0</v>
      </c>
      <c r="BJ204" s="170">
        <f>(Escenarios!$F$16*AT204+0.1*BD204)/(Escenarios!$F$19)</f>
        <v>0</v>
      </c>
      <c r="BK204" s="76">
        <f>BK203+(0.1*BD204)/(Escenarios!$F$19)-BL203</f>
        <v>48.75</v>
      </c>
      <c r="BL204" s="76">
        <f>MAX(0,(BK204-Constantes!$D$13)*(1-EXP(-Constantes!$D$23)))</f>
        <v>0</v>
      </c>
      <c r="BM204" s="76">
        <f t="shared" si="54"/>
        <v>0.42207531824195527</v>
      </c>
      <c r="BN204" s="76">
        <f t="shared" si="55"/>
        <v>0.42207533192564356</v>
      </c>
      <c r="BO204" s="76">
        <f>0.0526*BI204*Observaciones!$F203^1.218</f>
        <v>0</v>
      </c>
      <c r="BP204" s="76">
        <f>BO204*Constantes!$F$51</f>
        <v>0</v>
      </c>
      <c r="BQ204" s="76">
        <f t="shared" si="56"/>
        <v>0</v>
      </c>
      <c r="BR204" s="40"/>
    </row>
    <row r="205" spans="2:70">
      <c r="B205" s="39"/>
      <c r="C205" s="75">
        <v>199</v>
      </c>
      <c r="D205" s="146">
        <f>ETo!$I204*((1-Constantes!$F$19)*ETo!$K204+ETo!$L204)</f>
        <v>2.6734183363555513</v>
      </c>
      <c r="E205" s="76">
        <f>MIN(D205*Constantes!$F$17,0.8*(N204+Observaciones!$F204-F205-M205-Constantes!$D$14))</f>
        <v>0.16000036519013464</v>
      </c>
      <c r="F205" s="76">
        <f>IF(Observaciones!$F204&gt;0.05*Constantes!$F$18,((Observaciones!$F204-0.05*Constantes!$F$18)^2)/(Observaciones!$F204+0.95*Constantes!$F$18),0)</f>
        <v>0</v>
      </c>
      <c r="G205" s="76">
        <f>IF(Escenarios!$F$11&gt;0,(F205*Escenarios!$F$16*10000)/1000,0)</f>
        <v>0</v>
      </c>
      <c r="H205" s="76">
        <f>IF(Escenarios!$F$11&gt;0,(Observaciones!$F204*Constantes!$F$29)/1000,0)</f>
        <v>0</v>
      </c>
      <c r="I205" s="76">
        <f>IF(Escenarios!$F$11&gt;0,(D205*Constantes!$F$29)/1000,0)</f>
        <v>0</v>
      </c>
      <c r="J205" s="76">
        <f>IF(Escenarios!$F$11&gt;0,MAX(0,G205+H205-I205),0)</f>
        <v>0</v>
      </c>
      <c r="K205" s="76">
        <f>IF(Escenarios!$F$11&gt;0,IF(J205&gt;Constantes!$F$30,1000*((J205-Constantes!$F$30)/(Escenarios!$F$16*10000)),0),F205)</f>
        <v>0</v>
      </c>
      <c r="L205" s="76">
        <f>IF(Escenarios!$F$11&gt;0,I205*1000/Escenarios!$F$16/10000+E205,E205)</f>
        <v>0.16000036519013464</v>
      </c>
      <c r="M205" s="76">
        <f>MAX(0,N204+Observaciones!$F204-K205-Constantes!$D$13)</f>
        <v>0</v>
      </c>
      <c r="N205" s="76">
        <f>N204+Observaciones!$F204-K205-L205-M205-O204</f>
        <v>11.290000075747889</v>
      </c>
      <c r="O205" s="76">
        <f>MAX(0,(N205-Constantes!$D$14)*(1-EXP(-Constantes!$D$22)))</f>
        <v>1.3625494232573476E-3</v>
      </c>
      <c r="P205" s="170">
        <f>P204+(Entradas!$F$83*M205-Q204)/(800*Entradas!$D$25)</f>
        <v>0</v>
      </c>
      <c r="Q205" s="170">
        <f>8000*Entradas!$D$26*P205/Constantes!$F$45</f>
        <v>0</v>
      </c>
      <c r="R205" s="170">
        <f>IF(Escenarios!$F$14&gt;0,K205*Escenarios!$F$13/Escenarios!$F$14,0)</f>
        <v>0</v>
      </c>
      <c r="S205" s="170">
        <f>IF(Escenarios!$F$14&gt;0,Q205*Escenarios!$F$13/Escenarios!$F$14,0)</f>
        <v>0</v>
      </c>
      <c r="T205" s="170">
        <f>IF(Escenarios!$F$14&gt;0,Observaciones!$I204,0)</f>
        <v>0</v>
      </c>
      <c r="U205" s="170">
        <f>IF(Escenarios!$F$14&gt;0,MAX(0,Constantes!$F$36/((Z204+R205+S205+T205+Observaciones!$F204)^2)+Entradas!$F$77),0)</f>
        <v>0</v>
      </c>
      <c r="V205" s="146">
        <f>IF(ETo!D204&gt;0,ETo!I204*((1-Entradas!$F$81)*ETo!K204+ETo!L204),0)</f>
        <v>2.3328818901629442</v>
      </c>
      <c r="W205" s="170">
        <f>IF(Escenarios!$F$14&gt;0,MIN(V205*1,0.8*(Z204+R205+S205+T205+Observaciones!$F204-U205-Constantes!$F$35)),0)</f>
        <v>0.16000090112000295</v>
      </c>
      <c r="X205" s="170">
        <f>IF(Escenarios!$F$14&gt;0,Observaciones!$J204,0)</f>
        <v>0</v>
      </c>
      <c r="Y205" s="170">
        <f>IF(Escenarios!$F$14&gt;0,MAX(0,Z204+R205+S205+T205+Observaciones!$F204-U205-W205-X205-Constantes!$F$33),0)</f>
        <v>0</v>
      </c>
      <c r="Z205" s="170">
        <f>Z204+R205+S205+T205+Observaciones!$F204-U205-W205-Y205</f>
        <v>41.290000225280004</v>
      </c>
      <c r="AA205" s="170">
        <f>IF(Escenarios!$F$14&gt;0,(Escenarios!$F$13*L205+Escenarios!$F$14*W205)/(Escenarios!$F$16),L205)</f>
        <v>0.16000042950171883</v>
      </c>
      <c r="AB205" s="170">
        <f>IF(Escenarios!$F$14&gt;0,(Escenarios!$F$14*Y205)/(Escenarios!$F$16),K205)</f>
        <v>0</v>
      </c>
      <c r="AC205" s="170">
        <f>IF(Escenarios!$F$14&gt;0,(Escenarios!$F$13*M205+Escenarios!$F$14*U205)/(Escenarios!$F$16),M205)</f>
        <v>0</v>
      </c>
      <c r="AD205" s="76">
        <f t="shared" si="43"/>
        <v>87.555740698313528</v>
      </c>
      <c r="AE205" s="76">
        <f>MAX(0,(AD205-Constantes!$D$13)*(1-EXP(-Constantes!$D$23)))</f>
        <v>0.38236220590781284</v>
      </c>
      <c r="AF205" s="76">
        <f>AB205+O205*Escenarios!$F$13/Escenarios!$F$16+AE205</f>
        <v>0.3835612494002793</v>
      </c>
      <c r="AG205" s="76">
        <f>IF(Entradas!$F$91&gt;0,IF(AF205-Escenarios!$F$38&lt;=0,0,IF(AF205-Escenarios!$F$38&gt;Escenarios!$F$37,Escenarios!$F$37,AF205-Escenarios!$F$38)),0)</f>
        <v>0</v>
      </c>
      <c r="AH205" s="76">
        <f>AG205*Entradas!$F$99</f>
        <v>0</v>
      </c>
      <c r="AI205" s="76">
        <f>IF(Entradas!$F$91&gt;0,D205*Entradas!$D$23/Escenarios!$F$16,0)</f>
        <v>0.12832408014506647</v>
      </c>
      <c r="AJ205" s="76">
        <f>IF(Entradas!$F$91&gt;0,Entradas!$D$24*Entradas!$D$22/Escenarios!$F$16,0)</f>
        <v>0.12</v>
      </c>
      <c r="AK205" s="76">
        <f t="shared" si="44"/>
        <v>0.2883245096467853</v>
      </c>
      <c r="AL205" s="76">
        <f t="shared" si="45"/>
        <v>0</v>
      </c>
      <c r="AM205" s="76">
        <f t="shared" si="46"/>
        <v>0</v>
      </c>
      <c r="AN205" s="76">
        <f>MAX(0,O205*Escenarios!$F$13/Escenarios!$F$16-AM205)</f>
        <v>1.1990434924664659E-3</v>
      </c>
      <c r="AO205" s="76">
        <f>AM205+AN205-O205*Escenarios!$F$13/Escenarios!$F$16</f>
        <v>0</v>
      </c>
      <c r="AP205" s="76">
        <f t="shared" si="47"/>
        <v>0.38236220590781284</v>
      </c>
      <c r="AQ205" s="76">
        <f t="shared" si="48"/>
        <v>0</v>
      </c>
      <c r="AR205" s="76">
        <f t="shared" si="49"/>
        <v>0.3835612494002793</v>
      </c>
      <c r="AS205" s="76">
        <f t="shared" si="50"/>
        <v>0</v>
      </c>
      <c r="AT205" s="76">
        <f t="shared" si="51"/>
        <v>0</v>
      </c>
      <c r="AU205" s="76">
        <f t="shared" si="52"/>
        <v>51.063292702575076</v>
      </c>
      <c r="AV205" s="76">
        <f>MAX(0,(AU205-Constantes!$D$13)*(1-EXP(-Constantes!$D$24)))</f>
        <v>3.5359250493837341E-2</v>
      </c>
      <c r="AW205" s="170">
        <f>AW204+(Entradas!$F$112*AT205-AX204)/(800*Entradas!$D$25)</f>
        <v>0</v>
      </c>
      <c r="AX205" s="170">
        <f>8000*Entradas!$D$26*AW205/Constantes!$F$45</f>
        <v>0</v>
      </c>
      <c r="AY205" s="170">
        <f>IF(Escenarios!$F$17&gt;0,10*Escenarios!$F$16*AL205,0)</f>
        <v>0</v>
      </c>
      <c r="AZ205" s="170">
        <f>IF(Escenarios!$F$17&gt;0,10*Escenarios!$F$16*AX205,0)</f>
        <v>0</v>
      </c>
      <c r="BA205" s="170">
        <f>IF(Escenarios!$F$17&gt;0,0.001*Observaciones!$F204*Escenarios!$F$17,0)</f>
        <v>0</v>
      </c>
      <c r="BB205" s="170">
        <f>IF(Escenarios!$F$17&gt;0,Observaciones!$K204,0)</f>
        <v>0</v>
      </c>
      <c r="BC205" s="170">
        <f>IF(Escenarios!$F$17&gt;0,MIN(0.0005*ETo!$M204*Escenarios!$F$17*(BG204/Constantes!$F$40)^(2/3),BG204+AY205+AZ205+BA205+BB205),0)</f>
        <v>0</v>
      </c>
      <c r="BD205" s="170">
        <f>IF(Escenarios!$F$17&gt;0,MIN(Constantes!$F$39*(BG204/Constantes!$F$40)^(2/3),BG204+AY205+AZ205+BA205+BB205-BC205),0)</f>
        <v>0</v>
      </c>
      <c r="BE205" s="170">
        <f>IF(Escenarios!$F$17&gt;0,MIN(Entradas!$F$113,BG204+AY205+AZ205+BA205+BB205-BC205-BD205),0)</f>
        <v>0</v>
      </c>
      <c r="BF205" s="170">
        <f>IF(Escenarios!$F$17&gt;0,MAX(0,BG204+AY205+AZ205+BA205+BB205-BC205-BD205-BE205-Constantes!$F$40),0)</f>
        <v>0</v>
      </c>
      <c r="BG205" s="170">
        <f t="shared" si="53"/>
        <v>0</v>
      </c>
      <c r="BH205" s="170">
        <f>(Escenarios!$F$16*AK205+0.1*BC205)/(Escenarios!$F$19)</f>
        <v>0.2883245096467853</v>
      </c>
      <c r="BI205" s="170">
        <f>IF(Escenarios!$F$17&gt;0,BF205/10/Escenarios!$F$19,AL205)</f>
        <v>0</v>
      </c>
      <c r="BJ205" s="170">
        <f>(Escenarios!$F$16*AT205+0.1*BD205)/(Escenarios!$F$19)</f>
        <v>0</v>
      </c>
      <c r="BK205" s="76">
        <f>BK204+(0.1*BD205)/(Escenarios!$F$19)-BL204</f>
        <v>48.75</v>
      </c>
      <c r="BL205" s="76">
        <f>MAX(0,(BK205-Constantes!$D$13)*(1-EXP(-Constantes!$D$23)))</f>
        <v>0</v>
      </c>
      <c r="BM205" s="76">
        <f t="shared" si="54"/>
        <v>0.41772145640165015</v>
      </c>
      <c r="BN205" s="76">
        <f t="shared" si="55"/>
        <v>0.41892049989411662</v>
      </c>
      <c r="BO205" s="76">
        <f>0.0526*BI205*Observaciones!$F204^1.218</f>
        <v>0</v>
      </c>
      <c r="BP205" s="76">
        <f>BO205*Constantes!$F$51</f>
        <v>0</v>
      </c>
      <c r="BQ205" s="76">
        <f t="shared" si="56"/>
        <v>0</v>
      </c>
      <c r="BR205" s="40"/>
    </row>
    <row r="206" spans="2:70">
      <c r="B206" s="39"/>
      <c r="C206" s="75">
        <v>200</v>
      </c>
      <c r="D206" s="146">
        <f>ETo!$I205*((1-Constantes!$F$19)*ETo!$K205+ETo!$L205)</f>
        <v>2.6783394009163053</v>
      </c>
      <c r="E206" s="76">
        <f>MIN(D206*Constantes!$F$17,0.8*(N205+Observaciones!$F205-F206-M206-Constantes!$D$14))</f>
        <v>1.3120000605983109</v>
      </c>
      <c r="F206" s="76">
        <f>IF(Observaciones!$F205&gt;0.05*Constantes!$F$18,((Observaciones!$F205-0.05*Constantes!$F$18)^2)/(Observaciones!$F205+0.95*Constantes!$F$18),0)</f>
        <v>0</v>
      </c>
      <c r="G206" s="76">
        <f>IF(Escenarios!$F$11&gt;0,(F206*Escenarios!$F$16*10000)/1000,0)</f>
        <v>0</v>
      </c>
      <c r="H206" s="76">
        <f>IF(Escenarios!$F$11&gt;0,(Observaciones!$F205*Constantes!$F$29)/1000,0)</f>
        <v>0</v>
      </c>
      <c r="I206" s="76">
        <f>IF(Escenarios!$F$11&gt;0,(D206*Constantes!$F$29)/1000,0)</f>
        <v>0</v>
      </c>
      <c r="J206" s="76">
        <f>IF(Escenarios!$F$11&gt;0,MAX(0,G206+H206-I206),0)</f>
        <v>0</v>
      </c>
      <c r="K206" s="76">
        <f>IF(Escenarios!$F$11&gt;0,IF(J206&gt;Constantes!$F$30,1000*((J206-Constantes!$F$30)/(Escenarios!$F$16*10000)),0),F206)</f>
        <v>0</v>
      </c>
      <c r="L206" s="76">
        <f>IF(Escenarios!$F$11&gt;0,I206*1000/Escenarios!$F$16/10000+E206,E206)</f>
        <v>1.3120000605983109</v>
      </c>
      <c r="M206" s="76">
        <f>MAX(0,N205+Observaciones!$F205-K206-Constantes!$D$13)</f>
        <v>0</v>
      </c>
      <c r="N206" s="76">
        <f>N205+Observaciones!$F205-K206-L206-M206-O205</f>
        <v>11.57663746572632</v>
      </c>
      <c r="O206" s="76">
        <f>MAX(0,(N206-Constantes!$D$14)*(1-EXP(-Constantes!$D$22)))</f>
        <v>1.1126471193323368E-2</v>
      </c>
      <c r="P206" s="170">
        <f>P205+(Entradas!$F$83*M206-Q205)/(800*Entradas!$D$25)</f>
        <v>0</v>
      </c>
      <c r="Q206" s="170">
        <f>8000*Entradas!$D$26*P206/Constantes!$F$45</f>
        <v>0</v>
      </c>
      <c r="R206" s="170">
        <f>IF(Escenarios!$F$14&gt;0,K206*Escenarios!$F$13/Escenarios!$F$14,0)</f>
        <v>0</v>
      </c>
      <c r="S206" s="170">
        <f>IF(Escenarios!$F$14&gt;0,Q206*Escenarios!$F$13/Escenarios!$F$14,0)</f>
        <v>0</v>
      </c>
      <c r="T206" s="170">
        <f>IF(Escenarios!$F$14&gt;0,Observaciones!$I205,0)</f>
        <v>0</v>
      </c>
      <c r="U206" s="170">
        <f>IF(Escenarios!$F$14&gt;0,MAX(0,Constantes!$F$36/((Z205+R206+S206+T206+Observaciones!$F205)^2)+Entradas!$F$77),0)</f>
        <v>0</v>
      </c>
      <c r="V206" s="146">
        <f>IF(ETo!D205&gt;0,ETo!I205*((1-Entradas!$F$81)*ETo!K205+ETo!L205),0)</f>
        <v>2.3376307290005278</v>
      </c>
      <c r="W206" s="170">
        <f>IF(Escenarios!$F$14&gt;0,MIN(V206*1,0.8*(Z205+R206+S206+T206+Observaciones!$F205-U206-Constantes!$F$35)),0)</f>
        <v>1.312000180224004</v>
      </c>
      <c r="X206" s="170">
        <f>IF(Escenarios!$F$14&gt;0,Observaciones!$J205,0)</f>
        <v>0</v>
      </c>
      <c r="Y206" s="170">
        <f>IF(Escenarios!$F$14&gt;0,MAX(0,Z205+R206+S206+T206+Observaciones!$F205-U206-W206-X206-Constantes!$F$33),0)</f>
        <v>0</v>
      </c>
      <c r="Z206" s="170">
        <f>Z205+R206+S206+T206+Observaciones!$F205-U206-W206-Y206</f>
        <v>41.578000045056001</v>
      </c>
      <c r="AA206" s="170">
        <f>IF(Escenarios!$F$14&gt;0,(Escenarios!$F$13*L206+Escenarios!$F$14*W206)/(Escenarios!$F$16),L206)</f>
        <v>1.312000074953394</v>
      </c>
      <c r="AB206" s="170">
        <f>IF(Escenarios!$F$14&gt;0,(Escenarios!$F$14*Y206)/(Escenarios!$F$16),K206)</f>
        <v>0</v>
      </c>
      <c r="AC206" s="170">
        <f>IF(Escenarios!$F$14&gt;0,(Escenarios!$F$13*M206+Escenarios!$F$14*U206)/(Escenarios!$F$16),M206)</f>
        <v>0</v>
      </c>
      <c r="AD206" s="76">
        <f t="shared" si="43"/>
        <v>87.173378492405718</v>
      </c>
      <c r="AE206" s="76">
        <f>MAX(0,(AD206-Constantes!$D$13)*(1-EXP(-Constantes!$D$23)))</f>
        <v>0.37859470002142109</v>
      </c>
      <c r="AF206" s="76">
        <f>AB206+O206*Escenarios!$F$13/Escenarios!$F$16+AE206</f>
        <v>0.38838599467154566</v>
      </c>
      <c r="AG206" s="76">
        <f>IF(Entradas!$F$91&gt;0,IF(AF206-Escenarios!$F$38&lt;=0,0,IF(AF206-Escenarios!$F$38&gt;Escenarios!$F$37,Escenarios!$F$37,AF206-Escenarios!$F$38)),0)</f>
        <v>0</v>
      </c>
      <c r="AH206" s="76">
        <f>AG206*Entradas!$F$99</f>
        <v>0</v>
      </c>
      <c r="AI206" s="76">
        <f>IF(Entradas!$F$91&gt;0,D206*Entradas!$D$23/Escenarios!$F$16,0)</f>
        <v>0.12856029124398266</v>
      </c>
      <c r="AJ206" s="76">
        <f>IF(Entradas!$F$91&gt;0,Entradas!$D$24*Entradas!$D$22/Escenarios!$F$16,0)</f>
        <v>0.12</v>
      </c>
      <c r="AK206" s="76">
        <f t="shared" si="44"/>
        <v>1.4405603661973767</v>
      </c>
      <c r="AL206" s="76">
        <f t="shared" si="45"/>
        <v>0</v>
      </c>
      <c r="AM206" s="76">
        <f t="shared" si="46"/>
        <v>0</v>
      </c>
      <c r="AN206" s="76">
        <f>MAX(0,O206*Escenarios!$F$13/Escenarios!$F$16-AM206)</f>
        <v>9.7912946501245643E-3</v>
      </c>
      <c r="AO206" s="76">
        <f>AM206+AN206-O206*Escenarios!$F$13/Escenarios!$F$16</f>
        <v>0</v>
      </c>
      <c r="AP206" s="76">
        <f t="shared" si="47"/>
        <v>0.37859470002142109</v>
      </c>
      <c r="AQ206" s="76">
        <f t="shared" si="48"/>
        <v>0</v>
      </c>
      <c r="AR206" s="76">
        <f t="shared" si="49"/>
        <v>0.38838599467154566</v>
      </c>
      <c r="AS206" s="76">
        <f t="shared" si="50"/>
        <v>0</v>
      </c>
      <c r="AT206" s="76">
        <f t="shared" si="51"/>
        <v>0</v>
      </c>
      <c r="AU206" s="76">
        <f t="shared" si="52"/>
        <v>51.027933452081236</v>
      </c>
      <c r="AV206" s="76">
        <f>MAX(0,(AU206-Constantes!$D$13)*(1-EXP(-Constantes!$D$24)))</f>
        <v>3.4818775613985657E-2</v>
      </c>
      <c r="AW206" s="170">
        <f>AW205+(Entradas!$F$112*AT206-AX205)/(800*Entradas!$D$25)</f>
        <v>0</v>
      </c>
      <c r="AX206" s="170">
        <f>8000*Entradas!$D$26*AW206/Constantes!$F$45</f>
        <v>0</v>
      </c>
      <c r="AY206" s="170">
        <f>IF(Escenarios!$F$17&gt;0,10*Escenarios!$F$16*AL206,0)</f>
        <v>0</v>
      </c>
      <c r="AZ206" s="170">
        <f>IF(Escenarios!$F$17&gt;0,10*Escenarios!$F$16*AX206,0)</f>
        <v>0</v>
      </c>
      <c r="BA206" s="170">
        <f>IF(Escenarios!$F$17&gt;0,0.001*Observaciones!$F205*Escenarios!$F$17,0)</f>
        <v>0</v>
      </c>
      <c r="BB206" s="170">
        <f>IF(Escenarios!$F$17&gt;0,Observaciones!$K205,0)</f>
        <v>0</v>
      </c>
      <c r="BC206" s="170">
        <f>IF(Escenarios!$F$17&gt;0,MIN(0.0005*ETo!$M205*Escenarios!$F$17*(BG205/Constantes!$F$40)^(2/3),BG205+AY206+AZ206+BA206+BB206),0)</f>
        <v>0</v>
      </c>
      <c r="BD206" s="170">
        <f>IF(Escenarios!$F$17&gt;0,MIN(Constantes!$F$39*(BG205/Constantes!$F$40)^(2/3),BG205+AY206+AZ206+BA206+BB206-BC206),0)</f>
        <v>0</v>
      </c>
      <c r="BE206" s="170">
        <f>IF(Escenarios!$F$17&gt;0,MIN(Entradas!$F$113,BG205+AY206+AZ206+BA206+BB206-BC206-BD206),0)</f>
        <v>0</v>
      </c>
      <c r="BF206" s="170">
        <f>IF(Escenarios!$F$17&gt;0,MAX(0,BG205+AY206+AZ206+BA206+BB206-BC206-BD206-BE206-Constantes!$F$40),0)</f>
        <v>0</v>
      </c>
      <c r="BG206" s="170">
        <f t="shared" si="53"/>
        <v>0</v>
      </c>
      <c r="BH206" s="170">
        <f>(Escenarios!$F$16*AK206+0.1*BC206)/(Escenarios!$F$19)</f>
        <v>1.4405603661973767</v>
      </c>
      <c r="BI206" s="170">
        <f>IF(Escenarios!$F$17&gt;0,BF206/10/Escenarios!$F$19,AL206)</f>
        <v>0</v>
      </c>
      <c r="BJ206" s="170">
        <f>(Escenarios!$F$16*AT206+0.1*BD206)/(Escenarios!$F$19)</f>
        <v>0</v>
      </c>
      <c r="BK206" s="76">
        <f>BK205+(0.1*BD206)/(Escenarios!$F$19)-BL205</f>
        <v>48.75</v>
      </c>
      <c r="BL206" s="76">
        <f>MAX(0,(BK206-Constantes!$D$13)*(1-EXP(-Constantes!$D$23)))</f>
        <v>0</v>
      </c>
      <c r="BM206" s="76">
        <f t="shared" si="54"/>
        <v>0.41341347563540676</v>
      </c>
      <c r="BN206" s="76">
        <f t="shared" si="55"/>
        <v>0.42320477028553133</v>
      </c>
      <c r="BO206" s="76">
        <f>0.0526*BI206*Observaciones!$F205^1.218</f>
        <v>0</v>
      </c>
      <c r="BP206" s="76">
        <f>BO206*Constantes!$F$51</f>
        <v>0</v>
      </c>
      <c r="BQ206" s="76">
        <f t="shared" si="56"/>
        <v>0</v>
      </c>
      <c r="BR206" s="40"/>
    </row>
    <row r="207" spans="2:70">
      <c r="B207" s="39"/>
      <c r="C207" s="75">
        <v>201</v>
      </c>
      <c r="D207" s="146">
        <f>ETo!$I206*((1-Constantes!$F$19)*ETo!$K206+ETo!$L206)</f>
        <v>2.6235824350319388</v>
      </c>
      <c r="E207" s="76">
        <f>MIN(D207*Constantes!$F$17,0.8*(N206+Observaciones!$F206-F207-M207-Constantes!$D$14))</f>
        <v>1.4962599097552853</v>
      </c>
      <c r="F207" s="76">
        <f>IF(Observaciones!$F206&gt;0.05*Constantes!$F$18,((Observaciones!$F206-0.05*Constantes!$F$18)^2)/(Observaciones!$F206+0.95*Constantes!$F$18),0)</f>
        <v>0</v>
      </c>
      <c r="G207" s="76">
        <f>IF(Escenarios!$F$11&gt;0,(F207*Escenarios!$F$16*10000)/1000,0)</f>
        <v>0</v>
      </c>
      <c r="H207" s="76">
        <f>IF(Escenarios!$F$11&gt;0,(Observaciones!$F206*Constantes!$F$29)/1000,0)</f>
        <v>0</v>
      </c>
      <c r="I207" s="76">
        <f>IF(Escenarios!$F$11&gt;0,(D207*Constantes!$F$29)/1000,0)</f>
        <v>0</v>
      </c>
      <c r="J207" s="76">
        <f>IF(Escenarios!$F$11&gt;0,MAX(0,G207+H207-I207),0)</f>
        <v>0</v>
      </c>
      <c r="K207" s="76">
        <f>IF(Escenarios!$F$11&gt;0,IF(J207&gt;Constantes!$F$30,1000*((J207-Constantes!$F$30)/(Escenarios!$F$16*10000)),0),F207)</f>
        <v>0</v>
      </c>
      <c r="L207" s="76">
        <f>IF(Escenarios!$F$11&gt;0,I207*1000/Escenarios!$F$16/10000+E207,E207)</f>
        <v>1.4962599097552853</v>
      </c>
      <c r="M207" s="76">
        <f>MAX(0,N206+Observaciones!$F206-K207-Constantes!$D$13)</f>
        <v>0</v>
      </c>
      <c r="N207" s="76">
        <f>N206+Observaciones!$F206-K207-L207-M207-O206</f>
        <v>15.169251084777711</v>
      </c>
      <c r="O207" s="76">
        <f>MAX(0,(N207-Constantes!$D$14)*(1-EXP(-Constantes!$D$22)))</f>
        <v>0.13350407981281001</v>
      </c>
      <c r="P207" s="170">
        <f>P206+(Entradas!$F$83*M207-Q206)/(800*Entradas!$D$25)</f>
        <v>0</v>
      </c>
      <c r="Q207" s="170">
        <f>8000*Entradas!$D$26*P207/Constantes!$F$45</f>
        <v>0</v>
      </c>
      <c r="R207" s="170">
        <f>IF(Escenarios!$F$14&gt;0,K207*Escenarios!$F$13/Escenarios!$F$14,0)</f>
        <v>0</v>
      </c>
      <c r="S207" s="170">
        <f>IF(Escenarios!$F$14&gt;0,Q207*Escenarios!$F$13/Escenarios!$F$14,0)</f>
        <v>0</v>
      </c>
      <c r="T207" s="170">
        <f>IF(Escenarios!$F$14&gt;0,Observaciones!$I206,0)</f>
        <v>0</v>
      </c>
      <c r="U207" s="170">
        <f>IF(Escenarios!$F$14&gt;0,MAX(0,Constantes!$F$36/((Z206+R207+S207+T207+Observaciones!$F206)^2)+Entradas!$F$77),0)</f>
        <v>0</v>
      </c>
      <c r="V207" s="146">
        <f>IF(ETo!D206&gt;0,ETo!I206*((1-Entradas!$F$81)*ETo!K206+ETo!L206),0)</f>
        <v>2.2899916624011918</v>
      </c>
      <c r="W207" s="170">
        <f>IF(Escenarios!$F$14&gt;0,MIN(V207*1,0.8*(Z206+R207+S207+T207+Observaciones!$F206-U207-Constantes!$F$35)),0)</f>
        <v>2.2899916624011918</v>
      </c>
      <c r="X207" s="170">
        <f>IF(Escenarios!$F$14&gt;0,Observaciones!$J206,0)</f>
        <v>0</v>
      </c>
      <c r="Y207" s="170">
        <f>IF(Escenarios!$F$14&gt;0,MAX(0,Z206+R207+S207+T207+Observaciones!$F206-U207-W207-X207-Constantes!$F$33),0)</f>
        <v>0</v>
      </c>
      <c r="Z207" s="170">
        <f>Z206+R207+S207+T207+Observaciones!$F206-U207-W207-Y207</f>
        <v>44.38800838265481</v>
      </c>
      <c r="AA207" s="170">
        <f>IF(Escenarios!$F$14&gt;0,(Escenarios!$F$13*L207+Escenarios!$F$14*W207)/(Escenarios!$F$16),L207)</f>
        <v>1.5915077200727941</v>
      </c>
      <c r="AB207" s="170">
        <f>IF(Escenarios!$F$14&gt;0,(Escenarios!$F$14*Y207)/(Escenarios!$F$16),K207)</f>
        <v>0</v>
      </c>
      <c r="AC207" s="170">
        <f>IF(Escenarios!$F$14&gt;0,(Escenarios!$F$13*M207+Escenarios!$F$14*U207)/(Escenarios!$F$16),M207)</f>
        <v>0</v>
      </c>
      <c r="AD207" s="76">
        <f t="shared" si="43"/>
        <v>86.794783792384294</v>
      </c>
      <c r="AE207" s="76">
        <f>MAX(0,(AD207-Constantes!$D$13)*(1-EXP(-Constantes!$D$23)))</f>
        <v>0.37486431626787792</v>
      </c>
      <c r="AF207" s="76">
        <f>AB207+O207*Escenarios!$F$13/Escenarios!$F$16+AE207</f>
        <v>0.49234790650315075</v>
      </c>
      <c r="AG207" s="76">
        <f>IF(Entradas!$F$91&gt;0,IF(AF207-Escenarios!$F$38&lt;=0,0,IF(AF207-Escenarios!$F$38&gt;Escenarios!$F$37,Escenarios!$F$37,AF207-Escenarios!$F$38)),0)</f>
        <v>0</v>
      </c>
      <c r="AH207" s="76">
        <f>AG207*Entradas!$F$99</f>
        <v>0</v>
      </c>
      <c r="AI207" s="76">
        <f>IF(Entradas!$F$91&gt;0,D207*Entradas!$D$23/Escenarios!$F$16,0)</f>
        <v>0.12593195688153308</v>
      </c>
      <c r="AJ207" s="76">
        <f>IF(Entradas!$F$91&gt;0,Entradas!$D$24*Entradas!$D$22/Escenarios!$F$16,0)</f>
        <v>0.12</v>
      </c>
      <c r="AK207" s="76">
        <f t="shared" si="44"/>
        <v>1.7174396769543272</v>
      </c>
      <c r="AL207" s="76">
        <f t="shared" si="45"/>
        <v>0</v>
      </c>
      <c r="AM207" s="76">
        <f t="shared" si="46"/>
        <v>0</v>
      </c>
      <c r="AN207" s="76">
        <f>MAX(0,O207*Escenarios!$F$13/Escenarios!$F$16-AM207)</f>
        <v>0.11748359023527281</v>
      </c>
      <c r="AO207" s="76">
        <f>AM207+AN207-O207*Escenarios!$F$13/Escenarios!$F$16</f>
        <v>0</v>
      </c>
      <c r="AP207" s="76">
        <f t="shared" si="47"/>
        <v>0.37486431626787792</v>
      </c>
      <c r="AQ207" s="76">
        <f t="shared" si="48"/>
        <v>0</v>
      </c>
      <c r="AR207" s="76">
        <f t="shared" si="49"/>
        <v>0.49234790650315075</v>
      </c>
      <c r="AS207" s="76">
        <f t="shared" si="50"/>
        <v>0</v>
      </c>
      <c r="AT207" s="76">
        <f t="shared" si="51"/>
        <v>0</v>
      </c>
      <c r="AU207" s="76">
        <f t="shared" si="52"/>
        <v>50.99311467646725</v>
      </c>
      <c r="AV207" s="76">
        <f>MAX(0,(AU207-Constantes!$D$13)*(1-EXP(-Constantes!$D$24)))</f>
        <v>3.4286562026205294E-2</v>
      </c>
      <c r="AW207" s="170">
        <f>AW206+(Entradas!$F$112*AT207-AX206)/(800*Entradas!$D$25)</f>
        <v>0</v>
      </c>
      <c r="AX207" s="170">
        <f>8000*Entradas!$D$26*AW207/Constantes!$F$45</f>
        <v>0</v>
      </c>
      <c r="AY207" s="170">
        <f>IF(Escenarios!$F$17&gt;0,10*Escenarios!$F$16*AL207,0)</f>
        <v>0</v>
      </c>
      <c r="AZ207" s="170">
        <f>IF(Escenarios!$F$17&gt;0,10*Escenarios!$F$16*AX207,0)</f>
        <v>0</v>
      </c>
      <c r="BA207" s="170">
        <f>IF(Escenarios!$F$17&gt;0,0.001*Observaciones!$F206*Escenarios!$F$17,0)</f>
        <v>0</v>
      </c>
      <c r="BB207" s="170">
        <f>IF(Escenarios!$F$17&gt;0,Observaciones!$K206,0)</f>
        <v>0</v>
      </c>
      <c r="BC207" s="170">
        <f>IF(Escenarios!$F$17&gt;0,MIN(0.0005*ETo!$M206*Escenarios!$F$17*(BG206/Constantes!$F$40)^(2/3),BG206+AY207+AZ207+BA207+BB207),0)</f>
        <v>0</v>
      </c>
      <c r="BD207" s="170">
        <f>IF(Escenarios!$F$17&gt;0,MIN(Constantes!$F$39*(BG206/Constantes!$F$40)^(2/3),BG206+AY207+AZ207+BA207+BB207-BC207),0)</f>
        <v>0</v>
      </c>
      <c r="BE207" s="170">
        <f>IF(Escenarios!$F$17&gt;0,MIN(Entradas!$F$113,BG206+AY207+AZ207+BA207+BB207-BC207-BD207),0)</f>
        <v>0</v>
      </c>
      <c r="BF207" s="170">
        <f>IF(Escenarios!$F$17&gt;0,MAX(0,BG206+AY207+AZ207+BA207+BB207-BC207-BD207-BE207-Constantes!$F$40),0)</f>
        <v>0</v>
      </c>
      <c r="BG207" s="170">
        <f t="shared" si="53"/>
        <v>0</v>
      </c>
      <c r="BH207" s="170">
        <f>(Escenarios!$F$16*AK207+0.1*BC207)/(Escenarios!$F$19)</f>
        <v>1.7174396769543272</v>
      </c>
      <c r="BI207" s="170">
        <f>IF(Escenarios!$F$17&gt;0,BF207/10/Escenarios!$F$19,AL207)</f>
        <v>0</v>
      </c>
      <c r="BJ207" s="170">
        <f>(Escenarios!$F$16*AT207+0.1*BD207)/(Escenarios!$F$19)</f>
        <v>0</v>
      </c>
      <c r="BK207" s="76">
        <f>BK206+(0.1*BD207)/(Escenarios!$F$19)-BL206</f>
        <v>48.75</v>
      </c>
      <c r="BL207" s="76">
        <f>MAX(0,(BK207-Constantes!$D$13)*(1-EXP(-Constantes!$D$23)))</f>
        <v>0</v>
      </c>
      <c r="BM207" s="76">
        <f t="shared" si="54"/>
        <v>0.4091508782940832</v>
      </c>
      <c r="BN207" s="76">
        <f t="shared" si="55"/>
        <v>0.52663446852935603</v>
      </c>
      <c r="BO207" s="76">
        <f>0.0526*BI207*Observaciones!$F206^1.218</f>
        <v>0</v>
      </c>
      <c r="BP207" s="76">
        <f>BO207*Constantes!$F$51</f>
        <v>0</v>
      </c>
      <c r="BQ207" s="76">
        <f t="shared" si="56"/>
        <v>0</v>
      </c>
      <c r="BR207" s="40"/>
    </row>
    <row r="208" spans="2:70">
      <c r="B208" s="39"/>
      <c r="C208" s="75">
        <v>202</v>
      </c>
      <c r="D208" s="146">
        <f>ETo!$I207*((1-Constantes!$F$19)*ETo!$K207+ETo!$L207)</f>
        <v>2.5626676098905352</v>
      </c>
      <c r="E208" s="76">
        <f>MIN(D208*Constantes!$F$17,0.8*(N207+Observaciones!$F207-F208-M208-Constantes!$D$14))</f>
        <v>1.4615194687644437</v>
      </c>
      <c r="F208" s="76">
        <f>IF(Observaciones!$F207&gt;0.05*Constantes!$F$18,((Observaciones!$F207-0.05*Constantes!$F$18)^2)/(Observaciones!$F207+0.95*Constantes!$F$18),0)</f>
        <v>0</v>
      </c>
      <c r="G208" s="76">
        <f>IF(Escenarios!$F$11&gt;0,(F208*Escenarios!$F$16*10000)/1000,0)</f>
        <v>0</v>
      </c>
      <c r="H208" s="76">
        <f>IF(Escenarios!$F$11&gt;0,(Observaciones!$F207*Constantes!$F$29)/1000,0)</f>
        <v>0</v>
      </c>
      <c r="I208" s="76">
        <f>IF(Escenarios!$F$11&gt;0,(D208*Constantes!$F$29)/1000,0)</f>
        <v>0</v>
      </c>
      <c r="J208" s="76">
        <f>IF(Escenarios!$F$11&gt;0,MAX(0,G208+H208-I208),0)</f>
        <v>0</v>
      </c>
      <c r="K208" s="76">
        <f>IF(Escenarios!$F$11&gt;0,IF(J208&gt;Constantes!$F$30,1000*((J208-Constantes!$F$30)/(Escenarios!$F$16*10000)),0),F208)</f>
        <v>0</v>
      </c>
      <c r="L208" s="76">
        <f>IF(Escenarios!$F$11&gt;0,I208*1000/Escenarios!$F$16/10000+E208,E208)</f>
        <v>1.4615194687644437</v>
      </c>
      <c r="M208" s="76">
        <f>MAX(0,N207+Observaciones!$F207-K208-Constantes!$D$13)</f>
        <v>0</v>
      </c>
      <c r="N208" s="76">
        <f>N207+Observaciones!$F207-K208-L208-M208-O207</f>
        <v>20.27422753620046</v>
      </c>
      <c r="O208" s="76">
        <f>MAX(0,(N208-Constantes!$D$14)*(1-EXP(-Constantes!$D$22)))</f>
        <v>0.30739831850048344</v>
      </c>
      <c r="P208" s="170">
        <f>P207+(Entradas!$F$83*M208-Q207)/(800*Entradas!$D$25)</f>
        <v>0</v>
      </c>
      <c r="Q208" s="170">
        <f>8000*Entradas!$D$26*P208/Constantes!$F$45</f>
        <v>0</v>
      </c>
      <c r="R208" s="170">
        <f>IF(Escenarios!$F$14&gt;0,K208*Escenarios!$F$13/Escenarios!$F$14,0)</f>
        <v>0</v>
      </c>
      <c r="S208" s="170">
        <f>IF(Escenarios!$F$14&gt;0,Q208*Escenarios!$F$13/Escenarios!$F$14,0)</f>
        <v>0</v>
      </c>
      <c r="T208" s="170">
        <f>IF(Escenarios!$F$14&gt;0,Observaciones!$I207,0)</f>
        <v>0</v>
      </c>
      <c r="U208" s="170">
        <f>IF(Escenarios!$F$14&gt;0,MAX(0,Constantes!$F$36/((Z207+R208+S208+T208+Observaciones!$F207)^2)+Entradas!$F$77),0)</f>
        <v>0</v>
      </c>
      <c r="V208" s="146">
        <f>IF(ETo!D207&gt;0,ETo!I207*((1-Entradas!$F$81)*ETo!K207+ETo!L207),0)</f>
        <v>2.2371837779201296</v>
      </c>
      <c r="W208" s="170">
        <f>IF(Escenarios!$F$14&gt;0,MIN(V208*1,0.8*(Z207+R208+S208+T208+Observaciones!$F207-U208-Constantes!$F$35)),0)</f>
        <v>2.2371837779201296</v>
      </c>
      <c r="X208" s="170">
        <f>IF(Escenarios!$F$14&gt;0,Observaciones!$J207,0)</f>
        <v>0</v>
      </c>
      <c r="Y208" s="170">
        <f>IF(Escenarios!$F$14&gt;0,MAX(0,Z207+R208+S208+T208+Observaciones!$F207-U208-W208-X208-Constantes!$F$33),0)</f>
        <v>0</v>
      </c>
      <c r="Z208" s="170">
        <f>Z207+R208+S208+T208+Observaciones!$F207-U208-W208-Y208</f>
        <v>48.850824604734683</v>
      </c>
      <c r="AA208" s="170">
        <f>IF(Escenarios!$F$14&gt;0,(Escenarios!$F$13*L208+Escenarios!$F$14*W208)/(Escenarios!$F$16),L208)</f>
        <v>1.5545991858631261</v>
      </c>
      <c r="AB208" s="170">
        <f>IF(Escenarios!$F$14&gt;0,(Escenarios!$F$14*Y208)/(Escenarios!$F$16),K208)</f>
        <v>0</v>
      </c>
      <c r="AC208" s="170">
        <f>IF(Escenarios!$F$14&gt;0,(Escenarios!$F$13*M208+Escenarios!$F$14*U208)/(Escenarios!$F$16),M208)</f>
        <v>0</v>
      </c>
      <c r="AD208" s="76">
        <f t="shared" si="43"/>
        <v>86.419919476116419</v>
      </c>
      <c r="AE208" s="76">
        <f>MAX(0,(AD208-Constantes!$D$13)*(1-EXP(-Constantes!$D$23)))</f>
        <v>0.37117068887396665</v>
      </c>
      <c r="AF208" s="76">
        <f>AB208+O208*Escenarios!$F$13/Escenarios!$F$16+AE208</f>
        <v>0.64168120915439197</v>
      </c>
      <c r="AG208" s="76">
        <f>IF(Entradas!$F$91&gt;0,IF(AF208-Escenarios!$F$38&lt;=0,0,IF(AF208-Escenarios!$F$38&gt;Escenarios!$F$37,Escenarios!$F$37,AF208-Escenarios!$F$38)),0)</f>
        <v>0</v>
      </c>
      <c r="AH208" s="76">
        <f>AG208*Entradas!$F$99</f>
        <v>0</v>
      </c>
      <c r="AI208" s="76">
        <f>IF(Entradas!$F$91&gt;0,D208*Entradas!$D$23/Escenarios!$F$16,0)</f>
        <v>0.12300804527474568</v>
      </c>
      <c r="AJ208" s="76">
        <f>IF(Entradas!$F$91&gt;0,Entradas!$D$24*Entradas!$D$22/Escenarios!$F$16,0)</f>
        <v>0.12</v>
      </c>
      <c r="AK208" s="76">
        <f t="shared" si="44"/>
        <v>1.6776072311378718</v>
      </c>
      <c r="AL208" s="76">
        <f t="shared" si="45"/>
        <v>0</v>
      </c>
      <c r="AM208" s="76">
        <f t="shared" si="46"/>
        <v>0</v>
      </c>
      <c r="AN208" s="76">
        <f>MAX(0,O208*Escenarios!$F$13/Escenarios!$F$16-AM208)</f>
        <v>0.27051052028042538</v>
      </c>
      <c r="AO208" s="76">
        <f>AM208+AN208-O208*Escenarios!$F$13/Escenarios!$F$16</f>
        <v>0</v>
      </c>
      <c r="AP208" s="76">
        <f t="shared" si="47"/>
        <v>0.37117068887396665</v>
      </c>
      <c r="AQ208" s="76">
        <f t="shared" si="48"/>
        <v>0</v>
      </c>
      <c r="AR208" s="76">
        <f t="shared" si="49"/>
        <v>0.64168120915439197</v>
      </c>
      <c r="AS208" s="76">
        <f t="shared" si="50"/>
        <v>0</v>
      </c>
      <c r="AT208" s="76">
        <f t="shared" si="51"/>
        <v>0</v>
      </c>
      <c r="AU208" s="76">
        <f t="shared" si="52"/>
        <v>50.958828114441047</v>
      </c>
      <c r="AV208" s="76">
        <f>MAX(0,(AU208-Constantes!$D$13)*(1-EXP(-Constantes!$D$24)))</f>
        <v>3.3762483454605828E-2</v>
      </c>
      <c r="AW208" s="170">
        <f>AW207+(Entradas!$F$112*AT208-AX207)/(800*Entradas!$D$25)</f>
        <v>0</v>
      </c>
      <c r="AX208" s="170">
        <f>8000*Entradas!$D$26*AW208/Constantes!$F$45</f>
        <v>0</v>
      </c>
      <c r="AY208" s="170">
        <f>IF(Escenarios!$F$17&gt;0,10*Escenarios!$F$16*AL208,0)</f>
        <v>0</v>
      </c>
      <c r="AZ208" s="170">
        <f>IF(Escenarios!$F$17&gt;0,10*Escenarios!$F$16*AX208,0)</f>
        <v>0</v>
      </c>
      <c r="BA208" s="170">
        <f>IF(Escenarios!$F$17&gt;0,0.001*Observaciones!$F207*Escenarios!$F$17,0)</f>
        <v>0</v>
      </c>
      <c r="BB208" s="170">
        <f>IF(Escenarios!$F$17&gt;0,Observaciones!$K207,0)</f>
        <v>0</v>
      </c>
      <c r="BC208" s="170">
        <f>IF(Escenarios!$F$17&gt;0,MIN(0.0005*ETo!$M207*Escenarios!$F$17*(BG207/Constantes!$F$40)^(2/3),BG207+AY208+AZ208+BA208+BB208),0)</f>
        <v>0</v>
      </c>
      <c r="BD208" s="170">
        <f>IF(Escenarios!$F$17&gt;0,MIN(Constantes!$F$39*(BG207/Constantes!$F$40)^(2/3),BG207+AY208+AZ208+BA208+BB208-BC208),0)</f>
        <v>0</v>
      </c>
      <c r="BE208" s="170">
        <f>IF(Escenarios!$F$17&gt;0,MIN(Entradas!$F$113,BG207+AY208+AZ208+BA208+BB208-BC208-BD208),0)</f>
        <v>0</v>
      </c>
      <c r="BF208" s="170">
        <f>IF(Escenarios!$F$17&gt;0,MAX(0,BG207+AY208+AZ208+BA208+BB208-BC208-BD208-BE208-Constantes!$F$40),0)</f>
        <v>0</v>
      </c>
      <c r="BG208" s="170">
        <f t="shared" si="53"/>
        <v>0</v>
      </c>
      <c r="BH208" s="170">
        <f>(Escenarios!$F$16*AK208+0.1*BC208)/(Escenarios!$F$19)</f>
        <v>1.6776072311378718</v>
      </c>
      <c r="BI208" s="170">
        <f>IF(Escenarios!$F$17&gt;0,BF208/10/Escenarios!$F$19,AL208)</f>
        <v>0</v>
      </c>
      <c r="BJ208" s="170">
        <f>(Escenarios!$F$16*AT208+0.1*BD208)/(Escenarios!$F$19)</f>
        <v>0</v>
      </c>
      <c r="BK208" s="76">
        <f>BK207+(0.1*BD208)/(Escenarios!$F$19)-BL207</f>
        <v>48.75</v>
      </c>
      <c r="BL208" s="76">
        <f>MAX(0,(BK208-Constantes!$D$13)*(1-EXP(-Constantes!$D$23)))</f>
        <v>0</v>
      </c>
      <c r="BM208" s="76">
        <f t="shared" si="54"/>
        <v>0.40493317232857245</v>
      </c>
      <c r="BN208" s="76">
        <f t="shared" si="55"/>
        <v>0.67544369260899784</v>
      </c>
      <c r="BO208" s="76">
        <f>0.0526*BI208*Observaciones!$F207^1.218</f>
        <v>0</v>
      </c>
      <c r="BP208" s="76">
        <f>BO208*Constantes!$F$51</f>
        <v>0</v>
      </c>
      <c r="BQ208" s="76">
        <f t="shared" si="56"/>
        <v>0</v>
      </c>
      <c r="BR208" s="40"/>
    </row>
    <row r="209" spans="2:70">
      <c r="B209" s="39"/>
      <c r="C209" s="75">
        <v>203</v>
      </c>
      <c r="D209" s="146">
        <f>ETo!$I208*((1-Constantes!$F$19)*ETo!$K208+ETo!$L208)</f>
        <v>2.7427993151540031</v>
      </c>
      <c r="E209" s="76">
        <f>MIN(D209*Constantes!$F$17,0.8*(N208+Observaciones!$F208-F209-M209-Constantes!$D$14))</f>
        <v>1.5642506981943667</v>
      </c>
      <c r="F209" s="76">
        <f>IF(Observaciones!$F208&gt;0.05*Constantes!$F$18,((Observaciones!$F208-0.05*Constantes!$F$18)^2)/(Observaciones!$F208+0.95*Constantes!$F$18),0)</f>
        <v>0</v>
      </c>
      <c r="G209" s="76">
        <f>IF(Escenarios!$F$11&gt;0,(F209*Escenarios!$F$16*10000)/1000,0)</f>
        <v>0</v>
      </c>
      <c r="H209" s="76">
        <f>IF(Escenarios!$F$11&gt;0,(Observaciones!$F208*Constantes!$F$29)/1000,0)</f>
        <v>0</v>
      </c>
      <c r="I209" s="76">
        <f>IF(Escenarios!$F$11&gt;0,(D209*Constantes!$F$29)/1000,0)</f>
        <v>0</v>
      </c>
      <c r="J209" s="76">
        <f>IF(Escenarios!$F$11&gt;0,MAX(0,G209+H209-I209),0)</f>
        <v>0</v>
      </c>
      <c r="K209" s="76">
        <f>IF(Escenarios!$F$11&gt;0,IF(J209&gt;Constantes!$F$30,1000*((J209-Constantes!$F$30)/(Escenarios!$F$16*10000)),0),F209)</f>
        <v>0</v>
      </c>
      <c r="L209" s="76">
        <f>IF(Escenarios!$F$11&gt;0,I209*1000/Escenarios!$F$16/10000+E209,E209)</f>
        <v>1.5642506981943667</v>
      </c>
      <c r="M209" s="76">
        <f>MAX(0,N208+Observaciones!$F208-K209-Constantes!$D$13)</f>
        <v>0</v>
      </c>
      <c r="N209" s="76">
        <f>N208+Observaciones!$F208-K209-L209-M209-O208</f>
        <v>18.40257851950561</v>
      </c>
      <c r="O209" s="76">
        <f>MAX(0,(N209-Constantes!$D$14)*(1-EXP(-Constantes!$D$22)))</f>
        <v>0.24364308202765395</v>
      </c>
      <c r="P209" s="170">
        <f>P208+(Entradas!$F$83*M209-Q208)/(800*Entradas!$D$25)</f>
        <v>0</v>
      </c>
      <c r="Q209" s="170">
        <f>8000*Entradas!$D$26*P209/Constantes!$F$45</f>
        <v>0</v>
      </c>
      <c r="R209" s="170">
        <f>IF(Escenarios!$F$14&gt;0,K209*Escenarios!$F$13/Escenarios!$F$14,0)</f>
        <v>0</v>
      </c>
      <c r="S209" s="170">
        <f>IF(Escenarios!$F$14&gt;0,Q209*Escenarios!$F$13/Escenarios!$F$14,0)</f>
        <v>0</v>
      </c>
      <c r="T209" s="170">
        <f>IF(Escenarios!$F$14&gt;0,Observaciones!$I208,0)</f>
        <v>0</v>
      </c>
      <c r="U209" s="170">
        <f>IF(Escenarios!$F$14&gt;0,MAX(0,Constantes!$F$36/((Z208+R209+S209+T209+Observaciones!$F208)^2)+Entradas!$F$77),0)</f>
        <v>0</v>
      </c>
      <c r="V209" s="146">
        <f>IF(ETo!D208&gt;0,ETo!I208*((1-Entradas!$F$81)*ETo!K208+ETo!L208),0)</f>
        <v>2.3957121580015861</v>
      </c>
      <c r="W209" s="170">
        <f>IF(Escenarios!$F$14&gt;0,MIN(V209*1,0.8*(Z208+R209+S209+T209+Observaciones!$F208-U209-Constantes!$F$35)),0)</f>
        <v>2.3957121580015861</v>
      </c>
      <c r="X209" s="170">
        <f>IF(Escenarios!$F$14&gt;0,Observaciones!$J208,0)</f>
        <v>0</v>
      </c>
      <c r="Y209" s="170">
        <f>IF(Escenarios!$F$14&gt;0,MAX(0,Z208+R209+S209+T209+Observaciones!$F208-U209-W209-X209-Constantes!$F$33),0)</f>
        <v>0</v>
      </c>
      <c r="Z209" s="170">
        <f>Z208+R209+S209+T209+Observaciones!$F208-U209-W209-Y209</f>
        <v>46.455112446733096</v>
      </c>
      <c r="AA209" s="170">
        <f>IF(Escenarios!$F$14&gt;0,(Escenarios!$F$13*L209+Escenarios!$F$14*W209)/(Escenarios!$F$16),L209)</f>
        <v>1.6640260733712331</v>
      </c>
      <c r="AB209" s="170">
        <f>IF(Escenarios!$F$14&gt;0,(Escenarios!$F$14*Y209)/(Escenarios!$F$16),K209)</f>
        <v>0</v>
      </c>
      <c r="AC209" s="170">
        <f>IF(Escenarios!$F$14&gt;0,(Escenarios!$F$13*M209+Escenarios!$F$14*U209)/(Escenarios!$F$16),M209)</f>
        <v>0</v>
      </c>
      <c r="AD209" s="76">
        <f t="shared" si="43"/>
        <v>86.048748787242459</v>
      </c>
      <c r="AE209" s="76">
        <f>MAX(0,(AD209-Constantes!$D$13)*(1-EXP(-Constantes!$D$23)))</f>
        <v>0.36751345567052113</v>
      </c>
      <c r="AF209" s="76">
        <f>AB209+O209*Escenarios!$F$13/Escenarios!$F$16+AE209</f>
        <v>0.58191936785485665</v>
      </c>
      <c r="AG209" s="76">
        <f>IF(Entradas!$F$91&gt;0,IF(AF209-Escenarios!$F$38&lt;=0,0,IF(AF209-Escenarios!$F$38&gt;Escenarios!$F$37,Escenarios!$F$37,AF209-Escenarios!$F$38)),0)</f>
        <v>0</v>
      </c>
      <c r="AH209" s="76">
        <f>AG209*Entradas!$F$99</f>
        <v>0</v>
      </c>
      <c r="AI209" s="76">
        <f>IF(Entradas!$F$91&gt;0,D209*Entradas!$D$23/Escenarios!$F$16,0)</f>
        <v>0.13165436712739217</v>
      </c>
      <c r="AJ209" s="76">
        <f>IF(Entradas!$F$91&gt;0,Entradas!$D$24*Entradas!$D$22/Escenarios!$F$16,0)</f>
        <v>0.12</v>
      </c>
      <c r="AK209" s="76">
        <f t="shared" si="44"/>
        <v>1.7956804404986253</v>
      </c>
      <c r="AL209" s="76">
        <f t="shared" si="45"/>
        <v>0</v>
      </c>
      <c r="AM209" s="76">
        <f t="shared" si="46"/>
        <v>0</v>
      </c>
      <c r="AN209" s="76">
        <f>MAX(0,O209*Escenarios!$F$13/Escenarios!$F$16-AM209)</f>
        <v>0.21440591218433547</v>
      </c>
      <c r="AO209" s="76">
        <f>AM209+AN209-O209*Escenarios!$F$13/Escenarios!$F$16</f>
        <v>0</v>
      </c>
      <c r="AP209" s="76">
        <f t="shared" si="47"/>
        <v>0.36751345567052113</v>
      </c>
      <c r="AQ209" s="76">
        <f t="shared" si="48"/>
        <v>0</v>
      </c>
      <c r="AR209" s="76">
        <f t="shared" si="49"/>
        <v>0.58191936785485665</v>
      </c>
      <c r="AS209" s="76">
        <f t="shared" si="50"/>
        <v>0</v>
      </c>
      <c r="AT209" s="76">
        <f t="shared" si="51"/>
        <v>0</v>
      </c>
      <c r="AU209" s="76">
        <f t="shared" si="52"/>
        <v>50.925065630986438</v>
      </c>
      <c r="AV209" s="76">
        <f>MAX(0,(AU209-Constantes!$D$13)*(1-EXP(-Constantes!$D$24)))</f>
        <v>3.324641555345495E-2</v>
      </c>
      <c r="AW209" s="170">
        <f>AW208+(Entradas!$F$112*AT209-AX208)/(800*Entradas!$D$25)</f>
        <v>0</v>
      </c>
      <c r="AX209" s="170">
        <f>8000*Entradas!$D$26*AW209/Constantes!$F$45</f>
        <v>0</v>
      </c>
      <c r="AY209" s="170">
        <f>IF(Escenarios!$F$17&gt;0,10*Escenarios!$F$16*AL209,0)</f>
        <v>0</v>
      </c>
      <c r="AZ209" s="170">
        <f>IF(Escenarios!$F$17&gt;0,10*Escenarios!$F$16*AX209,0)</f>
        <v>0</v>
      </c>
      <c r="BA209" s="170">
        <f>IF(Escenarios!$F$17&gt;0,0.001*Observaciones!$F208*Escenarios!$F$17,0)</f>
        <v>0</v>
      </c>
      <c r="BB209" s="170">
        <f>IF(Escenarios!$F$17&gt;0,Observaciones!$K208,0)</f>
        <v>0</v>
      </c>
      <c r="BC209" s="170">
        <f>IF(Escenarios!$F$17&gt;0,MIN(0.0005*ETo!$M208*Escenarios!$F$17*(BG208/Constantes!$F$40)^(2/3),BG208+AY209+AZ209+BA209+BB209),0)</f>
        <v>0</v>
      </c>
      <c r="BD209" s="170">
        <f>IF(Escenarios!$F$17&gt;0,MIN(Constantes!$F$39*(BG208/Constantes!$F$40)^(2/3),BG208+AY209+AZ209+BA209+BB209-BC209),0)</f>
        <v>0</v>
      </c>
      <c r="BE209" s="170">
        <f>IF(Escenarios!$F$17&gt;0,MIN(Entradas!$F$113,BG208+AY209+AZ209+BA209+BB209-BC209-BD209),0)</f>
        <v>0</v>
      </c>
      <c r="BF209" s="170">
        <f>IF(Escenarios!$F$17&gt;0,MAX(0,BG208+AY209+AZ209+BA209+BB209-BC209-BD209-BE209-Constantes!$F$40),0)</f>
        <v>0</v>
      </c>
      <c r="BG209" s="170">
        <f t="shared" si="53"/>
        <v>0</v>
      </c>
      <c r="BH209" s="170">
        <f>(Escenarios!$F$16*AK209+0.1*BC209)/(Escenarios!$F$19)</f>
        <v>1.7956804404986253</v>
      </c>
      <c r="BI209" s="170">
        <f>IF(Escenarios!$F$17&gt;0,BF209/10/Escenarios!$F$19,AL209)</f>
        <v>0</v>
      </c>
      <c r="BJ209" s="170">
        <f>(Escenarios!$F$16*AT209+0.1*BD209)/(Escenarios!$F$19)</f>
        <v>0</v>
      </c>
      <c r="BK209" s="76">
        <f>BK208+(0.1*BD209)/(Escenarios!$F$19)-BL208</f>
        <v>48.75</v>
      </c>
      <c r="BL209" s="76">
        <f>MAX(0,(BK209-Constantes!$D$13)*(1-EXP(-Constantes!$D$23)))</f>
        <v>0</v>
      </c>
      <c r="BM209" s="76">
        <f t="shared" si="54"/>
        <v>0.40075987122397605</v>
      </c>
      <c r="BN209" s="76">
        <f t="shared" si="55"/>
        <v>0.61516578340831163</v>
      </c>
      <c r="BO209" s="76">
        <f>0.0526*BI209*Observaciones!$F208^1.218</f>
        <v>0</v>
      </c>
      <c r="BP209" s="76">
        <f>BO209*Constantes!$F$51</f>
        <v>0</v>
      </c>
      <c r="BQ209" s="76">
        <f t="shared" si="56"/>
        <v>0</v>
      </c>
      <c r="BR209" s="40"/>
    </row>
    <row r="210" spans="2:70">
      <c r="B210" s="39"/>
      <c r="C210" s="75">
        <v>204</v>
      </c>
      <c r="D210" s="146">
        <f>ETo!$I209*((1-Constantes!$F$19)*ETo!$K209+ETo!$L209)</f>
        <v>2.7169458438683529</v>
      </c>
      <c r="E210" s="76">
        <f>MIN(D210*Constantes!$F$17,0.8*(N209+Observaciones!$F209-F210-M210-Constantes!$D$14))</f>
        <v>1.5495061595451527</v>
      </c>
      <c r="F210" s="76">
        <f>IF(Observaciones!$F209&gt;0.05*Constantes!$F$18,((Observaciones!$F209-0.05*Constantes!$F$18)^2)/(Observaciones!$F209+0.95*Constantes!$F$18),0)</f>
        <v>0</v>
      </c>
      <c r="G210" s="76">
        <f>IF(Escenarios!$F$11&gt;0,(F210*Escenarios!$F$16*10000)/1000,0)</f>
        <v>0</v>
      </c>
      <c r="H210" s="76">
        <f>IF(Escenarios!$F$11&gt;0,(Observaciones!$F209*Constantes!$F$29)/1000,0)</f>
        <v>0</v>
      </c>
      <c r="I210" s="76">
        <f>IF(Escenarios!$F$11&gt;0,(D210*Constantes!$F$29)/1000,0)</f>
        <v>0</v>
      </c>
      <c r="J210" s="76">
        <f>IF(Escenarios!$F$11&gt;0,MAX(0,G210+H210-I210),0)</f>
        <v>0</v>
      </c>
      <c r="K210" s="76">
        <f>IF(Escenarios!$F$11&gt;0,IF(J210&gt;Constantes!$F$30,1000*((J210-Constantes!$F$30)/(Escenarios!$F$16*10000)),0),F210)</f>
        <v>0</v>
      </c>
      <c r="L210" s="76">
        <f>IF(Escenarios!$F$11&gt;0,I210*1000/Escenarios!$F$16/10000+E210,E210)</f>
        <v>1.5495061595451527</v>
      </c>
      <c r="M210" s="76">
        <f>MAX(0,N209+Observaciones!$F209-K210-Constantes!$D$13)</f>
        <v>0</v>
      </c>
      <c r="N210" s="76">
        <f>N209+Observaciones!$F209-K210-L210-M210-O209</f>
        <v>16.609429277932804</v>
      </c>
      <c r="O210" s="76">
        <f>MAX(0,(N210-Constantes!$D$14)*(1-EXP(-Constantes!$D$22)))</f>
        <v>0.18256183607405529</v>
      </c>
      <c r="P210" s="170">
        <f>P209+(Entradas!$F$83*M210-Q209)/(800*Entradas!$D$25)</f>
        <v>0</v>
      </c>
      <c r="Q210" s="170">
        <f>8000*Entradas!$D$26*P210/Constantes!$F$45</f>
        <v>0</v>
      </c>
      <c r="R210" s="170">
        <f>IF(Escenarios!$F$14&gt;0,K210*Escenarios!$F$13/Escenarios!$F$14,0)</f>
        <v>0</v>
      </c>
      <c r="S210" s="170">
        <f>IF(Escenarios!$F$14&gt;0,Q210*Escenarios!$F$13/Escenarios!$F$14,0)</f>
        <v>0</v>
      </c>
      <c r="T210" s="170">
        <f>IF(Escenarios!$F$14&gt;0,Observaciones!$I209,0)</f>
        <v>0</v>
      </c>
      <c r="U210" s="170">
        <f>IF(Escenarios!$F$14&gt;0,MAX(0,Constantes!$F$36/((Z209+R210+S210+T210+Observaciones!$F209)^2)+Entradas!$F$77),0)</f>
        <v>0</v>
      </c>
      <c r="V210" s="146">
        <f>IF(ETo!D209&gt;0,ETo!I209*((1-Entradas!$F$81)*ETo!K209+ETo!L209),0)</f>
        <v>2.3733977344240067</v>
      </c>
      <c r="W210" s="170">
        <f>IF(Escenarios!$F$14&gt;0,MIN(V210*1,0.8*(Z209+R210+S210+T210+Observaciones!$F209-U210-Constantes!$F$35)),0)</f>
        <v>2.3733977344240067</v>
      </c>
      <c r="X210" s="170">
        <f>IF(Escenarios!$F$14&gt;0,Observaciones!$J209,0)</f>
        <v>0</v>
      </c>
      <c r="Y210" s="170">
        <f>IF(Escenarios!$F$14&gt;0,MAX(0,Z209+R210+S210+T210+Observaciones!$F209-U210-W210-X210-Constantes!$F$33),0)</f>
        <v>0</v>
      </c>
      <c r="Z210" s="170">
        <f>Z209+R210+S210+T210+Observaciones!$F209-U210-W210-Y210</f>
        <v>44.081714712309093</v>
      </c>
      <c r="AA210" s="170">
        <f>IF(Escenarios!$F$14&gt;0,(Escenarios!$F$13*L210+Escenarios!$F$14*W210)/(Escenarios!$F$16),L210)</f>
        <v>1.6483731485306152</v>
      </c>
      <c r="AB210" s="170">
        <f>IF(Escenarios!$F$14&gt;0,(Escenarios!$F$14*Y210)/(Escenarios!$F$16),K210)</f>
        <v>0</v>
      </c>
      <c r="AC210" s="170">
        <f>IF(Escenarios!$F$14&gt;0,(Escenarios!$F$13*M210+Escenarios!$F$14*U210)/(Escenarios!$F$16),M210)</f>
        <v>0</v>
      </c>
      <c r="AD210" s="76">
        <f t="shared" si="43"/>
        <v>85.681235331571941</v>
      </c>
      <c r="AE210" s="76">
        <f>MAX(0,(AD210-Constantes!$D$13)*(1-EXP(-Constantes!$D$23)))</f>
        <v>0.36389225805691416</v>
      </c>
      <c r="AF210" s="76">
        <f>AB210+O210*Escenarios!$F$13/Escenarios!$F$16+AE210</f>
        <v>0.52454667380208275</v>
      </c>
      <c r="AG210" s="76">
        <f>IF(Entradas!$F$91&gt;0,IF(AF210-Escenarios!$F$38&lt;=0,0,IF(AF210-Escenarios!$F$38&gt;Escenarios!$F$37,Escenarios!$F$37,AF210-Escenarios!$F$38)),0)</f>
        <v>0</v>
      </c>
      <c r="AH210" s="76">
        <f>AG210*Entradas!$F$99</f>
        <v>0</v>
      </c>
      <c r="AI210" s="76">
        <f>IF(Entradas!$F$91&gt;0,D210*Entradas!$D$23/Escenarios!$F$16,0)</f>
        <v>0.13041340050568095</v>
      </c>
      <c r="AJ210" s="76">
        <f>IF(Entradas!$F$91&gt;0,Entradas!$D$24*Entradas!$D$22/Escenarios!$F$16,0)</f>
        <v>0.12</v>
      </c>
      <c r="AK210" s="76">
        <f t="shared" si="44"/>
        <v>1.7787865490362962</v>
      </c>
      <c r="AL210" s="76">
        <f t="shared" si="45"/>
        <v>0</v>
      </c>
      <c r="AM210" s="76">
        <f t="shared" si="46"/>
        <v>0</v>
      </c>
      <c r="AN210" s="76">
        <f>MAX(0,O210*Escenarios!$F$13/Escenarios!$F$16-AM210)</f>
        <v>0.16065441574516864</v>
      </c>
      <c r="AO210" s="76">
        <f>AM210+AN210-O210*Escenarios!$F$13/Escenarios!$F$16</f>
        <v>0</v>
      </c>
      <c r="AP210" s="76">
        <f t="shared" si="47"/>
        <v>0.36389225805691416</v>
      </c>
      <c r="AQ210" s="76">
        <f t="shared" si="48"/>
        <v>0</v>
      </c>
      <c r="AR210" s="76">
        <f t="shared" si="49"/>
        <v>0.52454667380208275</v>
      </c>
      <c r="AS210" s="76">
        <f t="shared" si="50"/>
        <v>0</v>
      </c>
      <c r="AT210" s="76">
        <f t="shared" si="51"/>
        <v>0</v>
      </c>
      <c r="AU210" s="76">
        <f t="shared" si="52"/>
        <v>50.891819215432982</v>
      </c>
      <c r="AV210" s="76">
        <f>MAX(0,(AU210-Constantes!$D$13)*(1-EXP(-Constantes!$D$24)))</f>
        <v>3.2738235877675798E-2</v>
      </c>
      <c r="AW210" s="170">
        <f>AW209+(Entradas!$F$112*AT210-AX209)/(800*Entradas!$D$25)</f>
        <v>0</v>
      </c>
      <c r="AX210" s="170">
        <f>8000*Entradas!$D$26*AW210/Constantes!$F$45</f>
        <v>0</v>
      </c>
      <c r="AY210" s="170">
        <f>IF(Escenarios!$F$17&gt;0,10*Escenarios!$F$16*AL210,0)</f>
        <v>0</v>
      </c>
      <c r="AZ210" s="170">
        <f>IF(Escenarios!$F$17&gt;0,10*Escenarios!$F$16*AX210,0)</f>
        <v>0</v>
      </c>
      <c r="BA210" s="170">
        <f>IF(Escenarios!$F$17&gt;0,0.001*Observaciones!$F209*Escenarios!$F$17,0)</f>
        <v>0</v>
      </c>
      <c r="BB210" s="170">
        <f>IF(Escenarios!$F$17&gt;0,Observaciones!$K209,0)</f>
        <v>0</v>
      </c>
      <c r="BC210" s="170">
        <f>IF(Escenarios!$F$17&gt;0,MIN(0.0005*ETo!$M209*Escenarios!$F$17*(BG209/Constantes!$F$40)^(2/3),BG209+AY210+AZ210+BA210+BB210),0)</f>
        <v>0</v>
      </c>
      <c r="BD210" s="170">
        <f>IF(Escenarios!$F$17&gt;0,MIN(Constantes!$F$39*(BG209/Constantes!$F$40)^(2/3),BG209+AY210+AZ210+BA210+BB210-BC210),0)</f>
        <v>0</v>
      </c>
      <c r="BE210" s="170">
        <f>IF(Escenarios!$F$17&gt;0,MIN(Entradas!$F$113,BG209+AY210+AZ210+BA210+BB210-BC210-BD210),0)</f>
        <v>0</v>
      </c>
      <c r="BF210" s="170">
        <f>IF(Escenarios!$F$17&gt;0,MAX(0,BG209+AY210+AZ210+BA210+BB210-BC210-BD210-BE210-Constantes!$F$40),0)</f>
        <v>0</v>
      </c>
      <c r="BG210" s="170">
        <f t="shared" si="53"/>
        <v>0</v>
      </c>
      <c r="BH210" s="170">
        <f>(Escenarios!$F$16*AK210+0.1*BC210)/(Escenarios!$F$19)</f>
        <v>1.7787865490362962</v>
      </c>
      <c r="BI210" s="170">
        <f>IF(Escenarios!$F$17&gt;0,BF210/10/Escenarios!$F$19,AL210)</f>
        <v>0</v>
      </c>
      <c r="BJ210" s="170">
        <f>(Escenarios!$F$16*AT210+0.1*BD210)/(Escenarios!$F$19)</f>
        <v>0</v>
      </c>
      <c r="BK210" s="76">
        <f>BK209+(0.1*BD210)/(Escenarios!$F$19)-BL209</f>
        <v>48.75</v>
      </c>
      <c r="BL210" s="76">
        <f>MAX(0,(BK210-Constantes!$D$13)*(1-EXP(-Constantes!$D$23)))</f>
        <v>0</v>
      </c>
      <c r="BM210" s="76">
        <f t="shared" si="54"/>
        <v>0.39663049393458993</v>
      </c>
      <c r="BN210" s="76">
        <f t="shared" si="55"/>
        <v>0.55728490967975852</v>
      </c>
      <c r="BO210" s="76">
        <f>0.0526*BI210*Observaciones!$F209^1.218</f>
        <v>0</v>
      </c>
      <c r="BP210" s="76">
        <f>BO210*Constantes!$F$51</f>
        <v>0</v>
      </c>
      <c r="BQ210" s="76">
        <f t="shared" si="56"/>
        <v>0</v>
      </c>
      <c r="BR210" s="40"/>
    </row>
    <row r="211" spans="2:70">
      <c r="B211" s="39"/>
      <c r="C211" s="75">
        <v>205</v>
      </c>
      <c r="D211" s="146">
        <f>ETo!$I210*((1-Constantes!$F$19)*ETo!$K210+ETo!$L210)</f>
        <v>2.7846288697632358</v>
      </c>
      <c r="E211" s="76">
        <f>MIN(D211*Constantes!$F$17,0.8*(N210+Observaciones!$F210-F211-M211-Constantes!$D$14))</f>
        <v>1.5881065850035618</v>
      </c>
      <c r="F211" s="76">
        <f>IF(Observaciones!$F210&gt;0.05*Constantes!$F$18,((Observaciones!$F210-0.05*Constantes!$F$18)^2)/(Observaciones!$F210+0.95*Constantes!$F$18),0)</f>
        <v>0</v>
      </c>
      <c r="G211" s="76">
        <f>IF(Escenarios!$F$11&gt;0,(F211*Escenarios!$F$16*10000)/1000,0)</f>
        <v>0</v>
      </c>
      <c r="H211" s="76">
        <f>IF(Escenarios!$F$11&gt;0,(Observaciones!$F210*Constantes!$F$29)/1000,0)</f>
        <v>0</v>
      </c>
      <c r="I211" s="76">
        <f>IF(Escenarios!$F$11&gt;0,(D211*Constantes!$F$29)/1000,0)</f>
        <v>0</v>
      </c>
      <c r="J211" s="76">
        <f>IF(Escenarios!$F$11&gt;0,MAX(0,G211+H211-I211),0)</f>
        <v>0</v>
      </c>
      <c r="K211" s="76">
        <f>IF(Escenarios!$F$11&gt;0,IF(J211&gt;Constantes!$F$30,1000*((J211-Constantes!$F$30)/(Escenarios!$F$16*10000)),0),F211)</f>
        <v>0</v>
      </c>
      <c r="L211" s="76">
        <f>IF(Escenarios!$F$11&gt;0,I211*1000/Escenarios!$F$16/10000+E211,E211)</f>
        <v>1.5881065850035618</v>
      </c>
      <c r="M211" s="76">
        <f>MAX(0,N210+Observaciones!$F210-K211-Constantes!$D$13)</f>
        <v>0</v>
      </c>
      <c r="N211" s="76">
        <f>N210+Observaciones!$F210-K211-L211-M211-O210</f>
        <v>14.838760856855187</v>
      </c>
      <c r="O211" s="76">
        <f>MAX(0,(N211-Constantes!$D$14)*(1-EXP(-Constantes!$D$22)))</f>
        <v>0.12224636939530434</v>
      </c>
      <c r="P211" s="170">
        <f>P210+(Entradas!$F$83*M211-Q210)/(800*Entradas!$D$25)</f>
        <v>0</v>
      </c>
      <c r="Q211" s="170">
        <f>8000*Entradas!$D$26*P211/Constantes!$F$45</f>
        <v>0</v>
      </c>
      <c r="R211" s="170">
        <f>IF(Escenarios!$F$14&gt;0,K211*Escenarios!$F$13/Escenarios!$F$14,0)</f>
        <v>0</v>
      </c>
      <c r="S211" s="170">
        <f>IF(Escenarios!$F$14&gt;0,Q211*Escenarios!$F$13/Escenarios!$F$14,0)</f>
        <v>0</v>
      </c>
      <c r="T211" s="170">
        <f>IF(Escenarios!$F$14&gt;0,Observaciones!$I210,0)</f>
        <v>0</v>
      </c>
      <c r="U211" s="170">
        <f>IF(Escenarios!$F$14&gt;0,MAX(0,Constantes!$F$36/((Z210+R211+S211+T211+Observaciones!$F210)^2)+Entradas!$F$77),0)</f>
        <v>0</v>
      </c>
      <c r="V211" s="146">
        <f>IF(ETo!D210&gt;0,ETo!I210*((1-Entradas!$F$81)*ETo!K210+ETo!L210),0)</f>
        <v>2.4335173726149204</v>
      </c>
      <c r="W211" s="170">
        <f>IF(Escenarios!$F$14&gt;0,MIN(V211*1,0.8*(Z210+R211+S211+T211+Observaciones!$F210-U211-Constantes!$F$35)),0)</f>
        <v>2.2653717698472748</v>
      </c>
      <c r="X211" s="170">
        <f>IF(Escenarios!$F$14&gt;0,Observaciones!$J210,0)</f>
        <v>0</v>
      </c>
      <c r="Y211" s="170">
        <f>IF(Escenarios!$F$14&gt;0,MAX(0,Z210+R211+S211+T211+Observaciones!$F210-U211-W211-X211-Constantes!$F$33),0)</f>
        <v>0</v>
      </c>
      <c r="Z211" s="170">
        <f>Z210+R211+S211+T211+Observaciones!$F210-U211-W211-Y211</f>
        <v>41.816342942461816</v>
      </c>
      <c r="AA211" s="170">
        <f>IF(Escenarios!$F$14&gt;0,(Escenarios!$F$13*L211+Escenarios!$F$14*W211)/(Escenarios!$F$16),L211)</f>
        <v>1.6693784071848075</v>
      </c>
      <c r="AB211" s="170">
        <f>IF(Escenarios!$F$14&gt;0,(Escenarios!$F$14*Y211)/(Escenarios!$F$16),K211)</f>
        <v>0</v>
      </c>
      <c r="AC211" s="170">
        <f>IF(Escenarios!$F$14&gt;0,(Escenarios!$F$13*M211+Escenarios!$F$14*U211)/(Escenarios!$F$16),M211)</f>
        <v>0</v>
      </c>
      <c r="AD211" s="76">
        <f t="shared" si="43"/>
        <v>85.317343073515033</v>
      </c>
      <c r="AE211" s="76">
        <f>MAX(0,(AD211-Constantes!$D$13)*(1-EXP(-Constantes!$D$23)))</f>
        <v>0.36030674096589621</v>
      </c>
      <c r="AF211" s="76">
        <f>AB211+O211*Escenarios!$F$13/Escenarios!$F$16+AE211</f>
        <v>0.46788354603376403</v>
      </c>
      <c r="AG211" s="76">
        <f>IF(Entradas!$F$91&gt;0,IF(AF211-Escenarios!$F$38&lt;=0,0,IF(AF211-Escenarios!$F$38&gt;Escenarios!$F$37,Escenarios!$F$37,AF211-Escenarios!$F$38)),0)</f>
        <v>0</v>
      </c>
      <c r="AH211" s="76">
        <f>AG211*Entradas!$F$99</f>
        <v>0</v>
      </c>
      <c r="AI211" s="76">
        <f>IF(Entradas!$F$91&gt;0,D211*Entradas!$D$23/Escenarios!$F$16,0)</f>
        <v>0.13366218574863534</v>
      </c>
      <c r="AJ211" s="76">
        <f>IF(Entradas!$F$91&gt;0,Entradas!$D$24*Entradas!$D$22/Escenarios!$F$16,0)</f>
        <v>0.12</v>
      </c>
      <c r="AK211" s="76">
        <f t="shared" si="44"/>
        <v>1.8030405929334428</v>
      </c>
      <c r="AL211" s="76">
        <f t="shared" si="45"/>
        <v>0</v>
      </c>
      <c r="AM211" s="76">
        <f t="shared" si="46"/>
        <v>0</v>
      </c>
      <c r="AN211" s="76">
        <f>MAX(0,O211*Escenarios!$F$13/Escenarios!$F$16-AM211)</f>
        <v>0.10757680506786782</v>
      </c>
      <c r="AO211" s="76">
        <f>AM211+AN211-O211*Escenarios!$F$13/Escenarios!$F$16</f>
        <v>0</v>
      </c>
      <c r="AP211" s="76">
        <f t="shared" si="47"/>
        <v>0.36030674096589621</v>
      </c>
      <c r="AQ211" s="76">
        <f t="shared" si="48"/>
        <v>0</v>
      </c>
      <c r="AR211" s="76">
        <f t="shared" si="49"/>
        <v>0.46788354603376403</v>
      </c>
      <c r="AS211" s="76">
        <f t="shared" si="50"/>
        <v>0</v>
      </c>
      <c r="AT211" s="76">
        <f t="shared" si="51"/>
        <v>0</v>
      </c>
      <c r="AU211" s="76">
        <f t="shared" si="52"/>
        <v>50.859080979555308</v>
      </c>
      <c r="AV211" s="76">
        <f>MAX(0,(AU211-Constantes!$D$13)*(1-EXP(-Constantes!$D$24)))</f>
        <v>3.2237823853794693E-2</v>
      </c>
      <c r="AW211" s="170">
        <f>AW210+(Entradas!$F$112*AT211-AX210)/(800*Entradas!$D$25)</f>
        <v>0</v>
      </c>
      <c r="AX211" s="170">
        <f>8000*Entradas!$D$26*AW211/Constantes!$F$45</f>
        <v>0</v>
      </c>
      <c r="AY211" s="170">
        <f>IF(Escenarios!$F$17&gt;0,10*Escenarios!$F$16*AL211,0)</f>
        <v>0</v>
      </c>
      <c r="AZ211" s="170">
        <f>IF(Escenarios!$F$17&gt;0,10*Escenarios!$F$16*AX211,0)</f>
        <v>0</v>
      </c>
      <c r="BA211" s="170">
        <f>IF(Escenarios!$F$17&gt;0,0.001*Observaciones!$F210*Escenarios!$F$17,0)</f>
        <v>0</v>
      </c>
      <c r="BB211" s="170">
        <f>IF(Escenarios!$F$17&gt;0,Observaciones!$K210,0)</f>
        <v>0</v>
      </c>
      <c r="BC211" s="170">
        <f>IF(Escenarios!$F$17&gt;0,MIN(0.0005*ETo!$M210*Escenarios!$F$17*(BG210/Constantes!$F$40)^(2/3),BG210+AY211+AZ211+BA211+BB211),0)</f>
        <v>0</v>
      </c>
      <c r="BD211" s="170">
        <f>IF(Escenarios!$F$17&gt;0,MIN(Constantes!$F$39*(BG210/Constantes!$F$40)^(2/3),BG210+AY211+AZ211+BA211+BB211-BC211),0)</f>
        <v>0</v>
      </c>
      <c r="BE211" s="170">
        <f>IF(Escenarios!$F$17&gt;0,MIN(Entradas!$F$113,BG210+AY211+AZ211+BA211+BB211-BC211-BD211),0)</f>
        <v>0</v>
      </c>
      <c r="BF211" s="170">
        <f>IF(Escenarios!$F$17&gt;0,MAX(0,BG210+AY211+AZ211+BA211+BB211-BC211-BD211-BE211-Constantes!$F$40),0)</f>
        <v>0</v>
      </c>
      <c r="BG211" s="170">
        <f t="shared" si="53"/>
        <v>0</v>
      </c>
      <c r="BH211" s="170">
        <f>(Escenarios!$F$16*AK211+0.1*BC211)/(Escenarios!$F$19)</f>
        <v>1.8030405929334428</v>
      </c>
      <c r="BI211" s="170">
        <f>IF(Escenarios!$F$17&gt;0,BF211/10/Escenarios!$F$19,AL211)</f>
        <v>0</v>
      </c>
      <c r="BJ211" s="170">
        <f>(Escenarios!$F$16*AT211+0.1*BD211)/(Escenarios!$F$19)</f>
        <v>0</v>
      </c>
      <c r="BK211" s="76">
        <f>BK210+(0.1*BD211)/(Escenarios!$F$19)-BL210</f>
        <v>48.75</v>
      </c>
      <c r="BL211" s="76">
        <f>MAX(0,(BK211-Constantes!$D$13)*(1-EXP(-Constantes!$D$23)))</f>
        <v>0</v>
      </c>
      <c r="BM211" s="76">
        <f t="shared" si="54"/>
        <v>0.39254456481969091</v>
      </c>
      <c r="BN211" s="76">
        <f t="shared" si="55"/>
        <v>0.50012136988755873</v>
      </c>
      <c r="BO211" s="76">
        <f>0.0526*BI211*Observaciones!$F210^1.218</f>
        <v>0</v>
      </c>
      <c r="BP211" s="76">
        <f>BO211*Constantes!$F$51</f>
        <v>0</v>
      </c>
      <c r="BQ211" s="76">
        <f t="shared" si="56"/>
        <v>0</v>
      </c>
      <c r="BR211" s="40"/>
    </row>
    <row r="212" spans="2:70">
      <c r="B212" s="39"/>
      <c r="C212" s="75">
        <v>206</v>
      </c>
      <c r="D212" s="146">
        <f>ETo!$I211*((1-Constantes!$F$19)*ETo!$K211+ETo!$L211)</f>
        <v>2.7980003746865227</v>
      </c>
      <c r="E212" s="76">
        <f>MIN(D212*Constantes!$F$17,0.8*(N211+Observaciones!$F211-F212-M212-Constantes!$D$14))</f>
        <v>1.5957325114782397</v>
      </c>
      <c r="F212" s="76">
        <f>IF(Observaciones!$F211&gt;0.05*Constantes!$F$18,((Observaciones!$F211-0.05*Constantes!$F$18)^2)/(Observaciones!$F211+0.95*Constantes!$F$18),0)</f>
        <v>0</v>
      </c>
      <c r="G212" s="76">
        <f>IF(Escenarios!$F$11&gt;0,(F212*Escenarios!$F$16*10000)/1000,0)</f>
        <v>0</v>
      </c>
      <c r="H212" s="76">
        <f>IF(Escenarios!$F$11&gt;0,(Observaciones!$F211*Constantes!$F$29)/1000,0)</f>
        <v>0</v>
      </c>
      <c r="I212" s="76">
        <f>IF(Escenarios!$F$11&gt;0,(D212*Constantes!$F$29)/1000,0)</f>
        <v>0</v>
      </c>
      <c r="J212" s="76">
        <f>IF(Escenarios!$F$11&gt;0,MAX(0,G212+H212-I212),0)</f>
        <v>0</v>
      </c>
      <c r="K212" s="76">
        <f>IF(Escenarios!$F$11&gt;0,IF(J212&gt;Constantes!$F$30,1000*((J212-Constantes!$F$30)/(Escenarios!$F$16*10000)),0),F212)</f>
        <v>0</v>
      </c>
      <c r="L212" s="76">
        <f>IF(Escenarios!$F$11&gt;0,I212*1000/Escenarios!$F$16/10000+E212,E212)</f>
        <v>1.5957325114782397</v>
      </c>
      <c r="M212" s="76">
        <f>MAX(0,N211+Observaciones!$F211-K212-Constantes!$D$13)</f>
        <v>0</v>
      </c>
      <c r="N212" s="76">
        <f>N211+Observaciones!$F211-K212-L212-M212-O211</f>
        <v>13.120781975981643</v>
      </c>
      <c r="O212" s="76">
        <f>MAX(0,(N212-Constantes!$D$14)*(1-EXP(-Constantes!$D$22)))</f>
        <v>6.3725701883166092E-2</v>
      </c>
      <c r="P212" s="170">
        <f>P211+(Entradas!$F$83*M212-Q211)/(800*Entradas!$D$25)</f>
        <v>0</v>
      </c>
      <c r="Q212" s="170">
        <f>8000*Entradas!$D$26*P212/Constantes!$F$45</f>
        <v>0</v>
      </c>
      <c r="R212" s="170">
        <f>IF(Escenarios!$F$14&gt;0,K212*Escenarios!$F$13/Escenarios!$F$14,0)</f>
        <v>0</v>
      </c>
      <c r="S212" s="170">
        <f>IF(Escenarios!$F$14&gt;0,Q212*Escenarios!$F$13/Escenarios!$F$14,0)</f>
        <v>0</v>
      </c>
      <c r="T212" s="170">
        <f>IF(Escenarios!$F$14&gt;0,Observaciones!$I211,0)</f>
        <v>0</v>
      </c>
      <c r="U212" s="170">
        <f>IF(Escenarios!$F$14&gt;0,MAX(0,Constantes!$F$36/((Z211+R212+S212+T212+Observaciones!$F211)^2)+Entradas!$F$77),0)</f>
        <v>0</v>
      </c>
      <c r="V212" s="146">
        <f>IF(ETo!D211&gt;0,ETo!I211*((1-Entradas!$F$81)*ETo!K211+ETo!L211),0)</f>
        <v>2.4457819953374944</v>
      </c>
      <c r="W212" s="170">
        <f>IF(Escenarios!$F$14&gt;0,MIN(V212*1,0.8*(Z211+R212+S212+T212+Observaciones!$F211-U212-Constantes!$F$35)),0)</f>
        <v>0.45307435396945267</v>
      </c>
      <c r="X212" s="170">
        <f>IF(Escenarios!$F$14&gt;0,Observaciones!$J211,0)</f>
        <v>0</v>
      </c>
      <c r="Y212" s="170">
        <f>IF(Escenarios!$F$14&gt;0,MAX(0,Z211+R212+S212+T212+Observaciones!$F211-U212-W212-X212-Constantes!$F$33),0)</f>
        <v>0</v>
      </c>
      <c r="Z212" s="170">
        <f>Z211+R212+S212+T212+Observaciones!$F211-U212-W212-Y212</f>
        <v>41.36326858849236</v>
      </c>
      <c r="AA212" s="170">
        <f>IF(Escenarios!$F$14&gt;0,(Escenarios!$F$13*L212+Escenarios!$F$14*W212)/(Escenarios!$F$16),L212)</f>
        <v>1.4586135325771852</v>
      </c>
      <c r="AB212" s="170">
        <f>IF(Escenarios!$F$14&gt;0,(Escenarios!$F$14*Y212)/(Escenarios!$F$16),K212)</f>
        <v>0</v>
      </c>
      <c r="AC212" s="170">
        <f>IF(Escenarios!$F$14&gt;0,(Escenarios!$F$13*M212+Escenarios!$F$14*U212)/(Escenarios!$F$16),M212)</f>
        <v>0</v>
      </c>
      <c r="AD212" s="76">
        <f t="shared" si="43"/>
        <v>84.957036332549137</v>
      </c>
      <c r="AE212" s="76">
        <f>MAX(0,(AD212-Constantes!$D$13)*(1-EXP(-Constantes!$D$23)))</f>
        <v>0.35675655282877966</v>
      </c>
      <c r="AF212" s="76">
        <f>AB212+O212*Escenarios!$F$13/Escenarios!$F$16+AE212</f>
        <v>0.4128351704859658</v>
      </c>
      <c r="AG212" s="76">
        <f>IF(Entradas!$F$91&gt;0,IF(AF212-Escenarios!$F$38&lt;=0,0,IF(AF212-Escenarios!$F$38&gt;Escenarios!$F$37,Escenarios!$F$37,AF212-Escenarios!$F$38)),0)</f>
        <v>0</v>
      </c>
      <c r="AH212" s="76">
        <f>AG212*Entradas!$F$99</f>
        <v>0</v>
      </c>
      <c r="AI212" s="76">
        <f>IF(Entradas!$F$91&gt;0,D212*Entradas!$D$23/Escenarios!$F$16,0)</f>
        <v>0.13430401798495309</v>
      </c>
      <c r="AJ212" s="76">
        <f>IF(Entradas!$F$91&gt;0,Entradas!$D$24*Entradas!$D$22/Escenarios!$F$16,0)</f>
        <v>0.12</v>
      </c>
      <c r="AK212" s="76">
        <f t="shared" si="44"/>
        <v>1.5929175505621382</v>
      </c>
      <c r="AL212" s="76">
        <f t="shared" si="45"/>
        <v>0</v>
      </c>
      <c r="AM212" s="76">
        <f t="shared" si="46"/>
        <v>0</v>
      </c>
      <c r="AN212" s="76">
        <f>MAX(0,O212*Escenarios!$F$13/Escenarios!$F$16-AM212)</f>
        <v>5.6078617657186157E-2</v>
      </c>
      <c r="AO212" s="76">
        <f>AM212+AN212-O212*Escenarios!$F$13/Escenarios!$F$16</f>
        <v>0</v>
      </c>
      <c r="AP212" s="76">
        <f t="shared" si="47"/>
        <v>0.35675655282877966</v>
      </c>
      <c r="AQ212" s="76">
        <f t="shared" si="48"/>
        <v>0</v>
      </c>
      <c r="AR212" s="76">
        <f t="shared" si="49"/>
        <v>0.4128351704859658</v>
      </c>
      <c r="AS212" s="76">
        <f t="shared" si="50"/>
        <v>0</v>
      </c>
      <c r="AT212" s="76">
        <f t="shared" si="51"/>
        <v>0</v>
      </c>
      <c r="AU212" s="76">
        <f t="shared" si="52"/>
        <v>50.826843155701511</v>
      </c>
      <c r="AV212" s="76">
        <f>MAX(0,(AU212-Constantes!$D$13)*(1-EXP(-Constantes!$D$24)))</f>
        <v>3.1745060751333105E-2</v>
      </c>
      <c r="AW212" s="170">
        <f>AW211+(Entradas!$F$112*AT212-AX211)/(800*Entradas!$D$25)</f>
        <v>0</v>
      </c>
      <c r="AX212" s="170">
        <f>8000*Entradas!$D$26*AW212/Constantes!$F$45</f>
        <v>0</v>
      </c>
      <c r="AY212" s="170">
        <f>IF(Escenarios!$F$17&gt;0,10*Escenarios!$F$16*AL212,0)</f>
        <v>0</v>
      </c>
      <c r="AZ212" s="170">
        <f>IF(Escenarios!$F$17&gt;0,10*Escenarios!$F$16*AX212,0)</f>
        <v>0</v>
      </c>
      <c r="BA212" s="170">
        <f>IF(Escenarios!$F$17&gt;0,0.001*Observaciones!$F211*Escenarios!$F$17,0)</f>
        <v>0</v>
      </c>
      <c r="BB212" s="170">
        <f>IF(Escenarios!$F$17&gt;0,Observaciones!$K211,0)</f>
        <v>0</v>
      </c>
      <c r="BC212" s="170">
        <f>IF(Escenarios!$F$17&gt;0,MIN(0.0005*ETo!$M211*Escenarios!$F$17*(BG211/Constantes!$F$40)^(2/3),BG211+AY212+AZ212+BA212+BB212),0)</f>
        <v>0</v>
      </c>
      <c r="BD212" s="170">
        <f>IF(Escenarios!$F$17&gt;0,MIN(Constantes!$F$39*(BG211/Constantes!$F$40)^(2/3),BG211+AY212+AZ212+BA212+BB212-BC212),0)</f>
        <v>0</v>
      </c>
      <c r="BE212" s="170">
        <f>IF(Escenarios!$F$17&gt;0,MIN(Entradas!$F$113,BG211+AY212+AZ212+BA212+BB212-BC212-BD212),0)</f>
        <v>0</v>
      </c>
      <c r="BF212" s="170">
        <f>IF(Escenarios!$F$17&gt;0,MAX(0,BG211+AY212+AZ212+BA212+BB212-BC212-BD212-BE212-Constantes!$F$40),0)</f>
        <v>0</v>
      </c>
      <c r="BG212" s="170">
        <f t="shared" si="53"/>
        <v>0</v>
      </c>
      <c r="BH212" s="170">
        <f>(Escenarios!$F$16*AK212+0.1*BC212)/(Escenarios!$F$19)</f>
        <v>1.5929175505621382</v>
      </c>
      <c r="BI212" s="170">
        <f>IF(Escenarios!$F$17&gt;0,BF212/10/Escenarios!$F$19,AL212)</f>
        <v>0</v>
      </c>
      <c r="BJ212" s="170">
        <f>(Escenarios!$F$16*AT212+0.1*BD212)/(Escenarios!$F$19)</f>
        <v>0</v>
      </c>
      <c r="BK212" s="76">
        <f>BK211+(0.1*BD212)/(Escenarios!$F$19)-BL211</f>
        <v>48.75</v>
      </c>
      <c r="BL212" s="76">
        <f>MAX(0,(BK212-Constantes!$D$13)*(1-EXP(-Constantes!$D$23)))</f>
        <v>0</v>
      </c>
      <c r="BM212" s="76">
        <f t="shared" si="54"/>
        <v>0.38850161358011276</v>
      </c>
      <c r="BN212" s="76">
        <f t="shared" si="55"/>
        <v>0.4445802312372989</v>
      </c>
      <c r="BO212" s="76">
        <f>0.0526*BI212*Observaciones!$F211^1.218</f>
        <v>0</v>
      </c>
      <c r="BP212" s="76">
        <f>BO212*Constantes!$F$51</f>
        <v>0</v>
      </c>
      <c r="BQ212" s="76">
        <f t="shared" si="56"/>
        <v>0</v>
      </c>
      <c r="BR212" s="40"/>
    </row>
    <row r="213" spans="2:70">
      <c r="B213" s="39"/>
      <c r="C213" s="75">
        <v>207</v>
      </c>
      <c r="D213" s="146">
        <f>ETo!$I212*((1-Constantes!$F$19)*ETo!$K212+ETo!$L212)</f>
        <v>2.7335824752988058</v>
      </c>
      <c r="E213" s="76">
        <f>MIN(D213*Constantes!$F$17,0.8*(N212+Observaciones!$F212-F213-M213-Constantes!$D$14))</f>
        <v>1.4966255807853146</v>
      </c>
      <c r="F213" s="76">
        <f>IF(Observaciones!$F212&gt;0.05*Constantes!$F$18,((Observaciones!$F212-0.05*Constantes!$F$18)^2)/(Observaciones!$F212+0.95*Constantes!$F$18),0)</f>
        <v>0</v>
      </c>
      <c r="G213" s="76">
        <f>IF(Escenarios!$F$11&gt;0,(F213*Escenarios!$F$16*10000)/1000,0)</f>
        <v>0</v>
      </c>
      <c r="H213" s="76">
        <f>IF(Escenarios!$F$11&gt;0,(Observaciones!$F212*Constantes!$F$29)/1000,0)</f>
        <v>0</v>
      </c>
      <c r="I213" s="76">
        <f>IF(Escenarios!$F$11&gt;0,(D213*Constantes!$F$29)/1000,0)</f>
        <v>0</v>
      </c>
      <c r="J213" s="76">
        <f>IF(Escenarios!$F$11&gt;0,MAX(0,G213+H213-I213),0)</f>
        <v>0</v>
      </c>
      <c r="K213" s="76">
        <f>IF(Escenarios!$F$11&gt;0,IF(J213&gt;Constantes!$F$30,1000*((J213-Constantes!$F$30)/(Escenarios!$F$16*10000)),0),F213)</f>
        <v>0</v>
      </c>
      <c r="L213" s="76">
        <f>IF(Escenarios!$F$11&gt;0,I213*1000/Escenarios!$F$16/10000+E213,E213)</f>
        <v>1.4966255807853146</v>
      </c>
      <c r="M213" s="76">
        <f>MAX(0,N212+Observaciones!$F212-K213-Constantes!$D$13)</f>
        <v>0</v>
      </c>
      <c r="N213" s="76">
        <f>N212+Observaciones!$F212-K213-L213-M213-O212</f>
        <v>11.560430693313162</v>
      </c>
      <c r="O213" s="76">
        <f>MAX(0,(N213-Constantes!$D$14)*(1-EXP(-Constantes!$D$22)))</f>
        <v>1.0574409028651675E-2</v>
      </c>
      <c r="P213" s="170">
        <f>P212+(Entradas!$F$83*M213-Q212)/(800*Entradas!$D$25)</f>
        <v>0</v>
      </c>
      <c r="Q213" s="170">
        <f>8000*Entradas!$D$26*P213/Constantes!$F$45</f>
        <v>0</v>
      </c>
      <c r="R213" s="170">
        <f>IF(Escenarios!$F$14&gt;0,K213*Escenarios!$F$13/Escenarios!$F$14,0)</f>
        <v>0</v>
      </c>
      <c r="S213" s="170">
        <f>IF(Escenarios!$F$14&gt;0,Q213*Escenarios!$F$13/Escenarios!$F$14,0)</f>
        <v>0</v>
      </c>
      <c r="T213" s="170">
        <f>IF(Escenarios!$F$14&gt;0,Observaciones!$I212,0)</f>
        <v>0</v>
      </c>
      <c r="U213" s="170">
        <f>IF(Escenarios!$F$14&gt;0,MAX(0,Constantes!$F$36/((Z212+R213+S213+T213+Observaciones!$F212)^2)+Entradas!$F$77),0)</f>
        <v>0</v>
      </c>
      <c r="V213" s="146">
        <f>IF(ETo!D212&gt;0,ETo!I212*((1-Entradas!$F$81)*ETo!K212+ETo!L212),0)</f>
        <v>2.389505672463013</v>
      </c>
      <c r="W213" s="170">
        <f>IF(Escenarios!$F$14&gt;0,MIN(V213*1,0.8*(Z212+R213+S213+T213+Observaciones!$F212-U213-Constantes!$F$35)),0)</f>
        <v>9.0614870793888261E-2</v>
      </c>
      <c r="X213" s="170">
        <f>IF(Escenarios!$F$14&gt;0,Observaciones!$J212,0)</f>
        <v>0</v>
      </c>
      <c r="Y213" s="170">
        <f>IF(Escenarios!$F$14&gt;0,MAX(0,Z212+R213+S213+T213+Observaciones!$F212-U213-W213-X213-Constantes!$F$33),0)</f>
        <v>0</v>
      </c>
      <c r="Z213" s="170">
        <f>Z212+R213+S213+T213+Observaciones!$F212-U213-W213-Y213</f>
        <v>41.272653717698475</v>
      </c>
      <c r="AA213" s="170">
        <f>IF(Escenarios!$F$14&gt;0,(Escenarios!$F$13*L213+Escenarios!$F$14*W213)/(Escenarios!$F$16),L213)</f>
        <v>1.3279042955863436</v>
      </c>
      <c r="AB213" s="170">
        <f>IF(Escenarios!$F$14&gt;0,(Escenarios!$F$14*Y213)/(Escenarios!$F$16),K213)</f>
        <v>0</v>
      </c>
      <c r="AC213" s="170">
        <f>IF(Escenarios!$F$14&gt;0,(Escenarios!$F$13*M213+Escenarios!$F$14*U213)/(Escenarios!$F$16),M213)</f>
        <v>0</v>
      </c>
      <c r="AD213" s="76">
        <f t="shared" si="43"/>
        <v>84.600279779720353</v>
      </c>
      <c r="AE213" s="76">
        <f>MAX(0,(AD213-Constantes!$D$13)*(1-EXP(-Constantes!$D$23)))</f>
        <v>0.35324134554096698</v>
      </c>
      <c r="AF213" s="76">
        <f>AB213+O213*Escenarios!$F$13/Escenarios!$F$16+AE213</f>
        <v>0.36254682548618045</v>
      </c>
      <c r="AG213" s="76">
        <f>IF(Entradas!$F$91&gt;0,IF(AF213-Escenarios!$F$38&lt;=0,0,IF(AF213-Escenarios!$F$38&gt;Escenarios!$F$37,Escenarios!$F$37,AF213-Escenarios!$F$38)),0)</f>
        <v>0</v>
      </c>
      <c r="AH213" s="76">
        <f>AG213*Entradas!$F$99</f>
        <v>0</v>
      </c>
      <c r="AI213" s="76">
        <f>IF(Entradas!$F$91&gt;0,D213*Entradas!$D$23/Escenarios!$F$16,0)</f>
        <v>0.13121195881434267</v>
      </c>
      <c r="AJ213" s="76">
        <f>IF(Entradas!$F$91&gt;0,Entradas!$D$24*Entradas!$D$22/Escenarios!$F$16,0)</f>
        <v>0.12</v>
      </c>
      <c r="AK213" s="76">
        <f t="shared" si="44"/>
        <v>1.4591162544006862</v>
      </c>
      <c r="AL213" s="76">
        <f t="shared" si="45"/>
        <v>0</v>
      </c>
      <c r="AM213" s="76">
        <f t="shared" si="46"/>
        <v>0</v>
      </c>
      <c r="AN213" s="76">
        <f>MAX(0,O213*Escenarios!$F$13/Escenarios!$F$16-AM213)</f>
        <v>9.3054799452134736E-3</v>
      </c>
      <c r="AO213" s="76">
        <f>AM213+AN213-O213*Escenarios!$F$13/Escenarios!$F$16</f>
        <v>0</v>
      </c>
      <c r="AP213" s="76">
        <f t="shared" si="47"/>
        <v>0.35324134554096698</v>
      </c>
      <c r="AQ213" s="76">
        <f t="shared" si="48"/>
        <v>0</v>
      </c>
      <c r="AR213" s="76">
        <f t="shared" si="49"/>
        <v>0.36254682548618045</v>
      </c>
      <c r="AS213" s="76">
        <f t="shared" si="50"/>
        <v>0</v>
      </c>
      <c r="AT213" s="76">
        <f t="shared" si="51"/>
        <v>0</v>
      </c>
      <c r="AU213" s="76">
        <f t="shared" si="52"/>
        <v>50.795098094950177</v>
      </c>
      <c r="AV213" s="76">
        <f>MAX(0,(AU213-Constantes!$D$13)*(1-EXP(-Constantes!$D$24)))</f>
        <v>3.1259829654637486E-2</v>
      </c>
      <c r="AW213" s="170">
        <f>AW212+(Entradas!$F$112*AT213-AX212)/(800*Entradas!$D$25)</f>
        <v>0</v>
      </c>
      <c r="AX213" s="170">
        <f>8000*Entradas!$D$26*AW213/Constantes!$F$45</f>
        <v>0</v>
      </c>
      <c r="AY213" s="170">
        <f>IF(Escenarios!$F$17&gt;0,10*Escenarios!$F$16*AL213,0)</f>
        <v>0</v>
      </c>
      <c r="AZ213" s="170">
        <f>IF(Escenarios!$F$17&gt;0,10*Escenarios!$F$16*AX213,0)</f>
        <v>0</v>
      </c>
      <c r="BA213" s="170">
        <f>IF(Escenarios!$F$17&gt;0,0.001*Observaciones!$F212*Escenarios!$F$17,0)</f>
        <v>0</v>
      </c>
      <c r="BB213" s="170">
        <f>IF(Escenarios!$F$17&gt;0,Observaciones!$K212,0)</f>
        <v>0</v>
      </c>
      <c r="BC213" s="170">
        <f>IF(Escenarios!$F$17&gt;0,MIN(0.0005*ETo!$M212*Escenarios!$F$17*(BG212/Constantes!$F$40)^(2/3),BG212+AY213+AZ213+BA213+BB213),0)</f>
        <v>0</v>
      </c>
      <c r="BD213" s="170">
        <f>IF(Escenarios!$F$17&gt;0,MIN(Constantes!$F$39*(BG212/Constantes!$F$40)^(2/3),BG212+AY213+AZ213+BA213+BB213-BC213),0)</f>
        <v>0</v>
      </c>
      <c r="BE213" s="170">
        <f>IF(Escenarios!$F$17&gt;0,MIN(Entradas!$F$113,BG212+AY213+AZ213+BA213+BB213-BC213-BD213),0)</f>
        <v>0</v>
      </c>
      <c r="BF213" s="170">
        <f>IF(Escenarios!$F$17&gt;0,MAX(0,BG212+AY213+AZ213+BA213+BB213-BC213-BD213-BE213-Constantes!$F$40),0)</f>
        <v>0</v>
      </c>
      <c r="BG213" s="170">
        <f t="shared" si="53"/>
        <v>0</v>
      </c>
      <c r="BH213" s="170">
        <f>(Escenarios!$F$16*AK213+0.1*BC213)/(Escenarios!$F$19)</f>
        <v>1.4591162544006862</v>
      </c>
      <c r="BI213" s="170">
        <f>IF(Escenarios!$F$17&gt;0,BF213/10/Escenarios!$F$19,AL213)</f>
        <v>0</v>
      </c>
      <c r="BJ213" s="170">
        <f>(Escenarios!$F$16*AT213+0.1*BD213)/(Escenarios!$F$19)</f>
        <v>0</v>
      </c>
      <c r="BK213" s="76">
        <f>BK212+(0.1*BD213)/(Escenarios!$F$19)-BL212</f>
        <v>48.75</v>
      </c>
      <c r="BL213" s="76">
        <f>MAX(0,(BK213-Constantes!$D$13)*(1-EXP(-Constantes!$D$23)))</f>
        <v>0</v>
      </c>
      <c r="BM213" s="76">
        <f t="shared" si="54"/>
        <v>0.38450117519560445</v>
      </c>
      <c r="BN213" s="76">
        <f t="shared" si="55"/>
        <v>0.39380665514081792</v>
      </c>
      <c r="BO213" s="76">
        <f>0.0526*BI213*Observaciones!$F212^1.218</f>
        <v>0</v>
      </c>
      <c r="BP213" s="76">
        <f>BO213*Constantes!$F$51</f>
        <v>0</v>
      </c>
      <c r="BQ213" s="76">
        <f t="shared" si="56"/>
        <v>0</v>
      </c>
      <c r="BR213" s="40"/>
    </row>
    <row r="214" spans="2:70">
      <c r="B214" s="39"/>
      <c r="C214" s="75">
        <v>208</v>
      </c>
      <c r="D214" s="146">
        <f>ETo!$I213*((1-Constantes!$F$19)*ETo!$K213+ETo!$L213)</f>
        <v>2.7406607837998198</v>
      </c>
      <c r="E214" s="76">
        <f>MIN(D214*Constantes!$F$17,0.8*(N213+Observaciones!$F213-F214-M214-Constantes!$D$14))</f>
        <v>0.2483445546505294</v>
      </c>
      <c r="F214" s="76">
        <f>IF(Observaciones!$F213&gt;0.05*Constantes!$F$18,((Observaciones!$F213-0.05*Constantes!$F$18)^2)/(Observaciones!$F213+0.95*Constantes!$F$18),0)</f>
        <v>0</v>
      </c>
      <c r="G214" s="76">
        <f>IF(Escenarios!$F$11&gt;0,(F214*Escenarios!$F$16*10000)/1000,0)</f>
        <v>0</v>
      </c>
      <c r="H214" s="76">
        <f>IF(Escenarios!$F$11&gt;0,(Observaciones!$F213*Constantes!$F$29)/1000,0)</f>
        <v>0</v>
      </c>
      <c r="I214" s="76">
        <f>IF(Escenarios!$F$11&gt;0,(D214*Constantes!$F$29)/1000,0)</f>
        <v>0</v>
      </c>
      <c r="J214" s="76">
        <f>IF(Escenarios!$F$11&gt;0,MAX(0,G214+H214-I214),0)</f>
        <v>0</v>
      </c>
      <c r="K214" s="76">
        <f>IF(Escenarios!$F$11&gt;0,IF(J214&gt;Constantes!$F$30,1000*((J214-Constantes!$F$30)/(Escenarios!$F$16*10000)),0),F214)</f>
        <v>0</v>
      </c>
      <c r="L214" s="76">
        <f>IF(Escenarios!$F$11&gt;0,I214*1000/Escenarios!$F$16/10000+E214,E214)</f>
        <v>0.2483445546505294</v>
      </c>
      <c r="M214" s="76">
        <f>MAX(0,N213+Observaciones!$F213-K214-Constantes!$D$13)</f>
        <v>0</v>
      </c>
      <c r="N214" s="76">
        <f>N213+Observaciones!$F213-K214-L214-M214-O213</f>
        <v>11.301511729633981</v>
      </c>
      <c r="O214" s="76">
        <f>MAX(0,(N214-Constantes!$D$14)*(1-EXP(-Constantes!$D$22)))</f>
        <v>1.7546786147642232E-3</v>
      </c>
      <c r="P214" s="170">
        <f>P213+(Entradas!$F$83*M214-Q213)/(800*Entradas!$D$25)</f>
        <v>0</v>
      </c>
      <c r="Q214" s="170">
        <f>8000*Entradas!$D$26*P214/Constantes!$F$45</f>
        <v>0</v>
      </c>
      <c r="R214" s="170">
        <f>IF(Escenarios!$F$14&gt;0,K214*Escenarios!$F$13/Escenarios!$F$14,0)</f>
        <v>0</v>
      </c>
      <c r="S214" s="170">
        <f>IF(Escenarios!$F$14&gt;0,Q214*Escenarios!$F$13/Escenarios!$F$14,0)</f>
        <v>0</v>
      </c>
      <c r="T214" s="170">
        <f>IF(Escenarios!$F$14&gt;0,Observaciones!$I213,0)</f>
        <v>0</v>
      </c>
      <c r="U214" s="170">
        <f>IF(Escenarios!$F$14&gt;0,MAX(0,Constantes!$F$36/((Z213+R214+S214+T214+Observaciones!$F213)^2)+Entradas!$F$77),0)</f>
        <v>0</v>
      </c>
      <c r="V214" s="146">
        <f>IF(ETo!D213&gt;0,ETo!I213*((1-Entradas!$F$81)*ETo!K213+ETo!L213),0)</f>
        <v>2.3962447740621395</v>
      </c>
      <c r="W214" s="170">
        <f>IF(Escenarios!$F$14&gt;0,MIN(V214*1,0.8*(Z213+R214+S214+T214+Observaciones!$F213-U214-Constantes!$F$35)),0)</f>
        <v>1.8122974158779927E-2</v>
      </c>
      <c r="X214" s="170">
        <f>IF(Escenarios!$F$14&gt;0,Observaciones!$J213,0)</f>
        <v>0</v>
      </c>
      <c r="Y214" s="170">
        <f>IF(Escenarios!$F$14&gt;0,MAX(0,Z213+R214+S214+T214+Observaciones!$F213-U214-W214-X214-Constantes!$F$33),0)</f>
        <v>0</v>
      </c>
      <c r="Z214" s="170">
        <f>Z213+R214+S214+T214+Observaciones!$F213-U214-W214-Y214</f>
        <v>41.254530743539696</v>
      </c>
      <c r="AA214" s="170">
        <f>IF(Escenarios!$F$14&gt;0,(Escenarios!$F$13*L214+Escenarios!$F$14*W214)/(Escenarios!$F$16),L214)</f>
        <v>0.22071796499151947</v>
      </c>
      <c r="AB214" s="170">
        <f>IF(Escenarios!$F$14&gt;0,(Escenarios!$F$14*Y214)/(Escenarios!$F$16),K214)</f>
        <v>0</v>
      </c>
      <c r="AC214" s="170">
        <f>IF(Escenarios!$F$14&gt;0,(Escenarios!$F$13*M214+Escenarios!$F$14*U214)/(Escenarios!$F$16),M214)</f>
        <v>0</v>
      </c>
      <c r="AD214" s="76">
        <f t="shared" si="43"/>
        <v>84.247038434179387</v>
      </c>
      <c r="AE214" s="76">
        <f>MAX(0,(AD214-Constantes!$D$13)*(1-EXP(-Constantes!$D$23)))</f>
        <v>0.34976077442781828</v>
      </c>
      <c r="AF214" s="76">
        <f>AB214+O214*Escenarios!$F$13/Escenarios!$F$16+AE214</f>
        <v>0.35130489160881079</v>
      </c>
      <c r="AG214" s="76">
        <f>IF(Entradas!$F$91&gt;0,IF(AF214-Escenarios!$F$38&lt;=0,0,IF(AF214-Escenarios!$F$38&gt;Escenarios!$F$37,Escenarios!$F$37,AF214-Escenarios!$F$38)),0)</f>
        <v>0</v>
      </c>
      <c r="AH214" s="76">
        <f>AG214*Entradas!$F$99</f>
        <v>0</v>
      </c>
      <c r="AI214" s="76">
        <f>IF(Entradas!$F$91&gt;0,D214*Entradas!$D$23/Escenarios!$F$16,0)</f>
        <v>0.13155171762239135</v>
      </c>
      <c r="AJ214" s="76">
        <f>IF(Entradas!$F$91&gt;0,Entradas!$D$24*Entradas!$D$22/Escenarios!$F$16,0)</f>
        <v>0.12</v>
      </c>
      <c r="AK214" s="76">
        <f t="shared" si="44"/>
        <v>0.35226968261391078</v>
      </c>
      <c r="AL214" s="76">
        <f t="shared" si="45"/>
        <v>0</v>
      </c>
      <c r="AM214" s="76">
        <f t="shared" si="46"/>
        <v>0</v>
      </c>
      <c r="AN214" s="76">
        <f>MAX(0,O214*Escenarios!$F$13/Escenarios!$F$16-AM214)</f>
        <v>1.5441171809925166E-3</v>
      </c>
      <c r="AO214" s="76">
        <f>AM214+AN214-O214*Escenarios!$F$13/Escenarios!$F$16</f>
        <v>0</v>
      </c>
      <c r="AP214" s="76">
        <f t="shared" si="47"/>
        <v>0.34976077442781828</v>
      </c>
      <c r="AQ214" s="76">
        <f t="shared" si="48"/>
        <v>0</v>
      </c>
      <c r="AR214" s="76">
        <f t="shared" si="49"/>
        <v>0.35130489160881079</v>
      </c>
      <c r="AS214" s="76">
        <f t="shared" si="50"/>
        <v>0</v>
      </c>
      <c r="AT214" s="76">
        <f t="shared" si="51"/>
        <v>0</v>
      </c>
      <c r="AU214" s="76">
        <f t="shared" si="52"/>
        <v>50.76383826529554</v>
      </c>
      <c r="AV214" s="76">
        <f>MAX(0,(AU214-Constantes!$D$13)*(1-EXP(-Constantes!$D$24)))</f>
        <v>3.0782015435138765E-2</v>
      </c>
      <c r="AW214" s="170">
        <f>AW213+(Entradas!$F$112*AT214-AX213)/(800*Entradas!$D$25)</f>
        <v>0</v>
      </c>
      <c r="AX214" s="170">
        <f>8000*Entradas!$D$26*AW214/Constantes!$F$45</f>
        <v>0</v>
      </c>
      <c r="AY214" s="170">
        <f>IF(Escenarios!$F$17&gt;0,10*Escenarios!$F$16*AL214,0)</f>
        <v>0</v>
      </c>
      <c r="AZ214" s="170">
        <f>IF(Escenarios!$F$17&gt;0,10*Escenarios!$F$16*AX214,0)</f>
        <v>0</v>
      </c>
      <c r="BA214" s="170">
        <f>IF(Escenarios!$F$17&gt;0,0.001*Observaciones!$F213*Escenarios!$F$17,0)</f>
        <v>0</v>
      </c>
      <c r="BB214" s="170">
        <f>IF(Escenarios!$F$17&gt;0,Observaciones!$K213,0)</f>
        <v>0</v>
      </c>
      <c r="BC214" s="170">
        <f>IF(Escenarios!$F$17&gt;0,MIN(0.0005*ETo!$M213*Escenarios!$F$17*(BG213/Constantes!$F$40)^(2/3),BG213+AY214+AZ214+BA214+BB214),0)</f>
        <v>0</v>
      </c>
      <c r="BD214" s="170">
        <f>IF(Escenarios!$F$17&gt;0,MIN(Constantes!$F$39*(BG213/Constantes!$F$40)^(2/3),BG213+AY214+AZ214+BA214+BB214-BC214),0)</f>
        <v>0</v>
      </c>
      <c r="BE214" s="170">
        <f>IF(Escenarios!$F$17&gt;0,MIN(Entradas!$F$113,BG213+AY214+AZ214+BA214+BB214-BC214-BD214),0)</f>
        <v>0</v>
      </c>
      <c r="BF214" s="170">
        <f>IF(Escenarios!$F$17&gt;0,MAX(0,BG213+AY214+AZ214+BA214+BB214-BC214-BD214-BE214-Constantes!$F$40),0)</f>
        <v>0</v>
      </c>
      <c r="BG214" s="170">
        <f t="shared" si="53"/>
        <v>0</v>
      </c>
      <c r="BH214" s="170">
        <f>(Escenarios!$F$16*AK214+0.1*BC214)/(Escenarios!$F$19)</f>
        <v>0.35226968261391078</v>
      </c>
      <c r="BI214" s="170">
        <f>IF(Escenarios!$F$17&gt;0,BF214/10/Escenarios!$F$19,AL214)</f>
        <v>0</v>
      </c>
      <c r="BJ214" s="170">
        <f>(Escenarios!$F$16*AT214+0.1*BD214)/(Escenarios!$F$19)</f>
        <v>0</v>
      </c>
      <c r="BK214" s="76">
        <f>BK213+(0.1*BD214)/(Escenarios!$F$19)-BL213</f>
        <v>48.75</v>
      </c>
      <c r="BL214" s="76">
        <f>MAX(0,(BK214-Constantes!$D$13)*(1-EXP(-Constantes!$D$23)))</f>
        <v>0</v>
      </c>
      <c r="BM214" s="76">
        <f t="shared" si="54"/>
        <v>0.38054278986295703</v>
      </c>
      <c r="BN214" s="76">
        <f t="shared" si="55"/>
        <v>0.38208690704394954</v>
      </c>
      <c r="BO214" s="76">
        <f>0.0526*BI214*Observaciones!$F213^1.218</f>
        <v>0</v>
      </c>
      <c r="BP214" s="76">
        <f>BO214*Constantes!$F$51</f>
        <v>0</v>
      </c>
      <c r="BQ214" s="76">
        <f t="shared" si="56"/>
        <v>0</v>
      </c>
      <c r="BR214" s="40"/>
    </row>
    <row r="215" spans="2:70">
      <c r="B215" s="39"/>
      <c r="C215" s="75">
        <v>209</v>
      </c>
      <c r="D215" s="146">
        <f>ETo!$I214*((1-Constantes!$F$19)*ETo!$K214+ETo!$L214)</f>
        <v>2.7905516811992013</v>
      </c>
      <c r="E215" s="76">
        <f>MIN(D215*Constantes!$F$17,0.8*(N214+Observaciones!$F214-F215-M215-Constantes!$D$14))</f>
        <v>4.1209383707185056E-2</v>
      </c>
      <c r="F215" s="76">
        <f>IF(Observaciones!$F214&gt;0.05*Constantes!$F$18,((Observaciones!$F214-0.05*Constantes!$F$18)^2)/(Observaciones!$F214+0.95*Constantes!$F$18),0)</f>
        <v>0</v>
      </c>
      <c r="G215" s="76">
        <f>IF(Escenarios!$F$11&gt;0,(F215*Escenarios!$F$16*10000)/1000,0)</f>
        <v>0</v>
      </c>
      <c r="H215" s="76">
        <f>IF(Escenarios!$F$11&gt;0,(Observaciones!$F214*Constantes!$F$29)/1000,0)</f>
        <v>0</v>
      </c>
      <c r="I215" s="76">
        <f>IF(Escenarios!$F$11&gt;0,(D215*Constantes!$F$29)/1000,0)</f>
        <v>0</v>
      </c>
      <c r="J215" s="76">
        <f>IF(Escenarios!$F$11&gt;0,MAX(0,G215+H215-I215),0)</f>
        <v>0</v>
      </c>
      <c r="K215" s="76">
        <f>IF(Escenarios!$F$11&gt;0,IF(J215&gt;Constantes!$F$30,1000*((J215-Constantes!$F$30)/(Escenarios!$F$16*10000)),0),F215)</f>
        <v>0</v>
      </c>
      <c r="L215" s="76">
        <f>IF(Escenarios!$F$11&gt;0,I215*1000/Escenarios!$F$16/10000+E215,E215)</f>
        <v>4.1209383707185056E-2</v>
      </c>
      <c r="M215" s="76">
        <f>MAX(0,N214+Observaciones!$F214-K215-Constantes!$D$13)</f>
        <v>0</v>
      </c>
      <c r="N215" s="76">
        <f>N214+Observaciones!$F214-K215-L215-M215-O214</f>
        <v>11.258547667312031</v>
      </c>
      <c r="O215" s="76">
        <f>MAX(0,(N215-Constantes!$D$14)*(1-EXP(-Constantes!$D$22)))</f>
        <v>2.9116492777688993E-4</v>
      </c>
      <c r="P215" s="170">
        <f>P214+(Entradas!$F$83*M215-Q214)/(800*Entradas!$D$25)</f>
        <v>0</v>
      </c>
      <c r="Q215" s="170">
        <f>8000*Entradas!$D$26*P215/Constantes!$F$45</f>
        <v>0</v>
      </c>
      <c r="R215" s="170">
        <f>IF(Escenarios!$F$14&gt;0,K215*Escenarios!$F$13/Escenarios!$F$14,0)</f>
        <v>0</v>
      </c>
      <c r="S215" s="170">
        <f>IF(Escenarios!$F$14&gt;0,Q215*Escenarios!$F$13/Escenarios!$F$14,0)</f>
        <v>0</v>
      </c>
      <c r="T215" s="170">
        <f>IF(Escenarios!$F$14&gt;0,Observaciones!$I214,0)</f>
        <v>0</v>
      </c>
      <c r="U215" s="170">
        <f>IF(Escenarios!$F$14&gt;0,MAX(0,Constantes!$F$36/((Z214+R215+S215+T215+Observaciones!$F214)^2)+Entradas!$F$77),0)</f>
        <v>0</v>
      </c>
      <c r="V215" s="146">
        <f>IF(ETo!D214&gt;0,ETo!I214*((1-Entradas!$F$81)*ETo!K214+ETo!L214),0)</f>
        <v>2.4406724717295605</v>
      </c>
      <c r="W215" s="170">
        <f>IF(Escenarios!$F$14&gt;0,MIN(V215*1,0.8*(Z214+R215+S215+T215+Observaciones!$F214-U215-Constantes!$F$35)),0)</f>
        <v>3.624594831757122E-3</v>
      </c>
      <c r="X215" s="170">
        <f>IF(Escenarios!$F$14&gt;0,Observaciones!$J214,0)</f>
        <v>0</v>
      </c>
      <c r="Y215" s="170">
        <f>IF(Escenarios!$F$14&gt;0,MAX(0,Z214+R215+S215+T215+Observaciones!$F214-U215-W215-X215-Constantes!$F$33),0)</f>
        <v>0</v>
      </c>
      <c r="Z215" s="170">
        <f>Z214+R215+S215+T215+Observaciones!$F214-U215-W215-Y215</f>
        <v>41.250906148707941</v>
      </c>
      <c r="AA215" s="170">
        <f>IF(Escenarios!$F$14&gt;0,(Escenarios!$F$13*L215+Escenarios!$F$14*W215)/(Escenarios!$F$16),L215)</f>
        <v>3.6699209042133703E-2</v>
      </c>
      <c r="AB215" s="170">
        <f>IF(Escenarios!$F$14&gt;0,(Escenarios!$F$14*Y215)/(Escenarios!$F$16),K215)</f>
        <v>0</v>
      </c>
      <c r="AC215" s="170">
        <f>IF(Escenarios!$F$14&gt;0,(Escenarios!$F$13*M215+Escenarios!$F$14*U215)/(Escenarios!$F$16),M215)</f>
        <v>0</v>
      </c>
      <c r="AD215" s="76">
        <f t="shared" si="43"/>
        <v>83.897277659751566</v>
      </c>
      <c r="AE215" s="76">
        <f>MAX(0,(AD215-Constantes!$D$13)*(1-EXP(-Constantes!$D$23)))</f>
        <v>0.34631449821085492</v>
      </c>
      <c r="AF215" s="76">
        <f>AB215+O215*Escenarios!$F$13/Escenarios!$F$16+AE215</f>
        <v>0.3465707233472986</v>
      </c>
      <c r="AG215" s="76">
        <f>IF(Entradas!$F$91&gt;0,IF(AF215-Escenarios!$F$38&lt;=0,0,IF(AF215-Escenarios!$F$38&gt;Escenarios!$F$37,Escenarios!$F$37,AF215-Escenarios!$F$38)),0)</f>
        <v>0</v>
      </c>
      <c r="AH215" s="76">
        <f>AG215*Entradas!$F$99</f>
        <v>0</v>
      </c>
      <c r="AI215" s="76">
        <f>IF(Entradas!$F$91&gt;0,D215*Entradas!$D$23/Escenarios!$F$16,0)</f>
        <v>0.13394648069756168</v>
      </c>
      <c r="AJ215" s="76">
        <f>IF(Entradas!$F$91&gt;0,Entradas!$D$24*Entradas!$D$22/Escenarios!$F$16,0)</f>
        <v>0.12</v>
      </c>
      <c r="AK215" s="76">
        <f t="shared" si="44"/>
        <v>0.17064568973969538</v>
      </c>
      <c r="AL215" s="76">
        <f t="shared" si="45"/>
        <v>0</v>
      </c>
      <c r="AM215" s="76">
        <f t="shared" si="46"/>
        <v>0</v>
      </c>
      <c r="AN215" s="76">
        <f>MAX(0,O215*Escenarios!$F$13/Escenarios!$F$16-AM215)</f>
        <v>2.5622513644366312E-4</v>
      </c>
      <c r="AO215" s="76">
        <f>AM215+AN215-O215*Escenarios!$F$13/Escenarios!$F$16</f>
        <v>0</v>
      </c>
      <c r="AP215" s="76">
        <f t="shared" si="47"/>
        <v>0.34631449821085492</v>
      </c>
      <c r="AQ215" s="76">
        <f t="shared" si="48"/>
        <v>0</v>
      </c>
      <c r="AR215" s="76">
        <f t="shared" si="49"/>
        <v>0.3465707233472986</v>
      </c>
      <c r="AS215" s="76">
        <f t="shared" si="50"/>
        <v>0</v>
      </c>
      <c r="AT215" s="76">
        <f t="shared" si="51"/>
        <v>0</v>
      </c>
      <c r="AU215" s="76">
        <f t="shared" si="52"/>
        <v>50.733056249860404</v>
      </c>
      <c r="AV215" s="76">
        <f>MAX(0,(AU215-Constantes!$D$13)*(1-EXP(-Constantes!$D$24)))</f>
        <v>3.0311504724036556E-2</v>
      </c>
      <c r="AW215" s="170">
        <f>AW214+(Entradas!$F$112*AT215-AX214)/(800*Entradas!$D$25)</f>
        <v>0</v>
      </c>
      <c r="AX215" s="170">
        <f>8000*Entradas!$D$26*AW215/Constantes!$F$45</f>
        <v>0</v>
      </c>
      <c r="AY215" s="170">
        <f>IF(Escenarios!$F$17&gt;0,10*Escenarios!$F$16*AL215,0)</f>
        <v>0</v>
      </c>
      <c r="AZ215" s="170">
        <f>IF(Escenarios!$F$17&gt;0,10*Escenarios!$F$16*AX215,0)</f>
        <v>0</v>
      </c>
      <c r="BA215" s="170">
        <f>IF(Escenarios!$F$17&gt;0,0.001*Observaciones!$F214*Escenarios!$F$17,0)</f>
        <v>0</v>
      </c>
      <c r="BB215" s="170">
        <f>IF(Escenarios!$F$17&gt;0,Observaciones!$K214,0)</f>
        <v>0</v>
      </c>
      <c r="BC215" s="170">
        <f>IF(Escenarios!$F$17&gt;0,MIN(0.0005*ETo!$M214*Escenarios!$F$17*(BG214/Constantes!$F$40)^(2/3),BG214+AY215+AZ215+BA215+BB215),0)</f>
        <v>0</v>
      </c>
      <c r="BD215" s="170">
        <f>IF(Escenarios!$F$17&gt;0,MIN(Constantes!$F$39*(BG214/Constantes!$F$40)^(2/3),BG214+AY215+AZ215+BA215+BB215-BC215),0)</f>
        <v>0</v>
      </c>
      <c r="BE215" s="170">
        <f>IF(Escenarios!$F$17&gt;0,MIN(Entradas!$F$113,BG214+AY215+AZ215+BA215+BB215-BC215-BD215),0)</f>
        <v>0</v>
      </c>
      <c r="BF215" s="170">
        <f>IF(Escenarios!$F$17&gt;0,MAX(0,BG214+AY215+AZ215+BA215+BB215-BC215-BD215-BE215-Constantes!$F$40),0)</f>
        <v>0</v>
      </c>
      <c r="BG215" s="170">
        <f t="shared" si="53"/>
        <v>0</v>
      </c>
      <c r="BH215" s="170">
        <f>(Escenarios!$F$16*AK215+0.1*BC215)/(Escenarios!$F$19)</f>
        <v>0.17064568973969538</v>
      </c>
      <c r="BI215" s="170">
        <f>IF(Escenarios!$F$17&gt;0,BF215/10/Escenarios!$F$19,AL215)</f>
        <v>0</v>
      </c>
      <c r="BJ215" s="170">
        <f>(Escenarios!$F$16*AT215+0.1*BD215)/(Escenarios!$F$19)</f>
        <v>0</v>
      </c>
      <c r="BK215" s="76">
        <f>BK214+(0.1*BD215)/(Escenarios!$F$19)-BL214</f>
        <v>48.75</v>
      </c>
      <c r="BL215" s="76">
        <f>MAX(0,(BK215-Constantes!$D$13)*(1-EXP(-Constantes!$D$23)))</f>
        <v>0</v>
      </c>
      <c r="BM215" s="76">
        <f t="shared" si="54"/>
        <v>0.37662600293489146</v>
      </c>
      <c r="BN215" s="76">
        <f t="shared" si="55"/>
        <v>0.37688222807133515</v>
      </c>
      <c r="BO215" s="76">
        <f>0.0526*BI215*Observaciones!$F214^1.218</f>
        <v>0</v>
      </c>
      <c r="BP215" s="76">
        <f>BO215*Constantes!$F$51</f>
        <v>0</v>
      </c>
      <c r="BQ215" s="76">
        <f t="shared" si="56"/>
        <v>0</v>
      </c>
      <c r="BR215" s="40"/>
    </row>
    <row r="216" spans="2:70">
      <c r="B216" s="39"/>
      <c r="C216" s="75">
        <v>210</v>
      </c>
      <c r="D216" s="146">
        <f>ETo!$I215*((1-Constantes!$F$19)*ETo!$K215+ETo!$L215)</f>
        <v>2.821326519676485</v>
      </c>
      <c r="E216" s="76">
        <f>MIN(D216*Constantes!$F$17,0.8*(N215+Observaciones!$F215-F216-M216-Constantes!$D$14))</f>
        <v>6.8381338496251946E-3</v>
      </c>
      <c r="F216" s="76">
        <f>IF(Observaciones!$F215&gt;0.05*Constantes!$F$18,((Observaciones!$F215-0.05*Constantes!$F$18)^2)/(Observaciones!$F215+0.95*Constantes!$F$18),0)</f>
        <v>0</v>
      </c>
      <c r="G216" s="76">
        <f>IF(Escenarios!$F$11&gt;0,(F216*Escenarios!$F$16*10000)/1000,0)</f>
        <v>0</v>
      </c>
      <c r="H216" s="76">
        <f>IF(Escenarios!$F$11&gt;0,(Observaciones!$F215*Constantes!$F$29)/1000,0)</f>
        <v>0</v>
      </c>
      <c r="I216" s="76">
        <f>IF(Escenarios!$F$11&gt;0,(D216*Constantes!$F$29)/1000,0)</f>
        <v>0</v>
      </c>
      <c r="J216" s="76">
        <f>IF(Escenarios!$F$11&gt;0,MAX(0,G216+H216-I216),0)</f>
        <v>0</v>
      </c>
      <c r="K216" s="76">
        <f>IF(Escenarios!$F$11&gt;0,IF(J216&gt;Constantes!$F$30,1000*((J216-Constantes!$F$30)/(Escenarios!$F$16*10000)),0),F216)</f>
        <v>0</v>
      </c>
      <c r="L216" s="76">
        <f>IF(Escenarios!$F$11&gt;0,I216*1000/Escenarios!$F$16/10000+E216,E216)</f>
        <v>6.8381338496251946E-3</v>
      </c>
      <c r="M216" s="76">
        <f>MAX(0,N215+Observaciones!$F215-K216-Constantes!$D$13)</f>
        <v>0</v>
      </c>
      <c r="N216" s="76">
        <f>N215+Observaciones!$F215-K216-L216-M216-O215</f>
        <v>11.25141836853463</v>
      </c>
      <c r="O216" s="76">
        <f>MAX(0,(N216-Constantes!$D$14)*(1-EXP(-Constantes!$D$22)))</f>
        <v>4.8314839226972169E-5</v>
      </c>
      <c r="P216" s="170">
        <f>P215+(Entradas!$F$83*M216-Q215)/(800*Entradas!$D$25)</f>
        <v>0</v>
      </c>
      <c r="Q216" s="170">
        <f>8000*Entradas!$D$26*P216/Constantes!$F$45</f>
        <v>0</v>
      </c>
      <c r="R216" s="170">
        <f>IF(Escenarios!$F$14&gt;0,K216*Escenarios!$F$13/Escenarios!$F$14,0)</f>
        <v>0</v>
      </c>
      <c r="S216" s="170">
        <f>IF(Escenarios!$F$14&gt;0,Q216*Escenarios!$F$13/Escenarios!$F$14,0)</f>
        <v>0</v>
      </c>
      <c r="T216" s="170">
        <f>IF(Escenarios!$F$14&gt;0,Observaciones!$I215,0)</f>
        <v>0</v>
      </c>
      <c r="U216" s="170">
        <f>IF(Escenarios!$F$14&gt;0,MAX(0,Constantes!$F$36/((Z215+R216+S216+T216+Observaciones!$F215)^2)+Entradas!$F$77),0)</f>
        <v>0</v>
      </c>
      <c r="V216" s="146">
        <f>IF(ETo!D215&gt;0,ETo!I215*((1-Entradas!$F$81)*ETo!K215+ETo!L215),0)</f>
        <v>2.4683131877256299</v>
      </c>
      <c r="W216" s="170">
        <f>IF(Escenarios!$F$14&gt;0,MIN(V216*1,0.8*(Z215+R216+S216+T216+Observaciones!$F215-U216-Constantes!$F$35)),0)</f>
        <v>7.249189663525613E-4</v>
      </c>
      <c r="X216" s="170">
        <f>IF(Escenarios!$F$14&gt;0,Observaciones!$J215,0)</f>
        <v>0</v>
      </c>
      <c r="Y216" s="170">
        <f>IF(Escenarios!$F$14&gt;0,MAX(0,Z215+R216+S216+T216+Observaciones!$F215-U216-W216-X216-Constantes!$F$33),0)</f>
        <v>0</v>
      </c>
      <c r="Z216" s="170">
        <f>Z215+R216+S216+T216+Observaciones!$F215-U216-W216-Y216</f>
        <v>41.250181229741585</v>
      </c>
      <c r="AA216" s="170">
        <f>IF(Escenarios!$F$14&gt;0,(Escenarios!$F$13*L216+Escenarios!$F$14*W216)/(Escenarios!$F$16),L216)</f>
        <v>6.1045480636324782E-3</v>
      </c>
      <c r="AB216" s="170">
        <f>IF(Escenarios!$F$14&gt;0,(Escenarios!$F$14*Y216)/(Escenarios!$F$16),K216)</f>
        <v>0</v>
      </c>
      <c r="AC216" s="170">
        <f>IF(Escenarios!$F$14&gt;0,(Escenarios!$F$13*M216+Escenarios!$F$14*U216)/(Escenarios!$F$16),M216)</f>
        <v>0</v>
      </c>
      <c r="AD216" s="76">
        <f t="shared" si="43"/>
        <v>83.550963161540707</v>
      </c>
      <c r="AE216" s="76">
        <f>MAX(0,(AD216-Constantes!$D$13)*(1-EXP(-Constantes!$D$23)))</f>
        <v>0.34290217897429626</v>
      </c>
      <c r="AF216" s="76">
        <f>AB216+O216*Escenarios!$F$13/Escenarios!$F$16+AE216</f>
        <v>0.34294469603281597</v>
      </c>
      <c r="AG216" s="76">
        <f>IF(Entradas!$F$91&gt;0,IF(AF216-Escenarios!$F$38&lt;=0,0,IF(AF216-Escenarios!$F$38&gt;Escenarios!$F$37,Escenarios!$F$37,AF216-Escenarios!$F$38)),0)</f>
        <v>0</v>
      </c>
      <c r="AH216" s="76">
        <f>AG216*Entradas!$F$99</f>
        <v>0</v>
      </c>
      <c r="AI216" s="76">
        <f>IF(Entradas!$F$91&gt;0,D216*Entradas!$D$23/Escenarios!$F$16,0)</f>
        <v>0.13542367294447127</v>
      </c>
      <c r="AJ216" s="76">
        <f>IF(Entradas!$F$91&gt;0,Entradas!$D$24*Entradas!$D$22/Escenarios!$F$16,0)</f>
        <v>0.12</v>
      </c>
      <c r="AK216" s="76">
        <f t="shared" si="44"/>
        <v>0.14152822100810375</v>
      </c>
      <c r="AL216" s="76">
        <f t="shared" si="45"/>
        <v>0</v>
      </c>
      <c r="AM216" s="76">
        <f t="shared" si="46"/>
        <v>0</v>
      </c>
      <c r="AN216" s="76">
        <f>MAX(0,O216*Escenarios!$F$13/Escenarios!$F$16-AM216)</f>
        <v>4.2517058519735505E-5</v>
      </c>
      <c r="AO216" s="76">
        <f>AM216+AN216-O216*Escenarios!$F$13/Escenarios!$F$16</f>
        <v>0</v>
      </c>
      <c r="AP216" s="76">
        <f t="shared" si="47"/>
        <v>0.34290217897429626</v>
      </c>
      <c r="AQ216" s="76">
        <f t="shared" si="48"/>
        <v>0</v>
      </c>
      <c r="AR216" s="76">
        <f t="shared" si="49"/>
        <v>0.34294469603281597</v>
      </c>
      <c r="AS216" s="76">
        <f t="shared" si="50"/>
        <v>0</v>
      </c>
      <c r="AT216" s="76">
        <f t="shared" si="51"/>
        <v>0</v>
      </c>
      <c r="AU216" s="76">
        <f t="shared" si="52"/>
        <v>50.702744745136364</v>
      </c>
      <c r="AV216" s="76">
        <f>MAX(0,(AU216-Constantes!$D$13)*(1-EXP(-Constantes!$D$24)))</f>
        <v>2.9848185885400454E-2</v>
      </c>
      <c r="AW216" s="170">
        <f>AW215+(Entradas!$F$112*AT216-AX215)/(800*Entradas!$D$25)</f>
        <v>0</v>
      </c>
      <c r="AX216" s="170">
        <f>8000*Entradas!$D$26*AW216/Constantes!$F$45</f>
        <v>0</v>
      </c>
      <c r="AY216" s="170">
        <f>IF(Escenarios!$F$17&gt;0,10*Escenarios!$F$16*AL216,0)</f>
        <v>0</v>
      </c>
      <c r="AZ216" s="170">
        <f>IF(Escenarios!$F$17&gt;0,10*Escenarios!$F$16*AX216,0)</f>
        <v>0</v>
      </c>
      <c r="BA216" s="170">
        <f>IF(Escenarios!$F$17&gt;0,0.001*Observaciones!$F215*Escenarios!$F$17,0)</f>
        <v>0</v>
      </c>
      <c r="BB216" s="170">
        <f>IF(Escenarios!$F$17&gt;0,Observaciones!$K215,0)</f>
        <v>0</v>
      </c>
      <c r="BC216" s="170">
        <f>IF(Escenarios!$F$17&gt;0,MIN(0.0005*ETo!$M215*Escenarios!$F$17*(BG215/Constantes!$F$40)^(2/3),BG215+AY216+AZ216+BA216+BB216),0)</f>
        <v>0</v>
      </c>
      <c r="BD216" s="170">
        <f>IF(Escenarios!$F$17&gt;0,MIN(Constantes!$F$39*(BG215/Constantes!$F$40)^(2/3),BG215+AY216+AZ216+BA216+BB216-BC216),0)</f>
        <v>0</v>
      </c>
      <c r="BE216" s="170">
        <f>IF(Escenarios!$F$17&gt;0,MIN(Entradas!$F$113,BG215+AY216+AZ216+BA216+BB216-BC216-BD216),0)</f>
        <v>0</v>
      </c>
      <c r="BF216" s="170">
        <f>IF(Escenarios!$F$17&gt;0,MAX(0,BG215+AY216+AZ216+BA216+BB216-BC216-BD216-BE216-Constantes!$F$40),0)</f>
        <v>0</v>
      </c>
      <c r="BG216" s="170">
        <f t="shared" si="53"/>
        <v>0</v>
      </c>
      <c r="BH216" s="170">
        <f>(Escenarios!$F$16*AK216+0.1*BC216)/(Escenarios!$F$19)</f>
        <v>0.14152822100810375</v>
      </c>
      <c r="BI216" s="170">
        <f>IF(Escenarios!$F$17&gt;0,BF216/10/Escenarios!$F$19,AL216)</f>
        <v>0</v>
      </c>
      <c r="BJ216" s="170">
        <f>(Escenarios!$F$16*AT216+0.1*BD216)/(Escenarios!$F$19)</f>
        <v>0</v>
      </c>
      <c r="BK216" s="76">
        <f>BK215+(0.1*BD216)/(Escenarios!$F$19)-BL215</f>
        <v>48.75</v>
      </c>
      <c r="BL216" s="76">
        <f>MAX(0,(BK216-Constantes!$D$13)*(1-EXP(-Constantes!$D$23)))</f>
        <v>0</v>
      </c>
      <c r="BM216" s="76">
        <f t="shared" si="54"/>
        <v>0.3727503648596967</v>
      </c>
      <c r="BN216" s="76">
        <f t="shared" si="55"/>
        <v>0.37279288191821641</v>
      </c>
      <c r="BO216" s="76">
        <f>0.0526*BI216*Observaciones!$F215^1.218</f>
        <v>0</v>
      </c>
      <c r="BP216" s="76">
        <f>BO216*Constantes!$F$51</f>
        <v>0</v>
      </c>
      <c r="BQ216" s="76">
        <f t="shared" si="56"/>
        <v>0</v>
      </c>
      <c r="BR216" s="40"/>
    </row>
    <row r="217" spans="2:70">
      <c r="B217" s="39"/>
      <c r="C217" s="75">
        <v>211</v>
      </c>
      <c r="D217" s="146">
        <f>ETo!$I216*((1-Constantes!$F$19)*ETo!$K216+ETo!$L216)</f>
        <v>2.9962325787166408</v>
      </c>
      <c r="E217" s="76">
        <f>MIN(D217*Constantes!$F$17,0.8*(N216+Observaciones!$F216-F217-M217-Constantes!$D$14))</f>
        <v>1.1346948277036974E-3</v>
      </c>
      <c r="F217" s="76">
        <f>IF(Observaciones!$F216&gt;0.05*Constantes!$F$18,((Observaciones!$F216-0.05*Constantes!$F$18)^2)/(Observaciones!$F216+0.95*Constantes!$F$18),0)</f>
        <v>0</v>
      </c>
      <c r="G217" s="76">
        <f>IF(Escenarios!$F$11&gt;0,(F217*Escenarios!$F$16*10000)/1000,0)</f>
        <v>0</v>
      </c>
      <c r="H217" s="76">
        <f>IF(Escenarios!$F$11&gt;0,(Observaciones!$F216*Constantes!$F$29)/1000,0)</f>
        <v>0</v>
      </c>
      <c r="I217" s="76">
        <f>IF(Escenarios!$F$11&gt;0,(D217*Constantes!$F$29)/1000,0)</f>
        <v>0</v>
      </c>
      <c r="J217" s="76">
        <f>IF(Escenarios!$F$11&gt;0,MAX(0,G217+H217-I217),0)</f>
        <v>0</v>
      </c>
      <c r="K217" s="76">
        <f>IF(Escenarios!$F$11&gt;0,IF(J217&gt;Constantes!$F$30,1000*((J217-Constantes!$F$30)/(Escenarios!$F$16*10000)),0),F217)</f>
        <v>0</v>
      </c>
      <c r="L217" s="76">
        <f>IF(Escenarios!$F$11&gt;0,I217*1000/Escenarios!$F$16/10000+E217,E217)</f>
        <v>1.1346948277036974E-3</v>
      </c>
      <c r="M217" s="76">
        <f>MAX(0,N216+Observaciones!$F216-K217-Constantes!$D$13)</f>
        <v>0</v>
      </c>
      <c r="N217" s="76">
        <f>N216+Observaciones!$F216-K217-L217-M217-O216</f>
        <v>11.2502353588677</v>
      </c>
      <c r="O217" s="76">
        <f>MAX(0,(N217-Constantes!$D$14)*(1-EXP(-Constantes!$D$22)))</f>
        <v>8.0171870539531133E-6</v>
      </c>
      <c r="P217" s="170">
        <f>P216+(Entradas!$F$83*M217-Q216)/(800*Entradas!$D$25)</f>
        <v>0</v>
      </c>
      <c r="Q217" s="170">
        <f>8000*Entradas!$D$26*P217/Constantes!$F$45</f>
        <v>0</v>
      </c>
      <c r="R217" s="170">
        <f>IF(Escenarios!$F$14&gt;0,K217*Escenarios!$F$13/Escenarios!$F$14,0)</f>
        <v>0</v>
      </c>
      <c r="S217" s="170">
        <f>IF(Escenarios!$F$14&gt;0,Q217*Escenarios!$F$13/Escenarios!$F$14,0)</f>
        <v>0</v>
      </c>
      <c r="T217" s="170">
        <f>IF(Escenarios!$F$14&gt;0,Observaciones!$I216,0)</f>
        <v>0</v>
      </c>
      <c r="U217" s="170">
        <f>IF(Escenarios!$F$14&gt;0,MAX(0,Constantes!$F$36/((Z216+R217+S217+T217+Observaciones!$F216)^2)+Entradas!$F$77),0)</f>
        <v>0</v>
      </c>
      <c r="V217" s="146">
        <f>IF(ETo!D216&gt;0,ETo!I216*((1-Entradas!$F$81)*ETo!K216+ETo!L216),0)</f>
        <v>2.6237600983927529</v>
      </c>
      <c r="W217" s="170">
        <f>IF(Escenarios!$F$14&gt;0,MIN(V217*1,0.8*(Z216+R217+S217+T217+Observaciones!$F216-U217-Constantes!$F$35)),0)</f>
        <v>1.4498379326823851E-4</v>
      </c>
      <c r="X217" s="170">
        <f>IF(Escenarios!$F$14&gt;0,Observaciones!$J216,0)</f>
        <v>0</v>
      </c>
      <c r="Y217" s="170">
        <f>IF(Escenarios!$F$14&gt;0,MAX(0,Z216+R217+S217+T217+Observaciones!$F216-U217-W217-X217-Constantes!$F$33),0)</f>
        <v>0</v>
      </c>
      <c r="Z217" s="170">
        <f>Z216+R217+S217+T217+Observaciones!$F216-U217-W217-Y217</f>
        <v>41.250036245948316</v>
      </c>
      <c r="AA217" s="170">
        <f>IF(Escenarios!$F$14&gt;0,(Escenarios!$F$13*L217+Escenarios!$F$14*W217)/(Escenarios!$F$16),L217)</f>
        <v>1.0159295035714422E-3</v>
      </c>
      <c r="AB217" s="170">
        <f>IF(Escenarios!$F$14&gt;0,(Escenarios!$F$14*Y217)/(Escenarios!$F$16),K217)</f>
        <v>0</v>
      </c>
      <c r="AC217" s="170">
        <f>IF(Escenarios!$F$14&gt;0,(Escenarios!$F$13*M217+Escenarios!$F$14*U217)/(Escenarios!$F$16),M217)</f>
        <v>0</v>
      </c>
      <c r="AD217" s="76">
        <f t="shared" si="43"/>
        <v>83.208060982566408</v>
      </c>
      <c r="AE217" s="76">
        <f>MAX(0,(AD217-Constantes!$D$13)*(1-EXP(-Constantes!$D$23)))</f>
        <v>0.33952348213192657</v>
      </c>
      <c r="AF217" s="76">
        <f>AB217+O217*Escenarios!$F$13/Escenarios!$F$16+AE217</f>
        <v>0.33953053725653404</v>
      </c>
      <c r="AG217" s="76">
        <f>IF(Entradas!$F$91&gt;0,IF(AF217-Escenarios!$F$38&lt;=0,0,IF(AF217-Escenarios!$F$38&gt;Escenarios!$F$37,Escenarios!$F$37,AF217-Escenarios!$F$38)),0)</f>
        <v>0</v>
      </c>
      <c r="AH217" s="76">
        <f>AG217*Entradas!$F$99</f>
        <v>0</v>
      </c>
      <c r="AI217" s="76">
        <f>IF(Entradas!$F$91&gt;0,D217*Entradas!$D$23/Escenarios!$F$16,0)</f>
        <v>0.14381916377839876</v>
      </c>
      <c r="AJ217" s="76">
        <f>IF(Entradas!$F$91&gt;0,Entradas!$D$24*Entradas!$D$22/Escenarios!$F$16,0)</f>
        <v>0.12</v>
      </c>
      <c r="AK217" s="76">
        <f t="shared" si="44"/>
        <v>0.1448350932819702</v>
      </c>
      <c r="AL217" s="76">
        <f t="shared" si="45"/>
        <v>0</v>
      </c>
      <c r="AM217" s="76">
        <f t="shared" si="46"/>
        <v>0</v>
      </c>
      <c r="AN217" s="76">
        <f>MAX(0,O217*Escenarios!$F$13/Escenarios!$F$16-AM217)</f>
        <v>7.0551246074787392E-6</v>
      </c>
      <c r="AO217" s="76">
        <f>AM217+AN217-O217*Escenarios!$F$13/Escenarios!$F$16</f>
        <v>0</v>
      </c>
      <c r="AP217" s="76">
        <f t="shared" si="47"/>
        <v>0.33952348213192657</v>
      </c>
      <c r="AQ217" s="76">
        <f t="shared" si="48"/>
        <v>0</v>
      </c>
      <c r="AR217" s="76">
        <f t="shared" si="49"/>
        <v>0.33953053725653404</v>
      </c>
      <c r="AS217" s="76">
        <f t="shared" si="50"/>
        <v>0</v>
      </c>
      <c r="AT217" s="76">
        <f t="shared" si="51"/>
        <v>0</v>
      </c>
      <c r="AU217" s="76">
        <f t="shared" si="52"/>
        <v>50.672896559250965</v>
      </c>
      <c r="AV217" s="76">
        <f>MAX(0,(AU217-Constantes!$D$13)*(1-EXP(-Constantes!$D$24)))</f>
        <v>2.9391948989683111E-2</v>
      </c>
      <c r="AW217" s="170">
        <f>AW216+(Entradas!$F$112*AT217-AX216)/(800*Entradas!$D$25)</f>
        <v>0</v>
      </c>
      <c r="AX217" s="170">
        <f>8000*Entradas!$D$26*AW217/Constantes!$F$45</f>
        <v>0</v>
      </c>
      <c r="AY217" s="170">
        <f>IF(Escenarios!$F$17&gt;0,10*Escenarios!$F$16*AL217,0)</f>
        <v>0</v>
      </c>
      <c r="AZ217" s="170">
        <f>IF(Escenarios!$F$17&gt;0,10*Escenarios!$F$16*AX217,0)</f>
        <v>0</v>
      </c>
      <c r="BA217" s="170">
        <f>IF(Escenarios!$F$17&gt;0,0.001*Observaciones!$F216*Escenarios!$F$17,0)</f>
        <v>0</v>
      </c>
      <c r="BB217" s="170">
        <f>IF(Escenarios!$F$17&gt;0,Observaciones!$K216,0)</f>
        <v>0</v>
      </c>
      <c r="BC217" s="170">
        <f>IF(Escenarios!$F$17&gt;0,MIN(0.0005*ETo!$M216*Escenarios!$F$17*(BG216/Constantes!$F$40)^(2/3),BG216+AY217+AZ217+BA217+BB217),0)</f>
        <v>0</v>
      </c>
      <c r="BD217" s="170">
        <f>IF(Escenarios!$F$17&gt;0,MIN(Constantes!$F$39*(BG216/Constantes!$F$40)^(2/3),BG216+AY217+AZ217+BA217+BB217-BC217),0)</f>
        <v>0</v>
      </c>
      <c r="BE217" s="170">
        <f>IF(Escenarios!$F$17&gt;0,MIN(Entradas!$F$113,BG216+AY217+AZ217+BA217+BB217-BC217-BD217),0)</f>
        <v>0</v>
      </c>
      <c r="BF217" s="170">
        <f>IF(Escenarios!$F$17&gt;0,MAX(0,BG216+AY217+AZ217+BA217+BB217-BC217-BD217-BE217-Constantes!$F$40),0)</f>
        <v>0</v>
      </c>
      <c r="BG217" s="170">
        <f t="shared" si="53"/>
        <v>0</v>
      </c>
      <c r="BH217" s="170">
        <f>(Escenarios!$F$16*AK217+0.1*BC217)/(Escenarios!$F$19)</f>
        <v>0.1448350932819702</v>
      </c>
      <c r="BI217" s="170">
        <f>IF(Escenarios!$F$17&gt;0,BF217/10/Escenarios!$F$19,AL217)</f>
        <v>0</v>
      </c>
      <c r="BJ217" s="170">
        <f>(Escenarios!$F$16*AT217+0.1*BD217)/(Escenarios!$F$19)</f>
        <v>0</v>
      </c>
      <c r="BK217" s="76">
        <f>BK216+(0.1*BD217)/(Escenarios!$F$19)-BL216</f>
        <v>48.75</v>
      </c>
      <c r="BL217" s="76">
        <f>MAX(0,(BK217-Constantes!$D$13)*(1-EXP(-Constantes!$D$23)))</f>
        <v>0</v>
      </c>
      <c r="BM217" s="76">
        <f t="shared" si="54"/>
        <v>0.36891543112160968</v>
      </c>
      <c r="BN217" s="76">
        <f t="shared" si="55"/>
        <v>0.36892248624621715</v>
      </c>
      <c r="BO217" s="76">
        <f>0.0526*BI217*Observaciones!$F216^1.218</f>
        <v>0</v>
      </c>
      <c r="BP217" s="76">
        <f>BO217*Constantes!$F$51</f>
        <v>0</v>
      </c>
      <c r="BQ217" s="76">
        <f t="shared" si="56"/>
        <v>0</v>
      </c>
      <c r="BR217" s="40"/>
    </row>
    <row r="218" spans="2:70">
      <c r="B218" s="39"/>
      <c r="C218" s="75">
        <v>212</v>
      </c>
      <c r="D218" s="146">
        <f>ETo!$I217*((1-Constantes!$F$19)*ETo!$K217+ETo!$L217)</f>
        <v>2.8875249533736582</v>
      </c>
      <c r="E218" s="76">
        <f>MIN(D218*Constantes!$F$17,0.8*(N217+Observaciones!$F217-F218-M218-Constantes!$D$14))</f>
        <v>1.8828709415998903E-4</v>
      </c>
      <c r="F218" s="76">
        <f>IF(Observaciones!$F217&gt;0.05*Constantes!$F$18,((Observaciones!$F217-0.05*Constantes!$F$18)^2)/(Observaciones!$F217+0.95*Constantes!$F$18),0)</f>
        <v>0</v>
      </c>
      <c r="G218" s="76">
        <f>IF(Escenarios!$F$11&gt;0,(F218*Escenarios!$F$16*10000)/1000,0)</f>
        <v>0</v>
      </c>
      <c r="H218" s="76">
        <f>IF(Escenarios!$F$11&gt;0,(Observaciones!$F217*Constantes!$F$29)/1000,0)</f>
        <v>0</v>
      </c>
      <c r="I218" s="76">
        <f>IF(Escenarios!$F$11&gt;0,(D218*Constantes!$F$29)/1000,0)</f>
        <v>0</v>
      </c>
      <c r="J218" s="76">
        <f>IF(Escenarios!$F$11&gt;0,MAX(0,G218+H218-I218),0)</f>
        <v>0</v>
      </c>
      <c r="K218" s="76">
        <f>IF(Escenarios!$F$11&gt;0,IF(J218&gt;Constantes!$F$30,1000*((J218-Constantes!$F$30)/(Escenarios!$F$16*10000)),0),F218)</f>
        <v>0</v>
      </c>
      <c r="L218" s="76">
        <f>IF(Escenarios!$F$11&gt;0,I218*1000/Escenarios!$F$16/10000+E218,E218)</f>
        <v>1.8828709415998903E-4</v>
      </c>
      <c r="M218" s="76">
        <f>MAX(0,N217+Observaciones!$F217-K218-Constantes!$D$13)</f>
        <v>0</v>
      </c>
      <c r="N218" s="76">
        <f>N217+Observaciones!$F217-K218-L218-M218-O217</f>
        <v>11.250039054586486</v>
      </c>
      <c r="O218" s="76">
        <f>MAX(0,(N218-Constantes!$D$14)*(1-EXP(-Constantes!$D$22)))</f>
        <v>1.3303425880242433E-6</v>
      </c>
      <c r="P218" s="170">
        <f>P217+(Entradas!$F$83*M218-Q217)/(800*Entradas!$D$25)</f>
        <v>0</v>
      </c>
      <c r="Q218" s="170">
        <f>8000*Entradas!$D$26*P218/Constantes!$F$45</f>
        <v>0</v>
      </c>
      <c r="R218" s="170">
        <f>IF(Escenarios!$F$14&gt;0,K218*Escenarios!$F$13/Escenarios!$F$14,0)</f>
        <v>0</v>
      </c>
      <c r="S218" s="170">
        <f>IF(Escenarios!$F$14&gt;0,Q218*Escenarios!$F$13/Escenarios!$F$14,0)</f>
        <v>0</v>
      </c>
      <c r="T218" s="170">
        <f>IF(Escenarios!$F$14&gt;0,Observaciones!$I217,0)</f>
        <v>0</v>
      </c>
      <c r="U218" s="170">
        <f>IF(Escenarios!$F$14&gt;0,MAX(0,Constantes!$F$36/((Z217+R218+S218+T218+Observaciones!$F217)^2)+Entradas!$F$77),0)</f>
        <v>0</v>
      </c>
      <c r="V218" s="146">
        <f>IF(ETo!D217&gt;0,ETo!I217*((1-Entradas!$F$81)*ETo!K217+ETo!L217),0)</f>
        <v>2.5277849738346427</v>
      </c>
      <c r="W218" s="170">
        <f>IF(Escenarios!$F$14&gt;0,MIN(V218*1,0.8*(Z217+R218+S218+T218+Observaciones!$F217-U218-Constantes!$F$35)),0)</f>
        <v>2.8996758652510837E-5</v>
      </c>
      <c r="X218" s="170">
        <f>IF(Escenarios!$F$14&gt;0,Observaciones!$J217,0)</f>
        <v>0</v>
      </c>
      <c r="Y218" s="170">
        <f>IF(Escenarios!$F$14&gt;0,MAX(0,Z217+R218+S218+T218+Observaciones!$F217-U218-W218-X218-Constantes!$F$33),0)</f>
        <v>0</v>
      </c>
      <c r="Z218" s="170">
        <f>Z217+R218+S218+T218+Observaciones!$F217-U218-W218-Y218</f>
        <v>41.250007249189665</v>
      </c>
      <c r="AA218" s="170">
        <f>IF(Escenarios!$F$14&gt;0,(Escenarios!$F$13*L218+Escenarios!$F$14*W218)/(Escenarios!$F$16),L218)</f>
        <v>1.6917225389909165E-4</v>
      </c>
      <c r="AB218" s="170">
        <f>IF(Escenarios!$F$14&gt;0,(Escenarios!$F$14*Y218)/(Escenarios!$F$16),K218)</f>
        <v>0</v>
      </c>
      <c r="AC218" s="170">
        <f>IF(Escenarios!$F$14&gt;0,(Escenarios!$F$13*M218+Escenarios!$F$14*U218)/(Escenarios!$F$16),M218)</f>
        <v>0</v>
      </c>
      <c r="AD218" s="76">
        <f t="shared" si="43"/>
        <v>82.868537500434485</v>
      </c>
      <c r="AE218" s="76">
        <f>MAX(0,(AD218-Constantes!$D$13)*(1-EXP(-Constantes!$D$23)))</f>
        <v>0.33617807639428771</v>
      </c>
      <c r="AF218" s="76">
        <f>AB218+O218*Escenarios!$F$13/Escenarios!$F$16+AE218</f>
        <v>0.33617924709576519</v>
      </c>
      <c r="AG218" s="76">
        <f>IF(Entradas!$F$91&gt;0,IF(AF218-Escenarios!$F$38&lt;=0,0,IF(AF218-Escenarios!$F$38&gt;Escenarios!$F$37,Escenarios!$F$37,AF218-Escenarios!$F$38)),0)</f>
        <v>0</v>
      </c>
      <c r="AH218" s="76">
        <f>AG218*Entradas!$F$99</f>
        <v>0</v>
      </c>
      <c r="AI218" s="76">
        <f>IF(Entradas!$F$91&gt;0,D218*Entradas!$D$23/Escenarios!$F$16,0)</f>
        <v>0.13860119776193561</v>
      </c>
      <c r="AJ218" s="76">
        <f>IF(Entradas!$F$91&gt;0,Entradas!$D$24*Entradas!$D$22/Escenarios!$F$16,0)</f>
        <v>0.12</v>
      </c>
      <c r="AK218" s="76">
        <f t="shared" si="44"/>
        <v>0.1387703700158347</v>
      </c>
      <c r="AL218" s="76">
        <f t="shared" si="45"/>
        <v>0</v>
      </c>
      <c r="AM218" s="76">
        <f t="shared" si="46"/>
        <v>0</v>
      </c>
      <c r="AN218" s="76">
        <f>MAX(0,O218*Escenarios!$F$13/Escenarios!$F$16-AM218)</f>
        <v>1.170701477461334E-6</v>
      </c>
      <c r="AO218" s="76">
        <f>AM218+AN218-O218*Escenarios!$F$13/Escenarios!$F$16</f>
        <v>0</v>
      </c>
      <c r="AP218" s="76">
        <f t="shared" si="47"/>
        <v>0.33617807639428771</v>
      </c>
      <c r="AQ218" s="76">
        <f t="shared" si="48"/>
        <v>0</v>
      </c>
      <c r="AR218" s="76">
        <f t="shared" si="49"/>
        <v>0.33617924709576519</v>
      </c>
      <c r="AS218" s="76">
        <f t="shared" si="50"/>
        <v>0</v>
      </c>
      <c r="AT218" s="76">
        <f t="shared" si="51"/>
        <v>0</v>
      </c>
      <c r="AU218" s="76">
        <f t="shared" si="52"/>
        <v>50.643504610261282</v>
      </c>
      <c r="AV218" s="76">
        <f>MAX(0,(AU218-Constantes!$D$13)*(1-EXP(-Constantes!$D$24)))</f>
        <v>2.8942685787637201E-2</v>
      </c>
      <c r="AW218" s="170">
        <f>AW217+(Entradas!$F$112*AT218-AX217)/(800*Entradas!$D$25)</f>
        <v>0</v>
      </c>
      <c r="AX218" s="170">
        <f>8000*Entradas!$D$26*AW218/Constantes!$F$45</f>
        <v>0</v>
      </c>
      <c r="AY218" s="170">
        <f>IF(Escenarios!$F$17&gt;0,10*Escenarios!$F$16*AL218,0)</f>
        <v>0</v>
      </c>
      <c r="AZ218" s="170">
        <f>IF(Escenarios!$F$17&gt;0,10*Escenarios!$F$16*AX218,0)</f>
        <v>0</v>
      </c>
      <c r="BA218" s="170">
        <f>IF(Escenarios!$F$17&gt;0,0.001*Observaciones!$F217*Escenarios!$F$17,0)</f>
        <v>0</v>
      </c>
      <c r="BB218" s="170">
        <f>IF(Escenarios!$F$17&gt;0,Observaciones!$K217,0)</f>
        <v>0</v>
      </c>
      <c r="BC218" s="170">
        <f>IF(Escenarios!$F$17&gt;0,MIN(0.0005*ETo!$M217*Escenarios!$F$17*(BG217/Constantes!$F$40)^(2/3),BG217+AY218+AZ218+BA218+BB218),0)</f>
        <v>0</v>
      </c>
      <c r="BD218" s="170">
        <f>IF(Escenarios!$F$17&gt;0,MIN(Constantes!$F$39*(BG217/Constantes!$F$40)^(2/3),BG217+AY218+AZ218+BA218+BB218-BC218),0)</f>
        <v>0</v>
      </c>
      <c r="BE218" s="170">
        <f>IF(Escenarios!$F$17&gt;0,MIN(Entradas!$F$113,BG217+AY218+AZ218+BA218+BB218-BC218-BD218),0)</f>
        <v>0</v>
      </c>
      <c r="BF218" s="170">
        <f>IF(Escenarios!$F$17&gt;0,MAX(0,BG217+AY218+AZ218+BA218+BB218-BC218-BD218-BE218-Constantes!$F$40),0)</f>
        <v>0</v>
      </c>
      <c r="BG218" s="170">
        <f t="shared" si="53"/>
        <v>0</v>
      </c>
      <c r="BH218" s="170">
        <f>(Escenarios!$F$16*AK218+0.1*BC218)/(Escenarios!$F$19)</f>
        <v>0.1387703700158347</v>
      </c>
      <c r="BI218" s="170">
        <f>IF(Escenarios!$F$17&gt;0,BF218/10/Escenarios!$F$19,AL218)</f>
        <v>0</v>
      </c>
      <c r="BJ218" s="170">
        <f>(Escenarios!$F$16*AT218+0.1*BD218)/(Escenarios!$F$19)</f>
        <v>0</v>
      </c>
      <c r="BK218" s="76">
        <f>BK217+(0.1*BD218)/(Escenarios!$F$19)-BL217</f>
        <v>48.75</v>
      </c>
      <c r="BL218" s="76">
        <f>MAX(0,(BK218-Constantes!$D$13)*(1-EXP(-Constantes!$D$23)))</f>
        <v>0</v>
      </c>
      <c r="BM218" s="76">
        <f t="shared" si="54"/>
        <v>0.36512076218192491</v>
      </c>
      <c r="BN218" s="76">
        <f t="shared" si="55"/>
        <v>0.36512193288340239</v>
      </c>
      <c r="BO218" s="76">
        <f>0.0526*BI218*Observaciones!$F217^1.218</f>
        <v>0</v>
      </c>
      <c r="BP218" s="76">
        <f>BO218*Constantes!$F$51</f>
        <v>0</v>
      </c>
      <c r="BQ218" s="76">
        <f t="shared" si="56"/>
        <v>0</v>
      </c>
      <c r="BR218" s="40"/>
    </row>
    <row r="219" spans="2:70">
      <c r="B219" s="39"/>
      <c r="C219" s="75">
        <v>213</v>
      </c>
      <c r="D219" s="146">
        <f>ETo!$I218*((1-Constantes!$F$19)*ETo!$K218+ETo!$L218)</f>
        <v>3.041317745971996</v>
      </c>
      <c r="E219" s="76">
        <f>MIN(D219*Constantes!$F$17,0.8*(N218+Observaciones!$F218-F219-M219-Constantes!$D$14))</f>
        <v>3.1243669188540937E-5</v>
      </c>
      <c r="F219" s="76">
        <f>IF(Observaciones!$F218&gt;0.05*Constantes!$F$18,((Observaciones!$F218-0.05*Constantes!$F$18)^2)/(Observaciones!$F218+0.95*Constantes!$F$18),0)</f>
        <v>0</v>
      </c>
      <c r="G219" s="76">
        <f>IF(Escenarios!$F$11&gt;0,(F219*Escenarios!$F$16*10000)/1000,0)</f>
        <v>0</v>
      </c>
      <c r="H219" s="76">
        <f>IF(Escenarios!$F$11&gt;0,(Observaciones!$F218*Constantes!$F$29)/1000,0)</f>
        <v>0</v>
      </c>
      <c r="I219" s="76">
        <f>IF(Escenarios!$F$11&gt;0,(D219*Constantes!$F$29)/1000,0)</f>
        <v>0</v>
      </c>
      <c r="J219" s="76">
        <f>IF(Escenarios!$F$11&gt;0,MAX(0,G219+H219-I219),0)</f>
        <v>0</v>
      </c>
      <c r="K219" s="76">
        <f>IF(Escenarios!$F$11&gt;0,IF(J219&gt;Constantes!$F$30,1000*((J219-Constantes!$F$30)/(Escenarios!$F$16*10000)),0),F219)</f>
        <v>0</v>
      </c>
      <c r="L219" s="76">
        <f>IF(Escenarios!$F$11&gt;0,I219*1000/Escenarios!$F$16/10000+E219,E219)</f>
        <v>3.1243669188540937E-5</v>
      </c>
      <c r="M219" s="76">
        <f>MAX(0,N218+Observaciones!$F218-K219-Constantes!$D$13)</f>
        <v>0</v>
      </c>
      <c r="N219" s="76">
        <f>N218+Observaciones!$F218-K219-L219-M219-O218</f>
        <v>11.25000648057471</v>
      </c>
      <c r="O219" s="76">
        <f>MAX(0,(N219-Constantes!$D$14)*(1-EXP(-Constantes!$D$22)))</f>
        <v>2.2075216529106398E-7</v>
      </c>
      <c r="P219" s="170">
        <f>P218+(Entradas!$F$83*M219-Q218)/(800*Entradas!$D$25)</f>
        <v>0</v>
      </c>
      <c r="Q219" s="170">
        <f>8000*Entradas!$D$26*P219/Constantes!$F$45</f>
        <v>0</v>
      </c>
      <c r="R219" s="170">
        <f>IF(Escenarios!$F$14&gt;0,K219*Escenarios!$F$13/Escenarios!$F$14,0)</f>
        <v>0</v>
      </c>
      <c r="S219" s="170">
        <f>IF(Escenarios!$F$14&gt;0,Q219*Escenarios!$F$13/Escenarios!$F$14,0)</f>
        <v>0</v>
      </c>
      <c r="T219" s="170">
        <f>IF(Escenarios!$F$14&gt;0,Observaciones!$I218,0)</f>
        <v>0</v>
      </c>
      <c r="U219" s="170">
        <f>IF(Escenarios!$F$14&gt;0,MAX(0,Constantes!$F$36/((Z218+R219+S219+T219+Observaciones!$F218)^2)+Entradas!$F$77),0)</f>
        <v>0</v>
      </c>
      <c r="V219" s="146">
        <f>IF(ETo!D218&gt;0,ETo!I218*((1-Entradas!$F$81)*ETo!K218+ETo!L218),0)</f>
        <v>2.6647535688932455</v>
      </c>
      <c r="W219" s="170">
        <f>IF(Escenarios!$F$14&gt;0,MIN(V219*1,0.8*(Z218+R219+S219+T219+Observaciones!$F218-U219-Constantes!$F$35)),0)</f>
        <v>5.7993517316390358E-6</v>
      </c>
      <c r="X219" s="170">
        <f>IF(Escenarios!$F$14&gt;0,Observaciones!$J218,0)</f>
        <v>0</v>
      </c>
      <c r="Y219" s="170">
        <f>IF(Escenarios!$F$14&gt;0,MAX(0,Z218+R219+S219+T219+Observaciones!$F218-U219-W219-X219-Constantes!$F$33),0)</f>
        <v>0</v>
      </c>
      <c r="Z219" s="170">
        <f>Z218+R219+S219+T219+Observaciones!$F218-U219-W219-Y219</f>
        <v>41.250001449837931</v>
      </c>
      <c r="AA219" s="170">
        <f>IF(Escenarios!$F$14&gt;0,(Escenarios!$F$13*L219+Escenarios!$F$14*W219)/(Escenarios!$F$16),L219)</f>
        <v>2.8190351093712709E-5</v>
      </c>
      <c r="AB219" s="170">
        <f>IF(Escenarios!$F$14&gt;0,(Escenarios!$F$14*Y219)/(Escenarios!$F$16),K219)</f>
        <v>0</v>
      </c>
      <c r="AC219" s="170">
        <f>IF(Escenarios!$F$14&gt;0,(Escenarios!$F$13*M219+Escenarios!$F$14*U219)/(Escenarios!$F$16),M219)</f>
        <v>0</v>
      </c>
      <c r="AD219" s="76">
        <f t="shared" si="43"/>
        <v>82.532359424040195</v>
      </c>
      <c r="AE219" s="76">
        <f>MAX(0,(AD219-Constantes!$D$13)*(1-EXP(-Constantes!$D$23)))</f>
        <v>0.33286563373619532</v>
      </c>
      <c r="AF219" s="76">
        <f>AB219+O219*Escenarios!$F$13/Escenarios!$F$16+AE219</f>
        <v>0.33286582799810077</v>
      </c>
      <c r="AG219" s="76">
        <f>IF(Entradas!$F$91&gt;0,IF(AF219-Escenarios!$F$38&lt;=0,0,IF(AF219-Escenarios!$F$38&gt;Escenarios!$F$37,Escenarios!$F$37,AF219-Escenarios!$F$38)),0)</f>
        <v>0</v>
      </c>
      <c r="AH219" s="76">
        <f>AG219*Entradas!$F$99</f>
        <v>0</v>
      </c>
      <c r="AI219" s="76">
        <f>IF(Entradas!$F$91&gt;0,D219*Entradas!$D$23/Escenarios!$F$16,0)</f>
        <v>0.14598325180665581</v>
      </c>
      <c r="AJ219" s="76">
        <f>IF(Entradas!$F$91&gt;0,Entradas!$D$24*Entradas!$D$22/Escenarios!$F$16,0)</f>
        <v>0.12</v>
      </c>
      <c r="AK219" s="76">
        <f t="shared" si="44"/>
        <v>0.14601144215774953</v>
      </c>
      <c r="AL219" s="76">
        <f t="shared" si="45"/>
        <v>0</v>
      </c>
      <c r="AM219" s="76">
        <f t="shared" si="46"/>
        <v>0</v>
      </c>
      <c r="AN219" s="76">
        <f>MAX(0,O219*Escenarios!$F$13/Escenarios!$F$16-AM219)</f>
        <v>1.9426190545613629E-7</v>
      </c>
      <c r="AO219" s="76">
        <f>AM219+AN219-O219*Escenarios!$F$13/Escenarios!$F$16</f>
        <v>0</v>
      </c>
      <c r="AP219" s="76">
        <f t="shared" si="47"/>
        <v>0.33286563373619532</v>
      </c>
      <c r="AQ219" s="76">
        <f t="shared" si="48"/>
        <v>0</v>
      </c>
      <c r="AR219" s="76">
        <f t="shared" si="49"/>
        <v>0.33286582799810077</v>
      </c>
      <c r="AS219" s="76">
        <f t="shared" si="50"/>
        <v>0</v>
      </c>
      <c r="AT219" s="76">
        <f t="shared" si="51"/>
        <v>0</v>
      </c>
      <c r="AU219" s="76">
        <f t="shared" si="52"/>
        <v>50.614561924473641</v>
      </c>
      <c r="AV219" s="76">
        <f>MAX(0,(AU219-Constantes!$D$13)*(1-EXP(-Constantes!$D$24)))</f>
        <v>2.8500289684631985E-2</v>
      </c>
      <c r="AW219" s="170">
        <f>AW218+(Entradas!$F$112*AT219-AX218)/(800*Entradas!$D$25)</f>
        <v>0</v>
      </c>
      <c r="AX219" s="170">
        <f>8000*Entradas!$D$26*AW219/Constantes!$F$45</f>
        <v>0</v>
      </c>
      <c r="AY219" s="170">
        <f>IF(Escenarios!$F$17&gt;0,10*Escenarios!$F$16*AL219,0)</f>
        <v>0</v>
      </c>
      <c r="AZ219" s="170">
        <f>IF(Escenarios!$F$17&gt;0,10*Escenarios!$F$16*AX219,0)</f>
        <v>0</v>
      </c>
      <c r="BA219" s="170">
        <f>IF(Escenarios!$F$17&gt;0,0.001*Observaciones!$F218*Escenarios!$F$17,0)</f>
        <v>0</v>
      </c>
      <c r="BB219" s="170">
        <f>IF(Escenarios!$F$17&gt;0,Observaciones!$K218,0)</f>
        <v>0</v>
      </c>
      <c r="BC219" s="170">
        <f>IF(Escenarios!$F$17&gt;0,MIN(0.0005*ETo!$M218*Escenarios!$F$17*(BG218/Constantes!$F$40)^(2/3),BG218+AY219+AZ219+BA219+BB219),0)</f>
        <v>0</v>
      </c>
      <c r="BD219" s="170">
        <f>IF(Escenarios!$F$17&gt;0,MIN(Constantes!$F$39*(BG218/Constantes!$F$40)^(2/3),BG218+AY219+AZ219+BA219+BB219-BC219),0)</f>
        <v>0</v>
      </c>
      <c r="BE219" s="170">
        <f>IF(Escenarios!$F$17&gt;0,MIN(Entradas!$F$113,BG218+AY219+AZ219+BA219+BB219-BC219-BD219),0)</f>
        <v>0</v>
      </c>
      <c r="BF219" s="170">
        <f>IF(Escenarios!$F$17&gt;0,MAX(0,BG218+AY219+AZ219+BA219+BB219-BC219-BD219-BE219-Constantes!$F$40),0)</f>
        <v>0</v>
      </c>
      <c r="BG219" s="170">
        <f t="shared" si="53"/>
        <v>0</v>
      </c>
      <c r="BH219" s="170">
        <f>(Escenarios!$F$16*AK219+0.1*BC219)/(Escenarios!$F$19)</f>
        <v>0.14601144215774953</v>
      </c>
      <c r="BI219" s="170">
        <f>IF(Escenarios!$F$17&gt;0,BF219/10/Escenarios!$F$19,AL219)</f>
        <v>0</v>
      </c>
      <c r="BJ219" s="170">
        <f>(Escenarios!$F$16*AT219+0.1*BD219)/(Escenarios!$F$19)</f>
        <v>0</v>
      </c>
      <c r="BK219" s="76">
        <f>BK218+(0.1*BD219)/(Escenarios!$F$19)-BL218</f>
        <v>48.75</v>
      </c>
      <c r="BL219" s="76">
        <f>MAX(0,(BK219-Constantes!$D$13)*(1-EXP(-Constantes!$D$23)))</f>
        <v>0</v>
      </c>
      <c r="BM219" s="76">
        <f t="shared" si="54"/>
        <v>0.3613659234208273</v>
      </c>
      <c r="BN219" s="76">
        <f t="shared" si="55"/>
        <v>0.36136611768273275</v>
      </c>
      <c r="BO219" s="76">
        <f>0.0526*BI219*Observaciones!$F218^1.218</f>
        <v>0</v>
      </c>
      <c r="BP219" s="76">
        <f>BO219*Constantes!$F$51</f>
        <v>0</v>
      </c>
      <c r="BQ219" s="76">
        <f t="shared" si="56"/>
        <v>0</v>
      </c>
      <c r="BR219" s="40"/>
    </row>
    <row r="220" spans="2:70">
      <c r="B220" s="39"/>
      <c r="C220" s="75">
        <v>214</v>
      </c>
      <c r="D220" s="146">
        <f>ETo!$I219*((1-Constantes!$F$19)*ETo!$K219+ETo!$L219)</f>
        <v>3.0199947022834124</v>
      </c>
      <c r="E220" s="76">
        <f>MIN(D220*Constantes!$F$17,0.8*(N219+Observaciones!$F219-F220-M220-Constantes!$D$14))</f>
        <v>0.32000518445976811</v>
      </c>
      <c r="F220" s="76">
        <f>IF(Observaciones!$F219&gt;0.05*Constantes!$F$18,((Observaciones!$F219-0.05*Constantes!$F$18)^2)/(Observaciones!$F219+0.95*Constantes!$F$18),0)</f>
        <v>0</v>
      </c>
      <c r="G220" s="76">
        <f>IF(Escenarios!$F$11&gt;0,(F220*Escenarios!$F$16*10000)/1000,0)</f>
        <v>0</v>
      </c>
      <c r="H220" s="76">
        <f>IF(Escenarios!$F$11&gt;0,(Observaciones!$F219*Constantes!$F$29)/1000,0)</f>
        <v>0</v>
      </c>
      <c r="I220" s="76">
        <f>IF(Escenarios!$F$11&gt;0,(D220*Constantes!$F$29)/1000,0)</f>
        <v>0</v>
      </c>
      <c r="J220" s="76">
        <f>IF(Escenarios!$F$11&gt;0,MAX(0,G220+H220-I220),0)</f>
        <v>0</v>
      </c>
      <c r="K220" s="76">
        <f>IF(Escenarios!$F$11&gt;0,IF(J220&gt;Constantes!$F$30,1000*((J220-Constantes!$F$30)/(Escenarios!$F$16*10000)),0),F220)</f>
        <v>0</v>
      </c>
      <c r="L220" s="76">
        <f>IF(Escenarios!$F$11&gt;0,I220*1000/Escenarios!$F$16/10000+E220,E220)</f>
        <v>0.32000518445976811</v>
      </c>
      <c r="M220" s="76">
        <f>MAX(0,N219+Observaciones!$F219-K220-Constantes!$D$13)</f>
        <v>0</v>
      </c>
      <c r="N220" s="76">
        <f>N219+Observaciones!$F219-K220-L220-M220-O219</f>
        <v>11.330001075362777</v>
      </c>
      <c r="O220" s="76">
        <f>MAX(0,(N220-Constantes!$D$14)*(1-EXP(-Constantes!$D$22)))</f>
        <v>2.725130316816263E-3</v>
      </c>
      <c r="P220" s="170">
        <f>P219+(Entradas!$F$83*M220-Q219)/(800*Entradas!$D$25)</f>
        <v>0</v>
      </c>
      <c r="Q220" s="170">
        <f>8000*Entradas!$D$26*P220/Constantes!$F$45</f>
        <v>0</v>
      </c>
      <c r="R220" s="170">
        <f>IF(Escenarios!$F$14&gt;0,K220*Escenarios!$F$13/Escenarios!$F$14,0)</f>
        <v>0</v>
      </c>
      <c r="S220" s="170">
        <f>IF(Escenarios!$F$14&gt;0,Q220*Escenarios!$F$13/Escenarios!$F$14,0)</f>
        <v>0</v>
      </c>
      <c r="T220" s="170">
        <f>IF(Escenarios!$F$14&gt;0,Observaciones!$I219,0)</f>
        <v>0</v>
      </c>
      <c r="U220" s="170">
        <f>IF(Escenarios!$F$14&gt;0,MAX(0,Constantes!$F$36/((Z219+R220+S220+T220+Observaciones!$F219)^2)+Entradas!$F$77),0)</f>
        <v>0</v>
      </c>
      <c r="V220" s="146">
        <f>IF(ETo!D219&gt;0,ETo!I219*((1-Entradas!$F$81)*ETo!K219+ETo!L219),0)</f>
        <v>2.6462055864044585</v>
      </c>
      <c r="W220" s="170">
        <f>IF(Escenarios!$F$14&gt;0,MIN(V220*1,0.8*(Z219+R220+S220+T220+Observaciones!$F219-U220-Constantes!$F$35)),0)</f>
        <v>0.32000115987034405</v>
      </c>
      <c r="X220" s="170">
        <f>IF(Escenarios!$F$14&gt;0,Observaciones!$J219,0)</f>
        <v>0</v>
      </c>
      <c r="Y220" s="170">
        <f>IF(Escenarios!$F$14&gt;0,MAX(0,Z219+R220+S220+T220+Observaciones!$F219-U220-W220-X220-Constantes!$F$33),0)</f>
        <v>0</v>
      </c>
      <c r="Z220" s="170">
        <f>Z219+R220+S220+T220+Observaciones!$F219-U220-W220-Y220</f>
        <v>41.330000289967586</v>
      </c>
      <c r="AA220" s="170">
        <f>IF(Escenarios!$F$14&gt;0,(Escenarios!$F$13*L220+Escenarios!$F$14*W220)/(Escenarios!$F$16),L220)</f>
        <v>0.3200047015090372</v>
      </c>
      <c r="AB220" s="170">
        <f>IF(Escenarios!$F$14&gt;0,(Escenarios!$F$14*Y220)/(Escenarios!$F$16),K220)</f>
        <v>0</v>
      </c>
      <c r="AC220" s="170">
        <f>IF(Escenarios!$F$14&gt;0,(Escenarios!$F$13*M220+Escenarios!$F$14*U220)/(Escenarios!$F$16),M220)</f>
        <v>0</v>
      </c>
      <c r="AD220" s="76">
        <f t="shared" si="43"/>
        <v>82.199493790304004</v>
      </c>
      <c r="AE220" s="76">
        <f>MAX(0,(AD220-Constantes!$D$13)*(1-EXP(-Constantes!$D$23)))</f>
        <v>0.32958582936457553</v>
      </c>
      <c r="AF220" s="76">
        <f>AB220+O220*Escenarios!$F$13/Escenarios!$F$16+AE220</f>
        <v>0.33198394404337384</v>
      </c>
      <c r="AG220" s="76">
        <f>IF(Entradas!$F$91&gt;0,IF(AF220-Escenarios!$F$38&lt;=0,0,IF(AF220-Escenarios!$F$38&gt;Escenarios!$F$37,Escenarios!$F$37,AF220-Escenarios!$F$38)),0)</f>
        <v>0</v>
      </c>
      <c r="AH220" s="76">
        <f>AG220*Entradas!$F$99</f>
        <v>0</v>
      </c>
      <c r="AI220" s="76">
        <f>IF(Entradas!$F$91&gt;0,D220*Entradas!$D$23/Escenarios!$F$16,0)</f>
        <v>0.14495974570960379</v>
      </c>
      <c r="AJ220" s="76">
        <f>IF(Entradas!$F$91&gt;0,Entradas!$D$24*Entradas!$D$22/Escenarios!$F$16,0)</f>
        <v>0.12</v>
      </c>
      <c r="AK220" s="76">
        <f t="shared" si="44"/>
        <v>0.464964447218641</v>
      </c>
      <c r="AL220" s="76">
        <f t="shared" si="45"/>
        <v>0</v>
      </c>
      <c r="AM220" s="76">
        <f t="shared" si="46"/>
        <v>0</v>
      </c>
      <c r="AN220" s="76">
        <f>MAX(0,O220*Escenarios!$F$13/Escenarios!$F$16-AM220)</f>
        <v>2.3981146787983116E-3</v>
      </c>
      <c r="AO220" s="76">
        <f>AM220+AN220-O220*Escenarios!$F$13/Escenarios!$F$16</f>
        <v>0</v>
      </c>
      <c r="AP220" s="76">
        <f t="shared" si="47"/>
        <v>0.32958582936457553</v>
      </c>
      <c r="AQ220" s="76">
        <f t="shared" si="48"/>
        <v>0</v>
      </c>
      <c r="AR220" s="76">
        <f t="shared" si="49"/>
        <v>0.33198394404337384</v>
      </c>
      <c r="AS220" s="76">
        <f t="shared" si="50"/>
        <v>0</v>
      </c>
      <c r="AT220" s="76">
        <f t="shared" si="51"/>
        <v>0</v>
      </c>
      <c r="AU220" s="76">
        <f t="shared" si="52"/>
        <v>50.586061634789012</v>
      </c>
      <c r="AV220" s="76">
        <f>MAX(0,(AU220-Constantes!$D$13)*(1-EXP(-Constantes!$D$24)))</f>
        <v>2.8064655715362145E-2</v>
      </c>
      <c r="AW220" s="170">
        <f>AW219+(Entradas!$F$112*AT220-AX219)/(800*Entradas!$D$25)</f>
        <v>0</v>
      </c>
      <c r="AX220" s="170">
        <f>8000*Entradas!$D$26*AW220/Constantes!$F$45</f>
        <v>0</v>
      </c>
      <c r="AY220" s="170">
        <f>IF(Escenarios!$F$17&gt;0,10*Escenarios!$F$16*AL220,0)</f>
        <v>0</v>
      </c>
      <c r="AZ220" s="170">
        <f>IF(Escenarios!$F$17&gt;0,10*Escenarios!$F$16*AX220,0)</f>
        <v>0</v>
      </c>
      <c r="BA220" s="170">
        <f>IF(Escenarios!$F$17&gt;0,0.001*Observaciones!$F219*Escenarios!$F$17,0)</f>
        <v>0</v>
      </c>
      <c r="BB220" s="170">
        <f>IF(Escenarios!$F$17&gt;0,Observaciones!$K219,0)</f>
        <v>0</v>
      </c>
      <c r="BC220" s="170">
        <f>IF(Escenarios!$F$17&gt;0,MIN(0.0005*ETo!$M219*Escenarios!$F$17*(BG219/Constantes!$F$40)^(2/3),BG219+AY220+AZ220+BA220+BB220),0)</f>
        <v>0</v>
      </c>
      <c r="BD220" s="170">
        <f>IF(Escenarios!$F$17&gt;0,MIN(Constantes!$F$39*(BG219/Constantes!$F$40)^(2/3),BG219+AY220+AZ220+BA220+BB220-BC220),0)</f>
        <v>0</v>
      </c>
      <c r="BE220" s="170">
        <f>IF(Escenarios!$F$17&gt;0,MIN(Entradas!$F$113,BG219+AY220+AZ220+BA220+BB220-BC220-BD220),0)</f>
        <v>0</v>
      </c>
      <c r="BF220" s="170">
        <f>IF(Escenarios!$F$17&gt;0,MAX(0,BG219+AY220+AZ220+BA220+BB220-BC220-BD220-BE220-Constantes!$F$40),0)</f>
        <v>0</v>
      </c>
      <c r="BG220" s="170">
        <f t="shared" si="53"/>
        <v>0</v>
      </c>
      <c r="BH220" s="170">
        <f>(Escenarios!$F$16*AK220+0.1*BC220)/(Escenarios!$F$19)</f>
        <v>0.464964447218641</v>
      </c>
      <c r="BI220" s="170">
        <f>IF(Escenarios!$F$17&gt;0,BF220/10/Escenarios!$F$19,AL220)</f>
        <v>0</v>
      </c>
      <c r="BJ220" s="170">
        <f>(Escenarios!$F$16*AT220+0.1*BD220)/(Escenarios!$F$19)</f>
        <v>0</v>
      </c>
      <c r="BK220" s="76">
        <f>BK219+(0.1*BD220)/(Escenarios!$F$19)-BL219</f>
        <v>48.75</v>
      </c>
      <c r="BL220" s="76">
        <f>MAX(0,(BK220-Constantes!$D$13)*(1-EXP(-Constantes!$D$23)))</f>
        <v>0</v>
      </c>
      <c r="BM220" s="76">
        <f t="shared" si="54"/>
        <v>0.35765048507993769</v>
      </c>
      <c r="BN220" s="76">
        <f t="shared" si="55"/>
        <v>0.36004859975873599</v>
      </c>
      <c r="BO220" s="76">
        <f>0.0526*BI220*Observaciones!$F219^1.218</f>
        <v>0</v>
      </c>
      <c r="BP220" s="76">
        <f>BO220*Constantes!$F$51</f>
        <v>0</v>
      </c>
      <c r="BQ220" s="76">
        <f t="shared" si="56"/>
        <v>0</v>
      </c>
      <c r="BR220" s="40"/>
    </row>
    <row r="221" spans="2:70">
      <c r="B221" s="39"/>
      <c r="C221" s="75">
        <v>215</v>
      </c>
      <c r="D221" s="146">
        <f>ETo!$I220*((1-Constantes!$F$19)*ETo!$K220+ETo!$L220)</f>
        <v>3.0362196404695423</v>
      </c>
      <c r="E221" s="76">
        <f>MIN(D221*Constantes!$F$17,0.8*(N220+Observaciones!$F220-F221-M221-Constantes!$D$14))</f>
        <v>6.400086029022134E-2</v>
      </c>
      <c r="F221" s="76">
        <f>IF(Observaciones!$F220&gt;0.05*Constantes!$F$18,((Observaciones!$F220-0.05*Constantes!$F$18)^2)/(Observaciones!$F220+0.95*Constantes!$F$18),0)</f>
        <v>0</v>
      </c>
      <c r="G221" s="76">
        <f>IF(Escenarios!$F$11&gt;0,(F221*Escenarios!$F$16*10000)/1000,0)</f>
        <v>0</v>
      </c>
      <c r="H221" s="76">
        <f>IF(Escenarios!$F$11&gt;0,(Observaciones!$F220*Constantes!$F$29)/1000,0)</f>
        <v>0</v>
      </c>
      <c r="I221" s="76">
        <f>IF(Escenarios!$F$11&gt;0,(D221*Constantes!$F$29)/1000,0)</f>
        <v>0</v>
      </c>
      <c r="J221" s="76">
        <f>IF(Escenarios!$F$11&gt;0,MAX(0,G221+H221-I221),0)</f>
        <v>0</v>
      </c>
      <c r="K221" s="76">
        <f>IF(Escenarios!$F$11&gt;0,IF(J221&gt;Constantes!$F$30,1000*((J221-Constantes!$F$30)/(Escenarios!$F$16*10000)),0),F221)</f>
        <v>0</v>
      </c>
      <c r="L221" s="76">
        <f>IF(Escenarios!$F$11&gt;0,I221*1000/Escenarios!$F$16/10000+E221,E221)</f>
        <v>6.400086029022134E-2</v>
      </c>
      <c r="M221" s="76">
        <f>MAX(0,N220+Observaciones!$F220-K221-Constantes!$D$13)</f>
        <v>0</v>
      </c>
      <c r="N221" s="76">
        <f>N220+Observaciones!$F220-K221-L221-M221-O220</f>
        <v>11.263275084755739</v>
      </c>
      <c r="O221" s="76">
        <f>MAX(0,(N221-Constantes!$D$14)*(1-EXP(-Constantes!$D$22)))</f>
        <v>4.5219812061427525E-4</v>
      </c>
      <c r="P221" s="170">
        <f>P220+(Entradas!$F$83*M221-Q220)/(800*Entradas!$D$25)</f>
        <v>0</v>
      </c>
      <c r="Q221" s="170">
        <f>8000*Entradas!$D$26*P221/Constantes!$F$45</f>
        <v>0</v>
      </c>
      <c r="R221" s="170">
        <f>IF(Escenarios!$F$14&gt;0,K221*Escenarios!$F$13/Escenarios!$F$14,0)</f>
        <v>0</v>
      </c>
      <c r="S221" s="170">
        <f>IF(Escenarios!$F$14&gt;0,Q221*Escenarios!$F$13/Escenarios!$F$14,0)</f>
        <v>0</v>
      </c>
      <c r="T221" s="170">
        <f>IF(Escenarios!$F$14&gt;0,Observaciones!$I220,0)</f>
        <v>0</v>
      </c>
      <c r="U221" s="170">
        <f>IF(Escenarios!$F$14&gt;0,MAX(0,Constantes!$F$36/((Z220+R221+S221+T221+Observaciones!$F220)^2)+Entradas!$F$77),0)</f>
        <v>0</v>
      </c>
      <c r="V221" s="146">
        <f>IF(ETo!D220&gt;0,ETo!I220*((1-Entradas!$F$81)*ETo!K220+ETo!L220),0)</f>
        <v>2.6610874375267977</v>
      </c>
      <c r="W221" s="170">
        <f>IF(Escenarios!$F$14&gt;0,MIN(V221*1,0.8*(Z220+R221+S221+T221+Observaciones!$F220-U221-Constantes!$F$35)),0)</f>
        <v>6.4000231974068816E-2</v>
      </c>
      <c r="X221" s="170">
        <f>IF(Escenarios!$F$14&gt;0,Observaciones!$J220,0)</f>
        <v>0</v>
      </c>
      <c r="Y221" s="170">
        <f>IF(Escenarios!$F$14&gt;0,MAX(0,Z220+R221+S221+T221+Observaciones!$F220-U221-W221-X221-Constantes!$F$33),0)</f>
        <v>0</v>
      </c>
      <c r="Z221" s="170">
        <f>Z220+R221+S221+T221+Observaciones!$F220-U221-W221-Y221</f>
        <v>41.266000057993516</v>
      </c>
      <c r="AA221" s="170">
        <f>IF(Escenarios!$F$14&gt;0,(Escenarios!$F$13*L221+Escenarios!$F$14*W221)/(Escenarios!$F$16),L221)</f>
        <v>6.400078489228303E-2</v>
      </c>
      <c r="AB221" s="170">
        <f>IF(Escenarios!$F$14&gt;0,(Escenarios!$F$14*Y221)/(Escenarios!$F$16),K221)</f>
        <v>0</v>
      </c>
      <c r="AC221" s="170">
        <f>IF(Escenarios!$F$14&gt;0,(Escenarios!$F$13*M221+Escenarios!$F$14*U221)/(Escenarios!$F$16),M221)</f>
        <v>0</v>
      </c>
      <c r="AD221" s="76">
        <f t="shared" si="43"/>
        <v>81.869907960939429</v>
      </c>
      <c r="AE221" s="76">
        <f>MAX(0,(AD221-Constantes!$D$13)*(1-EXP(-Constantes!$D$23)))</f>
        <v>0.32633834168661785</v>
      </c>
      <c r="AF221" s="76">
        <f>AB221+O221*Escenarios!$F$13/Escenarios!$F$16+AE221</f>
        <v>0.3267362760327584</v>
      </c>
      <c r="AG221" s="76">
        <f>IF(Entradas!$F$91&gt;0,IF(AF221-Escenarios!$F$38&lt;=0,0,IF(AF221-Escenarios!$F$38&gt;Escenarios!$F$37,Escenarios!$F$37,AF221-Escenarios!$F$38)),0)</f>
        <v>0</v>
      </c>
      <c r="AH221" s="76">
        <f>AG221*Entradas!$F$99</f>
        <v>0</v>
      </c>
      <c r="AI221" s="76">
        <f>IF(Entradas!$F$91&gt;0,D221*Entradas!$D$23/Escenarios!$F$16,0)</f>
        <v>0.145738542742538</v>
      </c>
      <c r="AJ221" s="76">
        <f>IF(Entradas!$F$91&gt;0,Entradas!$D$24*Entradas!$D$22/Escenarios!$F$16,0)</f>
        <v>0.12</v>
      </c>
      <c r="AK221" s="76">
        <f t="shared" si="44"/>
        <v>0.20973932763482103</v>
      </c>
      <c r="AL221" s="76">
        <f t="shared" si="45"/>
        <v>0</v>
      </c>
      <c r="AM221" s="76">
        <f t="shared" si="46"/>
        <v>0</v>
      </c>
      <c r="AN221" s="76">
        <f>MAX(0,O221*Escenarios!$F$13/Escenarios!$F$16-AM221)</f>
        <v>3.9793434614056225E-4</v>
      </c>
      <c r="AO221" s="76">
        <f>AM221+AN221-O221*Escenarios!$F$13/Escenarios!$F$16</f>
        <v>0</v>
      </c>
      <c r="AP221" s="76">
        <f t="shared" si="47"/>
        <v>0.32633834168661785</v>
      </c>
      <c r="AQ221" s="76">
        <f t="shared" si="48"/>
        <v>0</v>
      </c>
      <c r="AR221" s="76">
        <f t="shared" si="49"/>
        <v>0.3267362760327584</v>
      </c>
      <c r="AS221" s="76">
        <f t="shared" si="50"/>
        <v>0</v>
      </c>
      <c r="AT221" s="76">
        <f t="shared" si="51"/>
        <v>0</v>
      </c>
      <c r="AU221" s="76">
        <f t="shared" si="52"/>
        <v>50.55799697907365</v>
      </c>
      <c r="AV221" s="76">
        <f>MAX(0,(AU221-Constantes!$D$13)*(1-EXP(-Constantes!$D$24)))</f>
        <v>2.7635680518942714E-2</v>
      </c>
      <c r="AW221" s="170">
        <f>AW220+(Entradas!$F$112*AT221-AX220)/(800*Entradas!$D$25)</f>
        <v>0</v>
      </c>
      <c r="AX221" s="170">
        <f>8000*Entradas!$D$26*AW221/Constantes!$F$45</f>
        <v>0</v>
      </c>
      <c r="AY221" s="170">
        <f>IF(Escenarios!$F$17&gt;0,10*Escenarios!$F$16*AL221,0)</f>
        <v>0</v>
      </c>
      <c r="AZ221" s="170">
        <f>IF(Escenarios!$F$17&gt;0,10*Escenarios!$F$16*AX221,0)</f>
        <v>0</v>
      </c>
      <c r="BA221" s="170">
        <f>IF(Escenarios!$F$17&gt;0,0.001*Observaciones!$F220*Escenarios!$F$17,0)</f>
        <v>0</v>
      </c>
      <c r="BB221" s="170">
        <f>IF(Escenarios!$F$17&gt;0,Observaciones!$K220,0)</f>
        <v>0</v>
      </c>
      <c r="BC221" s="170">
        <f>IF(Escenarios!$F$17&gt;0,MIN(0.0005*ETo!$M220*Escenarios!$F$17*(BG220/Constantes!$F$40)^(2/3),BG220+AY221+AZ221+BA221+BB221),0)</f>
        <v>0</v>
      </c>
      <c r="BD221" s="170">
        <f>IF(Escenarios!$F$17&gt;0,MIN(Constantes!$F$39*(BG220/Constantes!$F$40)^(2/3),BG220+AY221+AZ221+BA221+BB221-BC221),0)</f>
        <v>0</v>
      </c>
      <c r="BE221" s="170">
        <f>IF(Escenarios!$F$17&gt;0,MIN(Entradas!$F$113,BG220+AY221+AZ221+BA221+BB221-BC221-BD221),0)</f>
        <v>0</v>
      </c>
      <c r="BF221" s="170">
        <f>IF(Escenarios!$F$17&gt;0,MAX(0,BG220+AY221+AZ221+BA221+BB221-BC221-BD221-BE221-Constantes!$F$40),0)</f>
        <v>0</v>
      </c>
      <c r="BG221" s="170">
        <f t="shared" si="53"/>
        <v>0</v>
      </c>
      <c r="BH221" s="170">
        <f>(Escenarios!$F$16*AK221+0.1*BC221)/(Escenarios!$F$19)</f>
        <v>0.20973932763482103</v>
      </c>
      <c r="BI221" s="170">
        <f>IF(Escenarios!$F$17&gt;0,BF221/10/Escenarios!$F$19,AL221)</f>
        <v>0</v>
      </c>
      <c r="BJ221" s="170">
        <f>(Escenarios!$F$16*AT221+0.1*BD221)/(Escenarios!$F$19)</f>
        <v>0</v>
      </c>
      <c r="BK221" s="76">
        <f>BK220+(0.1*BD221)/(Escenarios!$F$19)-BL220</f>
        <v>48.75</v>
      </c>
      <c r="BL221" s="76">
        <f>MAX(0,(BK221-Constantes!$D$13)*(1-EXP(-Constantes!$D$23)))</f>
        <v>0</v>
      </c>
      <c r="BM221" s="76">
        <f t="shared" si="54"/>
        <v>0.35397402220556057</v>
      </c>
      <c r="BN221" s="76">
        <f t="shared" si="55"/>
        <v>0.35437195655170112</v>
      </c>
      <c r="BO221" s="76">
        <f>0.0526*BI221*Observaciones!$F220^1.218</f>
        <v>0</v>
      </c>
      <c r="BP221" s="76">
        <f>BO221*Constantes!$F$51</f>
        <v>0</v>
      </c>
      <c r="BQ221" s="76">
        <f t="shared" si="56"/>
        <v>0</v>
      </c>
      <c r="BR221" s="40"/>
    </row>
    <row r="222" spans="2:70">
      <c r="B222" s="39"/>
      <c r="C222" s="75">
        <v>216</v>
      </c>
      <c r="D222" s="146">
        <f>ETo!$I221*((1-Constantes!$F$19)*ETo!$K221+ETo!$L221)</f>
        <v>3.0526588513505604</v>
      </c>
      <c r="E222" s="76">
        <f>MIN(D222*Constantes!$F$17,0.8*(N221+Observaciones!$F221-F222-M222-Constantes!$D$14))</f>
        <v>1.0620067804590861E-2</v>
      </c>
      <c r="F222" s="76">
        <f>IF(Observaciones!$F221&gt;0.05*Constantes!$F$18,((Observaciones!$F221-0.05*Constantes!$F$18)^2)/(Observaciones!$F221+0.95*Constantes!$F$18),0)</f>
        <v>0</v>
      </c>
      <c r="G222" s="76">
        <f>IF(Escenarios!$F$11&gt;0,(F222*Escenarios!$F$16*10000)/1000,0)</f>
        <v>0</v>
      </c>
      <c r="H222" s="76">
        <f>IF(Escenarios!$F$11&gt;0,(Observaciones!$F221*Constantes!$F$29)/1000,0)</f>
        <v>0</v>
      </c>
      <c r="I222" s="76">
        <f>IF(Escenarios!$F$11&gt;0,(D222*Constantes!$F$29)/1000,0)</f>
        <v>0</v>
      </c>
      <c r="J222" s="76">
        <f>IF(Escenarios!$F$11&gt;0,MAX(0,G222+H222-I222),0)</f>
        <v>0</v>
      </c>
      <c r="K222" s="76">
        <f>IF(Escenarios!$F$11&gt;0,IF(J222&gt;Constantes!$F$30,1000*((J222-Constantes!$F$30)/(Escenarios!$F$16*10000)),0),F222)</f>
        <v>0</v>
      </c>
      <c r="L222" s="76">
        <f>IF(Escenarios!$F$11&gt;0,I222*1000/Escenarios!$F$16/10000+E222,E222)</f>
        <v>1.0620067804590861E-2</v>
      </c>
      <c r="M222" s="76">
        <f>MAX(0,N221+Observaciones!$F221-K222-Constantes!$D$13)</f>
        <v>0</v>
      </c>
      <c r="N222" s="76">
        <f>N221+Observaciones!$F221-K222-L222-M222-O221</f>
        <v>11.252202818830533</v>
      </c>
      <c r="O222" s="76">
        <f>MAX(0,(N222-Constantes!$D$14)*(1-EXP(-Constantes!$D$22)))</f>
        <v>7.5036096081423841E-5</v>
      </c>
      <c r="P222" s="170">
        <f>P221+(Entradas!$F$83*M222-Q221)/(800*Entradas!$D$25)</f>
        <v>0</v>
      </c>
      <c r="Q222" s="170">
        <f>8000*Entradas!$D$26*P222/Constantes!$F$45</f>
        <v>0</v>
      </c>
      <c r="R222" s="170">
        <f>IF(Escenarios!$F$14&gt;0,K222*Escenarios!$F$13/Escenarios!$F$14,0)</f>
        <v>0</v>
      </c>
      <c r="S222" s="170">
        <f>IF(Escenarios!$F$14&gt;0,Q222*Escenarios!$F$13/Escenarios!$F$14,0)</f>
        <v>0</v>
      </c>
      <c r="T222" s="170">
        <f>IF(Escenarios!$F$14&gt;0,Observaciones!$I221,0)</f>
        <v>0</v>
      </c>
      <c r="U222" s="170">
        <f>IF(Escenarios!$F$14&gt;0,MAX(0,Constantes!$F$36/((Z221+R222+S222+T222+Observaciones!$F221)^2)+Entradas!$F$77),0)</f>
        <v>0</v>
      </c>
      <c r="V222" s="146">
        <f>IF(ETo!D221&gt;0,ETo!I221*((1-Entradas!$F$81)*ETo!K221+ETo!L221),0)</f>
        <v>2.6761658240262411</v>
      </c>
      <c r="W222" s="170">
        <f>IF(Escenarios!$F$14&gt;0,MIN(V222*1,0.8*(Z221+R222+S222+T222+Observaciones!$F221-U222-Constantes!$F$35)),0)</f>
        <v>1.2800046394812626E-2</v>
      </c>
      <c r="X222" s="170">
        <f>IF(Escenarios!$F$14&gt;0,Observaciones!$J221,0)</f>
        <v>0</v>
      </c>
      <c r="Y222" s="170">
        <f>IF(Escenarios!$F$14&gt;0,MAX(0,Z221+R222+S222+T222+Observaciones!$F221-U222-W222-X222-Constantes!$F$33),0)</f>
        <v>0</v>
      </c>
      <c r="Z222" s="170">
        <f>Z221+R222+S222+T222+Observaciones!$F221-U222-W222-Y222</f>
        <v>41.2532000115987</v>
      </c>
      <c r="AA222" s="170">
        <f>IF(Escenarios!$F$14&gt;0,(Escenarios!$F$13*L222+Escenarios!$F$14*W222)/(Escenarios!$F$16),L222)</f>
        <v>1.0881665235417474E-2</v>
      </c>
      <c r="AB222" s="170">
        <f>IF(Escenarios!$F$14&gt;0,(Escenarios!$F$14*Y222)/(Escenarios!$F$16),K222)</f>
        <v>0</v>
      </c>
      <c r="AC222" s="170">
        <f>IF(Escenarios!$F$14&gt;0,(Escenarios!$F$13*M222+Escenarios!$F$14*U222)/(Escenarios!$F$16),M222)</f>
        <v>0</v>
      </c>
      <c r="AD222" s="76">
        <f t="shared" si="43"/>
        <v>81.543569619252807</v>
      </c>
      <c r="AE222" s="76">
        <f>MAX(0,(AD222-Constantes!$D$13)*(1-EXP(-Constantes!$D$23)))</f>
        <v>0.32312285227824233</v>
      </c>
      <c r="AF222" s="76">
        <f>AB222+O222*Escenarios!$F$13/Escenarios!$F$16+AE222</f>
        <v>0.323188884042794</v>
      </c>
      <c r="AG222" s="76">
        <f>IF(Entradas!$F$91&gt;0,IF(AF222-Escenarios!$F$38&lt;=0,0,IF(AF222-Escenarios!$F$38&gt;Escenarios!$F$37,Escenarios!$F$37,AF222-Escenarios!$F$38)),0)</f>
        <v>0</v>
      </c>
      <c r="AH222" s="76">
        <f>AG222*Entradas!$F$99</f>
        <v>0</v>
      </c>
      <c r="AI222" s="76">
        <f>IF(Entradas!$F$91&gt;0,D222*Entradas!$D$23/Escenarios!$F$16,0)</f>
        <v>0.1465276248648269</v>
      </c>
      <c r="AJ222" s="76">
        <f>IF(Entradas!$F$91&gt;0,Entradas!$D$24*Entradas!$D$22/Escenarios!$F$16,0)</f>
        <v>0.12</v>
      </c>
      <c r="AK222" s="76">
        <f t="shared" si="44"/>
        <v>0.15740929010024438</v>
      </c>
      <c r="AL222" s="76">
        <f t="shared" si="45"/>
        <v>0</v>
      </c>
      <c r="AM222" s="76">
        <f t="shared" si="46"/>
        <v>0</v>
      </c>
      <c r="AN222" s="76">
        <f>MAX(0,O222*Escenarios!$F$13/Escenarios!$F$16-AM222)</f>
        <v>6.6031764551652977E-5</v>
      </c>
      <c r="AO222" s="76">
        <f>AM222+AN222-O222*Escenarios!$F$13/Escenarios!$F$16</f>
        <v>0</v>
      </c>
      <c r="AP222" s="76">
        <f t="shared" si="47"/>
        <v>0.32312285227824233</v>
      </c>
      <c r="AQ222" s="76">
        <f t="shared" si="48"/>
        <v>0</v>
      </c>
      <c r="AR222" s="76">
        <f t="shared" si="49"/>
        <v>0.323188884042794</v>
      </c>
      <c r="AS222" s="76">
        <f t="shared" si="50"/>
        <v>0</v>
      </c>
      <c r="AT222" s="76">
        <f t="shared" si="51"/>
        <v>0</v>
      </c>
      <c r="AU222" s="76">
        <f t="shared" si="52"/>
        <v>50.530361298554709</v>
      </c>
      <c r="AV222" s="76">
        <f>MAX(0,(AU222-Constantes!$D$13)*(1-EXP(-Constantes!$D$24)))</f>
        <v>2.7213262314385579E-2</v>
      </c>
      <c r="AW222" s="170">
        <f>AW221+(Entradas!$F$112*AT222-AX221)/(800*Entradas!$D$25)</f>
        <v>0</v>
      </c>
      <c r="AX222" s="170">
        <f>8000*Entradas!$D$26*AW222/Constantes!$F$45</f>
        <v>0</v>
      </c>
      <c r="AY222" s="170">
        <f>IF(Escenarios!$F$17&gt;0,10*Escenarios!$F$16*AL222,0)</f>
        <v>0</v>
      </c>
      <c r="AZ222" s="170">
        <f>IF(Escenarios!$F$17&gt;0,10*Escenarios!$F$16*AX222,0)</f>
        <v>0</v>
      </c>
      <c r="BA222" s="170">
        <f>IF(Escenarios!$F$17&gt;0,0.001*Observaciones!$F221*Escenarios!$F$17,0)</f>
        <v>0</v>
      </c>
      <c r="BB222" s="170">
        <f>IF(Escenarios!$F$17&gt;0,Observaciones!$K221,0)</f>
        <v>0</v>
      </c>
      <c r="BC222" s="170">
        <f>IF(Escenarios!$F$17&gt;0,MIN(0.0005*ETo!$M221*Escenarios!$F$17*(BG221/Constantes!$F$40)^(2/3),BG221+AY222+AZ222+BA222+BB222),0)</f>
        <v>0</v>
      </c>
      <c r="BD222" s="170">
        <f>IF(Escenarios!$F$17&gt;0,MIN(Constantes!$F$39*(BG221/Constantes!$F$40)^(2/3),BG221+AY222+AZ222+BA222+BB222-BC222),0)</f>
        <v>0</v>
      </c>
      <c r="BE222" s="170">
        <f>IF(Escenarios!$F$17&gt;0,MIN(Entradas!$F$113,BG221+AY222+AZ222+BA222+BB222-BC222-BD222),0)</f>
        <v>0</v>
      </c>
      <c r="BF222" s="170">
        <f>IF(Escenarios!$F$17&gt;0,MAX(0,BG221+AY222+AZ222+BA222+BB222-BC222-BD222-BE222-Constantes!$F$40),0)</f>
        <v>0</v>
      </c>
      <c r="BG222" s="170">
        <f t="shared" si="53"/>
        <v>0</v>
      </c>
      <c r="BH222" s="170">
        <f>(Escenarios!$F$16*AK222+0.1*BC222)/(Escenarios!$F$19)</f>
        <v>0.15740929010024438</v>
      </c>
      <c r="BI222" s="170">
        <f>IF(Escenarios!$F$17&gt;0,BF222/10/Escenarios!$F$19,AL222)</f>
        <v>0</v>
      </c>
      <c r="BJ222" s="170">
        <f>(Escenarios!$F$16*AT222+0.1*BD222)/(Escenarios!$F$19)</f>
        <v>0</v>
      </c>
      <c r="BK222" s="76">
        <f>BK221+(0.1*BD222)/(Escenarios!$F$19)-BL221</f>
        <v>48.75</v>
      </c>
      <c r="BL222" s="76">
        <f>MAX(0,(BK222-Constantes!$D$13)*(1-EXP(-Constantes!$D$23)))</f>
        <v>0</v>
      </c>
      <c r="BM222" s="76">
        <f t="shared" si="54"/>
        <v>0.35033611459262792</v>
      </c>
      <c r="BN222" s="76">
        <f t="shared" si="55"/>
        <v>0.35040214635717959</v>
      </c>
      <c r="BO222" s="76">
        <f>0.0526*BI222*Observaciones!$F221^1.218</f>
        <v>0</v>
      </c>
      <c r="BP222" s="76">
        <f>BO222*Constantes!$F$51</f>
        <v>0</v>
      </c>
      <c r="BQ222" s="76">
        <f t="shared" si="56"/>
        <v>0</v>
      </c>
      <c r="BR222" s="40"/>
    </row>
    <row r="223" spans="2:70">
      <c r="B223" s="39"/>
      <c r="C223" s="75">
        <v>217</v>
      </c>
      <c r="D223" s="146">
        <f>ETo!$I222*((1-Constantes!$F$19)*ETo!$K222+ETo!$L222)</f>
        <v>3.1663756323493368</v>
      </c>
      <c r="E223" s="76">
        <f>MIN(D223*Constantes!$F$17,0.8*(N222+Observaciones!$F222-F223-M223-Constantes!$D$14))</f>
        <v>1.7622550644261993E-3</v>
      </c>
      <c r="F223" s="76">
        <f>IF(Observaciones!$F222&gt;0.05*Constantes!$F$18,((Observaciones!$F222-0.05*Constantes!$F$18)^2)/(Observaciones!$F222+0.95*Constantes!$F$18),0)</f>
        <v>0</v>
      </c>
      <c r="G223" s="76">
        <f>IF(Escenarios!$F$11&gt;0,(F223*Escenarios!$F$16*10000)/1000,0)</f>
        <v>0</v>
      </c>
      <c r="H223" s="76">
        <f>IF(Escenarios!$F$11&gt;0,(Observaciones!$F222*Constantes!$F$29)/1000,0)</f>
        <v>0</v>
      </c>
      <c r="I223" s="76">
        <f>IF(Escenarios!$F$11&gt;0,(D223*Constantes!$F$29)/1000,0)</f>
        <v>0</v>
      </c>
      <c r="J223" s="76">
        <f>IF(Escenarios!$F$11&gt;0,MAX(0,G223+H223-I223),0)</f>
        <v>0</v>
      </c>
      <c r="K223" s="76">
        <f>IF(Escenarios!$F$11&gt;0,IF(J223&gt;Constantes!$F$30,1000*((J223-Constantes!$F$30)/(Escenarios!$F$16*10000)),0),F223)</f>
        <v>0</v>
      </c>
      <c r="L223" s="76">
        <f>IF(Escenarios!$F$11&gt;0,I223*1000/Escenarios!$F$16/10000+E223,E223)</f>
        <v>1.7622550644261993E-3</v>
      </c>
      <c r="M223" s="76">
        <f>MAX(0,N222+Observaciones!$F222-K223-Constantes!$D$13)</f>
        <v>0</v>
      </c>
      <c r="N223" s="76">
        <f>N222+Observaciones!$F222-K223-L223-M223-O222</f>
        <v>11.250365527670025</v>
      </c>
      <c r="O223" s="76">
        <f>MAX(0,(N223-Constantes!$D$14)*(1-EXP(-Constantes!$D$22)))</f>
        <v>1.2451214320612823E-5</v>
      </c>
      <c r="P223" s="170">
        <f>P222+(Entradas!$F$83*M223-Q222)/(800*Entradas!$D$25)</f>
        <v>0</v>
      </c>
      <c r="Q223" s="170">
        <f>8000*Entradas!$D$26*P223/Constantes!$F$45</f>
        <v>0</v>
      </c>
      <c r="R223" s="170">
        <f>IF(Escenarios!$F$14&gt;0,K223*Escenarios!$F$13/Escenarios!$F$14,0)</f>
        <v>0</v>
      </c>
      <c r="S223" s="170">
        <f>IF(Escenarios!$F$14&gt;0,Q223*Escenarios!$F$13/Escenarios!$F$14,0)</f>
        <v>0</v>
      </c>
      <c r="T223" s="170">
        <f>IF(Escenarios!$F$14&gt;0,Observaciones!$I222,0)</f>
        <v>0</v>
      </c>
      <c r="U223" s="170">
        <f>IF(Escenarios!$F$14&gt;0,MAX(0,Constantes!$F$36/((Z222+R223+S223+T223+Observaciones!$F222)^2)+Entradas!$F$77),0)</f>
        <v>0</v>
      </c>
      <c r="V223" s="146">
        <f>IF(ETo!D222&gt;0,ETo!I222*((1-Entradas!$F$81)*ETo!K222+ETo!L222),0)</f>
        <v>2.7780305413683437</v>
      </c>
      <c r="W223" s="170">
        <f>IF(Escenarios!$F$14&gt;0,MIN(V223*1,0.8*(Z222+R223+S223+T223+Observaciones!$F222-U223-Constantes!$F$35)),0)</f>
        <v>2.5600092789602514E-3</v>
      </c>
      <c r="X223" s="170">
        <f>IF(Escenarios!$F$14&gt;0,Observaciones!$J222,0)</f>
        <v>0</v>
      </c>
      <c r="Y223" s="170">
        <f>IF(Escenarios!$F$14&gt;0,MAX(0,Z222+R223+S223+T223+Observaciones!$F222-U223-W223-X223-Constantes!$F$33),0)</f>
        <v>0</v>
      </c>
      <c r="Z223" s="170">
        <f>Z222+R223+S223+T223+Observaciones!$F222-U223-W223-Y223</f>
        <v>41.250640002319741</v>
      </c>
      <c r="AA223" s="170">
        <f>IF(Escenarios!$F$14&gt;0,(Escenarios!$F$13*L223+Escenarios!$F$14*W223)/(Escenarios!$F$16),L223)</f>
        <v>1.8579855701702857E-3</v>
      </c>
      <c r="AB223" s="170">
        <f>IF(Escenarios!$F$14&gt;0,(Escenarios!$F$14*Y223)/(Escenarios!$F$16),K223)</f>
        <v>0</v>
      </c>
      <c r="AC223" s="170">
        <f>IF(Escenarios!$F$14&gt;0,(Escenarios!$F$13*M223+Escenarios!$F$14*U223)/(Escenarios!$F$16),M223)</f>
        <v>0</v>
      </c>
      <c r="AD223" s="76">
        <f t="shared" si="43"/>
        <v>81.220446766974561</v>
      </c>
      <c r="AE223" s="76">
        <f>MAX(0,(AD223-Constantes!$D$13)*(1-EXP(-Constantes!$D$23)))</f>
        <v>0.31993904585287741</v>
      </c>
      <c r="AF223" s="76">
        <f>AB223+O223*Escenarios!$F$13/Escenarios!$F$16+AE223</f>
        <v>0.31995000292147957</v>
      </c>
      <c r="AG223" s="76">
        <f>IF(Entradas!$F$91&gt;0,IF(AF223-Escenarios!$F$38&lt;=0,0,IF(AF223-Escenarios!$F$38&gt;Escenarios!$F$37,Escenarios!$F$37,AF223-Escenarios!$F$38)),0)</f>
        <v>0</v>
      </c>
      <c r="AH223" s="76">
        <f>AG223*Entradas!$F$99</f>
        <v>0</v>
      </c>
      <c r="AI223" s="76">
        <f>IF(Entradas!$F$91&gt;0,D223*Entradas!$D$23/Escenarios!$F$16,0)</f>
        <v>0.15198603035276817</v>
      </c>
      <c r="AJ223" s="76">
        <f>IF(Entradas!$F$91&gt;0,Entradas!$D$24*Entradas!$D$22/Escenarios!$F$16,0)</f>
        <v>0.12</v>
      </c>
      <c r="AK223" s="76">
        <f t="shared" si="44"/>
        <v>0.15384401592293845</v>
      </c>
      <c r="AL223" s="76">
        <f t="shared" si="45"/>
        <v>0</v>
      </c>
      <c r="AM223" s="76">
        <f t="shared" si="46"/>
        <v>0</v>
      </c>
      <c r="AN223" s="76">
        <f>MAX(0,O223*Escenarios!$F$13/Escenarios!$F$16-AM223)</f>
        <v>1.0957068602139284E-5</v>
      </c>
      <c r="AO223" s="76">
        <f>AM223+AN223-O223*Escenarios!$F$13/Escenarios!$F$16</f>
        <v>0</v>
      </c>
      <c r="AP223" s="76">
        <f t="shared" si="47"/>
        <v>0.31993904585287741</v>
      </c>
      <c r="AQ223" s="76">
        <f t="shared" si="48"/>
        <v>0</v>
      </c>
      <c r="AR223" s="76">
        <f t="shared" si="49"/>
        <v>0.31995000292147957</v>
      </c>
      <c r="AS223" s="76">
        <f t="shared" si="50"/>
        <v>0</v>
      </c>
      <c r="AT223" s="76">
        <f t="shared" si="51"/>
        <v>0</v>
      </c>
      <c r="AU223" s="76">
        <f t="shared" si="52"/>
        <v>50.503148036240326</v>
      </c>
      <c r="AV223" s="76">
        <f>MAX(0,(AU223-Constantes!$D$13)*(1-EXP(-Constantes!$D$24)))</f>
        <v>2.67973008764501E-2</v>
      </c>
      <c r="AW223" s="170">
        <f>AW222+(Entradas!$F$112*AT223-AX222)/(800*Entradas!$D$25)</f>
        <v>0</v>
      </c>
      <c r="AX223" s="170">
        <f>8000*Entradas!$D$26*AW223/Constantes!$F$45</f>
        <v>0</v>
      </c>
      <c r="AY223" s="170">
        <f>IF(Escenarios!$F$17&gt;0,10*Escenarios!$F$16*AL223,0)</f>
        <v>0</v>
      </c>
      <c r="AZ223" s="170">
        <f>IF(Escenarios!$F$17&gt;0,10*Escenarios!$F$16*AX223,0)</f>
        <v>0</v>
      </c>
      <c r="BA223" s="170">
        <f>IF(Escenarios!$F$17&gt;0,0.001*Observaciones!$F222*Escenarios!$F$17,0)</f>
        <v>0</v>
      </c>
      <c r="BB223" s="170">
        <f>IF(Escenarios!$F$17&gt;0,Observaciones!$K222,0)</f>
        <v>0</v>
      </c>
      <c r="BC223" s="170">
        <f>IF(Escenarios!$F$17&gt;0,MIN(0.0005*ETo!$M222*Escenarios!$F$17*(BG222/Constantes!$F$40)^(2/3),BG222+AY223+AZ223+BA223+BB223),0)</f>
        <v>0</v>
      </c>
      <c r="BD223" s="170">
        <f>IF(Escenarios!$F$17&gt;0,MIN(Constantes!$F$39*(BG222/Constantes!$F$40)^(2/3),BG222+AY223+AZ223+BA223+BB223-BC223),0)</f>
        <v>0</v>
      </c>
      <c r="BE223" s="170">
        <f>IF(Escenarios!$F$17&gt;0,MIN(Entradas!$F$113,BG222+AY223+AZ223+BA223+BB223-BC223-BD223),0)</f>
        <v>0</v>
      </c>
      <c r="BF223" s="170">
        <f>IF(Escenarios!$F$17&gt;0,MAX(0,BG222+AY223+AZ223+BA223+BB223-BC223-BD223-BE223-Constantes!$F$40),0)</f>
        <v>0</v>
      </c>
      <c r="BG223" s="170">
        <f t="shared" si="53"/>
        <v>0</v>
      </c>
      <c r="BH223" s="170">
        <f>(Escenarios!$F$16*AK223+0.1*BC223)/(Escenarios!$F$19)</f>
        <v>0.15384401592293845</v>
      </c>
      <c r="BI223" s="170">
        <f>IF(Escenarios!$F$17&gt;0,BF223/10/Escenarios!$F$19,AL223)</f>
        <v>0</v>
      </c>
      <c r="BJ223" s="170">
        <f>(Escenarios!$F$16*AT223+0.1*BD223)/(Escenarios!$F$19)</f>
        <v>0</v>
      </c>
      <c r="BK223" s="76">
        <f>BK222+(0.1*BD223)/(Escenarios!$F$19)-BL222</f>
        <v>48.75</v>
      </c>
      <c r="BL223" s="76">
        <f>MAX(0,(BK223-Constantes!$D$13)*(1-EXP(-Constantes!$D$23)))</f>
        <v>0</v>
      </c>
      <c r="BM223" s="76">
        <f t="shared" si="54"/>
        <v>0.34673634672932752</v>
      </c>
      <c r="BN223" s="76">
        <f t="shared" si="55"/>
        <v>0.34674730379792967</v>
      </c>
      <c r="BO223" s="76">
        <f>0.0526*BI223*Observaciones!$F222^1.218</f>
        <v>0</v>
      </c>
      <c r="BP223" s="76">
        <f>BO223*Constantes!$F$51</f>
        <v>0</v>
      </c>
      <c r="BQ223" s="76">
        <f t="shared" si="56"/>
        <v>0</v>
      </c>
      <c r="BR223" s="40"/>
    </row>
    <row r="224" spans="2:70">
      <c r="B224" s="39"/>
      <c r="C224" s="75">
        <v>218</v>
      </c>
      <c r="D224" s="146">
        <f>ETo!$I223*((1-Constantes!$F$19)*ETo!$K223+ETo!$L223)</f>
        <v>2.7427160471869643</v>
      </c>
      <c r="E224" s="76">
        <f>MIN(D224*Constantes!$F$17,0.8*(N223+Observaciones!$F223-F224-M224-Constantes!$D$14))</f>
        <v>1.5642032094937324</v>
      </c>
      <c r="F224" s="76">
        <f>IF(Observaciones!$F223&gt;0.05*Constantes!$F$18,((Observaciones!$F223-0.05*Constantes!$F$18)^2)/(Observaciones!$F223+0.95*Constantes!$F$18),0)</f>
        <v>0</v>
      </c>
      <c r="G224" s="76">
        <f>IF(Escenarios!$F$11&gt;0,(F224*Escenarios!$F$16*10000)/1000,0)</f>
        <v>0</v>
      </c>
      <c r="H224" s="76">
        <f>IF(Escenarios!$F$11&gt;0,(Observaciones!$F223*Constantes!$F$29)/1000,0)</f>
        <v>0</v>
      </c>
      <c r="I224" s="76">
        <f>IF(Escenarios!$F$11&gt;0,(D224*Constantes!$F$29)/1000,0)</f>
        <v>0</v>
      </c>
      <c r="J224" s="76">
        <f>IF(Escenarios!$F$11&gt;0,MAX(0,G224+H224-I224),0)</f>
        <v>0</v>
      </c>
      <c r="K224" s="76">
        <f>IF(Escenarios!$F$11&gt;0,IF(J224&gt;Constantes!$F$30,1000*((J224-Constantes!$F$30)/(Escenarios!$F$16*10000)),0),F224)</f>
        <v>0</v>
      </c>
      <c r="L224" s="76">
        <f>IF(Escenarios!$F$11&gt;0,I224*1000/Escenarios!$F$16/10000+E224,E224)</f>
        <v>1.5642032094937324</v>
      </c>
      <c r="M224" s="76">
        <f>MAX(0,N223+Observaciones!$F223-K224-Constantes!$D$13)</f>
        <v>0</v>
      </c>
      <c r="N224" s="76">
        <f>N223+Observaciones!$F223-K224-L224-M224-O223</f>
        <v>12.286149866961972</v>
      </c>
      <c r="O224" s="76">
        <f>MAX(0,(N224-Constantes!$D$14)*(1-EXP(-Constantes!$D$22)))</f>
        <v>3.5295068252757619E-2</v>
      </c>
      <c r="P224" s="170">
        <f>P223+(Entradas!$F$83*M224-Q223)/(800*Entradas!$D$25)</f>
        <v>0</v>
      </c>
      <c r="Q224" s="170">
        <f>8000*Entradas!$D$26*P224/Constantes!$F$45</f>
        <v>0</v>
      </c>
      <c r="R224" s="170">
        <f>IF(Escenarios!$F$14&gt;0,K224*Escenarios!$F$13/Escenarios!$F$14,0)</f>
        <v>0</v>
      </c>
      <c r="S224" s="170">
        <f>IF(Escenarios!$F$14&gt;0,Q224*Escenarios!$F$13/Escenarios!$F$14,0)</f>
        <v>0</v>
      </c>
      <c r="T224" s="170">
        <f>IF(Escenarios!$F$14&gt;0,Observaciones!$I223,0)</f>
        <v>0</v>
      </c>
      <c r="U224" s="170">
        <f>IF(Escenarios!$F$14&gt;0,MAX(0,Constantes!$F$36/((Z223+R224+S224+T224+Observaciones!$F223)^2)+Entradas!$F$77),0)</f>
        <v>0</v>
      </c>
      <c r="V224" s="146">
        <f>IF(ETo!D223&gt;0,ETo!I223*((1-Entradas!$F$81)*ETo!K223+ETo!L223),0)</f>
        <v>2.4038748626051198</v>
      </c>
      <c r="W224" s="170">
        <f>IF(Escenarios!$F$14&gt;0,MIN(V224*1,0.8*(Z223+R224+S224+T224+Observaciones!$F223-U224-Constantes!$F$35)),0)</f>
        <v>2.0805120018557943</v>
      </c>
      <c r="X224" s="170">
        <f>IF(Escenarios!$F$14&gt;0,Observaciones!$J223,0)</f>
        <v>0</v>
      </c>
      <c r="Y224" s="170">
        <f>IF(Escenarios!$F$14&gt;0,MAX(0,Z223+R224+S224+T224+Observaciones!$F223-U224-W224-X224-Constantes!$F$33),0)</f>
        <v>0</v>
      </c>
      <c r="Z224" s="170">
        <f>Z223+R224+S224+T224+Observaciones!$F223-U224-W224-Y224</f>
        <v>41.770128000463949</v>
      </c>
      <c r="AA224" s="170">
        <f>IF(Escenarios!$F$14&gt;0,(Escenarios!$F$13*L224+Escenarios!$F$14*W224)/(Escenarios!$F$16),L224)</f>
        <v>1.6261602645771798</v>
      </c>
      <c r="AB224" s="170">
        <f>IF(Escenarios!$F$14&gt;0,(Escenarios!$F$14*Y224)/(Escenarios!$F$16),K224)</f>
        <v>0</v>
      </c>
      <c r="AC224" s="170">
        <f>IF(Escenarios!$F$14&gt;0,(Escenarios!$F$13*M224+Escenarios!$F$14*U224)/(Escenarios!$F$16),M224)</f>
        <v>0</v>
      </c>
      <c r="AD224" s="76">
        <f t="shared" si="43"/>
        <v>80.900507721121684</v>
      </c>
      <c r="AE224" s="76">
        <f>MAX(0,(AD224-Constantes!$D$13)*(1-EXP(-Constantes!$D$23)))</f>
        <v>0.31678661023054533</v>
      </c>
      <c r="AF224" s="76">
        <f>AB224+O224*Escenarios!$F$13/Escenarios!$F$16+AE224</f>
        <v>0.34784627029297205</v>
      </c>
      <c r="AG224" s="76">
        <f>IF(Entradas!$F$91&gt;0,IF(AF224-Escenarios!$F$38&lt;=0,0,IF(AF224-Escenarios!$F$38&gt;Escenarios!$F$37,Escenarios!$F$37,AF224-Escenarios!$F$38)),0)</f>
        <v>0</v>
      </c>
      <c r="AH224" s="76">
        <f>AG224*Entradas!$F$99</f>
        <v>0</v>
      </c>
      <c r="AI224" s="76">
        <f>IF(Entradas!$F$91&gt;0,D224*Entradas!$D$23/Escenarios!$F$16,0)</f>
        <v>0.13165037026497431</v>
      </c>
      <c r="AJ224" s="76">
        <f>IF(Entradas!$F$91&gt;0,Entradas!$D$24*Entradas!$D$22/Escenarios!$F$16,0)</f>
        <v>0.12</v>
      </c>
      <c r="AK224" s="76">
        <f t="shared" si="44"/>
        <v>1.7578106348421541</v>
      </c>
      <c r="AL224" s="76">
        <f t="shared" si="45"/>
        <v>0</v>
      </c>
      <c r="AM224" s="76">
        <f t="shared" si="46"/>
        <v>0</v>
      </c>
      <c r="AN224" s="76">
        <f>MAX(0,O224*Escenarios!$F$13/Escenarios!$F$16-AM224)</f>
        <v>3.1059660062426706E-2</v>
      </c>
      <c r="AO224" s="76">
        <f>AM224+AN224-O224*Escenarios!$F$13/Escenarios!$F$16</f>
        <v>0</v>
      </c>
      <c r="AP224" s="76">
        <f t="shared" si="47"/>
        <v>0.31678661023054533</v>
      </c>
      <c r="AQ224" s="76">
        <f t="shared" si="48"/>
        <v>0</v>
      </c>
      <c r="AR224" s="76">
        <f t="shared" si="49"/>
        <v>0.34784627029297205</v>
      </c>
      <c r="AS224" s="76">
        <f t="shared" si="50"/>
        <v>0</v>
      </c>
      <c r="AT224" s="76">
        <f t="shared" si="51"/>
        <v>0</v>
      </c>
      <c r="AU224" s="76">
        <f t="shared" si="52"/>
        <v>50.476350735363873</v>
      </c>
      <c r="AV224" s="76">
        <f>MAX(0,(AU224-Constantes!$D$13)*(1-EXP(-Constantes!$D$24)))</f>
        <v>2.6387697511863133E-2</v>
      </c>
      <c r="AW224" s="170">
        <f>AW223+(Entradas!$F$112*AT224-AX223)/(800*Entradas!$D$25)</f>
        <v>0</v>
      </c>
      <c r="AX224" s="170">
        <f>8000*Entradas!$D$26*AW224/Constantes!$F$45</f>
        <v>0</v>
      </c>
      <c r="AY224" s="170">
        <f>IF(Escenarios!$F$17&gt;0,10*Escenarios!$F$16*AL224,0)</f>
        <v>0</v>
      </c>
      <c r="AZ224" s="170">
        <f>IF(Escenarios!$F$17&gt;0,10*Escenarios!$F$16*AX224,0)</f>
        <v>0</v>
      </c>
      <c r="BA224" s="170">
        <f>IF(Escenarios!$F$17&gt;0,0.001*Observaciones!$F223*Escenarios!$F$17,0)</f>
        <v>0</v>
      </c>
      <c r="BB224" s="170">
        <f>IF(Escenarios!$F$17&gt;0,Observaciones!$K223,0)</f>
        <v>0</v>
      </c>
      <c r="BC224" s="170">
        <f>IF(Escenarios!$F$17&gt;0,MIN(0.0005*ETo!$M223*Escenarios!$F$17*(BG223/Constantes!$F$40)^(2/3),BG223+AY224+AZ224+BA224+BB224),0)</f>
        <v>0</v>
      </c>
      <c r="BD224" s="170">
        <f>IF(Escenarios!$F$17&gt;0,MIN(Constantes!$F$39*(BG223/Constantes!$F$40)^(2/3),BG223+AY224+AZ224+BA224+BB224-BC224),0)</f>
        <v>0</v>
      </c>
      <c r="BE224" s="170">
        <f>IF(Escenarios!$F$17&gt;0,MIN(Entradas!$F$113,BG223+AY224+AZ224+BA224+BB224-BC224-BD224),0)</f>
        <v>0</v>
      </c>
      <c r="BF224" s="170">
        <f>IF(Escenarios!$F$17&gt;0,MAX(0,BG223+AY224+AZ224+BA224+BB224-BC224-BD224-BE224-Constantes!$F$40),0)</f>
        <v>0</v>
      </c>
      <c r="BG224" s="170">
        <f t="shared" si="53"/>
        <v>0</v>
      </c>
      <c r="BH224" s="170">
        <f>(Escenarios!$F$16*AK224+0.1*BC224)/(Escenarios!$F$19)</f>
        <v>1.7578106348421541</v>
      </c>
      <c r="BI224" s="170">
        <f>IF(Escenarios!$F$17&gt;0,BF224/10/Escenarios!$F$19,AL224)</f>
        <v>0</v>
      </c>
      <c r="BJ224" s="170">
        <f>(Escenarios!$F$16*AT224+0.1*BD224)/(Escenarios!$F$19)</f>
        <v>0</v>
      </c>
      <c r="BK224" s="76">
        <f>BK223+(0.1*BD224)/(Escenarios!$F$19)-BL223</f>
        <v>48.75</v>
      </c>
      <c r="BL224" s="76">
        <f>MAX(0,(BK224-Constantes!$D$13)*(1-EXP(-Constantes!$D$23)))</f>
        <v>0</v>
      </c>
      <c r="BM224" s="76">
        <f t="shared" si="54"/>
        <v>0.34317430774240848</v>
      </c>
      <c r="BN224" s="76">
        <f t="shared" si="55"/>
        <v>0.3742339678048352</v>
      </c>
      <c r="BO224" s="76">
        <f>0.0526*BI224*Observaciones!$F223^1.218</f>
        <v>0</v>
      </c>
      <c r="BP224" s="76">
        <f>BO224*Constantes!$F$51</f>
        <v>0</v>
      </c>
      <c r="BQ224" s="76">
        <f t="shared" si="56"/>
        <v>0</v>
      </c>
      <c r="BR224" s="40"/>
    </row>
    <row r="225" spans="2:70">
      <c r="B225" s="39"/>
      <c r="C225" s="75">
        <v>219</v>
      </c>
      <c r="D225" s="146">
        <f>ETo!$I224*((1-Constantes!$F$19)*ETo!$K224+ETo!$L224)</f>
        <v>3.0996629108532545</v>
      </c>
      <c r="E225" s="76">
        <f>MIN(D225*Constantes!$F$17,0.8*(N224+Observaciones!$F224-F225-M225-Constantes!$D$14))</f>
        <v>0.82891989356957796</v>
      </c>
      <c r="F225" s="76">
        <f>IF(Observaciones!$F224&gt;0.05*Constantes!$F$18,((Observaciones!$F224-0.05*Constantes!$F$18)^2)/(Observaciones!$F224+0.95*Constantes!$F$18),0)</f>
        <v>0</v>
      </c>
      <c r="G225" s="76">
        <f>IF(Escenarios!$F$11&gt;0,(F225*Escenarios!$F$16*10000)/1000,0)</f>
        <v>0</v>
      </c>
      <c r="H225" s="76">
        <f>IF(Escenarios!$F$11&gt;0,(Observaciones!$F224*Constantes!$F$29)/1000,0)</f>
        <v>0</v>
      </c>
      <c r="I225" s="76">
        <f>IF(Escenarios!$F$11&gt;0,(D225*Constantes!$F$29)/1000,0)</f>
        <v>0</v>
      </c>
      <c r="J225" s="76">
        <f>IF(Escenarios!$F$11&gt;0,MAX(0,G225+H225-I225),0)</f>
        <v>0</v>
      </c>
      <c r="K225" s="76">
        <f>IF(Escenarios!$F$11&gt;0,IF(J225&gt;Constantes!$F$30,1000*((J225-Constantes!$F$30)/(Escenarios!$F$16*10000)),0),F225)</f>
        <v>0</v>
      </c>
      <c r="L225" s="76">
        <f>IF(Escenarios!$F$11&gt;0,I225*1000/Escenarios!$F$16/10000+E225,E225)</f>
        <v>0.82891989356957796</v>
      </c>
      <c r="M225" s="76">
        <f>MAX(0,N224+Observaciones!$F224-K225-Constantes!$D$13)</f>
        <v>0</v>
      </c>
      <c r="N225" s="76">
        <f>N224+Observaciones!$F224-K225-L225-M225-O224</f>
        <v>11.421934905139636</v>
      </c>
      <c r="O225" s="76">
        <f>MAX(0,(N225-Constantes!$D$14)*(1-EXP(-Constantes!$D$22)))</f>
        <v>5.8567340550144476E-3</v>
      </c>
      <c r="P225" s="170">
        <f>P224+(Entradas!$F$83*M225-Q224)/(800*Entradas!$D$25)</f>
        <v>0</v>
      </c>
      <c r="Q225" s="170">
        <f>8000*Entradas!$D$26*P225/Constantes!$F$45</f>
        <v>0</v>
      </c>
      <c r="R225" s="170">
        <f>IF(Escenarios!$F$14&gt;0,K225*Escenarios!$F$13/Escenarios!$F$14,0)</f>
        <v>0</v>
      </c>
      <c r="S225" s="170">
        <f>IF(Escenarios!$F$14&gt;0,Q225*Escenarios!$F$13/Escenarios!$F$14,0)</f>
        <v>0</v>
      </c>
      <c r="T225" s="170">
        <f>IF(Escenarios!$F$14&gt;0,Observaciones!$I224,0)</f>
        <v>0</v>
      </c>
      <c r="U225" s="170">
        <f>IF(Escenarios!$F$14&gt;0,MAX(0,Constantes!$F$36/((Z224+R225+S225+T225+Observaciones!$F224)^2)+Entradas!$F$77),0)</f>
        <v>0</v>
      </c>
      <c r="V225" s="146">
        <f>IF(ETo!D224&gt;0,ETo!I224*((1-Entradas!$F$81)*ETo!K224+ETo!L224),0)</f>
        <v>2.7193740124404924</v>
      </c>
      <c r="W225" s="170">
        <f>IF(Escenarios!$F$14&gt;0,MIN(V225*1,0.8*(Z224+R225+S225+T225+Observaciones!$F224-U225-Constantes!$F$35)),0)</f>
        <v>0.41610240037115886</v>
      </c>
      <c r="X225" s="170">
        <f>IF(Escenarios!$F$14&gt;0,Observaciones!$J224,0)</f>
        <v>0</v>
      </c>
      <c r="Y225" s="170">
        <f>IF(Escenarios!$F$14&gt;0,MAX(0,Z224+R225+S225+T225+Observaciones!$F224-U225-W225-X225-Constantes!$F$33),0)</f>
        <v>0</v>
      </c>
      <c r="Z225" s="170">
        <f>Z224+R225+S225+T225+Observaciones!$F224-U225-W225-Y225</f>
        <v>41.35402560009279</v>
      </c>
      <c r="AA225" s="170">
        <f>IF(Escenarios!$F$14&gt;0,(Escenarios!$F$13*L225+Escenarios!$F$14*W225)/(Escenarios!$F$16),L225)</f>
        <v>0.7793817943857676</v>
      </c>
      <c r="AB225" s="170">
        <f>IF(Escenarios!$F$14&gt;0,(Escenarios!$F$14*Y225)/(Escenarios!$F$16),K225)</f>
        <v>0</v>
      </c>
      <c r="AC225" s="170">
        <f>IF(Escenarios!$F$14&gt;0,(Escenarios!$F$13*M225+Escenarios!$F$14*U225)/(Escenarios!$F$16),M225)</f>
        <v>0</v>
      </c>
      <c r="AD225" s="76">
        <f t="shared" si="43"/>
        <v>80.583721110891133</v>
      </c>
      <c r="AE225" s="76">
        <f>MAX(0,(AD225-Constantes!$D$13)*(1-EXP(-Constantes!$D$23)))</f>
        <v>0.31366523630725163</v>
      </c>
      <c r="AF225" s="76">
        <f>AB225+O225*Escenarios!$F$13/Escenarios!$F$16+AE225</f>
        <v>0.31881916227566431</v>
      </c>
      <c r="AG225" s="76">
        <f>IF(Entradas!$F$91&gt;0,IF(AF225-Escenarios!$F$38&lt;=0,0,IF(AF225-Escenarios!$F$38&gt;Escenarios!$F$37,Escenarios!$F$37,AF225-Escenarios!$F$38)),0)</f>
        <v>0</v>
      </c>
      <c r="AH225" s="76">
        <f>AG225*Entradas!$F$99</f>
        <v>0</v>
      </c>
      <c r="AI225" s="76">
        <f>IF(Entradas!$F$91&gt;0,D225*Entradas!$D$23/Escenarios!$F$16,0)</f>
        <v>0.14878381972095622</v>
      </c>
      <c r="AJ225" s="76">
        <f>IF(Entradas!$F$91&gt;0,Entradas!$D$24*Entradas!$D$22/Escenarios!$F$16,0)</f>
        <v>0.12</v>
      </c>
      <c r="AK225" s="76">
        <f t="shared" si="44"/>
        <v>0.92816561410672382</v>
      </c>
      <c r="AL225" s="76">
        <f t="shared" si="45"/>
        <v>0</v>
      </c>
      <c r="AM225" s="76">
        <f t="shared" si="46"/>
        <v>0</v>
      </c>
      <c r="AN225" s="76">
        <f>MAX(0,O225*Escenarios!$F$13/Escenarios!$F$16-AM225)</f>
        <v>5.1539259684127139E-3</v>
      </c>
      <c r="AO225" s="76">
        <f>AM225+AN225-O225*Escenarios!$F$13/Escenarios!$F$16</f>
        <v>0</v>
      </c>
      <c r="AP225" s="76">
        <f t="shared" si="47"/>
        <v>0.31366523630725163</v>
      </c>
      <c r="AQ225" s="76">
        <f t="shared" si="48"/>
        <v>0</v>
      </c>
      <c r="AR225" s="76">
        <f t="shared" si="49"/>
        <v>0.31881916227566431</v>
      </c>
      <c r="AS225" s="76">
        <f t="shared" si="50"/>
        <v>0</v>
      </c>
      <c r="AT225" s="76">
        <f t="shared" si="51"/>
        <v>0</v>
      </c>
      <c r="AU225" s="76">
        <f t="shared" si="52"/>
        <v>50.449963037852008</v>
      </c>
      <c r="AV225" s="76">
        <f>MAX(0,(AU225-Constantes!$D$13)*(1-EXP(-Constantes!$D$24)))</f>
        <v>2.5984355035902785E-2</v>
      </c>
      <c r="AW225" s="170">
        <f>AW224+(Entradas!$F$112*AT225-AX224)/(800*Entradas!$D$25)</f>
        <v>0</v>
      </c>
      <c r="AX225" s="170">
        <f>8000*Entradas!$D$26*AW225/Constantes!$F$45</f>
        <v>0</v>
      </c>
      <c r="AY225" s="170">
        <f>IF(Escenarios!$F$17&gt;0,10*Escenarios!$F$16*AL225,0)</f>
        <v>0</v>
      </c>
      <c r="AZ225" s="170">
        <f>IF(Escenarios!$F$17&gt;0,10*Escenarios!$F$16*AX225,0)</f>
        <v>0</v>
      </c>
      <c r="BA225" s="170">
        <f>IF(Escenarios!$F$17&gt;0,0.001*Observaciones!$F224*Escenarios!$F$17,0)</f>
        <v>0</v>
      </c>
      <c r="BB225" s="170">
        <f>IF(Escenarios!$F$17&gt;0,Observaciones!$K224,0)</f>
        <v>0</v>
      </c>
      <c r="BC225" s="170">
        <f>IF(Escenarios!$F$17&gt;0,MIN(0.0005*ETo!$M224*Escenarios!$F$17*(BG224/Constantes!$F$40)^(2/3),BG224+AY225+AZ225+BA225+BB225),0)</f>
        <v>0</v>
      </c>
      <c r="BD225" s="170">
        <f>IF(Escenarios!$F$17&gt;0,MIN(Constantes!$F$39*(BG224/Constantes!$F$40)^(2/3),BG224+AY225+AZ225+BA225+BB225-BC225),0)</f>
        <v>0</v>
      </c>
      <c r="BE225" s="170">
        <f>IF(Escenarios!$F$17&gt;0,MIN(Entradas!$F$113,BG224+AY225+AZ225+BA225+BB225-BC225-BD225),0)</f>
        <v>0</v>
      </c>
      <c r="BF225" s="170">
        <f>IF(Escenarios!$F$17&gt;0,MAX(0,BG224+AY225+AZ225+BA225+BB225-BC225-BD225-BE225-Constantes!$F$40),0)</f>
        <v>0</v>
      </c>
      <c r="BG225" s="170">
        <f t="shared" si="53"/>
        <v>0</v>
      </c>
      <c r="BH225" s="170">
        <f>(Escenarios!$F$16*AK225+0.1*BC225)/(Escenarios!$F$19)</f>
        <v>0.92816561410672382</v>
      </c>
      <c r="BI225" s="170">
        <f>IF(Escenarios!$F$17&gt;0,BF225/10/Escenarios!$F$19,AL225)</f>
        <v>0</v>
      </c>
      <c r="BJ225" s="170">
        <f>(Escenarios!$F$16*AT225+0.1*BD225)/(Escenarios!$F$19)</f>
        <v>0</v>
      </c>
      <c r="BK225" s="76">
        <f>BK224+(0.1*BD225)/(Escenarios!$F$19)-BL224</f>
        <v>48.75</v>
      </c>
      <c r="BL225" s="76">
        <f>MAX(0,(BK225-Constantes!$D$13)*(1-EXP(-Constantes!$D$23)))</f>
        <v>0</v>
      </c>
      <c r="BM225" s="76">
        <f t="shared" si="54"/>
        <v>0.33964959134315442</v>
      </c>
      <c r="BN225" s="76">
        <f t="shared" si="55"/>
        <v>0.34480351731156711</v>
      </c>
      <c r="BO225" s="76">
        <f>0.0526*BI225*Observaciones!$F224^1.218</f>
        <v>0</v>
      </c>
      <c r="BP225" s="76">
        <f>BO225*Constantes!$F$51</f>
        <v>0</v>
      </c>
      <c r="BQ225" s="76">
        <f t="shared" si="56"/>
        <v>0</v>
      </c>
      <c r="BR225" s="40"/>
    </row>
    <row r="226" spans="2:70">
      <c r="B226" s="39"/>
      <c r="C226" s="75">
        <v>220</v>
      </c>
      <c r="D226" s="146">
        <f>ETo!$I225*((1-Constantes!$F$19)*ETo!$K225+ETo!$L225)</f>
        <v>3.0329762577225541</v>
      </c>
      <c r="E226" s="76">
        <f>MIN(D226*Constantes!$F$17,0.8*(N225+Observaciones!$F225-F226-M226-Constantes!$D$14))</f>
        <v>0.61754792411170889</v>
      </c>
      <c r="F226" s="76">
        <f>IF(Observaciones!$F225&gt;0.05*Constantes!$F$18,((Observaciones!$F225-0.05*Constantes!$F$18)^2)/(Observaciones!$F225+0.95*Constantes!$F$18),0)</f>
        <v>0</v>
      </c>
      <c r="G226" s="76">
        <f>IF(Escenarios!$F$11&gt;0,(F226*Escenarios!$F$16*10000)/1000,0)</f>
        <v>0</v>
      </c>
      <c r="H226" s="76">
        <f>IF(Escenarios!$F$11&gt;0,(Observaciones!$F225*Constantes!$F$29)/1000,0)</f>
        <v>0</v>
      </c>
      <c r="I226" s="76">
        <f>IF(Escenarios!$F$11&gt;0,(D226*Constantes!$F$29)/1000,0)</f>
        <v>0</v>
      </c>
      <c r="J226" s="76">
        <f>IF(Escenarios!$F$11&gt;0,MAX(0,G226+H226-I226),0)</f>
        <v>0</v>
      </c>
      <c r="K226" s="76">
        <f>IF(Escenarios!$F$11&gt;0,IF(J226&gt;Constantes!$F$30,1000*((J226-Constantes!$F$30)/(Escenarios!$F$16*10000)),0),F226)</f>
        <v>0</v>
      </c>
      <c r="L226" s="76">
        <f>IF(Escenarios!$F$11&gt;0,I226*1000/Escenarios!$F$16/10000+E226,E226)</f>
        <v>0.61754792411170889</v>
      </c>
      <c r="M226" s="76">
        <f>MAX(0,N225+Observaciones!$F225-K226-Constantes!$D$13)</f>
        <v>0</v>
      </c>
      <c r="N226" s="76">
        <f>N225+Observaciones!$F225-K226-L226-M226-O225</f>
        <v>11.398530246972914</v>
      </c>
      <c r="O226" s="76">
        <f>MAX(0,(N226-Constantes!$D$14)*(1-EXP(-Constantes!$D$22)))</f>
        <v>5.0594854775967962E-3</v>
      </c>
      <c r="P226" s="170">
        <f>P225+(Entradas!$F$83*M226-Q225)/(800*Entradas!$D$25)</f>
        <v>0</v>
      </c>
      <c r="Q226" s="170">
        <f>8000*Entradas!$D$26*P226/Constantes!$F$45</f>
        <v>0</v>
      </c>
      <c r="R226" s="170">
        <f>IF(Escenarios!$F$14&gt;0,K226*Escenarios!$F$13/Escenarios!$F$14,0)</f>
        <v>0</v>
      </c>
      <c r="S226" s="170">
        <f>IF(Escenarios!$F$14&gt;0,Q226*Escenarios!$F$13/Escenarios!$F$14,0)</f>
        <v>0</v>
      </c>
      <c r="T226" s="170">
        <f>IF(Escenarios!$F$14&gt;0,Observaciones!$I225,0)</f>
        <v>0</v>
      </c>
      <c r="U226" s="170">
        <f>IF(Escenarios!$F$14&gt;0,MAX(0,Constantes!$F$36/((Z225+R226+S226+T226+Observaciones!$F225)^2)+Entradas!$F$77),0)</f>
        <v>0</v>
      </c>
      <c r="V226" s="146">
        <f>IF(ETo!D225&gt;0,ETo!I225*((1-Entradas!$F$81)*ETo!K225+ETo!L225),0)</f>
        <v>2.6606494379353638</v>
      </c>
      <c r="W226" s="170">
        <f>IF(Escenarios!$F$14&gt;0,MIN(V226*1,0.8*(Z225+R226+S226+T226+Observaciones!$F225-U226-Constantes!$F$35)),0)</f>
        <v>0.56322048007423298</v>
      </c>
      <c r="X226" s="170">
        <f>IF(Escenarios!$F$14&gt;0,Observaciones!$J225,0)</f>
        <v>0</v>
      </c>
      <c r="Y226" s="170">
        <f>IF(Escenarios!$F$14&gt;0,MAX(0,Z225+R226+S226+T226+Observaciones!$F225-U226-W226-X226-Constantes!$F$33),0)</f>
        <v>0</v>
      </c>
      <c r="Z226" s="170">
        <f>Z225+R226+S226+T226+Observaciones!$F225-U226-W226-Y226</f>
        <v>41.390805120018555</v>
      </c>
      <c r="AA226" s="170">
        <f>IF(Escenarios!$F$14&gt;0,(Escenarios!$F$13*L226+Escenarios!$F$14*W226)/(Escenarios!$F$16),L226)</f>
        <v>0.61102863082721182</v>
      </c>
      <c r="AB226" s="170">
        <f>IF(Escenarios!$F$14&gt;0,(Escenarios!$F$14*Y226)/(Escenarios!$F$16),K226)</f>
        <v>0</v>
      </c>
      <c r="AC226" s="170">
        <f>IF(Escenarios!$F$14&gt;0,(Escenarios!$F$13*M226+Escenarios!$F$14*U226)/(Escenarios!$F$16),M226)</f>
        <v>0</v>
      </c>
      <c r="AD226" s="76">
        <f t="shared" si="43"/>
        <v>80.270055874583875</v>
      </c>
      <c r="AE226" s="76">
        <f>MAX(0,(AD226-Constantes!$D$13)*(1-EXP(-Constantes!$D$23)))</f>
        <v>0.31057461802467751</v>
      </c>
      <c r="AF226" s="76">
        <f>AB226+O226*Escenarios!$F$13/Escenarios!$F$16+AE226</f>
        <v>0.31502696524496271</v>
      </c>
      <c r="AG226" s="76">
        <f>IF(Entradas!$F$91&gt;0,IF(AF226-Escenarios!$F$38&lt;=0,0,IF(AF226-Escenarios!$F$38&gt;Escenarios!$F$37,Escenarios!$F$37,AF226-Escenarios!$F$38)),0)</f>
        <v>0</v>
      </c>
      <c r="AH226" s="76">
        <f>AG226*Entradas!$F$99</f>
        <v>0</v>
      </c>
      <c r="AI226" s="76">
        <f>IF(Entradas!$F$91&gt;0,D226*Entradas!$D$23/Escenarios!$F$16,0)</f>
        <v>0.1455828603706826</v>
      </c>
      <c r="AJ226" s="76">
        <f>IF(Entradas!$F$91&gt;0,Entradas!$D$24*Entradas!$D$22/Escenarios!$F$16,0)</f>
        <v>0.12</v>
      </c>
      <c r="AK226" s="76">
        <f t="shared" si="44"/>
        <v>0.75661149119789439</v>
      </c>
      <c r="AL226" s="76">
        <f t="shared" si="45"/>
        <v>0</v>
      </c>
      <c r="AM226" s="76">
        <f t="shared" si="46"/>
        <v>0</v>
      </c>
      <c r="AN226" s="76">
        <f>MAX(0,O226*Escenarios!$F$13/Escenarios!$F$16-AM226)</f>
        <v>4.4523472202851804E-3</v>
      </c>
      <c r="AO226" s="76">
        <f>AM226+AN226-O226*Escenarios!$F$13/Escenarios!$F$16</f>
        <v>0</v>
      </c>
      <c r="AP226" s="76">
        <f t="shared" si="47"/>
        <v>0.31057461802467751</v>
      </c>
      <c r="AQ226" s="76">
        <f t="shared" si="48"/>
        <v>0</v>
      </c>
      <c r="AR226" s="76">
        <f t="shared" si="49"/>
        <v>0.31502696524496271</v>
      </c>
      <c r="AS226" s="76">
        <f t="shared" si="50"/>
        <v>0</v>
      </c>
      <c r="AT226" s="76">
        <f t="shared" si="51"/>
        <v>0</v>
      </c>
      <c r="AU226" s="76">
        <f t="shared" si="52"/>
        <v>50.423978682816106</v>
      </c>
      <c r="AV226" s="76">
        <f>MAX(0,(AU226-Constantes!$D$13)*(1-EXP(-Constantes!$D$24)))</f>
        <v>2.5587177749339565E-2</v>
      </c>
      <c r="AW226" s="170">
        <f>AW225+(Entradas!$F$112*AT226-AX225)/(800*Entradas!$D$25)</f>
        <v>0</v>
      </c>
      <c r="AX226" s="170">
        <f>8000*Entradas!$D$26*AW226/Constantes!$F$45</f>
        <v>0</v>
      </c>
      <c r="AY226" s="170">
        <f>IF(Escenarios!$F$17&gt;0,10*Escenarios!$F$16*AL226,0)</f>
        <v>0</v>
      </c>
      <c r="AZ226" s="170">
        <f>IF(Escenarios!$F$17&gt;0,10*Escenarios!$F$16*AX226,0)</f>
        <v>0</v>
      </c>
      <c r="BA226" s="170">
        <f>IF(Escenarios!$F$17&gt;0,0.001*Observaciones!$F225*Escenarios!$F$17,0)</f>
        <v>0</v>
      </c>
      <c r="BB226" s="170">
        <f>IF(Escenarios!$F$17&gt;0,Observaciones!$K225,0)</f>
        <v>0</v>
      </c>
      <c r="BC226" s="170">
        <f>IF(Escenarios!$F$17&gt;0,MIN(0.0005*ETo!$M225*Escenarios!$F$17*(BG225/Constantes!$F$40)^(2/3),BG225+AY226+AZ226+BA226+BB226),0)</f>
        <v>0</v>
      </c>
      <c r="BD226" s="170">
        <f>IF(Escenarios!$F$17&gt;0,MIN(Constantes!$F$39*(BG225/Constantes!$F$40)^(2/3),BG225+AY226+AZ226+BA226+BB226-BC226),0)</f>
        <v>0</v>
      </c>
      <c r="BE226" s="170">
        <f>IF(Escenarios!$F$17&gt;0,MIN(Entradas!$F$113,BG225+AY226+AZ226+BA226+BB226-BC226-BD226),0)</f>
        <v>0</v>
      </c>
      <c r="BF226" s="170">
        <f>IF(Escenarios!$F$17&gt;0,MAX(0,BG225+AY226+AZ226+BA226+BB226-BC226-BD226-BE226-Constantes!$F$40),0)</f>
        <v>0</v>
      </c>
      <c r="BG226" s="170">
        <f t="shared" si="53"/>
        <v>0</v>
      </c>
      <c r="BH226" s="170">
        <f>(Escenarios!$F$16*AK226+0.1*BC226)/(Escenarios!$F$19)</f>
        <v>0.75661149119789439</v>
      </c>
      <c r="BI226" s="170">
        <f>IF(Escenarios!$F$17&gt;0,BF226/10/Escenarios!$F$19,AL226)</f>
        <v>0</v>
      </c>
      <c r="BJ226" s="170">
        <f>(Escenarios!$F$16*AT226+0.1*BD226)/(Escenarios!$F$19)</f>
        <v>0</v>
      </c>
      <c r="BK226" s="76">
        <f>BK225+(0.1*BD226)/(Escenarios!$F$19)-BL225</f>
        <v>48.75</v>
      </c>
      <c r="BL226" s="76">
        <f>MAX(0,(BK226-Constantes!$D$13)*(1-EXP(-Constantes!$D$23)))</f>
        <v>0</v>
      </c>
      <c r="BM226" s="76">
        <f t="shared" si="54"/>
        <v>0.33616179577401706</v>
      </c>
      <c r="BN226" s="76">
        <f t="shared" si="55"/>
        <v>0.34061414299430226</v>
      </c>
      <c r="BO226" s="76">
        <f>0.0526*BI226*Observaciones!$F225^1.218</f>
        <v>0</v>
      </c>
      <c r="BP226" s="76">
        <f>BO226*Constantes!$F$51</f>
        <v>0</v>
      </c>
      <c r="BQ226" s="76">
        <f t="shared" si="56"/>
        <v>0</v>
      </c>
      <c r="BR226" s="40"/>
    </row>
    <row r="227" spans="2:70">
      <c r="B227" s="39"/>
      <c r="C227" s="75">
        <v>221</v>
      </c>
      <c r="D227" s="146">
        <f>ETo!$I226*((1-Constantes!$F$19)*ETo!$K226+ETo!$L226)</f>
        <v>3.194137710869188</v>
      </c>
      <c r="E227" s="76">
        <f>MIN(D227*Constantes!$F$17,0.8*(N226+Observaciones!$F226-F227-M227-Constantes!$D$14))</f>
        <v>0.11882419757833135</v>
      </c>
      <c r="F227" s="76">
        <f>IF(Observaciones!$F226&gt;0.05*Constantes!$F$18,((Observaciones!$F226-0.05*Constantes!$F$18)^2)/(Observaciones!$F226+0.95*Constantes!$F$18),0)</f>
        <v>0</v>
      </c>
      <c r="G227" s="76">
        <f>IF(Escenarios!$F$11&gt;0,(F227*Escenarios!$F$16*10000)/1000,0)</f>
        <v>0</v>
      </c>
      <c r="H227" s="76">
        <f>IF(Escenarios!$F$11&gt;0,(Observaciones!$F226*Constantes!$F$29)/1000,0)</f>
        <v>0</v>
      </c>
      <c r="I227" s="76">
        <f>IF(Escenarios!$F$11&gt;0,(D227*Constantes!$F$29)/1000,0)</f>
        <v>0</v>
      </c>
      <c r="J227" s="76">
        <f>IF(Escenarios!$F$11&gt;0,MAX(0,G227+H227-I227),0)</f>
        <v>0</v>
      </c>
      <c r="K227" s="76">
        <f>IF(Escenarios!$F$11&gt;0,IF(J227&gt;Constantes!$F$30,1000*((J227-Constantes!$F$30)/(Escenarios!$F$16*10000)),0),F227)</f>
        <v>0</v>
      </c>
      <c r="L227" s="76">
        <f>IF(Escenarios!$F$11&gt;0,I227*1000/Escenarios!$F$16/10000+E227,E227)</f>
        <v>0.11882419757833135</v>
      </c>
      <c r="M227" s="76">
        <f>MAX(0,N226+Observaciones!$F226-K227-Constantes!$D$13)</f>
        <v>0</v>
      </c>
      <c r="N227" s="76">
        <f>N226+Observaciones!$F226-K227-L227-M227-O226</f>
        <v>11.274646563916987</v>
      </c>
      <c r="O227" s="76">
        <f>MAX(0,(N227-Constantes!$D$14)*(1-EXP(-Constantes!$D$22)))</f>
        <v>8.3955244640100083E-4</v>
      </c>
      <c r="P227" s="170">
        <f>P226+(Entradas!$F$83*M227-Q226)/(800*Entradas!$D$25)</f>
        <v>0</v>
      </c>
      <c r="Q227" s="170">
        <f>8000*Entradas!$D$26*P227/Constantes!$F$45</f>
        <v>0</v>
      </c>
      <c r="R227" s="170">
        <f>IF(Escenarios!$F$14&gt;0,K227*Escenarios!$F$13/Escenarios!$F$14,0)</f>
        <v>0</v>
      </c>
      <c r="S227" s="170">
        <f>IF(Escenarios!$F$14&gt;0,Q227*Escenarios!$F$13/Escenarios!$F$14,0)</f>
        <v>0</v>
      </c>
      <c r="T227" s="170">
        <f>IF(Escenarios!$F$14&gt;0,Observaciones!$I226,0)</f>
        <v>0</v>
      </c>
      <c r="U227" s="170">
        <f>IF(Escenarios!$F$14&gt;0,MAX(0,Constantes!$F$36/((Z226+R227+S227+T227+Observaciones!$F226)^2)+Entradas!$F$77),0)</f>
        <v>0</v>
      </c>
      <c r="V227" s="146">
        <f>IF(ETo!D226&gt;0,ETo!I226*((1-Entradas!$F$81)*ETo!K226+ETo!L226),0)</f>
        <v>2.8044861973241226</v>
      </c>
      <c r="W227" s="170">
        <f>IF(Escenarios!$F$14&gt;0,MIN(V227*1,0.8*(Z226+R227+S227+T227+Observaciones!$F226-U227-Constantes!$F$35)),0)</f>
        <v>0.11264409601484432</v>
      </c>
      <c r="X227" s="170">
        <f>IF(Escenarios!$F$14&gt;0,Observaciones!$J226,0)</f>
        <v>0</v>
      </c>
      <c r="Y227" s="170">
        <f>IF(Escenarios!$F$14&gt;0,MAX(0,Z226+R227+S227+T227+Observaciones!$F226-U227-W227-X227-Constantes!$F$33),0)</f>
        <v>0</v>
      </c>
      <c r="Z227" s="170">
        <f>Z226+R227+S227+T227+Observaciones!$F226-U227-W227-Y227</f>
        <v>41.278161024003708</v>
      </c>
      <c r="AA227" s="170">
        <f>IF(Escenarios!$F$14&gt;0,(Escenarios!$F$13*L227+Escenarios!$F$14*W227)/(Escenarios!$F$16),L227)</f>
        <v>0.11808258539071291</v>
      </c>
      <c r="AB227" s="170">
        <f>IF(Escenarios!$F$14&gt;0,(Escenarios!$F$14*Y227)/(Escenarios!$F$16),K227)</f>
        <v>0</v>
      </c>
      <c r="AC227" s="170">
        <f>IF(Escenarios!$F$14&gt;0,(Escenarios!$F$13*M227+Escenarios!$F$14*U227)/(Escenarios!$F$16),M227)</f>
        <v>0</v>
      </c>
      <c r="AD227" s="76">
        <f t="shared" si="43"/>
        <v>79.959481256559201</v>
      </c>
      <c r="AE227" s="76">
        <f>MAX(0,(AD227-Constantes!$D$13)*(1-EXP(-Constantes!$D$23)))</f>
        <v>0.30751445234016961</v>
      </c>
      <c r="AF227" s="76">
        <f>AB227+O227*Escenarios!$F$13/Escenarios!$F$16+AE227</f>
        <v>0.3082532584930025</v>
      </c>
      <c r="AG227" s="76">
        <f>IF(Entradas!$F$91&gt;0,IF(AF227-Escenarios!$F$38&lt;=0,0,IF(AF227-Escenarios!$F$38&gt;Escenarios!$F$37,Escenarios!$F$37,AF227-Escenarios!$F$38)),0)</f>
        <v>0</v>
      </c>
      <c r="AH227" s="76">
        <f>AG227*Entradas!$F$99</f>
        <v>0</v>
      </c>
      <c r="AI227" s="76">
        <f>IF(Entradas!$F$91&gt;0,D227*Entradas!$D$23/Escenarios!$F$16,0)</f>
        <v>0.15331861012172102</v>
      </c>
      <c r="AJ227" s="76">
        <f>IF(Entradas!$F$91&gt;0,Entradas!$D$24*Entradas!$D$22/Escenarios!$F$16,0)</f>
        <v>0.12</v>
      </c>
      <c r="AK227" s="76">
        <f t="shared" si="44"/>
        <v>0.27140119551243391</v>
      </c>
      <c r="AL227" s="76">
        <f t="shared" si="45"/>
        <v>0</v>
      </c>
      <c r="AM227" s="76">
        <f t="shared" si="46"/>
        <v>0</v>
      </c>
      <c r="AN227" s="76">
        <f>MAX(0,O227*Escenarios!$F$13/Escenarios!$F$16-AM227)</f>
        <v>7.3880615283288074E-4</v>
      </c>
      <c r="AO227" s="76">
        <f>AM227+AN227-O227*Escenarios!$F$13/Escenarios!$F$16</f>
        <v>0</v>
      </c>
      <c r="AP227" s="76">
        <f t="shared" si="47"/>
        <v>0.30751445234016961</v>
      </c>
      <c r="AQ227" s="76">
        <f t="shared" si="48"/>
        <v>0</v>
      </c>
      <c r="AR227" s="76">
        <f t="shared" si="49"/>
        <v>0.3082532584930025</v>
      </c>
      <c r="AS227" s="76">
        <f t="shared" si="50"/>
        <v>0</v>
      </c>
      <c r="AT227" s="76">
        <f t="shared" si="51"/>
        <v>0</v>
      </c>
      <c r="AU227" s="76">
        <f t="shared" si="52"/>
        <v>50.398391505066769</v>
      </c>
      <c r="AV227" s="76">
        <f>MAX(0,(AU227-Constantes!$D$13)*(1-EXP(-Constantes!$D$24)))</f>
        <v>2.5196071415730326E-2</v>
      </c>
      <c r="AW227" s="170">
        <f>AW226+(Entradas!$F$112*AT227-AX226)/(800*Entradas!$D$25)</f>
        <v>0</v>
      </c>
      <c r="AX227" s="170">
        <f>8000*Entradas!$D$26*AW227/Constantes!$F$45</f>
        <v>0</v>
      </c>
      <c r="AY227" s="170">
        <f>IF(Escenarios!$F$17&gt;0,10*Escenarios!$F$16*AL227,0)</f>
        <v>0</v>
      </c>
      <c r="AZ227" s="170">
        <f>IF(Escenarios!$F$17&gt;0,10*Escenarios!$F$16*AX227,0)</f>
        <v>0</v>
      </c>
      <c r="BA227" s="170">
        <f>IF(Escenarios!$F$17&gt;0,0.001*Observaciones!$F226*Escenarios!$F$17,0)</f>
        <v>0</v>
      </c>
      <c r="BB227" s="170">
        <f>IF(Escenarios!$F$17&gt;0,Observaciones!$K226,0)</f>
        <v>0</v>
      </c>
      <c r="BC227" s="170">
        <f>IF(Escenarios!$F$17&gt;0,MIN(0.0005*ETo!$M226*Escenarios!$F$17*(BG226/Constantes!$F$40)^(2/3),BG226+AY227+AZ227+BA227+BB227),0)</f>
        <v>0</v>
      </c>
      <c r="BD227" s="170">
        <f>IF(Escenarios!$F$17&gt;0,MIN(Constantes!$F$39*(BG226/Constantes!$F$40)^(2/3),BG226+AY227+AZ227+BA227+BB227-BC227),0)</f>
        <v>0</v>
      </c>
      <c r="BE227" s="170">
        <f>IF(Escenarios!$F$17&gt;0,MIN(Entradas!$F$113,BG226+AY227+AZ227+BA227+BB227-BC227-BD227),0)</f>
        <v>0</v>
      </c>
      <c r="BF227" s="170">
        <f>IF(Escenarios!$F$17&gt;0,MAX(0,BG226+AY227+AZ227+BA227+BB227-BC227-BD227-BE227-Constantes!$F$40),0)</f>
        <v>0</v>
      </c>
      <c r="BG227" s="170">
        <f t="shared" si="53"/>
        <v>0</v>
      </c>
      <c r="BH227" s="170">
        <f>(Escenarios!$F$16*AK227+0.1*BC227)/(Escenarios!$F$19)</f>
        <v>0.27140119551243391</v>
      </c>
      <c r="BI227" s="170">
        <f>IF(Escenarios!$F$17&gt;0,BF227/10/Escenarios!$F$19,AL227)</f>
        <v>0</v>
      </c>
      <c r="BJ227" s="170">
        <f>(Escenarios!$F$16*AT227+0.1*BD227)/(Escenarios!$F$19)</f>
        <v>0</v>
      </c>
      <c r="BK227" s="76">
        <f>BK226+(0.1*BD227)/(Escenarios!$F$19)-BL226</f>
        <v>48.75</v>
      </c>
      <c r="BL227" s="76">
        <f>MAX(0,(BK227-Constantes!$D$13)*(1-EXP(-Constantes!$D$23)))</f>
        <v>0</v>
      </c>
      <c r="BM227" s="76">
        <f t="shared" si="54"/>
        <v>0.33271052375589993</v>
      </c>
      <c r="BN227" s="76">
        <f t="shared" si="55"/>
        <v>0.33344932990873283</v>
      </c>
      <c r="BO227" s="76">
        <f>0.0526*BI227*Observaciones!$F226^1.218</f>
        <v>0</v>
      </c>
      <c r="BP227" s="76">
        <f>BO227*Constantes!$F$51</f>
        <v>0</v>
      </c>
      <c r="BQ227" s="76">
        <f t="shared" si="56"/>
        <v>0</v>
      </c>
      <c r="BR227" s="40"/>
    </row>
    <row r="228" spans="2:70">
      <c r="B228" s="39"/>
      <c r="C228" s="75">
        <v>222</v>
      </c>
      <c r="D228" s="146">
        <f>ETo!$I227*((1-Constantes!$F$19)*ETo!$K227+ETo!$L227)</f>
        <v>3.233242165017522</v>
      </c>
      <c r="E228" s="76">
        <f>MIN(D228*Constantes!$F$17,0.8*(N227+Observaciones!$F227-F228-M228-Constantes!$D$14))</f>
        <v>1.9717251133589287E-2</v>
      </c>
      <c r="F228" s="76">
        <f>IF(Observaciones!$F227&gt;0.05*Constantes!$F$18,((Observaciones!$F227-0.05*Constantes!$F$18)^2)/(Observaciones!$F227+0.95*Constantes!$F$18),0)</f>
        <v>0</v>
      </c>
      <c r="G228" s="76">
        <f>IF(Escenarios!$F$11&gt;0,(F228*Escenarios!$F$16*10000)/1000,0)</f>
        <v>0</v>
      </c>
      <c r="H228" s="76">
        <f>IF(Escenarios!$F$11&gt;0,(Observaciones!$F227*Constantes!$F$29)/1000,0)</f>
        <v>0</v>
      </c>
      <c r="I228" s="76">
        <f>IF(Escenarios!$F$11&gt;0,(D228*Constantes!$F$29)/1000,0)</f>
        <v>0</v>
      </c>
      <c r="J228" s="76">
        <f>IF(Escenarios!$F$11&gt;0,MAX(0,G228+H228-I228),0)</f>
        <v>0</v>
      </c>
      <c r="K228" s="76">
        <f>IF(Escenarios!$F$11&gt;0,IF(J228&gt;Constantes!$F$30,1000*((J228-Constantes!$F$30)/(Escenarios!$F$16*10000)),0),F228)</f>
        <v>0</v>
      </c>
      <c r="L228" s="76">
        <f>IF(Escenarios!$F$11&gt;0,I228*1000/Escenarios!$F$16/10000+E228,E228)</f>
        <v>1.9717251133589287E-2</v>
      </c>
      <c r="M228" s="76">
        <f>MAX(0,N227+Observaciones!$F227-K228-Constantes!$D$13)</f>
        <v>0</v>
      </c>
      <c r="N228" s="76">
        <f>N227+Observaciones!$F227-K228-L228-M228-O227</f>
        <v>11.254089760336997</v>
      </c>
      <c r="O228" s="76">
        <f>MAX(0,(N228-Constantes!$D$14)*(1-EXP(-Constantes!$D$22)))</f>
        <v>1.393122508956911E-4</v>
      </c>
      <c r="P228" s="170">
        <f>P227+(Entradas!$F$83*M228-Q227)/(800*Entradas!$D$25)</f>
        <v>0</v>
      </c>
      <c r="Q228" s="170">
        <f>8000*Entradas!$D$26*P228/Constantes!$F$45</f>
        <v>0</v>
      </c>
      <c r="R228" s="170">
        <f>IF(Escenarios!$F$14&gt;0,K228*Escenarios!$F$13/Escenarios!$F$14,0)</f>
        <v>0</v>
      </c>
      <c r="S228" s="170">
        <f>IF(Escenarios!$F$14&gt;0,Q228*Escenarios!$F$13/Escenarios!$F$14,0)</f>
        <v>0</v>
      </c>
      <c r="T228" s="170">
        <f>IF(Escenarios!$F$14&gt;0,Observaciones!$I227,0)</f>
        <v>0</v>
      </c>
      <c r="U228" s="170">
        <f>IF(Escenarios!$F$14&gt;0,MAX(0,Constantes!$F$36/((Z227+R228+S228+T228+Observaciones!$F227)^2)+Entradas!$F$77),0)</f>
        <v>0</v>
      </c>
      <c r="V228" s="146">
        <f>IF(ETo!D227&gt;0,ETo!I227*((1-Entradas!$F$81)*ETo!K227+ETo!L227),0)</f>
        <v>2.8398476161758146</v>
      </c>
      <c r="W228" s="170">
        <f>IF(Escenarios!$F$14&gt;0,MIN(V228*1,0.8*(Z227+R228+S228+T228+Observaciones!$F227-U228-Constantes!$F$35)),0)</f>
        <v>2.252881920296659E-2</v>
      </c>
      <c r="X228" s="170">
        <f>IF(Escenarios!$F$14&gt;0,Observaciones!$J227,0)</f>
        <v>0</v>
      </c>
      <c r="Y228" s="170">
        <f>IF(Escenarios!$F$14&gt;0,MAX(0,Z227+R228+S228+T228+Observaciones!$F227-U228-W228-X228-Constantes!$F$33),0)</f>
        <v>0</v>
      </c>
      <c r="Z228" s="170">
        <f>Z227+R228+S228+T228+Observaciones!$F227-U228-W228-Y228</f>
        <v>41.25563220480074</v>
      </c>
      <c r="AA228" s="170">
        <f>IF(Escenarios!$F$14&gt;0,(Escenarios!$F$13*L228+Escenarios!$F$14*W228)/(Escenarios!$F$16),L228)</f>
        <v>2.0054639301914562E-2</v>
      </c>
      <c r="AB228" s="170">
        <f>IF(Escenarios!$F$14&gt;0,(Escenarios!$F$14*Y228)/(Escenarios!$F$16),K228)</f>
        <v>0</v>
      </c>
      <c r="AC228" s="170">
        <f>IF(Escenarios!$F$14&gt;0,(Escenarios!$F$13*M228+Escenarios!$F$14*U228)/(Escenarios!$F$16),M228)</f>
        <v>0</v>
      </c>
      <c r="AD228" s="76">
        <f t="shared" si="43"/>
        <v>79.651966804219029</v>
      </c>
      <c r="AE228" s="76">
        <f>MAX(0,(AD228-Constantes!$D$13)*(1-EXP(-Constantes!$D$23)))</f>
        <v>0.30448443919702578</v>
      </c>
      <c r="AF228" s="76">
        <f>AB228+O228*Escenarios!$F$13/Escenarios!$F$16+AE228</f>
        <v>0.30460703397781397</v>
      </c>
      <c r="AG228" s="76">
        <f>IF(Entradas!$F$91&gt;0,IF(AF228-Escenarios!$F$38&lt;=0,0,IF(AF228-Escenarios!$F$38&gt;Escenarios!$F$37,Escenarios!$F$37,AF228-Escenarios!$F$38)),0)</f>
        <v>0</v>
      </c>
      <c r="AH228" s="76">
        <f>AG228*Entradas!$F$99</f>
        <v>0</v>
      </c>
      <c r="AI228" s="76">
        <f>IF(Entradas!$F$91&gt;0,D228*Entradas!$D$23/Escenarios!$F$16,0)</f>
        <v>0.15519562392084105</v>
      </c>
      <c r="AJ228" s="76">
        <f>IF(Entradas!$F$91&gt;0,Entradas!$D$24*Entradas!$D$22/Escenarios!$F$16,0)</f>
        <v>0.12</v>
      </c>
      <c r="AK228" s="76">
        <f t="shared" si="44"/>
        <v>0.17525026322275561</v>
      </c>
      <c r="AL228" s="76">
        <f t="shared" si="45"/>
        <v>0</v>
      </c>
      <c r="AM228" s="76">
        <f t="shared" si="46"/>
        <v>0</v>
      </c>
      <c r="AN228" s="76">
        <f>MAX(0,O228*Escenarios!$F$13/Escenarios!$F$16-AM228)</f>
        <v>1.2259478078820816E-4</v>
      </c>
      <c r="AO228" s="76">
        <f>AM228+AN228-O228*Escenarios!$F$13/Escenarios!$F$16</f>
        <v>0</v>
      </c>
      <c r="AP228" s="76">
        <f t="shared" si="47"/>
        <v>0.30448443919702578</v>
      </c>
      <c r="AQ228" s="76">
        <f t="shared" si="48"/>
        <v>0</v>
      </c>
      <c r="AR228" s="76">
        <f t="shared" si="49"/>
        <v>0.30460703397781397</v>
      </c>
      <c r="AS228" s="76">
        <f t="shared" si="50"/>
        <v>0</v>
      </c>
      <c r="AT228" s="76">
        <f t="shared" si="51"/>
        <v>0</v>
      </c>
      <c r="AU228" s="76">
        <f t="shared" si="52"/>
        <v>50.373195433651041</v>
      </c>
      <c r="AV228" s="76">
        <f>MAX(0,(AU228-Constantes!$D$13)*(1-EXP(-Constantes!$D$24)))</f>
        <v>2.4810943239059212E-2</v>
      </c>
      <c r="AW228" s="170">
        <f>AW227+(Entradas!$F$112*AT228-AX227)/(800*Entradas!$D$25)</f>
        <v>0</v>
      </c>
      <c r="AX228" s="170">
        <f>8000*Entradas!$D$26*AW228/Constantes!$F$45</f>
        <v>0</v>
      </c>
      <c r="AY228" s="170">
        <f>IF(Escenarios!$F$17&gt;0,10*Escenarios!$F$16*AL228,0)</f>
        <v>0</v>
      </c>
      <c r="AZ228" s="170">
        <f>IF(Escenarios!$F$17&gt;0,10*Escenarios!$F$16*AX228,0)</f>
        <v>0</v>
      </c>
      <c r="BA228" s="170">
        <f>IF(Escenarios!$F$17&gt;0,0.001*Observaciones!$F227*Escenarios!$F$17,0)</f>
        <v>0</v>
      </c>
      <c r="BB228" s="170">
        <f>IF(Escenarios!$F$17&gt;0,Observaciones!$K227,0)</f>
        <v>0</v>
      </c>
      <c r="BC228" s="170">
        <f>IF(Escenarios!$F$17&gt;0,MIN(0.0005*ETo!$M227*Escenarios!$F$17*(BG227/Constantes!$F$40)^(2/3),BG227+AY228+AZ228+BA228+BB228),0)</f>
        <v>0</v>
      </c>
      <c r="BD228" s="170">
        <f>IF(Escenarios!$F$17&gt;0,MIN(Constantes!$F$39*(BG227/Constantes!$F$40)^(2/3),BG227+AY228+AZ228+BA228+BB228-BC228),0)</f>
        <v>0</v>
      </c>
      <c r="BE228" s="170">
        <f>IF(Escenarios!$F$17&gt;0,MIN(Entradas!$F$113,BG227+AY228+AZ228+BA228+BB228-BC228-BD228),0)</f>
        <v>0</v>
      </c>
      <c r="BF228" s="170">
        <f>IF(Escenarios!$F$17&gt;0,MAX(0,BG227+AY228+AZ228+BA228+BB228-BC228-BD228-BE228-Constantes!$F$40),0)</f>
        <v>0</v>
      </c>
      <c r="BG228" s="170">
        <f t="shared" si="53"/>
        <v>0</v>
      </c>
      <c r="BH228" s="170">
        <f>(Escenarios!$F$16*AK228+0.1*BC228)/(Escenarios!$F$19)</f>
        <v>0.17525026322275561</v>
      </c>
      <c r="BI228" s="170">
        <f>IF(Escenarios!$F$17&gt;0,BF228/10/Escenarios!$F$19,AL228)</f>
        <v>0</v>
      </c>
      <c r="BJ228" s="170">
        <f>(Escenarios!$F$16*AT228+0.1*BD228)/(Escenarios!$F$19)</f>
        <v>0</v>
      </c>
      <c r="BK228" s="76">
        <f>BK227+(0.1*BD228)/(Escenarios!$F$19)-BL227</f>
        <v>48.75</v>
      </c>
      <c r="BL228" s="76">
        <f>MAX(0,(BK228-Constantes!$D$13)*(1-EXP(-Constantes!$D$23)))</f>
        <v>0</v>
      </c>
      <c r="BM228" s="76">
        <f t="shared" si="54"/>
        <v>0.32929538243608497</v>
      </c>
      <c r="BN228" s="76">
        <f t="shared" si="55"/>
        <v>0.32941797721687316</v>
      </c>
      <c r="BO228" s="76">
        <f>0.0526*BI228*Observaciones!$F227^1.218</f>
        <v>0</v>
      </c>
      <c r="BP228" s="76">
        <f>BO228*Constantes!$F$51</f>
        <v>0</v>
      </c>
      <c r="BQ228" s="76">
        <f t="shared" si="56"/>
        <v>0</v>
      </c>
      <c r="BR228" s="40"/>
    </row>
    <row r="229" spans="2:70">
      <c r="B229" s="39"/>
      <c r="C229" s="75">
        <v>223</v>
      </c>
      <c r="D229" s="146">
        <f>ETo!$I228*((1-Constantes!$F$19)*ETo!$K228+ETo!$L228)</f>
        <v>3.1336992673516524</v>
      </c>
      <c r="E229" s="76">
        <f>MIN(D229*Constantes!$F$17,0.8*(N228+Observaciones!$F228-F229-M229-Constantes!$D$14))</f>
        <v>3.271808269597898E-3</v>
      </c>
      <c r="F229" s="76">
        <f>IF(Observaciones!$F228&gt;0.05*Constantes!$F$18,((Observaciones!$F228-0.05*Constantes!$F$18)^2)/(Observaciones!$F228+0.95*Constantes!$F$18),0)</f>
        <v>0</v>
      </c>
      <c r="G229" s="76">
        <f>IF(Escenarios!$F$11&gt;0,(F229*Escenarios!$F$16*10000)/1000,0)</f>
        <v>0</v>
      </c>
      <c r="H229" s="76">
        <f>IF(Escenarios!$F$11&gt;0,(Observaciones!$F228*Constantes!$F$29)/1000,0)</f>
        <v>0</v>
      </c>
      <c r="I229" s="76">
        <f>IF(Escenarios!$F$11&gt;0,(D229*Constantes!$F$29)/1000,0)</f>
        <v>0</v>
      </c>
      <c r="J229" s="76">
        <f>IF(Escenarios!$F$11&gt;0,MAX(0,G229+H229-I229),0)</f>
        <v>0</v>
      </c>
      <c r="K229" s="76">
        <f>IF(Escenarios!$F$11&gt;0,IF(J229&gt;Constantes!$F$30,1000*((J229-Constantes!$F$30)/(Escenarios!$F$16*10000)),0),F229)</f>
        <v>0</v>
      </c>
      <c r="L229" s="76">
        <f>IF(Escenarios!$F$11&gt;0,I229*1000/Escenarios!$F$16/10000+E229,E229)</f>
        <v>3.271808269597898E-3</v>
      </c>
      <c r="M229" s="76">
        <f>MAX(0,N228+Observaciones!$F228-K229-Constantes!$D$13)</f>
        <v>0</v>
      </c>
      <c r="N229" s="76">
        <f>N228+Observaciones!$F228-K229-L229-M229-O228</f>
        <v>11.250678639816503</v>
      </c>
      <c r="O229" s="76">
        <f>MAX(0,(N229-Constantes!$D$14)*(1-EXP(-Constantes!$D$22)))</f>
        <v>2.3116963487848529E-5</v>
      </c>
      <c r="P229" s="170">
        <f>P228+(Entradas!$F$83*M229-Q228)/(800*Entradas!$D$25)</f>
        <v>0</v>
      </c>
      <c r="Q229" s="170">
        <f>8000*Entradas!$D$26*P229/Constantes!$F$45</f>
        <v>0</v>
      </c>
      <c r="R229" s="170">
        <f>IF(Escenarios!$F$14&gt;0,K229*Escenarios!$F$13/Escenarios!$F$14,0)</f>
        <v>0</v>
      </c>
      <c r="S229" s="170">
        <f>IF(Escenarios!$F$14&gt;0,Q229*Escenarios!$F$13/Escenarios!$F$14,0)</f>
        <v>0</v>
      </c>
      <c r="T229" s="170">
        <f>IF(Escenarios!$F$14&gt;0,Observaciones!$I228,0)</f>
        <v>0</v>
      </c>
      <c r="U229" s="170">
        <f>IF(Escenarios!$F$14&gt;0,MAX(0,Constantes!$F$36/((Z228+R229+S229+T229+Observaciones!$F228)^2)+Entradas!$F$77),0)</f>
        <v>0</v>
      </c>
      <c r="V229" s="146">
        <f>IF(ETo!D228&gt;0,ETo!I228*((1-Entradas!$F$81)*ETo!K228+ETo!L228),0)</f>
        <v>2.7515732988286765</v>
      </c>
      <c r="W229" s="170">
        <f>IF(Escenarios!$F$14&gt;0,MIN(V229*1,0.8*(Z228+R229+S229+T229+Observaciones!$F228-U229-Constantes!$F$35)),0)</f>
        <v>4.5057638405921812E-3</v>
      </c>
      <c r="X229" s="170">
        <f>IF(Escenarios!$F$14&gt;0,Observaciones!$J228,0)</f>
        <v>0</v>
      </c>
      <c r="Y229" s="170">
        <f>IF(Escenarios!$F$14&gt;0,MAX(0,Z228+R229+S229+T229+Observaciones!$F228-U229-W229-X229-Constantes!$F$33),0)</f>
        <v>0</v>
      </c>
      <c r="Z229" s="170">
        <f>Z228+R229+S229+T229+Observaciones!$F228-U229-W229-Y229</f>
        <v>41.251126440960149</v>
      </c>
      <c r="AA229" s="170">
        <f>IF(Escenarios!$F$14&gt;0,(Escenarios!$F$13*L229+Escenarios!$F$14*W229)/(Escenarios!$F$16),L229)</f>
        <v>3.4198829381172119E-3</v>
      </c>
      <c r="AB229" s="170">
        <f>IF(Escenarios!$F$14&gt;0,(Escenarios!$F$14*Y229)/(Escenarios!$F$16),K229)</f>
        <v>0</v>
      </c>
      <c r="AC229" s="170">
        <f>IF(Escenarios!$F$14&gt;0,(Escenarios!$F$13*M229+Escenarios!$F$14*U229)/(Escenarios!$F$16),M229)</f>
        <v>0</v>
      </c>
      <c r="AD229" s="76">
        <f t="shared" si="43"/>
        <v>79.347482365022003</v>
      </c>
      <c r="AE229" s="76">
        <f>MAX(0,(AD229-Constantes!$D$13)*(1-EXP(-Constantes!$D$23)))</f>
        <v>0.30148428149507428</v>
      </c>
      <c r="AF229" s="76">
        <f>AB229+O229*Escenarios!$F$13/Escenarios!$F$16+AE229</f>
        <v>0.30150462442294357</v>
      </c>
      <c r="AG229" s="76">
        <f>IF(Entradas!$F$91&gt;0,IF(AF229-Escenarios!$F$38&lt;=0,0,IF(AF229-Escenarios!$F$38&gt;Escenarios!$F$37,Escenarios!$F$37,AF229-Escenarios!$F$38)),0)</f>
        <v>0</v>
      </c>
      <c r="AH229" s="76">
        <f>AG229*Entradas!$F$99</f>
        <v>0</v>
      </c>
      <c r="AI229" s="76">
        <f>IF(Entradas!$F$91&gt;0,D229*Entradas!$D$23/Escenarios!$F$16,0)</f>
        <v>0.15041756483287932</v>
      </c>
      <c r="AJ229" s="76">
        <f>IF(Entradas!$F$91&gt;0,Entradas!$D$24*Entradas!$D$22/Escenarios!$F$16,0)</f>
        <v>0.12</v>
      </c>
      <c r="AK229" s="76">
        <f t="shared" si="44"/>
        <v>0.15383744777099653</v>
      </c>
      <c r="AL229" s="76">
        <f t="shared" si="45"/>
        <v>0</v>
      </c>
      <c r="AM229" s="76">
        <f t="shared" si="46"/>
        <v>0</v>
      </c>
      <c r="AN229" s="76">
        <f>MAX(0,O229*Escenarios!$F$13/Escenarios!$F$16-AM229)</f>
        <v>2.0342927869306707E-5</v>
      </c>
      <c r="AO229" s="76">
        <f>AM229+AN229-O229*Escenarios!$F$13/Escenarios!$F$16</f>
        <v>0</v>
      </c>
      <c r="AP229" s="76">
        <f t="shared" si="47"/>
        <v>0.30148428149507428</v>
      </c>
      <c r="AQ229" s="76">
        <f t="shared" si="48"/>
        <v>0</v>
      </c>
      <c r="AR229" s="76">
        <f t="shared" si="49"/>
        <v>0.30150462442294357</v>
      </c>
      <c r="AS229" s="76">
        <f t="shared" si="50"/>
        <v>0</v>
      </c>
      <c r="AT229" s="76">
        <f t="shared" si="51"/>
        <v>0</v>
      </c>
      <c r="AU229" s="76">
        <f t="shared" si="52"/>
        <v>50.348384490411981</v>
      </c>
      <c r="AV229" s="76">
        <f>MAX(0,(AU229-Constantes!$D$13)*(1-EXP(-Constantes!$D$24)))</f>
        <v>2.4431701841720367E-2</v>
      </c>
      <c r="AW229" s="170">
        <f>AW228+(Entradas!$F$112*AT229-AX228)/(800*Entradas!$D$25)</f>
        <v>0</v>
      </c>
      <c r="AX229" s="170">
        <f>8000*Entradas!$D$26*AW229/Constantes!$F$45</f>
        <v>0</v>
      </c>
      <c r="AY229" s="170">
        <f>IF(Escenarios!$F$17&gt;0,10*Escenarios!$F$16*AL229,0)</f>
        <v>0</v>
      </c>
      <c r="AZ229" s="170">
        <f>IF(Escenarios!$F$17&gt;0,10*Escenarios!$F$16*AX229,0)</f>
        <v>0</v>
      </c>
      <c r="BA229" s="170">
        <f>IF(Escenarios!$F$17&gt;0,0.001*Observaciones!$F228*Escenarios!$F$17,0)</f>
        <v>0</v>
      </c>
      <c r="BB229" s="170">
        <f>IF(Escenarios!$F$17&gt;0,Observaciones!$K228,0)</f>
        <v>0</v>
      </c>
      <c r="BC229" s="170">
        <f>IF(Escenarios!$F$17&gt;0,MIN(0.0005*ETo!$M228*Escenarios!$F$17*(BG228/Constantes!$F$40)^(2/3),BG228+AY229+AZ229+BA229+BB229),0)</f>
        <v>0</v>
      </c>
      <c r="BD229" s="170">
        <f>IF(Escenarios!$F$17&gt;0,MIN(Constantes!$F$39*(BG228/Constantes!$F$40)^(2/3),BG228+AY229+AZ229+BA229+BB229-BC229),0)</f>
        <v>0</v>
      </c>
      <c r="BE229" s="170">
        <f>IF(Escenarios!$F$17&gt;0,MIN(Entradas!$F$113,BG228+AY229+AZ229+BA229+BB229-BC229-BD229),0)</f>
        <v>0</v>
      </c>
      <c r="BF229" s="170">
        <f>IF(Escenarios!$F$17&gt;0,MAX(0,BG228+AY229+AZ229+BA229+BB229-BC229-BD229-BE229-Constantes!$F$40),0)</f>
        <v>0</v>
      </c>
      <c r="BG229" s="170">
        <f t="shared" si="53"/>
        <v>0</v>
      </c>
      <c r="BH229" s="170">
        <f>(Escenarios!$F$16*AK229+0.1*BC229)/(Escenarios!$F$19)</f>
        <v>0.15383744777099653</v>
      </c>
      <c r="BI229" s="170">
        <f>IF(Escenarios!$F$17&gt;0,BF229/10/Escenarios!$F$19,AL229)</f>
        <v>0</v>
      </c>
      <c r="BJ229" s="170">
        <f>(Escenarios!$F$16*AT229+0.1*BD229)/(Escenarios!$F$19)</f>
        <v>0</v>
      </c>
      <c r="BK229" s="76">
        <f>BK228+(0.1*BD229)/(Escenarios!$F$19)-BL228</f>
        <v>48.75</v>
      </c>
      <c r="BL229" s="76">
        <f>MAX(0,(BK229-Constantes!$D$13)*(1-EXP(-Constantes!$D$23)))</f>
        <v>0</v>
      </c>
      <c r="BM229" s="76">
        <f t="shared" si="54"/>
        <v>0.32591598333679467</v>
      </c>
      <c r="BN229" s="76">
        <f t="shared" si="55"/>
        <v>0.32593632626466396</v>
      </c>
      <c r="BO229" s="76">
        <f>0.0526*BI229*Observaciones!$F228^1.218</f>
        <v>0</v>
      </c>
      <c r="BP229" s="76">
        <f>BO229*Constantes!$F$51</f>
        <v>0</v>
      </c>
      <c r="BQ229" s="76">
        <f t="shared" si="56"/>
        <v>0</v>
      </c>
      <c r="BR229" s="40"/>
    </row>
    <row r="230" spans="2:70">
      <c r="B230" s="39"/>
      <c r="C230" s="75">
        <v>224</v>
      </c>
      <c r="D230" s="146">
        <f>ETo!$I229*((1-Constantes!$F$19)*ETo!$K229+ETo!$L229)</f>
        <v>3.1227323073645876</v>
      </c>
      <c r="E230" s="76">
        <f>MIN(D230*Constantes!$F$17,0.8*(N229+Observaciones!$F229-F230-M230-Constantes!$D$14))</f>
        <v>5.4291185320209934E-4</v>
      </c>
      <c r="F230" s="76">
        <f>IF(Observaciones!$F229&gt;0.05*Constantes!$F$18,((Observaciones!$F229-0.05*Constantes!$F$18)^2)/(Observaciones!$F229+0.95*Constantes!$F$18),0)</f>
        <v>0</v>
      </c>
      <c r="G230" s="76">
        <f>IF(Escenarios!$F$11&gt;0,(F230*Escenarios!$F$16*10000)/1000,0)</f>
        <v>0</v>
      </c>
      <c r="H230" s="76">
        <f>IF(Escenarios!$F$11&gt;0,(Observaciones!$F229*Constantes!$F$29)/1000,0)</f>
        <v>0</v>
      </c>
      <c r="I230" s="76">
        <f>IF(Escenarios!$F$11&gt;0,(D230*Constantes!$F$29)/1000,0)</f>
        <v>0</v>
      </c>
      <c r="J230" s="76">
        <f>IF(Escenarios!$F$11&gt;0,MAX(0,G230+H230-I230),0)</f>
        <v>0</v>
      </c>
      <c r="K230" s="76">
        <f>IF(Escenarios!$F$11&gt;0,IF(J230&gt;Constantes!$F$30,1000*((J230-Constantes!$F$30)/(Escenarios!$F$16*10000)),0),F230)</f>
        <v>0</v>
      </c>
      <c r="L230" s="76">
        <f>IF(Escenarios!$F$11&gt;0,I230*1000/Escenarios!$F$16/10000+E230,E230)</f>
        <v>5.4291185320209934E-4</v>
      </c>
      <c r="M230" s="76">
        <f>MAX(0,N229+Observaciones!$F229-K230-Constantes!$D$13)</f>
        <v>0</v>
      </c>
      <c r="N230" s="76">
        <f>N229+Observaciones!$F229-K230-L230-M230-O229</f>
        <v>11.250112610999812</v>
      </c>
      <c r="O230" s="76">
        <f>MAX(0,(N230-Constantes!$D$14)*(1-EXP(-Constantes!$D$22)))</f>
        <v>3.83594405704673E-6</v>
      </c>
      <c r="P230" s="170">
        <f>P229+(Entradas!$F$83*M230-Q229)/(800*Entradas!$D$25)</f>
        <v>0</v>
      </c>
      <c r="Q230" s="170">
        <f>8000*Entradas!$D$26*P230/Constantes!$F$45</f>
        <v>0</v>
      </c>
      <c r="R230" s="170">
        <f>IF(Escenarios!$F$14&gt;0,K230*Escenarios!$F$13/Escenarios!$F$14,0)</f>
        <v>0</v>
      </c>
      <c r="S230" s="170">
        <f>IF(Escenarios!$F$14&gt;0,Q230*Escenarios!$F$13/Escenarios!$F$14,0)</f>
        <v>0</v>
      </c>
      <c r="T230" s="170">
        <f>IF(Escenarios!$F$14&gt;0,Observaciones!$I229,0)</f>
        <v>0</v>
      </c>
      <c r="U230" s="170">
        <f>IF(Escenarios!$F$14&gt;0,MAX(0,Constantes!$F$36/((Z229+R230+S230+T230+Observaciones!$F229)^2)+Entradas!$F$77),0)</f>
        <v>0</v>
      </c>
      <c r="V230" s="146">
        <f>IF(ETo!D229&gt;0,ETo!I229*((1-Entradas!$F$81)*ETo!K229+ETo!L229),0)</f>
        <v>2.7423367287504141</v>
      </c>
      <c r="W230" s="170">
        <f>IF(Escenarios!$F$14&gt;0,MIN(V230*1,0.8*(Z229+R230+S230+T230+Observaciones!$F229-U230-Constantes!$F$35)),0)</f>
        <v>9.0115276811957305E-4</v>
      </c>
      <c r="X230" s="170">
        <f>IF(Escenarios!$F$14&gt;0,Observaciones!$J229,0)</f>
        <v>0</v>
      </c>
      <c r="Y230" s="170">
        <f>IF(Escenarios!$F$14&gt;0,MAX(0,Z229+R230+S230+T230+Observaciones!$F229-U230-W230-X230-Constantes!$F$33),0)</f>
        <v>0</v>
      </c>
      <c r="Z230" s="170">
        <f>Z229+R230+S230+T230+Observaciones!$F229-U230-W230-Y230</f>
        <v>41.250225288192027</v>
      </c>
      <c r="AA230" s="170">
        <f>IF(Escenarios!$F$14&gt;0,(Escenarios!$F$13*L230+Escenarios!$F$14*W230)/(Escenarios!$F$16),L230)</f>
        <v>5.8590076299219621E-4</v>
      </c>
      <c r="AB230" s="170">
        <f>IF(Escenarios!$F$14&gt;0,(Escenarios!$F$14*Y230)/(Escenarios!$F$16),K230)</f>
        <v>0</v>
      </c>
      <c r="AC230" s="170">
        <f>IF(Escenarios!$F$14&gt;0,(Escenarios!$F$13*M230+Escenarios!$F$14*U230)/(Escenarios!$F$16),M230)</f>
        <v>0</v>
      </c>
      <c r="AD230" s="76">
        <f t="shared" si="43"/>
        <v>79.045998083526925</v>
      </c>
      <c r="AE230" s="76">
        <f>MAX(0,(AD230-Constantes!$D$13)*(1-EXP(-Constantes!$D$23)))</f>
        <v>0.29851368506154197</v>
      </c>
      <c r="AF230" s="76">
        <f>AB230+O230*Escenarios!$F$13/Escenarios!$F$16+AE230</f>
        <v>0.29851706069231215</v>
      </c>
      <c r="AG230" s="76">
        <f>IF(Entradas!$F$91&gt;0,IF(AF230-Escenarios!$F$38&lt;=0,0,IF(AF230-Escenarios!$F$38&gt;Escenarios!$F$37,Escenarios!$F$37,AF230-Escenarios!$F$38)),0)</f>
        <v>0</v>
      </c>
      <c r="AH230" s="76">
        <f>AG230*Entradas!$F$99</f>
        <v>0</v>
      </c>
      <c r="AI230" s="76">
        <f>IF(Entradas!$F$91&gt;0,D230*Entradas!$D$23/Escenarios!$F$16,0)</f>
        <v>0.14989115075350021</v>
      </c>
      <c r="AJ230" s="76">
        <f>IF(Entradas!$F$91&gt;0,Entradas!$D$24*Entradas!$D$22/Escenarios!$F$16,0)</f>
        <v>0.12</v>
      </c>
      <c r="AK230" s="76">
        <f t="shared" si="44"/>
        <v>0.1504770515164924</v>
      </c>
      <c r="AL230" s="76">
        <f t="shared" si="45"/>
        <v>0</v>
      </c>
      <c r="AM230" s="76">
        <f t="shared" si="46"/>
        <v>0</v>
      </c>
      <c r="AN230" s="76">
        <f>MAX(0,O230*Escenarios!$F$13/Escenarios!$F$16-AM230)</f>
        <v>3.375630770201122E-6</v>
      </c>
      <c r="AO230" s="76">
        <f>AM230+AN230-O230*Escenarios!$F$13/Escenarios!$F$16</f>
        <v>0</v>
      </c>
      <c r="AP230" s="76">
        <f t="shared" si="47"/>
        <v>0.29851368506154197</v>
      </c>
      <c r="AQ230" s="76">
        <f t="shared" si="48"/>
        <v>0</v>
      </c>
      <c r="AR230" s="76">
        <f t="shared" si="49"/>
        <v>0.29851706069231215</v>
      </c>
      <c r="AS230" s="76">
        <f t="shared" si="50"/>
        <v>0</v>
      </c>
      <c r="AT230" s="76">
        <f t="shared" si="51"/>
        <v>0</v>
      </c>
      <c r="AU230" s="76">
        <f t="shared" si="52"/>
        <v>50.32395278857026</v>
      </c>
      <c r="AV230" s="76">
        <f>MAX(0,(AU230-Constantes!$D$13)*(1-EXP(-Constantes!$D$24)))</f>
        <v>2.4058257242837357E-2</v>
      </c>
      <c r="AW230" s="170">
        <f>AW229+(Entradas!$F$112*AT230-AX229)/(800*Entradas!$D$25)</f>
        <v>0</v>
      </c>
      <c r="AX230" s="170">
        <f>8000*Entradas!$D$26*AW230/Constantes!$F$45</f>
        <v>0</v>
      </c>
      <c r="AY230" s="170">
        <f>IF(Escenarios!$F$17&gt;0,10*Escenarios!$F$16*AL230,0)</f>
        <v>0</v>
      </c>
      <c r="AZ230" s="170">
        <f>IF(Escenarios!$F$17&gt;0,10*Escenarios!$F$16*AX230,0)</f>
        <v>0</v>
      </c>
      <c r="BA230" s="170">
        <f>IF(Escenarios!$F$17&gt;0,0.001*Observaciones!$F229*Escenarios!$F$17,0)</f>
        <v>0</v>
      </c>
      <c r="BB230" s="170">
        <f>IF(Escenarios!$F$17&gt;0,Observaciones!$K229,0)</f>
        <v>0</v>
      </c>
      <c r="BC230" s="170">
        <f>IF(Escenarios!$F$17&gt;0,MIN(0.0005*ETo!$M229*Escenarios!$F$17*(BG229/Constantes!$F$40)^(2/3),BG229+AY230+AZ230+BA230+BB230),0)</f>
        <v>0</v>
      </c>
      <c r="BD230" s="170">
        <f>IF(Escenarios!$F$17&gt;0,MIN(Constantes!$F$39*(BG229/Constantes!$F$40)^(2/3),BG229+AY230+AZ230+BA230+BB230-BC230),0)</f>
        <v>0</v>
      </c>
      <c r="BE230" s="170">
        <f>IF(Escenarios!$F$17&gt;0,MIN(Entradas!$F$113,BG229+AY230+AZ230+BA230+BB230-BC230-BD230),0)</f>
        <v>0</v>
      </c>
      <c r="BF230" s="170">
        <f>IF(Escenarios!$F$17&gt;0,MAX(0,BG229+AY230+AZ230+BA230+BB230-BC230-BD230-BE230-Constantes!$F$40),0)</f>
        <v>0</v>
      </c>
      <c r="BG230" s="170">
        <f t="shared" si="53"/>
        <v>0</v>
      </c>
      <c r="BH230" s="170">
        <f>(Escenarios!$F$16*AK230+0.1*BC230)/(Escenarios!$F$19)</f>
        <v>0.1504770515164924</v>
      </c>
      <c r="BI230" s="170">
        <f>IF(Escenarios!$F$17&gt;0,BF230/10/Escenarios!$F$19,AL230)</f>
        <v>0</v>
      </c>
      <c r="BJ230" s="170">
        <f>(Escenarios!$F$16*AT230+0.1*BD230)/(Escenarios!$F$19)</f>
        <v>0</v>
      </c>
      <c r="BK230" s="76">
        <f>BK229+(0.1*BD230)/(Escenarios!$F$19)-BL229</f>
        <v>48.75</v>
      </c>
      <c r="BL230" s="76">
        <f>MAX(0,(BK230-Constantes!$D$13)*(1-EXP(-Constantes!$D$23)))</f>
        <v>0</v>
      </c>
      <c r="BM230" s="76">
        <f t="shared" si="54"/>
        <v>0.3225719423043793</v>
      </c>
      <c r="BN230" s="76">
        <f t="shared" si="55"/>
        <v>0.32257531793514949</v>
      </c>
      <c r="BO230" s="76">
        <f>0.0526*BI230*Observaciones!$F229^1.218</f>
        <v>0</v>
      </c>
      <c r="BP230" s="76">
        <f>BO230*Constantes!$F$51</f>
        <v>0</v>
      </c>
      <c r="BQ230" s="76">
        <f t="shared" si="56"/>
        <v>0</v>
      </c>
      <c r="BR230" s="40"/>
    </row>
    <row r="231" spans="2:70">
      <c r="B231" s="39"/>
      <c r="C231" s="75">
        <v>225</v>
      </c>
      <c r="D231" s="146">
        <f>ETo!$I230*((1-Constantes!$F$19)*ETo!$K230+ETo!$L230)</f>
        <v>3.1187746527569273</v>
      </c>
      <c r="E231" s="76">
        <f>MIN(D231*Constantes!$F$17,0.8*(N230+Observaciones!$F230-F231-M231-Constantes!$D$14))</f>
        <v>0.16009008879984921</v>
      </c>
      <c r="F231" s="76">
        <f>IF(Observaciones!$F230&gt;0.05*Constantes!$F$18,((Observaciones!$F230-0.05*Constantes!$F$18)^2)/(Observaciones!$F230+0.95*Constantes!$F$18),0)</f>
        <v>0</v>
      </c>
      <c r="G231" s="76">
        <f>IF(Escenarios!$F$11&gt;0,(F231*Escenarios!$F$16*10000)/1000,0)</f>
        <v>0</v>
      </c>
      <c r="H231" s="76">
        <f>IF(Escenarios!$F$11&gt;0,(Observaciones!$F230*Constantes!$F$29)/1000,0)</f>
        <v>0</v>
      </c>
      <c r="I231" s="76">
        <f>IF(Escenarios!$F$11&gt;0,(D231*Constantes!$F$29)/1000,0)</f>
        <v>0</v>
      </c>
      <c r="J231" s="76">
        <f>IF(Escenarios!$F$11&gt;0,MAX(0,G231+H231-I231),0)</f>
        <v>0</v>
      </c>
      <c r="K231" s="76">
        <f>IF(Escenarios!$F$11&gt;0,IF(J231&gt;Constantes!$F$30,1000*((J231-Constantes!$F$30)/(Escenarios!$F$16*10000)),0),F231)</f>
        <v>0</v>
      </c>
      <c r="L231" s="76">
        <f>IF(Escenarios!$F$11&gt;0,I231*1000/Escenarios!$F$16/10000+E231,E231)</f>
        <v>0.16009008879984921</v>
      </c>
      <c r="M231" s="76">
        <f>MAX(0,N230+Observaciones!$F230-K231-Constantes!$D$13)</f>
        <v>0</v>
      </c>
      <c r="N231" s="76">
        <f>N230+Observaciones!$F230-K231-L231-M231-O230</f>
        <v>11.290018686255905</v>
      </c>
      <c r="O231" s="76">
        <f>MAX(0,(N231-Constantes!$D$14)*(1-EXP(-Constantes!$D$22)))</f>
        <v>1.363183365480961E-3</v>
      </c>
      <c r="P231" s="170">
        <f>P230+(Entradas!$F$83*M231-Q230)/(800*Entradas!$D$25)</f>
        <v>0</v>
      </c>
      <c r="Q231" s="170">
        <f>8000*Entradas!$D$26*P231/Constantes!$F$45</f>
        <v>0</v>
      </c>
      <c r="R231" s="170">
        <f>IF(Escenarios!$F$14&gt;0,K231*Escenarios!$F$13/Escenarios!$F$14,0)</f>
        <v>0</v>
      </c>
      <c r="S231" s="170">
        <f>IF(Escenarios!$F$14&gt;0,Q231*Escenarios!$F$13/Escenarios!$F$14,0)</f>
        <v>0</v>
      </c>
      <c r="T231" s="170">
        <f>IF(Escenarios!$F$14&gt;0,Observaciones!$I230,0)</f>
        <v>0</v>
      </c>
      <c r="U231" s="170">
        <f>IF(Escenarios!$F$14&gt;0,MAX(0,Constantes!$F$36/((Z230+R231+S231+T231+Observaciones!$F230)^2)+Entradas!$F$77),0)</f>
        <v>0</v>
      </c>
      <c r="V231" s="146">
        <f>IF(ETo!D230&gt;0,ETo!I230*((1-Entradas!$F$81)*ETo!K230+ETo!L230),0)</f>
        <v>2.7393455122617785</v>
      </c>
      <c r="W231" s="170">
        <f>IF(Escenarios!$F$14&gt;0,MIN(V231*1,0.8*(Z230+R231+S231+T231+Observaciones!$F230-U231-Constantes!$F$35)),0)</f>
        <v>0.16018023055362393</v>
      </c>
      <c r="X231" s="170">
        <f>IF(Escenarios!$F$14&gt;0,Observaciones!$J230,0)</f>
        <v>0</v>
      </c>
      <c r="Y231" s="170">
        <f>IF(Escenarios!$F$14&gt;0,MAX(0,Z230+R231+S231+T231+Observaciones!$F230-U231-W231-X231-Constantes!$F$33),0)</f>
        <v>0</v>
      </c>
      <c r="Z231" s="170">
        <f>Z230+R231+S231+T231+Observaciones!$F230-U231-W231-Y231</f>
        <v>41.290045057638409</v>
      </c>
      <c r="AA231" s="170">
        <f>IF(Escenarios!$F$14&gt;0,(Escenarios!$F$13*L231+Escenarios!$F$14*W231)/(Escenarios!$F$16),L231)</f>
        <v>0.16010090581030217</v>
      </c>
      <c r="AB231" s="170">
        <f>IF(Escenarios!$F$14&gt;0,(Escenarios!$F$14*Y231)/(Escenarios!$F$16),K231)</f>
        <v>0</v>
      </c>
      <c r="AC231" s="170">
        <f>IF(Escenarios!$F$14&gt;0,(Escenarios!$F$13*M231+Escenarios!$F$14*U231)/(Escenarios!$F$16),M231)</f>
        <v>0</v>
      </c>
      <c r="AD231" s="76">
        <f t="shared" si="43"/>
        <v>78.747484398465389</v>
      </c>
      <c r="AE231" s="76">
        <f>MAX(0,(AD231-Constantes!$D$13)*(1-EXP(-Constantes!$D$23)))</f>
        <v>0.29557235862221026</v>
      </c>
      <c r="AF231" s="76">
        <f>AB231+O231*Escenarios!$F$13/Escenarios!$F$16+AE231</f>
        <v>0.29677195998383349</v>
      </c>
      <c r="AG231" s="76">
        <f>IF(Entradas!$F$91&gt;0,IF(AF231-Escenarios!$F$38&lt;=0,0,IF(AF231-Escenarios!$F$38&gt;Escenarios!$F$37,Escenarios!$F$37,AF231-Escenarios!$F$38)),0)</f>
        <v>0</v>
      </c>
      <c r="AH231" s="76">
        <f>AG231*Entradas!$F$99</f>
        <v>0</v>
      </c>
      <c r="AI231" s="76">
        <f>IF(Entradas!$F$91&gt;0,D231*Entradas!$D$23/Escenarios!$F$16,0)</f>
        <v>0.14970118333233251</v>
      </c>
      <c r="AJ231" s="76">
        <f>IF(Entradas!$F$91&gt;0,Entradas!$D$24*Entradas!$D$22/Escenarios!$F$16,0)</f>
        <v>0.12</v>
      </c>
      <c r="AK231" s="76">
        <f t="shared" si="44"/>
        <v>0.30980208914263468</v>
      </c>
      <c r="AL231" s="76">
        <f t="shared" si="45"/>
        <v>0</v>
      </c>
      <c r="AM231" s="76">
        <f t="shared" si="46"/>
        <v>0</v>
      </c>
      <c r="AN231" s="76">
        <f>MAX(0,O231*Escenarios!$F$13/Escenarios!$F$16-AM231)</f>
        <v>1.1996013616232457E-3</v>
      </c>
      <c r="AO231" s="76">
        <f>AM231+AN231-O231*Escenarios!$F$13/Escenarios!$F$16</f>
        <v>0</v>
      </c>
      <c r="AP231" s="76">
        <f t="shared" si="47"/>
        <v>0.29557235862221026</v>
      </c>
      <c r="AQ231" s="76">
        <f t="shared" si="48"/>
        <v>0</v>
      </c>
      <c r="AR231" s="76">
        <f t="shared" si="49"/>
        <v>0.29677195998383349</v>
      </c>
      <c r="AS231" s="76">
        <f t="shared" si="50"/>
        <v>0</v>
      </c>
      <c r="AT231" s="76">
        <f t="shared" si="51"/>
        <v>0</v>
      </c>
      <c r="AU231" s="76">
        <f t="shared" si="52"/>
        <v>50.299894531327425</v>
      </c>
      <c r="AV231" s="76">
        <f>MAX(0,(AU231-Constantes!$D$13)*(1-EXP(-Constantes!$D$24)))</f>
        <v>2.3690520836913611E-2</v>
      </c>
      <c r="AW231" s="170">
        <f>AW230+(Entradas!$F$112*AT231-AX230)/(800*Entradas!$D$25)</f>
        <v>0</v>
      </c>
      <c r="AX231" s="170">
        <f>8000*Entradas!$D$26*AW231/Constantes!$F$45</f>
        <v>0</v>
      </c>
      <c r="AY231" s="170">
        <f>IF(Escenarios!$F$17&gt;0,10*Escenarios!$F$16*AL231,0)</f>
        <v>0</v>
      </c>
      <c r="AZ231" s="170">
        <f>IF(Escenarios!$F$17&gt;0,10*Escenarios!$F$16*AX231,0)</f>
        <v>0</v>
      </c>
      <c r="BA231" s="170">
        <f>IF(Escenarios!$F$17&gt;0,0.001*Observaciones!$F230*Escenarios!$F$17,0)</f>
        <v>0</v>
      </c>
      <c r="BB231" s="170">
        <f>IF(Escenarios!$F$17&gt;0,Observaciones!$K230,0)</f>
        <v>0</v>
      </c>
      <c r="BC231" s="170">
        <f>IF(Escenarios!$F$17&gt;0,MIN(0.0005*ETo!$M230*Escenarios!$F$17*(BG230/Constantes!$F$40)^(2/3),BG230+AY231+AZ231+BA231+BB231),0)</f>
        <v>0</v>
      </c>
      <c r="BD231" s="170">
        <f>IF(Escenarios!$F$17&gt;0,MIN(Constantes!$F$39*(BG230/Constantes!$F$40)^(2/3),BG230+AY231+AZ231+BA231+BB231-BC231),0)</f>
        <v>0</v>
      </c>
      <c r="BE231" s="170">
        <f>IF(Escenarios!$F$17&gt;0,MIN(Entradas!$F$113,BG230+AY231+AZ231+BA231+BB231-BC231-BD231),0)</f>
        <v>0</v>
      </c>
      <c r="BF231" s="170">
        <f>IF(Escenarios!$F$17&gt;0,MAX(0,BG230+AY231+AZ231+BA231+BB231-BC231-BD231-BE231-Constantes!$F$40),0)</f>
        <v>0</v>
      </c>
      <c r="BG231" s="170">
        <f t="shared" si="53"/>
        <v>0</v>
      </c>
      <c r="BH231" s="170">
        <f>(Escenarios!$F$16*AK231+0.1*BC231)/(Escenarios!$F$19)</f>
        <v>0.30980208914263463</v>
      </c>
      <c r="BI231" s="170">
        <f>IF(Escenarios!$F$17&gt;0,BF231/10/Escenarios!$F$19,AL231)</f>
        <v>0</v>
      </c>
      <c r="BJ231" s="170">
        <f>(Escenarios!$F$16*AT231+0.1*BD231)/(Escenarios!$F$19)</f>
        <v>0</v>
      </c>
      <c r="BK231" s="76">
        <f>BK230+(0.1*BD231)/(Escenarios!$F$19)-BL230</f>
        <v>48.75</v>
      </c>
      <c r="BL231" s="76">
        <f>MAX(0,(BK231-Constantes!$D$13)*(1-EXP(-Constantes!$D$23)))</f>
        <v>0</v>
      </c>
      <c r="BM231" s="76">
        <f t="shared" si="54"/>
        <v>0.31926287945912385</v>
      </c>
      <c r="BN231" s="76">
        <f t="shared" si="55"/>
        <v>0.32046248082074708</v>
      </c>
      <c r="BO231" s="76">
        <f>0.0526*BI231*Observaciones!$F230^1.218</f>
        <v>0</v>
      </c>
      <c r="BP231" s="76">
        <f>BO231*Constantes!$F$51</f>
        <v>0</v>
      </c>
      <c r="BQ231" s="76">
        <f t="shared" si="56"/>
        <v>0</v>
      </c>
      <c r="BR231" s="40"/>
    </row>
    <row r="232" spans="2:70">
      <c r="B232" s="39"/>
      <c r="C232" s="75">
        <v>226</v>
      </c>
      <c r="D232" s="146">
        <f>ETo!$I231*((1-Constantes!$F$19)*ETo!$K231+ETo!$L231)</f>
        <v>3.1254896201353279</v>
      </c>
      <c r="E232" s="76">
        <f>MIN(D232*Constantes!$F$17,0.8*(N231+Observaciones!$F231-F232-M232-Constantes!$D$14))</f>
        <v>3.2014949004724257E-2</v>
      </c>
      <c r="F232" s="76">
        <f>IF(Observaciones!$F231&gt;0.05*Constantes!$F$18,((Observaciones!$F231-0.05*Constantes!$F$18)^2)/(Observaciones!$F231+0.95*Constantes!$F$18),0)</f>
        <v>0</v>
      </c>
      <c r="G232" s="76">
        <f>IF(Escenarios!$F$11&gt;0,(F232*Escenarios!$F$16*10000)/1000,0)</f>
        <v>0</v>
      </c>
      <c r="H232" s="76">
        <f>IF(Escenarios!$F$11&gt;0,(Observaciones!$F231*Constantes!$F$29)/1000,0)</f>
        <v>0</v>
      </c>
      <c r="I232" s="76">
        <f>IF(Escenarios!$F$11&gt;0,(D232*Constantes!$F$29)/1000,0)</f>
        <v>0</v>
      </c>
      <c r="J232" s="76">
        <f>IF(Escenarios!$F$11&gt;0,MAX(0,G232+H232-I232),0)</f>
        <v>0</v>
      </c>
      <c r="K232" s="76">
        <f>IF(Escenarios!$F$11&gt;0,IF(J232&gt;Constantes!$F$30,1000*((J232-Constantes!$F$30)/(Escenarios!$F$16*10000)),0),F232)</f>
        <v>0</v>
      </c>
      <c r="L232" s="76">
        <f>IF(Escenarios!$F$11&gt;0,I232*1000/Escenarios!$F$16/10000+E232,E232)</f>
        <v>3.2014949004724257E-2</v>
      </c>
      <c r="M232" s="76">
        <f>MAX(0,N231+Observaciones!$F231-K232-Constantes!$D$13)</f>
        <v>0</v>
      </c>
      <c r="N232" s="76">
        <f>N231+Observaciones!$F231-K232-L232-M232-O231</f>
        <v>11.256640553885701</v>
      </c>
      <c r="O232" s="76">
        <f>MAX(0,(N232-Constantes!$D$14)*(1-EXP(-Constantes!$D$22)))</f>
        <v>2.2620164331935185E-4</v>
      </c>
      <c r="P232" s="170">
        <f>P231+(Entradas!$F$83*M232-Q231)/(800*Entradas!$D$25)</f>
        <v>0</v>
      </c>
      <c r="Q232" s="170">
        <f>8000*Entradas!$D$26*P232/Constantes!$F$45</f>
        <v>0</v>
      </c>
      <c r="R232" s="170">
        <f>IF(Escenarios!$F$14&gt;0,K232*Escenarios!$F$13/Escenarios!$F$14,0)</f>
        <v>0</v>
      </c>
      <c r="S232" s="170">
        <f>IF(Escenarios!$F$14&gt;0,Q232*Escenarios!$F$13/Escenarios!$F$14,0)</f>
        <v>0</v>
      </c>
      <c r="T232" s="170">
        <f>IF(Escenarios!$F$14&gt;0,Observaciones!$I231,0)</f>
        <v>0</v>
      </c>
      <c r="U232" s="170">
        <f>IF(Escenarios!$F$14&gt;0,MAX(0,Constantes!$F$36/((Z231+R232+S232+T232+Observaciones!$F231)^2)+Entradas!$F$77),0)</f>
        <v>0</v>
      </c>
      <c r="V232" s="146">
        <f>IF(ETo!D231&gt;0,ETo!I231*((1-Entradas!$F$81)*ETo!K231+ETo!L231),0)</f>
        <v>2.7458309880598404</v>
      </c>
      <c r="W232" s="170">
        <f>IF(Escenarios!$F$14&gt;0,MIN(V232*1,0.8*(Z231+R232+S232+T232+Observaciones!$F231-U232-Constantes!$F$35)),0)</f>
        <v>3.2036046110727058E-2</v>
      </c>
      <c r="X232" s="170">
        <f>IF(Escenarios!$F$14&gt;0,Observaciones!$J231,0)</f>
        <v>0</v>
      </c>
      <c r="Y232" s="170">
        <f>IF(Escenarios!$F$14&gt;0,MAX(0,Z231+R232+S232+T232+Observaciones!$F231-U232-W232-X232-Constantes!$F$33),0)</f>
        <v>0</v>
      </c>
      <c r="Z232" s="170">
        <f>Z231+R232+S232+T232+Observaciones!$F231-U232-W232-Y232</f>
        <v>41.258009011527683</v>
      </c>
      <c r="AA232" s="170">
        <f>IF(Escenarios!$F$14&gt;0,(Escenarios!$F$13*L232+Escenarios!$F$14*W232)/(Escenarios!$F$16),L232)</f>
        <v>3.2017480657444593E-2</v>
      </c>
      <c r="AB232" s="170">
        <f>IF(Escenarios!$F$14&gt;0,(Escenarios!$F$14*Y232)/(Escenarios!$F$16),K232)</f>
        <v>0</v>
      </c>
      <c r="AC232" s="170">
        <f>IF(Escenarios!$F$14&gt;0,(Escenarios!$F$13*M232+Escenarios!$F$14*U232)/(Escenarios!$F$16),M232)</f>
        <v>0</v>
      </c>
      <c r="AD232" s="76">
        <f t="shared" si="43"/>
        <v>78.45191203984318</v>
      </c>
      <c r="AE232" s="76">
        <f>MAX(0,(AD232-Constantes!$D$13)*(1-EXP(-Constantes!$D$23)))</f>
        <v>0.29266001377285467</v>
      </c>
      <c r="AF232" s="76">
        <f>AB232+O232*Escenarios!$F$13/Escenarios!$F$16+AE232</f>
        <v>0.2928590712189757</v>
      </c>
      <c r="AG232" s="76">
        <f>IF(Entradas!$F$91&gt;0,IF(AF232-Escenarios!$F$38&lt;=0,0,IF(AF232-Escenarios!$F$38&gt;Escenarios!$F$37,Escenarios!$F$37,AF232-Escenarios!$F$38)),0)</f>
        <v>0</v>
      </c>
      <c r="AH232" s="76">
        <f>AG232*Entradas!$F$99</f>
        <v>0</v>
      </c>
      <c r="AI232" s="76">
        <f>IF(Entradas!$F$91&gt;0,D232*Entradas!$D$23/Escenarios!$F$16,0)</f>
        <v>0.15002350176649573</v>
      </c>
      <c r="AJ232" s="76">
        <f>IF(Entradas!$F$91&gt;0,Entradas!$D$24*Entradas!$D$22/Escenarios!$F$16,0)</f>
        <v>0.12</v>
      </c>
      <c r="AK232" s="76">
        <f t="shared" si="44"/>
        <v>0.18204098242394032</v>
      </c>
      <c r="AL232" s="76">
        <f t="shared" si="45"/>
        <v>0</v>
      </c>
      <c r="AM232" s="76">
        <f t="shared" si="46"/>
        <v>0</v>
      </c>
      <c r="AN232" s="76">
        <f>MAX(0,O232*Escenarios!$F$13/Escenarios!$F$16-AM232)</f>
        <v>1.9905744612102962E-4</v>
      </c>
      <c r="AO232" s="76">
        <f>AM232+AN232-O232*Escenarios!$F$13/Escenarios!$F$16</f>
        <v>0</v>
      </c>
      <c r="AP232" s="76">
        <f t="shared" si="47"/>
        <v>0.29266001377285467</v>
      </c>
      <c r="AQ232" s="76">
        <f t="shared" si="48"/>
        <v>0</v>
      </c>
      <c r="AR232" s="76">
        <f t="shared" si="49"/>
        <v>0.2928590712189757</v>
      </c>
      <c r="AS232" s="76">
        <f t="shared" si="50"/>
        <v>0</v>
      </c>
      <c r="AT232" s="76">
        <f t="shared" si="51"/>
        <v>0</v>
      </c>
      <c r="AU232" s="76">
        <f t="shared" si="52"/>
        <v>50.27620401049051</v>
      </c>
      <c r="AV232" s="76">
        <f>MAX(0,(AU232-Constantes!$D$13)*(1-EXP(-Constantes!$D$24)))</f>
        <v>2.332840537280936E-2</v>
      </c>
      <c r="AW232" s="170">
        <f>AW231+(Entradas!$F$112*AT232-AX231)/(800*Entradas!$D$25)</f>
        <v>0</v>
      </c>
      <c r="AX232" s="170">
        <f>8000*Entradas!$D$26*AW232/Constantes!$F$45</f>
        <v>0</v>
      </c>
      <c r="AY232" s="170">
        <f>IF(Escenarios!$F$17&gt;0,10*Escenarios!$F$16*AL232,0)</f>
        <v>0</v>
      </c>
      <c r="AZ232" s="170">
        <f>IF(Escenarios!$F$17&gt;0,10*Escenarios!$F$16*AX232,0)</f>
        <v>0</v>
      </c>
      <c r="BA232" s="170">
        <f>IF(Escenarios!$F$17&gt;0,0.001*Observaciones!$F231*Escenarios!$F$17,0)</f>
        <v>0</v>
      </c>
      <c r="BB232" s="170">
        <f>IF(Escenarios!$F$17&gt;0,Observaciones!$K231,0)</f>
        <v>0</v>
      </c>
      <c r="BC232" s="170">
        <f>IF(Escenarios!$F$17&gt;0,MIN(0.0005*ETo!$M231*Escenarios!$F$17*(BG231/Constantes!$F$40)^(2/3),BG231+AY232+AZ232+BA232+BB232),0)</f>
        <v>0</v>
      </c>
      <c r="BD232" s="170">
        <f>IF(Escenarios!$F$17&gt;0,MIN(Constantes!$F$39*(BG231/Constantes!$F$40)^(2/3),BG231+AY232+AZ232+BA232+BB232-BC232),0)</f>
        <v>0</v>
      </c>
      <c r="BE232" s="170">
        <f>IF(Escenarios!$F$17&gt;0,MIN(Entradas!$F$113,BG231+AY232+AZ232+BA232+BB232-BC232-BD232),0)</f>
        <v>0</v>
      </c>
      <c r="BF232" s="170">
        <f>IF(Escenarios!$F$17&gt;0,MAX(0,BG231+AY232+AZ232+BA232+BB232-BC232-BD232-BE232-Constantes!$F$40),0)</f>
        <v>0</v>
      </c>
      <c r="BG232" s="170">
        <f t="shared" si="53"/>
        <v>0</v>
      </c>
      <c r="BH232" s="170">
        <f>(Escenarios!$F$16*AK232+0.1*BC232)/(Escenarios!$F$19)</f>
        <v>0.18204098242394032</v>
      </c>
      <c r="BI232" s="170">
        <f>IF(Escenarios!$F$17&gt;0,BF232/10/Escenarios!$F$19,AL232)</f>
        <v>0</v>
      </c>
      <c r="BJ232" s="170">
        <f>(Escenarios!$F$16*AT232+0.1*BD232)/(Escenarios!$F$19)</f>
        <v>0</v>
      </c>
      <c r="BK232" s="76">
        <f>BK231+(0.1*BD232)/(Escenarios!$F$19)-BL231</f>
        <v>48.75</v>
      </c>
      <c r="BL232" s="76">
        <f>MAX(0,(BK232-Constantes!$D$13)*(1-EXP(-Constantes!$D$23)))</f>
        <v>0</v>
      </c>
      <c r="BM232" s="76">
        <f t="shared" si="54"/>
        <v>0.315988419145664</v>
      </c>
      <c r="BN232" s="76">
        <f t="shared" si="55"/>
        <v>0.31618747659178503</v>
      </c>
      <c r="BO232" s="76">
        <f>0.0526*BI232*Observaciones!$F231^1.218</f>
        <v>0</v>
      </c>
      <c r="BP232" s="76">
        <f>BO232*Constantes!$F$51</f>
        <v>0</v>
      </c>
      <c r="BQ232" s="76">
        <f t="shared" si="56"/>
        <v>0</v>
      </c>
      <c r="BR232" s="40"/>
    </row>
    <row r="233" spans="2:70">
      <c r="B233" s="39"/>
      <c r="C233" s="75">
        <v>227</v>
      </c>
      <c r="D233" s="146">
        <f>ETo!$I232*((1-Constantes!$F$19)*ETo!$K232+ETo!$L232)</f>
        <v>3.1719279580347006</v>
      </c>
      <c r="E233" s="76">
        <f>MIN(D233*Constantes!$F$17,0.8*(N232+Observaciones!$F232-F233-M233-Constantes!$D$14))</f>
        <v>5.3124431085606718E-3</v>
      </c>
      <c r="F233" s="76">
        <f>IF(Observaciones!$F232&gt;0.05*Constantes!$F$18,((Observaciones!$F232-0.05*Constantes!$F$18)^2)/(Observaciones!$F232+0.95*Constantes!$F$18),0)</f>
        <v>0</v>
      </c>
      <c r="G233" s="76">
        <f>IF(Escenarios!$F$11&gt;0,(F233*Escenarios!$F$16*10000)/1000,0)</f>
        <v>0</v>
      </c>
      <c r="H233" s="76">
        <f>IF(Escenarios!$F$11&gt;0,(Observaciones!$F232*Constantes!$F$29)/1000,0)</f>
        <v>0</v>
      </c>
      <c r="I233" s="76">
        <f>IF(Escenarios!$F$11&gt;0,(D233*Constantes!$F$29)/1000,0)</f>
        <v>0</v>
      </c>
      <c r="J233" s="76">
        <f>IF(Escenarios!$F$11&gt;0,MAX(0,G233+H233-I233),0)</f>
        <v>0</v>
      </c>
      <c r="K233" s="76">
        <f>IF(Escenarios!$F$11&gt;0,IF(J233&gt;Constantes!$F$30,1000*((J233-Constantes!$F$30)/(Escenarios!$F$16*10000)),0),F233)</f>
        <v>0</v>
      </c>
      <c r="L233" s="76">
        <f>IF(Escenarios!$F$11&gt;0,I233*1000/Escenarios!$F$16/10000+E233,E233)</f>
        <v>5.3124431085606718E-3</v>
      </c>
      <c r="M233" s="76">
        <f>MAX(0,N232+Observaciones!$F232-K233-Constantes!$D$13)</f>
        <v>0</v>
      </c>
      <c r="N233" s="76">
        <f>N232+Observaciones!$F232-K233-L233-M233-O232</f>
        <v>11.251101909133821</v>
      </c>
      <c r="O233" s="76">
        <f>MAX(0,(N233-Constantes!$D$14)*(1-EXP(-Constantes!$D$22)))</f>
        <v>3.7535070289183801E-5</v>
      </c>
      <c r="P233" s="170">
        <f>P232+(Entradas!$F$83*M233-Q232)/(800*Entradas!$D$25)</f>
        <v>0</v>
      </c>
      <c r="Q233" s="170">
        <f>8000*Entradas!$D$26*P233/Constantes!$F$45</f>
        <v>0</v>
      </c>
      <c r="R233" s="170">
        <f>IF(Escenarios!$F$14&gt;0,K233*Escenarios!$F$13/Escenarios!$F$14,0)</f>
        <v>0</v>
      </c>
      <c r="S233" s="170">
        <f>IF(Escenarios!$F$14&gt;0,Q233*Escenarios!$F$13/Escenarios!$F$14,0)</f>
        <v>0</v>
      </c>
      <c r="T233" s="170">
        <f>IF(Escenarios!$F$14&gt;0,Observaciones!$I232,0)</f>
        <v>0</v>
      </c>
      <c r="U233" s="170">
        <f>IF(Escenarios!$F$14&gt;0,MAX(0,Constantes!$F$36/((Z232+R233+S233+T233+Observaciones!$F232)^2)+Entradas!$F$77),0)</f>
        <v>0</v>
      </c>
      <c r="V233" s="146">
        <f>IF(ETo!D232&gt;0,ETo!I232*((1-Entradas!$F$81)*ETo!K232+ETo!L232),0)</f>
        <v>2.7875651793124878</v>
      </c>
      <c r="W233" s="170">
        <f>IF(Escenarios!$F$14&gt;0,MIN(V233*1,0.8*(Z232+R233+S233+T233+Observaciones!$F232-U233-Constantes!$F$35)),0)</f>
        <v>6.4072092221465482E-3</v>
      </c>
      <c r="X233" s="170">
        <f>IF(Escenarios!$F$14&gt;0,Observaciones!$J232,0)</f>
        <v>0</v>
      </c>
      <c r="Y233" s="170">
        <f>IF(Escenarios!$F$14&gt;0,MAX(0,Z232+R233+S233+T233+Observaciones!$F232-U233-W233-X233-Constantes!$F$33),0)</f>
        <v>0</v>
      </c>
      <c r="Z233" s="170">
        <f>Z232+R233+S233+T233+Observaciones!$F232-U233-W233-Y233</f>
        <v>41.251601802305537</v>
      </c>
      <c r="AA233" s="170">
        <f>IF(Escenarios!$F$14&gt;0,(Escenarios!$F$13*L233+Escenarios!$F$14*W233)/(Escenarios!$F$16),L233)</f>
        <v>5.4438150421909767E-3</v>
      </c>
      <c r="AB233" s="170">
        <f>IF(Escenarios!$F$14&gt;0,(Escenarios!$F$14*Y233)/(Escenarios!$F$16),K233)</f>
        <v>0</v>
      </c>
      <c r="AC233" s="170">
        <f>IF(Escenarios!$F$14&gt;0,(Escenarios!$F$13*M233+Escenarios!$F$14*U233)/(Escenarios!$F$16),M233)</f>
        <v>0</v>
      </c>
      <c r="AD233" s="76">
        <f t="shared" si="43"/>
        <v>78.15925202607032</v>
      </c>
      <c r="AE233" s="76">
        <f>MAX(0,(AD233-Constantes!$D$13)*(1-EXP(-Constantes!$D$23)))</f>
        <v>0.2897763649509662</v>
      </c>
      <c r="AF233" s="76">
        <f>AB233+O233*Escenarios!$F$13/Escenarios!$F$16+AE233</f>
        <v>0.28980939581282067</v>
      </c>
      <c r="AG233" s="76">
        <f>IF(Entradas!$F$91&gt;0,IF(AF233-Escenarios!$F$38&lt;=0,0,IF(AF233-Escenarios!$F$38&gt;Escenarios!$F$37,Escenarios!$F$37,AF233-Escenarios!$F$38)),0)</f>
        <v>0</v>
      </c>
      <c r="AH233" s="76">
        <f>AG233*Entradas!$F$99</f>
        <v>0</v>
      </c>
      <c r="AI233" s="76">
        <f>IF(Entradas!$F$91&gt;0,D233*Entradas!$D$23/Escenarios!$F$16,0)</f>
        <v>0.15225254198566562</v>
      </c>
      <c r="AJ233" s="76">
        <f>IF(Entradas!$F$91&gt;0,Entradas!$D$24*Entradas!$D$22/Escenarios!$F$16,0)</f>
        <v>0.12</v>
      </c>
      <c r="AK233" s="76">
        <f t="shared" si="44"/>
        <v>0.15769635702785659</v>
      </c>
      <c r="AL233" s="76">
        <f t="shared" si="45"/>
        <v>0</v>
      </c>
      <c r="AM233" s="76">
        <f t="shared" si="46"/>
        <v>0</v>
      </c>
      <c r="AN233" s="76">
        <f>MAX(0,O233*Escenarios!$F$13/Escenarios!$F$16-AM233)</f>
        <v>3.3030861854481744E-5</v>
      </c>
      <c r="AO233" s="76">
        <f>AM233+AN233-O233*Escenarios!$F$13/Escenarios!$F$16</f>
        <v>0</v>
      </c>
      <c r="AP233" s="76">
        <f t="shared" si="47"/>
        <v>0.2897763649509662</v>
      </c>
      <c r="AQ233" s="76">
        <f t="shared" si="48"/>
        <v>0</v>
      </c>
      <c r="AR233" s="76">
        <f t="shared" si="49"/>
        <v>0.28980939581282067</v>
      </c>
      <c r="AS233" s="76">
        <f t="shared" si="50"/>
        <v>0</v>
      </c>
      <c r="AT233" s="76">
        <f t="shared" si="51"/>
        <v>0</v>
      </c>
      <c r="AU233" s="76">
        <f t="shared" si="52"/>
        <v>50.252875605117701</v>
      </c>
      <c r="AV233" s="76">
        <f>MAX(0,(AU233-Constantes!$D$13)*(1-EXP(-Constantes!$D$24)))</f>
        <v>2.2971824933040241E-2</v>
      </c>
      <c r="AW233" s="170">
        <f>AW232+(Entradas!$F$112*AT233-AX232)/(800*Entradas!$D$25)</f>
        <v>0</v>
      </c>
      <c r="AX233" s="170">
        <f>8000*Entradas!$D$26*AW233/Constantes!$F$45</f>
        <v>0</v>
      </c>
      <c r="AY233" s="170">
        <f>IF(Escenarios!$F$17&gt;0,10*Escenarios!$F$16*AL233,0)</f>
        <v>0</v>
      </c>
      <c r="AZ233" s="170">
        <f>IF(Escenarios!$F$17&gt;0,10*Escenarios!$F$16*AX233,0)</f>
        <v>0</v>
      </c>
      <c r="BA233" s="170">
        <f>IF(Escenarios!$F$17&gt;0,0.001*Observaciones!$F232*Escenarios!$F$17,0)</f>
        <v>0</v>
      </c>
      <c r="BB233" s="170">
        <f>IF(Escenarios!$F$17&gt;0,Observaciones!$K232,0)</f>
        <v>0</v>
      </c>
      <c r="BC233" s="170">
        <f>IF(Escenarios!$F$17&gt;0,MIN(0.0005*ETo!$M232*Escenarios!$F$17*(BG232/Constantes!$F$40)^(2/3),BG232+AY233+AZ233+BA233+BB233),0)</f>
        <v>0</v>
      </c>
      <c r="BD233" s="170">
        <f>IF(Escenarios!$F$17&gt;0,MIN(Constantes!$F$39*(BG232/Constantes!$F$40)^(2/3),BG232+AY233+AZ233+BA233+BB233-BC233),0)</f>
        <v>0</v>
      </c>
      <c r="BE233" s="170">
        <f>IF(Escenarios!$F$17&gt;0,MIN(Entradas!$F$113,BG232+AY233+AZ233+BA233+BB233-BC233-BD233),0)</f>
        <v>0</v>
      </c>
      <c r="BF233" s="170">
        <f>IF(Escenarios!$F$17&gt;0,MAX(0,BG232+AY233+AZ233+BA233+BB233-BC233-BD233-BE233-Constantes!$F$40),0)</f>
        <v>0</v>
      </c>
      <c r="BG233" s="170">
        <f t="shared" si="53"/>
        <v>0</v>
      </c>
      <c r="BH233" s="170">
        <f>(Escenarios!$F$16*AK233+0.1*BC233)/(Escenarios!$F$19)</f>
        <v>0.15769635702785659</v>
      </c>
      <c r="BI233" s="170">
        <f>IF(Escenarios!$F$17&gt;0,BF233/10/Escenarios!$F$19,AL233)</f>
        <v>0</v>
      </c>
      <c r="BJ233" s="170">
        <f>(Escenarios!$F$16*AT233+0.1*BD233)/(Escenarios!$F$19)</f>
        <v>0</v>
      </c>
      <c r="BK233" s="76">
        <f>BK232+(0.1*BD233)/(Escenarios!$F$19)-BL232</f>
        <v>48.75</v>
      </c>
      <c r="BL233" s="76">
        <f>MAX(0,(BK233-Constantes!$D$13)*(1-EXP(-Constantes!$D$23)))</f>
        <v>0</v>
      </c>
      <c r="BM233" s="76">
        <f t="shared" si="54"/>
        <v>0.31274818988400643</v>
      </c>
      <c r="BN233" s="76">
        <f t="shared" si="55"/>
        <v>0.3127812207458609</v>
      </c>
      <c r="BO233" s="76">
        <f>0.0526*BI233*Observaciones!$F232^1.218</f>
        <v>0</v>
      </c>
      <c r="BP233" s="76">
        <f>BO233*Constantes!$F$51</f>
        <v>0</v>
      </c>
      <c r="BQ233" s="76">
        <f t="shared" si="56"/>
        <v>0</v>
      </c>
      <c r="BR233" s="40"/>
    </row>
    <row r="234" spans="2:70">
      <c r="B234" s="39"/>
      <c r="C234" s="75">
        <v>228</v>
      </c>
      <c r="D234" s="146">
        <f>ETo!$I233*((1-Constantes!$F$19)*ETo!$K233+ETo!$L233)</f>
        <v>3.1896789668134127</v>
      </c>
      <c r="E234" s="76">
        <f>MIN(D234*Constantes!$F$17,0.8*(N233+Observaciones!$F233-F234-M234-Constantes!$D$14))</f>
        <v>8.8152730705672868E-4</v>
      </c>
      <c r="F234" s="76">
        <f>IF(Observaciones!$F233&gt;0.05*Constantes!$F$18,((Observaciones!$F233-0.05*Constantes!$F$18)^2)/(Observaciones!$F233+0.95*Constantes!$F$18),0)</f>
        <v>0</v>
      </c>
      <c r="G234" s="76">
        <f>IF(Escenarios!$F$11&gt;0,(F234*Escenarios!$F$16*10000)/1000,0)</f>
        <v>0</v>
      </c>
      <c r="H234" s="76">
        <f>IF(Escenarios!$F$11&gt;0,(Observaciones!$F233*Constantes!$F$29)/1000,0)</f>
        <v>0</v>
      </c>
      <c r="I234" s="76">
        <f>IF(Escenarios!$F$11&gt;0,(D234*Constantes!$F$29)/1000,0)</f>
        <v>0</v>
      </c>
      <c r="J234" s="76">
        <f>IF(Escenarios!$F$11&gt;0,MAX(0,G234+H234-I234),0)</f>
        <v>0</v>
      </c>
      <c r="K234" s="76">
        <f>IF(Escenarios!$F$11&gt;0,IF(J234&gt;Constantes!$F$30,1000*((J234-Constantes!$F$30)/(Escenarios!$F$16*10000)),0),F234)</f>
        <v>0</v>
      </c>
      <c r="L234" s="76">
        <f>IF(Escenarios!$F$11&gt;0,I234*1000/Escenarios!$F$16/10000+E234,E234)</f>
        <v>8.8152730705672868E-4</v>
      </c>
      <c r="M234" s="76">
        <f>MAX(0,N233+Observaciones!$F233-K234-Constantes!$D$13)</f>
        <v>0</v>
      </c>
      <c r="N234" s="76">
        <f>N233+Observaciones!$F233-K234-L234-M234-O233</f>
        <v>11.250182846756475</v>
      </c>
      <c r="O234" s="76">
        <f>MAX(0,(N234-Constantes!$D$14)*(1-EXP(-Constantes!$D$22)))</f>
        <v>6.2284317697329866E-6</v>
      </c>
      <c r="P234" s="170">
        <f>P233+(Entradas!$F$83*M234-Q233)/(800*Entradas!$D$25)</f>
        <v>0</v>
      </c>
      <c r="Q234" s="170">
        <f>8000*Entradas!$D$26*P234/Constantes!$F$45</f>
        <v>0</v>
      </c>
      <c r="R234" s="170">
        <f>IF(Escenarios!$F$14&gt;0,K234*Escenarios!$F$13/Escenarios!$F$14,0)</f>
        <v>0</v>
      </c>
      <c r="S234" s="170">
        <f>IF(Escenarios!$F$14&gt;0,Q234*Escenarios!$F$13/Escenarios!$F$14,0)</f>
        <v>0</v>
      </c>
      <c r="T234" s="170">
        <f>IF(Escenarios!$F$14&gt;0,Observaciones!$I233,0)</f>
        <v>0</v>
      </c>
      <c r="U234" s="170">
        <f>IF(Escenarios!$F$14&gt;0,MAX(0,Constantes!$F$36/((Z233+R234+S234+T234+Observaciones!$F233)^2)+Entradas!$F$77),0)</f>
        <v>0</v>
      </c>
      <c r="V234" s="146">
        <f>IF(ETo!D233&gt;0,ETo!I233*((1-Entradas!$F$81)*ETo!K233+ETo!L233),0)</f>
        <v>2.8038467741565256</v>
      </c>
      <c r="W234" s="170">
        <f>IF(Escenarios!$F$14&gt;0,MIN(V234*1,0.8*(Z233+R234+S234+T234+Observaciones!$F233-U234-Constantes!$F$35)),0)</f>
        <v>1.2814418444293098E-3</v>
      </c>
      <c r="X234" s="170">
        <f>IF(Escenarios!$F$14&gt;0,Observaciones!$J233,0)</f>
        <v>0</v>
      </c>
      <c r="Y234" s="170">
        <f>IF(Escenarios!$F$14&gt;0,MAX(0,Z233+R234+S234+T234+Observaciones!$F233-U234-W234-X234-Constantes!$F$33),0)</f>
        <v>0</v>
      </c>
      <c r="Z234" s="170">
        <f>Z233+R234+S234+T234+Observaciones!$F233-U234-W234-Y234</f>
        <v>41.25032036046111</v>
      </c>
      <c r="AA234" s="170">
        <f>IF(Escenarios!$F$14&gt;0,(Escenarios!$F$13*L234+Escenarios!$F$14*W234)/(Escenarios!$F$16),L234)</f>
        <v>9.2951705154143837E-4</v>
      </c>
      <c r="AB234" s="170">
        <f>IF(Escenarios!$F$14&gt;0,(Escenarios!$F$14*Y234)/(Escenarios!$F$16),K234)</f>
        <v>0</v>
      </c>
      <c r="AC234" s="170">
        <f>IF(Escenarios!$F$14&gt;0,(Escenarios!$F$13*M234+Escenarios!$F$14*U234)/(Escenarios!$F$16),M234)</f>
        <v>0</v>
      </c>
      <c r="AD234" s="76">
        <f t="shared" si="43"/>
        <v>77.869475661119353</v>
      </c>
      <c r="AE234" s="76">
        <f>MAX(0,(AD234-Constantes!$D$13)*(1-EXP(-Constantes!$D$23)))</f>
        <v>0.28692112940775144</v>
      </c>
      <c r="AF234" s="76">
        <f>AB234+O234*Escenarios!$F$13/Escenarios!$F$16+AE234</f>
        <v>0.28692661042770878</v>
      </c>
      <c r="AG234" s="76">
        <f>IF(Entradas!$F$91&gt;0,IF(AF234-Escenarios!$F$38&lt;=0,0,IF(AF234-Escenarios!$F$38&gt;Escenarios!$F$37,Escenarios!$F$37,AF234-Escenarios!$F$38)),0)</f>
        <v>0</v>
      </c>
      <c r="AH234" s="76">
        <f>AG234*Entradas!$F$99</f>
        <v>0</v>
      </c>
      <c r="AI234" s="76">
        <f>IF(Entradas!$F$91&gt;0,D234*Entradas!$D$23/Escenarios!$F$16,0)</f>
        <v>0.15310459040704383</v>
      </c>
      <c r="AJ234" s="76">
        <f>IF(Entradas!$F$91&gt;0,Entradas!$D$24*Entradas!$D$22/Escenarios!$F$16,0)</f>
        <v>0.12</v>
      </c>
      <c r="AK234" s="76">
        <f t="shared" si="44"/>
        <v>0.15403410745858526</v>
      </c>
      <c r="AL234" s="76">
        <f t="shared" si="45"/>
        <v>0</v>
      </c>
      <c r="AM234" s="76">
        <f t="shared" si="46"/>
        <v>0</v>
      </c>
      <c r="AN234" s="76">
        <f>MAX(0,O234*Escenarios!$F$13/Escenarios!$F$16-AM234)</f>
        <v>5.4810199573650288E-6</v>
      </c>
      <c r="AO234" s="76">
        <f>AM234+AN234-O234*Escenarios!$F$13/Escenarios!$F$16</f>
        <v>0</v>
      </c>
      <c r="AP234" s="76">
        <f t="shared" si="47"/>
        <v>0.28692112940775144</v>
      </c>
      <c r="AQ234" s="76">
        <f t="shared" si="48"/>
        <v>0</v>
      </c>
      <c r="AR234" s="76">
        <f t="shared" si="49"/>
        <v>0.28692661042770878</v>
      </c>
      <c r="AS234" s="76">
        <f t="shared" si="50"/>
        <v>0</v>
      </c>
      <c r="AT234" s="76">
        <f t="shared" si="51"/>
        <v>0</v>
      </c>
      <c r="AU234" s="76">
        <f t="shared" si="52"/>
        <v>50.229903780184664</v>
      </c>
      <c r="AV234" s="76">
        <f>MAX(0,(AU234-Constantes!$D$13)*(1-EXP(-Constantes!$D$24)))</f>
        <v>2.2620694913391769E-2</v>
      </c>
      <c r="AW234" s="170">
        <f>AW233+(Entradas!$F$112*AT234-AX233)/(800*Entradas!$D$25)</f>
        <v>0</v>
      </c>
      <c r="AX234" s="170">
        <f>8000*Entradas!$D$26*AW234/Constantes!$F$45</f>
        <v>0</v>
      </c>
      <c r="AY234" s="170">
        <f>IF(Escenarios!$F$17&gt;0,10*Escenarios!$F$16*AL234,0)</f>
        <v>0</v>
      </c>
      <c r="AZ234" s="170">
        <f>IF(Escenarios!$F$17&gt;0,10*Escenarios!$F$16*AX234,0)</f>
        <v>0</v>
      </c>
      <c r="BA234" s="170">
        <f>IF(Escenarios!$F$17&gt;0,0.001*Observaciones!$F233*Escenarios!$F$17,0)</f>
        <v>0</v>
      </c>
      <c r="BB234" s="170">
        <f>IF(Escenarios!$F$17&gt;0,Observaciones!$K233,0)</f>
        <v>0</v>
      </c>
      <c r="BC234" s="170">
        <f>IF(Escenarios!$F$17&gt;0,MIN(0.0005*ETo!$M233*Escenarios!$F$17*(BG233/Constantes!$F$40)^(2/3),BG233+AY234+AZ234+BA234+BB234),0)</f>
        <v>0</v>
      </c>
      <c r="BD234" s="170">
        <f>IF(Escenarios!$F$17&gt;0,MIN(Constantes!$F$39*(BG233/Constantes!$F$40)^(2/3),BG233+AY234+AZ234+BA234+BB234-BC234),0)</f>
        <v>0</v>
      </c>
      <c r="BE234" s="170">
        <f>IF(Escenarios!$F$17&gt;0,MIN(Entradas!$F$113,BG233+AY234+AZ234+BA234+BB234-BC234-BD234),0)</f>
        <v>0</v>
      </c>
      <c r="BF234" s="170">
        <f>IF(Escenarios!$F$17&gt;0,MAX(0,BG233+AY234+AZ234+BA234+BB234-BC234-BD234-BE234-Constantes!$F$40),0)</f>
        <v>0</v>
      </c>
      <c r="BG234" s="170">
        <f t="shared" si="53"/>
        <v>0</v>
      </c>
      <c r="BH234" s="170">
        <f>(Escenarios!$F$16*AK234+0.1*BC234)/(Escenarios!$F$19)</f>
        <v>0.15403410745858526</v>
      </c>
      <c r="BI234" s="170">
        <f>IF(Escenarios!$F$17&gt;0,BF234/10/Escenarios!$F$19,AL234)</f>
        <v>0</v>
      </c>
      <c r="BJ234" s="170">
        <f>(Escenarios!$F$16*AT234+0.1*BD234)/(Escenarios!$F$19)</f>
        <v>0</v>
      </c>
      <c r="BK234" s="76">
        <f>BK233+(0.1*BD234)/(Escenarios!$F$19)-BL233</f>
        <v>48.75</v>
      </c>
      <c r="BL234" s="76">
        <f>MAX(0,(BK234-Constantes!$D$13)*(1-EXP(-Constantes!$D$23)))</f>
        <v>0</v>
      </c>
      <c r="BM234" s="76">
        <f t="shared" si="54"/>
        <v>0.30954182432114319</v>
      </c>
      <c r="BN234" s="76">
        <f t="shared" si="55"/>
        <v>0.30954730534110053</v>
      </c>
      <c r="BO234" s="76">
        <f>0.0526*BI234*Observaciones!$F233^1.218</f>
        <v>0</v>
      </c>
      <c r="BP234" s="76">
        <f>BO234*Constantes!$F$51</f>
        <v>0</v>
      </c>
      <c r="BQ234" s="76">
        <f t="shared" si="56"/>
        <v>0</v>
      </c>
      <c r="BR234" s="40"/>
    </row>
    <row r="235" spans="2:70">
      <c r="B235" s="39"/>
      <c r="C235" s="75">
        <v>229</v>
      </c>
      <c r="D235" s="146">
        <f>ETo!$I234*((1-Constantes!$F$19)*ETo!$K234+ETo!$L234)</f>
        <v>3.269692975070444</v>
      </c>
      <c r="E235" s="76">
        <f>MIN(D235*Constantes!$F$17,0.8*(N234+Observaciones!$F234-F235-M235-Constantes!$D$14))</f>
        <v>1.864744347454375</v>
      </c>
      <c r="F235" s="76">
        <f>IF(Observaciones!$F234&gt;0.05*Constantes!$F$18,((Observaciones!$F234-0.05*Constantes!$F$18)^2)/(Observaciones!$F234+0.95*Constantes!$F$18),0)</f>
        <v>0</v>
      </c>
      <c r="G235" s="76">
        <f>IF(Escenarios!$F$11&gt;0,(F235*Escenarios!$F$16*10000)/1000,0)</f>
        <v>0</v>
      </c>
      <c r="H235" s="76">
        <f>IF(Escenarios!$F$11&gt;0,(Observaciones!$F234*Constantes!$F$29)/1000,0)</f>
        <v>0</v>
      </c>
      <c r="I235" s="76">
        <f>IF(Escenarios!$F$11&gt;0,(D235*Constantes!$F$29)/1000,0)</f>
        <v>0</v>
      </c>
      <c r="J235" s="76">
        <f>IF(Escenarios!$F$11&gt;0,MAX(0,G235+H235-I235),0)</f>
        <v>0</v>
      </c>
      <c r="K235" s="76">
        <f>IF(Escenarios!$F$11&gt;0,IF(J235&gt;Constantes!$F$30,1000*((J235-Constantes!$F$30)/(Escenarios!$F$16*10000)),0),F235)</f>
        <v>0</v>
      </c>
      <c r="L235" s="76">
        <f>IF(Escenarios!$F$11&gt;0,I235*1000/Escenarios!$F$16/10000+E235,E235)</f>
        <v>1.864744347454375</v>
      </c>
      <c r="M235" s="76">
        <f>MAX(0,N234+Observaciones!$F234-K235-Constantes!$D$13)</f>
        <v>0</v>
      </c>
      <c r="N235" s="76">
        <f>N234+Observaciones!$F234-K235-L235-M235-O234</f>
        <v>12.685432270870329</v>
      </c>
      <c r="O235" s="76">
        <f>MAX(0,(N235-Constantes!$D$14)*(1-EXP(-Constantes!$D$22)))</f>
        <v>4.8896092725588834E-2</v>
      </c>
      <c r="P235" s="170">
        <f>P234+(Entradas!$F$83*M235-Q234)/(800*Entradas!$D$25)</f>
        <v>0</v>
      </c>
      <c r="Q235" s="170">
        <f>8000*Entradas!$D$26*P235/Constantes!$F$45</f>
        <v>0</v>
      </c>
      <c r="R235" s="170">
        <f>IF(Escenarios!$F$14&gt;0,K235*Escenarios!$F$13/Escenarios!$F$14,0)</f>
        <v>0</v>
      </c>
      <c r="S235" s="170">
        <f>IF(Escenarios!$F$14&gt;0,Q235*Escenarios!$F$13/Escenarios!$F$14,0)</f>
        <v>0</v>
      </c>
      <c r="T235" s="170">
        <f>IF(Escenarios!$F$14&gt;0,Observaciones!$I234,0)</f>
        <v>0</v>
      </c>
      <c r="U235" s="170">
        <f>IF(Escenarios!$F$14&gt;0,MAX(0,Constantes!$F$36/((Z234+R235+S235+T235+Observaciones!$F234)^2)+Entradas!$F$77),0)</f>
        <v>0</v>
      </c>
      <c r="V235" s="146">
        <f>IF(ETo!D234&gt;0,ETo!I234*((1-Entradas!$F$81)*ETo!K234+ETo!L234),0)</f>
        <v>2.8755209216426083</v>
      </c>
      <c r="W235" s="170">
        <f>IF(Escenarios!$F$14&gt;0,MIN(V235*1,0.8*(Z234+R235+S235+T235+Observaciones!$F234-U235-Constantes!$F$35)),0)</f>
        <v>2.640256288368886</v>
      </c>
      <c r="X235" s="170">
        <f>IF(Escenarios!$F$14&gt;0,Observaciones!$J234,0)</f>
        <v>0</v>
      </c>
      <c r="Y235" s="170">
        <f>IF(Escenarios!$F$14&gt;0,MAX(0,Z234+R235+S235+T235+Observaciones!$F234-U235-W235-X235-Constantes!$F$33),0)</f>
        <v>0</v>
      </c>
      <c r="Z235" s="170">
        <f>Z234+R235+S235+T235+Observaciones!$F234-U235-W235-Y235</f>
        <v>41.910064072092219</v>
      </c>
      <c r="AA235" s="170">
        <f>IF(Escenarios!$F$14&gt;0,(Escenarios!$F$13*L235+Escenarios!$F$14*W235)/(Escenarios!$F$16),L235)</f>
        <v>1.9578057803641165</v>
      </c>
      <c r="AB235" s="170">
        <f>IF(Escenarios!$F$14&gt;0,(Escenarios!$F$14*Y235)/(Escenarios!$F$16),K235)</f>
        <v>0</v>
      </c>
      <c r="AC235" s="170">
        <f>IF(Escenarios!$F$14&gt;0,(Escenarios!$F$13*M235+Escenarios!$F$14*U235)/(Escenarios!$F$16),M235)</f>
        <v>0</v>
      </c>
      <c r="AD235" s="76">
        <f t="shared" si="43"/>
        <v>77.582554531711608</v>
      </c>
      <c r="AE235" s="76">
        <f>MAX(0,(AD235-Constantes!$D$13)*(1-EXP(-Constantes!$D$23)))</f>
        <v>0.28409402718040822</v>
      </c>
      <c r="AF235" s="76">
        <f>AB235+O235*Escenarios!$F$13/Escenarios!$F$16+AE235</f>
        <v>0.32712258877892642</v>
      </c>
      <c r="AG235" s="76">
        <f>IF(Entradas!$F$91&gt;0,IF(AF235-Escenarios!$F$38&lt;=0,0,IF(AF235-Escenarios!$F$38&gt;Escenarios!$F$37,Escenarios!$F$37,AF235-Escenarios!$F$38)),0)</f>
        <v>0</v>
      </c>
      <c r="AH235" s="76">
        <f>AG235*Entradas!$F$99</f>
        <v>0</v>
      </c>
      <c r="AI235" s="76">
        <f>IF(Entradas!$F$91&gt;0,D235*Entradas!$D$23/Escenarios!$F$16,0)</f>
        <v>0.15694526280338131</v>
      </c>
      <c r="AJ235" s="76">
        <f>IF(Entradas!$F$91&gt;0,Entradas!$D$24*Entradas!$D$22/Escenarios!$F$16,0)</f>
        <v>0.12</v>
      </c>
      <c r="AK235" s="76">
        <f t="shared" si="44"/>
        <v>2.1147510431674976</v>
      </c>
      <c r="AL235" s="76">
        <f t="shared" si="45"/>
        <v>0</v>
      </c>
      <c r="AM235" s="76">
        <f t="shared" si="46"/>
        <v>0</v>
      </c>
      <c r="AN235" s="76">
        <f>MAX(0,O235*Escenarios!$F$13/Escenarios!$F$16-AM235)</f>
        <v>4.3028561598518172E-2</v>
      </c>
      <c r="AO235" s="76">
        <f>AM235+AN235-O235*Escenarios!$F$13/Escenarios!$F$16</f>
        <v>0</v>
      </c>
      <c r="AP235" s="76">
        <f t="shared" si="47"/>
        <v>0.28409402718040822</v>
      </c>
      <c r="AQ235" s="76">
        <f t="shared" si="48"/>
        <v>0</v>
      </c>
      <c r="AR235" s="76">
        <f t="shared" si="49"/>
        <v>0.32712258877892642</v>
      </c>
      <c r="AS235" s="76">
        <f t="shared" si="50"/>
        <v>0</v>
      </c>
      <c r="AT235" s="76">
        <f t="shared" si="51"/>
        <v>0</v>
      </c>
      <c r="AU235" s="76">
        <f t="shared" si="52"/>
        <v>50.207283085271271</v>
      </c>
      <c r="AV235" s="76">
        <f>MAX(0,(AU235-Constantes!$D$13)*(1-EXP(-Constantes!$D$24)))</f>
        <v>2.2274932002845711E-2</v>
      </c>
      <c r="AW235" s="170">
        <f>AW234+(Entradas!$F$112*AT235-AX234)/(800*Entradas!$D$25)</f>
        <v>0</v>
      </c>
      <c r="AX235" s="170">
        <f>8000*Entradas!$D$26*AW235/Constantes!$F$45</f>
        <v>0</v>
      </c>
      <c r="AY235" s="170">
        <f>IF(Escenarios!$F$17&gt;0,10*Escenarios!$F$16*AL235,0)</f>
        <v>0</v>
      </c>
      <c r="AZ235" s="170">
        <f>IF(Escenarios!$F$17&gt;0,10*Escenarios!$F$16*AX235,0)</f>
        <v>0</v>
      </c>
      <c r="BA235" s="170">
        <f>IF(Escenarios!$F$17&gt;0,0.001*Observaciones!$F234*Escenarios!$F$17,0)</f>
        <v>0</v>
      </c>
      <c r="BB235" s="170">
        <f>IF(Escenarios!$F$17&gt;0,Observaciones!$K234,0)</f>
        <v>0</v>
      </c>
      <c r="BC235" s="170">
        <f>IF(Escenarios!$F$17&gt;0,MIN(0.0005*ETo!$M234*Escenarios!$F$17*(BG234/Constantes!$F$40)^(2/3),BG234+AY235+AZ235+BA235+BB235),0)</f>
        <v>0</v>
      </c>
      <c r="BD235" s="170">
        <f>IF(Escenarios!$F$17&gt;0,MIN(Constantes!$F$39*(BG234/Constantes!$F$40)^(2/3),BG234+AY235+AZ235+BA235+BB235-BC235),0)</f>
        <v>0</v>
      </c>
      <c r="BE235" s="170">
        <f>IF(Escenarios!$F$17&gt;0,MIN(Entradas!$F$113,BG234+AY235+AZ235+BA235+BB235-BC235-BD235),0)</f>
        <v>0</v>
      </c>
      <c r="BF235" s="170">
        <f>IF(Escenarios!$F$17&gt;0,MAX(0,BG234+AY235+AZ235+BA235+BB235-BC235-BD235-BE235-Constantes!$F$40),0)</f>
        <v>0</v>
      </c>
      <c r="BG235" s="170">
        <f t="shared" si="53"/>
        <v>0</v>
      </c>
      <c r="BH235" s="170">
        <f>(Escenarios!$F$16*AK235+0.1*BC235)/(Escenarios!$F$19)</f>
        <v>2.1147510431674976</v>
      </c>
      <c r="BI235" s="170">
        <f>IF(Escenarios!$F$17&gt;0,BF235/10/Escenarios!$F$19,AL235)</f>
        <v>0</v>
      </c>
      <c r="BJ235" s="170">
        <f>(Escenarios!$F$16*AT235+0.1*BD235)/(Escenarios!$F$19)</f>
        <v>0</v>
      </c>
      <c r="BK235" s="76">
        <f>BK234+(0.1*BD235)/(Escenarios!$F$19)-BL234</f>
        <v>48.75</v>
      </c>
      <c r="BL235" s="76">
        <f>MAX(0,(BK235-Constantes!$D$13)*(1-EXP(-Constantes!$D$23)))</f>
        <v>0</v>
      </c>
      <c r="BM235" s="76">
        <f t="shared" si="54"/>
        <v>0.30636895918325391</v>
      </c>
      <c r="BN235" s="76">
        <f t="shared" si="55"/>
        <v>0.34939752078177211</v>
      </c>
      <c r="BO235" s="76">
        <f>0.0526*BI235*Observaciones!$F234^1.218</f>
        <v>0</v>
      </c>
      <c r="BP235" s="76">
        <f>BO235*Constantes!$F$51</f>
        <v>0</v>
      </c>
      <c r="BQ235" s="76">
        <f t="shared" si="56"/>
        <v>0</v>
      </c>
      <c r="BR235" s="40"/>
    </row>
    <row r="236" spans="2:70">
      <c r="B236" s="39"/>
      <c r="C236" s="75">
        <v>230</v>
      </c>
      <c r="D236" s="146">
        <f>ETo!$I235*((1-Constantes!$F$19)*ETo!$K235+ETo!$L235)</f>
        <v>3.2841952611782133</v>
      </c>
      <c r="E236" s="76">
        <f>MIN(D236*Constantes!$F$17,0.8*(N235+Observaciones!$F235-F236-M236-Constantes!$D$14))</f>
        <v>1.1483458166962635</v>
      </c>
      <c r="F236" s="76">
        <f>IF(Observaciones!$F235&gt;0.05*Constantes!$F$18,((Observaciones!$F235-0.05*Constantes!$F$18)^2)/(Observaciones!$F235+0.95*Constantes!$F$18),0)</f>
        <v>0</v>
      </c>
      <c r="G236" s="76">
        <f>IF(Escenarios!$F$11&gt;0,(F236*Escenarios!$F$16*10000)/1000,0)</f>
        <v>0</v>
      </c>
      <c r="H236" s="76">
        <f>IF(Escenarios!$F$11&gt;0,(Observaciones!$F235*Constantes!$F$29)/1000,0)</f>
        <v>0</v>
      </c>
      <c r="I236" s="76">
        <f>IF(Escenarios!$F$11&gt;0,(D236*Constantes!$F$29)/1000,0)</f>
        <v>0</v>
      </c>
      <c r="J236" s="76">
        <f>IF(Escenarios!$F$11&gt;0,MAX(0,G236+H236-I236),0)</f>
        <v>0</v>
      </c>
      <c r="K236" s="76">
        <f>IF(Escenarios!$F$11&gt;0,IF(J236&gt;Constantes!$F$30,1000*((J236-Constantes!$F$30)/(Escenarios!$F$16*10000)),0),F236)</f>
        <v>0</v>
      </c>
      <c r="L236" s="76">
        <f>IF(Escenarios!$F$11&gt;0,I236*1000/Escenarios!$F$16/10000+E236,E236)</f>
        <v>1.1483458166962635</v>
      </c>
      <c r="M236" s="76">
        <f>MAX(0,N235+Observaciones!$F235-K236-Constantes!$D$13)</f>
        <v>0</v>
      </c>
      <c r="N236" s="76">
        <f>N235+Observaciones!$F235-K236-L236-M236-O235</f>
        <v>11.488190361448478</v>
      </c>
      <c r="O236" s="76">
        <f>MAX(0,(N236-Constantes!$D$14)*(1-EXP(-Constantes!$D$22)))</f>
        <v>8.1136381256530828E-3</v>
      </c>
      <c r="P236" s="170">
        <f>P235+(Entradas!$F$83*M236-Q235)/(800*Entradas!$D$25)</f>
        <v>0</v>
      </c>
      <c r="Q236" s="170">
        <f>8000*Entradas!$D$26*P236/Constantes!$F$45</f>
        <v>0</v>
      </c>
      <c r="R236" s="170">
        <f>IF(Escenarios!$F$14&gt;0,K236*Escenarios!$F$13/Escenarios!$F$14,0)</f>
        <v>0</v>
      </c>
      <c r="S236" s="170">
        <f>IF(Escenarios!$F$14&gt;0,Q236*Escenarios!$F$13/Escenarios!$F$14,0)</f>
        <v>0</v>
      </c>
      <c r="T236" s="170">
        <f>IF(Escenarios!$F$14&gt;0,Observaciones!$I235,0)</f>
        <v>0</v>
      </c>
      <c r="U236" s="170">
        <f>IF(Escenarios!$F$14&gt;0,MAX(0,Constantes!$F$36/((Z235+R236+S236+T236+Observaciones!$F235)^2)+Entradas!$F$77),0)</f>
        <v>0</v>
      </c>
      <c r="V236" s="146">
        <f>IF(ETo!D235&gt;0,ETo!I235*((1-Entradas!$F$81)*ETo!K235+ETo!L235),0)</f>
        <v>2.8889194260311202</v>
      </c>
      <c r="W236" s="170">
        <f>IF(Escenarios!$F$14&gt;0,MIN(V236*1,0.8*(Z235+R236+S236+T236+Observaciones!$F235-U236-Constantes!$F$35)),0)</f>
        <v>0.52805125767377492</v>
      </c>
      <c r="X236" s="170">
        <f>IF(Escenarios!$F$14&gt;0,Observaciones!$J235,0)</f>
        <v>0</v>
      </c>
      <c r="Y236" s="170">
        <f>IF(Escenarios!$F$14&gt;0,MAX(0,Z235+R236+S236+T236+Observaciones!$F235-U236-W236-X236-Constantes!$F$33),0)</f>
        <v>0</v>
      </c>
      <c r="Z236" s="170">
        <f>Z235+R236+S236+T236+Observaciones!$F235-U236-W236-Y236</f>
        <v>41.382012814418445</v>
      </c>
      <c r="AA236" s="170">
        <f>IF(Escenarios!$F$14&gt;0,(Escenarios!$F$13*L236+Escenarios!$F$14*W236)/(Escenarios!$F$16),L236)</f>
        <v>1.0739104696135648</v>
      </c>
      <c r="AB236" s="170">
        <f>IF(Escenarios!$F$14&gt;0,(Escenarios!$F$14*Y236)/(Escenarios!$F$16),K236)</f>
        <v>0</v>
      </c>
      <c r="AC236" s="170">
        <f>IF(Escenarios!$F$14&gt;0,(Escenarios!$F$13*M236+Escenarios!$F$14*U236)/(Escenarios!$F$16),M236)</f>
        <v>0</v>
      </c>
      <c r="AD236" s="76">
        <f t="shared" si="43"/>
        <v>77.298460504531207</v>
      </c>
      <c r="AE236" s="76">
        <f>MAX(0,(AD236-Constantes!$D$13)*(1-EXP(-Constantes!$D$23)))</f>
        <v>0.28129478106467426</v>
      </c>
      <c r="AF236" s="76">
        <f>AB236+O236*Escenarios!$F$13/Escenarios!$F$16+AE236</f>
        <v>0.28843478261524896</v>
      </c>
      <c r="AG236" s="76">
        <f>IF(Entradas!$F$91&gt;0,IF(AF236-Escenarios!$F$38&lt;=0,0,IF(AF236-Escenarios!$F$38&gt;Escenarios!$F$37,Escenarios!$F$37,AF236-Escenarios!$F$38)),0)</f>
        <v>0</v>
      </c>
      <c r="AH236" s="76">
        <f>AG236*Entradas!$F$99</f>
        <v>0</v>
      </c>
      <c r="AI236" s="76">
        <f>IF(Entradas!$F$91&gt;0,D236*Entradas!$D$23/Escenarios!$F$16,0)</f>
        <v>0.15764137253655422</v>
      </c>
      <c r="AJ236" s="76">
        <f>IF(Entradas!$F$91&gt;0,Entradas!$D$24*Entradas!$D$22/Escenarios!$F$16,0)</f>
        <v>0.12</v>
      </c>
      <c r="AK236" s="76">
        <f t="shared" si="44"/>
        <v>1.231551842150119</v>
      </c>
      <c r="AL236" s="76">
        <f t="shared" si="45"/>
        <v>0</v>
      </c>
      <c r="AM236" s="76">
        <f t="shared" si="46"/>
        <v>0</v>
      </c>
      <c r="AN236" s="76">
        <f>MAX(0,O236*Escenarios!$F$13/Escenarios!$F$16-AM236)</f>
        <v>7.1400015505747125E-3</v>
      </c>
      <c r="AO236" s="76">
        <f>AM236+AN236-O236*Escenarios!$F$13/Escenarios!$F$16</f>
        <v>0</v>
      </c>
      <c r="AP236" s="76">
        <f t="shared" si="47"/>
        <v>0.28129478106467426</v>
      </c>
      <c r="AQ236" s="76">
        <f t="shared" si="48"/>
        <v>0</v>
      </c>
      <c r="AR236" s="76">
        <f t="shared" si="49"/>
        <v>0.28843478261524896</v>
      </c>
      <c r="AS236" s="76">
        <f t="shared" si="50"/>
        <v>0</v>
      </c>
      <c r="AT236" s="76">
        <f t="shared" si="51"/>
        <v>0</v>
      </c>
      <c r="AU236" s="76">
        <f t="shared" si="52"/>
        <v>50.185008153268427</v>
      </c>
      <c r="AV236" s="76">
        <f>MAX(0,(AU236-Constantes!$D$13)*(1-EXP(-Constantes!$D$24)))</f>
        <v>2.1934454163813493E-2</v>
      </c>
      <c r="AW236" s="170">
        <f>AW235+(Entradas!$F$112*AT236-AX235)/(800*Entradas!$D$25)</f>
        <v>0</v>
      </c>
      <c r="AX236" s="170">
        <f>8000*Entradas!$D$26*AW236/Constantes!$F$45</f>
        <v>0</v>
      </c>
      <c r="AY236" s="170">
        <f>IF(Escenarios!$F$17&gt;0,10*Escenarios!$F$16*AL236,0)</f>
        <v>0</v>
      </c>
      <c r="AZ236" s="170">
        <f>IF(Escenarios!$F$17&gt;0,10*Escenarios!$F$16*AX236,0)</f>
        <v>0</v>
      </c>
      <c r="BA236" s="170">
        <f>IF(Escenarios!$F$17&gt;0,0.001*Observaciones!$F235*Escenarios!$F$17,0)</f>
        <v>0</v>
      </c>
      <c r="BB236" s="170">
        <f>IF(Escenarios!$F$17&gt;0,Observaciones!$K235,0)</f>
        <v>0</v>
      </c>
      <c r="BC236" s="170">
        <f>IF(Escenarios!$F$17&gt;0,MIN(0.0005*ETo!$M235*Escenarios!$F$17*(BG235/Constantes!$F$40)^(2/3),BG235+AY236+AZ236+BA236+BB236),0)</f>
        <v>0</v>
      </c>
      <c r="BD236" s="170">
        <f>IF(Escenarios!$F$17&gt;0,MIN(Constantes!$F$39*(BG235/Constantes!$F$40)^(2/3),BG235+AY236+AZ236+BA236+BB236-BC236),0)</f>
        <v>0</v>
      </c>
      <c r="BE236" s="170">
        <f>IF(Escenarios!$F$17&gt;0,MIN(Entradas!$F$113,BG235+AY236+AZ236+BA236+BB236-BC236-BD236),0)</f>
        <v>0</v>
      </c>
      <c r="BF236" s="170">
        <f>IF(Escenarios!$F$17&gt;0,MAX(0,BG235+AY236+AZ236+BA236+BB236-BC236-BD236-BE236-Constantes!$F$40),0)</f>
        <v>0</v>
      </c>
      <c r="BG236" s="170">
        <f t="shared" si="53"/>
        <v>0</v>
      </c>
      <c r="BH236" s="170">
        <f>(Escenarios!$F$16*AK236+0.1*BC236)/(Escenarios!$F$19)</f>
        <v>1.231551842150119</v>
      </c>
      <c r="BI236" s="170">
        <f>IF(Escenarios!$F$17&gt;0,BF236/10/Escenarios!$F$19,AL236)</f>
        <v>0</v>
      </c>
      <c r="BJ236" s="170">
        <f>(Escenarios!$F$16*AT236+0.1*BD236)/(Escenarios!$F$19)</f>
        <v>0</v>
      </c>
      <c r="BK236" s="76">
        <f>BK235+(0.1*BD236)/(Escenarios!$F$19)-BL235</f>
        <v>48.75</v>
      </c>
      <c r="BL236" s="76">
        <f>MAX(0,(BK236-Constantes!$D$13)*(1-EXP(-Constantes!$D$23)))</f>
        <v>0</v>
      </c>
      <c r="BM236" s="76">
        <f t="shared" si="54"/>
        <v>0.30322923522848777</v>
      </c>
      <c r="BN236" s="76">
        <f t="shared" si="55"/>
        <v>0.31036923677906247</v>
      </c>
      <c r="BO236" s="76">
        <f>0.0526*BI236*Observaciones!$F235^1.218</f>
        <v>0</v>
      </c>
      <c r="BP236" s="76">
        <f>BO236*Constantes!$F$51</f>
        <v>0</v>
      </c>
      <c r="BQ236" s="76">
        <f t="shared" si="56"/>
        <v>0</v>
      </c>
      <c r="BR236" s="40"/>
    </row>
    <row r="237" spans="2:70">
      <c r="B237" s="39"/>
      <c r="C237" s="75">
        <v>231</v>
      </c>
      <c r="D237" s="146">
        <f>ETo!$I236*((1-Constantes!$F$19)*ETo!$K236+ETo!$L236)</f>
        <v>3.3098054626508828</v>
      </c>
      <c r="E237" s="76">
        <f>MIN(D237*Constantes!$F$17,0.8*(N236+Observaciones!$F236-F237-M237-Constantes!$D$14))</f>
        <v>0.1905522891587822</v>
      </c>
      <c r="F237" s="76">
        <f>IF(Observaciones!$F236&gt;0.05*Constantes!$F$18,((Observaciones!$F236-0.05*Constantes!$F$18)^2)/(Observaciones!$F236+0.95*Constantes!$F$18),0)</f>
        <v>0</v>
      </c>
      <c r="G237" s="76">
        <f>IF(Escenarios!$F$11&gt;0,(F237*Escenarios!$F$16*10000)/1000,0)</f>
        <v>0</v>
      </c>
      <c r="H237" s="76">
        <f>IF(Escenarios!$F$11&gt;0,(Observaciones!$F236*Constantes!$F$29)/1000,0)</f>
        <v>0</v>
      </c>
      <c r="I237" s="76">
        <f>IF(Escenarios!$F$11&gt;0,(D237*Constantes!$F$29)/1000,0)</f>
        <v>0</v>
      </c>
      <c r="J237" s="76">
        <f>IF(Escenarios!$F$11&gt;0,MAX(0,G237+H237-I237),0)</f>
        <v>0</v>
      </c>
      <c r="K237" s="76">
        <f>IF(Escenarios!$F$11&gt;0,IF(J237&gt;Constantes!$F$30,1000*((J237-Constantes!$F$30)/(Escenarios!$F$16*10000)),0),F237)</f>
        <v>0</v>
      </c>
      <c r="L237" s="76">
        <f>IF(Escenarios!$F$11&gt;0,I237*1000/Escenarios!$F$16/10000+E237,E237)</f>
        <v>0.1905522891587822</v>
      </c>
      <c r="M237" s="76">
        <f>MAX(0,N236+Observaciones!$F236-K237-Constantes!$D$13)</f>
        <v>0</v>
      </c>
      <c r="N237" s="76">
        <f>N236+Observaciones!$F236-K237-L237-M237-O236</f>
        <v>11.289524434164042</v>
      </c>
      <c r="O237" s="76">
        <f>MAX(0,(N237-Constantes!$D$14)*(1-EXP(-Constantes!$D$22)))</f>
        <v>1.3463473247955124E-3</v>
      </c>
      <c r="P237" s="170">
        <f>P236+(Entradas!$F$83*M237-Q236)/(800*Entradas!$D$25)</f>
        <v>0</v>
      </c>
      <c r="Q237" s="170">
        <f>8000*Entradas!$D$26*P237/Constantes!$F$45</f>
        <v>0</v>
      </c>
      <c r="R237" s="170">
        <f>IF(Escenarios!$F$14&gt;0,K237*Escenarios!$F$13/Escenarios!$F$14,0)</f>
        <v>0</v>
      </c>
      <c r="S237" s="170">
        <f>IF(Escenarios!$F$14&gt;0,Q237*Escenarios!$F$13/Escenarios!$F$14,0)</f>
        <v>0</v>
      </c>
      <c r="T237" s="170">
        <f>IF(Escenarios!$F$14&gt;0,Observaciones!$I236,0)</f>
        <v>0</v>
      </c>
      <c r="U237" s="170">
        <f>IF(Escenarios!$F$14&gt;0,MAX(0,Constantes!$F$36/((Z236+R237+S237+T237+Observaciones!$F236)^2)+Entradas!$F$77),0)</f>
        <v>0</v>
      </c>
      <c r="V237" s="146">
        <f>IF(ETo!D236&gt;0,ETo!I236*((1-Entradas!$F$81)*ETo!K236+ETo!L236),0)</f>
        <v>2.912216763493916</v>
      </c>
      <c r="W237" s="170">
        <f>IF(Escenarios!$F$14&gt;0,MIN(V237*1,0.8*(Z236+R237+S237+T237+Observaciones!$F236-U237-Constantes!$F$35)),0)</f>
        <v>0.10561025153475612</v>
      </c>
      <c r="X237" s="170">
        <f>IF(Escenarios!$F$14&gt;0,Observaciones!$J236,0)</f>
        <v>0</v>
      </c>
      <c r="Y237" s="170">
        <f>IF(Escenarios!$F$14&gt;0,MAX(0,Z236+R237+S237+T237+Observaciones!$F236-U237-W237-X237-Constantes!$F$33),0)</f>
        <v>0</v>
      </c>
      <c r="Z237" s="170">
        <f>Z236+R237+S237+T237+Observaciones!$F236-U237-W237-Y237</f>
        <v>41.276402562883689</v>
      </c>
      <c r="AA237" s="170">
        <f>IF(Escenarios!$F$14&gt;0,(Escenarios!$F$13*L237+Escenarios!$F$14*W237)/(Escenarios!$F$16),L237)</f>
        <v>0.18035924464389907</v>
      </c>
      <c r="AB237" s="170">
        <f>IF(Escenarios!$F$14&gt;0,(Escenarios!$F$14*Y237)/(Escenarios!$F$16),K237)</f>
        <v>0</v>
      </c>
      <c r="AC237" s="170">
        <f>IF(Escenarios!$F$14&gt;0,(Escenarios!$F$13*M237+Escenarios!$F$14*U237)/(Escenarios!$F$16),M237)</f>
        <v>0</v>
      </c>
      <c r="AD237" s="76">
        <f t="shared" si="43"/>
        <v>77.017165723466533</v>
      </c>
      <c r="AE237" s="76">
        <f>MAX(0,(AD237-Constantes!$D$13)*(1-EXP(-Constantes!$D$23)))</f>
        <v>0.27852311658764711</v>
      </c>
      <c r="AF237" s="76">
        <f>AB237+O237*Escenarios!$F$13/Escenarios!$F$16+AE237</f>
        <v>0.27970790223346714</v>
      </c>
      <c r="AG237" s="76">
        <f>IF(Entradas!$F$91&gt;0,IF(AF237-Escenarios!$F$38&lt;=0,0,IF(AF237-Escenarios!$F$38&gt;Escenarios!$F$37,Escenarios!$F$37,AF237-Escenarios!$F$38)),0)</f>
        <v>0</v>
      </c>
      <c r="AH237" s="76">
        <f>AG237*Entradas!$F$99</f>
        <v>0</v>
      </c>
      <c r="AI237" s="76">
        <f>IF(Entradas!$F$91&gt;0,D237*Entradas!$D$23/Escenarios!$F$16,0)</f>
        <v>0.15887066220724239</v>
      </c>
      <c r="AJ237" s="76">
        <f>IF(Entradas!$F$91&gt;0,Entradas!$D$24*Entradas!$D$22/Escenarios!$F$16,0)</f>
        <v>0.12</v>
      </c>
      <c r="AK237" s="76">
        <f t="shared" si="44"/>
        <v>0.33922990685114146</v>
      </c>
      <c r="AL237" s="76">
        <f t="shared" si="45"/>
        <v>0</v>
      </c>
      <c r="AM237" s="76">
        <f t="shared" si="46"/>
        <v>0</v>
      </c>
      <c r="AN237" s="76">
        <f>MAX(0,O237*Escenarios!$F$13/Escenarios!$F$16-AM237)</f>
        <v>1.1847856458200509E-3</v>
      </c>
      <c r="AO237" s="76">
        <f>AM237+AN237-O237*Escenarios!$F$13/Escenarios!$F$16</f>
        <v>0</v>
      </c>
      <c r="AP237" s="76">
        <f t="shared" si="47"/>
        <v>0.27852311658764711</v>
      </c>
      <c r="AQ237" s="76">
        <f t="shared" si="48"/>
        <v>0</v>
      </c>
      <c r="AR237" s="76">
        <f t="shared" si="49"/>
        <v>0.27970790223346714</v>
      </c>
      <c r="AS237" s="76">
        <f t="shared" si="50"/>
        <v>0</v>
      </c>
      <c r="AT237" s="76">
        <f t="shared" si="51"/>
        <v>0</v>
      </c>
      <c r="AU237" s="76">
        <f t="shared" si="52"/>
        <v>50.163073699104615</v>
      </c>
      <c r="AV237" s="76">
        <f>MAX(0,(AU237-Constantes!$D$13)*(1-EXP(-Constantes!$D$24)))</f>
        <v>2.1599180612671229E-2</v>
      </c>
      <c r="AW237" s="170">
        <f>AW236+(Entradas!$F$112*AT237-AX236)/(800*Entradas!$D$25)</f>
        <v>0</v>
      </c>
      <c r="AX237" s="170">
        <f>8000*Entradas!$D$26*AW237/Constantes!$F$45</f>
        <v>0</v>
      </c>
      <c r="AY237" s="170">
        <f>IF(Escenarios!$F$17&gt;0,10*Escenarios!$F$16*AL237,0)</f>
        <v>0</v>
      </c>
      <c r="AZ237" s="170">
        <f>IF(Escenarios!$F$17&gt;0,10*Escenarios!$F$16*AX237,0)</f>
        <v>0</v>
      </c>
      <c r="BA237" s="170">
        <f>IF(Escenarios!$F$17&gt;0,0.001*Observaciones!$F236*Escenarios!$F$17,0)</f>
        <v>0</v>
      </c>
      <c r="BB237" s="170">
        <f>IF(Escenarios!$F$17&gt;0,Observaciones!$K236,0)</f>
        <v>0</v>
      </c>
      <c r="BC237" s="170">
        <f>IF(Escenarios!$F$17&gt;0,MIN(0.0005*ETo!$M236*Escenarios!$F$17*(BG236/Constantes!$F$40)^(2/3),BG236+AY237+AZ237+BA237+BB237),0)</f>
        <v>0</v>
      </c>
      <c r="BD237" s="170">
        <f>IF(Escenarios!$F$17&gt;0,MIN(Constantes!$F$39*(BG236/Constantes!$F$40)^(2/3),BG236+AY237+AZ237+BA237+BB237-BC237),0)</f>
        <v>0</v>
      </c>
      <c r="BE237" s="170">
        <f>IF(Escenarios!$F$17&gt;0,MIN(Entradas!$F$113,BG236+AY237+AZ237+BA237+BB237-BC237-BD237),0)</f>
        <v>0</v>
      </c>
      <c r="BF237" s="170">
        <f>IF(Escenarios!$F$17&gt;0,MAX(0,BG236+AY237+AZ237+BA237+BB237-BC237-BD237-BE237-Constantes!$F$40),0)</f>
        <v>0</v>
      </c>
      <c r="BG237" s="170">
        <f t="shared" si="53"/>
        <v>0</v>
      </c>
      <c r="BH237" s="170">
        <f>(Escenarios!$F$16*AK237+0.1*BC237)/(Escenarios!$F$19)</f>
        <v>0.33922990685114146</v>
      </c>
      <c r="BI237" s="170">
        <f>IF(Escenarios!$F$17&gt;0,BF237/10/Escenarios!$F$19,AL237)</f>
        <v>0</v>
      </c>
      <c r="BJ237" s="170">
        <f>(Escenarios!$F$16*AT237+0.1*BD237)/(Escenarios!$F$19)</f>
        <v>0</v>
      </c>
      <c r="BK237" s="76">
        <f>BK236+(0.1*BD237)/(Escenarios!$F$19)-BL236</f>
        <v>48.75</v>
      </c>
      <c r="BL237" s="76">
        <f>MAX(0,(BK237-Constantes!$D$13)*(1-EXP(-Constantes!$D$23)))</f>
        <v>0</v>
      </c>
      <c r="BM237" s="76">
        <f t="shared" si="54"/>
        <v>0.30012229720031836</v>
      </c>
      <c r="BN237" s="76">
        <f t="shared" si="55"/>
        <v>0.30130708284613839</v>
      </c>
      <c r="BO237" s="76">
        <f>0.0526*BI237*Observaciones!$F236^1.218</f>
        <v>0</v>
      </c>
      <c r="BP237" s="76">
        <f>BO237*Constantes!$F$51</f>
        <v>0</v>
      </c>
      <c r="BQ237" s="76">
        <f t="shared" si="56"/>
        <v>0</v>
      </c>
      <c r="BR237" s="40"/>
    </row>
    <row r="238" spans="2:70">
      <c r="B238" s="39"/>
      <c r="C238" s="75">
        <v>232</v>
      </c>
      <c r="D238" s="146">
        <f>ETo!$I237*((1-Constantes!$F$19)*ETo!$K237+ETo!$L237)</f>
        <v>3.4399772460030076</v>
      </c>
      <c r="E238" s="76">
        <f>MIN(D238*Constantes!$F$17,0.8*(N237+Observaciones!$F237-F238-M238-Constantes!$D$14))</f>
        <v>3.1619547331233379E-2</v>
      </c>
      <c r="F238" s="76">
        <f>IF(Observaciones!$F237&gt;0.05*Constantes!$F$18,((Observaciones!$F237-0.05*Constantes!$F$18)^2)/(Observaciones!$F237+0.95*Constantes!$F$18),0)</f>
        <v>0</v>
      </c>
      <c r="G238" s="76">
        <f>IF(Escenarios!$F$11&gt;0,(F238*Escenarios!$F$16*10000)/1000,0)</f>
        <v>0</v>
      </c>
      <c r="H238" s="76">
        <f>IF(Escenarios!$F$11&gt;0,(Observaciones!$F237*Constantes!$F$29)/1000,0)</f>
        <v>0</v>
      </c>
      <c r="I238" s="76">
        <f>IF(Escenarios!$F$11&gt;0,(D238*Constantes!$F$29)/1000,0)</f>
        <v>0</v>
      </c>
      <c r="J238" s="76">
        <f>IF(Escenarios!$F$11&gt;0,MAX(0,G238+H238-I238),0)</f>
        <v>0</v>
      </c>
      <c r="K238" s="76">
        <f>IF(Escenarios!$F$11&gt;0,IF(J238&gt;Constantes!$F$30,1000*((J238-Constantes!$F$30)/(Escenarios!$F$16*10000)),0),F238)</f>
        <v>0</v>
      </c>
      <c r="L238" s="76">
        <f>IF(Escenarios!$F$11&gt;0,I238*1000/Escenarios!$F$16/10000+E238,E238)</f>
        <v>3.1619547331233379E-2</v>
      </c>
      <c r="M238" s="76">
        <f>MAX(0,N237+Observaciones!$F237-K238-Constantes!$D$13)</f>
        <v>0</v>
      </c>
      <c r="N238" s="76">
        <f>N237+Observaciones!$F237-K238-L238-M238-O237</f>
        <v>11.256558539508012</v>
      </c>
      <c r="O238" s="76">
        <f>MAX(0,(N238-Constantes!$D$14)*(1-EXP(-Constantes!$D$22)))</f>
        <v>2.2340793253431424E-4</v>
      </c>
      <c r="P238" s="170">
        <f>P237+(Entradas!$F$83*M238-Q237)/(800*Entradas!$D$25)</f>
        <v>0</v>
      </c>
      <c r="Q238" s="170">
        <f>8000*Entradas!$D$26*P238/Constantes!$F$45</f>
        <v>0</v>
      </c>
      <c r="R238" s="170">
        <f>IF(Escenarios!$F$14&gt;0,K238*Escenarios!$F$13/Escenarios!$F$14,0)</f>
        <v>0</v>
      </c>
      <c r="S238" s="170">
        <f>IF(Escenarios!$F$14&gt;0,Q238*Escenarios!$F$13/Escenarios!$F$14,0)</f>
        <v>0</v>
      </c>
      <c r="T238" s="170">
        <f>IF(Escenarios!$F$14&gt;0,Observaciones!$I237,0)</f>
        <v>0</v>
      </c>
      <c r="U238" s="170">
        <f>IF(Escenarios!$F$14&gt;0,MAX(0,Constantes!$F$36/((Z237+R238+S238+T238+Observaciones!$F237)^2)+Entradas!$F$77),0)</f>
        <v>0</v>
      </c>
      <c r="V238" s="146">
        <f>IF(ETo!D237&gt;0,ETo!I237*((1-Entradas!$F$81)*ETo!K237+ETo!L237),0)</f>
        <v>3.0289836380467858</v>
      </c>
      <c r="W238" s="170">
        <f>IF(Escenarios!$F$14&gt;0,MIN(V238*1,0.8*(Z237+R238+S238+T238+Observaciones!$F237-U238-Constantes!$F$35)),0)</f>
        <v>2.1122050306951225E-2</v>
      </c>
      <c r="X238" s="170">
        <f>IF(Escenarios!$F$14&gt;0,Observaciones!$J237,0)</f>
        <v>0</v>
      </c>
      <c r="Y238" s="170">
        <f>IF(Escenarios!$F$14&gt;0,MAX(0,Z237+R238+S238+T238+Observaciones!$F237-U238-W238-X238-Constantes!$F$33),0)</f>
        <v>0</v>
      </c>
      <c r="Z238" s="170">
        <f>Z237+R238+S238+T238+Observaciones!$F237-U238-W238-Y238</f>
        <v>41.255280512576739</v>
      </c>
      <c r="AA238" s="170">
        <f>IF(Escenarios!$F$14&gt;0,(Escenarios!$F$13*L238+Escenarios!$F$14*W238)/(Escenarios!$F$16),L238)</f>
        <v>3.0359847688319518E-2</v>
      </c>
      <c r="AB238" s="170">
        <f>IF(Escenarios!$F$14&gt;0,(Escenarios!$F$14*Y238)/(Escenarios!$F$16),K238)</f>
        <v>0</v>
      </c>
      <c r="AC238" s="170">
        <f>IF(Escenarios!$F$14&gt;0,(Escenarios!$F$13*M238+Escenarios!$F$14*U238)/(Escenarios!$F$16),M238)</f>
        <v>0</v>
      </c>
      <c r="AD238" s="76">
        <f t="shared" si="43"/>
        <v>76.738642606878884</v>
      </c>
      <c r="AE238" s="76">
        <f>MAX(0,(AD238-Constantes!$D$13)*(1-EXP(-Constantes!$D$23)))</f>
        <v>0.27577876198087109</v>
      </c>
      <c r="AF238" s="76">
        <f>AB238+O238*Escenarios!$F$13/Escenarios!$F$16+AE238</f>
        <v>0.27597536096150127</v>
      </c>
      <c r="AG238" s="76">
        <f>IF(Entradas!$F$91&gt;0,IF(AF238-Escenarios!$F$38&lt;=0,0,IF(AF238-Escenarios!$F$38&gt;Escenarios!$F$37,Escenarios!$F$37,AF238-Escenarios!$F$38)),0)</f>
        <v>0</v>
      </c>
      <c r="AH238" s="76">
        <f>AG238*Entradas!$F$99</f>
        <v>0</v>
      </c>
      <c r="AI238" s="76">
        <f>IF(Entradas!$F$91&gt;0,D238*Entradas!$D$23/Escenarios!$F$16,0)</f>
        <v>0.16511890780814437</v>
      </c>
      <c r="AJ238" s="76">
        <f>IF(Entradas!$F$91&gt;0,Entradas!$D$24*Entradas!$D$22/Escenarios!$F$16,0)</f>
        <v>0.12</v>
      </c>
      <c r="AK238" s="76">
        <f t="shared" si="44"/>
        <v>0.19547875549646387</v>
      </c>
      <c r="AL238" s="76">
        <f t="shared" si="45"/>
        <v>0</v>
      </c>
      <c r="AM238" s="76">
        <f t="shared" si="46"/>
        <v>0</v>
      </c>
      <c r="AN238" s="76">
        <f>MAX(0,O238*Escenarios!$F$13/Escenarios!$F$16-AM238)</f>
        <v>1.9659898063019654E-4</v>
      </c>
      <c r="AO238" s="76">
        <f>AM238+AN238-O238*Escenarios!$F$13/Escenarios!$F$16</f>
        <v>0</v>
      </c>
      <c r="AP238" s="76">
        <f t="shared" si="47"/>
        <v>0.27577876198087109</v>
      </c>
      <c r="AQ238" s="76">
        <f t="shared" si="48"/>
        <v>0</v>
      </c>
      <c r="AR238" s="76">
        <f t="shared" si="49"/>
        <v>0.27597536096150127</v>
      </c>
      <c r="AS238" s="76">
        <f t="shared" si="50"/>
        <v>0</v>
      </c>
      <c r="AT238" s="76">
        <f t="shared" si="51"/>
        <v>0</v>
      </c>
      <c r="AU238" s="76">
        <f t="shared" si="52"/>
        <v>50.141474518491947</v>
      </c>
      <c r="AV238" s="76">
        <f>MAX(0,(AU238-Constantes!$D$13)*(1-EXP(-Constantes!$D$24)))</f>
        <v>2.1269031800592753E-2</v>
      </c>
      <c r="AW238" s="170">
        <f>AW237+(Entradas!$F$112*AT238-AX237)/(800*Entradas!$D$25)</f>
        <v>0</v>
      </c>
      <c r="AX238" s="170">
        <f>8000*Entradas!$D$26*AW238/Constantes!$F$45</f>
        <v>0</v>
      </c>
      <c r="AY238" s="170">
        <f>IF(Escenarios!$F$17&gt;0,10*Escenarios!$F$16*AL238,0)</f>
        <v>0</v>
      </c>
      <c r="AZ238" s="170">
        <f>IF(Escenarios!$F$17&gt;0,10*Escenarios!$F$16*AX238,0)</f>
        <v>0</v>
      </c>
      <c r="BA238" s="170">
        <f>IF(Escenarios!$F$17&gt;0,0.001*Observaciones!$F237*Escenarios!$F$17,0)</f>
        <v>0</v>
      </c>
      <c r="BB238" s="170">
        <f>IF(Escenarios!$F$17&gt;0,Observaciones!$K237,0)</f>
        <v>0</v>
      </c>
      <c r="BC238" s="170">
        <f>IF(Escenarios!$F$17&gt;0,MIN(0.0005*ETo!$M237*Escenarios!$F$17*(BG237/Constantes!$F$40)^(2/3),BG237+AY238+AZ238+BA238+BB238),0)</f>
        <v>0</v>
      </c>
      <c r="BD238" s="170">
        <f>IF(Escenarios!$F$17&gt;0,MIN(Constantes!$F$39*(BG237/Constantes!$F$40)^(2/3),BG237+AY238+AZ238+BA238+BB238-BC238),0)</f>
        <v>0</v>
      </c>
      <c r="BE238" s="170">
        <f>IF(Escenarios!$F$17&gt;0,MIN(Entradas!$F$113,BG237+AY238+AZ238+BA238+BB238-BC238-BD238),0)</f>
        <v>0</v>
      </c>
      <c r="BF238" s="170">
        <f>IF(Escenarios!$F$17&gt;0,MAX(0,BG237+AY238+AZ238+BA238+BB238-BC238-BD238-BE238-Constantes!$F$40),0)</f>
        <v>0</v>
      </c>
      <c r="BG238" s="170">
        <f t="shared" si="53"/>
        <v>0</v>
      </c>
      <c r="BH238" s="170">
        <f>(Escenarios!$F$16*AK238+0.1*BC238)/(Escenarios!$F$19)</f>
        <v>0.19547875549646387</v>
      </c>
      <c r="BI238" s="170">
        <f>IF(Escenarios!$F$17&gt;0,BF238/10/Escenarios!$F$19,AL238)</f>
        <v>0</v>
      </c>
      <c r="BJ238" s="170">
        <f>(Escenarios!$F$16*AT238+0.1*BD238)/(Escenarios!$F$19)</f>
        <v>0</v>
      </c>
      <c r="BK238" s="76">
        <f>BK237+(0.1*BD238)/(Escenarios!$F$19)-BL237</f>
        <v>48.75</v>
      </c>
      <c r="BL238" s="76">
        <f>MAX(0,(BK238-Constantes!$D$13)*(1-EXP(-Constantes!$D$23)))</f>
        <v>0</v>
      </c>
      <c r="BM238" s="76">
        <f t="shared" si="54"/>
        <v>0.29704779378146384</v>
      </c>
      <c r="BN238" s="76">
        <f t="shared" si="55"/>
        <v>0.29724439276209402</v>
      </c>
      <c r="BO238" s="76">
        <f>0.0526*BI238*Observaciones!$F237^1.218</f>
        <v>0</v>
      </c>
      <c r="BP238" s="76">
        <f>BO238*Constantes!$F$51</f>
        <v>0</v>
      </c>
      <c r="BQ238" s="76">
        <f t="shared" si="56"/>
        <v>0</v>
      </c>
      <c r="BR238" s="40"/>
    </row>
    <row r="239" spans="2:70">
      <c r="B239" s="39"/>
      <c r="C239" s="75">
        <v>233</v>
      </c>
      <c r="D239" s="146">
        <f>ETo!$I238*((1-Constantes!$F$19)*ETo!$K238+ETo!$L238)</f>
        <v>3.3763054455387271</v>
      </c>
      <c r="E239" s="76">
        <f>MIN(D239*Constantes!$F$17,0.8*(N238+Observaciones!$F238-F239-M239-Constantes!$D$14))</f>
        <v>5.2468316064093303E-3</v>
      </c>
      <c r="F239" s="76">
        <f>IF(Observaciones!$F238&gt;0.05*Constantes!$F$18,((Observaciones!$F238-0.05*Constantes!$F$18)^2)/(Observaciones!$F238+0.95*Constantes!$F$18),0)</f>
        <v>0</v>
      </c>
      <c r="G239" s="76">
        <f>IF(Escenarios!$F$11&gt;0,(F239*Escenarios!$F$16*10000)/1000,0)</f>
        <v>0</v>
      </c>
      <c r="H239" s="76">
        <f>IF(Escenarios!$F$11&gt;0,(Observaciones!$F238*Constantes!$F$29)/1000,0)</f>
        <v>0</v>
      </c>
      <c r="I239" s="76">
        <f>IF(Escenarios!$F$11&gt;0,(D239*Constantes!$F$29)/1000,0)</f>
        <v>0</v>
      </c>
      <c r="J239" s="76">
        <f>IF(Escenarios!$F$11&gt;0,MAX(0,G239+H239-I239),0)</f>
        <v>0</v>
      </c>
      <c r="K239" s="76">
        <f>IF(Escenarios!$F$11&gt;0,IF(J239&gt;Constantes!$F$30,1000*((J239-Constantes!$F$30)/(Escenarios!$F$16*10000)),0),F239)</f>
        <v>0</v>
      </c>
      <c r="L239" s="76">
        <f>IF(Escenarios!$F$11&gt;0,I239*1000/Escenarios!$F$16/10000+E239,E239)</f>
        <v>5.2468316064093303E-3</v>
      </c>
      <c r="M239" s="76">
        <f>MAX(0,N238+Observaciones!$F238-K239-Constantes!$D$13)</f>
        <v>0</v>
      </c>
      <c r="N239" s="76">
        <f>N238+Observaciones!$F238-K239-L239-M239-O238</f>
        <v>11.251088299969068</v>
      </c>
      <c r="O239" s="76">
        <f>MAX(0,(N239-Constantes!$D$14)*(1-EXP(-Constantes!$D$22)))</f>
        <v>3.7071492177418183E-5</v>
      </c>
      <c r="P239" s="170">
        <f>P238+(Entradas!$F$83*M239-Q238)/(800*Entradas!$D$25)</f>
        <v>0</v>
      </c>
      <c r="Q239" s="170">
        <f>8000*Entradas!$D$26*P239/Constantes!$F$45</f>
        <v>0</v>
      </c>
      <c r="R239" s="170">
        <f>IF(Escenarios!$F$14&gt;0,K239*Escenarios!$F$13/Escenarios!$F$14,0)</f>
        <v>0</v>
      </c>
      <c r="S239" s="170">
        <f>IF(Escenarios!$F$14&gt;0,Q239*Escenarios!$F$13/Escenarios!$F$14,0)</f>
        <v>0</v>
      </c>
      <c r="T239" s="170">
        <f>IF(Escenarios!$F$14&gt;0,Observaciones!$I238,0)</f>
        <v>0</v>
      </c>
      <c r="U239" s="170">
        <f>IF(Escenarios!$F$14&gt;0,MAX(0,Constantes!$F$36/((Z238+R239+S239+T239+Observaciones!$F238)^2)+Entradas!$F$77),0)</f>
        <v>0</v>
      </c>
      <c r="V239" s="146">
        <f>IF(ETo!D238&gt;0,ETo!I238*((1-Entradas!$F$81)*ETo!K238+ETo!L238),0)</f>
        <v>2.9724621166193881</v>
      </c>
      <c r="W239" s="170">
        <f>IF(Escenarios!$F$14&gt;0,MIN(V239*1,0.8*(Z238+R239+S239+T239+Observaciones!$F238-U239-Constantes!$F$35)),0)</f>
        <v>4.2244100613913821E-3</v>
      </c>
      <c r="X239" s="170">
        <f>IF(Escenarios!$F$14&gt;0,Observaciones!$J238,0)</f>
        <v>0</v>
      </c>
      <c r="Y239" s="170">
        <f>IF(Escenarios!$F$14&gt;0,MAX(0,Z238+R239+S239+T239+Observaciones!$F238-U239-W239-X239-Constantes!$F$33),0)</f>
        <v>0</v>
      </c>
      <c r="Z239" s="170">
        <f>Z238+R239+S239+T239+Observaciones!$F238-U239-W239-Y239</f>
        <v>41.251056102515349</v>
      </c>
      <c r="AA239" s="170">
        <f>IF(Escenarios!$F$14&gt;0,(Escenarios!$F$13*L239+Escenarios!$F$14*W239)/(Escenarios!$F$16),L239)</f>
        <v>5.1241410210071765E-3</v>
      </c>
      <c r="AB239" s="170">
        <f>IF(Escenarios!$F$14&gt;0,(Escenarios!$F$14*Y239)/(Escenarios!$F$16),K239)</f>
        <v>0</v>
      </c>
      <c r="AC239" s="170">
        <f>IF(Escenarios!$F$14&gt;0,(Escenarios!$F$13*M239+Escenarios!$F$14*U239)/(Escenarios!$F$16),M239)</f>
        <v>0</v>
      </c>
      <c r="AD239" s="76">
        <f t="shared" si="43"/>
        <v>76.46286384489801</v>
      </c>
      <c r="AE239" s="76">
        <f>MAX(0,(AD239-Constantes!$D$13)*(1-EXP(-Constantes!$D$23)))</f>
        <v>0.27306144815368993</v>
      </c>
      <c r="AF239" s="76">
        <f>AB239+O239*Escenarios!$F$13/Escenarios!$F$16+AE239</f>
        <v>0.27309407106680605</v>
      </c>
      <c r="AG239" s="76">
        <f>IF(Entradas!$F$91&gt;0,IF(AF239-Escenarios!$F$38&lt;=0,0,IF(AF239-Escenarios!$F$38&gt;Escenarios!$F$37,Escenarios!$F$37,AF239-Escenarios!$F$38)),0)</f>
        <v>0</v>
      </c>
      <c r="AH239" s="76">
        <f>AG239*Entradas!$F$99</f>
        <v>0</v>
      </c>
      <c r="AI239" s="76">
        <f>IF(Entradas!$F$91&gt;0,D239*Entradas!$D$23/Escenarios!$F$16,0)</f>
        <v>0.16206266138585892</v>
      </c>
      <c r="AJ239" s="76">
        <f>IF(Entradas!$F$91&gt;0,Entradas!$D$24*Entradas!$D$22/Escenarios!$F$16,0)</f>
        <v>0.12</v>
      </c>
      <c r="AK239" s="76">
        <f t="shared" si="44"/>
        <v>0.16718680240686609</v>
      </c>
      <c r="AL239" s="76">
        <f t="shared" si="45"/>
        <v>0</v>
      </c>
      <c r="AM239" s="76">
        <f t="shared" si="46"/>
        <v>0</v>
      </c>
      <c r="AN239" s="76">
        <f>MAX(0,O239*Escenarios!$F$13/Escenarios!$F$16-AM239)</f>
        <v>3.2622913116127998E-5</v>
      </c>
      <c r="AO239" s="76">
        <f>AM239+AN239-O239*Escenarios!$F$13/Escenarios!$F$16</f>
        <v>0</v>
      </c>
      <c r="AP239" s="76">
        <f t="shared" si="47"/>
        <v>0.27306144815368993</v>
      </c>
      <c r="AQ239" s="76">
        <f t="shared" si="48"/>
        <v>0</v>
      </c>
      <c r="AR239" s="76">
        <f t="shared" si="49"/>
        <v>0.27309407106680605</v>
      </c>
      <c r="AS239" s="76">
        <f t="shared" si="50"/>
        <v>0</v>
      </c>
      <c r="AT239" s="76">
        <f t="shared" si="51"/>
        <v>0</v>
      </c>
      <c r="AU239" s="76">
        <f t="shared" si="52"/>
        <v>50.120205486691354</v>
      </c>
      <c r="AV239" s="76">
        <f>MAX(0,(AU239-Constantes!$D$13)*(1-EXP(-Constantes!$D$24)))</f>
        <v>2.0943929394675258E-2</v>
      </c>
      <c r="AW239" s="170">
        <f>AW238+(Entradas!$F$112*AT239-AX238)/(800*Entradas!$D$25)</f>
        <v>0</v>
      </c>
      <c r="AX239" s="170">
        <f>8000*Entradas!$D$26*AW239/Constantes!$F$45</f>
        <v>0</v>
      </c>
      <c r="AY239" s="170">
        <f>IF(Escenarios!$F$17&gt;0,10*Escenarios!$F$16*AL239,0)</f>
        <v>0</v>
      </c>
      <c r="AZ239" s="170">
        <f>IF(Escenarios!$F$17&gt;0,10*Escenarios!$F$16*AX239,0)</f>
        <v>0</v>
      </c>
      <c r="BA239" s="170">
        <f>IF(Escenarios!$F$17&gt;0,0.001*Observaciones!$F238*Escenarios!$F$17,0)</f>
        <v>0</v>
      </c>
      <c r="BB239" s="170">
        <f>IF(Escenarios!$F$17&gt;0,Observaciones!$K238,0)</f>
        <v>0</v>
      </c>
      <c r="BC239" s="170">
        <f>IF(Escenarios!$F$17&gt;0,MIN(0.0005*ETo!$M238*Escenarios!$F$17*(BG238/Constantes!$F$40)^(2/3),BG238+AY239+AZ239+BA239+BB239),0)</f>
        <v>0</v>
      </c>
      <c r="BD239" s="170">
        <f>IF(Escenarios!$F$17&gt;0,MIN(Constantes!$F$39*(BG238/Constantes!$F$40)^(2/3),BG238+AY239+AZ239+BA239+BB239-BC239),0)</f>
        <v>0</v>
      </c>
      <c r="BE239" s="170">
        <f>IF(Escenarios!$F$17&gt;0,MIN(Entradas!$F$113,BG238+AY239+AZ239+BA239+BB239-BC239-BD239),0)</f>
        <v>0</v>
      </c>
      <c r="BF239" s="170">
        <f>IF(Escenarios!$F$17&gt;0,MAX(0,BG238+AY239+AZ239+BA239+BB239-BC239-BD239-BE239-Constantes!$F$40),0)</f>
        <v>0</v>
      </c>
      <c r="BG239" s="170">
        <f t="shared" si="53"/>
        <v>0</v>
      </c>
      <c r="BH239" s="170">
        <f>(Escenarios!$F$16*AK239+0.1*BC239)/(Escenarios!$F$19)</f>
        <v>0.16718680240686609</v>
      </c>
      <c r="BI239" s="170">
        <f>IF(Escenarios!$F$17&gt;0,BF239/10/Escenarios!$F$19,AL239)</f>
        <v>0</v>
      </c>
      <c r="BJ239" s="170">
        <f>(Escenarios!$F$16*AT239+0.1*BD239)/(Escenarios!$F$19)</f>
        <v>0</v>
      </c>
      <c r="BK239" s="76">
        <f>BK238+(0.1*BD239)/(Escenarios!$F$19)-BL238</f>
        <v>48.75</v>
      </c>
      <c r="BL239" s="76">
        <f>MAX(0,(BK239-Constantes!$D$13)*(1-EXP(-Constantes!$D$23)))</f>
        <v>0</v>
      </c>
      <c r="BM239" s="76">
        <f t="shared" si="54"/>
        <v>0.2940053775483652</v>
      </c>
      <c r="BN239" s="76">
        <f t="shared" si="55"/>
        <v>0.29403800046148132</v>
      </c>
      <c r="BO239" s="76">
        <f>0.0526*BI239*Observaciones!$F238^1.218</f>
        <v>0</v>
      </c>
      <c r="BP239" s="76">
        <f>BO239*Constantes!$F$51</f>
        <v>0</v>
      </c>
      <c r="BQ239" s="76">
        <f t="shared" si="56"/>
        <v>0</v>
      </c>
      <c r="BR239" s="40"/>
    </row>
    <row r="240" spans="2:70">
      <c r="B240" s="39"/>
      <c r="C240" s="75">
        <v>234</v>
      </c>
      <c r="D240" s="146">
        <f>ETo!$I239*((1-Constantes!$F$19)*ETo!$K239+ETo!$L239)</f>
        <v>3.579919935669412</v>
      </c>
      <c r="E240" s="76">
        <f>MIN(D240*Constantes!$F$17,0.8*(N239+Observaciones!$F239-F240-M240-Constantes!$D$14))</f>
        <v>8.7063997525405057E-4</v>
      </c>
      <c r="F240" s="76">
        <f>IF(Observaciones!$F239&gt;0.05*Constantes!$F$18,((Observaciones!$F239-0.05*Constantes!$F$18)^2)/(Observaciones!$F239+0.95*Constantes!$F$18),0)</f>
        <v>0</v>
      </c>
      <c r="G240" s="76">
        <f>IF(Escenarios!$F$11&gt;0,(F240*Escenarios!$F$16*10000)/1000,0)</f>
        <v>0</v>
      </c>
      <c r="H240" s="76">
        <f>IF(Escenarios!$F$11&gt;0,(Observaciones!$F239*Constantes!$F$29)/1000,0)</f>
        <v>0</v>
      </c>
      <c r="I240" s="76">
        <f>IF(Escenarios!$F$11&gt;0,(D240*Constantes!$F$29)/1000,0)</f>
        <v>0</v>
      </c>
      <c r="J240" s="76">
        <f>IF(Escenarios!$F$11&gt;0,MAX(0,G240+H240-I240),0)</f>
        <v>0</v>
      </c>
      <c r="K240" s="76">
        <f>IF(Escenarios!$F$11&gt;0,IF(J240&gt;Constantes!$F$30,1000*((J240-Constantes!$F$30)/(Escenarios!$F$16*10000)),0),F240)</f>
        <v>0</v>
      </c>
      <c r="L240" s="76">
        <f>IF(Escenarios!$F$11&gt;0,I240*1000/Escenarios!$F$16/10000+E240,E240)</f>
        <v>8.7063997525405057E-4</v>
      </c>
      <c r="M240" s="76">
        <f>MAX(0,N239+Observaciones!$F239-K240-Constantes!$D$13)</f>
        <v>0</v>
      </c>
      <c r="N240" s="76">
        <f>N239+Observaciones!$F239-K240-L240-M240-O239</f>
        <v>11.250180588501635</v>
      </c>
      <c r="O240" s="76">
        <f>MAX(0,(N240-Constantes!$D$14)*(1-EXP(-Constantes!$D$22)))</f>
        <v>6.1515073196588335E-6</v>
      </c>
      <c r="P240" s="170">
        <f>P239+(Entradas!$F$83*M240-Q239)/(800*Entradas!$D$25)</f>
        <v>0</v>
      </c>
      <c r="Q240" s="170">
        <f>8000*Entradas!$D$26*P240/Constantes!$F$45</f>
        <v>0</v>
      </c>
      <c r="R240" s="170">
        <f>IF(Escenarios!$F$14&gt;0,K240*Escenarios!$F$13/Escenarios!$F$14,0)</f>
        <v>0</v>
      </c>
      <c r="S240" s="170">
        <f>IF(Escenarios!$F$14&gt;0,Q240*Escenarios!$F$13/Escenarios!$F$14,0)</f>
        <v>0</v>
      </c>
      <c r="T240" s="170">
        <f>IF(Escenarios!$F$14&gt;0,Observaciones!$I239,0)</f>
        <v>0</v>
      </c>
      <c r="U240" s="170">
        <f>IF(Escenarios!$F$14&gt;0,MAX(0,Constantes!$F$36/((Z239+R240+S240+T240+Observaciones!$F239)^2)+Entradas!$F$77),0)</f>
        <v>0</v>
      </c>
      <c r="V240" s="146">
        <f>IF(ETo!D239&gt;0,ETo!I239*((1-Entradas!$F$81)*ETo!K239+ETo!L239),0)</f>
        <v>3.1554128720751762</v>
      </c>
      <c r="W240" s="170">
        <f>IF(Escenarios!$F$14&gt;0,MIN(V240*1,0.8*(Z239+R240+S240+T240+Observaciones!$F239-U240-Constantes!$F$35)),0)</f>
        <v>8.448820122794132E-4</v>
      </c>
      <c r="X240" s="170">
        <f>IF(Escenarios!$F$14&gt;0,Observaciones!$J239,0)</f>
        <v>0</v>
      </c>
      <c r="Y240" s="170">
        <f>IF(Escenarios!$F$14&gt;0,MAX(0,Z239+R240+S240+T240+Observaciones!$F239-U240-W240-X240-Constantes!$F$33),0)</f>
        <v>0</v>
      </c>
      <c r="Z240" s="170">
        <f>Z239+R240+S240+T240+Observaciones!$F239-U240-W240-Y240</f>
        <v>41.250211220503068</v>
      </c>
      <c r="AA240" s="170">
        <f>IF(Escenarios!$F$14&gt;0,(Escenarios!$F$13*L240+Escenarios!$F$14*W240)/(Escenarios!$F$16),L240)</f>
        <v>8.6754901969709412E-4</v>
      </c>
      <c r="AB240" s="170">
        <f>IF(Escenarios!$F$14&gt;0,(Escenarios!$F$14*Y240)/(Escenarios!$F$16),K240)</f>
        <v>0</v>
      </c>
      <c r="AC240" s="170">
        <f>IF(Escenarios!$F$14&gt;0,(Escenarios!$F$13*M240+Escenarios!$F$14*U240)/(Escenarios!$F$16),M240)</f>
        <v>0</v>
      </c>
      <c r="AD240" s="76">
        <f t="shared" si="43"/>
        <v>76.189802396744327</v>
      </c>
      <c r="AE240" s="76">
        <f>MAX(0,(AD240-Constantes!$D$13)*(1-EXP(-Constantes!$D$23)))</f>
        <v>0.27037090866686186</v>
      </c>
      <c r="AF240" s="76">
        <f>AB240+O240*Escenarios!$F$13/Escenarios!$F$16+AE240</f>
        <v>0.27037632199330314</v>
      </c>
      <c r="AG240" s="76">
        <f>IF(Entradas!$F$91&gt;0,IF(AF240-Escenarios!$F$38&lt;=0,0,IF(AF240-Escenarios!$F$38&gt;Escenarios!$F$37,Escenarios!$F$37,AF240-Escenarios!$F$38)),0)</f>
        <v>0</v>
      </c>
      <c r="AH240" s="76">
        <f>AG240*Entradas!$F$99</f>
        <v>0</v>
      </c>
      <c r="AI240" s="76">
        <f>IF(Entradas!$F$91&gt;0,D240*Entradas!$D$23/Escenarios!$F$16,0)</f>
        <v>0.17183615691213178</v>
      </c>
      <c r="AJ240" s="76">
        <f>IF(Entradas!$F$91&gt;0,Entradas!$D$24*Entradas!$D$22/Escenarios!$F$16,0)</f>
        <v>0.12</v>
      </c>
      <c r="AK240" s="76">
        <f t="shared" si="44"/>
        <v>0.17270370593182888</v>
      </c>
      <c r="AL240" s="76">
        <f t="shared" si="45"/>
        <v>0</v>
      </c>
      <c r="AM240" s="76">
        <f t="shared" si="46"/>
        <v>0</v>
      </c>
      <c r="AN240" s="76">
        <f>MAX(0,O240*Escenarios!$F$13/Escenarios!$F$16-AM240)</f>
        <v>5.4133264412997734E-6</v>
      </c>
      <c r="AO240" s="76">
        <f>AM240+AN240-O240*Escenarios!$F$13/Escenarios!$F$16</f>
        <v>0</v>
      </c>
      <c r="AP240" s="76">
        <f t="shared" si="47"/>
        <v>0.27037090866686186</v>
      </c>
      <c r="AQ240" s="76">
        <f t="shared" si="48"/>
        <v>0</v>
      </c>
      <c r="AR240" s="76">
        <f t="shared" si="49"/>
        <v>0.27037632199330314</v>
      </c>
      <c r="AS240" s="76">
        <f t="shared" si="50"/>
        <v>0</v>
      </c>
      <c r="AT240" s="76">
        <f t="shared" si="51"/>
        <v>0</v>
      </c>
      <c r="AU240" s="76">
        <f t="shared" si="52"/>
        <v>50.099261557296678</v>
      </c>
      <c r="AV240" s="76">
        <f>MAX(0,(AU240-Constantes!$D$13)*(1-EXP(-Constantes!$D$24)))</f>
        <v>2.0623796259353809E-2</v>
      </c>
      <c r="AW240" s="170">
        <f>AW239+(Entradas!$F$112*AT240-AX239)/(800*Entradas!$D$25)</f>
        <v>0</v>
      </c>
      <c r="AX240" s="170">
        <f>8000*Entradas!$D$26*AW240/Constantes!$F$45</f>
        <v>0</v>
      </c>
      <c r="AY240" s="170">
        <f>IF(Escenarios!$F$17&gt;0,10*Escenarios!$F$16*AL240,0)</f>
        <v>0</v>
      </c>
      <c r="AZ240" s="170">
        <f>IF(Escenarios!$F$17&gt;0,10*Escenarios!$F$16*AX240,0)</f>
        <v>0</v>
      </c>
      <c r="BA240" s="170">
        <f>IF(Escenarios!$F$17&gt;0,0.001*Observaciones!$F239*Escenarios!$F$17,0)</f>
        <v>0</v>
      </c>
      <c r="BB240" s="170">
        <f>IF(Escenarios!$F$17&gt;0,Observaciones!$K239,0)</f>
        <v>0</v>
      </c>
      <c r="BC240" s="170">
        <f>IF(Escenarios!$F$17&gt;0,MIN(0.0005*ETo!$M239*Escenarios!$F$17*(BG239/Constantes!$F$40)^(2/3),BG239+AY240+AZ240+BA240+BB240),0)</f>
        <v>0</v>
      </c>
      <c r="BD240" s="170">
        <f>IF(Escenarios!$F$17&gt;0,MIN(Constantes!$F$39*(BG239/Constantes!$F$40)^(2/3),BG239+AY240+AZ240+BA240+BB240-BC240),0)</f>
        <v>0</v>
      </c>
      <c r="BE240" s="170">
        <f>IF(Escenarios!$F$17&gt;0,MIN(Entradas!$F$113,BG239+AY240+AZ240+BA240+BB240-BC240-BD240),0)</f>
        <v>0</v>
      </c>
      <c r="BF240" s="170">
        <f>IF(Escenarios!$F$17&gt;0,MAX(0,BG239+AY240+AZ240+BA240+BB240-BC240-BD240-BE240-Constantes!$F$40),0)</f>
        <v>0</v>
      </c>
      <c r="BG240" s="170">
        <f t="shared" si="53"/>
        <v>0</v>
      </c>
      <c r="BH240" s="170">
        <f>(Escenarios!$F$16*AK240+0.1*BC240)/(Escenarios!$F$19)</f>
        <v>0.17270370593182888</v>
      </c>
      <c r="BI240" s="170">
        <f>IF(Escenarios!$F$17&gt;0,BF240/10/Escenarios!$F$19,AL240)</f>
        <v>0</v>
      </c>
      <c r="BJ240" s="170">
        <f>(Escenarios!$F$16*AT240+0.1*BD240)/(Escenarios!$F$19)</f>
        <v>0</v>
      </c>
      <c r="BK240" s="76">
        <f>BK239+(0.1*BD240)/(Escenarios!$F$19)-BL239</f>
        <v>48.75</v>
      </c>
      <c r="BL240" s="76">
        <f>MAX(0,(BK240-Constantes!$D$13)*(1-EXP(-Constantes!$D$23)))</f>
        <v>0</v>
      </c>
      <c r="BM240" s="76">
        <f t="shared" si="54"/>
        <v>0.29099470492621565</v>
      </c>
      <c r="BN240" s="76">
        <f t="shared" si="55"/>
        <v>0.29100011825265693</v>
      </c>
      <c r="BO240" s="76">
        <f>0.0526*BI240*Observaciones!$F239^1.218</f>
        <v>0</v>
      </c>
      <c r="BP240" s="76">
        <f>BO240*Constantes!$F$51</f>
        <v>0</v>
      </c>
      <c r="BQ240" s="76">
        <f t="shared" si="56"/>
        <v>0</v>
      </c>
      <c r="BR240" s="40"/>
    </row>
    <row r="241" spans="2:70">
      <c r="B241" s="39"/>
      <c r="C241" s="75">
        <v>235</v>
      </c>
      <c r="D241" s="146">
        <f>ETo!$I240*((1-Constantes!$F$19)*ETo!$K240+ETo!$L240)</f>
        <v>3.4434673014867281</v>
      </c>
      <c r="E241" s="76">
        <f>MIN(D241*Constantes!$F$17,0.8*(N240+Observaciones!$F240-F241-M241-Constantes!$D$14))</f>
        <v>1.4447080130821632E-4</v>
      </c>
      <c r="F241" s="76">
        <f>IF(Observaciones!$F240&gt;0.05*Constantes!$F$18,((Observaciones!$F240-0.05*Constantes!$F$18)^2)/(Observaciones!$F240+0.95*Constantes!$F$18),0)</f>
        <v>0</v>
      </c>
      <c r="G241" s="76">
        <f>IF(Escenarios!$F$11&gt;0,(F241*Escenarios!$F$16*10000)/1000,0)</f>
        <v>0</v>
      </c>
      <c r="H241" s="76">
        <f>IF(Escenarios!$F$11&gt;0,(Observaciones!$F240*Constantes!$F$29)/1000,0)</f>
        <v>0</v>
      </c>
      <c r="I241" s="76">
        <f>IF(Escenarios!$F$11&gt;0,(D241*Constantes!$F$29)/1000,0)</f>
        <v>0</v>
      </c>
      <c r="J241" s="76">
        <f>IF(Escenarios!$F$11&gt;0,MAX(0,G241+H241-I241),0)</f>
        <v>0</v>
      </c>
      <c r="K241" s="76">
        <f>IF(Escenarios!$F$11&gt;0,IF(J241&gt;Constantes!$F$30,1000*((J241-Constantes!$F$30)/(Escenarios!$F$16*10000)),0),F241)</f>
        <v>0</v>
      </c>
      <c r="L241" s="76">
        <f>IF(Escenarios!$F$11&gt;0,I241*1000/Escenarios!$F$16/10000+E241,E241)</f>
        <v>1.4447080130821632E-4</v>
      </c>
      <c r="M241" s="76">
        <f>MAX(0,N240+Observaciones!$F240-K241-Constantes!$D$13)</f>
        <v>0</v>
      </c>
      <c r="N241" s="76">
        <f>N240+Observaciones!$F240-K241-L241-M241-O240</f>
        <v>11.250029966193008</v>
      </c>
      <c r="O241" s="76">
        <f>MAX(0,(N241-Constantes!$D$14)*(1-EXP(-Constantes!$D$22)))</f>
        <v>1.0207585419950105E-6</v>
      </c>
      <c r="P241" s="170">
        <f>P240+(Entradas!$F$83*M241-Q240)/(800*Entradas!$D$25)</f>
        <v>0</v>
      </c>
      <c r="Q241" s="170">
        <f>8000*Entradas!$D$26*P241/Constantes!$F$45</f>
        <v>0</v>
      </c>
      <c r="R241" s="170">
        <f>IF(Escenarios!$F$14&gt;0,K241*Escenarios!$F$13/Escenarios!$F$14,0)</f>
        <v>0</v>
      </c>
      <c r="S241" s="170">
        <f>IF(Escenarios!$F$14&gt;0,Q241*Escenarios!$F$13/Escenarios!$F$14,0)</f>
        <v>0</v>
      </c>
      <c r="T241" s="170">
        <f>IF(Escenarios!$F$14&gt;0,Observaciones!$I240,0)</f>
        <v>0</v>
      </c>
      <c r="U241" s="170">
        <f>IF(Escenarios!$F$14&gt;0,MAX(0,Constantes!$F$36/((Z240+R241+S241+T241+Observaciones!$F240)^2)+Entradas!$F$77),0)</f>
        <v>0</v>
      </c>
      <c r="V241" s="146">
        <f>IF(ETo!D240&gt;0,ETo!I240*((1-Entradas!$F$81)*ETo!K240+ETo!L240),0)</f>
        <v>3.0333496316316371</v>
      </c>
      <c r="W241" s="170">
        <f>IF(Escenarios!$F$14&gt;0,MIN(V241*1,0.8*(Z240+R241+S241+T241+Observaciones!$F240-U241-Constantes!$F$35)),0)</f>
        <v>1.6897640245474579E-4</v>
      </c>
      <c r="X241" s="170">
        <f>IF(Escenarios!$F$14&gt;0,Observaciones!$J240,0)</f>
        <v>0</v>
      </c>
      <c r="Y241" s="170">
        <f>IF(Escenarios!$F$14&gt;0,MAX(0,Z240+R241+S241+T241+Observaciones!$F240-U241-W241-X241-Constantes!$F$33),0)</f>
        <v>0</v>
      </c>
      <c r="Z241" s="170">
        <f>Z240+R241+S241+T241+Observaciones!$F240-U241-W241-Y241</f>
        <v>41.250042244100612</v>
      </c>
      <c r="AA241" s="170">
        <f>IF(Escenarios!$F$14&gt;0,(Escenarios!$F$13*L241+Escenarios!$F$14*W241)/(Escenarios!$F$16),L241)</f>
        <v>1.4741147344579986E-4</v>
      </c>
      <c r="AB241" s="170">
        <f>IF(Escenarios!$F$14&gt;0,(Escenarios!$F$14*Y241)/(Escenarios!$F$16),K241)</f>
        <v>0</v>
      </c>
      <c r="AC241" s="170">
        <f>IF(Escenarios!$F$14&gt;0,(Escenarios!$F$13*M241+Escenarios!$F$14*U241)/(Escenarios!$F$16),M241)</f>
        <v>0</v>
      </c>
      <c r="AD241" s="76">
        <f t="shared" si="43"/>
        <v>75.919431488077464</v>
      </c>
      <c r="AE241" s="76">
        <f>MAX(0,(AD241-Constantes!$D$13)*(1-EXP(-Constantes!$D$23)))</f>
        <v>0.26770687970643398</v>
      </c>
      <c r="AF241" s="76">
        <f>AB241+O241*Escenarios!$F$13/Escenarios!$F$16+AE241</f>
        <v>0.26770777797395096</v>
      </c>
      <c r="AG241" s="76">
        <f>IF(Entradas!$F$91&gt;0,IF(AF241-Escenarios!$F$38&lt;=0,0,IF(AF241-Escenarios!$F$38&gt;Escenarios!$F$37,Escenarios!$F$37,AF241-Escenarios!$F$38)),0)</f>
        <v>0</v>
      </c>
      <c r="AH241" s="76">
        <f>AG241*Entradas!$F$99</f>
        <v>0</v>
      </c>
      <c r="AI241" s="76">
        <f>IF(Entradas!$F$91&gt;0,D241*Entradas!$D$23/Escenarios!$F$16,0)</f>
        <v>0.16528643047136296</v>
      </c>
      <c r="AJ241" s="76">
        <f>IF(Entradas!$F$91&gt;0,Entradas!$D$24*Entradas!$D$22/Escenarios!$F$16,0)</f>
        <v>0.12</v>
      </c>
      <c r="AK241" s="76">
        <f t="shared" si="44"/>
        <v>0.16543384194480876</v>
      </c>
      <c r="AL241" s="76">
        <f t="shared" si="45"/>
        <v>0</v>
      </c>
      <c r="AM241" s="76">
        <f t="shared" si="46"/>
        <v>0</v>
      </c>
      <c r="AN241" s="76">
        <f>MAX(0,O241*Escenarios!$F$13/Escenarios!$F$16-AM241)</f>
        <v>8.9826751695560928E-7</v>
      </c>
      <c r="AO241" s="76">
        <f>AM241+AN241-O241*Escenarios!$F$13/Escenarios!$F$16</f>
        <v>0</v>
      </c>
      <c r="AP241" s="76">
        <f t="shared" si="47"/>
        <v>0.26770687970643398</v>
      </c>
      <c r="AQ241" s="76">
        <f t="shared" si="48"/>
        <v>0</v>
      </c>
      <c r="AR241" s="76">
        <f t="shared" si="49"/>
        <v>0.26770777797395096</v>
      </c>
      <c r="AS241" s="76">
        <f t="shared" si="50"/>
        <v>0</v>
      </c>
      <c r="AT241" s="76">
        <f t="shared" si="51"/>
        <v>0</v>
      </c>
      <c r="AU241" s="76">
        <f t="shared" si="52"/>
        <v>50.078637761037328</v>
      </c>
      <c r="AV241" s="76">
        <f>MAX(0,(AU241-Constantes!$D$13)*(1-EXP(-Constantes!$D$24)))</f>
        <v>2.0308556438099683E-2</v>
      </c>
      <c r="AW241" s="170">
        <f>AW240+(Entradas!$F$112*AT241-AX240)/(800*Entradas!$D$25)</f>
        <v>0</v>
      </c>
      <c r="AX241" s="170">
        <f>8000*Entradas!$D$26*AW241/Constantes!$F$45</f>
        <v>0</v>
      </c>
      <c r="AY241" s="170">
        <f>IF(Escenarios!$F$17&gt;0,10*Escenarios!$F$16*AL241,0)</f>
        <v>0</v>
      </c>
      <c r="AZ241" s="170">
        <f>IF(Escenarios!$F$17&gt;0,10*Escenarios!$F$16*AX241,0)</f>
        <v>0</v>
      </c>
      <c r="BA241" s="170">
        <f>IF(Escenarios!$F$17&gt;0,0.001*Observaciones!$F240*Escenarios!$F$17,0)</f>
        <v>0</v>
      </c>
      <c r="BB241" s="170">
        <f>IF(Escenarios!$F$17&gt;0,Observaciones!$K240,0)</f>
        <v>0</v>
      </c>
      <c r="BC241" s="170">
        <f>IF(Escenarios!$F$17&gt;0,MIN(0.0005*ETo!$M240*Escenarios!$F$17*(BG240/Constantes!$F$40)^(2/3),BG240+AY241+AZ241+BA241+BB241),0)</f>
        <v>0</v>
      </c>
      <c r="BD241" s="170">
        <f>IF(Escenarios!$F$17&gt;0,MIN(Constantes!$F$39*(BG240/Constantes!$F$40)^(2/3),BG240+AY241+AZ241+BA241+BB241-BC241),0)</f>
        <v>0</v>
      </c>
      <c r="BE241" s="170">
        <f>IF(Escenarios!$F$17&gt;0,MIN(Entradas!$F$113,BG240+AY241+AZ241+BA241+BB241-BC241-BD241),0)</f>
        <v>0</v>
      </c>
      <c r="BF241" s="170">
        <f>IF(Escenarios!$F$17&gt;0,MAX(0,BG240+AY241+AZ241+BA241+BB241-BC241-BD241-BE241-Constantes!$F$40),0)</f>
        <v>0</v>
      </c>
      <c r="BG241" s="170">
        <f t="shared" si="53"/>
        <v>0</v>
      </c>
      <c r="BH241" s="170">
        <f>(Escenarios!$F$16*AK241+0.1*BC241)/(Escenarios!$F$19)</f>
        <v>0.16543384194480876</v>
      </c>
      <c r="BI241" s="170">
        <f>IF(Escenarios!$F$17&gt;0,BF241/10/Escenarios!$F$19,AL241)</f>
        <v>0</v>
      </c>
      <c r="BJ241" s="170">
        <f>(Escenarios!$F$16*AT241+0.1*BD241)/(Escenarios!$F$19)</f>
        <v>0</v>
      </c>
      <c r="BK241" s="76">
        <f>BK240+(0.1*BD241)/(Escenarios!$F$19)-BL240</f>
        <v>48.75</v>
      </c>
      <c r="BL241" s="76">
        <f>MAX(0,(BK241-Constantes!$D$13)*(1-EXP(-Constantes!$D$23)))</f>
        <v>0</v>
      </c>
      <c r="BM241" s="76">
        <f t="shared" si="54"/>
        <v>0.28801543614453368</v>
      </c>
      <c r="BN241" s="76">
        <f t="shared" si="55"/>
        <v>0.28801633441205066</v>
      </c>
      <c r="BO241" s="76">
        <f>0.0526*BI241*Observaciones!$F240^1.218</f>
        <v>0</v>
      </c>
      <c r="BP241" s="76">
        <f>BO241*Constantes!$F$51</f>
        <v>0</v>
      </c>
      <c r="BQ241" s="76">
        <f t="shared" si="56"/>
        <v>0</v>
      </c>
      <c r="BR241" s="40"/>
    </row>
    <row r="242" spans="2:70">
      <c r="B242" s="39"/>
      <c r="C242" s="75">
        <v>236</v>
      </c>
      <c r="D242" s="146">
        <f>ETo!$I241*((1-Constantes!$F$19)*ETo!$K241+ETo!$L241)</f>
        <v>3.484878948365294</v>
      </c>
      <c r="E242" s="76">
        <f>MIN(D242*Constantes!$F$17,0.8*(N241+Observaciones!$F241-F242-M242-Constantes!$D$14))</f>
        <v>2.3972954406303873E-5</v>
      </c>
      <c r="F242" s="76">
        <f>IF(Observaciones!$F241&gt;0.05*Constantes!$F$18,((Observaciones!$F241-0.05*Constantes!$F$18)^2)/(Observaciones!$F241+0.95*Constantes!$F$18),0)</f>
        <v>0</v>
      </c>
      <c r="G242" s="76">
        <f>IF(Escenarios!$F$11&gt;0,(F242*Escenarios!$F$16*10000)/1000,0)</f>
        <v>0</v>
      </c>
      <c r="H242" s="76">
        <f>IF(Escenarios!$F$11&gt;0,(Observaciones!$F241*Constantes!$F$29)/1000,0)</f>
        <v>0</v>
      </c>
      <c r="I242" s="76">
        <f>IF(Escenarios!$F$11&gt;0,(D242*Constantes!$F$29)/1000,0)</f>
        <v>0</v>
      </c>
      <c r="J242" s="76">
        <f>IF(Escenarios!$F$11&gt;0,MAX(0,G242+H242-I242),0)</f>
        <v>0</v>
      </c>
      <c r="K242" s="76">
        <f>IF(Escenarios!$F$11&gt;0,IF(J242&gt;Constantes!$F$30,1000*((J242-Constantes!$F$30)/(Escenarios!$F$16*10000)),0),F242)</f>
        <v>0</v>
      </c>
      <c r="L242" s="76">
        <f>IF(Escenarios!$F$11&gt;0,I242*1000/Escenarios!$F$16/10000+E242,E242)</f>
        <v>2.3972954406303873E-5</v>
      </c>
      <c r="M242" s="76">
        <f>MAX(0,N241+Observaciones!$F241-K242-Constantes!$D$13)</f>
        <v>0</v>
      </c>
      <c r="N242" s="76">
        <f>N241+Observaciones!$F241-K242-L242-M242-O241</f>
        <v>11.25000497248006</v>
      </c>
      <c r="O242" s="76">
        <f>MAX(0,(N242-Constantes!$D$14)*(1-EXP(-Constantes!$D$22)))</f>
        <v>1.6938092518159562E-7</v>
      </c>
      <c r="P242" s="170">
        <f>P241+(Entradas!$F$83*M242-Q241)/(800*Entradas!$D$25)</f>
        <v>0</v>
      </c>
      <c r="Q242" s="170">
        <f>8000*Entradas!$D$26*P242/Constantes!$F$45</f>
        <v>0</v>
      </c>
      <c r="R242" s="170">
        <f>IF(Escenarios!$F$14&gt;0,K242*Escenarios!$F$13/Escenarios!$F$14,0)</f>
        <v>0</v>
      </c>
      <c r="S242" s="170">
        <f>IF(Escenarios!$F$14&gt;0,Q242*Escenarios!$F$13/Escenarios!$F$14,0)</f>
        <v>0</v>
      </c>
      <c r="T242" s="170">
        <f>IF(Escenarios!$F$14&gt;0,Observaciones!$I241,0)</f>
        <v>0</v>
      </c>
      <c r="U242" s="170">
        <f>IF(Escenarios!$F$14&gt;0,MAX(0,Constantes!$F$36/((Z241+R242+S242+T242+Observaciones!$F241)^2)+Entradas!$F$77),0)</f>
        <v>0</v>
      </c>
      <c r="V242" s="146">
        <f>IF(ETo!D241&gt;0,ETo!I241*((1-Entradas!$F$81)*ETo!K241+ETo!L241),0)</f>
        <v>3.0708205344834028</v>
      </c>
      <c r="W242" s="170">
        <f>IF(Escenarios!$F$14&gt;0,MIN(V242*1,0.8*(Z241+R242+S242+T242+Observaciones!$F241-U242-Constantes!$F$35)),0)</f>
        <v>3.3795280489812289E-5</v>
      </c>
      <c r="X242" s="170">
        <f>IF(Escenarios!$F$14&gt;0,Observaciones!$J241,0)</f>
        <v>0</v>
      </c>
      <c r="Y242" s="170">
        <f>IF(Escenarios!$F$14&gt;0,MAX(0,Z241+R242+S242+T242+Observaciones!$F241-U242-W242-X242-Constantes!$F$33),0)</f>
        <v>0</v>
      </c>
      <c r="Z242" s="170">
        <f>Z241+R242+S242+T242+Observaciones!$F241-U242-W242-Y242</f>
        <v>41.250008448820125</v>
      </c>
      <c r="AA242" s="170">
        <f>IF(Escenarios!$F$14&gt;0,(Escenarios!$F$13*L242+Escenarios!$F$14*W242)/(Escenarios!$F$16),L242)</f>
        <v>2.5151633536324882E-5</v>
      </c>
      <c r="AB242" s="170">
        <f>IF(Escenarios!$F$14&gt;0,(Escenarios!$F$14*Y242)/(Escenarios!$F$16),K242)</f>
        <v>0</v>
      </c>
      <c r="AC242" s="170">
        <f>IF(Escenarios!$F$14&gt;0,(Escenarios!$F$13*M242+Escenarios!$F$14*U242)/(Escenarios!$F$16),M242)</f>
        <v>0</v>
      </c>
      <c r="AD242" s="76">
        <f t="shared" si="43"/>
        <v>75.651724608371026</v>
      </c>
      <c r="AE242" s="76">
        <f>MAX(0,(AD242-Constantes!$D$13)*(1-EXP(-Constantes!$D$23)))</f>
        <v>0.26506910005787548</v>
      </c>
      <c r="AF242" s="76">
        <f>AB242+O242*Escenarios!$F$13/Escenarios!$F$16+AE242</f>
        <v>0.26506924911308966</v>
      </c>
      <c r="AG242" s="76">
        <f>IF(Entradas!$F$91&gt;0,IF(AF242-Escenarios!$F$38&lt;=0,0,IF(AF242-Escenarios!$F$38&gt;Escenarios!$F$37,Escenarios!$F$37,AF242-Escenarios!$F$38)),0)</f>
        <v>0</v>
      </c>
      <c r="AH242" s="76">
        <f>AG242*Entradas!$F$99</f>
        <v>0</v>
      </c>
      <c r="AI242" s="76">
        <f>IF(Entradas!$F$91&gt;0,D242*Entradas!$D$23/Escenarios!$F$16,0)</f>
        <v>0.16727418952153411</v>
      </c>
      <c r="AJ242" s="76">
        <f>IF(Entradas!$F$91&gt;0,Entradas!$D$24*Entradas!$D$22/Escenarios!$F$16,0)</f>
        <v>0.12</v>
      </c>
      <c r="AK242" s="76">
        <f t="shared" si="44"/>
        <v>0.16729934115507045</v>
      </c>
      <c r="AL242" s="76">
        <f t="shared" si="45"/>
        <v>0</v>
      </c>
      <c r="AM242" s="76">
        <f t="shared" si="46"/>
        <v>0</v>
      </c>
      <c r="AN242" s="76">
        <f>MAX(0,O242*Escenarios!$F$13/Escenarios!$F$16-AM242)</f>
        <v>1.4905521415980414E-7</v>
      </c>
      <c r="AO242" s="76">
        <f>AM242+AN242-O242*Escenarios!$F$13/Escenarios!$F$16</f>
        <v>0</v>
      </c>
      <c r="AP242" s="76">
        <f t="shared" si="47"/>
        <v>0.26506910005787548</v>
      </c>
      <c r="AQ242" s="76">
        <f t="shared" si="48"/>
        <v>0</v>
      </c>
      <c r="AR242" s="76">
        <f t="shared" si="49"/>
        <v>0.26506924911308966</v>
      </c>
      <c r="AS242" s="76">
        <f t="shared" si="50"/>
        <v>0</v>
      </c>
      <c r="AT242" s="76">
        <f t="shared" si="51"/>
        <v>0</v>
      </c>
      <c r="AU242" s="76">
        <f t="shared" si="52"/>
        <v>50.058329204599225</v>
      </c>
      <c r="AV242" s="76">
        <f>MAX(0,(AU242-Constantes!$D$13)*(1-EXP(-Constantes!$D$24)))</f>
        <v>1.9998135135398235E-2</v>
      </c>
      <c r="AW242" s="170">
        <f>AW241+(Entradas!$F$112*AT242-AX241)/(800*Entradas!$D$25)</f>
        <v>0</v>
      </c>
      <c r="AX242" s="170">
        <f>8000*Entradas!$D$26*AW242/Constantes!$F$45</f>
        <v>0</v>
      </c>
      <c r="AY242" s="170">
        <f>IF(Escenarios!$F$17&gt;0,10*Escenarios!$F$16*AL242,0)</f>
        <v>0</v>
      </c>
      <c r="AZ242" s="170">
        <f>IF(Escenarios!$F$17&gt;0,10*Escenarios!$F$16*AX242,0)</f>
        <v>0</v>
      </c>
      <c r="BA242" s="170">
        <f>IF(Escenarios!$F$17&gt;0,0.001*Observaciones!$F241*Escenarios!$F$17,0)</f>
        <v>0</v>
      </c>
      <c r="BB242" s="170">
        <f>IF(Escenarios!$F$17&gt;0,Observaciones!$K241,0)</f>
        <v>0</v>
      </c>
      <c r="BC242" s="170">
        <f>IF(Escenarios!$F$17&gt;0,MIN(0.0005*ETo!$M241*Escenarios!$F$17*(BG241/Constantes!$F$40)^(2/3),BG241+AY242+AZ242+BA242+BB242),0)</f>
        <v>0</v>
      </c>
      <c r="BD242" s="170">
        <f>IF(Escenarios!$F$17&gt;0,MIN(Constantes!$F$39*(BG241/Constantes!$F$40)^(2/3),BG241+AY242+AZ242+BA242+BB242-BC242),0)</f>
        <v>0</v>
      </c>
      <c r="BE242" s="170">
        <f>IF(Escenarios!$F$17&gt;0,MIN(Entradas!$F$113,BG241+AY242+AZ242+BA242+BB242-BC242-BD242),0)</f>
        <v>0</v>
      </c>
      <c r="BF242" s="170">
        <f>IF(Escenarios!$F$17&gt;0,MAX(0,BG241+AY242+AZ242+BA242+BB242-BC242-BD242-BE242-Constantes!$F$40),0)</f>
        <v>0</v>
      </c>
      <c r="BG242" s="170">
        <f t="shared" si="53"/>
        <v>0</v>
      </c>
      <c r="BH242" s="170">
        <f>(Escenarios!$F$16*AK242+0.1*BC242)/(Escenarios!$F$19)</f>
        <v>0.16729934115507045</v>
      </c>
      <c r="BI242" s="170">
        <f>IF(Escenarios!$F$17&gt;0,BF242/10/Escenarios!$F$19,AL242)</f>
        <v>0</v>
      </c>
      <c r="BJ242" s="170">
        <f>(Escenarios!$F$16*AT242+0.1*BD242)/(Escenarios!$F$19)</f>
        <v>0</v>
      </c>
      <c r="BK242" s="76">
        <f>BK241+(0.1*BD242)/(Escenarios!$F$19)-BL241</f>
        <v>48.75</v>
      </c>
      <c r="BL242" s="76">
        <f>MAX(0,(BK242-Constantes!$D$13)*(1-EXP(-Constantes!$D$23)))</f>
        <v>0</v>
      </c>
      <c r="BM242" s="76">
        <f t="shared" si="54"/>
        <v>0.2850672351932737</v>
      </c>
      <c r="BN242" s="76">
        <f t="shared" si="55"/>
        <v>0.28506738424848788</v>
      </c>
      <c r="BO242" s="76">
        <f>0.0526*BI242*Observaciones!$F241^1.218</f>
        <v>0</v>
      </c>
      <c r="BP242" s="76">
        <f>BO242*Constantes!$F$51</f>
        <v>0</v>
      </c>
      <c r="BQ242" s="76">
        <f t="shared" si="56"/>
        <v>0</v>
      </c>
      <c r="BR242" s="40"/>
    </row>
    <row r="243" spans="2:70">
      <c r="B243" s="39"/>
      <c r="C243" s="75">
        <v>237</v>
      </c>
      <c r="D243" s="146">
        <f>ETo!$I242*((1-Constantes!$F$19)*ETo!$K242+ETo!$L242)</f>
        <v>3.2825552050728741</v>
      </c>
      <c r="E243" s="76">
        <f>MIN(D243*Constantes!$F$17,0.8*(N242+Observaciones!$F242-F243-M243-Constantes!$D$14))</f>
        <v>3.9779840477649488E-6</v>
      </c>
      <c r="F243" s="76">
        <f>IF(Observaciones!$F242&gt;0.05*Constantes!$F$18,((Observaciones!$F242-0.05*Constantes!$F$18)^2)/(Observaciones!$F242+0.95*Constantes!$F$18),0)</f>
        <v>0</v>
      </c>
      <c r="G243" s="76">
        <f>IF(Escenarios!$F$11&gt;0,(F243*Escenarios!$F$16*10000)/1000,0)</f>
        <v>0</v>
      </c>
      <c r="H243" s="76">
        <f>IF(Escenarios!$F$11&gt;0,(Observaciones!$F242*Constantes!$F$29)/1000,0)</f>
        <v>0</v>
      </c>
      <c r="I243" s="76">
        <f>IF(Escenarios!$F$11&gt;0,(D243*Constantes!$F$29)/1000,0)</f>
        <v>0</v>
      </c>
      <c r="J243" s="76">
        <f>IF(Escenarios!$F$11&gt;0,MAX(0,G243+H243-I243),0)</f>
        <v>0</v>
      </c>
      <c r="K243" s="76">
        <f>IF(Escenarios!$F$11&gt;0,IF(J243&gt;Constantes!$F$30,1000*((J243-Constantes!$F$30)/(Escenarios!$F$16*10000)),0),F243)</f>
        <v>0</v>
      </c>
      <c r="L243" s="76">
        <f>IF(Escenarios!$F$11&gt;0,I243*1000/Escenarios!$F$16/10000+E243,E243)</f>
        <v>3.9779840477649488E-6</v>
      </c>
      <c r="M243" s="76">
        <f>MAX(0,N242+Observaciones!$F242-K243-Constantes!$D$13)</f>
        <v>0</v>
      </c>
      <c r="N243" s="76">
        <f>N242+Observaciones!$F242-K243-L243-M243-O242</f>
        <v>11.250000825115087</v>
      </c>
      <c r="O243" s="76">
        <f>MAX(0,(N243-Constantes!$D$14)*(1-EXP(-Constantes!$D$22)))</f>
        <v>2.8106448935188068E-8</v>
      </c>
      <c r="P243" s="170">
        <f>P242+(Entradas!$F$83*M243-Q242)/(800*Entradas!$D$25)</f>
        <v>0</v>
      </c>
      <c r="Q243" s="170">
        <f>8000*Entradas!$D$26*P243/Constantes!$F$45</f>
        <v>0</v>
      </c>
      <c r="R243" s="170">
        <f>IF(Escenarios!$F$14&gt;0,K243*Escenarios!$F$13/Escenarios!$F$14,0)</f>
        <v>0</v>
      </c>
      <c r="S243" s="170">
        <f>IF(Escenarios!$F$14&gt;0,Q243*Escenarios!$F$13/Escenarios!$F$14,0)</f>
        <v>0</v>
      </c>
      <c r="T243" s="170">
        <f>IF(Escenarios!$F$14&gt;0,Observaciones!$I242,0)</f>
        <v>0</v>
      </c>
      <c r="U243" s="170">
        <f>IF(Escenarios!$F$14&gt;0,MAX(0,Constantes!$F$36/((Z242+R243+S243+T243+Observaciones!$F242)^2)+Entradas!$F$77),0)</f>
        <v>0</v>
      </c>
      <c r="V243" s="146">
        <f>IF(ETo!D242&gt;0,ETo!I242*((1-Entradas!$F$81)*ETo!K242+ETo!L242),0)</f>
        <v>2.8910157018804594</v>
      </c>
      <c r="W243" s="170">
        <f>IF(Escenarios!$F$14&gt;0,MIN(V243*1,0.8*(Z242+R243+S243+T243+Observaciones!$F242-U243-Constantes!$F$35)),0)</f>
        <v>6.7590561002361941E-6</v>
      </c>
      <c r="X243" s="170">
        <f>IF(Escenarios!$F$14&gt;0,Observaciones!$J242,0)</f>
        <v>0</v>
      </c>
      <c r="Y243" s="170">
        <f>IF(Escenarios!$F$14&gt;0,MAX(0,Z242+R243+S243+T243+Observaciones!$F242-U243-W243-X243-Constantes!$F$33),0)</f>
        <v>0</v>
      </c>
      <c r="Z243" s="170">
        <f>Z242+R243+S243+T243+Observaciones!$F242-U243-W243-Y243</f>
        <v>41.250001689764026</v>
      </c>
      <c r="AA243" s="170">
        <f>IF(Escenarios!$F$14&gt;0,(Escenarios!$F$13*L243+Escenarios!$F$14*W243)/(Escenarios!$F$16),L243)</f>
        <v>4.3117126940614982E-6</v>
      </c>
      <c r="AB243" s="170">
        <f>IF(Escenarios!$F$14&gt;0,(Escenarios!$F$14*Y243)/(Escenarios!$F$16),K243)</f>
        <v>0</v>
      </c>
      <c r="AC243" s="170">
        <f>IF(Escenarios!$F$14&gt;0,(Escenarios!$F$13*M243+Escenarios!$F$14*U243)/(Escenarios!$F$16),M243)</f>
        <v>0</v>
      </c>
      <c r="AD243" s="76">
        <f t="shared" si="43"/>
        <v>75.386655508313154</v>
      </c>
      <c r="AE243" s="76">
        <f>MAX(0,(AD243-Constantes!$D$13)*(1-EXP(-Constantes!$D$23)))</f>
        <v>0.26245731108046438</v>
      </c>
      <c r="AF243" s="76">
        <f>AB243+O243*Escenarios!$F$13/Escenarios!$F$16+AE243</f>
        <v>0.26245733581413944</v>
      </c>
      <c r="AG243" s="76">
        <f>IF(Entradas!$F$91&gt;0,IF(AF243-Escenarios!$F$38&lt;=0,0,IF(AF243-Escenarios!$F$38&gt;Escenarios!$F$37,Escenarios!$F$37,AF243-Escenarios!$F$38)),0)</f>
        <v>0</v>
      </c>
      <c r="AH243" s="76">
        <f>AG243*Entradas!$F$99</f>
        <v>0</v>
      </c>
      <c r="AI243" s="76">
        <f>IF(Entradas!$F$91&gt;0,D243*Entradas!$D$23/Escenarios!$F$16,0)</f>
        <v>0.15756264984349794</v>
      </c>
      <c r="AJ243" s="76">
        <f>IF(Entradas!$F$91&gt;0,Entradas!$D$24*Entradas!$D$22/Escenarios!$F$16,0)</f>
        <v>0.12</v>
      </c>
      <c r="AK243" s="76">
        <f t="shared" si="44"/>
        <v>0.15756696155619199</v>
      </c>
      <c r="AL243" s="76">
        <f t="shared" si="45"/>
        <v>0</v>
      </c>
      <c r="AM243" s="76">
        <f t="shared" si="46"/>
        <v>0</v>
      </c>
      <c r="AN243" s="76">
        <f>MAX(0,O243*Escenarios!$F$13/Escenarios!$F$16-AM243)</f>
        <v>2.4733675062965502E-8</v>
      </c>
      <c r="AO243" s="76">
        <f>AM243+AN243-O243*Escenarios!$F$13/Escenarios!$F$16</f>
        <v>0</v>
      </c>
      <c r="AP243" s="76">
        <f t="shared" si="47"/>
        <v>0.26245731108046438</v>
      </c>
      <c r="AQ243" s="76">
        <f t="shared" si="48"/>
        <v>0</v>
      </c>
      <c r="AR243" s="76">
        <f t="shared" si="49"/>
        <v>0.26245733581413944</v>
      </c>
      <c r="AS243" s="76">
        <f t="shared" si="50"/>
        <v>0</v>
      </c>
      <c r="AT243" s="76">
        <f t="shared" si="51"/>
        <v>0</v>
      </c>
      <c r="AU243" s="76">
        <f t="shared" si="52"/>
        <v>50.03833106946383</v>
      </c>
      <c r="AV243" s="76">
        <f>MAX(0,(AU243-Constantes!$D$13)*(1-EXP(-Constantes!$D$24)))</f>
        <v>1.9692458699003084E-2</v>
      </c>
      <c r="AW243" s="170">
        <f>AW242+(Entradas!$F$112*AT243-AX242)/(800*Entradas!$D$25)</f>
        <v>0</v>
      </c>
      <c r="AX243" s="170">
        <f>8000*Entradas!$D$26*AW243/Constantes!$F$45</f>
        <v>0</v>
      </c>
      <c r="AY243" s="170">
        <f>IF(Escenarios!$F$17&gt;0,10*Escenarios!$F$16*AL243,0)</f>
        <v>0</v>
      </c>
      <c r="AZ243" s="170">
        <f>IF(Escenarios!$F$17&gt;0,10*Escenarios!$F$16*AX243,0)</f>
        <v>0</v>
      </c>
      <c r="BA243" s="170">
        <f>IF(Escenarios!$F$17&gt;0,0.001*Observaciones!$F242*Escenarios!$F$17,0)</f>
        <v>0</v>
      </c>
      <c r="BB243" s="170">
        <f>IF(Escenarios!$F$17&gt;0,Observaciones!$K242,0)</f>
        <v>0</v>
      </c>
      <c r="BC243" s="170">
        <f>IF(Escenarios!$F$17&gt;0,MIN(0.0005*ETo!$M242*Escenarios!$F$17*(BG242/Constantes!$F$40)^(2/3),BG242+AY243+AZ243+BA243+BB243),0)</f>
        <v>0</v>
      </c>
      <c r="BD243" s="170">
        <f>IF(Escenarios!$F$17&gt;0,MIN(Constantes!$F$39*(BG242/Constantes!$F$40)^(2/3),BG242+AY243+AZ243+BA243+BB243-BC243),0)</f>
        <v>0</v>
      </c>
      <c r="BE243" s="170">
        <f>IF(Escenarios!$F$17&gt;0,MIN(Entradas!$F$113,BG242+AY243+AZ243+BA243+BB243-BC243-BD243),0)</f>
        <v>0</v>
      </c>
      <c r="BF243" s="170">
        <f>IF(Escenarios!$F$17&gt;0,MAX(0,BG242+AY243+AZ243+BA243+BB243-BC243-BD243-BE243-Constantes!$F$40),0)</f>
        <v>0</v>
      </c>
      <c r="BG243" s="170">
        <f t="shared" si="53"/>
        <v>0</v>
      </c>
      <c r="BH243" s="170">
        <f>(Escenarios!$F$16*AK243+0.1*BC243)/(Escenarios!$F$19)</f>
        <v>0.15756696155619199</v>
      </c>
      <c r="BI243" s="170">
        <f>IF(Escenarios!$F$17&gt;0,BF243/10/Escenarios!$F$19,AL243)</f>
        <v>0</v>
      </c>
      <c r="BJ243" s="170">
        <f>(Escenarios!$F$16*AT243+0.1*BD243)/(Escenarios!$F$19)</f>
        <v>0</v>
      </c>
      <c r="BK243" s="76">
        <f>BK242+(0.1*BD243)/(Escenarios!$F$19)-BL242</f>
        <v>48.75</v>
      </c>
      <c r="BL243" s="76">
        <f>MAX(0,(BK243-Constantes!$D$13)*(1-EXP(-Constantes!$D$23)))</f>
        <v>0</v>
      </c>
      <c r="BM243" s="76">
        <f t="shared" si="54"/>
        <v>0.28214976977946749</v>
      </c>
      <c r="BN243" s="76">
        <f t="shared" si="55"/>
        <v>0.28214979451314254</v>
      </c>
      <c r="BO243" s="76">
        <f>0.0526*BI243*Observaciones!$F242^1.218</f>
        <v>0</v>
      </c>
      <c r="BP243" s="76">
        <f>BO243*Constantes!$F$51</f>
        <v>0</v>
      </c>
      <c r="BQ243" s="76">
        <f t="shared" si="56"/>
        <v>0</v>
      </c>
      <c r="BR243" s="40"/>
    </row>
    <row r="244" spans="2:70">
      <c r="B244" s="39"/>
      <c r="C244" s="75">
        <v>238</v>
      </c>
      <c r="D244" s="146">
        <f>ETo!$I243*((1-Constantes!$F$19)*ETo!$K243+ETo!$L243)</f>
        <v>3.4531022439975132</v>
      </c>
      <c r="E244" s="76">
        <f>MIN(D244*Constantes!$F$17,0.8*(N243+Observaciones!$F243-F244-M244-Constantes!$D$14))</f>
        <v>6.6009206989292579E-7</v>
      </c>
      <c r="F244" s="76">
        <f>IF(Observaciones!$F243&gt;0.05*Constantes!$F$18,((Observaciones!$F243-0.05*Constantes!$F$18)^2)/(Observaciones!$F243+0.95*Constantes!$F$18),0)</f>
        <v>0</v>
      </c>
      <c r="G244" s="76">
        <f>IF(Escenarios!$F$11&gt;0,(F244*Escenarios!$F$16*10000)/1000,0)</f>
        <v>0</v>
      </c>
      <c r="H244" s="76">
        <f>IF(Escenarios!$F$11&gt;0,(Observaciones!$F243*Constantes!$F$29)/1000,0)</f>
        <v>0</v>
      </c>
      <c r="I244" s="76">
        <f>IF(Escenarios!$F$11&gt;0,(D244*Constantes!$F$29)/1000,0)</f>
        <v>0</v>
      </c>
      <c r="J244" s="76">
        <f>IF(Escenarios!$F$11&gt;0,MAX(0,G244+H244-I244),0)</f>
        <v>0</v>
      </c>
      <c r="K244" s="76">
        <f>IF(Escenarios!$F$11&gt;0,IF(J244&gt;Constantes!$F$30,1000*((J244-Constantes!$F$30)/(Escenarios!$F$16*10000)),0),F244)</f>
        <v>0</v>
      </c>
      <c r="L244" s="76">
        <f>IF(Escenarios!$F$11&gt;0,I244*1000/Escenarios!$F$16/10000+E244,E244)</f>
        <v>6.6009206989292579E-7</v>
      </c>
      <c r="M244" s="76">
        <f>MAX(0,N243+Observaciones!$F243-K244-Constantes!$D$13)</f>
        <v>0</v>
      </c>
      <c r="N244" s="76">
        <f>N243+Observaciones!$F243-K244-L244-M244-O243</f>
        <v>11.250000136916569</v>
      </c>
      <c r="O244" s="76">
        <f>MAX(0,(N244-Constantes!$D$14)*(1-EXP(-Constantes!$D$22)))</f>
        <v>4.6638809626134494E-9</v>
      </c>
      <c r="P244" s="170">
        <f>P243+(Entradas!$F$83*M244-Q243)/(800*Entradas!$D$25)</f>
        <v>0</v>
      </c>
      <c r="Q244" s="170">
        <f>8000*Entradas!$D$26*P244/Constantes!$F$45</f>
        <v>0</v>
      </c>
      <c r="R244" s="170">
        <f>IF(Escenarios!$F$14&gt;0,K244*Escenarios!$F$13/Escenarios!$F$14,0)</f>
        <v>0</v>
      </c>
      <c r="S244" s="170">
        <f>IF(Escenarios!$F$14&gt;0,Q244*Escenarios!$F$13/Escenarios!$F$14,0)</f>
        <v>0</v>
      </c>
      <c r="T244" s="170">
        <f>IF(Escenarios!$F$14&gt;0,Observaciones!$I243,0)</f>
        <v>0</v>
      </c>
      <c r="U244" s="170">
        <f>IF(Escenarios!$F$14&gt;0,MAX(0,Constantes!$F$36/((Z243+R244+S244+T244+Observaciones!$F243)^2)+Entradas!$F$77),0)</f>
        <v>0</v>
      </c>
      <c r="V244" s="146">
        <f>IF(ETo!D243&gt;0,ETo!I243*((1-Entradas!$F$81)*ETo!K243+ETo!L243),0)</f>
        <v>3.0432722952863704</v>
      </c>
      <c r="W244" s="170">
        <f>IF(Escenarios!$F$14&gt;0,MIN(V244*1,0.8*(Z243+R244+S244+T244+Observaciones!$F243-U244-Constantes!$F$35)),0)</f>
        <v>1.3518112211841071E-6</v>
      </c>
      <c r="X244" s="170">
        <f>IF(Escenarios!$F$14&gt;0,Observaciones!$J243,0)</f>
        <v>0</v>
      </c>
      <c r="Y244" s="170">
        <f>IF(Escenarios!$F$14&gt;0,MAX(0,Z243+R244+S244+T244+Observaciones!$F243-U244-W244-X244-Constantes!$F$33),0)</f>
        <v>0</v>
      </c>
      <c r="Z244" s="170">
        <f>Z243+R244+S244+T244+Observaciones!$F243-U244-W244-Y244</f>
        <v>41.250000337952805</v>
      </c>
      <c r="AA244" s="170">
        <f>IF(Escenarios!$F$14&gt;0,(Escenarios!$F$13*L244+Escenarios!$F$14*W244)/(Escenarios!$F$16),L244)</f>
        <v>7.4309836804786757E-7</v>
      </c>
      <c r="AB244" s="170">
        <f>IF(Escenarios!$F$14&gt;0,(Escenarios!$F$14*Y244)/(Escenarios!$F$16),K244)</f>
        <v>0</v>
      </c>
      <c r="AC244" s="170">
        <f>IF(Escenarios!$F$14&gt;0,(Escenarios!$F$13*M244+Escenarios!$F$14*U244)/(Escenarios!$F$16),M244)</f>
        <v>0</v>
      </c>
      <c r="AD244" s="76">
        <f t="shared" si="43"/>
        <v>75.124198197232687</v>
      </c>
      <c r="AE244" s="76">
        <f>MAX(0,(AD244-Constantes!$D$13)*(1-EXP(-Constantes!$D$23)))</f>
        <v>0.2598712566819274</v>
      </c>
      <c r="AF244" s="76">
        <f>AB244+O244*Escenarios!$F$13/Escenarios!$F$16+AE244</f>
        <v>0.25987126078614264</v>
      </c>
      <c r="AG244" s="76">
        <f>IF(Entradas!$F$91&gt;0,IF(AF244-Escenarios!$F$38&lt;=0,0,IF(AF244-Escenarios!$F$38&gt;Escenarios!$F$37,Escenarios!$F$37,AF244-Escenarios!$F$38)),0)</f>
        <v>0</v>
      </c>
      <c r="AH244" s="76">
        <f>AG244*Entradas!$F$99</f>
        <v>0</v>
      </c>
      <c r="AI244" s="76">
        <f>IF(Entradas!$F$91&gt;0,D244*Entradas!$D$23/Escenarios!$F$16,0)</f>
        <v>0.16574890771188064</v>
      </c>
      <c r="AJ244" s="76">
        <f>IF(Entradas!$F$91&gt;0,Entradas!$D$24*Entradas!$D$22/Escenarios!$F$16,0)</f>
        <v>0.12</v>
      </c>
      <c r="AK244" s="76">
        <f t="shared" si="44"/>
        <v>0.1657496508102487</v>
      </c>
      <c r="AL244" s="76">
        <f t="shared" si="45"/>
        <v>0</v>
      </c>
      <c r="AM244" s="76">
        <f t="shared" si="46"/>
        <v>0</v>
      </c>
      <c r="AN244" s="76">
        <f>MAX(0,O244*Escenarios!$F$13/Escenarios!$F$16-AM244)</f>
        <v>4.1042152470998351E-9</v>
      </c>
      <c r="AO244" s="76">
        <f>AM244+AN244-O244*Escenarios!$F$13/Escenarios!$F$16</f>
        <v>0</v>
      </c>
      <c r="AP244" s="76">
        <f t="shared" si="47"/>
        <v>0.2598712566819274</v>
      </c>
      <c r="AQ244" s="76">
        <f t="shared" si="48"/>
        <v>0</v>
      </c>
      <c r="AR244" s="76">
        <f t="shared" si="49"/>
        <v>0.25987126078614264</v>
      </c>
      <c r="AS244" s="76">
        <f t="shared" si="50"/>
        <v>0</v>
      </c>
      <c r="AT244" s="76">
        <f t="shared" si="51"/>
        <v>0</v>
      </c>
      <c r="AU244" s="76">
        <f t="shared" si="52"/>
        <v>50.018638610764825</v>
      </c>
      <c r="AV244" s="76">
        <f>MAX(0,(AU244-Constantes!$D$13)*(1-EXP(-Constantes!$D$24)))</f>
        <v>1.9391454602460282E-2</v>
      </c>
      <c r="AW244" s="170">
        <f>AW243+(Entradas!$F$112*AT244-AX243)/(800*Entradas!$D$25)</f>
        <v>0</v>
      </c>
      <c r="AX244" s="170">
        <f>8000*Entradas!$D$26*AW244/Constantes!$F$45</f>
        <v>0</v>
      </c>
      <c r="AY244" s="170">
        <f>IF(Escenarios!$F$17&gt;0,10*Escenarios!$F$16*AL244,0)</f>
        <v>0</v>
      </c>
      <c r="AZ244" s="170">
        <f>IF(Escenarios!$F$17&gt;0,10*Escenarios!$F$16*AX244,0)</f>
        <v>0</v>
      </c>
      <c r="BA244" s="170">
        <f>IF(Escenarios!$F$17&gt;0,0.001*Observaciones!$F243*Escenarios!$F$17,0)</f>
        <v>0</v>
      </c>
      <c r="BB244" s="170">
        <f>IF(Escenarios!$F$17&gt;0,Observaciones!$K243,0)</f>
        <v>0</v>
      </c>
      <c r="BC244" s="170">
        <f>IF(Escenarios!$F$17&gt;0,MIN(0.0005*ETo!$M243*Escenarios!$F$17*(BG243/Constantes!$F$40)^(2/3),BG243+AY244+AZ244+BA244+BB244),0)</f>
        <v>0</v>
      </c>
      <c r="BD244" s="170">
        <f>IF(Escenarios!$F$17&gt;0,MIN(Constantes!$F$39*(BG243/Constantes!$F$40)^(2/3),BG243+AY244+AZ244+BA244+BB244-BC244),0)</f>
        <v>0</v>
      </c>
      <c r="BE244" s="170">
        <f>IF(Escenarios!$F$17&gt;0,MIN(Entradas!$F$113,BG243+AY244+AZ244+BA244+BB244-BC244-BD244),0)</f>
        <v>0</v>
      </c>
      <c r="BF244" s="170">
        <f>IF(Escenarios!$F$17&gt;0,MAX(0,BG243+AY244+AZ244+BA244+BB244-BC244-BD244-BE244-Constantes!$F$40),0)</f>
        <v>0</v>
      </c>
      <c r="BG244" s="170">
        <f t="shared" si="53"/>
        <v>0</v>
      </c>
      <c r="BH244" s="170">
        <f>(Escenarios!$F$16*AK244+0.1*BC244)/(Escenarios!$F$19)</f>
        <v>0.1657496508102487</v>
      </c>
      <c r="BI244" s="170">
        <f>IF(Escenarios!$F$17&gt;0,BF244/10/Escenarios!$F$19,AL244)</f>
        <v>0</v>
      </c>
      <c r="BJ244" s="170">
        <f>(Escenarios!$F$16*AT244+0.1*BD244)/(Escenarios!$F$19)</f>
        <v>0</v>
      </c>
      <c r="BK244" s="76">
        <f>BK243+(0.1*BD244)/(Escenarios!$F$19)-BL243</f>
        <v>48.75</v>
      </c>
      <c r="BL244" s="76">
        <f>MAX(0,(BK244-Constantes!$D$13)*(1-EXP(-Constantes!$D$23)))</f>
        <v>0</v>
      </c>
      <c r="BM244" s="76">
        <f t="shared" si="54"/>
        <v>0.27926271128438768</v>
      </c>
      <c r="BN244" s="76">
        <f t="shared" si="55"/>
        <v>0.27926271538860292</v>
      </c>
      <c r="BO244" s="76">
        <f>0.0526*BI244*Observaciones!$F243^1.218</f>
        <v>0</v>
      </c>
      <c r="BP244" s="76">
        <f>BO244*Constantes!$F$51</f>
        <v>0</v>
      </c>
      <c r="BQ244" s="76">
        <f t="shared" si="56"/>
        <v>0</v>
      </c>
      <c r="BR244" s="40"/>
    </row>
    <row r="245" spans="2:70">
      <c r="B245" s="39"/>
      <c r="C245" s="75">
        <v>239</v>
      </c>
      <c r="D245" s="146">
        <f>ETo!$I244*((1-Constantes!$F$19)*ETo!$K244+ETo!$L244)</f>
        <v>3.5291856694264072</v>
      </c>
      <c r="E245" s="76">
        <f>MIN(D245*Constantes!$F$17,0.8*(N244+Observaciones!$F244-F245-M245-Constantes!$D$14))</f>
        <v>1.0953325499940548E-7</v>
      </c>
      <c r="F245" s="76">
        <f>IF(Observaciones!$F244&gt;0.05*Constantes!$F$18,((Observaciones!$F244-0.05*Constantes!$F$18)^2)/(Observaciones!$F244+0.95*Constantes!$F$18),0)</f>
        <v>0</v>
      </c>
      <c r="G245" s="76">
        <f>IF(Escenarios!$F$11&gt;0,(F245*Escenarios!$F$16*10000)/1000,0)</f>
        <v>0</v>
      </c>
      <c r="H245" s="76">
        <f>IF(Escenarios!$F$11&gt;0,(Observaciones!$F244*Constantes!$F$29)/1000,0)</f>
        <v>0</v>
      </c>
      <c r="I245" s="76">
        <f>IF(Escenarios!$F$11&gt;0,(D245*Constantes!$F$29)/1000,0)</f>
        <v>0</v>
      </c>
      <c r="J245" s="76">
        <f>IF(Escenarios!$F$11&gt;0,MAX(0,G245+H245-I245),0)</f>
        <v>0</v>
      </c>
      <c r="K245" s="76">
        <f>IF(Escenarios!$F$11&gt;0,IF(J245&gt;Constantes!$F$30,1000*((J245-Constantes!$F$30)/(Escenarios!$F$16*10000)),0),F245)</f>
        <v>0</v>
      </c>
      <c r="L245" s="76">
        <f>IF(Escenarios!$F$11&gt;0,I245*1000/Escenarios!$F$16/10000+E245,E245)</f>
        <v>1.0953325499940548E-7</v>
      </c>
      <c r="M245" s="76">
        <f>MAX(0,N244+Observaciones!$F244-K245-Constantes!$D$13)</f>
        <v>0</v>
      </c>
      <c r="N245" s="76">
        <f>N244+Observaciones!$F244-K245-L245-M245-O244</f>
        <v>11.250000022719432</v>
      </c>
      <c r="O245" s="76">
        <f>MAX(0,(N245-Constantes!$D$14)*(1-EXP(-Constantes!$D$22)))</f>
        <v>7.7390724739801883E-10</v>
      </c>
      <c r="P245" s="170">
        <f>P244+(Entradas!$F$83*M245-Q244)/(800*Entradas!$D$25)</f>
        <v>0</v>
      </c>
      <c r="Q245" s="170">
        <f>8000*Entradas!$D$26*P245/Constantes!$F$45</f>
        <v>0</v>
      </c>
      <c r="R245" s="170">
        <f>IF(Escenarios!$F$14&gt;0,K245*Escenarios!$F$13/Escenarios!$F$14,0)</f>
        <v>0</v>
      </c>
      <c r="S245" s="170">
        <f>IF(Escenarios!$F$14&gt;0,Q245*Escenarios!$F$13/Escenarios!$F$14,0)</f>
        <v>0</v>
      </c>
      <c r="T245" s="170">
        <f>IF(Escenarios!$F$14&gt;0,Observaciones!$I244,0)</f>
        <v>0</v>
      </c>
      <c r="U245" s="170">
        <f>IF(Escenarios!$F$14&gt;0,MAX(0,Constantes!$F$36/((Z244+R245+S245+T245+Observaciones!$F244)^2)+Entradas!$F$77),0)</f>
        <v>0</v>
      </c>
      <c r="V245" s="146">
        <f>IF(ETo!D244&gt;0,ETo!I244*((1-Entradas!$F$81)*ETo!K244+ETo!L244),0)</f>
        <v>3.1117134263999673</v>
      </c>
      <c r="W245" s="170">
        <f>IF(Escenarios!$F$14&gt;0,MIN(V245*1,0.8*(Z244+R245+S245+T245+Observaciones!$F244-U245-Constantes!$F$35)),0)</f>
        <v>2.7036224423682145E-7</v>
      </c>
      <c r="X245" s="170">
        <f>IF(Escenarios!$F$14&gt;0,Observaciones!$J244,0)</f>
        <v>0</v>
      </c>
      <c r="Y245" s="170">
        <f>IF(Escenarios!$F$14&gt;0,MAX(0,Z244+R245+S245+T245+Observaciones!$F244-U245-W245-X245-Constantes!$F$33),0)</f>
        <v>0</v>
      </c>
      <c r="Z245" s="170">
        <f>Z244+R245+S245+T245+Observaciones!$F244-U245-W245-Y245</f>
        <v>41.250000067590562</v>
      </c>
      <c r="AA245" s="170">
        <f>IF(Escenarios!$F$14&gt;0,(Escenarios!$F$13*L245+Escenarios!$F$14*W245)/(Escenarios!$F$16),L245)</f>
        <v>1.2883273370789538E-7</v>
      </c>
      <c r="AB245" s="170">
        <f>IF(Escenarios!$F$14&gt;0,(Escenarios!$F$14*Y245)/(Escenarios!$F$16),K245)</f>
        <v>0</v>
      </c>
      <c r="AC245" s="170">
        <f>IF(Escenarios!$F$14&gt;0,(Escenarios!$F$13*M245+Escenarios!$F$14*U245)/(Escenarios!$F$16),M245)</f>
        <v>0</v>
      </c>
      <c r="AD245" s="76">
        <f t="shared" si="43"/>
        <v>74.864326940550754</v>
      </c>
      <c r="AE245" s="76">
        <f>MAX(0,(AD245-Constantes!$D$13)*(1-EXP(-Constantes!$D$23)))</f>
        <v>0.25731068329332929</v>
      </c>
      <c r="AF245" s="76">
        <f>AB245+O245*Escenarios!$F$13/Escenarios!$F$16+AE245</f>
        <v>0.25731068397436768</v>
      </c>
      <c r="AG245" s="76">
        <f>IF(Entradas!$F$91&gt;0,IF(AF245-Escenarios!$F$38&lt;=0,0,IF(AF245-Escenarios!$F$38&gt;Escenarios!$F$37,Escenarios!$F$37,AF245-Escenarios!$F$38)),0)</f>
        <v>0</v>
      </c>
      <c r="AH245" s="76">
        <f>AG245*Entradas!$F$99</f>
        <v>0</v>
      </c>
      <c r="AI245" s="76">
        <f>IF(Entradas!$F$91&gt;0,D245*Entradas!$D$23/Escenarios!$F$16,0)</f>
        <v>0.16940091213246755</v>
      </c>
      <c r="AJ245" s="76">
        <f>IF(Entradas!$F$91&gt;0,Entradas!$D$24*Entradas!$D$22/Escenarios!$F$16,0)</f>
        <v>0.12</v>
      </c>
      <c r="AK245" s="76">
        <f t="shared" si="44"/>
        <v>0.16940104096520125</v>
      </c>
      <c r="AL245" s="76">
        <f t="shared" si="45"/>
        <v>0</v>
      </c>
      <c r="AM245" s="76">
        <f t="shared" si="46"/>
        <v>0</v>
      </c>
      <c r="AN245" s="76">
        <f>MAX(0,O245*Escenarios!$F$13/Escenarios!$F$16-AM245)</f>
        <v>6.8103837771025661E-10</v>
      </c>
      <c r="AO245" s="76">
        <f>AM245+AN245-O245*Escenarios!$F$13/Escenarios!$F$16</f>
        <v>0</v>
      </c>
      <c r="AP245" s="76">
        <f t="shared" si="47"/>
        <v>0.25731068329332929</v>
      </c>
      <c r="AQ245" s="76">
        <f t="shared" si="48"/>
        <v>0</v>
      </c>
      <c r="AR245" s="76">
        <f t="shared" si="49"/>
        <v>0.25731068397436768</v>
      </c>
      <c r="AS245" s="76">
        <f t="shared" si="50"/>
        <v>0</v>
      </c>
      <c r="AT245" s="76">
        <f t="shared" si="51"/>
        <v>0</v>
      </c>
      <c r="AU245" s="76">
        <f t="shared" si="52"/>
        <v>49.999247156162362</v>
      </c>
      <c r="AV245" s="76">
        <f>MAX(0,(AU245-Constantes!$D$13)*(1-EXP(-Constantes!$D$24)))</f>
        <v>1.9095051427900876E-2</v>
      </c>
      <c r="AW245" s="170">
        <f>AW244+(Entradas!$F$112*AT245-AX244)/(800*Entradas!$D$25)</f>
        <v>0</v>
      </c>
      <c r="AX245" s="170">
        <f>8000*Entradas!$D$26*AW245/Constantes!$F$45</f>
        <v>0</v>
      </c>
      <c r="AY245" s="170">
        <f>IF(Escenarios!$F$17&gt;0,10*Escenarios!$F$16*AL245,0)</f>
        <v>0</v>
      </c>
      <c r="AZ245" s="170">
        <f>IF(Escenarios!$F$17&gt;0,10*Escenarios!$F$16*AX245,0)</f>
        <v>0</v>
      </c>
      <c r="BA245" s="170">
        <f>IF(Escenarios!$F$17&gt;0,0.001*Observaciones!$F244*Escenarios!$F$17,0)</f>
        <v>0</v>
      </c>
      <c r="BB245" s="170">
        <f>IF(Escenarios!$F$17&gt;0,Observaciones!$K244,0)</f>
        <v>0</v>
      </c>
      <c r="BC245" s="170">
        <f>IF(Escenarios!$F$17&gt;0,MIN(0.0005*ETo!$M244*Escenarios!$F$17*(BG244/Constantes!$F$40)^(2/3),BG244+AY245+AZ245+BA245+BB245),0)</f>
        <v>0</v>
      </c>
      <c r="BD245" s="170">
        <f>IF(Escenarios!$F$17&gt;0,MIN(Constantes!$F$39*(BG244/Constantes!$F$40)^(2/3),BG244+AY245+AZ245+BA245+BB245-BC245),0)</f>
        <v>0</v>
      </c>
      <c r="BE245" s="170">
        <f>IF(Escenarios!$F$17&gt;0,MIN(Entradas!$F$113,BG244+AY245+AZ245+BA245+BB245-BC245-BD245),0)</f>
        <v>0</v>
      </c>
      <c r="BF245" s="170">
        <f>IF(Escenarios!$F$17&gt;0,MAX(0,BG244+AY245+AZ245+BA245+BB245-BC245-BD245-BE245-Constantes!$F$40),0)</f>
        <v>0</v>
      </c>
      <c r="BG245" s="170">
        <f t="shared" si="53"/>
        <v>0</v>
      </c>
      <c r="BH245" s="170">
        <f>(Escenarios!$F$16*AK245+0.1*BC245)/(Escenarios!$F$19)</f>
        <v>0.16940104096520125</v>
      </c>
      <c r="BI245" s="170">
        <f>IF(Escenarios!$F$17&gt;0,BF245/10/Escenarios!$F$19,AL245)</f>
        <v>0</v>
      </c>
      <c r="BJ245" s="170">
        <f>(Escenarios!$F$16*AT245+0.1*BD245)/(Escenarios!$F$19)</f>
        <v>0</v>
      </c>
      <c r="BK245" s="76">
        <f>BK244+(0.1*BD245)/(Escenarios!$F$19)-BL244</f>
        <v>48.75</v>
      </c>
      <c r="BL245" s="76">
        <f>MAX(0,(BK245-Constantes!$D$13)*(1-EXP(-Constantes!$D$23)))</f>
        <v>0</v>
      </c>
      <c r="BM245" s="76">
        <f t="shared" si="54"/>
        <v>0.27640573472123015</v>
      </c>
      <c r="BN245" s="76">
        <f t="shared" si="55"/>
        <v>0.27640573540226854</v>
      </c>
      <c r="BO245" s="76">
        <f>0.0526*BI245*Observaciones!$F244^1.218</f>
        <v>0</v>
      </c>
      <c r="BP245" s="76">
        <f>BO245*Constantes!$F$51</f>
        <v>0</v>
      </c>
      <c r="BQ245" s="76">
        <f t="shared" si="56"/>
        <v>0</v>
      </c>
      <c r="BR245" s="40"/>
    </row>
    <row r="246" spans="2:70">
      <c r="B246" s="39"/>
      <c r="C246" s="75">
        <v>240</v>
      </c>
      <c r="D246" s="146">
        <f>ETo!$I245*((1-Constantes!$F$19)*ETo!$K245+ETo!$L245)</f>
        <v>3.3736522880085937</v>
      </c>
      <c r="E246" s="76">
        <f>MIN(D246*Constantes!$F$17,0.8*(N245+Observaciones!$F245-F246-M246-Constantes!$D$14))</f>
        <v>1.8175545335452626E-8</v>
      </c>
      <c r="F246" s="76">
        <f>IF(Observaciones!$F245&gt;0.05*Constantes!$F$18,((Observaciones!$F245-0.05*Constantes!$F$18)^2)/(Observaciones!$F245+0.95*Constantes!$F$18),0)</f>
        <v>0</v>
      </c>
      <c r="G246" s="76">
        <f>IF(Escenarios!$F$11&gt;0,(F246*Escenarios!$F$16*10000)/1000,0)</f>
        <v>0</v>
      </c>
      <c r="H246" s="76">
        <f>IF(Escenarios!$F$11&gt;0,(Observaciones!$F245*Constantes!$F$29)/1000,0)</f>
        <v>0</v>
      </c>
      <c r="I246" s="76">
        <f>IF(Escenarios!$F$11&gt;0,(D246*Constantes!$F$29)/1000,0)</f>
        <v>0</v>
      </c>
      <c r="J246" s="76">
        <f>IF(Escenarios!$F$11&gt;0,MAX(0,G246+H246-I246),0)</f>
        <v>0</v>
      </c>
      <c r="K246" s="76">
        <f>IF(Escenarios!$F$11&gt;0,IF(J246&gt;Constantes!$F$30,1000*((J246-Constantes!$F$30)/(Escenarios!$F$16*10000)),0),F246)</f>
        <v>0</v>
      </c>
      <c r="L246" s="76">
        <f>IF(Escenarios!$F$11&gt;0,I246*1000/Escenarios!$F$16/10000+E246,E246)</f>
        <v>1.8175545335452626E-8</v>
      </c>
      <c r="M246" s="76">
        <f>MAX(0,N245+Observaciones!$F245-K246-Constantes!$D$13)</f>
        <v>0</v>
      </c>
      <c r="N246" s="76">
        <f>N245+Observaciones!$F245-K246-L246-M246-O245</f>
        <v>11.25000000376998</v>
      </c>
      <c r="O246" s="76">
        <f>MAX(0,(N246-Constantes!$D$14)*(1-EXP(-Constantes!$D$22)))</f>
        <v>1.284193547226503E-10</v>
      </c>
      <c r="P246" s="170">
        <f>P245+(Entradas!$F$83*M246-Q245)/(800*Entradas!$D$25)</f>
        <v>0</v>
      </c>
      <c r="Q246" s="170">
        <f>8000*Entradas!$D$26*P246/Constantes!$F$45</f>
        <v>0</v>
      </c>
      <c r="R246" s="170">
        <f>IF(Escenarios!$F$14&gt;0,K246*Escenarios!$F$13/Escenarios!$F$14,0)</f>
        <v>0</v>
      </c>
      <c r="S246" s="170">
        <f>IF(Escenarios!$F$14&gt;0,Q246*Escenarios!$F$13/Escenarios!$F$14,0)</f>
        <v>0</v>
      </c>
      <c r="T246" s="170">
        <f>IF(Escenarios!$F$14&gt;0,Observaciones!$I245,0)</f>
        <v>0</v>
      </c>
      <c r="U246" s="170">
        <f>IF(Escenarios!$F$14&gt;0,MAX(0,Constantes!$F$36/((Z245+R246+S246+T246+Observaciones!$F245)^2)+Entradas!$F$77),0)</f>
        <v>0</v>
      </c>
      <c r="V246" s="146">
        <f>IF(ETo!D245&gt;0,ETo!I245*((1-Entradas!$F$81)*ETo!K245+ETo!L245),0)</f>
        <v>2.9734509540064269</v>
      </c>
      <c r="W246" s="170">
        <f>IF(Escenarios!$F$14&gt;0,MIN(V246*1,0.8*(Z245+R246+S246+T246+Observaciones!$F245-U246-Constantes!$F$35)),0)</f>
        <v>5.4072449984232668E-8</v>
      </c>
      <c r="X246" s="170">
        <f>IF(Escenarios!$F$14&gt;0,Observaciones!$J245,0)</f>
        <v>0</v>
      </c>
      <c r="Y246" s="170">
        <f>IF(Escenarios!$F$14&gt;0,MAX(0,Z245+R246+S246+T246+Observaciones!$F245-U246-W246-X246-Constantes!$F$33),0)</f>
        <v>0</v>
      </c>
      <c r="Z246" s="170">
        <f>Z245+R246+S246+T246+Observaciones!$F245-U246-W246-Y246</f>
        <v>41.250000013518111</v>
      </c>
      <c r="AA246" s="170">
        <f>IF(Escenarios!$F$14&gt;0,(Escenarios!$F$13*L246+Escenarios!$F$14*W246)/(Escenarios!$F$16),L246)</f>
        <v>2.2483173893306231E-8</v>
      </c>
      <c r="AB246" s="170">
        <f>IF(Escenarios!$F$14&gt;0,(Escenarios!$F$14*Y246)/(Escenarios!$F$16),K246)</f>
        <v>0</v>
      </c>
      <c r="AC246" s="170">
        <f>IF(Escenarios!$F$14&gt;0,(Escenarios!$F$13*M246+Escenarios!$F$14*U246)/(Escenarios!$F$16),M246)</f>
        <v>0</v>
      </c>
      <c r="AD246" s="76">
        <f t="shared" si="43"/>
        <v>74.607016257257428</v>
      </c>
      <c r="AE246" s="76">
        <f>MAX(0,(AD246-Constantes!$D$13)*(1-EXP(-Constantes!$D$23)))</f>
        <v>0.25477533984421025</v>
      </c>
      <c r="AF246" s="76">
        <f>AB246+O246*Escenarios!$F$13/Escenarios!$F$16+AE246</f>
        <v>0.25477533995721929</v>
      </c>
      <c r="AG246" s="76">
        <f>IF(Entradas!$F$91&gt;0,IF(AF246-Escenarios!$F$38&lt;=0,0,IF(AF246-Escenarios!$F$38&gt;Escenarios!$F$37,Escenarios!$F$37,AF246-Escenarios!$F$38)),0)</f>
        <v>0</v>
      </c>
      <c r="AH246" s="76">
        <f>AG246*Entradas!$F$99</f>
        <v>0</v>
      </c>
      <c r="AI246" s="76">
        <f>IF(Entradas!$F$91&gt;0,D246*Entradas!$D$23/Escenarios!$F$16,0)</f>
        <v>0.16193530982441251</v>
      </c>
      <c r="AJ246" s="76">
        <f>IF(Entradas!$F$91&gt;0,Entradas!$D$24*Entradas!$D$22/Escenarios!$F$16,0)</f>
        <v>0.12</v>
      </c>
      <c r="AK246" s="76">
        <f t="shared" si="44"/>
        <v>0.16193533230758642</v>
      </c>
      <c r="AL246" s="76">
        <f t="shared" si="45"/>
        <v>0</v>
      </c>
      <c r="AM246" s="76">
        <f t="shared" si="46"/>
        <v>0</v>
      </c>
      <c r="AN246" s="76">
        <f>MAX(0,O246*Escenarios!$F$13/Escenarios!$F$16-AM246)</f>
        <v>1.1300903215593227E-10</v>
      </c>
      <c r="AO246" s="76">
        <f>AM246+AN246-O246*Escenarios!$F$13/Escenarios!$F$16</f>
        <v>0</v>
      </c>
      <c r="AP246" s="76">
        <f t="shared" si="47"/>
        <v>0.25477533984421025</v>
      </c>
      <c r="AQ246" s="76">
        <f t="shared" si="48"/>
        <v>0</v>
      </c>
      <c r="AR246" s="76">
        <f t="shared" si="49"/>
        <v>0.25477533995721929</v>
      </c>
      <c r="AS246" s="76">
        <f t="shared" si="50"/>
        <v>0</v>
      </c>
      <c r="AT246" s="76">
        <f t="shared" si="51"/>
        <v>0</v>
      </c>
      <c r="AU246" s="76">
        <f t="shared" si="52"/>
        <v>49.980152104734458</v>
      </c>
      <c r="AV246" s="76">
        <f>MAX(0,(AU246-Constantes!$D$13)*(1-EXP(-Constantes!$D$24)))</f>
        <v>1.8803178849095624E-2</v>
      </c>
      <c r="AW246" s="170">
        <f>AW245+(Entradas!$F$112*AT246-AX245)/(800*Entradas!$D$25)</f>
        <v>0</v>
      </c>
      <c r="AX246" s="170">
        <f>8000*Entradas!$D$26*AW246/Constantes!$F$45</f>
        <v>0</v>
      </c>
      <c r="AY246" s="170">
        <f>IF(Escenarios!$F$17&gt;0,10*Escenarios!$F$16*AL246,0)</f>
        <v>0</v>
      </c>
      <c r="AZ246" s="170">
        <f>IF(Escenarios!$F$17&gt;0,10*Escenarios!$F$16*AX246,0)</f>
        <v>0</v>
      </c>
      <c r="BA246" s="170">
        <f>IF(Escenarios!$F$17&gt;0,0.001*Observaciones!$F245*Escenarios!$F$17,0)</f>
        <v>0</v>
      </c>
      <c r="BB246" s="170">
        <f>IF(Escenarios!$F$17&gt;0,Observaciones!$K245,0)</f>
        <v>0</v>
      </c>
      <c r="BC246" s="170">
        <f>IF(Escenarios!$F$17&gt;0,MIN(0.0005*ETo!$M245*Escenarios!$F$17*(BG245/Constantes!$F$40)^(2/3),BG245+AY246+AZ246+BA246+BB246),0)</f>
        <v>0</v>
      </c>
      <c r="BD246" s="170">
        <f>IF(Escenarios!$F$17&gt;0,MIN(Constantes!$F$39*(BG245/Constantes!$F$40)^(2/3),BG245+AY246+AZ246+BA246+BB246-BC246),0)</f>
        <v>0</v>
      </c>
      <c r="BE246" s="170">
        <f>IF(Escenarios!$F$17&gt;0,MIN(Entradas!$F$113,BG245+AY246+AZ246+BA246+BB246-BC246-BD246),0)</f>
        <v>0</v>
      </c>
      <c r="BF246" s="170">
        <f>IF(Escenarios!$F$17&gt;0,MAX(0,BG245+AY246+AZ246+BA246+BB246-BC246-BD246-BE246-Constantes!$F$40),0)</f>
        <v>0</v>
      </c>
      <c r="BG246" s="170">
        <f t="shared" si="53"/>
        <v>0</v>
      </c>
      <c r="BH246" s="170">
        <f>(Escenarios!$F$16*AK246+0.1*BC246)/(Escenarios!$F$19)</f>
        <v>0.16193533230758642</v>
      </c>
      <c r="BI246" s="170">
        <f>IF(Escenarios!$F$17&gt;0,BF246/10/Escenarios!$F$19,AL246)</f>
        <v>0</v>
      </c>
      <c r="BJ246" s="170">
        <f>(Escenarios!$F$16*AT246+0.1*BD246)/(Escenarios!$F$19)</f>
        <v>0</v>
      </c>
      <c r="BK246" s="76">
        <f>BK245+(0.1*BD246)/(Escenarios!$F$19)-BL245</f>
        <v>48.75</v>
      </c>
      <c r="BL246" s="76">
        <f>MAX(0,(BK246-Constantes!$D$13)*(1-EXP(-Constantes!$D$23)))</f>
        <v>0</v>
      </c>
      <c r="BM246" s="76">
        <f t="shared" si="54"/>
        <v>0.27357851869330585</v>
      </c>
      <c r="BN246" s="76">
        <f t="shared" si="55"/>
        <v>0.2735785188063149</v>
      </c>
      <c r="BO246" s="76">
        <f>0.0526*BI246*Observaciones!$F245^1.218</f>
        <v>0</v>
      </c>
      <c r="BP246" s="76">
        <f>BO246*Constantes!$F$51</f>
        <v>0</v>
      </c>
      <c r="BQ246" s="76">
        <f t="shared" si="56"/>
        <v>0</v>
      </c>
      <c r="BR246" s="40"/>
    </row>
    <row r="247" spans="2:70">
      <c r="B247" s="39"/>
      <c r="C247" s="75">
        <v>241</v>
      </c>
      <c r="D247" s="146">
        <f>ETo!$I246*((1-Constantes!$F$19)*ETo!$K246+ETo!$L246)</f>
        <v>3.3524687054879472</v>
      </c>
      <c r="E247" s="76">
        <f>MIN(D247*Constantes!$F$17,0.8*(N246+Observaciones!$F246-F247-M247-Constantes!$D$14))</f>
        <v>3.0159839070620365E-9</v>
      </c>
      <c r="F247" s="76">
        <f>IF(Observaciones!$F246&gt;0.05*Constantes!$F$18,((Observaciones!$F246-0.05*Constantes!$F$18)^2)/(Observaciones!$F246+0.95*Constantes!$F$18),0)</f>
        <v>0</v>
      </c>
      <c r="G247" s="76">
        <f>IF(Escenarios!$F$11&gt;0,(F247*Escenarios!$F$16*10000)/1000,0)</f>
        <v>0</v>
      </c>
      <c r="H247" s="76">
        <f>IF(Escenarios!$F$11&gt;0,(Observaciones!$F246*Constantes!$F$29)/1000,0)</f>
        <v>0</v>
      </c>
      <c r="I247" s="76">
        <f>IF(Escenarios!$F$11&gt;0,(D247*Constantes!$F$29)/1000,0)</f>
        <v>0</v>
      </c>
      <c r="J247" s="76">
        <f>IF(Escenarios!$F$11&gt;0,MAX(0,G247+H247-I247),0)</f>
        <v>0</v>
      </c>
      <c r="K247" s="76">
        <f>IF(Escenarios!$F$11&gt;0,IF(J247&gt;Constantes!$F$30,1000*((J247-Constantes!$F$30)/(Escenarios!$F$16*10000)),0),F247)</f>
        <v>0</v>
      </c>
      <c r="L247" s="76">
        <f>IF(Escenarios!$F$11&gt;0,I247*1000/Escenarios!$F$16/10000+E247,E247)</f>
        <v>3.0159839070620365E-9</v>
      </c>
      <c r="M247" s="76">
        <f>MAX(0,N246+Observaciones!$F246-K247-Constantes!$D$13)</f>
        <v>0</v>
      </c>
      <c r="N247" s="76">
        <f>N246+Observaciones!$F246-K247-L247-M247-O246</f>
        <v>11.250000000625576</v>
      </c>
      <c r="O247" s="76">
        <f>MAX(0,(N247-Constantes!$D$14)*(1-EXP(-Constantes!$D$22)))</f>
        <v>2.1309416302974736E-11</v>
      </c>
      <c r="P247" s="170">
        <f>P246+(Entradas!$F$83*M247-Q246)/(800*Entradas!$D$25)</f>
        <v>0</v>
      </c>
      <c r="Q247" s="170">
        <f>8000*Entradas!$D$26*P247/Constantes!$F$45</f>
        <v>0</v>
      </c>
      <c r="R247" s="170">
        <f>IF(Escenarios!$F$14&gt;0,K247*Escenarios!$F$13/Escenarios!$F$14,0)</f>
        <v>0</v>
      </c>
      <c r="S247" s="170">
        <f>IF(Escenarios!$F$14&gt;0,Q247*Escenarios!$F$13/Escenarios!$F$14,0)</f>
        <v>0</v>
      </c>
      <c r="T247" s="170">
        <f>IF(Escenarios!$F$14&gt;0,Observaciones!$I246,0)</f>
        <v>0</v>
      </c>
      <c r="U247" s="170">
        <f>IF(Escenarios!$F$14&gt;0,MAX(0,Constantes!$F$36/((Z246+R247+S247+T247+Observaciones!$F246)^2)+Entradas!$F$77),0)</f>
        <v>0</v>
      </c>
      <c r="V247" s="146">
        <f>IF(ETo!D246&gt;0,ETo!I246*((1-Entradas!$F$81)*ETo!K246+ETo!L246),0)</f>
        <v>2.955141820124048</v>
      </c>
      <c r="W247" s="170">
        <f>IF(Escenarios!$F$14&gt;0,MIN(V247*1,0.8*(Z246+R247+S247+T247+Observaciones!$F246-U247-Constantes!$F$35)),0)</f>
        <v>1.0814488859978155E-8</v>
      </c>
      <c r="X247" s="170">
        <f>IF(Escenarios!$F$14&gt;0,Observaciones!$J246,0)</f>
        <v>0</v>
      </c>
      <c r="Y247" s="170">
        <f>IF(Escenarios!$F$14&gt;0,MAX(0,Z246+R247+S247+T247+Observaciones!$F246-U247-W247-X247-Constantes!$F$33),0)</f>
        <v>0</v>
      </c>
      <c r="Z247" s="170">
        <f>Z246+R247+S247+T247+Observaciones!$F246-U247-W247-Y247</f>
        <v>41.250000002703622</v>
      </c>
      <c r="AA247" s="170">
        <f>IF(Escenarios!$F$14&gt;0,(Escenarios!$F$13*L247+Escenarios!$F$14*W247)/(Escenarios!$F$16),L247)</f>
        <v>3.951804501411971E-9</v>
      </c>
      <c r="AB247" s="170">
        <f>IF(Escenarios!$F$14&gt;0,(Escenarios!$F$14*Y247)/(Escenarios!$F$16),K247)</f>
        <v>0</v>
      </c>
      <c r="AC247" s="170">
        <f>IF(Escenarios!$F$14&gt;0,(Escenarios!$F$13*M247+Escenarios!$F$14*U247)/(Escenarios!$F$16),M247)</f>
        <v>0</v>
      </c>
      <c r="AD247" s="76">
        <f t="shared" si="43"/>
        <v>74.352240917413212</v>
      </c>
      <c r="AE247" s="76">
        <f>MAX(0,(AD247-Constantes!$D$13)*(1-EXP(-Constantes!$D$23)))</f>
        <v>0.25226497773796702</v>
      </c>
      <c r="AF247" s="76">
        <f>AB247+O247*Escenarios!$F$13/Escenarios!$F$16+AE247</f>
        <v>0.2522649777567193</v>
      </c>
      <c r="AG247" s="76">
        <f>IF(Entradas!$F$91&gt;0,IF(AF247-Escenarios!$F$38&lt;=0,0,IF(AF247-Escenarios!$F$38&gt;Escenarios!$F$37,Escenarios!$F$37,AF247-Escenarios!$F$38)),0)</f>
        <v>0</v>
      </c>
      <c r="AH247" s="76">
        <f>AG247*Entradas!$F$99</f>
        <v>0</v>
      </c>
      <c r="AI247" s="76">
        <f>IF(Entradas!$F$91&gt;0,D247*Entradas!$D$23/Escenarios!$F$16,0)</f>
        <v>0.16091849786342147</v>
      </c>
      <c r="AJ247" s="76">
        <f>IF(Entradas!$F$91&gt;0,Entradas!$D$24*Entradas!$D$22/Escenarios!$F$16,0)</f>
        <v>0.12</v>
      </c>
      <c r="AK247" s="76">
        <f t="shared" si="44"/>
        <v>0.16091850181522596</v>
      </c>
      <c r="AL247" s="76">
        <f t="shared" si="45"/>
        <v>0</v>
      </c>
      <c r="AM247" s="76">
        <f t="shared" si="46"/>
        <v>0</v>
      </c>
      <c r="AN247" s="76">
        <f>MAX(0,O247*Escenarios!$F$13/Escenarios!$F$16-AM247)</f>
        <v>1.8752286346617768E-11</v>
      </c>
      <c r="AO247" s="76">
        <f>AM247+AN247-O247*Escenarios!$F$13/Escenarios!$F$16</f>
        <v>0</v>
      </c>
      <c r="AP247" s="76">
        <f t="shared" si="47"/>
        <v>0.25226497773796702</v>
      </c>
      <c r="AQ247" s="76">
        <f t="shared" si="48"/>
        <v>0</v>
      </c>
      <c r="AR247" s="76">
        <f t="shared" si="49"/>
        <v>0.2522649777567193</v>
      </c>
      <c r="AS247" s="76">
        <f t="shared" si="50"/>
        <v>0</v>
      </c>
      <c r="AT247" s="76">
        <f t="shared" si="51"/>
        <v>0</v>
      </c>
      <c r="AU247" s="76">
        <f t="shared" si="52"/>
        <v>49.96134892588536</v>
      </c>
      <c r="AV247" s="76">
        <f>MAX(0,(AU247-Constantes!$D$13)*(1-EXP(-Constantes!$D$24)))</f>
        <v>1.8515767614769092E-2</v>
      </c>
      <c r="AW247" s="170">
        <f>AW246+(Entradas!$F$112*AT247-AX246)/(800*Entradas!$D$25)</f>
        <v>0</v>
      </c>
      <c r="AX247" s="170">
        <f>8000*Entradas!$D$26*AW247/Constantes!$F$45</f>
        <v>0</v>
      </c>
      <c r="AY247" s="170">
        <f>IF(Escenarios!$F$17&gt;0,10*Escenarios!$F$16*AL247,0)</f>
        <v>0</v>
      </c>
      <c r="AZ247" s="170">
        <f>IF(Escenarios!$F$17&gt;0,10*Escenarios!$F$16*AX247,0)</f>
        <v>0</v>
      </c>
      <c r="BA247" s="170">
        <f>IF(Escenarios!$F$17&gt;0,0.001*Observaciones!$F246*Escenarios!$F$17,0)</f>
        <v>0</v>
      </c>
      <c r="BB247" s="170">
        <f>IF(Escenarios!$F$17&gt;0,Observaciones!$K246,0)</f>
        <v>0</v>
      </c>
      <c r="BC247" s="170">
        <f>IF(Escenarios!$F$17&gt;0,MIN(0.0005*ETo!$M246*Escenarios!$F$17*(BG246/Constantes!$F$40)^(2/3),BG246+AY247+AZ247+BA247+BB247),0)</f>
        <v>0</v>
      </c>
      <c r="BD247" s="170">
        <f>IF(Escenarios!$F$17&gt;0,MIN(Constantes!$F$39*(BG246/Constantes!$F$40)^(2/3),BG246+AY247+AZ247+BA247+BB247-BC247),0)</f>
        <v>0</v>
      </c>
      <c r="BE247" s="170">
        <f>IF(Escenarios!$F$17&gt;0,MIN(Entradas!$F$113,BG246+AY247+AZ247+BA247+BB247-BC247-BD247),0)</f>
        <v>0</v>
      </c>
      <c r="BF247" s="170">
        <f>IF(Escenarios!$F$17&gt;0,MAX(0,BG246+AY247+AZ247+BA247+BB247-BC247-BD247-BE247-Constantes!$F$40),0)</f>
        <v>0</v>
      </c>
      <c r="BG247" s="170">
        <f t="shared" si="53"/>
        <v>0</v>
      </c>
      <c r="BH247" s="170">
        <f>(Escenarios!$F$16*AK247+0.1*BC247)/(Escenarios!$F$19)</f>
        <v>0.16091850181522596</v>
      </c>
      <c r="BI247" s="170">
        <f>IF(Escenarios!$F$17&gt;0,BF247/10/Escenarios!$F$19,AL247)</f>
        <v>0</v>
      </c>
      <c r="BJ247" s="170">
        <f>(Escenarios!$F$16*AT247+0.1*BD247)/(Escenarios!$F$19)</f>
        <v>0</v>
      </c>
      <c r="BK247" s="76">
        <f>BK246+(0.1*BD247)/(Escenarios!$F$19)-BL246</f>
        <v>48.75</v>
      </c>
      <c r="BL247" s="76">
        <f>MAX(0,(BK247-Constantes!$D$13)*(1-EXP(-Constantes!$D$23)))</f>
        <v>0</v>
      </c>
      <c r="BM247" s="76">
        <f t="shared" si="54"/>
        <v>0.27078074535273611</v>
      </c>
      <c r="BN247" s="76">
        <f t="shared" si="55"/>
        <v>0.27078074537148838</v>
      </c>
      <c r="BO247" s="76">
        <f>0.0526*BI247*Observaciones!$F246^1.218</f>
        <v>0</v>
      </c>
      <c r="BP247" s="76">
        <f>BO247*Constantes!$F$51</f>
        <v>0</v>
      </c>
      <c r="BQ247" s="76">
        <f t="shared" si="56"/>
        <v>0</v>
      </c>
      <c r="BR247" s="40"/>
    </row>
    <row r="248" spans="2:70">
      <c r="B248" s="39"/>
      <c r="C248" s="75">
        <v>242</v>
      </c>
      <c r="D248" s="146">
        <f>ETo!$I247*((1-Constantes!$F$19)*ETo!$K247+ETo!$L247)</f>
        <v>3.5257687336387713</v>
      </c>
      <c r="E248" s="76">
        <f>MIN(D248*Constantes!$F$17,0.8*(N247+Observaciones!$F247-F248-M248-Constantes!$D$14))</f>
        <v>5.0046082833432597E-10</v>
      </c>
      <c r="F248" s="76">
        <f>IF(Observaciones!$F247&gt;0.05*Constantes!$F$18,((Observaciones!$F247-0.05*Constantes!$F$18)^2)/(Observaciones!$F247+0.95*Constantes!$F$18),0)</f>
        <v>0</v>
      </c>
      <c r="G248" s="76">
        <f>IF(Escenarios!$F$11&gt;0,(F248*Escenarios!$F$16*10000)/1000,0)</f>
        <v>0</v>
      </c>
      <c r="H248" s="76">
        <f>IF(Escenarios!$F$11&gt;0,(Observaciones!$F247*Constantes!$F$29)/1000,0)</f>
        <v>0</v>
      </c>
      <c r="I248" s="76">
        <f>IF(Escenarios!$F$11&gt;0,(D248*Constantes!$F$29)/1000,0)</f>
        <v>0</v>
      </c>
      <c r="J248" s="76">
        <f>IF(Escenarios!$F$11&gt;0,MAX(0,G248+H248-I248),0)</f>
        <v>0</v>
      </c>
      <c r="K248" s="76">
        <f>IF(Escenarios!$F$11&gt;0,IF(J248&gt;Constantes!$F$30,1000*((J248-Constantes!$F$30)/(Escenarios!$F$16*10000)),0),F248)</f>
        <v>0</v>
      </c>
      <c r="L248" s="76">
        <f>IF(Escenarios!$F$11&gt;0,I248*1000/Escenarios!$F$16/10000+E248,E248)</f>
        <v>5.0046082833432597E-10</v>
      </c>
      <c r="M248" s="76">
        <f>MAX(0,N247+Observaciones!$F247-K248-Constantes!$D$13)</f>
        <v>0</v>
      </c>
      <c r="N248" s="76">
        <f>N247+Observaciones!$F247-K248-L248-M248-O247</f>
        <v>11.250000000103807</v>
      </c>
      <c r="O248" s="76">
        <f>MAX(0,(N248-Constantes!$D$14)*(1-EXP(-Constantes!$D$22)))</f>
        <v>3.5360386801561689E-12</v>
      </c>
      <c r="P248" s="170">
        <f>P247+(Entradas!$F$83*M248-Q247)/(800*Entradas!$D$25)</f>
        <v>0</v>
      </c>
      <c r="Q248" s="170">
        <f>8000*Entradas!$D$26*P248/Constantes!$F$45</f>
        <v>0</v>
      </c>
      <c r="R248" s="170">
        <f>IF(Escenarios!$F$14&gt;0,K248*Escenarios!$F$13/Escenarios!$F$14,0)</f>
        <v>0</v>
      </c>
      <c r="S248" s="170">
        <f>IF(Escenarios!$F$14&gt;0,Q248*Escenarios!$F$13/Escenarios!$F$14,0)</f>
        <v>0</v>
      </c>
      <c r="T248" s="170">
        <f>IF(Escenarios!$F$14&gt;0,Observaciones!$I247,0)</f>
        <v>0</v>
      </c>
      <c r="U248" s="170">
        <f>IF(Escenarios!$F$14&gt;0,MAX(0,Constantes!$F$36/((Z247+R248+S248+T248+Observaciones!$F247)^2)+Entradas!$F$77),0)</f>
        <v>0</v>
      </c>
      <c r="V248" s="146">
        <f>IF(ETo!D247&gt;0,ETo!I247*((1-Entradas!$F$81)*ETo!K247+ETo!L247),0)</f>
        <v>3.1099235125679634</v>
      </c>
      <c r="W248" s="170">
        <f>IF(Escenarios!$F$14&gt;0,MIN(V248*1,0.8*(Z247+R248+S248+T248+Observaciones!$F247-U248-Constantes!$F$35)),0)</f>
        <v>2.162897771995631E-9</v>
      </c>
      <c r="X248" s="170">
        <f>IF(Escenarios!$F$14&gt;0,Observaciones!$J247,0)</f>
        <v>0</v>
      </c>
      <c r="Y248" s="170">
        <f>IF(Escenarios!$F$14&gt;0,MAX(0,Z247+R248+S248+T248+Observaciones!$F247-U248-W248-X248-Constantes!$F$33),0)</f>
        <v>0</v>
      </c>
      <c r="Z248" s="170">
        <f>Z247+R248+S248+T248+Observaciones!$F247-U248-W248-Y248</f>
        <v>41.250000000540723</v>
      </c>
      <c r="AA248" s="170">
        <f>IF(Escenarios!$F$14&gt;0,(Escenarios!$F$13*L248+Escenarios!$F$14*W248)/(Escenarios!$F$16),L248)</f>
        <v>6.9995326157368257E-10</v>
      </c>
      <c r="AB248" s="170">
        <f>IF(Escenarios!$F$14&gt;0,(Escenarios!$F$14*Y248)/(Escenarios!$F$16),K248)</f>
        <v>0</v>
      </c>
      <c r="AC248" s="170">
        <f>IF(Escenarios!$F$14&gt;0,(Escenarios!$F$13*M248+Escenarios!$F$14*U248)/(Escenarios!$F$16),M248)</f>
        <v>0</v>
      </c>
      <c r="AD248" s="76">
        <f t="shared" si="43"/>
        <v>74.099975939675247</v>
      </c>
      <c r="AE248" s="76">
        <f>MAX(0,(AD248-Constantes!$D$13)*(1-EXP(-Constantes!$D$23)))</f>
        <v>0.24977935082747832</v>
      </c>
      <c r="AF248" s="76">
        <f>AB248+O248*Escenarios!$F$13/Escenarios!$F$16+AE248</f>
        <v>0.24977935083059002</v>
      </c>
      <c r="AG248" s="76">
        <f>IF(Entradas!$F$91&gt;0,IF(AF248-Escenarios!$F$38&lt;=0,0,IF(AF248-Escenarios!$F$38&gt;Escenarios!$F$37,Escenarios!$F$37,AF248-Escenarios!$F$38)),0)</f>
        <v>0</v>
      </c>
      <c r="AH248" s="76">
        <f>AG248*Entradas!$F$99</f>
        <v>0</v>
      </c>
      <c r="AI248" s="76">
        <f>IF(Entradas!$F$91&gt;0,D248*Entradas!$D$23/Escenarios!$F$16,0)</f>
        <v>0.16923689921466104</v>
      </c>
      <c r="AJ248" s="76">
        <f>IF(Entradas!$F$91&gt;0,Entradas!$D$24*Entradas!$D$22/Escenarios!$F$16,0)</f>
        <v>0.12</v>
      </c>
      <c r="AK248" s="76">
        <f t="shared" si="44"/>
        <v>0.1692368999146143</v>
      </c>
      <c r="AL248" s="76">
        <f t="shared" si="45"/>
        <v>0</v>
      </c>
      <c r="AM248" s="76">
        <f t="shared" si="46"/>
        <v>0</v>
      </c>
      <c r="AN248" s="76">
        <f>MAX(0,O248*Escenarios!$F$13/Escenarios!$F$16-AM248)</f>
        <v>3.1117140385374289E-12</v>
      </c>
      <c r="AO248" s="76">
        <f>AM248+AN248-O248*Escenarios!$F$13/Escenarios!$F$16</f>
        <v>0</v>
      </c>
      <c r="AP248" s="76">
        <f t="shared" si="47"/>
        <v>0.24977935082747832</v>
      </c>
      <c r="AQ248" s="76">
        <f t="shared" si="48"/>
        <v>0</v>
      </c>
      <c r="AR248" s="76">
        <f t="shared" si="49"/>
        <v>0.24977935083059002</v>
      </c>
      <c r="AS248" s="76">
        <f t="shared" si="50"/>
        <v>0</v>
      </c>
      <c r="AT248" s="76">
        <f t="shared" si="51"/>
        <v>0</v>
      </c>
      <c r="AU248" s="76">
        <f t="shared" si="52"/>
        <v>49.942833158270588</v>
      </c>
      <c r="AV248" s="76">
        <f>MAX(0,(AU248-Constantes!$D$13)*(1-EXP(-Constantes!$D$24)))</f>
        <v>1.8232749532168639E-2</v>
      </c>
      <c r="AW248" s="170">
        <f>AW247+(Entradas!$F$112*AT248-AX247)/(800*Entradas!$D$25)</f>
        <v>0</v>
      </c>
      <c r="AX248" s="170">
        <f>8000*Entradas!$D$26*AW248/Constantes!$F$45</f>
        <v>0</v>
      </c>
      <c r="AY248" s="170">
        <f>IF(Escenarios!$F$17&gt;0,10*Escenarios!$F$16*AL248,0)</f>
        <v>0</v>
      </c>
      <c r="AZ248" s="170">
        <f>IF(Escenarios!$F$17&gt;0,10*Escenarios!$F$16*AX248,0)</f>
        <v>0</v>
      </c>
      <c r="BA248" s="170">
        <f>IF(Escenarios!$F$17&gt;0,0.001*Observaciones!$F247*Escenarios!$F$17,0)</f>
        <v>0</v>
      </c>
      <c r="BB248" s="170">
        <f>IF(Escenarios!$F$17&gt;0,Observaciones!$K247,0)</f>
        <v>0</v>
      </c>
      <c r="BC248" s="170">
        <f>IF(Escenarios!$F$17&gt;0,MIN(0.0005*ETo!$M247*Escenarios!$F$17*(BG247/Constantes!$F$40)^(2/3),BG247+AY248+AZ248+BA248+BB248),0)</f>
        <v>0</v>
      </c>
      <c r="BD248" s="170">
        <f>IF(Escenarios!$F$17&gt;0,MIN(Constantes!$F$39*(BG247/Constantes!$F$40)^(2/3),BG247+AY248+AZ248+BA248+BB248-BC248),0)</f>
        <v>0</v>
      </c>
      <c r="BE248" s="170">
        <f>IF(Escenarios!$F$17&gt;0,MIN(Entradas!$F$113,BG247+AY248+AZ248+BA248+BB248-BC248-BD248),0)</f>
        <v>0</v>
      </c>
      <c r="BF248" s="170">
        <f>IF(Escenarios!$F$17&gt;0,MAX(0,BG247+AY248+AZ248+BA248+BB248-BC248-BD248-BE248-Constantes!$F$40),0)</f>
        <v>0</v>
      </c>
      <c r="BG248" s="170">
        <f t="shared" si="53"/>
        <v>0</v>
      </c>
      <c r="BH248" s="170">
        <f>(Escenarios!$F$16*AK248+0.1*BC248)/(Escenarios!$F$19)</f>
        <v>0.1692368999146143</v>
      </c>
      <c r="BI248" s="170">
        <f>IF(Escenarios!$F$17&gt;0,BF248/10/Escenarios!$F$19,AL248)</f>
        <v>0</v>
      </c>
      <c r="BJ248" s="170">
        <f>(Escenarios!$F$16*AT248+0.1*BD248)/(Escenarios!$F$19)</f>
        <v>0</v>
      </c>
      <c r="BK248" s="76">
        <f>BK247+(0.1*BD248)/(Escenarios!$F$19)-BL247</f>
        <v>48.75</v>
      </c>
      <c r="BL248" s="76">
        <f>MAX(0,(BK248-Constantes!$D$13)*(1-EXP(-Constantes!$D$23)))</f>
        <v>0</v>
      </c>
      <c r="BM248" s="76">
        <f t="shared" si="54"/>
        <v>0.26801210035964695</v>
      </c>
      <c r="BN248" s="76">
        <f t="shared" si="55"/>
        <v>0.26801210036275869</v>
      </c>
      <c r="BO248" s="76">
        <f>0.0526*BI248*Observaciones!$F247^1.218</f>
        <v>0</v>
      </c>
      <c r="BP248" s="76">
        <f>BO248*Constantes!$F$51</f>
        <v>0</v>
      </c>
      <c r="BQ248" s="76">
        <f t="shared" si="56"/>
        <v>0</v>
      </c>
      <c r="BR248" s="40"/>
    </row>
    <row r="249" spans="2:70">
      <c r="B249" s="39"/>
      <c r="C249" s="75">
        <v>243</v>
      </c>
      <c r="D249" s="146">
        <f>ETo!$I248*((1-Constantes!$F$19)*ETo!$K248+ETo!$L248)</f>
        <v>3.5045251010580238</v>
      </c>
      <c r="E249" s="76">
        <f>MIN(D249*Constantes!$F$17,0.8*(N248+Observaciones!$F248-F249-M249-Constantes!$D$14))</f>
        <v>8.3045392784697472E-11</v>
      </c>
      <c r="F249" s="76">
        <f>IF(Observaciones!$F248&gt;0.05*Constantes!$F$18,((Observaciones!$F248-0.05*Constantes!$F$18)^2)/(Observaciones!$F248+0.95*Constantes!$F$18),0)</f>
        <v>0</v>
      </c>
      <c r="G249" s="76">
        <f>IF(Escenarios!$F$11&gt;0,(F249*Escenarios!$F$16*10000)/1000,0)</f>
        <v>0</v>
      </c>
      <c r="H249" s="76">
        <f>IF(Escenarios!$F$11&gt;0,(Observaciones!$F248*Constantes!$F$29)/1000,0)</f>
        <v>0</v>
      </c>
      <c r="I249" s="76">
        <f>IF(Escenarios!$F$11&gt;0,(D249*Constantes!$F$29)/1000,0)</f>
        <v>0</v>
      </c>
      <c r="J249" s="76">
        <f>IF(Escenarios!$F$11&gt;0,MAX(0,G249+H249-I249),0)</f>
        <v>0</v>
      </c>
      <c r="K249" s="76">
        <f>IF(Escenarios!$F$11&gt;0,IF(J249&gt;Constantes!$F$30,1000*((J249-Constantes!$F$30)/(Escenarios!$F$16*10000)),0),F249)</f>
        <v>0</v>
      </c>
      <c r="L249" s="76">
        <f>IF(Escenarios!$F$11&gt;0,I249*1000/Escenarios!$F$16/10000+E249,E249)</f>
        <v>8.3045392784697472E-11</v>
      </c>
      <c r="M249" s="76">
        <f>MAX(0,N248+Observaciones!$F248-K249-Constantes!$D$13)</f>
        <v>0</v>
      </c>
      <c r="N249" s="76">
        <f>N248+Observaciones!$F248-K249-L249-M249-O248</f>
        <v>11.250000000017225</v>
      </c>
      <c r="O249" s="76">
        <f>MAX(0,(N249-Constantes!$D$14)*(1-EXP(-Constantes!$D$22)))</f>
        <v>5.8675805266221244E-13</v>
      </c>
      <c r="P249" s="170">
        <f>P248+(Entradas!$F$83*M249-Q248)/(800*Entradas!$D$25)</f>
        <v>0</v>
      </c>
      <c r="Q249" s="170">
        <f>8000*Entradas!$D$26*P249/Constantes!$F$45</f>
        <v>0</v>
      </c>
      <c r="R249" s="170">
        <f>IF(Escenarios!$F$14&gt;0,K249*Escenarios!$F$13/Escenarios!$F$14,0)</f>
        <v>0</v>
      </c>
      <c r="S249" s="170">
        <f>IF(Escenarios!$F$14&gt;0,Q249*Escenarios!$F$13/Escenarios!$F$14,0)</f>
        <v>0</v>
      </c>
      <c r="T249" s="170">
        <f>IF(Escenarios!$F$14&gt;0,Observaciones!$I248,0)</f>
        <v>0</v>
      </c>
      <c r="U249" s="170">
        <f>IF(Escenarios!$F$14&gt;0,MAX(0,Constantes!$F$36/((Z248+R249+S249+T249+Observaciones!$F248)^2)+Entradas!$F$77),0)</f>
        <v>0</v>
      </c>
      <c r="V249" s="146">
        <f>IF(ETo!D248&gt;0,ETo!I248*((1-Entradas!$F$81)*ETo!K248+ETo!L248),0)</f>
        <v>3.0914027304329901</v>
      </c>
      <c r="W249" s="170">
        <f>IF(Escenarios!$F$14&gt;0,MIN(V249*1,0.8*(Z248+R249+S249+T249+Observaciones!$F248-U249-Constantes!$F$35)),0)</f>
        <v>4.3257841753074899E-10</v>
      </c>
      <c r="X249" s="170">
        <f>IF(Escenarios!$F$14&gt;0,Observaciones!$J248,0)</f>
        <v>0</v>
      </c>
      <c r="Y249" s="170">
        <f>IF(Escenarios!$F$14&gt;0,MAX(0,Z248+R249+S249+T249+Observaciones!$F248-U249-W249-X249-Constantes!$F$33),0)</f>
        <v>0</v>
      </c>
      <c r="Z249" s="170">
        <f>Z248+R249+S249+T249+Observaciones!$F248-U249-W249-Y249</f>
        <v>41.250000000108145</v>
      </c>
      <c r="AA249" s="170">
        <f>IF(Escenarios!$F$14&gt;0,(Escenarios!$F$13*L249+Escenarios!$F$14*W249)/(Escenarios!$F$16),L249)</f>
        <v>1.2498935575422364E-10</v>
      </c>
      <c r="AB249" s="170">
        <f>IF(Escenarios!$F$14&gt;0,(Escenarios!$F$14*Y249)/(Escenarios!$F$16),K249)</f>
        <v>0</v>
      </c>
      <c r="AC249" s="170">
        <f>IF(Escenarios!$F$14&gt;0,(Escenarios!$F$13*M249+Escenarios!$F$14*U249)/(Escenarios!$F$16),M249)</f>
        <v>0</v>
      </c>
      <c r="AD249" s="76">
        <f t="shared" si="43"/>
        <v>73.850196588847766</v>
      </c>
      <c r="AE249" s="76">
        <f>MAX(0,(AD249-Constantes!$D$13)*(1-EXP(-Constantes!$D$23)))</f>
        <v>0.24731821539096885</v>
      </c>
      <c r="AF249" s="76">
        <f>AB249+O249*Escenarios!$F$13/Escenarios!$F$16+AE249</f>
        <v>0.24731821539148519</v>
      </c>
      <c r="AG249" s="76">
        <f>IF(Entradas!$F$91&gt;0,IF(AF249-Escenarios!$F$38&lt;=0,0,IF(AF249-Escenarios!$F$38&gt;Escenarios!$F$37,Escenarios!$F$37,AF249-Escenarios!$F$38)),0)</f>
        <v>0</v>
      </c>
      <c r="AH249" s="76">
        <f>AG249*Entradas!$F$99</f>
        <v>0</v>
      </c>
      <c r="AI249" s="76">
        <f>IF(Entradas!$F$91&gt;0,D249*Entradas!$D$23/Escenarios!$F$16,0)</f>
        <v>0.16821720485078515</v>
      </c>
      <c r="AJ249" s="76">
        <f>IF(Entradas!$F$91&gt;0,Entradas!$D$24*Entradas!$D$22/Escenarios!$F$16,0)</f>
        <v>0.12</v>
      </c>
      <c r="AK249" s="76">
        <f t="shared" si="44"/>
        <v>0.1682172049757745</v>
      </c>
      <c r="AL249" s="76">
        <f t="shared" si="45"/>
        <v>0</v>
      </c>
      <c r="AM249" s="76">
        <f t="shared" si="46"/>
        <v>0</v>
      </c>
      <c r="AN249" s="76">
        <f>MAX(0,O249*Escenarios!$F$13/Escenarios!$F$16-AM249)</f>
        <v>5.1634708634274691E-13</v>
      </c>
      <c r="AO249" s="76">
        <f>AM249+AN249-O249*Escenarios!$F$13/Escenarios!$F$16</f>
        <v>0</v>
      </c>
      <c r="AP249" s="76">
        <f t="shared" si="47"/>
        <v>0.24731821539096885</v>
      </c>
      <c r="AQ249" s="76">
        <f t="shared" si="48"/>
        <v>0</v>
      </c>
      <c r="AR249" s="76">
        <f t="shared" si="49"/>
        <v>0.24731821539148519</v>
      </c>
      <c r="AS249" s="76">
        <f t="shared" si="50"/>
        <v>0</v>
      </c>
      <c r="AT249" s="76">
        <f t="shared" si="51"/>
        <v>0</v>
      </c>
      <c r="AU249" s="76">
        <f t="shared" si="52"/>
        <v>49.924600408738421</v>
      </c>
      <c r="AV249" s="76">
        <f>MAX(0,(AU249-Constantes!$D$13)*(1-EXP(-Constantes!$D$24)))</f>
        <v>1.7954057450884828E-2</v>
      </c>
      <c r="AW249" s="170">
        <f>AW248+(Entradas!$F$112*AT249-AX248)/(800*Entradas!$D$25)</f>
        <v>0</v>
      </c>
      <c r="AX249" s="170">
        <f>8000*Entradas!$D$26*AW249/Constantes!$F$45</f>
        <v>0</v>
      </c>
      <c r="AY249" s="170">
        <f>IF(Escenarios!$F$17&gt;0,10*Escenarios!$F$16*AL249,0)</f>
        <v>0</v>
      </c>
      <c r="AZ249" s="170">
        <f>IF(Escenarios!$F$17&gt;0,10*Escenarios!$F$16*AX249,0)</f>
        <v>0</v>
      </c>
      <c r="BA249" s="170">
        <f>IF(Escenarios!$F$17&gt;0,0.001*Observaciones!$F248*Escenarios!$F$17,0)</f>
        <v>0</v>
      </c>
      <c r="BB249" s="170">
        <f>IF(Escenarios!$F$17&gt;0,Observaciones!$K248,0)</f>
        <v>0</v>
      </c>
      <c r="BC249" s="170">
        <f>IF(Escenarios!$F$17&gt;0,MIN(0.0005*ETo!$M248*Escenarios!$F$17*(BG248/Constantes!$F$40)^(2/3),BG248+AY249+AZ249+BA249+BB249),0)</f>
        <v>0</v>
      </c>
      <c r="BD249" s="170">
        <f>IF(Escenarios!$F$17&gt;0,MIN(Constantes!$F$39*(BG248/Constantes!$F$40)^(2/3),BG248+AY249+AZ249+BA249+BB249-BC249),0)</f>
        <v>0</v>
      </c>
      <c r="BE249" s="170">
        <f>IF(Escenarios!$F$17&gt;0,MIN(Entradas!$F$113,BG248+AY249+AZ249+BA249+BB249-BC249-BD249),0)</f>
        <v>0</v>
      </c>
      <c r="BF249" s="170">
        <f>IF(Escenarios!$F$17&gt;0,MAX(0,BG248+AY249+AZ249+BA249+BB249-BC249-BD249-BE249-Constantes!$F$40),0)</f>
        <v>0</v>
      </c>
      <c r="BG249" s="170">
        <f t="shared" si="53"/>
        <v>0</v>
      </c>
      <c r="BH249" s="170">
        <f>(Escenarios!$F$16*AK249+0.1*BC249)/(Escenarios!$F$19)</f>
        <v>0.1682172049757745</v>
      </c>
      <c r="BI249" s="170">
        <f>IF(Escenarios!$F$17&gt;0,BF249/10/Escenarios!$F$19,AL249)</f>
        <v>0</v>
      </c>
      <c r="BJ249" s="170">
        <f>(Escenarios!$F$16*AT249+0.1*BD249)/(Escenarios!$F$19)</f>
        <v>0</v>
      </c>
      <c r="BK249" s="76">
        <f>BK248+(0.1*BD249)/(Escenarios!$F$19)-BL248</f>
        <v>48.75</v>
      </c>
      <c r="BL249" s="76">
        <f>MAX(0,(BK249-Constantes!$D$13)*(1-EXP(-Constantes!$D$23)))</f>
        <v>0</v>
      </c>
      <c r="BM249" s="76">
        <f t="shared" si="54"/>
        <v>0.26527227284185367</v>
      </c>
      <c r="BN249" s="76">
        <f t="shared" si="55"/>
        <v>0.26527227284237004</v>
      </c>
      <c r="BO249" s="76">
        <f>0.0526*BI249*Observaciones!$F248^1.218</f>
        <v>0</v>
      </c>
      <c r="BP249" s="76">
        <f>BO249*Constantes!$F$51</f>
        <v>0</v>
      </c>
      <c r="BQ249" s="76">
        <f t="shared" si="56"/>
        <v>0</v>
      </c>
      <c r="BR249" s="40"/>
    </row>
    <row r="250" spans="2:70">
      <c r="B250" s="39"/>
      <c r="C250" s="75">
        <v>244</v>
      </c>
      <c r="D250" s="146">
        <f>ETo!$I249*((1-Constantes!$F$19)*ETo!$K249+ETo!$L249)</f>
        <v>3.5931731369675211</v>
      </c>
      <c r="E250" s="76">
        <f>MIN(D250*Constantes!$F$17,0.8*(N249+Observaciones!$F249-F250-M250-Constantes!$D$14))</f>
        <v>1.3780265817331384E-11</v>
      </c>
      <c r="F250" s="76">
        <f>IF(Observaciones!$F249&gt;0.05*Constantes!$F$18,((Observaciones!$F249-0.05*Constantes!$F$18)^2)/(Observaciones!$F249+0.95*Constantes!$F$18),0)</f>
        <v>0</v>
      </c>
      <c r="G250" s="76">
        <f>IF(Escenarios!$F$11&gt;0,(F250*Escenarios!$F$16*10000)/1000,0)</f>
        <v>0</v>
      </c>
      <c r="H250" s="76">
        <f>IF(Escenarios!$F$11&gt;0,(Observaciones!$F249*Constantes!$F$29)/1000,0)</f>
        <v>0</v>
      </c>
      <c r="I250" s="76">
        <f>IF(Escenarios!$F$11&gt;0,(D250*Constantes!$F$29)/1000,0)</f>
        <v>0</v>
      </c>
      <c r="J250" s="76">
        <f>IF(Escenarios!$F$11&gt;0,MAX(0,G250+H250-I250),0)</f>
        <v>0</v>
      </c>
      <c r="K250" s="76">
        <f>IF(Escenarios!$F$11&gt;0,IF(J250&gt;Constantes!$F$30,1000*((J250-Constantes!$F$30)/(Escenarios!$F$16*10000)),0),F250)</f>
        <v>0</v>
      </c>
      <c r="L250" s="76">
        <f>IF(Escenarios!$F$11&gt;0,I250*1000/Escenarios!$F$16/10000+E250,E250)</f>
        <v>1.3780265817331384E-11</v>
      </c>
      <c r="M250" s="76">
        <f>MAX(0,N249+Observaciones!$F249-K250-Constantes!$D$13)</f>
        <v>0</v>
      </c>
      <c r="N250" s="76">
        <f>N249+Observaciones!$F249-K250-L250-M250-O249</f>
        <v>11.250000000002858</v>
      </c>
      <c r="O250" s="76">
        <f>MAX(0,(N250-Constantes!$D$14)*(1-EXP(-Constantes!$D$22)))</f>
        <v>9.7359359258894477E-14</v>
      </c>
      <c r="P250" s="170">
        <f>P249+(Entradas!$F$83*M250-Q249)/(800*Entradas!$D$25)</f>
        <v>0</v>
      </c>
      <c r="Q250" s="170">
        <f>8000*Entradas!$D$26*P250/Constantes!$F$45</f>
        <v>0</v>
      </c>
      <c r="R250" s="170">
        <f>IF(Escenarios!$F$14&gt;0,K250*Escenarios!$F$13/Escenarios!$F$14,0)</f>
        <v>0</v>
      </c>
      <c r="S250" s="170">
        <f>IF(Escenarios!$F$14&gt;0,Q250*Escenarios!$F$13/Escenarios!$F$14,0)</f>
        <v>0</v>
      </c>
      <c r="T250" s="170">
        <f>IF(Escenarios!$F$14&gt;0,Observaciones!$I249,0)</f>
        <v>0</v>
      </c>
      <c r="U250" s="170">
        <f>IF(Escenarios!$F$14&gt;0,MAX(0,Constantes!$F$36/((Z249+R250+S250+T250+Observaciones!$F249)^2)+Entradas!$F$77),0)</f>
        <v>0</v>
      </c>
      <c r="V250" s="146">
        <f>IF(ETo!D249&gt;0,ETo!I249*((1-Entradas!$F$81)*ETo!K249+ETo!L249),0)</f>
        <v>3.1710158922764857</v>
      </c>
      <c r="W250" s="170">
        <f>IF(Escenarios!$F$14&gt;0,MIN(V250*1,0.8*(Z249+R250+S250+T250+Observaciones!$F249-U250-Constantes!$F$35)),0)</f>
        <v>8.6515683506149799E-11</v>
      </c>
      <c r="X250" s="170">
        <f>IF(Escenarios!$F$14&gt;0,Observaciones!$J249,0)</f>
        <v>0</v>
      </c>
      <c r="Y250" s="170">
        <f>IF(Escenarios!$F$14&gt;0,MAX(0,Z249+R250+S250+T250+Observaciones!$F249-U250-W250-X250-Constantes!$F$33),0)</f>
        <v>0</v>
      </c>
      <c r="Z250" s="170">
        <f>Z249+R250+S250+T250+Observaciones!$F249-U250-W250-Y250</f>
        <v>41.250000000021629</v>
      </c>
      <c r="AA250" s="170">
        <f>IF(Escenarios!$F$14&gt;0,(Escenarios!$F$13*L250+Escenarios!$F$14*W250)/(Escenarios!$F$16),L250)</f>
        <v>2.2508515939989592E-11</v>
      </c>
      <c r="AB250" s="170">
        <f>IF(Escenarios!$F$14&gt;0,(Escenarios!$F$14*Y250)/(Escenarios!$F$16),K250)</f>
        <v>0</v>
      </c>
      <c r="AC250" s="170">
        <f>IF(Escenarios!$F$14&gt;0,(Escenarios!$F$13*M250+Escenarios!$F$14*U250)/(Escenarios!$F$16),M250)</f>
        <v>0</v>
      </c>
      <c r="AD250" s="76">
        <f t="shared" si="43"/>
        <v>73.602878373456804</v>
      </c>
      <c r="AE250" s="76">
        <f>MAX(0,(AD250-Constantes!$D$13)*(1-EXP(-Constantes!$D$23)))</f>
        <v>0.24488133010811219</v>
      </c>
      <c r="AF250" s="76">
        <f>AB250+O250*Escenarios!$F$13/Escenarios!$F$16+AE250</f>
        <v>0.24488133010819788</v>
      </c>
      <c r="AG250" s="76">
        <f>IF(Entradas!$F$91&gt;0,IF(AF250-Escenarios!$F$38&lt;=0,0,IF(AF250-Escenarios!$F$38&gt;Escenarios!$F$37,Escenarios!$F$37,AF250-Escenarios!$F$38)),0)</f>
        <v>0</v>
      </c>
      <c r="AH250" s="76">
        <f>AG250*Entradas!$F$99</f>
        <v>0</v>
      </c>
      <c r="AI250" s="76">
        <f>IF(Entradas!$F$91&gt;0,D250*Entradas!$D$23/Escenarios!$F$16,0)</f>
        <v>0.17247231057444098</v>
      </c>
      <c r="AJ250" s="76">
        <f>IF(Entradas!$F$91&gt;0,Entradas!$D$24*Entradas!$D$22/Escenarios!$F$16,0)</f>
        <v>0.12</v>
      </c>
      <c r="AK250" s="76">
        <f t="shared" si="44"/>
        <v>0.17247231059694951</v>
      </c>
      <c r="AL250" s="76">
        <f t="shared" si="45"/>
        <v>0</v>
      </c>
      <c r="AM250" s="76">
        <f t="shared" si="46"/>
        <v>0</v>
      </c>
      <c r="AN250" s="76">
        <f>MAX(0,O250*Escenarios!$F$13/Escenarios!$F$16-AM250)</f>
        <v>8.5676236147827135E-14</v>
      </c>
      <c r="AO250" s="76">
        <f>AM250+AN250-O250*Escenarios!$F$13/Escenarios!$F$16</f>
        <v>0</v>
      </c>
      <c r="AP250" s="76">
        <f t="shared" si="47"/>
        <v>0.24488133010811219</v>
      </c>
      <c r="AQ250" s="76">
        <f t="shared" si="48"/>
        <v>0</v>
      </c>
      <c r="AR250" s="76">
        <f t="shared" si="49"/>
        <v>0.24488133010819788</v>
      </c>
      <c r="AS250" s="76">
        <f t="shared" si="50"/>
        <v>0</v>
      </c>
      <c r="AT250" s="76">
        <f t="shared" si="51"/>
        <v>0</v>
      </c>
      <c r="AU250" s="76">
        <f t="shared" si="52"/>
        <v>49.906646351287534</v>
      </c>
      <c r="AV250" s="76">
        <f>MAX(0,(AU250-Constantes!$D$13)*(1-EXP(-Constantes!$D$24)))</f>
        <v>1.7679625246918615E-2</v>
      </c>
      <c r="AW250" s="170">
        <f>AW249+(Entradas!$F$112*AT250-AX249)/(800*Entradas!$D$25)</f>
        <v>0</v>
      </c>
      <c r="AX250" s="170">
        <f>8000*Entradas!$D$26*AW250/Constantes!$F$45</f>
        <v>0</v>
      </c>
      <c r="AY250" s="170">
        <f>IF(Escenarios!$F$17&gt;0,10*Escenarios!$F$16*AL250,0)</f>
        <v>0</v>
      </c>
      <c r="AZ250" s="170">
        <f>IF(Escenarios!$F$17&gt;0,10*Escenarios!$F$16*AX250,0)</f>
        <v>0</v>
      </c>
      <c r="BA250" s="170">
        <f>IF(Escenarios!$F$17&gt;0,0.001*Observaciones!$F249*Escenarios!$F$17,0)</f>
        <v>0</v>
      </c>
      <c r="BB250" s="170">
        <f>IF(Escenarios!$F$17&gt;0,Observaciones!$K249,0)</f>
        <v>0</v>
      </c>
      <c r="BC250" s="170">
        <f>IF(Escenarios!$F$17&gt;0,MIN(0.0005*ETo!$M249*Escenarios!$F$17*(BG249/Constantes!$F$40)^(2/3),BG249+AY250+AZ250+BA250+BB250),0)</f>
        <v>0</v>
      </c>
      <c r="BD250" s="170">
        <f>IF(Escenarios!$F$17&gt;0,MIN(Constantes!$F$39*(BG249/Constantes!$F$40)^(2/3),BG249+AY250+AZ250+BA250+BB250-BC250),0)</f>
        <v>0</v>
      </c>
      <c r="BE250" s="170">
        <f>IF(Escenarios!$F$17&gt;0,MIN(Entradas!$F$113,BG249+AY250+AZ250+BA250+BB250-BC250-BD250),0)</f>
        <v>0</v>
      </c>
      <c r="BF250" s="170">
        <f>IF(Escenarios!$F$17&gt;0,MAX(0,BG249+AY250+AZ250+BA250+BB250-BC250-BD250-BE250-Constantes!$F$40),0)</f>
        <v>0</v>
      </c>
      <c r="BG250" s="170">
        <f t="shared" si="53"/>
        <v>0</v>
      </c>
      <c r="BH250" s="170">
        <f>(Escenarios!$F$16*AK250+0.1*BC250)/(Escenarios!$F$19)</f>
        <v>0.17247231059694951</v>
      </c>
      <c r="BI250" s="170">
        <f>IF(Escenarios!$F$17&gt;0,BF250/10/Escenarios!$F$19,AL250)</f>
        <v>0</v>
      </c>
      <c r="BJ250" s="170">
        <f>(Escenarios!$F$16*AT250+0.1*BD250)/(Escenarios!$F$19)</f>
        <v>0</v>
      </c>
      <c r="BK250" s="76">
        <f>BK249+(0.1*BD250)/(Escenarios!$F$19)-BL249</f>
        <v>48.75</v>
      </c>
      <c r="BL250" s="76">
        <f>MAX(0,(BK250-Constantes!$D$13)*(1-EXP(-Constantes!$D$23)))</f>
        <v>0</v>
      </c>
      <c r="BM250" s="76">
        <f t="shared" si="54"/>
        <v>0.26256095535503082</v>
      </c>
      <c r="BN250" s="76">
        <f t="shared" si="55"/>
        <v>0.26256095535511648</v>
      </c>
      <c r="BO250" s="76">
        <f>0.0526*BI250*Observaciones!$F249^1.218</f>
        <v>0</v>
      </c>
      <c r="BP250" s="76">
        <f>BO250*Constantes!$F$51</f>
        <v>0</v>
      </c>
      <c r="BQ250" s="76">
        <f t="shared" si="56"/>
        <v>0</v>
      </c>
      <c r="BR250" s="40"/>
    </row>
    <row r="251" spans="2:70">
      <c r="B251" s="39"/>
      <c r="C251" s="75">
        <v>245</v>
      </c>
      <c r="D251" s="146">
        <f>ETo!$I250*((1-Constantes!$F$19)*ETo!$K250+ETo!$L250)</f>
        <v>3.5873239595723905</v>
      </c>
      <c r="E251" s="76">
        <f>MIN(D251*Constantes!$F$17,0.8*(N250+Observaciones!$F250-F251-M251-Constantes!$D$14))</f>
        <v>2.2865265236760025E-12</v>
      </c>
      <c r="F251" s="76">
        <f>IF(Observaciones!$F250&gt;0.05*Constantes!$F$18,((Observaciones!$F250-0.05*Constantes!$F$18)^2)/(Observaciones!$F250+0.95*Constantes!$F$18),0)</f>
        <v>0</v>
      </c>
      <c r="G251" s="76">
        <f>IF(Escenarios!$F$11&gt;0,(F251*Escenarios!$F$16*10000)/1000,0)</f>
        <v>0</v>
      </c>
      <c r="H251" s="76">
        <f>IF(Escenarios!$F$11&gt;0,(Observaciones!$F250*Constantes!$F$29)/1000,0)</f>
        <v>0</v>
      </c>
      <c r="I251" s="76">
        <f>IF(Escenarios!$F$11&gt;0,(D251*Constantes!$F$29)/1000,0)</f>
        <v>0</v>
      </c>
      <c r="J251" s="76">
        <f>IF(Escenarios!$F$11&gt;0,MAX(0,G251+H251-I251),0)</f>
        <v>0</v>
      </c>
      <c r="K251" s="76">
        <f>IF(Escenarios!$F$11&gt;0,IF(J251&gt;Constantes!$F$30,1000*((J251-Constantes!$F$30)/(Escenarios!$F$16*10000)),0),F251)</f>
        <v>0</v>
      </c>
      <c r="L251" s="76">
        <f>IF(Escenarios!$F$11&gt;0,I251*1000/Escenarios!$F$16/10000+E251,E251)</f>
        <v>2.2865265236760025E-12</v>
      </c>
      <c r="M251" s="76">
        <f>MAX(0,N250+Observaciones!$F250-K251-Constantes!$D$13)</f>
        <v>0</v>
      </c>
      <c r="N251" s="76">
        <f>N250+Observaciones!$F250-K251-L251-M251-O250</f>
        <v>11.250000000000474</v>
      </c>
      <c r="O251" s="76">
        <f>MAX(0,(N251-Constantes!$D$14)*(1-EXP(-Constantes!$D$22)))</f>
        <v>1.6155965768878079E-14</v>
      </c>
      <c r="P251" s="170">
        <f>P250+(Entradas!$F$83*M251-Q250)/(800*Entradas!$D$25)</f>
        <v>0</v>
      </c>
      <c r="Q251" s="170">
        <f>8000*Entradas!$D$26*P251/Constantes!$F$45</f>
        <v>0</v>
      </c>
      <c r="R251" s="170">
        <f>IF(Escenarios!$F$14&gt;0,K251*Escenarios!$F$13/Escenarios!$F$14,0)</f>
        <v>0</v>
      </c>
      <c r="S251" s="170">
        <f>IF(Escenarios!$F$14&gt;0,Q251*Escenarios!$F$13/Escenarios!$F$14,0)</f>
        <v>0</v>
      </c>
      <c r="T251" s="170">
        <f>IF(Escenarios!$F$14&gt;0,Observaciones!$I250,0)</f>
        <v>0</v>
      </c>
      <c r="U251" s="170">
        <f>IF(Escenarios!$F$14&gt;0,MAX(0,Constantes!$F$36/((Z250+R251+S251+T251+Observaciones!$F250)^2)+Entradas!$F$77),0)</f>
        <v>0</v>
      </c>
      <c r="V251" s="146">
        <f>IF(ETo!D250&gt;0,ETo!I250*((1-Entradas!$F$81)*ETo!K250+ETo!L250),0)</f>
        <v>3.1661968772485185</v>
      </c>
      <c r="W251" s="170">
        <f>IF(Escenarios!$F$14&gt;0,MIN(V251*1,0.8*(Z250+R251+S251+T251+Observaciones!$F250-U251-Constantes!$F$35)),0)</f>
        <v>1.7303136701229962E-11</v>
      </c>
      <c r="X251" s="170">
        <f>IF(Escenarios!$F$14&gt;0,Observaciones!$J250,0)</f>
        <v>0</v>
      </c>
      <c r="Y251" s="170">
        <f>IF(Escenarios!$F$14&gt;0,MAX(0,Z250+R251+S251+T251+Observaciones!$F250-U251-W251-X251-Constantes!$F$33),0)</f>
        <v>0</v>
      </c>
      <c r="Z251" s="170">
        <f>Z250+R251+S251+T251+Observaciones!$F250-U251-W251-Y251</f>
        <v>41.250000000004327</v>
      </c>
      <c r="AA251" s="170">
        <f>IF(Escenarios!$F$14&gt;0,(Escenarios!$F$13*L251+Escenarios!$F$14*W251)/(Escenarios!$F$16),L251)</f>
        <v>4.0885197449824774E-12</v>
      </c>
      <c r="AB251" s="170">
        <f>IF(Escenarios!$F$14&gt;0,(Escenarios!$F$14*Y251)/(Escenarios!$F$16),K251)</f>
        <v>0</v>
      </c>
      <c r="AC251" s="170">
        <f>IF(Escenarios!$F$14&gt;0,(Escenarios!$F$13*M251+Escenarios!$F$14*U251)/(Escenarios!$F$16),M251)</f>
        <v>0</v>
      </c>
      <c r="AD251" s="76">
        <f t="shared" si="43"/>
        <v>73.357997043348689</v>
      </c>
      <c r="AE251" s="76">
        <f>MAX(0,(AD251-Constantes!$D$13)*(1-EXP(-Constantes!$D$23)))</f>
        <v>0.2424684560363683</v>
      </c>
      <c r="AF251" s="76">
        <f>AB251+O251*Escenarios!$F$13/Escenarios!$F$16+AE251</f>
        <v>0.24246845603638251</v>
      </c>
      <c r="AG251" s="76">
        <f>IF(Entradas!$F$91&gt;0,IF(AF251-Escenarios!$F$38&lt;=0,0,IF(AF251-Escenarios!$F$38&gt;Escenarios!$F$37,Escenarios!$F$37,AF251-Escenarios!$F$38)),0)</f>
        <v>0</v>
      </c>
      <c r="AH251" s="76">
        <f>AG251*Entradas!$F$99</f>
        <v>0</v>
      </c>
      <c r="AI251" s="76">
        <f>IF(Entradas!$F$91&gt;0,D251*Entradas!$D$23/Escenarios!$F$16,0)</f>
        <v>0.17219155005947473</v>
      </c>
      <c r="AJ251" s="76">
        <f>IF(Entradas!$F$91&gt;0,Entradas!$D$24*Entradas!$D$22/Escenarios!$F$16,0)</f>
        <v>0.12</v>
      </c>
      <c r="AK251" s="76">
        <f t="shared" si="44"/>
        <v>0.17219155006356324</v>
      </c>
      <c r="AL251" s="76">
        <f t="shared" si="45"/>
        <v>0</v>
      </c>
      <c r="AM251" s="76">
        <f t="shared" si="46"/>
        <v>0</v>
      </c>
      <c r="AN251" s="76">
        <f>MAX(0,O251*Escenarios!$F$13/Escenarios!$F$16-AM251)</f>
        <v>1.4217249876612708E-14</v>
      </c>
      <c r="AO251" s="76">
        <f>AM251+AN251-O251*Escenarios!$F$13/Escenarios!$F$16</f>
        <v>0</v>
      </c>
      <c r="AP251" s="76">
        <f t="shared" si="47"/>
        <v>0.2424684560363683</v>
      </c>
      <c r="AQ251" s="76">
        <f t="shared" si="48"/>
        <v>0</v>
      </c>
      <c r="AR251" s="76">
        <f t="shared" si="49"/>
        <v>0.24246845603638251</v>
      </c>
      <c r="AS251" s="76">
        <f t="shared" si="50"/>
        <v>0</v>
      </c>
      <c r="AT251" s="76">
        <f t="shared" si="51"/>
        <v>0</v>
      </c>
      <c r="AU251" s="76">
        <f t="shared" si="52"/>
        <v>49.888966726040614</v>
      </c>
      <c r="AV251" s="76">
        <f>MAX(0,(AU251-Constantes!$D$13)*(1-EXP(-Constantes!$D$24)))</f>
        <v>1.7409387806992773E-2</v>
      </c>
      <c r="AW251" s="170">
        <f>AW250+(Entradas!$F$112*AT251-AX250)/(800*Entradas!$D$25)</f>
        <v>0</v>
      </c>
      <c r="AX251" s="170">
        <f>8000*Entradas!$D$26*AW251/Constantes!$F$45</f>
        <v>0</v>
      </c>
      <c r="AY251" s="170">
        <f>IF(Escenarios!$F$17&gt;0,10*Escenarios!$F$16*AL251,0)</f>
        <v>0</v>
      </c>
      <c r="AZ251" s="170">
        <f>IF(Escenarios!$F$17&gt;0,10*Escenarios!$F$16*AX251,0)</f>
        <v>0</v>
      </c>
      <c r="BA251" s="170">
        <f>IF(Escenarios!$F$17&gt;0,0.001*Observaciones!$F250*Escenarios!$F$17,0)</f>
        <v>0</v>
      </c>
      <c r="BB251" s="170">
        <f>IF(Escenarios!$F$17&gt;0,Observaciones!$K250,0)</f>
        <v>0</v>
      </c>
      <c r="BC251" s="170">
        <f>IF(Escenarios!$F$17&gt;0,MIN(0.0005*ETo!$M250*Escenarios!$F$17*(BG250/Constantes!$F$40)^(2/3),BG250+AY251+AZ251+BA251+BB251),0)</f>
        <v>0</v>
      </c>
      <c r="BD251" s="170">
        <f>IF(Escenarios!$F$17&gt;0,MIN(Constantes!$F$39*(BG250/Constantes!$F$40)^(2/3),BG250+AY251+AZ251+BA251+BB251-BC251),0)</f>
        <v>0</v>
      </c>
      <c r="BE251" s="170">
        <f>IF(Escenarios!$F$17&gt;0,MIN(Entradas!$F$113,BG250+AY251+AZ251+BA251+BB251-BC251-BD251),0)</f>
        <v>0</v>
      </c>
      <c r="BF251" s="170">
        <f>IF(Escenarios!$F$17&gt;0,MAX(0,BG250+AY251+AZ251+BA251+BB251-BC251-BD251-BE251-Constantes!$F$40),0)</f>
        <v>0</v>
      </c>
      <c r="BG251" s="170">
        <f t="shared" si="53"/>
        <v>0</v>
      </c>
      <c r="BH251" s="170">
        <f>(Escenarios!$F$16*AK251+0.1*BC251)/(Escenarios!$F$19)</f>
        <v>0.17219155006356324</v>
      </c>
      <c r="BI251" s="170">
        <f>IF(Escenarios!$F$17&gt;0,BF251/10/Escenarios!$F$19,AL251)</f>
        <v>0</v>
      </c>
      <c r="BJ251" s="170">
        <f>(Escenarios!$F$16*AT251+0.1*BD251)/(Escenarios!$F$19)</f>
        <v>0</v>
      </c>
      <c r="BK251" s="76">
        <f>BK250+(0.1*BD251)/(Escenarios!$F$19)-BL250</f>
        <v>48.75</v>
      </c>
      <c r="BL251" s="76">
        <f>MAX(0,(BK251-Constantes!$D$13)*(1-EXP(-Constantes!$D$23)))</f>
        <v>0</v>
      </c>
      <c r="BM251" s="76">
        <f t="shared" si="54"/>
        <v>0.25987784384336104</v>
      </c>
      <c r="BN251" s="76">
        <f t="shared" si="55"/>
        <v>0.25987784384337526</v>
      </c>
      <c r="BO251" s="76">
        <f>0.0526*BI251*Observaciones!$F250^1.218</f>
        <v>0</v>
      </c>
      <c r="BP251" s="76">
        <f>BO251*Constantes!$F$51</f>
        <v>0</v>
      </c>
      <c r="BQ251" s="76">
        <f t="shared" si="56"/>
        <v>0</v>
      </c>
      <c r="BR251" s="40"/>
    </row>
    <row r="252" spans="2:70">
      <c r="B252" s="39"/>
      <c r="C252" s="75">
        <v>246</v>
      </c>
      <c r="D252" s="146">
        <f>ETo!$I251*((1-Constantes!$F$19)*ETo!$K251+ETo!$L251)</f>
        <v>3.6209358219809213</v>
      </c>
      <c r="E252" s="76">
        <f>MIN(D252*Constantes!$F$17,0.8*(N251+Observaciones!$F251-F252-M252-Constantes!$D$14))</f>
        <v>3.7942982089589354E-13</v>
      </c>
      <c r="F252" s="76">
        <f>IF(Observaciones!$F251&gt;0.05*Constantes!$F$18,((Observaciones!$F251-0.05*Constantes!$F$18)^2)/(Observaciones!$F251+0.95*Constantes!$F$18),0)</f>
        <v>0</v>
      </c>
      <c r="G252" s="76">
        <f>IF(Escenarios!$F$11&gt;0,(F252*Escenarios!$F$16*10000)/1000,0)</f>
        <v>0</v>
      </c>
      <c r="H252" s="76">
        <f>IF(Escenarios!$F$11&gt;0,(Observaciones!$F251*Constantes!$F$29)/1000,0)</f>
        <v>0</v>
      </c>
      <c r="I252" s="76">
        <f>IF(Escenarios!$F$11&gt;0,(D252*Constantes!$F$29)/1000,0)</f>
        <v>0</v>
      </c>
      <c r="J252" s="76">
        <f>IF(Escenarios!$F$11&gt;0,MAX(0,G252+H252-I252),0)</f>
        <v>0</v>
      </c>
      <c r="K252" s="76">
        <f>IF(Escenarios!$F$11&gt;0,IF(J252&gt;Constantes!$F$30,1000*((J252-Constantes!$F$30)/(Escenarios!$F$16*10000)),0),F252)</f>
        <v>0</v>
      </c>
      <c r="L252" s="76">
        <f>IF(Escenarios!$F$11&gt;0,I252*1000/Escenarios!$F$16/10000+E252,E252)</f>
        <v>3.7942982089589354E-13</v>
      </c>
      <c r="M252" s="76">
        <f>MAX(0,N251+Observaciones!$F251-K252-Constantes!$D$13)</f>
        <v>0</v>
      </c>
      <c r="N252" s="76">
        <f>N251+Observaciones!$F251-K252-L252-M252-O251</f>
        <v>11.250000000000078</v>
      </c>
      <c r="O252" s="76">
        <f>MAX(0,(N252-Constantes!$D$14)*(1-EXP(-Constantes!$D$22)))</f>
        <v>2.6624063439349641E-15</v>
      </c>
      <c r="P252" s="170">
        <f>P251+(Entradas!$F$83*M252-Q251)/(800*Entradas!$D$25)</f>
        <v>0</v>
      </c>
      <c r="Q252" s="170">
        <f>8000*Entradas!$D$26*P252/Constantes!$F$45</f>
        <v>0</v>
      </c>
      <c r="R252" s="170">
        <f>IF(Escenarios!$F$14&gt;0,K252*Escenarios!$F$13/Escenarios!$F$14,0)</f>
        <v>0</v>
      </c>
      <c r="S252" s="170">
        <f>IF(Escenarios!$F$14&gt;0,Q252*Escenarios!$F$13/Escenarios!$F$14,0)</f>
        <v>0</v>
      </c>
      <c r="T252" s="170">
        <f>IF(Escenarios!$F$14&gt;0,Observaciones!$I251,0)</f>
        <v>0</v>
      </c>
      <c r="U252" s="170">
        <f>IF(Escenarios!$F$14&gt;0,MAX(0,Constantes!$F$36/((Z251+R252+S252+T252+Observaciones!$F251)^2)+Entradas!$F$77),0)</f>
        <v>0</v>
      </c>
      <c r="V252" s="146">
        <f>IF(ETo!D251&gt;0,ETo!I251*((1-Entradas!$F$81)*ETo!K251+ETo!L251),0)</f>
        <v>3.1966601978385016</v>
      </c>
      <c r="W252" s="170">
        <f>IF(Escenarios!$F$14&gt;0,MIN(V252*1,0.8*(Z251+R252+S252+T252+Observaciones!$F251-U252-Constantes!$F$35)),0)</f>
        <v>3.4617642086232084E-12</v>
      </c>
      <c r="X252" s="170">
        <f>IF(Escenarios!$F$14&gt;0,Observaciones!$J251,0)</f>
        <v>0</v>
      </c>
      <c r="Y252" s="170">
        <f>IF(Escenarios!$F$14&gt;0,MAX(0,Z251+R252+S252+T252+Observaciones!$F251-U252-W252-X252-Constantes!$F$33),0)</f>
        <v>0</v>
      </c>
      <c r="Z252" s="170">
        <f>Z251+R252+S252+T252+Observaciones!$F251-U252-W252-Y252</f>
        <v>41.250000000000867</v>
      </c>
      <c r="AA252" s="170">
        <f>IF(Escenarios!$F$14&gt;0,(Escenarios!$F$13*L252+Escenarios!$F$14*W252)/(Escenarios!$F$16),L252)</f>
        <v>7.4930994742317137E-13</v>
      </c>
      <c r="AB252" s="170">
        <f>IF(Escenarios!$F$14&gt;0,(Escenarios!$F$14*Y252)/(Escenarios!$F$16),K252)</f>
        <v>0</v>
      </c>
      <c r="AC252" s="170">
        <f>IF(Escenarios!$F$14&gt;0,(Escenarios!$F$13*M252+Escenarios!$F$14*U252)/(Escenarios!$F$16),M252)</f>
        <v>0</v>
      </c>
      <c r="AD252" s="76">
        <f t="shared" si="43"/>
        <v>73.115528587312326</v>
      </c>
      <c r="AE252" s="76">
        <f>MAX(0,(AD252-Constantes!$D$13)*(1-EXP(-Constantes!$D$23)))</f>
        <v>0.24007935658755519</v>
      </c>
      <c r="AF252" s="76">
        <f>AB252+O252*Escenarios!$F$13/Escenarios!$F$16+AE252</f>
        <v>0.24007935658755752</v>
      </c>
      <c r="AG252" s="76">
        <f>IF(Entradas!$F$91&gt;0,IF(AF252-Escenarios!$F$38&lt;=0,0,IF(AF252-Escenarios!$F$38&gt;Escenarios!$F$37,Escenarios!$F$37,AF252-Escenarios!$F$38)),0)</f>
        <v>0</v>
      </c>
      <c r="AH252" s="76">
        <f>AG252*Entradas!$F$99</f>
        <v>0</v>
      </c>
      <c r="AI252" s="76">
        <f>IF(Entradas!$F$91&gt;0,D252*Entradas!$D$23/Escenarios!$F$16,0)</f>
        <v>0.17380491945508422</v>
      </c>
      <c r="AJ252" s="76">
        <f>IF(Entradas!$F$91&gt;0,Entradas!$D$24*Entradas!$D$22/Escenarios!$F$16,0)</f>
        <v>0.12</v>
      </c>
      <c r="AK252" s="76">
        <f t="shared" si="44"/>
        <v>0.17380491945583354</v>
      </c>
      <c r="AL252" s="76">
        <f t="shared" si="45"/>
        <v>0</v>
      </c>
      <c r="AM252" s="76">
        <f t="shared" si="46"/>
        <v>0</v>
      </c>
      <c r="AN252" s="76">
        <f>MAX(0,O252*Escenarios!$F$13/Escenarios!$F$16-AM252)</f>
        <v>2.3429175826627683E-15</v>
      </c>
      <c r="AO252" s="76">
        <f>AM252+AN252-O252*Escenarios!$F$13/Escenarios!$F$16</f>
        <v>0</v>
      </c>
      <c r="AP252" s="76">
        <f t="shared" si="47"/>
        <v>0.24007935658755519</v>
      </c>
      <c r="AQ252" s="76">
        <f t="shared" si="48"/>
        <v>0</v>
      </c>
      <c r="AR252" s="76">
        <f t="shared" si="49"/>
        <v>0.24007935658755752</v>
      </c>
      <c r="AS252" s="76">
        <f t="shared" si="50"/>
        <v>0</v>
      </c>
      <c r="AT252" s="76">
        <f t="shared" si="51"/>
        <v>0</v>
      </c>
      <c r="AU252" s="76">
        <f t="shared" si="52"/>
        <v>49.871557338233622</v>
      </c>
      <c r="AV252" s="76">
        <f>MAX(0,(AU252-Constantes!$D$13)*(1-EXP(-Constantes!$D$24)))</f>
        <v>1.7143281013102592E-2</v>
      </c>
      <c r="AW252" s="170">
        <f>AW251+(Entradas!$F$112*AT252-AX251)/(800*Entradas!$D$25)</f>
        <v>0</v>
      </c>
      <c r="AX252" s="170">
        <f>8000*Entradas!$D$26*AW252/Constantes!$F$45</f>
        <v>0</v>
      </c>
      <c r="AY252" s="170">
        <f>IF(Escenarios!$F$17&gt;0,10*Escenarios!$F$16*AL252,0)</f>
        <v>0</v>
      </c>
      <c r="AZ252" s="170">
        <f>IF(Escenarios!$F$17&gt;0,10*Escenarios!$F$16*AX252,0)</f>
        <v>0</v>
      </c>
      <c r="BA252" s="170">
        <f>IF(Escenarios!$F$17&gt;0,0.001*Observaciones!$F251*Escenarios!$F$17,0)</f>
        <v>0</v>
      </c>
      <c r="BB252" s="170">
        <f>IF(Escenarios!$F$17&gt;0,Observaciones!$K251,0)</f>
        <v>0</v>
      </c>
      <c r="BC252" s="170">
        <f>IF(Escenarios!$F$17&gt;0,MIN(0.0005*ETo!$M251*Escenarios!$F$17*(BG251/Constantes!$F$40)^(2/3),BG251+AY252+AZ252+BA252+BB252),0)</f>
        <v>0</v>
      </c>
      <c r="BD252" s="170">
        <f>IF(Escenarios!$F$17&gt;0,MIN(Constantes!$F$39*(BG251/Constantes!$F$40)^(2/3),BG251+AY252+AZ252+BA252+BB252-BC252),0)</f>
        <v>0</v>
      </c>
      <c r="BE252" s="170">
        <f>IF(Escenarios!$F$17&gt;0,MIN(Entradas!$F$113,BG251+AY252+AZ252+BA252+BB252-BC252-BD252),0)</f>
        <v>0</v>
      </c>
      <c r="BF252" s="170">
        <f>IF(Escenarios!$F$17&gt;0,MAX(0,BG251+AY252+AZ252+BA252+BB252-BC252-BD252-BE252-Constantes!$F$40),0)</f>
        <v>0</v>
      </c>
      <c r="BG252" s="170">
        <f t="shared" si="53"/>
        <v>0</v>
      </c>
      <c r="BH252" s="170">
        <f>(Escenarios!$F$16*AK252+0.1*BC252)/(Escenarios!$F$19)</f>
        <v>0.17380491945583354</v>
      </c>
      <c r="BI252" s="170">
        <f>IF(Escenarios!$F$17&gt;0,BF252/10/Escenarios!$F$19,AL252)</f>
        <v>0</v>
      </c>
      <c r="BJ252" s="170">
        <f>(Escenarios!$F$16*AT252+0.1*BD252)/(Escenarios!$F$19)</f>
        <v>0</v>
      </c>
      <c r="BK252" s="76">
        <f>BK251+(0.1*BD252)/(Escenarios!$F$19)-BL251</f>
        <v>48.75</v>
      </c>
      <c r="BL252" s="76">
        <f>MAX(0,(BK252-Constantes!$D$13)*(1-EXP(-Constantes!$D$23)))</f>
        <v>0</v>
      </c>
      <c r="BM252" s="76">
        <f t="shared" si="54"/>
        <v>0.25722263760065778</v>
      </c>
      <c r="BN252" s="76">
        <f t="shared" si="55"/>
        <v>0.25722263760066011</v>
      </c>
      <c r="BO252" s="76">
        <f>0.0526*BI252*Observaciones!$F251^1.218</f>
        <v>0</v>
      </c>
      <c r="BP252" s="76">
        <f>BO252*Constantes!$F$51</f>
        <v>0</v>
      </c>
      <c r="BQ252" s="76">
        <f t="shared" si="56"/>
        <v>0</v>
      </c>
      <c r="BR252" s="40"/>
    </row>
    <row r="253" spans="2:70">
      <c r="B253" s="39"/>
      <c r="C253" s="75">
        <v>247</v>
      </c>
      <c r="D253" s="146">
        <f>ETo!$I252*((1-Constantes!$F$19)*ETo!$K252+ETo!$L252)</f>
        <v>3.5267756943978914</v>
      </c>
      <c r="E253" s="76">
        <f>MIN(D253*Constantes!$F$17,0.8*(N252+Observaciones!$F252-F253-M253-Constantes!$D$14))</f>
        <v>6.2527760746888821E-14</v>
      </c>
      <c r="F253" s="76">
        <f>IF(Observaciones!$F252&gt;0.05*Constantes!$F$18,((Observaciones!$F252-0.05*Constantes!$F$18)^2)/(Observaciones!$F252+0.95*Constantes!$F$18),0)</f>
        <v>0</v>
      </c>
      <c r="G253" s="76">
        <f>IF(Escenarios!$F$11&gt;0,(F253*Escenarios!$F$16*10000)/1000,0)</f>
        <v>0</v>
      </c>
      <c r="H253" s="76">
        <f>IF(Escenarios!$F$11&gt;0,(Observaciones!$F252*Constantes!$F$29)/1000,0)</f>
        <v>0</v>
      </c>
      <c r="I253" s="76">
        <f>IF(Escenarios!$F$11&gt;0,(D253*Constantes!$F$29)/1000,0)</f>
        <v>0</v>
      </c>
      <c r="J253" s="76">
        <f>IF(Escenarios!$F$11&gt;0,MAX(0,G253+H253-I253),0)</f>
        <v>0</v>
      </c>
      <c r="K253" s="76">
        <f>IF(Escenarios!$F$11&gt;0,IF(J253&gt;Constantes!$F$30,1000*((J253-Constantes!$F$30)/(Escenarios!$F$16*10000)),0),F253)</f>
        <v>0</v>
      </c>
      <c r="L253" s="76">
        <f>IF(Escenarios!$F$11&gt;0,I253*1000/Escenarios!$F$16/10000+E253,E253)</f>
        <v>6.2527760746888821E-14</v>
      </c>
      <c r="M253" s="76">
        <f>MAX(0,N252+Observaciones!$F252-K253-Constantes!$D$13)</f>
        <v>0</v>
      </c>
      <c r="N253" s="76">
        <f>N252+Observaciones!$F252-K253-L253-M253-O252</f>
        <v>11.250000000000014</v>
      </c>
      <c r="O253" s="76">
        <f>MAX(0,(N253-Constantes!$D$14)*(1-EXP(-Constantes!$D$22)))</f>
        <v>4.8407388071544802E-16</v>
      </c>
      <c r="P253" s="170">
        <f>P252+(Entradas!$F$83*M253-Q252)/(800*Entradas!$D$25)</f>
        <v>0</v>
      </c>
      <c r="Q253" s="170">
        <f>8000*Entradas!$D$26*P253/Constantes!$F$45</f>
        <v>0</v>
      </c>
      <c r="R253" s="170">
        <f>IF(Escenarios!$F$14&gt;0,K253*Escenarios!$F$13/Escenarios!$F$14,0)</f>
        <v>0</v>
      </c>
      <c r="S253" s="170">
        <f>IF(Escenarios!$F$14&gt;0,Q253*Escenarios!$F$13/Escenarios!$F$14,0)</f>
        <v>0</v>
      </c>
      <c r="T253" s="170">
        <f>IF(Escenarios!$F$14&gt;0,Observaciones!$I252,0)</f>
        <v>0</v>
      </c>
      <c r="U253" s="170">
        <f>IF(Escenarios!$F$14&gt;0,MAX(0,Constantes!$F$36/((Z252+R253+S253+T253+Observaciones!$F252)^2)+Entradas!$F$77),0)</f>
        <v>0</v>
      </c>
      <c r="V253" s="146">
        <f>IF(ETo!D252&gt;0,ETo!I252*((1-Entradas!$F$81)*ETo!K252+ETo!L252),0)</f>
        <v>3.1130389113585246</v>
      </c>
      <c r="W253" s="170">
        <f>IF(Escenarios!$F$14&gt;0,MIN(V253*1,0.8*(Z252+R253+S253+T253+Observaciones!$F252-U253-Constantes!$F$35)),0)</f>
        <v>6.9348971010185784E-13</v>
      </c>
      <c r="X253" s="170">
        <f>IF(Escenarios!$F$14&gt;0,Observaciones!$J252,0)</f>
        <v>0</v>
      </c>
      <c r="Y253" s="170">
        <f>IF(Escenarios!$F$14&gt;0,MAX(0,Z252+R253+S253+T253+Observaciones!$F252-U253-W253-X253-Constantes!$F$33),0)</f>
        <v>0</v>
      </c>
      <c r="Z253" s="170">
        <f>Z252+R253+S253+T253+Observaciones!$F252-U253-W253-Y253</f>
        <v>41.250000000000171</v>
      </c>
      <c r="AA253" s="170">
        <f>IF(Escenarios!$F$14&gt;0,(Escenarios!$F$13*L253+Escenarios!$F$14*W253)/(Escenarios!$F$16),L253)</f>
        <v>1.3824319466948511E-13</v>
      </c>
      <c r="AB253" s="170">
        <f>IF(Escenarios!$F$14&gt;0,(Escenarios!$F$14*Y253)/(Escenarios!$F$16),K253)</f>
        <v>0</v>
      </c>
      <c r="AC253" s="170">
        <f>IF(Escenarios!$F$14&gt;0,(Escenarios!$F$13*M253+Escenarios!$F$14*U253)/(Escenarios!$F$16),M253)</f>
        <v>0</v>
      </c>
      <c r="AD253" s="76">
        <f t="shared" si="43"/>
        <v>72.875449230724769</v>
      </c>
      <c r="AE253" s="76">
        <f>MAX(0,(AD253-Constantes!$D$13)*(1-EXP(-Constantes!$D$23)))</f>
        <v>0.2377137975046503</v>
      </c>
      <c r="AF253" s="76">
        <f>AB253+O253*Escenarios!$F$13/Escenarios!$F$16+AE253</f>
        <v>0.23771379750465071</v>
      </c>
      <c r="AG253" s="76">
        <f>IF(Entradas!$F$91&gt;0,IF(AF253-Escenarios!$F$38&lt;=0,0,IF(AF253-Escenarios!$F$38&gt;Escenarios!$F$37,Escenarios!$F$37,AF253-Escenarios!$F$38)),0)</f>
        <v>0</v>
      </c>
      <c r="AH253" s="76">
        <f>AG253*Entradas!$F$99</f>
        <v>0</v>
      </c>
      <c r="AI253" s="76">
        <f>IF(Entradas!$F$91&gt;0,D253*Entradas!$D$23/Escenarios!$F$16,0)</f>
        <v>0.16928523333109879</v>
      </c>
      <c r="AJ253" s="76">
        <f>IF(Entradas!$F$91&gt;0,Entradas!$D$24*Entradas!$D$22/Escenarios!$F$16,0)</f>
        <v>0.12</v>
      </c>
      <c r="AK253" s="76">
        <f t="shared" si="44"/>
        <v>0.16928523333123704</v>
      </c>
      <c r="AL253" s="76">
        <f t="shared" si="45"/>
        <v>0</v>
      </c>
      <c r="AM253" s="76">
        <f t="shared" si="46"/>
        <v>0</v>
      </c>
      <c r="AN253" s="76">
        <f>MAX(0,O253*Escenarios!$F$13/Escenarios!$F$16-AM253)</f>
        <v>4.2598501502959427E-16</v>
      </c>
      <c r="AO253" s="76">
        <f>AM253+AN253-O253*Escenarios!$F$13/Escenarios!$F$16</f>
        <v>0</v>
      </c>
      <c r="AP253" s="76">
        <f t="shared" si="47"/>
        <v>0.2377137975046503</v>
      </c>
      <c r="AQ253" s="76">
        <f t="shared" si="48"/>
        <v>0</v>
      </c>
      <c r="AR253" s="76">
        <f t="shared" si="49"/>
        <v>0.23771379750465071</v>
      </c>
      <c r="AS253" s="76">
        <f t="shared" si="50"/>
        <v>0</v>
      </c>
      <c r="AT253" s="76">
        <f t="shared" si="51"/>
        <v>0</v>
      </c>
      <c r="AU253" s="76">
        <f t="shared" si="52"/>
        <v>49.854414057220517</v>
      </c>
      <c r="AV253" s="76">
        <f>MAX(0,(AU253-Constantes!$D$13)*(1-EXP(-Constantes!$D$24)))</f>
        <v>1.6881241727302806E-2</v>
      </c>
      <c r="AW253" s="170">
        <f>AW252+(Entradas!$F$112*AT253-AX252)/(800*Entradas!$D$25)</f>
        <v>0</v>
      </c>
      <c r="AX253" s="170">
        <f>8000*Entradas!$D$26*AW253/Constantes!$F$45</f>
        <v>0</v>
      </c>
      <c r="AY253" s="170">
        <f>IF(Escenarios!$F$17&gt;0,10*Escenarios!$F$16*AL253,0)</f>
        <v>0</v>
      </c>
      <c r="AZ253" s="170">
        <f>IF(Escenarios!$F$17&gt;0,10*Escenarios!$F$16*AX253,0)</f>
        <v>0</v>
      </c>
      <c r="BA253" s="170">
        <f>IF(Escenarios!$F$17&gt;0,0.001*Observaciones!$F252*Escenarios!$F$17,0)</f>
        <v>0</v>
      </c>
      <c r="BB253" s="170">
        <f>IF(Escenarios!$F$17&gt;0,Observaciones!$K252,0)</f>
        <v>0</v>
      </c>
      <c r="BC253" s="170">
        <f>IF(Escenarios!$F$17&gt;0,MIN(0.0005*ETo!$M252*Escenarios!$F$17*(BG252/Constantes!$F$40)^(2/3),BG252+AY253+AZ253+BA253+BB253),0)</f>
        <v>0</v>
      </c>
      <c r="BD253" s="170">
        <f>IF(Escenarios!$F$17&gt;0,MIN(Constantes!$F$39*(BG252/Constantes!$F$40)^(2/3),BG252+AY253+AZ253+BA253+BB253-BC253),0)</f>
        <v>0</v>
      </c>
      <c r="BE253" s="170">
        <f>IF(Escenarios!$F$17&gt;0,MIN(Entradas!$F$113,BG252+AY253+AZ253+BA253+BB253-BC253-BD253),0)</f>
        <v>0</v>
      </c>
      <c r="BF253" s="170">
        <f>IF(Escenarios!$F$17&gt;0,MAX(0,BG252+AY253+AZ253+BA253+BB253-BC253-BD253-BE253-Constantes!$F$40),0)</f>
        <v>0</v>
      </c>
      <c r="BG253" s="170">
        <f t="shared" si="53"/>
        <v>0</v>
      </c>
      <c r="BH253" s="170">
        <f>(Escenarios!$F$16*AK253+0.1*BC253)/(Escenarios!$F$19)</f>
        <v>0.16928523333123704</v>
      </c>
      <c r="BI253" s="170">
        <f>IF(Escenarios!$F$17&gt;0,BF253/10/Escenarios!$F$19,AL253)</f>
        <v>0</v>
      </c>
      <c r="BJ253" s="170">
        <f>(Escenarios!$F$16*AT253+0.1*BD253)/(Escenarios!$F$19)</f>
        <v>0</v>
      </c>
      <c r="BK253" s="76">
        <f>BK252+(0.1*BD253)/(Escenarios!$F$19)-BL252</f>
        <v>48.75</v>
      </c>
      <c r="BL253" s="76">
        <f>MAX(0,(BK253-Constantes!$D$13)*(1-EXP(-Constantes!$D$23)))</f>
        <v>0</v>
      </c>
      <c r="BM253" s="76">
        <f t="shared" si="54"/>
        <v>0.25459503923195309</v>
      </c>
      <c r="BN253" s="76">
        <f t="shared" si="55"/>
        <v>0.25459503923195353</v>
      </c>
      <c r="BO253" s="76">
        <f>0.0526*BI253*Observaciones!$F252^1.218</f>
        <v>0</v>
      </c>
      <c r="BP253" s="76">
        <f>BO253*Constantes!$F$51</f>
        <v>0</v>
      </c>
      <c r="BQ253" s="76">
        <f t="shared" si="56"/>
        <v>0</v>
      </c>
      <c r="BR253" s="40"/>
    </row>
    <row r="254" spans="2:70">
      <c r="B254" s="39"/>
      <c r="C254" s="75">
        <v>248</v>
      </c>
      <c r="D254" s="146">
        <f>ETo!$I253*((1-Constantes!$F$19)*ETo!$K253+ETo!$L253)</f>
        <v>3.611952946904561</v>
      </c>
      <c r="E254" s="76">
        <f>MIN(D254*Constantes!$F$17,0.8*(N253+Observaciones!$F253-F254-M254-Constantes!$D$14))</f>
        <v>1.1368683772161604E-14</v>
      </c>
      <c r="F254" s="76">
        <f>IF(Observaciones!$F253&gt;0.05*Constantes!$F$18,((Observaciones!$F253-0.05*Constantes!$F$18)^2)/(Observaciones!$F253+0.95*Constantes!$F$18),0)</f>
        <v>0</v>
      </c>
      <c r="G254" s="76">
        <f>IF(Escenarios!$F$11&gt;0,(F254*Escenarios!$F$16*10000)/1000,0)</f>
        <v>0</v>
      </c>
      <c r="H254" s="76">
        <f>IF(Escenarios!$F$11&gt;0,(Observaciones!$F253*Constantes!$F$29)/1000,0)</f>
        <v>0</v>
      </c>
      <c r="I254" s="76">
        <f>IF(Escenarios!$F$11&gt;0,(D254*Constantes!$F$29)/1000,0)</f>
        <v>0</v>
      </c>
      <c r="J254" s="76">
        <f>IF(Escenarios!$F$11&gt;0,MAX(0,G254+H254-I254),0)</f>
        <v>0</v>
      </c>
      <c r="K254" s="76">
        <f>IF(Escenarios!$F$11&gt;0,IF(J254&gt;Constantes!$F$30,1000*((J254-Constantes!$F$30)/(Escenarios!$F$16*10000)),0),F254)</f>
        <v>0</v>
      </c>
      <c r="L254" s="76">
        <f>IF(Escenarios!$F$11&gt;0,I254*1000/Escenarios!$F$16/10000+E254,E254)</f>
        <v>1.1368683772161604E-14</v>
      </c>
      <c r="M254" s="76">
        <f>MAX(0,N253+Observaciones!$F253-K254-Constantes!$D$13)</f>
        <v>0</v>
      </c>
      <c r="N254" s="76">
        <f>N253+Observaciones!$F253-K254-L254-M254-O253</f>
        <v>11.250000000000004</v>
      </c>
      <c r="O254" s="76">
        <f>MAX(0,(N254-Constantes!$D$14)*(1-EXP(-Constantes!$D$22)))</f>
        <v>1.21018470178862E-16</v>
      </c>
      <c r="P254" s="170">
        <f>P253+(Entradas!$F$83*M254-Q253)/(800*Entradas!$D$25)</f>
        <v>0</v>
      </c>
      <c r="Q254" s="170">
        <f>8000*Entradas!$D$26*P254/Constantes!$F$45</f>
        <v>0</v>
      </c>
      <c r="R254" s="170">
        <f>IF(Escenarios!$F$14&gt;0,K254*Escenarios!$F$13/Escenarios!$F$14,0)</f>
        <v>0</v>
      </c>
      <c r="S254" s="170">
        <f>IF(Escenarios!$F$14&gt;0,Q254*Escenarios!$F$13/Escenarios!$F$14,0)</f>
        <v>0</v>
      </c>
      <c r="T254" s="170">
        <f>IF(Escenarios!$F$14&gt;0,Observaciones!$I253,0)</f>
        <v>0</v>
      </c>
      <c r="U254" s="170">
        <f>IF(Escenarios!$F$14&gt;0,MAX(0,Constantes!$F$36/((Z253+R254+S254+T254+Observaciones!$F253)^2)+Entradas!$F$77),0)</f>
        <v>0</v>
      </c>
      <c r="V254" s="146">
        <f>IF(ETo!D253&gt;0,ETo!I253*((1-Entradas!$F$81)*ETo!K253+ETo!L253),0)</f>
        <v>3.1894488939738328</v>
      </c>
      <c r="W254" s="170">
        <f>IF(Escenarios!$F$14&gt;0,MIN(V254*1,0.8*(Z253+R254+S254+T254+Observaciones!$F253-U254-Constantes!$F$35)),0)</f>
        <v>1.3642420526593926E-13</v>
      </c>
      <c r="X254" s="170">
        <f>IF(Escenarios!$F$14&gt;0,Observaciones!$J253,0)</f>
        <v>0</v>
      </c>
      <c r="Y254" s="170">
        <f>IF(Escenarios!$F$14&gt;0,MAX(0,Z253+R254+S254+T254+Observaciones!$F253-U254-W254-X254-Constantes!$F$33),0)</f>
        <v>0</v>
      </c>
      <c r="Z254" s="170">
        <f>Z253+R254+S254+T254+Observaciones!$F253-U254-W254-Y254</f>
        <v>41.250000000000036</v>
      </c>
      <c r="AA254" s="170">
        <f>IF(Escenarios!$F$14&gt;0,(Escenarios!$F$13*L254+Escenarios!$F$14*W254)/(Escenarios!$F$16),L254)</f>
        <v>2.6375346351414923E-14</v>
      </c>
      <c r="AB254" s="170">
        <f>IF(Escenarios!$F$14&gt;0,(Escenarios!$F$14*Y254)/(Escenarios!$F$16),K254)</f>
        <v>0</v>
      </c>
      <c r="AC254" s="170">
        <f>IF(Escenarios!$F$14&gt;0,(Escenarios!$F$13*M254+Escenarios!$F$14*U254)/(Escenarios!$F$16),M254)</f>
        <v>0</v>
      </c>
      <c r="AD254" s="76">
        <f t="shared" si="43"/>
        <v>72.637735433220115</v>
      </c>
      <c r="AE254" s="76">
        <f>MAX(0,(AD254-Constantes!$D$13)*(1-EXP(-Constantes!$D$23)))</f>
        <v>0.23537154683882155</v>
      </c>
      <c r="AF254" s="76">
        <f>AB254+O254*Escenarios!$F$13/Escenarios!$F$16+AE254</f>
        <v>0.23537154683882167</v>
      </c>
      <c r="AG254" s="76">
        <f>IF(Entradas!$F$91&gt;0,IF(AF254-Escenarios!$F$38&lt;=0,0,IF(AF254-Escenarios!$F$38&gt;Escenarios!$F$37,Escenarios!$F$37,AF254-Escenarios!$F$38)),0)</f>
        <v>0</v>
      </c>
      <c r="AH254" s="76">
        <f>AG254*Entradas!$F$99</f>
        <v>0</v>
      </c>
      <c r="AI254" s="76">
        <f>IF(Entradas!$F$91&gt;0,D254*Entradas!$D$23/Escenarios!$F$16,0)</f>
        <v>0.17337374145141893</v>
      </c>
      <c r="AJ254" s="76">
        <f>IF(Entradas!$F$91&gt;0,Entradas!$D$24*Entradas!$D$22/Escenarios!$F$16,0)</f>
        <v>0.12</v>
      </c>
      <c r="AK254" s="76">
        <f t="shared" si="44"/>
        <v>0.1733737414514453</v>
      </c>
      <c r="AL254" s="76">
        <f t="shared" si="45"/>
        <v>0</v>
      </c>
      <c r="AM254" s="76">
        <f t="shared" si="46"/>
        <v>0</v>
      </c>
      <c r="AN254" s="76">
        <f>MAX(0,O254*Escenarios!$F$13/Escenarios!$F$16-AM254)</f>
        <v>1.0649625375739857E-16</v>
      </c>
      <c r="AO254" s="76">
        <f>AM254+AN254-O254*Escenarios!$F$13/Escenarios!$F$16</f>
        <v>0</v>
      </c>
      <c r="AP254" s="76">
        <f t="shared" si="47"/>
        <v>0.23537154683882155</v>
      </c>
      <c r="AQ254" s="76">
        <f t="shared" si="48"/>
        <v>0</v>
      </c>
      <c r="AR254" s="76">
        <f t="shared" si="49"/>
        <v>0.23537154683882167</v>
      </c>
      <c r="AS254" s="76">
        <f t="shared" si="50"/>
        <v>0</v>
      </c>
      <c r="AT254" s="76">
        <f t="shared" si="51"/>
        <v>0</v>
      </c>
      <c r="AU254" s="76">
        <f t="shared" si="52"/>
        <v>49.837532815493212</v>
      </c>
      <c r="AV254" s="76">
        <f>MAX(0,(AU254-Constantes!$D$13)*(1-EXP(-Constantes!$D$24)))</f>
        <v>1.6623207776727367E-2</v>
      </c>
      <c r="AW254" s="170">
        <f>AW253+(Entradas!$F$112*AT254-AX253)/(800*Entradas!$D$25)</f>
        <v>0</v>
      </c>
      <c r="AX254" s="170">
        <f>8000*Entradas!$D$26*AW254/Constantes!$F$45</f>
        <v>0</v>
      </c>
      <c r="AY254" s="170">
        <f>IF(Escenarios!$F$17&gt;0,10*Escenarios!$F$16*AL254,0)</f>
        <v>0</v>
      </c>
      <c r="AZ254" s="170">
        <f>IF(Escenarios!$F$17&gt;0,10*Escenarios!$F$16*AX254,0)</f>
        <v>0</v>
      </c>
      <c r="BA254" s="170">
        <f>IF(Escenarios!$F$17&gt;0,0.001*Observaciones!$F253*Escenarios!$F$17,0)</f>
        <v>0</v>
      </c>
      <c r="BB254" s="170">
        <f>IF(Escenarios!$F$17&gt;0,Observaciones!$K253,0)</f>
        <v>0</v>
      </c>
      <c r="BC254" s="170">
        <f>IF(Escenarios!$F$17&gt;0,MIN(0.0005*ETo!$M253*Escenarios!$F$17*(BG253/Constantes!$F$40)^(2/3),BG253+AY254+AZ254+BA254+BB254),0)</f>
        <v>0</v>
      </c>
      <c r="BD254" s="170">
        <f>IF(Escenarios!$F$17&gt;0,MIN(Constantes!$F$39*(BG253/Constantes!$F$40)^(2/3),BG253+AY254+AZ254+BA254+BB254-BC254),0)</f>
        <v>0</v>
      </c>
      <c r="BE254" s="170">
        <f>IF(Escenarios!$F$17&gt;0,MIN(Entradas!$F$113,BG253+AY254+AZ254+BA254+BB254-BC254-BD254),0)</f>
        <v>0</v>
      </c>
      <c r="BF254" s="170">
        <f>IF(Escenarios!$F$17&gt;0,MAX(0,BG253+AY254+AZ254+BA254+BB254-BC254-BD254-BE254-Constantes!$F$40),0)</f>
        <v>0</v>
      </c>
      <c r="BG254" s="170">
        <f t="shared" si="53"/>
        <v>0</v>
      </c>
      <c r="BH254" s="170">
        <f>(Escenarios!$F$16*AK254+0.1*BC254)/(Escenarios!$F$19)</f>
        <v>0.1733737414514453</v>
      </c>
      <c r="BI254" s="170">
        <f>IF(Escenarios!$F$17&gt;0,BF254/10/Escenarios!$F$19,AL254)</f>
        <v>0</v>
      </c>
      <c r="BJ254" s="170">
        <f>(Escenarios!$F$16*AT254+0.1*BD254)/(Escenarios!$F$19)</f>
        <v>0</v>
      </c>
      <c r="BK254" s="76">
        <f>BK253+(0.1*BD254)/(Escenarios!$F$19)-BL253</f>
        <v>48.75</v>
      </c>
      <c r="BL254" s="76">
        <f>MAX(0,(BK254-Constantes!$D$13)*(1-EXP(-Constantes!$D$23)))</f>
        <v>0</v>
      </c>
      <c r="BM254" s="76">
        <f t="shared" si="54"/>
        <v>0.25199475461554893</v>
      </c>
      <c r="BN254" s="76">
        <f t="shared" si="55"/>
        <v>0.25199475461554904</v>
      </c>
      <c r="BO254" s="76">
        <f>0.0526*BI254*Observaciones!$F253^1.218</f>
        <v>0</v>
      </c>
      <c r="BP254" s="76">
        <f>BO254*Constantes!$F$51</f>
        <v>0</v>
      </c>
      <c r="BQ254" s="76">
        <f t="shared" si="56"/>
        <v>0</v>
      </c>
      <c r="BR254" s="40"/>
    </row>
    <row r="255" spans="2:70">
      <c r="B255" s="39"/>
      <c r="C255" s="75">
        <v>249</v>
      </c>
      <c r="D255" s="146">
        <f>ETo!$I254*((1-Constantes!$F$19)*ETo!$K254+ETo!$L254)</f>
        <v>3.504321208449757</v>
      </c>
      <c r="E255" s="76">
        <f>MIN(D255*Constantes!$F$17,0.8*(N254+Observaciones!$F254-F255-M255-Constantes!$D$14))</f>
        <v>2.8421709430404009E-15</v>
      </c>
      <c r="F255" s="76">
        <f>IF(Observaciones!$F254&gt;0.05*Constantes!$F$18,((Observaciones!$F254-0.05*Constantes!$F$18)^2)/(Observaciones!$F254+0.95*Constantes!$F$18),0)</f>
        <v>0</v>
      </c>
      <c r="G255" s="76">
        <f>IF(Escenarios!$F$11&gt;0,(F255*Escenarios!$F$16*10000)/1000,0)</f>
        <v>0</v>
      </c>
      <c r="H255" s="76">
        <f>IF(Escenarios!$F$11&gt;0,(Observaciones!$F254*Constantes!$F$29)/1000,0)</f>
        <v>0</v>
      </c>
      <c r="I255" s="76">
        <f>IF(Escenarios!$F$11&gt;0,(D255*Constantes!$F$29)/1000,0)</f>
        <v>0</v>
      </c>
      <c r="J255" s="76">
        <f>IF(Escenarios!$F$11&gt;0,MAX(0,G255+H255-I255),0)</f>
        <v>0</v>
      </c>
      <c r="K255" s="76">
        <f>IF(Escenarios!$F$11&gt;0,IF(J255&gt;Constantes!$F$30,1000*((J255-Constantes!$F$30)/(Escenarios!$F$16*10000)),0),F255)</f>
        <v>0</v>
      </c>
      <c r="L255" s="76">
        <f>IF(Escenarios!$F$11&gt;0,I255*1000/Escenarios!$F$16/10000+E255,E255)</f>
        <v>2.8421709430404009E-15</v>
      </c>
      <c r="M255" s="76">
        <f>MAX(0,N254+Observaciones!$F254-K255-Constantes!$D$13)</f>
        <v>0</v>
      </c>
      <c r="N255" s="76">
        <f>N254+Observaciones!$F254-K255-L255-M255-O254</f>
        <v>11.25</v>
      </c>
      <c r="O255" s="76">
        <f>MAX(0,(N255-Constantes!$D$14)*(1-EXP(-Constantes!$D$22)))</f>
        <v>0</v>
      </c>
      <c r="P255" s="170">
        <f>P254+(Entradas!$F$83*M255-Q254)/(800*Entradas!$D$25)</f>
        <v>0</v>
      </c>
      <c r="Q255" s="170">
        <f>8000*Entradas!$D$26*P255/Constantes!$F$45</f>
        <v>0</v>
      </c>
      <c r="R255" s="170">
        <f>IF(Escenarios!$F$14&gt;0,K255*Escenarios!$F$13/Escenarios!$F$14,0)</f>
        <v>0</v>
      </c>
      <c r="S255" s="170">
        <f>IF(Escenarios!$F$14&gt;0,Q255*Escenarios!$F$13/Escenarios!$F$14,0)</f>
        <v>0</v>
      </c>
      <c r="T255" s="170">
        <f>IF(Escenarios!$F$14&gt;0,Observaciones!$I254,0)</f>
        <v>0</v>
      </c>
      <c r="U255" s="170">
        <f>IF(Escenarios!$F$14&gt;0,MAX(0,Constantes!$F$36/((Z254+R255+S255+T255+Observaciones!$F254)^2)+Entradas!$F$77),0)</f>
        <v>0</v>
      </c>
      <c r="V255" s="146">
        <f>IF(ETo!D254&gt;0,ETo!I254*((1-Entradas!$F$81)*ETo!K254+ETo!L254),0)</f>
        <v>3.0939696937397327</v>
      </c>
      <c r="W255" s="170">
        <f>IF(Escenarios!$F$14&gt;0,MIN(V255*1,0.8*(Z254+R255+S255+T255+Observaciones!$F254-U255-Constantes!$F$35)),0)</f>
        <v>2.8421709430404007E-14</v>
      </c>
      <c r="X255" s="170">
        <f>IF(Escenarios!$F$14&gt;0,Observaciones!$J254,0)</f>
        <v>0</v>
      </c>
      <c r="Y255" s="170">
        <f>IF(Escenarios!$F$14&gt;0,MAX(0,Z254+R255+S255+T255+Observaciones!$F254-U255-W255-X255-Constantes!$F$33),0)</f>
        <v>0</v>
      </c>
      <c r="Z255" s="170">
        <f>Z254+R255+S255+T255+Observaciones!$F254-U255-W255-Y255</f>
        <v>41.250000000000007</v>
      </c>
      <c r="AA255" s="170">
        <f>IF(Escenarios!$F$14&gt;0,(Escenarios!$F$13*L255+Escenarios!$F$14*W255)/(Escenarios!$F$16),L255)</f>
        <v>5.9117155615240333E-15</v>
      </c>
      <c r="AB255" s="170">
        <f>IF(Escenarios!$F$14&gt;0,(Escenarios!$F$14*Y255)/(Escenarios!$F$16),K255)</f>
        <v>0</v>
      </c>
      <c r="AC255" s="170">
        <f>IF(Escenarios!$F$14&gt;0,(Escenarios!$F$13*M255+Escenarios!$F$14*U255)/(Escenarios!$F$16),M255)</f>
        <v>0</v>
      </c>
      <c r="AD255" s="76">
        <f t="shared" si="43"/>
        <v>72.402363886381295</v>
      </c>
      <c r="AE255" s="76">
        <f>MAX(0,(AD255-Constantes!$D$13)*(1-EXP(-Constantes!$D$23)))</f>
        <v>0.23305237492668393</v>
      </c>
      <c r="AF255" s="76">
        <f>AB255+O255*Escenarios!$F$13/Escenarios!$F$16+AE255</f>
        <v>0.23305237492668393</v>
      </c>
      <c r="AG255" s="76">
        <f>IF(Entradas!$F$91&gt;0,IF(AF255-Escenarios!$F$38&lt;=0,0,IF(AF255-Escenarios!$F$38&gt;Escenarios!$F$37,Escenarios!$F$37,AF255-Escenarios!$F$38)),0)</f>
        <v>0</v>
      </c>
      <c r="AH255" s="76">
        <f>AG255*Entradas!$F$99</f>
        <v>0</v>
      </c>
      <c r="AI255" s="76">
        <f>IF(Entradas!$F$91&gt;0,D255*Entradas!$D$23/Escenarios!$F$16,0)</f>
        <v>0.16820741800558836</v>
      </c>
      <c r="AJ255" s="76">
        <f>IF(Entradas!$F$91&gt;0,Entradas!$D$24*Entradas!$D$22/Escenarios!$F$16,0)</f>
        <v>0.12</v>
      </c>
      <c r="AK255" s="76">
        <f t="shared" si="44"/>
        <v>0.16820741800559427</v>
      </c>
      <c r="AL255" s="76">
        <f t="shared" si="45"/>
        <v>0</v>
      </c>
      <c r="AM255" s="76">
        <f t="shared" si="46"/>
        <v>0</v>
      </c>
      <c r="AN255" s="76">
        <f>MAX(0,O255*Escenarios!$F$13/Escenarios!$F$16-AM255)</f>
        <v>0</v>
      </c>
      <c r="AO255" s="76">
        <f>AM255+AN255-O255*Escenarios!$F$13/Escenarios!$F$16</f>
        <v>0</v>
      </c>
      <c r="AP255" s="76">
        <f t="shared" si="47"/>
        <v>0.23305237492668393</v>
      </c>
      <c r="AQ255" s="76">
        <f t="shared" si="48"/>
        <v>0</v>
      </c>
      <c r="AR255" s="76">
        <f t="shared" si="49"/>
        <v>0.23305237492668393</v>
      </c>
      <c r="AS255" s="76">
        <f t="shared" si="50"/>
        <v>0</v>
      </c>
      <c r="AT255" s="76">
        <f t="shared" si="51"/>
        <v>0</v>
      </c>
      <c r="AU255" s="76">
        <f t="shared" si="52"/>
        <v>49.820909607716487</v>
      </c>
      <c r="AV255" s="76">
        <f>MAX(0,(AU255-Constantes!$D$13)*(1-EXP(-Constantes!$D$24)))</f>
        <v>1.6369117938837843E-2</v>
      </c>
      <c r="AW255" s="170">
        <f>AW254+(Entradas!$F$112*AT255-AX254)/(800*Entradas!$D$25)</f>
        <v>0</v>
      </c>
      <c r="AX255" s="170">
        <f>8000*Entradas!$D$26*AW255/Constantes!$F$45</f>
        <v>0</v>
      </c>
      <c r="AY255" s="170">
        <f>IF(Escenarios!$F$17&gt;0,10*Escenarios!$F$16*AL255,0)</f>
        <v>0</v>
      </c>
      <c r="AZ255" s="170">
        <f>IF(Escenarios!$F$17&gt;0,10*Escenarios!$F$16*AX255,0)</f>
        <v>0</v>
      </c>
      <c r="BA255" s="170">
        <f>IF(Escenarios!$F$17&gt;0,0.001*Observaciones!$F254*Escenarios!$F$17,0)</f>
        <v>0</v>
      </c>
      <c r="BB255" s="170">
        <f>IF(Escenarios!$F$17&gt;0,Observaciones!$K254,0)</f>
        <v>0</v>
      </c>
      <c r="BC255" s="170">
        <f>IF(Escenarios!$F$17&gt;0,MIN(0.0005*ETo!$M254*Escenarios!$F$17*(BG254/Constantes!$F$40)^(2/3),BG254+AY255+AZ255+BA255+BB255),0)</f>
        <v>0</v>
      </c>
      <c r="BD255" s="170">
        <f>IF(Escenarios!$F$17&gt;0,MIN(Constantes!$F$39*(BG254/Constantes!$F$40)^(2/3),BG254+AY255+AZ255+BA255+BB255-BC255),0)</f>
        <v>0</v>
      </c>
      <c r="BE255" s="170">
        <f>IF(Escenarios!$F$17&gt;0,MIN(Entradas!$F$113,BG254+AY255+AZ255+BA255+BB255-BC255-BD255),0)</f>
        <v>0</v>
      </c>
      <c r="BF255" s="170">
        <f>IF(Escenarios!$F$17&gt;0,MAX(0,BG254+AY255+AZ255+BA255+BB255-BC255-BD255-BE255-Constantes!$F$40),0)</f>
        <v>0</v>
      </c>
      <c r="BG255" s="170">
        <f t="shared" si="53"/>
        <v>0</v>
      </c>
      <c r="BH255" s="170">
        <f>(Escenarios!$F$16*AK255+0.1*BC255)/(Escenarios!$F$19)</f>
        <v>0.16820741800559427</v>
      </c>
      <c r="BI255" s="170">
        <f>IF(Escenarios!$F$17&gt;0,BF255/10/Escenarios!$F$19,AL255)</f>
        <v>0</v>
      </c>
      <c r="BJ255" s="170">
        <f>(Escenarios!$F$16*AT255+0.1*BD255)/(Escenarios!$F$19)</f>
        <v>0</v>
      </c>
      <c r="BK255" s="76">
        <f>BK254+(0.1*BD255)/(Escenarios!$F$19)-BL254</f>
        <v>48.75</v>
      </c>
      <c r="BL255" s="76">
        <f>MAX(0,(BK255-Constantes!$D$13)*(1-EXP(-Constantes!$D$23)))</f>
        <v>0</v>
      </c>
      <c r="BM255" s="76">
        <f t="shared" si="54"/>
        <v>0.24942149286552179</v>
      </c>
      <c r="BN255" s="76">
        <f t="shared" si="55"/>
        <v>0.24942149286552179</v>
      </c>
      <c r="BO255" s="76">
        <f>0.0526*BI255*Observaciones!$F254^1.218</f>
        <v>0</v>
      </c>
      <c r="BP255" s="76">
        <f>BO255*Constantes!$F$51</f>
        <v>0</v>
      </c>
      <c r="BQ255" s="76">
        <f t="shared" si="56"/>
        <v>0</v>
      </c>
      <c r="BR255" s="40"/>
    </row>
    <row r="256" spans="2:70">
      <c r="B256" s="39"/>
      <c r="C256" s="75">
        <v>250</v>
      </c>
      <c r="D256" s="146">
        <f>ETo!$I255*((1-Constantes!$F$19)*ETo!$K255+ETo!$L255)</f>
        <v>3.7635924172459667</v>
      </c>
      <c r="E256" s="76">
        <f>MIN(D256*Constantes!$F$17,0.8*(N255+Observaciones!$F255-F256-M256-Constantes!$D$14))</f>
        <v>0</v>
      </c>
      <c r="F256" s="76">
        <f>IF(Observaciones!$F255&gt;0.05*Constantes!$F$18,((Observaciones!$F255-0.05*Constantes!$F$18)^2)/(Observaciones!$F255+0.95*Constantes!$F$18),0)</f>
        <v>0</v>
      </c>
      <c r="G256" s="76">
        <f>IF(Escenarios!$F$11&gt;0,(F256*Escenarios!$F$16*10000)/1000,0)</f>
        <v>0</v>
      </c>
      <c r="H256" s="76">
        <f>IF(Escenarios!$F$11&gt;0,(Observaciones!$F255*Constantes!$F$29)/1000,0)</f>
        <v>0</v>
      </c>
      <c r="I256" s="76">
        <f>IF(Escenarios!$F$11&gt;0,(D256*Constantes!$F$29)/1000,0)</f>
        <v>0</v>
      </c>
      <c r="J256" s="76">
        <f>IF(Escenarios!$F$11&gt;0,MAX(0,G256+H256-I256),0)</f>
        <v>0</v>
      </c>
      <c r="K256" s="76">
        <f>IF(Escenarios!$F$11&gt;0,IF(J256&gt;Constantes!$F$30,1000*((J256-Constantes!$F$30)/(Escenarios!$F$16*10000)),0),F256)</f>
        <v>0</v>
      </c>
      <c r="L256" s="76">
        <f>IF(Escenarios!$F$11&gt;0,I256*1000/Escenarios!$F$16/10000+E256,E256)</f>
        <v>0</v>
      </c>
      <c r="M256" s="76">
        <f>MAX(0,N255+Observaciones!$F255-K256-Constantes!$D$13)</f>
        <v>0</v>
      </c>
      <c r="N256" s="76">
        <f>N255+Observaciones!$F255-K256-L256-M256-O255</f>
        <v>11.25</v>
      </c>
      <c r="O256" s="76">
        <f>MAX(0,(N256-Constantes!$D$14)*(1-EXP(-Constantes!$D$22)))</f>
        <v>0</v>
      </c>
      <c r="P256" s="170">
        <f>P255+(Entradas!$F$83*M256-Q255)/(800*Entradas!$D$25)</f>
        <v>0</v>
      </c>
      <c r="Q256" s="170">
        <f>8000*Entradas!$D$26*P256/Constantes!$F$45</f>
        <v>0</v>
      </c>
      <c r="R256" s="170">
        <f>IF(Escenarios!$F$14&gt;0,K256*Escenarios!$F$13/Escenarios!$F$14,0)</f>
        <v>0</v>
      </c>
      <c r="S256" s="170">
        <f>IF(Escenarios!$F$14&gt;0,Q256*Escenarios!$F$13/Escenarios!$F$14,0)</f>
        <v>0</v>
      </c>
      <c r="T256" s="170">
        <f>IF(Escenarios!$F$14&gt;0,Observaciones!$I255,0)</f>
        <v>0</v>
      </c>
      <c r="U256" s="170">
        <f>IF(Escenarios!$F$14&gt;0,MAX(0,Constantes!$F$36/((Z255+R256+S256+T256+Observaciones!$F255)^2)+Entradas!$F$77),0)</f>
        <v>0</v>
      </c>
      <c r="V256" s="146">
        <f>IF(ETo!D255&gt;0,ETo!I255*((1-Entradas!$F$81)*ETo!K255+ETo!L255),0)</f>
        <v>3.3259698422851183</v>
      </c>
      <c r="W256" s="170">
        <f>IF(Escenarios!$F$14&gt;0,MIN(V256*1,0.8*(Z255+R256+S256+T256+Observaciones!$F255-U256-Constantes!$F$35)),0)</f>
        <v>5.6843418860808018E-15</v>
      </c>
      <c r="X256" s="170">
        <f>IF(Escenarios!$F$14&gt;0,Observaciones!$J255,0)</f>
        <v>0</v>
      </c>
      <c r="Y256" s="170">
        <f>IF(Escenarios!$F$14&gt;0,MAX(0,Z255+R256+S256+T256+Observaciones!$F255-U256-W256-X256-Constantes!$F$33),0)</f>
        <v>0</v>
      </c>
      <c r="Z256" s="170">
        <f>Z255+R256+S256+T256+Observaciones!$F255-U256-W256-Y256</f>
        <v>41.25</v>
      </c>
      <c r="AA256" s="170">
        <f>IF(Escenarios!$F$14&gt;0,(Escenarios!$F$13*L256+Escenarios!$F$14*W256)/(Escenarios!$F$16),L256)</f>
        <v>6.8212102632969619E-16</v>
      </c>
      <c r="AB256" s="170">
        <f>IF(Escenarios!$F$14&gt;0,(Escenarios!$F$14*Y256)/(Escenarios!$F$16),K256)</f>
        <v>0</v>
      </c>
      <c r="AC256" s="170">
        <f>IF(Escenarios!$F$14&gt;0,(Escenarios!$F$13*M256+Escenarios!$F$14*U256)/(Escenarios!$F$16),M256)</f>
        <v>0</v>
      </c>
      <c r="AD256" s="76">
        <f t="shared" si="43"/>
        <v>72.169311511454609</v>
      </c>
      <c r="AE256" s="76">
        <f>MAX(0,(AD256-Constantes!$D$13)*(1-EXP(-Constantes!$D$23)))</f>
        <v>0.23075605436778024</v>
      </c>
      <c r="AF256" s="76">
        <f>AB256+O256*Escenarios!$F$13/Escenarios!$F$16+AE256</f>
        <v>0.23075605436778024</v>
      </c>
      <c r="AG256" s="76">
        <f>IF(Entradas!$F$91&gt;0,IF(AF256-Escenarios!$F$38&lt;=0,0,IF(AF256-Escenarios!$F$38&gt;Escenarios!$F$37,Escenarios!$F$37,AF256-Escenarios!$F$38)),0)</f>
        <v>0</v>
      </c>
      <c r="AH256" s="76">
        <f>AG256*Entradas!$F$99</f>
        <v>0</v>
      </c>
      <c r="AI256" s="76">
        <f>IF(Entradas!$F$91&gt;0,D256*Entradas!$D$23/Escenarios!$F$16,0)</f>
        <v>0.1806524360278064</v>
      </c>
      <c r="AJ256" s="76">
        <f>IF(Entradas!$F$91&gt;0,Entradas!$D$24*Entradas!$D$22/Escenarios!$F$16,0)</f>
        <v>0.12</v>
      </c>
      <c r="AK256" s="76">
        <f t="shared" si="44"/>
        <v>0.18065243602780709</v>
      </c>
      <c r="AL256" s="76">
        <f t="shared" si="45"/>
        <v>0</v>
      </c>
      <c r="AM256" s="76">
        <f t="shared" si="46"/>
        <v>0</v>
      </c>
      <c r="AN256" s="76">
        <f>MAX(0,O256*Escenarios!$F$13/Escenarios!$F$16-AM256)</f>
        <v>0</v>
      </c>
      <c r="AO256" s="76">
        <f>AM256+AN256-O256*Escenarios!$F$13/Escenarios!$F$16</f>
        <v>0</v>
      </c>
      <c r="AP256" s="76">
        <f t="shared" si="47"/>
        <v>0.23075605436778024</v>
      </c>
      <c r="AQ256" s="76">
        <f t="shared" si="48"/>
        <v>0</v>
      </c>
      <c r="AR256" s="76">
        <f t="shared" si="49"/>
        <v>0.23075605436778024</v>
      </c>
      <c r="AS256" s="76">
        <f t="shared" si="50"/>
        <v>0</v>
      </c>
      <c r="AT256" s="76">
        <f t="shared" si="51"/>
        <v>0</v>
      </c>
      <c r="AU256" s="76">
        <f t="shared" si="52"/>
        <v>49.804540489777651</v>
      </c>
      <c r="AV256" s="76">
        <f>MAX(0,(AU256-Constantes!$D$13)*(1-EXP(-Constantes!$D$24)))</f>
        <v>1.6118911926897295E-2</v>
      </c>
      <c r="AW256" s="170">
        <f>AW255+(Entradas!$F$112*AT256-AX255)/(800*Entradas!$D$25)</f>
        <v>0</v>
      </c>
      <c r="AX256" s="170">
        <f>8000*Entradas!$D$26*AW256/Constantes!$F$45</f>
        <v>0</v>
      </c>
      <c r="AY256" s="170">
        <f>IF(Escenarios!$F$17&gt;0,10*Escenarios!$F$16*AL256,0)</f>
        <v>0</v>
      </c>
      <c r="AZ256" s="170">
        <f>IF(Escenarios!$F$17&gt;0,10*Escenarios!$F$16*AX256,0)</f>
        <v>0</v>
      </c>
      <c r="BA256" s="170">
        <f>IF(Escenarios!$F$17&gt;0,0.001*Observaciones!$F255*Escenarios!$F$17,0)</f>
        <v>0</v>
      </c>
      <c r="BB256" s="170">
        <f>IF(Escenarios!$F$17&gt;0,Observaciones!$K255,0)</f>
        <v>0</v>
      </c>
      <c r="BC256" s="170">
        <f>IF(Escenarios!$F$17&gt;0,MIN(0.0005*ETo!$M255*Escenarios!$F$17*(BG255/Constantes!$F$40)^(2/3),BG255+AY256+AZ256+BA256+BB256),0)</f>
        <v>0</v>
      </c>
      <c r="BD256" s="170">
        <f>IF(Escenarios!$F$17&gt;0,MIN(Constantes!$F$39*(BG255/Constantes!$F$40)^(2/3),BG255+AY256+AZ256+BA256+BB256-BC256),0)</f>
        <v>0</v>
      </c>
      <c r="BE256" s="170">
        <f>IF(Escenarios!$F$17&gt;0,MIN(Entradas!$F$113,BG255+AY256+AZ256+BA256+BB256-BC256-BD256),0)</f>
        <v>0</v>
      </c>
      <c r="BF256" s="170">
        <f>IF(Escenarios!$F$17&gt;0,MAX(0,BG255+AY256+AZ256+BA256+BB256-BC256-BD256-BE256-Constantes!$F$40),0)</f>
        <v>0</v>
      </c>
      <c r="BG256" s="170">
        <f t="shared" si="53"/>
        <v>0</v>
      </c>
      <c r="BH256" s="170">
        <f>(Escenarios!$F$16*AK256+0.1*BC256)/(Escenarios!$F$19)</f>
        <v>0.18065243602780709</v>
      </c>
      <c r="BI256" s="170">
        <f>IF(Escenarios!$F$17&gt;0,BF256/10/Escenarios!$F$19,AL256)</f>
        <v>0</v>
      </c>
      <c r="BJ256" s="170">
        <f>(Escenarios!$F$16*AT256+0.1*BD256)/(Escenarios!$F$19)</f>
        <v>0</v>
      </c>
      <c r="BK256" s="76">
        <f>BK255+(0.1*BD256)/(Escenarios!$F$19)-BL255</f>
        <v>48.75</v>
      </c>
      <c r="BL256" s="76">
        <f>MAX(0,(BK256-Constantes!$D$13)*(1-EXP(-Constantes!$D$23)))</f>
        <v>0</v>
      </c>
      <c r="BM256" s="76">
        <f t="shared" si="54"/>
        <v>0.24687496629467753</v>
      </c>
      <c r="BN256" s="76">
        <f t="shared" si="55"/>
        <v>0.24687496629467753</v>
      </c>
      <c r="BO256" s="76">
        <f>0.0526*BI256*Observaciones!$F255^1.218</f>
        <v>0</v>
      </c>
      <c r="BP256" s="76">
        <f>BO256*Constantes!$F$51</f>
        <v>0</v>
      </c>
      <c r="BQ256" s="76">
        <f t="shared" si="56"/>
        <v>0</v>
      </c>
      <c r="BR256" s="40"/>
    </row>
    <row r="257" spans="2:70">
      <c r="B257" s="39"/>
      <c r="C257" s="75">
        <v>251</v>
      </c>
      <c r="D257" s="146">
        <f>ETo!$I256*((1-Constantes!$F$19)*ETo!$K256+ETo!$L256)</f>
        <v>3.7931648015510362</v>
      </c>
      <c r="E257" s="76">
        <f>MIN(D257*Constantes!$F$17,0.8*(N256+Observaciones!$F256-F257-M257-Constantes!$D$14))</f>
        <v>0</v>
      </c>
      <c r="F257" s="76">
        <f>IF(Observaciones!$F256&gt;0.05*Constantes!$F$18,((Observaciones!$F256-0.05*Constantes!$F$18)^2)/(Observaciones!$F256+0.95*Constantes!$F$18),0)</f>
        <v>0</v>
      </c>
      <c r="G257" s="76">
        <f>IF(Escenarios!$F$11&gt;0,(F257*Escenarios!$F$16*10000)/1000,0)</f>
        <v>0</v>
      </c>
      <c r="H257" s="76">
        <f>IF(Escenarios!$F$11&gt;0,(Observaciones!$F256*Constantes!$F$29)/1000,0)</f>
        <v>0</v>
      </c>
      <c r="I257" s="76">
        <f>IF(Escenarios!$F$11&gt;0,(D257*Constantes!$F$29)/1000,0)</f>
        <v>0</v>
      </c>
      <c r="J257" s="76">
        <f>IF(Escenarios!$F$11&gt;0,MAX(0,G257+H257-I257),0)</f>
        <v>0</v>
      </c>
      <c r="K257" s="76">
        <f>IF(Escenarios!$F$11&gt;0,IF(J257&gt;Constantes!$F$30,1000*((J257-Constantes!$F$30)/(Escenarios!$F$16*10000)),0),F257)</f>
        <v>0</v>
      </c>
      <c r="L257" s="76">
        <f>IF(Escenarios!$F$11&gt;0,I257*1000/Escenarios!$F$16/10000+E257,E257)</f>
        <v>0</v>
      </c>
      <c r="M257" s="76">
        <f>MAX(0,N256+Observaciones!$F256-K257-Constantes!$D$13)</f>
        <v>0</v>
      </c>
      <c r="N257" s="76">
        <f>N256+Observaciones!$F256-K257-L257-M257-O256</f>
        <v>11.25</v>
      </c>
      <c r="O257" s="76">
        <f>MAX(0,(N257-Constantes!$D$14)*(1-EXP(-Constantes!$D$22)))</f>
        <v>0</v>
      </c>
      <c r="P257" s="170">
        <f>P256+(Entradas!$F$83*M257-Q256)/(800*Entradas!$D$25)</f>
        <v>0</v>
      </c>
      <c r="Q257" s="170">
        <f>8000*Entradas!$D$26*P257/Constantes!$F$45</f>
        <v>0</v>
      </c>
      <c r="R257" s="170">
        <f>IF(Escenarios!$F$14&gt;0,K257*Escenarios!$F$13/Escenarios!$F$14,0)</f>
        <v>0</v>
      </c>
      <c r="S257" s="170">
        <f>IF(Escenarios!$F$14&gt;0,Q257*Escenarios!$F$13/Escenarios!$F$14,0)</f>
        <v>0</v>
      </c>
      <c r="T257" s="170">
        <f>IF(Escenarios!$F$14&gt;0,Observaciones!$I256,0)</f>
        <v>0</v>
      </c>
      <c r="U257" s="170">
        <f>IF(Escenarios!$F$14&gt;0,MAX(0,Constantes!$F$36/((Z256+R257+S257+T257+Observaciones!$F256)^2)+Entradas!$F$77),0)</f>
        <v>0</v>
      </c>
      <c r="V257" s="146">
        <f>IF(ETo!D256&gt;0,ETo!I256*((1-Entradas!$F$81)*ETo!K256+ETo!L256),0)</f>
        <v>3.3528556559893876</v>
      </c>
      <c r="W257" s="170">
        <f>IF(Escenarios!$F$14&gt;0,MIN(V257*1,0.8*(Z256+R257+S257+T257+Observaciones!$F256-U257-Constantes!$F$35)),0)</f>
        <v>0</v>
      </c>
      <c r="X257" s="170">
        <f>IF(Escenarios!$F$14&gt;0,Observaciones!$J256,0)</f>
        <v>0</v>
      </c>
      <c r="Y257" s="170">
        <f>IF(Escenarios!$F$14&gt;0,MAX(0,Z256+R257+S257+T257+Observaciones!$F256-U257-W257-X257-Constantes!$F$33),0)</f>
        <v>0</v>
      </c>
      <c r="Z257" s="170">
        <f>Z256+R257+S257+T257+Observaciones!$F256-U257-W257-Y257</f>
        <v>41.25</v>
      </c>
      <c r="AA257" s="170">
        <f>IF(Escenarios!$F$14&gt;0,(Escenarios!$F$13*L257+Escenarios!$F$14*W257)/(Escenarios!$F$16),L257)</f>
        <v>0</v>
      </c>
      <c r="AB257" s="170">
        <f>IF(Escenarios!$F$14&gt;0,(Escenarios!$F$14*Y257)/(Escenarios!$F$16),K257)</f>
        <v>0</v>
      </c>
      <c r="AC257" s="170">
        <f>IF(Escenarios!$F$14&gt;0,(Escenarios!$F$13*M257+Escenarios!$F$14*U257)/(Escenarios!$F$16),M257)</f>
        <v>0</v>
      </c>
      <c r="AD257" s="76">
        <f t="shared" si="43"/>
        <v>71.938555457086835</v>
      </c>
      <c r="AE257" s="76">
        <f>MAX(0,(AD257-Constantes!$D$13)*(1-EXP(-Constantes!$D$23)))</f>
        <v>0.22848236000228447</v>
      </c>
      <c r="AF257" s="76">
        <f>AB257+O257*Escenarios!$F$13/Escenarios!$F$16+AE257</f>
        <v>0.22848236000228447</v>
      </c>
      <c r="AG257" s="76">
        <f>IF(Entradas!$F$91&gt;0,IF(AF257-Escenarios!$F$38&lt;=0,0,IF(AF257-Escenarios!$F$38&gt;Escenarios!$F$37,Escenarios!$F$37,AF257-Escenarios!$F$38)),0)</f>
        <v>0</v>
      </c>
      <c r="AH257" s="76">
        <f>AG257*Entradas!$F$99</f>
        <v>0</v>
      </c>
      <c r="AI257" s="76">
        <f>IF(Entradas!$F$91&gt;0,D257*Entradas!$D$23/Escenarios!$F$16,0)</f>
        <v>0.18207191047444973</v>
      </c>
      <c r="AJ257" s="76">
        <f>IF(Entradas!$F$91&gt;0,Entradas!$D$24*Entradas!$D$22/Escenarios!$F$16,0)</f>
        <v>0.12</v>
      </c>
      <c r="AK257" s="76">
        <f t="shared" si="44"/>
        <v>0.18207191047444973</v>
      </c>
      <c r="AL257" s="76">
        <f t="shared" si="45"/>
        <v>0</v>
      </c>
      <c r="AM257" s="76">
        <f t="shared" si="46"/>
        <v>0</v>
      </c>
      <c r="AN257" s="76">
        <f>MAX(0,O257*Escenarios!$F$13/Escenarios!$F$16-AM257)</f>
        <v>0</v>
      </c>
      <c r="AO257" s="76">
        <f>AM257+AN257-O257*Escenarios!$F$13/Escenarios!$F$16</f>
        <v>0</v>
      </c>
      <c r="AP257" s="76">
        <f t="shared" si="47"/>
        <v>0.22848236000228447</v>
      </c>
      <c r="AQ257" s="76">
        <f t="shared" si="48"/>
        <v>0</v>
      </c>
      <c r="AR257" s="76">
        <f t="shared" si="49"/>
        <v>0.22848236000228447</v>
      </c>
      <c r="AS257" s="76">
        <f t="shared" si="50"/>
        <v>0</v>
      </c>
      <c r="AT257" s="76">
        <f t="shared" si="51"/>
        <v>0</v>
      </c>
      <c r="AU257" s="76">
        <f t="shared" si="52"/>
        <v>49.788421577850755</v>
      </c>
      <c r="AV257" s="76">
        <f>MAX(0,(AU257-Constantes!$D$13)*(1-EXP(-Constantes!$D$24)))</f>
        <v>1.5872530375666553E-2</v>
      </c>
      <c r="AW257" s="170">
        <f>AW256+(Entradas!$F$112*AT257-AX256)/(800*Entradas!$D$25)</f>
        <v>0</v>
      </c>
      <c r="AX257" s="170">
        <f>8000*Entradas!$D$26*AW257/Constantes!$F$45</f>
        <v>0</v>
      </c>
      <c r="AY257" s="170">
        <f>IF(Escenarios!$F$17&gt;0,10*Escenarios!$F$16*AL257,0)</f>
        <v>0</v>
      </c>
      <c r="AZ257" s="170">
        <f>IF(Escenarios!$F$17&gt;0,10*Escenarios!$F$16*AX257,0)</f>
        <v>0</v>
      </c>
      <c r="BA257" s="170">
        <f>IF(Escenarios!$F$17&gt;0,0.001*Observaciones!$F256*Escenarios!$F$17,0)</f>
        <v>0</v>
      </c>
      <c r="BB257" s="170">
        <f>IF(Escenarios!$F$17&gt;0,Observaciones!$K256,0)</f>
        <v>0</v>
      </c>
      <c r="BC257" s="170">
        <f>IF(Escenarios!$F$17&gt;0,MIN(0.0005*ETo!$M256*Escenarios!$F$17*(BG256/Constantes!$F$40)^(2/3),BG256+AY257+AZ257+BA257+BB257),0)</f>
        <v>0</v>
      </c>
      <c r="BD257" s="170">
        <f>IF(Escenarios!$F$17&gt;0,MIN(Constantes!$F$39*(BG256/Constantes!$F$40)^(2/3),BG256+AY257+AZ257+BA257+BB257-BC257),0)</f>
        <v>0</v>
      </c>
      <c r="BE257" s="170">
        <f>IF(Escenarios!$F$17&gt;0,MIN(Entradas!$F$113,BG256+AY257+AZ257+BA257+BB257-BC257-BD257),0)</f>
        <v>0</v>
      </c>
      <c r="BF257" s="170">
        <f>IF(Escenarios!$F$17&gt;0,MAX(0,BG256+AY257+AZ257+BA257+BB257-BC257-BD257-BE257-Constantes!$F$40),0)</f>
        <v>0</v>
      </c>
      <c r="BG257" s="170">
        <f t="shared" si="53"/>
        <v>0</v>
      </c>
      <c r="BH257" s="170">
        <f>(Escenarios!$F$16*AK257+0.1*BC257)/(Escenarios!$F$19)</f>
        <v>0.18207191047444973</v>
      </c>
      <c r="BI257" s="170">
        <f>IF(Escenarios!$F$17&gt;0,BF257/10/Escenarios!$F$19,AL257)</f>
        <v>0</v>
      </c>
      <c r="BJ257" s="170">
        <f>(Escenarios!$F$16*AT257+0.1*BD257)/(Escenarios!$F$19)</f>
        <v>0</v>
      </c>
      <c r="BK257" s="76">
        <f>BK256+(0.1*BD257)/(Escenarios!$F$19)-BL256</f>
        <v>48.75</v>
      </c>
      <c r="BL257" s="76">
        <f>MAX(0,(BK257-Constantes!$D$13)*(1-EXP(-Constantes!$D$23)))</f>
        <v>0</v>
      </c>
      <c r="BM257" s="76">
        <f t="shared" si="54"/>
        <v>0.24435489037795102</v>
      </c>
      <c r="BN257" s="76">
        <f t="shared" si="55"/>
        <v>0.24435489037795102</v>
      </c>
      <c r="BO257" s="76">
        <f>0.0526*BI257*Observaciones!$F256^1.218</f>
        <v>0</v>
      </c>
      <c r="BP257" s="76">
        <f>BO257*Constantes!$F$51</f>
        <v>0</v>
      </c>
      <c r="BQ257" s="76">
        <f t="shared" si="56"/>
        <v>0</v>
      </c>
      <c r="BR257" s="40"/>
    </row>
    <row r="258" spans="2:70">
      <c r="B258" s="39"/>
      <c r="C258" s="75">
        <v>252</v>
      </c>
      <c r="D258" s="146">
        <f>ETo!$I257*((1-Constantes!$F$19)*ETo!$K257+ETo!$L257)</f>
        <v>3.8349359215272196</v>
      </c>
      <c r="E258" s="76">
        <f>MIN(D258*Constantes!$F$17,0.8*(N257+Observaciones!$F257-F258-M258-Constantes!$D$14))</f>
        <v>0</v>
      </c>
      <c r="F258" s="76">
        <f>IF(Observaciones!$F257&gt;0.05*Constantes!$F$18,((Observaciones!$F257-0.05*Constantes!$F$18)^2)/(Observaciones!$F257+0.95*Constantes!$F$18),0)</f>
        <v>0</v>
      </c>
      <c r="G258" s="76">
        <f>IF(Escenarios!$F$11&gt;0,(F258*Escenarios!$F$16*10000)/1000,0)</f>
        <v>0</v>
      </c>
      <c r="H258" s="76">
        <f>IF(Escenarios!$F$11&gt;0,(Observaciones!$F257*Constantes!$F$29)/1000,0)</f>
        <v>0</v>
      </c>
      <c r="I258" s="76">
        <f>IF(Escenarios!$F$11&gt;0,(D258*Constantes!$F$29)/1000,0)</f>
        <v>0</v>
      </c>
      <c r="J258" s="76">
        <f>IF(Escenarios!$F$11&gt;0,MAX(0,G258+H258-I258),0)</f>
        <v>0</v>
      </c>
      <c r="K258" s="76">
        <f>IF(Escenarios!$F$11&gt;0,IF(J258&gt;Constantes!$F$30,1000*((J258-Constantes!$F$30)/(Escenarios!$F$16*10000)),0),F258)</f>
        <v>0</v>
      </c>
      <c r="L258" s="76">
        <f>IF(Escenarios!$F$11&gt;0,I258*1000/Escenarios!$F$16/10000+E258,E258)</f>
        <v>0</v>
      </c>
      <c r="M258" s="76">
        <f>MAX(0,N257+Observaciones!$F257-K258-Constantes!$D$13)</f>
        <v>0</v>
      </c>
      <c r="N258" s="76">
        <f>N257+Observaciones!$F257-K258-L258-M258-O257</f>
        <v>11.25</v>
      </c>
      <c r="O258" s="76">
        <f>MAX(0,(N258-Constantes!$D$14)*(1-EXP(-Constantes!$D$22)))</f>
        <v>0</v>
      </c>
      <c r="P258" s="170">
        <f>P257+(Entradas!$F$83*M258-Q257)/(800*Entradas!$D$25)</f>
        <v>0</v>
      </c>
      <c r="Q258" s="170">
        <f>8000*Entradas!$D$26*P258/Constantes!$F$45</f>
        <v>0</v>
      </c>
      <c r="R258" s="170">
        <f>IF(Escenarios!$F$14&gt;0,K258*Escenarios!$F$13/Escenarios!$F$14,0)</f>
        <v>0</v>
      </c>
      <c r="S258" s="170">
        <f>IF(Escenarios!$F$14&gt;0,Q258*Escenarios!$F$13/Escenarios!$F$14,0)</f>
        <v>0</v>
      </c>
      <c r="T258" s="170">
        <f>IF(Escenarios!$F$14&gt;0,Observaciones!$I257,0)</f>
        <v>0</v>
      </c>
      <c r="U258" s="170">
        <f>IF(Escenarios!$F$14&gt;0,MAX(0,Constantes!$F$36/((Z257+R258+S258+T258+Observaciones!$F257)^2)+Entradas!$F$77),0)</f>
        <v>0</v>
      </c>
      <c r="V258" s="146">
        <f>IF(ETo!D257&gt;0,ETo!I257*((1-Entradas!$F$81)*ETo!K257+ETo!L257),0)</f>
        <v>3.3907072393580706</v>
      </c>
      <c r="W258" s="170">
        <f>IF(Escenarios!$F$14&gt;0,MIN(V258*1,0.8*(Z257+R258+S258+T258+Observaciones!$F257-U258-Constantes!$F$35)),0)</f>
        <v>0</v>
      </c>
      <c r="X258" s="170">
        <f>IF(Escenarios!$F$14&gt;0,Observaciones!$J257,0)</f>
        <v>0</v>
      </c>
      <c r="Y258" s="170">
        <f>IF(Escenarios!$F$14&gt;0,MAX(0,Z257+R258+S258+T258+Observaciones!$F257-U258-W258-X258-Constantes!$F$33),0)</f>
        <v>0</v>
      </c>
      <c r="Z258" s="170">
        <f>Z257+R258+S258+T258+Observaciones!$F257-U258-W258-Y258</f>
        <v>41.25</v>
      </c>
      <c r="AA258" s="170">
        <f>IF(Escenarios!$F$14&gt;0,(Escenarios!$F$13*L258+Escenarios!$F$14*W258)/(Escenarios!$F$16),L258)</f>
        <v>0</v>
      </c>
      <c r="AB258" s="170">
        <f>IF(Escenarios!$F$14&gt;0,(Escenarios!$F$14*Y258)/(Escenarios!$F$16),K258)</f>
        <v>0</v>
      </c>
      <c r="AC258" s="170">
        <f>IF(Escenarios!$F$14&gt;0,(Escenarios!$F$13*M258+Escenarios!$F$14*U258)/(Escenarios!$F$16),M258)</f>
        <v>0</v>
      </c>
      <c r="AD258" s="76">
        <f t="shared" si="43"/>
        <v>71.710073097084546</v>
      </c>
      <c r="AE258" s="76">
        <f>MAX(0,(AD258-Constantes!$D$13)*(1-EXP(-Constantes!$D$23)))</f>
        <v>0.22623106888892364</v>
      </c>
      <c r="AF258" s="76">
        <f>AB258+O258*Escenarios!$F$13/Escenarios!$F$16+AE258</f>
        <v>0.22623106888892364</v>
      </c>
      <c r="AG258" s="76">
        <f>IF(Entradas!$F$91&gt;0,IF(AF258-Escenarios!$F$38&lt;=0,0,IF(AF258-Escenarios!$F$38&gt;Escenarios!$F$37,Escenarios!$F$37,AF258-Escenarios!$F$38)),0)</f>
        <v>0</v>
      </c>
      <c r="AH258" s="76">
        <f>AG258*Entradas!$F$99</f>
        <v>0</v>
      </c>
      <c r="AI258" s="76">
        <f>IF(Entradas!$F$91&gt;0,D258*Entradas!$D$23/Escenarios!$F$16,0)</f>
        <v>0.18407692423330654</v>
      </c>
      <c r="AJ258" s="76">
        <f>IF(Entradas!$F$91&gt;0,Entradas!$D$24*Entradas!$D$22/Escenarios!$F$16,0)</f>
        <v>0.12</v>
      </c>
      <c r="AK258" s="76">
        <f t="shared" si="44"/>
        <v>0.18407692423330654</v>
      </c>
      <c r="AL258" s="76">
        <f t="shared" si="45"/>
        <v>0</v>
      </c>
      <c r="AM258" s="76">
        <f t="shared" si="46"/>
        <v>0</v>
      </c>
      <c r="AN258" s="76">
        <f>MAX(0,O258*Escenarios!$F$13/Escenarios!$F$16-AM258)</f>
        <v>0</v>
      </c>
      <c r="AO258" s="76">
        <f>AM258+AN258-O258*Escenarios!$F$13/Escenarios!$F$16</f>
        <v>0</v>
      </c>
      <c r="AP258" s="76">
        <f t="shared" si="47"/>
        <v>0.22623106888892364</v>
      </c>
      <c r="AQ258" s="76">
        <f t="shared" si="48"/>
        <v>0</v>
      </c>
      <c r="AR258" s="76">
        <f t="shared" si="49"/>
        <v>0.22623106888892364</v>
      </c>
      <c r="AS258" s="76">
        <f t="shared" si="50"/>
        <v>0</v>
      </c>
      <c r="AT258" s="76">
        <f t="shared" si="51"/>
        <v>0</v>
      </c>
      <c r="AU258" s="76">
        <f t="shared" si="52"/>
        <v>49.772549047475088</v>
      </c>
      <c r="AV258" s="76">
        <f>MAX(0,(AU258-Constantes!$D$13)*(1-EXP(-Constantes!$D$24)))</f>
        <v>1.5629914827318743E-2</v>
      </c>
      <c r="AW258" s="170">
        <f>AW257+(Entradas!$F$112*AT258-AX257)/(800*Entradas!$D$25)</f>
        <v>0</v>
      </c>
      <c r="AX258" s="170">
        <f>8000*Entradas!$D$26*AW258/Constantes!$F$45</f>
        <v>0</v>
      </c>
      <c r="AY258" s="170">
        <f>IF(Escenarios!$F$17&gt;0,10*Escenarios!$F$16*AL258,0)</f>
        <v>0</v>
      </c>
      <c r="AZ258" s="170">
        <f>IF(Escenarios!$F$17&gt;0,10*Escenarios!$F$16*AX258,0)</f>
        <v>0</v>
      </c>
      <c r="BA258" s="170">
        <f>IF(Escenarios!$F$17&gt;0,0.001*Observaciones!$F257*Escenarios!$F$17,0)</f>
        <v>0</v>
      </c>
      <c r="BB258" s="170">
        <f>IF(Escenarios!$F$17&gt;0,Observaciones!$K257,0)</f>
        <v>0</v>
      </c>
      <c r="BC258" s="170">
        <f>IF(Escenarios!$F$17&gt;0,MIN(0.0005*ETo!$M257*Escenarios!$F$17*(BG257/Constantes!$F$40)^(2/3),BG257+AY258+AZ258+BA258+BB258),0)</f>
        <v>0</v>
      </c>
      <c r="BD258" s="170">
        <f>IF(Escenarios!$F$17&gt;0,MIN(Constantes!$F$39*(BG257/Constantes!$F$40)^(2/3),BG257+AY258+AZ258+BA258+BB258-BC258),0)</f>
        <v>0</v>
      </c>
      <c r="BE258" s="170">
        <f>IF(Escenarios!$F$17&gt;0,MIN(Entradas!$F$113,BG257+AY258+AZ258+BA258+BB258-BC258-BD258),0)</f>
        <v>0</v>
      </c>
      <c r="BF258" s="170">
        <f>IF(Escenarios!$F$17&gt;0,MAX(0,BG257+AY258+AZ258+BA258+BB258-BC258-BD258-BE258-Constantes!$F$40),0)</f>
        <v>0</v>
      </c>
      <c r="BG258" s="170">
        <f t="shared" si="53"/>
        <v>0</v>
      </c>
      <c r="BH258" s="170">
        <f>(Escenarios!$F$16*AK258+0.1*BC258)/(Escenarios!$F$19)</f>
        <v>0.18407692423330654</v>
      </c>
      <c r="BI258" s="170">
        <f>IF(Escenarios!$F$17&gt;0,BF258/10/Escenarios!$F$19,AL258)</f>
        <v>0</v>
      </c>
      <c r="BJ258" s="170">
        <f>(Escenarios!$F$16*AT258+0.1*BD258)/(Escenarios!$F$19)</f>
        <v>0</v>
      </c>
      <c r="BK258" s="76">
        <f>BK257+(0.1*BD258)/(Escenarios!$F$19)-BL257</f>
        <v>48.75</v>
      </c>
      <c r="BL258" s="76">
        <f>MAX(0,(BK258-Constantes!$D$13)*(1-EXP(-Constantes!$D$23)))</f>
        <v>0</v>
      </c>
      <c r="BM258" s="76">
        <f t="shared" si="54"/>
        <v>0.24186098371624237</v>
      </c>
      <c r="BN258" s="76">
        <f t="shared" si="55"/>
        <v>0.24186098371624237</v>
      </c>
      <c r="BO258" s="76">
        <f>0.0526*BI258*Observaciones!$F257^1.218</f>
        <v>0</v>
      </c>
      <c r="BP258" s="76">
        <f>BO258*Constantes!$F$51</f>
        <v>0</v>
      </c>
      <c r="BQ258" s="76">
        <f t="shared" si="56"/>
        <v>0</v>
      </c>
      <c r="BR258" s="40"/>
    </row>
    <row r="259" spans="2:70">
      <c r="B259" s="39"/>
      <c r="C259" s="75">
        <v>253</v>
      </c>
      <c r="D259" s="146">
        <f>ETo!$I258*((1-Constantes!$F$19)*ETo!$K258+ETo!$L258)</f>
        <v>3.8315691027812906</v>
      </c>
      <c r="E259" s="76">
        <f>MIN(D259*Constantes!$F$17,0.8*(N258+Observaciones!$F258-F259-M259-Constantes!$D$14))</f>
        <v>0</v>
      </c>
      <c r="F259" s="76">
        <f>IF(Observaciones!$F258&gt;0.05*Constantes!$F$18,((Observaciones!$F258-0.05*Constantes!$F$18)^2)/(Observaciones!$F258+0.95*Constantes!$F$18),0)</f>
        <v>0</v>
      </c>
      <c r="G259" s="76">
        <f>IF(Escenarios!$F$11&gt;0,(F259*Escenarios!$F$16*10000)/1000,0)</f>
        <v>0</v>
      </c>
      <c r="H259" s="76">
        <f>IF(Escenarios!$F$11&gt;0,(Observaciones!$F258*Constantes!$F$29)/1000,0)</f>
        <v>0</v>
      </c>
      <c r="I259" s="76">
        <f>IF(Escenarios!$F$11&gt;0,(D259*Constantes!$F$29)/1000,0)</f>
        <v>0</v>
      </c>
      <c r="J259" s="76">
        <f>IF(Escenarios!$F$11&gt;0,MAX(0,G259+H259-I259),0)</f>
        <v>0</v>
      </c>
      <c r="K259" s="76">
        <f>IF(Escenarios!$F$11&gt;0,IF(J259&gt;Constantes!$F$30,1000*((J259-Constantes!$F$30)/(Escenarios!$F$16*10000)),0),F259)</f>
        <v>0</v>
      </c>
      <c r="L259" s="76">
        <f>IF(Escenarios!$F$11&gt;0,I259*1000/Escenarios!$F$16/10000+E259,E259)</f>
        <v>0</v>
      </c>
      <c r="M259" s="76">
        <f>MAX(0,N258+Observaciones!$F258-K259-Constantes!$D$13)</f>
        <v>0</v>
      </c>
      <c r="N259" s="76">
        <f>N258+Observaciones!$F258-K259-L259-M259-O258</f>
        <v>11.25</v>
      </c>
      <c r="O259" s="76">
        <f>MAX(0,(N259-Constantes!$D$14)*(1-EXP(-Constantes!$D$22)))</f>
        <v>0</v>
      </c>
      <c r="P259" s="170">
        <f>P258+(Entradas!$F$83*M259-Q258)/(800*Entradas!$D$25)</f>
        <v>0</v>
      </c>
      <c r="Q259" s="170">
        <f>8000*Entradas!$D$26*P259/Constantes!$F$45</f>
        <v>0</v>
      </c>
      <c r="R259" s="170">
        <f>IF(Escenarios!$F$14&gt;0,K259*Escenarios!$F$13/Escenarios!$F$14,0)</f>
        <v>0</v>
      </c>
      <c r="S259" s="170">
        <f>IF(Escenarios!$F$14&gt;0,Q259*Escenarios!$F$13/Escenarios!$F$14,0)</f>
        <v>0</v>
      </c>
      <c r="T259" s="170">
        <f>IF(Escenarios!$F$14&gt;0,Observaciones!$I258,0)</f>
        <v>0</v>
      </c>
      <c r="U259" s="170">
        <f>IF(Escenarios!$F$14&gt;0,MAX(0,Constantes!$F$36/((Z258+R259+S259+T259+Observaciones!$F258)^2)+Entradas!$F$77),0)</f>
        <v>0</v>
      </c>
      <c r="V259" s="146">
        <f>IF(ETo!D258&gt;0,ETo!I258*((1-Entradas!$F$81)*ETo!K258+ETo!L258),0)</f>
        <v>3.3880024895029139</v>
      </c>
      <c r="W259" s="170">
        <f>IF(Escenarios!$F$14&gt;0,MIN(V259*1,0.8*(Z258+R259+S259+T259+Observaciones!$F258-U259-Constantes!$F$35)),0)</f>
        <v>0</v>
      </c>
      <c r="X259" s="170">
        <f>IF(Escenarios!$F$14&gt;0,Observaciones!$J258,0)</f>
        <v>0</v>
      </c>
      <c r="Y259" s="170">
        <f>IF(Escenarios!$F$14&gt;0,MAX(0,Z258+R259+S259+T259+Observaciones!$F258-U259-W259-X259-Constantes!$F$33),0)</f>
        <v>0</v>
      </c>
      <c r="Z259" s="170">
        <f>Z258+R259+S259+T259+Observaciones!$F258-U259-W259-Y259</f>
        <v>41.25</v>
      </c>
      <c r="AA259" s="170">
        <f>IF(Escenarios!$F$14&gt;0,(Escenarios!$F$13*L259+Escenarios!$F$14*W259)/(Escenarios!$F$16),L259)</f>
        <v>0</v>
      </c>
      <c r="AB259" s="170">
        <f>IF(Escenarios!$F$14&gt;0,(Escenarios!$F$14*Y259)/(Escenarios!$F$16),K259)</f>
        <v>0</v>
      </c>
      <c r="AC259" s="170">
        <f>IF(Escenarios!$F$14&gt;0,(Escenarios!$F$13*M259+Escenarios!$F$14*U259)/(Escenarios!$F$16),M259)</f>
        <v>0</v>
      </c>
      <c r="AD259" s="76">
        <f t="shared" si="43"/>
        <v>71.483842028195625</v>
      </c>
      <c r="AE259" s="76">
        <f>MAX(0,(AD259-Constantes!$D$13)*(1-EXP(-Constantes!$D$23)))</f>
        <v>0.22400196028311858</v>
      </c>
      <c r="AF259" s="76">
        <f>AB259+O259*Escenarios!$F$13/Escenarios!$F$16+AE259</f>
        <v>0.22400196028311858</v>
      </c>
      <c r="AG259" s="76">
        <f>IF(Entradas!$F$91&gt;0,IF(AF259-Escenarios!$F$38&lt;=0,0,IF(AF259-Escenarios!$F$38&gt;Escenarios!$F$37,Escenarios!$F$37,AF259-Escenarios!$F$38)),0)</f>
        <v>0</v>
      </c>
      <c r="AH259" s="76">
        <f>AG259*Entradas!$F$99</f>
        <v>0</v>
      </c>
      <c r="AI259" s="76">
        <f>IF(Entradas!$F$91&gt;0,D259*Entradas!$D$23/Escenarios!$F$16,0)</f>
        <v>0.18391531693350194</v>
      </c>
      <c r="AJ259" s="76">
        <f>IF(Entradas!$F$91&gt;0,Entradas!$D$24*Entradas!$D$22/Escenarios!$F$16,0)</f>
        <v>0.12</v>
      </c>
      <c r="AK259" s="76">
        <f t="shared" si="44"/>
        <v>0.18391531693350194</v>
      </c>
      <c r="AL259" s="76">
        <f t="shared" si="45"/>
        <v>0</v>
      </c>
      <c r="AM259" s="76">
        <f t="shared" si="46"/>
        <v>0</v>
      </c>
      <c r="AN259" s="76">
        <f>MAX(0,O259*Escenarios!$F$13/Escenarios!$F$16-AM259)</f>
        <v>0</v>
      </c>
      <c r="AO259" s="76">
        <f>AM259+AN259-O259*Escenarios!$F$13/Escenarios!$F$16</f>
        <v>0</v>
      </c>
      <c r="AP259" s="76">
        <f t="shared" si="47"/>
        <v>0.22400196028311858</v>
      </c>
      <c r="AQ259" s="76">
        <f t="shared" si="48"/>
        <v>0</v>
      </c>
      <c r="AR259" s="76">
        <f t="shared" si="49"/>
        <v>0.22400196028311858</v>
      </c>
      <c r="AS259" s="76">
        <f t="shared" si="50"/>
        <v>0</v>
      </c>
      <c r="AT259" s="76">
        <f t="shared" si="51"/>
        <v>0</v>
      </c>
      <c r="AU259" s="76">
        <f t="shared" si="52"/>
        <v>49.756919132647766</v>
      </c>
      <c r="AV259" s="76">
        <f>MAX(0,(AU259-Constantes!$D$13)*(1-EXP(-Constantes!$D$24)))</f>
        <v>1.5391007717569327E-2</v>
      </c>
      <c r="AW259" s="170">
        <f>AW258+(Entradas!$F$112*AT259-AX258)/(800*Entradas!$D$25)</f>
        <v>0</v>
      </c>
      <c r="AX259" s="170">
        <f>8000*Entradas!$D$26*AW259/Constantes!$F$45</f>
        <v>0</v>
      </c>
      <c r="AY259" s="170">
        <f>IF(Escenarios!$F$17&gt;0,10*Escenarios!$F$16*AL259,0)</f>
        <v>0</v>
      </c>
      <c r="AZ259" s="170">
        <f>IF(Escenarios!$F$17&gt;0,10*Escenarios!$F$16*AX259,0)</f>
        <v>0</v>
      </c>
      <c r="BA259" s="170">
        <f>IF(Escenarios!$F$17&gt;0,0.001*Observaciones!$F258*Escenarios!$F$17,0)</f>
        <v>0</v>
      </c>
      <c r="BB259" s="170">
        <f>IF(Escenarios!$F$17&gt;0,Observaciones!$K258,0)</f>
        <v>0</v>
      </c>
      <c r="BC259" s="170">
        <f>IF(Escenarios!$F$17&gt;0,MIN(0.0005*ETo!$M258*Escenarios!$F$17*(BG258/Constantes!$F$40)^(2/3),BG258+AY259+AZ259+BA259+BB259),0)</f>
        <v>0</v>
      </c>
      <c r="BD259" s="170">
        <f>IF(Escenarios!$F$17&gt;0,MIN(Constantes!$F$39*(BG258/Constantes!$F$40)^(2/3),BG258+AY259+AZ259+BA259+BB259-BC259),0)</f>
        <v>0</v>
      </c>
      <c r="BE259" s="170">
        <f>IF(Escenarios!$F$17&gt;0,MIN(Entradas!$F$113,BG258+AY259+AZ259+BA259+BB259-BC259-BD259),0)</f>
        <v>0</v>
      </c>
      <c r="BF259" s="170">
        <f>IF(Escenarios!$F$17&gt;0,MAX(0,BG258+AY259+AZ259+BA259+BB259-BC259-BD259-BE259-Constantes!$F$40),0)</f>
        <v>0</v>
      </c>
      <c r="BG259" s="170">
        <f t="shared" si="53"/>
        <v>0</v>
      </c>
      <c r="BH259" s="170">
        <f>(Escenarios!$F$16*AK259+0.1*BC259)/(Escenarios!$F$19)</f>
        <v>0.18391531693350194</v>
      </c>
      <c r="BI259" s="170">
        <f>IF(Escenarios!$F$17&gt;0,BF259/10/Escenarios!$F$19,AL259)</f>
        <v>0</v>
      </c>
      <c r="BJ259" s="170">
        <f>(Escenarios!$F$16*AT259+0.1*BD259)/(Escenarios!$F$19)</f>
        <v>0</v>
      </c>
      <c r="BK259" s="76">
        <f>BK258+(0.1*BD259)/(Escenarios!$F$19)-BL258</f>
        <v>48.75</v>
      </c>
      <c r="BL259" s="76">
        <f>MAX(0,(BK259-Constantes!$D$13)*(1-EXP(-Constantes!$D$23)))</f>
        <v>0</v>
      </c>
      <c r="BM259" s="76">
        <f t="shared" si="54"/>
        <v>0.23939296800068791</v>
      </c>
      <c r="BN259" s="76">
        <f t="shared" si="55"/>
        <v>0.23939296800068791</v>
      </c>
      <c r="BO259" s="76">
        <f>0.0526*BI259*Observaciones!$F258^1.218</f>
        <v>0</v>
      </c>
      <c r="BP259" s="76">
        <f>BO259*Constantes!$F$51</f>
        <v>0</v>
      </c>
      <c r="BQ259" s="76">
        <f t="shared" si="56"/>
        <v>0</v>
      </c>
      <c r="BR259" s="40"/>
    </row>
    <row r="260" spans="2:70">
      <c r="B260" s="39"/>
      <c r="C260" s="75">
        <v>254</v>
      </c>
      <c r="D260" s="146">
        <f>ETo!$I259*((1-Constantes!$F$19)*ETo!$K259+ETo!$L259)</f>
        <v>3.8031582538184172</v>
      </c>
      <c r="E260" s="76">
        <f>MIN(D260*Constantes!$F$17,0.8*(N259+Observaciones!$F259-F260-M260-Constantes!$D$14))</f>
        <v>0</v>
      </c>
      <c r="F260" s="76">
        <f>IF(Observaciones!$F259&gt;0.05*Constantes!$F$18,((Observaciones!$F259-0.05*Constantes!$F$18)^2)/(Observaciones!$F259+0.95*Constantes!$F$18),0)</f>
        <v>0</v>
      </c>
      <c r="G260" s="76">
        <f>IF(Escenarios!$F$11&gt;0,(F260*Escenarios!$F$16*10000)/1000,0)</f>
        <v>0</v>
      </c>
      <c r="H260" s="76">
        <f>IF(Escenarios!$F$11&gt;0,(Observaciones!$F259*Constantes!$F$29)/1000,0)</f>
        <v>0</v>
      </c>
      <c r="I260" s="76">
        <f>IF(Escenarios!$F$11&gt;0,(D260*Constantes!$F$29)/1000,0)</f>
        <v>0</v>
      </c>
      <c r="J260" s="76">
        <f>IF(Escenarios!$F$11&gt;0,MAX(0,G260+H260-I260),0)</f>
        <v>0</v>
      </c>
      <c r="K260" s="76">
        <f>IF(Escenarios!$F$11&gt;0,IF(J260&gt;Constantes!$F$30,1000*((J260-Constantes!$F$30)/(Escenarios!$F$16*10000)),0),F260)</f>
        <v>0</v>
      </c>
      <c r="L260" s="76">
        <f>IF(Escenarios!$F$11&gt;0,I260*1000/Escenarios!$F$16/10000+E260,E260)</f>
        <v>0</v>
      </c>
      <c r="M260" s="76">
        <f>MAX(0,N259+Observaciones!$F259-K260-Constantes!$D$13)</f>
        <v>0</v>
      </c>
      <c r="N260" s="76">
        <f>N259+Observaciones!$F259-K260-L260-M260-O259</f>
        <v>11.25</v>
      </c>
      <c r="O260" s="76">
        <f>MAX(0,(N260-Constantes!$D$14)*(1-EXP(-Constantes!$D$22)))</f>
        <v>0</v>
      </c>
      <c r="P260" s="170">
        <f>P259+(Entradas!$F$83*M260-Q259)/(800*Entradas!$D$25)</f>
        <v>0</v>
      </c>
      <c r="Q260" s="170">
        <f>8000*Entradas!$D$26*P260/Constantes!$F$45</f>
        <v>0</v>
      </c>
      <c r="R260" s="170">
        <f>IF(Escenarios!$F$14&gt;0,K260*Escenarios!$F$13/Escenarios!$F$14,0)</f>
        <v>0</v>
      </c>
      <c r="S260" s="170">
        <f>IF(Escenarios!$F$14&gt;0,Q260*Escenarios!$F$13/Escenarios!$F$14,0)</f>
        <v>0</v>
      </c>
      <c r="T260" s="170">
        <f>IF(Escenarios!$F$14&gt;0,Observaciones!$I259,0)</f>
        <v>0</v>
      </c>
      <c r="U260" s="170">
        <f>IF(Escenarios!$F$14&gt;0,MAX(0,Constantes!$F$36/((Z259+R260+S260+T260+Observaciones!$F259)^2)+Entradas!$F$77),0)</f>
        <v>0</v>
      </c>
      <c r="V260" s="146">
        <f>IF(ETo!D259&gt;0,ETo!I259*((1-Entradas!$F$81)*ETo!K259+ETo!L259),0)</f>
        <v>3.3628369945077257</v>
      </c>
      <c r="W260" s="170">
        <f>IF(Escenarios!$F$14&gt;0,MIN(V260*1,0.8*(Z259+R260+S260+T260+Observaciones!$F259-U260-Constantes!$F$35)),0)</f>
        <v>0</v>
      </c>
      <c r="X260" s="170">
        <f>IF(Escenarios!$F$14&gt;0,Observaciones!$J259,0)</f>
        <v>0</v>
      </c>
      <c r="Y260" s="170">
        <f>IF(Escenarios!$F$14&gt;0,MAX(0,Z259+R260+S260+T260+Observaciones!$F259-U260-W260-X260-Constantes!$F$33),0)</f>
        <v>0</v>
      </c>
      <c r="Z260" s="170">
        <f>Z259+R260+S260+T260+Observaciones!$F259-U260-W260-Y260</f>
        <v>41.25</v>
      </c>
      <c r="AA260" s="170">
        <f>IF(Escenarios!$F$14&gt;0,(Escenarios!$F$13*L260+Escenarios!$F$14*W260)/(Escenarios!$F$16),L260)</f>
        <v>0</v>
      </c>
      <c r="AB260" s="170">
        <f>IF(Escenarios!$F$14&gt;0,(Escenarios!$F$14*Y260)/(Escenarios!$F$16),K260)</f>
        <v>0</v>
      </c>
      <c r="AC260" s="170">
        <f>IF(Escenarios!$F$14&gt;0,(Escenarios!$F$13*M260+Escenarios!$F$14*U260)/(Escenarios!$F$16),M260)</f>
        <v>0</v>
      </c>
      <c r="AD260" s="76">
        <f t="shared" si="43"/>
        <v>71.259840067912506</v>
      </c>
      <c r="AE260" s="76">
        <f>MAX(0,(AD260-Constantes!$D$13)*(1-EXP(-Constantes!$D$23)))</f>
        <v>0.22179481561533881</v>
      </c>
      <c r="AF260" s="76">
        <f>AB260+O260*Escenarios!$F$13/Escenarios!$F$16+AE260</f>
        <v>0.22179481561533881</v>
      </c>
      <c r="AG260" s="76">
        <f>IF(Entradas!$F$91&gt;0,IF(AF260-Escenarios!$F$38&lt;=0,0,IF(AF260-Escenarios!$F$38&gt;Escenarios!$F$37,Escenarios!$F$37,AF260-Escenarios!$F$38)),0)</f>
        <v>0</v>
      </c>
      <c r="AH260" s="76">
        <f>AG260*Entradas!$F$99</f>
        <v>0</v>
      </c>
      <c r="AI260" s="76">
        <f>IF(Entradas!$F$91&gt;0,D260*Entradas!$D$23/Escenarios!$F$16,0)</f>
        <v>0.18255159618328404</v>
      </c>
      <c r="AJ260" s="76">
        <f>IF(Entradas!$F$91&gt;0,Entradas!$D$24*Entradas!$D$22/Escenarios!$F$16,0)</f>
        <v>0.12</v>
      </c>
      <c r="AK260" s="76">
        <f t="shared" si="44"/>
        <v>0.18255159618328404</v>
      </c>
      <c r="AL260" s="76">
        <f t="shared" si="45"/>
        <v>0</v>
      </c>
      <c r="AM260" s="76">
        <f t="shared" si="46"/>
        <v>0</v>
      </c>
      <c r="AN260" s="76">
        <f>MAX(0,O260*Escenarios!$F$13/Escenarios!$F$16-AM260)</f>
        <v>0</v>
      </c>
      <c r="AO260" s="76">
        <f>AM260+AN260-O260*Escenarios!$F$13/Escenarios!$F$16</f>
        <v>0</v>
      </c>
      <c r="AP260" s="76">
        <f t="shared" si="47"/>
        <v>0.22179481561533881</v>
      </c>
      <c r="AQ260" s="76">
        <f t="shared" si="48"/>
        <v>0</v>
      </c>
      <c r="AR260" s="76">
        <f t="shared" si="49"/>
        <v>0.22179481561533881</v>
      </c>
      <c r="AS260" s="76">
        <f t="shared" si="50"/>
        <v>0</v>
      </c>
      <c r="AT260" s="76">
        <f t="shared" si="51"/>
        <v>0</v>
      </c>
      <c r="AU260" s="76">
        <f t="shared" si="52"/>
        <v>49.741528124930198</v>
      </c>
      <c r="AV260" s="76">
        <f>MAX(0,(AU260-Constantes!$D$13)*(1-EXP(-Constantes!$D$24)))</f>
        <v>1.5155752362018224E-2</v>
      </c>
      <c r="AW260" s="170">
        <f>AW259+(Entradas!$F$112*AT260-AX259)/(800*Entradas!$D$25)</f>
        <v>0</v>
      </c>
      <c r="AX260" s="170">
        <f>8000*Entradas!$D$26*AW260/Constantes!$F$45</f>
        <v>0</v>
      </c>
      <c r="AY260" s="170">
        <f>IF(Escenarios!$F$17&gt;0,10*Escenarios!$F$16*AL260,0)</f>
        <v>0</v>
      </c>
      <c r="AZ260" s="170">
        <f>IF(Escenarios!$F$17&gt;0,10*Escenarios!$F$16*AX260,0)</f>
        <v>0</v>
      </c>
      <c r="BA260" s="170">
        <f>IF(Escenarios!$F$17&gt;0,0.001*Observaciones!$F259*Escenarios!$F$17,0)</f>
        <v>0</v>
      </c>
      <c r="BB260" s="170">
        <f>IF(Escenarios!$F$17&gt;0,Observaciones!$K259,0)</f>
        <v>0</v>
      </c>
      <c r="BC260" s="170">
        <f>IF(Escenarios!$F$17&gt;0,MIN(0.0005*ETo!$M259*Escenarios!$F$17*(BG259/Constantes!$F$40)^(2/3),BG259+AY260+AZ260+BA260+BB260),0)</f>
        <v>0</v>
      </c>
      <c r="BD260" s="170">
        <f>IF(Escenarios!$F$17&gt;0,MIN(Constantes!$F$39*(BG259/Constantes!$F$40)^(2/3),BG259+AY260+AZ260+BA260+BB260-BC260),0)</f>
        <v>0</v>
      </c>
      <c r="BE260" s="170">
        <f>IF(Escenarios!$F$17&gt;0,MIN(Entradas!$F$113,BG259+AY260+AZ260+BA260+BB260-BC260-BD260),0)</f>
        <v>0</v>
      </c>
      <c r="BF260" s="170">
        <f>IF(Escenarios!$F$17&gt;0,MAX(0,BG259+AY260+AZ260+BA260+BB260-BC260-BD260-BE260-Constantes!$F$40),0)</f>
        <v>0</v>
      </c>
      <c r="BG260" s="170">
        <f t="shared" si="53"/>
        <v>0</v>
      </c>
      <c r="BH260" s="170">
        <f>(Escenarios!$F$16*AK260+0.1*BC260)/(Escenarios!$F$19)</f>
        <v>0.18255159618328404</v>
      </c>
      <c r="BI260" s="170">
        <f>IF(Escenarios!$F$17&gt;0,BF260/10/Escenarios!$F$19,AL260)</f>
        <v>0</v>
      </c>
      <c r="BJ260" s="170">
        <f>(Escenarios!$F$16*AT260+0.1*BD260)/(Escenarios!$F$19)</f>
        <v>0</v>
      </c>
      <c r="BK260" s="76">
        <f>BK259+(0.1*BD260)/(Escenarios!$F$19)-BL259</f>
        <v>48.75</v>
      </c>
      <c r="BL260" s="76">
        <f>MAX(0,(BK260-Constantes!$D$13)*(1-EXP(-Constantes!$D$23)))</f>
        <v>0</v>
      </c>
      <c r="BM260" s="76">
        <f t="shared" si="54"/>
        <v>0.23695056797735703</v>
      </c>
      <c r="BN260" s="76">
        <f t="shared" si="55"/>
        <v>0.23695056797735703</v>
      </c>
      <c r="BO260" s="76">
        <f>0.0526*BI260*Observaciones!$F259^1.218</f>
        <v>0</v>
      </c>
      <c r="BP260" s="76">
        <f>BO260*Constantes!$F$51</f>
        <v>0</v>
      </c>
      <c r="BQ260" s="76">
        <f t="shared" si="56"/>
        <v>0</v>
      </c>
      <c r="BR260" s="40"/>
    </row>
    <row r="261" spans="2:70">
      <c r="B261" s="39"/>
      <c r="C261" s="75">
        <v>255</v>
      </c>
      <c r="D261" s="146">
        <f>ETo!$I260*((1-Constantes!$F$19)*ETo!$K260+ETo!$L260)</f>
        <v>3.8858401269542284</v>
      </c>
      <c r="E261" s="76">
        <f>MIN(D261*Constantes!$F$17,0.8*(N260+Observaciones!$F260-F261-M261-Constantes!$D$14))</f>
        <v>0</v>
      </c>
      <c r="F261" s="76">
        <f>IF(Observaciones!$F260&gt;0.05*Constantes!$F$18,((Observaciones!$F260-0.05*Constantes!$F$18)^2)/(Observaciones!$F260+0.95*Constantes!$F$18),0)</f>
        <v>0</v>
      </c>
      <c r="G261" s="76">
        <f>IF(Escenarios!$F$11&gt;0,(F261*Escenarios!$F$16*10000)/1000,0)</f>
        <v>0</v>
      </c>
      <c r="H261" s="76">
        <f>IF(Escenarios!$F$11&gt;0,(Observaciones!$F260*Constantes!$F$29)/1000,0)</f>
        <v>0</v>
      </c>
      <c r="I261" s="76">
        <f>IF(Escenarios!$F$11&gt;0,(D261*Constantes!$F$29)/1000,0)</f>
        <v>0</v>
      </c>
      <c r="J261" s="76">
        <f>IF(Escenarios!$F$11&gt;0,MAX(0,G261+H261-I261),0)</f>
        <v>0</v>
      </c>
      <c r="K261" s="76">
        <f>IF(Escenarios!$F$11&gt;0,IF(J261&gt;Constantes!$F$30,1000*((J261-Constantes!$F$30)/(Escenarios!$F$16*10000)),0),F261)</f>
        <v>0</v>
      </c>
      <c r="L261" s="76">
        <f>IF(Escenarios!$F$11&gt;0,I261*1000/Escenarios!$F$16/10000+E261,E261)</f>
        <v>0</v>
      </c>
      <c r="M261" s="76">
        <f>MAX(0,N260+Observaciones!$F260-K261-Constantes!$D$13)</f>
        <v>0</v>
      </c>
      <c r="N261" s="76">
        <f>N260+Observaciones!$F260-K261-L261-M261-O260</f>
        <v>11.25</v>
      </c>
      <c r="O261" s="76">
        <f>MAX(0,(N261-Constantes!$D$14)*(1-EXP(-Constantes!$D$22)))</f>
        <v>0</v>
      </c>
      <c r="P261" s="170">
        <f>P260+(Entradas!$F$83*M261-Q260)/(800*Entradas!$D$25)</f>
        <v>0</v>
      </c>
      <c r="Q261" s="170">
        <f>8000*Entradas!$D$26*P261/Constantes!$F$45</f>
        <v>0</v>
      </c>
      <c r="R261" s="170">
        <f>IF(Escenarios!$F$14&gt;0,K261*Escenarios!$F$13/Escenarios!$F$14,0)</f>
        <v>0</v>
      </c>
      <c r="S261" s="170">
        <f>IF(Escenarios!$F$14&gt;0,Q261*Escenarios!$F$13/Escenarios!$F$14,0)</f>
        <v>0</v>
      </c>
      <c r="T261" s="170">
        <f>IF(Escenarios!$F$14&gt;0,Observaciones!$I260,0)</f>
        <v>0</v>
      </c>
      <c r="U261" s="170">
        <f>IF(Escenarios!$F$14&gt;0,MAX(0,Constantes!$F$36/((Z260+R261+S261+T261+Observaciones!$F260)^2)+Entradas!$F$77),0)</f>
        <v>0</v>
      </c>
      <c r="V261" s="146">
        <f>IF(ETo!D260&gt;0,ETo!I260*((1-Entradas!$F$81)*ETo!K260+ETo!L260),0)</f>
        <v>3.4373976364477365</v>
      </c>
      <c r="W261" s="170">
        <f>IF(Escenarios!$F$14&gt;0,MIN(V261*1,0.8*(Z260+R261+S261+T261+Observaciones!$F260-U261-Constantes!$F$35)),0)</f>
        <v>0</v>
      </c>
      <c r="X261" s="170">
        <f>IF(Escenarios!$F$14&gt;0,Observaciones!$J260,0)</f>
        <v>0</v>
      </c>
      <c r="Y261" s="170">
        <f>IF(Escenarios!$F$14&gt;0,MAX(0,Z260+R261+S261+T261+Observaciones!$F260-U261-W261-X261-Constantes!$F$33),0)</f>
        <v>0</v>
      </c>
      <c r="Z261" s="170">
        <f>Z260+R261+S261+T261+Observaciones!$F260-U261-W261-Y261</f>
        <v>41.25</v>
      </c>
      <c r="AA261" s="170">
        <f>IF(Escenarios!$F$14&gt;0,(Escenarios!$F$13*L261+Escenarios!$F$14*W261)/(Escenarios!$F$16),L261)</f>
        <v>0</v>
      </c>
      <c r="AB261" s="170">
        <f>IF(Escenarios!$F$14&gt;0,(Escenarios!$F$14*Y261)/(Escenarios!$F$16),K261)</f>
        <v>0</v>
      </c>
      <c r="AC261" s="170">
        <f>IF(Escenarios!$F$14&gt;0,(Escenarios!$F$13*M261+Escenarios!$F$14*U261)/(Escenarios!$F$16),M261)</f>
        <v>0</v>
      </c>
      <c r="AD261" s="76">
        <f t="shared" si="43"/>
        <v>71.038045252297167</v>
      </c>
      <c r="AE261" s="76">
        <f>MAX(0,(AD261-Constantes!$D$13)*(1-EXP(-Constantes!$D$23)))</f>
        <v>0.21960941846967155</v>
      </c>
      <c r="AF261" s="76">
        <f>AB261+O261*Escenarios!$F$13/Escenarios!$F$16+AE261</f>
        <v>0.21960941846967155</v>
      </c>
      <c r="AG261" s="76">
        <f>IF(Entradas!$F$91&gt;0,IF(AF261-Escenarios!$F$38&lt;=0,0,IF(AF261-Escenarios!$F$38&gt;Escenarios!$F$37,Escenarios!$F$37,AF261-Escenarios!$F$38)),0)</f>
        <v>0</v>
      </c>
      <c r="AH261" s="76">
        <f>AG261*Entradas!$F$99</f>
        <v>0</v>
      </c>
      <c r="AI261" s="76">
        <f>IF(Entradas!$F$91&gt;0,D261*Entradas!$D$23/Escenarios!$F$16,0)</f>
        <v>0.18652032609380295</v>
      </c>
      <c r="AJ261" s="76">
        <f>IF(Entradas!$F$91&gt;0,Entradas!$D$24*Entradas!$D$22/Escenarios!$F$16,0)</f>
        <v>0.12</v>
      </c>
      <c r="AK261" s="76">
        <f t="shared" si="44"/>
        <v>0.18652032609380295</v>
      </c>
      <c r="AL261" s="76">
        <f t="shared" si="45"/>
        <v>0</v>
      </c>
      <c r="AM261" s="76">
        <f t="shared" si="46"/>
        <v>0</v>
      </c>
      <c r="AN261" s="76">
        <f>MAX(0,O261*Escenarios!$F$13/Escenarios!$F$16-AM261)</f>
        <v>0</v>
      </c>
      <c r="AO261" s="76">
        <f>AM261+AN261-O261*Escenarios!$F$13/Escenarios!$F$16</f>
        <v>0</v>
      </c>
      <c r="AP261" s="76">
        <f t="shared" si="47"/>
        <v>0.21960941846967155</v>
      </c>
      <c r="AQ261" s="76">
        <f t="shared" si="48"/>
        <v>0</v>
      </c>
      <c r="AR261" s="76">
        <f t="shared" si="49"/>
        <v>0.21960941846967155</v>
      </c>
      <c r="AS261" s="76">
        <f t="shared" si="50"/>
        <v>0</v>
      </c>
      <c r="AT261" s="76">
        <f t="shared" si="51"/>
        <v>0</v>
      </c>
      <c r="AU261" s="76">
        <f t="shared" si="52"/>
        <v>49.726372372568179</v>
      </c>
      <c r="AV261" s="76">
        <f>MAX(0,(AU261-Constantes!$D$13)*(1-EXP(-Constantes!$D$24)))</f>
        <v>1.4924092942700173E-2</v>
      </c>
      <c r="AW261" s="170">
        <f>AW260+(Entradas!$F$112*AT261-AX260)/(800*Entradas!$D$25)</f>
        <v>0</v>
      </c>
      <c r="AX261" s="170">
        <f>8000*Entradas!$D$26*AW261/Constantes!$F$45</f>
        <v>0</v>
      </c>
      <c r="AY261" s="170">
        <f>IF(Escenarios!$F$17&gt;0,10*Escenarios!$F$16*AL261,0)</f>
        <v>0</v>
      </c>
      <c r="AZ261" s="170">
        <f>IF(Escenarios!$F$17&gt;0,10*Escenarios!$F$16*AX261,0)</f>
        <v>0</v>
      </c>
      <c r="BA261" s="170">
        <f>IF(Escenarios!$F$17&gt;0,0.001*Observaciones!$F260*Escenarios!$F$17,0)</f>
        <v>0</v>
      </c>
      <c r="BB261" s="170">
        <f>IF(Escenarios!$F$17&gt;0,Observaciones!$K260,0)</f>
        <v>0</v>
      </c>
      <c r="BC261" s="170">
        <f>IF(Escenarios!$F$17&gt;0,MIN(0.0005*ETo!$M260*Escenarios!$F$17*(BG260/Constantes!$F$40)^(2/3),BG260+AY261+AZ261+BA261+BB261),0)</f>
        <v>0</v>
      </c>
      <c r="BD261" s="170">
        <f>IF(Escenarios!$F$17&gt;0,MIN(Constantes!$F$39*(BG260/Constantes!$F$40)^(2/3),BG260+AY261+AZ261+BA261+BB261-BC261),0)</f>
        <v>0</v>
      </c>
      <c r="BE261" s="170">
        <f>IF(Escenarios!$F$17&gt;0,MIN(Entradas!$F$113,BG260+AY261+AZ261+BA261+BB261-BC261-BD261),0)</f>
        <v>0</v>
      </c>
      <c r="BF261" s="170">
        <f>IF(Escenarios!$F$17&gt;0,MAX(0,BG260+AY261+AZ261+BA261+BB261-BC261-BD261-BE261-Constantes!$F$40),0)</f>
        <v>0</v>
      </c>
      <c r="BG261" s="170">
        <f t="shared" si="53"/>
        <v>0</v>
      </c>
      <c r="BH261" s="170">
        <f>(Escenarios!$F$16*AK261+0.1*BC261)/(Escenarios!$F$19)</f>
        <v>0.18652032609380295</v>
      </c>
      <c r="BI261" s="170">
        <f>IF(Escenarios!$F$17&gt;0,BF261/10/Escenarios!$F$19,AL261)</f>
        <v>0</v>
      </c>
      <c r="BJ261" s="170">
        <f>(Escenarios!$F$16*AT261+0.1*BD261)/(Escenarios!$F$19)</f>
        <v>0</v>
      </c>
      <c r="BK261" s="76">
        <f>BK260+(0.1*BD261)/(Escenarios!$F$19)-BL260</f>
        <v>48.75</v>
      </c>
      <c r="BL261" s="76">
        <f>MAX(0,(BK261-Constantes!$D$13)*(1-EXP(-Constantes!$D$23)))</f>
        <v>0</v>
      </c>
      <c r="BM261" s="76">
        <f t="shared" si="54"/>
        <v>0.23453351141237172</v>
      </c>
      <c r="BN261" s="76">
        <f t="shared" si="55"/>
        <v>0.23453351141237172</v>
      </c>
      <c r="BO261" s="76">
        <f>0.0526*BI261*Observaciones!$F260^1.218</f>
        <v>0</v>
      </c>
      <c r="BP261" s="76">
        <f>BO261*Constantes!$F$51</f>
        <v>0</v>
      </c>
      <c r="BQ261" s="76">
        <f t="shared" si="56"/>
        <v>0</v>
      </c>
      <c r="BR261" s="40"/>
    </row>
    <row r="262" spans="2:70">
      <c r="B262" s="39"/>
      <c r="C262" s="75">
        <v>256</v>
      </c>
      <c r="D262" s="146">
        <f>ETo!$I261*((1-Constantes!$F$19)*ETo!$K261+ETo!$L261)</f>
        <v>3.8277099366775742</v>
      </c>
      <c r="E262" s="76">
        <f>MIN(D262*Constantes!$F$17,0.8*(N261+Observaciones!$F261-F262-M262-Constantes!$D$14))</f>
        <v>0</v>
      </c>
      <c r="F262" s="76">
        <f>IF(Observaciones!$F261&gt;0.05*Constantes!$F$18,((Observaciones!$F261-0.05*Constantes!$F$18)^2)/(Observaciones!$F261+0.95*Constantes!$F$18),0)</f>
        <v>0</v>
      </c>
      <c r="G262" s="76">
        <f>IF(Escenarios!$F$11&gt;0,(F262*Escenarios!$F$16*10000)/1000,0)</f>
        <v>0</v>
      </c>
      <c r="H262" s="76">
        <f>IF(Escenarios!$F$11&gt;0,(Observaciones!$F261*Constantes!$F$29)/1000,0)</f>
        <v>0</v>
      </c>
      <c r="I262" s="76">
        <f>IF(Escenarios!$F$11&gt;0,(D262*Constantes!$F$29)/1000,0)</f>
        <v>0</v>
      </c>
      <c r="J262" s="76">
        <f>IF(Escenarios!$F$11&gt;0,MAX(0,G262+H262-I262),0)</f>
        <v>0</v>
      </c>
      <c r="K262" s="76">
        <f>IF(Escenarios!$F$11&gt;0,IF(J262&gt;Constantes!$F$30,1000*((J262-Constantes!$F$30)/(Escenarios!$F$16*10000)),0),F262)</f>
        <v>0</v>
      </c>
      <c r="L262" s="76">
        <f>IF(Escenarios!$F$11&gt;0,I262*1000/Escenarios!$F$16/10000+E262,E262)</f>
        <v>0</v>
      </c>
      <c r="M262" s="76">
        <f>MAX(0,N261+Observaciones!$F261-K262-Constantes!$D$13)</f>
        <v>0</v>
      </c>
      <c r="N262" s="76">
        <f>N261+Observaciones!$F261-K262-L262-M262-O261</f>
        <v>11.25</v>
      </c>
      <c r="O262" s="76">
        <f>MAX(0,(N262-Constantes!$D$14)*(1-EXP(-Constantes!$D$22)))</f>
        <v>0</v>
      </c>
      <c r="P262" s="170">
        <f>P261+(Entradas!$F$83*M262-Q261)/(800*Entradas!$D$25)</f>
        <v>0</v>
      </c>
      <c r="Q262" s="170">
        <f>8000*Entradas!$D$26*P262/Constantes!$F$45</f>
        <v>0</v>
      </c>
      <c r="R262" s="170">
        <f>IF(Escenarios!$F$14&gt;0,K262*Escenarios!$F$13/Escenarios!$F$14,0)</f>
        <v>0</v>
      </c>
      <c r="S262" s="170">
        <f>IF(Escenarios!$F$14&gt;0,Q262*Escenarios!$F$13/Escenarios!$F$14,0)</f>
        <v>0</v>
      </c>
      <c r="T262" s="170">
        <f>IF(Escenarios!$F$14&gt;0,Observaciones!$I261,0)</f>
        <v>0</v>
      </c>
      <c r="U262" s="170">
        <f>IF(Escenarios!$F$14&gt;0,MAX(0,Constantes!$F$36/((Z261+R262+S262+T262+Observaciones!$F261)^2)+Entradas!$F$77),0)</f>
        <v>0</v>
      </c>
      <c r="V262" s="146">
        <f>IF(ETo!D261&gt;0,ETo!I261*((1-Entradas!$F$81)*ETo!K261+ETo!L261),0)</f>
        <v>3.3855260998704253</v>
      </c>
      <c r="W262" s="170">
        <f>IF(Escenarios!$F$14&gt;0,MIN(V262*1,0.8*(Z261+R262+S262+T262+Observaciones!$F261-U262-Constantes!$F$35)),0)</f>
        <v>0</v>
      </c>
      <c r="X262" s="170">
        <f>IF(Escenarios!$F$14&gt;0,Observaciones!$J261,0)</f>
        <v>0</v>
      </c>
      <c r="Y262" s="170">
        <f>IF(Escenarios!$F$14&gt;0,MAX(0,Z261+R262+S262+T262+Observaciones!$F261-U262-W262-X262-Constantes!$F$33),0)</f>
        <v>0</v>
      </c>
      <c r="Z262" s="170">
        <f>Z261+R262+S262+T262+Observaciones!$F261-U262-W262-Y262</f>
        <v>41.25</v>
      </c>
      <c r="AA262" s="170">
        <f>IF(Escenarios!$F$14&gt;0,(Escenarios!$F$13*L262+Escenarios!$F$14*W262)/(Escenarios!$F$16),L262)</f>
        <v>0</v>
      </c>
      <c r="AB262" s="170">
        <f>IF(Escenarios!$F$14&gt;0,(Escenarios!$F$14*Y262)/(Escenarios!$F$16),K262)</f>
        <v>0</v>
      </c>
      <c r="AC262" s="170">
        <f>IF(Escenarios!$F$14&gt;0,(Escenarios!$F$13*M262+Escenarios!$F$14*U262)/(Escenarios!$F$16),M262)</f>
        <v>0</v>
      </c>
      <c r="AD262" s="76">
        <f t="shared" si="43"/>
        <v>70.818435833827493</v>
      </c>
      <c r="AE262" s="76">
        <f>MAX(0,(AD262-Constantes!$D$13)*(1-EXP(-Constantes!$D$23)))</f>
        <v>0.21744555456260159</v>
      </c>
      <c r="AF262" s="76">
        <f>AB262+O262*Escenarios!$F$13/Escenarios!$F$16+AE262</f>
        <v>0.21744555456260159</v>
      </c>
      <c r="AG262" s="76">
        <f>IF(Entradas!$F$91&gt;0,IF(AF262-Escenarios!$F$38&lt;=0,0,IF(AF262-Escenarios!$F$38&gt;Escenarios!$F$37,Escenarios!$F$37,AF262-Escenarios!$F$38)),0)</f>
        <v>0</v>
      </c>
      <c r="AH262" s="76">
        <f>AG262*Entradas!$F$99</f>
        <v>0</v>
      </c>
      <c r="AI262" s="76">
        <f>IF(Entradas!$F$91&gt;0,D262*Entradas!$D$23/Escenarios!$F$16,0)</f>
        <v>0.18373007696052354</v>
      </c>
      <c r="AJ262" s="76">
        <f>IF(Entradas!$F$91&gt;0,Entradas!$D$24*Entradas!$D$22/Escenarios!$F$16,0)</f>
        <v>0.12</v>
      </c>
      <c r="AK262" s="76">
        <f t="shared" si="44"/>
        <v>0.18373007696052354</v>
      </c>
      <c r="AL262" s="76">
        <f t="shared" si="45"/>
        <v>0</v>
      </c>
      <c r="AM262" s="76">
        <f t="shared" si="46"/>
        <v>0</v>
      </c>
      <c r="AN262" s="76">
        <f>MAX(0,O262*Escenarios!$F$13/Escenarios!$F$16-AM262)</f>
        <v>0</v>
      </c>
      <c r="AO262" s="76">
        <f>AM262+AN262-O262*Escenarios!$F$13/Escenarios!$F$16</f>
        <v>0</v>
      </c>
      <c r="AP262" s="76">
        <f t="shared" si="47"/>
        <v>0.21744555456260159</v>
      </c>
      <c r="AQ262" s="76">
        <f t="shared" si="48"/>
        <v>0</v>
      </c>
      <c r="AR262" s="76">
        <f t="shared" si="49"/>
        <v>0.21744555456260159</v>
      </c>
      <c r="AS262" s="76">
        <f t="shared" si="50"/>
        <v>0</v>
      </c>
      <c r="AT262" s="76">
        <f t="shared" si="51"/>
        <v>0</v>
      </c>
      <c r="AU262" s="76">
        <f t="shared" si="52"/>
        <v>49.711448279625479</v>
      </c>
      <c r="AV262" s="76">
        <f>MAX(0,(AU262-Constantes!$D$13)*(1-EXP(-Constantes!$D$24)))</f>
        <v>1.46959744948415E-2</v>
      </c>
      <c r="AW262" s="170">
        <f>AW261+(Entradas!$F$112*AT262-AX261)/(800*Entradas!$D$25)</f>
        <v>0</v>
      </c>
      <c r="AX262" s="170">
        <f>8000*Entradas!$D$26*AW262/Constantes!$F$45</f>
        <v>0</v>
      </c>
      <c r="AY262" s="170">
        <f>IF(Escenarios!$F$17&gt;0,10*Escenarios!$F$16*AL262,0)</f>
        <v>0</v>
      </c>
      <c r="AZ262" s="170">
        <f>IF(Escenarios!$F$17&gt;0,10*Escenarios!$F$16*AX262,0)</f>
        <v>0</v>
      </c>
      <c r="BA262" s="170">
        <f>IF(Escenarios!$F$17&gt;0,0.001*Observaciones!$F261*Escenarios!$F$17,0)</f>
        <v>0</v>
      </c>
      <c r="BB262" s="170">
        <f>IF(Escenarios!$F$17&gt;0,Observaciones!$K261,0)</f>
        <v>0</v>
      </c>
      <c r="BC262" s="170">
        <f>IF(Escenarios!$F$17&gt;0,MIN(0.0005*ETo!$M261*Escenarios!$F$17*(BG261/Constantes!$F$40)^(2/3),BG261+AY262+AZ262+BA262+BB262),0)</f>
        <v>0</v>
      </c>
      <c r="BD262" s="170">
        <f>IF(Escenarios!$F$17&gt;0,MIN(Constantes!$F$39*(BG261/Constantes!$F$40)^(2/3),BG261+AY262+AZ262+BA262+BB262-BC262),0)</f>
        <v>0</v>
      </c>
      <c r="BE262" s="170">
        <f>IF(Escenarios!$F$17&gt;0,MIN(Entradas!$F$113,BG261+AY262+AZ262+BA262+BB262-BC262-BD262),0)</f>
        <v>0</v>
      </c>
      <c r="BF262" s="170">
        <f>IF(Escenarios!$F$17&gt;0,MAX(0,BG261+AY262+AZ262+BA262+BB262-BC262-BD262-BE262-Constantes!$F$40),0)</f>
        <v>0</v>
      </c>
      <c r="BG262" s="170">
        <f t="shared" si="53"/>
        <v>0</v>
      </c>
      <c r="BH262" s="170">
        <f>(Escenarios!$F$16*AK262+0.1*BC262)/(Escenarios!$F$19)</f>
        <v>0.18373007696052354</v>
      </c>
      <c r="BI262" s="170">
        <f>IF(Escenarios!$F$17&gt;0,BF262/10/Escenarios!$F$19,AL262)</f>
        <v>0</v>
      </c>
      <c r="BJ262" s="170">
        <f>(Escenarios!$F$16*AT262+0.1*BD262)/(Escenarios!$F$19)</f>
        <v>0</v>
      </c>
      <c r="BK262" s="76">
        <f>BK261+(0.1*BD262)/(Escenarios!$F$19)-BL261</f>
        <v>48.75</v>
      </c>
      <c r="BL262" s="76">
        <f>MAX(0,(BK262-Constantes!$D$13)*(1-EXP(-Constantes!$D$23)))</f>
        <v>0</v>
      </c>
      <c r="BM262" s="76">
        <f t="shared" si="54"/>
        <v>0.23214152905744309</v>
      </c>
      <c r="BN262" s="76">
        <f t="shared" si="55"/>
        <v>0.23214152905744309</v>
      </c>
      <c r="BO262" s="76">
        <f>0.0526*BI262*Observaciones!$F261^1.218</f>
        <v>0</v>
      </c>
      <c r="BP262" s="76">
        <f>BO262*Constantes!$F$51</f>
        <v>0</v>
      </c>
      <c r="BQ262" s="76">
        <f t="shared" si="56"/>
        <v>0</v>
      </c>
      <c r="BR262" s="40"/>
    </row>
    <row r="263" spans="2:70">
      <c r="B263" s="39"/>
      <c r="C263" s="75">
        <v>257</v>
      </c>
      <c r="D263" s="146">
        <f>ETo!$I262*((1-Constantes!$F$19)*ETo!$K262+ETo!$L262)</f>
        <v>3.8146548843962451</v>
      </c>
      <c r="E263" s="76">
        <f>MIN(D263*Constantes!$F$17,0.8*(N262+Observaciones!$F262-F263-M263-Constantes!$D$14))</f>
        <v>0</v>
      </c>
      <c r="F263" s="76">
        <f>IF(Observaciones!$F262&gt;0.05*Constantes!$F$18,((Observaciones!$F262-0.05*Constantes!$F$18)^2)/(Observaciones!$F262+0.95*Constantes!$F$18),0)</f>
        <v>0</v>
      </c>
      <c r="G263" s="76">
        <f>IF(Escenarios!$F$11&gt;0,(F263*Escenarios!$F$16*10000)/1000,0)</f>
        <v>0</v>
      </c>
      <c r="H263" s="76">
        <f>IF(Escenarios!$F$11&gt;0,(Observaciones!$F262*Constantes!$F$29)/1000,0)</f>
        <v>0</v>
      </c>
      <c r="I263" s="76">
        <f>IF(Escenarios!$F$11&gt;0,(D263*Constantes!$F$29)/1000,0)</f>
        <v>0</v>
      </c>
      <c r="J263" s="76">
        <f>IF(Escenarios!$F$11&gt;0,MAX(0,G263+H263-I263),0)</f>
        <v>0</v>
      </c>
      <c r="K263" s="76">
        <f>IF(Escenarios!$F$11&gt;0,IF(J263&gt;Constantes!$F$30,1000*((J263-Constantes!$F$30)/(Escenarios!$F$16*10000)),0),F263)</f>
        <v>0</v>
      </c>
      <c r="L263" s="76">
        <f>IF(Escenarios!$F$11&gt;0,I263*1000/Escenarios!$F$16/10000+E263,E263)</f>
        <v>0</v>
      </c>
      <c r="M263" s="76">
        <f>MAX(0,N262+Observaciones!$F262-K263-Constantes!$D$13)</f>
        <v>0</v>
      </c>
      <c r="N263" s="76">
        <f>N262+Observaciones!$F262-K263-L263-M263-O262</f>
        <v>11.25</v>
      </c>
      <c r="O263" s="76">
        <f>MAX(0,(N263-Constantes!$D$14)*(1-EXP(-Constantes!$D$22)))</f>
        <v>0</v>
      </c>
      <c r="P263" s="170">
        <f>P262+(Entradas!$F$83*M263-Q262)/(800*Entradas!$D$25)</f>
        <v>0</v>
      </c>
      <c r="Q263" s="170">
        <f>8000*Entradas!$D$26*P263/Constantes!$F$45</f>
        <v>0</v>
      </c>
      <c r="R263" s="170">
        <f>IF(Escenarios!$F$14&gt;0,K263*Escenarios!$F$13/Escenarios!$F$14,0)</f>
        <v>0</v>
      </c>
      <c r="S263" s="170">
        <f>IF(Escenarios!$F$14&gt;0,Q263*Escenarios!$F$13/Escenarios!$F$14,0)</f>
        <v>0</v>
      </c>
      <c r="T263" s="170">
        <f>IF(Escenarios!$F$14&gt;0,Observaciones!$I262,0)</f>
        <v>0</v>
      </c>
      <c r="U263" s="170">
        <f>IF(Escenarios!$F$14&gt;0,MAX(0,Constantes!$F$36/((Z262+R263+S263+T263+Observaciones!$F262)^2)+Entradas!$F$77),0)</f>
        <v>0</v>
      </c>
      <c r="V263" s="146">
        <f>IF(ETo!D262&gt;0,ETo!I262*((1-Entradas!$F$81)*ETo!K262+ETo!L262),0)</f>
        <v>3.3741635624702249</v>
      </c>
      <c r="W263" s="170">
        <f>IF(Escenarios!$F$14&gt;0,MIN(V263*1,0.8*(Z262+R263+S263+T263+Observaciones!$F262-U263-Constantes!$F$35)),0)</f>
        <v>0</v>
      </c>
      <c r="X263" s="170">
        <f>IF(Escenarios!$F$14&gt;0,Observaciones!$J262,0)</f>
        <v>0</v>
      </c>
      <c r="Y263" s="170">
        <f>IF(Escenarios!$F$14&gt;0,MAX(0,Z262+R263+S263+T263+Observaciones!$F262-U263-W263-X263-Constantes!$F$33),0)</f>
        <v>0</v>
      </c>
      <c r="Z263" s="170">
        <f>Z262+R263+S263+T263+Observaciones!$F262-U263-W263-Y263</f>
        <v>41.25</v>
      </c>
      <c r="AA263" s="170">
        <f>IF(Escenarios!$F$14&gt;0,(Escenarios!$F$13*L263+Escenarios!$F$14*W263)/(Escenarios!$F$16),L263)</f>
        <v>0</v>
      </c>
      <c r="AB263" s="170">
        <f>IF(Escenarios!$F$14&gt;0,(Escenarios!$F$14*Y263)/(Escenarios!$F$16),K263)</f>
        <v>0</v>
      </c>
      <c r="AC263" s="170">
        <f>IF(Escenarios!$F$14&gt;0,(Escenarios!$F$13*M263+Escenarios!$F$14*U263)/(Escenarios!$F$16),M263)</f>
        <v>0</v>
      </c>
      <c r="AD263" s="76">
        <f t="shared" si="43"/>
        <v>70.600990279264892</v>
      </c>
      <c r="AE263" s="76">
        <f>MAX(0,(AD263-Constantes!$D$13)*(1-EXP(-Constantes!$D$23)))</f>
        <v>0.21530301172200025</v>
      </c>
      <c r="AF263" s="76">
        <f>AB263+O263*Escenarios!$F$13/Escenarios!$F$16+AE263</f>
        <v>0.21530301172200025</v>
      </c>
      <c r="AG263" s="76">
        <f>IF(Entradas!$F$91&gt;0,IF(AF263-Escenarios!$F$38&lt;=0,0,IF(AF263-Escenarios!$F$38&gt;Escenarios!$F$37,Escenarios!$F$37,AF263-Escenarios!$F$38)),0)</f>
        <v>0</v>
      </c>
      <c r="AH263" s="76">
        <f>AG263*Entradas!$F$99</f>
        <v>0</v>
      </c>
      <c r="AI263" s="76">
        <f>IF(Entradas!$F$91&gt;0,D263*Entradas!$D$23/Escenarios!$F$16,0)</f>
        <v>0.18310343445101979</v>
      </c>
      <c r="AJ263" s="76">
        <f>IF(Entradas!$F$91&gt;0,Entradas!$D$24*Entradas!$D$22/Escenarios!$F$16,0)</f>
        <v>0.12</v>
      </c>
      <c r="AK263" s="76">
        <f t="shared" si="44"/>
        <v>0.18310343445101979</v>
      </c>
      <c r="AL263" s="76">
        <f t="shared" si="45"/>
        <v>0</v>
      </c>
      <c r="AM263" s="76">
        <f t="shared" si="46"/>
        <v>0</v>
      </c>
      <c r="AN263" s="76">
        <f>MAX(0,O263*Escenarios!$F$13/Escenarios!$F$16-AM263)</f>
        <v>0</v>
      </c>
      <c r="AO263" s="76">
        <f>AM263+AN263-O263*Escenarios!$F$13/Escenarios!$F$16</f>
        <v>0</v>
      </c>
      <c r="AP263" s="76">
        <f t="shared" si="47"/>
        <v>0.21530301172200025</v>
      </c>
      <c r="AQ263" s="76">
        <f t="shared" si="48"/>
        <v>0</v>
      </c>
      <c r="AR263" s="76">
        <f t="shared" si="49"/>
        <v>0.21530301172200025</v>
      </c>
      <c r="AS263" s="76">
        <f t="shared" si="50"/>
        <v>0</v>
      </c>
      <c r="AT263" s="76">
        <f t="shared" si="51"/>
        <v>0</v>
      </c>
      <c r="AU263" s="76">
        <f t="shared" si="52"/>
        <v>49.696752305130637</v>
      </c>
      <c r="AV263" s="76">
        <f>MAX(0,(AU263-Constantes!$D$13)*(1-EXP(-Constantes!$D$24)))</f>
        <v>1.4471342893818545E-2</v>
      </c>
      <c r="AW263" s="170">
        <f>AW262+(Entradas!$F$112*AT263-AX262)/(800*Entradas!$D$25)</f>
        <v>0</v>
      </c>
      <c r="AX263" s="170">
        <f>8000*Entradas!$D$26*AW263/Constantes!$F$45</f>
        <v>0</v>
      </c>
      <c r="AY263" s="170">
        <f>IF(Escenarios!$F$17&gt;0,10*Escenarios!$F$16*AL263,0)</f>
        <v>0</v>
      </c>
      <c r="AZ263" s="170">
        <f>IF(Escenarios!$F$17&gt;0,10*Escenarios!$F$16*AX263,0)</f>
        <v>0</v>
      </c>
      <c r="BA263" s="170">
        <f>IF(Escenarios!$F$17&gt;0,0.001*Observaciones!$F262*Escenarios!$F$17,0)</f>
        <v>0</v>
      </c>
      <c r="BB263" s="170">
        <f>IF(Escenarios!$F$17&gt;0,Observaciones!$K262,0)</f>
        <v>0</v>
      </c>
      <c r="BC263" s="170">
        <f>IF(Escenarios!$F$17&gt;0,MIN(0.0005*ETo!$M262*Escenarios!$F$17*(BG262/Constantes!$F$40)^(2/3),BG262+AY263+AZ263+BA263+BB263),0)</f>
        <v>0</v>
      </c>
      <c r="BD263" s="170">
        <f>IF(Escenarios!$F$17&gt;0,MIN(Constantes!$F$39*(BG262/Constantes!$F$40)^(2/3),BG262+AY263+AZ263+BA263+BB263-BC263),0)</f>
        <v>0</v>
      </c>
      <c r="BE263" s="170">
        <f>IF(Escenarios!$F$17&gt;0,MIN(Entradas!$F$113,BG262+AY263+AZ263+BA263+BB263-BC263-BD263),0)</f>
        <v>0</v>
      </c>
      <c r="BF263" s="170">
        <f>IF(Escenarios!$F$17&gt;0,MAX(0,BG262+AY263+AZ263+BA263+BB263-BC263-BD263-BE263-Constantes!$F$40),0)</f>
        <v>0</v>
      </c>
      <c r="BG263" s="170">
        <f t="shared" si="53"/>
        <v>0</v>
      </c>
      <c r="BH263" s="170">
        <f>(Escenarios!$F$16*AK263+0.1*BC263)/(Escenarios!$F$19)</f>
        <v>0.18310343445101979</v>
      </c>
      <c r="BI263" s="170">
        <f>IF(Escenarios!$F$17&gt;0,BF263/10/Escenarios!$F$19,AL263)</f>
        <v>0</v>
      </c>
      <c r="BJ263" s="170">
        <f>(Escenarios!$F$16*AT263+0.1*BD263)/(Escenarios!$F$19)</f>
        <v>0</v>
      </c>
      <c r="BK263" s="76">
        <f>BK262+(0.1*BD263)/(Escenarios!$F$19)-BL262</f>
        <v>48.75</v>
      </c>
      <c r="BL263" s="76">
        <f>MAX(0,(BK263-Constantes!$D$13)*(1-EXP(-Constantes!$D$23)))</f>
        <v>0</v>
      </c>
      <c r="BM263" s="76">
        <f t="shared" si="54"/>
        <v>0.2297743546158188</v>
      </c>
      <c r="BN263" s="76">
        <f t="shared" si="55"/>
        <v>0.2297743546158188</v>
      </c>
      <c r="BO263" s="76">
        <f>0.0526*BI263*Observaciones!$F262^1.218</f>
        <v>0</v>
      </c>
      <c r="BP263" s="76">
        <f>BO263*Constantes!$F$51</f>
        <v>0</v>
      </c>
      <c r="BQ263" s="76">
        <f t="shared" si="56"/>
        <v>0</v>
      </c>
      <c r="BR263" s="40"/>
    </row>
    <row r="264" spans="2:70">
      <c r="B264" s="39"/>
      <c r="C264" s="75">
        <v>258</v>
      </c>
      <c r="D264" s="146">
        <f>ETo!$I263*((1-Constantes!$F$19)*ETo!$K263+ETo!$L263)</f>
        <v>3.8178888547485625</v>
      </c>
      <c r="E264" s="76">
        <f>MIN(D264*Constantes!$F$17,0.8*(N263+Observaciones!$F263-F264-M264-Constantes!$D$14))</f>
        <v>0.4</v>
      </c>
      <c r="F264" s="76">
        <f>IF(Observaciones!$F263&gt;0.05*Constantes!$F$18,((Observaciones!$F263-0.05*Constantes!$F$18)^2)/(Observaciones!$F263+0.95*Constantes!$F$18),0)</f>
        <v>0</v>
      </c>
      <c r="G264" s="76">
        <f>IF(Escenarios!$F$11&gt;0,(F264*Escenarios!$F$16*10000)/1000,0)</f>
        <v>0</v>
      </c>
      <c r="H264" s="76">
        <f>IF(Escenarios!$F$11&gt;0,(Observaciones!$F263*Constantes!$F$29)/1000,0)</f>
        <v>0</v>
      </c>
      <c r="I264" s="76">
        <f>IF(Escenarios!$F$11&gt;0,(D264*Constantes!$F$29)/1000,0)</f>
        <v>0</v>
      </c>
      <c r="J264" s="76">
        <f>IF(Escenarios!$F$11&gt;0,MAX(0,G264+H264-I264),0)</f>
        <v>0</v>
      </c>
      <c r="K264" s="76">
        <f>IF(Escenarios!$F$11&gt;0,IF(J264&gt;Constantes!$F$30,1000*((J264-Constantes!$F$30)/(Escenarios!$F$16*10000)),0),F264)</f>
        <v>0</v>
      </c>
      <c r="L264" s="76">
        <f>IF(Escenarios!$F$11&gt;0,I264*1000/Escenarios!$F$16/10000+E264,E264)</f>
        <v>0.4</v>
      </c>
      <c r="M264" s="76">
        <f>MAX(0,N263+Observaciones!$F263-K264-Constantes!$D$13)</f>
        <v>0</v>
      </c>
      <c r="N264" s="76">
        <f>N263+Observaciones!$F263-K264-L264-M264-O263</f>
        <v>11.35</v>
      </c>
      <c r="O264" s="76">
        <f>MAX(0,(N264-Constantes!$D$14)*(1-EXP(-Constantes!$D$22)))</f>
        <v>3.406367107515428E-3</v>
      </c>
      <c r="P264" s="170">
        <f>P263+(Entradas!$F$83*M264-Q263)/(800*Entradas!$D$25)</f>
        <v>0</v>
      </c>
      <c r="Q264" s="170">
        <f>8000*Entradas!$D$26*P264/Constantes!$F$45</f>
        <v>0</v>
      </c>
      <c r="R264" s="170">
        <f>IF(Escenarios!$F$14&gt;0,K264*Escenarios!$F$13/Escenarios!$F$14,0)</f>
        <v>0</v>
      </c>
      <c r="S264" s="170">
        <f>IF(Escenarios!$F$14&gt;0,Q264*Escenarios!$F$13/Escenarios!$F$14,0)</f>
        <v>0</v>
      </c>
      <c r="T264" s="170">
        <f>IF(Escenarios!$F$14&gt;0,Observaciones!$I263,0)</f>
        <v>0</v>
      </c>
      <c r="U264" s="170">
        <f>IF(Escenarios!$F$14&gt;0,MAX(0,Constantes!$F$36/((Z263+R264+S264+T264+Observaciones!$F263)^2)+Entradas!$F$77),0)</f>
        <v>0</v>
      </c>
      <c r="V264" s="146">
        <f>IF(ETo!D263&gt;0,ETo!I263*((1-Entradas!$F$81)*ETo!K263+ETo!L263),0)</f>
        <v>3.3774003424027721</v>
      </c>
      <c r="W264" s="170">
        <f>IF(Escenarios!$F$14&gt;0,MIN(V264*1,0.8*(Z263+R264+S264+T264+Observaciones!$F263-U264-Constantes!$F$35)),0)</f>
        <v>0.4</v>
      </c>
      <c r="X264" s="170">
        <f>IF(Escenarios!$F$14&gt;0,Observaciones!$J263,0)</f>
        <v>0</v>
      </c>
      <c r="Y264" s="170">
        <f>IF(Escenarios!$F$14&gt;0,MAX(0,Z263+R264+S264+T264+Observaciones!$F263-U264-W264-X264-Constantes!$F$33),0)</f>
        <v>0</v>
      </c>
      <c r="Z264" s="170">
        <f>Z263+R264+S264+T264+Observaciones!$F263-U264-W264-Y264</f>
        <v>41.35</v>
      </c>
      <c r="AA264" s="170">
        <f>IF(Escenarios!$F$14&gt;0,(Escenarios!$F$13*L264+Escenarios!$F$14*W264)/(Escenarios!$F$16),L264)</f>
        <v>0.4</v>
      </c>
      <c r="AB264" s="170">
        <f>IF(Escenarios!$F$14&gt;0,(Escenarios!$F$14*Y264)/(Escenarios!$F$16),K264)</f>
        <v>0</v>
      </c>
      <c r="AC264" s="170">
        <f>IF(Escenarios!$F$14&gt;0,(Escenarios!$F$13*M264+Escenarios!$F$14*U264)/(Escenarios!$F$16),M264)</f>
        <v>0</v>
      </c>
      <c r="AD264" s="76">
        <f t="shared" ref="AD264:AD327" si="57">AD263+AC264-AE263</f>
        <v>70.385687267542892</v>
      </c>
      <c r="AE264" s="76">
        <f>MAX(0,(AD264-Constantes!$D$13)*(1-EXP(-Constantes!$D$23)))</f>
        <v>0.2131815798663213</v>
      </c>
      <c r="AF264" s="76">
        <f>AB264+O264*Escenarios!$F$13/Escenarios!$F$16+AE264</f>
        <v>0.21617918292093488</v>
      </c>
      <c r="AG264" s="76">
        <f>IF(Entradas!$F$91&gt;0,IF(AF264-Escenarios!$F$38&lt;=0,0,IF(AF264-Escenarios!$F$38&gt;Escenarios!$F$37,Escenarios!$F$37,AF264-Escenarios!$F$38)),0)</f>
        <v>0</v>
      </c>
      <c r="AH264" s="76">
        <f>AG264*Entradas!$F$99</f>
        <v>0</v>
      </c>
      <c r="AI264" s="76">
        <f>IF(Entradas!$F$91&gt;0,D264*Entradas!$D$23/Escenarios!$F$16,0)</f>
        <v>0.18325866502793098</v>
      </c>
      <c r="AJ264" s="76">
        <f>IF(Entradas!$F$91&gt;0,Entradas!$D$24*Entradas!$D$22/Escenarios!$F$16,0)</f>
        <v>0.12</v>
      </c>
      <c r="AK264" s="76">
        <f t="shared" ref="AK264:AK327" si="58">AA264+AI264</f>
        <v>0.583258665027931</v>
      </c>
      <c r="AL264" s="76">
        <f t="shared" ref="AL264:AL327" si="59">MAX(0,AB264-AG264)</f>
        <v>0</v>
      </c>
      <c r="AM264" s="76">
        <f t="shared" ref="AM264:AM327" si="60">AG264+AL264-AB264</f>
        <v>0</v>
      </c>
      <c r="AN264" s="76">
        <f>MAX(0,O264*Escenarios!$F$13/Escenarios!$F$16-AM264)</f>
        <v>2.9976030546135764E-3</v>
      </c>
      <c r="AO264" s="76">
        <f>AM264+AN264-O264*Escenarios!$F$13/Escenarios!$F$16</f>
        <v>0</v>
      </c>
      <c r="AP264" s="76">
        <f t="shared" ref="AP264:AP327" si="61">MAX(0,AE264-AO264)</f>
        <v>0.2131815798663213</v>
      </c>
      <c r="AQ264" s="76">
        <f t="shared" ref="AQ264:AQ327" si="62">AO264+AP264-AE264</f>
        <v>0</v>
      </c>
      <c r="AR264" s="76">
        <f t="shared" ref="AR264:AR327" si="63">AL264+AN264+AP264+AH264</f>
        <v>0.21617918292093488</v>
      </c>
      <c r="AS264" s="76">
        <f t="shared" ref="AS264:AS327" si="64">MAX(0,AG264-AH264-AI264-AJ264)</f>
        <v>0</v>
      </c>
      <c r="AT264" s="76">
        <f t="shared" ref="AT264:AT327" si="65">AC264+AS264</f>
        <v>0</v>
      </c>
      <c r="AU264" s="76">
        <f t="shared" ref="AU264:AU327" si="66">AU263+AS264-AV263</f>
        <v>49.682280962236817</v>
      </c>
      <c r="AV264" s="76">
        <f>MAX(0,(AU264-Constantes!$D$13)*(1-EXP(-Constantes!$D$24)))</f>
        <v>1.4250144842315939E-2</v>
      </c>
      <c r="AW264" s="170">
        <f>AW263+(Entradas!$F$112*AT264-AX263)/(800*Entradas!$D$25)</f>
        <v>0</v>
      </c>
      <c r="AX264" s="170">
        <f>8000*Entradas!$D$26*AW264/Constantes!$F$45</f>
        <v>0</v>
      </c>
      <c r="AY264" s="170">
        <f>IF(Escenarios!$F$17&gt;0,10*Escenarios!$F$16*AL264,0)</f>
        <v>0</v>
      </c>
      <c r="AZ264" s="170">
        <f>IF(Escenarios!$F$17&gt;0,10*Escenarios!$F$16*AX264,0)</f>
        <v>0</v>
      </c>
      <c r="BA264" s="170">
        <f>IF(Escenarios!$F$17&gt;0,0.001*Observaciones!$F263*Escenarios!$F$17,0)</f>
        <v>0</v>
      </c>
      <c r="BB264" s="170">
        <f>IF(Escenarios!$F$17&gt;0,Observaciones!$K263,0)</f>
        <v>0</v>
      </c>
      <c r="BC264" s="170">
        <f>IF(Escenarios!$F$17&gt;0,MIN(0.0005*ETo!$M263*Escenarios!$F$17*(BG263/Constantes!$F$40)^(2/3),BG263+AY264+AZ264+BA264+BB264),0)</f>
        <v>0</v>
      </c>
      <c r="BD264" s="170">
        <f>IF(Escenarios!$F$17&gt;0,MIN(Constantes!$F$39*(BG263/Constantes!$F$40)^(2/3),BG263+AY264+AZ264+BA264+BB264-BC264),0)</f>
        <v>0</v>
      </c>
      <c r="BE264" s="170">
        <f>IF(Escenarios!$F$17&gt;0,MIN(Entradas!$F$113,BG263+AY264+AZ264+BA264+BB264-BC264-BD264),0)</f>
        <v>0</v>
      </c>
      <c r="BF264" s="170">
        <f>IF(Escenarios!$F$17&gt;0,MAX(0,BG263+AY264+AZ264+BA264+BB264-BC264-BD264-BE264-Constantes!$F$40),0)</f>
        <v>0</v>
      </c>
      <c r="BG264" s="170">
        <f t="shared" ref="BG264:BG327" si="67">BG263+AY264+AZ264+BA264+BB264-BF264-BC264-BD264-BE264</f>
        <v>0</v>
      </c>
      <c r="BH264" s="170">
        <f>(Escenarios!$F$16*AK264+0.1*BC264)/(Escenarios!$F$19)</f>
        <v>0.583258665027931</v>
      </c>
      <c r="BI264" s="170">
        <f>IF(Escenarios!$F$17&gt;0,BF264/10/Escenarios!$F$19,AL264)</f>
        <v>0</v>
      </c>
      <c r="BJ264" s="170">
        <f>(Escenarios!$F$16*AT264+0.1*BD264)/(Escenarios!$F$19)</f>
        <v>0</v>
      </c>
      <c r="BK264" s="76">
        <f>BK263+(0.1*BD264)/(Escenarios!$F$19)-BL263</f>
        <v>48.75</v>
      </c>
      <c r="BL264" s="76">
        <f>MAX(0,(BK264-Constantes!$D$13)*(1-EXP(-Constantes!$D$23)))</f>
        <v>0</v>
      </c>
      <c r="BM264" s="76">
        <f t="shared" ref="BM264:BM327" si="68">AP264+AV264+BL264</f>
        <v>0.22743172470863723</v>
      </c>
      <c r="BN264" s="76">
        <f t="shared" ref="BN264:BN327" si="69">AN264+AP264+AV264+BI264+BL264</f>
        <v>0.23042932776325081</v>
      </c>
      <c r="BO264" s="76">
        <f>0.0526*BI264*Observaciones!$F263^1.218</f>
        <v>0</v>
      </c>
      <c r="BP264" s="76">
        <f>BO264*Constantes!$F$51</f>
        <v>0</v>
      </c>
      <c r="BQ264" s="76">
        <f t="shared" ref="BQ264:BQ327" si="70">BP264*1000000/(BN264/1000*10000)</f>
        <v>0</v>
      </c>
      <c r="BR264" s="40"/>
    </row>
    <row r="265" spans="2:70">
      <c r="B265" s="39"/>
      <c r="C265" s="75">
        <v>259</v>
      </c>
      <c r="D265" s="146">
        <f>ETo!$I264*((1-Constantes!$F$19)*ETo!$K264+ETo!$L264)</f>
        <v>4.0096560709396254</v>
      </c>
      <c r="E265" s="76">
        <f>MIN(D265*Constantes!$F$17,0.8*(N264+Observaciones!$F264-F265-M265-Constantes!$D$14))</f>
        <v>7.9999999999999724E-2</v>
      </c>
      <c r="F265" s="76">
        <f>IF(Observaciones!$F264&gt;0.05*Constantes!$F$18,((Observaciones!$F264-0.05*Constantes!$F$18)^2)/(Observaciones!$F264+0.95*Constantes!$F$18),0)</f>
        <v>0</v>
      </c>
      <c r="G265" s="76">
        <f>IF(Escenarios!$F$11&gt;0,(F265*Escenarios!$F$16*10000)/1000,0)</f>
        <v>0</v>
      </c>
      <c r="H265" s="76">
        <f>IF(Escenarios!$F$11&gt;0,(Observaciones!$F264*Constantes!$F$29)/1000,0)</f>
        <v>0</v>
      </c>
      <c r="I265" s="76">
        <f>IF(Escenarios!$F$11&gt;0,(D265*Constantes!$F$29)/1000,0)</f>
        <v>0</v>
      </c>
      <c r="J265" s="76">
        <f>IF(Escenarios!$F$11&gt;0,MAX(0,G265+H265-I265),0)</f>
        <v>0</v>
      </c>
      <c r="K265" s="76">
        <f>IF(Escenarios!$F$11&gt;0,IF(J265&gt;Constantes!$F$30,1000*((J265-Constantes!$F$30)/(Escenarios!$F$16*10000)),0),F265)</f>
        <v>0</v>
      </c>
      <c r="L265" s="76">
        <f>IF(Escenarios!$F$11&gt;0,I265*1000/Escenarios!$F$16/10000+E265,E265)</f>
        <v>7.9999999999999724E-2</v>
      </c>
      <c r="M265" s="76">
        <f>MAX(0,N264+Observaciones!$F264-K265-Constantes!$D$13)</f>
        <v>0</v>
      </c>
      <c r="N265" s="76">
        <f>N264+Observaciones!$F264-K265-L265-M265-O264</f>
        <v>11.266593632892484</v>
      </c>
      <c r="O265" s="76">
        <f>MAX(0,(N265-Constantes!$D$14)*(1-EXP(-Constantes!$D$22)))</f>
        <v>5.6524005279142461E-4</v>
      </c>
      <c r="P265" s="170">
        <f>P264+(Entradas!$F$83*M265-Q264)/(800*Entradas!$D$25)</f>
        <v>0</v>
      </c>
      <c r="Q265" s="170">
        <f>8000*Entradas!$D$26*P265/Constantes!$F$45</f>
        <v>0</v>
      </c>
      <c r="R265" s="170">
        <f>IF(Escenarios!$F$14&gt;0,K265*Escenarios!$F$13/Escenarios!$F$14,0)</f>
        <v>0</v>
      </c>
      <c r="S265" s="170">
        <f>IF(Escenarios!$F$14&gt;0,Q265*Escenarios!$F$13/Escenarios!$F$14,0)</f>
        <v>0</v>
      </c>
      <c r="T265" s="170">
        <f>IF(Escenarios!$F$14&gt;0,Observaciones!$I264,0)</f>
        <v>0</v>
      </c>
      <c r="U265" s="170">
        <f>IF(Escenarios!$F$14&gt;0,MAX(0,Constantes!$F$36/((Z264+R265+S265+T265+Observaciones!$F264)^2)+Entradas!$F$77),0)</f>
        <v>0</v>
      </c>
      <c r="V265" s="146">
        <f>IF(ETo!D264&gt;0,ETo!I264*((1-Entradas!$F$81)*ETo!K264+ETo!L264),0)</f>
        <v>3.549967721049434</v>
      </c>
      <c r="W265" s="170">
        <f>IF(Escenarios!$F$14&gt;0,MIN(V265*1,0.8*(Z264+R265+S265+T265+Observaciones!$F264-U265-Constantes!$F$35)),0)</f>
        <v>8.000000000000114E-2</v>
      </c>
      <c r="X265" s="170">
        <f>IF(Escenarios!$F$14&gt;0,Observaciones!$J264,0)</f>
        <v>0</v>
      </c>
      <c r="Y265" s="170">
        <f>IF(Escenarios!$F$14&gt;0,MAX(0,Z264+R265+S265+T265+Observaciones!$F264-U265-W265-X265-Constantes!$F$33),0)</f>
        <v>0</v>
      </c>
      <c r="Z265" s="170">
        <f>Z264+R265+S265+T265+Observaciones!$F264-U265-W265-Y265</f>
        <v>41.27</v>
      </c>
      <c r="AA265" s="170">
        <f>IF(Escenarios!$F$14&gt;0,(Escenarios!$F$13*L265+Escenarios!$F$14*W265)/(Escenarios!$F$16),L265)</f>
        <v>7.9999999999999905E-2</v>
      </c>
      <c r="AB265" s="170">
        <f>IF(Escenarios!$F$14&gt;0,(Escenarios!$F$14*Y265)/(Escenarios!$F$16),K265)</f>
        <v>0</v>
      </c>
      <c r="AC265" s="170">
        <f>IF(Escenarios!$F$14&gt;0,(Escenarios!$F$13*M265+Escenarios!$F$14*U265)/(Escenarios!$F$16),M265)</f>
        <v>0</v>
      </c>
      <c r="AD265" s="76">
        <f t="shared" si="57"/>
        <v>70.172505687676576</v>
      </c>
      <c r="AE265" s="76">
        <f>MAX(0,(AD265-Constantes!$D$13)*(1-EXP(-Constantes!$D$23)))</f>
        <v>0.21108105098400209</v>
      </c>
      <c r="AF265" s="76">
        <f>AB265+O265*Escenarios!$F$13/Escenarios!$F$16+AE265</f>
        <v>0.21157846223045854</v>
      </c>
      <c r="AG265" s="76">
        <f>IF(Entradas!$F$91&gt;0,IF(AF265-Escenarios!$F$38&lt;=0,0,IF(AF265-Escenarios!$F$38&gt;Escenarios!$F$37,Escenarios!$F$37,AF265-Escenarios!$F$38)),0)</f>
        <v>0</v>
      </c>
      <c r="AH265" s="76">
        <f>AG265*Entradas!$F$99</f>
        <v>0</v>
      </c>
      <c r="AI265" s="76">
        <f>IF(Entradas!$F$91&gt;0,D265*Entradas!$D$23/Escenarios!$F$16,0)</f>
        <v>0.19246349140510202</v>
      </c>
      <c r="AJ265" s="76">
        <f>IF(Entradas!$F$91&gt;0,Entradas!$D$24*Entradas!$D$22/Escenarios!$F$16,0)</f>
        <v>0.12</v>
      </c>
      <c r="AK265" s="76">
        <f t="shared" si="58"/>
        <v>0.27246349140510195</v>
      </c>
      <c r="AL265" s="76">
        <f t="shared" si="59"/>
        <v>0</v>
      </c>
      <c r="AM265" s="76">
        <f t="shared" si="60"/>
        <v>0</v>
      </c>
      <c r="AN265" s="76">
        <f>MAX(0,O265*Escenarios!$F$13/Escenarios!$F$16-AM265)</f>
        <v>4.9741124645645367E-4</v>
      </c>
      <c r="AO265" s="76">
        <f>AM265+AN265-O265*Escenarios!$F$13/Escenarios!$F$16</f>
        <v>0</v>
      </c>
      <c r="AP265" s="76">
        <f t="shared" si="61"/>
        <v>0.21108105098400209</v>
      </c>
      <c r="AQ265" s="76">
        <f t="shared" si="62"/>
        <v>0</v>
      </c>
      <c r="AR265" s="76">
        <f t="shared" si="63"/>
        <v>0.21157846223045854</v>
      </c>
      <c r="AS265" s="76">
        <f t="shared" si="64"/>
        <v>0</v>
      </c>
      <c r="AT265" s="76">
        <f t="shared" si="65"/>
        <v>0</v>
      </c>
      <c r="AU265" s="76">
        <f t="shared" si="66"/>
        <v>49.668030817394502</v>
      </c>
      <c r="AV265" s="76">
        <f>MAX(0,(AU265-Constantes!$D$13)*(1-EXP(-Constantes!$D$24)))</f>
        <v>1.4032327857681019E-2</v>
      </c>
      <c r="AW265" s="170">
        <f>AW264+(Entradas!$F$112*AT265-AX264)/(800*Entradas!$D$25)</f>
        <v>0</v>
      </c>
      <c r="AX265" s="170">
        <f>8000*Entradas!$D$26*AW265/Constantes!$F$45</f>
        <v>0</v>
      </c>
      <c r="AY265" s="170">
        <f>IF(Escenarios!$F$17&gt;0,10*Escenarios!$F$16*AL265,0)</f>
        <v>0</v>
      </c>
      <c r="AZ265" s="170">
        <f>IF(Escenarios!$F$17&gt;0,10*Escenarios!$F$16*AX265,0)</f>
        <v>0</v>
      </c>
      <c r="BA265" s="170">
        <f>IF(Escenarios!$F$17&gt;0,0.001*Observaciones!$F264*Escenarios!$F$17,0)</f>
        <v>0</v>
      </c>
      <c r="BB265" s="170">
        <f>IF(Escenarios!$F$17&gt;0,Observaciones!$K264,0)</f>
        <v>0</v>
      </c>
      <c r="BC265" s="170">
        <f>IF(Escenarios!$F$17&gt;0,MIN(0.0005*ETo!$M264*Escenarios!$F$17*(BG264/Constantes!$F$40)^(2/3),BG264+AY265+AZ265+BA265+BB265),0)</f>
        <v>0</v>
      </c>
      <c r="BD265" s="170">
        <f>IF(Escenarios!$F$17&gt;0,MIN(Constantes!$F$39*(BG264/Constantes!$F$40)^(2/3),BG264+AY265+AZ265+BA265+BB265-BC265),0)</f>
        <v>0</v>
      </c>
      <c r="BE265" s="170">
        <f>IF(Escenarios!$F$17&gt;0,MIN(Entradas!$F$113,BG264+AY265+AZ265+BA265+BB265-BC265-BD265),0)</f>
        <v>0</v>
      </c>
      <c r="BF265" s="170">
        <f>IF(Escenarios!$F$17&gt;0,MAX(0,BG264+AY265+AZ265+BA265+BB265-BC265-BD265-BE265-Constantes!$F$40),0)</f>
        <v>0</v>
      </c>
      <c r="BG265" s="170">
        <f t="shared" si="67"/>
        <v>0</v>
      </c>
      <c r="BH265" s="170">
        <f>(Escenarios!$F$16*AK265+0.1*BC265)/(Escenarios!$F$19)</f>
        <v>0.27246349140510195</v>
      </c>
      <c r="BI265" s="170">
        <f>IF(Escenarios!$F$17&gt;0,BF265/10/Escenarios!$F$19,AL265)</f>
        <v>0</v>
      </c>
      <c r="BJ265" s="170">
        <f>(Escenarios!$F$16*AT265+0.1*BD265)/(Escenarios!$F$19)</f>
        <v>0</v>
      </c>
      <c r="BK265" s="76">
        <f>BK264+(0.1*BD265)/(Escenarios!$F$19)-BL264</f>
        <v>48.75</v>
      </c>
      <c r="BL265" s="76">
        <f>MAX(0,(BK265-Constantes!$D$13)*(1-EXP(-Constantes!$D$23)))</f>
        <v>0</v>
      </c>
      <c r="BM265" s="76">
        <f t="shared" si="68"/>
        <v>0.22511337884168311</v>
      </c>
      <c r="BN265" s="76">
        <f t="shared" si="69"/>
        <v>0.22561079008813956</v>
      </c>
      <c r="BO265" s="76">
        <f>0.0526*BI265*Observaciones!$F264^1.218</f>
        <v>0</v>
      </c>
      <c r="BP265" s="76">
        <f>BO265*Constantes!$F$51</f>
        <v>0</v>
      </c>
      <c r="BQ265" s="76">
        <f t="shared" si="70"/>
        <v>0</v>
      </c>
      <c r="BR265" s="40"/>
    </row>
    <row r="266" spans="2:70">
      <c r="B266" s="39"/>
      <c r="C266" s="75">
        <v>260</v>
      </c>
      <c r="D266" s="146">
        <f>ETo!$I265*((1-Constantes!$F$19)*ETo!$K265+ETo!$L265)</f>
        <v>4.0297772369701441</v>
      </c>
      <c r="E266" s="76">
        <f>MIN(D266*Constantes!$F$17,0.8*(N265+Observaciones!$F265-F266-M266-Constantes!$D$14))</f>
        <v>1.327490631398689E-2</v>
      </c>
      <c r="F266" s="76">
        <f>IF(Observaciones!$F265&gt;0.05*Constantes!$F$18,((Observaciones!$F265-0.05*Constantes!$F$18)^2)/(Observaciones!$F265+0.95*Constantes!$F$18),0)</f>
        <v>0</v>
      </c>
      <c r="G266" s="76">
        <f>IF(Escenarios!$F$11&gt;0,(F266*Escenarios!$F$16*10000)/1000,0)</f>
        <v>0</v>
      </c>
      <c r="H266" s="76">
        <f>IF(Escenarios!$F$11&gt;0,(Observaciones!$F265*Constantes!$F$29)/1000,0)</f>
        <v>0</v>
      </c>
      <c r="I266" s="76">
        <f>IF(Escenarios!$F$11&gt;0,(D266*Constantes!$F$29)/1000,0)</f>
        <v>0</v>
      </c>
      <c r="J266" s="76">
        <f>IF(Escenarios!$F$11&gt;0,MAX(0,G266+H266-I266),0)</f>
        <v>0</v>
      </c>
      <c r="K266" s="76">
        <f>IF(Escenarios!$F$11&gt;0,IF(J266&gt;Constantes!$F$30,1000*((J266-Constantes!$F$30)/(Escenarios!$F$16*10000)),0),F266)</f>
        <v>0</v>
      </c>
      <c r="L266" s="76">
        <f>IF(Escenarios!$F$11&gt;0,I266*1000/Escenarios!$F$16/10000+E266,E266)</f>
        <v>1.327490631398689E-2</v>
      </c>
      <c r="M266" s="76">
        <f>MAX(0,N265+Observaciones!$F265-K266-Constantes!$D$13)</f>
        <v>0</v>
      </c>
      <c r="N266" s="76">
        <f>N265+Observaciones!$F265-K266-L266-M266-O265</f>
        <v>11.252753486525705</v>
      </c>
      <c r="O266" s="76">
        <f>MAX(0,(N266-Constantes!$D$14)*(1-EXP(-Constantes!$D$22)))</f>
        <v>9.379385932149447E-5</v>
      </c>
      <c r="P266" s="170">
        <f>P265+(Entradas!$F$83*M266-Q265)/(800*Entradas!$D$25)</f>
        <v>0</v>
      </c>
      <c r="Q266" s="170">
        <f>8000*Entradas!$D$26*P266/Constantes!$F$45</f>
        <v>0</v>
      </c>
      <c r="R266" s="170">
        <f>IF(Escenarios!$F$14&gt;0,K266*Escenarios!$F$13/Escenarios!$F$14,0)</f>
        <v>0</v>
      </c>
      <c r="S266" s="170">
        <f>IF(Escenarios!$F$14&gt;0,Q266*Escenarios!$F$13/Escenarios!$F$14,0)</f>
        <v>0</v>
      </c>
      <c r="T266" s="170">
        <f>IF(Escenarios!$F$14&gt;0,Observaciones!$I265,0)</f>
        <v>0</v>
      </c>
      <c r="U266" s="170">
        <f>IF(Escenarios!$F$14&gt;0,MAX(0,Constantes!$F$36/((Z265+R266+S266+T266+Observaciones!$F265)^2)+Entradas!$F$77),0)</f>
        <v>0</v>
      </c>
      <c r="V266" s="146">
        <f>IF(ETo!D265&gt;0,ETo!I265*((1-Entradas!$F$81)*ETo!K265+ETo!L265),0)</f>
        <v>3.5683564790004225</v>
      </c>
      <c r="W266" s="170">
        <f>IF(Escenarios!$F$14&gt;0,MIN(V266*1,0.8*(Z265+R266+S266+T266+Observaciones!$F265-U266-Constantes!$F$35)),0)</f>
        <v>1.6000000000002502E-2</v>
      </c>
      <c r="X266" s="170">
        <f>IF(Escenarios!$F$14&gt;0,Observaciones!$J265,0)</f>
        <v>0</v>
      </c>
      <c r="Y266" s="170">
        <f>IF(Escenarios!$F$14&gt;0,MAX(0,Z265+R266+S266+T266+Observaciones!$F265-U266-W266-X266-Constantes!$F$33),0)</f>
        <v>0</v>
      </c>
      <c r="Z266" s="170">
        <f>Z265+R266+S266+T266+Observaciones!$F265-U266-W266-Y266</f>
        <v>41.253999999999998</v>
      </c>
      <c r="AA266" s="170">
        <f>IF(Escenarios!$F$14&gt;0,(Escenarios!$F$13*L266+Escenarios!$F$14*W266)/(Escenarios!$F$16),L266)</f>
        <v>1.3601917556308763E-2</v>
      </c>
      <c r="AB266" s="170">
        <f>IF(Escenarios!$F$14&gt;0,(Escenarios!$F$14*Y266)/(Escenarios!$F$16),K266)</f>
        <v>0</v>
      </c>
      <c r="AC266" s="170">
        <f>IF(Escenarios!$F$14&gt;0,(Escenarios!$F$13*M266+Escenarios!$F$14*U266)/(Escenarios!$F$16),M266)</f>
        <v>0</v>
      </c>
      <c r="AD266" s="76">
        <f t="shared" si="57"/>
        <v>69.96142463669257</v>
      </c>
      <c r="AE266" s="76">
        <f>MAX(0,(AD266-Constantes!$D$13)*(1-EXP(-Constantes!$D$23)))</f>
        <v>0.20900121911306729</v>
      </c>
      <c r="AF266" s="76">
        <f>AB266+O266*Escenarios!$F$13/Escenarios!$F$16+AE266</f>
        <v>0.20908375770927021</v>
      </c>
      <c r="AG266" s="76">
        <f>IF(Entradas!$F$91&gt;0,IF(AF266-Escenarios!$F$38&lt;=0,0,IF(AF266-Escenarios!$F$38&gt;Escenarios!$F$37,Escenarios!$F$37,AF266-Escenarios!$F$38)),0)</f>
        <v>0</v>
      </c>
      <c r="AH266" s="76">
        <f>AG266*Entradas!$F$99</f>
        <v>0</v>
      </c>
      <c r="AI266" s="76">
        <f>IF(Entradas!$F$91&gt;0,D266*Entradas!$D$23/Escenarios!$F$16,0)</f>
        <v>0.19342930737456693</v>
      </c>
      <c r="AJ266" s="76">
        <f>IF(Entradas!$F$91&gt;0,Entradas!$D$24*Entradas!$D$22/Escenarios!$F$16,0)</f>
        <v>0.12</v>
      </c>
      <c r="AK266" s="76">
        <f t="shared" si="58"/>
        <v>0.2070312249308757</v>
      </c>
      <c r="AL266" s="76">
        <f t="shared" si="59"/>
        <v>0</v>
      </c>
      <c r="AM266" s="76">
        <f t="shared" si="60"/>
        <v>0</v>
      </c>
      <c r="AN266" s="76">
        <f>MAX(0,O266*Escenarios!$F$13/Escenarios!$F$16-AM266)</f>
        <v>8.2538596202915137E-5</v>
      </c>
      <c r="AO266" s="76">
        <f>AM266+AN266-O266*Escenarios!$F$13/Escenarios!$F$16</f>
        <v>0</v>
      </c>
      <c r="AP266" s="76">
        <f t="shared" si="61"/>
        <v>0.20900121911306729</v>
      </c>
      <c r="AQ266" s="76">
        <f t="shared" si="62"/>
        <v>0</v>
      </c>
      <c r="AR266" s="76">
        <f t="shared" si="63"/>
        <v>0.20908375770927021</v>
      </c>
      <c r="AS266" s="76">
        <f t="shared" si="64"/>
        <v>0</v>
      </c>
      <c r="AT266" s="76">
        <f t="shared" si="65"/>
        <v>0</v>
      </c>
      <c r="AU266" s="76">
        <f t="shared" si="66"/>
        <v>49.653998489536818</v>
      </c>
      <c r="AV266" s="76">
        <f>MAX(0,(AU266-Constantes!$D$13)*(1-EXP(-Constantes!$D$24)))</f>
        <v>1.381784025947125E-2</v>
      </c>
      <c r="AW266" s="170">
        <f>AW265+(Entradas!$F$112*AT266-AX265)/(800*Entradas!$D$25)</f>
        <v>0</v>
      </c>
      <c r="AX266" s="170">
        <f>8000*Entradas!$D$26*AW266/Constantes!$F$45</f>
        <v>0</v>
      </c>
      <c r="AY266" s="170">
        <f>IF(Escenarios!$F$17&gt;0,10*Escenarios!$F$16*AL266,0)</f>
        <v>0</v>
      </c>
      <c r="AZ266" s="170">
        <f>IF(Escenarios!$F$17&gt;0,10*Escenarios!$F$16*AX266,0)</f>
        <v>0</v>
      </c>
      <c r="BA266" s="170">
        <f>IF(Escenarios!$F$17&gt;0,0.001*Observaciones!$F265*Escenarios!$F$17,0)</f>
        <v>0</v>
      </c>
      <c r="BB266" s="170">
        <f>IF(Escenarios!$F$17&gt;0,Observaciones!$K265,0)</f>
        <v>0</v>
      </c>
      <c r="BC266" s="170">
        <f>IF(Escenarios!$F$17&gt;0,MIN(0.0005*ETo!$M265*Escenarios!$F$17*(BG265/Constantes!$F$40)^(2/3),BG265+AY266+AZ266+BA266+BB266),0)</f>
        <v>0</v>
      </c>
      <c r="BD266" s="170">
        <f>IF(Escenarios!$F$17&gt;0,MIN(Constantes!$F$39*(BG265/Constantes!$F$40)^(2/3),BG265+AY266+AZ266+BA266+BB266-BC266),0)</f>
        <v>0</v>
      </c>
      <c r="BE266" s="170">
        <f>IF(Escenarios!$F$17&gt;0,MIN(Entradas!$F$113,BG265+AY266+AZ266+BA266+BB266-BC266-BD266),0)</f>
        <v>0</v>
      </c>
      <c r="BF266" s="170">
        <f>IF(Escenarios!$F$17&gt;0,MAX(0,BG265+AY266+AZ266+BA266+BB266-BC266-BD266-BE266-Constantes!$F$40),0)</f>
        <v>0</v>
      </c>
      <c r="BG266" s="170">
        <f t="shared" si="67"/>
        <v>0</v>
      </c>
      <c r="BH266" s="170">
        <f>(Escenarios!$F$16*AK266+0.1*BC266)/(Escenarios!$F$19)</f>
        <v>0.2070312249308757</v>
      </c>
      <c r="BI266" s="170">
        <f>IF(Escenarios!$F$17&gt;0,BF266/10/Escenarios!$F$19,AL266)</f>
        <v>0</v>
      </c>
      <c r="BJ266" s="170">
        <f>(Escenarios!$F$16*AT266+0.1*BD266)/(Escenarios!$F$19)</f>
        <v>0</v>
      </c>
      <c r="BK266" s="76">
        <f>BK265+(0.1*BD266)/(Escenarios!$F$19)-BL265</f>
        <v>48.75</v>
      </c>
      <c r="BL266" s="76">
        <f>MAX(0,(BK266-Constantes!$D$13)*(1-EXP(-Constantes!$D$23)))</f>
        <v>0</v>
      </c>
      <c r="BM266" s="76">
        <f t="shared" si="68"/>
        <v>0.22281905937253854</v>
      </c>
      <c r="BN266" s="76">
        <f t="shared" si="69"/>
        <v>0.22290159796874146</v>
      </c>
      <c r="BO266" s="76">
        <f>0.0526*BI266*Observaciones!$F265^1.218</f>
        <v>0</v>
      </c>
      <c r="BP266" s="76">
        <f>BO266*Constantes!$F$51</f>
        <v>0</v>
      </c>
      <c r="BQ266" s="76">
        <f t="shared" si="70"/>
        <v>0</v>
      </c>
      <c r="BR266" s="40"/>
    </row>
    <row r="267" spans="2:70">
      <c r="B267" s="39"/>
      <c r="C267" s="75">
        <v>261</v>
      </c>
      <c r="D267" s="146">
        <f>ETo!$I266*((1-Constantes!$F$19)*ETo!$K266+ETo!$L266)</f>
        <v>3.9904865291684031</v>
      </c>
      <c r="E267" s="76">
        <f>MIN(D267*Constantes!$F$17,0.8*(N266+Observaciones!$F266-F267-M267-Constantes!$D$14))</f>
        <v>2.2027892205642276E-3</v>
      </c>
      <c r="F267" s="76">
        <f>IF(Observaciones!$F266&gt;0.05*Constantes!$F$18,((Observaciones!$F266-0.05*Constantes!$F$18)^2)/(Observaciones!$F266+0.95*Constantes!$F$18),0)</f>
        <v>0</v>
      </c>
      <c r="G267" s="76">
        <f>IF(Escenarios!$F$11&gt;0,(F267*Escenarios!$F$16*10000)/1000,0)</f>
        <v>0</v>
      </c>
      <c r="H267" s="76">
        <f>IF(Escenarios!$F$11&gt;0,(Observaciones!$F266*Constantes!$F$29)/1000,0)</f>
        <v>0</v>
      </c>
      <c r="I267" s="76">
        <f>IF(Escenarios!$F$11&gt;0,(D267*Constantes!$F$29)/1000,0)</f>
        <v>0</v>
      </c>
      <c r="J267" s="76">
        <f>IF(Escenarios!$F$11&gt;0,MAX(0,G267+H267-I267),0)</f>
        <v>0</v>
      </c>
      <c r="K267" s="76">
        <f>IF(Escenarios!$F$11&gt;0,IF(J267&gt;Constantes!$F$30,1000*((J267-Constantes!$F$30)/(Escenarios!$F$16*10000)),0),F267)</f>
        <v>0</v>
      </c>
      <c r="L267" s="76">
        <f>IF(Escenarios!$F$11&gt;0,I267*1000/Escenarios!$F$16/10000+E267,E267)</f>
        <v>2.2027892205642276E-3</v>
      </c>
      <c r="M267" s="76">
        <f>MAX(0,N266+Observaciones!$F266-K267-Constantes!$D$13)</f>
        <v>0</v>
      </c>
      <c r="N267" s="76">
        <f>N266+Observaciones!$F266-K267-L267-M267-O266</f>
        <v>11.250456903445819</v>
      </c>
      <c r="O267" s="76">
        <f>MAX(0,(N267-Constantes!$D$14)*(1-EXP(-Constantes!$D$22)))</f>
        <v>1.5563808691492545E-5</v>
      </c>
      <c r="P267" s="170">
        <f>P266+(Entradas!$F$83*M267-Q266)/(800*Entradas!$D$25)</f>
        <v>0</v>
      </c>
      <c r="Q267" s="170">
        <f>8000*Entradas!$D$26*P267/Constantes!$F$45</f>
        <v>0</v>
      </c>
      <c r="R267" s="170">
        <f>IF(Escenarios!$F$14&gt;0,K267*Escenarios!$F$13/Escenarios!$F$14,0)</f>
        <v>0</v>
      </c>
      <c r="S267" s="170">
        <f>IF(Escenarios!$F$14&gt;0,Q267*Escenarios!$F$13/Escenarios!$F$14,0)</f>
        <v>0</v>
      </c>
      <c r="T267" s="170">
        <f>IF(Escenarios!$F$14&gt;0,Observaciones!$I266,0)</f>
        <v>0</v>
      </c>
      <c r="U267" s="170">
        <f>IF(Escenarios!$F$14&gt;0,MAX(0,Constantes!$F$36/((Z266+R267+S267+T267+Observaciones!$F266)^2)+Entradas!$F$77),0)</f>
        <v>0</v>
      </c>
      <c r="V267" s="146">
        <f>IF(ETo!D266&gt;0,ETo!I266*((1-Entradas!$F$81)*ETo!K266+ETo!L266),0)</f>
        <v>3.5332321741319133</v>
      </c>
      <c r="W267" s="170">
        <f>IF(Escenarios!$F$14&gt;0,MIN(V267*1,0.8*(Z266+R267+S267+T267+Observaciones!$F266-U267-Constantes!$F$35)),0)</f>
        <v>3.1999999999982268E-3</v>
      </c>
      <c r="X267" s="170">
        <f>IF(Escenarios!$F$14&gt;0,Observaciones!$J266,0)</f>
        <v>0</v>
      </c>
      <c r="Y267" s="170">
        <f>IF(Escenarios!$F$14&gt;0,MAX(0,Z266+R267+S267+T267+Observaciones!$F266-U267-W267-X267-Constantes!$F$33),0)</f>
        <v>0</v>
      </c>
      <c r="Z267" s="170">
        <f>Z266+R267+S267+T267+Observaciones!$F266-U267-W267-Y267</f>
        <v>41.250799999999998</v>
      </c>
      <c r="AA267" s="170">
        <f>IF(Escenarios!$F$14&gt;0,(Escenarios!$F$13*L267+Escenarios!$F$14*W267)/(Escenarios!$F$16),L267)</f>
        <v>2.3224545140963079E-3</v>
      </c>
      <c r="AB267" s="170">
        <f>IF(Escenarios!$F$14&gt;0,(Escenarios!$F$14*Y267)/(Escenarios!$F$16),K267)</f>
        <v>0</v>
      </c>
      <c r="AC267" s="170">
        <f>IF(Escenarios!$F$14&gt;0,(Escenarios!$F$13*M267+Escenarios!$F$14*U267)/(Escenarios!$F$16),M267)</f>
        <v>0</v>
      </c>
      <c r="AD267" s="76">
        <f t="shared" si="57"/>
        <v>69.752423417579507</v>
      </c>
      <c r="AE267" s="76">
        <f>MAX(0,(AD267-Constantes!$D$13)*(1-EXP(-Constantes!$D$23)))</f>
        <v>0.20694188032093427</v>
      </c>
      <c r="AF267" s="76">
        <f>AB267+O267*Escenarios!$F$13/Escenarios!$F$16+AE267</f>
        <v>0.20695557647258278</v>
      </c>
      <c r="AG267" s="76">
        <f>IF(Entradas!$F$91&gt;0,IF(AF267-Escenarios!$F$38&lt;=0,0,IF(AF267-Escenarios!$F$38&gt;Escenarios!$F$37,Escenarios!$F$37,AF267-Escenarios!$F$38)),0)</f>
        <v>0</v>
      </c>
      <c r="AH267" s="76">
        <f>AG267*Entradas!$F$99</f>
        <v>0</v>
      </c>
      <c r="AI267" s="76">
        <f>IF(Entradas!$F$91&gt;0,D267*Entradas!$D$23/Escenarios!$F$16,0)</f>
        <v>0.19154335340008333</v>
      </c>
      <c r="AJ267" s="76">
        <f>IF(Entradas!$F$91&gt;0,Entradas!$D$24*Entradas!$D$22/Escenarios!$F$16,0)</f>
        <v>0.12</v>
      </c>
      <c r="AK267" s="76">
        <f t="shared" si="58"/>
        <v>0.19386580791417962</v>
      </c>
      <c r="AL267" s="76">
        <f t="shared" si="59"/>
        <v>0</v>
      </c>
      <c r="AM267" s="76">
        <f t="shared" si="60"/>
        <v>0</v>
      </c>
      <c r="AN267" s="76">
        <f>MAX(0,O267*Escenarios!$F$13/Escenarios!$F$16-AM267)</f>
        <v>1.3696151648513439E-5</v>
      </c>
      <c r="AO267" s="76">
        <f>AM267+AN267-O267*Escenarios!$F$13/Escenarios!$F$16</f>
        <v>0</v>
      </c>
      <c r="AP267" s="76">
        <f t="shared" si="61"/>
        <v>0.20694188032093427</v>
      </c>
      <c r="AQ267" s="76">
        <f t="shared" si="62"/>
        <v>0</v>
      </c>
      <c r="AR267" s="76">
        <f t="shared" si="63"/>
        <v>0.20695557647258278</v>
      </c>
      <c r="AS267" s="76">
        <f t="shared" si="64"/>
        <v>0</v>
      </c>
      <c r="AT267" s="76">
        <f t="shared" si="65"/>
        <v>0</v>
      </c>
      <c r="AU267" s="76">
        <f t="shared" si="66"/>
        <v>49.640180649277347</v>
      </c>
      <c r="AV267" s="76">
        <f>MAX(0,(AU267-Constantes!$D$13)*(1-EXP(-Constantes!$D$24)))</f>
        <v>1.3606631157192682E-2</v>
      </c>
      <c r="AW267" s="170">
        <f>AW266+(Entradas!$F$112*AT267-AX266)/(800*Entradas!$D$25)</f>
        <v>0</v>
      </c>
      <c r="AX267" s="170">
        <f>8000*Entradas!$D$26*AW267/Constantes!$F$45</f>
        <v>0</v>
      </c>
      <c r="AY267" s="170">
        <f>IF(Escenarios!$F$17&gt;0,10*Escenarios!$F$16*AL267,0)</f>
        <v>0</v>
      </c>
      <c r="AZ267" s="170">
        <f>IF(Escenarios!$F$17&gt;0,10*Escenarios!$F$16*AX267,0)</f>
        <v>0</v>
      </c>
      <c r="BA267" s="170">
        <f>IF(Escenarios!$F$17&gt;0,0.001*Observaciones!$F266*Escenarios!$F$17,0)</f>
        <v>0</v>
      </c>
      <c r="BB267" s="170">
        <f>IF(Escenarios!$F$17&gt;0,Observaciones!$K266,0)</f>
        <v>0</v>
      </c>
      <c r="BC267" s="170">
        <f>IF(Escenarios!$F$17&gt;0,MIN(0.0005*ETo!$M266*Escenarios!$F$17*(BG266/Constantes!$F$40)^(2/3),BG266+AY267+AZ267+BA267+BB267),0)</f>
        <v>0</v>
      </c>
      <c r="BD267" s="170">
        <f>IF(Escenarios!$F$17&gt;0,MIN(Constantes!$F$39*(BG266/Constantes!$F$40)^(2/3),BG266+AY267+AZ267+BA267+BB267-BC267),0)</f>
        <v>0</v>
      </c>
      <c r="BE267" s="170">
        <f>IF(Escenarios!$F$17&gt;0,MIN(Entradas!$F$113,BG266+AY267+AZ267+BA267+BB267-BC267-BD267),0)</f>
        <v>0</v>
      </c>
      <c r="BF267" s="170">
        <f>IF(Escenarios!$F$17&gt;0,MAX(0,BG266+AY267+AZ267+BA267+BB267-BC267-BD267-BE267-Constantes!$F$40),0)</f>
        <v>0</v>
      </c>
      <c r="BG267" s="170">
        <f t="shared" si="67"/>
        <v>0</v>
      </c>
      <c r="BH267" s="170">
        <f>(Escenarios!$F$16*AK267+0.1*BC267)/(Escenarios!$F$19)</f>
        <v>0.19386580791417962</v>
      </c>
      <c r="BI267" s="170">
        <f>IF(Escenarios!$F$17&gt;0,BF267/10/Escenarios!$F$19,AL267)</f>
        <v>0</v>
      </c>
      <c r="BJ267" s="170">
        <f>(Escenarios!$F$16*AT267+0.1*BD267)/(Escenarios!$F$19)</f>
        <v>0</v>
      </c>
      <c r="BK267" s="76">
        <f>BK266+(0.1*BD267)/(Escenarios!$F$19)-BL266</f>
        <v>48.75</v>
      </c>
      <c r="BL267" s="76">
        <f>MAX(0,(BK267-Constantes!$D$13)*(1-EXP(-Constantes!$D$23)))</f>
        <v>0</v>
      </c>
      <c r="BM267" s="76">
        <f t="shared" si="68"/>
        <v>0.22054851147812696</v>
      </c>
      <c r="BN267" s="76">
        <f t="shared" si="69"/>
        <v>0.22056220762977546</v>
      </c>
      <c r="BO267" s="76">
        <f>0.0526*BI267*Observaciones!$F266^1.218</f>
        <v>0</v>
      </c>
      <c r="BP267" s="76">
        <f>BO267*Constantes!$F$51</f>
        <v>0</v>
      </c>
      <c r="BQ267" s="76">
        <f t="shared" si="70"/>
        <v>0</v>
      </c>
      <c r="BR267" s="40"/>
    </row>
    <row r="268" spans="2:70">
      <c r="B268" s="39"/>
      <c r="C268" s="75">
        <v>262</v>
      </c>
      <c r="D268" s="146">
        <f>ETo!$I267*((1-Constantes!$F$19)*ETo!$K267+ETo!$L267)</f>
        <v>4.1076074565789051</v>
      </c>
      <c r="E268" s="76">
        <f>MIN(D268*Constantes!$F$17,0.8*(N267+Observaciones!$F267-F268-M268-Constantes!$D$14))</f>
        <v>3.6552275665542312E-4</v>
      </c>
      <c r="F268" s="76">
        <f>IF(Observaciones!$F267&gt;0.05*Constantes!$F$18,((Observaciones!$F267-0.05*Constantes!$F$18)^2)/(Observaciones!$F267+0.95*Constantes!$F$18),0)</f>
        <v>0</v>
      </c>
      <c r="G268" s="76">
        <f>IF(Escenarios!$F$11&gt;0,(F268*Escenarios!$F$16*10000)/1000,0)</f>
        <v>0</v>
      </c>
      <c r="H268" s="76">
        <f>IF(Escenarios!$F$11&gt;0,(Observaciones!$F267*Constantes!$F$29)/1000,0)</f>
        <v>0</v>
      </c>
      <c r="I268" s="76">
        <f>IF(Escenarios!$F$11&gt;0,(D268*Constantes!$F$29)/1000,0)</f>
        <v>0</v>
      </c>
      <c r="J268" s="76">
        <f>IF(Escenarios!$F$11&gt;0,MAX(0,G268+H268-I268),0)</f>
        <v>0</v>
      </c>
      <c r="K268" s="76">
        <f>IF(Escenarios!$F$11&gt;0,IF(J268&gt;Constantes!$F$30,1000*((J268-Constantes!$F$30)/(Escenarios!$F$16*10000)),0),F268)</f>
        <v>0</v>
      </c>
      <c r="L268" s="76">
        <f>IF(Escenarios!$F$11&gt;0,I268*1000/Escenarios!$F$16/10000+E268,E268)</f>
        <v>3.6552275665542312E-4</v>
      </c>
      <c r="M268" s="76">
        <f>MAX(0,N267+Observaciones!$F267-K268-Constantes!$D$13)</f>
        <v>0</v>
      </c>
      <c r="N268" s="76">
        <f>N267+Observaciones!$F267-K268-L268-M268-O267</f>
        <v>11.250075816880472</v>
      </c>
      <c r="O268" s="76">
        <f>MAX(0,(N268-Constantes!$D$14)*(1-EXP(-Constantes!$D$22)))</f>
        <v>2.5826012783266771E-6</v>
      </c>
      <c r="P268" s="170">
        <f>P267+(Entradas!$F$83*M268-Q267)/(800*Entradas!$D$25)</f>
        <v>0</v>
      </c>
      <c r="Q268" s="170">
        <f>8000*Entradas!$D$26*P268/Constantes!$F$45</f>
        <v>0</v>
      </c>
      <c r="R268" s="170">
        <f>IF(Escenarios!$F$14&gt;0,K268*Escenarios!$F$13/Escenarios!$F$14,0)</f>
        <v>0</v>
      </c>
      <c r="S268" s="170">
        <f>IF(Escenarios!$F$14&gt;0,Q268*Escenarios!$F$13/Escenarios!$F$14,0)</f>
        <v>0</v>
      </c>
      <c r="T268" s="170">
        <f>IF(Escenarios!$F$14&gt;0,Observaciones!$I267,0)</f>
        <v>0</v>
      </c>
      <c r="U268" s="170">
        <f>IF(Escenarios!$F$14&gt;0,MAX(0,Constantes!$F$36/((Z267+R268+S268+T268+Observaciones!$F267)^2)+Entradas!$F$77),0)</f>
        <v>0</v>
      </c>
      <c r="V268" s="146">
        <f>IF(ETo!D267&gt;0,ETo!I267*((1-Entradas!$F$81)*ETo!K267+ETo!L267),0)</f>
        <v>3.6390482783666918</v>
      </c>
      <c r="W268" s="170">
        <f>IF(Escenarios!$F$14&gt;0,MIN(V268*1,0.8*(Z267+R268+S268+T268+Observaciones!$F267-U268-Constantes!$F$35)),0)</f>
        <v>6.3999999999850852E-4</v>
      </c>
      <c r="X268" s="170">
        <f>IF(Escenarios!$F$14&gt;0,Observaciones!$J267,0)</f>
        <v>0</v>
      </c>
      <c r="Y268" s="170">
        <f>IF(Escenarios!$F$14&gt;0,MAX(0,Z267+R268+S268+T268+Observaciones!$F267-U268-W268-X268-Constantes!$F$33),0)</f>
        <v>0</v>
      </c>
      <c r="Z268" s="170">
        <f>Z267+R268+S268+T268+Observaciones!$F267-U268-W268-Y268</f>
        <v>41.250160000000001</v>
      </c>
      <c r="AA268" s="170">
        <f>IF(Escenarios!$F$14&gt;0,(Escenarios!$F$13*L268+Escenarios!$F$14*W268)/(Escenarios!$F$16),L268)</f>
        <v>3.9846002585659335E-4</v>
      </c>
      <c r="AB268" s="170">
        <f>IF(Escenarios!$F$14&gt;0,(Escenarios!$F$14*Y268)/(Escenarios!$F$16),K268)</f>
        <v>0</v>
      </c>
      <c r="AC268" s="170">
        <f>IF(Escenarios!$F$14&gt;0,(Escenarios!$F$13*M268+Escenarios!$F$14*U268)/(Escenarios!$F$16),M268)</f>
        <v>0</v>
      </c>
      <c r="AD268" s="76">
        <f t="shared" si="57"/>
        <v>69.545481537258567</v>
      </c>
      <c r="AE268" s="76">
        <f>MAX(0,(AD268-Constantes!$D$13)*(1-EXP(-Constantes!$D$23)))</f>
        <v>0.20490283268441631</v>
      </c>
      <c r="AF268" s="76">
        <f>AB268+O268*Escenarios!$F$13/Escenarios!$F$16+AE268</f>
        <v>0.20490510537354123</v>
      </c>
      <c r="AG268" s="76">
        <f>IF(Entradas!$F$91&gt;0,IF(AF268-Escenarios!$F$38&lt;=0,0,IF(AF268-Escenarios!$F$38&gt;Escenarios!$F$37,Escenarios!$F$37,AF268-Escenarios!$F$38)),0)</f>
        <v>0</v>
      </c>
      <c r="AH268" s="76">
        <f>AG268*Entradas!$F$99</f>
        <v>0</v>
      </c>
      <c r="AI268" s="76">
        <f>IF(Entradas!$F$91&gt;0,D268*Entradas!$D$23/Escenarios!$F$16,0)</f>
        <v>0.19716515791578745</v>
      </c>
      <c r="AJ268" s="76">
        <f>IF(Entradas!$F$91&gt;0,Entradas!$D$24*Entradas!$D$22/Escenarios!$F$16,0)</f>
        <v>0.12</v>
      </c>
      <c r="AK268" s="76">
        <f t="shared" si="58"/>
        <v>0.19756361794164404</v>
      </c>
      <c r="AL268" s="76">
        <f t="shared" si="59"/>
        <v>0</v>
      </c>
      <c r="AM268" s="76">
        <f t="shared" si="60"/>
        <v>0</v>
      </c>
      <c r="AN268" s="76">
        <f>MAX(0,O268*Escenarios!$F$13/Escenarios!$F$16-AM268)</f>
        <v>2.2726891249274759E-6</v>
      </c>
      <c r="AO268" s="76">
        <f>AM268+AN268-O268*Escenarios!$F$13/Escenarios!$F$16</f>
        <v>0</v>
      </c>
      <c r="AP268" s="76">
        <f t="shared" si="61"/>
        <v>0.20490283268441631</v>
      </c>
      <c r="AQ268" s="76">
        <f t="shared" si="62"/>
        <v>0</v>
      </c>
      <c r="AR268" s="76">
        <f t="shared" si="63"/>
        <v>0.20490510537354123</v>
      </c>
      <c r="AS268" s="76">
        <f t="shared" si="64"/>
        <v>0</v>
      </c>
      <c r="AT268" s="76">
        <f t="shared" si="65"/>
        <v>0</v>
      </c>
      <c r="AU268" s="76">
        <f t="shared" si="66"/>
        <v>49.626574018120152</v>
      </c>
      <c r="AV268" s="76">
        <f>MAX(0,(AU268-Constantes!$D$13)*(1-EXP(-Constantes!$D$24)))</f>
        <v>1.3398650438224887E-2</v>
      </c>
      <c r="AW268" s="170">
        <f>AW267+(Entradas!$F$112*AT268-AX267)/(800*Entradas!$D$25)</f>
        <v>0</v>
      </c>
      <c r="AX268" s="170">
        <f>8000*Entradas!$D$26*AW268/Constantes!$F$45</f>
        <v>0</v>
      </c>
      <c r="AY268" s="170">
        <f>IF(Escenarios!$F$17&gt;0,10*Escenarios!$F$16*AL268,0)</f>
        <v>0</v>
      </c>
      <c r="AZ268" s="170">
        <f>IF(Escenarios!$F$17&gt;0,10*Escenarios!$F$16*AX268,0)</f>
        <v>0</v>
      </c>
      <c r="BA268" s="170">
        <f>IF(Escenarios!$F$17&gt;0,0.001*Observaciones!$F267*Escenarios!$F$17,0)</f>
        <v>0</v>
      </c>
      <c r="BB268" s="170">
        <f>IF(Escenarios!$F$17&gt;0,Observaciones!$K267,0)</f>
        <v>0</v>
      </c>
      <c r="BC268" s="170">
        <f>IF(Escenarios!$F$17&gt;0,MIN(0.0005*ETo!$M267*Escenarios!$F$17*(BG267/Constantes!$F$40)^(2/3),BG267+AY268+AZ268+BA268+BB268),0)</f>
        <v>0</v>
      </c>
      <c r="BD268" s="170">
        <f>IF(Escenarios!$F$17&gt;0,MIN(Constantes!$F$39*(BG267/Constantes!$F$40)^(2/3),BG267+AY268+AZ268+BA268+BB268-BC268),0)</f>
        <v>0</v>
      </c>
      <c r="BE268" s="170">
        <f>IF(Escenarios!$F$17&gt;0,MIN(Entradas!$F$113,BG267+AY268+AZ268+BA268+BB268-BC268-BD268),0)</f>
        <v>0</v>
      </c>
      <c r="BF268" s="170">
        <f>IF(Escenarios!$F$17&gt;0,MAX(0,BG267+AY268+AZ268+BA268+BB268-BC268-BD268-BE268-Constantes!$F$40),0)</f>
        <v>0</v>
      </c>
      <c r="BG268" s="170">
        <f t="shared" si="67"/>
        <v>0</v>
      </c>
      <c r="BH268" s="170">
        <f>(Escenarios!$F$16*AK268+0.1*BC268)/(Escenarios!$F$19)</f>
        <v>0.19756361794164404</v>
      </c>
      <c r="BI268" s="170">
        <f>IF(Escenarios!$F$17&gt;0,BF268/10/Escenarios!$F$19,AL268)</f>
        <v>0</v>
      </c>
      <c r="BJ268" s="170">
        <f>(Escenarios!$F$16*AT268+0.1*BD268)/(Escenarios!$F$19)</f>
        <v>0</v>
      </c>
      <c r="BK268" s="76">
        <f>BK267+(0.1*BD268)/(Escenarios!$F$19)-BL267</f>
        <v>48.75</v>
      </c>
      <c r="BL268" s="76">
        <f>MAX(0,(BK268-Constantes!$D$13)*(1-EXP(-Constantes!$D$23)))</f>
        <v>0</v>
      </c>
      <c r="BM268" s="76">
        <f t="shared" si="68"/>
        <v>0.21830148312264119</v>
      </c>
      <c r="BN268" s="76">
        <f t="shared" si="69"/>
        <v>0.21830375581176611</v>
      </c>
      <c r="BO268" s="76">
        <f>0.0526*BI268*Observaciones!$F267^1.218</f>
        <v>0</v>
      </c>
      <c r="BP268" s="76">
        <f>BO268*Constantes!$F$51</f>
        <v>0</v>
      </c>
      <c r="BQ268" s="76">
        <f t="shared" si="70"/>
        <v>0</v>
      </c>
      <c r="BR268" s="40"/>
    </row>
    <row r="269" spans="2:70">
      <c r="B269" s="39"/>
      <c r="C269" s="75">
        <v>263</v>
      </c>
      <c r="D269" s="146">
        <f>ETo!$I268*((1-Constantes!$F$19)*ETo!$K268+ETo!$L268)</f>
        <v>4.2039861191682473</v>
      </c>
      <c r="E269" s="76">
        <f>MIN(D269*Constantes!$F$17,0.8*(N268+Observaciones!$F268-F269-M269-Constantes!$D$14))</f>
        <v>6.0653504377228273E-5</v>
      </c>
      <c r="F269" s="76">
        <f>IF(Observaciones!$F268&gt;0.05*Constantes!$F$18,((Observaciones!$F268-0.05*Constantes!$F$18)^2)/(Observaciones!$F268+0.95*Constantes!$F$18),0)</f>
        <v>0</v>
      </c>
      <c r="G269" s="76">
        <f>IF(Escenarios!$F$11&gt;0,(F269*Escenarios!$F$16*10000)/1000,0)</f>
        <v>0</v>
      </c>
      <c r="H269" s="76">
        <f>IF(Escenarios!$F$11&gt;0,(Observaciones!$F268*Constantes!$F$29)/1000,0)</f>
        <v>0</v>
      </c>
      <c r="I269" s="76">
        <f>IF(Escenarios!$F$11&gt;0,(D269*Constantes!$F$29)/1000,0)</f>
        <v>0</v>
      </c>
      <c r="J269" s="76">
        <f>IF(Escenarios!$F$11&gt;0,MAX(0,G269+H269-I269),0)</f>
        <v>0</v>
      </c>
      <c r="K269" s="76">
        <f>IF(Escenarios!$F$11&gt;0,IF(J269&gt;Constantes!$F$30,1000*((J269-Constantes!$F$30)/(Escenarios!$F$16*10000)),0),F269)</f>
        <v>0</v>
      </c>
      <c r="L269" s="76">
        <f>IF(Escenarios!$F$11&gt;0,I269*1000/Escenarios!$F$16/10000+E269,E269)</f>
        <v>6.0653504377228273E-5</v>
      </c>
      <c r="M269" s="76">
        <f>MAX(0,N268+Observaciones!$F268-K269-Constantes!$D$13)</f>
        <v>0</v>
      </c>
      <c r="N269" s="76">
        <f>N268+Observaciones!$F268-K269-L269-M269-O268</f>
        <v>11.250012580774817</v>
      </c>
      <c r="O269" s="76">
        <f>MAX(0,(N269-Constantes!$D$14)*(1-EXP(-Constantes!$D$22)))</f>
        <v>4.2854737522270467E-7</v>
      </c>
      <c r="P269" s="170">
        <f>P268+(Entradas!$F$83*M269-Q268)/(800*Entradas!$D$25)</f>
        <v>0</v>
      </c>
      <c r="Q269" s="170">
        <f>8000*Entradas!$D$26*P269/Constantes!$F$45</f>
        <v>0</v>
      </c>
      <c r="R269" s="170">
        <f>IF(Escenarios!$F$14&gt;0,K269*Escenarios!$F$13/Escenarios!$F$14,0)</f>
        <v>0</v>
      </c>
      <c r="S269" s="170">
        <f>IF(Escenarios!$F$14&gt;0,Q269*Escenarios!$F$13/Escenarios!$F$14,0)</f>
        <v>0</v>
      </c>
      <c r="T269" s="170">
        <f>IF(Escenarios!$F$14&gt;0,Observaciones!$I268,0)</f>
        <v>0</v>
      </c>
      <c r="U269" s="170">
        <f>IF(Escenarios!$F$14&gt;0,MAX(0,Constantes!$F$36/((Z268+R269+S269+T269+Observaciones!$F268)^2)+Entradas!$F$77),0)</f>
        <v>0</v>
      </c>
      <c r="V269" s="146">
        <f>IF(ETo!D268&gt;0,ETo!I268*((1-Entradas!$F$81)*ETo!K268+ETo!L268),0)</f>
        <v>3.7264180171208032</v>
      </c>
      <c r="W269" s="170">
        <f>IF(Escenarios!$F$14&gt;0,MIN(V269*1,0.8*(Z268+R269+S269+T269+Observaciones!$F268-U269-Constantes!$F$35)),0)</f>
        <v>1.2800000000083857E-4</v>
      </c>
      <c r="X269" s="170">
        <f>IF(Escenarios!$F$14&gt;0,Observaciones!$J268,0)</f>
        <v>0</v>
      </c>
      <c r="Y269" s="170">
        <f>IF(Escenarios!$F$14&gt;0,MAX(0,Z268+R269+S269+T269+Observaciones!$F268-U269-W269-X269-Constantes!$F$33),0)</f>
        <v>0</v>
      </c>
      <c r="Z269" s="170">
        <f>Z268+R269+S269+T269+Observaciones!$F268-U269-W269-Y269</f>
        <v>41.250031999999997</v>
      </c>
      <c r="AA269" s="170">
        <f>IF(Escenarios!$F$14&gt;0,(Escenarios!$F$13*L269+Escenarios!$F$14*W269)/(Escenarios!$F$16),L269)</f>
        <v>6.873508385206151E-5</v>
      </c>
      <c r="AB269" s="170">
        <f>IF(Escenarios!$F$14&gt;0,(Escenarios!$F$14*Y269)/(Escenarios!$F$16),K269)</f>
        <v>0</v>
      </c>
      <c r="AC269" s="170">
        <f>IF(Escenarios!$F$14&gt;0,(Escenarios!$F$13*M269+Escenarios!$F$14*U269)/(Escenarios!$F$16),M269)</f>
        <v>0</v>
      </c>
      <c r="AD269" s="76">
        <f t="shared" si="57"/>
        <v>69.340578704574156</v>
      </c>
      <c r="AE269" s="76">
        <f>MAX(0,(AD269-Constantes!$D$13)*(1-EXP(-Constantes!$D$23)))</f>
        <v>0.20288387626992435</v>
      </c>
      <c r="AF269" s="76">
        <f>AB269+O269*Escenarios!$F$13/Escenarios!$F$16+AE269</f>
        <v>0.20288425339161456</v>
      </c>
      <c r="AG269" s="76">
        <f>IF(Entradas!$F$91&gt;0,IF(AF269-Escenarios!$F$38&lt;=0,0,IF(AF269-Escenarios!$F$38&gt;Escenarios!$F$37,Escenarios!$F$37,AF269-Escenarios!$F$38)),0)</f>
        <v>0</v>
      </c>
      <c r="AH269" s="76">
        <f>AG269*Entradas!$F$99</f>
        <v>0</v>
      </c>
      <c r="AI269" s="76">
        <f>IF(Entradas!$F$91&gt;0,D269*Entradas!$D$23/Escenarios!$F$16,0)</f>
        <v>0.20179133372007588</v>
      </c>
      <c r="AJ269" s="76">
        <f>IF(Entradas!$F$91&gt;0,Entradas!$D$24*Entradas!$D$22/Escenarios!$F$16,0)</f>
        <v>0.12</v>
      </c>
      <c r="AK269" s="76">
        <f t="shared" si="58"/>
        <v>0.20186006880392793</v>
      </c>
      <c r="AL269" s="76">
        <f t="shared" si="59"/>
        <v>0</v>
      </c>
      <c r="AM269" s="76">
        <f t="shared" si="60"/>
        <v>0</v>
      </c>
      <c r="AN269" s="76">
        <f>MAX(0,O269*Escenarios!$F$13/Escenarios!$F$16-AM269)</f>
        <v>3.7712169019598015E-7</v>
      </c>
      <c r="AO269" s="76">
        <f>AM269+AN269-O269*Escenarios!$F$13/Escenarios!$F$16</f>
        <v>0</v>
      </c>
      <c r="AP269" s="76">
        <f t="shared" si="61"/>
        <v>0.20288387626992435</v>
      </c>
      <c r="AQ269" s="76">
        <f t="shared" si="62"/>
        <v>0</v>
      </c>
      <c r="AR269" s="76">
        <f t="shared" si="63"/>
        <v>0.20288425339161456</v>
      </c>
      <c r="AS269" s="76">
        <f t="shared" si="64"/>
        <v>0</v>
      </c>
      <c r="AT269" s="76">
        <f t="shared" si="65"/>
        <v>0</v>
      </c>
      <c r="AU269" s="76">
        <f t="shared" si="66"/>
        <v>49.613175367681926</v>
      </c>
      <c r="AV269" s="76">
        <f>MAX(0,(AU269-Constantes!$D$13)*(1-EXP(-Constantes!$D$24)))</f>
        <v>1.3193848755931405E-2</v>
      </c>
      <c r="AW269" s="170">
        <f>AW268+(Entradas!$F$112*AT269-AX268)/(800*Entradas!$D$25)</f>
        <v>0</v>
      </c>
      <c r="AX269" s="170">
        <f>8000*Entradas!$D$26*AW269/Constantes!$F$45</f>
        <v>0</v>
      </c>
      <c r="AY269" s="170">
        <f>IF(Escenarios!$F$17&gt;0,10*Escenarios!$F$16*AL269,0)</f>
        <v>0</v>
      </c>
      <c r="AZ269" s="170">
        <f>IF(Escenarios!$F$17&gt;0,10*Escenarios!$F$16*AX269,0)</f>
        <v>0</v>
      </c>
      <c r="BA269" s="170">
        <f>IF(Escenarios!$F$17&gt;0,0.001*Observaciones!$F268*Escenarios!$F$17,0)</f>
        <v>0</v>
      </c>
      <c r="BB269" s="170">
        <f>IF(Escenarios!$F$17&gt;0,Observaciones!$K268,0)</f>
        <v>0</v>
      </c>
      <c r="BC269" s="170">
        <f>IF(Escenarios!$F$17&gt;0,MIN(0.0005*ETo!$M268*Escenarios!$F$17*(BG268/Constantes!$F$40)^(2/3),BG268+AY269+AZ269+BA269+BB269),0)</f>
        <v>0</v>
      </c>
      <c r="BD269" s="170">
        <f>IF(Escenarios!$F$17&gt;0,MIN(Constantes!$F$39*(BG268/Constantes!$F$40)^(2/3),BG268+AY269+AZ269+BA269+BB269-BC269),0)</f>
        <v>0</v>
      </c>
      <c r="BE269" s="170">
        <f>IF(Escenarios!$F$17&gt;0,MIN(Entradas!$F$113,BG268+AY269+AZ269+BA269+BB269-BC269-BD269),0)</f>
        <v>0</v>
      </c>
      <c r="BF269" s="170">
        <f>IF(Escenarios!$F$17&gt;0,MAX(0,BG268+AY269+AZ269+BA269+BB269-BC269-BD269-BE269-Constantes!$F$40),0)</f>
        <v>0</v>
      </c>
      <c r="BG269" s="170">
        <f t="shared" si="67"/>
        <v>0</v>
      </c>
      <c r="BH269" s="170">
        <f>(Escenarios!$F$16*AK269+0.1*BC269)/(Escenarios!$F$19)</f>
        <v>0.20186006880392793</v>
      </c>
      <c r="BI269" s="170">
        <f>IF(Escenarios!$F$17&gt;0,BF269/10/Escenarios!$F$19,AL269)</f>
        <v>0</v>
      </c>
      <c r="BJ269" s="170">
        <f>(Escenarios!$F$16*AT269+0.1*BD269)/(Escenarios!$F$19)</f>
        <v>0</v>
      </c>
      <c r="BK269" s="76">
        <f>BK268+(0.1*BD269)/(Escenarios!$F$19)-BL268</f>
        <v>48.75</v>
      </c>
      <c r="BL269" s="76">
        <f>MAX(0,(BK269-Constantes!$D$13)*(1-EXP(-Constantes!$D$23)))</f>
        <v>0</v>
      </c>
      <c r="BM269" s="76">
        <f t="shared" si="68"/>
        <v>0.21607772502585576</v>
      </c>
      <c r="BN269" s="76">
        <f t="shared" si="69"/>
        <v>0.21607810214754597</v>
      </c>
      <c r="BO269" s="76">
        <f>0.0526*BI269*Observaciones!$F268^1.218</f>
        <v>0</v>
      </c>
      <c r="BP269" s="76">
        <f>BO269*Constantes!$F$51</f>
        <v>0</v>
      </c>
      <c r="BQ269" s="76">
        <f t="shared" si="70"/>
        <v>0</v>
      </c>
      <c r="BR269" s="40"/>
    </row>
    <row r="270" spans="2:70">
      <c r="B270" s="39"/>
      <c r="C270" s="75">
        <v>264</v>
      </c>
      <c r="D270" s="146">
        <f>ETo!$I269*((1-Constantes!$F$19)*ETo!$K269+ETo!$L269)</f>
        <v>4.1252153782849827</v>
      </c>
      <c r="E270" s="76">
        <f>MIN(D270*Constantes!$F$17,0.8*(N269+Observaciones!$F269-F270-M270-Constantes!$D$14))</f>
        <v>1.0064619853267232E-5</v>
      </c>
      <c r="F270" s="76">
        <f>IF(Observaciones!$F269&gt;0.05*Constantes!$F$18,((Observaciones!$F269-0.05*Constantes!$F$18)^2)/(Observaciones!$F269+0.95*Constantes!$F$18),0)</f>
        <v>0</v>
      </c>
      <c r="G270" s="76">
        <f>IF(Escenarios!$F$11&gt;0,(F270*Escenarios!$F$16*10000)/1000,0)</f>
        <v>0</v>
      </c>
      <c r="H270" s="76">
        <f>IF(Escenarios!$F$11&gt;0,(Observaciones!$F269*Constantes!$F$29)/1000,0)</f>
        <v>0</v>
      </c>
      <c r="I270" s="76">
        <f>IF(Escenarios!$F$11&gt;0,(D270*Constantes!$F$29)/1000,0)</f>
        <v>0</v>
      </c>
      <c r="J270" s="76">
        <f>IF(Escenarios!$F$11&gt;0,MAX(0,G270+H270-I270),0)</f>
        <v>0</v>
      </c>
      <c r="K270" s="76">
        <f>IF(Escenarios!$F$11&gt;0,IF(J270&gt;Constantes!$F$30,1000*((J270-Constantes!$F$30)/(Escenarios!$F$16*10000)),0),F270)</f>
        <v>0</v>
      </c>
      <c r="L270" s="76">
        <f>IF(Escenarios!$F$11&gt;0,I270*1000/Escenarios!$F$16/10000+E270,E270)</f>
        <v>1.0064619853267232E-5</v>
      </c>
      <c r="M270" s="76">
        <f>MAX(0,N269+Observaciones!$F269-K270-Constantes!$D$13)</f>
        <v>0</v>
      </c>
      <c r="N270" s="76">
        <f>N269+Observaciones!$F269-K270-L270-M270-O269</f>
        <v>11.250002087607587</v>
      </c>
      <c r="O270" s="76">
        <f>MAX(0,(N270-Constantes!$D$14)*(1-EXP(-Constantes!$D$22)))</f>
        <v>7.1111578185816569E-8</v>
      </c>
      <c r="P270" s="170">
        <f>P269+(Entradas!$F$83*M270-Q269)/(800*Entradas!$D$25)</f>
        <v>0</v>
      </c>
      <c r="Q270" s="170">
        <f>8000*Entradas!$D$26*P270/Constantes!$F$45</f>
        <v>0</v>
      </c>
      <c r="R270" s="170">
        <f>IF(Escenarios!$F$14&gt;0,K270*Escenarios!$F$13/Escenarios!$F$14,0)</f>
        <v>0</v>
      </c>
      <c r="S270" s="170">
        <f>IF(Escenarios!$F$14&gt;0,Q270*Escenarios!$F$13/Escenarios!$F$14,0)</f>
        <v>0</v>
      </c>
      <c r="T270" s="170">
        <f>IF(Escenarios!$F$14&gt;0,Observaciones!$I269,0)</f>
        <v>0</v>
      </c>
      <c r="U270" s="170">
        <f>IF(Escenarios!$F$14&gt;0,MAX(0,Constantes!$F$36/((Z269+R270+S270+T270+Observaciones!$F269)^2)+Entradas!$F$77),0)</f>
        <v>0</v>
      </c>
      <c r="V270" s="146">
        <f>IF(ETo!D269&gt;0,ETo!I269*((1-Entradas!$F$81)*ETo!K269+ETo!L269),0)</f>
        <v>3.6553812394671747</v>
      </c>
      <c r="W270" s="170">
        <f>IF(Escenarios!$F$14&gt;0,MIN(V270*1,0.8*(Z269+R270+S270+T270+Observaciones!$F269-U270-Constantes!$F$35)),0)</f>
        <v>2.5599999997893977E-5</v>
      </c>
      <c r="X270" s="170">
        <f>IF(Escenarios!$F$14&gt;0,Observaciones!$J269,0)</f>
        <v>0</v>
      </c>
      <c r="Y270" s="170">
        <f>IF(Escenarios!$F$14&gt;0,MAX(0,Z269+R270+S270+T270+Observaciones!$F269-U270-W270-X270-Constantes!$F$33),0)</f>
        <v>0</v>
      </c>
      <c r="Z270" s="170">
        <f>Z269+R270+S270+T270+Observaciones!$F269-U270-W270-Y270</f>
        <v>41.250006399999997</v>
      </c>
      <c r="AA270" s="170">
        <f>IF(Escenarios!$F$14&gt;0,(Escenarios!$F$13*L270+Escenarios!$F$14*W270)/(Escenarios!$F$16),L270)</f>
        <v>1.192886547062244E-5</v>
      </c>
      <c r="AB270" s="170">
        <f>IF(Escenarios!$F$14&gt;0,(Escenarios!$F$14*Y270)/(Escenarios!$F$16),K270)</f>
        <v>0</v>
      </c>
      <c r="AC270" s="170">
        <f>IF(Escenarios!$F$14&gt;0,(Escenarios!$F$13*M270+Escenarios!$F$14*U270)/(Escenarios!$F$16),M270)</f>
        <v>0</v>
      </c>
      <c r="AD270" s="76">
        <f t="shared" si="57"/>
        <v>69.137694828304234</v>
      </c>
      <c r="AE270" s="76">
        <f>MAX(0,(AD270-Constantes!$D$13)*(1-EXP(-Constantes!$D$23)))</f>
        <v>0.20088481311386233</v>
      </c>
      <c r="AF270" s="76">
        <f>AB270+O270*Escenarios!$F$13/Escenarios!$F$16+AE270</f>
        <v>0.20088487569205113</v>
      </c>
      <c r="AG270" s="76">
        <f>IF(Entradas!$F$91&gt;0,IF(AF270-Escenarios!$F$38&lt;=0,0,IF(AF270-Escenarios!$F$38&gt;Escenarios!$F$37,Escenarios!$F$37,AF270-Escenarios!$F$38)),0)</f>
        <v>0</v>
      </c>
      <c r="AH270" s="76">
        <f>AG270*Entradas!$F$99</f>
        <v>0</v>
      </c>
      <c r="AI270" s="76">
        <f>IF(Entradas!$F$91&gt;0,D270*Entradas!$D$23/Escenarios!$F$16,0)</f>
        <v>0.19801033815767918</v>
      </c>
      <c r="AJ270" s="76">
        <f>IF(Entradas!$F$91&gt;0,Entradas!$D$24*Entradas!$D$22/Escenarios!$F$16,0)</f>
        <v>0.12</v>
      </c>
      <c r="AK270" s="76">
        <f t="shared" si="58"/>
        <v>0.19802226702314982</v>
      </c>
      <c r="AL270" s="76">
        <f t="shared" si="59"/>
        <v>0</v>
      </c>
      <c r="AM270" s="76">
        <f t="shared" si="60"/>
        <v>0</v>
      </c>
      <c r="AN270" s="76">
        <f>MAX(0,O270*Escenarios!$F$13/Escenarios!$F$16-AM270)</f>
        <v>6.2578188803518575E-8</v>
      </c>
      <c r="AO270" s="76">
        <f>AM270+AN270-O270*Escenarios!$F$13/Escenarios!$F$16</f>
        <v>0</v>
      </c>
      <c r="AP270" s="76">
        <f t="shared" si="61"/>
        <v>0.20088481311386233</v>
      </c>
      <c r="AQ270" s="76">
        <f t="shared" si="62"/>
        <v>0</v>
      </c>
      <c r="AR270" s="76">
        <f t="shared" si="63"/>
        <v>0.20088487569205113</v>
      </c>
      <c r="AS270" s="76">
        <f t="shared" si="64"/>
        <v>0</v>
      </c>
      <c r="AT270" s="76">
        <f t="shared" si="65"/>
        <v>0</v>
      </c>
      <c r="AU270" s="76">
        <f t="shared" si="66"/>
        <v>49.599981518925993</v>
      </c>
      <c r="AV270" s="76">
        <f>MAX(0,(AU270-Constantes!$D$13)*(1-EXP(-Constantes!$D$24)))</f>
        <v>1.2992177517951229E-2</v>
      </c>
      <c r="AW270" s="170">
        <f>AW269+(Entradas!$F$112*AT270-AX269)/(800*Entradas!$D$25)</f>
        <v>0</v>
      </c>
      <c r="AX270" s="170">
        <f>8000*Entradas!$D$26*AW270/Constantes!$F$45</f>
        <v>0</v>
      </c>
      <c r="AY270" s="170">
        <f>IF(Escenarios!$F$17&gt;0,10*Escenarios!$F$16*AL270,0)</f>
        <v>0</v>
      </c>
      <c r="AZ270" s="170">
        <f>IF(Escenarios!$F$17&gt;0,10*Escenarios!$F$16*AX270,0)</f>
        <v>0</v>
      </c>
      <c r="BA270" s="170">
        <f>IF(Escenarios!$F$17&gt;0,0.001*Observaciones!$F269*Escenarios!$F$17,0)</f>
        <v>0</v>
      </c>
      <c r="BB270" s="170">
        <f>IF(Escenarios!$F$17&gt;0,Observaciones!$K269,0)</f>
        <v>0</v>
      </c>
      <c r="BC270" s="170">
        <f>IF(Escenarios!$F$17&gt;0,MIN(0.0005*ETo!$M269*Escenarios!$F$17*(BG269/Constantes!$F$40)^(2/3),BG269+AY270+AZ270+BA270+BB270),0)</f>
        <v>0</v>
      </c>
      <c r="BD270" s="170">
        <f>IF(Escenarios!$F$17&gt;0,MIN(Constantes!$F$39*(BG269/Constantes!$F$40)^(2/3),BG269+AY270+AZ270+BA270+BB270-BC270),0)</f>
        <v>0</v>
      </c>
      <c r="BE270" s="170">
        <f>IF(Escenarios!$F$17&gt;0,MIN(Entradas!$F$113,BG269+AY270+AZ270+BA270+BB270-BC270-BD270),0)</f>
        <v>0</v>
      </c>
      <c r="BF270" s="170">
        <f>IF(Escenarios!$F$17&gt;0,MAX(0,BG269+AY270+AZ270+BA270+BB270-BC270-BD270-BE270-Constantes!$F$40),0)</f>
        <v>0</v>
      </c>
      <c r="BG270" s="170">
        <f t="shared" si="67"/>
        <v>0</v>
      </c>
      <c r="BH270" s="170">
        <f>(Escenarios!$F$16*AK270+0.1*BC270)/(Escenarios!$F$19)</f>
        <v>0.19802226702314982</v>
      </c>
      <c r="BI270" s="170">
        <f>IF(Escenarios!$F$17&gt;0,BF270/10/Escenarios!$F$19,AL270)</f>
        <v>0</v>
      </c>
      <c r="BJ270" s="170">
        <f>(Escenarios!$F$16*AT270+0.1*BD270)/(Escenarios!$F$19)</f>
        <v>0</v>
      </c>
      <c r="BK270" s="76">
        <f>BK269+(0.1*BD270)/(Escenarios!$F$19)-BL269</f>
        <v>48.75</v>
      </c>
      <c r="BL270" s="76">
        <f>MAX(0,(BK270-Constantes!$D$13)*(1-EXP(-Constantes!$D$23)))</f>
        <v>0</v>
      </c>
      <c r="BM270" s="76">
        <f t="shared" si="68"/>
        <v>0.21387699063181356</v>
      </c>
      <c r="BN270" s="76">
        <f t="shared" si="69"/>
        <v>0.21387705321000236</v>
      </c>
      <c r="BO270" s="76">
        <f>0.0526*BI270*Observaciones!$F269^1.218</f>
        <v>0</v>
      </c>
      <c r="BP270" s="76">
        <f>BO270*Constantes!$F$51</f>
        <v>0</v>
      </c>
      <c r="BQ270" s="76">
        <f t="shared" si="70"/>
        <v>0</v>
      </c>
      <c r="BR270" s="40"/>
    </row>
    <row r="271" spans="2:70">
      <c r="B271" s="39"/>
      <c r="C271" s="75">
        <v>265</v>
      </c>
      <c r="D271" s="146">
        <f>ETo!$I270*((1-Constantes!$F$19)*ETo!$K270+ETo!$L270)</f>
        <v>4.0585985858066884</v>
      </c>
      <c r="E271" s="76">
        <f>MIN(D271*Constantes!$F$17,0.8*(N270+Observaciones!$F270-F271-M271-Constantes!$D$14))</f>
        <v>1.670086069793797E-6</v>
      </c>
      <c r="F271" s="76">
        <f>IF(Observaciones!$F270&gt;0.05*Constantes!$F$18,((Observaciones!$F270-0.05*Constantes!$F$18)^2)/(Observaciones!$F270+0.95*Constantes!$F$18),0)</f>
        <v>0</v>
      </c>
      <c r="G271" s="76">
        <f>IF(Escenarios!$F$11&gt;0,(F271*Escenarios!$F$16*10000)/1000,0)</f>
        <v>0</v>
      </c>
      <c r="H271" s="76">
        <f>IF(Escenarios!$F$11&gt;0,(Observaciones!$F270*Constantes!$F$29)/1000,0)</f>
        <v>0</v>
      </c>
      <c r="I271" s="76">
        <f>IF(Escenarios!$F$11&gt;0,(D271*Constantes!$F$29)/1000,0)</f>
        <v>0</v>
      </c>
      <c r="J271" s="76">
        <f>IF(Escenarios!$F$11&gt;0,MAX(0,G271+H271-I271),0)</f>
        <v>0</v>
      </c>
      <c r="K271" s="76">
        <f>IF(Escenarios!$F$11&gt;0,IF(J271&gt;Constantes!$F$30,1000*((J271-Constantes!$F$30)/(Escenarios!$F$16*10000)),0),F271)</f>
        <v>0</v>
      </c>
      <c r="L271" s="76">
        <f>IF(Escenarios!$F$11&gt;0,I271*1000/Escenarios!$F$16/10000+E271,E271)</f>
        <v>1.670086069793797E-6</v>
      </c>
      <c r="M271" s="76">
        <f>MAX(0,N270+Observaciones!$F270-K271-Constantes!$D$13)</f>
        <v>0</v>
      </c>
      <c r="N271" s="76">
        <f>N270+Observaciones!$F270-K271-L271-M271-O270</f>
        <v>11.250000346409939</v>
      </c>
      <c r="O271" s="76">
        <f>MAX(0,(N271-Constantes!$D$14)*(1-EXP(-Constantes!$D$22)))</f>
        <v>1.1799994217763935E-8</v>
      </c>
      <c r="P271" s="170">
        <f>P270+(Entradas!$F$83*M271-Q270)/(800*Entradas!$D$25)</f>
        <v>0</v>
      </c>
      <c r="Q271" s="170">
        <f>8000*Entradas!$D$26*P271/Constantes!$F$45</f>
        <v>0</v>
      </c>
      <c r="R271" s="170">
        <f>IF(Escenarios!$F$14&gt;0,K271*Escenarios!$F$13/Escenarios!$F$14,0)</f>
        <v>0</v>
      </c>
      <c r="S271" s="170">
        <f>IF(Escenarios!$F$14&gt;0,Q271*Escenarios!$F$13/Escenarios!$F$14,0)</f>
        <v>0</v>
      </c>
      <c r="T271" s="170">
        <f>IF(Escenarios!$F$14&gt;0,Observaciones!$I270,0)</f>
        <v>0</v>
      </c>
      <c r="U271" s="170">
        <f>IF(Escenarios!$F$14&gt;0,MAX(0,Constantes!$F$36/((Z270+R271+S271+T271+Observaciones!$F270)^2)+Entradas!$F$77),0)</f>
        <v>0</v>
      </c>
      <c r="V271" s="146">
        <f>IF(ETo!D270&gt;0,ETo!I270*((1-Entradas!$F$81)*ETo!K270+ETo!L270),0)</f>
        <v>3.5955589602402145</v>
      </c>
      <c r="W271" s="170">
        <f>IF(Escenarios!$F$14&gt;0,MIN(V271*1,0.8*(Z270+R271+S271+T271+Observaciones!$F270-U271-Constantes!$F$35)),0)</f>
        <v>5.1199999973050581E-6</v>
      </c>
      <c r="X271" s="170">
        <f>IF(Escenarios!$F$14&gt;0,Observaciones!$J270,0)</f>
        <v>0</v>
      </c>
      <c r="Y271" s="170">
        <f>IF(Escenarios!$F$14&gt;0,MAX(0,Z270+R271+S271+T271+Observaciones!$F270-U271-W271-X271-Constantes!$F$33),0)</f>
        <v>0</v>
      </c>
      <c r="Z271" s="170">
        <f>Z270+R271+S271+T271+Observaciones!$F270-U271-W271-Y271</f>
        <v>41.250001279999999</v>
      </c>
      <c r="AA271" s="170">
        <f>IF(Escenarios!$F$14&gt;0,(Escenarios!$F$13*L271+Escenarios!$F$14*W271)/(Escenarios!$F$16),L271)</f>
        <v>2.0840757410951481E-6</v>
      </c>
      <c r="AB271" s="170">
        <f>IF(Escenarios!$F$14&gt;0,(Escenarios!$F$14*Y271)/(Escenarios!$F$16),K271)</f>
        <v>0</v>
      </c>
      <c r="AC271" s="170">
        <f>IF(Escenarios!$F$14&gt;0,(Escenarios!$F$13*M271+Escenarios!$F$14*U271)/(Escenarios!$F$16),M271)</f>
        <v>0</v>
      </c>
      <c r="AD271" s="76">
        <f t="shared" si="57"/>
        <v>68.936810015190375</v>
      </c>
      <c r="AE271" s="76">
        <f>MAX(0,(AD271-Constantes!$D$13)*(1-EXP(-Constantes!$D$23)))</f>
        <v>0.19890544720321673</v>
      </c>
      <c r="AF271" s="76">
        <f>AB271+O271*Escenarios!$F$13/Escenarios!$F$16+AE271</f>
        <v>0.19890545758721165</v>
      </c>
      <c r="AG271" s="76">
        <f>IF(Entradas!$F$91&gt;0,IF(AF271-Escenarios!$F$38&lt;=0,0,IF(AF271-Escenarios!$F$38&gt;Escenarios!$F$37,Escenarios!$F$37,AF271-Escenarios!$F$38)),0)</f>
        <v>0</v>
      </c>
      <c r="AH271" s="76">
        <f>AG271*Entradas!$F$99</f>
        <v>0</v>
      </c>
      <c r="AI271" s="76">
        <f>IF(Entradas!$F$91&gt;0,D271*Entradas!$D$23/Escenarios!$F$16,0)</f>
        <v>0.19481273211872105</v>
      </c>
      <c r="AJ271" s="76">
        <f>IF(Entradas!$F$91&gt;0,Entradas!$D$24*Entradas!$D$22/Escenarios!$F$16,0)</f>
        <v>0.12</v>
      </c>
      <c r="AK271" s="76">
        <f t="shared" si="58"/>
        <v>0.19481481619446214</v>
      </c>
      <c r="AL271" s="76">
        <f t="shared" si="59"/>
        <v>0</v>
      </c>
      <c r="AM271" s="76">
        <f t="shared" si="60"/>
        <v>0</v>
      </c>
      <c r="AN271" s="76">
        <f>MAX(0,O271*Escenarios!$F$13/Escenarios!$F$16-AM271)</f>
        <v>1.0383994911632263E-8</v>
      </c>
      <c r="AO271" s="76">
        <f>AM271+AN271-O271*Escenarios!$F$13/Escenarios!$F$16</f>
        <v>0</v>
      </c>
      <c r="AP271" s="76">
        <f t="shared" si="61"/>
        <v>0.19890544720321673</v>
      </c>
      <c r="AQ271" s="76">
        <f t="shared" si="62"/>
        <v>0</v>
      </c>
      <c r="AR271" s="76">
        <f t="shared" si="63"/>
        <v>0.19890545758721165</v>
      </c>
      <c r="AS271" s="76">
        <f t="shared" si="64"/>
        <v>0</v>
      </c>
      <c r="AT271" s="76">
        <f t="shared" si="65"/>
        <v>0</v>
      </c>
      <c r="AU271" s="76">
        <f t="shared" si="66"/>
        <v>49.586989341408042</v>
      </c>
      <c r="AV271" s="76">
        <f>MAX(0,(AU271-Constantes!$D$13)*(1-EXP(-Constantes!$D$24)))</f>
        <v>1.279358887466962E-2</v>
      </c>
      <c r="AW271" s="170">
        <f>AW270+(Entradas!$F$112*AT271-AX270)/(800*Entradas!$D$25)</f>
        <v>0</v>
      </c>
      <c r="AX271" s="170">
        <f>8000*Entradas!$D$26*AW271/Constantes!$F$45</f>
        <v>0</v>
      </c>
      <c r="AY271" s="170">
        <f>IF(Escenarios!$F$17&gt;0,10*Escenarios!$F$16*AL271,0)</f>
        <v>0</v>
      </c>
      <c r="AZ271" s="170">
        <f>IF(Escenarios!$F$17&gt;0,10*Escenarios!$F$16*AX271,0)</f>
        <v>0</v>
      </c>
      <c r="BA271" s="170">
        <f>IF(Escenarios!$F$17&gt;0,0.001*Observaciones!$F270*Escenarios!$F$17,0)</f>
        <v>0</v>
      </c>
      <c r="BB271" s="170">
        <f>IF(Escenarios!$F$17&gt;0,Observaciones!$K270,0)</f>
        <v>0</v>
      </c>
      <c r="BC271" s="170">
        <f>IF(Escenarios!$F$17&gt;0,MIN(0.0005*ETo!$M270*Escenarios!$F$17*(BG270/Constantes!$F$40)^(2/3),BG270+AY271+AZ271+BA271+BB271),0)</f>
        <v>0</v>
      </c>
      <c r="BD271" s="170">
        <f>IF(Escenarios!$F$17&gt;0,MIN(Constantes!$F$39*(BG270/Constantes!$F$40)^(2/3),BG270+AY271+AZ271+BA271+BB271-BC271),0)</f>
        <v>0</v>
      </c>
      <c r="BE271" s="170">
        <f>IF(Escenarios!$F$17&gt;0,MIN(Entradas!$F$113,BG270+AY271+AZ271+BA271+BB271-BC271-BD271),0)</f>
        <v>0</v>
      </c>
      <c r="BF271" s="170">
        <f>IF(Escenarios!$F$17&gt;0,MAX(0,BG270+AY271+AZ271+BA271+BB271-BC271-BD271-BE271-Constantes!$F$40),0)</f>
        <v>0</v>
      </c>
      <c r="BG271" s="170">
        <f t="shared" si="67"/>
        <v>0</v>
      </c>
      <c r="BH271" s="170">
        <f>(Escenarios!$F$16*AK271+0.1*BC271)/(Escenarios!$F$19)</f>
        <v>0.19481481619446214</v>
      </c>
      <c r="BI271" s="170">
        <f>IF(Escenarios!$F$17&gt;0,BF271/10/Escenarios!$F$19,AL271)</f>
        <v>0</v>
      </c>
      <c r="BJ271" s="170">
        <f>(Escenarios!$F$16*AT271+0.1*BD271)/(Escenarios!$F$19)</f>
        <v>0</v>
      </c>
      <c r="BK271" s="76">
        <f>BK270+(0.1*BD271)/(Escenarios!$F$19)-BL270</f>
        <v>48.75</v>
      </c>
      <c r="BL271" s="76">
        <f>MAX(0,(BK271-Constantes!$D$13)*(1-EXP(-Constantes!$D$23)))</f>
        <v>0</v>
      </c>
      <c r="BM271" s="76">
        <f t="shared" si="68"/>
        <v>0.21169903607788634</v>
      </c>
      <c r="BN271" s="76">
        <f t="shared" si="69"/>
        <v>0.21169904646188126</v>
      </c>
      <c r="BO271" s="76">
        <f>0.0526*BI271*Observaciones!$F270^1.218</f>
        <v>0</v>
      </c>
      <c r="BP271" s="76">
        <f>BO271*Constantes!$F$51</f>
        <v>0</v>
      </c>
      <c r="BQ271" s="76">
        <f t="shared" si="70"/>
        <v>0</v>
      </c>
      <c r="BR271" s="40"/>
    </row>
    <row r="272" spans="2:70">
      <c r="B272" s="39"/>
      <c r="C272" s="75">
        <v>266</v>
      </c>
      <c r="D272" s="146">
        <f>ETo!$I271*((1-Constantes!$F$19)*ETo!$K271+ETo!$L271)</f>
        <v>3.9569173641250894</v>
      </c>
      <c r="E272" s="76">
        <f>MIN(D272*Constantes!$F$17,0.8*(N271+Observaciones!$F271-F272-M272-Constantes!$D$14))</f>
        <v>2.7712795116485725E-7</v>
      </c>
      <c r="F272" s="76">
        <f>IF(Observaciones!$F271&gt;0.05*Constantes!$F$18,((Observaciones!$F271-0.05*Constantes!$F$18)^2)/(Observaciones!$F271+0.95*Constantes!$F$18),0)</f>
        <v>0</v>
      </c>
      <c r="G272" s="76">
        <f>IF(Escenarios!$F$11&gt;0,(F272*Escenarios!$F$16*10000)/1000,0)</f>
        <v>0</v>
      </c>
      <c r="H272" s="76">
        <f>IF(Escenarios!$F$11&gt;0,(Observaciones!$F271*Constantes!$F$29)/1000,0)</f>
        <v>0</v>
      </c>
      <c r="I272" s="76">
        <f>IF(Escenarios!$F$11&gt;0,(D272*Constantes!$F$29)/1000,0)</f>
        <v>0</v>
      </c>
      <c r="J272" s="76">
        <f>IF(Escenarios!$F$11&gt;0,MAX(0,G272+H272-I272),0)</f>
        <v>0</v>
      </c>
      <c r="K272" s="76">
        <f>IF(Escenarios!$F$11&gt;0,IF(J272&gt;Constantes!$F$30,1000*((J272-Constantes!$F$30)/(Escenarios!$F$16*10000)),0),F272)</f>
        <v>0</v>
      </c>
      <c r="L272" s="76">
        <f>IF(Escenarios!$F$11&gt;0,I272*1000/Escenarios!$F$16/10000+E272,E272)</f>
        <v>2.7712795116485725E-7</v>
      </c>
      <c r="M272" s="76">
        <f>MAX(0,N271+Observaciones!$F271-K272-Constantes!$D$13)</f>
        <v>0</v>
      </c>
      <c r="N272" s="76">
        <f>N271+Observaciones!$F271-K272-L272-M272-O271</f>
        <v>11.250000057481994</v>
      </c>
      <c r="O272" s="76">
        <f>MAX(0,(N272-Constantes!$D$14)*(1-EXP(-Constantes!$D$22)))</f>
        <v>1.9580477457471514E-9</v>
      </c>
      <c r="P272" s="170">
        <f>P271+(Entradas!$F$83*M272-Q271)/(800*Entradas!$D$25)</f>
        <v>0</v>
      </c>
      <c r="Q272" s="170">
        <f>8000*Entradas!$D$26*P272/Constantes!$F$45</f>
        <v>0</v>
      </c>
      <c r="R272" s="170">
        <f>IF(Escenarios!$F$14&gt;0,K272*Escenarios!$F$13/Escenarios!$F$14,0)</f>
        <v>0</v>
      </c>
      <c r="S272" s="170">
        <f>IF(Escenarios!$F$14&gt;0,Q272*Escenarios!$F$13/Escenarios!$F$14,0)</f>
        <v>0</v>
      </c>
      <c r="T272" s="170">
        <f>IF(Escenarios!$F$14&gt;0,Observaciones!$I271,0)</f>
        <v>0</v>
      </c>
      <c r="U272" s="170">
        <f>IF(Escenarios!$F$14&gt;0,MAX(0,Constantes!$F$36/((Z271+R272+S272+T272+Observaciones!$F271)^2)+Entradas!$F$77),0)</f>
        <v>0</v>
      </c>
      <c r="V272" s="146">
        <f>IF(ETo!D271&gt;0,ETo!I271*((1-Entradas!$F$81)*ETo!K271+ETo!L271),0)</f>
        <v>3.5044720868514712</v>
      </c>
      <c r="W272" s="170">
        <f>IF(Escenarios!$F$14&gt;0,MIN(V272*1,0.8*(Z271+R272+S272+T272+Observaciones!$F271-U272-Constantes!$F$35)),0)</f>
        <v>1.0239999994610116E-6</v>
      </c>
      <c r="X272" s="170">
        <f>IF(Escenarios!$F$14&gt;0,Observaciones!$J271,0)</f>
        <v>0</v>
      </c>
      <c r="Y272" s="170">
        <f>IF(Escenarios!$F$14&gt;0,MAX(0,Z271+R272+S272+T272+Observaciones!$F271-U272-W272-X272-Constantes!$F$33),0)</f>
        <v>0</v>
      </c>
      <c r="Z272" s="170">
        <f>Z271+R272+S272+T272+Observaciones!$F271-U272-W272-Y272</f>
        <v>41.250000256</v>
      </c>
      <c r="AA272" s="170">
        <f>IF(Escenarios!$F$14&gt;0,(Escenarios!$F$13*L272+Escenarios!$F$14*W272)/(Escenarios!$F$16),L272)</f>
        <v>3.6675259696039573E-7</v>
      </c>
      <c r="AB272" s="170">
        <f>IF(Escenarios!$F$14&gt;0,(Escenarios!$F$14*Y272)/(Escenarios!$F$16),K272)</f>
        <v>0</v>
      </c>
      <c r="AC272" s="170">
        <f>IF(Escenarios!$F$14&gt;0,(Escenarios!$F$13*M272+Escenarios!$F$14*U272)/(Escenarios!$F$16),M272)</f>
        <v>0</v>
      </c>
      <c r="AD272" s="76">
        <f t="shared" si="57"/>
        <v>68.737904567987158</v>
      </c>
      <c r="AE272" s="76">
        <f>MAX(0,(AD272-Constantes!$D$13)*(1-EXP(-Constantes!$D$23)))</f>
        <v>0.19694558445633695</v>
      </c>
      <c r="AF272" s="76">
        <f>AB272+O272*Escenarios!$F$13/Escenarios!$F$16+AE272</f>
        <v>0.19694558617941896</v>
      </c>
      <c r="AG272" s="76">
        <f>IF(Entradas!$F$91&gt;0,IF(AF272-Escenarios!$F$38&lt;=0,0,IF(AF272-Escenarios!$F$38&gt;Escenarios!$F$37,Escenarios!$F$37,AF272-Escenarios!$F$38)),0)</f>
        <v>0</v>
      </c>
      <c r="AH272" s="76">
        <f>AG272*Entradas!$F$99</f>
        <v>0</v>
      </c>
      <c r="AI272" s="76">
        <f>IF(Entradas!$F$91&gt;0,D272*Entradas!$D$23/Escenarios!$F$16,0)</f>
        <v>0.18993203347800428</v>
      </c>
      <c r="AJ272" s="76">
        <f>IF(Entradas!$F$91&gt;0,Entradas!$D$24*Entradas!$D$22/Escenarios!$F$16,0)</f>
        <v>0.12</v>
      </c>
      <c r="AK272" s="76">
        <f t="shared" si="58"/>
        <v>0.18993240023060123</v>
      </c>
      <c r="AL272" s="76">
        <f t="shared" si="59"/>
        <v>0</v>
      </c>
      <c r="AM272" s="76">
        <f t="shared" si="60"/>
        <v>0</v>
      </c>
      <c r="AN272" s="76">
        <f>MAX(0,O272*Escenarios!$F$13/Escenarios!$F$16-AM272)</f>
        <v>1.7230820162574932E-9</v>
      </c>
      <c r="AO272" s="76">
        <f>AM272+AN272-O272*Escenarios!$F$13/Escenarios!$F$16</f>
        <v>0</v>
      </c>
      <c r="AP272" s="76">
        <f t="shared" si="61"/>
        <v>0.19694558445633695</v>
      </c>
      <c r="AQ272" s="76">
        <f t="shared" si="62"/>
        <v>0</v>
      </c>
      <c r="AR272" s="76">
        <f t="shared" si="63"/>
        <v>0.19694558617941896</v>
      </c>
      <c r="AS272" s="76">
        <f t="shared" si="64"/>
        <v>0</v>
      </c>
      <c r="AT272" s="76">
        <f t="shared" si="65"/>
        <v>0</v>
      </c>
      <c r="AU272" s="76">
        <f t="shared" si="66"/>
        <v>49.57419575253337</v>
      </c>
      <c r="AV272" s="76">
        <f>MAX(0,(AU272-Constantes!$D$13)*(1-EXP(-Constantes!$D$24)))</f>
        <v>1.2598035707864946E-2</v>
      </c>
      <c r="AW272" s="170">
        <f>AW271+(Entradas!$F$112*AT272-AX271)/(800*Entradas!$D$25)</f>
        <v>0</v>
      </c>
      <c r="AX272" s="170">
        <f>8000*Entradas!$D$26*AW272/Constantes!$F$45</f>
        <v>0</v>
      </c>
      <c r="AY272" s="170">
        <f>IF(Escenarios!$F$17&gt;0,10*Escenarios!$F$16*AL272,0)</f>
        <v>0</v>
      </c>
      <c r="AZ272" s="170">
        <f>IF(Escenarios!$F$17&gt;0,10*Escenarios!$F$16*AX272,0)</f>
        <v>0</v>
      </c>
      <c r="BA272" s="170">
        <f>IF(Escenarios!$F$17&gt;0,0.001*Observaciones!$F271*Escenarios!$F$17,0)</f>
        <v>0</v>
      </c>
      <c r="BB272" s="170">
        <f>IF(Escenarios!$F$17&gt;0,Observaciones!$K271,0)</f>
        <v>0</v>
      </c>
      <c r="BC272" s="170">
        <f>IF(Escenarios!$F$17&gt;0,MIN(0.0005*ETo!$M271*Escenarios!$F$17*(BG271/Constantes!$F$40)^(2/3),BG271+AY272+AZ272+BA272+BB272),0)</f>
        <v>0</v>
      </c>
      <c r="BD272" s="170">
        <f>IF(Escenarios!$F$17&gt;0,MIN(Constantes!$F$39*(BG271/Constantes!$F$40)^(2/3),BG271+AY272+AZ272+BA272+BB272-BC272),0)</f>
        <v>0</v>
      </c>
      <c r="BE272" s="170">
        <f>IF(Escenarios!$F$17&gt;0,MIN(Entradas!$F$113,BG271+AY272+AZ272+BA272+BB272-BC272-BD272),0)</f>
        <v>0</v>
      </c>
      <c r="BF272" s="170">
        <f>IF(Escenarios!$F$17&gt;0,MAX(0,BG271+AY272+AZ272+BA272+BB272-BC272-BD272-BE272-Constantes!$F$40),0)</f>
        <v>0</v>
      </c>
      <c r="BG272" s="170">
        <f t="shared" si="67"/>
        <v>0</v>
      </c>
      <c r="BH272" s="170">
        <f>(Escenarios!$F$16*AK272+0.1*BC272)/(Escenarios!$F$19)</f>
        <v>0.18993240023060123</v>
      </c>
      <c r="BI272" s="170">
        <f>IF(Escenarios!$F$17&gt;0,BF272/10/Escenarios!$F$19,AL272)</f>
        <v>0</v>
      </c>
      <c r="BJ272" s="170">
        <f>(Escenarios!$F$16*AT272+0.1*BD272)/(Escenarios!$F$19)</f>
        <v>0</v>
      </c>
      <c r="BK272" s="76">
        <f>BK271+(0.1*BD272)/(Escenarios!$F$19)-BL271</f>
        <v>48.75</v>
      </c>
      <c r="BL272" s="76">
        <f>MAX(0,(BK272-Constantes!$D$13)*(1-EXP(-Constantes!$D$23)))</f>
        <v>0</v>
      </c>
      <c r="BM272" s="76">
        <f t="shared" si="68"/>
        <v>0.20954362016420189</v>
      </c>
      <c r="BN272" s="76">
        <f t="shared" si="69"/>
        <v>0.2095436218872839</v>
      </c>
      <c r="BO272" s="76">
        <f>0.0526*BI272*Observaciones!$F271^1.218</f>
        <v>0</v>
      </c>
      <c r="BP272" s="76">
        <f>BO272*Constantes!$F$51</f>
        <v>0</v>
      </c>
      <c r="BQ272" s="76">
        <f t="shared" si="70"/>
        <v>0</v>
      </c>
      <c r="BR272" s="40"/>
    </row>
    <row r="273" spans="2:70">
      <c r="B273" s="39"/>
      <c r="C273" s="75">
        <v>267</v>
      </c>
      <c r="D273" s="146">
        <f>ETo!$I272*((1-Constantes!$F$19)*ETo!$K272+ETo!$L272)</f>
        <v>4.0265785359611579</v>
      </c>
      <c r="E273" s="76">
        <f>MIN(D273*Constantes!$F$17,0.8*(N272+Observaciones!$F272-F273-M273-Constantes!$D$14))</f>
        <v>1.6000000459855954</v>
      </c>
      <c r="F273" s="76">
        <f>IF(Observaciones!$F272&gt;0.05*Constantes!$F$18,((Observaciones!$F272-0.05*Constantes!$F$18)^2)/(Observaciones!$F272+0.95*Constantes!$F$18),0)</f>
        <v>0</v>
      </c>
      <c r="G273" s="76">
        <f>IF(Escenarios!$F$11&gt;0,(F273*Escenarios!$F$16*10000)/1000,0)</f>
        <v>0</v>
      </c>
      <c r="H273" s="76">
        <f>IF(Escenarios!$F$11&gt;0,(Observaciones!$F272*Constantes!$F$29)/1000,0)</f>
        <v>0</v>
      </c>
      <c r="I273" s="76">
        <f>IF(Escenarios!$F$11&gt;0,(D273*Constantes!$F$29)/1000,0)</f>
        <v>0</v>
      </c>
      <c r="J273" s="76">
        <f>IF(Escenarios!$F$11&gt;0,MAX(0,G273+H273-I273),0)</f>
        <v>0</v>
      </c>
      <c r="K273" s="76">
        <f>IF(Escenarios!$F$11&gt;0,IF(J273&gt;Constantes!$F$30,1000*((J273-Constantes!$F$30)/(Escenarios!$F$16*10000)),0),F273)</f>
        <v>0</v>
      </c>
      <c r="L273" s="76">
        <f>IF(Escenarios!$F$11&gt;0,I273*1000/Escenarios!$F$16/10000+E273,E273)</f>
        <v>1.6000000459855954</v>
      </c>
      <c r="M273" s="76">
        <f>MAX(0,N272+Observaciones!$F272-K273-Constantes!$D$13)</f>
        <v>0</v>
      </c>
      <c r="N273" s="76">
        <f>N272+Observaciones!$F272-K273-L273-M273-O272</f>
        <v>11.650000009538351</v>
      </c>
      <c r="O273" s="76">
        <f>MAX(0,(N273-Constantes!$D$14)*(1-EXP(-Constantes!$D$22)))</f>
        <v>1.3625468754973008E-2</v>
      </c>
      <c r="P273" s="170">
        <f>P272+(Entradas!$F$83*M273-Q272)/(800*Entradas!$D$25)</f>
        <v>0</v>
      </c>
      <c r="Q273" s="170">
        <f>8000*Entradas!$D$26*P273/Constantes!$F$45</f>
        <v>0</v>
      </c>
      <c r="R273" s="170">
        <f>IF(Escenarios!$F$14&gt;0,K273*Escenarios!$F$13/Escenarios!$F$14,0)</f>
        <v>0</v>
      </c>
      <c r="S273" s="170">
        <f>IF(Escenarios!$F$14&gt;0,Q273*Escenarios!$F$13/Escenarios!$F$14,0)</f>
        <v>0</v>
      </c>
      <c r="T273" s="170">
        <f>IF(Escenarios!$F$14&gt;0,Observaciones!$I272,0)</f>
        <v>0</v>
      </c>
      <c r="U273" s="170">
        <f>IF(Escenarios!$F$14&gt;0,MAX(0,Constantes!$F$36/((Z272+R273+S273+T273+Observaciones!$F272)^2)+Entradas!$F$77),0)</f>
        <v>0</v>
      </c>
      <c r="V273" s="146">
        <f>IF(ETo!D272&gt;0,ETo!I272*((1-Entradas!$F$81)*ETo!K272+ETo!L272),0)</f>
        <v>3.5672668536414744</v>
      </c>
      <c r="W273" s="170">
        <f>IF(Escenarios!$F$14&gt;0,MIN(V273*1,0.8*(Z272+R273+S273+T273+Observaciones!$F272-U273-Constantes!$F$35)),0)</f>
        <v>1.6000002047999999</v>
      </c>
      <c r="X273" s="170">
        <f>IF(Escenarios!$F$14&gt;0,Observaciones!$J272,0)</f>
        <v>0</v>
      </c>
      <c r="Y273" s="170">
        <f>IF(Escenarios!$F$14&gt;0,MAX(0,Z272+R273+S273+T273+Observaciones!$F272-U273-W273-X273-Constantes!$F$33),0)</f>
        <v>0</v>
      </c>
      <c r="Z273" s="170">
        <f>Z272+R273+S273+T273+Observaciones!$F272-U273-W273-Y273</f>
        <v>41.650000051200003</v>
      </c>
      <c r="AA273" s="170">
        <f>IF(Escenarios!$F$14&gt;0,(Escenarios!$F$13*L273+Escenarios!$F$14*W273)/(Escenarios!$F$16),L273)</f>
        <v>1.6000000650433239</v>
      </c>
      <c r="AB273" s="170">
        <f>IF(Escenarios!$F$14&gt;0,(Escenarios!$F$14*Y273)/(Escenarios!$F$16),K273)</f>
        <v>0</v>
      </c>
      <c r="AC273" s="170">
        <f>IF(Escenarios!$F$14&gt;0,(Escenarios!$F$13*M273+Escenarios!$F$14*U273)/(Escenarios!$F$16),M273)</f>
        <v>0</v>
      </c>
      <c r="AD273" s="76">
        <f t="shared" si="57"/>
        <v>68.540958983530828</v>
      </c>
      <c r="AE273" s="76">
        <f>MAX(0,(AD273-Constantes!$D$13)*(1-EXP(-Constantes!$D$23)))</f>
        <v>0.19500503270390515</v>
      </c>
      <c r="AF273" s="76">
        <f>AB273+O273*Escenarios!$F$13/Escenarios!$F$16+AE273</f>
        <v>0.20699544520828139</v>
      </c>
      <c r="AG273" s="76">
        <f>IF(Entradas!$F$91&gt;0,IF(AF273-Escenarios!$F$38&lt;=0,0,IF(AF273-Escenarios!$F$38&gt;Escenarios!$F$37,Escenarios!$F$37,AF273-Escenarios!$F$38)),0)</f>
        <v>0</v>
      </c>
      <c r="AH273" s="76">
        <f>AG273*Entradas!$F$99</f>
        <v>0</v>
      </c>
      <c r="AI273" s="76">
        <f>IF(Entradas!$F$91&gt;0,D273*Entradas!$D$23/Escenarios!$F$16,0)</f>
        <v>0.19327576972613558</v>
      </c>
      <c r="AJ273" s="76">
        <f>IF(Entradas!$F$91&gt;0,Entradas!$D$24*Entradas!$D$22/Escenarios!$F$16,0)</f>
        <v>0.12</v>
      </c>
      <c r="AK273" s="76">
        <f t="shared" si="58"/>
        <v>1.7932758347694595</v>
      </c>
      <c r="AL273" s="76">
        <f t="shared" si="59"/>
        <v>0</v>
      </c>
      <c r="AM273" s="76">
        <f t="shared" si="60"/>
        <v>0</v>
      </c>
      <c r="AN273" s="76">
        <f>MAX(0,O273*Escenarios!$F$13/Escenarios!$F$16-AM273)</f>
        <v>1.1990412504376246E-2</v>
      </c>
      <c r="AO273" s="76">
        <f>AM273+AN273-O273*Escenarios!$F$13/Escenarios!$F$16</f>
        <v>0</v>
      </c>
      <c r="AP273" s="76">
        <f t="shared" si="61"/>
        <v>0.19500503270390515</v>
      </c>
      <c r="AQ273" s="76">
        <f t="shared" si="62"/>
        <v>0</v>
      </c>
      <c r="AR273" s="76">
        <f t="shared" si="63"/>
        <v>0.20699544520828139</v>
      </c>
      <c r="AS273" s="76">
        <f t="shared" si="64"/>
        <v>0</v>
      </c>
      <c r="AT273" s="76">
        <f t="shared" si="65"/>
        <v>0</v>
      </c>
      <c r="AU273" s="76">
        <f t="shared" si="66"/>
        <v>49.561597716825503</v>
      </c>
      <c r="AV273" s="76">
        <f>MAX(0,(AU273-Constantes!$D$13)*(1-EXP(-Constantes!$D$24)))</f>
        <v>1.2405471619529335E-2</v>
      </c>
      <c r="AW273" s="170">
        <f>AW272+(Entradas!$F$112*AT273-AX272)/(800*Entradas!$D$25)</f>
        <v>0</v>
      </c>
      <c r="AX273" s="170">
        <f>8000*Entradas!$D$26*AW273/Constantes!$F$45</f>
        <v>0</v>
      </c>
      <c r="AY273" s="170">
        <f>IF(Escenarios!$F$17&gt;0,10*Escenarios!$F$16*AL273,0)</f>
        <v>0</v>
      </c>
      <c r="AZ273" s="170">
        <f>IF(Escenarios!$F$17&gt;0,10*Escenarios!$F$16*AX273,0)</f>
        <v>0</v>
      </c>
      <c r="BA273" s="170">
        <f>IF(Escenarios!$F$17&gt;0,0.001*Observaciones!$F272*Escenarios!$F$17,0)</f>
        <v>0</v>
      </c>
      <c r="BB273" s="170">
        <f>IF(Escenarios!$F$17&gt;0,Observaciones!$K272,0)</f>
        <v>0</v>
      </c>
      <c r="BC273" s="170">
        <f>IF(Escenarios!$F$17&gt;0,MIN(0.0005*ETo!$M272*Escenarios!$F$17*(BG272/Constantes!$F$40)^(2/3),BG272+AY273+AZ273+BA273+BB273),0)</f>
        <v>0</v>
      </c>
      <c r="BD273" s="170">
        <f>IF(Escenarios!$F$17&gt;0,MIN(Constantes!$F$39*(BG272/Constantes!$F$40)^(2/3),BG272+AY273+AZ273+BA273+BB273-BC273),0)</f>
        <v>0</v>
      </c>
      <c r="BE273" s="170">
        <f>IF(Escenarios!$F$17&gt;0,MIN(Entradas!$F$113,BG272+AY273+AZ273+BA273+BB273-BC273-BD273),0)</f>
        <v>0</v>
      </c>
      <c r="BF273" s="170">
        <f>IF(Escenarios!$F$17&gt;0,MAX(0,BG272+AY273+AZ273+BA273+BB273-BC273-BD273-BE273-Constantes!$F$40),0)</f>
        <v>0</v>
      </c>
      <c r="BG273" s="170">
        <f t="shared" si="67"/>
        <v>0</v>
      </c>
      <c r="BH273" s="170">
        <f>(Escenarios!$F$16*AK273+0.1*BC273)/(Escenarios!$F$19)</f>
        <v>1.7932758347694595</v>
      </c>
      <c r="BI273" s="170">
        <f>IF(Escenarios!$F$17&gt;0,BF273/10/Escenarios!$F$19,AL273)</f>
        <v>0</v>
      </c>
      <c r="BJ273" s="170">
        <f>(Escenarios!$F$16*AT273+0.1*BD273)/(Escenarios!$F$19)</f>
        <v>0</v>
      </c>
      <c r="BK273" s="76">
        <f>BK272+(0.1*BD273)/(Escenarios!$F$19)-BL272</f>
        <v>48.75</v>
      </c>
      <c r="BL273" s="76">
        <f>MAX(0,(BK273-Constantes!$D$13)*(1-EXP(-Constantes!$D$23)))</f>
        <v>0</v>
      </c>
      <c r="BM273" s="76">
        <f t="shared" si="68"/>
        <v>0.2074105043234345</v>
      </c>
      <c r="BN273" s="76">
        <f t="shared" si="69"/>
        <v>0.21940091682781074</v>
      </c>
      <c r="BO273" s="76">
        <f>0.0526*BI273*Observaciones!$F272^1.218</f>
        <v>0</v>
      </c>
      <c r="BP273" s="76">
        <f>BO273*Constantes!$F$51</f>
        <v>0</v>
      </c>
      <c r="BQ273" s="76">
        <f t="shared" si="70"/>
        <v>0</v>
      </c>
      <c r="BR273" s="40"/>
    </row>
    <row r="274" spans="2:70">
      <c r="B274" s="39"/>
      <c r="C274" s="75">
        <v>268</v>
      </c>
      <c r="D274" s="146">
        <f>ETo!$I273*((1-Constantes!$F$19)*ETo!$K273+ETo!$L273)</f>
        <v>4.0358278937858101</v>
      </c>
      <c r="E274" s="76">
        <f>MIN(D274*Constantes!$F$17,0.8*(N273+Observaciones!$F273-F274-M274-Constantes!$D$14))</f>
        <v>2.3016800995125988</v>
      </c>
      <c r="F274" s="76">
        <f>IF(Observaciones!$F273&gt;0.05*Constantes!$F$18,((Observaciones!$F273-0.05*Constantes!$F$18)^2)/(Observaciones!$F273+0.95*Constantes!$F$18),0)</f>
        <v>0</v>
      </c>
      <c r="G274" s="76">
        <f>IF(Escenarios!$F$11&gt;0,(F274*Escenarios!$F$16*10000)/1000,0)</f>
        <v>0</v>
      </c>
      <c r="H274" s="76">
        <f>IF(Escenarios!$F$11&gt;0,(Observaciones!$F273*Constantes!$F$29)/1000,0)</f>
        <v>0</v>
      </c>
      <c r="I274" s="76">
        <f>IF(Escenarios!$F$11&gt;0,(D274*Constantes!$F$29)/1000,0)</f>
        <v>0</v>
      </c>
      <c r="J274" s="76">
        <f>IF(Escenarios!$F$11&gt;0,MAX(0,G274+H274-I274),0)</f>
        <v>0</v>
      </c>
      <c r="K274" s="76">
        <f>IF(Escenarios!$F$11&gt;0,IF(J274&gt;Constantes!$F$30,1000*((J274-Constantes!$F$30)/(Escenarios!$F$16*10000)),0),F274)</f>
        <v>0</v>
      </c>
      <c r="L274" s="76">
        <f>IF(Escenarios!$F$11&gt;0,I274*1000/Escenarios!$F$16/10000+E274,E274)</f>
        <v>2.3016800995125988</v>
      </c>
      <c r="M274" s="76">
        <f>MAX(0,N273+Observaciones!$F273-K274-Constantes!$D$13)</f>
        <v>0</v>
      </c>
      <c r="N274" s="76">
        <f>N273+Observaciones!$F273-K274-L274-M274-O273</f>
        <v>13.834694441270781</v>
      </c>
      <c r="O274" s="76">
        <f>MAX(0,(N274-Constantes!$D$14)*(1-EXP(-Constantes!$D$22)))</f>
        <v>8.8044181277227851E-2</v>
      </c>
      <c r="P274" s="170">
        <f>P273+(Entradas!$F$83*M274-Q273)/(800*Entradas!$D$25)</f>
        <v>0</v>
      </c>
      <c r="Q274" s="170">
        <f>8000*Entradas!$D$26*P274/Constantes!$F$45</f>
        <v>0</v>
      </c>
      <c r="R274" s="170">
        <f>IF(Escenarios!$F$14&gt;0,K274*Escenarios!$F$13/Escenarios!$F$14,0)</f>
        <v>0</v>
      </c>
      <c r="S274" s="170">
        <f>IF(Escenarios!$F$14&gt;0,Q274*Escenarios!$F$13/Escenarios!$F$14,0)</f>
        <v>0</v>
      </c>
      <c r="T274" s="170">
        <f>IF(Escenarios!$F$14&gt;0,Observaciones!$I273,0)</f>
        <v>0</v>
      </c>
      <c r="U274" s="170">
        <f>IF(Escenarios!$F$14&gt;0,MAX(0,Constantes!$F$36/((Z273+R274+S274+T274+Observaciones!$F273)^2)+Entradas!$F$77),0)</f>
        <v>0</v>
      </c>
      <c r="V274" s="146">
        <f>IF(ETo!D273&gt;0,ETo!I273*((1-Entradas!$F$81)*ETo!K273+ETo!L273),0)</f>
        <v>3.5758317916678783</v>
      </c>
      <c r="W274" s="170">
        <f>IF(Escenarios!$F$14&gt;0,MIN(V274*1,0.8*(Z273+R274+S274+T274+Observaciones!$F273-U274-Constantes!$F$35)),0)</f>
        <v>3.5758317916678783</v>
      </c>
      <c r="X274" s="170">
        <f>IF(Escenarios!$F$14&gt;0,Observaciones!$J273,0)</f>
        <v>0</v>
      </c>
      <c r="Y274" s="170">
        <f>IF(Escenarios!$F$14&gt;0,MAX(0,Z273+R274+S274+T274+Observaciones!$F273-U274-W274-X274-Constantes!$F$33),0)</f>
        <v>0</v>
      </c>
      <c r="Z274" s="170">
        <f>Z273+R274+S274+T274+Observaciones!$F273-U274-W274-Y274</f>
        <v>42.574168259532122</v>
      </c>
      <c r="AA274" s="170">
        <f>IF(Escenarios!$F$14&gt;0,(Escenarios!$F$13*L274+Escenarios!$F$14*W274)/(Escenarios!$F$16),L274)</f>
        <v>2.4545783025712322</v>
      </c>
      <c r="AB274" s="170">
        <f>IF(Escenarios!$F$14&gt;0,(Escenarios!$F$14*Y274)/(Escenarios!$F$16),K274)</f>
        <v>0</v>
      </c>
      <c r="AC274" s="170">
        <f>IF(Escenarios!$F$14&gt;0,(Escenarios!$F$13*M274+Escenarios!$F$14*U274)/(Escenarios!$F$16),M274)</f>
        <v>0</v>
      </c>
      <c r="AD274" s="76">
        <f t="shared" si="57"/>
        <v>68.345953950826924</v>
      </c>
      <c r="AE274" s="76">
        <f>MAX(0,(AD274-Constantes!$D$13)*(1-EXP(-Constantes!$D$23)))</f>
        <v>0.19308360167009345</v>
      </c>
      <c r="AF274" s="76">
        <f>AB274+O274*Escenarios!$F$13/Escenarios!$F$16+AE274</f>
        <v>0.27056248119405396</v>
      </c>
      <c r="AG274" s="76">
        <f>IF(Entradas!$F$91&gt;0,IF(AF274-Escenarios!$F$38&lt;=0,0,IF(AF274-Escenarios!$F$38&gt;Escenarios!$F$37,Escenarios!$F$37,AF274-Escenarios!$F$38)),0)</f>
        <v>0</v>
      </c>
      <c r="AH274" s="76">
        <f>AG274*Entradas!$F$99</f>
        <v>0</v>
      </c>
      <c r="AI274" s="76">
        <f>IF(Entradas!$F$91&gt;0,D274*Entradas!$D$23/Escenarios!$F$16,0)</f>
        <v>0.19371973890171887</v>
      </c>
      <c r="AJ274" s="76">
        <f>IF(Entradas!$F$91&gt;0,Entradas!$D$24*Entradas!$D$22/Escenarios!$F$16,0)</f>
        <v>0.12</v>
      </c>
      <c r="AK274" s="76">
        <f t="shared" si="58"/>
        <v>2.6482980414729509</v>
      </c>
      <c r="AL274" s="76">
        <f t="shared" si="59"/>
        <v>0</v>
      </c>
      <c r="AM274" s="76">
        <f t="shared" si="60"/>
        <v>0</v>
      </c>
      <c r="AN274" s="76">
        <f>MAX(0,O274*Escenarios!$F$13/Escenarios!$F$16-AM274)</f>
        <v>7.7478879523960514E-2</v>
      </c>
      <c r="AO274" s="76">
        <f>AM274+AN274-O274*Escenarios!$F$13/Escenarios!$F$16</f>
        <v>0</v>
      </c>
      <c r="AP274" s="76">
        <f t="shared" si="61"/>
        <v>0.19308360167009345</v>
      </c>
      <c r="AQ274" s="76">
        <f t="shared" si="62"/>
        <v>0</v>
      </c>
      <c r="AR274" s="76">
        <f t="shared" si="63"/>
        <v>0.27056248119405396</v>
      </c>
      <c r="AS274" s="76">
        <f t="shared" si="64"/>
        <v>0</v>
      </c>
      <c r="AT274" s="76">
        <f t="shared" si="65"/>
        <v>0</v>
      </c>
      <c r="AU274" s="76">
        <f t="shared" si="66"/>
        <v>49.549192245205973</v>
      </c>
      <c r="AV274" s="76">
        <f>MAX(0,(AU274-Constantes!$D$13)*(1-EXP(-Constantes!$D$24)))</f>
        <v>1.2215850920859913E-2</v>
      </c>
      <c r="AW274" s="170">
        <f>AW273+(Entradas!$F$112*AT274-AX273)/(800*Entradas!$D$25)</f>
        <v>0</v>
      </c>
      <c r="AX274" s="170">
        <f>8000*Entradas!$D$26*AW274/Constantes!$F$45</f>
        <v>0</v>
      </c>
      <c r="AY274" s="170">
        <f>IF(Escenarios!$F$17&gt;0,10*Escenarios!$F$16*AL274,0)</f>
        <v>0</v>
      </c>
      <c r="AZ274" s="170">
        <f>IF(Escenarios!$F$17&gt;0,10*Escenarios!$F$16*AX274,0)</f>
        <v>0</v>
      </c>
      <c r="BA274" s="170">
        <f>IF(Escenarios!$F$17&gt;0,0.001*Observaciones!$F273*Escenarios!$F$17,0)</f>
        <v>0</v>
      </c>
      <c r="BB274" s="170">
        <f>IF(Escenarios!$F$17&gt;0,Observaciones!$K273,0)</f>
        <v>0</v>
      </c>
      <c r="BC274" s="170">
        <f>IF(Escenarios!$F$17&gt;0,MIN(0.0005*ETo!$M273*Escenarios!$F$17*(BG273/Constantes!$F$40)^(2/3),BG273+AY274+AZ274+BA274+BB274),0)</f>
        <v>0</v>
      </c>
      <c r="BD274" s="170">
        <f>IF(Escenarios!$F$17&gt;0,MIN(Constantes!$F$39*(BG273/Constantes!$F$40)^(2/3),BG273+AY274+AZ274+BA274+BB274-BC274),0)</f>
        <v>0</v>
      </c>
      <c r="BE274" s="170">
        <f>IF(Escenarios!$F$17&gt;0,MIN(Entradas!$F$113,BG273+AY274+AZ274+BA274+BB274-BC274-BD274),0)</f>
        <v>0</v>
      </c>
      <c r="BF274" s="170">
        <f>IF(Escenarios!$F$17&gt;0,MAX(0,BG273+AY274+AZ274+BA274+BB274-BC274-BD274-BE274-Constantes!$F$40),0)</f>
        <v>0</v>
      </c>
      <c r="BG274" s="170">
        <f t="shared" si="67"/>
        <v>0</v>
      </c>
      <c r="BH274" s="170">
        <f>(Escenarios!$F$16*AK274+0.1*BC274)/(Escenarios!$F$19)</f>
        <v>2.6482980414729509</v>
      </c>
      <c r="BI274" s="170">
        <f>IF(Escenarios!$F$17&gt;0,BF274/10/Escenarios!$F$19,AL274)</f>
        <v>0</v>
      </c>
      <c r="BJ274" s="170">
        <f>(Escenarios!$F$16*AT274+0.1*BD274)/(Escenarios!$F$19)</f>
        <v>0</v>
      </c>
      <c r="BK274" s="76">
        <f>BK273+(0.1*BD274)/(Escenarios!$F$19)-BL273</f>
        <v>48.75</v>
      </c>
      <c r="BL274" s="76">
        <f>MAX(0,(BK274-Constantes!$D$13)*(1-EXP(-Constantes!$D$23)))</f>
        <v>0</v>
      </c>
      <c r="BM274" s="76">
        <f t="shared" si="68"/>
        <v>0.20529945259095336</v>
      </c>
      <c r="BN274" s="76">
        <f t="shared" si="69"/>
        <v>0.28277833211491388</v>
      </c>
      <c r="BO274" s="76">
        <f>0.0526*BI274*Observaciones!$F273^1.218</f>
        <v>0</v>
      </c>
      <c r="BP274" s="76">
        <f>BO274*Constantes!$F$51</f>
        <v>0</v>
      </c>
      <c r="BQ274" s="76">
        <f t="shared" si="70"/>
        <v>0</v>
      </c>
      <c r="BR274" s="40"/>
    </row>
    <row r="275" spans="2:70">
      <c r="B275" s="39"/>
      <c r="C275" s="75">
        <v>269</v>
      </c>
      <c r="D275" s="146">
        <f>ETo!$I274*((1-Constantes!$F$19)*ETo!$K274+ETo!$L274)</f>
        <v>4.0144510277944123</v>
      </c>
      <c r="E275" s="76">
        <f>MIN(D275*Constantes!$F$17,0.8*(N274+Observaciones!$F274-F275-M275-Constantes!$D$14))</f>
        <v>2.0677555530166245</v>
      </c>
      <c r="F275" s="76">
        <f>IF(Observaciones!$F274&gt;0.05*Constantes!$F$18,((Observaciones!$F274-0.05*Constantes!$F$18)^2)/(Observaciones!$F274+0.95*Constantes!$F$18),0)</f>
        <v>0</v>
      </c>
      <c r="G275" s="76">
        <f>IF(Escenarios!$F$11&gt;0,(F275*Escenarios!$F$16*10000)/1000,0)</f>
        <v>0</v>
      </c>
      <c r="H275" s="76">
        <f>IF(Escenarios!$F$11&gt;0,(Observaciones!$F274*Constantes!$F$29)/1000,0)</f>
        <v>0</v>
      </c>
      <c r="I275" s="76">
        <f>IF(Escenarios!$F$11&gt;0,(D275*Constantes!$F$29)/1000,0)</f>
        <v>0</v>
      </c>
      <c r="J275" s="76">
        <f>IF(Escenarios!$F$11&gt;0,MAX(0,G275+H275-I275),0)</f>
        <v>0</v>
      </c>
      <c r="K275" s="76">
        <f>IF(Escenarios!$F$11&gt;0,IF(J275&gt;Constantes!$F$30,1000*((J275-Constantes!$F$30)/(Escenarios!$F$16*10000)),0),F275)</f>
        <v>0</v>
      </c>
      <c r="L275" s="76">
        <f>IF(Escenarios!$F$11&gt;0,I275*1000/Escenarios!$F$16/10000+E275,E275)</f>
        <v>2.0677555530166245</v>
      </c>
      <c r="M275" s="76">
        <f>MAX(0,N274+Observaciones!$F274-K275-Constantes!$D$13)</f>
        <v>0</v>
      </c>
      <c r="N275" s="76">
        <f>N274+Observaciones!$F274-K275-L275-M275-O274</f>
        <v>11.678894706976928</v>
      </c>
      <c r="O275" s="76">
        <f>MAX(0,(N275-Constantes!$D$14)*(1-EXP(-Constantes!$D$22)))</f>
        <v>1.4609728224336812E-2</v>
      </c>
      <c r="P275" s="170">
        <f>P274+(Entradas!$F$83*M275-Q274)/(800*Entradas!$D$25)</f>
        <v>0</v>
      </c>
      <c r="Q275" s="170">
        <f>8000*Entradas!$D$26*P275/Constantes!$F$45</f>
        <v>0</v>
      </c>
      <c r="R275" s="170">
        <f>IF(Escenarios!$F$14&gt;0,K275*Escenarios!$F$13/Escenarios!$F$14,0)</f>
        <v>0</v>
      </c>
      <c r="S275" s="170">
        <f>IF(Escenarios!$F$14&gt;0,Q275*Escenarios!$F$13/Escenarios!$F$14,0)</f>
        <v>0</v>
      </c>
      <c r="T275" s="170">
        <f>IF(Escenarios!$F$14&gt;0,Observaciones!$I274,0)</f>
        <v>0</v>
      </c>
      <c r="U275" s="170">
        <f>IF(Escenarios!$F$14&gt;0,MAX(0,Constantes!$F$36/((Z274+R275+S275+T275+Observaciones!$F274)^2)+Entradas!$F$77),0)</f>
        <v>0</v>
      </c>
      <c r="V275" s="146">
        <f>IF(ETo!D274&gt;0,ETo!I274*((1-Entradas!$F$81)*ETo!K274+ETo!L274),0)</f>
        <v>3.5568946512798423</v>
      </c>
      <c r="W275" s="170">
        <f>IF(Escenarios!$F$14&gt;0,MIN(V275*1,0.8*(Z274+R275+S275+T275+Observaciones!$F274-U275-Constantes!$F$35)),0)</f>
        <v>1.0593346076256978</v>
      </c>
      <c r="X275" s="170">
        <f>IF(Escenarios!$F$14&gt;0,Observaciones!$J274,0)</f>
        <v>0</v>
      </c>
      <c r="Y275" s="170">
        <f>IF(Escenarios!$F$14&gt;0,MAX(0,Z274+R275+S275+T275+Observaciones!$F274-U275-W275-X275-Constantes!$F$33),0)</f>
        <v>0</v>
      </c>
      <c r="Z275" s="170">
        <f>Z274+R275+S275+T275+Observaciones!$F274-U275-W275-Y275</f>
        <v>41.514833651906422</v>
      </c>
      <c r="AA275" s="170">
        <f>IF(Escenarios!$F$14&gt;0,(Escenarios!$F$13*L275+Escenarios!$F$14*W275)/(Escenarios!$F$16),L275)</f>
        <v>1.9467450395697132</v>
      </c>
      <c r="AB275" s="170">
        <f>IF(Escenarios!$F$14&gt;0,(Escenarios!$F$14*Y275)/(Escenarios!$F$16),K275)</f>
        <v>0</v>
      </c>
      <c r="AC275" s="170">
        <f>IF(Escenarios!$F$14&gt;0,(Escenarios!$F$13*M275+Escenarios!$F$14*U275)/(Escenarios!$F$16),M275)</f>
        <v>0</v>
      </c>
      <c r="AD275" s="76">
        <f t="shared" si="57"/>
        <v>68.152870349156828</v>
      </c>
      <c r="AE275" s="76">
        <f>MAX(0,(AD275-Constantes!$D$13)*(1-EXP(-Constantes!$D$23)))</f>
        <v>0.19118110295390706</v>
      </c>
      <c r="AF275" s="76">
        <f>AB275+O275*Escenarios!$F$13/Escenarios!$F$16+AE275</f>
        <v>0.20403766379132346</v>
      </c>
      <c r="AG275" s="76">
        <f>IF(Entradas!$F$91&gt;0,IF(AF275-Escenarios!$F$38&lt;=0,0,IF(AF275-Escenarios!$F$38&gt;Escenarios!$F$37,Escenarios!$F$37,AF275-Escenarios!$F$38)),0)</f>
        <v>0</v>
      </c>
      <c r="AH275" s="76">
        <f>AG275*Entradas!$F$99</f>
        <v>0</v>
      </c>
      <c r="AI275" s="76">
        <f>IF(Entradas!$F$91&gt;0,D275*Entradas!$D$23/Escenarios!$F$16,0)</f>
        <v>0.1926936493341318</v>
      </c>
      <c r="AJ275" s="76">
        <f>IF(Entradas!$F$91&gt;0,Entradas!$D$24*Entradas!$D$22/Escenarios!$F$16,0)</f>
        <v>0.12</v>
      </c>
      <c r="AK275" s="76">
        <f t="shared" si="58"/>
        <v>2.1394386889038453</v>
      </c>
      <c r="AL275" s="76">
        <f t="shared" si="59"/>
        <v>0</v>
      </c>
      <c r="AM275" s="76">
        <f t="shared" si="60"/>
        <v>0</v>
      </c>
      <c r="AN275" s="76">
        <f>MAX(0,O275*Escenarios!$F$13/Escenarios!$F$16-AM275)</f>
        <v>1.2856560837416394E-2</v>
      </c>
      <c r="AO275" s="76">
        <f>AM275+AN275-O275*Escenarios!$F$13/Escenarios!$F$16</f>
        <v>0</v>
      </c>
      <c r="AP275" s="76">
        <f t="shared" si="61"/>
        <v>0.19118110295390706</v>
      </c>
      <c r="AQ275" s="76">
        <f t="shared" si="62"/>
        <v>0</v>
      </c>
      <c r="AR275" s="76">
        <f t="shared" si="63"/>
        <v>0.20403766379132346</v>
      </c>
      <c r="AS275" s="76">
        <f t="shared" si="64"/>
        <v>0</v>
      </c>
      <c r="AT275" s="76">
        <f t="shared" si="65"/>
        <v>0</v>
      </c>
      <c r="AU275" s="76">
        <f t="shared" si="66"/>
        <v>49.536976394285112</v>
      </c>
      <c r="AV275" s="76">
        <f>MAX(0,(AU275-Constantes!$D$13)*(1-EXP(-Constantes!$D$24)))</f>
        <v>1.2029128621418406E-2</v>
      </c>
      <c r="AW275" s="170">
        <f>AW274+(Entradas!$F$112*AT275-AX274)/(800*Entradas!$D$25)</f>
        <v>0</v>
      </c>
      <c r="AX275" s="170">
        <f>8000*Entradas!$D$26*AW275/Constantes!$F$45</f>
        <v>0</v>
      </c>
      <c r="AY275" s="170">
        <f>IF(Escenarios!$F$17&gt;0,10*Escenarios!$F$16*AL275,0)</f>
        <v>0</v>
      </c>
      <c r="AZ275" s="170">
        <f>IF(Escenarios!$F$17&gt;0,10*Escenarios!$F$16*AX275,0)</f>
        <v>0</v>
      </c>
      <c r="BA275" s="170">
        <f>IF(Escenarios!$F$17&gt;0,0.001*Observaciones!$F274*Escenarios!$F$17,0)</f>
        <v>0</v>
      </c>
      <c r="BB275" s="170">
        <f>IF(Escenarios!$F$17&gt;0,Observaciones!$K274,0)</f>
        <v>0</v>
      </c>
      <c r="BC275" s="170">
        <f>IF(Escenarios!$F$17&gt;0,MIN(0.0005*ETo!$M274*Escenarios!$F$17*(BG274/Constantes!$F$40)^(2/3),BG274+AY275+AZ275+BA275+BB275),0)</f>
        <v>0</v>
      </c>
      <c r="BD275" s="170">
        <f>IF(Escenarios!$F$17&gt;0,MIN(Constantes!$F$39*(BG274/Constantes!$F$40)^(2/3),BG274+AY275+AZ275+BA275+BB275-BC275),0)</f>
        <v>0</v>
      </c>
      <c r="BE275" s="170">
        <f>IF(Escenarios!$F$17&gt;0,MIN(Entradas!$F$113,BG274+AY275+AZ275+BA275+BB275-BC275-BD275),0)</f>
        <v>0</v>
      </c>
      <c r="BF275" s="170">
        <f>IF(Escenarios!$F$17&gt;0,MAX(0,BG274+AY275+AZ275+BA275+BB275-BC275-BD275-BE275-Constantes!$F$40),0)</f>
        <v>0</v>
      </c>
      <c r="BG275" s="170">
        <f t="shared" si="67"/>
        <v>0</v>
      </c>
      <c r="BH275" s="170">
        <f>(Escenarios!$F$16*AK275+0.1*BC275)/(Escenarios!$F$19)</f>
        <v>2.1394386889038453</v>
      </c>
      <c r="BI275" s="170">
        <f>IF(Escenarios!$F$17&gt;0,BF275/10/Escenarios!$F$19,AL275)</f>
        <v>0</v>
      </c>
      <c r="BJ275" s="170">
        <f>(Escenarios!$F$16*AT275+0.1*BD275)/(Escenarios!$F$19)</f>
        <v>0</v>
      </c>
      <c r="BK275" s="76">
        <f>BK274+(0.1*BD275)/(Escenarios!$F$19)-BL274</f>
        <v>48.75</v>
      </c>
      <c r="BL275" s="76">
        <f>MAX(0,(BK275-Constantes!$D$13)*(1-EXP(-Constantes!$D$23)))</f>
        <v>0</v>
      </c>
      <c r="BM275" s="76">
        <f t="shared" si="68"/>
        <v>0.20321023157532547</v>
      </c>
      <c r="BN275" s="76">
        <f t="shared" si="69"/>
        <v>0.21606679241274188</v>
      </c>
      <c r="BO275" s="76">
        <f>0.0526*BI275*Observaciones!$F274^1.218</f>
        <v>0</v>
      </c>
      <c r="BP275" s="76">
        <f>BO275*Constantes!$F$51</f>
        <v>0</v>
      </c>
      <c r="BQ275" s="76">
        <f t="shared" si="70"/>
        <v>0</v>
      </c>
      <c r="BR275" s="40"/>
    </row>
    <row r="276" spans="2:70">
      <c r="B276" s="39"/>
      <c r="C276" s="75">
        <v>270</v>
      </c>
      <c r="D276" s="146">
        <f>ETo!$I275*((1-Constantes!$F$19)*ETo!$K275+ETo!$L275)</f>
        <v>3.9665160247363795</v>
      </c>
      <c r="E276" s="76">
        <f>MIN(D276*Constantes!$F$17,0.8*(N275+Observaciones!$F275-F276-M276-Constantes!$D$14))</f>
        <v>0.34311576558154261</v>
      </c>
      <c r="F276" s="76">
        <f>IF(Observaciones!$F275&gt;0.05*Constantes!$F$18,((Observaciones!$F275-0.05*Constantes!$F$18)^2)/(Observaciones!$F275+0.95*Constantes!$F$18),0)</f>
        <v>0</v>
      </c>
      <c r="G276" s="76">
        <f>IF(Escenarios!$F$11&gt;0,(F276*Escenarios!$F$16*10000)/1000,0)</f>
        <v>0</v>
      </c>
      <c r="H276" s="76">
        <f>IF(Escenarios!$F$11&gt;0,(Observaciones!$F275*Constantes!$F$29)/1000,0)</f>
        <v>0</v>
      </c>
      <c r="I276" s="76">
        <f>IF(Escenarios!$F$11&gt;0,(D276*Constantes!$F$29)/1000,0)</f>
        <v>0</v>
      </c>
      <c r="J276" s="76">
        <f>IF(Escenarios!$F$11&gt;0,MAX(0,G276+H276-I276),0)</f>
        <v>0</v>
      </c>
      <c r="K276" s="76">
        <f>IF(Escenarios!$F$11&gt;0,IF(J276&gt;Constantes!$F$30,1000*((J276-Constantes!$F$30)/(Escenarios!$F$16*10000)),0),F276)</f>
        <v>0</v>
      </c>
      <c r="L276" s="76">
        <f>IF(Escenarios!$F$11&gt;0,I276*1000/Escenarios!$F$16/10000+E276,E276)</f>
        <v>0.34311576558154261</v>
      </c>
      <c r="M276" s="76">
        <f>MAX(0,N275+Observaciones!$F275-K276-Constantes!$D$13)</f>
        <v>0</v>
      </c>
      <c r="N276" s="76">
        <f>N275+Observaciones!$F275-K276-L276-M276-O275</f>
        <v>11.32116921317105</v>
      </c>
      <c r="O276" s="76">
        <f>MAX(0,(N276-Constantes!$D$14)*(1-EXP(-Constantes!$D$22)))</f>
        <v>2.4242846681361923E-3</v>
      </c>
      <c r="P276" s="170">
        <f>P275+(Entradas!$F$83*M276-Q275)/(800*Entradas!$D$25)</f>
        <v>0</v>
      </c>
      <c r="Q276" s="170">
        <f>8000*Entradas!$D$26*P276/Constantes!$F$45</f>
        <v>0</v>
      </c>
      <c r="R276" s="170">
        <f>IF(Escenarios!$F$14&gt;0,K276*Escenarios!$F$13/Escenarios!$F$14,0)</f>
        <v>0</v>
      </c>
      <c r="S276" s="170">
        <f>IF(Escenarios!$F$14&gt;0,Q276*Escenarios!$F$13/Escenarios!$F$14,0)</f>
        <v>0</v>
      </c>
      <c r="T276" s="170">
        <f>IF(Escenarios!$F$14&gt;0,Observaciones!$I275,0)</f>
        <v>0</v>
      </c>
      <c r="U276" s="170">
        <f>IF(Escenarios!$F$14&gt;0,MAX(0,Constantes!$F$36/((Z275+R276+S276+T276+Observaciones!$F275)^2)+Entradas!$F$77),0)</f>
        <v>0</v>
      </c>
      <c r="V276" s="146">
        <f>IF(ETo!D275&gt;0,ETo!I275*((1-Entradas!$F$81)*ETo!K275+ETo!L275),0)</f>
        <v>3.5141861047235321</v>
      </c>
      <c r="W276" s="170">
        <f>IF(Escenarios!$F$14&gt;0,MIN(V276*1,0.8*(Z275+R276+S276+T276+Observaciones!$F275-U276-Constantes!$F$35)),0)</f>
        <v>0.21186692152513731</v>
      </c>
      <c r="X276" s="170">
        <f>IF(Escenarios!$F$14&gt;0,Observaciones!$J275,0)</f>
        <v>0</v>
      </c>
      <c r="Y276" s="170">
        <f>IF(Escenarios!$F$14&gt;0,MAX(0,Z275+R276+S276+T276+Observaciones!$F275-U276-W276-X276-Constantes!$F$33),0)</f>
        <v>0</v>
      </c>
      <c r="Z276" s="170">
        <f>Z275+R276+S276+T276+Observaciones!$F275-U276-W276-Y276</f>
        <v>41.302966730381286</v>
      </c>
      <c r="AA276" s="170">
        <f>IF(Escenarios!$F$14&gt;0,(Escenarios!$F$13*L276+Escenarios!$F$14*W276)/(Escenarios!$F$16),L276)</f>
        <v>0.32736590429477402</v>
      </c>
      <c r="AB276" s="170">
        <f>IF(Escenarios!$F$14&gt;0,(Escenarios!$F$14*Y276)/(Escenarios!$F$16),K276)</f>
        <v>0</v>
      </c>
      <c r="AC276" s="170">
        <f>IF(Escenarios!$F$14&gt;0,(Escenarios!$F$13*M276+Escenarios!$F$14*U276)/(Escenarios!$F$16),M276)</f>
        <v>0</v>
      </c>
      <c r="AD276" s="76">
        <f t="shared" si="57"/>
        <v>67.961689246202923</v>
      </c>
      <c r="AE276" s="76">
        <f>MAX(0,(AD276-Constantes!$D$13)*(1-EXP(-Constantes!$D$23)))</f>
        <v>0.18929735001071119</v>
      </c>
      <c r="AF276" s="76">
        <f>AB276+O276*Escenarios!$F$13/Escenarios!$F$16+AE276</f>
        <v>0.19143072051867102</v>
      </c>
      <c r="AG276" s="76">
        <f>IF(Entradas!$F$91&gt;0,IF(AF276-Escenarios!$F$38&lt;=0,0,IF(AF276-Escenarios!$F$38&gt;Escenarios!$F$37,Escenarios!$F$37,AF276-Escenarios!$F$38)),0)</f>
        <v>0</v>
      </c>
      <c r="AH276" s="76">
        <f>AG276*Entradas!$F$99</f>
        <v>0</v>
      </c>
      <c r="AI276" s="76">
        <f>IF(Entradas!$F$91&gt;0,D276*Entradas!$D$23/Escenarios!$F$16,0)</f>
        <v>0.19039276918734624</v>
      </c>
      <c r="AJ276" s="76">
        <f>IF(Entradas!$F$91&gt;0,Entradas!$D$24*Entradas!$D$22/Escenarios!$F$16,0)</f>
        <v>0.12</v>
      </c>
      <c r="AK276" s="76">
        <f t="shared" si="58"/>
        <v>0.51775867348212024</v>
      </c>
      <c r="AL276" s="76">
        <f t="shared" si="59"/>
        <v>0</v>
      </c>
      <c r="AM276" s="76">
        <f t="shared" si="60"/>
        <v>0</v>
      </c>
      <c r="AN276" s="76">
        <f>MAX(0,O276*Escenarios!$F$13/Escenarios!$F$16-AM276)</f>
        <v>2.133370507959849E-3</v>
      </c>
      <c r="AO276" s="76">
        <f>AM276+AN276-O276*Escenarios!$F$13/Escenarios!$F$16</f>
        <v>0</v>
      </c>
      <c r="AP276" s="76">
        <f t="shared" si="61"/>
        <v>0.18929735001071119</v>
      </c>
      <c r="AQ276" s="76">
        <f t="shared" si="62"/>
        <v>0</v>
      </c>
      <c r="AR276" s="76">
        <f t="shared" si="63"/>
        <v>0.19143072051867102</v>
      </c>
      <c r="AS276" s="76">
        <f t="shared" si="64"/>
        <v>0</v>
      </c>
      <c r="AT276" s="76">
        <f t="shared" si="65"/>
        <v>0</v>
      </c>
      <c r="AU276" s="76">
        <f t="shared" si="66"/>
        <v>49.524947265663691</v>
      </c>
      <c r="AV276" s="76">
        <f>MAX(0,(AU276-Constantes!$D$13)*(1-EXP(-Constantes!$D$24)))</f>
        <v>1.1845260418456479E-2</v>
      </c>
      <c r="AW276" s="170">
        <f>AW275+(Entradas!$F$112*AT276-AX275)/(800*Entradas!$D$25)</f>
        <v>0</v>
      </c>
      <c r="AX276" s="170">
        <f>8000*Entradas!$D$26*AW276/Constantes!$F$45</f>
        <v>0</v>
      </c>
      <c r="AY276" s="170">
        <f>IF(Escenarios!$F$17&gt;0,10*Escenarios!$F$16*AL276,0)</f>
        <v>0</v>
      </c>
      <c r="AZ276" s="170">
        <f>IF(Escenarios!$F$17&gt;0,10*Escenarios!$F$16*AX276,0)</f>
        <v>0</v>
      </c>
      <c r="BA276" s="170">
        <f>IF(Escenarios!$F$17&gt;0,0.001*Observaciones!$F275*Escenarios!$F$17,0)</f>
        <v>0</v>
      </c>
      <c r="BB276" s="170">
        <f>IF(Escenarios!$F$17&gt;0,Observaciones!$K275,0)</f>
        <v>0</v>
      </c>
      <c r="BC276" s="170">
        <f>IF(Escenarios!$F$17&gt;0,MIN(0.0005*ETo!$M275*Escenarios!$F$17*(BG275/Constantes!$F$40)^(2/3),BG275+AY276+AZ276+BA276+BB276),0)</f>
        <v>0</v>
      </c>
      <c r="BD276" s="170">
        <f>IF(Escenarios!$F$17&gt;0,MIN(Constantes!$F$39*(BG275/Constantes!$F$40)^(2/3),BG275+AY276+AZ276+BA276+BB276-BC276),0)</f>
        <v>0</v>
      </c>
      <c r="BE276" s="170">
        <f>IF(Escenarios!$F$17&gt;0,MIN(Entradas!$F$113,BG275+AY276+AZ276+BA276+BB276-BC276-BD276),0)</f>
        <v>0</v>
      </c>
      <c r="BF276" s="170">
        <f>IF(Escenarios!$F$17&gt;0,MAX(0,BG275+AY276+AZ276+BA276+BB276-BC276-BD276-BE276-Constantes!$F$40),0)</f>
        <v>0</v>
      </c>
      <c r="BG276" s="170">
        <f t="shared" si="67"/>
        <v>0</v>
      </c>
      <c r="BH276" s="170">
        <f>(Escenarios!$F$16*AK276+0.1*BC276)/(Escenarios!$F$19)</f>
        <v>0.51775867348212024</v>
      </c>
      <c r="BI276" s="170">
        <f>IF(Escenarios!$F$17&gt;0,BF276/10/Escenarios!$F$19,AL276)</f>
        <v>0</v>
      </c>
      <c r="BJ276" s="170">
        <f>(Escenarios!$F$16*AT276+0.1*BD276)/(Escenarios!$F$19)</f>
        <v>0</v>
      </c>
      <c r="BK276" s="76">
        <f>BK275+(0.1*BD276)/(Escenarios!$F$19)-BL275</f>
        <v>48.75</v>
      </c>
      <c r="BL276" s="76">
        <f>MAX(0,(BK276-Constantes!$D$13)*(1-EXP(-Constantes!$D$23)))</f>
        <v>0</v>
      </c>
      <c r="BM276" s="76">
        <f t="shared" si="68"/>
        <v>0.20114261042916767</v>
      </c>
      <c r="BN276" s="76">
        <f t="shared" si="69"/>
        <v>0.20327598093712751</v>
      </c>
      <c r="BO276" s="76">
        <f>0.0526*BI276*Observaciones!$F275^1.218</f>
        <v>0</v>
      </c>
      <c r="BP276" s="76">
        <f>BO276*Constantes!$F$51</f>
        <v>0</v>
      </c>
      <c r="BQ276" s="76">
        <f t="shared" si="70"/>
        <v>0</v>
      </c>
      <c r="BR276" s="40"/>
    </row>
    <row r="277" spans="2:70">
      <c r="B277" s="39"/>
      <c r="C277" s="75">
        <v>271</v>
      </c>
      <c r="D277" s="146">
        <f>ETo!$I276*((1-Constantes!$F$19)*ETo!$K276+ETo!$L276)</f>
        <v>4.0531003798156426</v>
      </c>
      <c r="E277" s="76">
        <f>MIN(D277*Constantes!$F$17,0.8*(N276+Observaciones!$F276-F277-M277-Constantes!$D$14))</f>
        <v>5.6935370536839974E-2</v>
      </c>
      <c r="F277" s="76">
        <f>IF(Observaciones!$F276&gt;0.05*Constantes!$F$18,((Observaciones!$F276-0.05*Constantes!$F$18)^2)/(Observaciones!$F276+0.95*Constantes!$F$18),0)</f>
        <v>0</v>
      </c>
      <c r="G277" s="76">
        <f>IF(Escenarios!$F$11&gt;0,(F277*Escenarios!$F$16*10000)/1000,0)</f>
        <v>0</v>
      </c>
      <c r="H277" s="76">
        <f>IF(Escenarios!$F$11&gt;0,(Observaciones!$F276*Constantes!$F$29)/1000,0)</f>
        <v>0</v>
      </c>
      <c r="I277" s="76">
        <f>IF(Escenarios!$F$11&gt;0,(D277*Constantes!$F$29)/1000,0)</f>
        <v>0</v>
      </c>
      <c r="J277" s="76">
        <f>IF(Escenarios!$F$11&gt;0,MAX(0,G277+H277-I277),0)</f>
        <v>0</v>
      </c>
      <c r="K277" s="76">
        <f>IF(Escenarios!$F$11&gt;0,IF(J277&gt;Constantes!$F$30,1000*((J277-Constantes!$F$30)/(Escenarios!$F$16*10000)),0),F277)</f>
        <v>0</v>
      </c>
      <c r="L277" s="76">
        <f>IF(Escenarios!$F$11&gt;0,I277*1000/Escenarios!$F$16/10000+E277,E277)</f>
        <v>5.6935370536839974E-2</v>
      </c>
      <c r="M277" s="76">
        <f>MAX(0,N276+Observaciones!$F276-K277-Constantes!$D$13)</f>
        <v>0</v>
      </c>
      <c r="N277" s="76">
        <f>N276+Observaciones!$F276-K277-L277-M277-O276</f>
        <v>11.261809557966075</v>
      </c>
      <c r="O277" s="76">
        <f>MAX(0,(N277-Constantes!$D$14)*(1-EXP(-Constantes!$D$22)))</f>
        <v>4.0227689809933581E-4</v>
      </c>
      <c r="P277" s="170">
        <f>P276+(Entradas!$F$83*M277-Q276)/(800*Entradas!$D$25)</f>
        <v>0</v>
      </c>
      <c r="Q277" s="170">
        <f>8000*Entradas!$D$26*P277/Constantes!$F$45</f>
        <v>0</v>
      </c>
      <c r="R277" s="170">
        <f>IF(Escenarios!$F$14&gt;0,K277*Escenarios!$F$13/Escenarios!$F$14,0)</f>
        <v>0</v>
      </c>
      <c r="S277" s="170">
        <f>IF(Escenarios!$F$14&gt;0,Q277*Escenarios!$F$13/Escenarios!$F$14,0)</f>
        <v>0</v>
      </c>
      <c r="T277" s="170">
        <f>IF(Escenarios!$F$14&gt;0,Observaciones!$I276,0)</f>
        <v>0</v>
      </c>
      <c r="U277" s="170">
        <f>IF(Escenarios!$F$14&gt;0,MAX(0,Constantes!$F$36/((Z276+R277+S277+T277+Observaciones!$F276)^2)+Entradas!$F$77),0)</f>
        <v>0</v>
      </c>
      <c r="V277" s="146">
        <f>IF(ETo!D276&gt;0,ETo!I276*((1-Entradas!$F$81)*ETo!K276+ETo!L276),0)</f>
        <v>3.5920891164955502</v>
      </c>
      <c r="W277" s="170">
        <f>IF(Escenarios!$F$14&gt;0,MIN(V277*1,0.8*(Z276+R277+S277+T277+Observaciones!$F276-U277-Constantes!$F$35)),0)</f>
        <v>4.23733843050286E-2</v>
      </c>
      <c r="X277" s="170">
        <f>IF(Escenarios!$F$14&gt;0,Observaciones!$J276,0)</f>
        <v>0</v>
      </c>
      <c r="Y277" s="170">
        <f>IF(Escenarios!$F$14&gt;0,MAX(0,Z276+R277+S277+T277+Observaciones!$F276-U277-W277-X277-Constantes!$F$33),0)</f>
        <v>0</v>
      </c>
      <c r="Z277" s="170">
        <f>Z276+R277+S277+T277+Observaciones!$F276-U277-W277-Y277</f>
        <v>41.260593346076256</v>
      </c>
      <c r="AA277" s="170">
        <f>IF(Escenarios!$F$14&gt;0,(Escenarios!$F$13*L277+Escenarios!$F$14*W277)/(Escenarios!$F$16),L277)</f>
        <v>5.5187932189022612E-2</v>
      </c>
      <c r="AB277" s="170">
        <f>IF(Escenarios!$F$14&gt;0,(Escenarios!$F$14*Y277)/(Escenarios!$F$16),K277)</f>
        <v>0</v>
      </c>
      <c r="AC277" s="170">
        <f>IF(Escenarios!$F$14&gt;0,(Escenarios!$F$13*M277+Escenarios!$F$14*U277)/(Escenarios!$F$16),M277)</f>
        <v>0</v>
      </c>
      <c r="AD277" s="76">
        <f t="shared" si="57"/>
        <v>67.772391896192218</v>
      </c>
      <c r="AE277" s="76">
        <f>MAX(0,(AD277-Constantes!$D$13)*(1-EXP(-Constantes!$D$23)))</f>
        <v>0.18743215813393968</v>
      </c>
      <c r="AF277" s="76">
        <f>AB277+O277*Escenarios!$F$13/Escenarios!$F$16+AE277</f>
        <v>0.1877861618042671</v>
      </c>
      <c r="AG277" s="76">
        <f>IF(Entradas!$F$91&gt;0,IF(AF277-Escenarios!$F$38&lt;=0,0,IF(AF277-Escenarios!$F$38&gt;Escenarios!$F$37,Escenarios!$F$37,AF277-Escenarios!$F$38)),0)</f>
        <v>0</v>
      </c>
      <c r="AH277" s="76">
        <f>AG277*Entradas!$F$99</f>
        <v>0</v>
      </c>
      <c r="AI277" s="76">
        <f>IF(Entradas!$F$91&gt;0,D277*Entradas!$D$23/Escenarios!$F$16,0)</f>
        <v>0.19454881823115083</v>
      </c>
      <c r="AJ277" s="76">
        <f>IF(Entradas!$F$91&gt;0,Entradas!$D$24*Entradas!$D$22/Escenarios!$F$16,0)</f>
        <v>0.12</v>
      </c>
      <c r="AK277" s="76">
        <f t="shared" si="58"/>
        <v>0.24973675042017346</v>
      </c>
      <c r="AL277" s="76">
        <f t="shared" si="59"/>
        <v>0</v>
      </c>
      <c r="AM277" s="76">
        <f t="shared" si="60"/>
        <v>0</v>
      </c>
      <c r="AN277" s="76">
        <f>MAX(0,O277*Escenarios!$F$13/Escenarios!$F$16-AM277)</f>
        <v>3.5400367032741552E-4</v>
      </c>
      <c r="AO277" s="76">
        <f>AM277+AN277-O277*Escenarios!$F$13/Escenarios!$F$16</f>
        <v>0</v>
      </c>
      <c r="AP277" s="76">
        <f t="shared" si="61"/>
        <v>0.18743215813393968</v>
      </c>
      <c r="AQ277" s="76">
        <f t="shared" si="62"/>
        <v>0</v>
      </c>
      <c r="AR277" s="76">
        <f t="shared" si="63"/>
        <v>0.1877861618042671</v>
      </c>
      <c r="AS277" s="76">
        <f t="shared" si="64"/>
        <v>0</v>
      </c>
      <c r="AT277" s="76">
        <f t="shared" si="65"/>
        <v>0</v>
      </c>
      <c r="AU277" s="76">
        <f t="shared" si="66"/>
        <v>49.513102005245237</v>
      </c>
      <c r="AV277" s="76">
        <f>MAX(0,(AU277-Constantes!$D$13)*(1-EXP(-Constantes!$D$24)))</f>
        <v>1.1664202686404408E-2</v>
      </c>
      <c r="AW277" s="170">
        <f>AW276+(Entradas!$F$112*AT277-AX276)/(800*Entradas!$D$25)</f>
        <v>0</v>
      </c>
      <c r="AX277" s="170">
        <f>8000*Entradas!$D$26*AW277/Constantes!$F$45</f>
        <v>0</v>
      </c>
      <c r="AY277" s="170">
        <f>IF(Escenarios!$F$17&gt;0,10*Escenarios!$F$16*AL277,0)</f>
        <v>0</v>
      </c>
      <c r="AZ277" s="170">
        <f>IF(Escenarios!$F$17&gt;0,10*Escenarios!$F$16*AX277,0)</f>
        <v>0</v>
      </c>
      <c r="BA277" s="170">
        <f>IF(Escenarios!$F$17&gt;0,0.001*Observaciones!$F276*Escenarios!$F$17,0)</f>
        <v>0</v>
      </c>
      <c r="BB277" s="170">
        <f>IF(Escenarios!$F$17&gt;0,Observaciones!$K276,0)</f>
        <v>0</v>
      </c>
      <c r="BC277" s="170">
        <f>IF(Escenarios!$F$17&gt;0,MIN(0.0005*ETo!$M276*Escenarios!$F$17*(BG276/Constantes!$F$40)^(2/3),BG276+AY277+AZ277+BA277+BB277),0)</f>
        <v>0</v>
      </c>
      <c r="BD277" s="170">
        <f>IF(Escenarios!$F$17&gt;0,MIN(Constantes!$F$39*(BG276/Constantes!$F$40)^(2/3),BG276+AY277+AZ277+BA277+BB277-BC277),0)</f>
        <v>0</v>
      </c>
      <c r="BE277" s="170">
        <f>IF(Escenarios!$F$17&gt;0,MIN(Entradas!$F$113,BG276+AY277+AZ277+BA277+BB277-BC277-BD277),0)</f>
        <v>0</v>
      </c>
      <c r="BF277" s="170">
        <f>IF(Escenarios!$F$17&gt;0,MAX(0,BG276+AY277+AZ277+BA277+BB277-BC277-BD277-BE277-Constantes!$F$40),0)</f>
        <v>0</v>
      </c>
      <c r="BG277" s="170">
        <f t="shared" si="67"/>
        <v>0</v>
      </c>
      <c r="BH277" s="170">
        <f>(Escenarios!$F$16*AK277+0.1*BC277)/(Escenarios!$F$19)</f>
        <v>0.24973675042017346</v>
      </c>
      <c r="BI277" s="170">
        <f>IF(Escenarios!$F$17&gt;0,BF277/10/Escenarios!$F$19,AL277)</f>
        <v>0</v>
      </c>
      <c r="BJ277" s="170">
        <f>(Escenarios!$F$16*AT277+0.1*BD277)/(Escenarios!$F$19)</f>
        <v>0</v>
      </c>
      <c r="BK277" s="76">
        <f>BK276+(0.1*BD277)/(Escenarios!$F$19)-BL276</f>
        <v>48.75</v>
      </c>
      <c r="BL277" s="76">
        <f>MAX(0,(BK277-Constantes!$D$13)*(1-EXP(-Constantes!$D$23)))</f>
        <v>0</v>
      </c>
      <c r="BM277" s="76">
        <f t="shared" si="68"/>
        <v>0.1990963608203441</v>
      </c>
      <c r="BN277" s="76">
        <f t="shared" si="69"/>
        <v>0.19945036449067152</v>
      </c>
      <c r="BO277" s="76">
        <f>0.0526*BI277*Observaciones!$F276^1.218</f>
        <v>0</v>
      </c>
      <c r="BP277" s="76">
        <f>BO277*Constantes!$F$51</f>
        <v>0</v>
      </c>
      <c r="BQ277" s="76">
        <f t="shared" si="70"/>
        <v>0</v>
      </c>
      <c r="BR277" s="40"/>
    </row>
    <row r="278" spans="2:70">
      <c r="B278" s="39"/>
      <c r="C278" s="75">
        <v>272</v>
      </c>
      <c r="D278" s="146">
        <f>ETo!$I277*((1-Constantes!$F$19)*ETo!$K277+ETo!$L277)</f>
        <v>4.1529122534023024</v>
      </c>
      <c r="E278" s="76">
        <f>MIN(D278*Constantes!$F$17,0.8*(N277+Observaciones!$F277-F278-M278-Constantes!$D$14))</f>
        <v>9.4476463728597089E-3</v>
      </c>
      <c r="F278" s="76">
        <f>IF(Observaciones!$F277&gt;0.05*Constantes!$F$18,((Observaciones!$F277-0.05*Constantes!$F$18)^2)/(Observaciones!$F277+0.95*Constantes!$F$18),0)</f>
        <v>0</v>
      </c>
      <c r="G278" s="76">
        <f>IF(Escenarios!$F$11&gt;0,(F278*Escenarios!$F$16*10000)/1000,0)</f>
        <v>0</v>
      </c>
      <c r="H278" s="76">
        <f>IF(Escenarios!$F$11&gt;0,(Observaciones!$F277*Constantes!$F$29)/1000,0)</f>
        <v>0</v>
      </c>
      <c r="I278" s="76">
        <f>IF(Escenarios!$F$11&gt;0,(D278*Constantes!$F$29)/1000,0)</f>
        <v>0</v>
      </c>
      <c r="J278" s="76">
        <f>IF(Escenarios!$F$11&gt;0,MAX(0,G278+H278-I278),0)</f>
        <v>0</v>
      </c>
      <c r="K278" s="76">
        <f>IF(Escenarios!$F$11&gt;0,IF(J278&gt;Constantes!$F$30,1000*((J278-Constantes!$F$30)/(Escenarios!$F$16*10000)),0),F278)</f>
        <v>0</v>
      </c>
      <c r="L278" s="76">
        <f>IF(Escenarios!$F$11&gt;0,I278*1000/Escenarios!$F$16/10000+E278,E278)</f>
        <v>9.4476463728597089E-3</v>
      </c>
      <c r="M278" s="76">
        <f>MAX(0,N277+Observaciones!$F277-K278-Constantes!$D$13)</f>
        <v>0</v>
      </c>
      <c r="N278" s="76">
        <f>N277+Observaciones!$F277-K278-L278-M278-O277</f>
        <v>11.251959634695117</v>
      </c>
      <c r="O278" s="76">
        <f>MAX(0,(N278-Constantes!$D$14)*(1-EXP(-Constantes!$D$22)))</f>
        <v>6.6752351681931895E-5</v>
      </c>
      <c r="P278" s="170">
        <f>P277+(Entradas!$F$83*M278-Q277)/(800*Entradas!$D$25)</f>
        <v>0</v>
      </c>
      <c r="Q278" s="170">
        <f>8000*Entradas!$D$26*P278/Constantes!$F$45</f>
        <v>0</v>
      </c>
      <c r="R278" s="170">
        <f>IF(Escenarios!$F$14&gt;0,K278*Escenarios!$F$13/Escenarios!$F$14,0)</f>
        <v>0</v>
      </c>
      <c r="S278" s="170">
        <f>IF(Escenarios!$F$14&gt;0,Q278*Escenarios!$F$13/Escenarios!$F$14,0)</f>
        <v>0</v>
      </c>
      <c r="T278" s="170">
        <f>IF(Escenarios!$F$14&gt;0,Observaciones!$I277,0)</f>
        <v>0</v>
      </c>
      <c r="U278" s="170">
        <f>IF(Escenarios!$F$14&gt;0,MAX(0,Constantes!$F$36/((Z277+R278+S278+T278+Observaciones!$F277)^2)+Entradas!$F$77),0)</f>
        <v>0</v>
      </c>
      <c r="V278" s="146">
        <f>IF(ETo!D277&gt;0,ETo!I277*((1-Entradas!$F$81)*ETo!K277+ETo!L277),0)</f>
        <v>3.6820654198555447</v>
      </c>
      <c r="W278" s="170">
        <f>IF(Escenarios!$F$14&gt;0,MIN(V278*1,0.8*(Z277+R278+S278+T278+Observaciones!$F277-U278-Constantes!$F$35)),0)</f>
        <v>8.4746768610045823E-3</v>
      </c>
      <c r="X278" s="170">
        <f>IF(Escenarios!$F$14&gt;0,Observaciones!$J277,0)</f>
        <v>0</v>
      </c>
      <c r="Y278" s="170">
        <f>IF(Escenarios!$F$14&gt;0,MAX(0,Z277+R278+S278+T278+Observaciones!$F277-U278-W278-X278-Constantes!$F$33),0)</f>
        <v>0</v>
      </c>
      <c r="Z278" s="170">
        <f>Z277+R278+S278+T278+Observaciones!$F277-U278-W278-Y278</f>
        <v>41.25211866921525</v>
      </c>
      <c r="AA278" s="170">
        <f>IF(Escenarios!$F$14&gt;0,(Escenarios!$F$13*L278+Escenarios!$F$14*W278)/(Escenarios!$F$16),L278)</f>
        <v>9.3308900314370939E-3</v>
      </c>
      <c r="AB278" s="170">
        <f>IF(Escenarios!$F$14&gt;0,(Escenarios!$F$14*Y278)/(Escenarios!$F$16),K278)</f>
        <v>0</v>
      </c>
      <c r="AC278" s="170">
        <f>IF(Escenarios!$F$14&gt;0,(Escenarios!$F$13*M278+Escenarios!$F$14*U278)/(Escenarios!$F$16),M278)</f>
        <v>0</v>
      </c>
      <c r="AD278" s="76">
        <f t="shared" si="57"/>
        <v>67.584959738058274</v>
      </c>
      <c r="AE278" s="76">
        <f>MAX(0,(AD278-Constantes!$D$13)*(1-EXP(-Constantes!$D$23)))</f>
        <v>0.18558534443698396</v>
      </c>
      <c r="AF278" s="76">
        <f>AB278+O278*Escenarios!$F$13/Escenarios!$F$16+AE278</f>
        <v>0.18564408650646405</v>
      </c>
      <c r="AG278" s="76">
        <f>IF(Entradas!$F$91&gt;0,IF(AF278-Escenarios!$F$38&lt;=0,0,IF(AF278-Escenarios!$F$38&gt;Escenarios!$F$37,Escenarios!$F$37,AF278-Escenarios!$F$38)),0)</f>
        <v>0</v>
      </c>
      <c r="AH278" s="76">
        <f>AG278*Entradas!$F$99</f>
        <v>0</v>
      </c>
      <c r="AI278" s="76">
        <f>IF(Entradas!$F$91&gt;0,D278*Entradas!$D$23/Escenarios!$F$16,0)</f>
        <v>0.19933978816331052</v>
      </c>
      <c r="AJ278" s="76">
        <f>IF(Entradas!$F$91&gt;0,Entradas!$D$24*Entradas!$D$22/Escenarios!$F$16,0)</f>
        <v>0.12</v>
      </c>
      <c r="AK278" s="76">
        <f t="shared" si="58"/>
        <v>0.20867067819474761</v>
      </c>
      <c r="AL278" s="76">
        <f t="shared" si="59"/>
        <v>0</v>
      </c>
      <c r="AM278" s="76">
        <f t="shared" si="60"/>
        <v>0</v>
      </c>
      <c r="AN278" s="76">
        <f>MAX(0,O278*Escenarios!$F$13/Escenarios!$F$16-AM278)</f>
        <v>5.8742069480100067E-5</v>
      </c>
      <c r="AO278" s="76">
        <f>AM278+AN278-O278*Escenarios!$F$13/Escenarios!$F$16</f>
        <v>0</v>
      </c>
      <c r="AP278" s="76">
        <f t="shared" si="61"/>
        <v>0.18558534443698396</v>
      </c>
      <c r="AQ278" s="76">
        <f t="shared" si="62"/>
        <v>0</v>
      </c>
      <c r="AR278" s="76">
        <f t="shared" si="63"/>
        <v>0.18564408650646405</v>
      </c>
      <c r="AS278" s="76">
        <f t="shared" si="64"/>
        <v>0</v>
      </c>
      <c r="AT278" s="76">
        <f t="shared" si="65"/>
        <v>0</v>
      </c>
      <c r="AU278" s="76">
        <f t="shared" si="66"/>
        <v>49.501437802558833</v>
      </c>
      <c r="AV278" s="76">
        <f>MAX(0,(AU278-Constantes!$D$13)*(1-EXP(-Constantes!$D$24)))</f>
        <v>1.1485912466519848E-2</v>
      </c>
      <c r="AW278" s="170">
        <f>AW277+(Entradas!$F$112*AT278-AX277)/(800*Entradas!$D$25)</f>
        <v>0</v>
      </c>
      <c r="AX278" s="170">
        <f>8000*Entradas!$D$26*AW278/Constantes!$F$45</f>
        <v>0</v>
      </c>
      <c r="AY278" s="170">
        <f>IF(Escenarios!$F$17&gt;0,10*Escenarios!$F$16*AL278,0)</f>
        <v>0</v>
      </c>
      <c r="AZ278" s="170">
        <f>IF(Escenarios!$F$17&gt;0,10*Escenarios!$F$16*AX278,0)</f>
        <v>0</v>
      </c>
      <c r="BA278" s="170">
        <f>IF(Escenarios!$F$17&gt;0,0.001*Observaciones!$F277*Escenarios!$F$17,0)</f>
        <v>0</v>
      </c>
      <c r="BB278" s="170">
        <f>IF(Escenarios!$F$17&gt;0,Observaciones!$K277,0)</f>
        <v>0</v>
      </c>
      <c r="BC278" s="170">
        <f>IF(Escenarios!$F$17&gt;0,MIN(0.0005*ETo!$M277*Escenarios!$F$17*(BG277/Constantes!$F$40)^(2/3),BG277+AY278+AZ278+BA278+BB278),0)</f>
        <v>0</v>
      </c>
      <c r="BD278" s="170">
        <f>IF(Escenarios!$F$17&gt;0,MIN(Constantes!$F$39*(BG277/Constantes!$F$40)^(2/3),BG277+AY278+AZ278+BA278+BB278-BC278),0)</f>
        <v>0</v>
      </c>
      <c r="BE278" s="170">
        <f>IF(Escenarios!$F$17&gt;0,MIN(Entradas!$F$113,BG277+AY278+AZ278+BA278+BB278-BC278-BD278),0)</f>
        <v>0</v>
      </c>
      <c r="BF278" s="170">
        <f>IF(Escenarios!$F$17&gt;0,MAX(0,BG277+AY278+AZ278+BA278+BB278-BC278-BD278-BE278-Constantes!$F$40),0)</f>
        <v>0</v>
      </c>
      <c r="BG278" s="170">
        <f t="shared" si="67"/>
        <v>0</v>
      </c>
      <c r="BH278" s="170">
        <f>(Escenarios!$F$16*AK278+0.1*BC278)/(Escenarios!$F$19)</f>
        <v>0.20867067819474761</v>
      </c>
      <c r="BI278" s="170">
        <f>IF(Escenarios!$F$17&gt;0,BF278/10/Escenarios!$F$19,AL278)</f>
        <v>0</v>
      </c>
      <c r="BJ278" s="170">
        <f>(Escenarios!$F$16*AT278+0.1*BD278)/(Escenarios!$F$19)</f>
        <v>0</v>
      </c>
      <c r="BK278" s="76">
        <f>BK277+(0.1*BD278)/(Escenarios!$F$19)-BL277</f>
        <v>48.75</v>
      </c>
      <c r="BL278" s="76">
        <f>MAX(0,(BK278-Constantes!$D$13)*(1-EXP(-Constantes!$D$23)))</f>
        <v>0</v>
      </c>
      <c r="BM278" s="76">
        <f t="shared" si="68"/>
        <v>0.1970712569035038</v>
      </c>
      <c r="BN278" s="76">
        <f t="shared" si="69"/>
        <v>0.19712999897298389</v>
      </c>
      <c r="BO278" s="76">
        <f>0.0526*BI278*Observaciones!$F277^1.218</f>
        <v>0</v>
      </c>
      <c r="BP278" s="76">
        <f>BO278*Constantes!$F$51</f>
        <v>0</v>
      </c>
      <c r="BQ278" s="76">
        <f t="shared" si="70"/>
        <v>0</v>
      </c>
      <c r="BR278" s="40"/>
    </row>
    <row r="279" spans="2:70">
      <c r="B279" s="39"/>
      <c r="C279" s="75">
        <v>273</v>
      </c>
      <c r="D279" s="146">
        <f>ETo!$I278*((1-Constantes!$F$19)*ETo!$K278+ETo!$L278)</f>
        <v>4.2704539959292482</v>
      </c>
      <c r="E279" s="76">
        <f>MIN(D279*Constantes!$F$17,0.8*(N278+Observaciones!$F278-F279-M279-Constantes!$D$14))</f>
        <v>1.5677077560937393E-3</v>
      </c>
      <c r="F279" s="76">
        <f>IF(Observaciones!$F278&gt;0.05*Constantes!$F$18,((Observaciones!$F278-0.05*Constantes!$F$18)^2)/(Observaciones!$F278+0.95*Constantes!$F$18),0)</f>
        <v>0</v>
      </c>
      <c r="G279" s="76">
        <f>IF(Escenarios!$F$11&gt;0,(F279*Escenarios!$F$16*10000)/1000,0)</f>
        <v>0</v>
      </c>
      <c r="H279" s="76">
        <f>IF(Escenarios!$F$11&gt;0,(Observaciones!$F278*Constantes!$F$29)/1000,0)</f>
        <v>0</v>
      </c>
      <c r="I279" s="76">
        <f>IF(Escenarios!$F$11&gt;0,(D279*Constantes!$F$29)/1000,0)</f>
        <v>0</v>
      </c>
      <c r="J279" s="76">
        <f>IF(Escenarios!$F$11&gt;0,MAX(0,G279+H279-I279),0)</f>
        <v>0</v>
      </c>
      <c r="K279" s="76">
        <f>IF(Escenarios!$F$11&gt;0,IF(J279&gt;Constantes!$F$30,1000*((J279-Constantes!$F$30)/(Escenarios!$F$16*10000)),0),F279)</f>
        <v>0</v>
      </c>
      <c r="L279" s="76">
        <f>IF(Escenarios!$F$11&gt;0,I279*1000/Escenarios!$F$16/10000+E279,E279)</f>
        <v>1.5677077560937393E-3</v>
      </c>
      <c r="M279" s="76">
        <f>MAX(0,N278+Observaciones!$F278-K279-Constantes!$D$13)</f>
        <v>0</v>
      </c>
      <c r="N279" s="76">
        <f>N278+Observaciones!$F278-K279-L279-M279-O278</f>
        <v>11.250325174587342</v>
      </c>
      <c r="O279" s="76">
        <f>MAX(0,(N279-Constantes!$D$14)*(1-EXP(-Constantes!$D$22)))</f>
        <v>1.1076640185218573E-5</v>
      </c>
      <c r="P279" s="170">
        <f>P278+(Entradas!$F$83*M279-Q278)/(800*Entradas!$D$25)</f>
        <v>0</v>
      </c>
      <c r="Q279" s="170">
        <f>8000*Entradas!$D$26*P279/Constantes!$F$45</f>
        <v>0</v>
      </c>
      <c r="R279" s="170">
        <f>IF(Escenarios!$F$14&gt;0,K279*Escenarios!$F$13/Escenarios!$F$14,0)</f>
        <v>0</v>
      </c>
      <c r="S279" s="170">
        <f>IF(Escenarios!$F$14&gt;0,Q279*Escenarios!$F$13/Escenarios!$F$14,0)</f>
        <v>0</v>
      </c>
      <c r="T279" s="170">
        <f>IF(Escenarios!$F$14&gt;0,Observaciones!$I278,0)</f>
        <v>0</v>
      </c>
      <c r="U279" s="170">
        <f>IF(Escenarios!$F$14&gt;0,MAX(0,Constantes!$F$36/((Z278+R279+S279+T279+Observaciones!$F278)^2)+Entradas!$F$77),0)</f>
        <v>0</v>
      </c>
      <c r="V279" s="146">
        <f>IF(ETo!D278&gt;0,ETo!I278*((1-Entradas!$F$81)*ETo!K278+ETo!L278),0)</f>
        <v>3.7882957625388736</v>
      </c>
      <c r="W279" s="170">
        <f>IF(Escenarios!$F$14&gt;0,MIN(V279*1,0.8*(Z278+R279+S279+T279+Observaciones!$F278-U279-Constantes!$F$35)),0)</f>
        <v>1.6949353721997795E-3</v>
      </c>
      <c r="X279" s="170">
        <f>IF(Escenarios!$F$14&gt;0,Observaciones!$J278,0)</f>
        <v>0</v>
      </c>
      <c r="Y279" s="170">
        <f>IF(Escenarios!$F$14&gt;0,MAX(0,Z278+R279+S279+T279+Observaciones!$F278-U279-W279-X279-Constantes!$F$33),0)</f>
        <v>0</v>
      </c>
      <c r="Z279" s="170">
        <f>Z278+R279+S279+T279+Observaciones!$F278-U279-W279-Y279</f>
        <v>41.25042373384305</v>
      </c>
      <c r="AA279" s="170">
        <f>IF(Escenarios!$F$14&gt;0,(Escenarios!$F$13*L279+Escenarios!$F$14*W279)/(Escenarios!$F$16),L279)</f>
        <v>1.5829750700264641E-3</v>
      </c>
      <c r="AB279" s="170">
        <f>IF(Escenarios!$F$14&gt;0,(Escenarios!$F$14*Y279)/(Escenarios!$F$16),K279)</f>
        <v>0</v>
      </c>
      <c r="AC279" s="170">
        <f>IF(Escenarios!$F$14&gt;0,(Escenarios!$F$13*M279+Escenarios!$F$14*U279)/(Escenarios!$F$16),M279)</f>
        <v>0</v>
      </c>
      <c r="AD279" s="76">
        <f t="shared" si="57"/>
        <v>67.399374393621287</v>
      </c>
      <c r="AE279" s="76">
        <f>MAX(0,(AD279-Constantes!$D$13)*(1-EXP(-Constantes!$D$23)))</f>
        <v>0.18375672783526112</v>
      </c>
      <c r="AF279" s="76">
        <f>AB279+O279*Escenarios!$F$13/Escenarios!$F$16+AE279</f>
        <v>0.18376647527862411</v>
      </c>
      <c r="AG279" s="76">
        <f>IF(Entradas!$F$91&gt;0,IF(AF279-Escenarios!$F$38&lt;=0,0,IF(AF279-Escenarios!$F$38&gt;Escenarios!$F$37,Escenarios!$F$37,AF279-Escenarios!$F$38)),0)</f>
        <v>0</v>
      </c>
      <c r="AH279" s="76">
        <f>AG279*Entradas!$F$99</f>
        <v>0</v>
      </c>
      <c r="AI279" s="76">
        <f>IF(Entradas!$F$91&gt;0,D279*Entradas!$D$23/Escenarios!$F$16,0)</f>
        <v>0.20498179180460391</v>
      </c>
      <c r="AJ279" s="76">
        <f>IF(Entradas!$F$91&gt;0,Entradas!$D$24*Entradas!$D$22/Escenarios!$F$16,0)</f>
        <v>0.12</v>
      </c>
      <c r="AK279" s="76">
        <f t="shared" si="58"/>
        <v>0.20656476687463038</v>
      </c>
      <c r="AL279" s="76">
        <f t="shared" si="59"/>
        <v>0</v>
      </c>
      <c r="AM279" s="76">
        <f t="shared" si="60"/>
        <v>0</v>
      </c>
      <c r="AN279" s="76">
        <f>MAX(0,O279*Escenarios!$F$13/Escenarios!$F$16-AM279)</f>
        <v>9.7474433629923444E-6</v>
      </c>
      <c r="AO279" s="76">
        <f>AM279+AN279-O279*Escenarios!$F$13/Escenarios!$F$16</f>
        <v>0</v>
      </c>
      <c r="AP279" s="76">
        <f t="shared" si="61"/>
        <v>0.18375672783526112</v>
      </c>
      <c r="AQ279" s="76">
        <f t="shared" si="62"/>
        <v>0</v>
      </c>
      <c r="AR279" s="76">
        <f t="shared" si="63"/>
        <v>0.18376647527862411</v>
      </c>
      <c r="AS279" s="76">
        <f t="shared" si="64"/>
        <v>0</v>
      </c>
      <c r="AT279" s="76">
        <f t="shared" si="65"/>
        <v>0</v>
      </c>
      <c r="AU279" s="76">
        <f t="shared" si="66"/>
        <v>49.489951890092314</v>
      </c>
      <c r="AV279" s="76">
        <f>MAX(0,(AU279-Constantes!$D$13)*(1-EXP(-Constantes!$D$24)))</f>
        <v>1.1310347456695612E-2</v>
      </c>
      <c r="AW279" s="170">
        <f>AW278+(Entradas!$F$112*AT279-AX278)/(800*Entradas!$D$25)</f>
        <v>0</v>
      </c>
      <c r="AX279" s="170">
        <f>8000*Entradas!$D$26*AW279/Constantes!$F$45</f>
        <v>0</v>
      </c>
      <c r="AY279" s="170">
        <f>IF(Escenarios!$F$17&gt;0,10*Escenarios!$F$16*AL279,0)</f>
        <v>0</v>
      </c>
      <c r="AZ279" s="170">
        <f>IF(Escenarios!$F$17&gt;0,10*Escenarios!$F$16*AX279,0)</f>
        <v>0</v>
      </c>
      <c r="BA279" s="170">
        <f>IF(Escenarios!$F$17&gt;0,0.001*Observaciones!$F278*Escenarios!$F$17,0)</f>
        <v>0</v>
      </c>
      <c r="BB279" s="170">
        <f>IF(Escenarios!$F$17&gt;0,Observaciones!$K278,0)</f>
        <v>0</v>
      </c>
      <c r="BC279" s="170">
        <f>IF(Escenarios!$F$17&gt;0,MIN(0.0005*ETo!$M278*Escenarios!$F$17*(BG278/Constantes!$F$40)^(2/3),BG278+AY279+AZ279+BA279+BB279),0)</f>
        <v>0</v>
      </c>
      <c r="BD279" s="170">
        <f>IF(Escenarios!$F$17&gt;0,MIN(Constantes!$F$39*(BG278/Constantes!$F$40)^(2/3),BG278+AY279+AZ279+BA279+BB279-BC279),0)</f>
        <v>0</v>
      </c>
      <c r="BE279" s="170">
        <f>IF(Escenarios!$F$17&gt;0,MIN(Entradas!$F$113,BG278+AY279+AZ279+BA279+BB279-BC279-BD279),0)</f>
        <v>0</v>
      </c>
      <c r="BF279" s="170">
        <f>IF(Escenarios!$F$17&gt;0,MAX(0,BG278+AY279+AZ279+BA279+BB279-BC279-BD279-BE279-Constantes!$F$40),0)</f>
        <v>0</v>
      </c>
      <c r="BG279" s="170">
        <f t="shared" si="67"/>
        <v>0</v>
      </c>
      <c r="BH279" s="170">
        <f>(Escenarios!$F$16*AK279+0.1*BC279)/(Escenarios!$F$19)</f>
        <v>0.20656476687463038</v>
      </c>
      <c r="BI279" s="170">
        <f>IF(Escenarios!$F$17&gt;0,BF279/10/Escenarios!$F$19,AL279)</f>
        <v>0</v>
      </c>
      <c r="BJ279" s="170">
        <f>(Escenarios!$F$16*AT279+0.1*BD279)/(Escenarios!$F$19)</f>
        <v>0</v>
      </c>
      <c r="BK279" s="76">
        <f>BK278+(0.1*BD279)/(Escenarios!$F$19)-BL278</f>
        <v>48.75</v>
      </c>
      <c r="BL279" s="76">
        <f>MAX(0,(BK279-Constantes!$D$13)*(1-EXP(-Constantes!$D$23)))</f>
        <v>0</v>
      </c>
      <c r="BM279" s="76">
        <f t="shared" si="68"/>
        <v>0.19506707529195674</v>
      </c>
      <c r="BN279" s="76">
        <f t="shared" si="69"/>
        <v>0.19507682273531973</v>
      </c>
      <c r="BO279" s="76">
        <f>0.0526*BI279*Observaciones!$F278^1.218</f>
        <v>0</v>
      </c>
      <c r="BP279" s="76">
        <f>BO279*Constantes!$F$51</f>
        <v>0</v>
      </c>
      <c r="BQ279" s="76">
        <f t="shared" si="70"/>
        <v>0</v>
      </c>
      <c r="BR279" s="40"/>
    </row>
    <row r="280" spans="2:70">
      <c r="B280" s="39"/>
      <c r="C280" s="75">
        <v>274</v>
      </c>
      <c r="D280" s="146">
        <f>ETo!$I279*((1-Constantes!$F$19)*ETo!$K279+ETo!$L279)</f>
        <v>4.1773748357050753</v>
      </c>
      <c r="E280" s="76">
        <f>MIN(D280*Constantes!$F$17,0.8*(N279+Observaciones!$F279-F280-M280-Constantes!$D$14))</f>
        <v>2.60139669873638E-4</v>
      </c>
      <c r="F280" s="76">
        <f>IF(Observaciones!$F279&gt;0.05*Constantes!$F$18,((Observaciones!$F279-0.05*Constantes!$F$18)^2)/(Observaciones!$F279+0.95*Constantes!$F$18),0)</f>
        <v>0</v>
      </c>
      <c r="G280" s="76">
        <f>IF(Escenarios!$F$11&gt;0,(F280*Escenarios!$F$16*10000)/1000,0)</f>
        <v>0</v>
      </c>
      <c r="H280" s="76">
        <f>IF(Escenarios!$F$11&gt;0,(Observaciones!$F279*Constantes!$F$29)/1000,0)</f>
        <v>0</v>
      </c>
      <c r="I280" s="76">
        <f>IF(Escenarios!$F$11&gt;0,(D280*Constantes!$F$29)/1000,0)</f>
        <v>0</v>
      </c>
      <c r="J280" s="76">
        <f>IF(Escenarios!$F$11&gt;0,MAX(0,G280+H280-I280),0)</f>
        <v>0</v>
      </c>
      <c r="K280" s="76">
        <f>IF(Escenarios!$F$11&gt;0,IF(J280&gt;Constantes!$F$30,1000*((J280-Constantes!$F$30)/(Escenarios!$F$16*10000)),0),F280)</f>
        <v>0</v>
      </c>
      <c r="L280" s="76">
        <f>IF(Escenarios!$F$11&gt;0,I280*1000/Escenarios!$F$16/10000+E280,E280)</f>
        <v>2.60139669873638E-4</v>
      </c>
      <c r="M280" s="76">
        <f>MAX(0,N279+Observaciones!$F279-K280-Constantes!$D$13)</f>
        <v>0</v>
      </c>
      <c r="N280" s="76">
        <f>N279+Observaciones!$F279-K280-L280-M280-O279</f>
        <v>11.250053958277284</v>
      </c>
      <c r="O280" s="76">
        <f>MAX(0,(N280-Constantes!$D$14)*(1-EXP(-Constantes!$D$22)))</f>
        <v>1.8380170092009708E-6</v>
      </c>
      <c r="P280" s="170">
        <f>P279+(Entradas!$F$83*M280-Q279)/(800*Entradas!$D$25)</f>
        <v>0</v>
      </c>
      <c r="Q280" s="170">
        <f>8000*Entradas!$D$26*P280/Constantes!$F$45</f>
        <v>0</v>
      </c>
      <c r="R280" s="170">
        <f>IF(Escenarios!$F$14&gt;0,K280*Escenarios!$F$13/Escenarios!$F$14,0)</f>
        <v>0</v>
      </c>
      <c r="S280" s="170">
        <f>IF(Escenarios!$F$14&gt;0,Q280*Escenarios!$F$13/Escenarios!$F$14,0)</f>
        <v>0</v>
      </c>
      <c r="T280" s="170">
        <f>IF(Escenarios!$F$14&gt;0,Observaciones!$I279,0)</f>
        <v>0</v>
      </c>
      <c r="U280" s="170">
        <f>IF(Escenarios!$F$14&gt;0,MAX(0,Constantes!$F$36/((Z279+R280+S280+T280+Observaciones!$F279)^2)+Entradas!$F$77),0)</f>
        <v>0</v>
      </c>
      <c r="V280" s="146">
        <f>IF(ETo!D279&gt;0,ETo!I279*((1-Entradas!$F$81)*ETo!K279+ETo!L279),0)</f>
        <v>3.7045030096769374</v>
      </c>
      <c r="W280" s="170">
        <f>IF(Escenarios!$F$14&gt;0,MIN(V280*1,0.8*(Z279+R280+S280+T280+Observaciones!$F279-U280-Constantes!$F$35)),0)</f>
        <v>3.3898707443995595E-4</v>
      </c>
      <c r="X280" s="170">
        <f>IF(Escenarios!$F$14&gt;0,Observaciones!$J279,0)</f>
        <v>0</v>
      </c>
      <c r="Y280" s="170">
        <f>IF(Escenarios!$F$14&gt;0,MAX(0,Z279+R280+S280+T280+Observaciones!$F279-U280-W280-X280-Constantes!$F$33),0)</f>
        <v>0</v>
      </c>
      <c r="Z280" s="170">
        <f>Z279+R280+S280+T280+Observaciones!$F279-U280-W280-Y280</f>
        <v>41.250084746768607</v>
      </c>
      <c r="AA280" s="170">
        <f>IF(Escenarios!$F$14&gt;0,(Escenarios!$F$13*L280+Escenarios!$F$14*W280)/(Escenarios!$F$16),L280)</f>
        <v>2.6960135842159618E-4</v>
      </c>
      <c r="AB280" s="170">
        <f>IF(Escenarios!$F$14&gt;0,(Escenarios!$F$14*Y280)/(Escenarios!$F$16),K280)</f>
        <v>0</v>
      </c>
      <c r="AC280" s="170">
        <f>IF(Escenarios!$F$14&gt;0,(Escenarios!$F$13*M280+Escenarios!$F$14*U280)/(Escenarios!$F$16),M280)</f>
        <v>0</v>
      </c>
      <c r="AD280" s="76">
        <f t="shared" si="57"/>
        <v>67.215617665786027</v>
      </c>
      <c r="AE280" s="76">
        <f>MAX(0,(AD280-Constantes!$D$13)*(1-EXP(-Constantes!$D$23)))</f>
        <v>0.18194612902845766</v>
      </c>
      <c r="AF280" s="76">
        <f>AB280+O280*Escenarios!$F$13/Escenarios!$F$16+AE280</f>
        <v>0.18194774648342577</v>
      </c>
      <c r="AG280" s="76">
        <f>IF(Entradas!$F$91&gt;0,IF(AF280-Escenarios!$F$38&lt;=0,0,IF(AF280-Escenarios!$F$38&gt;Escenarios!$F$37,Escenarios!$F$37,AF280-Escenarios!$F$38)),0)</f>
        <v>0</v>
      </c>
      <c r="AH280" s="76">
        <f>AG280*Entradas!$F$99</f>
        <v>0</v>
      </c>
      <c r="AI280" s="76">
        <f>IF(Entradas!$F$91&gt;0,D280*Entradas!$D$23/Escenarios!$F$16,0)</f>
        <v>0.2005139921138436</v>
      </c>
      <c r="AJ280" s="76">
        <f>IF(Entradas!$F$91&gt;0,Entradas!$D$24*Entradas!$D$22/Escenarios!$F$16,0)</f>
        <v>0.12</v>
      </c>
      <c r="AK280" s="76">
        <f t="shared" si="58"/>
        <v>0.20078359347226521</v>
      </c>
      <c r="AL280" s="76">
        <f t="shared" si="59"/>
        <v>0</v>
      </c>
      <c r="AM280" s="76">
        <f t="shared" si="60"/>
        <v>0</v>
      </c>
      <c r="AN280" s="76">
        <f>MAX(0,O280*Escenarios!$F$13/Escenarios!$F$16-AM280)</f>
        <v>1.6174549680968543E-6</v>
      </c>
      <c r="AO280" s="76">
        <f>AM280+AN280-O280*Escenarios!$F$13/Escenarios!$F$16</f>
        <v>0</v>
      </c>
      <c r="AP280" s="76">
        <f t="shared" si="61"/>
        <v>0.18194612902845766</v>
      </c>
      <c r="AQ280" s="76">
        <f t="shared" si="62"/>
        <v>0</v>
      </c>
      <c r="AR280" s="76">
        <f t="shared" si="63"/>
        <v>0.18194774648342577</v>
      </c>
      <c r="AS280" s="76">
        <f t="shared" si="64"/>
        <v>0</v>
      </c>
      <c r="AT280" s="76">
        <f t="shared" si="65"/>
        <v>0</v>
      </c>
      <c r="AU280" s="76">
        <f t="shared" si="66"/>
        <v>49.478641542635621</v>
      </c>
      <c r="AV280" s="76">
        <f>MAX(0,(AU280-Constantes!$D$13)*(1-EXP(-Constantes!$D$24)))</f>
        <v>1.1137466001422637E-2</v>
      </c>
      <c r="AW280" s="170">
        <f>AW279+(Entradas!$F$112*AT280-AX279)/(800*Entradas!$D$25)</f>
        <v>0</v>
      </c>
      <c r="AX280" s="170">
        <f>8000*Entradas!$D$26*AW280/Constantes!$F$45</f>
        <v>0</v>
      </c>
      <c r="AY280" s="170">
        <f>IF(Escenarios!$F$17&gt;0,10*Escenarios!$F$16*AL280,0)</f>
        <v>0</v>
      </c>
      <c r="AZ280" s="170">
        <f>IF(Escenarios!$F$17&gt;0,10*Escenarios!$F$16*AX280,0)</f>
        <v>0</v>
      </c>
      <c r="BA280" s="170">
        <f>IF(Escenarios!$F$17&gt;0,0.001*Observaciones!$F279*Escenarios!$F$17,0)</f>
        <v>0</v>
      </c>
      <c r="BB280" s="170">
        <f>IF(Escenarios!$F$17&gt;0,Observaciones!$K279,0)</f>
        <v>0</v>
      </c>
      <c r="BC280" s="170">
        <f>IF(Escenarios!$F$17&gt;0,MIN(0.0005*ETo!$M279*Escenarios!$F$17*(BG279/Constantes!$F$40)^(2/3),BG279+AY280+AZ280+BA280+BB280),0)</f>
        <v>0</v>
      </c>
      <c r="BD280" s="170">
        <f>IF(Escenarios!$F$17&gt;0,MIN(Constantes!$F$39*(BG279/Constantes!$F$40)^(2/3),BG279+AY280+AZ280+BA280+BB280-BC280),0)</f>
        <v>0</v>
      </c>
      <c r="BE280" s="170">
        <f>IF(Escenarios!$F$17&gt;0,MIN(Entradas!$F$113,BG279+AY280+AZ280+BA280+BB280-BC280-BD280),0)</f>
        <v>0</v>
      </c>
      <c r="BF280" s="170">
        <f>IF(Escenarios!$F$17&gt;0,MAX(0,BG279+AY280+AZ280+BA280+BB280-BC280-BD280-BE280-Constantes!$F$40),0)</f>
        <v>0</v>
      </c>
      <c r="BG280" s="170">
        <f t="shared" si="67"/>
        <v>0</v>
      </c>
      <c r="BH280" s="170">
        <f>(Escenarios!$F$16*AK280+0.1*BC280)/(Escenarios!$F$19)</f>
        <v>0.20078359347226521</v>
      </c>
      <c r="BI280" s="170">
        <f>IF(Escenarios!$F$17&gt;0,BF280/10/Escenarios!$F$19,AL280)</f>
        <v>0</v>
      </c>
      <c r="BJ280" s="170">
        <f>(Escenarios!$F$16*AT280+0.1*BD280)/(Escenarios!$F$19)</f>
        <v>0</v>
      </c>
      <c r="BK280" s="76">
        <f>BK279+(0.1*BD280)/(Escenarios!$F$19)-BL279</f>
        <v>48.75</v>
      </c>
      <c r="BL280" s="76">
        <f>MAX(0,(BK280-Constantes!$D$13)*(1-EXP(-Constantes!$D$23)))</f>
        <v>0</v>
      </c>
      <c r="BM280" s="76">
        <f t="shared" si="68"/>
        <v>0.19308359502988029</v>
      </c>
      <c r="BN280" s="76">
        <f t="shared" si="69"/>
        <v>0.19308521248484839</v>
      </c>
      <c r="BO280" s="76">
        <f>0.0526*BI280*Observaciones!$F279^1.218</f>
        <v>0</v>
      </c>
      <c r="BP280" s="76">
        <f>BO280*Constantes!$F$51</f>
        <v>0</v>
      </c>
      <c r="BQ280" s="76">
        <f t="shared" si="70"/>
        <v>0</v>
      </c>
      <c r="BR280" s="40"/>
    </row>
    <row r="281" spans="2:70">
      <c r="B281" s="39"/>
      <c r="C281" s="75">
        <v>275</v>
      </c>
      <c r="D281" s="146">
        <f>ETo!$I280*((1-Constantes!$F$19)*ETo!$K280+ETo!$L280)</f>
        <v>4.2904666714814184</v>
      </c>
      <c r="E281" s="76">
        <f>MIN(D281*Constantes!$F$17,0.8*(N280+Observaciones!$F280-F281-M281-Constantes!$D$14))</f>
        <v>4.316662182759501E-5</v>
      </c>
      <c r="F281" s="76">
        <f>IF(Observaciones!$F280&gt;0.05*Constantes!$F$18,((Observaciones!$F280-0.05*Constantes!$F$18)^2)/(Observaciones!$F280+0.95*Constantes!$F$18),0)</f>
        <v>0</v>
      </c>
      <c r="G281" s="76">
        <f>IF(Escenarios!$F$11&gt;0,(F281*Escenarios!$F$16*10000)/1000,0)</f>
        <v>0</v>
      </c>
      <c r="H281" s="76">
        <f>IF(Escenarios!$F$11&gt;0,(Observaciones!$F280*Constantes!$F$29)/1000,0)</f>
        <v>0</v>
      </c>
      <c r="I281" s="76">
        <f>IF(Escenarios!$F$11&gt;0,(D281*Constantes!$F$29)/1000,0)</f>
        <v>0</v>
      </c>
      <c r="J281" s="76">
        <f>IF(Escenarios!$F$11&gt;0,MAX(0,G281+H281-I281),0)</f>
        <v>0</v>
      </c>
      <c r="K281" s="76">
        <f>IF(Escenarios!$F$11&gt;0,IF(J281&gt;Constantes!$F$30,1000*((J281-Constantes!$F$30)/(Escenarios!$F$16*10000)),0),F281)</f>
        <v>0</v>
      </c>
      <c r="L281" s="76">
        <f>IF(Escenarios!$F$11&gt;0,I281*1000/Escenarios!$F$16/10000+E281,E281)</f>
        <v>4.316662182759501E-5</v>
      </c>
      <c r="M281" s="76">
        <f>MAX(0,N280+Observaciones!$F280-K281-Constantes!$D$13)</f>
        <v>0</v>
      </c>
      <c r="N281" s="76">
        <f>N280+Observaciones!$F280-K281-L281-M281-O280</f>
        <v>11.250008953638448</v>
      </c>
      <c r="O281" s="76">
        <f>MAX(0,(N281-Constantes!$D$14)*(1-EXP(-Constantes!$D$22)))</f>
        <v>3.0499379500322707E-7</v>
      </c>
      <c r="P281" s="170">
        <f>P280+(Entradas!$F$83*M281-Q280)/(800*Entradas!$D$25)</f>
        <v>0</v>
      </c>
      <c r="Q281" s="170">
        <f>8000*Entradas!$D$26*P281/Constantes!$F$45</f>
        <v>0</v>
      </c>
      <c r="R281" s="170">
        <f>IF(Escenarios!$F$14&gt;0,K281*Escenarios!$F$13/Escenarios!$F$14,0)</f>
        <v>0</v>
      </c>
      <c r="S281" s="170">
        <f>IF(Escenarios!$F$14&gt;0,Q281*Escenarios!$F$13/Escenarios!$F$14,0)</f>
        <v>0</v>
      </c>
      <c r="T281" s="170">
        <f>IF(Escenarios!$F$14&gt;0,Observaciones!$I280,0)</f>
        <v>0</v>
      </c>
      <c r="U281" s="170">
        <f>IF(Escenarios!$F$14&gt;0,MAX(0,Constantes!$F$36/((Z280+R281+S281+T281+Observaciones!$F280)^2)+Entradas!$F$77),0)</f>
        <v>0</v>
      </c>
      <c r="V281" s="146">
        <f>IF(ETo!D280&gt;0,ETo!I280*((1-Entradas!$F$81)*ETo!K280+ETo!L280),0)</f>
        <v>3.8067108822068723</v>
      </c>
      <c r="W281" s="170">
        <f>IF(Escenarios!$F$14&gt;0,MIN(V281*1,0.8*(Z280+R281+S281+T281+Observaciones!$F280-U281-Constantes!$F$35)),0)</f>
        <v>6.7797414885717444E-5</v>
      </c>
      <c r="X281" s="170">
        <f>IF(Escenarios!$F$14&gt;0,Observaciones!$J280,0)</f>
        <v>0</v>
      </c>
      <c r="Y281" s="170">
        <f>IF(Escenarios!$F$14&gt;0,MAX(0,Z280+R281+S281+T281+Observaciones!$F280-U281-W281-X281-Constantes!$F$33),0)</f>
        <v>0</v>
      </c>
      <c r="Z281" s="170">
        <f>Z280+R281+S281+T281+Observaciones!$F280-U281-W281-Y281</f>
        <v>41.250016949353721</v>
      </c>
      <c r="AA281" s="170">
        <f>IF(Escenarios!$F$14&gt;0,(Escenarios!$F$13*L281+Escenarios!$F$14*W281)/(Escenarios!$F$16),L281)</f>
        <v>4.6122316994569703E-5</v>
      </c>
      <c r="AB281" s="170">
        <f>IF(Escenarios!$F$14&gt;0,(Escenarios!$F$14*Y281)/(Escenarios!$F$16),K281)</f>
        <v>0</v>
      </c>
      <c r="AC281" s="170">
        <f>IF(Escenarios!$F$14&gt;0,(Escenarios!$F$13*M281+Escenarios!$F$14*U281)/(Escenarios!$F$16),M281)</f>
        <v>0</v>
      </c>
      <c r="AD281" s="76">
        <f t="shared" si="57"/>
        <v>67.033671536757566</v>
      </c>
      <c r="AE281" s="76">
        <f>MAX(0,(AD281-Constantes!$D$13)*(1-EXP(-Constantes!$D$23)))</f>
        <v>0.1801533704829486</v>
      </c>
      <c r="AF281" s="76">
        <f>AB281+O281*Escenarios!$F$13/Escenarios!$F$16+AE281</f>
        <v>0.1801536388774882</v>
      </c>
      <c r="AG281" s="76">
        <f>IF(Entradas!$F$91&gt;0,IF(AF281-Escenarios!$F$38&lt;=0,0,IF(AF281-Escenarios!$F$38&gt;Escenarios!$F$37,Escenarios!$F$37,AF281-Escenarios!$F$38)),0)</f>
        <v>0</v>
      </c>
      <c r="AH281" s="76">
        <f>AG281*Entradas!$F$99</f>
        <v>0</v>
      </c>
      <c r="AI281" s="76">
        <f>IF(Entradas!$F$91&gt;0,D281*Entradas!$D$23/Escenarios!$F$16,0)</f>
        <v>0.20594240023110807</v>
      </c>
      <c r="AJ281" s="76">
        <f>IF(Entradas!$F$91&gt;0,Entradas!$D$24*Entradas!$D$22/Escenarios!$F$16,0)</f>
        <v>0.12</v>
      </c>
      <c r="AK281" s="76">
        <f t="shared" si="58"/>
        <v>0.20598852254810265</v>
      </c>
      <c r="AL281" s="76">
        <f t="shared" si="59"/>
        <v>0</v>
      </c>
      <c r="AM281" s="76">
        <f t="shared" si="60"/>
        <v>0</v>
      </c>
      <c r="AN281" s="76">
        <f>MAX(0,O281*Escenarios!$F$13/Escenarios!$F$16-AM281)</f>
        <v>2.6839453960283984E-7</v>
      </c>
      <c r="AO281" s="76">
        <f>AM281+AN281-O281*Escenarios!$F$13/Escenarios!$F$16</f>
        <v>0</v>
      </c>
      <c r="AP281" s="76">
        <f t="shared" si="61"/>
        <v>0.1801533704829486</v>
      </c>
      <c r="AQ281" s="76">
        <f t="shared" si="62"/>
        <v>0</v>
      </c>
      <c r="AR281" s="76">
        <f t="shared" si="63"/>
        <v>0.1801536388774882</v>
      </c>
      <c r="AS281" s="76">
        <f t="shared" si="64"/>
        <v>0</v>
      </c>
      <c r="AT281" s="76">
        <f t="shared" si="65"/>
        <v>0</v>
      </c>
      <c r="AU281" s="76">
        <f t="shared" si="66"/>
        <v>49.467504076634199</v>
      </c>
      <c r="AV281" s="76">
        <f>MAX(0,(AU281-Constantes!$D$13)*(1-EXP(-Constantes!$D$24)))</f>
        <v>1.0967227081906528E-2</v>
      </c>
      <c r="AW281" s="170">
        <f>AW280+(Entradas!$F$112*AT281-AX280)/(800*Entradas!$D$25)</f>
        <v>0</v>
      </c>
      <c r="AX281" s="170">
        <f>8000*Entradas!$D$26*AW281/Constantes!$F$45</f>
        <v>0</v>
      </c>
      <c r="AY281" s="170">
        <f>IF(Escenarios!$F$17&gt;0,10*Escenarios!$F$16*AL281,0)</f>
        <v>0</v>
      </c>
      <c r="AZ281" s="170">
        <f>IF(Escenarios!$F$17&gt;0,10*Escenarios!$F$16*AX281,0)</f>
        <v>0</v>
      </c>
      <c r="BA281" s="170">
        <f>IF(Escenarios!$F$17&gt;0,0.001*Observaciones!$F280*Escenarios!$F$17,0)</f>
        <v>0</v>
      </c>
      <c r="BB281" s="170">
        <f>IF(Escenarios!$F$17&gt;0,Observaciones!$K280,0)</f>
        <v>0</v>
      </c>
      <c r="BC281" s="170">
        <f>IF(Escenarios!$F$17&gt;0,MIN(0.0005*ETo!$M280*Escenarios!$F$17*(BG280/Constantes!$F$40)^(2/3),BG280+AY281+AZ281+BA281+BB281),0)</f>
        <v>0</v>
      </c>
      <c r="BD281" s="170">
        <f>IF(Escenarios!$F$17&gt;0,MIN(Constantes!$F$39*(BG280/Constantes!$F$40)^(2/3),BG280+AY281+AZ281+BA281+BB281-BC281),0)</f>
        <v>0</v>
      </c>
      <c r="BE281" s="170">
        <f>IF(Escenarios!$F$17&gt;0,MIN(Entradas!$F$113,BG280+AY281+AZ281+BA281+BB281-BC281-BD281),0)</f>
        <v>0</v>
      </c>
      <c r="BF281" s="170">
        <f>IF(Escenarios!$F$17&gt;0,MAX(0,BG280+AY281+AZ281+BA281+BB281-BC281-BD281-BE281-Constantes!$F$40),0)</f>
        <v>0</v>
      </c>
      <c r="BG281" s="170">
        <f t="shared" si="67"/>
        <v>0</v>
      </c>
      <c r="BH281" s="170">
        <f>(Escenarios!$F$16*AK281+0.1*BC281)/(Escenarios!$F$19)</f>
        <v>0.20598852254810265</v>
      </c>
      <c r="BI281" s="170">
        <f>IF(Escenarios!$F$17&gt;0,BF281/10/Escenarios!$F$19,AL281)</f>
        <v>0</v>
      </c>
      <c r="BJ281" s="170">
        <f>(Escenarios!$F$16*AT281+0.1*BD281)/(Escenarios!$F$19)</f>
        <v>0</v>
      </c>
      <c r="BK281" s="76">
        <f>BK280+(0.1*BD281)/(Escenarios!$F$19)-BL280</f>
        <v>48.75</v>
      </c>
      <c r="BL281" s="76">
        <f>MAX(0,(BK281-Constantes!$D$13)*(1-EXP(-Constantes!$D$23)))</f>
        <v>0</v>
      </c>
      <c r="BM281" s="76">
        <f t="shared" si="68"/>
        <v>0.19112059756485514</v>
      </c>
      <c r="BN281" s="76">
        <f t="shared" si="69"/>
        <v>0.19112086595939473</v>
      </c>
      <c r="BO281" s="76">
        <f>0.0526*BI281*Observaciones!$F280^1.218</f>
        <v>0</v>
      </c>
      <c r="BP281" s="76">
        <f>BO281*Constantes!$F$51</f>
        <v>0</v>
      </c>
      <c r="BQ281" s="76">
        <f t="shared" si="70"/>
        <v>0</v>
      </c>
      <c r="BR281" s="40"/>
    </row>
    <row r="282" spans="2:70">
      <c r="B282" s="39"/>
      <c r="C282" s="75">
        <v>276</v>
      </c>
      <c r="D282" s="146">
        <f>ETo!$I281*((1-Constantes!$F$19)*ETo!$K281+ETo!$L281)</f>
        <v>4.2624974070085706</v>
      </c>
      <c r="E282" s="76">
        <f>MIN(D282*Constantes!$F$17,0.8*(N281+Observaciones!$F281-F282-M282-Constantes!$D$14))</f>
        <v>7.1629107580406533E-6</v>
      </c>
      <c r="F282" s="76">
        <f>IF(Observaciones!$F281&gt;0.05*Constantes!$F$18,((Observaciones!$F281-0.05*Constantes!$F$18)^2)/(Observaciones!$F281+0.95*Constantes!$F$18),0)</f>
        <v>0</v>
      </c>
      <c r="G282" s="76">
        <f>IF(Escenarios!$F$11&gt;0,(F282*Escenarios!$F$16*10000)/1000,0)</f>
        <v>0</v>
      </c>
      <c r="H282" s="76">
        <f>IF(Escenarios!$F$11&gt;0,(Observaciones!$F281*Constantes!$F$29)/1000,0)</f>
        <v>0</v>
      </c>
      <c r="I282" s="76">
        <f>IF(Escenarios!$F$11&gt;0,(D282*Constantes!$F$29)/1000,0)</f>
        <v>0</v>
      </c>
      <c r="J282" s="76">
        <f>IF(Escenarios!$F$11&gt;0,MAX(0,G282+H282-I282),0)</f>
        <v>0</v>
      </c>
      <c r="K282" s="76">
        <f>IF(Escenarios!$F$11&gt;0,IF(J282&gt;Constantes!$F$30,1000*((J282-Constantes!$F$30)/(Escenarios!$F$16*10000)),0),F282)</f>
        <v>0</v>
      </c>
      <c r="L282" s="76">
        <f>IF(Escenarios!$F$11&gt;0,I282*1000/Escenarios!$F$16/10000+E282,E282)</f>
        <v>7.1629107580406533E-6</v>
      </c>
      <c r="M282" s="76">
        <f>MAX(0,N281+Observaciones!$F281-K282-Constantes!$D$13)</f>
        <v>0</v>
      </c>
      <c r="N282" s="76">
        <f>N281+Observaciones!$F281-K282-L282-M282-O281</f>
        <v>11.250001485733893</v>
      </c>
      <c r="O282" s="76">
        <f>MAX(0,(N282-Constantes!$D$14)*(1-EXP(-Constantes!$D$22)))</f>
        <v>5.0609550644782645E-8</v>
      </c>
      <c r="P282" s="170">
        <f>P281+(Entradas!$F$83*M282-Q281)/(800*Entradas!$D$25)</f>
        <v>0</v>
      </c>
      <c r="Q282" s="170">
        <f>8000*Entradas!$D$26*P282/Constantes!$F$45</f>
        <v>0</v>
      </c>
      <c r="R282" s="170">
        <f>IF(Escenarios!$F$14&gt;0,K282*Escenarios!$F$13/Escenarios!$F$14,0)</f>
        <v>0</v>
      </c>
      <c r="S282" s="170">
        <f>IF(Escenarios!$F$14&gt;0,Q282*Escenarios!$F$13/Escenarios!$F$14,0)</f>
        <v>0</v>
      </c>
      <c r="T282" s="170">
        <f>IF(Escenarios!$F$14&gt;0,Observaciones!$I281,0)</f>
        <v>0</v>
      </c>
      <c r="U282" s="170">
        <f>IF(Escenarios!$F$14&gt;0,MAX(0,Constantes!$F$36/((Z281+R282+S282+T282+Observaciones!$F281)^2)+Entradas!$F$77),0)</f>
        <v>0</v>
      </c>
      <c r="V282" s="146">
        <f>IF(ETo!D281&gt;0,ETo!I281*((1-Entradas!$F$81)*ETo!K281+ETo!L281),0)</f>
        <v>3.781615417172135</v>
      </c>
      <c r="W282" s="170">
        <f>IF(Escenarios!$F$14&gt;0,MIN(V282*1,0.8*(Z281+R282+S282+T282+Observaciones!$F281-U282-Constantes!$F$35)),0)</f>
        <v>1.355948297714349E-5</v>
      </c>
      <c r="X282" s="170">
        <f>IF(Escenarios!$F$14&gt;0,Observaciones!$J281,0)</f>
        <v>0</v>
      </c>
      <c r="Y282" s="170">
        <f>IF(Escenarios!$F$14&gt;0,MAX(0,Z281+R282+S282+T282+Observaciones!$F281-U282-W282-X282-Constantes!$F$33),0)</f>
        <v>0</v>
      </c>
      <c r="Z282" s="170">
        <f>Z281+R282+S282+T282+Observaciones!$F281-U282-W282-Y282</f>
        <v>41.250003389870741</v>
      </c>
      <c r="AA282" s="170">
        <f>IF(Escenarios!$F$14&gt;0,(Escenarios!$F$13*L282+Escenarios!$F$14*W282)/(Escenarios!$F$16),L282)</f>
        <v>7.9304994243329951E-6</v>
      </c>
      <c r="AB282" s="170">
        <f>IF(Escenarios!$F$14&gt;0,(Escenarios!$F$14*Y282)/(Escenarios!$F$16),K282)</f>
        <v>0</v>
      </c>
      <c r="AC282" s="170">
        <f>IF(Escenarios!$F$14&gt;0,(Escenarios!$F$13*M282+Escenarios!$F$14*U282)/(Escenarios!$F$16),M282)</f>
        <v>0</v>
      </c>
      <c r="AD282" s="76">
        <f t="shared" si="57"/>
        <v>66.853518166274611</v>
      </c>
      <c r="AE282" s="76">
        <f>MAX(0,(AD282-Constantes!$D$13)*(1-EXP(-Constantes!$D$23)))</f>
        <v>0.17837827641439025</v>
      </c>
      <c r="AF282" s="76">
        <f>AB282+O282*Escenarios!$F$13/Escenarios!$F$16+AE282</f>
        <v>0.17837832095079481</v>
      </c>
      <c r="AG282" s="76">
        <f>IF(Entradas!$F$91&gt;0,IF(AF282-Escenarios!$F$38&lt;=0,0,IF(AF282-Escenarios!$F$38&gt;Escenarios!$F$37,Escenarios!$F$37,AF282-Escenarios!$F$38)),0)</f>
        <v>0</v>
      </c>
      <c r="AH282" s="76">
        <f>AG282*Entradas!$F$99</f>
        <v>0</v>
      </c>
      <c r="AI282" s="76">
        <f>IF(Entradas!$F$91&gt;0,D282*Entradas!$D$23/Escenarios!$F$16,0)</f>
        <v>0.2045998755364114</v>
      </c>
      <c r="AJ282" s="76">
        <f>IF(Entradas!$F$91&gt;0,Entradas!$D$24*Entradas!$D$22/Escenarios!$F$16,0)</f>
        <v>0.12</v>
      </c>
      <c r="AK282" s="76">
        <f t="shared" si="58"/>
        <v>0.20460780603583573</v>
      </c>
      <c r="AL282" s="76">
        <f t="shared" si="59"/>
        <v>0</v>
      </c>
      <c r="AM282" s="76">
        <f t="shared" si="60"/>
        <v>0</v>
      </c>
      <c r="AN282" s="76">
        <f>MAX(0,O282*Escenarios!$F$13/Escenarios!$F$16-AM282)</f>
        <v>4.4536404567408729E-8</v>
      </c>
      <c r="AO282" s="76">
        <f>AM282+AN282-O282*Escenarios!$F$13/Escenarios!$F$16</f>
        <v>0</v>
      </c>
      <c r="AP282" s="76">
        <f t="shared" si="61"/>
        <v>0.17837827641439025</v>
      </c>
      <c r="AQ282" s="76">
        <f t="shared" si="62"/>
        <v>0</v>
      </c>
      <c r="AR282" s="76">
        <f t="shared" si="63"/>
        <v>0.17837832095079481</v>
      </c>
      <c r="AS282" s="76">
        <f t="shared" si="64"/>
        <v>0</v>
      </c>
      <c r="AT282" s="76">
        <f t="shared" si="65"/>
        <v>0</v>
      </c>
      <c r="AU282" s="76">
        <f t="shared" si="66"/>
        <v>49.456536849552293</v>
      </c>
      <c r="AV282" s="76">
        <f>MAX(0,(AU282-Constantes!$D$13)*(1-EXP(-Constantes!$D$24)))</f>
        <v>1.0799590306335398E-2</v>
      </c>
      <c r="AW282" s="170">
        <f>AW281+(Entradas!$F$112*AT282-AX281)/(800*Entradas!$D$25)</f>
        <v>0</v>
      </c>
      <c r="AX282" s="170">
        <f>8000*Entradas!$D$26*AW282/Constantes!$F$45</f>
        <v>0</v>
      </c>
      <c r="AY282" s="170">
        <f>IF(Escenarios!$F$17&gt;0,10*Escenarios!$F$16*AL282,0)</f>
        <v>0</v>
      </c>
      <c r="AZ282" s="170">
        <f>IF(Escenarios!$F$17&gt;0,10*Escenarios!$F$16*AX282,0)</f>
        <v>0</v>
      </c>
      <c r="BA282" s="170">
        <f>IF(Escenarios!$F$17&gt;0,0.001*Observaciones!$F281*Escenarios!$F$17,0)</f>
        <v>0</v>
      </c>
      <c r="BB282" s="170">
        <f>IF(Escenarios!$F$17&gt;0,Observaciones!$K281,0)</f>
        <v>0</v>
      </c>
      <c r="BC282" s="170">
        <f>IF(Escenarios!$F$17&gt;0,MIN(0.0005*ETo!$M281*Escenarios!$F$17*(BG281/Constantes!$F$40)^(2/3),BG281+AY282+AZ282+BA282+BB282),0)</f>
        <v>0</v>
      </c>
      <c r="BD282" s="170">
        <f>IF(Escenarios!$F$17&gt;0,MIN(Constantes!$F$39*(BG281/Constantes!$F$40)^(2/3),BG281+AY282+AZ282+BA282+BB282-BC282),0)</f>
        <v>0</v>
      </c>
      <c r="BE282" s="170">
        <f>IF(Escenarios!$F$17&gt;0,MIN(Entradas!$F$113,BG281+AY282+AZ282+BA282+BB282-BC282-BD282),0)</f>
        <v>0</v>
      </c>
      <c r="BF282" s="170">
        <f>IF(Escenarios!$F$17&gt;0,MAX(0,BG281+AY282+AZ282+BA282+BB282-BC282-BD282-BE282-Constantes!$F$40),0)</f>
        <v>0</v>
      </c>
      <c r="BG282" s="170">
        <f t="shared" si="67"/>
        <v>0</v>
      </c>
      <c r="BH282" s="170">
        <f>(Escenarios!$F$16*AK282+0.1*BC282)/(Escenarios!$F$19)</f>
        <v>0.20460780603583573</v>
      </c>
      <c r="BI282" s="170">
        <f>IF(Escenarios!$F$17&gt;0,BF282/10/Escenarios!$F$19,AL282)</f>
        <v>0</v>
      </c>
      <c r="BJ282" s="170">
        <f>(Escenarios!$F$16*AT282+0.1*BD282)/(Escenarios!$F$19)</f>
        <v>0</v>
      </c>
      <c r="BK282" s="76">
        <f>BK281+(0.1*BD282)/(Escenarios!$F$19)-BL281</f>
        <v>48.75</v>
      </c>
      <c r="BL282" s="76">
        <f>MAX(0,(BK282-Constantes!$D$13)*(1-EXP(-Constantes!$D$23)))</f>
        <v>0</v>
      </c>
      <c r="BM282" s="76">
        <f t="shared" si="68"/>
        <v>0.18917786672072565</v>
      </c>
      <c r="BN282" s="76">
        <f t="shared" si="69"/>
        <v>0.18917791125713021</v>
      </c>
      <c r="BO282" s="76">
        <f>0.0526*BI282*Observaciones!$F281^1.218</f>
        <v>0</v>
      </c>
      <c r="BP282" s="76">
        <f>BO282*Constantes!$F$51</f>
        <v>0</v>
      </c>
      <c r="BQ282" s="76">
        <f t="shared" si="70"/>
        <v>0</v>
      </c>
      <c r="BR282" s="40"/>
    </row>
    <row r="283" spans="2:70">
      <c r="B283" s="39"/>
      <c r="C283" s="75">
        <v>277</v>
      </c>
      <c r="D283" s="146">
        <f>ETo!$I282*((1-Constantes!$F$19)*ETo!$K282+ETo!$L282)</f>
        <v>3.8396086117509158</v>
      </c>
      <c r="E283" s="76">
        <f>MIN(D283*Constantes!$F$17,0.8*(N282+Observaciones!$F282-F283-M283-Constantes!$D$14))</f>
        <v>1.1885871145977946E-6</v>
      </c>
      <c r="F283" s="76">
        <f>IF(Observaciones!$F282&gt;0.05*Constantes!$F$18,((Observaciones!$F282-0.05*Constantes!$F$18)^2)/(Observaciones!$F282+0.95*Constantes!$F$18),0)</f>
        <v>0</v>
      </c>
      <c r="G283" s="76">
        <f>IF(Escenarios!$F$11&gt;0,(F283*Escenarios!$F$16*10000)/1000,0)</f>
        <v>0</v>
      </c>
      <c r="H283" s="76">
        <f>IF(Escenarios!$F$11&gt;0,(Observaciones!$F282*Constantes!$F$29)/1000,0)</f>
        <v>0</v>
      </c>
      <c r="I283" s="76">
        <f>IF(Escenarios!$F$11&gt;0,(D283*Constantes!$F$29)/1000,0)</f>
        <v>0</v>
      </c>
      <c r="J283" s="76">
        <f>IF(Escenarios!$F$11&gt;0,MAX(0,G283+H283-I283),0)</f>
        <v>0</v>
      </c>
      <c r="K283" s="76">
        <f>IF(Escenarios!$F$11&gt;0,IF(J283&gt;Constantes!$F$30,1000*((J283-Constantes!$F$30)/(Escenarios!$F$16*10000)),0),F283)</f>
        <v>0</v>
      </c>
      <c r="L283" s="76">
        <f>IF(Escenarios!$F$11&gt;0,I283*1000/Escenarios!$F$16/10000+E283,E283)</f>
        <v>1.1885871145977946E-6</v>
      </c>
      <c r="M283" s="76">
        <f>MAX(0,N282+Observaciones!$F282-K283-Constantes!$D$13)</f>
        <v>0</v>
      </c>
      <c r="N283" s="76">
        <f>N282+Observaciones!$F282-K283-L283-M283-O282</f>
        <v>11.250000246537228</v>
      </c>
      <c r="O283" s="76">
        <f>MAX(0,(N283-Constantes!$D$14)*(1-EXP(-Constantes!$D$22)))</f>
        <v>8.3979630412093953E-9</v>
      </c>
      <c r="P283" s="170">
        <f>P282+(Entradas!$F$83*M283-Q282)/(800*Entradas!$D$25)</f>
        <v>0</v>
      </c>
      <c r="Q283" s="170">
        <f>8000*Entradas!$D$26*P283/Constantes!$F$45</f>
        <v>0</v>
      </c>
      <c r="R283" s="170">
        <f>IF(Escenarios!$F$14&gt;0,K283*Escenarios!$F$13/Escenarios!$F$14,0)</f>
        <v>0</v>
      </c>
      <c r="S283" s="170">
        <f>IF(Escenarios!$F$14&gt;0,Q283*Escenarios!$F$13/Escenarios!$F$14,0)</f>
        <v>0</v>
      </c>
      <c r="T283" s="170">
        <f>IF(Escenarios!$F$14&gt;0,Observaciones!$I282,0)</f>
        <v>0</v>
      </c>
      <c r="U283" s="170">
        <f>IF(Escenarios!$F$14&gt;0,MAX(0,Constantes!$F$36/((Z282+R283+S283+T283+Observaciones!$F282)^2)+Entradas!$F$77),0)</f>
        <v>0</v>
      </c>
      <c r="V283" s="146">
        <f>IF(ETo!D282&gt;0,ETo!I282*((1-Entradas!$F$81)*ETo!K282+ETo!L282),0)</f>
        <v>3.4027710278628169</v>
      </c>
      <c r="W283" s="170">
        <f>IF(Escenarios!$F$14&gt;0,MIN(V283*1,0.8*(Z282+R283+S283+T283+Observaciones!$F282-U283-Constantes!$F$35)),0)</f>
        <v>2.7118965931549613E-6</v>
      </c>
      <c r="X283" s="170">
        <f>IF(Escenarios!$F$14&gt;0,Observaciones!$J282,0)</f>
        <v>0</v>
      </c>
      <c r="Y283" s="170">
        <f>IF(Escenarios!$F$14&gt;0,MAX(0,Z282+R283+S283+T283+Observaciones!$F282-U283-W283-X283-Constantes!$F$33),0)</f>
        <v>0</v>
      </c>
      <c r="Z283" s="170">
        <f>Z282+R283+S283+T283+Observaciones!$F282-U283-W283-Y283</f>
        <v>41.25000067797415</v>
      </c>
      <c r="AA283" s="170">
        <f>IF(Escenarios!$F$14&gt;0,(Escenarios!$F$13*L283+Escenarios!$F$14*W283)/(Escenarios!$F$16),L283)</f>
        <v>1.3713842520246545E-6</v>
      </c>
      <c r="AB283" s="170">
        <f>IF(Escenarios!$F$14&gt;0,(Escenarios!$F$14*Y283)/(Escenarios!$F$16),K283)</f>
        <v>0</v>
      </c>
      <c r="AC283" s="170">
        <f>IF(Escenarios!$F$14&gt;0,(Escenarios!$F$13*M283+Escenarios!$F$14*U283)/(Escenarios!$F$16),M283)</f>
        <v>0</v>
      </c>
      <c r="AD283" s="76">
        <f t="shared" si="57"/>
        <v>66.675139889860219</v>
      </c>
      <c r="AE283" s="76">
        <f>MAX(0,(AD283-Constantes!$D$13)*(1-EXP(-Constantes!$D$23)))</f>
        <v>0.17662067277048391</v>
      </c>
      <c r="AF283" s="76">
        <f>AB283+O283*Escenarios!$F$13/Escenarios!$F$16+AE283</f>
        <v>0.17662068016069138</v>
      </c>
      <c r="AG283" s="76">
        <f>IF(Entradas!$F$91&gt;0,IF(AF283-Escenarios!$F$38&lt;=0,0,IF(AF283-Escenarios!$F$38&gt;Escenarios!$F$37,Escenarios!$F$37,AF283-Escenarios!$F$38)),0)</f>
        <v>0</v>
      </c>
      <c r="AH283" s="76">
        <f>AG283*Entradas!$F$99</f>
        <v>0</v>
      </c>
      <c r="AI283" s="76">
        <f>IF(Entradas!$F$91&gt;0,D283*Entradas!$D$23/Escenarios!$F$16,0)</f>
        <v>0.18430121336404398</v>
      </c>
      <c r="AJ283" s="76">
        <f>IF(Entradas!$F$91&gt;0,Entradas!$D$24*Entradas!$D$22/Escenarios!$F$16,0)</f>
        <v>0.12</v>
      </c>
      <c r="AK283" s="76">
        <f t="shared" si="58"/>
        <v>0.184302584748296</v>
      </c>
      <c r="AL283" s="76">
        <f t="shared" si="59"/>
        <v>0</v>
      </c>
      <c r="AM283" s="76">
        <f t="shared" si="60"/>
        <v>0</v>
      </c>
      <c r="AN283" s="76">
        <f>MAX(0,O283*Escenarios!$F$13/Escenarios!$F$16-AM283)</f>
        <v>7.3902074762642677E-9</v>
      </c>
      <c r="AO283" s="76">
        <f>AM283+AN283-O283*Escenarios!$F$13/Escenarios!$F$16</f>
        <v>0</v>
      </c>
      <c r="AP283" s="76">
        <f t="shared" si="61"/>
        <v>0.17662067277048391</v>
      </c>
      <c r="AQ283" s="76">
        <f t="shared" si="62"/>
        <v>0</v>
      </c>
      <c r="AR283" s="76">
        <f t="shared" si="63"/>
        <v>0.17662068016069138</v>
      </c>
      <c r="AS283" s="76">
        <f t="shared" si="64"/>
        <v>0</v>
      </c>
      <c r="AT283" s="76">
        <f t="shared" si="65"/>
        <v>0</v>
      </c>
      <c r="AU283" s="76">
        <f t="shared" si="66"/>
        <v>49.445737259245959</v>
      </c>
      <c r="AV283" s="76">
        <f>MAX(0,(AU283-Constantes!$D$13)*(1-EXP(-Constantes!$D$24)))</f>
        <v>1.0634515900296159E-2</v>
      </c>
      <c r="AW283" s="170">
        <f>AW282+(Entradas!$F$112*AT283-AX282)/(800*Entradas!$D$25)</f>
        <v>0</v>
      </c>
      <c r="AX283" s="170">
        <f>8000*Entradas!$D$26*AW283/Constantes!$F$45</f>
        <v>0</v>
      </c>
      <c r="AY283" s="170">
        <f>IF(Escenarios!$F$17&gt;0,10*Escenarios!$F$16*AL283,0)</f>
        <v>0</v>
      </c>
      <c r="AZ283" s="170">
        <f>IF(Escenarios!$F$17&gt;0,10*Escenarios!$F$16*AX283,0)</f>
        <v>0</v>
      </c>
      <c r="BA283" s="170">
        <f>IF(Escenarios!$F$17&gt;0,0.001*Observaciones!$F282*Escenarios!$F$17,0)</f>
        <v>0</v>
      </c>
      <c r="BB283" s="170">
        <f>IF(Escenarios!$F$17&gt;0,Observaciones!$K282,0)</f>
        <v>0</v>
      </c>
      <c r="BC283" s="170">
        <f>IF(Escenarios!$F$17&gt;0,MIN(0.0005*ETo!$M282*Escenarios!$F$17*(BG282/Constantes!$F$40)^(2/3),BG282+AY283+AZ283+BA283+BB283),0)</f>
        <v>0</v>
      </c>
      <c r="BD283" s="170">
        <f>IF(Escenarios!$F$17&gt;0,MIN(Constantes!$F$39*(BG282/Constantes!$F$40)^(2/3),BG282+AY283+AZ283+BA283+BB283-BC283),0)</f>
        <v>0</v>
      </c>
      <c r="BE283" s="170">
        <f>IF(Escenarios!$F$17&gt;0,MIN(Entradas!$F$113,BG282+AY283+AZ283+BA283+BB283-BC283-BD283),0)</f>
        <v>0</v>
      </c>
      <c r="BF283" s="170">
        <f>IF(Escenarios!$F$17&gt;0,MAX(0,BG282+AY283+AZ283+BA283+BB283-BC283-BD283-BE283-Constantes!$F$40),0)</f>
        <v>0</v>
      </c>
      <c r="BG283" s="170">
        <f t="shared" si="67"/>
        <v>0</v>
      </c>
      <c r="BH283" s="170">
        <f>(Escenarios!$F$16*AK283+0.1*BC283)/(Escenarios!$F$19)</f>
        <v>0.184302584748296</v>
      </c>
      <c r="BI283" s="170">
        <f>IF(Escenarios!$F$17&gt;0,BF283/10/Escenarios!$F$19,AL283)</f>
        <v>0</v>
      </c>
      <c r="BJ283" s="170">
        <f>(Escenarios!$F$16*AT283+0.1*BD283)/(Escenarios!$F$19)</f>
        <v>0</v>
      </c>
      <c r="BK283" s="76">
        <f>BK282+(0.1*BD283)/(Escenarios!$F$19)-BL282</f>
        <v>48.75</v>
      </c>
      <c r="BL283" s="76">
        <f>MAX(0,(BK283-Constantes!$D$13)*(1-EXP(-Constantes!$D$23)))</f>
        <v>0</v>
      </c>
      <c r="BM283" s="76">
        <f t="shared" si="68"/>
        <v>0.18725518867078006</v>
      </c>
      <c r="BN283" s="76">
        <f t="shared" si="69"/>
        <v>0.18725519606098753</v>
      </c>
      <c r="BO283" s="76">
        <f>0.0526*BI283*Observaciones!$F282^1.218</f>
        <v>0</v>
      </c>
      <c r="BP283" s="76">
        <f>BO283*Constantes!$F$51</f>
        <v>0</v>
      </c>
      <c r="BQ283" s="76">
        <f t="shared" si="70"/>
        <v>0</v>
      </c>
      <c r="BR283" s="40"/>
    </row>
    <row r="284" spans="2:70">
      <c r="B284" s="39"/>
      <c r="C284" s="75">
        <v>278</v>
      </c>
      <c r="D284" s="146">
        <f>ETo!$I283*((1-Constantes!$F$19)*ETo!$K283+ETo!$L283)</f>
        <v>4.3248768228930059</v>
      </c>
      <c r="E284" s="76">
        <f>MIN(D284*Constantes!$F$17,0.8*(N283+Observaciones!$F283-F284-M284-Constantes!$D$14))</f>
        <v>1.9722978237268764E-7</v>
      </c>
      <c r="F284" s="76">
        <f>IF(Observaciones!$F283&gt;0.05*Constantes!$F$18,((Observaciones!$F283-0.05*Constantes!$F$18)^2)/(Observaciones!$F283+0.95*Constantes!$F$18),0)</f>
        <v>0</v>
      </c>
      <c r="G284" s="76">
        <f>IF(Escenarios!$F$11&gt;0,(F284*Escenarios!$F$16*10000)/1000,0)</f>
        <v>0</v>
      </c>
      <c r="H284" s="76">
        <f>IF(Escenarios!$F$11&gt;0,(Observaciones!$F283*Constantes!$F$29)/1000,0)</f>
        <v>0</v>
      </c>
      <c r="I284" s="76">
        <f>IF(Escenarios!$F$11&gt;0,(D284*Constantes!$F$29)/1000,0)</f>
        <v>0</v>
      </c>
      <c r="J284" s="76">
        <f>IF(Escenarios!$F$11&gt;0,MAX(0,G284+H284-I284),0)</f>
        <v>0</v>
      </c>
      <c r="K284" s="76">
        <f>IF(Escenarios!$F$11&gt;0,IF(J284&gt;Constantes!$F$30,1000*((J284-Constantes!$F$30)/(Escenarios!$F$16*10000)),0),F284)</f>
        <v>0</v>
      </c>
      <c r="L284" s="76">
        <f>IF(Escenarios!$F$11&gt;0,I284*1000/Escenarios!$F$16/10000+E284,E284)</f>
        <v>1.9722978237268764E-7</v>
      </c>
      <c r="M284" s="76">
        <f>MAX(0,N283+Observaciones!$F283-K284-Constantes!$D$13)</f>
        <v>0</v>
      </c>
      <c r="N284" s="76">
        <f>N283+Observaciones!$F283-K284-L284-M284-O283</f>
        <v>11.250000040909482</v>
      </c>
      <c r="O284" s="76">
        <f>MAX(0,(N284-Constantes!$D$14)*(1-EXP(-Constantes!$D$22)))</f>
        <v>1.3935271395264802E-9</v>
      </c>
      <c r="P284" s="170">
        <f>P283+(Entradas!$F$83*M284-Q283)/(800*Entradas!$D$25)</f>
        <v>0</v>
      </c>
      <c r="Q284" s="170">
        <f>8000*Entradas!$D$26*P284/Constantes!$F$45</f>
        <v>0</v>
      </c>
      <c r="R284" s="170">
        <f>IF(Escenarios!$F$14&gt;0,K284*Escenarios!$F$13/Escenarios!$F$14,0)</f>
        <v>0</v>
      </c>
      <c r="S284" s="170">
        <f>IF(Escenarios!$F$14&gt;0,Q284*Escenarios!$F$13/Escenarios!$F$14,0)</f>
        <v>0</v>
      </c>
      <c r="T284" s="170">
        <f>IF(Escenarios!$F$14&gt;0,Observaciones!$I283,0)</f>
        <v>0</v>
      </c>
      <c r="U284" s="170">
        <f>IF(Escenarios!$F$14&gt;0,MAX(0,Constantes!$F$36/((Z283+R284+S284+T284+Observaciones!$F283)^2)+Entradas!$F$77),0)</f>
        <v>0</v>
      </c>
      <c r="V284" s="146">
        <f>IF(ETo!D283&gt;0,ETo!I283*((1-Entradas!$F$81)*ETo!K283+ETo!L283),0)</f>
        <v>3.8382725895323362</v>
      </c>
      <c r="W284" s="170">
        <f>IF(Escenarios!$F$14&gt;0,MIN(V284*1,0.8*(Z283+R284+S284+T284+Observaciones!$F283-U284-Constantes!$F$35)),0)</f>
        <v>5.423793197678606E-7</v>
      </c>
      <c r="X284" s="170">
        <f>IF(Escenarios!$F$14&gt;0,Observaciones!$J283,0)</f>
        <v>0</v>
      </c>
      <c r="Y284" s="170">
        <f>IF(Escenarios!$F$14&gt;0,MAX(0,Z283+R284+S284+T284+Observaciones!$F283-U284-W284-X284-Constantes!$F$33),0)</f>
        <v>0</v>
      </c>
      <c r="Z284" s="170">
        <f>Z283+R284+S284+T284+Observaciones!$F283-U284-W284-Y284</f>
        <v>41.250000135594831</v>
      </c>
      <c r="AA284" s="170">
        <f>IF(Escenarios!$F$14&gt;0,(Escenarios!$F$13*L284+Escenarios!$F$14*W284)/(Escenarios!$F$16),L284)</f>
        <v>2.3864772686010843E-7</v>
      </c>
      <c r="AB284" s="170">
        <f>IF(Escenarios!$F$14&gt;0,(Escenarios!$F$14*Y284)/(Escenarios!$F$16),K284)</f>
        <v>0</v>
      </c>
      <c r="AC284" s="170">
        <f>IF(Escenarios!$F$14&gt;0,(Escenarios!$F$13*M284+Escenarios!$F$14*U284)/(Escenarios!$F$16),M284)</f>
        <v>0</v>
      </c>
      <c r="AD284" s="76">
        <f t="shared" si="57"/>
        <v>66.498519217089736</v>
      </c>
      <c r="AE284" s="76">
        <f>MAX(0,(AD284-Constantes!$D$13)*(1-EXP(-Constantes!$D$23)))</f>
        <v>0.17488038721390955</v>
      </c>
      <c r="AF284" s="76">
        <f>AB284+O284*Escenarios!$F$13/Escenarios!$F$16+AE284</f>
        <v>0.17488038844021345</v>
      </c>
      <c r="AG284" s="76">
        <f>IF(Entradas!$F$91&gt;0,IF(AF284-Escenarios!$F$38&lt;=0,0,IF(AF284-Escenarios!$F$38&gt;Escenarios!$F$37,Escenarios!$F$37,AF284-Escenarios!$F$38)),0)</f>
        <v>0</v>
      </c>
      <c r="AH284" s="76">
        <f>AG284*Entradas!$F$99</f>
        <v>0</v>
      </c>
      <c r="AI284" s="76">
        <f>IF(Entradas!$F$91&gt;0,D284*Entradas!$D$23/Escenarios!$F$16,0)</f>
        <v>0.20759408749886427</v>
      </c>
      <c r="AJ284" s="76">
        <f>IF(Entradas!$F$91&gt;0,Entradas!$D$24*Entradas!$D$22/Escenarios!$F$16,0)</f>
        <v>0.12</v>
      </c>
      <c r="AK284" s="76">
        <f t="shared" si="58"/>
        <v>0.20759432614659112</v>
      </c>
      <c r="AL284" s="76">
        <f t="shared" si="59"/>
        <v>0</v>
      </c>
      <c r="AM284" s="76">
        <f t="shared" si="60"/>
        <v>0</v>
      </c>
      <c r="AN284" s="76">
        <f>MAX(0,O284*Escenarios!$F$13/Escenarios!$F$16-AM284)</f>
        <v>1.2263038827833026E-9</v>
      </c>
      <c r="AO284" s="76">
        <f>AM284+AN284-O284*Escenarios!$F$13/Escenarios!$F$16</f>
        <v>0</v>
      </c>
      <c r="AP284" s="76">
        <f t="shared" si="61"/>
        <v>0.17488038721390955</v>
      </c>
      <c r="AQ284" s="76">
        <f t="shared" si="62"/>
        <v>0</v>
      </c>
      <c r="AR284" s="76">
        <f t="shared" si="63"/>
        <v>0.17488038844021345</v>
      </c>
      <c r="AS284" s="76">
        <f t="shared" si="64"/>
        <v>0</v>
      </c>
      <c r="AT284" s="76">
        <f t="shared" si="65"/>
        <v>0</v>
      </c>
      <c r="AU284" s="76">
        <f t="shared" si="66"/>
        <v>49.435102743345666</v>
      </c>
      <c r="AV284" s="76">
        <f>MAX(0,(AU284-Constantes!$D$13)*(1-EXP(-Constantes!$D$24)))</f>
        <v>1.0471964697337466E-2</v>
      </c>
      <c r="AW284" s="170">
        <f>AW283+(Entradas!$F$112*AT284-AX283)/(800*Entradas!$D$25)</f>
        <v>0</v>
      </c>
      <c r="AX284" s="170">
        <f>8000*Entradas!$D$26*AW284/Constantes!$F$45</f>
        <v>0</v>
      </c>
      <c r="AY284" s="170">
        <f>IF(Escenarios!$F$17&gt;0,10*Escenarios!$F$16*AL284,0)</f>
        <v>0</v>
      </c>
      <c r="AZ284" s="170">
        <f>IF(Escenarios!$F$17&gt;0,10*Escenarios!$F$16*AX284,0)</f>
        <v>0</v>
      </c>
      <c r="BA284" s="170">
        <f>IF(Escenarios!$F$17&gt;0,0.001*Observaciones!$F283*Escenarios!$F$17,0)</f>
        <v>0</v>
      </c>
      <c r="BB284" s="170">
        <f>IF(Escenarios!$F$17&gt;0,Observaciones!$K283,0)</f>
        <v>0</v>
      </c>
      <c r="BC284" s="170">
        <f>IF(Escenarios!$F$17&gt;0,MIN(0.0005*ETo!$M283*Escenarios!$F$17*(BG283/Constantes!$F$40)^(2/3),BG283+AY284+AZ284+BA284+BB284),0)</f>
        <v>0</v>
      </c>
      <c r="BD284" s="170">
        <f>IF(Escenarios!$F$17&gt;0,MIN(Constantes!$F$39*(BG283/Constantes!$F$40)^(2/3),BG283+AY284+AZ284+BA284+BB284-BC284),0)</f>
        <v>0</v>
      </c>
      <c r="BE284" s="170">
        <f>IF(Escenarios!$F$17&gt;0,MIN(Entradas!$F$113,BG283+AY284+AZ284+BA284+BB284-BC284-BD284),0)</f>
        <v>0</v>
      </c>
      <c r="BF284" s="170">
        <f>IF(Escenarios!$F$17&gt;0,MAX(0,BG283+AY284+AZ284+BA284+BB284-BC284-BD284-BE284-Constantes!$F$40),0)</f>
        <v>0</v>
      </c>
      <c r="BG284" s="170">
        <f t="shared" si="67"/>
        <v>0</v>
      </c>
      <c r="BH284" s="170">
        <f>(Escenarios!$F$16*AK284+0.1*BC284)/(Escenarios!$F$19)</f>
        <v>0.20759432614659112</v>
      </c>
      <c r="BI284" s="170">
        <f>IF(Escenarios!$F$17&gt;0,BF284/10/Escenarios!$F$19,AL284)</f>
        <v>0</v>
      </c>
      <c r="BJ284" s="170">
        <f>(Escenarios!$F$16*AT284+0.1*BD284)/(Escenarios!$F$19)</f>
        <v>0</v>
      </c>
      <c r="BK284" s="76">
        <f>BK283+(0.1*BD284)/(Escenarios!$F$19)-BL283</f>
        <v>48.75</v>
      </c>
      <c r="BL284" s="76">
        <f>MAX(0,(BK284-Constantes!$D$13)*(1-EXP(-Constantes!$D$23)))</f>
        <v>0</v>
      </c>
      <c r="BM284" s="76">
        <f t="shared" si="68"/>
        <v>0.18535235191124702</v>
      </c>
      <c r="BN284" s="76">
        <f t="shared" si="69"/>
        <v>0.18535235313755091</v>
      </c>
      <c r="BO284" s="76">
        <f>0.0526*BI284*Observaciones!$F283^1.218</f>
        <v>0</v>
      </c>
      <c r="BP284" s="76">
        <f>BO284*Constantes!$F$51</f>
        <v>0</v>
      </c>
      <c r="BQ284" s="76">
        <f t="shared" si="70"/>
        <v>0</v>
      </c>
      <c r="BR284" s="40"/>
    </row>
    <row r="285" spans="2:70">
      <c r="B285" s="39"/>
      <c r="C285" s="75">
        <v>279</v>
      </c>
      <c r="D285" s="146">
        <f>ETo!$I284*((1-Constantes!$F$19)*ETo!$K284+ETo!$L284)</f>
        <v>4.2468806631609288</v>
      </c>
      <c r="E285" s="76">
        <f>MIN(D285*Constantes!$F$17,0.8*(N284+Observaciones!$F284-F285-M285-Constantes!$D$14))</f>
        <v>3.2727585619340972E-8</v>
      </c>
      <c r="F285" s="76">
        <f>IF(Observaciones!$F284&gt;0.05*Constantes!$F$18,((Observaciones!$F284-0.05*Constantes!$F$18)^2)/(Observaciones!$F284+0.95*Constantes!$F$18),0)</f>
        <v>0</v>
      </c>
      <c r="G285" s="76">
        <f>IF(Escenarios!$F$11&gt;0,(F285*Escenarios!$F$16*10000)/1000,0)</f>
        <v>0</v>
      </c>
      <c r="H285" s="76">
        <f>IF(Escenarios!$F$11&gt;0,(Observaciones!$F284*Constantes!$F$29)/1000,0)</f>
        <v>0</v>
      </c>
      <c r="I285" s="76">
        <f>IF(Escenarios!$F$11&gt;0,(D285*Constantes!$F$29)/1000,0)</f>
        <v>0</v>
      </c>
      <c r="J285" s="76">
        <f>IF(Escenarios!$F$11&gt;0,MAX(0,G285+H285-I285),0)</f>
        <v>0</v>
      </c>
      <c r="K285" s="76">
        <f>IF(Escenarios!$F$11&gt;0,IF(J285&gt;Constantes!$F$30,1000*((J285-Constantes!$F$30)/(Escenarios!$F$16*10000)),0),F285)</f>
        <v>0</v>
      </c>
      <c r="L285" s="76">
        <f>IF(Escenarios!$F$11&gt;0,I285*1000/Escenarios!$F$16/10000+E285,E285)</f>
        <v>3.2727585619340972E-8</v>
      </c>
      <c r="M285" s="76">
        <f>MAX(0,N284+Observaciones!$F284-K285-Constantes!$D$13)</f>
        <v>0</v>
      </c>
      <c r="N285" s="76">
        <f>N284+Observaciones!$F284-K285-L285-M285-O284</f>
        <v>11.250000006788369</v>
      </c>
      <c r="O285" s="76">
        <f>MAX(0,(N285-Constantes!$D$14)*(1-EXP(-Constantes!$D$22)))</f>
        <v>2.3123676800508164E-10</v>
      </c>
      <c r="P285" s="170">
        <f>P284+(Entradas!$F$83*M285-Q284)/(800*Entradas!$D$25)</f>
        <v>0</v>
      </c>
      <c r="Q285" s="170">
        <f>8000*Entradas!$D$26*P285/Constantes!$F$45</f>
        <v>0</v>
      </c>
      <c r="R285" s="170">
        <f>IF(Escenarios!$F$14&gt;0,K285*Escenarios!$F$13/Escenarios!$F$14,0)</f>
        <v>0</v>
      </c>
      <c r="S285" s="170">
        <f>IF(Escenarios!$F$14&gt;0,Q285*Escenarios!$F$13/Escenarios!$F$14,0)</f>
        <v>0</v>
      </c>
      <c r="T285" s="170">
        <f>IF(Escenarios!$F$14&gt;0,Observaciones!$I284,0)</f>
        <v>0</v>
      </c>
      <c r="U285" s="170">
        <f>IF(Escenarios!$F$14&gt;0,MAX(0,Constantes!$F$36/((Z284+R285+S285+T285+Observaciones!$F284)^2)+Entradas!$F$77),0)</f>
        <v>0</v>
      </c>
      <c r="V285" s="146">
        <f>IF(ETo!D284&gt;0,ETo!I284*((1-Entradas!$F$81)*ETo!K284+ETo!L284),0)</f>
        <v>3.7680390344283619</v>
      </c>
      <c r="W285" s="170">
        <f>IF(Escenarios!$F$14&gt;0,MIN(V285*1,0.8*(Z284+R285+S285+T285+Observaciones!$F284-U285-Constantes!$F$35)),0)</f>
        <v>1.084758650904405E-7</v>
      </c>
      <c r="X285" s="170">
        <f>IF(Escenarios!$F$14&gt;0,Observaciones!$J284,0)</f>
        <v>0</v>
      </c>
      <c r="Y285" s="170">
        <f>IF(Escenarios!$F$14&gt;0,MAX(0,Z284+R285+S285+T285+Observaciones!$F284-U285-W285-X285-Constantes!$F$33),0)</f>
        <v>0</v>
      </c>
      <c r="Z285" s="170">
        <f>Z284+R285+S285+T285+Observaciones!$F284-U285-W285-Y285</f>
        <v>41.250000027118965</v>
      </c>
      <c r="AA285" s="170">
        <f>IF(Escenarios!$F$14&gt;0,(Escenarios!$F$13*L285+Escenarios!$F$14*W285)/(Escenarios!$F$16),L285)</f>
        <v>4.181737915587291E-8</v>
      </c>
      <c r="AB285" s="170">
        <f>IF(Escenarios!$F$14&gt;0,(Escenarios!$F$14*Y285)/(Escenarios!$F$16),K285)</f>
        <v>0</v>
      </c>
      <c r="AC285" s="170">
        <f>IF(Escenarios!$F$14&gt;0,(Escenarios!$F$13*M285+Escenarios!$F$14*U285)/(Escenarios!$F$16),M285)</f>
        <v>0</v>
      </c>
      <c r="AD285" s="76">
        <f t="shared" si="57"/>
        <v>66.323638829875833</v>
      </c>
      <c r="AE285" s="76">
        <f>MAX(0,(AD285-Constantes!$D$13)*(1-EXP(-Constantes!$D$23)))</f>
        <v>0.17315724910542793</v>
      </c>
      <c r="AF285" s="76">
        <f>AB285+O285*Escenarios!$F$13/Escenarios!$F$16+AE285</f>
        <v>0.17315724930891629</v>
      </c>
      <c r="AG285" s="76">
        <f>IF(Entradas!$F$91&gt;0,IF(AF285-Escenarios!$F$38&lt;=0,0,IF(AF285-Escenarios!$F$38&gt;Escenarios!$F$37,Escenarios!$F$37,AF285-Escenarios!$F$38)),0)</f>
        <v>0</v>
      </c>
      <c r="AH285" s="76">
        <f>AG285*Entradas!$F$99</f>
        <v>0</v>
      </c>
      <c r="AI285" s="76">
        <f>IF(Entradas!$F$91&gt;0,D285*Entradas!$D$23/Escenarios!$F$16,0)</f>
        <v>0.20385027183172458</v>
      </c>
      <c r="AJ285" s="76">
        <f>IF(Entradas!$F$91&gt;0,Entradas!$D$24*Entradas!$D$22/Escenarios!$F$16,0)</f>
        <v>0.12</v>
      </c>
      <c r="AK285" s="76">
        <f t="shared" si="58"/>
        <v>0.20385031364910372</v>
      </c>
      <c r="AL285" s="76">
        <f t="shared" si="59"/>
        <v>0</v>
      </c>
      <c r="AM285" s="76">
        <f t="shared" si="60"/>
        <v>0</v>
      </c>
      <c r="AN285" s="76">
        <f>MAX(0,O285*Escenarios!$F$13/Escenarios!$F$16-AM285)</f>
        <v>2.0348835584447187E-10</v>
      </c>
      <c r="AO285" s="76">
        <f>AM285+AN285-O285*Escenarios!$F$13/Escenarios!$F$16</f>
        <v>0</v>
      </c>
      <c r="AP285" s="76">
        <f t="shared" si="61"/>
        <v>0.17315724910542793</v>
      </c>
      <c r="AQ285" s="76">
        <f t="shared" si="62"/>
        <v>0</v>
      </c>
      <c r="AR285" s="76">
        <f t="shared" si="63"/>
        <v>0.17315724930891629</v>
      </c>
      <c r="AS285" s="76">
        <f t="shared" si="64"/>
        <v>0</v>
      </c>
      <c r="AT285" s="76">
        <f t="shared" si="65"/>
        <v>0</v>
      </c>
      <c r="AU285" s="76">
        <f t="shared" si="66"/>
        <v>49.424630778648329</v>
      </c>
      <c r="AV285" s="76">
        <f>MAX(0,(AU285-Constantes!$D$13)*(1-EXP(-Constantes!$D$24)))</f>
        <v>1.0311898129676741E-2</v>
      </c>
      <c r="AW285" s="170">
        <f>AW284+(Entradas!$F$112*AT285-AX284)/(800*Entradas!$D$25)</f>
        <v>0</v>
      </c>
      <c r="AX285" s="170">
        <f>8000*Entradas!$D$26*AW285/Constantes!$F$45</f>
        <v>0</v>
      </c>
      <c r="AY285" s="170">
        <f>IF(Escenarios!$F$17&gt;0,10*Escenarios!$F$16*AL285,0)</f>
        <v>0</v>
      </c>
      <c r="AZ285" s="170">
        <f>IF(Escenarios!$F$17&gt;0,10*Escenarios!$F$16*AX285,0)</f>
        <v>0</v>
      </c>
      <c r="BA285" s="170">
        <f>IF(Escenarios!$F$17&gt;0,0.001*Observaciones!$F284*Escenarios!$F$17,0)</f>
        <v>0</v>
      </c>
      <c r="BB285" s="170">
        <f>IF(Escenarios!$F$17&gt;0,Observaciones!$K284,0)</f>
        <v>0</v>
      </c>
      <c r="BC285" s="170">
        <f>IF(Escenarios!$F$17&gt;0,MIN(0.0005*ETo!$M284*Escenarios!$F$17*(BG284/Constantes!$F$40)^(2/3),BG284+AY285+AZ285+BA285+BB285),0)</f>
        <v>0</v>
      </c>
      <c r="BD285" s="170">
        <f>IF(Escenarios!$F$17&gt;0,MIN(Constantes!$F$39*(BG284/Constantes!$F$40)^(2/3),BG284+AY285+AZ285+BA285+BB285-BC285),0)</f>
        <v>0</v>
      </c>
      <c r="BE285" s="170">
        <f>IF(Escenarios!$F$17&gt;0,MIN(Entradas!$F$113,BG284+AY285+AZ285+BA285+BB285-BC285-BD285),0)</f>
        <v>0</v>
      </c>
      <c r="BF285" s="170">
        <f>IF(Escenarios!$F$17&gt;0,MAX(0,BG284+AY285+AZ285+BA285+BB285-BC285-BD285-BE285-Constantes!$F$40),0)</f>
        <v>0</v>
      </c>
      <c r="BG285" s="170">
        <f t="shared" si="67"/>
        <v>0</v>
      </c>
      <c r="BH285" s="170">
        <f>(Escenarios!$F$16*AK285+0.1*BC285)/(Escenarios!$F$19)</f>
        <v>0.20385031364910372</v>
      </c>
      <c r="BI285" s="170">
        <f>IF(Escenarios!$F$17&gt;0,BF285/10/Escenarios!$F$19,AL285)</f>
        <v>0</v>
      </c>
      <c r="BJ285" s="170">
        <f>(Escenarios!$F$16*AT285+0.1*BD285)/(Escenarios!$F$19)</f>
        <v>0</v>
      </c>
      <c r="BK285" s="76">
        <f>BK284+(0.1*BD285)/(Escenarios!$F$19)-BL284</f>
        <v>48.75</v>
      </c>
      <c r="BL285" s="76">
        <f>MAX(0,(BK285-Constantes!$D$13)*(1-EXP(-Constantes!$D$23)))</f>
        <v>0</v>
      </c>
      <c r="BM285" s="76">
        <f t="shared" si="68"/>
        <v>0.18346914723510466</v>
      </c>
      <c r="BN285" s="76">
        <f t="shared" si="69"/>
        <v>0.18346914743859305</v>
      </c>
      <c r="BO285" s="76">
        <f>0.0526*BI285*Observaciones!$F284^1.218</f>
        <v>0</v>
      </c>
      <c r="BP285" s="76">
        <f>BO285*Constantes!$F$51</f>
        <v>0</v>
      </c>
      <c r="BQ285" s="76">
        <f t="shared" si="70"/>
        <v>0</v>
      </c>
      <c r="BR285" s="40"/>
    </row>
    <row r="286" spans="2:70">
      <c r="B286" s="39"/>
      <c r="C286" s="75">
        <v>280</v>
      </c>
      <c r="D286" s="146">
        <f>ETo!$I285*((1-Constantes!$F$19)*ETo!$K285+ETo!$L285)</f>
        <v>4.186015590800733</v>
      </c>
      <c r="E286" s="76">
        <f>MIN(D286*Constantes!$F$17,0.8*(N285+Observaciones!$F285-F286-M286-Constantes!$D$14))</f>
        <v>5.4306951824401041E-9</v>
      </c>
      <c r="F286" s="76">
        <f>IF(Observaciones!$F285&gt;0.05*Constantes!$F$18,((Observaciones!$F285-0.05*Constantes!$F$18)^2)/(Observaciones!$F285+0.95*Constantes!$F$18),0)</f>
        <v>0</v>
      </c>
      <c r="G286" s="76">
        <f>IF(Escenarios!$F$11&gt;0,(F286*Escenarios!$F$16*10000)/1000,0)</f>
        <v>0</v>
      </c>
      <c r="H286" s="76">
        <f>IF(Escenarios!$F$11&gt;0,(Observaciones!$F285*Constantes!$F$29)/1000,0)</f>
        <v>0</v>
      </c>
      <c r="I286" s="76">
        <f>IF(Escenarios!$F$11&gt;0,(D286*Constantes!$F$29)/1000,0)</f>
        <v>0</v>
      </c>
      <c r="J286" s="76">
        <f>IF(Escenarios!$F$11&gt;0,MAX(0,G286+H286-I286),0)</f>
        <v>0</v>
      </c>
      <c r="K286" s="76">
        <f>IF(Escenarios!$F$11&gt;0,IF(J286&gt;Constantes!$F$30,1000*((J286-Constantes!$F$30)/(Escenarios!$F$16*10000)),0),F286)</f>
        <v>0</v>
      </c>
      <c r="L286" s="76">
        <f>IF(Escenarios!$F$11&gt;0,I286*1000/Escenarios!$F$16/10000+E286,E286)</f>
        <v>5.4306951824401041E-9</v>
      </c>
      <c r="M286" s="76">
        <f>MAX(0,N285+Observaciones!$F285-K286-Constantes!$D$13)</f>
        <v>0</v>
      </c>
      <c r="N286" s="76">
        <f>N285+Observaciones!$F285-K286-L286-M286-O285</f>
        <v>11.250000001126436</v>
      </c>
      <c r="O286" s="76">
        <f>MAX(0,(N286-Constantes!$D$14)*(1-EXP(-Constantes!$D$22)))</f>
        <v>3.8370539719555613E-11</v>
      </c>
      <c r="P286" s="170">
        <f>P285+(Entradas!$F$83*M286-Q285)/(800*Entradas!$D$25)</f>
        <v>0</v>
      </c>
      <c r="Q286" s="170">
        <f>8000*Entradas!$D$26*P286/Constantes!$F$45</f>
        <v>0</v>
      </c>
      <c r="R286" s="170">
        <f>IF(Escenarios!$F$14&gt;0,K286*Escenarios!$F$13/Escenarios!$F$14,0)</f>
        <v>0</v>
      </c>
      <c r="S286" s="170">
        <f>IF(Escenarios!$F$14&gt;0,Q286*Escenarios!$F$13/Escenarios!$F$14,0)</f>
        <v>0</v>
      </c>
      <c r="T286" s="170">
        <f>IF(Escenarios!$F$14&gt;0,Observaciones!$I285,0)</f>
        <v>0</v>
      </c>
      <c r="U286" s="170">
        <f>IF(Escenarios!$F$14&gt;0,MAX(0,Constantes!$F$36/((Z285+R286+S286+T286+Observaciones!$F285)^2)+Entradas!$F$77),0)</f>
        <v>0</v>
      </c>
      <c r="V286" s="146">
        <f>IF(ETo!D285&gt;0,ETo!I285*((1-Entradas!$F$81)*ETo!K285+ETo!L285),0)</f>
        <v>3.7134251723055409</v>
      </c>
      <c r="W286" s="170">
        <f>IF(Escenarios!$F$14&gt;0,MIN(V286*1,0.8*(Z285+R286+S286+T286+Observaciones!$F285-U286-Constantes!$F$35)),0)</f>
        <v>2.1695171881219721E-8</v>
      </c>
      <c r="X286" s="170">
        <f>IF(Escenarios!$F$14&gt;0,Observaciones!$J285,0)</f>
        <v>0</v>
      </c>
      <c r="Y286" s="170">
        <f>IF(Escenarios!$F$14&gt;0,MAX(0,Z285+R286+S286+T286+Observaciones!$F285-U286-W286-X286-Constantes!$F$33),0)</f>
        <v>0</v>
      </c>
      <c r="Z286" s="170">
        <f>Z285+R286+S286+T286+Observaciones!$F285-U286-W286-Y286</f>
        <v>41.250000005423793</v>
      </c>
      <c r="AA286" s="170">
        <f>IF(Escenarios!$F$14&gt;0,(Escenarios!$F$13*L286+Escenarios!$F$14*W286)/(Escenarios!$F$16),L286)</f>
        <v>7.3824323862936578E-9</v>
      </c>
      <c r="AB286" s="170">
        <f>IF(Escenarios!$F$14&gt;0,(Escenarios!$F$14*Y286)/(Escenarios!$F$16),K286)</f>
        <v>0</v>
      </c>
      <c r="AC286" s="170">
        <f>IF(Escenarios!$F$14&gt;0,(Escenarios!$F$13*M286+Escenarios!$F$14*U286)/(Escenarios!$F$16),M286)</f>
        <v>0</v>
      </c>
      <c r="AD286" s="76">
        <f t="shared" si="57"/>
        <v>66.150481580770403</v>
      </c>
      <c r="AE286" s="76">
        <f>MAX(0,(AD286-Constantes!$D$13)*(1-EXP(-Constantes!$D$23)))</f>
        <v>0.17145108948714863</v>
      </c>
      <c r="AF286" s="76">
        <f>AB286+O286*Escenarios!$F$13/Escenarios!$F$16+AE286</f>
        <v>0.1714510895209147</v>
      </c>
      <c r="AG286" s="76">
        <f>IF(Entradas!$F$91&gt;0,IF(AF286-Escenarios!$F$38&lt;=0,0,IF(AF286-Escenarios!$F$38&gt;Escenarios!$F$37,Escenarios!$F$37,AF286-Escenarios!$F$38)),0)</f>
        <v>0</v>
      </c>
      <c r="AH286" s="76">
        <f>AG286*Entradas!$F$99</f>
        <v>0</v>
      </c>
      <c r="AI286" s="76">
        <f>IF(Entradas!$F$91&gt;0,D286*Entradas!$D$23/Escenarios!$F$16,0)</f>
        <v>0.20092874835843519</v>
      </c>
      <c r="AJ286" s="76">
        <f>IF(Entradas!$F$91&gt;0,Entradas!$D$24*Entradas!$D$22/Escenarios!$F$16,0)</f>
        <v>0.12</v>
      </c>
      <c r="AK286" s="76">
        <f t="shared" si="58"/>
        <v>0.20092875574086758</v>
      </c>
      <c r="AL286" s="76">
        <f t="shared" si="59"/>
        <v>0</v>
      </c>
      <c r="AM286" s="76">
        <f t="shared" si="60"/>
        <v>0</v>
      </c>
      <c r="AN286" s="76">
        <f>MAX(0,O286*Escenarios!$F$13/Escenarios!$F$16-AM286)</f>
        <v>3.3766074953208938E-11</v>
      </c>
      <c r="AO286" s="76">
        <f>AM286+AN286-O286*Escenarios!$F$13/Escenarios!$F$16</f>
        <v>0</v>
      </c>
      <c r="AP286" s="76">
        <f t="shared" si="61"/>
        <v>0.17145108948714863</v>
      </c>
      <c r="AQ286" s="76">
        <f t="shared" si="62"/>
        <v>0</v>
      </c>
      <c r="AR286" s="76">
        <f t="shared" si="63"/>
        <v>0.1714510895209147</v>
      </c>
      <c r="AS286" s="76">
        <f t="shared" si="64"/>
        <v>0</v>
      </c>
      <c r="AT286" s="76">
        <f t="shared" si="65"/>
        <v>0</v>
      </c>
      <c r="AU286" s="76">
        <f t="shared" si="66"/>
        <v>49.41431888051865</v>
      </c>
      <c r="AV286" s="76">
        <f>MAX(0,(AU286-Constantes!$D$13)*(1-EXP(-Constantes!$D$24)))</f>
        <v>1.0154278219049625E-2</v>
      </c>
      <c r="AW286" s="170">
        <f>AW285+(Entradas!$F$112*AT286-AX285)/(800*Entradas!$D$25)</f>
        <v>0</v>
      </c>
      <c r="AX286" s="170">
        <f>8000*Entradas!$D$26*AW286/Constantes!$F$45</f>
        <v>0</v>
      </c>
      <c r="AY286" s="170">
        <f>IF(Escenarios!$F$17&gt;0,10*Escenarios!$F$16*AL286,0)</f>
        <v>0</v>
      </c>
      <c r="AZ286" s="170">
        <f>IF(Escenarios!$F$17&gt;0,10*Escenarios!$F$16*AX286,0)</f>
        <v>0</v>
      </c>
      <c r="BA286" s="170">
        <f>IF(Escenarios!$F$17&gt;0,0.001*Observaciones!$F285*Escenarios!$F$17,0)</f>
        <v>0</v>
      </c>
      <c r="BB286" s="170">
        <f>IF(Escenarios!$F$17&gt;0,Observaciones!$K285,0)</f>
        <v>0</v>
      </c>
      <c r="BC286" s="170">
        <f>IF(Escenarios!$F$17&gt;0,MIN(0.0005*ETo!$M285*Escenarios!$F$17*(BG285/Constantes!$F$40)^(2/3),BG285+AY286+AZ286+BA286+BB286),0)</f>
        <v>0</v>
      </c>
      <c r="BD286" s="170">
        <f>IF(Escenarios!$F$17&gt;0,MIN(Constantes!$F$39*(BG285/Constantes!$F$40)^(2/3),BG285+AY286+AZ286+BA286+BB286-BC286),0)</f>
        <v>0</v>
      </c>
      <c r="BE286" s="170">
        <f>IF(Escenarios!$F$17&gt;0,MIN(Entradas!$F$113,BG285+AY286+AZ286+BA286+BB286-BC286-BD286),0)</f>
        <v>0</v>
      </c>
      <c r="BF286" s="170">
        <f>IF(Escenarios!$F$17&gt;0,MAX(0,BG285+AY286+AZ286+BA286+BB286-BC286-BD286-BE286-Constantes!$F$40),0)</f>
        <v>0</v>
      </c>
      <c r="BG286" s="170">
        <f t="shared" si="67"/>
        <v>0</v>
      </c>
      <c r="BH286" s="170">
        <f>(Escenarios!$F$16*AK286+0.1*BC286)/(Escenarios!$F$19)</f>
        <v>0.20092875574086758</v>
      </c>
      <c r="BI286" s="170">
        <f>IF(Escenarios!$F$17&gt;0,BF286/10/Escenarios!$F$19,AL286)</f>
        <v>0</v>
      </c>
      <c r="BJ286" s="170">
        <f>(Escenarios!$F$16*AT286+0.1*BD286)/(Escenarios!$F$19)</f>
        <v>0</v>
      </c>
      <c r="BK286" s="76">
        <f>BK285+(0.1*BD286)/(Escenarios!$F$19)-BL285</f>
        <v>48.75</v>
      </c>
      <c r="BL286" s="76">
        <f>MAX(0,(BK286-Constantes!$D$13)*(1-EXP(-Constantes!$D$23)))</f>
        <v>0</v>
      </c>
      <c r="BM286" s="76">
        <f t="shared" si="68"/>
        <v>0.18160536770619826</v>
      </c>
      <c r="BN286" s="76">
        <f t="shared" si="69"/>
        <v>0.18160536773996433</v>
      </c>
      <c r="BO286" s="76">
        <f>0.0526*BI286*Observaciones!$F285^1.218</f>
        <v>0</v>
      </c>
      <c r="BP286" s="76">
        <f>BO286*Constantes!$F$51</f>
        <v>0</v>
      </c>
      <c r="BQ286" s="76">
        <f t="shared" si="70"/>
        <v>0</v>
      </c>
      <c r="BR286" s="40"/>
    </row>
    <row r="287" spans="2:70">
      <c r="B287" s="39"/>
      <c r="C287" s="75">
        <v>281</v>
      </c>
      <c r="D287" s="146">
        <f>ETo!$I286*((1-Constantes!$F$19)*ETo!$K286+ETo!$L286)</f>
        <v>3.9455312232134081</v>
      </c>
      <c r="E287" s="76">
        <f>MIN(D287*Constantes!$F$17,0.8*(N286+Observaciones!$F286-F287-M287-Constantes!$D$14))</f>
        <v>9.0114866679869016E-10</v>
      </c>
      <c r="F287" s="76">
        <f>IF(Observaciones!$F286&gt;0.05*Constantes!$F$18,((Observaciones!$F286-0.05*Constantes!$F$18)^2)/(Observaciones!$F286+0.95*Constantes!$F$18),0)</f>
        <v>0</v>
      </c>
      <c r="G287" s="76">
        <f>IF(Escenarios!$F$11&gt;0,(F287*Escenarios!$F$16*10000)/1000,0)</f>
        <v>0</v>
      </c>
      <c r="H287" s="76">
        <f>IF(Escenarios!$F$11&gt;0,(Observaciones!$F286*Constantes!$F$29)/1000,0)</f>
        <v>0</v>
      </c>
      <c r="I287" s="76">
        <f>IF(Escenarios!$F$11&gt;0,(D287*Constantes!$F$29)/1000,0)</f>
        <v>0</v>
      </c>
      <c r="J287" s="76">
        <f>IF(Escenarios!$F$11&gt;0,MAX(0,G287+H287-I287),0)</f>
        <v>0</v>
      </c>
      <c r="K287" s="76">
        <f>IF(Escenarios!$F$11&gt;0,IF(J287&gt;Constantes!$F$30,1000*((J287-Constantes!$F$30)/(Escenarios!$F$16*10000)),0),F287)</f>
        <v>0</v>
      </c>
      <c r="L287" s="76">
        <f>IF(Escenarios!$F$11&gt;0,I287*1000/Escenarios!$F$16/10000+E287,E287)</f>
        <v>9.0114866679869016E-10</v>
      </c>
      <c r="M287" s="76">
        <f>MAX(0,N286+Observaciones!$F286-K287-Constantes!$D$13)</f>
        <v>0</v>
      </c>
      <c r="N287" s="76">
        <f>N286+Observaciones!$F286-K287-L287-M287-O286</f>
        <v>11.250000000186915</v>
      </c>
      <c r="O287" s="76">
        <f>MAX(0,(N287-Constantes!$D$14)*(1-EXP(-Constantes!$D$22)))</f>
        <v>6.3670237530502881E-12</v>
      </c>
      <c r="P287" s="170">
        <f>P286+(Entradas!$F$83*M287-Q286)/(800*Entradas!$D$25)</f>
        <v>0</v>
      </c>
      <c r="Q287" s="170">
        <f>8000*Entradas!$D$26*P287/Constantes!$F$45</f>
        <v>0</v>
      </c>
      <c r="R287" s="170">
        <f>IF(Escenarios!$F$14&gt;0,K287*Escenarios!$F$13/Escenarios!$F$14,0)</f>
        <v>0</v>
      </c>
      <c r="S287" s="170">
        <f>IF(Escenarios!$F$14&gt;0,Q287*Escenarios!$F$13/Escenarios!$F$14,0)</f>
        <v>0</v>
      </c>
      <c r="T287" s="170">
        <f>IF(Escenarios!$F$14&gt;0,Observaciones!$I286,0)</f>
        <v>0</v>
      </c>
      <c r="U287" s="170">
        <f>IF(Escenarios!$F$14&gt;0,MAX(0,Constantes!$F$36/((Z286+R287+S287+T287+Observaciones!$F286)^2)+Entradas!$F$77),0)</f>
        <v>0</v>
      </c>
      <c r="V287" s="146">
        <f>IF(ETo!D286&gt;0,ETo!I286*((1-Entradas!$F$81)*ETo!K286+ETo!L286),0)</f>
        <v>3.4982103531877722</v>
      </c>
      <c r="W287" s="170">
        <f>IF(Escenarios!$F$14&gt;0,MIN(V287*1,0.8*(Z286+R287+S287+T287+Observaciones!$F286-U287-Constantes!$F$35)),0)</f>
        <v>4.3390343762439446E-9</v>
      </c>
      <c r="X287" s="170">
        <f>IF(Escenarios!$F$14&gt;0,Observaciones!$J286,0)</f>
        <v>0</v>
      </c>
      <c r="Y287" s="170">
        <f>IF(Escenarios!$F$14&gt;0,MAX(0,Z286+R287+S287+T287+Observaciones!$F286-U287-W287-X287-Constantes!$F$33),0)</f>
        <v>0</v>
      </c>
      <c r="Z287" s="170">
        <f>Z286+R287+S287+T287+Observaciones!$F286-U287-W287-Y287</f>
        <v>41.250000001084757</v>
      </c>
      <c r="AA287" s="170">
        <f>IF(Escenarios!$F$14&gt;0,(Escenarios!$F$13*L287+Escenarios!$F$14*W287)/(Escenarios!$F$16),L287)</f>
        <v>1.3136949519321206E-9</v>
      </c>
      <c r="AB287" s="170">
        <f>IF(Escenarios!$F$14&gt;0,(Escenarios!$F$14*Y287)/(Escenarios!$F$16),K287)</f>
        <v>0</v>
      </c>
      <c r="AC287" s="170">
        <f>IF(Escenarios!$F$14&gt;0,(Escenarios!$F$13*M287+Escenarios!$F$14*U287)/(Escenarios!$F$16),M287)</f>
        <v>0</v>
      </c>
      <c r="AD287" s="76">
        <f t="shared" si="57"/>
        <v>65.979030491283254</v>
      </c>
      <c r="AE287" s="76">
        <f>MAX(0,(AD287-Constantes!$D$13)*(1-EXP(-Constantes!$D$23)))</f>
        <v>0.16976174106596378</v>
      </c>
      <c r="AF287" s="76">
        <f>AB287+O287*Escenarios!$F$13/Escenarios!$F$16+AE287</f>
        <v>0.16976174107156677</v>
      </c>
      <c r="AG287" s="76">
        <f>IF(Entradas!$F$91&gt;0,IF(AF287-Escenarios!$F$38&lt;=0,0,IF(AF287-Escenarios!$F$38&gt;Escenarios!$F$37,Escenarios!$F$37,AF287-Escenarios!$F$38)),0)</f>
        <v>0</v>
      </c>
      <c r="AH287" s="76">
        <f>AG287*Entradas!$F$99</f>
        <v>0</v>
      </c>
      <c r="AI287" s="76">
        <f>IF(Entradas!$F$91&gt;0,D287*Entradas!$D$23/Escenarios!$F$16,0)</f>
        <v>0.18938549871424359</v>
      </c>
      <c r="AJ287" s="76">
        <f>IF(Entradas!$F$91&gt;0,Entradas!$D$24*Entradas!$D$22/Escenarios!$F$16,0)</f>
        <v>0.12</v>
      </c>
      <c r="AK287" s="76">
        <f t="shared" si="58"/>
        <v>0.18938550002793855</v>
      </c>
      <c r="AL287" s="76">
        <f t="shared" si="59"/>
        <v>0</v>
      </c>
      <c r="AM287" s="76">
        <f t="shared" si="60"/>
        <v>0</v>
      </c>
      <c r="AN287" s="76">
        <f>MAX(0,O287*Escenarios!$F$13/Escenarios!$F$16-AM287)</f>
        <v>5.6029809026842533E-12</v>
      </c>
      <c r="AO287" s="76">
        <f>AM287+AN287-O287*Escenarios!$F$13/Escenarios!$F$16</f>
        <v>0</v>
      </c>
      <c r="AP287" s="76">
        <f t="shared" si="61"/>
        <v>0.16976174106596378</v>
      </c>
      <c r="AQ287" s="76">
        <f t="shared" si="62"/>
        <v>0</v>
      </c>
      <c r="AR287" s="76">
        <f t="shared" si="63"/>
        <v>0.16976174107156677</v>
      </c>
      <c r="AS287" s="76">
        <f t="shared" si="64"/>
        <v>0</v>
      </c>
      <c r="AT287" s="76">
        <f t="shared" si="65"/>
        <v>0</v>
      </c>
      <c r="AU287" s="76">
        <f t="shared" si="66"/>
        <v>49.404164602299602</v>
      </c>
      <c r="AV287" s="76">
        <f>MAX(0,(AU287-Constantes!$D$13)*(1-EXP(-Constantes!$D$24)))</f>
        <v>9.9990675676989542E-3</v>
      </c>
      <c r="AW287" s="170">
        <f>AW286+(Entradas!$F$112*AT287-AX286)/(800*Entradas!$D$25)</f>
        <v>0</v>
      </c>
      <c r="AX287" s="170">
        <f>8000*Entradas!$D$26*AW287/Constantes!$F$45</f>
        <v>0</v>
      </c>
      <c r="AY287" s="170">
        <f>IF(Escenarios!$F$17&gt;0,10*Escenarios!$F$16*AL287,0)</f>
        <v>0</v>
      </c>
      <c r="AZ287" s="170">
        <f>IF(Escenarios!$F$17&gt;0,10*Escenarios!$F$16*AX287,0)</f>
        <v>0</v>
      </c>
      <c r="BA287" s="170">
        <f>IF(Escenarios!$F$17&gt;0,0.001*Observaciones!$F286*Escenarios!$F$17,0)</f>
        <v>0</v>
      </c>
      <c r="BB287" s="170">
        <f>IF(Escenarios!$F$17&gt;0,Observaciones!$K286,0)</f>
        <v>0</v>
      </c>
      <c r="BC287" s="170">
        <f>IF(Escenarios!$F$17&gt;0,MIN(0.0005*ETo!$M286*Escenarios!$F$17*(BG286/Constantes!$F$40)^(2/3),BG286+AY287+AZ287+BA287+BB287),0)</f>
        <v>0</v>
      </c>
      <c r="BD287" s="170">
        <f>IF(Escenarios!$F$17&gt;0,MIN(Constantes!$F$39*(BG286/Constantes!$F$40)^(2/3),BG286+AY287+AZ287+BA287+BB287-BC287),0)</f>
        <v>0</v>
      </c>
      <c r="BE287" s="170">
        <f>IF(Escenarios!$F$17&gt;0,MIN(Entradas!$F$113,BG286+AY287+AZ287+BA287+BB287-BC287-BD287),0)</f>
        <v>0</v>
      </c>
      <c r="BF287" s="170">
        <f>IF(Escenarios!$F$17&gt;0,MAX(0,BG286+AY287+AZ287+BA287+BB287-BC287-BD287-BE287-Constantes!$F$40),0)</f>
        <v>0</v>
      </c>
      <c r="BG287" s="170">
        <f t="shared" si="67"/>
        <v>0</v>
      </c>
      <c r="BH287" s="170">
        <f>(Escenarios!$F$16*AK287+0.1*BC287)/(Escenarios!$F$19)</f>
        <v>0.18938550002793855</v>
      </c>
      <c r="BI287" s="170">
        <f>IF(Escenarios!$F$17&gt;0,BF287/10/Escenarios!$F$19,AL287)</f>
        <v>0</v>
      </c>
      <c r="BJ287" s="170">
        <f>(Escenarios!$F$16*AT287+0.1*BD287)/(Escenarios!$F$19)</f>
        <v>0</v>
      </c>
      <c r="BK287" s="76">
        <f>BK286+(0.1*BD287)/(Escenarios!$F$19)-BL286</f>
        <v>48.75</v>
      </c>
      <c r="BL287" s="76">
        <f>MAX(0,(BK287-Constantes!$D$13)*(1-EXP(-Constantes!$D$23)))</f>
        <v>0</v>
      </c>
      <c r="BM287" s="76">
        <f t="shared" si="68"/>
        <v>0.17976080863366273</v>
      </c>
      <c r="BN287" s="76">
        <f t="shared" si="69"/>
        <v>0.17976080863926572</v>
      </c>
      <c r="BO287" s="76">
        <f>0.0526*BI287*Observaciones!$F286^1.218</f>
        <v>0</v>
      </c>
      <c r="BP287" s="76">
        <f>BO287*Constantes!$F$51</f>
        <v>0</v>
      </c>
      <c r="BQ287" s="76">
        <f t="shared" si="70"/>
        <v>0</v>
      </c>
      <c r="BR287" s="40"/>
    </row>
    <row r="288" spans="2:70">
      <c r="B288" s="39"/>
      <c r="C288" s="75">
        <v>282</v>
      </c>
      <c r="D288" s="146">
        <f>ETo!$I287*((1-Constantes!$F$19)*ETo!$K287+ETo!$L287)</f>
        <v>4.2593395468327611</v>
      </c>
      <c r="E288" s="76">
        <f>MIN(D288*Constantes!$F$17,0.8*(N287+Observaciones!$F287-F288-M288-Constantes!$D$14))</f>
        <v>1.4953229765524158E-10</v>
      </c>
      <c r="F288" s="76">
        <f>IF(Observaciones!$F287&gt;0.05*Constantes!$F$18,((Observaciones!$F287-0.05*Constantes!$F$18)^2)/(Observaciones!$F287+0.95*Constantes!$F$18),0)</f>
        <v>0</v>
      </c>
      <c r="G288" s="76">
        <f>IF(Escenarios!$F$11&gt;0,(F288*Escenarios!$F$16*10000)/1000,0)</f>
        <v>0</v>
      </c>
      <c r="H288" s="76">
        <f>IF(Escenarios!$F$11&gt;0,(Observaciones!$F287*Constantes!$F$29)/1000,0)</f>
        <v>0</v>
      </c>
      <c r="I288" s="76">
        <f>IF(Escenarios!$F$11&gt;0,(D288*Constantes!$F$29)/1000,0)</f>
        <v>0</v>
      </c>
      <c r="J288" s="76">
        <f>IF(Escenarios!$F$11&gt;0,MAX(0,G288+H288-I288),0)</f>
        <v>0</v>
      </c>
      <c r="K288" s="76">
        <f>IF(Escenarios!$F$11&gt;0,IF(J288&gt;Constantes!$F$30,1000*((J288-Constantes!$F$30)/(Escenarios!$F$16*10000)),0),F288)</f>
        <v>0</v>
      </c>
      <c r="L288" s="76">
        <f>IF(Escenarios!$F$11&gt;0,I288*1000/Escenarios!$F$16/10000+E288,E288)</f>
        <v>1.4953229765524158E-10</v>
      </c>
      <c r="M288" s="76">
        <f>MAX(0,N287+Observaciones!$F287-K288-Constantes!$D$13)</f>
        <v>0</v>
      </c>
      <c r="N288" s="76">
        <f>N287+Observaciones!$F287-K288-L288-M288-O287</f>
        <v>11.250000000031017</v>
      </c>
      <c r="O288" s="76">
        <f>MAX(0,(N288-Constantes!$D$14)*(1-EXP(-Constantes!$D$22)))</f>
        <v>1.0565517538965548E-12</v>
      </c>
      <c r="P288" s="170">
        <f>P287+(Entradas!$F$83*M288-Q287)/(800*Entradas!$D$25)</f>
        <v>0</v>
      </c>
      <c r="Q288" s="170">
        <f>8000*Entradas!$D$26*P288/Constantes!$F$45</f>
        <v>0</v>
      </c>
      <c r="R288" s="170">
        <f>IF(Escenarios!$F$14&gt;0,K288*Escenarios!$F$13/Escenarios!$F$14,0)</f>
        <v>0</v>
      </c>
      <c r="S288" s="170">
        <f>IF(Escenarios!$F$14&gt;0,Q288*Escenarios!$F$13/Escenarios!$F$14,0)</f>
        <v>0</v>
      </c>
      <c r="T288" s="170">
        <f>IF(Escenarios!$F$14&gt;0,Observaciones!$I287,0)</f>
        <v>0</v>
      </c>
      <c r="U288" s="170">
        <f>IF(Escenarios!$F$14&gt;0,MAX(0,Constantes!$F$36/((Z287+R288+S288+T288+Observaciones!$F287)^2)+Entradas!$F$77),0)</f>
        <v>0</v>
      </c>
      <c r="V288" s="146">
        <f>IF(ETo!D287&gt;0,ETo!I287*((1-Entradas!$F$81)*ETo!K287+ETo!L287),0)</f>
        <v>3.7797559652019905</v>
      </c>
      <c r="W288" s="170">
        <f>IF(Escenarios!$F$14&gt;0,MIN(V288*1,0.8*(Z287+R288+S288+T288+Observaciones!$F287-U288-Constantes!$F$35)),0)</f>
        <v>8.6780573838041166E-10</v>
      </c>
      <c r="X288" s="170">
        <f>IF(Escenarios!$F$14&gt;0,Observaciones!$J287,0)</f>
        <v>0</v>
      </c>
      <c r="Y288" s="170">
        <f>IF(Escenarios!$F$14&gt;0,MAX(0,Z287+R288+S288+T288+Observaciones!$F287-U288-W288-X288-Constantes!$F$33),0)</f>
        <v>0</v>
      </c>
      <c r="Z288" s="170">
        <f>Z287+R288+S288+T288+Observaciones!$F287-U288-W288-Y288</f>
        <v>41.25000000021695</v>
      </c>
      <c r="AA288" s="170">
        <f>IF(Escenarios!$F$14&gt;0,(Escenarios!$F$13*L288+Escenarios!$F$14*W288)/(Escenarios!$F$16),L288)</f>
        <v>2.3572511054226198E-10</v>
      </c>
      <c r="AB288" s="170">
        <f>IF(Escenarios!$F$14&gt;0,(Escenarios!$F$14*Y288)/(Escenarios!$F$16),K288)</f>
        <v>0</v>
      </c>
      <c r="AC288" s="170">
        <f>IF(Escenarios!$F$14&gt;0,(Escenarios!$F$13*M288+Escenarios!$F$14*U288)/(Escenarios!$F$16),M288)</f>
        <v>0</v>
      </c>
      <c r="AD288" s="76">
        <f t="shared" si="57"/>
        <v>65.809268750217285</v>
      </c>
      <c r="AE288" s="76">
        <f>MAX(0,(AD288-Constantes!$D$13)*(1-EXP(-Constantes!$D$23)))</f>
        <v>0.16808903819714427</v>
      </c>
      <c r="AF288" s="76">
        <f>AB288+O288*Escenarios!$F$13/Escenarios!$F$16+AE288</f>
        <v>0.16808903819807403</v>
      </c>
      <c r="AG288" s="76">
        <f>IF(Entradas!$F$91&gt;0,IF(AF288-Escenarios!$F$38&lt;=0,0,IF(AF288-Escenarios!$F$38&gt;Escenarios!$F$37,Escenarios!$F$37,AF288-Escenarios!$F$38)),0)</f>
        <v>0</v>
      </c>
      <c r="AH288" s="76">
        <f>AG288*Entradas!$F$99</f>
        <v>0</v>
      </c>
      <c r="AI288" s="76">
        <f>IF(Entradas!$F$91&gt;0,D288*Entradas!$D$23/Escenarios!$F$16,0)</f>
        <v>0.20444829824797253</v>
      </c>
      <c r="AJ288" s="76">
        <f>IF(Entradas!$F$91&gt;0,Entradas!$D$24*Entradas!$D$22/Escenarios!$F$16,0)</f>
        <v>0.12</v>
      </c>
      <c r="AK288" s="76">
        <f t="shared" si="58"/>
        <v>0.20444829848369764</v>
      </c>
      <c r="AL288" s="76">
        <f t="shared" si="59"/>
        <v>0</v>
      </c>
      <c r="AM288" s="76">
        <f t="shared" si="60"/>
        <v>0</v>
      </c>
      <c r="AN288" s="76">
        <f>MAX(0,O288*Escenarios!$F$13/Escenarios!$F$16-AM288)</f>
        <v>9.2976554342896813E-13</v>
      </c>
      <c r="AO288" s="76">
        <f>AM288+AN288-O288*Escenarios!$F$13/Escenarios!$F$16</f>
        <v>0</v>
      </c>
      <c r="AP288" s="76">
        <f t="shared" si="61"/>
        <v>0.16808903819714427</v>
      </c>
      <c r="AQ288" s="76">
        <f t="shared" si="62"/>
        <v>0</v>
      </c>
      <c r="AR288" s="76">
        <f t="shared" si="63"/>
        <v>0.16808903819807403</v>
      </c>
      <c r="AS288" s="76">
        <f t="shared" si="64"/>
        <v>0</v>
      </c>
      <c r="AT288" s="76">
        <f t="shared" si="65"/>
        <v>0</v>
      </c>
      <c r="AU288" s="76">
        <f t="shared" si="66"/>
        <v>49.394165534731904</v>
      </c>
      <c r="AV288" s="76">
        <f>MAX(0,(AU288-Constantes!$D$13)*(1-EXP(-Constantes!$D$24)))</f>
        <v>9.846229349501379E-3</v>
      </c>
      <c r="AW288" s="170">
        <f>AW287+(Entradas!$F$112*AT288-AX287)/(800*Entradas!$D$25)</f>
        <v>0</v>
      </c>
      <c r="AX288" s="170">
        <f>8000*Entradas!$D$26*AW288/Constantes!$F$45</f>
        <v>0</v>
      </c>
      <c r="AY288" s="170">
        <f>IF(Escenarios!$F$17&gt;0,10*Escenarios!$F$16*AL288,0)</f>
        <v>0</v>
      </c>
      <c r="AZ288" s="170">
        <f>IF(Escenarios!$F$17&gt;0,10*Escenarios!$F$16*AX288,0)</f>
        <v>0</v>
      </c>
      <c r="BA288" s="170">
        <f>IF(Escenarios!$F$17&gt;0,0.001*Observaciones!$F287*Escenarios!$F$17,0)</f>
        <v>0</v>
      </c>
      <c r="BB288" s="170">
        <f>IF(Escenarios!$F$17&gt;0,Observaciones!$K287,0)</f>
        <v>0</v>
      </c>
      <c r="BC288" s="170">
        <f>IF(Escenarios!$F$17&gt;0,MIN(0.0005*ETo!$M287*Escenarios!$F$17*(BG287/Constantes!$F$40)^(2/3),BG287+AY288+AZ288+BA288+BB288),0)</f>
        <v>0</v>
      </c>
      <c r="BD288" s="170">
        <f>IF(Escenarios!$F$17&gt;0,MIN(Constantes!$F$39*(BG287/Constantes!$F$40)^(2/3),BG287+AY288+AZ288+BA288+BB288-BC288),0)</f>
        <v>0</v>
      </c>
      <c r="BE288" s="170">
        <f>IF(Escenarios!$F$17&gt;0,MIN(Entradas!$F$113,BG287+AY288+AZ288+BA288+BB288-BC288-BD288),0)</f>
        <v>0</v>
      </c>
      <c r="BF288" s="170">
        <f>IF(Escenarios!$F$17&gt;0,MAX(0,BG287+AY288+AZ288+BA288+BB288-BC288-BD288-BE288-Constantes!$F$40),0)</f>
        <v>0</v>
      </c>
      <c r="BG288" s="170">
        <f t="shared" si="67"/>
        <v>0</v>
      </c>
      <c r="BH288" s="170">
        <f>(Escenarios!$F$16*AK288+0.1*BC288)/(Escenarios!$F$19)</f>
        <v>0.20444829848369764</v>
      </c>
      <c r="BI288" s="170">
        <f>IF(Escenarios!$F$17&gt;0,BF288/10/Escenarios!$F$19,AL288)</f>
        <v>0</v>
      </c>
      <c r="BJ288" s="170">
        <f>(Escenarios!$F$16*AT288+0.1*BD288)/(Escenarios!$F$19)</f>
        <v>0</v>
      </c>
      <c r="BK288" s="76">
        <f>BK287+(0.1*BD288)/(Escenarios!$F$19)-BL287</f>
        <v>48.75</v>
      </c>
      <c r="BL288" s="76">
        <f>MAX(0,(BK288-Constantes!$D$13)*(1-EXP(-Constantes!$D$23)))</f>
        <v>0</v>
      </c>
      <c r="BM288" s="76">
        <f t="shared" si="68"/>
        <v>0.17793526754664565</v>
      </c>
      <c r="BN288" s="76">
        <f t="shared" si="69"/>
        <v>0.17793526754757541</v>
      </c>
      <c r="BO288" s="76">
        <f>0.0526*BI288*Observaciones!$F287^1.218</f>
        <v>0</v>
      </c>
      <c r="BP288" s="76">
        <f>BO288*Constantes!$F$51</f>
        <v>0</v>
      </c>
      <c r="BQ288" s="76">
        <f t="shared" si="70"/>
        <v>0</v>
      </c>
      <c r="BR288" s="40"/>
    </row>
    <row r="289" spans="2:70">
      <c r="B289" s="39"/>
      <c r="C289" s="75">
        <v>283</v>
      </c>
      <c r="D289" s="146">
        <f>ETo!$I288*((1-Constantes!$F$19)*ETo!$K288+ETo!$L288)</f>
        <v>4.1971308566330823</v>
      </c>
      <c r="E289" s="76">
        <f>MIN(D289*Constantes!$F$17,0.8*(N288+Observaciones!$F288-F289-M289-Constantes!$D$14))</f>
        <v>2.3936730757615732</v>
      </c>
      <c r="F289" s="76">
        <f>IF(Observaciones!$F288&gt;0.05*Constantes!$F$18,((Observaciones!$F288-0.05*Constantes!$F$18)^2)/(Observaciones!$F288+0.95*Constantes!$F$18),0)</f>
        <v>0</v>
      </c>
      <c r="G289" s="76">
        <f>IF(Escenarios!$F$11&gt;0,(F289*Escenarios!$F$16*10000)/1000,0)</f>
        <v>0</v>
      </c>
      <c r="H289" s="76">
        <f>IF(Escenarios!$F$11&gt;0,(Observaciones!$F288*Constantes!$F$29)/1000,0)</f>
        <v>0</v>
      </c>
      <c r="I289" s="76">
        <f>IF(Escenarios!$F$11&gt;0,(D289*Constantes!$F$29)/1000,0)</f>
        <v>0</v>
      </c>
      <c r="J289" s="76">
        <f>IF(Escenarios!$F$11&gt;0,MAX(0,G289+H289-I289),0)</f>
        <v>0</v>
      </c>
      <c r="K289" s="76">
        <f>IF(Escenarios!$F$11&gt;0,IF(J289&gt;Constantes!$F$30,1000*((J289-Constantes!$F$30)/(Escenarios!$F$16*10000)),0),F289)</f>
        <v>0</v>
      </c>
      <c r="L289" s="76">
        <f>IF(Escenarios!$F$11&gt;0,I289*1000/Escenarios!$F$16/10000+E289,E289)</f>
        <v>2.3936730757615732</v>
      </c>
      <c r="M289" s="76">
        <f>MAX(0,N288+Observaciones!$F288-K289-Constantes!$D$13)</f>
        <v>0</v>
      </c>
      <c r="N289" s="76">
        <f>N288+Observaciones!$F288-K289-L289-M289-O288</f>
        <v>11.856326924268387</v>
      </c>
      <c r="O289" s="76">
        <f>MAX(0,(N289-Constantes!$D$14)*(1-EXP(-Constantes!$D$22)))</f>
        <v>2.0653720912288398E-2</v>
      </c>
      <c r="P289" s="170">
        <f>P288+(Entradas!$F$83*M289-Q288)/(800*Entradas!$D$25)</f>
        <v>0</v>
      </c>
      <c r="Q289" s="170">
        <f>8000*Entradas!$D$26*P289/Constantes!$F$45</f>
        <v>0</v>
      </c>
      <c r="R289" s="170">
        <f>IF(Escenarios!$F$14&gt;0,K289*Escenarios!$F$13/Escenarios!$F$14,0)</f>
        <v>0</v>
      </c>
      <c r="S289" s="170">
        <f>IF(Escenarios!$F$14&gt;0,Q289*Escenarios!$F$13/Escenarios!$F$14,0)</f>
        <v>0</v>
      </c>
      <c r="T289" s="170">
        <f>IF(Escenarios!$F$14&gt;0,Observaciones!$I288,0)</f>
        <v>0</v>
      </c>
      <c r="U289" s="170">
        <f>IF(Escenarios!$F$14&gt;0,MAX(0,Constantes!$F$36/((Z288+R289+S289+T289+Observaciones!$F288)^2)+Entradas!$F$77),0)</f>
        <v>0</v>
      </c>
      <c r="V289" s="146">
        <f>IF(ETo!D288&gt;0,ETo!I288*((1-Entradas!$F$81)*ETo!K288+ETo!L288),0)</f>
        <v>3.7239463931678443</v>
      </c>
      <c r="W289" s="170">
        <f>IF(Escenarios!$F$14&gt;0,MIN(V289*1,0.8*(Z288+R289+S289+T289+Observaciones!$F288-U289-Constantes!$F$35)),0)</f>
        <v>2.4000000001735602</v>
      </c>
      <c r="X289" s="170">
        <f>IF(Escenarios!$F$14&gt;0,Observaciones!$J288,0)</f>
        <v>0</v>
      </c>
      <c r="Y289" s="170">
        <f>IF(Escenarios!$F$14&gt;0,MAX(0,Z288+R289+S289+T289+Observaciones!$F288-U289-W289-X289-Constantes!$F$33),0)</f>
        <v>0</v>
      </c>
      <c r="Z289" s="170">
        <f>Z288+R289+S289+T289+Observaciones!$F288-U289-W289-Y289</f>
        <v>41.850000000043387</v>
      </c>
      <c r="AA289" s="170">
        <f>IF(Escenarios!$F$14&gt;0,(Escenarios!$F$13*L289+Escenarios!$F$14*W289)/(Escenarios!$F$16),L289)</f>
        <v>2.3944323066910118</v>
      </c>
      <c r="AB289" s="170">
        <f>IF(Escenarios!$F$14&gt;0,(Escenarios!$F$14*Y289)/(Escenarios!$F$16),K289)</f>
        <v>0</v>
      </c>
      <c r="AC289" s="170">
        <f>IF(Escenarios!$F$14&gt;0,(Escenarios!$F$13*M289+Escenarios!$F$14*U289)/(Escenarios!$F$16),M289)</f>
        <v>0</v>
      </c>
      <c r="AD289" s="76">
        <f t="shared" si="57"/>
        <v>65.641179712020147</v>
      </c>
      <c r="AE289" s="76">
        <f>MAX(0,(AD289-Constantes!$D$13)*(1-EXP(-Constantes!$D$23)))</f>
        <v>0.16643281686809816</v>
      </c>
      <c r="AF289" s="76">
        <f>AB289+O289*Escenarios!$F$13/Escenarios!$F$16+AE289</f>
        <v>0.18460809127091196</v>
      </c>
      <c r="AG289" s="76">
        <f>IF(Entradas!$F$91&gt;0,IF(AF289-Escenarios!$F$38&lt;=0,0,IF(AF289-Escenarios!$F$38&gt;Escenarios!$F$37,Escenarios!$F$37,AF289-Escenarios!$F$38)),0)</f>
        <v>0</v>
      </c>
      <c r="AH289" s="76">
        <f>AG289*Entradas!$F$99</f>
        <v>0</v>
      </c>
      <c r="AI289" s="76">
        <f>IF(Entradas!$F$91&gt;0,D289*Entradas!$D$23/Escenarios!$F$16,0)</f>
        <v>0.20146228111838796</v>
      </c>
      <c r="AJ289" s="76">
        <f>IF(Entradas!$F$91&gt;0,Entradas!$D$24*Entradas!$D$22/Escenarios!$F$16,0)</f>
        <v>0.12</v>
      </c>
      <c r="AK289" s="76">
        <f t="shared" si="58"/>
        <v>2.5958945878093997</v>
      </c>
      <c r="AL289" s="76">
        <f t="shared" si="59"/>
        <v>0</v>
      </c>
      <c r="AM289" s="76">
        <f t="shared" si="60"/>
        <v>0</v>
      </c>
      <c r="AN289" s="76">
        <f>MAX(0,O289*Escenarios!$F$13/Escenarios!$F$16-AM289)</f>
        <v>1.8175274402813791E-2</v>
      </c>
      <c r="AO289" s="76">
        <f>AM289+AN289-O289*Escenarios!$F$13/Escenarios!$F$16</f>
        <v>0</v>
      </c>
      <c r="AP289" s="76">
        <f t="shared" si="61"/>
        <v>0.16643281686809816</v>
      </c>
      <c r="AQ289" s="76">
        <f t="shared" si="62"/>
        <v>0</v>
      </c>
      <c r="AR289" s="76">
        <f t="shared" si="63"/>
        <v>0.18460809127091196</v>
      </c>
      <c r="AS289" s="76">
        <f t="shared" si="64"/>
        <v>0</v>
      </c>
      <c r="AT289" s="76">
        <f t="shared" si="65"/>
        <v>0</v>
      </c>
      <c r="AU289" s="76">
        <f t="shared" si="66"/>
        <v>49.384319305382405</v>
      </c>
      <c r="AV289" s="76">
        <f>MAX(0,(AU289-Constantes!$D$13)*(1-EXP(-Constantes!$D$24)))</f>
        <v>9.6957273012300334E-3</v>
      </c>
      <c r="AW289" s="170">
        <f>AW288+(Entradas!$F$112*AT289-AX288)/(800*Entradas!$D$25)</f>
        <v>0</v>
      </c>
      <c r="AX289" s="170">
        <f>8000*Entradas!$D$26*AW289/Constantes!$F$45</f>
        <v>0</v>
      </c>
      <c r="AY289" s="170">
        <f>IF(Escenarios!$F$17&gt;0,10*Escenarios!$F$16*AL289,0)</f>
        <v>0</v>
      </c>
      <c r="AZ289" s="170">
        <f>IF(Escenarios!$F$17&gt;0,10*Escenarios!$F$16*AX289,0)</f>
        <v>0</v>
      </c>
      <c r="BA289" s="170">
        <f>IF(Escenarios!$F$17&gt;0,0.001*Observaciones!$F288*Escenarios!$F$17,0)</f>
        <v>0</v>
      </c>
      <c r="BB289" s="170">
        <f>IF(Escenarios!$F$17&gt;0,Observaciones!$K288,0)</f>
        <v>0</v>
      </c>
      <c r="BC289" s="170">
        <f>IF(Escenarios!$F$17&gt;0,MIN(0.0005*ETo!$M288*Escenarios!$F$17*(BG288/Constantes!$F$40)^(2/3),BG288+AY289+AZ289+BA289+BB289),0)</f>
        <v>0</v>
      </c>
      <c r="BD289" s="170">
        <f>IF(Escenarios!$F$17&gt;0,MIN(Constantes!$F$39*(BG288/Constantes!$F$40)^(2/3),BG288+AY289+AZ289+BA289+BB289-BC289),0)</f>
        <v>0</v>
      </c>
      <c r="BE289" s="170">
        <f>IF(Escenarios!$F$17&gt;0,MIN(Entradas!$F$113,BG288+AY289+AZ289+BA289+BB289-BC289-BD289),0)</f>
        <v>0</v>
      </c>
      <c r="BF289" s="170">
        <f>IF(Escenarios!$F$17&gt;0,MAX(0,BG288+AY289+AZ289+BA289+BB289-BC289-BD289-BE289-Constantes!$F$40),0)</f>
        <v>0</v>
      </c>
      <c r="BG289" s="170">
        <f t="shared" si="67"/>
        <v>0</v>
      </c>
      <c r="BH289" s="170">
        <f>(Escenarios!$F$16*AK289+0.1*BC289)/(Escenarios!$F$19)</f>
        <v>2.5958945878093997</v>
      </c>
      <c r="BI289" s="170">
        <f>IF(Escenarios!$F$17&gt;0,BF289/10/Escenarios!$F$19,AL289)</f>
        <v>0</v>
      </c>
      <c r="BJ289" s="170">
        <f>(Escenarios!$F$16*AT289+0.1*BD289)/(Escenarios!$F$19)</f>
        <v>0</v>
      </c>
      <c r="BK289" s="76">
        <f>BK288+(0.1*BD289)/(Escenarios!$F$19)-BL288</f>
        <v>48.75</v>
      </c>
      <c r="BL289" s="76">
        <f>MAX(0,(BK289-Constantes!$D$13)*(1-EXP(-Constantes!$D$23)))</f>
        <v>0</v>
      </c>
      <c r="BM289" s="76">
        <f t="shared" si="68"/>
        <v>0.17612854416932819</v>
      </c>
      <c r="BN289" s="76">
        <f t="shared" si="69"/>
        <v>0.19430381857214199</v>
      </c>
      <c r="BO289" s="76">
        <f>0.0526*BI289*Observaciones!$F288^1.218</f>
        <v>0</v>
      </c>
      <c r="BP289" s="76">
        <f>BO289*Constantes!$F$51</f>
        <v>0</v>
      </c>
      <c r="BQ289" s="76">
        <f t="shared" si="70"/>
        <v>0</v>
      </c>
      <c r="BR289" s="40"/>
    </row>
    <row r="290" spans="2:70">
      <c r="B290" s="39"/>
      <c r="C290" s="75">
        <v>284</v>
      </c>
      <c r="D290" s="146">
        <f>ETo!$I289*((1-Constantes!$F$19)*ETo!$K289+ETo!$L289)</f>
        <v>4.2870472954778229</v>
      </c>
      <c r="E290" s="76">
        <f>MIN(D290*Constantes!$F$17,0.8*(N289+Observaciones!$F289-F290-M290-Constantes!$D$14))</f>
        <v>0.72506153941471041</v>
      </c>
      <c r="F290" s="76">
        <f>IF(Observaciones!$F289&gt;0.05*Constantes!$F$18,((Observaciones!$F289-0.05*Constantes!$F$18)^2)/(Observaciones!$F289+0.95*Constantes!$F$18),0)</f>
        <v>0</v>
      </c>
      <c r="G290" s="76">
        <f>IF(Escenarios!$F$11&gt;0,(F290*Escenarios!$F$16*10000)/1000,0)</f>
        <v>0</v>
      </c>
      <c r="H290" s="76">
        <f>IF(Escenarios!$F$11&gt;0,(Observaciones!$F289*Constantes!$F$29)/1000,0)</f>
        <v>0</v>
      </c>
      <c r="I290" s="76">
        <f>IF(Escenarios!$F$11&gt;0,(D290*Constantes!$F$29)/1000,0)</f>
        <v>0</v>
      </c>
      <c r="J290" s="76">
        <f>IF(Escenarios!$F$11&gt;0,MAX(0,G290+H290-I290),0)</f>
        <v>0</v>
      </c>
      <c r="K290" s="76">
        <f>IF(Escenarios!$F$11&gt;0,IF(J290&gt;Constantes!$F$30,1000*((J290-Constantes!$F$30)/(Escenarios!$F$16*10000)),0),F290)</f>
        <v>0</v>
      </c>
      <c r="L290" s="76">
        <f>IF(Escenarios!$F$11&gt;0,I290*1000/Escenarios!$F$16/10000+E290,E290)</f>
        <v>0.72506153941471041</v>
      </c>
      <c r="M290" s="76">
        <f>MAX(0,N289+Observaciones!$F289-K290-Constantes!$D$13)</f>
        <v>0</v>
      </c>
      <c r="N290" s="76">
        <f>N289+Observaciones!$F289-K290-L290-M290-O289</f>
        <v>11.410611663941388</v>
      </c>
      <c r="O290" s="76">
        <f>MAX(0,(N290-Constantes!$D$14)*(1-EXP(-Constantes!$D$22)))</f>
        <v>5.4710228913326898E-3</v>
      </c>
      <c r="P290" s="170">
        <f>P289+(Entradas!$F$83*M290-Q289)/(800*Entradas!$D$25)</f>
        <v>0</v>
      </c>
      <c r="Q290" s="170">
        <f>8000*Entradas!$D$26*P290/Constantes!$F$45</f>
        <v>0</v>
      </c>
      <c r="R290" s="170">
        <f>IF(Escenarios!$F$14&gt;0,K290*Escenarios!$F$13/Escenarios!$F$14,0)</f>
        <v>0</v>
      </c>
      <c r="S290" s="170">
        <f>IF(Escenarios!$F$14&gt;0,Q290*Escenarios!$F$13/Escenarios!$F$14,0)</f>
        <v>0</v>
      </c>
      <c r="T290" s="170">
        <f>IF(Escenarios!$F$14&gt;0,Observaciones!$I289,0)</f>
        <v>0</v>
      </c>
      <c r="U290" s="170">
        <f>IF(Escenarios!$F$14&gt;0,MAX(0,Constantes!$F$36/((Z289+R290+S290+T290+Observaciones!$F289)^2)+Entradas!$F$77),0)</f>
        <v>0</v>
      </c>
      <c r="V290" s="146">
        <f>IF(ETo!D289&gt;0,ETo!I289*((1-Entradas!$F$81)*ETo!K289+ETo!L289),0)</f>
        <v>3.8050242368371179</v>
      </c>
      <c r="W290" s="170">
        <f>IF(Escenarios!$F$14&gt;0,MIN(V290*1,0.8*(Z289+R290+S290+T290+Observaciones!$F289-U290-Constantes!$F$35)),0)</f>
        <v>0.72000000003470754</v>
      </c>
      <c r="X290" s="170">
        <f>IF(Escenarios!$F$14&gt;0,Observaciones!$J289,0)</f>
        <v>0</v>
      </c>
      <c r="Y290" s="170">
        <f>IF(Escenarios!$F$14&gt;0,MAX(0,Z289+R290+S290+T290+Observaciones!$F289-U290-W290-X290-Constantes!$F$33),0)</f>
        <v>0</v>
      </c>
      <c r="Z290" s="170">
        <f>Z289+R290+S290+T290+Observaciones!$F289-U290-W290-Y290</f>
        <v>41.430000000008675</v>
      </c>
      <c r="AA290" s="170">
        <f>IF(Escenarios!$F$14&gt;0,(Escenarios!$F$13*L290+Escenarios!$F$14*W290)/(Escenarios!$F$16),L290)</f>
        <v>0.72445415468911001</v>
      </c>
      <c r="AB290" s="170">
        <f>IF(Escenarios!$F$14&gt;0,(Escenarios!$F$14*Y290)/(Escenarios!$F$16),K290)</f>
        <v>0</v>
      </c>
      <c r="AC290" s="170">
        <f>IF(Escenarios!$F$14&gt;0,(Escenarios!$F$13*M290+Escenarios!$F$14*U290)/(Escenarios!$F$16),M290)</f>
        <v>0</v>
      </c>
      <c r="AD290" s="76">
        <f t="shared" si="57"/>
        <v>65.474746895152052</v>
      </c>
      <c r="AE290" s="76">
        <f>MAX(0,(AD290-Constantes!$D$13)*(1-EXP(-Constantes!$D$23)))</f>
        <v>0.16479291468228827</v>
      </c>
      <c r="AF290" s="76">
        <f>AB290+O290*Escenarios!$F$13/Escenarios!$F$16+AE290</f>
        <v>0.16960741482666103</v>
      </c>
      <c r="AG290" s="76">
        <f>IF(Entradas!$F$91&gt;0,IF(AF290-Escenarios!$F$38&lt;=0,0,IF(AF290-Escenarios!$F$38&gt;Escenarios!$F$37,Escenarios!$F$37,AF290-Escenarios!$F$38)),0)</f>
        <v>0</v>
      </c>
      <c r="AH290" s="76">
        <f>AG290*Entradas!$F$99</f>
        <v>0</v>
      </c>
      <c r="AI290" s="76">
        <f>IF(Entradas!$F$91&gt;0,D290*Entradas!$D$23/Escenarios!$F$16,0)</f>
        <v>0.20577827018293551</v>
      </c>
      <c r="AJ290" s="76">
        <f>IF(Entradas!$F$91&gt;0,Entradas!$D$24*Entradas!$D$22/Escenarios!$F$16,0)</f>
        <v>0.12</v>
      </c>
      <c r="AK290" s="76">
        <f t="shared" si="58"/>
        <v>0.93023242487204549</v>
      </c>
      <c r="AL290" s="76">
        <f t="shared" si="59"/>
        <v>0</v>
      </c>
      <c r="AM290" s="76">
        <f t="shared" si="60"/>
        <v>0</v>
      </c>
      <c r="AN290" s="76">
        <f>MAX(0,O290*Escenarios!$F$13/Escenarios!$F$16-AM290)</f>
        <v>4.8145001443727665E-3</v>
      </c>
      <c r="AO290" s="76">
        <f>AM290+AN290-O290*Escenarios!$F$13/Escenarios!$F$16</f>
        <v>0</v>
      </c>
      <c r="AP290" s="76">
        <f t="shared" si="61"/>
        <v>0.16479291468228827</v>
      </c>
      <c r="AQ290" s="76">
        <f t="shared" si="62"/>
        <v>0</v>
      </c>
      <c r="AR290" s="76">
        <f t="shared" si="63"/>
        <v>0.16960741482666103</v>
      </c>
      <c r="AS290" s="76">
        <f t="shared" si="64"/>
        <v>0</v>
      </c>
      <c r="AT290" s="76">
        <f t="shared" si="65"/>
        <v>0</v>
      </c>
      <c r="AU290" s="76">
        <f t="shared" si="66"/>
        <v>49.374623578081177</v>
      </c>
      <c r="AV290" s="76">
        <f>MAX(0,(AU290-Constantes!$D$13)*(1-EXP(-Constantes!$D$24)))</f>
        <v>9.5475257139503843E-3</v>
      </c>
      <c r="AW290" s="170">
        <f>AW289+(Entradas!$F$112*AT290-AX289)/(800*Entradas!$D$25)</f>
        <v>0</v>
      </c>
      <c r="AX290" s="170">
        <f>8000*Entradas!$D$26*AW290/Constantes!$F$45</f>
        <v>0</v>
      </c>
      <c r="AY290" s="170">
        <f>IF(Escenarios!$F$17&gt;0,10*Escenarios!$F$16*AL290,0)</f>
        <v>0</v>
      </c>
      <c r="AZ290" s="170">
        <f>IF(Escenarios!$F$17&gt;0,10*Escenarios!$F$16*AX290,0)</f>
        <v>0</v>
      </c>
      <c r="BA290" s="170">
        <f>IF(Escenarios!$F$17&gt;0,0.001*Observaciones!$F289*Escenarios!$F$17,0)</f>
        <v>0</v>
      </c>
      <c r="BB290" s="170">
        <f>IF(Escenarios!$F$17&gt;0,Observaciones!$K289,0)</f>
        <v>0</v>
      </c>
      <c r="BC290" s="170">
        <f>IF(Escenarios!$F$17&gt;0,MIN(0.0005*ETo!$M289*Escenarios!$F$17*(BG289/Constantes!$F$40)^(2/3),BG289+AY290+AZ290+BA290+BB290),0)</f>
        <v>0</v>
      </c>
      <c r="BD290" s="170">
        <f>IF(Escenarios!$F$17&gt;0,MIN(Constantes!$F$39*(BG289/Constantes!$F$40)^(2/3),BG289+AY290+AZ290+BA290+BB290-BC290),0)</f>
        <v>0</v>
      </c>
      <c r="BE290" s="170">
        <f>IF(Escenarios!$F$17&gt;0,MIN(Entradas!$F$113,BG289+AY290+AZ290+BA290+BB290-BC290-BD290),0)</f>
        <v>0</v>
      </c>
      <c r="BF290" s="170">
        <f>IF(Escenarios!$F$17&gt;0,MAX(0,BG289+AY290+AZ290+BA290+BB290-BC290-BD290-BE290-Constantes!$F$40),0)</f>
        <v>0</v>
      </c>
      <c r="BG290" s="170">
        <f t="shared" si="67"/>
        <v>0</v>
      </c>
      <c r="BH290" s="170">
        <f>(Escenarios!$F$16*AK290+0.1*BC290)/(Escenarios!$F$19)</f>
        <v>0.93023242487204549</v>
      </c>
      <c r="BI290" s="170">
        <f>IF(Escenarios!$F$17&gt;0,BF290/10/Escenarios!$F$19,AL290)</f>
        <v>0</v>
      </c>
      <c r="BJ290" s="170">
        <f>(Escenarios!$F$16*AT290+0.1*BD290)/(Escenarios!$F$19)</f>
        <v>0</v>
      </c>
      <c r="BK290" s="76">
        <f>BK289+(0.1*BD290)/(Escenarios!$F$19)-BL289</f>
        <v>48.75</v>
      </c>
      <c r="BL290" s="76">
        <f>MAX(0,(BK290-Constantes!$D$13)*(1-EXP(-Constantes!$D$23)))</f>
        <v>0</v>
      </c>
      <c r="BM290" s="76">
        <f t="shared" si="68"/>
        <v>0.17434044039623864</v>
      </c>
      <c r="BN290" s="76">
        <f t="shared" si="69"/>
        <v>0.1791549405406114</v>
      </c>
      <c r="BO290" s="76">
        <f>0.0526*BI290*Observaciones!$F289^1.218</f>
        <v>0</v>
      </c>
      <c r="BP290" s="76">
        <f>BO290*Constantes!$F$51</f>
        <v>0</v>
      </c>
      <c r="BQ290" s="76">
        <f t="shared" si="70"/>
        <v>0</v>
      </c>
      <c r="BR290" s="40"/>
    </row>
    <row r="291" spans="2:70">
      <c r="B291" s="39"/>
      <c r="C291" s="75">
        <v>285</v>
      </c>
      <c r="D291" s="146">
        <f>ETo!$I290*((1-Constantes!$F$19)*ETo!$K290+ETo!$L290)</f>
        <v>4.3274830265656758</v>
      </c>
      <c r="E291" s="76">
        <f>MIN(D291*Constantes!$F$17,0.8*(N290+Observaciones!$F290-F291-M291-Constantes!$D$14))</f>
        <v>2.4680144509039836</v>
      </c>
      <c r="F291" s="76">
        <f>IF(Observaciones!$F290&gt;0.05*Constantes!$F$18,((Observaciones!$F290-0.05*Constantes!$F$18)^2)/(Observaciones!$F290+0.95*Constantes!$F$18),0)</f>
        <v>0</v>
      </c>
      <c r="G291" s="76">
        <f>IF(Escenarios!$F$11&gt;0,(F291*Escenarios!$F$16*10000)/1000,0)</f>
        <v>0</v>
      </c>
      <c r="H291" s="76">
        <f>IF(Escenarios!$F$11&gt;0,(Observaciones!$F290*Constantes!$F$29)/1000,0)</f>
        <v>0</v>
      </c>
      <c r="I291" s="76">
        <f>IF(Escenarios!$F$11&gt;0,(D291*Constantes!$F$29)/1000,0)</f>
        <v>0</v>
      </c>
      <c r="J291" s="76">
        <f>IF(Escenarios!$F$11&gt;0,MAX(0,G291+H291-I291),0)</f>
        <v>0</v>
      </c>
      <c r="K291" s="76">
        <f>IF(Escenarios!$F$11&gt;0,IF(J291&gt;Constantes!$F$30,1000*((J291-Constantes!$F$30)/(Escenarios!$F$16*10000)),0),F291)</f>
        <v>0</v>
      </c>
      <c r="L291" s="76">
        <f>IF(Escenarios!$F$11&gt;0,I291*1000/Escenarios!$F$16/10000+E291,E291)</f>
        <v>2.4680144509039836</v>
      </c>
      <c r="M291" s="76">
        <f>MAX(0,N290+Observaciones!$F290-K291-Constantes!$D$13)</f>
        <v>0</v>
      </c>
      <c r="N291" s="76">
        <f>N290+Observaciones!$F290-K291-L291-M291-O290</f>
        <v>15.237126190146073</v>
      </c>
      <c r="O291" s="76">
        <f>MAX(0,(N291-Constantes!$D$14)*(1-EXP(-Constantes!$D$22)))</f>
        <v>0.13581615507626935</v>
      </c>
      <c r="P291" s="170">
        <f>P290+(Entradas!$F$83*M291-Q290)/(800*Entradas!$D$25)</f>
        <v>0</v>
      </c>
      <c r="Q291" s="170">
        <f>8000*Entradas!$D$26*P291/Constantes!$F$45</f>
        <v>0</v>
      </c>
      <c r="R291" s="170">
        <f>IF(Escenarios!$F$14&gt;0,K291*Escenarios!$F$13/Escenarios!$F$14,0)</f>
        <v>0</v>
      </c>
      <c r="S291" s="170">
        <f>IF(Escenarios!$F$14&gt;0,Q291*Escenarios!$F$13/Escenarios!$F$14,0)</f>
        <v>0</v>
      </c>
      <c r="T291" s="170">
        <f>IF(Escenarios!$F$14&gt;0,Observaciones!$I290,0)</f>
        <v>0</v>
      </c>
      <c r="U291" s="170">
        <f>IF(Escenarios!$F$14&gt;0,MAX(0,Constantes!$F$36/((Z290+R291+S291+T291+Observaciones!$F290)^2)+Entradas!$F$77),0)</f>
        <v>0</v>
      </c>
      <c r="V291" s="146">
        <f>IF(ETo!D290&gt;0,ETo!I290*((1-Entradas!$F$81)*ETo!K290+ETo!L290),0)</f>
        <v>3.8416205742816962</v>
      </c>
      <c r="W291" s="170">
        <f>IF(Escenarios!$F$14&gt;0,MIN(V291*1,0.8*(Z290+R291+S291+T291+Observaciones!$F290-U291-Constantes!$F$35)),0)</f>
        <v>3.8416205742816962</v>
      </c>
      <c r="X291" s="170">
        <f>IF(Escenarios!$F$14&gt;0,Observaciones!$J290,0)</f>
        <v>0</v>
      </c>
      <c r="Y291" s="170">
        <f>IF(Escenarios!$F$14&gt;0,MAX(0,Z290+R291+S291+T291+Observaciones!$F290-U291-W291-X291-Constantes!$F$33),0)</f>
        <v>0</v>
      </c>
      <c r="Z291" s="170">
        <f>Z290+R291+S291+T291+Observaciones!$F290-U291-W291-Y291</f>
        <v>43.888379425726974</v>
      </c>
      <c r="AA291" s="170">
        <f>IF(Escenarios!$F$14&gt;0,(Escenarios!$F$13*L291+Escenarios!$F$14*W291)/(Escenarios!$F$16),L291)</f>
        <v>2.6328471857093092</v>
      </c>
      <c r="AB291" s="170">
        <f>IF(Escenarios!$F$14&gt;0,(Escenarios!$F$14*Y291)/(Escenarios!$F$16),K291)</f>
        <v>0</v>
      </c>
      <c r="AC291" s="170">
        <f>IF(Escenarios!$F$14&gt;0,(Escenarios!$F$13*M291+Escenarios!$F$14*U291)/(Escenarios!$F$16),M291)</f>
        <v>0</v>
      </c>
      <c r="AD291" s="76">
        <f t="shared" si="57"/>
        <v>65.309953980469757</v>
      </c>
      <c r="AE291" s="76">
        <f>MAX(0,(AD291-Constantes!$D$13)*(1-EXP(-Constantes!$D$23)))</f>
        <v>0.16316917084330934</v>
      </c>
      <c r="AF291" s="76">
        <f>AB291+O291*Escenarios!$F$13/Escenarios!$F$16+AE291</f>
        <v>0.28268738731042636</v>
      </c>
      <c r="AG291" s="76">
        <f>IF(Entradas!$F$91&gt;0,IF(AF291-Escenarios!$F$38&lt;=0,0,IF(AF291-Escenarios!$F$38&gt;Escenarios!$F$37,Escenarios!$F$37,AF291-Escenarios!$F$38)),0)</f>
        <v>0</v>
      </c>
      <c r="AH291" s="76">
        <f>AG291*Entradas!$F$99</f>
        <v>0</v>
      </c>
      <c r="AI291" s="76">
        <f>IF(Entradas!$F$91&gt;0,D291*Entradas!$D$23/Escenarios!$F$16,0)</f>
        <v>0.20771918527515243</v>
      </c>
      <c r="AJ291" s="76">
        <f>IF(Entradas!$F$91&gt;0,Entradas!$D$24*Entradas!$D$22/Escenarios!$F$16,0)</f>
        <v>0.12</v>
      </c>
      <c r="AK291" s="76">
        <f t="shared" si="58"/>
        <v>2.8405663709844617</v>
      </c>
      <c r="AL291" s="76">
        <f t="shared" si="59"/>
        <v>0</v>
      </c>
      <c r="AM291" s="76">
        <f t="shared" si="60"/>
        <v>0</v>
      </c>
      <c r="AN291" s="76">
        <f>MAX(0,O291*Escenarios!$F$13/Escenarios!$F$16-AM291)</f>
        <v>0.11951821646711702</v>
      </c>
      <c r="AO291" s="76">
        <f>AM291+AN291-O291*Escenarios!$F$13/Escenarios!$F$16</f>
        <v>0</v>
      </c>
      <c r="AP291" s="76">
        <f t="shared" si="61"/>
        <v>0.16316917084330934</v>
      </c>
      <c r="AQ291" s="76">
        <f t="shared" si="62"/>
        <v>0</v>
      </c>
      <c r="AR291" s="76">
        <f t="shared" si="63"/>
        <v>0.28268738731042636</v>
      </c>
      <c r="AS291" s="76">
        <f t="shared" si="64"/>
        <v>0</v>
      </c>
      <c r="AT291" s="76">
        <f t="shared" si="65"/>
        <v>0</v>
      </c>
      <c r="AU291" s="76">
        <f t="shared" si="66"/>
        <v>49.365076052367229</v>
      </c>
      <c r="AV291" s="76">
        <f>MAX(0,(AU291-Constantes!$D$13)*(1-EXP(-Constantes!$D$24)))</f>
        <v>9.401589424547812E-3</v>
      </c>
      <c r="AW291" s="170">
        <f>AW290+(Entradas!$F$112*AT291-AX290)/(800*Entradas!$D$25)</f>
        <v>0</v>
      </c>
      <c r="AX291" s="170">
        <f>8000*Entradas!$D$26*AW291/Constantes!$F$45</f>
        <v>0</v>
      </c>
      <c r="AY291" s="170">
        <f>IF(Escenarios!$F$17&gt;0,10*Escenarios!$F$16*AL291,0)</f>
        <v>0</v>
      </c>
      <c r="AZ291" s="170">
        <f>IF(Escenarios!$F$17&gt;0,10*Escenarios!$F$16*AX291,0)</f>
        <v>0</v>
      </c>
      <c r="BA291" s="170">
        <f>IF(Escenarios!$F$17&gt;0,0.001*Observaciones!$F290*Escenarios!$F$17,0)</f>
        <v>0</v>
      </c>
      <c r="BB291" s="170">
        <f>IF(Escenarios!$F$17&gt;0,Observaciones!$K290,0)</f>
        <v>0</v>
      </c>
      <c r="BC291" s="170">
        <f>IF(Escenarios!$F$17&gt;0,MIN(0.0005*ETo!$M290*Escenarios!$F$17*(BG290/Constantes!$F$40)^(2/3),BG290+AY291+AZ291+BA291+BB291),0)</f>
        <v>0</v>
      </c>
      <c r="BD291" s="170">
        <f>IF(Escenarios!$F$17&gt;0,MIN(Constantes!$F$39*(BG290/Constantes!$F$40)^(2/3),BG290+AY291+AZ291+BA291+BB291-BC291),0)</f>
        <v>0</v>
      </c>
      <c r="BE291" s="170">
        <f>IF(Escenarios!$F$17&gt;0,MIN(Entradas!$F$113,BG290+AY291+AZ291+BA291+BB291-BC291-BD291),0)</f>
        <v>0</v>
      </c>
      <c r="BF291" s="170">
        <f>IF(Escenarios!$F$17&gt;0,MAX(0,BG290+AY291+AZ291+BA291+BB291-BC291-BD291-BE291-Constantes!$F$40),0)</f>
        <v>0</v>
      </c>
      <c r="BG291" s="170">
        <f t="shared" si="67"/>
        <v>0</v>
      </c>
      <c r="BH291" s="170">
        <f>(Escenarios!$F$16*AK291+0.1*BC291)/(Escenarios!$F$19)</f>
        <v>2.8405663709844617</v>
      </c>
      <c r="BI291" s="170">
        <f>IF(Escenarios!$F$17&gt;0,BF291/10/Escenarios!$F$19,AL291)</f>
        <v>0</v>
      </c>
      <c r="BJ291" s="170">
        <f>(Escenarios!$F$16*AT291+0.1*BD291)/(Escenarios!$F$19)</f>
        <v>0</v>
      </c>
      <c r="BK291" s="76">
        <f>BK290+(0.1*BD291)/(Escenarios!$F$19)-BL290</f>
        <v>48.75</v>
      </c>
      <c r="BL291" s="76">
        <f>MAX(0,(BK291-Constantes!$D$13)*(1-EXP(-Constantes!$D$23)))</f>
        <v>0</v>
      </c>
      <c r="BM291" s="76">
        <f t="shared" si="68"/>
        <v>0.17257076026785714</v>
      </c>
      <c r="BN291" s="76">
        <f t="shared" si="69"/>
        <v>0.29208897673497419</v>
      </c>
      <c r="BO291" s="76">
        <f>0.0526*BI291*Observaciones!$F290^1.218</f>
        <v>0</v>
      </c>
      <c r="BP291" s="76">
        <f>BO291*Constantes!$F$51</f>
        <v>0</v>
      </c>
      <c r="BQ291" s="76">
        <f t="shared" si="70"/>
        <v>0</v>
      </c>
      <c r="BR291" s="40"/>
    </row>
    <row r="292" spans="2:70">
      <c r="B292" s="39"/>
      <c r="C292" s="75">
        <v>286</v>
      </c>
      <c r="D292" s="146">
        <f>ETo!$I291*((1-Constantes!$F$19)*ETo!$K291+ETo!$L291)</f>
        <v>4.1242803562899732</v>
      </c>
      <c r="E292" s="76">
        <f>MIN(D292*Constantes!$F$17,0.8*(N291+Observaciones!$F291-F292-M292-Constantes!$D$14))</f>
        <v>2.3521255788681965</v>
      </c>
      <c r="F292" s="76">
        <f>IF(Observaciones!$F291&gt;0.05*Constantes!$F$18,((Observaciones!$F291-0.05*Constantes!$F$18)^2)/(Observaciones!$F291+0.95*Constantes!$F$18),0)</f>
        <v>0</v>
      </c>
      <c r="G292" s="76">
        <f>IF(Escenarios!$F$11&gt;0,(F292*Escenarios!$F$16*10000)/1000,0)</f>
        <v>0</v>
      </c>
      <c r="H292" s="76">
        <f>IF(Escenarios!$F$11&gt;0,(Observaciones!$F291*Constantes!$F$29)/1000,0)</f>
        <v>0</v>
      </c>
      <c r="I292" s="76">
        <f>IF(Escenarios!$F$11&gt;0,(D292*Constantes!$F$29)/1000,0)</f>
        <v>0</v>
      </c>
      <c r="J292" s="76">
        <f>IF(Escenarios!$F$11&gt;0,MAX(0,G292+H292-I292),0)</f>
        <v>0</v>
      </c>
      <c r="K292" s="76">
        <f>IF(Escenarios!$F$11&gt;0,IF(J292&gt;Constantes!$F$30,1000*((J292-Constantes!$F$30)/(Escenarios!$F$16*10000)),0),F292)</f>
        <v>0</v>
      </c>
      <c r="L292" s="76">
        <f>IF(Escenarios!$F$11&gt;0,I292*1000/Escenarios!$F$16/10000+E292,E292)</f>
        <v>2.3521255788681965</v>
      </c>
      <c r="M292" s="76">
        <f>MAX(0,N291+Observaciones!$F291-K292-Constantes!$D$13)</f>
        <v>0</v>
      </c>
      <c r="N292" s="76">
        <f>N291+Observaciones!$F291-K292-L292-M292-O291</f>
        <v>16.049184456201605</v>
      </c>
      <c r="O292" s="76">
        <f>MAX(0,(N292-Constantes!$D$14)*(1-EXP(-Constantes!$D$22)))</f>
        <v>0.16347784074504521</v>
      </c>
      <c r="P292" s="170">
        <f>P291+(Entradas!$F$83*M292-Q291)/(800*Entradas!$D$25)</f>
        <v>0</v>
      </c>
      <c r="Q292" s="170">
        <f>8000*Entradas!$D$26*P292/Constantes!$F$45</f>
        <v>0</v>
      </c>
      <c r="R292" s="170">
        <f>IF(Escenarios!$F$14&gt;0,K292*Escenarios!$F$13/Escenarios!$F$14,0)</f>
        <v>0</v>
      </c>
      <c r="S292" s="170">
        <f>IF(Escenarios!$F$14&gt;0,Q292*Escenarios!$F$13/Escenarios!$F$14,0)</f>
        <v>0</v>
      </c>
      <c r="T292" s="170">
        <f>IF(Escenarios!$F$14&gt;0,Observaciones!$I291,0)</f>
        <v>0</v>
      </c>
      <c r="U292" s="170">
        <f>IF(Escenarios!$F$14&gt;0,MAX(0,Constantes!$F$36/((Z291+R292+S292+T292+Observaciones!$F291)^2)+Entradas!$F$77),0)</f>
        <v>0</v>
      </c>
      <c r="V292" s="146">
        <f>IF(ETo!D291&gt;0,ETo!I291*((1-Entradas!$F$81)*ETo!K291+ETo!L291),0)</f>
        <v>3.6590793804944024</v>
      </c>
      <c r="W292" s="170">
        <f>IF(Escenarios!$F$14&gt;0,MIN(V292*1,0.8*(Z291+R292+S292+T292+Observaciones!$F291-U292-Constantes!$F$35)),0)</f>
        <v>3.6590793804944024</v>
      </c>
      <c r="X292" s="170">
        <f>IF(Escenarios!$F$14&gt;0,Observaciones!$J291,0)</f>
        <v>0</v>
      </c>
      <c r="Y292" s="170">
        <f>IF(Escenarios!$F$14&gt;0,MAX(0,Z291+R292+S292+T292+Observaciones!$F291-U292-W292-X292-Constantes!$F$33),0)</f>
        <v>0</v>
      </c>
      <c r="Z292" s="170">
        <f>Z291+R292+S292+T292+Observaciones!$F291-U292-W292-Y292</f>
        <v>43.529300045232567</v>
      </c>
      <c r="AA292" s="170">
        <f>IF(Escenarios!$F$14&gt;0,(Escenarios!$F$13*L292+Escenarios!$F$14*W292)/(Escenarios!$F$16),L292)</f>
        <v>2.5089600350633408</v>
      </c>
      <c r="AB292" s="170">
        <f>IF(Escenarios!$F$14&gt;0,(Escenarios!$F$14*Y292)/(Escenarios!$F$16),K292)</f>
        <v>0</v>
      </c>
      <c r="AC292" s="170">
        <f>IF(Escenarios!$F$14&gt;0,(Escenarios!$F$13*M292+Escenarios!$F$14*U292)/(Escenarios!$F$16),M292)</f>
        <v>0</v>
      </c>
      <c r="AD292" s="76">
        <f t="shared" si="57"/>
        <v>65.146784809626453</v>
      </c>
      <c r="AE292" s="76">
        <f>MAX(0,(AD292-Constantes!$D$13)*(1-EXP(-Constantes!$D$23)))</f>
        <v>0.16156142613912164</v>
      </c>
      <c r="AF292" s="76">
        <f>AB292+O292*Escenarios!$F$13/Escenarios!$F$16+AE292</f>
        <v>0.30542192599476142</v>
      </c>
      <c r="AG292" s="76">
        <f>IF(Entradas!$F$91&gt;0,IF(AF292-Escenarios!$F$38&lt;=0,0,IF(AF292-Escenarios!$F$38&gt;Escenarios!$F$37,Escenarios!$F$37,AF292-Escenarios!$F$38)),0)</f>
        <v>0</v>
      </c>
      <c r="AH292" s="76">
        <f>AG292*Entradas!$F$99</f>
        <v>0</v>
      </c>
      <c r="AI292" s="76">
        <f>IF(Entradas!$F$91&gt;0,D292*Entradas!$D$23/Escenarios!$F$16,0)</f>
        <v>0.19796545710191873</v>
      </c>
      <c r="AJ292" s="76">
        <f>IF(Entradas!$F$91&gt;0,Entradas!$D$24*Entradas!$D$22/Escenarios!$F$16,0)</f>
        <v>0.12</v>
      </c>
      <c r="AK292" s="76">
        <f t="shared" si="58"/>
        <v>2.7069254921652597</v>
      </c>
      <c r="AL292" s="76">
        <f t="shared" si="59"/>
        <v>0</v>
      </c>
      <c r="AM292" s="76">
        <f t="shared" si="60"/>
        <v>0</v>
      </c>
      <c r="AN292" s="76">
        <f>MAX(0,O292*Escenarios!$F$13/Escenarios!$F$16-AM292)</f>
        <v>0.14386049985563978</v>
      </c>
      <c r="AO292" s="76">
        <f>AM292+AN292-O292*Escenarios!$F$13/Escenarios!$F$16</f>
        <v>0</v>
      </c>
      <c r="AP292" s="76">
        <f t="shared" si="61"/>
        <v>0.16156142613912164</v>
      </c>
      <c r="AQ292" s="76">
        <f t="shared" si="62"/>
        <v>0</v>
      </c>
      <c r="AR292" s="76">
        <f t="shared" si="63"/>
        <v>0.30542192599476142</v>
      </c>
      <c r="AS292" s="76">
        <f t="shared" si="64"/>
        <v>0</v>
      </c>
      <c r="AT292" s="76">
        <f t="shared" si="65"/>
        <v>0</v>
      </c>
      <c r="AU292" s="76">
        <f t="shared" si="66"/>
        <v>49.35567446294268</v>
      </c>
      <c r="AV292" s="76">
        <f>MAX(0,(AU292-Constantes!$D$13)*(1-EXP(-Constantes!$D$24)))</f>
        <v>9.2578838073845461E-3</v>
      </c>
      <c r="AW292" s="170">
        <f>AW291+(Entradas!$F$112*AT292-AX291)/(800*Entradas!$D$25)</f>
        <v>0</v>
      </c>
      <c r="AX292" s="170">
        <f>8000*Entradas!$D$26*AW292/Constantes!$F$45</f>
        <v>0</v>
      </c>
      <c r="AY292" s="170">
        <f>IF(Escenarios!$F$17&gt;0,10*Escenarios!$F$16*AL292,0)</f>
        <v>0</v>
      </c>
      <c r="AZ292" s="170">
        <f>IF(Escenarios!$F$17&gt;0,10*Escenarios!$F$16*AX292,0)</f>
        <v>0</v>
      </c>
      <c r="BA292" s="170">
        <f>IF(Escenarios!$F$17&gt;0,0.001*Observaciones!$F291*Escenarios!$F$17,0)</f>
        <v>0</v>
      </c>
      <c r="BB292" s="170">
        <f>IF(Escenarios!$F$17&gt;0,Observaciones!$K291,0)</f>
        <v>0</v>
      </c>
      <c r="BC292" s="170">
        <f>IF(Escenarios!$F$17&gt;0,MIN(0.0005*ETo!$M291*Escenarios!$F$17*(BG291/Constantes!$F$40)^(2/3),BG291+AY292+AZ292+BA292+BB292),0)</f>
        <v>0</v>
      </c>
      <c r="BD292" s="170">
        <f>IF(Escenarios!$F$17&gt;0,MIN(Constantes!$F$39*(BG291/Constantes!$F$40)^(2/3),BG291+AY292+AZ292+BA292+BB292-BC292),0)</f>
        <v>0</v>
      </c>
      <c r="BE292" s="170">
        <f>IF(Escenarios!$F$17&gt;0,MIN(Entradas!$F$113,BG291+AY292+AZ292+BA292+BB292-BC292-BD292),0)</f>
        <v>0</v>
      </c>
      <c r="BF292" s="170">
        <f>IF(Escenarios!$F$17&gt;0,MAX(0,BG291+AY292+AZ292+BA292+BB292-BC292-BD292-BE292-Constantes!$F$40),0)</f>
        <v>0</v>
      </c>
      <c r="BG292" s="170">
        <f t="shared" si="67"/>
        <v>0</v>
      </c>
      <c r="BH292" s="170">
        <f>(Escenarios!$F$16*AK292+0.1*BC292)/(Escenarios!$F$19)</f>
        <v>2.7069254921652597</v>
      </c>
      <c r="BI292" s="170">
        <f>IF(Escenarios!$F$17&gt;0,BF292/10/Escenarios!$F$19,AL292)</f>
        <v>0</v>
      </c>
      <c r="BJ292" s="170">
        <f>(Escenarios!$F$16*AT292+0.1*BD292)/(Escenarios!$F$19)</f>
        <v>0</v>
      </c>
      <c r="BK292" s="76">
        <f>BK291+(0.1*BD292)/(Escenarios!$F$19)-BL291</f>
        <v>48.75</v>
      </c>
      <c r="BL292" s="76">
        <f>MAX(0,(BK292-Constantes!$D$13)*(1-EXP(-Constantes!$D$23)))</f>
        <v>0</v>
      </c>
      <c r="BM292" s="76">
        <f t="shared" si="68"/>
        <v>0.17081930994650618</v>
      </c>
      <c r="BN292" s="76">
        <f t="shared" si="69"/>
        <v>0.31467980980214599</v>
      </c>
      <c r="BO292" s="76">
        <f>0.0526*BI292*Observaciones!$F291^1.218</f>
        <v>0</v>
      </c>
      <c r="BP292" s="76">
        <f>BO292*Constantes!$F$51</f>
        <v>0</v>
      </c>
      <c r="BQ292" s="76">
        <f t="shared" si="70"/>
        <v>0</v>
      </c>
      <c r="BR292" s="40"/>
    </row>
    <row r="293" spans="2:70">
      <c r="B293" s="39"/>
      <c r="C293" s="75">
        <v>287</v>
      </c>
      <c r="D293" s="146">
        <f>ETo!$I292*((1-Constantes!$F$19)*ETo!$K292+ETo!$L292)</f>
        <v>4.2859874394727795</v>
      </c>
      <c r="E293" s="76">
        <f>MIN(D293*Constantes!$F$17,0.8*(N292+Observaciones!$F292-F293-M293-Constantes!$D$14))</f>
        <v>2.4443490296960149</v>
      </c>
      <c r="F293" s="76">
        <f>IF(Observaciones!$F292&gt;0.05*Constantes!$F$18,((Observaciones!$F292-0.05*Constantes!$F$18)^2)/(Observaciones!$F292+0.95*Constantes!$F$18),0)</f>
        <v>0.35627108569046401</v>
      </c>
      <c r="G293" s="76">
        <f>IF(Escenarios!$F$11&gt;0,(F293*Escenarios!$F$16*10000)/1000,0)</f>
        <v>0</v>
      </c>
      <c r="H293" s="76">
        <f>IF(Escenarios!$F$11&gt;0,(Observaciones!$F292*Constantes!$F$29)/1000,0)</f>
        <v>0</v>
      </c>
      <c r="I293" s="76">
        <f>IF(Escenarios!$F$11&gt;0,(D293*Constantes!$F$29)/1000,0)</f>
        <v>0</v>
      </c>
      <c r="J293" s="76">
        <f>IF(Escenarios!$F$11&gt;0,MAX(0,G293+H293-I293),0)</f>
        <v>0</v>
      </c>
      <c r="K293" s="76">
        <f>IF(Escenarios!$F$11&gt;0,IF(J293&gt;Constantes!$F$30,1000*((J293-Constantes!$F$30)/(Escenarios!$F$16*10000)),0),F293)</f>
        <v>0.35627108569046401</v>
      </c>
      <c r="L293" s="76">
        <f>IF(Escenarios!$F$11&gt;0,I293*1000/Escenarios!$F$16/10000+E293,E293)</f>
        <v>2.4443490296960149</v>
      </c>
      <c r="M293" s="76">
        <f>MAX(0,N292+Observaciones!$F292-K293-Constantes!$D$13)</f>
        <v>0</v>
      </c>
      <c r="N293" s="76">
        <f>N292+Observaciones!$F292-K293-L293-M293-O292</f>
        <v>33.085086500070076</v>
      </c>
      <c r="O293" s="76">
        <f>MAX(0,(N293-Constantes!$D$14)*(1-EXP(-Constantes!$D$22)))</f>
        <v>0.74378320443593138</v>
      </c>
      <c r="P293" s="170">
        <f>P292+(Entradas!$F$83*M293-Q292)/(800*Entradas!$D$25)</f>
        <v>0</v>
      </c>
      <c r="Q293" s="170">
        <f>8000*Entradas!$D$26*P293/Constantes!$F$45</f>
        <v>0</v>
      </c>
      <c r="R293" s="170">
        <f>IF(Escenarios!$F$14&gt;0,K293*Escenarios!$F$13/Escenarios!$F$14,0)</f>
        <v>2.612654628396736</v>
      </c>
      <c r="S293" s="170">
        <f>IF(Escenarios!$F$14&gt;0,Q293*Escenarios!$F$13/Escenarios!$F$14,0)</f>
        <v>0</v>
      </c>
      <c r="T293" s="170">
        <f>IF(Escenarios!$F$14&gt;0,Observaciones!$I292,0)</f>
        <v>0</v>
      </c>
      <c r="U293" s="170">
        <f>IF(Escenarios!$F$14&gt;0,MAX(0,Constantes!$F$36/((Z292+R293+S293+T293+Observaciones!$F292)^2)+Entradas!$F$77),0)</f>
        <v>0.6531845634384017</v>
      </c>
      <c r="V293" s="146">
        <f>IF(ETo!D292&gt;0,ETo!I292*((1-Entradas!$F$81)*ETo!K292+ETo!L292),0)</f>
        <v>3.8044966079099463</v>
      </c>
      <c r="W293" s="170">
        <f>IF(Escenarios!$F$14&gt;0,MIN(V293*1,0.8*(Z292+R293+S293+T293+Observaciones!$F292-U293-Constantes!$F$35)),0)</f>
        <v>3.8044966079099463</v>
      </c>
      <c r="X293" s="170">
        <f>IF(Escenarios!$F$14&gt;0,Observaciones!$J292,0)</f>
        <v>0</v>
      </c>
      <c r="Y293" s="170">
        <f>IF(Escenarios!$F$14&gt;0,MAX(0,Z292+R293+S293+T293+Observaciones!$F292-U293-W293-X293-Constantes!$F$33),0)</f>
        <v>0</v>
      </c>
      <c r="Z293" s="170">
        <f>Z292+R293+S293+T293+Observaciones!$F292-U293-W293-Y293</f>
        <v>61.684273502280952</v>
      </c>
      <c r="AA293" s="170">
        <f>IF(Escenarios!$F$14&gt;0,(Escenarios!$F$13*L293+Escenarios!$F$14*W293)/(Escenarios!$F$16),L293)</f>
        <v>2.6075667390816872</v>
      </c>
      <c r="AB293" s="170">
        <f>IF(Escenarios!$F$14&gt;0,(Escenarios!$F$14*Y293)/(Escenarios!$F$16),K293)</f>
        <v>0</v>
      </c>
      <c r="AC293" s="170">
        <f>IF(Escenarios!$F$14&gt;0,(Escenarios!$F$13*M293+Escenarios!$F$14*U293)/(Escenarios!$F$16),M293)</f>
        <v>7.8382147612608213E-2</v>
      </c>
      <c r="AD293" s="76">
        <f t="shared" si="57"/>
        <v>65.063605531099952</v>
      </c>
      <c r="AE293" s="76">
        <f>MAX(0,(AD293-Constantes!$D$13)*(1-EXP(-Constantes!$D$23)))</f>
        <v>0.16074184089603941</v>
      </c>
      <c r="AF293" s="76">
        <f>AB293+O293*Escenarios!$F$13/Escenarios!$F$16+AE293</f>
        <v>0.81527106079965894</v>
      </c>
      <c r="AG293" s="76">
        <f>IF(Entradas!$F$91&gt;0,IF(AF293-Escenarios!$F$38&lt;=0,0,IF(AF293-Escenarios!$F$38&gt;Escenarios!$F$37,Escenarios!$F$37,AF293-Escenarios!$F$38)),0)</f>
        <v>0</v>
      </c>
      <c r="AH293" s="76">
        <f>AG293*Entradas!$F$99</f>
        <v>0</v>
      </c>
      <c r="AI293" s="76">
        <f>IF(Entradas!$F$91&gt;0,D293*Entradas!$D$23/Escenarios!$F$16,0)</f>
        <v>0.2057273970946934</v>
      </c>
      <c r="AJ293" s="76">
        <f>IF(Entradas!$F$91&gt;0,Entradas!$D$24*Entradas!$D$22/Escenarios!$F$16,0)</f>
        <v>0.12</v>
      </c>
      <c r="AK293" s="76">
        <f t="shared" si="58"/>
        <v>2.8132941361763808</v>
      </c>
      <c r="AL293" s="76">
        <f t="shared" si="59"/>
        <v>0</v>
      </c>
      <c r="AM293" s="76">
        <f t="shared" si="60"/>
        <v>0</v>
      </c>
      <c r="AN293" s="76">
        <f>MAX(0,O293*Escenarios!$F$13/Escenarios!$F$16-AM293)</f>
        <v>0.65452921990361956</v>
      </c>
      <c r="AO293" s="76">
        <f>AM293+AN293-O293*Escenarios!$F$13/Escenarios!$F$16</f>
        <v>0</v>
      </c>
      <c r="AP293" s="76">
        <f t="shared" si="61"/>
        <v>0.16074184089603941</v>
      </c>
      <c r="AQ293" s="76">
        <f t="shared" si="62"/>
        <v>0</v>
      </c>
      <c r="AR293" s="76">
        <f t="shared" si="63"/>
        <v>0.81527106079965894</v>
      </c>
      <c r="AS293" s="76">
        <f t="shared" si="64"/>
        <v>0</v>
      </c>
      <c r="AT293" s="76">
        <f t="shared" si="65"/>
        <v>7.8382147612608213E-2</v>
      </c>
      <c r="AU293" s="76">
        <f t="shared" si="66"/>
        <v>49.346416579135294</v>
      </c>
      <c r="AV293" s="76">
        <f>MAX(0,(AU293-Constantes!$D$13)*(1-EXP(-Constantes!$D$24)))</f>
        <v>9.1163747660843193E-3</v>
      </c>
      <c r="AW293" s="170">
        <f>AW292+(Entradas!$F$112*AT293-AX292)/(800*Entradas!$D$25)</f>
        <v>0</v>
      </c>
      <c r="AX293" s="170">
        <f>8000*Entradas!$D$26*AW293/Constantes!$F$45</f>
        <v>0</v>
      </c>
      <c r="AY293" s="170">
        <f>IF(Escenarios!$F$17&gt;0,10*Escenarios!$F$16*AL293,0)</f>
        <v>0</v>
      </c>
      <c r="AZ293" s="170">
        <f>IF(Escenarios!$F$17&gt;0,10*Escenarios!$F$16*AX293,0)</f>
        <v>0</v>
      </c>
      <c r="BA293" s="170">
        <f>IF(Escenarios!$F$17&gt;0,0.001*Observaciones!$F292*Escenarios!$F$17,0)</f>
        <v>0</v>
      </c>
      <c r="BB293" s="170">
        <f>IF(Escenarios!$F$17&gt;0,Observaciones!$K292,0)</f>
        <v>0</v>
      </c>
      <c r="BC293" s="170">
        <f>IF(Escenarios!$F$17&gt;0,MIN(0.0005*ETo!$M292*Escenarios!$F$17*(BG292/Constantes!$F$40)^(2/3),BG292+AY293+AZ293+BA293+BB293),0)</f>
        <v>0</v>
      </c>
      <c r="BD293" s="170">
        <f>IF(Escenarios!$F$17&gt;0,MIN(Constantes!$F$39*(BG292/Constantes!$F$40)^(2/3),BG292+AY293+AZ293+BA293+BB293-BC293),0)</f>
        <v>0</v>
      </c>
      <c r="BE293" s="170">
        <f>IF(Escenarios!$F$17&gt;0,MIN(Entradas!$F$113,BG292+AY293+AZ293+BA293+BB293-BC293-BD293),0)</f>
        <v>0</v>
      </c>
      <c r="BF293" s="170">
        <f>IF(Escenarios!$F$17&gt;0,MAX(0,BG292+AY293+AZ293+BA293+BB293-BC293-BD293-BE293-Constantes!$F$40),0)</f>
        <v>0</v>
      </c>
      <c r="BG293" s="170">
        <f t="shared" si="67"/>
        <v>0</v>
      </c>
      <c r="BH293" s="170">
        <f>(Escenarios!$F$16*AK293+0.1*BC293)/(Escenarios!$F$19)</f>
        <v>2.8132941361763808</v>
      </c>
      <c r="BI293" s="170">
        <f>IF(Escenarios!$F$17&gt;0,BF293/10/Escenarios!$F$19,AL293)</f>
        <v>0</v>
      </c>
      <c r="BJ293" s="170">
        <f>(Escenarios!$F$16*AT293+0.1*BD293)/(Escenarios!$F$19)</f>
        <v>7.8382147612608213E-2</v>
      </c>
      <c r="BK293" s="76">
        <f>BK292+(0.1*BD293)/(Escenarios!$F$19)-BL292</f>
        <v>48.75</v>
      </c>
      <c r="BL293" s="76">
        <f>MAX(0,(BK293-Constantes!$D$13)*(1-EXP(-Constantes!$D$23)))</f>
        <v>0</v>
      </c>
      <c r="BM293" s="76">
        <f t="shared" si="68"/>
        <v>0.16985821566212372</v>
      </c>
      <c r="BN293" s="76">
        <f t="shared" si="69"/>
        <v>0.82438743556574323</v>
      </c>
      <c r="BO293" s="76">
        <f>0.0526*BI293*Observaciones!$F292^1.218</f>
        <v>0</v>
      </c>
      <c r="BP293" s="76">
        <f>BO293*Constantes!$F$51</f>
        <v>0</v>
      </c>
      <c r="BQ293" s="76">
        <f t="shared" si="70"/>
        <v>0</v>
      </c>
      <c r="BR293" s="40"/>
    </row>
    <row r="294" spans="2:70">
      <c r="B294" s="39"/>
      <c r="C294" s="75">
        <v>288</v>
      </c>
      <c r="D294" s="146">
        <f>ETo!$I293*((1-Constantes!$F$19)*ETo!$K293+ETo!$L293)</f>
        <v>4.3709050629931205</v>
      </c>
      <c r="E294" s="76">
        <f>MIN(D294*Constantes!$F$17,0.8*(N293+Observaciones!$F293-F294-M294-Constantes!$D$14))</f>
        <v>2.492778548817884</v>
      </c>
      <c r="F294" s="76">
        <f>IF(Observaciones!$F293&gt;0.05*Constantes!$F$18,((Observaciones!$F293-0.05*Constantes!$F$18)^2)/(Observaciones!$F293+0.95*Constantes!$F$18),0)</f>
        <v>0</v>
      </c>
      <c r="G294" s="76">
        <f>IF(Escenarios!$F$11&gt;0,(F294*Escenarios!$F$16*10000)/1000,0)</f>
        <v>0</v>
      </c>
      <c r="H294" s="76">
        <f>IF(Escenarios!$F$11&gt;0,(Observaciones!$F293*Constantes!$F$29)/1000,0)</f>
        <v>0</v>
      </c>
      <c r="I294" s="76">
        <f>IF(Escenarios!$F$11&gt;0,(D294*Constantes!$F$29)/1000,0)</f>
        <v>0</v>
      </c>
      <c r="J294" s="76">
        <f>IF(Escenarios!$F$11&gt;0,MAX(0,G294+H294-I294),0)</f>
        <v>0</v>
      </c>
      <c r="K294" s="76">
        <f>IF(Escenarios!$F$11&gt;0,IF(J294&gt;Constantes!$F$30,1000*((J294-Constantes!$F$30)/(Escenarios!$F$16*10000)),0),F294)</f>
        <v>0</v>
      </c>
      <c r="L294" s="76">
        <f>IF(Escenarios!$F$11&gt;0,I294*1000/Escenarios!$F$16/10000+E294,E294)</f>
        <v>2.492778548817884</v>
      </c>
      <c r="M294" s="76">
        <f>MAX(0,N293+Observaciones!$F293-K294-Constantes!$D$13)</f>
        <v>0</v>
      </c>
      <c r="N294" s="76">
        <f>N293+Observaciones!$F293-K294-L294-M294-O293</f>
        <v>34.04852474681627</v>
      </c>
      <c r="O294" s="76">
        <f>MAX(0,(N294-Constantes!$D$14)*(1-EXP(-Constantes!$D$22)))</f>
        <v>0.77660144797431718</v>
      </c>
      <c r="P294" s="170">
        <f>P293+(Entradas!$F$83*M294-Q293)/(800*Entradas!$D$25)</f>
        <v>0</v>
      </c>
      <c r="Q294" s="170">
        <f>8000*Entradas!$D$26*P294/Constantes!$F$45</f>
        <v>0</v>
      </c>
      <c r="R294" s="170">
        <f>IF(Escenarios!$F$14&gt;0,K294*Escenarios!$F$13/Escenarios!$F$14,0)</f>
        <v>0</v>
      </c>
      <c r="S294" s="170">
        <f>IF(Escenarios!$F$14&gt;0,Q294*Escenarios!$F$13/Escenarios!$F$14,0)</f>
        <v>0</v>
      </c>
      <c r="T294" s="170">
        <f>IF(Escenarios!$F$14&gt;0,Observaciones!$I293,0)</f>
        <v>0</v>
      </c>
      <c r="U294" s="170">
        <f>IF(Escenarios!$F$14&gt;0,MAX(0,Constantes!$F$36/((Z293+R294+S294+T294+Observaciones!$F293)^2)+Entradas!$F$77),0)</f>
        <v>0.63479132013688577</v>
      </c>
      <c r="V294" s="146">
        <f>IF(ETo!D293&gt;0,ETo!I293*((1-Entradas!$F$81)*ETo!K293+ETo!L293),0)</f>
        <v>3.8811798179648771</v>
      </c>
      <c r="W294" s="170">
        <f>IF(Escenarios!$F$14&gt;0,MIN(V294*1,0.8*(Z293+R294+S294+T294+Observaciones!$F293-U294-Constantes!$F$35)),0)</f>
        <v>3.8811798179648771</v>
      </c>
      <c r="X294" s="170">
        <f>IF(Escenarios!$F$14&gt;0,Observaciones!$J293,0)</f>
        <v>0</v>
      </c>
      <c r="Y294" s="170">
        <f>IF(Escenarios!$F$14&gt;0,MAX(0,Z293+R294+S294+T294+Observaciones!$F293-U294-W294-X294-Constantes!$F$33),0)</f>
        <v>0</v>
      </c>
      <c r="Z294" s="170">
        <f>Z293+R294+S294+T294+Observaciones!$F293-U294-W294-Y294</f>
        <v>61.368302364179186</v>
      </c>
      <c r="AA294" s="170">
        <f>IF(Escenarios!$F$14&gt;0,(Escenarios!$F$13*L294+Escenarios!$F$14*W294)/(Escenarios!$F$16),L294)</f>
        <v>2.659386701115523</v>
      </c>
      <c r="AB294" s="170">
        <f>IF(Escenarios!$F$14&gt;0,(Escenarios!$F$14*Y294)/(Escenarios!$F$16),K294)</f>
        <v>0</v>
      </c>
      <c r="AC294" s="170">
        <f>IF(Escenarios!$F$14&gt;0,(Escenarios!$F$13*M294+Escenarios!$F$14*U294)/(Escenarios!$F$16),M294)</f>
        <v>7.6174958416426297E-2</v>
      </c>
      <c r="AD294" s="76">
        <f t="shared" si="57"/>
        <v>64.979038648620346</v>
      </c>
      <c r="AE294" s="76">
        <f>MAX(0,(AD294-Constantes!$D$13)*(1-EXP(-Constantes!$D$23)))</f>
        <v>0.15990858326070573</v>
      </c>
      <c r="AF294" s="76">
        <f>AB294+O294*Escenarios!$F$13/Escenarios!$F$16+AE294</f>
        <v>0.84331785747810484</v>
      </c>
      <c r="AG294" s="76">
        <f>IF(Entradas!$F$91&gt;0,IF(AF294-Escenarios!$F$38&lt;=0,0,IF(AF294-Escenarios!$F$38&gt;Escenarios!$F$37,Escenarios!$F$37,AF294-Escenarios!$F$38)),0)</f>
        <v>0</v>
      </c>
      <c r="AH294" s="76">
        <f>AG294*Entradas!$F$99</f>
        <v>0</v>
      </c>
      <c r="AI294" s="76">
        <f>IF(Entradas!$F$91&gt;0,D294*Entradas!$D$23/Escenarios!$F$16,0)</f>
        <v>0.20980344302366979</v>
      </c>
      <c r="AJ294" s="76">
        <f>IF(Entradas!$F$91&gt;0,Entradas!$D$24*Entradas!$D$22/Escenarios!$F$16,0)</f>
        <v>0.12</v>
      </c>
      <c r="AK294" s="76">
        <f t="shared" si="58"/>
        <v>2.8691901441391927</v>
      </c>
      <c r="AL294" s="76">
        <f t="shared" si="59"/>
        <v>0</v>
      </c>
      <c r="AM294" s="76">
        <f t="shared" si="60"/>
        <v>0</v>
      </c>
      <c r="AN294" s="76">
        <f>MAX(0,O294*Escenarios!$F$13/Escenarios!$F$16-AM294)</f>
        <v>0.68340927421739917</v>
      </c>
      <c r="AO294" s="76">
        <f>AM294+AN294-O294*Escenarios!$F$13/Escenarios!$F$16</f>
        <v>0</v>
      </c>
      <c r="AP294" s="76">
        <f t="shared" si="61"/>
        <v>0.15990858326070573</v>
      </c>
      <c r="AQ294" s="76">
        <f t="shared" si="62"/>
        <v>0</v>
      </c>
      <c r="AR294" s="76">
        <f t="shared" si="63"/>
        <v>0.84331785747810484</v>
      </c>
      <c r="AS294" s="76">
        <f t="shared" si="64"/>
        <v>0</v>
      </c>
      <c r="AT294" s="76">
        <f t="shared" si="65"/>
        <v>7.6174958416426297E-2</v>
      </c>
      <c r="AU294" s="76">
        <f t="shared" si="66"/>
        <v>49.337300204369207</v>
      </c>
      <c r="AV294" s="76">
        <f>MAX(0,(AU294-Constantes!$D$13)*(1-EXP(-Constantes!$D$24)))</f>
        <v>8.9770287254423604E-3</v>
      </c>
      <c r="AW294" s="170">
        <f>AW293+(Entradas!$F$112*AT294-AX293)/(800*Entradas!$D$25)</f>
        <v>0</v>
      </c>
      <c r="AX294" s="170">
        <f>8000*Entradas!$D$26*AW294/Constantes!$F$45</f>
        <v>0</v>
      </c>
      <c r="AY294" s="170">
        <f>IF(Escenarios!$F$17&gt;0,10*Escenarios!$F$16*AL294,0)</f>
        <v>0</v>
      </c>
      <c r="AZ294" s="170">
        <f>IF(Escenarios!$F$17&gt;0,10*Escenarios!$F$16*AX294,0)</f>
        <v>0</v>
      </c>
      <c r="BA294" s="170">
        <f>IF(Escenarios!$F$17&gt;0,0.001*Observaciones!$F293*Escenarios!$F$17,0)</f>
        <v>0</v>
      </c>
      <c r="BB294" s="170">
        <f>IF(Escenarios!$F$17&gt;0,Observaciones!$K293,0)</f>
        <v>0</v>
      </c>
      <c r="BC294" s="170">
        <f>IF(Escenarios!$F$17&gt;0,MIN(0.0005*ETo!$M293*Escenarios!$F$17*(BG293/Constantes!$F$40)^(2/3),BG293+AY294+AZ294+BA294+BB294),0)</f>
        <v>0</v>
      </c>
      <c r="BD294" s="170">
        <f>IF(Escenarios!$F$17&gt;0,MIN(Constantes!$F$39*(BG293/Constantes!$F$40)^(2/3),BG293+AY294+AZ294+BA294+BB294-BC294),0)</f>
        <v>0</v>
      </c>
      <c r="BE294" s="170">
        <f>IF(Escenarios!$F$17&gt;0,MIN(Entradas!$F$113,BG293+AY294+AZ294+BA294+BB294-BC294-BD294),0)</f>
        <v>0</v>
      </c>
      <c r="BF294" s="170">
        <f>IF(Escenarios!$F$17&gt;0,MAX(0,BG293+AY294+AZ294+BA294+BB294-BC294-BD294-BE294-Constantes!$F$40),0)</f>
        <v>0</v>
      </c>
      <c r="BG294" s="170">
        <f t="shared" si="67"/>
        <v>0</v>
      </c>
      <c r="BH294" s="170">
        <f>(Escenarios!$F$16*AK294+0.1*BC294)/(Escenarios!$F$19)</f>
        <v>2.8691901441391927</v>
      </c>
      <c r="BI294" s="170">
        <f>IF(Escenarios!$F$17&gt;0,BF294/10/Escenarios!$F$19,AL294)</f>
        <v>0</v>
      </c>
      <c r="BJ294" s="170">
        <f>(Escenarios!$F$16*AT294+0.1*BD294)/(Escenarios!$F$19)</f>
        <v>7.6174958416426297E-2</v>
      </c>
      <c r="BK294" s="76">
        <f>BK293+(0.1*BD294)/(Escenarios!$F$19)-BL293</f>
        <v>48.75</v>
      </c>
      <c r="BL294" s="76">
        <f>MAX(0,(BK294-Constantes!$D$13)*(1-EXP(-Constantes!$D$23)))</f>
        <v>0</v>
      </c>
      <c r="BM294" s="76">
        <f t="shared" si="68"/>
        <v>0.1688856119861481</v>
      </c>
      <c r="BN294" s="76">
        <f t="shared" si="69"/>
        <v>0.85229488620354721</v>
      </c>
      <c r="BO294" s="76">
        <f>0.0526*BI294*Observaciones!$F293^1.218</f>
        <v>0</v>
      </c>
      <c r="BP294" s="76">
        <f>BO294*Constantes!$F$51</f>
        <v>0</v>
      </c>
      <c r="BQ294" s="76">
        <f t="shared" si="70"/>
        <v>0</v>
      </c>
      <c r="BR294" s="40"/>
    </row>
    <row r="295" spans="2:70">
      <c r="B295" s="39"/>
      <c r="C295" s="75">
        <v>289</v>
      </c>
      <c r="D295" s="146">
        <f>ETo!$I294*((1-Constantes!$F$19)*ETo!$K294+ETo!$L294)</f>
        <v>4.4557660224118854</v>
      </c>
      <c r="E295" s="76">
        <f>MIN(D295*Constantes!$F$17,0.8*(N294+Observaciones!$F294-F295-M295-Constantes!$D$14))</f>
        <v>2.5411757517363895</v>
      </c>
      <c r="F295" s="76">
        <f>IF(Observaciones!$F294&gt;0.05*Constantes!$F$18,((Observaciones!$F294-0.05*Constantes!$F$18)^2)/(Observaciones!$F294+0.95*Constantes!$F$18),0)</f>
        <v>1.192038717767014E-2</v>
      </c>
      <c r="G295" s="76">
        <f>IF(Escenarios!$F$11&gt;0,(F295*Escenarios!$F$16*10000)/1000,0)</f>
        <v>0</v>
      </c>
      <c r="H295" s="76">
        <f>IF(Escenarios!$F$11&gt;0,(Observaciones!$F294*Constantes!$F$29)/1000,0)</f>
        <v>0</v>
      </c>
      <c r="I295" s="76">
        <f>IF(Escenarios!$F$11&gt;0,(D295*Constantes!$F$29)/1000,0)</f>
        <v>0</v>
      </c>
      <c r="J295" s="76">
        <f>IF(Escenarios!$F$11&gt;0,MAX(0,G295+H295-I295),0)</f>
        <v>0</v>
      </c>
      <c r="K295" s="76">
        <f>IF(Escenarios!$F$11&gt;0,IF(J295&gt;Constantes!$F$30,1000*((J295-Constantes!$F$30)/(Escenarios!$F$16*10000)),0),F295)</f>
        <v>1.192038717767014E-2</v>
      </c>
      <c r="L295" s="76">
        <f>IF(Escenarios!$F$11&gt;0,I295*1000/Escenarios!$F$16/10000+E295,E295)</f>
        <v>2.5411757517363895</v>
      </c>
      <c r="M295" s="76">
        <f>MAX(0,N294+Observaciones!$F294-K295-Constantes!$D$13)</f>
        <v>0</v>
      </c>
      <c r="N295" s="76">
        <f>N294+Observaciones!$F294-K295-L295-M295-O294</f>
        <v>43.318827159927899</v>
      </c>
      <c r="O295" s="76">
        <f>MAX(0,(N295-Constantes!$D$14)*(1-EXP(-Constantes!$D$22)))</f>
        <v>1.0923819801417618</v>
      </c>
      <c r="P295" s="170">
        <f>P294+(Entradas!$F$83*M295-Q294)/(800*Entradas!$D$25)</f>
        <v>0</v>
      </c>
      <c r="Q295" s="170">
        <f>8000*Entradas!$D$26*P295/Constantes!$F$45</f>
        <v>0</v>
      </c>
      <c r="R295" s="170">
        <f>IF(Escenarios!$F$14&gt;0,K295*Escenarios!$F$13/Escenarios!$F$14,0)</f>
        <v>8.7416172636247694E-2</v>
      </c>
      <c r="S295" s="170">
        <f>IF(Escenarios!$F$14&gt;0,Q295*Escenarios!$F$13/Escenarios!$F$14,0)</f>
        <v>0</v>
      </c>
      <c r="T295" s="170">
        <f>IF(Escenarios!$F$14&gt;0,Observaciones!$I294,0)</f>
        <v>0</v>
      </c>
      <c r="U295" s="170">
        <f>IF(Escenarios!$F$14&gt;0,MAX(0,Constantes!$F$36/((Z294+R295+S295+T295+Observaciones!$F294)^2)+Entradas!$F$77),0)</f>
        <v>1.1279571439376186</v>
      </c>
      <c r="V295" s="146">
        <f>IF(ETo!D294&gt;0,ETo!I294*((1-Entradas!$F$81)*ETo!K294+ETo!L294),0)</f>
        <v>3.9579814294571261</v>
      </c>
      <c r="W295" s="170">
        <f>IF(Escenarios!$F$14&gt;0,MIN(V295*1,0.8*(Z294+R295+S295+T295+Observaciones!$F294-U295-Constantes!$F$35)),0)</f>
        <v>3.9579814294571261</v>
      </c>
      <c r="X295" s="170">
        <f>IF(Escenarios!$F$14&gt;0,Observaciones!$J294,0)</f>
        <v>0</v>
      </c>
      <c r="Y295" s="170">
        <f>IF(Escenarios!$F$14&gt;0,MAX(0,Z294+R295+S295+T295+Observaciones!$F294-U295-W295-X295-Constantes!$F$33),0)</f>
        <v>0</v>
      </c>
      <c r="Z295" s="170">
        <f>Z294+R295+S295+T295+Observaciones!$F294-U295-W295-Y295</f>
        <v>68.969779963420692</v>
      </c>
      <c r="AA295" s="170">
        <f>IF(Escenarios!$F$14&gt;0,(Escenarios!$F$13*L295+Escenarios!$F$14*W295)/(Escenarios!$F$16),L295)</f>
        <v>2.711192433062878</v>
      </c>
      <c r="AB295" s="170">
        <f>IF(Escenarios!$F$14&gt;0,(Escenarios!$F$14*Y295)/(Escenarios!$F$16),K295)</f>
        <v>0</v>
      </c>
      <c r="AC295" s="170">
        <f>IF(Escenarios!$F$14&gt;0,(Escenarios!$F$13*M295+Escenarios!$F$14*U295)/(Escenarios!$F$16),M295)</f>
        <v>0.13535485727251423</v>
      </c>
      <c r="AD295" s="76">
        <f t="shared" si="57"/>
        <v>64.954484922632162</v>
      </c>
      <c r="AE295" s="76">
        <f>MAX(0,(AD295-Constantes!$D$13)*(1-EXP(-Constantes!$D$23)))</f>
        <v>0.15966664955030224</v>
      </c>
      <c r="AF295" s="76">
        <f>AB295+O295*Escenarios!$F$13/Escenarios!$F$16+AE295</f>
        <v>1.1209627920750527</v>
      </c>
      <c r="AG295" s="76">
        <f>IF(Entradas!$F$91&gt;0,IF(AF295-Escenarios!$F$38&lt;=0,0,IF(AF295-Escenarios!$F$38&gt;Escenarios!$F$37,Escenarios!$F$37,AF295-Escenarios!$F$38)),0)</f>
        <v>8.4162792075052728E-2</v>
      </c>
      <c r="AH295" s="76">
        <f>AG295*Entradas!$F$99</f>
        <v>0</v>
      </c>
      <c r="AI295" s="76">
        <f>IF(Entradas!$F$91&gt;0,D295*Entradas!$D$23/Escenarios!$F$16,0)</f>
        <v>0.2138767690757705</v>
      </c>
      <c r="AJ295" s="76">
        <f>IF(Entradas!$F$91&gt;0,Entradas!$D$24*Entradas!$D$22/Escenarios!$F$16,0)</f>
        <v>0.12</v>
      </c>
      <c r="AK295" s="76">
        <f t="shared" si="58"/>
        <v>2.9250692021386486</v>
      </c>
      <c r="AL295" s="76">
        <f t="shared" si="59"/>
        <v>0</v>
      </c>
      <c r="AM295" s="76">
        <f t="shared" si="60"/>
        <v>8.4162792075052728E-2</v>
      </c>
      <c r="AN295" s="76">
        <f>MAX(0,O295*Escenarios!$F$13/Escenarios!$F$16-AM295)</f>
        <v>0.87713335044969765</v>
      </c>
      <c r="AO295" s="76">
        <f>AM295+AN295-O295*Escenarios!$F$13/Escenarios!$F$16</f>
        <v>0</v>
      </c>
      <c r="AP295" s="76">
        <f t="shared" si="61"/>
        <v>0.15966664955030224</v>
      </c>
      <c r="AQ295" s="76">
        <f t="shared" si="62"/>
        <v>0</v>
      </c>
      <c r="AR295" s="76">
        <f t="shared" si="63"/>
        <v>1.0367999999999999</v>
      </c>
      <c r="AS295" s="76">
        <f t="shared" si="64"/>
        <v>0</v>
      </c>
      <c r="AT295" s="76">
        <f t="shared" si="65"/>
        <v>0.13535485727251423</v>
      </c>
      <c r="AU295" s="76">
        <f t="shared" si="66"/>
        <v>49.328323175643767</v>
      </c>
      <c r="AV295" s="76">
        <f>MAX(0,(AU295-Constantes!$D$13)*(1-EXP(-Constantes!$D$24)))</f>
        <v>8.8398126234593075E-3</v>
      </c>
      <c r="AW295" s="170">
        <f>AW294+(Entradas!$F$112*AT295-AX294)/(800*Entradas!$D$25)</f>
        <v>0</v>
      </c>
      <c r="AX295" s="170">
        <f>8000*Entradas!$D$26*AW295/Constantes!$F$45</f>
        <v>0</v>
      </c>
      <c r="AY295" s="170">
        <f>IF(Escenarios!$F$17&gt;0,10*Escenarios!$F$16*AL295,0)</f>
        <v>0</v>
      </c>
      <c r="AZ295" s="170">
        <f>IF(Escenarios!$F$17&gt;0,10*Escenarios!$F$16*AX295,0)</f>
        <v>0</v>
      </c>
      <c r="BA295" s="170">
        <f>IF(Escenarios!$F$17&gt;0,0.001*Observaciones!$F294*Escenarios!$F$17,0)</f>
        <v>0</v>
      </c>
      <c r="BB295" s="170">
        <f>IF(Escenarios!$F$17&gt;0,Observaciones!$K294,0)</f>
        <v>0</v>
      </c>
      <c r="BC295" s="170">
        <f>IF(Escenarios!$F$17&gt;0,MIN(0.0005*ETo!$M294*Escenarios!$F$17*(BG294/Constantes!$F$40)^(2/3),BG294+AY295+AZ295+BA295+BB295),0)</f>
        <v>0</v>
      </c>
      <c r="BD295" s="170">
        <f>IF(Escenarios!$F$17&gt;0,MIN(Constantes!$F$39*(BG294/Constantes!$F$40)^(2/3),BG294+AY295+AZ295+BA295+BB295-BC295),0)</f>
        <v>0</v>
      </c>
      <c r="BE295" s="170">
        <f>IF(Escenarios!$F$17&gt;0,MIN(Entradas!$F$113,BG294+AY295+AZ295+BA295+BB295-BC295-BD295),0)</f>
        <v>0</v>
      </c>
      <c r="BF295" s="170">
        <f>IF(Escenarios!$F$17&gt;0,MAX(0,BG294+AY295+AZ295+BA295+BB295-BC295-BD295-BE295-Constantes!$F$40),0)</f>
        <v>0</v>
      </c>
      <c r="BG295" s="170">
        <f t="shared" si="67"/>
        <v>0</v>
      </c>
      <c r="BH295" s="170">
        <f>(Escenarios!$F$16*AK295+0.1*BC295)/(Escenarios!$F$19)</f>
        <v>2.9250692021386486</v>
      </c>
      <c r="BI295" s="170">
        <f>IF(Escenarios!$F$17&gt;0,BF295/10/Escenarios!$F$19,AL295)</f>
        <v>0</v>
      </c>
      <c r="BJ295" s="170">
        <f>(Escenarios!$F$16*AT295+0.1*BD295)/(Escenarios!$F$19)</f>
        <v>0.13535485727251423</v>
      </c>
      <c r="BK295" s="76">
        <f>BK294+(0.1*BD295)/(Escenarios!$F$19)-BL294</f>
        <v>48.75</v>
      </c>
      <c r="BL295" s="76">
        <f>MAX(0,(BK295-Constantes!$D$13)*(1-EXP(-Constantes!$D$23)))</f>
        <v>0</v>
      </c>
      <c r="BM295" s="76">
        <f t="shared" si="68"/>
        <v>0.16850646217376156</v>
      </c>
      <c r="BN295" s="76">
        <f t="shared" si="69"/>
        <v>1.0456398126234592</v>
      </c>
      <c r="BO295" s="76">
        <f>0.0526*BI295*Observaciones!$F294^1.218</f>
        <v>0</v>
      </c>
      <c r="BP295" s="76">
        <f>BO295*Constantes!$F$51</f>
        <v>0</v>
      </c>
      <c r="BQ295" s="76">
        <f t="shared" si="70"/>
        <v>0</v>
      </c>
      <c r="BR295" s="40"/>
    </row>
    <row r="296" spans="2:70">
      <c r="B296" s="39"/>
      <c r="C296" s="75">
        <v>290</v>
      </c>
      <c r="D296" s="146">
        <f>ETo!$I295*((1-Constantes!$F$19)*ETo!$K295+ETo!$L295)</f>
        <v>4.4635234601321363</v>
      </c>
      <c r="E296" s="76">
        <f>MIN(D296*Constantes!$F$17,0.8*(N295+Observaciones!$F295-F296-M296-Constantes!$D$14))</f>
        <v>2.5455999096771684</v>
      </c>
      <c r="F296" s="76">
        <f>IF(Observaciones!$F295&gt;0.05*Constantes!$F$18,((Observaciones!$F295-0.05*Constantes!$F$18)^2)/(Observaciones!$F295+0.95*Constantes!$F$18),0)</f>
        <v>0</v>
      </c>
      <c r="G296" s="76">
        <f>IF(Escenarios!$F$11&gt;0,(F296*Escenarios!$F$16*10000)/1000,0)</f>
        <v>0</v>
      </c>
      <c r="H296" s="76">
        <f>IF(Escenarios!$F$11&gt;0,(Observaciones!$F295*Constantes!$F$29)/1000,0)</f>
        <v>0</v>
      </c>
      <c r="I296" s="76">
        <f>IF(Escenarios!$F$11&gt;0,(D296*Constantes!$F$29)/1000,0)</f>
        <v>0</v>
      </c>
      <c r="J296" s="76">
        <f>IF(Escenarios!$F$11&gt;0,MAX(0,G296+H296-I296),0)</f>
        <v>0</v>
      </c>
      <c r="K296" s="76">
        <f>IF(Escenarios!$F$11&gt;0,IF(J296&gt;Constantes!$F$30,1000*((J296-Constantes!$F$30)/(Escenarios!$F$16*10000)),0),F296)</f>
        <v>0</v>
      </c>
      <c r="L296" s="76">
        <f>IF(Escenarios!$F$11&gt;0,I296*1000/Escenarios!$F$16/10000+E296,E296)</f>
        <v>2.5455999096771684</v>
      </c>
      <c r="M296" s="76">
        <f>MAX(0,N295+Observaciones!$F295-K296-Constantes!$D$13)</f>
        <v>0</v>
      </c>
      <c r="N296" s="76">
        <f>N295+Observaciones!$F295-K296-L296-M296-O295</f>
        <v>39.680845270108968</v>
      </c>
      <c r="O296" s="76">
        <f>MAX(0,(N296-Constantes!$D$14)*(1-EXP(-Constantes!$D$22)))</f>
        <v>0.9684589616696011</v>
      </c>
      <c r="P296" s="170">
        <f>P295+(Entradas!$F$83*M296-Q295)/(800*Entradas!$D$25)</f>
        <v>0</v>
      </c>
      <c r="Q296" s="170">
        <f>8000*Entradas!$D$26*P296/Constantes!$F$45</f>
        <v>0</v>
      </c>
      <c r="R296" s="170">
        <f>IF(Escenarios!$F$14&gt;0,K296*Escenarios!$F$13/Escenarios!$F$14,0)</f>
        <v>0</v>
      </c>
      <c r="S296" s="170">
        <f>IF(Escenarios!$F$14&gt;0,Q296*Escenarios!$F$13/Escenarios!$F$14,0)</f>
        <v>0</v>
      </c>
      <c r="T296" s="170">
        <f>IF(Escenarios!$F$14&gt;0,Observaciones!$I295,0)</f>
        <v>0</v>
      </c>
      <c r="U296" s="170">
        <f>IF(Escenarios!$F$14&gt;0,MAX(0,Constantes!$F$36/((Z295+R296+S296+T296+Observaciones!$F295)^2)+Entradas!$F$77),0)</f>
        <v>0.84168262964943796</v>
      </c>
      <c r="V296" s="146">
        <f>IF(ETo!D295&gt;0,ETo!I295*((1-Entradas!$F$81)*ETo!K295+ETo!L295),0)</f>
        <v>3.9650967128510728</v>
      </c>
      <c r="W296" s="170">
        <f>IF(Escenarios!$F$14&gt;0,MIN(V296*1,0.8*(Z295+R296+S296+T296+Observaciones!$F295-U296-Constantes!$F$35)),0)</f>
        <v>3.9650967128510728</v>
      </c>
      <c r="X296" s="170">
        <f>IF(Escenarios!$F$14&gt;0,Observaciones!$J295,0)</f>
        <v>0</v>
      </c>
      <c r="Y296" s="170">
        <f>IF(Escenarios!$F$14&gt;0,MAX(0,Z295+R296+S296+T296+Observaciones!$F295-U296-W296-X296-Constantes!$F$33),0)</f>
        <v>0</v>
      </c>
      <c r="Z296" s="170">
        <f>Z295+R296+S296+T296+Observaciones!$F295-U296-W296-Y296</f>
        <v>64.163000620920172</v>
      </c>
      <c r="AA296" s="170">
        <f>IF(Escenarios!$F$14&gt;0,(Escenarios!$F$13*L296+Escenarios!$F$14*W296)/(Escenarios!$F$16),L296)</f>
        <v>2.7159395260580368</v>
      </c>
      <c r="AB296" s="170">
        <f>IF(Escenarios!$F$14&gt;0,(Escenarios!$F$14*Y296)/(Escenarios!$F$16),K296)</f>
        <v>0</v>
      </c>
      <c r="AC296" s="170">
        <f>IF(Escenarios!$F$14&gt;0,(Escenarios!$F$13*M296+Escenarios!$F$14*U296)/(Escenarios!$F$16),M296)</f>
        <v>0.10100191555793256</v>
      </c>
      <c r="AD296" s="76">
        <f t="shared" si="57"/>
        <v>64.895820188639789</v>
      </c>
      <c r="AE296" s="76">
        <f>MAX(0,(AD296-Constantes!$D$13)*(1-EXP(-Constantes!$D$23)))</f>
        <v>0.15908861195342439</v>
      </c>
      <c r="AF296" s="76">
        <f>AB296+O296*Escenarios!$F$13/Escenarios!$F$16+AE296</f>
        <v>1.0113324982226732</v>
      </c>
      <c r="AG296" s="76">
        <f>IF(Entradas!$F$91&gt;0,IF(AF296-Escenarios!$F$38&lt;=0,0,IF(AF296-Escenarios!$F$38&gt;Escenarios!$F$37,Escenarios!$F$37,AF296-Escenarios!$F$38)),0)</f>
        <v>0</v>
      </c>
      <c r="AH296" s="76">
        <f>AG296*Entradas!$F$99</f>
        <v>0</v>
      </c>
      <c r="AI296" s="76">
        <f>IF(Entradas!$F$91&gt;0,D296*Entradas!$D$23/Escenarios!$F$16,0)</f>
        <v>0.21424912608634253</v>
      </c>
      <c r="AJ296" s="76">
        <f>IF(Entradas!$F$91&gt;0,Entradas!$D$24*Entradas!$D$22/Escenarios!$F$16,0)</f>
        <v>0.12</v>
      </c>
      <c r="AK296" s="76">
        <f t="shared" si="58"/>
        <v>2.9301886521443792</v>
      </c>
      <c r="AL296" s="76">
        <f t="shared" si="59"/>
        <v>0</v>
      </c>
      <c r="AM296" s="76">
        <f t="shared" si="60"/>
        <v>0</v>
      </c>
      <c r="AN296" s="76">
        <f>MAX(0,O296*Escenarios!$F$13/Escenarios!$F$16-AM296)</f>
        <v>0.85224388626924896</v>
      </c>
      <c r="AO296" s="76">
        <f>AM296+AN296-O296*Escenarios!$F$13/Escenarios!$F$16</f>
        <v>0</v>
      </c>
      <c r="AP296" s="76">
        <f t="shared" si="61"/>
        <v>0.15908861195342439</v>
      </c>
      <c r="AQ296" s="76">
        <f t="shared" si="62"/>
        <v>0</v>
      </c>
      <c r="AR296" s="76">
        <f t="shared" si="63"/>
        <v>1.0113324982226732</v>
      </c>
      <c r="AS296" s="76">
        <f t="shared" si="64"/>
        <v>0</v>
      </c>
      <c r="AT296" s="76">
        <f t="shared" si="65"/>
        <v>0.10100191555793256</v>
      </c>
      <c r="AU296" s="76">
        <f t="shared" si="66"/>
        <v>49.319483363020311</v>
      </c>
      <c r="AV296" s="76">
        <f>MAX(0,(AU296-Constantes!$D$13)*(1-EXP(-Constantes!$D$24)))</f>
        <v>8.7046939034964403E-3</v>
      </c>
      <c r="AW296" s="170">
        <f>AW295+(Entradas!$F$112*AT296-AX295)/(800*Entradas!$D$25)</f>
        <v>0</v>
      </c>
      <c r="AX296" s="170">
        <f>8000*Entradas!$D$26*AW296/Constantes!$F$45</f>
        <v>0</v>
      </c>
      <c r="AY296" s="170">
        <f>IF(Escenarios!$F$17&gt;0,10*Escenarios!$F$16*AL296,0)</f>
        <v>0</v>
      </c>
      <c r="AZ296" s="170">
        <f>IF(Escenarios!$F$17&gt;0,10*Escenarios!$F$16*AX296,0)</f>
        <v>0</v>
      </c>
      <c r="BA296" s="170">
        <f>IF(Escenarios!$F$17&gt;0,0.001*Observaciones!$F295*Escenarios!$F$17,0)</f>
        <v>0</v>
      </c>
      <c r="BB296" s="170">
        <f>IF(Escenarios!$F$17&gt;0,Observaciones!$K295,0)</f>
        <v>0</v>
      </c>
      <c r="BC296" s="170">
        <f>IF(Escenarios!$F$17&gt;0,MIN(0.0005*ETo!$M295*Escenarios!$F$17*(BG295/Constantes!$F$40)^(2/3),BG295+AY296+AZ296+BA296+BB296),0)</f>
        <v>0</v>
      </c>
      <c r="BD296" s="170">
        <f>IF(Escenarios!$F$17&gt;0,MIN(Constantes!$F$39*(BG295/Constantes!$F$40)^(2/3),BG295+AY296+AZ296+BA296+BB296-BC296),0)</f>
        <v>0</v>
      </c>
      <c r="BE296" s="170">
        <f>IF(Escenarios!$F$17&gt;0,MIN(Entradas!$F$113,BG295+AY296+AZ296+BA296+BB296-BC296-BD296),0)</f>
        <v>0</v>
      </c>
      <c r="BF296" s="170">
        <f>IF(Escenarios!$F$17&gt;0,MAX(0,BG295+AY296+AZ296+BA296+BB296-BC296-BD296-BE296-Constantes!$F$40),0)</f>
        <v>0</v>
      </c>
      <c r="BG296" s="170">
        <f t="shared" si="67"/>
        <v>0</v>
      </c>
      <c r="BH296" s="170">
        <f>(Escenarios!$F$16*AK296+0.1*BC296)/(Escenarios!$F$19)</f>
        <v>2.9301886521443792</v>
      </c>
      <c r="BI296" s="170">
        <f>IF(Escenarios!$F$17&gt;0,BF296/10/Escenarios!$F$19,AL296)</f>
        <v>0</v>
      </c>
      <c r="BJ296" s="170">
        <f>(Escenarios!$F$16*AT296+0.1*BD296)/(Escenarios!$F$19)</f>
        <v>0.10100191555793256</v>
      </c>
      <c r="BK296" s="76">
        <f>BK295+(0.1*BD296)/(Escenarios!$F$19)-BL295</f>
        <v>48.75</v>
      </c>
      <c r="BL296" s="76">
        <f>MAX(0,(BK296-Constantes!$D$13)*(1-EXP(-Constantes!$D$23)))</f>
        <v>0</v>
      </c>
      <c r="BM296" s="76">
        <f t="shared" si="68"/>
        <v>0.16779330585692082</v>
      </c>
      <c r="BN296" s="76">
        <f t="shared" si="69"/>
        <v>1.0200371921261697</v>
      </c>
      <c r="BO296" s="76">
        <f>0.0526*BI296*Observaciones!$F295^1.218</f>
        <v>0</v>
      </c>
      <c r="BP296" s="76">
        <f>BO296*Constantes!$F$51</f>
        <v>0</v>
      </c>
      <c r="BQ296" s="76">
        <f t="shared" si="70"/>
        <v>0</v>
      </c>
      <c r="BR296" s="40"/>
    </row>
    <row r="297" spans="2:70">
      <c r="B297" s="39"/>
      <c r="C297" s="75">
        <v>291</v>
      </c>
      <c r="D297" s="146">
        <f>ETo!$I296*((1-Constantes!$F$19)*ETo!$K296+ETo!$L296)</f>
        <v>4.3484272675228608</v>
      </c>
      <c r="E297" s="76">
        <f>MIN(D297*Constantes!$F$17,0.8*(N296+Observaciones!$F296-F297-M297-Constantes!$D$14))</f>
        <v>2.4799591977760636</v>
      </c>
      <c r="F297" s="76">
        <f>IF(Observaciones!$F296&gt;0.05*Constantes!$F$18,((Observaciones!$F296-0.05*Constantes!$F$18)^2)/(Observaciones!$F296+0.95*Constantes!$F$18),0)</f>
        <v>0</v>
      </c>
      <c r="G297" s="76">
        <f>IF(Escenarios!$F$11&gt;0,(F297*Escenarios!$F$16*10000)/1000,0)</f>
        <v>0</v>
      </c>
      <c r="H297" s="76">
        <f>IF(Escenarios!$F$11&gt;0,(Observaciones!$F296*Constantes!$F$29)/1000,0)</f>
        <v>0</v>
      </c>
      <c r="I297" s="76">
        <f>IF(Escenarios!$F$11&gt;0,(D297*Constantes!$F$29)/1000,0)</f>
        <v>0</v>
      </c>
      <c r="J297" s="76">
        <f>IF(Escenarios!$F$11&gt;0,MAX(0,G297+H297-I297),0)</f>
        <v>0</v>
      </c>
      <c r="K297" s="76">
        <f>IF(Escenarios!$F$11&gt;0,IF(J297&gt;Constantes!$F$30,1000*((J297-Constantes!$F$30)/(Escenarios!$F$16*10000)),0),F297)</f>
        <v>0</v>
      </c>
      <c r="L297" s="76">
        <f>IF(Escenarios!$F$11&gt;0,I297*1000/Escenarios!$F$16/10000+E297,E297)</f>
        <v>2.4799591977760636</v>
      </c>
      <c r="M297" s="76">
        <f>MAX(0,N296+Observaciones!$F296-K297-Constantes!$D$13)</f>
        <v>0</v>
      </c>
      <c r="N297" s="76">
        <f>N296+Observaciones!$F296-K297-L297-M297-O296</f>
        <v>36.232427110663302</v>
      </c>
      <c r="O297" s="76">
        <f>MAX(0,(N297-Constantes!$D$14)*(1-EXP(-Constantes!$D$22)))</f>
        <v>0.85099317975665467</v>
      </c>
      <c r="P297" s="170">
        <f>P296+(Entradas!$F$83*M297-Q296)/(800*Entradas!$D$25)</f>
        <v>0</v>
      </c>
      <c r="Q297" s="170">
        <f>8000*Entradas!$D$26*P297/Constantes!$F$45</f>
        <v>0</v>
      </c>
      <c r="R297" s="170">
        <f>IF(Escenarios!$F$14&gt;0,K297*Escenarios!$F$13/Escenarios!$F$14,0)</f>
        <v>0</v>
      </c>
      <c r="S297" s="170">
        <f>IF(Escenarios!$F$14&gt;0,Q297*Escenarios!$F$13/Escenarios!$F$14,0)</f>
        <v>0</v>
      </c>
      <c r="T297" s="170">
        <f>IF(Escenarios!$F$14&gt;0,Observaciones!$I296,0)</f>
        <v>0</v>
      </c>
      <c r="U297" s="170">
        <f>IF(Escenarios!$F$14&gt;0,MAX(0,Constantes!$F$36/((Z296+R297+S297+T297+Observaciones!$F296)^2)+Entradas!$F$77),0)</f>
        <v>0.50618831634711325</v>
      </c>
      <c r="V297" s="146">
        <f>IF(ETo!D296&gt;0,ETo!I296*((1-Entradas!$F$81)*ETo!K296+ETo!L296),0)</f>
        <v>3.861251169106152</v>
      </c>
      <c r="W297" s="170">
        <f>IF(Escenarios!$F$14&gt;0,MIN(V297*1,0.8*(Z296+R297+S297+T297+Observaciones!$F296-U297-Constantes!$F$35)),0)</f>
        <v>3.861251169106152</v>
      </c>
      <c r="X297" s="170">
        <f>IF(Escenarios!$F$14&gt;0,Observaciones!$J296,0)</f>
        <v>0</v>
      </c>
      <c r="Y297" s="170">
        <f>IF(Escenarios!$F$14&gt;0,MAX(0,Z296+R297+S297+T297+Observaciones!$F296-U297-W297-X297-Constantes!$F$33),0)</f>
        <v>0</v>
      </c>
      <c r="Z297" s="170">
        <f>Z296+R297+S297+T297+Observaciones!$F296-U297-W297-Y297</f>
        <v>59.795561135466905</v>
      </c>
      <c r="AA297" s="170">
        <f>IF(Escenarios!$F$14&gt;0,(Escenarios!$F$13*L297+Escenarios!$F$14*W297)/(Escenarios!$F$16),L297)</f>
        <v>2.6457142343356739</v>
      </c>
      <c r="AB297" s="170">
        <f>IF(Escenarios!$F$14&gt;0,(Escenarios!$F$14*Y297)/(Escenarios!$F$16),K297)</f>
        <v>0</v>
      </c>
      <c r="AC297" s="170">
        <f>IF(Escenarios!$F$14&gt;0,(Escenarios!$F$13*M297+Escenarios!$F$14*U297)/(Escenarios!$F$16),M297)</f>
        <v>6.0742597961653585E-2</v>
      </c>
      <c r="AD297" s="76">
        <f t="shared" si="57"/>
        <v>64.797474174648016</v>
      </c>
      <c r="AE297" s="76">
        <f>MAX(0,(AD297-Constantes!$D$13)*(1-EXP(-Constantes!$D$23)))</f>
        <v>0.15811958525336789</v>
      </c>
      <c r="AF297" s="76">
        <f>AB297+O297*Escenarios!$F$13/Escenarios!$F$16+AE297</f>
        <v>0.90699358343922398</v>
      </c>
      <c r="AG297" s="76">
        <f>IF(Entradas!$F$91&gt;0,IF(AF297-Escenarios!$F$38&lt;=0,0,IF(AF297-Escenarios!$F$38&gt;Escenarios!$F$37,Escenarios!$F$37,AF297-Escenarios!$F$38)),0)</f>
        <v>0</v>
      </c>
      <c r="AH297" s="76">
        <f>AG297*Entradas!$F$99</f>
        <v>0</v>
      </c>
      <c r="AI297" s="76">
        <f>IF(Entradas!$F$91&gt;0,D297*Entradas!$D$23/Escenarios!$F$16,0)</f>
        <v>0.20872450884109731</v>
      </c>
      <c r="AJ297" s="76">
        <f>IF(Entradas!$F$91&gt;0,Entradas!$D$24*Entradas!$D$22/Escenarios!$F$16,0)</f>
        <v>0.12</v>
      </c>
      <c r="AK297" s="76">
        <f t="shared" si="58"/>
        <v>2.8544387431767713</v>
      </c>
      <c r="AL297" s="76">
        <f t="shared" si="59"/>
        <v>0</v>
      </c>
      <c r="AM297" s="76">
        <f t="shared" si="60"/>
        <v>0</v>
      </c>
      <c r="AN297" s="76">
        <f>MAX(0,O297*Escenarios!$F$13/Escenarios!$F$16-AM297)</f>
        <v>0.74887399818585609</v>
      </c>
      <c r="AO297" s="76">
        <f>AM297+AN297-O297*Escenarios!$F$13/Escenarios!$F$16</f>
        <v>0</v>
      </c>
      <c r="AP297" s="76">
        <f t="shared" si="61"/>
        <v>0.15811958525336789</v>
      </c>
      <c r="AQ297" s="76">
        <f t="shared" si="62"/>
        <v>0</v>
      </c>
      <c r="AR297" s="76">
        <f t="shared" si="63"/>
        <v>0.90699358343922398</v>
      </c>
      <c r="AS297" s="76">
        <f t="shared" si="64"/>
        <v>0</v>
      </c>
      <c r="AT297" s="76">
        <f t="shared" si="65"/>
        <v>6.0742597961653585E-2</v>
      </c>
      <c r="AU297" s="76">
        <f t="shared" si="66"/>
        <v>49.310778669116814</v>
      </c>
      <c r="AV297" s="76">
        <f>MAX(0,(AU297-Constantes!$D$13)*(1-EXP(-Constantes!$D$24)))</f>
        <v>8.5716405065513496E-3</v>
      </c>
      <c r="AW297" s="170">
        <f>AW296+(Entradas!$F$112*AT297-AX296)/(800*Entradas!$D$25)</f>
        <v>0</v>
      </c>
      <c r="AX297" s="170">
        <f>8000*Entradas!$D$26*AW297/Constantes!$F$45</f>
        <v>0</v>
      </c>
      <c r="AY297" s="170">
        <f>IF(Escenarios!$F$17&gt;0,10*Escenarios!$F$16*AL297,0)</f>
        <v>0</v>
      </c>
      <c r="AZ297" s="170">
        <f>IF(Escenarios!$F$17&gt;0,10*Escenarios!$F$16*AX297,0)</f>
        <v>0</v>
      </c>
      <c r="BA297" s="170">
        <f>IF(Escenarios!$F$17&gt;0,0.001*Observaciones!$F296*Escenarios!$F$17,0)</f>
        <v>0</v>
      </c>
      <c r="BB297" s="170">
        <f>IF(Escenarios!$F$17&gt;0,Observaciones!$K296,0)</f>
        <v>0</v>
      </c>
      <c r="BC297" s="170">
        <f>IF(Escenarios!$F$17&gt;0,MIN(0.0005*ETo!$M296*Escenarios!$F$17*(BG296/Constantes!$F$40)^(2/3),BG296+AY297+AZ297+BA297+BB297),0)</f>
        <v>0</v>
      </c>
      <c r="BD297" s="170">
        <f>IF(Escenarios!$F$17&gt;0,MIN(Constantes!$F$39*(BG296/Constantes!$F$40)^(2/3),BG296+AY297+AZ297+BA297+BB297-BC297),0)</f>
        <v>0</v>
      </c>
      <c r="BE297" s="170">
        <f>IF(Escenarios!$F$17&gt;0,MIN(Entradas!$F$113,BG296+AY297+AZ297+BA297+BB297-BC297-BD297),0)</f>
        <v>0</v>
      </c>
      <c r="BF297" s="170">
        <f>IF(Escenarios!$F$17&gt;0,MAX(0,BG296+AY297+AZ297+BA297+BB297-BC297-BD297-BE297-Constantes!$F$40),0)</f>
        <v>0</v>
      </c>
      <c r="BG297" s="170">
        <f t="shared" si="67"/>
        <v>0</v>
      </c>
      <c r="BH297" s="170">
        <f>(Escenarios!$F$16*AK297+0.1*BC297)/(Escenarios!$F$19)</f>
        <v>2.8544387431767713</v>
      </c>
      <c r="BI297" s="170">
        <f>IF(Escenarios!$F$17&gt;0,BF297/10/Escenarios!$F$19,AL297)</f>
        <v>0</v>
      </c>
      <c r="BJ297" s="170">
        <f>(Escenarios!$F$16*AT297+0.1*BD297)/(Escenarios!$F$19)</f>
        <v>6.0742597961653585E-2</v>
      </c>
      <c r="BK297" s="76">
        <f>BK296+(0.1*BD297)/(Escenarios!$F$19)-BL296</f>
        <v>48.75</v>
      </c>
      <c r="BL297" s="76">
        <f>MAX(0,(BK297-Constantes!$D$13)*(1-EXP(-Constantes!$D$23)))</f>
        <v>0</v>
      </c>
      <c r="BM297" s="76">
        <f t="shared" si="68"/>
        <v>0.16669122575991924</v>
      </c>
      <c r="BN297" s="76">
        <f t="shared" si="69"/>
        <v>0.91556522394577533</v>
      </c>
      <c r="BO297" s="76">
        <f>0.0526*BI297*Observaciones!$F296^1.218</f>
        <v>0</v>
      </c>
      <c r="BP297" s="76">
        <f>BO297*Constantes!$F$51</f>
        <v>0</v>
      </c>
      <c r="BQ297" s="76">
        <f t="shared" si="70"/>
        <v>0</v>
      </c>
      <c r="BR297" s="40"/>
    </row>
    <row r="298" spans="2:70">
      <c r="B298" s="39"/>
      <c r="C298" s="75">
        <v>292</v>
      </c>
      <c r="D298" s="146">
        <f>ETo!$I297*((1-Constantes!$F$19)*ETo!$K297+ETo!$L297)</f>
        <v>4.3827460766814141</v>
      </c>
      <c r="E298" s="76">
        <f>MIN(D298*Constantes!$F$17,0.8*(N297+Observaciones!$F297-F298-M298-Constantes!$D$14))</f>
        <v>2.4995316181463272</v>
      </c>
      <c r="F298" s="76">
        <f>IF(Observaciones!$F297&gt;0.05*Constantes!$F$18,((Observaciones!$F297-0.05*Constantes!$F$18)^2)/(Observaciones!$F297+0.95*Constantes!$F$18),0)</f>
        <v>0</v>
      </c>
      <c r="G298" s="76">
        <f>IF(Escenarios!$F$11&gt;0,(F298*Escenarios!$F$16*10000)/1000,0)</f>
        <v>0</v>
      </c>
      <c r="H298" s="76">
        <f>IF(Escenarios!$F$11&gt;0,(Observaciones!$F297*Constantes!$F$29)/1000,0)</f>
        <v>0</v>
      </c>
      <c r="I298" s="76">
        <f>IF(Escenarios!$F$11&gt;0,(D298*Constantes!$F$29)/1000,0)</f>
        <v>0</v>
      </c>
      <c r="J298" s="76">
        <f>IF(Escenarios!$F$11&gt;0,MAX(0,G298+H298-I298),0)</f>
        <v>0</v>
      </c>
      <c r="K298" s="76">
        <f>IF(Escenarios!$F$11&gt;0,IF(J298&gt;Constantes!$F$30,1000*((J298-Constantes!$F$30)/(Escenarios!$F$16*10000)),0),F298)</f>
        <v>0</v>
      </c>
      <c r="L298" s="76">
        <f>IF(Escenarios!$F$11&gt;0,I298*1000/Escenarios!$F$16/10000+E298,E298)</f>
        <v>2.4995316181463272</v>
      </c>
      <c r="M298" s="76">
        <f>MAX(0,N297+Observaciones!$F297-K298-Constantes!$D$13)</f>
        <v>0</v>
      </c>
      <c r="N298" s="76">
        <f>N297+Observaciones!$F297-K298-L298-M298-O297</f>
        <v>41.281902312760316</v>
      </c>
      <c r="O298" s="76">
        <f>MAX(0,(N298-Constantes!$D$14)*(1-EXP(-Constantes!$D$22)))</f>
        <v>1.0229968421430362</v>
      </c>
      <c r="P298" s="170">
        <f>P297+(Entradas!$F$83*M298-Q297)/(800*Entradas!$D$25)</f>
        <v>0</v>
      </c>
      <c r="Q298" s="170">
        <f>8000*Entradas!$D$26*P298/Constantes!$F$45</f>
        <v>0</v>
      </c>
      <c r="R298" s="170">
        <f>IF(Escenarios!$F$14&gt;0,K298*Escenarios!$F$13/Escenarios!$F$14,0)</f>
        <v>0</v>
      </c>
      <c r="S298" s="170">
        <f>IF(Escenarios!$F$14&gt;0,Q298*Escenarios!$F$13/Escenarios!$F$14,0)</f>
        <v>0</v>
      </c>
      <c r="T298" s="170">
        <f>IF(Escenarios!$F$14&gt;0,Observaciones!$I297,0)</f>
        <v>0</v>
      </c>
      <c r="U298" s="170">
        <f>IF(Escenarios!$F$14&gt;0,MAX(0,Constantes!$F$36/((Z297+R298+S298+T298+Observaciones!$F297)^2)+Entradas!$F$77),0)</f>
        <v>0.79239803285422283</v>
      </c>
      <c r="V298" s="146">
        <f>IF(ETo!D297&gt;0,ETo!I297*((1-Entradas!$F$81)*ETo!K297+ETo!L297),0)</f>
        <v>3.8923089944749893</v>
      </c>
      <c r="W298" s="170">
        <f>IF(Escenarios!$F$14&gt;0,MIN(V298*1,0.8*(Z297+R298+S298+T298+Observaciones!$F297-U298-Constantes!$F$35)),0)</f>
        <v>3.8923089944749893</v>
      </c>
      <c r="X298" s="170">
        <f>IF(Escenarios!$F$14&gt;0,Observaciones!$J297,0)</f>
        <v>0</v>
      </c>
      <c r="Y298" s="170">
        <f>IF(Escenarios!$F$14&gt;0,MAX(0,Z297+R298+S298+T298+Observaciones!$F297-U298-W298-X298-Constantes!$F$33),0)</f>
        <v>0</v>
      </c>
      <c r="Z298" s="170">
        <f>Z297+R298+S298+T298+Observaciones!$F297-U298-W298-Y298</f>
        <v>63.510854108137693</v>
      </c>
      <c r="AA298" s="170">
        <f>IF(Escenarios!$F$14&gt;0,(Escenarios!$F$13*L298+Escenarios!$F$14*W298)/(Escenarios!$F$16),L298)</f>
        <v>2.666664903305767</v>
      </c>
      <c r="AB298" s="170">
        <f>IF(Escenarios!$F$14&gt;0,(Escenarios!$F$14*Y298)/(Escenarios!$F$16),K298)</f>
        <v>0</v>
      </c>
      <c r="AC298" s="170">
        <f>IF(Escenarios!$F$14&gt;0,(Escenarios!$F$13*M298+Escenarios!$F$14*U298)/(Escenarios!$F$16),M298)</f>
        <v>9.5087763942506745E-2</v>
      </c>
      <c r="AD298" s="76">
        <f t="shared" si="57"/>
        <v>64.734442353337144</v>
      </c>
      <c r="AE298" s="76">
        <f>MAX(0,(AD298-Constantes!$D$13)*(1-EXP(-Constantes!$D$23)))</f>
        <v>0.15749851770498169</v>
      </c>
      <c r="AF298" s="76">
        <f>AB298+O298*Escenarios!$F$13/Escenarios!$F$16+AE298</f>
        <v>1.0577357387908535</v>
      </c>
      <c r="AG298" s="76">
        <f>IF(Entradas!$F$91&gt;0,IF(AF298-Escenarios!$F$38&lt;=0,0,IF(AF298-Escenarios!$F$38&gt;Escenarios!$F$37,Escenarios!$F$37,AF298-Escenarios!$F$38)),0)</f>
        <v>2.0935738790853531E-2</v>
      </c>
      <c r="AH298" s="76">
        <f>AG298*Entradas!$F$99</f>
        <v>0</v>
      </c>
      <c r="AI298" s="76">
        <f>IF(Entradas!$F$91&gt;0,D298*Entradas!$D$23/Escenarios!$F$16,0)</f>
        <v>0.21037181168070787</v>
      </c>
      <c r="AJ298" s="76">
        <f>IF(Entradas!$F$91&gt;0,Entradas!$D$24*Entradas!$D$22/Escenarios!$F$16,0)</f>
        <v>0.12</v>
      </c>
      <c r="AK298" s="76">
        <f t="shared" si="58"/>
        <v>2.8770367149864748</v>
      </c>
      <c r="AL298" s="76">
        <f t="shared" si="59"/>
        <v>0</v>
      </c>
      <c r="AM298" s="76">
        <f t="shared" si="60"/>
        <v>2.0935738790853531E-2</v>
      </c>
      <c r="AN298" s="76">
        <f>MAX(0,O298*Escenarios!$F$13/Escenarios!$F$16-AM298)</f>
        <v>0.87930148229501837</v>
      </c>
      <c r="AO298" s="76">
        <f>AM298+AN298-O298*Escenarios!$F$13/Escenarios!$F$16</f>
        <v>0</v>
      </c>
      <c r="AP298" s="76">
        <f t="shared" si="61"/>
        <v>0.15749851770498169</v>
      </c>
      <c r="AQ298" s="76">
        <f t="shared" si="62"/>
        <v>0</v>
      </c>
      <c r="AR298" s="76">
        <f t="shared" si="63"/>
        <v>1.0367999999999999</v>
      </c>
      <c r="AS298" s="76">
        <f t="shared" si="64"/>
        <v>0</v>
      </c>
      <c r="AT298" s="76">
        <f t="shared" si="65"/>
        <v>9.5087763942506745E-2</v>
      </c>
      <c r="AU298" s="76">
        <f t="shared" si="66"/>
        <v>49.302207028610262</v>
      </c>
      <c r="AV298" s="76">
        <f>MAX(0,(AU298-Constantes!$D$13)*(1-EXP(-Constantes!$D$24)))</f>
        <v>8.440620863651457E-3</v>
      </c>
      <c r="AW298" s="170">
        <f>AW297+(Entradas!$F$112*AT298-AX297)/(800*Entradas!$D$25)</f>
        <v>0</v>
      </c>
      <c r="AX298" s="170">
        <f>8000*Entradas!$D$26*AW298/Constantes!$F$45</f>
        <v>0</v>
      </c>
      <c r="AY298" s="170">
        <f>IF(Escenarios!$F$17&gt;0,10*Escenarios!$F$16*AL298,0)</f>
        <v>0</v>
      </c>
      <c r="AZ298" s="170">
        <f>IF(Escenarios!$F$17&gt;0,10*Escenarios!$F$16*AX298,0)</f>
        <v>0</v>
      </c>
      <c r="BA298" s="170">
        <f>IF(Escenarios!$F$17&gt;0,0.001*Observaciones!$F297*Escenarios!$F$17,0)</f>
        <v>0</v>
      </c>
      <c r="BB298" s="170">
        <f>IF(Escenarios!$F$17&gt;0,Observaciones!$K297,0)</f>
        <v>0</v>
      </c>
      <c r="BC298" s="170">
        <f>IF(Escenarios!$F$17&gt;0,MIN(0.0005*ETo!$M297*Escenarios!$F$17*(BG297/Constantes!$F$40)^(2/3),BG297+AY298+AZ298+BA298+BB298),0)</f>
        <v>0</v>
      </c>
      <c r="BD298" s="170">
        <f>IF(Escenarios!$F$17&gt;0,MIN(Constantes!$F$39*(BG297/Constantes!$F$40)^(2/3),BG297+AY298+AZ298+BA298+BB298-BC298),0)</f>
        <v>0</v>
      </c>
      <c r="BE298" s="170">
        <f>IF(Escenarios!$F$17&gt;0,MIN(Entradas!$F$113,BG297+AY298+AZ298+BA298+BB298-BC298-BD298),0)</f>
        <v>0</v>
      </c>
      <c r="BF298" s="170">
        <f>IF(Escenarios!$F$17&gt;0,MAX(0,BG297+AY298+AZ298+BA298+BB298-BC298-BD298-BE298-Constantes!$F$40),0)</f>
        <v>0</v>
      </c>
      <c r="BG298" s="170">
        <f t="shared" si="67"/>
        <v>0</v>
      </c>
      <c r="BH298" s="170">
        <f>(Escenarios!$F$16*AK298+0.1*BC298)/(Escenarios!$F$19)</f>
        <v>2.8770367149864748</v>
      </c>
      <c r="BI298" s="170">
        <f>IF(Escenarios!$F$17&gt;0,BF298/10/Escenarios!$F$19,AL298)</f>
        <v>0</v>
      </c>
      <c r="BJ298" s="170">
        <f>(Escenarios!$F$16*AT298+0.1*BD298)/(Escenarios!$F$19)</f>
        <v>9.5087763942506745E-2</v>
      </c>
      <c r="BK298" s="76">
        <f>BK297+(0.1*BD298)/(Escenarios!$F$19)-BL297</f>
        <v>48.75</v>
      </c>
      <c r="BL298" s="76">
        <f>MAX(0,(BK298-Constantes!$D$13)*(1-EXP(-Constantes!$D$23)))</f>
        <v>0</v>
      </c>
      <c r="BM298" s="76">
        <f t="shared" si="68"/>
        <v>0.16593913856863315</v>
      </c>
      <c r="BN298" s="76">
        <f t="shared" si="69"/>
        <v>1.0452406208636513</v>
      </c>
      <c r="BO298" s="76">
        <f>0.0526*BI298*Observaciones!$F297^1.218</f>
        <v>0</v>
      </c>
      <c r="BP298" s="76">
        <f>BO298*Constantes!$F$51</f>
        <v>0</v>
      </c>
      <c r="BQ298" s="76">
        <f t="shared" si="70"/>
        <v>0</v>
      </c>
      <c r="BR298" s="40"/>
    </row>
    <row r="299" spans="2:70">
      <c r="B299" s="39"/>
      <c r="C299" s="75">
        <v>293</v>
      </c>
      <c r="D299" s="146">
        <f>ETo!$I298*((1-Constantes!$F$19)*ETo!$K298+ETo!$L298)</f>
        <v>4.2938937353643167</v>
      </c>
      <c r="E299" s="76">
        <f>MIN(D299*Constantes!$F$17,0.8*(N298+Observaciones!$F298-F299-M299-Constantes!$D$14))</f>
        <v>2.4488580832020945</v>
      </c>
      <c r="F299" s="76">
        <f>IF(Observaciones!$F298&gt;0.05*Constantes!$F$18,((Observaciones!$F298-0.05*Constantes!$F$18)^2)/(Observaciones!$F298+0.95*Constantes!$F$18),0)</f>
        <v>0</v>
      </c>
      <c r="G299" s="76">
        <f>IF(Escenarios!$F$11&gt;0,(F299*Escenarios!$F$16*10000)/1000,0)</f>
        <v>0</v>
      </c>
      <c r="H299" s="76">
        <f>IF(Escenarios!$F$11&gt;0,(Observaciones!$F298*Constantes!$F$29)/1000,0)</f>
        <v>0</v>
      </c>
      <c r="I299" s="76">
        <f>IF(Escenarios!$F$11&gt;0,(D299*Constantes!$F$29)/1000,0)</f>
        <v>0</v>
      </c>
      <c r="J299" s="76">
        <f>IF(Escenarios!$F$11&gt;0,MAX(0,G299+H299-I299),0)</f>
        <v>0</v>
      </c>
      <c r="K299" s="76">
        <f>IF(Escenarios!$F$11&gt;0,IF(J299&gt;Constantes!$F$30,1000*((J299-Constantes!$F$30)/(Escenarios!$F$16*10000)),0),F299)</f>
        <v>0</v>
      </c>
      <c r="L299" s="76">
        <f>IF(Escenarios!$F$11&gt;0,I299*1000/Escenarios!$F$16/10000+E299,E299)</f>
        <v>2.4488580832020945</v>
      </c>
      <c r="M299" s="76">
        <f>MAX(0,N298+Observaciones!$F298-K299-Constantes!$D$13)</f>
        <v>0</v>
      </c>
      <c r="N299" s="76">
        <f>N298+Observaciones!$F298-K299-L299-M299-O298</f>
        <v>41.21004738741518</v>
      </c>
      <c r="O299" s="76">
        <f>MAX(0,(N299-Constantes!$D$14)*(1-EXP(-Constantes!$D$22)))</f>
        <v>1.0205491996009497</v>
      </c>
      <c r="P299" s="170">
        <f>P298+(Entradas!$F$83*M299-Q298)/(800*Entradas!$D$25)</f>
        <v>0</v>
      </c>
      <c r="Q299" s="170">
        <f>8000*Entradas!$D$26*P299/Constantes!$F$45</f>
        <v>0</v>
      </c>
      <c r="R299" s="170">
        <f>IF(Escenarios!$F$14&gt;0,K299*Escenarios!$F$13/Escenarios!$F$14,0)</f>
        <v>0</v>
      </c>
      <c r="S299" s="170">
        <f>IF(Escenarios!$F$14&gt;0,Q299*Escenarios!$F$13/Escenarios!$F$14,0)</f>
        <v>0</v>
      </c>
      <c r="T299" s="170">
        <f>IF(Escenarios!$F$14&gt;0,Observaciones!$I298,0)</f>
        <v>0</v>
      </c>
      <c r="U299" s="170">
        <f>IF(Escenarios!$F$14&gt;0,MAX(0,Constantes!$F$36/((Z298+R299+S299+T299+Observaciones!$F298)^2)+Entradas!$F$77),0)</f>
        <v>0.70681105410152023</v>
      </c>
      <c r="V299" s="146">
        <f>IF(ETo!D298&gt;0,ETo!I298*((1-Entradas!$F$81)*ETo!K298+ETo!L298),0)</f>
        <v>3.8123732526206831</v>
      </c>
      <c r="W299" s="170">
        <f>IF(Escenarios!$F$14&gt;0,MIN(V299*1,0.8*(Z298+R299+S299+T299+Observaciones!$F298-U299-Constantes!$F$35)),0)</f>
        <v>3.8123732526206831</v>
      </c>
      <c r="X299" s="170">
        <f>IF(Escenarios!$F$14&gt;0,Observaciones!$J298,0)</f>
        <v>0</v>
      </c>
      <c r="Y299" s="170">
        <f>IF(Escenarios!$F$14&gt;0,MAX(0,Z298+R299+S299+T299+Observaciones!$F298-U299-W299-X299-Constantes!$F$33),0)</f>
        <v>0</v>
      </c>
      <c r="Z299" s="170">
        <f>Z298+R299+S299+T299+Observaciones!$F298-U299-W299-Y299</f>
        <v>62.391669801415496</v>
      </c>
      <c r="AA299" s="170">
        <f>IF(Escenarios!$F$14&gt;0,(Escenarios!$F$13*L299+Escenarios!$F$14*W299)/(Escenarios!$F$16),L299)</f>
        <v>2.612479903532325</v>
      </c>
      <c r="AB299" s="170">
        <f>IF(Escenarios!$F$14&gt;0,(Escenarios!$F$14*Y299)/(Escenarios!$F$16),K299)</f>
        <v>0</v>
      </c>
      <c r="AC299" s="170">
        <f>IF(Escenarios!$F$14&gt;0,(Escenarios!$F$13*M299+Escenarios!$F$14*U299)/(Escenarios!$F$16),M299)</f>
        <v>8.4817326492182432E-2</v>
      </c>
      <c r="AD299" s="76">
        <f t="shared" si="57"/>
        <v>64.66176116212435</v>
      </c>
      <c r="AE299" s="76">
        <f>MAX(0,(AD299-Constantes!$D$13)*(1-EXP(-Constantes!$D$23)))</f>
        <v>0.15678237261665101</v>
      </c>
      <c r="AF299" s="76">
        <f>AB299+O299*Escenarios!$F$13/Escenarios!$F$16+AE299</f>
        <v>1.0548656682654867</v>
      </c>
      <c r="AG299" s="76">
        <f>IF(Entradas!$F$91&gt;0,IF(AF299-Escenarios!$F$38&lt;=0,0,IF(AF299-Escenarios!$F$38&gt;Escenarios!$F$37,Escenarios!$F$37,AF299-Escenarios!$F$38)),0)</f>
        <v>1.8065668265486723E-2</v>
      </c>
      <c r="AH299" s="76">
        <f>AG299*Entradas!$F$99</f>
        <v>0</v>
      </c>
      <c r="AI299" s="76">
        <f>IF(Entradas!$F$91&gt;0,D299*Entradas!$D$23/Escenarios!$F$16,0)</f>
        <v>0.20610689929748718</v>
      </c>
      <c r="AJ299" s="76">
        <f>IF(Entradas!$F$91&gt;0,Entradas!$D$24*Entradas!$D$22/Escenarios!$F$16,0)</f>
        <v>0.12</v>
      </c>
      <c r="AK299" s="76">
        <f t="shared" si="58"/>
        <v>2.8185868028298122</v>
      </c>
      <c r="AL299" s="76">
        <f t="shared" si="59"/>
        <v>0</v>
      </c>
      <c r="AM299" s="76">
        <f t="shared" si="60"/>
        <v>1.8065668265486723E-2</v>
      </c>
      <c r="AN299" s="76">
        <f>MAX(0,O299*Escenarios!$F$13/Escenarios!$F$16-AM299)</f>
        <v>0.88001762738334899</v>
      </c>
      <c r="AO299" s="76">
        <f>AM299+AN299-O299*Escenarios!$F$13/Escenarios!$F$16</f>
        <v>0</v>
      </c>
      <c r="AP299" s="76">
        <f t="shared" si="61"/>
        <v>0.15678237261665101</v>
      </c>
      <c r="AQ299" s="76">
        <f t="shared" si="62"/>
        <v>0</v>
      </c>
      <c r="AR299" s="76">
        <f t="shared" si="63"/>
        <v>1.0367999999999999</v>
      </c>
      <c r="AS299" s="76">
        <f t="shared" si="64"/>
        <v>0</v>
      </c>
      <c r="AT299" s="76">
        <f t="shared" si="65"/>
        <v>8.4817326492182432E-2</v>
      </c>
      <c r="AU299" s="76">
        <f t="shared" si="66"/>
        <v>49.29376640774661</v>
      </c>
      <c r="AV299" s="76">
        <f>MAX(0,(AU299-Constantes!$D$13)*(1-EXP(-Constantes!$D$24)))</f>
        <v>8.3116038883637375E-3</v>
      </c>
      <c r="AW299" s="170">
        <f>AW298+(Entradas!$F$112*AT299-AX298)/(800*Entradas!$D$25)</f>
        <v>0</v>
      </c>
      <c r="AX299" s="170">
        <f>8000*Entradas!$D$26*AW299/Constantes!$F$45</f>
        <v>0</v>
      </c>
      <c r="AY299" s="170">
        <f>IF(Escenarios!$F$17&gt;0,10*Escenarios!$F$16*AL299,0)</f>
        <v>0</v>
      </c>
      <c r="AZ299" s="170">
        <f>IF(Escenarios!$F$17&gt;0,10*Escenarios!$F$16*AX299,0)</f>
        <v>0</v>
      </c>
      <c r="BA299" s="170">
        <f>IF(Escenarios!$F$17&gt;0,0.001*Observaciones!$F298*Escenarios!$F$17,0)</f>
        <v>0</v>
      </c>
      <c r="BB299" s="170">
        <f>IF(Escenarios!$F$17&gt;0,Observaciones!$K298,0)</f>
        <v>0</v>
      </c>
      <c r="BC299" s="170">
        <f>IF(Escenarios!$F$17&gt;0,MIN(0.0005*ETo!$M298*Escenarios!$F$17*(BG298/Constantes!$F$40)^(2/3),BG298+AY299+AZ299+BA299+BB299),0)</f>
        <v>0</v>
      </c>
      <c r="BD299" s="170">
        <f>IF(Escenarios!$F$17&gt;0,MIN(Constantes!$F$39*(BG298/Constantes!$F$40)^(2/3),BG298+AY299+AZ299+BA299+BB299-BC299),0)</f>
        <v>0</v>
      </c>
      <c r="BE299" s="170">
        <f>IF(Escenarios!$F$17&gt;0,MIN(Entradas!$F$113,BG298+AY299+AZ299+BA299+BB299-BC299-BD299),0)</f>
        <v>0</v>
      </c>
      <c r="BF299" s="170">
        <f>IF(Escenarios!$F$17&gt;0,MAX(0,BG298+AY299+AZ299+BA299+BB299-BC299-BD299-BE299-Constantes!$F$40),0)</f>
        <v>0</v>
      </c>
      <c r="BG299" s="170">
        <f t="shared" si="67"/>
        <v>0</v>
      </c>
      <c r="BH299" s="170">
        <f>(Escenarios!$F$16*AK299+0.1*BC299)/(Escenarios!$F$19)</f>
        <v>2.8185868028298122</v>
      </c>
      <c r="BI299" s="170">
        <f>IF(Escenarios!$F$17&gt;0,BF299/10/Escenarios!$F$19,AL299)</f>
        <v>0</v>
      </c>
      <c r="BJ299" s="170">
        <f>(Escenarios!$F$16*AT299+0.1*BD299)/(Escenarios!$F$19)</f>
        <v>8.4817326492182432E-2</v>
      </c>
      <c r="BK299" s="76">
        <f>BK298+(0.1*BD299)/(Escenarios!$F$19)-BL298</f>
        <v>48.75</v>
      </c>
      <c r="BL299" s="76">
        <f>MAX(0,(BK299-Constantes!$D$13)*(1-EXP(-Constantes!$D$23)))</f>
        <v>0</v>
      </c>
      <c r="BM299" s="76">
        <f t="shared" si="68"/>
        <v>0.16509397650501476</v>
      </c>
      <c r="BN299" s="76">
        <f t="shared" si="69"/>
        <v>1.0451116038883637</v>
      </c>
      <c r="BO299" s="76">
        <f>0.0526*BI299*Observaciones!$F298^1.218</f>
        <v>0</v>
      </c>
      <c r="BP299" s="76">
        <f>BO299*Constantes!$F$51</f>
        <v>0</v>
      </c>
      <c r="BQ299" s="76">
        <f t="shared" si="70"/>
        <v>0</v>
      </c>
      <c r="BR299" s="40"/>
    </row>
    <row r="300" spans="2:70">
      <c r="B300" s="39"/>
      <c r="C300" s="75">
        <v>294</v>
      </c>
      <c r="D300" s="146">
        <f>ETo!$I299*((1-Constantes!$F$19)*ETo!$K299+ETo!$L299)</f>
        <v>4.3869792516296027</v>
      </c>
      <c r="E300" s="76">
        <f>MIN(D300*Constantes!$F$17,0.8*(N299+Observaciones!$F299-F300-M300-Constantes!$D$14))</f>
        <v>2.5019458475912955</v>
      </c>
      <c r="F300" s="76">
        <f>IF(Observaciones!$F299&gt;0.05*Constantes!$F$18,((Observaciones!$F299-0.05*Constantes!$F$18)^2)/(Observaciones!$F299+0.95*Constantes!$F$18),0)</f>
        <v>0</v>
      </c>
      <c r="G300" s="76">
        <f>IF(Escenarios!$F$11&gt;0,(F300*Escenarios!$F$16*10000)/1000,0)</f>
        <v>0</v>
      </c>
      <c r="H300" s="76">
        <f>IF(Escenarios!$F$11&gt;0,(Observaciones!$F299*Constantes!$F$29)/1000,0)</f>
        <v>0</v>
      </c>
      <c r="I300" s="76">
        <f>IF(Escenarios!$F$11&gt;0,(D300*Constantes!$F$29)/1000,0)</f>
        <v>0</v>
      </c>
      <c r="J300" s="76">
        <f>IF(Escenarios!$F$11&gt;0,MAX(0,G300+H300-I300),0)</f>
        <v>0</v>
      </c>
      <c r="K300" s="76">
        <f>IF(Escenarios!$F$11&gt;0,IF(J300&gt;Constantes!$F$30,1000*((J300-Constantes!$F$30)/(Escenarios!$F$16*10000)),0),F300)</f>
        <v>0</v>
      </c>
      <c r="L300" s="76">
        <f>IF(Escenarios!$F$11&gt;0,I300*1000/Escenarios!$F$16/10000+E300,E300)</f>
        <v>2.5019458475912955</v>
      </c>
      <c r="M300" s="76">
        <f>MAX(0,N299+Observaciones!$F299-K300-Constantes!$D$13)</f>
        <v>0</v>
      </c>
      <c r="N300" s="76">
        <f>N299+Observaciones!$F299-K300-L300-M300-O299</f>
        <v>37.687552340222936</v>
      </c>
      <c r="O300" s="76">
        <f>MAX(0,(N300-Constantes!$D$14)*(1-EXP(-Constantes!$D$22)))</f>
        <v>0.9005600869495326</v>
      </c>
      <c r="P300" s="170">
        <f>P299+(Entradas!$F$83*M300-Q299)/(800*Entradas!$D$25)</f>
        <v>0</v>
      </c>
      <c r="Q300" s="170">
        <f>8000*Entradas!$D$26*P300/Constantes!$F$45</f>
        <v>0</v>
      </c>
      <c r="R300" s="170">
        <f>IF(Escenarios!$F$14&gt;0,K300*Escenarios!$F$13/Escenarios!$F$14,0)</f>
        <v>0</v>
      </c>
      <c r="S300" s="170">
        <f>IF(Escenarios!$F$14&gt;0,Q300*Escenarios!$F$13/Escenarios!$F$14,0)</f>
        <v>0</v>
      </c>
      <c r="T300" s="170">
        <f>IF(Escenarios!$F$14&gt;0,Observaciones!$I299,0)</f>
        <v>0</v>
      </c>
      <c r="U300" s="170">
        <f>IF(Escenarios!$F$14&gt;0,MAX(0,Constantes!$F$36/((Z299+R300+S300+T300+Observaciones!$F299)^2)+Entradas!$F$77),0)</f>
        <v>0.36257712212035553</v>
      </c>
      <c r="V300" s="146">
        <f>IF(ETo!D299&gt;0,ETo!I299*((1-Entradas!$F$81)*ETo!K299+ETo!L299),0)</f>
        <v>3.8963294480472377</v>
      </c>
      <c r="W300" s="170">
        <f>IF(Escenarios!$F$14&gt;0,MIN(V300*1,0.8*(Z299+R300+S300+T300+Observaciones!$F299-U300-Constantes!$F$35)),0)</f>
        <v>3.8963294480472377</v>
      </c>
      <c r="X300" s="170">
        <f>IF(Escenarios!$F$14&gt;0,Observaciones!$J299,0)</f>
        <v>0</v>
      </c>
      <c r="Y300" s="170">
        <f>IF(Escenarios!$F$14&gt;0,MAX(0,Z299+R300+S300+T300+Observaciones!$F299-U300-W300-X300-Constantes!$F$33),0)</f>
        <v>0</v>
      </c>
      <c r="Z300" s="170">
        <f>Z299+R300+S300+T300+Observaciones!$F299-U300-W300-Y300</f>
        <v>58.1327632312479</v>
      </c>
      <c r="AA300" s="170">
        <f>IF(Escenarios!$F$14&gt;0,(Escenarios!$F$13*L300+Escenarios!$F$14*W300)/(Escenarios!$F$16),L300)</f>
        <v>2.6692718796460086</v>
      </c>
      <c r="AB300" s="170">
        <f>IF(Escenarios!$F$14&gt;0,(Escenarios!$F$14*Y300)/(Escenarios!$F$16),K300)</f>
        <v>0</v>
      </c>
      <c r="AC300" s="170">
        <f>IF(Escenarios!$F$14&gt;0,(Escenarios!$F$13*M300+Escenarios!$F$14*U300)/(Escenarios!$F$16),M300)</f>
        <v>4.3509254654442664E-2</v>
      </c>
      <c r="AD300" s="76">
        <f t="shared" si="57"/>
        <v>64.548488044162141</v>
      </c>
      <c r="AE300" s="76">
        <f>MAX(0,(AD300-Constantes!$D$13)*(1-EXP(-Constantes!$D$23)))</f>
        <v>0.15566626560581465</v>
      </c>
      <c r="AF300" s="76">
        <f>AB300+O300*Escenarios!$F$13/Escenarios!$F$16+AE300</f>
        <v>0.9481591421214034</v>
      </c>
      <c r="AG300" s="76">
        <f>IF(Entradas!$F$91&gt;0,IF(AF300-Escenarios!$F$38&lt;=0,0,IF(AF300-Escenarios!$F$38&gt;Escenarios!$F$37,Escenarios!$F$37,AF300-Escenarios!$F$38)),0)</f>
        <v>0</v>
      </c>
      <c r="AH300" s="76">
        <f>AG300*Entradas!$F$99</f>
        <v>0</v>
      </c>
      <c r="AI300" s="76">
        <f>IF(Entradas!$F$91&gt;0,D300*Entradas!$D$23/Escenarios!$F$16,0)</f>
        <v>0.21057500407822094</v>
      </c>
      <c r="AJ300" s="76">
        <f>IF(Entradas!$F$91&gt;0,Entradas!$D$24*Entradas!$D$22/Escenarios!$F$16,0)</f>
        <v>0.12</v>
      </c>
      <c r="AK300" s="76">
        <f t="shared" si="58"/>
        <v>2.8798468837242295</v>
      </c>
      <c r="AL300" s="76">
        <f t="shared" si="59"/>
        <v>0</v>
      </c>
      <c r="AM300" s="76">
        <f t="shared" si="60"/>
        <v>0</v>
      </c>
      <c r="AN300" s="76">
        <f>MAX(0,O300*Escenarios!$F$13/Escenarios!$F$16-AM300)</f>
        <v>0.79249287651558875</v>
      </c>
      <c r="AO300" s="76">
        <f>AM300+AN300-O300*Escenarios!$F$13/Escenarios!$F$16</f>
        <v>0</v>
      </c>
      <c r="AP300" s="76">
        <f t="shared" si="61"/>
        <v>0.15566626560581465</v>
      </c>
      <c r="AQ300" s="76">
        <f t="shared" si="62"/>
        <v>0</v>
      </c>
      <c r="AR300" s="76">
        <f t="shared" si="63"/>
        <v>0.9481591421214034</v>
      </c>
      <c r="AS300" s="76">
        <f t="shared" si="64"/>
        <v>0</v>
      </c>
      <c r="AT300" s="76">
        <f t="shared" si="65"/>
        <v>4.3509254654442664E-2</v>
      </c>
      <c r="AU300" s="76">
        <f t="shared" si="66"/>
        <v>49.285454803858244</v>
      </c>
      <c r="AV300" s="76">
        <f>MAX(0,(AU300-Constantes!$D$13)*(1-EXP(-Constantes!$D$24)))</f>
        <v>8.1845589694189216E-3</v>
      </c>
      <c r="AW300" s="170">
        <f>AW299+(Entradas!$F$112*AT300-AX299)/(800*Entradas!$D$25)</f>
        <v>0</v>
      </c>
      <c r="AX300" s="170">
        <f>8000*Entradas!$D$26*AW300/Constantes!$F$45</f>
        <v>0</v>
      </c>
      <c r="AY300" s="170">
        <f>IF(Escenarios!$F$17&gt;0,10*Escenarios!$F$16*AL300,0)</f>
        <v>0</v>
      </c>
      <c r="AZ300" s="170">
        <f>IF(Escenarios!$F$17&gt;0,10*Escenarios!$F$16*AX300,0)</f>
        <v>0</v>
      </c>
      <c r="BA300" s="170">
        <f>IF(Escenarios!$F$17&gt;0,0.001*Observaciones!$F299*Escenarios!$F$17,0)</f>
        <v>0</v>
      </c>
      <c r="BB300" s="170">
        <f>IF(Escenarios!$F$17&gt;0,Observaciones!$K299,0)</f>
        <v>0</v>
      </c>
      <c r="BC300" s="170">
        <f>IF(Escenarios!$F$17&gt;0,MIN(0.0005*ETo!$M299*Escenarios!$F$17*(BG299/Constantes!$F$40)^(2/3),BG299+AY300+AZ300+BA300+BB300),0)</f>
        <v>0</v>
      </c>
      <c r="BD300" s="170">
        <f>IF(Escenarios!$F$17&gt;0,MIN(Constantes!$F$39*(BG299/Constantes!$F$40)^(2/3),BG299+AY300+AZ300+BA300+BB300-BC300),0)</f>
        <v>0</v>
      </c>
      <c r="BE300" s="170">
        <f>IF(Escenarios!$F$17&gt;0,MIN(Entradas!$F$113,BG299+AY300+AZ300+BA300+BB300-BC300-BD300),0)</f>
        <v>0</v>
      </c>
      <c r="BF300" s="170">
        <f>IF(Escenarios!$F$17&gt;0,MAX(0,BG299+AY300+AZ300+BA300+BB300-BC300-BD300-BE300-Constantes!$F$40),0)</f>
        <v>0</v>
      </c>
      <c r="BG300" s="170">
        <f t="shared" si="67"/>
        <v>0</v>
      </c>
      <c r="BH300" s="170">
        <f>(Escenarios!$F$16*AK300+0.1*BC300)/(Escenarios!$F$19)</f>
        <v>2.8798468837242295</v>
      </c>
      <c r="BI300" s="170">
        <f>IF(Escenarios!$F$17&gt;0,BF300/10/Escenarios!$F$19,AL300)</f>
        <v>0</v>
      </c>
      <c r="BJ300" s="170">
        <f>(Escenarios!$F$16*AT300+0.1*BD300)/(Escenarios!$F$19)</f>
        <v>4.3509254654442664E-2</v>
      </c>
      <c r="BK300" s="76">
        <f>BK299+(0.1*BD300)/(Escenarios!$F$19)-BL299</f>
        <v>48.75</v>
      </c>
      <c r="BL300" s="76">
        <f>MAX(0,(BK300-Constantes!$D$13)*(1-EXP(-Constantes!$D$23)))</f>
        <v>0</v>
      </c>
      <c r="BM300" s="76">
        <f t="shared" si="68"/>
        <v>0.16385082457523356</v>
      </c>
      <c r="BN300" s="76">
        <f t="shared" si="69"/>
        <v>0.95634370109082234</v>
      </c>
      <c r="BO300" s="76">
        <f>0.0526*BI300*Observaciones!$F299^1.218</f>
        <v>0</v>
      </c>
      <c r="BP300" s="76">
        <f>BO300*Constantes!$F$51</f>
        <v>0</v>
      </c>
      <c r="BQ300" s="76">
        <f t="shared" si="70"/>
        <v>0</v>
      </c>
      <c r="BR300" s="40"/>
    </row>
    <row r="301" spans="2:70">
      <c r="B301" s="39"/>
      <c r="C301" s="75">
        <v>295</v>
      </c>
      <c r="D301" s="146">
        <f>ETo!$I300*((1-Constantes!$F$19)*ETo!$K300+ETo!$L300)</f>
        <v>4.4297688165611762</v>
      </c>
      <c r="E301" s="76">
        <f>MIN(D301*Constantes!$F$17,0.8*(N300+Observaciones!$F300-F301-M301-Constantes!$D$14))</f>
        <v>2.5263492395747473</v>
      </c>
      <c r="F301" s="76">
        <f>IF(Observaciones!$F300&gt;0.05*Constantes!$F$18,((Observaciones!$F300-0.05*Constantes!$F$18)^2)/(Observaciones!$F300+0.95*Constantes!$F$18),0)</f>
        <v>0</v>
      </c>
      <c r="G301" s="76">
        <f>IF(Escenarios!$F$11&gt;0,(F301*Escenarios!$F$16*10000)/1000,0)</f>
        <v>0</v>
      </c>
      <c r="H301" s="76">
        <f>IF(Escenarios!$F$11&gt;0,(Observaciones!$F300*Constantes!$F$29)/1000,0)</f>
        <v>0</v>
      </c>
      <c r="I301" s="76">
        <f>IF(Escenarios!$F$11&gt;0,(D301*Constantes!$F$29)/1000,0)</f>
        <v>0</v>
      </c>
      <c r="J301" s="76">
        <f>IF(Escenarios!$F$11&gt;0,MAX(0,G301+H301-I301),0)</f>
        <v>0</v>
      </c>
      <c r="K301" s="76">
        <f>IF(Escenarios!$F$11&gt;0,IF(J301&gt;Constantes!$F$30,1000*((J301-Constantes!$F$30)/(Escenarios!$F$16*10000)),0),F301)</f>
        <v>0</v>
      </c>
      <c r="L301" s="76">
        <f>IF(Escenarios!$F$11&gt;0,I301*1000/Escenarios!$F$16/10000+E301,E301)</f>
        <v>2.5263492395747473</v>
      </c>
      <c r="M301" s="76">
        <f>MAX(0,N300+Observaciones!$F300-K301-Constantes!$D$13)</f>
        <v>0</v>
      </c>
      <c r="N301" s="76">
        <f>N300+Observaciones!$F300-K301-L301-M301-O300</f>
        <v>36.760643013698655</v>
      </c>
      <c r="O301" s="76">
        <f>MAX(0,(N301-Constantes!$D$14)*(1-EXP(-Constantes!$D$22)))</f>
        <v>0.86898615253431655</v>
      </c>
      <c r="P301" s="170">
        <f>P300+(Entradas!$F$83*M301-Q300)/(800*Entradas!$D$25)</f>
        <v>0</v>
      </c>
      <c r="Q301" s="170">
        <f>8000*Entradas!$D$26*P301/Constantes!$F$45</f>
        <v>0</v>
      </c>
      <c r="R301" s="170">
        <f>IF(Escenarios!$F$14&gt;0,K301*Escenarios!$F$13/Escenarios!$F$14,0)</f>
        <v>0</v>
      </c>
      <c r="S301" s="170">
        <f>IF(Escenarios!$F$14&gt;0,Q301*Escenarios!$F$13/Escenarios!$F$14,0)</f>
        <v>0</v>
      </c>
      <c r="T301" s="170">
        <f>IF(Escenarios!$F$14&gt;0,Observaciones!$I300,0)</f>
        <v>0</v>
      </c>
      <c r="U301" s="170">
        <f>IF(Escenarios!$F$14&gt;0,MAX(0,Constantes!$F$36/((Z300+R301+S301+T301+Observaciones!$F300)^2)+Entradas!$F$77),0)</f>
        <v>0.20733871041210739</v>
      </c>
      <c r="V301" s="146">
        <f>IF(ETo!D300&gt;0,ETo!I300*((1-Entradas!$F$81)*ETo!K300+ETo!L300),0)</f>
        <v>3.9350402367571888</v>
      </c>
      <c r="W301" s="170">
        <f>IF(Escenarios!$F$14&gt;0,MIN(V301*1,0.8*(Z300+R301+S301+T301+Observaciones!$F300-U301-Constantes!$F$35)),0)</f>
        <v>3.9350402367571888</v>
      </c>
      <c r="X301" s="170">
        <f>IF(Escenarios!$F$14&gt;0,Observaciones!$J300,0)</f>
        <v>0</v>
      </c>
      <c r="Y301" s="170">
        <f>IF(Escenarios!$F$14&gt;0,MAX(0,Z300+R301+S301+T301+Observaciones!$F300-U301-W301-X301-Constantes!$F$33),0)</f>
        <v>0</v>
      </c>
      <c r="Z301" s="170">
        <f>Z300+R301+S301+T301+Observaciones!$F300-U301-W301-Y301</f>
        <v>56.490384284078601</v>
      </c>
      <c r="AA301" s="170">
        <f>IF(Escenarios!$F$14&gt;0,(Escenarios!$F$13*L301+Escenarios!$F$14*W301)/(Escenarios!$F$16),L301)</f>
        <v>2.6953921592366403</v>
      </c>
      <c r="AB301" s="170">
        <f>IF(Escenarios!$F$14&gt;0,(Escenarios!$F$14*Y301)/(Escenarios!$F$16),K301)</f>
        <v>0</v>
      </c>
      <c r="AC301" s="170">
        <f>IF(Escenarios!$F$14&gt;0,(Escenarios!$F$13*M301+Escenarios!$F$14*U301)/(Escenarios!$F$16),M301)</f>
        <v>2.4880645249452885E-2</v>
      </c>
      <c r="AD301" s="76">
        <f t="shared" si="57"/>
        <v>64.417702423805778</v>
      </c>
      <c r="AE301" s="76">
        <f>MAX(0,(AD301-Constantes!$D$13)*(1-EXP(-Constantes!$D$23)))</f>
        <v>0.15437760373773557</v>
      </c>
      <c r="AF301" s="76">
        <f>AB301+O301*Escenarios!$F$13/Escenarios!$F$16+AE301</f>
        <v>0.91908541796793408</v>
      </c>
      <c r="AG301" s="76">
        <f>IF(Entradas!$F$91&gt;0,IF(AF301-Escenarios!$F$38&lt;=0,0,IF(AF301-Escenarios!$F$38&gt;Escenarios!$F$37,Escenarios!$F$37,AF301-Escenarios!$F$38)),0)</f>
        <v>0</v>
      </c>
      <c r="AH301" s="76">
        <f>AG301*Entradas!$F$99</f>
        <v>0</v>
      </c>
      <c r="AI301" s="76">
        <f>IF(Entradas!$F$91&gt;0,D301*Entradas!$D$23/Escenarios!$F$16,0)</f>
        <v>0.21262890319493646</v>
      </c>
      <c r="AJ301" s="76">
        <f>IF(Entradas!$F$91&gt;0,Entradas!$D$24*Entradas!$D$22/Escenarios!$F$16,0)</f>
        <v>0.12</v>
      </c>
      <c r="AK301" s="76">
        <f t="shared" si="58"/>
        <v>2.908021062431577</v>
      </c>
      <c r="AL301" s="76">
        <f t="shared" si="59"/>
        <v>0</v>
      </c>
      <c r="AM301" s="76">
        <f t="shared" si="60"/>
        <v>0</v>
      </c>
      <c r="AN301" s="76">
        <f>MAX(0,O301*Escenarios!$F$13/Escenarios!$F$16-AM301)</f>
        <v>0.76470781423019851</v>
      </c>
      <c r="AO301" s="76">
        <f>AM301+AN301-O301*Escenarios!$F$13/Escenarios!$F$16</f>
        <v>0</v>
      </c>
      <c r="AP301" s="76">
        <f t="shared" si="61"/>
        <v>0.15437760373773557</v>
      </c>
      <c r="AQ301" s="76">
        <f t="shared" si="62"/>
        <v>0</v>
      </c>
      <c r="AR301" s="76">
        <f t="shared" si="63"/>
        <v>0.91908541796793408</v>
      </c>
      <c r="AS301" s="76">
        <f t="shared" si="64"/>
        <v>0</v>
      </c>
      <c r="AT301" s="76">
        <f t="shared" si="65"/>
        <v>2.4880645249452885E-2</v>
      </c>
      <c r="AU301" s="76">
        <f t="shared" si="66"/>
        <v>49.277270244888825</v>
      </c>
      <c r="AV301" s="76">
        <f>MAX(0,(AU301-Constantes!$D$13)*(1-EXP(-Constantes!$D$24)))</f>
        <v>8.0594559634486473E-3</v>
      </c>
      <c r="AW301" s="170">
        <f>AW300+(Entradas!$F$112*AT301-AX300)/(800*Entradas!$D$25)</f>
        <v>0</v>
      </c>
      <c r="AX301" s="170">
        <f>8000*Entradas!$D$26*AW301/Constantes!$F$45</f>
        <v>0</v>
      </c>
      <c r="AY301" s="170">
        <f>IF(Escenarios!$F$17&gt;0,10*Escenarios!$F$16*AL301,0)</f>
        <v>0</v>
      </c>
      <c r="AZ301" s="170">
        <f>IF(Escenarios!$F$17&gt;0,10*Escenarios!$F$16*AX301,0)</f>
        <v>0</v>
      </c>
      <c r="BA301" s="170">
        <f>IF(Escenarios!$F$17&gt;0,0.001*Observaciones!$F300*Escenarios!$F$17,0)</f>
        <v>0</v>
      </c>
      <c r="BB301" s="170">
        <f>IF(Escenarios!$F$17&gt;0,Observaciones!$K300,0)</f>
        <v>0</v>
      </c>
      <c r="BC301" s="170">
        <f>IF(Escenarios!$F$17&gt;0,MIN(0.0005*ETo!$M300*Escenarios!$F$17*(BG300/Constantes!$F$40)^(2/3),BG300+AY301+AZ301+BA301+BB301),0)</f>
        <v>0</v>
      </c>
      <c r="BD301" s="170">
        <f>IF(Escenarios!$F$17&gt;0,MIN(Constantes!$F$39*(BG300/Constantes!$F$40)^(2/3),BG300+AY301+AZ301+BA301+BB301-BC301),0)</f>
        <v>0</v>
      </c>
      <c r="BE301" s="170">
        <f>IF(Escenarios!$F$17&gt;0,MIN(Entradas!$F$113,BG300+AY301+AZ301+BA301+BB301-BC301-BD301),0)</f>
        <v>0</v>
      </c>
      <c r="BF301" s="170">
        <f>IF(Escenarios!$F$17&gt;0,MAX(0,BG300+AY301+AZ301+BA301+BB301-BC301-BD301-BE301-Constantes!$F$40),0)</f>
        <v>0</v>
      </c>
      <c r="BG301" s="170">
        <f t="shared" si="67"/>
        <v>0</v>
      </c>
      <c r="BH301" s="170">
        <f>(Escenarios!$F$16*AK301+0.1*BC301)/(Escenarios!$F$19)</f>
        <v>2.908021062431577</v>
      </c>
      <c r="BI301" s="170">
        <f>IF(Escenarios!$F$17&gt;0,BF301/10/Escenarios!$F$19,AL301)</f>
        <v>0</v>
      </c>
      <c r="BJ301" s="170">
        <f>(Escenarios!$F$16*AT301+0.1*BD301)/(Escenarios!$F$19)</f>
        <v>2.4880645249452885E-2</v>
      </c>
      <c r="BK301" s="76">
        <f>BK300+(0.1*BD301)/(Escenarios!$F$19)-BL300</f>
        <v>48.75</v>
      </c>
      <c r="BL301" s="76">
        <f>MAX(0,(BK301-Constantes!$D$13)*(1-EXP(-Constantes!$D$23)))</f>
        <v>0</v>
      </c>
      <c r="BM301" s="76">
        <f t="shared" si="68"/>
        <v>0.16243705970118422</v>
      </c>
      <c r="BN301" s="76">
        <f t="shared" si="69"/>
        <v>0.92714487393138278</v>
      </c>
      <c r="BO301" s="76">
        <f>0.0526*BI301*Observaciones!$F300^1.218</f>
        <v>0</v>
      </c>
      <c r="BP301" s="76">
        <f>BO301*Constantes!$F$51</f>
        <v>0</v>
      </c>
      <c r="BQ301" s="76">
        <f t="shared" si="70"/>
        <v>0</v>
      </c>
      <c r="BR301" s="40"/>
    </row>
    <row r="302" spans="2:70">
      <c r="B302" s="39"/>
      <c r="C302" s="75">
        <v>296</v>
      </c>
      <c r="D302" s="146">
        <f>ETo!$I301*((1-Constantes!$F$19)*ETo!$K301+ETo!$L301)</f>
        <v>4.4860869399315009</v>
      </c>
      <c r="E302" s="76">
        <f>MIN(D302*Constantes!$F$17,0.8*(N301+Observaciones!$F301-F302-M302-Constantes!$D$14))</f>
        <v>2.5584681274993204</v>
      </c>
      <c r="F302" s="76">
        <f>IF(Observaciones!$F301&gt;0.05*Constantes!$F$18,((Observaciones!$F301-0.05*Constantes!$F$18)^2)/(Observaciones!$F301+0.95*Constantes!$F$18),0)</f>
        <v>0</v>
      </c>
      <c r="G302" s="76">
        <f>IF(Escenarios!$F$11&gt;0,(F302*Escenarios!$F$16*10000)/1000,0)</f>
        <v>0</v>
      </c>
      <c r="H302" s="76">
        <f>IF(Escenarios!$F$11&gt;0,(Observaciones!$F301*Constantes!$F$29)/1000,0)</f>
        <v>0</v>
      </c>
      <c r="I302" s="76">
        <f>IF(Escenarios!$F$11&gt;0,(D302*Constantes!$F$29)/1000,0)</f>
        <v>0</v>
      </c>
      <c r="J302" s="76">
        <f>IF(Escenarios!$F$11&gt;0,MAX(0,G302+H302-I302),0)</f>
        <v>0</v>
      </c>
      <c r="K302" s="76">
        <f>IF(Escenarios!$F$11&gt;0,IF(J302&gt;Constantes!$F$30,1000*((J302-Constantes!$F$30)/(Escenarios!$F$16*10000)),0),F302)</f>
        <v>0</v>
      </c>
      <c r="L302" s="76">
        <f>IF(Escenarios!$F$11&gt;0,I302*1000/Escenarios!$F$16/10000+E302,E302)</f>
        <v>2.5584681274993204</v>
      </c>
      <c r="M302" s="76">
        <f>MAX(0,N301+Observaciones!$F301-K302-Constantes!$D$13)</f>
        <v>0</v>
      </c>
      <c r="N302" s="76">
        <f>N301+Observaciones!$F301-K302-L302-M302-O301</f>
        <v>36.533188733665021</v>
      </c>
      <c r="O302" s="76">
        <f>MAX(0,(N302-Constantes!$D$14)*(1-EXP(-Constantes!$D$22)))</f>
        <v>0.86123822475461476</v>
      </c>
      <c r="P302" s="170">
        <f>P301+(Entradas!$F$83*M302-Q301)/(800*Entradas!$D$25)</f>
        <v>0</v>
      </c>
      <c r="Q302" s="170">
        <f>8000*Entradas!$D$26*P302/Constantes!$F$45</f>
        <v>0</v>
      </c>
      <c r="R302" s="170">
        <f>IF(Escenarios!$F$14&gt;0,K302*Escenarios!$F$13/Escenarios!$F$14,0)</f>
        <v>0</v>
      </c>
      <c r="S302" s="170">
        <f>IF(Escenarios!$F$14&gt;0,Q302*Escenarios!$F$13/Escenarios!$F$14,0)</f>
        <v>0</v>
      </c>
      <c r="T302" s="170">
        <f>IF(Escenarios!$F$14&gt;0,Observaciones!$I301,0)</f>
        <v>0</v>
      </c>
      <c r="U302" s="170">
        <f>IF(Escenarios!$F$14&gt;0,MAX(0,Constantes!$F$36/((Z301+R302+S302+T302+Observaciones!$F301)^2)+Entradas!$F$77),0)</f>
        <v>0.11846275656137362</v>
      </c>
      <c r="V302" s="146">
        <f>IF(ETo!D301&gt;0,ETo!I301*((1-Entradas!$F$81)*ETo!K301+ETo!L301),0)</f>
        <v>3.986020310647524</v>
      </c>
      <c r="W302" s="170">
        <f>IF(Escenarios!$F$14&gt;0,MIN(V302*1,0.8*(Z301+R302+S302+T302+Observaciones!$F301-U302-Constantes!$F$35)),0)</f>
        <v>3.986020310647524</v>
      </c>
      <c r="X302" s="170">
        <f>IF(Escenarios!$F$14&gt;0,Observaciones!$J301,0)</f>
        <v>0</v>
      </c>
      <c r="Y302" s="170">
        <f>IF(Escenarios!$F$14&gt;0,MAX(0,Z301+R302+S302+T302+Observaciones!$F301-U302-W302-X302-Constantes!$F$33),0)</f>
        <v>0</v>
      </c>
      <c r="Z302" s="170">
        <f>Z301+R302+S302+T302+Observaciones!$F301-U302-W302-Y302</f>
        <v>55.585901216869708</v>
      </c>
      <c r="AA302" s="170">
        <f>IF(Escenarios!$F$14&gt;0,(Escenarios!$F$13*L302+Escenarios!$F$14*W302)/(Escenarios!$F$16),L302)</f>
        <v>2.7297743894771047</v>
      </c>
      <c r="AB302" s="170">
        <f>IF(Escenarios!$F$14&gt;0,(Escenarios!$F$14*Y302)/(Escenarios!$F$16),K302)</f>
        <v>0</v>
      </c>
      <c r="AC302" s="170">
        <f>IF(Escenarios!$F$14&gt;0,(Escenarios!$F$13*M302+Escenarios!$F$14*U302)/(Escenarios!$F$16),M302)</f>
        <v>1.4215530787364834E-2</v>
      </c>
      <c r="AD302" s="76">
        <f t="shared" si="57"/>
        <v>64.277540350855418</v>
      </c>
      <c r="AE302" s="76">
        <f>MAX(0,(AD302-Constantes!$D$13)*(1-EXP(-Constantes!$D$23)))</f>
        <v>0.15299655344895083</v>
      </c>
      <c r="AF302" s="76">
        <f>AB302+O302*Escenarios!$F$13/Escenarios!$F$16+AE302</f>
        <v>0.91088619123301173</v>
      </c>
      <c r="AG302" s="76">
        <f>IF(Entradas!$F$91&gt;0,IF(AF302-Escenarios!$F$38&lt;=0,0,IF(AF302-Escenarios!$F$38&gt;Escenarios!$F$37,Escenarios!$F$37,AF302-Escenarios!$F$38)),0)</f>
        <v>0</v>
      </c>
      <c r="AH302" s="76">
        <f>AG302*Entradas!$F$99</f>
        <v>0</v>
      </c>
      <c r="AI302" s="76">
        <f>IF(Entradas!$F$91&gt;0,D302*Entradas!$D$23/Escenarios!$F$16,0)</f>
        <v>0.21533217311671204</v>
      </c>
      <c r="AJ302" s="76">
        <f>IF(Entradas!$F$91&gt;0,Entradas!$D$24*Entradas!$D$22/Escenarios!$F$16,0)</f>
        <v>0.12</v>
      </c>
      <c r="AK302" s="76">
        <f t="shared" si="58"/>
        <v>2.9451065625938169</v>
      </c>
      <c r="AL302" s="76">
        <f t="shared" si="59"/>
        <v>0</v>
      </c>
      <c r="AM302" s="76">
        <f t="shared" si="60"/>
        <v>0</v>
      </c>
      <c r="AN302" s="76">
        <f>MAX(0,O302*Escenarios!$F$13/Escenarios!$F$16-AM302)</f>
        <v>0.75788963778406093</v>
      </c>
      <c r="AO302" s="76">
        <f>AM302+AN302-O302*Escenarios!$F$13/Escenarios!$F$16</f>
        <v>0</v>
      </c>
      <c r="AP302" s="76">
        <f t="shared" si="61"/>
        <v>0.15299655344895083</v>
      </c>
      <c r="AQ302" s="76">
        <f t="shared" si="62"/>
        <v>0</v>
      </c>
      <c r="AR302" s="76">
        <f t="shared" si="63"/>
        <v>0.91088619123301173</v>
      </c>
      <c r="AS302" s="76">
        <f t="shared" si="64"/>
        <v>0</v>
      </c>
      <c r="AT302" s="76">
        <f t="shared" si="65"/>
        <v>1.4215530787364834E-2</v>
      </c>
      <c r="AU302" s="76">
        <f t="shared" si="66"/>
        <v>49.269210788925378</v>
      </c>
      <c r="AV302" s="76">
        <f>MAX(0,(AU302-Constantes!$D$13)*(1-EXP(-Constantes!$D$24)))</f>
        <v>7.9362651878332763E-3</v>
      </c>
      <c r="AW302" s="170">
        <f>AW301+(Entradas!$F$112*AT302-AX301)/(800*Entradas!$D$25)</f>
        <v>0</v>
      </c>
      <c r="AX302" s="170">
        <f>8000*Entradas!$D$26*AW302/Constantes!$F$45</f>
        <v>0</v>
      </c>
      <c r="AY302" s="170">
        <f>IF(Escenarios!$F$17&gt;0,10*Escenarios!$F$16*AL302,0)</f>
        <v>0</v>
      </c>
      <c r="AZ302" s="170">
        <f>IF(Escenarios!$F$17&gt;0,10*Escenarios!$F$16*AX302,0)</f>
        <v>0</v>
      </c>
      <c r="BA302" s="170">
        <f>IF(Escenarios!$F$17&gt;0,0.001*Observaciones!$F301*Escenarios!$F$17,0)</f>
        <v>0</v>
      </c>
      <c r="BB302" s="170">
        <f>IF(Escenarios!$F$17&gt;0,Observaciones!$K301,0)</f>
        <v>0</v>
      </c>
      <c r="BC302" s="170">
        <f>IF(Escenarios!$F$17&gt;0,MIN(0.0005*ETo!$M301*Escenarios!$F$17*(BG301/Constantes!$F$40)^(2/3),BG301+AY302+AZ302+BA302+BB302),0)</f>
        <v>0</v>
      </c>
      <c r="BD302" s="170">
        <f>IF(Escenarios!$F$17&gt;0,MIN(Constantes!$F$39*(BG301/Constantes!$F$40)^(2/3),BG301+AY302+AZ302+BA302+BB302-BC302),0)</f>
        <v>0</v>
      </c>
      <c r="BE302" s="170">
        <f>IF(Escenarios!$F$17&gt;0,MIN(Entradas!$F$113,BG301+AY302+AZ302+BA302+BB302-BC302-BD302),0)</f>
        <v>0</v>
      </c>
      <c r="BF302" s="170">
        <f>IF(Escenarios!$F$17&gt;0,MAX(0,BG301+AY302+AZ302+BA302+BB302-BC302-BD302-BE302-Constantes!$F$40),0)</f>
        <v>0</v>
      </c>
      <c r="BG302" s="170">
        <f t="shared" si="67"/>
        <v>0</v>
      </c>
      <c r="BH302" s="170">
        <f>(Escenarios!$F$16*AK302+0.1*BC302)/(Escenarios!$F$19)</f>
        <v>2.9451065625938169</v>
      </c>
      <c r="BI302" s="170">
        <f>IF(Escenarios!$F$17&gt;0,BF302/10/Escenarios!$F$19,AL302)</f>
        <v>0</v>
      </c>
      <c r="BJ302" s="170">
        <f>(Escenarios!$F$16*AT302+0.1*BD302)/(Escenarios!$F$19)</f>
        <v>1.4215530787364834E-2</v>
      </c>
      <c r="BK302" s="76">
        <f>BK301+(0.1*BD302)/(Escenarios!$F$19)-BL301</f>
        <v>48.75</v>
      </c>
      <c r="BL302" s="76">
        <f>MAX(0,(BK302-Constantes!$D$13)*(1-EXP(-Constantes!$D$23)))</f>
        <v>0</v>
      </c>
      <c r="BM302" s="76">
        <f t="shared" si="68"/>
        <v>0.1609328186367841</v>
      </c>
      <c r="BN302" s="76">
        <f t="shared" si="69"/>
        <v>0.91882245642084504</v>
      </c>
      <c r="BO302" s="76">
        <f>0.0526*BI302*Observaciones!$F301^1.218</f>
        <v>0</v>
      </c>
      <c r="BP302" s="76">
        <f>BO302*Constantes!$F$51</f>
        <v>0</v>
      </c>
      <c r="BQ302" s="76">
        <f t="shared" si="70"/>
        <v>0</v>
      </c>
      <c r="BR302" s="40"/>
    </row>
    <row r="303" spans="2:70">
      <c r="B303" s="39"/>
      <c r="C303" s="75">
        <v>297</v>
      </c>
      <c r="D303" s="146">
        <f>ETo!$I302*((1-Constantes!$F$19)*ETo!$K302+ETo!$L302)</f>
        <v>4.189652067173661</v>
      </c>
      <c r="E303" s="76">
        <f>MIN(D303*Constantes!$F$17,0.8*(N302+Observaciones!$F302-F303-M303-Constantes!$D$14))</f>
        <v>2.389407834200183</v>
      </c>
      <c r="F303" s="76">
        <f>IF(Observaciones!$F302&gt;0.05*Constantes!$F$18,((Observaciones!$F302-0.05*Constantes!$F$18)^2)/(Observaciones!$F302+0.95*Constantes!$F$18),0)</f>
        <v>0</v>
      </c>
      <c r="G303" s="76">
        <f>IF(Escenarios!$F$11&gt;0,(F303*Escenarios!$F$16*10000)/1000,0)</f>
        <v>0</v>
      </c>
      <c r="H303" s="76">
        <f>IF(Escenarios!$F$11&gt;0,(Observaciones!$F302*Constantes!$F$29)/1000,0)</f>
        <v>0</v>
      </c>
      <c r="I303" s="76">
        <f>IF(Escenarios!$F$11&gt;0,(D303*Constantes!$F$29)/1000,0)</f>
        <v>0</v>
      </c>
      <c r="J303" s="76">
        <f>IF(Escenarios!$F$11&gt;0,MAX(0,G303+H303-I303),0)</f>
        <v>0</v>
      </c>
      <c r="K303" s="76">
        <f>IF(Escenarios!$F$11&gt;0,IF(J303&gt;Constantes!$F$30,1000*((J303-Constantes!$F$30)/(Escenarios!$F$16*10000)),0),F303)</f>
        <v>0</v>
      </c>
      <c r="L303" s="76">
        <f>IF(Escenarios!$F$11&gt;0,I303*1000/Escenarios!$F$16/10000+E303,E303)</f>
        <v>2.389407834200183</v>
      </c>
      <c r="M303" s="76">
        <f>MAX(0,N302+Observaciones!$F302-K303-Constantes!$D$13)</f>
        <v>0</v>
      </c>
      <c r="N303" s="76">
        <f>N302+Observaciones!$F302-K303-L303-M303-O302</f>
        <v>35.082542674710218</v>
      </c>
      <c r="O303" s="76">
        <f>MAX(0,(N303-Constantes!$D$14)*(1-EXP(-Constantes!$D$22)))</f>
        <v>0.81182389455590931</v>
      </c>
      <c r="P303" s="170">
        <f>P302+(Entradas!$F$83*M303-Q302)/(800*Entradas!$D$25)</f>
        <v>0</v>
      </c>
      <c r="Q303" s="170">
        <f>8000*Entradas!$D$26*P303/Constantes!$F$45</f>
        <v>0</v>
      </c>
      <c r="R303" s="170">
        <f>IF(Escenarios!$F$14&gt;0,K303*Escenarios!$F$13/Escenarios!$F$14,0)</f>
        <v>0</v>
      </c>
      <c r="S303" s="170">
        <f>IF(Escenarios!$F$14&gt;0,Q303*Escenarios!$F$13/Escenarios!$F$14,0)</f>
        <v>0</v>
      </c>
      <c r="T303" s="170">
        <f>IF(Escenarios!$F$14&gt;0,Observaciones!$I302,0)</f>
        <v>0</v>
      </c>
      <c r="U303" s="170">
        <f>IF(Escenarios!$F$14&gt;0,MAX(0,Constantes!$F$36/((Z302+R303+S303+T303+Observaciones!$F302)^2)+Entradas!$F$77),0)</f>
        <v>0</v>
      </c>
      <c r="V303" s="146">
        <f>IF(ETo!D302&gt;0,ETo!I302*((1-Entradas!$F$81)*ETo!K302+ETo!L302),0)</f>
        <v>3.7192303883714928</v>
      </c>
      <c r="W303" s="170">
        <f>IF(Escenarios!$F$14&gt;0,MIN(V303*1,0.8*(Z302+R303+S303+T303+Observaciones!$F302-U303-Constantes!$F$35)),0)</f>
        <v>3.7192303883714928</v>
      </c>
      <c r="X303" s="170">
        <f>IF(Escenarios!$F$14&gt;0,Observaciones!$J302,0)</f>
        <v>0</v>
      </c>
      <c r="Y303" s="170">
        <f>IF(Escenarios!$F$14&gt;0,MAX(0,Z302+R303+S303+T303+Observaciones!$F302-U303-W303-X303-Constantes!$F$33),0)</f>
        <v>0</v>
      </c>
      <c r="Z303" s="170">
        <f>Z302+R303+S303+T303+Observaciones!$F302-U303-W303-Y303</f>
        <v>53.666670828498212</v>
      </c>
      <c r="AA303" s="170">
        <f>IF(Escenarios!$F$14&gt;0,(Escenarios!$F$13*L303+Escenarios!$F$14*W303)/(Escenarios!$F$16),L303)</f>
        <v>2.5489865407007399</v>
      </c>
      <c r="AB303" s="170">
        <f>IF(Escenarios!$F$14&gt;0,(Escenarios!$F$14*Y303)/(Escenarios!$F$16),K303)</f>
        <v>0</v>
      </c>
      <c r="AC303" s="170">
        <f>IF(Escenarios!$F$14&gt;0,(Escenarios!$F$13*M303+Escenarios!$F$14*U303)/(Escenarios!$F$16),M303)</f>
        <v>0</v>
      </c>
      <c r="AD303" s="76">
        <f t="shared" si="57"/>
        <v>64.12454379740646</v>
      </c>
      <c r="AE303" s="76">
        <f>MAX(0,(AD303-Constantes!$D$13)*(1-EXP(-Constantes!$D$23)))</f>
        <v>0.15148904196687832</v>
      </c>
      <c r="AF303" s="76">
        <f>AB303+O303*Escenarios!$F$13/Escenarios!$F$16+AE303</f>
        <v>0.86589406917607847</v>
      </c>
      <c r="AG303" s="76">
        <f>IF(Entradas!$F$91&gt;0,IF(AF303-Escenarios!$F$38&lt;=0,0,IF(AF303-Escenarios!$F$38&gt;Escenarios!$F$37,Escenarios!$F$37,AF303-Escenarios!$F$38)),0)</f>
        <v>0</v>
      </c>
      <c r="AH303" s="76">
        <f>AG303*Entradas!$F$99</f>
        <v>0</v>
      </c>
      <c r="AI303" s="76">
        <f>IF(Entradas!$F$91&gt;0,D303*Entradas!$D$23/Escenarios!$F$16,0)</f>
        <v>0.20110329922433573</v>
      </c>
      <c r="AJ303" s="76">
        <f>IF(Entradas!$F$91&gt;0,Entradas!$D$24*Entradas!$D$22/Escenarios!$F$16,0)</f>
        <v>0.12</v>
      </c>
      <c r="AK303" s="76">
        <f t="shared" si="58"/>
        <v>2.7500898399250757</v>
      </c>
      <c r="AL303" s="76">
        <f t="shared" si="59"/>
        <v>0</v>
      </c>
      <c r="AM303" s="76">
        <f t="shared" si="60"/>
        <v>0</v>
      </c>
      <c r="AN303" s="76">
        <f>MAX(0,O303*Escenarios!$F$13/Escenarios!$F$16-AM303)</f>
        <v>0.71440502720920018</v>
      </c>
      <c r="AO303" s="76">
        <f>AM303+AN303-O303*Escenarios!$F$13/Escenarios!$F$16</f>
        <v>0</v>
      </c>
      <c r="AP303" s="76">
        <f t="shared" si="61"/>
        <v>0.15148904196687832</v>
      </c>
      <c r="AQ303" s="76">
        <f t="shared" si="62"/>
        <v>0</v>
      </c>
      <c r="AR303" s="76">
        <f t="shared" si="63"/>
        <v>0.86589406917607847</v>
      </c>
      <c r="AS303" s="76">
        <f t="shared" si="64"/>
        <v>0</v>
      </c>
      <c r="AT303" s="76">
        <f t="shared" si="65"/>
        <v>0</v>
      </c>
      <c r="AU303" s="76">
        <f t="shared" si="66"/>
        <v>49.261274523737548</v>
      </c>
      <c r="AV303" s="76">
        <f>MAX(0,(AU303-Constantes!$D$13)*(1-EXP(-Constantes!$D$24)))</f>
        <v>7.8149574136594253E-3</v>
      </c>
      <c r="AW303" s="170">
        <f>AW302+(Entradas!$F$112*AT303-AX302)/(800*Entradas!$D$25)</f>
        <v>0</v>
      </c>
      <c r="AX303" s="170">
        <f>8000*Entradas!$D$26*AW303/Constantes!$F$45</f>
        <v>0</v>
      </c>
      <c r="AY303" s="170">
        <f>IF(Escenarios!$F$17&gt;0,10*Escenarios!$F$16*AL303,0)</f>
        <v>0</v>
      </c>
      <c r="AZ303" s="170">
        <f>IF(Escenarios!$F$17&gt;0,10*Escenarios!$F$16*AX303,0)</f>
        <v>0</v>
      </c>
      <c r="BA303" s="170">
        <f>IF(Escenarios!$F$17&gt;0,0.001*Observaciones!$F302*Escenarios!$F$17,0)</f>
        <v>0</v>
      </c>
      <c r="BB303" s="170">
        <f>IF(Escenarios!$F$17&gt;0,Observaciones!$K302,0)</f>
        <v>0</v>
      </c>
      <c r="BC303" s="170">
        <f>IF(Escenarios!$F$17&gt;0,MIN(0.0005*ETo!$M302*Escenarios!$F$17*(BG302/Constantes!$F$40)^(2/3),BG302+AY303+AZ303+BA303+BB303),0)</f>
        <v>0</v>
      </c>
      <c r="BD303" s="170">
        <f>IF(Escenarios!$F$17&gt;0,MIN(Constantes!$F$39*(BG302/Constantes!$F$40)^(2/3),BG302+AY303+AZ303+BA303+BB303-BC303),0)</f>
        <v>0</v>
      </c>
      <c r="BE303" s="170">
        <f>IF(Escenarios!$F$17&gt;0,MIN(Entradas!$F$113,BG302+AY303+AZ303+BA303+BB303-BC303-BD303),0)</f>
        <v>0</v>
      </c>
      <c r="BF303" s="170">
        <f>IF(Escenarios!$F$17&gt;0,MAX(0,BG302+AY303+AZ303+BA303+BB303-BC303-BD303-BE303-Constantes!$F$40),0)</f>
        <v>0</v>
      </c>
      <c r="BG303" s="170">
        <f t="shared" si="67"/>
        <v>0</v>
      </c>
      <c r="BH303" s="170">
        <f>(Escenarios!$F$16*AK303+0.1*BC303)/(Escenarios!$F$19)</f>
        <v>2.7500898399250757</v>
      </c>
      <c r="BI303" s="170">
        <f>IF(Escenarios!$F$17&gt;0,BF303/10/Escenarios!$F$19,AL303)</f>
        <v>0</v>
      </c>
      <c r="BJ303" s="170">
        <f>(Escenarios!$F$16*AT303+0.1*BD303)/(Escenarios!$F$19)</f>
        <v>0</v>
      </c>
      <c r="BK303" s="76">
        <f>BK302+(0.1*BD303)/(Escenarios!$F$19)-BL302</f>
        <v>48.75</v>
      </c>
      <c r="BL303" s="76">
        <f>MAX(0,(BK303-Constantes!$D$13)*(1-EXP(-Constantes!$D$23)))</f>
        <v>0</v>
      </c>
      <c r="BM303" s="76">
        <f t="shared" si="68"/>
        <v>0.15930399938053774</v>
      </c>
      <c r="BN303" s="76">
        <f t="shared" si="69"/>
        <v>0.87370902658973792</v>
      </c>
      <c r="BO303" s="76">
        <f>0.0526*BI303*Observaciones!$F302^1.218</f>
        <v>0</v>
      </c>
      <c r="BP303" s="76">
        <f>BO303*Constantes!$F$51</f>
        <v>0</v>
      </c>
      <c r="BQ303" s="76">
        <f t="shared" si="70"/>
        <v>0</v>
      </c>
      <c r="BR303" s="40"/>
    </row>
    <row r="304" spans="2:70">
      <c r="B304" s="39"/>
      <c r="C304" s="75">
        <v>298</v>
      </c>
      <c r="D304" s="146">
        <f>ETo!$I303*((1-Constantes!$F$19)*ETo!$K303+ETo!$L303)</f>
        <v>4.2087208131279112</v>
      </c>
      <c r="E304" s="76">
        <f>MIN(D304*Constantes!$F$17,0.8*(N303+Observaciones!$F303-F304-M304-Constantes!$D$14))</f>
        <v>2.4002829642207515</v>
      </c>
      <c r="F304" s="76">
        <f>IF(Observaciones!$F303&gt;0.05*Constantes!$F$18,((Observaciones!$F303-0.05*Constantes!$F$18)^2)/(Observaciones!$F303+0.95*Constantes!$F$18),0)</f>
        <v>0</v>
      </c>
      <c r="G304" s="76">
        <f>IF(Escenarios!$F$11&gt;0,(F304*Escenarios!$F$16*10000)/1000,0)</f>
        <v>0</v>
      </c>
      <c r="H304" s="76">
        <f>IF(Escenarios!$F$11&gt;0,(Observaciones!$F303*Constantes!$F$29)/1000,0)</f>
        <v>0</v>
      </c>
      <c r="I304" s="76">
        <f>IF(Escenarios!$F$11&gt;0,(D304*Constantes!$F$29)/1000,0)</f>
        <v>0</v>
      </c>
      <c r="J304" s="76">
        <f>IF(Escenarios!$F$11&gt;0,MAX(0,G304+H304-I304),0)</f>
        <v>0</v>
      </c>
      <c r="K304" s="76">
        <f>IF(Escenarios!$F$11&gt;0,IF(J304&gt;Constantes!$F$30,1000*((J304-Constantes!$F$30)/(Escenarios!$F$16*10000)),0),F304)</f>
        <v>0</v>
      </c>
      <c r="L304" s="76">
        <f>IF(Escenarios!$F$11&gt;0,I304*1000/Escenarios!$F$16/10000+E304,E304)</f>
        <v>2.4002829642207515</v>
      </c>
      <c r="M304" s="76">
        <f>MAX(0,N303+Observaciones!$F303-K304-Constantes!$D$13)</f>
        <v>0</v>
      </c>
      <c r="N304" s="76">
        <f>N303+Observaciones!$F303-K304-L304-M304-O303</f>
        <v>37.670435815933558</v>
      </c>
      <c r="O304" s="76">
        <f>MAX(0,(N304-Constantes!$D$14)*(1-EXP(-Constantes!$D$22)))</f>
        <v>0.89997703529618933</v>
      </c>
      <c r="P304" s="170">
        <f>P303+(Entradas!$F$83*M304-Q303)/(800*Entradas!$D$25)</f>
        <v>0</v>
      </c>
      <c r="Q304" s="170">
        <f>8000*Entradas!$D$26*P304/Constantes!$F$45</f>
        <v>0</v>
      </c>
      <c r="R304" s="170">
        <f>IF(Escenarios!$F$14&gt;0,K304*Escenarios!$F$13/Escenarios!$F$14,0)</f>
        <v>0</v>
      </c>
      <c r="S304" s="170">
        <f>IF(Escenarios!$F$14&gt;0,Q304*Escenarios!$F$13/Escenarios!$F$14,0)</f>
        <v>0</v>
      </c>
      <c r="T304" s="170">
        <f>IF(Escenarios!$F$14&gt;0,Observaciones!$I303,0)</f>
        <v>0</v>
      </c>
      <c r="U304" s="170">
        <f>IF(Escenarios!$F$14&gt;0,MAX(0,Constantes!$F$36/((Z303+R304+S304+T304+Observaciones!$F303)^2)+Entradas!$F$77),0)</f>
        <v>9.6741304542758311E-2</v>
      </c>
      <c r="V304" s="146">
        <f>IF(ETo!D303&gt;0,ETo!I303*((1-Entradas!$F$81)*ETo!K303+ETo!L303),0)</f>
        <v>3.7364353811345938</v>
      </c>
      <c r="W304" s="170">
        <f>IF(Escenarios!$F$14&gt;0,MIN(V304*1,0.8*(Z303+R304+S304+T304+Observaciones!$F303-U304-Constantes!$F$35)),0)</f>
        <v>3.7364353811345938</v>
      </c>
      <c r="X304" s="170">
        <f>IF(Escenarios!$F$14&gt;0,Observaciones!$J303,0)</f>
        <v>0</v>
      </c>
      <c r="Y304" s="170">
        <f>IF(Escenarios!$F$14&gt;0,MAX(0,Z303+R304+S304+T304+Observaciones!$F303-U304-W304-X304-Constantes!$F$33),0)</f>
        <v>0</v>
      </c>
      <c r="Z304" s="170">
        <f>Z303+R304+S304+T304+Observaciones!$F303-U304-W304-Y304</f>
        <v>55.633494142820858</v>
      </c>
      <c r="AA304" s="170">
        <f>IF(Escenarios!$F$14&gt;0,(Escenarios!$F$13*L304+Escenarios!$F$14*W304)/(Escenarios!$F$16),L304)</f>
        <v>2.5606212542504125</v>
      </c>
      <c r="AB304" s="170">
        <f>IF(Escenarios!$F$14&gt;0,(Escenarios!$F$14*Y304)/(Escenarios!$F$16),K304)</f>
        <v>0</v>
      </c>
      <c r="AC304" s="170">
        <f>IF(Escenarios!$F$14&gt;0,(Escenarios!$F$13*M304+Escenarios!$F$14*U304)/(Escenarios!$F$16),M304)</f>
        <v>1.1608956545130998E-2</v>
      </c>
      <c r="AD304" s="76">
        <f t="shared" si="57"/>
        <v>63.984663711984716</v>
      </c>
      <c r="AE304" s="76">
        <f>MAX(0,(AD304-Constantes!$D$13)*(1-EXP(-Constantes!$D$23)))</f>
        <v>0.15011077016837723</v>
      </c>
      <c r="AF304" s="76">
        <f>AB304+O304*Escenarios!$F$13/Escenarios!$F$16+AE304</f>
        <v>0.94209056122902379</v>
      </c>
      <c r="AG304" s="76">
        <f>IF(Entradas!$F$91&gt;0,IF(AF304-Escenarios!$F$38&lt;=0,0,IF(AF304-Escenarios!$F$38&gt;Escenarios!$F$37,Escenarios!$F$37,AF304-Escenarios!$F$38)),0)</f>
        <v>0</v>
      </c>
      <c r="AH304" s="76">
        <f>AG304*Entradas!$F$99</f>
        <v>0</v>
      </c>
      <c r="AI304" s="76">
        <f>IF(Entradas!$F$91&gt;0,D304*Entradas!$D$23/Escenarios!$F$16,0)</f>
        <v>0.20201859903013974</v>
      </c>
      <c r="AJ304" s="76">
        <f>IF(Entradas!$F$91&gt;0,Entradas!$D$24*Entradas!$D$22/Escenarios!$F$16,0)</f>
        <v>0.12</v>
      </c>
      <c r="AK304" s="76">
        <f t="shared" si="58"/>
        <v>2.7626398532805521</v>
      </c>
      <c r="AL304" s="76">
        <f t="shared" si="59"/>
        <v>0</v>
      </c>
      <c r="AM304" s="76">
        <f t="shared" si="60"/>
        <v>0</v>
      </c>
      <c r="AN304" s="76">
        <f>MAX(0,O304*Escenarios!$F$13/Escenarios!$F$16-AM304)</f>
        <v>0.79197979106064653</v>
      </c>
      <c r="AO304" s="76">
        <f>AM304+AN304-O304*Escenarios!$F$13/Escenarios!$F$16</f>
        <v>0</v>
      </c>
      <c r="AP304" s="76">
        <f t="shared" si="61"/>
        <v>0.15011077016837723</v>
      </c>
      <c r="AQ304" s="76">
        <f t="shared" si="62"/>
        <v>0</v>
      </c>
      <c r="AR304" s="76">
        <f t="shared" si="63"/>
        <v>0.94209056122902379</v>
      </c>
      <c r="AS304" s="76">
        <f t="shared" si="64"/>
        <v>0</v>
      </c>
      <c r="AT304" s="76">
        <f t="shared" si="65"/>
        <v>1.1608956545130998E-2</v>
      </c>
      <c r="AU304" s="76">
        <f t="shared" si="66"/>
        <v>49.25345956632389</v>
      </c>
      <c r="AV304" s="76">
        <f>MAX(0,(AU304-Constantes!$D$13)*(1-EXP(-Constantes!$D$24)))</f>
        <v>7.6955038587847727E-3</v>
      </c>
      <c r="AW304" s="170">
        <f>AW303+(Entradas!$F$112*AT304-AX303)/(800*Entradas!$D$25)</f>
        <v>0</v>
      </c>
      <c r="AX304" s="170">
        <f>8000*Entradas!$D$26*AW304/Constantes!$F$45</f>
        <v>0</v>
      </c>
      <c r="AY304" s="170">
        <f>IF(Escenarios!$F$17&gt;0,10*Escenarios!$F$16*AL304,0)</f>
        <v>0</v>
      </c>
      <c r="AZ304" s="170">
        <f>IF(Escenarios!$F$17&gt;0,10*Escenarios!$F$16*AX304,0)</f>
        <v>0</v>
      </c>
      <c r="BA304" s="170">
        <f>IF(Escenarios!$F$17&gt;0,0.001*Observaciones!$F303*Escenarios!$F$17,0)</f>
        <v>0</v>
      </c>
      <c r="BB304" s="170">
        <f>IF(Escenarios!$F$17&gt;0,Observaciones!$K303,0)</f>
        <v>0</v>
      </c>
      <c r="BC304" s="170">
        <f>IF(Escenarios!$F$17&gt;0,MIN(0.0005*ETo!$M303*Escenarios!$F$17*(BG303/Constantes!$F$40)^(2/3),BG303+AY304+AZ304+BA304+BB304),0)</f>
        <v>0</v>
      </c>
      <c r="BD304" s="170">
        <f>IF(Escenarios!$F$17&gt;0,MIN(Constantes!$F$39*(BG303/Constantes!$F$40)^(2/3),BG303+AY304+AZ304+BA304+BB304-BC304),0)</f>
        <v>0</v>
      </c>
      <c r="BE304" s="170">
        <f>IF(Escenarios!$F$17&gt;0,MIN(Entradas!$F$113,BG303+AY304+AZ304+BA304+BB304-BC304-BD304),0)</f>
        <v>0</v>
      </c>
      <c r="BF304" s="170">
        <f>IF(Escenarios!$F$17&gt;0,MAX(0,BG303+AY304+AZ304+BA304+BB304-BC304-BD304-BE304-Constantes!$F$40),0)</f>
        <v>0</v>
      </c>
      <c r="BG304" s="170">
        <f t="shared" si="67"/>
        <v>0</v>
      </c>
      <c r="BH304" s="170">
        <f>(Escenarios!$F$16*AK304+0.1*BC304)/(Escenarios!$F$19)</f>
        <v>2.7626398532805521</v>
      </c>
      <c r="BI304" s="170">
        <f>IF(Escenarios!$F$17&gt;0,BF304/10/Escenarios!$F$19,AL304)</f>
        <v>0</v>
      </c>
      <c r="BJ304" s="170">
        <f>(Escenarios!$F$16*AT304+0.1*BD304)/(Escenarios!$F$19)</f>
        <v>1.1608956545130998E-2</v>
      </c>
      <c r="BK304" s="76">
        <f>BK303+(0.1*BD304)/(Escenarios!$F$19)-BL303</f>
        <v>48.75</v>
      </c>
      <c r="BL304" s="76">
        <f>MAX(0,(BK304-Constantes!$D$13)*(1-EXP(-Constantes!$D$23)))</f>
        <v>0</v>
      </c>
      <c r="BM304" s="76">
        <f t="shared" si="68"/>
        <v>0.15780627402716202</v>
      </c>
      <c r="BN304" s="76">
        <f t="shared" si="69"/>
        <v>0.94978606508780861</v>
      </c>
      <c r="BO304" s="76">
        <f>0.0526*BI304*Observaciones!$F303^1.218</f>
        <v>0</v>
      </c>
      <c r="BP304" s="76">
        <f>BO304*Constantes!$F$51</f>
        <v>0</v>
      </c>
      <c r="BQ304" s="76">
        <f t="shared" si="70"/>
        <v>0</v>
      </c>
      <c r="BR304" s="40"/>
    </row>
    <row r="305" spans="2:70">
      <c r="B305" s="39"/>
      <c r="C305" s="75">
        <v>299</v>
      </c>
      <c r="D305" s="146">
        <f>ETo!$I304*((1-Constantes!$F$19)*ETo!$K304+ETo!$L304)</f>
        <v>4.3470345052025605</v>
      </c>
      <c r="E305" s="76">
        <f>MIN(D305*Constantes!$F$17,0.8*(N304+Observaciones!$F304-F305-M305-Constantes!$D$14))</f>
        <v>2.4791648890492413</v>
      </c>
      <c r="F305" s="76">
        <f>IF(Observaciones!$F304&gt;0.05*Constantes!$F$18,((Observaciones!$F304-0.05*Constantes!$F$18)^2)/(Observaciones!$F304+0.95*Constantes!$F$18),0)</f>
        <v>0</v>
      </c>
      <c r="G305" s="76">
        <f>IF(Escenarios!$F$11&gt;0,(F305*Escenarios!$F$16*10000)/1000,0)</f>
        <v>0</v>
      </c>
      <c r="H305" s="76">
        <f>IF(Escenarios!$F$11&gt;0,(Observaciones!$F304*Constantes!$F$29)/1000,0)</f>
        <v>0</v>
      </c>
      <c r="I305" s="76">
        <f>IF(Escenarios!$F$11&gt;0,(D305*Constantes!$F$29)/1000,0)</f>
        <v>0</v>
      </c>
      <c r="J305" s="76">
        <f>IF(Escenarios!$F$11&gt;0,MAX(0,G305+H305-I305),0)</f>
        <v>0</v>
      </c>
      <c r="K305" s="76">
        <f>IF(Escenarios!$F$11&gt;0,IF(J305&gt;Constantes!$F$30,1000*((J305-Constantes!$F$30)/(Escenarios!$F$16*10000)),0),F305)</f>
        <v>0</v>
      </c>
      <c r="L305" s="76">
        <f>IF(Escenarios!$F$11&gt;0,I305*1000/Escenarios!$F$16/10000+E305,E305)</f>
        <v>2.4791648890492413</v>
      </c>
      <c r="M305" s="76">
        <f>MAX(0,N304+Observaciones!$F304-K305-Constantes!$D$13)</f>
        <v>0</v>
      </c>
      <c r="N305" s="76">
        <f>N304+Observaciones!$F304-K305-L305-M305-O304</f>
        <v>35.991293891588128</v>
      </c>
      <c r="O305" s="76">
        <f>MAX(0,(N305-Constantes!$D$14)*(1-EXP(-Constantes!$D$22)))</f>
        <v>0.84277929709678479</v>
      </c>
      <c r="P305" s="170">
        <f>P304+(Entradas!$F$83*M305-Q304)/(800*Entradas!$D$25)</f>
        <v>0</v>
      </c>
      <c r="Q305" s="170">
        <f>8000*Entradas!$D$26*P305/Constantes!$F$45</f>
        <v>0</v>
      </c>
      <c r="R305" s="170">
        <f>IF(Escenarios!$F$14&gt;0,K305*Escenarios!$F$13/Escenarios!$F$14,0)</f>
        <v>0</v>
      </c>
      <c r="S305" s="170">
        <f>IF(Escenarios!$F$14&gt;0,Q305*Escenarios!$F$13/Escenarios!$F$14,0)</f>
        <v>0</v>
      </c>
      <c r="T305" s="170">
        <f>IF(Escenarios!$F$14&gt;0,Observaciones!$I304,0)</f>
        <v>0</v>
      </c>
      <c r="U305" s="170">
        <f>IF(Escenarios!$F$14&gt;0,MAX(0,Constantes!$F$36/((Z304+R305+S305+T305+Observaciones!$F304)^2)+Entradas!$F$77),0)</f>
        <v>0</v>
      </c>
      <c r="V305" s="146">
        <f>IF(ETo!D304&gt;0,ETo!I304*((1-Entradas!$F$81)*ETo!K304+ETo!L304),0)</f>
        <v>3.8607980890638123</v>
      </c>
      <c r="W305" s="170">
        <f>IF(Escenarios!$F$14&gt;0,MIN(V305*1,0.8*(Z304+R305+S305+T305+Observaciones!$F304-U305-Constantes!$F$35)),0)</f>
        <v>3.8607980890638123</v>
      </c>
      <c r="X305" s="170">
        <f>IF(Escenarios!$F$14&gt;0,Observaciones!$J304,0)</f>
        <v>0</v>
      </c>
      <c r="Y305" s="170">
        <f>IF(Escenarios!$F$14&gt;0,MAX(0,Z304+R305+S305+T305+Observaciones!$F304-U305-W305-X305-Constantes!$F$33),0)</f>
        <v>0</v>
      </c>
      <c r="Z305" s="170">
        <f>Z304+R305+S305+T305+Observaciones!$F304-U305-W305-Y305</f>
        <v>53.472696053757048</v>
      </c>
      <c r="AA305" s="170">
        <f>IF(Escenarios!$F$14&gt;0,(Escenarios!$F$13*L305+Escenarios!$F$14*W305)/(Escenarios!$F$16),L305)</f>
        <v>2.6449608730509895</v>
      </c>
      <c r="AB305" s="170">
        <f>IF(Escenarios!$F$14&gt;0,(Escenarios!$F$14*Y305)/(Escenarios!$F$16),K305)</f>
        <v>0</v>
      </c>
      <c r="AC305" s="170">
        <f>IF(Escenarios!$F$14&gt;0,(Escenarios!$F$13*M305+Escenarios!$F$14*U305)/(Escenarios!$F$16),M305)</f>
        <v>0</v>
      </c>
      <c r="AD305" s="76">
        <f t="shared" si="57"/>
        <v>63.834552941816341</v>
      </c>
      <c r="AE305" s="76">
        <f>MAX(0,(AD305-Constantes!$D$13)*(1-EXP(-Constantes!$D$23)))</f>
        <v>0.14863169299630832</v>
      </c>
      <c r="AF305" s="76">
        <f>AB305+O305*Escenarios!$F$13/Escenarios!$F$16+AE305</f>
        <v>0.89027747444147898</v>
      </c>
      <c r="AG305" s="76">
        <f>IF(Entradas!$F$91&gt;0,IF(AF305-Escenarios!$F$38&lt;=0,0,IF(AF305-Escenarios!$F$38&gt;Escenarios!$F$37,Escenarios!$F$37,AF305-Escenarios!$F$38)),0)</f>
        <v>0</v>
      </c>
      <c r="AH305" s="76">
        <f>AG305*Entradas!$F$99</f>
        <v>0</v>
      </c>
      <c r="AI305" s="76">
        <f>IF(Entradas!$F$91&gt;0,D305*Entradas!$D$23/Escenarios!$F$16,0)</f>
        <v>0.20865765624972288</v>
      </c>
      <c r="AJ305" s="76">
        <f>IF(Entradas!$F$91&gt;0,Entradas!$D$24*Entradas!$D$22/Escenarios!$F$16,0)</f>
        <v>0.12</v>
      </c>
      <c r="AK305" s="76">
        <f t="shared" si="58"/>
        <v>2.8536185293007126</v>
      </c>
      <c r="AL305" s="76">
        <f t="shared" si="59"/>
        <v>0</v>
      </c>
      <c r="AM305" s="76">
        <f t="shared" si="60"/>
        <v>0</v>
      </c>
      <c r="AN305" s="76">
        <f>MAX(0,O305*Escenarios!$F$13/Escenarios!$F$16-AM305)</f>
        <v>0.74164578144517068</v>
      </c>
      <c r="AO305" s="76">
        <f>AM305+AN305-O305*Escenarios!$F$13/Escenarios!$F$16</f>
        <v>0</v>
      </c>
      <c r="AP305" s="76">
        <f t="shared" si="61"/>
        <v>0.14863169299630832</v>
      </c>
      <c r="AQ305" s="76">
        <f t="shared" si="62"/>
        <v>0</v>
      </c>
      <c r="AR305" s="76">
        <f t="shared" si="63"/>
        <v>0.89027747444147898</v>
      </c>
      <c r="AS305" s="76">
        <f t="shared" si="64"/>
        <v>0</v>
      </c>
      <c r="AT305" s="76">
        <f t="shared" si="65"/>
        <v>0</v>
      </c>
      <c r="AU305" s="76">
        <f t="shared" si="66"/>
        <v>49.245764062465106</v>
      </c>
      <c r="AV305" s="76">
        <f>MAX(0,(AU305-Constantes!$D$13)*(1-EXP(-Constantes!$D$24)))</f>
        <v>7.5778761810092205E-3</v>
      </c>
      <c r="AW305" s="170">
        <f>AW304+(Entradas!$F$112*AT305-AX304)/(800*Entradas!$D$25)</f>
        <v>0</v>
      </c>
      <c r="AX305" s="170">
        <f>8000*Entradas!$D$26*AW305/Constantes!$F$45</f>
        <v>0</v>
      </c>
      <c r="AY305" s="170">
        <f>IF(Escenarios!$F$17&gt;0,10*Escenarios!$F$16*AL305,0)</f>
        <v>0</v>
      </c>
      <c r="AZ305" s="170">
        <f>IF(Escenarios!$F$17&gt;0,10*Escenarios!$F$16*AX305,0)</f>
        <v>0</v>
      </c>
      <c r="BA305" s="170">
        <f>IF(Escenarios!$F$17&gt;0,0.001*Observaciones!$F304*Escenarios!$F$17,0)</f>
        <v>0</v>
      </c>
      <c r="BB305" s="170">
        <f>IF(Escenarios!$F$17&gt;0,Observaciones!$K304,0)</f>
        <v>0</v>
      </c>
      <c r="BC305" s="170">
        <f>IF(Escenarios!$F$17&gt;0,MIN(0.0005*ETo!$M304*Escenarios!$F$17*(BG304/Constantes!$F$40)^(2/3),BG304+AY305+AZ305+BA305+BB305),0)</f>
        <v>0</v>
      </c>
      <c r="BD305" s="170">
        <f>IF(Escenarios!$F$17&gt;0,MIN(Constantes!$F$39*(BG304/Constantes!$F$40)^(2/3),BG304+AY305+AZ305+BA305+BB305-BC305),0)</f>
        <v>0</v>
      </c>
      <c r="BE305" s="170">
        <f>IF(Escenarios!$F$17&gt;0,MIN(Entradas!$F$113,BG304+AY305+AZ305+BA305+BB305-BC305-BD305),0)</f>
        <v>0</v>
      </c>
      <c r="BF305" s="170">
        <f>IF(Escenarios!$F$17&gt;0,MAX(0,BG304+AY305+AZ305+BA305+BB305-BC305-BD305-BE305-Constantes!$F$40),0)</f>
        <v>0</v>
      </c>
      <c r="BG305" s="170">
        <f t="shared" si="67"/>
        <v>0</v>
      </c>
      <c r="BH305" s="170">
        <f>(Escenarios!$F$16*AK305+0.1*BC305)/(Escenarios!$F$19)</f>
        <v>2.8536185293007126</v>
      </c>
      <c r="BI305" s="170">
        <f>IF(Escenarios!$F$17&gt;0,BF305/10/Escenarios!$F$19,AL305)</f>
        <v>0</v>
      </c>
      <c r="BJ305" s="170">
        <f>(Escenarios!$F$16*AT305+0.1*BD305)/(Escenarios!$F$19)</f>
        <v>0</v>
      </c>
      <c r="BK305" s="76">
        <f>BK304+(0.1*BD305)/(Escenarios!$F$19)-BL304</f>
        <v>48.75</v>
      </c>
      <c r="BL305" s="76">
        <f>MAX(0,(BK305-Constantes!$D$13)*(1-EXP(-Constantes!$D$23)))</f>
        <v>0</v>
      </c>
      <c r="BM305" s="76">
        <f t="shared" si="68"/>
        <v>0.15620956917731754</v>
      </c>
      <c r="BN305" s="76">
        <f t="shared" si="69"/>
        <v>0.89785535062248822</v>
      </c>
      <c r="BO305" s="76">
        <f>0.0526*BI305*Observaciones!$F304^1.218</f>
        <v>0</v>
      </c>
      <c r="BP305" s="76">
        <f>BO305*Constantes!$F$51</f>
        <v>0</v>
      </c>
      <c r="BQ305" s="76">
        <f t="shared" si="70"/>
        <v>0</v>
      </c>
      <c r="BR305" s="40"/>
    </row>
    <row r="306" spans="2:70">
      <c r="B306" s="39"/>
      <c r="C306" s="75">
        <v>300</v>
      </c>
      <c r="D306" s="146">
        <f>ETo!$I305*((1-Constantes!$F$19)*ETo!$K305+ETo!$L305)</f>
        <v>4.4851360754987963</v>
      </c>
      <c r="E306" s="76">
        <f>MIN(D306*Constantes!$F$17,0.8*(N305+Observaciones!$F305-F306-M306-Constantes!$D$14))</f>
        <v>2.5579258383334569</v>
      </c>
      <c r="F306" s="76">
        <f>IF(Observaciones!$F305&gt;0.05*Constantes!$F$18,((Observaciones!$F305-0.05*Constantes!$F$18)^2)/(Observaciones!$F305+0.95*Constantes!$F$18),0)</f>
        <v>0</v>
      </c>
      <c r="G306" s="76">
        <f>IF(Escenarios!$F$11&gt;0,(F306*Escenarios!$F$16*10000)/1000,0)</f>
        <v>0</v>
      </c>
      <c r="H306" s="76">
        <f>IF(Escenarios!$F$11&gt;0,(Observaciones!$F305*Constantes!$F$29)/1000,0)</f>
        <v>0</v>
      </c>
      <c r="I306" s="76">
        <f>IF(Escenarios!$F$11&gt;0,(D306*Constantes!$F$29)/1000,0)</f>
        <v>0</v>
      </c>
      <c r="J306" s="76">
        <f>IF(Escenarios!$F$11&gt;0,MAX(0,G306+H306-I306),0)</f>
        <v>0</v>
      </c>
      <c r="K306" s="76">
        <f>IF(Escenarios!$F$11&gt;0,IF(J306&gt;Constantes!$F$30,1000*((J306-Constantes!$F$30)/(Escenarios!$F$16*10000)),0),F306)</f>
        <v>0</v>
      </c>
      <c r="L306" s="76">
        <f>IF(Escenarios!$F$11&gt;0,I306*1000/Escenarios!$F$16/10000+E306,E306)</f>
        <v>2.5579258383334569</v>
      </c>
      <c r="M306" s="76">
        <f>MAX(0,N305+Observaciones!$F305-K306-Constantes!$D$13)</f>
        <v>0</v>
      </c>
      <c r="N306" s="76">
        <f>N305+Observaciones!$F305-K306-L306-M306-O305</f>
        <v>32.890588756157882</v>
      </c>
      <c r="O306" s="76">
        <f>MAX(0,(N306-Constantes!$D$14)*(1-EXP(-Constantes!$D$22)))</f>
        <v>0.73715789726244685</v>
      </c>
      <c r="P306" s="170">
        <f>P305+(Entradas!$F$83*M306-Q305)/(800*Entradas!$D$25)</f>
        <v>0</v>
      </c>
      <c r="Q306" s="170">
        <f>8000*Entradas!$D$26*P306/Constantes!$F$45</f>
        <v>0</v>
      </c>
      <c r="R306" s="170">
        <f>IF(Escenarios!$F$14&gt;0,K306*Escenarios!$F$13/Escenarios!$F$14,0)</f>
        <v>0</v>
      </c>
      <c r="S306" s="170">
        <f>IF(Escenarios!$F$14&gt;0,Q306*Escenarios!$F$13/Escenarios!$F$14,0)</f>
        <v>0</v>
      </c>
      <c r="T306" s="170">
        <f>IF(Escenarios!$F$14&gt;0,Observaciones!$I305,0)</f>
        <v>0</v>
      </c>
      <c r="U306" s="170">
        <f>IF(Escenarios!$F$14&gt;0,MAX(0,Constantes!$F$36/((Z305+R306+S306+T306+Observaciones!$F305)^2)+Entradas!$F$77),0)</f>
        <v>0</v>
      </c>
      <c r="V306" s="146">
        <f>IF(ETo!D305&gt;0,ETo!I305*((1-Entradas!$F$81)*ETo!K305+ETo!L305),0)</f>
        <v>3.9854465309424061</v>
      </c>
      <c r="W306" s="170">
        <f>IF(Escenarios!$F$14&gt;0,MIN(V306*1,0.8*(Z305+R306+S306+T306+Observaciones!$F305-U306-Constantes!$F$35)),0)</f>
        <v>3.9854465309424061</v>
      </c>
      <c r="X306" s="170">
        <f>IF(Escenarios!$F$14&gt;0,Observaciones!$J305,0)</f>
        <v>0</v>
      </c>
      <c r="Y306" s="170">
        <f>IF(Escenarios!$F$14&gt;0,MAX(0,Z305+R306+S306+T306+Observaciones!$F305-U306-W306-X306-Constantes!$F$33),0)</f>
        <v>0</v>
      </c>
      <c r="Z306" s="170">
        <f>Z305+R306+S306+T306+Observaciones!$F305-U306-W306-Y306</f>
        <v>49.787249522814641</v>
      </c>
      <c r="AA306" s="170">
        <f>IF(Escenarios!$F$14&gt;0,(Escenarios!$F$13*L306+Escenarios!$F$14*W306)/(Escenarios!$F$16),L306)</f>
        <v>2.7292283214465307</v>
      </c>
      <c r="AB306" s="170">
        <f>IF(Escenarios!$F$14&gt;0,(Escenarios!$F$14*Y306)/(Escenarios!$F$16),K306)</f>
        <v>0</v>
      </c>
      <c r="AC306" s="170">
        <f>IF(Escenarios!$F$14&gt;0,(Escenarios!$F$13*M306+Escenarios!$F$14*U306)/(Escenarios!$F$16),M306)</f>
        <v>0</v>
      </c>
      <c r="AD306" s="76">
        <f t="shared" si="57"/>
        <v>63.68592124882003</v>
      </c>
      <c r="AE306" s="76">
        <f>MAX(0,(AD306-Constantes!$D$13)*(1-EXP(-Constantes!$D$23)))</f>
        <v>0.14716718952390451</v>
      </c>
      <c r="AF306" s="76">
        <f>AB306+O306*Escenarios!$F$13/Escenarios!$F$16+AE306</f>
        <v>0.79586613911485771</v>
      </c>
      <c r="AG306" s="76">
        <f>IF(Entradas!$F$91&gt;0,IF(AF306-Escenarios!$F$38&lt;=0,0,IF(AF306-Escenarios!$F$38&gt;Escenarios!$F$37,Escenarios!$F$37,AF306-Escenarios!$F$38)),0)</f>
        <v>0</v>
      </c>
      <c r="AH306" s="76">
        <f>AG306*Entradas!$F$99</f>
        <v>0</v>
      </c>
      <c r="AI306" s="76">
        <f>IF(Entradas!$F$91&gt;0,D306*Entradas!$D$23/Escenarios!$F$16,0)</f>
        <v>0.21528653162394221</v>
      </c>
      <c r="AJ306" s="76">
        <f>IF(Entradas!$F$91&gt;0,Entradas!$D$24*Entradas!$D$22/Escenarios!$F$16,0)</f>
        <v>0.12</v>
      </c>
      <c r="AK306" s="76">
        <f t="shared" si="58"/>
        <v>2.9445148530704728</v>
      </c>
      <c r="AL306" s="76">
        <f t="shared" si="59"/>
        <v>0</v>
      </c>
      <c r="AM306" s="76">
        <f t="shared" si="60"/>
        <v>0</v>
      </c>
      <c r="AN306" s="76">
        <f>MAX(0,O306*Escenarios!$F$13/Escenarios!$F$16-AM306)</f>
        <v>0.6486989495909532</v>
      </c>
      <c r="AO306" s="76">
        <f>AM306+AN306-O306*Escenarios!$F$13/Escenarios!$F$16</f>
        <v>0</v>
      </c>
      <c r="AP306" s="76">
        <f t="shared" si="61"/>
        <v>0.14716718952390451</v>
      </c>
      <c r="AQ306" s="76">
        <f t="shared" si="62"/>
        <v>0</v>
      </c>
      <c r="AR306" s="76">
        <f t="shared" si="63"/>
        <v>0.79586613911485771</v>
      </c>
      <c r="AS306" s="76">
        <f t="shared" si="64"/>
        <v>0</v>
      </c>
      <c r="AT306" s="76">
        <f t="shared" si="65"/>
        <v>0</v>
      </c>
      <c r="AU306" s="76">
        <f t="shared" si="66"/>
        <v>49.238186186284096</v>
      </c>
      <c r="AV306" s="76">
        <f>MAX(0,(AU306-Constantes!$D$13)*(1-EXP(-Constantes!$D$24)))</f>
        <v>7.4620464713501949E-3</v>
      </c>
      <c r="AW306" s="170">
        <f>AW305+(Entradas!$F$112*AT306-AX305)/(800*Entradas!$D$25)</f>
        <v>0</v>
      </c>
      <c r="AX306" s="170">
        <f>8000*Entradas!$D$26*AW306/Constantes!$F$45</f>
        <v>0</v>
      </c>
      <c r="AY306" s="170">
        <f>IF(Escenarios!$F$17&gt;0,10*Escenarios!$F$16*AL306,0)</f>
        <v>0</v>
      </c>
      <c r="AZ306" s="170">
        <f>IF(Escenarios!$F$17&gt;0,10*Escenarios!$F$16*AX306,0)</f>
        <v>0</v>
      </c>
      <c r="BA306" s="170">
        <f>IF(Escenarios!$F$17&gt;0,0.001*Observaciones!$F305*Escenarios!$F$17,0)</f>
        <v>0</v>
      </c>
      <c r="BB306" s="170">
        <f>IF(Escenarios!$F$17&gt;0,Observaciones!$K305,0)</f>
        <v>0</v>
      </c>
      <c r="BC306" s="170">
        <f>IF(Escenarios!$F$17&gt;0,MIN(0.0005*ETo!$M305*Escenarios!$F$17*(BG305/Constantes!$F$40)^(2/3),BG305+AY306+AZ306+BA306+BB306),0)</f>
        <v>0</v>
      </c>
      <c r="BD306" s="170">
        <f>IF(Escenarios!$F$17&gt;0,MIN(Constantes!$F$39*(BG305/Constantes!$F$40)^(2/3),BG305+AY306+AZ306+BA306+BB306-BC306),0)</f>
        <v>0</v>
      </c>
      <c r="BE306" s="170">
        <f>IF(Escenarios!$F$17&gt;0,MIN(Entradas!$F$113,BG305+AY306+AZ306+BA306+BB306-BC306-BD306),0)</f>
        <v>0</v>
      </c>
      <c r="BF306" s="170">
        <f>IF(Escenarios!$F$17&gt;0,MAX(0,BG305+AY306+AZ306+BA306+BB306-BC306-BD306-BE306-Constantes!$F$40),0)</f>
        <v>0</v>
      </c>
      <c r="BG306" s="170">
        <f t="shared" si="67"/>
        <v>0</v>
      </c>
      <c r="BH306" s="170">
        <f>(Escenarios!$F$16*AK306+0.1*BC306)/(Escenarios!$F$19)</f>
        <v>2.9445148530704728</v>
      </c>
      <c r="BI306" s="170">
        <f>IF(Escenarios!$F$17&gt;0,BF306/10/Escenarios!$F$19,AL306)</f>
        <v>0</v>
      </c>
      <c r="BJ306" s="170">
        <f>(Escenarios!$F$16*AT306+0.1*BD306)/(Escenarios!$F$19)</f>
        <v>0</v>
      </c>
      <c r="BK306" s="76">
        <f>BK305+(0.1*BD306)/(Escenarios!$F$19)-BL305</f>
        <v>48.75</v>
      </c>
      <c r="BL306" s="76">
        <f>MAX(0,(BK306-Constantes!$D$13)*(1-EXP(-Constantes!$D$23)))</f>
        <v>0</v>
      </c>
      <c r="BM306" s="76">
        <f t="shared" si="68"/>
        <v>0.15462923599525469</v>
      </c>
      <c r="BN306" s="76">
        <f t="shared" si="69"/>
        <v>0.80332818558620789</v>
      </c>
      <c r="BO306" s="76">
        <f>0.0526*BI306*Observaciones!$F305^1.218</f>
        <v>0</v>
      </c>
      <c r="BP306" s="76">
        <f>BO306*Constantes!$F$51</f>
        <v>0</v>
      </c>
      <c r="BQ306" s="76">
        <f t="shared" si="70"/>
        <v>0</v>
      </c>
      <c r="BR306" s="40"/>
    </row>
    <row r="307" spans="2:70">
      <c r="B307" s="39"/>
      <c r="C307" s="75">
        <v>301</v>
      </c>
      <c r="D307" s="146">
        <f>ETo!$I306*((1-Constantes!$F$19)*ETo!$K306+ETo!$L306)</f>
        <v>4.6185637790714846</v>
      </c>
      <c r="E307" s="76">
        <f>MIN(D307*Constantes!$F$17,0.8*(N306+Observaciones!$F306-F307-M307-Constantes!$D$14))</f>
        <v>2.6340212264717353</v>
      </c>
      <c r="F307" s="76">
        <f>IF(Observaciones!$F306&gt;0.05*Constantes!$F$18,((Observaciones!$F306-0.05*Constantes!$F$18)^2)/(Observaciones!$F306+0.95*Constantes!$F$18),0)</f>
        <v>0</v>
      </c>
      <c r="G307" s="76">
        <f>IF(Escenarios!$F$11&gt;0,(F307*Escenarios!$F$16*10000)/1000,0)</f>
        <v>0</v>
      </c>
      <c r="H307" s="76">
        <f>IF(Escenarios!$F$11&gt;0,(Observaciones!$F306*Constantes!$F$29)/1000,0)</f>
        <v>0</v>
      </c>
      <c r="I307" s="76">
        <f>IF(Escenarios!$F$11&gt;0,(D307*Constantes!$F$29)/1000,0)</f>
        <v>0</v>
      </c>
      <c r="J307" s="76">
        <f>IF(Escenarios!$F$11&gt;0,MAX(0,G307+H307-I307),0)</f>
        <v>0</v>
      </c>
      <c r="K307" s="76">
        <f>IF(Escenarios!$F$11&gt;0,IF(J307&gt;Constantes!$F$30,1000*((J307-Constantes!$F$30)/(Escenarios!$F$16*10000)),0),F307)</f>
        <v>0</v>
      </c>
      <c r="L307" s="76">
        <f>IF(Escenarios!$F$11&gt;0,I307*1000/Escenarios!$F$16/10000+E307,E307)</f>
        <v>2.6340212264717353</v>
      </c>
      <c r="M307" s="76">
        <f>MAX(0,N306+Observaciones!$F306-K307-Constantes!$D$13)</f>
        <v>0</v>
      </c>
      <c r="N307" s="76">
        <f>N306+Observaciones!$F306-K307-L307-M307-O306</f>
        <v>30.919409632423701</v>
      </c>
      <c r="O307" s="76">
        <f>MAX(0,(N307-Constantes!$D$14)*(1-EXP(-Constantes!$D$22)))</f>
        <v>0.67001229996135458</v>
      </c>
      <c r="P307" s="170">
        <f>P306+(Entradas!$F$83*M307-Q306)/(800*Entradas!$D$25)</f>
        <v>0</v>
      </c>
      <c r="Q307" s="170">
        <f>8000*Entradas!$D$26*P307/Constantes!$F$45</f>
        <v>0</v>
      </c>
      <c r="R307" s="170">
        <f>IF(Escenarios!$F$14&gt;0,K307*Escenarios!$F$13/Escenarios!$F$14,0)</f>
        <v>0</v>
      </c>
      <c r="S307" s="170">
        <f>IF(Escenarios!$F$14&gt;0,Q307*Escenarios!$F$13/Escenarios!$F$14,0)</f>
        <v>0</v>
      </c>
      <c r="T307" s="170">
        <f>IF(Escenarios!$F$14&gt;0,Observaciones!$I306,0)</f>
        <v>0</v>
      </c>
      <c r="U307" s="170">
        <f>IF(Escenarios!$F$14&gt;0,MAX(0,Constantes!$F$36/((Z306+R307+S307+T307+Observaciones!$F306)^2)+Entradas!$F$77),0)</f>
        <v>0</v>
      </c>
      <c r="V307" s="146">
        <f>IF(ETo!D306&gt;0,ETo!I306*((1-Entradas!$F$81)*ETo!K306+ETo!L306),0)</f>
        <v>4.1063529117969786</v>
      </c>
      <c r="W307" s="170">
        <f>IF(Escenarios!$F$14&gt;0,MIN(V307*1,0.8*(Z306+R307+S307+T307+Observaciones!$F306-U307-Constantes!$F$35)),0)</f>
        <v>4.1063529117969786</v>
      </c>
      <c r="X307" s="170">
        <f>IF(Escenarios!$F$14&gt;0,Observaciones!$J306,0)</f>
        <v>0</v>
      </c>
      <c r="Y307" s="170">
        <f>IF(Escenarios!$F$14&gt;0,MAX(0,Z306+R307+S307+T307+Observaciones!$F306-U307-W307-X307-Constantes!$F$33),0)</f>
        <v>0</v>
      </c>
      <c r="Z307" s="170">
        <f>Z306+R307+S307+T307+Observaciones!$F306-U307-W307-Y307</f>
        <v>47.080896611017664</v>
      </c>
      <c r="AA307" s="170">
        <f>IF(Escenarios!$F$14&gt;0,(Escenarios!$F$13*L307+Escenarios!$F$14*W307)/(Escenarios!$F$16),L307)</f>
        <v>2.8107010287107648</v>
      </c>
      <c r="AB307" s="170">
        <f>IF(Escenarios!$F$14&gt;0,(Escenarios!$F$14*Y307)/(Escenarios!$F$16),K307)</f>
        <v>0</v>
      </c>
      <c r="AC307" s="170">
        <f>IF(Escenarios!$F$14&gt;0,(Escenarios!$F$13*M307+Escenarios!$F$14*U307)/(Escenarios!$F$16),M307)</f>
        <v>0</v>
      </c>
      <c r="AD307" s="76">
        <f t="shared" si="57"/>
        <v>63.538754059296124</v>
      </c>
      <c r="AE307" s="76">
        <f>MAX(0,(AD307-Constantes!$D$13)*(1-EXP(-Constantes!$D$23)))</f>
        <v>0.14571711615303184</v>
      </c>
      <c r="AF307" s="76">
        <f>AB307+O307*Escenarios!$F$13/Escenarios!$F$16+AE307</f>
        <v>0.73532794011902392</v>
      </c>
      <c r="AG307" s="76">
        <f>IF(Entradas!$F$91&gt;0,IF(AF307-Escenarios!$F$38&lt;=0,0,IF(AF307-Escenarios!$F$38&gt;Escenarios!$F$37,Escenarios!$F$37,AF307-Escenarios!$F$38)),0)</f>
        <v>0</v>
      </c>
      <c r="AH307" s="76">
        <f>AG307*Entradas!$F$99</f>
        <v>0</v>
      </c>
      <c r="AI307" s="76">
        <f>IF(Entradas!$F$91&gt;0,D307*Entradas!$D$23/Escenarios!$F$16,0)</f>
        <v>0.22169106139543127</v>
      </c>
      <c r="AJ307" s="76">
        <f>IF(Entradas!$F$91&gt;0,Entradas!$D$24*Entradas!$D$22/Escenarios!$F$16,0)</f>
        <v>0.12</v>
      </c>
      <c r="AK307" s="76">
        <f t="shared" si="58"/>
        <v>3.032392090106196</v>
      </c>
      <c r="AL307" s="76">
        <f t="shared" si="59"/>
        <v>0</v>
      </c>
      <c r="AM307" s="76">
        <f t="shared" si="60"/>
        <v>0</v>
      </c>
      <c r="AN307" s="76">
        <f>MAX(0,O307*Escenarios!$F$13/Escenarios!$F$16-AM307)</f>
        <v>0.58961082396599207</v>
      </c>
      <c r="AO307" s="76">
        <f>AM307+AN307-O307*Escenarios!$F$13/Escenarios!$F$16</f>
        <v>0</v>
      </c>
      <c r="AP307" s="76">
        <f t="shared" si="61"/>
        <v>0.14571711615303184</v>
      </c>
      <c r="AQ307" s="76">
        <f t="shared" si="62"/>
        <v>0</v>
      </c>
      <c r="AR307" s="76">
        <f t="shared" si="63"/>
        <v>0.73532794011902392</v>
      </c>
      <c r="AS307" s="76">
        <f t="shared" si="64"/>
        <v>0</v>
      </c>
      <c r="AT307" s="76">
        <f t="shared" si="65"/>
        <v>0</v>
      </c>
      <c r="AU307" s="76">
        <f t="shared" si="66"/>
        <v>49.230724139812743</v>
      </c>
      <c r="AV307" s="76">
        <f>MAX(0,(AU307-Constantes!$D$13)*(1-EXP(-Constantes!$D$24)))</f>
        <v>7.3479872474208046E-3</v>
      </c>
      <c r="AW307" s="170">
        <f>AW306+(Entradas!$F$112*AT307-AX306)/(800*Entradas!$D$25)</f>
        <v>0</v>
      </c>
      <c r="AX307" s="170">
        <f>8000*Entradas!$D$26*AW307/Constantes!$F$45</f>
        <v>0</v>
      </c>
      <c r="AY307" s="170">
        <f>IF(Escenarios!$F$17&gt;0,10*Escenarios!$F$16*AL307,0)</f>
        <v>0</v>
      </c>
      <c r="AZ307" s="170">
        <f>IF(Escenarios!$F$17&gt;0,10*Escenarios!$F$16*AX307,0)</f>
        <v>0</v>
      </c>
      <c r="BA307" s="170">
        <f>IF(Escenarios!$F$17&gt;0,0.001*Observaciones!$F306*Escenarios!$F$17,0)</f>
        <v>0</v>
      </c>
      <c r="BB307" s="170">
        <f>IF(Escenarios!$F$17&gt;0,Observaciones!$K306,0)</f>
        <v>0</v>
      </c>
      <c r="BC307" s="170">
        <f>IF(Escenarios!$F$17&gt;0,MIN(0.0005*ETo!$M306*Escenarios!$F$17*(BG306/Constantes!$F$40)^(2/3),BG306+AY307+AZ307+BA307+BB307),0)</f>
        <v>0</v>
      </c>
      <c r="BD307" s="170">
        <f>IF(Escenarios!$F$17&gt;0,MIN(Constantes!$F$39*(BG306/Constantes!$F$40)^(2/3),BG306+AY307+AZ307+BA307+BB307-BC307),0)</f>
        <v>0</v>
      </c>
      <c r="BE307" s="170">
        <f>IF(Escenarios!$F$17&gt;0,MIN(Entradas!$F$113,BG306+AY307+AZ307+BA307+BB307-BC307-BD307),0)</f>
        <v>0</v>
      </c>
      <c r="BF307" s="170">
        <f>IF(Escenarios!$F$17&gt;0,MAX(0,BG306+AY307+AZ307+BA307+BB307-BC307-BD307-BE307-Constantes!$F$40),0)</f>
        <v>0</v>
      </c>
      <c r="BG307" s="170">
        <f t="shared" si="67"/>
        <v>0</v>
      </c>
      <c r="BH307" s="170">
        <f>(Escenarios!$F$16*AK307+0.1*BC307)/(Escenarios!$F$19)</f>
        <v>3.032392090106196</v>
      </c>
      <c r="BI307" s="170">
        <f>IF(Escenarios!$F$17&gt;0,BF307/10/Escenarios!$F$19,AL307)</f>
        <v>0</v>
      </c>
      <c r="BJ307" s="170">
        <f>(Escenarios!$F$16*AT307+0.1*BD307)/(Escenarios!$F$19)</f>
        <v>0</v>
      </c>
      <c r="BK307" s="76">
        <f>BK306+(0.1*BD307)/(Escenarios!$F$19)-BL306</f>
        <v>48.75</v>
      </c>
      <c r="BL307" s="76">
        <f>MAX(0,(BK307-Constantes!$D$13)*(1-EXP(-Constantes!$D$23)))</f>
        <v>0</v>
      </c>
      <c r="BM307" s="76">
        <f t="shared" si="68"/>
        <v>0.15306510340045265</v>
      </c>
      <c r="BN307" s="76">
        <f t="shared" si="69"/>
        <v>0.74267592736644472</v>
      </c>
      <c r="BO307" s="76">
        <f>0.0526*BI307*Observaciones!$F306^1.218</f>
        <v>0</v>
      </c>
      <c r="BP307" s="76">
        <f>BO307*Constantes!$F$51</f>
        <v>0</v>
      </c>
      <c r="BQ307" s="76">
        <f t="shared" si="70"/>
        <v>0</v>
      </c>
      <c r="BR307" s="40"/>
    </row>
    <row r="308" spans="2:70">
      <c r="B308" s="39"/>
      <c r="C308" s="75">
        <v>302</v>
      </c>
      <c r="D308" s="146">
        <f>ETo!$I307*((1-Constantes!$F$19)*ETo!$K307+ETo!$L307)</f>
        <v>4.6095324245139375</v>
      </c>
      <c r="E308" s="76">
        <f>MIN(D308*Constantes!$F$17,0.8*(N307+Observaciones!$F307-F308-M308-Constantes!$D$14))</f>
        <v>2.6288705387804301</v>
      </c>
      <c r="F308" s="76">
        <f>IF(Observaciones!$F307&gt;0.05*Constantes!$F$18,((Observaciones!$F307-0.05*Constantes!$F$18)^2)/(Observaciones!$F307+0.95*Constantes!$F$18),0)</f>
        <v>0</v>
      </c>
      <c r="G308" s="76">
        <f>IF(Escenarios!$F$11&gt;0,(F308*Escenarios!$F$16*10000)/1000,0)</f>
        <v>0</v>
      </c>
      <c r="H308" s="76">
        <f>IF(Escenarios!$F$11&gt;0,(Observaciones!$F307*Constantes!$F$29)/1000,0)</f>
        <v>0</v>
      </c>
      <c r="I308" s="76">
        <f>IF(Escenarios!$F$11&gt;0,(D308*Constantes!$F$29)/1000,0)</f>
        <v>0</v>
      </c>
      <c r="J308" s="76">
        <f>IF(Escenarios!$F$11&gt;0,MAX(0,G308+H308-I308),0)</f>
        <v>0</v>
      </c>
      <c r="K308" s="76">
        <f>IF(Escenarios!$F$11&gt;0,IF(J308&gt;Constantes!$F$30,1000*((J308-Constantes!$F$30)/(Escenarios!$F$16*10000)),0),F308)</f>
        <v>0</v>
      </c>
      <c r="L308" s="76">
        <f>IF(Escenarios!$F$11&gt;0,I308*1000/Escenarios!$F$16/10000+E308,E308)</f>
        <v>2.6288705387804301</v>
      </c>
      <c r="M308" s="76">
        <f>MAX(0,N307+Observaciones!$F307-K308-Constantes!$D$13)</f>
        <v>0</v>
      </c>
      <c r="N308" s="76">
        <f>N307+Observaciones!$F307-K308-L308-M308-O307</f>
        <v>27.620526793681918</v>
      </c>
      <c r="O308" s="76">
        <f>MAX(0,(N308-Constantes!$D$14)*(1-EXP(-Constantes!$D$22)))</f>
        <v>0.55764024002698287</v>
      </c>
      <c r="P308" s="170">
        <f>P307+(Entradas!$F$83*M308-Q307)/(800*Entradas!$D$25)</f>
        <v>0</v>
      </c>
      <c r="Q308" s="170">
        <f>8000*Entradas!$D$26*P308/Constantes!$F$45</f>
        <v>0</v>
      </c>
      <c r="R308" s="170">
        <f>IF(Escenarios!$F$14&gt;0,K308*Escenarios!$F$13/Escenarios!$F$14,0)</f>
        <v>0</v>
      </c>
      <c r="S308" s="170">
        <f>IF(Escenarios!$F$14&gt;0,Q308*Escenarios!$F$13/Escenarios!$F$14,0)</f>
        <v>0</v>
      </c>
      <c r="T308" s="170">
        <f>IF(Escenarios!$F$14&gt;0,Observaciones!$I307,0)</f>
        <v>0</v>
      </c>
      <c r="U308" s="170">
        <f>IF(Escenarios!$F$14&gt;0,MAX(0,Constantes!$F$36/((Z307+R308+S308+T308+Observaciones!$F307)^2)+Entradas!$F$77),0)</f>
        <v>0</v>
      </c>
      <c r="V308" s="146">
        <f>IF(ETo!D307&gt;0,ETo!I307*((1-Entradas!$F$81)*ETo!K307+ETo!L307),0)</f>
        <v>4.0982044950645147</v>
      </c>
      <c r="W308" s="170">
        <f>IF(Escenarios!$F$14&gt;0,MIN(V308*1,0.8*(Z307+R308+S308+T308+Observaciones!$F307-U308-Constantes!$F$35)),0)</f>
        <v>4.0982044950645147</v>
      </c>
      <c r="X308" s="170">
        <f>IF(Escenarios!$F$14&gt;0,Observaciones!$J307,0)</f>
        <v>0</v>
      </c>
      <c r="Y308" s="170">
        <f>IF(Escenarios!$F$14&gt;0,MAX(0,Z307+R308+S308+T308+Observaciones!$F307-U308-W308-X308-Constantes!$F$33),0)</f>
        <v>0</v>
      </c>
      <c r="Z308" s="170">
        <f>Z307+R308+S308+T308+Observaciones!$F307-U308-W308-Y308</f>
        <v>42.982692115953149</v>
      </c>
      <c r="AA308" s="170">
        <f>IF(Escenarios!$F$14&gt;0,(Escenarios!$F$13*L308+Escenarios!$F$14*W308)/(Escenarios!$F$16),L308)</f>
        <v>2.8051906135345201</v>
      </c>
      <c r="AB308" s="170">
        <f>IF(Escenarios!$F$14&gt;0,(Escenarios!$F$14*Y308)/(Escenarios!$F$16),K308)</f>
        <v>0</v>
      </c>
      <c r="AC308" s="170">
        <f>IF(Escenarios!$F$14&gt;0,(Escenarios!$F$13*M308+Escenarios!$F$14*U308)/(Escenarios!$F$16),M308)</f>
        <v>0</v>
      </c>
      <c r="AD308" s="76">
        <f t="shared" si="57"/>
        <v>63.393036943143095</v>
      </c>
      <c r="AE308" s="76">
        <f>MAX(0,(AD308-Constantes!$D$13)*(1-EXP(-Constantes!$D$23)))</f>
        <v>0.14428133070046301</v>
      </c>
      <c r="AF308" s="76">
        <f>AB308+O308*Escenarios!$F$13/Escenarios!$F$16+AE308</f>
        <v>0.63500474192420797</v>
      </c>
      <c r="AG308" s="76">
        <f>IF(Entradas!$F$91&gt;0,IF(AF308-Escenarios!$F$38&lt;=0,0,IF(AF308-Escenarios!$F$38&gt;Escenarios!$F$37,Escenarios!$F$37,AF308-Escenarios!$F$38)),0)</f>
        <v>0</v>
      </c>
      <c r="AH308" s="76">
        <f>AG308*Entradas!$F$99</f>
        <v>0</v>
      </c>
      <c r="AI308" s="76">
        <f>IF(Entradas!$F$91&gt;0,D308*Entradas!$D$23/Escenarios!$F$16,0)</f>
        <v>0.22125755637666902</v>
      </c>
      <c r="AJ308" s="76">
        <f>IF(Entradas!$F$91&gt;0,Entradas!$D$24*Entradas!$D$22/Escenarios!$F$16,0)</f>
        <v>0.12</v>
      </c>
      <c r="AK308" s="76">
        <f t="shared" si="58"/>
        <v>3.0264481699111894</v>
      </c>
      <c r="AL308" s="76">
        <f t="shared" si="59"/>
        <v>0</v>
      </c>
      <c r="AM308" s="76">
        <f t="shared" si="60"/>
        <v>0</v>
      </c>
      <c r="AN308" s="76">
        <f>MAX(0,O308*Escenarios!$F$13/Escenarios!$F$16-AM308)</f>
        <v>0.49072341122374491</v>
      </c>
      <c r="AO308" s="76">
        <f>AM308+AN308-O308*Escenarios!$F$13/Escenarios!$F$16</f>
        <v>0</v>
      </c>
      <c r="AP308" s="76">
        <f t="shared" si="61"/>
        <v>0.14428133070046301</v>
      </c>
      <c r="AQ308" s="76">
        <f t="shared" si="62"/>
        <v>0</v>
      </c>
      <c r="AR308" s="76">
        <f t="shared" si="63"/>
        <v>0.63500474192420797</v>
      </c>
      <c r="AS308" s="76">
        <f t="shared" si="64"/>
        <v>0</v>
      </c>
      <c r="AT308" s="76">
        <f t="shared" si="65"/>
        <v>0</v>
      </c>
      <c r="AU308" s="76">
        <f t="shared" si="66"/>
        <v>49.223376152565322</v>
      </c>
      <c r="AV308" s="76">
        <f>MAX(0,(AU308-Constantes!$D$13)*(1-EXP(-Constantes!$D$24)))</f>
        <v>7.2356714469093272E-3</v>
      </c>
      <c r="AW308" s="170">
        <f>AW307+(Entradas!$F$112*AT308-AX307)/(800*Entradas!$D$25)</f>
        <v>0</v>
      </c>
      <c r="AX308" s="170">
        <f>8000*Entradas!$D$26*AW308/Constantes!$F$45</f>
        <v>0</v>
      </c>
      <c r="AY308" s="170">
        <f>IF(Escenarios!$F$17&gt;0,10*Escenarios!$F$16*AL308,0)</f>
        <v>0</v>
      </c>
      <c r="AZ308" s="170">
        <f>IF(Escenarios!$F$17&gt;0,10*Escenarios!$F$16*AX308,0)</f>
        <v>0</v>
      </c>
      <c r="BA308" s="170">
        <f>IF(Escenarios!$F$17&gt;0,0.001*Observaciones!$F307*Escenarios!$F$17,0)</f>
        <v>0</v>
      </c>
      <c r="BB308" s="170">
        <f>IF(Escenarios!$F$17&gt;0,Observaciones!$K307,0)</f>
        <v>0</v>
      </c>
      <c r="BC308" s="170">
        <f>IF(Escenarios!$F$17&gt;0,MIN(0.0005*ETo!$M307*Escenarios!$F$17*(BG307/Constantes!$F$40)^(2/3),BG307+AY308+AZ308+BA308+BB308),0)</f>
        <v>0</v>
      </c>
      <c r="BD308" s="170">
        <f>IF(Escenarios!$F$17&gt;0,MIN(Constantes!$F$39*(BG307/Constantes!$F$40)^(2/3),BG307+AY308+AZ308+BA308+BB308-BC308),0)</f>
        <v>0</v>
      </c>
      <c r="BE308" s="170">
        <f>IF(Escenarios!$F$17&gt;0,MIN(Entradas!$F$113,BG307+AY308+AZ308+BA308+BB308-BC308-BD308),0)</f>
        <v>0</v>
      </c>
      <c r="BF308" s="170">
        <f>IF(Escenarios!$F$17&gt;0,MAX(0,BG307+AY308+AZ308+BA308+BB308-BC308-BD308-BE308-Constantes!$F$40),0)</f>
        <v>0</v>
      </c>
      <c r="BG308" s="170">
        <f t="shared" si="67"/>
        <v>0</v>
      </c>
      <c r="BH308" s="170">
        <f>(Escenarios!$F$16*AK308+0.1*BC308)/(Escenarios!$F$19)</f>
        <v>3.0264481699111894</v>
      </c>
      <c r="BI308" s="170">
        <f>IF(Escenarios!$F$17&gt;0,BF308/10/Escenarios!$F$19,AL308)</f>
        <v>0</v>
      </c>
      <c r="BJ308" s="170">
        <f>(Escenarios!$F$16*AT308+0.1*BD308)/(Escenarios!$F$19)</f>
        <v>0</v>
      </c>
      <c r="BK308" s="76">
        <f>BK307+(0.1*BD308)/(Escenarios!$F$19)-BL307</f>
        <v>48.75</v>
      </c>
      <c r="BL308" s="76">
        <f>MAX(0,(BK308-Constantes!$D$13)*(1-EXP(-Constantes!$D$23)))</f>
        <v>0</v>
      </c>
      <c r="BM308" s="76">
        <f t="shared" si="68"/>
        <v>0.15151700214737232</v>
      </c>
      <c r="BN308" s="76">
        <f t="shared" si="69"/>
        <v>0.64224041337111726</v>
      </c>
      <c r="BO308" s="76">
        <f>0.0526*BI308*Observaciones!$F307^1.218</f>
        <v>0</v>
      </c>
      <c r="BP308" s="76">
        <f>BO308*Constantes!$F$51</f>
        <v>0</v>
      </c>
      <c r="BQ308" s="76">
        <f t="shared" si="70"/>
        <v>0</v>
      </c>
      <c r="BR308" s="40"/>
    </row>
    <row r="309" spans="2:70">
      <c r="B309" s="39"/>
      <c r="C309" s="75">
        <v>303</v>
      </c>
      <c r="D309" s="146">
        <f>ETo!$I308*((1-Constantes!$F$19)*ETo!$K308+ETo!$L308)</f>
        <v>4.4806646493965596</v>
      </c>
      <c r="E309" s="76">
        <f>MIN(D309*Constantes!$F$17,0.8*(N308+Observaciones!$F308-F309-M309-Constantes!$D$14))</f>
        <v>2.5553757314540713</v>
      </c>
      <c r="F309" s="76">
        <f>IF(Observaciones!$F308&gt;0.05*Constantes!$F$18,((Observaciones!$F308-0.05*Constantes!$F$18)^2)/(Observaciones!$F308+0.95*Constantes!$F$18),0)</f>
        <v>0</v>
      </c>
      <c r="G309" s="76">
        <f>IF(Escenarios!$F$11&gt;0,(F309*Escenarios!$F$16*10000)/1000,0)</f>
        <v>0</v>
      </c>
      <c r="H309" s="76">
        <f>IF(Escenarios!$F$11&gt;0,(Observaciones!$F308*Constantes!$F$29)/1000,0)</f>
        <v>0</v>
      </c>
      <c r="I309" s="76">
        <f>IF(Escenarios!$F$11&gt;0,(D309*Constantes!$F$29)/1000,0)</f>
        <v>0</v>
      </c>
      <c r="J309" s="76">
        <f>IF(Escenarios!$F$11&gt;0,MAX(0,G309+H309-I309),0)</f>
        <v>0</v>
      </c>
      <c r="K309" s="76">
        <f>IF(Escenarios!$F$11&gt;0,IF(J309&gt;Constantes!$F$30,1000*((J309-Constantes!$F$30)/(Escenarios!$F$16*10000)),0),F309)</f>
        <v>0</v>
      </c>
      <c r="L309" s="76">
        <f>IF(Escenarios!$F$11&gt;0,I309*1000/Escenarios!$F$16/10000+E309,E309)</f>
        <v>2.5553757314540713</v>
      </c>
      <c r="M309" s="76">
        <f>MAX(0,N308+Observaciones!$F308-K309-Constantes!$D$13)</f>
        <v>0</v>
      </c>
      <c r="N309" s="76">
        <f>N308+Observaciones!$F308-K309-L309-M309-O308</f>
        <v>27.007510822200864</v>
      </c>
      <c r="O309" s="76">
        <f>MAX(0,(N309-Constantes!$D$14)*(1-EXP(-Constantes!$D$22)))</f>
        <v>0.53675866561063601</v>
      </c>
      <c r="P309" s="170">
        <f>P308+(Entradas!$F$83*M309-Q308)/(800*Entradas!$D$25)</f>
        <v>0</v>
      </c>
      <c r="Q309" s="170">
        <f>8000*Entradas!$D$26*P309/Constantes!$F$45</f>
        <v>0</v>
      </c>
      <c r="R309" s="170">
        <f>IF(Escenarios!$F$14&gt;0,K309*Escenarios!$F$13/Escenarios!$F$14,0)</f>
        <v>0</v>
      </c>
      <c r="S309" s="170">
        <f>IF(Escenarios!$F$14&gt;0,Q309*Escenarios!$F$13/Escenarios!$F$14,0)</f>
        <v>0</v>
      </c>
      <c r="T309" s="170">
        <f>IF(Escenarios!$F$14&gt;0,Observaciones!$I308,0)</f>
        <v>0</v>
      </c>
      <c r="U309" s="170">
        <f>IF(Escenarios!$F$14&gt;0,MAX(0,Constantes!$F$36/((Z308+R309+S309+T309+Observaciones!$F308)^2)+Entradas!$F$77),0)</f>
        <v>0</v>
      </c>
      <c r="V309" s="146">
        <f>IF(ETo!D308&gt;0,ETo!I308*((1-Entradas!$F$81)*ETo!K308+ETo!L308),0)</f>
        <v>3.9815946778327072</v>
      </c>
      <c r="W309" s="170">
        <f>IF(Escenarios!$F$14&gt;0,MIN(V309*1,0.8*(Z308+R309+S309+T309+Observaciones!$F308-U309-Constantes!$F$35)),0)</f>
        <v>3.3861536927625195</v>
      </c>
      <c r="X309" s="170">
        <f>IF(Escenarios!$F$14&gt;0,Observaciones!$J308,0)</f>
        <v>0</v>
      </c>
      <c r="Y309" s="170">
        <f>IF(Escenarios!$F$14&gt;0,MAX(0,Z308+R309+S309+T309+Observaciones!$F308-U309-W309-X309-Constantes!$F$33),0)</f>
        <v>0</v>
      </c>
      <c r="Z309" s="170">
        <f>Z308+R309+S309+T309+Observaciones!$F308-U309-W309-Y309</f>
        <v>42.09653842319063</v>
      </c>
      <c r="AA309" s="170">
        <f>IF(Escenarios!$F$14&gt;0,(Escenarios!$F$13*L309+Escenarios!$F$14*W309)/(Escenarios!$F$16),L309)</f>
        <v>2.6550690868110851</v>
      </c>
      <c r="AB309" s="170">
        <f>IF(Escenarios!$F$14&gt;0,(Escenarios!$F$14*Y309)/(Escenarios!$F$16),K309)</f>
        <v>0</v>
      </c>
      <c r="AC309" s="170">
        <f>IF(Escenarios!$F$14&gt;0,(Escenarios!$F$13*M309+Escenarios!$F$14*U309)/(Escenarios!$F$16),M309)</f>
        <v>0</v>
      </c>
      <c r="AD309" s="76">
        <f t="shared" si="57"/>
        <v>63.248755612442629</v>
      </c>
      <c r="AE309" s="76">
        <f>MAX(0,(AD309-Constantes!$D$13)*(1-EXP(-Constantes!$D$23)))</f>
        <v>0.14285969238393573</v>
      </c>
      <c r="AF309" s="76">
        <f>AB309+O309*Escenarios!$F$13/Escenarios!$F$16+AE309</f>
        <v>0.61520731812129537</v>
      </c>
      <c r="AG309" s="76">
        <f>IF(Entradas!$F$91&gt;0,IF(AF309-Escenarios!$F$38&lt;=0,0,IF(AF309-Escenarios!$F$38&gt;Escenarios!$F$37,Escenarios!$F$37,AF309-Escenarios!$F$38)),0)</f>
        <v>0</v>
      </c>
      <c r="AH309" s="76">
        <f>AG309*Entradas!$F$99</f>
        <v>0</v>
      </c>
      <c r="AI309" s="76">
        <f>IF(Entradas!$F$91&gt;0,D309*Entradas!$D$23/Escenarios!$F$16,0)</f>
        <v>0.21507190317103489</v>
      </c>
      <c r="AJ309" s="76">
        <f>IF(Entradas!$F$91&gt;0,Entradas!$D$24*Entradas!$D$22/Escenarios!$F$16,0)</f>
        <v>0.12</v>
      </c>
      <c r="AK309" s="76">
        <f t="shared" si="58"/>
        <v>2.87014098998212</v>
      </c>
      <c r="AL309" s="76">
        <f t="shared" si="59"/>
        <v>0</v>
      </c>
      <c r="AM309" s="76">
        <f t="shared" si="60"/>
        <v>0</v>
      </c>
      <c r="AN309" s="76">
        <f>MAX(0,O309*Escenarios!$F$13/Escenarios!$F$16-AM309)</f>
        <v>0.47234762573735967</v>
      </c>
      <c r="AO309" s="76">
        <f>AM309+AN309-O309*Escenarios!$F$13/Escenarios!$F$16</f>
        <v>0</v>
      </c>
      <c r="AP309" s="76">
        <f t="shared" si="61"/>
        <v>0.14285969238393573</v>
      </c>
      <c r="AQ309" s="76">
        <f t="shared" si="62"/>
        <v>0</v>
      </c>
      <c r="AR309" s="76">
        <f t="shared" si="63"/>
        <v>0.61520731812129537</v>
      </c>
      <c r="AS309" s="76">
        <f t="shared" si="64"/>
        <v>0</v>
      </c>
      <c r="AT309" s="76">
        <f t="shared" si="65"/>
        <v>0</v>
      </c>
      <c r="AU309" s="76">
        <f t="shared" si="66"/>
        <v>49.216140481118416</v>
      </c>
      <c r="AV309" s="76">
        <f>MAX(0,(AU309-Constantes!$D$13)*(1-EXP(-Constantes!$D$24)))</f>
        <v>7.1250724211580777E-3</v>
      </c>
      <c r="AW309" s="170">
        <f>AW308+(Entradas!$F$112*AT309-AX308)/(800*Entradas!$D$25)</f>
        <v>0</v>
      </c>
      <c r="AX309" s="170">
        <f>8000*Entradas!$D$26*AW309/Constantes!$F$45</f>
        <v>0</v>
      </c>
      <c r="AY309" s="170">
        <f>IF(Escenarios!$F$17&gt;0,10*Escenarios!$F$16*AL309,0)</f>
        <v>0</v>
      </c>
      <c r="AZ309" s="170">
        <f>IF(Escenarios!$F$17&gt;0,10*Escenarios!$F$16*AX309,0)</f>
        <v>0</v>
      </c>
      <c r="BA309" s="170">
        <f>IF(Escenarios!$F$17&gt;0,0.001*Observaciones!$F308*Escenarios!$F$17,0)</f>
        <v>0</v>
      </c>
      <c r="BB309" s="170">
        <f>IF(Escenarios!$F$17&gt;0,Observaciones!$K308,0)</f>
        <v>0</v>
      </c>
      <c r="BC309" s="170">
        <f>IF(Escenarios!$F$17&gt;0,MIN(0.0005*ETo!$M308*Escenarios!$F$17*(BG308/Constantes!$F$40)^(2/3),BG308+AY309+AZ309+BA309+BB309),0)</f>
        <v>0</v>
      </c>
      <c r="BD309" s="170">
        <f>IF(Escenarios!$F$17&gt;0,MIN(Constantes!$F$39*(BG308/Constantes!$F$40)^(2/3),BG308+AY309+AZ309+BA309+BB309-BC309),0)</f>
        <v>0</v>
      </c>
      <c r="BE309" s="170">
        <f>IF(Escenarios!$F$17&gt;0,MIN(Entradas!$F$113,BG308+AY309+AZ309+BA309+BB309-BC309-BD309),0)</f>
        <v>0</v>
      </c>
      <c r="BF309" s="170">
        <f>IF(Escenarios!$F$17&gt;0,MAX(0,BG308+AY309+AZ309+BA309+BB309-BC309-BD309-BE309-Constantes!$F$40),0)</f>
        <v>0</v>
      </c>
      <c r="BG309" s="170">
        <f t="shared" si="67"/>
        <v>0</v>
      </c>
      <c r="BH309" s="170">
        <f>(Escenarios!$F$16*AK309+0.1*BC309)/(Escenarios!$F$19)</f>
        <v>2.87014098998212</v>
      </c>
      <c r="BI309" s="170">
        <f>IF(Escenarios!$F$17&gt;0,BF309/10/Escenarios!$F$19,AL309)</f>
        <v>0</v>
      </c>
      <c r="BJ309" s="170">
        <f>(Escenarios!$F$16*AT309+0.1*BD309)/(Escenarios!$F$19)</f>
        <v>0</v>
      </c>
      <c r="BK309" s="76">
        <f>BK308+(0.1*BD309)/(Escenarios!$F$19)-BL308</f>
        <v>48.75</v>
      </c>
      <c r="BL309" s="76">
        <f>MAX(0,(BK309-Constantes!$D$13)*(1-EXP(-Constantes!$D$23)))</f>
        <v>0</v>
      </c>
      <c r="BM309" s="76">
        <f t="shared" si="68"/>
        <v>0.14998476480509382</v>
      </c>
      <c r="BN309" s="76">
        <f t="shared" si="69"/>
        <v>0.62233239054245348</v>
      </c>
      <c r="BO309" s="76">
        <f>0.0526*BI309*Observaciones!$F308^1.218</f>
        <v>0</v>
      </c>
      <c r="BP309" s="76">
        <f>BO309*Constantes!$F$51</f>
        <v>0</v>
      </c>
      <c r="BQ309" s="76">
        <f t="shared" si="70"/>
        <v>0</v>
      </c>
      <c r="BR309" s="40"/>
    </row>
    <row r="310" spans="2:70">
      <c r="B310" s="39"/>
      <c r="C310" s="75">
        <v>304</v>
      </c>
      <c r="D310" s="146">
        <f>ETo!$I309*((1-Constantes!$F$19)*ETo!$K309+ETo!$L309)</f>
        <v>4.5538974533336845</v>
      </c>
      <c r="E310" s="76">
        <f>MIN(D310*Constantes!$F$17,0.8*(N309+Observaciones!$F309-F310-M310-Constantes!$D$14))</f>
        <v>2.5971412605820916</v>
      </c>
      <c r="F310" s="76">
        <f>IF(Observaciones!$F309&gt;0.05*Constantes!$F$18,((Observaciones!$F309-0.05*Constantes!$F$18)^2)/(Observaciones!$F309+0.95*Constantes!$F$18),0)</f>
        <v>0</v>
      </c>
      <c r="G310" s="76">
        <f>IF(Escenarios!$F$11&gt;0,(F310*Escenarios!$F$16*10000)/1000,0)</f>
        <v>0</v>
      </c>
      <c r="H310" s="76">
        <f>IF(Escenarios!$F$11&gt;0,(Observaciones!$F309*Constantes!$F$29)/1000,0)</f>
        <v>0</v>
      </c>
      <c r="I310" s="76">
        <f>IF(Escenarios!$F$11&gt;0,(D310*Constantes!$F$29)/1000,0)</f>
        <v>0</v>
      </c>
      <c r="J310" s="76">
        <f>IF(Escenarios!$F$11&gt;0,MAX(0,G310+H310-I310),0)</f>
        <v>0</v>
      </c>
      <c r="K310" s="76">
        <f>IF(Escenarios!$F$11&gt;0,IF(J310&gt;Constantes!$F$30,1000*((J310-Constantes!$F$30)/(Escenarios!$F$16*10000)),0),F310)</f>
        <v>0</v>
      </c>
      <c r="L310" s="76">
        <f>IF(Escenarios!$F$11&gt;0,I310*1000/Escenarios!$F$16/10000+E310,E310)</f>
        <v>2.5971412605820916</v>
      </c>
      <c r="M310" s="76">
        <f>MAX(0,N309+Observaciones!$F309-K310-Constantes!$D$13)</f>
        <v>0</v>
      </c>
      <c r="N310" s="76">
        <f>N309+Observaciones!$F309-K310-L310-M310-O309</f>
        <v>23.873610896008135</v>
      </c>
      <c r="O310" s="76">
        <f>MAX(0,(N310-Constantes!$D$14)*(1-EXP(-Constantes!$D$22)))</f>
        <v>0.43000652934235623</v>
      </c>
      <c r="P310" s="170">
        <f>P309+(Entradas!$F$83*M310-Q309)/(800*Entradas!$D$25)</f>
        <v>0</v>
      </c>
      <c r="Q310" s="170">
        <f>8000*Entradas!$D$26*P310/Constantes!$F$45</f>
        <v>0</v>
      </c>
      <c r="R310" s="170">
        <f>IF(Escenarios!$F$14&gt;0,K310*Escenarios!$F$13/Escenarios!$F$14,0)</f>
        <v>0</v>
      </c>
      <c r="S310" s="170">
        <f>IF(Escenarios!$F$14&gt;0,Q310*Escenarios!$F$13/Escenarios!$F$14,0)</f>
        <v>0</v>
      </c>
      <c r="T310" s="170">
        <f>IF(Escenarios!$F$14&gt;0,Observaciones!$I309,0)</f>
        <v>0</v>
      </c>
      <c r="U310" s="170">
        <f>IF(Escenarios!$F$14&gt;0,MAX(0,Constantes!$F$36/((Z309+R310+S310+T310+Observaciones!$F309)^2)+Entradas!$F$77),0)</f>
        <v>0</v>
      </c>
      <c r="V310" s="146">
        <f>IF(ETo!D309&gt;0,ETo!I309*((1-Entradas!$F$81)*ETo!K309+ETo!L309),0)</f>
        <v>4.0478792835999</v>
      </c>
      <c r="W310" s="170">
        <f>IF(Escenarios!$F$14&gt;0,MIN(V310*1,0.8*(Z309+R310+S310+T310+Observaciones!$F309-U310-Constantes!$F$35)),0)</f>
        <v>0.67723073855250393</v>
      </c>
      <c r="X310" s="170">
        <f>IF(Escenarios!$F$14&gt;0,Observaciones!$J309,0)</f>
        <v>0</v>
      </c>
      <c r="Y310" s="170">
        <f>IF(Escenarios!$F$14&gt;0,MAX(0,Z309+R310+S310+T310+Observaciones!$F309-U310-W310-X310-Constantes!$F$33),0)</f>
        <v>0</v>
      </c>
      <c r="Z310" s="170">
        <f>Z309+R310+S310+T310+Observaciones!$F309-U310-W310-Y310</f>
        <v>41.419307684638127</v>
      </c>
      <c r="AA310" s="170">
        <f>IF(Escenarios!$F$14&gt;0,(Escenarios!$F$13*L310+Escenarios!$F$14*W310)/(Escenarios!$F$16),L310)</f>
        <v>2.3667519979385414</v>
      </c>
      <c r="AB310" s="170">
        <f>IF(Escenarios!$F$14&gt;0,(Escenarios!$F$14*Y310)/(Escenarios!$F$16),K310)</f>
        <v>0</v>
      </c>
      <c r="AC310" s="170">
        <f>IF(Escenarios!$F$14&gt;0,(Escenarios!$F$13*M310+Escenarios!$F$14*U310)/(Escenarios!$F$16),M310)</f>
        <v>0</v>
      </c>
      <c r="AD310" s="76">
        <f t="shared" si="57"/>
        <v>63.105895920058693</v>
      </c>
      <c r="AE310" s="76">
        <f>MAX(0,(AD310-Constantes!$D$13)*(1-EXP(-Constantes!$D$23)))</f>
        <v>0.14145206180834907</v>
      </c>
      <c r="AF310" s="76">
        <f>AB310+O310*Escenarios!$F$13/Escenarios!$F$16+AE310</f>
        <v>0.51985780762962253</v>
      </c>
      <c r="AG310" s="76">
        <f>IF(Entradas!$F$91&gt;0,IF(AF310-Escenarios!$F$38&lt;=0,0,IF(AF310-Escenarios!$F$38&gt;Escenarios!$F$37,Escenarios!$F$37,AF310-Escenarios!$F$38)),0)</f>
        <v>0</v>
      </c>
      <c r="AH310" s="76">
        <f>AG310*Entradas!$F$99</f>
        <v>0</v>
      </c>
      <c r="AI310" s="76">
        <f>IF(Entradas!$F$91&gt;0,D310*Entradas!$D$23/Escenarios!$F$16,0)</f>
        <v>0.21858707776001685</v>
      </c>
      <c r="AJ310" s="76">
        <f>IF(Entradas!$F$91&gt;0,Entradas!$D$24*Entradas!$D$22/Escenarios!$F$16,0)</f>
        <v>0.12</v>
      </c>
      <c r="AK310" s="76">
        <f t="shared" si="58"/>
        <v>2.5853390756985584</v>
      </c>
      <c r="AL310" s="76">
        <f t="shared" si="59"/>
        <v>0</v>
      </c>
      <c r="AM310" s="76">
        <f t="shared" si="60"/>
        <v>0</v>
      </c>
      <c r="AN310" s="76">
        <f>MAX(0,O310*Escenarios!$F$13/Escenarios!$F$16-AM310)</f>
        <v>0.37840574582127345</v>
      </c>
      <c r="AO310" s="76">
        <f>AM310+AN310-O310*Escenarios!$F$13/Escenarios!$F$16</f>
        <v>0</v>
      </c>
      <c r="AP310" s="76">
        <f t="shared" si="61"/>
        <v>0.14145206180834907</v>
      </c>
      <c r="AQ310" s="76">
        <f t="shared" si="62"/>
        <v>0</v>
      </c>
      <c r="AR310" s="76">
        <f t="shared" si="63"/>
        <v>0.51985780762962253</v>
      </c>
      <c r="AS310" s="76">
        <f t="shared" si="64"/>
        <v>0</v>
      </c>
      <c r="AT310" s="76">
        <f t="shared" si="65"/>
        <v>0</v>
      </c>
      <c r="AU310" s="76">
        <f t="shared" si="66"/>
        <v>49.209015408697255</v>
      </c>
      <c r="AV310" s="76">
        <f>MAX(0,(AU310-Constantes!$D$13)*(1-EXP(-Constantes!$D$24)))</f>
        <v>7.0161639288405632E-3</v>
      </c>
      <c r="AW310" s="170">
        <f>AW309+(Entradas!$F$112*AT310-AX309)/(800*Entradas!$D$25)</f>
        <v>0</v>
      </c>
      <c r="AX310" s="170">
        <f>8000*Entradas!$D$26*AW310/Constantes!$F$45</f>
        <v>0</v>
      </c>
      <c r="AY310" s="170">
        <f>IF(Escenarios!$F$17&gt;0,10*Escenarios!$F$16*AL310,0)</f>
        <v>0</v>
      </c>
      <c r="AZ310" s="170">
        <f>IF(Escenarios!$F$17&gt;0,10*Escenarios!$F$16*AX310,0)</f>
        <v>0</v>
      </c>
      <c r="BA310" s="170">
        <f>IF(Escenarios!$F$17&gt;0,0.001*Observaciones!$F309*Escenarios!$F$17,0)</f>
        <v>0</v>
      </c>
      <c r="BB310" s="170">
        <f>IF(Escenarios!$F$17&gt;0,Observaciones!$K309,0)</f>
        <v>0</v>
      </c>
      <c r="BC310" s="170">
        <f>IF(Escenarios!$F$17&gt;0,MIN(0.0005*ETo!$M309*Escenarios!$F$17*(BG309/Constantes!$F$40)^(2/3),BG309+AY310+AZ310+BA310+BB310),0)</f>
        <v>0</v>
      </c>
      <c r="BD310" s="170">
        <f>IF(Escenarios!$F$17&gt;0,MIN(Constantes!$F$39*(BG309/Constantes!$F$40)^(2/3),BG309+AY310+AZ310+BA310+BB310-BC310),0)</f>
        <v>0</v>
      </c>
      <c r="BE310" s="170">
        <f>IF(Escenarios!$F$17&gt;0,MIN(Entradas!$F$113,BG309+AY310+AZ310+BA310+BB310-BC310-BD310),0)</f>
        <v>0</v>
      </c>
      <c r="BF310" s="170">
        <f>IF(Escenarios!$F$17&gt;0,MAX(0,BG309+AY310+AZ310+BA310+BB310-BC310-BD310-BE310-Constantes!$F$40),0)</f>
        <v>0</v>
      </c>
      <c r="BG310" s="170">
        <f t="shared" si="67"/>
        <v>0</v>
      </c>
      <c r="BH310" s="170">
        <f>(Escenarios!$F$16*AK310+0.1*BC310)/(Escenarios!$F$19)</f>
        <v>2.5853390756985584</v>
      </c>
      <c r="BI310" s="170">
        <f>IF(Escenarios!$F$17&gt;0,BF310/10/Escenarios!$F$19,AL310)</f>
        <v>0</v>
      </c>
      <c r="BJ310" s="170">
        <f>(Escenarios!$F$16*AT310+0.1*BD310)/(Escenarios!$F$19)</f>
        <v>0</v>
      </c>
      <c r="BK310" s="76">
        <f>BK309+(0.1*BD310)/(Escenarios!$F$19)-BL309</f>
        <v>48.75</v>
      </c>
      <c r="BL310" s="76">
        <f>MAX(0,(BK310-Constantes!$D$13)*(1-EXP(-Constantes!$D$23)))</f>
        <v>0</v>
      </c>
      <c r="BM310" s="76">
        <f t="shared" si="68"/>
        <v>0.14846822573718962</v>
      </c>
      <c r="BN310" s="76">
        <f t="shared" si="69"/>
        <v>0.52687397155846305</v>
      </c>
      <c r="BO310" s="76">
        <f>0.0526*BI310*Observaciones!$F309^1.218</f>
        <v>0</v>
      </c>
      <c r="BP310" s="76">
        <f>BO310*Constantes!$F$51</f>
        <v>0</v>
      </c>
      <c r="BQ310" s="76">
        <f t="shared" si="70"/>
        <v>0</v>
      </c>
      <c r="BR310" s="40"/>
    </row>
    <row r="311" spans="2:70">
      <c r="B311" s="39"/>
      <c r="C311" s="75">
        <v>305</v>
      </c>
      <c r="D311" s="146">
        <f>ETo!$I310*((1-Constantes!$F$19)*ETo!$K310+ETo!$L310)</f>
        <v>4.5210650481923222</v>
      </c>
      <c r="E311" s="76">
        <f>MIN(D311*Constantes!$F$17,0.8*(N310+Observaciones!$F310-F311-M311-Constantes!$D$14))</f>
        <v>2.5784165538993888</v>
      </c>
      <c r="F311" s="76">
        <f>IF(Observaciones!$F310&gt;0.05*Constantes!$F$18,((Observaciones!$F310-0.05*Constantes!$F$18)^2)/(Observaciones!$F310+0.95*Constantes!$F$18),0)</f>
        <v>0</v>
      </c>
      <c r="G311" s="76">
        <f>IF(Escenarios!$F$11&gt;0,(F311*Escenarios!$F$16*10000)/1000,0)</f>
        <v>0</v>
      </c>
      <c r="H311" s="76">
        <f>IF(Escenarios!$F$11&gt;0,(Observaciones!$F310*Constantes!$F$29)/1000,0)</f>
        <v>0</v>
      </c>
      <c r="I311" s="76">
        <f>IF(Escenarios!$F$11&gt;0,(D311*Constantes!$F$29)/1000,0)</f>
        <v>0</v>
      </c>
      <c r="J311" s="76">
        <f>IF(Escenarios!$F$11&gt;0,MAX(0,G311+H311-I311),0)</f>
        <v>0</v>
      </c>
      <c r="K311" s="76">
        <f>IF(Escenarios!$F$11&gt;0,IF(J311&gt;Constantes!$F$30,1000*((J311-Constantes!$F$30)/(Escenarios!$F$16*10000)),0),F311)</f>
        <v>0</v>
      </c>
      <c r="L311" s="76">
        <f>IF(Escenarios!$F$11&gt;0,I311*1000/Escenarios!$F$16/10000+E311,E311)</f>
        <v>2.5784165538993888</v>
      </c>
      <c r="M311" s="76">
        <f>MAX(0,N310+Observaciones!$F310-K311-Constantes!$D$13)</f>
        <v>0</v>
      </c>
      <c r="N311" s="76">
        <f>N310+Observaciones!$F310-K311-L311-M311-O310</f>
        <v>21.265187812766388</v>
      </c>
      <c r="O311" s="76">
        <f>MAX(0,(N311-Constantes!$D$14)*(1-EXP(-Constantes!$D$22)))</f>
        <v>0.34115406340996929</v>
      </c>
      <c r="P311" s="170">
        <f>P310+(Entradas!$F$83*M311-Q310)/(800*Entradas!$D$25)</f>
        <v>0</v>
      </c>
      <c r="Q311" s="170">
        <f>8000*Entradas!$D$26*P311/Constantes!$F$45</f>
        <v>0</v>
      </c>
      <c r="R311" s="170">
        <f>IF(Escenarios!$F$14&gt;0,K311*Escenarios!$F$13/Escenarios!$F$14,0)</f>
        <v>0</v>
      </c>
      <c r="S311" s="170">
        <f>IF(Escenarios!$F$14&gt;0,Q311*Escenarios!$F$13/Escenarios!$F$14,0)</f>
        <v>0</v>
      </c>
      <c r="T311" s="170">
        <f>IF(Escenarios!$F$14&gt;0,Observaciones!$I310,0)</f>
        <v>0</v>
      </c>
      <c r="U311" s="170">
        <f>IF(Escenarios!$F$14&gt;0,MAX(0,Constantes!$F$36/((Z310+R311+S311+T311+Observaciones!$F310)^2)+Entradas!$F$77),0)</f>
        <v>0</v>
      </c>
      <c r="V311" s="146">
        <f>IF(ETo!D310&gt;0,ETo!I310*((1-Entradas!$F$81)*ETo!K310+ETo!L310),0)</f>
        <v>4.0182205145947671</v>
      </c>
      <c r="W311" s="170">
        <f>IF(Escenarios!$F$14&gt;0,MIN(V311*1,0.8*(Z310+R311+S311+T311+Observaciones!$F310-U311-Constantes!$F$35)),0)</f>
        <v>0.45544614771050079</v>
      </c>
      <c r="X311" s="170">
        <f>IF(Escenarios!$F$14&gt;0,Observaciones!$J310,0)</f>
        <v>0</v>
      </c>
      <c r="Y311" s="170">
        <f>IF(Escenarios!$F$14&gt;0,MAX(0,Z310+R311+S311+T311+Observaciones!$F310-U311-W311-X311-Constantes!$F$33),0)</f>
        <v>0</v>
      </c>
      <c r="Z311" s="170">
        <f>Z310+R311+S311+T311+Observaciones!$F310-U311-W311-Y311</f>
        <v>41.363861536927622</v>
      </c>
      <c r="AA311" s="170">
        <f>IF(Escenarios!$F$14&gt;0,(Escenarios!$F$13*L311+Escenarios!$F$14*W311)/(Escenarios!$F$16),L311)</f>
        <v>2.3236601051567223</v>
      </c>
      <c r="AB311" s="170">
        <f>IF(Escenarios!$F$14&gt;0,(Escenarios!$F$14*Y311)/(Escenarios!$F$16),K311)</f>
        <v>0</v>
      </c>
      <c r="AC311" s="170">
        <f>IF(Escenarios!$F$14&gt;0,(Escenarios!$F$13*M311+Escenarios!$F$14*U311)/(Escenarios!$F$16),M311)</f>
        <v>0</v>
      </c>
      <c r="AD311" s="76">
        <f t="shared" si="57"/>
        <v>62.964443858250341</v>
      </c>
      <c r="AE311" s="76">
        <f>MAX(0,(AD311-Constantes!$D$13)*(1-EXP(-Constantes!$D$23)))</f>
        <v>0.14005830095209515</v>
      </c>
      <c r="AF311" s="76">
        <f>AB311+O311*Escenarios!$F$13/Escenarios!$F$16+AE311</f>
        <v>0.44027387675286811</v>
      </c>
      <c r="AG311" s="76">
        <f>IF(Entradas!$F$91&gt;0,IF(AF311-Escenarios!$F$38&lt;=0,0,IF(AF311-Escenarios!$F$38&gt;Escenarios!$F$37,Escenarios!$F$37,AF311-Escenarios!$F$38)),0)</f>
        <v>0</v>
      </c>
      <c r="AH311" s="76">
        <f>AG311*Entradas!$F$99</f>
        <v>0</v>
      </c>
      <c r="AI311" s="76">
        <f>IF(Entradas!$F$91&gt;0,D311*Entradas!$D$23/Escenarios!$F$16,0)</f>
        <v>0.21701112231323144</v>
      </c>
      <c r="AJ311" s="76">
        <f>IF(Entradas!$F$91&gt;0,Entradas!$D$24*Entradas!$D$22/Escenarios!$F$16,0)</f>
        <v>0.12</v>
      </c>
      <c r="AK311" s="76">
        <f t="shared" si="58"/>
        <v>2.5406712274699537</v>
      </c>
      <c r="AL311" s="76">
        <f t="shared" si="59"/>
        <v>0</v>
      </c>
      <c r="AM311" s="76">
        <f t="shared" si="60"/>
        <v>0</v>
      </c>
      <c r="AN311" s="76">
        <f>MAX(0,O311*Escenarios!$F$13/Escenarios!$F$16-AM311)</f>
        <v>0.30021557580077296</v>
      </c>
      <c r="AO311" s="76">
        <f>AM311+AN311-O311*Escenarios!$F$13/Escenarios!$F$16</f>
        <v>0</v>
      </c>
      <c r="AP311" s="76">
        <f t="shared" si="61"/>
        <v>0.14005830095209515</v>
      </c>
      <c r="AQ311" s="76">
        <f t="shared" si="62"/>
        <v>0</v>
      </c>
      <c r="AR311" s="76">
        <f t="shared" si="63"/>
        <v>0.44027387675286811</v>
      </c>
      <c r="AS311" s="76">
        <f t="shared" si="64"/>
        <v>0</v>
      </c>
      <c r="AT311" s="76">
        <f t="shared" si="65"/>
        <v>0</v>
      </c>
      <c r="AU311" s="76">
        <f t="shared" si="66"/>
        <v>49.201999244768416</v>
      </c>
      <c r="AV311" s="76">
        <f>MAX(0,(AU311-Constantes!$D$13)*(1-EXP(-Constantes!$D$24)))</f>
        <v>6.9089201297357333E-3</v>
      </c>
      <c r="AW311" s="170">
        <f>AW310+(Entradas!$F$112*AT311-AX310)/(800*Entradas!$D$25)</f>
        <v>0</v>
      </c>
      <c r="AX311" s="170">
        <f>8000*Entradas!$D$26*AW311/Constantes!$F$45</f>
        <v>0</v>
      </c>
      <c r="AY311" s="170">
        <f>IF(Escenarios!$F$17&gt;0,10*Escenarios!$F$16*AL311,0)</f>
        <v>0</v>
      </c>
      <c r="AZ311" s="170">
        <f>IF(Escenarios!$F$17&gt;0,10*Escenarios!$F$16*AX311,0)</f>
        <v>0</v>
      </c>
      <c r="BA311" s="170">
        <f>IF(Escenarios!$F$17&gt;0,0.001*Observaciones!$F310*Escenarios!$F$17,0)</f>
        <v>0</v>
      </c>
      <c r="BB311" s="170">
        <f>IF(Escenarios!$F$17&gt;0,Observaciones!$K310,0)</f>
        <v>0</v>
      </c>
      <c r="BC311" s="170">
        <f>IF(Escenarios!$F$17&gt;0,MIN(0.0005*ETo!$M310*Escenarios!$F$17*(BG310/Constantes!$F$40)^(2/3),BG310+AY311+AZ311+BA311+BB311),0)</f>
        <v>0</v>
      </c>
      <c r="BD311" s="170">
        <f>IF(Escenarios!$F$17&gt;0,MIN(Constantes!$F$39*(BG310/Constantes!$F$40)^(2/3),BG310+AY311+AZ311+BA311+BB311-BC311),0)</f>
        <v>0</v>
      </c>
      <c r="BE311" s="170">
        <f>IF(Escenarios!$F$17&gt;0,MIN(Entradas!$F$113,BG310+AY311+AZ311+BA311+BB311-BC311-BD311),0)</f>
        <v>0</v>
      </c>
      <c r="BF311" s="170">
        <f>IF(Escenarios!$F$17&gt;0,MAX(0,BG310+AY311+AZ311+BA311+BB311-BC311-BD311-BE311-Constantes!$F$40),0)</f>
        <v>0</v>
      </c>
      <c r="BG311" s="170">
        <f t="shared" si="67"/>
        <v>0</v>
      </c>
      <c r="BH311" s="170">
        <f>(Escenarios!$F$16*AK311+0.1*BC311)/(Escenarios!$F$19)</f>
        <v>2.5406712274699537</v>
      </c>
      <c r="BI311" s="170">
        <f>IF(Escenarios!$F$17&gt;0,BF311/10/Escenarios!$F$19,AL311)</f>
        <v>0</v>
      </c>
      <c r="BJ311" s="170">
        <f>(Escenarios!$F$16*AT311+0.1*BD311)/(Escenarios!$F$19)</f>
        <v>0</v>
      </c>
      <c r="BK311" s="76">
        <f>BK310+(0.1*BD311)/(Escenarios!$F$19)-BL310</f>
        <v>48.75</v>
      </c>
      <c r="BL311" s="76">
        <f>MAX(0,(BK311-Constantes!$D$13)*(1-EXP(-Constantes!$D$23)))</f>
        <v>0</v>
      </c>
      <c r="BM311" s="76">
        <f t="shared" si="68"/>
        <v>0.14696722108183088</v>
      </c>
      <c r="BN311" s="76">
        <f t="shared" si="69"/>
        <v>0.44718279688260382</v>
      </c>
      <c r="BO311" s="76">
        <f>0.0526*BI311*Observaciones!$F310^1.218</f>
        <v>0</v>
      </c>
      <c r="BP311" s="76">
        <f>BO311*Constantes!$F$51</f>
        <v>0</v>
      </c>
      <c r="BQ311" s="76">
        <f t="shared" si="70"/>
        <v>0</v>
      </c>
      <c r="BR311" s="40"/>
    </row>
    <row r="312" spans="2:70">
      <c r="B312" s="39"/>
      <c r="C312" s="75">
        <v>306</v>
      </c>
      <c r="D312" s="146">
        <f>ETo!$I311*((1-Constantes!$F$19)*ETo!$K311+ETo!$L311)</f>
        <v>4.5340669442597648</v>
      </c>
      <c r="E312" s="76">
        <f>MIN(D312*Constantes!$F$17,0.8*(N311+Observaciones!$F311-F312-M312-Constantes!$D$14))</f>
        <v>2.585831688097862</v>
      </c>
      <c r="F312" s="76">
        <f>IF(Observaciones!$F311&gt;0.05*Constantes!$F$18,((Observaciones!$F311-0.05*Constantes!$F$18)^2)/(Observaciones!$F311+0.95*Constantes!$F$18),0)</f>
        <v>0</v>
      </c>
      <c r="G312" s="76">
        <f>IF(Escenarios!$F$11&gt;0,(F312*Escenarios!$F$16*10000)/1000,0)</f>
        <v>0</v>
      </c>
      <c r="H312" s="76">
        <f>IF(Escenarios!$F$11&gt;0,(Observaciones!$F311*Constantes!$F$29)/1000,0)</f>
        <v>0</v>
      </c>
      <c r="I312" s="76">
        <f>IF(Escenarios!$F$11&gt;0,(D312*Constantes!$F$29)/1000,0)</f>
        <v>0</v>
      </c>
      <c r="J312" s="76">
        <f>IF(Escenarios!$F$11&gt;0,MAX(0,G312+H312-I312),0)</f>
        <v>0</v>
      </c>
      <c r="K312" s="76">
        <f>IF(Escenarios!$F$11&gt;0,IF(J312&gt;Constantes!$F$30,1000*((J312-Constantes!$F$30)/(Escenarios!$F$16*10000)),0),F312)</f>
        <v>0</v>
      </c>
      <c r="L312" s="76">
        <f>IF(Escenarios!$F$11&gt;0,I312*1000/Escenarios!$F$16/10000+E312,E312)</f>
        <v>2.585831688097862</v>
      </c>
      <c r="M312" s="76">
        <f>MAX(0,N311+Observaciones!$F311-K312-Constantes!$D$13)</f>
        <v>0</v>
      </c>
      <c r="N312" s="76">
        <f>N311+Observaciones!$F311-K312-L312-M312-O311</f>
        <v>20.538202061258556</v>
      </c>
      <c r="O312" s="76">
        <f>MAX(0,(N312-Constantes!$D$14)*(1-EXP(-Constantes!$D$22)))</f>
        <v>0.31639025989428254</v>
      </c>
      <c r="P312" s="170">
        <f>P311+(Entradas!$F$83*M312-Q311)/(800*Entradas!$D$25)</f>
        <v>0</v>
      </c>
      <c r="Q312" s="170">
        <f>8000*Entradas!$D$26*P312/Constantes!$F$45</f>
        <v>0</v>
      </c>
      <c r="R312" s="170">
        <f>IF(Escenarios!$F$14&gt;0,K312*Escenarios!$F$13/Escenarios!$F$14,0)</f>
        <v>0</v>
      </c>
      <c r="S312" s="170">
        <f>IF(Escenarios!$F$14&gt;0,Q312*Escenarios!$F$13/Escenarios!$F$14,0)</f>
        <v>0</v>
      </c>
      <c r="T312" s="170">
        <f>IF(Escenarios!$F$14&gt;0,Observaciones!$I311,0)</f>
        <v>0</v>
      </c>
      <c r="U312" s="170">
        <f>IF(Escenarios!$F$14&gt;0,MAX(0,Constantes!$F$36/((Z311+R312+S312+T312+Observaciones!$F311)^2)+Entradas!$F$77),0)</f>
        <v>0</v>
      </c>
      <c r="V312" s="146">
        <f>IF(ETo!D311&gt;0,ETo!I311*((1-Entradas!$F$81)*ETo!K311+ETo!L311),0)</f>
        <v>4.0300285696048856</v>
      </c>
      <c r="W312" s="170">
        <f>IF(Escenarios!$F$14&gt;0,MIN(V312*1,0.8*(Z311+R312+S312+T312+Observaciones!$F311-U312-Constantes!$F$35)),0)</f>
        <v>1.8510892295421002</v>
      </c>
      <c r="X312" s="170">
        <f>IF(Escenarios!$F$14&gt;0,Observaciones!$J311,0)</f>
        <v>0</v>
      </c>
      <c r="Y312" s="170">
        <f>IF(Escenarios!$F$14&gt;0,MAX(0,Z311+R312+S312+T312+Observaciones!$F311-U312-W312-X312-Constantes!$F$33),0)</f>
        <v>0</v>
      </c>
      <c r="Z312" s="170">
        <f>Z311+R312+S312+T312+Observaciones!$F311-U312-W312-Y312</f>
        <v>41.712772307385528</v>
      </c>
      <c r="AA312" s="170">
        <f>IF(Escenarios!$F$14&gt;0,(Escenarios!$F$13*L312+Escenarios!$F$14*W312)/(Escenarios!$F$16),L312)</f>
        <v>2.4976625930711709</v>
      </c>
      <c r="AB312" s="170">
        <f>IF(Escenarios!$F$14&gt;0,(Escenarios!$F$14*Y312)/(Escenarios!$F$16),K312)</f>
        <v>0</v>
      </c>
      <c r="AC312" s="170">
        <f>IF(Escenarios!$F$14&gt;0,(Escenarios!$F$13*M312+Escenarios!$F$14*U312)/(Escenarios!$F$16),M312)</f>
        <v>0</v>
      </c>
      <c r="AD312" s="76">
        <f t="shared" si="57"/>
        <v>62.824385557298243</v>
      </c>
      <c r="AE312" s="76">
        <f>MAX(0,(AD312-Constantes!$D$13)*(1-EXP(-Constantes!$D$23)))</f>
        <v>0.13867827315352585</v>
      </c>
      <c r="AF312" s="76">
        <f>AB312+O312*Escenarios!$F$13/Escenarios!$F$16+AE312</f>
        <v>0.41710170186049444</v>
      </c>
      <c r="AG312" s="76">
        <f>IF(Entradas!$F$91&gt;0,IF(AF312-Escenarios!$F$38&lt;=0,0,IF(AF312-Escenarios!$F$38&gt;Escenarios!$F$37,Escenarios!$F$37,AF312-Escenarios!$F$38)),0)</f>
        <v>0</v>
      </c>
      <c r="AH312" s="76">
        <f>AG312*Entradas!$F$99</f>
        <v>0</v>
      </c>
      <c r="AI312" s="76">
        <f>IF(Entradas!$F$91&gt;0,D312*Entradas!$D$23/Escenarios!$F$16,0)</f>
        <v>0.2176352133244687</v>
      </c>
      <c r="AJ312" s="76">
        <f>IF(Entradas!$F$91&gt;0,Entradas!$D$24*Entradas!$D$22/Escenarios!$F$16,0)</f>
        <v>0.12</v>
      </c>
      <c r="AK312" s="76">
        <f t="shared" si="58"/>
        <v>2.7152978063956397</v>
      </c>
      <c r="AL312" s="76">
        <f t="shared" si="59"/>
        <v>0</v>
      </c>
      <c r="AM312" s="76">
        <f t="shared" si="60"/>
        <v>0</v>
      </c>
      <c r="AN312" s="76">
        <f>MAX(0,O312*Escenarios!$F$13/Escenarios!$F$16-AM312)</f>
        <v>0.27842342870696862</v>
      </c>
      <c r="AO312" s="76">
        <f>AM312+AN312-O312*Escenarios!$F$13/Escenarios!$F$16</f>
        <v>0</v>
      </c>
      <c r="AP312" s="76">
        <f t="shared" si="61"/>
        <v>0.13867827315352585</v>
      </c>
      <c r="AQ312" s="76">
        <f t="shared" si="62"/>
        <v>0</v>
      </c>
      <c r="AR312" s="76">
        <f t="shared" si="63"/>
        <v>0.41710170186049444</v>
      </c>
      <c r="AS312" s="76">
        <f t="shared" si="64"/>
        <v>0</v>
      </c>
      <c r="AT312" s="76">
        <f t="shared" si="65"/>
        <v>0</v>
      </c>
      <c r="AU312" s="76">
        <f t="shared" si="66"/>
        <v>49.195090324638677</v>
      </c>
      <c r="AV312" s="76">
        <f>MAX(0,(AU312-Constantes!$D$13)*(1-EXP(-Constantes!$D$24)))</f>
        <v>6.8033155785963946E-3</v>
      </c>
      <c r="AW312" s="170">
        <f>AW311+(Entradas!$F$112*AT312-AX311)/(800*Entradas!$D$25)</f>
        <v>0</v>
      </c>
      <c r="AX312" s="170">
        <f>8000*Entradas!$D$26*AW312/Constantes!$F$45</f>
        <v>0</v>
      </c>
      <c r="AY312" s="170">
        <f>IF(Escenarios!$F$17&gt;0,10*Escenarios!$F$16*AL312,0)</f>
        <v>0</v>
      </c>
      <c r="AZ312" s="170">
        <f>IF(Escenarios!$F$17&gt;0,10*Escenarios!$F$16*AX312,0)</f>
        <v>0</v>
      </c>
      <c r="BA312" s="170">
        <f>IF(Escenarios!$F$17&gt;0,0.001*Observaciones!$F311*Escenarios!$F$17,0)</f>
        <v>0</v>
      </c>
      <c r="BB312" s="170">
        <f>IF(Escenarios!$F$17&gt;0,Observaciones!$K311,0)</f>
        <v>0</v>
      </c>
      <c r="BC312" s="170">
        <f>IF(Escenarios!$F$17&gt;0,MIN(0.0005*ETo!$M311*Escenarios!$F$17*(BG311/Constantes!$F$40)^(2/3),BG311+AY312+AZ312+BA312+BB312),0)</f>
        <v>0</v>
      </c>
      <c r="BD312" s="170">
        <f>IF(Escenarios!$F$17&gt;0,MIN(Constantes!$F$39*(BG311/Constantes!$F$40)^(2/3),BG311+AY312+AZ312+BA312+BB312-BC312),0)</f>
        <v>0</v>
      </c>
      <c r="BE312" s="170">
        <f>IF(Escenarios!$F$17&gt;0,MIN(Entradas!$F$113,BG311+AY312+AZ312+BA312+BB312-BC312-BD312),0)</f>
        <v>0</v>
      </c>
      <c r="BF312" s="170">
        <f>IF(Escenarios!$F$17&gt;0,MAX(0,BG311+AY312+AZ312+BA312+BB312-BC312-BD312-BE312-Constantes!$F$40),0)</f>
        <v>0</v>
      </c>
      <c r="BG312" s="170">
        <f t="shared" si="67"/>
        <v>0</v>
      </c>
      <c r="BH312" s="170">
        <f>(Escenarios!$F$16*AK312+0.1*BC312)/(Escenarios!$F$19)</f>
        <v>2.7152978063956397</v>
      </c>
      <c r="BI312" s="170">
        <f>IF(Escenarios!$F$17&gt;0,BF312/10/Escenarios!$F$19,AL312)</f>
        <v>0</v>
      </c>
      <c r="BJ312" s="170">
        <f>(Escenarios!$F$16*AT312+0.1*BD312)/(Escenarios!$F$19)</f>
        <v>0</v>
      </c>
      <c r="BK312" s="76">
        <f>BK311+(0.1*BD312)/(Escenarios!$F$19)-BL311</f>
        <v>48.75</v>
      </c>
      <c r="BL312" s="76">
        <f>MAX(0,(BK312-Constantes!$D$13)*(1-EXP(-Constantes!$D$23)))</f>
        <v>0</v>
      </c>
      <c r="BM312" s="76">
        <f t="shared" si="68"/>
        <v>0.14548158873212225</v>
      </c>
      <c r="BN312" s="76">
        <f t="shared" si="69"/>
        <v>0.42390501743909081</v>
      </c>
      <c r="BO312" s="76">
        <f>0.0526*BI312*Observaciones!$F311^1.218</f>
        <v>0</v>
      </c>
      <c r="BP312" s="76">
        <f>BO312*Constantes!$F$51</f>
        <v>0</v>
      </c>
      <c r="BQ312" s="76">
        <f t="shared" si="70"/>
        <v>0</v>
      </c>
      <c r="BR312" s="40"/>
    </row>
    <row r="313" spans="2:70">
      <c r="B313" s="39"/>
      <c r="C313" s="75">
        <v>307</v>
      </c>
      <c r="D313" s="146">
        <f>ETo!$I312*((1-Constantes!$F$19)*ETo!$K312+ETo!$L312)</f>
        <v>4.5745519935906227</v>
      </c>
      <c r="E313" s="76">
        <f>MIN(D313*Constantes!$F$17,0.8*(N312+Observaciones!$F312-F313-M313-Constantes!$D$14))</f>
        <v>2.6089207877386325</v>
      </c>
      <c r="F313" s="76">
        <f>IF(Observaciones!$F312&gt;0.05*Constantes!$F$18,((Observaciones!$F312-0.05*Constantes!$F$18)^2)/(Observaciones!$F312+0.95*Constantes!$F$18),0)</f>
        <v>0</v>
      </c>
      <c r="G313" s="76">
        <f>IF(Escenarios!$F$11&gt;0,(F313*Escenarios!$F$16*10000)/1000,0)</f>
        <v>0</v>
      </c>
      <c r="H313" s="76">
        <f>IF(Escenarios!$F$11&gt;0,(Observaciones!$F312*Constantes!$F$29)/1000,0)</f>
        <v>0</v>
      </c>
      <c r="I313" s="76">
        <f>IF(Escenarios!$F$11&gt;0,(D313*Constantes!$F$29)/1000,0)</f>
        <v>0</v>
      </c>
      <c r="J313" s="76">
        <f>IF(Escenarios!$F$11&gt;0,MAX(0,G313+H313-I313),0)</f>
        <v>0</v>
      </c>
      <c r="K313" s="76">
        <f>IF(Escenarios!$F$11&gt;0,IF(J313&gt;Constantes!$F$30,1000*((J313-Constantes!$F$30)/(Escenarios!$F$16*10000)),0),F313)</f>
        <v>0</v>
      </c>
      <c r="L313" s="76">
        <f>IF(Escenarios!$F$11&gt;0,I313*1000/Escenarios!$F$16/10000+E313,E313)</f>
        <v>2.6089207877386325</v>
      </c>
      <c r="M313" s="76">
        <f>MAX(0,N312+Observaciones!$F312-K313-Constantes!$D$13)</f>
        <v>0</v>
      </c>
      <c r="N313" s="76">
        <f>N312+Observaciones!$F312-K313-L313-M313-O312</f>
        <v>17.612891013625639</v>
      </c>
      <c r="O313" s="76">
        <f>MAX(0,(N313-Constantes!$D$14)*(1-EXP(-Constantes!$D$22)))</f>
        <v>0.21674342657519954</v>
      </c>
      <c r="P313" s="170">
        <f>P312+(Entradas!$F$83*M313-Q312)/(800*Entradas!$D$25)</f>
        <v>0</v>
      </c>
      <c r="Q313" s="170">
        <f>8000*Entradas!$D$26*P313/Constantes!$F$45</f>
        <v>0</v>
      </c>
      <c r="R313" s="170">
        <f>IF(Escenarios!$F$14&gt;0,K313*Escenarios!$F$13/Escenarios!$F$14,0)</f>
        <v>0</v>
      </c>
      <c r="S313" s="170">
        <f>IF(Escenarios!$F$14&gt;0,Q313*Escenarios!$F$13/Escenarios!$F$14,0)</f>
        <v>0</v>
      </c>
      <c r="T313" s="170">
        <f>IF(Escenarios!$F$14&gt;0,Observaciones!$I312,0)</f>
        <v>0</v>
      </c>
      <c r="U313" s="170">
        <f>IF(Escenarios!$F$14&gt;0,MAX(0,Constantes!$F$36/((Z312+R313+S313+T313+Observaciones!$F312)^2)+Entradas!$F$77),0)</f>
        <v>0</v>
      </c>
      <c r="V313" s="146">
        <f>IF(ETo!D312&gt;0,ETo!I312*((1-Entradas!$F$81)*ETo!K312+ETo!L312),0)</f>
        <v>4.0667161382072052</v>
      </c>
      <c r="W313" s="170">
        <f>IF(Escenarios!$F$14&gt;0,MIN(V313*1,0.8*(Z312+R313+S313+T313+Observaciones!$F312-U313-Constantes!$F$35)),0)</f>
        <v>0.37021784590842233</v>
      </c>
      <c r="X313" s="170">
        <f>IF(Escenarios!$F$14&gt;0,Observaciones!$J312,0)</f>
        <v>0</v>
      </c>
      <c r="Y313" s="170">
        <f>IF(Escenarios!$F$14&gt;0,MAX(0,Z312+R313+S313+T313+Observaciones!$F312-U313-W313-X313-Constantes!$F$33),0)</f>
        <v>0</v>
      </c>
      <c r="Z313" s="170">
        <f>Z312+R313+S313+T313+Observaciones!$F312-U313-W313-Y313</f>
        <v>41.342554461477107</v>
      </c>
      <c r="AA313" s="170">
        <f>IF(Escenarios!$F$14&gt;0,(Escenarios!$F$13*L313+Escenarios!$F$14*W313)/(Escenarios!$F$16),L313)</f>
        <v>2.3402764347190068</v>
      </c>
      <c r="AB313" s="170">
        <f>IF(Escenarios!$F$14&gt;0,(Escenarios!$F$14*Y313)/(Escenarios!$F$16),K313)</f>
        <v>0</v>
      </c>
      <c r="AC313" s="170">
        <f>IF(Escenarios!$F$14&gt;0,(Escenarios!$F$13*M313+Escenarios!$F$14*U313)/(Escenarios!$F$16),M313)</f>
        <v>0</v>
      </c>
      <c r="AD313" s="76">
        <f t="shared" si="57"/>
        <v>62.685707284144719</v>
      </c>
      <c r="AE313" s="76">
        <f>MAX(0,(AD313-Constantes!$D$13)*(1-EXP(-Constantes!$D$23)))</f>
        <v>0.1373118430975529</v>
      </c>
      <c r="AF313" s="76">
        <f>AB313+O313*Escenarios!$F$13/Escenarios!$F$16+AE313</f>
        <v>0.32804605848372848</v>
      </c>
      <c r="AG313" s="76">
        <f>IF(Entradas!$F$91&gt;0,IF(AF313-Escenarios!$F$38&lt;=0,0,IF(AF313-Escenarios!$F$38&gt;Escenarios!$F$37,Escenarios!$F$37,AF313-Escenarios!$F$38)),0)</f>
        <v>0</v>
      </c>
      <c r="AH313" s="76">
        <f>AG313*Entradas!$F$99</f>
        <v>0</v>
      </c>
      <c r="AI313" s="76">
        <f>IF(Entradas!$F$91&gt;0,D313*Entradas!$D$23/Escenarios!$F$16,0)</f>
        <v>0.21957849569234988</v>
      </c>
      <c r="AJ313" s="76">
        <f>IF(Entradas!$F$91&gt;0,Entradas!$D$24*Entradas!$D$22/Escenarios!$F$16,0)</f>
        <v>0.12</v>
      </c>
      <c r="AK313" s="76">
        <f t="shared" si="58"/>
        <v>2.5598549304113565</v>
      </c>
      <c r="AL313" s="76">
        <f t="shared" si="59"/>
        <v>0</v>
      </c>
      <c r="AM313" s="76">
        <f t="shared" si="60"/>
        <v>0</v>
      </c>
      <c r="AN313" s="76">
        <f>MAX(0,O313*Escenarios!$F$13/Escenarios!$F$16-AM313)</f>
        <v>0.1907342153861756</v>
      </c>
      <c r="AO313" s="76">
        <f>AM313+AN313-O313*Escenarios!$F$13/Escenarios!$F$16</f>
        <v>0</v>
      </c>
      <c r="AP313" s="76">
        <f t="shared" si="61"/>
        <v>0.1373118430975529</v>
      </c>
      <c r="AQ313" s="76">
        <f t="shared" si="62"/>
        <v>0</v>
      </c>
      <c r="AR313" s="76">
        <f t="shared" si="63"/>
        <v>0.32804605848372848</v>
      </c>
      <c r="AS313" s="76">
        <f t="shared" si="64"/>
        <v>0</v>
      </c>
      <c r="AT313" s="76">
        <f t="shared" si="65"/>
        <v>0</v>
      </c>
      <c r="AU313" s="76">
        <f t="shared" si="66"/>
        <v>49.188287009060083</v>
      </c>
      <c r="AV313" s="76">
        <f>MAX(0,(AU313-Constantes!$D$13)*(1-EXP(-Constantes!$D$24)))</f>
        <v>6.6993252191125518E-3</v>
      </c>
      <c r="AW313" s="170">
        <f>AW312+(Entradas!$F$112*AT313-AX312)/(800*Entradas!$D$25)</f>
        <v>0</v>
      </c>
      <c r="AX313" s="170">
        <f>8000*Entradas!$D$26*AW313/Constantes!$F$45</f>
        <v>0</v>
      </c>
      <c r="AY313" s="170">
        <f>IF(Escenarios!$F$17&gt;0,10*Escenarios!$F$16*AL313,0)</f>
        <v>0</v>
      </c>
      <c r="AZ313" s="170">
        <f>IF(Escenarios!$F$17&gt;0,10*Escenarios!$F$16*AX313,0)</f>
        <v>0</v>
      </c>
      <c r="BA313" s="170">
        <f>IF(Escenarios!$F$17&gt;0,0.001*Observaciones!$F312*Escenarios!$F$17,0)</f>
        <v>0</v>
      </c>
      <c r="BB313" s="170">
        <f>IF(Escenarios!$F$17&gt;0,Observaciones!$K312,0)</f>
        <v>0</v>
      </c>
      <c r="BC313" s="170">
        <f>IF(Escenarios!$F$17&gt;0,MIN(0.0005*ETo!$M312*Escenarios!$F$17*(BG312/Constantes!$F$40)^(2/3),BG312+AY313+AZ313+BA313+BB313),0)</f>
        <v>0</v>
      </c>
      <c r="BD313" s="170">
        <f>IF(Escenarios!$F$17&gt;0,MIN(Constantes!$F$39*(BG312/Constantes!$F$40)^(2/3),BG312+AY313+AZ313+BA313+BB313-BC313),0)</f>
        <v>0</v>
      </c>
      <c r="BE313" s="170">
        <f>IF(Escenarios!$F$17&gt;0,MIN(Entradas!$F$113,BG312+AY313+AZ313+BA313+BB313-BC313-BD313),0)</f>
        <v>0</v>
      </c>
      <c r="BF313" s="170">
        <f>IF(Escenarios!$F$17&gt;0,MAX(0,BG312+AY313+AZ313+BA313+BB313-BC313-BD313-BE313-Constantes!$F$40),0)</f>
        <v>0</v>
      </c>
      <c r="BG313" s="170">
        <f t="shared" si="67"/>
        <v>0</v>
      </c>
      <c r="BH313" s="170">
        <f>(Escenarios!$F$16*AK313+0.1*BC313)/(Escenarios!$F$19)</f>
        <v>2.5598549304113565</v>
      </c>
      <c r="BI313" s="170">
        <f>IF(Escenarios!$F$17&gt;0,BF313/10/Escenarios!$F$19,AL313)</f>
        <v>0</v>
      </c>
      <c r="BJ313" s="170">
        <f>(Escenarios!$F$16*AT313+0.1*BD313)/(Escenarios!$F$19)</f>
        <v>0</v>
      </c>
      <c r="BK313" s="76">
        <f>BK312+(0.1*BD313)/(Escenarios!$F$19)-BL312</f>
        <v>48.75</v>
      </c>
      <c r="BL313" s="76">
        <f>MAX(0,(BK313-Constantes!$D$13)*(1-EXP(-Constantes!$D$23)))</f>
        <v>0</v>
      </c>
      <c r="BM313" s="76">
        <f t="shared" si="68"/>
        <v>0.14401116831666544</v>
      </c>
      <c r="BN313" s="76">
        <f t="shared" si="69"/>
        <v>0.33474538370284102</v>
      </c>
      <c r="BO313" s="76">
        <f>0.0526*BI313*Observaciones!$F312^1.218</f>
        <v>0</v>
      </c>
      <c r="BP313" s="76">
        <f>BO313*Constantes!$F$51</f>
        <v>0</v>
      </c>
      <c r="BQ313" s="76">
        <f t="shared" si="70"/>
        <v>0</v>
      </c>
      <c r="BR313" s="40"/>
    </row>
    <row r="314" spans="2:70">
      <c r="B314" s="39"/>
      <c r="C314" s="75">
        <v>308</v>
      </c>
      <c r="D314" s="146">
        <f>ETo!$I313*((1-Constantes!$F$19)*ETo!$K313+ETo!$L313)</f>
        <v>4.5087186482712811</v>
      </c>
      <c r="E314" s="76">
        <f>MIN(D314*Constantes!$F$17,0.8*(N313+Observaciones!$F313-F314-M314-Constantes!$D$14))</f>
        <v>2.5713752568602759</v>
      </c>
      <c r="F314" s="76">
        <f>IF(Observaciones!$F313&gt;0.05*Constantes!$F$18,((Observaciones!$F313-0.05*Constantes!$F$18)^2)/(Observaciones!$F313+0.95*Constantes!$F$18),0)</f>
        <v>0</v>
      </c>
      <c r="G314" s="76">
        <f>IF(Escenarios!$F$11&gt;0,(F314*Escenarios!$F$16*10000)/1000,0)</f>
        <v>0</v>
      </c>
      <c r="H314" s="76">
        <f>IF(Escenarios!$F$11&gt;0,(Observaciones!$F313*Constantes!$F$29)/1000,0)</f>
        <v>0</v>
      </c>
      <c r="I314" s="76">
        <f>IF(Escenarios!$F$11&gt;0,(D314*Constantes!$F$29)/1000,0)</f>
        <v>0</v>
      </c>
      <c r="J314" s="76">
        <f>IF(Escenarios!$F$11&gt;0,MAX(0,G314+H314-I314),0)</f>
        <v>0</v>
      </c>
      <c r="K314" s="76">
        <f>IF(Escenarios!$F$11&gt;0,IF(J314&gt;Constantes!$F$30,1000*((J314-Constantes!$F$30)/(Escenarios!$F$16*10000)),0),F314)</f>
        <v>0</v>
      </c>
      <c r="L314" s="76">
        <f>IF(Escenarios!$F$11&gt;0,I314*1000/Escenarios!$F$16/10000+E314,E314)</f>
        <v>2.5713752568602759</v>
      </c>
      <c r="M314" s="76">
        <f>MAX(0,N313+Observaciones!$F313-K314-Constantes!$D$13)</f>
        <v>0</v>
      </c>
      <c r="N314" s="76">
        <f>N313+Observaciones!$F313-K314-L314-M314-O313</f>
        <v>17.424772330190166</v>
      </c>
      <c r="O314" s="76">
        <f>MAX(0,(N314-Constantes!$D$14)*(1-EXP(-Constantes!$D$22)))</f>
        <v>0.21033541361956248</v>
      </c>
      <c r="P314" s="170">
        <f>P313+(Entradas!$F$83*M314-Q313)/(800*Entradas!$D$25)</f>
        <v>0</v>
      </c>
      <c r="Q314" s="170">
        <f>8000*Entradas!$D$26*P314/Constantes!$F$45</f>
        <v>0</v>
      </c>
      <c r="R314" s="170">
        <f>IF(Escenarios!$F$14&gt;0,K314*Escenarios!$F$13/Escenarios!$F$14,0)</f>
        <v>0</v>
      </c>
      <c r="S314" s="170">
        <f>IF(Escenarios!$F$14&gt;0,Q314*Escenarios!$F$13/Escenarios!$F$14,0)</f>
        <v>0</v>
      </c>
      <c r="T314" s="170">
        <f>IF(Escenarios!$F$14&gt;0,Observaciones!$I313,0)</f>
        <v>0</v>
      </c>
      <c r="U314" s="170">
        <f>IF(Escenarios!$F$14&gt;0,MAX(0,Constantes!$F$36/((Z313+R314+S314+T314+Observaciones!$F313)^2)+Entradas!$F$77),0)</f>
        <v>0</v>
      </c>
      <c r="V314" s="146">
        <f>IF(ETo!D313&gt;0,ETo!I313*((1-Entradas!$F$81)*ETo!K313+ETo!L313),0)</f>
        <v>4.0072004847457352</v>
      </c>
      <c r="W314" s="170">
        <f>IF(Escenarios!$F$14&gt;0,MIN(V314*1,0.8*(Z313+R314+S314+T314+Observaciones!$F313-U314-Constantes!$F$35)),0)</f>
        <v>2.1540435691816868</v>
      </c>
      <c r="X314" s="170">
        <f>IF(Escenarios!$F$14&gt;0,Observaciones!$J313,0)</f>
        <v>0</v>
      </c>
      <c r="Y314" s="170">
        <f>IF(Escenarios!$F$14&gt;0,MAX(0,Z313+R314+S314+T314+Observaciones!$F313-U314-W314-X314-Constantes!$F$33),0)</f>
        <v>0</v>
      </c>
      <c r="Z314" s="170">
        <f>Z313+R314+S314+T314+Observaciones!$F313-U314-W314-Y314</f>
        <v>41.78851089229542</v>
      </c>
      <c r="AA314" s="170">
        <f>IF(Escenarios!$F$14&gt;0,(Escenarios!$F$13*L314+Escenarios!$F$14*W314)/(Escenarios!$F$16),L314)</f>
        <v>2.5212954543388451</v>
      </c>
      <c r="AB314" s="170">
        <f>IF(Escenarios!$F$14&gt;0,(Escenarios!$F$14*Y314)/(Escenarios!$F$16),K314)</f>
        <v>0</v>
      </c>
      <c r="AC314" s="170">
        <f>IF(Escenarios!$F$14&gt;0,(Escenarios!$F$13*M314+Escenarios!$F$14*U314)/(Escenarios!$F$16),M314)</f>
        <v>0</v>
      </c>
      <c r="AD314" s="76">
        <f t="shared" si="57"/>
        <v>62.54839544104717</v>
      </c>
      <c r="AE314" s="76">
        <f>MAX(0,(AD314-Constantes!$D$13)*(1-EXP(-Constantes!$D$23)))</f>
        <v>0.13595887680237978</v>
      </c>
      <c r="AF314" s="76">
        <f>AB314+O314*Escenarios!$F$13/Escenarios!$F$16+AE314</f>
        <v>0.32105404078759475</v>
      </c>
      <c r="AG314" s="76">
        <f>IF(Entradas!$F$91&gt;0,IF(AF314-Escenarios!$F$38&lt;=0,0,IF(AF314-Escenarios!$F$38&gt;Escenarios!$F$37,Escenarios!$F$37,AF314-Escenarios!$F$38)),0)</f>
        <v>0</v>
      </c>
      <c r="AH314" s="76">
        <f>AG314*Entradas!$F$99</f>
        <v>0</v>
      </c>
      <c r="AI314" s="76">
        <f>IF(Entradas!$F$91&gt;0,D314*Entradas!$D$23/Escenarios!$F$16,0)</f>
        <v>0.21641849511702152</v>
      </c>
      <c r="AJ314" s="76">
        <f>IF(Entradas!$F$91&gt;0,Entradas!$D$24*Entradas!$D$22/Escenarios!$F$16,0)</f>
        <v>0.12</v>
      </c>
      <c r="AK314" s="76">
        <f t="shared" si="58"/>
        <v>2.7377139494558667</v>
      </c>
      <c r="AL314" s="76">
        <f t="shared" si="59"/>
        <v>0</v>
      </c>
      <c r="AM314" s="76">
        <f t="shared" si="60"/>
        <v>0</v>
      </c>
      <c r="AN314" s="76">
        <f>MAX(0,O314*Escenarios!$F$13/Escenarios!$F$16-AM314)</f>
        <v>0.18509516398521497</v>
      </c>
      <c r="AO314" s="76">
        <f>AM314+AN314-O314*Escenarios!$F$13/Escenarios!$F$16</f>
        <v>0</v>
      </c>
      <c r="AP314" s="76">
        <f t="shared" si="61"/>
        <v>0.13595887680237978</v>
      </c>
      <c r="AQ314" s="76">
        <f t="shared" si="62"/>
        <v>0</v>
      </c>
      <c r="AR314" s="76">
        <f t="shared" si="63"/>
        <v>0.32105404078759475</v>
      </c>
      <c r="AS314" s="76">
        <f t="shared" si="64"/>
        <v>0</v>
      </c>
      <c r="AT314" s="76">
        <f t="shared" si="65"/>
        <v>0</v>
      </c>
      <c r="AU314" s="76">
        <f t="shared" si="66"/>
        <v>49.181587683840974</v>
      </c>
      <c r="AV314" s="76">
        <f>MAX(0,(AU314-Constantes!$D$13)*(1-EXP(-Constantes!$D$24)))</f>
        <v>6.5969243779658649E-3</v>
      </c>
      <c r="AW314" s="170">
        <f>AW313+(Entradas!$F$112*AT314-AX313)/(800*Entradas!$D$25)</f>
        <v>0</v>
      </c>
      <c r="AX314" s="170">
        <f>8000*Entradas!$D$26*AW314/Constantes!$F$45</f>
        <v>0</v>
      </c>
      <c r="AY314" s="170">
        <f>IF(Escenarios!$F$17&gt;0,10*Escenarios!$F$16*AL314,0)</f>
        <v>0</v>
      </c>
      <c r="AZ314" s="170">
        <f>IF(Escenarios!$F$17&gt;0,10*Escenarios!$F$16*AX314,0)</f>
        <v>0</v>
      </c>
      <c r="BA314" s="170">
        <f>IF(Escenarios!$F$17&gt;0,0.001*Observaciones!$F313*Escenarios!$F$17,0)</f>
        <v>0</v>
      </c>
      <c r="BB314" s="170">
        <f>IF(Escenarios!$F$17&gt;0,Observaciones!$K313,0)</f>
        <v>0</v>
      </c>
      <c r="BC314" s="170">
        <f>IF(Escenarios!$F$17&gt;0,MIN(0.0005*ETo!$M313*Escenarios!$F$17*(BG313/Constantes!$F$40)^(2/3),BG313+AY314+AZ314+BA314+BB314),0)</f>
        <v>0</v>
      </c>
      <c r="BD314" s="170">
        <f>IF(Escenarios!$F$17&gt;0,MIN(Constantes!$F$39*(BG313/Constantes!$F$40)^(2/3),BG313+AY314+AZ314+BA314+BB314-BC314),0)</f>
        <v>0</v>
      </c>
      <c r="BE314" s="170">
        <f>IF(Escenarios!$F$17&gt;0,MIN(Entradas!$F$113,BG313+AY314+AZ314+BA314+BB314-BC314-BD314),0)</f>
        <v>0</v>
      </c>
      <c r="BF314" s="170">
        <f>IF(Escenarios!$F$17&gt;0,MAX(0,BG313+AY314+AZ314+BA314+BB314-BC314-BD314-BE314-Constantes!$F$40),0)</f>
        <v>0</v>
      </c>
      <c r="BG314" s="170">
        <f t="shared" si="67"/>
        <v>0</v>
      </c>
      <c r="BH314" s="170">
        <f>(Escenarios!$F$16*AK314+0.1*BC314)/(Escenarios!$F$19)</f>
        <v>2.7377139494558667</v>
      </c>
      <c r="BI314" s="170">
        <f>IF(Escenarios!$F$17&gt;0,BF314/10/Escenarios!$F$19,AL314)</f>
        <v>0</v>
      </c>
      <c r="BJ314" s="170">
        <f>(Escenarios!$F$16*AT314+0.1*BD314)/(Escenarios!$F$19)</f>
        <v>0</v>
      </c>
      <c r="BK314" s="76">
        <f>BK313+(0.1*BD314)/(Escenarios!$F$19)-BL313</f>
        <v>48.75</v>
      </c>
      <c r="BL314" s="76">
        <f>MAX(0,(BK314-Constantes!$D$13)*(1-EXP(-Constantes!$D$23)))</f>
        <v>0</v>
      </c>
      <c r="BM314" s="76">
        <f t="shared" si="68"/>
        <v>0.14255580118034564</v>
      </c>
      <c r="BN314" s="76">
        <f t="shared" si="69"/>
        <v>0.32765096516556064</v>
      </c>
      <c r="BO314" s="76">
        <f>0.0526*BI314*Observaciones!$F313^1.218</f>
        <v>0</v>
      </c>
      <c r="BP314" s="76">
        <f>BO314*Constantes!$F$51</f>
        <v>0</v>
      </c>
      <c r="BQ314" s="76">
        <f t="shared" si="70"/>
        <v>0</v>
      </c>
      <c r="BR314" s="40"/>
    </row>
    <row r="315" spans="2:70">
      <c r="B315" s="39"/>
      <c r="C315" s="75">
        <v>309</v>
      </c>
      <c r="D315" s="146">
        <f>ETo!$I314*((1-Constantes!$F$19)*ETo!$K314+ETo!$L314)</f>
        <v>4.636585944828048</v>
      </c>
      <c r="E315" s="76">
        <f>MIN(D315*Constantes!$F$17,0.8*(N314+Observaciones!$F314-F315-M315-Constantes!$D$14))</f>
        <v>2.6442994795002823</v>
      </c>
      <c r="F315" s="76">
        <f>IF(Observaciones!$F314&gt;0.05*Constantes!$F$18,((Observaciones!$F314-0.05*Constantes!$F$18)^2)/(Observaciones!$F314+0.95*Constantes!$F$18),0)</f>
        <v>0</v>
      </c>
      <c r="G315" s="76">
        <f>IF(Escenarios!$F$11&gt;0,(F315*Escenarios!$F$16*10000)/1000,0)</f>
        <v>0</v>
      </c>
      <c r="H315" s="76">
        <f>IF(Escenarios!$F$11&gt;0,(Observaciones!$F314*Constantes!$F$29)/1000,0)</f>
        <v>0</v>
      </c>
      <c r="I315" s="76">
        <f>IF(Escenarios!$F$11&gt;0,(D315*Constantes!$F$29)/1000,0)</f>
        <v>0</v>
      </c>
      <c r="J315" s="76">
        <f>IF(Escenarios!$F$11&gt;0,MAX(0,G315+H315-I315),0)</f>
        <v>0</v>
      </c>
      <c r="K315" s="76">
        <f>IF(Escenarios!$F$11&gt;0,IF(J315&gt;Constantes!$F$30,1000*((J315-Constantes!$F$30)/(Escenarios!$F$16*10000)),0),F315)</f>
        <v>0</v>
      </c>
      <c r="L315" s="76">
        <f>IF(Escenarios!$F$11&gt;0,I315*1000/Escenarios!$F$16/10000+E315,E315)</f>
        <v>2.6442994795002823</v>
      </c>
      <c r="M315" s="76">
        <f>MAX(0,N314+Observaciones!$F314-K315-Constantes!$D$13)</f>
        <v>0</v>
      </c>
      <c r="N315" s="76">
        <f>N314+Observaciones!$F314-K315-L315-M315-O314</f>
        <v>15.670137437070322</v>
      </c>
      <c r="O315" s="76">
        <f>MAX(0,(N315-Constantes!$D$14)*(1-EXP(-Constantes!$D$22)))</f>
        <v>0.15056610776333942</v>
      </c>
      <c r="P315" s="170">
        <f>P314+(Entradas!$F$83*M315-Q314)/(800*Entradas!$D$25)</f>
        <v>0</v>
      </c>
      <c r="Q315" s="170">
        <f>8000*Entradas!$D$26*P315/Constantes!$F$45</f>
        <v>0</v>
      </c>
      <c r="R315" s="170">
        <f>IF(Escenarios!$F$14&gt;0,K315*Escenarios!$F$13/Escenarios!$F$14,0)</f>
        <v>0</v>
      </c>
      <c r="S315" s="170">
        <f>IF(Escenarios!$F$14&gt;0,Q315*Escenarios!$F$13/Escenarios!$F$14,0)</f>
        <v>0</v>
      </c>
      <c r="T315" s="170">
        <f>IF(Escenarios!$F$14&gt;0,Observaciones!$I314,0)</f>
        <v>0</v>
      </c>
      <c r="U315" s="170">
        <f>IF(Escenarios!$F$14&gt;0,MAX(0,Constantes!$F$36/((Z314+R315+S315+T315+Observaciones!$F314)^2)+Entradas!$F$77),0)</f>
        <v>0</v>
      </c>
      <c r="V315" s="146">
        <f>IF(ETo!D314&gt;0,ETo!I314*((1-Entradas!$F$81)*ETo!K314+ETo!L314),0)</f>
        <v>4.1230185471755991</v>
      </c>
      <c r="W315" s="170">
        <f>IF(Escenarios!$F$14&gt;0,MIN(V315*1,0.8*(Z314+R315+S315+T315+Observaciones!$F314-U315-Constantes!$F$35)),0)</f>
        <v>1.3108087138363373</v>
      </c>
      <c r="X315" s="170">
        <f>IF(Escenarios!$F$14&gt;0,Observaciones!$J314,0)</f>
        <v>0</v>
      </c>
      <c r="Y315" s="170">
        <f>IF(Escenarios!$F$14&gt;0,MAX(0,Z314+R315+S315+T315+Observaciones!$F314-U315-W315-X315-Constantes!$F$33),0)</f>
        <v>0</v>
      </c>
      <c r="Z315" s="170">
        <f>Z314+R315+S315+T315+Observaciones!$F314-U315-W315-Y315</f>
        <v>41.577702178459084</v>
      </c>
      <c r="AA315" s="170">
        <f>IF(Escenarios!$F$14&gt;0,(Escenarios!$F$13*L315+Escenarios!$F$14*W315)/(Escenarios!$F$16),L315)</f>
        <v>2.4842805876206095</v>
      </c>
      <c r="AB315" s="170">
        <f>IF(Escenarios!$F$14&gt;0,(Escenarios!$F$14*Y315)/(Escenarios!$F$16),K315)</f>
        <v>0</v>
      </c>
      <c r="AC315" s="170">
        <f>IF(Escenarios!$F$14&gt;0,(Escenarios!$F$13*M315+Escenarios!$F$14*U315)/(Escenarios!$F$16),M315)</f>
        <v>0</v>
      </c>
      <c r="AD315" s="76">
        <f t="shared" si="57"/>
        <v>62.412436564244793</v>
      </c>
      <c r="AE315" s="76">
        <f>MAX(0,(AD315-Constantes!$D$13)*(1-EXP(-Constantes!$D$23)))</f>
        <v>0.13461924160636446</v>
      </c>
      <c r="AF315" s="76">
        <f>AB315+O315*Escenarios!$F$13/Escenarios!$F$16+AE315</f>
        <v>0.26711741643810316</v>
      </c>
      <c r="AG315" s="76">
        <f>IF(Entradas!$F$91&gt;0,IF(AF315-Escenarios!$F$38&lt;=0,0,IF(AF315-Escenarios!$F$38&gt;Escenarios!$F$37,Escenarios!$F$37,AF315-Escenarios!$F$38)),0)</f>
        <v>0</v>
      </c>
      <c r="AH315" s="76">
        <f>AG315*Entradas!$F$99</f>
        <v>0</v>
      </c>
      <c r="AI315" s="76">
        <f>IF(Entradas!$F$91&gt;0,D315*Entradas!$D$23/Escenarios!$F$16,0)</f>
        <v>0.22255612535174629</v>
      </c>
      <c r="AJ315" s="76">
        <f>IF(Entradas!$F$91&gt;0,Entradas!$D$24*Entradas!$D$22/Escenarios!$F$16,0)</f>
        <v>0.12</v>
      </c>
      <c r="AK315" s="76">
        <f t="shared" si="58"/>
        <v>2.7068367129723558</v>
      </c>
      <c r="AL315" s="76">
        <f t="shared" si="59"/>
        <v>0</v>
      </c>
      <c r="AM315" s="76">
        <f t="shared" si="60"/>
        <v>0</v>
      </c>
      <c r="AN315" s="76">
        <f>MAX(0,O315*Escenarios!$F$13/Escenarios!$F$16-AM315)</f>
        <v>0.13249817483173867</v>
      </c>
      <c r="AO315" s="76">
        <f>AM315+AN315-O315*Escenarios!$F$13/Escenarios!$F$16</f>
        <v>0</v>
      </c>
      <c r="AP315" s="76">
        <f t="shared" si="61"/>
        <v>0.13461924160636446</v>
      </c>
      <c r="AQ315" s="76">
        <f t="shared" si="62"/>
        <v>0</v>
      </c>
      <c r="AR315" s="76">
        <f t="shared" si="63"/>
        <v>0.26711741643810316</v>
      </c>
      <c r="AS315" s="76">
        <f t="shared" si="64"/>
        <v>0</v>
      </c>
      <c r="AT315" s="76">
        <f t="shared" si="65"/>
        <v>0</v>
      </c>
      <c r="AU315" s="76">
        <f t="shared" si="66"/>
        <v>49.174990759463007</v>
      </c>
      <c r="AV315" s="76">
        <f>MAX(0,(AU315-Constantes!$D$13)*(1-EXP(-Constantes!$D$24)))</f>
        <v>6.4960887589757777E-3</v>
      </c>
      <c r="AW315" s="170">
        <f>AW314+(Entradas!$F$112*AT315-AX314)/(800*Entradas!$D$25)</f>
        <v>0</v>
      </c>
      <c r="AX315" s="170">
        <f>8000*Entradas!$D$26*AW315/Constantes!$F$45</f>
        <v>0</v>
      </c>
      <c r="AY315" s="170">
        <f>IF(Escenarios!$F$17&gt;0,10*Escenarios!$F$16*AL315,0)</f>
        <v>0</v>
      </c>
      <c r="AZ315" s="170">
        <f>IF(Escenarios!$F$17&gt;0,10*Escenarios!$F$16*AX315,0)</f>
        <v>0</v>
      </c>
      <c r="BA315" s="170">
        <f>IF(Escenarios!$F$17&gt;0,0.001*Observaciones!$F314*Escenarios!$F$17,0)</f>
        <v>0</v>
      </c>
      <c r="BB315" s="170">
        <f>IF(Escenarios!$F$17&gt;0,Observaciones!$K314,0)</f>
        <v>0</v>
      </c>
      <c r="BC315" s="170">
        <f>IF(Escenarios!$F$17&gt;0,MIN(0.0005*ETo!$M314*Escenarios!$F$17*(BG314/Constantes!$F$40)^(2/3),BG314+AY315+AZ315+BA315+BB315),0)</f>
        <v>0</v>
      </c>
      <c r="BD315" s="170">
        <f>IF(Escenarios!$F$17&gt;0,MIN(Constantes!$F$39*(BG314/Constantes!$F$40)^(2/3),BG314+AY315+AZ315+BA315+BB315-BC315),0)</f>
        <v>0</v>
      </c>
      <c r="BE315" s="170">
        <f>IF(Escenarios!$F$17&gt;0,MIN(Entradas!$F$113,BG314+AY315+AZ315+BA315+BB315-BC315-BD315),0)</f>
        <v>0</v>
      </c>
      <c r="BF315" s="170">
        <f>IF(Escenarios!$F$17&gt;0,MAX(0,BG314+AY315+AZ315+BA315+BB315-BC315-BD315-BE315-Constantes!$F$40),0)</f>
        <v>0</v>
      </c>
      <c r="BG315" s="170">
        <f t="shared" si="67"/>
        <v>0</v>
      </c>
      <c r="BH315" s="170">
        <f>(Escenarios!$F$16*AK315+0.1*BC315)/(Escenarios!$F$19)</f>
        <v>2.7068367129723558</v>
      </c>
      <c r="BI315" s="170">
        <f>IF(Escenarios!$F$17&gt;0,BF315/10/Escenarios!$F$19,AL315)</f>
        <v>0</v>
      </c>
      <c r="BJ315" s="170">
        <f>(Escenarios!$F$16*AT315+0.1*BD315)/(Escenarios!$F$19)</f>
        <v>0</v>
      </c>
      <c r="BK315" s="76">
        <f>BK314+(0.1*BD315)/(Escenarios!$F$19)-BL314</f>
        <v>48.75</v>
      </c>
      <c r="BL315" s="76">
        <f>MAX(0,(BK315-Constantes!$D$13)*(1-EXP(-Constantes!$D$23)))</f>
        <v>0</v>
      </c>
      <c r="BM315" s="76">
        <f t="shared" si="68"/>
        <v>0.14111533036534024</v>
      </c>
      <c r="BN315" s="76">
        <f t="shared" si="69"/>
        <v>0.27361350519707894</v>
      </c>
      <c r="BO315" s="76">
        <f>0.0526*BI315*Observaciones!$F314^1.218</f>
        <v>0</v>
      </c>
      <c r="BP315" s="76">
        <f>BO315*Constantes!$F$51</f>
        <v>0</v>
      </c>
      <c r="BQ315" s="76">
        <f t="shared" si="70"/>
        <v>0</v>
      </c>
      <c r="BR315" s="40"/>
    </row>
    <row r="316" spans="2:70">
      <c r="B316" s="39"/>
      <c r="C316" s="75">
        <v>310</v>
      </c>
      <c r="D316" s="146">
        <f>ETo!$I315*((1-Constantes!$F$19)*ETo!$K315+ETo!$L315)</f>
        <v>4.5841969809008489</v>
      </c>
      <c r="E316" s="76">
        <f>MIN(D316*Constantes!$F$17,0.8*(N315+Observaciones!$F315-F316-M316-Constantes!$D$14))</f>
        <v>2.6144214374036445</v>
      </c>
      <c r="F316" s="76">
        <f>IF(Observaciones!$F315&gt;0.05*Constantes!$F$18,((Observaciones!$F315-0.05*Constantes!$F$18)^2)/(Observaciones!$F315+0.95*Constantes!$F$18),0)</f>
        <v>0</v>
      </c>
      <c r="G316" s="76">
        <f>IF(Escenarios!$F$11&gt;0,(F316*Escenarios!$F$16*10000)/1000,0)</f>
        <v>0</v>
      </c>
      <c r="H316" s="76">
        <f>IF(Escenarios!$F$11&gt;0,(Observaciones!$F315*Constantes!$F$29)/1000,0)</f>
        <v>0</v>
      </c>
      <c r="I316" s="76">
        <f>IF(Escenarios!$F$11&gt;0,(D316*Constantes!$F$29)/1000,0)</f>
        <v>0</v>
      </c>
      <c r="J316" s="76">
        <f>IF(Escenarios!$F$11&gt;0,MAX(0,G316+H316-I316),0)</f>
        <v>0</v>
      </c>
      <c r="K316" s="76">
        <f>IF(Escenarios!$F$11&gt;0,IF(J316&gt;Constantes!$F$30,1000*((J316-Constantes!$F$30)/(Escenarios!$F$16*10000)),0),F316)</f>
        <v>0</v>
      </c>
      <c r="L316" s="76">
        <f>IF(Escenarios!$F$11&gt;0,I316*1000/Escenarios!$F$16/10000+E316,E316)</f>
        <v>2.6144214374036445</v>
      </c>
      <c r="M316" s="76">
        <f>MAX(0,N315+Observaciones!$F315-K316-Constantes!$D$13)</f>
        <v>0</v>
      </c>
      <c r="N316" s="76">
        <f>N315+Observaciones!$F315-K316-L316-M316-O315</f>
        <v>13.005149891903338</v>
      </c>
      <c r="O316" s="76">
        <f>MAX(0,(N316-Constantes!$D$14)*(1-EXP(-Constantes!$D$22)))</f>
        <v>5.9786848605388111E-2</v>
      </c>
      <c r="P316" s="170">
        <f>P315+(Entradas!$F$83*M316-Q315)/(800*Entradas!$D$25)</f>
        <v>0</v>
      </c>
      <c r="Q316" s="170">
        <f>8000*Entradas!$D$26*P316/Constantes!$F$45</f>
        <v>0</v>
      </c>
      <c r="R316" s="170">
        <f>IF(Escenarios!$F$14&gt;0,K316*Escenarios!$F$13/Escenarios!$F$14,0)</f>
        <v>0</v>
      </c>
      <c r="S316" s="170">
        <f>IF(Escenarios!$F$14&gt;0,Q316*Escenarios!$F$13/Escenarios!$F$14,0)</f>
        <v>0</v>
      </c>
      <c r="T316" s="170">
        <f>IF(Escenarios!$F$14&gt;0,Observaciones!$I315,0)</f>
        <v>0</v>
      </c>
      <c r="U316" s="170">
        <f>IF(Escenarios!$F$14&gt;0,MAX(0,Constantes!$F$36/((Z315+R316+S316+T316+Observaciones!$F315)^2)+Entradas!$F$77),0)</f>
        <v>0</v>
      </c>
      <c r="V316" s="146">
        <f>IF(ETo!D315&gt;0,ETo!I315*((1-Entradas!$F$81)*ETo!K315+ETo!L315),0)</f>
        <v>4.075562721385583</v>
      </c>
      <c r="W316" s="170">
        <f>IF(Escenarios!$F$14&gt;0,MIN(V316*1,0.8*(Z315+R316+S316+T316+Observaciones!$F315-U316-Constantes!$F$35)),0)</f>
        <v>0.34216174276726863</v>
      </c>
      <c r="X316" s="170">
        <f>IF(Escenarios!$F$14&gt;0,Observaciones!$J315,0)</f>
        <v>0</v>
      </c>
      <c r="Y316" s="170">
        <f>IF(Escenarios!$F$14&gt;0,MAX(0,Z315+R316+S316+T316+Observaciones!$F315-U316-W316-X316-Constantes!$F$33),0)</f>
        <v>0</v>
      </c>
      <c r="Z316" s="170">
        <f>Z315+R316+S316+T316+Observaciones!$F315-U316-W316-Y316</f>
        <v>41.335540435691819</v>
      </c>
      <c r="AA316" s="170">
        <f>IF(Escenarios!$F$14&gt;0,(Escenarios!$F$13*L316+Escenarios!$F$14*W316)/(Escenarios!$F$16),L316)</f>
        <v>2.3417502740472798</v>
      </c>
      <c r="AB316" s="170">
        <f>IF(Escenarios!$F$14&gt;0,(Escenarios!$F$14*Y316)/(Escenarios!$F$16),K316)</f>
        <v>0</v>
      </c>
      <c r="AC316" s="170">
        <f>IF(Escenarios!$F$14&gt;0,(Escenarios!$F$13*M316+Escenarios!$F$14*U316)/(Escenarios!$F$16),M316)</f>
        <v>0</v>
      </c>
      <c r="AD316" s="76">
        <f t="shared" si="57"/>
        <v>62.277817322638427</v>
      </c>
      <c r="AE316" s="76">
        <f>MAX(0,(AD316-Constantes!$D$13)*(1-EXP(-Constantes!$D$23)))</f>
        <v>0.13329280615501166</v>
      </c>
      <c r="AF316" s="76">
        <f>AB316+O316*Escenarios!$F$13/Escenarios!$F$16+AE316</f>
        <v>0.18590523292775318</v>
      </c>
      <c r="AG316" s="76">
        <f>IF(Entradas!$F$91&gt;0,IF(AF316-Escenarios!$F$38&lt;=0,0,IF(AF316-Escenarios!$F$38&gt;Escenarios!$F$37,Escenarios!$F$37,AF316-Escenarios!$F$38)),0)</f>
        <v>0</v>
      </c>
      <c r="AH316" s="76">
        <f>AG316*Entradas!$F$99</f>
        <v>0</v>
      </c>
      <c r="AI316" s="76">
        <f>IF(Entradas!$F$91&gt;0,D316*Entradas!$D$23/Escenarios!$F$16,0)</f>
        <v>0.22004145508324074</v>
      </c>
      <c r="AJ316" s="76">
        <f>IF(Entradas!$F$91&gt;0,Entradas!$D$24*Entradas!$D$22/Escenarios!$F$16,0)</f>
        <v>0.12</v>
      </c>
      <c r="AK316" s="76">
        <f t="shared" si="58"/>
        <v>2.5617917291305203</v>
      </c>
      <c r="AL316" s="76">
        <f t="shared" si="59"/>
        <v>0</v>
      </c>
      <c r="AM316" s="76">
        <f t="shared" si="60"/>
        <v>0</v>
      </c>
      <c r="AN316" s="76">
        <f>MAX(0,O316*Escenarios!$F$13/Escenarios!$F$16-AM316)</f>
        <v>5.2612426772741534E-2</v>
      </c>
      <c r="AO316" s="76">
        <f>AM316+AN316-O316*Escenarios!$F$13/Escenarios!$F$16</f>
        <v>0</v>
      </c>
      <c r="AP316" s="76">
        <f t="shared" si="61"/>
        <v>0.13329280615501166</v>
      </c>
      <c r="AQ316" s="76">
        <f t="shared" si="62"/>
        <v>0</v>
      </c>
      <c r="AR316" s="76">
        <f t="shared" si="63"/>
        <v>0.18590523292775318</v>
      </c>
      <c r="AS316" s="76">
        <f t="shared" si="64"/>
        <v>0</v>
      </c>
      <c r="AT316" s="76">
        <f t="shared" si="65"/>
        <v>0</v>
      </c>
      <c r="AU316" s="76">
        <f t="shared" si="66"/>
        <v>49.168494670704028</v>
      </c>
      <c r="AV316" s="76">
        <f>MAX(0,(AU316-Constantes!$D$13)*(1-EXP(-Constantes!$D$24)))</f>
        <v>6.3967944373349182E-3</v>
      </c>
      <c r="AW316" s="170">
        <f>AW315+(Entradas!$F$112*AT316-AX315)/(800*Entradas!$D$25)</f>
        <v>0</v>
      </c>
      <c r="AX316" s="170">
        <f>8000*Entradas!$D$26*AW316/Constantes!$F$45</f>
        <v>0</v>
      </c>
      <c r="AY316" s="170">
        <f>IF(Escenarios!$F$17&gt;0,10*Escenarios!$F$16*AL316,0)</f>
        <v>0</v>
      </c>
      <c r="AZ316" s="170">
        <f>IF(Escenarios!$F$17&gt;0,10*Escenarios!$F$16*AX316,0)</f>
        <v>0</v>
      </c>
      <c r="BA316" s="170">
        <f>IF(Escenarios!$F$17&gt;0,0.001*Observaciones!$F315*Escenarios!$F$17,0)</f>
        <v>0</v>
      </c>
      <c r="BB316" s="170">
        <f>IF(Escenarios!$F$17&gt;0,Observaciones!$K315,0)</f>
        <v>0</v>
      </c>
      <c r="BC316" s="170">
        <f>IF(Escenarios!$F$17&gt;0,MIN(0.0005*ETo!$M315*Escenarios!$F$17*(BG315/Constantes!$F$40)^(2/3),BG315+AY316+AZ316+BA316+BB316),0)</f>
        <v>0</v>
      </c>
      <c r="BD316" s="170">
        <f>IF(Escenarios!$F$17&gt;0,MIN(Constantes!$F$39*(BG315/Constantes!$F$40)^(2/3),BG315+AY316+AZ316+BA316+BB316-BC316),0)</f>
        <v>0</v>
      </c>
      <c r="BE316" s="170">
        <f>IF(Escenarios!$F$17&gt;0,MIN(Entradas!$F$113,BG315+AY316+AZ316+BA316+BB316-BC316-BD316),0)</f>
        <v>0</v>
      </c>
      <c r="BF316" s="170">
        <f>IF(Escenarios!$F$17&gt;0,MAX(0,BG315+AY316+AZ316+BA316+BB316-BC316-BD316-BE316-Constantes!$F$40),0)</f>
        <v>0</v>
      </c>
      <c r="BG316" s="170">
        <f t="shared" si="67"/>
        <v>0</v>
      </c>
      <c r="BH316" s="170">
        <f>(Escenarios!$F$16*AK316+0.1*BC316)/(Escenarios!$F$19)</f>
        <v>2.5617917291305203</v>
      </c>
      <c r="BI316" s="170">
        <f>IF(Escenarios!$F$17&gt;0,BF316/10/Escenarios!$F$19,AL316)</f>
        <v>0</v>
      </c>
      <c r="BJ316" s="170">
        <f>(Escenarios!$F$16*AT316+0.1*BD316)/(Escenarios!$F$19)</f>
        <v>0</v>
      </c>
      <c r="BK316" s="76">
        <f>BK315+(0.1*BD316)/(Escenarios!$F$19)-BL315</f>
        <v>48.75</v>
      </c>
      <c r="BL316" s="76">
        <f>MAX(0,(BK316-Constantes!$D$13)*(1-EXP(-Constantes!$D$23)))</f>
        <v>0</v>
      </c>
      <c r="BM316" s="76">
        <f t="shared" si="68"/>
        <v>0.13968960059234659</v>
      </c>
      <c r="BN316" s="76">
        <f t="shared" si="69"/>
        <v>0.19230202736508811</v>
      </c>
      <c r="BO316" s="76">
        <f>0.0526*BI316*Observaciones!$F315^1.218</f>
        <v>0</v>
      </c>
      <c r="BP316" s="76">
        <f>BO316*Constantes!$F$51</f>
        <v>0</v>
      </c>
      <c r="BQ316" s="76">
        <f t="shared" si="70"/>
        <v>0</v>
      </c>
      <c r="BR316" s="40"/>
    </row>
    <row r="317" spans="2:70">
      <c r="B317" s="39"/>
      <c r="C317" s="75">
        <v>311</v>
      </c>
      <c r="D317" s="146">
        <f>ETo!$I316*((1-Constantes!$F$19)*ETo!$K316+ETo!$L316)</f>
        <v>4.5639217212976453</v>
      </c>
      <c r="E317" s="76">
        <f>MIN(D317*Constantes!$F$17,0.8*(N316+Observaciones!$F316-F317-M317-Constantes!$D$14))</f>
        <v>2.602858218463362</v>
      </c>
      <c r="F317" s="76">
        <f>IF(Observaciones!$F316&gt;0.05*Constantes!$F$18,((Observaciones!$F316-0.05*Constantes!$F$18)^2)/(Observaciones!$F316+0.95*Constantes!$F$18),0)</f>
        <v>0</v>
      </c>
      <c r="G317" s="76">
        <f>IF(Escenarios!$F$11&gt;0,(F317*Escenarios!$F$16*10000)/1000,0)</f>
        <v>0</v>
      </c>
      <c r="H317" s="76">
        <f>IF(Escenarios!$F$11&gt;0,(Observaciones!$F316*Constantes!$F$29)/1000,0)</f>
        <v>0</v>
      </c>
      <c r="I317" s="76">
        <f>IF(Escenarios!$F$11&gt;0,(D317*Constantes!$F$29)/1000,0)</f>
        <v>0</v>
      </c>
      <c r="J317" s="76">
        <f>IF(Escenarios!$F$11&gt;0,MAX(0,G317+H317-I317),0)</f>
        <v>0</v>
      </c>
      <c r="K317" s="76">
        <f>IF(Escenarios!$F$11&gt;0,IF(J317&gt;Constantes!$F$30,1000*((J317-Constantes!$F$30)/(Escenarios!$F$16*10000)),0),F317)</f>
        <v>0</v>
      </c>
      <c r="L317" s="76">
        <f>IF(Escenarios!$F$11&gt;0,I317*1000/Escenarios!$F$16/10000+E317,E317)</f>
        <v>2.602858218463362</v>
      </c>
      <c r="M317" s="76">
        <f>MAX(0,N316+Observaciones!$F316-K317-Constantes!$D$13)</f>
        <v>0</v>
      </c>
      <c r="N317" s="76">
        <f>N316+Observaciones!$F316-K317-L317-M317-O316</f>
        <v>12.342504824834588</v>
      </c>
      <c r="O317" s="76">
        <f>MAX(0,(N317-Constantes!$D$14)*(1-EXP(-Constantes!$D$22)))</f>
        <v>3.7214725001184584E-2</v>
      </c>
      <c r="P317" s="170">
        <f>P316+(Entradas!$F$83*M317-Q316)/(800*Entradas!$D$25)</f>
        <v>0</v>
      </c>
      <c r="Q317" s="170">
        <f>8000*Entradas!$D$26*P317/Constantes!$F$45</f>
        <v>0</v>
      </c>
      <c r="R317" s="170">
        <f>IF(Escenarios!$F$14&gt;0,K317*Escenarios!$F$13/Escenarios!$F$14,0)</f>
        <v>0</v>
      </c>
      <c r="S317" s="170">
        <f>IF(Escenarios!$F$14&gt;0,Q317*Escenarios!$F$13/Escenarios!$F$14,0)</f>
        <v>0</v>
      </c>
      <c r="T317" s="170">
        <f>IF(Escenarios!$F$14&gt;0,Observaciones!$I316,0)</f>
        <v>0</v>
      </c>
      <c r="U317" s="170">
        <f>IF(Escenarios!$F$14&gt;0,MAX(0,Constantes!$F$36/((Z316+R317+S317+T317+Observaciones!$F316)^2)+Entradas!$F$77),0)</f>
        <v>0</v>
      </c>
      <c r="V317" s="146">
        <f>IF(ETo!D316&gt;0,ETo!I316*((1-Entradas!$F$81)*ETo!K316+ETo!L316),0)</f>
        <v>4.0572401619119898</v>
      </c>
      <c r="W317" s="170">
        <f>IF(Escenarios!$F$14&gt;0,MIN(V317*1,0.8*(Z316+R317+S317+T317+Observaciones!$F316-U317-Constantes!$F$35)),0)</f>
        <v>1.6684323485534549</v>
      </c>
      <c r="X317" s="170">
        <f>IF(Escenarios!$F$14&gt;0,Observaciones!$J316,0)</f>
        <v>0</v>
      </c>
      <c r="Y317" s="170">
        <f>IF(Escenarios!$F$14&gt;0,MAX(0,Z316+R317+S317+T317+Observaciones!$F316-U317-W317-X317-Constantes!$F$33),0)</f>
        <v>0</v>
      </c>
      <c r="Z317" s="170">
        <f>Z316+R317+S317+T317+Observaciones!$F316-U317-W317-Y317</f>
        <v>41.667108087138367</v>
      </c>
      <c r="AA317" s="170">
        <f>IF(Escenarios!$F$14&gt;0,(Escenarios!$F$13*L317+Escenarios!$F$14*W317)/(Escenarios!$F$16),L317)</f>
        <v>2.4907271140741734</v>
      </c>
      <c r="AB317" s="170">
        <f>IF(Escenarios!$F$14&gt;0,(Escenarios!$F$14*Y317)/(Escenarios!$F$16),K317)</f>
        <v>0</v>
      </c>
      <c r="AC317" s="170">
        <f>IF(Escenarios!$F$14&gt;0,(Escenarios!$F$13*M317+Escenarios!$F$14*U317)/(Escenarios!$F$16),M317)</f>
        <v>0</v>
      </c>
      <c r="AD317" s="76">
        <f t="shared" si="57"/>
        <v>62.144524516483415</v>
      </c>
      <c r="AE317" s="76">
        <f>MAX(0,(AD317-Constantes!$D$13)*(1-EXP(-Constantes!$D$23)))</f>
        <v>0.13197944038809337</v>
      </c>
      <c r="AF317" s="76">
        <f>AB317+O317*Escenarios!$F$13/Escenarios!$F$16+AE317</f>
        <v>0.16472839838913581</v>
      </c>
      <c r="AG317" s="76">
        <f>IF(Entradas!$F$91&gt;0,IF(AF317-Escenarios!$F$38&lt;=0,0,IF(AF317-Escenarios!$F$38&gt;Escenarios!$F$37,Escenarios!$F$37,AF317-Escenarios!$F$38)),0)</f>
        <v>0</v>
      </c>
      <c r="AH317" s="76">
        <f>AG317*Entradas!$F$99</f>
        <v>0</v>
      </c>
      <c r="AI317" s="76">
        <f>IF(Entradas!$F$91&gt;0,D317*Entradas!$D$23/Escenarios!$F$16,0)</f>
        <v>0.21906824262228697</v>
      </c>
      <c r="AJ317" s="76">
        <f>IF(Entradas!$F$91&gt;0,Entradas!$D$24*Entradas!$D$22/Escenarios!$F$16,0)</f>
        <v>0.12</v>
      </c>
      <c r="AK317" s="76">
        <f t="shared" si="58"/>
        <v>2.7097953566964605</v>
      </c>
      <c r="AL317" s="76">
        <f t="shared" si="59"/>
        <v>0</v>
      </c>
      <c r="AM317" s="76">
        <f t="shared" si="60"/>
        <v>0</v>
      </c>
      <c r="AN317" s="76">
        <f>MAX(0,O317*Escenarios!$F$13/Escenarios!$F$16-AM317)</f>
        <v>3.2748958001042432E-2</v>
      </c>
      <c r="AO317" s="76">
        <f>AM317+AN317-O317*Escenarios!$F$13/Escenarios!$F$16</f>
        <v>0</v>
      </c>
      <c r="AP317" s="76">
        <f t="shared" si="61"/>
        <v>0.13197944038809337</v>
      </c>
      <c r="AQ317" s="76">
        <f t="shared" si="62"/>
        <v>0</v>
      </c>
      <c r="AR317" s="76">
        <f t="shared" si="63"/>
        <v>0.16472839838913581</v>
      </c>
      <c r="AS317" s="76">
        <f t="shared" si="64"/>
        <v>0</v>
      </c>
      <c r="AT317" s="76">
        <f t="shared" si="65"/>
        <v>0</v>
      </c>
      <c r="AU317" s="76">
        <f t="shared" si="66"/>
        <v>49.162097876266692</v>
      </c>
      <c r="AV317" s="76">
        <f>MAX(0,(AU317-Constantes!$D$13)*(1-EXP(-Constantes!$D$24)))</f>
        <v>6.2990178539325814E-3</v>
      </c>
      <c r="AW317" s="170">
        <f>AW316+(Entradas!$F$112*AT317-AX316)/(800*Entradas!$D$25)</f>
        <v>0</v>
      </c>
      <c r="AX317" s="170">
        <f>8000*Entradas!$D$26*AW317/Constantes!$F$45</f>
        <v>0</v>
      </c>
      <c r="AY317" s="170">
        <f>IF(Escenarios!$F$17&gt;0,10*Escenarios!$F$16*AL317,0)</f>
        <v>0</v>
      </c>
      <c r="AZ317" s="170">
        <f>IF(Escenarios!$F$17&gt;0,10*Escenarios!$F$16*AX317,0)</f>
        <v>0</v>
      </c>
      <c r="BA317" s="170">
        <f>IF(Escenarios!$F$17&gt;0,0.001*Observaciones!$F316*Escenarios!$F$17,0)</f>
        <v>0</v>
      </c>
      <c r="BB317" s="170">
        <f>IF(Escenarios!$F$17&gt;0,Observaciones!$K316,0)</f>
        <v>0</v>
      </c>
      <c r="BC317" s="170">
        <f>IF(Escenarios!$F$17&gt;0,MIN(0.0005*ETo!$M316*Escenarios!$F$17*(BG316/Constantes!$F$40)^(2/3),BG316+AY317+AZ317+BA317+BB317),0)</f>
        <v>0</v>
      </c>
      <c r="BD317" s="170">
        <f>IF(Escenarios!$F$17&gt;0,MIN(Constantes!$F$39*(BG316/Constantes!$F$40)^(2/3),BG316+AY317+AZ317+BA317+BB317-BC317),0)</f>
        <v>0</v>
      </c>
      <c r="BE317" s="170">
        <f>IF(Escenarios!$F$17&gt;0,MIN(Entradas!$F$113,BG316+AY317+AZ317+BA317+BB317-BC317-BD317),0)</f>
        <v>0</v>
      </c>
      <c r="BF317" s="170">
        <f>IF(Escenarios!$F$17&gt;0,MAX(0,BG316+AY317+AZ317+BA317+BB317-BC317-BD317-BE317-Constantes!$F$40),0)</f>
        <v>0</v>
      </c>
      <c r="BG317" s="170">
        <f t="shared" si="67"/>
        <v>0</v>
      </c>
      <c r="BH317" s="170">
        <f>(Escenarios!$F$16*AK317+0.1*BC317)/(Escenarios!$F$19)</f>
        <v>2.7097953566964605</v>
      </c>
      <c r="BI317" s="170">
        <f>IF(Escenarios!$F$17&gt;0,BF317/10/Escenarios!$F$19,AL317)</f>
        <v>0</v>
      </c>
      <c r="BJ317" s="170">
        <f>(Escenarios!$F$16*AT317+0.1*BD317)/(Escenarios!$F$19)</f>
        <v>0</v>
      </c>
      <c r="BK317" s="76">
        <f>BK316+(0.1*BD317)/(Escenarios!$F$19)-BL316</f>
        <v>48.75</v>
      </c>
      <c r="BL317" s="76">
        <f>MAX(0,(BK317-Constantes!$D$13)*(1-EXP(-Constantes!$D$23)))</f>
        <v>0</v>
      </c>
      <c r="BM317" s="76">
        <f t="shared" si="68"/>
        <v>0.13827845824202595</v>
      </c>
      <c r="BN317" s="76">
        <f t="shared" si="69"/>
        <v>0.17102741624306839</v>
      </c>
      <c r="BO317" s="76">
        <f>0.0526*BI317*Observaciones!$F316^1.218</f>
        <v>0</v>
      </c>
      <c r="BP317" s="76">
        <f>BO317*Constantes!$F$51</f>
        <v>0</v>
      </c>
      <c r="BQ317" s="76">
        <f t="shared" si="70"/>
        <v>0</v>
      </c>
      <c r="BR317" s="40"/>
    </row>
    <row r="318" spans="2:70">
      <c r="B318" s="39"/>
      <c r="C318" s="75">
        <v>312</v>
      </c>
      <c r="D318" s="146">
        <f>ETo!$I317*((1-Constantes!$F$19)*ETo!$K317+ETo!$L317)</f>
        <v>4.5665744623602578</v>
      </c>
      <c r="E318" s="76">
        <f>MIN(D318*Constantes!$F$17,0.8*(N317+Observaciones!$F317-F318-M318-Constantes!$D$14))</f>
        <v>0.87400385986767049</v>
      </c>
      <c r="F318" s="76">
        <f>IF(Observaciones!$F317&gt;0.05*Constantes!$F$18,((Observaciones!$F317-0.05*Constantes!$F$18)^2)/(Observaciones!$F317+0.95*Constantes!$F$18),0)</f>
        <v>0</v>
      </c>
      <c r="G318" s="76">
        <f>IF(Escenarios!$F$11&gt;0,(F318*Escenarios!$F$16*10000)/1000,0)</f>
        <v>0</v>
      </c>
      <c r="H318" s="76">
        <f>IF(Escenarios!$F$11&gt;0,(Observaciones!$F317*Constantes!$F$29)/1000,0)</f>
        <v>0</v>
      </c>
      <c r="I318" s="76">
        <f>IF(Escenarios!$F$11&gt;0,(D318*Constantes!$F$29)/1000,0)</f>
        <v>0</v>
      </c>
      <c r="J318" s="76">
        <f>IF(Escenarios!$F$11&gt;0,MAX(0,G318+H318-I318),0)</f>
        <v>0</v>
      </c>
      <c r="K318" s="76">
        <f>IF(Escenarios!$F$11&gt;0,IF(J318&gt;Constantes!$F$30,1000*((J318-Constantes!$F$30)/(Escenarios!$F$16*10000)),0),F318)</f>
        <v>0</v>
      </c>
      <c r="L318" s="76">
        <f>IF(Escenarios!$F$11&gt;0,I318*1000/Escenarios!$F$16/10000+E318,E318)</f>
        <v>0.87400385986767049</v>
      </c>
      <c r="M318" s="76">
        <f>MAX(0,N317+Observaciones!$F317-K318-Constantes!$D$13)</f>
        <v>0</v>
      </c>
      <c r="N318" s="76">
        <f>N317+Observaciones!$F317-K318-L318-M318-O317</f>
        <v>11.431286239965733</v>
      </c>
      <c r="O318" s="76">
        <f>MAX(0,(N318-Constantes!$D$14)*(1-EXP(-Constantes!$D$22)))</f>
        <v>6.1752748486442275E-3</v>
      </c>
      <c r="P318" s="170">
        <f>P317+(Entradas!$F$83*M318-Q317)/(800*Entradas!$D$25)</f>
        <v>0</v>
      </c>
      <c r="Q318" s="170">
        <f>8000*Entradas!$D$26*P318/Constantes!$F$45</f>
        <v>0</v>
      </c>
      <c r="R318" s="170">
        <f>IF(Escenarios!$F$14&gt;0,K318*Escenarios!$F$13/Escenarios!$F$14,0)</f>
        <v>0</v>
      </c>
      <c r="S318" s="170">
        <f>IF(Escenarios!$F$14&gt;0,Q318*Escenarios!$F$13/Escenarios!$F$14,0)</f>
        <v>0</v>
      </c>
      <c r="T318" s="170">
        <f>IF(Escenarios!$F$14&gt;0,Observaciones!$I317,0)</f>
        <v>0</v>
      </c>
      <c r="U318" s="170">
        <f>IF(Escenarios!$F$14&gt;0,MAX(0,Constantes!$F$36/((Z317+R318+S318+T318+Observaciones!$F317)^2)+Entradas!$F$77),0)</f>
        <v>0</v>
      </c>
      <c r="V318" s="146">
        <f>IF(ETo!D317&gt;0,ETo!I317*((1-Entradas!$F$81)*ETo!K317+ETo!L317),0)</f>
        <v>4.0596733112471073</v>
      </c>
      <c r="W318" s="170">
        <f>IF(Escenarios!$F$14&gt;0,MIN(V318*1,0.8*(Z317+R318+S318+T318+Observaciones!$F317-U318-Constantes!$F$35)),0)</f>
        <v>0.33368646971069327</v>
      </c>
      <c r="X318" s="170">
        <f>IF(Escenarios!$F$14&gt;0,Observaciones!$J317,0)</f>
        <v>0</v>
      </c>
      <c r="Y318" s="170">
        <f>IF(Escenarios!$F$14&gt;0,MAX(0,Z317+R318+S318+T318+Observaciones!$F317-U318-W318-X318-Constantes!$F$33),0)</f>
        <v>0</v>
      </c>
      <c r="Z318" s="170">
        <f>Z317+R318+S318+T318+Observaciones!$F317-U318-W318-Y318</f>
        <v>41.333421617427675</v>
      </c>
      <c r="AA318" s="170">
        <f>IF(Escenarios!$F$14&gt;0,(Escenarios!$F$13*L318+Escenarios!$F$14*W318)/(Escenarios!$F$16),L318)</f>
        <v>0.80916577304883319</v>
      </c>
      <c r="AB318" s="170">
        <f>IF(Escenarios!$F$14&gt;0,(Escenarios!$F$14*Y318)/(Escenarios!$F$16),K318)</f>
        <v>0</v>
      </c>
      <c r="AC318" s="170">
        <f>IF(Escenarios!$F$14&gt;0,(Escenarios!$F$13*M318+Escenarios!$F$14*U318)/(Escenarios!$F$16),M318)</f>
        <v>0</v>
      </c>
      <c r="AD318" s="76">
        <f t="shared" si="57"/>
        <v>62.012545076095321</v>
      </c>
      <c r="AE318" s="76">
        <f>MAX(0,(AD318-Constantes!$D$13)*(1-EXP(-Constantes!$D$23)))</f>
        <v>0.13067901552689587</v>
      </c>
      <c r="AF318" s="76">
        <f>AB318+O318*Escenarios!$F$13/Escenarios!$F$16+AE318</f>
        <v>0.13611325739370278</v>
      </c>
      <c r="AG318" s="76">
        <f>IF(Entradas!$F$91&gt;0,IF(AF318-Escenarios!$F$38&lt;=0,0,IF(AF318-Escenarios!$F$38&gt;Escenarios!$F$37,Escenarios!$F$37,AF318-Escenarios!$F$38)),0)</f>
        <v>0</v>
      </c>
      <c r="AH318" s="76">
        <f>AG318*Entradas!$F$99</f>
        <v>0</v>
      </c>
      <c r="AI318" s="76">
        <f>IF(Entradas!$F$91&gt;0,D318*Entradas!$D$23/Escenarios!$F$16,0)</f>
        <v>0.21919557419329239</v>
      </c>
      <c r="AJ318" s="76">
        <f>IF(Entradas!$F$91&gt;0,Entradas!$D$24*Entradas!$D$22/Escenarios!$F$16,0)</f>
        <v>0.12</v>
      </c>
      <c r="AK318" s="76">
        <f t="shared" si="58"/>
        <v>1.0283613472421256</v>
      </c>
      <c r="AL318" s="76">
        <f t="shared" si="59"/>
        <v>0</v>
      </c>
      <c r="AM318" s="76">
        <f t="shared" si="60"/>
        <v>0</v>
      </c>
      <c r="AN318" s="76">
        <f>MAX(0,O318*Escenarios!$F$13/Escenarios!$F$16-AM318)</f>
        <v>5.4342418668069208E-3</v>
      </c>
      <c r="AO318" s="76">
        <f>AM318+AN318-O318*Escenarios!$F$13/Escenarios!$F$16</f>
        <v>0</v>
      </c>
      <c r="AP318" s="76">
        <f t="shared" si="61"/>
        <v>0.13067901552689587</v>
      </c>
      <c r="AQ318" s="76">
        <f t="shared" si="62"/>
        <v>0</v>
      </c>
      <c r="AR318" s="76">
        <f t="shared" si="63"/>
        <v>0.13611325739370278</v>
      </c>
      <c r="AS318" s="76">
        <f t="shared" si="64"/>
        <v>0</v>
      </c>
      <c r="AT318" s="76">
        <f t="shared" si="65"/>
        <v>0</v>
      </c>
      <c r="AU318" s="76">
        <f t="shared" si="66"/>
        <v>49.155798858412759</v>
      </c>
      <c r="AV318" s="76">
        <f>MAX(0,(AU318-Constantes!$D$13)*(1-EXP(-Constantes!$D$24)))</f>
        <v>6.2027358097647761E-3</v>
      </c>
      <c r="AW318" s="170">
        <f>AW317+(Entradas!$F$112*AT318-AX317)/(800*Entradas!$D$25)</f>
        <v>0</v>
      </c>
      <c r="AX318" s="170">
        <f>8000*Entradas!$D$26*AW318/Constantes!$F$45</f>
        <v>0</v>
      </c>
      <c r="AY318" s="170">
        <f>IF(Escenarios!$F$17&gt;0,10*Escenarios!$F$16*AL318,0)</f>
        <v>0</v>
      </c>
      <c r="AZ318" s="170">
        <f>IF(Escenarios!$F$17&gt;0,10*Escenarios!$F$16*AX318,0)</f>
        <v>0</v>
      </c>
      <c r="BA318" s="170">
        <f>IF(Escenarios!$F$17&gt;0,0.001*Observaciones!$F317*Escenarios!$F$17,0)</f>
        <v>0</v>
      </c>
      <c r="BB318" s="170">
        <f>IF(Escenarios!$F$17&gt;0,Observaciones!$K317,0)</f>
        <v>0</v>
      </c>
      <c r="BC318" s="170">
        <f>IF(Escenarios!$F$17&gt;0,MIN(0.0005*ETo!$M317*Escenarios!$F$17*(BG317/Constantes!$F$40)^(2/3),BG317+AY318+AZ318+BA318+BB318),0)</f>
        <v>0</v>
      </c>
      <c r="BD318" s="170">
        <f>IF(Escenarios!$F$17&gt;0,MIN(Constantes!$F$39*(BG317/Constantes!$F$40)^(2/3),BG317+AY318+AZ318+BA318+BB318-BC318),0)</f>
        <v>0</v>
      </c>
      <c r="BE318" s="170">
        <f>IF(Escenarios!$F$17&gt;0,MIN(Entradas!$F$113,BG317+AY318+AZ318+BA318+BB318-BC318-BD318),0)</f>
        <v>0</v>
      </c>
      <c r="BF318" s="170">
        <f>IF(Escenarios!$F$17&gt;0,MAX(0,BG317+AY318+AZ318+BA318+BB318-BC318-BD318-BE318-Constantes!$F$40),0)</f>
        <v>0</v>
      </c>
      <c r="BG318" s="170">
        <f t="shared" si="67"/>
        <v>0</v>
      </c>
      <c r="BH318" s="170">
        <f>(Escenarios!$F$16*AK318+0.1*BC318)/(Escenarios!$F$19)</f>
        <v>1.0283613472421256</v>
      </c>
      <c r="BI318" s="170">
        <f>IF(Escenarios!$F$17&gt;0,BF318/10/Escenarios!$F$19,AL318)</f>
        <v>0</v>
      </c>
      <c r="BJ318" s="170">
        <f>(Escenarios!$F$16*AT318+0.1*BD318)/(Escenarios!$F$19)</f>
        <v>0</v>
      </c>
      <c r="BK318" s="76">
        <f>BK317+(0.1*BD318)/(Escenarios!$F$19)-BL317</f>
        <v>48.75</v>
      </c>
      <c r="BL318" s="76">
        <f>MAX(0,(BK318-Constantes!$D$13)*(1-EXP(-Constantes!$D$23)))</f>
        <v>0</v>
      </c>
      <c r="BM318" s="76">
        <f t="shared" si="68"/>
        <v>0.13688175133666064</v>
      </c>
      <c r="BN318" s="76">
        <f t="shared" si="69"/>
        <v>0.14231599320346755</v>
      </c>
      <c r="BO318" s="76">
        <f>0.0526*BI318*Observaciones!$F317^1.218</f>
        <v>0</v>
      </c>
      <c r="BP318" s="76">
        <f>BO318*Constantes!$F$51</f>
        <v>0</v>
      </c>
      <c r="BQ318" s="76">
        <f t="shared" si="70"/>
        <v>0</v>
      </c>
      <c r="BR318" s="40"/>
    </row>
    <row r="319" spans="2:70">
      <c r="B319" s="39"/>
      <c r="C319" s="75">
        <v>313</v>
      </c>
      <c r="D319" s="146">
        <f>ETo!$I318*((1-Constantes!$F$19)*ETo!$K318+ETo!$L318)</f>
        <v>4.6153320183334463</v>
      </c>
      <c r="E319" s="76">
        <f>MIN(D319*Constantes!$F$17,0.8*(N318+Observaciones!$F318-F319-M319-Constantes!$D$14))</f>
        <v>0.46502899197258646</v>
      </c>
      <c r="F319" s="76">
        <f>IF(Observaciones!$F318&gt;0.05*Constantes!$F$18,((Observaciones!$F318-0.05*Constantes!$F$18)^2)/(Observaciones!$F318+0.95*Constantes!$F$18),0)</f>
        <v>0</v>
      </c>
      <c r="G319" s="76">
        <f>IF(Escenarios!$F$11&gt;0,(F319*Escenarios!$F$16*10000)/1000,0)</f>
        <v>0</v>
      </c>
      <c r="H319" s="76">
        <f>IF(Escenarios!$F$11&gt;0,(Observaciones!$F318*Constantes!$F$29)/1000,0)</f>
        <v>0</v>
      </c>
      <c r="I319" s="76">
        <f>IF(Escenarios!$F$11&gt;0,(D319*Constantes!$F$29)/1000,0)</f>
        <v>0</v>
      </c>
      <c r="J319" s="76">
        <f>IF(Escenarios!$F$11&gt;0,MAX(0,G319+H319-I319),0)</f>
        <v>0</v>
      </c>
      <c r="K319" s="76">
        <f>IF(Escenarios!$F$11&gt;0,IF(J319&gt;Constantes!$F$30,1000*((J319-Constantes!$F$30)/(Escenarios!$F$16*10000)),0),F319)</f>
        <v>0</v>
      </c>
      <c r="L319" s="76">
        <f>IF(Escenarios!$F$11&gt;0,I319*1000/Escenarios!$F$16/10000+E319,E319)</f>
        <v>0.46502899197258646</v>
      </c>
      <c r="M319" s="76">
        <f>MAX(0,N318+Observaciones!$F318-K319-Constantes!$D$13)</f>
        <v>0</v>
      </c>
      <c r="N319" s="76">
        <f>N318+Observaciones!$F318-K319-L319-M319-O318</f>
        <v>11.360081973144503</v>
      </c>
      <c r="O319" s="76">
        <f>MAX(0,(N319-Constantes!$D$14)*(1-EXP(-Constantes!$D$22)))</f>
        <v>3.7497961244983254E-3</v>
      </c>
      <c r="P319" s="170">
        <f>P318+(Entradas!$F$83*M319-Q318)/(800*Entradas!$D$25)</f>
        <v>0</v>
      </c>
      <c r="Q319" s="170">
        <f>8000*Entradas!$D$26*P319/Constantes!$F$45</f>
        <v>0</v>
      </c>
      <c r="R319" s="170">
        <f>IF(Escenarios!$F$14&gt;0,K319*Escenarios!$F$13/Escenarios!$F$14,0)</f>
        <v>0</v>
      </c>
      <c r="S319" s="170">
        <f>IF(Escenarios!$F$14&gt;0,Q319*Escenarios!$F$13/Escenarios!$F$14,0)</f>
        <v>0</v>
      </c>
      <c r="T319" s="170">
        <f>IF(Escenarios!$F$14&gt;0,Observaciones!$I318,0)</f>
        <v>0</v>
      </c>
      <c r="U319" s="170">
        <f>IF(Escenarios!$F$14&gt;0,MAX(0,Constantes!$F$36/((Z318+R319+S319+T319+Observaciones!$F318)^2)+Entradas!$F$77),0)</f>
        <v>0</v>
      </c>
      <c r="V319" s="146">
        <f>IF(ETo!D318&gt;0,ETo!I318*((1-Entradas!$F$81)*ETo!K318+ETo!L318),0)</f>
        <v>4.1038612424281906</v>
      </c>
      <c r="W319" s="170">
        <f>IF(Escenarios!$F$14&gt;0,MIN(V319*1,0.8*(Z318+R319+S319+T319+Observaciones!$F318-U319-Constantes!$F$35)),0)</f>
        <v>0.38673729394213868</v>
      </c>
      <c r="X319" s="170">
        <f>IF(Escenarios!$F$14&gt;0,Observaciones!$J318,0)</f>
        <v>0</v>
      </c>
      <c r="Y319" s="170">
        <f>IF(Escenarios!$F$14&gt;0,MAX(0,Z318+R319+S319+T319+Observaciones!$F318-U319-W319-X319-Constantes!$F$33),0)</f>
        <v>0</v>
      </c>
      <c r="Z319" s="170">
        <f>Z318+R319+S319+T319+Observaciones!$F318-U319-W319-Y319</f>
        <v>41.346684323485533</v>
      </c>
      <c r="AA319" s="170">
        <f>IF(Escenarios!$F$14&gt;0,(Escenarios!$F$13*L319+Escenarios!$F$14*W319)/(Escenarios!$F$16),L319)</f>
        <v>0.45563398820893275</v>
      </c>
      <c r="AB319" s="170">
        <f>IF(Escenarios!$F$14&gt;0,(Escenarios!$F$14*Y319)/(Escenarios!$F$16),K319)</f>
        <v>0</v>
      </c>
      <c r="AC319" s="170">
        <f>IF(Escenarios!$F$14&gt;0,(Escenarios!$F$13*M319+Escenarios!$F$14*U319)/(Escenarios!$F$16),M319)</f>
        <v>0</v>
      </c>
      <c r="AD319" s="76">
        <f t="shared" si="57"/>
        <v>61.881866060568427</v>
      </c>
      <c r="AE319" s="76">
        <f>MAX(0,(AD319-Constantes!$D$13)*(1-EXP(-Constantes!$D$23)))</f>
        <v>0.12939140406159286</v>
      </c>
      <c r="AF319" s="76">
        <f>AB319+O319*Escenarios!$F$13/Escenarios!$F$16+AE319</f>
        <v>0.13269122465115138</v>
      </c>
      <c r="AG319" s="76">
        <f>IF(Entradas!$F$91&gt;0,IF(AF319-Escenarios!$F$38&lt;=0,0,IF(AF319-Escenarios!$F$38&gt;Escenarios!$F$37,Escenarios!$F$37,AF319-Escenarios!$F$38)),0)</f>
        <v>0</v>
      </c>
      <c r="AH319" s="76">
        <f>AG319*Entradas!$F$99</f>
        <v>0</v>
      </c>
      <c r="AI319" s="76">
        <f>IF(Entradas!$F$91&gt;0,D319*Entradas!$D$23/Escenarios!$F$16,0)</f>
        <v>0.22153593688000542</v>
      </c>
      <c r="AJ319" s="76">
        <f>IF(Entradas!$F$91&gt;0,Entradas!$D$24*Entradas!$D$22/Escenarios!$F$16,0)</f>
        <v>0.12</v>
      </c>
      <c r="AK319" s="76">
        <f t="shared" si="58"/>
        <v>0.67716992508893814</v>
      </c>
      <c r="AL319" s="76">
        <f t="shared" si="59"/>
        <v>0</v>
      </c>
      <c r="AM319" s="76">
        <f t="shared" si="60"/>
        <v>0</v>
      </c>
      <c r="AN319" s="76">
        <f>MAX(0,O319*Escenarios!$F$13/Escenarios!$F$16-AM319)</f>
        <v>3.2998205895585263E-3</v>
      </c>
      <c r="AO319" s="76">
        <f>AM319+AN319-O319*Escenarios!$F$13/Escenarios!$F$16</f>
        <v>0</v>
      </c>
      <c r="AP319" s="76">
        <f t="shared" si="61"/>
        <v>0.12939140406159286</v>
      </c>
      <c r="AQ319" s="76">
        <f t="shared" si="62"/>
        <v>0</v>
      </c>
      <c r="AR319" s="76">
        <f t="shared" si="63"/>
        <v>0.13269122465115138</v>
      </c>
      <c r="AS319" s="76">
        <f t="shared" si="64"/>
        <v>0</v>
      </c>
      <c r="AT319" s="76">
        <f t="shared" si="65"/>
        <v>0</v>
      </c>
      <c r="AU319" s="76">
        <f t="shared" si="66"/>
        <v>49.149596122602993</v>
      </c>
      <c r="AV319" s="76">
        <f>MAX(0,(AU319-Constantes!$D$13)*(1-EXP(-Constantes!$D$24)))</f>
        <v>6.1079254604300649E-3</v>
      </c>
      <c r="AW319" s="170">
        <f>AW318+(Entradas!$F$112*AT319-AX318)/(800*Entradas!$D$25)</f>
        <v>0</v>
      </c>
      <c r="AX319" s="170">
        <f>8000*Entradas!$D$26*AW319/Constantes!$F$45</f>
        <v>0</v>
      </c>
      <c r="AY319" s="170">
        <f>IF(Escenarios!$F$17&gt;0,10*Escenarios!$F$16*AL319,0)</f>
        <v>0</v>
      </c>
      <c r="AZ319" s="170">
        <f>IF(Escenarios!$F$17&gt;0,10*Escenarios!$F$16*AX319,0)</f>
        <v>0</v>
      </c>
      <c r="BA319" s="170">
        <f>IF(Escenarios!$F$17&gt;0,0.001*Observaciones!$F318*Escenarios!$F$17,0)</f>
        <v>0</v>
      </c>
      <c r="BB319" s="170">
        <f>IF(Escenarios!$F$17&gt;0,Observaciones!$K318,0)</f>
        <v>0</v>
      </c>
      <c r="BC319" s="170">
        <f>IF(Escenarios!$F$17&gt;0,MIN(0.0005*ETo!$M318*Escenarios!$F$17*(BG318/Constantes!$F$40)^(2/3),BG318+AY319+AZ319+BA319+BB319),0)</f>
        <v>0</v>
      </c>
      <c r="BD319" s="170">
        <f>IF(Escenarios!$F$17&gt;0,MIN(Constantes!$F$39*(BG318/Constantes!$F$40)^(2/3),BG318+AY319+AZ319+BA319+BB319-BC319),0)</f>
        <v>0</v>
      </c>
      <c r="BE319" s="170">
        <f>IF(Escenarios!$F$17&gt;0,MIN(Entradas!$F$113,BG318+AY319+AZ319+BA319+BB319-BC319-BD319),0)</f>
        <v>0</v>
      </c>
      <c r="BF319" s="170">
        <f>IF(Escenarios!$F$17&gt;0,MAX(0,BG318+AY319+AZ319+BA319+BB319-BC319-BD319-BE319-Constantes!$F$40),0)</f>
        <v>0</v>
      </c>
      <c r="BG319" s="170">
        <f t="shared" si="67"/>
        <v>0</v>
      </c>
      <c r="BH319" s="170">
        <f>(Escenarios!$F$16*AK319+0.1*BC319)/(Escenarios!$F$19)</f>
        <v>0.67716992508893814</v>
      </c>
      <c r="BI319" s="170">
        <f>IF(Escenarios!$F$17&gt;0,BF319/10/Escenarios!$F$19,AL319)</f>
        <v>0</v>
      </c>
      <c r="BJ319" s="170">
        <f>(Escenarios!$F$16*AT319+0.1*BD319)/(Escenarios!$F$19)</f>
        <v>0</v>
      </c>
      <c r="BK319" s="76">
        <f>BK318+(0.1*BD319)/(Escenarios!$F$19)-BL318</f>
        <v>48.75</v>
      </c>
      <c r="BL319" s="76">
        <f>MAX(0,(BK319-Constantes!$D$13)*(1-EXP(-Constantes!$D$23)))</f>
        <v>0</v>
      </c>
      <c r="BM319" s="76">
        <f t="shared" si="68"/>
        <v>0.13549932952202293</v>
      </c>
      <c r="BN319" s="76">
        <f t="shared" si="69"/>
        <v>0.13879915011158145</v>
      </c>
      <c r="BO319" s="76">
        <f>0.0526*BI319*Observaciones!$F318^1.218</f>
        <v>0</v>
      </c>
      <c r="BP319" s="76">
        <f>BO319*Constantes!$F$51</f>
        <v>0</v>
      </c>
      <c r="BQ319" s="76">
        <f t="shared" si="70"/>
        <v>0</v>
      </c>
      <c r="BR319" s="40"/>
    </row>
    <row r="320" spans="2:70">
      <c r="B320" s="39"/>
      <c r="C320" s="75">
        <v>314</v>
      </c>
      <c r="D320" s="146">
        <f>ETo!$I319*((1-Constantes!$F$19)*ETo!$K319+ETo!$L319)</f>
        <v>4.5528541644584459</v>
      </c>
      <c r="E320" s="76">
        <f>MIN(D320*Constantes!$F$17,0.8*(N319+Observaciones!$F319-F320-M320-Constantes!$D$14))</f>
        <v>8.8065578515602289E-2</v>
      </c>
      <c r="F320" s="76">
        <f>IF(Observaciones!$F319&gt;0.05*Constantes!$F$18,((Observaciones!$F319-0.05*Constantes!$F$18)^2)/(Observaciones!$F319+0.95*Constantes!$F$18),0)</f>
        <v>0</v>
      </c>
      <c r="G320" s="76">
        <f>IF(Escenarios!$F$11&gt;0,(F320*Escenarios!$F$16*10000)/1000,0)</f>
        <v>0</v>
      </c>
      <c r="H320" s="76">
        <f>IF(Escenarios!$F$11&gt;0,(Observaciones!$F319*Constantes!$F$29)/1000,0)</f>
        <v>0</v>
      </c>
      <c r="I320" s="76">
        <f>IF(Escenarios!$F$11&gt;0,(D320*Constantes!$F$29)/1000,0)</f>
        <v>0</v>
      </c>
      <c r="J320" s="76">
        <f>IF(Escenarios!$F$11&gt;0,MAX(0,G320+H320-I320),0)</f>
        <v>0</v>
      </c>
      <c r="K320" s="76">
        <f>IF(Escenarios!$F$11&gt;0,IF(J320&gt;Constantes!$F$30,1000*((J320-Constantes!$F$30)/(Escenarios!$F$16*10000)),0),F320)</f>
        <v>0</v>
      </c>
      <c r="L320" s="76">
        <f>IF(Escenarios!$F$11&gt;0,I320*1000/Escenarios!$F$16/10000+E320,E320)</f>
        <v>8.8065578515602289E-2</v>
      </c>
      <c r="M320" s="76">
        <f>MAX(0,N319+Observaciones!$F319-K320-Constantes!$D$13)</f>
        <v>0</v>
      </c>
      <c r="N320" s="76">
        <f>N319+Observaciones!$F319-K320-L320-M320-O319</f>
        <v>11.268266598504402</v>
      </c>
      <c r="O320" s="76">
        <f>MAX(0,(N320-Constantes!$D$14)*(1-EXP(-Constantes!$D$22)))</f>
        <v>6.2222740311586224E-4</v>
      </c>
      <c r="P320" s="170">
        <f>P319+(Entradas!$F$83*M320-Q319)/(800*Entradas!$D$25)</f>
        <v>0</v>
      </c>
      <c r="Q320" s="170">
        <f>8000*Entradas!$D$26*P320/Constantes!$F$45</f>
        <v>0</v>
      </c>
      <c r="R320" s="170">
        <f>IF(Escenarios!$F$14&gt;0,K320*Escenarios!$F$13/Escenarios!$F$14,0)</f>
        <v>0</v>
      </c>
      <c r="S320" s="170">
        <f>IF(Escenarios!$F$14&gt;0,Q320*Escenarios!$F$13/Escenarios!$F$14,0)</f>
        <v>0</v>
      </c>
      <c r="T320" s="170">
        <f>IF(Escenarios!$F$14&gt;0,Observaciones!$I319,0)</f>
        <v>0</v>
      </c>
      <c r="U320" s="170">
        <f>IF(Escenarios!$F$14&gt;0,MAX(0,Constantes!$F$36/((Z319+R320+S320+T320+Observaciones!$F319)^2)+Entradas!$F$77),0)</f>
        <v>0</v>
      </c>
      <c r="V320" s="146">
        <f>IF(ETo!D319&gt;0,ETo!I319*((1-Entradas!$F$81)*ETo!K319+ETo!L319),0)</f>
        <v>4.0473190769430909</v>
      </c>
      <c r="W320" s="170">
        <f>IF(Escenarios!$F$14&gt;0,MIN(V320*1,0.8*(Z319+R320+S320+T320+Observaciones!$F319-U320-Constantes!$F$35)),0)</f>
        <v>7.7347458788426596E-2</v>
      </c>
      <c r="X320" s="170">
        <f>IF(Escenarios!$F$14&gt;0,Observaciones!$J319,0)</f>
        <v>0</v>
      </c>
      <c r="Y320" s="170">
        <f>IF(Escenarios!$F$14&gt;0,MAX(0,Z319+R320+S320+T320+Observaciones!$F319-U320-W320-X320-Constantes!$F$33),0)</f>
        <v>0</v>
      </c>
      <c r="Z320" s="170">
        <f>Z319+R320+S320+T320+Observaciones!$F319-U320-W320-Y320</f>
        <v>41.269336864697109</v>
      </c>
      <c r="AA320" s="170">
        <f>IF(Escenarios!$F$14&gt;0,(Escenarios!$F$13*L320+Escenarios!$F$14*W320)/(Escenarios!$F$16),L320)</f>
        <v>8.6779404148341205E-2</v>
      </c>
      <c r="AB320" s="170">
        <f>IF(Escenarios!$F$14&gt;0,(Escenarios!$F$14*Y320)/(Escenarios!$F$16),K320)</f>
        <v>0</v>
      </c>
      <c r="AC320" s="170">
        <f>IF(Escenarios!$F$14&gt;0,(Escenarios!$F$13*M320+Escenarios!$F$14*U320)/(Escenarios!$F$16),M320)</f>
        <v>0</v>
      </c>
      <c r="AD320" s="76">
        <f t="shared" si="57"/>
        <v>61.752474656506834</v>
      </c>
      <c r="AE320" s="76">
        <f>MAX(0,(AD320-Constantes!$D$13)*(1-EXP(-Constantes!$D$23)))</f>
        <v>0.1281164797387426</v>
      </c>
      <c r="AF320" s="76">
        <f>AB320+O320*Escenarios!$F$13/Escenarios!$F$16+AE320</f>
        <v>0.12866403985348457</v>
      </c>
      <c r="AG320" s="76">
        <f>IF(Entradas!$F$91&gt;0,IF(AF320-Escenarios!$F$38&lt;=0,0,IF(AF320-Escenarios!$F$38&gt;Escenarios!$F$37,Escenarios!$F$37,AF320-Escenarios!$F$38)),0)</f>
        <v>0</v>
      </c>
      <c r="AH320" s="76">
        <f>AG320*Entradas!$F$99</f>
        <v>0</v>
      </c>
      <c r="AI320" s="76">
        <f>IF(Entradas!$F$91&gt;0,D320*Entradas!$D$23/Escenarios!$F$16,0)</f>
        <v>0.21853699989400541</v>
      </c>
      <c r="AJ320" s="76">
        <f>IF(Entradas!$F$91&gt;0,Entradas!$D$24*Entradas!$D$22/Escenarios!$F$16,0)</f>
        <v>0.12</v>
      </c>
      <c r="AK320" s="76">
        <f t="shared" si="58"/>
        <v>0.30531640404234661</v>
      </c>
      <c r="AL320" s="76">
        <f t="shared" si="59"/>
        <v>0</v>
      </c>
      <c r="AM320" s="76">
        <f t="shared" si="60"/>
        <v>0</v>
      </c>
      <c r="AN320" s="76">
        <f>MAX(0,O320*Escenarios!$F$13/Escenarios!$F$16-AM320)</f>
        <v>5.4756011474195877E-4</v>
      </c>
      <c r="AO320" s="76">
        <f>AM320+AN320-O320*Escenarios!$F$13/Escenarios!$F$16</f>
        <v>0</v>
      </c>
      <c r="AP320" s="76">
        <f t="shared" si="61"/>
        <v>0.1281164797387426</v>
      </c>
      <c r="AQ320" s="76">
        <f t="shared" si="62"/>
        <v>0</v>
      </c>
      <c r="AR320" s="76">
        <f t="shared" si="63"/>
        <v>0.12866403985348457</v>
      </c>
      <c r="AS320" s="76">
        <f t="shared" si="64"/>
        <v>0</v>
      </c>
      <c r="AT320" s="76">
        <f t="shared" si="65"/>
        <v>0</v>
      </c>
      <c r="AU320" s="76">
        <f t="shared" si="66"/>
        <v>49.143488197142567</v>
      </c>
      <c r="AV320" s="76">
        <f>MAX(0,(AU320-Constantes!$D$13)*(1-EXP(-Constantes!$D$24)))</f>
        <v>6.0145643107093662E-3</v>
      </c>
      <c r="AW320" s="170">
        <f>AW319+(Entradas!$F$112*AT320-AX319)/(800*Entradas!$D$25)</f>
        <v>0</v>
      </c>
      <c r="AX320" s="170">
        <f>8000*Entradas!$D$26*AW320/Constantes!$F$45</f>
        <v>0</v>
      </c>
      <c r="AY320" s="170">
        <f>IF(Escenarios!$F$17&gt;0,10*Escenarios!$F$16*AL320,0)</f>
        <v>0</v>
      </c>
      <c r="AZ320" s="170">
        <f>IF(Escenarios!$F$17&gt;0,10*Escenarios!$F$16*AX320,0)</f>
        <v>0</v>
      </c>
      <c r="BA320" s="170">
        <f>IF(Escenarios!$F$17&gt;0,0.001*Observaciones!$F319*Escenarios!$F$17,0)</f>
        <v>0</v>
      </c>
      <c r="BB320" s="170">
        <f>IF(Escenarios!$F$17&gt;0,Observaciones!$K319,0)</f>
        <v>0</v>
      </c>
      <c r="BC320" s="170">
        <f>IF(Escenarios!$F$17&gt;0,MIN(0.0005*ETo!$M319*Escenarios!$F$17*(BG319/Constantes!$F$40)^(2/3),BG319+AY320+AZ320+BA320+BB320),0)</f>
        <v>0</v>
      </c>
      <c r="BD320" s="170">
        <f>IF(Escenarios!$F$17&gt;0,MIN(Constantes!$F$39*(BG319/Constantes!$F$40)^(2/3),BG319+AY320+AZ320+BA320+BB320-BC320),0)</f>
        <v>0</v>
      </c>
      <c r="BE320" s="170">
        <f>IF(Escenarios!$F$17&gt;0,MIN(Entradas!$F$113,BG319+AY320+AZ320+BA320+BB320-BC320-BD320),0)</f>
        <v>0</v>
      </c>
      <c r="BF320" s="170">
        <f>IF(Escenarios!$F$17&gt;0,MAX(0,BG319+AY320+AZ320+BA320+BB320-BC320-BD320-BE320-Constantes!$F$40),0)</f>
        <v>0</v>
      </c>
      <c r="BG320" s="170">
        <f t="shared" si="67"/>
        <v>0</v>
      </c>
      <c r="BH320" s="170">
        <f>(Escenarios!$F$16*AK320+0.1*BC320)/(Escenarios!$F$19)</f>
        <v>0.30531640404234661</v>
      </c>
      <c r="BI320" s="170">
        <f>IF(Escenarios!$F$17&gt;0,BF320/10/Escenarios!$F$19,AL320)</f>
        <v>0</v>
      </c>
      <c r="BJ320" s="170">
        <f>(Escenarios!$F$16*AT320+0.1*BD320)/(Escenarios!$F$19)</f>
        <v>0</v>
      </c>
      <c r="BK320" s="76">
        <f>BK319+(0.1*BD320)/(Escenarios!$F$19)-BL319</f>
        <v>48.75</v>
      </c>
      <c r="BL320" s="76">
        <f>MAX(0,(BK320-Constantes!$D$13)*(1-EXP(-Constantes!$D$23)))</f>
        <v>0</v>
      </c>
      <c r="BM320" s="76">
        <f t="shared" si="68"/>
        <v>0.13413104404945198</v>
      </c>
      <c r="BN320" s="76">
        <f t="shared" si="69"/>
        <v>0.13467860416419394</v>
      </c>
      <c r="BO320" s="76">
        <f>0.0526*BI320*Observaciones!$F319^1.218</f>
        <v>0</v>
      </c>
      <c r="BP320" s="76">
        <f>BO320*Constantes!$F$51</f>
        <v>0</v>
      </c>
      <c r="BQ320" s="76">
        <f t="shared" si="70"/>
        <v>0</v>
      </c>
      <c r="BR320" s="40"/>
    </row>
    <row r="321" spans="2:70">
      <c r="B321" s="39"/>
      <c r="C321" s="75">
        <v>315</v>
      </c>
      <c r="D321" s="146">
        <f>ETo!$I320*((1-Constantes!$F$19)*ETo!$K320+ETo!$L320)</f>
        <v>4.4112905802968898</v>
      </c>
      <c r="E321" s="76">
        <f>MIN(D321*Constantes!$F$17,0.8*(N320+Observaciones!$F320-F321-M321-Constantes!$D$14))</f>
        <v>1.4613278803521723E-2</v>
      </c>
      <c r="F321" s="76">
        <f>IF(Observaciones!$F320&gt;0.05*Constantes!$F$18,((Observaciones!$F320-0.05*Constantes!$F$18)^2)/(Observaciones!$F320+0.95*Constantes!$F$18),0)</f>
        <v>0</v>
      </c>
      <c r="G321" s="76">
        <f>IF(Escenarios!$F$11&gt;0,(F321*Escenarios!$F$16*10000)/1000,0)</f>
        <v>0</v>
      </c>
      <c r="H321" s="76">
        <f>IF(Escenarios!$F$11&gt;0,(Observaciones!$F320*Constantes!$F$29)/1000,0)</f>
        <v>0</v>
      </c>
      <c r="I321" s="76">
        <f>IF(Escenarios!$F$11&gt;0,(D321*Constantes!$F$29)/1000,0)</f>
        <v>0</v>
      </c>
      <c r="J321" s="76">
        <f>IF(Escenarios!$F$11&gt;0,MAX(0,G321+H321-I321),0)</f>
        <v>0</v>
      </c>
      <c r="K321" s="76">
        <f>IF(Escenarios!$F$11&gt;0,IF(J321&gt;Constantes!$F$30,1000*((J321-Constantes!$F$30)/(Escenarios!$F$16*10000)),0),F321)</f>
        <v>0</v>
      </c>
      <c r="L321" s="76">
        <f>IF(Escenarios!$F$11&gt;0,I321*1000/Escenarios!$F$16/10000+E321,E321)</f>
        <v>1.4613278803521723E-2</v>
      </c>
      <c r="M321" s="76">
        <f>MAX(0,N320+Observaciones!$F320-K321-Constantes!$D$13)</f>
        <v>0</v>
      </c>
      <c r="N321" s="76">
        <f>N320+Observaciones!$F320-K321-L321-M321-O320</f>
        <v>11.253031092297764</v>
      </c>
      <c r="O321" s="76">
        <f>MAX(0,(N321-Constantes!$D$14)*(1-EXP(-Constantes!$D$22)))</f>
        <v>1.032501310294704E-4</v>
      </c>
      <c r="P321" s="170">
        <f>P320+(Entradas!$F$83*M321-Q320)/(800*Entradas!$D$25)</f>
        <v>0</v>
      </c>
      <c r="Q321" s="170">
        <f>8000*Entradas!$D$26*P321/Constantes!$F$45</f>
        <v>0</v>
      </c>
      <c r="R321" s="170">
        <f>IF(Escenarios!$F$14&gt;0,K321*Escenarios!$F$13/Escenarios!$F$14,0)</f>
        <v>0</v>
      </c>
      <c r="S321" s="170">
        <f>IF(Escenarios!$F$14&gt;0,Q321*Escenarios!$F$13/Escenarios!$F$14,0)</f>
        <v>0</v>
      </c>
      <c r="T321" s="170">
        <f>IF(Escenarios!$F$14&gt;0,Observaciones!$I320,0)</f>
        <v>0</v>
      </c>
      <c r="U321" s="170">
        <f>IF(Escenarios!$F$14&gt;0,MAX(0,Constantes!$F$36/((Z320+R321+S321+T321+Observaciones!$F320)^2)+Entradas!$F$77),0)</f>
        <v>0</v>
      </c>
      <c r="V321" s="146">
        <f>IF(ETo!D320&gt;0,ETo!I320*((1-Entradas!$F$81)*ETo!K320+ETo!L320),0)</f>
        <v>3.9195800318183336</v>
      </c>
      <c r="W321" s="170">
        <f>IF(Escenarios!$F$14&gt;0,MIN(V321*1,0.8*(Z320+R321+S321+T321+Observaciones!$F320-U321-Constantes!$F$35)),0)</f>
        <v>1.5469491757687593E-2</v>
      </c>
      <c r="X321" s="170">
        <f>IF(Escenarios!$F$14&gt;0,Observaciones!$J320,0)</f>
        <v>0</v>
      </c>
      <c r="Y321" s="170">
        <f>IF(Escenarios!$F$14&gt;0,MAX(0,Z320+R321+S321+T321+Observaciones!$F320-U321-W321-X321-Constantes!$F$33),0)</f>
        <v>0</v>
      </c>
      <c r="Z321" s="170">
        <f>Z320+R321+S321+T321+Observaciones!$F320-U321-W321-Y321</f>
        <v>41.253867372939425</v>
      </c>
      <c r="AA321" s="170">
        <f>IF(Escenarios!$F$14&gt;0,(Escenarios!$F$13*L321+Escenarios!$F$14*W321)/(Escenarios!$F$16),L321)</f>
        <v>1.4716024358021627E-2</v>
      </c>
      <c r="AB321" s="170">
        <f>IF(Escenarios!$F$14&gt;0,(Escenarios!$F$14*Y321)/(Escenarios!$F$16),K321)</f>
        <v>0</v>
      </c>
      <c r="AC321" s="170">
        <f>IF(Escenarios!$F$14&gt;0,(Escenarios!$F$13*M321+Escenarios!$F$14*U321)/(Escenarios!$F$16),M321)</f>
        <v>0</v>
      </c>
      <c r="AD321" s="76">
        <f t="shared" si="57"/>
        <v>61.624358176768091</v>
      </c>
      <c r="AE321" s="76">
        <f>MAX(0,(AD321-Constantes!$D$13)*(1-EXP(-Constantes!$D$23)))</f>
        <v>0.12685411754890871</v>
      </c>
      <c r="AF321" s="76">
        <f>AB321+O321*Escenarios!$F$13/Escenarios!$F$16+AE321</f>
        <v>0.12694497766421464</v>
      </c>
      <c r="AG321" s="76">
        <f>IF(Entradas!$F$91&gt;0,IF(AF321-Escenarios!$F$38&lt;=0,0,IF(AF321-Escenarios!$F$38&gt;Escenarios!$F$37,Escenarios!$F$37,AF321-Escenarios!$F$38)),0)</f>
        <v>0</v>
      </c>
      <c r="AH321" s="76">
        <f>AG321*Entradas!$F$99</f>
        <v>0</v>
      </c>
      <c r="AI321" s="76">
        <f>IF(Entradas!$F$91&gt;0,D321*Entradas!$D$23/Escenarios!$F$16,0)</f>
        <v>0.21174194785425071</v>
      </c>
      <c r="AJ321" s="76">
        <f>IF(Entradas!$F$91&gt;0,Entradas!$D$24*Entradas!$D$22/Escenarios!$F$16,0)</f>
        <v>0.12</v>
      </c>
      <c r="AK321" s="76">
        <f t="shared" si="58"/>
        <v>0.22645797221227235</v>
      </c>
      <c r="AL321" s="76">
        <f t="shared" si="59"/>
        <v>0</v>
      </c>
      <c r="AM321" s="76">
        <f t="shared" si="60"/>
        <v>0</v>
      </c>
      <c r="AN321" s="76">
        <f>MAX(0,O321*Escenarios!$F$13/Escenarios!$F$16-AM321)</f>
        <v>9.0860115305933944E-5</v>
      </c>
      <c r="AO321" s="76">
        <f>AM321+AN321-O321*Escenarios!$F$13/Escenarios!$F$16</f>
        <v>0</v>
      </c>
      <c r="AP321" s="76">
        <f t="shared" si="61"/>
        <v>0.12685411754890871</v>
      </c>
      <c r="AQ321" s="76">
        <f t="shared" si="62"/>
        <v>0</v>
      </c>
      <c r="AR321" s="76">
        <f t="shared" si="63"/>
        <v>0.12694497766421464</v>
      </c>
      <c r="AS321" s="76">
        <f t="shared" si="64"/>
        <v>0</v>
      </c>
      <c r="AT321" s="76">
        <f t="shared" si="65"/>
        <v>0</v>
      </c>
      <c r="AU321" s="76">
        <f t="shared" si="66"/>
        <v>49.137473632831856</v>
      </c>
      <c r="AV321" s="76">
        <f>MAX(0,(AU321-Constantes!$D$13)*(1-EXP(-Constantes!$D$24)))</f>
        <v>5.9226302092284027E-3</v>
      </c>
      <c r="AW321" s="170">
        <f>AW320+(Entradas!$F$112*AT321-AX320)/(800*Entradas!$D$25)</f>
        <v>0</v>
      </c>
      <c r="AX321" s="170">
        <f>8000*Entradas!$D$26*AW321/Constantes!$F$45</f>
        <v>0</v>
      </c>
      <c r="AY321" s="170">
        <f>IF(Escenarios!$F$17&gt;0,10*Escenarios!$F$16*AL321,0)</f>
        <v>0</v>
      </c>
      <c r="AZ321" s="170">
        <f>IF(Escenarios!$F$17&gt;0,10*Escenarios!$F$16*AX321,0)</f>
        <v>0</v>
      </c>
      <c r="BA321" s="170">
        <f>IF(Escenarios!$F$17&gt;0,0.001*Observaciones!$F320*Escenarios!$F$17,0)</f>
        <v>0</v>
      </c>
      <c r="BB321" s="170">
        <f>IF(Escenarios!$F$17&gt;0,Observaciones!$K320,0)</f>
        <v>0</v>
      </c>
      <c r="BC321" s="170">
        <f>IF(Escenarios!$F$17&gt;0,MIN(0.0005*ETo!$M320*Escenarios!$F$17*(BG320/Constantes!$F$40)^(2/3),BG320+AY321+AZ321+BA321+BB321),0)</f>
        <v>0</v>
      </c>
      <c r="BD321" s="170">
        <f>IF(Escenarios!$F$17&gt;0,MIN(Constantes!$F$39*(BG320/Constantes!$F$40)^(2/3),BG320+AY321+AZ321+BA321+BB321-BC321),0)</f>
        <v>0</v>
      </c>
      <c r="BE321" s="170">
        <f>IF(Escenarios!$F$17&gt;0,MIN(Entradas!$F$113,BG320+AY321+AZ321+BA321+BB321-BC321-BD321),0)</f>
        <v>0</v>
      </c>
      <c r="BF321" s="170">
        <f>IF(Escenarios!$F$17&gt;0,MAX(0,BG320+AY321+AZ321+BA321+BB321-BC321-BD321-BE321-Constantes!$F$40),0)</f>
        <v>0</v>
      </c>
      <c r="BG321" s="170">
        <f t="shared" si="67"/>
        <v>0</v>
      </c>
      <c r="BH321" s="170">
        <f>(Escenarios!$F$16*AK321+0.1*BC321)/(Escenarios!$F$19)</f>
        <v>0.22645797221227235</v>
      </c>
      <c r="BI321" s="170">
        <f>IF(Escenarios!$F$17&gt;0,BF321/10/Escenarios!$F$19,AL321)</f>
        <v>0</v>
      </c>
      <c r="BJ321" s="170">
        <f>(Escenarios!$F$16*AT321+0.1*BD321)/(Escenarios!$F$19)</f>
        <v>0</v>
      </c>
      <c r="BK321" s="76">
        <f>BK320+(0.1*BD321)/(Escenarios!$F$19)-BL320</f>
        <v>48.75</v>
      </c>
      <c r="BL321" s="76">
        <f>MAX(0,(BK321-Constantes!$D$13)*(1-EXP(-Constantes!$D$23)))</f>
        <v>0</v>
      </c>
      <c r="BM321" s="76">
        <f t="shared" si="68"/>
        <v>0.13277674775813711</v>
      </c>
      <c r="BN321" s="76">
        <f t="shared" si="69"/>
        <v>0.13286760787344304</v>
      </c>
      <c r="BO321" s="76">
        <f>0.0526*BI321*Observaciones!$F320^1.218</f>
        <v>0</v>
      </c>
      <c r="BP321" s="76">
        <f>BO321*Constantes!$F$51</f>
        <v>0</v>
      </c>
      <c r="BQ321" s="76">
        <f t="shared" si="70"/>
        <v>0</v>
      </c>
      <c r="BR321" s="40"/>
    </row>
    <row r="322" spans="2:70">
      <c r="B322" s="39"/>
      <c r="C322" s="75">
        <v>316</v>
      </c>
      <c r="D322" s="146">
        <f>ETo!$I321*((1-Constantes!$F$19)*ETo!$K321+ETo!$L321)</f>
        <v>4.5384698248119335</v>
      </c>
      <c r="E322" s="76">
        <f>MIN(D322*Constantes!$F$17,0.8*(N321+Observaciones!$F321-F322-M322-Constantes!$D$14))</f>
        <v>2.4248738382112835E-3</v>
      </c>
      <c r="F322" s="76">
        <f>IF(Observaciones!$F321&gt;0.05*Constantes!$F$18,((Observaciones!$F321-0.05*Constantes!$F$18)^2)/(Observaciones!$F321+0.95*Constantes!$F$18),0)</f>
        <v>0</v>
      </c>
      <c r="G322" s="76">
        <f>IF(Escenarios!$F$11&gt;0,(F322*Escenarios!$F$16*10000)/1000,0)</f>
        <v>0</v>
      </c>
      <c r="H322" s="76">
        <f>IF(Escenarios!$F$11&gt;0,(Observaciones!$F321*Constantes!$F$29)/1000,0)</f>
        <v>0</v>
      </c>
      <c r="I322" s="76">
        <f>IF(Escenarios!$F$11&gt;0,(D322*Constantes!$F$29)/1000,0)</f>
        <v>0</v>
      </c>
      <c r="J322" s="76">
        <f>IF(Escenarios!$F$11&gt;0,MAX(0,G322+H322-I322),0)</f>
        <v>0</v>
      </c>
      <c r="K322" s="76">
        <f>IF(Escenarios!$F$11&gt;0,IF(J322&gt;Constantes!$F$30,1000*((J322-Constantes!$F$30)/(Escenarios!$F$16*10000)),0),F322)</f>
        <v>0</v>
      </c>
      <c r="L322" s="76">
        <f>IF(Escenarios!$F$11&gt;0,I322*1000/Escenarios!$F$16/10000+E322,E322)</f>
        <v>2.4248738382112835E-3</v>
      </c>
      <c r="M322" s="76">
        <f>MAX(0,N321+Observaciones!$F321-K322-Constantes!$D$13)</f>
        <v>0</v>
      </c>
      <c r="N322" s="76">
        <f>N321+Observaciones!$F321-K322-L322-M322-O321</f>
        <v>11.250502968328522</v>
      </c>
      <c r="O322" s="76">
        <f>MAX(0,(N322-Constantes!$D$14)*(1-EXP(-Constantes!$D$22)))</f>
        <v>1.7132947704002379E-5</v>
      </c>
      <c r="P322" s="170">
        <f>P321+(Entradas!$F$83*M322-Q321)/(800*Entradas!$D$25)</f>
        <v>0</v>
      </c>
      <c r="Q322" s="170">
        <f>8000*Entradas!$D$26*P322/Constantes!$F$45</f>
        <v>0</v>
      </c>
      <c r="R322" s="170">
        <f>IF(Escenarios!$F$14&gt;0,K322*Escenarios!$F$13/Escenarios!$F$14,0)</f>
        <v>0</v>
      </c>
      <c r="S322" s="170">
        <f>IF(Escenarios!$F$14&gt;0,Q322*Escenarios!$F$13/Escenarios!$F$14,0)</f>
        <v>0</v>
      </c>
      <c r="T322" s="170">
        <f>IF(Escenarios!$F$14&gt;0,Observaciones!$I321,0)</f>
        <v>0</v>
      </c>
      <c r="U322" s="170">
        <f>IF(Escenarios!$F$14&gt;0,MAX(0,Constantes!$F$36/((Z321+R322+S322+T322+Observaciones!$F321)^2)+Entradas!$F$77),0)</f>
        <v>0</v>
      </c>
      <c r="V322" s="146">
        <f>IF(ETo!D321&gt;0,ETo!I321*((1-Entradas!$F$81)*ETo!K321+ETo!L321),0)</f>
        <v>4.0343653562697508</v>
      </c>
      <c r="W322" s="170">
        <f>IF(Escenarios!$F$14&gt;0,MIN(V322*1,0.8*(Z321+R322+S322+T322+Observaciones!$F321-U322-Constantes!$F$35)),0)</f>
        <v>3.0938983515397924E-3</v>
      </c>
      <c r="X322" s="170">
        <f>IF(Escenarios!$F$14&gt;0,Observaciones!$J321,0)</f>
        <v>0</v>
      </c>
      <c r="Y322" s="170">
        <f>IF(Escenarios!$F$14&gt;0,MAX(0,Z321+R322+S322+T322+Observaciones!$F321-U322-W322-X322-Constantes!$F$33),0)</f>
        <v>0</v>
      </c>
      <c r="Z322" s="170">
        <f>Z321+R322+S322+T322+Observaciones!$F321-U322-W322-Y322</f>
        <v>41.250773474587888</v>
      </c>
      <c r="AA322" s="170">
        <f>IF(Escenarios!$F$14&gt;0,(Escenarios!$F$13*L322+Escenarios!$F$14*W322)/(Escenarios!$F$16),L322)</f>
        <v>2.5051567798107044E-3</v>
      </c>
      <c r="AB322" s="170">
        <f>IF(Escenarios!$F$14&gt;0,(Escenarios!$F$14*Y322)/(Escenarios!$F$16),K322)</f>
        <v>0</v>
      </c>
      <c r="AC322" s="170">
        <f>IF(Escenarios!$F$14&gt;0,(Escenarios!$F$13*M322+Escenarios!$F$14*U322)/(Escenarios!$F$16),M322)</f>
        <v>0</v>
      </c>
      <c r="AD322" s="76">
        <f t="shared" si="57"/>
        <v>61.497504059219182</v>
      </c>
      <c r="AE322" s="76">
        <f>MAX(0,(AD322-Constantes!$D$13)*(1-EXP(-Constantes!$D$23)))</f>
        <v>0.12560419371440248</v>
      </c>
      <c r="AF322" s="76">
        <f>AB322+O322*Escenarios!$F$13/Escenarios!$F$16+AE322</f>
        <v>0.125619270708382</v>
      </c>
      <c r="AG322" s="76">
        <f>IF(Entradas!$F$91&gt;0,IF(AF322-Escenarios!$F$38&lt;=0,0,IF(AF322-Escenarios!$F$38&gt;Escenarios!$F$37,Escenarios!$F$37,AF322-Escenarios!$F$38)),0)</f>
        <v>0</v>
      </c>
      <c r="AH322" s="76">
        <f>AG322*Entradas!$F$99</f>
        <v>0</v>
      </c>
      <c r="AI322" s="76">
        <f>IF(Entradas!$F$91&gt;0,D322*Entradas!$D$23/Escenarios!$F$16,0)</f>
        <v>0.2178465515909728</v>
      </c>
      <c r="AJ322" s="76">
        <f>IF(Entradas!$F$91&gt;0,Entradas!$D$24*Entradas!$D$22/Escenarios!$F$16,0)</f>
        <v>0.12</v>
      </c>
      <c r="AK322" s="76">
        <f t="shared" si="58"/>
        <v>0.22035170837078349</v>
      </c>
      <c r="AL322" s="76">
        <f t="shared" si="59"/>
        <v>0</v>
      </c>
      <c r="AM322" s="76">
        <f t="shared" si="60"/>
        <v>0</v>
      </c>
      <c r="AN322" s="76">
        <f>MAX(0,O322*Escenarios!$F$13/Escenarios!$F$16-AM322)</f>
        <v>1.5076993979522094E-5</v>
      </c>
      <c r="AO322" s="76">
        <f>AM322+AN322-O322*Escenarios!$F$13/Escenarios!$F$16</f>
        <v>0</v>
      </c>
      <c r="AP322" s="76">
        <f t="shared" si="61"/>
        <v>0.12560419371440248</v>
      </c>
      <c r="AQ322" s="76">
        <f t="shared" si="62"/>
        <v>0</v>
      </c>
      <c r="AR322" s="76">
        <f t="shared" si="63"/>
        <v>0.125619270708382</v>
      </c>
      <c r="AS322" s="76">
        <f t="shared" si="64"/>
        <v>0</v>
      </c>
      <c r="AT322" s="76">
        <f t="shared" si="65"/>
        <v>0</v>
      </c>
      <c r="AU322" s="76">
        <f t="shared" si="66"/>
        <v>49.131551002622629</v>
      </c>
      <c r="AV322" s="76">
        <f>MAX(0,(AU322-Constantes!$D$13)*(1-EXP(-Constantes!$D$24)))</f>
        <v>5.8321013432023668E-3</v>
      </c>
      <c r="AW322" s="170">
        <f>AW321+(Entradas!$F$112*AT322-AX321)/(800*Entradas!$D$25)</f>
        <v>0</v>
      </c>
      <c r="AX322" s="170">
        <f>8000*Entradas!$D$26*AW322/Constantes!$F$45</f>
        <v>0</v>
      </c>
      <c r="AY322" s="170">
        <f>IF(Escenarios!$F$17&gt;0,10*Escenarios!$F$16*AL322,0)</f>
        <v>0</v>
      </c>
      <c r="AZ322" s="170">
        <f>IF(Escenarios!$F$17&gt;0,10*Escenarios!$F$16*AX322,0)</f>
        <v>0</v>
      </c>
      <c r="BA322" s="170">
        <f>IF(Escenarios!$F$17&gt;0,0.001*Observaciones!$F321*Escenarios!$F$17,0)</f>
        <v>0</v>
      </c>
      <c r="BB322" s="170">
        <f>IF(Escenarios!$F$17&gt;0,Observaciones!$K321,0)</f>
        <v>0</v>
      </c>
      <c r="BC322" s="170">
        <f>IF(Escenarios!$F$17&gt;0,MIN(0.0005*ETo!$M321*Escenarios!$F$17*(BG321/Constantes!$F$40)^(2/3),BG321+AY322+AZ322+BA322+BB322),0)</f>
        <v>0</v>
      </c>
      <c r="BD322" s="170">
        <f>IF(Escenarios!$F$17&gt;0,MIN(Constantes!$F$39*(BG321/Constantes!$F$40)^(2/3),BG321+AY322+AZ322+BA322+BB322-BC322),0)</f>
        <v>0</v>
      </c>
      <c r="BE322" s="170">
        <f>IF(Escenarios!$F$17&gt;0,MIN(Entradas!$F$113,BG321+AY322+AZ322+BA322+BB322-BC322-BD322),0)</f>
        <v>0</v>
      </c>
      <c r="BF322" s="170">
        <f>IF(Escenarios!$F$17&gt;0,MAX(0,BG321+AY322+AZ322+BA322+BB322-BC322-BD322-BE322-Constantes!$F$40),0)</f>
        <v>0</v>
      </c>
      <c r="BG322" s="170">
        <f t="shared" si="67"/>
        <v>0</v>
      </c>
      <c r="BH322" s="170">
        <f>(Escenarios!$F$16*AK322+0.1*BC322)/(Escenarios!$F$19)</f>
        <v>0.22035170837078349</v>
      </c>
      <c r="BI322" s="170">
        <f>IF(Escenarios!$F$17&gt;0,BF322/10/Escenarios!$F$19,AL322)</f>
        <v>0</v>
      </c>
      <c r="BJ322" s="170">
        <f>(Escenarios!$F$16*AT322+0.1*BD322)/(Escenarios!$F$19)</f>
        <v>0</v>
      </c>
      <c r="BK322" s="76">
        <f>BK321+(0.1*BD322)/(Escenarios!$F$19)-BL321</f>
        <v>48.75</v>
      </c>
      <c r="BL322" s="76">
        <f>MAX(0,(BK322-Constantes!$D$13)*(1-EXP(-Constantes!$D$23)))</f>
        <v>0</v>
      </c>
      <c r="BM322" s="76">
        <f t="shared" si="68"/>
        <v>0.13143629505760485</v>
      </c>
      <c r="BN322" s="76">
        <f t="shared" si="69"/>
        <v>0.13145137205158436</v>
      </c>
      <c r="BO322" s="76">
        <f>0.0526*BI322*Observaciones!$F321^1.218</f>
        <v>0</v>
      </c>
      <c r="BP322" s="76">
        <f>BO322*Constantes!$F$51</f>
        <v>0</v>
      </c>
      <c r="BQ322" s="76">
        <f t="shared" si="70"/>
        <v>0</v>
      </c>
      <c r="BR322" s="40"/>
    </row>
    <row r="323" spans="2:70">
      <c r="B323" s="39"/>
      <c r="C323" s="75">
        <v>317</v>
      </c>
      <c r="D323" s="146">
        <f>ETo!$I322*((1-Constantes!$F$19)*ETo!$K322+ETo!$L322)</f>
        <v>4.6747276040912551</v>
      </c>
      <c r="E323" s="76">
        <f>MIN(D323*Constantes!$F$17,0.8*(N322+Observaciones!$F322-F323-M323-Constantes!$D$14))</f>
        <v>1.9204023746628183</v>
      </c>
      <c r="F323" s="76">
        <f>IF(Observaciones!$F322&gt;0.05*Constantes!$F$18,((Observaciones!$F322-0.05*Constantes!$F$18)^2)/(Observaciones!$F322+0.95*Constantes!$F$18),0)</f>
        <v>0</v>
      </c>
      <c r="G323" s="76">
        <f>IF(Escenarios!$F$11&gt;0,(F323*Escenarios!$F$16*10000)/1000,0)</f>
        <v>0</v>
      </c>
      <c r="H323" s="76">
        <f>IF(Escenarios!$F$11&gt;0,(Observaciones!$F322*Constantes!$F$29)/1000,0)</f>
        <v>0</v>
      </c>
      <c r="I323" s="76">
        <f>IF(Escenarios!$F$11&gt;0,(D323*Constantes!$F$29)/1000,0)</f>
        <v>0</v>
      </c>
      <c r="J323" s="76">
        <f>IF(Escenarios!$F$11&gt;0,MAX(0,G323+H323-I323),0)</f>
        <v>0</v>
      </c>
      <c r="K323" s="76">
        <f>IF(Escenarios!$F$11&gt;0,IF(J323&gt;Constantes!$F$30,1000*((J323-Constantes!$F$30)/(Escenarios!$F$16*10000)),0),F323)</f>
        <v>0</v>
      </c>
      <c r="L323" s="76">
        <f>IF(Escenarios!$F$11&gt;0,I323*1000/Escenarios!$F$16/10000+E323,E323)</f>
        <v>1.9204023746628183</v>
      </c>
      <c r="M323" s="76">
        <f>MAX(0,N322+Observaciones!$F322-K323-Constantes!$D$13)</f>
        <v>0</v>
      </c>
      <c r="N323" s="76">
        <f>N322+Observaciones!$F322-K323-L323-M323-O322</f>
        <v>11.730083460717999</v>
      </c>
      <c r="O323" s="76">
        <f>MAX(0,(N323-Constantes!$D$14)*(1-EXP(-Constantes!$D$22)))</f>
        <v>1.6353405094519737E-2</v>
      </c>
      <c r="P323" s="170">
        <f>P322+(Entradas!$F$83*M323-Q322)/(800*Entradas!$D$25)</f>
        <v>0</v>
      </c>
      <c r="Q323" s="170">
        <f>8000*Entradas!$D$26*P323/Constantes!$F$45</f>
        <v>0</v>
      </c>
      <c r="R323" s="170">
        <f>IF(Escenarios!$F$14&gt;0,K323*Escenarios!$F$13/Escenarios!$F$14,0)</f>
        <v>0</v>
      </c>
      <c r="S323" s="170">
        <f>IF(Escenarios!$F$14&gt;0,Q323*Escenarios!$F$13/Escenarios!$F$14,0)</f>
        <v>0</v>
      </c>
      <c r="T323" s="170">
        <f>IF(Escenarios!$F$14&gt;0,Observaciones!$I322,0)</f>
        <v>0</v>
      </c>
      <c r="U323" s="170">
        <f>IF(Escenarios!$F$14&gt;0,MAX(0,Constantes!$F$36/((Z322+R323+S323+T323+Observaciones!$F322)^2)+Entradas!$F$77),0)</f>
        <v>0</v>
      </c>
      <c r="V323" s="146">
        <f>IF(ETo!D322&gt;0,ETo!I322*((1-Entradas!$F$81)*ETo!K322+ETo!L322),0)</f>
        <v>4.1578236634085668</v>
      </c>
      <c r="W323" s="170">
        <f>IF(Escenarios!$F$14&gt;0,MIN(V323*1,0.8*(Z322+R323+S323+T323+Observaciones!$F322-U323-Constantes!$F$35)),0)</f>
        <v>1.9206187796703091</v>
      </c>
      <c r="X323" s="170">
        <f>IF(Escenarios!$F$14&gt;0,Observaciones!$J322,0)</f>
        <v>0</v>
      </c>
      <c r="Y323" s="170">
        <f>IF(Escenarios!$F$14&gt;0,MAX(0,Z322+R323+S323+T323+Observaciones!$F322-U323-W323-X323-Constantes!$F$33),0)</f>
        <v>0</v>
      </c>
      <c r="Z323" s="170">
        <f>Z322+R323+S323+T323+Observaciones!$F322-U323-W323-Y323</f>
        <v>41.73015469491758</v>
      </c>
      <c r="AA323" s="170">
        <f>IF(Escenarios!$F$14&gt;0,(Escenarios!$F$13*L323+Escenarios!$F$14*W323)/(Escenarios!$F$16),L323)</f>
        <v>1.920428343263717</v>
      </c>
      <c r="AB323" s="170">
        <f>IF(Escenarios!$F$14&gt;0,(Escenarios!$F$14*Y323)/(Escenarios!$F$16),K323)</f>
        <v>0</v>
      </c>
      <c r="AC323" s="170">
        <f>IF(Escenarios!$F$14&gt;0,(Escenarios!$F$13*M323+Escenarios!$F$14*U323)/(Escenarios!$F$16),M323)</f>
        <v>0</v>
      </c>
      <c r="AD323" s="76">
        <f t="shared" si="57"/>
        <v>61.37189986550478</v>
      </c>
      <c r="AE323" s="76">
        <f>MAX(0,(AD323-Constantes!$D$13)*(1-EXP(-Constantes!$D$23)))</f>
        <v>0.12436658567714634</v>
      </c>
      <c r="AF323" s="76">
        <f>AB323+O323*Escenarios!$F$13/Escenarios!$F$16+AE323</f>
        <v>0.13875758216032372</v>
      </c>
      <c r="AG323" s="76">
        <f>IF(Entradas!$F$91&gt;0,IF(AF323-Escenarios!$F$38&lt;=0,0,IF(AF323-Escenarios!$F$38&gt;Escenarios!$F$37,Escenarios!$F$37,AF323-Escenarios!$F$38)),0)</f>
        <v>0</v>
      </c>
      <c r="AH323" s="76">
        <f>AG323*Entradas!$F$99</f>
        <v>0</v>
      </c>
      <c r="AI323" s="76">
        <f>IF(Entradas!$F$91&gt;0,D323*Entradas!$D$23/Escenarios!$F$16,0)</f>
        <v>0.22438692499638024</v>
      </c>
      <c r="AJ323" s="76">
        <f>IF(Entradas!$F$91&gt;0,Entradas!$D$24*Entradas!$D$22/Escenarios!$F$16,0)</f>
        <v>0.12</v>
      </c>
      <c r="AK323" s="76">
        <f t="shared" si="58"/>
        <v>2.1448152682600972</v>
      </c>
      <c r="AL323" s="76">
        <f t="shared" si="59"/>
        <v>0</v>
      </c>
      <c r="AM323" s="76">
        <f t="shared" si="60"/>
        <v>0</v>
      </c>
      <c r="AN323" s="76">
        <f>MAX(0,O323*Escenarios!$F$13/Escenarios!$F$16-AM323)</f>
        <v>1.4390996483177369E-2</v>
      </c>
      <c r="AO323" s="76">
        <f>AM323+AN323-O323*Escenarios!$F$13/Escenarios!$F$16</f>
        <v>0</v>
      </c>
      <c r="AP323" s="76">
        <f t="shared" si="61"/>
        <v>0.12436658567714634</v>
      </c>
      <c r="AQ323" s="76">
        <f t="shared" si="62"/>
        <v>0</v>
      </c>
      <c r="AR323" s="76">
        <f t="shared" si="63"/>
        <v>0.13875758216032372</v>
      </c>
      <c r="AS323" s="76">
        <f t="shared" si="64"/>
        <v>0</v>
      </c>
      <c r="AT323" s="76">
        <f t="shared" si="65"/>
        <v>0</v>
      </c>
      <c r="AU323" s="76">
        <f t="shared" si="66"/>
        <v>49.125718901279427</v>
      </c>
      <c r="AV323" s="76">
        <f>MAX(0,(AU323-Constantes!$D$13)*(1-EXP(-Constantes!$D$24)))</f>
        <v>5.742956233260087E-3</v>
      </c>
      <c r="AW323" s="170">
        <f>AW322+(Entradas!$F$112*AT323-AX322)/(800*Entradas!$D$25)</f>
        <v>0</v>
      </c>
      <c r="AX323" s="170">
        <f>8000*Entradas!$D$26*AW323/Constantes!$F$45</f>
        <v>0</v>
      </c>
      <c r="AY323" s="170">
        <f>IF(Escenarios!$F$17&gt;0,10*Escenarios!$F$16*AL323,0)</f>
        <v>0</v>
      </c>
      <c r="AZ323" s="170">
        <f>IF(Escenarios!$F$17&gt;0,10*Escenarios!$F$16*AX323,0)</f>
        <v>0</v>
      </c>
      <c r="BA323" s="170">
        <f>IF(Escenarios!$F$17&gt;0,0.001*Observaciones!$F322*Escenarios!$F$17,0)</f>
        <v>0</v>
      </c>
      <c r="BB323" s="170">
        <f>IF(Escenarios!$F$17&gt;0,Observaciones!$K322,0)</f>
        <v>0</v>
      </c>
      <c r="BC323" s="170">
        <f>IF(Escenarios!$F$17&gt;0,MIN(0.0005*ETo!$M322*Escenarios!$F$17*(BG322/Constantes!$F$40)^(2/3),BG322+AY323+AZ323+BA323+BB323),0)</f>
        <v>0</v>
      </c>
      <c r="BD323" s="170">
        <f>IF(Escenarios!$F$17&gt;0,MIN(Constantes!$F$39*(BG322/Constantes!$F$40)^(2/3),BG322+AY323+AZ323+BA323+BB323-BC323),0)</f>
        <v>0</v>
      </c>
      <c r="BE323" s="170">
        <f>IF(Escenarios!$F$17&gt;0,MIN(Entradas!$F$113,BG322+AY323+AZ323+BA323+BB323-BC323-BD323),0)</f>
        <v>0</v>
      </c>
      <c r="BF323" s="170">
        <f>IF(Escenarios!$F$17&gt;0,MAX(0,BG322+AY323+AZ323+BA323+BB323-BC323-BD323-BE323-Constantes!$F$40),0)</f>
        <v>0</v>
      </c>
      <c r="BG323" s="170">
        <f t="shared" si="67"/>
        <v>0</v>
      </c>
      <c r="BH323" s="170">
        <f>(Escenarios!$F$16*AK323+0.1*BC323)/(Escenarios!$F$19)</f>
        <v>2.1448152682600972</v>
      </c>
      <c r="BI323" s="170">
        <f>IF(Escenarios!$F$17&gt;0,BF323/10/Escenarios!$F$19,AL323)</f>
        <v>0</v>
      </c>
      <c r="BJ323" s="170">
        <f>(Escenarios!$F$16*AT323+0.1*BD323)/(Escenarios!$F$19)</f>
        <v>0</v>
      </c>
      <c r="BK323" s="76">
        <f>BK322+(0.1*BD323)/(Escenarios!$F$19)-BL322</f>
        <v>48.75</v>
      </c>
      <c r="BL323" s="76">
        <f>MAX(0,(BK323-Constantes!$D$13)*(1-EXP(-Constantes!$D$23)))</f>
        <v>0</v>
      </c>
      <c r="BM323" s="76">
        <f t="shared" si="68"/>
        <v>0.13010954191040644</v>
      </c>
      <c r="BN323" s="76">
        <f t="shared" si="69"/>
        <v>0.14450053839358382</v>
      </c>
      <c r="BO323" s="76">
        <f>0.0526*BI323*Observaciones!$F322^1.218</f>
        <v>0</v>
      </c>
      <c r="BP323" s="76">
        <f>BO323*Constantes!$F$51</f>
        <v>0</v>
      </c>
      <c r="BQ323" s="76">
        <f t="shared" si="70"/>
        <v>0</v>
      </c>
      <c r="BR323" s="40"/>
    </row>
    <row r="324" spans="2:70">
      <c r="B324" s="39"/>
      <c r="C324" s="75">
        <v>318</v>
      </c>
      <c r="D324" s="146">
        <f>ETo!$I323*((1-Constantes!$F$19)*ETo!$K323+ETo!$L323)</f>
        <v>4.6625743452739954</v>
      </c>
      <c r="E324" s="76">
        <f>MIN(D324*Constantes!$F$17,0.8*(N323+Observaciones!$F323-F324-M324-Constantes!$D$14))</f>
        <v>0.86406676857439924</v>
      </c>
      <c r="F324" s="76">
        <f>IF(Observaciones!$F323&gt;0.05*Constantes!$F$18,((Observaciones!$F323-0.05*Constantes!$F$18)^2)/(Observaciones!$F323+0.95*Constantes!$F$18),0)</f>
        <v>0</v>
      </c>
      <c r="G324" s="76">
        <f>IF(Escenarios!$F$11&gt;0,(F324*Escenarios!$F$16*10000)/1000,0)</f>
        <v>0</v>
      </c>
      <c r="H324" s="76">
        <f>IF(Escenarios!$F$11&gt;0,(Observaciones!$F323*Constantes!$F$29)/1000,0)</f>
        <v>0</v>
      </c>
      <c r="I324" s="76">
        <f>IF(Escenarios!$F$11&gt;0,(D324*Constantes!$F$29)/1000,0)</f>
        <v>0</v>
      </c>
      <c r="J324" s="76">
        <f>IF(Escenarios!$F$11&gt;0,MAX(0,G324+H324-I324),0)</f>
        <v>0</v>
      </c>
      <c r="K324" s="76">
        <f>IF(Escenarios!$F$11&gt;0,IF(J324&gt;Constantes!$F$30,1000*((J324-Constantes!$F$30)/(Escenarios!$F$16*10000)),0),F324)</f>
        <v>0</v>
      </c>
      <c r="L324" s="76">
        <f>IF(Escenarios!$F$11&gt;0,I324*1000/Escenarios!$F$16/10000+E324,E324)</f>
        <v>0.86406676857439924</v>
      </c>
      <c r="M324" s="76">
        <f>MAX(0,N323+Observaciones!$F323-K324-Constantes!$D$13)</f>
        <v>0</v>
      </c>
      <c r="N324" s="76">
        <f>N323+Observaciones!$F323-K324-L324-M324-O323</f>
        <v>11.449663287049079</v>
      </c>
      <c r="O324" s="76">
        <f>MAX(0,(N324-Constantes!$D$14)*(1-EXP(-Constantes!$D$22)))</f>
        <v>6.8012645358239586E-3</v>
      </c>
      <c r="P324" s="170">
        <f>P323+(Entradas!$F$83*M324-Q323)/(800*Entradas!$D$25)</f>
        <v>0</v>
      </c>
      <c r="Q324" s="170">
        <f>8000*Entradas!$D$26*P324/Constantes!$F$45</f>
        <v>0</v>
      </c>
      <c r="R324" s="170">
        <f>IF(Escenarios!$F$14&gt;0,K324*Escenarios!$F$13/Escenarios!$F$14,0)</f>
        <v>0</v>
      </c>
      <c r="S324" s="170">
        <f>IF(Escenarios!$F$14&gt;0,Q324*Escenarios!$F$13/Escenarios!$F$14,0)</f>
        <v>0</v>
      </c>
      <c r="T324" s="170">
        <f>IF(Escenarios!$F$14&gt;0,Observaciones!$I323,0)</f>
        <v>0</v>
      </c>
      <c r="U324" s="170">
        <f>IF(Escenarios!$F$14&gt;0,MAX(0,Constantes!$F$36/((Z323+R324+S324+T324+Observaciones!$F323)^2)+Entradas!$F$77),0)</f>
        <v>0</v>
      </c>
      <c r="V324" s="146">
        <f>IF(ETo!D323&gt;0,ETo!I323*((1-Entradas!$F$81)*ETo!K323+ETo!L323),0)</f>
        <v>4.1468099240221052</v>
      </c>
      <c r="W324" s="170">
        <f>IF(Escenarios!$F$14&gt;0,MIN(V324*1,0.8*(Z323+R324+S324+T324+Observaciones!$F323-U324-Constantes!$F$35)),0)</f>
        <v>0.86412375593406532</v>
      </c>
      <c r="X324" s="170">
        <f>IF(Escenarios!$F$14&gt;0,Observaciones!$J323,0)</f>
        <v>0</v>
      </c>
      <c r="Y324" s="170">
        <f>IF(Escenarios!$F$14&gt;0,MAX(0,Z323+R324+S324+T324+Observaciones!$F323-U324-W324-X324-Constantes!$F$33),0)</f>
        <v>0</v>
      </c>
      <c r="Z324" s="170">
        <f>Z323+R324+S324+T324+Observaciones!$F323-U324-W324-Y324</f>
        <v>41.466030938983515</v>
      </c>
      <c r="AA324" s="170">
        <f>IF(Escenarios!$F$14&gt;0,(Escenarios!$F$13*L324+Escenarios!$F$14*W324)/(Escenarios!$F$16),L324)</f>
        <v>0.86407360705755909</v>
      </c>
      <c r="AB324" s="170">
        <f>IF(Escenarios!$F$14&gt;0,(Escenarios!$F$14*Y324)/(Escenarios!$F$16),K324)</f>
        <v>0</v>
      </c>
      <c r="AC324" s="170">
        <f>IF(Escenarios!$F$14&gt;0,(Escenarios!$F$13*M324+Escenarios!$F$14*U324)/(Escenarios!$F$16),M324)</f>
        <v>0</v>
      </c>
      <c r="AD324" s="76">
        <f t="shared" si="57"/>
        <v>61.247533279827636</v>
      </c>
      <c r="AE324" s="76">
        <f>MAX(0,(AD324-Constantes!$D$13)*(1-EXP(-Constantes!$D$23)))</f>
        <v>0.12314117208665655</v>
      </c>
      <c r="AF324" s="76">
        <f>AB324+O324*Escenarios!$F$13/Escenarios!$F$16+AE324</f>
        <v>0.12912628487818165</v>
      </c>
      <c r="AG324" s="76">
        <f>IF(Entradas!$F$91&gt;0,IF(AF324-Escenarios!$F$38&lt;=0,0,IF(AF324-Escenarios!$F$38&gt;Escenarios!$F$37,Escenarios!$F$37,AF324-Escenarios!$F$38)),0)</f>
        <v>0</v>
      </c>
      <c r="AH324" s="76">
        <f>AG324*Entradas!$F$99</f>
        <v>0</v>
      </c>
      <c r="AI324" s="76">
        <f>IF(Entradas!$F$91&gt;0,D324*Entradas!$D$23/Escenarios!$F$16,0)</f>
        <v>0.22380356857315178</v>
      </c>
      <c r="AJ324" s="76">
        <f>IF(Entradas!$F$91&gt;0,Entradas!$D$24*Entradas!$D$22/Escenarios!$F$16,0)</f>
        <v>0.12</v>
      </c>
      <c r="AK324" s="76">
        <f t="shared" si="58"/>
        <v>1.0878771756307108</v>
      </c>
      <c r="AL324" s="76">
        <f t="shared" si="59"/>
        <v>0</v>
      </c>
      <c r="AM324" s="76">
        <f t="shared" si="60"/>
        <v>0</v>
      </c>
      <c r="AN324" s="76">
        <f>MAX(0,O324*Escenarios!$F$13/Escenarios!$F$16-AM324)</f>
        <v>5.9851127915250841E-3</v>
      </c>
      <c r="AO324" s="76">
        <f>AM324+AN324-O324*Escenarios!$F$13/Escenarios!$F$16</f>
        <v>0</v>
      </c>
      <c r="AP324" s="76">
        <f t="shared" si="61"/>
        <v>0.12314117208665655</v>
      </c>
      <c r="AQ324" s="76">
        <f t="shared" si="62"/>
        <v>0</v>
      </c>
      <c r="AR324" s="76">
        <f t="shared" si="63"/>
        <v>0.12912628487818165</v>
      </c>
      <c r="AS324" s="76">
        <f t="shared" si="64"/>
        <v>0</v>
      </c>
      <c r="AT324" s="76">
        <f t="shared" si="65"/>
        <v>0</v>
      </c>
      <c r="AU324" s="76">
        <f t="shared" si="66"/>
        <v>49.119975945046164</v>
      </c>
      <c r="AV324" s="76">
        <f>MAX(0,(AU324-Constantes!$D$13)*(1-EXP(-Constantes!$D$24)))</f>
        <v>5.6551737283479144E-3</v>
      </c>
      <c r="AW324" s="170">
        <f>AW323+(Entradas!$F$112*AT324-AX323)/(800*Entradas!$D$25)</f>
        <v>0</v>
      </c>
      <c r="AX324" s="170">
        <f>8000*Entradas!$D$26*AW324/Constantes!$F$45</f>
        <v>0</v>
      </c>
      <c r="AY324" s="170">
        <f>IF(Escenarios!$F$17&gt;0,10*Escenarios!$F$16*AL324,0)</f>
        <v>0</v>
      </c>
      <c r="AZ324" s="170">
        <f>IF(Escenarios!$F$17&gt;0,10*Escenarios!$F$16*AX324,0)</f>
        <v>0</v>
      </c>
      <c r="BA324" s="170">
        <f>IF(Escenarios!$F$17&gt;0,0.001*Observaciones!$F323*Escenarios!$F$17,0)</f>
        <v>0</v>
      </c>
      <c r="BB324" s="170">
        <f>IF(Escenarios!$F$17&gt;0,Observaciones!$K323,0)</f>
        <v>0</v>
      </c>
      <c r="BC324" s="170">
        <f>IF(Escenarios!$F$17&gt;0,MIN(0.0005*ETo!$M323*Escenarios!$F$17*(BG323/Constantes!$F$40)^(2/3),BG323+AY324+AZ324+BA324+BB324),0)</f>
        <v>0</v>
      </c>
      <c r="BD324" s="170">
        <f>IF(Escenarios!$F$17&gt;0,MIN(Constantes!$F$39*(BG323/Constantes!$F$40)^(2/3),BG323+AY324+AZ324+BA324+BB324-BC324),0)</f>
        <v>0</v>
      </c>
      <c r="BE324" s="170">
        <f>IF(Escenarios!$F$17&gt;0,MIN(Entradas!$F$113,BG323+AY324+AZ324+BA324+BB324-BC324-BD324),0)</f>
        <v>0</v>
      </c>
      <c r="BF324" s="170">
        <f>IF(Escenarios!$F$17&gt;0,MAX(0,BG323+AY324+AZ324+BA324+BB324-BC324-BD324-BE324-Constantes!$F$40),0)</f>
        <v>0</v>
      </c>
      <c r="BG324" s="170">
        <f t="shared" si="67"/>
        <v>0</v>
      </c>
      <c r="BH324" s="170">
        <f>(Escenarios!$F$16*AK324+0.1*BC324)/(Escenarios!$F$19)</f>
        <v>1.0878771756307108</v>
      </c>
      <c r="BI324" s="170">
        <f>IF(Escenarios!$F$17&gt;0,BF324/10/Escenarios!$F$19,AL324)</f>
        <v>0</v>
      </c>
      <c r="BJ324" s="170">
        <f>(Escenarios!$F$16*AT324+0.1*BD324)/(Escenarios!$F$19)</f>
        <v>0</v>
      </c>
      <c r="BK324" s="76">
        <f>BK323+(0.1*BD324)/(Escenarios!$F$19)-BL323</f>
        <v>48.75</v>
      </c>
      <c r="BL324" s="76">
        <f>MAX(0,(BK324-Constantes!$D$13)*(1-EXP(-Constantes!$D$23)))</f>
        <v>0</v>
      </c>
      <c r="BM324" s="76">
        <f t="shared" si="68"/>
        <v>0.12879634581500446</v>
      </c>
      <c r="BN324" s="76">
        <f t="shared" si="69"/>
        <v>0.13478145860652957</v>
      </c>
      <c r="BO324" s="76">
        <f>0.0526*BI324*Observaciones!$F323^1.218</f>
        <v>0</v>
      </c>
      <c r="BP324" s="76">
        <f>BO324*Constantes!$F$51</f>
        <v>0</v>
      </c>
      <c r="BQ324" s="76">
        <f t="shared" si="70"/>
        <v>0</v>
      </c>
      <c r="BR324" s="40"/>
    </row>
    <row r="325" spans="2:70">
      <c r="B325" s="39"/>
      <c r="C325" s="75">
        <v>319</v>
      </c>
      <c r="D325" s="146">
        <f>ETo!$I324*((1-Constantes!$F$19)*ETo!$K324+ETo!$L324)</f>
        <v>4.6317290529791721</v>
      </c>
      <c r="E325" s="76">
        <f>MIN(D325*Constantes!$F$17,0.8*(N324+Observaciones!$F324-F325-M325-Constantes!$D$14))</f>
        <v>2.6415295369734331</v>
      </c>
      <c r="F325" s="76">
        <f>IF(Observaciones!$F324&gt;0.05*Constantes!$F$18,((Observaciones!$F324-0.05*Constantes!$F$18)^2)/(Observaciones!$F324+0.95*Constantes!$F$18),0)</f>
        <v>2.8681511308678784E-2</v>
      </c>
      <c r="G325" s="76">
        <f>IF(Escenarios!$F$11&gt;0,(F325*Escenarios!$F$16*10000)/1000,0)</f>
        <v>0</v>
      </c>
      <c r="H325" s="76">
        <f>IF(Escenarios!$F$11&gt;0,(Observaciones!$F324*Constantes!$F$29)/1000,0)</f>
        <v>0</v>
      </c>
      <c r="I325" s="76">
        <f>IF(Escenarios!$F$11&gt;0,(D325*Constantes!$F$29)/1000,0)</f>
        <v>0</v>
      </c>
      <c r="J325" s="76">
        <f>IF(Escenarios!$F$11&gt;0,MAX(0,G325+H325-I325),0)</f>
        <v>0</v>
      </c>
      <c r="K325" s="76">
        <f>IF(Escenarios!$F$11&gt;0,IF(J325&gt;Constantes!$F$30,1000*((J325-Constantes!$F$30)/(Escenarios!$F$16*10000)),0),F325)</f>
        <v>2.8681511308678784E-2</v>
      </c>
      <c r="L325" s="76">
        <f>IF(Escenarios!$F$11&gt;0,I325*1000/Escenarios!$F$16/10000+E325,E325)</f>
        <v>2.6415295369734331</v>
      </c>
      <c r="M325" s="76">
        <f>MAX(0,N324+Observaciones!$F324-K325-Constantes!$D$13)</f>
        <v>0</v>
      </c>
      <c r="N325" s="76">
        <f>N324+Observaciones!$F324-K325-L325-M325-O324</f>
        <v>22.272650974231141</v>
      </c>
      <c r="O325" s="76">
        <f>MAX(0,(N325-Constantes!$D$14)*(1-EXP(-Constantes!$D$22)))</f>
        <v>0.37547195716243975</v>
      </c>
      <c r="P325" s="170">
        <f>P324+(Entradas!$F$83*M325-Q324)/(800*Entradas!$D$25)</f>
        <v>0</v>
      </c>
      <c r="Q325" s="170">
        <f>8000*Entradas!$D$26*P325/Constantes!$F$45</f>
        <v>0</v>
      </c>
      <c r="R325" s="170">
        <f>IF(Escenarios!$F$14&gt;0,K325*Escenarios!$F$13/Escenarios!$F$14,0)</f>
        <v>0.21033108293031108</v>
      </c>
      <c r="S325" s="170">
        <f>IF(Escenarios!$F$14&gt;0,Q325*Escenarios!$F$13/Escenarios!$F$14,0)</f>
        <v>0</v>
      </c>
      <c r="T325" s="170">
        <f>IF(Escenarios!$F$14&gt;0,Observaciones!$I324,0)</f>
        <v>0</v>
      </c>
      <c r="U325" s="170">
        <f>IF(Escenarios!$F$14&gt;0,MAX(0,Constantes!$F$36/((Z324+R325+S325+T325+Observaciones!$F324)^2)+Entradas!$F$77),0)</f>
        <v>0</v>
      </c>
      <c r="V325" s="146">
        <f>IF(ETo!D324&gt;0,ETo!I324*((1-Entradas!$F$81)*ETo!K324+ETo!L324),0)</f>
        <v>4.1188509329123244</v>
      </c>
      <c r="W325" s="170">
        <f>IF(Escenarios!$F$14&gt;0,MIN(V325*1,0.8*(Z324+R325+S325+T325+Observaciones!$F324-U325-Constantes!$F$35)),0)</f>
        <v>4.1188509329123244</v>
      </c>
      <c r="X325" s="170">
        <f>IF(Escenarios!$F$14&gt;0,Observaciones!$J324,0)</f>
        <v>0</v>
      </c>
      <c r="Y325" s="170">
        <f>IF(Escenarios!$F$14&gt;0,MAX(0,Z324+R325+S325+T325+Observaciones!$F324-U325-W325-X325-Constantes!$F$33),0)</f>
        <v>0</v>
      </c>
      <c r="Z325" s="170">
        <f>Z324+R325+S325+T325+Observaciones!$F324-U325-W325-Y325</f>
        <v>51.057511089001501</v>
      </c>
      <c r="AA325" s="170">
        <f>IF(Escenarios!$F$14&gt;0,(Escenarios!$F$13*L325+Escenarios!$F$14*W325)/(Escenarios!$F$16),L325)</f>
        <v>2.8188081044861</v>
      </c>
      <c r="AB325" s="170">
        <f>IF(Escenarios!$F$14&gt;0,(Escenarios!$F$14*Y325)/(Escenarios!$F$16),K325)</f>
        <v>0</v>
      </c>
      <c r="AC325" s="170">
        <f>IF(Escenarios!$F$14&gt;0,(Escenarios!$F$13*M325+Escenarios!$F$14*U325)/(Escenarios!$F$16),M325)</f>
        <v>0</v>
      </c>
      <c r="AD325" s="76">
        <f t="shared" si="57"/>
        <v>61.124392107740981</v>
      </c>
      <c r="AE325" s="76">
        <f>MAX(0,(AD325-Constantes!$D$13)*(1-EXP(-Constantes!$D$23)))</f>
        <v>0.12192783278814465</v>
      </c>
      <c r="AF325" s="76">
        <f>AB325+O325*Escenarios!$F$13/Escenarios!$F$16+AE325</f>
        <v>0.45234315509109169</v>
      </c>
      <c r="AG325" s="76">
        <f>IF(Entradas!$F$91&gt;0,IF(AF325-Escenarios!$F$38&lt;=0,0,IF(AF325-Escenarios!$F$38&gt;Escenarios!$F$37,Escenarios!$F$37,AF325-Escenarios!$F$38)),0)</f>
        <v>0</v>
      </c>
      <c r="AH325" s="76">
        <f>AG325*Entradas!$F$99</f>
        <v>0</v>
      </c>
      <c r="AI325" s="76">
        <f>IF(Entradas!$F$91&gt;0,D325*Entradas!$D$23/Escenarios!$F$16,0)</f>
        <v>0.22232299454300028</v>
      </c>
      <c r="AJ325" s="76">
        <f>IF(Entradas!$F$91&gt;0,Entradas!$D$24*Entradas!$D$22/Escenarios!$F$16,0)</f>
        <v>0.12</v>
      </c>
      <c r="AK325" s="76">
        <f t="shared" si="58"/>
        <v>3.0411310990291001</v>
      </c>
      <c r="AL325" s="76">
        <f t="shared" si="59"/>
        <v>0</v>
      </c>
      <c r="AM325" s="76">
        <f t="shared" si="60"/>
        <v>0</v>
      </c>
      <c r="AN325" s="76">
        <f>MAX(0,O325*Escenarios!$F$13/Escenarios!$F$16-AM325)</f>
        <v>0.33041532230294701</v>
      </c>
      <c r="AO325" s="76">
        <f>AM325+AN325-O325*Escenarios!$F$13/Escenarios!$F$16</f>
        <v>0</v>
      </c>
      <c r="AP325" s="76">
        <f t="shared" si="61"/>
        <v>0.12192783278814465</v>
      </c>
      <c r="AQ325" s="76">
        <f t="shared" si="62"/>
        <v>0</v>
      </c>
      <c r="AR325" s="76">
        <f t="shared" si="63"/>
        <v>0.45234315509109169</v>
      </c>
      <c r="AS325" s="76">
        <f t="shared" si="64"/>
        <v>0</v>
      </c>
      <c r="AT325" s="76">
        <f t="shared" si="65"/>
        <v>0</v>
      </c>
      <c r="AU325" s="76">
        <f t="shared" si="66"/>
        <v>49.114320771317814</v>
      </c>
      <c r="AV325" s="76">
        <f>MAX(0,(AU325-Constantes!$D$13)*(1-EXP(-Constantes!$D$24)))</f>
        <v>5.568733000711373E-3</v>
      </c>
      <c r="AW325" s="170">
        <f>AW324+(Entradas!$F$112*AT325-AX324)/(800*Entradas!$D$25)</f>
        <v>0</v>
      </c>
      <c r="AX325" s="170">
        <f>8000*Entradas!$D$26*AW325/Constantes!$F$45</f>
        <v>0</v>
      </c>
      <c r="AY325" s="170">
        <f>IF(Escenarios!$F$17&gt;0,10*Escenarios!$F$16*AL325,0)</f>
        <v>0</v>
      </c>
      <c r="AZ325" s="170">
        <f>IF(Escenarios!$F$17&gt;0,10*Escenarios!$F$16*AX325,0)</f>
        <v>0</v>
      </c>
      <c r="BA325" s="170">
        <f>IF(Escenarios!$F$17&gt;0,0.001*Observaciones!$F324*Escenarios!$F$17,0)</f>
        <v>0</v>
      </c>
      <c r="BB325" s="170">
        <f>IF(Escenarios!$F$17&gt;0,Observaciones!$K324,0)</f>
        <v>0</v>
      </c>
      <c r="BC325" s="170">
        <f>IF(Escenarios!$F$17&gt;0,MIN(0.0005*ETo!$M324*Escenarios!$F$17*(BG324/Constantes!$F$40)^(2/3),BG324+AY325+AZ325+BA325+BB325),0)</f>
        <v>0</v>
      </c>
      <c r="BD325" s="170">
        <f>IF(Escenarios!$F$17&gt;0,MIN(Constantes!$F$39*(BG324/Constantes!$F$40)^(2/3),BG324+AY325+AZ325+BA325+BB325-BC325),0)</f>
        <v>0</v>
      </c>
      <c r="BE325" s="170">
        <f>IF(Escenarios!$F$17&gt;0,MIN(Entradas!$F$113,BG324+AY325+AZ325+BA325+BB325-BC325-BD325),0)</f>
        <v>0</v>
      </c>
      <c r="BF325" s="170">
        <f>IF(Escenarios!$F$17&gt;0,MAX(0,BG324+AY325+AZ325+BA325+BB325-BC325-BD325-BE325-Constantes!$F$40),0)</f>
        <v>0</v>
      </c>
      <c r="BG325" s="170">
        <f t="shared" si="67"/>
        <v>0</v>
      </c>
      <c r="BH325" s="170">
        <f>(Escenarios!$F$16*AK325+0.1*BC325)/(Escenarios!$F$19)</f>
        <v>3.0411310990291001</v>
      </c>
      <c r="BI325" s="170">
        <f>IF(Escenarios!$F$17&gt;0,BF325/10/Escenarios!$F$19,AL325)</f>
        <v>0</v>
      </c>
      <c r="BJ325" s="170">
        <f>(Escenarios!$F$16*AT325+0.1*BD325)/(Escenarios!$F$19)</f>
        <v>0</v>
      </c>
      <c r="BK325" s="76">
        <f>BK324+(0.1*BD325)/(Escenarios!$F$19)-BL324</f>
        <v>48.75</v>
      </c>
      <c r="BL325" s="76">
        <f>MAX(0,(BK325-Constantes!$D$13)*(1-EXP(-Constantes!$D$23)))</f>
        <v>0</v>
      </c>
      <c r="BM325" s="76">
        <f t="shared" si="68"/>
        <v>0.12749656578885601</v>
      </c>
      <c r="BN325" s="76">
        <f t="shared" si="69"/>
        <v>0.45791188809180305</v>
      </c>
      <c r="BO325" s="76">
        <f>0.0526*BI325*Observaciones!$F324^1.218</f>
        <v>0</v>
      </c>
      <c r="BP325" s="76">
        <f>BO325*Constantes!$F$51</f>
        <v>0</v>
      </c>
      <c r="BQ325" s="76">
        <f t="shared" si="70"/>
        <v>0</v>
      </c>
      <c r="BR325" s="40"/>
    </row>
    <row r="326" spans="2:70">
      <c r="B326" s="39"/>
      <c r="C326" s="75">
        <v>320</v>
      </c>
      <c r="D326" s="146">
        <f>ETo!$I325*((1-Constantes!$F$19)*ETo!$K325+ETo!$L325)</f>
        <v>4.6053725788748689</v>
      </c>
      <c r="E326" s="76">
        <f>MIN(D326*Constantes!$F$17,0.8*(N325+Observaciones!$F325-F326-M326-Constantes!$D$14))</f>
        <v>2.6264981299026307</v>
      </c>
      <c r="F326" s="76">
        <f>IF(Observaciones!$F325&gt;0.05*Constantes!$F$18,((Observaciones!$F325-0.05*Constantes!$F$18)^2)/(Observaciones!$F325+0.95*Constantes!$F$18),0)</f>
        <v>0</v>
      </c>
      <c r="G326" s="76">
        <f>IF(Escenarios!$F$11&gt;0,(F326*Escenarios!$F$16*10000)/1000,0)</f>
        <v>0</v>
      </c>
      <c r="H326" s="76">
        <f>IF(Escenarios!$F$11&gt;0,(Observaciones!$F325*Constantes!$F$29)/1000,0)</f>
        <v>0</v>
      </c>
      <c r="I326" s="76">
        <f>IF(Escenarios!$F$11&gt;0,(D326*Constantes!$F$29)/1000,0)</f>
        <v>0</v>
      </c>
      <c r="J326" s="76">
        <f>IF(Escenarios!$F$11&gt;0,MAX(0,G326+H326-I326),0)</f>
        <v>0</v>
      </c>
      <c r="K326" s="76">
        <f>IF(Escenarios!$F$11&gt;0,IF(J326&gt;Constantes!$F$30,1000*((J326-Constantes!$F$30)/(Escenarios!$F$16*10000)),0),F326)</f>
        <v>0</v>
      </c>
      <c r="L326" s="76">
        <f>IF(Escenarios!$F$11&gt;0,I326*1000/Escenarios!$F$16/10000+E326,E326)</f>
        <v>2.6264981299026307</v>
      </c>
      <c r="M326" s="76">
        <f>MAX(0,N325+Observaciones!$F325-K326-Constantes!$D$13)</f>
        <v>0</v>
      </c>
      <c r="N326" s="76">
        <f>N325+Observaciones!$F325-K326-L326-M326-O325</f>
        <v>28.770680887166073</v>
      </c>
      <c r="O326" s="76">
        <f>MAX(0,(N326-Constantes!$D$14)*(1-EXP(-Constantes!$D$22)))</f>
        <v>0.5968187107531695</v>
      </c>
      <c r="P326" s="170">
        <f>P325+(Entradas!$F$83*M326-Q325)/(800*Entradas!$D$25)</f>
        <v>0</v>
      </c>
      <c r="Q326" s="170">
        <f>8000*Entradas!$D$26*P326/Constantes!$F$45</f>
        <v>0</v>
      </c>
      <c r="R326" s="170">
        <f>IF(Escenarios!$F$14&gt;0,K326*Escenarios!$F$13/Escenarios!$F$14,0)</f>
        <v>0</v>
      </c>
      <c r="S326" s="170">
        <f>IF(Escenarios!$F$14&gt;0,Q326*Escenarios!$F$13/Escenarios!$F$14,0)</f>
        <v>0</v>
      </c>
      <c r="T326" s="170">
        <f>IF(Escenarios!$F$14&gt;0,Observaciones!$I325,0)</f>
        <v>0</v>
      </c>
      <c r="U326" s="170">
        <f>IF(Escenarios!$F$14&gt;0,MAX(0,Constantes!$F$36/((Z325+R326+S326+T326+Observaciones!$F325)^2)+Entradas!$F$77),0)</f>
        <v>0.20039376451809288</v>
      </c>
      <c r="V326" s="146">
        <f>IF(ETo!D325&gt;0,ETo!I325*((1-Entradas!$F$81)*ETo!K325+ETo!L325),0)</f>
        <v>4.0949854207426304</v>
      </c>
      <c r="W326" s="170">
        <f>IF(Escenarios!$F$14&gt;0,MIN(V326*1,0.8*(Z325+R326+S326+T326+Observaciones!$F325-U326-Constantes!$F$35)),0)</f>
        <v>4.0949854207426304</v>
      </c>
      <c r="X326" s="170">
        <f>IF(Escenarios!$F$14&gt;0,Observaciones!$J325,0)</f>
        <v>0</v>
      </c>
      <c r="Y326" s="170">
        <f>IF(Escenarios!$F$14&gt;0,MAX(0,Z325+R326+S326+T326+Observaciones!$F325-U326-W326-X326-Constantes!$F$33),0)</f>
        <v>0</v>
      </c>
      <c r="Z326" s="170">
        <f>Z325+R326+S326+T326+Observaciones!$F325-U326-W326-Y326</f>
        <v>56.26213190374078</v>
      </c>
      <c r="AA326" s="170">
        <f>IF(Escenarios!$F$14&gt;0,(Escenarios!$F$13*L326+Escenarios!$F$14*W326)/(Escenarios!$F$16),L326)</f>
        <v>2.8027166048034307</v>
      </c>
      <c r="AB326" s="170">
        <f>IF(Escenarios!$F$14&gt;0,(Escenarios!$F$14*Y326)/(Escenarios!$F$16),K326)</f>
        <v>0</v>
      </c>
      <c r="AC326" s="170">
        <f>IF(Escenarios!$F$14&gt;0,(Escenarios!$F$13*M326+Escenarios!$F$14*U326)/(Escenarios!$F$16),M326)</f>
        <v>2.4047251742171146E-2</v>
      </c>
      <c r="AD326" s="76">
        <f t="shared" si="57"/>
        <v>61.026511526695003</v>
      </c>
      <c r="AE326" s="76">
        <f>MAX(0,(AD326-Constantes!$D$13)*(1-EXP(-Constantes!$D$23)))</f>
        <v>0.12096339210976056</v>
      </c>
      <c r="AF326" s="76">
        <f>AB326+O326*Escenarios!$F$13/Escenarios!$F$16+AE326</f>
        <v>0.64616385757254968</v>
      </c>
      <c r="AG326" s="76">
        <f>IF(Entradas!$F$91&gt;0,IF(AF326-Escenarios!$F$38&lt;=0,0,IF(AF326-Escenarios!$F$38&gt;Escenarios!$F$37,Escenarios!$F$37,AF326-Escenarios!$F$38)),0)</f>
        <v>0</v>
      </c>
      <c r="AH326" s="76">
        <f>AG326*Entradas!$F$99</f>
        <v>0</v>
      </c>
      <c r="AI326" s="76">
        <f>IF(Entradas!$F$91&gt;0,D326*Entradas!$D$23/Escenarios!$F$16,0)</f>
        <v>0.2210578837859937</v>
      </c>
      <c r="AJ326" s="76">
        <f>IF(Entradas!$F$91&gt;0,Entradas!$D$24*Entradas!$D$22/Escenarios!$F$16,0)</f>
        <v>0.12</v>
      </c>
      <c r="AK326" s="76">
        <f t="shared" si="58"/>
        <v>3.0237744885894244</v>
      </c>
      <c r="AL326" s="76">
        <f t="shared" si="59"/>
        <v>0</v>
      </c>
      <c r="AM326" s="76">
        <f t="shared" si="60"/>
        <v>0</v>
      </c>
      <c r="AN326" s="76">
        <f>MAX(0,O326*Escenarios!$F$13/Escenarios!$F$16-AM326)</f>
        <v>0.52520046546278909</v>
      </c>
      <c r="AO326" s="76">
        <f>AM326+AN326-O326*Escenarios!$F$13/Escenarios!$F$16</f>
        <v>0</v>
      </c>
      <c r="AP326" s="76">
        <f t="shared" si="61"/>
        <v>0.12096339210976056</v>
      </c>
      <c r="AQ326" s="76">
        <f t="shared" si="62"/>
        <v>0</v>
      </c>
      <c r="AR326" s="76">
        <f t="shared" si="63"/>
        <v>0.64616385757254968</v>
      </c>
      <c r="AS326" s="76">
        <f t="shared" si="64"/>
        <v>0</v>
      </c>
      <c r="AT326" s="76">
        <f t="shared" si="65"/>
        <v>2.4047251742171146E-2</v>
      </c>
      <c r="AU326" s="76">
        <f t="shared" si="66"/>
        <v>49.1087520383171</v>
      </c>
      <c r="AV326" s="76">
        <f>MAX(0,(AU326-Constantes!$D$13)*(1-EXP(-Constantes!$D$24)))</f>
        <v>5.483613540953264E-3</v>
      </c>
      <c r="AW326" s="170">
        <f>AW325+(Entradas!$F$112*AT326-AX325)/(800*Entradas!$D$25)</f>
        <v>0</v>
      </c>
      <c r="AX326" s="170">
        <f>8000*Entradas!$D$26*AW326/Constantes!$F$45</f>
        <v>0</v>
      </c>
      <c r="AY326" s="170">
        <f>IF(Escenarios!$F$17&gt;0,10*Escenarios!$F$16*AL326,0)</f>
        <v>0</v>
      </c>
      <c r="AZ326" s="170">
        <f>IF(Escenarios!$F$17&gt;0,10*Escenarios!$F$16*AX326,0)</f>
        <v>0</v>
      </c>
      <c r="BA326" s="170">
        <f>IF(Escenarios!$F$17&gt;0,0.001*Observaciones!$F325*Escenarios!$F$17,0)</f>
        <v>0</v>
      </c>
      <c r="BB326" s="170">
        <f>IF(Escenarios!$F$17&gt;0,Observaciones!$K325,0)</f>
        <v>0</v>
      </c>
      <c r="BC326" s="170">
        <f>IF(Escenarios!$F$17&gt;0,MIN(0.0005*ETo!$M325*Escenarios!$F$17*(BG325/Constantes!$F$40)^(2/3),BG325+AY326+AZ326+BA326+BB326),0)</f>
        <v>0</v>
      </c>
      <c r="BD326" s="170">
        <f>IF(Escenarios!$F$17&gt;0,MIN(Constantes!$F$39*(BG325/Constantes!$F$40)^(2/3),BG325+AY326+AZ326+BA326+BB326-BC326),0)</f>
        <v>0</v>
      </c>
      <c r="BE326" s="170">
        <f>IF(Escenarios!$F$17&gt;0,MIN(Entradas!$F$113,BG325+AY326+AZ326+BA326+BB326-BC326-BD326),0)</f>
        <v>0</v>
      </c>
      <c r="BF326" s="170">
        <f>IF(Escenarios!$F$17&gt;0,MAX(0,BG325+AY326+AZ326+BA326+BB326-BC326-BD326-BE326-Constantes!$F$40),0)</f>
        <v>0</v>
      </c>
      <c r="BG326" s="170">
        <f t="shared" si="67"/>
        <v>0</v>
      </c>
      <c r="BH326" s="170">
        <f>(Escenarios!$F$16*AK326+0.1*BC326)/(Escenarios!$F$19)</f>
        <v>3.0237744885894244</v>
      </c>
      <c r="BI326" s="170">
        <f>IF(Escenarios!$F$17&gt;0,BF326/10/Escenarios!$F$19,AL326)</f>
        <v>0</v>
      </c>
      <c r="BJ326" s="170">
        <f>(Escenarios!$F$16*AT326+0.1*BD326)/(Escenarios!$F$19)</f>
        <v>2.4047251742171146E-2</v>
      </c>
      <c r="BK326" s="76">
        <f>BK325+(0.1*BD326)/(Escenarios!$F$19)-BL325</f>
        <v>48.75</v>
      </c>
      <c r="BL326" s="76">
        <f>MAX(0,(BK326-Constantes!$D$13)*(1-EXP(-Constantes!$D$23)))</f>
        <v>0</v>
      </c>
      <c r="BM326" s="76">
        <f t="shared" si="68"/>
        <v>0.12644700565071382</v>
      </c>
      <c r="BN326" s="76">
        <f t="shared" si="69"/>
        <v>0.65164747111350296</v>
      </c>
      <c r="BO326" s="76">
        <f>0.0526*BI326*Observaciones!$F325^1.218</f>
        <v>0</v>
      </c>
      <c r="BP326" s="76">
        <f>BO326*Constantes!$F$51</f>
        <v>0</v>
      </c>
      <c r="BQ326" s="76">
        <f t="shared" si="70"/>
        <v>0</v>
      </c>
      <c r="BR326" s="40"/>
    </row>
    <row r="327" spans="2:70">
      <c r="B327" s="39"/>
      <c r="C327" s="75">
        <v>321</v>
      </c>
      <c r="D327" s="146">
        <f>ETo!$I326*((1-Constantes!$F$19)*ETo!$K326+ETo!$L326)</f>
        <v>4.6716692138330407</v>
      </c>
      <c r="E327" s="76">
        <f>MIN(D327*Constantes!$F$17,0.8*(N326+Observaciones!$F326-F327-M327-Constantes!$D$14))</f>
        <v>2.6643078803091909</v>
      </c>
      <c r="F327" s="76">
        <f>IF(Observaciones!$F326&gt;0.05*Constantes!$F$18,((Observaciones!$F326-0.05*Constantes!$F$18)^2)/(Observaciones!$F326+0.95*Constantes!$F$18),0)</f>
        <v>0</v>
      </c>
      <c r="G327" s="76">
        <f>IF(Escenarios!$F$11&gt;0,(F327*Escenarios!$F$16*10000)/1000,0)</f>
        <v>0</v>
      </c>
      <c r="H327" s="76">
        <f>IF(Escenarios!$F$11&gt;0,(Observaciones!$F326*Constantes!$F$29)/1000,0)</f>
        <v>0</v>
      </c>
      <c r="I327" s="76">
        <f>IF(Escenarios!$F$11&gt;0,(D327*Constantes!$F$29)/1000,0)</f>
        <v>0</v>
      </c>
      <c r="J327" s="76">
        <f>IF(Escenarios!$F$11&gt;0,MAX(0,G327+H327-I327),0)</f>
        <v>0</v>
      </c>
      <c r="K327" s="76">
        <f>IF(Escenarios!$F$11&gt;0,IF(J327&gt;Constantes!$F$30,1000*((J327-Constantes!$F$30)/(Escenarios!$F$16*10000)),0),F327)</f>
        <v>0</v>
      </c>
      <c r="L327" s="76">
        <f>IF(Escenarios!$F$11&gt;0,I327*1000/Escenarios!$F$16/10000+E327,E327)</f>
        <v>2.6643078803091909</v>
      </c>
      <c r="M327" s="76">
        <f>MAX(0,N326+Observaciones!$F326-K327-Constantes!$D$13)</f>
        <v>0</v>
      </c>
      <c r="N327" s="76">
        <f>N326+Observaciones!$F326-K327-L327-M327-O326</f>
        <v>26.009554296103712</v>
      </c>
      <c r="O327" s="76">
        <f>MAX(0,(N327-Constantes!$D$14)*(1-EXP(-Constantes!$D$22)))</f>
        <v>0.50276460275835888</v>
      </c>
      <c r="P327" s="170">
        <f>P326+(Entradas!$F$83*M327-Q326)/(800*Entradas!$D$25)</f>
        <v>0</v>
      </c>
      <c r="Q327" s="170">
        <f>8000*Entradas!$D$26*P327/Constantes!$F$45</f>
        <v>0</v>
      </c>
      <c r="R327" s="170">
        <f>IF(Escenarios!$F$14&gt;0,K327*Escenarios!$F$13/Escenarios!$F$14,0)</f>
        <v>0</v>
      </c>
      <c r="S327" s="170">
        <f>IF(Escenarios!$F$14&gt;0,Q327*Escenarios!$F$13/Escenarios!$F$14,0)</f>
        <v>0</v>
      </c>
      <c r="T327" s="170">
        <f>IF(Escenarios!$F$14&gt;0,Observaciones!$I326,0)</f>
        <v>0</v>
      </c>
      <c r="U327" s="170">
        <f>IF(Escenarios!$F$14&gt;0,MAX(0,Constantes!$F$36/((Z326+R327+S327+T327+Observaciones!$F326)^2)+Entradas!$F$77),0)</f>
        <v>0</v>
      </c>
      <c r="V327" s="146">
        <f>IF(ETo!D326&gt;0,ETo!I326*((1-Entradas!$F$81)*ETo!K326+ETo!L326),0)</f>
        <v>4.1551068167008767</v>
      </c>
      <c r="W327" s="170">
        <f>IF(Escenarios!$F$14&gt;0,MIN(V327*1,0.8*(Z326+R327+S327+T327+Observaciones!$F326-U327-Constantes!$F$35)),0)</f>
        <v>4.1551068167008767</v>
      </c>
      <c r="X327" s="170">
        <f>IF(Escenarios!$F$14&gt;0,Observaciones!$J326,0)</f>
        <v>0</v>
      </c>
      <c r="Y327" s="170">
        <f>IF(Escenarios!$F$14&gt;0,MAX(0,Z326+R327+S327+T327+Observaciones!$F326-U327-W327-X327-Constantes!$F$33),0)</f>
        <v>0</v>
      </c>
      <c r="Z327" s="170">
        <f>Z326+R327+S327+T327+Observaciones!$F326-U327-W327-Y327</f>
        <v>52.607025087039901</v>
      </c>
      <c r="AA327" s="170">
        <f>IF(Escenarios!$F$14&gt;0,(Escenarios!$F$13*L327+Escenarios!$F$14*W327)/(Escenarios!$F$16),L327)</f>
        <v>2.8432037526761929</v>
      </c>
      <c r="AB327" s="170">
        <f>IF(Escenarios!$F$14&gt;0,(Escenarios!$F$14*Y327)/(Escenarios!$F$16),K327)</f>
        <v>0</v>
      </c>
      <c r="AC327" s="170">
        <f>IF(Escenarios!$F$14&gt;0,(Escenarios!$F$13*M327+Escenarios!$F$14*U327)/(Escenarios!$F$16),M327)</f>
        <v>0</v>
      </c>
      <c r="AD327" s="76">
        <f t="shared" si="57"/>
        <v>60.905548134585246</v>
      </c>
      <c r="AE327" s="76">
        <f>MAX(0,(AD327-Constantes!$D$13)*(1-EXP(-Constantes!$D$23)))</f>
        <v>0.1197715109960678</v>
      </c>
      <c r="AF327" s="76">
        <f>AB327+O327*Escenarios!$F$13/Escenarios!$F$16+AE327</f>
        <v>0.56220436142342356</v>
      </c>
      <c r="AG327" s="76">
        <f>IF(Entradas!$F$91&gt;0,IF(AF327-Escenarios!$F$38&lt;=0,0,IF(AF327-Escenarios!$F$38&gt;Escenarios!$F$37,Escenarios!$F$37,AF327-Escenarios!$F$38)),0)</f>
        <v>0</v>
      </c>
      <c r="AH327" s="76">
        <f>AG327*Entradas!$F$99</f>
        <v>0</v>
      </c>
      <c r="AI327" s="76">
        <f>IF(Entradas!$F$91&gt;0,D327*Entradas!$D$23/Escenarios!$F$16,0)</f>
        <v>0.22424012226398593</v>
      </c>
      <c r="AJ327" s="76">
        <f>IF(Entradas!$F$91&gt;0,Entradas!$D$24*Entradas!$D$22/Escenarios!$F$16,0)</f>
        <v>0.12</v>
      </c>
      <c r="AK327" s="76">
        <f t="shared" si="58"/>
        <v>3.0674438749401789</v>
      </c>
      <c r="AL327" s="76">
        <f t="shared" si="59"/>
        <v>0</v>
      </c>
      <c r="AM327" s="76">
        <f t="shared" si="60"/>
        <v>0</v>
      </c>
      <c r="AN327" s="76">
        <f>MAX(0,O327*Escenarios!$F$13/Escenarios!$F$16-AM327)</f>
        <v>0.44243285042735581</v>
      </c>
      <c r="AO327" s="76">
        <f>AM327+AN327-O327*Escenarios!$F$13/Escenarios!$F$16</f>
        <v>0</v>
      </c>
      <c r="AP327" s="76">
        <f t="shared" si="61"/>
        <v>0.1197715109960678</v>
      </c>
      <c r="AQ327" s="76">
        <f t="shared" si="62"/>
        <v>0</v>
      </c>
      <c r="AR327" s="76">
        <f t="shared" si="63"/>
        <v>0.56220436142342356</v>
      </c>
      <c r="AS327" s="76">
        <f t="shared" si="64"/>
        <v>0</v>
      </c>
      <c r="AT327" s="76">
        <f t="shared" si="65"/>
        <v>0</v>
      </c>
      <c r="AU327" s="76">
        <f t="shared" si="66"/>
        <v>49.103268424776147</v>
      </c>
      <c r="AV327" s="76">
        <f>MAX(0,(AU327-Constantes!$D$13)*(1-EXP(-Constantes!$D$24)))</f>
        <v>5.3997951531676988E-3</v>
      </c>
      <c r="AW327" s="170">
        <f>AW326+(Entradas!$F$112*AT327-AX326)/(800*Entradas!$D$25)</f>
        <v>0</v>
      </c>
      <c r="AX327" s="170">
        <f>8000*Entradas!$D$26*AW327/Constantes!$F$45</f>
        <v>0</v>
      </c>
      <c r="AY327" s="170">
        <f>IF(Escenarios!$F$17&gt;0,10*Escenarios!$F$16*AL327,0)</f>
        <v>0</v>
      </c>
      <c r="AZ327" s="170">
        <f>IF(Escenarios!$F$17&gt;0,10*Escenarios!$F$16*AX327,0)</f>
        <v>0</v>
      </c>
      <c r="BA327" s="170">
        <f>IF(Escenarios!$F$17&gt;0,0.001*Observaciones!$F326*Escenarios!$F$17,0)</f>
        <v>0</v>
      </c>
      <c r="BB327" s="170">
        <f>IF(Escenarios!$F$17&gt;0,Observaciones!$K326,0)</f>
        <v>0</v>
      </c>
      <c r="BC327" s="170">
        <f>IF(Escenarios!$F$17&gt;0,MIN(0.0005*ETo!$M326*Escenarios!$F$17*(BG326/Constantes!$F$40)^(2/3),BG326+AY327+AZ327+BA327+BB327),0)</f>
        <v>0</v>
      </c>
      <c r="BD327" s="170">
        <f>IF(Escenarios!$F$17&gt;0,MIN(Constantes!$F$39*(BG326/Constantes!$F$40)^(2/3),BG326+AY327+AZ327+BA327+BB327-BC327),0)</f>
        <v>0</v>
      </c>
      <c r="BE327" s="170">
        <f>IF(Escenarios!$F$17&gt;0,MIN(Entradas!$F$113,BG326+AY327+AZ327+BA327+BB327-BC327-BD327),0)</f>
        <v>0</v>
      </c>
      <c r="BF327" s="170">
        <f>IF(Escenarios!$F$17&gt;0,MAX(0,BG326+AY327+AZ327+BA327+BB327-BC327-BD327-BE327-Constantes!$F$40),0)</f>
        <v>0</v>
      </c>
      <c r="BG327" s="170">
        <f t="shared" si="67"/>
        <v>0</v>
      </c>
      <c r="BH327" s="170">
        <f>(Escenarios!$F$16*AK327+0.1*BC327)/(Escenarios!$F$19)</f>
        <v>3.0674438749401789</v>
      </c>
      <c r="BI327" s="170">
        <f>IF(Escenarios!$F$17&gt;0,BF327/10/Escenarios!$F$19,AL327)</f>
        <v>0</v>
      </c>
      <c r="BJ327" s="170">
        <f>(Escenarios!$F$16*AT327+0.1*BD327)/(Escenarios!$F$19)</f>
        <v>0</v>
      </c>
      <c r="BK327" s="76">
        <f>BK326+(0.1*BD327)/(Escenarios!$F$19)-BL326</f>
        <v>48.75</v>
      </c>
      <c r="BL327" s="76">
        <f>MAX(0,(BK327-Constantes!$D$13)*(1-EXP(-Constantes!$D$23)))</f>
        <v>0</v>
      </c>
      <c r="BM327" s="76">
        <f t="shared" si="68"/>
        <v>0.1251713061492355</v>
      </c>
      <c r="BN327" s="76">
        <f t="shared" si="69"/>
        <v>0.56760415657659125</v>
      </c>
      <c r="BO327" s="76">
        <f>0.0526*BI327*Observaciones!$F326^1.218</f>
        <v>0</v>
      </c>
      <c r="BP327" s="76">
        <f>BO327*Constantes!$F$51</f>
        <v>0</v>
      </c>
      <c r="BQ327" s="76">
        <f t="shared" si="70"/>
        <v>0</v>
      </c>
      <c r="BR327" s="40"/>
    </row>
    <row r="328" spans="2:70">
      <c r="B328" s="39"/>
      <c r="C328" s="75">
        <v>322</v>
      </c>
      <c r="D328" s="146">
        <f>ETo!$I327*((1-Constantes!$F$19)*ETo!$K327+ETo!$L327)</f>
        <v>4.7285968527854392</v>
      </c>
      <c r="E328" s="76">
        <f>MIN(D328*Constantes!$F$17,0.8*(N327+Observaciones!$F327-F328-M328-Constantes!$D$14))</f>
        <v>2.6967743821366663</v>
      </c>
      <c r="F328" s="76">
        <f>IF(Observaciones!$F327&gt;0.05*Constantes!$F$18,((Observaciones!$F327-0.05*Constantes!$F$18)^2)/(Observaciones!$F327+0.95*Constantes!$F$18),0)</f>
        <v>0</v>
      </c>
      <c r="G328" s="76">
        <f>IF(Escenarios!$F$11&gt;0,(F328*Escenarios!$F$16*10000)/1000,0)</f>
        <v>0</v>
      </c>
      <c r="H328" s="76">
        <f>IF(Escenarios!$F$11&gt;0,(Observaciones!$F327*Constantes!$F$29)/1000,0)</f>
        <v>0</v>
      </c>
      <c r="I328" s="76">
        <f>IF(Escenarios!$F$11&gt;0,(D328*Constantes!$F$29)/1000,0)</f>
        <v>0</v>
      </c>
      <c r="J328" s="76">
        <f>IF(Escenarios!$F$11&gt;0,MAX(0,G328+H328-I328),0)</f>
        <v>0</v>
      </c>
      <c r="K328" s="76">
        <f>IF(Escenarios!$F$11&gt;0,IF(J328&gt;Constantes!$F$30,1000*((J328-Constantes!$F$30)/(Escenarios!$F$16*10000)),0),F328)</f>
        <v>0</v>
      </c>
      <c r="L328" s="76">
        <f>IF(Escenarios!$F$11&gt;0,I328*1000/Escenarios!$F$16/10000+E328,E328)</f>
        <v>2.6967743821366663</v>
      </c>
      <c r="M328" s="76">
        <f>MAX(0,N327+Observaciones!$F327-K328-Constantes!$D$13)</f>
        <v>0</v>
      </c>
      <c r="N328" s="76">
        <f>N327+Observaciones!$F327-K328-L328-M328-O327</f>
        <v>23.410015311208689</v>
      </c>
      <c r="O328" s="76">
        <f>MAX(0,(N328-Constantes!$D$14)*(1-EXP(-Constantes!$D$22)))</f>
        <v>0.41421476182985406</v>
      </c>
      <c r="P328" s="170">
        <f>P327+(Entradas!$F$83*M328-Q327)/(800*Entradas!$D$25)</f>
        <v>0</v>
      </c>
      <c r="Q328" s="170">
        <f>8000*Entradas!$D$26*P328/Constantes!$F$45</f>
        <v>0</v>
      </c>
      <c r="R328" s="170">
        <f>IF(Escenarios!$F$14&gt;0,K328*Escenarios!$F$13/Escenarios!$F$14,0)</f>
        <v>0</v>
      </c>
      <c r="S328" s="170">
        <f>IF(Escenarios!$F$14&gt;0,Q328*Escenarios!$F$13/Escenarios!$F$14,0)</f>
        <v>0</v>
      </c>
      <c r="T328" s="170">
        <f>IF(Escenarios!$F$14&gt;0,Observaciones!$I327,0)</f>
        <v>0</v>
      </c>
      <c r="U328" s="170">
        <f>IF(Escenarios!$F$14&gt;0,MAX(0,Constantes!$F$36/((Z327+R328+S328+T328+Observaciones!$F327)^2)+Entradas!$F$77),0)</f>
        <v>0</v>
      </c>
      <c r="V328" s="146">
        <f>IF(ETo!D327&gt;0,ETo!I327*((1-Entradas!$F$81)*ETo!K327+ETo!L327),0)</f>
        <v>4.2068289229410212</v>
      </c>
      <c r="W328" s="170">
        <f>IF(Escenarios!$F$14&gt;0,MIN(V328*1,0.8*(Z327+R328+S328+T328+Observaciones!$F327-U328-Constantes!$F$35)),0)</f>
        <v>4.2068289229410212</v>
      </c>
      <c r="X328" s="170">
        <f>IF(Escenarios!$F$14&gt;0,Observaciones!$J327,0)</f>
        <v>0</v>
      </c>
      <c r="Y328" s="170">
        <f>IF(Escenarios!$F$14&gt;0,MAX(0,Z327+R328+S328+T328+Observaciones!$F327-U328-W328-X328-Constantes!$F$33),0)</f>
        <v>0</v>
      </c>
      <c r="Z328" s="170">
        <f>Z327+R328+S328+T328+Observaciones!$F327-U328-W328-Y328</f>
        <v>49.000196164098881</v>
      </c>
      <c r="AA328" s="170">
        <f>IF(Escenarios!$F$14&gt;0,(Escenarios!$F$13*L328+Escenarios!$F$14*W328)/(Escenarios!$F$16),L328)</f>
        <v>2.8779809270331889</v>
      </c>
      <c r="AB328" s="170">
        <f>IF(Escenarios!$F$14&gt;0,(Escenarios!$F$14*Y328)/(Escenarios!$F$16),K328)</f>
        <v>0</v>
      </c>
      <c r="AC328" s="170">
        <f>IF(Escenarios!$F$14&gt;0,(Escenarios!$F$13*M328+Escenarios!$F$14*U328)/(Escenarios!$F$16),M328)</f>
        <v>0</v>
      </c>
      <c r="AD328" s="76">
        <f t="shared" ref="AD328:AD391" si="71">AD327+AC328-AE327</f>
        <v>60.785776623589179</v>
      </c>
      <c r="AE328" s="76">
        <f>MAX(0,(AD328-Constantes!$D$13)*(1-EXP(-Constantes!$D$23)))</f>
        <v>0.11859137377087219</v>
      </c>
      <c r="AF328" s="76">
        <f>AB328+O328*Escenarios!$F$13/Escenarios!$F$16+AE328</f>
        <v>0.48310036418114377</v>
      </c>
      <c r="AG328" s="76">
        <f>IF(Entradas!$F$91&gt;0,IF(AF328-Escenarios!$F$38&lt;=0,0,IF(AF328-Escenarios!$F$38&gt;Escenarios!$F$37,Escenarios!$F$37,AF328-Escenarios!$F$38)),0)</f>
        <v>0</v>
      </c>
      <c r="AH328" s="76">
        <f>AG328*Entradas!$F$99</f>
        <v>0</v>
      </c>
      <c r="AI328" s="76">
        <f>IF(Entradas!$F$91&gt;0,D328*Entradas!$D$23/Escenarios!$F$16,0)</f>
        <v>0.22697264893370106</v>
      </c>
      <c r="AJ328" s="76">
        <f>IF(Entradas!$F$91&gt;0,Entradas!$D$24*Entradas!$D$22/Escenarios!$F$16,0)</f>
        <v>0.12</v>
      </c>
      <c r="AK328" s="76">
        <f t="shared" ref="AK328:AK391" si="72">AA328+AI328</f>
        <v>3.1049535759668898</v>
      </c>
      <c r="AL328" s="76">
        <f t="shared" ref="AL328:AL391" si="73">MAX(0,AB328-AG328)</f>
        <v>0</v>
      </c>
      <c r="AM328" s="76">
        <f t="shared" ref="AM328:AM391" si="74">AG328+AL328-AB328</f>
        <v>0</v>
      </c>
      <c r="AN328" s="76">
        <f>MAX(0,O328*Escenarios!$F$13/Escenarios!$F$16-AM328)</f>
        <v>0.36450899041027157</v>
      </c>
      <c r="AO328" s="76">
        <f>AM328+AN328-O328*Escenarios!$F$13/Escenarios!$F$16</f>
        <v>0</v>
      </c>
      <c r="AP328" s="76">
        <f t="shared" ref="AP328:AP391" si="75">MAX(0,AE328-AO328)</f>
        <v>0.11859137377087219</v>
      </c>
      <c r="AQ328" s="76">
        <f t="shared" ref="AQ328:AQ391" si="76">AO328+AP328-AE328</f>
        <v>0</v>
      </c>
      <c r="AR328" s="76">
        <f t="shared" ref="AR328:AR391" si="77">AL328+AN328+AP328+AH328</f>
        <v>0.48310036418114377</v>
      </c>
      <c r="AS328" s="76">
        <f t="shared" ref="AS328:AS391" si="78">MAX(0,AG328-AH328-AI328-AJ328)</f>
        <v>0</v>
      </c>
      <c r="AT328" s="76">
        <f t="shared" ref="AT328:AT391" si="79">AC328+AS328</f>
        <v>0</v>
      </c>
      <c r="AU328" s="76">
        <f t="shared" ref="AU328:AU391" si="80">AU327+AS328-AV327</f>
        <v>49.09786862962298</v>
      </c>
      <c r="AV328" s="76">
        <f>MAX(0,(AU328-Constantes!$D$13)*(1-EXP(-Constantes!$D$24)))</f>
        <v>5.3172579501480797E-3</v>
      </c>
      <c r="AW328" s="170">
        <f>AW327+(Entradas!$F$112*AT328-AX327)/(800*Entradas!$D$25)</f>
        <v>0</v>
      </c>
      <c r="AX328" s="170">
        <f>8000*Entradas!$D$26*AW328/Constantes!$F$45</f>
        <v>0</v>
      </c>
      <c r="AY328" s="170">
        <f>IF(Escenarios!$F$17&gt;0,10*Escenarios!$F$16*AL328,0)</f>
        <v>0</v>
      </c>
      <c r="AZ328" s="170">
        <f>IF(Escenarios!$F$17&gt;0,10*Escenarios!$F$16*AX328,0)</f>
        <v>0</v>
      </c>
      <c r="BA328" s="170">
        <f>IF(Escenarios!$F$17&gt;0,0.001*Observaciones!$F327*Escenarios!$F$17,0)</f>
        <v>0</v>
      </c>
      <c r="BB328" s="170">
        <f>IF(Escenarios!$F$17&gt;0,Observaciones!$K327,0)</f>
        <v>0</v>
      </c>
      <c r="BC328" s="170">
        <f>IF(Escenarios!$F$17&gt;0,MIN(0.0005*ETo!$M327*Escenarios!$F$17*(BG327/Constantes!$F$40)^(2/3),BG327+AY328+AZ328+BA328+BB328),0)</f>
        <v>0</v>
      </c>
      <c r="BD328" s="170">
        <f>IF(Escenarios!$F$17&gt;0,MIN(Constantes!$F$39*(BG327/Constantes!$F$40)^(2/3),BG327+AY328+AZ328+BA328+BB328-BC328),0)</f>
        <v>0</v>
      </c>
      <c r="BE328" s="170">
        <f>IF(Escenarios!$F$17&gt;0,MIN(Entradas!$F$113,BG327+AY328+AZ328+BA328+BB328-BC328-BD328),0)</f>
        <v>0</v>
      </c>
      <c r="BF328" s="170">
        <f>IF(Escenarios!$F$17&gt;0,MAX(0,BG327+AY328+AZ328+BA328+BB328-BC328-BD328-BE328-Constantes!$F$40),0)</f>
        <v>0</v>
      </c>
      <c r="BG328" s="170">
        <f t="shared" ref="BG328:BG391" si="81">BG327+AY328+AZ328+BA328+BB328-BF328-BC328-BD328-BE328</f>
        <v>0</v>
      </c>
      <c r="BH328" s="170">
        <f>(Escenarios!$F$16*AK328+0.1*BC328)/(Escenarios!$F$19)</f>
        <v>3.1049535759668898</v>
      </c>
      <c r="BI328" s="170">
        <f>IF(Escenarios!$F$17&gt;0,BF328/10/Escenarios!$F$19,AL328)</f>
        <v>0</v>
      </c>
      <c r="BJ328" s="170">
        <f>(Escenarios!$F$16*AT328+0.1*BD328)/(Escenarios!$F$19)</f>
        <v>0</v>
      </c>
      <c r="BK328" s="76">
        <f>BK327+(0.1*BD328)/(Escenarios!$F$19)-BL327</f>
        <v>48.75</v>
      </c>
      <c r="BL328" s="76">
        <f>MAX(0,(BK328-Constantes!$D$13)*(1-EXP(-Constantes!$D$23)))</f>
        <v>0</v>
      </c>
      <c r="BM328" s="76">
        <f t="shared" ref="BM328:BM391" si="82">AP328+AV328+BL328</f>
        <v>0.12390863172102026</v>
      </c>
      <c r="BN328" s="76">
        <f t="shared" ref="BN328:BN391" si="83">AN328+AP328+AV328+BI328+BL328</f>
        <v>0.48841762213129186</v>
      </c>
      <c r="BO328" s="76">
        <f>0.0526*BI328*Observaciones!$F327^1.218</f>
        <v>0</v>
      </c>
      <c r="BP328" s="76">
        <f>BO328*Constantes!$F$51</f>
        <v>0</v>
      </c>
      <c r="BQ328" s="76">
        <f t="shared" ref="BQ328:BQ391" si="84">BP328*1000000/(BN328/1000*10000)</f>
        <v>0</v>
      </c>
      <c r="BR328" s="40"/>
    </row>
    <row r="329" spans="2:70">
      <c r="B329" s="39"/>
      <c r="C329" s="75">
        <v>323</v>
      </c>
      <c r="D329" s="146">
        <f>ETo!$I328*((1-Constantes!$F$19)*ETo!$K328+ETo!$L328)</f>
        <v>4.4929631410047612</v>
      </c>
      <c r="E329" s="76">
        <f>MIN(D329*Constantes!$F$17,0.8*(N328+Observaciones!$F328-F329-M329-Constantes!$D$14))</f>
        <v>2.5623897058190845</v>
      </c>
      <c r="F329" s="76">
        <f>IF(Observaciones!$F328&gt;0.05*Constantes!$F$18,((Observaciones!$F328-0.05*Constantes!$F$18)^2)/(Observaciones!$F328+0.95*Constantes!$F$18),0)</f>
        <v>0</v>
      </c>
      <c r="G329" s="76">
        <f>IF(Escenarios!$F$11&gt;0,(F329*Escenarios!$F$16*10000)/1000,0)</f>
        <v>0</v>
      </c>
      <c r="H329" s="76">
        <f>IF(Escenarios!$F$11&gt;0,(Observaciones!$F328*Constantes!$F$29)/1000,0)</f>
        <v>0</v>
      </c>
      <c r="I329" s="76">
        <f>IF(Escenarios!$F$11&gt;0,(D329*Constantes!$F$29)/1000,0)</f>
        <v>0</v>
      </c>
      <c r="J329" s="76">
        <f>IF(Escenarios!$F$11&gt;0,MAX(0,G329+H329-I329),0)</f>
        <v>0</v>
      </c>
      <c r="K329" s="76">
        <f>IF(Escenarios!$F$11&gt;0,IF(J329&gt;Constantes!$F$30,1000*((J329-Constantes!$F$30)/(Escenarios!$F$16*10000)),0),F329)</f>
        <v>0</v>
      </c>
      <c r="L329" s="76">
        <f>IF(Escenarios!$F$11&gt;0,I329*1000/Escenarios!$F$16/10000+E329,E329)</f>
        <v>2.5623897058190845</v>
      </c>
      <c r="M329" s="76">
        <f>MAX(0,N328+Observaciones!$F328-K329-Constantes!$D$13)</f>
        <v>0</v>
      </c>
      <c r="N329" s="76">
        <f>N328+Observaciones!$F328-K329-L329-M329-O328</f>
        <v>24.133410843559751</v>
      </c>
      <c r="O329" s="76">
        <f>MAX(0,(N329-Constantes!$D$14)*(1-EXP(-Constantes!$D$22)))</f>
        <v>0.43885626930109684</v>
      </c>
      <c r="P329" s="170">
        <f>P328+(Entradas!$F$83*M329-Q328)/(800*Entradas!$D$25)</f>
        <v>0</v>
      </c>
      <c r="Q329" s="170">
        <f>8000*Entradas!$D$26*P329/Constantes!$F$45</f>
        <v>0</v>
      </c>
      <c r="R329" s="170">
        <f>IF(Escenarios!$F$14&gt;0,K329*Escenarios!$F$13/Escenarios!$F$14,0)</f>
        <v>0</v>
      </c>
      <c r="S329" s="170">
        <f>IF(Escenarios!$F$14&gt;0,Q329*Escenarios!$F$13/Escenarios!$F$14,0)</f>
        <v>0</v>
      </c>
      <c r="T329" s="170">
        <f>IF(Escenarios!$F$14&gt;0,Observaciones!$I328,0)</f>
        <v>0</v>
      </c>
      <c r="U329" s="170">
        <f>IF(Escenarios!$F$14&gt;0,MAX(0,Constantes!$F$36/((Z328+R329+S329+T329+Observaciones!$F328)^2)+Entradas!$F$77),0)</f>
        <v>0</v>
      </c>
      <c r="V329" s="146">
        <f>IF(ETo!D328&gt;0,ETo!I328*((1-Entradas!$F$81)*ETo!K328+ETo!L328),0)</f>
        <v>3.9934023806922312</v>
      </c>
      <c r="W329" s="170">
        <f>IF(Escenarios!$F$14&gt;0,MIN(V329*1,0.8*(Z328+R329+S329+T329+Observaciones!$F328-U329-Constantes!$F$35)),0)</f>
        <v>3.9934023806922312</v>
      </c>
      <c r="X329" s="170">
        <f>IF(Escenarios!$F$14&gt;0,Observaciones!$J328,0)</f>
        <v>0</v>
      </c>
      <c r="Y329" s="170">
        <f>IF(Escenarios!$F$14&gt;0,MAX(0,Z328+R329+S329+T329+Observaciones!$F328-U329-W329-X329-Constantes!$F$33),0)</f>
        <v>0</v>
      </c>
      <c r="Z329" s="170">
        <f>Z328+R329+S329+T329+Observaciones!$F328-U329-W329-Y329</f>
        <v>48.706793783406653</v>
      </c>
      <c r="AA329" s="170">
        <f>IF(Escenarios!$F$14&gt;0,(Escenarios!$F$13*L329+Escenarios!$F$14*W329)/(Escenarios!$F$16),L329)</f>
        <v>2.7341112268038623</v>
      </c>
      <c r="AB329" s="170">
        <f>IF(Escenarios!$F$14&gt;0,(Escenarios!$F$14*Y329)/(Escenarios!$F$16),K329)</f>
        <v>0</v>
      </c>
      <c r="AC329" s="170">
        <f>IF(Escenarios!$F$14&gt;0,(Escenarios!$F$13*M329+Escenarios!$F$14*U329)/(Escenarios!$F$16),M329)</f>
        <v>0</v>
      </c>
      <c r="AD329" s="76">
        <f t="shared" si="71"/>
        <v>60.66718524981831</v>
      </c>
      <c r="AE329" s="76">
        <f>MAX(0,(AD329-Constantes!$D$13)*(1-EXP(-Constantes!$D$23)))</f>
        <v>0.11742286471884324</v>
      </c>
      <c r="AF329" s="76">
        <f>AB329+O329*Escenarios!$F$13/Escenarios!$F$16+AE329</f>
        <v>0.50361638170380851</v>
      </c>
      <c r="AG329" s="76">
        <f>IF(Entradas!$F$91&gt;0,IF(AF329-Escenarios!$F$38&lt;=0,0,IF(AF329-Escenarios!$F$38&gt;Escenarios!$F$37,Escenarios!$F$37,AF329-Escenarios!$F$38)),0)</f>
        <v>0</v>
      </c>
      <c r="AH329" s="76">
        <f>AG329*Entradas!$F$99</f>
        <v>0</v>
      </c>
      <c r="AI329" s="76">
        <f>IF(Entradas!$F$91&gt;0,D329*Entradas!$D$23/Escenarios!$F$16,0)</f>
        <v>0.21566223076822855</v>
      </c>
      <c r="AJ329" s="76">
        <f>IF(Entradas!$F$91&gt;0,Entradas!$D$24*Entradas!$D$22/Escenarios!$F$16,0)</f>
        <v>0.12</v>
      </c>
      <c r="AK329" s="76">
        <f t="shared" si="72"/>
        <v>2.9497734575720909</v>
      </c>
      <c r="AL329" s="76">
        <f t="shared" si="73"/>
        <v>0</v>
      </c>
      <c r="AM329" s="76">
        <f t="shared" si="74"/>
        <v>0</v>
      </c>
      <c r="AN329" s="76">
        <f>MAX(0,O329*Escenarios!$F$13/Escenarios!$F$16-AM329)</f>
        <v>0.38619351698496523</v>
      </c>
      <c r="AO329" s="76">
        <f>AM329+AN329-O329*Escenarios!$F$13/Escenarios!$F$16</f>
        <v>0</v>
      </c>
      <c r="AP329" s="76">
        <f t="shared" si="75"/>
        <v>0.11742286471884324</v>
      </c>
      <c r="AQ329" s="76">
        <f t="shared" si="76"/>
        <v>0</v>
      </c>
      <c r="AR329" s="76">
        <f t="shared" si="77"/>
        <v>0.50361638170380851</v>
      </c>
      <c r="AS329" s="76">
        <f t="shared" si="78"/>
        <v>0</v>
      </c>
      <c r="AT329" s="76">
        <f t="shared" si="79"/>
        <v>0</v>
      </c>
      <c r="AU329" s="76">
        <f t="shared" si="80"/>
        <v>49.092551371672833</v>
      </c>
      <c r="AV329" s="76">
        <f>MAX(0,(AU329-Constantes!$D$13)*(1-EXP(-Constantes!$D$24)))</f>
        <v>5.2359823486687329E-3</v>
      </c>
      <c r="AW329" s="170">
        <f>AW328+(Entradas!$F$112*AT329-AX328)/(800*Entradas!$D$25)</f>
        <v>0</v>
      </c>
      <c r="AX329" s="170">
        <f>8000*Entradas!$D$26*AW329/Constantes!$F$45</f>
        <v>0</v>
      </c>
      <c r="AY329" s="170">
        <f>IF(Escenarios!$F$17&gt;0,10*Escenarios!$F$16*AL329,0)</f>
        <v>0</v>
      </c>
      <c r="AZ329" s="170">
        <f>IF(Escenarios!$F$17&gt;0,10*Escenarios!$F$16*AX329,0)</f>
        <v>0</v>
      </c>
      <c r="BA329" s="170">
        <f>IF(Escenarios!$F$17&gt;0,0.001*Observaciones!$F328*Escenarios!$F$17,0)</f>
        <v>0</v>
      </c>
      <c r="BB329" s="170">
        <f>IF(Escenarios!$F$17&gt;0,Observaciones!$K328,0)</f>
        <v>0</v>
      </c>
      <c r="BC329" s="170">
        <f>IF(Escenarios!$F$17&gt;0,MIN(0.0005*ETo!$M328*Escenarios!$F$17*(BG328/Constantes!$F$40)^(2/3),BG328+AY329+AZ329+BA329+BB329),0)</f>
        <v>0</v>
      </c>
      <c r="BD329" s="170">
        <f>IF(Escenarios!$F$17&gt;0,MIN(Constantes!$F$39*(BG328/Constantes!$F$40)^(2/3),BG328+AY329+AZ329+BA329+BB329-BC329),0)</f>
        <v>0</v>
      </c>
      <c r="BE329" s="170">
        <f>IF(Escenarios!$F$17&gt;0,MIN(Entradas!$F$113,BG328+AY329+AZ329+BA329+BB329-BC329-BD329),0)</f>
        <v>0</v>
      </c>
      <c r="BF329" s="170">
        <f>IF(Escenarios!$F$17&gt;0,MAX(0,BG328+AY329+AZ329+BA329+BB329-BC329-BD329-BE329-Constantes!$F$40),0)</f>
        <v>0</v>
      </c>
      <c r="BG329" s="170">
        <f t="shared" si="81"/>
        <v>0</v>
      </c>
      <c r="BH329" s="170">
        <f>(Escenarios!$F$16*AK329+0.1*BC329)/(Escenarios!$F$19)</f>
        <v>2.9497734575720909</v>
      </c>
      <c r="BI329" s="170">
        <f>IF(Escenarios!$F$17&gt;0,BF329/10/Escenarios!$F$19,AL329)</f>
        <v>0</v>
      </c>
      <c r="BJ329" s="170">
        <f>(Escenarios!$F$16*AT329+0.1*BD329)/(Escenarios!$F$19)</f>
        <v>0</v>
      </c>
      <c r="BK329" s="76">
        <f>BK328+(0.1*BD329)/(Escenarios!$F$19)-BL328</f>
        <v>48.75</v>
      </c>
      <c r="BL329" s="76">
        <f>MAX(0,(BK329-Constantes!$D$13)*(1-EXP(-Constantes!$D$23)))</f>
        <v>0</v>
      </c>
      <c r="BM329" s="76">
        <f t="shared" si="82"/>
        <v>0.12265884706751197</v>
      </c>
      <c r="BN329" s="76">
        <f t="shared" si="83"/>
        <v>0.50885236405247725</v>
      </c>
      <c r="BO329" s="76">
        <f>0.0526*BI329*Observaciones!$F328^1.218</f>
        <v>0</v>
      </c>
      <c r="BP329" s="76">
        <f>BO329*Constantes!$F$51</f>
        <v>0</v>
      </c>
      <c r="BQ329" s="76">
        <f t="shared" si="84"/>
        <v>0</v>
      </c>
      <c r="BR329" s="40"/>
    </row>
    <row r="330" spans="2:70">
      <c r="B330" s="39"/>
      <c r="C330" s="75">
        <v>324</v>
      </c>
      <c r="D330" s="146">
        <f>ETo!$I329*((1-Constantes!$F$19)*ETo!$K329+ETo!$L329)</f>
        <v>4.526482288940378</v>
      </c>
      <c r="E330" s="76">
        <f>MIN(D330*Constantes!$F$17,0.8*(N329+Observaciones!$F329-F330-M330-Constantes!$D$14))</f>
        <v>2.581506069991804</v>
      </c>
      <c r="F330" s="76">
        <f>IF(Observaciones!$F329&gt;0.05*Constantes!$F$18,((Observaciones!$F329-0.05*Constantes!$F$18)^2)/(Observaciones!$F329+0.95*Constantes!$F$18),0)</f>
        <v>3.0985619739921651E-2</v>
      </c>
      <c r="G330" s="76">
        <f>IF(Escenarios!$F$11&gt;0,(F330*Escenarios!$F$16*10000)/1000,0)</f>
        <v>0</v>
      </c>
      <c r="H330" s="76">
        <f>IF(Escenarios!$F$11&gt;0,(Observaciones!$F329*Constantes!$F$29)/1000,0)</f>
        <v>0</v>
      </c>
      <c r="I330" s="76">
        <f>IF(Escenarios!$F$11&gt;0,(D330*Constantes!$F$29)/1000,0)</f>
        <v>0</v>
      </c>
      <c r="J330" s="76">
        <f>IF(Escenarios!$F$11&gt;0,MAX(0,G330+H330-I330),0)</f>
        <v>0</v>
      </c>
      <c r="K330" s="76">
        <f>IF(Escenarios!$F$11&gt;0,IF(J330&gt;Constantes!$F$30,1000*((J330-Constantes!$F$30)/(Escenarios!$F$16*10000)),0),F330)</f>
        <v>3.0985619739921651E-2</v>
      </c>
      <c r="L330" s="76">
        <f>IF(Escenarios!$F$11&gt;0,I330*1000/Escenarios!$F$16/10000+E330,E330)</f>
        <v>2.581506069991804</v>
      </c>
      <c r="M330" s="76">
        <f>MAX(0,N329+Observaciones!$F329-K330-Constantes!$D$13)</f>
        <v>0</v>
      </c>
      <c r="N330" s="76">
        <f>N329+Observaciones!$F329-K330-L330-M330-O329</f>
        <v>34.682062884526928</v>
      </c>
      <c r="O330" s="76">
        <f>MAX(0,(N330-Constantes!$D$14)*(1-EXP(-Constantes!$D$22)))</f>
        <v>0.79818208271085889</v>
      </c>
      <c r="P330" s="170">
        <f>P329+(Entradas!$F$83*M330-Q329)/(800*Entradas!$D$25)</f>
        <v>0</v>
      </c>
      <c r="Q330" s="170">
        <f>8000*Entradas!$D$26*P330/Constantes!$F$45</f>
        <v>0</v>
      </c>
      <c r="R330" s="170">
        <f>IF(Escenarios!$F$14&gt;0,K330*Escenarios!$F$13/Escenarios!$F$14,0)</f>
        <v>0.22722787809275877</v>
      </c>
      <c r="S330" s="170">
        <f>IF(Escenarios!$F$14&gt;0,Q330*Escenarios!$F$13/Escenarios!$F$14,0)</f>
        <v>0</v>
      </c>
      <c r="T330" s="170">
        <f>IF(Escenarios!$F$14&gt;0,Observaciones!$I329,0)</f>
        <v>0</v>
      </c>
      <c r="U330" s="170">
        <f>IF(Escenarios!$F$14&gt;0,MAX(0,Constantes!$F$36/((Z329+R330+S330+T330+Observaciones!$F329)^2)+Entradas!$F$77),0)</f>
        <v>0.37457106449436406</v>
      </c>
      <c r="V330" s="146">
        <f>IF(ETo!D329&gt;0,ETo!I329*((1-Entradas!$F$81)*ETo!K329+ETo!L329),0)</f>
        <v>4.0236834129968129</v>
      </c>
      <c r="W330" s="170">
        <f>IF(Escenarios!$F$14&gt;0,MIN(V330*1,0.8*(Z329+R330+S330+T330+Observaciones!$F329-U330-Constantes!$F$35)),0)</f>
        <v>4.0236834129968129</v>
      </c>
      <c r="X330" s="170">
        <f>IF(Escenarios!$F$14&gt;0,Observaciones!$J329,0)</f>
        <v>0</v>
      </c>
      <c r="Y330" s="170">
        <f>IF(Escenarios!$F$14&gt;0,MAX(0,Z329+R330+S330+T330+Observaciones!$F329-U330-W330-X330-Constantes!$F$33),0)</f>
        <v>0</v>
      </c>
      <c r="Z330" s="170">
        <f>Z329+R330+S330+T330+Observaciones!$F329-U330-W330-Y330</f>
        <v>58.135767184008245</v>
      </c>
      <c r="AA330" s="170">
        <f>IF(Escenarios!$F$14&gt;0,(Escenarios!$F$13*L330+Escenarios!$F$14*W330)/(Escenarios!$F$16),L330)</f>
        <v>2.7545673511524051</v>
      </c>
      <c r="AB330" s="170">
        <f>IF(Escenarios!$F$14&gt;0,(Escenarios!$F$14*Y330)/(Escenarios!$F$16),K330)</f>
        <v>0</v>
      </c>
      <c r="AC330" s="170">
        <f>IF(Escenarios!$F$14&gt;0,(Escenarios!$F$13*M330+Escenarios!$F$14*U330)/(Escenarios!$F$16),M330)</f>
        <v>4.4948527739323688E-2</v>
      </c>
      <c r="AD330" s="76">
        <f t="shared" si="71"/>
        <v>60.594710912838792</v>
      </c>
      <c r="AE330" s="76">
        <f>MAX(0,(AD330-Constantes!$D$13)*(1-EXP(-Constantes!$D$23)))</f>
        <v>0.11670875781454186</v>
      </c>
      <c r="AF330" s="76">
        <f>AB330+O330*Escenarios!$F$13/Escenarios!$F$16+AE330</f>
        <v>0.81910899060009756</v>
      </c>
      <c r="AG330" s="76">
        <f>IF(Entradas!$F$91&gt;0,IF(AF330-Escenarios!$F$38&lt;=0,0,IF(AF330-Escenarios!$F$38&gt;Escenarios!$F$37,Escenarios!$F$37,AF330-Escenarios!$F$38)),0)</f>
        <v>0</v>
      </c>
      <c r="AH330" s="76">
        <f>AG330*Entradas!$F$99</f>
        <v>0</v>
      </c>
      <c r="AI330" s="76">
        <f>IF(Entradas!$F$91&gt;0,D330*Entradas!$D$23/Escenarios!$F$16,0)</f>
        <v>0.21727114986913812</v>
      </c>
      <c r="AJ330" s="76">
        <f>IF(Entradas!$F$91&gt;0,Entradas!$D$24*Entradas!$D$22/Escenarios!$F$16,0)</f>
        <v>0.12</v>
      </c>
      <c r="AK330" s="76">
        <f t="shared" si="72"/>
        <v>2.9718385010215433</v>
      </c>
      <c r="AL330" s="76">
        <f t="shared" si="73"/>
        <v>0</v>
      </c>
      <c r="AM330" s="76">
        <f t="shared" si="74"/>
        <v>0</v>
      </c>
      <c r="AN330" s="76">
        <f>MAX(0,O330*Escenarios!$F$13/Escenarios!$F$16-AM330)</f>
        <v>0.70240023278555574</v>
      </c>
      <c r="AO330" s="76">
        <f>AM330+AN330-O330*Escenarios!$F$13/Escenarios!$F$16</f>
        <v>0</v>
      </c>
      <c r="AP330" s="76">
        <f t="shared" si="75"/>
        <v>0.11670875781454186</v>
      </c>
      <c r="AQ330" s="76">
        <f t="shared" si="76"/>
        <v>0</v>
      </c>
      <c r="AR330" s="76">
        <f t="shared" si="77"/>
        <v>0.81910899060009756</v>
      </c>
      <c r="AS330" s="76">
        <f t="shared" si="78"/>
        <v>0</v>
      </c>
      <c r="AT330" s="76">
        <f t="shared" si="79"/>
        <v>4.4948527739323688E-2</v>
      </c>
      <c r="AU330" s="76">
        <f t="shared" si="80"/>
        <v>49.087315389324168</v>
      </c>
      <c r="AV330" s="76">
        <f>MAX(0,(AU330-Constantes!$D$13)*(1-EXP(-Constantes!$D$24)))</f>
        <v>5.1559490648384254E-3</v>
      </c>
      <c r="AW330" s="170">
        <f>AW329+(Entradas!$F$112*AT330-AX329)/(800*Entradas!$D$25)</f>
        <v>0</v>
      </c>
      <c r="AX330" s="170">
        <f>8000*Entradas!$D$26*AW330/Constantes!$F$45</f>
        <v>0</v>
      </c>
      <c r="AY330" s="170">
        <f>IF(Escenarios!$F$17&gt;0,10*Escenarios!$F$16*AL330,0)</f>
        <v>0</v>
      </c>
      <c r="AZ330" s="170">
        <f>IF(Escenarios!$F$17&gt;0,10*Escenarios!$F$16*AX330,0)</f>
        <v>0</v>
      </c>
      <c r="BA330" s="170">
        <f>IF(Escenarios!$F$17&gt;0,0.001*Observaciones!$F329*Escenarios!$F$17,0)</f>
        <v>0</v>
      </c>
      <c r="BB330" s="170">
        <f>IF(Escenarios!$F$17&gt;0,Observaciones!$K329,0)</f>
        <v>0</v>
      </c>
      <c r="BC330" s="170">
        <f>IF(Escenarios!$F$17&gt;0,MIN(0.0005*ETo!$M329*Escenarios!$F$17*(BG329/Constantes!$F$40)^(2/3),BG329+AY330+AZ330+BA330+BB330),0)</f>
        <v>0</v>
      </c>
      <c r="BD330" s="170">
        <f>IF(Escenarios!$F$17&gt;0,MIN(Constantes!$F$39*(BG329/Constantes!$F$40)^(2/3),BG329+AY330+AZ330+BA330+BB330-BC330),0)</f>
        <v>0</v>
      </c>
      <c r="BE330" s="170">
        <f>IF(Escenarios!$F$17&gt;0,MIN(Entradas!$F$113,BG329+AY330+AZ330+BA330+BB330-BC330-BD330),0)</f>
        <v>0</v>
      </c>
      <c r="BF330" s="170">
        <f>IF(Escenarios!$F$17&gt;0,MAX(0,BG329+AY330+AZ330+BA330+BB330-BC330-BD330-BE330-Constantes!$F$40),0)</f>
        <v>0</v>
      </c>
      <c r="BG330" s="170">
        <f t="shared" si="81"/>
        <v>0</v>
      </c>
      <c r="BH330" s="170">
        <f>(Escenarios!$F$16*AK330+0.1*BC330)/(Escenarios!$F$19)</f>
        <v>2.9718385010215433</v>
      </c>
      <c r="BI330" s="170">
        <f>IF(Escenarios!$F$17&gt;0,BF330/10/Escenarios!$F$19,AL330)</f>
        <v>0</v>
      </c>
      <c r="BJ330" s="170">
        <f>(Escenarios!$F$16*AT330+0.1*BD330)/(Escenarios!$F$19)</f>
        <v>4.4948527739323688E-2</v>
      </c>
      <c r="BK330" s="76">
        <f>BK329+(0.1*BD330)/(Escenarios!$F$19)-BL329</f>
        <v>48.75</v>
      </c>
      <c r="BL330" s="76">
        <f>MAX(0,(BK330-Constantes!$D$13)*(1-EXP(-Constantes!$D$23)))</f>
        <v>0</v>
      </c>
      <c r="BM330" s="76">
        <f t="shared" si="82"/>
        <v>0.12186470687938028</v>
      </c>
      <c r="BN330" s="76">
        <f t="shared" si="83"/>
        <v>0.82426493966493597</v>
      </c>
      <c r="BO330" s="76">
        <f>0.0526*BI330*Observaciones!$F329^1.218</f>
        <v>0</v>
      </c>
      <c r="BP330" s="76">
        <f>BO330*Constantes!$F$51</f>
        <v>0</v>
      </c>
      <c r="BQ330" s="76">
        <f t="shared" si="84"/>
        <v>0</v>
      </c>
      <c r="BR330" s="40"/>
    </row>
    <row r="331" spans="2:70">
      <c r="B331" s="39"/>
      <c r="C331" s="75">
        <v>325</v>
      </c>
      <c r="D331" s="146">
        <f>ETo!$I330*((1-Constantes!$F$19)*ETo!$K330+ETo!$L330)</f>
        <v>4.6388520135413565</v>
      </c>
      <c r="E331" s="76">
        <f>MIN(D331*Constantes!$F$17,0.8*(N330+Observaciones!$F330-F331-M331-Constantes!$D$14))</f>
        <v>2.6455918451310323</v>
      </c>
      <c r="F331" s="76">
        <f>IF(Observaciones!$F330&gt;0.05*Constantes!$F$18,((Observaciones!$F330-0.05*Constantes!$F$18)^2)/(Observaciones!$F330+0.95*Constantes!$F$18),0)</f>
        <v>0</v>
      </c>
      <c r="G331" s="76">
        <f>IF(Escenarios!$F$11&gt;0,(F331*Escenarios!$F$16*10000)/1000,0)</f>
        <v>0</v>
      </c>
      <c r="H331" s="76">
        <f>IF(Escenarios!$F$11&gt;0,(Observaciones!$F330*Constantes!$F$29)/1000,0)</f>
        <v>0</v>
      </c>
      <c r="I331" s="76">
        <f>IF(Escenarios!$F$11&gt;0,(D331*Constantes!$F$29)/1000,0)</f>
        <v>0</v>
      </c>
      <c r="J331" s="76">
        <f>IF(Escenarios!$F$11&gt;0,MAX(0,G331+H331-I331),0)</f>
        <v>0</v>
      </c>
      <c r="K331" s="76">
        <f>IF(Escenarios!$F$11&gt;0,IF(J331&gt;Constantes!$F$30,1000*((J331-Constantes!$F$30)/(Escenarios!$F$16*10000)),0),F331)</f>
        <v>0</v>
      </c>
      <c r="L331" s="76">
        <f>IF(Escenarios!$F$11&gt;0,I331*1000/Escenarios!$F$16/10000+E331,E331)</f>
        <v>2.6455918451310323</v>
      </c>
      <c r="M331" s="76">
        <f>MAX(0,N330+Observaciones!$F330-K331-Constantes!$D$13)</f>
        <v>0</v>
      </c>
      <c r="N331" s="76">
        <f>N330+Observaciones!$F330-K331-L331-M331-O330</f>
        <v>38.138288956685038</v>
      </c>
      <c r="O331" s="76">
        <f>MAX(0,(N331-Constantes!$D$14)*(1-EXP(-Constantes!$D$22)))</f>
        <v>0.91591383079422561</v>
      </c>
      <c r="P331" s="170">
        <f>P330+(Entradas!$F$83*M331-Q330)/(800*Entradas!$D$25)</f>
        <v>0</v>
      </c>
      <c r="Q331" s="170">
        <f>8000*Entradas!$D$26*P331/Constantes!$F$45</f>
        <v>0</v>
      </c>
      <c r="R331" s="170">
        <f>IF(Escenarios!$F$14&gt;0,K331*Escenarios!$F$13/Escenarios!$F$14,0)</f>
        <v>0</v>
      </c>
      <c r="S331" s="170">
        <f>IF(Escenarios!$F$14&gt;0,Q331*Escenarios!$F$13/Escenarios!$F$14,0)</f>
        <v>0</v>
      </c>
      <c r="T331" s="170">
        <f>IF(Escenarios!$F$14&gt;0,Observaciones!$I330,0)</f>
        <v>0</v>
      </c>
      <c r="U331" s="170">
        <f>IF(Escenarios!$F$14&gt;0,MAX(0,Constantes!$F$36/((Z330+R331+S331+T331+Observaciones!$F330)^2)+Entradas!$F$77),0)</f>
        <v>0.57267207910797557</v>
      </c>
      <c r="V331" s="146">
        <f>IF(ETo!D330&gt;0,ETo!I330*((1-Entradas!$F$81)*ETo!K330+ETo!L330),0)</f>
        <v>4.1253842606465003</v>
      </c>
      <c r="W331" s="170">
        <f>IF(Escenarios!$F$14&gt;0,MIN(V331*1,0.8*(Z330+R331+S331+T331+Observaciones!$F330-U331-Constantes!$F$35)),0)</f>
        <v>4.1253842606465003</v>
      </c>
      <c r="X331" s="170">
        <f>IF(Escenarios!$F$14&gt;0,Observaciones!$J330,0)</f>
        <v>0</v>
      </c>
      <c r="Y331" s="170">
        <f>IF(Escenarios!$F$14&gt;0,MAX(0,Z330+R331+S331+T331+Observaciones!$F330-U331-W331-X331-Constantes!$F$33),0)</f>
        <v>0</v>
      </c>
      <c r="Z331" s="170">
        <f>Z330+R331+S331+T331+Observaciones!$F330-U331-W331-Y331</f>
        <v>60.337710844253778</v>
      </c>
      <c r="AA331" s="170">
        <f>IF(Escenarios!$F$14&gt;0,(Escenarios!$F$13*L331+Escenarios!$F$14*W331)/(Escenarios!$F$16),L331)</f>
        <v>2.8231669349928885</v>
      </c>
      <c r="AB331" s="170">
        <f>IF(Escenarios!$F$14&gt;0,(Escenarios!$F$14*Y331)/(Escenarios!$F$16),K331)</f>
        <v>0</v>
      </c>
      <c r="AC331" s="170">
        <f>IF(Escenarios!$F$14&gt;0,(Escenarios!$F$13*M331+Escenarios!$F$14*U331)/(Escenarios!$F$16),M331)</f>
        <v>6.8720649492957059E-2</v>
      </c>
      <c r="AD331" s="76">
        <f t="shared" si="71"/>
        <v>60.546722804517209</v>
      </c>
      <c r="AE331" s="76">
        <f>MAX(0,(AD331-Constantes!$D$13)*(1-EXP(-Constantes!$D$23)))</f>
        <v>0.11623591955337241</v>
      </c>
      <c r="AF331" s="76">
        <f>AB331+O331*Escenarios!$F$13/Escenarios!$F$16+AE331</f>
        <v>0.92224009065229096</v>
      </c>
      <c r="AG331" s="76">
        <f>IF(Entradas!$F$91&gt;0,IF(AF331-Escenarios!$F$38&lt;=0,0,IF(AF331-Escenarios!$F$38&gt;Escenarios!$F$37,Escenarios!$F$37,AF331-Escenarios!$F$38)),0)</f>
        <v>0</v>
      </c>
      <c r="AH331" s="76">
        <f>AG331*Entradas!$F$99</f>
        <v>0</v>
      </c>
      <c r="AI331" s="76">
        <f>IF(Entradas!$F$91&gt;0,D331*Entradas!$D$23/Escenarios!$F$16,0)</f>
        <v>0.22266489664998512</v>
      </c>
      <c r="AJ331" s="76">
        <f>IF(Entradas!$F$91&gt;0,Entradas!$D$24*Entradas!$D$22/Escenarios!$F$16,0)</f>
        <v>0.12</v>
      </c>
      <c r="AK331" s="76">
        <f t="shared" si="72"/>
        <v>3.0458318316428734</v>
      </c>
      <c r="AL331" s="76">
        <f t="shared" si="73"/>
        <v>0</v>
      </c>
      <c r="AM331" s="76">
        <f t="shared" si="74"/>
        <v>0</v>
      </c>
      <c r="AN331" s="76">
        <f>MAX(0,O331*Escenarios!$F$13/Escenarios!$F$16-AM331)</f>
        <v>0.80600417109891853</v>
      </c>
      <c r="AO331" s="76">
        <f>AM331+AN331-O331*Escenarios!$F$13/Escenarios!$F$16</f>
        <v>0</v>
      </c>
      <c r="AP331" s="76">
        <f t="shared" si="75"/>
        <v>0.11623591955337241</v>
      </c>
      <c r="AQ331" s="76">
        <f t="shared" si="76"/>
        <v>0</v>
      </c>
      <c r="AR331" s="76">
        <f t="shared" si="77"/>
        <v>0.92224009065229096</v>
      </c>
      <c r="AS331" s="76">
        <f t="shared" si="78"/>
        <v>0</v>
      </c>
      <c r="AT331" s="76">
        <f t="shared" si="79"/>
        <v>6.8720649492957059E-2</v>
      </c>
      <c r="AU331" s="76">
        <f t="shared" si="80"/>
        <v>49.082159440259332</v>
      </c>
      <c r="AV331" s="76">
        <f>MAX(0,(AU331-Constantes!$D$13)*(1-EXP(-Constantes!$D$24)))</f>
        <v>5.0771391095249209E-3</v>
      </c>
      <c r="AW331" s="170">
        <f>AW330+(Entradas!$F$112*AT331-AX330)/(800*Entradas!$D$25)</f>
        <v>0</v>
      </c>
      <c r="AX331" s="170">
        <f>8000*Entradas!$D$26*AW331/Constantes!$F$45</f>
        <v>0</v>
      </c>
      <c r="AY331" s="170">
        <f>IF(Escenarios!$F$17&gt;0,10*Escenarios!$F$16*AL331,0)</f>
        <v>0</v>
      </c>
      <c r="AZ331" s="170">
        <f>IF(Escenarios!$F$17&gt;0,10*Escenarios!$F$16*AX331,0)</f>
        <v>0</v>
      </c>
      <c r="BA331" s="170">
        <f>IF(Escenarios!$F$17&gt;0,0.001*Observaciones!$F330*Escenarios!$F$17,0)</f>
        <v>0</v>
      </c>
      <c r="BB331" s="170">
        <f>IF(Escenarios!$F$17&gt;0,Observaciones!$K330,0)</f>
        <v>0</v>
      </c>
      <c r="BC331" s="170">
        <f>IF(Escenarios!$F$17&gt;0,MIN(0.0005*ETo!$M330*Escenarios!$F$17*(BG330/Constantes!$F$40)^(2/3),BG330+AY331+AZ331+BA331+BB331),0)</f>
        <v>0</v>
      </c>
      <c r="BD331" s="170">
        <f>IF(Escenarios!$F$17&gt;0,MIN(Constantes!$F$39*(BG330/Constantes!$F$40)^(2/3),BG330+AY331+AZ331+BA331+BB331-BC331),0)</f>
        <v>0</v>
      </c>
      <c r="BE331" s="170">
        <f>IF(Escenarios!$F$17&gt;0,MIN(Entradas!$F$113,BG330+AY331+AZ331+BA331+BB331-BC331-BD331),0)</f>
        <v>0</v>
      </c>
      <c r="BF331" s="170">
        <f>IF(Escenarios!$F$17&gt;0,MAX(0,BG330+AY331+AZ331+BA331+BB331-BC331-BD331-BE331-Constantes!$F$40),0)</f>
        <v>0</v>
      </c>
      <c r="BG331" s="170">
        <f t="shared" si="81"/>
        <v>0</v>
      </c>
      <c r="BH331" s="170">
        <f>(Escenarios!$F$16*AK331+0.1*BC331)/(Escenarios!$F$19)</f>
        <v>3.0458318316428734</v>
      </c>
      <c r="BI331" s="170">
        <f>IF(Escenarios!$F$17&gt;0,BF331/10/Escenarios!$F$19,AL331)</f>
        <v>0</v>
      </c>
      <c r="BJ331" s="170">
        <f>(Escenarios!$F$16*AT331+0.1*BD331)/(Escenarios!$F$19)</f>
        <v>6.8720649492957059E-2</v>
      </c>
      <c r="BK331" s="76">
        <f>BK330+(0.1*BD331)/(Escenarios!$F$19)-BL330</f>
        <v>48.75</v>
      </c>
      <c r="BL331" s="76">
        <f>MAX(0,(BK331-Constantes!$D$13)*(1-EXP(-Constantes!$D$23)))</f>
        <v>0</v>
      </c>
      <c r="BM331" s="76">
        <f t="shared" si="82"/>
        <v>0.12131305866289734</v>
      </c>
      <c r="BN331" s="76">
        <f t="shared" si="83"/>
        <v>0.92731722976181585</v>
      </c>
      <c r="BO331" s="76">
        <f>0.0526*BI331*Observaciones!$F330^1.218</f>
        <v>0</v>
      </c>
      <c r="BP331" s="76">
        <f>BO331*Constantes!$F$51</f>
        <v>0</v>
      </c>
      <c r="BQ331" s="76">
        <f t="shared" si="84"/>
        <v>0</v>
      </c>
      <c r="BR331" s="40"/>
    </row>
    <row r="332" spans="2:70">
      <c r="B332" s="39"/>
      <c r="C332" s="75">
        <v>326</v>
      </c>
      <c r="D332" s="146">
        <f>ETo!$I331*((1-Constantes!$F$19)*ETo!$K331+ETo!$L331)</f>
        <v>4.6628962815197257</v>
      </c>
      <c r="E332" s="76">
        <f>MIN(D332*Constantes!$F$17,0.8*(N331+Observaciones!$F331-F332-M332-Constantes!$D$14))</f>
        <v>2.6593045738621992</v>
      </c>
      <c r="F332" s="76">
        <f>IF(Observaciones!$F331&gt;0.05*Constantes!$F$18,((Observaciones!$F331-0.05*Constantes!$F$18)^2)/(Observaciones!$F331+0.95*Constantes!$F$18),0)</f>
        <v>0</v>
      </c>
      <c r="G332" s="76">
        <f>IF(Escenarios!$F$11&gt;0,(F332*Escenarios!$F$16*10000)/1000,0)</f>
        <v>0</v>
      </c>
      <c r="H332" s="76">
        <f>IF(Escenarios!$F$11&gt;0,(Observaciones!$F331*Constantes!$F$29)/1000,0)</f>
        <v>0</v>
      </c>
      <c r="I332" s="76">
        <f>IF(Escenarios!$F$11&gt;0,(D332*Constantes!$F$29)/1000,0)</f>
        <v>0</v>
      </c>
      <c r="J332" s="76">
        <f>IF(Escenarios!$F$11&gt;0,MAX(0,G332+H332-I332),0)</f>
        <v>0</v>
      </c>
      <c r="K332" s="76">
        <f>IF(Escenarios!$F$11&gt;0,IF(J332&gt;Constantes!$F$30,1000*((J332-Constantes!$F$30)/(Escenarios!$F$16*10000)),0),F332)</f>
        <v>0</v>
      </c>
      <c r="L332" s="76">
        <f>IF(Escenarios!$F$11&gt;0,I332*1000/Escenarios!$F$16/10000+E332,E332)</f>
        <v>2.6593045738621992</v>
      </c>
      <c r="M332" s="76">
        <f>MAX(0,N331+Observaciones!$F331-K332-Constantes!$D$13)</f>
        <v>0</v>
      </c>
      <c r="N332" s="76">
        <f>N331+Observaciones!$F331-K332-L332-M332-O331</f>
        <v>34.563070552028613</v>
      </c>
      <c r="O332" s="76">
        <f>MAX(0,(N332-Constantes!$D$14)*(1-EXP(-Constantes!$D$22)))</f>
        <v>0.79412876703617086</v>
      </c>
      <c r="P332" s="170">
        <f>P331+(Entradas!$F$83*M332-Q331)/(800*Entradas!$D$25)</f>
        <v>0</v>
      </c>
      <c r="Q332" s="170">
        <f>8000*Entradas!$D$26*P332/Constantes!$F$45</f>
        <v>0</v>
      </c>
      <c r="R332" s="170">
        <f>IF(Escenarios!$F$14&gt;0,K332*Escenarios!$F$13/Escenarios!$F$14,0)</f>
        <v>0</v>
      </c>
      <c r="S332" s="170">
        <f>IF(Escenarios!$F$14&gt;0,Q332*Escenarios!$F$13/Escenarios!$F$14,0)</f>
        <v>0</v>
      </c>
      <c r="T332" s="170">
        <f>IF(Escenarios!$F$14&gt;0,Observaciones!$I331,0)</f>
        <v>0</v>
      </c>
      <c r="U332" s="170">
        <f>IF(Escenarios!$F$14&gt;0,MAX(0,Constantes!$F$36/((Z331+R332+S332+T332+Observaciones!$F331)^2)+Entradas!$F$77),0)</f>
        <v>0.17995961335414234</v>
      </c>
      <c r="V332" s="146">
        <f>IF(ETo!D331&gt;0,ETo!I331*((1-Entradas!$F$81)*ETo!K331+ETo!L331),0)</f>
        <v>4.1471972752803348</v>
      </c>
      <c r="W332" s="170">
        <f>IF(Escenarios!$F$14&gt;0,MIN(V332*1,0.8*(Z331+R332+S332+T332+Observaciones!$F331-U332-Constantes!$F$35)),0)</f>
        <v>4.1471972752803348</v>
      </c>
      <c r="X332" s="170">
        <f>IF(Escenarios!$F$14&gt;0,Observaciones!$J331,0)</f>
        <v>0</v>
      </c>
      <c r="Y332" s="170">
        <f>IF(Escenarios!$F$14&gt;0,MAX(0,Z331+R332+S332+T332+Observaciones!$F331-U332-W332-X332-Constantes!$F$33),0)</f>
        <v>0</v>
      </c>
      <c r="Z332" s="170">
        <f>Z331+R332+S332+T332+Observaciones!$F331-U332-W332-Y332</f>
        <v>56.010553955619301</v>
      </c>
      <c r="AA332" s="170">
        <f>IF(Escenarios!$F$14&gt;0,(Escenarios!$F$13*L332+Escenarios!$F$14*W332)/(Escenarios!$F$16),L332)</f>
        <v>2.8378516980323756</v>
      </c>
      <c r="AB332" s="170">
        <f>IF(Escenarios!$F$14&gt;0,(Escenarios!$F$14*Y332)/(Escenarios!$F$16),K332)</f>
        <v>0</v>
      </c>
      <c r="AC332" s="170">
        <f>IF(Escenarios!$F$14&gt;0,(Escenarios!$F$13*M332+Escenarios!$F$14*U332)/(Escenarios!$F$16),M332)</f>
        <v>2.1595153602497082E-2</v>
      </c>
      <c r="AD332" s="76">
        <f t="shared" si="71"/>
        <v>60.452082038566331</v>
      </c>
      <c r="AE332" s="76">
        <f>MAX(0,(AD332-Constantes!$D$13)*(1-EXP(-Constantes!$D$23)))</f>
        <v>0.11530340154478418</v>
      </c>
      <c r="AF332" s="76">
        <f>AB332+O332*Escenarios!$F$13/Escenarios!$F$16+AE332</f>
        <v>0.81413671653661446</v>
      </c>
      <c r="AG332" s="76">
        <f>IF(Entradas!$F$91&gt;0,IF(AF332-Escenarios!$F$38&lt;=0,0,IF(AF332-Escenarios!$F$38&gt;Escenarios!$F$37,Escenarios!$F$37,AF332-Escenarios!$F$38)),0)</f>
        <v>0</v>
      </c>
      <c r="AH332" s="76">
        <f>AG332*Entradas!$F$99</f>
        <v>0</v>
      </c>
      <c r="AI332" s="76">
        <f>IF(Entradas!$F$91&gt;0,D332*Entradas!$D$23/Escenarios!$F$16,0)</f>
        <v>0.22381902151294686</v>
      </c>
      <c r="AJ332" s="76">
        <f>IF(Entradas!$F$91&gt;0,Entradas!$D$24*Entradas!$D$22/Escenarios!$F$16,0)</f>
        <v>0.12</v>
      </c>
      <c r="AK332" s="76">
        <f t="shared" si="72"/>
        <v>3.0616707195453223</v>
      </c>
      <c r="AL332" s="76">
        <f t="shared" si="73"/>
        <v>0</v>
      </c>
      <c r="AM332" s="76">
        <f t="shared" si="74"/>
        <v>0</v>
      </c>
      <c r="AN332" s="76">
        <f>MAX(0,O332*Escenarios!$F$13/Escenarios!$F$16-AM332)</f>
        <v>0.69883331499183032</v>
      </c>
      <c r="AO332" s="76">
        <f>AM332+AN332-O332*Escenarios!$F$13/Escenarios!$F$16</f>
        <v>0</v>
      </c>
      <c r="AP332" s="76">
        <f t="shared" si="75"/>
        <v>0.11530340154478418</v>
      </c>
      <c r="AQ332" s="76">
        <f t="shared" si="76"/>
        <v>0</v>
      </c>
      <c r="AR332" s="76">
        <f t="shared" si="77"/>
        <v>0.81413671653661446</v>
      </c>
      <c r="AS332" s="76">
        <f t="shared" si="78"/>
        <v>0</v>
      </c>
      <c r="AT332" s="76">
        <f t="shared" si="79"/>
        <v>2.1595153602497082E-2</v>
      </c>
      <c r="AU332" s="76">
        <f t="shared" si="80"/>
        <v>49.077082301149808</v>
      </c>
      <c r="AV332" s="76">
        <f>MAX(0,(AU332-Constantes!$D$13)*(1-EXP(-Constantes!$D$24)))</f>
        <v>4.9995337838495864E-3</v>
      </c>
      <c r="AW332" s="170">
        <f>AW331+(Entradas!$F$112*AT332-AX331)/(800*Entradas!$D$25)</f>
        <v>0</v>
      </c>
      <c r="AX332" s="170">
        <f>8000*Entradas!$D$26*AW332/Constantes!$F$45</f>
        <v>0</v>
      </c>
      <c r="AY332" s="170">
        <f>IF(Escenarios!$F$17&gt;0,10*Escenarios!$F$16*AL332,0)</f>
        <v>0</v>
      </c>
      <c r="AZ332" s="170">
        <f>IF(Escenarios!$F$17&gt;0,10*Escenarios!$F$16*AX332,0)</f>
        <v>0</v>
      </c>
      <c r="BA332" s="170">
        <f>IF(Escenarios!$F$17&gt;0,0.001*Observaciones!$F331*Escenarios!$F$17,0)</f>
        <v>0</v>
      </c>
      <c r="BB332" s="170">
        <f>IF(Escenarios!$F$17&gt;0,Observaciones!$K331,0)</f>
        <v>0</v>
      </c>
      <c r="BC332" s="170">
        <f>IF(Escenarios!$F$17&gt;0,MIN(0.0005*ETo!$M331*Escenarios!$F$17*(BG331/Constantes!$F$40)^(2/3),BG331+AY332+AZ332+BA332+BB332),0)</f>
        <v>0</v>
      </c>
      <c r="BD332" s="170">
        <f>IF(Escenarios!$F$17&gt;0,MIN(Constantes!$F$39*(BG331/Constantes!$F$40)^(2/3),BG331+AY332+AZ332+BA332+BB332-BC332),0)</f>
        <v>0</v>
      </c>
      <c r="BE332" s="170">
        <f>IF(Escenarios!$F$17&gt;0,MIN(Entradas!$F$113,BG331+AY332+AZ332+BA332+BB332-BC332-BD332),0)</f>
        <v>0</v>
      </c>
      <c r="BF332" s="170">
        <f>IF(Escenarios!$F$17&gt;0,MAX(0,BG331+AY332+AZ332+BA332+BB332-BC332-BD332-BE332-Constantes!$F$40),0)</f>
        <v>0</v>
      </c>
      <c r="BG332" s="170">
        <f t="shared" si="81"/>
        <v>0</v>
      </c>
      <c r="BH332" s="170">
        <f>(Escenarios!$F$16*AK332+0.1*BC332)/(Escenarios!$F$19)</f>
        <v>3.0616707195453223</v>
      </c>
      <c r="BI332" s="170">
        <f>IF(Escenarios!$F$17&gt;0,BF332/10/Escenarios!$F$19,AL332)</f>
        <v>0</v>
      </c>
      <c r="BJ332" s="170">
        <f>(Escenarios!$F$16*AT332+0.1*BD332)/(Escenarios!$F$19)</f>
        <v>2.1595153602497082E-2</v>
      </c>
      <c r="BK332" s="76">
        <f>BK331+(0.1*BD332)/(Escenarios!$F$19)-BL331</f>
        <v>48.75</v>
      </c>
      <c r="BL332" s="76">
        <f>MAX(0,(BK332-Constantes!$D$13)*(1-EXP(-Constantes!$D$23)))</f>
        <v>0</v>
      </c>
      <c r="BM332" s="76">
        <f t="shared" si="82"/>
        <v>0.12030293532863376</v>
      </c>
      <c r="BN332" s="76">
        <f t="shared" si="83"/>
        <v>0.819136250320464</v>
      </c>
      <c r="BO332" s="76">
        <f>0.0526*BI332*Observaciones!$F331^1.218</f>
        <v>0</v>
      </c>
      <c r="BP332" s="76">
        <f>BO332*Constantes!$F$51</f>
        <v>0</v>
      </c>
      <c r="BQ332" s="76">
        <f t="shared" si="84"/>
        <v>0</v>
      </c>
      <c r="BR332" s="40"/>
    </row>
    <row r="333" spans="2:70">
      <c r="B333" s="39"/>
      <c r="C333" s="75">
        <v>327</v>
      </c>
      <c r="D333" s="146">
        <f>ETo!$I332*((1-Constantes!$F$19)*ETo!$K332+ETo!$L332)</f>
        <v>4.7007905977434845</v>
      </c>
      <c r="E333" s="76">
        <f>MIN(D333*Constantes!$F$17,0.8*(N332+Observaciones!$F332-F333-M333-Constantes!$D$14))</f>
        <v>2.6809161479511641</v>
      </c>
      <c r="F333" s="76">
        <f>IF(Observaciones!$F332&gt;0.05*Constantes!$F$18,((Observaciones!$F332-0.05*Constantes!$F$18)^2)/(Observaciones!$F332+0.95*Constantes!$F$18),0)</f>
        <v>0</v>
      </c>
      <c r="G333" s="76">
        <f>IF(Escenarios!$F$11&gt;0,(F333*Escenarios!$F$16*10000)/1000,0)</f>
        <v>0</v>
      </c>
      <c r="H333" s="76">
        <f>IF(Escenarios!$F$11&gt;0,(Observaciones!$F332*Constantes!$F$29)/1000,0)</f>
        <v>0</v>
      </c>
      <c r="I333" s="76">
        <f>IF(Escenarios!$F$11&gt;0,(D333*Constantes!$F$29)/1000,0)</f>
        <v>0</v>
      </c>
      <c r="J333" s="76">
        <f>IF(Escenarios!$F$11&gt;0,MAX(0,G333+H333-I333),0)</f>
        <v>0</v>
      </c>
      <c r="K333" s="76">
        <f>IF(Escenarios!$F$11&gt;0,IF(J333&gt;Constantes!$F$30,1000*((J333-Constantes!$F$30)/(Escenarios!$F$16*10000)),0),F333)</f>
        <v>0</v>
      </c>
      <c r="L333" s="76">
        <f>IF(Escenarios!$F$11&gt;0,I333*1000/Escenarios!$F$16/10000+E333,E333)</f>
        <v>2.6809161479511641</v>
      </c>
      <c r="M333" s="76">
        <f>MAX(0,N332+Observaciones!$F332-K333-Constantes!$D$13)</f>
        <v>0</v>
      </c>
      <c r="N333" s="76">
        <f>N332+Observaciones!$F332-K333-L333-M333-O332</f>
        <v>31.088025637041277</v>
      </c>
      <c r="O333" s="76">
        <f>MAX(0,(N333-Constantes!$D$14)*(1-EXP(-Constantes!$D$22)))</f>
        <v>0.67575598008065441</v>
      </c>
      <c r="P333" s="170">
        <f>P332+(Entradas!$F$83*M333-Q332)/(800*Entradas!$D$25)</f>
        <v>0</v>
      </c>
      <c r="Q333" s="170">
        <f>8000*Entradas!$D$26*P333/Constantes!$F$45</f>
        <v>0</v>
      </c>
      <c r="R333" s="170">
        <f>IF(Escenarios!$F$14&gt;0,K333*Escenarios!$F$13/Escenarios!$F$14,0)</f>
        <v>0</v>
      </c>
      <c r="S333" s="170">
        <f>IF(Escenarios!$F$14&gt;0,Q333*Escenarios!$F$13/Escenarios!$F$14,0)</f>
        <v>0</v>
      </c>
      <c r="T333" s="170">
        <f>IF(Escenarios!$F$14&gt;0,Observaciones!$I332,0)</f>
        <v>0</v>
      </c>
      <c r="U333" s="170">
        <f>IF(Escenarios!$F$14&gt;0,MAX(0,Constantes!$F$36/((Z332+R333+S333+T333+Observaciones!$F332)^2)+Entradas!$F$77),0)</f>
        <v>0</v>
      </c>
      <c r="V333" s="146">
        <f>IF(ETo!D332&gt;0,ETo!I332*((1-Entradas!$F$81)*ETo!K332+ETo!L332),0)</f>
        <v>4.1816012543771031</v>
      </c>
      <c r="W333" s="170">
        <f>IF(Escenarios!$F$14&gt;0,MIN(V333*1,0.8*(Z332+R333+S333+T333+Observaciones!$F332-U333-Constantes!$F$35)),0)</f>
        <v>4.1816012543771031</v>
      </c>
      <c r="X333" s="170">
        <f>IF(Escenarios!$F$14&gt;0,Observaciones!$J332,0)</f>
        <v>0</v>
      </c>
      <c r="Y333" s="170">
        <f>IF(Escenarios!$F$14&gt;0,MAX(0,Z332+R333+S333+T333+Observaciones!$F332-U333-W333-X333-Constantes!$F$33),0)</f>
        <v>0</v>
      </c>
      <c r="Z333" s="170">
        <f>Z332+R333+S333+T333+Observaciones!$F332-U333-W333-Y333</f>
        <v>51.828952701242201</v>
      </c>
      <c r="AA333" s="170">
        <f>IF(Escenarios!$F$14&gt;0,(Escenarios!$F$13*L333+Escenarios!$F$14*W333)/(Escenarios!$F$16),L333)</f>
        <v>2.8609983607222769</v>
      </c>
      <c r="AB333" s="170">
        <f>IF(Escenarios!$F$14&gt;0,(Escenarios!$F$14*Y333)/(Escenarios!$F$16),K333)</f>
        <v>0</v>
      </c>
      <c r="AC333" s="170">
        <f>IF(Escenarios!$F$14&gt;0,(Escenarios!$F$13*M333+Escenarios!$F$14*U333)/(Escenarios!$F$16),M333)</f>
        <v>0</v>
      </c>
      <c r="AD333" s="76">
        <f t="shared" si="71"/>
        <v>60.336778637021546</v>
      </c>
      <c r="AE333" s="76">
        <f>MAX(0,(AD333-Constantes!$D$13)*(1-EXP(-Constantes!$D$23)))</f>
        <v>0.1141672896662328</v>
      </c>
      <c r="AF333" s="76">
        <f>AB333+O333*Escenarios!$F$13/Escenarios!$F$16+AE333</f>
        <v>0.70883255213720875</v>
      </c>
      <c r="AG333" s="76">
        <f>IF(Entradas!$F$91&gt;0,IF(AF333-Escenarios!$F$38&lt;=0,0,IF(AF333-Escenarios!$F$38&gt;Escenarios!$F$37,Escenarios!$F$37,AF333-Escenarios!$F$38)),0)</f>
        <v>0</v>
      </c>
      <c r="AH333" s="76">
        <f>AG333*Entradas!$F$99</f>
        <v>0</v>
      </c>
      <c r="AI333" s="76">
        <f>IF(Entradas!$F$91&gt;0,D333*Entradas!$D$23/Escenarios!$F$16,0)</f>
        <v>0.22563794869168727</v>
      </c>
      <c r="AJ333" s="76">
        <f>IF(Entradas!$F$91&gt;0,Entradas!$D$24*Entradas!$D$22/Escenarios!$F$16,0)</f>
        <v>0.12</v>
      </c>
      <c r="AK333" s="76">
        <f t="shared" si="72"/>
        <v>3.0866363094139642</v>
      </c>
      <c r="AL333" s="76">
        <f t="shared" si="73"/>
        <v>0</v>
      </c>
      <c r="AM333" s="76">
        <f t="shared" si="74"/>
        <v>0</v>
      </c>
      <c r="AN333" s="76">
        <f>MAX(0,O333*Escenarios!$F$13/Escenarios!$F$16-AM333)</f>
        <v>0.59466526247097595</v>
      </c>
      <c r="AO333" s="76">
        <f>AM333+AN333-O333*Escenarios!$F$13/Escenarios!$F$16</f>
        <v>0</v>
      </c>
      <c r="AP333" s="76">
        <f t="shared" si="75"/>
        <v>0.1141672896662328</v>
      </c>
      <c r="AQ333" s="76">
        <f t="shared" si="76"/>
        <v>0</v>
      </c>
      <c r="AR333" s="76">
        <f t="shared" si="77"/>
        <v>0.70883255213720875</v>
      </c>
      <c r="AS333" s="76">
        <f t="shared" si="78"/>
        <v>0</v>
      </c>
      <c r="AT333" s="76">
        <f t="shared" si="79"/>
        <v>0</v>
      </c>
      <c r="AU333" s="76">
        <f t="shared" si="80"/>
        <v>49.072082767365956</v>
      </c>
      <c r="AV333" s="76">
        <f>MAX(0,(AU333-Constantes!$D$13)*(1-EXP(-Constantes!$D$24)))</f>
        <v>4.9231146747507441E-3</v>
      </c>
      <c r="AW333" s="170">
        <f>AW332+(Entradas!$F$112*AT333-AX332)/(800*Entradas!$D$25)</f>
        <v>0</v>
      </c>
      <c r="AX333" s="170">
        <f>8000*Entradas!$D$26*AW333/Constantes!$F$45</f>
        <v>0</v>
      </c>
      <c r="AY333" s="170">
        <f>IF(Escenarios!$F$17&gt;0,10*Escenarios!$F$16*AL333,0)</f>
        <v>0</v>
      </c>
      <c r="AZ333" s="170">
        <f>IF(Escenarios!$F$17&gt;0,10*Escenarios!$F$16*AX333,0)</f>
        <v>0</v>
      </c>
      <c r="BA333" s="170">
        <f>IF(Escenarios!$F$17&gt;0,0.001*Observaciones!$F332*Escenarios!$F$17,0)</f>
        <v>0</v>
      </c>
      <c r="BB333" s="170">
        <f>IF(Escenarios!$F$17&gt;0,Observaciones!$K332,0)</f>
        <v>0</v>
      </c>
      <c r="BC333" s="170">
        <f>IF(Escenarios!$F$17&gt;0,MIN(0.0005*ETo!$M332*Escenarios!$F$17*(BG332/Constantes!$F$40)^(2/3),BG332+AY333+AZ333+BA333+BB333),0)</f>
        <v>0</v>
      </c>
      <c r="BD333" s="170">
        <f>IF(Escenarios!$F$17&gt;0,MIN(Constantes!$F$39*(BG332/Constantes!$F$40)^(2/3),BG332+AY333+AZ333+BA333+BB333-BC333),0)</f>
        <v>0</v>
      </c>
      <c r="BE333" s="170">
        <f>IF(Escenarios!$F$17&gt;0,MIN(Entradas!$F$113,BG332+AY333+AZ333+BA333+BB333-BC333-BD333),0)</f>
        <v>0</v>
      </c>
      <c r="BF333" s="170">
        <f>IF(Escenarios!$F$17&gt;0,MAX(0,BG332+AY333+AZ333+BA333+BB333-BC333-BD333-BE333-Constantes!$F$40),0)</f>
        <v>0</v>
      </c>
      <c r="BG333" s="170">
        <f t="shared" si="81"/>
        <v>0</v>
      </c>
      <c r="BH333" s="170">
        <f>(Escenarios!$F$16*AK333+0.1*BC333)/(Escenarios!$F$19)</f>
        <v>3.0866363094139642</v>
      </c>
      <c r="BI333" s="170">
        <f>IF(Escenarios!$F$17&gt;0,BF333/10/Escenarios!$F$19,AL333)</f>
        <v>0</v>
      </c>
      <c r="BJ333" s="170">
        <f>(Escenarios!$F$16*AT333+0.1*BD333)/(Escenarios!$F$19)</f>
        <v>0</v>
      </c>
      <c r="BK333" s="76">
        <f>BK332+(0.1*BD333)/(Escenarios!$F$19)-BL332</f>
        <v>48.75</v>
      </c>
      <c r="BL333" s="76">
        <f>MAX(0,(BK333-Constantes!$D$13)*(1-EXP(-Constantes!$D$23)))</f>
        <v>0</v>
      </c>
      <c r="BM333" s="76">
        <f t="shared" si="82"/>
        <v>0.11909040434098354</v>
      </c>
      <c r="BN333" s="76">
        <f t="shared" si="83"/>
        <v>0.71375566681195945</v>
      </c>
      <c r="BO333" s="76">
        <f>0.0526*BI333*Observaciones!$F332^1.218</f>
        <v>0</v>
      </c>
      <c r="BP333" s="76">
        <f>BO333*Constantes!$F$51</f>
        <v>0</v>
      </c>
      <c r="BQ333" s="76">
        <f t="shared" si="84"/>
        <v>0</v>
      </c>
      <c r="BR333" s="40"/>
    </row>
    <row r="334" spans="2:70">
      <c r="B334" s="39"/>
      <c r="C334" s="75">
        <v>328</v>
      </c>
      <c r="D334" s="146">
        <f>ETo!$I333*((1-Constantes!$F$19)*ETo!$K333+ETo!$L333)</f>
        <v>4.5806804315560425</v>
      </c>
      <c r="E334" s="76">
        <f>MIN(D334*Constantes!$F$17,0.8*(N333+Observaciones!$F333-F334-M334-Constantes!$D$14))</f>
        <v>2.6124159079660894</v>
      </c>
      <c r="F334" s="76">
        <f>IF(Observaciones!$F333&gt;0.05*Constantes!$F$18,((Observaciones!$F333-0.05*Constantes!$F$18)^2)/(Observaciones!$F333+0.95*Constantes!$F$18),0)</f>
        <v>0</v>
      </c>
      <c r="G334" s="76">
        <f>IF(Escenarios!$F$11&gt;0,(F334*Escenarios!$F$16*10000)/1000,0)</f>
        <v>0</v>
      </c>
      <c r="H334" s="76">
        <f>IF(Escenarios!$F$11&gt;0,(Observaciones!$F333*Constantes!$F$29)/1000,0)</f>
        <v>0</v>
      </c>
      <c r="I334" s="76">
        <f>IF(Escenarios!$F$11&gt;0,(D334*Constantes!$F$29)/1000,0)</f>
        <v>0</v>
      </c>
      <c r="J334" s="76">
        <f>IF(Escenarios!$F$11&gt;0,MAX(0,G334+H334-I334),0)</f>
        <v>0</v>
      </c>
      <c r="K334" s="76">
        <f>IF(Escenarios!$F$11&gt;0,IF(J334&gt;Constantes!$F$30,1000*((J334-Constantes!$F$30)/(Escenarios!$F$16*10000)),0),F334)</f>
        <v>0</v>
      </c>
      <c r="L334" s="76">
        <f>IF(Escenarios!$F$11&gt;0,I334*1000/Escenarios!$F$16/10000+E334,E334)</f>
        <v>2.6124159079660894</v>
      </c>
      <c r="M334" s="76">
        <f>MAX(0,N333+Observaciones!$F333-K334-Constantes!$D$13)</f>
        <v>0</v>
      </c>
      <c r="N334" s="76">
        <f>N333+Observaciones!$F333-K334-L334-M334-O333</f>
        <v>27.799853748994533</v>
      </c>
      <c r="O334" s="76">
        <f>MAX(0,(N334-Constantes!$D$14)*(1-EXP(-Constantes!$D$22)))</f>
        <v>0.56374877444766069</v>
      </c>
      <c r="P334" s="170">
        <f>P333+(Entradas!$F$83*M334-Q333)/(800*Entradas!$D$25)</f>
        <v>0</v>
      </c>
      <c r="Q334" s="170">
        <f>8000*Entradas!$D$26*P334/Constantes!$F$45</f>
        <v>0</v>
      </c>
      <c r="R334" s="170">
        <f>IF(Escenarios!$F$14&gt;0,K334*Escenarios!$F$13/Escenarios!$F$14,0)</f>
        <v>0</v>
      </c>
      <c r="S334" s="170">
        <f>IF(Escenarios!$F$14&gt;0,Q334*Escenarios!$F$13/Escenarios!$F$14,0)</f>
        <v>0</v>
      </c>
      <c r="T334" s="170">
        <f>IF(Escenarios!$F$14&gt;0,Observaciones!$I333,0)</f>
        <v>0</v>
      </c>
      <c r="U334" s="170">
        <f>IF(Escenarios!$F$14&gt;0,MAX(0,Constantes!$F$36/((Z333+R334+S334+T334+Observaciones!$F333)^2)+Entradas!$F$77),0)</f>
        <v>0</v>
      </c>
      <c r="V334" s="146">
        <f>IF(ETo!D333&gt;0,ETo!I333*((1-Entradas!$F$81)*ETo!K333+ETo!L333),0)</f>
        <v>4.0727255528133242</v>
      </c>
      <c r="W334" s="170">
        <f>IF(Escenarios!$F$14&gt;0,MIN(V334*1,0.8*(Z333+R334+S334+T334+Observaciones!$F333-U334-Constantes!$F$35)),0)</f>
        <v>4.0727255528133242</v>
      </c>
      <c r="X334" s="170">
        <f>IF(Escenarios!$F$14&gt;0,Observaciones!$J333,0)</f>
        <v>0</v>
      </c>
      <c r="Y334" s="170">
        <f>IF(Escenarios!$F$14&gt;0,MAX(0,Z333+R334+S334+T334+Observaciones!$F333-U334-W334-X334-Constantes!$F$33),0)</f>
        <v>0</v>
      </c>
      <c r="Z334" s="170">
        <f>Z333+R334+S334+T334+Observaciones!$F333-U334-W334-Y334</f>
        <v>47.756227148428877</v>
      </c>
      <c r="AA334" s="170">
        <f>IF(Escenarios!$F$14&gt;0,(Escenarios!$F$13*L334+Escenarios!$F$14*W334)/(Escenarios!$F$16),L334)</f>
        <v>2.7876530653477576</v>
      </c>
      <c r="AB334" s="170">
        <f>IF(Escenarios!$F$14&gt;0,(Escenarios!$F$14*Y334)/(Escenarios!$F$16),K334)</f>
        <v>0</v>
      </c>
      <c r="AC334" s="170">
        <f>IF(Escenarios!$F$14&gt;0,(Escenarios!$F$13*M334+Escenarios!$F$14*U334)/(Escenarios!$F$16),M334)</f>
        <v>0</v>
      </c>
      <c r="AD334" s="76">
        <f t="shared" si="71"/>
        <v>60.222611347355311</v>
      </c>
      <c r="AE334" s="76">
        <f>MAX(0,(AD334-Constantes!$D$13)*(1-EXP(-Constantes!$D$23)))</f>
        <v>0.11304237216862155</v>
      </c>
      <c r="AF334" s="76">
        <f>AB334+O334*Escenarios!$F$13/Escenarios!$F$16+AE334</f>
        <v>0.60914129368256298</v>
      </c>
      <c r="AG334" s="76">
        <f>IF(Entradas!$F$91&gt;0,IF(AF334-Escenarios!$F$38&lt;=0,0,IF(AF334-Escenarios!$F$38&gt;Escenarios!$F$37,Escenarios!$F$37,AF334-Escenarios!$F$38)),0)</f>
        <v>0</v>
      </c>
      <c r="AH334" s="76">
        <f>AG334*Entradas!$F$99</f>
        <v>0</v>
      </c>
      <c r="AI334" s="76">
        <f>IF(Entradas!$F$91&gt;0,D334*Entradas!$D$23/Escenarios!$F$16,0)</f>
        <v>0.21987266071469003</v>
      </c>
      <c r="AJ334" s="76">
        <f>IF(Entradas!$F$91&gt;0,Entradas!$D$24*Entradas!$D$22/Escenarios!$F$16,0)</f>
        <v>0.12</v>
      </c>
      <c r="AK334" s="76">
        <f t="shared" si="72"/>
        <v>3.0075257260624477</v>
      </c>
      <c r="AL334" s="76">
        <f t="shared" si="73"/>
        <v>0</v>
      </c>
      <c r="AM334" s="76">
        <f t="shared" si="74"/>
        <v>0</v>
      </c>
      <c r="AN334" s="76">
        <f>MAX(0,O334*Escenarios!$F$13/Escenarios!$F$16-AM334)</f>
        <v>0.49609892151394142</v>
      </c>
      <c r="AO334" s="76">
        <f>AM334+AN334-O334*Escenarios!$F$13/Escenarios!$F$16</f>
        <v>0</v>
      </c>
      <c r="AP334" s="76">
        <f t="shared" si="75"/>
        <v>0.11304237216862155</v>
      </c>
      <c r="AQ334" s="76">
        <f t="shared" si="76"/>
        <v>0</v>
      </c>
      <c r="AR334" s="76">
        <f t="shared" si="77"/>
        <v>0.60914129368256298</v>
      </c>
      <c r="AS334" s="76">
        <f t="shared" si="78"/>
        <v>0</v>
      </c>
      <c r="AT334" s="76">
        <f t="shared" si="79"/>
        <v>0</v>
      </c>
      <c r="AU334" s="76">
        <f t="shared" si="80"/>
        <v>49.067159652691203</v>
      </c>
      <c r="AV334" s="76">
        <f>MAX(0,(AU334-Constantes!$D$13)*(1-EXP(-Constantes!$D$24)))</f>
        <v>4.8478636506150167E-3</v>
      </c>
      <c r="AW334" s="170">
        <f>AW333+(Entradas!$F$112*AT334-AX333)/(800*Entradas!$D$25)</f>
        <v>0</v>
      </c>
      <c r="AX334" s="170">
        <f>8000*Entradas!$D$26*AW334/Constantes!$F$45</f>
        <v>0</v>
      </c>
      <c r="AY334" s="170">
        <f>IF(Escenarios!$F$17&gt;0,10*Escenarios!$F$16*AL334,0)</f>
        <v>0</v>
      </c>
      <c r="AZ334" s="170">
        <f>IF(Escenarios!$F$17&gt;0,10*Escenarios!$F$16*AX334,0)</f>
        <v>0</v>
      </c>
      <c r="BA334" s="170">
        <f>IF(Escenarios!$F$17&gt;0,0.001*Observaciones!$F333*Escenarios!$F$17,0)</f>
        <v>0</v>
      </c>
      <c r="BB334" s="170">
        <f>IF(Escenarios!$F$17&gt;0,Observaciones!$K333,0)</f>
        <v>0</v>
      </c>
      <c r="BC334" s="170">
        <f>IF(Escenarios!$F$17&gt;0,MIN(0.0005*ETo!$M333*Escenarios!$F$17*(BG333/Constantes!$F$40)^(2/3),BG333+AY334+AZ334+BA334+BB334),0)</f>
        <v>0</v>
      </c>
      <c r="BD334" s="170">
        <f>IF(Escenarios!$F$17&gt;0,MIN(Constantes!$F$39*(BG333/Constantes!$F$40)^(2/3),BG333+AY334+AZ334+BA334+BB334-BC334),0)</f>
        <v>0</v>
      </c>
      <c r="BE334" s="170">
        <f>IF(Escenarios!$F$17&gt;0,MIN(Entradas!$F$113,BG333+AY334+AZ334+BA334+BB334-BC334-BD334),0)</f>
        <v>0</v>
      </c>
      <c r="BF334" s="170">
        <f>IF(Escenarios!$F$17&gt;0,MAX(0,BG333+AY334+AZ334+BA334+BB334-BC334-BD334-BE334-Constantes!$F$40),0)</f>
        <v>0</v>
      </c>
      <c r="BG334" s="170">
        <f t="shared" si="81"/>
        <v>0</v>
      </c>
      <c r="BH334" s="170">
        <f>(Escenarios!$F$16*AK334+0.1*BC334)/(Escenarios!$F$19)</f>
        <v>3.0075257260624477</v>
      </c>
      <c r="BI334" s="170">
        <f>IF(Escenarios!$F$17&gt;0,BF334/10/Escenarios!$F$19,AL334)</f>
        <v>0</v>
      </c>
      <c r="BJ334" s="170">
        <f>(Escenarios!$F$16*AT334+0.1*BD334)/(Escenarios!$F$19)</f>
        <v>0</v>
      </c>
      <c r="BK334" s="76">
        <f>BK333+(0.1*BD334)/(Escenarios!$F$19)-BL333</f>
        <v>48.75</v>
      </c>
      <c r="BL334" s="76">
        <f>MAX(0,(BK334-Constantes!$D$13)*(1-EXP(-Constantes!$D$23)))</f>
        <v>0</v>
      </c>
      <c r="BM334" s="76">
        <f t="shared" si="82"/>
        <v>0.11789023581923656</v>
      </c>
      <c r="BN334" s="76">
        <f t="shared" si="83"/>
        <v>0.61398915733317805</v>
      </c>
      <c r="BO334" s="76">
        <f>0.0526*BI334*Observaciones!$F333^1.218</f>
        <v>0</v>
      </c>
      <c r="BP334" s="76">
        <f>BO334*Constantes!$F$51</f>
        <v>0</v>
      </c>
      <c r="BQ334" s="76">
        <f t="shared" si="84"/>
        <v>0</v>
      </c>
      <c r="BR334" s="40"/>
    </row>
    <row r="335" spans="2:70">
      <c r="B335" s="39"/>
      <c r="C335" s="75">
        <v>329</v>
      </c>
      <c r="D335" s="146">
        <f>ETo!$I334*((1-Constantes!$F$19)*ETo!$K334+ETo!$L334)</f>
        <v>4.6370071945177047</v>
      </c>
      <c r="E335" s="76">
        <f>MIN(D335*Constantes!$F$17,0.8*(N334+Observaciones!$F334-F335-M335-Constantes!$D$14))</f>
        <v>2.6445397231511829</v>
      </c>
      <c r="F335" s="76">
        <f>IF(Observaciones!$F334&gt;0.05*Constantes!$F$18,((Observaciones!$F334-0.05*Constantes!$F$18)^2)/(Observaciones!$F334+0.95*Constantes!$F$18),0)</f>
        <v>0</v>
      </c>
      <c r="G335" s="76">
        <f>IF(Escenarios!$F$11&gt;0,(F335*Escenarios!$F$16*10000)/1000,0)</f>
        <v>0</v>
      </c>
      <c r="H335" s="76">
        <f>IF(Escenarios!$F$11&gt;0,(Observaciones!$F334*Constantes!$F$29)/1000,0)</f>
        <v>0</v>
      </c>
      <c r="I335" s="76">
        <f>IF(Escenarios!$F$11&gt;0,(D335*Constantes!$F$29)/1000,0)</f>
        <v>0</v>
      </c>
      <c r="J335" s="76">
        <f>IF(Escenarios!$F$11&gt;0,MAX(0,G335+H335-I335),0)</f>
        <v>0</v>
      </c>
      <c r="K335" s="76">
        <f>IF(Escenarios!$F$11&gt;0,IF(J335&gt;Constantes!$F$30,1000*((J335-Constantes!$F$30)/(Escenarios!$F$16*10000)),0),F335)</f>
        <v>0</v>
      </c>
      <c r="L335" s="76">
        <f>IF(Escenarios!$F$11&gt;0,I335*1000/Escenarios!$F$16/10000+E335,E335)</f>
        <v>2.6445397231511829</v>
      </c>
      <c r="M335" s="76">
        <f>MAX(0,N334+Observaciones!$F334-K335-Constantes!$D$13)</f>
        <v>0</v>
      </c>
      <c r="N335" s="76">
        <f>N334+Observaciones!$F334-K335-L335-M335-O334</f>
        <v>32.191565251395687</v>
      </c>
      <c r="O335" s="76">
        <f>MAX(0,(N335-Constantes!$D$14)*(1-EXP(-Constantes!$D$22)))</f>
        <v>0.71334659052242577</v>
      </c>
      <c r="P335" s="170">
        <f>P334+(Entradas!$F$83*M335-Q334)/(800*Entradas!$D$25)</f>
        <v>0</v>
      </c>
      <c r="Q335" s="170">
        <f>8000*Entradas!$D$26*P335/Constantes!$F$45</f>
        <v>0</v>
      </c>
      <c r="R335" s="170">
        <f>IF(Escenarios!$F$14&gt;0,K335*Escenarios!$F$13/Escenarios!$F$14,0)</f>
        <v>0</v>
      </c>
      <c r="S335" s="170">
        <f>IF(Escenarios!$F$14&gt;0,Q335*Escenarios!$F$13/Escenarios!$F$14,0)</f>
        <v>0</v>
      </c>
      <c r="T335" s="170">
        <f>IF(Escenarios!$F$14&gt;0,Observaciones!$I334,0)</f>
        <v>0</v>
      </c>
      <c r="U335" s="170">
        <f>IF(Escenarios!$F$14&gt;0,MAX(0,Constantes!$F$36/((Z334+R335+S335+T335+Observaciones!$F334)^2)+Entradas!$F$77),0)</f>
        <v>0</v>
      </c>
      <c r="V335" s="146">
        <f>IF(ETo!D334&gt;0,ETo!I334*((1-Entradas!$F$81)*ETo!K334+ETo!L334),0)</f>
        <v>4.1237421653213415</v>
      </c>
      <c r="W335" s="170">
        <f>IF(Escenarios!$F$14&gt;0,MIN(V335*1,0.8*(Z334+R335+S335+T335+Observaciones!$F334-U335-Constantes!$F$35)),0)</f>
        <v>4.1237421653213415</v>
      </c>
      <c r="X335" s="170">
        <f>IF(Escenarios!$F$14&gt;0,Observaciones!$J334,0)</f>
        <v>0</v>
      </c>
      <c r="Y335" s="170">
        <f>IF(Escenarios!$F$14&gt;0,MAX(0,Z334+R335+S335+T335+Observaciones!$F334-U335-W335-X335-Constantes!$F$33),0)</f>
        <v>0</v>
      </c>
      <c r="Z335" s="170">
        <f>Z334+R335+S335+T335+Observaciones!$F334-U335-W335-Y335</f>
        <v>51.23248498310754</v>
      </c>
      <c r="AA335" s="170">
        <f>IF(Escenarios!$F$14&gt;0,(Escenarios!$F$13*L335+Escenarios!$F$14*W335)/(Escenarios!$F$16),L335)</f>
        <v>2.8220440162116018</v>
      </c>
      <c r="AB335" s="170">
        <f>IF(Escenarios!$F$14&gt;0,(Escenarios!$F$14*Y335)/(Escenarios!$F$16),K335)</f>
        <v>0</v>
      </c>
      <c r="AC335" s="170">
        <f>IF(Escenarios!$F$14&gt;0,(Escenarios!$F$13*M335+Escenarios!$F$14*U335)/(Escenarios!$F$16),M335)</f>
        <v>0</v>
      </c>
      <c r="AD335" s="76">
        <f t="shared" si="71"/>
        <v>60.10956897518669</v>
      </c>
      <c r="AE335" s="76">
        <f>MAX(0,(AD335-Constantes!$D$13)*(1-EXP(-Constantes!$D$23)))</f>
        <v>0.11192853875104876</v>
      </c>
      <c r="AF335" s="76">
        <f>AB335+O335*Escenarios!$F$13/Escenarios!$F$16+AE335</f>
        <v>0.73967353841078354</v>
      </c>
      <c r="AG335" s="76">
        <f>IF(Entradas!$F$91&gt;0,IF(AF335-Escenarios!$F$38&lt;=0,0,IF(AF335-Escenarios!$F$38&gt;Escenarios!$F$37,Escenarios!$F$37,AF335-Escenarios!$F$38)),0)</f>
        <v>0</v>
      </c>
      <c r="AH335" s="76">
        <f>AG335*Entradas!$F$99</f>
        <v>0</v>
      </c>
      <c r="AI335" s="76">
        <f>IF(Entradas!$F$91&gt;0,D335*Entradas!$D$23/Escenarios!$F$16,0)</f>
        <v>0.22257634533684983</v>
      </c>
      <c r="AJ335" s="76">
        <f>IF(Entradas!$F$91&gt;0,Entradas!$D$24*Entradas!$D$22/Escenarios!$F$16,0)</f>
        <v>0.12</v>
      </c>
      <c r="AK335" s="76">
        <f t="shared" si="72"/>
        <v>3.0446203615484517</v>
      </c>
      <c r="AL335" s="76">
        <f t="shared" si="73"/>
        <v>0</v>
      </c>
      <c r="AM335" s="76">
        <f t="shared" si="74"/>
        <v>0</v>
      </c>
      <c r="AN335" s="76">
        <f>MAX(0,O335*Escenarios!$F$13/Escenarios!$F$16-AM335)</f>
        <v>0.62774499965973474</v>
      </c>
      <c r="AO335" s="76">
        <f>AM335+AN335-O335*Escenarios!$F$13/Escenarios!$F$16</f>
        <v>0</v>
      </c>
      <c r="AP335" s="76">
        <f t="shared" si="75"/>
        <v>0.11192853875104876</v>
      </c>
      <c r="AQ335" s="76">
        <f t="shared" si="76"/>
        <v>0</v>
      </c>
      <c r="AR335" s="76">
        <f t="shared" si="77"/>
        <v>0.73967353841078354</v>
      </c>
      <c r="AS335" s="76">
        <f t="shared" si="78"/>
        <v>0</v>
      </c>
      <c r="AT335" s="76">
        <f t="shared" si="79"/>
        <v>0</v>
      </c>
      <c r="AU335" s="76">
        <f t="shared" si="80"/>
        <v>49.062311789040585</v>
      </c>
      <c r="AV335" s="76">
        <f>MAX(0,(AU335-Constantes!$D$13)*(1-EXP(-Constantes!$D$24)))</f>
        <v>4.7737628569751375E-3</v>
      </c>
      <c r="AW335" s="170">
        <f>AW334+(Entradas!$F$112*AT335-AX334)/(800*Entradas!$D$25)</f>
        <v>0</v>
      </c>
      <c r="AX335" s="170">
        <f>8000*Entradas!$D$26*AW335/Constantes!$F$45</f>
        <v>0</v>
      </c>
      <c r="AY335" s="170">
        <f>IF(Escenarios!$F$17&gt;0,10*Escenarios!$F$16*AL335,0)</f>
        <v>0</v>
      </c>
      <c r="AZ335" s="170">
        <f>IF(Escenarios!$F$17&gt;0,10*Escenarios!$F$16*AX335,0)</f>
        <v>0</v>
      </c>
      <c r="BA335" s="170">
        <f>IF(Escenarios!$F$17&gt;0,0.001*Observaciones!$F334*Escenarios!$F$17,0)</f>
        <v>0</v>
      </c>
      <c r="BB335" s="170">
        <f>IF(Escenarios!$F$17&gt;0,Observaciones!$K334,0)</f>
        <v>0</v>
      </c>
      <c r="BC335" s="170">
        <f>IF(Escenarios!$F$17&gt;0,MIN(0.0005*ETo!$M334*Escenarios!$F$17*(BG334/Constantes!$F$40)^(2/3),BG334+AY335+AZ335+BA335+BB335),0)</f>
        <v>0</v>
      </c>
      <c r="BD335" s="170">
        <f>IF(Escenarios!$F$17&gt;0,MIN(Constantes!$F$39*(BG334/Constantes!$F$40)^(2/3),BG334+AY335+AZ335+BA335+BB335-BC335),0)</f>
        <v>0</v>
      </c>
      <c r="BE335" s="170">
        <f>IF(Escenarios!$F$17&gt;0,MIN(Entradas!$F$113,BG334+AY335+AZ335+BA335+BB335-BC335-BD335),0)</f>
        <v>0</v>
      </c>
      <c r="BF335" s="170">
        <f>IF(Escenarios!$F$17&gt;0,MAX(0,BG334+AY335+AZ335+BA335+BB335-BC335-BD335-BE335-Constantes!$F$40),0)</f>
        <v>0</v>
      </c>
      <c r="BG335" s="170">
        <f t="shared" si="81"/>
        <v>0</v>
      </c>
      <c r="BH335" s="170">
        <f>(Escenarios!$F$16*AK335+0.1*BC335)/(Escenarios!$F$19)</f>
        <v>3.0446203615484517</v>
      </c>
      <c r="BI335" s="170">
        <f>IF(Escenarios!$F$17&gt;0,BF335/10/Escenarios!$F$19,AL335)</f>
        <v>0</v>
      </c>
      <c r="BJ335" s="170">
        <f>(Escenarios!$F$16*AT335+0.1*BD335)/(Escenarios!$F$19)</f>
        <v>0</v>
      </c>
      <c r="BK335" s="76">
        <f>BK334+(0.1*BD335)/(Escenarios!$F$19)-BL334</f>
        <v>48.75</v>
      </c>
      <c r="BL335" s="76">
        <f>MAX(0,(BK335-Constantes!$D$13)*(1-EXP(-Constantes!$D$23)))</f>
        <v>0</v>
      </c>
      <c r="BM335" s="76">
        <f t="shared" si="82"/>
        <v>0.11670230160802389</v>
      </c>
      <c r="BN335" s="76">
        <f t="shared" si="83"/>
        <v>0.74444730126775871</v>
      </c>
      <c r="BO335" s="76">
        <f>0.0526*BI335*Observaciones!$F334^1.218</f>
        <v>0</v>
      </c>
      <c r="BP335" s="76">
        <f>BO335*Constantes!$F$51</f>
        <v>0</v>
      </c>
      <c r="BQ335" s="76">
        <f t="shared" si="84"/>
        <v>0</v>
      </c>
      <c r="BR335" s="40"/>
    </row>
    <row r="336" spans="2:70">
      <c r="B336" s="39"/>
      <c r="C336" s="75">
        <v>330</v>
      </c>
      <c r="D336" s="146">
        <f>ETo!$I335*((1-Constantes!$F$19)*ETo!$K335+ETo!$L335)</f>
        <v>4.7071994806655955</v>
      </c>
      <c r="E336" s="76">
        <f>MIN(D336*Constantes!$F$17,0.8*(N335+Observaciones!$F335-F336-M336-Constantes!$D$14))</f>
        <v>2.6845712092347838</v>
      </c>
      <c r="F336" s="76">
        <f>IF(Observaciones!$F335&gt;0.05*Constantes!$F$18,((Observaciones!$F335-0.05*Constantes!$F$18)^2)/(Observaciones!$F335+0.95*Constantes!$F$18),0)</f>
        <v>1.5024380359522313E-2</v>
      </c>
      <c r="G336" s="76">
        <f>IF(Escenarios!$F$11&gt;0,(F336*Escenarios!$F$16*10000)/1000,0)</f>
        <v>0</v>
      </c>
      <c r="H336" s="76">
        <f>IF(Escenarios!$F$11&gt;0,(Observaciones!$F335*Constantes!$F$29)/1000,0)</f>
        <v>0</v>
      </c>
      <c r="I336" s="76">
        <f>IF(Escenarios!$F$11&gt;0,(D336*Constantes!$F$29)/1000,0)</f>
        <v>0</v>
      </c>
      <c r="J336" s="76">
        <f>IF(Escenarios!$F$11&gt;0,MAX(0,G336+H336-I336),0)</f>
        <v>0</v>
      </c>
      <c r="K336" s="76">
        <f>IF(Escenarios!$F$11&gt;0,IF(J336&gt;Constantes!$F$30,1000*((J336-Constantes!$F$30)/(Escenarios!$F$16*10000)),0),F336)</f>
        <v>1.5024380359522313E-2</v>
      </c>
      <c r="L336" s="76">
        <f>IF(Escenarios!$F$11&gt;0,I336*1000/Escenarios!$F$16/10000+E336,E336)</f>
        <v>2.6845712092347838</v>
      </c>
      <c r="M336" s="76">
        <f>MAX(0,N335+Observaciones!$F335-K336-Constantes!$D$13)</f>
        <v>0</v>
      </c>
      <c r="N336" s="76">
        <f>N335+Observaciones!$F335-K336-L336-M336-O335</f>
        <v>41.578623071278955</v>
      </c>
      <c r="O336" s="76">
        <f>MAX(0,(N336-Constantes!$D$14)*(1-EXP(-Constantes!$D$22)))</f>
        <v>1.0331042404623854</v>
      </c>
      <c r="P336" s="170">
        <f>P335+(Entradas!$F$83*M336-Q335)/(800*Entradas!$D$25)</f>
        <v>0</v>
      </c>
      <c r="Q336" s="170">
        <f>8000*Entradas!$D$26*P336/Constantes!$F$45</f>
        <v>0</v>
      </c>
      <c r="R336" s="170">
        <f>IF(Escenarios!$F$14&gt;0,K336*Escenarios!$F$13/Escenarios!$F$14,0)</f>
        <v>0.11017878930316363</v>
      </c>
      <c r="S336" s="170">
        <f>IF(Escenarios!$F$14&gt;0,Q336*Escenarios!$F$13/Escenarios!$F$14,0)</f>
        <v>0</v>
      </c>
      <c r="T336" s="170">
        <f>IF(Escenarios!$F$14&gt;0,Observaciones!$I335,0)</f>
        <v>0</v>
      </c>
      <c r="U336" s="170">
        <f>IF(Escenarios!$F$14&gt;0,MAX(0,Constantes!$F$36/((Z335+R336+S336+T336+Observaciones!$F335)^2)+Entradas!$F$77),0)</f>
        <v>0.50460670724640044</v>
      </c>
      <c r="V336" s="146">
        <f>IF(ETo!D335&gt;0,ETo!I335*((1-Entradas!$F$81)*ETo!K335+ETo!L335),0)</f>
        <v>4.1874382091876337</v>
      </c>
      <c r="W336" s="170">
        <f>IF(Escenarios!$F$14&gt;0,MIN(V336*1,0.8*(Z335+R336+S336+T336+Observaciones!$F335-U336-Constantes!$F$35)),0)</f>
        <v>4.1874382091876337</v>
      </c>
      <c r="X336" s="170">
        <f>IF(Escenarios!$F$14&gt;0,Observaciones!$J335,0)</f>
        <v>0</v>
      </c>
      <c r="Y336" s="170">
        <f>IF(Escenarios!$F$14&gt;0,MAX(0,Z335+R336+S336+T336+Observaciones!$F335-U336-W336-X336-Constantes!$F$33),0)</f>
        <v>0</v>
      </c>
      <c r="Z336" s="170">
        <f>Z335+R336+S336+T336+Observaciones!$F335-U336-W336-Y336</f>
        <v>59.450618855976664</v>
      </c>
      <c r="AA336" s="170">
        <f>IF(Escenarios!$F$14&gt;0,(Escenarios!$F$13*L336+Escenarios!$F$14*W336)/(Escenarios!$F$16),L336)</f>
        <v>2.8649152492291257</v>
      </c>
      <c r="AB336" s="170">
        <f>IF(Escenarios!$F$14&gt;0,(Escenarios!$F$14*Y336)/(Escenarios!$F$16),K336)</f>
        <v>0</v>
      </c>
      <c r="AC336" s="170">
        <f>IF(Escenarios!$F$14&gt;0,(Escenarios!$F$13*M336+Escenarios!$F$14*U336)/(Escenarios!$F$16),M336)</f>
        <v>6.0552804869568051E-2</v>
      </c>
      <c r="AD336" s="76">
        <f t="shared" si="71"/>
        <v>60.058193241305204</v>
      </c>
      <c r="AE336" s="76">
        <f>MAX(0,(AD336-Constantes!$D$13)*(1-EXP(-Constantes!$D$23)))</f>
        <v>0.11142232140836804</v>
      </c>
      <c r="AF336" s="76">
        <f>AB336+O336*Escenarios!$F$13/Escenarios!$F$16+AE336</f>
        <v>1.0205540530152672</v>
      </c>
      <c r="AG336" s="76">
        <f>IF(Entradas!$F$91&gt;0,IF(AF336-Escenarios!$F$38&lt;=0,0,IF(AF336-Escenarios!$F$38&gt;Escenarios!$F$37,Escenarios!$F$37,AF336-Escenarios!$F$38)),0)</f>
        <v>0</v>
      </c>
      <c r="AH336" s="76">
        <f>AG336*Entradas!$F$99</f>
        <v>0</v>
      </c>
      <c r="AI336" s="76">
        <f>IF(Entradas!$F$91&gt;0,D336*Entradas!$D$23/Escenarios!$F$16,0)</f>
        <v>0.2259455750719486</v>
      </c>
      <c r="AJ336" s="76">
        <f>IF(Entradas!$F$91&gt;0,Entradas!$D$24*Entradas!$D$22/Escenarios!$F$16,0)</f>
        <v>0.12</v>
      </c>
      <c r="AK336" s="76">
        <f t="shared" si="72"/>
        <v>3.0908608243010742</v>
      </c>
      <c r="AL336" s="76">
        <f t="shared" si="73"/>
        <v>0</v>
      </c>
      <c r="AM336" s="76">
        <f t="shared" si="74"/>
        <v>0</v>
      </c>
      <c r="AN336" s="76">
        <f>MAX(0,O336*Escenarios!$F$13/Escenarios!$F$16-AM336)</f>
        <v>0.9091317316068992</v>
      </c>
      <c r="AO336" s="76">
        <f>AM336+AN336-O336*Escenarios!$F$13/Escenarios!$F$16</f>
        <v>0</v>
      </c>
      <c r="AP336" s="76">
        <f t="shared" si="75"/>
        <v>0.11142232140836804</v>
      </c>
      <c r="AQ336" s="76">
        <f t="shared" si="76"/>
        <v>0</v>
      </c>
      <c r="AR336" s="76">
        <f t="shared" si="77"/>
        <v>1.0205540530152672</v>
      </c>
      <c r="AS336" s="76">
        <f t="shared" si="78"/>
        <v>0</v>
      </c>
      <c r="AT336" s="76">
        <f t="shared" si="79"/>
        <v>6.0552804869568051E-2</v>
      </c>
      <c r="AU336" s="76">
        <f t="shared" si="80"/>
        <v>49.057538026183607</v>
      </c>
      <c r="AV336" s="76">
        <f>MAX(0,(AU336-Constantes!$D$13)*(1-EXP(-Constantes!$D$24)))</f>
        <v>4.7007947122737976E-3</v>
      </c>
      <c r="AW336" s="170">
        <f>AW335+(Entradas!$F$112*AT336-AX335)/(800*Entradas!$D$25)</f>
        <v>0</v>
      </c>
      <c r="AX336" s="170">
        <f>8000*Entradas!$D$26*AW336/Constantes!$F$45</f>
        <v>0</v>
      </c>
      <c r="AY336" s="170">
        <f>IF(Escenarios!$F$17&gt;0,10*Escenarios!$F$16*AL336,0)</f>
        <v>0</v>
      </c>
      <c r="AZ336" s="170">
        <f>IF(Escenarios!$F$17&gt;0,10*Escenarios!$F$16*AX336,0)</f>
        <v>0</v>
      </c>
      <c r="BA336" s="170">
        <f>IF(Escenarios!$F$17&gt;0,0.001*Observaciones!$F335*Escenarios!$F$17,0)</f>
        <v>0</v>
      </c>
      <c r="BB336" s="170">
        <f>IF(Escenarios!$F$17&gt;0,Observaciones!$K335,0)</f>
        <v>0</v>
      </c>
      <c r="BC336" s="170">
        <f>IF(Escenarios!$F$17&gt;0,MIN(0.0005*ETo!$M335*Escenarios!$F$17*(BG335/Constantes!$F$40)^(2/3),BG335+AY336+AZ336+BA336+BB336),0)</f>
        <v>0</v>
      </c>
      <c r="BD336" s="170">
        <f>IF(Escenarios!$F$17&gt;0,MIN(Constantes!$F$39*(BG335/Constantes!$F$40)^(2/3),BG335+AY336+AZ336+BA336+BB336-BC336),0)</f>
        <v>0</v>
      </c>
      <c r="BE336" s="170">
        <f>IF(Escenarios!$F$17&gt;0,MIN(Entradas!$F$113,BG335+AY336+AZ336+BA336+BB336-BC336-BD336),0)</f>
        <v>0</v>
      </c>
      <c r="BF336" s="170">
        <f>IF(Escenarios!$F$17&gt;0,MAX(0,BG335+AY336+AZ336+BA336+BB336-BC336-BD336-BE336-Constantes!$F$40),0)</f>
        <v>0</v>
      </c>
      <c r="BG336" s="170">
        <f t="shared" si="81"/>
        <v>0</v>
      </c>
      <c r="BH336" s="170">
        <f>(Escenarios!$F$16*AK336+0.1*BC336)/(Escenarios!$F$19)</f>
        <v>3.0908608243010742</v>
      </c>
      <c r="BI336" s="170">
        <f>IF(Escenarios!$F$17&gt;0,BF336/10/Escenarios!$F$19,AL336)</f>
        <v>0</v>
      </c>
      <c r="BJ336" s="170">
        <f>(Escenarios!$F$16*AT336+0.1*BD336)/(Escenarios!$F$19)</f>
        <v>6.0552804869568051E-2</v>
      </c>
      <c r="BK336" s="76">
        <f>BK335+(0.1*BD336)/(Escenarios!$F$19)-BL335</f>
        <v>48.75</v>
      </c>
      <c r="BL336" s="76">
        <f>MAX(0,(BK336-Constantes!$D$13)*(1-EXP(-Constantes!$D$23)))</f>
        <v>0</v>
      </c>
      <c r="BM336" s="76">
        <f t="shared" si="82"/>
        <v>0.11612311612064184</v>
      </c>
      <c r="BN336" s="76">
        <f t="shared" si="83"/>
        <v>1.0252548477275409</v>
      </c>
      <c r="BO336" s="76">
        <f>0.0526*BI336*Observaciones!$F335^1.218</f>
        <v>0</v>
      </c>
      <c r="BP336" s="76">
        <f>BO336*Constantes!$F$51</f>
        <v>0</v>
      </c>
      <c r="BQ336" s="76">
        <f t="shared" si="84"/>
        <v>0</v>
      </c>
      <c r="BR336" s="40"/>
    </row>
    <row r="337" spans="2:70">
      <c r="B337" s="39"/>
      <c r="C337" s="75">
        <v>331</v>
      </c>
      <c r="D337" s="146">
        <f>ETo!$I336*((1-Constantes!$F$19)*ETo!$K336+ETo!$L336)</f>
        <v>4.679771390674567</v>
      </c>
      <c r="E337" s="76">
        <f>MIN(D337*Constantes!$F$17,0.8*(N336+Observaciones!$F336-F337-M337-Constantes!$D$14))</f>
        <v>2.6689286470241411</v>
      </c>
      <c r="F337" s="76">
        <f>IF(Observaciones!$F336&gt;0.05*Constantes!$F$18,((Observaciones!$F336-0.05*Constantes!$F$18)^2)/(Observaciones!$F336+0.95*Constantes!$F$18),0)</f>
        <v>0</v>
      </c>
      <c r="G337" s="76">
        <f>IF(Escenarios!$F$11&gt;0,(F337*Escenarios!$F$16*10000)/1000,0)</f>
        <v>0</v>
      </c>
      <c r="H337" s="76">
        <f>IF(Escenarios!$F$11&gt;0,(Observaciones!$F336*Constantes!$F$29)/1000,0)</f>
        <v>0</v>
      </c>
      <c r="I337" s="76">
        <f>IF(Escenarios!$F$11&gt;0,(D337*Constantes!$F$29)/1000,0)</f>
        <v>0</v>
      </c>
      <c r="J337" s="76">
        <f>IF(Escenarios!$F$11&gt;0,MAX(0,G337+H337-I337),0)</f>
        <v>0</v>
      </c>
      <c r="K337" s="76">
        <f>IF(Escenarios!$F$11&gt;0,IF(J337&gt;Constantes!$F$30,1000*((J337-Constantes!$F$30)/(Escenarios!$F$16*10000)),0),F337)</f>
        <v>0</v>
      </c>
      <c r="L337" s="76">
        <f>IF(Escenarios!$F$11&gt;0,I337*1000/Escenarios!$F$16/10000+E337,E337)</f>
        <v>2.6689286470241411</v>
      </c>
      <c r="M337" s="76">
        <f>MAX(0,N336+Observaciones!$F336-K337-Constantes!$D$13)</f>
        <v>0</v>
      </c>
      <c r="N337" s="76">
        <f>N336+Observaciones!$F336-K337-L337-M337-O336</f>
        <v>38.176590183792428</v>
      </c>
      <c r="O337" s="76">
        <f>MAX(0,(N337-Constantes!$D$14)*(1-EXP(-Constantes!$D$22)))</f>
        <v>0.91721851119618647</v>
      </c>
      <c r="P337" s="170">
        <f>P336+(Entradas!$F$83*M337-Q336)/(800*Entradas!$D$25)</f>
        <v>0</v>
      </c>
      <c r="Q337" s="170">
        <f>8000*Entradas!$D$26*P337/Constantes!$F$45</f>
        <v>0</v>
      </c>
      <c r="R337" s="170">
        <f>IF(Escenarios!$F$14&gt;0,K337*Escenarios!$F$13/Escenarios!$F$14,0)</f>
        <v>0</v>
      </c>
      <c r="S337" s="170">
        <f>IF(Escenarios!$F$14&gt;0,Q337*Escenarios!$F$13/Escenarios!$F$14,0)</f>
        <v>0</v>
      </c>
      <c r="T337" s="170">
        <f>IF(Escenarios!$F$14&gt;0,Observaciones!$I336,0)</f>
        <v>0</v>
      </c>
      <c r="U337" s="170">
        <f>IF(Escenarios!$F$14&gt;0,MAX(0,Constantes!$F$36/((Z336+R337+S337+T337+Observaciones!$F336)^2)+Entradas!$F$77),0)</f>
        <v>0.124269580945636</v>
      </c>
      <c r="V337" s="146">
        <f>IF(ETo!D336&gt;0,ETo!I336*((1-Entradas!$F$81)*ETo!K336+ETo!L336),0)</f>
        <v>4.1625383019946405</v>
      </c>
      <c r="W337" s="170">
        <f>IF(Escenarios!$F$14&gt;0,MIN(V337*1,0.8*(Z336+R337+S337+T337+Observaciones!$F336-U337-Constantes!$F$35)),0)</f>
        <v>4.1625383019946405</v>
      </c>
      <c r="X337" s="170">
        <f>IF(Escenarios!$F$14&gt;0,Observaciones!$J336,0)</f>
        <v>0</v>
      </c>
      <c r="Y337" s="170">
        <f>IF(Escenarios!$F$14&gt;0,MAX(0,Z336+R337+S337+T337+Observaciones!$F336-U337-W337-X337-Constantes!$F$33),0)</f>
        <v>0</v>
      </c>
      <c r="Z337" s="170">
        <f>Z336+R337+S337+T337+Observaciones!$F336-U337-W337-Y337</f>
        <v>55.463810973036388</v>
      </c>
      <c r="AA337" s="170">
        <f>IF(Escenarios!$F$14&gt;0,(Escenarios!$F$13*L337+Escenarios!$F$14*W337)/(Escenarios!$F$16),L337)</f>
        <v>2.8481618056206011</v>
      </c>
      <c r="AB337" s="170">
        <f>IF(Escenarios!$F$14&gt;0,(Escenarios!$F$14*Y337)/(Escenarios!$F$16),K337)</f>
        <v>0</v>
      </c>
      <c r="AC337" s="170">
        <f>IF(Escenarios!$F$14&gt;0,(Escenarios!$F$13*M337+Escenarios!$F$14*U337)/(Escenarios!$F$16),M337)</f>
        <v>1.491234971347632E-2</v>
      </c>
      <c r="AD337" s="76">
        <f t="shared" si="71"/>
        <v>59.961683269610312</v>
      </c>
      <c r="AE337" s="76">
        <f>MAX(0,(AD337-Constantes!$D$13)*(1-EXP(-Constantes!$D$23)))</f>
        <v>0.1104713856703739</v>
      </c>
      <c r="AF337" s="76">
        <f>AB337+O337*Escenarios!$F$13/Escenarios!$F$16+AE337</f>
        <v>0.91762367552301805</v>
      </c>
      <c r="AG337" s="76">
        <f>IF(Entradas!$F$91&gt;0,IF(AF337-Escenarios!$F$38&lt;=0,0,IF(AF337-Escenarios!$F$38&gt;Escenarios!$F$37,Escenarios!$F$37,AF337-Escenarios!$F$38)),0)</f>
        <v>0</v>
      </c>
      <c r="AH337" s="76">
        <f>AG337*Entradas!$F$99</f>
        <v>0</v>
      </c>
      <c r="AI337" s="76">
        <f>IF(Entradas!$F$91&gt;0,D337*Entradas!$D$23/Escenarios!$F$16,0)</f>
        <v>0.22462902675237922</v>
      </c>
      <c r="AJ337" s="76">
        <f>IF(Entradas!$F$91&gt;0,Entradas!$D$24*Entradas!$D$22/Escenarios!$F$16,0)</f>
        <v>0.12</v>
      </c>
      <c r="AK337" s="76">
        <f t="shared" si="72"/>
        <v>3.0727908323729802</v>
      </c>
      <c r="AL337" s="76">
        <f t="shared" si="73"/>
        <v>0</v>
      </c>
      <c r="AM337" s="76">
        <f t="shared" si="74"/>
        <v>0</v>
      </c>
      <c r="AN337" s="76">
        <f>MAX(0,O337*Escenarios!$F$13/Escenarios!$F$16-AM337)</f>
        <v>0.80715228985264409</v>
      </c>
      <c r="AO337" s="76">
        <f>AM337+AN337-O337*Escenarios!$F$13/Escenarios!$F$16</f>
        <v>0</v>
      </c>
      <c r="AP337" s="76">
        <f t="shared" si="75"/>
        <v>0.1104713856703739</v>
      </c>
      <c r="AQ337" s="76">
        <f t="shared" si="76"/>
        <v>0</v>
      </c>
      <c r="AR337" s="76">
        <f t="shared" si="77"/>
        <v>0.91762367552301805</v>
      </c>
      <c r="AS337" s="76">
        <f t="shared" si="78"/>
        <v>0</v>
      </c>
      <c r="AT337" s="76">
        <f t="shared" si="79"/>
        <v>1.491234971347632E-2</v>
      </c>
      <c r="AU337" s="76">
        <f t="shared" si="80"/>
        <v>49.052837231471337</v>
      </c>
      <c r="AV337" s="76">
        <f>MAX(0,(AU337-Constantes!$D$13)*(1-EXP(-Constantes!$D$24)))</f>
        <v>4.6289419036922193E-3</v>
      </c>
      <c r="AW337" s="170">
        <f>AW336+(Entradas!$F$112*AT337-AX336)/(800*Entradas!$D$25)</f>
        <v>0</v>
      </c>
      <c r="AX337" s="170">
        <f>8000*Entradas!$D$26*AW337/Constantes!$F$45</f>
        <v>0</v>
      </c>
      <c r="AY337" s="170">
        <f>IF(Escenarios!$F$17&gt;0,10*Escenarios!$F$16*AL337,0)</f>
        <v>0</v>
      </c>
      <c r="AZ337" s="170">
        <f>IF(Escenarios!$F$17&gt;0,10*Escenarios!$F$16*AX337,0)</f>
        <v>0</v>
      </c>
      <c r="BA337" s="170">
        <f>IF(Escenarios!$F$17&gt;0,0.001*Observaciones!$F336*Escenarios!$F$17,0)</f>
        <v>0</v>
      </c>
      <c r="BB337" s="170">
        <f>IF(Escenarios!$F$17&gt;0,Observaciones!$K336,0)</f>
        <v>0</v>
      </c>
      <c r="BC337" s="170">
        <f>IF(Escenarios!$F$17&gt;0,MIN(0.0005*ETo!$M336*Escenarios!$F$17*(BG336/Constantes!$F$40)^(2/3),BG336+AY337+AZ337+BA337+BB337),0)</f>
        <v>0</v>
      </c>
      <c r="BD337" s="170">
        <f>IF(Escenarios!$F$17&gt;0,MIN(Constantes!$F$39*(BG336/Constantes!$F$40)^(2/3),BG336+AY337+AZ337+BA337+BB337-BC337),0)</f>
        <v>0</v>
      </c>
      <c r="BE337" s="170">
        <f>IF(Escenarios!$F$17&gt;0,MIN(Entradas!$F$113,BG336+AY337+AZ337+BA337+BB337-BC337-BD337),0)</f>
        <v>0</v>
      </c>
      <c r="BF337" s="170">
        <f>IF(Escenarios!$F$17&gt;0,MAX(0,BG336+AY337+AZ337+BA337+BB337-BC337-BD337-BE337-Constantes!$F$40),0)</f>
        <v>0</v>
      </c>
      <c r="BG337" s="170">
        <f t="shared" si="81"/>
        <v>0</v>
      </c>
      <c r="BH337" s="170">
        <f>(Escenarios!$F$16*AK337+0.1*BC337)/(Escenarios!$F$19)</f>
        <v>3.0727908323729802</v>
      </c>
      <c r="BI337" s="170">
        <f>IF(Escenarios!$F$17&gt;0,BF337/10/Escenarios!$F$19,AL337)</f>
        <v>0</v>
      </c>
      <c r="BJ337" s="170">
        <f>(Escenarios!$F$16*AT337+0.1*BD337)/(Escenarios!$F$19)</f>
        <v>1.491234971347632E-2</v>
      </c>
      <c r="BK337" s="76">
        <f>BK336+(0.1*BD337)/(Escenarios!$F$19)-BL336</f>
        <v>48.75</v>
      </c>
      <c r="BL337" s="76">
        <f>MAX(0,(BK337-Constantes!$D$13)*(1-EXP(-Constantes!$D$23)))</f>
        <v>0</v>
      </c>
      <c r="BM337" s="76">
        <f t="shared" si="82"/>
        <v>0.11510032757406612</v>
      </c>
      <c r="BN337" s="76">
        <f t="shared" si="83"/>
        <v>0.92225261742671027</v>
      </c>
      <c r="BO337" s="76">
        <f>0.0526*BI337*Observaciones!$F336^1.218</f>
        <v>0</v>
      </c>
      <c r="BP337" s="76">
        <f>BO337*Constantes!$F$51</f>
        <v>0</v>
      </c>
      <c r="BQ337" s="76">
        <f t="shared" si="84"/>
        <v>0</v>
      </c>
      <c r="BR337" s="40"/>
    </row>
    <row r="338" spans="2:70">
      <c r="B338" s="39"/>
      <c r="C338" s="75">
        <v>332</v>
      </c>
      <c r="D338" s="146">
        <f>ETo!$I337*((1-Constantes!$F$19)*ETo!$K337+ETo!$L337)</f>
        <v>4.6848014453641706</v>
      </c>
      <c r="E338" s="76">
        <f>MIN(D338*Constantes!$F$17,0.8*(N337+Observaciones!$F337-F338-M338-Constantes!$D$14))</f>
        <v>2.6717973463550386</v>
      </c>
      <c r="F338" s="76">
        <f>IF(Observaciones!$F337&gt;0.05*Constantes!$F$18,((Observaciones!$F337-0.05*Constantes!$F$18)^2)/(Observaciones!$F337+0.95*Constantes!$F$18),0)</f>
        <v>0</v>
      </c>
      <c r="G338" s="76">
        <f>IF(Escenarios!$F$11&gt;0,(F338*Escenarios!$F$16*10000)/1000,0)</f>
        <v>0</v>
      </c>
      <c r="H338" s="76">
        <f>IF(Escenarios!$F$11&gt;0,(Observaciones!$F337*Constantes!$F$29)/1000,0)</f>
        <v>0</v>
      </c>
      <c r="I338" s="76">
        <f>IF(Escenarios!$F$11&gt;0,(D338*Constantes!$F$29)/1000,0)</f>
        <v>0</v>
      </c>
      <c r="J338" s="76">
        <f>IF(Escenarios!$F$11&gt;0,MAX(0,G338+H338-I338),0)</f>
        <v>0</v>
      </c>
      <c r="K338" s="76">
        <f>IF(Escenarios!$F$11&gt;0,IF(J338&gt;Constantes!$F$30,1000*((J338-Constantes!$F$30)/(Escenarios!$F$16*10000)),0),F338)</f>
        <v>0</v>
      </c>
      <c r="L338" s="76">
        <f>IF(Escenarios!$F$11&gt;0,I338*1000/Escenarios!$F$16/10000+E338,E338)</f>
        <v>2.6717973463550386</v>
      </c>
      <c r="M338" s="76">
        <f>MAX(0,N337+Observaciones!$F337-K338-Constantes!$D$13)</f>
        <v>0</v>
      </c>
      <c r="N338" s="76">
        <f>N337+Observaciones!$F337-K338-L338-M338-O337</f>
        <v>34.587574326241203</v>
      </c>
      <c r="O338" s="76">
        <f>MAX(0,(N338-Constantes!$D$14)*(1-EXP(-Constantes!$D$22)))</f>
        <v>0.79496345554104841</v>
      </c>
      <c r="P338" s="170">
        <f>P337+(Entradas!$F$83*M338-Q337)/(800*Entradas!$D$25)</f>
        <v>0</v>
      </c>
      <c r="Q338" s="170">
        <f>8000*Entradas!$D$26*P338/Constantes!$F$45</f>
        <v>0</v>
      </c>
      <c r="R338" s="170">
        <f>IF(Escenarios!$F$14&gt;0,K338*Escenarios!$F$13/Escenarios!$F$14,0)</f>
        <v>0</v>
      </c>
      <c r="S338" s="170">
        <f>IF(Escenarios!$F$14&gt;0,Q338*Escenarios!$F$13/Escenarios!$F$14,0)</f>
        <v>0</v>
      </c>
      <c r="T338" s="170">
        <f>IF(Escenarios!$F$14&gt;0,Observaciones!$I337,0)</f>
        <v>0</v>
      </c>
      <c r="U338" s="170">
        <f>IF(Escenarios!$F$14&gt;0,MAX(0,Constantes!$F$36/((Z337+R338+S338+T338+Observaciones!$F337)^2)+Entradas!$F$77),0)</f>
        <v>0</v>
      </c>
      <c r="V338" s="146">
        <f>IF(ETo!D337&gt;0,ETo!I337*((1-Entradas!$F$81)*ETo!K337+ETo!L337),0)</f>
        <v>4.1671074784492941</v>
      </c>
      <c r="W338" s="170">
        <f>IF(Escenarios!$F$14&gt;0,MIN(V338*1,0.8*(Z337+R338+S338+T338+Observaciones!$F337-U338-Constantes!$F$35)),0)</f>
        <v>4.1671074784492941</v>
      </c>
      <c r="X338" s="170">
        <f>IF(Escenarios!$F$14&gt;0,Observaciones!$J337,0)</f>
        <v>0</v>
      </c>
      <c r="Y338" s="170">
        <f>IF(Escenarios!$F$14&gt;0,MAX(0,Z337+R338+S338+T338+Observaciones!$F337-U338-W338-X338-Constantes!$F$33),0)</f>
        <v>0</v>
      </c>
      <c r="Z338" s="170">
        <f>Z337+R338+S338+T338+Observaciones!$F337-U338-W338-Y338</f>
        <v>51.296703494587092</v>
      </c>
      <c r="AA338" s="170">
        <f>IF(Escenarios!$F$14&gt;0,(Escenarios!$F$13*L338+Escenarios!$F$14*W338)/(Escenarios!$F$16),L338)</f>
        <v>2.8512345622063489</v>
      </c>
      <c r="AB338" s="170">
        <f>IF(Escenarios!$F$14&gt;0,(Escenarios!$F$14*Y338)/(Escenarios!$F$16),K338)</f>
        <v>0</v>
      </c>
      <c r="AC338" s="170">
        <f>IF(Escenarios!$F$14&gt;0,(Escenarios!$F$13*M338+Escenarios!$F$14*U338)/(Escenarios!$F$16),M338)</f>
        <v>0</v>
      </c>
      <c r="AD338" s="76">
        <f t="shared" si="71"/>
        <v>59.851211883939939</v>
      </c>
      <c r="AE338" s="76">
        <f>MAX(0,(AD338-Constantes!$D$13)*(1-EXP(-Constantes!$D$23)))</f>
        <v>0.10938288479512964</v>
      </c>
      <c r="AF338" s="76">
        <f>AB338+O338*Escenarios!$F$13/Escenarios!$F$16+AE338</f>
        <v>0.80895072567125226</v>
      </c>
      <c r="AG338" s="76">
        <f>IF(Entradas!$F$91&gt;0,IF(AF338-Escenarios!$F$38&lt;=0,0,IF(AF338-Escenarios!$F$38&gt;Escenarios!$F$37,Escenarios!$F$37,AF338-Escenarios!$F$38)),0)</f>
        <v>0</v>
      </c>
      <c r="AH338" s="76">
        <f>AG338*Entradas!$F$99</f>
        <v>0</v>
      </c>
      <c r="AI338" s="76">
        <f>IF(Entradas!$F$91&gt;0,D338*Entradas!$D$23/Escenarios!$F$16,0)</f>
        <v>0.2248704693774802</v>
      </c>
      <c r="AJ338" s="76">
        <f>IF(Entradas!$F$91&gt;0,Entradas!$D$24*Entradas!$D$22/Escenarios!$F$16,0)</f>
        <v>0.12</v>
      </c>
      <c r="AK338" s="76">
        <f t="shared" si="72"/>
        <v>3.076105031583829</v>
      </c>
      <c r="AL338" s="76">
        <f t="shared" si="73"/>
        <v>0</v>
      </c>
      <c r="AM338" s="76">
        <f t="shared" si="74"/>
        <v>0</v>
      </c>
      <c r="AN338" s="76">
        <f>MAX(0,O338*Escenarios!$F$13/Escenarios!$F$16-AM338)</f>
        <v>0.69956784087612267</v>
      </c>
      <c r="AO338" s="76">
        <f>AM338+AN338-O338*Escenarios!$F$13/Escenarios!$F$16</f>
        <v>0</v>
      </c>
      <c r="AP338" s="76">
        <f t="shared" si="75"/>
        <v>0.10938288479512964</v>
      </c>
      <c r="AQ338" s="76">
        <f t="shared" si="76"/>
        <v>0</v>
      </c>
      <c r="AR338" s="76">
        <f t="shared" si="77"/>
        <v>0.80895072567125226</v>
      </c>
      <c r="AS338" s="76">
        <f t="shared" si="78"/>
        <v>0</v>
      </c>
      <c r="AT338" s="76">
        <f t="shared" si="79"/>
        <v>0</v>
      </c>
      <c r="AU338" s="76">
        <f t="shared" si="80"/>
        <v>49.048208289567647</v>
      </c>
      <c r="AV338" s="76">
        <f>MAX(0,(AU338-Constantes!$D$13)*(1-EXP(-Constantes!$D$24)))</f>
        <v>4.5581873830421596E-3</v>
      </c>
      <c r="AW338" s="170">
        <f>AW337+(Entradas!$F$112*AT338-AX337)/(800*Entradas!$D$25)</f>
        <v>0</v>
      </c>
      <c r="AX338" s="170">
        <f>8000*Entradas!$D$26*AW338/Constantes!$F$45</f>
        <v>0</v>
      </c>
      <c r="AY338" s="170">
        <f>IF(Escenarios!$F$17&gt;0,10*Escenarios!$F$16*AL338,0)</f>
        <v>0</v>
      </c>
      <c r="AZ338" s="170">
        <f>IF(Escenarios!$F$17&gt;0,10*Escenarios!$F$16*AX338,0)</f>
        <v>0</v>
      </c>
      <c r="BA338" s="170">
        <f>IF(Escenarios!$F$17&gt;0,0.001*Observaciones!$F337*Escenarios!$F$17,0)</f>
        <v>0</v>
      </c>
      <c r="BB338" s="170">
        <f>IF(Escenarios!$F$17&gt;0,Observaciones!$K337,0)</f>
        <v>0</v>
      </c>
      <c r="BC338" s="170">
        <f>IF(Escenarios!$F$17&gt;0,MIN(0.0005*ETo!$M337*Escenarios!$F$17*(BG337/Constantes!$F$40)^(2/3),BG337+AY338+AZ338+BA338+BB338),0)</f>
        <v>0</v>
      </c>
      <c r="BD338" s="170">
        <f>IF(Escenarios!$F$17&gt;0,MIN(Constantes!$F$39*(BG337/Constantes!$F$40)^(2/3),BG337+AY338+AZ338+BA338+BB338-BC338),0)</f>
        <v>0</v>
      </c>
      <c r="BE338" s="170">
        <f>IF(Escenarios!$F$17&gt;0,MIN(Entradas!$F$113,BG337+AY338+AZ338+BA338+BB338-BC338-BD338),0)</f>
        <v>0</v>
      </c>
      <c r="BF338" s="170">
        <f>IF(Escenarios!$F$17&gt;0,MAX(0,BG337+AY338+AZ338+BA338+BB338-BC338-BD338-BE338-Constantes!$F$40),0)</f>
        <v>0</v>
      </c>
      <c r="BG338" s="170">
        <f t="shared" si="81"/>
        <v>0</v>
      </c>
      <c r="BH338" s="170">
        <f>(Escenarios!$F$16*AK338+0.1*BC338)/(Escenarios!$F$19)</f>
        <v>3.076105031583829</v>
      </c>
      <c r="BI338" s="170">
        <f>IF(Escenarios!$F$17&gt;0,BF338/10/Escenarios!$F$19,AL338)</f>
        <v>0</v>
      </c>
      <c r="BJ338" s="170">
        <f>(Escenarios!$F$16*AT338+0.1*BD338)/(Escenarios!$F$19)</f>
        <v>0</v>
      </c>
      <c r="BK338" s="76">
        <f>BK337+(0.1*BD338)/(Escenarios!$F$19)-BL337</f>
        <v>48.75</v>
      </c>
      <c r="BL338" s="76">
        <f>MAX(0,(BK338-Constantes!$D$13)*(1-EXP(-Constantes!$D$23)))</f>
        <v>0</v>
      </c>
      <c r="BM338" s="76">
        <f t="shared" si="82"/>
        <v>0.1139410721781718</v>
      </c>
      <c r="BN338" s="76">
        <f t="shared" si="83"/>
        <v>0.8135089130542944</v>
      </c>
      <c r="BO338" s="76">
        <f>0.0526*BI338*Observaciones!$F337^1.218</f>
        <v>0</v>
      </c>
      <c r="BP338" s="76">
        <f>BO338*Constantes!$F$51</f>
        <v>0</v>
      </c>
      <c r="BQ338" s="76">
        <f t="shared" si="84"/>
        <v>0</v>
      </c>
      <c r="BR338" s="40"/>
    </row>
    <row r="339" spans="2:70">
      <c r="B339" s="39"/>
      <c r="C339" s="75">
        <v>333</v>
      </c>
      <c r="D339" s="146">
        <f>ETo!$I338*((1-Constantes!$F$19)*ETo!$K338+ETo!$L338)</f>
        <v>4.5642975054174348</v>
      </c>
      <c r="E339" s="76">
        <f>MIN(D339*Constantes!$F$17,0.8*(N338+Observaciones!$F338-F339-M339-Constantes!$D$14))</f>
        <v>2.6030725325652009</v>
      </c>
      <c r="F339" s="76">
        <f>IF(Observaciones!$F338&gt;0.05*Constantes!$F$18,((Observaciones!$F338-0.05*Constantes!$F$18)^2)/(Observaciones!$F338+0.95*Constantes!$F$18),0)</f>
        <v>0</v>
      </c>
      <c r="G339" s="76">
        <f>IF(Escenarios!$F$11&gt;0,(F339*Escenarios!$F$16*10000)/1000,0)</f>
        <v>0</v>
      </c>
      <c r="H339" s="76">
        <f>IF(Escenarios!$F$11&gt;0,(Observaciones!$F338*Constantes!$F$29)/1000,0)</f>
        <v>0</v>
      </c>
      <c r="I339" s="76">
        <f>IF(Escenarios!$F$11&gt;0,(D339*Constantes!$F$29)/1000,0)</f>
        <v>0</v>
      </c>
      <c r="J339" s="76">
        <f>IF(Escenarios!$F$11&gt;0,MAX(0,G339+H339-I339),0)</f>
        <v>0</v>
      </c>
      <c r="K339" s="76">
        <f>IF(Escenarios!$F$11&gt;0,IF(J339&gt;Constantes!$F$30,1000*((J339-Constantes!$F$30)/(Escenarios!$F$16*10000)),0),F339)</f>
        <v>0</v>
      </c>
      <c r="L339" s="76">
        <f>IF(Escenarios!$F$11&gt;0,I339*1000/Escenarios!$F$16/10000+E339,E339)</f>
        <v>2.6030725325652009</v>
      </c>
      <c r="M339" s="76">
        <f>MAX(0,N338+Observaciones!$F338-K339-Constantes!$D$13)</f>
        <v>0</v>
      </c>
      <c r="N339" s="76">
        <f>N338+Observaciones!$F338-K339-L339-M339-O338</f>
        <v>31.189538338134955</v>
      </c>
      <c r="O339" s="76">
        <f>MAX(0,(N339-Constantes!$D$14)*(1-EXP(-Constantes!$D$22)))</f>
        <v>0.67921387534065991</v>
      </c>
      <c r="P339" s="170">
        <f>P338+(Entradas!$F$83*M339-Q338)/(800*Entradas!$D$25)</f>
        <v>0</v>
      </c>
      <c r="Q339" s="170">
        <f>8000*Entradas!$D$26*P339/Constantes!$F$45</f>
        <v>0</v>
      </c>
      <c r="R339" s="170">
        <f>IF(Escenarios!$F$14&gt;0,K339*Escenarios!$F$13/Escenarios!$F$14,0)</f>
        <v>0</v>
      </c>
      <c r="S339" s="170">
        <f>IF(Escenarios!$F$14&gt;0,Q339*Escenarios!$F$13/Escenarios!$F$14,0)</f>
        <v>0</v>
      </c>
      <c r="T339" s="170">
        <f>IF(Escenarios!$F$14&gt;0,Observaciones!$I338,0)</f>
        <v>0</v>
      </c>
      <c r="U339" s="170">
        <f>IF(Escenarios!$F$14&gt;0,MAX(0,Constantes!$F$36/((Z338+R339+S339+T339+Observaciones!$F338)^2)+Entradas!$F$77),0)</f>
        <v>0</v>
      </c>
      <c r="V339" s="146">
        <f>IF(ETo!D338&gt;0,ETo!I338*((1-Entradas!$F$81)*ETo!K338+ETo!L338),0)</f>
        <v>4.0579338998649988</v>
      </c>
      <c r="W339" s="170">
        <f>IF(Escenarios!$F$14&gt;0,MIN(V339*1,0.8*(Z338+R339+S339+T339+Observaciones!$F338-U339-Constantes!$F$35)),0)</f>
        <v>4.0579338998649988</v>
      </c>
      <c r="X339" s="170">
        <f>IF(Escenarios!$F$14&gt;0,Observaciones!$J338,0)</f>
        <v>0</v>
      </c>
      <c r="Y339" s="170">
        <f>IF(Escenarios!$F$14&gt;0,MAX(0,Z338+R339+S339+T339+Observaciones!$F338-U339-W339-X339-Constantes!$F$33),0)</f>
        <v>0</v>
      </c>
      <c r="Z339" s="170">
        <f>Z338+R339+S339+T339+Observaciones!$F338-U339-W339-Y339</f>
        <v>47.238769594722093</v>
      </c>
      <c r="AA339" s="170">
        <f>IF(Escenarios!$F$14&gt;0,(Escenarios!$F$13*L339+Escenarios!$F$14*W339)/(Escenarios!$F$16),L339)</f>
        <v>2.7776558966411762</v>
      </c>
      <c r="AB339" s="170">
        <f>IF(Escenarios!$F$14&gt;0,(Escenarios!$F$14*Y339)/(Escenarios!$F$16),K339)</f>
        <v>0</v>
      </c>
      <c r="AC339" s="170">
        <f>IF(Escenarios!$F$14&gt;0,(Escenarios!$F$13*M339+Escenarios!$F$14*U339)/(Escenarios!$F$16),M339)</f>
        <v>0</v>
      </c>
      <c r="AD339" s="76">
        <f t="shared" si="71"/>
        <v>59.741828999144808</v>
      </c>
      <c r="AE339" s="76">
        <f>MAX(0,(AD339-Constantes!$D$13)*(1-EXP(-Constantes!$D$23)))</f>
        <v>0.10830510917826983</v>
      </c>
      <c r="AF339" s="76">
        <f>AB339+O339*Escenarios!$F$13/Escenarios!$F$16+AE339</f>
        <v>0.70601331947805057</v>
      </c>
      <c r="AG339" s="76">
        <f>IF(Entradas!$F$91&gt;0,IF(AF339-Escenarios!$F$38&lt;=0,0,IF(AF339-Escenarios!$F$38&gt;Escenarios!$F$37,Escenarios!$F$37,AF339-Escenarios!$F$38)),0)</f>
        <v>0</v>
      </c>
      <c r="AH339" s="76">
        <f>AG339*Entradas!$F$99</f>
        <v>0</v>
      </c>
      <c r="AI339" s="76">
        <f>IF(Entradas!$F$91&gt;0,D339*Entradas!$D$23/Escenarios!$F$16,0)</f>
        <v>0.21908628026003685</v>
      </c>
      <c r="AJ339" s="76">
        <f>IF(Entradas!$F$91&gt;0,Entradas!$D$24*Entradas!$D$22/Escenarios!$F$16,0)</f>
        <v>0.12</v>
      </c>
      <c r="AK339" s="76">
        <f t="shared" si="72"/>
        <v>2.996742176901213</v>
      </c>
      <c r="AL339" s="76">
        <f t="shared" si="73"/>
        <v>0</v>
      </c>
      <c r="AM339" s="76">
        <f t="shared" si="74"/>
        <v>0</v>
      </c>
      <c r="AN339" s="76">
        <f>MAX(0,O339*Escenarios!$F$13/Escenarios!$F$16-AM339)</f>
        <v>0.59770821029978072</v>
      </c>
      <c r="AO339" s="76">
        <f>AM339+AN339-O339*Escenarios!$F$13/Escenarios!$F$16</f>
        <v>0</v>
      </c>
      <c r="AP339" s="76">
        <f t="shared" si="75"/>
        <v>0.10830510917826983</v>
      </c>
      <c r="AQ339" s="76">
        <f t="shared" si="76"/>
        <v>0</v>
      </c>
      <c r="AR339" s="76">
        <f t="shared" si="77"/>
        <v>0.70601331947805057</v>
      </c>
      <c r="AS339" s="76">
        <f t="shared" si="78"/>
        <v>0</v>
      </c>
      <c r="AT339" s="76">
        <f t="shared" si="79"/>
        <v>0</v>
      </c>
      <c r="AU339" s="76">
        <f t="shared" si="80"/>
        <v>49.043650102184607</v>
      </c>
      <c r="AV339" s="76">
        <f>MAX(0,(AU339-Constantes!$D$13)*(1-EXP(-Constantes!$D$24)))</f>
        <v>4.488514362721234E-3</v>
      </c>
      <c r="AW339" s="170">
        <f>AW338+(Entradas!$F$112*AT339-AX338)/(800*Entradas!$D$25)</f>
        <v>0</v>
      </c>
      <c r="AX339" s="170">
        <f>8000*Entradas!$D$26*AW339/Constantes!$F$45</f>
        <v>0</v>
      </c>
      <c r="AY339" s="170">
        <f>IF(Escenarios!$F$17&gt;0,10*Escenarios!$F$16*AL339,0)</f>
        <v>0</v>
      </c>
      <c r="AZ339" s="170">
        <f>IF(Escenarios!$F$17&gt;0,10*Escenarios!$F$16*AX339,0)</f>
        <v>0</v>
      </c>
      <c r="BA339" s="170">
        <f>IF(Escenarios!$F$17&gt;0,0.001*Observaciones!$F338*Escenarios!$F$17,0)</f>
        <v>0</v>
      </c>
      <c r="BB339" s="170">
        <f>IF(Escenarios!$F$17&gt;0,Observaciones!$K338,0)</f>
        <v>0</v>
      </c>
      <c r="BC339" s="170">
        <f>IF(Escenarios!$F$17&gt;0,MIN(0.0005*ETo!$M338*Escenarios!$F$17*(BG338/Constantes!$F$40)^(2/3),BG338+AY339+AZ339+BA339+BB339),0)</f>
        <v>0</v>
      </c>
      <c r="BD339" s="170">
        <f>IF(Escenarios!$F$17&gt;0,MIN(Constantes!$F$39*(BG338/Constantes!$F$40)^(2/3),BG338+AY339+AZ339+BA339+BB339-BC339),0)</f>
        <v>0</v>
      </c>
      <c r="BE339" s="170">
        <f>IF(Escenarios!$F$17&gt;0,MIN(Entradas!$F$113,BG338+AY339+AZ339+BA339+BB339-BC339-BD339),0)</f>
        <v>0</v>
      </c>
      <c r="BF339" s="170">
        <f>IF(Escenarios!$F$17&gt;0,MAX(0,BG338+AY339+AZ339+BA339+BB339-BC339-BD339-BE339-Constantes!$F$40),0)</f>
        <v>0</v>
      </c>
      <c r="BG339" s="170">
        <f t="shared" si="81"/>
        <v>0</v>
      </c>
      <c r="BH339" s="170">
        <f>(Escenarios!$F$16*AK339+0.1*BC339)/(Escenarios!$F$19)</f>
        <v>2.996742176901213</v>
      </c>
      <c r="BI339" s="170">
        <f>IF(Escenarios!$F$17&gt;0,BF339/10/Escenarios!$F$19,AL339)</f>
        <v>0</v>
      </c>
      <c r="BJ339" s="170">
        <f>(Escenarios!$F$16*AT339+0.1*BD339)/(Escenarios!$F$19)</f>
        <v>0</v>
      </c>
      <c r="BK339" s="76">
        <f>BK338+(0.1*BD339)/(Escenarios!$F$19)-BL338</f>
        <v>48.75</v>
      </c>
      <c r="BL339" s="76">
        <f>MAX(0,(BK339-Constantes!$D$13)*(1-EXP(-Constantes!$D$23)))</f>
        <v>0</v>
      </c>
      <c r="BM339" s="76">
        <f t="shared" si="82"/>
        <v>0.11279362354099107</v>
      </c>
      <c r="BN339" s="76">
        <f t="shared" si="83"/>
        <v>0.71050183384077181</v>
      </c>
      <c r="BO339" s="76">
        <f>0.0526*BI339*Observaciones!$F338^1.218</f>
        <v>0</v>
      </c>
      <c r="BP339" s="76">
        <f>BO339*Constantes!$F$51</f>
        <v>0</v>
      </c>
      <c r="BQ339" s="76">
        <f t="shared" si="84"/>
        <v>0</v>
      </c>
      <c r="BR339" s="40"/>
    </row>
    <row r="340" spans="2:70">
      <c r="B340" s="39"/>
      <c r="C340" s="75">
        <v>334</v>
      </c>
      <c r="D340" s="146">
        <f>ETo!$I339*((1-Constantes!$F$19)*ETo!$K339+ETo!$L339)</f>
        <v>4.4622230163980179</v>
      </c>
      <c r="E340" s="76">
        <f>MIN(D340*Constantes!$F$17,0.8*(N339+Observaciones!$F339-F340-M340-Constantes!$D$14))</f>
        <v>2.5448582513254916</v>
      </c>
      <c r="F340" s="76">
        <f>IF(Observaciones!$F339&gt;0.05*Constantes!$F$18,((Observaciones!$F339-0.05*Constantes!$F$18)^2)/(Observaciones!$F339+0.95*Constantes!$F$18),0)</f>
        <v>0</v>
      </c>
      <c r="G340" s="76">
        <f>IF(Escenarios!$F$11&gt;0,(F340*Escenarios!$F$16*10000)/1000,0)</f>
        <v>0</v>
      </c>
      <c r="H340" s="76">
        <f>IF(Escenarios!$F$11&gt;0,(Observaciones!$F339*Constantes!$F$29)/1000,0)</f>
        <v>0</v>
      </c>
      <c r="I340" s="76">
        <f>IF(Escenarios!$F$11&gt;0,(D340*Constantes!$F$29)/1000,0)</f>
        <v>0</v>
      </c>
      <c r="J340" s="76">
        <f>IF(Escenarios!$F$11&gt;0,MAX(0,G340+H340-I340),0)</f>
        <v>0</v>
      </c>
      <c r="K340" s="76">
        <f>IF(Escenarios!$F$11&gt;0,IF(J340&gt;Constantes!$F$30,1000*((J340-Constantes!$F$30)/(Escenarios!$F$16*10000)),0),F340)</f>
        <v>0</v>
      </c>
      <c r="L340" s="76">
        <f>IF(Escenarios!$F$11&gt;0,I340*1000/Escenarios!$F$16/10000+E340,E340)</f>
        <v>2.5448582513254916</v>
      </c>
      <c r="M340" s="76">
        <f>MAX(0,N339+Observaciones!$F339-K340-Constantes!$D$13)</f>
        <v>0</v>
      </c>
      <c r="N340" s="76">
        <f>N339+Observaciones!$F339-K340-L340-M340-O339</f>
        <v>27.965466211468804</v>
      </c>
      <c r="O340" s="76">
        <f>MAX(0,(N340-Constantes!$D$14)*(1-EXP(-Constantes!$D$22)))</f>
        <v>0.56939014289533063</v>
      </c>
      <c r="P340" s="170">
        <f>P339+(Entradas!$F$83*M340-Q339)/(800*Entradas!$D$25)</f>
        <v>0</v>
      </c>
      <c r="Q340" s="170">
        <f>8000*Entradas!$D$26*P340/Constantes!$F$45</f>
        <v>0</v>
      </c>
      <c r="R340" s="170">
        <f>IF(Escenarios!$F$14&gt;0,K340*Escenarios!$F$13/Escenarios!$F$14,0)</f>
        <v>0</v>
      </c>
      <c r="S340" s="170">
        <f>IF(Escenarios!$F$14&gt;0,Q340*Escenarios!$F$13/Escenarios!$F$14,0)</f>
        <v>0</v>
      </c>
      <c r="T340" s="170">
        <f>IF(Escenarios!$F$14&gt;0,Observaciones!$I339,0)</f>
        <v>0</v>
      </c>
      <c r="U340" s="170">
        <f>IF(Escenarios!$F$14&gt;0,MAX(0,Constantes!$F$36/((Z339+R340+S340+T340+Observaciones!$F339)^2)+Entradas!$F$77),0)</f>
        <v>0</v>
      </c>
      <c r="V340" s="146">
        <f>IF(ETo!D339&gt;0,ETo!I339*((1-Entradas!$F$81)*ETo!K339+ETo!L339),0)</f>
        <v>3.9657716918075887</v>
      </c>
      <c r="W340" s="170">
        <f>IF(Escenarios!$F$14&gt;0,MIN(V340*1,0.8*(Z339+R340+S340+T340+Observaciones!$F339-U340-Constantes!$F$35)),0)</f>
        <v>3.9657716918075887</v>
      </c>
      <c r="X340" s="170">
        <f>IF(Escenarios!$F$14&gt;0,Observaciones!$J339,0)</f>
        <v>0</v>
      </c>
      <c r="Y340" s="170">
        <f>IF(Escenarios!$F$14&gt;0,MAX(0,Z339+R340+S340+T340+Observaciones!$F339-U340-W340-X340-Constantes!$F$33),0)</f>
        <v>0</v>
      </c>
      <c r="Z340" s="170">
        <f>Z339+R340+S340+T340+Observaciones!$F339-U340-W340-Y340</f>
        <v>43.272997902914504</v>
      </c>
      <c r="AA340" s="170">
        <f>IF(Escenarios!$F$14&gt;0,(Escenarios!$F$13*L340+Escenarios!$F$14*W340)/(Escenarios!$F$16),L340)</f>
        <v>2.7153678641833432</v>
      </c>
      <c r="AB340" s="170">
        <f>IF(Escenarios!$F$14&gt;0,(Escenarios!$F$14*Y340)/(Escenarios!$F$16),K340)</f>
        <v>0</v>
      </c>
      <c r="AC340" s="170">
        <f>IF(Escenarios!$F$14&gt;0,(Escenarios!$F$13*M340+Escenarios!$F$14*U340)/(Escenarios!$F$16),M340)</f>
        <v>0</v>
      </c>
      <c r="AD340" s="76">
        <f t="shared" si="71"/>
        <v>59.63352388996654</v>
      </c>
      <c r="AE340" s="76">
        <f>MAX(0,(AD340-Constantes!$D$13)*(1-EXP(-Constantes!$D$23)))</f>
        <v>0.10723795314126913</v>
      </c>
      <c r="AF340" s="76">
        <f>AB340+O340*Escenarios!$F$13/Escenarios!$F$16+AE340</f>
        <v>0.60830127888916008</v>
      </c>
      <c r="AG340" s="76">
        <f>IF(Entradas!$F$91&gt;0,IF(AF340-Escenarios!$F$38&lt;=0,0,IF(AF340-Escenarios!$F$38&gt;Escenarios!$F$37,Escenarios!$F$37,AF340-Escenarios!$F$38)),0)</f>
        <v>0</v>
      </c>
      <c r="AH340" s="76">
        <f>AG340*Entradas!$F$99</f>
        <v>0</v>
      </c>
      <c r="AI340" s="76">
        <f>IF(Entradas!$F$91&gt;0,D340*Entradas!$D$23/Escenarios!$F$16,0)</f>
        <v>0.21418670478710486</v>
      </c>
      <c r="AJ340" s="76">
        <f>IF(Entradas!$F$91&gt;0,Entradas!$D$24*Entradas!$D$22/Escenarios!$F$16,0)</f>
        <v>0.12</v>
      </c>
      <c r="AK340" s="76">
        <f t="shared" si="72"/>
        <v>2.9295545689704481</v>
      </c>
      <c r="AL340" s="76">
        <f t="shared" si="73"/>
        <v>0</v>
      </c>
      <c r="AM340" s="76">
        <f t="shared" si="74"/>
        <v>0</v>
      </c>
      <c r="AN340" s="76">
        <f>MAX(0,O340*Escenarios!$F$13/Escenarios!$F$16-AM340)</f>
        <v>0.50106332574789092</v>
      </c>
      <c r="AO340" s="76">
        <f>AM340+AN340-O340*Escenarios!$F$13/Escenarios!$F$16</f>
        <v>0</v>
      </c>
      <c r="AP340" s="76">
        <f t="shared" si="75"/>
        <v>0.10723795314126913</v>
      </c>
      <c r="AQ340" s="76">
        <f t="shared" si="76"/>
        <v>0</v>
      </c>
      <c r="AR340" s="76">
        <f t="shared" si="77"/>
        <v>0.60830127888916008</v>
      </c>
      <c r="AS340" s="76">
        <f t="shared" si="78"/>
        <v>0</v>
      </c>
      <c r="AT340" s="76">
        <f t="shared" si="79"/>
        <v>0</v>
      </c>
      <c r="AU340" s="76">
        <f t="shared" si="80"/>
        <v>49.039161587821887</v>
      </c>
      <c r="AV340" s="76">
        <f>MAX(0,(AU340-Constantes!$D$13)*(1-EXP(-Constantes!$D$24)))</f>
        <v>4.4199063117297084E-3</v>
      </c>
      <c r="AW340" s="170">
        <f>AW339+(Entradas!$F$112*AT340-AX339)/(800*Entradas!$D$25)</f>
        <v>0</v>
      </c>
      <c r="AX340" s="170">
        <f>8000*Entradas!$D$26*AW340/Constantes!$F$45</f>
        <v>0</v>
      </c>
      <c r="AY340" s="170">
        <f>IF(Escenarios!$F$17&gt;0,10*Escenarios!$F$16*AL340,0)</f>
        <v>0</v>
      </c>
      <c r="AZ340" s="170">
        <f>IF(Escenarios!$F$17&gt;0,10*Escenarios!$F$16*AX340,0)</f>
        <v>0</v>
      </c>
      <c r="BA340" s="170">
        <f>IF(Escenarios!$F$17&gt;0,0.001*Observaciones!$F339*Escenarios!$F$17,0)</f>
        <v>0</v>
      </c>
      <c r="BB340" s="170">
        <f>IF(Escenarios!$F$17&gt;0,Observaciones!$K339,0)</f>
        <v>0</v>
      </c>
      <c r="BC340" s="170">
        <f>IF(Escenarios!$F$17&gt;0,MIN(0.0005*ETo!$M339*Escenarios!$F$17*(BG339/Constantes!$F$40)^(2/3),BG339+AY340+AZ340+BA340+BB340),0)</f>
        <v>0</v>
      </c>
      <c r="BD340" s="170">
        <f>IF(Escenarios!$F$17&gt;0,MIN(Constantes!$F$39*(BG339/Constantes!$F$40)^(2/3),BG339+AY340+AZ340+BA340+BB340-BC340),0)</f>
        <v>0</v>
      </c>
      <c r="BE340" s="170">
        <f>IF(Escenarios!$F$17&gt;0,MIN(Entradas!$F$113,BG339+AY340+AZ340+BA340+BB340-BC340-BD340),0)</f>
        <v>0</v>
      </c>
      <c r="BF340" s="170">
        <f>IF(Escenarios!$F$17&gt;0,MAX(0,BG339+AY340+AZ340+BA340+BB340-BC340-BD340-BE340-Constantes!$F$40),0)</f>
        <v>0</v>
      </c>
      <c r="BG340" s="170">
        <f t="shared" si="81"/>
        <v>0</v>
      </c>
      <c r="BH340" s="170">
        <f>(Escenarios!$F$16*AK340+0.1*BC340)/(Escenarios!$F$19)</f>
        <v>2.9295545689704481</v>
      </c>
      <c r="BI340" s="170">
        <f>IF(Escenarios!$F$17&gt;0,BF340/10/Escenarios!$F$19,AL340)</f>
        <v>0</v>
      </c>
      <c r="BJ340" s="170">
        <f>(Escenarios!$F$16*AT340+0.1*BD340)/(Escenarios!$F$19)</f>
        <v>0</v>
      </c>
      <c r="BK340" s="76">
        <f>BK339+(0.1*BD340)/(Escenarios!$F$19)-BL339</f>
        <v>48.75</v>
      </c>
      <c r="BL340" s="76">
        <f>MAX(0,(BK340-Constantes!$D$13)*(1-EXP(-Constantes!$D$23)))</f>
        <v>0</v>
      </c>
      <c r="BM340" s="76">
        <f t="shared" si="82"/>
        <v>0.11165785945299884</v>
      </c>
      <c r="BN340" s="76">
        <f t="shared" si="83"/>
        <v>0.61272118520088981</v>
      </c>
      <c r="BO340" s="76">
        <f>0.0526*BI340*Observaciones!$F339^1.218</f>
        <v>0</v>
      </c>
      <c r="BP340" s="76">
        <f>BO340*Constantes!$F$51</f>
        <v>0</v>
      </c>
      <c r="BQ340" s="76">
        <f t="shared" si="84"/>
        <v>0</v>
      </c>
      <c r="BR340" s="40"/>
    </row>
    <row r="341" spans="2:70">
      <c r="B341" s="39"/>
      <c r="C341" s="75">
        <v>335</v>
      </c>
      <c r="D341" s="146">
        <f>ETo!$I340*((1-Constantes!$F$19)*ETo!$K340+ETo!$L340)</f>
        <v>4.3739202233659009</v>
      </c>
      <c r="E341" s="76">
        <f>MIN(D341*Constantes!$F$17,0.8*(N340+Observaciones!$F340-F341-M341-Constantes!$D$14))</f>
        <v>2.4944981302295575</v>
      </c>
      <c r="F341" s="76">
        <f>IF(Observaciones!$F340&gt;0.05*Constantes!$F$18,((Observaciones!$F340-0.05*Constantes!$F$18)^2)/(Observaciones!$F340+0.95*Constantes!$F$18),0)</f>
        <v>0</v>
      </c>
      <c r="G341" s="76">
        <f>IF(Escenarios!$F$11&gt;0,(F341*Escenarios!$F$16*10000)/1000,0)</f>
        <v>0</v>
      </c>
      <c r="H341" s="76">
        <f>IF(Escenarios!$F$11&gt;0,(Observaciones!$F340*Constantes!$F$29)/1000,0)</f>
        <v>0</v>
      </c>
      <c r="I341" s="76">
        <f>IF(Escenarios!$F$11&gt;0,(D341*Constantes!$F$29)/1000,0)</f>
        <v>0</v>
      </c>
      <c r="J341" s="76">
        <f>IF(Escenarios!$F$11&gt;0,MAX(0,G341+H341-I341),0)</f>
        <v>0</v>
      </c>
      <c r="K341" s="76">
        <f>IF(Escenarios!$F$11&gt;0,IF(J341&gt;Constantes!$F$30,1000*((J341-Constantes!$F$30)/(Escenarios!$F$16*10000)),0),F341)</f>
        <v>0</v>
      </c>
      <c r="L341" s="76">
        <f>IF(Escenarios!$F$11&gt;0,I341*1000/Escenarios!$F$16/10000+E341,E341)</f>
        <v>2.4944981302295575</v>
      </c>
      <c r="M341" s="76">
        <f>MAX(0,N340+Observaciones!$F340-K341-Constantes!$D$13)</f>
        <v>0</v>
      </c>
      <c r="N341" s="76">
        <f>N340+Observaciones!$F340-K341-L341-M341-O340</f>
        <v>24.901577938343916</v>
      </c>
      <c r="O341" s="76">
        <f>MAX(0,(N341-Constantes!$D$14)*(1-EXP(-Constantes!$D$22)))</f>
        <v>0.46502286054858161</v>
      </c>
      <c r="P341" s="170">
        <f>P340+(Entradas!$F$83*M341-Q340)/(800*Entradas!$D$25)</f>
        <v>0</v>
      </c>
      <c r="Q341" s="170">
        <f>8000*Entradas!$D$26*P341/Constantes!$F$45</f>
        <v>0</v>
      </c>
      <c r="R341" s="170">
        <f>IF(Escenarios!$F$14&gt;0,K341*Escenarios!$F$13/Escenarios!$F$14,0)</f>
        <v>0</v>
      </c>
      <c r="S341" s="170">
        <f>IF(Escenarios!$F$14&gt;0,Q341*Escenarios!$F$13/Escenarios!$F$14,0)</f>
        <v>0</v>
      </c>
      <c r="T341" s="170">
        <f>IF(Escenarios!$F$14&gt;0,Observaciones!$I340,0)</f>
        <v>0</v>
      </c>
      <c r="U341" s="170">
        <f>IF(Escenarios!$F$14&gt;0,MAX(0,Constantes!$F$36/((Z340+R341+S341+T341+Observaciones!$F340)^2)+Entradas!$F$77),0)</f>
        <v>0</v>
      </c>
      <c r="V341" s="146">
        <f>IF(ETo!D340&gt;0,ETo!I340*((1-Entradas!$F$81)*ETo!K340+ETo!L340),0)</f>
        <v>3.8862677025646755</v>
      </c>
      <c r="W341" s="170">
        <f>IF(Escenarios!$F$14&gt;0,MIN(V341*1,0.8*(Z340+R341+S341+T341+Observaciones!$F340-U341-Constantes!$F$35)),0)</f>
        <v>1.6183983223316034</v>
      </c>
      <c r="X341" s="170">
        <f>IF(Escenarios!$F$14&gt;0,Observaciones!$J340,0)</f>
        <v>0</v>
      </c>
      <c r="Y341" s="170">
        <f>IF(Escenarios!$F$14&gt;0,MAX(0,Z340+R341+S341+T341+Observaciones!$F340-U341-W341-X341-Constantes!$F$33),0)</f>
        <v>0</v>
      </c>
      <c r="Z341" s="170">
        <f>Z340+R341+S341+T341+Observaciones!$F340-U341-W341-Y341</f>
        <v>41.654599580582904</v>
      </c>
      <c r="AA341" s="170">
        <f>IF(Escenarios!$F$14&gt;0,(Escenarios!$F$13*L341+Escenarios!$F$14*W341)/(Escenarios!$F$16),L341)</f>
        <v>2.3893661532818031</v>
      </c>
      <c r="AB341" s="170">
        <f>IF(Escenarios!$F$14&gt;0,(Escenarios!$F$14*Y341)/(Escenarios!$F$16),K341)</f>
        <v>0</v>
      </c>
      <c r="AC341" s="170">
        <f>IF(Escenarios!$F$14&gt;0,(Escenarios!$F$13*M341+Escenarios!$F$14*U341)/(Escenarios!$F$16),M341)</f>
        <v>0</v>
      </c>
      <c r="AD341" s="76">
        <f t="shared" si="71"/>
        <v>59.526285936825268</v>
      </c>
      <c r="AE341" s="76">
        <f>MAX(0,(AD341-Constantes!$D$13)*(1-EXP(-Constantes!$D$23)))</f>
        <v>0.10618131204687771</v>
      </c>
      <c r="AF341" s="76">
        <f>AB341+O341*Escenarios!$F$13/Escenarios!$F$16+AE341</f>
        <v>0.51540142932962951</v>
      </c>
      <c r="AG341" s="76">
        <f>IF(Entradas!$F$91&gt;0,IF(AF341-Escenarios!$F$38&lt;=0,0,IF(AF341-Escenarios!$F$38&gt;Escenarios!$F$37,Escenarios!$F$37,AF341-Escenarios!$F$38)),0)</f>
        <v>0</v>
      </c>
      <c r="AH341" s="76">
        <f>AG341*Entradas!$F$99</f>
        <v>0</v>
      </c>
      <c r="AI341" s="76">
        <f>IF(Entradas!$F$91&gt;0,D341*Entradas!$D$23/Escenarios!$F$16,0)</f>
        <v>0.20994817072156327</v>
      </c>
      <c r="AJ341" s="76">
        <f>IF(Entradas!$F$91&gt;0,Entradas!$D$24*Entradas!$D$22/Escenarios!$F$16,0)</f>
        <v>0.12</v>
      </c>
      <c r="AK341" s="76">
        <f t="shared" si="72"/>
        <v>2.5993143240033665</v>
      </c>
      <c r="AL341" s="76">
        <f t="shared" si="73"/>
        <v>0</v>
      </c>
      <c r="AM341" s="76">
        <f t="shared" si="74"/>
        <v>0</v>
      </c>
      <c r="AN341" s="76">
        <f>MAX(0,O341*Escenarios!$F$13/Escenarios!$F$16-AM341)</f>
        <v>0.40922011728275182</v>
      </c>
      <c r="AO341" s="76">
        <f>AM341+AN341-O341*Escenarios!$F$13/Escenarios!$F$16</f>
        <v>0</v>
      </c>
      <c r="AP341" s="76">
        <f t="shared" si="75"/>
        <v>0.10618131204687771</v>
      </c>
      <c r="AQ341" s="76">
        <f t="shared" si="76"/>
        <v>0</v>
      </c>
      <c r="AR341" s="76">
        <f t="shared" si="77"/>
        <v>0.51540142932962951</v>
      </c>
      <c r="AS341" s="76">
        <f t="shared" si="78"/>
        <v>0</v>
      </c>
      <c r="AT341" s="76">
        <f t="shared" si="79"/>
        <v>0</v>
      </c>
      <c r="AU341" s="76">
        <f t="shared" si="80"/>
        <v>49.034741681510155</v>
      </c>
      <c r="AV341" s="76">
        <f>MAX(0,(AU341-Constantes!$D$13)*(1-EXP(-Constantes!$D$24)))</f>
        <v>4.3523469517482202E-3</v>
      </c>
      <c r="AW341" s="170">
        <f>AW340+(Entradas!$F$112*AT341-AX340)/(800*Entradas!$D$25)</f>
        <v>0</v>
      </c>
      <c r="AX341" s="170">
        <f>8000*Entradas!$D$26*AW341/Constantes!$F$45</f>
        <v>0</v>
      </c>
      <c r="AY341" s="170">
        <f>IF(Escenarios!$F$17&gt;0,10*Escenarios!$F$16*AL341,0)</f>
        <v>0</v>
      </c>
      <c r="AZ341" s="170">
        <f>IF(Escenarios!$F$17&gt;0,10*Escenarios!$F$16*AX341,0)</f>
        <v>0</v>
      </c>
      <c r="BA341" s="170">
        <f>IF(Escenarios!$F$17&gt;0,0.001*Observaciones!$F340*Escenarios!$F$17,0)</f>
        <v>0</v>
      </c>
      <c r="BB341" s="170">
        <f>IF(Escenarios!$F$17&gt;0,Observaciones!$K340,0)</f>
        <v>0</v>
      </c>
      <c r="BC341" s="170">
        <f>IF(Escenarios!$F$17&gt;0,MIN(0.0005*ETo!$M340*Escenarios!$F$17*(BG340/Constantes!$F$40)^(2/3),BG340+AY341+AZ341+BA341+BB341),0)</f>
        <v>0</v>
      </c>
      <c r="BD341" s="170">
        <f>IF(Escenarios!$F$17&gt;0,MIN(Constantes!$F$39*(BG340/Constantes!$F$40)^(2/3),BG340+AY341+AZ341+BA341+BB341-BC341),0)</f>
        <v>0</v>
      </c>
      <c r="BE341" s="170">
        <f>IF(Escenarios!$F$17&gt;0,MIN(Entradas!$F$113,BG340+AY341+AZ341+BA341+BB341-BC341-BD341),0)</f>
        <v>0</v>
      </c>
      <c r="BF341" s="170">
        <f>IF(Escenarios!$F$17&gt;0,MAX(0,BG340+AY341+AZ341+BA341+BB341-BC341-BD341-BE341-Constantes!$F$40),0)</f>
        <v>0</v>
      </c>
      <c r="BG341" s="170">
        <f t="shared" si="81"/>
        <v>0</v>
      </c>
      <c r="BH341" s="170">
        <f>(Escenarios!$F$16*AK341+0.1*BC341)/(Escenarios!$F$19)</f>
        <v>2.5993143240033665</v>
      </c>
      <c r="BI341" s="170">
        <f>IF(Escenarios!$F$17&gt;0,BF341/10/Escenarios!$F$19,AL341)</f>
        <v>0</v>
      </c>
      <c r="BJ341" s="170">
        <f>(Escenarios!$F$16*AT341+0.1*BD341)/(Escenarios!$F$19)</f>
        <v>0</v>
      </c>
      <c r="BK341" s="76">
        <f>BK340+(0.1*BD341)/(Escenarios!$F$19)-BL340</f>
        <v>48.75</v>
      </c>
      <c r="BL341" s="76">
        <f>MAX(0,(BK341-Constantes!$D$13)*(1-EXP(-Constantes!$D$23)))</f>
        <v>0</v>
      </c>
      <c r="BM341" s="76">
        <f t="shared" si="82"/>
        <v>0.11053365899862592</v>
      </c>
      <c r="BN341" s="76">
        <f t="shared" si="83"/>
        <v>0.51975377628137776</v>
      </c>
      <c r="BO341" s="76">
        <f>0.0526*BI341*Observaciones!$F340^1.218</f>
        <v>0</v>
      </c>
      <c r="BP341" s="76">
        <f>BO341*Constantes!$F$51</f>
        <v>0</v>
      </c>
      <c r="BQ341" s="76">
        <f t="shared" si="84"/>
        <v>0</v>
      </c>
      <c r="BR341" s="40"/>
    </row>
    <row r="342" spans="2:70">
      <c r="B342" s="39"/>
      <c r="C342" s="75">
        <v>336</v>
      </c>
      <c r="D342" s="146">
        <f>ETo!$I341*((1-Constantes!$F$19)*ETo!$K341+ETo!$L341)</f>
        <v>4.3880840474474061</v>
      </c>
      <c r="E342" s="76">
        <f>MIN(D342*Constantes!$F$17,0.8*(N341+Observaciones!$F341-F342-M342-Constantes!$D$14))</f>
        <v>2.5025759256359459</v>
      </c>
      <c r="F342" s="76">
        <f>IF(Observaciones!$F341&gt;0.05*Constantes!$F$18,((Observaciones!$F341-0.05*Constantes!$F$18)^2)/(Observaciones!$F341+0.95*Constantes!$F$18),0)</f>
        <v>0</v>
      </c>
      <c r="G342" s="76">
        <f>IF(Escenarios!$F$11&gt;0,(F342*Escenarios!$F$16*10000)/1000,0)</f>
        <v>0</v>
      </c>
      <c r="H342" s="76">
        <f>IF(Escenarios!$F$11&gt;0,(Observaciones!$F341*Constantes!$F$29)/1000,0)</f>
        <v>0</v>
      </c>
      <c r="I342" s="76">
        <f>IF(Escenarios!$F$11&gt;0,(D342*Constantes!$F$29)/1000,0)</f>
        <v>0</v>
      </c>
      <c r="J342" s="76">
        <f>IF(Escenarios!$F$11&gt;0,MAX(0,G342+H342-I342),0)</f>
        <v>0</v>
      </c>
      <c r="K342" s="76">
        <f>IF(Escenarios!$F$11&gt;0,IF(J342&gt;Constantes!$F$30,1000*((J342-Constantes!$F$30)/(Escenarios!$F$16*10000)),0),F342)</f>
        <v>0</v>
      </c>
      <c r="L342" s="76">
        <f>IF(Escenarios!$F$11&gt;0,I342*1000/Escenarios!$F$16/10000+E342,E342)</f>
        <v>2.5025759256359459</v>
      </c>
      <c r="M342" s="76">
        <f>MAX(0,N341+Observaciones!$F341-K342-Constantes!$D$13)</f>
        <v>0</v>
      </c>
      <c r="N342" s="76">
        <f>N341+Observaciones!$F341-K342-L342-M342-O341</f>
        <v>21.933979152159388</v>
      </c>
      <c r="O342" s="76">
        <f>MAX(0,(N342-Constantes!$D$14)*(1-EXP(-Constantes!$D$22)))</f>
        <v>0.36393555161296437</v>
      </c>
      <c r="P342" s="170">
        <f>P341+(Entradas!$F$83*M342-Q341)/(800*Entradas!$D$25)</f>
        <v>0</v>
      </c>
      <c r="Q342" s="170">
        <f>8000*Entradas!$D$26*P342/Constantes!$F$45</f>
        <v>0</v>
      </c>
      <c r="R342" s="170">
        <f>IF(Escenarios!$F$14&gt;0,K342*Escenarios!$F$13/Escenarios!$F$14,0)</f>
        <v>0</v>
      </c>
      <c r="S342" s="170">
        <f>IF(Escenarios!$F$14&gt;0,Q342*Escenarios!$F$13/Escenarios!$F$14,0)</f>
        <v>0</v>
      </c>
      <c r="T342" s="170">
        <f>IF(Escenarios!$F$14&gt;0,Observaciones!$I341,0)</f>
        <v>0</v>
      </c>
      <c r="U342" s="170">
        <f>IF(Escenarios!$F$14&gt;0,MAX(0,Constantes!$F$36/((Z341+R342+S342+T342+Observaciones!$F341)^2)+Entradas!$F$77),0)</f>
        <v>0</v>
      </c>
      <c r="V342" s="146">
        <f>IF(ETo!D341&gt;0,ETo!I341*((1-Entradas!$F$81)*ETo!K341+ETo!L341),0)</f>
        <v>3.8990102703996672</v>
      </c>
      <c r="W342" s="170">
        <f>IF(Escenarios!$F$14&gt;0,MIN(V342*1,0.8*(Z341+R342+S342+T342+Observaciones!$F341-U342-Constantes!$F$35)),0)</f>
        <v>0.32367966446632296</v>
      </c>
      <c r="X342" s="170">
        <f>IF(Escenarios!$F$14&gt;0,Observaciones!$J341,0)</f>
        <v>0</v>
      </c>
      <c r="Y342" s="170">
        <f>IF(Escenarios!$F$14&gt;0,MAX(0,Z341+R342+S342+T342+Observaciones!$F341-U342-W342-X342-Constantes!$F$33),0)</f>
        <v>0</v>
      </c>
      <c r="Z342" s="170">
        <f>Z341+R342+S342+T342+Observaciones!$F341-U342-W342-Y342</f>
        <v>41.330919916116578</v>
      </c>
      <c r="AA342" s="170">
        <f>IF(Escenarios!$F$14&gt;0,(Escenarios!$F$13*L342+Escenarios!$F$14*W342)/(Escenarios!$F$16),L342)</f>
        <v>2.2411083742955906</v>
      </c>
      <c r="AB342" s="170">
        <f>IF(Escenarios!$F$14&gt;0,(Escenarios!$F$14*Y342)/(Escenarios!$F$16),K342)</f>
        <v>0</v>
      </c>
      <c r="AC342" s="170">
        <f>IF(Escenarios!$F$14&gt;0,(Escenarios!$F$13*M342+Escenarios!$F$14*U342)/(Escenarios!$F$16),M342)</f>
        <v>0</v>
      </c>
      <c r="AD342" s="76">
        <f t="shared" si="71"/>
        <v>59.420104624778389</v>
      </c>
      <c r="AE342" s="76">
        <f>MAX(0,(AD342-Constantes!$D$13)*(1-EXP(-Constantes!$D$23)))</f>
        <v>0.10513508228886166</v>
      </c>
      <c r="AF342" s="76">
        <f>AB342+O342*Escenarios!$F$13/Escenarios!$F$16+AE342</f>
        <v>0.42539836770827028</v>
      </c>
      <c r="AG342" s="76">
        <f>IF(Entradas!$F$91&gt;0,IF(AF342-Escenarios!$F$38&lt;=0,0,IF(AF342-Escenarios!$F$38&gt;Escenarios!$F$37,Escenarios!$F$37,AF342-Escenarios!$F$38)),0)</f>
        <v>0</v>
      </c>
      <c r="AH342" s="76">
        <f>AG342*Entradas!$F$99</f>
        <v>0</v>
      </c>
      <c r="AI342" s="76">
        <f>IF(Entradas!$F$91&gt;0,D342*Entradas!$D$23/Escenarios!$F$16,0)</f>
        <v>0.21062803427747548</v>
      </c>
      <c r="AJ342" s="76">
        <f>IF(Entradas!$F$91&gt;0,Entradas!$D$24*Entradas!$D$22/Escenarios!$F$16,0)</f>
        <v>0.12</v>
      </c>
      <c r="AK342" s="76">
        <f t="shared" si="72"/>
        <v>2.451736408573066</v>
      </c>
      <c r="AL342" s="76">
        <f t="shared" si="73"/>
        <v>0</v>
      </c>
      <c r="AM342" s="76">
        <f t="shared" si="74"/>
        <v>0</v>
      </c>
      <c r="AN342" s="76">
        <f>MAX(0,O342*Escenarios!$F$13/Escenarios!$F$16-AM342)</f>
        <v>0.32026328541940863</v>
      </c>
      <c r="AO342" s="76">
        <f>AM342+AN342-O342*Escenarios!$F$13/Escenarios!$F$16</f>
        <v>0</v>
      </c>
      <c r="AP342" s="76">
        <f t="shared" si="75"/>
        <v>0.10513508228886166</v>
      </c>
      <c r="AQ342" s="76">
        <f t="shared" si="76"/>
        <v>0</v>
      </c>
      <c r="AR342" s="76">
        <f t="shared" si="77"/>
        <v>0.42539836770827028</v>
      </c>
      <c r="AS342" s="76">
        <f t="shared" si="78"/>
        <v>0</v>
      </c>
      <c r="AT342" s="76">
        <f t="shared" si="79"/>
        <v>0</v>
      </c>
      <c r="AU342" s="76">
        <f t="shared" si="80"/>
        <v>49.030389334558407</v>
      </c>
      <c r="AV342" s="76">
        <f>MAX(0,(AU342-Constantes!$D$13)*(1-EXP(-Constantes!$D$24)))</f>
        <v>4.2858202532756748E-3</v>
      </c>
      <c r="AW342" s="170">
        <f>AW341+(Entradas!$F$112*AT342-AX341)/(800*Entradas!$D$25)</f>
        <v>0</v>
      </c>
      <c r="AX342" s="170">
        <f>8000*Entradas!$D$26*AW342/Constantes!$F$45</f>
        <v>0</v>
      </c>
      <c r="AY342" s="170">
        <f>IF(Escenarios!$F$17&gt;0,10*Escenarios!$F$16*AL342,0)</f>
        <v>0</v>
      </c>
      <c r="AZ342" s="170">
        <f>IF(Escenarios!$F$17&gt;0,10*Escenarios!$F$16*AX342,0)</f>
        <v>0</v>
      </c>
      <c r="BA342" s="170">
        <f>IF(Escenarios!$F$17&gt;0,0.001*Observaciones!$F341*Escenarios!$F$17,0)</f>
        <v>0</v>
      </c>
      <c r="BB342" s="170">
        <f>IF(Escenarios!$F$17&gt;0,Observaciones!$K341,0)</f>
        <v>0</v>
      </c>
      <c r="BC342" s="170">
        <f>IF(Escenarios!$F$17&gt;0,MIN(0.0005*ETo!$M341*Escenarios!$F$17*(BG341/Constantes!$F$40)^(2/3),BG341+AY342+AZ342+BA342+BB342),0)</f>
        <v>0</v>
      </c>
      <c r="BD342" s="170">
        <f>IF(Escenarios!$F$17&gt;0,MIN(Constantes!$F$39*(BG341/Constantes!$F$40)^(2/3),BG341+AY342+AZ342+BA342+BB342-BC342),0)</f>
        <v>0</v>
      </c>
      <c r="BE342" s="170">
        <f>IF(Escenarios!$F$17&gt;0,MIN(Entradas!$F$113,BG341+AY342+AZ342+BA342+BB342-BC342-BD342),0)</f>
        <v>0</v>
      </c>
      <c r="BF342" s="170">
        <f>IF(Escenarios!$F$17&gt;0,MAX(0,BG341+AY342+AZ342+BA342+BB342-BC342-BD342-BE342-Constantes!$F$40),0)</f>
        <v>0</v>
      </c>
      <c r="BG342" s="170">
        <f t="shared" si="81"/>
        <v>0</v>
      </c>
      <c r="BH342" s="170">
        <f>(Escenarios!$F$16*AK342+0.1*BC342)/(Escenarios!$F$19)</f>
        <v>2.451736408573066</v>
      </c>
      <c r="BI342" s="170">
        <f>IF(Escenarios!$F$17&gt;0,BF342/10/Escenarios!$F$19,AL342)</f>
        <v>0</v>
      </c>
      <c r="BJ342" s="170">
        <f>(Escenarios!$F$16*AT342+0.1*BD342)/(Escenarios!$F$19)</f>
        <v>0</v>
      </c>
      <c r="BK342" s="76">
        <f>BK341+(0.1*BD342)/(Escenarios!$F$19)-BL341</f>
        <v>48.75</v>
      </c>
      <c r="BL342" s="76">
        <f>MAX(0,(BK342-Constantes!$D$13)*(1-EXP(-Constantes!$D$23)))</f>
        <v>0</v>
      </c>
      <c r="BM342" s="76">
        <f t="shared" si="82"/>
        <v>0.10942090254213734</v>
      </c>
      <c r="BN342" s="76">
        <f t="shared" si="83"/>
        <v>0.42968418796154595</v>
      </c>
      <c r="BO342" s="76">
        <f>0.0526*BI342*Observaciones!$F341^1.218</f>
        <v>0</v>
      </c>
      <c r="BP342" s="76">
        <f>BO342*Constantes!$F$51</f>
        <v>0</v>
      </c>
      <c r="BQ342" s="76">
        <f t="shared" si="84"/>
        <v>0</v>
      </c>
      <c r="BR342" s="40"/>
    </row>
    <row r="343" spans="2:70">
      <c r="B343" s="39"/>
      <c r="C343" s="75">
        <v>337</v>
      </c>
      <c r="D343" s="146">
        <f>ETo!$I342*((1-Constantes!$F$19)*ETo!$K342+ETo!$L342)</f>
        <v>4.504653967367962</v>
      </c>
      <c r="E343" s="76">
        <f>MIN(D343*Constantes!$F$17,0.8*(N342+Observaciones!$F342-F343-M343-Constantes!$D$14))</f>
        <v>2.5690571215501836</v>
      </c>
      <c r="F343" s="76">
        <f>IF(Observaciones!$F342&gt;0.05*Constantes!$F$18,((Observaciones!$F342-0.05*Constantes!$F$18)^2)/(Observaciones!$F342+0.95*Constantes!$F$18),0)</f>
        <v>0</v>
      </c>
      <c r="G343" s="76">
        <f>IF(Escenarios!$F$11&gt;0,(F343*Escenarios!$F$16*10000)/1000,0)</f>
        <v>0</v>
      </c>
      <c r="H343" s="76">
        <f>IF(Escenarios!$F$11&gt;0,(Observaciones!$F342*Constantes!$F$29)/1000,0)</f>
        <v>0</v>
      </c>
      <c r="I343" s="76">
        <f>IF(Escenarios!$F$11&gt;0,(D343*Constantes!$F$29)/1000,0)</f>
        <v>0</v>
      </c>
      <c r="J343" s="76">
        <f>IF(Escenarios!$F$11&gt;0,MAX(0,G343+H343-I343),0)</f>
        <v>0</v>
      </c>
      <c r="K343" s="76">
        <f>IF(Escenarios!$F$11&gt;0,IF(J343&gt;Constantes!$F$30,1000*((J343-Constantes!$F$30)/(Escenarios!$F$16*10000)),0),F343)</f>
        <v>0</v>
      </c>
      <c r="L343" s="76">
        <f>IF(Escenarios!$F$11&gt;0,I343*1000/Escenarios!$F$16/10000+E343,E343)</f>
        <v>2.5690571215501836</v>
      </c>
      <c r="M343" s="76">
        <f>MAX(0,N342+Observaciones!$F342-K343-Constantes!$D$13)</f>
        <v>0</v>
      </c>
      <c r="N343" s="76">
        <f>N342+Observaciones!$F342-K343-L343-M343-O342</f>
        <v>19.000986478996239</v>
      </c>
      <c r="O343" s="76">
        <f>MAX(0,(N343-Constantes!$D$14)*(1-EXP(-Constantes!$D$22)))</f>
        <v>0.26402705392849707</v>
      </c>
      <c r="P343" s="170">
        <f>P342+(Entradas!$F$83*M343-Q342)/(800*Entradas!$D$25)</f>
        <v>0</v>
      </c>
      <c r="Q343" s="170">
        <f>8000*Entradas!$D$26*P343/Constantes!$F$45</f>
        <v>0</v>
      </c>
      <c r="R343" s="170">
        <f>IF(Escenarios!$F$14&gt;0,K343*Escenarios!$F$13/Escenarios!$F$14,0)</f>
        <v>0</v>
      </c>
      <c r="S343" s="170">
        <f>IF(Escenarios!$F$14&gt;0,Q343*Escenarios!$F$13/Escenarios!$F$14,0)</f>
        <v>0</v>
      </c>
      <c r="T343" s="170">
        <f>IF(Escenarios!$F$14&gt;0,Observaciones!$I342,0)</f>
        <v>0</v>
      </c>
      <c r="U343" s="170">
        <f>IF(Escenarios!$F$14&gt;0,MAX(0,Constantes!$F$36/((Z342+R343+S343+T343+Observaciones!$F342)^2)+Entradas!$F$77),0)</f>
        <v>0</v>
      </c>
      <c r="V343" s="146">
        <f>IF(ETo!D342&gt;0,ETo!I342*((1-Entradas!$F$81)*ETo!K342+ETo!L342),0)</f>
        <v>4.0040574804245797</v>
      </c>
      <c r="W343" s="170">
        <f>IF(Escenarios!$F$14&gt;0,MIN(V343*1,0.8*(Z342+R343+S343+T343+Observaciones!$F342-U343-Constantes!$F$35)),0)</f>
        <v>6.4735932893262321E-2</v>
      </c>
      <c r="X343" s="170">
        <f>IF(Escenarios!$F$14&gt;0,Observaciones!$J342,0)</f>
        <v>0</v>
      </c>
      <c r="Y343" s="170">
        <f>IF(Escenarios!$F$14&gt;0,MAX(0,Z342+R343+S343+T343+Observaciones!$F342-U343-W343-X343-Constantes!$F$33),0)</f>
        <v>0</v>
      </c>
      <c r="Z343" s="170">
        <f>Z342+R343+S343+T343+Observaciones!$F342-U343-W343-Y343</f>
        <v>41.266183983223314</v>
      </c>
      <c r="AA343" s="170">
        <f>IF(Escenarios!$F$14&gt;0,(Escenarios!$F$13*L343+Escenarios!$F$14*W343)/(Escenarios!$F$16),L343)</f>
        <v>2.2685385789113535</v>
      </c>
      <c r="AB343" s="170">
        <f>IF(Escenarios!$F$14&gt;0,(Escenarios!$F$14*Y343)/(Escenarios!$F$16),K343)</f>
        <v>0</v>
      </c>
      <c r="AC343" s="170">
        <f>IF(Escenarios!$F$14&gt;0,(Escenarios!$F$13*M343+Escenarios!$F$14*U343)/(Escenarios!$F$16),M343)</f>
        <v>0</v>
      </c>
      <c r="AD343" s="76">
        <f t="shared" si="71"/>
        <v>59.314969542489528</v>
      </c>
      <c r="AE343" s="76">
        <f>MAX(0,(AD343-Constantes!$D$13)*(1-EXP(-Constantes!$D$23)))</f>
        <v>0.10409916128184386</v>
      </c>
      <c r="AF343" s="76">
        <f>AB343+O343*Escenarios!$F$13/Escenarios!$F$16+AE343</f>
        <v>0.33644296873892127</v>
      </c>
      <c r="AG343" s="76">
        <f>IF(Entradas!$F$91&gt;0,IF(AF343-Escenarios!$F$38&lt;=0,0,IF(AF343-Escenarios!$F$38&gt;Escenarios!$F$37,Escenarios!$F$37,AF343-Escenarios!$F$38)),0)</f>
        <v>0</v>
      </c>
      <c r="AH343" s="76">
        <f>AG343*Entradas!$F$99</f>
        <v>0</v>
      </c>
      <c r="AI343" s="76">
        <f>IF(Entradas!$F$91&gt;0,D343*Entradas!$D$23/Escenarios!$F$16,0)</f>
        <v>0.21622339043366218</v>
      </c>
      <c r="AJ343" s="76">
        <f>IF(Entradas!$F$91&gt;0,Entradas!$D$24*Entradas!$D$22/Escenarios!$F$16,0)</f>
        <v>0.12</v>
      </c>
      <c r="AK343" s="76">
        <f t="shared" si="72"/>
        <v>2.4847619693450156</v>
      </c>
      <c r="AL343" s="76">
        <f t="shared" si="73"/>
        <v>0</v>
      </c>
      <c r="AM343" s="76">
        <f t="shared" si="74"/>
        <v>0</v>
      </c>
      <c r="AN343" s="76">
        <f>MAX(0,O343*Escenarios!$F$13/Escenarios!$F$16-AM343)</f>
        <v>0.23234380745707742</v>
      </c>
      <c r="AO343" s="76">
        <f>AM343+AN343-O343*Escenarios!$F$13/Escenarios!$F$16</f>
        <v>0</v>
      </c>
      <c r="AP343" s="76">
        <f t="shared" si="75"/>
        <v>0.10409916128184386</v>
      </c>
      <c r="AQ343" s="76">
        <f t="shared" si="76"/>
        <v>0</v>
      </c>
      <c r="AR343" s="76">
        <f t="shared" si="77"/>
        <v>0.33644296873892127</v>
      </c>
      <c r="AS343" s="76">
        <f t="shared" si="78"/>
        <v>0</v>
      </c>
      <c r="AT343" s="76">
        <f t="shared" si="79"/>
        <v>0</v>
      </c>
      <c r="AU343" s="76">
        <f t="shared" si="80"/>
        <v>49.026103514305134</v>
      </c>
      <c r="AV343" s="76">
        <f>MAX(0,(AU343-Constantes!$D$13)*(1-EXP(-Constantes!$D$24)))</f>
        <v>4.2203104318257832E-3</v>
      </c>
      <c r="AW343" s="170">
        <f>AW342+(Entradas!$F$112*AT343-AX342)/(800*Entradas!$D$25)</f>
        <v>0</v>
      </c>
      <c r="AX343" s="170">
        <f>8000*Entradas!$D$26*AW343/Constantes!$F$45</f>
        <v>0</v>
      </c>
      <c r="AY343" s="170">
        <f>IF(Escenarios!$F$17&gt;0,10*Escenarios!$F$16*AL343,0)</f>
        <v>0</v>
      </c>
      <c r="AZ343" s="170">
        <f>IF(Escenarios!$F$17&gt;0,10*Escenarios!$F$16*AX343,0)</f>
        <v>0</v>
      </c>
      <c r="BA343" s="170">
        <f>IF(Escenarios!$F$17&gt;0,0.001*Observaciones!$F342*Escenarios!$F$17,0)</f>
        <v>0</v>
      </c>
      <c r="BB343" s="170">
        <f>IF(Escenarios!$F$17&gt;0,Observaciones!$K342,0)</f>
        <v>0</v>
      </c>
      <c r="BC343" s="170">
        <f>IF(Escenarios!$F$17&gt;0,MIN(0.0005*ETo!$M342*Escenarios!$F$17*(BG342/Constantes!$F$40)^(2/3),BG342+AY343+AZ343+BA343+BB343),0)</f>
        <v>0</v>
      </c>
      <c r="BD343" s="170">
        <f>IF(Escenarios!$F$17&gt;0,MIN(Constantes!$F$39*(BG342/Constantes!$F$40)^(2/3),BG342+AY343+AZ343+BA343+BB343-BC343),0)</f>
        <v>0</v>
      </c>
      <c r="BE343" s="170">
        <f>IF(Escenarios!$F$17&gt;0,MIN(Entradas!$F$113,BG342+AY343+AZ343+BA343+BB343-BC343-BD343),0)</f>
        <v>0</v>
      </c>
      <c r="BF343" s="170">
        <f>IF(Escenarios!$F$17&gt;0,MAX(0,BG342+AY343+AZ343+BA343+BB343-BC343-BD343-BE343-Constantes!$F$40),0)</f>
        <v>0</v>
      </c>
      <c r="BG343" s="170">
        <f t="shared" si="81"/>
        <v>0</v>
      </c>
      <c r="BH343" s="170">
        <f>(Escenarios!$F$16*AK343+0.1*BC343)/(Escenarios!$F$19)</f>
        <v>2.4847619693450156</v>
      </c>
      <c r="BI343" s="170">
        <f>IF(Escenarios!$F$17&gt;0,BF343/10/Escenarios!$F$19,AL343)</f>
        <v>0</v>
      </c>
      <c r="BJ343" s="170">
        <f>(Escenarios!$F$16*AT343+0.1*BD343)/(Escenarios!$F$19)</f>
        <v>0</v>
      </c>
      <c r="BK343" s="76">
        <f>BK342+(0.1*BD343)/(Escenarios!$F$19)-BL342</f>
        <v>48.75</v>
      </c>
      <c r="BL343" s="76">
        <f>MAX(0,(BK343-Constantes!$D$13)*(1-EXP(-Constantes!$D$23)))</f>
        <v>0</v>
      </c>
      <c r="BM343" s="76">
        <f t="shared" si="82"/>
        <v>0.10831947171366965</v>
      </c>
      <c r="BN343" s="76">
        <f t="shared" si="83"/>
        <v>0.34066327917074707</v>
      </c>
      <c r="BO343" s="76">
        <f>0.0526*BI343*Observaciones!$F342^1.218</f>
        <v>0</v>
      </c>
      <c r="BP343" s="76">
        <f>BO343*Constantes!$F$51</f>
        <v>0</v>
      </c>
      <c r="BQ343" s="76">
        <f t="shared" si="84"/>
        <v>0</v>
      </c>
      <c r="BR343" s="40"/>
    </row>
    <row r="344" spans="2:70">
      <c r="B344" s="39"/>
      <c r="C344" s="75">
        <v>338</v>
      </c>
      <c r="D344" s="146">
        <f>ETo!$I343*((1-Constantes!$F$19)*ETo!$K343+ETo!$L343)</f>
        <v>4.5001123237698586</v>
      </c>
      <c r="E344" s="76">
        <f>MIN(D344*Constantes!$F$17,0.8*(N343+Observaciones!$F343-F344-M344-Constantes!$D$14))</f>
        <v>2.5664669688073158</v>
      </c>
      <c r="F344" s="76">
        <f>IF(Observaciones!$F343&gt;0.05*Constantes!$F$18,((Observaciones!$F343-0.05*Constantes!$F$18)^2)/(Observaciones!$F343+0.95*Constantes!$F$18),0)</f>
        <v>0</v>
      </c>
      <c r="G344" s="76">
        <f>IF(Escenarios!$F$11&gt;0,(F344*Escenarios!$F$16*10000)/1000,0)</f>
        <v>0</v>
      </c>
      <c r="H344" s="76">
        <f>IF(Escenarios!$F$11&gt;0,(Observaciones!$F343*Constantes!$F$29)/1000,0)</f>
        <v>0</v>
      </c>
      <c r="I344" s="76">
        <f>IF(Escenarios!$F$11&gt;0,(D344*Constantes!$F$29)/1000,0)</f>
        <v>0</v>
      </c>
      <c r="J344" s="76">
        <f>IF(Escenarios!$F$11&gt;0,MAX(0,G344+H344-I344),0)</f>
        <v>0</v>
      </c>
      <c r="K344" s="76">
        <f>IF(Escenarios!$F$11&gt;0,IF(J344&gt;Constantes!$F$30,1000*((J344-Constantes!$F$30)/(Escenarios!$F$16*10000)),0),F344)</f>
        <v>0</v>
      </c>
      <c r="L344" s="76">
        <f>IF(Escenarios!$F$11&gt;0,I344*1000/Escenarios!$F$16/10000+E344,E344)</f>
        <v>2.5664669688073158</v>
      </c>
      <c r="M344" s="76">
        <f>MAX(0,N343+Observaciones!$F343-K344-Constantes!$D$13)</f>
        <v>0</v>
      </c>
      <c r="N344" s="76">
        <f>N343+Observaciones!$F343-K344-L344-M344-O343</f>
        <v>16.170492456260426</v>
      </c>
      <c r="O344" s="76">
        <f>MAX(0,(N344-Constantes!$D$14)*(1-EXP(-Constantes!$D$22)))</f>
        <v>0.16761003655783371</v>
      </c>
      <c r="P344" s="170">
        <f>P343+(Entradas!$F$83*M344-Q343)/(800*Entradas!$D$25)</f>
        <v>0</v>
      </c>
      <c r="Q344" s="170">
        <f>8000*Entradas!$D$26*P344/Constantes!$F$45</f>
        <v>0</v>
      </c>
      <c r="R344" s="170">
        <f>IF(Escenarios!$F$14&gt;0,K344*Escenarios!$F$13/Escenarios!$F$14,0)</f>
        <v>0</v>
      </c>
      <c r="S344" s="170">
        <f>IF(Escenarios!$F$14&gt;0,Q344*Escenarios!$F$13/Escenarios!$F$14,0)</f>
        <v>0</v>
      </c>
      <c r="T344" s="170">
        <f>IF(Escenarios!$F$14&gt;0,Observaciones!$I343,0)</f>
        <v>0</v>
      </c>
      <c r="U344" s="170">
        <f>IF(Escenarios!$F$14&gt;0,MAX(0,Constantes!$F$36/((Z343+R344+S344+T344+Observaciones!$F343)^2)+Entradas!$F$77),0)</f>
        <v>0</v>
      </c>
      <c r="V344" s="146">
        <f>IF(ETo!D343&gt;0,ETo!I343*((1-Entradas!$F$81)*ETo!K343+ETo!L343),0)</f>
        <v>3.9999597599768881</v>
      </c>
      <c r="W344" s="170">
        <f>IF(Escenarios!$F$14&gt;0,MIN(V344*1,0.8*(Z343+R344+S344+T344+Observaciones!$F343-U344-Constantes!$F$35)),0)</f>
        <v>1.2947186578651328E-2</v>
      </c>
      <c r="X344" s="170">
        <f>IF(Escenarios!$F$14&gt;0,Observaciones!$J343,0)</f>
        <v>0</v>
      </c>
      <c r="Y344" s="170">
        <f>IF(Escenarios!$F$14&gt;0,MAX(0,Z343+R344+S344+T344+Observaciones!$F343-U344-W344-X344-Constantes!$F$33),0)</f>
        <v>0</v>
      </c>
      <c r="Z344" s="170">
        <f>Z343+R344+S344+T344+Observaciones!$F343-U344-W344-Y344</f>
        <v>41.253236796644664</v>
      </c>
      <c r="AA344" s="170">
        <f>IF(Escenarios!$F$14&gt;0,(Escenarios!$F$13*L344+Escenarios!$F$14*W344)/(Escenarios!$F$16),L344)</f>
        <v>2.2600445949398758</v>
      </c>
      <c r="AB344" s="170">
        <f>IF(Escenarios!$F$14&gt;0,(Escenarios!$F$14*Y344)/(Escenarios!$F$16),K344)</f>
        <v>0</v>
      </c>
      <c r="AC344" s="170">
        <f>IF(Escenarios!$F$14&gt;0,(Escenarios!$F$13*M344+Escenarios!$F$14*U344)/(Escenarios!$F$16),M344)</f>
        <v>0</v>
      </c>
      <c r="AD344" s="76">
        <f t="shared" si="71"/>
        <v>59.210870381207684</v>
      </c>
      <c r="AE344" s="76">
        <f>MAX(0,(AD344-Constantes!$D$13)*(1-EXP(-Constantes!$D$23)))</f>
        <v>0.10307344745124537</v>
      </c>
      <c r="AF344" s="76">
        <f>AB344+O344*Escenarios!$F$13/Escenarios!$F$16+AE344</f>
        <v>0.25057027962213901</v>
      </c>
      <c r="AG344" s="76">
        <f>IF(Entradas!$F$91&gt;0,IF(AF344-Escenarios!$F$38&lt;=0,0,IF(AF344-Escenarios!$F$38&gt;Escenarios!$F$37,Escenarios!$F$37,AF344-Escenarios!$F$38)),0)</f>
        <v>0</v>
      </c>
      <c r="AH344" s="76">
        <f>AG344*Entradas!$F$99</f>
        <v>0</v>
      </c>
      <c r="AI344" s="76">
        <f>IF(Entradas!$F$91&gt;0,D344*Entradas!$D$23/Escenarios!$F$16,0)</f>
        <v>0.21600539154095322</v>
      </c>
      <c r="AJ344" s="76">
        <f>IF(Entradas!$F$91&gt;0,Entradas!$D$24*Entradas!$D$22/Escenarios!$F$16,0)</f>
        <v>0.12</v>
      </c>
      <c r="AK344" s="76">
        <f t="shared" si="72"/>
        <v>2.4760499864808292</v>
      </c>
      <c r="AL344" s="76">
        <f t="shared" si="73"/>
        <v>0</v>
      </c>
      <c r="AM344" s="76">
        <f t="shared" si="74"/>
        <v>0</v>
      </c>
      <c r="AN344" s="76">
        <f>MAX(0,O344*Escenarios!$F$13/Escenarios!$F$16-AM344)</f>
        <v>0.14749683217089365</v>
      </c>
      <c r="AO344" s="76">
        <f>AM344+AN344-O344*Escenarios!$F$13/Escenarios!$F$16</f>
        <v>0</v>
      </c>
      <c r="AP344" s="76">
        <f t="shared" si="75"/>
        <v>0.10307344745124537</v>
      </c>
      <c r="AQ344" s="76">
        <f t="shared" si="76"/>
        <v>0</v>
      </c>
      <c r="AR344" s="76">
        <f t="shared" si="77"/>
        <v>0.25057027962213901</v>
      </c>
      <c r="AS344" s="76">
        <f t="shared" si="78"/>
        <v>0</v>
      </c>
      <c r="AT344" s="76">
        <f t="shared" si="79"/>
        <v>0</v>
      </c>
      <c r="AU344" s="76">
        <f t="shared" si="80"/>
        <v>49.021883203873308</v>
      </c>
      <c r="AV344" s="76">
        <f>MAX(0,(AU344-Constantes!$D$13)*(1-EXP(-Constantes!$D$24)))</f>
        <v>4.1558019441819234E-3</v>
      </c>
      <c r="AW344" s="170">
        <f>AW343+(Entradas!$F$112*AT344-AX343)/(800*Entradas!$D$25)</f>
        <v>0</v>
      </c>
      <c r="AX344" s="170">
        <f>8000*Entradas!$D$26*AW344/Constantes!$F$45</f>
        <v>0</v>
      </c>
      <c r="AY344" s="170">
        <f>IF(Escenarios!$F$17&gt;0,10*Escenarios!$F$16*AL344,0)</f>
        <v>0</v>
      </c>
      <c r="AZ344" s="170">
        <f>IF(Escenarios!$F$17&gt;0,10*Escenarios!$F$16*AX344,0)</f>
        <v>0</v>
      </c>
      <c r="BA344" s="170">
        <f>IF(Escenarios!$F$17&gt;0,0.001*Observaciones!$F343*Escenarios!$F$17,0)</f>
        <v>0</v>
      </c>
      <c r="BB344" s="170">
        <f>IF(Escenarios!$F$17&gt;0,Observaciones!$K343,0)</f>
        <v>0</v>
      </c>
      <c r="BC344" s="170">
        <f>IF(Escenarios!$F$17&gt;0,MIN(0.0005*ETo!$M343*Escenarios!$F$17*(BG343/Constantes!$F$40)^(2/3),BG343+AY344+AZ344+BA344+BB344),0)</f>
        <v>0</v>
      </c>
      <c r="BD344" s="170">
        <f>IF(Escenarios!$F$17&gt;0,MIN(Constantes!$F$39*(BG343/Constantes!$F$40)^(2/3),BG343+AY344+AZ344+BA344+BB344-BC344),0)</f>
        <v>0</v>
      </c>
      <c r="BE344" s="170">
        <f>IF(Escenarios!$F$17&gt;0,MIN(Entradas!$F$113,BG343+AY344+AZ344+BA344+BB344-BC344-BD344),0)</f>
        <v>0</v>
      </c>
      <c r="BF344" s="170">
        <f>IF(Escenarios!$F$17&gt;0,MAX(0,BG343+AY344+AZ344+BA344+BB344-BC344-BD344-BE344-Constantes!$F$40),0)</f>
        <v>0</v>
      </c>
      <c r="BG344" s="170">
        <f t="shared" si="81"/>
        <v>0</v>
      </c>
      <c r="BH344" s="170">
        <f>(Escenarios!$F$16*AK344+0.1*BC344)/(Escenarios!$F$19)</f>
        <v>2.4760499864808292</v>
      </c>
      <c r="BI344" s="170">
        <f>IF(Escenarios!$F$17&gt;0,BF344/10/Escenarios!$F$19,AL344)</f>
        <v>0</v>
      </c>
      <c r="BJ344" s="170">
        <f>(Escenarios!$F$16*AT344+0.1*BD344)/(Escenarios!$F$19)</f>
        <v>0</v>
      </c>
      <c r="BK344" s="76">
        <f>BK343+(0.1*BD344)/(Escenarios!$F$19)-BL343</f>
        <v>48.75</v>
      </c>
      <c r="BL344" s="76">
        <f>MAX(0,(BK344-Constantes!$D$13)*(1-EXP(-Constantes!$D$23)))</f>
        <v>0</v>
      </c>
      <c r="BM344" s="76">
        <f t="shared" si="82"/>
        <v>0.1072292493954273</v>
      </c>
      <c r="BN344" s="76">
        <f t="shared" si="83"/>
        <v>0.25472608156632093</v>
      </c>
      <c r="BO344" s="76">
        <f>0.0526*BI344*Observaciones!$F343^1.218</f>
        <v>0</v>
      </c>
      <c r="BP344" s="76">
        <f>BO344*Constantes!$F$51</f>
        <v>0</v>
      </c>
      <c r="BQ344" s="76">
        <f t="shared" si="84"/>
        <v>0</v>
      </c>
      <c r="BR344" s="40"/>
    </row>
    <row r="345" spans="2:70">
      <c r="B345" s="39"/>
      <c r="C345" s="75">
        <v>339</v>
      </c>
      <c r="D345" s="146">
        <f>ETo!$I344*((1-Constantes!$F$19)*ETo!$K344+ETo!$L344)</f>
        <v>4.5001950887428697</v>
      </c>
      <c r="E345" s="76">
        <f>MIN(D345*Constantes!$F$17,0.8*(N344+Observaciones!$F344-F345-M345-Constantes!$D$14))</f>
        <v>2.5665141706445422</v>
      </c>
      <c r="F345" s="76">
        <f>IF(Observaciones!$F344&gt;0.05*Constantes!$F$18,((Observaciones!$F344-0.05*Constantes!$F$18)^2)/(Observaciones!$F344+0.95*Constantes!$F$18),0)</f>
        <v>0</v>
      </c>
      <c r="G345" s="76">
        <f>IF(Escenarios!$F$11&gt;0,(F345*Escenarios!$F$16*10000)/1000,0)</f>
        <v>0</v>
      </c>
      <c r="H345" s="76">
        <f>IF(Escenarios!$F$11&gt;0,(Observaciones!$F344*Constantes!$F$29)/1000,0)</f>
        <v>0</v>
      </c>
      <c r="I345" s="76">
        <f>IF(Escenarios!$F$11&gt;0,(D345*Constantes!$F$29)/1000,0)</f>
        <v>0</v>
      </c>
      <c r="J345" s="76">
        <f>IF(Escenarios!$F$11&gt;0,MAX(0,G345+H345-I345),0)</f>
        <v>0</v>
      </c>
      <c r="K345" s="76">
        <f>IF(Escenarios!$F$11&gt;0,IF(J345&gt;Constantes!$F$30,1000*((J345-Constantes!$F$30)/(Escenarios!$F$16*10000)),0),F345)</f>
        <v>0</v>
      </c>
      <c r="L345" s="76">
        <f>IF(Escenarios!$F$11&gt;0,I345*1000/Escenarios!$F$16/10000+E345,E345)</f>
        <v>2.5665141706445422</v>
      </c>
      <c r="M345" s="76">
        <f>MAX(0,N344+Observaciones!$F344-K345-Constantes!$D$13)</f>
        <v>0</v>
      </c>
      <c r="N345" s="76">
        <f>N344+Observaciones!$F344-K345-L345-M345-O344</f>
        <v>13.43636824905805</v>
      </c>
      <c r="O345" s="76">
        <f>MAX(0,(N345-Constantes!$D$14)*(1-EXP(-Constantes!$D$22)))</f>
        <v>7.4475728885074685E-2</v>
      </c>
      <c r="P345" s="170">
        <f>P344+(Entradas!$F$83*M345-Q344)/(800*Entradas!$D$25)</f>
        <v>0</v>
      </c>
      <c r="Q345" s="170">
        <f>8000*Entradas!$D$26*P345/Constantes!$F$45</f>
        <v>0</v>
      </c>
      <c r="R345" s="170">
        <f>IF(Escenarios!$F$14&gt;0,K345*Escenarios!$F$13/Escenarios!$F$14,0)</f>
        <v>0</v>
      </c>
      <c r="S345" s="170">
        <f>IF(Escenarios!$F$14&gt;0,Q345*Escenarios!$F$13/Escenarios!$F$14,0)</f>
        <v>0</v>
      </c>
      <c r="T345" s="170">
        <f>IF(Escenarios!$F$14&gt;0,Observaciones!$I344,0)</f>
        <v>0</v>
      </c>
      <c r="U345" s="170">
        <f>IF(Escenarios!$F$14&gt;0,MAX(0,Constantes!$F$36/((Z344+R345+S345+T345+Observaciones!$F344)^2)+Entradas!$F$77),0)</f>
        <v>0</v>
      </c>
      <c r="V345" s="146">
        <f>IF(ETo!D344&gt;0,ETo!I344*((1-Entradas!$F$81)*ETo!K344+ETo!L344),0)</f>
        <v>4.0000356737333762</v>
      </c>
      <c r="W345" s="170">
        <f>IF(Escenarios!$F$14&gt;0,MIN(V345*1,0.8*(Z344+R345+S345+T345+Observaciones!$F344-U345-Constantes!$F$35)),0)</f>
        <v>2.5894373157314024E-3</v>
      </c>
      <c r="X345" s="170">
        <f>IF(Escenarios!$F$14&gt;0,Observaciones!$J344,0)</f>
        <v>0</v>
      </c>
      <c r="Y345" s="170">
        <f>IF(Escenarios!$F$14&gt;0,MAX(0,Z344+R345+S345+T345+Observaciones!$F344-U345-W345-X345-Constantes!$F$33),0)</f>
        <v>0</v>
      </c>
      <c r="Z345" s="170">
        <f>Z344+R345+S345+T345+Observaciones!$F344-U345-W345-Y345</f>
        <v>41.25064735932893</v>
      </c>
      <c r="AA345" s="170">
        <f>IF(Escenarios!$F$14&gt;0,(Escenarios!$F$13*L345+Escenarios!$F$14*W345)/(Escenarios!$F$16),L345)</f>
        <v>2.2588432026450849</v>
      </c>
      <c r="AB345" s="170">
        <f>IF(Escenarios!$F$14&gt;0,(Escenarios!$F$14*Y345)/(Escenarios!$F$16),K345)</f>
        <v>0</v>
      </c>
      <c r="AC345" s="170">
        <f>IF(Escenarios!$F$14&gt;0,(Escenarios!$F$13*M345+Escenarios!$F$14*U345)/(Escenarios!$F$16),M345)</f>
        <v>0</v>
      </c>
      <c r="AD345" s="76">
        <f t="shared" si="71"/>
        <v>59.10779693375644</v>
      </c>
      <c r="AE345" s="76">
        <f>MAX(0,(AD345-Constantes!$D$13)*(1-EXP(-Constantes!$D$23)))</f>
        <v>0.10205784022332577</v>
      </c>
      <c r="AF345" s="76">
        <f>AB345+O345*Escenarios!$F$13/Escenarios!$F$16+AE345</f>
        <v>0.16759648164219149</v>
      </c>
      <c r="AG345" s="76">
        <f>IF(Entradas!$F$91&gt;0,IF(AF345-Escenarios!$F$38&lt;=0,0,IF(AF345-Escenarios!$F$38&gt;Escenarios!$F$37,Escenarios!$F$37,AF345-Escenarios!$F$38)),0)</f>
        <v>0</v>
      </c>
      <c r="AH345" s="76">
        <f>AG345*Entradas!$F$99</f>
        <v>0</v>
      </c>
      <c r="AI345" s="76">
        <f>IF(Entradas!$F$91&gt;0,D345*Entradas!$D$23/Escenarios!$F$16,0)</f>
        <v>0.21600936425965772</v>
      </c>
      <c r="AJ345" s="76">
        <f>IF(Entradas!$F$91&gt;0,Entradas!$D$24*Entradas!$D$22/Escenarios!$F$16,0)</f>
        <v>0.12</v>
      </c>
      <c r="AK345" s="76">
        <f t="shared" si="72"/>
        <v>2.4748525669047425</v>
      </c>
      <c r="AL345" s="76">
        <f t="shared" si="73"/>
        <v>0</v>
      </c>
      <c r="AM345" s="76">
        <f t="shared" si="74"/>
        <v>0</v>
      </c>
      <c r="AN345" s="76">
        <f>MAX(0,O345*Escenarios!$F$13/Escenarios!$F$16-AM345)</f>
        <v>6.5538641418865728E-2</v>
      </c>
      <c r="AO345" s="76">
        <f>AM345+AN345-O345*Escenarios!$F$13/Escenarios!$F$16</f>
        <v>0</v>
      </c>
      <c r="AP345" s="76">
        <f t="shared" si="75"/>
        <v>0.10205784022332577</v>
      </c>
      <c r="AQ345" s="76">
        <f t="shared" si="76"/>
        <v>0</v>
      </c>
      <c r="AR345" s="76">
        <f t="shared" si="77"/>
        <v>0.16759648164219149</v>
      </c>
      <c r="AS345" s="76">
        <f t="shared" si="78"/>
        <v>0</v>
      </c>
      <c r="AT345" s="76">
        <f t="shared" si="79"/>
        <v>0</v>
      </c>
      <c r="AU345" s="76">
        <f t="shared" si="80"/>
        <v>49.017727401929129</v>
      </c>
      <c r="AV345" s="76">
        <f>MAX(0,(AU345-Constantes!$D$13)*(1-EXP(-Constantes!$D$24)))</f>
        <v>4.0922794847095692E-3</v>
      </c>
      <c r="AW345" s="170">
        <f>AW344+(Entradas!$F$112*AT345-AX344)/(800*Entradas!$D$25)</f>
        <v>0</v>
      </c>
      <c r="AX345" s="170">
        <f>8000*Entradas!$D$26*AW345/Constantes!$F$45</f>
        <v>0</v>
      </c>
      <c r="AY345" s="170">
        <f>IF(Escenarios!$F$17&gt;0,10*Escenarios!$F$16*AL345,0)</f>
        <v>0</v>
      </c>
      <c r="AZ345" s="170">
        <f>IF(Escenarios!$F$17&gt;0,10*Escenarios!$F$16*AX345,0)</f>
        <v>0</v>
      </c>
      <c r="BA345" s="170">
        <f>IF(Escenarios!$F$17&gt;0,0.001*Observaciones!$F344*Escenarios!$F$17,0)</f>
        <v>0</v>
      </c>
      <c r="BB345" s="170">
        <f>IF(Escenarios!$F$17&gt;0,Observaciones!$K344,0)</f>
        <v>0</v>
      </c>
      <c r="BC345" s="170">
        <f>IF(Escenarios!$F$17&gt;0,MIN(0.0005*ETo!$M344*Escenarios!$F$17*(BG344/Constantes!$F$40)^(2/3),BG344+AY345+AZ345+BA345+BB345),0)</f>
        <v>0</v>
      </c>
      <c r="BD345" s="170">
        <f>IF(Escenarios!$F$17&gt;0,MIN(Constantes!$F$39*(BG344/Constantes!$F$40)^(2/3),BG344+AY345+AZ345+BA345+BB345-BC345),0)</f>
        <v>0</v>
      </c>
      <c r="BE345" s="170">
        <f>IF(Escenarios!$F$17&gt;0,MIN(Entradas!$F$113,BG344+AY345+AZ345+BA345+BB345-BC345-BD345),0)</f>
        <v>0</v>
      </c>
      <c r="BF345" s="170">
        <f>IF(Escenarios!$F$17&gt;0,MAX(0,BG344+AY345+AZ345+BA345+BB345-BC345-BD345-BE345-Constantes!$F$40),0)</f>
        <v>0</v>
      </c>
      <c r="BG345" s="170">
        <f t="shared" si="81"/>
        <v>0</v>
      </c>
      <c r="BH345" s="170">
        <f>(Escenarios!$F$16*AK345+0.1*BC345)/(Escenarios!$F$19)</f>
        <v>2.4748525669047425</v>
      </c>
      <c r="BI345" s="170">
        <f>IF(Escenarios!$F$17&gt;0,BF345/10/Escenarios!$F$19,AL345)</f>
        <v>0</v>
      </c>
      <c r="BJ345" s="170">
        <f>(Escenarios!$F$16*AT345+0.1*BD345)/(Escenarios!$F$19)</f>
        <v>0</v>
      </c>
      <c r="BK345" s="76">
        <f>BK344+(0.1*BD345)/(Escenarios!$F$19)-BL344</f>
        <v>48.75</v>
      </c>
      <c r="BL345" s="76">
        <f>MAX(0,(BK345-Constantes!$D$13)*(1-EXP(-Constantes!$D$23)))</f>
        <v>0</v>
      </c>
      <c r="BM345" s="76">
        <f t="shared" si="82"/>
        <v>0.10615011970803534</v>
      </c>
      <c r="BN345" s="76">
        <f t="shared" si="83"/>
        <v>0.17168876112690107</v>
      </c>
      <c r="BO345" s="76">
        <f>0.0526*BI345*Observaciones!$F344^1.218</f>
        <v>0</v>
      </c>
      <c r="BP345" s="76">
        <f>BO345*Constantes!$F$51</f>
        <v>0</v>
      </c>
      <c r="BQ345" s="76">
        <f t="shared" si="84"/>
        <v>0</v>
      </c>
      <c r="BR345" s="40"/>
    </row>
    <row r="346" spans="2:70">
      <c r="B346" s="39"/>
      <c r="C346" s="75">
        <v>340</v>
      </c>
      <c r="D346" s="146">
        <f>ETo!$I345*((1-Constantes!$F$19)*ETo!$K345+ETo!$L345)</f>
        <v>4.5328203328932064</v>
      </c>
      <c r="E346" s="76">
        <f>MIN(D346*Constantes!$F$17,0.8*(N345+Observaciones!$F345-F346-M346-Constantes!$D$14))</f>
        <v>1.7490945992464404</v>
      </c>
      <c r="F346" s="76">
        <f>IF(Observaciones!$F345&gt;0.05*Constantes!$F$18,((Observaciones!$F345-0.05*Constantes!$F$18)^2)/(Observaciones!$F345+0.95*Constantes!$F$18),0)</f>
        <v>0</v>
      </c>
      <c r="G346" s="76">
        <f>IF(Escenarios!$F$11&gt;0,(F346*Escenarios!$F$16*10000)/1000,0)</f>
        <v>0</v>
      </c>
      <c r="H346" s="76">
        <f>IF(Escenarios!$F$11&gt;0,(Observaciones!$F345*Constantes!$F$29)/1000,0)</f>
        <v>0</v>
      </c>
      <c r="I346" s="76">
        <f>IF(Escenarios!$F$11&gt;0,(D346*Constantes!$F$29)/1000,0)</f>
        <v>0</v>
      </c>
      <c r="J346" s="76">
        <f>IF(Escenarios!$F$11&gt;0,MAX(0,G346+H346-I346),0)</f>
        <v>0</v>
      </c>
      <c r="K346" s="76">
        <f>IF(Escenarios!$F$11&gt;0,IF(J346&gt;Constantes!$F$30,1000*((J346-Constantes!$F$30)/(Escenarios!$F$16*10000)),0),F346)</f>
        <v>0</v>
      </c>
      <c r="L346" s="76">
        <f>IF(Escenarios!$F$11&gt;0,I346*1000/Escenarios!$F$16/10000+E346,E346)</f>
        <v>1.7490945992464404</v>
      </c>
      <c r="M346" s="76">
        <f>MAX(0,N345+Observaciones!$F345-K346-Constantes!$D$13)</f>
        <v>0</v>
      </c>
      <c r="N346" s="76">
        <f>N345+Observaciones!$F345-K346-L346-M346-O345</f>
        <v>11.612797920926536</v>
      </c>
      <c r="O346" s="76">
        <f>MAX(0,(N346-Constantes!$D$14)*(1-EXP(-Constantes!$D$22)))</f>
        <v>1.235822904519138E-2</v>
      </c>
      <c r="P346" s="170">
        <f>P345+(Entradas!$F$83*M346-Q345)/(800*Entradas!$D$25)</f>
        <v>0</v>
      </c>
      <c r="Q346" s="170">
        <f>8000*Entradas!$D$26*P346/Constantes!$F$45</f>
        <v>0</v>
      </c>
      <c r="R346" s="170">
        <f>IF(Escenarios!$F$14&gt;0,K346*Escenarios!$F$13/Escenarios!$F$14,0)</f>
        <v>0</v>
      </c>
      <c r="S346" s="170">
        <f>IF(Escenarios!$F$14&gt;0,Q346*Escenarios!$F$13/Escenarios!$F$14,0)</f>
        <v>0</v>
      </c>
      <c r="T346" s="170">
        <f>IF(Escenarios!$F$14&gt;0,Observaciones!$I345,0)</f>
        <v>0</v>
      </c>
      <c r="U346" s="170">
        <f>IF(Escenarios!$F$14&gt;0,MAX(0,Constantes!$F$36/((Z345+R346+S346+T346+Observaciones!$F345)^2)+Entradas!$F$77),0)</f>
        <v>0</v>
      </c>
      <c r="V346" s="146">
        <f>IF(ETo!D345&gt;0,ETo!I345*((1-Entradas!$F$81)*ETo!K345+ETo!L345),0)</f>
        <v>4.0294967988742076</v>
      </c>
      <c r="W346" s="170">
        <f>IF(Escenarios!$F$14&gt;0,MIN(V346*1,0.8*(Z345+R346+S346+T346+Observaciones!$F345-U346-Constantes!$F$35)),0)</f>
        <v>5.1788746314400673E-4</v>
      </c>
      <c r="X346" s="170">
        <f>IF(Escenarios!$F$14&gt;0,Observaciones!$J345,0)</f>
        <v>0</v>
      </c>
      <c r="Y346" s="170">
        <f>IF(Escenarios!$F$14&gt;0,MAX(0,Z345+R346+S346+T346+Observaciones!$F345-U346-W346-X346-Constantes!$F$33),0)</f>
        <v>0</v>
      </c>
      <c r="Z346" s="170">
        <f>Z345+R346+S346+T346+Observaciones!$F345-U346-W346-Y346</f>
        <v>41.250129471865783</v>
      </c>
      <c r="AA346" s="170">
        <f>IF(Escenarios!$F$14&gt;0,(Escenarios!$F$13*L346+Escenarios!$F$14*W346)/(Escenarios!$F$16),L346)</f>
        <v>1.539265393832445</v>
      </c>
      <c r="AB346" s="170">
        <f>IF(Escenarios!$F$14&gt;0,(Escenarios!$F$14*Y346)/(Escenarios!$F$16),K346)</f>
        <v>0</v>
      </c>
      <c r="AC346" s="170">
        <f>IF(Escenarios!$F$14&gt;0,(Escenarios!$F$13*M346+Escenarios!$F$14*U346)/(Escenarios!$F$16),M346)</f>
        <v>0</v>
      </c>
      <c r="AD346" s="76">
        <f t="shared" si="71"/>
        <v>59.005739093533116</v>
      </c>
      <c r="AE346" s="76">
        <f>MAX(0,(AD346-Constantes!$D$13)*(1-EXP(-Constantes!$D$23)))</f>
        <v>0.10105224001532168</v>
      </c>
      <c r="AF346" s="76">
        <f>AB346+O346*Escenarios!$F$13/Escenarios!$F$16+AE346</f>
        <v>0.11192748157509008</v>
      </c>
      <c r="AG346" s="76">
        <f>IF(Entradas!$F$91&gt;0,IF(AF346-Escenarios!$F$38&lt;=0,0,IF(AF346-Escenarios!$F$38&gt;Escenarios!$F$37,Escenarios!$F$37,AF346-Escenarios!$F$38)),0)</f>
        <v>0</v>
      </c>
      <c r="AH346" s="76">
        <f>AG346*Entradas!$F$99</f>
        <v>0</v>
      </c>
      <c r="AI346" s="76">
        <f>IF(Entradas!$F$91&gt;0,D346*Entradas!$D$23/Escenarios!$F$16,0)</f>
        <v>0.21757537597887391</v>
      </c>
      <c r="AJ346" s="76">
        <f>IF(Entradas!$F$91&gt;0,Entradas!$D$24*Entradas!$D$22/Escenarios!$F$16,0)</f>
        <v>0.12</v>
      </c>
      <c r="AK346" s="76">
        <f t="shared" si="72"/>
        <v>1.7568407698113189</v>
      </c>
      <c r="AL346" s="76">
        <f t="shared" si="73"/>
        <v>0</v>
      </c>
      <c r="AM346" s="76">
        <f t="shared" si="74"/>
        <v>0</v>
      </c>
      <c r="AN346" s="76">
        <f>MAX(0,O346*Escenarios!$F$13/Escenarios!$F$16-AM346)</f>
        <v>1.0875241559768413E-2</v>
      </c>
      <c r="AO346" s="76">
        <f>AM346+AN346-O346*Escenarios!$F$13/Escenarios!$F$16</f>
        <v>0</v>
      </c>
      <c r="AP346" s="76">
        <f t="shared" si="75"/>
        <v>0.10105224001532168</v>
      </c>
      <c r="AQ346" s="76">
        <f t="shared" si="76"/>
        <v>0</v>
      </c>
      <c r="AR346" s="76">
        <f t="shared" si="77"/>
        <v>0.11192748157509008</v>
      </c>
      <c r="AS346" s="76">
        <f t="shared" si="78"/>
        <v>0</v>
      </c>
      <c r="AT346" s="76">
        <f t="shared" si="79"/>
        <v>0</v>
      </c>
      <c r="AU346" s="76">
        <f t="shared" si="80"/>
        <v>49.01363512244442</v>
      </c>
      <c r="AV346" s="76">
        <f>MAX(0,(AU346-Constantes!$D$13)*(1-EXP(-Constantes!$D$24)))</f>
        <v>4.0297279817244321E-3</v>
      </c>
      <c r="AW346" s="170">
        <f>AW345+(Entradas!$F$112*AT346-AX345)/(800*Entradas!$D$25)</f>
        <v>0</v>
      </c>
      <c r="AX346" s="170">
        <f>8000*Entradas!$D$26*AW346/Constantes!$F$45</f>
        <v>0</v>
      </c>
      <c r="AY346" s="170">
        <f>IF(Escenarios!$F$17&gt;0,10*Escenarios!$F$16*AL346,0)</f>
        <v>0</v>
      </c>
      <c r="AZ346" s="170">
        <f>IF(Escenarios!$F$17&gt;0,10*Escenarios!$F$16*AX346,0)</f>
        <v>0</v>
      </c>
      <c r="BA346" s="170">
        <f>IF(Escenarios!$F$17&gt;0,0.001*Observaciones!$F345*Escenarios!$F$17,0)</f>
        <v>0</v>
      </c>
      <c r="BB346" s="170">
        <f>IF(Escenarios!$F$17&gt;0,Observaciones!$K345,0)</f>
        <v>0</v>
      </c>
      <c r="BC346" s="170">
        <f>IF(Escenarios!$F$17&gt;0,MIN(0.0005*ETo!$M345*Escenarios!$F$17*(BG345/Constantes!$F$40)^(2/3),BG345+AY346+AZ346+BA346+BB346),0)</f>
        <v>0</v>
      </c>
      <c r="BD346" s="170">
        <f>IF(Escenarios!$F$17&gt;0,MIN(Constantes!$F$39*(BG345/Constantes!$F$40)^(2/3),BG345+AY346+AZ346+BA346+BB346-BC346),0)</f>
        <v>0</v>
      </c>
      <c r="BE346" s="170">
        <f>IF(Escenarios!$F$17&gt;0,MIN(Entradas!$F$113,BG345+AY346+AZ346+BA346+BB346-BC346-BD346),0)</f>
        <v>0</v>
      </c>
      <c r="BF346" s="170">
        <f>IF(Escenarios!$F$17&gt;0,MAX(0,BG345+AY346+AZ346+BA346+BB346-BC346-BD346-BE346-Constantes!$F$40),0)</f>
        <v>0</v>
      </c>
      <c r="BG346" s="170">
        <f t="shared" si="81"/>
        <v>0</v>
      </c>
      <c r="BH346" s="170">
        <f>(Escenarios!$F$16*AK346+0.1*BC346)/(Escenarios!$F$19)</f>
        <v>1.7568407698113189</v>
      </c>
      <c r="BI346" s="170">
        <f>IF(Escenarios!$F$17&gt;0,BF346/10/Escenarios!$F$19,AL346)</f>
        <v>0</v>
      </c>
      <c r="BJ346" s="170">
        <f>(Escenarios!$F$16*AT346+0.1*BD346)/(Escenarios!$F$19)</f>
        <v>0</v>
      </c>
      <c r="BK346" s="76">
        <f>BK345+(0.1*BD346)/(Escenarios!$F$19)-BL345</f>
        <v>48.75</v>
      </c>
      <c r="BL346" s="76">
        <f>MAX(0,(BK346-Constantes!$D$13)*(1-EXP(-Constantes!$D$23)))</f>
        <v>0</v>
      </c>
      <c r="BM346" s="76">
        <f t="shared" si="82"/>
        <v>0.10508196799704611</v>
      </c>
      <c r="BN346" s="76">
        <f t="shared" si="83"/>
        <v>0.11595720955681452</v>
      </c>
      <c r="BO346" s="76">
        <f>0.0526*BI346*Observaciones!$F345^1.218</f>
        <v>0</v>
      </c>
      <c r="BP346" s="76">
        <f>BO346*Constantes!$F$51</f>
        <v>0</v>
      </c>
      <c r="BQ346" s="76">
        <f t="shared" si="84"/>
        <v>0</v>
      </c>
      <c r="BR346" s="40"/>
    </row>
    <row r="347" spans="2:70">
      <c r="B347" s="39"/>
      <c r="C347" s="75">
        <v>341</v>
      </c>
      <c r="D347" s="146">
        <f>ETo!$I346*((1-Constantes!$F$19)*ETo!$K346+ETo!$L346)</f>
        <v>4.5002892476619003</v>
      </c>
      <c r="E347" s="76">
        <f>MIN(D347*Constantes!$F$17,0.8*(N346+Observaciones!$F346-F347-M347-Constantes!$D$14))</f>
        <v>0.37023833674122814</v>
      </c>
      <c r="F347" s="76">
        <f>IF(Observaciones!$F346&gt;0.05*Constantes!$F$18,((Observaciones!$F346-0.05*Constantes!$F$18)^2)/(Observaciones!$F346+0.95*Constantes!$F$18),0)</f>
        <v>0</v>
      </c>
      <c r="G347" s="76">
        <f>IF(Escenarios!$F$11&gt;0,(F347*Escenarios!$F$16*10000)/1000,0)</f>
        <v>0</v>
      </c>
      <c r="H347" s="76">
        <f>IF(Escenarios!$F$11&gt;0,(Observaciones!$F346*Constantes!$F$29)/1000,0)</f>
        <v>0</v>
      </c>
      <c r="I347" s="76">
        <f>IF(Escenarios!$F$11&gt;0,(D347*Constantes!$F$29)/1000,0)</f>
        <v>0</v>
      </c>
      <c r="J347" s="76">
        <f>IF(Escenarios!$F$11&gt;0,MAX(0,G347+H347-I347),0)</f>
        <v>0</v>
      </c>
      <c r="K347" s="76">
        <f>IF(Escenarios!$F$11&gt;0,IF(J347&gt;Constantes!$F$30,1000*((J347-Constantes!$F$30)/(Escenarios!$F$16*10000)),0),F347)</f>
        <v>0</v>
      </c>
      <c r="L347" s="76">
        <f>IF(Escenarios!$F$11&gt;0,I347*1000/Escenarios!$F$16/10000+E347,E347)</f>
        <v>0.37023833674122814</v>
      </c>
      <c r="M347" s="76">
        <f>MAX(0,N346+Observaciones!$F346-K347-Constantes!$D$13)</f>
        <v>0</v>
      </c>
      <c r="N347" s="76">
        <f>N346+Observaciones!$F346-K347-L347-M347-O346</f>
        <v>11.330201355140117</v>
      </c>
      <c r="O347" s="76">
        <f>MAX(0,(N347-Constantes!$D$14)*(1-EXP(-Constantes!$D$22)))</f>
        <v>2.7319525812745911E-3</v>
      </c>
      <c r="P347" s="170">
        <f>P346+(Entradas!$F$83*M347-Q346)/(800*Entradas!$D$25)</f>
        <v>0</v>
      </c>
      <c r="Q347" s="170">
        <f>8000*Entradas!$D$26*P347/Constantes!$F$45</f>
        <v>0</v>
      </c>
      <c r="R347" s="170">
        <f>IF(Escenarios!$F$14&gt;0,K347*Escenarios!$F$13/Escenarios!$F$14,0)</f>
        <v>0</v>
      </c>
      <c r="S347" s="170">
        <f>IF(Escenarios!$F$14&gt;0,Q347*Escenarios!$F$13/Escenarios!$F$14,0)</f>
        <v>0</v>
      </c>
      <c r="T347" s="170">
        <f>IF(Escenarios!$F$14&gt;0,Observaciones!$I346,0)</f>
        <v>0</v>
      </c>
      <c r="U347" s="170">
        <f>IF(Escenarios!$F$14&gt;0,MAX(0,Constantes!$F$36/((Z346+R347+S347+T347+Observaciones!$F346)^2)+Entradas!$F$77),0)</f>
        <v>0</v>
      </c>
      <c r="V347" s="146">
        <f>IF(ETo!D346&gt;0,ETo!I346*((1-Entradas!$F$81)*ETo!K346+ETo!L346),0)</f>
        <v>4.0001220382543856</v>
      </c>
      <c r="W347" s="170">
        <f>IF(Escenarios!$F$14&gt;0,MIN(V347*1,0.8*(Z346+R347+S347+T347+Observaciones!$F346-U347-Constantes!$F$35)),0)</f>
        <v>8.010357749262767E-2</v>
      </c>
      <c r="X347" s="170">
        <f>IF(Escenarios!$F$14&gt;0,Observaciones!$J346,0)</f>
        <v>0</v>
      </c>
      <c r="Y347" s="170">
        <f>IF(Escenarios!$F$14&gt;0,MAX(0,Z346+R347+S347+T347+Observaciones!$F346-U347-W347-X347-Constantes!$F$33),0)</f>
        <v>0</v>
      </c>
      <c r="Z347" s="170">
        <f>Z346+R347+S347+T347+Observaciones!$F346-U347-W347-Y347</f>
        <v>41.270025894373155</v>
      </c>
      <c r="AA347" s="170">
        <f>IF(Escenarios!$F$14&gt;0,(Escenarios!$F$13*L347+Escenarios!$F$14*W347)/(Escenarios!$F$16),L347)</f>
        <v>0.3354221656313961</v>
      </c>
      <c r="AB347" s="170">
        <f>IF(Escenarios!$F$14&gt;0,(Escenarios!$F$14*Y347)/(Escenarios!$F$16),K347)</f>
        <v>0</v>
      </c>
      <c r="AC347" s="170">
        <f>IF(Escenarios!$F$14&gt;0,(Escenarios!$F$13*M347+Escenarios!$F$14*U347)/(Escenarios!$F$16),M347)</f>
        <v>0</v>
      </c>
      <c r="AD347" s="76">
        <f t="shared" si="71"/>
        <v>58.904686853517795</v>
      </c>
      <c r="AE347" s="76">
        <f>MAX(0,(AD347-Constantes!$D$13)*(1-EXP(-Constantes!$D$23)))</f>
        <v>0.10005654822568234</v>
      </c>
      <c r="AF347" s="76">
        <f>AB347+O347*Escenarios!$F$13/Escenarios!$F$16+AE347</f>
        <v>0.10246066649720398</v>
      </c>
      <c r="AG347" s="76">
        <f>IF(Entradas!$F$91&gt;0,IF(AF347-Escenarios!$F$38&lt;=0,0,IF(AF347-Escenarios!$F$38&gt;Escenarios!$F$37,Escenarios!$F$37,AF347-Escenarios!$F$38)),0)</f>
        <v>0</v>
      </c>
      <c r="AH347" s="76">
        <f>AG347*Entradas!$F$99</f>
        <v>0</v>
      </c>
      <c r="AI347" s="76">
        <f>IF(Entradas!$F$91&gt;0,D347*Entradas!$D$23/Escenarios!$F$16,0)</f>
        <v>0.21601388388777121</v>
      </c>
      <c r="AJ347" s="76">
        <f>IF(Entradas!$F$91&gt;0,Entradas!$D$24*Entradas!$D$22/Escenarios!$F$16,0)</f>
        <v>0.12</v>
      </c>
      <c r="AK347" s="76">
        <f t="shared" si="72"/>
        <v>0.55143604951916725</v>
      </c>
      <c r="AL347" s="76">
        <f t="shared" si="73"/>
        <v>0</v>
      </c>
      <c r="AM347" s="76">
        <f t="shared" si="74"/>
        <v>0</v>
      </c>
      <c r="AN347" s="76">
        <f>MAX(0,O347*Escenarios!$F$13/Escenarios!$F$16-AM347)</f>
        <v>2.4041182715216405E-3</v>
      </c>
      <c r="AO347" s="76">
        <f>AM347+AN347-O347*Escenarios!$F$13/Escenarios!$F$16</f>
        <v>0</v>
      </c>
      <c r="AP347" s="76">
        <f t="shared" si="75"/>
        <v>0.10005654822568234</v>
      </c>
      <c r="AQ347" s="76">
        <f t="shared" si="76"/>
        <v>0</v>
      </c>
      <c r="AR347" s="76">
        <f t="shared" si="77"/>
        <v>0.10246066649720398</v>
      </c>
      <c r="AS347" s="76">
        <f t="shared" si="78"/>
        <v>0</v>
      </c>
      <c r="AT347" s="76">
        <f t="shared" si="79"/>
        <v>0</v>
      </c>
      <c r="AU347" s="76">
        <f t="shared" si="80"/>
        <v>49.009605394462696</v>
      </c>
      <c r="AV347" s="76">
        <f>MAX(0,(AU347-Constantes!$D$13)*(1-EXP(-Constantes!$D$24)))</f>
        <v>3.9681325939167475E-3</v>
      </c>
      <c r="AW347" s="170">
        <f>AW346+(Entradas!$F$112*AT347-AX346)/(800*Entradas!$D$25)</f>
        <v>0</v>
      </c>
      <c r="AX347" s="170">
        <f>8000*Entradas!$D$26*AW347/Constantes!$F$45</f>
        <v>0</v>
      </c>
      <c r="AY347" s="170">
        <f>IF(Escenarios!$F$17&gt;0,10*Escenarios!$F$16*AL347,0)</f>
        <v>0</v>
      </c>
      <c r="AZ347" s="170">
        <f>IF(Escenarios!$F$17&gt;0,10*Escenarios!$F$16*AX347,0)</f>
        <v>0</v>
      </c>
      <c r="BA347" s="170">
        <f>IF(Escenarios!$F$17&gt;0,0.001*Observaciones!$F346*Escenarios!$F$17,0)</f>
        <v>0</v>
      </c>
      <c r="BB347" s="170">
        <f>IF(Escenarios!$F$17&gt;0,Observaciones!$K346,0)</f>
        <v>0</v>
      </c>
      <c r="BC347" s="170">
        <f>IF(Escenarios!$F$17&gt;0,MIN(0.0005*ETo!$M346*Escenarios!$F$17*(BG346/Constantes!$F$40)^(2/3),BG346+AY347+AZ347+BA347+BB347),0)</f>
        <v>0</v>
      </c>
      <c r="BD347" s="170">
        <f>IF(Escenarios!$F$17&gt;0,MIN(Constantes!$F$39*(BG346/Constantes!$F$40)^(2/3),BG346+AY347+AZ347+BA347+BB347-BC347),0)</f>
        <v>0</v>
      </c>
      <c r="BE347" s="170">
        <f>IF(Escenarios!$F$17&gt;0,MIN(Entradas!$F$113,BG346+AY347+AZ347+BA347+BB347-BC347-BD347),0)</f>
        <v>0</v>
      </c>
      <c r="BF347" s="170">
        <f>IF(Escenarios!$F$17&gt;0,MAX(0,BG346+AY347+AZ347+BA347+BB347-BC347-BD347-BE347-Constantes!$F$40),0)</f>
        <v>0</v>
      </c>
      <c r="BG347" s="170">
        <f t="shared" si="81"/>
        <v>0</v>
      </c>
      <c r="BH347" s="170">
        <f>(Escenarios!$F$16*AK347+0.1*BC347)/(Escenarios!$F$19)</f>
        <v>0.55143604951916725</v>
      </c>
      <c r="BI347" s="170">
        <f>IF(Escenarios!$F$17&gt;0,BF347/10/Escenarios!$F$19,AL347)</f>
        <v>0</v>
      </c>
      <c r="BJ347" s="170">
        <f>(Escenarios!$F$16*AT347+0.1*BD347)/(Escenarios!$F$19)</f>
        <v>0</v>
      </c>
      <c r="BK347" s="76">
        <f>BK346+(0.1*BD347)/(Escenarios!$F$19)-BL346</f>
        <v>48.75</v>
      </c>
      <c r="BL347" s="76">
        <f>MAX(0,(BK347-Constantes!$D$13)*(1-EXP(-Constantes!$D$23)))</f>
        <v>0</v>
      </c>
      <c r="BM347" s="76">
        <f t="shared" si="82"/>
        <v>0.10402468081959909</v>
      </c>
      <c r="BN347" s="76">
        <f t="shared" si="83"/>
        <v>0.10642879909112073</v>
      </c>
      <c r="BO347" s="76">
        <f>0.0526*BI347*Observaciones!$F346^1.218</f>
        <v>0</v>
      </c>
      <c r="BP347" s="76">
        <f>BO347*Constantes!$F$51</f>
        <v>0</v>
      </c>
      <c r="BQ347" s="76">
        <f t="shared" si="84"/>
        <v>0</v>
      </c>
      <c r="BR347" s="40"/>
    </row>
    <row r="348" spans="2:70">
      <c r="B348" s="39"/>
      <c r="C348" s="75">
        <v>342</v>
      </c>
      <c r="D348" s="146">
        <f>ETo!$I347*((1-Constantes!$F$19)*ETo!$K347+ETo!$L347)</f>
        <v>4.4956538480373709</v>
      </c>
      <c r="E348" s="76">
        <f>MIN(D348*Constantes!$F$17,0.8*(N347+Observaciones!$F347-F348-M348-Constantes!$D$14))</f>
        <v>6.4161084112093647E-2</v>
      </c>
      <c r="F348" s="76">
        <f>IF(Observaciones!$F347&gt;0.05*Constantes!$F$18,((Observaciones!$F347-0.05*Constantes!$F$18)^2)/(Observaciones!$F347+0.95*Constantes!$F$18),0)</f>
        <v>0</v>
      </c>
      <c r="G348" s="76">
        <f>IF(Escenarios!$F$11&gt;0,(F348*Escenarios!$F$16*10000)/1000,0)</f>
        <v>0</v>
      </c>
      <c r="H348" s="76">
        <f>IF(Escenarios!$F$11&gt;0,(Observaciones!$F347*Constantes!$F$29)/1000,0)</f>
        <v>0</v>
      </c>
      <c r="I348" s="76">
        <f>IF(Escenarios!$F$11&gt;0,(D348*Constantes!$F$29)/1000,0)</f>
        <v>0</v>
      </c>
      <c r="J348" s="76">
        <f>IF(Escenarios!$F$11&gt;0,MAX(0,G348+H348-I348),0)</f>
        <v>0</v>
      </c>
      <c r="K348" s="76">
        <f>IF(Escenarios!$F$11&gt;0,IF(J348&gt;Constantes!$F$30,1000*((J348-Constantes!$F$30)/(Escenarios!$F$16*10000)),0),F348)</f>
        <v>0</v>
      </c>
      <c r="L348" s="76">
        <f>IF(Escenarios!$F$11&gt;0,I348*1000/Escenarios!$F$16/10000+E348,E348)</f>
        <v>6.4161084112093647E-2</v>
      </c>
      <c r="M348" s="76">
        <f>MAX(0,N347+Observaciones!$F347-K348-Constantes!$D$13)</f>
        <v>0</v>
      </c>
      <c r="N348" s="76">
        <f>N347+Observaciones!$F347-K348-L348-M348-O347</f>
        <v>11.263308318446748</v>
      </c>
      <c r="O348" s="76">
        <f>MAX(0,(N348-Constantes!$D$14)*(1-EXP(-Constantes!$D$22)))</f>
        <v>4.5333018213344727E-4</v>
      </c>
      <c r="P348" s="170">
        <f>P347+(Entradas!$F$83*M348-Q347)/(800*Entradas!$D$25)</f>
        <v>0</v>
      </c>
      <c r="Q348" s="170">
        <f>8000*Entradas!$D$26*P348/Constantes!$F$45</f>
        <v>0</v>
      </c>
      <c r="R348" s="170">
        <f>IF(Escenarios!$F$14&gt;0,K348*Escenarios!$F$13/Escenarios!$F$14,0)</f>
        <v>0</v>
      </c>
      <c r="S348" s="170">
        <f>IF(Escenarios!$F$14&gt;0,Q348*Escenarios!$F$13/Escenarios!$F$14,0)</f>
        <v>0</v>
      </c>
      <c r="T348" s="170">
        <f>IF(Escenarios!$F$14&gt;0,Observaciones!$I347,0)</f>
        <v>0</v>
      </c>
      <c r="U348" s="170">
        <f>IF(Escenarios!$F$14&gt;0,MAX(0,Constantes!$F$36/((Z347+R348+S348+T348+Observaciones!$F347)^2)+Entradas!$F$77),0)</f>
        <v>0</v>
      </c>
      <c r="V348" s="146">
        <f>IF(ETo!D347&gt;0,ETo!I347*((1-Entradas!$F$81)*ETo!K347+ETo!L347),0)</f>
        <v>3.9959389091498951</v>
      </c>
      <c r="W348" s="170">
        <f>IF(Escenarios!$F$14&gt;0,MIN(V348*1,0.8*(Z347+R348+S348+T348+Observaciones!$F347-U348-Constantes!$F$35)),0)</f>
        <v>1.6020715498524397E-2</v>
      </c>
      <c r="X348" s="170">
        <f>IF(Escenarios!$F$14&gt;0,Observaciones!$J347,0)</f>
        <v>0</v>
      </c>
      <c r="Y348" s="170">
        <f>IF(Escenarios!$F$14&gt;0,MAX(0,Z347+R348+S348+T348+Observaciones!$F347-U348-W348-X348-Constantes!$F$33),0)</f>
        <v>0</v>
      </c>
      <c r="Z348" s="170">
        <f>Z347+R348+S348+T348+Observaciones!$F347-U348-W348-Y348</f>
        <v>41.254005178874628</v>
      </c>
      <c r="AA348" s="170">
        <f>IF(Escenarios!$F$14&gt;0,(Escenarios!$F$13*L348+Escenarios!$F$14*W348)/(Escenarios!$F$16),L348)</f>
        <v>5.838423987846534E-2</v>
      </c>
      <c r="AB348" s="170">
        <f>IF(Escenarios!$F$14&gt;0,(Escenarios!$F$14*Y348)/(Escenarios!$F$16),K348)</f>
        <v>0</v>
      </c>
      <c r="AC348" s="170">
        <f>IF(Escenarios!$F$14&gt;0,(Escenarios!$F$13*M348+Escenarios!$F$14*U348)/(Escenarios!$F$16),M348)</f>
        <v>0</v>
      </c>
      <c r="AD348" s="76">
        <f t="shared" si="71"/>
        <v>58.804630305292115</v>
      </c>
      <c r="AE348" s="76">
        <f>MAX(0,(AD348-Constantes!$D$13)*(1-EXP(-Constantes!$D$23)))</f>
        <v>9.9070667224401637E-2</v>
      </c>
      <c r="AF348" s="76">
        <f>AB348+O348*Escenarios!$F$13/Escenarios!$F$16+AE348</f>
        <v>9.9469597784679065E-2</v>
      </c>
      <c r="AG348" s="76">
        <f>IF(Entradas!$F$91&gt;0,IF(AF348-Escenarios!$F$38&lt;=0,0,IF(AF348-Escenarios!$F$38&gt;Escenarios!$F$37,Escenarios!$F$37,AF348-Escenarios!$F$38)),0)</f>
        <v>0</v>
      </c>
      <c r="AH348" s="76">
        <f>AG348*Entradas!$F$99</f>
        <v>0</v>
      </c>
      <c r="AI348" s="76">
        <f>IF(Entradas!$F$91&gt;0,D348*Entradas!$D$23/Escenarios!$F$16,0)</f>
        <v>0.21579138470579382</v>
      </c>
      <c r="AJ348" s="76">
        <f>IF(Entradas!$F$91&gt;0,Entradas!$D$24*Entradas!$D$22/Escenarios!$F$16,0)</f>
        <v>0.12</v>
      </c>
      <c r="AK348" s="76">
        <f t="shared" si="72"/>
        <v>0.27417562458425915</v>
      </c>
      <c r="AL348" s="76">
        <f t="shared" si="73"/>
        <v>0</v>
      </c>
      <c r="AM348" s="76">
        <f t="shared" si="74"/>
        <v>0</v>
      </c>
      <c r="AN348" s="76">
        <f>MAX(0,O348*Escenarios!$F$13/Escenarios!$F$16-AM348)</f>
        <v>3.9893056027743358E-4</v>
      </c>
      <c r="AO348" s="76">
        <f>AM348+AN348-O348*Escenarios!$F$13/Escenarios!$F$16</f>
        <v>0</v>
      </c>
      <c r="AP348" s="76">
        <f t="shared" si="75"/>
        <v>9.9070667224401637E-2</v>
      </c>
      <c r="AQ348" s="76">
        <f t="shared" si="76"/>
        <v>0</v>
      </c>
      <c r="AR348" s="76">
        <f t="shared" si="77"/>
        <v>9.9469597784679065E-2</v>
      </c>
      <c r="AS348" s="76">
        <f t="shared" si="78"/>
        <v>0</v>
      </c>
      <c r="AT348" s="76">
        <f t="shared" si="79"/>
        <v>0</v>
      </c>
      <c r="AU348" s="76">
        <f t="shared" si="80"/>
        <v>49.005637261868777</v>
      </c>
      <c r="AV348" s="76">
        <f>MAX(0,(AU348-Constantes!$D$13)*(1-EXP(-Constantes!$D$24)))</f>
        <v>3.9074787068297664E-3</v>
      </c>
      <c r="AW348" s="170">
        <f>AW347+(Entradas!$F$112*AT348-AX347)/(800*Entradas!$D$25)</f>
        <v>0</v>
      </c>
      <c r="AX348" s="170">
        <f>8000*Entradas!$D$26*AW348/Constantes!$F$45</f>
        <v>0</v>
      </c>
      <c r="AY348" s="170">
        <f>IF(Escenarios!$F$17&gt;0,10*Escenarios!$F$16*AL348,0)</f>
        <v>0</v>
      </c>
      <c r="AZ348" s="170">
        <f>IF(Escenarios!$F$17&gt;0,10*Escenarios!$F$16*AX348,0)</f>
        <v>0</v>
      </c>
      <c r="BA348" s="170">
        <f>IF(Escenarios!$F$17&gt;0,0.001*Observaciones!$F347*Escenarios!$F$17,0)</f>
        <v>0</v>
      </c>
      <c r="BB348" s="170">
        <f>IF(Escenarios!$F$17&gt;0,Observaciones!$K347,0)</f>
        <v>0</v>
      </c>
      <c r="BC348" s="170">
        <f>IF(Escenarios!$F$17&gt;0,MIN(0.0005*ETo!$M347*Escenarios!$F$17*(BG347/Constantes!$F$40)^(2/3),BG347+AY348+AZ348+BA348+BB348),0)</f>
        <v>0</v>
      </c>
      <c r="BD348" s="170">
        <f>IF(Escenarios!$F$17&gt;0,MIN(Constantes!$F$39*(BG347/Constantes!$F$40)^(2/3),BG347+AY348+AZ348+BA348+BB348-BC348),0)</f>
        <v>0</v>
      </c>
      <c r="BE348" s="170">
        <f>IF(Escenarios!$F$17&gt;0,MIN(Entradas!$F$113,BG347+AY348+AZ348+BA348+BB348-BC348-BD348),0)</f>
        <v>0</v>
      </c>
      <c r="BF348" s="170">
        <f>IF(Escenarios!$F$17&gt;0,MAX(0,BG347+AY348+AZ348+BA348+BB348-BC348-BD348-BE348-Constantes!$F$40),0)</f>
        <v>0</v>
      </c>
      <c r="BG348" s="170">
        <f t="shared" si="81"/>
        <v>0</v>
      </c>
      <c r="BH348" s="170">
        <f>(Escenarios!$F$16*AK348+0.1*BC348)/(Escenarios!$F$19)</f>
        <v>0.27417562458425915</v>
      </c>
      <c r="BI348" s="170">
        <f>IF(Escenarios!$F$17&gt;0,BF348/10/Escenarios!$F$19,AL348)</f>
        <v>0</v>
      </c>
      <c r="BJ348" s="170">
        <f>(Escenarios!$F$16*AT348+0.1*BD348)/(Escenarios!$F$19)</f>
        <v>0</v>
      </c>
      <c r="BK348" s="76">
        <f>BK347+(0.1*BD348)/(Escenarios!$F$19)-BL347</f>
        <v>48.75</v>
      </c>
      <c r="BL348" s="76">
        <f>MAX(0,(BK348-Constantes!$D$13)*(1-EXP(-Constantes!$D$23)))</f>
        <v>0</v>
      </c>
      <c r="BM348" s="76">
        <f t="shared" si="82"/>
        <v>0.1029781459312314</v>
      </c>
      <c r="BN348" s="76">
        <f t="shared" si="83"/>
        <v>0.10337707649150883</v>
      </c>
      <c r="BO348" s="76">
        <f>0.0526*BI348*Observaciones!$F347^1.218</f>
        <v>0</v>
      </c>
      <c r="BP348" s="76">
        <f>BO348*Constantes!$F$51</f>
        <v>0</v>
      </c>
      <c r="BQ348" s="76">
        <f t="shared" si="84"/>
        <v>0</v>
      </c>
      <c r="BR348" s="40"/>
    </row>
    <row r="349" spans="2:70">
      <c r="B349" s="39"/>
      <c r="C349" s="75">
        <v>343</v>
      </c>
      <c r="D349" s="146">
        <f>ETo!$I348*((1-Constantes!$F$19)*ETo!$K348+ETo!$L348)</f>
        <v>4.625871638836105</v>
      </c>
      <c r="E349" s="76">
        <f>MIN(D349*Constantes!$F$17,0.8*(N348+Observaciones!$F348-F349-M349-Constantes!$D$14))</f>
        <v>1.0646654757398722E-2</v>
      </c>
      <c r="F349" s="76">
        <f>IF(Observaciones!$F348&gt;0.05*Constantes!$F$18,((Observaciones!$F348-0.05*Constantes!$F$18)^2)/(Observaciones!$F348+0.95*Constantes!$F$18),0)</f>
        <v>0</v>
      </c>
      <c r="G349" s="76">
        <f>IF(Escenarios!$F$11&gt;0,(F349*Escenarios!$F$16*10000)/1000,0)</f>
        <v>0</v>
      </c>
      <c r="H349" s="76">
        <f>IF(Escenarios!$F$11&gt;0,(Observaciones!$F348*Constantes!$F$29)/1000,0)</f>
        <v>0</v>
      </c>
      <c r="I349" s="76">
        <f>IF(Escenarios!$F$11&gt;0,(D349*Constantes!$F$29)/1000,0)</f>
        <v>0</v>
      </c>
      <c r="J349" s="76">
        <f>IF(Escenarios!$F$11&gt;0,MAX(0,G349+H349-I349),0)</f>
        <v>0</v>
      </c>
      <c r="K349" s="76">
        <f>IF(Escenarios!$F$11&gt;0,IF(J349&gt;Constantes!$F$30,1000*((J349-Constantes!$F$30)/(Escenarios!$F$16*10000)),0),F349)</f>
        <v>0</v>
      </c>
      <c r="L349" s="76">
        <f>IF(Escenarios!$F$11&gt;0,I349*1000/Escenarios!$F$16/10000+E349,E349)</f>
        <v>1.0646654757398722E-2</v>
      </c>
      <c r="M349" s="76">
        <f>MAX(0,N348+Observaciones!$F348-K349-Constantes!$D$13)</f>
        <v>0</v>
      </c>
      <c r="N349" s="76">
        <f>N348+Observaciones!$F348-K349-L349-M349-O348</f>
        <v>11.252208333507218</v>
      </c>
      <c r="O349" s="76">
        <f>MAX(0,(N349-Constantes!$D$14)*(1-EXP(-Constantes!$D$22)))</f>
        <v>7.5223946214110274E-5</v>
      </c>
      <c r="P349" s="170">
        <f>P348+(Entradas!$F$83*M349-Q348)/(800*Entradas!$D$25)</f>
        <v>0</v>
      </c>
      <c r="Q349" s="170">
        <f>8000*Entradas!$D$26*P349/Constantes!$F$45</f>
        <v>0</v>
      </c>
      <c r="R349" s="170">
        <f>IF(Escenarios!$F$14&gt;0,K349*Escenarios!$F$13/Escenarios!$F$14,0)</f>
        <v>0</v>
      </c>
      <c r="S349" s="170">
        <f>IF(Escenarios!$F$14&gt;0,Q349*Escenarios!$F$13/Escenarios!$F$14,0)</f>
        <v>0</v>
      </c>
      <c r="T349" s="170">
        <f>IF(Escenarios!$F$14&gt;0,Observaciones!$I348,0)</f>
        <v>0</v>
      </c>
      <c r="U349" s="170">
        <f>IF(Escenarios!$F$14&gt;0,MAX(0,Constantes!$F$36/((Z348+R349+S349+T349+Observaciones!$F348)^2)+Entradas!$F$77),0)</f>
        <v>0</v>
      </c>
      <c r="V349" s="146">
        <f>IF(ETo!D348&gt;0,ETo!I348*((1-Entradas!$F$81)*ETo!K348+ETo!L348),0)</f>
        <v>4.1136820891725847</v>
      </c>
      <c r="W349" s="170">
        <f>IF(Escenarios!$F$14&gt;0,MIN(V349*1,0.8*(Z348+R349+S349+T349+Observaciones!$F348-U349-Constantes!$F$35)),0)</f>
        <v>3.2041430997026056E-3</v>
      </c>
      <c r="X349" s="170">
        <f>IF(Escenarios!$F$14&gt;0,Observaciones!$J348,0)</f>
        <v>0</v>
      </c>
      <c r="Y349" s="170">
        <f>IF(Escenarios!$F$14&gt;0,MAX(0,Z348+R349+S349+T349+Observaciones!$F348-U349-W349-X349-Constantes!$F$33),0)</f>
        <v>0</v>
      </c>
      <c r="Z349" s="170">
        <f>Z348+R349+S349+T349+Observaciones!$F348-U349-W349-Y349</f>
        <v>41.250801035774927</v>
      </c>
      <c r="AA349" s="170">
        <f>IF(Escenarios!$F$14&gt;0,(Escenarios!$F$13*L349+Escenarios!$F$14*W349)/(Escenarios!$F$16),L349)</f>
        <v>9.7535533584751869E-3</v>
      </c>
      <c r="AB349" s="170">
        <f>IF(Escenarios!$F$14&gt;0,(Escenarios!$F$14*Y349)/(Escenarios!$F$16),K349)</f>
        <v>0</v>
      </c>
      <c r="AC349" s="170">
        <f>IF(Escenarios!$F$14&gt;0,(Escenarios!$F$13*M349+Escenarios!$F$14*U349)/(Escenarios!$F$16),M349)</f>
        <v>0</v>
      </c>
      <c r="AD349" s="76">
        <f t="shared" si="71"/>
        <v>58.705559638067712</v>
      </c>
      <c r="AE349" s="76">
        <f>MAX(0,(AD349-Constantes!$D$13)*(1-EXP(-Constantes!$D$23)))</f>
        <v>9.8094500343445079E-2</v>
      </c>
      <c r="AF349" s="76">
        <f>AB349+O349*Escenarios!$F$13/Escenarios!$F$16+AE349</f>
        <v>9.8160697416113496E-2</v>
      </c>
      <c r="AG349" s="76">
        <f>IF(Entradas!$F$91&gt;0,IF(AF349-Escenarios!$F$38&lt;=0,0,IF(AF349-Escenarios!$F$38&gt;Escenarios!$F$37,Escenarios!$F$37,AF349-Escenarios!$F$38)),0)</f>
        <v>0</v>
      </c>
      <c r="AH349" s="76">
        <f>AG349*Entradas!$F$99</f>
        <v>0</v>
      </c>
      <c r="AI349" s="76">
        <f>IF(Entradas!$F$91&gt;0,D349*Entradas!$D$23/Escenarios!$F$16,0)</f>
        <v>0.22204183866413302</v>
      </c>
      <c r="AJ349" s="76">
        <f>IF(Entradas!$F$91&gt;0,Entradas!$D$24*Entradas!$D$22/Escenarios!$F$16,0)</f>
        <v>0.12</v>
      </c>
      <c r="AK349" s="76">
        <f t="shared" si="72"/>
        <v>0.23179539202260821</v>
      </c>
      <c r="AL349" s="76">
        <f t="shared" si="73"/>
        <v>0</v>
      </c>
      <c r="AM349" s="76">
        <f t="shared" si="74"/>
        <v>0</v>
      </c>
      <c r="AN349" s="76">
        <f>MAX(0,O349*Escenarios!$F$13/Escenarios!$F$16-AM349)</f>
        <v>6.6197072668417036E-5</v>
      </c>
      <c r="AO349" s="76">
        <f>AM349+AN349-O349*Escenarios!$F$13/Escenarios!$F$16</f>
        <v>0</v>
      </c>
      <c r="AP349" s="76">
        <f t="shared" si="75"/>
        <v>9.8094500343445079E-2</v>
      </c>
      <c r="AQ349" s="76">
        <f t="shared" si="76"/>
        <v>0</v>
      </c>
      <c r="AR349" s="76">
        <f t="shared" si="77"/>
        <v>9.8160697416113496E-2</v>
      </c>
      <c r="AS349" s="76">
        <f t="shared" si="78"/>
        <v>0</v>
      </c>
      <c r="AT349" s="76">
        <f t="shared" si="79"/>
        <v>0</v>
      </c>
      <c r="AU349" s="76">
        <f t="shared" si="80"/>
        <v>49.001729783161949</v>
      </c>
      <c r="AV349" s="76">
        <f>MAX(0,(AU349-Constantes!$D$13)*(1-EXP(-Constantes!$D$24)))</f>
        <v>3.8477519293924406E-3</v>
      </c>
      <c r="AW349" s="170">
        <f>AW348+(Entradas!$F$112*AT349-AX348)/(800*Entradas!$D$25)</f>
        <v>0</v>
      </c>
      <c r="AX349" s="170">
        <f>8000*Entradas!$D$26*AW349/Constantes!$F$45</f>
        <v>0</v>
      </c>
      <c r="AY349" s="170">
        <f>IF(Escenarios!$F$17&gt;0,10*Escenarios!$F$16*AL349,0)</f>
        <v>0</v>
      </c>
      <c r="AZ349" s="170">
        <f>IF(Escenarios!$F$17&gt;0,10*Escenarios!$F$16*AX349,0)</f>
        <v>0</v>
      </c>
      <c r="BA349" s="170">
        <f>IF(Escenarios!$F$17&gt;0,0.001*Observaciones!$F348*Escenarios!$F$17,0)</f>
        <v>0</v>
      </c>
      <c r="BB349" s="170">
        <f>IF(Escenarios!$F$17&gt;0,Observaciones!$K348,0)</f>
        <v>0</v>
      </c>
      <c r="BC349" s="170">
        <f>IF(Escenarios!$F$17&gt;0,MIN(0.0005*ETo!$M348*Escenarios!$F$17*(BG348/Constantes!$F$40)^(2/3),BG348+AY349+AZ349+BA349+BB349),0)</f>
        <v>0</v>
      </c>
      <c r="BD349" s="170">
        <f>IF(Escenarios!$F$17&gt;0,MIN(Constantes!$F$39*(BG348/Constantes!$F$40)^(2/3),BG348+AY349+AZ349+BA349+BB349-BC349),0)</f>
        <v>0</v>
      </c>
      <c r="BE349" s="170">
        <f>IF(Escenarios!$F$17&gt;0,MIN(Entradas!$F$113,BG348+AY349+AZ349+BA349+BB349-BC349-BD349),0)</f>
        <v>0</v>
      </c>
      <c r="BF349" s="170">
        <f>IF(Escenarios!$F$17&gt;0,MAX(0,BG348+AY349+AZ349+BA349+BB349-BC349-BD349-BE349-Constantes!$F$40),0)</f>
        <v>0</v>
      </c>
      <c r="BG349" s="170">
        <f t="shared" si="81"/>
        <v>0</v>
      </c>
      <c r="BH349" s="170">
        <f>(Escenarios!$F$16*AK349+0.1*BC349)/(Escenarios!$F$19)</f>
        <v>0.23179539202260821</v>
      </c>
      <c r="BI349" s="170">
        <f>IF(Escenarios!$F$17&gt;0,BF349/10/Escenarios!$F$19,AL349)</f>
        <v>0</v>
      </c>
      <c r="BJ349" s="170">
        <f>(Escenarios!$F$16*AT349+0.1*BD349)/(Escenarios!$F$19)</f>
        <v>0</v>
      </c>
      <c r="BK349" s="76">
        <f>BK348+(0.1*BD349)/(Escenarios!$F$19)-BL348</f>
        <v>48.75</v>
      </c>
      <c r="BL349" s="76">
        <f>MAX(0,(BK349-Constantes!$D$13)*(1-EXP(-Constantes!$D$23)))</f>
        <v>0</v>
      </c>
      <c r="BM349" s="76">
        <f t="shared" si="82"/>
        <v>0.10194225227283751</v>
      </c>
      <c r="BN349" s="76">
        <f t="shared" si="83"/>
        <v>0.10200844934550593</v>
      </c>
      <c r="BO349" s="76">
        <f>0.0526*BI349*Observaciones!$F348^1.218</f>
        <v>0</v>
      </c>
      <c r="BP349" s="76">
        <f>BO349*Constantes!$F$51</f>
        <v>0</v>
      </c>
      <c r="BQ349" s="76">
        <f t="shared" si="84"/>
        <v>0</v>
      </c>
      <c r="BR349" s="40"/>
    </row>
    <row r="350" spans="2:70">
      <c r="B350" s="39"/>
      <c r="C350" s="75">
        <v>344</v>
      </c>
      <c r="D350" s="146">
        <f>ETo!$I349*((1-Constantes!$F$19)*ETo!$K349+ETo!$L349)</f>
        <v>4.3138623445059601</v>
      </c>
      <c r="E350" s="76">
        <f>MIN(D350*Constantes!$F$17,0.8*(N349+Observaciones!$F349-F350-M350-Constantes!$D$14))</f>
        <v>1.7666668057742642E-3</v>
      </c>
      <c r="F350" s="76">
        <f>IF(Observaciones!$F349&gt;0.05*Constantes!$F$18,((Observaciones!$F349-0.05*Constantes!$F$18)^2)/(Observaciones!$F349+0.95*Constantes!$F$18),0)</f>
        <v>0</v>
      </c>
      <c r="G350" s="76">
        <f>IF(Escenarios!$F$11&gt;0,(F350*Escenarios!$F$16*10000)/1000,0)</f>
        <v>0</v>
      </c>
      <c r="H350" s="76">
        <f>IF(Escenarios!$F$11&gt;0,(Observaciones!$F349*Constantes!$F$29)/1000,0)</f>
        <v>0</v>
      </c>
      <c r="I350" s="76">
        <f>IF(Escenarios!$F$11&gt;0,(D350*Constantes!$F$29)/1000,0)</f>
        <v>0</v>
      </c>
      <c r="J350" s="76">
        <f>IF(Escenarios!$F$11&gt;0,MAX(0,G350+H350-I350),0)</f>
        <v>0</v>
      </c>
      <c r="K350" s="76">
        <f>IF(Escenarios!$F$11&gt;0,IF(J350&gt;Constantes!$F$30,1000*((J350-Constantes!$F$30)/(Escenarios!$F$16*10000)),0),F350)</f>
        <v>0</v>
      </c>
      <c r="L350" s="76">
        <f>IF(Escenarios!$F$11&gt;0,I350*1000/Escenarios!$F$16/10000+E350,E350)</f>
        <v>1.7666668057742642E-3</v>
      </c>
      <c r="M350" s="76">
        <f>MAX(0,N349+Observaciones!$F349-K350-Constantes!$D$13)</f>
        <v>0</v>
      </c>
      <c r="N350" s="76">
        <f>N349+Observaciones!$F349-K350-L350-M350-O349</f>
        <v>11.250366442755229</v>
      </c>
      <c r="O350" s="76">
        <f>MAX(0,(N350-Constantes!$D$14)*(1-EXP(-Constantes!$D$22)))</f>
        <v>1.2482385482009535E-5</v>
      </c>
      <c r="P350" s="170">
        <f>P349+(Entradas!$F$83*M350-Q349)/(800*Entradas!$D$25)</f>
        <v>0</v>
      </c>
      <c r="Q350" s="170">
        <f>8000*Entradas!$D$26*P350/Constantes!$F$45</f>
        <v>0</v>
      </c>
      <c r="R350" s="170">
        <f>IF(Escenarios!$F$14&gt;0,K350*Escenarios!$F$13/Escenarios!$F$14,0)</f>
        <v>0</v>
      </c>
      <c r="S350" s="170">
        <f>IF(Escenarios!$F$14&gt;0,Q350*Escenarios!$F$13/Escenarios!$F$14,0)</f>
        <v>0</v>
      </c>
      <c r="T350" s="170">
        <f>IF(Escenarios!$F$14&gt;0,Observaciones!$I349,0)</f>
        <v>0</v>
      </c>
      <c r="U350" s="170">
        <f>IF(Escenarios!$F$14&gt;0,MAX(0,Constantes!$F$36/((Z349+R350+S350+T350+Observaciones!$F349)^2)+Entradas!$F$77),0)</f>
        <v>0</v>
      </c>
      <c r="V350" s="146">
        <f>IF(ETo!D349&gt;0,ETo!I349*((1-Entradas!$F$81)*ETo!K349+ETo!L349),0)</f>
        <v>3.8323175538289558</v>
      </c>
      <c r="W350" s="170">
        <f>IF(Escenarios!$F$14&gt;0,MIN(V350*1,0.8*(Z349+R350+S350+T350+Observaciones!$F349-U350-Constantes!$F$35)),0)</f>
        <v>6.4082861994165798E-4</v>
      </c>
      <c r="X350" s="170">
        <f>IF(Escenarios!$F$14&gt;0,Observaciones!$J349,0)</f>
        <v>0</v>
      </c>
      <c r="Y350" s="170">
        <f>IF(Escenarios!$F$14&gt;0,MAX(0,Z349+R350+S350+T350+Observaciones!$F349-U350-W350-X350-Constantes!$F$33),0)</f>
        <v>0</v>
      </c>
      <c r="Z350" s="170">
        <f>Z349+R350+S350+T350+Observaciones!$F349-U350-W350-Y350</f>
        <v>41.250160207154984</v>
      </c>
      <c r="AA350" s="170">
        <f>IF(Escenarios!$F$14&gt;0,(Escenarios!$F$13*L350+Escenarios!$F$14*W350)/(Escenarios!$F$16),L350)</f>
        <v>1.6315662234743515E-3</v>
      </c>
      <c r="AB350" s="170">
        <f>IF(Escenarios!$F$14&gt;0,(Escenarios!$F$14*Y350)/(Escenarios!$F$16),K350)</f>
        <v>0</v>
      </c>
      <c r="AC350" s="170">
        <f>IF(Escenarios!$F$14&gt;0,(Escenarios!$F$13*M350+Escenarios!$F$14*U350)/(Escenarios!$F$16),M350)</f>
        <v>0</v>
      </c>
      <c r="AD350" s="76">
        <f t="shared" si="71"/>
        <v>58.607465137724269</v>
      </c>
      <c r="AE350" s="76">
        <f>MAX(0,(AD350-Constantes!$D$13)*(1-EXP(-Constantes!$D$23)))</f>
        <v>9.7127951867271467E-2</v>
      </c>
      <c r="AF350" s="76">
        <f>AB350+O350*Escenarios!$F$13/Escenarios!$F$16+AE350</f>
        <v>9.7138936366495635E-2</v>
      </c>
      <c r="AG350" s="76">
        <f>IF(Entradas!$F$91&gt;0,IF(AF350-Escenarios!$F$38&lt;=0,0,IF(AF350-Escenarios!$F$38&gt;Escenarios!$F$37,Escenarios!$F$37,AF350-Escenarios!$F$38)),0)</f>
        <v>0</v>
      </c>
      <c r="AH350" s="76">
        <f>AG350*Entradas!$F$99</f>
        <v>0</v>
      </c>
      <c r="AI350" s="76">
        <f>IF(Entradas!$F$91&gt;0,D350*Entradas!$D$23/Escenarios!$F$16,0)</f>
        <v>0.20706539253628609</v>
      </c>
      <c r="AJ350" s="76">
        <f>IF(Entradas!$F$91&gt;0,Entradas!$D$24*Entradas!$D$22/Escenarios!$F$16,0)</f>
        <v>0.12</v>
      </c>
      <c r="AK350" s="76">
        <f t="shared" si="72"/>
        <v>0.20869695875976044</v>
      </c>
      <c r="AL350" s="76">
        <f t="shared" si="73"/>
        <v>0</v>
      </c>
      <c r="AM350" s="76">
        <f t="shared" si="74"/>
        <v>0</v>
      </c>
      <c r="AN350" s="76">
        <f>MAX(0,O350*Escenarios!$F$13/Escenarios!$F$16-AM350)</f>
        <v>1.0984499224168391E-5</v>
      </c>
      <c r="AO350" s="76">
        <f>AM350+AN350-O350*Escenarios!$F$13/Escenarios!$F$16</f>
        <v>0</v>
      </c>
      <c r="AP350" s="76">
        <f t="shared" si="75"/>
        <v>9.7127951867271467E-2</v>
      </c>
      <c r="AQ350" s="76">
        <f t="shared" si="76"/>
        <v>0</v>
      </c>
      <c r="AR350" s="76">
        <f t="shared" si="77"/>
        <v>9.7138936366495635E-2</v>
      </c>
      <c r="AS350" s="76">
        <f t="shared" si="78"/>
        <v>0</v>
      </c>
      <c r="AT350" s="76">
        <f t="shared" si="79"/>
        <v>0</v>
      </c>
      <c r="AU350" s="76">
        <f t="shared" si="80"/>
        <v>48.997882031232557</v>
      </c>
      <c r="AV350" s="76">
        <f>MAX(0,(AU350-Constantes!$D$13)*(1-EXP(-Constantes!$D$24)))</f>
        <v>3.7889380905046645E-3</v>
      </c>
      <c r="AW350" s="170">
        <f>AW349+(Entradas!$F$112*AT350-AX349)/(800*Entradas!$D$25)</f>
        <v>0</v>
      </c>
      <c r="AX350" s="170">
        <f>8000*Entradas!$D$26*AW350/Constantes!$F$45</f>
        <v>0</v>
      </c>
      <c r="AY350" s="170">
        <f>IF(Escenarios!$F$17&gt;0,10*Escenarios!$F$16*AL350,0)</f>
        <v>0</v>
      </c>
      <c r="AZ350" s="170">
        <f>IF(Escenarios!$F$17&gt;0,10*Escenarios!$F$16*AX350,0)</f>
        <v>0</v>
      </c>
      <c r="BA350" s="170">
        <f>IF(Escenarios!$F$17&gt;0,0.001*Observaciones!$F349*Escenarios!$F$17,0)</f>
        <v>0</v>
      </c>
      <c r="BB350" s="170">
        <f>IF(Escenarios!$F$17&gt;0,Observaciones!$K349,0)</f>
        <v>0</v>
      </c>
      <c r="BC350" s="170">
        <f>IF(Escenarios!$F$17&gt;0,MIN(0.0005*ETo!$M349*Escenarios!$F$17*(BG349/Constantes!$F$40)^(2/3),BG349+AY350+AZ350+BA350+BB350),0)</f>
        <v>0</v>
      </c>
      <c r="BD350" s="170">
        <f>IF(Escenarios!$F$17&gt;0,MIN(Constantes!$F$39*(BG349/Constantes!$F$40)^(2/3),BG349+AY350+AZ350+BA350+BB350-BC350),0)</f>
        <v>0</v>
      </c>
      <c r="BE350" s="170">
        <f>IF(Escenarios!$F$17&gt;0,MIN(Entradas!$F$113,BG349+AY350+AZ350+BA350+BB350-BC350-BD350),0)</f>
        <v>0</v>
      </c>
      <c r="BF350" s="170">
        <f>IF(Escenarios!$F$17&gt;0,MAX(0,BG349+AY350+AZ350+BA350+BB350-BC350-BD350-BE350-Constantes!$F$40),0)</f>
        <v>0</v>
      </c>
      <c r="BG350" s="170">
        <f t="shared" si="81"/>
        <v>0</v>
      </c>
      <c r="BH350" s="170">
        <f>(Escenarios!$F$16*AK350+0.1*BC350)/(Escenarios!$F$19)</f>
        <v>0.20869695875976044</v>
      </c>
      <c r="BI350" s="170">
        <f>IF(Escenarios!$F$17&gt;0,BF350/10/Escenarios!$F$19,AL350)</f>
        <v>0</v>
      </c>
      <c r="BJ350" s="170">
        <f>(Escenarios!$F$16*AT350+0.1*BD350)/(Escenarios!$F$19)</f>
        <v>0</v>
      </c>
      <c r="BK350" s="76">
        <f>BK349+(0.1*BD350)/(Escenarios!$F$19)-BL349</f>
        <v>48.75</v>
      </c>
      <c r="BL350" s="76">
        <f>MAX(0,(BK350-Constantes!$D$13)*(1-EXP(-Constantes!$D$23)))</f>
        <v>0</v>
      </c>
      <c r="BM350" s="76">
        <f t="shared" si="82"/>
        <v>0.10091688995777613</v>
      </c>
      <c r="BN350" s="76">
        <f t="shared" si="83"/>
        <v>0.1009278744570003</v>
      </c>
      <c r="BO350" s="76">
        <f>0.0526*BI350*Observaciones!$F349^1.218</f>
        <v>0</v>
      </c>
      <c r="BP350" s="76">
        <f>BO350*Constantes!$F$51</f>
        <v>0</v>
      </c>
      <c r="BQ350" s="76">
        <f t="shared" si="84"/>
        <v>0</v>
      </c>
      <c r="BR350" s="40"/>
    </row>
    <row r="351" spans="2:70">
      <c r="B351" s="39"/>
      <c r="C351" s="75">
        <v>345</v>
      </c>
      <c r="D351" s="146">
        <f>ETo!$I350*((1-Constantes!$F$19)*ETo!$K350+ETo!$L350)</f>
        <v>4.5561067978950609</v>
      </c>
      <c r="E351" s="76">
        <f>MIN(D351*Constantes!$F$17,0.8*(N350+Observaciones!$F350-F351-M351-Constantes!$D$14))</f>
        <v>2.9315420418356557E-4</v>
      </c>
      <c r="F351" s="76">
        <f>IF(Observaciones!$F350&gt;0.05*Constantes!$F$18,((Observaciones!$F350-0.05*Constantes!$F$18)^2)/(Observaciones!$F350+0.95*Constantes!$F$18),0)</f>
        <v>0</v>
      </c>
      <c r="G351" s="76">
        <f>IF(Escenarios!$F$11&gt;0,(F351*Escenarios!$F$16*10000)/1000,0)</f>
        <v>0</v>
      </c>
      <c r="H351" s="76">
        <f>IF(Escenarios!$F$11&gt;0,(Observaciones!$F350*Constantes!$F$29)/1000,0)</f>
        <v>0</v>
      </c>
      <c r="I351" s="76">
        <f>IF(Escenarios!$F$11&gt;0,(D351*Constantes!$F$29)/1000,0)</f>
        <v>0</v>
      </c>
      <c r="J351" s="76">
        <f>IF(Escenarios!$F$11&gt;0,MAX(0,G351+H351-I351),0)</f>
        <v>0</v>
      </c>
      <c r="K351" s="76">
        <f>IF(Escenarios!$F$11&gt;0,IF(J351&gt;Constantes!$F$30,1000*((J351-Constantes!$F$30)/(Escenarios!$F$16*10000)),0),F351)</f>
        <v>0</v>
      </c>
      <c r="L351" s="76">
        <f>IF(Escenarios!$F$11&gt;0,I351*1000/Escenarios!$F$16/10000+E351,E351)</f>
        <v>2.9315420418356557E-4</v>
      </c>
      <c r="M351" s="76">
        <f>MAX(0,N350+Observaciones!$F350-K351-Constantes!$D$13)</f>
        <v>0</v>
      </c>
      <c r="N351" s="76">
        <f>N350+Observaciones!$F350-K351-L351-M351-O350</f>
        <v>11.250060806165564</v>
      </c>
      <c r="O351" s="76">
        <f>MAX(0,(N351-Constantes!$D$14)*(1-EXP(-Constantes!$D$22)))</f>
        <v>2.0712812231145423E-6</v>
      </c>
      <c r="P351" s="170">
        <f>P350+(Entradas!$F$83*M351-Q350)/(800*Entradas!$D$25)</f>
        <v>0</v>
      </c>
      <c r="Q351" s="170">
        <f>8000*Entradas!$D$26*P351/Constantes!$F$45</f>
        <v>0</v>
      </c>
      <c r="R351" s="170">
        <f>IF(Escenarios!$F$14&gt;0,K351*Escenarios!$F$13/Escenarios!$F$14,0)</f>
        <v>0</v>
      </c>
      <c r="S351" s="170">
        <f>IF(Escenarios!$F$14&gt;0,Q351*Escenarios!$F$13/Escenarios!$F$14,0)</f>
        <v>0</v>
      </c>
      <c r="T351" s="170">
        <f>IF(Escenarios!$F$14&gt;0,Observaciones!$I350,0)</f>
        <v>0</v>
      </c>
      <c r="U351" s="170">
        <f>IF(Escenarios!$F$14&gt;0,MAX(0,Constantes!$F$36/((Z350+R351+S351+T351+Observaciones!$F350)^2)+Entradas!$F$77),0)</f>
        <v>0</v>
      </c>
      <c r="V351" s="146">
        <f>IF(ETo!D350&gt;0,ETo!I350*((1-Entradas!$F$81)*ETo!K350+ETo!L350),0)</f>
        <v>4.0505423551994699</v>
      </c>
      <c r="W351" s="170">
        <f>IF(Escenarios!$F$14&gt;0,MIN(V351*1,0.8*(Z350+R351+S351+T351+Observaciones!$F350-U351-Constantes!$F$35)),0)</f>
        <v>1.2816572398719473E-4</v>
      </c>
      <c r="X351" s="170">
        <f>IF(Escenarios!$F$14&gt;0,Observaciones!$J350,0)</f>
        <v>0</v>
      </c>
      <c r="Y351" s="170">
        <f>IF(Escenarios!$F$14&gt;0,MAX(0,Z350+R351+S351+T351+Observaciones!$F350-U351-W351-X351-Constantes!$F$33),0)</f>
        <v>0</v>
      </c>
      <c r="Z351" s="170">
        <f>Z350+R351+S351+T351+Observaciones!$F350-U351-W351-Y351</f>
        <v>41.250032041430998</v>
      </c>
      <c r="AA351" s="170">
        <f>IF(Escenarios!$F$14&gt;0,(Escenarios!$F$13*L351+Escenarios!$F$14*W351)/(Escenarios!$F$16),L351)</f>
        <v>2.7335558656000106E-4</v>
      </c>
      <c r="AB351" s="170">
        <f>IF(Escenarios!$F$14&gt;0,(Escenarios!$F$14*Y351)/(Escenarios!$F$16),K351)</f>
        <v>0</v>
      </c>
      <c r="AC351" s="170">
        <f>IF(Escenarios!$F$14&gt;0,(Escenarios!$F$13*M351+Escenarios!$F$14*U351)/(Escenarios!$F$16),M351)</f>
        <v>0</v>
      </c>
      <c r="AD351" s="76">
        <f t="shared" si="71"/>
        <v>58.510337185856997</v>
      </c>
      <c r="AE351" s="76">
        <f>MAX(0,(AD351-Constantes!$D$13)*(1-EXP(-Constantes!$D$23)))</f>
        <v>9.6170927023447469E-2</v>
      </c>
      <c r="AF351" s="76">
        <f>AB351+O351*Escenarios!$F$13/Escenarios!$F$16+AE351</f>
        <v>9.6172749750923811E-2</v>
      </c>
      <c r="AG351" s="76">
        <f>IF(Entradas!$F$91&gt;0,IF(AF351-Escenarios!$F$38&lt;=0,0,IF(AF351-Escenarios!$F$38&gt;Escenarios!$F$37,Escenarios!$F$37,AF351-Escenarios!$F$38)),0)</f>
        <v>0</v>
      </c>
      <c r="AH351" s="76">
        <f>AG351*Entradas!$F$99</f>
        <v>0</v>
      </c>
      <c r="AI351" s="76">
        <f>IF(Entradas!$F$91&gt;0,D351*Entradas!$D$23/Escenarios!$F$16,0)</f>
        <v>0.2186931262989629</v>
      </c>
      <c r="AJ351" s="76">
        <f>IF(Entradas!$F$91&gt;0,Entradas!$D$24*Entradas!$D$22/Escenarios!$F$16,0)</f>
        <v>0.12</v>
      </c>
      <c r="AK351" s="76">
        <f t="shared" si="72"/>
        <v>0.2189664818855229</v>
      </c>
      <c r="AL351" s="76">
        <f t="shared" si="73"/>
        <v>0</v>
      </c>
      <c r="AM351" s="76">
        <f t="shared" si="74"/>
        <v>0</v>
      </c>
      <c r="AN351" s="76">
        <f>MAX(0,O351*Escenarios!$F$13/Escenarios!$F$16-AM351)</f>
        <v>1.8227274763407972E-6</v>
      </c>
      <c r="AO351" s="76">
        <f>AM351+AN351-O351*Escenarios!$F$13/Escenarios!$F$16</f>
        <v>0</v>
      </c>
      <c r="AP351" s="76">
        <f t="shared" si="75"/>
        <v>9.6170927023447469E-2</v>
      </c>
      <c r="AQ351" s="76">
        <f t="shared" si="76"/>
        <v>0</v>
      </c>
      <c r="AR351" s="76">
        <f t="shared" si="77"/>
        <v>9.6172749750923811E-2</v>
      </c>
      <c r="AS351" s="76">
        <f t="shared" si="78"/>
        <v>0</v>
      </c>
      <c r="AT351" s="76">
        <f t="shared" si="79"/>
        <v>0</v>
      </c>
      <c r="AU351" s="76">
        <f t="shared" si="80"/>
        <v>48.994093093142055</v>
      </c>
      <c r="AV351" s="76">
        <f>MAX(0,(AU351-Constantes!$D$13)*(1-EXP(-Constantes!$D$24)))</f>
        <v>3.7310232356752063E-3</v>
      </c>
      <c r="AW351" s="170">
        <f>AW350+(Entradas!$F$112*AT351-AX350)/(800*Entradas!$D$25)</f>
        <v>0</v>
      </c>
      <c r="AX351" s="170">
        <f>8000*Entradas!$D$26*AW351/Constantes!$F$45</f>
        <v>0</v>
      </c>
      <c r="AY351" s="170">
        <f>IF(Escenarios!$F$17&gt;0,10*Escenarios!$F$16*AL351,0)</f>
        <v>0</v>
      </c>
      <c r="AZ351" s="170">
        <f>IF(Escenarios!$F$17&gt;0,10*Escenarios!$F$16*AX351,0)</f>
        <v>0</v>
      </c>
      <c r="BA351" s="170">
        <f>IF(Escenarios!$F$17&gt;0,0.001*Observaciones!$F350*Escenarios!$F$17,0)</f>
        <v>0</v>
      </c>
      <c r="BB351" s="170">
        <f>IF(Escenarios!$F$17&gt;0,Observaciones!$K350,0)</f>
        <v>0</v>
      </c>
      <c r="BC351" s="170">
        <f>IF(Escenarios!$F$17&gt;0,MIN(0.0005*ETo!$M350*Escenarios!$F$17*(BG350/Constantes!$F$40)^(2/3),BG350+AY351+AZ351+BA351+BB351),0)</f>
        <v>0</v>
      </c>
      <c r="BD351" s="170">
        <f>IF(Escenarios!$F$17&gt;0,MIN(Constantes!$F$39*(BG350/Constantes!$F$40)^(2/3),BG350+AY351+AZ351+BA351+BB351-BC351),0)</f>
        <v>0</v>
      </c>
      <c r="BE351" s="170">
        <f>IF(Escenarios!$F$17&gt;0,MIN(Entradas!$F$113,BG350+AY351+AZ351+BA351+BB351-BC351-BD351),0)</f>
        <v>0</v>
      </c>
      <c r="BF351" s="170">
        <f>IF(Escenarios!$F$17&gt;0,MAX(0,BG350+AY351+AZ351+BA351+BB351-BC351-BD351-BE351-Constantes!$F$40),0)</f>
        <v>0</v>
      </c>
      <c r="BG351" s="170">
        <f t="shared" si="81"/>
        <v>0</v>
      </c>
      <c r="BH351" s="170">
        <f>(Escenarios!$F$16*AK351+0.1*BC351)/(Escenarios!$F$19)</f>
        <v>0.21896648188552287</v>
      </c>
      <c r="BI351" s="170">
        <f>IF(Escenarios!$F$17&gt;0,BF351/10/Escenarios!$F$19,AL351)</f>
        <v>0</v>
      </c>
      <c r="BJ351" s="170">
        <f>(Escenarios!$F$16*AT351+0.1*BD351)/(Escenarios!$F$19)</f>
        <v>0</v>
      </c>
      <c r="BK351" s="76">
        <f>BK350+(0.1*BD351)/(Escenarios!$F$19)-BL350</f>
        <v>48.75</v>
      </c>
      <c r="BL351" s="76">
        <f>MAX(0,(BK351-Constantes!$D$13)*(1-EXP(-Constantes!$D$23)))</f>
        <v>0</v>
      </c>
      <c r="BM351" s="76">
        <f t="shared" si="82"/>
        <v>9.9901950259122671E-2</v>
      </c>
      <c r="BN351" s="76">
        <f t="shared" si="83"/>
        <v>9.9903772986599013E-2</v>
      </c>
      <c r="BO351" s="76">
        <f>0.0526*BI351*Observaciones!$F350^1.218</f>
        <v>0</v>
      </c>
      <c r="BP351" s="76">
        <f>BO351*Constantes!$F$51</f>
        <v>0</v>
      </c>
      <c r="BQ351" s="76">
        <f t="shared" si="84"/>
        <v>0</v>
      </c>
      <c r="BR351" s="40"/>
    </row>
    <row r="352" spans="2:70">
      <c r="B352" s="39"/>
      <c r="C352" s="75">
        <v>346</v>
      </c>
      <c r="D352" s="146">
        <f>ETo!$I351*((1-Constantes!$F$19)*ETo!$K351+ETo!$L351)</f>
        <v>4.4723329709372006</v>
      </c>
      <c r="E352" s="76">
        <f>MIN(D352*Constantes!$F$17,0.8*(N351+Observaciones!$F351-F352-M352-Constantes!$D$14))</f>
        <v>4.8644932451225035E-5</v>
      </c>
      <c r="F352" s="76">
        <f>IF(Observaciones!$F351&gt;0.05*Constantes!$F$18,((Observaciones!$F351-0.05*Constantes!$F$18)^2)/(Observaciones!$F351+0.95*Constantes!$F$18),0)</f>
        <v>0</v>
      </c>
      <c r="G352" s="76">
        <f>IF(Escenarios!$F$11&gt;0,(F352*Escenarios!$F$16*10000)/1000,0)</f>
        <v>0</v>
      </c>
      <c r="H352" s="76">
        <f>IF(Escenarios!$F$11&gt;0,(Observaciones!$F351*Constantes!$F$29)/1000,0)</f>
        <v>0</v>
      </c>
      <c r="I352" s="76">
        <f>IF(Escenarios!$F$11&gt;0,(D352*Constantes!$F$29)/1000,0)</f>
        <v>0</v>
      </c>
      <c r="J352" s="76">
        <f>IF(Escenarios!$F$11&gt;0,MAX(0,G352+H352-I352),0)</f>
        <v>0</v>
      </c>
      <c r="K352" s="76">
        <f>IF(Escenarios!$F$11&gt;0,IF(J352&gt;Constantes!$F$30,1000*((J352-Constantes!$F$30)/(Escenarios!$F$16*10000)),0),F352)</f>
        <v>0</v>
      </c>
      <c r="L352" s="76">
        <f>IF(Escenarios!$F$11&gt;0,I352*1000/Escenarios!$F$16/10000+E352,E352)</f>
        <v>4.8644932451225035E-5</v>
      </c>
      <c r="M352" s="76">
        <f>MAX(0,N351+Observaciones!$F351-K352-Constantes!$D$13)</f>
        <v>0</v>
      </c>
      <c r="N352" s="76">
        <f>N351+Observaciones!$F351-K352-L352-M352-O351</f>
        <v>11.250010089951889</v>
      </c>
      <c r="O352" s="76">
        <f>MAX(0,(N352-Constantes!$D$14)*(1-EXP(-Constantes!$D$22)))</f>
        <v>3.4370080231491175E-7</v>
      </c>
      <c r="P352" s="170">
        <f>P351+(Entradas!$F$83*M352-Q351)/(800*Entradas!$D$25)</f>
        <v>0</v>
      </c>
      <c r="Q352" s="170">
        <f>8000*Entradas!$D$26*P352/Constantes!$F$45</f>
        <v>0</v>
      </c>
      <c r="R352" s="170">
        <f>IF(Escenarios!$F$14&gt;0,K352*Escenarios!$F$13/Escenarios!$F$14,0)</f>
        <v>0</v>
      </c>
      <c r="S352" s="170">
        <f>IF(Escenarios!$F$14&gt;0,Q352*Escenarios!$F$13/Escenarios!$F$14,0)</f>
        <v>0</v>
      </c>
      <c r="T352" s="170">
        <f>IF(Escenarios!$F$14&gt;0,Observaciones!$I351,0)</f>
        <v>0</v>
      </c>
      <c r="U352" s="170">
        <f>IF(Escenarios!$F$14&gt;0,MAX(0,Constantes!$F$36/((Z351+R352+S352+T352+Observaciones!$F351)^2)+Entradas!$F$77),0)</f>
        <v>0</v>
      </c>
      <c r="V352" s="146">
        <f>IF(ETo!D351&gt;0,ETo!I351*((1-Entradas!$F$81)*ETo!K351+ETo!L351),0)</f>
        <v>3.974900060107609</v>
      </c>
      <c r="W352" s="170">
        <f>IF(Escenarios!$F$14&gt;0,MIN(V352*1,0.8*(Z351+R352+S352+T352+Observaciones!$F351-U352-Constantes!$F$35)),0)</f>
        <v>2.5633144798575816E-5</v>
      </c>
      <c r="X352" s="170">
        <f>IF(Escenarios!$F$14&gt;0,Observaciones!$J351,0)</f>
        <v>0</v>
      </c>
      <c r="Y352" s="170">
        <f>IF(Escenarios!$F$14&gt;0,MAX(0,Z351+R352+S352+T352+Observaciones!$F351-U352-W352-X352-Constantes!$F$33),0)</f>
        <v>0</v>
      </c>
      <c r="Z352" s="170">
        <f>Z351+R352+S352+T352+Observaciones!$F351-U352-W352-Y352</f>
        <v>41.250006408286197</v>
      </c>
      <c r="AA352" s="170">
        <f>IF(Escenarios!$F$14&gt;0,(Escenarios!$F$13*L352+Escenarios!$F$14*W352)/(Escenarios!$F$16),L352)</f>
        <v>4.5883517932907135E-5</v>
      </c>
      <c r="AB352" s="170">
        <f>IF(Escenarios!$F$14&gt;0,(Escenarios!$F$14*Y352)/(Escenarios!$F$16),K352)</f>
        <v>0</v>
      </c>
      <c r="AC352" s="170">
        <f>IF(Escenarios!$F$14&gt;0,(Escenarios!$F$13*M352+Escenarios!$F$14*U352)/(Escenarios!$F$16),M352)</f>
        <v>0</v>
      </c>
      <c r="AD352" s="76">
        <f t="shared" si="71"/>
        <v>58.414166258833546</v>
      </c>
      <c r="AE352" s="76">
        <f>MAX(0,(AD352-Constantes!$D$13)*(1-EXP(-Constantes!$D$23)))</f>
        <v>9.522333197335521E-2</v>
      </c>
      <c r="AF352" s="76">
        <f>AB352+O352*Escenarios!$F$13/Escenarios!$F$16+AE352</f>
        <v>9.5223634430061252E-2</v>
      </c>
      <c r="AG352" s="76">
        <f>IF(Entradas!$F$91&gt;0,IF(AF352-Escenarios!$F$38&lt;=0,0,IF(AF352-Escenarios!$F$38&gt;Escenarios!$F$37,Escenarios!$F$37,AF352-Escenarios!$F$38)),0)</f>
        <v>0</v>
      </c>
      <c r="AH352" s="76">
        <f>AG352*Entradas!$F$99</f>
        <v>0</v>
      </c>
      <c r="AI352" s="76">
        <f>IF(Entradas!$F$91&gt;0,D352*Entradas!$D$23/Escenarios!$F$16,0)</f>
        <v>0.21467198260498563</v>
      </c>
      <c r="AJ352" s="76">
        <f>IF(Entradas!$F$91&gt;0,Entradas!$D$24*Entradas!$D$22/Escenarios!$F$16,0)</f>
        <v>0.12</v>
      </c>
      <c r="AK352" s="76">
        <f t="shared" si="72"/>
        <v>0.21471786612291854</v>
      </c>
      <c r="AL352" s="76">
        <f t="shared" si="73"/>
        <v>0</v>
      </c>
      <c r="AM352" s="76">
        <f t="shared" si="74"/>
        <v>0</v>
      </c>
      <c r="AN352" s="76">
        <f>MAX(0,O352*Escenarios!$F$13/Escenarios!$F$16-AM352)</f>
        <v>3.0245670603712232E-7</v>
      </c>
      <c r="AO352" s="76">
        <f>AM352+AN352-O352*Escenarios!$F$13/Escenarios!$F$16</f>
        <v>0</v>
      </c>
      <c r="AP352" s="76">
        <f t="shared" si="75"/>
        <v>9.522333197335521E-2</v>
      </c>
      <c r="AQ352" s="76">
        <f t="shared" si="76"/>
        <v>0</v>
      </c>
      <c r="AR352" s="76">
        <f t="shared" si="77"/>
        <v>9.5223634430061252E-2</v>
      </c>
      <c r="AS352" s="76">
        <f t="shared" si="78"/>
        <v>0</v>
      </c>
      <c r="AT352" s="76">
        <f t="shared" si="79"/>
        <v>0</v>
      </c>
      <c r="AU352" s="76">
        <f t="shared" si="80"/>
        <v>48.990362069906382</v>
      </c>
      <c r="AV352" s="76">
        <f>MAX(0,(AU352-Constantes!$D$13)*(1-EXP(-Constantes!$D$24)))</f>
        <v>3.6739936237105654E-3</v>
      </c>
      <c r="AW352" s="170">
        <f>AW351+(Entradas!$F$112*AT352-AX351)/(800*Entradas!$D$25)</f>
        <v>0</v>
      </c>
      <c r="AX352" s="170">
        <f>8000*Entradas!$D$26*AW352/Constantes!$F$45</f>
        <v>0</v>
      </c>
      <c r="AY352" s="170">
        <f>IF(Escenarios!$F$17&gt;0,10*Escenarios!$F$16*AL352,0)</f>
        <v>0</v>
      </c>
      <c r="AZ352" s="170">
        <f>IF(Escenarios!$F$17&gt;0,10*Escenarios!$F$16*AX352,0)</f>
        <v>0</v>
      </c>
      <c r="BA352" s="170">
        <f>IF(Escenarios!$F$17&gt;0,0.001*Observaciones!$F351*Escenarios!$F$17,0)</f>
        <v>0</v>
      </c>
      <c r="BB352" s="170">
        <f>IF(Escenarios!$F$17&gt;0,Observaciones!$K351,0)</f>
        <v>0</v>
      </c>
      <c r="BC352" s="170">
        <f>IF(Escenarios!$F$17&gt;0,MIN(0.0005*ETo!$M351*Escenarios!$F$17*(BG351/Constantes!$F$40)^(2/3),BG351+AY352+AZ352+BA352+BB352),0)</f>
        <v>0</v>
      </c>
      <c r="BD352" s="170">
        <f>IF(Escenarios!$F$17&gt;0,MIN(Constantes!$F$39*(BG351/Constantes!$F$40)^(2/3),BG351+AY352+AZ352+BA352+BB352-BC352),0)</f>
        <v>0</v>
      </c>
      <c r="BE352" s="170">
        <f>IF(Escenarios!$F$17&gt;0,MIN(Entradas!$F$113,BG351+AY352+AZ352+BA352+BB352-BC352-BD352),0)</f>
        <v>0</v>
      </c>
      <c r="BF352" s="170">
        <f>IF(Escenarios!$F$17&gt;0,MAX(0,BG351+AY352+AZ352+BA352+BB352-BC352-BD352-BE352-Constantes!$F$40),0)</f>
        <v>0</v>
      </c>
      <c r="BG352" s="170">
        <f t="shared" si="81"/>
        <v>0</v>
      </c>
      <c r="BH352" s="170">
        <f>(Escenarios!$F$16*AK352+0.1*BC352)/(Escenarios!$F$19)</f>
        <v>0.21471786612291854</v>
      </c>
      <c r="BI352" s="170">
        <f>IF(Escenarios!$F$17&gt;0,BF352/10/Escenarios!$F$19,AL352)</f>
        <v>0</v>
      </c>
      <c r="BJ352" s="170">
        <f>(Escenarios!$F$16*AT352+0.1*BD352)/(Escenarios!$F$19)</f>
        <v>0</v>
      </c>
      <c r="BK352" s="76">
        <f>BK351+(0.1*BD352)/(Escenarios!$F$19)-BL351</f>
        <v>48.75</v>
      </c>
      <c r="BL352" s="76">
        <f>MAX(0,(BK352-Constantes!$D$13)*(1-EXP(-Constantes!$D$23)))</f>
        <v>0</v>
      </c>
      <c r="BM352" s="76">
        <f t="shared" si="82"/>
        <v>9.889732559706578E-2</v>
      </c>
      <c r="BN352" s="76">
        <f t="shared" si="83"/>
        <v>9.8897628053771822E-2</v>
      </c>
      <c r="BO352" s="76">
        <f>0.0526*BI352*Observaciones!$F351^1.218</f>
        <v>0</v>
      </c>
      <c r="BP352" s="76">
        <f>BO352*Constantes!$F$51</f>
        <v>0</v>
      </c>
      <c r="BQ352" s="76">
        <f t="shared" si="84"/>
        <v>0</v>
      </c>
      <c r="BR352" s="40"/>
    </row>
    <row r="353" spans="2:70">
      <c r="B353" s="39"/>
      <c r="C353" s="75">
        <v>347</v>
      </c>
      <c r="D353" s="146">
        <f>ETo!$I352*((1-Constantes!$F$19)*ETo!$K352+ETo!$L352)</f>
        <v>4.3371363926715292</v>
      </c>
      <c r="E353" s="76">
        <f>MIN(D353*Constantes!$F$17,0.8*(N352+Observaciones!$F352-F353-M353-Constantes!$D$14))</f>
        <v>2.4735198790946566</v>
      </c>
      <c r="F353" s="76">
        <f>IF(Observaciones!$F352&gt;0.05*Constantes!$F$18,((Observaciones!$F352-0.05*Constantes!$F$18)^2)/(Observaciones!$F352+0.95*Constantes!$F$18),0)</f>
        <v>0</v>
      </c>
      <c r="G353" s="76">
        <f>IF(Escenarios!$F$11&gt;0,(F353*Escenarios!$F$16*10000)/1000,0)</f>
        <v>0</v>
      </c>
      <c r="H353" s="76">
        <f>IF(Escenarios!$F$11&gt;0,(Observaciones!$F352*Constantes!$F$29)/1000,0)</f>
        <v>0</v>
      </c>
      <c r="I353" s="76">
        <f>IF(Escenarios!$F$11&gt;0,(D353*Constantes!$F$29)/1000,0)</f>
        <v>0</v>
      </c>
      <c r="J353" s="76">
        <f>IF(Escenarios!$F$11&gt;0,MAX(0,G353+H353-I353),0)</f>
        <v>0</v>
      </c>
      <c r="K353" s="76">
        <f>IF(Escenarios!$F$11&gt;0,IF(J353&gt;Constantes!$F$30,1000*((J353-Constantes!$F$30)/(Escenarios!$F$16*10000)),0),F353)</f>
        <v>0</v>
      </c>
      <c r="L353" s="76">
        <f>IF(Escenarios!$F$11&gt;0,I353*1000/Escenarios!$F$16/10000+E353,E353)</f>
        <v>2.4735198790946566</v>
      </c>
      <c r="M353" s="76">
        <f>MAX(0,N352+Observaciones!$F352-K353-Constantes!$D$13)</f>
        <v>0</v>
      </c>
      <c r="N353" s="76">
        <f>N352+Observaciones!$F352-K353-L353-M353-O352</f>
        <v>12.87648986715643</v>
      </c>
      <c r="O353" s="76">
        <f>MAX(0,(N353-Constantes!$D$14)*(1-EXP(-Constantes!$D$22)))</f>
        <v>5.5404215841888198E-2</v>
      </c>
      <c r="P353" s="170">
        <f>P352+(Entradas!$F$83*M353-Q352)/(800*Entradas!$D$25)</f>
        <v>0</v>
      </c>
      <c r="Q353" s="170">
        <f>8000*Entradas!$D$26*P353/Constantes!$F$45</f>
        <v>0</v>
      </c>
      <c r="R353" s="170">
        <f>IF(Escenarios!$F$14&gt;0,K353*Escenarios!$F$13/Escenarios!$F$14,0)</f>
        <v>0</v>
      </c>
      <c r="S353" s="170">
        <f>IF(Escenarios!$F$14&gt;0,Q353*Escenarios!$F$13/Escenarios!$F$14,0)</f>
        <v>0</v>
      </c>
      <c r="T353" s="170">
        <f>IF(Escenarios!$F$14&gt;0,Observaciones!$I352,0)</f>
        <v>0</v>
      </c>
      <c r="U353" s="170">
        <f>IF(Escenarios!$F$14&gt;0,MAX(0,Constantes!$F$36/((Z352+R353+S353+T353+Observaciones!$F352)^2)+Entradas!$F$77),0)</f>
        <v>0</v>
      </c>
      <c r="V353" s="146">
        <f>IF(ETo!D352&gt;0,ETo!I352*((1-Entradas!$F$81)*ETo!K352+ETo!L352),0)</f>
        <v>3.8532168963414408</v>
      </c>
      <c r="W353" s="170">
        <f>IF(Escenarios!$F$14&gt;0,MIN(V353*1,0.8*(Z352+R353+S353+T353+Observaciones!$F352-U353-Constantes!$F$35)),0)</f>
        <v>3.2800051266289589</v>
      </c>
      <c r="X353" s="170">
        <f>IF(Escenarios!$F$14&gt;0,Observaciones!$J352,0)</f>
        <v>0</v>
      </c>
      <c r="Y353" s="170">
        <f>IF(Escenarios!$F$14&gt;0,MAX(0,Z352+R353+S353+T353+Observaciones!$F352-U353-W353-X353-Constantes!$F$33),0)</f>
        <v>0</v>
      </c>
      <c r="Z353" s="170">
        <f>Z352+R353+S353+T353+Observaciones!$F352-U353-W353-Y353</f>
        <v>42.070001281657241</v>
      </c>
      <c r="AA353" s="170">
        <f>IF(Escenarios!$F$14&gt;0,(Escenarios!$F$13*L353+Escenarios!$F$14*W353)/(Escenarios!$F$16),L353)</f>
        <v>2.5702981087987733</v>
      </c>
      <c r="AB353" s="170">
        <f>IF(Escenarios!$F$14&gt;0,(Escenarios!$F$14*Y353)/(Escenarios!$F$16),K353)</f>
        <v>0</v>
      </c>
      <c r="AC353" s="170">
        <f>IF(Escenarios!$F$14&gt;0,(Escenarios!$F$13*M353+Escenarios!$F$14*U353)/(Escenarios!$F$16),M353)</f>
        <v>0</v>
      </c>
      <c r="AD353" s="76">
        <f t="shared" si="71"/>
        <v>58.318942926860188</v>
      </c>
      <c r="AE353" s="76">
        <f>MAX(0,(AD353-Constantes!$D$13)*(1-EXP(-Constantes!$D$23)))</f>
        <v>9.428507380299106E-2</v>
      </c>
      <c r="AF353" s="76">
        <f>AB353+O353*Escenarios!$F$13/Escenarios!$F$16+AE353</f>
        <v>0.14304078374385268</v>
      </c>
      <c r="AG353" s="76">
        <f>IF(Entradas!$F$91&gt;0,IF(AF353-Escenarios!$F$38&lt;=0,0,IF(AF353-Escenarios!$F$38&gt;Escenarios!$F$37,Escenarios!$F$37,AF353-Escenarios!$F$38)),0)</f>
        <v>0</v>
      </c>
      <c r="AH353" s="76">
        <f>AG353*Entradas!$F$99</f>
        <v>0</v>
      </c>
      <c r="AI353" s="76">
        <f>IF(Entradas!$F$91&gt;0,D353*Entradas!$D$23/Escenarios!$F$16,0)</f>
        <v>0.20818254684823342</v>
      </c>
      <c r="AJ353" s="76">
        <f>IF(Entradas!$F$91&gt;0,Entradas!$D$24*Entradas!$D$22/Escenarios!$F$16,0)</f>
        <v>0.12</v>
      </c>
      <c r="AK353" s="76">
        <f t="shared" si="72"/>
        <v>2.7784806556470065</v>
      </c>
      <c r="AL353" s="76">
        <f t="shared" si="73"/>
        <v>0</v>
      </c>
      <c r="AM353" s="76">
        <f t="shared" si="74"/>
        <v>0</v>
      </c>
      <c r="AN353" s="76">
        <f>MAX(0,O353*Escenarios!$F$13/Escenarios!$F$16-AM353)</f>
        <v>4.8755709940861612E-2</v>
      </c>
      <c r="AO353" s="76">
        <f>AM353+AN353-O353*Escenarios!$F$13/Escenarios!$F$16</f>
        <v>0</v>
      </c>
      <c r="AP353" s="76">
        <f t="shared" si="75"/>
        <v>9.428507380299106E-2</v>
      </c>
      <c r="AQ353" s="76">
        <f t="shared" si="76"/>
        <v>0</v>
      </c>
      <c r="AR353" s="76">
        <f t="shared" si="77"/>
        <v>0.14304078374385268</v>
      </c>
      <c r="AS353" s="76">
        <f t="shared" si="78"/>
        <v>0</v>
      </c>
      <c r="AT353" s="76">
        <f t="shared" si="79"/>
        <v>0</v>
      </c>
      <c r="AU353" s="76">
        <f t="shared" si="80"/>
        <v>48.986688076282668</v>
      </c>
      <c r="AV353" s="76">
        <f>MAX(0,(AU353-Constantes!$D$13)*(1-EXP(-Constantes!$D$24)))</f>
        <v>3.617835723454772E-3</v>
      </c>
      <c r="AW353" s="170">
        <f>AW352+(Entradas!$F$112*AT353-AX352)/(800*Entradas!$D$25)</f>
        <v>0</v>
      </c>
      <c r="AX353" s="170">
        <f>8000*Entradas!$D$26*AW353/Constantes!$F$45</f>
        <v>0</v>
      </c>
      <c r="AY353" s="170">
        <f>IF(Escenarios!$F$17&gt;0,10*Escenarios!$F$16*AL353,0)</f>
        <v>0</v>
      </c>
      <c r="AZ353" s="170">
        <f>IF(Escenarios!$F$17&gt;0,10*Escenarios!$F$16*AX353,0)</f>
        <v>0</v>
      </c>
      <c r="BA353" s="170">
        <f>IF(Escenarios!$F$17&gt;0,0.001*Observaciones!$F352*Escenarios!$F$17,0)</f>
        <v>0</v>
      </c>
      <c r="BB353" s="170">
        <f>IF(Escenarios!$F$17&gt;0,Observaciones!$K352,0)</f>
        <v>0</v>
      </c>
      <c r="BC353" s="170">
        <f>IF(Escenarios!$F$17&gt;0,MIN(0.0005*ETo!$M352*Escenarios!$F$17*(BG352/Constantes!$F$40)^(2/3),BG352+AY353+AZ353+BA353+BB353),0)</f>
        <v>0</v>
      </c>
      <c r="BD353" s="170">
        <f>IF(Escenarios!$F$17&gt;0,MIN(Constantes!$F$39*(BG352/Constantes!$F$40)^(2/3),BG352+AY353+AZ353+BA353+BB353-BC353),0)</f>
        <v>0</v>
      </c>
      <c r="BE353" s="170">
        <f>IF(Escenarios!$F$17&gt;0,MIN(Entradas!$F$113,BG352+AY353+AZ353+BA353+BB353-BC353-BD353),0)</f>
        <v>0</v>
      </c>
      <c r="BF353" s="170">
        <f>IF(Escenarios!$F$17&gt;0,MAX(0,BG352+AY353+AZ353+BA353+BB353-BC353-BD353-BE353-Constantes!$F$40),0)</f>
        <v>0</v>
      </c>
      <c r="BG353" s="170">
        <f t="shared" si="81"/>
        <v>0</v>
      </c>
      <c r="BH353" s="170">
        <f>(Escenarios!$F$16*AK353+0.1*BC353)/(Escenarios!$F$19)</f>
        <v>2.7784806556470065</v>
      </c>
      <c r="BI353" s="170">
        <f>IF(Escenarios!$F$17&gt;0,BF353/10/Escenarios!$F$19,AL353)</f>
        <v>0</v>
      </c>
      <c r="BJ353" s="170">
        <f>(Escenarios!$F$16*AT353+0.1*BD353)/(Escenarios!$F$19)</f>
        <v>0</v>
      </c>
      <c r="BK353" s="76">
        <f>BK352+(0.1*BD353)/(Escenarios!$F$19)-BL352</f>
        <v>48.75</v>
      </c>
      <c r="BL353" s="76">
        <f>MAX(0,(BK353-Constantes!$D$13)*(1-EXP(-Constantes!$D$23)))</f>
        <v>0</v>
      </c>
      <c r="BM353" s="76">
        <f t="shared" si="82"/>
        <v>9.7902909526445828E-2</v>
      </c>
      <c r="BN353" s="76">
        <f t="shared" si="83"/>
        <v>0.14665861946730746</v>
      </c>
      <c r="BO353" s="76">
        <f>0.0526*BI353*Observaciones!$F352^1.218</f>
        <v>0</v>
      </c>
      <c r="BP353" s="76">
        <f>BO353*Constantes!$F$51</f>
        <v>0</v>
      </c>
      <c r="BQ353" s="76">
        <f t="shared" si="84"/>
        <v>0</v>
      </c>
      <c r="BR353" s="40"/>
    </row>
    <row r="354" spans="2:70">
      <c r="B354" s="39"/>
      <c r="C354" s="75">
        <v>348</v>
      </c>
      <c r="D354" s="146">
        <f>ETo!$I353*((1-Constantes!$F$19)*ETo!$K353+ETo!$L353)</f>
        <v>4.6397002495040658</v>
      </c>
      <c r="E354" s="76">
        <f>MIN(D354*Constantes!$F$17,0.8*(N353+Observaciones!$F353-F354-M354-Constantes!$D$14))</f>
        <v>1.6211918937251442</v>
      </c>
      <c r="F354" s="76">
        <f>IF(Observaciones!$F353&gt;0.05*Constantes!$F$18,((Observaciones!$F353-0.05*Constantes!$F$18)^2)/(Observaciones!$F353+0.95*Constantes!$F$18),0)</f>
        <v>0</v>
      </c>
      <c r="G354" s="76">
        <f>IF(Escenarios!$F$11&gt;0,(F354*Escenarios!$F$16*10000)/1000,0)</f>
        <v>0</v>
      </c>
      <c r="H354" s="76">
        <f>IF(Escenarios!$F$11&gt;0,(Observaciones!$F353*Constantes!$F$29)/1000,0)</f>
        <v>0</v>
      </c>
      <c r="I354" s="76">
        <f>IF(Escenarios!$F$11&gt;0,(D354*Constantes!$F$29)/1000,0)</f>
        <v>0</v>
      </c>
      <c r="J354" s="76">
        <f>IF(Escenarios!$F$11&gt;0,MAX(0,G354+H354-I354),0)</f>
        <v>0</v>
      </c>
      <c r="K354" s="76">
        <f>IF(Escenarios!$F$11&gt;0,IF(J354&gt;Constantes!$F$30,1000*((J354-Constantes!$F$30)/(Escenarios!$F$16*10000)),0),F354)</f>
        <v>0</v>
      </c>
      <c r="L354" s="76">
        <f>IF(Escenarios!$F$11&gt;0,I354*1000/Escenarios!$F$16/10000+E354,E354)</f>
        <v>1.6211918937251442</v>
      </c>
      <c r="M354" s="76">
        <f>MAX(0,N353+Observaciones!$F353-K354-Constantes!$D$13)</f>
        <v>0</v>
      </c>
      <c r="N354" s="76">
        <f>N353+Observaciones!$F353-K354-L354-M354-O353</f>
        <v>11.599893757589397</v>
      </c>
      <c r="O354" s="76">
        <f>MAX(0,(N354-Constantes!$D$14)*(1-EXP(-Constantes!$D$22)))</f>
        <v>1.1918665869775035E-2</v>
      </c>
      <c r="P354" s="170">
        <f>P353+(Entradas!$F$83*M354-Q353)/(800*Entradas!$D$25)</f>
        <v>0</v>
      </c>
      <c r="Q354" s="170">
        <f>8000*Entradas!$D$26*P354/Constantes!$F$45</f>
        <v>0</v>
      </c>
      <c r="R354" s="170">
        <f>IF(Escenarios!$F$14&gt;0,K354*Escenarios!$F$13/Escenarios!$F$14,0)</f>
        <v>0</v>
      </c>
      <c r="S354" s="170">
        <f>IF(Escenarios!$F$14&gt;0,Q354*Escenarios!$F$13/Escenarios!$F$14,0)</f>
        <v>0</v>
      </c>
      <c r="T354" s="170">
        <f>IF(Escenarios!$F$14&gt;0,Observaciones!$I353,0)</f>
        <v>0</v>
      </c>
      <c r="U354" s="170">
        <f>IF(Escenarios!$F$14&gt;0,MAX(0,Constantes!$F$36/((Z353+R354+S354+T354+Observaciones!$F353)^2)+Entradas!$F$77),0)</f>
        <v>0</v>
      </c>
      <c r="V354" s="146">
        <f>IF(ETo!D353&gt;0,ETo!I353*((1-Entradas!$F$81)*ETo!K353+ETo!L353),0)</f>
        <v>4.126212291426695</v>
      </c>
      <c r="W354" s="170">
        <f>IF(Escenarios!$F$14&gt;0,MIN(V354*1,0.8*(Z353+R354+S354+T354+Observaciones!$F353-U354-Constantes!$F$35)),0)</f>
        <v>0.9760010253257918</v>
      </c>
      <c r="X354" s="170">
        <f>IF(Escenarios!$F$14&gt;0,Observaciones!$J353,0)</f>
        <v>0</v>
      </c>
      <c r="Y354" s="170">
        <f>IF(Escenarios!$F$14&gt;0,MAX(0,Z353+R354+S354+T354+Observaciones!$F353-U354-W354-X354-Constantes!$F$33),0)</f>
        <v>0</v>
      </c>
      <c r="Z354" s="170">
        <f>Z353+R354+S354+T354+Observaciones!$F353-U354-W354-Y354</f>
        <v>41.494000256331447</v>
      </c>
      <c r="AA354" s="170">
        <f>IF(Escenarios!$F$14&gt;0,(Escenarios!$F$13*L354+Escenarios!$F$14*W354)/(Escenarios!$F$16),L354)</f>
        <v>1.5437689895172217</v>
      </c>
      <c r="AB354" s="170">
        <f>IF(Escenarios!$F$14&gt;0,(Escenarios!$F$14*Y354)/(Escenarios!$F$16),K354)</f>
        <v>0</v>
      </c>
      <c r="AC354" s="170">
        <f>IF(Escenarios!$F$14&gt;0,(Escenarios!$F$13*M354+Escenarios!$F$14*U354)/(Escenarios!$F$16),M354)</f>
        <v>0</v>
      </c>
      <c r="AD354" s="76">
        <f t="shared" si="71"/>
        <v>58.224657853057195</v>
      </c>
      <c r="AE354" s="76">
        <f>MAX(0,(AD354-Constantes!$D$13)*(1-EXP(-Constantes!$D$23)))</f>
        <v>9.3356060513855199E-2</v>
      </c>
      <c r="AF354" s="76">
        <f>AB354+O354*Escenarios!$F$13/Escenarios!$F$16+AE354</f>
        <v>0.10384448647925723</v>
      </c>
      <c r="AG354" s="76">
        <f>IF(Entradas!$F$91&gt;0,IF(AF354-Escenarios!$F$38&lt;=0,0,IF(AF354-Escenarios!$F$38&gt;Escenarios!$F$37,Escenarios!$F$37,AF354-Escenarios!$F$38)),0)</f>
        <v>0</v>
      </c>
      <c r="AH354" s="76">
        <f>AG354*Entradas!$F$99</f>
        <v>0</v>
      </c>
      <c r="AI354" s="76">
        <f>IF(Entradas!$F$91&gt;0,D354*Entradas!$D$23/Escenarios!$F$16,0)</f>
        <v>0.22270561197619515</v>
      </c>
      <c r="AJ354" s="76">
        <f>IF(Entradas!$F$91&gt;0,Entradas!$D$24*Entradas!$D$22/Escenarios!$F$16,0)</f>
        <v>0.12</v>
      </c>
      <c r="AK354" s="76">
        <f t="shared" si="72"/>
        <v>1.766474601493417</v>
      </c>
      <c r="AL354" s="76">
        <f t="shared" si="73"/>
        <v>0</v>
      </c>
      <c r="AM354" s="76">
        <f t="shared" si="74"/>
        <v>0</v>
      </c>
      <c r="AN354" s="76">
        <f>MAX(0,O354*Escenarios!$F$13/Escenarios!$F$16-AM354)</f>
        <v>1.0488425965402032E-2</v>
      </c>
      <c r="AO354" s="76">
        <f>AM354+AN354-O354*Escenarios!$F$13/Escenarios!$F$16</f>
        <v>0</v>
      </c>
      <c r="AP354" s="76">
        <f t="shared" si="75"/>
        <v>9.3356060513855199E-2</v>
      </c>
      <c r="AQ354" s="76">
        <f t="shared" si="76"/>
        <v>0</v>
      </c>
      <c r="AR354" s="76">
        <f t="shared" si="77"/>
        <v>0.10384448647925723</v>
      </c>
      <c r="AS354" s="76">
        <f t="shared" si="78"/>
        <v>0</v>
      </c>
      <c r="AT354" s="76">
        <f t="shared" si="79"/>
        <v>0</v>
      </c>
      <c r="AU354" s="76">
        <f t="shared" si="80"/>
        <v>48.983070240559215</v>
      </c>
      <c r="AV354" s="76">
        <f>MAX(0,(AU354-Constantes!$D$13)*(1-EXP(-Constantes!$D$24)))</f>
        <v>3.5625362105791477E-3</v>
      </c>
      <c r="AW354" s="170">
        <f>AW353+(Entradas!$F$112*AT354-AX353)/(800*Entradas!$D$25)</f>
        <v>0</v>
      </c>
      <c r="AX354" s="170">
        <f>8000*Entradas!$D$26*AW354/Constantes!$F$45</f>
        <v>0</v>
      </c>
      <c r="AY354" s="170">
        <f>IF(Escenarios!$F$17&gt;0,10*Escenarios!$F$16*AL354,0)</f>
        <v>0</v>
      </c>
      <c r="AZ354" s="170">
        <f>IF(Escenarios!$F$17&gt;0,10*Escenarios!$F$16*AX354,0)</f>
        <v>0</v>
      </c>
      <c r="BA354" s="170">
        <f>IF(Escenarios!$F$17&gt;0,0.001*Observaciones!$F353*Escenarios!$F$17,0)</f>
        <v>0</v>
      </c>
      <c r="BB354" s="170">
        <f>IF(Escenarios!$F$17&gt;0,Observaciones!$K353,0)</f>
        <v>0</v>
      </c>
      <c r="BC354" s="170">
        <f>IF(Escenarios!$F$17&gt;0,MIN(0.0005*ETo!$M353*Escenarios!$F$17*(BG353/Constantes!$F$40)^(2/3),BG353+AY354+AZ354+BA354+BB354),0)</f>
        <v>0</v>
      </c>
      <c r="BD354" s="170">
        <f>IF(Escenarios!$F$17&gt;0,MIN(Constantes!$F$39*(BG353/Constantes!$F$40)^(2/3),BG353+AY354+AZ354+BA354+BB354-BC354),0)</f>
        <v>0</v>
      </c>
      <c r="BE354" s="170">
        <f>IF(Escenarios!$F$17&gt;0,MIN(Entradas!$F$113,BG353+AY354+AZ354+BA354+BB354-BC354-BD354),0)</f>
        <v>0</v>
      </c>
      <c r="BF354" s="170">
        <f>IF(Escenarios!$F$17&gt;0,MAX(0,BG353+AY354+AZ354+BA354+BB354-BC354-BD354-BE354-Constantes!$F$40),0)</f>
        <v>0</v>
      </c>
      <c r="BG354" s="170">
        <f t="shared" si="81"/>
        <v>0</v>
      </c>
      <c r="BH354" s="170">
        <f>(Escenarios!$F$16*AK354+0.1*BC354)/(Escenarios!$F$19)</f>
        <v>1.766474601493417</v>
      </c>
      <c r="BI354" s="170">
        <f>IF(Escenarios!$F$17&gt;0,BF354/10/Escenarios!$F$19,AL354)</f>
        <v>0</v>
      </c>
      <c r="BJ354" s="170">
        <f>(Escenarios!$F$16*AT354+0.1*BD354)/(Escenarios!$F$19)</f>
        <v>0</v>
      </c>
      <c r="BK354" s="76">
        <f>BK353+(0.1*BD354)/(Escenarios!$F$19)-BL353</f>
        <v>48.75</v>
      </c>
      <c r="BL354" s="76">
        <f>MAX(0,(BK354-Constantes!$D$13)*(1-EXP(-Constantes!$D$23)))</f>
        <v>0</v>
      </c>
      <c r="BM354" s="76">
        <f t="shared" si="82"/>
        <v>9.6918596724434342E-2</v>
      </c>
      <c r="BN354" s="76">
        <f t="shared" si="83"/>
        <v>0.10740702268983637</v>
      </c>
      <c r="BO354" s="76">
        <f>0.0526*BI354*Observaciones!$F353^1.218</f>
        <v>0</v>
      </c>
      <c r="BP354" s="76">
        <f>BO354*Constantes!$F$51</f>
        <v>0</v>
      </c>
      <c r="BQ354" s="76">
        <f t="shared" si="84"/>
        <v>0</v>
      </c>
      <c r="BR354" s="40"/>
    </row>
    <row r="355" spans="2:70">
      <c r="B355" s="39"/>
      <c r="C355" s="75">
        <v>349</v>
      </c>
      <c r="D355" s="146">
        <f>ETo!$I354*((1-Constantes!$F$19)*ETo!$K354+ETo!$L354)</f>
        <v>4.5466866615525392</v>
      </c>
      <c r="E355" s="76">
        <f>MIN(D355*Constantes!$F$17,0.8*(N354+Observaciones!$F354-F355-M355-Constantes!$D$14))</f>
        <v>0.27991500607151781</v>
      </c>
      <c r="F355" s="76">
        <f>IF(Observaciones!$F354&gt;0.05*Constantes!$F$18,((Observaciones!$F354-0.05*Constantes!$F$18)^2)/(Observaciones!$F354+0.95*Constantes!$F$18),0)</f>
        <v>0</v>
      </c>
      <c r="G355" s="76">
        <f>IF(Escenarios!$F$11&gt;0,(F355*Escenarios!$F$16*10000)/1000,0)</f>
        <v>0</v>
      </c>
      <c r="H355" s="76">
        <f>IF(Escenarios!$F$11&gt;0,(Observaciones!$F354*Constantes!$F$29)/1000,0)</f>
        <v>0</v>
      </c>
      <c r="I355" s="76">
        <f>IF(Escenarios!$F$11&gt;0,(D355*Constantes!$F$29)/1000,0)</f>
        <v>0</v>
      </c>
      <c r="J355" s="76">
        <f>IF(Escenarios!$F$11&gt;0,MAX(0,G355+H355-I355),0)</f>
        <v>0</v>
      </c>
      <c r="K355" s="76">
        <f>IF(Escenarios!$F$11&gt;0,IF(J355&gt;Constantes!$F$30,1000*((J355-Constantes!$F$30)/(Escenarios!$F$16*10000)),0),F355)</f>
        <v>0</v>
      </c>
      <c r="L355" s="76">
        <f>IF(Escenarios!$F$11&gt;0,I355*1000/Escenarios!$F$16/10000+E355,E355)</f>
        <v>0.27991500607151781</v>
      </c>
      <c r="M355" s="76">
        <f>MAX(0,N354+Observaciones!$F354-K355-Constantes!$D$13)</f>
        <v>0</v>
      </c>
      <c r="N355" s="76">
        <f>N354+Observaciones!$F354-K355-L355-M355-O354</f>
        <v>11.308060085648105</v>
      </c>
      <c r="O355" s="76">
        <f>MAX(0,(N355-Constantes!$D$14)*(1-EXP(-Constantes!$D$22)))</f>
        <v>1.9777396601123355E-3</v>
      </c>
      <c r="P355" s="170">
        <f>P354+(Entradas!$F$83*M355-Q354)/(800*Entradas!$D$25)</f>
        <v>0</v>
      </c>
      <c r="Q355" s="170">
        <f>8000*Entradas!$D$26*P355/Constantes!$F$45</f>
        <v>0</v>
      </c>
      <c r="R355" s="170">
        <f>IF(Escenarios!$F$14&gt;0,K355*Escenarios!$F$13/Escenarios!$F$14,0)</f>
        <v>0</v>
      </c>
      <c r="S355" s="170">
        <f>IF(Escenarios!$F$14&gt;0,Q355*Escenarios!$F$13/Escenarios!$F$14,0)</f>
        <v>0</v>
      </c>
      <c r="T355" s="170">
        <f>IF(Escenarios!$F$14&gt;0,Observaciones!$I354,0)</f>
        <v>0</v>
      </c>
      <c r="U355" s="170">
        <f>IF(Escenarios!$F$14&gt;0,MAX(0,Constantes!$F$36/((Z354+R355+S355+T355+Observaciones!$F354)^2)+Entradas!$F$77),0)</f>
        <v>0</v>
      </c>
      <c r="V355" s="146">
        <f>IF(ETo!D354&gt;0,ETo!I354*((1-Entradas!$F$81)*ETo!K354+ETo!L354),0)</f>
        <v>4.0420255370559923</v>
      </c>
      <c r="W355" s="170">
        <f>IF(Escenarios!$F$14&gt;0,MIN(V355*1,0.8*(Z354+R355+S355+T355+Observaciones!$F354-U355-Constantes!$F$35)),0)</f>
        <v>0.19520020506515723</v>
      </c>
      <c r="X355" s="170">
        <f>IF(Escenarios!$F$14&gt;0,Observaciones!$J354,0)</f>
        <v>0</v>
      </c>
      <c r="Y355" s="170">
        <f>IF(Escenarios!$F$14&gt;0,MAX(0,Z354+R355+S355+T355+Observaciones!$F354-U355-W355-X355-Constantes!$F$33),0)</f>
        <v>0</v>
      </c>
      <c r="Z355" s="170">
        <f>Z354+R355+S355+T355+Observaciones!$F354-U355-W355-Y355</f>
        <v>41.298800051266291</v>
      </c>
      <c r="AA355" s="170">
        <f>IF(Escenarios!$F$14&gt;0,(Escenarios!$F$13*L355+Escenarios!$F$14*W355)/(Escenarios!$F$16),L355)</f>
        <v>0.26974922995075457</v>
      </c>
      <c r="AB355" s="170">
        <f>IF(Escenarios!$F$14&gt;0,(Escenarios!$F$14*Y355)/(Escenarios!$F$16),K355)</f>
        <v>0</v>
      </c>
      <c r="AC355" s="170">
        <f>IF(Escenarios!$F$14&gt;0,(Escenarios!$F$13*M355+Escenarios!$F$14*U355)/(Escenarios!$F$16),M355)</f>
        <v>0</v>
      </c>
      <c r="AD355" s="76">
        <f t="shared" si="71"/>
        <v>58.13130179254334</v>
      </c>
      <c r="AE355" s="76">
        <f>MAX(0,(AD355-Constantes!$D$13)*(1-EXP(-Constantes!$D$23)))</f>
        <v>9.2436201013930949E-2</v>
      </c>
      <c r="AF355" s="76">
        <f>AB355+O355*Escenarios!$F$13/Escenarios!$F$16+AE355</f>
        <v>9.4176611914829803E-2</v>
      </c>
      <c r="AG355" s="76">
        <f>IF(Entradas!$F$91&gt;0,IF(AF355-Escenarios!$F$38&lt;=0,0,IF(AF355-Escenarios!$F$38&gt;Escenarios!$F$37,Escenarios!$F$37,AF355-Escenarios!$F$38)),0)</f>
        <v>0</v>
      </c>
      <c r="AH355" s="76">
        <f>AG355*Entradas!$F$99</f>
        <v>0</v>
      </c>
      <c r="AI355" s="76">
        <f>IF(Entradas!$F$91&gt;0,D355*Entradas!$D$23/Escenarios!$F$16,0)</f>
        <v>0.2182409597545219</v>
      </c>
      <c r="AJ355" s="76">
        <f>IF(Entradas!$F$91&gt;0,Entradas!$D$24*Entradas!$D$22/Escenarios!$F$16,0)</f>
        <v>0.12</v>
      </c>
      <c r="AK355" s="76">
        <f t="shared" si="72"/>
        <v>0.48799018970527647</v>
      </c>
      <c r="AL355" s="76">
        <f t="shared" si="73"/>
        <v>0</v>
      </c>
      <c r="AM355" s="76">
        <f t="shared" si="74"/>
        <v>0</v>
      </c>
      <c r="AN355" s="76">
        <f>MAX(0,O355*Escenarios!$F$13/Escenarios!$F$16-AM355)</f>
        <v>1.7404109008988553E-3</v>
      </c>
      <c r="AO355" s="76">
        <f>AM355+AN355-O355*Escenarios!$F$13/Escenarios!$F$16</f>
        <v>0</v>
      </c>
      <c r="AP355" s="76">
        <f t="shared" si="75"/>
        <v>9.2436201013930949E-2</v>
      </c>
      <c r="AQ355" s="76">
        <f t="shared" si="76"/>
        <v>0</v>
      </c>
      <c r="AR355" s="76">
        <f t="shared" si="77"/>
        <v>9.4176611914829803E-2</v>
      </c>
      <c r="AS355" s="76">
        <f t="shared" si="78"/>
        <v>0</v>
      </c>
      <c r="AT355" s="76">
        <f t="shared" si="79"/>
        <v>0</v>
      </c>
      <c r="AU355" s="76">
        <f t="shared" si="80"/>
        <v>48.979507704348634</v>
      </c>
      <c r="AV355" s="76">
        <f>MAX(0,(AU355-Constantes!$D$13)*(1-EXP(-Constantes!$D$24)))</f>
        <v>3.5080819644203905E-3</v>
      </c>
      <c r="AW355" s="170">
        <f>AW354+(Entradas!$F$112*AT355-AX354)/(800*Entradas!$D$25)</f>
        <v>0</v>
      </c>
      <c r="AX355" s="170">
        <f>8000*Entradas!$D$26*AW355/Constantes!$F$45</f>
        <v>0</v>
      </c>
      <c r="AY355" s="170">
        <f>IF(Escenarios!$F$17&gt;0,10*Escenarios!$F$16*AL355,0)</f>
        <v>0</v>
      </c>
      <c r="AZ355" s="170">
        <f>IF(Escenarios!$F$17&gt;0,10*Escenarios!$F$16*AX355,0)</f>
        <v>0</v>
      </c>
      <c r="BA355" s="170">
        <f>IF(Escenarios!$F$17&gt;0,0.001*Observaciones!$F354*Escenarios!$F$17,0)</f>
        <v>0</v>
      </c>
      <c r="BB355" s="170">
        <f>IF(Escenarios!$F$17&gt;0,Observaciones!$K354,0)</f>
        <v>0</v>
      </c>
      <c r="BC355" s="170">
        <f>IF(Escenarios!$F$17&gt;0,MIN(0.0005*ETo!$M354*Escenarios!$F$17*(BG354/Constantes!$F$40)^(2/3),BG354+AY355+AZ355+BA355+BB355),0)</f>
        <v>0</v>
      </c>
      <c r="BD355" s="170">
        <f>IF(Escenarios!$F$17&gt;0,MIN(Constantes!$F$39*(BG354/Constantes!$F$40)^(2/3),BG354+AY355+AZ355+BA355+BB355-BC355),0)</f>
        <v>0</v>
      </c>
      <c r="BE355" s="170">
        <f>IF(Escenarios!$F$17&gt;0,MIN(Entradas!$F$113,BG354+AY355+AZ355+BA355+BB355-BC355-BD355),0)</f>
        <v>0</v>
      </c>
      <c r="BF355" s="170">
        <f>IF(Escenarios!$F$17&gt;0,MAX(0,BG354+AY355+AZ355+BA355+BB355-BC355-BD355-BE355-Constantes!$F$40),0)</f>
        <v>0</v>
      </c>
      <c r="BG355" s="170">
        <f t="shared" si="81"/>
        <v>0</v>
      </c>
      <c r="BH355" s="170">
        <f>(Escenarios!$F$16*AK355+0.1*BC355)/(Escenarios!$F$19)</f>
        <v>0.48799018970527647</v>
      </c>
      <c r="BI355" s="170">
        <f>IF(Escenarios!$F$17&gt;0,BF355/10/Escenarios!$F$19,AL355)</f>
        <v>0</v>
      </c>
      <c r="BJ355" s="170">
        <f>(Escenarios!$F$16*AT355+0.1*BD355)/(Escenarios!$F$19)</f>
        <v>0</v>
      </c>
      <c r="BK355" s="76">
        <f>BK354+(0.1*BD355)/(Escenarios!$F$19)-BL354</f>
        <v>48.75</v>
      </c>
      <c r="BL355" s="76">
        <f>MAX(0,(BK355-Constantes!$D$13)*(1-EXP(-Constantes!$D$23)))</f>
        <v>0</v>
      </c>
      <c r="BM355" s="76">
        <f t="shared" si="82"/>
        <v>9.5944282978351336E-2</v>
      </c>
      <c r="BN355" s="76">
        <f t="shared" si="83"/>
        <v>9.768469387925019E-2</v>
      </c>
      <c r="BO355" s="76">
        <f>0.0526*BI355*Observaciones!$F354^1.218</f>
        <v>0</v>
      </c>
      <c r="BP355" s="76">
        <f>BO355*Constantes!$F$51</f>
        <v>0</v>
      </c>
      <c r="BQ355" s="76">
        <f t="shared" si="84"/>
        <v>0</v>
      </c>
      <c r="BR355" s="40"/>
    </row>
    <row r="356" spans="2:70">
      <c r="B356" s="39"/>
      <c r="C356" s="75">
        <v>350</v>
      </c>
      <c r="D356" s="146">
        <f>ETo!$I355*((1-Constantes!$F$19)*ETo!$K355+ETo!$L355)</f>
        <v>4.6070992129135773</v>
      </c>
      <c r="E356" s="76">
        <f>MIN(D356*Constantes!$F$17,0.8*(N355+Observaciones!$F355-F356-M356-Constantes!$D$14))</f>
        <v>2.6274828495959941</v>
      </c>
      <c r="F356" s="76">
        <f>IF(Observaciones!$F355&gt;0.05*Constantes!$F$18,((Observaciones!$F355-0.05*Constantes!$F$18)^2)/(Observaciones!$F355+0.95*Constantes!$F$18),0)</f>
        <v>0</v>
      </c>
      <c r="G356" s="76">
        <f>IF(Escenarios!$F$11&gt;0,(F356*Escenarios!$F$16*10000)/1000,0)</f>
        <v>0</v>
      </c>
      <c r="H356" s="76">
        <f>IF(Escenarios!$F$11&gt;0,(Observaciones!$F355*Constantes!$F$29)/1000,0)</f>
        <v>0</v>
      </c>
      <c r="I356" s="76">
        <f>IF(Escenarios!$F$11&gt;0,(D356*Constantes!$F$29)/1000,0)</f>
        <v>0</v>
      </c>
      <c r="J356" s="76">
        <f>IF(Escenarios!$F$11&gt;0,MAX(0,G356+H356-I356),0)</f>
        <v>0</v>
      </c>
      <c r="K356" s="76">
        <f>IF(Escenarios!$F$11&gt;0,IF(J356&gt;Constantes!$F$30,1000*((J356-Constantes!$F$30)/(Escenarios!$F$16*10000)),0),F356)</f>
        <v>0</v>
      </c>
      <c r="L356" s="76">
        <f>IF(Escenarios!$F$11&gt;0,I356*1000/Escenarios!$F$16/10000+E356,E356)</f>
        <v>2.6274828495959941</v>
      </c>
      <c r="M356" s="76">
        <f>MAX(0,N355+Observaciones!$F355-K356-Constantes!$D$13)</f>
        <v>0</v>
      </c>
      <c r="N356" s="76">
        <f>N355+Observaciones!$F355-K356-L356-M356-O355</f>
        <v>16.678599496391996</v>
      </c>
      <c r="O356" s="76">
        <f>MAX(0,(N356-Constantes!$D$14)*(1-EXP(-Constantes!$D$22)))</f>
        <v>0.18491802764384579</v>
      </c>
      <c r="P356" s="170">
        <f>P355+(Entradas!$F$83*M356-Q355)/(800*Entradas!$D$25)</f>
        <v>0</v>
      </c>
      <c r="Q356" s="170">
        <f>8000*Entradas!$D$26*P356/Constantes!$F$45</f>
        <v>0</v>
      </c>
      <c r="R356" s="170">
        <f>IF(Escenarios!$F$14&gt;0,K356*Escenarios!$F$13/Escenarios!$F$14,0)</f>
        <v>0</v>
      </c>
      <c r="S356" s="170">
        <f>IF(Escenarios!$F$14&gt;0,Q356*Escenarios!$F$13/Escenarios!$F$14,0)</f>
        <v>0</v>
      </c>
      <c r="T356" s="170">
        <f>IF(Escenarios!$F$14&gt;0,Observaciones!$I355,0)</f>
        <v>0</v>
      </c>
      <c r="U356" s="170">
        <f>IF(Escenarios!$F$14&gt;0,MAX(0,Constantes!$F$36/((Z355+R356+S356+T356+Observaciones!$F355)^2)+Entradas!$F$77),0)</f>
        <v>0</v>
      </c>
      <c r="V356" s="146">
        <f>IF(ETo!D355&gt;0,ETo!I355*((1-Entradas!$F$81)*ETo!K355+ETo!L355),0)</f>
        <v>4.0966770451957668</v>
      </c>
      <c r="W356" s="170">
        <f>IF(Escenarios!$F$14&gt;0,MIN(V356*1,0.8*(Z355+R356+S356+T356+Observaciones!$F355-U356-Constantes!$F$35)),0)</f>
        <v>4.0966770451957668</v>
      </c>
      <c r="X356" s="170">
        <f>IF(Escenarios!$F$14&gt;0,Observaciones!$J355,0)</f>
        <v>0</v>
      </c>
      <c r="Y356" s="170">
        <f>IF(Escenarios!$F$14&gt;0,MAX(0,Z355+R356+S356+T356+Observaciones!$F355-U356-W356-X356-Constantes!$F$33),0)</f>
        <v>0</v>
      </c>
      <c r="Z356" s="170">
        <f>Z355+R356+S356+T356+Observaciones!$F355-U356-W356-Y356</f>
        <v>45.202123006070522</v>
      </c>
      <c r="AA356" s="170">
        <f>IF(Escenarios!$F$14&gt;0,(Escenarios!$F$13*L356+Escenarios!$F$14*W356)/(Escenarios!$F$16),L356)</f>
        <v>2.8037861530679664</v>
      </c>
      <c r="AB356" s="170">
        <f>IF(Escenarios!$F$14&gt;0,(Escenarios!$F$14*Y356)/(Escenarios!$F$16),K356)</f>
        <v>0</v>
      </c>
      <c r="AC356" s="170">
        <f>IF(Escenarios!$F$14&gt;0,(Escenarios!$F$13*M356+Escenarios!$F$14*U356)/(Escenarios!$F$16),M356)</f>
        <v>0</v>
      </c>
      <c r="AD356" s="76">
        <f t="shared" si="71"/>
        <v>58.038865591529408</v>
      </c>
      <c r="AE356" s="76">
        <f>MAX(0,(AD356-Constantes!$D$13)*(1-EXP(-Constantes!$D$23)))</f>
        <v>9.15254051087529E-2</v>
      </c>
      <c r="AF356" s="76">
        <f>AB356+O356*Escenarios!$F$13/Escenarios!$F$16+AE356</f>
        <v>0.25425326943533721</v>
      </c>
      <c r="AG356" s="76">
        <f>IF(Entradas!$F$91&gt;0,IF(AF356-Escenarios!$F$38&lt;=0,0,IF(AF356-Escenarios!$F$38&gt;Escenarios!$F$37,Escenarios!$F$37,AF356-Escenarios!$F$38)),0)</f>
        <v>0</v>
      </c>
      <c r="AH356" s="76">
        <f>AG356*Entradas!$F$99</f>
        <v>0</v>
      </c>
      <c r="AI356" s="76">
        <f>IF(Entradas!$F$91&gt;0,D356*Entradas!$D$23/Escenarios!$F$16,0)</f>
        <v>0.22114076221985168</v>
      </c>
      <c r="AJ356" s="76">
        <f>IF(Entradas!$F$91&gt;0,Entradas!$D$24*Entradas!$D$22/Escenarios!$F$16,0)</f>
        <v>0.12</v>
      </c>
      <c r="AK356" s="76">
        <f t="shared" si="72"/>
        <v>3.0249269152878182</v>
      </c>
      <c r="AL356" s="76">
        <f t="shared" si="73"/>
        <v>0</v>
      </c>
      <c r="AM356" s="76">
        <f t="shared" si="74"/>
        <v>0</v>
      </c>
      <c r="AN356" s="76">
        <f>MAX(0,O356*Escenarios!$F$13/Escenarios!$F$16-AM356)</f>
        <v>0.16272786432658429</v>
      </c>
      <c r="AO356" s="76">
        <f>AM356+AN356-O356*Escenarios!$F$13/Escenarios!$F$16</f>
        <v>0</v>
      </c>
      <c r="AP356" s="76">
        <f t="shared" si="75"/>
        <v>9.15254051087529E-2</v>
      </c>
      <c r="AQ356" s="76">
        <f t="shared" si="76"/>
        <v>0</v>
      </c>
      <c r="AR356" s="76">
        <f t="shared" si="77"/>
        <v>0.25425326943533721</v>
      </c>
      <c r="AS356" s="76">
        <f t="shared" si="78"/>
        <v>0</v>
      </c>
      <c r="AT356" s="76">
        <f t="shared" si="79"/>
        <v>0</v>
      </c>
      <c r="AU356" s="76">
        <f t="shared" si="80"/>
        <v>48.975999622384215</v>
      </c>
      <c r="AV356" s="76">
        <f>MAX(0,(AU356-Constantes!$D$13)*(1-EXP(-Constantes!$D$24)))</f>
        <v>3.454460064867975E-3</v>
      </c>
      <c r="AW356" s="170">
        <f>AW355+(Entradas!$F$112*AT356-AX355)/(800*Entradas!$D$25)</f>
        <v>0</v>
      </c>
      <c r="AX356" s="170">
        <f>8000*Entradas!$D$26*AW356/Constantes!$F$45</f>
        <v>0</v>
      </c>
      <c r="AY356" s="170">
        <f>IF(Escenarios!$F$17&gt;0,10*Escenarios!$F$16*AL356,0)</f>
        <v>0</v>
      </c>
      <c r="AZ356" s="170">
        <f>IF(Escenarios!$F$17&gt;0,10*Escenarios!$F$16*AX356,0)</f>
        <v>0</v>
      </c>
      <c r="BA356" s="170">
        <f>IF(Escenarios!$F$17&gt;0,0.001*Observaciones!$F355*Escenarios!$F$17,0)</f>
        <v>0</v>
      </c>
      <c r="BB356" s="170">
        <f>IF(Escenarios!$F$17&gt;0,Observaciones!$K355,0)</f>
        <v>0</v>
      </c>
      <c r="BC356" s="170">
        <f>IF(Escenarios!$F$17&gt;0,MIN(0.0005*ETo!$M355*Escenarios!$F$17*(BG355/Constantes!$F$40)^(2/3),BG355+AY356+AZ356+BA356+BB356),0)</f>
        <v>0</v>
      </c>
      <c r="BD356" s="170">
        <f>IF(Escenarios!$F$17&gt;0,MIN(Constantes!$F$39*(BG355/Constantes!$F$40)^(2/3),BG355+AY356+AZ356+BA356+BB356-BC356),0)</f>
        <v>0</v>
      </c>
      <c r="BE356" s="170">
        <f>IF(Escenarios!$F$17&gt;0,MIN(Entradas!$F$113,BG355+AY356+AZ356+BA356+BB356-BC356-BD356),0)</f>
        <v>0</v>
      </c>
      <c r="BF356" s="170">
        <f>IF(Escenarios!$F$17&gt;0,MAX(0,BG355+AY356+AZ356+BA356+BB356-BC356-BD356-BE356-Constantes!$F$40),0)</f>
        <v>0</v>
      </c>
      <c r="BG356" s="170">
        <f t="shared" si="81"/>
        <v>0</v>
      </c>
      <c r="BH356" s="170">
        <f>(Escenarios!$F$16*AK356+0.1*BC356)/(Escenarios!$F$19)</f>
        <v>3.0249269152878182</v>
      </c>
      <c r="BI356" s="170">
        <f>IF(Escenarios!$F$17&gt;0,BF356/10/Escenarios!$F$19,AL356)</f>
        <v>0</v>
      </c>
      <c r="BJ356" s="170">
        <f>(Escenarios!$F$16*AT356+0.1*BD356)/(Escenarios!$F$19)</f>
        <v>0</v>
      </c>
      <c r="BK356" s="76">
        <f>BK355+(0.1*BD356)/(Escenarios!$F$19)-BL355</f>
        <v>48.75</v>
      </c>
      <c r="BL356" s="76">
        <f>MAX(0,(BK356-Constantes!$D$13)*(1-EXP(-Constantes!$D$23)))</f>
        <v>0</v>
      </c>
      <c r="BM356" s="76">
        <f t="shared" si="82"/>
        <v>9.4979865173620878E-2</v>
      </c>
      <c r="BN356" s="76">
        <f t="shared" si="83"/>
        <v>0.25770772950020521</v>
      </c>
      <c r="BO356" s="76">
        <f>0.0526*BI356*Observaciones!$F355^1.218</f>
        <v>0</v>
      </c>
      <c r="BP356" s="76">
        <f>BO356*Constantes!$F$51</f>
        <v>0</v>
      </c>
      <c r="BQ356" s="76">
        <f t="shared" si="84"/>
        <v>0</v>
      </c>
      <c r="BR356" s="40"/>
    </row>
    <row r="357" spans="2:70">
      <c r="B357" s="39"/>
      <c r="C357" s="75">
        <v>351</v>
      </c>
      <c r="D357" s="146">
        <f>ETo!$I356*((1-Constantes!$F$19)*ETo!$K356+ETo!$L356)</f>
        <v>4.4535582824982125</v>
      </c>
      <c r="E357" s="76">
        <f>MIN(D357*Constantes!$F$17,0.8*(N356+Observaciones!$F356-F357-M357-Constantes!$D$14))</f>
        <v>2.5399166517058789</v>
      </c>
      <c r="F357" s="76">
        <f>IF(Observaciones!$F356&gt;0.05*Constantes!$F$18,((Observaciones!$F356-0.05*Constantes!$F$18)^2)/(Observaciones!$F356+0.95*Constantes!$F$18),0)</f>
        <v>0</v>
      </c>
      <c r="G357" s="76">
        <f>IF(Escenarios!$F$11&gt;0,(F357*Escenarios!$F$16*10000)/1000,0)</f>
        <v>0</v>
      </c>
      <c r="H357" s="76">
        <f>IF(Escenarios!$F$11&gt;0,(Observaciones!$F356*Constantes!$F$29)/1000,0)</f>
        <v>0</v>
      </c>
      <c r="I357" s="76">
        <f>IF(Escenarios!$F$11&gt;0,(D357*Constantes!$F$29)/1000,0)</f>
        <v>0</v>
      </c>
      <c r="J357" s="76">
        <f>IF(Escenarios!$F$11&gt;0,MAX(0,G357+H357-I357),0)</f>
        <v>0</v>
      </c>
      <c r="K357" s="76">
        <f>IF(Escenarios!$F$11&gt;0,IF(J357&gt;Constantes!$F$30,1000*((J357-Constantes!$F$30)/(Escenarios!$F$16*10000)),0),F357)</f>
        <v>0</v>
      </c>
      <c r="L357" s="76">
        <f>IF(Escenarios!$F$11&gt;0,I357*1000/Escenarios!$F$16/10000+E357,E357)</f>
        <v>2.5399166517058789</v>
      </c>
      <c r="M357" s="76">
        <f>MAX(0,N356+Observaciones!$F356-K357-Constantes!$D$13)</f>
        <v>0</v>
      </c>
      <c r="N357" s="76">
        <f>N356+Observaciones!$F356-K357-L357-M357-O356</f>
        <v>15.753764817042272</v>
      </c>
      <c r="O357" s="76">
        <f>MAX(0,(N357-Constantes!$D$14)*(1-EXP(-Constantes!$D$22)))</f>
        <v>0.15341476332758092</v>
      </c>
      <c r="P357" s="170">
        <f>P356+(Entradas!$F$83*M357-Q356)/(800*Entradas!$D$25)</f>
        <v>0</v>
      </c>
      <c r="Q357" s="170">
        <f>8000*Entradas!$D$26*P357/Constantes!$F$45</f>
        <v>0</v>
      </c>
      <c r="R357" s="170">
        <f>IF(Escenarios!$F$14&gt;0,K357*Escenarios!$F$13/Escenarios!$F$14,0)</f>
        <v>0</v>
      </c>
      <c r="S357" s="170">
        <f>IF(Escenarios!$F$14&gt;0,Q357*Escenarios!$F$13/Escenarios!$F$14,0)</f>
        <v>0</v>
      </c>
      <c r="T357" s="170">
        <f>IF(Escenarios!$F$14&gt;0,Observaciones!$I356,0)</f>
        <v>0</v>
      </c>
      <c r="U357" s="170">
        <f>IF(Escenarios!$F$14&gt;0,MAX(0,Constantes!$F$36/((Z356+R357+S357+T357+Observaciones!$F356)^2)+Entradas!$F$77),0)</f>
        <v>0</v>
      </c>
      <c r="V357" s="146">
        <f>IF(ETo!D356&gt;0,ETo!I356*((1-Entradas!$F$81)*ETo!K356+ETo!L356),0)</f>
        <v>3.9579712278625352</v>
      </c>
      <c r="W357" s="170">
        <f>IF(Escenarios!$F$14&gt;0,MIN(V357*1,0.8*(Z356+R357+S357+T357+Observaciones!$F356-U357-Constantes!$F$35)),0)</f>
        <v>3.9579712278625352</v>
      </c>
      <c r="X357" s="170">
        <f>IF(Escenarios!$F$14&gt;0,Observaciones!$J356,0)</f>
        <v>0</v>
      </c>
      <c r="Y357" s="170">
        <f>IF(Escenarios!$F$14&gt;0,MAX(0,Z356+R357+S357+T357+Observaciones!$F356-U357-W357-X357-Constantes!$F$33),0)</f>
        <v>0</v>
      </c>
      <c r="Z357" s="170">
        <f>Z356+R357+S357+T357+Observaciones!$F356-U357-W357-Y357</f>
        <v>43.044151778207983</v>
      </c>
      <c r="AA357" s="170">
        <f>IF(Escenarios!$F$14&gt;0,(Escenarios!$F$13*L357+Escenarios!$F$14*W357)/(Escenarios!$F$16),L357)</f>
        <v>2.7100832008446774</v>
      </c>
      <c r="AB357" s="170">
        <f>IF(Escenarios!$F$14&gt;0,(Escenarios!$F$14*Y357)/(Escenarios!$F$16),K357)</f>
        <v>0</v>
      </c>
      <c r="AC357" s="170">
        <f>IF(Escenarios!$F$14&gt;0,(Escenarios!$F$13*M357+Escenarios!$F$14*U357)/(Escenarios!$F$16),M357)</f>
        <v>0</v>
      </c>
      <c r="AD357" s="76">
        <f t="shared" si="71"/>
        <v>57.947340186420654</v>
      </c>
      <c r="AE357" s="76">
        <f>MAX(0,(AD357-Constantes!$D$13)*(1-EXP(-Constantes!$D$23)))</f>
        <v>9.0623583492563248E-2</v>
      </c>
      <c r="AF357" s="76">
        <f>AB357+O357*Escenarios!$F$13/Escenarios!$F$16+AE357</f>
        <v>0.22562857522083443</v>
      </c>
      <c r="AG357" s="76">
        <f>IF(Entradas!$F$91&gt;0,IF(AF357-Escenarios!$F$38&lt;=0,0,IF(AF357-Escenarios!$F$38&gt;Escenarios!$F$37,Escenarios!$F$37,AF357-Escenarios!$F$38)),0)</f>
        <v>0</v>
      </c>
      <c r="AH357" s="76">
        <f>AG357*Entradas!$F$99</f>
        <v>0</v>
      </c>
      <c r="AI357" s="76">
        <f>IF(Entradas!$F$91&gt;0,D357*Entradas!$D$23/Escenarios!$F$16,0)</f>
        <v>0.21377079755991421</v>
      </c>
      <c r="AJ357" s="76">
        <f>IF(Entradas!$F$91&gt;0,Entradas!$D$24*Entradas!$D$22/Escenarios!$F$16,0)</f>
        <v>0.12</v>
      </c>
      <c r="AK357" s="76">
        <f t="shared" si="72"/>
        <v>2.9238539984045917</v>
      </c>
      <c r="AL357" s="76">
        <f t="shared" si="73"/>
        <v>0</v>
      </c>
      <c r="AM357" s="76">
        <f t="shared" si="74"/>
        <v>0</v>
      </c>
      <c r="AN357" s="76">
        <f>MAX(0,O357*Escenarios!$F$13/Escenarios!$F$16-AM357)</f>
        <v>0.13500499172827118</v>
      </c>
      <c r="AO357" s="76">
        <f>AM357+AN357-O357*Escenarios!$F$13/Escenarios!$F$16</f>
        <v>0</v>
      </c>
      <c r="AP357" s="76">
        <f t="shared" si="75"/>
        <v>9.0623583492563248E-2</v>
      </c>
      <c r="AQ357" s="76">
        <f t="shared" si="76"/>
        <v>0</v>
      </c>
      <c r="AR357" s="76">
        <f t="shared" si="77"/>
        <v>0.22562857522083443</v>
      </c>
      <c r="AS357" s="76">
        <f t="shared" si="78"/>
        <v>0</v>
      </c>
      <c r="AT357" s="76">
        <f t="shared" si="79"/>
        <v>0</v>
      </c>
      <c r="AU357" s="76">
        <f t="shared" si="80"/>
        <v>48.972545162319349</v>
      </c>
      <c r="AV357" s="76">
        <f>MAX(0,(AU357-Constantes!$D$13)*(1-EXP(-Constantes!$D$24)))</f>
        <v>3.4016577892983604E-3</v>
      </c>
      <c r="AW357" s="170">
        <f>AW356+(Entradas!$F$112*AT357-AX356)/(800*Entradas!$D$25)</f>
        <v>0</v>
      </c>
      <c r="AX357" s="170">
        <f>8000*Entradas!$D$26*AW357/Constantes!$F$45</f>
        <v>0</v>
      </c>
      <c r="AY357" s="170">
        <f>IF(Escenarios!$F$17&gt;0,10*Escenarios!$F$16*AL357,0)</f>
        <v>0</v>
      </c>
      <c r="AZ357" s="170">
        <f>IF(Escenarios!$F$17&gt;0,10*Escenarios!$F$16*AX357,0)</f>
        <v>0</v>
      </c>
      <c r="BA357" s="170">
        <f>IF(Escenarios!$F$17&gt;0,0.001*Observaciones!$F356*Escenarios!$F$17,0)</f>
        <v>0</v>
      </c>
      <c r="BB357" s="170">
        <f>IF(Escenarios!$F$17&gt;0,Observaciones!$K356,0)</f>
        <v>0</v>
      </c>
      <c r="BC357" s="170">
        <f>IF(Escenarios!$F$17&gt;0,MIN(0.0005*ETo!$M356*Escenarios!$F$17*(BG356/Constantes!$F$40)^(2/3),BG356+AY357+AZ357+BA357+BB357),0)</f>
        <v>0</v>
      </c>
      <c r="BD357" s="170">
        <f>IF(Escenarios!$F$17&gt;0,MIN(Constantes!$F$39*(BG356/Constantes!$F$40)^(2/3),BG356+AY357+AZ357+BA357+BB357-BC357),0)</f>
        <v>0</v>
      </c>
      <c r="BE357" s="170">
        <f>IF(Escenarios!$F$17&gt;0,MIN(Entradas!$F$113,BG356+AY357+AZ357+BA357+BB357-BC357-BD357),0)</f>
        <v>0</v>
      </c>
      <c r="BF357" s="170">
        <f>IF(Escenarios!$F$17&gt;0,MAX(0,BG356+AY357+AZ357+BA357+BB357-BC357-BD357-BE357-Constantes!$F$40),0)</f>
        <v>0</v>
      </c>
      <c r="BG357" s="170">
        <f t="shared" si="81"/>
        <v>0</v>
      </c>
      <c r="BH357" s="170">
        <f>(Escenarios!$F$16*AK357+0.1*BC357)/(Escenarios!$F$19)</f>
        <v>2.9238539984045917</v>
      </c>
      <c r="BI357" s="170">
        <f>IF(Escenarios!$F$17&gt;0,BF357/10/Escenarios!$F$19,AL357)</f>
        <v>0</v>
      </c>
      <c r="BJ357" s="170">
        <f>(Escenarios!$F$16*AT357+0.1*BD357)/(Escenarios!$F$19)</f>
        <v>0</v>
      </c>
      <c r="BK357" s="76">
        <f>BK356+(0.1*BD357)/(Escenarios!$F$19)-BL356</f>
        <v>48.75</v>
      </c>
      <c r="BL357" s="76">
        <f>MAX(0,(BK357-Constantes!$D$13)*(1-EXP(-Constantes!$D$23)))</f>
        <v>0</v>
      </c>
      <c r="BM357" s="76">
        <f t="shared" si="82"/>
        <v>9.4025241281861613E-2</v>
      </c>
      <c r="BN357" s="76">
        <f t="shared" si="83"/>
        <v>0.22903023301013278</v>
      </c>
      <c r="BO357" s="76">
        <f>0.0526*BI357*Observaciones!$F356^1.218</f>
        <v>0</v>
      </c>
      <c r="BP357" s="76">
        <f>BO357*Constantes!$F$51</f>
        <v>0</v>
      </c>
      <c r="BQ357" s="76">
        <f t="shared" si="84"/>
        <v>0</v>
      </c>
      <c r="BR357" s="40"/>
    </row>
    <row r="358" spans="2:70">
      <c r="B358" s="39"/>
      <c r="C358" s="75">
        <v>352</v>
      </c>
      <c r="D358" s="146">
        <f>ETo!$I357*((1-Constantes!$F$19)*ETo!$K357+ETo!$L357)</f>
        <v>4.4209292482441835</v>
      </c>
      <c r="E358" s="76">
        <f>MIN(D358*Constantes!$F$17,0.8*(N357+Observaciones!$F357-F358-M358-Constantes!$D$14))</f>
        <v>2.5213079298313779</v>
      </c>
      <c r="F358" s="76">
        <f>IF(Observaciones!$F357&gt;0.05*Constantes!$F$18,((Observaciones!$F357-0.05*Constantes!$F$18)^2)/(Observaciones!$F357+0.95*Constantes!$F$18),0)</f>
        <v>0</v>
      </c>
      <c r="G358" s="76">
        <f>IF(Escenarios!$F$11&gt;0,(F358*Escenarios!$F$16*10000)/1000,0)</f>
        <v>0</v>
      </c>
      <c r="H358" s="76">
        <f>IF(Escenarios!$F$11&gt;0,(Observaciones!$F357*Constantes!$F$29)/1000,0)</f>
        <v>0</v>
      </c>
      <c r="I358" s="76">
        <f>IF(Escenarios!$F$11&gt;0,(D358*Constantes!$F$29)/1000,0)</f>
        <v>0</v>
      </c>
      <c r="J358" s="76">
        <f>IF(Escenarios!$F$11&gt;0,MAX(0,G358+H358-I358),0)</f>
        <v>0</v>
      </c>
      <c r="K358" s="76">
        <f>IF(Escenarios!$F$11&gt;0,IF(J358&gt;Constantes!$F$30,1000*((J358-Constantes!$F$30)/(Escenarios!$F$16*10000)),0),F358)</f>
        <v>0</v>
      </c>
      <c r="L358" s="76">
        <f>IF(Escenarios!$F$11&gt;0,I358*1000/Escenarios!$F$16/10000+E358,E358)</f>
        <v>2.5213079298313779</v>
      </c>
      <c r="M358" s="76">
        <f>MAX(0,N357+Observaciones!$F357-K358-Constantes!$D$13)</f>
        <v>0</v>
      </c>
      <c r="N358" s="76">
        <f>N357+Observaciones!$F357-K358-L358-M358-O357</f>
        <v>13.679042123883313</v>
      </c>
      <c r="O358" s="76">
        <f>MAX(0,(N358-Constantes!$D$14)*(1-EXP(-Constantes!$D$22)))</f>
        <v>8.2742091935655626E-2</v>
      </c>
      <c r="P358" s="170">
        <f>P357+(Entradas!$F$83*M358-Q357)/(800*Entradas!$D$25)</f>
        <v>0</v>
      </c>
      <c r="Q358" s="170">
        <f>8000*Entradas!$D$26*P358/Constantes!$F$45</f>
        <v>0</v>
      </c>
      <c r="R358" s="170">
        <f>IF(Escenarios!$F$14&gt;0,K358*Escenarios!$F$13/Escenarios!$F$14,0)</f>
        <v>0</v>
      </c>
      <c r="S358" s="170">
        <f>IF(Escenarios!$F$14&gt;0,Q358*Escenarios!$F$13/Escenarios!$F$14,0)</f>
        <v>0</v>
      </c>
      <c r="T358" s="170">
        <f>IF(Escenarios!$F$14&gt;0,Observaciones!$I357,0)</f>
        <v>0</v>
      </c>
      <c r="U358" s="170">
        <f>IF(Escenarios!$F$14&gt;0,MAX(0,Constantes!$F$36/((Z357+R358+S358+T358+Observaciones!$F357)^2)+Entradas!$F$77),0)</f>
        <v>0</v>
      </c>
      <c r="V358" s="146">
        <f>IF(ETo!D357&gt;0,ETo!I357*((1-Entradas!$F$81)*ETo!K357+ETo!L357),0)</f>
        <v>3.9285758859375788</v>
      </c>
      <c r="W358" s="170">
        <f>IF(Escenarios!$F$14&gt;0,MIN(V358*1,0.8*(Z357+R358+S358+T358+Observaciones!$F357-U358-Constantes!$F$35)),0)</f>
        <v>1.9153214225663875</v>
      </c>
      <c r="X358" s="170">
        <f>IF(Escenarios!$F$14&gt;0,Observaciones!$J357,0)</f>
        <v>0</v>
      </c>
      <c r="Y358" s="170">
        <f>IF(Escenarios!$F$14&gt;0,MAX(0,Z357+R358+S358+T358+Observaciones!$F357-U358-W358-X358-Constantes!$F$33),0)</f>
        <v>0</v>
      </c>
      <c r="Z358" s="170">
        <f>Z357+R358+S358+T358+Observaciones!$F357-U358-W358-Y358</f>
        <v>41.728830355641598</v>
      </c>
      <c r="AA358" s="170">
        <f>IF(Escenarios!$F$14&gt;0,(Escenarios!$F$13*L358+Escenarios!$F$14*W358)/(Escenarios!$F$16),L358)</f>
        <v>2.4485895489595793</v>
      </c>
      <c r="AB358" s="170">
        <f>IF(Escenarios!$F$14&gt;0,(Escenarios!$F$14*Y358)/(Escenarios!$F$16),K358)</f>
        <v>0</v>
      </c>
      <c r="AC358" s="170">
        <f>IF(Escenarios!$F$14&gt;0,(Escenarios!$F$13*M358+Escenarios!$F$14*U358)/(Escenarios!$F$16),M358)</f>
        <v>0</v>
      </c>
      <c r="AD358" s="76">
        <f t="shared" si="71"/>
        <v>57.856716602928088</v>
      </c>
      <c r="AE358" s="76">
        <f>MAX(0,(AD358-Constantes!$D$13)*(1-EXP(-Constantes!$D$23)))</f>
        <v>8.9730647739555094E-2</v>
      </c>
      <c r="AF358" s="76">
        <f>AB358+O358*Escenarios!$F$13/Escenarios!$F$16+AE358</f>
        <v>0.16254368864293206</v>
      </c>
      <c r="AG358" s="76">
        <f>IF(Entradas!$F$91&gt;0,IF(AF358-Escenarios!$F$38&lt;=0,0,IF(AF358-Escenarios!$F$38&gt;Escenarios!$F$37,Escenarios!$F$37,AF358-Escenarios!$F$38)),0)</f>
        <v>0</v>
      </c>
      <c r="AH358" s="76">
        <f>AG358*Entradas!$F$99</f>
        <v>0</v>
      </c>
      <c r="AI358" s="76">
        <f>IF(Entradas!$F$91&gt;0,D358*Entradas!$D$23/Escenarios!$F$16,0)</f>
        <v>0.2122046039157208</v>
      </c>
      <c r="AJ358" s="76">
        <f>IF(Entradas!$F$91&gt;0,Entradas!$D$24*Entradas!$D$22/Escenarios!$F$16,0)</f>
        <v>0.12</v>
      </c>
      <c r="AK358" s="76">
        <f t="shared" si="72"/>
        <v>2.6607941528753001</v>
      </c>
      <c r="AL358" s="76">
        <f t="shared" si="73"/>
        <v>0</v>
      </c>
      <c r="AM358" s="76">
        <f t="shared" si="74"/>
        <v>0</v>
      </c>
      <c r="AN358" s="76">
        <f>MAX(0,O358*Escenarios!$F$13/Escenarios!$F$16-AM358)</f>
        <v>7.2813040903376952E-2</v>
      </c>
      <c r="AO358" s="76">
        <f>AM358+AN358-O358*Escenarios!$F$13/Escenarios!$F$16</f>
        <v>0</v>
      </c>
      <c r="AP358" s="76">
        <f t="shared" si="75"/>
        <v>8.9730647739555094E-2</v>
      </c>
      <c r="AQ358" s="76">
        <f t="shared" si="76"/>
        <v>0</v>
      </c>
      <c r="AR358" s="76">
        <f t="shared" si="77"/>
        <v>0.16254368864293206</v>
      </c>
      <c r="AS358" s="76">
        <f t="shared" si="78"/>
        <v>0</v>
      </c>
      <c r="AT358" s="76">
        <f t="shared" si="79"/>
        <v>0</v>
      </c>
      <c r="AU358" s="76">
        <f t="shared" si="80"/>
        <v>48.969143504530052</v>
      </c>
      <c r="AV358" s="76">
        <f>MAX(0,(AU358-Constantes!$D$13)*(1-EXP(-Constantes!$D$24)))</f>
        <v>3.349662609556439E-3</v>
      </c>
      <c r="AW358" s="170">
        <f>AW357+(Entradas!$F$112*AT358-AX357)/(800*Entradas!$D$25)</f>
        <v>0</v>
      </c>
      <c r="AX358" s="170">
        <f>8000*Entradas!$D$26*AW358/Constantes!$F$45</f>
        <v>0</v>
      </c>
      <c r="AY358" s="170">
        <f>IF(Escenarios!$F$17&gt;0,10*Escenarios!$F$16*AL358,0)</f>
        <v>0</v>
      </c>
      <c r="AZ358" s="170">
        <f>IF(Escenarios!$F$17&gt;0,10*Escenarios!$F$16*AX358,0)</f>
        <v>0</v>
      </c>
      <c r="BA358" s="170">
        <f>IF(Escenarios!$F$17&gt;0,0.001*Observaciones!$F357*Escenarios!$F$17,0)</f>
        <v>0</v>
      </c>
      <c r="BB358" s="170">
        <f>IF(Escenarios!$F$17&gt;0,Observaciones!$K357,0)</f>
        <v>0</v>
      </c>
      <c r="BC358" s="170">
        <f>IF(Escenarios!$F$17&gt;0,MIN(0.0005*ETo!$M357*Escenarios!$F$17*(BG357/Constantes!$F$40)^(2/3),BG357+AY358+AZ358+BA358+BB358),0)</f>
        <v>0</v>
      </c>
      <c r="BD358" s="170">
        <f>IF(Escenarios!$F$17&gt;0,MIN(Constantes!$F$39*(BG357/Constantes!$F$40)^(2/3),BG357+AY358+AZ358+BA358+BB358-BC358),0)</f>
        <v>0</v>
      </c>
      <c r="BE358" s="170">
        <f>IF(Escenarios!$F$17&gt;0,MIN(Entradas!$F$113,BG357+AY358+AZ358+BA358+BB358-BC358-BD358),0)</f>
        <v>0</v>
      </c>
      <c r="BF358" s="170">
        <f>IF(Escenarios!$F$17&gt;0,MAX(0,BG357+AY358+AZ358+BA358+BB358-BC358-BD358-BE358-Constantes!$F$40),0)</f>
        <v>0</v>
      </c>
      <c r="BG358" s="170">
        <f t="shared" si="81"/>
        <v>0</v>
      </c>
      <c r="BH358" s="170">
        <f>(Escenarios!$F$16*AK358+0.1*BC358)/(Escenarios!$F$19)</f>
        <v>2.6607941528753001</v>
      </c>
      <c r="BI358" s="170">
        <f>IF(Escenarios!$F$17&gt;0,BF358/10/Escenarios!$F$19,AL358)</f>
        <v>0</v>
      </c>
      <c r="BJ358" s="170">
        <f>(Escenarios!$F$16*AT358+0.1*BD358)/(Escenarios!$F$19)</f>
        <v>0</v>
      </c>
      <c r="BK358" s="76">
        <f>BK357+(0.1*BD358)/(Escenarios!$F$19)-BL357</f>
        <v>48.75</v>
      </c>
      <c r="BL358" s="76">
        <f>MAX(0,(BK358-Constantes!$D$13)*(1-EXP(-Constantes!$D$23)))</f>
        <v>0</v>
      </c>
      <c r="BM358" s="76">
        <f t="shared" si="82"/>
        <v>9.3080310349111531E-2</v>
      </c>
      <c r="BN358" s="76">
        <f t="shared" si="83"/>
        <v>0.1658933512524885</v>
      </c>
      <c r="BO358" s="76">
        <f>0.0526*BI358*Observaciones!$F357^1.218</f>
        <v>0</v>
      </c>
      <c r="BP358" s="76">
        <f>BO358*Constantes!$F$51</f>
        <v>0</v>
      </c>
      <c r="BQ358" s="76">
        <f t="shared" si="84"/>
        <v>0</v>
      </c>
      <c r="BR358" s="40"/>
    </row>
    <row r="359" spans="2:70">
      <c r="B359" s="39"/>
      <c r="C359" s="75">
        <v>353</v>
      </c>
      <c r="D359" s="146">
        <f>ETo!$I358*((1-Constantes!$F$19)*ETo!$K358+ETo!$L358)</f>
        <v>4.4209099310707662</v>
      </c>
      <c r="E359" s="76">
        <f>MIN(D359*Constantes!$F$17,0.8*(N358+Observaciones!$F358-F359-M359-Constantes!$D$14))</f>
        <v>2.5212969130202545</v>
      </c>
      <c r="F359" s="76">
        <f>IF(Observaciones!$F358&gt;0.05*Constantes!$F$18,((Observaciones!$F358-0.05*Constantes!$F$18)^2)/(Observaciones!$F358+0.95*Constantes!$F$18),0)</f>
        <v>0.17157712602698141</v>
      </c>
      <c r="G359" s="76">
        <f>IF(Escenarios!$F$11&gt;0,(F359*Escenarios!$F$16*10000)/1000,0)</f>
        <v>0</v>
      </c>
      <c r="H359" s="76">
        <f>IF(Escenarios!$F$11&gt;0,(Observaciones!$F358*Constantes!$F$29)/1000,0)</f>
        <v>0</v>
      </c>
      <c r="I359" s="76">
        <f>IF(Escenarios!$F$11&gt;0,(D359*Constantes!$F$29)/1000,0)</f>
        <v>0</v>
      </c>
      <c r="J359" s="76">
        <f>IF(Escenarios!$F$11&gt;0,MAX(0,G359+H359-I359),0)</f>
        <v>0</v>
      </c>
      <c r="K359" s="76">
        <f>IF(Escenarios!$F$11&gt;0,IF(J359&gt;Constantes!$F$30,1000*((J359-Constantes!$F$30)/(Escenarios!$F$16*10000)),0),F359)</f>
        <v>0.17157712602698141</v>
      </c>
      <c r="L359" s="76">
        <f>IF(Escenarios!$F$11&gt;0,I359*1000/Escenarios!$F$16/10000+E359,E359)</f>
        <v>2.5212969130202545</v>
      </c>
      <c r="M359" s="76">
        <f>MAX(0,N358+Observaciones!$F358-K359-Constantes!$D$13)</f>
        <v>0</v>
      </c>
      <c r="N359" s="76">
        <f>N358+Observaciones!$F358-K359-L359-M359-O358</f>
        <v>28.103425992900419</v>
      </c>
      <c r="O359" s="76">
        <f>MAX(0,(N359-Constantes!$D$14)*(1-EXP(-Constantes!$D$22)))</f>
        <v>0.57408955951161733</v>
      </c>
      <c r="P359" s="170">
        <f>P358+(Entradas!$F$83*M359-Q358)/(800*Entradas!$D$25)</f>
        <v>0</v>
      </c>
      <c r="Q359" s="170">
        <f>8000*Entradas!$D$26*P359/Constantes!$F$45</f>
        <v>0</v>
      </c>
      <c r="R359" s="170">
        <f>IF(Escenarios!$F$14&gt;0,K359*Escenarios!$F$13/Escenarios!$F$14,0)</f>
        <v>1.2582322575311971</v>
      </c>
      <c r="S359" s="170">
        <f>IF(Escenarios!$F$14&gt;0,Q359*Escenarios!$F$13/Escenarios!$F$14,0)</f>
        <v>0</v>
      </c>
      <c r="T359" s="170">
        <f>IF(Escenarios!$F$14&gt;0,Observaciones!$I358,0)</f>
        <v>0</v>
      </c>
      <c r="U359" s="170">
        <f>IF(Escenarios!$F$14&gt;0,MAX(0,Constantes!$F$36/((Z358+R359+S359+T359+Observaciones!$F358)^2)+Entradas!$F$77),0)</f>
        <v>0.16582482234508289</v>
      </c>
      <c r="V359" s="146">
        <f>IF(ETo!D358&gt;0,ETo!I358*((1-Entradas!$F$81)*ETo!K358+ETo!L358),0)</f>
        <v>3.928558167823919</v>
      </c>
      <c r="W359" s="170">
        <f>IF(Escenarios!$F$14&gt;0,MIN(V359*1,0.8*(Z358+R359+S359+T359+Observaciones!$F358-U359-Constantes!$F$35)),0)</f>
        <v>3.928558167823919</v>
      </c>
      <c r="X359" s="170">
        <f>IF(Escenarios!$F$14&gt;0,Observaciones!$J358,0)</f>
        <v>0</v>
      </c>
      <c r="Y359" s="170">
        <f>IF(Escenarios!$F$14&gt;0,MAX(0,Z358+R359+S359+T359+Observaciones!$F358-U359-W359-X359-Constantes!$F$33),0)</f>
        <v>0</v>
      </c>
      <c r="Z359" s="170">
        <f>Z358+R359+S359+T359+Observaciones!$F358-U359-W359-Y359</f>
        <v>56.092679623003804</v>
      </c>
      <c r="AA359" s="170">
        <f>IF(Escenarios!$F$14&gt;0,(Escenarios!$F$13*L359+Escenarios!$F$14*W359)/(Escenarios!$F$16),L359)</f>
        <v>2.6901682635966946</v>
      </c>
      <c r="AB359" s="170">
        <f>IF(Escenarios!$F$14&gt;0,(Escenarios!$F$14*Y359)/(Escenarios!$F$16),K359)</f>
        <v>0</v>
      </c>
      <c r="AC359" s="170">
        <f>IF(Escenarios!$F$14&gt;0,(Escenarios!$F$13*M359+Escenarios!$F$14*U359)/(Escenarios!$F$16),M359)</f>
        <v>1.9898978681409947E-2</v>
      </c>
      <c r="AD359" s="76">
        <f t="shared" si="71"/>
        <v>57.786884933869942</v>
      </c>
      <c r="AE359" s="76">
        <f>MAX(0,(AD359-Constantes!$D$13)*(1-EXP(-Constantes!$D$23)))</f>
        <v>8.9042579671717442E-2</v>
      </c>
      <c r="AF359" s="76">
        <f>AB359+O359*Escenarios!$F$13/Escenarios!$F$16+AE359</f>
        <v>0.59424139204194071</v>
      </c>
      <c r="AG359" s="76">
        <f>IF(Entradas!$F$91&gt;0,IF(AF359-Escenarios!$F$38&lt;=0,0,IF(AF359-Escenarios!$F$38&gt;Escenarios!$F$37,Escenarios!$F$37,AF359-Escenarios!$F$38)),0)</f>
        <v>0</v>
      </c>
      <c r="AH359" s="76">
        <f>AG359*Entradas!$F$99</f>
        <v>0</v>
      </c>
      <c r="AI359" s="76">
        <f>IF(Entradas!$F$91&gt;0,D359*Entradas!$D$23/Escenarios!$F$16,0)</f>
        <v>0.21220367669139675</v>
      </c>
      <c r="AJ359" s="76">
        <f>IF(Entradas!$F$91&gt;0,Entradas!$D$24*Entradas!$D$22/Escenarios!$F$16,0)</f>
        <v>0.12</v>
      </c>
      <c r="AK359" s="76">
        <f t="shared" si="72"/>
        <v>2.9023719402880914</v>
      </c>
      <c r="AL359" s="76">
        <f t="shared" si="73"/>
        <v>0</v>
      </c>
      <c r="AM359" s="76">
        <f t="shared" si="74"/>
        <v>0</v>
      </c>
      <c r="AN359" s="76">
        <f>MAX(0,O359*Escenarios!$F$13/Escenarios!$F$16-AM359)</f>
        <v>0.50519881237022324</v>
      </c>
      <c r="AO359" s="76">
        <f>AM359+AN359-O359*Escenarios!$F$13/Escenarios!$F$16</f>
        <v>0</v>
      </c>
      <c r="AP359" s="76">
        <f t="shared" si="75"/>
        <v>8.9042579671717442E-2</v>
      </c>
      <c r="AQ359" s="76">
        <f t="shared" si="76"/>
        <v>0</v>
      </c>
      <c r="AR359" s="76">
        <f t="shared" si="77"/>
        <v>0.59424139204194071</v>
      </c>
      <c r="AS359" s="76">
        <f t="shared" si="78"/>
        <v>0</v>
      </c>
      <c r="AT359" s="76">
        <f t="shared" si="79"/>
        <v>1.9898978681409947E-2</v>
      </c>
      <c r="AU359" s="76">
        <f t="shared" si="80"/>
        <v>48.965793841920494</v>
      </c>
      <c r="AV359" s="76">
        <f>MAX(0,(AU359-Constantes!$D$13)*(1-EXP(-Constantes!$D$24)))</f>
        <v>3.2984621889830413E-3</v>
      </c>
      <c r="AW359" s="170">
        <f>AW358+(Entradas!$F$112*AT359-AX358)/(800*Entradas!$D$25)</f>
        <v>0</v>
      </c>
      <c r="AX359" s="170">
        <f>8000*Entradas!$D$26*AW359/Constantes!$F$45</f>
        <v>0</v>
      </c>
      <c r="AY359" s="170">
        <f>IF(Escenarios!$F$17&gt;0,10*Escenarios!$F$16*AL359,0)</f>
        <v>0</v>
      </c>
      <c r="AZ359" s="170">
        <f>IF(Escenarios!$F$17&gt;0,10*Escenarios!$F$16*AX359,0)</f>
        <v>0</v>
      </c>
      <c r="BA359" s="170">
        <f>IF(Escenarios!$F$17&gt;0,0.001*Observaciones!$F358*Escenarios!$F$17,0)</f>
        <v>0</v>
      </c>
      <c r="BB359" s="170">
        <f>IF(Escenarios!$F$17&gt;0,Observaciones!$K358,0)</f>
        <v>0</v>
      </c>
      <c r="BC359" s="170">
        <f>IF(Escenarios!$F$17&gt;0,MIN(0.0005*ETo!$M358*Escenarios!$F$17*(BG358/Constantes!$F$40)^(2/3),BG358+AY359+AZ359+BA359+BB359),0)</f>
        <v>0</v>
      </c>
      <c r="BD359" s="170">
        <f>IF(Escenarios!$F$17&gt;0,MIN(Constantes!$F$39*(BG358/Constantes!$F$40)^(2/3),BG358+AY359+AZ359+BA359+BB359-BC359),0)</f>
        <v>0</v>
      </c>
      <c r="BE359" s="170">
        <f>IF(Escenarios!$F$17&gt;0,MIN(Entradas!$F$113,BG358+AY359+AZ359+BA359+BB359-BC359-BD359),0)</f>
        <v>0</v>
      </c>
      <c r="BF359" s="170">
        <f>IF(Escenarios!$F$17&gt;0,MAX(0,BG358+AY359+AZ359+BA359+BB359-BC359-BD359-BE359-Constantes!$F$40),0)</f>
        <v>0</v>
      </c>
      <c r="BG359" s="170">
        <f t="shared" si="81"/>
        <v>0</v>
      </c>
      <c r="BH359" s="170">
        <f>(Escenarios!$F$16*AK359+0.1*BC359)/(Escenarios!$F$19)</f>
        <v>2.9023719402880914</v>
      </c>
      <c r="BI359" s="170">
        <f>IF(Escenarios!$F$17&gt;0,BF359/10/Escenarios!$F$19,AL359)</f>
        <v>0</v>
      </c>
      <c r="BJ359" s="170">
        <f>(Escenarios!$F$16*AT359+0.1*BD359)/(Escenarios!$F$19)</f>
        <v>1.9898978681409947E-2</v>
      </c>
      <c r="BK359" s="76">
        <f>BK358+(0.1*BD359)/(Escenarios!$F$19)-BL358</f>
        <v>48.75</v>
      </c>
      <c r="BL359" s="76">
        <f>MAX(0,(BK359-Constantes!$D$13)*(1-EXP(-Constantes!$D$23)))</f>
        <v>0</v>
      </c>
      <c r="BM359" s="76">
        <f t="shared" si="82"/>
        <v>9.2341041860700482E-2</v>
      </c>
      <c r="BN359" s="76">
        <f t="shared" si="83"/>
        <v>0.59753985423092371</v>
      </c>
      <c r="BO359" s="76">
        <f>0.0526*BI359*Observaciones!$F358^1.218</f>
        <v>0</v>
      </c>
      <c r="BP359" s="76">
        <f>BO359*Constantes!$F$51</f>
        <v>0</v>
      </c>
      <c r="BQ359" s="76">
        <f t="shared" si="84"/>
        <v>0</v>
      </c>
      <c r="BR359" s="40"/>
    </row>
    <row r="360" spans="2:70">
      <c r="B360" s="39"/>
      <c r="C360" s="75">
        <v>354</v>
      </c>
      <c r="D360" s="146">
        <f>ETo!$I359*((1-Constantes!$F$19)*ETo!$K359+ETo!$L359)</f>
        <v>4.5047021889990333</v>
      </c>
      <c r="E360" s="76">
        <f>MIN(D360*Constantes!$F$17,0.8*(N359+Observaciones!$F359-F360-M360-Constantes!$D$14))</f>
        <v>2.5690846229133548</v>
      </c>
      <c r="F360" s="76">
        <f>IF(Observaciones!$F359&gt;0.05*Constantes!$F$18,((Observaciones!$F359-0.05*Constantes!$F$18)^2)/(Observaciones!$F359+0.95*Constantes!$F$18),0)</f>
        <v>0</v>
      </c>
      <c r="G360" s="76">
        <f>IF(Escenarios!$F$11&gt;0,(F360*Escenarios!$F$16*10000)/1000,0)</f>
        <v>0</v>
      </c>
      <c r="H360" s="76">
        <f>IF(Escenarios!$F$11&gt;0,(Observaciones!$F359*Constantes!$F$29)/1000,0)</f>
        <v>0</v>
      </c>
      <c r="I360" s="76">
        <f>IF(Escenarios!$F$11&gt;0,(D360*Constantes!$F$29)/1000,0)</f>
        <v>0</v>
      </c>
      <c r="J360" s="76">
        <f>IF(Escenarios!$F$11&gt;0,MAX(0,G360+H360-I360),0)</f>
        <v>0</v>
      </c>
      <c r="K360" s="76">
        <f>IF(Escenarios!$F$11&gt;0,IF(J360&gt;Constantes!$F$30,1000*((J360-Constantes!$F$30)/(Escenarios!$F$16*10000)),0),F360)</f>
        <v>0</v>
      </c>
      <c r="L360" s="76">
        <f>IF(Escenarios!$F$11&gt;0,I360*1000/Escenarios!$F$16/10000+E360,E360)</f>
        <v>2.5690846229133548</v>
      </c>
      <c r="M360" s="76">
        <f>MAX(0,N359+Observaciones!$F359-K360-Constantes!$D$13)</f>
        <v>0</v>
      </c>
      <c r="N360" s="76">
        <f>N359+Observaciones!$F359-K360-L360-M360-O359</f>
        <v>24.960251810475448</v>
      </c>
      <c r="O360" s="76">
        <f>MAX(0,(N360-Constantes!$D$14)*(1-EXP(-Constantes!$D$22)))</f>
        <v>0.46702150802957576</v>
      </c>
      <c r="P360" s="170">
        <f>P359+(Entradas!$F$83*M360-Q359)/(800*Entradas!$D$25)</f>
        <v>0</v>
      </c>
      <c r="Q360" s="170">
        <f>8000*Entradas!$D$26*P360/Constantes!$F$45</f>
        <v>0</v>
      </c>
      <c r="R360" s="170">
        <f>IF(Escenarios!$F$14&gt;0,K360*Escenarios!$F$13/Escenarios!$F$14,0)</f>
        <v>0</v>
      </c>
      <c r="S360" s="170">
        <f>IF(Escenarios!$F$14&gt;0,Q360*Escenarios!$F$13/Escenarios!$F$14,0)</f>
        <v>0</v>
      </c>
      <c r="T360" s="170">
        <f>IF(Escenarios!$F$14&gt;0,Observaciones!$I359,0)</f>
        <v>0</v>
      </c>
      <c r="U360" s="170">
        <f>IF(Escenarios!$F$14&gt;0,MAX(0,Constantes!$F$36/((Z359+R360+S360+T360+Observaciones!$F359)^2)+Entradas!$F$77),0)</f>
        <v>0</v>
      </c>
      <c r="V360" s="146">
        <f>IF(ETo!D359&gt;0,ETo!I359*((1-Entradas!$F$81)*ETo!K359+ETo!L359),0)</f>
        <v>4.0041017103086167</v>
      </c>
      <c r="W360" s="170">
        <f>IF(Escenarios!$F$14&gt;0,MIN(V360*1,0.8*(Z359+R360+S360+T360+Observaciones!$F359-U360-Constantes!$F$35)),0)</f>
        <v>4.0041017103086167</v>
      </c>
      <c r="X360" s="170">
        <f>IF(Escenarios!$F$14&gt;0,Observaciones!$J359,0)</f>
        <v>0</v>
      </c>
      <c r="Y360" s="170">
        <f>IF(Escenarios!$F$14&gt;0,MAX(0,Z359+R360+S360+T360+Observaciones!$F359-U360-W360-X360-Constantes!$F$33),0)</f>
        <v>0</v>
      </c>
      <c r="Z360" s="170">
        <f>Z359+R360+S360+T360+Observaciones!$F359-U360-W360-Y360</f>
        <v>52.088577912695186</v>
      </c>
      <c r="AA360" s="170">
        <f>IF(Escenarios!$F$14&gt;0,(Escenarios!$F$13*L360+Escenarios!$F$14*W360)/(Escenarios!$F$16),L360)</f>
        <v>2.7412866734007864</v>
      </c>
      <c r="AB360" s="170">
        <f>IF(Escenarios!$F$14&gt;0,(Escenarios!$F$14*Y360)/(Escenarios!$F$16),K360)</f>
        <v>0</v>
      </c>
      <c r="AC360" s="170">
        <f>IF(Escenarios!$F$14&gt;0,(Escenarios!$F$13*M360+Escenarios!$F$14*U360)/(Escenarios!$F$16),M360)</f>
        <v>0</v>
      </c>
      <c r="AD360" s="76">
        <f t="shared" si="71"/>
        <v>57.697842354198222</v>
      </c>
      <c r="AE360" s="76">
        <f>MAX(0,(AD360-Constantes!$D$13)*(1-EXP(-Constantes!$D$23)))</f>
        <v>8.8165221925921841E-2</v>
      </c>
      <c r="AF360" s="76">
        <f>AB360+O360*Escenarios!$F$13/Escenarios!$F$16+AE360</f>
        <v>0.49914414899194848</v>
      </c>
      <c r="AG360" s="76">
        <f>IF(Entradas!$F$91&gt;0,IF(AF360-Escenarios!$F$38&lt;=0,0,IF(AF360-Escenarios!$F$38&gt;Escenarios!$F$37,Escenarios!$F$37,AF360-Escenarios!$F$38)),0)</f>
        <v>0</v>
      </c>
      <c r="AH360" s="76">
        <f>AG360*Entradas!$F$99</f>
        <v>0</v>
      </c>
      <c r="AI360" s="76">
        <f>IF(Entradas!$F$91&gt;0,D360*Entradas!$D$23/Escenarios!$F$16,0)</f>
        <v>0.2162257050719536</v>
      </c>
      <c r="AJ360" s="76">
        <f>IF(Entradas!$F$91&gt;0,Entradas!$D$24*Entradas!$D$22/Escenarios!$F$16,0)</f>
        <v>0.12</v>
      </c>
      <c r="AK360" s="76">
        <f t="shared" si="72"/>
        <v>2.9575123784727397</v>
      </c>
      <c r="AL360" s="76">
        <f t="shared" si="73"/>
        <v>0</v>
      </c>
      <c r="AM360" s="76">
        <f t="shared" si="74"/>
        <v>0</v>
      </c>
      <c r="AN360" s="76">
        <f>MAX(0,O360*Escenarios!$F$13/Escenarios!$F$16-AM360)</f>
        <v>0.41097892706602662</v>
      </c>
      <c r="AO360" s="76">
        <f>AM360+AN360-O360*Escenarios!$F$13/Escenarios!$F$16</f>
        <v>0</v>
      </c>
      <c r="AP360" s="76">
        <f t="shared" si="75"/>
        <v>8.8165221925921841E-2</v>
      </c>
      <c r="AQ360" s="76">
        <f t="shared" si="76"/>
        <v>0</v>
      </c>
      <c r="AR360" s="76">
        <f t="shared" si="77"/>
        <v>0.49914414899194848</v>
      </c>
      <c r="AS360" s="76">
        <f t="shared" si="78"/>
        <v>0</v>
      </c>
      <c r="AT360" s="76">
        <f t="shared" si="79"/>
        <v>0</v>
      </c>
      <c r="AU360" s="76">
        <f t="shared" si="80"/>
        <v>48.962495379731514</v>
      </c>
      <c r="AV360" s="76">
        <f>MAX(0,(AU360-Constantes!$D$13)*(1-EXP(-Constantes!$D$24)))</f>
        <v>3.2480443794880519E-3</v>
      </c>
      <c r="AW360" s="170">
        <f>AW359+(Entradas!$F$112*AT360-AX359)/(800*Entradas!$D$25)</f>
        <v>0</v>
      </c>
      <c r="AX360" s="170">
        <f>8000*Entradas!$D$26*AW360/Constantes!$F$45</f>
        <v>0</v>
      </c>
      <c r="AY360" s="170">
        <f>IF(Escenarios!$F$17&gt;0,10*Escenarios!$F$16*AL360,0)</f>
        <v>0</v>
      </c>
      <c r="AZ360" s="170">
        <f>IF(Escenarios!$F$17&gt;0,10*Escenarios!$F$16*AX360,0)</f>
        <v>0</v>
      </c>
      <c r="BA360" s="170">
        <f>IF(Escenarios!$F$17&gt;0,0.001*Observaciones!$F359*Escenarios!$F$17,0)</f>
        <v>0</v>
      </c>
      <c r="BB360" s="170">
        <f>IF(Escenarios!$F$17&gt;0,Observaciones!$K359,0)</f>
        <v>0</v>
      </c>
      <c r="BC360" s="170">
        <f>IF(Escenarios!$F$17&gt;0,MIN(0.0005*ETo!$M359*Escenarios!$F$17*(BG359/Constantes!$F$40)^(2/3),BG359+AY360+AZ360+BA360+BB360),0)</f>
        <v>0</v>
      </c>
      <c r="BD360" s="170">
        <f>IF(Escenarios!$F$17&gt;0,MIN(Constantes!$F$39*(BG359/Constantes!$F$40)^(2/3),BG359+AY360+AZ360+BA360+BB360-BC360),0)</f>
        <v>0</v>
      </c>
      <c r="BE360" s="170">
        <f>IF(Escenarios!$F$17&gt;0,MIN(Entradas!$F$113,BG359+AY360+AZ360+BA360+BB360-BC360-BD360),0)</f>
        <v>0</v>
      </c>
      <c r="BF360" s="170">
        <f>IF(Escenarios!$F$17&gt;0,MAX(0,BG359+AY360+AZ360+BA360+BB360-BC360-BD360-BE360-Constantes!$F$40),0)</f>
        <v>0</v>
      </c>
      <c r="BG360" s="170">
        <f t="shared" si="81"/>
        <v>0</v>
      </c>
      <c r="BH360" s="170">
        <f>(Escenarios!$F$16*AK360+0.1*BC360)/(Escenarios!$F$19)</f>
        <v>2.9575123784727397</v>
      </c>
      <c r="BI360" s="170">
        <f>IF(Escenarios!$F$17&gt;0,BF360/10/Escenarios!$F$19,AL360)</f>
        <v>0</v>
      </c>
      <c r="BJ360" s="170">
        <f>(Escenarios!$F$16*AT360+0.1*BD360)/(Escenarios!$F$19)</f>
        <v>0</v>
      </c>
      <c r="BK360" s="76">
        <f>BK359+(0.1*BD360)/(Escenarios!$F$19)-BL359</f>
        <v>48.75</v>
      </c>
      <c r="BL360" s="76">
        <f>MAX(0,(BK360-Constantes!$D$13)*(1-EXP(-Constantes!$D$23)))</f>
        <v>0</v>
      </c>
      <c r="BM360" s="76">
        <f t="shared" si="82"/>
        <v>9.1413266305409899E-2</v>
      </c>
      <c r="BN360" s="76">
        <f t="shared" si="83"/>
        <v>0.50239219337143648</v>
      </c>
      <c r="BO360" s="76">
        <f>0.0526*BI360*Observaciones!$F359^1.218</f>
        <v>0</v>
      </c>
      <c r="BP360" s="76">
        <f>BO360*Constantes!$F$51</f>
        <v>0</v>
      </c>
      <c r="BQ360" s="76">
        <f t="shared" si="84"/>
        <v>0</v>
      </c>
      <c r="BR360" s="40"/>
    </row>
    <row r="361" spans="2:70">
      <c r="B361" s="39"/>
      <c r="C361" s="75">
        <v>355</v>
      </c>
      <c r="D361" s="146">
        <f>ETo!$I360*((1-Constantes!$F$19)*ETo!$K360+ETo!$L360)</f>
        <v>4.5046942003025015</v>
      </c>
      <c r="E361" s="76">
        <f>MIN(D361*Constantes!$F$17,0.8*(N360+Observaciones!$F360-F361-M361-Constantes!$D$14))</f>
        <v>2.5690800668657947</v>
      </c>
      <c r="F361" s="76">
        <f>IF(Observaciones!$F360&gt;0.05*Constantes!$F$18,((Observaciones!$F360-0.05*Constantes!$F$18)^2)/(Observaciones!$F360+0.95*Constantes!$F$18),0)</f>
        <v>0</v>
      </c>
      <c r="G361" s="76">
        <f>IF(Escenarios!$F$11&gt;0,(F361*Escenarios!$F$16*10000)/1000,0)</f>
        <v>0</v>
      </c>
      <c r="H361" s="76">
        <f>IF(Escenarios!$F$11&gt;0,(Observaciones!$F360*Constantes!$F$29)/1000,0)</f>
        <v>0</v>
      </c>
      <c r="I361" s="76">
        <f>IF(Escenarios!$F$11&gt;0,(D361*Constantes!$F$29)/1000,0)</f>
        <v>0</v>
      </c>
      <c r="J361" s="76">
        <f>IF(Escenarios!$F$11&gt;0,MAX(0,G361+H361-I361),0)</f>
        <v>0</v>
      </c>
      <c r="K361" s="76">
        <f>IF(Escenarios!$F$11&gt;0,IF(J361&gt;Constantes!$F$30,1000*((J361-Constantes!$F$30)/(Escenarios!$F$16*10000)),0),F361)</f>
        <v>0</v>
      </c>
      <c r="L361" s="76">
        <f>IF(Escenarios!$F$11&gt;0,I361*1000/Escenarios!$F$16/10000+E361,E361)</f>
        <v>2.5690800668657947</v>
      </c>
      <c r="M361" s="76">
        <f>MAX(0,N360+Observaciones!$F360-K361-Constantes!$D$13)</f>
        <v>0</v>
      </c>
      <c r="N361" s="76">
        <f>N360+Observaciones!$F360-K361-L361-M361-O360</f>
        <v>21.924150235580079</v>
      </c>
      <c r="O361" s="76">
        <f>MAX(0,(N361-Constantes!$D$14)*(1-EXP(-Constantes!$D$22)))</f>
        <v>0.36360074263158165</v>
      </c>
      <c r="P361" s="170">
        <f>P360+(Entradas!$F$83*M361-Q360)/(800*Entradas!$D$25)</f>
        <v>0</v>
      </c>
      <c r="Q361" s="170">
        <f>8000*Entradas!$D$26*P361/Constantes!$F$45</f>
        <v>0</v>
      </c>
      <c r="R361" s="170">
        <f>IF(Escenarios!$F$14&gt;0,K361*Escenarios!$F$13/Escenarios!$F$14,0)</f>
        <v>0</v>
      </c>
      <c r="S361" s="170">
        <f>IF(Escenarios!$F$14&gt;0,Q361*Escenarios!$F$13/Escenarios!$F$14,0)</f>
        <v>0</v>
      </c>
      <c r="T361" s="170">
        <f>IF(Escenarios!$F$14&gt;0,Observaciones!$I360,0)</f>
        <v>0</v>
      </c>
      <c r="U361" s="170">
        <f>IF(Escenarios!$F$14&gt;0,MAX(0,Constantes!$F$36/((Z360+R361+S361+T361+Observaciones!$F360)^2)+Entradas!$F$77),0)</f>
        <v>0</v>
      </c>
      <c r="V361" s="146">
        <f>IF(ETo!D360&gt;0,ETo!I360*((1-Entradas!$F$81)*ETo!K360+ETo!L360),0)</f>
        <v>4.0040943829098259</v>
      </c>
      <c r="W361" s="170">
        <f>IF(Escenarios!$F$14&gt;0,MIN(V361*1,0.8*(Z360+R361+S361+T361+Observaciones!$F360-U361-Constantes!$F$35)),0)</f>
        <v>4.0040943829098259</v>
      </c>
      <c r="X361" s="170">
        <f>IF(Escenarios!$F$14&gt;0,Observaciones!$J360,0)</f>
        <v>0</v>
      </c>
      <c r="Y361" s="170">
        <f>IF(Escenarios!$F$14&gt;0,MAX(0,Z360+R361+S361+T361+Observaciones!$F360-U361-W361-X361-Constantes!$F$33),0)</f>
        <v>0</v>
      </c>
      <c r="Z361" s="170">
        <f>Z360+R361+S361+T361+Observaciones!$F360-U361-W361-Y361</f>
        <v>48.084483529785359</v>
      </c>
      <c r="AA361" s="170">
        <f>IF(Escenarios!$F$14&gt;0,(Escenarios!$F$13*L361+Escenarios!$F$14*W361)/(Escenarios!$F$16),L361)</f>
        <v>2.7412817847910782</v>
      </c>
      <c r="AB361" s="170">
        <f>IF(Escenarios!$F$14&gt;0,(Escenarios!$F$14*Y361)/(Escenarios!$F$16),K361)</f>
        <v>0</v>
      </c>
      <c r="AC361" s="170">
        <f>IF(Escenarios!$F$14&gt;0,(Escenarios!$F$13*M361+Escenarios!$F$14*U361)/(Escenarios!$F$16),M361)</f>
        <v>0</v>
      </c>
      <c r="AD361" s="76">
        <f t="shared" si="71"/>
        <v>57.609677132272303</v>
      </c>
      <c r="AE361" s="76">
        <f>MAX(0,(AD361-Constantes!$D$13)*(1-EXP(-Constantes!$D$23)))</f>
        <v>8.7296508994965952E-2</v>
      </c>
      <c r="AF361" s="76">
        <f>AB361+O361*Escenarios!$F$13/Escenarios!$F$16+AE361</f>
        <v>0.40726516251075778</v>
      </c>
      <c r="AG361" s="76">
        <f>IF(Entradas!$F$91&gt;0,IF(AF361-Escenarios!$F$38&lt;=0,0,IF(AF361-Escenarios!$F$38&gt;Escenarios!$F$37,Escenarios!$F$37,AF361-Escenarios!$F$38)),0)</f>
        <v>0</v>
      </c>
      <c r="AH361" s="76">
        <f>AG361*Entradas!$F$99</f>
        <v>0</v>
      </c>
      <c r="AI361" s="76">
        <f>IF(Entradas!$F$91&gt;0,D361*Entradas!$D$23/Escenarios!$F$16,0)</f>
        <v>0.21622532161452004</v>
      </c>
      <c r="AJ361" s="76">
        <f>IF(Entradas!$F$91&gt;0,Entradas!$D$24*Entradas!$D$22/Escenarios!$F$16,0)</f>
        <v>0.12</v>
      </c>
      <c r="AK361" s="76">
        <f t="shared" si="72"/>
        <v>2.9575071064055982</v>
      </c>
      <c r="AL361" s="76">
        <f t="shared" si="73"/>
        <v>0</v>
      </c>
      <c r="AM361" s="76">
        <f t="shared" si="74"/>
        <v>0</v>
      </c>
      <c r="AN361" s="76">
        <f>MAX(0,O361*Escenarios!$F$13/Escenarios!$F$16-AM361)</f>
        <v>0.31996865351579185</v>
      </c>
      <c r="AO361" s="76">
        <f>AM361+AN361-O361*Escenarios!$F$13/Escenarios!$F$16</f>
        <v>0</v>
      </c>
      <c r="AP361" s="76">
        <f t="shared" si="75"/>
        <v>8.7296508994965952E-2</v>
      </c>
      <c r="AQ361" s="76">
        <f t="shared" si="76"/>
        <v>0</v>
      </c>
      <c r="AR361" s="76">
        <f t="shared" si="77"/>
        <v>0.40726516251075778</v>
      </c>
      <c r="AS361" s="76">
        <f t="shared" si="78"/>
        <v>0</v>
      </c>
      <c r="AT361" s="76">
        <f t="shared" si="79"/>
        <v>0</v>
      </c>
      <c r="AU361" s="76">
        <f t="shared" si="80"/>
        <v>48.959247335352025</v>
      </c>
      <c r="AV361" s="76">
        <f>MAX(0,(AU361-Constantes!$D$13)*(1-EXP(-Constantes!$D$24)))</f>
        <v>3.1983972186676222E-3</v>
      </c>
      <c r="AW361" s="170">
        <f>AW360+(Entradas!$F$112*AT361-AX360)/(800*Entradas!$D$25)</f>
        <v>0</v>
      </c>
      <c r="AX361" s="170">
        <f>8000*Entradas!$D$26*AW361/Constantes!$F$45</f>
        <v>0</v>
      </c>
      <c r="AY361" s="170">
        <f>IF(Escenarios!$F$17&gt;0,10*Escenarios!$F$16*AL361,0)</f>
        <v>0</v>
      </c>
      <c r="AZ361" s="170">
        <f>IF(Escenarios!$F$17&gt;0,10*Escenarios!$F$16*AX361,0)</f>
        <v>0</v>
      </c>
      <c r="BA361" s="170">
        <f>IF(Escenarios!$F$17&gt;0,0.001*Observaciones!$F360*Escenarios!$F$17,0)</f>
        <v>0</v>
      </c>
      <c r="BB361" s="170">
        <f>IF(Escenarios!$F$17&gt;0,Observaciones!$K360,0)</f>
        <v>0</v>
      </c>
      <c r="BC361" s="170">
        <f>IF(Escenarios!$F$17&gt;0,MIN(0.0005*ETo!$M360*Escenarios!$F$17*(BG360/Constantes!$F$40)^(2/3),BG360+AY361+AZ361+BA361+BB361),0)</f>
        <v>0</v>
      </c>
      <c r="BD361" s="170">
        <f>IF(Escenarios!$F$17&gt;0,MIN(Constantes!$F$39*(BG360/Constantes!$F$40)^(2/3),BG360+AY361+AZ361+BA361+BB361-BC361),0)</f>
        <v>0</v>
      </c>
      <c r="BE361" s="170">
        <f>IF(Escenarios!$F$17&gt;0,MIN(Entradas!$F$113,BG360+AY361+AZ361+BA361+BB361-BC361-BD361),0)</f>
        <v>0</v>
      </c>
      <c r="BF361" s="170">
        <f>IF(Escenarios!$F$17&gt;0,MAX(0,BG360+AY361+AZ361+BA361+BB361-BC361-BD361-BE361-Constantes!$F$40),0)</f>
        <v>0</v>
      </c>
      <c r="BG361" s="170">
        <f t="shared" si="81"/>
        <v>0</v>
      </c>
      <c r="BH361" s="170">
        <f>(Escenarios!$F$16*AK361+0.1*BC361)/(Escenarios!$F$19)</f>
        <v>2.9575071064055982</v>
      </c>
      <c r="BI361" s="170">
        <f>IF(Escenarios!$F$17&gt;0,BF361/10/Escenarios!$F$19,AL361)</f>
        <v>0</v>
      </c>
      <c r="BJ361" s="170">
        <f>(Escenarios!$F$16*AT361+0.1*BD361)/(Escenarios!$F$19)</f>
        <v>0</v>
      </c>
      <c r="BK361" s="76">
        <f>BK360+(0.1*BD361)/(Escenarios!$F$19)-BL360</f>
        <v>48.75</v>
      </c>
      <c r="BL361" s="76">
        <f>MAX(0,(BK361-Constantes!$D$13)*(1-EXP(-Constantes!$D$23)))</f>
        <v>0</v>
      </c>
      <c r="BM361" s="76">
        <f t="shared" si="82"/>
        <v>9.0494906213633569E-2</v>
      </c>
      <c r="BN361" s="76">
        <f t="shared" si="83"/>
        <v>0.41046355972942539</v>
      </c>
      <c r="BO361" s="76">
        <f>0.0526*BI361*Observaciones!$F360^1.218</f>
        <v>0</v>
      </c>
      <c r="BP361" s="76">
        <f>BO361*Constantes!$F$51</f>
        <v>0</v>
      </c>
      <c r="BQ361" s="76">
        <f t="shared" si="84"/>
        <v>0</v>
      </c>
      <c r="BR361" s="40"/>
    </row>
    <row r="362" spans="2:70">
      <c r="B362" s="39"/>
      <c r="C362" s="75">
        <v>356</v>
      </c>
      <c r="D362" s="146">
        <f>ETo!$I361*((1-Constantes!$F$19)*ETo!$K361+ETo!$L361)</f>
        <v>4.5233022882772245</v>
      </c>
      <c r="E362" s="76">
        <f>MIN(D362*Constantes!$F$17,0.8*(N361+Observaciones!$F361-F362-M362-Constantes!$D$14))</f>
        <v>2.5796924782244028</v>
      </c>
      <c r="F362" s="76">
        <f>IF(Observaciones!$F361&gt;0.05*Constantes!$F$18,((Observaciones!$F361-0.05*Constantes!$F$18)^2)/(Observaciones!$F361+0.95*Constantes!$F$18),0)</f>
        <v>5.2573489269537851E-2</v>
      </c>
      <c r="G362" s="76">
        <f>IF(Escenarios!$F$11&gt;0,(F362*Escenarios!$F$16*10000)/1000,0)</f>
        <v>0</v>
      </c>
      <c r="H362" s="76">
        <f>IF(Escenarios!$F$11&gt;0,(Observaciones!$F361*Constantes!$F$29)/1000,0)</f>
        <v>0</v>
      </c>
      <c r="I362" s="76">
        <f>IF(Escenarios!$F$11&gt;0,(D362*Constantes!$F$29)/1000,0)</f>
        <v>0</v>
      </c>
      <c r="J362" s="76">
        <f>IF(Escenarios!$F$11&gt;0,MAX(0,G362+H362-I362),0)</f>
        <v>0</v>
      </c>
      <c r="K362" s="76">
        <f>IF(Escenarios!$F$11&gt;0,IF(J362&gt;Constantes!$F$30,1000*((J362-Constantes!$F$30)/(Escenarios!$F$16*10000)),0),F362)</f>
        <v>5.2573489269537851E-2</v>
      </c>
      <c r="L362" s="76">
        <f>IF(Escenarios!$F$11&gt;0,I362*1000/Escenarios!$F$16/10000+E362,E362)</f>
        <v>2.5796924782244028</v>
      </c>
      <c r="M362" s="76">
        <f>MAX(0,N361+Observaciones!$F361-K362-Constantes!$D$13)</f>
        <v>0</v>
      </c>
      <c r="N362" s="76">
        <f>N361+Observaciones!$F361-K362-L362-M362-O361</f>
        <v>33.328283525454552</v>
      </c>
      <c r="O362" s="76">
        <f>MAX(0,(N362-Constantes!$D$14)*(1-EXP(-Constantes!$D$22)))</f>
        <v>0.7520673879150841</v>
      </c>
      <c r="P362" s="170">
        <f>P361+(Entradas!$F$83*M362-Q361)/(800*Entradas!$D$25)</f>
        <v>0</v>
      </c>
      <c r="Q362" s="170">
        <f>8000*Entradas!$D$26*P362/Constantes!$F$45</f>
        <v>0</v>
      </c>
      <c r="R362" s="170">
        <f>IF(Escenarios!$F$14&gt;0,K362*Escenarios!$F$13/Escenarios!$F$14,0)</f>
        <v>0.38553892130994427</v>
      </c>
      <c r="S362" s="170">
        <f>IF(Escenarios!$F$14&gt;0,Q362*Escenarios!$F$13/Escenarios!$F$14,0)</f>
        <v>0</v>
      </c>
      <c r="T362" s="170">
        <f>IF(Escenarios!$F$14&gt;0,Observaciones!$I361,0)</f>
        <v>0</v>
      </c>
      <c r="U362" s="170">
        <f>IF(Escenarios!$F$14&gt;0,MAX(0,Constantes!$F$36/((Z361+R362+S362+T362+Observaciones!$F361)^2)+Entradas!$F$77),0)</f>
        <v>0.4025586141191515</v>
      </c>
      <c r="V362" s="146">
        <f>IF(ETo!D361&gt;0,ETo!I361*((1-Entradas!$F$81)*ETo!K361+ETo!L361),0)</f>
        <v>4.0208961100274845</v>
      </c>
      <c r="W362" s="170">
        <f>IF(Escenarios!$F$14&gt;0,MIN(V362*1,0.8*(Z361+R362+S362+T362+Observaciones!$F361-U362-Constantes!$F$35)),0)</f>
        <v>4.0208961100274845</v>
      </c>
      <c r="X362" s="170">
        <f>IF(Escenarios!$F$14&gt;0,Observaciones!$J361,0)</f>
        <v>0</v>
      </c>
      <c r="Y362" s="170">
        <f>IF(Escenarios!$F$14&gt;0,MAX(0,Z361+R362+S362+T362+Observaciones!$F361-U362-W362-X362-Constantes!$F$33),0)</f>
        <v>0</v>
      </c>
      <c r="Z362" s="170">
        <f>Z361+R362+S362+T362+Observaciones!$F361-U362-W362-Y362</f>
        <v>58.446567726948665</v>
      </c>
      <c r="AA362" s="170">
        <f>IF(Escenarios!$F$14&gt;0,(Escenarios!$F$13*L362+Escenarios!$F$14*W362)/(Escenarios!$F$16),L362)</f>
        <v>2.7526369140407723</v>
      </c>
      <c r="AB362" s="170">
        <f>IF(Escenarios!$F$14&gt;0,(Escenarios!$F$14*Y362)/(Escenarios!$F$16),K362)</f>
        <v>0</v>
      </c>
      <c r="AC362" s="170">
        <f>IF(Escenarios!$F$14&gt;0,(Escenarios!$F$13*M362+Escenarios!$F$14*U362)/(Escenarios!$F$16),M362)</f>
        <v>4.8307033694298181E-2</v>
      </c>
      <c r="AD362" s="76">
        <f t="shared" si="71"/>
        <v>57.570687656971636</v>
      </c>
      <c r="AE362" s="76">
        <f>MAX(0,(AD362-Constantes!$D$13)*(1-EXP(-Constantes!$D$23)))</f>
        <v>8.6912336408258975E-2</v>
      </c>
      <c r="AF362" s="76">
        <f>AB362+O362*Escenarios!$F$13/Escenarios!$F$16+AE362</f>
        <v>0.74873163777353302</v>
      </c>
      <c r="AG362" s="76">
        <f>IF(Entradas!$F$91&gt;0,IF(AF362-Escenarios!$F$38&lt;=0,0,IF(AF362-Escenarios!$F$38&gt;Escenarios!$F$37,Escenarios!$F$37,AF362-Escenarios!$F$38)),0)</f>
        <v>0</v>
      </c>
      <c r="AH362" s="76">
        <f>AG362*Entradas!$F$99</f>
        <v>0</v>
      </c>
      <c r="AI362" s="76">
        <f>IF(Entradas!$F$91&gt;0,D362*Entradas!$D$23/Escenarios!$F$16,0)</f>
        <v>0.21711850983730677</v>
      </c>
      <c r="AJ362" s="76">
        <f>IF(Entradas!$F$91&gt;0,Entradas!$D$24*Entradas!$D$22/Escenarios!$F$16,0)</f>
        <v>0.12</v>
      </c>
      <c r="AK362" s="76">
        <f t="shared" si="72"/>
        <v>2.969755423878079</v>
      </c>
      <c r="AL362" s="76">
        <f t="shared" si="73"/>
        <v>0</v>
      </c>
      <c r="AM362" s="76">
        <f t="shared" si="74"/>
        <v>0</v>
      </c>
      <c r="AN362" s="76">
        <f>MAX(0,O362*Escenarios!$F$13/Escenarios!$F$16-AM362)</f>
        <v>0.661819301365274</v>
      </c>
      <c r="AO362" s="76">
        <f>AM362+AN362-O362*Escenarios!$F$13/Escenarios!$F$16</f>
        <v>0</v>
      </c>
      <c r="AP362" s="76">
        <f t="shared" si="75"/>
        <v>8.6912336408258975E-2</v>
      </c>
      <c r="AQ362" s="76">
        <f t="shared" si="76"/>
        <v>0</v>
      </c>
      <c r="AR362" s="76">
        <f t="shared" si="77"/>
        <v>0.74873163777353302</v>
      </c>
      <c r="AS362" s="76">
        <f t="shared" si="78"/>
        <v>0</v>
      </c>
      <c r="AT362" s="76">
        <f t="shared" si="79"/>
        <v>4.8307033694298181E-2</v>
      </c>
      <c r="AU362" s="76">
        <f t="shared" si="80"/>
        <v>48.956048938133357</v>
      </c>
      <c r="AV362" s="76">
        <f>MAX(0,(AU362-Constantes!$D$13)*(1-EXP(-Constantes!$D$24)))</f>
        <v>3.1495089269664538E-3</v>
      </c>
      <c r="AW362" s="170">
        <f>AW361+(Entradas!$F$112*AT362-AX361)/(800*Entradas!$D$25)</f>
        <v>0</v>
      </c>
      <c r="AX362" s="170">
        <f>8000*Entradas!$D$26*AW362/Constantes!$F$45</f>
        <v>0</v>
      </c>
      <c r="AY362" s="170">
        <f>IF(Escenarios!$F$17&gt;0,10*Escenarios!$F$16*AL362,0)</f>
        <v>0</v>
      </c>
      <c r="AZ362" s="170">
        <f>IF(Escenarios!$F$17&gt;0,10*Escenarios!$F$16*AX362,0)</f>
        <v>0</v>
      </c>
      <c r="BA362" s="170">
        <f>IF(Escenarios!$F$17&gt;0,0.001*Observaciones!$F361*Escenarios!$F$17,0)</f>
        <v>0</v>
      </c>
      <c r="BB362" s="170">
        <f>IF(Escenarios!$F$17&gt;0,Observaciones!$K361,0)</f>
        <v>0</v>
      </c>
      <c r="BC362" s="170">
        <f>IF(Escenarios!$F$17&gt;0,MIN(0.0005*ETo!$M361*Escenarios!$F$17*(BG361/Constantes!$F$40)^(2/3),BG361+AY362+AZ362+BA362+BB362),0)</f>
        <v>0</v>
      </c>
      <c r="BD362" s="170">
        <f>IF(Escenarios!$F$17&gt;0,MIN(Constantes!$F$39*(BG361/Constantes!$F$40)^(2/3),BG361+AY362+AZ362+BA362+BB362-BC362),0)</f>
        <v>0</v>
      </c>
      <c r="BE362" s="170">
        <f>IF(Escenarios!$F$17&gt;0,MIN(Entradas!$F$113,BG361+AY362+AZ362+BA362+BB362-BC362-BD362),0)</f>
        <v>0</v>
      </c>
      <c r="BF362" s="170">
        <f>IF(Escenarios!$F$17&gt;0,MAX(0,BG361+AY362+AZ362+BA362+BB362-BC362-BD362-BE362-Constantes!$F$40),0)</f>
        <v>0</v>
      </c>
      <c r="BG362" s="170">
        <f t="shared" si="81"/>
        <v>0</v>
      </c>
      <c r="BH362" s="170">
        <f>(Escenarios!$F$16*AK362+0.1*BC362)/(Escenarios!$F$19)</f>
        <v>2.969755423878079</v>
      </c>
      <c r="BI362" s="170">
        <f>IF(Escenarios!$F$17&gt;0,BF362/10/Escenarios!$F$19,AL362)</f>
        <v>0</v>
      </c>
      <c r="BJ362" s="170">
        <f>(Escenarios!$F$16*AT362+0.1*BD362)/(Escenarios!$F$19)</f>
        <v>4.8307033694298181E-2</v>
      </c>
      <c r="BK362" s="76">
        <f>BK361+(0.1*BD362)/(Escenarios!$F$19)-BL361</f>
        <v>48.75</v>
      </c>
      <c r="BL362" s="76">
        <f>MAX(0,(BK362-Constantes!$D$13)*(1-EXP(-Constantes!$D$23)))</f>
        <v>0</v>
      </c>
      <c r="BM362" s="76">
        <f t="shared" si="82"/>
        <v>9.0061845335225432E-2</v>
      </c>
      <c r="BN362" s="76">
        <f t="shared" si="83"/>
        <v>0.75188114670049944</v>
      </c>
      <c r="BO362" s="76">
        <f>0.0526*BI362*Observaciones!$F361^1.218</f>
        <v>0</v>
      </c>
      <c r="BP362" s="76">
        <f>BO362*Constantes!$F$51</f>
        <v>0</v>
      </c>
      <c r="BQ362" s="76">
        <f t="shared" si="84"/>
        <v>0</v>
      </c>
      <c r="BR362" s="40"/>
    </row>
    <row r="363" spans="2:70">
      <c r="B363" s="39"/>
      <c r="C363" s="75">
        <v>357</v>
      </c>
      <c r="D363" s="146">
        <f>ETo!$I362*((1-Constantes!$F$19)*ETo!$K362+ETo!$L362)</f>
        <v>4.6627793939151383</v>
      </c>
      <c r="E363" s="76">
        <f>MIN(D363*Constantes!$F$17,0.8*(N362+Observaciones!$F362-F363-M363-Constantes!$D$14))</f>
        <v>2.6592379114869842</v>
      </c>
      <c r="F363" s="76">
        <f>IF(Observaciones!$F362&gt;0.05*Constantes!$F$18,((Observaciones!$F362-0.05*Constantes!$F$18)^2)/(Observaciones!$F362+0.95*Constantes!$F$18),0)</f>
        <v>0</v>
      </c>
      <c r="G363" s="76">
        <f>IF(Escenarios!$F$11&gt;0,(F363*Escenarios!$F$16*10000)/1000,0)</f>
        <v>0</v>
      </c>
      <c r="H363" s="76">
        <f>IF(Escenarios!$F$11&gt;0,(Observaciones!$F362*Constantes!$F$29)/1000,0)</f>
        <v>0</v>
      </c>
      <c r="I363" s="76">
        <f>IF(Escenarios!$F$11&gt;0,(D363*Constantes!$F$29)/1000,0)</f>
        <v>0</v>
      </c>
      <c r="J363" s="76">
        <f>IF(Escenarios!$F$11&gt;0,MAX(0,G363+H363-I363),0)</f>
        <v>0</v>
      </c>
      <c r="K363" s="76">
        <f>IF(Escenarios!$F$11&gt;0,IF(J363&gt;Constantes!$F$30,1000*((J363-Constantes!$F$30)/(Escenarios!$F$16*10000)),0),F363)</f>
        <v>0</v>
      </c>
      <c r="L363" s="76">
        <f>IF(Escenarios!$F$11&gt;0,I363*1000/Escenarios!$F$16/10000+E363,E363)</f>
        <v>2.6592379114869842</v>
      </c>
      <c r="M363" s="76">
        <f>MAX(0,N362+Observaciones!$F362-K363-Constantes!$D$13)</f>
        <v>0</v>
      </c>
      <c r="N363" s="76">
        <f>N362+Observaciones!$F362-K363-L363-M363-O362</f>
        <v>32.116978226052488</v>
      </c>
      <c r="O363" s="76">
        <f>MAX(0,(N363-Constantes!$D$14)*(1-EXP(-Constantes!$D$22)))</f>
        <v>0.71080588262466082</v>
      </c>
      <c r="P363" s="170">
        <f>P362+(Entradas!$F$83*M363-Q362)/(800*Entradas!$D$25)</f>
        <v>0</v>
      </c>
      <c r="Q363" s="170">
        <f>8000*Entradas!$D$26*P363/Constantes!$F$45</f>
        <v>0</v>
      </c>
      <c r="R363" s="170">
        <f>IF(Escenarios!$F$14&gt;0,K363*Escenarios!$F$13/Escenarios!$F$14,0)</f>
        <v>0</v>
      </c>
      <c r="S363" s="170">
        <f>IF(Escenarios!$F$14&gt;0,Q363*Escenarios!$F$13/Escenarios!$F$14,0)</f>
        <v>0</v>
      </c>
      <c r="T363" s="170">
        <f>IF(Escenarios!$F$14&gt;0,Observaciones!$I362,0)</f>
        <v>0</v>
      </c>
      <c r="U363" s="170">
        <f>IF(Escenarios!$F$14&gt;0,MAX(0,Constantes!$F$36/((Z362+R363+S363+T363+Observaciones!$F362)^2)+Entradas!$F$77),0)</f>
        <v>0.20860990826055614</v>
      </c>
      <c r="V363" s="146">
        <f>IF(ETo!D362&gt;0,ETo!I362*((1-Entradas!$F$81)*ETo!K362+ETo!L362),0)</f>
        <v>4.1471370166821417</v>
      </c>
      <c r="W363" s="170">
        <f>IF(Escenarios!$F$14&gt;0,MIN(V363*1,0.8*(Z362+R363+S363+T363+Observaciones!$F362-U363-Constantes!$F$35)),0)</f>
        <v>4.1471370166821417</v>
      </c>
      <c r="X363" s="170">
        <f>IF(Escenarios!$F$14&gt;0,Observaciones!$J362,0)</f>
        <v>0</v>
      </c>
      <c r="Y363" s="170">
        <f>IF(Escenarios!$F$14&gt;0,MAX(0,Z362+R363+S363+T363+Observaciones!$F362-U363-W363-X363-Constantes!$F$33),0)</f>
        <v>0</v>
      </c>
      <c r="Z363" s="170">
        <f>Z362+R363+S363+T363+Observaciones!$F362-U363-W363-Y363</f>
        <v>56.290820802005967</v>
      </c>
      <c r="AA363" s="170">
        <f>IF(Escenarios!$F$14&gt;0,(Escenarios!$F$13*L363+Escenarios!$F$14*W363)/(Escenarios!$F$16),L363)</f>
        <v>2.8377858041104034</v>
      </c>
      <c r="AB363" s="170">
        <f>IF(Escenarios!$F$14&gt;0,(Escenarios!$F$14*Y363)/(Escenarios!$F$16),K363)</f>
        <v>0</v>
      </c>
      <c r="AC363" s="170">
        <f>IF(Escenarios!$F$14&gt;0,(Escenarios!$F$13*M363+Escenarios!$F$14*U363)/(Escenarios!$F$16),M363)</f>
        <v>2.5033188991266737E-2</v>
      </c>
      <c r="AD363" s="76">
        <f t="shared" si="71"/>
        <v>57.50880850955464</v>
      </c>
      <c r="AE363" s="76">
        <f>MAX(0,(AD363-Constantes!$D$13)*(1-EXP(-Constantes!$D$23)))</f>
        <v>8.6302626430294682E-2</v>
      </c>
      <c r="AF363" s="76">
        <f>AB363+O363*Escenarios!$F$13/Escenarios!$F$16+AE363</f>
        <v>0.71181180313999626</v>
      </c>
      <c r="AG363" s="76">
        <f>IF(Entradas!$F$91&gt;0,IF(AF363-Escenarios!$F$38&lt;=0,0,IF(AF363-Escenarios!$F$38&gt;Escenarios!$F$37,Escenarios!$F$37,AF363-Escenarios!$F$38)),0)</f>
        <v>0</v>
      </c>
      <c r="AH363" s="76">
        <f>AG363*Entradas!$F$99</f>
        <v>0</v>
      </c>
      <c r="AI363" s="76">
        <f>IF(Entradas!$F$91&gt;0,D363*Entradas!$D$23/Escenarios!$F$16,0)</f>
        <v>0.22381341090792664</v>
      </c>
      <c r="AJ363" s="76">
        <f>IF(Entradas!$F$91&gt;0,Entradas!$D$24*Entradas!$D$22/Escenarios!$F$16,0)</f>
        <v>0.12</v>
      </c>
      <c r="AK363" s="76">
        <f t="shared" si="72"/>
        <v>3.06159921501833</v>
      </c>
      <c r="AL363" s="76">
        <f t="shared" si="73"/>
        <v>0</v>
      </c>
      <c r="AM363" s="76">
        <f t="shared" si="74"/>
        <v>0</v>
      </c>
      <c r="AN363" s="76">
        <f>MAX(0,O363*Escenarios!$F$13/Escenarios!$F$16-AM363)</f>
        <v>0.62550917670970152</v>
      </c>
      <c r="AO363" s="76">
        <f>AM363+AN363-O363*Escenarios!$F$13/Escenarios!$F$16</f>
        <v>0</v>
      </c>
      <c r="AP363" s="76">
        <f t="shared" si="75"/>
        <v>8.6302626430294682E-2</v>
      </c>
      <c r="AQ363" s="76">
        <f t="shared" si="76"/>
        <v>0</v>
      </c>
      <c r="AR363" s="76">
        <f t="shared" si="77"/>
        <v>0.71181180313999626</v>
      </c>
      <c r="AS363" s="76">
        <f t="shared" si="78"/>
        <v>0</v>
      </c>
      <c r="AT363" s="76">
        <f t="shared" si="79"/>
        <v>2.5033188991266737E-2</v>
      </c>
      <c r="AU363" s="76">
        <f t="shared" si="80"/>
        <v>48.95289942920639</v>
      </c>
      <c r="AV363" s="76">
        <f>MAX(0,(AU363-Constantes!$D$13)*(1-EXP(-Constantes!$D$24)))</f>
        <v>3.1013679048825511E-3</v>
      </c>
      <c r="AW363" s="170">
        <f>AW362+(Entradas!$F$112*AT363-AX362)/(800*Entradas!$D$25)</f>
        <v>0</v>
      </c>
      <c r="AX363" s="170">
        <f>8000*Entradas!$D$26*AW363/Constantes!$F$45</f>
        <v>0</v>
      </c>
      <c r="AY363" s="170">
        <f>IF(Escenarios!$F$17&gt;0,10*Escenarios!$F$16*AL363,0)</f>
        <v>0</v>
      </c>
      <c r="AZ363" s="170">
        <f>IF(Escenarios!$F$17&gt;0,10*Escenarios!$F$16*AX363,0)</f>
        <v>0</v>
      </c>
      <c r="BA363" s="170">
        <f>IF(Escenarios!$F$17&gt;0,0.001*Observaciones!$F362*Escenarios!$F$17,0)</f>
        <v>0</v>
      </c>
      <c r="BB363" s="170">
        <f>IF(Escenarios!$F$17&gt;0,Observaciones!$K362,0)</f>
        <v>0</v>
      </c>
      <c r="BC363" s="170">
        <f>IF(Escenarios!$F$17&gt;0,MIN(0.0005*ETo!$M362*Escenarios!$F$17*(BG362/Constantes!$F$40)^(2/3),BG362+AY363+AZ363+BA363+BB363),0)</f>
        <v>0</v>
      </c>
      <c r="BD363" s="170">
        <f>IF(Escenarios!$F$17&gt;0,MIN(Constantes!$F$39*(BG362/Constantes!$F$40)^(2/3),BG362+AY363+AZ363+BA363+BB363-BC363),0)</f>
        <v>0</v>
      </c>
      <c r="BE363" s="170">
        <f>IF(Escenarios!$F$17&gt;0,MIN(Entradas!$F$113,BG362+AY363+AZ363+BA363+BB363-BC363-BD363),0)</f>
        <v>0</v>
      </c>
      <c r="BF363" s="170">
        <f>IF(Escenarios!$F$17&gt;0,MAX(0,BG362+AY363+AZ363+BA363+BB363-BC363-BD363-BE363-Constantes!$F$40),0)</f>
        <v>0</v>
      </c>
      <c r="BG363" s="170">
        <f t="shared" si="81"/>
        <v>0</v>
      </c>
      <c r="BH363" s="170">
        <f>(Escenarios!$F$16*AK363+0.1*BC363)/(Escenarios!$F$19)</f>
        <v>3.06159921501833</v>
      </c>
      <c r="BI363" s="170">
        <f>IF(Escenarios!$F$17&gt;0,BF363/10/Escenarios!$F$19,AL363)</f>
        <v>0</v>
      </c>
      <c r="BJ363" s="170">
        <f>(Escenarios!$F$16*AT363+0.1*BD363)/(Escenarios!$F$19)</f>
        <v>2.5033188991266737E-2</v>
      </c>
      <c r="BK363" s="76">
        <f>BK362+(0.1*BD363)/(Escenarios!$F$19)-BL362</f>
        <v>48.75</v>
      </c>
      <c r="BL363" s="76">
        <f>MAX(0,(BK363-Constantes!$D$13)*(1-EXP(-Constantes!$D$23)))</f>
        <v>0</v>
      </c>
      <c r="BM363" s="76">
        <f t="shared" si="82"/>
        <v>8.9403994335177234E-2</v>
      </c>
      <c r="BN363" s="76">
        <f t="shared" si="83"/>
        <v>0.71491317104487884</v>
      </c>
      <c r="BO363" s="76">
        <f>0.0526*BI363*Observaciones!$F362^1.218</f>
        <v>0</v>
      </c>
      <c r="BP363" s="76">
        <f>BO363*Constantes!$F$51</f>
        <v>0</v>
      </c>
      <c r="BQ363" s="76">
        <f t="shared" si="84"/>
        <v>0</v>
      </c>
      <c r="BR363" s="40"/>
    </row>
    <row r="364" spans="2:70">
      <c r="B364" s="39"/>
      <c r="C364" s="75">
        <v>358</v>
      </c>
      <c r="D364" s="146">
        <f>ETo!$I363*((1-Constantes!$F$19)*ETo!$K363+ETo!$L363)</f>
        <v>4.5093613425446559</v>
      </c>
      <c r="E364" s="76">
        <f>MIN(D364*Constantes!$F$17,0.8*(N363+Observaciones!$F363-F364-M364-Constantes!$D$14))</f>
        <v>2.5717417929609292</v>
      </c>
      <c r="F364" s="76">
        <f>IF(Observaciones!$F363&gt;0.05*Constantes!$F$18,((Observaciones!$F363-0.05*Constantes!$F$18)^2)/(Observaciones!$F363+0.95*Constantes!$F$18),0)</f>
        <v>0</v>
      </c>
      <c r="G364" s="76">
        <f>IF(Escenarios!$F$11&gt;0,(F364*Escenarios!$F$16*10000)/1000,0)</f>
        <v>0</v>
      </c>
      <c r="H364" s="76">
        <f>IF(Escenarios!$F$11&gt;0,(Observaciones!$F363*Constantes!$F$29)/1000,0)</f>
        <v>0</v>
      </c>
      <c r="I364" s="76">
        <f>IF(Escenarios!$F$11&gt;0,(D364*Constantes!$F$29)/1000,0)</f>
        <v>0</v>
      </c>
      <c r="J364" s="76">
        <f>IF(Escenarios!$F$11&gt;0,MAX(0,G364+H364-I364),0)</f>
        <v>0</v>
      </c>
      <c r="K364" s="76">
        <f>IF(Escenarios!$F$11&gt;0,IF(J364&gt;Constantes!$F$30,1000*((J364-Constantes!$F$30)/(Escenarios!$F$16*10000)),0),F364)</f>
        <v>0</v>
      </c>
      <c r="L364" s="76">
        <f>IF(Escenarios!$F$11&gt;0,I364*1000/Escenarios!$F$16/10000+E364,E364)</f>
        <v>2.5717417929609292</v>
      </c>
      <c r="M364" s="76">
        <f>MAX(0,N363+Observaciones!$F363-K364-Constantes!$D$13)</f>
        <v>0</v>
      </c>
      <c r="N364" s="76">
        <f>N363+Observaciones!$F363-K364-L364-M364-O363</f>
        <v>28.834430550466898</v>
      </c>
      <c r="O364" s="76">
        <f>MAX(0,(N364-Constantes!$D$14)*(1-EXP(-Constantes!$D$22)))</f>
        <v>0.59899025831500063</v>
      </c>
      <c r="P364" s="170">
        <f>P363+(Entradas!$F$83*M364-Q363)/(800*Entradas!$D$25)</f>
        <v>0</v>
      </c>
      <c r="Q364" s="170">
        <f>8000*Entradas!$D$26*P364/Constantes!$F$45</f>
        <v>0</v>
      </c>
      <c r="R364" s="170">
        <f>IF(Escenarios!$F$14&gt;0,K364*Escenarios!$F$13/Escenarios!$F$14,0)</f>
        <v>0</v>
      </c>
      <c r="S364" s="170">
        <f>IF(Escenarios!$F$14&gt;0,Q364*Escenarios!$F$13/Escenarios!$F$14,0)</f>
        <v>0</v>
      </c>
      <c r="T364" s="170">
        <f>IF(Escenarios!$F$14&gt;0,Observaciones!$I363,0)</f>
        <v>0</v>
      </c>
      <c r="U364" s="170">
        <f>IF(Escenarios!$F$14&gt;0,MAX(0,Constantes!$F$36/((Z363+R364+S364+T364+Observaciones!$F363)^2)+Entradas!$F$77),0)</f>
        <v>0</v>
      </c>
      <c r="V364" s="146">
        <f>IF(ETo!D363&gt;0,ETo!I363*((1-Entradas!$F$81)*ETo!K363+ETo!L363),0)</f>
        <v>4.0083078004853725</v>
      </c>
      <c r="W364" s="170">
        <f>IF(Escenarios!$F$14&gt;0,MIN(V364*1,0.8*(Z363+R364+S364+T364+Observaciones!$F363-U364-Constantes!$F$35)),0)</f>
        <v>4.0083078004853725</v>
      </c>
      <c r="X364" s="170">
        <f>IF(Escenarios!$F$14&gt;0,Observaciones!$J363,0)</f>
        <v>0</v>
      </c>
      <c r="Y364" s="170">
        <f>IF(Escenarios!$F$14&gt;0,MAX(0,Z363+R364+S364+T364+Observaciones!$F363-U364-W364-X364-Constantes!$F$33),0)</f>
        <v>0</v>
      </c>
      <c r="Z364" s="170">
        <f>Z363+R364+S364+T364+Observaciones!$F363-U364-W364-Y364</f>
        <v>52.282513001520599</v>
      </c>
      <c r="AA364" s="170">
        <f>IF(Escenarios!$F$14&gt;0,(Escenarios!$F$13*L364+Escenarios!$F$14*W364)/(Escenarios!$F$16),L364)</f>
        <v>2.7441297138638618</v>
      </c>
      <c r="AB364" s="170">
        <f>IF(Escenarios!$F$14&gt;0,(Escenarios!$F$14*Y364)/(Escenarios!$F$16),K364)</f>
        <v>0</v>
      </c>
      <c r="AC364" s="170">
        <f>IF(Escenarios!$F$14&gt;0,(Escenarios!$F$13*M364+Escenarios!$F$14*U364)/(Escenarios!$F$16),M364)</f>
        <v>0</v>
      </c>
      <c r="AD364" s="76">
        <f t="shared" si="71"/>
        <v>57.422505883124344</v>
      </c>
      <c r="AE364" s="76">
        <f>MAX(0,(AD364-Constantes!$D$13)*(1-EXP(-Constantes!$D$23)))</f>
        <v>8.5452266096392837E-2</v>
      </c>
      <c r="AF364" s="76">
        <f>AB364+O364*Escenarios!$F$13/Escenarios!$F$16+AE364</f>
        <v>0.6125636934135934</v>
      </c>
      <c r="AG364" s="76">
        <f>IF(Entradas!$F$91&gt;0,IF(AF364-Escenarios!$F$38&lt;=0,0,IF(AF364-Escenarios!$F$38&gt;Escenarios!$F$37,Escenarios!$F$37,AF364-Escenarios!$F$38)),0)</f>
        <v>0</v>
      </c>
      <c r="AH364" s="76">
        <f>AG364*Entradas!$F$99</f>
        <v>0</v>
      </c>
      <c r="AI364" s="76">
        <f>IF(Entradas!$F$91&gt;0,D364*Entradas!$D$23/Escenarios!$F$16,0)</f>
        <v>0.21644934444214348</v>
      </c>
      <c r="AJ364" s="76">
        <f>IF(Entradas!$F$91&gt;0,Entradas!$D$24*Entradas!$D$22/Escenarios!$F$16,0)</f>
        <v>0.12</v>
      </c>
      <c r="AK364" s="76">
        <f t="shared" si="72"/>
        <v>2.9605790583060054</v>
      </c>
      <c r="AL364" s="76">
        <f t="shared" si="73"/>
        <v>0</v>
      </c>
      <c r="AM364" s="76">
        <f t="shared" si="74"/>
        <v>0</v>
      </c>
      <c r="AN364" s="76">
        <f>MAX(0,O364*Escenarios!$F$13/Escenarios!$F$16-AM364)</f>
        <v>0.52711142731720051</v>
      </c>
      <c r="AO364" s="76">
        <f>AM364+AN364-O364*Escenarios!$F$13/Escenarios!$F$16</f>
        <v>0</v>
      </c>
      <c r="AP364" s="76">
        <f t="shared" si="75"/>
        <v>8.5452266096392837E-2</v>
      </c>
      <c r="AQ364" s="76">
        <f t="shared" si="76"/>
        <v>0</v>
      </c>
      <c r="AR364" s="76">
        <f t="shared" si="77"/>
        <v>0.6125636934135934</v>
      </c>
      <c r="AS364" s="76">
        <f t="shared" si="78"/>
        <v>0</v>
      </c>
      <c r="AT364" s="76">
        <f t="shared" si="79"/>
        <v>0</v>
      </c>
      <c r="AU364" s="76">
        <f t="shared" si="80"/>
        <v>48.949798061301507</v>
      </c>
      <c r="AV364" s="76">
        <f>MAX(0,(AU364-Constantes!$D$13)*(1-EXP(-Constantes!$D$24)))</f>
        <v>3.0539627302151951E-3</v>
      </c>
      <c r="AW364" s="170">
        <f>AW363+(Entradas!$F$112*AT364-AX363)/(800*Entradas!$D$25)</f>
        <v>0</v>
      </c>
      <c r="AX364" s="170">
        <f>8000*Entradas!$D$26*AW364/Constantes!$F$45</f>
        <v>0</v>
      </c>
      <c r="AY364" s="170">
        <f>IF(Escenarios!$F$17&gt;0,10*Escenarios!$F$16*AL364,0)</f>
        <v>0</v>
      </c>
      <c r="AZ364" s="170">
        <f>IF(Escenarios!$F$17&gt;0,10*Escenarios!$F$16*AX364,0)</f>
        <v>0</v>
      </c>
      <c r="BA364" s="170">
        <f>IF(Escenarios!$F$17&gt;0,0.001*Observaciones!$F363*Escenarios!$F$17,0)</f>
        <v>0</v>
      </c>
      <c r="BB364" s="170">
        <f>IF(Escenarios!$F$17&gt;0,Observaciones!$K363,0)</f>
        <v>0</v>
      </c>
      <c r="BC364" s="170">
        <f>IF(Escenarios!$F$17&gt;0,MIN(0.0005*ETo!$M363*Escenarios!$F$17*(BG363/Constantes!$F$40)^(2/3),BG363+AY364+AZ364+BA364+BB364),0)</f>
        <v>0</v>
      </c>
      <c r="BD364" s="170">
        <f>IF(Escenarios!$F$17&gt;0,MIN(Constantes!$F$39*(BG363/Constantes!$F$40)^(2/3),BG363+AY364+AZ364+BA364+BB364-BC364),0)</f>
        <v>0</v>
      </c>
      <c r="BE364" s="170">
        <f>IF(Escenarios!$F$17&gt;0,MIN(Entradas!$F$113,BG363+AY364+AZ364+BA364+BB364-BC364-BD364),0)</f>
        <v>0</v>
      </c>
      <c r="BF364" s="170">
        <f>IF(Escenarios!$F$17&gt;0,MAX(0,BG363+AY364+AZ364+BA364+BB364-BC364-BD364-BE364-Constantes!$F$40),0)</f>
        <v>0</v>
      </c>
      <c r="BG364" s="170">
        <f t="shared" si="81"/>
        <v>0</v>
      </c>
      <c r="BH364" s="170">
        <f>(Escenarios!$F$16*AK364+0.1*BC364)/(Escenarios!$F$19)</f>
        <v>2.9605790583060054</v>
      </c>
      <c r="BI364" s="170">
        <f>IF(Escenarios!$F$17&gt;0,BF364/10/Escenarios!$F$19,AL364)</f>
        <v>0</v>
      </c>
      <c r="BJ364" s="170">
        <f>(Escenarios!$F$16*AT364+0.1*BD364)/(Escenarios!$F$19)</f>
        <v>0</v>
      </c>
      <c r="BK364" s="76">
        <f>BK363+(0.1*BD364)/(Escenarios!$F$19)-BL363</f>
        <v>48.75</v>
      </c>
      <c r="BL364" s="76">
        <f>MAX(0,(BK364-Constantes!$D$13)*(1-EXP(-Constantes!$D$23)))</f>
        <v>0</v>
      </c>
      <c r="BM364" s="76">
        <f t="shared" si="82"/>
        <v>8.8506228826608038E-2</v>
      </c>
      <c r="BN364" s="76">
        <f t="shared" si="83"/>
        <v>0.61561765614380859</v>
      </c>
      <c r="BO364" s="76">
        <f>0.0526*BI364*Observaciones!$F363^1.218</f>
        <v>0</v>
      </c>
      <c r="BP364" s="76">
        <f>BO364*Constantes!$F$51</f>
        <v>0</v>
      </c>
      <c r="BQ364" s="76">
        <f t="shared" si="84"/>
        <v>0</v>
      </c>
      <c r="BR364" s="40"/>
    </row>
    <row r="365" spans="2:70">
      <c r="B365" s="39"/>
      <c r="C365" s="75">
        <v>359</v>
      </c>
      <c r="D365" s="146">
        <f>ETo!$I364*((1-Constantes!$F$19)*ETo!$K364+ETo!$L364)</f>
        <v>4.5140308825053816</v>
      </c>
      <c r="E365" s="76">
        <f>MIN(D365*Constantes!$F$17,0.8*(N364+Observaciones!$F364-F365-M365-Constantes!$D$14))</f>
        <v>2.5744048865031566</v>
      </c>
      <c r="F365" s="76">
        <f>IF(Observaciones!$F364&gt;0.05*Constantes!$F$18,((Observaciones!$F364-0.05*Constantes!$F$18)^2)/(Observaciones!$F364+0.95*Constantes!$F$18),0)</f>
        <v>0.62434619388279189</v>
      </c>
      <c r="G365" s="76">
        <f>IF(Escenarios!$F$11&gt;0,(F365*Escenarios!$F$16*10000)/1000,0)</f>
        <v>0</v>
      </c>
      <c r="H365" s="76">
        <f>IF(Escenarios!$F$11&gt;0,(Observaciones!$F364*Constantes!$F$29)/1000,0)</f>
        <v>0</v>
      </c>
      <c r="I365" s="76">
        <f>IF(Escenarios!$F$11&gt;0,(D365*Constantes!$F$29)/1000,0)</f>
        <v>0</v>
      </c>
      <c r="J365" s="76">
        <f>IF(Escenarios!$F$11&gt;0,MAX(0,G365+H365-I365),0)</f>
        <v>0</v>
      </c>
      <c r="K365" s="76">
        <f>IF(Escenarios!$F$11&gt;0,IF(J365&gt;Constantes!$F$30,1000*((J365-Constantes!$F$30)/(Escenarios!$F$16*10000)),0),F365)</f>
        <v>0.62434619388279189</v>
      </c>
      <c r="L365" s="76">
        <f>IF(Escenarios!$F$11&gt;0,I365*1000/Escenarios!$F$16/10000+E365,E365)</f>
        <v>2.5744048865031566</v>
      </c>
      <c r="M365" s="76">
        <f>MAX(0,N364+Observaciones!$F364-K365-Constantes!$D$13)</f>
        <v>2.4600843565841046</v>
      </c>
      <c r="N365" s="76">
        <f>N364+Observaciones!$F364-K365-L365-M365-O364</f>
        <v>45.576604855181841</v>
      </c>
      <c r="O365" s="76">
        <f>MAX(0,(N365-Constantes!$D$14)*(1-EXP(-Constantes!$D$22)))</f>
        <v>1.1692901769137123</v>
      </c>
      <c r="P365" s="170">
        <f>P364+(Entradas!$F$83*M365-Q364)/(800*Entradas!$D$25)</f>
        <v>0</v>
      </c>
      <c r="Q365" s="170">
        <f>8000*Entradas!$D$26*P365/Constantes!$F$45</f>
        <v>0</v>
      </c>
      <c r="R365" s="170">
        <f>IF(Escenarios!$F$14&gt;0,K365*Escenarios!$F$13/Escenarios!$F$14,0)</f>
        <v>4.5785387551404737</v>
      </c>
      <c r="S365" s="170">
        <f>IF(Escenarios!$F$14&gt;0,Q365*Escenarios!$F$13/Escenarios!$F$14,0)</f>
        <v>0</v>
      </c>
      <c r="T365" s="170">
        <f>IF(Escenarios!$F$14&gt;0,Observaciones!$I364,0)</f>
        <v>0</v>
      </c>
      <c r="U365" s="170">
        <f>IF(Escenarios!$F$14&gt;0,MAX(0,Constantes!$F$36/((Z364+R365+S365+T365+Observaciones!$F364)^2)+Entradas!$F$77),0)</f>
        <v>1.3902333122802384</v>
      </c>
      <c r="V365" s="146">
        <f>IF(ETo!D364&gt;0,ETo!I364*((1-Entradas!$F$81)*ETo!K364+ETo!L364),0)</f>
        <v>4.0125240052881894</v>
      </c>
      <c r="W365" s="170">
        <f>IF(Escenarios!$F$14&gt;0,MIN(V365*1,0.8*(Z364+R365+S365+T365+Observaciones!$F364-U365-Constantes!$F$35)),0)</f>
        <v>4.0125240052881894</v>
      </c>
      <c r="X365" s="170">
        <f>IF(Escenarios!$F$14&gt;0,Observaciones!$J364,0)</f>
        <v>0</v>
      </c>
      <c r="Y365" s="170">
        <f>IF(Escenarios!$F$14&gt;0,MAX(0,Z364+R365+S365+T365+Observaciones!$F364-U365-W365-X365-Constantes!$F$33),0)</f>
        <v>0</v>
      </c>
      <c r="Z365" s="170">
        <f>Z364+R365+S365+T365+Observaciones!$F364-U365-W365-Y365</f>
        <v>74.45829443909264</v>
      </c>
      <c r="AA365" s="170">
        <f>IF(Escenarios!$F$14&gt;0,(Escenarios!$F$13*L365+Escenarios!$F$14*W365)/(Escenarios!$F$16),L365)</f>
        <v>2.7469791807573607</v>
      </c>
      <c r="AB365" s="170">
        <f>IF(Escenarios!$F$14&gt;0,(Escenarios!$F$14*Y365)/(Escenarios!$F$16),K365)</f>
        <v>0</v>
      </c>
      <c r="AC365" s="170">
        <f>IF(Escenarios!$F$14&gt;0,(Escenarios!$F$13*M365+Escenarios!$F$14*U365)/(Escenarios!$F$16),M365)</f>
        <v>2.331702231267641</v>
      </c>
      <c r="AD365" s="76">
        <f t="shared" si="71"/>
        <v>59.668755848295596</v>
      </c>
      <c r="AE365" s="76">
        <f>MAX(0,(AD365-Constantes!$D$13)*(1-EXP(-Constantes!$D$23)))</f>
        <v>0.10758510201828402</v>
      </c>
      <c r="AF365" s="76">
        <f>AB365+O365*Escenarios!$F$13/Escenarios!$F$16+AE365</f>
        <v>1.1365604577023509</v>
      </c>
      <c r="AG365" s="76">
        <f>IF(Entradas!$F$91&gt;0,IF(AF365-Escenarios!$F$38&lt;=0,0,IF(AF365-Escenarios!$F$38&gt;Escenarios!$F$37,Escenarios!$F$37,AF365-Escenarios!$F$38)),0)</f>
        <v>9.976045770235098E-2</v>
      </c>
      <c r="AH365" s="76">
        <f>AG365*Entradas!$F$99</f>
        <v>0</v>
      </c>
      <c r="AI365" s="76">
        <f>IF(Entradas!$F$91&gt;0,D365*Entradas!$D$23/Escenarios!$F$16,0)</f>
        <v>0.21667348236025832</v>
      </c>
      <c r="AJ365" s="76">
        <f>IF(Entradas!$F$91&gt;0,Entradas!$D$24*Entradas!$D$22/Escenarios!$F$16,0)</f>
        <v>0.12</v>
      </c>
      <c r="AK365" s="76">
        <f t="shared" si="72"/>
        <v>2.9636526631176192</v>
      </c>
      <c r="AL365" s="76">
        <f t="shared" si="73"/>
        <v>0</v>
      </c>
      <c r="AM365" s="76">
        <f t="shared" si="74"/>
        <v>9.976045770235098E-2</v>
      </c>
      <c r="AN365" s="76">
        <f>MAX(0,O365*Escenarios!$F$13/Escenarios!$F$16-AM365)</f>
        <v>0.92921489798171586</v>
      </c>
      <c r="AO365" s="76">
        <f>AM365+AN365-O365*Escenarios!$F$13/Escenarios!$F$16</f>
        <v>0</v>
      </c>
      <c r="AP365" s="76">
        <f t="shared" si="75"/>
        <v>0.10758510201828402</v>
      </c>
      <c r="AQ365" s="76">
        <f t="shared" si="76"/>
        <v>0</v>
      </c>
      <c r="AR365" s="76">
        <f t="shared" si="77"/>
        <v>1.0367999999999999</v>
      </c>
      <c r="AS365" s="76">
        <f t="shared" si="78"/>
        <v>0</v>
      </c>
      <c r="AT365" s="76">
        <f t="shared" si="79"/>
        <v>2.331702231267641</v>
      </c>
      <c r="AU365" s="76">
        <f t="shared" si="80"/>
        <v>48.946744098571294</v>
      </c>
      <c r="AV365" s="76">
        <f>MAX(0,(AU365-Constantes!$D$13)*(1-EXP(-Constantes!$D$24)))</f>
        <v>3.0072821553548462E-3</v>
      </c>
      <c r="AW365" s="170">
        <f>AW364+(Entradas!$F$112*AT365-AX364)/(800*Entradas!$D$25)</f>
        <v>0</v>
      </c>
      <c r="AX365" s="170">
        <f>8000*Entradas!$D$26*AW365/Constantes!$F$45</f>
        <v>0</v>
      </c>
      <c r="AY365" s="170">
        <f>IF(Escenarios!$F$17&gt;0,10*Escenarios!$F$16*AL365,0)</f>
        <v>0</v>
      </c>
      <c r="AZ365" s="170">
        <f>IF(Escenarios!$F$17&gt;0,10*Escenarios!$F$16*AX365,0)</f>
        <v>0</v>
      </c>
      <c r="BA365" s="170">
        <f>IF(Escenarios!$F$17&gt;0,0.001*Observaciones!$F364*Escenarios!$F$17,0)</f>
        <v>0</v>
      </c>
      <c r="BB365" s="170">
        <f>IF(Escenarios!$F$17&gt;0,Observaciones!$K364,0)</f>
        <v>0</v>
      </c>
      <c r="BC365" s="170">
        <f>IF(Escenarios!$F$17&gt;0,MIN(0.0005*ETo!$M364*Escenarios!$F$17*(BG364/Constantes!$F$40)^(2/3),BG364+AY365+AZ365+BA365+BB365),0)</f>
        <v>0</v>
      </c>
      <c r="BD365" s="170">
        <f>IF(Escenarios!$F$17&gt;0,MIN(Constantes!$F$39*(BG364/Constantes!$F$40)^(2/3),BG364+AY365+AZ365+BA365+BB365-BC365),0)</f>
        <v>0</v>
      </c>
      <c r="BE365" s="170">
        <f>IF(Escenarios!$F$17&gt;0,MIN(Entradas!$F$113,BG364+AY365+AZ365+BA365+BB365-BC365-BD365),0)</f>
        <v>0</v>
      </c>
      <c r="BF365" s="170">
        <f>IF(Escenarios!$F$17&gt;0,MAX(0,BG364+AY365+AZ365+BA365+BB365-BC365-BD365-BE365-Constantes!$F$40),0)</f>
        <v>0</v>
      </c>
      <c r="BG365" s="170">
        <f t="shared" si="81"/>
        <v>0</v>
      </c>
      <c r="BH365" s="170">
        <f>(Escenarios!$F$16*AK365+0.1*BC365)/(Escenarios!$F$19)</f>
        <v>2.9636526631176192</v>
      </c>
      <c r="BI365" s="170">
        <f>IF(Escenarios!$F$17&gt;0,BF365/10/Escenarios!$F$19,AL365)</f>
        <v>0</v>
      </c>
      <c r="BJ365" s="170">
        <f>(Escenarios!$F$16*AT365+0.1*BD365)/(Escenarios!$F$19)</f>
        <v>2.331702231267641</v>
      </c>
      <c r="BK365" s="76">
        <f>BK364+(0.1*BD365)/(Escenarios!$F$19)-BL364</f>
        <v>48.75</v>
      </c>
      <c r="BL365" s="76">
        <f>MAX(0,(BK365-Constantes!$D$13)*(1-EXP(-Constantes!$D$23)))</f>
        <v>0</v>
      </c>
      <c r="BM365" s="76">
        <f t="shared" si="82"/>
        <v>0.11059238417363886</v>
      </c>
      <c r="BN365" s="76">
        <f t="shared" si="83"/>
        <v>1.0398072821553548</v>
      </c>
      <c r="BO365" s="76">
        <f>0.0526*BI365*Observaciones!$F364^1.218</f>
        <v>0</v>
      </c>
      <c r="BP365" s="76">
        <f>BO365*Constantes!$F$51</f>
        <v>0</v>
      </c>
      <c r="BQ365" s="76">
        <f t="shared" si="84"/>
        <v>0</v>
      </c>
      <c r="BR365" s="40"/>
    </row>
    <row r="366" spans="2:70">
      <c r="B366" s="39"/>
      <c r="C366" s="75">
        <v>360</v>
      </c>
      <c r="D366" s="146">
        <f>ETo!$I365*((1-Constantes!$F$19)*ETo!$K365+ETo!$L365)</f>
        <v>4.4675137137677021</v>
      </c>
      <c r="E366" s="76">
        <f>MIN(D366*Constantes!$F$17,0.8*(N365+Observaciones!$F365-F366-M366-Constantes!$D$14))</f>
        <v>2.5478755982413741</v>
      </c>
      <c r="F366" s="76">
        <f>IF(Observaciones!$F365&gt;0.05*Constantes!$F$18,((Observaciones!$F365-0.05*Constantes!$F$18)^2)/(Observaciones!$F365+0.95*Constantes!$F$18),0)</f>
        <v>0</v>
      </c>
      <c r="G366" s="76">
        <f>IF(Escenarios!$F$11&gt;0,(F366*Escenarios!$F$16*10000)/1000,0)</f>
        <v>0</v>
      </c>
      <c r="H366" s="76">
        <f>IF(Escenarios!$F$11&gt;0,(Observaciones!$F365*Constantes!$F$29)/1000,0)</f>
        <v>0</v>
      </c>
      <c r="I366" s="76">
        <f>IF(Escenarios!$F$11&gt;0,(D366*Constantes!$F$29)/1000,0)</f>
        <v>0</v>
      </c>
      <c r="J366" s="76">
        <f>IF(Escenarios!$F$11&gt;0,MAX(0,G366+H366-I366),0)</f>
        <v>0</v>
      </c>
      <c r="K366" s="76">
        <f>IF(Escenarios!$F$11&gt;0,IF(J366&gt;Constantes!$F$30,1000*((J366-Constantes!$F$30)/(Escenarios!$F$16*10000)),0),F366)</f>
        <v>0</v>
      </c>
      <c r="L366" s="76">
        <f>IF(Escenarios!$F$11&gt;0,I366*1000/Escenarios!$F$16/10000+E366,E366)</f>
        <v>2.5478755982413741</v>
      </c>
      <c r="M366" s="76">
        <f>MAX(0,N365+Observaciones!$F365-K366-Constantes!$D$13)</f>
        <v>0.62660485518183862</v>
      </c>
      <c r="N366" s="76">
        <f>N365+Observaciones!$F365-K366-L366-M366-O365</f>
        <v>45.032834224844912</v>
      </c>
      <c r="O366" s="76">
        <f>MAX(0,(N366-Constantes!$D$14)*(1-EXP(-Constantes!$D$22)))</f>
        <v>1.1507673530215858</v>
      </c>
      <c r="P366" s="170">
        <f>P365+(Entradas!$F$83*M366-Q365)/(800*Entradas!$D$25)</f>
        <v>0</v>
      </c>
      <c r="Q366" s="170">
        <f>8000*Entradas!$D$26*P366/Constantes!$F$45</f>
        <v>0</v>
      </c>
      <c r="R366" s="170">
        <f>IF(Escenarios!$F$14&gt;0,K366*Escenarios!$F$13/Escenarios!$F$14,0)</f>
        <v>0</v>
      </c>
      <c r="S366" s="170">
        <f>IF(Escenarios!$F$14&gt;0,Q366*Escenarios!$F$13/Escenarios!$F$14,0)</f>
        <v>0</v>
      </c>
      <c r="T366" s="170">
        <f>IF(Escenarios!$F$14&gt;0,Observaciones!$I365,0)</f>
        <v>0</v>
      </c>
      <c r="U366" s="170">
        <f>IF(Escenarios!$F$14&gt;0,MAX(0,Constantes!$F$36/((Z365+R366+S366+T366+Observaciones!$F365)^2)+Entradas!$F$77),0)</f>
        <v>1.3236209313557947</v>
      </c>
      <c r="V366" s="146">
        <f>IF(ETo!D365&gt;0,ETo!I365*((1-Entradas!$F$81)*ETo!K365+ETo!L365),0)</f>
        <v>3.9705517931681236</v>
      </c>
      <c r="W366" s="170">
        <f>IF(Escenarios!$F$14&gt;0,MIN(V366*1,0.8*(Z365+R366+S366+T366+Observaciones!$F365-U366-Constantes!$F$35)),0)</f>
        <v>3.9705517931681236</v>
      </c>
      <c r="X366" s="170">
        <f>IF(Escenarios!$F$14&gt;0,Observaciones!$J365,0)</f>
        <v>0</v>
      </c>
      <c r="Y366" s="170">
        <f>IF(Escenarios!$F$14&gt;0,MAX(0,Z365+R366+S366+T366+Observaciones!$F365-U366-W366-X366-Constantes!$F$33),0)</f>
        <v>0</v>
      </c>
      <c r="Z366" s="170">
        <f>Z365+R366+S366+T366+Observaciones!$F365-U366-W366-Y366</f>
        <v>72.964121714568719</v>
      </c>
      <c r="AA366" s="170">
        <f>IF(Escenarios!$F$14&gt;0,(Escenarios!$F$13*L366+Escenarios!$F$14*W366)/(Escenarios!$F$16),L366)</f>
        <v>2.7185967416325845</v>
      </c>
      <c r="AB366" s="170">
        <f>IF(Escenarios!$F$14&gt;0,(Escenarios!$F$14*Y366)/(Escenarios!$F$16),K366)</f>
        <v>0</v>
      </c>
      <c r="AC366" s="170">
        <f>IF(Escenarios!$F$14&gt;0,(Escenarios!$F$13*M366+Escenarios!$F$14*U366)/(Escenarios!$F$16),M366)</f>
        <v>0.71024678432271338</v>
      </c>
      <c r="AD366" s="76">
        <f t="shared" si="71"/>
        <v>60.271417530600026</v>
      </c>
      <c r="AE366" s="76">
        <f>MAX(0,(AD366-Constantes!$D$13)*(1-EXP(-Constantes!$D$23)))</f>
        <v>0.11352327111685889</v>
      </c>
      <c r="AF366" s="76">
        <f>AB366+O366*Escenarios!$F$13/Escenarios!$F$16+AE366</f>
        <v>1.1261985417758544</v>
      </c>
      <c r="AG366" s="76">
        <f>IF(Entradas!$F$91&gt;0,IF(AF366-Escenarios!$F$38&lt;=0,0,IF(AF366-Escenarios!$F$38&gt;Escenarios!$F$37,Escenarios!$F$37,AF366-Escenarios!$F$38)),0)</f>
        <v>8.939854177585449E-2</v>
      </c>
      <c r="AH366" s="76">
        <f>AG366*Entradas!$F$99</f>
        <v>0</v>
      </c>
      <c r="AI366" s="76">
        <f>IF(Entradas!$F$91&gt;0,D366*Entradas!$D$23/Escenarios!$F$16,0)</f>
        <v>0.21444065826084971</v>
      </c>
      <c r="AJ366" s="76">
        <f>IF(Entradas!$F$91&gt;0,Entradas!$D$24*Entradas!$D$22/Escenarios!$F$16,0)</f>
        <v>0.12</v>
      </c>
      <c r="AK366" s="76">
        <f t="shared" si="72"/>
        <v>2.933037399893434</v>
      </c>
      <c r="AL366" s="76">
        <f t="shared" si="73"/>
        <v>0</v>
      </c>
      <c r="AM366" s="76">
        <f t="shared" si="74"/>
        <v>8.939854177585449E-2</v>
      </c>
      <c r="AN366" s="76">
        <f>MAX(0,O366*Escenarios!$F$13/Escenarios!$F$16-AM366)</f>
        <v>0.92327672888314094</v>
      </c>
      <c r="AO366" s="76">
        <f>AM366+AN366-O366*Escenarios!$F$13/Escenarios!$F$16</f>
        <v>0</v>
      </c>
      <c r="AP366" s="76">
        <f t="shared" si="75"/>
        <v>0.11352327111685889</v>
      </c>
      <c r="AQ366" s="76">
        <f t="shared" si="76"/>
        <v>0</v>
      </c>
      <c r="AR366" s="76">
        <f t="shared" si="77"/>
        <v>1.0367999999999999</v>
      </c>
      <c r="AS366" s="76">
        <f t="shared" si="78"/>
        <v>0</v>
      </c>
      <c r="AT366" s="76">
        <f t="shared" si="79"/>
        <v>0.71024678432271338</v>
      </c>
      <c r="AU366" s="76">
        <f t="shared" si="80"/>
        <v>48.943736816415942</v>
      </c>
      <c r="AV366" s="76">
        <f>MAX(0,(AU366-Constantes!$D$13)*(1-EXP(-Constantes!$D$24)))</f>
        <v>2.9613151046144186E-3</v>
      </c>
      <c r="AW366" s="170">
        <f>AW365+(Entradas!$F$112*AT366-AX365)/(800*Entradas!$D$25)</f>
        <v>0</v>
      </c>
      <c r="AX366" s="170">
        <f>8000*Entradas!$D$26*AW366/Constantes!$F$45</f>
        <v>0</v>
      </c>
      <c r="AY366" s="170">
        <f>IF(Escenarios!$F$17&gt;0,10*Escenarios!$F$16*AL366,0)</f>
        <v>0</v>
      </c>
      <c r="AZ366" s="170">
        <f>IF(Escenarios!$F$17&gt;0,10*Escenarios!$F$16*AX366,0)</f>
        <v>0</v>
      </c>
      <c r="BA366" s="170">
        <f>IF(Escenarios!$F$17&gt;0,0.001*Observaciones!$F365*Escenarios!$F$17,0)</f>
        <v>0</v>
      </c>
      <c r="BB366" s="170">
        <f>IF(Escenarios!$F$17&gt;0,Observaciones!$K365,0)</f>
        <v>0</v>
      </c>
      <c r="BC366" s="170">
        <f>IF(Escenarios!$F$17&gt;0,MIN(0.0005*ETo!$M365*Escenarios!$F$17*(BG365/Constantes!$F$40)^(2/3),BG365+AY366+AZ366+BA366+BB366),0)</f>
        <v>0</v>
      </c>
      <c r="BD366" s="170">
        <f>IF(Escenarios!$F$17&gt;0,MIN(Constantes!$F$39*(BG365/Constantes!$F$40)^(2/3),BG365+AY366+AZ366+BA366+BB366-BC366),0)</f>
        <v>0</v>
      </c>
      <c r="BE366" s="170">
        <f>IF(Escenarios!$F$17&gt;0,MIN(Entradas!$F$113,BG365+AY366+AZ366+BA366+BB366-BC366-BD366),0)</f>
        <v>0</v>
      </c>
      <c r="BF366" s="170">
        <f>IF(Escenarios!$F$17&gt;0,MAX(0,BG365+AY366+AZ366+BA366+BB366-BC366-BD366-BE366-Constantes!$F$40),0)</f>
        <v>0</v>
      </c>
      <c r="BG366" s="170">
        <f t="shared" si="81"/>
        <v>0</v>
      </c>
      <c r="BH366" s="170">
        <f>(Escenarios!$F$16*AK366+0.1*BC366)/(Escenarios!$F$19)</f>
        <v>2.933037399893434</v>
      </c>
      <c r="BI366" s="170">
        <f>IF(Escenarios!$F$17&gt;0,BF366/10/Escenarios!$F$19,AL366)</f>
        <v>0</v>
      </c>
      <c r="BJ366" s="170">
        <f>(Escenarios!$F$16*AT366+0.1*BD366)/(Escenarios!$F$19)</f>
        <v>0.71024678432271338</v>
      </c>
      <c r="BK366" s="76">
        <f>BK365+(0.1*BD366)/(Escenarios!$F$19)-BL365</f>
        <v>48.75</v>
      </c>
      <c r="BL366" s="76">
        <f>MAX(0,(BK366-Constantes!$D$13)*(1-EXP(-Constantes!$D$23)))</f>
        <v>0</v>
      </c>
      <c r="BM366" s="76">
        <f t="shared" si="82"/>
        <v>0.11648458622147331</v>
      </c>
      <c r="BN366" s="76">
        <f t="shared" si="83"/>
        <v>1.0397613151046143</v>
      </c>
      <c r="BO366" s="76">
        <f>0.0526*BI366*Observaciones!$F365^1.218</f>
        <v>0</v>
      </c>
      <c r="BP366" s="76">
        <f>BO366*Constantes!$F$51</f>
        <v>0</v>
      </c>
      <c r="BQ366" s="76">
        <f t="shared" si="84"/>
        <v>0</v>
      </c>
      <c r="BR366" s="40"/>
    </row>
    <row r="367" spans="2:70">
      <c r="B367" s="39"/>
      <c r="C367" s="75">
        <v>361</v>
      </c>
      <c r="D367" s="146">
        <f>ETo!$I366*((1-Constantes!$F$19)*ETo!$K366+ETo!$L366)</f>
        <v>4.6163810142330997</v>
      </c>
      <c r="E367" s="76">
        <f>MIN(D367*Constantes!$F$17,0.8*(N366+Observaciones!$F366-F367-M367-Constantes!$D$14))</f>
        <v>2.6327763700203088</v>
      </c>
      <c r="F367" s="76">
        <f>IF(Observaciones!$F366&gt;0.05*Constantes!$F$18,((Observaciones!$F366-0.05*Constantes!$F$18)^2)/(Observaciones!$F366+0.95*Constantes!$F$18),0)</f>
        <v>0</v>
      </c>
      <c r="G367" s="76">
        <f>IF(Escenarios!$F$11&gt;0,(F367*Escenarios!$F$16*10000)/1000,0)</f>
        <v>0</v>
      </c>
      <c r="H367" s="76">
        <f>IF(Escenarios!$F$11&gt;0,(Observaciones!$F366*Constantes!$F$29)/1000,0)</f>
        <v>0</v>
      </c>
      <c r="I367" s="76">
        <f>IF(Escenarios!$F$11&gt;0,(D367*Constantes!$F$29)/1000,0)</f>
        <v>0</v>
      </c>
      <c r="J367" s="76">
        <f>IF(Escenarios!$F$11&gt;0,MAX(0,G367+H367-I367),0)</f>
        <v>0</v>
      </c>
      <c r="K367" s="76">
        <f>IF(Escenarios!$F$11&gt;0,IF(J367&gt;Constantes!$F$30,1000*((J367-Constantes!$F$30)/(Escenarios!$F$16*10000)),0),F367)</f>
        <v>0</v>
      </c>
      <c r="L367" s="76">
        <f>IF(Escenarios!$F$11&gt;0,I367*1000/Escenarios!$F$16/10000+E367,E367)</f>
        <v>2.6327763700203088</v>
      </c>
      <c r="M367" s="76">
        <f>MAX(0,N366+Observaciones!$F366-K367-Constantes!$D$13)</f>
        <v>0</v>
      </c>
      <c r="N367" s="76">
        <f>N366+Observaciones!$F366-K367-L367-M367-O366</f>
        <v>44.049290501803014</v>
      </c>
      <c r="O367" s="76">
        <f>MAX(0,(N367-Constantes!$D$14)*(1-EXP(-Constantes!$D$22)))</f>
        <v>1.1172642431518538</v>
      </c>
      <c r="P367" s="170">
        <f>P366+(Entradas!$F$83*M367-Q366)/(800*Entradas!$D$25)</f>
        <v>0</v>
      </c>
      <c r="Q367" s="170">
        <f>8000*Entradas!$D$26*P367/Constantes!$F$45</f>
        <v>0</v>
      </c>
      <c r="R367" s="170">
        <f>IF(Escenarios!$F$14&gt;0,K367*Escenarios!$F$13/Escenarios!$F$14,0)</f>
        <v>0</v>
      </c>
      <c r="S367" s="170">
        <f>IF(Escenarios!$F$14&gt;0,Q367*Escenarios!$F$13/Escenarios!$F$14,0)</f>
        <v>0</v>
      </c>
      <c r="T367" s="170">
        <f>IF(Escenarios!$F$14&gt;0,Observaciones!$I366,0)</f>
        <v>0</v>
      </c>
      <c r="U367" s="170">
        <f>IF(Escenarios!$F$14&gt;0,MAX(0,Constantes!$F$36/((Z366+R367+S367+T367+Observaciones!$F366)^2)+Entradas!$F$77),0)</f>
        <v>1.2114305818737843</v>
      </c>
      <c r="V367" s="146">
        <f>IF(ETo!D366&gt;0,ETo!I366*((1-Entradas!$F$81)*ETo!K366+ETo!L366),0)</f>
        <v>4.1050825868588703</v>
      </c>
      <c r="W367" s="170">
        <f>IF(Escenarios!$F$14&gt;0,MIN(V367*1,0.8*(Z366+R367+S367+T367+Observaciones!$F366-U367-Constantes!$F$35)),0)</f>
        <v>4.1050825868588703</v>
      </c>
      <c r="X367" s="170">
        <f>IF(Escenarios!$F$14&gt;0,Observaciones!$J366,0)</f>
        <v>0</v>
      </c>
      <c r="Y367" s="170">
        <f>IF(Escenarios!$F$14&gt;0,MAX(0,Z366+R367+S367+T367+Observaciones!$F366-U367-W367-X367-Constantes!$F$33),0)</f>
        <v>0</v>
      </c>
      <c r="Z367" s="170">
        <f>Z366+R367+S367+T367+Observaciones!$F366-U367-W367-Y367</f>
        <v>70.447608545836061</v>
      </c>
      <c r="AA367" s="170">
        <f>IF(Escenarios!$F$14&gt;0,(Escenarios!$F$13*L367+Escenarios!$F$14*W367)/(Escenarios!$F$16),L367)</f>
        <v>2.8094531160409359</v>
      </c>
      <c r="AB367" s="170">
        <f>IF(Escenarios!$F$14&gt;0,(Escenarios!$F$14*Y367)/(Escenarios!$F$16),K367)</f>
        <v>0</v>
      </c>
      <c r="AC367" s="170">
        <f>IF(Escenarios!$F$14&gt;0,(Escenarios!$F$13*M367+Escenarios!$F$14*U367)/(Escenarios!$F$16),M367)</f>
        <v>0.14537166982485411</v>
      </c>
      <c r="AD367" s="76">
        <f t="shared" si="71"/>
        <v>60.303265929308019</v>
      </c>
      <c r="AE367" s="76">
        <f>MAX(0,(AD367-Constantes!$D$13)*(1-EXP(-Constantes!$D$23)))</f>
        <v>0.11383708097502632</v>
      </c>
      <c r="AF367" s="76">
        <f>AB367+O367*Escenarios!$F$13/Escenarios!$F$16+AE367</f>
        <v>1.0970296149486578</v>
      </c>
      <c r="AG367" s="76">
        <f>IF(Entradas!$F$91&gt;0,IF(AF367-Escenarios!$F$38&lt;=0,0,IF(AF367-Escenarios!$F$38&gt;Escenarios!$F$37,Escenarios!$F$37,AF367-Escenarios!$F$38)),0)</f>
        <v>6.0229614948657861E-2</v>
      </c>
      <c r="AH367" s="76">
        <f>AG367*Entradas!$F$99</f>
        <v>0</v>
      </c>
      <c r="AI367" s="76">
        <f>IF(Entradas!$F$91&gt;0,D367*Entradas!$D$23/Escenarios!$F$16,0)</f>
        <v>0.2215862886831888</v>
      </c>
      <c r="AJ367" s="76">
        <f>IF(Entradas!$F$91&gt;0,Entradas!$D$24*Entradas!$D$22/Escenarios!$F$16,0)</f>
        <v>0.12</v>
      </c>
      <c r="AK367" s="76">
        <f t="shared" si="72"/>
        <v>3.0310394047241247</v>
      </c>
      <c r="AL367" s="76">
        <f t="shared" si="73"/>
        <v>0</v>
      </c>
      <c r="AM367" s="76">
        <f t="shared" si="74"/>
        <v>6.0229614948657861E-2</v>
      </c>
      <c r="AN367" s="76">
        <f>MAX(0,O367*Escenarios!$F$13/Escenarios!$F$16-AM367)</f>
        <v>0.92296291902497352</v>
      </c>
      <c r="AO367" s="76">
        <f>AM367+AN367-O367*Escenarios!$F$13/Escenarios!$F$16</f>
        <v>0</v>
      </c>
      <c r="AP367" s="76">
        <f t="shared" si="75"/>
        <v>0.11383708097502632</v>
      </c>
      <c r="AQ367" s="76">
        <f t="shared" si="76"/>
        <v>0</v>
      </c>
      <c r="AR367" s="76">
        <f t="shared" si="77"/>
        <v>1.0367999999999999</v>
      </c>
      <c r="AS367" s="76">
        <f t="shared" si="78"/>
        <v>0</v>
      </c>
      <c r="AT367" s="76">
        <f t="shared" si="79"/>
        <v>0.14537166982485411</v>
      </c>
      <c r="AU367" s="76">
        <f t="shared" si="80"/>
        <v>48.940775501311329</v>
      </c>
      <c r="AV367" s="76">
        <f>MAX(0,(AU367-Constantes!$D$13)*(1-EXP(-Constantes!$D$24)))</f>
        <v>2.9160506716014007E-3</v>
      </c>
      <c r="AW367" s="170">
        <f>AW366+(Entradas!$F$112*AT367-AX366)/(800*Entradas!$D$25)</f>
        <v>0</v>
      </c>
      <c r="AX367" s="170">
        <f>8000*Entradas!$D$26*AW367/Constantes!$F$45</f>
        <v>0</v>
      </c>
      <c r="AY367" s="170">
        <f>IF(Escenarios!$F$17&gt;0,10*Escenarios!$F$16*AL367,0)</f>
        <v>0</v>
      </c>
      <c r="AZ367" s="170">
        <f>IF(Escenarios!$F$17&gt;0,10*Escenarios!$F$16*AX367,0)</f>
        <v>0</v>
      </c>
      <c r="BA367" s="170">
        <f>IF(Escenarios!$F$17&gt;0,0.001*Observaciones!$F366*Escenarios!$F$17,0)</f>
        <v>0</v>
      </c>
      <c r="BB367" s="170">
        <f>IF(Escenarios!$F$17&gt;0,Observaciones!$K366,0)</f>
        <v>0</v>
      </c>
      <c r="BC367" s="170">
        <f>IF(Escenarios!$F$17&gt;0,MIN(0.0005*ETo!$M366*Escenarios!$F$17*(BG366/Constantes!$F$40)^(2/3),BG366+AY367+AZ367+BA367+BB367),0)</f>
        <v>0</v>
      </c>
      <c r="BD367" s="170">
        <f>IF(Escenarios!$F$17&gt;0,MIN(Constantes!$F$39*(BG366/Constantes!$F$40)^(2/3),BG366+AY367+AZ367+BA367+BB367-BC367),0)</f>
        <v>0</v>
      </c>
      <c r="BE367" s="170">
        <f>IF(Escenarios!$F$17&gt;0,MIN(Entradas!$F$113,BG366+AY367+AZ367+BA367+BB367-BC367-BD367),0)</f>
        <v>0</v>
      </c>
      <c r="BF367" s="170">
        <f>IF(Escenarios!$F$17&gt;0,MAX(0,BG366+AY367+AZ367+BA367+BB367-BC367-BD367-BE367-Constantes!$F$40),0)</f>
        <v>0</v>
      </c>
      <c r="BG367" s="170">
        <f t="shared" si="81"/>
        <v>0</v>
      </c>
      <c r="BH367" s="170">
        <f>(Escenarios!$F$16*AK367+0.1*BC367)/(Escenarios!$F$19)</f>
        <v>3.0310394047241247</v>
      </c>
      <c r="BI367" s="170">
        <f>IF(Escenarios!$F$17&gt;0,BF367/10/Escenarios!$F$19,AL367)</f>
        <v>0</v>
      </c>
      <c r="BJ367" s="170">
        <f>(Escenarios!$F$16*AT367+0.1*BD367)/(Escenarios!$F$19)</f>
        <v>0.14537166982485411</v>
      </c>
      <c r="BK367" s="76">
        <f>BK366+(0.1*BD367)/(Escenarios!$F$19)-BL366</f>
        <v>48.75</v>
      </c>
      <c r="BL367" s="76">
        <f>MAX(0,(BK367-Constantes!$D$13)*(1-EXP(-Constantes!$D$23)))</f>
        <v>0</v>
      </c>
      <c r="BM367" s="76">
        <f t="shared" si="82"/>
        <v>0.11675313164662772</v>
      </c>
      <c r="BN367" s="76">
        <f t="shared" si="83"/>
        <v>1.0397160506716014</v>
      </c>
      <c r="BO367" s="76">
        <f>0.0526*BI367*Observaciones!$F366^1.218</f>
        <v>0</v>
      </c>
      <c r="BP367" s="76">
        <f>BO367*Constantes!$F$51</f>
        <v>0</v>
      </c>
      <c r="BQ367" s="76">
        <f t="shared" si="84"/>
        <v>0</v>
      </c>
      <c r="BR367" s="40"/>
    </row>
    <row r="368" spans="2:70">
      <c r="B368" s="39"/>
      <c r="C368" s="75">
        <v>362</v>
      </c>
      <c r="D368" s="146">
        <f>ETo!$I367*((1-Constantes!$F$19)*ETo!$K367+ETo!$L367)</f>
        <v>4.6628890404499908</v>
      </c>
      <c r="E368" s="76">
        <f>MIN(D368*Constantes!$F$17,0.8*(N367+Observaciones!$F367-F368-M368-Constantes!$D$14))</f>
        <v>2.6593004441949915</v>
      </c>
      <c r="F368" s="76">
        <f>IF(Observaciones!$F367&gt;0.05*Constantes!$F$18,((Observaciones!$F367-0.05*Constantes!$F$18)^2)/(Observaciones!$F367+0.95*Constantes!$F$18),0)</f>
        <v>0</v>
      </c>
      <c r="G368" s="76">
        <f>IF(Escenarios!$F$11&gt;0,(F368*Escenarios!$F$16*10000)/1000,0)</f>
        <v>0</v>
      </c>
      <c r="H368" s="76">
        <f>IF(Escenarios!$F$11&gt;0,(Observaciones!$F367*Constantes!$F$29)/1000,0)</f>
        <v>0</v>
      </c>
      <c r="I368" s="76">
        <f>IF(Escenarios!$F$11&gt;0,(D368*Constantes!$F$29)/1000,0)</f>
        <v>0</v>
      </c>
      <c r="J368" s="76">
        <f>IF(Escenarios!$F$11&gt;0,MAX(0,G368+H368-I368),0)</f>
        <v>0</v>
      </c>
      <c r="K368" s="76">
        <f>IF(Escenarios!$F$11&gt;0,IF(J368&gt;Constantes!$F$30,1000*((J368-Constantes!$F$30)/(Escenarios!$F$16*10000)),0),F368)</f>
        <v>0</v>
      </c>
      <c r="L368" s="76">
        <f>IF(Escenarios!$F$11&gt;0,I368*1000/Escenarios!$F$16/10000+E368,E368)</f>
        <v>2.6593004441949915</v>
      </c>
      <c r="M368" s="76">
        <f>MAX(0,N367+Observaciones!$F367-K368-Constantes!$D$13)</f>
        <v>1.5992905018030115</v>
      </c>
      <c r="N368" s="76">
        <f>N367+Observaciones!$F367-K368-L368-M368-O367</f>
        <v>44.973435312653159</v>
      </c>
      <c r="O368" s="76">
        <f>MAX(0,(N368-Constantes!$D$14)*(1-EXP(-Constantes!$D$22)))</f>
        <v>1.148744008014464</v>
      </c>
      <c r="P368" s="170">
        <f>P367+(Entradas!$F$83*M368-Q367)/(800*Entradas!$D$25)</f>
        <v>0</v>
      </c>
      <c r="Q368" s="170">
        <f>8000*Entradas!$D$26*P368/Constantes!$F$45</f>
        <v>0</v>
      </c>
      <c r="R368" s="170">
        <f>IF(Escenarios!$F$14&gt;0,K368*Escenarios!$F$13/Escenarios!$F$14,0)</f>
        <v>0</v>
      </c>
      <c r="S368" s="170">
        <f>IF(Escenarios!$F$14&gt;0,Q368*Escenarios!$F$13/Escenarios!$F$14,0)</f>
        <v>0</v>
      </c>
      <c r="T368" s="170">
        <f>IF(Escenarios!$F$14&gt;0,Observaciones!$I367,0)</f>
        <v>0</v>
      </c>
      <c r="U368" s="170">
        <f>IF(Escenarios!$F$14&gt;0,MAX(0,Constantes!$F$36/((Z367+R368+S368+T368+Observaciones!$F367)^2)+Entradas!$F$77),0)</f>
        <v>1.2569763357106003</v>
      </c>
      <c r="V368" s="146">
        <f>IF(ETo!D367&gt;0,ETo!I367*((1-Entradas!$F$81)*ETo!K367+ETo!L367),0)</f>
        <v>4.1472375867668507</v>
      </c>
      <c r="W368" s="170">
        <f>IF(Escenarios!$F$14&gt;0,MIN(V368*1,0.8*(Z367+R368+S368+T368+Observaciones!$F367-U368-Constantes!$F$35)),0)</f>
        <v>4.1472375867668507</v>
      </c>
      <c r="X368" s="170">
        <f>IF(Escenarios!$F$14&gt;0,Observaciones!$J367,0)</f>
        <v>0</v>
      </c>
      <c r="Y368" s="170">
        <f>IF(Escenarios!$F$14&gt;0,MAX(0,Z367+R368+S368+T368+Observaciones!$F367-U368-W368-X368-Constantes!$F$33),0)</f>
        <v>0</v>
      </c>
      <c r="Z368" s="170">
        <f>Z367+R368+S368+T368+Observaciones!$F367-U368-W368-Y368</f>
        <v>71.343394623358606</v>
      </c>
      <c r="AA368" s="170">
        <f>IF(Escenarios!$F$14&gt;0,(Escenarios!$F$13*L368+Escenarios!$F$14*W368)/(Escenarios!$F$16),L368)</f>
        <v>2.8378529013036147</v>
      </c>
      <c r="AB368" s="170">
        <f>IF(Escenarios!$F$14&gt;0,(Escenarios!$F$14*Y368)/(Escenarios!$F$16),K368)</f>
        <v>0</v>
      </c>
      <c r="AC368" s="170">
        <f>IF(Escenarios!$F$14&gt;0,(Escenarios!$F$13*M368+Escenarios!$F$14*U368)/(Escenarios!$F$16),M368)</f>
        <v>1.5582128018719223</v>
      </c>
      <c r="AD368" s="76">
        <f t="shared" si="71"/>
        <v>61.747641650204919</v>
      </c>
      <c r="AE368" s="76">
        <f>MAX(0,(AD368-Constantes!$D$13)*(1-EXP(-Constantes!$D$23)))</f>
        <v>0.12806885897651743</v>
      </c>
      <c r="AF368" s="76">
        <f>AB368+O368*Escenarios!$F$13/Escenarios!$F$16+AE368</f>
        <v>1.1389635860292455</v>
      </c>
      <c r="AG368" s="76">
        <f>IF(Entradas!$F$91&gt;0,IF(AF368-Escenarios!$F$38&lt;=0,0,IF(AF368-Escenarios!$F$38&gt;Escenarios!$F$37,Escenarios!$F$37,AF368-Escenarios!$F$38)),0)</f>
        <v>0.10216358602924558</v>
      </c>
      <c r="AH368" s="76">
        <f>AG368*Entradas!$F$99</f>
        <v>0</v>
      </c>
      <c r="AI368" s="76">
        <f>IF(Entradas!$F$91&gt;0,D368*Entradas!$D$23/Escenarios!$F$16,0)</f>
        <v>0.22381867394159957</v>
      </c>
      <c r="AJ368" s="76">
        <f>IF(Entradas!$F$91&gt;0,Entradas!$D$24*Entradas!$D$22/Escenarios!$F$16,0)</f>
        <v>0.12</v>
      </c>
      <c r="AK368" s="76">
        <f t="shared" si="72"/>
        <v>3.0616715752452142</v>
      </c>
      <c r="AL368" s="76">
        <f t="shared" si="73"/>
        <v>0</v>
      </c>
      <c r="AM368" s="76">
        <f t="shared" si="74"/>
        <v>0.10216358602924558</v>
      </c>
      <c r="AN368" s="76">
        <f>MAX(0,O368*Escenarios!$F$13/Escenarios!$F$16-AM368)</f>
        <v>0.90873114102348262</v>
      </c>
      <c r="AO368" s="76">
        <f>AM368+AN368-O368*Escenarios!$F$13/Escenarios!$F$16</f>
        <v>0</v>
      </c>
      <c r="AP368" s="76">
        <f t="shared" si="75"/>
        <v>0.12806885897651743</v>
      </c>
      <c r="AQ368" s="76">
        <f t="shared" si="76"/>
        <v>0</v>
      </c>
      <c r="AR368" s="76">
        <f t="shared" si="77"/>
        <v>1.0367999999999999</v>
      </c>
      <c r="AS368" s="76">
        <f t="shared" si="78"/>
        <v>0</v>
      </c>
      <c r="AT368" s="76">
        <f t="shared" si="79"/>
        <v>1.5582128018719223</v>
      </c>
      <c r="AU368" s="76">
        <f t="shared" si="80"/>
        <v>48.937859450639728</v>
      </c>
      <c r="AV368" s="76">
        <f>MAX(0,(AU368-Constantes!$D$13)*(1-EXP(-Constantes!$D$24)))</f>
        <v>2.8714781166302608E-3</v>
      </c>
      <c r="AW368" s="170">
        <f>AW367+(Entradas!$F$112*AT368-AX367)/(800*Entradas!$D$25)</f>
        <v>0</v>
      </c>
      <c r="AX368" s="170">
        <f>8000*Entradas!$D$26*AW368/Constantes!$F$45</f>
        <v>0</v>
      </c>
      <c r="AY368" s="170">
        <f>IF(Escenarios!$F$17&gt;0,10*Escenarios!$F$16*AL368,0)</f>
        <v>0</v>
      </c>
      <c r="AZ368" s="170">
        <f>IF(Escenarios!$F$17&gt;0,10*Escenarios!$F$16*AX368,0)</f>
        <v>0</v>
      </c>
      <c r="BA368" s="170">
        <f>IF(Escenarios!$F$17&gt;0,0.001*Observaciones!$F367*Escenarios!$F$17,0)</f>
        <v>0</v>
      </c>
      <c r="BB368" s="170">
        <f>IF(Escenarios!$F$17&gt;0,Observaciones!$K367,0)</f>
        <v>0</v>
      </c>
      <c r="BC368" s="170">
        <f>IF(Escenarios!$F$17&gt;0,MIN(0.0005*ETo!$M367*Escenarios!$F$17*(BG367/Constantes!$F$40)^(2/3),BG367+AY368+AZ368+BA368+BB368),0)</f>
        <v>0</v>
      </c>
      <c r="BD368" s="170">
        <f>IF(Escenarios!$F$17&gt;0,MIN(Constantes!$F$39*(BG367/Constantes!$F$40)^(2/3),BG367+AY368+AZ368+BA368+BB368-BC368),0)</f>
        <v>0</v>
      </c>
      <c r="BE368" s="170">
        <f>IF(Escenarios!$F$17&gt;0,MIN(Entradas!$F$113,BG367+AY368+AZ368+BA368+BB368-BC368-BD368),0)</f>
        <v>0</v>
      </c>
      <c r="BF368" s="170">
        <f>IF(Escenarios!$F$17&gt;0,MAX(0,BG367+AY368+AZ368+BA368+BB368-BC368-BD368-BE368-Constantes!$F$40),0)</f>
        <v>0</v>
      </c>
      <c r="BG368" s="170">
        <f t="shared" si="81"/>
        <v>0</v>
      </c>
      <c r="BH368" s="170">
        <f>(Escenarios!$F$16*AK368+0.1*BC368)/(Escenarios!$F$19)</f>
        <v>3.0616715752452142</v>
      </c>
      <c r="BI368" s="170">
        <f>IF(Escenarios!$F$17&gt;0,BF368/10/Escenarios!$F$19,AL368)</f>
        <v>0</v>
      </c>
      <c r="BJ368" s="170">
        <f>(Escenarios!$F$16*AT368+0.1*BD368)/(Escenarios!$F$19)</f>
        <v>1.5582128018719223</v>
      </c>
      <c r="BK368" s="76">
        <f>BK367+(0.1*BD368)/(Escenarios!$F$19)-BL367</f>
        <v>48.75</v>
      </c>
      <c r="BL368" s="76">
        <f>MAX(0,(BK368-Constantes!$D$13)*(1-EXP(-Constantes!$D$23)))</f>
        <v>0</v>
      </c>
      <c r="BM368" s="76">
        <f t="shared" si="82"/>
        <v>0.1309403370931477</v>
      </c>
      <c r="BN368" s="76">
        <f t="shared" si="83"/>
        <v>1.0396714781166303</v>
      </c>
      <c r="BO368" s="76">
        <f>0.0526*BI368*Observaciones!$F367^1.218</f>
        <v>0</v>
      </c>
      <c r="BP368" s="76">
        <f>BO368*Constantes!$F$51</f>
        <v>0</v>
      </c>
      <c r="BQ368" s="76">
        <f t="shared" si="84"/>
        <v>0</v>
      </c>
      <c r="BR368" s="40"/>
    </row>
    <row r="369" spans="2:70">
      <c r="B369" s="39"/>
      <c r="C369" s="75">
        <v>363</v>
      </c>
      <c r="D369" s="146">
        <f>ETo!$I368*((1-Constantes!$F$19)*ETo!$K368+ETo!$L368)</f>
        <v>4.4722564668482754</v>
      </c>
      <c r="E369" s="76">
        <f>MIN(D369*Constantes!$F$17,0.8*(N368+Observaciones!$F368-F369-M369-Constantes!$D$14))</f>
        <v>2.5505804460866615</v>
      </c>
      <c r="F369" s="76">
        <f>IF(Observaciones!$F368&gt;0.05*Constantes!$F$18,((Observaciones!$F368-0.05*Constantes!$F$18)^2)/(Observaciones!$F368+0.95*Constantes!$F$18),0)</f>
        <v>0</v>
      </c>
      <c r="G369" s="76">
        <f>IF(Escenarios!$F$11&gt;0,(F369*Escenarios!$F$16*10000)/1000,0)</f>
        <v>0</v>
      </c>
      <c r="H369" s="76">
        <f>IF(Escenarios!$F$11&gt;0,(Observaciones!$F368*Constantes!$F$29)/1000,0)</f>
        <v>0</v>
      </c>
      <c r="I369" s="76">
        <f>IF(Escenarios!$F$11&gt;0,(D369*Constantes!$F$29)/1000,0)</f>
        <v>0</v>
      </c>
      <c r="J369" s="76">
        <f>IF(Escenarios!$F$11&gt;0,MAX(0,G369+H369-I369),0)</f>
        <v>0</v>
      </c>
      <c r="K369" s="76">
        <f>IF(Escenarios!$F$11&gt;0,IF(J369&gt;Constantes!$F$30,1000*((J369-Constantes!$F$30)/(Escenarios!$F$16*10000)),0),F369)</f>
        <v>0</v>
      </c>
      <c r="L369" s="76">
        <f>IF(Escenarios!$F$11&gt;0,I369*1000/Escenarios!$F$16/10000+E369,E369)</f>
        <v>2.5505804460866615</v>
      </c>
      <c r="M369" s="76">
        <f>MAX(0,N368+Observaciones!$F368-K369-Constantes!$D$13)</f>
        <v>0.12343531265315733</v>
      </c>
      <c r="N369" s="76">
        <f>N368+Observaciones!$F368-K369-L369-M369-O368</f>
        <v>45.050675545898876</v>
      </c>
      <c r="O369" s="76">
        <f>MAX(0,(N369-Constantes!$D$14)*(1-EXP(-Constantes!$D$22)))</f>
        <v>1.1513750939135141</v>
      </c>
      <c r="P369" s="170">
        <f>P368+(Entradas!$F$83*M369-Q368)/(800*Entradas!$D$25)</f>
        <v>0</v>
      </c>
      <c r="Q369" s="170">
        <f>8000*Entradas!$D$26*P369/Constantes!$F$45</f>
        <v>0</v>
      </c>
      <c r="R369" s="170">
        <f>IF(Escenarios!$F$14&gt;0,K369*Escenarios!$F$13/Escenarios!$F$14,0)</f>
        <v>0</v>
      </c>
      <c r="S369" s="170">
        <f>IF(Escenarios!$F$14&gt;0,Q369*Escenarios!$F$13/Escenarios!$F$14,0)</f>
        <v>0</v>
      </c>
      <c r="T369" s="170">
        <f>IF(Escenarios!$F$14&gt;0,Observaciones!$I368,0)</f>
        <v>0</v>
      </c>
      <c r="U369" s="170">
        <f>IF(Escenarios!$F$14&gt;0,MAX(0,Constantes!$F$36/((Z368+R369+S369+T369+Observaciones!$F368)^2)+Entradas!$F$77),0)</f>
        <v>1.1865890841247466</v>
      </c>
      <c r="V369" s="146">
        <f>IF(ETo!D368&gt;0,ETo!I368*((1-Entradas!$F$81)*ETo!K368+ETo!L368),0)</f>
        <v>3.9748298889643623</v>
      </c>
      <c r="W369" s="170">
        <f>IF(Escenarios!$F$14&gt;0,MIN(V369*1,0.8*(Z368+R369+S369+T369+Observaciones!$F368-U369-Constantes!$F$35)),0)</f>
        <v>3.9748298889643623</v>
      </c>
      <c r="X369" s="170">
        <f>IF(Escenarios!$F$14&gt;0,Observaciones!$J368,0)</f>
        <v>0</v>
      </c>
      <c r="Y369" s="170">
        <f>IF(Escenarios!$F$14&gt;0,MAX(0,Z368+R369+S369+T369+Observaciones!$F368-U369-W369-X369-Constantes!$F$33),0)</f>
        <v>0</v>
      </c>
      <c r="Z369" s="170">
        <f>Z368+R369+S369+T369+Observaciones!$F368-U369-W369-Y369</f>
        <v>70.081975650269499</v>
      </c>
      <c r="AA369" s="170">
        <f>IF(Escenarios!$F$14&gt;0,(Escenarios!$F$13*L369+Escenarios!$F$14*W369)/(Escenarios!$F$16),L369)</f>
        <v>2.7214903792319856</v>
      </c>
      <c r="AB369" s="170">
        <f>IF(Escenarios!$F$14&gt;0,(Escenarios!$F$14*Y369)/(Escenarios!$F$16),K369)</f>
        <v>0</v>
      </c>
      <c r="AC369" s="170">
        <f>IF(Escenarios!$F$14&gt;0,(Escenarios!$F$13*M369+Escenarios!$F$14*U369)/(Escenarios!$F$16),M369)</f>
        <v>0.25101376522974805</v>
      </c>
      <c r="AD369" s="76">
        <f t="shared" si="71"/>
        <v>61.87058655645815</v>
      </c>
      <c r="AE369" s="76">
        <f>MAX(0,(AD369-Constantes!$D$13)*(1-EXP(-Constantes!$D$23)))</f>
        <v>0.12928026442102572</v>
      </c>
      <c r="AF369" s="76">
        <f>AB369+O369*Escenarios!$F$13/Escenarios!$F$16+AE369</f>
        <v>1.1424903470649181</v>
      </c>
      <c r="AG369" s="76">
        <f>IF(Entradas!$F$91&gt;0,IF(AF369-Escenarios!$F$38&lt;=0,0,IF(AF369-Escenarios!$F$38&gt;Escenarios!$F$37,Escenarios!$F$37,AF369-Escenarios!$F$38)),0)</f>
        <v>0.1056903470649182</v>
      </c>
      <c r="AH369" s="76">
        <f>AG369*Entradas!$F$99</f>
        <v>0</v>
      </c>
      <c r="AI369" s="76">
        <f>IF(Entradas!$F$91&gt;0,D369*Entradas!$D$23/Escenarios!$F$16,0)</f>
        <v>0.21466831040871723</v>
      </c>
      <c r="AJ369" s="76">
        <f>IF(Entradas!$F$91&gt;0,Entradas!$D$24*Entradas!$D$22/Escenarios!$F$16,0)</f>
        <v>0.12</v>
      </c>
      <c r="AK369" s="76">
        <f t="shared" si="72"/>
        <v>2.9361586896407026</v>
      </c>
      <c r="AL369" s="76">
        <f t="shared" si="73"/>
        <v>0</v>
      </c>
      <c r="AM369" s="76">
        <f t="shared" si="74"/>
        <v>0.1056903470649182</v>
      </c>
      <c r="AN369" s="76">
        <f>MAX(0,O369*Escenarios!$F$13/Escenarios!$F$16-AM369)</f>
        <v>0.90751973557897414</v>
      </c>
      <c r="AO369" s="76">
        <f>AM369+AN369-O369*Escenarios!$F$13/Escenarios!$F$16</f>
        <v>0</v>
      </c>
      <c r="AP369" s="76">
        <f t="shared" si="75"/>
        <v>0.12928026442102572</v>
      </c>
      <c r="AQ369" s="76">
        <f t="shared" si="76"/>
        <v>0</v>
      </c>
      <c r="AR369" s="76">
        <f t="shared" si="77"/>
        <v>1.0367999999999999</v>
      </c>
      <c r="AS369" s="76">
        <f t="shared" si="78"/>
        <v>0</v>
      </c>
      <c r="AT369" s="76">
        <f t="shared" si="79"/>
        <v>0.25101376522974805</v>
      </c>
      <c r="AU369" s="76">
        <f t="shared" si="80"/>
        <v>48.934987972523096</v>
      </c>
      <c r="AV369" s="76">
        <f>MAX(0,(AU369-Constantes!$D$13)*(1-EXP(-Constantes!$D$24)))</f>
        <v>2.8275868641741745E-3</v>
      </c>
      <c r="AW369" s="170">
        <f>AW368+(Entradas!$F$112*AT369-AX368)/(800*Entradas!$D$25)</f>
        <v>0</v>
      </c>
      <c r="AX369" s="170">
        <f>8000*Entradas!$D$26*AW369/Constantes!$F$45</f>
        <v>0</v>
      </c>
      <c r="AY369" s="170">
        <f>IF(Escenarios!$F$17&gt;0,10*Escenarios!$F$16*AL369,0)</f>
        <v>0</v>
      </c>
      <c r="AZ369" s="170">
        <f>IF(Escenarios!$F$17&gt;0,10*Escenarios!$F$16*AX369,0)</f>
        <v>0</v>
      </c>
      <c r="BA369" s="170">
        <f>IF(Escenarios!$F$17&gt;0,0.001*Observaciones!$F368*Escenarios!$F$17,0)</f>
        <v>0</v>
      </c>
      <c r="BB369" s="170">
        <f>IF(Escenarios!$F$17&gt;0,Observaciones!$K368,0)</f>
        <v>0</v>
      </c>
      <c r="BC369" s="170">
        <f>IF(Escenarios!$F$17&gt;0,MIN(0.0005*ETo!$M368*Escenarios!$F$17*(BG368/Constantes!$F$40)^(2/3),BG368+AY369+AZ369+BA369+BB369),0)</f>
        <v>0</v>
      </c>
      <c r="BD369" s="170">
        <f>IF(Escenarios!$F$17&gt;0,MIN(Constantes!$F$39*(BG368/Constantes!$F$40)^(2/3),BG368+AY369+AZ369+BA369+BB369-BC369),0)</f>
        <v>0</v>
      </c>
      <c r="BE369" s="170">
        <f>IF(Escenarios!$F$17&gt;0,MIN(Entradas!$F$113,BG368+AY369+AZ369+BA369+BB369-BC369-BD369),0)</f>
        <v>0</v>
      </c>
      <c r="BF369" s="170">
        <f>IF(Escenarios!$F$17&gt;0,MAX(0,BG368+AY369+AZ369+BA369+BB369-BC369-BD369-BE369-Constantes!$F$40),0)</f>
        <v>0</v>
      </c>
      <c r="BG369" s="170">
        <f t="shared" si="81"/>
        <v>0</v>
      </c>
      <c r="BH369" s="170">
        <f>(Escenarios!$F$16*AK369+0.1*BC369)/(Escenarios!$F$19)</f>
        <v>2.9361586896407026</v>
      </c>
      <c r="BI369" s="170">
        <f>IF(Escenarios!$F$17&gt;0,BF369/10/Escenarios!$F$19,AL369)</f>
        <v>0</v>
      </c>
      <c r="BJ369" s="170">
        <f>(Escenarios!$F$16*AT369+0.1*BD369)/(Escenarios!$F$19)</f>
        <v>0.25101376522974805</v>
      </c>
      <c r="BK369" s="76">
        <f>BK368+(0.1*BD369)/(Escenarios!$F$19)-BL368</f>
        <v>48.75</v>
      </c>
      <c r="BL369" s="76">
        <f>MAX(0,(BK369-Constantes!$D$13)*(1-EXP(-Constantes!$D$23)))</f>
        <v>0</v>
      </c>
      <c r="BM369" s="76">
        <f t="shared" si="82"/>
        <v>0.13210785128519989</v>
      </c>
      <c r="BN369" s="76">
        <f t="shared" si="83"/>
        <v>1.0396275868641742</v>
      </c>
      <c r="BO369" s="76">
        <f>0.0526*BI369*Observaciones!$F368^1.218</f>
        <v>0</v>
      </c>
      <c r="BP369" s="76">
        <f>BO369*Constantes!$F$51</f>
        <v>0</v>
      </c>
      <c r="BQ369" s="76">
        <f t="shared" si="84"/>
        <v>0</v>
      </c>
      <c r="BR369" s="40"/>
    </row>
    <row r="370" spans="2:70">
      <c r="B370" s="39"/>
      <c r="C370" s="75">
        <v>364</v>
      </c>
      <c r="D370" s="146">
        <f>ETo!$I369*((1-Constantes!$F$19)*ETo!$K369+ETo!$L369)</f>
        <v>4.4769434688182894</v>
      </c>
      <c r="E370" s="76">
        <f>MIN(D370*Constantes!$F$17,0.8*(N369+Observaciones!$F369-F370-M370-Constantes!$D$14))</f>
        <v>2.5532534984180972</v>
      </c>
      <c r="F370" s="76">
        <f>IF(Observaciones!$F369&gt;0.05*Constantes!$F$18,((Observaciones!$F369-0.05*Constantes!$F$18)^2)/(Observaciones!$F369+0.95*Constantes!$F$18),0)</f>
        <v>0</v>
      </c>
      <c r="G370" s="76">
        <f>IF(Escenarios!$F$11&gt;0,(F370*Escenarios!$F$16*10000)/1000,0)</f>
        <v>0</v>
      </c>
      <c r="H370" s="76">
        <f>IF(Escenarios!$F$11&gt;0,(Observaciones!$F369*Constantes!$F$29)/1000,0)</f>
        <v>0</v>
      </c>
      <c r="I370" s="76">
        <f>IF(Escenarios!$F$11&gt;0,(D370*Constantes!$F$29)/1000,0)</f>
        <v>0</v>
      </c>
      <c r="J370" s="76">
        <f>IF(Escenarios!$F$11&gt;0,MAX(0,G370+H370-I370),0)</f>
        <v>0</v>
      </c>
      <c r="K370" s="76">
        <f>IF(Escenarios!$F$11&gt;0,IF(J370&gt;Constantes!$F$30,1000*((J370-Constantes!$F$30)/(Escenarios!$F$16*10000)),0),F370)</f>
        <v>0</v>
      </c>
      <c r="L370" s="76">
        <f>IF(Escenarios!$F$11&gt;0,I370*1000/Escenarios!$F$16/10000+E370,E370)</f>
        <v>2.5532534984180972</v>
      </c>
      <c r="M370" s="76">
        <f>MAX(0,N369+Observaciones!$F369-K370-Constantes!$D$13)</f>
        <v>0.40067554589887777</v>
      </c>
      <c r="N370" s="76">
        <f>N369+Observaciones!$F369-K370-L370-M370-O369</f>
        <v>45.045371407668391</v>
      </c>
      <c r="O370" s="76">
        <f>MAX(0,(N370-Constantes!$D$14)*(1-EXP(-Constantes!$D$22)))</f>
        <v>1.1511944154934939</v>
      </c>
      <c r="P370" s="170">
        <f>P369+(Entradas!$F$83*M370-Q369)/(800*Entradas!$D$25)</f>
        <v>0</v>
      </c>
      <c r="Q370" s="170">
        <f>8000*Entradas!$D$26*P370/Constantes!$F$45</f>
        <v>0</v>
      </c>
      <c r="R370" s="170">
        <f>IF(Escenarios!$F$14&gt;0,K370*Escenarios!$F$13/Escenarios!$F$14,0)</f>
        <v>0</v>
      </c>
      <c r="S370" s="170">
        <f>IF(Escenarios!$F$14&gt;0,Q370*Escenarios!$F$13/Escenarios!$F$14,0)</f>
        <v>0</v>
      </c>
      <c r="T370" s="170">
        <f>IF(Escenarios!$F$14&gt;0,Observaciones!$I369,0)</f>
        <v>0</v>
      </c>
      <c r="U370" s="170">
        <f>IF(Escenarios!$F$14&gt;0,MAX(0,Constantes!$F$36/((Z369+R370+S370+T370+Observaciones!$F369)^2)+Entradas!$F$77),0)</f>
        <v>1.1343241241883351</v>
      </c>
      <c r="V370" s="146">
        <f>IF(ETo!D369&gt;0,ETo!I369*((1-Entradas!$F$81)*ETo!K369+ETo!L369),0)</f>
        <v>3.9790574298948695</v>
      </c>
      <c r="W370" s="170">
        <f>IF(Escenarios!$F$14&gt;0,MIN(V370*1,0.8*(Z369+R370+S370+T370+Observaciones!$F369-U370-Constantes!$F$35)),0)</f>
        <v>3.9790574298948695</v>
      </c>
      <c r="X370" s="170">
        <f>IF(Escenarios!$F$14&gt;0,Observaciones!$J369,0)</f>
        <v>0</v>
      </c>
      <c r="Y370" s="170">
        <f>IF(Escenarios!$F$14&gt;0,MAX(0,Z369+R370+S370+T370+Observaciones!$F369-U370-W370-X370-Constantes!$F$33),0)</f>
        <v>0</v>
      </c>
      <c r="Z370" s="170">
        <f>Z369+R370+S370+T370+Observaciones!$F369-U370-W370-Y370</f>
        <v>69.068594096186288</v>
      </c>
      <c r="AA370" s="170">
        <f>IF(Escenarios!$F$14&gt;0,(Escenarios!$F$13*L370+Escenarios!$F$14*W370)/(Escenarios!$F$16),L370)</f>
        <v>2.72434997019531</v>
      </c>
      <c r="AB370" s="170">
        <f>IF(Escenarios!$F$14&gt;0,(Escenarios!$F$14*Y370)/(Escenarios!$F$16),K370)</f>
        <v>0</v>
      </c>
      <c r="AC370" s="170">
        <f>IF(Escenarios!$F$14&gt;0,(Escenarios!$F$13*M370+Escenarios!$F$14*U370)/(Escenarios!$F$16),M370)</f>
        <v>0.4887133752936127</v>
      </c>
      <c r="AD370" s="76">
        <f t="shared" si="71"/>
        <v>62.230019667330737</v>
      </c>
      <c r="AE370" s="76">
        <f>MAX(0,(AD370-Constantes!$D$13)*(1-EXP(-Constantes!$D$23)))</f>
        <v>0.13282184447275044</v>
      </c>
      <c r="AF370" s="76">
        <f>AB370+O370*Escenarios!$F$13/Escenarios!$F$16+AE370</f>
        <v>1.1458729301070252</v>
      </c>
      <c r="AG370" s="76">
        <f>IF(Entradas!$F$91&gt;0,IF(AF370-Escenarios!$F$38&lt;=0,0,IF(AF370-Escenarios!$F$38&gt;Escenarios!$F$37,Escenarios!$F$37,AF370-Escenarios!$F$38)),0)</f>
        <v>0.10907293010702523</v>
      </c>
      <c r="AH370" s="76">
        <f>AG370*Entradas!$F$99</f>
        <v>0</v>
      </c>
      <c r="AI370" s="76">
        <f>IF(Entradas!$F$91&gt;0,D370*Entradas!$D$23/Escenarios!$F$16,0)</f>
        <v>0.21489328650327788</v>
      </c>
      <c r="AJ370" s="76">
        <f>IF(Entradas!$F$91&gt;0,Entradas!$D$24*Entradas!$D$22/Escenarios!$F$16,0)</f>
        <v>0.12</v>
      </c>
      <c r="AK370" s="76">
        <f t="shared" si="72"/>
        <v>2.939243256698588</v>
      </c>
      <c r="AL370" s="76">
        <f t="shared" si="73"/>
        <v>0</v>
      </c>
      <c r="AM370" s="76">
        <f t="shared" si="74"/>
        <v>0.10907293010702523</v>
      </c>
      <c r="AN370" s="76">
        <f>MAX(0,O370*Escenarios!$F$13/Escenarios!$F$16-AM370)</f>
        <v>0.90397815552724947</v>
      </c>
      <c r="AO370" s="76">
        <f>AM370+AN370-O370*Escenarios!$F$13/Escenarios!$F$16</f>
        <v>0</v>
      </c>
      <c r="AP370" s="76">
        <f t="shared" si="75"/>
        <v>0.13282184447275044</v>
      </c>
      <c r="AQ370" s="76">
        <f t="shared" si="76"/>
        <v>0</v>
      </c>
      <c r="AR370" s="76">
        <f t="shared" si="77"/>
        <v>1.0367999999999999</v>
      </c>
      <c r="AS370" s="76">
        <f t="shared" si="78"/>
        <v>0</v>
      </c>
      <c r="AT370" s="76">
        <f t="shared" si="79"/>
        <v>0.4887133752936127</v>
      </c>
      <c r="AU370" s="76">
        <f t="shared" si="80"/>
        <v>48.932160385658925</v>
      </c>
      <c r="AV370" s="76">
        <f>MAX(0,(AU370-Constantes!$D$13)*(1-EXP(-Constantes!$D$24)))</f>
        <v>2.784366500355958E-3</v>
      </c>
      <c r="AW370" s="170">
        <f>AW369+(Entradas!$F$112*AT370-AX369)/(800*Entradas!$D$25)</f>
        <v>0</v>
      </c>
      <c r="AX370" s="170">
        <f>8000*Entradas!$D$26*AW370/Constantes!$F$45</f>
        <v>0</v>
      </c>
      <c r="AY370" s="170">
        <f>IF(Escenarios!$F$17&gt;0,10*Escenarios!$F$16*AL370,0)</f>
        <v>0</v>
      </c>
      <c r="AZ370" s="170">
        <f>IF(Escenarios!$F$17&gt;0,10*Escenarios!$F$16*AX370,0)</f>
        <v>0</v>
      </c>
      <c r="BA370" s="170">
        <f>IF(Escenarios!$F$17&gt;0,0.001*Observaciones!$F369*Escenarios!$F$17,0)</f>
        <v>0</v>
      </c>
      <c r="BB370" s="170">
        <f>IF(Escenarios!$F$17&gt;0,Observaciones!$K369,0)</f>
        <v>0</v>
      </c>
      <c r="BC370" s="170">
        <f>IF(Escenarios!$F$17&gt;0,MIN(0.0005*ETo!$M369*Escenarios!$F$17*(BG369/Constantes!$F$40)^(2/3),BG369+AY370+AZ370+BA370+BB370),0)</f>
        <v>0</v>
      </c>
      <c r="BD370" s="170">
        <f>IF(Escenarios!$F$17&gt;0,MIN(Constantes!$F$39*(BG369/Constantes!$F$40)^(2/3),BG369+AY370+AZ370+BA370+BB370-BC370),0)</f>
        <v>0</v>
      </c>
      <c r="BE370" s="170">
        <f>IF(Escenarios!$F$17&gt;0,MIN(Entradas!$F$113,BG369+AY370+AZ370+BA370+BB370-BC370-BD370),0)</f>
        <v>0</v>
      </c>
      <c r="BF370" s="170">
        <f>IF(Escenarios!$F$17&gt;0,MAX(0,BG369+AY370+AZ370+BA370+BB370-BC370-BD370-BE370-Constantes!$F$40),0)</f>
        <v>0</v>
      </c>
      <c r="BG370" s="170">
        <f t="shared" si="81"/>
        <v>0</v>
      </c>
      <c r="BH370" s="170">
        <f>(Escenarios!$F$16*AK370+0.1*BC370)/(Escenarios!$F$19)</f>
        <v>2.939243256698588</v>
      </c>
      <c r="BI370" s="170">
        <f>IF(Escenarios!$F$17&gt;0,BF370/10/Escenarios!$F$19,AL370)</f>
        <v>0</v>
      </c>
      <c r="BJ370" s="170">
        <f>(Escenarios!$F$16*AT370+0.1*BD370)/(Escenarios!$F$19)</f>
        <v>0.4887133752936127</v>
      </c>
      <c r="BK370" s="76">
        <f>BK369+(0.1*BD370)/(Escenarios!$F$19)-BL369</f>
        <v>48.75</v>
      </c>
      <c r="BL370" s="76">
        <f>MAX(0,(BK370-Constantes!$D$13)*(1-EXP(-Constantes!$D$23)))</f>
        <v>0</v>
      </c>
      <c r="BM370" s="76">
        <f t="shared" si="82"/>
        <v>0.13560621097310641</v>
      </c>
      <c r="BN370" s="76">
        <f t="shared" si="83"/>
        <v>1.0395843665003559</v>
      </c>
      <c r="BO370" s="76">
        <f>0.0526*BI370*Observaciones!$F369^1.218</f>
        <v>0</v>
      </c>
      <c r="BP370" s="76">
        <f>BO370*Constantes!$F$51</f>
        <v>0</v>
      </c>
      <c r="BQ370" s="76">
        <f t="shared" si="84"/>
        <v>0</v>
      </c>
      <c r="BR370" s="40"/>
    </row>
    <row r="371" spans="2:70">
      <c r="B371" s="39"/>
      <c r="C371" s="75">
        <v>365</v>
      </c>
      <c r="D371" s="146">
        <f>ETo!$I370*((1-Constantes!$F$19)*ETo!$K370+ETo!$L370)</f>
        <v>4.2951232070782757</v>
      </c>
      <c r="E371" s="76">
        <f>MIN(D371*Constantes!$F$17,0.8*(N370+Observaciones!$F370-F371-M371-Constantes!$D$14))</f>
        <v>2.4495592653762133</v>
      </c>
      <c r="F371" s="76">
        <f>IF(Observaciones!$F370&gt;0.05*Constantes!$F$18,((Observaciones!$F370-0.05*Constantes!$F$18)^2)/(Observaciones!$F370+0.95*Constantes!$F$18),0)</f>
        <v>0</v>
      </c>
      <c r="G371" s="76">
        <f>IF(Escenarios!$F$11&gt;0,(F371*Escenarios!$F$16*10000)/1000,0)</f>
        <v>0</v>
      </c>
      <c r="H371" s="76">
        <f>IF(Escenarios!$F$11&gt;0,(Observaciones!$F370*Constantes!$F$29)/1000,0)</f>
        <v>0</v>
      </c>
      <c r="I371" s="76">
        <f>IF(Escenarios!$F$11&gt;0,(D371*Constantes!$F$29)/1000,0)</f>
        <v>0</v>
      </c>
      <c r="J371" s="76">
        <f>IF(Escenarios!$F$11&gt;0,MAX(0,G371+H371-I371),0)</f>
        <v>0</v>
      </c>
      <c r="K371" s="76">
        <f>IF(Escenarios!$F$11&gt;0,IF(J371&gt;Constantes!$F$30,1000*((J371-Constantes!$F$30)/(Escenarios!$F$16*10000)),0),F371)</f>
        <v>0</v>
      </c>
      <c r="L371" s="76">
        <f>IF(Escenarios!$F$11&gt;0,I371*1000/Escenarios!$F$16/10000+E371,E371)</f>
        <v>2.4495592653762133</v>
      </c>
      <c r="M371" s="76">
        <f>MAX(0,N370+Observaciones!$F370-K371-Constantes!$D$13)</f>
        <v>0</v>
      </c>
      <c r="N371" s="76">
        <f>N370+Observaciones!$F370-K371-L371-M371-O370</f>
        <v>43.944617726798683</v>
      </c>
      <c r="O371" s="76">
        <f>MAX(0,(N371-Constantes!$D$14)*(1-EXP(-Constantes!$D$22)))</f>
        <v>1.1136987041735826</v>
      </c>
      <c r="P371" s="170">
        <f>P370+(Entradas!$F$83*M371-Q370)/(800*Entradas!$D$25)</f>
        <v>0</v>
      </c>
      <c r="Q371" s="170">
        <f>8000*Entradas!$D$26*P371/Constantes!$F$45</f>
        <v>0</v>
      </c>
      <c r="R371" s="170">
        <f>IF(Escenarios!$F$14&gt;0,K371*Escenarios!$F$13/Escenarios!$F$14,0)</f>
        <v>0</v>
      </c>
      <c r="S371" s="170">
        <f>IF(Escenarios!$F$14&gt;0,Q371*Escenarios!$F$13/Escenarios!$F$14,0)</f>
        <v>0</v>
      </c>
      <c r="T371" s="170">
        <f>IF(Escenarios!$F$14&gt;0,Observaciones!$I370,0)</f>
        <v>0</v>
      </c>
      <c r="U371" s="170">
        <f>IF(Escenarios!$F$14&gt;0,MAX(0,Constantes!$F$36/((Z370+R371+S371+T371+Observaciones!$F370)^2)+Entradas!$F$77),0)</f>
        <v>0.99558328836024979</v>
      </c>
      <c r="V371" s="146">
        <f>IF(ETo!D370&gt;0,ETo!I370*((1-Entradas!$F$81)*ETo!K370+ETo!L370),0)</f>
        <v>3.8154979966692331</v>
      </c>
      <c r="W371" s="170">
        <f>IF(Escenarios!$F$14&gt;0,MIN(V371*1,0.8*(Z370+R371+S371+T371+Observaciones!$F370-U371-Constantes!$F$35)),0)</f>
        <v>3.8154979966692331</v>
      </c>
      <c r="X371" s="170">
        <f>IF(Escenarios!$F$14&gt;0,Observaciones!$J370,0)</f>
        <v>0</v>
      </c>
      <c r="Y371" s="170">
        <f>IF(Escenarios!$F$14&gt;0,MAX(0,Z370+R371+S371+T371+Observaciones!$F370-U371-W371-X371-Constantes!$F$33),0)</f>
        <v>0</v>
      </c>
      <c r="Z371" s="170">
        <f>Z370+R371+S371+T371+Observaciones!$F370-U371-W371-Y371</f>
        <v>66.757512811156801</v>
      </c>
      <c r="AA371" s="170">
        <f>IF(Escenarios!$F$14&gt;0,(Escenarios!$F$13*L371+Escenarios!$F$14*W371)/(Escenarios!$F$16),L371)</f>
        <v>2.6134719131313755</v>
      </c>
      <c r="AB371" s="170">
        <f>IF(Escenarios!$F$14&gt;0,(Escenarios!$F$14*Y371)/(Escenarios!$F$16),K371)</f>
        <v>0</v>
      </c>
      <c r="AC371" s="170">
        <f>IF(Escenarios!$F$14&gt;0,(Escenarios!$F$13*M371+Escenarios!$F$14*U371)/(Escenarios!$F$16),M371)</f>
        <v>0.11946999460322998</v>
      </c>
      <c r="AD371" s="76">
        <f t="shared" si="71"/>
        <v>62.216667817461214</v>
      </c>
      <c r="AE371" s="76">
        <f>MAX(0,(AD371-Constantes!$D$13)*(1-EXP(-Constantes!$D$23)))</f>
        <v>0.13269028551582318</v>
      </c>
      <c r="AF371" s="76">
        <f>AB371+O371*Escenarios!$F$13/Escenarios!$F$16+AE371</f>
        <v>1.1127451451885759</v>
      </c>
      <c r="AG371" s="76">
        <f>IF(Entradas!$F$91&gt;0,IF(AF371-Escenarios!$F$38&lt;=0,0,IF(AF371-Escenarios!$F$38&gt;Escenarios!$F$37,Escenarios!$F$37,AF371-Escenarios!$F$38)),0)</f>
        <v>7.594514518857598E-2</v>
      </c>
      <c r="AH371" s="76">
        <f>AG371*Entradas!$F$99</f>
        <v>0</v>
      </c>
      <c r="AI371" s="76">
        <f>IF(Entradas!$F$91&gt;0,D371*Entradas!$D$23/Escenarios!$F$16,0)</f>
        <v>0.20616591393975722</v>
      </c>
      <c r="AJ371" s="76">
        <f>IF(Entradas!$F$91&gt;0,Entradas!$D$24*Entradas!$D$22/Escenarios!$F$16,0)</f>
        <v>0.12</v>
      </c>
      <c r="AK371" s="76">
        <f t="shared" si="72"/>
        <v>2.8196378270711326</v>
      </c>
      <c r="AL371" s="76">
        <f t="shared" si="73"/>
        <v>0</v>
      </c>
      <c r="AM371" s="76">
        <f t="shared" si="74"/>
        <v>7.594514518857598E-2</v>
      </c>
      <c r="AN371" s="76">
        <f>MAX(0,O371*Escenarios!$F$13/Escenarios!$F$16-AM371)</f>
        <v>0.90410971448417676</v>
      </c>
      <c r="AO371" s="76">
        <f>AM371+AN371-O371*Escenarios!$F$13/Escenarios!$F$16</f>
        <v>0</v>
      </c>
      <c r="AP371" s="76">
        <f t="shared" si="75"/>
        <v>0.13269028551582318</v>
      </c>
      <c r="AQ371" s="76">
        <f t="shared" si="76"/>
        <v>0</v>
      </c>
      <c r="AR371" s="76">
        <f t="shared" si="77"/>
        <v>1.0367999999999999</v>
      </c>
      <c r="AS371" s="76">
        <f t="shared" si="78"/>
        <v>0</v>
      </c>
      <c r="AT371" s="76">
        <f t="shared" si="79"/>
        <v>0.11946999460322998</v>
      </c>
      <c r="AU371" s="76">
        <f t="shared" si="80"/>
        <v>48.929376019158568</v>
      </c>
      <c r="AV371" s="76">
        <f>MAX(0,(AU371-Constantes!$D$13)*(1-EXP(-Constantes!$D$24)))</f>
        <v>2.7418067704769035E-3</v>
      </c>
      <c r="AW371" s="170">
        <f>AW370+(Entradas!$F$112*AT371-AX370)/(800*Entradas!$D$25)</f>
        <v>0</v>
      </c>
      <c r="AX371" s="170">
        <f>8000*Entradas!$D$26*AW371/Constantes!$F$45</f>
        <v>0</v>
      </c>
      <c r="AY371" s="170">
        <f>IF(Escenarios!$F$17&gt;0,10*Escenarios!$F$16*AL371,0)</f>
        <v>0</v>
      </c>
      <c r="AZ371" s="170">
        <f>IF(Escenarios!$F$17&gt;0,10*Escenarios!$F$16*AX371,0)</f>
        <v>0</v>
      </c>
      <c r="BA371" s="170">
        <f>IF(Escenarios!$F$17&gt;0,0.001*Observaciones!$F370*Escenarios!$F$17,0)</f>
        <v>0</v>
      </c>
      <c r="BB371" s="170">
        <f>IF(Escenarios!$F$17&gt;0,Observaciones!$K370,0)</f>
        <v>0</v>
      </c>
      <c r="BC371" s="170">
        <f>IF(Escenarios!$F$17&gt;0,MIN(0.0005*ETo!$M370*Escenarios!$F$17*(BG370/Constantes!$F$40)^(2/3),BG370+AY371+AZ371+BA371+BB371),0)</f>
        <v>0</v>
      </c>
      <c r="BD371" s="170">
        <f>IF(Escenarios!$F$17&gt;0,MIN(Constantes!$F$39*(BG370/Constantes!$F$40)^(2/3),BG370+AY371+AZ371+BA371+BB371-BC371),0)</f>
        <v>0</v>
      </c>
      <c r="BE371" s="170">
        <f>IF(Escenarios!$F$17&gt;0,MIN(Entradas!$F$113,BG370+AY371+AZ371+BA371+BB371-BC371-BD371),0)</f>
        <v>0</v>
      </c>
      <c r="BF371" s="170">
        <f>IF(Escenarios!$F$17&gt;0,MAX(0,BG370+AY371+AZ371+BA371+BB371-BC371-BD371-BE371-Constantes!$F$40),0)</f>
        <v>0</v>
      </c>
      <c r="BG371" s="170">
        <f t="shared" si="81"/>
        <v>0</v>
      </c>
      <c r="BH371" s="170">
        <f>(Escenarios!$F$16*AK371+0.1*BC371)/(Escenarios!$F$19)</f>
        <v>2.8196378270711326</v>
      </c>
      <c r="BI371" s="170">
        <f>IF(Escenarios!$F$17&gt;0,BF371/10/Escenarios!$F$19,AL371)</f>
        <v>0</v>
      </c>
      <c r="BJ371" s="170">
        <f>(Escenarios!$F$16*AT371+0.1*BD371)/(Escenarios!$F$19)</f>
        <v>0.11946999460322998</v>
      </c>
      <c r="BK371" s="76">
        <f>BK370+(0.1*BD371)/(Escenarios!$F$19)-BL370</f>
        <v>48.75</v>
      </c>
      <c r="BL371" s="76">
        <f>MAX(0,(BK371-Constantes!$D$13)*(1-EXP(-Constantes!$D$23)))</f>
        <v>0</v>
      </c>
      <c r="BM371" s="76">
        <f t="shared" si="82"/>
        <v>0.13543209228630007</v>
      </c>
      <c r="BN371" s="76">
        <f t="shared" si="83"/>
        <v>1.0395418067704769</v>
      </c>
      <c r="BO371" s="76">
        <f>0.0526*BI371*Observaciones!$F370^1.218</f>
        <v>0</v>
      </c>
      <c r="BP371" s="76">
        <f>BO371*Constantes!$F$51</f>
        <v>0</v>
      </c>
      <c r="BQ371" s="76">
        <f t="shared" si="84"/>
        <v>0</v>
      </c>
      <c r="BR371" s="40"/>
    </row>
    <row r="372" spans="2:70">
      <c r="B372" s="39"/>
      <c r="C372" s="75">
        <v>366</v>
      </c>
      <c r="D372" s="146">
        <f>ETo!$I371*((1-Constantes!$F$19)*ETo!$K371+ETo!$L371)</f>
        <v>4.5142314674281394</v>
      </c>
      <c r="E372" s="76">
        <f>MIN(D372*Constantes!$F$17,0.8*(N371+Observaciones!$F371-F372-M372-Constantes!$D$14))</f>
        <v>2.5745192824430045</v>
      </c>
      <c r="F372" s="76">
        <f>IF(Observaciones!$F371&gt;0.05*Constantes!$F$18,((Observaciones!$F371-0.05*Constantes!$F$18)^2)/(Observaciones!$F371+0.95*Constantes!$F$18),0)</f>
        <v>0.36405194741742103</v>
      </c>
      <c r="G372" s="76">
        <f>IF(Escenarios!$F$11&gt;0,(F372*Escenarios!$F$16*10000)/1000,0)</f>
        <v>0</v>
      </c>
      <c r="H372" s="76">
        <f>IF(Escenarios!$F$11&gt;0,(Observaciones!$F371*Constantes!$F$29)/1000,0)</f>
        <v>0</v>
      </c>
      <c r="I372" s="76">
        <f>IF(Escenarios!$F$11&gt;0,(D372*Constantes!$F$29)/1000,0)</f>
        <v>0</v>
      </c>
      <c r="J372" s="76">
        <f>IF(Escenarios!$F$11&gt;0,MAX(0,G372+H372-I372),0)</f>
        <v>0</v>
      </c>
      <c r="K372" s="76">
        <f>IF(Escenarios!$F$11&gt;0,IF(J372&gt;Constantes!$F$30,1000*((J372-Constantes!$F$30)/(Escenarios!$F$16*10000)),0),F372)</f>
        <v>0.36405194741742103</v>
      </c>
      <c r="L372" s="76">
        <f>IF(Escenarios!$F$11&gt;0,I372*1000/Escenarios!$F$16/10000+E372,E372)</f>
        <v>2.5745192824430045</v>
      </c>
      <c r="M372" s="76">
        <f>MAX(0,N371+Observaciones!$F371-K372-Constantes!$D$13)</f>
        <v>14.930565779381268</v>
      </c>
      <c r="N372" s="76">
        <f>N371+Observaciones!$F371-K372-L372-M372-O371</f>
        <v>45.061782013383414</v>
      </c>
      <c r="O372" s="76">
        <f>MAX(0,(N372-Constantes!$D$14)*(1-EXP(-Constantes!$D$22)))</f>
        <v>1.1517534209687144</v>
      </c>
      <c r="P372" s="170">
        <f>P371+(Entradas!$F$83*M372-Q371)/(800*Entradas!$D$25)</f>
        <v>0</v>
      </c>
      <c r="Q372" s="170">
        <f>8000*Entradas!$D$26*P372/Constantes!$F$45</f>
        <v>0</v>
      </c>
      <c r="R372" s="170">
        <f>IF(Escenarios!$F$14&gt;0,K372*Escenarios!$F$13/Escenarios!$F$14,0)</f>
        <v>2.6697142810610877</v>
      </c>
      <c r="S372" s="170">
        <f>IF(Escenarios!$F$14&gt;0,Q372*Escenarios!$F$13/Escenarios!$F$14,0)</f>
        <v>0</v>
      </c>
      <c r="T372" s="170">
        <f>IF(Escenarios!$F$14&gt;0,Observaciones!$I371,0)</f>
        <v>0</v>
      </c>
      <c r="U372" s="170">
        <f>IF(Escenarios!$F$14&gt;0,MAX(0,Constantes!$F$36/((Z371+R372+S372+T372+Observaciones!$F371)^2)+Entradas!$F$77),0)</f>
        <v>1.7190778958144584</v>
      </c>
      <c r="V372" s="146">
        <f>IF(ETo!D371&gt;0,ETo!I371*((1-Entradas!$F$81)*ETo!K371+ETo!L371),0)</f>
        <v>4.0127079859557035</v>
      </c>
      <c r="W372" s="170">
        <f>IF(Escenarios!$F$14&gt;0,MIN(V372*1,0.8*(Z371+R372+S372+T372+Observaciones!$F371-U372-Constantes!$F$35)),0)</f>
        <v>4.0127079859557035</v>
      </c>
      <c r="X372" s="170">
        <f>IF(Escenarios!$F$14&gt;0,Observaciones!$J371,0)</f>
        <v>0</v>
      </c>
      <c r="Y372" s="170">
        <f>IF(Escenarios!$F$14&gt;0,MAX(0,Z371+R372+S372+T372+Observaciones!$F371-U372-W372-X372-Constantes!$F$33),0)</f>
        <v>0</v>
      </c>
      <c r="Z372" s="170">
        <f>Z371+R372+S372+T372+Observaciones!$F371-U372-W372-Y372</f>
        <v>83.79544121044772</v>
      </c>
      <c r="AA372" s="170">
        <f>IF(Escenarios!$F$14&gt;0,(Escenarios!$F$13*L372+Escenarios!$F$14*W372)/(Escenarios!$F$16),L372)</f>
        <v>2.7471019268645285</v>
      </c>
      <c r="AB372" s="170">
        <f>IF(Escenarios!$F$14&gt;0,(Escenarios!$F$14*Y372)/(Escenarios!$F$16),K372)</f>
        <v>0</v>
      </c>
      <c r="AC372" s="170">
        <f>IF(Escenarios!$F$14&gt;0,(Escenarios!$F$13*M372+Escenarios!$F$14*U372)/(Escenarios!$F$16),M372)</f>
        <v>13.345187233353252</v>
      </c>
      <c r="AD372" s="76">
        <f t="shared" si="71"/>
        <v>75.429164765298651</v>
      </c>
      <c r="AE372" s="76">
        <f>MAX(0,(AD372-Constantes!$D$13)*(1-EXP(-Constantes!$D$23)))</f>
        <v>0.2628761649144587</v>
      </c>
      <c r="AF372" s="76">
        <f>AB372+O372*Escenarios!$F$13/Escenarios!$F$16+AE372</f>
        <v>1.2764191753669272</v>
      </c>
      <c r="AG372" s="76">
        <f>IF(Entradas!$F$91&gt;0,IF(AF372-Escenarios!$F$38&lt;=0,0,IF(AF372-Escenarios!$F$38&gt;Escenarios!$F$37,Escenarios!$F$37,AF372-Escenarios!$F$38)),0)</f>
        <v>0.23961917536692723</v>
      </c>
      <c r="AH372" s="76">
        <f>AG372*Entradas!$F$99</f>
        <v>0</v>
      </c>
      <c r="AI372" s="76">
        <f>IF(Entradas!$F$91&gt;0,D372*Entradas!$D$23/Escenarios!$F$16,0)</f>
        <v>0.2166831104365507</v>
      </c>
      <c r="AJ372" s="76">
        <f>IF(Entradas!$F$91&gt;0,Entradas!$D$24*Entradas!$D$22/Escenarios!$F$16,0)</f>
        <v>0.12</v>
      </c>
      <c r="AK372" s="76">
        <f t="shared" si="72"/>
        <v>2.9637850373010792</v>
      </c>
      <c r="AL372" s="76">
        <f t="shared" si="73"/>
        <v>0</v>
      </c>
      <c r="AM372" s="76">
        <f t="shared" si="74"/>
        <v>0.23961917536692723</v>
      </c>
      <c r="AN372" s="76">
        <f>MAX(0,O372*Escenarios!$F$13/Escenarios!$F$16-AM372)</f>
        <v>0.7739238350855413</v>
      </c>
      <c r="AO372" s="76">
        <f>AM372+AN372-O372*Escenarios!$F$13/Escenarios!$F$16</f>
        <v>0</v>
      </c>
      <c r="AP372" s="76">
        <f t="shared" si="75"/>
        <v>0.2628761649144587</v>
      </c>
      <c r="AQ372" s="76">
        <f t="shared" si="76"/>
        <v>0</v>
      </c>
      <c r="AR372" s="76">
        <f t="shared" si="77"/>
        <v>1.0367999999999999</v>
      </c>
      <c r="AS372" s="76">
        <f t="shared" si="78"/>
        <v>0</v>
      </c>
      <c r="AT372" s="76">
        <f t="shared" si="79"/>
        <v>13.345187233353252</v>
      </c>
      <c r="AU372" s="76">
        <f t="shared" si="80"/>
        <v>48.926634212388088</v>
      </c>
      <c r="AV372" s="76">
        <f>MAX(0,(AU372-Constantes!$D$13)*(1-EXP(-Constantes!$D$24)))</f>
        <v>2.6998975765840662E-3</v>
      </c>
      <c r="AW372" s="170">
        <f>AW371+(Entradas!$F$112*AT372-AX371)/(800*Entradas!$D$25)</f>
        <v>0</v>
      </c>
      <c r="AX372" s="170">
        <f>8000*Entradas!$D$26*AW372/Constantes!$F$45</f>
        <v>0</v>
      </c>
      <c r="AY372" s="170">
        <f>IF(Escenarios!$F$17&gt;0,10*Escenarios!$F$16*AL372,0)</f>
        <v>0</v>
      </c>
      <c r="AZ372" s="170">
        <f>IF(Escenarios!$F$17&gt;0,10*Escenarios!$F$16*AX372,0)</f>
        <v>0</v>
      </c>
      <c r="BA372" s="170">
        <f>IF(Escenarios!$F$17&gt;0,0.001*Observaciones!$F371*Escenarios!$F$17,0)</f>
        <v>0</v>
      </c>
      <c r="BB372" s="170">
        <f>IF(Escenarios!$F$17&gt;0,Observaciones!$K371,0)</f>
        <v>0</v>
      </c>
      <c r="BC372" s="170">
        <f>IF(Escenarios!$F$17&gt;0,MIN(0.0005*ETo!$M371*Escenarios!$F$17*(BG371/Constantes!$F$40)^(2/3),BG371+AY372+AZ372+BA372+BB372),0)</f>
        <v>0</v>
      </c>
      <c r="BD372" s="170">
        <f>IF(Escenarios!$F$17&gt;0,MIN(Constantes!$F$39*(BG371/Constantes!$F$40)^(2/3),BG371+AY372+AZ372+BA372+BB372-BC372),0)</f>
        <v>0</v>
      </c>
      <c r="BE372" s="170">
        <f>IF(Escenarios!$F$17&gt;0,MIN(Entradas!$F$113,BG371+AY372+AZ372+BA372+BB372-BC372-BD372),0)</f>
        <v>0</v>
      </c>
      <c r="BF372" s="170">
        <f>IF(Escenarios!$F$17&gt;0,MAX(0,BG371+AY372+AZ372+BA372+BB372-BC372-BD372-BE372-Constantes!$F$40),0)</f>
        <v>0</v>
      </c>
      <c r="BG372" s="170">
        <f t="shared" si="81"/>
        <v>0</v>
      </c>
      <c r="BH372" s="170">
        <f>(Escenarios!$F$16*AK372+0.1*BC372)/(Escenarios!$F$19)</f>
        <v>2.9637850373010792</v>
      </c>
      <c r="BI372" s="170">
        <f>IF(Escenarios!$F$17&gt;0,BF372/10/Escenarios!$F$19,AL372)</f>
        <v>0</v>
      </c>
      <c r="BJ372" s="170">
        <f>(Escenarios!$F$16*AT372+0.1*BD372)/(Escenarios!$F$19)</f>
        <v>13.345187233353252</v>
      </c>
      <c r="BK372" s="76">
        <f>BK371+(0.1*BD372)/(Escenarios!$F$19)-BL371</f>
        <v>48.75</v>
      </c>
      <c r="BL372" s="76">
        <f>MAX(0,(BK372-Constantes!$D$13)*(1-EXP(-Constantes!$D$23)))</f>
        <v>0</v>
      </c>
      <c r="BM372" s="76">
        <f t="shared" si="82"/>
        <v>0.26557606249104276</v>
      </c>
      <c r="BN372" s="76">
        <f t="shared" si="83"/>
        <v>1.0394998975765841</v>
      </c>
      <c r="BO372" s="76">
        <f>0.0526*BI372*Observaciones!$F371^1.218</f>
        <v>0</v>
      </c>
      <c r="BP372" s="76">
        <f>BO372*Constantes!$F$51</f>
        <v>0</v>
      </c>
      <c r="BQ372" s="76">
        <f t="shared" si="84"/>
        <v>0</v>
      </c>
      <c r="BR372" s="40"/>
    </row>
    <row r="373" spans="2:70">
      <c r="B373" s="39"/>
      <c r="C373" s="75">
        <v>367</v>
      </c>
      <c r="D373" s="146">
        <f>ETo!$I372*((1-Constantes!$F$19)*ETo!$K372+ETo!$L372)</f>
        <v>4.500294037122285</v>
      </c>
      <c r="E373" s="76">
        <f>MIN(D373*Constantes!$F$17,0.8*(N372+Observaciones!$F372-F373-M373-Constantes!$D$14))</f>
        <v>2.5665706020687189</v>
      </c>
      <c r="F373" s="76">
        <f>IF(Observaciones!$F372&gt;0.05*Constantes!$F$18,((Observaciones!$F372-0.05*Constantes!$F$18)^2)/(Observaciones!$F372+0.95*Constantes!$F$18),0)</f>
        <v>0</v>
      </c>
      <c r="G373" s="76">
        <f>IF(Escenarios!$F$11&gt;0,(F373*Escenarios!$F$16*10000)/1000,0)</f>
        <v>0</v>
      </c>
      <c r="H373" s="76">
        <f>IF(Escenarios!$F$11&gt;0,(Observaciones!$F372*Constantes!$F$29)/1000,0)</f>
        <v>0</v>
      </c>
      <c r="I373" s="76">
        <f>IF(Escenarios!$F$11&gt;0,(D373*Constantes!$F$29)/1000,0)</f>
        <v>0</v>
      </c>
      <c r="J373" s="76">
        <f>IF(Escenarios!$F$11&gt;0,MAX(0,G373+H373-I373),0)</f>
        <v>0</v>
      </c>
      <c r="K373" s="76">
        <f>IF(Escenarios!$F$11&gt;0,IF(J373&gt;Constantes!$F$30,1000*((J373-Constantes!$F$30)/(Escenarios!$F$16*10000)),0),F373)</f>
        <v>0</v>
      </c>
      <c r="L373" s="76">
        <f>IF(Escenarios!$F$11&gt;0,I373*1000/Escenarios!$F$16/10000+E373,E373)</f>
        <v>2.5665706020687189</v>
      </c>
      <c r="M373" s="76">
        <f>MAX(0,N372+Observaciones!$F372-K373-Constantes!$D$13)</f>
        <v>0</v>
      </c>
      <c r="N373" s="76">
        <f>N372+Observaciones!$F372-K373-L373-M373-O372</f>
        <v>42.143457990345979</v>
      </c>
      <c r="O373" s="76">
        <f>MAX(0,(N373-Constantes!$D$14)*(1-EXP(-Constantes!$D$22)))</f>
        <v>1.052344591357246</v>
      </c>
      <c r="P373" s="170">
        <f>P372+(Entradas!$F$83*M373-Q372)/(800*Entradas!$D$25)</f>
        <v>0</v>
      </c>
      <c r="Q373" s="170">
        <f>8000*Entradas!$D$26*P373/Constantes!$F$45</f>
        <v>0</v>
      </c>
      <c r="R373" s="170">
        <f>IF(Escenarios!$F$14&gt;0,K373*Escenarios!$F$13/Escenarios!$F$14,0)</f>
        <v>0</v>
      </c>
      <c r="S373" s="170">
        <f>IF(Escenarios!$F$14&gt;0,Q373*Escenarios!$F$13/Escenarios!$F$14,0)</f>
        <v>0</v>
      </c>
      <c r="T373" s="170">
        <f>IF(Escenarios!$F$14&gt;0,Observaciones!$I372,0)</f>
        <v>0</v>
      </c>
      <c r="U373" s="170">
        <f>IF(Escenarios!$F$14&gt;0,MAX(0,Constantes!$F$36/((Z372+R373+S373+T373+Observaciones!$F372)^2)+Entradas!$F$77),0)</f>
        <v>1.5653727783276987</v>
      </c>
      <c r="V373" s="146">
        <f>IF(ETo!D372&gt;0,ETo!I372*((1-Entradas!$F$81)*ETo!K372+ETo!L372),0)</f>
        <v>4.0001264312471712</v>
      </c>
      <c r="W373" s="170">
        <f>IF(Escenarios!$F$14&gt;0,MIN(V373*1,0.8*(Z372+R373+S373+T373+Observaciones!$F372-U373-Constantes!$F$35)),0)</f>
        <v>4.0001264312471712</v>
      </c>
      <c r="X373" s="170">
        <f>IF(Escenarios!$F$14&gt;0,Observaciones!$J372,0)</f>
        <v>0</v>
      </c>
      <c r="Y373" s="170">
        <f>IF(Escenarios!$F$14&gt;0,MAX(0,Z372+R373+S373+T373+Observaciones!$F372-U373-W373-X373-Constantes!$F$33),0)</f>
        <v>0</v>
      </c>
      <c r="Z373" s="170">
        <f>Z372+R373+S373+T373+Observaciones!$F372-U373-W373-Y373</f>
        <v>79.02994200087285</v>
      </c>
      <c r="AA373" s="170">
        <f>IF(Escenarios!$F$14&gt;0,(Escenarios!$F$13*L373+Escenarios!$F$14*W373)/(Escenarios!$F$16),L373)</f>
        <v>2.7385973015701333</v>
      </c>
      <c r="AB373" s="170">
        <f>IF(Escenarios!$F$14&gt;0,(Escenarios!$F$14*Y373)/(Escenarios!$F$16),K373)</f>
        <v>0</v>
      </c>
      <c r="AC373" s="170">
        <f>IF(Escenarios!$F$14&gt;0,(Escenarios!$F$13*M373+Escenarios!$F$14*U373)/(Escenarios!$F$16),M373)</f>
        <v>0.18784473339932384</v>
      </c>
      <c r="AD373" s="76">
        <f t="shared" si="71"/>
        <v>75.354133333783523</v>
      </c>
      <c r="AE373" s="76">
        <f>MAX(0,(AD373-Constantes!$D$13)*(1-EXP(-Constantes!$D$23)))</f>
        <v>0.26213686234864547</v>
      </c>
      <c r="AF373" s="76">
        <f>AB373+O373*Escenarios!$F$13/Escenarios!$F$16+AE373</f>
        <v>1.188200102743022</v>
      </c>
      <c r="AG373" s="76">
        <f>IF(Entradas!$F$91&gt;0,IF(AF373-Escenarios!$F$38&lt;=0,0,IF(AF373-Escenarios!$F$38&gt;Escenarios!$F$37,Escenarios!$F$37,AF373-Escenarios!$F$38)),0)</f>
        <v>0.15140010274302207</v>
      </c>
      <c r="AH373" s="76">
        <f>AG373*Entradas!$F$99</f>
        <v>0</v>
      </c>
      <c r="AI373" s="76">
        <f>IF(Entradas!$F$91&gt;0,D373*Entradas!$D$23/Escenarios!$F$16,0)</f>
        <v>0.21601411378186969</v>
      </c>
      <c r="AJ373" s="76">
        <f>IF(Entradas!$F$91&gt;0,Entradas!$D$24*Entradas!$D$22/Escenarios!$F$16,0)</f>
        <v>0.12</v>
      </c>
      <c r="AK373" s="76">
        <f t="shared" si="72"/>
        <v>2.9546114153520029</v>
      </c>
      <c r="AL373" s="76">
        <f t="shared" si="73"/>
        <v>0</v>
      </c>
      <c r="AM373" s="76">
        <f t="shared" si="74"/>
        <v>0.15140010274302207</v>
      </c>
      <c r="AN373" s="76">
        <f>MAX(0,O373*Escenarios!$F$13/Escenarios!$F$16-AM373)</f>
        <v>0.77466313765135442</v>
      </c>
      <c r="AO373" s="76">
        <f>AM373+AN373-O373*Escenarios!$F$13/Escenarios!$F$16</f>
        <v>0</v>
      </c>
      <c r="AP373" s="76">
        <f t="shared" si="75"/>
        <v>0.26213686234864547</v>
      </c>
      <c r="AQ373" s="76">
        <f t="shared" si="76"/>
        <v>0</v>
      </c>
      <c r="AR373" s="76">
        <f t="shared" si="77"/>
        <v>1.0367999999999999</v>
      </c>
      <c r="AS373" s="76">
        <f t="shared" si="78"/>
        <v>0</v>
      </c>
      <c r="AT373" s="76">
        <f t="shared" si="79"/>
        <v>0.18784473339932384</v>
      </c>
      <c r="AU373" s="76">
        <f t="shared" si="80"/>
        <v>48.923934314811504</v>
      </c>
      <c r="AV373" s="76">
        <f>MAX(0,(AU373-Constantes!$D$13)*(1-EXP(-Constantes!$D$24)))</f>
        <v>2.6586289750742571E-3</v>
      </c>
      <c r="AW373" s="170">
        <f>AW372+(Entradas!$F$112*AT373-AX372)/(800*Entradas!$D$25)</f>
        <v>0</v>
      </c>
      <c r="AX373" s="170">
        <f>8000*Entradas!$D$26*AW373/Constantes!$F$45</f>
        <v>0</v>
      </c>
      <c r="AY373" s="170">
        <f>IF(Escenarios!$F$17&gt;0,10*Escenarios!$F$16*AL373,0)</f>
        <v>0</v>
      </c>
      <c r="AZ373" s="170">
        <f>IF(Escenarios!$F$17&gt;0,10*Escenarios!$F$16*AX373,0)</f>
        <v>0</v>
      </c>
      <c r="BA373" s="170">
        <f>IF(Escenarios!$F$17&gt;0,0.001*Observaciones!$F372*Escenarios!$F$17,0)</f>
        <v>0</v>
      </c>
      <c r="BB373" s="170">
        <f>IF(Escenarios!$F$17&gt;0,Observaciones!$K372,0)</f>
        <v>0</v>
      </c>
      <c r="BC373" s="170">
        <f>IF(Escenarios!$F$17&gt;0,MIN(0.0005*ETo!$M372*Escenarios!$F$17*(BG372/Constantes!$F$40)^(2/3),BG372+AY373+AZ373+BA373+BB373),0)</f>
        <v>0</v>
      </c>
      <c r="BD373" s="170">
        <f>IF(Escenarios!$F$17&gt;0,MIN(Constantes!$F$39*(BG372/Constantes!$F$40)^(2/3),BG372+AY373+AZ373+BA373+BB373-BC373),0)</f>
        <v>0</v>
      </c>
      <c r="BE373" s="170">
        <f>IF(Escenarios!$F$17&gt;0,MIN(Entradas!$F$113,BG372+AY373+AZ373+BA373+BB373-BC373-BD373),0)</f>
        <v>0</v>
      </c>
      <c r="BF373" s="170">
        <f>IF(Escenarios!$F$17&gt;0,MAX(0,BG372+AY373+AZ373+BA373+BB373-BC373-BD373-BE373-Constantes!$F$40),0)</f>
        <v>0</v>
      </c>
      <c r="BG373" s="170">
        <f t="shared" si="81"/>
        <v>0</v>
      </c>
      <c r="BH373" s="170">
        <f>(Escenarios!$F$16*AK373+0.1*BC373)/(Escenarios!$F$19)</f>
        <v>2.9546114153520029</v>
      </c>
      <c r="BI373" s="170">
        <f>IF(Escenarios!$F$17&gt;0,BF373/10/Escenarios!$F$19,AL373)</f>
        <v>0</v>
      </c>
      <c r="BJ373" s="170">
        <f>(Escenarios!$F$16*AT373+0.1*BD373)/(Escenarios!$F$19)</f>
        <v>0.18784473339932384</v>
      </c>
      <c r="BK373" s="76">
        <f>BK372+(0.1*BD373)/(Escenarios!$F$19)-BL372</f>
        <v>48.75</v>
      </c>
      <c r="BL373" s="76">
        <f>MAX(0,(BK373-Constantes!$D$13)*(1-EXP(-Constantes!$D$23)))</f>
        <v>0</v>
      </c>
      <c r="BM373" s="76">
        <f t="shared" si="82"/>
        <v>0.26479549132371971</v>
      </c>
      <c r="BN373" s="76">
        <f t="shared" si="83"/>
        <v>1.0394586289750742</v>
      </c>
      <c r="BO373" s="76">
        <f>0.0526*BI373*Observaciones!$F372^1.218</f>
        <v>0</v>
      </c>
      <c r="BP373" s="76">
        <f>BO373*Constantes!$F$51</f>
        <v>0</v>
      </c>
      <c r="BQ373" s="76">
        <f t="shared" si="84"/>
        <v>0</v>
      </c>
      <c r="BR373" s="40"/>
    </row>
    <row r="374" spans="2:70">
      <c r="B374" s="39"/>
      <c r="C374" s="75">
        <v>368</v>
      </c>
      <c r="D374" s="146">
        <f>ETo!$I373*((1-Constantes!$F$19)*ETo!$K373+ETo!$L373)</f>
        <v>4.5747311471032166</v>
      </c>
      <c r="E374" s="76">
        <f>MIN(D374*Constantes!$F$17,0.8*(N373+Observaciones!$F373-F374-M374-Constantes!$D$14))</f>
        <v>2.6090229610932818</v>
      </c>
      <c r="F374" s="76">
        <f>IF(Observaciones!$F373&gt;0.05*Constantes!$F$18,((Observaciones!$F373-0.05*Constantes!$F$18)^2)/(Observaciones!$F373+0.95*Constantes!$F$18),0)</f>
        <v>9.1333328092413846E-2</v>
      </c>
      <c r="G374" s="76">
        <f>IF(Escenarios!$F$11&gt;0,(F374*Escenarios!$F$16*10000)/1000,0)</f>
        <v>0</v>
      </c>
      <c r="H374" s="76">
        <f>IF(Escenarios!$F$11&gt;0,(Observaciones!$F373*Constantes!$F$29)/1000,0)</f>
        <v>0</v>
      </c>
      <c r="I374" s="76">
        <f>IF(Escenarios!$F$11&gt;0,(D374*Constantes!$F$29)/1000,0)</f>
        <v>0</v>
      </c>
      <c r="J374" s="76">
        <f>IF(Escenarios!$F$11&gt;0,MAX(0,G374+H374-I374),0)</f>
        <v>0</v>
      </c>
      <c r="K374" s="76">
        <f>IF(Escenarios!$F$11&gt;0,IF(J374&gt;Constantes!$F$30,1000*((J374-Constantes!$F$30)/(Escenarios!$F$16*10000)),0),F374)</f>
        <v>9.1333328092413846E-2</v>
      </c>
      <c r="L374" s="76">
        <f>IF(Escenarios!$F$11&gt;0,I374*1000/Escenarios!$F$16/10000+E374,E374)</f>
        <v>2.6090229610932818</v>
      </c>
      <c r="M374" s="76">
        <f>MAX(0,N373+Observaciones!$F373-K374-Constantes!$D$13)</f>
        <v>8.8021246622535685</v>
      </c>
      <c r="N374" s="76">
        <f>N373+Observaciones!$F373-K374-L374-M374-O373</f>
        <v>45.088632447549472</v>
      </c>
      <c r="O374" s="76">
        <f>MAX(0,(N374-Constantes!$D$14)*(1-EXP(-Constantes!$D$22)))</f>
        <v>1.152668045326372</v>
      </c>
      <c r="P374" s="170">
        <f>P373+(Entradas!$F$83*M374-Q373)/(800*Entradas!$D$25)</f>
        <v>0</v>
      </c>
      <c r="Q374" s="170">
        <f>8000*Entradas!$D$26*P374/Constantes!$F$45</f>
        <v>0</v>
      </c>
      <c r="R374" s="170">
        <f>IF(Escenarios!$F$14&gt;0,K374*Escenarios!$F$13/Escenarios!$F$14,0)</f>
        <v>0.66977773934436824</v>
      </c>
      <c r="S374" s="170">
        <f>IF(Escenarios!$F$14&gt;0,Q374*Escenarios!$F$13/Escenarios!$F$14,0)</f>
        <v>0</v>
      </c>
      <c r="T374" s="170">
        <f>IF(Escenarios!$F$14&gt;0,Observaciones!$I373,0)</f>
        <v>0</v>
      </c>
      <c r="U374" s="170">
        <f>IF(Escenarios!$F$14&gt;0,MAX(0,Constantes!$F$36/((Z373+R374+S374+T374+Observaciones!$F373)^2)+Entradas!$F$77),0)</f>
        <v>1.8671780717125792</v>
      </c>
      <c r="V374" s="146">
        <f>IF(ETo!D373&gt;0,ETo!I373*((1-Entradas!$F$81)*ETo!K373+ETo!L373),0)</f>
        <v>4.0673851009236195</v>
      </c>
      <c r="W374" s="170">
        <f>IF(Escenarios!$F$14&gt;0,MIN(V374*1,0.8*(Z373+R374+S374+T374+Observaciones!$F373-U374-Constantes!$F$35)),0)</f>
        <v>4.0673851009236195</v>
      </c>
      <c r="X374" s="170">
        <f>IF(Escenarios!$F$14&gt;0,Observaciones!$J373,0)</f>
        <v>0</v>
      </c>
      <c r="Y374" s="170">
        <f>IF(Escenarios!$F$14&gt;0,MAX(0,Z373+R374+S374+T374+Observaciones!$F373-U374-W374-X374-Constantes!$F$33),0)</f>
        <v>0</v>
      </c>
      <c r="Z374" s="170">
        <f>Z373+R374+S374+T374+Observaciones!$F373-U374-W374-Y374</f>
        <v>89.26515656758103</v>
      </c>
      <c r="AA374" s="170">
        <f>IF(Escenarios!$F$14&gt;0,(Escenarios!$F$13*L374+Escenarios!$F$14*W374)/(Escenarios!$F$16),L374)</f>
        <v>2.7840264178729219</v>
      </c>
      <c r="AB374" s="170">
        <f>IF(Escenarios!$F$14&gt;0,(Escenarios!$F$14*Y374)/(Escenarios!$F$16),K374)</f>
        <v>0</v>
      </c>
      <c r="AC374" s="170">
        <f>IF(Escenarios!$F$14&gt;0,(Escenarios!$F$13*M374+Escenarios!$F$14*U374)/(Escenarios!$F$16),M374)</f>
        <v>7.9699310713886495</v>
      </c>
      <c r="AD374" s="76">
        <f t="shared" si="71"/>
        <v>83.061927542823526</v>
      </c>
      <c r="AE374" s="76">
        <f>MAX(0,(AD374-Constantes!$D$13)*(1-EXP(-Constantes!$D$23)))</f>
        <v>0.33808359454386633</v>
      </c>
      <c r="AF374" s="76">
        <f>AB374+O374*Escenarios!$F$13/Escenarios!$F$16+AE374</f>
        <v>1.3524314744310737</v>
      </c>
      <c r="AG374" s="76">
        <f>IF(Entradas!$F$91&gt;0,IF(AF374-Escenarios!$F$38&lt;=0,0,IF(AF374-Escenarios!$F$38&gt;Escenarios!$F$37,Escenarios!$F$37,AF374-Escenarios!$F$38)),0)</f>
        <v>0.31563147443107376</v>
      </c>
      <c r="AH374" s="76">
        <f>AG374*Entradas!$F$99</f>
        <v>0</v>
      </c>
      <c r="AI374" s="76">
        <f>IF(Entradas!$F$91&gt;0,D374*Entradas!$D$23/Escenarios!$F$16,0)</f>
        <v>0.21958709506095439</v>
      </c>
      <c r="AJ374" s="76">
        <f>IF(Entradas!$F$91&gt;0,Entradas!$D$24*Entradas!$D$22/Escenarios!$F$16,0)</f>
        <v>0.12</v>
      </c>
      <c r="AK374" s="76">
        <f t="shared" si="72"/>
        <v>3.0036135129338764</v>
      </c>
      <c r="AL374" s="76">
        <f t="shared" si="73"/>
        <v>0</v>
      </c>
      <c r="AM374" s="76">
        <f t="shared" si="74"/>
        <v>0.31563147443107376</v>
      </c>
      <c r="AN374" s="76">
        <f>MAX(0,O374*Escenarios!$F$13/Escenarios!$F$16-AM374)</f>
        <v>0.69871640545613367</v>
      </c>
      <c r="AO374" s="76">
        <f>AM374+AN374-O374*Escenarios!$F$13/Escenarios!$F$16</f>
        <v>0</v>
      </c>
      <c r="AP374" s="76">
        <f t="shared" si="75"/>
        <v>0.33808359454386633</v>
      </c>
      <c r="AQ374" s="76">
        <f t="shared" si="76"/>
        <v>0</v>
      </c>
      <c r="AR374" s="76">
        <f t="shared" si="77"/>
        <v>1.0367999999999999</v>
      </c>
      <c r="AS374" s="76">
        <f t="shared" si="78"/>
        <v>0</v>
      </c>
      <c r="AT374" s="76">
        <f t="shared" si="79"/>
        <v>7.9699310713886495</v>
      </c>
      <c r="AU374" s="76">
        <f t="shared" si="80"/>
        <v>48.921275685836427</v>
      </c>
      <c r="AV374" s="76">
        <f>MAX(0,(AU374-Constantes!$D$13)*(1-EXP(-Constantes!$D$24)))</f>
        <v>2.6179911743345291E-3</v>
      </c>
      <c r="AW374" s="170">
        <f>AW373+(Entradas!$F$112*AT374-AX373)/(800*Entradas!$D$25)</f>
        <v>0</v>
      </c>
      <c r="AX374" s="170">
        <f>8000*Entradas!$D$26*AW374/Constantes!$F$45</f>
        <v>0</v>
      </c>
      <c r="AY374" s="170">
        <f>IF(Escenarios!$F$17&gt;0,10*Escenarios!$F$16*AL374,0)</f>
        <v>0</v>
      </c>
      <c r="AZ374" s="170">
        <f>IF(Escenarios!$F$17&gt;0,10*Escenarios!$F$16*AX374,0)</f>
        <v>0</v>
      </c>
      <c r="BA374" s="170">
        <f>IF(Escenarios!$F$17&gt;0,0.001*Observaciones!$F373*Escenarios!$F$17,0)</f>
        <v>0</v>
      </c>
      <c r="BB374" s="170">
        <f>IF(Escenarios!$F$17&gt;0,Observaciones!$K373,0)</f>
        <v>0</v>
      </c>
      <c r="BC374" s="170">
        <f>IF(Escenarios!$F$17&gt;0,MIN(0.0005*ETo!$M373*Escenarios!$F$17*(BG373/Constantes!$F$40)^(2/3),BG373+AY374+AZ374+BA374+BB374),0)</f>
        <v>0</v>
      </c>
      <c r="BD374" s="170">
        <f>IF(Escenarios!$F$17&gt;0,MIN(Constantes!$F$39*(BG373/Constantes!$F$40)^(2/3),BG373+AY374+AZ374+BA374+BB374-BC374),0)</f>
        <v>0</v>
      </c>
      <c r="BE374" s="170">
        <f>IF(Escenarios!$F$17&gt;0,MIN(Entradas!$F$113,BG373+AY374+AZ374+BA374+BB374-BC374-BD374),0)</f>
        <v>0</v>
      </c>
      <c r="BF374" s="170">
        <f>IF(Escenarios!$F$17&gt;0,MAX(0,BG373+AY374+AZ374+BA374+BB374-BC374-BD374-BE374-Constantes!$F$40),0)</f>
        <v>0</v>
      </c>
      <c r="BG374" s="170">
        <f t="shared" si="81"/>
        <v>0</v>
      </c>
      <c r="BH374" s="170">
        <f>(Escenarios!$F$16*AK374+0.1*BC374)/(Escenarios!$F$19)</f>
        <v>3.0036135129338764</v>
      </c>
      <c r="BI374" s="170">
        <f>IF(Escenarios!$F$17&gt;0,BF374/10/Escenarios!$F$19,AL374)</f>
        <v>0</v>
      </c>
      <c r="BJ374" s="170">
        <f>(Escenarios!$F$16*AT374+0.1*BD374)/(Escenarios!$F$19)</f>
        <v>7.9699310713886495</v>
      </c>
      <c r="BK374" s="76">
        <f>BK373+(0.1*BD374)/(Escenarios!$F$19)-BL373</f>
        <v>48.75</v>
      </c>
      <c r="BL374" s="76">
        <f>MAX(0,(BK374-Constantes!$D$13)*(1-EXP(-Constantes!$D$23)))</f>
        <v>0</v>
      </c>
      <c r="BM374" s="76">
        <f t="shared" si="82"/>
        <v>0.34070158571820086</v>
      </c>
      <c r="BN374" s="76">
        <f t="shared" si="83"/>
        <v>1.0394179911743344</v>
      </c>
      <c r="BO374" s="76">
        <f>0.0526*BI374*Observaciones!$F373^1.218</f>
        <v>0</v>
      </c>
      <c r="BP374" s="76">
        <f>BO374*Constantes!$F$51</f>
        <v>0</v>
      </c>
      <c r="BQ374" s="76">
        <f t="shared" si="84"/>
        <v>0</v>
      </c>
      <c r="BR374" s="40"/>
    </row>
    <row r="375" spans="2:70">
      <c r="B375" s="39"/>
      <c r="C375" s="75">
        <v>369</v>
      </c>
      <c r="D375" s="146">
        <f>ETo!$I374*((1-Constantes!$F$19)*ETo!$K374+ETo!$L374)</f>
        <v>4.5421814257905453</v>
      </c>
      <c r="E375" s="76">
        <f>MIN(D375*Constantes!$F$17,0.8*(N374+Observaciones!$F374-F375-M375-Constantes!$D$14))</f>
        <v>2.5904594723217675</v>
      </c>
      <c r="F375" s="76">
        <f>IF(Observaciones!$F374&gt;0.05*Constantes!$F$18,((Observaciones!$F374-0.05*Constantes!$F$18)^2)/(Observaciones!$F374+0.95*Constantes!$F$18),0)</f>
        <v>0</v>
      </c>
      <c r="G375" s="76">
        <f>IF(Escenarios!$F$11&gt;0,(F375*Escenarios!$F$16*10000)/1000,0)</f>
        <v>0</v>
      </c>
      <c r="H375" s="76">
        <f>IF(Escenarios!$F$11&gt;0,(Observaciones!$F374*Constantes!$F$29)/1000,0)</f>
        <v>0</v>
      </c>
      <c r="I375" s="76">
        <f>IF(Escenarios!$F$11&gt;0,(D375*Constantes!$F$29)/1000,0)</f>
        <v>0</v>
      </c>
      <c r="J375" s="76">
        <f>IF(Escenarios!$F$11&gt;0,MAX(0,G375+H375-I375),0)</f>
        <v>0</v>
      </c>
      <c r="K375" s="76">
        <f>IF(Escenarios!$F$11&gt;0,IF(J375&gt;Constantes!$F$30,1000*((J375-Constantes!$F$30)/(Escenarios!$F$16*10000)),0),F375)</f>
        <v>0</v>
      </c>
      <c r="L375" s="76">
        <f>IF(Escenarios!$F$11&gt;0,I375*1000/Escenarios!$F$16/10000+E375,E375)</f>
        <v>2.5904594723217675</v>
      </c>
      <c r="M375" s="76">
        <f>MAX(0,N374+Observaciones!$F374-K375-Constantes!$D$13)</f>
        <v>0</v>
      </c>
      <c r="N375" s="76">
        <f>N374+Observaciones!$F374-K375-L375-M375-O374</f>
        <v>43.645504929901328</v>
      </c>
      <c r="O375" s="76">
        <f>MAX(0,(N375-Constantes!$D$14)*(1-EXP(-Constantes!$D$22)))</f>
        <v>1.1035098242457015</v>
      </c>
      <c r="P375" s="170">
        <f>P374+(Entradas!$F$83*M375-Q374)/(800*Entradas!$D$25)</f>
        <v>0</v>
      </c>
      <c r="Q375" s="170">
        <f>8000*Entradas!$D$26*P375/Constantes!$F$45</f>
        <v>0</v>
      </c>
      <c r="R375" s="170">
        <f>IF(Escenarios!$F$14&gt;0,K375*Escenarios!$F$13/Escenarios!$F$14,0)</f>
        <v>0</v>
      </c>
      <c r="S375" s="170">
        <f>IF(Escenarios!$F$14&gt;0,Q375*Escenarios!$F$13/Escenarios!$F$14,0)</f>
        <v>0</v>
      </c>
      <c r="T375" s="170">
        <f>IF(Escenarios!$F$14&gt;0,Observaciones!$I374,0)</f>
        <v>0</v>
      </c>
      <c r="U375" s="170">
        <f>IF(Escenarios!$F$14&gt;0,MAX(0,Constantes!$F$36/((Z374+R375+S375+T375+Observaciones!$F374)^2)+Entradas!$F$77),0)</f>
        <v>1.775461336123028</v>
      </c>
      <c r="V375" s="146">
        <f>IF(ETo!D374&gt;0,ETo!I374*((1-Entradas!$F$81)*ETo!K374+ETo!L374),0)</f>
        <v>4.0379558966518694</v>
      </c>
      <c r="W375" s="170">
        <f>IF(Escenarios!$F$14&gt;0,MIN(V375*1,0.8*(Z374+R375+S375+T375+Observaciones!$F374-U375-Constantes!$F$35)),0)</f>
        <v>4.0379558966518694</v>
      </c>
      <c r="X375" s="170">
        <f>IF(Escenarios!$F$14&gt;0,Observaciones!$J374,0)</f>
        <v>0</v>
      </c>
      <c r="Y375" s="170">
        <f>IF(Escenarios!$F$14&gt;0,MAX(0,Z374+R375+S375+T375+Observaciones!$F374-U375-W375-X375-Constantes!$F$33),0)</f>
        <v>0</v>
      </c>
      <c r="Z375" s="170">
        <f>Z374+R375+S375+T375+Observaciones!$F374-U375-W375-Y375</f>
        <v>85.751739334806132</v>
      </c>
      <c r="AA375" s="170">
        <f>IF(Escenarios!$F$14&gt;0,(Escenarios!$F$13*L375+Escenarios!$F$14*W375)/(Escenarios!$F$16),L375)</f>
        <v>2.7641590432413801</v>
      </c>
      <c r="AB375" s="170">
        <f>IF(Escenarios!$F$14&gt;0,(Escenarios!$F$14*Y375)/(Escenarios!$F$16),K375)</f>
        <v>0</v>
      </c>
      <c r="AC375" s="170">
        <f>IF(Escenarios!$F$14&gt;0,(Escenarios!$F$13*M375+Escenarios!$F$14*U375)/(Escenarios!$F$16),M375)</f>
        <v>0.21305536033476336</v>
      </c>
      <c r="AD375" s="76">
        <f t="shared" si="71"/>
        <v>82.936899308614429</v>
      </c>
      <c r="AE375" s="76">
        <f>MAX(0,(AD375-Constantes!$D$13)*(1-EXP(-Constantes!$D$23)))</f>
        <v>0.33685166157279883</v>
      </c>
      <c r="AF375" s="76">
        <f>AB375+O375*Escenarios!$F$13/Escenarios!$F$16+AE375</f>
        <v>1.3079403069090163</v>
      </c>
      <c r="AG375" s="76">
        <f>IF(Entradas!$F$91&gt;0,IF(AF375-Escenarios!$F$38&lt;=0,0,IF(AF375-Escenarios!$F$38&gt;Escenarios!$F$37,Escenarios!$F$37,AF375-Escenarios!$F$38)),0)</f>
        <v>0.27114030690901636</v>
      </c>
      <c r="AH375" s="76">
        <f>AG375*Entradas!$F$99</f>
        <v>0</v>
      </c>
      <c r="AI375" s="76">
        <f>IF(Entradas!$F$91&gt;0,D375*Entradas!$D$23/Escenarios!$F$16,0)</f>
        <v>0.21802470843794616</v>
      </c>
      <c r="AJ375" s="76">
        <f>IF(Entradas!$F$91&gt;0,Entradas!$D$24*Entradas!$D$22/Escenarios!$F$16,0)</f>
        <v>0.12</v>
      </c>
      <c r="AK375" s="76">
        <f t="shared" si="72"/>
        <v>2.9821837516793264</v>
      </c>
      <c r="AL375" s="76">
        <f t="shared" si="73"/>
        <v>0</v>
      </c>
      <c r="AM375" s="76">
        <f t="shared" si="74"/>
        <v>0.27114030690901636</v>
      </c>
      <c r="AN375" s="76">
        <f>MAX(0,O375*Escenarios!$F$13/Escenarios!$F$16-AM375)</f>
        <v>0.69994833842720106</v>
      </c>
      <c r="AO375" s="76">
        <f>AM375+AN375-O375*Escenarios!$F$13/Escenarios!$F$16</f>
        <v>0</v>
      </c>
      <c r="AP375" s="76">
        <f t="shared" si="75"/>
        <v>0.33685166157279883</v>
      </c>
      <c r="AQ375" s="76">
        <f t="shared" si="76"/>
        <v>0</v>
      </c>
      <c r="AR375" s="76">
        <f t="shared" si="77"/>
        <v>1.0367999999999999</v>
      </c>
      <c r="AS375" s="76">
        <f t="shared" si="78"/>
        <v>0</v>
      </c>
      <c r="AT375" s="76">
        <f t="shared" si="79"/>
        <v>0.21305536033476336</v>
      </c>
      <c r="AU375" s="76">
        <f t="shared" si="80"/>
        <v>48.918657694662095</v>
      </c>
      <c r="AV375" s="76">
        <f>MAX(0,(AU375-Constantes!$D$13)*(1-EXP(-Constantes!$D$24)))</f>
        <v>2.5779745324193753E-3</v>
      </c>
      <c r="AW375" s="170">
        <f>AW374+(Entradas!$F$112*AT375-AX374)/(800*Entradas!$D$25)</f>
        <v>0</v>
      </c>
      <c r="AX375" s="170">
        <f>8000*Entradas!$D$26*AW375/Constantes!$F$45</f>
        <v>0</v>
      </c>
      <c r="AY375" s="170">
        <f>IF(Escenarios!$F$17&gt;0,10*Escenarios!$F$16*AL375,0)</f>
        <v>0</v>
      </c>
      <c r="AZ375" s="170">
        <f>IF(Escenarios!$F$17&gt;0,10*Escenarios!$F$16*AX375,0)</f>
        <v>0</v>
      </c>
      <c r="BA375" s="170">
        <f>IF(Escenarios!$F$17&gt;0,0.001*Observaciones!$F374*Escenarios!$F$17,0)</f>
        <v>0</v>
      </c>
      <c r="BB375" s="170">
        <f>IF(Escenarios!$F$17&gt;0,Observaciones!$K374,0)</f>
        <v>0</v>
      </c>
      <c r="BC375" s="170">
        <f>IF(Escenarios!$F$17&gt;0,MIN(0.0005*ETo!$M374*Escenarios!$F$17*(BG374/Constantes!$F$40)^(2/3),BG374+AY375+AZ375+BA375+BB375),0)</f>
        <v>0</v>
      </c>
      <c r="BD375" s="170">
        <f>IF(Escenarios!$F$17&gt;0,MIN(Constantes!$F$39*(BG374/Constantes!$F$40)^(2/3),BG374+AY375+AZ375+BA375+BB375-BC375),0)</f>
        <v>0</v>
      </c>
      <c r="BE375" s="170">
        <f>IF(Escenarios!$F$17&gt;0,MIN(Entradas!$F$113,BG374+AY375+AZ375+BA375+BB375-BC375-BD375),0)</f>
        <v>0</v>
      </c>
      <c r="BF375" s="170">
        <f>IF(Escenarios!$F$17&gt;0,MAX(0,BG374+AY375+AZ375+BA375+BB375-BC375-BD375-BE375-Constantes!$F$40),0)</f>
        <v>0</v>
      </c>
      <c r="BG375" s="170">
        <f t="shared" si="81"/>
        <v>0</v>
      </c>
      <c r="BH375" s="170">
        <f>(Escenarios!$F$16*AK375+0.1*BC375)/(Escenarios!$F$19)</f>
        <v>2.9821837516793264</v>
      </c>
      <c r="BI375" s="170">
        <f>IF(Escenarios!$F$17&gt;0,BF375/10/Escenarios!$F$19,AL375)</f>
        <v>0</v>
      </c>
      <c r="BJ375" s="170">
        <f>(Escenarios!$F$16*AT375+0.1*BD375)/(Escenarios!$F$19)</f>
        <v>0.21305536033476336</v>
      </c>
      <c r="BK375" s="76">
        <f>BK374+(0.1*BD375)/(Escenarios!$F$19)-BL374</f>
        <v>48.75</v>
      </c>
      <c r="BL375" s="76">
        <f>MAX(0,(BK375-Constantes!$D$13)*(1-EXP(-Constantes!$D$23)))</f>
        <v>0</v>
      </c>
      <c r="BM375" s="76">
        <f t="shared" si="82"/>
        <v>0.3394296361052182</v>
      </c>
      <c r="BN375" s="76">
        <f t="shared" si="83"/>
        <v>1.0393779745324194</v>
      </c>
      <c r="BO375" s="76">
        <f>0.0526*BI375*Observaciones!$F374^1.218</f>
        <v>0</v>
      </c>
      <c r="BP375" s="76">
        <f>BO375*Constantes!$F$51</f>
        <v>0</v>
      </c>
      <c r="BQ375" s="76">
        <f t="shared" si="84"/>
        <v>0</v>
      </c>
      <c r="BR375" s="40"/>
    </row>
    <row r="376" spans="2:70">
      <c r="B376" s="39"/>
      <c r="C376" s="75">
        <v>370</v>
      </c>
      <c r="D376" s="146">
        <f>ETo!$I375*((1-Constantes!$F$19)*ETo!$K375+ETo!$L375)</f>
        <v>4.5003004370894581</v>
      </c>
      <c r="E376" s="76">
        <f>MIN(D376*Constantes!$F$17,0.8*(N375+Observaciones!$F375-F376-M376-Constantes!$D$14))</f>
        <v>2.5665742520452461</v>
      </c>
      <c r="F376" s="76">
        <f>IF(Observaciones!$F375&gt;0.05*Constantes!$F$18,((Observaciones!$F375-0.05*Constantes!$F$18)^2)/(Observaciones!$F375+0.95*Constantes!$F$18),0)</f>
        <v>0</v>
      </c>
      <c r="G376" s="76">
        <f>IF(Escenarios!$F$11&gt;0,(F376*Escenarios!$F$16*10000)/1000,0)</f>
        <v>0</v>
      </c>
      <c r="H376" s="76">
        <f>IF(Escenarios!$F$11&gt;0,(Observaciones!$F375*Constantes!$F$29)/1000,0)</f>
        <v>0</v>
      </c>
      <c r="I376" s="76">
        <f>IF(Escenarios!$F$11&gt;0,(D376*Constantes!$F$29)/1000,0)</f>
        <v>0</v>
      </c>
      <c r="J376" s="76">
        <f>IF(Escenarios!$F$11&gt;0,MAX(0,G376+H376-I376),0)</f>
        <v>0</v>
      </c>
      <c r="K376" s="76">
        <f>IF(Escenarios!$F$11&gt;0,IF(J376&gt;Constantes!$F$30,1000*((J376-Constantes!$F$30)/(Escenarios!$F$16*10000)),0),F376)</f>
        <v>0</v>
      </c>
      <c r="L376" s="76">
        <f>IF(Escenarios!$F$11&gt;0,I376*1000/Escenarios!$F$16/10000+E376,E376)</f>
        <v>2.5665742520452461</v>
      </c>
      <c r="M376" s="76">
        <f>MAX(0,N375+Observaciones!$F375-K376-Constantes!$D$13)</f>
        <v>4.4955049299013297</v>
      </c>
      <c r="N376" s="76">
        <f>N375+Observaciones!$F375-K376-L376-M376-O375</f>
        <v>45.079915923709059</v>
      </c>
      <c r="O376" s="76">
        <f>MAX(0,(N376-Constantes!$D$14)*(1-EXP(-Constantes!$D$22)))</f>
        <v>1.1523711285253535</v>
      </c>
      <c r="P376" s="170">
        <f>P375+(Entradas!$F$83*M376-Q375)/(800*Entradas!$D$25)</f>
        <v>0</v>
      </c>
      <c r="Q376" s="170">
        <f>8000*Entradas!$D$26*P376/Constantes!$F$45</f>
        <v>0</v>
      </c>
      <c r="R376" s="170">
        <f>IF(Escenarios!$F$14&gt;0,K376*Escenarios!$F$13/Escenarios!$F$14,0)</f>
        <v>0</v>
      </c>
      <c r="S376" s="170">
        <f>IF(Escenarios!$F$14&gt;0,Q376*Escenarios!$F$13/Escenarios!$F$14,0)</f>
        <v>0</v>
      </c>
      <c r="T376" s="170">
        <f>IF(Escenarios!$F$14&gt;0,Observaciones!$I375,0)</f>
        <v>0</v>
      </c>
      <c r="U376" s="170">
        <f>IF(Escenarios!$F$14&gt;0,MAX(0,Constantes!$F$36/((Z375+R376+S376+T376+Observaciones!$F375)^2)+Entradas!$F$77),0)</f>
        <v>1.8707873158247834</v>
      </c>
      <c r="V376" s="146">
        <f>IF(ETo!D375&gt;0,ETo!I375*((1-Entradas!$F$81)*ETo!K375+ETo!L375),0)</f>
        <v>4.0001323014303152</v>
      </c>
      <c r="W376" s="170">
        <f>IF(Escenarios!$F$14&gt;0,MIN(V376*1,0.8*(Z375+R376+S376+T376+Observaciones!$F375-U376-Constantes!$F$35)),0)</f>
        <v>4.0001323014303152</v>
      </c>
      <c r="X376" s="170">
        <f>IF(Escenarios!$F$14&gt;0,Observaciones!$J375,0)</f>
        <v>0</v>
      </c>
      <c r="Y376" s="170">
        <f>IF(Escenarios!$F$14&gt;0,MAX(0,Z375+R376+S376+T376+Observaciones!$F375-U376-W376-X376-Constantes!$F$33),0)</f>
        <v>0</v>
      </c>
      <c r="Z376" s="170">
        <f>Z375+R376+S376+T376+Observaciones!$F375-U376-W376-Y376</f>
        <v>89.480819717551029</v>
      </c>
      <c r="AA376" s="170">
        <f>IF(Escenarios!$F$14&gt;0,(Escenarios!$F$13*L376+Escenarios!$F$14*W376)/(Escenarios!$F$16),L376)</f>
        <v>2.7386012179714543</v>
      </c>
      <c r="AB376" s="170">
        <f>IF(Escenarios!$F$14&gt;0,(Escenarios!$F$14*Y376)/(Escenarios!$F$16),K376)</f>
        <v>0</v>
      </c>
      <c r="AC376" s="170">
        <f>IF(Escenarios!$F$14&gt;0,(Escenarios!$F$13*M376+Escenarios!$F$14*U376)/(Escenarios!$F$16),M376)</f>
        <v>4.1805388162121444</v>
      </c>
      <c r="AD376" s="76">
        <f t="shared" si="71"/>
        <v>86.780586463253783</v>
      </c>
      <c r="AE376" s="76">
        <f>MAX(0,(AD376-Constantes!$D$13)*(1-EXP(-Constantes!$D$23)))</f>
        <v>0.37472442660241467</v>
      </c>
      <c r="AF376" s="76">
        <f>AB376+O376*Escenarios!$F$13/Escenarios!$F$16+AE376</f>
        <v>1.3888110197047259</v>
      </c>
      <c r="AG376" s="76">
        <f>IF(Entradas!$F$91&gt;0,IF(AF376-Escenarios!$F$38&lt;=0,0,IF(AF376-Escenarios!$F$38&gt;Escenarios!$F$37,Escenarios!$F$37,AF376-Escenarios!$F$38)),0)</f>
        <v>0.35201101970472592</v>
      </c>
      <c r="AH376" s="76">
        <f>AG376*Entradas!$F$99</f>
        <v>0</v>
      </c>
      <c r="AI376" s="76">
        <f>IF(Entradas!$F$91&gt;0,D376*Entradas!$D$23/Escenarios!$F$16,0)</f>
        <v>0.216014420980294</v>
      </c>
      <c r="AJ376" s="76">
        <f>IF(Entradas!$F$91&gt;0,Entradas!$D$24*Entradas!$D$22/Escenarios!$F$16,0)</f>
        <v>0.12</v>
      </c>
      <c r="AK376" s="76">
        <f t="shared" si="72"/>
        <v>2.9546156389517484</v>
      </c>
      <c r="AL376" s="76">
        <f t="shared" si="73"/>
        <v>0</v>
      </c>
      <c r="AM376" s="76">
        <f t="shared" si="74"/>
        <v>0.35201101970472592</v>
      </c>
      <c r="AN376" s="76">
        <f>MAX(0,O376*Escenarios!$F$13/Escenarios!$F$16-AM376)</f>
        <v>0.66207557339758516</v>
      </c>
      <c r="AO376" s="76">
        <f>AM376+AN376-O376*Escenarios!$F$13/Escenarios!$F$16</f>
        <v>0</v>
      </c>
      <c r="AP376" s="76">
        <f t="shared" si="75"/>
        <v>0.37472442660241467</v>
      </c>
      <c r="AQ376" s="76">
        <f t="shared" si="76"/>
        <v>0</v>
      </c>
      <c r="AR376" s="76">
        <f t="shared" si="77"/>
        <v>1.0367999999999999</v>
      </c>
      <c r="AS376" s="76">
        <f t="shared" si="78"/>
        <v>1.5996598724431932E-2</v>
      </c>
      <c r="AT376" s="76">
        <f t="shared" si="79"/>
        <v>4.1965354149365766</v>
      </c>
      <c r="AU376" s="76">
        <f t="shared" si="80"/>
        <v>48.932076318854108</v>
      </c>
      <c r="AV376" s="76">
        <f>MAX(0,(AU376-Constantes!$D$13)*(1-EXP(-Constantes!$D$24)))</f>
        <v>2.7830815184743175E-3</v>
      </c>
      <c r="AW376" s="170">
        <f>AW375+(Entradas!$F$112*AT376-AX375)/(800*Entradas!$D$25)</f>
        <v>0</v>
      </c>
      <c r="AX376" s="170">
        <f>8000*Entradas!$D$26*AW376/Constantes!$F$45</f>
        <v>0</v>
      </c>
      <c r="AY376" s="170">
        <f>IF(Escenarios!$F$17&gt;0,10*Escenarios!$F$16*AL376,0)</f>
        <v>0</v>
      </c>
      <c r="AZ376" s="170">
        <f>IF(Escenarios!$F$17&gt;0,10*Escenarios!$F$16*AX376,0)</f>
        <v>0</v>
      </c>
      <c r="BA376" s="170">
        <f>IF(Escenarios!$F$17&gt;0,0.001*Observaciones!$F375*Escenarios!$F$17,0)</f>
        <v>0</v>
      </c>
      <c r="BB376" s="170">
        <f>IF(Escenarios!$F$17&gt;0,Observaciones!$K375,0)</f>
        <v>0</v>
      </c>
      <c r="BC376" s="170">
        <f>IF(Escenarios!$F$17&gt;0,MIN(0.0005*ETo!$M375*Escenarios!$F$17*(BG375/Constantes!$F$40)^(2/3),BG375+AY376+AZ376+BA376+BB376),0)</f>
        <v>0</v>
      </c>
      <c r="BD376" s="170">
        <f>IF(Escenarios!$F$17&gt;0,MIN(Constantes!$F$39*(BG375/Constantes!$F$40)^(2/3),BG375+AY376+AZ376+BA376+BB376-BC376),0)</f>
        <v>0</v>
      </c>
      <c r="BE376" s="170">
        <f>IF(Escenarios!$F$17&gt;0,MIN(Entradas!$F$113,BG375+AY376+AZ376+BA376+BB376-BC376-BD376),0)</f>
        <v>0</v>
      </c>
      <c r="BF376" s="170">
        <f>IF(Escenarios!$F$17&gt;0,MAX(0,BG375+AY376+AZ376+BA376+BB376-BC376-BD376-BE376-Constantes!$F$40),0)</f>
        <v>0</v>
      </c>
      <c r="BG376" s="170">
        <f t="shared" si="81"/>
        <v>0</v>
      </c>
      <c r="BH376" s="170">
        <f>(Escenarios!$F$16*AK376+0.1*BC376)/(Escenarios!$F$19)</f>
        <v>2.9546156389517484</v>
      </c>
      <c r="BI376" s="170">
        <f>IF(Escenarios!$F$17&gt;0,BF376/10/Escenarios!$F$19,AL376)</f>
        <v>0</v>
      </c>
      <c r="BJ376" s="170">
        <f>(Escenarios!$F$16*AT376+0.1*BD376)/(Escenarios!$F$19)</f>
        <v>4.1965354149365766</v>
      </c>
      <c r="BK376" s="76">
        <f>BK375+(0.1*BD376)/(Escenarios!$F$19)-BL375</f>
        <v>48.75</v>
      </c>
      <c r="BL376" s="76">
        <f>MAX(0,(BK376-Constantes!$D$13)*(1-EXP(-Constantes!$D$23)))</f>
        <v>0</v>
      </c>
      <c r="BM376" s="76">
        <f t="shared" si="82"/>
        <v>0.37750750812088901</v>
      </c>
      <c r="BN376" s="76">
        <f t="shared" si="83"/>
        <v>1.0395830815184743</v>
      </c>
      <c r="BO376" s="76">
        <f>0.0526*BI376*Observaciones!$F375^1.218</f>
        <v>0</v>
      </c>
      <c r="BP376" s="76">
        <f>BO376*Constantes!$F$51</f>
        <v>0</v>
      </c>
      <c r="BQ376" s="76">
        <f t="shared" si="84"/>
        <v>0</v>
      </c>
      <c r="BR376" s="40"/>
    </row>
    <row r="377" spans="2:70">
      <c r="B377" s="39"/>
      <c r="C377" s="75">
        <v>371</v>
      </c>
      <c r="D377" s="146">
        <f>ETo!$I376*((1-Constantes!$F$19)*ETo!$K376+ETo!$L376)</f>
        <v>4.4723471973303859</v>
      </c>
      <c r="E377" s="76">
        <f>MIN(D377*Constantes!$F$17,0.8*(N376+Observaciones!$F376-F377-M377-Constantes!$D$14))</f>
        <v>2.5506321907473826</v>
      </c>
      <c r="F377" s="76">
        <f>IF(Observaciones!$F376&gt;0.05*Constantes!$F$18,((Observaciones!$F376-0.05*Constantes!$F$18)^2)/(Observaciones!$F376+0.95*Constantes!$F$18),0)</f>
        <v>0.16618131182278115</v>
      </c>
      <c r="G377" s="76">
        <f>IF(Escenarios!$F$11&gt;0,(F377*Escenarios!$F$16*10000)/1000,0)</f>
        <v>0</v>
      </c>
      <c r="H377" s="76">
        <f>IF(Escenarios!$F$11&gt;0,(Observaciones!$F376*Constantes!$F$29)/1000,0)</f>
        <v>0</v>
      </c>
      <c r="I377" s="76">
        <f>IF(Escenarios!$F$11&gt;0,(D377*Constantes!$F$29)/1000,0)</f>
        <v>0</v>
      </c>
      <c r="J377" s="76">
        <f>IF(Escenarios!$F$11&gt;0,MAX(0,G377+H377-I377),0)</f>
        <v>0</v>
      </c>
      <c r="K377" s="76">
        <f>IF(Escenarios!$F$11&gt;0,IF(J377&gt;Constantes!$F$30,1000*((J377-Constantes!$F$30)/(Escenarios!$F$16*10000)),0),F377)</f>
        <v>0.16618131182278115</v>
      </c>
      <c r="L377" s="76">
        <f>IF(Escenarios!$F$11&gt;0,I377*1000/Escenarios!$F$16/10000+E377,E377)</f>
        <v>2.5506321907473826</v>
      </c>
      <c r="M377" s="76">
        <f>MAX(0,N376+Observaciones!$F376-K377-Constantes!$D$13)</f>
        <v>13.263734611886278</v>
      </c>
      <c r="N377" s="76">
        <f>N376+Observaciones!$F376-K377-L377-M377-O376</f>
        <v>45.046996680727268</v>
      </c>
      <c r="O377" s="76">
        <f>MAX(0,(N377-Constantes!$D$14)*(1-EXP(-Constantes!$D$22)))</f>
        <v>1.1512497782603788</v>
      </c>
      <c r="P377" s="170">
        <f>P376+(Entradas!$F$83*M377-Q376)/(800*Entradas!$D$25)</f>
        <v>0</v>
      </c>
      <c r="Q377" s="170">
        <f>8000*Entradas!$D$26*P377/Constantes!$F$45</f>
        <v>0</v>
      </c>
      <c r="R377" s="170">
        <f>IF(Escenarios!$F$14&gt;0,K377*Escenarios!$F$13/Escenarios!$F$14,0)</f>
        <v>1.2186629533670617</v>
      </c>
      <c r="S377" s="170">
        <f>IF(Escenarios!$F$14&gt;0,Q377*Escenarios!$F$13/Escenarios!$F$14,0)</f>
        <v>0</v>
      </c>
      <c r="T377" s="170">
        <f>IF(Escenarios!$F$14&gt;0,Observaciones!$I376,0)</f>
        <v>0</v>
      </c>
      <c r="U377" s="170">
        <f>IF(Escenarios!$F$14&gt;0,MAX(0,Constantes!$F$36/((Z376+R377+S377+T377+Observaciones!$F376)^2)+Entradas!$F$77),0)</f>
        <v>2.1165140781232759</v>
      </c>
      <c r="V377" s="146">
        <f>IF(ETo!D376&gt;0,ETo!I376*((1-Entradas!$F$81)*ETo!K376+ETo!L376),0)</f>
        <v>3.9749131088516454</v>
      </c>
      <c r="W377" s="170">
        <f>IF(Escenarios!$F$14&gt;0,MIN(V377*1,0.8*(Z376+R377+S377+T377+Observaciones!$F376-U377-Constantes!$F$35)),0)</f>
        <v>3.9749131088516454</v>
      </c>
      <c r="X377" s="170">
        <f>IF(Escenarios!$F$14&gt;0,Observaciones!$J376,0)</f>
        <v>0</v>
      </c>
      <c r="Y377" s="170">
        <f>IF(Escenarios!$F$14&gt;0,MAX(0,Z376+R377+S377+T377+Observaciones!$F376-U377-W377-X377-Constantes!$F$33),0)</f>
        <v>0</v>
      </c>
      <c r="Z377" s="170">
        <f>Z376+R377+S377+T377+Observaciones!$F376-U377-W377-Y377</f>
        <v>101.70805548394316</v>
      </c>
      <c r="AA377" s="170">
        <f>IF(Escenarios!$F$14&gt;0,(Escenarios!$F$13*L377+Escenarios!$F$14*W377)/(Escenarios!$F$16),L377)</f>
        <v>2.7215459009198941</v>
      </c>
      <c r="AB377" s="170">
        <f>IF(Escenarios!$F$14&gt;0,(Escenarios!$F$14*Y377)/(Escenarios!$F$16),K377)</f>
        <v>0</v>
      </c>
      <c r="AC377" s="170">
        <f>IF(Escenarios!$F$14&gt;0,(Escenarios!$F$13*M377+Escenarios!$F$14*U377)/(Escenarios!$F$16),M377)</f>
        <v>11.926068147834718</v>
      </c>
      <c r="AD377" s="76">
        <f t="shared" si="71"/>
        <v>98.331930184486083</v>
      </c>
      <c r="AE377" s="76">
        <f>MAX(0,(AD377-Constantes!$D$13)*(1-EXP(-Constantes!$D$23)))</f>
        <v>0.48854256760343662</v>
      </c>
      <c r="AF377" s="76">
        <f>AB377+O377*Escenarios!$F$13/Escenarios!$F$16+AE377</f>
        <v>1.50164237247257</v>
      </c>
      <c r="AG377" s="76">
        <f>IF(Entradas!$F$91&gt;0,IF(AF377-Escenarios!$F$38&lt;=0,0,IF(AF377-Escenarios!$F$38&gt;Escenarios!$F$37,Escenarios!$F$37,AF377-Escenarios!$F$38)),0)</f>
        <v>0.4648423724725701</v>
      </c>
      <c r="AH377" s="76">
        <f>AG377*Entradas!$F$99</f>
        <v>0</v>
      </c>
      <c r="AI377" s="76">
        <f>IF(Entradas!$F$91&gt;0,D377*Entradas!$D$23/Escenarios!$F$16,0)</f>
        <v>0.21467266547185851</v>
      </c>
      <c r="AJ377" s="76">
        <f>IF(Entradas!$F$91&gt;0,Entradas!$D$24*Entradas!$D$22/Escenarios!$F$16,0)</f>
        <v>0.12</v>
      </c>
      <c r="AK377" s="76">
        <f t="shared" si="72"/>
        <v>2.9362185663917528</v>
      </c>
      <c r="AL377" s="76">
        <f t="shared" si="73"/>
        <v>0</v>
      </c>
      <c r="AM377" s="76">
        <f t="shared" si="74"/>
        <v>0.4648423724725701</v>
      </c>
      <c r="AN377" s="76">
        <f>MAX(0,O377*Escenarios!$F$13/Escenarios!$F$16-AM377)</f>
        <v>0.54825743239656322</v>
      </c>
      <c r="AO377" s="76">
        <f>AM377+AN377-O377*Escenarios!$F$13/Escenarios!$F$16</f>
        <v>0</v>
      </c>
      <c r="AP377" s="76">
        <f t="shared" si="75"/>
        <v>0.48854256760343662</v>
      </c>
      <c r="AQ377" s="76">
        <f t="shared" si="76"/>
        <v>0</v>
      </c>
      <c r="AR377" s="76">
        <f t="shared" si="77"/>
        <v>1.0367999999999999</v>
      </c>
      <c r="AS377" s="76">
        <f t="shared" si="78"/>
        <v>0.13016970700071162</v>
      </c>
      <c r="AT377" s="76">
        <f t="shared" si="79"/>
        <v>12.056237854835429</v>
      </c>
      <c r="AU377" s="76">
        <f t="shared" si="80"/>
        <v>49.059462944336346</v>
      </c>
      <c r="AV377" s="76">
        <f>MAX(0,(AU377-Constantes!$D$13)*(1-EXP(-Constantes!$D$24)))</f>
        <v>4.7302175618194045E-3</v>
      </c>
      <c r="AW377" s="170">
        <f>AW376+(Entradas!$F$112*AT377-AX376)/(800*Entradas!$D$25)</f>
        <v>0</v>
      </c>
      <c r="AX377" s="170">
        <f>8000*Entradas!$D$26*AW377/Constantes!$F$45</f>
        <v>0</v>
      </c>
      <c r="AY377" s="170">
        <f>IF(Escenarios!$F$17&gt;0,10*Escenarios!$F$16*AL377,0)</f>
        <v>0</v>
      </c>
      <c r="AZ377" s="170">
        <f>IF(Escenarios!$F$17&gt;0,10*Escenarios!$F$16*AX377,0)</f>
        <v>0</v>
      </c>
      <c r="BA377" s="170">
        <f>IF(Escenarios!$F$17&gt;0,0.001*Observaciones!$F376*Escenarios!$F$17,0)</f>
        <v>0</v>
      </c>
      <c r="BB377" s="170">
        <f>IF(Escenarios!$F$17&gt;0,Observaciones!$K376,0)</f>
        <v>0</v>
      </c>
      <c r="BC377" s="170">
        <f>IF(Escenarios!$F$17&gt;0,MIN(0.0005*ETo!$M376*Escenarios!$F$17*(BG376/Constantes!$F$40)^(2/3),BG376+AY377+AZ377+BA377+BB377),0)</f>
        <v>0</v>
      </c>
      <c r="BD377" s="170">
        <f>IF(Escenarios!$F$17&gt;0,MIN(Constantes!$F$39*(BG376/Constantes!$F$40)^(2/3),BG376+AY377+AZ377+BA377+BB377-BC377),0)</f>
        <v>0</v>
      </c>
      <c r="BE377" s="170">
        <f>IF(Escenarios!$F$17&gt;0,MIN(Entradas!$F$113,BG376+AY377+AZ377+BA377+BB377-BC377-BD377),0)</f>
        <v>0</v>
      </c>
      <c r="BF377" s="170">
        <f>IF(Escenarios!$F$17&gt;0,MAX(0,BG376+AY377+AZ377+BA377+BB377-BC377-BD377-BE377-Constantes!$F$40),0)</f>
        <v>0</v>
      </c>
      <c r="BG377" s="170">
        <f t="shared" si="81"/>
        <v>0</v>
      </c>
      <c r="BH377" s="170">
        <f>(Escenarios!$F$16*AK377+0.1*BC377)/(Escenarios!$F$19)</f>
        <v>2.9362185663917528</v>
      </c>
      <c r="BI377" s="170">
        <f>IF(Escenarios!$F$17&gt;0,BF377/10/Escenarios!$F$19,AL377)</f>
        <v>0</v>
      </c>
      <c r="BJ377" s="170">
        <f>(Escenarios!$F$16*AT377+0.1*BD377)/(Escenarios!$F$19)</f>
        <v>12.056237854835429</v>
      </c>
      <c r="BK377" s="76">
        <f>BK376+(0.1*BD377)/(Escenarios!$F$19)-BL376</f>
        <v>48.75</v>
      </c>
      <c r="BL377" s="76">
        <f>MAX(0,(BK377-Constantes!$D$13)*(1-EXP(-Constantes!$D$23)))</f>
        <v>0</v>
      </c>
      <c r="BM377" s="76">
        <f t="shared" si="82"/>
        <v>0.49327278516525602</v>
      </c>
      <c r="BN377" s="76">
        <f t="shared" si="83"/>
        <v>1.0415302175618193</v>
      </c>
      <c r="BO377" s="76">
        <f>0.0526*BI377*Observaciones!$F376^1.218</f>
        <v>0</v>
      </c>
      <c r="BP377" s="76">
        <f>BO377*Constantes!$F$51</f>
        <v>0</v>
      </c>
      <c r="BQ377" s="76">
        <f t="shared" si="84"/>
        <v>0</v>
      </c>
      <c r="BR377" s="40"/>
    </row>
    <row r="378" spans="2:70">
      <c r="B378" s="39"/>
      <c r="C378" s="75">
        <v>372</v>
      </c>
      <c r="D378" s="146">
        <f>ETo!$I377*((1-Constantes!$F$19)*ETo!$K377+ETo!$L377)</f>
        <v>4.5048801738846365</v>
      </c>
      <c r="E378" s="76">
        <f>MIN(D378*Constantes!$F$17,0.8*(N377+Observaciones!$F377-F378-M378-Constantes!$D$14))</f>
        <v>2.5691861297862912</v>
      </c>
      <c r="F378" s="76">
        <f>IF(Observaciones!$F377&gt;0.05*Constantes!$F$18,((Observaciones!$F377-0.05*Constantes!$F$18)^2)/(Observaciones!$F377+0.95*Constantes!$F$18),0)</f>
        <v>0</v>
      </c>
      <c r="G378" s="76">
        <f>IF(Escenarios!$F$11&gt;0,(F378*Escenarios!$F$16*10000)/1000,0)</f>
        <v>0</v>
      </c>
      <c r="H378" s="76">
        <f>IF(Escenarios!$F$11&gt;0,(Observaciones!$F377*Constantes!$F$29)/1000,0)</f>
        <v>0</v>
      </c>
      <c r="I378" s="76">
        <f>IF(Escenarios!$F$11&gt;0,(D378*Constantes!$F$29)/1000,0)</f>
        <v>0</v>
      </c>
      <c r="J378" s="76">
        <f>IF(Escenarios!$F$11&gt;0,MAX(0,G378+H378-I378),0)</f>
        <v>0</v>
      </c>
      <c r="K378" s="76">
        <f>IF(Escenarios!$F$11&gt;0,IF(J378&gt;Constantes!$F$30,1000*((J378-Constantes!$F$30)/(Escenarios!$F$16*10000)),0),F378)</f>
        <v>0</v>
      </c>
      <c r="L378" s="76">
        <f>IF(Escenarios!$F$11&gt;0,I378*1000/Escenarios!$F$16/10000+E378,E378)</f>
        <v>2.5691861297862912</v>
      </c>
      <c r="M378" s="76">
        <f>MAX(0,N377+Observaciones!$F377-K378-Constantes!$D$13)</f>
        <v>0</v>
      </c>
      <c r="N378" s="76">
        <f>N377+Observaciones!$F377-K378-L378-M378-O377</f>
        <v>42.026560772680604</v>
      </c>
      <c r="O378" s="76">
        <f>MAX(0,(N378-Constantes!$D$14)*(1-EXP(-Constantes!$D$22)))</f>
        <v>1.0483626429850919</v>
      </c>
      <c r="P378" s="170">
        <f>P377+(Entradas!$F$83*M378-Q377)/(800*Entradas!$D$25)</f>
        <v>0</v>
      </c>
      <c r="Q378" s="170">
        <f>8000*Entradas!$D$26*P378/Constantes!$F$45</f>
        <v>0</v>
      </c>
      <c r="R378" s="170">
        <f>IF(Escenarios!$F$14&gt;0,K378*Escenarios!$F$13/Escenarios!$F$14,0)</f>
        <v>0</v>
      </c>
      <c r="S378" s="170">
        <f>IF(Escenarios!$F$14&gt;0,Q378*Escenarios!$F$13/Escenarios!$F$14,0)</f>
        <v>0</v>
      </c>
      <c r="T378" s="170">
        <f>IF(Escenarios!$F$14&gt;0,Observaciones!$I377,0)</f>
        <v>0</v>
      </c>
      <c r="U378" s="170">
        <f>IF(Escenarios!$F$14&gt;0,MAX(0,Constantes!$F$36/((Z377+R378+S378+T378+Observaciones!$F377)^2)+Entradas!$F$77),0)</f>
        <v>2.0210404505613195</v>
      </c>
      <c r="V378" s="146">
        <f>IF(ETo!D377&gt;0,ETo!I377*((1-Entradas!$F$81)*ETo!K377+ETo!L377),0)</f>
        <v>4.0042649617514998</v>
      </c>
      <c r="W378" s="170">
        <f>IF(Escenarios!$F$14&gt;0,MIN(V378*1,0.8*(Z377+R378+S378+T378+Observaciones!$F377-U378-Constantes!$F$35)),0)</f>
        <v>4.0042649617514998</v>
      </c>
      <c r="X378" s="170">
        <f>IF(Escenarios!$F$14&gt;0,Observaciones!$J377,0)</f>
        <v>0</v>
      </c>
      <c r="Y378" s="170">
        <f>IF(Escenarios!$F$14&gt;0,MAX(0,Z377+R378+S378+T378+Observaciones!$F377-U378-W378-X378-Constantes!$F$33),0)</f>
        <v>0</v>
      </c>
      <c r="Z378" s="170">
        <f>Z377+R378+S378+T378+Observaciones!$F377-U378-W378-Y378</f>
        <v>96.38275007163034</v>
      </c>
      <c r="AA378" s="170">
        <f>IF(Escenarios!$F$14&gt;0,(Escenarios!$F$13*L378+Escenarios!$F$14*W378)/(Escenarios!$F$16),L378)</f>
        <v>2.7413955896221158</v>
      </c>
      <c r="AB378" s="170">
        <f>IF(Escenarios!$F$14&gt;0,(Escenarios!$F$14*Y378)/(Escenarios!$F$16),K378)</f>
        <v>0</v>
      </c>
      <c r="AC378" s="170">
        <f>IF(Escenarios!$F$14&gt;0,(Escenarios!$F$13*M378+Escenarios!$F$14*U378)/(Escenarios!$F$16),M378)</f>
        <v>0.24252485406735835</v>
      </c>
      <c r="AD378" s="76">
        <f t="shared" si="71"/>
        <v>98.085912470950007</v>
      </c>
      <c r="AE378" s="76">
        <f>MAX(0,(AD378-Constantes!$D$13)*(1-EXP(-Constantes!$D$23)))</f>
        <v>0.48611849647511157</v>
      </c>
      <c r="AF378" s="76">
        <f>AB378+O378*Escenarios!$F$13/Escenarios!$F$16+AE378</f>
        <v>1.4086776223019923</v>
      </c>
      <c r="AG378" s="76">
        <f>IF(Entradas!$F$91&gt;0,IF(AF378-Escenarios!$F$38&lt;=0,0,IF(AF378-Escenarios!$F$38&gt;Escenarios!$F$37,Escenarios!$F$37,AF378-Escenarios!$F$38)),0)</f>
        <v>0.37187762230199239</v>
      </c>
      <c r="AH378" s="76">
        <f>AG378*Entradas!$F$99</f>
        <v>0</v>
      </c>
      <c r="AI378" s="76">
        <f>IF(Entradas!$F$91&gt;0,D378*Entradas!$D$23/Escenarios!$F$16,0)</f>
        <v>0.21623424834646254</v>
      </c>
      <c r="AJ378" s="76">
        <f>IF(Entradas!$F$91&gt;0,Entradas!$D$24*Entradas!$D$22/Escenarios!$F$16,0)</f>
        <v>0.12</v>
      </c>
      <c r="AK378" s="76">
        <f t="shared" si="72"/>
        <v>2.9576298379685784</v>
      </c>
      <c r="AL378" s="76">
        <f t="shared" si="73"/>
        <v>0</v>
      </c>
      <c r="AM378" s="76">
        <f t="shared" si="74"/>
        <v>0.37187762230199239</v>
      </c>
      <c r="AN378" s="76">
        <f>MAX(0,O378*Escenarios!$F$13/Escenarios!$F$16-AM378)</f>
        <v>0.55068150352488843</v>
      </c>
      <c r="AO378" s="76">
        <f>AM378+AN378-O378*Escenarios!$F$13/Escenarios!$F$16</f>
        <v>0</v>
      </c>
      <c r="AP378" s="76">
        <f t="shared" si="75"/>
        <v>0.48611849647511157</v>
      </c>
      <c r="AQ378" s="76">
        <f t="shared" si="76"/>
        <v>0</v>
      </c>
      <c r="AR378" s="76">
        <f t="shared" si="77"/>
        <v>1.0367999999999999</v>
      </c>
      <c r="AS378" s="76">
        <f t="shared" si="78"/>
        <v>3.5643373955529856E-2</v>
      </c>
      <c r="AT378" s="76">
        <f t="shared" si="79"/>
        <v>0.27816822802288821</v>
      </c>
      <c r="AU378" s="76">
        <f t="shared" si="80"/>
        <v>49.090376100730055</v>
      </c>
      <c r="AV378" s="76">
        <f>MAX(0,(AU378-Constantes!$D$13)*(1-EXP(-Constantes!$D$24)))</f>
        <v>5.2027327948738072E-3</v>
      </c>
      <c r="AW378" s="170">
        <f>AW377+(Entradas!$F$112*AT378-AX377)/(800*Entradas!$D$25)</f>
        <v>0</v>
      </c>
      <c r="AX378" s="170">
        <f>8000*Entradas!$D$26*AW378/Constantes!$F$45</f>
        <v>0</v>
      </c>
      <c r="AY378" s="170">
        <f>IF(Escenarios!$F$17&gt;0,10*Escenarios!$F$16*AL378,0)</f>
        <v>0</v>
      </c>
      <c r="AZ378" s="170">
        <f>IF(Escenarios!$F$17&gt;0,10*Escenarios!$F$16*AX378,0)</f>
        <v>0</v>
      </c>
      <c r="BA378" s="170">
        <f>IF(Escenarios!$F$17&gt;0,0.001*Observaciones!$F377*Escenarios!$F$17,0)</f>
        <v>0</v>
      </c>
      <c r="BB378" s="170">
        <f>IF(Escenarios!$F$17&gt;0,Observaciones!$K377,0)</f>
        <v>0</v>
      </c>
      <c r="BC378" s="170">
        <f>IF(Escenarios!$F$17&gt;0,MIN(0.0005*ETo!$M377*Escenarios!$F$17*(BG377/Constantes!$F$40)^(2/3),BG377+AY378+AZ378+BA378+BB378),0)</f>
        <v>0</v>
      </c>
      <c r="BD378" s="170">
        <f>IF(Escenarios!$F$17&gt;0,MIN(Constantes!$F$39*(BG377/Constantes!$F$40)^(2/3),BG377+AY378+AZ378+BA378+BB378-BC378),0)</f>
        <v>0</v>
      </c>
      <c r="BE378" s="170">
        <f>IF(Escenarios!$F$17&gt;0,MIN(Entradas!$F$113,BG377+AY378+AZ378+BA378+BB378-BC378-BD378),0)</f>
        <v>0</v>
      </c>
      <c r="BF378" s="170">
        <f>IF(Escenarios!$F$17&gt;0,MAX(0,BG377+AY378+AZ378+BA378+BB378-BC378-BD378-BE378-Constantes!$F$40),0)</f>
        <v>0</v>
      </c>
      <c r="BG378" s="170">
        <f t="shared" si="81"/>
        <v>0</v>
      </c>
      <c r="BH378" s="170">
        <f>(Escenarios!$F$16*AK378+0.1*BC378)/(Escenarios!$F$19)</f>
        <v>2.9576298379685784</v>
      </c>
      <c r="BI378" s="170">
        <f>IF(Escenarios!$F$17&gt;0,BF378/10/Escenarios!$F$19,AL378)</f>
        <v>0</v>
      </c>
      <c r="BJ378" s="170">
        <f>(Escenarios!$F$16*AT378+0.1*BD378)/(Escenarios!$F$19)</f>
        <v>0.27816822802288821</v>
      </c>
      <c r="BK378" s="76">
        <f>BK377+(0.1*BD378)/(Escenarios!$F$19)-BL377</f>
        <v>48.75</v>
      </c>
      <c r="BL378" s="76">
        <f>MAX(0,(BK378-Constantes!$D$13)*(1-EXP(-Constantes!$D$23)))</f>
        <v>0</v>
      </c>
      <c r="BM378" s="76">
        <f t="shared" si="82"/>
        <v>0.49132122926998539</v>
      </c>
      <c r="BN378" s="76">
        <f t="shared" si="83"/>
        <v>1.0420027327948738</v>
      </c>
      <c r="BO378" s="76">
        <f>0.0526*BI378*Observaciones!$F377^1.218</f>
        <v>0</v>
      </c>
      <c r="BP378" s="76">
        <f>BO378*Constantes!$F$51</f>
        <v>0</v>
      </c>
      <c r="BQ378" s="76">
        <f t="shared" si="84"/>
        <v>0</v>
      </c>
      <c r="BR378" s="40"/>
    </row>
    <row r="379" spans="2:70">
      <c r="B379" s="39"/>
      <c r="C379" s="75">
        <v>373</v>
      </c>
      <c r="D379" s="146">
        <f>ETo!$I378*((1-Constantes!$F$19)*ETo!$K378+ETo!$L378)</f>
        <v>4.5420264047026349</v>
      </c>
      <c r="E379" s="76">
        <f>MIN(D379*Constantes!$F$17,0.8*(N378+Observaciones!$F378-F379-M379-Constantes!$D$14))</f>
        <v>2.5903710619726552</v>
      </c>
      <c r="F379" s="76">
        <f>IF(Observaciones!$F378&gt;0.05*Constantes!$F$18,((Observaciones!$F378-0.05*Constantes!$F$18)^2)/(Observaciones!$F378+0.95*Constantes!$F$18),0)</f>
        <v>0</v>
      </c>
      <c r="G379" s="76">
        <f>IF(Escenarios!$F$11&gt;0,(F379*Escenarios!$F$16*10000)/1000,0)</f>
        <v>0</v>
      </c>
      <c r="H379" s="76">
        <f>IF(Escenarios!$F$11&gt;0,(Observaciones!$F378*Constantes!$F$29)/1000,0)</f>
        <v>0</v>
      </c>
      <c r="I379" s="76">
        <f>IF(Escenarios!$F$11&gt;0,(D379*Constantes!$F$29)/1000,0)</f>
        <v>0</v>
      </c>
      <c r="J379" s="76">
        <f>IF(Escenarios!$F$11&gt;0,MAX(0,G379+H379-I379),0)</f>
        <v>0</v>
      </c>
      <c r="K379" s="76">
        <f>IF(Escenarios!$F$11&gt;0,IF(J379&gt;Constantes!$F$30,1000*((J379-Constantes!$F$30)/(Escenarios!$F$16*10000)),0),F379)</f>
        <v>0</v>
      </c>
      <c r="L379" s="76">
        <f>IF(Escenarios!$F$11&gt;0,I379*1000/Escenarios!$F$16/10000+E379,E379)</f>
        <v>2.5903710619726552</v>
      </c>
      <c r="M379" s="76">
        <f>MAX(0,N378+Observaciones!$F378-K379-Constantes!$D$13)</f>
        <v>0</v>
      </c>
      <c r="N379" s="76">
        <f>N378+Observaciones!$F378-K379-L379-M379-O378</f>
        <v>38.38782706772286</v>
      </c>
      <c r="O379" s="76">
        <f>MAX(0,(N379-Constantes!$D$14)*(1-EXP(-Constantes!$D$22)))</f>
        <v>0.92441401492933328</v>
      </c>
      <c r="P379" s="170">
        <f>P378+(Entradas!$F$83*M379-Q378)/(800*Entradas!$D$25)</f>
        <v>0</v>
      </c>
      <c r="Q379" s="170">
        <f>8000*Entradas!$D$26*P379/Constantes!$F$45</f>
        <v>0</v>
      </c>
      <c r="R379" s="170">
        <f>IF(Escenarios!$F$14&gt;0,K379*Escenarios!$F$13/Escenarios!$F$14,0)</f>
        <v>0</v>
      </c>
      <c r="S379" s="170">
        <f>IF(Escenarios!$F$14&gt;0,Q379*Escenarios!$F$13/Escenarios!$F$14,0)</f>
        <v>0</v>
      </c>
      <c r="T379" s="170">
        <f>IF(Escenarios!$F$14&gt;0,Observaciones!$I378,0)</f>
        <v>0</v>
      </c>
      <c r="U379" s="170">
        <f>IF(Escenarios!$F$14&gt;0,MAX(0,Constantes!$F$36/((Z378+R379+S379+T379+Observaciones!$F378)^2)+Entradas!$F$77),0)</f>
        <v>1.8948165842871787</v>
      </c>
      <c r="V379" s="146">
        <f>IF(ETo!D378&gt;0,ETo!I378*((1-Entradas!$F$81)*ETo!K378+ETo!L378),0)</f>
        <v>4.0378137080823562</v>
      </c>
      <c r="W379" s="170">
        <f>IF(Escenarios!$F$14&gt;0,MIN(V379*1,0.8*(Z378+R379+S379+T379+Observaciones!$F378-U379-Constantes!$F$35)),0)</f>
        <v>4.0378137080823562</v>
      </c>
      <c r="X379" s="170">
        <f>IF(Escenarios!$F$14&gt;0,Observaciones!$J378,0)</f>
        <v>0</v>
      </c>
      <c r="Y379" s="170">
        <f>IF(Escenarios!$F$14&gt;0,MAX(0,Z378+R379+S379+T379+Observaciones!$F378-U379-W379-X379-Constantes!$F$33),0)</f>
        <v>0</v>
      </c>
      <c r="Z379" s="170">
        <f>Z378+R379+S379+T379+Observaciones!$F378-U379-W379-Y379</f>
        <v>90.450119779260802</v>
      </c>
      <c r="AA379" s="170">
        <f>IF(Escenarios!$F$14&gt;0,(Escenarios!$F$13*L379+Escenarios!$F$14*W379)/(Escenarios!$F$16),L379)</f>
        <v>2.7640641795058194</v>
      </c>
      <c r="AB379" s="170">
        <f>IF(Escenarios!$F$14&gt;0,(Escenarios!$F$14*Y379)/(Escenarios!$F$16),K379)</f>
        <v>0</v>
      </c>
      <c r="AC379" s="170">
        <f>IF(Escenarios!$F$14&gt;0,(Escenarios!$F$13*M379+Escenarios!$F$14*U379)/(Escenarios!$F$16),M379)</f>
        <v>0.22737799011446144</v>
      </c>
      <c r="AD379" s="76">
        <f t="shared" si="71"/>
        <v>97.827171964589354</v>
      </c>
      <c r="AE379" s="76">
        <f>MAX(0,(AD379-Constantes!$D$13)*(1-EXP(-Constantes!$D$23)))</f>
        <v>0.48356906463875282</v>
      </c>
      <c r="AF379" s="76">
        <f>AB379+O379*Escenarios!$F$13/Escenarios!$F$16+AE379</f>
        <v>1.2970533977765661</v>
      </c>
      <c r="AG379" s="76">
        <f>IF(Entradas!$F$91&gt;0,IF(AF379-Escenarios!$F$38&lt;=0,0,IF(AF379-Escenarios!$F$38&gt;Escenarios!$F$37,Escenarios!$F$37,AF379-Escenarios!$F$38)),0)</f>
        <v>0.2602533977765662</v>
      </c>
      <c r="AH379" s="76">
        <f>AG379*Entradas!$F$99</f>
        <v>0</v>
      </c>
      <c r="AI379" s="76">
        <f>IF(Entradas!$F$91&gt;0,D379*Entradas!$D$23/Escenarios!$F$16,0)</f>
        <v>0.21801726742572647</v>
      </c>
      <c r="AJ379" s="76">
        <f>IF(Entradas!$F$91&gt;0,Entradas!$D$24*Entradas!$D$22/Escenarios!$F$16,0)</f>
        <v>0.12</v>
      </c>
      <c r="AK379" s="76">
        <f t="shared" si="72"/>
        <v>2.982081446931546</v>
      </c>
      <c r="AL379" s="76">
        <f t="shared" si="73"/>
        <v>0</v>
      </c>
      <c r="AM379" s="76">
        <f t="shared" si="74"/>
        <v>0.2602533977765662</v>
      </c>
      <c r="AN379" s="76">
        <f>MAX(0,O379*Escenarios!$F$13/Escenarios!$F$16-AM379)</f>
        <v>0.55323093536124712</v>
      </c>
      <c r="AO379" s="76">
        <f>AM379+AN379-O379*Escenarios!$F$13/Escenarios!$F$16</f>
        <v>0</v>
      </c>
      <c r="AP379" s="76">
        <f t="shared" si="75"/>
        <v>0.48356906463875282</v>
      </c>
      <c r="AQ379" s="76">
        <f t="shared" si="76"/>
        <v>0</v>
      </c>
      <c r="AR379" s="76">
        <f t="shared" si="77"/>
        <v>1.0367999999999999</v>
      </c>
      <c r="AS379" s="76">
        <f t="shared" si="78"/>
        <v>0</v>
      </c>
      <c r="AT379" s="76">
        <f t="shared" si="79"/>
        <v>0.22737799011446144</v>
      </c>
      <c r="AU379" s="76">
        <f t="shared" si="80"/>
        <v>49.085173367935184</v>
      </c>
      <c r="AV379" s="76">
        <f>MAX(0,(AU379-Constantes!$D$13)*(1-EXP(-Constantes!$D$24)))</f>
        <v>5.1232077386880719E-3</v>
      </c>
      <c r="AW379" s="170">
        <f>AW378+(Entradas!$F$112*AT379-AX378)/(800*Entradas!$D$25)</f>
        <v>0</v>
      </c>
      <c r="AX379" s="170">
        <f>8000*Entradas!$D$26*AW379/Constantes!$F$45</f>
        <v>0</v>
      </c>
      <c r="AY379" s="170">
        <f>IF(Escenarios!$F$17&gt;0,10*Escenarios!$F$16*AL379,0)</f>
        <v>0</v>
      </c>
      <c r="AZ379" s="170">
        <f>IF(Escenarios!$F$17&gt;0,10*Escenarios!$F$16*AX379,0)</f>
        <v>0</v>
      </c>
      <c r="BA379" s="170">
        <f>IF(Escenarios!$F$17&gt;0,0.001*Observaciones!$F378*Escenarios!$F$17,0)</f>
        <v>0</v>
      </c>
      <c r="BB379" s="170">
        <f>IF(Escenarios!$F$17&gt;0,Observaciones!$K378,0)</f>
        <v>0</v>
      </c>
      <c r="BC379" s="170">
        <f>IF(Escenarios!$F$17&gt;0,MIN(0.0005*ETo!$M378*Escenarios!$F$17*(BG378/Constantes!$F$40)^(2/3),BG378+AY379+AZ379+BA379+BB379),0)</f>
        <v>0</v>
      </c>
      <c r="BD379" s="170">
        <f>IF(Escenarios!$F$17&gt;0,MIN(Constantes!$F$39*(BG378/Constantes!$F$40)^(2/3),BG378+AY379+AZ379+BA379+BB379-BC379),0)</f>
        <v>0</v>
      </c>
      <c r="BE379" s="170">
        <f>IF(Escenarios!$F$17&gt;0,MIN(Entradas!$F$113,BG378+AY379+AZ379+BA379+BB379-BC379-BD379),0)</f>
        <v>0</v>
      </c>
      <c r="BF379" s="170">
        <f>IF(Escenarios!$F$17&gt;0,MAX(0,BG378+AY379+AZ379+BA379+BB379-BC379-BD379-BE379-Constantes!$F$40),0)</f>
        <v>0</v>
      </c>
      <c r="BG379" s="170">
        <f t="shared" si="81"/>
        <v>0</v>
      </c>
      <c r="BH379" s="170">
        <f>(Escenarios!$F$16*AK379+0.1*BC379)/(Escenarios!$F$19)</f>
        <v>2.982081446931546</v>
      </c>
      <c r="BI379" s="170">
        <f>IF(Escenarios!$F$17&gt;0,BF379/10/Escenarios!$F$19,AL379)</f>
        <v>0</v>
      </c>
      <c r="BJ379" s="170">
        <f>(Escenarios!$F$16*AT379+0.1*BD379)/(Escenarios!$F$19)</f>
        <v>0.22737799011446144</v>
      </c>
      <c r="BK379" s="76">
        <f>BK378+(0.1*BD379)/(Escenarios!$F$19)-BL378</f>
        <v>48.75</v>
      </c>
      <c r="BL379" s="76">
        <f>MAX(0,(BK379-Constantes!$D$13)*(1-EXP(-Constantes!$D$23)))</f>
        <v>0</v>
      </c>
      <c r="BM379" s="76">
        <f t="shared" si="82"/>
        <v>0.48869227237744089</v>
      </c>
      <c r="BN379" s="76">
        <f t="shared" si="83"/>
        <v>1.041923207738688</v>
      </c>
      <c r="BO379" s="76">
        <f>0.0526*BI379*Observaciones!$F378^1.218</f>
        <v>0</v>
      </c>
      <c r="BP379" s="76">
        <f>BO379*Constantes!$F$51</f>
        <v>0</v>
      </c>
      <c r="BQ379" s="76">
        <f t="shared" si="84"/>
        <v>0</v>
      </c>
      <c r="BR379" s="40"/>
    </row>
    <row r="380" spans="2:70">
      <c r="B380" s="39"/>
      <c r="C380" s="75">
        <v>374</v>
      </c>
      <c r="D380" s="146">
        <f>ETo!$I379*((1-Constantes!$F$19)*ETo!$K379+ETo!$L379)</f>
        <v>4.5326266556950516</v>
      </c>
      <c r="E380" s="76">
        <f>MIN(D380*Constantes!$F$17,0.8*(N379+Observaciones!$F379-F380-M380-Constantes!$D$14))</f>
        <v>2.5850102745950565</v>
      </c>
      <c r="F380" s="76">
        <f>IF(Observaciones!$F379&gt;0.05*Constantes!$F$18,((Observaciones!$F379-0.05*Constantes!$F$18)^2)/(Observaciones!$F379+0.95*Constantes!$F$18),0)</f>
        <v>0</v>
      </c>
      <c r="G380" s="76">
        <f>IF(Escenarios!$F$11&gt;0,(F380*Escenarios!$F$16*10000)/1000,0)</f>
        <v>0</v>
      </c>
      <c r="H380" s="76">
        <f>IF(Escenarios!$F$11&gt;0,(Observaciones!$F379*Constantes!$F$29)/1000,0)</f>
        <v>0</v>
      </c>
      <c r="I380" s="76">
        <f>IF(Escenarios!$F$11&gt;0,(D380*Constantes!$F$29)/1000,0)</f>
        <v>0</v>
      </c>
      <c r="J380" s="76">
        <f>IF(Escenarios!$F$11&gt;0,MAX(0,G380+H380-I380),0)</f>
        <v>0</v>
      </c>
      <c r="K380" s="76">
        <f>IF(Escenarios!$F$11&gt;0,IF(J380&gt;Constantes!$F$30,1000*((J380-Constantes!$F$30)/(Escenarios!$F$16*10000)),0),F380)</f>
        <v>0</v>
      </c>
      <c r="L380" s="76">
        <f>IF(Escenarios!$F$11&gt;0,I380*1000/Escenarios!$F$16/10000+E380,E380)</f>
        <v>2.5850102745950565</v>
      </c>
      <c r="M380" s="76">
        <f>MAX(0,N379+Observaciones!$F379-K380-Constantes!$D$13)</f>
        <v>0</v>
      </c>
      <c r="N380" s="76">
        <f>N379+Observaciones!$F379-K380-L380-M380-O379</f>
        <v>34.87840277819847</v>
      </c>
      <c r="O380" s="76">
        <f>MAX(0,(N380-Constantes!$D$14)*(1-EXP(-Constantes!$D$22)))</f>
        <v>0.80487014026781711</v>
      </c>
      <c r="P380" s="170">
        <f>P379+(Entradas!$F$83*M380-Q379)/(800*Entradas!$D$25)</f>
        <v>0</v>
      </c>
      <c r="Q380" s="170">
        <f>8000*Entradas!$D$26*P380/Constantes!$F$45</f>
        <v>0</v>
      </c>
      <c r="R380" s="170">
        <f>IF(Escenarios!$F$14&gt;0,K380*Escenarios!$F$13/Escenarios!$F$14,0)</f>
        <v>0</v>
      </c>
      <c r="S380" s="170">
        <f>IF(Escenarios!$F$14&gt;0,Q380*Escenarios!$F$13/Escenarios!$F$14,0)</f>
        <v>0</v>
      </c>
      <c r="T380" s="170">
        <f>IF(Escenarios!$F$14&gt;0,Observaciones!$I379,0)</f>
        <v>0</v>
      </c>
      <c r="U380" s="170">
        <f>IF(Escenarios!$F$14&gt;0,MAX(0,Constantes!$F$36/((Z379+R380+S380+T380+Observaciones!$F379)^2)+Entradas!$F$77),0)</f>
        <v>1.7450838909837447</v>
      </c>
      <c r="V380" s="146">
        <f>IF(ETo!D379&gt;0,ETo!I379*((1-Entradas!$F$81)*ETo!K379+ETo!L379),0)</f>
        <v>4.0293191541155231</v>
      </c>
      <c r="W380" s="170">
        <f>IF(Escenarios!$F$14&gt;0,MIN(V380*1,0.8*(Z379+R380+S380+T380+Observaciones!$F379-U380-Constantes!$F$35)),0)</f>
        <v>4.0293191541155231</v>
      </c>
      <c r="X380" s="170">
        <f>IF(Escenarios!$F$14&gt;0,Observaciones!$J379,0)</f>
        <v>0</v>
      </c>
      <c r="Y380" s="170">
        <f>IF(Escenarios!$F$14&gt;0,MAX(0,Z379+R380+S380+T380+Observaciones!$F379-U380-W380-X380-Constantes!$F$33),0)</f>
        <v>0</v>
      </c>
      <c r="Z380" s="170">
        <f>Z379+R380+S380+T380+Observaciones!$F379-U380-W380-Y380</f>
        <v>84.675716734161526</v>
      </c>
      <c r="AA380" s="170">
        <f>IF(Escenarios!$F$14&gt;0,(Escenarios!$F$13*L380+Escenarios!$F$14*W380)/(Escenarios!$F$16),L380)</f>
        <v>2.7583273401375128</v>
      </c>
      <c r="AB380" s="170">
        <f>IF(Escenarios!$F$14&gt;0,(Escenarios!$F$14*Y380)/(Escenarios!$F$16),K380)</f>
        <v>0</v>
      </c>
      <c r="AC380" s="170">
        <f>IF(Escenarios!$F$14&gt;0,(Escenarios!$F$13*M380+Escenarios!$F$14*U380)/(Escenarios!$F$16),M380)</f>
        <v>0.20941006691804939</v>
      </c>
      <c r="AD380" s="76">
        <f t="shared" si="71"/>
        <v>97.55301296686865</v>
      </c>
      <c r="AE380" s="76">
        <f>MAX(0,(AD380-Constantes!$D$13)*(1-EXP(-Constantes!$D$23)))</f>
        <v>0.48086771073462492</v>
      </c>
      <c r="AF380" s="76">
        <f>AB380+O380*Escenarios!$F$13/Escenarios!$F$16+AE380</f>
        <v>1.1891534341703041</v>
      </c>
      <c r="AG380" s="76">
        <f>IF(Entradas!$F$91&gt;0,IF(AF380-Escenarios!$F$38&lt;=0,0,IF(AF380-Escenarios!$F$38&gt;Escenarios!$F$37,Escenarios!$F$37,AF380-Escenarios!$F$38)),0)</f>
        <v>0.15235343417030411</v>
      </c>
      <c r="AH380" s="76">
        <f>AG380*Entradas!$F$99</f>
        <v>0</v>
      </c>
      <c r="AI380" s="76">
        <f>IF(Entradas!$F$91&gt;0,D380*Entradas!$D$23/Escenarios!$F$16,0)</f>
        <v>0.21756607947336248</v>
      </c>
      <c r="AJ380" s="76">
        <f>IF(Entradas!$F$91&gt;0,Entradas!$D$24*Entradas!$D$22/Escenarios!$F$16,0)</f>
        <v>0.12</v>
      </c>
      <c r="AK380" s="76">
        <f t="shared" si="72"/>
        <v>2.9758934196108751</v>
      </c>
      <c r="AL380" s="76">
        <f t="shared" si="73"/>
        <v>0</v>
      </c>
      <c r="AM380" s="76">
        <f t="shared" si="74"/>
        <v>0.15235343417030411</v>
      </c>
      <c r="AN380" s="76">
        <f>MAX(0,O380*Escenarios!$F$13/Escenarios!$F$16-AM380)</f>
        <v>0.55593228926537497</v>
      </c>
      <c r="AO380" s="76">
        <f>AM380+AN380-O380*Escenarios!$F$13/Escenarios!$F$16</f>
        <v>0</v>
      </c>
      <c r="AP380" s="76">
        <f t="shared" si="75"/>
        <v>0.48086771073462492</v>
      </c>
      <c r="AQ380" s="76">
        <f t="shared" si="76"/>
        <v>0</v>
      </c>
      <c r="AR380" s="76">
        <f t="shared" si="77"/>
        <v>1.0367999999999999</v>
      </c>
      <c r="AS380" s="76">
        <f t="shared" si="78"/>
        <v>0</v>
      </c>
      <c r="AT380" s="76">
        <f t="shared" si="79"/>
        <v>0.20941006691804939</v>
      </c>
      <c r="AU380" s="76">
        <f t="shared" si="80"/>
        <v>49.080050160196492</v>
      </c>
      <c r="AV380" s="76">
        <f>MAX(0,(AU380-Constantes!$D$13)*(1-EXP(-Constantes!$D$24)))</f>
        <v>5.0448982426339406E-3</v>
      </c>
      <c r="AW380" s="170">
        <f>AW379+(Entradas!$F$112*AT380-AX379)/(800*Entradas!$D$25)</f>
        <v>0</v>
      </c>
      <c r="AX380" s="170">
        <f>8000*Entradas!$D$26*AW380/Constantes!$F$45</f>
        <v>0</v>
      </c>
      <c r="AY380" s="170">
        <f>IF(Escenarios!$F$17&gt;0,10*Escenarios!$F$16*AL380,0)</f>
        <v>0</v>
      </c>
      <c r="AZ380" s="170">
        <f>IF(Escenarios!$F$17&gt;0,10*Escenarios!$F$16*AX380,0)</f>
        <v>0</v>
      </c>
      <c r="BA380" s="170">
        <f>IF(Escenarios!$F$17&gt;0,0.001*Observaciones!$F379*Escenarios!$F$17,0)</f>
        <v>0</v>
      </c>
      <c r="BB380" s="170">
        <f>IF(Escenarios!$F$17&gt;0,Observaciones!$K379,0)</f>
        <v>0</v>
      </c>
      <c r="BC380" s="170">
        <f>IF(Escenarios!$F$17&gt;0,MIN(0.0005*ETo!$M379*Escenarios!$F$17*(BG379/Constantes!$F$40)^(2/3),BG379+AY380+AZ380+BA380+BB380),0)</f>
        <v>0</v>
      </c>
      <c r="BD380" s="170">
        <f>IF(Escenarios!$F$17&gt;0,MIN(Constantes!$F$39*(BG379/Constantes!$F$40)^(2/3),BG379+AY380+AZ380+BA380+BB380-BC380),0)</f>
        <v>0</v>
      </c>
      <c r="BE380" s="170">
        <f>IF(Escenarios!$F$17&gt;0,MIN(Entradas!$F$113,BG379+AY380+AZ380+BA380+BB380-BC380-BD380),0)</f>
        <v>0</v>
      </c>
      <c r="BF380" s="170">
        <f>IF(Escenarios!$F$17&gt;0,MAX(0,BG379+AY380+AZ380+BA380+BB380-BC380-BD380-BE380-Constantes!$F$40),0)</f>
        <v>0</v>
      </c>
      <c r="BG380" s="170">
        <f t="shared" si="81"/>
        <v>0</v>
      </c>
      <c r="BH380" s="170">
        <f>(Escenarios!$F$16*AK380+0.1*BC380)/(Escenarios!$F$19)</f>
        <v>2.9758934196108751</v>
      </c>
      <c r="BI380" s="170">
        <f>IF(Escenarios!$F$17&gt;0,BF380/10/Escenarios!$F$19,AL380)</f>
        <v>0</v>
      </c>
      <c r="BJ380" s="170">
        <f>(Escenarios!$F$16*AT380+0.1*BD380)/(Escenarios!$F$19)</f>
        <v>0.20941006691804939</v>
      </c>
      <c r="BK380" s="76">
        <f>BK379+(0.1*BD380)/(Escenarios!$F$19)-BL379</f>
        <v>48.75</v>
      </c>
      <c r="BL380" s="76">
        <f>MAX(0,(BK380-Constantes!$D$13)*(1-EXP(-Constantes!$D$23)))</f>
        <v>0</v>
      </c>
      <c r="BM380" s="76">
        <f t="shared" si="82"/>
        <v>0.48591260897725885</v>
      </c>
      <c r="BN380" s="76">
        <f t="shared" si="83"/>
        <v>1.0418448982426338</v>
      </c>
      <c r="BO380" s="76">
        <f>0.0526*BI380*Observaciones!$F379^1.218</f>
        <v>0</v>
      </c>
      <c r="BP380" s="76">
        <f>BO380*Constantes!$F$51</f>
        <v>0</v>
      </c>
      <c r="BQ380" s="76">
        <f t="shared" si="84"/>
        <v>0</v>
      </c>
      <c r="BR380" s="40"/>
    </row>
    <row r="381" spans="2:70">
      <c r="B381" s="39"/>
      <c r="C381" s="75">
        <v>375</v>
      </c>
      <c r="D381" s="146">
        <f>ETo!$I380*((1-Constantes!$F$19)*ETo!$K380+ETo!$L380)</f>
        <v>4.5371497983066851</v>
      </c>
      <c r="E381" s="76">
        <f>MIN(D381*Constantes!$F$17,0.8*(N380+Observaciones!$F380-F381-M381-Constantes!$D$14))</f>
        <v>2.5875898760078133</v>
      </c>
      <c r="F381" s="76">
        <f>IF(Observaciones!$F380&gt;0.05*Constantes!$F$18,((Observaciones!$F380-0.05*Constantes!$F$18)^2)/(Observaciones!$F380+0.95*Constantes!$F$18),0)</f>
        <v>0</v>
      </c>
      <c r="G381" s="76">
        <f>IF(Escenarios!$F$11&gt;0,(F381*Escenarios!$F$16*10000)/1000,0)</f>
        <v>0</v>
      </c>
      <c r="H381" s="76">
        <f>IF(Escenarios!$F$11&gt;0,(Observaciones!$F380*Constantes!$F$29)/1000,0)</f>
        <v>0</v>
      </c>
      <c r="I381" s="76">
        <f>IF(Escenarios!$F$11&gt;0,(D381*Constantes!$F$29)/1000,0)</f>
        <v>0</v>
      </c>
      <c r="J381" s="76">
        <f>IF(Escenarios!$F$11&gt;0,MAX(0,G381+H381-I381),0)</f>
        <v>0</v>
      </c>
      <c r="K381" s="76">
        <f>IF(Escenarios!$F$11&gt;0,IF(J381&gt;Constantes!$F$30,1000*((J381-Constantes!$F$30)/(Escenarios!$F$16*10000)),0),F381)</f>
        <v>0</v>
      </c>
      <c r="L381" s="76">
        <f>IF(Escenarios!$F$11&gt;0,I381*1000/Escenarios!$F$16/10000+E381,E381)</f>
        <v>2.5875898760078133</v>
      </c>
      <c r="M381" s="76">
        <f>MAX(0,N380+Observaciones!$F380-K381-Constantes!$D$13)</f>
        <v>0</v>
      </c>
      <c r="N381" s="76">
        <f>N380+Observaciones!$F380-K381-L381-M381-O380</f>
        <v>31.585942761922844</v>
      </c>
      <c r="O381" s="76">
        <f>MAX(0,(N381-Constantes!$D$14)*(1-EXP(-Constantes!$D$22)))</f>
        <v>0.69271686524530662</v>
      </c>
      <c r="P381" s="170">
        <f>P380+(Entradas!$F$83*M381-Q380)/(800*Entradas!$D$25)</f>
        <v>0</v>
      </c>
      <c r="Q381" s="170">
        <f>8000*Entradas!$D$26*P381/Constantes!$F$45</f>
        <v>0</v>
      </c>
      <c r="R381" s="170">
        <f>IF(Escenarios!$F$14&gt;0,K381*Escenarios!$F$13/Escenarios!$F$14,0)</f>
        <v>0</v>
      </c>
      <c r="S381" s="170">
        <f>IF(Escenarios!$F$14&gt;0,Q381*Escenarios!$F$13/Escenarios!$F$14,0)</f>
        <v>0</v>
      </c>
      <c r="T381" s="170">
        <f>IF(Escenarios!$F$14&gt;0,Observaciones!$I380,0)</f>
        <v>0</v>
      </c>
      <c r="U381" s="170">
        <f>IF(Escenarios!$F$14&gt;0,MAX(0,Constantes!$F$36/((Z380+R381+S381+T381+Observaciones!$F380)^2)+Entradas!$F$77),0)</f>
        <v>1.5714677592332176</v>
      </c>
      <c r="V381" s="146">
        <f>IF(ETo!D380&gt;0,ETo!I380*((1-Entradas!$F$81)*ETo!K380+ETo!L380),0)</f>
        <v>4.0334040324854259</v>
      </c>
      <c r="W381" s="170">
        <f>IF(Escenarios!$F$14&gt;0,MIN(V381*1,0.8*(Z380+R381+S381+T381+Observaciones!$F380-U381-Constantes!$F$35)),0)</f>
        <v>4.0334040324854259</v>
      </c>
      <c r="X381" s="170">
        <f>IF(Escenarios!$F$14&gt;0,Observaciones!$J380,0)</f>
        <v>0</v>
      </c>
      <c r="Y381" s="170">
        <f>IF(Escenarios!$F$14&gt;0,MAX(0,Z380+R381+S381+T381+Observaciones!$F380-U381-W381-X381-Constantes!$F$33),0)</f>
        <v>0</v>
      </c>
      <c r="Z381" s="170">
        <f>Z380+R381+S381+T381+Observaciones!$F380-U381-W381-Y381</f>
        <v>79.170844942442884</v>
      </c>
      <c r="AA381" s="170">
        <f>IF(Escenarios!$F$14&gt;0,(Escenarios!$F$13*L381+Escenarios!$F$14*W381)/(Escenarios!$F$16),L381)</f>
        <v>2.7610875747851269</v>
      </c>
      <c r="AB381" s="170">
        <f>IF(Escenarios!$F$14&gt;0,(Escenarios!$F$14*Y381)/(Escenarios!$F$16),K381)</f>
        <v>0</v>
      </c>
      <c r="AC381" s="170">
        <f>IF(Escenarios!$F$14&gt;0,(Escenarios!$F$13*M381+Escenarios!$F$14*U381)/(Escenarios!$F$16),M381)</f>
        <v>0.1885761311079861</v>
      </c>
      <c r="AD381" s="76">
        <f t="shared" si="71"/>
        <v>97.260721387242</v>
      </c>
      <c r="AE381" s="76">
        <f>MAX(0,(AD381-Constantes!$D$13)*(1-EXP(-Constantes!$D$23)))</f>
        <v>0.47798769218213322</v>
      </c>
      <c r="AF381" s="76">
        <f>AB381+O381*Escenarios!$F$13/Escenarios!$F$16+AE381</f>
        <v>1.087578533598003</v>
      </c>
      <c r="AG381" s="76">
        <f>IF(Entradas!$F$91&gt;0,IF(AF381-Escenarios!$F$38&lt;=0,0,IF(AF381-Escenarios!$F$38&gt;Escenarios!$F$37,Escenarios!$F$37,AF381-Escenarios!$F$38)),0)</f>
        <v>5.0778533598003106E-2</v>
      </c>
      <c r="AH381" s="76">
        <f>AG381*Entradas!$F$99</f>
        <v>0</v>
      </c>
      <c r="AI381" s="76">
        <f>IF(Entradas!$F$91&gt;0,D381*Entradas!$D$23/Escenarios!$F$16,0)</f>
        <v>0.21778319031872087</v>
      </c>
      <c r="AJ381" s="76">
        <f>IF(Entradas!$F$91&gt;0,Entradas!$D$24*Entradas!$D$22/Escenarios!$F$16,0)</f>
        <v>0.12</v>
      </c>
      <c r="AK381" s="76">
        <f t="shared" si="72"/>
        <v>2.978870765103848</v>
      </c>
      <c r="AL381" s="76">
        <f t="shared" si="73"/>
        <v>0</v>
      </c>
      <c r="AM381" s="76">
        <f t="shared" si="74"/>
        <v>5.0778533598003106E-2</v>
      </c>
      <c r="AN381" s="76">
        <f>MAX(0,O381*Escenarios!$F$13/Escenarios!$F$16-AM381)</f>
        <v>0.55881230781786673</v>
      </c>
      <c r="AO381" s="76">
        <f>AM381+AN381-O381*Escenarios!$F$13/Escenarios!$F$16</f>
        <v>0</v>
      </c>
      <c r="AP381" s="76">
        <f t="shared" si="75"/>
        <v>0.47798769218213322</v>
      </c>
      <c r="AQ381" s="76">
        <f t="shared" si="76"/>
        <v>0</v>
      </c>
      <c r="AR381" s="76">
        <f t="shared" si="77"/>
        <v>1.0367999999999999</v>
      </c>
      <c r="AS381" s="76">
        <f t="shared" si="78"/>
        <v>0</v>
      </c>
      <c r="AT381" s="76">
        <f t="shared" si="79"/>
        <v>0.1885761311079861</v>
      </c>
      <c r="AU381" s="76">
        <f t="shared" si="80"/>
        <v>49.075005261953855</v>
      </c>
      <c r="AV381" s="76">
        <f>MAX(0,(AU381-Constantes!$D$13)*(1-EXP(-Constantes!$D$24)))</f>
        <v>4.9677857265745737E-3</v>
      </c>
      <c r="AW381" s="170">
        <f>AW380+(Entradas!$F$112*AT381-AX380)/(800*Entradas!$D$25)</f>
        <v>0</v>
      </c>
      <c r="AX381" s="170">
        <f>8000*Entradas!$D$26*AW381/Constantes!$F$45</f>
        <v>0</v>
      </c>
      <c r="AY381" s="170">
        <f>IF(Escenarios!$F$17&gt;0,10*Escenarios!$F$16*AL381,0)</f>
        <v>0</v>
      </c>
      <c r="AZ381" s="170">
        <f>IF(Escenarios!$F$17&gt;0,10*Escenarios!$F$16*AX381,0)</f>
        <v>0</v>
      </c>
      <c r="BA381" s="170">
        <f>IF(Escenarios!$F$17&gt;0,0.001*Observaciones!$F380*Escenarios!$F$17,0)</f>
        <v>0</v>
      </c>
      <c r="BB381" s="170">
        <f>IF(Escenarios!$F$17&gt;0,Observaciones!$K380,0)</f>
        <v>0</v>
      </c>
      <c r="BC381" s="170">
        <f>IF(Escenarios!$F$17&gt;0,MIN(0.0005*ETo!$M380*Escenarios!$F$17*(BG380/Constantes!$F$40)^(2/3),BG380+AY381+AZ381+BA381+BB381),0)</f>
        <v>0</v>
      </c>
      <c r="BD381" s="170">
        <f>IF(Escenarios!$F$17&gt;0,MIN(Constantes!$F$39*(BG380/Constantes!$F$40)^(2/3),BG380+AY381+AZ381+BA381+BB381-BC381),0)</f>
        <v>0</v>
      </c>
      <c r="BE381" s="170">
        <f>IF(Escenarios!$F$17&gt;0,MIN(Entradas!$F$113,BG380+AY381+AZ381+BA381+BB381-BC381-BD381),0)</f>
        <v>0</v>
      </c>
      <c r="BF381" s="170">
        <f>IF(Escenarios!$F$17&gt;0,MAX(0,BG380+AY381+AZ381+BA381+BB381-BC381-BD381-BE381-Constantes!$F$40),0)</f>
        <v>0</v>
      </c>
      <c r="BG381" s="170">
        <f t="shared" si="81"/>
        <v>0</v>
      </c>
      <c r="BH381" s="170">
        <f>(Escenarios!$F$16*AK381+0.1*BC381)/(Escenarios!$F$19)</f>
        <v>2.978870765103848</v>
      </c>
      <c r="BI381" s="170">
        <f>IF(Escenarios!$F$17&gt;0,BF381/10/Escenarios!$F$19,AL381)</f>
        <v>0</v>
      </c>
      <c r="BJ381" s="170">
        <f>(Escenarios!$F$16*AT381+0.1*BD381)/(Escenarios!$F$19)</f>
        <v>0.1885761311079861</v>
      </c>
      <c r="BK381" s="76">
        <f>BK380+(0.1*BD381)/(Escenarios!$F$19)-BL380</f>
        <v>48.75</v>
      </c>
      <c r="BL381" s="76">
        <f>MAX(0,(BK381-Constantes!$D$13)*(1-EXP(-Constantes!$D$23)))</f>
        <v>0</v>
      </c>
      <c r="BM381" s="76">
        <f t="shared" si="82"/>
        <v>0.4829554779087078</v>
      </c>
      <c r="BN381" s="76">
        <f t="shared" si="83"/>
        <v>1.0417677857265746</v>
      </c>
      <c r="BO381" s="76">
        <f>0.0526*BI381*Observaciones!$F380^1.218</f>
        <v>0</v>
      </c>
      <c r="BP381" s="76">
        <f>BO381*Constantes!$F$51</f>
        <v>0</v>
      </c>
      <c r="BQ381" s="76">
        <f t="shared" si="84"/>
        <v>0</v>
      </c>
      <c r="BR381" s="40"/>
    </row>
    <row r="382" spans="2:70">
      <c r="B382" s="39"/>
      <c r="C382" s="75">
        <v>376</v>
      </c>
      <c r="D382" s="146">
        <f>ETo!$I381*((1-Constantes!$F$19)*ETo!$K381+ETo!$L381)</f>
        <v>4.4532255640532936</v>
      </c>
      <c r="E382" s="76">
        <f>MIN(D382*Constantes!$F$17,0.8*(N381+Observaciones!$F381-F382-M382-Constantes!$D$14))</f>
        <v>2.5397268984647683</v>
      </c>
      <c r="F382" s="76">
        <f>IF(Observaciones!$F381&gt;0.05*Constantes!$F$18,((Observaciones!$F381-0.05*Constantes!$F$18)^2)/(Observaciones!$F381+0.95*Constantes!$F$18),0)</f>
        <v>0</v>
      </c>
      <c r="G382" s="76">
        <f>IF(Escenarios!$F$11&gt;0,(F382*Escenarios!$F$16*10000)/1000,0)</f>
        <v>0</v>
      </c>
      <c r="H382" s="76">
        <f>IF(Escenarios!$F$11&gt;0,(Observaciones!$F381*Constantes!$F$29)/1000,0)</f>
        <v>0</v>
      </c>
      <c r="I382" s="76">
        <f>IF(Escenarios!$F$11&gt;0,(D382*Constantes!$F$29)/1000,0)</f>
        <v>0</v>
      </c>
      <c r="J382" s="76">
        <f>IF(Escenarios!$F$11&gt;0,MAX(0,G382+H382-I382),0)</f>
        <v>0</v>
      </c>
      <c r="K382" s="76">
        <f>IF(Escenarios!$F$11&gt;0,IF(J382&gt;Constantes!$F$30,1000*((J382-Constantes!$F$30)/(Escenarios!$F$16*10000)),0),F382)</f>
        <v>0</v>
      </c>
      <c r="L382" s="76">
        <f>IF(Escenarios!$F$11&gt;0,I382*1000/Escenarios!$F$16/10000+E382,E382)</f>
        <v>2.5397268984647683</v>
      </c>
      <c r="M382" s="76">
        <f>MAX(0,N381+Observaciones!$F381-K382-Constantes!$D$13)</f>
        <v>0</v>
      </c>
      <c r="N382" s="76">
        <f>N381+Observaciones!$F381-K382-L382-M382-O381</f>
        <v>31.25349899821277</v>
      </c>
      <c r="O382" s="76">
        <f>MAX(0,(N382-Constantes!$D$14)*(1-EXP(-Constantes!$D$22)))</f>
        <v>0.68139261022730035</v>
      </c>
      <c r="P382" s="170">
        <f>P381+(Entradas!$F$83*M382-Q381)/(800*Entradas!$D$25)</f>
        <v>0</v>
      </c>
      <c r="Q382" s="170">
        <f>8000*Entradas!$D$26*P382/Constantes!$F$45</f>
        <v>0</v>
      </c>
      <c r="R382" s="170">
        <f>IF(Escenarios!$F$14&gt;0,K382*Escenarios!$F$13/Escenarios!$F$14,0)</f>
        <v>0</v>
      </c>
      <c r="S382" s="170">
        <f>IF(Escenarios!$F$14&gt;0,Q382*Escenarios!$F$13/Escenarios!$F$14,0)</f>
        <v>0</v>
      </c>
      <c r="T382" s="170">
        <f>IF(Escenarios!$F$14&gt;0,Observaciones!$I381,0)</f>
        <v>0</v>
      </c>
      <c r="U382" s="170">
        <f>IF(Escenarios!$F$14&gt;0,MAX(0,Constantes!$F$36/((Z381+R382+S382+T382+Observaciones!$F381)^2)+Entradas!$F$77),0)</f>
        <v>1.4757536012102548</v>
      </c>
      <c r="V382" s="146">
        <f>IF(ETo!D381&gt;0,ETo!I381*((1-Entradas!$F$81)*ETo!K381+ETo!L381),0)</f>
        <v>3.9576660515773541</v>
      </c>
      <c r="W382" s="170">
        <f>IF(Escenarios!$F$14&gt;0,MIN(V382*1,0.8*(Z381+R382+S382+T382+Observaciones!$F381-U382-Constantes!$F$35)),0)</f>
        <v>3.9576660515773541</v>
      </c>
      <c r="X382" s="170">
        <f>IF(Escenarios!$F$14&gt;0,Observaciones!$J381,0)</f>
        <v>0</v>
      </c>
      <c r="Y382" s="170">
        <f>IF(Escenarios!$F$14&gt;0,MAX(0,Z381+R382+S382+T382+Observaciones!$F381-U382-W382-X382-Constantes!$F$33),0)</f>
        <v>0</v>
      </c>
      <c r="Z382" s="170">
        <f>Z381+R382+S382+T382+Observaciones!$F381-U382-W382-Y382</f>
        <v>76.637425289655283</v>
      </c>
      <c r="AA382" s="170">
        <f>IF(Escenarios!$F$14&gt;0,(Escenarios!$F$13*L382+Escenarios!$F$14*W382)/(Escenarios!$F$16),L382)</f>
        <v>2.7098795968382783</v>
      </c>
      <c r="AB382" s="170">
        <f>IF(Escenarios!$F$14&gt;0,(Escenarios!$F$14*Y382)/(Escenarios!$F$16),K382)</f>
        <v>0</v>
      </c>
      <c r="AC382" s="170">
        <f>IF(Escenarios!$F$14&gt;0,(Escenarios!$F$13*M382+Escenarios!$F$14*U382)/(Escenarios!$F$16),M382)</f>
        <v>0.17709043214523057</v>
      </c>
      <c r="AD382" s="76">
        <f t="shared" si="71"/>
        <v>96.959824127205096</v>
      </c>
      <c r="AE382" s="76">
        <f>MAX(0,(AD382-Constantes!$D$13)*(1-EXP(-Constantes!$D$23)))</f>
        <v>0.4750228798108459</v>
      </c>
      <c r="AF382" s="76">
        <f>AB382+O382*Escenarios!$F$13/Escenarios!$F$16+AE382</f>
        <v>1.0746483768108703</v>
      </c>
      <c r="AG382" s="76">
        <f>IF(Entradas!$F$91&gt;0,IF(AF382-Escenarios!$F$38&lt;=0,0,IF(AF382-Escenarios!$F$38&gt;Escenarios!$F$37,Escenarios!$F$37,AF382-Escenarios!$F$38)),0)</f>
        <v>3.7848376810870388E-2</v>
      </c>
      <c r="AH382" s="76">
        <f>AG382*Entradas!$F$99</f>
        <v>0</v>
      </c>
      <c r="AI382" s="76">
        <f>IF(Entradas!$F$91&gt;0,D382*Entradas!$D$23/Escenarios!$F$16,0)</f>
        <v>0.21375482707455809</v>
      </c>
      <c r="AJ382" s="76">
        <f>IF(Entradas!$F$91&gt;0,Entradas!$D$24*Entradas!$D$22/Escenarios!$F$16,0)</f>
        <v>0.12</v>
      </c>
      <c r="AK382" s="76">
        <f t="shared" si="72"/>
        <v>2.9236344239128362</v>
      </c>
      <c r="AL382" s="76">
        <f t="shared" si="73"/>
        <v>0</v>
      </c>
      <c r="AM382" s="76">
        <f t="shared" si="74"/>
        <v>3.7848376810870388E-2</v>
      </c>
      <c r="AN382" s="76">
        <f>MAX(0,O382*Escenarios!$F$13/Escenarios!$F$16-AM382)</f>
        <v>0.56177712018915393</v>
      </c>
      <c r="AO382" s="76">
        <f>AM382+AN382-O382*Escenarios!$F$13/Escenarios!$F$16</f>
        <v>0</v>
      </c>
      <c r="AP382" s="76">
        <f t="shared" si="75"/>
        <v>0.4750228798108459</v>
      </c>
      <c r="AQ382" s="76">
        <f t="shared" si="76"/>
        <v>0</v>
      </c>
      <c r="AR382" s="76">
        <f t="shared" si="77"/>
        <v>1.0367999999999999</v>
      </c>
      <c r="AS382" s="76">
        <f t="shared" si="78"/>
        <v>0</v>
      </c>
      <c r="AT382" s="76">
        <f t="shared" si="79"/>
        <v>0.17709043214523057</v>
      </c>
      <c r="AU382" s="76">
        <f t="shared" si="80"/>
        <v>49.070037476227277</v>
      </c>
      <c r="AV382" s="76">
        <f>MAX(0,(AU382-Constantes!$D$13)*(1-EXP(-Constantes!$D$24)))</f>
        <v>4.8918518943750263E-3</v>
      </c>
      <c r="AW382" s="170">
        <f>AW381+(Entradas!$F$112*AT382-AX381)/(800*Entradas!$D$25)</f>
        <v>0</v>
      </c>
      <c r="AX382" s="170">
        <f>8000*Entradas!$D$26*AW382/Constantes!$F$45</f>
        <v>0</v>
      </c>
      <c r="AY382" s="170">
        <f>IF(Escenarios!$F$17&gt;0,10*Escenarios!$F$16*AL382,0)</f>
        <v>0</v>
      </c>
      <c r="AZ382" s="170">
        <f>IF(Escenarios!$F$17&gt;0,10*Escenarios!$F$16*AX382,0)</f>
        <v>0</v>
      </c>
      <c r="BA382" s="170">
        <f>IF(Escenarios!$F$17&gt;0,0.001*Observaciones!$F381*Escenarios!$F$17,0)</f>
        <v>0</v>
      </c>
      <c r="BB382" s="170">
        <f>IF(Escenarios!$F$17&gt;0,Observaciones!$K381,0)</f>
        <v>0</v>
      </c>
      <c r="BC382" s="170">
        <f>IF(Escenarios!$F$17&gt;0,MIN(0.0005*ETo!$M381*Escenarios!$F$17*(BG381/Constantes!$F$40)^(2/3),BG381+AY382+AZ382+BA382+BB382),0)</f>
        <v>0</v>
      </c>
      <c r="BD382" s="170">
        <f>IF(Escenarios!$F$17&gt;0,MIN(Constantes!$F$39*(BG381/Constantes!$F$40)^(2/3),BG381+AY382+AZ382+BA382+BB382-BC382),0)</f>
        <v>0</v>
      </c>
      <c r="BE382" s="170">
        <f>IF(Escenarios!$F$17&gt;0,MIN(Entradas!$F$113,BG381+AY382+AZ382+BA382+BB382-BC382-BD382),0)</f>
        <v>0</v>
      </c>
      <c r="BF382" s="170">
        <f>IF(Escenarios!$F$17&gt;0,MAX(0,BG381+AY382+AZ382+BA382+BB382-BC382-BD382-BE382-Constantes!$F$40),0)</f>
        <v>0</v>
      </c>
      <c r="BG382" s="170">
        <f t="shared" si="81"/>
        <v>0</v>
      </c>
      <c r="BH382" s="170">
        <f>(Escenarios!$F$16*AK382+0.1*BC382)/(Escenarios!$F$19)</f>
        <v>2.9236344239128362</v>
      </c>
      <c r="BI382" s="170">
        <f>IF(Escenarios!$F$17&gt;0,BF382/10/Escenarios!$F$19,AL382)</f>
        <v>0</v>
      </c>
      <c r="BJ382" s="170">
        <f>(Escenarios!$F$16*AT382+0.1*BD382)/(Escenarios!$F$19)</f>
        <v>0.17709043214523057</v>
      </c>
      <c r="BK382" s="76">
        <f>BK381+(0.1*BD382)/(Escenarios!$F$19)-BL381</f>
        <v>48.75</v>
      </c>
      <c r="BL382" s="76">
        <f>MAX(0,(BK382-Constantes!$D$13)*(1-EXP(-Constantes!$D$23)))</f>
        <v>0</v>
      </c>
      <c r="BM382" s="76">
        <f t="shared" si="82"/>
        <v>0.47991473170522092</v>
      </c>
      <c r="BN382" s="76">
        <f t="shared" si="83"/>
        <v>1.041691851894375</v>
      </c>
      <c r="BO382" s="76">
        <f>0.0526*BI382*Observaciones!$F381^1.218</f>
        <v>0</v>
      </c>
      <c r="BP382" s="76">
        <f>BO382*Constantes!$F$51</f>
        <v>0</v>
      </c>
      <c r="BQ382" s="76">
        <f t="shared" si="84"/>
        <v>0</v>
      </c>
      <c r="BR382" s="40"/>
    </row>
    <row r="383" spans="2:70">
      <c r="B383" s="39"/>
      <c r="C383" s="75">
        <v>377</v>
      </c>
      <c r="D383" s="146">
        <f>ETo!$I382*((1-Constantes!$F$19)*ETo!$K382+ETo!$L382)</f>
        <v>4.369154279803678</v>
      </c>
      <c r="E383" s="76">
        <f>MIN(D383*Constantes!$F$17,0.8*(N382+Observaciones!$F382-F383-M383-Constantes!$D$14))</f>
        <v>2.4917800565799206</v>
      </c>
      <c r="F383" s="76">
        <f>IF(Observaciones!$F382&gt;0.05*Constantes!$F$18,((Observaciones!$F382-0.05*Constantes!$F$18)^2)/(Observaciones!$F382+0.95*Constantes!$F$18),0)</f>
        <v>0.19981061243644588</v>
      </c>
      <c r="G383" s="76">
        <f>IF(Escenarios!$F$11&gt;0,(F383*Escenarios!$F$16*10000)/1000,0)</f>
        <v>0</v>
      </c>
      <c r="H383" s="76">
        <f>IF(Escenarios!$F$11&gt;0,(Observaciones!$F382*Constantes!$F$29)/1000,0)</f>
        <v>0</v>
      </c>
      <c r="I383" s="76">
        <f>IF(Escenarios!$F$11&gt;0,(D383*Constantes!$F$29)/1000,0)</f>
        <v>0</v>
      </c>
      <c r="J383" s="76">
        <f>IF(Escenarios!$F$11&gt;0,MAX(0,G383+H383-I383),0)</f>
        <v>0</v>
      </c>
      <c r="K383" s="76">
        <f>IF(Escenarios!$F$11&gt;0,IF(J383&gt;Constantes!$F$30,1000*((J383-Constantes!$F$30)/(Escenarios!$F$16*10000)),0),F383)</f>
        <v>0.19981061243644588</v>
      </c>
      <c r="L383" s="76">
        <f>IF(Escenarios!$F$11&gt;0,I383*1000/Escenarios!$F$16/10000+E383,E383)</f>
        <v>2.4917800565799206</v>
      </c>
      <c r="M383" s="76">
        <f>MAX(0,N382+Observaciones!$F382-K383-Constantes!$D$13)</f>
        <v>3.6883857763214678E-3</v>
      </c>
      <c r="N383" s="76">
        <f>N382+Observaciones!$F382-K383-L383-M383-O382</f>
        <v>45.576827333192782</v>
      </c>
      <c r="O383" s="76">
        <f>MAX(0,(N383-Constantes!$D$14)*(1-EXP(-Constantes!$D$22)))</f>
        <v>1.1692977553314985</v>
      </c>
      <c r="P383" s="170">
        <f>P382+(Entradas!$F$83*M383-Q382)/(800*Entradas!$D$25)</f>
        <v>0</v>
      </c>
      <c r="Q383" s="170">
        <f>8000*Entradas!$D$26*P383/Constantes!$F$45</f>
        <v>0</v>
      </c>
      <c r="R383" s="170">
        <f>IF(Escenarios!$F$14&gt;0,K383*Escenarios!$F$13/Escenarios!$F$14,0)</f>
        <v>1.4652778245339364</v>
      </c>
      <c r="S383" s="170">
        <f>IF(Escenarios!$F$14&gt;0,Q383*Escenarios!$F$13/Escenarios!$F$14,0)</f>
        <v>0</v>
      </c>
      <c r="T383" s="170">
        <f>IF(Escenarios!$F$14&gt;0,Observaciones!$I382,0)</f>
        <v>0</v>
      </c>
      <c r="U383" s="170">
        <f>IF(Escenarios!$F$14&gt;0,MAX(0,Constantes!$F$36/((Z382+R383+S383+T383+Observaciones!$F382)^2)+Entradas!$F$77),0)</f>
        <v>1.8813931853177557</v>
      </c>
      <c r="V383" s="146">
        <f>IF(ETo!D382&gt;0,ETo!I382*((1-Entradas!$F$81)*ETo!K382+ETo!L382),0)</f>
        <v>3.8819803340952155</v>
      </c>
      <c r="W383" s="170">
        <f>IF(Escenarios!$F$14&gt;0,MIN(V383*1,0.8*(Z382+R383+S383+T383+Observaciones!$F382-U383-Constantes!$F$35)),0)</f>
        <v>3.8819803340952155</v>
      </c>
      <c r="X383" s="170">
        <f>IF(Escenarios!$F$14&gt;0,Observaciones!$J382,0)</f>
        <v>0</v>
      </c>
      <c r="Y383" s="170">
        <f>IF(Escenarios!$F$14&gt;0,MAX(0,Z382+R383+S383+T383+Observaciones!$F382-U383-W383-X383-Constantes!$F$33),0)</f>
        <v>0</v>
      </c>
      <c r="Z383" s="170">
        <f>Z382+R383+S383+T383+Observaciones!$F382-U383-W383-Y383</f>
        <v>90.039329594776248</v>
      </c>
      <c r="AA383" s="170">
        <f>IF(Escenarios!$F$14&gt;0,(Escenarios!$F$13*L383+Escenarios!$F$14*W383)/(Escenarios!$F$16),L383)</f>
        <v>2.6586040898817558</v>
      </c>
      <c r="AB383" s="170">
        <f>IF(Escenarios!$F$14&gt;0,(Escenarios!$F$14*Y383)/(Escenarios!$F$16),K383)</f>
        <v>0</v>
      </c>
      <c r="AC383" s="170">
        <f>IF(Escenarios!$F$14&gt;0,(Escenarios!$F$13*M383+Escenarios!$F$14*U383)/(Escenarios!$F$16),M383)</f>
        <v>0.22901296172129357</v>
      </c>
      <c r="AD383" s="76">
        <f t="shared" si="71"/>
        <v>96.71381420911554</v>
      </c>
      <c r="AE383" s="76">
        <f>MAX(0,(AD383-Constantes!$D$13)*(1-EXP(-Constantes!$D$23)))</f>
        <v>0.47259888549291218</v>
      </c>
      <c r="AF383" s="76">
        <f>AB383+O383*Escenarios!$F$13/Escenarios!$F$16+AE383</f>
        <v>1.5015809101846307</v>
      </c>
      <c r="AG383" s="76">
        <f>IF(Entradas!$F$91&gt;0,IF(AF383-Escenarios!$F$38&lt;=0,0,IF(AF383-Escenarios!$F$38&gt;Escenarios!$F$37,Escenarios!$F$37,AF383-Escenarios!$F$38)),0)</f>
        <v>0.46478091018463075</v>
      </c>
      <c r="AH383" s="76">
        <f>AG383*Entradas!$F$99</f>
        <v>0</v>
      </c>
      <c r="AI383" s="76">
        <f>IF(Entradas!$F$91&gt;0,D383*Entradas!$D$23/Escenarios!$F$16,0)</f>
        <v>0.20971940543057654</v>
      </c>
      <c r="AJ383" s="76">
        <f>IF(Entradas!$F$91&gt;0,Entradas!$D$24*Entradas!$D$22/Escenarios!$F$16,0)</f>
        <v>0.12</v>
      </c>
      <c r="AK383" s="76">
        <f t="shared" si="72"/>
        <v>2.8683234953123322</v>
      </c>
      <c r="AL383" s="76">
        <f t="shared" si="73"/>
        <v>0</v>
      </c>
      <c r="AM383" s="76">
        <f t="shared" si="74"/>
        <v>0.46478091018463075</v>
      </c>
      <c r="AN383" s="76">
        <f>MAX(0,O383*Escenarios!$F$13/Escenarios!$F$16-AM383)</f>
        <v>0.56420111450708776</v>
      </c>
      <c r="AO383" s="76">
        <f>AM383+AN383-O383*Escenarios!$F$13/Escenarios!$F$16</f>
        <v>0</v>
      </c>
      <c r="AP383" s="76">
        <f t="shared" si="75"/>
        <v>0.47259888549291218</v>
      </c>
      <c r="AQ383" s="76">
        <f t="shared" si="76"/>
        <v>0</v>
      </c>
      <c r="AR383" s="76">
        <f t="shared" si="77"/>
        <v>1.0367999999999999</v>
      </c>
      <c r="AS383" s="76">
        <f t="shared" si="78"/>
        <v>0.13506150475405421</v>
      </c>
      <c r="AT383" s="76">
        <f t="shared" si="79"/>
        <v>0.3640744664753478</v>
      </c>
      <c r="AU383" s="76">
        <f t="shared" si="80"/>
        <v>49.200207129086955</v>
      </c>
      <c r="AV383" s="76">
        <f>MAX(0,(AU383-Constantes!$D$13)*(1-EXP(-Constantes!$D$24)))</f>
        <v>6.8815271987745239E-3</v>
      </c>
      <c r="AW383" s="170">
        <f>AW382+(Entradas!$F$112*AT383-AX382)/(800*Entradas!$D$25)</f>
        <v>0</v>
      </c>
      <c r="AX383" s="170">
        <f>8000*Entradas!$D$26*AW383/Constantes!$F$45</f>
        <v>0</v>
      </c>
      <c r="AY383" s="170">
        <f>IF(Escenarios!$F$17&gt;0,10*Escenarios!$F$16*AL383,0)</f>
        <v>0</v>
      </c>
      <c r="AZ383" s="170">
        <f>IF(Escenarios!$F$17&gt;0,10*Escenarios!$F$16*AX383,0)</f>
        <v>0</v>
      </c>
      <c r="BA383" s="170">
        <f>IF(Escenarios!$F$17&gt;0,0.001*Observaciones!$F382*Escenarios!$F$17,0)</f>
        <v>0</v>
      </c>
      <c r="BB383" s="170">
        <f>IF(Escenarios!$F$17&gt;0,Observaciones!$K382,0)</f>
        <v>0</v>
      </c>
      <c r="BC383" s="170">
        <f>IF(Escenarios!$F$17&gt;0,MIN(0.0005*ETo!$M382*Escenarios!$F$17*(BG382/Constantes!$F$40)^(2/3),BG382+AY383+AZ383+BA383+BB383),0)</f>
        <v>0</v>
      </c>
      <c r="BD383" s="170">
        <f>IF(Escenarios!$F$17&gt;0,MIN(Constantes!$F$39*(BG382/Constantes!$F$40)^(2/3),BG382+AY383+AZ383+BA383+BB383-BC383),0)</f>
        <v>0</v>
      </c>
      <c r="BE383" s="170">
        <f>IF(Escenarios!$F$17&gt;0,MIN(Entradas!$F$113,BG382+AY383+AZ383+BA383+BB383-BC383-BD383),0)</f>
        <v>0</v>
      </c>
      <c r="BF383" s="170">
        <f>IF(Escenarios!$F$17&gt;0,MAX(0,BG382+AY383+AZ383+BA383+BB383-BC383-BD383-BE383-Constantes!$F$40),0)</f>
        <v>0</v>
      </c>
      <c r="BG383" s="170">
        <f t="shared" si="81"/>
        <v>0</v>
      </c>
      <c r="BH383" s="170">
        <f>(Escenarios!$F$16*AK383+0.1*BC383)/(Escenarios!$F$19)</f>
        <v>2.8683234953123322</v>
      </c>
      <c r="BI383" s="170">
        <f>IF(Escenarios!$F$17&gt;0,BF383/10/Escenarios!$F$19,AL383)</f>
        <v>0</v>
      </c>
      <c r="BJ383" s="170">
        <f>(Escenarios!$F$16*AT383+0.1*BD383)/(Escenarios!$F$19)</f>
        <v>0.3640744664753478</v>
      </c>
      <c r="BK383" s="76">
        <f>BK382+(0.1*BD383)/(Escenarios!$F$19)-BL382</f>
        <v>48.75</v>
      </c>
      <c r="BL383" s="76">
        <f>MAX(0,(BK383-Constantes!$D$13)*(1-EXP(-Constantes!$D$23)))</f>
        <v>0</v>
      </c>
      <c r="BM383" s="76">
        <f t="shared" si="82"/>
        <v>0.47948041269168673</v>
      </c>
      <c r="BN383" s="76">
        <f t="shared" si="83"/>
        <v>1.0436815271987745</v>
      </c>
      <c r="BO383" s="76">
        <f>0.0526*BI383*Observaciones!$F382^1.218</f>
        <v>0</v>
      </c>
      <c r="BP383" s="76">
        <f>BO383*Constantes!$F$51</f>
        <v>0</v>
      </c>
      <c r="BQ383" s="76">
        <f t="shared" si="84"/>
        <v>0</v>
      </c>
      <c r="BR383" s="40"/>
    </row>
    <row r="384" spans="2:70">
      <c r="B384" s="39"/>
      <c r="C384" s="75">
        <v>378</v>
      </c>
      <c r="D384" s="146">
        <f>ETo!$I383*((1-Constantes!$F$19)*ETo!$K383+ETo!$L383)</f>
        <v>4.5086319601045943</v>
      </c>
      <c r="E384" s="76">
        <f>MIN(D384*Constantes!$F$17,0.8*(N383+Observaciones!$F383-F384-M384-Constantes!$D$14))</f>
        <v>2.5713258175795688</v>
      </c>
      <c r="F384" s="76">
        <f>IF(Observaciones!$F383&gt;0.05*Constantes!$F$18,((Observaciones!$F383-0.05*Constantes!$F$18)^2)/(Observaciones!$F383+0.95*Constantes!$F$18),0)</f>
        <v>0</v>
      </c>
      <c r="G384" s="76">
        <f>IF(Escenarios!$F$11&gt;0,(F384*Escenarios!$F$16*10000)/1000,0)</f>
        <v>0</v>
      </c>
      <c r="H384" s="76">
        <f>IF(Escenarios!$F$11&gt;0,(Observaciones!$F383*Constantes!$F$29)/1000,0)</f>
        <v>0</v>
      </c>
      <c r="I384" s="76">
        <f>IF(Escenarios!$F$11&gt;0,(D384*Constantes!$F$29)/1000,0)</f>
        <v>0</v>
      </c>
      <c r="J384" s="76">
        <f>IF(Escenarios!$F$11&gt;0,MAX(0,G384+H384-I384),0)</f>
        <v>0</v>
      </c>
      <c r="K384" s="76">
        <f>IF(Escenarios!$F$11&gt;0,IF(J384&gt;Constantes!$F$30,1000*((J384-Constantes!$F$30)/(Escenarios!$F$16*10000)),0),F384)</f>
        <v>0</v>
      </c>
      <c r="L384" s="76">
        <f>IF(Escenarios!$F$11&gt;0,I384*1000/Escenarios!$F$16/10000+E384,E384)</f>
        <v>2.5713258175795688</v>
      </c>
      <c r="M384" s="76">
        <f>MAX(0,N383+Observaciones!$F383-K384-Constantes!$D$13)</f>
        <v>0</v>
      </c>
      <c r="N384" s="76">
        <f>N383+Observaciones!$F383-K384-L384-M384-O383</f>
        <v>42.236203760281711</v>
      </c>
      <c r="O384" s="76">
        <f>MAX(0,(N384-Constantes!$D$14)*(1-EXP(-Constantes!$D$22)))</f>
        <v>1.0555038527579486</v>
      </c>
      <c r="P384" s="170">
        <f>P383+(Entradas!$F$83*M384-Q383)/(800*Entradas!$D$25)</f>
        <v>0</v>
      </c>
      <c r="Q384" s="170">
        <f>8000*Entradas!$D$26*P384/Constantes!$F$45</f>
        <v>0</v>
      </c>
      <c r="R384" s="170">
        <f>IF(Escenarios!$F$14&gt;0,K384*Escenarios!$F$13/Escenarios!$F$14,0)</f>
        <v>0</v>
      </c>
      <c r="S384" s="170">
        <f>IF(Escenarios!$F$14&gt;0,Q384*Escenarios!$F$13/Escenarios!$F$14,0)</f>
        <v>0</v>
      </c>
      <c r="T384" s="170">
        <f>IF(Escenarios!$F$14&gt;0,Observaciones!$I383,0)</f>
        <v>0</v>
      </c>
      <c r="U384" s="170">
        <f>IF(Escenarios!$F$14&gt;0,MAX(0,Constantes!$F$36/((Z383+R384+S384+T384+Observaciones!$F383)^2)+Entradas!$F$77),0)</f>
        <v>1.744784428699919</v>
      </c>
      <c r="V384" s="146">
        <f>IF(ETo!D383&gt;0,ETo!I383*((1-Entradas!$F$81)*ETo!K383+ETo!L383),0)</f>
        <v>4.0076387957249384</v>
      </c>
      <c r="W384" s="170">
        <f>IF(Escenarios!$F$14&gt;0,MIN(V384*1,0.8*(Z383+R384+S384+T384+Observaciones!$F383-U384-Constantes!$F$35)),0)</f>
        <v>4.0076387957249384</v>
      </c>
      <c r="X384" s="170">
        <f>IF(Escenarios!$F$14&gt;0,Observaciones!$J383,0)</f>
        <v>0</v>
      </c>
      <c r="Y384" s="170">
        <f>IF(Escenarios!$F$14&gt;0,MAX(0,Z383+R384+S384+T384+Observaciones!$F383-U384-W384-X384-Constantes!$F$33),0)</f>
        <v>0</v>
      </c>
      <c r="Z384" s="170">
        <f>Z383+R384+S384+T384+Observaciones!$F383-U384-W384-Y384</f>
        <v>84.686906370351394</v>
      </c>
      <c r="AA384" s="170">
        <f>IF(Escenarios!$F$14&gt;0,(Escenarios!$F$13*L384+Escenarios!$F$14*W384)/(Escenarios!$F$16),L384)</f>
        <v>2.7436833749570133</v>
      </c>
      <c r="AB384" s="170">
        <f>IF(Escenarios!$F$14&gt;0,(Escenarios!$F$14*Y384)/(Escenarios!$F$16),K384)</f>
        <v>0</v>
      </c>
      <c r="AC384" s="170">
        <f>IF(Escenarios!$F$14&gt;0,(Escenarios!$F$13*M384+Escenarios!$F$14*U384)/(Escenarios!$F$16),M384)</f>
        <v>0.20937413144399028</v>
      </c>
      <c r="AD384" s="76">
        <f t="shared" si="71"/>
        <v>96.45058945506662</v>
      </c>
      <c r="AE384" s="76">
        <f>MAX(0,(AD384-Constantes!$D$13)*(1-EXP(-Constantes!$D$23)))</f>
        <v>0.47000526929601633</v>
      </c>
      <c r="AF384" s="76">
        <f>AB384+O384*Escenarios!$F$13/Escenarios!$F$16+AE384</f>
        <v>1.398848659723011</v>
      </c>
      <c r="AG384" s="76">
        <f>IF(Entradas!$F$91&gt;0,IF(AF384-Escenarios!$F$38&lt;=0,0,IF(AF384-Escenarios!$F$38&gt;Escenarios!$F$37,Escenarios!$F$37,AF384-Escenarios!$F$38)),0)</f>
        <v>0.36204865972301103</v>
      </c>
      <c r="AH384" s="76">
        <f>AG384*Entradas!$F$99</f>
        <v>0</v>
      </c>
      <c r="AI384" s="76">
        <f>IF(Entradas!$F$91&gt;0,D384*Entradas!$D$23/Escenarios!$F$16,0)</f>
        <v>0.21641433408502053</v>
      </c>
      <c r="AJ384" s="76">
        <f>IF(Entradas!$F$91&gt;0,Entradas!$D$24*Entradas!$D$22/Escenarios!$F$16,0)</f>
        <v>0.12</v>
      </c>
      <c r="AK384" s="76">
        <f t="shared" si="72"/>
        <v>2.9600977090420337</v>
      </c>
      <c r="AL384" s="76">
        <f t="shared" si="73"/>
        <v>0</v>
      </c>
      <c r="AM384" s="76">
        <f t="shared" si="74"/>
        <v>0.36204865972301103</v>
      </c>
      <c r="AN384" s="76">
        <f>MAX(0,O384*Escenarios!$F$13/Escenarios!$F$16-AM384)</f>
        <v>0.56679473070398367</v>
      </c>
      <c r="AO384" s="76">
        <f>AM384+AN384-O384*Escenarios!$F$13/Escenarios!$F$16</f>
        <v>0</v>
      </c>
      <c r="AP384" s="76">
        <f t="shared" si="75"/>
        <v>0.47000526929601633</v>
      </c>
      <c r="AQ384" s="76">
        <f t="shared" si="76"/>
        <v>0</v>
      </c>
      <c r="AR384" s="76">
        <f t="shared" si="77"/>
        <v>1.0367999999999999</v>
      </c>
      <c r="AS384" s="76">
        <f t="shared" si="78"/>
        <v>2.5634325637990507E-2</v>
      </c>
      <c r="AT384" s="76">
        <f t="shared" si="79"/>
        <v>0.23500845708198079</v>
      </c>
      <c r="AU384" s="76">
        <f t="shared" si="80"/>
        <v>49.218959927526171</v>
      </c>
      <c r="AV384" s="76">
        <f>MAX(0,(AU384-Constantes!$D$13)*(1-EXP(-Constantes!$D$24)))</f>
        <v>7.1681683560887556E-3</v>
      </c>
      <c r="AW384" s="170">
        <f>AW383+(Entradas!$F$112*AT384-AX383)/(800*Entradas!$D$25)</f>
        <v>0</v>
      </c>
      <c r="AX384" s="170">
        <f>8000*Entradas!$D$26*AW384/Constantes!$F$45</f>
        <v>0</v>
      </c>
      <c r="AY384" s="170">
        <f>IF(Escenarios!$F$17&gt;0,10*Escenarios!$F$16*AL384,0)</f>
        <v>0</v>
      </c>
      <c r="AZ384" s="170">
        <f>IF(Escenarios!$F$17&gt;0,10*Escenarios!$F$16*AX384,0)</f>
        <v>0</v>
      </c>
      <c r="BA384" s="170">
        <f>IF(Escenarios!$F$17&gt;0,0.001*Observaciones!$F383*Escenarios!$F$17,0)</f>
        <v>0</v>
      </c>
      <c r="BB384" s="170">
        <f>IF(Escenarios!$F$17&gt;0,Observaciones!$K383,0)</f>
        <v>0</v>
      </c>
      <c r="BC384" s="170">
        <f>IF(Escenarios!$F$17&gt;0,MIN(0.0005*ETo!$M383*Escenarios!$F$17*(BG383/Constantes!$F$40)^(2/3),BG383+AY384+AZ384+BA384+BB384),0)</f>
        <v>0</v>
      </c>
      <c r="BD384" s="170">
        <f>IF(Escenarios!$F$17&gt;0,MIN(Constantes!$F$39*(BG383/Constantes!$F$40)^(2/3),BG383+AY384+AZ384+BA384+BB384-BC384),0)</f>
        <v>0</v>
      </c>
      <c r="BE384" s="170">
        <f>IF(Escenarios!$F$17&gt;0,MIN(Entradas!$F$113,BG383+AY384+AZ384+BA384+BB384-BC384-BD384),0)</f>
        <v>0</v>
      </c>
      <c r="BF384" s="170">
        <f>IF(Escenarios!$F$17&gt;0,MAX(0,BG383+AY384+AZ384+BA384+BB384-BC384-BD384-BE384-Constantes!$F$40),0)</f>
        <v>0</v>
      </c>
      <c r="BG384" s="170">
        <f t="shared" si="81"/>
        <v>0</v>
      </c>
      <c r="BH384" s="170">
        <f>(Escenarios!$F$16*AK384+0.1*BC384)/(Escenarios!$F$19)</f>
        <v>2.9600977090420337</v>
      </c>
      <c r="BI384" s="170">
        <f>IF(Escenarios!$F$17&gt;0,BF384/10/Escenarios!$F$19,AL384)</f>
        <v>0</v>
      </c>
      <c r="BJ384" s="170">
        <f>(Escenarios!$F$16*AT384+0.1*BD384)/(Escenarios!$F$19)</f>
        <v>0.23500845708198079</v>
      </c>
      <c r="BK384" s="76">
        <f>BK383+(0.1*BD384)/(Escenarios!$F$19)-BL383</f>
        <v>48.75</v>
      </c>
      <c r="BL384" s="76">
        <f>MAX(0,(BK384-Constantes!$D$13)*(1-EXP(-Constantes!$D$23)))</f>
        <v>0</v>
      </c>
      <c r="BM384" s="76">
        <f t="shared" si="82"/>
        <v>0.47717343765210507</v>
      </c>
      <c r="BN384" s="76">
        <f t="shared" si="83"/>
        <v>1.0439681683560886</v>
      </c>
      <c r="BO384" s="76">
        <f>0.0526*BI384*Observaciones!$F383^1.218</f>
        <v>0</v>
      </c>
      <c r="BP384" s="76">
        <f>BO384*Constantes!$F$51</f>
        <v>0</v>
      </c>
      <c r="BQ384" s="76">
        <f t="shared" si="84"/>
        <v>0</v>
      </c>
      <c r="BR384" s="40"/>
    </row>
    <row r="385" spans="2:70">
      <c r="B385" s="39"/>
      <c r="C385" s="75">
        <v>379</v>
      </c>
      <c r="D385" s="146">
        <f>ETo!$I384*((1-Constantes!$F$19)*ETo!$K384+ETo!$L384)</f>
        <v>4.4990362131084352</v>
      </c>
      <c r="E385" s="76">
        <f>MIN(D385*Constantes!$F$17,0.8*(N384+Observaciones!$F384-F385-M385-Constantes!$D$14))</f>
        <v>2.5658532502446172</v>
      </c>
      <c r="F385" s="76">
        <f>IF(Observaciones!$F384&gt;0.05*Constantes!$F$18,((Observaciones!$F384-0.05*Constantes!$F$18)^2)/(Observaciones!$F384+0.95*Constantes!$F$18),0)</f>
        <v>0</v>
      </c>
      <c r="G385" s="76">
        <f>IF(Escenarios!$F$11&gt;0,(F385*Escenarios!$F$16*10000)/1000,0)</f>
        <v>0</v>
      </c>
      <c r="H385" s="76">
        <f>IF(Escenarios!$F$11&gt;0,(Observaciones!$F384*Constantes!$F$29)/1000,0)</f>
        <v>0</v>
      </c>
      <c r="I385" s="76">
        <f>IF(Escenarios!$F$11&gt;0,(D385*Constantes!$F$29)/1000,0)</f>
        <v>0</v>
      </c>
      <c r="J385" s="76">
        <f>IF(Escenarios!$F$11&gt;0,MAX(0,G385+H385-I385),0)</f>
        <v>0</v>
      </c>
      <c r="K385" s="76">
        <f>IF(Escenarios!$F$11&gt;0,IF(J385&gt;Constantes!$F$30,1000*((J385-Constantes!$F$30)/(Escenarios!$F$16*10000)),0),F385)</f>
        <v>0</v>
      </c>
      <c r="L385" s="76">
        <f>IF(Escenarios!$F$11&gt;0,I385*1000/Escenarios!$F$16/10000+E385,E385)</f>
        <v>2.5658532502446172</v>
      </c>
      <c r="M385" s="76">
        <f>MAX(0,N384+Observaciones!$F384-K385-Constantes!$D$13)</f>
        <v>0</v>
      </c>
      <c r="N385" s="76">
        <f>N384+Observaciones!$F384-K385-L385-M385-O384</f>
        <v>39.014846657279143</v>
      </c>
      <c r="O385" s="76">
        <f>MAX(0,(N385-Constantes!$D$14)*(1-EXP(-Constantes!$D$22)))</f>
        <v>0.94577260398565688</v>
      </c>
      <c r="P385" s="170">
        <f>P384+(Entradas!$F$83*M385-Q384)/(800*Entradas!$D$25)</f>
        <v>0</v>
      </c>
      <c r="Q385" s="170">
        <f>8000*Entradas!$D$26*P385/Constantes!$F$45</f>
        <v>0</v>
      </c>
      <c r="R385" s="170">
        <f>IF(Escenarios!$F$14&gt;0,K385*Escenarios!$F$13/Escenarios!$F$14,0)</f>
        <v>0</v>
      </c>
      <c r="S385" s="170">
        <f>IF(Escenarios!$F$14&gt;0,Q385*Escenarios!$F$13/Escenarios!$F$14,0)</f>
        <v>0</v>
      </c>
      <c r="T385" s="170">
        <f>IF(Escenarios!$F$14&gt;0,Observaciones!$I384,0)</f>
        <v>0</v>
      </c>
      <c r="U385" s="170">
        <f>IF(Escenarios!$F$14&gt;0,MAX(0,Constantes!$F$36/((Z384+R385+S385+T385+Observaciones!$F384)^2)+Entradas!$F$77),0)</f>
        <v>1.5818978366134073</v>
      </c>
      <c r="V385" s="146">
        <f>IF(ETo!D384&gt;0,ETo!I384*((1-Entradas!$F$81)*ETo!K384+ETo!L384),0)</f>
        <v>3.9989727288726247</v>
      </c>
      <c r="W385" s="170">
        <f>IF(Escenarios!$F$14&gt;0,MIN(V385*1,0.8*(Z384+R385+S385+T385+Observaciones!$F384-U385-Constantes!$F$35)),0)</f>
        <v>3.9989727288726247</v>
      </c>
      <c r="X385" s="170">
        <f>IF(Escenarios!$F$14&gt;0,Observaciones!$J384,0)</f>
        <v>0</v>
      </c>
      <c r="Y385" s="170">
        <f>IF(Escenarios!$F$14&gt;0,MAX(0,Z384+R385+S385+T385+Observaciones!$F384-U385-W385-X385-Constantes!$F$33),0)</f>
        <v>0</v>
      </c>
      <c r="Z385" s="170">
        <f>Z384+R385+S385+T385+Observaciones!$F384-U385-W385-Y385</f>
        <v>79.506035804865363</v>
      </c>
      <c r="AA385" s="170">
        <f>IF(Escenarios!$F$14&gt;0,(Escenarios!$F$13*L385+Escenarios!$F$14*W385)/(Escenarios!$F$16),L385)</f>
        <v>2.7378275876799778</v>
      </c>
      <c r="AB385" s="170">
        <f>IF(Escenarios!$F$14&gt;0,(Escenarios!$F$14*Y385)/(Escenarios!$F$16),K385)</f>
        <v>0</v>
      </c>
      <c r="AC385" s="170">
        <f>IF(Escenarios!$F$14&gt;0,(Escenarios!$F$13*M385+Escenarios!$F$14*U385)/(Escenarios!$F$16),M385)</f>
        <v>0.18982774039360889</v>
      </c>
      <c r="AD385" s="76">
        <f t="shared" si="71"/>
        <v>96.170411926164221</v>
      </c>
      <c r="AE385" s="76">
        <f>MAX(0,(AD385-Constantes!$D$13)*(1-EXP(-Constantes!$D$23)))</f>
        <v>0.46724461337065276</v>
      </c>
      <c r="AF385" s="76">
        <f>AB385+O385*Escenarios!$F$13/Escenarios!$F$16+AE385</f>
        <v>1.2995245048780308</v>
      </c>
      <c r="AG385" s="76">
        <f>IF(Entradas!$F$91&gt;0,IF(AF385-Escenarios!$F$38&lt;=0,0,IF(AF385-Escenarios!$F$38&gt;Escenarios!$F$37,Escenarios!$F$37,AF385-Escenarios!$F$38)),0)</f>
        <v>0.2627245048780309</v>
      </c>
      <c r="AH385" s="76">
        <f>AG385*Entradas!$F$99</f>
        <v>0</v>
      </c>
      <c r="AI385" s="76">
        <f>IF(Entradas!$F$91&gt;0,D385*Entradas!$D$23/Escenarios!$F$16,0)</f>
        <v>0.21595373822920488</v>
      </c>
      <c r="AJ385" s="76">
        <f>IF(Entradas!$F$91&gt;0,Entradas!$D$24*Entradas!$D$22/Escenarios!$F$16,0)</f>
        <v>0.12</v>
      </c>
      <c r="AK385" s="76">
        <f t="shared" si="72"/>
        <v>2.9537813259091825</v>
      </c>
      <c r="AL385" s="76">
        <f t="shared" si="73"/>
        <v>0</v>
      </c>
      <c r="AM385" s="76">
        <f t="shared" si="74"/>
        <v>0.2627245048780309</v>
      </c>
      <c r="AN385" s="76">
        <f>MAX(0,O385*Escenarios!$F$13/Escenarios!$F$16-AM385)</f>
        <v>0.56955538662934713</v>
      </c>
      <c r="AO385" s="76">
        <f>AM385+AN385-O385*Escenarios!$F$13/Escenarios!$F$16</f>
        <v>0</v>
      </c>
      <c r="AP385" s="76">
        <f t="shared" si="75"/>
        <v>0.46724461337065276</v>
      </c>
      <c r="AQ385" s="76">
        <f t="shared" si="76"/>
        <v>0</v>
      </c>
      <c r="AR385" s="76">
        <f t="shared" si="77"/>
        <v>1.0367999999999999</v>
      </c>
      <c r="AS385" s="76">
        <f t="shared" si="78"/>
        <v>0</v>
      </c>
      <c r="AT385" s="76">
        <f t="shared" si="79"/>
        <v>0.18982774039360889</v>
      </c>
      <c r="AU385" s="76">
        <f t="shared" si="80"/>
        <v>49.211791759170083</v>
      </c>
      <c r="AV385" s="76">
        <f>MAX(0,(AU385-Constantes!$D$13)*(1-EXP(-Constantes!$D$24)))</f>
        <v>7.0586011317583545E-3</v>
      </c>
      <c r="AW385" s="170">
        <f>AW384+(Entradas!$F$112*AT385-AX384)/(800*Entradas!$D$25)</f>
        <v>0</v>
      </c>
      <c r="AX385" s="170">
        <f>8000*Entradas!$D$26*AW385/Constantes!$F$45</f>
        <v>0</v>
      </c>
      <c r="AY385" s="170">
        <f>IF(Escenarios!$F$17&gt;0,10*Escenarios!$F$16*AL385,0)</f>
        <v>0</v>
      </c>
      <c r="AZ385" s="170">
        <f>IF(Escenarios!$F$17&gt;0,10*Escenarios!$F$16*AX385,0)</f>
        <v>0</v>
      </c>
      <c r="BA385" s="170">
        <f>IF(Escenarios!$F$17&gt;0,0.001*Observaciones!$F384*Escenarios!$F$17,0)</f>
        <v>0</v>
      </c>
      <c r="BB385" s="170">
        <f>IF(Escenarios!$F$17&gt;0,Observaciones!$K384,0)</f>
        <v>0</v>
      </c>
      <c r="BC385" s="170">
        <f>IF(Escenarios!$F$17&gt;0,MIN(0.0005*ETo!$M384*Escenarios!$F$17*(BG384/Constantes!$F$40)^(2/3),BG384+AY385+AZ385+BA385+BB385),0)</f>
        <v>0</v>
      </c>
      <c r="BD385" s="170">
        <f>IF(Escenarios!$F$17&gt;0,MIN(Constantes!$F$39*(BG384/Constantes!$F$40)^(2/3),BG384+AY385+AZ385+BA385+BB385-BC385),0)</f>
        <v>0</v>
      </c>
      <c r="BE385" s="170">
        <f>IF(Escenarios!$F$17&gt;0,MIN(Entradas!$F$113,BG384+AY385+AZ385+BA385+BB385-BC385-BD385),0)</f>
        <v>0</v>
      </c>
      <c r="BF385" s="170">
        <f>IF(Escenarios!$F$17&gt;0,MAX(0,BG384+AY385+AZ385+BA385+BB385-BC385-BD385-BE385-Constantes!$F$40),0)</f>
        <v>0</v>
      </c>
      <c r="BG385" s="170">
        <f t="shared" si="81"/>
        <v>0</v>
      </c>
      <c r="BH385" s="170">
        <f>(Escenarios!$F$16*AK385+0.1*BC385)/(Escenarios!$F$19)</f>
        <v>2.9537813259091825</v>
      </c>
      <c r="BI385" s="170">
        <f>IF(Escenarios!$F$17&gt;0,BF385/10/Escenarios!$F$19,AL385)</f>
        <v>0</v>
      </c>
      <c r="BJ385" s="170">
        <f>(Escenarios!$F$16*AT385+0.1*BD385)/(Escenarios!$F$19)</f>
        <v>0.18982774039360889</v>
      </c>
      <c r="BK385" s="76">
        <f>BK384+(0.1*BD385)/(Escenarios!$F$19)-BL384</f>
        <v>48.75</v>
      </c>
      <c r="BL385" s="76">
        <f>MAX(0,(BK385-Constantes!$D$13)*(1-EXP(-Constantes!$D$23)))</f>
        <v>0</v>
      </c>
      <c r="BM385" s="76">
        <f t="shared" si="82"/>
        <v>0.47430321450241114</v>
      </c>
      <c r="BN385" s="76">
        <f t="shared" si="83"/>
        <v>1.0438586011317583</v>
      </c>
      <c r="BO385" s="76">
        <f>0.0526*BI385*Observaciones!$F384^1.218</f>
        <v>0</v>
      </c>
      <c r="BP385" s="76">
        <f>BO385*Constantes!$F$51</f>
        <v>0</v>
      </c>
      <c r="BQ385" s="76">
        <f t="shared" si="84"/>
        <v>0</v>
      </c>
      <c r="BR385" s="40"/>
    </row>
    <row r="386" spans="2:70">
      <c r="B386" s="39"/>
      <c r="C386" s="75">
        <v>380</v>
      </c>
      <c r="D386" s="146">
        <f>ETo!$I385*((1-Constantes!$F$19)*ETo!$K385+ETo!$L385)</f>
        <v>4.4940408070914115</v>
      </c>
      <c r="E386" s="76">
        <f>MIN(D386*Constantes!$F$17,0.8*(N385+Observaciones!$F385-F386-M386-Constantes!$D$14))</f>
        <v>2.5630043114590779</v>
      </c>
      <c r="F386" s="76">
        <f>IF(Observaciones!$F385&gt;0.05*Constantes!$F$18,((Observaciones!$F385-0.05*Constantes!$F$18)^2)/(Observaciones!$F385+0.95*Constantes!$F$18),0)</f>
        <v>0</v>
      </c>
      <c r="G386" s="76">
        <f>IF(Escenarios!$F$11&gt;0,(F386*Escenarios!$F$16*10000)/1000,0)</f>
        <v>0</v>
      </c>
      <c r="H386" s="76">
        <f>IF(Escenarios!$F$11&gt;0,(Observaciones!$F385*Constantes!$F$29)/1000,0)</f>
        <v>0</v>
      </c>
      <c r="I386" s="76">
        <f>IF(Escenarios!$F$11&gt;0,(D386*Constantes!$F$29)/1000,0)</f>
        <v>0</v>
      </c>
      <c r="J386" s="76">
        <f>IF(Escenarios!$F$11&gt;0,MAX(0,G386+H386-I386),0)</f>
        <v>0</v>
      </c>
      <c r="K386" s="76">
        <f>IF(Escenarios!$F$11&gt;0,IF(J386&gt;Constantes!$F$30,1000*((J386-Constantes!$F$30)/(Escenarios!$F$16*10000)),0),F386)</f>
        <v>0</v>
      </c>
      <c r="L386" s="76">
        <f>IF(Escenarios!$F$11&gt;0,I386*1000/Escenarios!$F$16/10000+E386,E386)</f>
        <v>2.5630043114590779</v>
      </c>
      <c r="M386" s="76">
        <f>MAX(0,N385+Observaciones!$F385-K386-Constantes!$D$13)</f>
        <v>0</v>
      </c>
      <c r="N386" s="76">
        <f>N385+Observaciones!$F385-K386-L386-M386-O385</f>
        <v>36.006069741834409</v>
      </c>
      <c r="O386" s="76">
        <f>MAX(0,(N386-Constantes!$D$14)*(1-EXP(-Constantes!$D$22)))</f>
        <v>0.84328261679942984</v>
      </c>
      <c r="P386" s="170">
        <f>P385+(Entradas!$F$83*M386-Q385)/(800*Entradas!$D$25)</f>
        <v>0</v>
      </c>
      <c r="Q386" s="170">
        <f>8000*Entradas!$D$26*P386/Constantes!$F$45</f>
        <v>0</v>
      </c>
      <c r="R386" s="170">
        <f>IF(Escenarios!$F$14&gt;0,K386*Escenarios!$F$13/Escenarios!$F$14,0)</f>
        <v>0</v>
      </c>
      <c r="S386" s="170">
        <f>IF(Escenarios!$F$14&gt;0,Q386*Escenarios!$F$13/Escenarios!$F$14,0)</f>
        <v>0</v>
      </c>
      <c r="T386" s="170">
        <f>IF(Escenarios!$F$14&gt;0,Observaciones!$I385,0)</f>
        <v>0</v>
      </c>
      <c r="U386" s="170">
        <f>IF(Escenarios!$F$14&gt;0,MAX(0,Constantes!$F$36/((Z385+R386+S386+T386+Observaciones!$F385)^2)+Entradas!$F$77),0)</f>
        <v>1.3960623479972418</v>
      </c>
      <c r="V386" s="146">
        <f>IF(ETo!D385&gt;0,ETo!I385*((1-Entradas!$F$81)*ETo!K385+ETo!L385),0)</f>
        <v>3.9944593944092763</v>
      </c>
      <c r="W386" s="170">
        <f>IF(Escenarios!$F$14&gt;0,MIN(V386*1,0.8*(Z385+R386+S386+T386+Observaciones!$F385-U386-Constantes!$F$35)),0)</f>
        <v>3.9944593944092763</v>
      </c>
      <c r="X386" s="170">
        <f>IF(Escenarios!$F$14&gt;0,Observaciones!$J385,0)</f>
        <v>0</v>
      </c>
      <c r="Y386" s="170">
        <f>IF(Escenarios!$F$14&gt;0,MAX(0,Z385+R386+S386+T386+Observaciones!$F385-U386-W386-X386-Constantes!$F$33),0)</f>
        <v>0</v>
      </c>
      <c r="Z386" s="170">
        <f>Z385+R386+S386+T386+Observaciones!$F385-U386-W386-Y386</f>
        <v>74.615514062458843</v>
      </c>
      <c r="AA386" s="170">
        <f>IF(Escenarios!$F$14&gt;0,(Escenarios!$F$13*L386+Escenarios!$F$14*W386)/(Escenarios!$F$16),L386)</f>
        <v>2.7347789214131017</v>
      </c>
      <c r="AB386" s="170">
        <f>IF(Escenarios!$F$14&gt;0,(Escenarios!$F$14*Y386)/(Escenarios!$F$16),K386)</f>
        <v>0</v>
      </c>
      <c r="AC386" s="170">
        <f>IF(Escenarios!$F$14&gt;0,(Escenarios!$F$13*M386+Escenarios!$F$14*U386)/(Escenarios!$F$16),M386)</f>
        <v>0.16752748175966903</v>
      </c>
      <c r="AD386" s="76">
        <f t="shared" si="71"/>
        <v>95.870694794553231</v>
      </c>
      <c r="AE386" s="76">
        <f>MAX(0,(AD386-Constantes!$D$13)*(1-EXP(-Constantes!$D$23)))</f>
        <v>0.46429142908583065</v>
      </c>
      <c r="AF386" s="76">
        <f>AB386+O386*Escenarios!$F$13/Escenarios!$F$16+AE386</f>
        <v>1.206380131869329</v>
      </c>
      <c r="AG386" s="76">
        <f>IF(Entradas!$F$91&gt;0,IF(AF386-Escenarios!$F$38&lt;=0,0,IF(AF386-Escenarios!$F$38&gt;Escenarios!$F$37,Escenarios!$F$37,AF386-Escenarios!$F$38)),0)</f>
        <v>0.16958013186932908</v>
      </c>
      <c r="AH386" s="76">
        <f>AG386*Entradas!$F$99</f>
        <v>0</v>
      </c>
      <c r="AI386" s="76">
        <f>IF(Entradas!$F$91&gt;0,D386*Entradas!$D$23/Escenarios!$F$16,0)</f>
        <v>0.21571395874038773</v>
      </c>
      <c r="AJ386" s="76">
        <f>IF(Entradas!$F$91&gt;0,Entradas!$D$24*Entradas!$D$22/Escenarios!$F$16,0)</f>
        <v>0.12</v>
      </c>
      <c r="AK386" s="76">
        <f t="shared" si="72"/>
        <v>2.9504928801534893</v>
      </c>
      <c r="AL386" s="76">
        <f t="shared" si="73"/>
        <v>0</v>
      </c>
      <c r="AM386" s="76">
        <f t="shared" si="74"/>
        <v>0.16958013186932908</v>
      </c>
      <c r="AN386" s="76">
        <f>MAX(0,O386*Escenarios!$F$13/Escenarios!$F$16-AM386)</f>
        <v>0.57250857091416918</v>
      </c>
      <c r="AO386" s="76">
        <f>AM386+AN386-O386*Escenarios!$F$13/Escenarios!$F$16</f>
        <v>0</v>
      </c>
      <c r="AP386" s="76">
        <f t="shared" si="75"/>
        <v>0.46429142908583065</v>
      </c>
      <c r="AQ386" s="76">
        <f t="shared" si="76"/>
        <v>0</v>
      </c>
      <c r="AR386" s="76">
        <f t="shared" si="77"/>
        <v>1.0367999999999999</v>
      </c>
      <c r="AS386" s="76">
        <f t="shared" si="78"/>
        <v>0</v>
      </c>
      <c r="AT386" s="76">
        <f t="shared" si="79"/>
        <v>0.16752748175966903</v>
      </c>
      <c r="AU386" s="76">
        <f t="shared" si="80"/>
        <v>49.204733158038323</v>
      </c>
      <c r="AV386" s="76">
        <f>MAX(0,(AU386-Constantes!$D$13)*(1-EXP(-Constantes!$D$24)))</f>
        <v>6.9507086695220974E-3</v>
      </c>
      <c r="AW386" s="170">
        <f>AW385+(Entradas!$F$112*AT386-AX385)/(800*Entradas!$D$25)</f>
        <v>0</v>
      </c>
      <c r="AX386" s="170">
        <f>8000*Entradas!$D$26*AW386/Constantes!$F$45</f>
        <v>0</v>
      </c>
      <c r="AY386" s="170">
        <f>IF(Escenarios!$F$17&gt;0,10*Escenarios!$F$16*AL386,0)</f>
        <v>0</v>
      </c>
      <c r="AZ386" s="170">
        <f>IF(Escenarios!$F$17&gt;0,10*Escenarios!$F$16*AX386,0)</f>
        <v>0</v>
      </c>
      <c r="BA386" s="170">
        <f>IF(Escenarios!$F$17&gt;0,0.001*Observaciones!$F385*Escenarios!$F$17,0)</f>
        <v>0</v>
      </c>
      <c r="BB386" s="170">
        <f>IF(Escenarios!$F$17&gt;0,Observaciones!$K385,0)</f>
        <v>0</v>
      </c>
      <c r="BC386" s="170">
        <f>IF(Escenarios!$F$17&gt;0,MIN(0.0005*ETo!$M385*Escenarios!$F$17*(BG385/Constantes!$F$40)^(2/3),BG385+AY386+AZ386+BA386+BB386),0)</f>
        <v>0</v>
      </c>
      <c r="BD386" s="170">
        <f>IF(Escenarios!$F$17&gt;0,MIN(Constantes!$F$39*(BG385/Constantes!$F$40)^(2/3),BG385+AY386+AZ386+BA386+BB386-BC386),0)</f>
        <v>0</v>
      </c>
      <c r="BE386" s="170">
        <f>IF(Escenarios!$F$17&gt;0,MIN(Entradas!$F$113,BG385+AY386+AZ386+BA386+BB386-BC386-BD386),0)</f>
        <v>0</v>
      </c>
      <c r="BF386" s="170">
        <f>IF(Escenarios!$F$17&gt;0,MAX(0,BG385+AY386+AZ386+BA386+BB386-BC386-BD386-BE386-Constantes!$F$40),0)</f>
        <v>0</v>
      </c>
      <c r="BG386" s="170">
        <f t="shared" si="81"/>
        <v>0</v>
      </c>
      <c r="BH386" s="170">
        <f>(Escenarios!$F$16*AK386+0.1*BC386)/(Escenarios!$F$19)</f>
        <v>2.9504928801534893</v>
      </c>
      <c r="BI386" s="170">
        <f>IF(Escenarios!$F$17&gt;0,BF386/10/Escenarios!$F$19,AL386)</f>
        <v>0</v>
      </c>
      <c r="BJ386" s="170">
        <f>(Escenarios!$F$16*AT386+0.1*BD386)/(Escenarios!$F$19)</f>
        <v>0.16752748175966903</v>
      </c>
      <c r="BK386" s="76">
        <f>BK385+(0.1*BD386)/(Escenarios!$F$19)-BL385</f>
        <v>48.75</v>
      </c>
      <c r="BL386" s="76">
        <f>MAX(0,(BK386-Constantes!$D$13)*(1-EXP(-Constantes!$D$23)))</f>
        <v>0</v>
      </c>
      <c r="BM386" s="76">
        <f t="shared" si="82"/>
        <v>0.47124213775535273</v>
      </c>
      <c r="BN386" s="76">
        <f t="shared" si="83"/>
        <v>1.0437507086695221</v>
      </c>
      <c r="BO386" s="76">
        <f>0.0526*BI386*Observaciones!$F385^1.218</f>
        <v>0</v>
      </c>
      <c r="BP386" s="76">
        <f>BO386*Constantes!$F$51</f>
        <v>0</v>
      </c>
      <c r="BQ386" s="76">
        <f t="shared" si="84"/>
        <v>0</v>
      </c>
      <c r="BR386" s="40"/>
    </row>
    <row r="387" spans="2:70">
      <c r="B387" s="39"/>
      <c r="C387" s="75">
        <v>381</v>
      </c>
      <c r="D387" s="146">
        <f>ETo!$I386*((1-Constantes!$F$19)*ETo!$K386+ETo!$L386)</f>
        <v>4.5215478051262732</v>
      </c>
      <c r="E387" s="76">
        <f>MIN(D387*Constantes!$F$17,0.8*(N386+Observaciones!$F386-F387-M387-Constantes!$D$14))</f>
        <v>2.5786918758548882</v>
      </c>
      <c r="F387" s="76">
        <f>IF(Observaciones!$F386&gt;0.05*Constantes!$F$18,((Observaciones!$F386-0.05*Constantes!$F$18)^2)/(Observaciones!$F386+0.95*Constantes!$F$18),0)</f>
        <v>0</v>
      </c>
      <c r="G387" s="76">
        <f>IF(Escenarios!$F$11&gt;0,(F387*Escenarios!$F$16*10000)/1000,0)</f>
        <v>0</v>
      </c>
      <c r="H387" s="76">
        <f>IF(Escenarios!$F$11&gt;0,(Observaciones!$F386*Constantes!$F$29)/1000,0)</f>
        <v>0</v>
      </c>
      <c r="I387" s="76">
        <f>IF(Escenarios!$F$11&gt;0,(D387*Constantes!$F$29)/1000,0)</f>
        <v>0</v>
      </c>
      <c r="J387" s="76">
        <f>IF(Escenarios!$F$11&gt;0,MAX(0,G387+H387-I387),0)</f>
        <v>0</v>
      </c>
      <c r="K387" s="76">
        <f>IF(Escenarios!$F$11&gt;0,IF(J387&gt;Constantes!$F$30,1000*((J387-Constantes!$F$30)/(Escenarios!$F$16*10000)),0),F387)</f>
        <v>0</v>
      </c>
      <c r="L387" s="76">
        <f>IF(Escenarios!$F$11&gt;0,I387*1000/Escenarios!$F$16/10000+E387,E387)</f>
        <v>2.5786918758548882</v>
      </c>
      <c r="M387" s="76">
        <f>MAX(0,N386+Observaciones!$F386-K387-Constantes!$D$13)</f>
        <v>0</v>
      </c>
      <c r="N387" s="76">
        <f>N386+Observaciones!$F386-K387-L387-M387-O386</f>
        <v>32.584095249180095</v>
      </c>
      <c r="O387" s="76">
        <f>MAX(0,(N387-Constantes!$D$14)*(1-EXP(-Constantes!$D$22)))</f>
        <v>0.72671760325408485</v>
      </c>
      <c r="P387" s="170">
        <f>P386+(Entradas!$F$83*M387-Q386)/(800*Entradas!$D$25)</f>
        <v>0</v>
      </c>
      <c r="Q387" s="170">
        <f>8000*Entradas!$D$26*P387/Constantes!$F$45</f>
        <v>0</v>
      </c>
      <c r="R387" s="170">
        <f>IF(Escenarios!$F$14&gt;0,K387*Escenarios!$F$13/Escenarios!$F$14,0)</f>
        <v>0</v>
      </c>
      <c r="S387" s="170">
        <f>IF(Escenarios!$F$14&gt;0,Q387*Escenarios!$F$13/Escenarios!$F$14,0)</f>
        <v>0</v>
      </c>
      <c r="T387" s="170">
        <f>IF(Escenarios!$F$14&gt;0,Observaciones!$I386,0)</f>
        <v>0</v>
      </c>
      <c r="U387" s="170">
        <f>IF(Escenarios!$F$14&gt;0,MAX(0,Constantes!$F$36/((Z386+R387+S387+T387+Observaciones!$F386)^2)+Entradas!$F$77),0)</f>
        <v>1.1559414073979357</v>
      </c>
      <c r="V387" s="146">
        <f>IF(ETo!D386&gt;0,ETo!I386*((1-Entradas!$F$81)*ETo!K386+ETo!L386),0)</f>
        <v>4.0192868615514925</v>
      </c>
      <c r="W387" s="170">
        <f>IF(Escenarios!$F$14&gt;0,MIN(V387*1,0.8*(Z386+R387+S387+T387+Observaciones!$F386-U387-Constantes!$F$35)),0)</f>
        <v>4.0192868615514925</v>
      </c>
      <c r="X387" s="170">
        <f>IF(Escenarios!$F$14&gt;0,Observaciones!$J386,0)</f>
        <v>0</v>
      </c>
      <c r="Y387" s="170">
        <f>IF(Escenarios!$F$14&gt;0,MAX(0,Z386+R387+S387+T387+Observaciones!$F386-U387-W387-X387-Constantes!$F$33),0)</f>
        <v>0</v>
      </c>
      <c r="Z387" s="170">
        <f>Z386+R387+S387+T387+Observaciones!$F386-U387-W387-Y387</f>
        <v>69.440285793509418</v>
      </c>
      <c r="AA387" s="170">
        <f>IF(Escenarios!$F$14&gt;0,(Escenarios!$F$13*L387+Escenarios!$F$14*W387)/(Escenarios!$F$16),L387)</f>
        <v>2.7515632741384808</v>
      </c>
      <c r="AB387" s="170">
        <f>IF(Escenarios!$F$14&gt;0,(Escenarios!$F$14*Y387)/(Escenarios!$F$16),K387)</f>
        <v>0</v>
      </c>
      <c r="AC387" s="170">
        <f>IF(Escenarios!$F$14&gt;0,(Escenarios!$F$13*M387+Escenarios!$F$14*U387)/(Escenarios!$F$16),M387)</f>
        <v>0.13871296888775228</v>
      </c>
      <c r="AD387" s="76">
        <f t="shared" si="71"/>
        <v>95.545116334355157</v>
      </c>
      <c r="AE387" s="76">
        <f>MAX(0,(AD387-Constantes!$D$13)*(1-EXP(-Constantes!$D$23)))</f>
        <v>0.46108342697075144</v>
      </c>
      <c r="AF387" s="76">
        <f>AB387+O387*Escenarios!$F$13/Escenarios!$F$16+AE387</f>
        <v>1.1005949178343459</v>
      </c>
      <c r="AG387" s="76">
        <f>IF(Entradas!$F$91&gt;0,IF(AF387-Escenarios!$F$38&lt;=0,0,IF(AF387-Escenarios!$F$38&gt;Escenarios!$F$37,Escenarios!$F$37,AF387-Escenarios!$F$38)),0)</f>
        <v>6.3794917834345988E-2</v>
      </c>
      <c r="AH387" s="76">
        <f>AG387*Entradas!$F$99</f>
        <v>0</v>
      </c>
      <c r="AI387" s="76">
        <f>IF(Entradas!$F$91&gt;0,D387*Entradas!$D$23/Escenarios!$F$16,0)</f>
        <v>0.21703429464606111</v>
      </c>
      <c r="AJ387" s="76">
        <f>IF(Entradas!$F$91&gt;0,Entradas!$D$24*Entradas!$D$22/Escenarios!$F$16,0)</f>
        <v>0.12</v>
      </c>
      <c r="AK387" s="76">
        <f t="shared" si="72"/>
        <v>2.9685975687845421</v>
      </c>
      <c r="AL387" s="76">
        <f t="shared" si="73"/>
        <v>0</v>
      </c>
      <c r="AM387" s="76">
        <f t="shared" si="74"/>
        <v>6.3794917834345988E-2</v>
      </c>
      <c r="AN387" s="76">
        <f>MAX(0,O387*Escenarios!$F$13/Escenarios!$F$16-AM387)</f>
        <v>0.57571657302924861</v>
      </c>
      <c r="AO387" s="76">
        <f>AM387+AN387-O387*Escenarios!$F$13/Escenarios!$F$16</f>
        <v>0</v>
      </c>
      <c r="AP387" s="76">
        <f t="shared" si="75"/>
        <v>0.46108342697075144</v>
      </c>
      <c r="AQ387" s="76">
        <f t="shared" si="76"/>
        <v>0</v>
      </c>
      <c r="AR387" s="76">
        <f t="shared" si="77"/>
        <v>1.0367999999999999</v>
      </c>
      <c r="AS387" s="76">
        <f t="shared" si="78"/>
        <v>0</v>
      </c>
      <c r="AT387" s="76">
        <f t="shared" si="79"/>
        <v>0.13871296888775228</v>
      </c>
      <c r="AU387" s="76">
        <f t="shared" si="80"/>
        <v>49.197782449368802</v>
      </c>
      <c r="AV387" s="76">
        <f>MAX(0,(AU387-Constantes!$D$13)*(1-EXP(-Constantes!$D$24)))</f>
        <v>6.8444653702276767E-3</v>
      </c>
      <c r="AW387" s="170">
        <f>AW386+(Entradas!$F$112*AT387-AX386)/(800*Entradas!$D$25)</f>
        <v>0</v>
      </c>
      <c r="AX387" s="170">
        <f>8000*Entradas!$D$26*AW387/Constantes!$F$45</f>
        <v>0</v>
      </c>
      <c r="AY387" s="170">
        <f>IF(Escenarios!$F$17&gt;0,10*Escenarios!$F$16*AL387,0)</f>
        <v>0</v>
      </c>
      <c r="AZ387" s="170">
        <f>IF(Escenarios!$F$17&gt;0,10*Escenarios!$F$16*AX387,0)</f>
        <v>0</v>
      </c>
      <c r="BA387" s="170">
        <f>IF(Escenarios!$F$17&gt;0,0.001*Observaciones!$F386*Escenarios!$F$17,0)</f>
        <v>0</v>
      </c>
      <c r="BB387" s="170">
        <f>IF(Escenarios!$F$17&gt;0,Observaciones!$K386,0)</f>
        <v>0</v>
      </c>
      <c r="BC387" s="170">
        <f>IF(Escenarios!$F$17&gt;0,MIN(0.0005*ETo!$M386*Escenarios!$F$17*(BG386/Constantes!$F$40)^(2/3),BG386+AY387+AZ387+BA387+BB387),0)</f>
        <v>0</v>
      </c>
      <c r="BD387" s="170">
        <f>IF(Escenarios!$F$17&gt;0,MIN(Constantes!$F$39*(BG386/Constantes!$F$40)^(2/3),BG386+AY387+AZ387+BA387+BB387-BC387),0)</f>
        <v>0</v>
      </c>
      <c r="BE387" s="170">
        <f>IF(Escenarios!$F$17&gt;0,MIN(Entradas!$F$113,BG386+AY387+AZ387+BA387+BB387-BC387-BD387),0)</f>
        <v>0</v>
      </c>
      <c r="BF387" s="170">
        <f>IF(Escenarios!$F$17&gt;0,MAX(0,BG386+AY387+AZ387+BA387+BB387-BC387-BD387-BE387-Constantes!$F$40),0)</f>
        <v>0</v>
      </c>
      <c r="BG387" s="170">
        <f t="shared" si="81"/>
        <v>0</v>
      </c>
      <c r="BH387" s="170">
        <f>(Escenarios!$F$16*AK387+0.1*BC387)/(Escenarios!$F$19)</f>
        <v>2.9685975687845421</v>
      </c>
      <c r="BI387" s="170">
        <f>IF(Escenarios!$F$17&gt;0,BF387/10/Escenarios!$F$19,AL387)</f>
        <v>0</v>
      </c>
      <c r="BJ387" s="170">
        <f>(Escenarios!$F$16*AT387+0.1*BD387)/(Escenarios!$F$19)</f>
        <v>0.13871296888775228</v>
      </c>
      <c r="BK387" s="76">
        <f>BK386+(0.1*BD387)/(Escenarios!$F$19)-BL386</f>
        <v>48.75</v>
      </c>
      <c r="BL387" s="76">
        <f>MAX(0,(BK387-Constantes!$D$13)*(1-EXP(-Constantes!$D$23)))</f>
        <v>0</v>
      </c>
      <c r="BM387" s="76">
        <f t="shared" si="82"/>
        <v>0.46792789234097915</v>
      </c>
      <c r="BN387" s="76">
        <f t="shared" si="83"/>
        <v>1.0436444653702277</v>
      </c>
      <c r="BO387" s="76">
        <f>0.0526*BI387*Observaciones!$F386^1.218</f>
        <v>0</v>
      </c>
      <c r="BP387" s="76">
        <f>BO387*Constantes!$F$51</f>
        <v>0</v>
      </c>
      <c r="BQ387" s="76">
        <f t="shared" si="84"/>
        <v>0</v>
      </c>
      <c r="BR387" s="40"/>
    </row>
    <row r="388" spans="2:70">
      <c r="B388" s="39"/>
      <c r="C388" s="75">
        <v>382</v>
      </c>
      <c r="D388" s="146">
        <f>ETo!$I387*((1-Constantes!$F$19)*ETo!$K387+ETo!$L387)</f>
        <v>4.4838758355331922</v>
      </c>
      <c r="E388" s="76">
        <f>MIN(D388*Constantes!$F$17,0.8*(N387+Observaciones!$F387-F388-M388-Constantes!$D$14))</f>
        <v>2.5572071086636639</v>
      </c>
      <c r="F388" s="76">
        <f>IF(Observaciones!$F387&gt;0.05*Constantes!$F$18,((Observaciones!$F387-0.05*Constantes!$F$18)^2)/(Observaciones!$F387+0.95*Constantes!$F$18),0)</f>
        <v>0</v>
      </c>
      <c r="G388" s="76">
        <f>IF(Escenarios!$F$11&gt;0,(F388*Escenarios!$F$16*10000)/1000,0)</f>
        <v>0</v>
      </c>
      <c r="H388" s="76">
        <f>IF(Escenarios!$F$11&gt;0,(Observaciones!$F387*Constantes!$F$29)/1000,0)</f>
        <v>0</v>
      </c>
      <c r="I388" s="76">
        <f>IF(Escenarios!$F$11&gt;0,(D388*Constantes!$F$29)/1000,0)</f>
        <v>0</v>
      </c>
      <c r="J388" s="76">
        <f>IF(Escenarios!$F$11&gt;0,MAX(0,G388+H388-I388),0)</f>
        <v>0</v>
      </c>
      <c r="K388" s="76">
        <f>IF(Escenarios!$F$11&gt;0,IF(J388&gt;Constantes!$F$30,1000*((J388-Constantes!$F$30)/(Escenarios!$F$16*10000)),0),F388)</f>
        <v>0</v>
      </c>
      <c r="L388" s="76">
        <f>IF(Escenarios!$F$11&gt;0,I388*1000/Escenarios!$F$16/10000+E388,E388)</f>
        <v>2.5572071086636639</v>
      </c>
      <c r="M388" s="76">
        <f>MAX(0,N387+Observaciones!$F387-K388-Constantes!$D$13)</f>
        <v>0</v>
      </c>
      <c r="N388" s="76">
        <f>N387+Observaciones!$F387-K388-L388-M388-O387</f>
        <v>38.100170537262343</v>
      </c>
      <c r="O388" s="76">
        <f>MAX(0,(N388-Constantes!$D$14)*(1-EXP(-Constantes!$D$22)))</f>
        <v>0.91461537749310617</v>
      </c>
      <c r="P388" s="170">
        <f>P387+(Entradas!$F$83*M388-Q387)/(800*Entradas!$D$25)</f>
        <v>0</v>
      </c>
      <c r="Q388" s="170">
        <f>8000*Entradas!$D$26*P388/Constantes!$F$45</f>
        <v>0</v>
      </c>
      <c r="R388" s="170">
        <f>IF(Escenarios!$F$14&gt;0,K388*Escenarios!$F$13/Escenarios!$F$14,0)</f>
        <v>0</v>
      </c>
      <c r="S388" s="170">
        <f>IF(Escenarios!$F$14&gt;0,Q388*Escenarios!$F$13/Escenarios!$F$14,0)</f>
        <v>0</v>
      </c>
      <c r="T388" s="170">
        <f>IF(Escenarios!$F$14&gt;0,Observaciones!$I387,0)</f>
        <v>0</v>
      </c>
      <c r="U388" s="170">
        <f>IF(Escenarios!$F$14&gt;0,MAX(0,Constantes!$F$36/((Z387+R388+S388+T388+Observaciones!$F387)^2)+Entradas!$F$77),0)</f>
        <v>1.3228491348175571</v>
      </c>
      <c r="V388" s="146">
        <f>IF(ETo!D387&gt;0,ETo!I387*((1-Entradas!$F$81)*ETo!K387+ETo!L387),0)</f>
        <v>3.9852747383434242</v>
      </c>
      <c r="W388" s="170">
        <f>IF(Escenarios!$F$14&gt;0,MIN(V388*1,0.8*(Z387+R388+S388+T388+Observaciones!$F387-U388-Constantes!$F$35)),0)</f>
        <v>3.9852747383434242</v>
      </c>
      <c r="X388" s="170">
        <f>IF(Escenarios!$F$14&gt;0,Observaciones!$J387,0)</f>
        <v>0</v>
      </c>
      <c r="Y388" s="170">
        <f>IF(Escenarios!$F$14&gt;0,MAX(0,Z387+R388+S388+T388+Observaciones!$F387-U388-W388-X388-Constantes!$F$33),0)</f>
        <v>0</v>
      </c>
      <c r="Z388" s="170">
        <f>Z387+R388+S388+T388+Observaciones!$F387-U388-W388-Y388</f>
        <v>72.932161920348435</v>
      </c>
      <c r="AA388" s="170">
        <f>IF(Escenarios!$F$14&gt;0,(Escenarios!$F$13*L388+Escenarios!$F$14*W388)/(Escenarios!$F$16),L388)</f>
        <v>2.728575224225235</v>
      </c>
      <c r="AB388" s="170">
        <f>IF(Escenarios!$F$14&gt;0,(Escenarios!$F$14*Y388)/(Escenarios!$F$16),K388)</f>
        <v>0</v>
      </c>
      <c r="AC388" s="170">
        <f>IF(Escenarios!$F$14&gt;0,(Escenarios!$F$13*M388+Escenarios!$F$14*U388)/(Escenarios!$F$16),M388)</f>
        <v>0.15874189617810686</v>
      </c>
      <c r="AD388" s="76">
        <f t="shared" si="71"/>
        <v>95.242774803562511</v>
      </c>
      <c r="AE388" s="76">
        <f>MAX(0,(AD388-Constantes!$D$13)*(1-EXP(-Constantes!$D$23)))</f>
        <v>0.45810438385570934</v>
      </c>
      <c r="AF388" s="76">
        <f>AB388+O388*Escenarios!$F$13/Escenarios!$F$16+AE388</f>
        <v>1.2629659160496427</v>
      </c>
      <c r="AG388" s="76">
        <f>IF(Entradas!$F$91&gt;0,IF(AF388-Escenarios!$F$38&lt;=0,0,IF(AF388-Escenarios!$F$38&gt;Escenarios!$F$37,Escenarios!$F$37,AF388-Escenarios!$F$38)),0)</f>
        <v>0.22616591604964276</v>
      </c>
      <c r="AH388" s="76">
        <f>AG388*Entradas!$F$99</f>
        <v>0</v>
      </c>
      <c r="AI388" s="76">
        <f>IF(Entradas!$F$91&gt;0,D388*Entradas!$D$23/Escenarios!$F$16,0)</f>
        <v>0.21522604010559324</v>
      </c>
      <c r="AJ388" s="76">
        <f>IF(Entradas!$F$91&gt;0,Entradas!$D$24*Entradas!$D$22/Escenarios!$F$16,0)</f>
        <v>0.12</v>
      </c>
      <c r="AK388" s="76">
        <f t="shared" si="72"/>
        <v>2.9438012643308284</v>
      </c>
      <c r="AL388" s="76">
        <f t="shared" si="73"/>
        <v>0</v>
      </c>
      <c r="AM388" s="76">
        <f t="shared" si="74"/>
        <v>0.22616591604964276</v>
      </c>
      <c r="AN388" s="76">
        <f>MAX(0,O388*Escenarios!$F$13/Escenarios!$F$16-AM388)</f>
        <v>0.57869561614429066</v>
      </c>
      <c r="AO388" s="76">
        <f>AM388+AN388-O388*Escenarios!$F$13/Escenarios!$F$16</f>
        <v>0</v>
      </c>
      <c r="AP388" s="76">
        <f t="shared" si="75"/>
        <v>0.45810438385570934</v>
      </c>
      <c r="AQ388" s="76">
        <f t="shared" si="76"/>
        <v>0</v>
      </c>
      <c r="AR388" s="76">
        <f t="shared" si="77"/>
        <v>1.0367999999999999</v>
      </c>
      <c r="AS388" s="76">
        <f t="shared" si="78"/>
        <v>0</v>
      </c>
      <c r="AT388" s="76">
        <f t="shared" si="79"/>
        <v>0.15874189617810686</v>
      </c>
      <c r="AU388" s="76">
        <f t="shared" si="80"/>
        <v>49.190937983998573</v>
      </c>
      <c r="AV388" s="76">
        <f>MAX(0,(AU388-Constantes!$D$13)*(1-EXP(-Constantes!$D$24)))</f>
        <v>6.7398460260120023E-3</v>
      </c>
      <c r="AW388" s="170">
        <f>AW387+(Entradas!$F$112*AT388-AX387)/(800*Entradas!$D$25)</f>
        <v>0</v>
      </c>
      <c r="AX388" s="170">
        <f>8000*Entradas!$D$26*AW388/Constantes!$F$45</f>
        <v>0</v>
      </c>
      <c r="AY388" s="170">
        <f>IF(Escenarios!$F$17&gt;0,10*Escenarios!$F$16*AL388,0)</f>
        <v>0</v>
      </c>
      <c r="AZ388" s="170">
        <f>IF(Escenarios!$F$17&gt;0,10*Escenarios!$F$16*AX388,0)</f>
        <v>0</v>
      </c>
      <c r="BA388" s="170">
        <f>IF(Escenarios!$F$17&gt;0,0.001*Observaciones!$F387*Escenarios!$F$17,0)</f>
        <v>0</v>
      </c>
      <c r="BB388" s="170">
        <f>IF(Escenarios!$F$17&gt;0,Observaciones!$K387,0)</f>
        <v>0</v>
      </c>
      <c r="BC388" s="170">
        <f>IF(Escenarios!$F$17&gt;0,MIN(0.0005*ETo!$M387*Escenarios!$F$17*(BG387/Constantes!$F$40)^(2/3),BG387+AY388+AZ388+BA388+BB388),0)</f>
        <v>0</v>
      </c>
      <c r="BD388" s="170">
        <f>IF(Escenarios!$F$17&gt;0,MIN(Constantes!$F$39*(BG387/Constantes!$F$40)^(2/3),BG387+AY388+AZ388+BA388+BB388-BC388),0)</f>
        <v>0</v>
      </c>
      <c r="BE388" s="170">
        <f>IF(Escenarios!$F$17&gt;0,MIN(Entradas!$F$113,BG387+AY388+AZ388+BA388+BB388-BC388-BD388),0)</f>
        <v>0</v>
      </c>
      <c r="BF388" s="170">
        <f>IF(Escenarios!$F$17&gt;0,MAX(0,BG387+AY388+AZ388+BA388+BB388-BC388-BD388-BE388-Constantes!$F$40),0)</f>
        <v>0</v>
      </c>
      <c r="BG388" s="170">
        <f t="shared" si="81"/>
        <v>0</v>
      </c>
      <c r="BH388" s="170">
        <f>(Escenarios!$F$16*AK388+0.1*BC388)/(Escenarios!$F$19)</f>
        <v>2.9438012643308284</v>
      </c>
      <c r="BI388" s="170">
        <f>IF(Escenarios!$F$17&gt;0,BF388/10/Escenarios!$F$19,AL388)</f>
        <v>0</v>
      </c>
      <c r="BJ388" s="170">
        <f>(Escenarios!$F$16*AT388+0.1*BD388)/(Escenarios!$F$19)</f>
        <v>0.15874189617810686</v>
      </c>
      <c r="BK388" s="76">
        <f>BK387+(0.1*BD388)/(Escenarios!$F$19)-BL387</f>
        <v>48.75</v>
      </c>
      <c r="BL388" s="76">
        <f>MAX(0,(BK388-Constantes!$D$13)*(1-EXP(-Constantes!$D$23)))</f>
        <v>0</v>
      </c>
      <c r="BM388" s="76">
        <f t="shared" si="82"/>
        <v>0.46484422988172136</v>
      </c>
      <c r="BN388" s="76">
        <f t="shared" si="83"/>
        <v>1.0435398460260119</v>
      </c>
      <c r="BO388" s="76">
        <f>0.0526*BI388*Observaciones!$F387^1.218</f>
        <v>0</v>
      </c>
      <c r="BP388" s="76">
        <f>BO388*Constantes!$F$51</f>
        <v>0</v>
      </c>
      <c r="BQ388" s="76">
        <f t="shared" si="84"/>
        <v>0</v>
      </c>
      <c r="BR388" s="40"/>
    </row>
    <row r="389" spans="2:70">
      <c r="B389" s="39"/>
      <c r="C389" s="75">
        <v>383</v>
      </c>
      <c r="D389" s="146">
        <f>ETo!$I388*((1-Constantes!$F$19)*ETo!$K388+ETo!$L388)</f>
        <v>4.3203074961424228</v>
      </c>
      <c r="E389" s="76">
        <f>MIN(D389*Constantes!$F$17,0.8*(N388+Observaciones!$F388-F389-M389-Constantes!$D$14))</f>
        <v>2.4639221615365212</v>
      </c>
      <c r="F389" s="76">
        <f>IF(Observaciones!$F388&gt;0.05*Constantes!$F$18,((Observaciones!$F388-0.05*Constantes!$F$18)^2)/(Observaciones!$F388+0.95*Constantes!$F$18),0)</f>
        <v>0</v>
      </c>
      <c r="G389" s="76">
        <f>IF(Escenarios!$F$11&gt;0,(F389*Escenarios!$F$16*10000)/1000,0)</f>
        <v>0</v>
      </c>
      <c r="H389" s="76">
        <f>IF(Escenarios!$F$11&gt;0,(Observaciones!$F388*Constantes!$F$29)/1000,0)</f>
        <v>0</v>
      </c>
      <c r="I389" s="76">
        <f>IF(Escenarios!$F$11&gt;0,(D389*Constantes!$F$29)/1000,0)</f>
        <v>0</v>
      </c>
      <c r="J389" s="76">
        <f>IF(Escenarios!$F$11&gt;0,MAX(0,G389+H389-I389),0)</f>
        <v>0</v>
      </c>
      <c r="K389" s="76">
        <f>IF(Escenarios!$F$11&gt;0,IF(J389&gt;Constantes!$F$30,1000*((J389-Constantes!$F$30)/(Escenarios!$F$16*10000)),0),F389)</f>
        <v>0</v>
      </c>
      <c r="L389" s="76">
        <f>IF(Escenarios!$F$11&gt;0,I389*1000/Escenarios!$F$16/10000+E389,E389)</f>
        <v>2.4639221615365212</v>
      </c>
      <c r="M389" s="76">
        <f>MAX(0,N388+Observaciones!$F388-K389-Constantes!$D$13)</f>
        <v>0</v>
      </c>
      <c r="N389" s="76">
        <f>N388+Observaciones!$F388-K389-L389-M389-O388</f>
        <v>37.221632998232714</v>
      </c>
      <c r="O389" s="76">
        <f>MAX(0,(N389-Constantes!$D$14)*(1-EXP(-Constantes!$D$22)))</f>
        <v>0.88468916373642525</v>
      </c>
      <c r="P389" s="170">
        <f>P388+(Entradas!$F$83*M389-Q388)/(800*Entradas!$D$25)</f>
        <v>0</v>
      </c>
      <c r="Q389" s="170">
        <f>8000*Entradas!$D$26*P389/Constantes!$F$45</f>
        <v>0</v>
      </c>
      <c r="R389" s="170">
        <f>IF(Escenarios!$F$14&gt;0,K389*Escenarios!$F$13/Escenarios!$F$14,0)</f>
        <v>0</v>
      </c>
      <c r="S389" s="170">
        <f>IF(Escenarios!$F$14&gt;0,Q389*Escenarios!$F$13/Escenarios!$F$14,0)</f>
        <v>0</v>
      </c>
      <c r="T389" s="170">
        <f>IF(Escenarios!$F$14&gt;0,Observaciones!$I388,0)</f>
        <v>0</v>
      </c>
      <c r="U389" s="170">
        <f>IF(Escenarios!$F$14&gt;0,MAX(0,Constantes!$F$36/((Z388+R389+S389+T389+Observaciones!$F388)^2)+Entradas!$F$77),0)</f>
        <v>1.1956537682942445</v>
      </c>
      <c r="V389" s="146">
        <f>IF(ETo!D388&gt;0,ETo!I388*((1-Entradas!$F$81)*ETo!K388+ETo!L388),0)</f>
        <v>3.8380482869337542</v>
      </c>
      <c r="W389" s="170">
        <f>IF(Escenarios!$F$14&gt;0,MIN(V389*1,0.8*(Z388+R389+S389+T389+Observaciones!$F388-U389-Constantes!$F$35)),0)</f>
        <v>3.8380482869337542</v>
      </c>
      <c r="X389" s="170">
        <f>IF(Escenarios!$F$14&gt;0,Observaciones!$J388,0)</f>
        <v>0</v>
      </c>
      <c r="Y389" s="170">
        <f>IF(Escenarios!$F$14&gt;0,MAX(0,Z388+R389+S389+T389+Observaciones!$F388-U389-W389-X389-Constantes!$F$33),0)</f>
        <v>0</v>
      </c>
      <c r="Z389" s="170">
        <f>Z388+R389+S389+T389+Observaciones!$F388-U389-W389-Y389</f>
        <v>70.398459865120429</v>
      </c>
      <c r="AA389" s="170">
        <f>IF(Escenarios!$F$14&gt;0,(Escenarios!$F$13*L389+Escenarios!$F$14*W389)/(Escenarios!$F$16),L389)</f>
        <v>2.6288172965841889</v>
      </c>
      <c r="AB389" s="170">
        <f>IF(Escenarios!$F$14&gt;0,(Escenarios!$F$14*Y389)/(Escenarios!$F$16),K389)</f>
        <v>0</v>
      </c>
      <c r="AC389" s="170">
        <f>IF(Escenarios!$F$14&gt;0,(Escenarios!$F$13*M389+Escenarios!$F$14*U389)/(Escenarios!$F$16),M389)</f>
        <v>0.14347845219530933</v>
      </c>
      <c r="AD389" s="76">
        <f t="shared" si="71"/>
        <v>94.92814887190211</v>
      </c>
      <c r="AE389" s="76">
        <f>MAX(0,(AD389-Constantes!$D$13)*(1-EXP(-Constantes!$D$23)))</f>
        <v>0.45500429961300087</v>
      </c>
      <c r="AF389" s="76">
        <f>AB389+O389*Escenarios!$F$13/Escenarios!$F$16+AE389</f>
        <v>1.2335307637010551</v>
      </c>
      <c r="AG389" s="76">
        <f>IF(Entradas!$F$91&gt;0,IF(AF389-Escenarios!$F$38&lt;=0,0,IF(AF389-Escenarios!$F$38&gt;Escenarios!$F$37,Escenarios!$F$37,AF389-Escenarios!$F$38)),0)</f>
        <v>0.19673076370105513</v>
      </c>
      <c r="AH389" s="76">
        <f>AG389*Entradas!$F$99</f>
        <v>0</v>
      </c>
      <c r="AI389" s="76">
        <f>IF(Entradas!$F$91&gt;0,D389*Entradas!$D$23/Escenarios!$F$16,0)</f>
        <v>0.2073747598148363</v>
      </c>
      <c r="AJ389" s="76">
        <f>IF(Entradas!$F$91&gt;0,Entradas!$D$24*Entradas!$D$22/Escenarios!$F$16,0)</f>
        <v>0.12</v>
      </c>
      <c r="AK389" s="76">
        <f t="shared" si="72"/>
        <v>2.8361920563990251</v>
      </c>
      <c r="AL389" s="76">
        <f t="shared" si="73"/>
        <v>0</v>
      </c>
      <c r="AM389" s="76">
        <f t="shared" si="74"/>
        <v>0.19673076370105513</v>
      </c>
      <c r="AN389" s="76">
        <f>MAX(0,O389*Escenarios!$F$13/Escenarios!$F$16-AM389)</f>
        <v>0.58179570038699913</v>
      </c>
      <c r="AO389" s="76">
        <f>AM389+AN389-O389*Escenarios!$F$13/Escenarios!$F$16</f>
        <v>0</v>
      </c>
      <c r="AP389" s="76">
        <f t="shared" si="75"/>
        <v>0.45500429961300087</v>
      </c>
      <c r="AQ389" s="76">
        <f t="shared" si="76"/>
        <v>0</v>
      </c>
      <c r="AR389" s="76">
        <f t="shared" si="77"/>
        <v>1.0367999999999999</v>
      </c>
      <c r="AS389" s="76">
        <f t="shared" si="78"/>
        <v>0</v>
      </c>
      <c r="AT389" s="76">
        <f t="shared" si="79"/>
        <v>0.14347845219530933</v>
      </c>
      <c r="AU389" s="76">
        <f t="shared" si="80"/>
        <v>49.184198137972558</v>
      </c>
      <c r="AV389" s="76">
        <f>MAX(0,(AU389-Constantes!$D$13)*(1-EXP(-Constantes!$D$24)))</f>
        <v>6.6368258143204703E-3</v>
      </c>
      <c r="AW389" s="170">
        <f>AW388+(Entradas!$F$112*AT389-AX388)/(800*Entradas!$D$25)</f>
        <v>0</v>
      </c>
      <c r="AX389" s="170">
        <f>8000*Entradas!$D$26*AW389/Constantes!$F$45</f>
        <v>0</v>
      </c>
      <c r="AY389" s="170">
        <f>IF(Escenarios!$F$17&gt;0,10*Escenarios!$F$16*AL389,0)</f>
        <v>0</v>
      </c>
      <c r="AZ389" s="170">
        <f>IF(Escenarios!$F$17&gt;0,10*Escenarios!$F$16*AX389,0)</f>
        <v>0</v>
      </c>
      <c r="BA389" s="170">
        <f>IF(Escenarios!$F$17&gt;0,0.001*Observaciones!$F388*Escenarios!$F$17,0)</f>
        <v>0</v>
      </c>
      <c r="BB389" s="170">
        <f>IF(Escenarios!$F$17&gt;0,Observaciones!$K388,0)</f>
        <v>0</v>
      </c>
      <c r="BC389" s="170">
        <f>IF(Escenarios!$F$17&gt;0,MIN(0.0005*ETo!$M388*Escenarios!$F$17*(BG388/Constantes!$F$40)^(2/3),BG388+AY389+AZ389+BA389+BB389),0)</f>
        <v>0</v>
      </c>
      <c r="BD389" s="170">
        <f>IF(Escenarios!$F$17&gt;0,MIN(Constantes!$F$39*(BG388/Constantes!$F$40)^(2/3),BG388+AY389+AZ389+BA389+BB389-BC389),0)</f>
        <v>0</v>
      </c>
      <c r="BE389" s="170">
        <f>IF(Escenarios!$F$17&gt;0,MIN(Entradas!$F$113,BG388+AY389+AZ389+BA389+BB389-BC389-BD389),0)</f>
        <v>0</v>
      </c>
      <c r="BF389" s="170">
        <f>IF(Escenarios!$F$17&gt;0,MAX(0,BG388+AY389+AZ389+BA389+BB389-BC389-BD389-BE389-Constantes!$F$40),0)</f>
        <v>0</v>
      </c>
      <c r="BG389" s="170">
        <f t="shared" si="81"/>
        <v>0</v>
      </c>
      <c r="BH389" s="170">
        <f>(Escenarios!$F$16*AK389+0.1*BC389)/(Escenarios!$F$19)</f>
        <v>2.8361920563990251</v>
      </c>
      <c r="BI389" s="170">
        <f>IF(Escenarios!$F$17&gt;0,BF389/10/Escenarios!$F$19,AL389)</f>
        <v>0</v>
      </c>
      <c r="BJ389" s="170">
        <f>(Escenarios!$F$16*AT389+0.1*BD389)/(Escenarios!$F$19)</f>
        <v>0.14347845219530933</v>
      </c>
      <c r="BK389" s="76">
        <f>BK388+(0.1*BD389)/(Escenarios!$F$19)-BL388</f>
        <v>48.75</v>
      </c>
      <c r="BL389" s="76">
        <f>MAX(0,(BK389-Constantes!$D$13)*(1-EXP(-Constantes!$D$23)))</f>
        <v>0</v>
      </c>
      <c r="BM389" s="76">
        <f t="shared" si="82"/>
        <v>0.46164112542732133</v>
      </c>
      <c r="BN389" s="76">
        <f t="shared" si="83"/>
        <v>1.0434368258143205</v>
      </c>
      <c r="BO389" s="76">
        <f>0.0526*BI389*Observaciones!$F388^1.218</f>
        <v>0</v>
      </c>
      <c r="BP389" s="76">
        <f>BO389*Constantes!$F$51</f>
        <v>0</v>
      </c>
      <c r="BQ389" s="76">
        <f t="shared" si="84"/>
        <v>0</v>
      </c>
      <c r="BR389" s="40"/>
    </row>
    <row r="390" spans="2:70">
      <c r="B390" s="39"/>
      <c r="C390" s="75">
        <v>384</v>
      </c>
      <c r="D390" s="146">
        <f>ETo!$I389*((1-Constantes!$F$19)*ETo!$K389+ETo!$L389)</f>
        <v>4.4129443772106285</v>
      </c>
      <c r="E390" s="76">
        <f>MIN(D390*Constantes!$F$17,0.8*(N389+Observaciones!$F389-F390-M390-Constantes!$D$14))</f>
        <v>2.5167540639979498</v>
      </c>
      <c r="F390" s="76">
        <f>IF(Observaciones!$F389&gt;0.05*Constantes!$F$18,((Observaciones!$F389-0.05*Constantes!$F$18)^2)/(Observaciones!$F389+0.95*Constantes!$F$18),0)</f>
        <v>0</v>
      </c>
      <c r="G390" s="76">
        <f>IF(Escenarios!$F$11&gt;0,(F390*Escenarios!$F$16*10000)/1000,0)</f>
        <v>0</v>
      </c>
      <c r="H390" s="76">
        <f>IF(Escenarios!$F$11&gt;0,(Observaciones!$F389*Constantes!$F$29)/1000,0)</f>
        <v>0</v>
      </c>
      <c r="I390" s="76">
        <f>IF(Escenarios!$F$11&gt;0,(D390*Constantes!$F$29)/1000,0)</f>
        <v>0</v>
      </c>
      <c r="J390" s="76">
        <f>IF(Escenarios!$F$11&gt;0,MAX(0,G390+H390-I390),0)</f>
        <v>0</v>
      </c>
      <c r="K390" s="76">
        <f>IF(Escenarios!$F$11&gt;0,IF(J390&gt;Constantes!$F$30,1000*((J390-Constantes!$F$30)/(Escenarios!$F$16*10000)),0),F390)</f>
        <v>0</v>
      </c>
      <c r="L390" s="76">
        <f>IF(Escenarios!$F$11&gt;0,I390*1000/Escenarios!$F$16/10000+E390,E390)</f>
        <v>2.5167540639979498</v>
      </c>
      <c r="M390" s="76">
        <f>MAX(0,N389+Observaciones!$F389-K390-Constantes!$D$13)</f>
        <v>0</v>
      </c>
      <c r="N390" s="76">
        <f>N389+Observaciones!$F389-K390-L390-M390-O389</f>
        <v>41.720189770498337</v>
      </c>
      <c r="O390" s="76">
        <f>MAX(0,(N390-Constantes!$D$14)*(1-EXP(-Constantes!$D$22)))</f>
        <v>1.0379265219397897</v>
      </c>
      <c r="P390" s="170">
        <f>P389+(Entradas!$F$83*M390-Q389)/(800*Entradas!$D$25)</f>
        <v>0</v>
      </c>
      <c r="Q390" s="170">
        <f>8000*Entradas!$D$26*P390/Constantes!$F$45</f>
        <v>0</v>
      </c>
      <c r="R390" s="170">
        <f>IF(Escenarios!$F$14&gt;0,K390*Escenarios!$F$13/Escenarios!$F$14,0)</f>
        <v>0</v>
      </c>
      <c r="S390" s="170">
        <f>IF(Escenarios!$F$14&gt;0,Q390*Escenarios!$F$13/Escenarios!$F$14,0)</f>
        <v>0</v>
      </c>
      <c r="T390" s="170">
        <f>IF(Escenarios!$F$14&gt;0,Observaciones!$I389,0)</f>
        <v>0</v>
      </c>
      <c r="U390" s="170">
        <f>IF(Escenarios!$F$14&gt;0,MAX(0,Constantes!$F$36/((Z389+R390+S390+T390+Observaciones!$F389)^2)+Entradas!$F$77),0)</f>
        <v>1.3253403830419499</v>
      </c>
      <c r="V390" s="146">
        <f>IF(ETo!D389&gt;0,ETo!I389*((1-Entradas!$F$81)*ETo!K389+ETo!L389),0)</f>
        <v>3.9213303871607632</v>
      </c>
      <c r="W390" s="170">
        <f>IF(Escenarios!$F$14&gt;0,MIN(V390*1,0.8*(Z389+R390+S390+T390+Observaciones!$F389-U390-Constantes!$F$35)),0)</f>
        <v>3.9213303871607632</v>
      </c>
      <c r="X390" s="170">
        <f>IF(Escenarios!$F$14&gt;0,Observaciones!$J389,0)</f>
        <v>0</v>
      </c>
      <c r="Y390" s="170">
        <f>IF(Escenarios!$F$14&gt;0,MAX(0,Z389+R390+S390+T390+Observaciones!$F389-U390-W390-X390-Constantes!$F$33),0)</f>
        <v>0</v>
      </c>
      <c r="Z390" s="170">
        <f>Z389+R390+S390+T390+Observaciones!$F389-U390-W390-Y390</f>
        <v>73.051789094917723</v>
      </c>
      <c r="AA390" s="170">
        <f>IF(Escenarios!$F$14&gt;0,(Escenarios!$F$13*L390+Escenarios!$F$14*W390)/(Escenarios!$F$16),L390)</f>
        <v>2.6853032227774873</v>
      </c>
      <c r="AB390" s="170">
        <f>IF(Escenarios!$F$14&gt;0,(Escenarios!$F$14*Y390)/(Escenarios!$F$16),K390)</f>
        <v>0</v>
      </c>
      <c r="AC390" s="170">
        <f>IF(Escenarios!$F$14&gt;0,(Escenarios!$F$13*M390+Escenarios!$F$14*U390)/(Escenarios!$F$16),M390)</f>
        <v>0.15904084596503398</v>
      </c>
      <c r="AD390" s="76">
        <f t="shared" si="71"/>
        <v>94.632185418254153</v>
      </c>
      <c r="AE390" s="76">
        <f>MAX(0,(AD390-Constantes!$D$13)*(1-EXP(-Constantes!$D$23)))</f>
        <v>0.45208810121120502</v>
      </c>
      <c r="AF390" s="76">
        <f>AB390+O390*Escenarios!$F$13/Escenarios!$F$16+AE390</f>
        <v>1.36546344051822</v>
      </c>
      <c r="AG390" s="76">
        <f>IF(Entradas!$F$91&gt;0,IF(AF390-Escenarios!$F$38&lt;=0,0,IF(AF390-Escenarios!$F$38&gt;Escenarios!$F$37,Escenarios!$F$37,AF390-Escenarios!$F$38)),0)</f>
        <v>0.32866344051822005</v>
      </c>
      <c r="AH390" s="76">
        <f>AG390*Entradas!$F$99</f>
        <v>0</v>
      </c>
      <c r="AI390" s="76">
        <f>IF(Entradas!$F$91&gt;0,D390*Entradas!$D$23/Escenarios!$F$16,0)</f>
        <v>0.21182133010611018</v>
      </c>
      <c r="AJ390" s="76">
        <f>IF(Entradas!$F$91&gt;0,Entradas!$D$24*Entradas!$D$22/Escenarios!$F$16,0)</f>
        <v>0.12</v>
      </c>
      <c r="AK390" s="76">
        <f t="shared" si="72"/>
        <v>2.8971245528835974</v>
      </c>
      <c r="AL390" s="76">
        <f t="shared" si="73"/>
        <v>0</v>
      </c>
      <c r="AM390" s="76">
        <f t="shared" si="74"/>
        <v>0.32866344051822005</v>
      </c>
      <c r="AN390" s="76">
        <f>MAX(0,O390*Escenarios!$F$13/Escenarios!$F$16-AM390)</f>
        <v>0.58471189878879493</v>
      </c>
      <c r="AO390" s="76">
        <f>AM390+AN390-O390*Escenarios!$F$13/Escenarios!$F$16</f>
        <v>0</v>
      </c>
      <c r="AP390" s="76">
        <f t="shared" si="75"/>
        <v>0.45208810121120502</v>
      </c>
      <c r="AQ390" s="76">
        <f t="shared" si="76"/>
        <v>0</v>
      </c>
      <c r="AR390" s="76">
        <f t="shared" si="77"/>
        <v>1.0367999999999999</v>
      </c>
      <c r="AS390" s="76">
        <f t="shared" si="78"/>
        <v>0</v>
      </c>
      <c r="AT390" s="76">
        <f t="shared" si="79"/>
        <v>0.15904084596503398</v>
      </c>
      <c r="AU390" s="76">
        <f t="shared" si="80"/>
        <v>49.17756131215824</v>
      </c>
      <c r="AV390" s="76">
        <f>MAX(0,(AU390-Constantes!$D$13)*(1-EXP(-Constantes!$D$24)))</f>
        <v>6.5353802920174661E-3</v>
      </c>
      <c r="AW390" s="170">
        <f>AW389+(Entradas!$F$112*AT390-AX389)/(800*Entradas!$D$25)</f>
        <v>0</v>
      </c>
      <c r="AX390" s="170">
        <f>8000*Entradas!$D$26*AW390/Constantes!$F$45</f>
        <v>0</v>
      </c>
      <c r="AY390" s="170">
        <f>IF(Escenarios!$F$17&gt;0,10*Escenarios!$F$16*AL390,0)</f>
        <v>0</v>
      </c>
      <c r="AZ390" s="170">
        <f>IF(Escenarios!$F$17&gt;0,10*Escenarios!$F$16*AX390,0)</f>
        <v>0</v>
      </c>
      <c r="BA390" s="170">
        <f>IF(Escenarios!$F$17&gt;0,0.001*Observaciones!$F389*Escenarios!$F$17,0)</f>
        <v>0</v>
      </c>
      <c r="BB390" s="170">
        <f>IF(Escenarios!$F$17&gt;0,Observaciones!$K389,0)</f>
        <v>0</v>
      </c>
      <c r="BC390" s="170">
        <f>IF(Escenarios!$F$17&gt;0,MIN(0.0005*ETo!$M389*Escenarios!$F$17*(BG389/Constantes!$F$40)^(2/3),BG389+AY390+AZ390+BA390+BB390),0)</f>
        <v>0</v>
      </c>
      <c r="BD390" s="170">
        <f>IF(Escenarios!$F$17&gt;0,MIN(Constantes!$F$39*(BG389/Constantes!$F$40)^(2/3),BG389+AY390+AZ390+BA390+BB390-BC390),0)</f>
        <v>0</v>
      </c>
      <c r="BE390" s="170">
        <f>IF(Escenarios!$F$17&gt;0,MIN(Entradas!$F$113,BG389+AY390+AZ390+BA390+BB390-BC390-BD390),0)</f>
        <v>0</v>
      </c>
      <c r="BF390" s="170">
        <f>IF(Escenarios!$F$17&gt;0,MAX(0,BG389+AY390+AZ390+BA390+BB390-BC390-BD390-BE390-Constantes!$F$40),0)</f>
        <v>0</v>
      </c>
      <c r="BG390" s="170">
        <f t="shared" si="81"/>
        <v>0</v>
      </c>
      <c r="BH390" s="170">
        <f>(Escenarios!$F$16*AK390+0.1*BC390)/(Escenarios!$F$19)</f>
        <v>2.8971245528835974</v>
      </c>
      <c r="BI390" s="170">
        <f>IF(Escenarios!$F$17&gt;0,BF390/10/Escenarios!$F$19,AL390)</f>
        <v>0</v>
      </c>
      <c r="BJ390" s="170">
        <f>(Escenarios!$F$16*AT390+0.1*BD390)/(Escenarios!$F$19)</f>
        <v>0.15904084596503398</v>
      </c>
      <c r="BK390" s="76">
        <f>BK389+(0.1*BD390)/(Escenarios!$F$19)-BL389</f>
        <v>48.75</v>
      </c>
      <c r="BL390" s="76">
        <f>MAX(0,(BK390-Constantes!$D$13)*(1-EXP(-Constantes!$D$23)))</f>
        <v>0</v>
      </c>
      <c r="BM390" s="76">
        <f t="shared" si="82"/>
        <v>0.45862348150322246</v>
      </c>
      <c r="BN390" s="76">
        <f t="shared" si="83"/>
        <v>1.0433353802920173</v>
      </c>
      <c r="BO390" s="76">
        <f>0.0526*BI390*Observaciones!$F389^1.218</f>
        <v>0</v>
      </c>
      <c r="BP390" s="76">
        <f>BO390*Constantes!$F$51</f>
        <v>0</v>
      </c>
      <c r="BQ390" s="76">
        <f t="shared" si="84"/>
        <v>0</v>
      </c>
      <c r="BR390" s="40"/>
    </row>
    <row r="391" spans="2:70">
      <c r="B391" s="39"/>
      <c r="C391" s="75">
        <v>385</v>
      </c>
      <c r="D391" s="146">
        <f>ETo!$I390*((1-Constantes!$F$19)*ETo!$K390+ETo!$L390)</f>
        <v>4.3563774131041706</v>
      </c>
      <c r="E391" s="76">
        <f>MIN(D391*Constantes!$F$17,0.8*(N390+Observaciones!$F390-F391-M391-Constantes!$D$14))</f>
        <v>2.484493259275788</v>
      </c>
      <c r="F391" s="76">
        <f>IF(Observaciones!$F390&gt;0.05*Constantes!$F$18,((Observaciones!$F390-0.05*Constantes!$F$18)^2)/(Observaciones!$F390+0.95*Constantes!$F$18),0)</f>
        <v>0</v>
      </c>
      <c r="G391" s="76">
        <f>IF(Escenarios!$F$11&gt;0,(F391*Escenarios!$F$16*10000)/1000,0)</f>
        <v>0</v>
      </c>
      <c r="H391" s="76">
        <f>IF(Escenarios!$F$11&gt;0,(Observaciones!$F390*Constantes!$F$29)/1000,0)</f>
        <v>0</v>
      </c>
      <c r="I391" s="76">
        <f>IF(Escenarios!$F$11&gt;0,(D391*Constantes!$F$29)/1000,0)</f>
        <v>0</v>
      </c>
      <c r="J391" s="76">
        <f>IF(Escenarios!$F$11&gt;0,MAX(0,G391+H391-I391),0)</f>
        <v>0</v>
      </c>
      <c r="K391" s="76">
        <f>IF(Escenarios!$F$11&gt;0,IF(J391&gt;Constantes!$F$30,1000*((J391-Constantes!$F$30)/(Escenarios!$F$16*10000)),0),F391)</f>
        <v>0</v>
      </c>
      <c r="L391" s="76">
        <f>IF(Escenarios!$F$11&gt;0,I391*1000/Escenarios!$F$16/10000+E391,E391)</f>
        <v>2.484493259275788</v>
      </c>
      <c r="M391" s="76">
        <f>MAX(0,N390+Observaciones!$F390-K391-Constantes!$D$13)</f>
        <v>0</v>
      </c>
      <c r="N391" s="76">
        <f>N390+Observaciones!$F390-K391-L391-M391-O390</f>
        <v>43.197769989282762</v>
      </c>
      <c r="O391" s="76">
        <f>MAX(0,(N391-Constantes!$D$14)*(1-EXP(-Constantes!$D$22)))</f>
        <v>1.088258328499617</v>
      </c>
      <c r="P391" s="170">
        <f>P390+(Entradas!$F$83*M391-Q390)/(800*Entradas!$D$25)</f>
        <v>0</v>
      </c>
      <c r="Q391" s="170">
        <f>8000*Entradas!$D$26*P391/Constantes!$F$45</f>
        <v>0</v>
      </c>
      <c r="R391" s="170">
        <f>IF(Escenarios!$F$14&gt;0,K391*Escenarios!$F$13/Escenarios!$F$14,0)</f>
        <v>0</v>
      </c>
      <c r="S391" s="170">
        <f>IF(Escenarios!$F$14&gt;0,Q391*Escenarios!$F$13/Escenarios!$F$14,0)</f>
        <v>0</v>
      </c>
      <c r="T391" s="170">
        <f>IF(Escenarios!$F$14&gt;0,Observaciones!$I390,0)</f>
        <v>0</v>
      </c>
      <c r="U391" s="170">
        <f>IF(Escenarios!$F$14&gt;0,MAX(0,Constantes!$F$36/((Z390+R391+S391+T391+Observaciones!$F390)^2)+Entradas!$F$77),0)</f>
        <v>1.3147386444878382</v>
      </c>
      <c r="V391" s="146">
        <f>IF(ETo!D390&gt;0,ETo!I390*((1-Entradas!$F$81)*ETo!K390+ETo!L390),0)</f>
        <v>3.8704309165882385</v>
      </c>
      <c r="W391" s="170">
        <f>IF(Escenarios!$F$14&gt;0,MIN(V391*1,0.8*(Z390+R391+S391+T391+Observaciones!$F390-U391-Constantes!$F$35)),0)</f>
        <v>3.8704309165882385</v>
      </c>
      <c r="X391" s="170">
        <f>IF(Escenarios!$F$14&gt;0,Observaciones!$J390,0)</f>
        <v>0</v>
      </c>
      <c r="Y391" s="170">
        <f>IF(Escenarios!$F$14&gt;0,MAX(0,Z390+R391+S391+T391+Observaciones!$F390-U391-W391-X391-Constantes!$F$33),0)</f>
        <v>0</v>
      </c>
      <c r="Z391" s="170">
        <f>Z390+R391+S391+T391+Observaciones!$F390-U391-W391-Y391</f>
        <v>72.866619533841657</v>
      </c>
      <c r="AA391" s="170">
        <f>IF(Escenarios!$F$14&gt;0,(Escenarios!$F$13*L391+Escenarios!$F$14*W391)/(Escenarios!$F$16),L391)</f>
        <v>2.6508057781532814</v>
      </c>
      <c r="AB391" s="170">
        <f>IF(Escenarios!$F$14&gt;0,(Escenarios!$F$14*Y391)/(Escenarios!$F$16),K391)</f>
        <v>0</v>
      </c>
      <c r="AC391" s="170">
        <f>IF(Escenarios!$F$14&gt;0,(Escenarios!$F$13*M391+Escenarios!$F$14*U391)/(Escenarios!$F$16),M391)</f>
        <v>0.15776863733854057</v>
      </c>
      <c r="AD391" s="76">
        <f t="shared" si="71"/>
        <v>94.337865954381485</v>
      </c>
      <c r="AE391" s="76">
        <f>MAX(0,(AD391-Constantes!$D$13)*(1-EXP(-Constantes!$D$23)))</f>
        <v>0.44918810143223287</v>
      </c>
      <c r="AF391" s="76">
        <f>AB391+O391*Escenarios!$F$13/Escenarios!$F$16+AE391</f>
        <v>1.4068554305118959</v>
      </c>
      <c r="AG391" s="76">
        <f>IF(Entradas!$F$91&gt;0,IF(AF391-Escenarios!$F$38&lt;=0,0,IF(AF391-Escenarios!$F$38&gt;Escenarios!$F$37,Escenarios!$F$37,AF391-Escenarios!$F$38)),0)</f>
        <v>0.37005543051189593</v>
      </c>
      <c r="AH391" s="76">
        <f>AG391*Entradas!$F$99</f>
        <v>0</v>
      </c>
      <c r="AI391" s="76">
        <f>IF(Entradas!$F$91&gt;0,D391*Entradas!$D$23/Escenarios!$F$16,0)</f>
        <v>0.20910611582900021</v>
      </c>
      <c r="AJ391" s="76">
        <f>IF(Entradas!$F$91&gt;0,Entradas!$D$24*Entradas!$D$22/Escenarios!$F$16,0)</f>
        <v>0.12</v>
      </c>
      <c r="AK391" s="76">
        <f t="shared" si="72"/>
        <v>2.8599118939822818</v>
      </c>
      <c r="AL391" s="76">
        <f t="shared" si="73"/>
        <v>0</v>
      </c>
      <c r="AM391" s="76">
        <f t="shared" si="74"/>
        <v>0.37005543051189593</v>
      </c>
      <c r="AN391" s="76">
        <f>MAX(0,O391*Escenarios!$F$13/Escenarios!$F$16-AM391)</f>
        <v>0.58761189856776708</v>
      </c>
      <c r="AO391" s="76">
        <f>AM391+AN391-O391*Escenarios!$F$13/Escenarios!$F$16</f>
        <v>0</v>
      </c>
      <c r="AP391" s="76">
        <f t="shared" si="75"/>
        <v>0.44918810143223287</v>
      </c>
      <c r="AQ391" s="76">
        <f t="shared" si="76"/>
        <v>0</v>
      </c>
      <c r="AR391" s="76">
        <f t="shared" si="77"/>
        <v>1.0367999999999999</v>
      </c>
      <c r="AS391" s="76">
        <f t="shared" si="78"/>
        <v>4.0949314682895727E-2</v>
      </c>
      <c r="AT391" s="76">
        <f t="shared" si="79"/>
        <v>0.1987179520214363</v>
      </c>
      <c r="AU391" s="76">
        <f t="shared" si="80"/>
        <v>49.211975246549123</v>
      </c>
      <c r="AV391" s="76">
        <f>MAX(0,(AU391-Constantes!$D$13)*(1-EXP(-Constantes!$D$24)))</f>
        <v>7.0614057816803955E-3</v>
      </c>
      <c r="AW391" s="170">
        <f>AW390+(Entradas!$F$112*AT391-AX390)/(800*Entradas!$D$25)</f>
        <v>0</v>
      </c>
      <c r="AX391" s="170">
        <f>8000*Entradas!$D$26*AW391/Constantes!$F$45</f>
        <v>0</v>
      </c>
      <c r="AY391" s="170">
        <f>IF(Escenarios!$F$17&gt;0,10*Escenarios!$F$16*AL391,0)</f>
        <v>0</v>
      </c>
      <c r="AZ391" s="170">
        <f>IF(Escenarios!$F$17&gt;0,10*Escenarios!$F$16*AX391,0)</f>
        <v>0</v>
      </c>
      <c r="BA391" s="170">
        <f>IF(Escenarios!$F$17&gt;0,0.001*Observaciones!$F390*Escenarios!$F$17,0)</f>
        <v>0</v>
      </c>
      <c r="BB391" s="170">
        <f>IF(Escenarios!$F$17&gt;0,Observaciones!$K390,0)</f>
        <v>0</v>
      </c>
      <c r="BC391" s="170">
        <f>IF(Escenarios!$F$17&gt;0,MIN(0.0005*ETo!$M390*Escenarios!$F$17*(BG390/Constantes!$F$40)^(2/3),BG390+AY391+AZ391+BA391+BB391),0)</f>
        <v>0</v>
      </c>
      <c r="BD391" s="170">
        <f>IF(Escenarios!$F$17&gt;0,MIN(Constantes!$F$39*(BG390/Constantes!$F$40)^(2/3),BG390+AY391+AZ391+BA391+BB391-BC391),0)</f>
        <v>0</v>
      </c>
      <c r="BE391" s="170">
        <f>IF(Escenarios!$F$17&gt;0,MIN(Entradas!$F$113,BG390+AY391+AZ391+BA391+BB391-BC391-BD391),0)</f>
        <v>0</v>
      </c>
      <c r="BF391" s="170">
        <f>IF(Escenarios!$F$17&gt;0,MAX(0,BG390+AY391+AZ391+BA391+BB391-BC391-BD391-BE391-Constantes!$F$40),0)</f>
        <v>0</v>
      </c>
      <c r="BG391" s="170">
        <f t="shared" si="81"/>
        <v>0</v>
      </c>
      <c r="BH391" s="170">
        <f>(Escenarios!$F$16*AK391+0.1*BC391)/(Escenarios!$F$19)</f>
        <v>2.8599118939822818</v>
      </c>
      <c r="BI391" s="170">
        <f>IF(Escenarios!$F$17&gt;0,BF391/10/Escenarios!$F$19,AL391)</f>
        <v>0</v>
      </c>
      <c r="BJ391" s="170">
        <f>(Escenarios!$F$16*AT391+0.1*BD391)/(Escenarios!$F$19)</f>
        <v>0.1987179520214363</v>
      </c>
      <c r="BK391" s="76">
        <f>BK390+(0.1*BD391)/(Escenarios!$F$19)-BL390</f>
        <v>48.75</v>
      </c>
      <c r="BL391" s="76">
        <f>MAX(0,(BK391-Constantes!$D$13)*(1-EXP(-Constantes!$D$23)))</f>
        <v>0</v>
      </c>
      <c r="BM391" s="76">
        <f t="shared" si="82"/>
        <v>0.45624950721391327</v>
      </c>
      <c r="BN391" s="76">
        <f t="shared" si="83"/>
        <v>1.0438614057816804</v>
      </c>
      <c r="BO391" s="76">
        <f>0.0526*BI391*Observaciones!$F390^1.218</f>
        <v>0</v>
      </c>
      <c r="BP391" s="76">
        <f>BO391*Constantes!$F$51</f>
        <v>0</v>
      </c>
      <c r="BQ391" s="76">
        <f t="shared" si="84"/>
        <v>0</v>
      </c>
      <c r="BR391" s="40"/>
    </row>
    <row r="392" spans="2:70">
      <c r="B392" s="39"/>
      <c r="C392" s="75">
        <v>386</v>
      </c>
      <c r="D392" s="146">
        <f>ETo!$I391*((1-Constantes!$F$19)*ETo!$K391+ETo!$L391)</f>
        <v>4.5649683350187669</v>
      </c>
      <c r="E392" s="76">
        <f>MIN(D392*Constantes!$F$17,0.8*(N391+Observaciones!$F391-F392-M392-Constantes!$D$14))</f>
        <v>2.6034551145741927</v>
      </c>
      <c r="F392" s="76">
        <f>IF(Observaciones!$F391&gt;0.05*Constantes!$F$18,((Observaciones!$F391-0.05*Constantes!$F$18)^2)/(Observaciones!$F391+0.95*Constantes!$F$18),0)</f>
        <v>0</v>
      </c>
      <c r="G392" s="76">
        <f>IF(Escenarios!$F$11&gt;0,(F392*Escenarios!$F$16*10000)/1000,0)</f>
        <v>0</v>
      </c>
      <c r="H392" s="76">
        <f>IF(Escenarios!$F$11&gt;0,(Observaciones!$F391*Constantes!$F$29)/1000,0)</f>
        <v>0</v>
      </c>
      <c r="I392" s="76">
        <f>IF(Escenarios!$F$11&gt;0,(D392*Constantes!$F$29)/1000,0)</f>
        <v>0</v>
      </c>
      <c r="J392" s="76">
        <f>IF(Escenarios!$F$11&gt;0,MAX(0,G392+H392-I392),0)</f>
        <v>0</v>
      </c>
      <c r="K392" s="76">
        <f>IF(Escenarios!$F$11&gt;0,IF(J392&gt;Constantes!$F$30,1000*((J392-Constantes!$F$30)/(Escenarios!$F$16*10000)),0),F392)</f>
        <v>0</v>
      </c>
      <c r="L392" s="76">
        <f>IF(Escenarios!$F$11&gt;0,I392*1000/Escenarios!$F$16/10000+E392,E392)</f>
        <v>2.6034551145741927</v>
      </c>
      <c r="M392" s="76">
        <f>MAX(0,N391+Observaciones!$F391-K392-Constantes!$D$13)</f>
        <v>0.64776998928276441</v>
      </c>
      <c r="N392" s="76">
        <f>N391+Observaciones!$F391-K392-L392-M392-O391</f>
        <v>45.058286556926184</v>
      </c>
      <c r="O392" s="76">
        <f>MAX(0,(N392-Constantes!$D$14)*(1-EXP(-Constantes!$D$22)))</f>
        <v>1.1516343528896977</v>
      </c>
      <c r="P392" s="170">
        <f>P391+(Entradas!$F$83*M392-Q391)/(800*Entradas!$D$25)</f>
        <v>0</v>
      </c>
      <c r="Q392" s="170">
        <f>8000*Entradas!$D$26*P392/Constantes!$F$45</f>
        <v>0</v>
      </c>
      <c r="R392" s="170">
        <f>IF(Escenarios!$F$14&gt;0,K392*Escenarios!$F$13/Escenarios!$F$14,0)</f>
        <v>0</v>
      </c>
      <c r="S392" s="170">
        <f>IF(Escenarios!$F$14&gt;0,Q392*Escenarios!$F$13/Escenarios!$F$14,0)</f>
        <v>0</v>
      </c>
      <c r="T392" s="170">
        <f>IF(Escenarios!$F$14&gt;0,Observaciones!$I391,0)</f>
        <v>0</v>
      </c>
      <c r="U392" s="170">
        <f>IF(Escenarios!$F$14&gt;0,MAX(0,Constantes!$F$36/((Z391+R392+S392+T392+Observaciones!$F391)^2)+Entradas!$F$77),0)</f>
        <v>1.3577221148957777</v>
      </c>
      <c r="V392" s="146">
        <f>IF(ETo!D391&gt;0,ETo!I391*((1-Entradas!$F$81)*ETo!K391+ETo!L391),0)</f>
        <v>4.0584895233784835</v>
      </c>
      <c r="W392" s="170">
        <f>IF(Escenarios!$F$14&gt;0,MIN(V392*1,0.8*(Z391+R392+S392+T392+Observaciones!$F391-U392-Constantes!$F$35)),0)</f>
        <v>4.0584895233784835</v>
      </c>
      <c r="X392" s="170">
        <f>IF(Escenarios!$F$14&gt;0,Observaciones!$J391,0)</f>
        <v>0</v>
      </c>
      <c r="Y392" s="170">
        <f>IF(Escenarios!$F$14&gt;0,MAX(0,Z391+R392+S392+T392+Observaciones!$F391-U392-W392-X392-Constantes!$F$33),0)</f>
        <v>0</v>
      </c>
      <c r="Z392" s="170">
        <f>Z391+R392+S392+T392+Observaciones!$F391-U392-W392-Y392</f>
        <v>73.650407895567398</v>
      </c>
      <c r="AA392" s="170">
        <f>IF(Escenarios!$F$14&gt;0,(Escenarios!$F$13*L392+Escenarios!$F$14*W392)/(Escenarios!$F$16),L392)</f>
        <v>2.7780592436307079</v>
      </c>
      <c r="AB392" s="170">
        <f>IF(Escenarios!$F$14&gt;0,(Escenarios!$F$14*Y392)/(Escenarios!$F$16),K392)</f>
        <v>0</v>
      </c>
      <c r="AC392" s="170">
        <f>IF(Escenarios!$F$14&gt;0,(Escenarios!$F$13*M392+Escenarios!$F$14*U392)/(Escenarios!$F$16),M392)</f>
        <v>0.7329642443563259</v>
      </c>
      <c r="AD392" s="76">
        <f t="shared" ref="AD392:AD455" si="85">AD391+AC392-AE391</f>
        <v>94.621642097305582</v>
      </c>
      <c r="AE392" s="76">
        <f>MAX(0,(AD392-Constantes!$D$13)*(1-EXP(-Constantes!$D$23)))</f>
        <v>0.45198421535867533</v>
      </c>
      <c r="AF392" s="76">
        <f>AB392+O392*Escenarios!$F$13/Escenarios!$F$16+AE392</f>
        <v>1.4654224459016092</v>
      </c>
      <c r="AG392" s="76">
        <f>IF(Entradas!$F$91&gt;0,IF(AF392-Escenarios!$F$38&lt;=0,0,IF(AF392-Escenarios!$F$38&gt;Escenarios!$F$37,Escenarios!$F$37,AF392-Escenarios!$F$38)),0)</f>
        <v>0.42862244590160925</v>
      </c>
      <c r="AH392" s="76">
        <f>AG392*Entradas!$F$99</f>
        <v>0</v>
      </c>
      <c r="AI392" s="76">
        <f>IF(Entradas!$F$91&gt;0,D392*Entradas!$D$23/Escenarios!$F$16,0)</f>
        <v>0.21911848008090082</v>
      </c>
      <c r="AJ392" s="76">
        <f>IF(Entradas!$F$91&gt;0,Entradas!$D$24*Entradas!$D$22/Escenarios!$F$16,0)</f>
        <v>0.12</v>
      </c>
      <c r="AK392" s="76">
        <f t="shared" ref="AK392:AK455" si="86">AA392+AI392</f>
        <v>2.9971777237116086</v>
      </c>
      <c r="AL392" s="76">
        <f t="shared" ref="AL392:AL455" si="87">MAX(0,AB392-AG392)</f>
        <v>0</v>
      </c>
      <c r="AM392" s="76">
        <f t="shared" ref="AM392:AM455" si="88">AG392+AL392-AB392</f>
        <v>0.42862244590160925</v>
      </c>
      <c r="AN392" s="76">
        <f>MAX(0,O392*Escenarios!$F$13/Escenarios!$F$16-AM392)</f>
        <v>0.58481578464132467</v>
      </c>
      <c r="AO392" s="76">
        <f>AM392+AN392-O392*Escenarios!$F$13/Escenarios!$F$16</f>
        <v>0</v>
      </c>
      <c r="AP392" s="76">
        <f t="shared" ref="AP392:AP455" si="89">MAX(0,AE392-AO392)</f>
        <v>0.45198421535867533</v>
      </c>
      <c r="AQ392" s="76">
        <f t="shared" ref="AQ392:AQ455" si="90">AO392+AP392-AE392</f>
        <v>0</v>
      </c>
      <c r="AR392" s="76">
        <f t="shared" ref="AR392:AR455" si="91">AL392+AN392+AP392+AH392</f>
        <v>1.0367999999999999</v>
      </c>
      <c r="AS392" s="76">
        <f t="shared" ref="AS392:AS455" si="92">MAX(0,AG392-AH392-AI392-AJ392)</f>
        <v>8.9503965820708437E-2</v>
      </c>
      <c r="AT392" s="76">
        <f t="shared" ref="AT392:AT455" si="93">AC392+AS392</f>
        <v>0.82246821017703431</v>
      </c>
      <c r="AU392" s="76">
        <f t="shared" ref="AU392:AU455" si="94">AU391+AS392-AV391</f>
        <v>49.294417806588157</v>
      </c>
      <c r="AV392" s="76">
        <f>MAX(0,(AU392-Constantes!$D$13)*(1-EXP(-Constantes!$D$24)))</f>
        <v>8.32156068059502E-3</v>
      </c>
      <c r="AW392" s="170">
        <f>AW391+(Entradas!$F$112*AT392-AX391)/(800*Entradas!$D$25)</f>
        <v>0</v>
      </c>
      <c r="AX392" s="170">
        <f>8000*Entradas!$D$26*AW392/Constantes!$F$45</f>
        <v>0</v>
      </c>
      <c r="AY392" s="170">
        <f>IF(Escenarios!$F$17&gt;0,10*Escenarios!$F$16*AL392,0)</f>
        <v>0</v>
      </c>
      <c r="AZ392" s="170">
        <f>IF(Escenarios!$F$17&gt;0,10*Escenarios!$F$16*AX392,0)</f>
        <v>0</v>
      </c>
      <c r="BA392" s="170">
        <f>IF(Escenarios!$F$17&gt;0,0.001*Observaciones!$F391*Escenarios!$F$17,0)</f>
        <v>0</v>
      </c>
      <c r="BB392" s="170">
        <f>IF(Escenarios!$F$17&gt;0,Observaciones!$K391,0)</f>
        <v>0</v>
      </c>
      <c r="BC392" s="170">
        <f>IF(Escenarios!$F$17&gt;0,MIN(0.0005*ETo!$M391*Escenarios!$F$17*(BG391/Constantes!$F$40)^(2/3),BG391+AY392+AZ392+BA392+BB392),0)</f>
        <v>0</v>
      </c>
      <c r="BD392" s="170">
        <f>IF(Escenarios!$F$17&gt;0,MIN(Constantes!$F$39*(BG391/Constantes!$F$40)^(2/3),BG391+AY392+AZ392+BA392+BB392-BC392),0)</f>
        <v>0</v>
      </c>
      <c r="BE392" s="170">
        <f>IF(Escenarios!$F$17&gt;0,MIN(Entradas!$F$113,BG391+AY392+AZ392+BA392+BB392-BC392-BD392),0)</f>
        <v>0</v>
      </c>
      <c r="BF392" s="170">
        <f>IF(Escenarios!$F$17&gt;0,MAX(0,BG391+AY392+AZ392+BA392+BB392-BC392-BD392-BE392-Constantes!$F$40),0)</f>
        <v>0</v>
      </c>
      <c r="BG392" s="170">
        <f t="shared" ref="BG392:BG455" si="95">BG391+AY392+AZ392+BA392+BB392-BF392-BC392-BD392-BE392</f>
        <v>0</v>
      </c>
      <c r="BH392" s="170">
        <f>(Escenarios!$F$16*AK392+0.1*BC392)/(Escenarios!$F$19)</f>
        <v>2.9971777237116086</v>
      </c>
      <c r="BI392" s="170">
        <f>IF(Escenarios!$F$17&gt;0,BF392/10/Escenarios!$F$19,AL392)</f>
        <v>0</v>
      </c>
      <c r="BJ392" s="170">
        <f>(Escenarios!$F$16*AT392+0.1*BD392)/(Escenarios!$F$19)</f>
        <v>0.82246821017703431</v>
      </c>
      <c r="BK392" s="76">
        <f>BK391+(0.1*BD392)/(Escenarios!$F$19)-BL391</f>
        <v>48.75</v>
      </c>
      <c r="BL392" s="76">
        <f>MAX(0,(BK392-Constantes!$D$13)*(1-EXP(-Constantes!$D$23)))</f>
        <v>0</v>
      </c>
      <c r="BM392" s="76">
        <f t="shared" ref="BM392:BM455" si="96">AP392+AV392+BL392</f>
        <v>0.46030577603927036</v>
      </c>
      <c r="BN392" s="76">
        <f t="shared" ref="BN392:BN455" si="97">AN392+AP392+AV392+BI392+BL392</f>
        <v>1.045121560680595</v>
      </c>
      <c r="BO392" s="76">
        <f>0.0526*BI392*Observaciones!$F391^1.218</f>
        <v>0</v>
      </c>
      <c r="BP392" s="76">
        <f>BO392*Constantes!$F$51</f>
        <v>0</v>
      </c>
      <c r="BQ392" s="76">
        <f t="shared" ref="BQ392:BQ455" si="98">BP392*1000000/(BN392/1000*10000)</f>
        <v>0</v>
      </c>
      <c r="BR392" s="40"/>
    </row>
    <row r="393" spans="2:70">
      <c r="B393" s="39"/>
      <c r="C393" s="75">
        <v>387</v>
      </c>
      <c r="D393" s="146">
        <f>ETo!$I392*((1-Constantes!$F$19)*ETo!$K392+ETo!$L392)</f>
        <v>4.4572188669527204</v>
      </c>
      <c r="E393" s="76">
        <f>MIN(D393*Constantes!$F$17,0.8*(N392+Observaciones!$F392-F393-M393-Constantes!$D$14))</f>
        <v>2.542004326060006</v>
      </c>
      <c r="F393" s="76">
        <f>IF(Observaciones!$F392&gt;0.05*Constantes!$F$18,((Observaciones!$F392-0.05*Constantes!$F$18)^2)/(Observaciones!$F392+0.95*Constantes!$F$18),0)</f>
        <v>0</v>
      </c>
      <c r="G393" s="76">
        <f>IF(Escenarios!$F$11&gt;0,(F393*Escenarios!$F$16*10000)/1000,0)</f>
        <v>0</v>
      </c>
      <c r="H393" s="76">
        <f>IF(Escenarios!$F$11&gt;0,(Observaciones!$F392*Constantes!$F$29)/1000,0)</f>
        <v>0</v>
      </c>
      <c r="I393" s="76">
        <f>IF(Escenarios!$F$11&gt;0,(D393*Constantes!$F$29)/1000,0)</f>
        <v>0</v>
      </c>
      <c r="J393" s="76">
        <f>IF(Escenarios!$F$11&gt;0,MAX(0,G393+H393-I393),0)</f>
        <v>0</v>
      </c>
      <c r="K393" s="76">
        <f>IF(Escenarios!$F$11&gt;0,IF(J393&gt;Constantes!$F$30,1000*((J393-Constantes!$F$30)/(Escenarios!$F$16*10000)),0),F393)</f>
        <v>0</v>
      </c>
      <c r="L393" s="76">
        <f>IF(Escenarios!$F$11&gt;0,I393*1000/Escenarios!$F$16/10000+E393,E393)</f>
        <v>2.542004326060006</v>
      </c>
      <c r="M393" s="76">
        <f>MAX(0,N392+Observaciones!$F392-K393-Constantes!$D$13)</f>
        <v>0</v>
      </c>
      <c r="N393" s="76">
        <f>N392+Observaciones!$F392-K393-L393-M393-O392</f>
        <v>41.464647877976475</v>
      </c>
      <c r="O393" s="76">
        <f>MAX(0,(N393-Constantes!$D$14)*(1-EXP(-Constantes!$D$22)))</f>
        <v>1.0292218269670026</v>
      </c>
      <c r="P393" s="170">
        <f>P392+(Entradas!$F$83*M393-Q392)/(800*Entradas!$D$25)</f>
        <v>0</v>
      </c>
      <c r="Q393" s="170">
        <f>8000*Entradas!$D$26*P393/Constantes!$F$45</f>
        <v>0</v>
      </c>
      <c r="R393" s="170">
        <f>IF(Escenarios!$F$14&gt;0,K393*Escenarios!$F$13/Escenarios!$F$14,0)</f>
        <v>0</v>
      </c>
      <c r="S393" s="170">
        <f>IF(Escenarios!$F$14&gt;0,Q393*Escenarios!$F$13/Escenarios!$F$14,0)</f>
        <v>0</v>
      </c>
      <c r="T393" s="170">
        <f>IF(Escenarios!$F$14&gt;0,Observaciones!$I392,0)</f>
        <v>0</v>
      </c>
      <c r="U393" s="170">
        <f>IF(Escenarios!$F$14&gt;0,MAX(0,Constantes!$F$36/((Z392+R393+S393+T393+Observaciones!$F392)^2)+Entradas!$F$77),0)</f>
        <v>1.1124253610764689</v>
      </c>
      <c r="V393" s="146">
        <f>IF(ETo!D392&gt;0,ETo!I392*((1-Entradas!$F$81)*ETo!K392+ETo!L392),0)</f>
        <v>3.9611817817454047</v>
      </c>
      <c r="W393" s="170">
        <f>IF(Escenarios!$F$14&gt;0,MIN(V393*1,0.8*(Z392+R393+S393+T393+Observaciones!$F392-U393-Constantes!$F$35)),0)</f>
        <v>3.9611817817454047</v>
      </c>
      <c r="X393" s="170">
        <f>IF(Escenarios!$F$14&gt;0,Observaciones!$J392,0)</f>
        <v>0</v>
      </c>
      <c r="Y393" s="170">
        <f>IF(Escenarios!$F$14&gt;0,MAX(0,Z392+R393+S393+T393+Observaciones!$F392-U393-W393-X393-Constantes!$F$33),0)</f>
        <v>0</v>
      </c>
      <c r="Z393" s="170">
        <f>Z392+R393+S393+T393+Observaciones!$F392-U393-W393-Y393</f>
        <v>68.676800752745507</v>
      </c>
      <c r="AA393" s="170">
        <f>IF(Escenarios!$F$14&gt;0,(Escenarios!$F$13*L393+Escenarios!$F$14*W393)/(Escenarios!$F$16),L393)</f>
        <v>2.7123056207422538</v>
      </c>
      <c r="AB393" s="170">
        <f>IF(Escenarios!$F$14&gt;0,(Escenarios!$F$14*Y393)/(Escenarios!$F$16),K393)</f>
        <v>0</v>
      </c>
      <c r="AC393" s="170">
        <f>IF(Escenarios!$F$14&gt;0,(Escenarios!$F$13*M393+Escenarios!$F$14*U393)/(Escenarios!$F$16),M393)</f>
        <v>0.13349104332917627</v>
      </c>
      <c r="AD393" s="76">
        <f t="shared" si="85"/>
        <v>94.303148925276076</v>
      </c>
      <c r="AE393" s="76">
        <f>MAX(0,(AD393-Constantes!$D$13)*(1-EXP(-Constantes!$D$23)))</f>
        <v>0.44884602627550518</v>
      </c>
      <c r="AF393" s="76">
        <f>AB393+O393*Escenarios!$F$13/Escenarios!$F$16+AE393</f>
        <v>1.3545612340064674</v>
      </c>
      <c r="AG393" s="76">
        <f>IF(Entradas!$F$91&gt;0,IF(AF393-Escenarios!$F$38&lt;=0,0,IF(AF393-Escenarios!$F$38&gt;Escenarios!$F$37,Escenarios!$F$37,AF393-Escenarios!$F$38)),0)</f>
        <v>0.3177612340064675</v>
      </c>
      <c r="AH393" s="76">
        <f>AG393*Entradas!$F$99</f>
        <v>0</v>
      </c>
      <c r="AI393" s="76">
        <f>IF(Entradas!$F$91&gt;0,D393*Entradas!$D$23/Escenarios!$F$16,0)</f>
        <v>0.21394650561373058</v>
      </c>
      <c r="AJ393" s="76">
        <f>IF(Entradas!$F$91&gt;0,Entradas!$D$24*Entradas!$D$22/Escenarios!$F$16,0)</f>
        <v>0.12</v>
      </c>
      <c r="AK393" s="76">
        <f t="shared" si="86"/>
        <v>2.9262521263559842</v>
      </c>
      <c r="AL393" s="76">
        <f t="shared" si="87"/>
        <v>0</v>
      </c>
      <c r="AM393" s="76">
        <f t="shared" si="88"/>
        <v>0.3177612340064675</v>
      </c>
      <c r="AN393" s="76">
        <f>MAX(0,O393*Escenarios!$F$13/Escenarios!$F$16-AM393)</f>
        <v>0.58795397372449487</v>
      </c>
      <c r="AO393" s="76">
        <f>AM393+AN393-O393*Escenarios!$F$13/Escenarios!$F$16</f>
        <v>0</v>
      </c>
      <c r="AP393" s="76">
        <f t="shared" si="89"/>
        <v>0.44884602627550518</v>
      </c>
      <c r="AQ393" s="76">
        <f t="shared" si="90"/>
        <v>0</v>
      </c>
      <c r="AR393" s="76">
        <f t="shared" si="91"/>
        <v>1.0367999999999999</v>
      </c>
      <c r="AS393" s="76">
        <f t="shared" si="92"/>
        <v>0</v>
      </c>
      <c r="AT393" s="76">
        <f t="shared" si="93"/>
        <v>0.13349104332917627</v>
      </c>
      <c r="AU393" s="76">
        <f t="shared" si="94"/>
        <v>49.286096245907565</v>
      </c>
      <c r="AV393" s="76">
        <f>MAX(0,(AU393-Constantes!$D$13)*(1-EXP(-Constantes!$D$24)))</f>
        <v>8.1943635696210462E-3</v>
      </c>
      <c r="AW393" s="170">
        <f>AW392+(Entradas!$F$112*AT393-AX392)/(800*Entradas!$D$25)</f>
        <v>0</v>
      </c>
      <c r="AX393" s="170">
        <f>8000*Entradas!$D$26*AW393/Constantes!$F$45</f>
        <v>0</v>
      </c>
      <c r="AY393" s="170">
        <f>IF(Escenarios!$F$17&gt;0,10*Escenarios!$F$16*AL393,0)</f>
        <v>0</v>
      </c>
      <c r="AZ393" s="170">
        <f>IF(Escenarios!$F$17&gt;0,10*Escenarios!$F$16*AX393,0)</f>
        <v>0</v>
      </c>
      <c r="BA393" s="170">
        <f>IF(Escenarios!$F$17&gt;0,0.001*Observaciones!$F392*Escenarios!$F$17,0)</f>
        <v>0</v>
      </c>
      <c r="BB393" s="170">
        <f>IF(Escenarios!$F$17&gt;0,Observaciones!$K392,0)</f>
        <v>0</v>
      </c>
      <c r="BC393" s="170">
        <f>IF(Escenarios!$F$17&gt;0,MIN(0.0005*ETo!$M392*Escenarios!$F$17*(BG392/Constantes!$F$40)^(2/3),BG392+AY393+AZ393+BA393+BB393),0)</f>
        <v>0</v>
      </c>
      <c r="BD393" s="170">
        <f>IF(Escenarios!$F$17&gt;0,MIN(Constantes!$F$39*(BG392/Constantes!$F$40)^(2/3),BG392+AY393+AZ393+BA393+BB393-BC393),0)</f>
        <v>0</v>
      </c>
      <c r="BE393" s="170">
        <f>IF(Escenarios!$F$17&gt;0,MIN(Entradas!$F$113,BG392+AY393+AZ393+BA393+BB393-BC393-BD393),0)</f>
        <v>0</v>
      </c>
      <c r="BF393" s="170">
        <f>IF(Escenarios!$F$17&gt;0,MAX(0,BG392+AY393+AZ393+BA393+BB393-BC393-BD393-BE393-Constantes!$F$40),0)</f>
        <v>0</v>
      </c>
      <c r="BG393" s="170">
        <f t="shared" si="95"/>
        <v>0</v>
      </c>
      <c r="BH393" s="170">
        <f>(Escenarios!$F$16*AK393+0.1*BC393)/(Escenarios!$F$19)</f>
        <v>2.9262521263559842</v>
      </c>
      <c r="BI393" s="170">
        <f>IF(Escenarios!$F$17&gt;0,BF393/10/Escenarios!$F$19,AL393)</f>
        <v>0</v>
      </c>
      <c r="BJ393" s="170">
        <f>(Escenarios!$F$16*AT393+0.1*BD393)/(Escenarios!$F$19)</f>
        <v>0.13349104332917627</v>
      </c>
      <c r="BK393" s="76">
        <f>BK392+(0.1*BD393)/(Escenarios!$F$19)-BL392</f>
        <v>48.75</v>
      </c>
      <c r="BL393" s="76">
        <f>MAX(0,(BK393-Constantes!$D$13)*(1-EXP(-Constantes!$D$23)))</f>
        <v>0</v>
      </c>
      <c r="BM393" s="76">
        <f t="shared" si="96"/>
        <v>0.45704038984512624</v>
      </c>
      <c r="BN393" s="76">
        <f t="shared" si="97"/>
        <v>1.0449943635696211</v>
      </c>
      <c r="BO393" s="76">
        <f>0.0526*BI393*Observaciones!$F392^1.218</f>
        <v>0</v>
      </c>
      <c r="BP393" s="76">
        <f>BO393*Constantes!$F$51</f>
        <v>0</v>
      </c>
      <c r="BQ393" s="76">
        <f t="shared" si="98"/>
        <v>0</v>
      </c>
      <c r="BR393" s="40"/>
    </row>
    <row r="394" spans="2:70">
      <c r="B394" s="39"/>
      <c r="C394" s="75">
        <v>388</v>
      </c>
      <c r="D394" s="146">
        <f>ETo!$I393*((1-Constantes!$F$19)*ETo!$K393+ETo!$L393)</f>
        <v>4.391150642451664</v>
      </c>
      <c r="E394" s="76">
        <f>MIN(D394*Constantes!$F$17,0.8*(N393+Observaciones!$F393-F394-M394-Constantes!$D$14))</f>
        <v>2.5043248408226995</v>
      </c>
      <c r="F394" s="76">
        <f>IF(Observaciones!$F393&gt;0.05*Constantes!$F$18,((Observaciones!$F393-0.05*Constantes!$F$18)^2)/(Observaciones!$F393+0.95*Constantes!$F$18),0)</f>
        <v>0.33341333095932862</v>
      </c>
      <c r="G394" s="76">
        <f>IF(Escenarios!$F$11&gt;0,(F394*Escenarios!$F$16*10000)/1000,0)</f>
        <v>0</v>
      </c>
      <c r="H394" s="76">
        <f>IF(Escenarios!$F$11&gt;0,(Observaciones!$F393*Constantes!$F$29)/1000,0)</f>
        <v>0</v>
      </c>
      <c r="I394" s="76">
        <f>IF(Escenarios!$F$11&gt;0,(D394*Constantes!$F$29)/1000,0)</f>
        <v>0</v>
      </c>
      <c r="J394" s="76">
        <f>IF(Escenarios!$F$11&gt;0,MAX(0,G394+H394-I394),0)</f>
        <v>0</v>
      </c>
      <c r="K394" s="76">
        <f>IF(Escenarios!$F$11&gt;0,IF(J394&gt;Constantes!$F$30,1000*((J394-Constantes!$F$30)/(Escenarios!$F$16*10000)),0),F394)</f>
        <v>0.33341333095932862</v>
      </c>
      <c r="L394" s="76">
        <f>IF(Escenarios!$F$11&gt;0,I394*1000/Escenarios!$F$16/10000+E394,E394)</f>
        <v>2.5043248408226995</v>
      </c>
      <c r="M394" s="76">
        <f>MAX(0,N393+Observaciones!$F393-K394-Constantes!$D$13)</f>
        <v>12.081234547017146</v>
      </c>
      <c r="N394" s="76">
        <f>N393+Observaciones!$F393-K394-L394-M394-O393</f>
        <v>45.2164533322103</v>
      </c>
      <c r="O394" s="76">
        <f>MAX(0,(N394-Constantes!$D$14)*(1-EXP(-Constantes!$D$22)))</f>
        <v>1.1570220938979938</v>
      </c>
      <c r="P394" s="170">
        <f>P393+(Entradas!$F$83*M394-Q393)/(800*Entradas!$D$25)</f>
        <v>0</v>
      </c>
      <c r="Q394" s="170">
        <f>8000*Entradas!$D$26*P394/Constantes!$F$45</f>
        <v>0</v>
      </c>
      <c r="R394" s="170">
        <f>IF(Escenarios!$F$14&gt;0,K394*Escenarios!$F$13/Escenarios!$F$14,0)</f>
        <v>2.4450310937017434</v>
      </c>
      <c r="S394" s="170">
        <f>IF(Escenarios!$F$14&gt;0,Q394*Escenarios!$F$13/Escenarios!$F$14,0)</f>
        <v>0</v>
      </c>
      <c r="T394" s="170">
        <f>IF(Escenarios!$F$14&gt;0,Observaciones!$I393,0)</f>
        <v>0</v>
      </c>
      <c r="U394" s="170">
        <f>IF(Escenarios!$F$14&gt;0,MAX(0,Constantes!$F$36/((Z393+R394+S394+T394+Observaciones!$F393)^2)+Entradas!$F$77),0)</f>
        <v>1.7553350141246695</v>
      </c>
      <c r="V394" s="146">
        <f>IF(ETo!D393&gt;0,ETo!I393*((1-Entradas!$F$81)*ETo!K393+ETo!L393),0)</f>
        <v>3.901659980438545</v>
      </c>
      <c r="W394" s="170">
        <f>IF(Escenarios!$F$14&gt;0,MIN(V394*1,0.8*(Z393+R394+S394+T394+Observaciones!$F393-U394-Constantes!$F$35)),0)</f>
        <v>3.901659980438545</v>
      </c>
      <c r="X394" s="170">
        <f>IF(Escenarios!$F$14&gt;0,Observaciones!$J393,0)</f>
        <v>0</v>
      </c>
      <c r="Y394" s="170">
        <f>IF(Escenarios!$F$14&gt;0,MAX(0,Z393+R394+S394+T394+Observaciones!$F393-U394-W394-X394-Constantes!$F$33),0)</f>
        <v>0</v>
      </c>
      <c r="Z394" s="170">
        <f>Z393+R394+S394+T394+Observaciones!$F393-U394-W394-Y394</f>
        <v>85.164836851884047</v>
      </c>
      <c r="AA394" s="170">
        <f>IF(Escenarios!$F$14&gt;0,(Escenarios!$F$13*L394+Escenarios!$F$14*W394)/(Escenarios!$F$16),L394)</f>
        <v>2.6720050575766012</v>
      </c>
      <c r="AB394" s="170">
        <f>IF(Escenarios!$F$14&gt;0,(Escenarios!$F$14*Y394)/(Escenarios!$F$16),K394)</f>
        <v>0</v>
      </c>
      <c r="AC394" s="170">
        <f>IF(Escenarios!$F$14&gt;0,(Escenarios!$F$13*M394+Escenarios!$F$14*U394)/(Escenarios!$F$16),M394)</f>
        <v>10.842126603070048</v>
      </c>
      <c r="AD394" s="76">
        <f t="shared" si="85"/>
        <v>104.69642950207061</v>
      </c>
      <c r="AE394" s="76">
        <f>MAX(0,(AD394-Constantes!$D$13)*(1-EXP(-Constantes!$D$23)))</f>
        <v>0.55125349528523071</v>
      </c>
      <c r="AF394" s="76">
        <f>AB394+O394*Escenarios!$F$13/Escenarios!$F$16+AE394</f>
        <v>1.5694329379154652</v>
      </c>
      <c r="AG394" s="76">
        <f>IF(Entradas!$F$91&gt;0,IF(AF394-Escenarios!$F$38&lt;=0,0,IF(AF394-Escenarios!$F$38&gt;Escenarios!$F$37,Escenarios!$F$37,AF394-Escenarios!$F$38)),0)</f>
        <v>0.53263293791546529</v>
      </c>
      <c r="AH394" s="76">
        <f>AG394*Entradas!$F$99</f>
        <v>0</v>
      </c>
      <c r="AI394" s="76">
        <f>IF(Entradas!$F$91&gt;0,D394*Entradas!$D$23/Escenarios!$F$16,0)</f>
        <v>0.21077523083767988</v>
      </c>
      <c r="AJ394" s="76">
        <f>IF(Entradas!$F$91&gt;0,Entradas!$D$24*Entradas!$D$22/Escenarios!$F$16,0)</f>
        <v>0.12</v>
      </c>
      <c r="AK394" s="76">
        <f t="shared" si="86"/>
        <v>2.8827802884142812</v>
      </c>
      <c r="AL394" s="76">
        <f t="shared" si="87"/>
        <v>0</v>
      </c>
      <c r="AM394" s="76">
        <f t="shared" si="88"/>
        <v>0.53263293791546529</v>
      </c>
      <c r="AN394" s="76">
        <f>MAX(0,O394*Escenarios!$F$13/Escenarios!$F$16-AM394)</f>
        <v>0.48554650471476934</v>
      </c>
      <c r="AO394" s="76">
        <f>AM394+AN394-O394*Escenarios!$F$13/Escenarios!$F$16</f>
        <v>0</v>
      </c>
      <c r="AP394" s="76">
        <f t="shared" si="89"/>
        <v>0.55125349528523071</v>
      </c>
      <c r="AQ394" s="76">
        <f t="shared" si="90"/>
        <v>0</v>
      </c>
      <c r="AR394" s="76">
        <f t="shared" si="91"/>
        <v>1.0367999999999999</v>
      </c>
      <c r="AS394" s="76">
        <f t="shared" si="92"/>
        <v>0.20185770707778539</v>
      </c>
      <c r="AT394" s="76">
        <f t="shared" si="93"/>
        <v>11.043984310147833</v>
      </c>
      <c r="AU394" s="76">
        <f t="shared" si="94"/>
        <v>49.479759589415728</v>
      </c>
      <c r="AV394" s="76">
        <f>MAX(0,(AU394-Constantes!$D$13)*(1-EXP(-Constantes!$D$24)))</f>
        <v>1.1154555622687435E-2</v>
      </c>
      <c r="AW394" s="170">
        <f>AW393+(Entradas!$F$112*AT394-AX393)/(800*Entradas!$D$25)</f>
        <v>0</v>
      </c>
      <c r="AX394" s="170">
        <f>8000*Entradas!$D$26*AW394/Constantes!$F$45</f>
        <v>0</v>
      </c>
      <c r="AY394" s="170">
        <f>IF(Escenarios!$F$17&gt;0,10*Escenarios!$F$16*AL394,0)</f>
        <v>0</v>
      </c>
      <c r="AZ394" s="170">
        <f>IF(Escenarios!$F$17&gt;0,10*Escenarios!$F$16*AX394,0)</f>
        <v>0</v>
      </c>
      <c r="BA394" s="170">
        <f>IF(Escenarios!$F$17&gt;0,0.001*Observaciones!$F393*Escenarios!$F$17,0)</f>
        <v>0</v>
      </c>
      <c r="BB394" s="170">
        <f>IF(Escenarios!$F$17&gt;0,Observaciones!$K393,0)</f>
        <v>0</v>
      </c>
      <c r="BC394" s="170">
        <f>IF(Escenarios!$F$17&gt;0,MIN(0.0005*ETo!$M393*Escenarios!$F$17*(BG393/Constantes!$F$40)^(2/3),BG393+AY394+AZ394+BA394+BB394),0)</f>
        <v>0</v>
      </c>
      <c r="BD394" s="170">
        <f>IF(Escenarios!$F$17&gt;0,MIN(Constantes!$F$39*(BG393/Constantes!$F$40)^(2/3),BG393+AY394+AZ394+BA394+BB394-BC394),0)</f>
        <v>0</v>
      </c>
      <c r="BE394" s="170">
        <f>IF(Escenarios!$F$17&gt;0,MIN(Entradas!$F$113,BG393+AY394+AZ394+BA394+BB394-BC394-BD394),0)</f>
        <v>0</v>
      </c>
      <c r="BF394" s="170">
        <f>IF(Escenarios!$F$17&gt;0,MAX(0,BG393+AY394+AZ394+BA394+BB394-BC394-BD394-BE394-Constantes!$F$40),0)</f>
        <v>0</v>
      </c>
      <c r="BG394" s="170">
        <f t="shared" si="95"/>
        <v>0</v>
      </c>
      <c r="BH394" s="170">
        <f>(Escenarios!$F$16*AK394+0.1*BC394)/(Escenarios!$F$19)</f>
        <v>2.8827802884142812</v>
      </c>
      <c r="BI394" s="170">
        <f>IF(Escenarios!$F$17&gt;0,BF394/10/Escenarios!$F$19,AL394)</f>
        <v>0</v>
      </c>
      <c r="BJ394" s="170">
        <f>(Escenarios!$F$16*AT394+0.1*BD394)/(Escenarios!$F$19)</f>
        <v>11.043984310147833</v>
      </c>
      <c r="BK394" s="76">
        <f>BK393+(0.1*BD394)/(Escenarios!$F$19)-BL393</f>
        <v>48.75</v>
      </c>
      <c r="BL394" s="76">
        <f>MAX(0,(BK394-Constantes!$D$13)*(1-EXP(-Constantes!$D$23)))</f>
        <v>0</v>
      </c>
      <c r="BM394" s="76">
        <f t="shared" si="96"/>
        <v>0.56240805090791812</v>
      </c>
      <c r="BN394" s="76">
        <f t="shared" si="97"/>
        <v>1.0479545556226875</v>
      </c>
      <c r="BO394" s="76">
        <f>0.0526*BI394*Observaciones!$F393^1.218</f>
        <v>0</v>
      </c>
      <c r="BP394" s="76">
        <f>BO394*Constantes!$F$51</f>
        <v>0</v>
      </c>
      <c r="BQ394" s="76">
        <f t="shared" si="98"/>
        <v>0</v>
      </c>
      <c r="BR394" s="40"/>
    </row>
    <row r="395" spans="2:70">
      <c r="B395" s="39"/>
      <c r="C395" s="75">
        <v>389</v>
      </c>
      <c r="D395" s="146">
        <f>ETo!$I394*((1-Constantes!$F$19)*ETo!$K394+ETo!$L394)</f>
        <v>4.287628544335373</v>
      </c>
      <c r="E395" s="76">
        <f>MIN(D395*Constantes!$F$17,0.8*(N394+Observaciones!$F394-F395-M395-Constantes!$D$14))</f>
        <v>2.4452849710946212</v>
      </c>
      <c r="F395" s="76">
        <f>IF(Observaciones!$F394&gt;0.05*Constantes!$F$18,((Observaciones!$F394-0.05*Constantes!$F$18)^2)/(Observaciones!$F394+0.95*Constantes!$F$18),0)</f>
        <v>0</v>
      </c>
      <c r="G395" s="76">
        <f>IF(Escenarios!$F$11&gt;0,(F395*Escenarios!$F$16*10000)/1000,0)</f>
        <v>0</v>
      </c>
      <c r="H395" s="76">
        <f>IF(Escenarios!$F$11&gt;0,(Observaciones!$F394*Constantes!$F$29)/1000,0)</f>
        <v>0</v>
      </c>
      <c r="I395" s="76">
        <f>IF(Escenarios!$F$11&gt;0,(D395*Constantes!$F$29)/1000,0)</f>
        <v>0</v>
      </c>
      <c r="J395" s="76">
        <f>IF(Escenarios!$F$11&gt;0,MAX(0,G395+H395-I395),0)</f>
        <v>0</v>
      </c>
      <c r="K395" s="76">
        <f>IF(Escenarios!$F$11&gt;0,IF(J395&gt;Constantes!$F$30,1000*((J395-Constantes!$F$30)/(Escenarios!$F$16*10000)),0),F395)</f>
        <v>0</v>
      </c>
      <c r="L395" s="76">
        <f>IF(Escenarios!$F$11&gt;0,I395*1000/Escenarios!$F$16/10000+E395,E395)</f>
        <v>2.4452849710946212</v>
      </c>
      <c r="M395" s="76">
        <f>MAX(0,N394+Observaciones!$F394-K395-Constantes!$D$13)</f>
        <v>0</v>
      </c>
      <c r="N395" s="76">
        <f>N394+Observaciones!$F394-K395-L395-M395-O394</f>
        <v>44.014146267217683</v>
      </c>
      <c r="O395" s="76">
        <f>MAX(0,(N395-Constantes!$D$14)*(1-EXP(-Constantes!$D$22)))</f>
        <v>1.116067101504751</v>
      </c>
      <c r="P395" s="170">
        <f>P394+(Entradas!$F$83*M395-Q394)/(800*Entradas!$D$25)</f>
        <v>0</v>
      </c>
      <c r="Q395" s="170">
        <f>8000*Entradas!$D$26*P395/Constantes!$F$45</f>
        <v>0</v>
      </c>
      <c r="R395" s="170">
        <f>IF(Escenarios!$F$14&gt;0,K395*Escenarios!$F$13/Escenarios!$F$14,0)</f>
        <v>0</v>
      </c>
      <c r="S395" s="170">
        <f>IF(Escenarios!$F$14&gt;0,Q395*Escenarios!$F$13/Escenarios!$F$14,0)</f>
        <v>0</v>
      </c>
      <c r="T395" s="170">
        <f>IF(Escenarios!$F$14&gt;0,Observaciones!$I394,0)</f>
        <v>0</v>
      </c>
      <c r="U395" s="170">
        <f>IF(Escenarios!$F$14&gt;0,MAX(0,Constantes!$F$36/((Z394+R395+S395+T395+Observaciones!$F394)^2)+Entradas!$F$77),0)</f>
        <v>1.6610218157200343</v>
      </c>
      <c r="V395" s="146">
        <f>IF(ETo!D394&gt;0,ETo!I394*((1-Entradas!$F$81)*ETo!K394+ETo!L394),0)</f>
        <v>3.8086237359557242</v>
      </c>
      <c r="W395" s="170">
        <f>IF(Escenarios!$F$14&gt;0,MIN(V395*1,0.8*(Z394+R395+S395+T395+Observaciones!$F394-U395-Constantes!$F$35)),0)</f>
        <v>3.8086237359557242</v>
      </c>
      <c r="X395" s="170">
        <f>IF(Escenarios!$F$14&gt;0,Observaciones!$J394,0)</f>
        <v>0</v>
      </c>
      <c r="Y395" s="170">
        <f>IF(Escenarios!$F$14&gt;0,MAX(0,Z394+R395+S395+T395+Observaciones!$F394-U395-W395-X395-Constantes!$F$33),0)</f>
        <v>0</v>
      </c>
      <c r="Z395" s="170">
        <f>Z394+R395+S395+T395+Observaciones!$F394-U395-W395-Y395</f>
        <v>82.095191300208299</v>
      </c>
      <c r="AA395" s="170">
        <f>IF(Escenarios!$F$14&gt;0,(Escenarios!$F$13*L395+Escenarios!$F$14*W395)/(Escenarios!$F$16),L395)</f>
        <v>2.6088856228779531</v>
      </c>
      <c r="AB395" s="170">
        <f>IF(Escenarios!$F$14&gt;0,(Escenarios!$F$14*Y395)/(Escenarios!$F$16),K395)</f>
        <v>0</v>
      </c>
      <c r="AC395" s="170">
        <f>IF(Escenarios!$F$14&gt;0,(Escenarios!$F$13*M395+Escenarios!$F$14*U395)/(Escenarios!$F$16),M395)</f>
        <v>0.19932261788640412</v>
      </c>
      <c r="AD395" s="76">
        <f t="shared" si="85"/>
        <v>104.34449862467179</v>
      </c>
      <c r="AE395" s="76">
        <f>MAX(0,(AD395-Constantes!$D$13)*(1-EXP(-Constantes!$D$23)))</f>
        <v>0.54778583652681567</v>
      </c>
      <c r="AF395" s="76">
        <f>AB395+O395*Escenarios!$F$13/Escenarios!$F$16+AE395</f>
        <v>1.5299248858509964</v>
      </c>
      <c r="AG395" s="76">
        <f>IF(Entradas!$F$91&gt;0,IF(AF395-Escenarios!$F$38&lt;=0,0,IF(AF395-Escenarios!$F$38&gt;Escenarios!$F$37,Escenarios!$F$37,AF395-Escenarios!$F$38)),0)</f>
        <v>0.49312488585099645</v>
      </c>
      <c r="AH395" s="76">
        <f>AG395*Entradas!$F$99</f>
        <v>0</v>
      </c>
      <c r="AI395" s="76">
        <f>IF(Entradas!$F$91&gt;0,D395*Entradas!$D$23/Escenarios!$F$16,0)</f>
        <v>0.2058061701280979</v>
      </c>
      <c r="AJ395" s="76">
        <f>IF(Entradas!$F$91&gt;0,Entradas!$D$24*Entradas!$D$22/Escenarios!$F$16,0)</f>
        <v>0.12</v>
      </c>
      <c r="AK395" s="76">
        <f t="shared" si="86"/>
        <v>2.8146917930060509</v>
      </c>
      <c r="AL395" s="76">
        <f t="shared" si="87"/>
        <v>0</v>
      </c>
      <c r="AM395" s="76">
        <f t="shared" si="88"/>
        <v>0.49312488585099645</v>
      </c>
      <c r="AN395" s="76">
        <f>MAX(0,O395*Escenarios!$F$13/Escenarios!$F$16-AM395)</f>
        <v>0.48901416347318438</v>
      </c>
      <c r="AO395" s="76">
        <f>AM395+AN395-O395*Escenarios!$F$13/Escenarios!$F$16</f>
        <v>0</v>
      </c>
      <c r="AP395" s="76">
        <f t="shared" si="89"/>
        <v>0.54778583652681567</v>
      </c>
      <c r="AQ395" s="76">
        <f t="shared" si="90"/>
        <v>0</v>
      </c>
      <c r="AR395" s="76">
        <f t="shared" si="91"/>
        <v>1.0367999999999999</v>
      </c>
      <c r="AS395" s="76">
        <f t="shared" si="92"/>
        <v>0.16731871572289858</v>
      </c>
      <c r="AT395" s="76">
        <f t="shared" si="93"/>
        <v>0.36664133360930273</v>
      </c>
      <c r="AU395" s="76">
        <f t="shared" si="94"/>
        <v>49.635923749515939</v>
      </c>
      <c r="AV395" s="76">
        <f>MAX(0,(AU395-Constantes!$D$13)*(1-EXP(-Constantes!$D$24)))</f>
        <v>1.3541563392606194E-2</v>
      </c>
      <c r="AW395" s="170">
        <f>AW394+(Entradas!$F$112*AT395-AX394)/(800*Entradas!$D$25)</f>
        <v>0</v>
      </c>
      <c r="AX395" s="170">
        <f>8000*Entradas!$D$26*AW395/Constantes!$F$45</f>
        <v>0</v>
      </c>
      <c r="AY395" s="170">
        <f>IF(Escenarios!$F$17&gt;0,10*Escenarios!$F$16*AL395,0)</f>
        <v>0</v>
      </c>
      <c r="AZ395" s="170">
        <f>IF(Escenarios!$F$17&gt;0,10*Escenarios!$F$16*AX395,0)</f>
        <v>0</v>
      </c>
      <c r="BA395" s="170">
        <f>IF(Escenarios!$F$17&gt;0,0.001*Observaciones!$F394*Escenarios!$F$17,0)</f>
        <v>0</v>
      </c>
      <c r="BB395" s="170">
        <f>IF(Escenarios!$F$17&gt;0,Observaciones!$K394,0)</f>
        <v>0</v>
      </c>
      <c r="BC395" s="170">
        <f>IF(Escenarios!$F$17&gt;0,MIN(0.0005*ETo!$M394*Escenarios!$F$17*(BG394/Constantes!$F$40)^(2/3),BG394+AY395+AZ395+BA395+BB395),0)</f>
        <v>0</v>
      </c>
      <c r="BD395" s="170">
        <f>IF(Escenarios!$F$17&gt;0,MIN(Constantes!$F$39*(BG394/Constantes!$F$40)^(2/3),BG394+AY395+AZ395+BA395+BB395-BC395),0)</f>
        <v>0</v>
      </c>
      <c r="BE395" s="170">
        <f>IF(Escenarios!$F$17&gt;0,MIN(Entradas!$F$113,BG394+AY395+AZ395+BA395+BB395-BC395-BD395),0)</f>
        <v>0</v>
      </c>
      <c r="BF395" s="170">
        <f>IF(Escenarios!$F$17&gt;0,MAX(0,BG394+AY395+AZ395+BA395+BB395-BC395-BD395-BE395-Constantes!$F$40),0)</f>
        <v>0</v>
      </c>
      <c r="BG395" s="170">
        <f t="shared" si="95"/>
        <v>0</v>
      </c>
      <c r="BH395" s="170">
        <f>(Escenarios!$F$16*AK395+0.1*BC395)/(Escenarios!$F$19)</f>
        <v>2.8146917930060509</v>
      </c>
      <c r="BI395" s="170">
        <f>IF(Escenarios!$F$17&gt;0,BF395/10/Escenarios!$F$19,AL395)</f>
        <v>0</v>
      </c>
      <c r="BJ395" s="170">
        <f>(Escenarios!$F$16*AT395+0.1*BD395)/(Escenarios!$F$19)</f>
        <v>0.36664133360930273</v>
      </c>
      <c r="BK395" s="76">
        <f>BK394+(0.1*BD395)/(Escenarios!$F$19)-BL394</f>
        <v>48.75</v>
      </c>
      <c r="BL395" s="76">
        <f>MAX(0,(BK395-Constantes!$D$13)*(1-EXP(-Constantes!$D$23)))</f>
        <v>0</v>
      </c>
      <c r="BM395" s="76">
        <f t="shared" si="96"/>
        <v>0.56132739991942182</v>
      </c>
      <c r="BN395" s="76">
        <f t="shared" si="97"/>
        <v>1.0503415633926061</v>
      </c>
      <c r="BO395" s="76">
        <f>0.0526*BI395*Observaciones!$F394^1.218</f>
        <v>0</v>
      </c>
      <c r="BP395" s="76">
        <f>BO395*Constantes!$F$51</f>
        <v>0</v>
      </c>
      <c r="BQ395" s="76">
        <f t="shared" si="98"/>
        <v>0</v>
      </c>
      <c r="BR395" s="40"/>
    </row>
    <row r="396" spans="2:70">
      <c r="B396" s="39"/>
      <c r="C396" s="75">
        <v>390</v>
      </c>
      <c r="D396" s="146">
        <f>ETo!$I395*((1-Constantes!$F$19)*ETo!$K395+ETo!$L395)</f>
        <v>4.472698884688703</v>
      </c>
      <c r="E396" s="76">
        <f>MIN(D396*Constantes!$F$17,0.8*(N395+Observaciones!$F395-F396-M396-Constantes!$D$14))</f>
        <v>2.5508327621828335</v>
      </c>
      <c r="F396" s="76">
        <f>IF(Observaciones!$F395&gt;0.05*Constantes!$F$18,((Observaciones!$F395-0.05*Constantes!$F$18)^2)/(Observaciones!$F395+0.95*Constantes!$F$18),0)</f>
        <v>0</v>
      </c>
      <c r="G396" s="76">
        <f>IF(Escenarios!$F$11&gt;0,(F396*Escenarios!$F$16*10000)/1000,0)</f>
        <v>0</v>
      </c>
      <c r="H396" s="76">
        <f>IF(Escenarios!$F$11&gt;0,(Observaciones!$F395*Constantes!$F$29)/1000,0)</f>
        <v>0</v>
      </c>
      <c r="I396" s="76">
        <f>IF(Escenarios!$F$11&gt;0,(D396*Constantes!$F$29)/1000,0)</f>
        <v>0</v>
      </c>
      <c r="J396" s="76">
        <f>IF(Escenarios!$F$11&gt;0,MAX(0,G396+H396-I396),0)</f>
        <v>0</v>
      </c>
      <c r="K396" s="76">
        <f>IF(Escenarios!$F$11&gt;0,IF(J396&gt;Constantes!$F$30,1000*((J396-Constantes!$F$30)/(Escenarios!$F$16*10000)),0),F396)</f>
        <v>0</v>
      </c>
      <c r="L396" s="76">
        <f>IF(Escenarios!$F$11&gt;0,I396*1000/Escenarios!$F$16/10000+E396,E396)</f>
        <v>2.5508327621828335</v>
      </c>
      <c r="M396" s="76">
        <f>MAX(0,N395+Observaciones!$F395-K396-Constantes!$D$13)</f>
        <v>0</v>
      </c>
      <c r="N396" s="76">
        <f>N395+Observaciones!$F395-K396-L396-M396-O395</f>
        <v>40.347246403530093</v>
      </c>
      <c r="O396" s="76">
        <f>MAX(0,(N396-Constantes!$D$14)*(1-EXP(-Constantes!$D$22)))</f>
        <v>0.99115903068256839</v>
      </c>
      <c r="P396" s="170">
        <f>P395+(Entradas!$F$83*M396-Q395)/(800*Entradas!$D$25)</f>
        <v>0</v>
      </c>
      <c r="Q396" s="170">
        <f>8000*Entradas!$D$26*P396/Constantes!$F$45</f>
        <v>0</v>
      </c>
      <c r="R396" s="170">
        <f>IF(Escenarios!$F$14&gt;0,K396*Escenarios!$F$13/Escenarios!$F$14,0)</f>
        <v>0</v>
      </c>
      <c r="S396" s="170">
        <f>IF(Escenarios!$F$14&gt;0,Q396*Escenarios!$F$13/Escenarios!$F$14,0)</f>
        <v>0</v>
      </c>
      <c r="T396" s="170">
        <f>IF(Escenarios!$F$14&gt;0,Observaciones!$I395,0)</f>
        <v>0</v>
      </c>
      <c r="U396" s="170">
        <f>IF(Escenarios!$F$14&gt;0,MAX(0,Constantes!$F$36/((Z395+R396+S396+T396+Observaciones!$F395)^2)+Entradas!$F$77),0)</f>
        <v>1.4766575358954577</v>
      </c>
      <c r="V396" s="146">
        <f>IF(ETo!D395&gt;0,ETo!I395*((1-Entradas!$F$81)*ETo!K395+ETo!L395),0)</f>
        <v>3.9750933161674782</v>
      </c>
      <c r="W396" s="170">
        <f>IF(Escenarios!$F$14&gt;0,MIN(V396*1,0.8*(Z395+R396+S396+T396+Observaciones!$F395-U396-Constantes!$F$35)),0)</f>
        <v>3.9750933161674782</v>
      </c>
      <c r="X396" s="170">
        <f>IF(Escenarios!$F$14&gt;0,Observaciones!$J395,0)</f>
        <v>0</v>
      </c>
      <c r="Y396" s="170">
        <f>IF(Escenarios!$F$14&gt;0,MAX(0,Z395+R396+S396+T396+Observaciones!$F395-U396-W396-X396-Constantes!$F$33),0)</f>
        <v>0</v>
      </c>
      <c r="Z396" s="170">
        <f>Z395+R396+S396+T396+Observaciones!$F395-U396-W396-Y396</f>
        <v>76.64344044814537</v>
      </c>
      <c r="AA396" s="170">
        <f>IF(Escenarios!$F$14&gt;0,(Escenarios!$F$13*L396+Escenarios!$F$14*W396)/(Escenarios!$F$16),L396)</f>
        <v>2.7217440286609906</v>
      </c>
      <c r="AB396" s="170">
        <f>IF(Escenarios!$F$14&gt;0,(Escenarios!$F$14*Y396)/(Escenarios!$F$16),K396)</f>
        <v>0</v>
      </c>
      <c r="AC396" s="170">
        <f>IF(Escenarios!$F$14&gt;0,(Escenarios!$F$13*M396+Escenarios!$F$14*U396)/(Escenarios!$F$16),M396)</f>
        <v>0.17719890430745491</v>
      </c>
      <c r="AD396" s="76">
        <f t="shared" si="85"/>
        <v>103.97391169245243</v>
      </c>
      <c r="AE396" s="76">
        <f>MAX(0,(AD396-Constantes!$D$13)*(1-EXP(-Constantes!$D$23)))</f>
        <v>0.54413435521672793</v>
      </c>
      <c r="AF396" s="76">
        <f>AB396+O396*Escenarios!$F$13/Escenarios!$F$16+AE396</f>
        <v>1.4163543022173881</v>
      </c>
      <c r="AG396" s="76">
        <f>IF(Entradas!$F$91&gt;0,IF(AF396-Escenarios!$F$38&lt;=0,0,IF(AF396-Escenarios!$F$38&gt;Escenarios!$F$37,Escenarios!$F$37,AF396-Escenarios!$F$38)),0)</f>
        <v>0.37955430221738817</v>
      </c>
      <c r="AH396" s="76">
        <f>AG396*Entradas!$F$99</f>
        <v>0</v>
      </c>
      <c r="AI396" s="76">
        <f>IF(Entradas!$F$91&gt;0,D396*Entradas!$D$23/Escenarios!$F$16,0)</f>
        <v>0.21468954646505772</v>
      </c>
      <c r="AJ396" s="76">
        <f>IF(Entradas!$F$91&gt;0,Entradas!$D$24*Entradas!$D$22/Escenarios!$F$16,0)</f>
        <v>0.12</v>
      </c>
      <c r="AK396" s="76">
        <f t="shared" si="86"/>
        <v>2.9364335751260482</v>
      </c>
      <c r="AL396" s="76">
        <f t="shared" si="87"/>
        <v>0</v>
      </c>
      <c r="AM396" s="76">
        <f t="shared" si="88"/>
        <v>0.37955430221738817</v>
      </c>
      <c r="AN396" s="76">
        <f>MAX(0,O396*Escenarios!$F$13/Escenarios!$F$16-AM396)</f>
        <v>0.49266564478327202</v>
      </c>
      <c r="AO396" s="76">
        <f>AM396+AN396-O396*Escenarios!$F$13/Escenarios!$F$16</f>
        <v>0</v>
      </c>
      <c r="AP396" s="76">
        <f t="shared" si="89"/>
        <v>0.54413435521672793</v>
      </c>
      <c r="AQ396" s="76">
        <f t="shared" si="90"/>
        <v>0</v>
      </c>
      <c r="AR396" s="76">
        <f t="shared" si="91"/>
        <v>1.0367999999999999</v>
      </c>
      <c r="AS396" s="76">
        <f t="shared" si="92"/>
        <v>4.4864755752330454E-2</v>
      </c>
      <c r="AT396" s="76">
        <f t="shared" si="93"/>
        <v>0.22206366005978537</v>
      </c>
      <c r="AU396" s="76">
        <f t="shared" si="94"/>
        <v>49.667246941875661</v>
      </c>
      <c r="AV396" s="76">
        <f>MAX(0,(AU396-Constantes!$D$13)*(1-EXP(-Constantes!$D$24)))</f>
        <v>1.4020346126706874E-2</v>
      </c>
      <c r="AW396" s="170">
        <f>AW395+(Entradas!$F$112*AT396-AX395)/(800*Entradas!$D$25)</f>
        <v>0</v>
      </c>
      <c r="AX396" s="170">
        <f>8000*Entradas!$D$26*AW396/Constantes!$F$45</f>
        <v>0</v>
      </c>
      <c r="AY396" s="170">
        <f>IF(Escenarios!$F$17&gt;0,10*Escenarios!$F$16*AL396,0)</f>
        <v>0</v>
      </c>
      <c r="AZ396" s="170">
        <f>IF(Escenarios!$F$17&gt;0,10*Escenarios!$F$16*AX396,0)</f>
        <v>0</v>
      </c>
      <c r="BA396" s="170">
        <f>IF(Escenarios!$F$17&gt;0,0.001*Observaciones!$F395*Escenarios!$F$17,0)</f>
        <v>0</v>
      </c>
      <c r="BB396" s="170">
        <f>IF(Escenarios!$F$17&gt;0,Observaciones!$K395,0)</f>
        <v>0</v>
      </c>
      <c r="BC396" s="170">
        <f>IF(Escenarios!$F$17&gt;0,MIN(0.0005*ETo!$M395*Escenarios!$F$17*(BG395/Constantes!$F$40)^(2/3),BG395+AY396+AZ396+BA396+BB396),0)</f>
        <v>0</v>
      </c>
      <c r="BD396" s="170">
        <f>IF(Escenarios!$F$17&gt;0,MIN(Constantes!$F$39*(BG395/Constantes!$F$40)^(2/3),BG395+AY396+AZ396+BA396+BB396-BC396),0)</f>
        <v>0</v>
      </c>
      <c r="BE396" s="170">
        <f>IF(Escenarios!$F$17&gt;0,MIN(Entradas!$F$113,BG395+AY396+AZ396+BA396+BB396-BC396-BD396),0)</f>
        <v>0</v>
      </c>
      <c r="BF396" s="170">
        <f>IF(Escenarios!$F$17&gt;0,MAX(0,BG395+AY396+AZ396+BA396+BB396-BC396-BD396-BE396-Constantes!$F$40),0)</f>
        <v>0</v>
      </c>
      <c r="BG396" s="170">
        <f t="shared" si="95"/>
        <v>0</v>
      </c>
      <c r="BH396" s="170">
        <f>(Escenarios!$F$16*AK396+0.1*BC396)/(Escenarios!$F$19)</f>
        <v>2.9364335751260482</v>
      </c>
      <c r="BI396" s="170">
        <f>IF(Escenarios!$F$17&gt;0,BF396/10/Escenarios!$F$19,AL396)</f>
        <v>0</v>
      </c>
      <c r="BJ396" s="170">
        <f>(Escenarios!$F$16*AT396+0.1*BD396)/(Escenarios!$F$19)</f>
        <v>0.22206366005978537</v>
      </c>
      <c r="BK396" s="76">
        <f>BK395+(0.1*BD396)/(Escenarios!$F$19)-BL395</f>
        <v>48.75</v>
      </c>
      <c r="BL396" s="76">
        <f>MAX(0,(BK396-Constantes!$D$13)*(1-EXP(-Constantes!$D$23)))</f>
        <v>0</v>
      </c>
      <c r="BM396" s="76">
        <f t="shared" si="96"/>
        <v>0.55815470134343481</v>
      </c>
      <c r="BN396" s="76">
        <f t="shared" si="97"/>
        <v>1.0508203461267067</v>
      </c>
      <c r="BO396" s="76">
        <f>0.0526*BI396*Observaciones!$F395^1.218</f>
        <v>0</v>
      </c>
      <c r="BP396" s="76">
        <f>BO396*Constantes!$F$51</f>
        <v>0</v>
      </c>
      <c r="BQ396" s="76">
        <f t="shared" si="98"/>
        <v>0</v>
      </c>
      <c r="BR396" s="40"/>
    </row>
    <row r="397" spans="2:70">
      <c r="B397" s="39"/>
      <c r="C397" s="75">
        <v>391</v>
      </c>
      <c r="D397" s="146">
        <f>ETo!$I396*((1-Constantes!$F$19)*ETo!$K396+ETo!$L396)</f>
        <v>4.4760908727466013</v>
      </c>
      <c r="E397" s="76">
        <f>MIN(D397*Constantes!$F$17,0.8*(N396+Observaciones!$F396-F397-M397-Constantes!$D$14))</f>
        <v>2.552767252853922</v>
      </c>
      <c r="F397" s="76">
        <f>IF(Observaciones!$F396&gt;0.05*Constantes!$F$18,((Observaciones!$F396-0.05*Constantes!$F$18)^2)/(Observaciones!$F396+0.95*Constantes!$F$18),0)</f>
        <v>0</v>
      </c>
      <c r="G397" s="76">
        <f>IF(Escenarios!$F$11&gt;0,(F397*Escenarios!$F$16*10000)/1000,0)</f>
        <v>0</v>
      </c>
      <c r="H397" s="76">
        <f>IF(Escenarios!$F$11&gt;0,(Observaciones!$F396*Constantes!$F$29)/1000,0)</f>
        <v>0</v>
      </c>
      <c r="I397" s="76">
        <f>IF(Escenarios!$F$11&gt;0,(D397*Constantes!$F$29)/1000,0)</f>
        <v>0</v>
      </c>
      <c r="J397" s="76">
        <f>IF(Escenarios!$F$11&gt;0,MAX(0,G397+H397-I397),0)</f>
        <v>0</v>
      </c>
      <c r="K397" s="76">
        <f>IF(Escenarios!$F$11&gt;0,IF(J397&gt;Constantes!$F$30,1000*((J397-Constantes!$F$30)/(Escenarios!$F$16*10000)),0),F397)</f>
        <v>0</v>
      </c>
      <c r="L397" s="76">
        <f>IF(Escenarios!$F$11&gt;0,I397*1000/Escenarios!$F$16/10000+E397,E397)</f>
        <v>2.552767252853922</v>
      </c>
      <c r="M397" s="76">
        <f>MAX(0,N396+Observaciones!$F396-K397-Constantes!$D$13)</f>
        <v>0</v>
      </c>
      <c r="N397" s="76">
        <f>N396+Observaciones!$F396-K397-L397-M397-O396</f>
        <v>40.8033201199936</v>
      </c>
      <c r="O397" s="76">
        <f>MAX(0,(N397-Constantes!$D$14)*(1-EXP(-Constantes!$D$22)))</f>
        <v>1.0066945757462045</v>
      </c>
      <c r="P397" s="170">
        <f>P396+(Entradas!$F$83*M397-Q396)/(800*Entradas!$D$25)</f>
        <v>0</v>
      </c>
      <c r="Q397" s="170">
        <f>8000*Entradas!$D$26*P397/Constantes!$F$45</f>
        <v>0</v>
      </c>
      <c r="R397" s="170">
        <f>IF(Escenarios!$F$14&gt;0,K397*Escenarios!$F$13/Escenarios!$F$14,0)</f>
        <v>0</v>
      </c>
      <c r="S397" s="170">
        <f>IF(Escenarios!$F$14&gt;0,Q397*Escenarios!$F$13/Escenarios!$F$14,0)</f>
        <v>0</v>
      </c>
      <c r="T397" s="170">
        <f>IF(Escenarios!$F$14&gt;0,Observaciones!$I396,0)</f>
        <v>0</v>
      </c>
      <c r="U397" s="170">
        <f>IF(Escenarios!$F$14&gt;0,MAX(0,Constantes!$F$36/((Z396+R397+S397+T397+Observaciones!$F396)^2)+Entradas!$F$77),0)</f>
        <v>1.4213171474507003</v>
      </c>
      <c r="V397" s="146">
        <f>IF(ETo!D396&gt;0,ETo!I396*((1-Entradas!$F$81)*ETo!K396+ETo!L396),0)</f>
        <v>3.9781342083855336</v>
      </c>
      <c r="W397" s="170">
        <f>IF(Escenarios!$F$14&gt;0,MIN(V397*1,0.8*(Z396+R397+S397+T397+Observaciones!$F396-U397-Constantes!$F$35)),0)</f>
        <v>3.9781342083855336</v>
      </c>
      <c r="X397" s="170">
        <f>IF(Escenarios!$F$14&gt;0,Observaciones!$J396,0)</f>
        <v>0</v>
      </c>
      <c r="Y397" s="170">
        <f>IF(Escenarios!$F$14&gt;0,MAX(0,Z396+R397+S397+T397+Observaciones!$F396-U397-W397-X397-Constantes!$F$33),0)</f>
        <v>0</v>
      </c>
      <c r="Z397" s="170">
        <f>Z396+R397+S397+T397+Observaciones!$F396-U397-W397-Y397</f>
        <v>75.243989092309135</v>
      </c>
      <c r="AA397" s="170">
        <f>IF(Escenarios!$F$14&gt;0,(Escenarios!$F$13*L397+Escenarios!$F$14*W397)/(Escenarios!$F$16),L397)</f>
        <v>2.7238112875177154</v>
      </c>
      <c r="AB397" s="170">
        <f>IF(Escenarios!$F$14&gt;0,(Escenarios!$F$14*Y397)/(Escenarios!$F$16),K397)</f>
        <v>0</v>
      </c>
      <c r="AC397" s="170">
        <f>IF(Escenarios!$F$14&gt;0,(Escenarios!$F$13*M397+Escenarios!$F$14*U397)/(Escenarios!$F$16),M397)</f>
        <v>0.17055805769408403</v>
      </c>
      <c r="AD397" s="76">
        <f t="shared" si="85"/>
        <v>103.60033539492979</v>
      </c>
      <c r="AE397" s="76">
        <f>MAX(0,(AD397-Constantes!$D$13)*(1-EXP(-Constantes!$D$23)))</f>
        <v>0.54045341897829557</v>
      </c>
      <c r="AF397" s="76">
        <f>AB397+O397*Escenarios!$F$13/Escenarios!$F$16+AE397</f>
        <v>1.4263446456349556</v>
      </c>
      <c r="AG397" s="76">
        <f>IF(Entradas!$F$91&gt;0,IF(AF397-Escenarios!$F$38&lt;=0,0,IF(AF397-Escenarios!$F$38&gt;Escenarios!$F$37,Escenarios!$F$37,AF397-Escenarios!$F$38)),0)</f>
        <v>0.38954464563495561</v>
      </c>
      <c r="AH397" s="76">
        <f>AG397*Entradas!$F$99</f>
        <v>0</v>
      </c>
      <c r="AI397" s="76">
        <f>IF(Entradas!$F$91&gt;0,D397*Entradas!$D$23/Escenarios!$F$16,0)</f>
        <v>0.21485236189183687</v>
      </c>
      <c r="AJ397" s="76">
        <f>IF(Entradas!$F$91&gt;0,Entradas!$D$24*Entradas!$D$22/Escenarios!$F$16,0)</f>
        <v>0.12</v>
      </c>
      <c r="AK397" s="76">
        <f t="shared" si="86"/>
        <v>2.9386636494095524</v>
      </c>
      <c r="AL397" s="76">
        <f t="shared" si="87"/>
        <v>0</v>
      </c>
      <c r="AM397" s="76">
        <f t="shared" si="88"/>
        <v>0.38954464563495561</v>
      </c>
      <c r="AN397" s="76">
        <f>MAX(0,O397*Escenarios!$F$13/Escenarios!$F$16-AM397)</f>
        <v>0.49634658102170426</v>
      </c>
      <c r="AO397" s="76">
        <f>AM397+AN397-O397*Escenarios!$F$13/Escenarios!$F$16</f>
        <v>0</v>
      </c>
      <c r="AP397" s="76">
        <f t="shared" si="89"/>
        <v>0.54045341897829557</v>
      </c>
      <c r="AQ397" s="76">
        <f t="shared" si="90"/>
        <v>0</v>
      </c>
      <c r="AR397" s="76">
        <f t="shared" si="91"/>
        <v>1.0367999999999999</v>
      </c>
      <c r="AS397" s="76">
        <f t="shared" si="92"/>
        <v>5.4692283743118741E-2</v>
      </c>
      <c r="AT397" s="76">
        <f t="shared" si="93"/>
        <v>0.22525034143720277</v>
      </c>
      <c r="AU397" s="76">
        <f t="shared" si="94"/>
        <v>49.70791887949207</v>
      </c>
      <c r="AV397" s="76">
        <f>MAX(0,(AU397-Constantes!$D$13)*(1-EXP(-Constantes!$D$24)))</f>
        <v>1.4642026741809087E-2</v>
      </c>
      <c r="AW397" s="170">
        <f>AW396+(Entradas!$F$112*AT397-AX396)/(800*Entradas!$D$25)</f>
        <v>0</v>
      </c>
      <c r="AX397" s="170">
        <f>8000*Entradas!$D$26*AW397/Constantes!$F$45</f>
        <v>0</v>
      </c>
      <c r="AY397" s="170">
        <f>IF(Escenarios!$F$17&gt;0,10*Escenarios!$F$16*AL397,0)</f>
        <v>0</v>
      </c>
      <c r="AZ397" s="170">
        <f>IF(Escenarios!$F$17&gt;0,10*Escenarios!$F$16*AX397,0)</f>
        <v>0</v>
      </c>
      <c r="BA397" s="170">
        <f>IF(Escenarios!$F$17&gt;0,0.001*Observaciones!$F396*Escenarios!$F$17,0)</f>
        <v>0</v>
      </c>
      <c r="BB397" s="170">
        <f>IF(Escenarios!$F$17&gt;0,Observaciones!$K396,0)</f>
        <v>0</v>
      </c>
      <c r="BC397" s="170">
        <f>IF(Escenarios!$F$17&gt;0,MIN(0.0005*ETo!$M396*Escenarios!$F$17*(BG396/Constantes!$F$40)^(2/3),BG396+AY397+AZ397+BA397+BB397),0)</f>
        <v>0</v>
      </c>
      <c r="BD397" s="170">
        <f>IF(Escenarios!$F$17&gt;0,MIN(Constantes!$F$39*(BG396/Constantes!$F$40)^(2/3),BG396+AY397+AZ397+BA397+BB397-BC397),0)</f>
        <v>0</v>
      </c>
      <c r="BE397" s="170">
        <f>IF(Escenarios!$F$17&gt;0,MIN(Entradas!$F$113,BG396+AY397+AZ397+BA397+BB397-BC397-BD397),0)</f>
        <v>0</v>
      </c>
      <c r="BF397" s="170">
        <f>IF(Escenarios!$F$17&gt;0,MAX(0,BG396+AY397+AZ397+BA397+BB397-BC397-BD397-BE397-Constantes!$F$40),0)</f>
        <v>0</v>
      </c>
      <c r="BG397" s="170">
        <f t="shared" si="95"/>
        <v>0</v>
      </c>
      <c r="BH397" s="170">
        <f>(Escenarios!$F$16*AK397+0.1*BC397)/(Escenarios!$F$19)</f>
        <v>2.9386636494095524</v>
      </c>
      <c r="BI397" s="170">
        <f>IF(Escenarios!$F$17&gt;0,BF397/10/Escenarios!$F$19,AL397)</f>
        <v>0</v>
      </c>
      <c r="BJ397" s="170">
        <f>(Escenarios!$F$16*AT397+0.1*BD397)/(Escenarios!$F$19)</f>
        <v>0.22525034143720277</v>
      </c>
      <c r="BK397" s="76">
        <f>BK396+(0.1*BD397)/(Escenarios!$F$19)-BL396</f>
        <v>48.75</v>
      </c>
      <c r="BL397" s="76">
        <f>MAX(0,(BK397-Constantes!$D$13)*(1-EXP(-Constantes!$D$23)))</f>
        <v>0</v>
      </c>
      <c r="BM397" s="76">
        <f t="shared" si="96"/>
        <v>0.55509544572010461</v>
      </c>
      <c r="BN397" s="76">
        <f t="shared" si="97"/>
        <v>1.051442026741809</v>
      </c>
      <c r="BO397" s="76">
        <f>0.0526*BI397*Observaciones!$F396^1.218</f>
        <v>0</v>
      </c>
      <c r="BP397" s="76">
        <f>BO397*Constantes!$F$51</f>
        <v>0</v>
      </c>
      <c r="BQ397" s="76">
        <f t="shared" si="98"/>
        <v>0</v>
      </c>
      <c r="BR397" s="40"/>
    </row>
    <row r="398" spans="2:70">
      <c r="B398" s="39"/>
      <c r="C398" s="75">
        <v>392</v>
      </c>
      <c r="D398" s="146">
        <f>ETo!$I397*((1-Constantes!$F$19)*ETo!$K397+ETo!$L397)</f>
        <v>4.5257854356889782</v>
      </c>
      <c r="E398" s="76">
        <f>MIN(D398*Constantes!$F$17,0.8*(N397+Observaciones!$F397-F398-M398-Constantes!$D$14))</f>
        <v>2.5811086463892026</v>
      </c>
      <c r="F398" s="76">
        <f>IF(Observaciones!$F397&gt;0.05*Constantes!$F$18,((Observaciones!$F397-0.05*Constantes!$F$18)^2)/(Observaciones!$F397+0.95*Constantes!$F$18),0)</f>
        <v>0</v>
      </c>
      <c r="G398" s="76">
        <f>IF(Escenarios!$F$11&gt;0,(F398*Escenarios!$F$16*10000)/1000,0)</f>
        <v>0</v>
      </c>
      <c r="H398" s="76">
        <f>IF(Escenarios!$F$11&gt;0,(Observaciones!$F397*Constantes!$F$29)/1000,0)</f>
        <v>0</v>
      </c>
      <c r="I398" s="76">
        <f>IF(Escenarios!$F$11&gt;0,(D398*Constantes!$F$29)/1000,0)</f>
        <v>0</v>
      </c>
      <c r="J398" s="76">
        <f>IF(Escenarios!$F$11&gt;0,MAX(0,G398+H398-I398),0)</f>
        <v>0</v>
      </c>
      <c r="K398" s="76">
        <f>IF(Escenarios!$F$11&gt;0,IF(J398&gt;Constantes!$F$30,1000*((J398-Constantes!$F$30)/(Escenarios!$F$16*10000)),0),F398)</f>
        <v>0</v>
      </c>
      <c r="L398" s="76">
        <f>IF(Escenarios!$F$11&gt;0,I398*1000/Escenarios!$F$16/10000+E398,E398)</f>
        <v>2.5811086463892026</v>
      </c>
      <c r="M398" s="76">
        <f>MAX(0,N397+Observaciones!$F397-K398-Constantes!$D$13)</f>
        <v>0</v>
      </c>
      <c r="N398" s="76">
        <f>N397+Observaciones!$F397-K398-L398-M398-O397</f>
        <v>37.315516897858195</v>
      </c>
      <c r="O398" s="76">
        <f>MAX(0,(N398-Constantes!$D$14)*(1-EXP(-Constantes!$D$22)))</f>
        <v>0.88788719401252048</v>
      </c>
      <c r="P398" s="170">
        <f>P397+(Entradas!$F$83*M398-Q397)/(800*Entradas!$D$25)</f>
        <v>0</v>
      </c>
      <c r="Q398" s="170">
        <f>8000*Entradas!$D$26*P398/Constantes!$F$45</f>
        <v>0</v>
      </c>
      <c r="R398" s="170">
        <f>IF(Escenarios!$F$14&gt;0,K398*Escenarios!$F$13/Escenarios!$F$14,0)</f>
        <v>0</v>
      </c>
      <c r="S398" s="170">
        <f>IF(Escenarios!$F$14&gt;0,Q398*Escenarios!$F$13/Escenarios!$F$14,0)</f>
        <v>0</v>
      </c>
      <c r="T398" s="170">
        <f>IF(Escenarios!$F$14&gt;0,Observaciones!$I397,0)</f>
        <v>0</v>
      </c>
      <c r="U398" s="170">
        <f>IF(Escenarios!$F$14&gt;0,MAX(0,Constantes!$F$36/((Z397+R398+S398+T398+Observaciones!$F397)^2)+Entradas!$F$77),0)</f>
        <v>1.1914281517959056</v>
      </c>
      <c r="V398" s="146">
        <f>IF(ETo!D397&gt;0,ETo!I397*((1-Entradas!$F$81)*ETo!K397+ETo!L397),0)</f>
        <v>4.0229804024760645</v>
      </c>
      <c r="W398" s="170">
        <f>IF(Escenarios!$F$14&gt;0,MIN(V398*1,0.8*(Z397+R398+S398+T398+Observaciones!$F397-U398-Constantes!$F$35)),0)</f>
        <v>4.0229804024760645</v>
      </c>
      <c r="X398" s="170">
        <f>IF(Escenarios!$F$14&gt;0,Observaciones!$J397,0)</f>
        <v>0</v>
      </c>
      <c r="Y398" s="170">
        <f>IF(Escenarios!$F$14&gt;0,MAX(0,Z397+R398+S398+T398+Observaciones!$F397-U398-W398-X398-Constantes!$F$33),0)</f>
        <v>0</v>
      </c>
      <c r="Z398" s="170">
        <f>Z397+R398+S398+T398+Observaciones!$F397-U398-W398-Y398</f>
        <v>70.12958053803716</v>
      </c>
      <c r="AA398" s="170">
        <f>IF(Escenarios!$F$14&gt;0,(Escenarios!$F$13*L398+Escenarios!$F$14*W398)/(Escenarios!$F$16),L398)</f>
        <v>2.754133257119626</v>
      </c>
      <c r="AB398" s="170">
        <f>IF(Escenarios!$F$14&gt;0,(Escenarios!$F$14*Y398)/(Escenarios!$F$16),K398)</f>
        <v>0</v>
      </c>
      <c r="AC398" s="170">
        <f>IF(Escenarios!$F$14&gt;0,(Escenarios!$F$13*M398+Escenarios!$F$14*U398)/(Escenarios!$F$16),M398)</f>
        <v>0.14297137821550868</v>
      </c>
      <c r="AD398" s="76">
        <f t="shared" si="85"/>
        <v>103.20285335416699</v>
      </c>
      <c r="AE398" s="76">
        <f>MAX(0,(AD398-Constantes!$D$13)*(1-EXP(-Constantes!$D$23)))</f>
        <v>0.53653693375781364</v>
      </c>
      <c r="AF398" s="76">
        <f>AB398+O398*Escenarios!$F$13/Escenarios!$F$16+AE398</f>
        <v>1.3178776644888317</v>
      </c>
      <c r="AG398" s="76">
        <f>IF(Entradas!$F$91&gt;0,IF(AF398-Escenarios!$F$38&lt;=0,0,IF(AF398-Escenarios!$F$38&gt;Escenarios!$F$37,Escenarios!$F$37,AF398-Escenarios!$F$38)),0)</f>
        <v>0.28107766448883176</v>
      </c>
      <c r="AH398" s="76">
        <f>AG398*Entradas!$F$99</f>
        <v>0</v>
      </c>
      <c r="AI398" s="76">
        <f>IF(Entradas!$F$91&gt;0,D398*Entradas!$D$23/Escenarios!$F$16,0)</f>
        <v>0.21723770091307096</v>
      </c>
      <c r="AJ398" s="76">
        <f>IF(Entradas!$F$91&gt;0,Entradas!$D$24*Entradas!$D$22/Escenarios!$F$16,0)</f>
        <v>0.12</v>
      </c>
      <c r="AK398" s="76">
        <f t="shared" si="86"/>
        <v>2.971370958032697</v>
      </c>
      <c r="AL398" s="76">
        <f t="shared" si="87"/>
        <v>0</v>
      </c>
      <c r="AM398" s="76">
        <f t="shared" si="88"/>
        <v>0.28107766448883176</v>
      </c>
      <c r="AN398" s="76">
        <f>MAX(0,O398*Escenarios!$F$13/Escenarios!$F$16-AM398)</f>
        <v>0.50026306624218619</v>
      </c>
      <c r="AO398" s="76">
        <f>AM398+AN398-O398*Escenarios!$F$13/Escenarios!$F$16</f>
        <v>0</v>
      </c>
      <c r="AP398" s="76">
        <f t="shared" si="89"/>
        <v>0.53653693375781364</v>
      </c>
      <c r="AQ398" s="76">
        <f t="shared" si="90"/>
        <v>0</v>
      </c>
      <c r="AR398" s="76">
        <f t="shared" si="91"/>
        <v>1.0367999999999999</v>
      </c>
      <c r="AS398" s="76">
        <f t="shared" si="92"/>
        <v>0</v>
      </c>
      <c r="AT398" s="76">
        <f t="shared" si="93"/>
        <v>0.14297137821550868</v>
      </c>
      <c r="AU398" s="76">
        <f t="shared" si="94"/>
        <v>49.693276852750259</v>
      </c>
      <c r="AV398" s="76">
        <f>MAX(0,(AU398-Constantes!$D$13)*(1-EXP(-Constantes!$D$24)))</f>
        <v>1.4418219745519843E-2</v>
      </c>
      <c r="AW398" s="170">
        <f>AW397+(Entradas!$F$112*AT398-AX397)/(800*Entradas!$D$25)</f>
        <v>0</v>
      </c>
      <c r="AX398" s="170">
        <f>8000*Entradas!$D$26*AW398/Constantes!$F$45</f>
        <v>0</v>
      </c>
      <c r="AY398" s="170">
        <f>IF(Escenarios!$F$17&gt;0,10*Escenarios!$F$16*AL398,0)</f>
        <v>0</v>
      </c>
      <c r="AZ398" s="170">
        <f>IF(Escenarios!$F$17&gt;0,10*Escenarios!$F$16*AX398,0)</f>
        <v>0</v>
      </c>
      <c r="BA398" s="170">
        <f>IF(Escenarios!$F$17&gt;0,0.001*Observaciones!$F397*Escenarios!$F$17,0)</f>
        <v>0</v>
      </c>
      <c r="BB398" s="170">
        <f>IF(Escenarios!$F$17&gt;0,Observaciones!$K397,0)</f>
        <v>0</v>
      </c>
      <c r="BC398" s="170">
        <f>IF(Escenarios!$F$17&gt;0,MIN(0.0005*ETo!$M397*Escenarios!$F$17*(BG397/Constantes!$F$40)^(2/3),BG397+AY398+AZ398+BA398+BB398),0)</f>
        <v>0</v>
      </c>
      <c r="BD398" s="170">
        <f>IF(Escenarios!$F$17&gt;0,MIN(Constantes!$F$39*(BG397/Constantes!$F$40)^(2/3),BG397+AY398+AZ398+BA398+BB398-BC398),0)</f>
        <v>0</v>
      </c>
      <c r="BE398" s="170">
        <f>IF(Escenarios!$F$17&gt;0,MIN(Entradas!$F$113,BG397+AY398+AZ398+BA398+BB398-BC398-BD398),0)</f>
        <v>0</v>
      </c>
      <c r="BF398" s="170">
        <f>IF(Escenarios!$F$17&gt;0,MAX(0,BG397+AY398+AZ398+BA398+BB398-BC398-BD398-BE398-Constantes!$F$40),0)</f>
        <v>0</v>
      </c>
      <c r="BG398" s="170">
        <f t="shared" si="95"/>
        <v>0</v>
      </c>
      <c r="BH398" s="170">
        <f>(Escenarios!$F$16*AK398+0.1*BC398)/(Escenarios!$F$19)</f>
        <v>2.971370958032697</v>
      </c>
      <c r="BI398" s="170">
        <f>IF(Escenarios!$F$17&gt;0,BF398/10/Escenarios!$F$19,AL398)</f>
        <v>0</v>
      </c>
      <c r="BJ398" s="170">
        <f>(Escenarios!$F$16*AT398+0.1*BD398)/(Escenarios!$F$19)</f>
        <v>0.14297137821550868</v>
      </c>
      <c r="BK398" s="76">
        <f>BK397+(0.1*BD398)/(Escenarios!$F$19)-BL397</f>
        <v>48.75</v>
      </c>
      <c r="BL398" s="76">
        <f>MAX(0,(BK398-Constantes!$D$13)*(1-EXP(-Constantes!$D$23)))</f>
        <v>0</v>
      </c>
      <c r="BM398" s="76">
        <f t="shared" si="96"/>
        <v>0.55095515350333346</v>
      </c>
      <c r="BN398" s="76">
        <f t="shared" si="97"/>
        <v>1.0512182197455198</v>
      </c>
      <c r="BO398" s="76">
        <f>0.0526*BI398*Observaciones!$F397^1.218</f>
        <v>0</v>
      </c>
      <c r="BP398" s="76">
        <f>BO398*Constantes!$F$51</f>
        <v>0</v>
      </c>
      <c r="BQ398" s="76">
        <f t="shared" si="98"/>
        <v>0</v>
      </c>
      <c r="BR398" s="40"/>
    </row>
    <row r="399" spans="2:70">
      <c r="B399" s="39"/>
      <c r="C399" s="75">
        <v>393</v>
      </c>
      <c r="D399" s="146">
        <f>ETo!$I398*((1-Constantes!$F$19)*ETo!$K398+ETo!$L398)</f>
        <v>4.4871531808139302</v>
      </c>
      <c r="E399" s="76">
        <f>MIN(D399*Constantes!$F$17,0.8*(N398+Observaciones!$F398-F399-M399-Constantes!$D$14))</f>
        <v>2.5590762172110133</v>
      </c>
      <c r="F399" s="76">
        <f>IF(Observaciones!$F398&gt;0.05*Constantes!$F$18,((Observaciones!$F398-0.05*Constantes!$F$18)^2)/(Observaciones!$F398+0.95*Constantes!$F$18),0)</f>
        <v>0</v>
      </c>
      <c r="G399" s="76">
        <f>IF(Escenarios!$F$11&gt;0,(F399*Escenarios!$F$16*10000)/1000,0)</f>
        <v>0</v>
      </c>
      <c r="H399" s="76">
        <f>IF(Escenarios!$F$11&gt;0,(Observaciones!$F398*Constantes!$F$29)/1000,0)</f>
        <v>0</v>
      </c>
      <c r="I399" s="76">
        <f>IF(Escenarios!$F$11&gt;0,(D399*Constantes!$F$29)/1000,0)</f>
        <v>0</v>
      </c>
      <c r="J399" s="76">
        <f>IF(Escenarios!$F$11&gt;0,MAX(0,G399+H399-I399),0)</f>
        <v>0</v>
      </c>
      <c r="K399" s="76">
        <f>IF(Escenarios!$F$11&gt;0,IF(J399&gt;Constantes!$F$30,1000*((J399-Constantes!$F$30)/(Escenarios!$F$16*10000)),0),F399)</f>
        <v>0</v>
      </c>
      <c r="L399" s="76">
        <f>IF(Escenarios!$F$11&gt;0,I399*1000/Escenarios!$F$16/10000+E399,E399)</f>
        <v>2.5590762172110133</v>
      </c>
      <c r="M399" s="76">
        <f>MAX(0,N398+Observaciones!$F398-K399-Constantes!$D$13)</f>
        <v>0</v>
      </c>
      <c r="N399" s="76">
        <f>N398+Observaciones!$F398-K399-L399-M399-O398</f>
        <v>33.86855348663466</v>
      </c>
      <c r="O399" s="76">
        <f>MAX(0,(N399-Constantes!$D$14)*(1-EXP(-Constantes!$D$22)))</f>
        <v>0.77047096616450983</v>
      </c>
      <c r="P399" s="170">
        <f>P398+(Entradas!$F$83*M399-Q398)/(800*Entradas!$D$25)</f>
        <v>0</v>
      </c>
      <c r="Q399" s="170">
        <f>8000*Entradas!$D$26*P399/Constantes!$F$45</f>
        <v>0</v>
      </c>
      <c r="R399" s="170">
        <f>IF(Escenarios!$F$14&gt;0,K399*Escenarios!$F$13/Escenarios!$F$14,0)</f>
        <v>0</v>
      </c>
      <c r="S399" s="170">
        <f>IF(Escenarios!$F$14&gt;0,Q399*Escenarios!$F$13/Escenarios!$F$14,0)</f>
        <v>0</v>
      </c>
      <c r="T399" s="170">
        <f>IF(Escenarios!$F$14&gt;0,Observaciones!$I398,0)</f>
        <v>0</v>
      </c>
      <c r="U399" s="170">
        <f>IF(Escenarios!$F$14&gt;0,MAX(0,Constantes!$F$36/((Z398+R399+S399+T399+Observaciones!$F398)^2)+Entradas!$F$77),0)</f>
        <v>0.91248067644369213</v>
      </c>
      <c r="V399" s="146">
        <f>IF(ETo!D398&gt;0,ETo!I398*((1-Entradas!$F$81)*ETo!K398+ETo!L398),0)</f>
        <v>3.988073364236528</v>
      </c>
      <c r="W399" s="170">
        <f>IF(Escenarios!$F$14&gt;0,MIN(V399*1,0.8*(Z398+R399+S399+T399+Observaciones!$F398-U399-Constantes!$F$35)),0)</f>
        <v>3.988073364236528</v>
      </c>
      <c r="X399" s="170">
        <f>IF(Escenarios!$F$14&gt;0,Observaciones!$J398,0)</f>
        <v>0</v>
      </c>
      <c r="Y399" s="170">
        <f>IF(Escenarios!$F$14&gt;0,MAX(0,Z398+R399+S399+T399+Observaciones!$F398-U399-W399-X399-Constantes!$F$33),0)</f>
        <v>0</v>
      </c>
      <c r="Z399" s="170">
        <f>Z398+R399+S399+T399+Observaciones!$F398-U399-W399-Y399</f>
        <v>65.229026497356941</v>
      </c>
      <c r="AA399" s="170">
        <f>IF(Escenarios!$F$14&gt;0,(Escenarios!$F$13*L399+Escenarios!$F$14*W399)/(Escenarios!$F$16),L399)</f>
        <v>2.7305558748540748</v>
      </c>
      <c r="AB399" s="170">
        <f>IF(Escenarios!$F$14&gt;0,(Escenarios!$F$14*Y399)/(Escenarios!$F$16),K399)</f>
        <v>0</v>
      </c>
      <c r="AC399" s="170">
        <f>IF(Escenarios!$F$14&gt;0,(Escenarios!$F$13*M399+Escenarios!$F$14*U399)/(Escenarios!$F$16),M399)</f>
        <v>0.10949768117324306</v>
      </c>
      <c r="AD399" s="76">
        <f t="shared" si="85"/>
        <v>102.77581410158241</v>
      </c>
      <c r="AE399" s="76">
        <f>MAX(0,(AD399-Constantes!$D$13)*(1-EXP(-Constantes!$D$23)))</f>
        <v>0.53232921428927216</v>
      </c>
      <c r="AF399" s="76">
        <f>AB399+O399*Escenarios!$F$13/Escenarios!$F$16+AE399</f>
        <v>1.2103436645140409</v>
      </c>
      <c r="AG399" s="76">
        <f>IF(Entradas!$F$91&gt;0,IF(AF399-Escenarios!$F$38&lt;=0,0,IF(AF399-Escenarios!$F$38&gt;Escenarios!$F$37,Escenarios!$F$37,AF399-Escenarios!$F$38)),0)</f>
        <v>0.17354366451404091</v>
      </c>
      <c r="AH399" s="76">
        <f>AG399*Entradas!$F$99</f>
        <v>0</v>
      </c>
      <c r="AI399" s="76">
        <f>IF(Entradas!$F$91&gt;0,D399*Entradas!$D$23/Escenarios!$F$16,0)</f>
        <v>0.21538335267906866</v>
      </c>
      <c r="AJ399" s="76">
        <f>IF(Entradas!$F$91&gt;0,Entradas!$D$24*Entradas!$D$22/Escenarios!$F$16,0)</f>
        <v>0.12</v>
      </c>
      <c r="AK399" s="76">
        <f t="shared" si="86"/>
        <v>2.9459392275331435</v>
      </c>
      <c r="AL399" s="76">
        <f t="shared" si="87"/>
        <v>0</v>
      </c>
      <c r="AM399" s="76">
        <f t="shared" si="88"/>
        <v>0.17354366451404091</v>
      </c>
      <c r="AN399" s="76">
        <f>MAX(0,O399*Escenarios!$F$13/Escenarios!$F$16-AM399)</f>
        <v>0.50447078571072779</v>
      </c>
      <c r="AO399" s="76">
        <f>AM399+AN399-O399*Escenarios!$F$13/Escenarios!$F$16</f>
        <v>0</v>
      </c>
      <c r="AP399" s="76">
        <f t="shared" si="89"/>
        <v>0.53232921428927216</v>
      </c>
      <c r="AQ399" s="76">
        <f t="shared" si="90"/>
        <v>0</v>
      </c>
      <c r="AR399" s="76">
        <f t="shared" si="91"/>
        <v>1.0367999999999999</v>
      </c>
      <c r="AS399" s="76">
        <f t="shared" si="92"/>
        <v>0</v>
      </c>
      <c r="AT399" s="76">
        <f t="shared" si="93"/>
        <v>0.10949768117324306</v>
      </c>
      <c r="AU399" s="76">
        <f t="shared" si="94"/>
        <v>49.678858633004737</v>
      </c>
      <c r="AV399" s="76">
        <f>MAX(0,(AU399-Constantes!$D$13)*(1-EXP(-Constantes!$D$24)))</f>
        <v>1.4197833694463874E-2</v>
      </c>
      <c r="AW399" s="170">
        <f>AW398+(Entradas!$F$112*AT399-AX398)/(800*Entradas!$D$25)</f>
        <v>0</v>
      </c>
      <c r="AX399" s="170">
        <f>8000*Entradas!$D$26*AW399/Constantes!$F$45</f>
        <v>0</v>
      </c>
      <c r="AY399" s="170">
        <f>IF(Escenarios!$F$17&gt;0,10*Escenarios!$F$16*AL399,0)</f>
        <v>0</v>
      </c>
      <c r="AZ399" s="170">
        <f>IF(Escenarios!$F$17&gt;0,10*Escenarios!$F$16*AX399,0)</f>
        <v>0</v>
      </c>
      <c r="BA399" s="170">
        <f>IF(Escenarios!$F$17&gt;0,0.001*Observaciones!$F398*Escenarios!$F$17,0)</f>
        <v>0</v>
      </c>
      <c r="BB399" s="170">
        <f>IF(Escenarios!$F$17&gt;0,Observaciones!$K398,0)</f>
        <v>0</v>
      </c>
      <c r="BC399" s="170">
        <f>IF(Escenarios!$F$17&gt;0,MIN(0.0005*ETo!$M398*Escenarios!$F$17*(BG398/Constantes!$F$40)^(2/3),BG398+AY399+AZ399+BA399+BB399),0)</f>
        <v>0</v>
      </c>
      <c r="BD399" s="170">
        <f>IF(Escenarios!$F$17&gt;0,MIN(Constantes!$F$39*(BG398/Constantes!$F$40)^(2/3),BG398+AY399+AZ399+BA399+BB399-BC399),0)</f>
        <v>0</v>
      </c>
      <c r="BE399" s="170">
        <f>IF(Escenarios!$F$17&gt;0,MIN(Entradas!$F$113,BG398+AY399+AZ399+BA399+BB399-BC399-BD399),0)</f>
        <v>0</v>
      </c>
      <c r="BF399" s="170">
        <f>IF(Escenarios!$F$17&gt;0,MAX(0,BG398+AY399+AZ399+BA399+BB399-BC399-BD399-BE399-Constantes!$F$40),0)</f>
        <v>0</v>
      </c>
      <c r="BG399" s="170">
        <f t="shared" si="95"/>
        <v>0</v>
      </c>
      <c r="BH399" s="170">
        <f>(Escenarios!$F$16*AK399+0.1*BC399)/(Escenarios!$F$19)</f>
        <v>2.9459392275331435</v>
      </c>
      <c r="BI399" s="170">
        <f>IF(Escenarios!$F$17&gt;0,BF399/10/Escenarios!$F$19,AL399)</f>
        <v>0</v>
      </c>
      <c r="BJ399" s="170">
        <f>(Escenarios!$F$16*AT399+0.1*BD399)/(Escenarios!$F$19)</f>
        <v>0.10949768117324306</v>
      </c>
      <c r="BK399" s="76">
        <f>BK398+(0.1*BD399)/(Escenarios!$F$19)-BL398</f>
        <v>48.75</v>
      </c>
      <c r="BL399" s="76">
        <f>MAX(0,(BK399-Constantes!$D$13)*(1-EXP(-Constantes!$D$23)))</f>
        <v>0</v>
      </c>
      <c r="BM399" s="76">
        <f t="shared" si="96"/>
        <v>0.54652704798373608</v>
      </c>
      <c r="BN399" s="76">
        <f t="shared" si="97"/>
        <v>1.0509978336944639</v>
      </c>
      <c r="BO399" s="76">
        <f>0.0526*BI399*Observaciones!$F398^1.218</f>
        <v>0</v>
      </c>
      <c r="BP399" s="76">
        <f>BO399*Constantes!$F$51</f>
        <v>0</v>
      </c>
      <c r="BQ399" s="76">
        <f t="shared" si="98"/>
        <v>0</v>
      </c>
      <c r="BR399" s="40"/>
    </row>
    <row r="400" spans="2:70">
      <c r="B400" s="39"/>
      <c r="C400" s="75">
        <v>394</v>
      </c>
      <c r="D400" s="146">
        <f>ETo!$I399*((1-Constantes!$F$19)*ETo!$K399+ETo!$L399)</f>
        <v>4.2810101532915699</v>
      </c>
      <c r="E400" s="76">
        <f>MIN(D400*Constantes!$F$17,0.8*(N399+Observaciones!$F399-F400-M400-Constantes!$D$14))</f>
        <v>2.4415104248658861</v>
      </c>
      <c r="F400" s="76">
        <f>IF(Observaciones!$F399&gt;0.05*Constantes!$F$18,((Observaciones!$F399-0.05*Constantes!$F$18)^2)/(Observaciones!$F399+0.95*Constantes!$F$18),0)</f>
        <v>0</v>
      </c>
      <c r="G400" s="76">
        <f>IF(Escenarios!$F$11&gt;0,(F400*Escenarios!$F$16*10000)/1000,0)</f>
        <v>0</v>
      </c>
      <c r="H400" s="76">
        <f>IF(Escenarios!$F$11&gt;0,(Observaciones!$F399*Constantes!$F$29)/1000,0)</f>
        <v>0</v>
      </c>
      <c r="I400" s="76">
        <f>IF(Escenarios!$F$11&gt;0,(D400*Constantes!$F$29)/1000,0)</f>
        <v>0</v>
      </c>
      <c r="J400" s="76">
        <f>IF(Escenarios!$F$11&gt;0,MAX(0,G400+H400-I400),0)</f>
        <v>0</v>
      </c>
      <c r="K400" s="76">
        <f>IF(Escenarios!$F$11&gt;0,IF(J400&gt;Constantes!$F$30,1000*((J400-Constantes!$F$30)/(Escenarios!$F$16*10000)),0),F400)</f>
        <v>0</v>
      </c>
      <c r="L400" s="76">
        <f>IF(Escenarios!$F$11&gt;0,I400*1000/Escenarios!$F$16/10000+E400,E400)</f>
        <v>2.4415104248658861</v>
      </c>
      <c r="M400" s="76">
        <f>MAX(0,N399+Observaciones!$F399-K400-Constantes!$D$13)</f>
        <v>0</v>
      </c>
      <c r="N400" s="76">
        <f>N399+Observaciones!$F399-K400-L400-M400-O399</f>
        <v>32.356572095604264</v>
      </c>
      <c r="O400" s="76">
        <f>MAX(0,(N400-Constantes!$D$14)*(1-EXP(-Constantes!$D$22)))</f>
        <v>0.71896732938869601</v>
      </c>
      <c r="P400" s="170">
        <f>P399+(Entradas!$F$83*M400-Q399)/(800*Entradas!$D$25)</f>
        <v>0</v>
      </c>
      <c r="Q400" s="170">
        <f>8000*Entradas!$D$26*P400/Constantes!$F$45</f>
        <v>0</v>
      </c>
      <c r="R400" s="170">
        <f>IF(Escenarios!$F$14&gt;0,K400*Escenarios!$F$13/Escenarios!$F$14,0)</f>
        <v>0</v>
      </c>
      <c r="S400" s="170">
        <f>IF(Escenarios!$F$14&gt;0,Q400*Escenarios!$F$13/Escenarios!$F$14,0)</f>
        <v>0</v>
      </c>
      <c r="T400" s="170">
        <f>IF(Escenarios!$F$14&gt;0,Observaciones!$I399,0)</f>
        <v>0</v>
      </c>
      <c r="U400" s="170">
        <f>IF(Escenarios!$F$14&gt;0,MAX(0,Constantes!$F$36/((Z399+R400+S400+T400+Observaciones!$F399)^2)+Entradas!$F$77),0)</f>
        <v>0.70805616603055999</v>
      </c>
      <c r="V400" s="146">
        <f>IF(ETo!D399&gt;0,ETo!I399*((1-Entradas!$F$81)*ETo!K399+ETo!L399),0)</f>
        <v>3.8025532098894073</v>
      </c>
      <c r="W400" s="170">
        <f>IF(Escenarios!$F$14&gt;0,MIN(V400*1,0.8*(Z399+R400+S400+T400+Observaciones!$F399-U400-Constantes!$F$35)),0)</f>
        <v>3.8025532098894073</v>
      </c>
      <c r="X400" s="170">
        <f>IF(Escenarios!$F$14&gt;0,Observaciones!$J399,0)</f>
        <v>0</v>
      </c>
      <c r="Y400" s="170">
        <f>IF(Escenarios!$F$14&gt;0,MAX(0,Z399+R400+S400+T400+Observaciones!$F399-U400-W400-X400-Constantes!$F$33),0)</f>
        <v>0</v>
      </c>
      <c r="Z400" s="170">
        <f>Z399+R400+S400+T400+Observaciones!$F399-U400-W400-Y400</f>
        <v>62.418417121436974</v>
      </c>
      <c r="AA400" s="170">
        <f>IF(Escenarios!$F$14&gt;0,(Escenarios!$F$13*L400+Escenarios!$F$14*W400)/(Escenarios!$F$16),L400)</f>
        <v>2.6048355590687082</v>
      </c>
      <c r="AB400" s="170">
        <f>IF(Escenarios!$F$14&gt;0,(Escenarios!$F$14*Y400)/(Escenarios!$F$16),K400)</f>
        <v>0</v>
      </c>
      <c r="AC400" s="170">
        <f>IF(Escenarios!$F$14&gt;0,(Escenarios!$F$13*M400+Escenarios!$F$14*U400)/(Escenarios!$F$16),M400)</f>
        <v>8.4966739923667212E-2</v>
      </c>
      <c r="AD400" s="76">
        <f t="shared" si="85"/>
        <v>102.32845162721681</v>
      </c>
      <c r="AE400" s="76">
        <f>MAX(0,(AD400-Constantes!$D$13)*(1-EXP(-Constantes!$D$23)))</f>
        <v>0.52792124527590811</v>
      </c>
      <c r="AF400" s="76">
        <f>AB400+O400*Escenarios!$F$13/Escenarios!$F$16+AE400</f>
        <v>1.1606124951379606</v>
      </c>
      <c r="AG400" s="76">
        <f>IF(Entradas!$F$91&gt;0,IF(AF400-Escenarios!$F$38&lt;=0,0,IF(AF400-Escenarios!$F$38&gt;Escenarios!$F$37,Escenarios!$F$37,AF400-Escenarios!$F$38)),0)</f>
        <v>0.12381249513796067</v>
      </c>
      <c r="AH400" s="76">
        <f>AG400*Entradas!$F$99</f>
        <v>0</v>
      </c>
      <c r="AI400" s="76">
        <f>IF(Entradas!$F$91&gt;0,D400*Entradas!$D$23/Escenarios!$F$16,0)</f>
        <v>0.20548848735799535</v>
      </c>
      <c r="AJ400" s="76">
        <f>IF(Entradas!$F$91&gt;0,Entradas!$D$24*Entradas!$D$22/Escenarios!$F$16,0)</f>
        <v>0.12</v>
      </c>
      <c r="AK400" s="76">
        <f t="shared" si="86"/>
        <v>2.8103240464267034</v>
      </c>
      <c r="AL400" s="76">
        <f t="shared" si="87"/>
        <v>0</v>
      </c>
      <c r="AM400" s="76">
        <f t="shared" si="88"/>
        <v>0.12381249513796067</v>
      </c>
      <c r="AN400" s="76">
        <f>MAX(0,O400*Escenarios!$F$13/Escenarios!$F$16-AM400)</f>
        <v>0.50887875472409183</v>
      </c>
      <c r="AO400" s="76">
        <f>AM400+AN400-O400*Escenarios!$F$13/Escenarios!$F$16</f>
        <v>0</v>
      </c>
      <c r="AP400" s="76">
        <f t="shared" si="89"/>
        <v>0.52792124527590811</v>
      </c>
      <c r="AQ400" s="76">
        <f t="shared" si="90"/>
        <v>0</v>
      </c>
      <c r="AR400" s="76">
        <f t="shared" si="91"/>
        <v>1.0367999999999999</v>
      </c>
      <c r="AS400" s="76">
        <f t="shared" si="92"/>
        <v>0</v>
      </c>
      <c r="AT400" s="76">
        <f t="shared" si="93"/>
        <v>8.4966739923667212E-2</v>
      </c>
      <c r="AU400" s="76">
        <f t="shared" si="94"/>
        <v>49.664660799310276</v>
      </c>
      <c r="AV400" s="76">
        <f>MAX(0,(AU400-Constantes!$D$13)*(1-EXP(-Constantes!$D$24)))</f>
        <v>1.398081629864819E-2</v>
      </c>
      <c r="AW400" s="170">
        <f>AW399+(Entradas!$F$112*AT400-AX399)/(800*Entradas!$D$25)</f>
        <v>0</v>
      </c>
      <c r="AX400" s="170">
        <f>8000*Entradas!$D$26*AW400/Constantes!$F$45</f>
        <v>0</v>
      </c>
      <c r="AY400" s="170">
        <f>IF(Escenarios!$F$17&gt;0,10*Escenarios!$F$16*AL400,0)</f>
        <v>0</v>
      </c>
      <c r="AZ400" s="170">
        <f>IF(Escenarios!$F$17&gt;0,10*Escenarios!$F$16*AX400,0)</f>
        <v>0</v>
      </c>
      <c r="BA400" s="170">
        <f>IF(Escenarios!$F$17&gt;0,0.001*Observaciones!$F399*Escenarios!$F$17,0)</f>
        <v>0</v>
      </c>
      <c r="BB400" s="170">
        <f>IF(Escenarios!$F$17&gt;0,Observaciones!$K399,0)</f>
        <v>0</v>
      </c>
      <c r="BC400" s="170">
        <f>IF(Escenarios!$F$17&gt;0,MIN(0.0005*ETo!$M399*Escenarios!$F$17*(BG399/Constantes!$F$40)^(2/3),BG399+AY400+AZ400+BA400+BB400),0)</f>
        <v>0</v>
      </c>
      <c r="BD400" s="170">
        <f>IF(Escenarios!$F$17&gt;0,MIN(Constantes!$F$39*(BG399/Constantes!$F$40)^(2/3),BG399+AY400+AZ400+BA400+BB400-BC400),0)</f>
        <v>0</v>
      </c>
      <c r="BE400" s="170">
        <f>IF(Escenarios!$F$17&gt;0,MIN(Entradas!$F$113,BG399+AY400+AZ400+BA400+BB400-BC400-BD400),0)</f>
        <v>0</v>
      </c>
      <c r="BF400" s="170">
        <f>IF(Escenarios!$F$17&gt;0,MAX(0,BG399+AY400+AZ400+BA400+BB400-BC400-BD400-BE400-Constantes!$F$40),0)</f>
        <v>0</v>
      </c>
      <c r="BG400" s="170">
        <f t="shared" si="95"/>
        <v>0</v>
      </c>
      <c r="BH400" s="170">
        <f>(Escenarios!$F$16*AK400+0.1*BC400)/(Escenarios!$F$19)</f>
        <v>2.8103240464267034</v>
      </c>
      <c r="BI400" s="170">
        <f>IF(Escenarios!$F$17&gt;0,BF400/10/Escenarios!$F$19,AL400)</f>
        <v>0</v>
      </c>
      <c r="BJ400" s="170">
        <f>(Escenarios!$F$16*AT400+0.1*BD400)/(Escenarios!$F$19)</f>
        <v>8.4966739923667212E-2</v>
      </c>
      <c r="BK400" s="76">
        <f>BK399+(0.1*BD400)/(Escenarios!$F$19)-BL399</f>
        <v>48.75</v>
      </c>
      <c r="BL400" s="76">
        <f>MAX(0,(BK400-Constantes!$D$13)*(1-EXP(-Constantes!$D$23)))</f>
        <v>0</v>
      </c>
      <c r="BM400" s="76">
        <f t="shared" si="96"/>
        <v>0.54190206157455634</v>
      </c>
      <c r="BN400" s="76">
        <f t="shared" si="97"/>
        <v>1.0507808162986481</v>
      </c>
      <c r="BO400" s="76">
        <f>0.0526*BI400*Observaciones!$F399^1.218</f>
        <v>0</v>
      </c>
      <c r="BP400" s="76">
        <f>BO400*Constantes!$F$51</f>
        <v>0</v>
      </c>
      <c r="BQ400" s="76">
        <f t="shared" si="98"/>
        <v>0</v>
      </c>
      <c r="BR400" s="40"/>
    </row>
    <row r="401" spans="2:70">
      <c r="B401" s="39"/>
      <c r="C401" s="75">
        <v>395</v>
      </c>
      <c r="D401" s="146">
        <f>ETo!$I400*((1-Constantes!$F$19)*ETo!$K400+ETo!$L400)</f>
        <v>4.4652113482307687</v>
      </c>
      <c r="E401" s="76">
        <f>MIN(D401*Constantes!$F$17,0.8*(N400+Observaciones!$F400-F401-M401-Constantes!$D$14))</f>
        <v>2.5465625321053471</v>
      </c>
      <c r="F401" s="76">
        <f>IF(Observaciones!$F400&gt;0.05*Constantes!$F$18,((Observaciones!$F400-0.05*Constantes!$F$18)^2)/(Observaciones!$F400+0.95*Constantes!$F$18),0)</f>
        <v>0</v>
      </c>
      <c r="G401" s="76">
        <f>IF(Escenarios!$F$11&gt;0,(F401*Escenarios!$F$16*10000)/1000,0)</f>
        <v>0</v>
      </c>
      <c r="H401" s="76">
        <f>IF(Escenarios!$F$11&gt;0,(Observaciones!$F400*Constantes!$F$29)/1000,0)</f>
        <v>0</v>
      </c>
      <c r="I401" s="76">
        <f>IF(Escenarios!$F$11&gt;0,(D401*Constantes!$F$29)/1000,0)</f>
        <v>0</v>
      </c>
      <c r="J401" s="76">
        <f>IF(Escenarios!$F$11&gt;0,MAX(0,G401+H401-I401),0)</f>
        <v>0</v>
      </c>
      <c r="K401" s="76">
        <f>IF(Escenarios!$F$11&gt;0,IF(J401&gt;Constantes!$F$30,1000*((J401-Constantes!$F$30)/(Escenarios!$F$16*10000)),0),F401)</f>
        <v>0</v>
      </c>
      <c r="L401" s="76">
        <f>IF(Escenarios!$F$11&gt;0,I401*1000/Escenarios!$F$16/10000+E401,E401)</f>
        <v>2.5465625321053471</v>
      </c>
      <c r="M401" s="76">
        <f>MAX(0,N400+Observaciones!$F400-K401-Constantes!$D$13)</f>
        <v>0</v>
      </c>
      <c r="N401" s="76">
        <f>N400+Observaciones!$F400-K401-L401-M401-O400</f>
        <v>34.291042234110222</v>
      </c>
      <c r="O401" s="76">
        <f>MAX(0,(N401-Constantes!$D$14)*(1-EXP(-Constantes!$D$22)))</f>
        <v>0.78486248389147129</v>
      </c>
      <c r="P401" s="170">
        <f>P400+(Entradas!$F$83*M401-Q400)/(800*Entradas!$D$25)</f>
        <v>0</v>
      </c>
      <c r="Q401" s="170">
        <f>8000*Entradas!$D$26*P401/Constantes!$F$45</f>
        <v>0</v>
      </c>
      <c r="R401" s="170">
        <f>IF(Escenarios!$F$14&gt;0,K401*Escenarios!$F$13/Escenarios!$F$14,0)</f>
        <v>0</v>
      </c>
      <c r="S401" s="170">
        <f>IF(Escenarios!$F$14&gt;0,Q401*Escenarios!$F$13/Escenarios!$F$14,0)</f>
        <v>0</v>
      </c>
      <c r="T401" s="170">
        <f>IF(Escenarios!$F$14&gt;0,Observaciones!$I400,0)</f>
        <v>0</v>
      </c>
      <c r="U401" s="170">
        <f>IF(Escenarios!$F$14&gt;0,MAX(0,Constantes!$F$36/((Z400+R401+S401+T401+Observaciones!$F400)^2)+Entradas!$F$77),0)</f>
        <v>0.75455208048532096</v>
      </c>
      <c r="V401" s="146">
        <f>IF(ETo!D400&gt;0,ETo!I400*((1-Entradas!$F$81)*ETo!K400+ETo!L400),0)</f>
        <v>3.9682255918309188</v>
      </c>
      <c r="W401" s="170">
        <f>IF(Escenarios!$F$14&gt;0,MIN(V401*1,0.8*(Z400+R401+S401+T401+Observaciones!$F400-U401-Constantes!$F$35)),0)</f>
        <v>3.9682255918309188</v>
      </c>
      <c r="X401" s="170">
        <f>IF(Escenarios!$F$14&gt;0,Observaciones!$J400,0)</f>
        <v>0</v>
      </c>
      <c r="Y401" s="170">
        <f>IF(Escenarios!$F$14&gt;0,MAX(0,Z400+R401+S401+T401+Observaciones!$F400-U401-W401-X401-Constantes!$F$33),0)</f>
        <v>0</v>
      </c>
      <c r="Z401" s="170">
        <f>Z400+R401+S401+T401+Observaciones!$F400-U401-W401-Y401</f>
        <v>62.895639449120736</v>
      </c>
      <c r="AA401" s="170">
        <f>IF(Escenarios!$F$14&gt;0,(Escenarios!$F$13*L401+Escenarios!$F$14*W401)/(Escenarios!$F$16),L401)</f>
        <v>2.7171620992724161</v>
      </c>
      <c r="AB401" s="170">
        <f>IF(Escenarios!$F$14&gt;0,(Escenarios!$F$14*Y401)/(Escenarios!$F$16),K401)</f>
        <v>0</v>
      </c>
      <c r="AC401" s="170">
        <f>IF(Escenarios!$F$14&gt;0,(Escenarios!$F$13*M401+Escenarios!$F$14*U401)/(Escenarios!$F$16),M401)</f>
        <v>9.0546249658238515E-2</v>
      </c>
      <c r="AD401" s="76">
        <f t="shared" si="85"/>
        <v>101.89107663159913</v>
      </c>
      <c r="AE401" s="76">
        <f>MAX(0,(AD401-Constantes!$D$13)*(1-EXP(-Constantes!$D$23)))</f>
        <v>0.52361168526947943</v>
      </c>
      <c r="AF401" s="76">
        <f>AB401+O401*Escenarios!$F$13/Escenarios!$F$16+AE401</f>
        <v>1.2142906710939743</v>
      </c>
      <c r="AG401" s="76">
        <f>IF(Entradas!$F$91&gt;0,IF(AF401-Escenarios!$F$38&lt;=0,0,IF(AF401-Escenarios!$F$38&gt;Escenarios!$F$37,Escenarios!$F$37,AF401-Escenarios!$F$38)),0)</f>
        <v>0.17749067109397432</v>
      </c>
      <c r="AH401" s="76">
        <f>AG401*Entradas!$F$99</f>
        <v>0</v>
      </c>
      <c r="AI401" s="76">
        <f>IF(Entradas!$F$91&gt;0,D401*Entradas!$D$23/Escenarios!$F$16,0)</f>
        <v>0.21433014471507689</v>
      </c>
      <c r="AJ401" s="76">
        <f>IF(Entradas!$F$91&gt;0,Entradas!$D$24*Entradas!$D$22/Escenarios!$F$16,0)</f>
        <v>0.12</v>
      </c>
      <c r="AK401" s="76">
        <f t="shared" si="86"/>
        <v>2.9314922439874929</v>
      </c>
      <c r="AL401" s="76">
        <f t="shared" si="87"/>
        <v>0</v>
      </c>
      <c r="AM401" s="76">
        <f t="shared" si="88"/>
        <v>0.17749067109397432</v>
      </c>
      <c r="AN401" s="76">
        <f>MAX(0,O401*Escenarios!$F$13/Escenarios!$F$16-AM401)</f>
        <v>0.5131883147305204</v>
      </c>
      <c r="AO401" s="76">
        <f>AM401+AN401-O401*Escenarios!$F$13/Escenarios!$F$16</f>
        <v>0</v>
      </c>
      <c r="AP401" s="76">
        <f t="shared" si="89"/>
        <v>0.52361168526947943</v>
      </c>
      <c r="AQ401" s="76">
        <f t="shared" si="90"/>
        <v>0</v>
      </c>
      <c r="AR401" s="76">
        <f t="shared" si="91"/>
        <v>1.0367999999999999</v>
      </c>
      <c r="AS401" s="76">
        <f t="shared" si="92"/>
        <v>0</v>
      </c>
      <c r="AT401" s="76">
        <f t="shared" si="93"/>
        <v>9.0546249658238515E-2</v>
      </c>
      <c r="AU401" s="76">
        <f t="shared" si="94"/>
        <v>49.650679983011628</v>
      </c>
      <c r="AV401" s="76">
        <f>MAX(0,(AU401-Constantes!$D$13)*(1-EXP(-Constantes!$D$24)))</f>
        <v>1.376711606734502E-2</v>
      </c>
      <c r="AW401" s="170">
        <f>AW400+(Entradas!$F$112*AT401-AX400)/(800*Entradas!$D$25)</f>
        <v>0</v>
      </c>
      <c r="AX401" s="170">
        <f>8000*Entradas!$D$26*AW401/Constantes!$F$45</f>
        <v>0</v>
      </c>
      <c r="AY401" s="170">
        <f>IF(Escenarios!$F$17&gt;0,10*Escenarios!$F$16*AL401,0)</f>
        <v>0</v>
      </c>
      <c r="AZ401" s="170">
        <f>IF(Escenarios!$F$17&gt;0,10*Escenarios!$F$16*AX401,0)</f>
        <v>0</v>
      </c>
      <c r="BA401" s="170">
        <f>IF(Escenarios!$F$17&gt;0,0.001*Observaciones!$F400*Escenarios!$F$17,0)</f>
        <v>0</v>
      </c>
      <c r="BB401" s="170">
        <f>IF(Escenarios!$F$17&gt;0,Observaciones!$K400,0)</f>
        <v>0</v>
      </c>
      <c r="BC401" s="170">
        <f>IF(Escenarios!$F$17&gt;0,MIN(0.0005*ETo!$M400*Escenarios!$F$17*(BG400/Constantes!$F$40)^(2/3),BG400+AY401+AZ401+BA401+BB401),0)</f>
        <v>0</v>
      </c>
      <c r="BD401" s="170">
        <f>IF(Escenarios!$F$17&gt;0,MIN(Constantes!$F$39*(BG400/Constantes!$F$40)^(2/3),BG400+AY401+AZ401+BA401+BB401-BC401),0)</f>
        <v>0</v>
      </c>
      <c r="BE401" s="170">
        <f>IF(Escenarios!$F$17&gt;0,MIN(Entradas!$F$113,BG400+AY401+AZ401+BA401+BB401-BC401-BD401),0)</f>
        <v>0</v>
      </c>
      <c r="BF401" s="170">
        <f>IF(Escenarios!$F$17&gt;0,MAX(0,BG400+AY401+AZ401+BA401+BB401-BC401-BD401-BE401-Constantes!$F$40),0)</f>
        <v>0</v>
      </c>
      <c r="BG401" s="170">
        <f t="shared" si="95"/>
        <v>0</v>
      </c>
      <c r="BH401" s="170">
        <f>(Escenarios!$F$16*AK401+0.1*BC401)/(Escenarios!$F$19)</f>
        <v>2.9314922439874929</v>
      </c>
      <c r="BI401" s="170">
        <f>IF(Escenarios!$F$17&gt;0,BF401/10/Escenarios!$F$19,AL401)</f>
        <v>0</v>
      </c>
      <c r="BJ401" s="170">
        <f>(Escenarios!$F$16*AT401+0.1*BD401)/(Escenarios!$F$19)</f>
        <v>9.0546249658238515E-2</v>
      </c>
      <c r="BK401" s="76">
        <f>BK400+(0.1*BD401)/(Escenarios!$F$19)-BL400</f>
        <v>48.75</v>
      </c>
      <c r="BL401" s="76">
        <f>MAX(0,(BK401-Constantes!$D$13)*(1-EXP(-Constantes!$D$23)))</f>
        <v>0</v>
      </c>
      <c r="BM401" s="76">
        <f t="shared" si="96"/>
        <v>0.53737880133682447</v>
      </c>
      <c r="BN401" s="76">
        <f t="shared" si="97"/>
        <v>1.0505671160673449</v>
      </c>
      <c r="BO401" s="76">
        <f>0.0526*BI401*Observaciones!$F400^1.218</f>
        <v>0</v>
      </c>
      <c r="BP401" s="76">
        <f>BO401*Constantes!$F$51</f>
        <v>0</v>
      </c>
      <c r="BQ401" s="76">
        <f t="shared" si="98"/>
        <v>0</v>
      </c>
      <c r="BR401" s="40"/>
    </row>
    <row r="402" spans="2:70">
      <c r="B402" s="39"/>
      <c r="C402" s="75">
        <v>396</v>
      </c>
      <c r="D402" s="146">
        <f>ETo!$I401*((1-Constantes!$F$19)*ETo!$K401+ETo!$L401)</f>
        <v>4.4215638767537548</v>
      </c>
      <c r="E402" s="76">
        <f>MIN(D402*Constantes!$F$17,0.8*(N401+Observaciones!$F401-F402-M402-Constantes!$D$14))</f>
        <v>2.5216698659321004</v>
      </c>
      <c r="F402" s="76">
        <f>IF(Observaciones!$F401&gt;0.05*Constantes!$F$18,((Observaciones!$F401-0.05*Constantes!$F$18)^2)/(Observaciones!$F401+0.95*Constantes!$F$18),0)</f>
        <v>0</v>
      </c>
      <c r="G402" s="76">
        <f>IF(Escenarios!$F$11&gt;0,(F402*Escenarios!$F$16*10000)/1000,0)</f>
        <v>0</v>
      </c>
      <c r="H402" s="76">
        <f>IF(Escenarios!$F$11&gt;0,(Observaciones!$F401*Constantes!$F$29)/1000,0)</f>
        <v>0</v>
      </c>
      <c r="I402" s="76">
        <f>IF(Escenarios!$F$11&gt;0,(D402*Constantes!$F$29)/1000,0)</f>
        <v>0</v>
      </c>
      <c r="J402" s="76">
        <f>IF(Escenarios!$F$11&gt;0,MAX(0,G402+H402-I402),0)</f>
        <v>0</v>
      </c>
      <c r="K402" s="76">
        <f>IF(Escenarios!$F$11&gt;0,IF(J402&gt;Constantes!$F$30,1000*((J402-Constantes!$F$30)/(Escenarios!$F$16*10000)),0),F402)</f>
        <v>0</v>
      </c>
      <c r="L402" s="76">
        <f>IF(Escenarios!$F$11&gt;0,I402*1000/Escenarios!$F$16/10000+E402,E402)</f>
        <v>2.5216698659321004</v>
      </c>
      <c r="M402" s="76">
        <f>MAX(0,N401+Observaciones!$F401-K402-Constantes!$D$13)</f>
        <v>0</v>
      </c>
      <c r="N402" s="76">
        <f>N401+Observaciones!$F401-K402-L402-M402-O401</f>
        <v>34.084509884286646</v>
      </c>
      <c r="O402" s="76">
        <f>MAX(0,(N402-Constantes!$D$14)*(1-EXP(-Constantes!$D$22)))</f>
        <v>0.77782723386070229</v>
      </c>
      <c r="P402" s="170">
        <f>P401+(Entradas!$F$83*M402-Q401)/(800*Entradas!$D$25)</f>
        <v>0</v>
      </c>
      <c r="Q402" s="170">
        <f>8000*Entradas!$D$26*P402/Constantes!$F$45</f>
        <v>0</v>
      </c>
      <c r="R402" s="170">
        <f>IF(Escenarios!$F$14&gt;0,K402*Escenarios!$F$13/Escenarios!$F$14,0)</f>
        <v>0</v>
      </c>
      <c r="S402" s="170">
        <f>IF(Escenarios!$F$14&gt;0,Q402*Escenarios!$F$13/Escenarios!$F$14,0)</f>
        <v>0</v>
      </c>
      <c r="T402" s="170">
        <f>IF(Escenarios!$F$14&gt;0,Observaciones!$I401,0)</f>
        <v>0</v>
      </c>
      <c r="U402" s="170">
        <f>IF(Escenarios!$F$14&gt;0,MAX(0,Constantes!$F$36/((Z401+R402+S402+T402+Observaciones!$F401)^2)+Entradas!$F$77),0)</f>
        <v>0.64276704286069464</v>
      </c>
      <c r="V402" s="146">
        <f>IF(ETo!D401&gt;0,ETo!I401*((1-Entradas!$F$81)*ETo!K401+ETo!L401),0)</f>
        <v>3.9288501390092119</v>
      </c>
      <c r="W402" s="170">
        <f>IF(Escenarios!$F$14&gt;0,MIN(V402*1,0.8*(Z401+R402+S402+T402+Observaciones!$F401-U402-Constantes!$F$35)),0)</f>
        <v>3.9288501390092119</v>
      </c>
      <c r="X402" s="170">
        <f>IF(Escenarios!$F$14&gt;0,Observaciones!$J401,0)</f>
        <v>0</v>
      </c>
      <c r="Y402" s="170">
        <f>IF(Escenarios!$F$14&gt;0,MAX(0,Z401+R402+S402+T402+Observaciones!$F401-U402-W402-X402-Constantes!$F$33),0)</f>
        <v>0</v>
      </c>
      <c r="Z402" s="170">
        <f>Z401+R402+S402+T402+Observaciones!$F401-U402-W402-Y402</f>
        <v>61.42402226725082</v>
      </c>
      <c r="AA402" s="170">
        <f>IF(Escenarios!$F$14&gt;0,(Escenarios!$F$13*L402+Escenarios!$F$14*W402)/(Escenarios!$F$16),L402)</f>
        <v>2.690531498701354</v>
      </c>
      <c r="AB402" s="170">
        <f>IF(Escenarios!$F$14&gt;0,(Escenarios!$F$14*Y402)/(Escenarios!$F$16),K402)</f>
        <v>0</v>
      </c>
      <c r="AC402" s="170">
        <f>IF(Escenarios!$F$14&gt;0,(Escenarios!$F$13*M402+Escenarios!$F$14*U402)/(Escenarios!$F$16),M402)</f>
        <v>7.7132045143283368E-2</v>
      </c>
      <c r="AD402" s="76">
        <f t="shared" si="85"/>
        <v>101.44459699147293</v>
      </c>
      <c r="AE402" s="76">
        <f>MAX(0,(AD402-Constantes!$D$13)*(1-EXP(-Constantes!$D$23)))</f>
        <v>0.51921241503215088</v>
      </c>
      <c r="AF402" s="76">
        <f>AB402+O402*Escenarios!$F$13/Escenarios!$F$16+AE402</f>
        <v>1.2037003808295688</v>
      </c>
      <c r="AG402" s="76">
        <f>IF(Entradas!$F$91&gt;0,IF(AF402-Escenarios!$F$38&lt;=0,0,IF(AF402-Escenarios!$F$38&gt;Escenarios!$F$37,Escenarios!$F$37,AF402-Escenarios!$F$38)),0)</f>
        <v>0.16690038082956882</v>
      </c>
      <c r="AH402" s="76">
        <f>AG402*Entradas!$F$99</f>
        <v>0</v>
      </c>
      <c r="AI402" s="76">
        <f>IF(Entradas!$F$91&gt;0,D402*Entradas!$D$23/Escenarios!$F$16,0)</f>
        <v>0.21223506608418025</v>
      </c>
      <c r="AJ402" s="76">
        <f>IF(Entradas!$F$91&gt;0,Entradas!$D$24*Entradas!$D$22/Escenarios!$F$16,0)</f>
        <v>0.12</v>
      </c>
      <c r="AK402" s="76">
        <f t="shared" si="86"/>
        <v>2.9027665647855341</v>
      </c>
      <c r="AL402" s="76">
        <f t="shared" si="87"/>
        <v>0</v>
      </c>
      <c r="AM402" s="76">
        <f t="shared" si="88"/>
        <v>0.16690038082956882</v>
      </c>
      <c r="AN402" s="76">
        <f>MAX(0,O402*Escenarios!$F$13/Escenarios!$F$16-AM402)</f>
        <v>0.51758758496784918</v>
      </c>
      <c r="AO402" s="76">
        <f>AM402+AN402-O402*Escenarios!$F$13/Escenarios!$F$16</f>
        <v>0</v>
      </c>
      <c r="AP402" s="76">
        <f t="shared" si="89"/>
        <v>0.51921241503215088</v>
      </c>
      <c r="AQ402" s="76">
        <f t="shared" si="90"/>
        <v>0</v>
      </c>
      <c r="AR402" s="76">
        <f t="shared" si="91"/>
        <v>1.0367999999999999</v>
      </c>
      <c r="AS402" s="76">
        <f t="shared" si="92"/>
        <v>0</v>
      </c>
      <c r="AT402" s="76">
        <f t="shared" si="93"/>
        <v>7.7132045143283368E-2</v>
      </c>
      <c r="AU402" s="76">
        <f t="shared" si="94"/>
        <v>49.636912866944286</v>
      </c>
      <c r="AV402" s="76">
        <f>MAX(0,(AU402-Constantes!$D$13)*(1-EXP(-Constantes!$D$24)))</f>
        <v>1.3556682296875334E-2</v>
      </c>
      <c r="AW402" s="170">
        <f>AW401+(Entradas!$F$112*AT402-AX401)/(800*Entradas!$D$25)</f>
        <v>0</v>
      </c>
      <c r="AX402" s="170">
        <f>8000*Entradas!$D$26*AW402/Constantes!$F$45</f>
        <v>0</v>
      </c>
      <c r="AY402" s="170">
        <f>IF(Escenarios!$F$17&gt;0,10*Escenarios!$F$16*AL402,0)</f>
        <v>0</v>
      </c>
      <c r="AZ402" s="170">
        <f>IF(Escenarios!$F$17&gt;0,10*Escenarios!$F$16*AX402,0)</f>
        <v>0</v>
      </c>
      <c r="BA402" s="170">
        <f>IF(Escenarios!$F$17&gt;0,0.001*Observaciones!$F401*Escenarios!$F$17,0)</f>
        <v>0</v>
      </c>
      <c r="BB402" s="170">
        <f>IF(Escenarios!$F$17&gt;0,Observaciones!$K401,0)</f>
        <v>0</v>
      </c>
      <c r="BC402" s="170">
        <f>IF(Escenarios!$F$17&gt;0,MIN(0.0005*ETo!$M401*Escenarios!$F$17*(BG401/Constantes!$F$40)^(2/3),BG401+AY402+AZ402+BA402+BB402),0)</f>
        <v>0</v>
      </c>
      <c r="BD402" s="170">
        <f>IF(Escenarios!$F$17&gt;0,MIN(Constantes!$F$39*(BG401/Constantes!$F$40)^(2/3),BG401+AY402+AZ402+BA402+BB402-BC402),0)</f>
        <v>0</v>
      </c>
      <c r="BE402" s="170">
        <f>IF(Escenarios!$F$17&gt;0,MIN(Entradas!$F$113,BG401+AY402+AZ402+BA402+BB402-BC402-BD402),0)</f>
        <v>0</v>
      </c>
      <c r="BF402" s="170">
        <f>IF(Escenarios!$F$17&gt;0,MAX(0,BG401+AY402+AZ402+BA402+BB402-BC402-BD402-BE402-Constantes!$F$40),0)</f>
        <v>0</v>
      </c>
      <c r="BG402" s="170">
        <f t="shared" si="95"/>
        <v>0</v>
      </c>
      <c r="BH402" s="170">
        <f>(Escenarios!$F$16*AK402+0.1*BC402)/(Escenarios!$F$19)</f>
        <v>2.9027665647855341</v>
      </c>
      <c r="BI402" s="170">
        <f>IF(Escenarios!$F$17&gt;0,BF402/10/Escenarios!$F$19,AL402)</f>
        <v>0</v>
      </c>
      <c r="BJ402" s="170">
        <f>(Escenarios!$F$16*AT402+0.1*BD402)/(Escenarios!$F$19)</f>
        <v>7.7132045143283368E-2</v>
      </c>
      <c r="BK402" s="76">
        <f>BK401+(0.1*BD402)/(Escenarios!$F$19)-BL401</f>
        <v>48.75</v>
      </c>
      <c r="BL402" s="76">
        <f>MAX(0,(BK402-Constantes!$D$13)*(1-EXP(-Constantes!$D$23)))</f>
        <v>0</v>
      </c>
      <c r="BM402" s="76">
        <f t="shared" si="96"/>
        <v>0.53276909732902622</v>
      </c>
      <c r="BN402" s="76">
        <f t="shared" si="97"/>
        <v>1.0503566822968753</v>
      </c>
      <c r="BO402" s="76">
        <f>0.0526*BI402*Observaciones!$F401^1.218</f>
        <v>0</v>
      </c>
      <c r="BP402" s="76">
        <f>BO402*Constantes!$F$51</f>
        <v>0</v>
      </c>
      <c r="BQ402" s="76">
        <f t="shared" si="98"/>
        <v>0</v>
      </c>
      <c r="BR402" s="40"/>
    </row>
    <row r="403" spans="2:70">
      <c r="B403" s="39"/>
      <c r="C403" s="75">
        <v>397</v>
      </c>
      <c r="D403" s="146">
        <f>ETo!$I402*((1-Constantes!$F$19)*ETo!$K402+ETo!$L402)</f>
        <v>4.4983580892341806</v>
      </c>
      <c r="E403" s="76">
        <f>MIN(D403*Constantes!$F$17,0.8*(N402+Observaciones!$F402-F403-M403-Constantes!$D$14))</f>
        <v>2.5654665082260144</v>
      </c>
      <c r="F403" s="76">
        <f>IF(Observaciones!$F402&gt;0.05*Constantes!$F$18,((Observaciones!$F402-0.05*Constantes!$F$18)^2)/(Observaciones!$F402+0.95*Constantes!$F$18),0)</f>
        <v>0</v>
      </c>
      <c r="G403" s="76">
        <f>IF(Escenarios!$F$11&gt;0,(F403*Escenarios!$F$16*10000)/1000,0)</f>
        <v>0</v>
      </c>
      <c r="H403" s="76">
        <f>IF(Escenarios!$F$11&gt;0,(Observaciones!$F402*Constantes!$F$29)/1000,0)</f>
        <v>0</v>
      </c>
      <c r="I403" s="76">
        <f>IF(Escenarios!$F$11&gt;0,(D403*Constantes!$F$29)/1000,0)</f>
        <v>0</v>
      </c>
      <c r="J403" s="76">
        <f>IF(Escenarios!$F$11&gt;0,MAX(0,G403+H403-I403),0)</f>
        <v>0</v>
      </c>
      <c r="K403" s="76">
        <f>IF(Escenarios!$F$11&gt;0,IF(J403&gt;Constantes!$F$30,1000*((J403-Constantes!$F$30)/(Escenarios!$F$16*10000)),0),F403)</f>
        <v>0</v>
      </c>
      <c r="L403" s="76">
        <f>IF(Escenarios!$F$11&gt;0,I403*1000/Escenarios!$F$16/10000+E403,E403)</f>
        <v>2.5654665082260144</v>
      </c>
      <c r="M403" s="76">
        <f>MAX(0,N402+Observaciones!$F402-K403-Constantes!$D$13)</f>
        <v>0</v>
      </c>
      <c r="N403" s="76">
        <f>N402+Observaciones!$F402-K403-L403-M403-O402</f>
        <v>32.141216142199923</v>
      </c>
      <c r="O403" s="76">
        <f>MAX(0,(N403-Constantes!$D$14)*(1-EXP(-Constantes!$D$22)))</f>
        <v>0.71163151502785427</v>
      </c>
      <c r="P403" s="170">
        <f>P402+(Entradas!$F$83*M403-Q402)/(800*Entradas!$D$25)</f>
        <v>0</v>
      </c>
      <c r="Q403" s="170">
        <f>8000*Entradas!$D$26*P403/Constantes!$F$45</f>
        <v>0</v>
      </c>
      <c r="R403" s="170">
        <f>IF(Escenarios!$F$14&gt;0,K403*Escenarios!$F$13/Escenarios!$F$14,0)</f>
        <v>0</v>
      </c>
      <c r="S403" s="170">
        <f>IF(Escenarios!$F$14&gt;0,Q403*Escenarios!$F$13/Escenarios!$F$14,0)</f>
        <v>0</v>
      </c>
      <c r="T403" s="170">
        <f>IF(Escenarios!$F$14&gt;0,Observaciones!$I402,0)</f>
        <v>0</v>
      </c>
      <c r="U403" s="170">
        <f>IF(Escenarios!$F$14&gt;0,MAX(0,Constantes!$F$36/((Z402+R403+S403+T403+Observaciones!$F402)^2)+Entradas!$F$77),0)</f>
        <v>0.39875349244684122</v>
      </c>
      <c r="V403" s="146">
        <f>IF(ETo!D402&gt;0,ETo!I402*((1-Entradas!$F$81)*ETo!K402+ETo!L402),0)</f>
        <v>3.9980823873215012</v>
      </c>
      <c r="W403" s="170">
        <f>IF(Escenarios!$F$14&gt;0,MIN(V403*1,0.8*(Z402+R403+S403+T403+Observaciones!$F402-U403-Constantes!$F$35)),0)</f>
        <v>3.9980823873215012</v>
      </c>
      <c r="X403" s="170">
        <f>IF(Escenarios!$F$14&gt;0,Observaciones!$J402,0)</f>
        <v>0</v>
      </c>
      <c r="Y403" s="170">
        <f>IF(Escenarios!$F$14&gt;0,MAX(0,Z402+R403+S403+T403+Observaciones!$F402-U403-W403-X403-Constantes!$F$33),0)</f>
        <v>0</v>
      </c>
      <c r="Z403" s="170">
        <f>Z402+R403+S403+T403+Observaciones!$F402-U403-W403-Y403</f>
        <v>58.427186387482472</v>
      </c>
      <c r="AA403" s="170">
        <f>IF(Escenarios!$F$14&gt;0,(Escenarios!$F$13*L403+Escenarios!$F$14*W403)/(Escenarios!$F$16),L403)</f>
        <v>2.7373804137174731</v>
      </c>
      <c r="AB403" s="170">
        <f>IF(Escenarios!$F$14&gt;0,(Escenarios!$F$14*Y403)/(Escenarios!$F$16),K403)</f>
        <v>0</v>
      </c>
      <c r="AC403" s="170">
        <f>IF(Escenarios!$F$14&gt;0,(Escenarios!$F$13*M403+Escenarios!$F$14*U403)/(Escenarios!$F$16),M403)</f>
        <v>4.7850419093620943E-2</v>
      </c>
      <c r="AD403" s="76">
        <f t="shared" si="85"/>
        <v>100.9732349955344</v>
      </c>
      <c r="AE403" s="76">
        <f>MAX(0,(AD403-Constantes!$D$13)*(1-EXP(-Constantes!$D$23)))</f>
        <v>0.51456797301648793</v>
      </c>
      <c r="AF403" s="76">
        <f>AB403+O403*Escenarios!$F$13/Escenarios!$F$16+AE403</f>
        <v>1.1408037062409997</v>
      </c>
      <c r="AG403" s="76">
        <f>IF(Entradas!$F$91&gt;0,IF(AF403-Escenarios!$F$38&lt;=0,0,IF(AF403-Escenarios!$F$38&gt;Escenarios!$F$37,Escenarios!$F$37,AF403-Escenarios!$F$38)),0)</f>
        <v>0.10400370624099975</v>
      </c>
      <c r="AH403" s="76">
        <f>AG403*Entradas!$F$99</f>
        <v>0</v>
      </c>
      <c r="AI403" s="76">
        <f>IF(Entradas!$F$91&gt;0,D403*Entradas!$D$23/Escenarios!$F$16,0)</f>
        <v>0.21592118828324067</v>
      </c>
      <c r="AJ403" s="76">
        <f>IF(Entradas!$F$91&gt;0,Entradas!$D$24*Entradas!$D$22/Escenarios!$F$16,0)</f>
        <v>0.12</v>
      </c>
      <c r="AK403" s="76">
        <f t="shared" si="86"/>
        <v>2.9533016020007139</v>
      </c>
      <c r="AL403" s="76">
        <f t="shared" si="87"/>
        <v>0</v>
      </c>
      <c r="AM403" s="76">
        <f t="shared" si="88"/>
        <v>0.10400370624099975</v>
      </c>
      <c r="AN403" s="76">
        <f>MAX(0,O403*Escenarios!$F$13/Escenarios!$F$16-AM403)</f>
        <v>0.52223202698351201</v>
      </c>
      <c r="AO403" s="76">
        <f>AM403+AN403-O403*Escenarios!$F$13/Escenarios!$F$16</f>
        <v>0</v>
      </c>
      <c r="AP403" s="76">
        <f t="shared" si="89"/>
        <v>0.51456797301648793</v>
      </c>
      <c r="AQ403" s="76">
        <f t="shared" si="90"/>
        <v>0</v>
      </c>
      <c r="AR403" s="76">
        <f t="shared" si="91"/>
        <v>1.0367999999999999</v>
      </c>
      <c r="AS403" s="76">
        <f t="shared" si="92"/>
        <v>0</v>
      </c>
      <c r="AT403" s="76">
        <f t="shared" si="93"/>
        <v>4.7850419093620943E-2</v>
      </c>
      <c r="AU403" s="76">
        <f t="shared" si="94"/>
        <v>49.623356184647413</v>
      </c>
      <c r="AV403" s="76">
        <f>MAX(0,(AU403-Constantes!$D$13)*(1-EXP(-Constantes!$D$24)))</f>
        <v>1.3349465058578213E-2</v>
      </c>
      <c r="AW403" s="170">
        <f>AW402+(Entradas!$F$112*AT403-AX402)/(800*Entradas!$D$25)</f>
        <v>0</v>
      </c>
      <c r="AX403" s="170">
        <f>8000*Entradas!$D$26*AW403/Constantes!$F$45</f>
        <v>0</v>
      </c>
      <c r="AY403" s="170">
        <f>IF(Escenarios!$F$17&gt;0,10*Escenarios!$F$16*AL403,0)</f>
        <v>0</v>
      </c>
      <c r="AZ403" s="170">
        <f>IF(Escenarios!$F$17&gt;0,10*Escenarios!$F$16*AX403,0)</f>
        <v>0</v>
      </c>
      <c r="BA403" s="170">
        <f>IF(Escenarios!$F$17&gt;0,0.001*Observaciones!$F402*Escenarios!$F$17,0)</f>
        <v>0</v>
      </c>
      <c r="BB403" s="170">
        <f>IF(Escenarios!$F$17&gt;0,Observaciones!$K402,0)</f>
        <v>0</v>
      </c>
      <c r="BC403" s="170">
        <f>IF(Escenarios!$F$17&gt;0,MIN(0.0005*ETo!$M402*Escenarios!$F$17*(BG402/Constantes!$F$40)^(2/3),BG402+AY403+AZ403+BA403+BB403),0)</f>
        <v>0</v>
      </c>
      <c r="BD403" s="170">
        <f>IF(Escenarios!$F$17&gt;0,MIN(Constantes!$F$39*(BG402/Constantes!$F$40)^(2/3),BG402+AY403+AZ403+BA403+BB403-BC403),0)</f>
        <v>0</v>
      </c>
      <c r="BE403" s="170">
        <f>IF(Escenarios!$F$17&gt;0,MIN(Entradas!$F$113,BG402+AY403+AZ403+BA403+BB403-BC403-BD403),0)</f>
        <v>0</v>
      </c>
      <c r="BF403" s="170">
        <f>IF(Escenarios!$F$17&gt;0,MAX(0,BG402+AY403+AZ403+BA403+BB403-BC403-BD403-BE403-Constantes!$F$40),0)</f>
        <v>0</v>
      </c>
      <c r="BG403" s="170">
        <f t="shared" si="95"/>
        <v>0</v>
      </c>
      <c r="BH403" s="170">
        <f>(Escenarios!$F$16*AK403+0.1*BC403)/(Escenarios!$F$19)</f>
        <v>2.9533016020007139</v>
      </c>
      <c r="BI403" s="170">
        <f>IF(Escenarios!$F$17&gt;0,BF403/10/Escenarios!$F$19,AL403)</f>
        <v>0</v>
      </c>
      <c r="BJ403" s="170">
        <f>(Escenarios!$F$16*AT403+0.1*BD403)/(Escenarios!$F$19)</f>
        <v>4.7850419093620943E-2</v>
      </c>
      <c r="BK403" s="76">
        <f>BK402+(0.1*BD403)/(Escenarios!$F$19)-BL402</f>
        <v>48.75</v>
      </c>
      <c r="BL403" s="76">
        <f>MAX(0,(BK403-Constantes!$D$13)*(1-EXP(-Constantes!$D$23)))</f>
        <v>0</v>
      </c>
      <c r="BM403" s="76">
        <f t="shared" si="96"/>
        <v>0.52791743807506619</v>
      </c>
      <c r="BN403" s="76">
        <f t="shared" si="97"/>
        <v>1.0501494650585781</v>
      </c>
      <c r="BO403" s="76">
        <f>0.0526*BI403*Observaciones!$F402^1.218</f>
        <v>0</v>
      </c>
      <c r="BP403" s="76">
        <f>BO403*Constantes!$F$51</f>
        <v>0</v>
      </c>
      <c r="BQ403" s="76">
        <f t="shared" si="98"/>
        <v>0</v>
      </c>
      <c r="BR403" s="40"/>
    </row>
    <row r="404" spans="2:70">
      <c r="B404" s="39"/>
      <c r="C404" s="75">
        <v>398</v>
      </c>
      <c r="D404" s="146">
        <f>ETo!$I403*((1-Constantes!$F$19)*ETo!$K403+ETo!$L403)</f>
        <v>4.6026368041999879</v>
      </c>
      <c r="E404" s="76">
        <f>MIN(D404*Constantes!$F$17,0.8*(N403+Observaciones!$F403-F404-M404-Constantes!$D$14))</f>
        <v>2.624937885439377</v>
      </c>
      <c r="F404" s="76">
        <f>IF(Observaciones!$F403&gt;0.05*Constantes!$F$18,((Observaciones!$F403-0.05*Constantes!$F$18)^2)/(Observaciones!$F403+0.95*Constantes!$F$18),0)</f>
        <v>0</v>
      </c>
      <c r="G404" s="76">
        <f>IF(Escenarios!$F$11&gt;0,(F404*Escenarios!$F$16*10000)/1000,0)</f>
        <v>0</v>
      </c>
      <c r="H404" s="76">
        <f>IF(Escenarios!$F$11&gt;0,(Observaciones!$F403*Constantes!$F$29)/1000,0)</f>
        <v>0</v>
      </c>
      <c r="I404" s="76">
        <f>IF(Escenarios!$F$11&gt;0,(D404*Constantes!$F$29)/1000,0)</f>
        <v>0</v>
      </c>
      <c r="J404" s="76">
        <f>IF(Escenarios!$F$11&gt;0,MAX(0,G404+H404-I404),0)</f>
        <v>0</v>
      </c>
      <c r="K404" s="76">
        <f>IF(Escenarios!$F$11&gt;0,IF(J404&gt;Constantes!$F$30,1000*((J404-Constantes!$F$30)/(Escenarios!$F$16*10000)),0),F404)</f>
        <v>0</v>
      </c>
      <c r="L404" s="76">
        <f>IF(Escenarios!$F$11&gt;0,I404*1000/Escenarios!$F$16/10000+E404,E404)</f>
        <v>2.624937885439377</v>
      </c>
      <c r="M404" s="76">
        <f>MAX(0,N403+Observaciones!$F403-K404-Constantes!$D$13)</f>
        <v>0</v>
      </c>
      <c r="N404" s="76">
        <f>N403+Observaciones!$F403-K404-L404-M404-O403</f>
        <v>31.004646741732696</v>
      </c>
      <c r="O404" s="76">
        <f>MAX(0,(N404-Constantes!$D$14)*(1-EXP(-Constantes!$D$22)))</f>
        <v>0.67291578881625314</v>
      </c>
      <c r="P404" s="170">
        <f>P403+(Entradas!$F$83*M404-Q403)/(800*Entradas!$D$25)</f>
        <v>0</v>
      </c>
      <c r="Q404" s="170">
        <f>8000*Entradas!$D$26*P404/Constantes!$F$45</f>
        <v>0</v>
      </c>
      <c r="R404" s="170">
        <f>IF(Escenarios!$F$14&gt;0,K404*Escenarios!$F$13/Escenarios!$F$14,0)</f>
        <v>0</v>
      </c>
      <c r="S404" s="170">
        <f>IF(Escenarios!$F$14&gt;0,Q404*Escenarios!$F$13/Escenarios!$F$14,0)</f>
        <v>0</v>
      </c>
      <c r="T404" s="170">
        <f>IF(Escenarios!$F$14&gt;0,Observaciones!$I403,0)</f>
        <v>0</v>
      </c>
      <c r="U404" s="170">
        <f>IF(Escenarios!$F$14&gt;0,MAX(0,Constantes!$F$36/((Z403+R404+S404+T404+Observaciones!$F403)^2)+Entradas!$F$77),0)</f>
        <v>0.20682491609194997</v>
      </c>
      <c r="V404" s="146">
        <f>IF(ETo!D403&gt;0,ETo!I403*((1-Entradas!$F$81)*ETo!K403+ETo!L403),0)</f>
        <v>4.0923706150738752</v>
      </c>
      <c r="W404" s="170">
        <f>IF(Escenarios!$F$14&gt;0,MIN(V404*1,0.8*(Z403+R404+S404+T404+Observaciones!$F403-U404-Constantes!$F$35)),0)</f>
        <v>4.0923706150738752</v>
      </c>
      <c r="X404" s="170">
        <f>IF(Escenarios!$F$14&gt;0,Observaciones!$J403,0)</f>
        <v>0</v>
      </c>
      <c r="Y404" s="170">
        <f>IF(Escenarios!$F$14&gt;0,MAX(0,Z403+R404+S404+T404+Observaciones!$F403-U404-W404-X404-Constantes!$F$33),0)</f>
        <v>0</v>
      </c>
      <c r="Z404" s="170">
        <f>Z403+R404+S404+T404+Observaciones!$F403-U404-W404-Y404</f>
        <v>56.327990856316646</v>
      </c>
      <c r="AA404" s="170">
        <f>IF(Escenarios!$F$14&gt;0,(Escenarios!$F$13*L404+Escenarios!$F$14*W404)/(Escenarios!$F$16),L404)</f>
        <v>2.8010298129955169</v>
      </c>
      <c r="AB404" s="170">
        <f>IF(Escenarios!$F$14&gt;0,(Escenarios!$F$14*Y404)/(Escenarios!$F$16),K404)</f>
        <v>0</v>
      </c>
      <c r="AC404" s="170">
        <f>IF(Escenarios!$F$14&gt;0,(Escenarios!$F$13*M404+Escenarios!$F$14*U404)/(Escenarios!$F$16),M404)</f>
        <v>2.4818989931033996E-2</v>
      </c>
      <c r="AD404" s="76">
        <f t="shared" si="85"/>
        <v>100.48348601244895</v>
      </c>
      <c r="AE404" s="76">
        <f>MAX(0,(AD404-Constantes!$D$13)*(1-EXP(-Constantes!$D$23)))</f>
        <v>0.5097423596370273</v>
      </c>
      <c r="AF404" s="76">
        <f>AB404+O404*Escenarios!$F$13/Escenarios!$F$16+AE404</f>
        <v>1.10190825379533</v>
      </c>
      <c r="AG404" s="76">
        <f>IF(Entradas!$F$91&gt;0,IF(AF404-Escenarios!$F$38&lt;=0,0,IF(AF404-Escenarios!$F$38&gt;Escenarios!$F$37,Escenarios!$F$37,AF404-Escenarios!$F$38)),0)</f>
        <v>6.5108253795330029E-2</v>
      </c>
      <c r="AH404" s="76">
        <f>AG404*Entradas!$F$99</f>
        <v>0</v>
      </c>
      <c r="AI404" s="76">
        <f>IF(Entradas!$F$91&gt;0,D404*Entradas!$D$23/Escenarios!$F$16,0)</f>
        <v>0.2209265666015994</v>
      </c>
      <c r="AJ404" s="76">
        <f>IF(Entradas!$F$91&gt;0,Entradas!$D$24*Entradas!$D$22/Escenarios!$F$16,0)</f>
        <v>0.12</v>
      </c>
      <c r="AK404" s="76">
        <f t="shared" si="86"/>
        <v>3.0219563795971163</v>
      </c>
      <c r="AL404" s="76">
        <f t="shared" si="87"/>
        <v>0</v>
      </c>
      <c r="AM404" s="76">
        <f t="shared" si="88"/>
        <v>6.5108253795330029E-2</v>
      </c>
      <c r="AN404" s="76">
        <f>MAX(0,O404*Escenarios!$F$13/Escenarios!$F$16-AM404)</f>
        <v>0.52705764036297276</v>
      </c>
      <c r="AO404" s="76">
        <f>AM404+AN404-O404*Escenarios!$F$13/Escenarios!$F$16</f>
        <v>0</v>
      </c>
      <c r="AP404" s="76">
        <f t="shared" si="89"/>
        <v>0.5097423596370273</v>
      </c>
      <c r="AQ404" s="76">
        <f t="shared" si="90"/>
        <v>0</v>
      </c>
      <c r="AR404" s="76">
        <f t="shared" si="91"/>
        <v>1.0367999999999999</v>
      </c>
      <c r="AS404" s="76">
        <f t="shared" si="92"/>
        <v>0</v>
      </c>
      <c r="AT404" s="76">
        <f t="shared" si="93"/>
        <v>2.4818989931033996E-2</v>
      </c>
      <c r="AU404" s="76">
        <f t="shared" si="94"/>
        <v>49.610006719588831</v>
      </c>
      <c r="AV404" s="76">
        <f>MAX(0,(AU404-Constantes!$D$13)*(1-EXP(-Constantes!$D$24)))</f>
        <v>1.3145415186964615E-2</v>
      </c>
      <c r="AW404" s="170">
        <f>AW403+(Entradas!$F$112*AT404-AX403)/(800*Entradas!$D$25)</f>
        <v>0</v>
      </c>
      <c r="AX404" s="170">
        <f>8000*Entradas!$D$26*AW404/Constantes!$F$45</f>
        <v>0</v>
      </c>
      <c r="AY404" s="170">
        <f>IF(Escenarios!$F$17&gt;0,10*Escenarios!$F$16*AL404,0)</f>
        <v>0</v>
      </c>
      <c r="AZ404" s="170">
        <f>IF(Escenarios!$F$17&gt;0,10*Escenarios!$F$16*AX404,0)</f>
        <v>0</v>
      </c>
      <c r="BA404" s="170">
        <f>IF(Escenarios!$F$17&gt;0,0.001*Observaciones!$F403*Escenarios!$F$17,0)</f>
        <v>0</v>
      </c>
      <c r="BB404" s="170">
        <f>IF(Escenarios!$F$17&gt;0,Observaciones!$K403,0)</f>
        <v>0</v>
      </c>
      <c r="BC404" s="170">
        <f>IF(Escenarios!$F$17&gt;0,MIN(0.0005*ETo!$M403*Escenarios!$F$17*(BG403/Constantes!$F$40)^(2/3),BG403+AY404+AZ404+BA404+BB404),0)</f>
        <v>0</v>
      </c>
      <c r="BD404" s="170">
        <f>IF(Escenarios!$F$17&gt;0,MIN(Constantes!$F$39*(BG403/Constantes!$F$40)^(2/3),BG403+AY404+AZ404+BA404+BB404-BC404),0)</f>
        <v>0</v>
      </c>
      <c r="BE404" s="170">
        <f>IF(Escenarios!$F$17&gt;0,MIN(Entradas!$F$113,BG403+AY404+AZ404+BA404+BB404-BC404-BD404),0)</f>
        <v>0</v>
      </c>
      <c r="BF404" s="170">
        <f>IF(Escenarios!$F$17&gt;0,MAX(0,BG403+AY404+AZ404+BA404+BB404-BC404-BD404-BE404-Constantes!$F$40),0)</f>
        <v>0</v>
      </c>
      <c r="BG404" s="170">
        <f t="shared" si="95"/>
        <v>0</v>
      </c>
      <c r="BH404" s="170">
        <f>(Escenarios!$F$16*AK404+0.1*BC404)/(Escenarios!$F$19)</f>
        <v>3.0219563795971163</v>
      </c>
      <c r="BI404" s="170">
        <f>IF(Escenarios!$F$17&gt;0,BF404/10/Escenarios!$F$19,AL404)</f>
        <v>0</v>
      </c>
      <c r="BJ404" s="170">
        <f>(Escenarios!$F$16*AT404+0.1*BD404)/(Escenarios!$F$19)</f>
        <v>2.4818989931033996E-2</v>
      </c>
      <c r="BK404" s="76">
        <f>BK403+(0.1*BD404)/(Escenarios!$F$19)-BL403</f>
        <v>48.75</v>
      </c>
      <c r="BL404" s="76">
        <f>MAX(0,(BK404-Constantes!$D$13)*(1-EXP(-Constantes!$D$23)))</f>
        <v>0</v>
      </c>
      <c r="BM404" s="76">
        <f t="shared" si="96"/>
        <v>0.52288777482399196</v>
      </c>
      <c r="BN404" s="76">
        <f t="shared" si="97"/>
        <v>1.0499454151869645</v>
      </c>
      <c r="BO404" s="76">
        <f>0.0526*BI404*Observaciones!$F403^1.218</f>
        <v>0</v>
      </c>
      <c r="BP404" s="76">
        <f>BO404*Constantes!$F$51</f>
        <v>0</v>
      </c>
      <c r="BQ404" s="76">
        <f t="shared" si="98"/>
        <v>0</v>
      </c>
      <c r="BR404" s="40"/>
    </row>
    <row r="405" spans="2:70">
      <c r="B405" s="39"/>
      <c r="C405" s="75">
        <v>399</v>
      </c>
      <c r="D405" s="146">
        <f>ETo!$I404*((1-Constantes!$F$19)*ETo!$K404+ETo!$L404)</f>
        <v>4.6649867832784873</v>
      </c>
      <c r="E405" s="76">
        <f>MIN(D405*Constantes!$F$17,0.8*(N404+Observaciones!$F404-F405-M405-Constantes!$D$14))</f>
        <v>2.6604968115945229</v>
      </c>
      <c r="F405" s="76">
        <f>IF(Observaciones!$F404&gt;0.05*Constantes!$F$18,((Observaciones!$F404-0.05*Constantes!$F$18)^2)/(Observaciones!$F404+0.95*Constantes!$F$18),0)</f>
        <v>0</v>
      </c>
      <c r="G405" s="76">
        <f>IF(Escenarios!$F$11&gt;0,(F405*Escenarios!$F$16*10000)/1000,0)</f>
        <v>0</v>
      </c>
      <c r="H405" s="76">
        <f>IF(Escenarios!$F$11&gt;0,(Observaciones!$F404*Constantes!$F$29)/1000,0)</f>
        <v>0</v>
      </c>
      <c r="I405" s="76">
        <f>IF(Escenarios!$F$11&gt;0,(D405*Constantes!$F$29)/1000,0)</f>
        <v>0</v>
      </c>
      <c r="J405" s="76">
        <f>IF(Escenarios!$F$11&gt;0,MAX(0,G405+H405-I405),0)</f>
        <v>0</v>
      </c>
      <c r="K405" s="76">
        <f>IF(Escenarios!$F$11&gt;0,IF(J405&gt;Constantes!$F$30,1000*((J405-Constantes!$F$30)/(Escenarios!$F$16*10000)),0),F405)</f>
        <v>0</v>
      </c>
      <c r="L405" s="76">
        <f>IF(Escenarios!$F$11&gt;0,I405*1000/Escenarios!$F$16/10000+E405,E405)</f>
        <v>2.6604968115945229</v>
      </c>
      <c r="M405" s="76">
        <f>MAX(0,N404+Observaciones!$F404-K405-Constantes!$D$13)</f>
        <v>0</v>
      </c>
      <c r="N405" s="76">
        <f>N404+Observaciones!$F404-K405-L405-M405-O404</f>
        <v>27.671234141321918</v>
      </c>
      <c r="O405" s="76">
        <f>MAX(0,(N405-Constantes!$D$14)*(1-EXP(-Constantes!$D$22)))</f>
        <v>0.5593675184380853</v>
      </c>
      <c r="P405" s="170">
        <f>P404+(Entradas!$F$83*M405-Q404)/(800*Entradas!$D$25)</f>
        <v>0</v>
      </c>
      <c r="Q405" s="170">
        <f>8000*Entradas!$D$26*P405/Constantes!$F$45</f>
        <v>0</v>
      </c>
      <c r="R405" s="170">
        <f>IF(Escenarios!$F$14&gt;0,K405*Escenarios!$F$13/Escenarios!$F$14,0)</f>
        <v>0</v>
      </c>
      <c r="S405" s="170">
        <f>IF(Escenarios!$F$14&gt;0,Q405*Escenarios!$F$13/Escenarios!$F$14,0)</f>
        <v>0</v>
      </c>
      <c r="T405" s="170">
        <f>IF(Escenarios!$F$14&gt;0,Observaciones!$I404,0)</f>
        <v>0</v>
      </c>
      <c r="U405" s="170">
        <f>IF(Escenarios!$F$14&gt;0,MAX(0,Constantes!$F$36/((Z404+R405+S405+T405+Observaciones!$F404)^2)+Entradas!$F$77),0)</f>
        <v>0</v>
      </c>
      <c r="V405" s="146">
        <f>IF(ETo!D404&gt;0,ETo!I404*((1-Entradas!$F$81)*ETo!K404+ETo!L404),0)</f>
        <v>4.148889179746317</v>
      </c>
      <c r="W405" s="170">
        <f>IF(Escenarios!$F$14&gt;0,MIN(V405*1,0.8*(Z404+R405+S405+T405+Observaciones!$F404-U405-Constantes!$F$35)),0)</f>
        <v>4.148889179746317</v>
      </c>
      <c r="X405" s="170">
        <f>IF(Escenarios!$F$14&gt;0,Observaciones!$J404,0)</f>
        <v>0</v>
      </c>
      <c r="Y405" s="170">
        <f>IF(Escenarios!$F$14&gt;0,MAX(0,Z404+R405+S405+T405+Observaciones!$F404-U405-W405-X405-Constantes!$F$33),0)</f>
        <v>0</v>
      </c>
      <c r="Z405" s="170">
        <f>Z404+R405+S405+T405+Observaciones!$F404-U405-W405-Y405</f>
        <v>52.179101676570326</v>
      </c>
      <c r="AA405" s="170">
        <f>IF(Escenarios!$F$14&gt;0,(Escenarios!$F$13*L405+Escenarios!$F$14*W405)/(Escenarios!$F$16),L405)</f>
        <v>2.8391038957727379</v>
      </c>
      <c r="AB405" s="170">
        <f>IF(Escenarios!$F$14&gt;0,(Escenarios!$F$14*Y405)/(Escenarios!$F$16),K405)</f>
        <v>0</v>
      </c>
      <c r="AC405" s="170">
        <f>IF(Escenarios!$F$14&gt;0,(Escenarios!$F$13*M405+Escenarios!$F$14*U405)/(Escenarios!$F$16),M405)</f>
        <v>0</v>
      </c>
      <c r="AD405" s="76">
        <f t="shared" si="85"/>
        <v>99.973743652811919</v>
      </c>
      <c r="AE405" s="76">
        <f>MAX(0,(AD405-Constantes!$D$13)*(1-EXP(-Constantes!$D$23)))</f>
        <v>0.50471974675635267</v>
      </c>
      <c r="AF405" s="76">
        <f>AB405+O405*Escenarios!$F$13/Escenarios!$F$16+AE405</f>
        <v>0.99696316298186771</v>
      </c>
      <c r="AG405" s="76">
        <f>IF(Entradas!$F$91&gt;0,IF(AF405-Escenarios!$F$38&lt;=0,0,IF(AF405-Escenarios!$F$38&gt;Escenarios!$F$37,Escenarios!$F$37,AF405-Escenarios!$F$38)),0)</f>
        <v>0</v>
      </c>
      <c r="AH405" s="76">
        <f>AG405*Entradas!$F$99</f>
        <v>0</v>
      </c>
      <c r="AI405" s="76">
        <f>IF(Entradas!$F$91&gt;0,D405*Entradas!$D$23/Escenarios!$F$16,0)</f>
        <v>0.22391936559736741</v>
      </c>
      <c r="AJ405" s="76">
        <f>IF(Entradas!$F$91&gt;0,Entradas!$D$24*Entradas!$D$22/Escenarios!$F$16,0)</f>
        <v>0.12</v>
      </c>
      <c r="AK405" s="76">
        <f t="shared" si="86"/>
        <v>3.0630232613701054</v>
      </c>
      <c r="AL405" s="76">
        <f t="shared" si="87"/>
        <v>0</v>
      </c>
      <c r="AM405" s="76">
        <f t="shared" si="88"/>
        <v>0</v>
      </c>
      <c r="AN405" s="76">
        <f>MAX(0,O405*Escenarios!$F$13/Escenarios!$F$16-AM405)</f>
        <v>0.49224341622551504</v>
      </c>
      <c r="AO405" s="76">
        <f>AM405+AN405-O405*Escenarios!$F$13/Escenarios!$F$16</f>
        <v>0</v>
      </c>
      <c r="AP405" s="76">
        <f t="shared" si="89"/>
        <v>0.50471974675635267</v>
      </c>
      <c r="AQ405" s="76">
        <f t="shared" si="90"/>
        <v>0</v>
      </c>
      <c r="AR405" s="76">
        <f t="shared" si="91"/>
        <v>0.99696316298186771</v>
      </c>
      <c r="AS405" s="76">
        <f t="shared" si="92"/>
        <v>0</v>
      </c>
      <c r="AT405" s="76">
        <f t="shared" si="93"/>
        <v>0</v>
      </c>
      <c r="AU405" s="76">
        <f t="shared" si="94"/>
        <v>49.59686130440187</v>
      </c>
      <c r="AV405" s="76">
        <f>MAX(0,(AU405-Constantes!$D$13)*(1-EXP(-Constantes!$D$24)))</f>
        <v>1.2944484268052421E-2</v>
      </c>
      <c r="AW405" s="170">
        <f>AW404+(Entradas!$F$112*AT405-AX404)/(800*Entradas!$D$25)</f>
        <v>0</v>
      </c>
      <c r="AX405" s="170">
        <f>8000*Entradas!$D$26*AW405/Constantes!$F$45</f>
        <v>0</v>
      </c>
      <c r="AY405" s="170">
        <f>IF(Escenarios!$F$17&gt;0,10*Escenarios!$F$16*AL405,0)</f>
        <v>0</v>
      </c>
      <c r="AZ405" s="170">
        <f>IF(Escenarios!$F$17&gt;0,10*Escenarios!$F$16*AX405,0)</f>
        <v>0</v>
      </c>
      <c r="BA405" s="170">
        <f>IF(Escenarios!$F$17&gt;0,0.001*Observaciones!$F404*Escenarios!$F$17,0)</f>
        <v>0</v>
      </c>
      <c r="BB405" s="170">
        <f>IF(Escenarios!$F$17&gt;0,Observaciones!$K404,0)</f>
        <v>0</v>
      </c>
      <c r="BC405" s="170">
        <f>IF(Escenarios!$F$17&gt;0,MIN(0.0005*ETo!$M404*Escenarios!$F$17*(BG404/Constantes!$F$40)^(2/3),BG404+AY405+AZ405+BA405+BB405),0)</f>
        <v>0</v>
      </c>
      <c r="BD405" s="170">
        <f>IF(Escenarios!$F$17&gt;0,MIN(Constantes!$F$39*(BG404/Constantes!$F$40)^(2/3),BG404+AY405+AZ405+BA405+BB405-BC405),0)</f>
        <v>0</v>
      </c>
      <c r="BE405" s="170">
        <f>IF(Escenarios!$F$17&gt;0,MIN(Entradas!$F$113,BG404+AY405+AZ405+BA405+BB405-BC405-BD405),0)</f>
        <v>0</v>
      </c>
      <c r="BF405" s="170">
        <f>IF(Escenarios!$F$17&gt;0,MAX(0,BG404+AY405+AZ405+BA405+BB405-BC405-BD405-BE405-Constantes!$F$40),0)</f>
        <v>0</v>
      </c>
      <c r="BG405" s="170">
        <f t="shared" si="95"/>
        <v>0</v>
      </c>
      <c r="BH405" s="170">
        <f>(Escenarios!$F$16*AK405+0.1*BC405)/(Escenarios!$F$19)</f>
        <v>3.0630232613701054</v>
      </c>
      <c r="BI405" s="170">
        <f>IF(Escenarios!$F$17&gt;0,BF405/10/Escenarios!$F$19,AL405)</f>
        <v>0</v>
      </c>
      <c r="BJ405" s="170">
        <f>(Escenarios!$F$16*AT405+0.1*BD405)/(Escenarios!$F$19)</f>
        <v>0</v>
      </c>
      <c r="BK405" s="76">
        <f>BK404+(0.1*BD405)/(Escenarios!$F$19)-BL404</f>
        <v>48.75</v>
      </c>
      <c r="BL405" s="76">
        <f>MAX(0,(BK405-Constantes!$D$13)*(1-EXP(-Constantes!$D$23)))</f>
        <v>0</v>
      </c>
      <c r="BM405" s="76">
        <f t="shared" si="96"/>
        <v>0.51766423102440506</v>
      </c>
      <c r="BN405" s="76">
        <f t="shared" si="97"/>
        <v>1.0099076472499202</v>
      </c>
      <c r="BO405" s="76">
        <f>0.0526*BI405*Observaciones!$F404^1.218</f>
        <v>0</v>
      </c>
      <c r="BP405" s="76">
        <f>BO405*Constantes!$F$51</f>
        <v>0</v>
      </c>
      <c r="BQ405" s="76">
        <f t="shared" si="98"/>
        <v>0</v>
      </c>
      <c r="BR405" s="40"/>
    </row>
    <row r="406" spans="2:70">
      <c r="B406" s="39"/>
      <c r="C406" s="75">
        <v>400</v>
      </c>
      <c r="D406" s="146">
        <f>ETo!$I405*((1-Constantes!$F$19)*ETo!$K405+ETo!$L405)</f>
        <v>4.5190153660691443</v>
      </c>
      <c r="E406" s="76">
        <f>MIN(D406*Constantes!$F$17,0.8*(N405+Observaciones!$F405-F406-M406-Constantes!$D$14))</f>
        <v>2.5772475960851793</v>
      </c>
      <c r="F406" s="76">
        <f>IF(Observaciones!$F405&gt;0.05*Constantes!$F$18,((Observaciones!$F405-0.05*Constantes!$F$18)^2)/(Observaciones!$F405+0.95*Constantes!$F$18),0)</f>
        <v>0</v>
      </c>
      <c r="G406" s="76">
        <f>IF(Escenarios!$F$11&gt;0,(F406*Escenarios!$F$16*10000)/1000,0)</f>
        <v>0</v>
      </c>
      <c r="H406" s="76">
        <f>IF(Escenarios!$F$11&gt;0,(Observaciones!$F405*Constantes!$F$29)/1000,0)</f>
        <v>0</v>
      </c>
      <c r="I406" s="76">
        <f>IF(Escenarios!$F$11&gt;0,(D406*Constantes!$F$29)/1000,0)</f>
        <v>0</v>
      </c>
      <c r="J406" s="76">
        <f>IF(Escenarios!$F$11&gt;0,MAX(0,G406+H406-I406),0)</f>
        <v>0</v>
      </c>
      <c r="K406" s="76">
        <f>IF(Escenarios!$F$11&gt;0,IF(J406&gt;Constantes!$F$30,1000*((J406-Constantes!$F$30)/(Escenarios!$F$16*10000)),0),F406)</f>
        <v>0</v>
      </c>
      <c r="L406" s="76">
        <f>IF(Escenarios!$F$11&gt;0,I406*1000/Escenarios!$F$16/10000+E406,E406)</f>
        <v>2.5772475960851793</v>
      </c>
      <c r="M406" s="76">
        <f>MAX(0,N405+Observaciones!$F405-K406-Constantes!$D$13)</f>
        <v>0</v>
      </c>
      <c r="N406" s="76">
        <f>N405+Observaciones!$F405-K406-L406-M406-O405</f>
        <v>27.834619026798656</v>
      </c>
      <c r="O406" s="76">
        <f>MAX(0,(N406-Constantes!$D$14)*(1-EXP(-Constantes!$D$22)))</f>
        <v>0.5649330074356167</v>
      </c>
      <c r="P406" s="170">
        <f>P405+(Entradas!$F$83*M406-Q405)/(800*Entradas!$D$25)</f>
        <v>0</v>
      </c>
      <c r="Q406" s="170">
        <f>8000*Entradas!$D$26*P406/Constantes!$F$45</f>
        <v>0</v>
      </c>
      <c r="R406" s="170">
        <f>IF(Escenarios!$F$14&gt;0,K406*Escenarios!$F$13/Escenarios!$F$14,0)</f>
        <v>0</v>
      </c>
      <c r="S406" s="170">
        <f>IF(Escenarios!$F$14&gt;0,Q406*Escenarios!$F$13/Escenarios!$F$14,0)</f>
        <v>0</v>
      </c>
      <c r="T406" s="170">
        <f>IF(Escenarios!$F$14&gt;0,Observaciones!$I405,0)</f>
        <v>0</v>
      </c>
      <c r="U406" s="170">
        <f>IF(Escenarios!$F$14&gt;0,MAX(0,Constantes!$F$36/((Z405+R406+S406+T406+Observaciones!$F405)^2)+Entradas!$F$77),0)</f>
        <v>0</v>
      </c>
      <c r="V406" s="146">
        <f>IF(ETo!D405&gt;0,ETo!I405*((1-Entradas!$F$81)*ETo!K405+ETo!L405),0)</f>
        <v>4.0166448486969974</v>
      </c>
      <c r="W406" s="170">
        <f>IF(Escenarios!$F$14&gt;0,MIN(V406*1,0.8*(Z405+R406+S406+T406+Observaciones!$F405-U406-Constantes!$F$35)),0)</f>
        <v>4.0166448486969974</v>
      </c>
      <c r="X406" s="170">
        <f>IF(Escenarios!$F$14&gt;0,Observaciones!$J405,0)</f>
        <v>0</v>
      </c>
      <c r="Y406" s="170">
        <f>IF(Escenarios!$F$14&gt;0,MAX(0,Z405+R406+S406+T406+Observaciones!$F405-U406-W406-X406-Constantes!$F$33),0)</f>
        <v>0</v>
      </c>
      <c r="Z406" s="170">
        <f>Z405+R406+S406+T406+Observaciones!$F405-U406-W406-Y406</f>
        <v>51.462456827873325</v>
      </c>
      <c r="AA406" s="170">
        <f>IF(Escenarios!$F$14&gt;0,(Escenarios!$F$13*L406+Escenarios!$F$14*W406)/(Escenarios!$F$16),L406)</f>
        <v>2.7499752663985975</v>
      </c>
      <c r="AB406" s="170">
        <f>IF(Escenarios!$F$14&gt;0,(Escenarios!$F$14*Y406)/(Escenarios!$F$16),K406)</f>
        <v>0</v>
      </c>
      <c r="AC406" s="170">
        <f>IF(Escenarios!$F$14&gt;0,(Escenarios!$F$13*M406+Escenarios!$F$14*U406)/(Escenarios!$F$16),M406)</f>
        <v>0</v>
      </c>
      <c r="AD406" s="76">
        <f t="shared" si="85"/>
        <v>99.469023906055568</v>
      </c>
      <c r="AE406" s="76">
        <f>MAX(0,(AD406-Constantes!$D$13)*(1-EXP(-Constantes!$D$23)))</f>
        <v>0.49974662287668459</v>
      </c>
      <c r="AF406" s="76">
        <f>AB406+O406*Escenarios!$F$13/Escenarios!$F$16+AE406</f>
        <v>0.99688766942002727</v>
      </c>
      <c r="AG406" s="76">
        <f>IF(Entradas!$F$91&gt;0,IF(AF406-Escenarios!$F$38&lt;=0,0,IF(AF406-Escenarios!$F$38&gt;Escenarios!$F$37,Escenarios!$F$37,AF406-Escenarios!$F$38)),0)</f>
        <v>0</v>
      </c>
      <c r="AH406" s="76">
        <f>AG406*Entradas!$F$99</f>
        <v>0</v>
      </c>
      <c r="AI406" s="76">
        <f>IF(Entradas!$F$91&gt;0,D406*Entradas!$D$23/Escenarios!$F$16,0)</f>
        <v>0.21691273757131893</v>
      </c>
      <c r="AJ406" s="76">
        <f>IF(Entradas!$F$91&gt;0,Entradas!$D$24*Entradas!$D$22/Escenarios!$F$16,0)</f>
        <v>0.12</v>
      </c>
      <c r="AK406" s="76">
        <f t="shared" si="86"/>
        <v>2.9668880039699164</v>
      </c>
      <c r="AL406" s="76">
        <f t="shared" si="87"/>
        <v>0</v>
      </c>
      <c r="AM406" s="76">
        <f t="shared" si="88"/>
        <v>0</v>
      </c>
      <c r="AN406" s="76">
        <f>MAX(0,O406*Escenarios!$F$13/Escenarios!$F$16-AM406)</f>
        <v>0.49714104654334268</v>
      </c>
      <c r="AO406" s="76">
        <f>AM406+AN406-O406*Escenarios!$F$13/Escenarios!$F$16</f>
        <v>0</v>
      </c>
      <c r="AP406" s="76">
        <f t="shared" si="89"/>
        <v>0.49974662287668459</v>
      </c>
      <c r="AQ406" s="76">
        <f t="shared" si="90"/>
        <v>0</v>
      </c>
      <c r="AR406" s="76">
        <f t="shared" si="91"/>
        <v>0.99688766942002727</v>
      </c>
      <c r="AS406" s="76">
        <f t="shared" si="92"/>
        <v>0</v>
      </c>
      <c r="AT406" s="76">
        <f t="shared" si="93"/>
        <v>0</v>
      </c>
      <c r="AU406" s="76">
        <f t="shared" si="94"/>
        <v>49.583916820133815</v>
      </c>
      <c r="AV406" s="76">
        <f>MAX(0,(AU406-Constantes!$D$13)*(1-EXP(-Constantes!$D$24)))</f>
        <v>1.2746624627878846E-2</v>
      </c>
      <c r="AW406" s="170">
        <f>AW405+(Entradas!$F$112*AT406-AX405)/(800*Entradas!$D$25)</f>
        <v>0</v>
      </c>
      <c r="AX406" s="170">
        <f>8000*Entradas!$D$26*AW406/Constantes!$F$45</f>
        <v>0</v>
      </c>
      <c r="AY406" s="170">
        <f>IF(Escenarios!$F$17&gt;0,10*Escenarios!$F$16*AL406,0)</f>
        <v>0</v>
      </c>
      <c r="AZ406" s="170">
        <f>IF(Escenarios!$F$17&gt;0,10*Escenarios!$F$16*AX406,0)</f>
        <v>0</v>
      </c>
      <c r="BA406" s="170">
        <f>IF(Escenarios!$F$17&gt;0,0.001*Observaciones!$F405*Escenarios!$F$17,0)</f>
        <v>0</v>
      </c>
      <c r="BB406" s="170">
        <f>IF(Escenarios!$F$17&gt;0,Observaciones!$K405,0)</f>
        <v>0</v>
      </c>
      <c r="BC406" s="170">
        <f>IF(Escenarios!$F$17&gt;0,MIN(0.0005*ETo!$M405*Escenarios!$F$17*(BG405/Constantes!$F$40)^(2/3),BG405+AY406+AZ406+BA406+BB406),0)</f>
        <v>0</v>
      </c>
      <c r="BD406" s="170">
        <f>IF(Escenarios!$F$17&gt;0,MIN(Constantes!$F$39*(BG405/Constantes!$F$40)^(2/3),BG405+AY406+AZ406+BA406+BB406-BC406),0)</f>
        <v>0</v>
      </c>
      <c r="BE406" s="170">
        <f>IF(Escenarios!$F$17&gt;0,MIN(Entradas!$F$113,BG405+AY406+AZ406+BA406+BB406-BC406-BD406),0)</f>
        <v>0</v>
      </c>
      <c r="BF406" s="170">
        <f>IF(Escenarios!$F$17&gt;0,MAX(0,BG405+AY406+AZ406+BA406+BB406-BC406-BD406-BE406-Constantes!$F$40),0)</f>
        <v>0</v>
      </c>
      <c r="BG406" s="170">
        <f t="shared" si="95"/>
        <v>0</v>
      </c>
      <c r="BH406" s="170">
        <f>(Escenarios!$F$16*AK406+0.1*BC406)/(Escenarios!$F$19)</f>
        <v>2.9668880039699164</v>
      </c>
      <c r="BI406" s="170">
        <f>IF(Escenarios!$F$17&gt;0,BF406/10/Escenarios!$F$19,AL406)</f>
        <v>0</v>
      </c>
      <c r="BJ406" s="170">
        <f>(Escenarios!$F$16*AT406+0.1*BD406)/(Escenarios!$F$19)</f>
        <v>0</v>
      </c>
      <c r="BK406" s="76">
        <f>BK405+(0.1*BD406)/(Escenarios!$F$19)-BL405</f>
        <v>48.75</v>
      </c>
      <c r="BL406" s="76">
        <f>MAX(0,(BK406-Constantes!$D$13)*(1-EXP(-Constantes!$D$23)))</f>
        <v>0</v>
      </c>
      <c r="BM406" s="76">
        <f t="shared" si="96"/>
        <v>0.51249324750456349</v>
      </c>
      <c r="BN406" s="76">
        <f t="shared" si="97"/>
        <v>1.0096342940479062</v>
      </c>
      <c r="BO406" s="76">
        <f>0.0526*BI406*Observaciones!$F405^1.218</f>
        <v>0</v>
      </c>
      <c r="BP406" s="76">
        <f>BO406*Constantes!$F$51</f>
        <v>0</v>
      </c>
      <c r="BQ406" s="76">
        <f t="shared" si="98"/>
        <v>0</v>
      </c>
      <c r="BR406" s="40"/>
    </row>
    <row r="407" spans="2:70">
      <c r="B407" s="39"/>
      <c r="C407" s="75">
        <v>401</v>
      </c>
      <c r="D407" s="146">
        <f>ETo!$I406*((1-Constantes!$F$19)*ETo!$K406+ETo!$L406)</f>
        <v>4.6965589077362191</v>
      </c>
      <c r="E407" s="76">
        <f>MIN(D407*Constantes!$F$17,0.8*(N406+Observaciones!$F406-F407-M407-Constantes!$D$14))</f>
        <v>2.6785027653854638</v>
      </c>
      <c r="F407" s="76">
        <f>IF(Observaciones!$F406&gt;0.05*Constantes!$F$18,((Observaciones!$F406-0.05*Constantes!$F$18)^2)/(Observaciones!$F406+0.95*Constantes!$F$18),0)</f>
        <v>0</v>
      </c>
      <c r="G407" s="76">
        <f>IF(Escenarios!$F$11&gt;0,(F407*Escenarios!$F$16*10000)/1000,0)</f>
        <v>0</v>
      </c>
      <c r="H407" s="76">
        <f>IF(Escenarios!$F$11&gt;0,(Observaciones!$F406*Constantes!$F$29)/1000,0)</f>
        <v>0</v>
      </c>
      <c r="I407" s="76">
        <f>IF(Escenarios!$F$11&gt;0,(D407*Constantes!$F$29)/1000,0)</f>
        <v>0</v>
      </c>
      <c r="J407" s="76">
        <f>IF(Escenarios!$F$11&gt;0,MAX(0,G407+H407-I407),0)</f>
        <v>0</v>
      </c>
      <c r="K407" s="76">
        <f>IF(Escenarios!$F$11&gt;0,IF(J407&gt;Constantes!$F$30,1000*((J407-Constantes!$F$30)/(Escenarios!$F$16*10000)),0),F407)</f>
        <v>0</v>
      </c>
      <c r="L407" s="76">
        <f>IF(Escenarios!$F$11&gt;0,I407*1000/Escenarios!$F$16/10000+E407,E407)</f>
        <v>2.6785027653854638</v>
      </c>
      <c r="M407" s="76">
        <f>MAX(0,N406+Observaciones!$F406-K407-Constantes!$D$13)</f>
        <v>0</v>
      </c>
      <c r="N407" s="76">
        <f>N406+Observaciones!$F406-K407-L407-M407-O406</f>
        <v>24.591183253977576</v>
      </c>
      <c r="O407" s="76">
        <f>MAX(0,(N407-Constantes!$D$14)*(1-EXP(-Constantes!$D$22)))</f>
        <v>0.45444967811685022</v>
      </c>
      <c r="P407" s="170">
        <f>P406+(Entradas!$F$83*M407-Q406)/(800*Entradas!$D$25)</f>
        <v>0</v>
      </c>
      <c r="Q407" s="170">
        <f>8000*Entradas!$D$26*P407/Constantes!$F$45</f>
        <v>0</v>
      </c>
      <c r="R407" s="170">
        <f>IF(Escenarios!$F$14&gt;0,K407*Escenarios!$F$13/Escenarios!$F$14,0)</f>
        <v>0</v>
      </c>
      <c r="S407" s="170">
        <f>IF(Escenarios!$F$14&gt;0,Q407*Escenarios!$F$13/Escenarios!$F$14,0)</f>
        <v>0</v>
      </c>
      <c r="T407" s="170">
        <f>IF(Escenarios!$F$14&gt;0,Observaciones!$I406,0)</f>
        <v>0</v>
      </c>
      <c r="U407" s="170">
        <f>IF(Escenarios!$F$14&gt;0,MAX(0,Constantes!$F$36/((Z406+R407+S407+T407+Observaciones!$F406)^2)+Entradas!$F$77),0)</f>
        <v>0</v>
      </c>
      <c r="V407" s="146">
        <f>IF(ETo!D406&gt;0,ETo!I406*((1-Entradas!$F$81)*ETo!K406+ETo!L406),0)</f>
        <v>4.1775190327746099</v>
      </c>
      <c r="W407" s="170">
        <f>IF(Escenarios!$F$14&gt;0,MIN(V407*1,0.8*(Z406+R407+S407+T407+Observaciones!$F406-U407-Constantes!$F$35)),0)</f>
        <v>4.1775190327746099</v>
      </c>
      <c r="X407" s="170">
        <f>IF(Escenarios!$F$14&gt;0,Observaciones!$J406,0)</f>
        <v>0</v>
      </c>
      <c r="Y407" s="170">
        <f>IF(Escenarios!$F$14&gt;0,MAX(0,Z406+R407+S407+T407+Observaciones!$F406-U407-W407-X407-Constantes!$F$33),0)</f>
        <v>0</v>
      </c>
      <c r="Z407" s="170">
        <f>Z406+R407+S407+T407+Observaciones!$F406-U407-W407-Y407</f>
        <v>47.284937795098713</v>
      </c>
      <c r="AA407" s="170">
        <f>IF(Escenarios!$F$14&gt;0,(Escenarios!$F$13*L407+Escenarios!$F$14*W407)/(Escenarios!$F$16),L407)</f>
        <v>2.8583847174721613</v>
      </c>
      <c r="AB407" s="170">
        <f>IF(Escenarios!$F$14&gt;0,(Escenarios!$F$14*Y407)/(Escenarios!$F$16),K407)</f>
        <v>0</v>
      </c>
      <c r="AC407" s="170">
        <f>IF(Escenarios!$F$14&gt;0,(Escenarios!$F$13*M407+Escenarios!$F$14*U407)/(Escenarios!$F$16),M407)</f>
        <v>0</v>
      </c>
      <c r="AD407" s="76">
        <f t="shared" si="85"/>
        <v>98.969277283178883</v>
      </c>
      <c r="AE407" s="76">
        <f>MAX(0,(AD407-Constantes!$D$13)*(1-EXP(-Constantes!$D$23)))</f>
        <v>0.4948225003711087</v>
      </c>
      <c r="AF407" s="76">
        <f>AB407+O407*Escenarios!$F$13/Escenarios!$F$16+AE407</f>
        <v>0.89473821711393686</v>
      </c>
      <c r="AG407" s="76">
        <f>IF(Entradas!$F$91&gt;0,IF(AF407-Escenarios!$F$38&lt;=0,0,IF(AF407-Escenarios!$F$38&gt;Escenarios!$F$37,Escenarios!$F$37,AF407-Escenarios!$F$38)),0)</f>
        <v>0</v>
      </c>
      <c r="AH407" s="76">
        <f>AG407*Entradas!$F$99</f>
        <v>0</v>
      </c>
      <c r="AI407" s="76">
        <f>IF(Entradas!$F$91&gt;0,D407*Entradas!$D$23/Escenarios!$F$16,0)</f>
        <v>0.22543482757133854</v>
      </c>
      <c r="AJ407" s="76">
        <f>IF(Entradas!$F$91&gt;0,Entradas!$D$24*Entradas!$D$22/Escenarios!$F$16,0)</f>
        <v>0.12</v>
      </c>
      <c r="AK407" s="76">
        <f t="shared" si="86"/>
        <v>3.0838195450434998</v>
      </c>
      <c r="AL407" s="76">
        <f t="shared" si="87"/>
        <v>0</v>
      </c>
      <c r="AM407" s="76">
        <f t="shared" si="88"/>
        <v>0</v>
      </c>
      <c r="AN407" s="76">
        <f>MAX(0,O407*Escenarios!$F$13/Escenarios!$F$16-AM407)</f>
        <v>0.39991571674282816</v>
      </c>
      <c r="AO407" s="76">
        <f>AM407+AN407-O407*Escenarios!$F$13/Escenarios!$F$16</f>
        <v>0</v>
      </c>
      <c r="AP407" s="76">
        <f t="shared" si="89"/>
        <v>0.4948225003711087</v>
      </c>
      <c r="AQ407" s="76">
        <f t="shared" si="90"/>
        <v>0</v>
      </c>
      <c r="AR407" s="76">
        <f t="shared" si="91"/>
        <v>0.89473821711393686</v>
      </c>
      <c r="AS407" s="76">
        <f t="shared" si="92"/>
        <v>0</v>
      </c>
      <c r="AT407" s="76">
        <f t="shared" si="93"/>
        <v>0</v>
      </c>
      <c r="AU407" s="76">
        <f t="shared" si="94"/>
        <v>49.571170195505935</v>
      </c>
      <c r="AV407" s="76">
        <f>MAX(0,(AU407-Constantes!$D$13)*(1-EXP(-Constantes!$D$24)))</f>
        <v>1.2551789321189636E-2</v>
      </c>
      <c r="AW407" s="170">
        <f>AW406+(Entradas!$F$112*AT407-AX406)/(800*Entradas!$D$25)</f>
        <v>0</v>
      </c>
      <c r="AX407" s="170">
        <f>8000*Entradas!$D$26*AW407/Constantes!$F$45</f>
        <v>0</v>
      </c>
      <c r="AY407" s="170">
        <f>IF(Escenarios!$F$17&gt;0,10*Escenarios!$F$16*AL407,0)</f>
        <v>0</v>
      </c>
      <c r="AZ407" s="170">
        <f>IF(Escenarios!$F$17&gt;0,10*Escenarios!$F$16*AX407,0)</f>
        <v>0</v>
      </c>
      <c r="BA407" s="170">
        <f>IF(Escenarios!$F$17&gt;0,0.001*Observaciones!$F406*Escenarios!$F$17,0)</f>
        <v>0</v>
      </c>
      <c r="BB407" s="170">
        <f>IF(Escenarios!$F$17&gt;0,Observaciones!$K406,0)</f>
        <v>0</v>
      </c>
      <c r="BC407" s="170">
        <f>IF(Escenarios!$F$17&gt;0,MIN(0.0005*ETo!$M406*Escenarios!$F$17*(BG406/Constantes!$F$40)^(2/3),BG406+AY407+AZ407+BA407+BB407),0)</f>
        <v>0</v>
      </c>
      <c r="BD407" s="170">
        <f>IF(Escenarios!$F$17&gt;0,MIN(Constantes!$F$39*(BG406/Constantes!$F$40)^(2/3),BG406+AY407+AZ407+BA407+BB407-BC407),0)</f>
        <v>0</v>
      </c>
      <c r="BE407" s="170">
        <f>IF(Escenarios!$F$17&gt;0,MIN(Entradas!$F$113,BG406+AY407+AZ407+BA407+BB407-BC407-BD407),0)</f>
        <v>0</v>
      </c>
      <c r="BF407" s="170">
        <f>IF(Escenarios!$F$17&gt;0,MAX(0,BG406+AY407+AZ407+BA407+BB407-BC407-BD407-BE407-Constantes!$F$40),0)</f>
        <v>0</v>
      </c>
      <c r="BG407" s="170">
        <f t="shared" si="95"/>
        <v>0</v>
      </c>
      <c r="BH407" s="170">
        <f>(Escenarios!$F$16*AK407+0.1*BC407)/(Escenarios!$F$19)</f>
        <v>3.0838195450434998</v>
      </c>
      <c r="BI407" s="170">
        <f>IF(Escenarios!$F$17&gt;0,BF407/10/Escenarios!$F$19,AL407)</f>
        <v>0</v>
      </c>
      <c r="BJ407" s="170">
        <f>(Escenarios!$F$16*AT407+0.1*BD407)/(Escenarios!$F$19)</f>
        <v>0</v>
      </c>
      <c r="BK407" s="76">
        <f>BK406+(0.1*BD407)/(Escenarios!$F$19)-BL406</f>
        <v>48.75</v>
      </c>
      <c r="BL407" s="76">
        <f>MAX(0,(BK407-Constantes!$D$13)*(1-EXP(-Constantes!$D$23)))</f>
        <v>0</v>
      </c>
      <c r="BM407" s="76">
        <f t="shared" si="96"/>
        <v>0.50737428969229836</v>
      </c>
      <c r="BN407" s="76">
        <f t="shared" si="97"/>
        <v>0.90729000643512647</v>
      </c>
      <c r="BO407" s="76">
        <f>0.0526*BI407*Observaciones!$F406^1.218</f>
        <v>0</v>
      </c>
      <c r="BP407" s="76">
        <f>BO407*Constantes!$F$51</f>
        <v>0</v>
      </c>
      <c r="BQ407" s="76">
        <f t="shared" si="98"/>
        <v>0</v>
      </c>
      <c r="BR407" s="40"/>
    </row>
    <row r="408" spans="2:70">
      <c r="B408" s="39"/>
      <c r="C408" s="75">
        <v>402</v>
      </c>
      <c r="D408" s="146">
        <f>ETo!$I407*((1-Constantes!$F$19)*ETo!$K407+ETo!$L407)</f>
        <v>4.7628796333802441</v>
      </c>
      <c r="E408" s="76">
        <f>MIN(D408*Constantes!$F$17,0.8*(N407+Observaciones!$F407-F408-M408-Constantes!$D$14))</f>
        <v>2.7163262549934148</v>
      </c>
      <c r="F408" s="76">
        <f>IF(Observaciones!$F407&gt;0.05*Constantes!$F$18,((Observaciones!$F407-0.05*Constantes!$F$18)^2)/(Observaciones!$F407+0.95*Constantes!$F$18),0)</f>
        <v>0</v>
      </c>
      <c r="G408" s="76">
        <f>IF(Escenarios!$F$11&gt;0,(F408*Escenarios!$F$16*10000)/1000,0)</f>
        <v>0</v>
      </c>
      <c r="H408" s="76">
        <f>IF(Escenarios!$F$11&gt;0,(Observaciones!$F407*Constantes!$F$29)/1000,0)</f>
        <v>0</v>
      </c>
      <c r="I408" s="76">
        <f>IF(Escenarios!$F$11&gt;0,(D408*Constantes!$F$29)/1000,0)</f>
        <v>0</v>
      </c>
      <c r="J408" s="76">
        <f>IF(Escenarios!$F$11&gt;0,MAX(0,G408+H408-I408),0)</f>
        <v>0</v>
      </c>
      <c r="K408" s="76">
        <f>IF(Escenarios!$F$11&gt;0,IF(J408&gt;Constantes!$F$30,1000*((J408-Constantes!$F$30)/(Escenarios!$F$16*10000)),0),F408)</f>
        <v>0</v>
      </c>
      <c r="L408" s="76">
        <f>IF(Escenarios!$F$11&gt;0,I408*1000/Escenarios!$F$16/10000+E408,E408)</f>
        <v>2.7163262549934148</v>
      </c>
      <c r="M408" s="76">
        <f>MAX(0,N407+Observaciones!$F407-K408-Constantes!$D$13)</f>
        <v>0</v>
      </c>
      <c r="N408" s="76">
        <f>N407+Observaciones!$F407-K408-L408-M408-O407</f>
        <v>21.420407320867309</v>
      </c>
      <c r="O408" s="76">
        <f>MAX(0,(N408-Constantes!$D$14)*(1-EXP(-Constantes!$D$22)))</f>
        <v>0.34644140967836629</v>
      </c>
      <c r="P408" s="170">
        <f>P407+(Entradas!$F$83*M408-Q407)/(800*Entradas!$D$25)</f>
        <v>0</v>
      </c>
      <c r="Q408" s="170">
        <f>8000*Entradas!$D$26*P408/Constantes!$F$45</f>
        <v>0</v>
      </c>
      <c r="R408" s="170">
        <f>IF(Escenarios!$F$14&gt;0,K408*Escenarios!$F$13/Escenarios!$F$14,0)</f>
        <v>0</v>
      </c>
      <c r="S408" s="170">
        <f>IF(Escenarios!$F$14&gt;0,Q408*Escenarios!$F$13/Escenarios!$F$14,0)</f>
        <v>0</v>
      </c>
      <c r="T408" s="170">
        <f>IF(Escenarios!$F$14&gt;0,Observaciones!$I407,0)</f>
        <v>0</v>
      </c>
      <c r="U408" s="170">
        <f>IF(Escenarios!$F$14&gt;0,MAX(0,Constantes!$F$36/((Z407+R408+S408+T408+Observaciones!$F407)^2)+Entradas!$F$77),0)</f>
        <v>0</v>
      </c>
      <c r="V408" s="146">
        <f>IF(ETo!D407&gt;0,ETo!I407*((1-Entradas!$F$81)*ETo!K407+ETo!L407),0)</f>
        <v>4.2378409355744786</v>
      </c>
      <c r="W408" s="170">
        <f>IF(Escenarios!$F$14&gt;0,MIN(V408*1,0.8*(Z407+R408+S408+T408+Observaciones!$F407-U408-Constantes!$F$35)),0)</f>
        <v>4.2378409355744786</v>
      </c>
      <c r="X408" s="170">
        <f>IF(Escenarios!$F$14&gt;0,Observaciones!$J407,0)</f>
        <v>0</v>
      </c>
      <c r="Y408" s="170">
        <f>IF(Escenarios!$F$14&gt;0,MAX(0,Z407+R408+S408+T408+Observaciones!$F407-U408-W408-X408-Constantes!$F$33),0)</f>
        <v>0</v>
      </c>
      <c r="Z408" s="170">
        <f>Z407+R408+S408+T408+Observaciones!$F407-U408-W408-Y408</f>
        <v>43.047096859524231</v>
      </c>
      <c r="AA408" s="170">
        <f>IF(Escenarios!$F$14&gt;0,(Escenarios!$F$13*L408+Escenarios!$F$14*W408)/(Escenarios!$F$16),L408)</f>
        <v>2.8989080166631425</v>
      </c>
      <c r="AB408" s="170">
        <f>IF(Escenarios!$F$14&gt;0,(Escenarios!$F$14*Y408)/(Escenarios!$F$16),K408)</f>
        <v>0</v>
      </c>
      <c r="AC408" s="170">
        <f>IF(Escenarios!$F$14&gt;0,(Escenarios!$F$13*M408+Escenarios!$F$14*U408)/(Escenarios!$F$16),M408)</f>
        <v>0</v>
      </c>
      <c r="AD408" s="76">
        <f t="shared" si="85"/>
        <v>98.474454782807769</v>
      </c>
      <c r="AE408" s="76">
        <f>MAX(0,(AD408-Constantes!$D$13)*(1-EXP(-Constantes!$D$23)))</f>
        <v>0.48994689641741473</v>
      </c>
      <c r="AF408" s="76">
        <f>AB408+O408*Escenarios!$F$13/Escenarios!$F$16+AE408</f>
        <v>0.79481533693437711</v>
      </c>
      <c r="AG408" s="76">
        <f>IF(Entradas!$F$91&gt;0,IF(AF408-Escenarios!$F$38&lt;=0,0,IF(AF408-Escenarios!$F$38&gt;Escenarios!$F$37,Escenarios!$F$37,AF408-Escenarios!$F$38)),0)</f>
        <v>0</v>
      </c>
      <c r="AH408" s="76">
        <f>AG408*Entradas!$F$99</f>
        <v>0</v>
      </c>
      <c r="AI408" s="76">
        <f>IF(Entradas!$F$91&gt;0,D408*Entradas!$D$23/Escenarios!$F$16,0)</f>
        <v>0.22861822240225171</v>
      </c>
      <c r="AJ408" s="76">
        <f>IF(Entradas!$F$91&gt;0,Entradas!$D$24*Entradas!$D$22/Escenarios!$F$16,0)</f>
        <v>0.12</v>
      </c>
      <c r="AK408" s="76">
        <f t="shared" si="86"/>
        <v>3.1275262390653942</v>
      </c>
      <c r="AL408" s="76">
        <f t="shared" si="87"/>
        <v>0</v>
      </c>
      <c r="AM408" s="76">
        <f t="shared" si="88"/>
        <v>0</v>
      </c>
      <c r="AN408" s="76">
        <f>MAX(0,O408*Escenarios!$F$13/Escenarios!$F$16-AM408)</f>
        <v>0.30486844051696232</v>
      </c>
      <c r="AO408" s="76">
        <f>AM408+AN408-O408*Escenarios!$F$13/Escenarios!$F$16</f>
        <v>0</v>
      </c>
      <c r="AP408" s="76">
        <f t="shared" si="89"/>
        <v>0.48994689641741473</v>
      </c>
      <c r="AQ408" s="76">
        <f t="shared" si="90"/>
        <v>0</v>
      </c>
      <c r="AR408" s="76">
        <f t="shared" si="91"/>
        <v>0.79481533693437711</v>
      </c>
      <c r="AS408" s="76">
        <f t="shared" si="92"/>
        <v>0</v>
      </c>
      <c r="AT408" s="76">
        <f t="shared" si="93"/>
        <v>0</v>
      </c>
      <c r="AU408" s="76">
        <f t="shared" si="94"/>
        <v>49.558618406184749</v>
      </c>
      <c r="AV408" s="76">
        <f>MAX(0,(AU408-Constantes!$D$13)*(1-EXP(-Constantes!$D$24)))</f>
        <v>1.2359932120300334E-2</v>
      </c>
      <c r="AW408" s="170">
        <f>AW407+(Entradas!$F$112*AT408-AX407)/(800*Entradas!$D$25)</f>
        <v>0</v>
      </c>
      <c r="AX408" s="170">
        <f>8000*Entradas!$D$26*AW408/Constantes!$F$45</f>
        <v>0</v>
      </c>
      <c r="AY408" s="170">
        <f>IF(Escenarios!$F$17&gt;0,10*Escenarios!$F$16*AL408,0)</f>
        <v>0</v>
      </c>
      <c r="AZ408" s="170">
        <f>IF(Escenarios!$F$17&gt;0,10*Escenarios!$F$16*AX408,0)</f>
        <v>0</v>
      </c>
      <c r="BA408" s="170">
        <f>IF(Escenarios!$F$17&gt;0,0.001*Observaciones!$F407*Escenarios!$F$17,0)</f>
        <v>0</v>
      </c>
      <c r="BB408" s="170">
        <f>IF(Escenarios!$F$17&gt;0,Observaciones!$K407,0)</f>
        <v>0</v>
      </c>
      <c r="BC408" s="170">
        <f>IF(Escenarios!$F$17&gt;0,MIN(0.0005*ETo!$M407*Escenarios!$F$17*(BG407/Constantes!$F$40)^(2/3),BG407+AY408+AZ408+BA408+BB408),0)</f>
        <v>0</v>
      </c>
      <c r="BD408" s="170">
        <f>IF(Escenarios!$F$17&gt;0,MIN(Constantes!$F$39*(BG407/Constantes!$F$40)^(2/3),BG407+AY408+AZ408+BA408+BB408-BC408),0)</f>
        <v>0</v>
      </c>
      <c r="BE408" s="170">
        <f>IF(Escenarios!$F$17&gt;0,MIN(Entradas!$F$113,BG407+AY408+AZ408+BA408+BB408-BC408-BD408),0)</f>
        <v>0</v>
      </c>
      <c r="BF408" s="170">
        <f>IF(Escenarios!$F$17&gt;0,MAX(0,BG407+AY408+AZ408+BA408+BB408-BC408-BD408-BE408-Constantes!$F$40),0)</f>
        <v>0</v>
      </c>
      <c r="BG408" s="170">
        <f t="shared" si="95"/>
        <v>0</v>
      </c>
      <c r="BH408" s="170">
        <f>(Escenarios!$F$16*AK408+0.1*BC408)/(Escenarios!$F$19)</f>
        <v>3.1275262390653942</v>
      </c>
      <c r="BI408" s="170">
        <f>IF(Escenarios!$F$17&gt;0,BF408/10/Escenarios!$F$19,AL408)</f>
        <v>0</v>
      </c>
      <c r="BJ408" s="170">
        <f>(Escenarios!$F$16*AT408+0.1*BD408)/(Escenarios!$F$19)</f>
        <v>0</v>
      </c>
      <c r="BK408" s="76">
        <f>BK407+(0.1*BD408)/(Escenarios!$F$19)-BL407</f>
        <v>48.75</v>
      </c>
      <c r="BL408" s="76">
        <f>MAX(0,(BK408-Constantes!$D$13)*(1-EXP(-Constantes!$D$23)))</f>
        <v>0</v>
      </c>
      <c r="BM408" s="76">
        <f t="shared" si="96"/>
        <v>0.50230682853771502</v>
      </c>
      <c r="BN408" s="76">
        <f t="shared" si="97"/>
        <v>0.8071752690546774</v>
      </c>
      <c r="BO408" s="76">
        <f>0.0526*BI408*Observaciones!$F407^1.218</f>
        <v>0</v>
      </c>
      <c r="BP408" s="76">
        <f>BO408*Constantes!$F$51</f>
        <v>0</v>
      </c>
      <c r="BQ408" s="76">
        <f t="shared" si="98"/>
        <v>0</v>
      </c>
      <c r="BR408" s="40"/>
    </row>
    <row r="409" spans="2:70">
      <c r="B409" s="39"/>
      <c r="C409" s="75">
        <v>403</v>
      </c>
      <c r="D409" s="146">
        <f>ETo!$I408*((1-Constantes!$F$19)*ETo!$K408+ETo!$L408)</f>
        <v>4.6580693363375083</v>
      </c>
      <c r="E409" s="76">
        <f>MIN(D409*Constantes!$F$17,0.8*(N408+Observaciones!$F408-F409-M409-Constantes!$D$14))</f>
        <v>2.656551710271446</v>
      </c>
      <c r="F409" s="76">
        <f>IF(Observaciones!$F408&gt;0.05*Constantes!$F$18,((Observaciones!$F408-0.05*Constantes!$F$18)^2)/(Observaciones!$F408+0.95*Constantes!$F$18),0)</f>
        <v>2.8681511308678784E-2</v>
      </c>
      <c r="G409" s="76">
        <f>IF(Escenarios!$F$11&gt;0,(F409*Escenarios!$F$16*10000)/1000,0)</f>
        <v>0</v>
      </c>
      <c r="H409" s="76">
        <f>IF(Escenarios!$F$11&gt;0,(Observaciones!$F408*Constantes!$F$29)/1000,0)</f>
        <v>0</v>
      </c>
      <c r="I409" s="76">
        <f>IF(Escenarios!$F$11&gt;0,(D409*Constantes!$F$29)/1000,0)</f>
        <v>0</v>
      </c>
      <c r="J409" s="76">
        <f>IF(Escenarios!$F$11&gt;0,MAX(0,G409+H409-I409),0)</f>
        <v>0</v>
      </c>
      <c r="K409" s="76">
        <f>IF(Escenarios!$F$11&gt;0,IF(J409&gt;Constantes!$F$30,1000*((J409-Constantes!$F$30)/(Escenarios!$F$16*10000)),0),F409)</f>
        <v>2.8681511308678784E-2</v>
      </c>
      <c r="L409" s="76">
        <f>IF(Escenarios!$F$11&gt;0,I409*1000/Escenarios!$F$16/10000+E409,E409)</f>
        <v>2.656551710271446</v>
      </c>
      <c r="M409" s="76">
        <f>MAX(0,N408+Observaciones!$F408-K409-Constantes!$D$13)</f>
        <v>0</v>
      </c>
      <c r="N409" s="76">
        <f>N408+Observaciones!$F408-K409-L409-M409-O408</f>
        <v>31.888732689608826</v>
      </c>
      <c r="O409" s="76">
        <f>MAX(0,(N409-Constantes!$D$14)*(1-EXP(-Constantes!$D$22)))</f>
        <v>0.70303100174687172</v>
      </c>
      <c r="P409" s="170">
        <f>P408+(Entradas!$F$83*M409-Q408)/(800*Entradas!$D$25)</f>
        <v>0</v>
      </c>
      <c r="Q409" s="170">
        <f>8000*Entradas!$D$26*P409/Constantes!$F$45</f>
        <v>0</v>
      </c>
      <c r="R409" s="170">
        <f>IF(Escenarios!$F$14&gt;0,K409*Escenarios!$F$13/Escenarios!$F$14,0)</f>
        <v>0.21033108293031108</v>
      </c>
      <c r="S409" s="170">
        <f>IF(Escenarios!$F$14&gt;0,Q409*Escenarios!$F$13/Escenarios!$F$14,0)</f>
        <v>0</v>
      </c>
      <c r="T409" s="170">
        <f>IF(Escenarios!$F$14&gt;0,Observaciones!$I408,0)</f>
        <v>0</v>
      </c>
      <c r="U409" s="170">
        <f>IF(Escenarios!$F$14&gt;0,MAX(0,Constantes!$F$36/((Z408+R409+S409+T409+Observaciones!$F408)^2)+Entradas!$F$77),0)</f>
        <v>0</v>
      </c>
      <c r="V409" s="146">
        <f>IF(ETo!D408&gt;0,ETo!I408*((1-Entradas!$F$81)*ETo!K408+ETo!L408),0)</f>
        <v>4.1425010923283656</v>
      </c>
      <c r="W409" s="170">
        <f>IF(Escenarios!$F$14&gt;0,MIN(V409*1,0.8*(Z408+R409+S409+T409+Observaciones!$F408-U409-Constantes!$F$35)),0)</f>
        <v>4.1425010923283656</v>
      </c>
      <c r="X409" s="170">
        <f>IF(Escenarios!$F$14&gt;0,Observaciones!$J408,0)</f>
        <v>0</v>
      </c>
      <c r="Y409" s="170">
        <f>IF(Escenarios!$F$14&gt;0,MAX(0,Z408+R409+S409+T409+Observaciones!$F408-U409-W409-X409-Constantes!$F$33),0)</f>
        <v>0</v>
      </c>
      <c r="Z409" s="170">
        <f>Z408+R409+S409+T409+Observaciones!$F408-U409-W409-Y409</f>
        <v>52.614926850126174</v>
      </c>
      <c r="AA409" s="170">
        <f>IF(Escenarios!$F$14&gt;0,(Escenarios!$F$13*L409+Escenarios!$F$14*W409)/(Escenarios!$F$16),L409)</f>
        <v>2.8348656361182765</v>
      </c>
      <c r="AB409" s="170">
        <f>IF(Escenarios!$F$14&gt;0,(Escenarios!$F$14*Y409)/(Escenarios!$F$16),K409)</f>
        <v>0</v>
      </c>
      <c r="AC409" s="170">
        <f>IF(Escenarios!$F$14&gt;0,(Escenarios!$F$13*M409+Escenarios!$F$14*U409)/(Escenarios!$F$16),M409)</f>
        <v>0</v>
      </c>
      <c r="AD409" s="76">
        <f t="shared" si="85"/>
        <v>97.984507886390361</v>
      </c>
      <c r="AE409" s="76">
        <f>MAX(0,(AD409-Constantes!$D$13)*(1-EXP(-Constantes!$D$23)))</f>
        <v>0.4851193329507551</v>
      </c>
      <c r="AF409" s="76">
        <f>AB409+O409*Escenarios!$F$13/Escenarios!$F$16+AE409</f>
        <v>1.1037866144880022</v>
      </c>
      <c r="AG409" s="76">
        <f>IF(Entradas!$F$91&gt;0,IF(AF409-Escenarios!$F$38&lt;=0,0,IF(AF409-Escenarios!$F$38&gt;Escenarios!$F$37,Escenarios!$F$37,AF409-Escenarios!$F$38)),0)</f>
        <v>6.698661448800225E-2</v>
      </c>
      <c r="AH409" s="76">
        <f>AG409*Entradas!$F$99</f>
        <v>0</v>
      </c>
      <c r="AI409" s="76">
        <f>IF(Entradas!$F$91&gt;0,D409*Entradas!$D$23/Escenarios!$F$16,0)</f>
        <v>0.2235873281442004</v>
      </c>
      <c r="AJ409" s="76">
        <f>IF(Entradas!$F$91&gt;0,Entradas!$D$24*Entradas!$D$22/Escenarios!$F$16,0)</f>
        <v>0.12</v>
      </c>
      <c r="AK409" s="76">
        <f t="shared" si="86"/>
        <v>3.0584529642624769</v>
      </c>
      <c r="AL409" s="76">
        <f t="shared" si="87"/>
        <v>0</v>
      </c>
      <c r="AM409" s="76">
        <f t="shared" si="88"/>
        <v>6.698661448800225E-2</v>
      </c>
      <c r="AN409" s="76">
        <f>MAX(0,O409*Escenarios!$F$13/Escenarios!$F$16-AM409)</f>
        <v>0.5516806670492449</v>
      </c>
      <c r="AO409" s="76">
        <f>AM409+AN409-O409*Escenarios!$F$13/Escenarios!$F$16</f>
        <v>0</v>
      </c>
      <c r="AP409" s="76">
        <f t="shared" si="89"/>
        <v>0.4851193329507551</v>
      </c>
      <c r="AQ409" s="76">
        <f t="shared" si="90"/>
        <v>0</v>
      </c>
      <c r="AR409" s="76">
        <f t="shared" si="91"/>
        <v>1.0367999999999999</v>
      </c>
      <c r="AS409" s="76">
        <f t="shared" si="92"/>
        <v>0</v>
      </c>
      <c r="AT409" s="76">
        <f t="shared" si="93"/>
        <v>0</v>
      </c>
      <c r="AU409" s="76">
        <f t="shared" si="94"/>
        <v>49.546258474064452</v>
      </c>
      <c r="AV409" s="76">
        <f>MAX(0,(AU409-Constantes!$D$13)*(1-EXP(-Constantes!$D$24)))</f>
        <v>1.217100750412793E-2</v>
      </c>
      <c r="AW409" s="170">
        <f>AW408+(Entradas!$F$112*AT409-AX408)/(800*Entradas!$D$25)</f>
        <v>0</v>
      </c>
      <c r="AX409" s="170">
        <f>8000*Entradas!$D$26*AW409/Constantes!$F$45</f>
        <v>0</v>
      </c>
      <c r="AY409" s="170">
        <f>IF(Escenarios!$F$17&gt;0,10*Escenarios!$F$16*AL409,0)</f>
        <v>0</v>
      </c>
      <c r="AZ409" s="170">
        <f>IF(Escenarios!$F$17&gt;0,10*Escenarios!$F$16*AX409,0)</f>
        <v>0</v>
      </c>
      <c r="BA409" s="170">
        <f>IF(Escenarios!$F$17&gt;0,0.001*Observaciones!$F408*Escenarios!$F$17,0)</f>
        <v>0</v>
      </c>
      <c r="BB409" s="170">
        <f>IF(Escenarios!$F$17&gt;0,Observaciones!$K408,0)</f>
        <v>0</v>
      </c>
      <c r="BC409" s="170">
        <f>IF(Escenarios!$F$17&gt;0,MIN(0.0005*ETo!$M408*Escenarios!$F$17*(BG408/Constantes!$F$40)^(2/3),BG408+AY409+AZ409+BA409+BB409),0)</f>
        <v>0</v>
      </c>
      <c r="BD409" s="170">
        <f>IF(Escenarios!$F$17&gt;0,MIN(Constantes!$F$39*(BG408/Constantes!$F$40)^(2/3),BG408+AY409+AZ409+BA409+BB409-BC409),0)</f>
        <v>0</v>
      </c>
      <c r="BE409" s="170">
        <f>IF(Escenarios!$F$17&gt;0,MIN(Entradas!$F$113,BG408+AY409+AZ409+BA409+BB409-BC409-BD409),0)</f>
        <v>0</v>
      </c>
      <c r="BF409" s="170">
        <f>IF(Escenarios!$F$17&gt;0,MAX(0,BG408+AY409+AZ409+BA409+BB409-BC409-BD409-BE409-Constantes!$F$40),0)</f>
        <v>0</v>
      </c>
      <c r="BG409" s="170">
        <f t="shared" si="95"/>
        <v>0</v>
      </c>
      <c r="BH409" s="170">
        <f>(Escenarios!$F$16*AK409+0.1*BC409)/(Escenarios!$F$19)</f>
        <v>3.0584529642624769</v>
      </c>
      <c r="BI409" s="170">
        <f>IF(Escenarios!$F$17&gt;0,BF409/10/Escenarios!$F$19,AL409)</f>
        <v>0</v>
      </c>
      <c r="BJ409" s="170">
        <f>(Escenarios!$F$16*AT409+0.1*BD409)/(Escenarios!$F$19)</f>
        <v>0</v>
      </c>
      <c r="BK409" s="76">
        <f>BK408+(0.1*BD409)/(Escenarios!$F$19)-BL408</f>
        <v>48.75</v>
      </c>
      <c r="BL409" s="76">
        <f>MAX(0,(BK409-Constantes!$D$13)*(1-EXP(-Constantes!$D$23)))</f>
        <v>0</v>
      </c>
      <c r="BM409" s="76">
        <f t="shared" si="96"/>
        <v>0.49729034045488302</v>
      </c>
      <c r="BN409" s="76">
        <f t="shared" si="97"/>
        <v>1.0489710075041279</v>
      </c>
      <c r="BO409" s="76">
        <f>0.0526*BI409*Observaciones!$F408^1.218</f>
        <v>0</v>
      </c>
      <c r="BP409" s="76">
        <f>BO409*Constantes!$F$51</f>
        <v>0</v>
      </c>
      <c r="BQ409" s="76">
        <f t="shared" si="98"/>
        <v>0</v>
      </c>
      <c r="BR409" s="40"/>
    </row>
    <row r="410" spans="2:70">
      <c r="B410" s="39"/>
      <c r="C410" s="75">
        <v>404</v>
      </c>
      <c r="D410" s="146">
        <f>ETo!$I409*((1-Constantes!$F$19)*ETo!$K409+ETo!$L409)</f>
        <v>4.700853857553863</v>
      </c>
      <c r="E410" s="76">
        <f>MIN(D410*Constantes!$F$17,0.8*(N409+Observaciones!$F409-F410-M410-Constantes!$D$14))</f>
        <v>2.6809522257648069</v>
      </c>
      <c r="F410" s="76">
        <f>IF(Observaciones!$F409&gt;0.05*Constantes!$F$18,((Observaciones!$F409-0.05*Constantes!$F$18)^2)/(Observaciones!$F409+0.95*Constantes!$F$18),0)</f>
        <v>0</v>
      </c>
      <c r="G410" s="76">
        <f>IF(Escenarios!$F$11&gt;0,(F410*Escenarios!$F$16*10000)/1000,0)</f>
        <v>0</v>
      </c>
      <c r="H410" s="76">
        <f>IF(Escenarios!$F$11&gt;0,(Observaciones!$F409*Constantes!$F$29)/1000,0)</f>
        <v>0</v>
      </c>
      <c r="I410" s="76">
        <f>IF(Escenarios!$F$11&gt;0,(D410*Constantes!$F$29)/1000,0)</f>
        <v>0</v>
      </c>
      <c r="J410" s="76">
        <f>IF(Escenarios!$F$11&gt;0,MAX(0,G410+H410-I410),0)</f>
        <v>0</v>
      </c>
      <c r="K410" s="76">
        <f>IF(Escenarios!$F$11&gt;0,IF(J410&gt;Constantes!$F$30,1000*((J410-Constantes!$F$30)/(Escenarios!$F$16*10000)),0),F410)</f>
        <v>0</v>
      </c>
      <c r="L410" s="76">
        <f>IF(Escenarios!$F$11&gt;0,I410*1000/Escenarios!$F$16/10000+E410,E410)</f>
        <v>2.6809522257648069</v>
      </c>
      <c r="M410" s="76">
        <f>MAX(0,N409+Observaciones!$F409-K410-Constantes!$D$13)</f>
        <v>0</v>
      </c>
      <c r="N410" s="76">
        <f>N409+Observaciones!$F409-K410-L410-M410-O409</f>
        <v>28.504749462097148</v>
      </c>
      <c r="O410" s="76">
        <f>MAX(0,(N410-Constantes!$D$14)*(1-EXP(-Constantes!$D$22)))</f>
        <v>0.58776011016107454</v>
      </c>
      <c r="P410" s="170">
        <f>P409+(Entradas!$F$83*M410-Q409)/(800*Entradas!$D$25)</f>
        <v>0</v>
      </c>
      <c r="Q410" s="170">
        <f>8000*Entradas!$D$26*P410/Constantes!$F$45</f>
        <v>0</v>
      </c>
      <c r="R410" s="170">
        <f>IF(Escenarios!$F$14&gt;0,K410*Escenarios!$F$13/Escenarios!$F$14,0)</f>
        <v>0</v>
      </c>
      <c r="S410" s="170">
        <f>IF(Escenarios!$F$14&gt;0,Q410*Escenarios!$F$13/Escenarios!$F$14,0)</f>
        <v>0</v>
      </c>
      <c r="T410" s="170">
        <f>IF(Escenarios!$F$14&gt;0,Observaciones!$I409,0)</f>
        <v>0</v>
      </c>
      <c r="U410" s="170">
        <f>IF(Escenarios!$F$14&gt;0,MAX(0,Constantes!$F$36/((Z409+R410+S410+T410+Observaciones!$F409)^2)+Entradas!$F$77),0)</f>
        <v>0</v>
      </c>
      <c r="V410" s="146">
        <f>IF(ETo!D409&gt;0,ETo!I409*((1-Entradas!$F$81)*ETo!K409+ETo!L409),0)</f>
        <v>4.1813454148836957</v>
      </c>
      <c r="W410" s="170">
        <f>IF(Escenarios!$F$14&gt;0,MIN(V410*1,0.8*(Z409+R410+S410+T410+Observaciones!$F409-U410-Constantes!$F$35)),0)</f>
        <v>4.1813454148836957</v>
      </c>
      <c r="X410" s="170">
        <f>IF(Escenarios!$F$14&gt;0,Observaciones!$J409,0)</f>
        <v>0</v>
      </c>
      <c r="Y410" s="170">
        <f>IF(Escenarios!$F$14&gt;0,MAX(0,Z409+R410+S410+T410+Observaciones!$F409-U410-W410-X410-Constantes!$F$33),0)</f>
        <v>0</v>
      </c>
      <c r="Z410" s="170">
        <f>Z409+R410+S410+T410+Observaciones!$F409-U410-W410-Y410</f>
        <v>48.43358143524248</v>
      </c>
      <c r="AA410" s="170">
        <f>IF(Escenarios!$F$14&gt;0,(Escenarios!$F$13*L410+Escenarios!$F$14*W410)/(Escenarios!$F$16),L410)</f>
        <v>2.8609994084590733</v>
      </c>
      <c r="AB410" s="170">
        <f>IF(Escenarios!$F$14&gt;0,(Escenarios!$F$14*Y410)/(Escenarios!$F$16),K410)</f>
        <v>0</v>
      </c>
      <c r="AC410" s="170">
        <f>IF(Escenarios!$F$14&gt;0,(Escenarios!$F$13*M410+Escenarios!$F$14*U410)/(Escenarios!$F$16),M410)</f>
        <v>0</v>
      </c>
      <c r="AD410" s="76">
        <f t="shared" si="85"/>
        <v>97.499388553439601</v>
      </c>
      <c r="AE410" s="76">
        <f>MAX(0,(AD410-Constantes!$D$13)*(1-EXP(-Constantes!$D$23)))</f>
        <v>0.48033933661676831</v>
      </c>
      <c r="AF410" s="76">
        <f>AB410+O410*Escenarios!$F$13/Escenarios!$F$16+AE410</f>
        <v>0.99756823355851387</v>
      </c>
      <c r="AG410" s="76">
        <f>IF(Entradas!$F$91&gt;0,IF(AF410-Escenarios!$F$38&lt;=0,0,IF(AF410-Escenarios!$F$38&gt;Escenarios!$F$37,Escenarios!$F$37,AF410-Escenarios!$F$38)),0)</f>
        <v>0</v>
      </c>
      <c r="AH410" s="76">
        <f>AG410*Entradas!$F$99</f>
        <v>0</v>
      </c>
      <c r="AI410" s="76">
        <f>IF(Entradas!$F$91&gt;0,D410*Entradas!$D$23/Escenarios!$F$16,0)</f>
        <v>0.22564098516258543</v>
      </c>
      <c r="AJ410" s="76">
        <f>IF(Entradas!$F$91&gt;0,Entradas!$D$24*Entradas!$D$22/Escenarios!$F$16,0)</f>
        <v>0.12</v>
      </c>
      <c r="AK410" s="76">
        <f t="shared" si="86"/>
        <v>3.0866403936216589</v>
      </c>
      <c r="AL410" s="76">
        <f t="shared" si="87"/>
        <v>0</v>
      </c>
      <c r="AM410" s="76">
        <f t="shared" si="88"/>
        <v>0</v>
      </c>
      <c r="AN410" s="76">
        <f>MAX(0,O410*Escenarios!$F$13/Escenarios!$F$16-AM410)</f>
        <v>0.51722889694174556</v>
      </c>
      <c r="AO410" s="76">
        <f>AM410+AN410-O410*Escenarios!$F$13/Escenarios!$F$16</f>
        <v>0</v>
      </c>
      <c r="AP410" s="76">
        <f t="shared" si="89"/>
        <v>0.48033933661676831</v>
      </c>
      <c r="AQ410" s="76">
        <f t="shared" si="90"/>
        <v>0</v>
      </c>
      <c r="AR410" s="76">
        <f t="shared" si="91"/>
        <v>0.99756823355851387</v>
      </c>
      <c r="AS410" s="76">
        <f t="shared" si="92"/>
        <v>0</v>
      </c>
      <c r="AT410" s="76">
        <f t="shared" si="93"/>
        <v>0</v>
      </c>
      <c r="AU410" s="76">
        <f t="shared" si="94"/>
        <v>49.534087466560322</v>
      </c>
      <c r="AV410" s="76">
        <f>MAX(0,(AU410-Constantes!$D$13)*(1-EXP(-Constantes!$D$24)))</f>
        <v>1.1984970647390422E-2</v>
      </c>
      <c r="AW410" s="170">
        <f>AW409+(Entradas!$F$112*AT410-AX409)/(800*Entradas!$D$25)</f>
        <v>0</v>
      </c>
      <c r="AX410" s="170">
        <f>8000*Entradas!$D$26*AW410/Constantes!$F$45</f>
        <v>0</v>
      </c>
      <c r="AY410" s="170">
        <f>IF(Escenarios!$F$17&gt;0,10*Escenarios!$F$16*AL410,0)</f>
        <v>0</v>
      </c>
      <c r="AZ410" s="170">
        <f>IF(Escenarios!$F$17&gt;0,10*Escenarios!$F$16*AX410,0)</f>
        <v>0</v>
      </c>
      <c r="BA410" s="170">
        <f>IF(Escenarios!$F$17&gt;0,0.001*Observaciones!$F409*Escenarios!$F$17,0)</f>
        <v>0</v>
      </c>
      <c r="BB410" s="170">
        <f>IF(Escenarios!$F$17&gt;0,Observaciones!$K409,0)</f>
        <v>0</v>
      </c>
      <c r="BC410" s="170">
        <f>IF(Escenarios!$F$17&gt;0,MIN(0.0005*ETo!$M409*Escenarios!$F$17*(BG409/Constantes!$F$40)^(2/3),BG409+AY410+AZ410+BA410+BB410),0)</f>
        <v>0</v>
      </c>
      <c r="BD410" s="170">
        <f>IF(Escenarios!$F$17&gt;0,MIN(Constantes!$F$39*(BG409/Constantes!$F$40)^(2/3),BG409+AY410+AZ410+BA410+BB410-BC410),0)</f>
        <v>0</v>
      </c>
      <c r="BE410" s="170">
        <f>IF(Escenarios!$F$17&gt;0,MIN(Entradas!$F$113,BG409+AY410+AZ410+BA410+BB410-BC410-BD410),0)</f>
        <v>0</v>
      </c>
      <c r="BF410" s="170">
        <f>IF(Escenarios!$F$17&gt;0,MAX(0,BG409+AY410+AZ410+BA410+BB410-BC410-BD410-BE410-Constantes!$F$40),0)</f>
        <v>0</v>
      </c>
      <c r="BG410" s="170">
        <f t="shared" si="95"/>
        <v>0</v>
      </c>
      <c r="BH410" s="170">
        <f>(Escenarios!$F$16*AK410+0.1*BC410)/(Escenarios!$F$19)</f>
        <v>3.0866403936216589</v>
      </c>
      <c r="BI410" s="170">
        <f>IF(Escenarios!$F$17&gt;0,BF410/10/Escenarios!$F$19,AL410)</f>
        <v>0</v>
      </c>
      <c r="BJ410" s="170">
        <f>(Escenarios!$F$16*AT410+0.1*BD410)/(Escenarios!$F$19)</f>
        <v>0</v>
      </c>
      <c r="BK410" s="76">
        <f>BK409+(0.1*BD410)/(Escenarios!$F$19)-BL409</f>
        <v>48.75</v>
      </c>
      <c r="BL410" s="76">
        <f>MAX(0,(BK410-Constantes!$D$13)*(1-EXP(-Constantes!$D$23)))</f>
        <v>0</v>
      </c>
      <c r="BM410" s="76">
        <f t="shared" si="96"/>
        <v>0.49232430726415871</v>
      </c>
      <c r="BN410" s="76">
        <f t="shared" si="97"/>
        <v>1.0095532042059043</v>
      </c>
      <c r="BO410" s="76">
        <f>0.0526*BI410*Observaciones!$F409^1.218</f>
        <v>0</v>
      </c>
      <c r="BP410" s="76">
        <f>BO410*Constantes!$F$51</f>
        <v>0</v>
      </c>
      <c r="BQ410" s="76">
        <f t="shared" si="98"/>
        <v>0</v>
      </c>
      <c r="BR410" s="40"/>
    </row>
    <row r="411" spans="2:70">
      <c r="B411" s="39"/>
      <c r="C411" s="75">
        <v>405</v>
      </c>
      <c r="D411" s="146">
        <f>ETo!$I410*((1-Constantes!$F$19)*ETo!$K410+ETo!$L410)</f>
        <v>4.4297711716669612</v>
      </c>
      <c r="E411" s="76">
        <f>MIN(D411*Constantes!$F$17,0.8*(N410+Observaciones!$F410-F411-M411-Constantes!$D$14))</f>
        <v>2.5263505827192669</v>
      </c>
      <c r="F411" s="76">
        <f>IF(Observaciones!$F410&gt;0.05*Constantes!$F$18,((Observaciones!$F410-0.05*Constantes!$F$18)^2)/(Observaciones!$F410+0.95*Constantes!$F$18),0)</f>
        <v>0</v>
      </c>
      <c r="G411" s="76">
        <f>IF(Escenarios!$F$11&gt;0,(F411*Escenarios!$F$16*10000)/1000,0)</f>
        <v>0</v>
      </c>
      <c r="H411" s="76">
        <f>IF(Escenarios!$F$11&gt;0,(Observaciones!$F410*Constantes!$F$29)/1000,0)</f>
        <v>0</v>
      </c>
      <c r="I411" s="76">
        <f>IF(Escenarios!$F$11&gt;0,(D411*Constantes!$F$29)/1000,0)</f>
        <v>0</v>
      </c>
      <c r="J411" s="76">
        <f>IF(Escenarios!$F$11&gt;0,MAX(0,G411+H411-I411),0)</f>
        <v>0</v>
      </c>
      <c r="K411" s="76">
        <f>IF(Escenarios!$F$11&gt;0,IF(J411&gt;Constantes!$F$30,1000*((J411-Constantes!$F$30)/(Escenarios!$F$16*10000)),0),F411)</f>
        <v>0</v>
      </c>
      <c r="L411" s="76">
        <f>IF(Escenarios!$F$11&gt;0,I411*1000/Escenarios!$F$16/10000+E411,E411)</f>
        <v>2.5263505827192669</v>
      </c>
      <c r="M411" s="76">
        <f>MAX(0,N410+Observaciones!$F410-K411-Constantes!$D$13)</f>
        <v>0</v>
      </c>
      <c r="N411" s="76">
        <f>N410+Observaciones!$F410-K411-L411-M411-O410</f>
        <v>27.390638769216807</v>
      </c>
      <c r="O411" s="76">
        <f>MAX(0,(N411-Constantes!$D$14)*(1-EXP(-Constantes!$D$22)))</f>
        <v>0.54980940997748629</v>
      </c>
      <c r="P411" s="170">
        <f>P410+(Entradas!$F$83*M411-Q410)/(800*Entradas!$D$25)</f>
        <v>0</v>
      </c>
      <c r="Q411" s="170">
        <f>8000*Entradas!$D$26*P411/Constantes!$F$45</f>
        <v>0</v>
      </c>
      <c r="R411" s="170">
        <f>IF(Escenarios!$F$14&gt;0,K411*Escenarios!$F$13/Escenarios!$F$14,0)</f>
        <v>0</v>
      </c>
      <c r="S411" s="170">
        <f>IF(Escenarios!$F$14&gt;0,Q411*Escenarios!$F$13/Escenarios!$F$14,0)</f>
        <v>0</v>
      </c>
      <c r="T411" s="170">
        <f>IF(Escenarios!$F$14&gt;0,Observaciones!$I410,0)</f>
        <v>0</v>
      </c>
      <c r="U411" s="170">
        <f>IF(Escenarios!$F$14&gt;0,MAX(0,Constantes!$F$36/((Z410+R411+S411+T411+Observaciones!$F410)^2)+Entradas!$F$77),0)</f>
        <v>0</v>
      </c>
      <c r="V411" s="146">
        <f>IF(ETo!D410&gt;0,ETo!I410*((1-Entradas!$F$81)*ETo!K410+ETo!L410),0)</f>
        <v>3.9358614916414423</v>
      </c>
      <c r="W411" s="170">
        <f>IF(Escenarios!$F$14&gt;0,MIN(V411*1,0.8*(Z410+R411+S411+T411+Observaciones!$F410-U411-Constantes!$F$35)),0)</f>
        <v>3.9358614916414423</v>
      </c>
      <c r="X411" s="170">
        <f>IF(Escenarios!$F$14&gt;0,Observaciones!$J410,0)</f>
        <v>0</v>
      </c>
      <c r="Y411" s="170">
        <f>IF(Escenarios!$F$14&gt;0,MAX(0,Z410+R411+S411+T411+Observaciones!$F410-U411-W411-X411-Constantes!$F$33),0)</f>
        <v>0</v>
      </c>
      <c r="Z411" s="170">
        <f>Z410+R411+S411+T411+Observaciones!$F410-U411-W411-Y411</f>
        <v>46.497719943601041</v>
      </c>
      <c r="AA411" s="170">
        <f>IF(Escenarios!$F$14&gt;0,(Escenarios!$F$13*L411+Escenarios!$F$14*W411)/(Escenarios!$F$16),L411)</f>
        <v>2.6954918917899282</v>
      </c>
      <c r="AB411" s="170">
        <f>IF(Escenarios!$F$14&gt;0,(Escenarios!$F$14*Y411)/(Escenarios!$F$16),K411)</f>
        <v>0</v>
      </c>
      <c r="AC411" s="170">
        <f>IF(Escenarios!$F$14&gt;0,(Escenarios!$F$13*M411+Escenarios!$F$14*U411)/(Escenarios!$F$16),M411)</f>
        <v>0</v>
      </c>
      <c r="AD411" s="76">
        <f t="shared" si="85"/>
        <v>97.019049216822836</v>
      </c>
      <c r="AE411" s="76">
        <f>MAX(0,(AD411-Constantes!$D$13)*(1-EXP(-Constantes!$D$23)))</f>
        <v>0.47560643872516684</v>
      </c>
      <c r="AF411" s="76">
        <f>AB411+O411*Escenarios!$F$13/Escenarios!$F$16+AE411</f>
        <v>0.95943871950535475</v>
      </c>
      <c r="AG411" s="76">
        <f>IF(Entradas!$F$91&gt;0,IF(AF411-Escenarios!$F$38&lt;=0,0,IF(AF411-Escenarios!$F$38&gt;Escenarios!$F$37,Escenarios!$F$37,AF411-Escenarios!$F$38)),0)</f>
        <v>0</v>
      </c>
      <c r="AH411" s="76">
        <f>AG411*Entradas!$F$99</f>
        <v>0</v>
      </c>
      <c r="AI411" s="76">
        <f>IF(Entradas!$F$91&gt;0,D411*Entradas!$D$23/Escenarios!$F$16,0)</f>
        <v>0.21262901624001415</v>
      </c>
      <c r="AJ411" s="76">
        <f>IF(Entradas!$F$91&gt;0,Entradas!$D$24*Entradas!$D$22/Escenarios!$F$16,0)</f>
        <v>0.12</v>
      </c>
      <c r="AK411" s="76">
        <f t="shared" si="86"/>
        <v>2.9081209080299422</v>
      </c>
      <c r="AL411" s="76">
        <f t="shared" si="87"/>
        <v>0</v>
      </c>
      <c r="AM411" s="76">
        <f t="shared" si="88"/>
        <v>0</v>
      </c>
      <c r="AN411" s="76">
        <f>MAX(0,O411*Escenarios!$F$13/Escenarios!$F$16-AM411)</f>
        <v>0.48383228078018792</v>
      </c>
      <c r="AO411" s="76">
        <f>AM411+AN411-O411*Escenarios!$F$13/Escenarios!$F$16</f>
        <v>0</v>
      </c>
      <c r="AP411" s="76">
        <f t="shared" si="89"/>
        <v>0.47560643872516684</v>
      </c>
      <c r="AQ411" s="76">
        <f t="shared" si="90"/>
        <v>0</v>
      </c>
      <c r="AR411" s="76">
        <f t="shared" si="91"/>
        <v>0.95943871950535475</v>
      </c>
      <c r="AS411" s="76">
        <f t="shared" si="92"/>
        <v>0</v>
      </c>
      <c r="AT411" s="76">
        <f t="shared" si="93"/>
        <v>0</v>
      </c>
      <c r="AU411" s="76">
        <f t="shared" si="94"/>
        <v>49.522102495912932</v>
      </c>
      <c r="AV411" s="76">
        <f>MAX(0,(AU411-Constantes!$D$13)*(1-EXP(-Constantes!$D$24)))</f>
        <v>1.1801777409971476E-2</v>
      </c>
      <c r="AW411" s="170">
        <f>AW410+(Entradas!$F$112*AT411-AX410)/(800*Entradas!$D$25)</f>
        <v>0</v>
      </c>
      <c r="AX411" s="170">
        <f>8000*Entradas!$D$26*AW411/Constantes!$F$45</f>
        <v>0</v>
      </c>
      <c r="AY411" s="170">
        <f>IF(Escenarios!$F$17&gt;0,10*Escenarios!$F$16*AL411,0)</f>
        <v>0</v>
      </c>
      <c r="AZ411" s="170">
        <f>IF(Escenarios!$F$17&gt;0,10*Escenarios!$F$16*AX411,0)</f>
        <v>0</v>
      </c>
      <c r="BA411" s="170">
        <f>IF(Escenarios!$F$17&gt;0,0.001*Observaciones!$F410*Escenarios!$F$17,0)</f>
        <v>0</v>
      </c>
      <c r="BB411" s="170">
        <f>IF(Escenarios!$F$17&gt;0,Observaciones!$K410,0)</f>
        <v>0</v>
      </c>
      <c r="BC411" s="170">
        <f>IF(Escenarios!$F$17&gt;0,MIN(0.0005*ETo!$M410*Escenarios!$F$17*(BG410/Constantes!$F$40)^(2/3),BG410+AY411+AZ411+BA411+BB411),0)</f>
        <v>0</v>
      </c>
      <c r="BD411" s="170">
        <f>IF(Escenarios!$F$17&gt;0,MIN(Constantes!$F$39*(BG410/Constantes!$F$40)^(2/3),BG410+AY411+AZ411+BA411+BB411-BC411),0)</f>
        <v>0</v>
      </c>
      <c r="BE411" s="170">
        <f>IF(Escenarios!$F$17&gt;0,MIN(Entradas!$F$113,BG410+AY411+AZ411+BA411+BB411-BC411-BD411),0)</f>
        <v>0</v>
      </c>
      <c r="BF411" s="170">
        <f>IF(Escenarios!$F$17&gt;0,MAX(0,BG410+AY411+AZ411+BA411+BB411-BC411-BD411-BE411-Constantes!$F$40),0)</f>
        <v>0</v>
      </c>
      <c r="BG411" s="170">
        <f t="shared" si="95"/>
        <v>0</v>
      </c>
      <c r="BH411" s="170">
        <f>(Escenarios!$F$16*AK411+0.1*BC411)/(Escenarios!$F$19)</f>
        <v>2.9081209080299422</v>
      </c>
      <c r="BI411" s="170">
        <f>IF(Escenarios!$F$17&gt;0,BF411/10/Escenarios!$F$19,AL411)</f>
        <v>0</v>
      </c>
      <c r="BJ411" s="170">
        <f>(Escenarios!$F$16*AT411+0.1*BD411)/(Escenarios!$F$19)</f>
        <v>0</v>
      </c>
      <c r="BK411" s="76">
        <f>BK410+(0.1*BD411)/(Escenarios!$F$19)-BL410</f>
        <v>48.75</v>
      </c>
      <c r="BL411" s="76">
        <f>MAX(0,(BK411-Constantes!$D$13)*(1-EXP(-Constantes!$D$23)))</f>
        <v>0</v>
      </c>
      <c r="BM411" s="76">
        <f t="shared" si="96"/>
        <v>0.48740821613513829</v>
      </c>
      <c r="BN411" s="76">
        <f t="shared" si="97"/>
        <v>0.97124049691532621</v>
      </c>
      <c r="BO411" s="76">
        <f>0.0526*BI411*Observaciones!$F410^1.218</f>
        <v>0</v>
      </c>
      <c r="BP411" s="76">
        <f>BO411*Constantes!$F$51</f>
        <v>0</v>
      </c>
      <c r="BQ411" s="76">
        <f t="shared" si="98"/>
        <v>0</v>
      </c>
      <c r="BR411" s="40"/>
    </row>
    <row r="412" spans="2:70">
      <c r="B412" s="39"/>
      <c r="C412" s="75">
        <v>406</v>
      </c>
      <c r="D412" s="146">
        <f>ETo!$I411*((1-Constantes!$F$19)*ETo!$K411+ETo!$L411)</f>
        <v>4.513764286815694</v>
      </c>
      <c r="E412" s="76">
        <f>MIN(D412*Constantes!$F$17,0.8*(N411+Observaciones!$F411-F412-M412-Constantes!$D$14))</f>
        <v>2.5742528438467995</v>
      </c>
      <c r="F412" s="76">
        <f>IF(Observaciones!$F411&gt;0.05*Constantes!$F$18,((Observaciones!$F411-0.05*Constantes!$F$18)^2)/(Observaciones!$F411+0.95*Constantes!$F$18),0)</f>
        <v>0.50857706400179847</v>
      </c>
      <c r="G412" s="76">
        <f>IF(Escenarios!$F$11&gt;0,(F412*Escenarios!$F$16*10000)/1000,0)</f>
        <v>0</v>
      </c>
      <c r="H412" s="76">
        <f>IF(Escenarios!$F$11&gt;0,(Observaciones!$F411*Constantes!$F$29)/1000,0)</f>
        <v>0</v>
      </c>
      <c r="I412" s="76">
        <f>IF(Escenarios!$F$11&gt;0,(D412*Constantes!$F$29)/1000,0)</f>
        <v>0</v>
      </c>
      <c r="J412" s="76">
        <f>IF(Escenarios!$F$11&gt;0,MAX(0,G412+H412-I412),0)</f>
        <v>0</v>
      </c>
      <c r="K412" s="76">
        <f>IF(Escenarios!$F$11&gt;0,IF(J412&gt;Constantes!$F$30,1000*((J412-Constantes!$F$30)/(Escenarios!$F$16*10000)),0),F412)</f>
        <v>0.50857706400179847</v>
      </c>
      <c r="L412" s="76">
        <f>IF(Escenarios!$F$11&gt;0,I412*1000/Escenarios!$F$16/10000+E412,E412)</f>
        <v>2.5742528438467995</v>
      </c>
      <c r="M412" s="76">
        <f>MAX(0,N411+Observaciones!$F411-K412-Constantes!$D$13)</f>
        <v>0</v>
      </c>
      <c r="N412" s="76">
        <f>N411+Observaciones!$F411-K412-L412-M412-O411</f>
        <v>45.557999451390721</v>
      </c>
      <c r="O412" s="76">
        <f>MAX(0,(N412-Constantes!$D$14)*(1-EXP(-Constantes!$D$22)))</f>
        <v>1.1686564085587512</v>
      </c>
      <c r="P412" s="170">
        <f>P411+(Entradas!$F$83*M412-Q411)/(800*Entradas!$D$25)</f>
        <v>0</v>
      </c>
      <c r="Q412" s="170">
        <f>8000*Entradas!$D$26*P412/Constantes!$F$45</f>
        <v>0</v>
      </c>
      <c r="R412" s="170">
        <f>IF(Escenarios!$F$14&gt;0,K412*Escenarios!$F$13/Escenarios!$F$14,0)</f>
        <v>3.7295651360131887</v>
      </c>
      <c r="S412" s="170">
        <f>IF(Escenarios!$F$14&gt;0,Q412*Escenarios!$F$13/Escenarios!$F$14,0)</f>
        <v>0</v>
      </c>
      <c r="T412" s="170">
        <f>IF(Escenarios!$F$14&gt;0,Observaciones!$I411,0)</f>
        <v>0</v>
      </c>
      <c r="U412" s="170">
        <f>IF(Escenarios!$F$14&gt;0,MAX(0,Constantes!$F$36/((Z411+R412+S412+T412+Observaciones!$F411)^2)+Entradas!$F$77),0)</f>
        <v>1.0210314318373055</v>
      </c>
      <c r="V412" s="146">
        <f>IF(ETo!D411&gt;0,ETo!I411*((1-Entradas!$F$81)*ETo!K411+ETo!L411),0)</f>
        <v>4.0116440526006034</v>
      </c>
      <c r="W412" s="170">
        <f>IF(Escenarios!$F$14&gt;0,MIN(V412*1,0.8*(Z411+R412+S412+T412+Observaciones!$F411-U412-Constantes!$F$35)),0)</f>
        <v>4.0116440526006034</v>
      </c>
      <c r="X412" s="170">
        <f>IF(Escenarios!$F$14&gt;0,Observaciones!$J411,0)</f>
        <v>0</v>
      </c>
      <c r="Y412" s="170">
        <f>IF(Escenarios!$F$14&gt;0,MAX(0,Z411+R412+S412+T412+Observaciones!$F411-U412-W412-X412-Constantes!$F$33),0)</f>
        <v>0</v>
      </c>
      <c r="Z412" s="170">
        <f>Z411+R412+S412+T412+Observaciones!$F411-U412-W412-Y412</f>
        <v>66.994609595176328</v>
      </c>
      <c r="AA412" s="170">
        <f>IF(Escenarios!$F$14&gt;0,(Escenarios!$F$13*L412+Escenarios!$F$14*W412)/(Escenarios!$F$16),L412)</f>
        <v>2.7467397888972558</v>
      </c>
      <c r="AB412" s="170">
        <f>IF(Escenarios!$F$14&gt;0,(Escenarios!$F$14*Y412)/(Escenarios!$F$16),K412)</f>
        <v>0</v>
      </c>
      <c r="AC412" s="170">
        <f>IF(Escenarios!$F$14&gt;0,(Escenarios!$F$13*M412+Escenarios!$F$14*U412)/(Escenarios!$F$16),M412)</f>
        <v>0.12252377182047665</v>
      </c>
      <c r="AD412" s="76">
        <f t="shared" si="85"/>
        <v>96.665966549918153</v>
      </c>
      <c r="AE412" s="76">
        <f>MAX(0,(AD412-Constantes!$D$13)*(1-EXP(-Constantes!$D$23)))</f>
        <v>0.47212743111041577</v>
      </c>
      <c r="AF412" s="76">
        <f>AB412+O412*Escenarios!$F$13/Escenarios!$F$16+AE412</f>
        <v>1.5005450706421168</v>
      </c>
      <c r="AG412" s="76">
        <f>IF(Entradas!$F$91&gt;0,IF(AF412-Escenarios!$F$38&lt;=0,0,IF(AF412-Escenarios!$F$38&gt;Escenarios!$F$37,Escenarios!$F$37,AF412-Escenarios!$F$38)),0)</f>
        <v>0.4637450706421169</v>
      </c>
      <c r="AH412" s="76">
        <f>AG412*Entradas!$F$99</f>
        <v>0</v>
      </c>
      <c r="AI412" s="76">
        <f>IF(Entradas!$F$91&gt;0,D412*Entradas!$D$23/Escenarios!$F$16,0)</f>
        <v>0.21666068576715333</v>
      </c>
      <c r="AJ412" s="76">
        <f>IF(Entradas!$F$91&gt;0,Entradas!$D$24*Entradas!$D$22/Escenarios!$F$16,0)</f>
        <v>0.12</v>
      </c>
      <c r="AK412" s="76">
        <f t="shared" si="86"/>
        <v>2.9634004746644091</v>
      </c>
      <c r="AL412" s="76">
        <f t="shared" si="87"/>
        <v>0</v>
      </c>
      <c r="AM412" s="76">
        <f t="shared" si="88"/>
        <v>0.4637450706421169</v>
      </c>
      <c r="AN412" s="76">
        <f>MAX(0,O412*Escenarios!$F$13/Escenarios!$F$16-AM412)</f>
        <v>0.56467256888958417</v>
      </c>
      <c r="AO412" s="76">
        <f>AM412+AN412-O412*Escenarios!$F$13/Escenarios!$F$16</f>
        <v>0</v>
      </c>
      <c r="AP412" s="76">
        <f t="shared" si="89"/>
        <v>0.47212743111041577</v>
      </c>
      <c r="AQ412" s="76">
        <f t="shared" si="90"/>
        <v>0</v>
      </c>
      <c r="AR412" s="76">
        <f t="shared" si="91"/>
        <v>1.0367999999999999</v>
      </c>
      <c r="AS412" s="76">
        <f t="shared" si="92"/>
        <v>0.12708438487496357</v>
      </c>
      <c r="AT412" s="76">
        <f t="shared" si="93"/>
        <v>0.24960815669544023</v>
      </c>
      <c r="AU412" s="76">
        <f t="shared" si="94"/>
        <v>49.637385103377923</v>
      </c>
      <c r="AV412" s="76">
        <f>MAX(0,(AU412-Constantes!$D$13)*(1-EXP(-Constantes!$D$24)))</f>
        <v>1.3563900547436844E-2</v>
      </c>
      <c r="AW412" s="170">
        <f>AW411+(Entradas!$F$112*AT412-AX411)/(800*Entradas!$D$25)</f>
        <v>0</v>
      </c>
      <c r="AX412" s="170">
        <f>8000*Entradas!$D$26*AW412/Constantes!$F$45</f>
        <v>0</v>
      </c>
      <c r="AY412" s="170">
        <f>IF(Escenarios!$F$17&gt;0,10*Escenarios!$F$16*AL412,0)</f>
        <v>0</v>
      </c>
      <c r="AZ412" s="170">
        <f>IF(Escenarios!$F$17&gt;0,10*Escenarios!$F$16*AX412,0)</f>
        <v>0</v>
      </c>
      <c r="BA412" s="170">
        <f>IF(Escenarios!$F$17&gt;0,0.001*Observaciones!$F411*Escenarios!$F$17,0)</f>
        <v>0</v>
      </c>
      <c r="BB412" s="170">
        <f>IF(Escenarios!$F$17&gt;0,Observaciones!$K411,0)</f>
        <v>0</v>
      </c>
      <c r="BC412" s="170">
        <f>IF(Escenarios!$F$17&gt;0,MIN(0.0005*ETo!$M411*Escenarios!$F$17*(BG411/Constantes!$F$40)^(2/3),BG411+AY412+AZ412+BA412+BB412),0)</f>
        <v>0</v>
      </c>
      <c r="BD412" s="170">
        <f>IF(Escenarios!$F$17&gt;0,MIN(Constantes!$F$39*(BG411/Constantes!$F$40)^(2/3),BG411+AY412+AZ412+BA412+BB412-BC412),0)</f>
        <v>0</v>
      </c>
      <c r="BE412" s="170">
        <f>IF(Escenarios!$F$17&gt;0,MIN(Entradas!$F$113,BG411+AY412+AZ412+BA412+BB412-BC412-BD412),0)</f>
        <v>0</v>
      </c>
      <c r="BF412" s="170">
        <f>IF(Escenarios!$F$17&gt;0,MAX(0,BG411+AY412+AZ412+BA412+BB412-BC412-BD412-BE412-Constantes!$F$40),0)</f>
        <v>0</v>
      </c>
      <c r="BG412" s="170">
        <f t="shared" si="95"/>
        <v>0</v>
      </c>
      <c r="BH412" s="170">
        <f>(Escenarios!$F$16*AK412+0.1*BC412)/(Escenarios!$F$19)</f>
        <v>2.9634004746644091</v>
      </c>
      <c r="BI412" s="170">
        <f>IF(Escenarios!$F$17&gt;0,BF412/10/Escenarios!$F$19,AL412)</f>
        <v>0</v>
      </c>
      <c r="BJ412" s="170">
        <f>(Escenarios!$F$16*AT412+0.1*BD412)/(Escenarios!$F$19)</f>
        <v>0.24960815669544023</v>
      </c>
      <c r="BK412" s="76">
        <f>BK411+(0.1*BD412)/(Escenarios!$F$19)-BL411</f>
        <v>48.75</v>
      </c>
      <c r="BL412" s="76">
        <f>MAX(0,(BK412-Constantes!$D$13)*(1-EXP(-Constantes!$D$23)))</f>
        <v>0</v>
      </c>
      <c r="BM412" s="76">
        <f t="shared" si="96"/>
        <v>0.48569133165785261</v>
      </c>
      <c r="BN412" s="76">
        <f t="shared" si="97"/>
        <v>1.0503639005474368</v>
      </c>
      <c r="BO412" s="76">
        <f>0.0526*BI412*Observaciones!$F411^1.218</f>
        <v>0</v>
      </c>
      <c r="BP412" s="76">
        <f>BO412*Constantes!$F$51</f>
        <v>0</v>
      </c>
      <c r="BQ412" s="76">
        <f t="shared" si="98"/>
        <v>0</v>
      </c>
      <c r="BR412" s="40"/>
    </row>
    <row r="413" spans="2:70">
      <c r="B413" s="39"/>
      <c r="C413" s="75">
        <v>407</v>
      </c>
      <c r="D413" s="146">
        <f>ETo!$I412*((1-Constantes!$F$19)*ETo!$K412+ETo!$L412)</f>
        <v>4.3670138005240666</v>
      </c>
      <c r="E413" s="76">
        <f>MIN(D413*Constantes!$F$17,0.8*(N412+Observaciones!$F412-F413-M413-Constantes!$D$14))</f>
        <v>2.4905593160798394</v>
      </c>
      <c r="F413" s="76">
        <f>IF(Observaciones!$F412&gt;0.05*Constantes!$F$18,((Observaciones!$F412-0.05*Constantes!$F$18)^2)/(Observaciones!$F412+0.95*Constantes!$F$18),0)</f>
        <v>0</v>
      </c>
      <c r="G413" s="76">
        <f>IF(Escenarios!$F$11&gt;0,(F413*Escenarios!$F$16*10000)/1000,0)</f>
        <v>0</v>
      </c>
      <c r="H413" s="76">
        <f>IF(Escenarios!$F$11&gt;0,(Observaciones!$F412*Constantes!$F$29)/1000,0)</f>
        <v>0</v>
      </c>
      <c r="I413" s="76">
        <f>IF(Escenarios!$F$11&gt;0,(D413*Constantes!$F$29)/1000,0)</f>
        <v>0</v>
      </c>
      <c r="J413" s="76">
        <f>IF(Escenarios!$F$11&gt;0,MAX(0,G413+H413-I413),0)</f>
        <v>0</v>
      </c>
      <c r="K413" s="76">
        <f>IF(Escenarios!$F$11&gt;0,IF(J413&gt;Constantes!$F$30,1000*((J413-Constantes!$F$30)/(Escenarios!$F$16*10000)),0),F413)</f>
        <v>0</v>
      </c>
      <c r="L413" s="76">
        <f>IF(Escenarios!$F$11&gt;0,I413*1000/Escenarios!$F$16/10000+E413,E413)</f>
        <v>2.4905593160798394</v>
      </c>
      <c r="M413" s="76">
        <f>MAX(0,N412+Observaciones!$F412-K413-Constantes!$D$13)</f>
        <v>0</v>
      </c>
      <c r="N413" s="76">
        <f>N412+Observaciones!$F412-K413-L413-M413-O412</f>
        <v>41.898783726752129</v>
      </c>
      <c r="O413" s="76">
        <f>MAX(0,(N413-Constantes!$D$14)*(1-EXP(-Constantes!$D$22)))</f>
        <v>1.0440100877216294</v>
      </c>
      <c r="P413" s="170">
        <f>P412+(Entradas!$F$83*M413-Q412)/(800*Entradas!$D$25)</f>
        <v>0</v>
      </c>
      <c r="Q413" s="170">
        <f>8000*Entradas!$D$26*P413/Constantes!$F$45</f>
        <v>0</v>
      </c>
      <c r="R413" s="170">
        <f>IF(Escenarios!$F$14&gt;0,K413*Escenarios!$F$13/Escenarios!$F$14,0)</f>
        <v>0</v>
      </c>
      <c r="S413" s="170">
        <f>IF(Escenarios!$F$14&gt;0,Q413*Escenarios!$F$13/Escenarios!$F$14,0)</f>
        <v>0</v>
      </c>
      <c r="T413" s="170">
        <f>IF(Escenarios!$F$14&gt;0,Observaciones!$I412,0)</f>
        <v>0</v>
      </c>
      <c r="U413" s="170">
        <f>IF(Escenarios!$F$14&gt;0,MAX(0,Constantes!$F$36/((Z412+R413+S413+T413+Observaciones!$F412)^2)+Entradas!$F$77),0)</f>
        <v>0.71254127922554211</v>
      </c>
      <c r="V413" s="146">
        <f>IF(ETo!D412&gt;0,ETo!I412*((1-Entradas!$F$81)*ETo!K412+ETo!L412),0)</f>
        <v>3.8792019059073235</v>
      </c>
      <c r="W413" s="170">
        <f>IF(Escenarios!$F$14&gt;0,MIN(V413*1,0.8*(Z412+R413+S413+T413+Observaciones!$F412-U413-Constantes!$F$35)),0)</f>
        <v>3.8792019059073235</v>
      </c>
      <c r="X413" s="170">
        <f>IF(Escenarios!$F$14&gt;0,Observaciones!$J412,0)</f>
        <v>0</v>
      </c>
      <c r="Y413" s="170">
        <f>IF(Escenarios!$F$14&gt;0,MAX(0,Z412+R413+S413+T413+Observaciones!$F412-U413-W413-X413-Constantes!$F$33),0)</f>
        <v>0</v>
      </c>
      <c r="Z413" s="170">
        <f>Z412+R413+S413+T413+Observaciones!$F412-U413-W413-Y413</f>
        <v>62.402866410043458</v>
      </c>
      <c r="AA413" s="170">
        <f>IF(Escenarios!$F$14&gt;0,(Escenarios!$F$13*L413+Escenarios!$F$14*W413)/(Escenarios!$F$16),L413)</f>
        <v>2.6571964268591373</v>
      </c>
      <c r="AB413" s="170">
        <f>IF(Escenarios!$F$14&gt;0,(Escenarios!$F$14*Y413)/(Escenarios!$F$16),K413)</f>
        <v>0</v>
      </c>
      <c r="AC413" s="170">
        <f>IF(Escenarios!$F$14&gt;0,(Escenarios!$F$13*M413+Escenarios!$F$14*U413)/(Escenarios!$F$16),M413)</f>
        <v>8.5504953507065051E-2</v>
      </c>
      <c r="AD413" s="76">
        <f t="shared" si="85"/>
        <v>96.2793440723148</v>
      </c>
      <c r="AE413" s="76">
        <f>MAX(0,(AD413-Constantes!$D$13)*(1-EXP(-Constantes!$D$23)))</f>
        <v>0.46831794775229019</v>
      </c>
      <c r="AF413" s="76">
        <f>AB413+O413*Escenarios!$F$13/Escenarios!$F$16+AE413</f>
        <v>1.387046824947324</v>
      </c>
      <c r="AG413" s="76">
        <f>IF(Entradas!$F$91&gt;0,IF(AF413-Escenarios!$F$38&lt;=0,0,IF(AF413-Escenarios!$F$38&gt;Escenarios!$F$37,Escenarios!$F$37,AF413-Escenarios!$F$38)),0)</f>
        <v>0.35024682494732406</v>
      </c>
      <c r="AH413" s="76">
        <f>AG413*Entradas!$F$99</f>
        <v>0</v>
      </c>
      <c r="AI413" s="76">
        <f>IF(Entradas!$F$91&gt;0,D413*Entradas!$D$23/Escenarios!$F$16,0)</f>
        <v>0.2096166624251552</v>
      </c>
      <c r="AJ413" s="76">
        <f>IF(Entradas!$F$91&gt;0,Entradas!$D$24*Entradas!$D$22/Escenarios!$F$16,0)</f>
        <v>0.12</v>
      </c>
      <c r="AK413" s="76">
        <f t="shared" si="86"/>
        <v>2.8668130892842925</v>
      </c>
      <c r="AL413" s="76">
        <f t="shared" si="87"/>
        <v>0</v>
      </c>
      <c r="AM413" s="76">
        <f t="shared" si="88"/>
        <v>0.35024682494732406</v>
      </c>
      <c r="AN413" s="76">
        <f>MAX(0,O413*Escenarios!$F$13/Escenarios!$F$16-AM413)</f>
        <v>0.56848205224770976</v>
      </c>
      <c r="AO413" s="76">
        <f>AM413+AN413-O413*Escenarios!$F$13/Escenarios!$F$16</f>
        <v>0</v>
      </c>
      <c r="AP413" s="76">
        <f t="shared" si="89"/>
        <v>0.46831794775229019</v>
      </c>
      <c r="AQ413" s="76">
        <f t="shared" si="90"/>
        <v>0</v>
      </c>
      <c r="AR413" s="76">
        <f t="shared" si="91"/>
        <v>1.0367999999999999</v>
      </c>
      <c r="AS413" s="76">
        <f t="shared" si="92"/>
        <v>2.0630162522168871E-2</v>
      </c>
      <c r="AT413" s="76">
        <f t="shared" si="93"/>
        <v>0.10613511602923392</v>
      </c>
      <c r="AU413" s="76">
        <f t="shared" si="94"/>
        <v>49.644451365352651</v>
      </c>
      <c r="AV413" s="76">
        <f>MAX(0,(AU413-Constantes!$D$13)*(1-EXP(-Constantes!$D$24)))</f>
        <v>1.3671910107550598E-2</v>
      </c>
      <c r="AW413" s="170">
        <f>AW412+(Entradas!$F$112*AT413-AX412)/(800*Entradas!$D$25)</f>
        <v>0</v>
      </c>
      <c r="AX413" s="170">
        <f>8000*Entradas!$D$26*AW413/Constantes!$F$45</f>
        <v>0</v>
      </c>
      <c r="AY413" s="170">
        <f>IF(Escenarios!$F$17&gt;0,10*Escenarios!$F$16*AL413,0)</f>
        <v>0</v>
      </c>
      <c r="AZ413" s="170">
        <f>IF(Escenarios!$F$17&gt;0,10*Escenarios!$F$16*AX413,0)</f>
        <v>0</v>
      </c>
      <c r="BA413" s="170">
        <f>IF(Escenarios!$F$17&gt;0,0.001*Observaciones!$F412*Escenarios!$F$17,0)</f>
        <v>0</v>
      </c>
      <c r="BB413" s="170">
        <f>IF(Escenarios!$F$17&gt;0,Observaciones!$K412,0)</f>
        <v>0</v>
      </c>
      <c r="BC413" s="170">
        <f>IF(Escenarios!$F$17&gt;0,MIN(0.0005*ETo!$M412*Escenarios!$F$17*(BG412/Constantes!$F$40)^(2/3),BG412+AY413+AZ413+BA413+BB413),0)</f>
        <v>0</v>
      </c>
      <c r="BD413" s="170">
        <f>IF(Escenarios!$F$17&gt;0,MIN(Constantes!$F$39*(BG412/Constantes!$F$40)^(2/3),BG412+AY413+AZ413+BA413+BB413-BC413),0)</f>
        <v>0</v>
      </c>
      <c r="BE413" s="170">
        <f>IF(Escenarios!$F$17&gt;0,MIN(Entradas!$F$113,BG412+AY413+AZ413+BA413+BB413-BC413-BD413),0)</f>
        <v>0</v>
      </c>
      <c r="BF413" s="170">
        <f>IF(Escenarios!$F$17&gt;0,MAX(0,BG412+AY413+AZ413+BA413+BB413-BC413-BD413-BE413-Constantes!$F$40),0)</f>
        <v>0</v>
      </c>
      <c r="BG413" s="170">
        <f t="shared" si="95"/>
        <v>0</v>
      </c>
      <c r="BH413" s="170">
        <f>(Escenarios!$F$16*AK413+0.1*BC413)/(Escenarios!$F$19)</f>
        <v>2.8668130892842925</v>
      </c>
      <c r="BI413" s="170">
        <f>IF(Escenarios!$F$17&gt;0,BF413/10/Escenarios!$F$19,AL413)</f>
        <v>0</v>
      </c>
      <c r="BJ413" s="170">
        <f>(Escenarios!$F$16*AT413+0.1*BD413)/(Escenarios!$F$19)</f>
        <v>0.10613511602923392</v>
      </c>
      <c r="BK413" s="76">
        <f>BK412+(0.1*BD413)/(Escenarios!$F$19)-BL412</f>
        <v>48.75</v>
      </c>
      <c r="BL413" s="76">
        <f>MAX(0,(BK413-Constantes!$D$13)*(1-EXP(-Constantes!$D$23)))</f>
        <v>0</v>
      </c>
      <c r="BM413" s="76">
        <f t="shared" si="96"/>
        <v>0.48198985785984078</v>
      </c>
      <c r="BN413" s="76">
        <f t="shared" si="97"/>
        <v>1.0504719101075506</v>
      </c>
      <c r="BO413" s="76">
        <f>0.0526*BI413*Observaciones!$F412^1.218</f>
        <v>0</v>
      </c>
      <c r="BP413" s="76">
        <f>BO413*Constantes!$F$51</f>
        <v>0</v>
      </c>
      <c r="BQ413" s="76">
        <f t="shared" si="98"/>
        <v>0</v>
      </c>
      <c r="BR413" s="40"/>
    </row>
    <row r="414" spans="2:70">
      <c r="B414" s="39"/>
      <c r="C414" s="75">
        <v>408</v>
      </c>
      <c r="D414" s="146">
        <f>ETo!$I413*((1-Constantes!$F$19)*ETo!$K413+ETo!$L413)</f>
        <v>4.5564075013329814</v>
      </c>
      <c r="E414" s="76">
        <f>MIN(D414*Constantes!$F$17,0.8*(N413+Observaciones!$F413-F414-M414-Constantes!$D$14))</f>
        <v>2.5985727704682535</v>
      </c>
      <c r="F414" s="76">
        <f>IF(Observaciones!$F413&gt;0.05*Constantes!$F$18,((Observaciones!$F413-0.05*Constantes!$F$18)^2)/(Observaciones!$F413+0.95*Constantes!$F$18),0)</f>
        <v>0</v>
      </c>
      <c r="G414" s="76">
        <f>IF(Escenarios!$F$11&gt;0,(F414*Escenarios!$F$16*10000)/1000,0)</f>
        <v>0</v>
      </c>
      <c r="H414" s="76">
        <f>IF(Escenarios!$F$11&gt;0,(Observaciones!$F413*Constantes!$F$29)/1000,0)</f>
        <v>0</v>
      </c>
      <c r="I414" s="76">
        <f>IF(Escenarios!$F$11&gt;0,(D414*Constantes!$F$29)/1000,0)</f>
        <v>0</v>
      </c>
      <c r="J414" s="76">
        <f>IF(Escenarios!$F$11&gt;0,MAX(0,G414+H414-I414),0)</f>
        <v>0</v>
      </c>
      <c r="K414" s="76">
        <f>IF(Escenarios!$F$11&gt;0,IF(J414&gt;Constantes!$F$30,1000*((J414-Constantes!$F$30)/(Escenarios!$F$16*10000)),0),F414)</f>
        <v>0</v>
      </c>
      <c r="L414" s="76">
        <f>IF(Escenarios!$F$11&gt;0,I414*1000/Escenarios!$F$16/10000+E414,E414)</f>
        <v>2.5985727704682535</v>
      </c>
      <c r="M414" s="76">
        <f>MAX(0,N413+Observaciones!$F413-K414-Constantes!$D$13)</f>
        <v>0</v>
      </c>
      <c r="N414" s="76">
        <f>N413+Observaciones!$F413-K414-L414-M414-O413</f>
        <v>40.156200868562244</v>
      </c>
      <c r="O414" s="76">
        <f>MAX(0,(N414-Constantes!$D$14)*(1-EXP(-Constantes!$D$22)))</f>
        <v>0.98465131841904674</v>
      </c>
      <c r="P414" s="170">
        <f>P413+(Entradas!$F$83*M414-Q413)/(800*Entradas!$D$25)</f>
        <v>0</v>
      </c>
      <c r="Q414" s="170">
        <f>8000*Entradas!$D$26*P414/Constantes!$F$45</f>
        <v>0</v>
      </c>
      <c r="R414" s="170">
        <f>IF(Escenarios!$F$14&gt;0,K414*Escenarios!$F$13/Escenarios!$F$14,0)</f>
        <v>0</v>
      </c>
      <c r="S414" s="170">
        <f>IF(Escenarios!$F$14&gt;0,Q414*Escenarios!$F$13/Escenarios!$F$14,0)</f>
        <v>0</v>
      </c>
      <c r="T414" s="170">
        <f>IF(Escenarios!$F$14&gt;0,Observaciones!$I413,0)</f>
        <v>0</v>
      </c>
      <c r="U414" s="170">
        <f>IF(Escenarios!$F$14&gt;0,MAX(0,Constantes!$F$36/((Z413+R414+S414+T414+Observaciones!$F413)^2)+Entradas!$F$77),0)</f>
        <v>0.51702514588617543</v>
      </c>
      <c r="V414" s="146">
        <f>IF(ETo!D413&gt;0,ETo!I413*((1-Entradas!$F$81)*ETo!K413+ETo!L413),0)</f>
        <v>4.0501272894215647</v>
      </c>
      <c r="W414" s="170">
        <f>IF(Escenarios!$F$14&gt;0,MIN(V414*1,0.8*(Z413+R414+S414+T414+Observaciones!$F413-U414-Constantes!$F$35)),0)</f>
        <v>4.0501272894215647</v>
      </c>
      <c r="X414" s="170">
        <f>IF(Escenarios!$F$14&gt;0,Observaciones!$J413,0)</f>
        <v>0</v>
      </c>
      <c r="Y414" s="170">
        <f>IF(Escenarios!$F$14&gt;0,MAX(0,Z413+R414+S414+T414+Observaciones!$F413-U414-W414-X414-Constantes!$F$33),0)</f>
        <v>0</v>
      </c>
      <c r="Z414" s="170">
        <f>Z413+R414+S414+T414+Observaciones!$F413-U414-W414-Y414</f>
        <v>59.735713974735724</v>
      </c>
      <c r="AA414" s="170">
        <f>IF(Escenarios!$F$14&gt;0,(Escenarios!$F$13*L414+Escenarios!$F$14*W414)/(Escenarios!$F$16),L414)</f>
        <v>2.7727593127426506</v>
      </c>
      <c r="AB414" s="170">
        <f>IF(Escenarios!$F$14&gt;0,(Escenarios!$F$14*Y414)/(Escenarios!$F$16),K414)</f>
        <v>0</v>
      </c>
      <c r="AC414" s="170">
        <f>IF(Escenarios!$F$14&gt;0,(Escenarios!$F$13*M414+Escenarios!$F$14*U414)/(Escenarios!$F$16),M414)</f>
        <v>6.2043017506341051E-2</v>
      </c>
      <c r="AD414" s="76">
        <f t="shared" si="85"/>
        <v>95.873069142068843</v>
      </c>
      <c r="AE414" s="76">
        <f>MAX(0,(AD414-Constantes!$D$13)*(1-EXP(-Constantes!$D$23)))</f>
        <v>0.46431482409742747</v>
      </c>
      <c r="AF414" s="76">
        <f>AB414+O414*Escenarios!$F$13/Escenarios!$F$16+AE414</f>
        <v>1.3308079843061886</v>
      </c>
      <c r="AG414" s="76">
        <f>IF(Entradas!$F$91&gt;0,IF(AF414-Escenarios!$F$38&lt;=0,0,IF(AF414-Escenarios!$F$38&gt;Escenarios!$F$37,Escenarios!$F$37,AF414-Escenarios!$F$38)),0)</f>
        <v>0.29400798430618869</v>
      </c>
      <c r="AH414" s="76">
        <f>AG414*Entradas!$F$99</f>
        <v>0</v>
      </c>
      <c r="AI414" s="76">
        <f>IF(Entradas!$F$91&gt;0,D414*Entradas!$D$23/Escenarios!$F$16,0)</f>
        <v>0.21870756006398312</v>
      </c>
      <c r="AJ414" s="76">
        <f>IF(Entradas!$F$91&gt;0,Entradas!$D$24*Entradas!$D$22/Escenarios!$F$16,0)</f>
        <v>0.12</v>
      </c>
      <c r="AK414" s="76">
        <f t="shared" si="86"/>
        <v>2.9914668728066336</v>
      </c>
      <c r="AL414" s="76">
        <f t="shared" si="87"/>
        <v>0</v>
      </c>
      <c r="AM414" s="76">
        <f t="shared" si="88"/>
        <v>0.29400798430618869</v>
      </c>
      <c r="AN414" s="76">
        <f>MAX(0,O414*Escenarios!$F$13/Escenarios!$F$16-AM414)</f>
        <v>0.57248517590257242</v>
      </c>
      <c r="AO414" s="76">
        <f>AM414+AN414-O414*Escenarios!$F$13/Escenarios!$F$16</f>
        <v>0</v>
      </c>
      <c r="AP414" s="76">
        <f t="shared" si="89"/>
        <v>0.46431482409742747</v>
      </c>
      <c r="AQ414" s="76">
        <f t="shared" si="90"/>
        <v>0</v>
      </c>
      <c r="AR414" s="76">
        <f t="shared" si="91"/>
        <v>1.0367999999999999</v>
      </c>
      <c r="AS414" s="76">
        <f t="shared" si="92"/>
        <v>0</v>
      </c>
      <c r="AT414" s="76">
        <f t="shared" si="93"/>
        <v>6.2043017506341051E-2</v>
      </c>
      <c r="AU414" s="76">
        <f t="shared" si="94"/>
        <v>49.630779455245104</v>
      </c>
      <c r="AV414" s="76">
        <f>MAX(0,(AU414-Constantes!$D$13)*(1-EXP(-Constantes!$D$24)))</f>
        <v>1.3462931583698493E-2</v>
      </c>
      <c r="AW414" s="170">
        <f>AW413+(Entradas!$F$112*AT414-AX413)/(800*Entradas!$D$25)</f>
        <v>0</v>
      </c>
      <c r="AX414" s="170">
        <f>8000*Entradas!$D$26*AW414/Constantes!$F$45</f>
        <v>0</v>
      </c>
      <c r="AY414" s="170">
        <f>IF(Escenarios!$F$17&gt;0,10*Escenarios!$F$16*AL414,0)</f>
        <v>0</v>
      </c>
      <c r="AZ414" s="170">
        <f>IF(Escenarios!$F$17&gt;0,10*Escenarios!$F$16*AX414,0)</f>
        <v>0</v>
      </c>
      <c r="BA414" s="170">
        <f>IF(Escenarios!$F$17&gt;0,0.001*Observaciones!$F413*Escenarios!$F$17,0)</f>
        <v>0</v>
      </c>
      <c r="BB414" s="170">
        <f>IF(Escenarios!$F$17&gt;0,Observaciones!$K413,0)</f>
        <v>0</v>
      </c>
      <c r="BC414" s="170">
        <f>IF(Escenarios!$F$17&gt;0,MIN(0.0005*ETo!$M413*Escenarios!$F$17*(BG413/Constantes!$F$40)^(2/3),BG413+AY414+AZ414+BA414+BB414),0)</f>
        <v>0</v>
      </c>
      <c r="BD414" s="170">
        <f>IF(Escenarios!$F$17&gt;0,MIN(Constantes!$F$39*(BG413/Constantes!$F$40)^(2/3),BG413+AY414+AZ414+BA414+BB414-BC414),0)</f>
        <v>0</v>
      </c>
      <c r="BE414" s="170">
        <f>IF(Escenarios!$F$17&gt;0,MIN(Entradas!$F$113,BG413+AY414+AZ414+BA414+BB414-BC414-BD414),0)</f>
        <v>0</v>
      </c>
      <c r="BF414" s="170">
        <f>IF(Escenarios!$F$17&gt;0,MAX(0,BG413+AY414+AZ414+BA414+BB414-BC414-BD414-BE414-Constantes!$F$40),0)</f>
        <v>0</v>
      </c>
      <c r="BG414" s="170">
        <f t="shared" si="95"/>
        <v>0</v>
      </c>
      <c r="BH414" s="170">
        <f>(Escenarios!$F$16*AK414+0.1*BC414)/(Escenarios!$F$19)</f>
        <v>2.9914668728066336</v>
      </c>
      <c r="BI414" s="170">
        <f>IF(Escenarios!$F$17&gt;0,BF414/10/Escenarios!$F$19,AL414)</f>
        <v>0</v>
      </c>
      <c r="BJ414" s="170">
        <f>(Escenarios!$F$16*AT414+0.1*BD414)/(Escenarios!$F$19)</f>
        <v>6.2043017506341051E-2</v>
      </c>
      <c r="BK414" s="76">
        <f>BK413+(0.1*BD414)/(Escenarios!$F$19)-BL413</f>
        <v>48.75</v>
      </c>
      <c r="BL414" s="76">
        <f>MAX(0,(BK414-Constantes!$D$13)*(1-EXP(-Constantes!$D$23)))</f>
        <v>0</v>
      </c>
      <c r="BM414" s="76">
        <f t="shared" si="96"/>
        <v>0.47777775568112596</v>
      </c>
      <c r="BN414" s="76">
        <f t="shared" si="97"/>
        <v>1.0502629315836984</v>
      </c>
      <c r="BO414" s="76">
        <f>0.0526*BI414*Observaciones!$F413^1.218</f>
        <v>0</v>
      </c>
      <c r="BP414" s="76">
        <f>BO414*Constantes!$F$51</f>
        <v>0</v>
      </c>
      <c r="BQ414" s="76">
        <f t="shared" si="98"/>
        <v>0</v>
      </c>
      <c r="BR414" s="40"/>
    </row>
    <row r="415" spans="2:70">
      <c r="B415" s="39"/>
      <c r="C415" s="75">
        <v>409</v>
      </c>
      <c r="D415" s="146">
        <f>ETo!$I414*((1-Constantes!$F$19)*ETo!$K414+ETo!$L414)</f>
        <v>4.6302054196446081</v>
      </c>
      <c r="E415" s="76">
        <f>MIN(D415*Constantes!$F$17,0.8*(N414+Observaciones!$F414-F415-M415-Constantes!$D$14))</f>
        <v>2.6406605909684462</v>
      </c>
      <c r="F415" s="76">
        <f>IF(Observaciones!$F414&gt;0.05*Constantes!$F$18,((Observaciones!$F414-0.05*Constantes!$F$18)^2)/(Observaciones!$F414+0.95*Constantes!$F$18),0)</f>
        <v>0</v>
      </c>
      <c r="G415" s="76">
        <f>IF(Escenarios!$F$11&gt;0,(F415*Escenarios!$F$16*10000)/1000,0)</f>
        <v>0</v>
      </c>
      <c r="H415" s="76">
        <f>IF(Escenarios!$F$11&gt;0,(Observaciones!$F414*Constantes!$F$29)/1000,0)</f>
        <v>0</v>
      </c>
      <c r="I415" s="76">
        <f>IF(Escenarios!$F$11&gt;0,(D415*Constantes!$F$29)/1000,0)</f>
        <v>0</v>
      </c>
      <c r="J415" s="76">
        <f>IF(Escenarios!$F$11&gt;0,MAX(0,G415+H415-I415),0)</f>
        <v>0</v>
      </c>
      <c r="K415" s="76">
        <f>IF(Escenarios!$F$11&gt;0,IF(J415&gt;Constantes!$F$30,1000*((J415-Constantes!$F$30)/(Escenarios!$F$16*10000)),0),F415)</f>
        <v>0</v>
      </c>
      <c r="L415" s="76">
        <f>IF(Escenarios!$F$11&gt;0,I415*1000/Escenarios!$F$16/10000+E415,E415)</f>
        <v>2.6406605909684462</v>
      </c>
      <c r="M415" s="76">
        <f>MAX(0,N414+Observaciones!$F414-K415-Constantes!$D$13)</f>
        <v>0</v>
      </c>
      <c r="N415" s="76">
        <f>N414+Observaciones!$F414-K415-L415-M415-O414</f>
        <v>37.33088895917475</v>
      </c>
      <c r="O415" s="76">
        <f>MAX(0,(N415-Constantes!$D$14)*(1-EXP(-Constantes!$D$22)))</f>
        <v>0.8884108228529547</v>
      </c>
      <c r="P415" s="170">
        <f>P414+(Entradas!$F$83*M415-Q414)/(800*Entradas!$D$25)</f>
        <v>0</v>
      </c>
      <c r="Q415" s="170">
        <f>8000*Entradas!$D$26*P415/Constantes!$F$45</f>
        <v>0</v>
      </c>
      <c r="R415" s="170">
        <f>IF(Escenarios!$F$14&gt;0,K415*Escenarios!$F$13/Escenarios!$F$14,0)</f>
        <v>0</v>
      </c>
      <c r="S415" s="170">
        <f>IF(Escenarios!$F$14&gt;0,Q415*Escenarios!$F$13/Escenarios!$F$14,0)</f>
        <v>0</v>
      </c>
      <c r="T415" s="170">
        <f>IF(Escenarios!$F$14&gt;0,Observaciones!$I414,0)</f>
        <v>0</v>
      </c>
      <c r="U415" s="170">
        <f>IF(Escenarios!$F$14&gt;0,MAX(0,Constantes!$F$36/((Z414+R415+S415+T415+Observaciones!$F414)^2)+Entradas!$F$77),0)</f>
        <v>0.19837729128756676</v>
      </c>
      <c r="V415" s="146">
        <f>IF(ETo!D414&gt;0,ETo!I414*((1-Entradas!$F$81)*ETo!K414+ETo!L414),0)</f>
        <v>4.1169869888415889</v>
      </c>
      <c r="W415" s="170">
        <f>IF(Escenarios!$F$14&gt;0,MIN(V415*1,0.8*(Z414+R415+S415+T415+Observaciones!$F414-U415-Constantes!$F$35)),0)</f>
        <v>4.1169869888415889</v>
      </c>
      <c r="X415" s="170">
        <f>IF(Escenarios!$F$14&gt;0,Observaciones!$J414,0)</f>
        <v>0</v>
      </c>
      <c r="Y415" s="170">
        <f>IF(Escenarios!$F$14&gt;0,MAX(0,Z414+R415+S415+T415+Observaciones!$F414-U415-W415-X415-Constantes!$F$33),0)</f>
        <v>0</v>
      </c>
      <c r="Z415" s="170">
        <f>Z414+R415+S415+T415+Observaciones!$F414-U415-W415-Y415</f>
        <v>56.220349694606568</v>
      </c>
      <c r="AA415" s="170">
        <f>IF(Escenarios!$F$14&gt;0,(Escenarios!$F$13*L415+Escenarios!$F$14*W415)/(Escenarios!$F$16),L415)</f>
        <v>2.8178197587132234</v>
      </c>
      <c r="AB415" s="170">
        <f>IF(Escenarios!$F$14&gt;0,(Escenarios!$F$14*Y415)/(Escenarios!$F$16),K415)</f>
        <v>0</v>
      </c>
      <c r="AC415" s="170">
        <f>IF(Escenarios!$F$14&gt;0,(Escenarios!$F$13*M415+Escenarios!$F$14*U415)/(Escenarios!$F$16),M415)</f>
        <v>2.3805274954508012E-2</v>
      </c>
      <c r="AD415" s="76">
        <f t="shared" si="85"/>
        <v>95.432559592925926</v>
      </c>
      <c r="AE415" s="76">
        <f>MAX(0,(AD415-Constantes!$D$13)*(1-EXP(-Constantes!$D$23)))</f>
        <v>0.45997437858852214</v>
      </c>
      <c r="AF415" s="76">
        <f>AB415+O415*Escenarios!$F$13/Escenarios!$F$16+AE415</f>
        <v>1.2417759026991222</v>
      </c>
      <c r="AG415" s="76">
        <f>IF(Entradas!$F$91&gt;0,IF(AF415-Escenarios!$F$38&lt;=0,0,IF(AF415-Escenarios!$F$38&gt;Escenarios!$F$37,Escenarios!$F$37,AF415-Escenarios!$F$38)),0)</f>
        <v>0.20497590269912225</v>
      </c>
      <c r="AH415" s="76">
        <f>AG415*Entradas!$F$99</f>
        <v>0</v>
      </c>
      <c r="AI415" s="76">
        <f>IF(Entradas!$F$91&gt;0,D415*Entradas!$D$23/Escenarios!$F$16,0)</f>
        <v>0.22224986014294121</v>
      </c>
      <c r="AJ415" s="76">
        <f>IF(Entradas!$F$91&gt;0,Entradas!$D$24*Entradas!$D$22/Escenarios!$F$16,0)</f>
        <v>0.12</v>
      </c>
      <c r="AK415" s="76">
        <f t="shared" si="86"/>
        <v>3.0400696188561644</v>
      </c>
      <c r="AL415" s="76">
        <f t="shared" si="87"/>
        <v>0</v>
      </c>
      <c r="AM415" s="76">
        <f t="shared" si="88"/>
        <v>0.20497590269912225</v>
      </c>
      <c r="AN415" s="76">
        <f>MAX(0,O415*Escenarios!$F$13/Escenarios!$F$16-AM415)</f>
        <v>0.57682562141147786</v>
      </c>
      <c r="AO415" s="76">
        <f>AM415+AN415-O415*Escenarios!$F$13/Escenarios!$F$16</f>
        <v>0</v>
      </c>
      <c r="AP415" s="76">
        <f t="shared" si="89"/>
        <v>0.45997437858852214</v>
      </c>
      <c r="AQ415" s="76">
        <f t="shared" si="90"/>
        <v>0</v>
      </c>
      <c r="AR415" s="76">
        <f t="shared" si="91"/>
        <v>1.0367999999999999</v>
      </c>
      <c r="AS415" s="76">
        <f t="shared" si="92"/>
        <v>0</v>
      </c>
      <c r="AT415" s="76">
        <f t="shared" si="93"/>
        <v>2.3805274954508012E-2</v>
      </c>
      <c r="AU415" s="76">
        <f t="shared" si="94"/>
        <v>49.617316523661408</v>
      </c>
      <c r="AV415" s="76">
        <f>MAX(0,(AU415-Constantes!$D$13)*(1-EXP(-Constantes!$D$24)))</f>
        <v>1.325714734821485E-2</v>
      </c>
      <c r="AW415" s="170">
        <f>AW414+(Entradas!$F$112*AT415-AX414)/(800*Entradas!$D$25)</f>
        <v>0</v>
      </c>
      <c r="AX415" s="170">
        <f>8000*Entradas!$D$26*AW415/Constantes!$F$45</f>
        <v>0</v>
      </c>
      <c r="AY415" s="170">
        <f>IF(Escenarios!$F$17&gt;0,10*Escenarios!$F$16*AL415,0)</f>
        <v>0</v>
      </c>
      <c r="AZ415" s="170">
        <f>IF(Escenarios!$F$17&gt;0,10*Escenarios!$F$16*AX415,0)</f>
        <v>0</v>
      </c>
      <c r="BA415" s="170">
        <f>IF(Escenarios!$F$17&gt;0,0.001*Observaciones!$F414*Escenarios!$F$17,0)</f>
        <v>0</v>
      </c>
      <c r="BB415" s="170">
        <f>IF(Escenarios!$F$17&gt;0,Observaciones!$K414,0)</f>
        <v>0</v>
      </c>
      <c r="BC415" s="170">
        <f>IF(Escenarios!$F$17&gt;0,MIN(0.0005*ETo!$M414*Escenarios!$F$17*(BG414/Constantes!$F$40)^(2/3),BG414+AY415+AZ415+BA415+BB415),0)</f>
        <v>0</v>
      </c>
      <c r="BD415" s="170">
        <f>IF(Escenarios!$F$17&gt;0,MIN(Constantes!$F$39*(BG414/Constantes!$F$40)^(2/3),BG414+AY415+AZ415+BA415+BB415-BC415),0)</f>
        <v>0</v>
      </c>
      <c r="BE415" s="170">
        <f>IF(Escenarios!$F$17&gt;0,MIN(Entradas!$F$113,BG414+AY415+AZ415+BA415+BB415-BC415-BD415),0)</f>
        <v>0</v>
      </c>
      <c r="BF415" s="170">
        <f>IF(Escenarios!$F$17&gt;0,MAX(0,BG414+AY415+AZ415+BA415+BB415-BC415-BD415-BE415-Constantes!$F$40),0)</f>
        <v>0</v>
      </c>
      <c r="BG415" s="170">
        <f t="shared" si="95"/>
        <v>0</v>
      </c>
      <c r="BH415" s="170">
        <f>(Escenarios!$F$16*AK415+0.1*BC415)/(Escenarios!$F$19)</f>
        <v>3.0400696188561644</v>
      </c>
      <c r="BI415" s="170">
        <f>IF(Escenarios!$F$17&gt;0,BF415/10/Escenarios!$F$19,AL415)</f>
        <v>0</v>
      </c>
      <c r="BJ415" s="170">
        <f>(Escenarios!$F$16*AT415+0.1*BD415)/(Escenarios!$F$19)</f>
        <v>2.3805274954508012E-2</v>
      </c>
      <c r="BK415" s="76">
        <f>BK414+(0.1*BD415)/(Escenarios!$F$19)-BL414</f>
        <v>48.75</v>
      </c>
      <c r="BL415" s="76">
        <f>MAX(0,(BK415-Constantes!$D$13)*(1-EXP(-Constantes!$D$23)))</f>
        <v>0</v>
      </c>
      <c r="BM415" s="76">
        <f t="shared" si="96"/>
        <v>0.47323152593673701</v>
      </c>
      <c r="BN415" s="76">
        <f t="shared" si="97"/>
        <v>1.0500571473482148</v>
      </c>
      <c r="BO415" s="76">
        <f>0.0526*BI415*Observaciones!$F414^1.218</f>
        <v>0</v>
      </c>
      <c r="BP415" s="76">
        <f>BO415*Constantes!$F$51</f>
        <v>0</v>
      </c>
      <c r="BQ415" s="76">
        <f t="shared" si="98"/>
        <v>0</v>
      </c>
      <c r="BR415" s="40"/>
    </row>
    <row r="416" spans="2:70">
      <c r="B416" s="39"/>
      <c r="C416" s="75">
        <v>410</v>
      </c>
      <c r="D416" s="146">
        <f>ETo!$I415*((1-Constantes!$F$19)*ETo!$K415+ETo!$L415)</f>
        <v>4.5428876531327438</v>
      </c>
      <c r="E416" s="76">
        <f>MIN(D416*Constantes!$F$17,0.8*(N415+Observaciones!$F415-F416-M416-Constantes!$D$14))</f>
        <v>2.5908622420785683</v>
      </c>
      <c r="F416" s="76">
        <f>IF(Observaciones!$F415&gt;0.05*Constantes!$F$18,((Observaciones!$F415-0.05*Constantes!$F$18)^2)/(Observaciones!$F415+0.95*Constantes!$F$18),0)</f>
        <v>0</v>
      </c>
      <c r="G416" s="76">
        <f>IF(Escenarios!$F$11&gt;0,(F416*Escenarios!$F$16*10000)/1000,0)</f>
        <v>0</v>
      </c>
      <c r="H416" s="76">
        <f>IF(Escenarios!$F$11&gt;0,(Observaciones!$F415*Constantes!$F$29)/1000,0)</f>
        <v>0</v>
      </c>
      <c r="I416" s="76">
        <f>IF(Escenarios!$F$11&gt;0,(D416*Constantes!$F$29)/1000,0)</f>
        <v>0</v>
      </c>
      <c r="J416" s="76">
        <f>IF(Escenarios!$F$11&gt;0,MAX(0,G416+H416-I416),0)</f>
        <v>0</v>
      </c>
      <c r="K416" s="76">
        <f>IF(Escenarios!$F$11&gt;0,IF(J416&gt;Constantes!$F$30,1000*((J416-Constantes!$F$30)/(Escenarios!$F$16*10000)),0),F416)</f>
        <v>0</v>
      </c>
      <c r="L416" s="76">
        <f>IF(Escenarios!$F$11&gt;0,I416*1000/Escenarios!$F$16/10000+E416,E416)</f>
        <v>2.5908622420785683</v>
      </c>
      <c r="M416" s="76">
        <f>MAX(0,N415+Observaciones!$F415-K416-Constantes!$D$13)</f>
        <v>0</v>
      </c>
      <c r="N416" s="76">
        <f>N415+Observaciones!$F415-K416-L416-M416-O415</f>
        <v>33.851615894243231</v>
      </c>
      <c r="O416" s="76">
        <f>MAX(0,(N416-Constantes!$D$14)*(1-EXP(-Constantes!$D$22)))</f>
        <v>0.76989400958848309</v>
      </c>
      <c r="P416" s="170">
        <f>P415+(Entradas!$F$83*M416-Q415)/(800*Entradas!$D$25)</f>
        <v>0</v>
      </c>
      <c r="Q416" s="170">
        <f>8000*Entradas!$D$26*P416/Constantes!$F$45</f>
        <v>0</v>
      </c>
      <c r="R416" s="170">
        <f>IF(Escenarios!$F$14&gt;0,K416*Escenarios!$F$13/Escenarios!$F$14,0)</f>
        <v>0</v>
      </c>
      <c r="S416" s="170">
        <f>IF(Escenarios!$F$14&gt;0,Q416*Escenarios!$F$13/Escenarios!$F$14,0)</f>
        <v>0</v>
      </c>
      <c r="T416" s="170">
        <f>IF(Escenarios!$F$14&gt;0,Observaciones!$I415,0)</f>
        <v>0</v>
      </c>
      <c r="U416" s="170">
        <f>IF(Escenarios!$F$14&gt;0,MAX(0,Constantes!$F$36/((Z415+R416+S416+T416+Observaciones!$F415)^2)+Entradas!$F$77),0)</f>
        <v>0</v>
      </c>
      <c r="V416" s="146">
        <f>IF(ETo!D415&gt;0,ETo!I415*((1-Entradas!$F$81)*ETo!K415+ETo!L415),0)</f>
        <v>4.0377808656215093</v>
      </c>
      <c r="W416" s="170">
        <f>IF(Escenarios!$F$14&gt;0,MIN(V416*1,0.8*(Z415+R416+S416+T416+Observaciones!$F415-U416-Constantes!$F$35)),0)</f>
        <v>4.0377808656215093</v>
      </c>
      <c r="X416" s="170">
        <f>IF(Escenarios!$F$14&gt;0,Observaciones!$J415,0)</f>
        <v>0</v>
      </c>
      <c r="Y416" s="170">
        <f>IF(Escenarios!$F$14&gt;0,MAX(0,Z415+R416+S416+T416+Observaciones!$F415-U416-W416-X416-Constantes!$F$33),0)</f>
        <v>0</v>
      </c>
      <c r="Z416" s="170">
        <f>Z415+R416+S416+T416+Observaciones!$F415-U416-W416-Y416</f>
        <v>52.182568828985062</v>
      </c>
      <c r="AA416" s="170">
        <f>IF(Escenarios!$F$14&gt;0,(Escenarios!$F$13*L416+Escenarios!$F$14*W416)/(Escenarios!$F$16),L416)</f>
        <v>2.7644924769037211</v>
      </c>
      <c r="AB416" s="170">
        <f>IF(Escenarios!$F$14&gt;0,(Escenarios!$F$14*Y416)/(Escenarios!$F$16),K416)</f>
        <v>0</v>
      </c>
      <c r="AC416" s="170">
        <f>IF(Escenarios!$F$14&gt;0,(Escenarios!$F$13*M416+Escenarios!$F$14*U416)/(Escenarios!$F$16),M416)</f>
        <v>0</v>
      </c>
      <c r="AD416" s="76">
        <f t="shared" si="85"/>
        <v>94.9725852143374</v>
      </c>
      <c r="AE416" s="76">
        <f>MAX(0,(AD416-Constantes!$D$13)*(1-EXP(-Constantes!$D$23)))</f>
        <v>0.45544214147892798</v>
      </c>
      <c r="AF416" s="76">
        <f>AB416+O416*Escenarios!$F$13/Escenarios!$F$16+AE416</f>
        <v>1.1329488699167931</v>
      </c>
      <c r="AG416" s="76">
        <f>IF(Entradas!$F$91&gt;0,IF(AF416-Escenarios!$F$38&lt;=0,0,IF(AF416-Escenarios!$F$38&gt;Escenarios!$F$37,Escenarios!$F$37,AF416-Escenarios!$F$38)),0)</f>
        <v>9.6148869916793167E-2</v>
      </c>
      <c r="AH416" s="76">
        <f>AG416*Entradas!$F$99</f>
        <v>0</v>
      </c>
      <c r="AI416" s="76">
        <f>IF(Entradas!$F$91&gt;0,D416*Entradas!$D$23/Escenarios!$F$16,0)</f>
        <v>0.21805860735037169</v>
      </c>
      <c r="AJ416" s="76">
        <f>IF(Entradas!$F$91&gt;0,Entradas!$D$24*Entradas!$D$22/Escenarios!$F$16,0)</f>
        <v>0.12</v>
      </c>
      <c r="AK416" s="76">
        <f t="shared" si="86"/>
        <v>2.982551084254093</v>
      </c>
      <c r="AL416" s="76">
        <f t="shared" si="87"/>
        <v>0</v>
      </c>
      <c r="AM416" s="76">
        <f t="shared" si="88"/>
        <v>9.6148869916793167E-2</v>
      </c>
      <c r="AN416" s="76">
        <f>MAX(0,O416*Escenarios!$F$13/Escenarios!$F$16-AM416)</f>
        <v>0.58135785852107202</v>
      </c>
      <c r="AO416" s="76">
        <f>AM416+AN416-O416*Escenarios!$F$13/Escenarios!$F$16</f>
        <v>0</v>
      </c>
      <c r="AP416" s="76">
        <f t="shared" si="89"/>
        <v>0.45544214147892798</v>
      </c>
      <c r="AQ416" s="76">
        <f t="shared" si="90"/>
        <v>0</v>
      </c>
      <c r="AR416" s="76">
        <f t="shared" si="91"/>
        <v>1.0367999999999999</v>
      </c>
      <c r="AS416" s="76">
        <f t="shared" si="92"/>
        <v>0</v>
      </c>
      <c r="AT416" s="76">
        <f t="shared" si="93"/>
        <v>0</v>
      </c>
      <c r="AU416" s="76">
        <f t="shared" si="94"/>
        <v>49.604059376313195</v>
      </c>
      <c r="AV416" s="76">
        <f>MAX(0,(AU416-Constantes!$D$13)*(1-EXP(-Constantes!$D$24)))</f>
        <v>1.3054508575612763E-2</v>
      </c>
      <c r="AW416" s="170">
        <f>AW415+(Entradas!$F$112*AT416-AX415)/(800*Entradas!$D$25)</f>
        <v>0</v>
      </c>
      <c r="AX416" s="170">
        <f>8000*Entradas!$D$26*AW416/Constantes!$F$45</f>
        <v>0</v>
      </c>
      <c r="AY416" s="170">
        <f>IF(Escenarios!$F$17&gt;0,10*Escenarios!$F$16*AL416,0)</f>
        <v>0</v>
      </c>
      <c r="AZ416" s="170">
        <f>IF(Escenarios!$F$17&gt;0,10*Escenarios!$F$16*AX416,0)</f>
        <v>0</v>
      </c>
      <c r="BA416" s="170">
        <f>IF(Escenarios!$F$17&gt;0,0.001*Observaciones!$F415*Escenarios!$F$17,0)</f>
        <v>0</v>
      </c>
      <c r="BB416" s="170">
        <f>IF(Escenarios!$F$17&gt;0,Observaciones!$K415,0)</f>
        <v>0</v>
      </c>
      <c r="BC416" s="170">
        <f>IF(Escenarios!$F$17&gt;0,MIN(0.0005*ETo!$M415*Escenarios!$F$17*(BG415/Constantes!$F$40)^(2/3),BG415+AY416+AZ416+BA416+BB416),0)</f>
        <v>0</v>
      </c>
      <c r="BD416" s="170">
        <f>IF(Escenarios!$F$17&gt;0,MIN(Constantes!$F$39*(BG415/Constantes!$F$40)^(2/3),BG415+AY416+AZ416+BA416+BB416-BC416),0)</f>
        <v>0</v>
      </c>
      <c r="BE416" s="170">
        <f>IF(Escenarios!$F$17&gt;0,MIN(Entradas!$F$113,BG415+AY416+AZ416+BA416+BB416-BC416-BD416),0)</f>
        <v>0</v>
      </c>
      <c r="BF416" s="170">
        <f>IF(Escenarios!$F$17&gt;0,MAX(0,BG415+AY416+AZ416+BA416+BB416-BC416-BD416-BE416-Constantes!$F$40),0)</f>
        <v>0</v>
      </c>
      <c r="BG416" s="170">
        <f t="shared" si="95"/>
        <v>0</v>
      </c>
      <c r="BH416" s="170">
        <f>(Escenarios!$F$16*AK416+0.1*BC416)/(Escenarios!$F$19)</f>
        <v>2.982551084254093</v>
      </c>
      <c r="BI416" s="170">
        <f>IF(Escenarios!$F$17&gt;0,BF416/10/Escenarios!$F$19,AL416)</f>
        <v>0</v>
      </c>
      <c r="BJ416" s="170">
        <f>(Escenarios!$F$16*AT416+0.1*BD416)/(Escenarios!$F$19)</f>
        <v>0</v>
      </c>
      <c r="BK416" s="76">
        <f>BK415+(0.1*BD416)/(Escenarios!$F$19)-BL415</f>
        <v>48.75</v>
      </c>
      <c r="BL416" s="76">
        <f>MAX(0,(BK416-Constantes!$D$13)*(1-EXP(-Constantes!$D$23)))</f>
        <v>0</v>
      </c>
      <c r="BM416" s="76">
        <f t="shared" si="96"/>
        <v>0.46849665005454072</v>
      </c>
      <c r="BN416" s="76">
        <f t="shared" si="97"/>
        <v>1.0498545085756128</v>
      </c>
      <c r="BO416" s="76">
        <f>0.0526*BI416*Observaciones!$F415^1.218</f>
        <v>0</v>
      </c>
      <c r="BP416" s="76">
        <f>BO416*Constantes!$F$51</f>
        <v>0</v>
      </c>
      <c r="BQ416" s="76">
        <f t="shared" si="98"/>
        <v>0</v>
      </c>
      <c r="BR416" s="40"/>
    </row>
    <row r="417" spans="2:70">
      <c r="B417" s="39"/>
      <c r="C417" s="75">
        <v>411</v>
      </c>
      <c r="D417" s="146">
        <f>ETo!$I416*((1-Constantes!$F$19)*ETo!$K416+ETo!$L416)</f>
        <v>4.5702080588819127</v>
      </c>
      <c r="E417" s="76">
        <f>MIN(D417*Constantes!$F$17,0.8*(N416+Observaciones!$F416-F417-M417-Constantes!$D$14))</f>
        <v>2.6064433906999693</v>
      </c>
      <c r="F417" s="76">
        <f>IF(Observaciones!$F416&gt;0.05*Constantes!$F$18,((Observaciones!$F416-0.05*Constantes!$F$18)^2)/(Observaciones!$F416+0.95*Constantes!$F$18),0)</f>
        <v>0</v>
      </c>
      <c r="G417" s="76">
        <f>IF(Escenarios!$F$11&gt;0,(F417*Escenarios!$F$16*10000)/1000,0)</f>
        <v>0</v>
      </c>
      <c r="H417" s="76">
        <f>IF(Escenarios!$F$11&gt;0,(Observaciones!$F416*Constantes!$F$29)/1000,0)</f>
        <v>0</v>
      </c>
      <c r="I417" s="76">
        <f>IF(Escenarios!$F$11&gt;0,(D417*Constantes!$F$29)/1000,0)</f>
        <v>0</v>
      </c>
      <c r="J417" s="76">
        <f>IF(Escenarios!$F$11&gt;0,MAX(0,G417+H417-I417),0)</f>
        <v>0</v>
      </c>
      <c r="K417" s="76">
        <f>IF(Escenarios!$F$11&gt;0,IF(J417&gt;Constantes!$F$30,1000*((J417-Constantes!$F$30)/(Escenarios!$F$16*10000)),0),F417)</f>
        <v>0</v>
      </c>
      <c r="L417" s="76">
        <f>IF(Escenarios!$F$11&gt;0,I417*1000/Escenarios!$F$16/10000+E417,E417)</f>
        <v>2.6064433906999693</v>
      </c>
      <c r="M417" s="76">
        <f>MAX(0,N416+Observaciones!$F416-K417-Constantes!$D$13)</f>
        <v>0</v>
      </c>
      <c r="N417" s="76">
        <f>N416+Observaciones!$F416-K417-L417-M417-O416</f>
        <v>32.175278493954778</v>
      </c>
      <c r="O417" s="76">
        <f>MAX(0,(N417-Constantes!$D$14)*(1-EXP(-Constantes!$D$22)))</f>
        <v>0.7127918037740778</v>
      </c>
      <c r="P417" s="170">
        <f>P416+(Entradas!$F$83*M417-Q416)/(800*Entradas!$D$25)</f>
        <v>0</v>
      </c>
      <c r="Q417" s="170">
        <f>8000*Entradas!$D$26*P417/Constantes!$F$45</f>
        <v>0</v>
      </c>
      <c r="R417" s="170">
        <f>IF(Escenarios!$F$14&gt;0,K417*Escenarios!$F$13/Escenarios!$F$14,0)</f>
        <v>0</v>
      </c>
      <c r="S417" s="170">
        <f>IF(Escenarios!$F$14&gt;0,Q417*Escenarios!$F$13/Escenarios!$F$14,0)</f>
        <v>0</v>
      </c>
      <c r="T417" s="170">
        <f>IF(Escenarios!$F$14&gt;0,Observaciones!$I416,0)</f>
        <v>0</v>
      </c>
      <c r="U417" s="170">
        <f>IF(Escenarios!$F$14&gt;0,MAX(0,Constantes!$F$36/((Z416+R417+S417+T417+Observaciones!$F416)^2)+Entradas!$F$77),0)</f>
        <v>0</v>
      </c>
      <c r="V417" s="146">
        <f>IF(ETo!D416&gt;0,ETo!I416*((1-Entradas!$F$81)*ETo!K416+ETo!L416),0)</f>
        <v>4.0624726072972264</v>
      </c>
      <c r="W417" s="170">
        <f>IF(Escenarios!$F$14&gt;0,MIN(V417*1,0.8*(Z416+R417+S417+T417+Observaciones!$F416-U417-Constantes!$F$35)),0)</f>
        <v>4.0624726072972264</v>
      </c>
      <c r="X417" s="170">
        <f>IF(Escenarios!$F$14&gt;0,Observaciones!$J416,0)</f>
        <v>0</v>
      </c>
      <c r="Y417" s="170">
        <f>IF(Escenarios!$F$14&gt;0,MAX(0,Z416+R417+S417+T417+Observaciones!$F416-U417-W417-X417-Constantes!$F$33),0)</f>
        <v>0</v>
      </c>
      <c r="Z417" s="170">
        <f>Z416+R417+S417+T417+Observaciones!$F416-U417-W417-Y417</f>
        <v>49.820096221687841</v>
      </c>
      <c r="AA417" s="170">
        <f>IF(Escenarios!$F$14&gt;0,(Escenarios!$F$13*L417+Escenarios!$F$14*W417)/(Escenarios!$F$16),L417)</f>
        <v>2.7811668966916399</v>
      </c>
      <c r="AB417" s="170">
        <f>IF(Escenarios!$F$14&gt;0,(Escenarios!$F$14*Y417)/(Escenarios!$F$16),K417)</f>
        <v>0</v>
      </c>
      <c r="AC417" s="170">
        <f>IF(Escenarios!$F$14&gt;0,(Escenarios!$F$13*M417+Escenarios!$F$14*U417)/(Escenarios!$F$16),M417)</f>
        <v>0</v>
      </c>
      <c r="AD417" s="76">
        <f t="shared" si="85"/>
        <v>94.517143072858474</v>
      </c>
      <c r="AE417" s="76">
        <f>MAX(0,(AD417-Constantes!$D$13)*(1-EXP(-Constantes!$D$23)))</f>
        <v>0.4509545615810695</v>
      </c>
      <c r="AF417" s="76">
        <f>AB417+O417*Escenarios!$F$13/Escenarios!$F$16+AE417</f>
        <v>1.0782113489022578</v>
      </c>
      <c r="AG417" s="76">
        <f>IF(Entradas!$F$91&gt;0,IF(AF417-Escenarios!$F$38&lt;=0,0,IF(AF417-Escenarios!$F$38&gt;Escenarios!$F$37,Escenarios!$F$37,AF417-Escenarios!$F$38)),0)</f>
        <v>4.1411348902257838E-2</v>
      </c>
      <c r="AH417" s="76">
        <f>AG417*Entradas!$F$99</f>
        <v>0</v>
      </c>
      <c r="AI417" s="76">
        <f>IF(Entradas!$F$91&gt;0,D417*Entradas!$D$23/Escenarios!$F$16,0)</f>
        <v>0.2193699868263318</v>
      </c>
      <c r="AJ417" s="76">
        <f>IF(Entradas!$F$91&gt;0,Entradas!$D$24*Entradas!$D$22/Escenarios!$F$16,0)</f>
        <v>0.12</v>
      </c>
      <c r="AK417" s="76">
        <f t="shared" si="86"/>
        <v>3.0005368835179715</v>
      </c>
      <c r="AL417" s="76">
        <f t="shared" si="87"/>
        <v>0</v>
      </c>
      <c r="AM417" s="76">
        <f t="shared" si="88"/>
        <v>4.1411348902257838E-2</v>
      </c>
      <c r="AN417" s="76">
        <f>MAX(0,O417*Escenarios!$F$13/Escenarios!$F$16-AM417)</f>
        <v>0.58584543841893055</v>
      </c>
      <c r="AO417" s="76">
        <f>AM417+AN417-O417*Escenarios!$F$13/Escenarios!$F$16</f>
        <v>0</v>
      </c>
      <c r="AP417" s="76">
        <f t="shared" si="89"/>
        <v>0.4509545615810695</v>
      </c>
      <c r="AQ417" s="76">
        <f t="shared" si="90"/>
        <v>0</v>
      </c>
      <c r="AR417" s="76">
        <f t="shared" si="91"/>
        <v>1.0367999999999999</v>
      </c>
      <c r="AS417" s="76">
        <f t="shared" si="92"/>
        <v>0</v>
      </c>
      <c r="AT417" s="76">
        <f t="shared" si="93"/>
        <v>0</v>
      </c>
      <c r="AU417" s="76">
        <f t="shared" si="94"/>
        <v>49.591004867737581</v>
      </c>
      <c r="AV417" s="76">
        <f>MAX(0,(AU417-Constantes!$D$13)*(1-EXP(-Constantes!$D$24)))</f>
        <v>1.2854967186714918E-2</v>
      </c>
      <c r="AW417" s="170">
        <f>AW416+(Entradas!$F$112*AT417-AX416)/(800*Entradas!$D$25)</f>
        <v>0</v>
      </c>
      <c r="AX417" s="170">
        <f>8000*Entradas!$D$26*AW417/Constantes!$F$45</f>
        <v>0</v>
      </c>
      <c r="AY417" s="170">
        <f>IF(Escenarios!$F$17&gt;0,10*Escenarios!$F$16*AL417,0)</f>
        <v>0</v>
      </c>
      <c r="AZ417" s="170">
        <f>IF(Escenarios!$F$17&gt;0,10*Escenarios!$F$16*AX417,0)</f>
        <v>0</v>
      </c>
      <c r="BA417" s="170">
        <f>IF(Escenarios!$F$17&gt;0,0.001*Observaciones!$F416*Escenarios!$F$17,0)</f>
        <v>0</v>
      </c>
      <c r="BB417" s="170">
        <f>IF(Escenarios!$F$17&gt;0,Observaciones!$K416,0)</f>
        <v>0</v>
      </c>
      <c r="BC417" s="170">
        <f>IF(Escenarios!$F$17&gt;0,MIN(0.0005*ETo!$M416*Escenarios!$F$17*(BG416/Constantes!$F$40)^(2/3),BG416+AY417+AZ417+BA417+BB417),0)</f>
        <v>0</v>
      </c>
      <c r="BD417" s="170">
        <f>IF(Escenarios!$F$17&gt;0,MIN(Constantes!$F$39*(BG416/Constantes!$F$40)^(2/3),BG416+AY417+AZ417+BA417+BB417-BC417),0)</f>
        <v>0</v>
      </c>
      <c r="BE417" s="170">
        <f>IF(Escenarios!$F$17&gt;0,MIN(Entradas!$F$113,BG416+AY417+AZ417+BA417+BB417-BC417-BD417),0)</f>
        <v>0</v>
      </c>
      <c r="BF417" s="170">
        <f>IF(Escenarios!$F$17&gt;0,MAX(0,BG416+AY417+AZ417+BA417+BB417-BC417-BD417-BE417-Constantes!$F$40),0)</f>
        <v>0</v>
      </c>
      <c r="BG417" s="170">
        <f t="shared" si="95"/>
        <v>0</v>
      </c>
      <c r="BH417" s="170">
        <f>(Escenarios!$F$16*AK417+0.1*BC417)/(Escenarios!$F$19)</f>
        <v>3.0005368835179715</v>
      </c>
      <c r="BI417" s="170">
        <f>IF(Escenarios!$F$17&gt;0,BF417/10/Escenarios!$F$19,AL417)</f>
        <v>0</v>
      </c>
      <c r="BJ417" s="170">
        <f>(Escenarios!$F$16*AT417+0.1*BD417)/(Escenarios!$F$19)</f>
        <v>0</v>
      </c>
      <c r="BK417" s="76">
        <f>BK416+(0.1*BD417)/(Escenarios!$F$19)-BL416</f>
        <v>48.75</v>
      </c>
      <c r="BL417" s="76">
        <f>MAX(0,(BK417-Constantes!$D$13)*(1-EXP(-Constantes!$D$23)))</f>
        <v>0</v>
      </c>
      <c r="BM417" s="76">
        <f t="shared" si="96"/>
        <v>0.46380952876778442</v>
      </c>
      <c r="BN417" s="76">
        <f t="shared" si="97"/>
        <v>1.0496549671867148</v>
      </c>
      <c r="BO417" s="76">
        <f>0.0526*BI417*Observaciones!$F416^1.218</f>
        <v>0</v>
      </c>
      <c r="BP417" s="76">
        <f>BO417*Constantes!$F$51</f>
        <v>0</v>
      </c>
      <c r="BQ417" s="76">
        <f t="shared" si="98"/>
        <v>0</v>
      </c>
      <c r="BR417" s="40"/>
    </row>
    <row r="418" spans="2:70">
      <c r="B418" s="39"/>
      <c r="C418" s="75">
        <v>412</v>
      </c>
      <c r="D418" s="146">
        <f>ETo!$I417*((1-Constantes!$F$19)*ETo!$K417+ETo!$L417)</f>
        <v>4.5330479957981131</v>
      </c>
      <c r="E418" s="76">
        <f>MIN(D418*Constantes!$F$17,0.8*(N417+Observaciones!$F417-F418-M418-Constantes!$D$14))</f>
        <v>2.5852505698097845</v>
      </c>
      <c r="F418" s="76">
        <f>IF(Observaciones!$F417&gt;0.05*Constantes!$F$18,((Observaciones!$F417-0.05*Constantes!$F$18)^2)/(Observaciones!$F417+0.95*Constantes!$F$18),0)</f>
        <v>0.22389605854431077</v>
      </c>
      <c r="G418" s="76">
        <f>IF(Escenarios!$F$11&gt;0,(F418*Escenarios!$F$16*10000)/1000,0)</f>
        <v>0</v>
      </c>
      <c r="H418" s="76">
        <f>IF(Escenarios!$F$11&gt;0,(Observaciones!$F417*Constantes!$F$29)/1000,0)</f>
        <v>0</v>
      </c>
      <c r="I418" s="76">
        <f>IF(Escenarios!$F$11&gt;0,(D418*Constantes!$F$29)/1000,0)</f>
        <v>0</v>
      </c>
      <c r="J418" s="76">
        <f>IF(Escenarios!$F$11&gt;0,MAX(0,G418+H418-I418),0)</f>
        <v>0</v>
      </c>
      <c r="K418" s="76">
        <f>IF(Escenarios!$F$11&gt;0,IF(J418&gt;Constantes!$F$30,1000*((J418-Constantes!$F$30)/(Escenarios!$F$16*10000)),0),F418)</f>
        <v>0.22389605854431077</v>
      </c>
      <c r="L418" s="76">
        <f>IF(Escenarios!$F$11&gt;0,I418*1000/Escenarios!$F$16/10000+E418,E418)</f>
        <v>2.5852505698097845</v>
      </c>
      <c r="M418" s="76">
        <f>MAX(0,N417+Observaciones!$F417-K418-Constantes!$D$13)</f>
        <v>1.3013824354104671</v>
      </c>
      <c r="N418" s="76">
        <f>N417+Observaciones!$F417-K418-L418-M418-O417</f>
        <v>45.451957626416132</v>
      </c>
      <c r="O418" s="76">
        <f>MAX(0,(N418-Constantes!$D$14)*(1-EXP(-Constantes!$D$22)))</f>
        <v>1.1650442347126075</v>
      </c>
      <c r="P418" s="170">
        <f>P417+(Entradas!$F$83*M418-Q417)/(800*Entradas!$D$25)</f>
        <v>0</v>
      </c>
      <c r="Q418" s="170">
        <f>8000*Entradas!$D$26*P418/Constantes!$F$45</f>
        <v>0</v>
      </c>
      <c r="R418" s="170">
        <f>IF(Escenarios!$F$14&gt;0,K418*Escenarios!$F$13/Escenarios!$F$14,0)</f>
        <v>1.6419044293249456</v>
      </c>
      <c r="S418" s="170">
        <f>IF(Escenarios!$F$14&gt;0,Q418*Escenarios!$F$13/Escenarios!$F$14,0)</f>
        <v>0</v>
      </c>
      <c r="T418" s="170">
        <f>IF(Escenarios!$F$14&gt;0,Observaciones!$I417,0)</f>
        <v>0</v>
      </c>
      <c r="U418" s="170">
        <f>IF(Escenarios!$F$14&gt;0,MAX(0,Constantes!$F$36/((Z417+R418+S418+T418+Observaciones!$F417)^2)+Entradas!$F$77),0)</f>
        <v>0.8782761480731045</v>
      </c>
      <c r="V418" s="146">
        <f>IF(ETo!D417&gt;0,ETo!I417*((1-Entradas!$F$81)*ETo!K417+ETo!L417),0)</f>
        <v>4.0287557270435403</v>
      </c>
      <c r="W418" s="170">
        <f>IF(Escenarios!$F$14&gt;0,MIN(V418*1,0.8*(Z417+R418+S418+T418+Observaciones!$F417-U418-Constantes!$F$35)),0)</f>
        <v>4.0287557270435403</v>
      </c>
      <c r="X418" s="170">
        <f>IF(Escenarios!$F$14&gt;0,Observaciones!$J417,0)</f>
        <v>0</v>
      </c>
      <c r="Y418" s="170">
        <f>IF(Escenarios!$F$14&gt;0,MAX(0,Z417+R418+S418+T418+Observaciones!$F417-U418-W418-X418-Constantes!$F$33),0)</f>
        <v>0</v>
      </c>
      <c r="Z418" s="170">
        <f>Z417+R418+S418+T418+Observaciones!$F417-U418-W418-Y418</f>
        <v>64.654968775896151</v>
      </c>
      <c r="AA418" s="170">
        <f>IF(Escenarios!$F$14&gt;0,(Escenarios!$F$13*L418+Escenarios!$F$14*W418)/(Escenarios!$F$16),L418)</f>
        <v>2.7584711886778348</v>
      </c>
      <c r="AB418" s="170">
        <f>IF(Escenarios!$F$14&gt;0,(Escenarios!$F$14*Y418)/(Escenarios!$F$16),K418)</f>
        <v>0</v>
      </c>
      <c r="AC418" s="170">
        <f>IF(Escenarios!$F$14&gt;0,(Escenarios!$F$13*M418+Escenarios!$F$14*U418)/(Escenarios!$F$16),M418)</f>
        <v>1.2506096809299836</v>
      </c>
      <c r="AD418" s="76">
        <f t="shared" si="85"/>
        <v>95.316798192207386</v>
      </c>
      <c r="AE418" s="76">
        <f>MAX(0,(AD418-Constantes!$D$13)*(1-EXP(-Constantes!$D$23)))</f>
        <v>0.45883375393502485</v>
      </c>
      <c r="AF418" s="76">
        <f>AB418+O418*Escenarios!$F$13/Escenarios!$F$16+AE418</f>
        <v>1.4840726804821196</v>
      </c>
      <c r="AG418" s="76">
        <f>IF(Entradas!$F$91&gt;0,IF(AF418-Escenarios!$F$38&lt;=0,0,IF(AF418-Escenarios!$F$38&gt;Escenarios!$F$37,Escenarios!$F$37,AF418-Escenarios!$F$38)),0)</f>
        <v>0.44727268048211966</v>
      </c>
      <c r="AH418" s="76">
        <f>AG418*Entradas!$F$99</f>
        <v>0</v>
      </c>
      <c r="AI418" s="76">
        <f>IF(Entradas!$F$91&gt;0,D418*Entradas!$D$23/Escenarios!$F$16,0)</f>
        <v>0.21758630379830943</v>
      </c>
      <c r="AJ418" s="76">
        <f>IF(Entradas!$F$91&gt;0,Entradas!$D$24*Entradas!$D$22/Escenarios!$F$16,0)</f>
        <v>0.12</v>
      </c>
      <c r="AK418" s="76">
        <f t="shared" si="86"/>
        <v>2.9760574924761443</v>
      </c>
      <c r="AL418" s="76">
        <f t="shared" si="87"/>
        <v>0</v>
      </c>
      <c r="AM418" s="76">
        <f t="shared" si="88"/>
        <v>0.44727268048211966</v>
      </c>
      <c r="AN418" s="76">
        <f>MAX(0,O418*Escenarios!$F$13/Escenarios!$F$16-AM418)</f>
        <v>0.57796624606497504</v>
      </c>
      <c r="AO418" s="76">
        <f>AM418+AN418-O418*Escenarios!$F$13/Escenarios!$F$16</f>
        <v>0</v>
      </c>
      <c r="AP418" s="76">
        <f t="shared" si="89"/>
        <v>0.45883375393502485</v>
      </c>
      <c r="AQ418" s="76">
        <f t="shared" si="90"/>
        <v>0</v>
      </c>
      <c r="AR418" s="76">
        <f t="shared" si="91"/>
        <v>1.0367999999999999</v>
      </c>
      <c r="AS418" s="76">
        <f t="shared" si="92"/>
        <v>0.10968637668381023</v>
      </c>
      <c r="AT418" s="76">
        <f t="shared" si="93"/>
        <v>1.3602960576137939</v>
      </c>
      <c r="AU418" s="76">
        <f t="shared" si="94"/>
        <v>49.68783627723468</v>
      </c>
      <c r="AV418" s="76">
        <f>MAX(0,(AU418-Constantes!$D$13)*(1-EXP(-Constantes!$D$24)))</f>
        <v>1.4335059204585342E-2</v>
      </c>
      <c r="AW418" s="170">
        <f>AW417+(Entradas!$F$112*AT418-AX417)/(800*Entradas!$D$25)</f>
        <v>0</v>
      </c>
      <c r="AX418" s="170">
        <f>8000*Entradas!$D$26*AW418/Constantes!$F$45</f>
        <v>0</v>
      </c>
      <c r="AY418" s="170">
        <f>IF(Escenarios!$F$17&gt;0,10*Escenarios!$F$16*AL418,0)</f>
        <v>0</v>
      </c>
      <c r="AZ418" s="170">
        <f>IF(Escenarios!$F$17&gt;0,10*Escenarios!$F$16*AX418,0)</f>
        <v>0</v>
      </c>
      <c r="BA418" s="170">
        <f>IF(Escenarios!$F$17&gt;0,0.001*Observaciones!$F417*Escenarios!$F$17,0)</f>
        <v>0</v>
      </c>
      <c r="BB418" s="170">
        <f>IF(Escenarios!$F$17&gt;0,Observaciones!$K417,0)</f>
        <v>0</v>
      </c>
      <c r="BC418" s="170">
        <f>IF(Escenarios!$F$17&gt;0,MIN(0.0005*ETo!$M417*Escenarios!$F$17*(BG417/Constantes!$F$40)^(2/3),BG417+AY418+AZ418+BA418+BB418),0)</f>
        <v>0</v>
      </c>
      <c r="BD418" s="170">
        <f>IF(Escenarios!$F$17&gt;0,MIN(Constantes!$F$39*(BG417/Constantes!$F$40)^(2/3),BG417+AY418+AZ418+BA418+BB418-BC418),0)</f>
        <v>0</v>
      </c>
      <c r="BE418" s="170">
        <f>IF(Escenarios!$F$17&gt;0,MIN(Entradas!$F$113,BG417+AY418+AZ418+BA418+BB418-BC418-BD418),0)</f>
        <v>0</v>
      </c>
      <c r="BF418" s="170">
        <f>IF(Escenarios!$F$17&gt;0,MAX(0,BG417+AY418+AZ418+BA418+BB418-BC418-BD418-BE418-Constantes!$F$40),0)</f>
        <v>0</v>
      </c>
      <c r="BG418" s="170">
        <f t="shared" si="95"/>
        <v>0</v>
      </c>
      <c r="BH418" s="170">
        <f>(Escenarios!$F$16*AK418+0.1*BC418)/(Escenarios!$F$19)</f>
        <v>2.9760574924761438</v>
      </c>
      <c r="BI418" s="170">
        <f>IF(Escenarios!$F$17&gt;0,BF418/10/Escenarios!$F$19,AL418)</f>
        <v>0</v>
      </c>
      <c r="BJ418" s="170">
        <f>(Escenarios!$F$16*AT418+0.1*BD418)/(Escenarios!$F$19)</f>
        <v>1.3602960576137939</v>
      </c>
      <c r="BK418" s="76">
        <f>BK417+(0.1*BD418)/(Escenarios!$F$19)-BL417</f>
        <v>48.75</v>
      </c>
      <c r="BL418" s="76">
        <f>MAX(0,(BK418-Constantes!$D$13)*(1-EXP(-Constantes!$D$23)))</f>
        <v>0</v>
      </c>
      <c r="BM418" s="76">
        <f t="shared" si="96"/>
        <v>0.47316881313961018</v>
      </c>
      <c r="BN418" s="76">
        <f t="shared" si="97"/>
        <v>1.0511350592045854</v>
      </c>
      <c r="BO418" s="76">
        <f>0.0526*BI418*Observaciones!$F417^1.218</f>
        <v>0</v>
      </c>
      <c r="BP418" s="76">
        <f>BO418*Constantes!$F$51</f>
        <v>0</v>
      </c>
      <c r="BQ418" s="76">
        <f t="shared" si="98"/>
        <v>0</v>
      </c>
      <c r="BR418" s="40"/>
    </row>
    <row r="419" spans="2:70">
      <c r="B419" s="39"/>
      <c r="C419" s="75">
        <v>413</v>
      </c>
      <c r="D419" s="146">
        <f>ETo!$I418*((1-Constantes!$F$19)*ETo!$K418+ETo!$L418)</f>
        <v>4.5323505399334376</v>
      </c>
      <c r="E419" s="76">
        <f>MIN(D419*Constantes!$F$17,0.8*(N418+Observaciones!$F418-F419-M419-Constantes!$D$14))</f>
        <v>2.5848528025297468</v>
      </c>
      <c r="F419" s="76">
        <f>IF(Observaciones!$F418&gt;0.05*Constantes!$F$18,((Observaciones!$F418-0.05*Constantes!$F$18)^2)/(Observaciones!$F418+0.95*Constantes!$F$18),0)</f>
        <v>0</v>
      </c>
      <c r="G419" s="76">
        <f>IF(Escenarios!$F$11&gt;0,(F419*Escenarios!$F$16*10000)/1000,0)</f>
        <v>0</v>
      </c>
      <c r="H419" s="76">
        <f>IF(Escenarios!$F$11&gt;0,(Observaciones!$F418*Constantes!$F$29)/1000,0)</f>
        <v>0</v>
      </c>
      <c r="I419" s="76">
        <f>IF(Escenarios!$F$11&gt;0,(D419*Constantes!$F$29)/1000,0)</f>
        <v>0</v>
      </c>
      <c r="J419" s="76">
        <f>IF(Escenarios!$F$11&gt;0,MAX(0,G419+H419-I419),0)</f>
        <v>0</v>
      </c>
      <c r="K419" s="76">
        <f>IF(Escenarios!$F$11&gt;0,IF(J419&gt;Constantes!$F$30,1000*((J419-Constantes!$F$30)/(Escenarios!$F$16*10000)),0),F419)</f>
        <v>0</v>
      </c>
      <c r="L419" s="76">
        <f>IF(Escenarios!$F$11&gt;0,I419*1000/Escenarios!$F$16/10000+E419,E419)</f>
        <v>2.5848528025297468</v>
      </c>
      <c r="M419" s="76">
        <f>MAX(0,N418+Observaciones!$F418-K419-Constantes!$D$13)</f>
        <v>0</v>
      </c>
      <c r="N419" s="76">
        <f>N418+Observaciones!$F418-K419-L419-M419-O418</f>
        <v>43.102060589173774</v>
      </c>
      <c r="O419" s="76">
        <f>MAX(0,(N419-Constantes!$D$14)*(1-EXP(-Constantes!$D$22)))</f>
        <v>1.0849981149755041</v>
      </c>
      <c r="P419" s="170">
        <f>P418+(Entradas!$F$83*M419-Q418)/(800*Entradas!$D$25)</f>
        <v>0</v>
      </c>
      <c r="Q419" s="170">
        <f>8000*Entradas!$D$26*P419/Constantes!$F$45</f>
        <v>0</v>
      </c>
      <c r="R419" s="170">
        <f>IF(Escenarios!$F$14&gt;0,K419*Escenarios!$F$13/Escenarios!$F$14,0)</f>
        <v>0</v>
      </c>
      <c r="S419" s="170">
        <f>IF(Escenarios!$F$14&gt;0,Q419*Escenarios!$F$13/Escenarios!$F$14,0)</f>
        <v>0</v>
      </c>
      <c r="T419" s="170">
        <f>IF(Escenarios!$F$14&gt;0,Observaciones!$I418,0)</f>
        <v>0</v>
      </c>
      <c r="U419" s="170">
        <f>IF(Escenarios!$F$14&gt;0,MAX(0,Constantes!$F$36/((Z418+R419+S419+T419+Observaciones!$F418)^2)+Entradas!$F$77),0)</f>
        <v>0.64699958555377091</v>
      </c>
      <c r="V419" s="146">
        <f>IF(ETo!D418&gt;0,ETo!I418*((1-Entradas!$F$81)*ETo!K418+ETo!L418),0)</f>
        <v>4.0280617435380126</v>
      </c>
      <c r="W419" s="170">
        <f>IF(Escenarios!$F$14&gt;0,MIN(V419*1,0.8*(Z418+R419+S419+T419+Observaciones!$F418-U419-Constantes!$F$35)),0)</f>
        <v>4.0280617435380126</v>
      </c>
      <c r="X419" s="170">
        <f>IF(Escenarios!$F$14&gt;0,Observaciones!$J418,0)</f>
        <v>0</v>
      </c>
      <c r="Y419" s="170">
        <f>IF(Escenarios!$F$14&gt;0,MAX(0,Z418+R419+S419+T419+Observaciones!$F418-U419-W419-X419-Constantes!$F$33),0)</f>
        <v>0</v>
      </c>
      <c r="Z419" s="170">
        <f>Z418+R419+S419+T419+Observaciones!$F418-U419-W419-Y419</f>
        <v>61.379907446804374</v>
      </c>
      <c r="AA419" s="170">
        <f>IF(Escenarios!$F$14&gt;0,(Escenarios!$F$13*L419+Escenarios!$F$14*W419)/(Escenarios!$F$16),L419)</f>
        <v>2.7580378754507389</v>
      </c>
      <c r="AB419" s="170">
        <f>IF(Escenarios!$F$14&gt;0,(Escenarios!$F$14*Y419)/(Escenarios!$F$16),K419)</f>
        <v>0</v>
      </c>
      <c r="AC419" s="170">
        <f>IF(Escenarios!$F$14&gt;0,(Escenarios!$F$13*M419+Escenarios!$F$14*U419)/(Escenarios!$F$16),M419)</f>
        <v>7.7639950266452498E-2</v>
      </c>
      <c r="AD419" s="76">
        <f t="shared" si="85"/>
        <v>94.93560438853882</v>
      </c>
      <c r="AE419" s="76">
        <f>MAX(0,(AD419-Constantes!$D$13)*(1-EXP(-Constantes!$D$23)))</f>
        <v>0.45507776059418809</v>
      </c>
      <c r="AF419" s="76">
        <f>AB419+O419*Escenarios!$F$13/Escenarios!$F$16+AE419</f>
        <v>1.4098761017726318</v>
      </c>
      <c r="AG419" s="76">
        <f>IF(Entradas!$F$91&gt;0,IF(AF419-Escenarios!$F$38&lt;=0,0,IF(AF419-Escenarios!$F$38&gt;Escenarios!$F$37,Escenarios!$F$37,AF419-Escenarios!$F$38)),0)</f>
        <v>0.37307610177263184</v>
      </c>
      <c r="AH419" s="76">
        <f>AG419*Entradas!$F$99</f>
        <v>0</v>
      </c>
      <c r="AI419" s="76">
        <f>IF(Entradas!$F$91&gt;0,D419*Entradas!$D$23/Escenarios!$F$16,0)</f>
        <v>0.217552825916805</v>
      </c>
      <c r="AJ419" s="76">
        <f>IF(Entradas!$F$91&gt;0,Entradas!$D$24*Entradas!$D$22/Escenarios!$F$16,0)</f>
        <v>0.12</v>
      </c>
      <c r="AK419" s="76">
        <f t="shared" si="86"/>
        <v>2.975590701367544</v>
      </c>
      <c r="AL419" s="76">
        <f t="shared" si="87"/>
        <v>0</v>
      </c>
      <c r="AM419" s="76">
        <f t="shared" si="88"/>
        <v>0.37307610177263184</v>
      </c>
      <c r="AN419" s="76">
        <f>MAX(0,O419*Escenarios!$F$13/Escenarios!$F$16-AM419)</f>
        <v>0.5817222394058118</v>
      </c>
      <c r="AO419" s="76">
        <f>AM419+AN419-O419*Escenarios!$F$13/Escenarios!$F$16</f>
        <v>0</v>
      </c>
      <c r="AP419" s="76">
        <f t="shared" si="89"/>
        <v>0.45507776059418809</v>
      </c>
      <c r="AQ419" s="76">
        <f t="shared" si="90"/>
        <v>0</v>
      </c>
      <c r="AR419" s="76">
        <f t="shared" si="91"/>
        <v>1.0367999999999999</v>
      </c>
      <c r="AS419" s="76">
        <f t="shared" si="92"/>
        <v>3.5523275855826847E-2</v>
      </c>
      <c r="AT419" s="76">
        <f t="shared" si="93"/>
        <v>0.11316322612227935</v>
      </c>
      <c r="AU419" s="76">
        <f t="shared" si="94"/>
        <v>49.709024493885927</v>
      </c>
      <c r="AV419" s="76">
        <f>MAX(0,(AU419-Constantes!$D$13)*(1-EXP(-Constantes!$D$24)))</f>
        <v>1.4658926330978447E-2</v>
      </c>
      <c r="AW419" s="170">
        <f>AW418+(Entradas!$F$112*AT419-AX418)/(800*Entradas!$D$25)</f>
        <v>0</v>
      </c>
      <c r="AX419" s="170">
        <f>8000*Entradas!$D$26*AW419/Constantes!$F$45</f>
        <v>0</v>
      </c>
      <c r="AY419" s="170">
        <f>IF(Escenarios!$F$17&gt;0,10*Escenarios!$F$16*AL419,0)</f>
        <v>0</v>
      </c>
      <c r="AZ419" s="170">
        <f>IF(Escenarios!$F$17&gt;0,10*Escenarios!$F$16*AX419,0)</f>
        <v>0</v>
      </c>
      <c r="BA419" s="170">
        <f>IF(Escenarios!$F$17&gt;0,0.001*Observaciones!$F418*Escenarios!$F$17,0)</f>
        <v>0</v>
      </c>
      <c r="BB419" s="170">
        <f>IF(Escenarios!$F$17&gt;0,Observaciones!$K418,0)</f>
        <v>0</v>
      </c>
      <c r="BC419" s="170">
        <f>IF(Escenarios!$F$17&gt;0,MIN(0.0005*ETo!$M418*Escenarios!$F$17*(BG418/Constantes!$F$40)^(2/3),BG418+AY419+AZ419+BA419+BB419),0)</f>
        <v>0</v>
      </c>
      <c r="BD419" s="170">
        <f>IF(Escenarios!$F$17&gt;0,MIN(Constantes!$F$39*(BG418/Constantes!$F$40)^(2/3),BG418+AY419+AZ419+BA419+BB419-BC419),0)</f>
        <v>0</v>
      </c>
      <c r="BE419" s="170">
        <f>IF(Escenarios!$F$17&gt;0,MIN(Entradas!$F$113,BG418+AY419+AZ419+BA419+BB419-BC419-BD419),0)</f>
        <v>0</v>
      </c>
      <c r="BF419" s="170">
        <f>IF(Escenarios!$F$17&gt;0,MAX(0,BG418+AY419+AZ419+BA419+BB419-BC419-BD419-BE419-Constantes!$F$40),0)</f>
        <v>0</v>
      </c>
      <c r="BG419" s="170">
        <f t="shared" si="95"/>
        <v>0</v>
      </c>
      <c r="BH419" s="170">
        <f>(Escenarios!$F$16*AK419+0.1*BC419)/(Escenarios!$F$19)</f>
        <v>2.975590701367544</v>
      </c>
      <c r="BI419" s="170">
        <f>IF(Escenarios!$F$17&gt;0,BF419/10/Escenarios!$F$19,AL419)</f>
        <v>0</v>
      </c>
      <c r="BJ419" s="170">
        <f>(Escenarios!$F$16*AT419+0.1*BD419)/(Escenarios!$F$19)</f>
        <v>0.11316322612227935</v>
      </c>
      <c r="BK419" s="76">
        <f>BK418+(0.1*BD419)/(Escenarios!$F$19)-BL418</f>
        <v>48.75</v>
      </c>
      <c r="BL419" s="76">
        <f>MAX(0,(BK419-Constantes!$D$13)*(1-EXP(-Constantes!$D$23)))</f>
        <v>0</v>
      </c>
      <c r="BM419" s="76">
        <f t="shared" si="96"/>
        <v>0.46973668692516651</v>
      </c>
      <c r="BN419" s="76">
        <f t="shared" si="97"/>
        <v>1.0514589263309784</v>
      </c>
      <c r="BO419" s="76">
        <f>0.0526*BI419*Observaciones!$F418^1.218</f>
        <v>0</v>
      </c>
      <c r="BP419" s="76">
        <f>BO419*Constantes!$F$51</f>
        <v>0</v>
      </c>
      <c r="BQ419" s="76">
        <f t="shared" si="98"/>
        <v>0</v>
      </c>
      <c r="BR419" s="40"/>
    </row>
    <row r="420" spans="2:70">
      <c r="B420" s="39"/>
      <c r="C420" s="75">
        <v>414</v>
      </c>
      <c r="D420" s="146">
        <f>ETo!$I419*((1-Constantes!$F$19)*ETo!$K419+ETo!$L419)</f>
        <v>4.6137603400833225</v>
      </c>
      <c r="E420" s="76">
        <f>MIN(D420*Constantes!$F$17,0.8*(N419+Observaciones!$F419-F420-M420-Constantes!$D$14))</f>
        <v>2.6312817687398287</v>
      </c>
      <c r="F420" s="76">
        <f>IF(Observaciones!$F419&gt;0.05*Constantes!$F$18,((Observaciones!$F419-0.05*Constantes!$F$18)^2)/(Observaciones!$F419+0.95*Constantes!$F$18),0)</f>
        <v>1.0501999663621345E-2</v>
      </c>
      <c r="G420" s="76">
        <f>IF(Escenarios!$F$11&gt;0,(F420*Escenarios!$F$16*10000)/1000,0)</f>
        <v>0</v>
      </c>
      <c r="H420" s="76">
        <f>IF(Escenarios!$F$11&gt;0,(Observaciones!$F419*Constantes!$F$29)/1000,0)</f>
        <v>0</v>
      </c>
      <c r="I420" s="76">
        <f>IF(Escenarios!$F$11&gt;0,(D420*Constantes!$F$29)/1000,0)</f>
        <v>0</v>
      </c>
      <c r="J420" s="76">
        <f>IF(Escenarios!$F$11&gt;0,MAX(0,G420+H420-I420),0)</f>
        <v>0</v>
      </c>
      <c r="K420" s="76">
        <f>IF(Escenarios!$F$11&gt;0,IF(J420&gt;Constantes!$F$30,1000*((J420-Constantes!$F$30)/(Escenarios!$F$16*10000)),0),F420)</f>
        <v>1.0501999663621345E-2</v>
      </c>
      <c r="L420" s="76">
        <f>IF(Escenarios!$F$11&gt;0,I420*1000/Escenarios!$F$16/10000+E420,E420)</f>
        <v>2.6312817687398287</v>
      </c>
      <c r="M420" s="76">
        <f>MAX(0,N419+Observaciones!$F419-K420-Constantes!$D$13)</f>
        <v>6.8415585895101501</v>
      </c>
      <c r="N420" s="76">
        <f>N419+Observaciones!$F419-K420-L420-M420-O419</f>
        <v>45.033720116284663</v>
      </c>
      <c r="O420" s="76">
        <f>MAX(0,(N420-Constantes!$D$14)*(1-EXP(-Constantes!$D$22)))</f>
        <v>1.1507975297361976</v>
      </c>
      <c r="P420" s="170">
        <f>P419+(Entradas!$F$83*M420-Q419)/(800*Entradas!$D$25)</f>
        <v>0</v>
      </c>
      <c r="Q420" s="170">
        <f>8000*Entradas!$D$26*P420/Constantes!$F$45</f>
        <v>0</v>
      </c>
      <c r="R420" s="170">
        <f>IF(Escenarios!$F$14&gt;0,K420*Escenarios!$F$13/Escenarios!$F$14,0)</f>
        <v>7.7014664199889865E-2</v>
      </c>
      <c r="S420" s="170">
        <f>IF(Escenarios!$F$14&gt;0,Q420*Escenarios!$F$13/Escenarios!$F$14,0)</f>
        <v>0</v>
      </c>
      <c r="T420" s="170">
        <f>IF(Escenarios!$F$14&gt;0,Observaciones!$I419,0)</f>
        <v>0</v>
      </c>
      <c r="U420" s="170">
        <f>IF(Escenarios!$F$14&gt;0,MAX(0,Constantes!$F$36/((Z419+R420+S420+T420+Observaciones!$F419)^2)+Entradas!$F$77),0)</f>
        <v>1.122952212074757</v>
      </c>
      <c r="V420" s="146">
        <f>IF(ETo!D419&gt;0,ETo!I419*((1-Entradas!$F$81)*ETo!K419+ETo!L419),0)</f>
        <v>4.1018173150367536</v>
      </c>
      <c r="W420" s="170">
        <f>IF(Escenarios!$F$14&gt;0,MIN(V420*1,0.8*(Z419+R420+S420+T420+Observaciones!$F419-U420-Constantes!$F$35)),0)</f>
        <v>4.1018173150367536</v>
      </c>
      <c r="X420" s="170">
        <f>IF(Escenarios!$F$14&gt;0,Observaciones!$J419,0)</f>
        <v>0</v>
      </c>
      <c r="Y420" s="170">
        <f>IF(Escenarios!$F$14&gt;0,MAX(0,Z419+R420+S420+T420+Observaciones!$F419-U420-W420-X420-Constantes!$F$33),0)</f>
        <v>0</v>
      </c>
      <c r="Z420" s="170">
        <f>Z419+R420+S420+T420+Observaciones!$F419-U420-W420-Y420</f>
        <v>68.732152583892756</v>
      </c>
      <c r="AA420" s="170">
        <f>IF(Escenarios!$F$14&gt;0,(Escenarios!$F$13*L420+Escenarios!$F$14*W420)/(Escenarios!$F$16),L420)</f>
        <v>2.8077460342954597</v>
      </c>
      <c r="AB420" s="170">
        <f>IF(Escenarios!$F$14&gt;0,(Escenarios!$F$14*Y420)/(Escenarios!$F$16),K420)</f>
        <v>0</v>
      </c>
      <c r="AC420" s="170">
        <f>IF(Escenarios!$F$14&gt;0,(Escenarios!$F$13*M420+Escenarios!$F$14*U420)/(Escenarios!$F$16),M420)</f>
        <v>6.1553258242179023</v>
      </c>
      <c r="AD420" s="76">
        <f t="shared" si="85"/>
        <v>100.63585245216252</v>
      </c>
      <c r="AE420" s="76">
        <f>MAX(0,(AD420-Constantes!$D$13)*(1-EXP(-Constantes!$D$23)))</f>
        <v>0.51124366245838371</v>
      </c>
      <c r="AF420" s="76">
        <f>AB420+O420*Escenarios!$F$13/Escenarios!$F$16+AE420</f>
        <v>1.5239454886262376</v>
      </c>
      <c r="AG420" s="76">
        <f>IF(Entradas!$F$91&gt;0,IF(AF420-Escenarios!$F$38&lt;=0,0,IF(AF420-Escenarios!$F$38&gt;Escenarios!$F$37,Escenarios!$F$37,AF420-Escenarios!$F$38)),0)</f>
        <v>0.48714548862623763</v>
      </c>
      <c r="AH420" s="76">
        <f>AG420*Entradas!$F$99</f>
        <v>0</v>
      </c>
      <c r="AI420" s="76">
        <f>IF(Entradas!$F$91&gt;0,D420*Entradas!$D$23/Escenarios!$F$16,0)</f>
        <v>0.22146049632399947</v>
      </c>
      <c r="AJ420" s="76">
        <f>IF(Entradas!$F$91&gt;0,Entradas!$D$24*Entradas!$D$22/Escenarios!$F$16,0)</f>
        <v>0.12</v>
      </c>
      <c r="AK420" s="76">
        <f t="shared" si="86"/>
        <v>3.0292065306194593</v>
      </c>
      <c r="AL420" s="76">
        <f t="shared" si="87"/>
        <v>0</v>
      </c>
      <c r="AM420" s="76">
        <f t="shared" si="88"/>
        <v>0.48714548862623763</v>
      </c>
      <c r="AN420" s="76">
        <f>MAX(0,O420*Escenarios!$F$13/Escenarios!$F$16-AM420)</f>
        <v>0.52555633754161635</v>
      </c>
      <c r="AO420" s="76">
        <f>AM420+AN420-O420*Escenarios!$F$13/Escenarios!$F$16</f>
        <v>0</v>
      </c>
      <c r="AP420" s="76">
        <f t="shared" si="89"/>
        <v>0.51124366245838371</v>
      </c>
      <c r="AQ420" s="76">
        <f t="shared" si="90"/>
        <v>0</v>
      </c>
      <c r="AR420" s="76">
        <f t="shared" si="91"/>
        <v>1.0367999999999999</v>
      </c>
      <c r="AS420" s="76">
        <f t="shared" si="92"/>
        <v>0.14568499230223819</v>
      </c>
      <c r="AT420" s="76">
        <f t="shared" si="93"/>
        <v>6.3010108165201402</v>
      </c>
      <c r="AU420" s="76">
        <f t="shared" si="94"/>
        <v>49.840050559857183</v>
      </c>
      <c r="AV420" s="76">
        <f>MAX(0,(AU420-Constantes!$D$13)*(1-EXP(-Constantes!$D$24)))</f>
        <v>1.66616921213786E-2</v>
      </c>
      <c r="AW420" s="170">
        <f>AW419+(Entradas!$F$112*AT420-AX419)/(800*Entradas!$D$25)</f>
        <v>0</v>
      </c>
      <c r="AX420" s="170">
        <f>8000*Entradas!$D$26*AW420/Constantes!$F$45</f>
        <v>0</v>
      </c>
      <c r="AY420" s="170">
        <f>IF(Escenarios!$F$17&gt;0,10*Escenarios!$F$16*AL420,0)</f>
        <v>0</v>
      </c>
      <c r="AZ420" s="170">
        <f>IF(Escenarios!$F$17&gt;0,10*Escenarios!$F$16*AX420,0)</f>
        <v>0</v>
      </c>
      <c r="BA420" s="170">
        <f>IF(Escenarios!$F$17&gt;0,0.001*Observaciones!$F419*Escenarios!$F$17,0)</f>
        <v>0</v>
      </c>
      <c r="BB420" s="170">
        <f>IF(Escenarios!$F$17&gt;0,Observaciones!$K419,0)</f>
        <v>0</v>
      </c>
      <c r="BC420" s="170">
        <f>IF(Escenarios!$F$17&gt;0,MIN(0.0005*ETo!$M419*Escenarios!$F$17*(BG419/Constantes!$F$40)^(2/3),BG419+AY420+AZ420+BA420+BB420),0)</f>
        <v>0</v>
      </c>
      <c r="BD420" s="170">
        <f>IF(Escenarios!$F$17&gt;0,MIN(Constantes!$F$39*(BG419/Constantes!$F$40)^(2/3),BG419+AY420+AZ420+BA420+BB420-BC420),0)</f>
        <v>0</v>
      </c>
      <c r="BE420" s="170">
        <f>IF(Escenarios!$F$17&gt;0,MIN(Entradas!$F$113,BG419+AY420+AZ420+BA420+BB420-BC420-BD420),0)</f>
        <v>0</v>
      </c>
      <c r="BF420" s="170">
        <f>IF(Escenarios!$F$17&gt;0,MAX(0,BG419+AY420+AZ420+BA420+BB420-BC420-BD420-BE420-Constantes!$F$40),0)</f>
        <v>0</v>
      </c>
      <c r="BG420" s="170">
        <f t="shared" si="95"/>
        <v>0</v>
      </c>
      <c r="BH420" s="170">
        <f>(Escenarios!$F$16*AK420+0.1*BC420)/(Escenarios!$F$19)</f>
        <v>3.0292065306194593</v>
      </c>
      <c r="BI420" s="170">
        <f>IF(Escenarios!$F$17&gt;0,BF420/10/Escenarios!$F$19,AL420)</f>
        <v>0</v>
      </c>
      <c r="BJ420" s="170">
        <f>(Escenarios!$F$16*AT420+0.1*BD420)/(Escenarios!$F$19)</f>
        <v>6.3010108165201402</v>
      </c>
      <c r="BK420" s="76">
        <f>BK419+(0.1*BD420)/(Escenarios!$F$19)-BL419</f>
        <v>48.75</v>
      </c>
      <c r="BL420" s="76">
        <f>MAX(0,(BK420-Constantes!$D$13)*(1-EXP(-Constantes!$D$23)))</f>
        <v>0</v>
      </c>
      <c r="BM420" s="76">
        <f t="shared" si="96"/>
        <v>0.52790535457976229</v>
      </c>
      <c r="BN420" s="76">
        <f t="shared" si="97"/>
        <v>1.0534616921213786</v>
      </c>
      <c r="BO420" s="76">
        <f>0.0526*BI420*Observaciones!$F419^1.218</f>
        <v>0</v>
      </c>
      <c r="BP420" s="76">
        <f>BO420*Constantes!$F$51</f>
        <v>0</v>
      </c>
      <c r="BQ420" s="76">
        <f t="shared" si="98"/>
        <v>0</v>
      </c>
      <c r="BR420" s="40"/>
    </row>
    <row r="421" spans="2:70">
      <c r="B421" s="39"/>
      <c r="C421" s="75">
        <v>415</v>
      </c>
      <c r="D421" s="146">
        <f>ETo!$I420*((1-Constantes!$F$19)*ETo!$K420+ETo!$L420)</f>
        <v>4.4890524473129991</v>
      </c>
      <c r="E421" s="76">
        <f>MIN(D421*Constantes!$F$17,0.8*(N420+Observaciones!$F420-F421-M421-Constantes!$D$14))</f>
        <v>2.5601593912262652</v>
      </c>
      <c r="F421" s="76">
        <f>IF(Observaciones!$F420&gt;0.05*Constantes!$F$18,((Observaciones!$F420-0.05*Constantes!$F$18)^2)/(Observaciones!$F420+0.95*Constantes!$F$18),0)</f>
        <v>0</v>
      </c>
      <c r="G421" s="76">
        <f>IF(Escenarios!$F$11&gt;0,(F421*Escenarios!$F$16*10000)/1000,0)</f>
        <v>0</v>
      </c>
      <c r="H421" s="76">
        <f>IF(Escenarios!$F$11&gt;0,(Observaciones!$F420*Constantes!$F$29)/1000,0)</f>
        <v>0</v>
      </c>
      <c r="I421" s="76">
        <f>IF(Escenarios!$F$11&gt;0,(D421*Constantes!$F$29)/1000,0)</f>
        <v>0</v>
      </c>
      <c r="J421" s="76">
        <f>IF(Escenarios!$F$11&gt;0,MAX(0,G421+H421-I421),0)</f>
        <v>0</v>
      </c>
      <c r="K421" s="76">
        <f>IF(Escenarios!$F$11&gt;0,IF(J421&gt;Constantes!$F$30,1000*((J421-Constantes!$F$30)/(Escenarios!$F$16*10000)),0),F421)</f>
        <v>0</v>
      </c>
      <c r="L421" s="76">
        <f>IF(Escenarios!$F$11&gt;0,I421*1000/Escenarios!$F$16/10000+E421,E421)</f>
        <v>2.5601593912262652</v>
      </c>
      <c r="M421" s="76">
        <f>MAX(0,N420+Observaciones!$F420-K421-Constantes!$D$13)</f>
        <v>0</v>
      </c>
      <c r="N421" s="76">
        <f>N420+Observaciones!$F420-K421-L421-M421-O420</f>
        <v>41.322763195322203</v>
      </c>
      <c r="O421" s="76">
        <f>MAX(0,(N421-Constantes!$D$14)*(1-EXP(-Constantes!$D$22)))</f>
        <v>1.0243887138064647</v>
      </c>
      <c r="P421" s="170">
        <f>P420+(Entradas!$F$83*M421-Q420)/(800*Entradas!$D$25)</f>
        <v>0</v>
      </c>
      <c r="Q421" s="170">
        <f>8000*Entradas!$D$26*P421/Constantes!$F$45</f>
        <v>0</v>
      </c>
      <c r="R421" s="170">
        <f>IF(Escenarios!$F$14&gt;0,K421*Escenarios!$F$13/Escenarios!$F$14,0)</f>
        <v>0</v>
      </c>
      <c r="S421" s="170">
        <f>IF(Escenarios!$F$14&gt;0,Q421*Escenarios!$F$13/Escenarios!$F$14,0)</f>
        <v>0</v>
      </c>
      <c r="T421" s="170">
        <f>IF(Escenarios!$F$14&gt;0,Observaciones!$I420,0)</f>
        <v>0</v>
      </c>
      <c r="U421" s="170">
        <f>IF(Escenarios!$F$14&gt;0,MAX(0,Constantes!$F$36/((Z420+R421+S421+T421+Observaciones!$F420)^2)+Entradas!$F$77),0)</f>
        <v>0.8267329485353514</v>
      </c>
      <c r="V421" s="146">
        <f>IF(ETo!D420&gt;0,ETo!I420*((1-Entradas!$F$81)*ETo!K420+ETo!L420),0)</f>
        <v>3.9887403357624045</v>
      </c>
      <c r="W421" s="170">
        <f>IF(Escenarios!$F$14&gt;0,MIN(V421*1,0.8*(Z420+R421+S421+T421+Observaciones!$F420-U421-Constantes!$F$35)),0)</f>
        <v>3.9887403357624045</v>
      </c>
      <c r="X421" s="170">
        <f>IF(Escenarios!$F$14&gt;0,Observaciones!$J420,0)</f>
        <v>0</v>
      </c>
      <c r="Y421" s="170">
        <f>IF(Escenarios!$F$14&gt;0,MAX(0,Z420+R421+S421+T421+Observaciones!$F420-U421-W421-X421-Constantes!$F$33),0)</f>
        <v>0</v>
      </c>
      <c r="Z421" s="170">
        <f>Z420+R421+S421+T421+Observaciones!$F420-U421-W421-Y421</f>
        <v>63.916679299595003</v>
      </c>
      <c r="AA421" s="170">
        <f>IF(Escenarios!$F$14&gt;0,(Escenarios!$F$13*L421+Escenarios!$F$14*W421)/(Escenarios!$F$16),L421)</f>
        <v>2.731589104570602</v>
      </c>
      <c r="AB421" s="170">
        <f>IF(Escenarios!$F$14&gt;0,(Escenarios!$F$14*Y421)/(Escenarios!$F$16),K421)</f>
        <v>0</v>
      </c>
      <c r="AC421" s="170">
        <f>IF(Escenarios!$F$14&gt;0,(Escenarios!$F$13*M421+Escenarios!$F$14*U421)/(Escenarios!$F$16),M421)</f>
        <v>9.9207953824242162E-2</v>
      </c>
      <c r="AD421" s="76">
        <f t="shared" si="85"/>
        <v>100.22381674352839</v>
      </c>
      <c r="AE421" s="76">
        <f>MAX(0,(AD421-Constantes!$D$13)*(1-EXP(-Constantes!$D$23)))</f>
        <v>0.50718377648195179</v>
      </c>
      <c r="AF421" s="76">
        <f>AB421+O421*Escenarios!$F$13/Escenarios!$F$16+AE421</f>
        <v>1.4086458446316406</v>
      </c>
      <c r="AG421" s="76">
        <f>IF(Entradas!$F$91&gt;0,IF(AF421-Escenarios!$F$38&lt;=0,0,IF(AF421-Escenarios!$F$38&gt;Escenarios!$F$37,Escenarios!$F$37,AF421-Escenarios!$F$38)),0)</f>
        <v>0.37184584463164061</v>
      </c>
      <c r="AH421" s="76">
        <f>AG421*Entradas!$F$99</f>
        <v>0</v>
      </c>
      <c r="AI421" s="76">
        <f>IF(Entradas!$F$91&gt;0,D421*Entradas!$D$23/Escenarios!$F$16,0)</f>
        <v>0.21547451747102395</v>
      </c>
      <c r="AJ421" s="76">
        <f>IF(Entradas!$F$91&gt;0,Entradas!$D$24*Entradas!$D$22/Escenarios!$F$16,0)</f>
        <v>0.12</v>
      </c>
      <c r="AK421" s="76">
        <f t="shared" si="86"/>
        <v>2.9470636220416258</v>
      </c>
      <c r="AL421" s="76">
        <f t="shared" si="87"/>
        <v>0</v>
      </c>
      <c r="AM421" s="76">
        <f t="shared" si="88"/>
        <v>0.37184584463164061</v>
      </c>
      <c r="AN421" s="76">
        <f>MAX(0,O421*Escenarios!$F$13/Escenarios!$F$16-AM421)</f>
        <v>0.52961622351804827</v>
      </c>
      <c r="AO421" s="76">
        <f>AM421+AN421-O421*Escenarios!$F$13/Escenarios!$F$16</f>
        <v>0</v>
      </c>
      <c r="AP421" s="76">
        <f t="shared" si="89"/>
        <v>0.50718377648195179</v>
      </c>
      <c r="AQ421" s="76">
        <f t="shared" si="90"/>
        <v>0</v>
      </c>
      <c r="AR421" s="76">
        <f t="shared" si="91"/>
        <v>1.0367999999999999</v>
      </c>
      <c r="AS421" s="76">
        <f t="shared" si="92"/>
        <v>3.6371327160616668E-2</v>
      </c>
      <c r="AT421" s="76">
        <f t="shared" si="93"/>
        <v>0.13557928098485883</v>
      </c>
      <c r="AU421" s="76">
        <f t="shared" si="94"/>
        <v>49.859760194896417</v>
      </c>
      <c r="AV421" s="76">
        <f>MAX(0,(AU421-Constantes!$D$13)*(1-EXP(-Constantes!$D$24)))</f>
        <v>1.6962958762525487E-2</v>
      </c>
      <c r="AW421" s="170">
        <f>AW420+(Entradas!$F$112*AT421-AX420)/(800*Entradas!$D$25)</f>
        <v>0</v>
      </c>
      <c r="AX421" s="170">
        <f>8000*Entradas!$D$26*AW421/Constantes!$F$45</f>
        <v>0</v>
      </c>
      <c r="AY421" s="170">
        <f>IF(Escenarios!$F$17&gt;0,10*Escenarios!$F$16*AL421,0)</f>
        <v>0</v>
      </c>
      <c r="AZ421" s="170">
        <f>IF(Escenarios!$F$17&gt;0,10*Escenarios!$F$16*AX421,0)</f>
        <v>0</v>
      </c>
      <c r="BA421" s="170">
        <f>IF(Escenarios!$F$17&gt;0,0.001*Observaciones!$F420*Escenarios!$F$17,0)</f>
        <v>0</v>
      </c>
      <c r="BB421" s="170">
        <f>IF(Escenarios!$F$17&gt;0,Observaciones!$K420,0)</f>
        <v>0</v>
      </c>
      <c r="BC421" s="170">
        <f>IF(Escenarios!$F$17&gt;0,MIN(0.0005*ETo!$M420*Escenarios!$F$17*(BG420/Constantes!$F$40)^(2/3),BG420+AY421+AZ421+BA421+BB421),0)</f>
        <v>0</v>
      </c>
      <c r="BD421" s="170">
        <f>IF(Escenarios!$F$17&gt;0,MIN(Constantes!$F$39*(BG420/Constantes!$F$40)^(2/3),BG420+AY421+AZ421+BA421+BB421-BC421),0)</f>
        <v>0</v>
      </c>
      <c r="BE421" s="170">
        <f>IF(Escenarios!$F$17&gt;0,MIN(Entradas!$F$113,BG420+AY421+AZ421+BA421+BB421-BC421-BD421),0)</f>
        <v>0</v>
      </c>
      <c r="BF421" s="170">
        <f>IF(Escenarios!$F$17&gt;0,MAX(0,BG420+AY421+AZ421+BA421+BB421-BC421-BD421-BE421-Constantes!$F$40),0)</f>
        <v>0</v>
      </c>
      <c r="BG421" s="170">
        <f t="shared" si="95"/>
        <v>0</v>
      </c>
      <c r="BH421" s="170">
        <f>(Escenarios!$F$16*AK421+0.1*BC421)/(Escenarios!$F$19)</f>
        <v>2.9470636220416258</v>
      </c>
      <c r="BI421" s="170">
        <f>IF(Escenarios!$F$17&gt;0,BF421/10/Escenarios!$F$19,AL421)</f>
        <v>0</v>
      </c>
      <c r="BJ421" s="170">
        <f>(Escenarios!$F$16*AT421+0.1*BD421)/(Escenarios!$F$19)</f>
        <v>0.13557928098485883</v>
      </c>
      <c r="BK421" s="76">
        <f>BK420+(0.1*BD421)/(Escenarios!$F$19)-BL420</f>
        <v>48.75</v>
      </c>
      <c r="BL421" s="76">
        <f>MAX(0,(BK421-Constantes!$D$13)*(1-EXP(-Constantes!$D$23)))</f>
        <v>0</v>
      </c>
      <c r="BM421" s="76">
        <f t="shared" si="96"/>
        <v>0.5241467352444773</v>
      </c>
      <c r="BN421" s="76">
        <f t="shared" si="97"/>
        <v>1.0537629587625255</v>
      </c>
      <c r="BO421" s="76">
        <f>0.0526*BI421*Observaciones!$F420^1.218</f>
        <v>0</v>
      </c>
      <c r="BP421" s="76">
        <f>BO421*Constantes!$F$51</f>
        <v>0</v>
      </c>
      <c r="BQ421" s="76">
        <f t="shared" si="98"/>
        <v>0</v>
      </c>
      <c r="BR421" s="40"/>
    </row>
    <row r="422" spans="2:70">
      <c r="B422" s="39"/>
      <c r="C422" s="75">
        <v>416</v>
      </c>
      <c r="D422" s="146">
        <f>ETo!$I421*((1-Constantes!$F$19)*ETo!$K421+ETo!$L421)</f>
        <v>4.33689457399199</v>
      </c>
      <c r="E422" s="76">
        <f>MIN(D422*Constantes!$F$17,0.8*(N421+Observaciones!$F421-F422-M422-Constantes!$D$14))</f>
        <v>2.473381967058506</v>
      </c>
      <c r="F422" s="76">
        <f>IF(Observaciones!$F421&gt;0.05*Constantes!$F$18,((Observaciones!$F421-0.05*Constantes!$F$18)^2)/(Observaciones!$F421+0.95*Constantes!$F$18),0)</f>
        <v>0.72936808979004231</v>
      </c>
      <c r="G422" s="76">
        <f>IF(Escenarios!$F$11&gt;0,(F422*Escenarios!$F$16*10000)/1000,0)</f>
        <v>0</v>
      </c>
      <c r="H422" s="76">
        <f>IF(Escenarios!$F$11&gt;0,(Observaciones!$F421*Constantes!$F$29)/1000,0)</f>
        <v>0</v>
      </c>
      <c r="I422" s="76">
        <f>IF(Escenarios!$F$11&gt;0,(D422*Constantes!$F$29)/1000,0)</f>
        <v>0</v>
      </c>
      <c r="J422" s="76">
        <f>IF(Escenarios!$F$11&gt;0,MAX(0,G422+H422-I422),0)</f>
        <v>0</v>
      </c>
      <c r="K422" s="76">
        <f>IF(Escenarios!$F$11&gt;0,IF(J422&gt;Constantes!$F$30,1000*((J422-Constantes!$F$30)/(Escenarios!$F$16*10000)),0),F422)</f>
        <v>0.72936808979004231</v>
      </c>
      <c r="L422" s="76">
        <f>IF(Escenarios!$F$11&gt;0,I422*1000/Escenarios!$F$16/10000+E422,E422)</f>
        <v>2.473381967058506</v>
      </c>
      <c r="M422" s="76">
        <f>MAX(0,N421+Observaciones!$F421-K422-Constantes!$D$13)</f>
        <v>15.843395105532167</v>
      </c>
      <c r="N422" s="76">
        <f>N421+Observaciones!$F421-K422-L422-M422-O421</f>
        <v>45.252229319135026</v>
      </c>
      <c r="O422" s="76">
        <f>MAX(0,(N422-Constantes!$D$14)*(1-EXP(-Constantes!$D$22)))</f>
        <v>1.1582407553489866</v>
      </c>
      <c r="P422" s="170">
        <f>P421+(Entradas!$F$83*M422-Q421)/(800*Entradas!$D$25)</f>
        <v>0</v>
      </c>
      <c r="Q422" s="170">
        <f>8000*Entradas!$D$26*P422/Constantes!$F$45</f>
        <v>0</v>
      </c>
      <c r="R422" s="170">
        <f>IF(Escenarios!$F$14&gt;0,K422*Escenarios!$F$13/Escenarios!$F$14,0)</f>
        <v>5.3486993251269768</v>
      </c>
      <c r="S422" s="170">
        <f>IF(Escenarios!$F$14&gt;0,Q422*Escenarios!$F$13/Escenarios!$F$14,0)</f>
        <v>0</v>
      </c>
      <c r="T422" s="170">
        <f>IF(Escenarios!$F$14&gt;0,Observaciones!$I421,0)</f>
        <v>0</v>
      </c>
      <c r="U422" s="170">
        <f>IF(Escenarios!$F$14&gt;0,MAX(0,Constantes!$F$36/((Z421+R422+S422+T422+Observaciones!$F421)^2)+Entradas!$F$77),0)</f>
        <v>1.8197009119196532</v>
      </c>
      <c r="V422" s="146">
        <f>IF(ETo!D421&gt;0,ETo!I421*((1-Entradas!$F$81)*ETo!K421+ETo!L421),0)</f>
        <v>3.8513424658427327</v>
      </c>
      <c r="W422" s="170">
        <f>IF(Escenarios!$F$14&gt;0,MIN(V422*1,0.8*(Z421+R422+S422+T422+Observaciones!$F421-U422-Constantes!$F$35)),0)</f>
        <v>3.8513424658427327</v>
      </c>
      <c r="X422" s="170">
        <f>IF(Escenarios!$F$14&gt;0,Observaciones!$J421,0)</f>
        <v>0</v>
      </c>
      <c r="Y422" s="170">
        <f>IF(Escenarios!$F$14&gt;0,MAX(0,Z421+R422+S422+T422+Observaciones!$F421-U422-W422-X422-Constantes!$F$33),0)</f>
        <v>0</v>
      </c>
      <c r="Z422" s="170">
        <f>Z421+R422+S422+T422+Observaciones!$F421-U422-W422-Y422</f>
        <v>87.594335246959588</v>
      </c>
      <c r="AA422" s="170">
        <f>IF(Escenarios!$F$14&gt;0,(Escenarios!$F$13*L422+Escenarios!$F$14*W422)/(Escenarios!$F$16),L422)</f>
        <v>2.638737226912613</v>
      </c>
      <c r="AB422" s="170">
        <f>IF(Escenarios!$F$14&gt;0,(Escenarios!$F$14*Y422)/(Escenarios!$F$16),K422)</f>
        <v>0</v>
      </c>
      <c r="AC422" s="170">
        <f>IF(Escenarios!$F$14&gt;0,(Escenarios!$F$13*M422+Escenarios!$F$14*U422)/(Escenarios!$F$16),M422)</f>
        <v>14.160551802298665</v>
      </c>
      <c r="AD422" s="76">
        <f t="shared" si="85"/>
        <v>113.87718476934511</v>
      </c>
      <c r="AE422" s="76">
        <f>MAX(0,(AD422-Constantes!$D$13)*(1-EXP(-Constantes!$D$23)))</f>
        <v>0.64171366361922677</v>
      </c>
      <c r="AF422" s="76">
        <f>AB422+O422*Escenarios!$F$13/Escenarios!$F$16+AE422</f>
        <v>1.6609655283263351</v>
      </c>
      <c r="AG422" s="76">
        <f>IF(Entradas!$F$91&gt;0,IF(AF422-Escenarios!$F$38&lt;=0,0,IF(AF422-Escenarios!$F$38&gt;Escenarios!$F$37,Escenarios!$F$37,AF422-Escenarios!$F$38)),0)</f>
        <v>0.62416552832633521</v>
      </c>
      <c r="AH422" s="76">
        <f>AG422*Entradas!$F$99</f>
        <v>0</v>
      </c>
      <c r="AI422" s="76">
        <f>IF(Entradas!$F$91&gt;0,D422*Entradas!$D$23/Escenarios!$F$16,0)</f>
        <v>0.2081709395516155</v>
      </c>
      <c r="AJ422" s="76">
        <f>IF(Entradas!$F$91&gt;0,Entradas!$D$24*Entradas!$D$22/Escenarios!$F$16,0)</f>
        <v>0.12</v>
      </c>
      <c r="AK422" s="76">
        <f t="shared" si="86"/>
        <v>2.8469081664642286</v>
      </c>
      <c r="AL422" s="76">
        <f t="shared" si="87"/>
        <v>0</v>
      </c>
      <c r="AM422" s="76">
        <f t="shared" si="88"/>
        <v>0.62416552832633521</v>
      </c>
      <c r="AN422" s="76">
        <f>MAX(0,O422*Escenarios!$F$13/Escenarios!$F$16-AM422)</f>
        <v>0.39508633638077306</v>
      </c>
      <c r="AO422" s="76">
        <f>AM422+AN422-O422*Escenarios!$F$13/Escenarios!$F$16</f>
        <v>0</v>
      </c>
      <c r="AP422" s="76">
        <f t="shared" si="89"/>
        <v>0.64171366361922677</v>
      </c>
      <c r="AQ422" s="76">
        <f t="shared" si="90"/>
        <v>0</v>
      </c>
      <c r="AR422" s="76">
        <f t="shared" si="91"/>
        <v>1.0367999999999999</v>
      </c>
      <c r="AS422" s="76">
        <f t="shared" si="92"/>
        <v>0.29599458877471974</v>
      </c>
      <c r="AT422" s="76">
        <f t="shared" si="93"/>
        <v>14.456546391073385</v>
      </c>
      <c r="AU422" s="76">
        <f t="shared" si="94"/>
        <v>50.138791824908608</v>
      </c>
      <c r="AV422" s="76">
        <f>MAX(0,(AU422-Constantes!$D$13)*(1-EXP(-Constantes!$D$24)))</f>
        <v>2.122802616637021E-2</v>
      </c>
      <c r="AW422" s="170">
        <f>AW421+(Entradas!$F$112*AT422-AX421)/(800*Entradas!$D$25)</f>
        <v>0</v>
      </c>
      <c r="AX422" s="170">
        <f>8000*Entradas!$D$26*AW422/Constantes!$F$45</f>
        <v>0</v>
      </c>
      <c r="AY422" s="170">
        <f>IF(Escenarios!$F$17&gt;0,10*Escenarios!$F$16*AL422,0)</f>
        <v>0</v>
      </c>
      <c r="AZ422" s="170">
        <f>IF(Escenarios!$F$17&gt;0,10*Escenarios!$F$16*AX422,0)</f>
        <v>0</v>
      </c>
      <c r="BA422" s="170">
        <f>IF(Escenarios!$F$17&gt;0,0.001*Observaciones!$F421*Escenarios!$F$17,0)</f>
        <v>0</v>
      </c>
      <c r="BB422" s="170">
        <f>IF(Escenarios!$F$17&gt;0,Observaciones!$K421,0)</f>
        <v>0</v>
      </c>
      <c r="BC422" s="170">
        <f>IF(Escenarios!$F$17&gt;0,MIN(0.0005*ETo!$M421*Escenarios!$F$17*(BG421/Constantes!$F$40)^(2/3),BG421+AY422+AZ422+BA422+BB422),0)</f>
        <v>0</v>
      </c>
      <c r="BD422" s="170">
        <f>IF(Escenarios!$F$17&gt;0,MIN(Constantes!$F$39*(BG421/Constantes!$F$40)^(2/3),BG421+AY422+AZ422+BA422+BB422-BC422),0)</f>
        <v>0</v>
      </c>
      <c r="BE422" s="170">
        <f>IF(Escenarios!$F$17&gt;0,MIN(Entradas!$F$113,BG421+AY422+AZ422+BA422+BB422-BC422-BD422),0)</f>
        <v>0</v>
      </c>
      <c r="BF422" s="170">
        <f>IF(Escenarios!$F$17&gt;0,MAX(0,BG421+AY422+AZ422+BA422+BB422-BC422-BD422-BE422-Constantes!$F$40),0)</f>
        <v>0</v>
      </c>
      <c r="BG422" s="170">
        <f t="shared" si="95"/>
        <v>0</v>
      </c>
      <c r="BH422" s="170">
        <f>(Escenarios!$F$16*AK422+0.1*BC422)/(Escenarios!$F$19)</f>
        <v>2.8469081664642286</v>
      </c>
      <c r="BI422" s="170">
        <f>IF(Escenarios!$F$17&gt;0,BF422/10/Escenarios!$F$19,AL422)</f>
        <v>0</v>
      </c>
      <c r="BJ422" s="170">
        <f>(Escenarios!$F$16*AT422+0.1*BD422)/(Escenarios!$F$19)</f>
        <v>14.456546391073385</v>
      </c>
      <c r="BK422" s="76">
        <f>BK421+(0.1*BD422)/(Escenarios!$F$19)-BL421</f>
        <v>48.75</v>
      </c>
      <c r="BL422" s="76">
        <f>MAX(0,(BK422-Constantes!$D$13)*(1-EXP(-Constantes!$D$23)))</f>
        <v>0</v>
      </c>
      <c r="BM422" s="76">
        <f t="shared" si="96"/>
        <v>0.66294168978559698</v>
      </c>
      <c r="BN422" s="76">
        <f t="shared" si="97"/>
        <v>1.0580280261663702</v>
      </c>
      <c r="BO422" s="76">
        <f>0.0526*BI422*Observaciones!$F421^1.218</f>
        <v>0</v>
      </c>
      <c r="BP422" s="76">
        <f>BO422*Constantes!$F$51</f>
        <v>0</v>
      </c>
      <c r="BQ422" s="76">
        <f t="shared" si="98"/>
        <v>0</v>
      </c>
      <c r="BR422" s="40"/>
    </row>
    <row r="423" spans="2:70">
      <c r="B423" s="39"/>
      <c r="C423" s="75">
        <v>417</v>
      </c>
      <c r="D423" s="146">
        <f>ETo!$I422*((1-Constantes!$F$19)*ETo!$K422+ETo!$L422)</f>
        <v>4.1662595612929705</v>
      </c>
      <c r="E423" s="76">
        <f>MIN(D423*Constantes!$F$17,0.8*(N422+Observaciones!$F422-F423-M423-Constantes!$D$14))</f>
        <v>2.3760668130564864</v>
      </c>
      <c r="F423" s="76">
        <f>IF(Observaciones!$F422&gt;0.05*Constantes!$F$18,((Observaciones!$F422-0.05*Constantes!$F$18)^2)/(Observaciones!$F422+0.95*Constantes!$F$18),0)</f>
        <v>5.7220025586548371E-3</v>
      </c>
      <c r="G423" s="76">
        <f>IF(Escenarios!$F$11&gt;0,(F423*Escenarios!$F$16*10000)/1000,0)</f>
        <v>0</v>
      </c>
      <c r="H423" s="76">
        <f>IF(Escenarios!$F$11&gt;0,(Observaciones!$F422*Constantes!$F$29)/1000,0)</f>
        <v>0</v>
      </c>
      <c r="I423" s="76">
        <f>IF(Escenarios!$F$11&gt;0,(D423*Constantes!$F$29)/1000,0)</f>
        <v>0</v>
      </c>
      <c r="J423" s="76">
        <f>IF(Escenarios!$F$11&gt;0,MAX(0,G423+H423-I423),0)</f>
        <v>0</v>
      </c>
      <c r="K423" s="76">
        <f>IF(Escenarios!$F$11&gt;0,IF(J423&gt;Constantes!$F$30,1000*((J423-Constantes!$F$30)/(Escenarios!$F$16*10000)),0),F423)</f>
        <v>5.7220025586548371E-3</v>
      </c>
      <c r="L423" s="76">
        <f>IF(Escenarios!$F$11&gt;0,I423*1000/Escenarios!$F$16/10000+E423,E423)</f>
        <v>2.3760668130564864</v>
      </c>
      <c r="M423" s="76">
        <f>MAX(0,N422+Observaciones!$F422-K423-Constantes!$D$13)</f>
        <v>8.5965073165763712</v>
      </c>
      <c r="N423" s="76">
        <f>N422+Observaciones!$F422-K423-L423-M423-O422</f>
        <v>45.215692431594526</v>
      </c>
      <c r="O423" s="76">
        <f>MAX(0,(N423-Constantes!$D$14)*(1-EXP(-Constantes!$D$22)))</f>
        <v>1.1569961748296971</v>
      </c>
      <c r="P423" s="170">
        <f>P422+(Entradas!$F$83*M423-Q422)/(800*Entradas!$D$25)</f>
        <v>0</v>
      </c>
      <c r="Q423" s="170">
        <f>8000*Entradas!$D$26*P423/Constantes!$F$45</f>
        <v>0</v>
      </c>
      <c r="R423" s="170">
        <f>IF(Escenarios!$F$14&gt;0,K423*Escenarios!$F$13/Escenarios!$F$14,0)</f>
        <v>4.1961352096802143E-2</v>
      </c>
      <c r="S423" s="170">
        <f>IF(Escenarios!$F$14&gt;0,Q423*Escenarios!$F$13/Escenarios!$F$14,0)</f>
        <v>0</v>
      </c>
      <c r="T423" s="170">
        <f>IF(Escenarios!$F$14&gt;0,Observaciones!$I422,0)</f>
        <v>0</v>
      </c>
      <c r="U423" s="170">
        <f>IF(Escenarios!$F$14&gt;0,MAX(0,Constantes!$F$36/((Z422+R423+S423+T423+Observaciones!$F422)^2)+Entradas!$F$77),0)</f>
        <v>1.9678887523250443</v>
      </c>
      <c r="V423" s="146">
        <f>IF(ETo!D422&gt;0,ETo!I422*((1-Entradas!$F$81)*ETo!K422+ETo!L422),0)</f>
        <v>3.6979671674801069</v>
      </c>
      <c r="W423" s="170">
        <f>IF(Escenarios!$F$14&gt;0,MIN(V423*1,0.8*(Z422+R423+S423+T423+Observaciones!$F422-U423-Constantes!$F$35)),0)</f>
        <v>3.6979671674801069</v>
      </c>
      <c r="X423" s="170">
        <f>IF(Escenarios!$F$14&gt;0,Observaciones!$J422,0)</f>
        <v>0</v>
      </c>
      <c r="Y423" s="170">
        <f>IF(Escenarios!$F$14&gt;0,MAX(0,Z422+R423+S423+T423+Observaciones!$F422-U423-W423-X423-Constantes!$F$33),0)</f>
        <v>0</v>
      </c>
      <c r="Z423" s="170">
        <f>Z422+R423+S423+T423+Observaciones!$F422-U423-W423-Y423</f>
        <v>94.070440679251249</v>
      </c>
      <c r="AA423" s="170">
        <f>IF(Escenarios!$F$14&gt;0,(Escenarios!$F$13*L423+Escenarios!$F$14*W423)/(Escenarios!$F$16),L423)</f>
        <v>2.5346948555873205</v>
      </c>
      <c r="AB423" s="170">
        <f>IF(Escenarios!$F$14&gt;0,(Escenarios!$F$14*Y423)/(Escenarios!$F$16),K423)</f>
        <v>0</v>
      </c>
      <c r="AC423" s="170">
        <f>IF(Escenarios!$F$14&gt;0,(Escenarios!$F$13*M423+Escenarios!$F$14*U423)/(Escenarios!$F$16),M423)</f>
        <v>7.8010730888662119</v>
      </c>
      <c r="AD423" s="76">
        <f t="shared" si="85"/>
        <v>121.0365441945921</v>
      </c>
      <c r="AE423" s="76">
        <f>MAX(0,(AD423-Constantes!$D$13)*(1-EXP(-Constantes!$D$23)))</f>
        <v>0.71225653726274674</v>
      </c>
      <c r="AF423" s="76">
        <f>AB423+O423*Escenarios!$F$13/Escenarios!$F$16+AE423</f>
        <v>1.7304131711128801</v>
      </c>
      <c r="AG423" s="76">
        <f>IF(Entradas!$F$91&gt;0,IF(AF423-Escenarios!$F$38&lt;=0,0,IF(AF423-Escenarios!$F$38&gt;Escenarios!$F$37,Escenarios!$F$37,AF423-Escenarios!$F$38)),0)</f>
        <v>0.69361317111288012</v>
      </c>
      <c r="AH423" s="76">
        <f>AG423*Entradas!$F$99</f>
        <v>0</v>
      </c>
      <c r="AI423" s="76">
        <f>IF(Entradas!$F$91&gt;0,D423*Entradas!$D$23/Escenarios!$F$16,0)</f>
        <v>0.19998045894206257</v>
      </c>
      <c r="AJ423" s="76">
        <f>IF(Entradas!$F$91&gt;0,Entradas!$D$24*Entradas!$D$22/Escenarios!$F$16,0)</f>
        <v>0.12</v>
      </c>
      <c r="AK423" s="76">
        <f t="shared" si="86"/>
        <v>2.7346753145293832</v>
      </c>
      <c r="AL423" s="76">
        <f t="shared" si="87"/>
        <v>0</v>
      </c>
      <c r="AM423" s="76">
        <f t="shared" si="88"/>
        <v>0.69361317111288012</v>
      </c>
      <c r="AN423" s="76">
        <f>MAX(0,O423*Escenarios!$F$13/Escenarios!$F$16-AM423)</f>
        <v>0.32454346273725321</v>
      </c>
      <c r="AO423" s="76">
        <f>AM423+AN423-O423*Escenarios!$F$13/Escenarios!$F$16</f>
        <v>0</v>
      </c>
      <c r="AP423" s="76">
        <f t="shared" si="89"/>
        <v>0.71225653726274674</v>
      </c>
      <c r="AQ423" s="76">
        <f t="shared" si="90"/>
        <v>0</v>
      </c>
      <c r="AR423" s="76">
        <f t="shared" si="91"/>
        <v>1.0367999999999999</v>
      </c>
      <c r="AS423" s="76">
        <f t="shared" si="92"/>
        <v>0.37363271217081756</v>
      </c>
      <c r="AT423" s="76">
        <f t="shared" si="93"/>
        <v>8.1747058010370299</v>
      </c>
      <c r="AU423" s="76">
        <f t="shared" si="94"/>
        <v>50.491196510913056</v>
      </c>
      <c r="AV423" s="76">
        <f>MAX(0,(AU423-Constantes!$D$13)*(1-EXP(-Constantes!$D$24)))</f>
        <v>2.6614618859012382E-2</v>
      </c>
      <c r="AW423" s="170">
        <f>AW422+(Entradas!$F$112*AT423-AX422)/(800*Entradas!$D$25)</f>
        <v>0</v>
      </c>
      <c r="AX423" s="170">
        <f>8000*Entradas!$D$26*AW423/Constantes!$F$45</f>
        <v>0</v>
      </c>
      <c r="AY423" s="170">
        <f>IF(Escenarios!$F$17&gt;0,10*Escenarios!$F$16*AL423,0)</f>
        <v>0</v>
      </c>
      <c r="AZ423" s="170">
        <f>IF(Escenarios!$F$17&gt;0,10*Escenarios!$F$16*AX423,0)</f>
        <v>0</v>
      </c>
      <c r="BA423" s="170">
        <f>IF(Escenarios!$F$17&gt;0,0.001*Observaciones!$F422*Escenarios!$F$17,0)</f>
        <v>0</v>
      </c>
      <c r="BB423" s="170">
        <f>IF(Escenarios!$F$17&gt;0,Observaciones!$K422,0)</f>
        <v>0</v>
      </c>
      <c r="BC423" s="170">
        <f>IF(Escenarios!$F$17&gt;0,MIN(0.0005*ETo!$M422*Escenarios!$F$17*(BG422/Constantes!$F$40)^(2/3),BG422+AY423+AZ423+BA423+BB423),0)</f>
        <v>0</v>
      </c>
      <c r="BD423" s="170">
        <f>IF(Escenarios!$F$17&gt;0,MIN(Constantes!$F$39*(BG422/Constantes!$F$40)^(2/3),BG422+AY423+AZ423+BA423+BB423-BC423),0)</f>
        <v>0</v>
      </c>
      <c r="BE423" s="170">
        <f>IF(Escenarios!$F$17&gt;0,MIN(Entradas!$F$113,BG422+AY423+AZ423+BA423+BB423-BC423-BD423),0)</f>
        <v>0</v>
      </c>
      <c r="BF423" s="170">
        <f>IF(Escenarios!$F$17&gt;0,MAX(0,BG422+AY423+AZ423+BA423+BB423-BC423-BD423-BE423-Constantes!$F$40),0)</f>
        <v>0</v>
      </c>
      <c r="BG423" s="170">
        <f t="shared" si="95"/>
        <v>0</v>
      </c>
      <c r="BH423" s="170">
        <f>(Escenarios!$F$16*AK423+0.1*BC423)/(Escenarios!$F$19)</f>
        <v>2.7346753145293832</v>
      </c>
      <c r="BI423" s="170">
        <f>IF(Escenarios!$F$17&gt;0,BF423/10/Escenarios!$F$19,AL423)</f>
        <v>0</v>
      </c>
      <c r="BJ423" s="170">
        <f>(Escenarios!$F$16*AT423+0.1*BD423)/(Escenarios!$F$19)</f>
        <v>8.1747058010370299</v>
      </c>
      <c r="BK423" s="76">
        <f>BK422+(0.1*BD423)/(Escenarios!$F$19)-BL422</f>
        <v>48.75</v>
      </c>
      <c r="BL423" s="76">
        <f>MAX(0,(BK423-Constantes!$D$13)*(1-EXP(-Constantes!$D$23)))</f>
        <v>0</v>
      </c>
      <c r="BM423" s="76">
        <f t="shared" si="96"/>
        <v>0.73887115612175913</v>
      </c>
      <c r="BN423" s="76">
        <f t="shared" si="97"/>
        <v>1.0634146188590123</v>
      </c>
      <c r="BO423" s="76">
        <f>0.0526*BI423*Observaciones!$F422^1.218</f>
        <v>0</v>
      </c>
      <c r="BP423" s="76">
        <f>BO423*Constantes!$F$51</f>
        <v>0</v>
      </c>
      <c r="BQ423" s="76">
        <f t="shared" si="98"/>
        <v>0</v>
      </c>
      <c r="BR423" s="40"/>
    </row>
    <row r="424" spans="2:70">
      <c r="B424" s="39"/>
      <c r="C424" s="75">
        <v>418</v>
      </c>
      <c r="D424" s="146">
        <f>ETo!$I423*((1-Constantes!$F$19)*ETo!$K423+ETo!$L423)</f>
        <v>4.114406675246979</v>
      </c>
      <c r="E424" s="76">
        <f>MIN(D424*Constantes!$F$17,0.8*(N423+Observaciones!$F423-F424-M424-Constantes!$D$14))</f>
        <v>2.3464945024784951</v>
      </c>
      <c r="F424" s="76">
        <f>IF(Observaciones!$F423&gt;0.05*Constantes!$F$18,((Observaciones!$F423-0.05*Constantes!$F$18)^2)/(Observaciones!$F423+0.95*Constantes!$F$18),0)</f>
        <v>0</v>
      </c>
      <c r="G424" s="76">
        <f>IF(Escenarios!$F$11&gt;0,(F424*Escenarios!$F$16*10000)/1000,0)</f>
        <v>0</v>
      </c>
      <c r="H424" s="76">
        <f>IF(Escenarios!$F$11&gt;0,(Observaciones!$F423*Constantes!$F$29)/1000,0)</f>
        <v>0</v>
      </c>
      <c r="I424" s="76">
        <f>IF(Escenarios!$F$11&gt;0,(D424*Constantes!$F$29)/1000,0)</f>
        <v>0</v>
      </c>
      <c r="J424" s="76">
        <f>IF(Escenarios!$F$11&gt;0,MAX(0,G424+H424-I424),0)</f>
        <v>0</v>
      </c>
      <c r="K424" s="76">
        <f>IF(Escenarios!$F$11&gt;0,IF(J424&gt;Constantes!$F$30,1000*((J424-Constantes!$F$30)/(Escenarios!$F$16*10000)),0),F424)</f>
        <v>0</v>
      </c>
      <c r="L424" s="76">
        <f>IF(Escenarios!$F$11&gt;0,I424*1000/Escenarios!$F$16/10000+E424,E424)</f>
        <v>2.3464945024784951</v>
      </c>
      <c r="M424" s="76">
        <f>MAX(0,N423+Observaciones!$F423-K424-Constantes!$D$13)</f>
        <v>3.2656924315945233</v>
      </c>
      <c r="N424" s="76">
        <f>N423+Observaciones!$F423-K424-L424-M424-O423</f>
        <v>45.246509322691807</v>
      </c>
      <c r="O424" s="76">
        <f>MAX(0,(N424-Constantes!$D$14)*(1-EXP(-Constantes!$D$22)))</f>
        <v>1.1580459112715937</v>
      </c>
      <c r="P424" s="170">
        <f>P423+(Entradas!$F$83*M424-Q423)/(800*Entradas!$D$25)</f>
        <v>0</v>
      </c>
      <c r="Q424" s="170">
        <f>8000*Entradas!$D$26*P424/Constantes!$F$45</f>
        <v>0</v>
      </c>
      <c r="R424" s="170">
        <f>IF(Escenarios!$F$14&gt;0,K424*Escenarios!$F$13/Escenarios!$F$14,0)</f>
        <v>0</v>
      </c>
      <c r="S424" s="170">
        <f>IF(Escenarios!$F$14&gt;0,Q424*Escenarios!$F$13/Escenarios!$F$14,0)</f>
        <v>0</v>
      </c>
      <c r="T424" s="170">
        <f>IF(Escenarios!$F$14&gt;0,Observaciones!$I423,0)</f>
        <v>0</v>
      </c>
      <c r="U424" s="170">
        <f>IF(Escenarios!$F$14&gt;0,MAX(0,Constantes!$F$36/((Z423+R424+S424+T424+Observaciones!$F423)^2)+Entradas!$F$77),0)</f>
        <v>1.9909675095864228</v>
      </c>
      <c r="V424" s="146">
        <f>IF(ETo!D423&gt;0,ETo!I423*((1-Entradas!$F$81)*ETo!K423+ETo!L423),0)</f>
        <v>3.6514030662886081</v>
      </c>
      <c r="W424" s="170">
        <f>IF(Escenarios!$F$14&gt;0,MIN(V424*1,0.8*(Z423+R424+S424+T424+Observaciones!$F423-U424-Constantes!$F$35)),0)</f>
        <v>3.6514030662886081</v>
      </c>
      <c r="X424" s="170">
        <f>IF(Escenarios!$F$14&gt;0,Observaciones!$J423,0)</f>
        <v>0</v>
      </c>
      <c r="Y424" s="170">
        <f>IF(Escenarios!$F$14&gt;0,MAX(0,Z423+R424+S424+T424+Observaciones!$F423-U424-W424-X424-Constantes!$F$33),0)</f>
        <v>0</v>
      </c>
      <c r="Z424" s="170">
        <f>Z423+R424+S424+T424+Observaciones!$F423-U424-W424-Y424</f>
        <v>95.228070103376211</v>
      </c>
      <c r="AA424" s="170">
        <f>IF(Escenarios!$F$14&gt;0,(Escenarios!$F$13*L424+Escenarios!$F$14*W424)/(Escenarios!$F$16),L424)</f>
        <v>2.5030835301357088</v>
      </c>
      <c r="AB424" s="170">
        <f>IF(Escenarios!$F$14&gt;0,(Escenarios!$F$14*Y424)/(Escenarios!$F$16),K424)</f>
        <v>0</v>
      </c>
      <c r="AC424" s="170">
        <f>IF(Escenarios!$F$14&gt;0,(Escenarios!$F$13*M424+Escenarios!$F$14*U424)/(Escenarios!$F$16),M424)</f>
        <v>3.1127254409535512</v>
      </c>
      <c r="AD424" s="76">
        <f t="shared" si="85"/>
        <v>123.4370130982829</v>
      </c>
      <c r="AE424" s="76">
        <f>MAX(0,(AD424-Constantes!$D$13)*(1-EXP(-Constantes!$D$23)))</f>
        <v>0.73590892911796046</v>
      </c>
      <c r="AF424" s="76">
        <f>AB424+O424*Escenarios!$F$13/Escenarios!$F$16+AE424</f>
        <v>1.7549893310369629</v>
      </c>
      <c r="AG424" s="76">
        <f>IF(Entradas!$F$91&gt;0,IF(AF424-Escenarios!$F$38&lt;=0,0,IF(AF424-Escenarios!$F$38&gt;Escenarios!$F$37,Escenarios!$F$37,AF424-Escenarios!$F$38)),0)</f>
        <v>0.71818933103696292</v>
      </c>
      <c r="AH424" s="76">
        <f>AG424*Entradas!$F$99</f>
        <v>0</v>
      </c>
      <c r="AI424" s="76">
        <f>IF(Entradas!$F$91&gt;0,D424*Entradas!$D$23/Escenarios!$F$16,0)</f>
        <v>0.197491520411855</v>
      </c>
      <c r="AJ424" s="76">
        <f>IF(Entradas!$F$91&gt;0,Entradas!$D$24*Entradas!$D$22/Escenarios!$F$16,0)</f>
        <v>0.12</v>
      </c>
      <c r="AK424" s="76">
        <f t="shared" si="86"/>
        <v>2.7005750505475636</v>
      </c>
      <c r="AL424" s="76">
        <f t="shared" si="87"/>
        <v>0</v>
      </c>
      <c r="AM424" s="76">
        <f t="shared" si="88"/>
        <v>0.71818933103696292</v>
      </c>
      <c r="AN424" s="76">
        <f>MAX(0,O424*Escenarios!$F$13/Escenarios!$F$16-AM424)</f>
        <v>0.30089107088203959</v>
      </c>
      <c r="AO424" s="76">
        <f>AM424+AN424-O424*Escenarios!$F$13/Escenarios!$F$16</f>
        <v>0</v>
      </c>
      <c r="AP424" s="76">
        <f t="shared" si="89"/>
        <v>0.73590892911796046</v>
      </c>
      <c r="AQ424" s="76">
        <f t="shared" si="90"/>
        <v>0</v>
      </c>
      <c r="AR424" s="76">
        <f t="shared" si="91"/>
        <v>1.0367999999999999</v>
      </c>
      <c r="AS424" s="76">
        <f t="shared" si="92"/>
        <v>0.4006978106251079</v>
      </c>
      <c r="AT424" s="76">
        <f t="shared" si="93"/>
        <v>3.5134232515786592</v>
      </c>
      <c r="AU424" s="76">
        <f t="shared" si="94"/>
        <v>50.865279702679153</v>
      </c>
      <c r="AV424" s="76">
        <f>MAX(0,(AU424-Constantes!$D$13)*(1-EXP(-Constantes!$D$24)))</f>
        <v>3.2332572868233718E-2</v>
      </c>
      <c r="AW424" s="170">
        <f>AW423+(Entradas!$F$112*AT424-AX423)/(800*Entradas!$D$25)</f>
        <v>0</v>
      </c>
      <c r="AX424" s="170">
        <f>8000*Entradas!$D$26*AW424/Constantes!$F$45</f>
        <v>0</v>
      </c>
      <c r="AY424" s="170">
        <f>IF(Escenarios!$F$17&gt;0,10*Escenarios!$F$16*AL424,0)</f>
        <v>0</v>
      </c>
      <c r="AZ424" s="170">
        <f>IF(Escenarios!$F$17&gt;0,10*Escenarios!$F$16*AX424,0)</f>
        <v>0</v>
      </c>
      <c r="BA424" s="170">
        <f>IF(Escenarios!$F$17&gt;0,0.001*Observaciones!$F423*Escenarios!$F$17,0)</f>
        <v>0</v>
      </c>
      <c r="BB424" s="170">
        <f>IF(Escenarios!$F$17&gt;0,Observaciones!$K423,0)</f>
        <v>0</v>
      </c>
      <c r="BC424" s="170">
        <f>IF(Escenarios!$F$17&gt;0,MIN(0.0005*ETo!$M423*Escenarios!$F$17*(BG423/Constantes!$F$40)^(2/3),BG423+AY424+AZ424+BA424+BB424),0)</f>
        <v>0</v>
      </c>
      <c r="BD424" s="170">
        <f>IF(Escenarios!$F$17&gt;0,MIN(Constantes!$F$39*(BG423/Constantes!$F$40)^(2/3),BG423+AY424+AZ424+BA424+BB424-BC424),0)</f>
        <v>0</v>
      </c>
      <c r="BE424" s="170">
        <f>IF(Escenarios!$F$17&gt;0,MIN(Entradas!$F$113,BG423+AY424+AZ424+BA424+BB424-BC424-BD424),0)</f>
        <v>0</v>
      </c>
      <c r="BF424" s="170">
        <f>IF(Escenarios!$F$17&gt;0,MAX(0,BG423+AY424+AZ424+BA424+BB424-BC424-BD424-BE424-Constantes!$F$40),0)</f>
        <v>0</v>
      </c>
      <c r="BG424" s="170">
        <f t="shared" si="95"/>
        <v>0</v>
      </c>
      <c r="BH424" s="170">
        <f>(Escenarios!$F$16*AK424+0.1*BC424)/(Escenarios!$F$19)</f>
        <v>2.7005750505475636</v>
      </c>
      <c r="BI424" s="170">
        <f>IF(Escenarios!$F$17&gt;0,BF424/10/Escenarios!$F$19,AL424)</f>
        <v>0</v>
      </c>
      <c r="BJ424" s="170">
        <f>(Escenarios!$F$16*AT424+0.1*BD424)/(Escenarios!$F$19)</f>
        <v>3.5134232515786592</v>
      </c>
      <c r="BK424" s="76">
        <f>BK423+(0.1*BD424)/(Escenarios!$F$19)-BL423</f>
        <v>48.75</v>
      </c>
      <c r="BL424" s="76">
        <f>MAX(0,(BK424-Constantes!$D$13)*(1-EXP(-Constantes!$D$23)))</f>
        <v>0</v>
      </c>
      <c r="BM424" s="76">
        <f t="shared" si="96"/>
        <v>0.76824150198619423</v>
      </c>
      <c r="BN424" s="76">
        <f t="shared" si="97"/>
        <v>1.0691325728682337</v>
      </c>
      <c r="BO424" s="76">
        <f>0.0526*BI424*Observaciones!$F423^1.218</f>
        <v>0</v>
      </c>
      <c r="BP424" s="76">
        <f>BO424*Constantes!$F$51</f>
        <v>0</v>
      </c>
      <c r="BQ424" s="76">
        <f t="shared" si="98"/>
        <v>0</v>
      </c>
      <c r="BR424" s="40"/>
    </row>
    <row r="425" spans="2:70">
      <c r="B425" s="39"/>
      <c r="C425" s="75">
        <v>419</v>
      </c>
      <c r="D425" s="146">
        <f>ETo!$I424*((1-Constantes!$F$19)*ETo!$K424+ETo!$L424)</f>
        <v>4.4316765077191071</v>
      </c>
      <c r="E425" s="76">
        <f>MIN(D425*Constantes!$F$17,0.8*(N424+Observaciones!$F424-F425-M425-Constantes!$D$14))</f>
        <v>2.5274372182720022</v>
      </c>
      <c r="F425" s="76">
        <f>IF(Observaciones!$F424&gt;0.05*Constantes!$F$18,((Observaciones!$F424-0.05*Constantes!$F$18)^2)/(Observaciones!$F424+0.95*Constantes!$F$18),0)</f>
        <v>1.1838268305113291</v>
      </c>
      <c r="G425" s="76">
        <f>IF(Escenarios!$F$11&gt;0,(F425*Escenarios!$F$16*10000)/1000,0)</f>
        <v>0</v>
      </c>
      <c r="H425" s="76">
        <f>IF(Escenarios!$F$11&gt;0,(Observaciones!$F424*Constantes!$F$29)/1000,0)</f>
        <v>0</v>
      </c>
      <c r="I425" s="76">
        <f>IF(Escenarios!$F$11&gt;0,(D425*Constantes!$F$29)/1000,0)</f>
        <v>0</v>
      </c>
      <c r="J425" s="76">
        <f>IF(Escenarios!$F$11&gt;0,MAX(0,G425+H425-I425),0)</f>
        <v>0</v>
      </c>
      <c r="K425" s="76">
        <f>IF(Escenarios!$F$11&gt;0,IF(J425&gt;Constantes!$F$30,1000*((J425-Constantes!$F$30)/(Escenarios!$F$16*10000)),0),F425)</f>
        <v>1.1838268305113291</v>
      </c>
      <c r="L425" s="76">
        <f>IF(Escenarios!$F$11&gt;0,I425*1000/Escenarios!$F$16/10000+E425,E425)</f>
        <v>2.5274372182720022</v>
      </c>
      <c r="M425" s="76">
        <f>MAX(0,N424+Observaciones!$F424-K425-Constantes!$D$13)</f>
        <v>23.012682492180474</v>
      </c>
      <c r="N425" s="76">
        <f>N424+Observaciones!$F424-K425-L425-M425-O424</f>
        <v>45.064516870456409</v>
      </c>
      <c r="O425" s="76">
        <f>MAX(0,(N425-Constantes!$D$14)*(1-EXP(-Constantes!$D$22)))</f>
        <v>1.1518465802404865</v>
      </c>
      <c r="P425" s="170">
        <f>P424+(Entradas!$F$83*M425-Q424)/(800*Entradas!$D$25)</f>
        <v>0</v>
      </c>
      <c r="Q425" s="170">
        <f>8000*Entradas!$D$26*P425/Constantes!$F$45</f>
        <v>0</v>
      </c>
      <c r="R425" s="170">
        <f>IF(Escenarios!$F$14&gt;0,K425*Escenarios!$F$13/Escenarios!$F$14,0)</f>
        <v>8.6813967570830801</v>
      </c>
      <c r="S425" s="170">
        <f>IF(Escenarios!$F$14&gt;0,Q425*Escenarios!$F$13/Escenarios!$F$14,0)</f>
        <v>0</v>
      </c>
      <c r="T425" s="170">
        <f>IF(Escenarios!$F$14&gt;0,Observaciones!$I424,0)</f>
        <v>0</v>
      </c>
      <c r="U425" s="170">
        <f>IF(Escenarios!$F$14&gt;0,MAX(0,Constantes!$F$36/((Z424+R425+S425+T425+Observaciones!$F424)^2)+Entradas!$F$77),0)</f>
        <v>2.4072675182816718</v>
      </c>
      <c r="V425" s="146">
        <f>IF(ETo!D424&gt;0,ETo!I424*((1-Entradas!$F$81)*ETo!K424+ETo!L424),0)</f>
        <v>3.9365358293436037</v>
      </c>
      <c r="W425" s="170">
        <f>IF(Escenarios!$F$14&gt;0,MIN(V425*1,0.8*(Z424+R425+S425+T425+Observaciones!$F424-U425-Constantes!$F$35)),0)</f>
        <v>3.9365358293436037</v>
      </c>
      <c r="X425" s="170">
        <f>IF(Escenarios!$F$14&gt;0,Observaciones!$J424,0)</f>
        <v>0</v>
      </c>
      <c r="Y425" s="170">
        <f>IF(Escenarios!$F$14&gt;0,MAX(0,Z424+R425+S425+T425+Observaciones!$F424-U425-W425-X425-Constantes!$F$33),0)</f>
        <v>0</v>
      </c>
      <c r="Z425" s="170">
        <f>Z424+R425+S425+T425+Observaciones!$F424-U425-W425-Y425</f>
        <v>125.26566351283401</v>
      </c>
      <c r="AA425" s="170">
        <f>IF(Escenarios!$F$14&gt;0,(Escenarios!$F$13*L425+Escenarios!$F$14*W425)/(Escenarios!$F$16),L425)</f>
        <v>2.6965290516005944</v>
      </c>
      <c r="AB425" s="170">
        <f>IF(Escenarios!$F$14&gt;0,(Escenarios!$F$14*Y425)/(Escenarios!$F$16),K425)</f>
        <v>0</v>
      </c>
      <c r="AC425" s="170">
        <f>IF(Escenarios!$F$14&gt;0,(Escenarios!$F$13*M425+Escenarios!$F$14*U425)/(Escenarios!$F$16),M425)</f>
        <v>20.540032695312618</v>
      </c>
      <c r="AD425" s="76">
        <f t="shared" si="85"/>
        <v>143.24113686447757</v>
      </c>
      <c r="AE425" s="76">
        <f>MAX(0,(AD425-Constantes!$D$13)*(1-EXP(-Constantes!$D$23)))</f>
        <v>0.93104367756105932</v>
      </c>
      <c r="AF425" s="76">
        <f>AB425+O425*Escenarios!$F$13/Escenarios!$F$16+AE425</f>
        <v>1.9446686681726875</v>
      </c>
      <c r="AG425" s="76">
        <f>IF(Entradas!$F$91&gt;0,IF(AF425-Escenarios!$F$38&lt;=0,0,IF(AF425-Escenarios!$F$38&gt;Escenarios!$F$37,Escenarios!$F$37,AF425-Escenarios!$F$38)),0)</f>
        <v>0.90786866817268752</v>
      </c>
      <c r="AH425" s="76">
        <f>AG425*Entradas!$F$99</f>
        <v>0</v>
      </c>
      <c r="AI425" s="76">
        <f>IF(Entradas!$F$91&gt;0,D425*Entradas!$D$23/Escenarios!$F$16,0)</f>
        <v>0.21272047237051714</v>
      </c>
      <c r="AJ425" s="76">
        <f>IF(Entradas!$F$91&gt;0,Entradas!$D$24*Entradas!$D$22/Escenarios!$F$16,0)</f>
        <v>0.12</v>
      </c>
      <c r="AK425" s="76">
        <f t="shared" si="86"/>
        <v>2.9092495239711114</v>
      </c>
      <c r="AL425" s="76">
        <f t="shared" si="87"/>
        <v>0</v>
      </c>
      <c r="AM425" s="76">
        <f t="shared" si="88"/>
        <v>0.90786866817268752</v>
      </c>
      <c r="AN425" s="76">
        <f>MAX(0,O425*Escenarios!$F$13/Escenarios!$F$16-AM425)</f>
        <v>0.10575632243894062</v>
      </c>
      <c r="AO425" s="76">
        <f>AM425+AN425-O425*Escenarios!$F$13/Escenarios!$F$16</f>
        <v>0</v>
      </c>
      <c r="AP425" s="76">
        <f t="shared" si="89"/>
        <v>0.93104367756105932</v>
      </c>
      <c r="AQ425" s="76">
        <f t="shared" si="90"/>
        <v>0</v>
      </c>
      <c r="AR425" s="76">
        <f t="shared" si="91"/>
        <v>1.0367999999999999</v>
      </c>
      <c r="AS425" s="76">
        <f t="shared" si="92"/>
        <v>0.57514819580217036</v>
      </c>
      <c r="AT425" s="76">
        <f t="shared" si="93"/>
        <v>21.11518089111479</v>
      </c>
      <c r="AU425" s="76">
        <f t="shared" si="94"/>
        <v>51.40809532561309</v>
      </c>
      <c r="AV425" s="76">
        <f>MAX(0,(AU425-Constantes!$D$13)*(1-EXP(-Constantes!$D$24)))</f>
        <v>4.0629643775829553E-2</v>
      </c>
      <c r="AW425" s="170">
        <f>AW424+(Entradas!$F$112*AT425-AX424)/(800*Entradas!$D$25)</f>
        <v>0</v>
      </c>
      <c r="AX425" s="170">
        <f>8000*Entradas!$D$26*AW425/Constantes!$F$45</f>
        <v>0</v>
      </c>
      <c r="AY425" s="170">
        <f>IF(Escenarios!$F$17&gt;0,10*Escenarios!$F$16*AL425,0)</f>
        <v>0</v>
      </c>
      <c r="AZ425" s="170">
        <f>IF(Escenarios!$F$17&gt;0,10*Escenarios!$F$16*AX425,0)</f>
        <v>0</v>
      </c>
      <c r="BA425" s="170">
        <f>IF(Escenarios!$F$17&gt;0,0.001*Observaciones!$F424*Escenarios!$F$17,0)</f>
        <v>0</v>
      </c>
      <c r="BB425" s="170">
        <f>IF(Escenarios!$F$17&gt;0,Observaciones!$K424,0)</f>
        <v>0</v>
      </c>
      <c r="BC425" s="170">
        <f>IF(Escenarios!$F$17&gt;0,MIN(0.0005*ETo!$M424*Escenarios!$F$17*(BG424/Constantes!$F$40)^(2/3),BG424+AY425+AZ425+BA425+BB425),0)</f>
        <v>0</v>
      </c>
      <c r="BD425" s="170">
        <f>IF(Escenarios!$F$17&gt;0,MIN(Constantes!$F$39*(BG424/Constantes!$F$40)^(2/3),BG424+AY425+AZ425+BA425+BB425-BC425),0)</f>
        <v>0</v>
      </c>
      <c r="BE425" s="170">
        <f>IF(Escenarios!$F$17&gt;0,MIN(Entradas!$F$113,BG424+AY425+AZ425+BA425+BB425-BC425-BD425),0)</f>
        <v>0</v>
      </c>
      <c r="BF425" s="170">
        <f>IF(Escenarios!$F$17&gt;0,MAX(0,BG424+AY425+AZ425+BA425+BB425-BC425-BD425-BE425-Constantes!$F$40),0)</f>
        <v>0</v>
      </c>
      <c r="BG425" s="170">
        <f t="shared" si="95"/>
        <v>0</v>
      </c>
      <c r="BH425" s="170">
        <f>(Escenarios!$F$16*AK425+0.1*BC425)/(Escenarios!$F$19)</f>
        <v>2.9092495239711114</v>
      </c>
      <c r="BI425" s="170">
        <f>IF(Escenarios!$F$17&gt;0,BF425/10/Escenarios!$F$19,AL425)</f>
        <v>0</v>
      </c>
      <c r="BJ425" s="170">
        <f>(Escenarios!$F$16*AT425+0.1*BD425)/(Escenarios!$F$19)</f>
        <v>21.11518089111479</v>
      </c>
      <c r="BK425" s="76">
        <f>BK424+(0.1*BD425)/(Escenarios!$F$19)-BL424</f>
        <v>48.75</v>
      </c>
      <c r="BL425" s="76">
        <f>MAX(0,(BK425-Constantes!$D$13)*(1-EXP(-Constantes!$D$23)))</f>
        <v>0</v>
      </c>
      <c r="BM425" s="76">
        <f t="shared" si="96"/>
        <v>0.97167332133688888</v>
      </c>
      <c r="BN425" s="76">
        <f t="shared" si="97"/>
        <v>1.0774296437758295</v>
      </c>
      <c r="BO425" s="76">
        <f>0.0526*BI425*Observaciones!$F424^1.218</f>
        <v>0</v>
      </c>
      <c r="BP425" s="76">
        <f>BO425*Constantes!$F$51</f>
        <v>0</v>
      </c>
      <c r="BQ425" s="76">
        <f t="shared" si="98"/>
        <v>0</v>
      </c>
      <c r="BR425" s="40"/>
    </row>
    <row r="426" spans="2:70">
      <c r="B426" s="39"/>
      <c r="C426" s="75">
        <v>420</v>
      </c>
      <c r="D426" s="146">
        <f>ETo!$I425*((1-Constantes!$F$19)*ETo!$K425+ETo!$L425)</f>
        <v>4.4473868346390635</v>
      </c>
      <c r="E426" s="76">
        <f>MIN(D426*Constantes!$F$17,0.8*(N425+Observaciones!$F425-F426-M426-Constantes!$D$14))</f>
        <v>2.5363970024303351</v>
      </c>
      <c r="F426" s="76">
        <f>IF(Observaciones!$F425&gt;0.05*Constantes!$F$18,((Observaciones!$F425-0.05*Constantes!$F$18)^2)/(Observaciones!$F425+0.95*Constantes!$F$18),0)</f>
        <v>0</v>
      </c>
      <c r="G426" s="76">
        <f>IF(Escenarios!$F$11&gt;0,(F426*Escenarios!$F$16*10000)/1000,0)</f>
        <v>0</v>
      </c>
      <c r="H426" s="76">
        <f>IF(Escenarios!$F$11&gt;0,(Observaciones!$F425*Constantes!$F$29)/1000,0)</f>
        <v>0</v>
      </c>
      <c r="I426" s="76">
        <f>IF(Escenarios!$F$11&gt;0,(D426*Constantes!$F$29)/1000,0)</f>
        <v>0</v>
      </c>
      <c r="J426" s="76">
        <f>IF(Escenarios!$F$11&gt;0,MAX(0,G426+H426-I426),0)</f>
        <v>0</v>
      </c>
      <c r="K426" s="76">
        <f>IF(Escenarios!$F$11&gt;0,IF(J426&gt;Constantes!$F$30,1000*((J426-Constantes!$F$30)/(Escenarios!$F$16*10000)),0),F426)</f>
        <v>0</v>
      </c>
      <c r="L426" s="76">
        <f>IF(Escenarios!$F$11&gt;0,I426*1000/Escenarios!$F$16/10000+E426,E426)</f>
        <v>2.5363970024303351</v>
      </c>
      <c r="M426" s="76">
        <f>MAX(0,N425+Observaciones!$F425-K426-Constantes!$D$13)</f>
        <v>5.3145168704564085</v>
      </c>
      <c r="N426" s="76">
        <f>N425+Observaciones!$F425-K426-L426-M426-O425</f>
        <v>45.061756417329178</v>
      </c>
      <c r="O426" s="76">
        <f>MAX(0,(N426-Constantes!$D$14)*(1-EXP(-Constantes!$D$22)))</f>
        <v>1.1517525490731422</v>
      </c>
      <c r="P426" s="170">
        <f>P425+(Entradas!$F$83*M426-Q425)/(800*Entradas!$D$25)</f>
        <v>0</v>
      </c>
      <c r="Q426" s="170">
        <f>8000*Entradas!$D$26*P426/Constantes!$F$45</f>
        <v>0</v>
      </c>
      <c r="R426" s="170">
        <f>IF(Escenarios!$F$14&gt;0,K426*Escenarios!$F$13/Escenarios!$F$14,0)</f>
        <v>0</v>
      </c>
      <c r="S426" s="170">
        <f>IF(Escenarios!$F$14&gt;0,Q426*Escenarios!$F$13/Escenarios!$F$14,0)</f>
        <v>0</v>
      </c>
      <c r="T426" s="170">
        <f>IF(Escenarios!$F$14&gt;0,Observaciones!$I425,0)</f>
        <v>0</v>
      </c>
      <c r="U426" s="170">
        <f>IF(Escenarios!$F$14&gt;0,MAX(0,Constantes!$F$36/((Z425+R426+S426+T426+Observaciones!$F425)^2)+Entradas!$F$77),0)</f>
        <v>2.4304877603735795</v>
      </c>
      <c r="V426" s="146">
        <f>IF(ETo!D425&gt;0,ETo!I425*((1-Entradas!$F$81)*ETo!K425+ETo!L425),0)</f>
        <v>3.9506413230760722</v>
      </c>
      <c r="W426" s="170">
        <f>IF(Escenarios!$F$14&gt;0,MIN(V426*1,0.8*(Z425+R426+S426+T426+Observaciones!$F425-U426-Constantes!$F$35)),0)</f>
        <v>3.9506413230760722</v>
      </c>
      <c r="X426" s="170">
        <f>IF(Escenarios!$F$14&gt;0,Observaciones!$J425,0)</f>
        <v>0</v>
      </c>
      <c r="Y426" s="170">
        <f>IF(Escenarios!$F$14&gt;0,MAX(0,Z425+R426+S426+T426+Observaciones!$F425-U426-W426-X426-Constantes!$F$33),0)</f>
        <v>0</v>
      </c>
      <c r="Z426" s="170">
        <f>Z425+R426+S426+T426+Observaciones!$F425-U426-W426-Y426</f>
        <v>127.88453442938436</v>
      </c>
      <c r="AA426" s="170">
        <f>IF(Escenarios!$F$14&gt;0,(Escenarios!$F$13*L426+Escenarios!$F$14*W426)/(Escenarios!$F$16),L426)</f>
        <v>2.706106320907824</v>
      </c>
      <c r="AB426" s="170">
        <f>IF(Escenarios!$F$14&gt;0,(Escenarios!$F$14*Y426)/(Escenarios!$F$16),K426)</f>
        <v>0</v>
      </c>
      <c r="AC426" s="170">
        <f>IF(Escenarios!$F$14&gt;0,(Escenarios!$F$13*M426+Escenarios!$F$14*U426)/(Escenarios!$F$16),M426)</f>
        <v>4.9684333772464688</v>
      </c>
      <c r="AD426" s="76">
        <f t="shared" si="85"/>
        <v>147.27852656416297</v>
      </c>
      <c r="AE426" s="76">
        <f>MAX(0,(AD426-Constantes!$D$13)*(1-EXP(-Constantes!$D$23)))</f>
        <v>0.97082503990336566</v>
      </c>
      <c r="AF426" s="76">
        <f>AB426+O426*Escenarios!$F$13/Escenarios!$F$16+AE426</f>
        <v>1.9843672830877308</v>
      </c>
      <c r="AG426" s="76">
        <f>IF(Entradas!$F$91&gt;0,IF(AF426-Escenarios!$F$38&lt;=0,0,IF(AF426-Escenarios!$F$38&gt;Escenarios!$F$37,Escenarios!$F$37,AF426-Escenarios!$F$38)),0)</f>
        <v>0.94756728308773086</v>
      </c>
      <c r="AH426" s="76">
        <f>AG426*Entradas!$F$99</f>
        <v>0</v>
      </c>
      <c r="AI426" s="76">
        <f>IF(Entradas!$F$91&gt;0,D426*Entradas!$D$23/Escenarios!$F$16,0)</f>
        <v>0.21347456806267504</v>
      </c>
      <c r="AJ426" s="76">
        <f>IF(Entradas!$F$91&gt;0,Entradas!$D$24*Entradas!$D$22/Escenarios!$F$16,0)</f>
        <v>0.12</v>
      </c>
      <c r="AK426" s="76">
        <f t="shared" si="86"/>
        <v>2.9195808889704988</v>
      </c>
      <c r="AL426" s="76">
        <f t="shared" si="87"/>
        <v>0</v>
      </c>
      <c r="AM426" s="76">
        <f t="shared" si="88"/>
        <v>0.94756728308773086</v>
      </c>
      <c r="AN426" s="76">
        <f>MAX(0,O426*Escenarios!$F$13/Escenarios!$F$16-AM426)</f>
        <v>6.5974960096634172E-2</v>
      </c>
      <c r="AO426" s="76">
        <f>AM426+AN426-O426*Escenarios!$F$13/Escenarios!$F$16</f>
        <v>0</v>
      </c>
      <c r="AP426" s="76">
        <f t="shared" si="89"/>
        <v>0.97082503990336566</v>
      </c>
      <c r="AQ426" s="76">
        <f t="shared" si="90"/>
        <v>0</v>
      </c>
      <c r="AR426" s="76">
        <f t="shared" si="91"/>
        <v>1.0367999999999999</v>
      </c>
      <c r="AS426" s="76">
        <f t="shared" si="92"/>
        <v>0.6140927150250558</v>
      </c>
      <c r="AT426" s="76">
        <f t="shared" si="93"/>
        <v>5.5825260922715243</v>
      </c>
      <c r="AU426" s="76">
        <f t="shared" si="94"/>
        <v>51.981558396862319</v>
      </c>
      <c r="AV426" s="76">
        <f>MAX(0,(AU426-Constantes!$D$13)*(1-EXP(-Constantes!$D$24)))</f>
        <v>4.9395168502853887E-2</v>
      </c>
      <c r="AW426" s="170">
        <f>AW425+(Entradas!$F$112*AT426-AX425)/(800*Entradas!$D$25)</f>
        <v>0</v>
      </c>
      <c r="AX426" s="170">
        <f>8000*Entradas!$D$26*AW426/Constantes!$F$45</f>
        <v>0</v>
      </c>
      <c r="AY426" s="170">
        <f>IF(Escenarios!$F$17&gt;0,10*Escenarios!$F$16*AL426,0)</f>
        <v>0</v>
      </c>
      <c r="AZ426" s="170">
        <f>IF(Escenarios!$F$17&gt;0,10*Escenarios!$F$16*AX426,0)</f>
        <v>0</v>
      </c>
      <c r="BA426" s="170">
        <f>IF(Escenarios!$F$17&gt;0,0.001*Observaciones!$F425*Escenarios!$F$17,0)</f>
        <v>0</v>
      </c>
      <c r="BB426" s="170">
        <f>IF(Escenarios!$F$17&gt;0,Observaciones!$K425,0)</f>
        <v>0</v>
      </c>
      <c r="BC426" s="170">
        <f>IF(Escenarios!$F$17&gt;0,MIN(0.0005*ETo!$M425*Escenarios!$F$17*(BG425/Constantes!$F$40)^(2/3),BG425+AY426+AZ426+BA426+BB426),0)</f>
        <v>0</v>
      </c>
      <c r="BD426" s="170">
        <f>IF(Escenarios!$F$17&gt;0,MIN(Constantes!$F$39*(BG425/Constantes!$F$40)^(2/3),BG425+AY426+AZ426+BA426+BB426-BC426),0)</f>
        <v>0</v>
      </c>
      <c r="BE426" s="170">
        <f>IF(Escenarios!$F$17&gt;0,MIN(Entradas!$F$113,BG425+AY426+AZ426+BA426+BB426-BC426-BD426),0)</f>
        <v>0</v>
      </c>
      <c r="BF426" s="170">
        <f>IF(Escenarios!$F$17&gt;0,MAX(0,BG425+AY426+AZ426+BA426+BB426-BC426-BD426-BE426-Constantes!$F$40),0)</f>
        <v>0</v>
      </c>
      <c r="BG426" s="170">
        <f t="shared" si="95"/>
        <v>0</v>
      </c>
      <c r="BH426" s="170">
        <f>(Escenarios!$F$16*AK426+0.1*BC426)/(Escenarios!$F$19)</f>
        <v>2.9195808889704988</v>
      </c>
      <c r="BI426" s="170">
        <f>IF(Escenarios!$F$17&gt;0,BF426/10/Escenarios!$F$19,AL426)</f>
        <v>0</v>
      </c>
      <c r="BJ426" s="170">
        <f>(Escenarios!$F$16*AT426+0.1*BD426)/(Escenarios!$F$19)</f>
        <v>5.5825260922715243</v>
      </c>
      <c r="BK426" s="76">
        <f>BK425+(0.1*BD426)/(Escenarios!$F$19)-BL425</f>
        <v>48.75</v>
      </c>
      <c r="BL426" s="76">
        <f>MAX(0,(BK426-Constantes!$D$13)*(1-EXP(-Constantes!$D$23)))</f>
        <v>0</v>
      </c>
      <c r="BM426" s="76">
        <f t="shared" si="96"/>
        <v>1.0202202084062195</v>
      </c>
      <c r="BN426" s="76">
        <f t="shared" si="97"/>
        <v>1.0861951685028539</v>
      </c>
      <c r="BO426" s="76">
        <f>0.0526*BI426*Observaciones!$F425^1.218</f>
        <v>0</v>
      </c>
      <c r="BP426" s="76">
        <f>BO426*Constantes!$F$51</f>
        <v>0</v>
      </c>
      <c r="BQ426" s="76">
        <f t="shared" si="98"/>
        <v>0</v>
      </c>
      <c r="BR426" s="40"/>
    </row>
    <row r="427" spans="2:70">
      <c r="B427" s="39"/>
      <c r="C427" s="75">
        <v>421</v>
      </c>
      <c r="D427" s="146">
        <f>ETo!$I426*((1-Constantes!$F$19)*ETo!$K426+ETo!$L426)</f>
        <v>4.4083297198108253</v>
      </c>
      <c r="E427" s="76">
        <f>MIN(D427*Constantes!$F$17,0.8*(N426+Observaciones!$F426-F427-M427-Constantes!$D$14))</f>
        <v>2.5141222706255042</v>
      </c>
      <c r="F427" s="76">
        <f>IF(Observaciones!$F426&gt;0.05*Constantes!$F$18,((Observaciones!$F426-0.05*Constantes!$F$18)^2)/(Observaciones!$F426+0.95*Constantes!$F$18),0)</f>
        <v>0</v>
      </c>
      <c r="G427" s="76">
        <f>IF(Escenarios!$F$11&gt;0,(F427*Escenarios!$F$16*10000)/1000,0)</f>
        <v>0</v>
      </c>
      <c r="H427" s="76">
        <f>IF(Escenarios!$F$11&gt;0,(Observaciones!$F426*Constantes!$F$29)/1000,0)</f>
        <v>0</v>
      </c>
      <c r="I427" s="76">
        <f>IF(Escenarios!$F$11&gt;0,(D427*Constantes!$F$29)/1000,0)</f>
        <v>0</v>
      </c>
      <c r="J427" s="76">
        <f>IF(Escenarios!$F$11&gt;0,MAX(0,G427+H427-I427),0)</f>
        <v>0</v>
      </c>
      <c r="K427" s="76">
        <f>IF(Escenarios!$F$11&gt;0,IF(J427&gt;Constantes!$F$30,1000*((J427-Constantes!$F$30)/(Escenarios!$F$16*10000)),0),F427)</f>
        <v>0</v>
      </c>
      <c r="L427" s="76">
        <f>IF(Escenarios!$F$11&gt;0,I427*1000/Escenarios!$F$16/10000+E427,E427)</f>
        <v>2.5141222706255042</v>
      </c>
      <c r="M427" s="76">
        <f>MAX(0,N426+Observaciones!$F426-K427-Constantes!$D$13)</f>
        <v>0</v>
      </c>
      <c r="N427" s="76">
        <f>N426+Observaciones!$F426-K427-L427-M427-O426</f>
        <v>41.895881597630527</v>
      </c>
      <c r="O427" s="76">
        <f>MAX(0,(N427-Constantes!$D$14)*(1-EXP(-Constantes!$D$22)))</f>
        <v>1.0439112305498135</v>
      </c>
      <c r="P427" s="170">
        <f>P426+(Entradas!$F$83*M427-Q426)/(800*Entradas!$D$25)</f>
        <v>0</v>
      </c>
      <c r="Q427" s="170">
        <f>8000*Entradas!$D$26*P427/Constantes!$F$45</f>
        <v>0</v>
      </c>
      <c r="R427" s="170">
        <f>IF(Escenarios!$F$14&gt;0,K427*Escenarios!$F$13/Escenarios!$F$14,0)</f>
        <v>0</v>
      </c>
      <c r="S427" s="170">
        <f>IF(Escenarios!$F$14&gt;0,Q427*Escenarios!$F$13/Escenarios!$F$14,0)</f>
        <v>0</v>
      </c>
      <c r="T427" s="170">
        <f>IF(Escenarios!$F$14&gt;0,Observaciones!$I426,0)</f>
        <v>0</v>
      </c>
      <c r="U427" s="170">
        <f>IF(Escenarios!$F$14&gt;0,MAX(0,Constantes!$F$36/((Z426+R427+S427+T427+Observaciones!$F426)^2)+Entradas!$F$77),0)</f>
        <v>2.3771154398791161</v>
      </c>
      <c r="V427" s="146">
        <f>IF(ETo!D426&gt;0,ETo!I426*((1-Entradas!$F$81)*ETo!K426+ETo!L426),0)</f>
        <v>3.9152475743374233</v>
      </c>
      <c r="W427" s="170">
        <f>IF(Escenarios!$F$14&gt;0,MIN(V427*1,0.8*(Z426+R427+S427+T427+Observaciones!$F426-U427-Constantes!$F$35)),0)</f>
        <v>3.9152475743374233</v>
      </c>
      <c r="X427" s="170">
        <f>IF(Escenarios!$F$14&gt;0,Observaciones!$J426,0)</f>
        <v>0</v>
      </c>
      <c r="Y427" s="170">
        <f>IF(Escenarios!$F$14&gt;0,MAX(0,Z426+R427+S427+T427+Observaciones!$F426-U427-W427-X427-Constantes!$F$33),0)</f>
        <v>0</v>
      </c>
      <c r="Z427" s="170">
        <f>Z426+R427+S427+T427+Observaciones!$F426-U427-W427-Y427</f>
        <v>122.09217141516781</v>
      </c>
      <c r="AA427" s="170">
        <f>IF(Escenarios!$F$14&gt;0,(Escenarios!$F$13*L427+Escenarios!$F$14*W427)/(Escenarios!$F$16),L427)</f>
        <v>2.6822573070709343</v>
      </c>
      <c r="AB427" s="170">
        <f>IF(Escenarios!$F$14&gt;0,(Escenarios!$F$14*Y427)/(Escenarios!$F$16),K427)</f>
        <v>0</v>
      </c>
      <c r="AC427" s="170">
        <f>IF(Escenarios!$F$14&gt;0,(Escenarios!$F$13*M427+Escenarios!$F$14*U427)/(Escenarios!$F$16),M427)</f>
        <v>0.28525385278549392</v>
      </c>
      <c r="AD427" s="76">
        <f t="shared" si="85"/>
        <v>146.59295537704512</v>
      </c>
      <c r="AE427" s="76">
        <f>MAX(0,(AD427-Constantes!$D$13)*(1-EXP(-Constantes!$D$23)))</f>
        <v>0.96406994370635857</v>
      </c>
      <c r="AF427" s="76">
        <f>AB427+O427*Escenarios!$F$13/Escenarios!$F$16+AE427</f>
        <v>1.8827118265901945</v>
      </c>
      <c r="AG427" s="76">
        <f>IF(Entradas!$F$91&gt;0,IF(AF427-Escenarios!$F$38&lt;=0,0,IF(AF427-Escenarios!$F$38&gt;Escenarios!$F$37,Escenarios!$F$37,AF427-Escenarios!$F$38)),0)</f>
        <v>0.84591182659019459</v>
      </c>
      <c r="AH427" s="76">
        <f>AG427*Entradas!$F$99</f>
        <v>0</v>
      </c>
      <c r="AI427" s="76">
        <f>IF(Entradas!$F$91&gt;0,D427*Entradas!$D$23/Escenarios!$F$16,0)</f>
        <v>0.21159982655091961</v>
      </c>
      <c r="AJ427" s="76">
        <f>IF(Entradas!$F$91&gt;0,Entradas!$D$24*Entradas!$D$22/Escenarios!$F$16,0)</f>
        <v>0.12</v>
      </c>
      <c r="AK427" s="76">
        <f t="shared" si="86"/>
        <v>2.8938571336218541</v>
      </c>
      <c r="AL427" s="76">
        <f t="shared" si="87"/>
        <v>0</v>
      </c>
      <c r="AM427" s="76">
        <f t="shared" si="88"/>
        <v>0.84591182659019459</v>
      </c>
      <c r="AN427" s="76">
        <f>MAX(0,O427*Escenarios!$F$13/Escenarios!$F$16-AM427)</f>
        <v>7.2730056293641376E-2</v>
      </c>
      <c r="AO427" s="76">
        <f>AM427+AN427-O427*Escenarios!$F$13/Escenarios!$F$16</f>
        <v>0</v>
      </c>
      <c r="AP427" s="76">
        <f t="shared" si="89"/>
        <v>0.96406994370635857</v>
      </c>
      <c r="AQ427" s="76">
        <f t="shared" si="90"/>
        <v>0</v>
      </c>
      <c r="AR427" s="76">
        <f t="shared" si="91"/>
        <v>1.0367999999999999</v>
      </c>
      <c r="AS427" s="76">
        <f t="shared" si="92"/>
        <v>0.51431200003927502</v>
      </c>
      <c r="AT427" s="76">
        <f t="shared" si="93"/>
        <v>0.79956585282476889</v>
      </c>
      <c r="AU427" s="76">
        <f t="shared" si="94"/>
        <v>52.446475228398739</v>
      </c>
      <c r="AV427" s="76">
        <f>MAX(0,(AU427-Constantes!$D$13)*(1-EXP(-Constantes!$D$24)))</f>
        <v>5.6501537137829495E-2</v>
      </c>
      <c r="AW427" s="170">
        <f>AW426+(Entradas!$F$112*AT427-AX426)/(800*Entradas!$D$25)</f>
        <v>0</v>
      </c>
      <c r="AX427" s="170">
        <f>8000*Entradas!$D$26*AW427/Constantes!$F$45</f>
        <v>0</v>
      </c>
      <c r="AY427" s="170">
        <f>IF(Escenarios!$F$17&gt;0,10*Escenarios!$F$16*AL427,0)</f>
        <v>0</v>
      </c>
      <c r="AZ427" s="170">
        <f>IF(Escenarios!$F$17&gt;0,10*Escenarios!$F$16*AX427,0)</f>
        <v>0</v>
      </c>
      <c r="BA427" s="170">
        <f>IF(Escenarios!$F$17&gt;0,0.001*Observaciones!$F426*Escenarios!$F$17,0)</f>
        <v>0</v>
      </c>
      <c r="BB427" s="170">
        <f>IF(Escenarios!$F$17&gt;0,Observaciones!$K426,0)</f>
        <v>0</v>
      </c>
      <c r="BC427" s="170">
        <f>IF(Escenarios!$F$17&gt;0,MIN(0.0005*ETo!$M426*Escenarios!$F$17*(BG426/Constantes!$F$40)^(2/3),BG426+AY427+AZ427+BA427+BB427),0)</f>
        <v>0</v>
      </c>
      <c r="BD427" s="170">
        <f>IF(Escenarios!$F$17&gt;0,MIN(Constantes!$F$39*(BG426/Constantes!$F$40)^(2/3),BG426+AY427+AZ427+BA427+BB427-BC427),0)</f>
        <v>0</v>
      </c>
      <c r="BE427" s="170">
        <f>IF(Escenarios!$F$17&gt;0,MIN(Entradas!$F$113,BG426+AY427+AZ427+BA427+BB427-BC427-BD427),0)</f>
        <v>0</v>
      </c>
      <c r="BF427" s="170">
        <f>IF(Escenarios!$F$17&gt;0,MAX(0,BG426+AY427+AZ427+BA427+BB427-BC427-BD427-BE427-Constantes!$F$40),0)</f>
        <v>0</v>
      </c>
      <c r="BG427" s="170">
        <f t="shared" si="95"/>
        <v>0</v>
      </c>
      <c r="BH427" s="170">
        <f>(Escenarios!$F$16*AK427+0.1*BC427)/(Escenarios!$F$19)</f>
        <v>2.8938571336218541</v>
      </c>
      <c r="BI427" s="170">
        <f>IF(Escenarios!$F$17&gt;0,BF427/10/Escenarios!$F$19,AL427)</f>
        <v>0</v>
      </c>
      <c r="BJ427" s="170">
        <f>(Escenarios!$F$16*AT427+0.1*BD427)/(Escenarios!$F$19)</f>
        <v>0.79956585282476889</v>
      </c>
      <c r="BK427" s="76">
        <f>BK426+(0.1*BD427)/(Escenarios!$F$19)-BL426</f>
        <v>48.75</v>
      </c>
      <c r="BL427" s="76">
        <f>MAX(0,(BK427-Constantes!$D$13)*(1-EXP(-Constantes!$D$23)))</f>
        <v>0</v>
      </c>
      <c r="BM427" s="76">
        <f t="shared" si="96"/>
        <v>1.0205714808441881</v>
      </c>
      <c r="BN427" s="76">
        <f t="shared" si="97"/>
        <v>1.0933015371378294</v>
      </c>
      <c r="BO427" s="76">
        <f>0.0526*BI427*Observaciones!$F426^1.218</f>
        <v>0</v>
      </c>
      <c r="BP427" s="76">
        <f>BO427*Constantes!$F$51</f>
        <v>0</v>
      </c>
      <c r="BQ427" s="76">
        <f t="shared" si="98"/>
        <v>0</v>
      </c>
      <c r="BR427" s="40"/>
    </row>
    <row r="428" spans="2:70">
      <c r="B428" s="39"/>
      <c r="C428" s="75">
        <v>422</v>
      </c>
      <c r="D428" s="146">
        <f>ETo!$I427*((1-Constantes!$F$19)*ETo!$K427+ETo!$L427)</f>
        <v>4.5095048298076783</v>
      </c>
      <c r="E428" s="76">
        <f>MIN(D428*Constantes!$F$17,0.8*(N427+Observaciones!$F427-F428-M428-Constantes!$D$14))</f>
        <v>2.571823625434098</v>
      </c>
      <c r="F428" s="76">
        <f>IF(Observaciones!$F427&gt;0.05*Constantes!$F$18,((Observaciones!$F427-0.05*Constantes!$F$18)^2)/(Observaciones!$F427+0.95*Constantes!$F$18),0)</f>
        <v>0</v>
      </c>
      <c r="G428" s="76">
        <f>IF(Escenarios!$F$11&gt;0,(F428*Escenarios!$F$16*10000)/1000,0)</f>
        <v>0</v>
      </c>
      <c r="H428" s="76">
        <f>IF(Escenarios!$F$11&gt;0,(Observaciones!$F427*Constantes!$F$29)/1000,0)</f>
        <v>0</v>
      </c>
      <c r="I428" s="76">
        <f>IF(Escenarios!$F$11&gt;0,(D428*Constantes!$F$29)/1000,0)</f>
        <v>0</v>
      </c>
      <c r="J428" s="76">
        <f>IF(Escenarios!$F$11&gt;0,MAX(0,G428+H428-I428),0)</f>
        <v>0</v>
      </c>
      <c r="K428" s="76">
        <f>IF(Escenarios!$F$11&gt;0,IF(J428&gt;Constantes!$F$30,1000*((J428-Constantes!$F$30)/(Escenarios!$F$16*10000)),0),F428)</f>
        <v>0</v>
      </c>
      <c r="L428" s="76">
        <f>IF(Escenarios!$F$11&gt;0,I428*1000/Escenarios!$F$16/10000+E428,E428)</f>
        <v>2.571823625434098</v>
      </c>
      <c r="M428" s="76">
        <f>MAX(0,N427+Observaciones!$F427-K428-Constantes!$D$13)</f>
        <v>0</v>
      </c>
      <c r="N428" s="76">
        <f>N427+Observaciones!$F427-K428-L428-M428-O427</f>
        <v>38.280146741646618</v>
      </c>
      <c r="O428" s="76">
        <f>MAX(0,(N428-Constantes!$D$14)*(1-EXP(-Constantes!$D$22)))</f>
        <v>0.92074602772060687</v>
      </c>
      <c r="P428" s="170">
        <f>P427+(Entradas!$F$83*M428-Q427)/(800*Entradas!$D$25)</f>
        <v>0</v>
      </c>
      <c r="Q428" s="170">
        <f>8000*Entradas!$D$26*P428/Constantes!$F$45</f>
        <v>0</v>
      </c>
      <c r="R428" s="170">
        <f>IF(Escenarios!$F$14&gt;0,K428*Escenarios!$F$13/Escenarios!$F$14,0)</f>
        <v>0</v>
      </c>
      <c r="S428" s="170">
        <f>IF(Escenarios!$F$14&gt;0,Q428*Escenarios!$F$13/Escenarios!$F$14,0)</f>
        <v>0</v>
      </c>
      <c r="T428" s="170">
        <f>IF(Escenarios!$F$14&gt;0,Observaciones!$I427,0)</f>
        <v>0</v>
      </c>
      <c r="U428" s="170">
        <f>IF(Escenarios!$F$14&gt;0,MAX(0,Constantes!$F$36/((Z427+R428+S428+T428+Observaciones!$F427)^2)+Entradas!$F$77),0)</f>
        <v>2.3112567566840676</v>
      </c>
      <c r="V428" s="146">
        <f>IF(ETo!D427&gt;0,ETo!I427*((1-Entradas!$F$81)*ETo!K427+ETo!L427),0)</f>
        <v>4.0066949297003953</v>
      </c>
      <c r="W428" s="170">
        <f>IF(Escenarios!$F$14&gt;0,MIN(V428*1,0.8*(Z427+R428+S428+T428+Observaciones!$F427-U428-Constantes!$F$35)),0)</f>
        <v>4.0066949297003953</v>
      </c>
      <c r="X428" s="170">
        <f>IF(Escenarios!$F$14&gt;0,Observaciones!$J427,0)</f>
        <v>0</v>
      </c>
      <c r="Y428" s="170">
        <f>IF(Escenarios!$F$14&gt;0,MAX(0,Z427+R428+S428+T428+Observaciones!$F427-U428-W428-X428-Constantes!$F$33),0)</f>
        <v>0</v>
      </c>
      <c r="Z428" s="170">
        <f>Z427+R428+S428+T428+Observaciones!$F427-U428-W428-Y428</f>
        <v>115.77421972878334</v>
      </c>
      <c r="AA428" s="170">
        <f>IF(Escenarios!$F$14&gt;0,(Escenarios!$F$13*L428+Escenarios!$F$14*W428)/(Escenarios!$F$16),L428)</f>
        <v>2.7440081819460538</v>
      </c>
      <c r="AB428" s="170">
        <f>IF(Escenarios!$F$14&gt;0,(Escenarios!$F$14*Y428)/(Escenarios!$F$16),K428)</f>
        <v>0</v>
      </c>
      <c r="AC428" s="170">
        <f>IF(Escenarios!$F$14&gt;0,(Escenarios!$F$13*M428+Escenarios!$F$14*U428)/(Escenarios!$F$16),M428)</f>
        <v>0.27735081080208812</v>
      </c>
      <c r="AD428" s="76">
        <f t="shared" si="85"/>
        <v>145.90623624414084</v>
      </c>
      <c r="AE428" s="76">
        <f>MAX(0,(AD428-Constantes!$D$13)*(1-EXP(-Constantes!$D$23)))</f>
        <v>0.95730353652609845</v>
      </c>
      <c r="AF428" s="76">
        <f>AB428+O428*Escenarios!$F$13/Escenarios!$F$16+AE428</f>
        <v>1.7675600409202326</v>
      </c>
      <c r="AG428" s="76">
        <f>IF(Entradas!$F$91&gt;0,IF(AF428-Escenarios!$F$38&lt;=0,0,IF(AF428-Escenarios!$F$38&gt;Escenarios!$F$37,Escenarios!$F$37,AF428-Escenarios!$F$38)),0)</f>
        <v>0.73076004092023261</v>
      </c>
      <c r="AH428" s="76">
        <f>AG428*Entradas!$F$99</f>
        <v>0</v>
      </c>
      <c r="AI428" s="76">
        <f>IF(Entradas!$F$91&gt;0,D428*Entradas!$D$23/Escenarios!$F$16,0)</f>
        <v>0.21645623183076856</v>
      </c>
      <c r="AJ428" s="76">
        <f>IF(Entradas!$F$91&gt;0,Entradas!$D$24*Entradas!$D$22/Escenarios!$F$16,0)</f>
        <v>0.12</v>
      </c>
      <c r="AK428" s="76">
        <f t="shared" si="86"/>
        <v>2.9604644137768226</v>
      </c>
      <c r="AL428" s="76">
        <f t="shared" si="87"/>
        <v>0</v>
      </c>
      <c r="AM428" s="76">
        <f t="shared" si="88"/>
        <v>0.73076004092023261</v>
      </c>
      <c r="AN428" s="76">
        <f>MAX(0,O428*Escenarios!$F$13/Escenarios!$F$16-AM428)</f>
        <v>7.949646347390138E-2</v>
      </c>
      <c r="AO428" s="76">
        <f>AM428+AN428-O428*Escenarios!$F$13/Escenarios!$F$16</f>
        <v>0</v>
      </c>
      <c r="AP428" s="76">
        <f t="shared" si="89"/>
        <v>0.95730353652609845</v>
      </c>
      <c r="AQ428" s="76">
        <f t="shared" si="90"/>
        <v>0</v>
      </c>
      <c r="AR428" s="76">
        <f t="shared" si="91"/>
        <v>1.0367999999999999</v>
      </c>
      <c r="AS428" s="76">
        <f t="shared" si="92"/>
        <v>0.39430380908946405</v>
      </c>
      <c r="AT428" s="76">
        <f t="shared" si="93"/>
        <v>0.67165461989155217</v>
      </c>
      <c r="AU428" s="76">
        <f t="shared" si="94"/>
        <v>52.784277500350377</v>
      </c>
      <c r="AV428" s="76">
        <f>MAX(0,(AU428-Constantes!$D$13)*(1-EXP(-Constantes!$D$24)))</f>
        <v>6.1664928323920738E-2</v>
      </c>
      <c r="AW428" s="170">
        <f>AW427+(Entradas!$F$112*AT428-AX427)/(800*Entradas!$D$25)</f>
        <v>0</v>
      </c>
      <c r="AX428" s="170">
        <f>8000*Entradas!$D$26*AW428/Constantes!$F$45</f>
        <v>0</v>
      </c>
      <c r="AY428" s="170">
        <f>IF(Escenarios!$F$17&gt;0,10*Escenarios!$F$16*AL428,0)</f>
        <v>0</v>
      </c>
      <c r="AZ428" s="170">
        <f>IF(Escenarios!$F$17&gt;0,10*Escenarios!$F$16*AX428,0)</f>
        <v>0</v>
      </c>
      <c r="BA428" s="170">
        <f>IF(Escenarios!$F$17&gt;0,0.001*Observaciones!$F427*Escenarios!$F$17,0)</f>
        <v>0</v>
      </c>
      <c r="BB428" s="170">
        <f>IF(Escenarios!$F$17&gt;0,Observaciones!$K427,0)</f>
        <v>0</v>
      </c>
      <c r="BC428" s="170">
        <f>IF(Escenarios!$F$17&gt;0,MIN(0.0005*ETo!$M427*Escenarios!$F$17*(BG427/Constantes!$F$40)^(2/3),BG427+AY428+AZ428+BA428+BB428),0)</f>
        <v>0</v>
      </c>
      <c r="BD428" s="170">
        <f>IF(Escenarios!$F$17&gt;0,MIN(Constantes!$F$39*(BG427/Constantes!$F$40)^(2/3),BG427+AY428+AZ428+BA428+BB428-BC428),0)</f>
        <v>0</v>
      </c>
      <c r="BE428" s="170">
        <f>IF(Escenarios!$F$17&gt;0,MIN(Entradas!$F$113,BG427+AY428+AZ428+BA428+BB428-BC428-BD428),0)</f>
        <v>0</v>
      </c>
      <c r="BF428" s="170">
        <f>IF(Escenarios!$F$17&gt;0,MAX(0,BG427+AY428+AZ428+BA428+BB428-BC428-BD428-BE428-Constantes!$F$40),0)</f>
        <v>0</v>
      </c>
      <c r="BG428" s="170">
        <f t="shared" si="95"/>
        <v>0</v>
      </c>
      <c r="BH428" s="170">
        <f>(Escenarios!$F$16*AK428+0.1*BC428)/(Escenarios!$F$19)</f>
        <v>2.9604644137768226</v>
      </c>
      <c r="BI428" s="170">
        <f>IF(Escenarios!$F$17&gt;0,BF428/10/Escenarios!$F$19,AL428)</f>
        <v>0</v>
      </c>
      <c r="BJ428" s="170">
        <f>(Escenarios!$F$16*AT428+0.1*BD428)/(Escenarios!$F$19)</f>
        <v>0.67165461989155217</v>
      </c>
      <c r="BK428" s="76">
        <f>BK427+(0.1*BD428)/(Escenarios!$F$19)-BL427</f>
        <v>48.75</v>
      </c>
      <c r="BL428" s="76">
        <f>MAX(0,(BK428-Constantes!$D$13)*(1-EXP(-Constantes!$D$23)))</f>
        <v>0</v>
      </c>
      <c r="BM428" s="76">
        <f t="shared" si="96"/>
        <v>1.0189684648500192</v>
      </c>
      <c r="BN428" s="76">
        <f t="shared" si="97"/>
        <v>1.0984649283239207</v>
      </c>
      <c r="BO428" s="76">
        <f>0.0526*BI428*Observaciones!$F427^1.218</f>
        <v>0</v>
      </c>
      <c r="BP428" s="76">
        <f>BO428*Constantes!$F$51</f>
        <v>0</v>
      </c>
      <c r="BQ428" s="76">
        <f t="shared" si="98"/>
        <v>0</v>
      </c>
      <c r="BR428" s="40"/>
    </row>
    <row r="429" spans="2:70">
      <c r="B429" s="39"/>
      <c r="C429" s="75">
        <v>423</v>
      </c>
      <c r="D429" s="146">
        <f>ETo!$I428*((1-Constantes!$F$19)*ETo!$K428+ETo!$L428)</f>
        <v>4.2798860669950836</v>
      </c>
      <c r="E429" s="76">
        <f>MIN(D429*Constantes!$F$17,0.8*(N428+Observaciones!$F428-F429-M429-Constantes!$D$14))</f>
        <v>2.4408693452344328</v>
      </c>
      <c r="F429" s="76">
        <f>IF(Observaciones!$F428&gt;0.05*Constantes!$F$18,((Observaciones!$F428-0.05*Constantes!$F$18)^2)/(Observaciones!$F428+0.95*Constantes!$F$18),0)</f>
        <v>0</v>
      </c>
      <c r="G429" s="76">
        <f>IF(Escenarios!$F$11&gt;0,(F429*Escenarios!$F$16*10000)/1000,0)</f>
        <v>0</v>
      </c>
      <c r="H429" s="76">
        <f>IF(Escenarios!$F$11&gt;0,(Observaciones!$F428*Constantes!$F$29)/1000,0)</f>
        <v>0</v>
      </c>
      <c r="I429" s="76">
        <f>IF(Escenarios!$F$11&gt;0,(D429*Constantes!$F$29)/1000,0)</f>
        <v>0</v>
      </c>
      <c r="J429" s="76">
        <f>IF(Escenarios!$F$11&gt;0,MAX(0,G429+H429-I429),0)</f>
        <v>0</v>
      </c>
      <c r="K429" s="76">
        <f>IF(Escenarios!$F$11&gt;0,IF(J429&gt;Constantes!$F$30,1000*((J429-Constantes!$F$30)/(Escenarios!$F$16*10000)),0),F429)</f>
        <v>0</v>
      </c>
      <c r="L429" s="76">
        <f>IF(Escenarios!$F$11&gt;0,I429*1000/Escenarios!$F$16/10000+E429,E429)</f>
        <v>2.4408693452344328</v>
      </c>
      <c r="M429" s="76">
        <f>MAX(0,N428+Observaciones!$F428-K429-Constantes!$D$13)</f>
        <v>0</v>
      </c>
      <c r="N429" s="76">
        <f>N428+Observaciones!$F428-K429-L429-M429-O428</f>
        <v>36.018531368691583</v>
      </c>
      <c r="O429" s="76">
        <f>MAX(0,(N429-Constantes!$D$14)*(1-EXP(-Constantes!$D$22)))</f>
        <v>0.84370710555775397</v>
      </c>
      <c r="P429" s="170">
        <f>P428+(Entradas!$F$83*M429-Q428)/(800*Entradas!$D$25)</f>
        <v>0</v>
      </c>
      <c r="Q429" s="170">
        <f>8000*Entradas!$D$26*P429/Constantes!$F$45</f>
        <v>0</v>
      </c>
      <c r="R429" s="170">
        <f>IF(Escenarios!$F$14&gt;0,K429*Escenarios!$F$13/Escenarios!$F$14,0)</f>
        <v>0</v>
      </c>
      <c r="S429" s="170">
        <f>IF(Escenarios!$F$14&gt;0,Q429*Escenarios!$F$13/Escenarios!$F$14,0)</f>
        <v>0</v>
      </c>
      <c r="T429" s="170">
        <f>IF(Escenarios!$F$14&gt;0,Observaciones!$I428,0)</f>
        <v>0</v>
      </c>
      <c r="U429" s="170">
        <f>IF(Escenarios!$F$14&gt;0,MAX(0,Constantes!$F$36/((Z428+R429+S429+T429+Observaciones!$F428)^2)+Entradas!$F$77),0)</f>
        <v>2.2483848283137258</v>
      </c>
      <c r="V429" s="146">
        <f>IF(ETo!D428&gt;0,ETo!I428*((1-Entradas!$F$81)*ETo!K428+ETo!L428),0)</f>
        <v>3.7992081434481495</v>
      </c>
      <c r="W429" s="170">
        <f>IF(Escenarios!$F$14&gt;0,MIN(V429*1,0.8*(Z428+R429+S429+T429+Observaciones!$F428-U429-Constantes!$F$35)),0)</f>
        <v>3.7992081434481495</v>
      </c>
      <c r="X429" s="170">
        <f>IF(Escenarios!$F$14&gt;0,Observaciones!$J428,0)</f>
        <v>0</v>
      </c>
      <c r="Y429" s="170">
        <f>IF(Escenarios!$F$14&gt;0,MAX(0,Z428+R429+S429+T429+Observaciones!$F428-U429-W429-X429-Constantes!$F$33),0)</f>
        <v>0</v>
      </c>
      <c r="Z429" s="170">
        <f>Z428+R429+S429+T429+Observaciones!$F428-U429-W429-Y429</f>
        <v>110.82662675702144</v>
      </c>
      <c r="AA429" s="170">
        <f>IF(Escenarios!$F$14&gt;0,(Escenarios!$F$13*L429+Escenarios!$F$14*W429)/(Escenarios!$F$16),L429)</f>
        <v>2.6038700010200788</v>
      </c>
      <c r="AB429" s="170">
        <f>IF(Escenarios!$F$14&gt;0,(Escenarios!$F$14*Y429)/(Escenarios!$F$16),K429)</f>
        <v>0</v>
      </c>
      <c r="AC429" s="170">
        <f>IF(Escenarios!$F$14&gt;0,(Escenarios!$F$13*M429+Escenarios!$F$14*U429)/(Escenarios!$F$16),M429)</f>
        <v>0.26980617939764712</v>
      </c>
      <c r="AD429" s="76">
        <f t="shared" si="85"/>
        <v>145.21873888701239</v>
      </c>
      <c r="AE429" s="76">
        <f>MAX(0,(AD429-Constantes!$D$13)*(1-EXP(-Constantes!$D$23)))</f>
        <v>0.95052946131719906</v>
      </c>
      <c r="AF429" s="76">
        <f>AB429+O429*Escenarios!$F$13/Escenarios!$F$16+AE429</f>
        <v>1.6929917142080226</v>
      </c>
      <c r="AG429" s="76">
        <f>IF(Entradas!$F$91&gt;0,IF(AF429-Escenarios!$F$38&lt;=0,0,IF(AF429-Escenarios!$F$38&gt;Escenarios!$F$37,Escenarios!$F$37,AF429-Escenarios!$F$38)),0)</f>
        <v>0.65619171420802269</v>
      </c>
      <c r="AH429" s="76">
        <f>AG429*Entradas!$F$99</f>
        <v>0</v>
      </c>
      <c r="AI429" s="76">
        <f>IF(Entradas!$F$91&gt;0,D429*Entradas!$D$23/Escenarios!$F$16,0)</f>
        <v>0.20543453121576402</v>
      </c>
      <c r="AJ429" s="76">
        <f>IF(Entradas!$F$91&gt;0,Entradas!$D$24*Entradas!$D$22/Escenarios!$F$16,0)</f>
        <v>0.12</v>
      </c>
      <c r="AK429" s="76">
        <f t="shared" si="86"/>
        <v>2.809304532235843</v>
      </c>
      <c r="AL429" s="76">
        <f t="shared" si="87"/>
        <v>0</v>
      </c>
      <c r="AM429" s="76">
        <f t="shared" si="88"/>
        <v>0.65619171420802269</v>
      </c>
      <c r="AN429" s="76">
        <f>MAX(0,O429*Escenarios!$F$13/Escenarios!$F$16-AM429)</f>
        <v>8.6270538682800768E-2</v>
      </c>
      <c r="AO429" s="76">
        <f>AM429+AN429-O429*Escenarios!$F$13/Escenarios!$F$16</f>
        <v>0</v>
      </c>
      <c r="AP429" s="76">
        <f t="shared" si="89"/>
        <v>0.95052946131719906</v>
      </c>
      <c r="AQ429" s="76">
        <f t="shared" si="90"/>
        <v>0</v>
      </c>
      <c r="AR429" s="76">
        <f t="shared" si="91"/>
        <v>1.0367999999999999</v>
      </c>
      <c r="AS429" s="76">
        <f t="shared" si="92"/>
        <v>0.33075718299225865</v>
      </c>
      <c r="AT429" s="76">
        <f t="shared" si="93"/>
        <v>0.60056336238990582</v>
      </c>
      <c r="AU429" s="76">
        <f t="shared" si="94"/>
        <v>53.053369755018714</v>
      </c>
      <c r="AV429" s="76">
        <f>MAX(0,(AU429-Constantes!$D$13)*(1-EXP(-Constantes!$D$24)))</f>
        <v>6.5778069919957216E-2</v>
      </c>
      <c r="AW429" s="170">
        <f>AW428+(Entradas!$F$112*AT429-AX428)/(800*Entradas!$D$25)</f>
        <v>0</v>
      </c>
      <c r="AX429" s="170">
        <f>8000*Entradas!$D$26*AW429/Constantes!$F$45</f>
        <v>0</v>
      </c>
      <c r="AY429" s="170">
        <f>IF(Escenarios!$F$17&gt;0,10*Escenarios!$F$16*AL429,0)</f>
        <v>0</v>
      </c>
      <c r="AZ429" s="170">
        <f>IF(Escenarios!$F$17&gt;0,10*Escenarios!$F$16*AX429,0)</f>
        <v>0</v>
      </c>
      <c r="BA429" s="170">
        <f>IF(Escenarios!$F$17&gt;0,0.001*Observaciones!$F428*Escenarios!$F$17,0)</f>
        <v>0</v>
      </c>
      <c r="BB429" s="170">
        <f>IF(Escenarios!$F$17&gt;0,Observaciones!$K428,0)</f>
        <v>0</v>
      </c>
      <c r="BC429" s="170">
        <f>IF(Escenarios!$F$17&gt;0,MIN(0.0005*ETo!$M428*Escenarios!$F$17*(BG428/Constantes!$F$40)^(2/3),BG428+AY429+AZ429+BA429+BB429),0)</f>
        <v>0</v>
      </c>
      <c r="BD429" s="170">
        <f>IF(Escenarios!$F$17&gt;0,MIN(Constantes!$F$39*(BG428/Constantes!$F$40)^(2/3),BG428+AY429+AZ429+BA429+BB429-BC429),0)</f>
        <v>0</v>
      </c>
      <c r="BE429" s="170">
        <f>IF(Escenarios!$F$17&gt;0,MIN(Entradas!$F$113,BG428+AY429+AZ429+BA429+BB429-BC429-BD429),0)</f>
        <v>0</v>
      </c>
      <c r="BF429" s="170">
        <f>IF(Escenarios!$F$17&gt;0,MAX(0,BG428+AY429+AZ429+BA429+BB429-BC429-BD429-BE429-Constantes!$F$40),0)</f>
        <v>0</v>
      </c>
      <c r="BG429" s="170">
        <f t="shared" si="95"/>
        <v>0</v>
      </c>
      <c r="BH429" s="170">
        <f>(Escenarios!$F$16*AK429+0.1*BC429)/(Escenarios!$F$19)</f>
        <v>2.809304532235843</v>
      </c>
      <c r="BI429" s="170">
        <f>IF(Escenarios!$F$17&gt;0,BF429/10/Escenarios!$F$19,AL429)</f>
        <v>0</v>
      </c>
      <c r="BJ429" s="170">
        <f>(Escenarios!$F$16*AT429+0.1*BD429)/(Escenarios!$F$19)</f>
        <v>0.60056336238990582</v>
      </c>
      <c r="BK429" s="76">
        <f>BK428+(0.1*BD429)/(Escenarios!$F$19)-BL428</f>
        <v>48.75</v>
      </c>
      <c r="BL429" s="76">
        <f>MAX(0,(BK429-Constantes!$D$13)*(1-EXP(-Constantes!$D$23)))</f>
        <v>0</v>
      </c>
      <c r="BM429" s="76">
        <f t="shared" si="96"/>
        <v>1.0163075312371563</v>
      </c>
      <c r="BN429" s="76">
        <f t="shared" si="97"/>
        <v>1.1025780699199572</v>
      </c>
      <c r="BO429" s="76">
        <f>0.0526*BI429*Observaciones!$F428^1.218</f>
        <v>0</v>
      </c>
      <c r="BP429" s="76">
        <f>BO429*Constantes!$F$51</f>
        <v>0</v>
      </c>
      <c r="BQ429" s="76">
        <f t="shared" si="98"/>
        <v>0</v>
      </c>
      <c r="BR429" s="40"/>
    </row>
    <row r="430" spans="2:70">
      <c r="B430" s="39"/>
      <c r="C430" s="75">
        <v>424</v>
      </c>
      <c r="D430" s="146">
        <f>ETo!$I429*((1-Constantes!$F$19)*ETo!$K429+ETo!$L429)</f>
        <v>4.4119963401423634</v>
      </c>
      <c r="E430" s="76">
        <f>MIN(D430*Constantes!$F$17,0.8*(N429+Observaciones!$F429-F430-M430-Constantes!$D$14))</f>
        <v>2.5162133873112689</v>
      </c>
      <c r="F430" s="76">
        <f>IF(Observaciones!$F429&gt;0.05*Constantes!$F$18,((Observaciones!$F429-0.05*Constantes!$F$18)^2)/(Observaciones!$F429+0.95*Constantes!$F$18),0)</f>
        <v>0</v>
      </c>
      <c r="G430" s="76">
        <f>IF(Escenarios!$F$11&gt;0,(F430*Escenarios!$F$16*10000)/1000,0)</f>
        <v>0</v>
      </c>
      <c r="H430" s="76">
        <f>IF(Escenarios!$F$11&gt;0,(Observaciones!$F429*Constantes!$F$29)/1000,0)</f>
        <v>0</v>
      </c>
      <c r="I430" s="76">
        <f>IF(Escenarios!$F$11&gt;0,(D430*Constantes!$F$29)/1000,0)</f>
        <v>0</v>
      </c>
      <c r="J430" s="76">
        <f>IF(Escenarios!$F$11&gt;0,MAX(0,G430+H430-I430),0)</f>
        <v>0</v>
      </c>
      <c r="K430" s="76">
        <f>IF(Escenarios!$F$11&gt;0,IF(J430&gt;Constantes!$F$30,1000*((J430-Constantes!$F$30)/(Escenarios!$F$16*10000)),0),F430)</f>
        <v>0</v>
      </c>
      <c r="L430" s="76">
        <f>IF(Escenarios!$F$11&gt;0,I430*1000/Escenarios!$F$16/10000+E430,E430)</f>
        <v>2.5162133873112689</v>
      </c>
      <c r="M430" s="76">
        <f>MAX(0,N429+Observaciones!$F429-K430-Constantes!$D$13)</f>
        <v>0</v>
      </c>
      <c r="N430" s="76">
        <f>N429+Observaciones!$F429-K430-L430-M430-O429</f>
        <v>33.058610875822559</v>
      </c>
      <c r="O430" s="76">
        <f>MAX(0,(N430-Constantes!$D$14)*(1-EXP(-Constantes!$D$22)))</f>
        <v>0.74288134748005463</v>
      </c>
      <c r="P430" s="170">
        <f>P429+(Entradas!$F$83*M430-Q429)/(800*Entradas!$D$25)</f>
        <v>0</v>
      </c>
      <c r="Q430" s="170">
        <f>8000*Entradas!$D$26*P430/Constantes!$F$45</f>
        <v>0</v>
      </c>
      <c r="R430" s="170">
        <f>IF(Escenarios!$F$14&gt;0,K430*Escenarios!$F$13/Escenarios!$F$14,0)</f>
        <v>0</v>
      </c>
      <c r="S430" s="170">
        <f>IF(Escenarios!$F$14&gt;0,Q430*Escenarios!$F$13/Escenarios!$F$14,0)</f>
        <v>0</v>
      </c>
      <c r="T430" s="170">
        <f>IF(Escenarios!$F$14&gt;0,Observaciones!$I429,0)</f>
        <v>0</v>
      </c>
      <c r="U430" s="170">
        <f>IF(Escenarios!$F$14&gt;0,MAX(0,Constantes!$F$36/((Z429+R430+S430+T430+Observaciones!$F429)^2)+Entradas!$F$77),0)</f>
        <v>2.1701197018347016</v>
      </c>
      <c r="V430" s="146">
        <f>IF(ETo!D429&gt;0,ETo!I429*((1-Entradas!$F$81)*ETo!K429+ETo!L429),0)</f>
        <v>3.9182401000254474</v>
      </c>
      <c r="W430" s="170">
        <f>IF(Escenarios!$F$14&gt;0,MIN(V430*1,0.8*(Z429+R430+S430+T430+Observaciones!$F429-U430-Constantes!$F$35)),0)</f>
        <v>3.9182401000254474</v>
      </c>
      <c r="X430" s="170">
        <f>IF(Escenarios!$F$14&gt;0,Observaciones!$J429,0)</f>
        <v>0</v>
      </c>
      <c r="Y430" s="170">
        <f>IF(Escenarios!$F$14&gt;0,MAX(0,Z429+R430+S430+T430+Observaciones!$F429-U430-W430-X430-Constantes!$F$33),0)</f>
        <v>0</v>
      </c>
      <c r="Z430" s="170">
        <f>Z429+R430+S430+T430+Observaciones!$F429-U430-W430-Y430</f>
        <v>105.1382669551613</v>
      </c>
      <c r="AA430" s="170">
        <f>IF(Escenarios!$F$14&gt;0,(Escenarios!$F$13*L430+Escenarios!$F$14*W430)/(Escenarios!$F$16),L430)</f>
        <v>2.6844565928369701</v>
      </c>
      <c r="AB430" s="170">
        <f>IF(Escenarios!$F$14&gt;0,(Escenarios!$F$14*Y430)/(Escenarios!$F$16),K430)</f>
        <v>0</v>
      </c>
      <c r="AC430" s="170">
        <f>IF(Escenarios!$F$14&gt;0,(Escenarios!$F$13*M430+Escenarios!$F$14*U430)/(Escenarios!$F$16),M430)</f>
        <v>0.26041436422016423</v>
      </c>
      <c r="AD430" s="76">
        <f t="shared" si="85"/>
        <v>144.52862378991537</v>
      </c>
      <c r="AE430" s="76">
        <f>MAX(0,(AD430-Constantes!$D$13)*(1-EXP(-Constantes!$D$23)))</f>
        <v>0.94372959289289216</v>
      </c>
      <c r="AF430" s="76">
        <f>AB430+O430*Escenarios!$F$13/Escenarios!$F$16+AE430</f>
        <v>1.5974651786753402</v>
      </c>
      <c r="AG430" s="76">
        <f>IF(Entradas!$F$91&gt;0,IF(AF430-Escenarios!$F$38&lt;=0,0,IF(AF430-Escenarios!$F$38&gt;Escenarios!$F$37,Escenarios!$F$37,AF430-Escenarios!$F$38)),0)</f>
        <v>0.56066517867534027</v>
      </c>
      <c r="AH430" s="76">
        <f>AG430*Entradas!$F$99</f>
        <v>0</v>
      </c>
      <c r="AI430" s="76">
        <f>IF(Entradas!$F$91&gt;0,D430*Entradas!$D$23/Escenarios!$F$16,0)</f>
        <v>0.21177582432683345</v>
      </c>
      <c r="AJ430" s="76">
        <f>IF(Entradas!$F$91&gt;0,Entradas!$D$24*Entradas!$D$22/Escenarios!$F$16,0)</f>
        <v>0.12</v>
      </c>
      <c r="AK430" s="76">
        <f t="shared" si="86"/>
        <v>2.8962324171638034</v>
      </c>
      <c r="AL430" s="76">
        <f t="shared" si="87"/>
        <v>0</v>
      </c>
      <c r="AM430" s="76">
        <f t="shared" si="88"/>
        <v>0.56066517867534027</v>
      </c>
      <c r="AN430" s="76">
        <f>MAX(0,O430*Escenarios!$F$13/Escenarios!$F$16-AM430)</f>
        <v>9.3070407107107789E-2</v>
      </c>
      <c r="AO430" s="76">
        <f>AM430+AN430-O430*Escenarios!$F$13/Escenarios!$F$16</f>
        <v>0</v>
      </c>
      <c r="AP430" s="76">
        <f t="shared" si="89"/>
        <v>0.94372959289289216</v>
      </c>
      <c r="AQ430" s="76">
        <f t="shared" si="90"/>
        <v>0</v>
      </c>
      <c r="AR430" s="76">
        <f t="shared" si="91"/>
        <v>1.0367999999999999</v>
      </c>
      <c r="AS430" s="76">
        <f t="shared" si="92"/>
        <v>0.22888935434850682</v>
      </c>
      <c r="AT430" s="76">
        <f t="shared" si="93"/>
        <v>0.48930371856867105</v>
      </c>
      <c r="AU430" s="76">
        <f t="shared" si="94"/>
        <v>53.216481039447267</v>
      </c>
      <c r="AV430" s="76">
        <f>MAX(0,(AU430-Constantes!$D$13)*(1-EXP(-Constantes!$D$24)))</f>
        <v>6.8271266201629904E-2</v>
      </c>
      <c r="AW430" s="170">
        <f>AW429+(Entradas!$F$112*AT430-AX429)/(800*Entradas!$D$25)</f>
        <v>0</v>
      </c>
      <c r="AX430" s="170">
        <f>8000*Entradas!$D$26*AW430/Constantes!$F$45</f>
        <v>0</v>
      </c>
      <c r="AY430" s="170">
        <f>IF(Escenarios!$F$17&gt;0,10*Escenarios!$F$16*AL430,0)</f>
        <v>0</v>
      </c>
      <c r="AZ430" s="170">
        <f>IF(Escenarios!$F$17&gt;0,10*Escenarios!$F$16*AX430,0)</f>
        <v>0</v>
      </c>
      <c r="BA430" s="170">
        <f>IF(Escenarios!$F$17&gt;0,0.001*Observaciones!$F429*Escenarios!$F$17,0)</f>
        <v>0</v>
      </c>
      <c r="BB430" s="170">
        <f>IF(Escenarios!$F$17&gt;0,Observaciones!$K429,0)</f>
        <v>0</v>
      </c>
      <c r="BC430" s="170">
        <f>IF(Escenarios!$F$17&gt;0,MIN(0.0005*ETo!$M429*Escenarios!$F$17*(BG429/Constantes!$F$40)^(2/3),BG429+AY430+AZ430+BA430+BB430),0)</f>
        <v>0</v>
      </c>
      <c r="BD430" s="170">
        <f>IF(Escenarios!$F$17&gt;0,MIN(Constantes!$F$39*(BG429/Constantes!$F$40)^(2/3),BG429+AY430+AZ430+BA430+BB430-BC430),0)</f>
        <v>0</v>
      </c>
      <c r="BE430" s="170">
        <f>IF(Escenarios!$F$17&gt;0,MIN(Entradas!$F$113,BG429+AY430+AZ430+BA430+BB430-BC430-BD430),0)</f>
        <v>0</v>
      </c>
      <c r="BF430" s="170">
        <f>IF(Escenarios!$F$17&gt;0,MAX(0,BG429+AY430+AZ430+BA430+BB430-BC430-BD430-BE430-Constantes!$F$40),0)</f>
        <v>0</v>
      </c>
      <c r="BG430" s="170">
        <f t="shared" si="95"/>
        <v>0</v>
      </c>
      <c r="BH430" s="170">
        <f>(Escenarios!$F$16*AK430+0.1*BC430)/(Escenarios!$F$19)</f>
        <v>2.8962324171638034</v>
      </c>
      <c r="BI430" s="170">
        <f>IF(Escenarios!$F$17&gt;0,BF430/10/Escenarios!$F$19,AL430)</f>
        <v>0</v>
      </c>
      <c r="BJ430" s="170">
        <f>(Escenarios!$F$16*AT430+0.1*BD430)/(Escenarios!$F$19)</f>
        <v>0.48930371856867105</v>
      </c>
      <c r="BK430" s="76">
        <f>BK429+(0.1*BD430)/(Escenarios!$F$19)-BL429</f>
        <v>48.75</v>
      </c>
      <c r="BL430" s="76">
        <f>MAX(0,(BK430-Constantes!$D$13)*(1-EXP(-Constantes!$D$23)))</f>
        <v>0</v>
      </c>
      <c r="BM430" s="76">
        <f t="shared" si="96"/>
        <v>1.012000859094522</v>
      </c>
      <c r="BN430" s="76">
        <f t="shared" si="97"/>
        <v>1.1050712662016298</v>
      </c>
      <c r="BO430" s="76">
        <f>0.0526*BI430*Observaciones!$F429^1.218</f>
        <v>0</v>
      </c>
      <c r="BP430" s="76">
        <f>BO430*Constantes!$F$51</f>
        <v>0</v>
      </c>
      <c r="BQ430" s="76">
        <f t="shared" si="98"/>
        <v>0</v>
      </c>
      <c r="BR430" s="40"/>
    </row>
    <row r="431" spans="2:70">
      <c r="B431" s="39"/>
      <c r="C431" s="75">
        <v>425</v>
      </c>
      <c r="D431" s="146">
        <f>ETo!$I430*((1-Constantes!$F$19)*ETo!$K430+ETo!$L430)</f>
        <v>4.4080928702561204</v>
      </c>
      <c r="E431" s="76">
        <f>MIN(D431*Constantes!$F$17,0.8*(N430+Observaciones!$F430-F431-M431-Constantes!$D$14))</f>
        <v>2.5139871925396715</v>
      </c>
      <c r="F431" s="76">
        <f>IF(Observaciones!$F430&gt;0.05*Constantes!$F$18,((Observaciones!$F430-0.05*Constantes!$F$18)^2)/(Observaciones!$F430+0.95*Constantes!$F$18),0)</f>
        <v>0</v>
      </c>
      <c r="G431" s="76">
        <f>IF(Escenarios!$F$11&gt;0,(F431*Escenarios!$F$16*10000)/1000,0)</f>
        <v>0</v>
      </c>
      <c r="H431" s="76">
        <f>IF(Escenarios!$F$11&gt;0,(Observaciones!$F430*Constantes!$F$29)/1000,0)</f>
        <v>0</v>
      </c>
      <c r="I431" s="76">
        <f>IF(Escenarios!$F$11&gt;0,(D431*Constantes!$F$29)/1000,0)</f>
        <v>0</v>
      </c>
      <c r="J431" s="76">
        <f>IF(Escenarios!$F$11&gt;0,MAX(0,G431+H431-I431),0)</f>
        <v>0</v>
      </c>
      <c r="K431" s="76">
        <f>IF(Escenarios!$F$11&gt;0,IF(J431&gt;Constantes!$F$30,1000*((J431-Constantes!$F$30)/(Escenarios!$F$16*10000)),0),F431)</f>
        <v>0</v>
      </c>
      <c r="L431" s="76">
        <f>IF(Escenarios!$F$11&gt;0,I431*1000/Escenarios!$F$16/10000+E431,E431)</f>
        <v>2.5139871925396715</v>
      </c>
      <c r="M431" s="76">
        <f>MAX(0,N430+Observaciones!$F430-K431-Constantes!$D$13)</f>
        <v>0</v>
      </c>
      <c r="N431" s="76">
        <f>N430+Observaciones!$F430-K431-L431-M431-O430</f>
        <v>29.801742335802832</v>
      </c>
      <c r="O431" s="76">
        <f>MAX(0,(N431-Constantes!$D$14)*(1-EXP(-Constantes!$D$22)))</f>
        <v>0.6319404487978042</v>
      </c>
      <c r="P431" s="170">
        <f>P430+(Entradas!$F$83*M431-Q430)/(800*Entradas!$D$25)</f>
        <v>0</v>
      </c>
      <c r="Q431" s="170">
        <f>8000*Entradas!$D$26*P431/Constantes!$F$45</f>
        <v>0</v>
      </c>
      <c r="R431" s="170">
        <f>IF(Escenarios!$F$14&gt;0,K431*Escenarios!$F$13/Escenarios!$F$14,0)</f>
        <v>0</v>
      </c>
      <c r="S431" s="170">
        <f>IF(Escenarios!$F$14&gt;0,Q431*Escenarios!$F$13/Escenarios!$F$14,0)</f>
        <v>0</v>
      </c>
      <c r="T431" s="170">
        <f>IF(Escenarios!$F$14&gt;0,Observaciones!$I430,0)</f>
        <v>0</v>
      </c>
      <c r="U431" s="170">
        <f>IF(Escenarios!$F$14&gt;0,MAX(0,Constantes!$F$36/((Z430+R431+S431+T431+Observaciones!$F430)^2)+Entradas!$F$77),0)</f>
        <v>2.0712231995980832</v>
      </c>
      <c r="V431" s="146">
        <f>IF(ETo!D430&gt;0,ETo!I430*((1-Entradas!$F$81)*ETo!K430+ETo!L430),0)</f>
        <v>3.9146000808078369</v>
      </c>
      <c r="W431" s="170">
        <f>IF(Escenarios!$F$14&gt;0,MIN(V431*1,0.8*(Z430+R431+S431+T431+Observaciones!$F430-U431-Constantes!$F$35)),0)</f>
        <v>3.9146000808078369</v>
      </c>
      <c r="X431" s="170">
        <f>IF(Escenarios!$F$14&gt;0,Observaciones!$J430,0)</f>
        <v>0</v>
      </c>
      <c r="Y431" s="170">
        <f>IF(Escenarios!$F$14&gt;0,MAX(0,Z430+R431+S431+T431+Observaciones!$F430-U431-W431-X431-Constantes!$F$33),0)</f>
        <v>0</v>
      </c>
      <c r="Z431" s="170">
        <f>Z430+R431+S431+T431+Observaciones!$F430-U431-W431-Y431</f>
        <v>99.152443674755375</v>
      </c>
      <c r="AA431" s="170">
        <f>IF(Escenarios!$F$14&gt;0,(Escenarios!$F$13*L431+Escenarios!$F$14*W431)/(Escenarios!$F$16),L431)</f>
        <v>2.6820607391318516</v>
      </c>
      <c r="AB431" s="170">
        <f>IF(Escenarios!$F$14&gt;0,(Escenarios!$F$14*Y431)/(Escenarios!$F$16),K431)</f>
        <v>0</v>
      </c>
      <c r="AC431" s="170">
        <f>IF(Escenarios!$F$14&gt;0,(Escenarios!$F$13*M431+Escenarios!$F$14*U431)/(Escenarios!$F$16),M431)</f>
        <v>0.24854678395176999</v>
      </c>
      <c r="AD431" s="76">
        <f t="shared" si="85"/>
        <v>143.83344098097427</v>
      </c>
      <c r="AE431" s="76">
        <f>MAX(0,(AD431-Constantes!$D$13)*(1-EXP(-Constantes!$D$23)))</f>
        <v>0.93687979109675079</v>
      </c>
      <c r="AF431" s="76">
        <f>AB431+O431*Escenarios!$F$13/Escenarios!$F$16+AE431</f>
        <v>1.4929873860388185</v>
      </c>
      <c r="AG431" s="76">
        <f>IF(Entradas!$F$91&gt;0,IF(AF431-Escenarios!$F$38&lt;=0,0,IF(AF431-Escenarios!$F$38&gt;Escenarios!$F$37,Escenarios!$F$37,AF431-Escenarios!$F$38)),0)</f>
        <v>0.45618738603881859</v>
      </c>
      <c r="AH431" s="76">
        <f>AG431*Entradas!$F$99</f>
        <v>0</v>
      </c>
      <c r="AI431" s="76">
        <f>IF(Entradas!$F$91&gt;0,D431*Entradas!$D$23/Escenarios!$F$16,0)</f>
        <v>0.21158845777229379</v>
      </c>
      <c r="AJ431" s="76">
        <f>IF(Entradas!$F$91&gt;0,Entradas!$D$24*Entradas!$D$22/Escenarios!$F$16,0)</f>
        <v>0.12</v>
      </c>
      <c r="AK431" s="76">
        <f t="shared" si="86"/>
        <v>2.8936491969041453</v>
      </c>
      <c r="AL431" s="76">
        <f t="shared" si="87"/>
        <v>0</v>
      </c>
      <c r="AM431" s="76">
        <f t="shared" si="88"/>
        <v>0.45618738603881859</v>
      </c>
      <c r="AN431" s="76">
        <f>MAX(0,O431*Escenarios!$F$13/Escenarios!$F$16-AM431)</f>
        <v>9.9920208903249152E-2</v>
      </c>
      <c r="AO431" s="76">
        <f>AM431+AN431-O431*Escenarios!$F$13/Escenarios!$F$16</f>
        <v>0</v>
      </c>
      <c r="AP431" s="76">
        <f t="shared" si="89"/>
        <v>0.93687979109675079</v>
      </c>
      <c r="AQ431" s="76">
        <f t="shared" si="90"/>
        <v>0</v>
      </c>
      <c r="AR431" s="76">
        <f t="shared" si="91"/>
        <v>1.0367999999999999</v>
      </c>
      <c r="AS431" s="76">
        <f t="shared" si="92"/>
        <v>0.1245989282665248</v>
      </c>
      <c r="AT431" s="76">
        <f t="shared" si="93"/>
        <v>0.37314571221829479</v>
      </c>
      <c r="AU431" s="76">
        <f t="shared" si="94"/>
        <v>53.272808701512162</v>
      </c>
      <c r="AV431" s="76">
        <f>MAX(0,(AU431-Constantes!$D$13)*(1-EXP(-Constantes!$D$24)))</f>
        <v>6.9132248432917681E-2</v>
      </c>
      <c r="AW431" s="170">
        <f>AW430+(Entradas!$F$112*AT431-AX430)/(800*Entradas!$D$25)</f>
        <v>0</v>
      </c>
      <c r="AX431" s="170">
        <f>8000*Entradas!$D$26*AW431/Constantes!$F$45</f>
        <v>0</v>
      </c>
      <c r="AY431" s="170">
        <f>IF(Escenarios!$F$17&gt;0,10*Escenarios!$F$16*AL431,0)</f>
        <v>0</v>
      </c>
      <c r="AZ431" s="170">
        <f>IF(Escenarios!$F$17&gt;0,10*Escenarios!$F$16*AX431,0)</f>
        <v>0</v>
      </c>
      <c r="BA431" s="170">
        <f>IF(Escenarios!$F$17&gt;0,0.001*Observaciones!$F430*Escenarios!$F$17,0)</f>
        <v>0</v>
      </c>
      <c r="BB431" s="170">
        <f>IF(Escenarios!$F$17&gt;0,Observaciones!$K430,0)</f>
        <v>0</v>
      </c>
      <c r="BC431" s="170">
        <f>IF(Escenarios!$F$17&gt;0,MIN(0.0005*ETo!$M430*Escenarios!$F$17*(BG430/Constantes!$F$40)^(2/3),BG430+AY431+AZ431+BA431+BB431),0)</f>
        <v>0</v>
      </c>
      <c r="BD431" s="170">
        <f>IF(Escenarios!$F$17&gt;0,MIN(Constantes!$F$39*(BG430/Constantes!$F$40)^(2/3),BG430+AY431+AZ431+BA431+BB431-BC431),0)</f>
        <v>0</v>
      </c>
      <c r="BE431" s="170">
        <f>IF(Escenarios!$F$17&gt;0,MIN(Entradas!$F$113,BG430+AY431+AZ431+BA431+BB431-BC431-BD431),0)</f>
        <v>0</v>
      </c>
      <c r="BF431" s="170">
        <f>IF(Escenarios!$F$17&gt;0,MAX(0,BG430+AY431+AZ431+BA431+BB431-BC431-BD431-BE431-Constantes!$F$40),0)</f>
        <v>0</v>
      </c>
      <c r="BG431" s="170">
        <f t="shared" si="95"/>
        <v>0</v>
      </c>
      <c r="BH431" s="170">
        <f>(Escenarios!$F$16*AK431+0.1*BC431)/(Escenarios!$F$19)</f>
        <v>2.8936491969041453</v>
      </c>
      <c r="BI431" s="170">
        <f>IF(Escenarios!$F$17&gt;0,BF431/10/Escenarios!$F$19,AL431)</f>
        <v>0</v>
      </c>
      <c r="BJ431" s="170">
        <f>(Escenarios!$F$16*AT431+0.1*BD431)/(Escenarios!$F$19)</f>
        <v>0.37314571221829473</v>
      </c>
      <c r="BK431" s="76">
        <f>BK430+(0.1*BD431)/(Escenarios!$F$19)-BL430</f>
        <v>48.75</v>
      </c>
      <c r="BL431" s="76">
        <f>MAX(0,(BK431-Constantes!$D$13)*(1-EXP(-Constantes!$D$23)))</f>
        <v>0</v>
      </c>
      <c r="BM431" s="76">
        <f t="shared" si="96"/>
        <v>1.0060120395296686</v>
      </c>
      <c r="BN431" s="76">
        <f t="shared" si="97"/>
        <v>1.1059322484329177</v>
      </c>
      <c r="BO431" s="76">
        <f>0.0526*BI431*Observaciones!$F430^1.218</f>
        <v>0</v>
      </c>
      <c r="BP431" s="76">
        <f>BO431*Constantes!$F$51</f>
        <v>0</v>
      </c>
      <c r="BQ431" s="76">
        <f t="shared" si="98"/>
        <v>0</v>
      </c>
      <c r="BR431" s="40"/>
    </row>
    <row r="432" spans="2:70">
      <c r="B432" s="39"/>
      <c r="C432" s="75">
        <v>426</v>
      </c>
      <c r="D432" s="146">
        <f>ETo!$I431*((1-Constantes!$F$19)*ETo!$K431+ETo!$L431)</f>
        <v>4.363386950924256</v>
      </c>
      <c r="E432" s="76">
        <f>MIN(D432*Constantes!$F$17,0.8*(N431+Observaciones!$F431-F432-M432-Constantes!$D$14))</f>
        <v>2.4884908811099877</v>
      </c>
      <c r="F432" s="76">
        <f>IF(Observaciones!$F431&gt;0.05*Constantes!$F$18,((Observaciones!$F431-0.05*Constantes!$F$18)^2)/(Observaciones!$F431+0.95*Constantes!$F$18),0)</f>
        <v>0</v>
      </c>
      <c r="G432" s="76">
        <f>IF(Escenarios!$F$11&gt;0,(F432*Escenarios!$F$16*10000)/1000,0)</f>
        <v>0</v>
      </c>
      <c r="H432" s="76">
        <f>IF(Escenarios!$F$11&gt;0,(Observaciones!$F431*Constantes!$F$29)/1000,0)</f>
        <v>0</v>
      </c>
      <c r="I432" s="76">
        <f>IF(Escenarios!$F$11&gt;0,(D432*Constantes!$F$29)/1000,0)</f>
        <v>0</v>
      </c>
      <c r="J432" s="76">
        <f>IF(Escenarios!$F$11&gt;0,MAX(0,G432+H432-I432),0)</f>
        <v>0</v>
      </c>
      <c r="K432" s="76">
        <f>IF(Escenarios!$F$11&gt;0,IF(J432&gt;Constantes!$F$30,1000*((J432-Constantes!$F$30)/(Escenarios!$F$16*10000)),0),F432)</f>
        <v>0</v>
      </c>
      <c r="L432" s="76">
        <f>IF(Escenarios!$F$11&gt;0,I432*1000/Escenarios!$F$16/10000+E432,E432)</f>
        <v>2.4884908811099877</v>
      </c>
      <c r="M432" s="76">
        <f>MAX(0,N431+Observaciones!$F431-K432-Constantes!$D$13)</f>
        <v>0</v>
      </c>
      <c r="N432" s="76">
        <f>N431+Observaciones!$F431-K432-L432-M432-O431</f>
        <v>30.081311005895042</v>
      </c>
      <c r="O432" s="76">
        <f>MAX(0,(N432-Constantes!$D$14)*(1-EXP(-Constantes!$D$22)))</f>
        <v>0.6414635840187437</v>
      </c>
      <c r="P432" s="170">
        <f>P431+(Entradas!$F$83*M432-Q431)/(800*Entradas!$D$25)</f>
        <v>0</v>
      </c>
      <c r="Q432" s="170">
        <f>8000*Entradas!$D$26*P432/Constantes!$F$45</f>
        <v>0</v>
      </c>
      <c r="R432" s="170">
        <f>IF(Escenarios!$F$14&gt;0,K432*Escenarios!$F$13/Escenarios!$F$14,0)</f>
        <v>0</v>
      </c>
      <c r="S432" s="170">
        <f>IF(Escenarios!$F$14&gt;0,Q432*Escenarios!$F$13/Escenarios!$F$14,0)</f>
        <v>0</v>
      </c>
      <c r="T432" s="170">
        <f>IF(Escenarios!$F$14&gt;0,Observaciones!$I431,0)</f>
        <v>0</v>
      </c>
      <c r="U432" s="170">
        <f>IF(Escenarios!$F$14&gt;0,MAX(0,Constantes!$F$36/((Z431+R432+S432+T432+Observaciones!$F431)^2)+Entradas!$F$77),0)</f>
        <v>2.0237951521854738</v>
      </c>
      <c r="V432" s="146">
        <f>IF(ETo!D431&gt;0,ETo!I431*((1-Entradas!$F$81)*ETo!K431+ETo!L431),0)</f>
        <v>3.8740889731746422</v>
      </c>
      <c r="W432" s="170">
        <f>IF(Escenarios!$F$14&gt;0,MIN(V432*1,0.8*(Z431+R432+S432+T432+Observaciones!$F431-U432-Constantes!$F$35)),0)</f>
        <v>3.8740889731746422</v>
      </c>
      <c r="X432" s="170">
        <f>IF(Escenarios!$F$14&gt;0,Observaciones!$J431,0)</f>
        <v>0</v>
      </c>
      <c r="Y432" s="170">
        <f>IF(Escenarios!$F$14&gt;0,MAX(0,Z431+R432+S432+T432+Observaciones!$F431-U432-W432-X432-Constantes!$F$33),0)</f>
        <v>0</v>
      </c>
      <c r="Z432" s="170">
        <f>Z431+R432+S432+T432+Observaciones!$F431-U432-W432-Y432</f>
        <v>96.654559549395273</v>
      </c>
      <c r="AA432" s="170">
        <f>IF(Escenarios!$F$14&gt;0,(Escenarios!$F$13*L432+Escenarios!$F$14*W432)/(Escenarios!$F$16),L432)</f>
        <v>2.6547626521577463</v>
      </c>
      <c r="AB432" s="170">
        <f>IF(Escenarios!$F$14&gt;0,(Escenarios!$F$14*Y432)/(Escenarios!$F$16),K432)</f>
        <v>0</v>
      </c>
      <c r="AC432" s="170">
        <f>IF(Escenarios!$F$14&gt;0,(Escenarios!$F$13*M432+Escenarios!$F$14*U432)/(Escenarios!$F$16),M432)</f>
        <v>0.24285541826225684</v>
      </c>
      <c r="AD432" s="76">
        <f t="shared" si="85"/>
        <v>143.13941660813978</v>
      </c>
      <c r="AE432" s="76">
        <f>MAX(0,(AD432-Constantes!$D$13)*(1-EXP(-Constantes!$D$23)))</f>
        <v>0.93004140364748566</v>
      </c>
      <c r="AF432" s="76">
        <f>AB432+O432*Escenarios!$F$13/Escenarios!$F$16+AE432</f>
        <v>1.4945293575839802</v>
      </c>
      <c r="AG432" s="76">
        <f>IF(Entradas!$F$91&gt;0,IF(AF432-Escenarios!$F$38&lt;=0,0,IF(AF432-Escenarios!$F$38&gt;Escenarios!$F$37,Escenarios!$F$37,AF432-Escenarios!$F$38)),0)</f>
        <v>0.45772935758398026</v>
      </c>
      <c r="AH432" s="76">
        <f>AG432*Entradas!$F$99</f>
        <v>0</v>
      </c>
      <c r="AI432" s="76">
        <f>IF(Entradas!$F$91&gt;0,D432*Entradas!$D$23/Escenarios!$F$16,0)</f>
        <v>0.2094425736443643</v>
      </c>
      <c r="AJ432" s="76">
        <f>IF(Entradas!$F$91&gt;0,Entradas!$D$24*Entradas!$D$22/Escenarios!$F$16,0)</f>
        <v>0.12</v>
      </c>
      <c r="AK432" s="76">
        <f t="shared" si="86"/>
        <v>2.8642052258021105</v>
      </c>
      <c r="AL432" s="76">
        <f t="shared" si="87"/>
        <v>0</v>
      </c>
      <c r="AM432" s="76">
        <f t="shared" si="88"/>
        <v>0.45772935758398026</v>
      </c>
      <c r="AN432" s="76">
        <f>MAX(0,O432*Escenarios!$F$13/Escenarios!$F$16-AM432)</f>
        <v>0.10675859635251417</v>
      </c>
      <c r="AO432" s="76">
        <f>AM432+AN432-O432*Escenarios!$F$13/Escenarios!$F$16</f>
        <v>0</v>
      </c>
      <c r="AP432" s="76">
        <f t="shared" si="89"/>
        <v>0.93004140364748566</v>
      </c>
      <c r="AQ432" s="76">
        <f t="shared" si="90"/>
        <v>0</v>
      </c>
      <c r="AR432" s="76">
        <f t="shared" si="91"/>
        <v>1.0367999999999999</v>
      </c>
      <c r="AS432" s="76">
        <f t="shared" si="92"/>
        <v>0.12828678393961596</v>
      </c>
      <c r="AT432" s="76">
        <f t="shared" si="93"/>
        <v>0.37114220220187277</v>
      </c>
      <c r="AU432" s="76">
        <f t="shared" si="94"/>
        <v>53.331963237018861</v>
      </c>
      <c r="AV432" s="76">
        <f>MAX(0,(AU432-Constantes!$D$13)*(1-EXP(-Constantes!$D$24)))</f>
        <v>7.003644012318655E-2</v>
      </c>
      <c r="AW432" s="170">
        <f>AW431+(Entradas!$F$112*AT432-AX431)/(800*Entradas!$D$25)</f>
        <v>0</v>
      </c>
      <c r="AX432" s="170">
        <f>8000*Entradas!$D$26*AW432/Constantes!$F$45</f>
        <v>0</v>
      </c>
      <c r="AY432" s="170">
        <f>IF(Escenarios!$F$17&gt;0,10*Escenarios!$F$16*AL432,0)</f>
        <v>0</v>
      </c>
      <c r="AZ432" s="170">
        <f>IF(Escenarios!$F$17&gt;0,10*Escenarios!$F$16*AX432,0)</f>
        <v>0</v>
      </c>
      <c r="BA432" s="170">
        <f>IF(Escenarios!$F$17&gt;0,0.001*Observaciones!$F431*Escenarios!$F$17,0)</f>
        <v>0</v>
      </c>
      <c r="BB432" s="170">
        <f>IF(Escenarios!$F$17&gt;0,Observaciones!$K431,0)</f>
        <v>0</v>
      </c>
      <c r="BC432" s="170">
        <f>IF(Escenarios!$F$17&gt;0,MIN(0.0005*ETo!$M431*Escenarios!$F$17*(BG431/Constantes!$F$40)^(2/3),BG431+AY432+AZ432+BA432+BB432),0)</f>
        <v>0</v>
      </c>
      <c r="BD432" s="170">
        <f>IF(Escenarios!$F$17&gt;0,MIN(Constantes!$F$39*(BG431/Constantes!$F$40)^(2/3),BG431+AY432+AZ432+BA432+BB432-BC432),0)</f>
        <v>0</v>
      </c>
      <c r="BE432" s="170">
        <f>IF(Escenarios!$F$17&gt;0,MIN(Entradas!$F$113,BG431+AY432+AZ432+BA432+BB432-BC432-BD432),0)</f>
        <v>0</v>
      </c>
      <c r="BF432" s="170">
        <f>IF(Escenarios!$F$17&gt;0,MAX(0,BG431+AY432+AZ432+BA432+BB432-BC432-BD432-BE432-Constantes!$F$40),0)</f>
        <v>0</v>
      </c>
      <c r="BG432" s="170">
        <f t="shared" si="95"/>
        <v>0</v>
      </c>
      <c r="BH432" s="170">
        <f>(Escenarios!$F$16*AK432+0.1*BC432)/(Escenarios!$F$19)</f>
        <v>2.8642052258021105</v>
      </c>
      <c r="BI432" s="170">
        <f>IF(Escenarios!$F$17&gt;0,BF432/10/Escenarios!$F$19,AL432)</f>
        <v>0</v>
      </c>
      <c r="BJ432" s="170">
        <f>(Escenarios!$F$16*AT432+0.1*BD432)/(Escenarios!$F$19)</f>
        <v>0.37114220220187277</v>
      </c>
      <c r="BK432" s="76">
        <f>BK431+(0.1*BD432)/(Escenarios!$F$19)-BL431</f>
        <v>48.75</v>
      </c>
      <c r="BL432" s="76">
        <f>MAX(0,(BK432-Constantes!$D$13)*(1-EXP(-Constantes!$D$23)))</f>
        <v>0</v>
      </c>
      <c r="BM432" s="76">
        <f t="shared" si="96"/>
        <v>1.0000778437706721</v>
      </c>
      <c r="BN432" s="76">
        <f t="shared" si="97"/>
        <v>1.1068364401231865</v>
      </c>
      <c r="BO432" s="76">
        <f>0.0526*BI432*Observaciones!$F431^1.218</f>
        <v>0</v>
      </c>
      <c r="BP432" s="76">
        <f>BO432*Constantes!$F$51</f>
        <v>0</v>
      </c>
      <c r="BQ432" s="76">
        <f t="shared" si="98"/>
        <v>0</v>
      </c>
      <c r="BR432" s="40"/>
    </row>
    <row r="433" spans="2:70">
      <c r="B433" s="39"/>
      <c r="C433" s="75">
        <v>427</v>
      </c>
      <c r="D433" s="146">
        <f>ETo!$I432*((1-Constantes!$F$19)*ETo!$K432+ETo!$L432)</f>
        <v>4.3544599338551633</v>
      </c>
      <c r="E433" s="76">
        <f>MIN(D433*Constantes!$F$17,0.8*(N432+Observaciones!$F432-F433-M433-Constantes!$D$14))</f>
        <v>2.4833996983151079</v>
      </c>
      <c r="F433" s="76">
        <f>IF(Observaciones!$F432&gt;0.05*Constantes!$F$18,((Observaciones!$F432-0.05*Constantes!$F$18)^2)/(Observaciones!$F432+0.95*Constantes!$F$18),0)</f>
        <v>0</v>
      </c>
      <c r="G433" s="76">
        <f>IF(Escenarios!$F$11&gt;0,(F433*Escenarios!$F$16*10000)/1000,0)</f>
        <v>0</v>
      </c>
      <c r="H433" s="76">
        <f>IF(Escenarios!$F$11&gt;0,(Observaciones!$F432*Constantes!$F$29)/1000,0)</f>
        <v>0</v>
      </c>
      <c r="I433" s="76">
        <f>IF(Escenarios!$F$11&gt;0,(D433*Constantes!$F$29)/1000,0)</f>
        <v>0</v>
      </c>
      <c r="J433" s="76">
        <f>IF(Escenarios!$F$11&gt;0,MAX(0,G433+H433-I433),0)</f>
        <v>0</v>
      </c>
      <c r="K433" s="76">
        <f>IF(Escenarios!$F$11&gt;0,IF(J433&gt;Constantes!$F$30,1000*((J433-Constantes!$F$30)/(Escenarios!$F$16*10000)),0),F433)</f>
        <v>0</v>
      </c>
      <c r="L433" s="76">
        <f>IF(Escenarios!$F$11&gt;0,I433*1000/Escenarios!$F$16/10000+E433,E433)</f>
        <v>2.4833996983151079</v>
      </c>
      <c r="M433" s="76">
        <f>MAX(0,N432+Observaciones!$F432-K433-Constantes!$D$13)</f>
        <v>0</v>
      </c>
      <c r="N433" s="76">
        <f>N432+Observaciones!$F432-K433-L433-M433-O432</f>
        <v>26.95644772356119</v>
      </c>
      <c r="O433" s="76">
        <f>MAX(0,(N433-Constantes!$D$14)*(1-EXP(-Constantes!$D$22)))</f>
        <v>0.53501926901449604</v>
      </c>
      <c r="P433" s="170">
        <f>P432+(Entradas!$F$83*M433-Q432)/(800*Entradas!$D$25)</f>
        <v>0</v>
      </c>
      <c r="Q433" s="170">
        <f>8000*Entradas!$D$26*P433/Constantes!$F$45</f>
        <v>0</v>
      </c>
      <c r="R433" s="170">
        <f>IF(Escenarios!$F$14&gt;0,K433*Escenarios!$F$13/Escenarios!$F$14,0)</f>
        <v>0</v>
      </c>
      <c r="S433" s="170">
        <f>IF(Escenarios!$F$14&gt;0,Q433*Escenarios!$F$13/Escenarios!$F$14,0)</f>
        <v>0</v>
      </c>
      <c r="T433" s="170">
        <f>IF(Escenarios!$F$14&gt;0,Observaciones!$I432,0)</f>
        <v>0</v>
      </c>
      <c r="U433" s="170">
        <f>IF(Escenarios!$F$14&gt;0,MAX(0,Constantes!$F$36/((Z432+R433+S433+T433+Observaciones!$F432)^2)+Entradas!$F$77),0)</f>
        <v>1.901023781150101</v>
      </c>
      <c r="V433" s="146">
        <f>IF(ETo!D432&gt;0,ETo!I432*((1-Entradas!$F$81)*ETo!K432+ETo!L432),0)</f>
        <v>3.8659009272502276</v>
      </c>
      <c r="W433" s="170">
        <f>IF(Escenarios!$F$14&gt;0,MIN(V433*1,0.8*(Z432+R433+S433+T433+Observaciones!$F432-U433-Constantes!$F$35)),0)</f>
        <v>3.8659009272502276</v>
      </c>
      <c r="X433" s="170">
        <f>IF(Escenarios!$F$14&gt;0,Observaciones!$J432,0)</f>
        <v>0</v>
      </c>
      <c r="Y433" s="170">
        <f>IF(Escenarios!$F$14&gt;0,MAX(0,Z432+R433+S433+T433+Observaciones!$F432-U433-W433-X433-Constantes!$F$33),0)</f>
        <v>0</v>
      </c>
      <c r="Z433" s="170">
        <f>Z432+R433+S433+T433+Observaciones!$F432-U433-W433-Y433</f>
        <v>90.887634840994949</v>
      </c>
      <c r="AA433" s="170">
        <f>IF(Escenarios!$F$14&gt;0,(Escenarios!$F$13*L433+Escenarios!$F$14*W433)/(Escenarios!$F$16),L433)</f>
        <v>2.6492998457873225</v>
      </c>
      <c r="AB433" s="170">
        <f>IF(Escenarios!$F$14&gt;0,(Escenarios!$F$14*Y433)/(Escenarios!$F$16),K433)</f>
        <v>0</v>
      </c>
      <c r="AC433" s="170">
        <f>IF(Escenarios!$F$14&gt;0,(Escenarios!$F$13*M433+Escenarios!$F$14*U433)/(Escenarios!$F$16),M433)</f>
        <v>0.22812285373801211</v>
      </c>
      <c r="AD433" s="76">
        <f t="shared" si="85"/>
        <v>142.43749805823029</v>
      </c>
      <c r="AE433" s="76">
        <f>MAX(0,(AD433-Constantes!$D$13)*(1-EXP(-Constantes!$D$23)))</f>
        <v>0.92312523299125415</v>
      </c>
      <c r="AF433" s="76">
        <f>AB433+O433*Escenarios!$F$13/Escenarios!$F$16+AE433</f>
        <v>1.3939421897240107</v>
      </c>
      <c r="AG433" s="76">
        <f>IF(Entradas!$F$91&gt;0,IF(AF433-Escenarios!$F$38&lt;=0,0,IF(AF433-Escenarios!$F$38&gt;Escenarios!$F$37,Escenarios!$F$37,AF433-Escenarios!$F$38)),0)</f>
        <v>0.35714218972401079</v>
      </c>
      <c r="AH433" s="76">
        <f>AG433*Entradas!$F$99</f>
        <v>0</v>
      </c>
      <c r="AI433" s="76">
        <f>IF(Entradas!$F$91&gt;0,D433*Entradas!$D$23/Escenarios!$F$16,0)</f>
        <v>0.20901407682504783</v>
      </c>
      <c r="AJ433" s="76">
        <f>IF(Entradas!$F$91&gt;0,Entradas!$D$24*Entradas!$D$22/Escenarios!$F$16,0)</f>
        <v>0.12</v>
      </c>
      <c r="AK433" s="76">
        <f t="shared" si="86"/>
        <v>2.8583139226123704</v>
      </c>
      <c r="AL433" s="76">
        <f t="shared" si="87"/>
        <v>0</v>
      </c>
      <c r="AM433" s="76">
        <f t="shared" si="88"/>
        <v>0.35714218972401079</v>
      </c>
      <c r="AN433" s="76">
        <f>MAX(0,O433*Escenarios!$F$13/Escenarios!$F$16-AM433)</f>
        <v>0.11367476700874574</v>
      </c>
      <c r="AO433" s="76">
        <f>AM433+AN433-O433*Escenarios!$F$13/Escenarios!$F$16</f>
        <v>0</v>
      </c>
      <c r="AP433" s="76">
        <f t="shared" si="89"/>
        <v>0.92312523299125415</v>
      </c>
      <c r="AQ433" s="76">
        <f t="shared" si="90"/>
        <v>0</v>
      </c>
      <c r="AR433" s="76">
        <f t="shared" si="91"/>
        <v>1.0367999999999999</v>
      </c>
      <c r="AS433" s="76">
        <f t="shared" si="92"/>
        <v>2.812811289896297E-2</v>
      </c>
      <c r="AT433" s="76">
        <f t="shared" si="93"/>
        <v>0.25625096663697511</v>
      </c>
      <c r="AU433" s="76">
        <f t="shared" si="94"/>
        <v>53.290054909794634</v>
      </c>
      <c r="AV433" s="76">
        <f>MAX(0,(AU433-Constantes!$D$13)*(1-EXP(-Constantes!$D$24)))</f>
        <v>6.9395860987459534E-2</v>
      </c>
      <c r="AW433" s="170">
        <f>AW432+(Entradas!$F$112*AT433-AX432)/(800*Entradas!$D$25)</f>
        <v>0</v>
      </c>
      <c r="AX433" s="170">
        <f>8000*Entradas!$D$26*AW433/Constantes!$F$45</f>
        <v>0</v>
      </c>
      <c r="AY433" s="170">
        <f>IF(Escenarios!$F$17&gt;0,10*Escenarios!$F$16*AL433,0)</f>
        <v>0</v>
      </c>
      <c r="AZ433" s="170">
        <f>IF(Escenarios!$F$17&gt;0,10*Escenarios!$F$16*AX433,0)</f>
        <v>0</v>
      </c>
      <c r="BA433" s="170">
        <f>IF(Escenarios!$F$17&gt;0,0.001*Observaciones!$F432*Escenarios!$F$17,0)</f>
        <v>0</v>
      </c>
      <c r="BB433" s="170">
        <f>IF(Escenarios!$F$17&gt;0,Observaciones!$K432,0)</f>
        <v>0</v>
      </c>
      <c r="BC433" s="170">
        <f>IF(Escenarios!$F$17&gt;0,MIN(0.0005*ETo!$M432*Escenarios!$F$17*(BG432/Constantes!$F$40)^(2/3),BG432+AY433+AZ433+BA433+BB433),0)</f>
        <v>0</v>
      </c>
      <c r="BD433" s="170">
        <f>IF(Escenarios!$F$17&gt;0,MIN(Constantes!$F$39*(BG432/Constantes!$F$40)^(2/3),BG432+AY433+AZ433+BA433+BB433-BC433),0)</f>
        <v>0</v>
      </c>
      <c r="BE433" s="170">
        <f>IF(Escenarios!$F$17&gt;0,MIN(Entradas!$F$113,BG432+AY433+AZ433+BA433+BB433-BC433-BD433),0)</f>
        <v>0</v>
      </c>
      <c r="BF433" s="170">
        <f>IF(Escenarios!$F$17&gt;0,MAX(0,BG432+AY433+AZ433+BA433+BB433-BC433-BD433-BE433-Constantes!$F$40),0)</f>
        <v>0</v>
      </c>
      <c r="BG433" s="170">
        <f t="shared" si="95"/>
        <v>0</v>
      </c>
      <c r="BH433" s="170">
        <f>(Escenarios!$F$16*AK433+0.1*BC433)/(Escenarios!$F$19)</f>
        <v>2.8583139226123704</v>
      </c>
      <c r="BI433" s="170">
        <f>IF(Escenarios!$F$17&gt;0,BF433/10/Escenarios!$F$19,AL433)</f>
        <v>0</v>
      </c>
      <c r="BJ433" s="170">
        <f>(Escenarios!$F$16*AT433+0.1*BD433)/(Escenarios!$F$19)</f>
        <v>0.25625096663697511</v>
      </c>
      <c r="BK433" s="76">
        <f>BK432+(0.1*BD433)/(Escenarios!$F$19)-BL432</f>
        <v>48.75</v>
      </c>
      <c r="BL433" s="76">
        <f>MAX(0,(BK433-Constantes!$D$13)*(1-EXP(-Constantes!$D$23)))</f>
        <v>0</v>
      </c>
      <c r="BM433" s="76">
        <f t="shared" si="96"/>
        <v>0.99252109397871369</v>
      </c>
      <c r="BN433" s="76">
        <f t="shared" si="97"/>
        <v>1.1061958609874596</v>
      </c>
      <c r="BO433" s="76">
        <f>0.0526*BI433*Observaciones!$F432^1.218</f>
        <v>0</v>
      </c>
      <c r="BP433" s="76">
        <f>BO433*Constantes!$F$51</f>
        <v>0</v>
      </c>
      <c r="BQ433" s="76">
        <f t="shared" si="98"/>
        <v>0</v>
      </c>
      <c r="BR433" s="40"/>
    </row>
    <row r="434" spans="2:70">
      <c r="B434" s="39"/>
      <c r="C434" s="75">
        <v>428</v>
      </c>
      <c r="D434" s="146">
        <f>ETo!$I433*((1-Constantes!$F$19)*ETo!$K433+ETo!$L433)</f>
        <v>4.4169960056006703</v>
      </c>
      <c r="E434" s="76">
        <f>MIN(D434*Constantes!$F$17,0.8*(N433+Observaciones!$F433-F434-M434-Constantes!$D$14))</f>
        <v>2.5190647553062533</v>
      </c>
      <c r="F434" s="76">
        <f>IF(Observaciones!$F433&gt;0.05*Constantes!$F$18,((Observaciones!$F433-0.05*Constantes!$F$18)^2)/(Observaciones!$F433+0.95*Constantes!$F$18),0)</f>
        <v>0</v>
      </c>
      <c r="G434" s="76">
        <f>IF(Escenarios!$F$11&gt;0,(F434*Escenarios!$F$16*10000)/1000,0)</f>
        <v>0</v>
      </c>
      <c r="H434" s="76">
        <f>IF(Escenarios!$F$11&gt;0,(Observaciones!$F433*Constantes!$F$29)/1000,0)</f>
        <v>0</v>
      </c>
      <c r="I434" s="76">
        <f>IF(Escenarios!$F$11&gt;0,(D434*Constantes!$F$29)/1000,0)</f>
        <v>0</v>
      </c>
      <c r="J434" s="76">
        <f>IF(Escenarios!$F$11&gt;0,MAX(0,G434+H434-I434),0)</f>
        <v>0</v>
      </c>
      <c r="K434" s="76">
        <f>IF(Escenarios!$F$11&gt;0,IF(J434&gt;Constantes!$F$30,1000*((J434-Constantes!$F$30)/(Escenarios!$F$16*10000)),0),F434)</f>
        <v>0</v>
      </c>
      <c r="L434" s="76">
        <f>IF(Escenarios!$F$11&gt;0,I434*1000/Escenarios!$F$16/10000+E434,E434)</f>
        <v>2.5190647553062533</v>
      </c>
      <c r="M434" s="76">
        <f>MAX(0,N433+Observaciones!$F433-K434-Constantes!$D$13)</f>
        <v>0</v>
      </c>
      <c r="N434" s="76">
        <f>N433+Observaciones!$F433-K434-L434-M434-O433</f>
        <v>26.502363699240444</v>
      </c>
      <c r="O434" s="76">
        <f>MAX(0,(N434-Constantes!$D$14)*(1-EXP(-Constantes!$D$22)))</f>
        <v>0.51955150016955165</v>
      </c>
      <c r="P434" s="170">
        <f>P433+(Entradas!$F$83*M434-Q433)/(800*Entradas!$D$25)</f>
        <v>0</v>
      </c>
      <c r="Q434" s="170">
        <f>8000*Entradas!$D$26*P434/Constantes!$F$45</f>
        <v>0</v>
      </c>
      <c r="R434" s="170">
        <f>IF(Escenarios!$F$14&gt;0,K434*Escenarios!$F$13/Escenarios!$F$14,0)</f>
        <v>0</v>
      </c>
      <c r="S434" s="170">
        <f>IF(Escenarios!$F$14&gt;0,Q434*Escenarios!$F$13/Escenarios!$F$14,0)</f>
        <v>0</v>
      </c>
      <c r="T434" s="170">
        <f>IF(Escenarios!$F$14&gt;0,Observaciones!$I433,0)</f>
        <v>0</v>
      </c>
      <c r="U434" s="170">
        <f>IF(Escenarios!$F$14&gt;0,MAX(0,Constantes!$F$36/((Z433+R434+S434+T434+Observaciones!$F433)^2)+Entradas!$F$77),0)</f>
        <v>1.8253062945220153</v>
      </c>
      <c r="V434" s="146">
        <f>IF(ETo!D433&gt;0,ETo!I433*((1-Entradas!$F$81)*ETo!K433+ETo!L433),0)</f>
        <v>3.9223104253260974</v>
      </c>
      <c r="W434" s="170">
        <f>IF(Escenarios!$F$14&gt;0,MIN(V434*1,0.8*(Z433+R434+S434+T434+Observaciones!$F433-U434-Constantes!$F$35)),0)</f>
        <v>3.9223104253260974</v>
      </c>
      <c r="X434" s="170">
        <f>IF(Escenarios!$F$14&gt;0,Observaciones!$J433,0)</f>
        <v>0</v>
      </c>
      <c r="Y434" s="170">
        <f>IF(Escenarios!$F$14&gt;0,MAX(0,Z433+R434+S434+T434+Observaciones!$F433-U434-W434-X434-Constantes!$F$33),0)</f>
        <v>0</v>
      </c>
      <c r="Z434" s="170">
        <f>Z433+R434+S434+T434+Observaciones!$F433-U434-W434-Y434</f>
        <v>87.740018121146818</v>
      </c>
      <c r="AA434" s="170">
        <f>IF(Escenarios!$F$14&gt;0,(Escenarios!$F$13*L434+Escenarios!$F$14*W434)/(Escenarios!$F$16),L434)</f>
        <v>2.6874542357086342</v>
      </c>
      <c r="AB434" s="170">
        <f>IF(Escenarios!$F$14&gt;0,(Escenarios!$F$14*Y434)/(Escenarios!$F$16),K434)</f>
        <v>0</v>
      </c>
      <c r="AC434" s="170">
        <f>IF(Escenarios!$F$14&gt;0,(Escenarios!$F$13*M434+Escenarios!$F$14*U434)/(Escenarios!$F$16),M434)</f>
        <v>0.21903675534264183</v>
      </c>
      <c r="AD434" s="76">
        <f t="shared" si="85"/>
        <v>141.73340958058168</v>
      </c>
      <c r="AE434" s="76">
        <f>MAX(0,(AD434-Constantes!$D$13)*(1-EXP(-Constantes!$D$23)))</f>
        <v>0.91618768152017249</v>
      </c>
      <c r="AF434" s="76">
        <f>AB434+O434*Escenarios!$F$13/Escenarios!$F$16+AE434</f>
        <v>1.3733930016693781</v>
      </c>
      <c r="AG434" s="76">
        <f>IF(Entradas!$F$91&gt;0,IF(AF434-Escenarios!$F$38&lt;=0,0,IF(AF434-Escenarios!$F$38&gt;Escenarios!$F$37,Escenarios!$F$37,AF434-Escenarios!$F$38)),0)</f>
        <v>0.33659300166937811</v>
      </c>
      <c r="AH434" s="76">
        <f>AG434*Entradas!$F$99</f>
        <v>0</v>
      </c>
      <c r="AI434" s="76">
        <f>IF(Entradas!$F$91&gt;0,D434*Entradas!$D$23/Escenarios!$F$16,0)</f>
        <v>0.21201580826883218</v>
      </c>
      <c r="AJ434" s="76">
        <f>IF(Entradas!$F$91&gt;0,Entradas!$D$24*Entradas!$D$22/Escenarios!$F$16,0)</f>
        <v>0.12</v>
      </c>
      <c r="AK434" s="76">
        <f t="shared" si="86"/>
        <v>2.8994700439774665</v>
      </c>
      <c r="AL434" s="76">
        <f t="shared" si="87"/>
        <v>0</v>
      </c>
      <c r="AM434" s="76">
        <f t="shared" si="88"/>
        <v>0.33659300166937811</v>
      </c>
      <c r="AN434" s="76">
        <f>MAX(0,O434*Escenarios!$F$13/Escenarios!$F$16-AM434)</f>
        <v>0.12061231847982734</v>
      </c>
      <c r="AO434" s="76">
        <f>AM434+AN434-O434*Escenarios!$F$13/Escenarios!$F$16</f>
        <v>0</v>
      </c>
      <c r="AP434" s="76">
        <f t="shared" si="89"/>
        <v>0.91618768152017249</v>
      </c>
      <c r="AQ434" s="76">
        <f t="shared" si="90"/>
        <v>0</v>
      </c>
      <c r="AR434" s="76">
        <f t="shared" si="91"/>
        <v>1.0367999999999999</v>
      </c>
      <c r="AS434" s="76">
        <f t="shared" si="92"/>
        <v>4.5771934005459369E-3</v>
      </c>
      <c r="AT434" s="76">
        <f t="shared" si="93"/>
        <v>0.22361394874318777</v>
      </c>
      <c r="AU434" s="76">
        <f t="shared" si="94"/>
        <v>53.225236242207714</v>
      </c>
      <c r="AV434" s="76">
        <f>MAX(0,(AU434-Constantes!$D$13)*(1-EXP(-Constantes!$D$24)))</f>
        <v>6.8405091638932491E-2</v>
      </c>
      <c r="AW434" s="170">
        <f>AW433+(Entradas!$F$112*AT434-AX433)/(800*Entradas!$D$25)</f>
        <v>0</v>
      </c>
      <c r="AX434" s="170">
        <f>8000*Entradas!$D$26*AW434/Constantes!$F$45</f>
        <v>0</v>
      </c>
      <c r="AY434" s="170">
        <f>IF(Escenarios!$F$17&gt;0,10*Escenarios!$F$16*AL434,0)</f>
        <v>0</v>
      </c>
      <c r="AZ434" s="170">
        <f>IF(Escenarios!$F$17&gt;0,10*Escenarios!$F$16*AX434,0)</f>
        <v>0</v>
      </c>
      <c r="BA434" s="170">
        <f>IF(Escenarios!$F$17&gt;0,0.001*Observaciones!$F433*Escenarios!$F$17,0)</f>
        <v>0</v>
      </c>
      <c r="BB434" s="170">
        <f>IF(Escenarios!$F$17&gt;0,Observaciones!$K433,0)</f>
        <v>0</v>
      </c>
      <c r="BC434" s="170">
        <f>IF(Escenarios!$F$17&gt;0,MIN(0.0005*ETo!$M433*Escenarios!$F$17*(BG433/Constantes!$F$40)^(2/3),BG433+AY434+AZ434+BA434+BB434),0)</f>
        <v>0</v>
      </c>
      <c r="BD434" s="170">
        <f>IF(Escenarios!$F$17&gt;0,MIN(Constantes!$F$39*(BG433/Constantes!$F$40)^(2/3),BG433+AY434+AZ434+BA434+BB434-BC434),0)</f>
        <v>0</v>
      </c>
      <c r="BE434" s="170">
        <f>IF(Escenarios!$F$17&gt;0,MIN(Entradas!$F$113,BG433+AY434+AZ434+BA434+BB434-BC434-BD434),0)</f>
        <v>0</v>
      </c>
      <c r="BF434" s="170">
        <f>IF(Escenarios!$F$17&gt;0,MAX(0,BG433+AY434+AZ434+BA434+BB434-BC434-BD434-BE434-Constantes!$F$40),0)</f>
        <v>0</v>
      </c>
      <c r="BG434" s="170">
        <f t="shared" si="95"/>
        <v>0</v>
      </c>
      <c r="BH434" s="170">
        <f>(Escenarios!$F$16*AK434+0.1*BC434)/(Escenarios!$F$19)</f>
        <v>2.8994700439774665</v>
      </c>
      <c r="BI434" s="170">
        <f>IF(Escenarios!$F$17&gt;0,BF434/10/Escenarios!$F$19,AL434)</f>
        <v>0</v>
      </c>
      <c r="BJ434" s="170">
        <f>(Escenarios!$F$16*AT434+0.1*BD434)/(Escenarios!$F$19)</f>
        <v>0.22361394874318777</v>
      </c>
      <c r="BK434" s="76">
        <f>BK433+(0.1*BD434)/(Escenarios!$F$19)-BL433</f>
        <v>48.75</v>
      </c>
      <c r="BL434" s="76">
        <f>MAX(0,(BK434-Constantes!$D$13)*(1-EXP(-Constantes!$D$23)))</f>
        <v>0</v>
      </c>
      <c r="BM434" s="76">
        <f t="shared" si="96"/>
        <v>0.98459277315910498</v>
      </c>
      <c r="BN434" s="76">
        <f t="shared" si="97"/>
        <v>1.1052050916389324</v>
      </c>
      <c r="BO434" s="76">
        <f>0.0526*BI434*Observaciones!$F433^1.218</f>
        <v>0</v>
      </c>
      <c r="BP434" s="76">
        <f>BO434*Constantes!$F$51</f>
        <v>0</v>
      </c>
      <c r="BQ434" s="76">
        <f t="shared" si="98"/>
        <v>0</v>
      </c>
      <c r="BR434" s="40"/>
    </row>
    <row r="435" spans="2:70">
      <c r="B435" s="39"/>
      <c r="C435" s="75">
        <v>429</v>
      </c>
      <c r="D435" s="146">
        <f>ETo!$I434*((1-Constantes!$F$19)*ETo!$K434+ETo!$L434)</f>
        <v>4.3267935303145295</v>
      </c>
      <c r="E435" s="76">
        <f>MIN(D435*Constantes!$F$17,0.8*(N434+Observaciones!$F434-F435-M435-Constantes!$D$14))</f>
        <v>2.4676212230851275</v>
      </c>
      <c r="F435" s="76">
        <f>IF(Observaciones!$F434&gt;0.05*Constantes!$F$18,((Observaciones!$F434-0.05*Constantes!$F$18)^2)/(Observaciones!$F434+0.95*Constantes!$F$18),0)</f>
        <v>0</v>
      </c>
      <c r="G435" s="76">
        <f>IF(Escenarios!$F$11&gt;0,(F435*Escenarios!$F$16*10000)/1000,0)</f>
        <v>0</v>
      </c>
      <c r="H435" s="76">
        <f>IF(Escenarios!$F$11&gt;0,(Observaciones!$F434*Constantes!$F$29)/1000,0)</f>
        <v>0</v>
      </c>
      <c r="I435" s="76">
        <f>IF(Escenarios!$F$11&gt;0,(D435*Constantes!$F$29)/1000,0)</f>
        <v>0</v>
      </c>
      <c r="J435" s="76">
        <f>IF(Escenarios!$F$11&gt;0,MAX(0,G435+H435-I435),0)</f>
        <v>0</v>
      </c>
      <c r="K435" s="76">
        <f>IF(Escenarios!$F$11&gt;0,IF(J435&gt;Constantes!$F$30,1000*((J435-Constantes!$F$30)/(Escenarios!$F$16*10000)),0),F435)</f>
        <v>0</v>
      </c>
      <c r="L435" s="76">
        <f>IF(Escenarios!$F$11&gt;0,I435*1000/Escenarios!$F$16/10000+E435,E435)</f>
        <v>2.4676212230851275</v>
      </c>
      <c r="M435" s="76">
        <f>MAX(0,N434+Observaciones!$F434-K435-Constantes!$D$13)</f>
        <v>0</v>
      </c>
      <c r="N435" s="76">
        <f>N434+Observaciones!$F434-K435-L435-M435-O434</f>
        <v>23.515190975985764</v>
      </c>
      <c r="O435" s="76">
        <f>MAX(0,(N435-Constantes!$D$14)*(1-EXP(-Constantes!$D$22)))</f>
        <v>0.41779743107993106</v>
      </c>
      <c r="P435" s="170">
        <f>P434+(Entradas!$F$83*M435-Q434)/(800*Entradas!$D$25)</f>
        <v>0</v>
      </c>
      <c r="Q435" s="170">
        <f>8000*Entradas!$D$26*P435/Constantes!$F$45</f>
        <v>0</v>
      </c>
      <c r="R435" s="170">
        <f>IF(Escenarios!$F$14&gt;0,K435*Escenarios!$F$13/Escenarios!$F$14,0)</f>
        <v>0</v>
      </c>
      <c r="S435" s="170">
        <f>IF(Escenarios!$F$14&gt;0,Q435*Escenarios!$F$13/Escenarios!$F$14,0)</f>
        <v>0</v>
      </c>
      <c r="T435" s="170">
        <f>IF(Escenarios!$F$14&gt;0,Observaciones!$I434,0)</f>
        <v>0</v>
      </c>
      <c r="U435" s="170">
        <f>IF(Escenarios!$F$14&gt;0,MAX(0,Constantes!$F$36/((Z434+R435+S435+T435+Observaciones!$F434)^2)+Entradas!$F$77),0)</f>
        <v>1.6663632719521793</v>
      </c>
      <c r="V435" s="146">
        <f>IF(ETo!D434&gt;0,ETo!I434*((1-Entradas!$F$81)*ETo!K434+ETo!L434),0)</f>
        <v>3.8406541857324199</v>
      </c>
      <c r="W435" s="170">
        <f>IF(Escenarios!$F$14&gt;0,MIN(V435*1,0.8*(Z434+R435+S435+T435+Observaciones!$F434-U435-Constantes!$F$35)),0)</f>
        <v>3.8406541857324199</v>
      </c>
      <c r="X435" s="170">
        <f>IF(Escenarios!$F$14&gt;0,Observaciones!$J434,0)</f>
        <v>0</v>
      </c>
      <c r="Y435" s="170">
        <f>IF(Escenarios!$F$14&gt;0,MAX(0,Z434+R435+S435+T435+Observaciones!$F434-U435-W435-X435-Constantes!$F$33),0)</f>
        <v>0</v>
      </c>
      <c r="Z435" s="170">
        <f>Z434+R435+S435+T435+Observaciones!$F434-U435-W435-Y435</f>
        <v>82.233000663462221</v>
      </c>
      <c r="AA435" s="170">
        <f>IF(Escenarios!$F$14&gt;0,(Escenarios!$F$13*L435+Escenarios!$F$14*W435)/(Escenarios!$F$16),L435)</f>
        <v>2.6323851786028025</v>
      </c>
      <c r="AB435" s="170">
        <f>IF(Escenarios!$F$14&gt;0,(Escenarios!$F$14*Y435)/(Escenarios!$F$16),K435)</f>
        <v>0</v>
      </c>
      <c r="AC435" s="170">
        <f>IF(Escenarios!$F$14&gt;0,(Escenarios!$F$13*M435+Escenarios!$F$14*U435)/(Escenarios!$F$16),M435)</f>
        <v>0.19996359263426153</v>
      </c>
      <c r="AD435" s="76">
        <f t="shared" si="85"/>
        <v>141.01718549169576</v>
      </c>
      <c r="AE435" s="76">
        <f>MAX(0,(AD435-Constantes!$D$13)*(1-EXP(-Constantes!$D$23)))</f>
        <v>0.90913055498109219</v>
      </c>
      <c r="AF435" s="76">
        <f>AB435+O435*Escenarios!$F$13/Escenarios!$F$16+AE435</f>
        <v>1.2767922943314316</v>
      </c>
      <c r="AG435" s="76">
        <f>IF(Entradas!$F$91&gt;0,IF(AF435-Escenarios!$F$38&lt;=0,0,IF(AF435-Escenarios!$F$38&gt;Escenarios!$F$37,Escenarios!$F$37,AF435-Escenarios!$F$38)),0)</f>
        <v>0.23999229433143165</v>
      </c>
      <c r="AH435" s="76">
        <f>AG435*Entradas!$F$99</f>
        <v>0</v>
      </c>
      <c r="AI435" s="76">
        <f>IF(Entradas!$F$91&gt;0,D435*Entradas!$D$23/Escenarios!$F$16,0)</f>
        <v>0.20768608945509742</v>
      </c>
      <c r="AJ435" s="76">
        <f>IF(Entradas!$F$91&gt;0,Entradas!$D$24*Entradas!$D$22/Escenarios!$F$16,0)</f>
        <v>0.12</v>
      </c>
      <c r="AK435" s="76">
        <f t="shared" si="86"/>
        <v>2.8400712680578999</v>
      </c>
      <c r="AL435" s="76">
        <f t="shared" si="87"/>
        <v>0</v>
      </c>
      <c r="AM435" s="76">
        <f t="shared" si="88"/>
        <v>0.23999229433143165</v>
      </c>
      <c r="AN435" s="76">
        <f>MAX(0,O435*Escenarios!$F$13/Escenarios!$F$16-AM435)</f>
        <v>0.12766944501890765</v>
      </c>
      <c r="AO435" s="76">
        <f>AM435+AN435-O435*Escenarios!$F$13/Escenarios!$F$16</f>
        <v>0</v>
      </c>
      <c r="AP435" s="76">
        <f t="shared" si="89"/>
        <v>0.90913055498109219</v>
      </c>
      <c r="AQ435" s="76">
        <f t="shared" si="90"/>
        <v>0</v>
      </c>
      <c r="AR435" s="76">
        <f t="shared" si="91"/>
        <v>1.0367999999999999</v>
      </c>
      <c r="AS435" s="76">
        <f t="shared" si="92"/>
        <v>0</v>
      </c>
      <c r="AT435" s="76">
        <f t="shared" si="93"/>
        <v>0.19996359263426153</v>
      </c>
      <c r="AU435" s="76">
        <f t="shared" si="94"/>
        <v>53.156831150568784</v>
      </c>
      <c r="AV435" s="76">
        <f>MAX(0,(AU435-Constantes!$D$13)*(1-EXP(-Constantes!$D$24)))</f>
        <v>6.7359502912688579E-2</v>
      </c>
      <c r="AW435" s="170">
        <f>AW434+(Entradas!$F$112*AT435-AX434)/(800*Entradas!$D$25)</f>
        <v>0</v>
      </c>
      <c r="AX435" s="170">
        <f>8000*Entradas!$D$26*AW435/Constantes!$F$45</f>
        <v>0</v>
      </c>
      <c r="AY435" s="170">
        <f>IF(Escenarios!$F$17&gt;0,10*Escenarios!$F$16*AL435,0)</f>
        <v>0</v>
      </c>
      <c r="AZ435" s="170">
        <f>IF(Escenarios!$F$17&gt;0,10*Escenarios!$F$16*AX435,0)</f>
        <v>0</v>
      </c>
      <c r="BA435" s="170">
        <f>IF(Escenarios!$F$17&gt;0,0.001*Observaciones!$F434*Escenarios!$F$17,0)</f>
        <v>0</v>
      </c>
      <c r="BB435" s="170">
        <f>IF(Escenarios!$F$17&gt;0,Observaciones!$K434,0)</f>
        <v>0</v>
      </c>
      <c r="BC435" s="170">
        <f>IF(Escenarios!$F$17&gt;0,MIN(0.0005*ETo!$M434*Escenarios!$F$17*(BG434/Constantes!$F$40)^(2/3),BG434+AY435+AZ435+BA435+BB435),0)</f>
        <v>0</v>
      </c>
      <c r="BD435" s="170">
        <f>IF(Escenarios!$F$17&gt;0,MIN(Constantes!$F$39*(BG434/Constantes!$F$40)^(2/3),BG434+AY435+AZ435+BA435+BB435-BC435),0)</f>
        <v>0</v>
      </c>
      <c r="BE435" s="170">
        <f>IF(Escenarios!$F$17&gt;0,MIN(Entradas!$F$113,BG434+AY435+AZ435+BA435+BB435-BC435-BD435),0)</f>
        <v>0</v>
      </c>
      <c r="BF435" s="170">
        <f>IF(Escenarios!$F$17&gt;0,MAX(0,BG434+AY435+AZ435+BA435+BB435-BC435-BD435-BE435-Constantes!$F$40),0)</f>
        <v>0</v>
      </c>
      <c r="BG435" s="170">
        <f t="shared" si="95"/>
        <v>0</v>
      </c>
      <c r="BH435" s="170">
        <f>(Escenarios!$F$16*AK435+0.1*BC435)/(Escenarios!$F$19)</f>
        <v>2.8400712680578999</v>
      </c>
      <c r="BI435" s="170">
        <f>IF(Escenarios!$F$17&gt;0,BF435/10/Escenarios!$F$19,AL435)</f>
        <v>0</v>
      </c>
      <c r="BJ435" s="170">
        <f>(Escenarios!$F$16*AT435+0.1*BD435)/(Escenarios!$F$19)</f>
        <v>0.19996359263426153</v>
      </c>
      <c r="BK435" s="76">
        <f>BK434+(0.1*BD435)/(Escenarios!$F$19)-BL434</f>
        <v>48.75</v>
      </c>
      <c r="BL435" s="76">
        <f>MAX(0,(BK435-Constantes!$D$13)*(1-EXP(-Constantes!$D$23)))</f>
        <v>0</v>
      </c>
      <c r="BM435" s="76">
        <f t="shared" si="96"/>
        <v>0.97649005789378074</v>
      </c>
      <c r="BN435" s="76">
        <f t="shared" si="97"/>
        <v>1.1041595029126885</v>
      </c>
      <c r="BO435" s="76">
        <f>0.0526*BI435*Observaciones!$F434^1.218</f>
        <v>0</v>
      </c>
      <c r="BP435" s="76">
        <f>BO435*Constantes!$F$51</f>
        <v>0</v>
      </c>
      <c r="BQ435" s="76">
        <f t="shared" si="98"/>
        <v>0</v>
      </c>
      <c r="BR435" s="40"/>
    </row>
    <row r="436" spans="2:70">
      <c r="B436" s="39"/>
      <c r="C436" s="75">
        <v>430</v>
      </c>
      <c r="D436" s="146">
        <f>ETo!$I435*((1-Constantes!$F$19)*ETo!$K435+ETo!$L435)</f>
        <v>4.2366075166015031</v>
      </c>
      <c r="E436" s="76">
        <f>MIN(D436*Constantes!$F$17,0.8*(N435+Observaciones!$F435-F436-M436-Constantes!$D$14))</f>
        <v>2.416187079092698</v>
      </c>
      <c r="F436" s="76">
        <f>IF(Observaciones!$F435&gt;0.05*Constantes!$F$18,((Observaciones!$F435-0.05*Constantes!$F$18)^2)/(Observaciones!$F435+0.95*Constantes!$F$18),0)</f>
        <v>0</v>
      </c>
      <c r="G436" s="76">
        <f>IF(Escenarios!$F$11&gt;0,(F436*Escenarios!$F$16*10000)/1000,0)</f>
        <v>0</v>
      </c>
      <c r="H436" s="76">
        <f>IF(Escenarios!$F$11&gt;0,(Observaciones!$F435*Constantes!$F$29)/1000,0)</f>
        <v>0</v>
      </c>
      <c r="I436" s="76">
        <f>IF(Escenarios!$F$11&gt;0,(D436*Constantes!$F$29)/1000,0)</f>
        <v>0</v>
      </c>
      <c r="J436" s="76">
        <f>IF(Escenarios!$F$11&gt;0,MAX(0,G436+H436-I436),0)</f>
        <v>0</v>
      </c>
      <c r="K436" s="76">
        <f>IF(Escenarios!$F$11&gt;0,IF(J436&gt;Constantes!$F$30,1000*((J436-Constantes!$F$30)/(Escenarios!$F$16*10000)),0),F436)</f>
        <v>0</v>
      </c>
      <c r="L436" s="76">
        <f>IF(Escenarios!$F$11&gt;0,I436*1000/Escenarios!$F$16/10000+E436,E436)</f>
        <v>2.416187079092698</v>
      </c>
      <c r="M436" s="76">
        <f>MAX(0,N435+Observaciones!$F435-K436-Constantes!$D$13)</f>
        <v>0</v>
      </c>
      <c r="N436" s="76">
        <f>N435+Observaciones!$F435-K436-L436-M436-O435</f>
        <v>26.481206465813138</v>
      </c>
      <c r="O436" s="76">
        <f>MAX(0,(N436-Constantes!$D$14)*(1-EXP(-Constantes!$D$22)))</f>
        <v>0.51883080712922369</v>
      </c>
      <c r="P436" s="170">
        <f>P435+(Entradas!$F$83*M436-Q435)/(800*Entradas!$D$25)</f>
        <v>0</v>
      </c>
      <c r="Q436" s="170">
        <f>8000*Entradas!$D$26*P436/Constantes!$F$45</f>
        <v>0</v>
      </c>
      <c r="R436" s="170">
        <f>IF(Escenarios!$F$14&gt;0,K436*Escenarios!$F$13/Escenarios!$F$14,0)</f>
        <v>0</v>
      </c>
      <c r="S436" s="170">
        <f>IF(Escenarios!$F$14&gt;0,Q436*Escenarios!$F$13/Escenarios!$F$14,0)</f>
        <v>0</v>
      </c>
      <c r="T436" s="170">
        <f>IF(Escenarios!$F$14&gt;0,Observaciones!$I435,0)</f>
        <v>0</v>
      </c>
      <c r="U436" s="170">
        <f>IF(Escenarios!$F$14&gt;0,MAX(0,Constantes!$F$36/((Z435+R436+S436+T436+Observaciones!$F435)^2)+Entradas!$F$77),0)</f>
        <v>1.6752254504151018</v>
      </c>
      <c r="V436" s="146">
        <f>IF(ETo!D435&gt;0,ETo!I435*((1-Entradas!$F$81)*ETo!K435+ETo!L435),0)</f>
        <v>3.7592043145173513</v>
      </c>
      <c r="W436" s="170">
        <f>IF(Escenarios!$F$14&gt;0,MIN(V436*1,0.8*(Z435+R436+S436+T436+Observaciones!$F435-U436-Constantes!$F$35)),0)</f>
        <v>3.7592043145173513</v>
      </c>
      <c r="X436" s="170">
        <f>IF(Escenarios!$F$14&gt;0,Observaciones!$J435,0)</f>
        <v>0</v>
      </c>
      <c r="Y436" s="170">
        <f>IF(Escenarios!$F$14&gt;0,MAX(0,Z435+R436+S436+T436+Observaciones!$F435-U436-W436-X436-Constantes!$F$33),0)</f>
        <v>0</v>
      </c>
      <c r="Z436" s="170">
        <f>Z435+R436+S436+T436+Observaciones!$F435-U436-W436-Y436</f>
        <v>82.598570898529772</v>
      </c>
      <c r="AA436" s="170">
        <f>IF(Escenarios!$F$14&gt;0,(Escenarios!$F$13*L436+Escenarios!$F$14*W436)/(Escenarios!$F$16),L436)</f>
        <v>2.5773491473436563</v>
      </c>
      <c r="AB436" s="170">
        <f>IF(Escenarios!$F$14&gt;0,(Escenarios!$F$14*Y436)/(Escenarios!$F$16),K436)</f>
        <v>0</v>
      </c>
      <c r="AC436" s="170">
        <f>IF(Escenarios!$F$14&gt;0,(Escenarios!$F$13*M436+Escenarios!$F$14*U436)/(Escenarios!$F$16),M436)</f>
        <v>0.20102705404981222</v>
      </c>
      <c r="AD436" s="76">
        <f t="shared" si="85"/>
        <v>140.30908199076447</v>
      </c>
      <c r="AE436" s="76">
        <f>MAX(0,(AD436-Constantes!$D$13)*(1-EXP(-Constantes!$D$23)))</f>
        <v>0.90215344252930241</v>
      </c>
      <c r="AF436" s="76">
        <f>AB436+O436*Escenarios!$F$13/Escenarios!$F$16+AE436</f>
        <v>1.3587245528030192</v>
      </c>
      <c r="AG436" s="76">
        <f>IF(Entradas!$F$91&gt;0,IF(AF436-Escenarios!$F$38&lt;=0,0,IF(AF436-Escenarios!$F$38&gt;Escenarios!$F$37,Escenarios!$F$37,AF436-Escenarios!$F$38)),0)</f>
        <v>0.32192455280301924</v>
      </c>
      <c r="AH436" s="76">
        <f>AG436*Entradas!$F$99</f>
        <v>0</v>
      </c>
      <c r="AI436" s="76">
        <f>IF(Entradas!$F$91&gt;0,D436*Entradas!$D$23/Escenarios!$F$16,0)</f>
        <v>0.20335716079687216</v>
      </c>
      <c r="AJ436" s="76">
        <f>IF(Entradas!$F$91&gt;0,Entradas!$D$24*Entradas!$D$22/Escenarios!$F$16,0)</f>
        <v>0.12</v>
      </c>
      <c r="AK436" s="76">
        <f t="shared" si="86"/>
        <v>2.7807063081405285</v>
      </c>
      <c r="AL436" s="76">
        <f t="shared" si="87"/>
        <v>0</v>
      </c>
      <c r="AM436" s="76">
        <f t="shared" si="88"/>
        <v>0.32192455280301924</v>
      </c>
      <c r="AN436" s="76">
        <f>MAX(0,O436*Escenarios!$F$13/Escenarios!$F$16-AM436)</f>
        <v>0.13464655747069759</v>
      </c>
      <c r="AO436" s="76">
        <f>AM436+AN436-O436*Escenarios!$F$13/Escenarios!$F$16</f>
        <v>0</v>
      </c>
      <c r="AP436" s="76">
        <f t="shared" si="89"/>
        <v>0.90215344252930241</v>
      </c>
      <c r="AQ436" s="76">
        <f t="shared" si="90"/>
        <v>0</v>
      </c>
      <c r="AR436" s="76">
        <f t="shared" si="91"/>
        <v>1.0367999999999999</v>
      </c>
      <c r="AS436" s="76">
        <f t="shared" si="92"/>
        <v>0</v>
      </c>
      <c r="AT436" s="76">
        <f t="shared" si="93"/>
        <v>0.20102705404981222</v>
      </c>
      <c r="AU436" s="76">
        <f t="shared" si="94"/>
        <v>53.089471647656097</v>
      </c>
      <c r="AV436" s="76">
        <f>MAX(0,(AU436-Constantes!$D$13)*(1-EXP(-Constantes!$D$24)))</f>
        <v>6.6329896268454258E-2</v>
      </c>
      <c r="AW436" s="170">
        <f>AW435+(Entradas!$F$112*AT436-AX435)/(800*Entradas!$D$25)</f>
        <v>0</v>
      </c>
      <c r="AX436" s="170">
        <f>8000*Entradas!$D$26*AW436/Constantes!$F$45</f>
        <v>0</v>
      </c>
      <c r="AY436" s="170">
        <f>IF(Escenarios!$F$17&gt;0,10*Escenarios!$F$16*AL436,0)</f>
        <v>0</v>
      </c>
      <c r="AZ436" s="170">
        <f>IF(Escenarios!$F$17&gt;0,10*Escenarios!$F$16*AX436,0)</f>
        <v>0</v>
      </c>
      <c r="BA436" s="170">
        <f>IF(Escenarios!$F$17&gt;0,0.001*Observaciones!$F435*Escenarios!$F$17,0)</f>
        <v>0</v>
      </c>
      <c r="BB436" s="170">
        <f>IF(Escenarios!$F$17&gt;0,Observaciones!$K435,0)</f>
        <v>0</v>
      </c>
      <c r="BC436" s="170">
        <f>IF(Escenarios!$F$17&gt;0,MIN(0.0005*ETo!$M435*Escenarios!$F$17*(BG435/Constantes!$F$40)^(2/3),BG435+AY436+AZ436+BA436+BB436),0)</f>
        <v>0</v>
      </c>
      <c r="BD436" s="170">
        <f>IF(Escenarios!$F$17&gt;0,MIN(Constantes!$F$39*(BG435/Constantes!$F$40)^(2/3),BG435+AY436+AZ436+BA436+BB436-BC436),0)</f>
        <v>0</v>
      </c>
      <c r="BE436" s="170">
        <f>IF(Escenarios!$F$17&gt;0,MIN(Entradas!$F$113,BG435+AY436+AZ436+BA436+BB436-BC436-BD436),0)</f>
        <v>0</v>
      </c>
      <c r="BF436" s="170">
        <f>IF(Escenarios!$F$17&gt;0,MAX(0,BG435+AY436+AZ436+BA436+BB436-BC436-BD436-BE436-Constantes!$F$40),0)</f>
        <v>0</v>
      </c>
      <c r="BG436" s="170">
        <f t="shared" si="95"/>
        <v>0</v>
      </c>
      <c r="BH436" s="170">
        <f>(Escenarios!$F$16*AK436+0.1*BC436)/(Escenarios!$F$19)</f>
        <v>2.7807063081405285</v>
      </c>
      <c r="BI436" s="170">
        <f>IF(Escenarios!$F$17&gt;0,BF436/10/Escenarios!$F$19,AL436)</f>
        <v>0</v>
      </c>
      <c r="BJ436" s="170">
        <f>(Escenarios!$F$16*AT436+0.1*BD436)/(Escenarios!$F$19)</f>
        <v>0.20102705404981222</v>
      </c>
      <c r="BK436" s="76">
        <f>BK435+(0.1*BD436)/(Escenarios!$F$19)-BL435</f>
        <v>48.75</v>
      </c>
      <c r="BL436" s="76">
        <f>MAX(0,(BK436-Constantes!$D$13)*(1-EXP(-Constantes!$D$23)))</f>
        <v>0</v>
      </c>
      <c r="BM436" s="76">
        <f t="shared" si="96"/>
        <v>0.96848333879775672</v>
      </c>
      <c r="BN436" s="76">
        <f t="shared" si="97"/>
        <v>1.1031298962684541</v>
      </c>
      <c r="BO436" s="76">
        <f>0.0526*BI436*Observaciones!$F435^1.218</f>
        <v>0</v>
      </c>
      <c r="BP436" s="76">
        <f>BO436*Constantes!$F$51</f>
        <v>0</v>
      </c>
      <c r="BQ436" s="76">
        <f t="shared" si="98"/>
        <v>0</v>
      </c>
      <c r="BR436" s="40"/>
    </row>
    <row r="437" spans="2:70">
      <c r="B437" s="39"/>
      <c r="C437" s="75">
        <v>431</v>
      </c>
      <c r="D437" s="146">
        <f>ETo!$I436*((1-Constantes!$F$19)*ETo!$K436+ETo!$L436)</f>
        <v>4.1821133778729838</v>
      </c>
      <c r="E437" s="76">
        <f>MIN(D437*Constantes!$F$17,0.8*(N436+Observaciones!$F436-F437-M437-Constantes!$D$14))</f>
        <v>2.3851084310550452</v>
      </c>
      <c r="F437" s="76">
        <f>IF(Observaciones!$F436&gt;0.05*Constantes!$F$18,((Observaciones!$F436-0.05*Constantes!$F$18)^2)/(Observaciones!$F436+0.95*Constantes!$F$18),0)</f>
        <v>0</v>
      </c>
      <c r="G437" s="76">
        <f>IF(Escenarios!$F$11&gt;0,(F437*Escenarios!$F$16*10000)/1000,0)</f>
        <v>0</v>
      </c>
      <c r="H437" s="76">
        <f>IF(Escenarios!$F$11&gt;0,(Observaciones!$F436*Constantes!$F$29)/1000,0)</f>
        <v>0</v>
      </c>
      <c r="I437" s="76">
        <f>IF(Escenarios!$F$11&gt;0,(D437*Constantes!$F$29)/1000,0)</f>
        <v>0</v>
      </c>
      <c r="J437" s="76">
        <f>IF(Escenarios!$F$11&gt;0,MAX(0,G437+H437-I437),0)</f>
        <v>0</v>
      </c>
      <c r="K437" s="76">
        <f>IF(Escenarios!$F$11&gt;0,IF(J437&gt;Constantes!$F$30,1000*((J437-Constantes!$F$30)/(Escenarios!$F$16*10000)),0),F437)</f>
        <v>0</v>
      </c>
      <c r="L437" s="76">
        <f>IF(Escenarios!$F$11&gt;0,I437*1000/Escenarios!$F$16/10000+E437,E437)</f>
        <v>2.3851084310550452</v>
      </c>
      <c r="M437" s="76">
        <f>MAX(0,N436+Observaciones!$F436-K437-Constantes!$D$13)</f>
        <v>0</v>
      </c>
      <c r="N437" s="76">
        <f>N436+Observaciones!$F436-K437-L437-M437-O436</f>
        <v>23.57726722762887</v>
      </c>
      <c r="O437" s="76">
        <f>MAX(0,(N437-Constantes!$D$14)*(1-EXP(-Constantes!$D$22)))</f>
        <v>0.41991197609748032</v>
      </c>
      <c r="P437" s="170">
        <f>P436+(Entradas!$F$83*M437-Q436)/(800*Entradas!$D$25)</f>
        <v>0</v>
      </c>
      <c r="Q437" s="170">
        <f>8000*Entradas!$D$26*P437/Constantes!$F$45</f>
        <v>0</v>
      </c>
      <c r="R437" s="170">
        <f>IF(Escenarios!$F$14&gt;0,K437*Escenarios!$F$13/Escenarios!$F$14,0)</f>
        <v>0</v>
      </c>
      <c r="S437" s="170">
        <f>IF(Escenarios!$F$14&gt;0,Q437*Escenarios!$F$13/Escenarios!$F$14,0)</f>
        <v>0</v>
      </c>
      <c r="T437" s="170">
        <f>IF(Escenarios!$F$14&gt;0,Observaciones!$I436,0)</f>
        <v>0</v>
      </c>
      <c r="U437" s="170">
        <f>IF(Escenarios!$F$14&gt;0,MAX(0,Constantes!$F$36/((Z436+R437+S437+T437+Observaciones!$F436)^2)+Entradas!$F$77),0)</f>
        <v>1.4951683381848078</v>
      </c>
      <c r="V437" s="146">
        <f>IF(ETo!D436&gt;0,ETo!I436*((1-Entradas!$F$81)*ETo!K436+ETo!L436),0)</f>
        <v>3.7100078834699173</v>
      </c>
      <c r="W437" s="170">
        <f>IF(Escenarios!$F$14&gt;0,MIN(V437*1,0.8*(Z436+R437+S437+T437+Observaciones!$F436-U437-Constantes!$F$35)),0)</f>
        <v>3.7100078834699173</v>
      </c>
      <c r="X437" s="170">
        <f>IF(Escenarios!$F$14&gt;0,Observaciones!$J436,0)</f>
        <v>0</v>
      </c>
      <c r="Y437" s="170">
        <f>IF(Escenarios!$F$14&gt;0,MAX(0,Z436+R437+S437+T437+Observaciones!$F436-U437-W437-X437-Constantes!$F$33),0)</f>
        <v>0</v>
      </c>
      <c r="Z437" s="170">
        <f>Z436+R437+S437+T437+Observaciones!$F436-U437-W437-Y437</f>
        <v>77.393394676875047</v>
      </c>
      <c r="AA437" s="170">
        <f>IF(Escenarios!$F$14&gt;0,(Escenarios!$F$13*L437+Escenarios!$F$14*W437)/(Escenarios!$F$16),L437)</f>
        <v>2.5440963653448296</v>
      </c>
      <c r="AB437" s="170">
        <f>IF(Escenarios!$F$14&gt;0,(Escenarios!$F$14*Y437)/(Escenarios!$F$16),K437)</f>
        <v>0</v>
      </c>
      <c r="AC437" s="170">
        <f>IF(Escenarios!$F$14&gt;0,(Escenarios!$F$13*M437+Escenarios!$F$14*U437)/(Escenarios!$F$16),M437)</f>
        <v>0.17942020058217692</v>
      </c>
      <c r="AD437" s="76">
        <f t="shared" si="85"/>
        <v>139.58634874881733</v>
      </c>
      <c r="AE437" s="76">
        <f>MAX(0,(AD437-Constantes!$D$13)*(1-EXP(-Constantes!$D$23)))</f>
        <v>0.89503217975475047</v>
      </c>
      <c r="AF437" s="76">
        <f>AB437+O437*Escenarios!$F$13/Escenarios!$F$16+AE437</f>
        <v>1.2645547187205333</v>
      </c>
      <c r="AG437" s="76">
        <f>IF(Entradas!$F$91&gt;0,IF(AF437-Escenarios!$F$38&lt;=0,0,IF(AF437-Escenarios!$F$38&gt;Escenarios!$F$37,Escenarios!$F$37,AF437-Escenarios!$F$38)),0)</f>
        <v>0.22775471872053332</v>
      </c>
      <c r="AH437" s="76">
        <f>AG437*Entradas!$F$99</f>
        <v>0</v>
      </c>
      <c r="AI437" s="76">
        <f>IF(Entradas!$F$91&gt;0,D437*Entradas!$D$23/Escenarios!$F$16,0)</f>
        <v>0.20074144213790321</v>
      </c>
      <c r="AJ437" s="76">
        <f>IF(Entradas!$F$91&gt;0,Entradas!$D$24*Entradas!$D$22/Escenarios!$F$16,0)</f>
        <v>0.12</v>
      </c>
      <c r="AK437" s="76">
        <f t="shared" si="86"/>
        <v>2.7448378074827327</v>
      </c>
      <c r="AL437" s="76">
        <f t="shared" si="87"/>
        <v>0</v>
      </c>
      <c r="AM437" s="76">
        <f t="shared" si="88"/>
        <v>0.22775471872053332</v>
      </c>
      <c r="AN437" s="76">
        <f>MAX(0,O437*Escenarios!$F$13/Escenarios!$F$16-AM437)</f>
        <v>0.14176782024524937</v>
      </c>
      <c r="AO437" s="76">
        <f>AM437+AN437-O437*Escenarios!$F$13/Escenarios!$F$16</f>
        <v>0</v>
      </c>
      <c r="AP437" s="76">
        <f t="shared" si="89"/>
        <v>0.89503217975475047</v>
      </c>
      <c r="AQ437" s="76">
        <f t="shared" si="90"/>
        <v>0</v>
      </c>
      <c r="AR437" s="76">
        <f t="shared" si="91"/>
        <v>1.0367999999999999</v>
      </c>
      <c r="AS437" s="76">
        <f t="shared" si="92"/>
        <v>0</v>
      </c>
      <c r="AT437" s="76">
        <f t="shared" si="93"/>
        <v>0.17942020058217692</v>
      </c>
      <c r="AU437" s="76">
        <f t="shared" si="94"/>
        <v>53.023141751387641</v>
      </c>
      <c r="AV437" s="76">
        <f>MAX(0,(AU437-Constantes!$D$13)*(1-EXP(-Constantes!$D$24)))</f>
        <v>6.5316027416157357E-2</v>
      </c>
      <c r="AW437" s="170">
        <f>AW436+(Entradas!$F$112*AT437-AX436)/(800*Entradas!$D$25)</f>
        <v>0</v>
      </c>
      <c r="AX437" s="170">
        <f>8000*Entradas!$D$26*AW437/Constantes!$F$45</f>
        <v>0</v>
      </c>
      <c r="AY437" s="170">
        <f>IF(Escenarios!$F$17&gt;0,10*Escenarios!$F$16*AL437,0)</f>
        <v>0</v>
      </c>
      <c r="AZ437" s="170">
        <f>IF(Escenarios!$F$17&gt;0,10*Escenarios!$F$16*AX437,0)</f>
        <v>0</v>
      </c>
      <c r="BA437" s="170">
        <f>IF(Escenarios!$F$17&gt;0,0.001*Observaciones!$F436*Escenarios!$F$17,0)</f>
        <v>0</v>
      </c>
      <c r="BB437" s="170">
        <f>IF(Escenarios!$F$17&gt;0,Observaciones!$K436,0)</f>
        <v>0</v>
      </c>
      <c r="BC437" s="170">
        <f>IF(Escenarios!$F$17&gt;0,MIN(0.0005*ETo!$M436*Escenarios!$F$17*(BG436/Constantes!$F$40)^(2/3),BG436+AY437+AZ437+BA437+BB437),0)</f>
        <v>0</v>
      </c>
      <c r="BD437" s="170">
        <f>IF(Escenarios!$F$17&gt;0,MIN(Constantes!$F$39*(BG436/Constantes!$F$40)^(2/3),BG436+AY437+AZ437+BA437+BB437-BC437),0)</f>
        <v>0</v>
      </c>
      <c r="BE437" s="170">
        <f>IF(Escenarios!$F$17&gt;0,MIN(Entradas!$F$113,BG436+AY437+AZ437+BA437+BB437-BC437-BD437),0)</f>
        <v>0</v>
      </c>
      <c r="BF437" s="170">
        <f>IF(Escenarios!$F$17&gt;0,MAX(0,BG436+AY437+AZ437+BA437+BB437-BC437-BD437-BE437-Constantes!$F$40),0)</f>
        <v>0</v>
      </c>
      <c r="BG437" s="170">
        <f t="shared" si="95"/>
        <v>0</v>
      </c>
      <c r="BH437" s="170">
        <f>(Escenarios!$F$16*AK437+0.1*BC437)/(Escenarios!$F$19)</f>
        <v>2.7448378074827327</v>
      </c>
      <c r="BI437" s="170">
        <f>IF(Escenarios!$F$17&gt;0,BF437/10/Escenarios!$F$19,AL437)</f>
        <v>0</v>
      </c>
      <c r="BJ437" s="170">
        <f>(Escenarios!$F$16*AT437+0.1*BD437)/(Escenarios!$F$19)</f>
        <v>0.17942020058217692</v>
      </c>
      <c r="BK437" s="76">
        <f>BK436+(0.1*BD437)/(Escenarios!$F$19)-BL436</f>
        <v>48.75</v>
      </c>
      <c r="BL437" s="76">
        <f>MAX(0,(BK437-Constantes!$D$13)*(1-EXP(-Constantes!$D$23)))</f>
        <v>0</v>
      </c>
      <c r="BM437" s="76">
        <f t="shared" si="96"/>
        <v>0.96034820717090785</v>
      </c>
      <c r="BN437" s="76">
        <f t="shared" si="97"/>
        <v>1.1021160274161572</v>
      </c>
      <c r="BO437" s="76">
        <f>0.0526*BI437*Observaciones!$F436^1.218</f>
        <v>0</v>
      </c>
      <c r="BP437" s="76">
        <f>BO437*Constantes!$F$51</f>
        <v>0</v>
      </c>
      <c r="BQ437" s="76">
        <f t="shared" si="98"/>
        <v>0</v>
      </c>
      <c r="BR437" s="40"/>
    </row>
    <row r="438" spans="2:70">
      <c r="B438" s="39"/>
      <c r="C438" s="75">
        <v>432</v>
      </c>
      <c r="D438" s="146">
        <f>ETo!$I437*((1-Constantes!$F$19)*ETo!$K437+ETo!$L437)</f>
        <v>4.3277465435571427</v>
      </c>
      <c r="E438" s="76">
        <f>MIN(D438*Constantes!$F$17,0.8*(N437+Observaciones!$F437-F438-M438-Constantes!$D$14))</f>
        <v>2.4681647377425473</v>
      </c>
      <c r="F438" s="76">
        <f>IF(Observaciones!$F437&gt;0.05*Constantes!$F$18,((Observaciones!$F437-0.05*Constantes!$F$18)^2)/(Observaciones!$F437+0.95*Constantes!$F$18),0)</f>
        <v>2.1674216116389355</v>
      </c>
      <c r="G438" s="76">
        <f>IF(Escenarios!$F$11&gt;0,(F438*Escenarios!$F$16*10000)/1000,0)</f>
        <v>0</v>
      </c>
      <c r="H438" s="76">
        <f>IF(Escenarios!$F$11&gt;0,(Observaciones!$F437*Constantes!$F$29)/1000,0)</f>
        <v>0</v>
      </c>
      <c r="I438" s="76">
        <f>IF(Escenarios!$F$11&gt;0,(D438*Constantes!$F$29)/1000,0)</f>
        <v>0</v>
      </c>
      <c r="J438" s="76">
        <f>IF(Escenarios!$F$11&gt;0,MAX(0,G438+H438-I438),0)</f>
        <v>0</v>
      </c>
      <c r="K438" s="76">
        <f>IF(Escenarios!$F$11&gt;0,IF(J438&gt;Constantes!$F$30,1000*((J438-Constantes!$F$30)/(Escenarios!$F$16*10000)),0),F438)</f>
        <v>2.1674216116389355</v>
      </c>
      <c r="L438" s="76">
        <f>IF(Escenarios!$F$11&gt;0,I438*1000/Escenarios!$F$16/10000+E438,E438)</f>
        <v>2.4681647377425473</v>
      </c>
      <c r="M438" s="76">
        <f>MAX(0,N437+Observaciones!$F437-K438-Constantes!$D$13)</f>
        <v>6.5598456159899357</v>
      </c>
      <c r="N438" s="76">
        <f>N437+Observaciones!$F437-K438-L438-M438-O437</f>
        <v>45.861923286159971</v>
      </c>
      <c r="O438" s="76">
        <f>MAX(0,(N438-Constantes!$D$14)*(1-EXP(-Constantes!$D$22)))</f>
        <v>1.1790091700982304</v>
      </c>
      <c r="P438" s="170">
        <f>P437+(Entradas!$F$83*M438-Q437)/(800*Entradas!$D$25)</f>
        <v>0</v>
      </c>
      <c r="Q438" s="170">
        <f>8000*Entradas!$D$26*P438/Constantes!$F$45</f>
        <v>0</v>
      </c>
      <c r="R438" s="170">
        <f>IF(Escenarios!$F$14&gt;0,K438*Escenarios!$F$13/Escenarios!$F$14,0)</f>
        <v>15.894425152018862</v>
      </c>
      <c r="S438" s="170">
        <f>IF(Escenarios!$F$14&gt;0,Q438*Escenarios!$F$13/Escenarios!$F$14,0)</f>
        <v>0</v>
      </c>
      <c r="T438" s="170">
        <f>IF(Escenarios!$F$14&gt;0,Observaciones!$I437,0)</f>
        <v>0</v>
      </c>
      <c r="U438" s="170">
        <f>IF(Escenarios!$F$14&gt;0,MAX(0,Constantes!$F$36/((Z437+R438+S438+T438+Observaciones!$F437)^2)+Entradas!$F$77),0)</f>
        <v>2.365338811165457</v>
      </c>
      <c r="V438" s="146">
        <f>IF(ETo!D437&gt;0,ETo!I437*((1-Entradas!$F$81)*ETo!K437+ETo!L437),0)</f>
        <v>3.8410855752518263</v>
      </c>
      <c r="W438" s="170">
        <f>IF(Escenarios!$F$14&gt;0,MIN(V438*1,0.8*(Z437+R438+S438+T438+Observaciones!$F437-U438-Constantes!$F$35)),0)</f>
        <v>3.8410855752518263</v>
      </c>
      <c r="X438" s="170">
        <f>IF(Escenarios!$F$14&gt;0,Observaciones!$J437,0)</f>
        <v>0</v>
      </c>
      <c r="Y438" s="170">
        <f>IF(Escenarios!$F$14&gt;0,MAX(0,Z437+R438+S438+T438+Observaciones!$F437-U438-W438-X438-Constantes!$F$33),0)</f>
        <v>0</v>
      </c>
      <c r="Z438" s="170">
        <f>Z437+R438+S438+T438+Observaciones!$F437-U438-W438-Y438</f>
        <v>120.98139544247663</v>
      </c>
      <c r="AA438" s="170">
        <f>IF(Escenarios!$F$14&gt;0,(Escenarios!$F$13*L438+Escenarios!$F$14*W438)/(Escenarios!$F$16),L438)</f>
        <v>2.6329152382436609</v>
      </c>
      <c r="AB438" s="170">
        <f>IF(Escenarios!$F$14&gt;0,(Escenarios!$F$14*Y438)/(Escenarios!$F$16),K438)</f>
        <v>0</v>
      </c>
      <c r="AC438" s="170">
        <f>IF(Escenarios!$F$14&gt;0,(Escenarios!$F$13*M438+Escenarios!$F$14*U438)/(Escenarios!$F$16),M438)</f>
        <v>6.0565047994109982</v>
      </c>
      <c r="AD438" s="76">
        <f t="shared" si="85"/>
        <v>144.74782136847355</v>
      </c>
      <c r="AE438" s="76">
        <f>MAX(0,(AD438-Constantes!$D$13)*(1-EXP(-Constantes!$D$23)))</f>
        <v>0.94588939884322154</v>
      </c>
      <c r="AF438" s="76">
        <f>AB438+O438*Escenarios!$F$13/Escenarios!$F$16+AE438</f>
        <v>1.9834174685296642</v>
      </c>
      <c r="AG438" s="76">
        <f>IF(Entradas!$F$91&gt;0,IF(AF438-Escenarios!$F$38&lt;=0,0,IF(AF438-Escenarios!$F$38&gt;Escenarios!$F$37,Escenarios!$F$37,AF438-Escenarios!$F$38)),0)</f>
        <v>0.94661746852966422</v>
      </c>
      <c r="AH438" s="76">
        <f>AG438*Entradas!$F$99</f>
        <v>0</v>
      </c>
      <c r="AI438" s="76">
        <f>IF(Entradas!$F$91&gt;0,D438*Entradas!$D$23/Escenarios!$F$16,0)</f>
        <v>0.20773183409074283</v>
      </c>
      <c r="AJ438" s="76">
        <f>IF(Entradas!$F$91&gt;0,Entradas!$D$24*Entradas!$D$22/Escenarios!$F$16,0)</f>
        <v>0.12</v>
      </c>
      <c r="AK438" s="76">
        <f t="shared" si="86"/>
        <v>2.8406470723344039</v>
      </c>
      <c r="AL438" s="76">
        <f t="shared" si="87"/>
        <v>0</v>
      </c>
      <c r="AM438" s="76">
        <f t="shared" si="88"/>
        <v>0.94661746852966422</v>
      </c>
      <c r="AN438" s="76">
        <f>MAX(0,O438*Escenarios!$F$13/Escenarios!$F$16-AM438)</f>
        <v>9.0910601156778403E-2</v>
      </c>
      <c r="AO438" s="76">
        <f>AM438+AN438-O438*Escenarios!$F$13/Escenarios!$F$16</f>
        <v>0</v>
      </c>
      <c r="AP438" s="76">
        <f t="shared" si="89"/>
        <v>0.94588939884322154</v>
      </c>
      <c r="AQ438" s="76">
        <f t="shared" si="90"/>
        <v>0</v>
      </c>
      <c r="AR438" s="76">
        <f t="shared" si="91"/>
        <v>1.0367999999999999</v>
      </c>
      <c r="AS438" s="76">
        <f t="shared" si="92"/>
        <v>0.61888563443892142</v>
      </c>
      <c r="AT438" s="76">
        <f t="shared" si="93"/>
        <v>6.6753904338499197</v>
      </c>
      <c r="AU438" s="76">
        <f t="shared" si="94"/>
        <v>53.5767113584104</v>
      </c>
      <c r="AV438" s="76">
        <f>MAX(0,(AU438-Constantes!$D$13)*(1-EXP(-Constantes!$D$24)))</f>
        <v>7.3777475627490027E-2</v>
      </c>
      <c r="AW438" s="170">
        <f>AW437+(Entradas!$F$112*AT438-AX437)/(800*Entradas!$D$25)</f>
        <v>0</v>
      </c>
      <c r="AX438" s="170">
        <f>8000*Entradas!$D$26*AW438/Constantes!$F$45</f>
        <v>0</v>
      </c>
      <c r="AY438" s="170">
        <f>IF(Escenarios!$F$17&gt;0,10*Escenarios!$F$16*AL438,0)</f>
        <v>0</v>
      </c>
      <c r="AZ438" s="170">
        <f>IF(Escenarios!$F$17&gt;0,10*Escenarios!$F$16*AX438,0)</f>
        <v>0</v>
      </c>
      <c r="BA438" s="170">
        <f>IF(Escenarios!$F$17&gt;0,0.001*Observaciones!$F437*Escenarios!$F$17,0)</f>
        <v>0</v>
      </c>
      <c r="BB438" s="170">
        <f>IF(Escenarios!$F$17&gt;0,Observaciones!$K437,0)</f>
        <v>0</v>
      </c>
      <c r="BC438" s="170">
        <f>IF(Escenarios!$F$17&gt;0,MIN(0.0005*ETo!$M437*Escenarios!$F$17*(BG437/Constantes!$F$40)^(2/3),BG437+AY438+AZ438+BA438+BB438),0)</f>
        <v>0</v>
      </c>
      <c r="BD438" s="170">
        <f>IF(Escenarios!$F$17&gt;0,MIN(Constantes!$F$39*(BG437/Constantes!$F$40)^(2/3),BG437+AY438+AZ438+BA438+BB438-BC438),0)</f>
        <v>0</v>
      </c>
      <c r="BE438" s="170">
        <f>IF(Escenarios!$F$17&gt;0,MIN(Entradas!$F$113,BG437+AY438+AZ438+BA438+BB438-BC438-BD438),0)</f>
        <v>0</v>
      </c>
      <c r="BF438" s="170">
        <f>IF(Escenarios!$F$17&gt;0,MAX(0,BG437+AY438+AZ438+BA438+BB438-BC438-BD438-BE438-Constantes!$F$40),0)</f>
        <v>0</v>
      </c>
      <c r="BG438" s="170">
        <f t="shared" si="95"/>
        <v>0</v>
      </c>
      <c r="BH438" s="170">
        <f>(Escenarios!$F$16*AK438+0.1*BC438)/(Escenarios!$F$19)</f>
        <v>2.8406470723344039</v>
      </c>
      <c r="BI438" s="170">
        <f>IF(Escenarios!$F$17&gt;0,BF438/10/Escenarios!$F$19,AL438)</f>
        <v>0</v>
      </c>
      <c r="BJ438" s="170">
        <f>(Escenarios!$F$16*AT438+0.1*BD438)/(Escenarios!$F$19)</f>
        <v>6.6753904338499197</v>
      </c>
      <c r="BK438" s="76">
        <f>BK437+(0.1*BD438)/(Escenarios!$F$19)-BL437</f>
        <v>48.75</v>
      </c>
      <c r="BL438" s="76">
        <f>MAX(0,(BK438-Constantes!$D$13)*(1-EXP(-Constantes!$D$23)))</f>
        <v>0</v>
      </c>
      <c r="BM438" s="76">
        <f t="shared" si="96"/>
        <v>1.0196668744707116</v>
      </c>
      <c r="BN438" s="76">
        <f t="shared" si="97"/>
        <v>1.11057747562749</v>
      </c>
      <c r="BO438" s="76">
        <f>0.0526*BI438*Observaciones!$F437^1.218</f>
        <v>0</v>
      </c>
      <c r="BP438" s="76">
        <f>BO438*Constantes!$F$51</f>
        <v>0</v>
      </c>
      <c r="BQ438" s="76">
        <f t="shared" si="98"/>
        <v>0</v>
      </c>
      <c r="BR438" s="40"/>
    </row>
    <row r="439" spans="2:70">
      <c r="B439" s="39"/>
      <c r="C439" s="75">
        <v>433</v>
      </c>
      <c r="D439" s="146">
        <f>ETo!$I438*((1-Constantes!$F$19)*ETo!$K438+ETo!$L438)</f>
        <v>4.2060562201697005</v>
      </c>
      <c r="E439" s="76">
        <f>MIN(D439*Constantes!$F$17,0.8*(N438+Observaciones!$F438-F439-M439-Constantes!$D$14))</f>
        <v>2.3987633155274417</v>
      </c>
      <c r="F439" s="76">
        <f>IF(Observaciones!$F438&gt;0.05*Constantes!$F$18,((Observaciones!$F438-0.05*Constantes!$F$18)^2)/(Observaciones!$F438+0.95*Constantes!$F$18),0)</f>
        <v>0</v>
      </c>
      <c r="G439" s="76">
        <f>IF(Escenarios!$F$11&gt;0,(F439*Escenarios!$F$16*10000)/1000,0)</f>
        <v>0</v>
      </c>
      <c r="H439" s="76">
        <f>IF(Escenarios!$F$11&gt;0,(Observaciones!$F438*Constantes!$F$29)/1000,0)</f>
        <v>0</v>
      </c>
      <c r="I439" s="76">
        <f>IF(Escenarios!$F$11&gt;0,(D439*Constantes!$F$29)/1000,0)</f>
        <v>0</v>
      </c>
      <c r="J439" s="76">
        <f>IF(Escenarios!$F$11&gt;0,MAX(0,G439+H439-I439),0)</f>
        <v>0</v>
      </c>
      <c r="K439" s="76">
        <f>IF(Escenarios!$F$11&gt;0,IF(J439&gt;Constantes!$F$30,1000*((J439-Constantes!$F$30)/(Escenarios!$F$16*10000)),0),F439)</f>
        <v>0</v>
      </c>
      <c r="L439" s="76">
        <f>IF(Escenarios!$F$11&gt;0,I439*1000/Escenarios!$F$16/10000+E439,E439)</f>
        <v>2.3987633155274417</v>
      </c>
      <c r="M439" s="76">
        <f>MAX(0,N438+Observaciones!$F438-K439-Constantes!$D$13)</f>
        <v>0</v>
      </c>
      <c r="N439" s="76">
        <f>N438+Observaciones!$F438-K439-L439-M439-O438</f>
        <v>44.284150800534299</v>
      </c>
      <c r="O439" s="76">
        <f>MAX(0,(N439-Constantes!$D$14)*(1-EXP(-Constantes!$D$22)))</f>
        <v>1.1252644471164488</v>
      </c>
      <c r="P439" s="170">
        <f>P438+(Entradas!$F$83*M439-Q438)/(800*Entradas!$D$25)</f>
        <v>0</v>
      </c>
      <c r="Q439" s="170">
        <f>8000*Entradas!$D$26*P439/Constantes!$F$45</f>
        <v>0</v>
      </c>
      <c r="R439" s="170">
        <f>IF(Escenarios!$F$14&gt;0,K439*Escenarios!$F$13/Escenarios!$F$14,0)</f>
        <v>0</v>
      </c>
      <c r="S439" s="170">
        <f>IF(Escenarios!$F$14&gt;0,Q439*Escenarios!$F$13/Escenarios!$F$14,0)</f>
        <v>0</v>
      </c>
      <c r="T439" s="170">
        <f>IF(Escenarios!$F$14&gt;0,Observaciones!$I438,0)</f>
        <v>0</v>
      </c>
      <c r="U439" s="170">
        <f>IF(Escenarios!$F$14&gt;0,MAX(0,Constantes!$F$36/((Z438+R439+S439+T439+Observaciones!$F438)^2)+Entradas!$F$77),0)</f>
        <v>2.3211807435065559</v>
      </c>
      <c r="V439" s="146">
        <f>IF(ETo!D438&gt;0,ETo!I438*((1-Entradas!$F$81)*ETo!K438+ETo!L438),0)</f>
        <v>3.7311820293242275</v>
      </c>
      <c r="W439" s="170">
        <f>IF(Escenarios!$F$14&gt;0,MIN(V439*1,0.8*(Z438+R439+S439+T439+Observaciones!$F438-U439-Constantes!$F$35)),0)</f>
        <v>3.7311820293242275</v>
      </c>
      <c r="X439" s="170">
        <f>IF(Escenarios!$F$14&gt;0,Observaciones!$J438,0)</f>
        <v>0</v>
      </c>
      <c r="Y439" s="170">
        <f>IF(Escenarios!$F$14&gt;0,MAX(0,Z438+R439+S439+T439+Observaciones!$F438-U439-W439-X439-Constantes!$F$33),0)</f>
        <v>0</v>
      </c>
      <c r="Z439" s="170">
        <f>Z438+R439+S439+T439+Observaciones!$F438-U439-W439-Y439</f>
        <v>116.92903266964584</v>
      </c>
      <c r="AA439" s="170">
        <f>IF(Escenarios!$F$14&gt;0,(Escenarios!$F$13*L439+Escenarios!$F$14*W439)/(Escenarios!$F$16),L439)</f>
        <v>2.5586535611830565</v>
      </c>
      <c r="AB439" s="170">
        <f>IF(Escenarios!$F$14&gt;0,(Escenarios!$F$14*Y439)/(Escenarios!$F$16),K439)</f>
        <v>0</v>
      </c>
      <c r="AC439" s="170">
        <f>IF(Escenarios!$F$14&gt;0,(Escenarios!$F$13*M439+Escenarios!$F$14*U439)/(Escenarios!$F$16),M439)</f>
        <v>0.2785416892207867</v>
      </c>
      <c r="AD439" s="76">
        <f t="shared" si="85"/>
        <v>144.0804736588511</v>
      </c>
      <c r="AE439" s="76">
        <f>MAX(0,(AD439-Constantes!$D$13)*(1-EXP(-Constantes!$D$23)))</f>
        <v>0.93931386291047092</v>
      </c>
      <c r="AF439" s="76">
        <f>AB439+O439*Escenarios!$F$13/Escenarios!$F$16+AE439</f>
        <v>1.929546576372946</v>
      </c>
      <c r="AG439" s="76">
        <f>IF(Entradas!$F$91&gt;0,IF(AF439-Escenarios!$F$38&lt;=0,0,IF(AF439-Escenarios!$F$38&gt;Escenarios!$F$37,Escenarios!$F$37,AF439-Escenarios!$F$38)),0)</f>
        <v>0.89274657637294608</v>
      </c>
      <c r="AH439" s="76">
        <f>AG439*Entradas!$F$99</f>
        <v>0</v>
      </c>
      <c r="AI439" s="76">
        <f>IF(Entradas!$F$91&gt;0,D439*Entradas!$D$23/Escenarios!$F$16,0)</f>
        <v>0.20189069856814565</v>
      </c>
      <c r="AJ439" s="76">
        <f>IF(Entradas!$F$91&gt;0,Entradas!$D$24*Entradas!$D$22/Escenarios!$F$16,0)</f>
        <v>0.12</v>
      </c>
      <c r="AK439" s="76">
        <f t="shared" si="86"/>
        <v>2.7605442597512022</v>
      </c>
      <c r="AL439" s="76">
        <f t="shared" si="87"/>
        <v>0</v>
      </c>
      <c r="AM439" s="76">
        <f t="shared" si="88"/>
        <v>0.89274657637294608</v>
      </c>
      <c r="AN439" s="76">
        <f>MAX(0,O439*Escenarios!$F$13/Escenarios!$F$16-AM439)</f>
        <v>9.7486137089528913E-2</v>
      </c>
      <c r="AO439" s="76">
        <f>AM439+AN439-O439*Escenarios!$F$13/Escenarios!$F$16</f>
        <v>0</v>
      </c>
      <c r="AP439" s="76">
        <f t="shared" si="89"/>
        <v>0.93931386291047092</v>
      </c>
      <c r="AQ439" s="76">
        <f t="shared" si="90"/>
        <v>0</v>
      </c>
      <c r="AR439" s="76">
        <f t="shared" si="91"/>
        <v>1.0367999999999999</v>
      </c>
      <c r="AS439" s="76">
        <f t="shared" si="92"/>
        <v>0.5708558778048004</v>
      </c>
      <c r="AT439" s="76">
        <f t="shared" si="93"/>
        <v>0.84939756702558711</v>
      </c>
      <c r="AU439" s="76">
        <f t="shared" si="94"/>
        <v>54.073789760587715</v>
      </c>
      <c r="AV439" s="76">
        <f>MAX(0,(AU439-Constantes!$D$13)*(1-EXP(-Constantes!$D$24)))</f>
        <v>8.1375441815728464E-2</v>
      </c>
      <c r="AW439" s="170">
        <f>AW438+(Entradas!$F$112*AT439-AX438)/(800*Entradas!$D$25)</f>
        <v>0</v>
      </c>
      <c r="AX439" s="170">
        <f>8000*Entradas!$D$26*AW439/Constantes!$F$45</f>
        <v>0</v>
      </c>
      <c r="AY439" s="170">
        <f>IF(Escenarios!$F$17&gt;0,10*Escenarios!$F$16*AL439,0)</f>
        <v>0</v>
      </c>
      <c r="AZ439" s="170">
        <f>IF(Escenarios!$F$17&gt;0,10*Escenarios!$F$16*AX439,0)</f>
        <v>0</v>
      </c>
      <c r="BA439" s="170">
        <f>IF(Escenarios!$F$17&gt;0,0.001*Observaciones!$F438*Escenarios!$F$17,0)</f>
        <v>0</v>
      </c>
      <c r="BB439" s="170">
        <f>IF(Escenarios!$F$17&gt;0,Observaciones!$K438,0)</f>
        <v>0</v>
      </c>
      <c r="BC439" s="170">
        <f>IF(Escenarios!$F$17&gt;0,MIN(0.0005*ETo!$M438*Escenarios!$F$17*(BG438/Constantes!$F$40)^(2/3),BG438+AY439+AZ439+BA439+BB439),0)</f>
        <v>0</v>
      </c>
      <c r="BD439" s="170">
        <f>IF(Escenarios!$F$17&gt;0,MIN(Constantes!$F$39*(BG438/Constantes!$F$40)^(2/3),BG438+AY439+AZ439+BA439+BB439-BC439),0)</f>
        <v>0</v>
      </c>
      <c r="BE439" s="170">
        <f>IF(Escenarios!$F$17&gt;0,MIN(Entradas!$F$113,BG438+AY439+AZ439+BA439+BB439-BC439-BD439),0)</f>
        <v>0</v>
      </c>
      <c r="BF439" s="170">
        <f>IF(Escenarios!$F$17&gt;0,MAX(0,BG438+AY439+AZ439+BA439+BB439-BC439-BD439-BE439-Constantes!$F$40),0)</f>
        <v>0</v>
      </c>
      <c r="BG439" s="170">
        <f t="shared" si="95"/>
        <v>0</v>
      </c>
      <c r="BH439" s="170">
        <f>(Escenarios!$F$16*AK439+0.1*BC439)/(Escenarios!$F$19)</f>
        <v>2.7605442597512022</v>
      </c>
      <c r="BI439" s="170">
        <f>IF(Escenarios!$F$17&gt;0,BF439/10/Escenarios!$F$19,AL439)</f>
        <v>0</v>
      </c>
      <c r="BJ439" s="170">
        <f>(Escenarios!$F$16*AT439+0.1*BD439)/(Escenarios!$F$19)</f>
        <v>0.84939756702558711</v>
      </c>
      <c r="BK439" s="76">
        <f>BK438+(0.1*BD439)/(Escenarios!$F$19)-BL438</f>
        <v>48.75</v>
      </c>
      <c r="BL439" s="76">
        <f>MAX(0,(BK439-Constantes!$D$13)*(1-EXP(-Constantes!$D$23)))</f>
        <v>0</v>
      </c>
      <c r="BM439" s="76">
        <f t="shared" si="96"/>
        <v>1.0206893047261993</v>
      </c>
      <c r="BN439" s="76">
        <f t="shared" si="97"/>
        <v>1.1181754418157284</v>
      </c>
      <c r="BO439" s="76">
        <f>0.0526*BI439*Observaciones!$F438^1.218</f>
        <v>0</v>
      </c>
      <c r="BP439" s="76">
        <f>BO439*Constantes!$F$51</f>
        <v>0</v>
      </c>
      <c r="BQ439" s="76">
        <f t="shared" si="98"/>
        <v>0</v>
      </c>
      <c r="BR439" s="40"/>
    </row>
    <row r="440" spans="2:70">
      <c r="B440" s="39"/>
      <c r="C440" s="75">
        <v>434</v>
      </c>
      <c r="D440" s="146">
        <f>ETo!$I439*((1-Constantes!$F$19)*ETo!$K439+ETo!$L439)</f>
        <v>4.3370460646731832</v>
      </c>
      <c r="E440" s="76">
        <f>MIN(D440*Constantes!$F$17,0.8*(N439+Observaciones!$F439-F440-M440-Constantes!$D$14))</f>
        <v>2.4734683639751585</v>
      </c>
      <c r="F440" s="76">
        <f>IF(Observaciones!$F439&gt;0.05*Constantes!$F$18,((Observaciones!$F439-0.05*Constantes!$F$18)^2)/(Observaciones!$F439+0.95*Constantes!$F$18),0)</f>
        <v>2.0346607144569501E-2</v>
      </c>
      <c r="G440" s="76">
        <f>IF(Escenarios!$F$11&gt;0,(F440*Escenarios!$F$16*10000)/1000,0)</f>
        <v>0</v>
      </c>
      <c r="H440" s="76">
        <f>IF(Escenarios!$F$11&gt;0,(Observaciones!$F439*Constantes!$F$29)/1000,0)</f>
        <v>0</v>
      </c>
      <c r="I440" s="76">
        <f>IF(Escenarios!$F$11&gt;0,(D440*Constantes!$F$29)/1000,0)</f>
        <v>0</v>
      </c>
      <c r="J440" s="76">
        <f>IF(Escenarios!$F$11&gt;0,MAX(0,G440+H440-I440),0)</f>
        <v>0</v>
      </c>
      <c r="K440" s="76">
        <f>IF(Escenarios!$F$11&gt;0,IF(J440&gt;Constantes!$F$30,1000*((J440-Constantes!$F$30)/(Escenarios!$F$16*10000)),0),F440)</f>
        <v>2.0346607144569501E-2</v>
      </c>
      <c r="L440" s="76">
        <f>IF(Escenarios!$F$11&gt;0,I440*1000/Escenarios!$F$16/10000+E440,E440)</f>
        <v>2.4734683639751585</v>
      </c>
      <c r="M440" s="76">
        <f>MAX(0,N439+Observaciones!$F439-K440-Constantes!$D$13)</f>
        <v>8.6138041933897327</v>
      </c>
      <c r="N440" s="76">
        <f>N439+Observaciones!$F439-K440-L440-M440-O439</f>
        <v>45.151267188908392</v>
      </c>
      <c r="O440" s="76">
        <f>MAX(0,(N440-Constantes!$D$14)*(1-EXP(-Constantes!$D$22)))</f>
        <v>1.1548016145538997</v>
      </c>
      <c r="P440" s="170">
        <f>P439+(Entradas!$F$83*M440-Q439)/(800*Entradas!$D$25)</f>
        <v>0</v>
      </c>
      <c r="Q440" s="170">
        <f>8000*Entradas!$D$26*P440/Constantes!$F$45</f>
        <v>0</v>
      </c>
      <c r="R440" s="170">
        <f>IF(Escenarios!$F$14&gt;0,K440*Escenarios!$F$13/Escenarios!$F$14,0)</f>
        <v>0.14920845239350966</v>
      </c>
      <c r="S440" s="170">
        <f>IF(Escenarios!$F$14&gt;0,Q440*Escenarios!$F$13/Escenarios!$F$14,0)</f>
        <v>0</v>
      </c>
      <c r="T440" s="170">
        <f>IF(Escenarios!$F$14&gt;0,Observaciones!$I439,0)</f>
        <v>0</v>
      </c>
      <c r="U440" s="170">
        <f>IF(Escenarios!$F$14&gt;0,MAX(0,Constantes!$F$36/((Z439+R440+S440+T440+Observaciones!$F439)^2)+Entradas!$F$77),0)</f>
        <v>2.3941624491275517</v>
      </c>
      <c r="V440" s="146">
        <f>IF(ETo!D439&gt;0,ETo!I439*((1-Entradas!$F$81)*ETo!K439+ETo!L439),0)</f>
        <v>3.8492017616343404</v>
      </c>
      <c r="W440" s="170">
        <f>IF(Escenarios!$F$14&gt;0,MIN(V440*1,0.8*(Z439+R440+S440+T440+Observaciones!$F439-U440-Constantes!$F$35)),0)</f>
        <v>3.8492017616343404</v>
      </c>
      <c r="X440" s="170">
        <f>IF(Escenarios!$F$14&gt;0,Observaciones!$J439,0)</f>
        <v>0</v>
      </c>
      <c r="Y440" s="170">
        <f>IF(Escenarios!$F$14&gt;0,MAX(0,Z439+R440+S440+T440+Observaciones!$F439-U440-W440-X440-Constantes!$F$33),0)</f>
        <v>0</v>
      </c>
      <c r="Z440" s="170">
        <f>Z439+R440+S440+T440+Observaciones!$F439-U440-W440-Y440</f>
        <v>123.93487691127746</v>
      </c>
      <c r="AA440" s="170">
        <f>IF(Escenarios!$F$14&gt;0,(Escenarios!$F$13*L440+Escenarios!$F$14*W440)/(Escenarios!$F$16),L440)</f>
        <v>2.6385563716942602</v>
      </c>
      <c r="AB440" s="170">
        <f>IF(Escenarios!$F$14&gt;0,(Escenarios!$F$14*Y440)/(Escenarios!$F$16),K440)</f>
        <v>0</v>
      </c>
      <c r="AC440" s="170">
        <f>IF(Escenarios!$F$14&gt;0,(Escenarios!$F$13*M440+Escenarios!$F$14*U440)/(Escenarios!$F$16),M440)</f>
        <v>7.8674471840782711</v>
      </c>
      <c r="AD440" s="76">
        <f t="shared" si="85"/>
        <v>151.0086069800189</v>
      </c>
      <c r="AE440" s="76">
        <f>MAX(0,(AD440-Constantes!$D$13)*(1-EXP(-Constantes!$D$23)))</f>
        <v>1.0075784106767314</v>
      </c>
      <c r="AF440" s="76">
        <f>AB440+O440*Escenarios!$F$13/Escenarios!$F$16+AE440</f>
        <v>2.0238038314841633</v>
      </c>
      <c r="AG440" s="76">
        <f>IF(Entradas!$F$91&gt;0,IF(AF440-Escenarios!$F$38&lt;=0,0,IF(AF440-Escenarios!$F$38&gt;Escenarios!$F$37,Escenarios!$F$37,AF440-Escenarios!$F$38)),0)</f>
        <v>0.98700383148416337</v>
      </c>
      <c r="AH440" s="76">
        <f>AG440*Entradas!$F$99</f>
        <v>0</v>
      </c>
      <c r="AI440" s="76">
        <f>IF(Entradas!$F$91&gt;0,D440*Entradas!$D$23/Escenarios!$F$16,0)</f>
        <v>0.20817821110431278</v>
      </c>
      <c r="AJ440" s="76">
        <f>IF(Entradas!$F$91&gt;0,Entradas!$D$24*Entradas!$D$22/Escenarios!$F$16,0)</f>
        <v>0.12</v>
      </c>
      <c r="AK440" s="76">
        <f t="shared" si="86"/>
        <v>2.8467345827985731</v>
      </c>
      <c r="AL440" s="76">
        <f t="shared" si="87"/>
        <v>0</v>
      </c>
      <c r="AM440" s="76">
        <f t="shared" si="88"/>
        <v>0.98700383148416337</v>
      </c>
      <c r="AN440" s="76">
        <f>MAX(0,O440*Escenarios!$F$13/Escenarios!$F$16-AM440)</f>
        <v>2.9221589323268349E-2</v>
      </c>
      <c r="AO440" s="76">
        <f>AM440+AN440-O440*Escenarios!$F$13/Escenarios!$F$16</f>
        <v>0</v>
      </c>
      <c r="AP440" s="76">
        <f t="shared" si="89"/>
        <v>1.0075784106767314</v>
      </c>
      <c r="AQ440" s="76">
        <f t="shared" si="90"/>
        <v>0</v>
      </c>
      <c r="AR440" s="76">
        <f t="shared" si="91"/>
        <v>1.0367999999999997</v>
      </c>
      <c r="AS440" s="76">
        <f t="shared" si="92"/>
        <v>0.6588256203798506</v>
      </c>
      <c r="AT440" s="76">
        <f t="shared" si="93"/>
        <v>8.526272804458122</v>
      </c>
      <c r="AU440" s="76">
        <f t="shared" si="94"/>
        <v>54.651239939151836</v>
      </c>
      <c r="AV440" s="76">
        <f>MAX(0,(AU440-Constantes!$D$13)*(1-EXP(-Constantes!$D$24)))</f>
        <v>9.0201910463137844E-2</v>
      </c>
      <c r="AW440" s="170">
        <f>AW439+(Entradas!$F$112*AT440-AX439)/(800*Entradas!$D$25)</f>
        <v>0</v>
      </c>
      <c r="AX440" s="170">
        <f>8000*Entradas!$D$26*AW440/Constantes!$F$45</f>
        <v>0</v>
      </c>
      <c r="AY440" s="170">
        <f>IF(Escenarios!$F$17&gt;0,10*Escenarios!$F$16*AL440,0)</f>
        <v>0</v>
      </c>
      <c r="AZ440" s="170">
        <f>IF(Escenarios!$F$17&gt;0,10*Escenarios!$F$16*AX440,0)</f>
        <v>0</v>
      </c>
      <c r="BA440" s="170">
        <f>IF(Escenarios!$F$17&gt;0,0.001*Observaciones!$F439*Escenarios!$F$17,0)</f>
        <v>0</v>
      </c>
      <c r="BB440" s="170">
        <f>IF(Escenarios!$F$17&gt;0,Observaciones!$K439,0)</f>
        <v>0</v>
      </c>
      <c r="BC440" s="170">
        <f>IF(Escenarios!$F$17&gt;0,MIN(0.0005*ETo!$M439*Escenarios!$F$17*(BG439/Constantes!$F$40)^(2/3),BG439+AY440+AZ440+BA440+BB440),0)</f>
        <v>0</v>
      </c>
      <c r="BD440" s="170">
        <f>IF(Escenarios!$F$17&gt;0,MIN(Constantes!$F$39*(BG439/Constantes!$F$40)^(2/3),BG439+AY440+AZ440+BA440+BB440-BC440),0)</f>
        <v>0</v>
      </c>
      <c r="BE440" s="170">
        <f>IF(Escenarios!$F$17&gt;0,MIN(Entradas!$F$113,BG439+AY440+AZ440+BA440+BB440-BC440-BD440),0)</f>
        <v>0</v>
      </c>
      <c r="BF440" s="170">
        <f>IF(Escenarios!$F$17&gt;0,MAX(0,BG439+AY440+AZ440+BA440+BB440-BC440-BD440-BE440-Constantes!$F$40),0)</f>
        <v>0</v>
      </c>
      <c r="BG440" s="170">
        <f t="shared" si="95"/>
        <v>0</v>
      </c>
      <c r="BH440" s="170">
        <f>(Escenarios!$F$16*AK440+0.1*BC440)/(Escenarios!$F$19)</f>
        <v>2.8467345827985731</v>
      </c>
      <c r="BI440" s="170">
        <f>IF(Escenarios!$F$17&gt;0,BF440/10/Escenarios!$F$19,AL440)</f>
        <v>0</v>
      </c>
      <c r="BJ440" s="170">
        <f>(Escenarios!$F$16*AT440+0.1*BD440)/(Escenarios!$F$19)</f>
        <v>8.526272804458122</v>
      </c>
      <c r="BK440" s="76">
        <f>BK439+(0.1*BD440)/(Escenarios!$F$19)-BL439</f>
        <v>48.75</v>
      </c>
      <c r="BL440" s="76">
        <f>MAX(0,(BK440-Constantes!$D$13)*(1-EXP(-Constantes!$D$23)))</f>
        <v>0</v>
      </c>
      <c r="BM440" s="76">
        <f t="shared" si="96"/>
        <v>1.0977803211398691</v>
      </c>
      <c r="BN440" s="76">
        <f t="shared" si="97"/>
        <v>1.1270019104631375</v>
      </c>
      <c r="BO440" s="76">
        <f>0.0526*BI440*Observaciones!$F439^1.218</f>
        <v>0</v>
      </c>
      <c r="BP440" s="76">
        <f>BO440*Constantes!$F$51</f>
        <v>0</v>
      </c>
      <c r="BQ440" s="76">
        <f t="shared" si="98"/>
        <v>0</v>
      </c>
      <c r="BR440" s="40"/>
    </row>
    <row r="441" spans="2:70">
      <c r="B441" s="39"/>
      <c r="C441" s="75">
        <v>435</v>
      </c>
      <c r="D441" s="146">
        <f>ETo!$I440*((1-Constantes!$F$19)*ETo!$K440+ETo!$L440)</f>
        <v>4.219613226044169</v>
      </c>
      <c r="E441" s="76">
        <f>MIN(D441*Constantes!$F$17,0.8*(N440+Observaciones!$F440-F441-M441-Constantes!$D$14))</f>
        <v>2.406495035375626</v>
      </c>
      <c r="F441" s="76">
        <f>IF(Observaciones!$F440&gt;0.05*Constantes!$F$18,((Observaciones!$F440-0.05*Constantes!$F$18)^2)/(Observaciones!$F440+0.95*Constantes!$F$18),0)</f>
        <v>0</v>
      </c>
      <c r="G441" s="76">
        <f>IF(Escenarios!$F$11&gt;0,(F441*Escenarios!$F$16*10000)/1000,0)</f>
        <v>0</v>
      </c>
      <c r="H441" s="76">
        <f>IF(Escenarios!$F$11&gt;0,(Observaciones!$F440*Constantes!$F$29)/1000,0)</f>
        <v>0</v>
      </c>
      <c r="I441" s="76">
        <f>IF(Escenarios!$F$11&gt;0,(D441*Constantes!$F$29)/1000,0)</f>
        <v>0</v>
      </c>
      <c r="J441" s="76">
        <f>IF(Escenarios!$F$11&gt;0,MAX(0,G441+H441-I441),0)</f>
        <v>0</v>
      </c>
      <c r="K441" s="76">
        <f>IF(Escenarios!$F$11&gt;0,IF(J441&gt;Constantes!$F$30,1000*((J441-Constantes!$F$30)/(Escenarios!$F$16*10000)),0),F441)</f>
        <v>0</v>
      </c>
      <c r="L441" s="76">
        <f>IF(Escenarios!$F$11&gt;0,I441*1000/Escenarios!$F$16/10000+E441,E441)</f>
        <v>2.406495035375626</v>
      </c>
      <c r="M441" s="76">
        <f>MAX(0,N440+Observaciones!$F440-K441-Constantes!$D$13)</f>
        <v>1.8012671889083904</v>
      </c>
      <c r="N441" s="76">
        <f>N440+Observaciones!$F440-K441-L441-M441-O440</f>
        <v>45.188703350070476</v>
      </c>
      <c r="O441" s="76">
        <f>MAX(0,(N441-Constantes!$D$14)*(1-EXP(-Constantes!$D$22)))</f>
        <v>1.1560768276340414</v>
      </c>
      <c r="P441" s="170">
        <f>P440+(Entradas!$F$83*M441-Q440)/(800*Entradas!$D$25)</f>
        <v>0</v>
      </c>
      <c r="Q441" s="170">
        <f>8000*Entradas!$D$26*P441/Constantes!$F$45</f>
        <v>0</v>
      </c>
      <c r="R441" s="170">
        <f>IF(Escenarios!$F$14&gt;0,K441*Escenarios!$F$13/Escenarios!$F$14,0)</f>
        <v>0</v>
      </c>
      <c r="S441" s="170">
        <f>IF(Escenarios!$F$14&gt;0,Q441*Escenarios!$F$13/Escenarios!$F$14,0)</f>
        <v>0</v>
      </c>
      <c r="T441" s="170">
        <f>IF(Escenarios!$F$14&gt;0,Observaciones!$I440,0)</f>
        <v>0</v>
      </c>
      <c r="U441" s="170">
        <f>IF(Escenarios!$F$14&gt;0,MAX(0,Constantes!$F$36/((Z440+R441+S441+T441+Observaciones!$F440)^2)+Entradas!$F$77),0)</f>
        <v>2.3862356224388135</v>
      </c>
      <c r="V441" s="146">
        <f>IF(ETo!D440&gt;0,ETo!I440*((1-Entradas!$F$81)*ETo!K440+ETo!L440),0)</f>
        <v>3.7430287733719441</v>
      </c>
      <c r="W441" s="170">
        <f>IF(Escenarios!$F$14&gt;0,MIN(V441*1,0.8*(Z440+R441+S441+T441+Observaciones!$F440-U441-Constantes!$F$35)),0)</f>
        <v>3.7430287733719441</v>
      </c>
      <c r="X441" s="170">
        <f>IF(Escenarios!$F$14&gt;0,Observaciones!$J440,0)</f>
        <v>0</v>
      </c>
      <c r="Y441" s="170">
        <f>IF(Escenarios!$F$14&gt;0,MAX(0,Z440+R441+S441+T441+Observaciones!$F440-U441-W441-X441-Constantes!$F$33),0)</f>
        <v>0</v>
      </c>
      <c r="Z441" s="170">
        <f>Z440+R441+S441+T441+Observaciones!$F440-U441-W441-Y441</f>
        <v>123.2056125154667</v>
      </c>
      <c r="AA441" s="170">
        <f>IF(Escenarios!$F$14&gt;0,(Escenarios!$F$13*L441+Escenarios!$F$14*W441)/(Escenarios!$F$16),L441)</f>
        <v>2.5668790839351843</v>
      </c>
      <c r="AB441" s="170">
        <f>IF(Escenarios!$F$14&gt;0,(Escenarios!$F$14*Y441)/(Escenarios!$F$16),K441)</f>
        <v>0</v>
      </c>
      <c r="AC441" s="170">
        <f>IF(Escenarios!$F$14&gt;0,(Escenarios!$F$13*M441+Escenarios!$F$14*U441)/(Escenarios!$F$16),M441)</f>
        <v>1.8714634009320414</v>
      </c>
      <c r="AD441" s="76">
        <f t="shared" si="85"/>
        <v>151.87249197027421</v>
      </c>
      <c r="AE441" s="76">
        <f>MAX(0,(AD441-Constantes!$D$13)*(1-EXP(-Constantes!$D$23)))</f>
        <v>1.0160904752470907</v>
      </c>
      <c r="AF441" s="76">
        <f>AB441+O441*Escenarios!$F$13/Escenarios!$F$16+AE441</f>
        <v>2.0334380835650472</v>
      </c>
      <c r="AG441" s="76">
        <f>IF(Entradas!$F$91&gt;0,IF(AF441-Escenarios!$F$38&lt;=0,0,IF(AF441-Escenarios!$F$38&gt;Escenarios!$F$37,Escenarios!$F$37,AF441-Escenarios!$F$38)),0)</f>
        <v>0.99663808356504724</v>
      </c>
      <c r="AH441" s="76">
        <f>AG441*Entradas!$F$99</f>
        <v>0</v>
      </c>
      <c r="AI441" s="76">
        <f>IF(Entradas!$F$91&gt;0,D441*Entradas!$D$23/Escenarios!$F$16,0)</f>
        <v>0.20254143485012011</v>
      </c>
      <c r="AJ441" s="76">
        <f>IF(Entradas!$F$91&gt;0,Entradas!$D$24*Entradas!$D$22/Escenarios!$F$16,0)</f>
        <v>0.12</v>
      </c>
      <c r="AK441" s="76">
        <f t="shared" si="86"/>
        <v>2.7694205187853043</v>
      </c>
      <c r="AL441" s="76">
        <f t="shared" si="87"/>
        <v>0</v>
      </c>
      <c r="AM441" s="76">
        <f t="shared" si="88"/>
        <v>0.99663808356504724</v>
      </c>
      <c r="AN441" s="76">
        <f>MAX(0,O441*Escenarios!$F$13/Escenarios!$F$16-AM441)</f>
        <v>2.0709524752909214E-2</v>
      </c>
      <c r="AO441" s="76">
        <f>AM441+AN441-O441*Escenarios!$F$13/Escenarios!$F$16</f>
        <v>0</v>
      </c>
      <c r="AP441" s="76">
        <f t="shared" si="89"/>
        <v>1.0160904752470907</v>
      </c>
      <c r="AQ441" s="76">
        <f t="shared" si="90"/>
        <v>0</v>
      </c>
      <c r="AR441" s="76">
        <f t="shared" si="91"/>
        <v>1.0367999999999999</v>
      </c>
      <c r="AS441" s="76">
        <f t="shared" si="92"/>
        <v>0.67409664871492714</v>
      </c>
      <c r="AT441" s="76">
        <f t="shared" si="93"/>
        <v>2.5455600496469684</v>
      </c>
      <c r="AU441" s="76">
        <f t="shared" si="94"/>
        <v>55.235134677403629</v>
      </c>
      <c r="AV441" s="76">
        <f>MAX(0,(AU441-Constantes!$D$13)*(1-EXP(-Constantes!$D$24)))</f>
        <v>9.9126885797602121E-2</v>
      </c>
      <c r="AW441" s="170">
        <f>AW440+(Entradas!$F$112*AT441-AX440)/(800*Entradas!$D$25)</f>
        <v>0</v>
      </c>
      <c r="AX441" s="170">
        <f>8000*Entradas!$D$26*AW441/Constantes!$F$45</f>
        <v>0</v>
      </c>
      <c r="AY441" s="170">
        <f>IF(Escenarios!$F$17&gt;0,10*Escenarios!$F$16*AL441,0)</f>
        <v>0</v>
      </c>
      <c r="AZ441" s="170">
        <f>IF(Escenarios!$F$17&gt;0,10*Escenarios!$F$16*AX441,0)</f>
        <v>0</v>
      </c>
      <c r="BA441" s="170">
        <f>IF(Escenarios!$F$17&gt;0,0.001*Observaciones!$F440*Escenarios!$F$17,0)</f>
        <v>0</v>
      </c>
      <c r="BB441" s="170">
        <f>IF(Escenarios!$F$17&gt;0,Observaciones!$K440,0)</f>
        <v>0</v>
      </c>
      <c r="BC441" s="170">
        <f>IF(Escenarios!$F$17&gt;0,MIN(0.0005*ETo!$M440*Escenarios!$F$17*(BG440/Constantes!$F$40)^(2/3),BG440+AY441+AZ441+BA441+BB441),0)</f>
        <v>0</v>
      </c>
      <c r="BD441" s="170">
        <f>IF(Escenarios!$F$17&gt;0,MIN(Constantes!$F$39*(BG440/Constantes!$F$40)^(2/3),BG440+AY441+AZ441+BA441+BB441-BC441),0)</f>
        <v>0</v>
      </c>
      <c r="BE441" s="170">
        <f>IF(Escenarios!$F$17&gt;0,MIN(Entradas!$F$113,BG440+AY441+AZ441+BA441+BB441-BC441-BD441),0)</f>
        <v>0</v>
      </c>
      <c r="BF441" s="170">
        <f>IF(Escenarios!$F$17&gt;0,MAX(0,BG440+AY441+AZ441+BA441+BB441-BC441-BD441-BE441-Constantes!$F$40),0)</f>
        <v>0</v>
      </c>
      <c r="BG441" s="170">
        <f t="shared" si="95"/>
        <v>0</v>
      </c>
      <c r="BH441" s="170">
        <f>(Escenarios!$F$16*AK441+0.1*BC441)/(Escenarios!$F$19)</f>
        <v>2.7694205187853043</v>
      </c>
      <c r="BI441" s="170">
        <f>IF(Escenarios!$F$17&gt;0,BF441/10/Escenarios!$F$19,AL441)</f>
        <v>0</v>
      </c>
      <c r="BJ441" s="170">
        <f>(Escenarios!$F$16*AT441+0.1*BD441)/(Escenarios!$F$19)</f>
        <v>2.5455600496469684</v>
      </c>
      <c r="BK441" s="76">
        <f>BK440+(0.1*BD441)/(Escenarios!$F$19)-BL440</f>
        <v>48.75</v>
      </c>
      <c r="BL441" s="76">
        <f>MAX(0,(BK441-Constantes!$D$13)*(1-EXP(-Constantes!$D$23)))</f>
        <v>0</v>
      </c>
      <c r="BM441" s="76">
        <f t="shared" si="96"/>
        <v>1.1152173610446929</v>
      </c>
      <c r="BN441" s="76">
        <f t="shared" si="97"/>
        <v>1.1359268857976021</v>
      </c>
      <c r="BO441" s="76">
        <f>0.0526*BI441*Observaciones!$F440^1.218</f>
        <v>0</v>
      </c>
      <c r="BP441" s="76">
        <f>BO441*Constantes!$F$51</f>
        <v>0</v>
      </c>
      <c r="BQ441" s="76">
        <f t="shared" si="98"/>
        <v>0</v>
      </c>
      <c r="BR441" s="40"/>
    </row>
    <row r="442" spans="2:70">
      <c r="B442" s="39"/>
      <c r="C442" s="75">
        <v>436</v>
      </c>
      <c r="D442" s="146">
        <f>ETo!$I441*((1-Constantes!$F$19)*ETo!$K441+ETo!$L441)</f>
        <v>4.252290143423906</v>
      </c>
      <c r="E442" s="76">
        <f>MIN(D442*Constantes!$F$17,0.8*(N441+Observaciones!$F441-F442-M442-Constantes!$D$14))</f>
        <v>2.4251310655597096</v>
      </c>
      <c r="F442" s="76">
        <f>IF(Observaciones!$F441&gt;0.05*Constantes!$F$18,((Observaciones!$F441-0.05*Constantes!$F$18)^2)/(Observaciones!$F441+0.95*Constantes!$F$18),0)</f>
        <v>0.36405194741742103</v>
      </c>
      <c r="G442" s="76">
        <f>IF(Escenarios!$F$11&gt;0,(F442*Escenarios!$F$16*10000)/1000,0)</f>
        <v>0</v>
      </c>
      <c r="H442" s="76">
        <f>IF(Escenarios!$F$11&gt;0,(Observaciones!$F441*Constantes!$F$29)/1000,0)</f>
        <v>0</v>
      </c>
      <c r="I442" s="76">
        <f>IF(Escenarios!$F$11&gt;0,(D442*Constantes!$F$29)/1000,0)</f>
        <v>0</v>
      </c>
      <c r="J442" s="76">
        <f>IF(Escenarios!$F$11&gt;0,MAX(0,G442+H442-I442),0)</f>
        <v>0</v>
      </c>
      <c r="K442" s="76">
        <f>IF(Escenarios!$F$11&gt;0,IF(J442&gt;Constantes!$F$30,1000*((J442-Constantes!$F$30)/(Escenarios!$F$16*10000)),0),F442)</f>
        <v>0.36405194741742103</v>
      </c>
      <c r="L442" s="76">
        <f>IF(Escenarios!$F$11&gt;0,I442*1000/Escenarios!$F$16/10000+E442,E442)</f>
        <v>2.4251310655597096</v>
      </c>
      <c r="M442" s="76">
        <f>MAX(0,N441+Observaciones!$F441-K442-Constantes!$D$13)</f>
        <v>16.174651402653055</v>
      </c>
      <c r="N442" s="76">
        <f>N441+Observaciones!$F441-K442-L442-M442-O441</f>
        <v>45.168792106806251</v>
      </c>
      <c r="O442" s="76">
        <f>MAX(0,(N442-Constantes!$D$14)*(1-EXP(-Constantes!$D$22)))</f>
        <v>1.1553985775927915</v>
      </c>
      <c r="P442" s="170">
        <f>P441+(Entradas!$F$83*M442-Q441)/(800*Entradas!$D$25)</f>
        <v>0</v>
      </c>
      <c r="Q442" s="170">
        <f>8000*Entradas!$D$26*P442/Constantes!$F$45</f>
        <v>0</v>
      </c>
      <c r="R442" s="170">
        <f>IF(Escenarios!$F$14&gt;0,K442*Escenarios!$F$13/Escenarios!$F$14,0)</f>
        <v>2.6697142810610877</v>
      </c>
      <c r="S442" s="170">
        <f>IF(Escenarios!$F$14&gt;0,Q442*Escenarios!$F$13/Escenarios!$F$14,0)</f>
        <v>0</v>
      </c>
      <c r="T442" s="170">
        <f>IF(Escenarios!$F$14&gt;0,Observaciones!$I441,0)</f>
        <v>0</v>
      </c>
      <c r="U442" s="170">
        <f>IF(Escenarios!$F$14&gt;0,MAX(0,Constantes!$F$36/((Z441+R442+S442+T442+Observaciones!$F441)^2)+Entradas!$F$77),0)</f>
        <v>2.5181919248778666</v>
      </c>
      <c r="V442" s="146">
        <f>IF(ETo!D441&gt;0,ETo!I441*((1-Entradas!$F$81)*ETo!K441+ETo!L441),0)</f>
        <v>3.7723181280478304</v>
      </c>
      <c r="W442" s="170">
        <f>IF(Escenarios!$F$14&gt;0,MIN(V442*1,0.8*(Z441+R442+S442+T442+Observaciones!$F441-U442-Constantes!$F$35)),0)</f>
        <v>3.7723181280478304</v>
      </c>
      <c r="X442" s="170">
        <f>IF(Escenarios!$F$14&gt;0,Observaciones!$J441,0)</f>
        <v>0</v>
      </c>
      <c r="Y442" s="170">
        <f>IF(Escenarios!$F$14&gt;0,MAX(0,Z441+R442+S442+T442+Observaciones!$F441-U442-W442-X442-Constantes!$F$33),0)</f>
        <v>0</v>
      </c>
      <c r="Z442" s="170">
        <f>Z441+R442+S442+T442+Observaciones!$F441-U442-W442-Y442</f>
        <v>139.68481674360208</v>
      </c>
      <c r="AA442" s="170">
        <f>IF(Escenarios!$F$14&gt;0,(Escenarios!$F$13*L442+Escenarios!$F$14*W442)/(Escenarios!$F$16),L442)</f>
        <v>2.586793513058284</v>
      </c>
      <c r="AB442" s="170">
        <f>IF(Escenarios!$F$14&gt;0,(Escenarios!$F$14*Y442)/(Escenarios!$F$16),K442)</f>
        <v>0</v>
      </c>
      <c r="AC442" s="170">
        <f>IF(Escenarios!$F$14&gt;0,(Escenarios!$F$13*M442+Escenarios!$F$14*U442)/(Escenarios!$F$16),M442)</f>
        <v>14.535876265320033</v>
      </c>
      <c r="AD442" s="76">
        <f t="shared" si="85"/>
        <v>165.39227776034716</v>
      </c>
      <c r="AE442" s="76">
        <f>MAX(0,(AD442-Constantes!$D$13)*(1-EXP(-Constantes!$D$23)))</f>
        <v>1.1493041447987726</v>
      </c>
      <c r="AF442" s="76">
        <f>AB442+O442*Escenarios!$F$13/Escenarios!$F$16+AE442</f>
        <v>2.1660548930804291</v>
      </c>
      <c r="AG442" s="76">
        <f>IF(Entradas!$F$91&gt;0,IF(AF442-Escenarios!$F$38&lt;=0,0,IF(AF442-Escenarios!$F$38&gt;Escenarios!$F$37,Escenarios!$F$37,AF442-Escenarios!$F$38)),0)</f>
        <v>1.1292548930804291</v>
      </c>
      <c r="AH442" s="76">
        <f>AG442*Entradas!$F$99</f>
        <v>0</v>
      </c>
      <c r="AI442" s="76">
        <f>IF(Entradas!$F$91&gt;0,D442*Entradas!$D$23/Escenarios!$F$16,0)</f>
        <v>0.20410992688434748</v>
      </c>
      <c r="AJ442" s="76">
        <f>IF(Entradas!$F$91&gt;0,Entradas!$D$24*Entradas!$D$22/Escenarios!$F$16,0)</f>
        <v>0.12</v>
      </c>
      <c r="AK442" s="76">
        <f t="shared" si="86"/>
        <v>2.7909034399426313</v>
      </c>
      <c r="AL442" s="76">
        <f t="shared" si="87"/>
        <v>0</v>
      </c>
      <c r="AM442" s="76">
        <f t="shared" si="88"/>
        <v>1.1292548930804291</v>
      </c>
      <c r="AN442" s="76">
        <f>MAX(0,O442*Escenarios!$F$13/Escenarios!$F$16-AM442)</f>
        <v>0</v>
      </c>
      <c r="AO442" s="76">
        <f>AM442+AN442-O442*Escenarios!$F$13/Escenarios!$F$16</f>
        <v>0.11250414479877247</v>
      </c>
      <c r="AP442" s="76">
        <f t="shared" si="89"/>
        <v>1.0368000000000002</v>
      </c>
      <c r="AQ442" s="76">
        <f t="shared" si="90"/>
        <v>0</v>
      </c>
      <c r="AR442" s="76">
        <f t="shared" si="91"/>
        <v>1.0368000000000002</v>
      </c>
      <c r="AS442" s="76">
        <f t="shared" si="92"/>
        <v>0.80514496619608167</v>
      </c>
      <c r="AT442" s="76">
        <f t="shared" si="93"/>
        <v>15.341021231516114</v>
      </c>
      <c r="AU442" s="76">
        <f t="shared" si="94"/>
        <v>55.941152757802108</v>
      </c>
      <c r="AV442" s="76">
        <f>MAX(0,(AU442-Constantes!$D$13)*(1-EXP(-Constantes!$D$24)))</f>
        <v>0.10991854658925147</v>
      </c>
      <c r="AW442" s="170">
        <f>AW441+(Entradas!$F$112*AT442-AX441)/(800*Entradas!$D$25)</f>
        <v>0</v>
      </c>
      <c r="AX442" s="170">
        <f>8000*Entradas!$D$26*AW442/Constantes!$F$45</f>
        <v>0</v>
      </c>
      <c r="AY442" s="170">
        <f>IF(Escenarios!$F$17&gt;0,10*Escenarios!$F$16*AL442,0)</f>
        <v>0</v>
      </c>
      <c r="AZ442" s="170">
        <f>IF(Escenarios!$F$17&gt;0,10*Escenarios!$F$16*AX442,0)</f>
        <v>0</v>
      </c>
      <c r="BA442" s="170">
        <f>IF(Escenarios!$F$17&gt;0,0.001*Observaciones!$F441*Escenarios!$F$17,0)</f>
        <v>0</v>
      </c>
      <c r="BB442" s="170">
        <f>IF(Escenarios!$F$17&gt;0,Observaciones!$K441,0)</f>
        <v>0</v>
      </c>
      <c r="BC442" s="170">
        <f>IF(Escenarios!$F$17&gt;0,MIN(0.0005*ETo!$M441*Escenarios!$F$17*(BG441/Constantes!$F$40)^(2/3),BG441+AY442+AZ442+BA442+BB442),0)</f>
        <v>0</v>
      </c>
      <c r="BD442" s="170">
        <f>IF(Escenarios!$F$17&gt;0,MIN(Constantes!$F$39*(BG441/Constantes!$F$40)^(2/3),BG441+AY442+AZ442+BA442+BB442-BC442),0)</f>
        <v>0</v>
      </c>
      <c r="BE442" s="170">
        <f>IF(Escenarios!$F$17&gt;0,MIN(Entradas!$F$113,BG441+AY442+AZ442+BA442+BB442-BC442-BD442),0)</f>
        <v>0</v>
      </c>
      <c r="BF442" s="170">
        <f>IF(Escenarios!$F$17&gt;0,MAX(0,BG441+AY442+AZ442+BA442+BB442-BC442-BD442-BE442-Constantes!$F$40),0)</f>
        <v>0</v>
      </c>
      <c r="BG442" s="170">
        <f t="shared" si="95"/>
        <v>0</v>
      </c>
      <c r="BH442" s="170">
        <f>(Escenarios!$F$16*AK442+0.1*BC442)/(Escenarios!$F$19)</f>
        <v>2.7909034399426313</v>
      </c>
      <c r="BI442" s="170">
        <f>IF(Escenarios!$F$17&gt;0,BF442/10/Escenarios!$F$19,AL442)</f>
        <v>0</v>
      </c>
      <c r="BJ442" s="170">
        <f>(Escenarios!$F$16*AT442+0.1*BD442)/(Escenarios!$F$19)</f>
        <v>15.341021231516113</v>
      </c>
      <c r="BK442" s="76">
        <f>BK441+(0.1*BD442)/(Escenarios!$F$19)-BL441</f>
        <v>48.75</v>
      </c>
      <c r="BL442" s="76">
        <f>MAX(0,(BK442-Constantes!$D$13)*(1-EXP(-Constantes!$D$23)))</f>
        <v>0</v>
      </c>
      <c r="BM442" s="76">
        <f t="shared" si="96"/>
        <v>1.1467185465892515</v>
      </c>
      <c r="BN442" s="76">
        <f t="shared" si="97"/>
        <v>1.1467185465892515</v>
      </c>
      <c r="BO442" s="76">
        <f>0.0526*BI442*Observaciones!$F441^1.218</f>
        <v>0</v>
      </c>
      <c r="BP442" s="76">
        <f>BO442*Constantes!$F$51</f>
        <v>0</v>
      </c>
      <c r="BQ442" s="76">
        <f t="shared" si="98"/>
        <v>0</v>
      </c>
      <c r="BR442" s="40"/>
    </row>
    <row r="443" spans="2:70">
      <c r="B443" s="39"/>
      <c r="C443" s="75">
        <v>437</v>
      </c>
      <c r="D443" s="146">
        <f>ETo!$I442*((1-Constantes!$F$19)*ETo!$K442+ETo!$L442)</f>
        <v>4.2448857368241679</v>
      </c>
      <c r="E443" s="76">
        <f>MIN(D443*Constantes!$F$17,0.8*(N442+Observaciones!$F442-F443-M443-Constantes!$D$14))</f>
        <v>2.4209082454177606</v>
      </c>
      <c r="F443" s="76">
        <f>IF(Observaciones!$F442&gt;0.05*Constantes!$F$18,((Observaciones!$F442-0.05*Constantes!$F$18)^2)/(Observaciones!$F442+0.95*Constantes!$F$18),0)</f>
        <v>0</v>
      </c>
      <c r="G443" s="76">
        <f>IF(Escenarios!$F$11&gt;0,(F443*Escenarios!$F$16*10000)/1000,0)</f>
        <v>0</v>
      </c>
      <c r="H443" s="76">
        <f>IF(Escenarios!$F$11&gt;0,(Observaciones!$F442*Constantes!$F$29)/1000,0)</f>
        <v>0</v>
      </c>
      <c r="I443" s="76">
        <f>IF(Escenarios!$F$11&gt;0,(D443*Constantes!$F$29)/1000,0)</f>
        <v>0</v>
      </c>
      <c r="J443" s="76">
        <f>IF(Escenarios!$F$11&gt;0,MAX(0,G443+H443-I443),0)</f>
        <v>0</v>
      </c>
      <c r="K443" s="76">
        <f>IF(Escenarios!$F$11&gt;0,IF(J443&gt;Constantes!$F$30,1000*((J443-Constantes!$F$30)/(Escenarios!$F$16*10000)),0),F443)</f>
        <v>0</v>
      </c>
      <c r="L443" s="76">
        <f>IF(Escenarios!$F$11&gt;0,I443*1000/Escenarios!$F$16/10000+E443,E443)</f>
        <v>2.4209082454177606</v>
      </c>
      <c r="M443" s="76">
        <f>MAX(0,N442+Observaciones!$F442-K443-Constantes!$D$13)</f>
        <v>4.9187921068062508</v>
      </c>
      <c r="N443" s="76">
        <f>N442+Observaciones!$F442-K443-L443-M443-O442</f>
        <v>45.173693176989445</v>
      </c>
      <c r="O443" s="76">
        <f>MAX(0,(N443-Constantes!$D$14)*(1-EXP(-Constantes!$D$22)))</f>
        <v>1.1555655260354281</v>
      </c>
      <c r="P443" s="170">
        <f>P442+(Entradas!$F$83*M443-Q442)/(800*Entradas!$D$25)</f>
        <v>0</v>
      </c>
      <c r="Q443" s="170">
        <f>8000*Entradas!$D$26*P443/Constantes!$F$45</f>
        <v>0</v>
      </c>
      <c r="R443" s="170">
        <f>IF(Escenarios!$F$14&gt;0,K443*Escenarios!$F$13/Escenarios!$F$14,0)</f>
        <v>0</v>
      </c>
      <c r="S443" s="170">
        <f>IF(Escenarios!$F$14&gt;0,Q443*Escenarios!$F$13/Escenarios!$F$14,0)</f>
        <v>0</v>
      </c>
      <c r="T443" s="170">
        <f>IF(Escenarios!$F$14&gt;0,Observaciones!$I442,0)</f>
        <v>0</v>
      </c>
      <c r="U443" s="170">
        <f>IF(Escenarios!$F$14&gt;0,MAX(0,Constantes!$F$36/((Z442+R443+S443+T443+Observaciones!$F442)^2)+Entradas!$F$77),0)</f>
        <v>2.5324526798659659</v>
      </c>
      <c r="V443" s="146">
        <f>IF(ETo!D442&gt;0,ETo!I442*((1-Entradas!$F$81)*ETo!K442+ETo!L442),0)</f>
        <v>3.7654616265879537</v>
      </c>
      <c r="W443" s="170">
        <f>IF(Escenarios!$F$14&gt;0,MIN(V443*1,0.8*(Z442+R443+S443+T443+Observaciones!$F442-U443-Constantes!$F$35)),0)</f>
        <v>3.7654616265879537</v>
      </c>
      <c r="X443" s="170">
        <f>IF(Escenarios!$F$14&gt;0,Observaciones!$J442,0)</f>
        <v>0</v>
      </c>
      <c r="Y443" s="170">
        <f>IF(Escenarios!$F$14&gt;0,MAX(0,Z442+R443+S443+T443+Observaciones!$F442-U443-W443-X443-Constantes!$F$33),0)</f>
        <v>0</v>
      </c>
      <c r="Z443" s="170">
        <f>Z442+R443+S443+T443+Observaciones!$F442-U443-W443-Y443</f>
        <v>141.88690243714817</v>
      </c>
      <c r="AA443" s="170">
        <f>IF(Escenarios!$F$14&gt;0,(Escenarios!$F$13*L443+Escenarios!$F$14*W443)/(Escenarios!$F$16),L443)</f>
        <v>2.5822546511581841</v>
      </c>
      <c r="AB443" s="170">
        <f>IF(Escenarios!$F$14&gt;0,(Escenarios!$F$14*Y443)/(Escenarios!$F$16),K443)</f>
        <v>0</v>
      </c>
      <c r="AC443" s="170">
        <f>IF(Escenarios!$F$14&gt;0,(Escenarios!$F$13*M443+Escenarios!$F$14*U443)/(Escenarios!$F$16),M443)</f>
        <v>4.6324313755734172</v>
      </c>
      <c r="AD443" s="76">
        <f t="shared" si="85"/>
        <v>168.8754049911218</v>
      </c>
      <c r="AE443" s="76">
        <f>MAX(0,(AD443-Constantes!$D$13)*(1-EXP(-Constantes!$D$23)))</f>
        <v>1.1836242270198665</v>
      </c>
      <c r="AF443" s="76">
        <f>AB443+O443*Escenarios!$F$13/Escenarios!$F$16+AE443</f>
        <v>2.2005218899310428</v>
      </c>
      <c r="AG443" s="76">
        <f>IF(Entradas!$F$91&gt;0,IF(AF443-Escenarios!$F$38&lt;=0,0,IF(AF443-Escenarios!$F$38&gt;Escenarios!$F$37,Escenarios!$F$37,AF443-Escenarios!$F$38)),0)</f>
        <v>1.1637218899310429</v>
      </c>
      <c r="AH443" s="76">
        <f>AG443*Entradas!$F$99</f>
        <v>0</v>
      </c>
      <c r="AI443" s="76">
        <f>IF(Entradas!$F$91&gt;0,D443*Entradas!$D$23/Escenarios!$F$16,0)</f>
        <v>0.20375451536756006</v>
      </c>
      <c r="AJ443" s="76">
        <f>IF(Entradas!$F$91&gt;0,Entradas!$D$24*Entradas!$D$22/Escenarios!$F$16,0)</f>
        <v>0.12</v>
      </c>
      <c r="AK443" s="76">
        <f t="shared" si="86"/>
        <v>2.7860091665257443</v>
      </c>
      <c r="AL443" s="76">
        <f t="shared" si="87"/>
        <v>0</v>
      </c>
      <c r="AM443" s="76">
        <f t="shared" si="88"/>
        <v>1.1637218899310429</v>
      </c>
      <c r="AN443" s="76">
        <f>MAX(0,O443*Escenarios!$F$13/Escenarios!$F$16-AM443)</f>
        <v>0</v>
      </c>
      <c r="AO443" s="76">
        <f>AM443+AN443-O443*Escenarios!$F$13/Escenarios!$F$16</f>
        <v>0.1468242270198663</v>
      </c>
      <c r="AP443" s="76">
        <f t="shared" si="89"/>
        <v>1.0368000000000002</v>
      </c>
      <c r="AQ443" s="76">
        <f t="shared" si="90"/>
        <v>0</v>
      </c>
      <c r="AR443" s="76">
        <f t="shared" si="91"/>
        <v>1.0368000000000002</v>
      </c>
      <c r="AS443" s="76">
        <f t="shared" si="92"/>
        <v>0.8399673745634828</v>
      </c>
      <c r="AT443" s="76">
        <f t="shared" si="93"/>
        <v>5.4723987501369002</v>
      </c>
      <c r="AU443" s="76">
        <f t="shared" si="94"/>
        <v>56.671201585776345</v>
      </c>
      <c r="AV443" s="76">
        <f>MAX(0,(AU443-Constantes!$D$13)*(1-EXP(-Constantes!$D$24)))</f>
        <v>0.12107752329476659</v>
      </c>
      <c r="AW443" s="170">
        <f>AW442+(Entradas!$F$112*AT443-AX442)/(800*Entradas!$D$25)</f>
        <v>0</v>
      </c>
      <c r="AX443" s="170">
        <f>8000*Entradas!$D$26*AW443/Constantes!$F$45</f>
        <v>0</v>
      </c>
      <c r="AY443" s="170">
        <f>IF(Escenarios!$F$17&gt;0,10*Escenarios!$F$16*AL443,0)</f>
        <v>0</v>
      </c>
      <c r="AZ443" s="170">
        <f>IF(Escenarios!$F$17&gt;0,10*Escenarios!$F$16*AX443,0)</f>
        <v>0</v>
      </c>
      <c r="BA443" s="170">
        <f>IF(Escenarios!$F$17&gt;0,0.001*Observaciones!$F442*Escenarios!$F$17,0)</f>
        <v>0</v>
      </c>
      <c r="BB443" s="170">
        <f>IF(Escenarios!$F$17&gt;0,Observaciones!$K442,0)</f>
        <v>0</v>
      </c>
      <c r="BC443" s="170">
        <f>IF(Escenarios!$F$17&gt;0,MIN(0.0005*ETo!$M442*Escenarios!$F$17*(BG442/Constantes!$F$40)^(2/3),BG442+AY443+AZ443+BA443+BB443),0)</f>
        <v>0</v>
      </c>
      <c r="BD443" s="170">
        <f>IF(Escenarios!$F$17&gt;0,MIN(Constantes!$F$39*(BG442/Constantes!$F$40)^(2/3),BG442+AY443+AZ443+BA443+BB443-BC443),0)</f>
        <v>0</v>
      </c>
      <c r="BE443" s="170">
        <f>IF(Escenarios!$F$17&gt;0,MIN(Entradas!$F$113,BG442+AY443+AZ443+BA443+BB443-BC443-BD443),0)</f>
        <v>0</v>
      </c>
      <c r="BF443" s="170">
        <f>IF(Escenarios!$F$17&gt;0,MAX(0,BG442+AY443+AZ443+BA443+BB443-BC443-BD443-BE443-Constantes!$F$40),0)</f>
        <v>0</v>
      </c>
      <c r="BG443" s="170">
        <f t="shared" si="95"/>
        <v>0</v>
      </c>
      <c r="BH443" s="170">
        <f>(Escenarios!$F$16*AK443+0.1*BC443)/(Escenarios!$F$19)</f>
        <v>2.7860091665257443</v>
      </c>
      <c r="BI443" s="170">
        <f>IF(Escenarios!$F$17&gt;0,BF443/10/Escenarios!$F$19,AL443)</f>
        <v>0</v>
      </c>
      <c r="BJ443" s="170">
        <f>(Escenarios!$F$16*AT443+0.1*BD443)/(Escenarios!$F$19)</f>
        <v>5.4723987501369002</v>
      </c>
      <c r="BK443" s="76">
        <f>BK442+(0.1*BD443)/(Escenarios!$F$19)-BL442</f>
        <v>48.75</v>
      </c>
      <c r="BL443" s="76">
        <f>MAX(0,(BK443-Constantes!$D$13)*(1-EXP(-Constantes!$D$23)))</f>
        <v>0</v>
      </c>
      <c r="BM443" s="76">
        <f t="shared" si="96"/>
        <v>1.1578775232947667</v>
      </c>
      <c r="BN443" s="76">
        <f t="shared" si="97"/>
        <v>1.1578775232947667</v>
      </c>
      <c r="BO443" s="76">
        <f>0.0526*BI443*Observaciones!$F442^1.218</f>
        <v>0</v>
      </c>
      <c r="BP443" s="76">
        <f>BO443*Constantes!$F$51</f>
        <v>0</v>
      </c>
      <c r="BQ443" s="76">
        <f t="shared" si="98"/>
        <v>0</v>
      </c>
      <c r="BR443" s="40"/>
    </row>
    <row r="444" spans="2:70">
      <c r="B444" s="39"/>
      <c r="C444" s="75">
        <v>438</v>
      </c>
      <c r="D444" s="146">
        <f>ETo!$I443*((1-Constantes!$F$19)*ETo!$K443+ETo!$L443)</f>
        <v>4.0792363196465473</v>
      </c>
      <c r="E444" s="76">
        <f>MIN(D444*Constantes!$F$17,0.8*(N443+Observaciones!$F443-F444-M444-Constantes!$D$14))</f>
        <v>2.3264364351602778</v>
      </c>
      <c r="F444" s="76">
        <f>IF(Observaciones!$F443&gt;0.05*Constantes!$F$18,((Observaciones!$F443-0.05*Constantes!$F$18)^2)/(Observaciones!$F443+0.95*Constantes!$F$18),0)</f>
        <v>0</v>
      </c>
      <c r="G444" s="76">
        <f>IF(Escenarios!$F$11&gt;0,(F444*Escenarios!$F$16*10000)/1000,0)</f>
        <v>0</v>
      </c>
      <c r="H444" s="76">
        <f>IF(Escenarios!$F$11&gt;0,(Observaciones!$F443*Constantes!$F$29)/1000,0)</f>
        <v>0</v>
      </c>
      <c r="I444" s="76">
        <f>IF(Escenarios!$F$11&gt;0,(D444*Constantes!$F$29)/1000,0)</f>
        <v>0</v>
      </c>
      <c r="J444" s="76">
        <f>IF(Escenarios!$F$11&gt;0,MAX(0,G444+H444-I444),0)</f>
        <v>0</v>
      </c>
      <c r="K444" s="76">
        <f>IF(Escenarios!$F$11&gt;0,IF(J444&gt;Constantes!$F$30,1000*((J444-Constantes!$F$30)/(Escenarios!$F$16*10000)),0),F444)</f>
        <v>0</v>
      </c>
      <c r="L444" s="76">
        <f>IF(Escenarios!$F$11&gt;0,I444*1000/Escenarios!$F$16/10000+E444,E444)</f>
        <v>2.3264364351602778</v>
      </c>
      <c r="M444" s="76">
        <f>MAX(0,N443+Observaciones!$F443-K444-Constantes!$D$13)</f>
        <v>0</v>
      </c>
      <c r="N444" s="76">
        <f>N443+Observaciones!$F443-K444-L444-M444-O443</f>
        <v>45.091691215793738</v>
      </c>
      <c r="O444" s="76">
        <f>MAX(0,(N444-Constantes!$D$14)*(1-EXP(-Constantes!$D$22)))</f>
        <v>1.1527722382017398</v>
      </c>
      <c r="P444" s="170">
        <f>P443+(Entradas!$F$83*M444-Q443)/(800*Entradas!$D$25)</f>
        <v>0</v>
      </c>
      <c r="Q444" s="170">
        <f>8000*Entradas!$D$26*P444/Constantes!$F$45</f>
        <v>0</v>
      </c>
      <c r="R444" s="170">
        <f>IF(Escenarios!$F$14&gt;0,K444*Escenarios!$F$13/Escenarios!$F$14,0)</f>
        <v>0</v>
      </c>
      <c r="S444" s="170">
        <f>IF(Escenarios!$F$14&gt;0,Q444*Escenarios!$F$13/Escenarios!$F$14,0)</f>
        <v>0</v>
      </c>
      <c r="T444" s="170">
        <f>IF(Escenarios!$F$14&gt;0,Observaciones!$I443,0)</f>
        <v>0</v>
      </c>
      <c r="U444" s="170">
        <f>IF(Escenarios!$F$14&gt;0,MAX(0,Constantes!$F$36/((Z443+R444+S444+T444+Observaciones!$F443)^2)+Entradas!$F$77),0)</f>
        <v>2.513615128999656</v>
      </c>
      <c r="V444" s="146">
        <f>IF(ETo!D443&gt;0,ETo!I443*((1-Entradas!$F$81)*ETo!K443+ETo!L443),0)</f>
        <v>3.616146159956382</v>
      </c>
      <c r="W444" s="170">
        <f>IF(Escenarios!$F$14&gt;0,MIN(V444*1,0.8*(Z443+R444+S444+T444+Observaciones!$F443-U444-Constantes!$F$35)),0)</f>
        <v>3.616146159956382</v>
      </c>
      <c r="X444" s="170">
        <f>IF(Escenarios!$F$14&gt;0,Observaciones!$J443,0)</f>
        <v>0</v>
      </c>
      <c r="Y444" s="170">
        <f>IF(Escenarios!$F$14&gt;0,MAX(0,Z443+R444+S444+T444+Observaciones!$F443-U444-W444-X444-Constantes!$F$33),0)</f>
        <v>0</v>
      </c>
      <c r="Z444" s="170">
        <f>Z443+R444+S444+T444+Observaciones!$F443-U444-W444-Y444</f>
        <v>139.15714114819215</v>
      </c>
      <c r="AA444" s="170">
        <f>IF(Escenarios!$F$14&gt;0,(Escenarios!$F$13*L444+Escenarios!$F$14*W444)/(Escenarios!$F$16),L444)</f>
        <v>2.4812016021358105</v>
      </c>
      <c r="AB444" s="170">
        <f>IF(Escenarios!$F$14&gt;0,(Escenarios!$F$14*Y444)/(Escenarios!$F$16),K444)</f>
        <v>0</v>
      </c>
      <c r="AC444" s="170">
        <f>IF(Escenarios!$F$14&gt;0,(Escenarios!$F$13*M444+Escenarios!$F$14*U444)/(Escenarios!$F$16),M444)</f>
        <v>0.30163381547995877</v>
      </c>
      <c r="AD444" s="76">
        <f t="shared" si="85"/>
        <v>167.99341457958189</v>
      </c>
      <c r="AE444" s="76">
        <f>MAX(0,(AD444-Constantes!$D$13)*(1-EXP(-Constantes!$D$23)))</f>
        <v>1.1749337654212146</v>
      </c>
      <c r="AF444" s="76">
        <f>AB444+O444*Escenarios!$F$13/Escenarios!$F$16+AE444</f>
        <v>2.1893733350387459</v>
      </c>
      <c r="AG444" s="76">
        <f>IF(Entradas!$F$91&gt;0,IF(AF444-Escenarios!$F$38&lt;=0,0,IF(AF444-Escenarios!$F$38&gt;Escenarios!$F$37,Escenarios!$F$37,AF444-Escenarios!$F$38)),0)</f>
        <v>1.1525733350387459</v>
      </c>
      <c r="AH444" s="76">
        <f>AG444*Entradas!$F$99</f>
        <v>0</v>
      </c>
      <c r="AI444" s="76">
        <f>IF(Entradas!$F$91&gt;0,D444*Entradas!$D$23/Escenarios!$F$16,0)</f>
        <v>0.19580334334303426</v>
      </c>
      <c r="AJ444" s="76">
        <f>IF(Entradas!$F$91&gt;0,Entradas!$D$24*Entradas!$D$22/Escenarios!$F$16,0)</f>
        <v>0.12</v>
      </c>
      <c r="AK444" s="76">
        <f t="shared" si="86"/>
        <v>2.6770049454788447</v>
      </c>
      <c r="AL444" s="76">
        <f t="shared" si="87"/>
        <v>0</v>
      </c>
      <c r="AM444" s="76">
        <f t="shared" si="88"/>
        <v>1.1525733350387459</v>
      </c>
      <c r="AN444" s="76">
        <f>MAX(0,O444*Escenarios!$F$13/Escenarios!$F$16-AM444)</f>
        <v>0</v>
      </c>
      <c r="AO444" s="76">
        <f>AM444+AN444-O444*Escenarios!$F$13/Escenarios!$F$16</f>
        <v>0.13813376542121492</v>
      </c>
      <c r="AP444" s="76">
        <f t="shared" si="89"/>
        <v>1.0367999999999997</v>
      </c>
      <c r="AQ444" s="76">
        <f t="shared" si="90"/>
        <v>0</v>
      </c>
      <c r="AR444" s="76">
        <f t="shared" si="91"/>
        <v>1.0367999999999997</v>
      </c>
      <c r="AS444" s="76">
        <f t="shared" si="92"/>
        <v>0.83676999169571165</v>
      </c>
      <c r="AT444" s="76">
        <f t="shared" si="93"/>
        <v>1.1384038071756704</v>
      </c>
      <c r="AU444" s="76">
        <f t="shared" si="94"/>
        <v>57.38689405417729</v>
      </c>
      <c r="AV444" s="76">
        <f>MAX(0,(AU444-Constantes!$D$13)*(1-EXP(-Constantes!$D$24)))</f>
        <v>0.13201705949724182</v>
      </c>
      <c r="AW444" s="170">
        <f>AW443+(Entradas!$F$112*AT444-AX443)/(800*Entradas!$D$25)</f>
        <v>0</v>
      </c>
      <c r="AX444" s="170">
        <f>8000*Entradas!$D$26*AW444/Constantes!$F$45</f>
        <v>0</v>
      </c>
      <c r="AY444" s="170">
        <f>IF(Escenarios!$F$17&gt;0,10*Escenarios!$F$16*AL444,0)</f>
        <v>0</v>
      </c>
      <c r="AZ444" s="170">
        <f>IF(Escenarios!$F$17&gt;0,10*Escenarios!$F$16*AX444,0)</f>
        <v>0</v>
      </c>
      <c r="BA444" s="170">
        <f>IF(Escenarios!$F$17&gt;0,0.001*Observaciones!$F443*Escenarios!$F$17,0)</f>
        <v>0</v>
      </c>
      <c r="BB444" s="170">
        <f>IF(Escenarios!$F$17&gt;0,Observaciones!$K443,0)</f>
        <v>0</v>
      </c>
      <c r="BC444" s="170">
        <f>IF(Escenarios!$F$17&gt;0,MIN(0.0005*ETo!$M443*Escenarios!$F$17*(BG443/Constantes!$F$40)^(2/3),BG443+AY444+AZ444+BA444+BB444),0)</f>
        <v>0</v>
      </c>
      <c r="BD444" s="170">
        <f>IF(Escenarios!$F$17&gt;0,MIN(Constantes!$F$39*(BG443/Constantes!$F$40)^(2/3),BG443+AY444+AZ444+BA444+BB444-BC444),0)</f>
        <v>0</v>
      </c>
      <c r="BE444" s="170">
        <f>IF(Escenarios!$F$17&gt;0,MIN(Entradas!$F$113,BG443+AY444+AZ444+BA444+BB444-BC444-BD444),0)</f>
        <v>0</v>
      </c>
      <c r="BF444" s="170">
        <f>IF(Escenarios!$F$17&gt;0,MAX(0,BG443+AY444+AZ444+BA444+BB444-BC444-BD444-BE444-Constantes!$F$40),0)</f>
        <v>0</v>
      </c>
      <c r="BG444" s="170">
        <f t="shared" si="95"/>
        <v>0</v>
      </c>
      <c r="BH444" s="170">
        <f>(Escenarios!$F$16*AK444+0.1*BC444)/(Escenarios!$F$19)</f>
        <v>2.6770049454788447</v>
      </c>
      <c r="BI444" s="170">
        <f>IF(Escenarios!$F$17&gt;0,BF444/10/Escenarios!$F$19,AL444)</f>
        <v>0</v>
      </c>
      <c r="BJ444" s="170">
        <f>(Escenarios!$F$16*AT444+0.1*BD444)/(Escenarios!$F$19)</f>
        <v>1.1384038071756704</v>
      </c>
      <c r="BK444" s="76">
        <f>BK443+(0.1*BD444)/(Escenarios!$F$19)-BL443</f>
        <v>48.75</v>
      </c>
      <c r="BL444" s="76">
        <f>MAX(0,(BK444-Constantes!$D$13)*(1-EXP(-Constantes!$D$23)))</f>
        <v>0</v>
      </c>
      <c r="BM444" s="76">
        <f t="shared" si="96"/>
        <v>1.1688170594972416</v>
      </c>
      <c r="BN444" s="76">
        <f t="shared" si="97"/>
        <v>1.1688170594972416</v>
      </c>
      <c r="BO444" s="76">
        <f>0.0526*BI444*Observaciones!$F443^1.218</f>
        <v>0</v>
      </c>
      <c r="BP444" s="76">
        <f>BO444*Constantes!$F$51</f>
        <v>0</v>
      </c>
      <c r="BQ444" s="76">
        <f t="shared" si="98"/>
        <v>0</v>
      </c>
      <c r="BR444" s="40"/>
    </row>
    <row r="445" spans="2:70">
      <c r="B445" s="39"/>
      <c r="C445" s="75">
        <v>439</v>
      </c>
      <c r="D445" s="146">
        <f>ETo!$I444*((1-Constantes!$F$19)*ETo!$K444+ETo!$L444)</f>
        <v>4.1022525348964116</v>
      </c>
      <c r="E445" s="76">
        <f>MIN(D445*Constantes!$F$17,0.8*(N444+Observaciones!$F444-F445-M445-Constantes!$D$14))</f>
        <v>2.3395628533329362</v>
      </c>
      <c r="F445" s="76">
        <f>IF(Observaciones!$F444&gt;0.05*Constantes!$F$18,((Observaciones!$F444-0.05*Constantes!$F$18)^2)/(Observaciones!$F444+0.95*Constantes!$F$18),0)</f>
        <v>0</v>
      </c>
      <c r="G445" s="76">
        <f>IF(Escenarios!$F$11&gt;0,(F445*Escenarios!$F$16*10000)/1000,0)</f>
        <v>0</v>
      </c>
      <c r="H445" s="76">
        <f>IF(Escenarios!$F$11&gt;0,(Observaciones!$F444*Constantes!$F$29)/1000,0)</f>
        <v>0</v>
      </c>
      <c r="I445" s="76">
        <f>IF(Escenarios!$F$11&gt;0,(D445*Constantes!$F$29)/1000,0)</f>
        <v>0</v>
      </c>
      <c r="J445" s="76">
        <f>IF(Escenarios!$F$11&gt;0,MAX(0,G445+H445-I445),0)</f>
        <v>0</v>
      </c>
      <c r="K445" s="76">
        <f>IF(Escenarios!$F$11&gt;0,IF(J445&gt;Constantes!$F$30,1000*((J445-Constantes!$F$30)/(Escenarios!$F$16*10000)),0),F445)</f>
        <v>0</v>
      </c>
      <c r="L445" s="76">
        <f>IF(Escenarios!$F$11&gt;0,I445*1000/Escenarios!$F$16/10000+E445,E445)</f>
        <v>2.3395628533329362</v>
      </c>
      <c r="M445" s="76">
        <f>MAX(0,N444+Observaciones!$F444-K445-Constantes!$D$13)</f>
        <v>1.9416912157937389</v>
      </c>
      <c r="N445" s="76">
        <f>N444+Observaciones!$F444-K445-L445-M445-O444</f>
        <v>45.257664908465323</v>
      </c>
      <c r="O445" s="76">
        <f>MAX(0,(N445-Constantes!$D$14)*(1-EXP(-Constantes!$D$22)))</f>
        <v>1.1584259114760336</v>
      </c>
      <c r="P445" s="170">
        <f>P444+(Entradas!$F$83*M445-Q444)/(800*Entradas!$D$25)</f>
        <v>0</v>
      </c>
      <c r="Q445" s="170">
        <f>8000*Entradas!$D$26*P445/Constantes!$F$45</f>
        <v>0</v>
      </c>
      <c r="R445" s="170">
        <f>IF(Escenarios!$F$14&gt;0,K445*Escenarios!$F$13/Escenarios!$F$14,0)</f>
        <v>0</v>
      </c>
      <c r="S445" s="170">
        <f>IF(Escenarios!$F$14&gt;0,Q445*Escenarios!$F$13/Escenarios!$F$14,0)</f>
        <v>0</v>
      </c>
      <c r="T445" s="170">
        <f>IF(Escenarios!$F$14&gt;0,Observaciones!$I444,0)</f>
        <v>0</v>
      </c>
      <c r="U445" s="170">
        <f>IF(Escenarios!$F$14&gt;0,MAX(0,Constantes!$F$36/((Z444+R445+S445+T445+Observaciones!$F444)^2)+Entradas!$F$77),0)</f>
        <v>2.5100486125295003</v>
      </c>
      <c r="V445" s="146">
        <f>IF(ETo!D444&gt;0,ETo!I444*((1-Entradas!$F$81)*ETo!K444+ETo!L444),0)</f>
        <v>3.6365959534068284</v>
      </c>
      <c r="W445" s="170">
        <f>IF(Escenarios!$F$14&gt;0,MIN(V445*1,0.8*(Z444+R445+S445+T445+Observaciones!$F444-U445-Constantes!$F$35)),0)</f>
        <v>3.6365959534068284</v>
      </c>
      <c r="X445" s="170">
        <f>IF(Escenarios!$F$14&gt;0,Observaciones!$J444,0)</f>
        <v>0</v>
      </c>
      <c r="Y445" s="170">
        <f>IF(Escenarios!$F$14&gt;0,MAX(0,Z444+R445+S445+T445+Observaciones!$F444-U445-W445-X445-Constantes!$F$33),0)</f>
        <v>0</v>
      </c>
      <c r="Z445" s="170">
        <f>Z444+R445+S445+T445+Observaciones!$F444-U445-W445-Y445</f>
        <v>138.61049658225582</v>
      </c>
      <c r="AA445" s="170">
        <f>IF(Escenarios!$F$14&gt;0,(Escenarios!$F$13*L445+Escenarios!$F$14*W445)/(Escenarios!$F$16),L445)</f>
        <v>2.4952068253418034</v>
      </c>
      <c r="AB445" s="170">
        <f>IF(Escenarios!$F$14&gt;0,(Escenarios!$F$14*Y445)/(Escenarios!$F$16),K445)</f>
        <v>0</v>
      </c>
      <c r="AC445" s="170">
        <f>IF(Escenarios!$F$14&gt;0,(Escenarios!$F$13*M445+Escenarios!$F$14*U445)/(Escenarios!$F$16),M445)</f>
        <v>2.0098941034020306</v>
      </c>
      <c r="AD445" s="76">
        <f t="shared" si="85"/>
        <v>168.82837491756271</v>
      </c>
      <c r="AE445" s="76">
        <f>MAX(0,(AD445-Constantes!$D$13)*(1-EXP(-Constantes!$D$23)))</f>
        <v>1.1831608285033981</v>
      </c>
      <c r="AF445" s="76">
        <f>AB445+O445*Escenarios!$F$13/Escenarios!$F$16+AE445</f>
        <v>2.2025756306023077</v>
      </c>
      <c r="AG445" s="76">
        <f>IF(Entradas!$F$91&gt;0,IF(AF445-Escenarios!$F$38&lt;=0,0,IF(AF445-Escenarios!$F$38&gt;Escenarios!$F$37,Escenarios!$F$37,AF445-Escenarios!$F$38)),0)</f>
        <v>1.1657756306023077</v>
      </c>
      <c r="AH445" s="76">
        <f>AG445*Entradas!$F$99</f>
        <v>0</v>
      </c>
      <c r="AI445" s="76">
        <f>IF(Entradas!$F$91&gt;0,D445*Entradas!$D$23/Escenarios!$F$16,0)</f>
        <v>0.19690812167502775</v>
      </c>
      <c r="AJ445" s="76">
        <f>IF(Entradas!$F$91&gt;0,Entradas!$D$24*Entradas!$D$22/Escenarios!$F$16,0)</f>
        <v>0.12</v>
      </c>
      <c r="AK445" s="76">
        <f t="shared" si="86"/>
        <v>2.6921149470168313</v>
      </c>
      <c r="AL445" s="76">
        <f t="shared" si="87"/>
        <v>0</v>
      </c>
      <c r="AM445" s="76">
        <f t="shared" si="88"/>
        <v>1.1657756306023077</v>
      </c>
      <c r="AN445" s="76">
        <f>MAX(0,O445*Escenarios!$F$13/Escenarios!$F$16-AM445)</f>
        <v>0</v>
      </c>
      <c r="AO445" s="76">
        <f>AM445+AN445-O445*Escenarios!$F$13/Escenarios!$F$16</f>
        <v>0.14636082850339815</v>
      </c>
      <c r="AP445" s="76">
        <f t="shared" si="89"/>
        <v>1.0367999999999999</v>
      </c>
      <c r="AQ445" s="76">
        <f t="shared" si="90"/>
        <v>0</v>
      </c>
      <c r="AR445" s="76">
        <f t="shared" si="91"/>
        <v>1.0367999999999999</v>
      </c>
      <c r="AS445" s="76">
        <f t="shared" si="92"/>
        <v>0.84886750892728002</v>
      </c>
      <c r="AT445" s="76">
        <f t="shared" si="93"/>
        <v>2.8587616123293107</v>
      </c>
      <c r="AU445" s="76">
        <f t="shared" si="94"/>
        <v>58.103744503607324</v>
      </c>
      <c r="AV445" s="76">
        <f>MAX(0,(AU445-Constantes!$D$13)*(1-EXP(-Constantes!$D$24)))</f>
        <v>0.14297429572584389</v>
      </c>
      <c r="AW445" s="170">
        <f>AW444+(Entradas!$F$112*AT445-AX444)/(800*Entradas!$D$25)</f>
        <v>0</v>
      </c>
      <c r="AX445" s="170">
        <f>8000*Entradas!$D$26*AW445/Constantes!$F$45</f>
        <v>0</v>
      </c>
      <c r="AY445" s="170">
        <f>IF(Escenarios!$F$17&gt;0,10*Escenarios!$F$16*AL445,0)</f>
        <v>0</v>
      </c>
      <c r="AZ445" s="170">
        <f>IF(Escenarios!$F$17&gt;0,10*Escenarios!$F$16*AX445,0)</f>
        <v>0</v>
      </c>
      <c r="BA445" s="170">
        <f>IF(Escenarios!$F$17&gt;0,0.001*Observaciones!$F444*Escenarios!$F$17,0)</f>
        <v>0</v>
      </c>
      <c r="BB445" s="170">
        <f>IF(Escenarios!$F$17&gt;0,Observaciones!$K444,0)</f>
        <v>0</v>
      </c>
      <c r="BC445" s="170">
        <f>IF(Escenarios!$F$17&gt;0,MIN(0.0005*ETo!$M444*Escenarios!$F$17*(BG444/Constantes!$F$40)^(2/3),BG444+AY445+AZ445+BA445+BB445),0)</f>
        <v>0</v>
      </c>
      <c r="BD445" s="170">
        <f>IF(Escenarios!$F$17&gt;0,MIN(Constantes!$F$39*(BG444/Constantes!$F$40)^(2/3),BG444+AY445+AZ445+BA445+BB445-BC445),0)</f>
        <v>0</v>
      </c>
      <c r="BE445" s="170">
        <f>IF(Escenarios!$F$17&gt;0,MIN(Entradas!$F$113,BG444+AY445+AZ445+BA445+BB445-BC445-BD445),0)</f>
        <v>0</v>
      </c>
      <c r="BF445" s="170">
        <f>IF(Escenarios!$F$17&gt;0,MAX(0,BG444+AY445+AZ445+BA445+BB445-BC445-BD445-BE445-Constantes!$F$40),0)</f>
        <v>0</v>
      </c>
      <c r="BG445" s="170">
        <f t="shared" si="95"/>
        <v>0</v>
      </c>
      <c r="BH445" s="170">
        <f>(Escenarios!$F$16*AK445+0.1*BC445)/(Escenarios!$F$19)</f>
        <v>2.6921149470168313</v>
      </c>
      <c r="BI445" s="170">
        <f>IF(Escenarios!$F$17&gt;0,BF445/10/Escenarios!$F$19,AL445)</f>
        <v>0</v>
      </c>
      <c r="BJ445" s="170">
        <f>(Escenarios!$F$16*AT445+0.1*BD445)/(Escenarios!$F$19)</f>
        <v>2.8587616123293107</v>
      </c>
      <c r="BK445" s="76">
        <f>BK444+(0.1*BD445)/(Escenarios!$F$19)-BL444</f>
        <v>48.75</v>
      </c>
      <c r="BL445" s="76">
        <f>MAX(0,(BK445-Constantes!$D$13)*(1-EXP(-Constantes!$D$23)))</f>
        <v>0</v>
      </c>
      <c r="BM445" s="76">
        <f t="shared" si="96"/>
        <v>1.1797742957258439</v>
      </c>
      <c r="BN445" s="76">
        <f t="shared" si="97"/>
        <v>1.1797742957258439</v>
      </c>
      <c r="BO445" s="76">
        <f>0.0526*BI445*Observaciones!$F444^1.218</f>
        <v>0</v>
      </c>
      <c r="BP445" s="76">
        <f>BO445*Constantes!$F$51</f>
        <v>0</v>
      </c>
      <c r="BQ445" s="76">
        <f t="shared" si="98"/>
        <v>0</v>
      </c>
      <c r="BR445" s="40"/>
    </row>
    <row r="446" spans="2:70">
      <c r="B446" s="39"/>
      <c r="C446" s="75">
        <v>440</v>
      </c>
      <c r="D446" s="146">
        <f>ETo!$I445*((1-Constantes!$F$19)*ETo!$K445+ETo!$L445)</f>
        <v>4.1422568934112496</v>
      </c>
      <c r="E446" s="76">
        <f>MIN(D446*Constantes!$F$17,0.8*(N445+Observaciones!$F445-F446-M446-Constantes!$D$14))</f>
        <v>2.3623778093495558</v>
      </c>
      <c r="F446" s="76">
        <f>IF(Observaciones!$F445&gt;0.05*Constantes!$F$18,((Observaciones!$F445-0.05*Constantes!$F$18)^2)/(Observaciones!$F445+0.95*Constantes!$F$18),0)</f>
        <v>0.23643591159535299</v>
      </c>
      <c r="G446" s="76">
        <f>IF(Escenarios!$F$11&gt;0,(F446*Escenarios!$F$16*10000)/1000,0)</f>
        <v>0</v>
      </c>
      <c r="H446" s="76">
        <f>IF(Escenarios!$F$11&gt;0,(Observaciones!$F445*Constantes!$F$29)/1000,0)</f>
        <v>0</v>
      </c>
      <c r="I446" s="76">
        <f>IF(Escenarios!$F$11&gt;0,(D446*Constantes!$F$29)/1000,0)</f>
        <v>0</v>
      </c>
      <c r="J446" s="76">
        <f>IF(Escenarios!$F$11&gt;0,MAX(0,G446+H446-I446),0)</f>
        <v>0</v>
      </c>
      <c r="K446" s="76">
        <f>IF(Escenarios!$F$11&gt;0,IF(J446&gt;Constantes!$F$30,1000*((J446-Constantes!$F$30)/(Escenarios!$F$16*10000)),0),F446)</f>
        <v>0.23643591159535299</v>
      </c>
      <c r="L446" s="76">
        <f>IF(Escenarios!$F$11&gt;0,I446*1000/Escenarios!$F$16/10000+E446,E446)</f>
        <v>2.3623778093495558</v>
      </c>
      <c r="M446" s="76">
        <f>MAX(0,N445+Observaciones!$F445-K446-Constantes!$D$13)</f>
        <v>14.571228996869976</v>
      </c>
      <c r="N446" s="76">
        <f>N445+Observaciones!$F445-K446-L446-M446-O445</f>
        <v>45.229196279174417</v>
      </c>
      <c r="O446" s="76">
        <f>MAX(0,(N446-Constantes!$D$14)*(1-EXP(-Constantes!$D$22)))</f>
        <v>1.1574561654519075</v>
      </c>
      <c r="P446" s="170">
        <f>P445+(Entradas!$F$83*M446-Q445)/(800*Entradas!$D$25)</f>
        <v>0</v>
      </c>
      <c r="Q446" s="170">
        <f>8000*Entradas!$D$26*P446/Constantes!$F$45</f>
        <v>0</v>
      </c>
      <c r="R446" s="170">
        <f>IF(Escenarios!$F$14&gt;0,K446*Escenarios!$F$13/Escenarios!$F$14,0)</f>
        <v>1.7338633516992552</v>
      </c>
      <c r="S446" s="170">
        <f>IF(Escenarios!$F$14&gt;0,Q446*Escenarios!$F$13/Escenarios!$F$14,0)</f>
        <v>0</v>
      </c>
      <c r="T446" s="170">
        <f>IF(Escenarios!$F$14&gt;0,Observaciones!$I445,0)</f>
        <v>0</v>
      </c>
      <c r="U446" s="170">
        <f>IF(Escenarios!$F$14&gt;0,MAX(0,Constantes!$F$36/((Z445+R446+S446+T446+Observaciones!$F445)^2)+Entradas!$F$77),0)</f>
        <v>2.5920718148715451</v>
      </c>
      <c r="V446" s="146">
        <f>IF(ETo!D445&gt;0,ETo!I445*((1-Entradas!$F$81)*ETo!K445+ETo!L445),0)</f>
        <v>3.6723653177160824</v>
      </c>
      <c r="W446" s="170">
        <f>IF(Escenarios!$F$14&gt;0,MIN(V446*1,0.8*(Z445+R446+S446+T446+Observaciones!$F445-U446-Constantes!$F$35)),0)</f>
        <v>3.6723653177160824</v>
      </c>
      <c r="X446" s="170">
        <f>IF(Escenarios!$F$14&gt;0,Observaciones!$J445,0)</f>
        <v>0</v>
      </c>
      <c r="Y446" s="170">
        <f>IF(Escenarios!$F$14&gt;0,MAX(0,Z445+R446+S446+T446+Observaciones!$F445-U446-W446-X446-Constantes!$F$33),0)</f>
        <v>0</v>
      </c>
      <c r="Z446" s="170">
        <f>Z445+R446+S446+T446+Observaciones!$F445-U446-W446-Y446</f>
        <v>152.37992280136746</v>
      </c>
      <c r="AA446" s="170">
        <f>IF(Escenarios!$F$14&gt;0,(Escenarios!$F$13*L446+Escenarios!$F$14*W446)/(Escenarios!$F$16),L446)</f>
        <v>2.5195763103535391</v>
      </c>
      <c r="AB446" s="170">
        <f>IF(Escenarios!$F$14&gt;0,(Escenarios!$F$14*Y446)/(Escenarios!$F$16),K446)</f>
        <v>0</v>
      </c>
      <c r="AC446" s="170">
        <f>IF(Escenarios!$F$14&gt;0,(Escenarios!$F$13*M446+Escenarios!$F$14*U446)/(Escenarios!$F$16),M446)</f>
        <v>13.133730135030165</v>
      </c>
      <c r="AD446" s="76">
        <f t="shared" si="85"/>
        <v>180.77894422408949</v>
      </c>
      <c r="AE446" s="76">
        <f>MAX(0,(AD446-Constantes!$D$13)*(1-EXP(-Constantes!$D$23)))</f>
        <v>1.3009126342844526</v>
      </c>
      <c r="AF446" s="76">
        <f>AB446+O446*Escenarios!$F$13/Escenarios!$F$16+AE446</f>
        <v>2.3194740598821313</v>
      </c>
      <c r="AG446" s="76">
        <f>IF(Entradas!$F$91&gt;0,IF(AF446-Escenarios!$F$38&lt;=0,0,IF(AF446-Escenarios!$F$38&gt;Escenarios!$F$37,Escenarios!$F$37,AF446-Escenarios!$F$38)),0)</f>
        <v>1.2826740598821313</v>
      </c>
      <c r="AH446" s="76">
        <f>AG446*Entradas!$F$99</f>
        <v>0</v>
      </c>
      <c r="AI446" s="76">
        <f>IF(Entradas!$F$91&gt;0,D446*Entradas!$D$23/Escenarios!$F$16,0)</f>
        <v>0.19882833088373997</v>
      </c>
      <c r="AJ446" s="76">
        <f>IF(Entradas!$F$91&gt;0,Entradas!$D$24*Entradas!$D$22/Escenarios!$F$16,0)</f>
        <v>0.12</v>
      </c>
      <c r="AK446" s="76">
        <f t="shared" si="86"/>
        <v>2.7184046412372789</v>
      </c>
      <c r="AL446" s="76">
        <f t="shared" si="87"/>
        <v>0</v>
      </c>
      <c r="AM446" s="76">
        <f t="shared" si="88"/>
        <v>1.2826740598821313</v>
      </c>
      <c r="AN446" s="76">
        <f>MAX(0,O446*Escenarios!$F$13/Escenarios!$F$16-AM446)</f>
        <v>0</v>
      </c>
      <c r="AO446" s="76">
        <f>AM446+AN446-O446*Escenarios!$F$13/Escenarios!$F$16</f>
        <v>0.26411263428445264</v>
      </c>
      <c r="AP446" s="76">
        <f t="shared" si="89"/>
        <v>1.0367999999999999</v>
      </c>
      <c r="AQ446" s="76">
        <f t="shared" si="90"/>
        <v>0</v>
      </c>
      <c r="AR446" s="76">
        <f t="shared" si="91"/>
        <v>1.0367999999999999</v>
      </c>
      <c r="AS446" s="76">
        <f t="shared" si="92"/>
        <v>0.96384572899839138</v>
      </c>
      <c r="AT446" s="76">
        <f t="shared" si="93"/>
        <v>14.097575864028556</v>
      </c>
      <c r="AU446" s="76">
        <f t="shared" si="94"/>
        <v>58.924615936879874</v>
      </c>
      <c r="AV446" s="76">
        <f>MAX(0,(AU446-Constantes!$D$13)*(1-EXP(-Constantes!$D$24)))</f>
        <v>0.15552151839248238</v>
      </c>
      <c r="AW446" s="170">
        <f>AW445+(Entradas!$F$112*AT446-AX445)/(800*Entradas!$D$25)</f>
        <v>0</v>
      </c>
      <c r="AX446" s="170">
        <f>8000*Entradas!$D$26*AW446/Constantes!$F$45</f>
        <v>0</v>
      </c>
      <c r="AY446" s="170">
        <f>IF(Escenarios!$F$17&gt;0,10*Escenarios!$F$16*AL446,0)</f>
        <v>0</v>
      </c>
      <c r="AZ446" s="170">
        <f>IF(Escenarios!$F$17&gt;0,10*Escenarios!$F$16*AX446,0)</f>
        <v>0</v>
      </c>
      <c r="BA446" s="170">
        <f>IF(Escenarios!$F$17&gt;0,0.001*Observaciones!$F445*Escenarios!$F$17,0)</f>
        <v>0</v>
      </c>
      <c r="BB446" s="170">
        <f>IF(Escenarios!$F$17&gt;0,Observaciones!$K445,0)</f>
        <v>0</v>
      </c>
      <c r="BC446" s="170">
        <f>IF(Escenarios!$F$17&gt;0,MIN(0.0005*ETo!$M445*Escenarios!$F$17*(BG445/Constantes!$F$40)^(2/3),BG445+AY446+AZ446+BA446+BB446),0)</f>
        <v>0</v>
      </c>
      <c r="BD446" s="170">
        <f>IF(Escenarios!$F$17&gt;0,MIN(Constantes!$F$39*(BG445/Constantes!$F$40)^(2/3),BG445+AY446+AZ446+BA446+BB446-BC446),0)</f>
        <v>0</v>
      </c>
      <c r="BE446" s="170">
        <f>IF(Escenarios!$F$17&gt;0,MIN(Entradas!$F$113,BG445+AY446+AZ446+BA446+BB446-BC446-BD446),0)</f>
        <v>0</v>
      </c>
      <c r="BF446" s="170">
        <f>IF(Escenarios!$F$17&gt;0,MAX(0,BG445+AY446+AZ446+BA446+BB446-BC446-BD446-BE446-Constantes!$F$40),0)</f>
        <v>0</v>
      </c>
      <c r="BG446" s="170">
        <f t="shared" si="95"/>
        <v>0</v>
      </c>
      <c r="BH446" s="170">
        <f>(Escenarios!$F$16*AK446+0.1*BC446)/(Escenarios!$F$19)</f>
        <v>2.7184046412372789</v>
      </c>
      <c r="BI446" s="170">
        <f>IF(Escenarios!$F$17&gt;0,BF446/10/Escenarios!$F$19,AL446)</f>
        <v>0</v>
      </c>
      <c r="BJ446" s="170">
        <f>(Escenarios!$F$16*AT446+0.1*BD446)/(Escenarios!$F$19)</f>
        <v>14.097575864028556</v>
      </c>
      <c r="BK446" s="76">
        <f>BK445+(0.1*BD446)/(Escenarios!$F$19)-BL445</f>
        <v>48.75</v>
      </c>
      <c r="BL446" s="76">
        <f>MAX(0,(BK446-Constantes!$D$13)*(1-EXP(-Constantes!$D$23)))</f>
        <v>0</v>
      </c>
      <c r="BM446" s="76">
        <f t="shared" si="96"/>
        <v>1.1923215183924822</v>
      </c>
      <c r="BN446" s="76">
        <f t="shared" si="97"/>
        <v>1.1923215183924822</v>
      </c>
      <c r="BO446" s="76">
        <f>0.0526*BI446*Observaciones!$F445^1.218</f>
        <v>0</v>
      </c>
      <c r="BP446" s="76">
        <f>BO446*Constantes!$F$51</f>
        <v>0</v>
      </c>
      <c r="BQ446" s="76">
        <f t="shared" si="98"/>
        <v>0</v>
      </c>
      <c r="BR446" s="40"/>
    </row>
    <row r="447" spans="2:70">
      <c r="B447" s="39"/>
      <c r="C447" s="75">
        <v>441</v>
      </c>
      <c r="D447" s="146">
        <f>ETo!$I446*((1-Constantes!$F$19)*ETo!$K446+ETo!$L446)</f>
        <v>4.1425330393704138</v>
      </c>
      <c r="E447" s="76">
        <f>MIN(D447*Constantes!$F$17,0.8*(N446+Observaciones!$F446-F447-M447-Constantes!$D$14))</f>
        <v>2.3625352986368835</v>
      </c>
      <c r="F447" s="76">
        <f>IF(Observaciones!$F446&gt;0.05*Constantes!$F$18,((Observaciones!$F446-0.05*Constantes!$F$18)^2)/(Observaciones!$F446+0.95*Constantes!$F$18),0)</f>
        <v>0</v>
      </c>
      <c r="G447" s="76">
        <f>IF(Escenarios!$F$11&gt;0,(F447*Escenarios!$F$16*10000)/1000,0)</f>
        <v>0</v>
      </c>
      <c r="H447" s="76">
        <f>IF(Escenarios!$F$11&gt;0,(Observaciones!$F446*Constantes!$F$29)/1000,0)</f>
        <v>0</v>
      </c>
      <c r="I447" s="76">
        <f>IF(Escenarios!$F$11&gt;0,(D447*Constantes!$F$29)/1000,0)</f>
        <v>0</v>
      </c>
      <c r="J447" s="76">
        <f>IF(Escenarios!$F$11&gt;0,MAX(0,G447+H447-I447),0)</f>
        <v>0</v>
      </c>
      <c r="K447" s="76">
        <f>IF(Escenarios!$F$11&gt;0,IF(J447&gt;Constantes!$F$30,1000*((J447-Constantes!$F$30)/(Escenarios!$F$16*10000)),0),F447)</f>
        <v>0</v>
      </c>
      <c r="L447" s="76">
        <f>IF(Escenarios!$F$11&gt;0,I447*1000/Escenarios!$F$16/10000+E447,E447)</f>
        <v>2.3625352986368835</v>
      </c>
      <c r="M447" s="76">
        <f>MAX(0,N446+Observaciones!$F446-K447-Constantes!$D$13)</f>
        <v>0</v>
      </c>
      <c r="N447" s="76">
        <f>N446+Observaciones!$F446-K447-L447-M447-O446</f>
        <v>41.90920481508563</v>
      </c>
      <c r="O447" s="76">
        <f>MAX(0,(N447-Constantes!$D$14)*(1-EXP(-Constantes!$D$22)))</f>
        <v>1.0443650682468668</v>
      </c>
      <c r="P447" s="170">
        <f>P446+(Entradas!$F$83*M447-Q446)/(800*Entradas!$D$25)</f>
        <v>0</v>
      </c>
      <c r="Q447" s="170">
        <f>8000*Entradas!$D$26*P447/Constantes!$F$45</f>
        <v>0</v>
      </c>
      <c r="R447" s="170">
        <f>IF(Escenarios!$F$14&gt;0,K447*Escenarios!$F$13/Escenarios!$F$14,0)</f>
        <v>0</v>
      </c>
      <c r="S447" s="170">
        <f>IF(Escenarios!$F$14&gt;0,Q447*Escenarios!$F$13/Escenarios!$F$14,0)</f>
        <v>0</v>
      </c>
      <c r="T447" s="170">
        <f>IF(Escenarios!$F$14&gt;0,Observaciones!$I446,0)</f>
        <v>0</v>
      </c>
      <c r="U447" s="170">
        <f>IF(Escenarios!$F$14&gt;0,MAX(0,Constantes!$F$36/((Z446+R447+S447+T447+Observaciones!$F446)^2)+Entradas!$F$77),0)</f>
        <v>2.5590003901678053</v>
      </c>
      <c r="V447" s="146">
        <f>IF(ETo!D446&gt;0,ETo!I446*((1-Entradas!$F$81)*ETo!K446+ETo!L446),0)</f>
        <v>3.6724006961389901</v>
      </c>
      <c r="W447" s="170">
        <f>IF(Escenarios!$F$14&gt;0,MIN(V447*1,0.8*(Z446+R447+S447+T447+Observaciones!$F446-U447-Constantes!$F$35)),0)</f>
        <v>3.6724006961389901</v>
      </c>
      <c r="X447" s="170">
        <f>IF(Escenarios!$F$14&gt;0,Observaciones!$J446,0)</f>
        <v>0</v>
      </c>
      <c r="Y447" s="170">
        <f>IF(Escenarios!$F$14&gt;0,MAX(0,Z446+R447+S447+T447+Observaciones!$F446-U447-W447-X447-Constantes!$F$33),0)</f>
        <v>0</v>
      </c>
      <c r="Z447" s="170">
        <f>Z446+R447+S447+T447+Observaciones!$F446-U447-W447-Y447</f>
        <v>146.34852171506066</v>
      </c>
      <c r="AA447" s="170">
        <f>IF(Escenarios!$F$14&gt;0,(Escenarios!$F$13*L447+Escenarios!$F$14*W447)/(Escenarios!$F$16),L447)</f>
        <v>2.5197191463371365</v>
      </c>
      <c r="AB447" s="170">
        <f>IF(Escenarios!$F$14&gt;0,(Escenarios!$F$14*Y447)/(Escenarios!$F$16),K447)</f>
        <v>0</v>
      </c>
      <c r="AC447" s="170">
        <f>IF(Escenarios!$F$14&gt;0,(Escenarios!$F$13*M447+Escenarios!$F$14*U447)/(Escenarios!$F$16),M447)</f>
        <v>0.30708004682013668</v>
      </c>
      <c r="AD447" s="76">
        <f t="shared" si="85"/>
        <v>179.78511163662517</v>
      </c>
      <c r="AE447" s="76">
        <f>MAX(0,(AD447-Constantes!$D$13)*(1-EXP(-Constantes!$D$23)))</f>
        <v>1.2911201650876865</v>
      </c>
      <c r="AF447" s="76">
        <f>AB447+O447*Escenarios!$F$13/Escenarios!$F$16+AE447</f>
        <v>2.2101614251449293</v>
      </c>
      <c r="AG447" s="76">
        <f>IF(Entradas!$F$91&gt;0,IF(AF447-Escenarios!$F$38&lt;=0,0,IF(AF447-Escenarios!$F$38&gt;Escenarios!$F$37,Escenarios!$F$37,AF447-Escenarios!$F$38)),0)</f>
        <v>1.1733614251449294</v>
      </c>
      <c r="AH447" s="76">
        <f>AG447*Entradas!$F$99</f>
        <v>0</v>
      </c>
      <c r="AI447" s="76">
        <f>IF(Entradas!$F$91&gt;0,D447*Entradas!$D$23/Escenarios!$F$16,0)</f>
        <v>0.19884158588977988</v>
      </c>
      <c r="AJ447" s="76">
        <f>IF(Entradas!$F$91&gt;0,Entradas!$D$24*Entradas!$D$22/Escenarios!$F$16,0)</f>
        <v>0.12</v>
      </c>
      <c r="AK447" s="76">
        <f t="shared" si="86"/>
        <v>2.7185607322269165</v>
      </c>
      <c r="AL447" s="76">
        <f t="shared" si="87"/>
        <v>0</v>
      </c>
      <c r="AM447" s="76">
        <f t="shared" si="88"/>
        <v>1.1733614251449294</v>
      </c>
      <c r="AN447" s="76">
        <f>MAX(0,O447*Escenarios!$F$13/Escenarios!$F$16-AM447)</f>
        <v>0</v>
      </c>
      <c r="AO447" s="76">
        <f>AM447+AN447-O447*Escenarios!$F$13/Escenarios!$F$16</f>
        <v>0.25432016508768662</v>
      </c>
      <c r="AP447" s="76">
        <f t="shared" si="89"/>
        <v>1.0367999999999999</v>
      </c>
      <c r="AQ447" s="76">
        <f t="shared" si="90"/>
        <v>0</v>
      </c>
      <c r="AR447" s="76">
        <f t="shared" si="91"/>
        <v>1.0367999999999999</v>
      </c>
      <c r="AS447" s="76">
        <f t="shared" si="92"/>
        <v>0.85451983925514952</v>
      </c>
      <c r="AT447" s="76">
        <f t="shared" si="93"/>
        <v>1.1615998860752863</v>
      </c>
      <c r="AU447" s="76">
        <f t="shared" si="94"/>
        <v>59.623614257742538</v>
      </c>
      <c r="AV447" s="76">
        <f>MAX(0,(AU447-Constantes!$D$13)*(1-EXP(-Constantes!$D$24)))</f>
        <v>0.16620588042528592</v>
      </c>
      <c r="AW447" s="170">
        <f>AW446+(Entradas!$F$112*AT447-AX446)/(800*Entradas!$D$25)</f>
        <v>0</v>
      </c>
      <c r="AX447" s="170">
        <f>8000*Entradas!$D$26*AW447/Constantes!$F$45</f>
        <v>0</v>
      </c>
      <c r="AY447" s="170">
        <f>IF(Escenarios!$F$17&gt;0,10*Escenarios!$F$16*AL447,0)</f>
        <v>0</v>
      </c>
      <c r="AZ447" s="170">
        <f>IF(Escenarios!$F$17&gt;0,10*Escenarios!$F$16*AX447,0)</f>
        <v>0</v>
      </c>
      <c r="BA447" s="170">
        <f>IF(Escenarios!$F$17&gt;0,0.001*Observaciones!$F446*Escenarios!$F$17,0)</f>
        <v>0</v>
      </c>
      <c r="BB447" s="170">
        <f>IF(Escenarios!$F$17&gt;0,Observaciones!$K446,0)</f>
        <v>0</v>
      </c>
      <c r="BC447" s="170">
        <f>IF(Escenarios!$F$17&gt;0,MIN(0.0005*ETo!$M446*Escenarios!$F$17*(BG446/Constantes!$F$40)^(2/3),BG446+AY447+AZ447+BA447+BB447),0)</f>
        <v>0</v>
      </c>
      <c r="BD447" s="170">
        <f>IF(Escenarios!$F$17&gt;0,MIN(Constantes!$F$39*(BG446/Constantes!$F$40)^(2/3),BG446+AY447+AZ447+BA447+BB447-BC447),0)</f>
        <v>0</v>
      </c>
      <c r="BE447" s="170">
        <f>IF(Escenarios!$F$17&gt;0,MIN(Entradas!$F$113,BG446+AY447+AZ447+BA447+BB447-BC447-BD447),0)</f>
        <v>0</v>
      </c>
      <c r="BF447" s="170">
        <f>IF(Escenarios!$F$17&gt;0,MAX(0,BG446+AY447+AZ447+BA447+BB447-BC447-BD447-BE447-Constantes!$F$40),0)</f>
        <v>0</v>
      </c>
      <c r="BG447" s="170">
        <f t="shared" si="95"/>
        <v>0</v>
      </c>
      <c r="BH447" s="170">
        <f>(Escenarios!$F$16*AK447+0.1*BC447)/(Escenarios!$F$19)</f>
        <v>2.7185607322269165</v>
      </c>
      <c r="BI447" s="170">
        <f>IF(Escenarios!$F$17&gt;0,BF447/10/Escenarios!$F$19,AL447)</f>
        <v>0</v>
      </c>
      <c r="BJ447" s="170">
        <f>(Escenarios!$F$16*AT447+0.1*BD447)/(Escenarios!$F$19)</f>
        <v>1.1615998860752863</v>
      </c>
      <c r="BK447" s="76">
        <f>BK446+(0.1*BD447)/(Escenarios!$F$19)-BL446</f>
        <v>48.75</v>
      </c>
      <c r="BL447" s="76">
        <f>MAX(0,(BK447-Constantes!$D$13)*(1-EXP(-Constantes!$D$23)))</f>
        <v>0</v>
      </c>
      <c r="BM447" s="76">
        <f t="shared" si="96"/>
        <v>1.2030058804252859</v>
      </c>
      <c r="BN447" s="76">
        <f t="shared" si="97"/>
        <v>1.2030058804252859</v>
      </c>
      <c r="BO447" s="76">
        <f>0.0526*BI447*Observaciones!$F446^1.218</f>
        <v>0</v>
      </c>
      <c r="BP447" s="76">
        <f>BO447*Constantes!$F$51</f>
        <v>0</v>
      </c>
      <c r="BQ447" s="76">
        <f t="shared" si="98"/>
        <v>0</v>
      </c>
      <c r="BR447" s="40"/>
    </row>
    <row r="448" spans="2:70">
      <c r="B448" s="39"/>
      <c r="C448" s="75">
        <v>442</v>
      </c>
      <c r="D448" s="146">
        <f>ETo!$I447*((1-Constantes!$F$19)*ETo!$K447+ETo!$L447)</f>
        <v>4.2597172301233401</v>
      </c>
      <c r="E448" s="76">
        <f>MIN(D448*Constantes!$F$17,0.8*(N447+Observaciones!$F447-F448-M448-Constantes!$D$14))</f>
        <v>2.4293668204291787</v>
      </c>
      <c r="F448" s="76">
        <f>IF(Observaciones!$F447&gt;0.05*Constantes!$F$18,((Observaciones!$F447-0.05*Constantes!$F$18)^2)/(Observaciones!$F447+0.95*Constantes!$F$18),0)</f>
        <v>0</v>
      </c>
      <c r="G448" s="76">
        <f>IF(Escenarios!$F$11&gt;0,(F448*Escenarios!$F$16*10000)/1000,0)</f>
        <v>0</v>
      </c>
      <c r="H448" s="76">
        <f>IF(Escenarios!$F$11&gt;0,(Observaciones!$F447*Constantes!$F$29)/1000,0)</f>
        <v>0</v>
      </c>
      <c r="I448" s="76">
        <f>IF(Escenarios!$F$11&gt;0,(D448*Constantes!$F$29)/1000,0)</f>
        <v>0</v>
      </c>
      <c r="J448" s="76">
        <f>IF(Escenarios!$F$11&gt;0,MAX(0,G448+H448-I448),0)</f>
        <v>0</v>
      </c>
      <c r="K448" s="76">
        <f>IF(Escenarios!$F$11&gt;0,IF(J448&gt;Constantes!$F$30,1000*((J448-Constantes!$F$30)/(Escenarios!$F$16*10000)),0),F448)</f>
        <v>0</v>
      </c>
      <c r="L448" s="76">
        <f>IF(Escenarios!$F$11&gt;0,I448*1000/Escenarios!$F$16/10000+E448,E448)</f>
        <v>2.4293668204291787</v>
      </c>
      <c r="M448" s="76">
        <f>MAX(0,N447+Observaciones!$F447-K448-Constantes!$D$13)</f>
        <v>0</v>
      </c>
      <c r="N448" s="76">
        <f>N447+Observaciones!$F447-K448-L448-M448-O447</f>
        <v>40.635472926409584</v>
      </c>
      <c r="O448" s="76">
        <f>MAX(0,(N448-Constantes!$D$14)*(1-EXP(-Constantes!$D$22)))</f>
        <v>1.000977084153071</v>
      </c>
      <c r="P448" s="170">
        <f>P447+(Entradas!$F$83*M448-Q447)/(800*Entradas!$D$25)</f>
        <v>0</v>
      </c>
      <c r="Q448" s="170">
        <f>8000*Entradas!$D$26*P448/Constantes!$F$45</f>
        <v>0</v>
      </c>
      <c r="R448" s="170">
        <f>IF(Escenarios!$F$14&gt;0,K448*Escenarios!$F$13/Escenarios!$F$14,0)</f>
        <v>0</v>
      </c>
      <c r="S448" s="170">
        <f>IF(Escenarios!$F$14&gt;0,Q448*Escenarios!$F$13/Escenarios!$F$14,0)</f>
        <v>0</v>
      </c>
      <c r="T448" s="170">
        <f>IF(Escenarios!$F$14&gt;0,Observaciones!$I447,0)</f>
        <v>0</v>
      </c>
      <c r="U448" s="170">
        <f>IF(Escenarios!$F$14&gt;0,MAX(0,Constantes!$F$36/((Z447+R448+S448+T448+Observaciones!$F447)^2)+Entradas!$F$77),0)</f>
        <v>2.5347393550766397</v>
      </c>
      <c r="V448" s="146">
        <f>IF(ETo!D447&gt;0,ETo!I447*((1-Entradas!$F$81)*ETo!K447+ETo!L447),0)</f>
        <v>3.777996795305866</v>
      </c>
      <c r="W448" s="170">
        <f>IF(Escenarios!$F$14&gt;0,MIN(V448*1,0.8*(Z447+R448+S448+T448+Observaciones!$F447-U448-Constantes!$F$35)),0)</f>
        <v>3.777996795305866</v>
      </c>
      <c r="X448" s="170">
        <f>IF(Escenarios!$F$14&gt;0,Observaciones!$J447,0)</f>
        <v>0</v>
      </c>
      <c r="Y448" s="170">
        <f>IF(Escenarios!$F$14&gt;0,MAX(0,Z447+R448+S448+T448+Observaciones!$F447-U448-W448-X448-Constantes!$F$33),0)</f>
        <v>0</v>
      </c>
      <c r="Z448" s="170">
        <f>Z447+R448+S448+T448+Observaciones!$F447-U448-W448-Y448</f>
        <v>142.23578556467814</v>
      </c>
      <c r="AA448" s="170">
        <f>IF(Escenarios!$F$14&gt;0,(Escenarios!$F$13*L448+Escenarios!$F$14*W448)/(Escenarios!$F$16),L448)</f>
        <v>2.5912024174143813</v>
      </c>
      <c r="AB448" s="170">
        <f>IF(Escenarios!$F$14&gt;0,(Escenarios!$F$14*Y448)/(Escenarios!$F$16),K448)</f>
        <v>0</v>
      </c>
      <c r="AC448" s="170">
        <f>IF(Escenarios!$F$14&gt;0,(Escenarios!$F$13*M448+Escenarios!$F$14*U448)/(Escenarios!$F$16),M448)</f>
        <v>0.30416872260919675</v>
      </c>
      <c r="AD448" s="76">
        <f t="shared" si="85"/>
        <v>178.7981601941467</v>
      </c>
      <c r="AE448" s="76">
        <f>MAX(0,(AD448-Constantes!$D$13)*(1-EXP(-Constantes!$D$23)))</f>
        <v>1.281395497451427</v>
      </c>
      <c r="AF448" s="76">
        <f>AB448+O448*Escenarios!$F$13/Escenarios!$F$16+AE448</f>
        <v>2.1622553315061293</v>
      </c>
      <c r="AG448" s="76">
        <f>IF(Entradas!$F$91&gt;0,IF(AF448-Escenarios!$F$38&lt;=0,0,IF(AF448-Escenarios!$F$38&gt;Escenarios!$F$37,Escenarios!$F$37,AF448-Escenarios!$F$38)),0)</f>
        <v>1.1254553315061293</v>
      </c>
      <c r="AH448" s="76">
        <f>AG448*Entradas!$F$99</f>
        <v>0</v>
      </c>
      <c r="AI448" s="76">
        <f>IF(Entradas!$F$91&gt;0,D448*Entradas!$D$23/Escenarios!$F$16,0)</f>
        <v>0.20446642704592033</v>
      </c>
      <c r="AJ448" s="76">
        <f>IF(Entradas!$F$91&gt;0,Entradas!$D$24*Entradas!$D$22/Escenarios!$F$16,0)</f>
        <v>0.12</v>
      </c>
      <c r="AK448" s="76">
        <f t="shared" si="86"/>
        <v>2.7956688444603017</v>
      </c>
      <c r="AL448" s="76">
        <f t="shared" si="87"/>
        <v>0</v>
      </c>
      <c r="AM448" s="76">
        <f t="shared" si="88"/>
        <v>1.1254553315061293</v>
      </c>
      <c r="AN448" s="76">
        <f>MAX(0,O448*Escenarios!$F$13/Escenarios!$F$16-AM448)</f>
        <v>0</v>
      </c>
      <c r="AO448" s="76">
        <f>AM448+AN448-O448*Escenarios!$F$13/Escenarios!$F$16</f>
        <v>0.24459549745142684</v>
      </c>
      <c r="AP448" s="76">
        <f t="shared" si="89"/>
        <v>1.0368000000000002</v>
      </c>
      <c r="AQ448" s="76">
        <f t="shared" si="90"/>
        <v>0</v>
      </c>
      <c r="AR448" s="76">
        <f t="shared" si="91"/>
        <v>1.0368000000000002</v>
      </c>
      <c r="AS448" s="76">
        <f t="shared" si="92"/>
        <v>0.80098890446020898</v>
      </c>
      <c r="AT448" s="76">
        <f t="shared" si="93"/>
        <v>1.1051576270694057</v>
      </c>
      <c r="AU448" s="76">
        <f t="shared" si="94"/>
        <v>60.258397281777462</v>
      </c>
      <c r="AV448" s="76">
        <f>MAX(0,(AU448-Constantes!$D$13)*(1-EXP(-Constantes!$D$24)))</f>
        <v>0.17590869578068863</v>
      </c>
      <c r="AW448" s="170">
        <f>AW447+(Entradas!$F$112*AT448-AX447)/(800*Entradas!$D$25)</f>
        <v>0</v>
      </c>
      <c r="AX448" s="170">
        <f>8000*Entradas!$D$26*AW448/Constantes!$F$45</f>
        <v>0</v>
      </c>
      <c r="AY448" s="170">
        <f>IF(Escenarios!$F$17&gt;0,10*Escenarios!$F$16*AL448,0)</f>
        <v>0</v>
      </c>
      <c r="AZ448" s="170">
        <f>IF(Escenarios!$F$17&gt;0,10*Escenarios!$F$16*AX448,0)</f>
        <v>0</v>
      </c>
      <c r="BA448" s="170">
        <f>IF(Escenarios!$F$17&gt;0,0.001*Observaciones!$F447*Escenarios!$F$17,0)</f>
        <v>0</v>
      </c>
      <c r="BB448" s="170">
        <f>IF(Escenarios!$F$17&gt;0,Observaciones!$K447,0)</f>
        <v>0</v>
      </c>
      <c r="BC448" s="170">
        <f>IF(Escenarios!$F$17&gt;0,MIN(0.0005*ETo!$M447*Escenarios!$F$17*(BG447/Constantes!$F$40)^(2/3),BG447+AY448+AZ448+BA448+BB448),0)</f>
        <v>0</v>
      </c>
      <c r="BD448" s="170">
        <f>IF(Escenarios!$F$17&gt;0,MIN(Constantes!$F$39*(BG447/Constantes!$F$40)^(2/3),BG447+AY448+AZ448+BA448+BB448-BC448),0)</f>
        <v>0</v>
      </c>
      <c r="BE448" s="170">
        <f>IF(Escenarios!$F$17&gt;0,MIN(Entradas!$F$113,BG447+AY448+AZ448+BA448+BB448-BC448-BD448),0)</f>
        <v>0</v>
      </c>
      <c r="BF448" s="170">
        <f>IF(Escenarios!$F$17&gt;0,MAX(0,BG447+AY448+AZ448+BA448+BB448-BC448-BD448-BE448-Constantes!$F$40),0)</f>
        <v>0</v>
      </c>
      <c r="BG448" s="170">
        <f t="shared" si="95"/>
        <v>0</v>
      </c>
      <c r="BH448" s="170">
        <f>(Escenarios!$F$16*AK448+0.1*BC448)/(Escenarios!$F$19)</f>
        <v>2.7956688444603017</v>
      </c>
      <c r="BI448" s="170">
        <f>IF(Escenarios!$F$17&gt;0,BF448/10/Escenarios!$F$19,AL448)</f>
        <v>0</v>
      </c>
      <c r="BJ448" s="170">
        <f>(Escenarios!$F$16*AT448+0.1*BD448)/(Escenarios!$F$19)</f>
        <v>1.1051576270694057</v>
      </c>
      <c r="BK448" s="76">
        <f>BK447+(0.1*BD448)/(Escenarios!$F$19)-BL447</f>
        <v>48.75</v>
      </c>
      <c r="BL448" s="76">
        <f>MAX(0,(BK448-Constantes!$D$13)*(1-EXP(-Constantes!$D$23)))</f>
        <v>0</v>
      </c>
      <c r="BM448" s="76">
        <f t="shared" si="96"/>
        <v>1.2127086957806887</v>
      </c>
      <c r="BN448" s="76">
        <f t="shared" si="97"/>
        <v>1.2127086957806887</v>
      </c>
      <c r="BO448" s="76">
        <f>0.0526*BI448*Observaciones!$F447^1.218</f>
        <v>0</v>
      </c>
      <c r="BP448" s="76">
        <f>BO448*Constantes!$F$51</f>
        <v>0</v>
      </c>
      <c r="BQ448" s="76">
        <f t="shared" si="98"/>
        <v>0</v>
      </c>
      <c r="BR448" s="40"/>
    </row>
    <row r="449" spans="2:70">
      <c r="B449" s="39"/>
      <c r="C449" s="75">
        <v>443</v>
      </c>
      <c r="D449" s="146">
        <f>ETo!$I448*((1-Constantes!$F$19)*ETo!$K448+ETo!$L448)</f>
        <v>4.2980234038231977</v>
      </c>
      <c r="E449" s="76">
        <f>MIN(D449*Constantes!$F$17,0.8*(N448+Observaciones!$F448-F449-M449-Constantes!$D$14))</f>
        <v>2.4512132816792218</v>
      </c>
      <c r="F449" s="76">
        <f>IF(Observaciones!$F448&gt;0.05*Constantes!$F$18,((Observaciones!$F448-0.05*Constantes!$F$18)^2)/(Observaciones!$F448+0.95*Constantes!$F$18),0)</f>
        <v>0</v>
      </c>
      <c r="G449" s="76">
        <f>IF(Escenarios!$F$11&gt;0,(F449*Escenarios!$F$16*10000)/1000,0)</f>
        <v>0</v>
      </c>
      <c r="H449" s="76">
        <f>IF(Escenarios!$F$11&gt;0,(Observaciones!$F448*Constantes!$F$29)/1000,0)</f>
        <v>0</v>
      </c>
      <c r="I449" s="76">
        <f>IF(Escenarios!$F$11&gt;0,(D449*Constantes!$F$29)/1000,0)</f>
        <v>0</v>
      </c>
      <c r="J449" s="76">
        <f>IF(Escenarios!$F$11&gt;0,MAX(0,G449+H449-I449),0)</f>
        <v>0</v>
      </c>
      <c r="K449" s="76">
        <f>IF(Escenarios!$F$11&gt;0,IF(J449&gt;Constantes!$F$30,1000*((J449-Constantes!$F$30)/(Escenarios!$F$16*10000)),0),F449)</f>
        <v>0</v>
      </c>
      <c r="L449" s="76">
        <f>IF(Escenarios!$F$11&gt;0,I449*1000/Escenarios!$F$16/10000+E449,E449)</f>
        <v>2.4512132816792218</v>
      </c>
      <c r="M449" s="76">
        <f>MAX(0,N448+Observaciones!$F448-K449-Constantes!$D$13)</f>
        <v>0</v>
      </c>
      <c r="N449" s="76">
        <f>N448+Observaciones!$F448-K449-L449-M449-O448</f>
        <v>37.383282560577292</v>
      </c>
      <c r="O449" s="76">
        <f>MAX(0,(N449-Constantes!$D$14)*(1-EXP(-Constantes!$D$22)))</f>
        <v>0.89019554125757361</v>
      </c>
      <c r="P449" s="170">
        <f>P448+(Entradas!$F$83*M449-Q448)/(800*Entradas!$D$25)</f>
        <v>0</v>
      </c>
      <c r="Q449" s="170">
        <f>8000*Entradas!$D$26*P449/Constantes!$F$45</f>
        <v>0</v>
      </c>
      <c r="R449" s="170">
        <f>IF(Escenarios!$F$14&gt;0,K449*Escenarios!$F$13/Escenarios!$F$14,0)</f>
        <v>0</v>
      </c>
      <c r="S449" s="170">
        <f>IF(Escenarios!$F$14&gt;0,Q449*Escenarios!$F$13/Escenarios!$F$14,0)</f>
        <v>0</v>
      </c>
      <c r="T449" s="170">
        <f>IF(Escenarios!$F$14&gt;0,Observaciones!$I448,0)</f>
        <v>0</v>
      </c>
      <c r="U449" s="170">
        <f>IF(Escenarios!$F$14&gt;0,MAX(0,Constantes!$F$36/((Z448+R449+S449+T449+Observaciones!$F448)^2)+Entradas!$F$77),0)</f>
        <v>2.4939484532900158</v>
      </c>
      <c r="V449" s="146">
        <f>IF(ETo!D448&gt;0,ETo!I448*((1-Entradas!$F$81)*ETo!K448+ETo!L448),0)</f>
        <v>3.8125282748707705</v>
      </c>
      <c r="W449" s="170">
        <f>IF(Escenarios!$F$14&gt;0,MIN(V449*1,0.8*(Z448+R449+S449+T449+Observaciones!$F448-U449-Constantes!$F$35)),0)</f>
        <v>3.8125282748707705</v>
      </c>
      <c r="X449" s="170">
        <f>IF(Escenarios!$F$14&gt;0,Observaciones!$J448,0)</f>
        <v>0</v>
      </c>
      <c r="Y449" s="170">
        <f>IF(Escenarios!$F$14&gt;0,MAX(0,Z448+R449+S449+T449+Observaciones!$F448-U449-W449-X449-Constantes!$F$33),0)</f>
        <v>0</v>
      </c>
      <c r="Z449" s="170">
        <f>Z448+R449+S449+T449+Observaciones!$F448-U449-W449-Y449</f>
        <v>136.12930883651734</v>
      </c>
      <c r="AA449" s="170">
        <f>IF(Escenarios!$F$14&gt;0,(Escenarios!$F$13*L449+Escenarios!$F$14*W449)/(Escenarios!$F$16),L449)</f>
        <v>2.6145710808622078</v>
      </c>
      <c r="AB449" s="170">
        <f>IF(Escenarios!$F$14&gt;0,(Escenarios!$F$14*Y449)/(Escenarios!$F$16),K449)</f>
        <v>0</v>
      </c>
      <c r="AC449" s="170">
        <f>IF(Escenarios!$F$14&gt;0,(Escenarios!$F$13*M449+Escenarios!$F$14*U449)/(Escenarios!$F$16),M449)</f>
        <v>0.29927381439480188</v>
      </c>
      <c r="AD449" s="76">
        <f t="shared" si="85"/>
        <v>177.81603851109008</v>
      </c>
      <c r="AE449" s="76">
        <f>MAX(0,(AD449-Constantes!$D$13)*(1-EXP(-Constantes!$D$23)))</f>
        <v>1.2717184185851103</v>
      </c>
      <c r="AF449" s="76">
        <f>AB449+O449*Escenarios!$F$13/Escenarios!$F$16+AE449</f>
        <v>2.055090494891775</v>
      </c>
      <c r="AG449" s="76">
        <f>IF(Entradas!$F$91&gt;0,IF(AF449-Escenarios!$F$38&lt;=0,0,IF(AF449-Escenarios!$F$38&gt;Escenarios!$F$37,Escenarios!$F$37,AF449-Escenarios!$F$38)),0)</f>
        <v>1.018290494891775</v>
      </c>
      <c r="AH449" s="76">
        <f>AG449*Entradas!$F$99</f>
        <v>0</v>
      </c>
      <c r="AI449" s="76">
        <f>IF(Entradas!$F$91&gt;0,D449*Entradas!$D$23/Escenarios!$F$16,0)</f>
        <v>0.20630512338351348</v>
      </c>
      <c r="AJ449" s="76">
        <f>IF(Entradas!$F$91&gt;0,Entradas!$D$24*Entradas!$D$22/Escenarios!$F$16,0)</f>
        <v>0.12</v>
      </c>
      <c r="AK449" s="76">
        <f t="shared" si="86"/>
        <v>2.8208762042457214</v>
      </c>
      <c r="AL449" s="76">
        <f t="shared" si="87"/>
        <v>0</v>
      </c>
      <c r="AM449" s="76">
        <f t="shared" si="88"/>
        <v>1.018290494891775</v>
      </c>
      <c r="AN449" s="76">
        <f>MAX(0,O449*Escenarios!$F$13/Escenarios!$F$16-AM449)</f>
        <v>0</v>
      </c>
      <c r="AO449" s="76">
        <f>AM449+AN449-O449*Escenarios!$F$13/Escenarios!$F$16</f>
        <v>0.2349184185851102</v>
      </c>
      <c r="AP449" s="76">
        <f t="shared" si="89"/>
        <v>1.0367999999999999</v>
      </c>
      <c r="AQ449" s="76">
        <f t="shared" si="90"/>
        <v>0</v>
      </c>
      <c r="AR449" s="76">
        <f t="shared" si="91"/>
        <v>1.0367999999999999</v>
      </c>
      <c r="AS449" s="76">
        <f t="shared" si="92"/>
        <v>0.69198537150826156</v>
      </c>
      <c r="AT449" s="76">
        <f t="shared" si="93"/>
        <v>0.9912591859030635</v>
      </c>
      <c r="AU449" s="76">
        <f t="shared" si="94"/>
        <v>60.77447395750503</v>
      </c>
      <c r="AV449" s="76">
        <f>MAX(0,(AU449-Constantes!$D$13)*(1-EXP(-Constantes!$D$24)))</f>
        <v>0.18379705527396192</v>
      </c>
      <c r="AW449" s="170">
        <f>AW448+(Entradas!$F$112*AT449-AX448)/(800*Entradas!$D$25)</f>
        <v>0</v>
      </c>
      <c r="AX449" s="170">
        <f>8000*Entradas!$D$26*AW449/Constantes!$F$45</f>
        <v>0</v>
      </c>
      <c r="AY449" s="170">
        <f>IF(Escenarios!$F$17&gt;0,10*Escenarios!$F$16*AL449,0)</f>
        <v>0</v>
      </c>
      <c r="AZ449" s="170">
        <f>IF(Escenarios!$F$17&gt;0,10*Escenarios!$F$16*AX449,0)</f>
        <v>0</v>
      </c>
      <c r="BA449" s="170">
        <f>IF(Escenarios!$F$17&gt;0,0.001*Observaciones!$F448*Escenarios!$F$17,0)</f>
        <v>0</v>
      </c>
      <c r="BB449" s="170">
        <f>IF(Escenarios!$F$17&gt;0,Observaciones!$K448,0)</f>
        <v>0</v>
      </c>
      <c r="BC449" s="170">
        <f>IF(Escenarios!$F$17&gt;0,MIN(0.0005*ETo!$M448*Escenarios!$F$17*(BG448/Constantes!$F$40)^(2/3),BG448+AY449+AZ449+BA449+BB449),0)</f>
        <v>0</v>
      </c>
      <c r="BD449" s="170">
        <f>IF(Escenarios!$F$17&gt;0,MIN(Constantes!$F$39*(BG448/Constantes!$F$40)^(2/3),BG448+AY449+AZ449+BA449+BB449-BC449),0)</f>
        <v>0</v>
      </c>
      <c r="BE449" s="170">
        <f>IF(Escenarios!$F$17&gt;0,MIN(Entradas!$F$113,BG448+AY449+AZ449+BA449+BB449-BC449-BD449),0)</f>
        <v>0</v>
      </c>
      <c r="BF449" s="170">
        <f>IF(Escenarios!$F$17&gt;0,MAX(0,BG448+AY449+AZ449+BA449+BB449-BC449-BD449-BE449-Constantes!$F$40),0)</f>
        <v>0</v>
      </c>
      <c r="BG449" s="170">
        <f t="shared" si="95"/>
        <v>0</v>
      </c>
      <c r="BH449" s="170">
        <f>(Escenarios!$F$16*AK449+0.1*BC449)/(Escenarios!$F$19)</f>
        <v>2.8208762042457214</v>
      </c>
      <c r="BI449" s="170">
        <f>IF(Escenarios!$F$17&gt;0,BF449/10/Escenarios!$F$19,AL449)</f>
        <v>0</v>
      </c>
      <c r="BJ449" s="170">
        <f>(Escenarios!$F$16*AT449+0.1*BD449)/(Escenarios!$F$19)</f>
        <v>0.9912591859030635</v>
      </c>
      <c r="BK449" s="76">
        <f>BK448+(0.1*BD449)/(Escenarios!$F$19)-BL448</f>
        <v>48.75</v>
      </c>
      <c r="BL449" s="76">
        <f>MAX(0,(BK449-Constantes!$D$13)*(1-EXP(-Constantes!$D$23)))</f>
        <v>0</v>
      </c>
      <c r="BM449" s="76">
        <f t="shared" si="96"/>
        <v>1.2205970552739618</v>
      </c>
      <c r="BN449" s="76">
        <f t="shared" si="97"/>
        <v>1.2205970552739618</v>
      </c>
      <c r="BO449" s="76">
        <f>0.0526*BI449*Observaciones!$F448^1.218</f>
        <v>0</v>
      </c>
      <c r="BP449" s="76">
        <f>BO449*Constantes!$F$51</f>
        <v>0</v>
      </c>
      <c r="BQ449" s="76">
        <f t="shared" si="98"/>
        <v>0</v>
      </c>
      <c r="BR449" s="40"/>
    </row>
    <row r="450" spans="2:70">
      <c r="B450" s="39"/>
      <c r="C450" s="75">
        <v>444</v>
      </c>
      <c r="D450" s="146">
        <f>ETo!$I449*((1-Constantes!$F$19)*ETo!$K449+ETo!$L449)</f>
        <v>4.2103726849550913</v>
      </c>
      <c r="E450" s="76">
        <f>MIN(D450*Constantes!$F$17,0.8*(N449+Observaciones!$F449-F450-M450-Constantes!$D$14))</f>
        <v>2.4012250461458557</v>
      </c>
      <c r="F450" s="76">
        <f>IF(Observaciones!$F449&gt;0.05*Constantes!$F$18,((Observaciones!$F449-0.05*Constantes!$F$18)^2)/(Observaciones!$F449+0.95*Constantes!$F$18),0)</f>
        <v>0</v>
      </c>
      <c r="G450" s="76">
        <f>IF(Escenarios!$F$11&gt;0,(F450*Escenarios!$F$16*10000)/1000,0)</f>
        <v>0</v>
      </c>
      <c r="H450" s="76">
        <f>IF(Escenarios!$F$11&gt;0,(Observaciones!$F449*Constantes!$F$29)/1000,0)</f>
        <v>0</v>
      </c>
      <c r="I450" s="76">
        <f>IF(Escenarios!$F$11&gt;0,(D450*Constantes!$F$29)/1000,0)</f>
        <v>0</v>
      </c>
      <c r="J450" s="76">
        <f>IF(Escenarios!$F$11&gt;0,MAX(0,G450+H450-I450),0)</f>
        <v>0</v>
      </c>
      <c r="K450" s="76">
        <f>IF(Escenarios!$F$11&gt;0,IF(J450&gt;Constantes!$F$30,1000*((J450-Constantes!$F$30)/(Escenarios!$F$16*10000)),0),F450)</f>
        <v>0</v>
      </c>
      <c r="L450" s="76">
        <f>IF(Escenarios!$F$11&gt;0,I450*1000/Escenarios!$F$16/10000+E450,E450)</f>
        <v>2.4012250461458557</v>
      </c>
      <c r="M450" s="76">
        <f>MAX(0,N449+Observaciones!$F449-K450-Constantes!$D$13)</f>
        <v>0</v>
      </c>
      <c r="N450" s="76">
        <f>N449+Observaciones!$F449-K450-L450-M450-O449</f>
        <v>37.691861973173864</v>
      </c>
      <c r="O450" s="76">
        <f>MAX(0,(N450-Constantes!$D$14)*(1-EXP(-Constantes!$D$22)))</f>
        <v>0.90070688886882766</v>
      </c>
      <c r="P450" s="170">
        <f>P449+(Entradas!$F$83*M450-Q449)/(800*Entradas!$D$25)</f>
        <v>0</v>
      </c>
      <c r="Q450" s="170">
        <f>8000*Entradas!$D$26*P450/Constantes!$F$45</f>
        <v>0</v>
      </c>
      <c r="R450" s="170">
        <f>IF(Escenarios!$F$14&gt;0,K450*Escenarios!$F$13/Escenarios!$F$14,0)</f>
        <v>0</v>
      </c>
      <c r="S450" s="170">
        <f>IF(Escenarios!$F$14&gt;0,Q450*Escenarios!$F$13/Escenarios!$F$14,0)</f>
        <v>0</v>
      </c>
      <c r="T450" s="170">
        <f>IF(Escenarios!$F$14&gt;0,Observaciones!$I449,0)</f>
        <v>0</v>
      </c>
      <c r="U450" s="170">
        <f>IF(Escenarios!$F$14&gt;0,MAX(0,Constantes!$F$36/((Z449+R450+S450+T450+Observaciones!$F449)^2)+Entradas!$F$77),0)</f>
        <v>2.4741547379698829</v>
      </c>
      <c r="V450" s="146">
        <f>IF(ETo!D449&gt;0,ETo!I449*((1-Entradas!$F$81)*ETo!K449+ETo!L449),0)</f>
        <v>3.7330143003015346</v>
      </c>
      <c r="W450" s="170">
        <f>IF(Escenarios!$F$14&gt;0,MIN(V450*1,0.8*(Z449+R450+S450+T450+Observaciones!$F449-U450-Constantes!$F$35)),0)</f>
        <v>3.7330143003015346</v>
      </c>
      <c r="X450" s="170">
        <f>IF(Escenarios!$F$14&gt;0,Observaciones!$J449,0)</f>
        <v>0</v>
      </c>
      <c r="Y450" s="170">
        <f>IF(Escenarios!$F$14&gt;0,MAX(0,Z449+R450+S450+T450+Observaciones!$F449-U450-W450-X450-Constantes!$F$33),0)</f>
        <v>0</v>
      </c>
      <c r="Z450" s="170">
        <f>Z449+R450+S450+T450+Observaciones!$F449-U450-W450-Y450</f>
        <v>133.52213979824592</v>
      </c>
      <c r="AA450" s="170">
        <f>IF(Escenarios!$F$14&gt;0,(Escenarios!$F$13*L450+Escenarios!$F$14*W450)/(Escenarios!$F$16),L450)</f>
        <v>2.5610397566445373</v>
      </c>
      <c r="AB450" s="170">
        <f>IF(Escenarios!$F$14&gt;0,(Escenarios!$F$14*Y450)/(Escenarios!$F$16),K450)</f>
        <v>0</v>
      </c>
      <c r="AC450" s="170">
        <f>IF(Escenarios!$F$14&gt;0,(Escenarios!$F$13*M450+Escenarios!$F$14*U450)/(Escenarios!$F$16),M450)</f>
        <v>0.29689856855638597</v>
      </c>
      <c r="AD450" s="76">
        <f t="shared" si="85"/>
        <v>176.84121866106133</v>
      </c>
      <c r="AE450" s="76">
        <f>MAX(0,(AD450-Constantes!$D$13)*(1-EXP(-Constantes!$D$23)))</f>
        <v>1.2621132864187781</v>
      </c>
      <c r="AF450" s="76">
        <f>AB450+O450*Escenarios!$F$13/Escenarios!$F$16+AE450</f>
        <v>2.0547353486233462</v>
      </c>
      <c r="AG450" s="76">
        <f>IF(Entradas!$F$91&gt;0,IF(AF450-Escenarios!$F$38&lt;=0,0,IF(AF450-Escenarios!$F$38&gt;Escenarios!$F$37,Escenarios!$F$37,AF450-Escenarios!$F$38)),0)</f>
        <v>1.0179353486233462</v>
      </c>
      <c r="AH450" s="76">
        <f>AG450*Entradas!$F$99</f>
        <v>0</v>
      </c>
      <c r="AI450" s="76">
        <f>IF(Entradas!$F$91&gt;0,D450*Entradas!$D$23/Escenarios!$F$16,0)</f>
        <v>0.20209788887784438</v>
      </c>
      <c r="AJ450" s="76">
        <f>IF(Entradas!$F$91&gt;0,Entradas!$D$24*Entradas!$D$22/Escenarios!$F$16,0)</f>
        <v>0.12</v>
      </c>
      <c r="AK450" s="76">
        <f t="shared" si="86"/>
        <v>2.7631376455223817</v>
      </c>
      <c r="AL450" s="76">
        <f t="shared" si="87"/>
        <v>0</v>
      </c>
      <c r="AM450" s="76">
        <f t="shared" si="88"/>
        <v>1.0179353486233462</v>
      </c>
      <c r="AN450" s="76">
        <f>MAX(0,O450*Escenarios!$F$13/Escenarios!$F$16-AM450)</f>
        <v>0</v>
      </c>
      <c r="AO450" s="76">
        <f>AM450+AN450-O450*Escenarios!$F$13/Escenarios!$F$16</f>
        <v>0.2253132864187779</v>
      </c>
      <c r="AP450" s="76">
        <f t="shared" si="89"/>
        <v>1.0368000000000002</v>
      </c>
      <c r="AQ450" s="76">
        <f t="shared" si="90"/>
        <v>0</v>
      </c>
      <c r="AR450" s="76">
        <f t="shared" si="91"/>
        <v>1.0368000000000002</v>
      </c>
      <c r="AS450" s="76">
        <f t="shared" si="92"/>
        <v>0.69583745974550182</v>
      </c>
      <c r="AT450" s="76">
        <f t="shared" si="93"/>
        <v>0.99273602830188779</v>
      </c>
      <c r="AU450" s="76">
        <f t="shared" si="94"/>
        <v>61.286514361976572</v>
      </c>
      <c r="AV450" s="76">
        <f>MAX(0,(AU450-Constantes!$D$13)*(1-EXP(-Constantes!$D$24)))</f>
        <v>0.19162371936386319</v>
      </c>
      <c r="AW450" s="170">
        <f>AW449+(Entradas!$F$112*AT450-AX449)/(800*Entradas!$D$25)</f>
        <v>0</v>
      </c>
      <c r="AX450" s="170">
        <f>8000*Entradas!$D$26*AW450/Constantes!$F$45</f>
        <v>0</v>
      </c>
      <c r="AY450" s="170">
        <f>IF(Escenarios!$F$17&gt;0,10*Escenarios!$F$16*AL450,0)</f>
        <v>0</v>
      </c>
      <c r="AZ450" s="170">
        <f>IF(Escenarios!$F$17&gt;0,10*Escenarios!$F$16*AX450,0)</f>
        <v>0</v>
      </c>
      <c r="BA450" s="170">
        <f>IF(Escenarios!$F$17&gt;0,0.001*Observaciones!$F449*Escenarios!$F$17,0)</f>
        <v>0</v>
      </c>
      <c r="BB450" s="170">
        <f>IF(Escenarios!$F$17&gt;0,Observaciones!$K449,0)</f>
        <v>0</v>
      </c>
      <c r="BC450" s="170">
        <f>IF(Escenarios!$F$17&gt;0,MIN(0.0005*ETo!$M449*Escenarios!$F$17*(BG449/Constantes!$F$40)^(2/3),BG449+AY450+AZ450+BA450+BB450),0)</f>
        <v>0</v>
      </c>
      <c r="BD450" s="170">
        <f>IF(Escenarios!$F$17&gt;0,MIN(Constantes!$F$39*(BG449/Constantes!$F$40)^(2/3),BG449+AY450+AZ450+BA450+BB450-BC450),0)</f>
        <v>0</v>
      </c>
      <c r="BE450" s="170">
        <f>IF(Escenarios!$F$17&gt;0,MIN(Entradas!$F$113,BG449+AY450+AZ450+BA450+BB450-BC450-BD450),0)</f>
        <v>0</v>
      </c>
      <c r="BF450" s="170">
        <f>IF(Escenarios!$F$17&gt;0,MAX(0,BG449+AY450+AZ450+BA450+BB450-BC450-BD450-BE450-Constantes!$F$40),0)</f>
        <v>0</v>
      </c>
      <c r="BG450" s="170">
        <f t="shared" si="95"/>
        <v>0</v>
      </c>
      <c r="BH450" s="170">
        <f>(Escenarios!$F$16*AK450+0.1*BC450)/(Escenarios!$F$19)</f>
        <v>2.7631376455223817</v>
      </c>
      <c r="BI450" s="170">
        <f>IF(Escenarios!$F$17&gt;0,BF450/10/Escenarios!$F$19,AL450)</f>
        <v>0</v>
      </c>
      <c r="BJ450" s="170">
        <f>(Escenarios!$F$16*AT450+0.1*BD450)/(Escenarios!$F$19)</f>
        <v>0.99273602830188779</v>
      </c>
      <c r="BK450" s="76">
        <f>BK449+(0.1*BD450)/(Escenarios!$F$19)-BL449</f>
        <v>48.75</v>
      </c>
      <c r="BL450" s="76">
        <f>MAX(0,(BK450-Constantes!$D$13)*(1-EXP(-Constantes!$D$23)))</f>
        <v>0</v>
      </c>
      <c r="BM450" s="76">
        <f t="shared" si="96"/>
        <v>1.2284237193638634</v>
      </c>
      <c r="BN450" s="76">
        <f t="shared" si="97"/>
        <v>1.2284237193638634</v>
      </c>
      <c r="BO450" s="76">
        <f>0.0526*BI450*Observaciones!$F449^1.218</f>
        <v>0</v>
      </c>
      <c r="BP450" s="76">
        <f>BO450*Constantes!$F$51</f>
        <v>0</v>
      </c>
      <c r="BQ450" s="76">
        <f t="shared" si="98"/>
        <v>0</v>
      </c>
      <c r="BR450" s="40"/>
    </row>
    <row r="451" spans="2:70">
      <c r="B451" s="39"/>
      <c r="C451" s="75">
        <v>445</v>
      </c>
      <c r="D451" s="146">
        <f>ETo!$I450*((1-Constantes!$F$19)*ETo!$K450+ETo!$L450)</f>
        <v>4.0584078735620768</v>
      </c>
      <c r="E451" s="76">
        <f>MIN(D451*Constantes!$F$17,0.8*(N450+Observaciones!$F450-F451-M451-Constantes!$D$14))</f>
        <v>2.3145577274655782</v>
      </c>
      <c r="F451" s="76">
        <f>IF(Observaciones!$F450&gt;0.05*Constantes!$F$18,((Observaciones!$F450-0.05*Constantes!$F$18)^2)/(Observaciones!$F450+0.95*Constantes!$F$18),0)</f>
        <v>0</v>
      </c>
      <c r="G451" s="76">
        <f>IF(Escenarios!$F$11&gt;0,(F451*Escenarios!$F$16*10000)/1000,0)</f>
        <v>0</v>
      </c>
      <c r="H451" s="76">
        <f>IF(Escenarios!$F$11&gt;0,(Observaciones!$F450*Constantes!$F$29)/1000,0)</f>
        <v>0</v>
      </c>
      <c r="I451" s="76">
        <f>IF(Escenarios!$F$11&gt;0,(D451*Constantes!$F$29)/1000,0)</f>
        <v>0</v>
      </c>
      <c r="J451" s="76">
        <f>IF(Escenarios!$F$11&gt;0,MAX(0,G451+H451-I451),0)</f>
        <v>0</v>
      </c>
      <c r="K451" s="76">
        <f>IF(Escenarios!$F$11&gt;0,IF(J451&gt;Constantes!$F$30,1000*((J451-Constantes!$F$30)/(Escenarios!$F$16*10000)),0),F451)</f>
        <v>0</v>
      </c>
      <c r="L451" s="76">
        <f>IF(Escenarios!$F$11&gt;0,I451*1000/Escenarios!$F$16/10000+E451,E451)</f>
        <v>2.3145577274655782</v>
      </c>
      <c r="M451" s="76">
        <f>MAX(0,N450+Observaciones!$F450-K451-Constantes!$D$13)</f>
        <v>0</v>
      </c>
      <c r="N451" s="76">
        <f>N450+Observaciones!$F450-K451-L451-M451-O450</f>
        <v>34.476597356839463</v>
      </c>
      <c r="O451" s="76">
        <f>MAX(0,(N451-Constantes!$D$14)*(1-EXP(-Constantes!$D$22)))</f>
        <v>0.79118317255843007</v>
      </c>
      <c r="P451" s="170">
        <f>P450+(Entradas!$F$83*M451-Q450)/(800*Entradas!$D$25)</f>
        <v>0</v>
      </c>
      <c r="Q451" s="170">
        <f>8000*Entradas!$D$26*P451/Constantes!$F$45</f>
        <v>0</v>
      </c>
      <c r="R451" s="170">
        <f>IF(Escenarios!$F$14&gt;0,K451*Escenarios!$F$13/Escenarios!$F$14,0)</f>
        <v>0</v>
      </c>
      <c r="S451" s="170">
        <f>IF(Escenarios!$F$14&gt;0,Q451*Escenarios!$F$13/Escenarios!$F$14,0)</f>
        <v>0</v>
      </c>
      <c r="T451" s="170">
        <f>IF(Escenarios!$F$14&gt;0,Observaciones!$I450,0)</f>
        <v>0</v>
      </c>
      <c r="U451" s="170">
        <f>IF(Escenarios!$F$14&gt;0,MAX(0,Constantes!$F$36/((Z450+R451+S451+T451+Observaciones!$F450)^2)+Entradas!$F$77),0)</f>
        <v>2.4241273942997346</v>
      </c>
      <c r="V451" s="146">
        <f>IF(ETo!D450&gt;0,ETo!I450*((1-Entradas!$F$81)*ETo!K450+ETo!L450),0)</f>
        <v>3.5957558916423906</v>
      </c>
      <c r="W451" s="170">
        <f>IF(Escenarios!$F$14&gt;0,MIN(V451*1,0.8*(Z450+R451+S451+T451+Observaciones!$F450-U451-Constantes!$F$35)),0)</f>
        <v>3.5957558916423906</v>
      </c>
      <c r="X451" s="170">
        <f>IF(Escenarios!$F$14&gt;0,Observaciones!$J450,0)</f>
        <v>0</v>
      </c>
      <c r="Y451" s="170">
        <f>IF(Escenarios!$F$14&gt;0,MAX(0,Z450+R451+S451+T451+Observaciones!$F450-U451-W451-X451-Constantes!$F$33),0)</f>
        <v>0</v>
      </c>
      <c r="Z451" s="170">
        <f>Z450+R451+S451+T451+Observaciones!$F450-U451-W451-Y451</f>
        <v>127.50225651230377</v>
      </c>
      <c r="AA451" s="170">
        <f>IF(Escenarios!$F$14&gt;0,(Escenarios!$F$13*L451+Escenarios!$F$14*W451)/(Escenarios!$F$16),L451)</f>
        <v>2.4683015071667955</v>
      </c>
      <c r="AB451" s="170">
        <f>IF(Escenarios!$F$14&gt;0,(Escenarios!$F$14*Y451)/(Escenarios!$F$16),K451)</f>
        <v>0</v>
      </c>
      <c r="AC451" s="170">
        <f>IF(Escenarios!$F$14&gt;0,(Escenarios!$F$13*M451+Escenarios!$F$14*U451)/(Escenarios!$F$16),M451)</f>
        <v>0.2908952873159682</v>
      </c>
      <c r="AD451" s="76">
        <f t="shared" si="85"/>
        <v>175.87000066195853</v>
      </c>
      <c r="AE451" s="76">
        <f>MAX(0,(AD451-Constantes!$D$13)*(1-EXP(-Constantes!$D$23)))</f>
        <v>1.2525436441475133</v>
      </c>
      <c r="AF451" s="76">
        <f>AB451+O451*Escenarios!$F$13/Escenarios!$F$16+AE451</f>
        <v>1.9487848359989317</v>
      </c>
      <c r="AG451" s="76">
        <f>IF(Entradas!$F$91&gt;0,IF(AF451-Escenarios!$F$38&lt;=0,0,IF(AF451-Escenarios!$F$38&gt;Escenarios!$F$37,Escenarios!$F$37,AF451-Escenarios!$F$38)),0)</f>
        <v>0.91198483599893176</v>
      </c>
      <c r="AH451" s="76">
        <f>AG451*Entradas!$F$99</f>
        <v>0</v>
      </c>
      <c r="AI451" s="76">
        <f>IF(Entradas!$F$91&gt;0,D451*Entradas!$D$23/Escenarios!$F$16,0)</f>
        <v>0.19480357793097969</v>
      </c>
      <c r="AJ451" s="76">
        <f>IF(Entradas!$F$91&gt;0,Entradas!$D$24*Entradas!$D$22/Escenarios!$F$16,0)</f>
        <v>0.12</v>
      </c>
      <c r="AK451" s="76">
        <f t="shared" si="86"/>
        <v>2.6631050850977753</v>
      </c>
      <c r="AL451" s="76">
        <f t="shared" si="87"/>
        <v>0</v>
      </c>
      <c r="AM451" s="76">
        <f t="shared" si="88"/>
        <v>0.91198483599893176</v>
      </c>
      <c r="AN451" s="76">
        <f>MAX(0,O451*Escenarios!$F$13/Escenarios!$F$16-AM451)</f>
        <v>0</v>
      </c>
      <c r="AO451" s="76">
        <f>AM451+AN451-O451*Escenarios!$F$13/Escenarios!$F$16</f>
        <v>0.21574364414751335</v>
      </c>
      <c r="AP451" s="76">
        <f t="shared" si="89"/>
        <v>1.0367999999999999</v>
      </c>
      <c r="AQ451" s="76">
        <f t="shared" si="90"/>
        <v>0</v>
      </c>
      <c r="AR451" s="76">
        <f t="shared" si="91"/>
        <v>1.0367999999999999</v>
      </c>
      <c r="AS451" s="76">
        <f t="shared" si="92"/>
        <v>0.59718125806795208</v>
      </c>
      <c r="AT451" s="76">
        <f t="shared" si="93"/>
        <v>0.88807654538392033</v>
      </c>
      <c r="AU451" s="76">
        <f t="shared" si="94"/>
        <v>61.692071900680666</v>
      </c>
      <c r="AV451" s="76">
        <f>MAX(0,(AU451-Constantes!$D$13)*(1-EXP(-Constantes!$D$24)))</f>
        <v>0.19782276654225925</v>
      </c>
      <c r="AW451" s="170">
        <f>AW450+(Entradas!$F$112*AT451-AX450)/(800*Entradas!$D$25)</f>
        <v>0</v>
      </c>
      <c r="AX451" s="170">
        <f>8000*Entradas!$D$26*AW451/Constantes!$F$45</f>
        <v>0</v>
      </c>
      <c r="AY451" s="170">
        <f>IF(Escenarios!$F$17&gt;0,10*Escenarios!$F$16*AL451,0)</f>
        <v>0</v>
      </c>
      <c r="AZ451" s="170">
        <f>IF(Escenarios!$F$17&gt;0,10*Escenarios!$F$16*AX451,0)</f>
        <v>0</v>
      </c>
      <c r="BA451" s="170">
        <f>IF(Escenarios!$F$17&gt;0,0.001*Observaciones!$F450*Escenarios!$F$17,0)</f>
        <v>0</v>
      </c>
      <c r="BB451" s="170">
        <f>IF(Escenarios!$F$17&gt;0,Observaciones!$K450,0)</f>
        <v>0</v>
      </c>
      <c r="BC451" s="170">
        <f>IF(Escenarios!$F$17&gt;0,MIN(0.0005*ETo!$M450*Escenarios!$F$17*(BG450/Constantes!$F$40)^(2/3),BG450+AY451+AZ451+BA451+BB451),0)</f>
        <v>0</v>
      </c>
      <c r="BD451" s="170">
        <f>IF(Escenarios!$F$17&gt;0,MIN(Constantes!$F$39*(BG450/Constantes!$F$40)^(2/3),BG450+AY451+AZ451+BA451+BB451-BC451),0)</f>
        <v>0</v>
      </c>
      <c r="BE451" s="170">
        <f>IF(Escenarios!$F$17&gt;0,MIN(Entradas!$F$113,BG450+AY451+AZ451+BA451+BB451-BC451-BD451),0)</f>
        <v>0</v>
      </c>
      <c r="BF451" s="170">
        <f>IF(Escenarios!$F$17&gt;0,MAX(0,BG450+AY451+AZ451+BA451+BB451-BC451-BD451-BE451-Constantes!$F$40),0)</f>
        <v>0</v>
      </c>
      <c r="BG451" s="170">
        <f t="shared" si="95"/>
        <v>0</v>
      </c>
      <c r="BH451" s="170">
        <f>(Escenarios!$F$16*AK451+0.1*BC451)/(Escenarios!$F$19)</f>
        <v>2.6631050850977753</v>
      </c>
      <c r="BI451" s="170">
        <f>IF(Escenarios!$F$17&gt;0,BF451/10/Escenarios!$F$19,AL451)</f>
        <v>0</v>
      </c>
      <c r="BJ451" s="170">
        <f>(Escenarios!$F$16*AT451+0.1*BD451)/(Escenarios!$F$19)</f>
        <v>0.88807654538392033</v>
      </c>
      <c r="BK451" s="76">
        <f>BK450+(0.1*BD451)/(Escenarios!$F$19)-BL450</f>
        <v>48.75</v>
      </c>
      <c r="BL451" s="76">
        <f>MAX(0,(BK451-Constantes!$D$13)*(1-EXP(-Constantes!$D$23)))</f>
        <v>0</v>
      </c>
      <c r="BM451" s="76">
        <f t="shared" si="96"/>
        <v>1.2346227665422591</v>
      </c>
      <c r="BN451" s="76">
        <f t="shared" si="97"/>
        <v>1.2346227665422591</v>
      </c>
      <c r="BO451" s="76">
        <f>0.0526*BI451*Observaciones!$F450^1.218</f>
        <v>0</v>
      </c>
      <c r="BP451" s="76">
        <f>BO451*Constantes!$F$51</f>
        <v>0</v>
      </c>
      <c r="BQ451" s="76">
        <f t="shared" si="98"/>
        <v>0</v>
      </c>
      <c r="BR451" s="40"/>
    </row>
    <row r="452" spans="2:70">
      <c r="B452" s="39"/>
      <c r="C452" s="75">
        <v>446</v>
      </c>
      <c r="D452" s="146">
        <f>ETo!$I451*((1-Constantes!$F$19)*ETo!$K451+ETo!$L451)</f>
        <v>4.0614812654930956</v>
      </c>
      <c r="E452" s="76">
        <f>MIN(D452*Constantes!$F$17,0.8*(N451+Observaciones!$F451-F452-M452-Constantes!$D$14))</f>
        <v>2.316310519019579</v>
      </c>
      <c r="F452" s="76">
        <f>IF(Observaciones!$F451&gt;0.05*Constantes!$F$18,((Observaciones!$F451-0.05*Constantes!$F$18)^2)/(Observaciones!$F451+0.95*Constantes!$F$18),0)</f>
        <v>0</v>
      </c>
      <c r="G452" s="76">
        <f>IF(Escenarios!$F$11&gt;0,(F452*Escenarios!$F$16*10000)/1000,0)</f>
        <v>0</v>
      </c>
      <c r="H452" s="76">
        <f>IF(Escenarios!$F$11&gt;0,(Observaciones!$F451*Constantes!$F$29)/1000,0)</f>
        <v>0</v>
      </c>
      <c r="I452" s="76">
        <f>IF(Escenarios!$F$11&gt;0,(D452*Constantes!$F$29)/1000,0)</f>
        <v>0</v>
      </c>
      <c r="J452" s="76">
        <f>IF(Escenarios!$F$11&gt;0,MAX(0,G452+H452-I452),0)</f>
        <v>0</v>
      </c>
      <c r="K452" s="76">
        <f>IF(Escenarios!$F$11&gt;0,IF(J452&gt;Constantes!$F$30,1000*((J452-Constantes!$F$30)/(Escenarios!$F$16*10000)),0),F452)</f>
        <v>0</v>
      </c>
      <c r="L452" s="76">
        <f>IF(Escenarios!$F$11&gt;0,I452*1000/Escenarios!$F$16/10000+E452,E452)</f>
        <v>2.316310519019579</v>
      </c>
      <c r="M452" s="76">
        <f>MAX(0,N451+Observaciones!$F451-K452-Constantes!$D$13)</f>
        <v>0</v>
      </c>
      <c r="N452" s="76">
        <f>N451+Observaciones!$F451-K452-L452-M452-O451</f>
        <v>33.069103665261451</v>
      </c>
      <c r="O452" s="76">
        <f>MAX(0,(N452-Constantes!$D$14)*(1-EXP(-Constantes!$D$22)))</f>
        <v>0.74323877040816189</v>
      </c>
      <c r="P452" s="170">
        <f>P451+(Entradas!$F$83*M452-Q451)/(800*Entradas!$D$25)</f>
        <v>0</v>
      </c>
      <c r="Q452" s="170">
        <f>8000*Entradas!$D$26*P452/Constantes!$F$45</f>
        <v>0</v>
      </c>
      <c r="R452" s="170">
        <f>IF(Escenarios!$F$14&gt;0,K452*Escenarios!$F$13/Escenarios!$F$14,0)</f>
        <v>0</v>
      </c>
      <c r="S452" s="170">
        <f>IF(Escenarios!$F$14&gt;0,Q452*Escenarios!$F$13/Escenarios!$F$14,0)</f>
        <v>0</v>
      </c>
      <c r="T452" s="170">
        <f>IF(Escenarios!$F$14&gt;0,Observaciones!$I451,0)</f>
        <v>0</v>
      </c>
      <c r="U452" s="170">
        <f>IF(Escenarios!$F$14&gt;0,MAX(0,Constantes!$F$36/((Z451+R452+S452+T452+Observaciones!$F451)^2)+Entradas!$F$77),0)</f>
        <v>2.3849749718219755</v>
      </c>
      <c r="V452" s="146">
        <f>IF(ETo!D451&gt;0,ETo!I451*((1-Entradas!$F$81)*ETo!K451+ETo!L451),0)</f>
        <v>3.5982762299672593</v>
      </c>
      <c r="W452" s="170">
        <f>IF(Escenarios!$F$14&gt;0,MIN(V452*1,0.8*(Z451+R452+S452+T452+Observaciones!$F451-U452-Constantes!$F$35)),0)</f>
        <v>3.5982762299672593</v>
      </c>
      <c r="X452" s="170">
        <f>IF(Escenarios!$F$14&gt;0,Observaciones!$J451,0)</f>
        <v>0</v>
      </c>
      <c r="Y452" s="170">
        <f>IF(Escenarios!$F$14&gt;0,MAX(0,Z451+R452+S452+T452+Observaciones!$F451-U452-W452-X452-Constantes!$F$33),0)</f>
        <v>0</v>
      </c>
      <c r="Z452" s="170">
        <f>Z451+R452+S452+T452+Observaciones!$F451-U452-W452-Y452</f>
        <v>123.21900531051453</v>
      </c>
      <c r="AA452" s="170">
        <f>IF(Escenarios!$F$14&gt;0,(Escenarios!$F$13*L452+Escenarios!$F$14*W452)/(Escenarios!$F$16),L452)</f>
        <v>2.4701464043333008</v>
      </c>
      <c r="AB452" s="170">
        <f>IF(Escenarios!$F$14&gt;0,(Escenarios!$F$14*Y452)/(Escenarios!$F$16),K452)</f>
        <v>0</v>
      </c>
      <c r="AC452" s="170">
        <f>IF(Escenarios!$F$14&gt;0,(Escenarios!$F$13*M452+Escenarios!$F$14*U452)/(Escenarios!$F$16),M452)</f>
        <v>0.28619699661863707</v>
      </c>
      <c r="AD452" s="76">
        <f t="shared" si="85"/>
        <v>174.90365401442963</v>
      </c>
      <c r="AE452" s="76">
        <f>MAX(0,(AD452-Constantes!$D$13)*(1-EXP(-Constantes!$D$23)))</f>
        <v>1.2430220004635717</v>
      </c>
      <c r="AF452" s="76">
        <f>AB452+O452*Escenarios!$F$13/Escenarios!$F$16+AE452</f>
        <v>1.8970721184227541</v>
      </c>
      <c r="AG452" s="76">
        <f>IF(Entradas!$F$91&gt;0,IF(AF452-Escenarios!$F$38&lt;=0,0,IF(AF452-Escenarios!$F$38&gt;Escenarios!$F$37,Escenarios!$F$37,AF452-Escenarios!$F$38)),0)</f>
        <v>0.8602721184227542</v>
      </c>
      <c r="AH452" s="76">
        <f>AG452*Entradas!$F$99</f>
        <v>0</v>
      </c>
      <c r="AI452" s="76">
        <f>IF(Entradas!$F$91&gt;0,D452*Entradas!$D$23/Escenarios!$F$16,0)</f>
        <v>0.19495110074366859</v>
      </c>
      <c r="AJ452" s="76">
        <f>IF(Entradas!$F$91&gt;0,Entradas!$D$24*Entradas!$D$22/Escenarios!$F$16,0)</f>
        <v>0.12</v>
      </c>
      <c r="AK452" s="76">
        <f t="shared" si="86"/>
        <v>2.6650975050769694</v>
      </c>
      <c r="AL452" s="76">
        <f t="shared" si="87"/>
        <v>0</v>
      </c>
      <c r="AM452" s="76">
        <f t="shared" si="88"/>
        <v>0.8602721184227542</v>
      </c>
      <c r="AN452" s="76">
        <f>MAX(0,O452*Escenarios!$F$13/Escenarios!$F$16-AM452)</f>
        <v>0</v>
      </c>
      <c r="AO452" s="76">
        <f>AM452+AN452-O452*Escenarios!$F$13/Escenarios!$F$16</f>
        <v>0.20622200046357175</v>
      </c>
      <c r="AP452" s="76">
        <f t="shared" si="89"/>
        <v>1.0367999999999999</v>
      </c>
      <c r="AQ452" s="76">
        <f t="shared" si="90"/>
        <v>0</v>
      </c>
      <c r="AR452" s="76">
        <f t="shared" si="91"/>
        <v>1.0367999999999999</v>
      </c>
      <c r="AS452" s="76">
        <f t="shared" si="92"/>
        <v>0.54532101767908558</v>
      </c>
      <c r="AT452" s="76">
        <f t="shared" si="93"/>
        <v>0.83151801429772265</v>
      </c>
      <c r="AU452" s="76">
        <f t="shared" si="94"/>
        <v>62.039570151817493</v>
      </c>
      <c r="AV452" s="76">
        <f>MAX(0,(AU452-Constantes!$D$13)*(1-EXP(-Constantes!$D$24)))</f>
        <v>0.20313436316573871</v>
      </c>
      <c r="AW452" s="170">
        <f>AW451+(Entradas!$F$112*AT452-AX451)/(800*Entradas!$D$25)</f>
        <v>0</v>
      </c>
      <c r="AX452" s="170">
        <f>8000*Entradas!$D$26*AW452/Constantes!$F$45</f>
        <v>0</v>
      </c>
      <c r="AY452" s="170">
        <f>IF(Escenarios!$F$17&gt;0,10*Escenarios!$F$16*AL452,0)</f>
        <v>0</v>
      </c>
      <c r="AZ452" s="170">
        <f>IF(Escenarios!$F$17&gt;0,10*Escenarios!$F$16*AX452,0)</f>
        <v>0</v>
      </c>
      <c r="BA452" s="170">
        <f>IF(Escenarios!$F$17&gt;0,0.001*Observaciones!$F451*Escenarios!$F$17,0)</f>
        <v>0</v>
      </c>
      <c r="BB452" s="170">
        <f>IF(Escenarios!$F$17&gt;0,Observaciones!$K451,0)</f>
        <v>0</v>
      </c>
      <c r="BC452" s="170">
        <f>IF(Escenarios!$F$17&gt;0,MIN(0.0005*ETo!$M451*Escenarios!$F$17*(BG451/Constantes!$F$40)^(2/3),BG451+AY452+AZ452+BA452+BB452),0)</f>
        <v>0</v>
      </c>
      <c r="BD452" s="170">
        <f>IF(Escenarios!$F$17&gt;0,MIN(Constantes!$F$39*(BG451/Constantes!$F$40)^(2/3),BG451+AY452+AZ452+BA452+BB452-BC452),0)</f>
        <v>0</v>
      </c>
      <c r="BE452" s="170">
        <f>IF(Escenarios!$F$17&gt;0,MIN(Entradas!$F$113,BG451+AY452+AZ452+BA452+BB452-BC452-BD452),0)</f>
        <v>0</v>
      </c>
      <c r="BF452" s="170">
        <f>IF(Escenarios!$F$17&gt;0,MAX(0,BG451+AY452+AZ452+BA452+BB452-BC452-BD452-BE452-Constantes!$F$40),0)</f>
        <v>0</v>
      </c>
      <c r="BG452" s="170">
        <f t="shared" si="95"/>
        <v>0</v>
      </c>
      <c r="BH452" s="170">
        <f>(Escenarios!$F$16*AK452+0.1*BC452)/(Escenarios!$F$19)</f>
        <v>2.6650975050769694</v>
      </c>
      <c r="BI452" s="170">
        <f>IF(Escenarios!$F$17&gt;0,BF452/10/Escenarios!$F$19,AL452)</f>
        <v>0</v>
      </c>
      <c r="BJ452" s="170">
        <f>(Escenarios!$F$16*AT452+0.1*BD452)/(Escenarios!$F$19)</f>
        <v>0.83151801429772265</v>
      </c>
      <c r="BK452" s="76">
        <f>BK451+(0.1*BD452)/(Escenarios!$F$19)-BL451</f>
        <v>48.75</v>
      </c>
      <c r="BL452" s="76">
        <f>MAX(0,(BK452-Constantes!$D$13)*(1-EXP(-Constantes!$D$23)))</f>
        <v>0</v>
      </c>
      <c r="BM452" s="76">
        <f t="shared" si="96"/>
        <v>1.2399343631657387</v>
      </c>
      <c r="BN452" s="76">
        <f t="shared" si="97"/>
        <v>1.2399343631657387</v>
      </c>
      <c r="BO452" s="76">
        <f>0.0526*BI452*Observaciones!$F451^1.218</f>
        <v>0</v>
      </c>
      <c r="BP452" s="76">
        <f>BO452*Constantes!$F$51</f>
        <v>0</v>
      </c>
      <c r="BQ452" s="76">
        <f t="shared" si="98"/>
        <v>0</v>
      </c>
      <c r="BR452" s="40"/>
    </row>
    <row r="453" spans="2:70">
      <c r="B453" s="39"/>
      <c r="C453" s="75">
        <v>447</v>
      </c>
      <c r="D453" s="146">
        <f>ETo!$I452*((1-Constantes!$F$19)*ETo!$K452+ETo!$L452)</f>
        <v>3.9145780251248028</v>
      </c>
      <c r="E453" s="76">
        <f>MIN(D453*Constantes!$F$17,0.8*(N452+Observaciones!$F452-F453-M453-Constantes!$D$14))</f>
        <v>2.2325298738066741</v>
      </c>
      <c r="F453" s="76">
        <f>IF(Observaciones!$F452&gt;0.05*Constantes!$F$18,((Observaciones!$F452-0.05*Constantes!$F$18)^2)/(Observaciones!$F452+0.95*Constantes!$F$18),0)</f>
        <v>0</v>
      </c>
      <c r="G453" s="76">
        <f>IF(Escenarios!$F$11&gt;0,(F453*Escenarios!$F$16*10000)/1000,0)</f>
        <v>0</v>
      </c>
      <c r="H453" s="76">
        <f>IF(Escenarios!$F$11&gt;0,(Observaciones!$F452*Constantes!$F$29)/1000,0)</f>
        <v>0</v>
      </c>
      <c r="I453" s="76">
        <f>IF(Escenarios!$F$11&gt;0,(D453*Constantes!$F$29)/1000,0)</f>
        <v>0</v>
      </c>
      <c r="J453" s="76">
        <f>IF(Escenarios!$F$11&gt;0,MAX(0,G453+H453-I453),0)</f>
        <v>0</v>
      </c>
      <c r="K453" s="76">
        <f>IF(Escenarios!$F$11&gt;0,IF(J453&gt;Constantes!$F$30,1000*((J453-Constantes!$F$30)/(Escenarios!$F$16*10000)),0),F453)</f>
        <v>0</v>
      </c>
      <c r="L453" s="76">
        <f>IF(Escenarios!$F$11&gt;0,I453*1000/Escenarios!$F$16/10000+E453,E453)</f>
        <v>2.2325298738066741</v>
      </c>
      <c r="M453" s="76">
        <f>MAX(0,N452+Observaciones!$F452-K453-Constantes!$D$13)</f>
        <v>0</v>
      </c>
      <c r="N453" s="76">
        <f>N452+Observaciones!$F452-K453-L453-M453-O452</f>
        <v>32.39333502104661</v>
      </c>
      <c r="O453" s="76">
        <f>MAX(0,(N453-Constantes!$D$14)*(1-EXP(-Constantes!$D$22)))</f>
        <v>0.72021960958872444</v>
      </c>
      <c r="P453" s="170">
        <f>P452+(Entradas!$F$83*M453-Q452)/(800*Entradas!$D$25)</f>
        <v>0</v>
      </c>
      <c r="Q453" s="170">
        <f>8000*Entradas!$D$26*P453/Constantes!$F$45</f>
        <v>0</v>
      </c>
      <c r="R453" s="170">
        <f>IF(Escenarios!$F$14&gt;0,K453*Escenarios!$F$13/Escenarios!$F$14,0)</f>
        <v>0</v>
      </c>
      <c r="S453" s="170">
        <f>IF(Escenarios!$F$14&gt;0,Q453*Escenarios!$F$13/Escenarios!$F$14,0)</f>
        <v>0</v>
      </c>
      <c r="T453" s="170">
        <f>IF(Escenarios!$F$14&gt;0,Observaciones!$I452,0)</f>
        <v>0</v>
      </c>
      <c r="U453" s="170">
        <f>IF(Escenarios!$F$14&gt;0,MAX(0,Constantes!$F$36/((Z452+R453+S453+T453+Observaciones!$F452)^2)+Entradas!$F$77),0)</f>
        <v>2.3483505861837406</v>
      </c>
      <c r="V453" s="146">
        <f>IF(ETo!D452&gt;0,ETo!I452*((1-Entradas!$F$81)*ETo!K452+ETo!L452),0)</f>
        <v>3.4660856626286272</v>
      </c>
      <c r="W453" s="170">
        <f>IF(Escenarios!$F$14&gt;0,MIN(V453*1,0.8*(Z452+R453+S453+T453+Observaciones!$F452-U453-Constantes!$F$35)),0)</f>
        <v>3.4660856626286272</v>
      </c>
      <c r="X453" s="170">
        <f>IF(Escenarios!$F$14&gt;0,Observaciones!$J452,0)</f>
        <v>0</v>
      </c>
      <c r="Y453" s="170">
        <f>IF(Escenarios!$F$14&gt;0,MAX(0,Z452+R453+S453+T453+Observaciones!$F452-U453-W453-X453-Constantes!$F$33),0)</f>
        <v>0</v>
      </c>
      <c r="Z453" s="170">
        <f>Z452+R453+S453+T453+Observaciones!$F452-U453-W453-Y453</f>
        <v>119.70456906170216</v>
      </c>
      <c r="AA453" s="170">
        <f>IF(Escenarios!$F$14&gt;0,(Escenarios!$F$13*L453+Escenarios!$F$14*W453)/(Escenarios!$F$16),L453)</f>
        <v>2.3805565684653085</v>
      </c>
      <c r="AB453" s="170">
        <f>IF(Escenarios!$F$14&gt;0,(Escenarios!$F$14*Y453)/(Escenarios!$F$16),K453)</f>
        <v>0</v>
      </c>
      <c r="AC453" s="170">
        <f>IF(Escenarios!$F$14&gt;0,(Escenarios!$F$13*M453+Escenarios!$F$14*U453)/(Escenarios!$F$16),M453)</f>
        <v>0.28180207034204885</v>
      </c>
      <c r="AD453" s="76">
        <f t="shared" si="85"/>
        <v>173.9424340843081</v>
      </c>
      <c r="AE453" s="76">
        <f>MAX(0,(AD453-Constantes!$D$13)*(1-EXP(-Constantes!$D$23)))</f>
        <v>1.233550871547334</v>
      </c>
      <c r="AF453" s="76">
        <f>AB453+O453*Escenarios!$F$13/Escenarios!$F$16+AE453</f>
        <v>1.8673441279854115</v>
      </c>
      <c r="AG453" s="76">
        <f>IF(Entradas!$F$91&gt;0,IF(AF453-Escenarios!$F$38&lt;=0,0,IF(AF453-Escenarios!$F$38&gt;Escenarios!$F$37,Escenarios!$F$37,AF453-Escenarios!$F$38)),0)</f>
        <v>0.83054412798541155</v>
      </c>
      <c r="AH453" s="76">
        <f>AG453*Entradas!$F$99</f>
        <v>0</v>
      </c>
      <c r="AI453" s="76">
        <f>IF(Entradas!$F$91&gt;0,D453*Entradas!$D$23/Escenarios!$F$16,0)</f>
        <v>0.18789974520599054</v>
      </c>
      <c r="AJ453" s="76">
        <f>IF(Entradas!$F$91&gt;0,Entradas!$D$24*Entradas!$D$22/Escenarios!$F$16,0)</f>
        <v>0.12</v>
      </c>
      <c r="AK453" s="76">
        <f t="shared" si="86"/>
        <v>2.568456313671299</v>
      </c>
      <c r="AL453" s="76">
        <f t="shared" si="87"/>
        <v>0</v>
      </c>
      <c r="AM453" s="76">
        <f t="shared" si="88"/>
        <v>0.83054412798541155</v>
      </c>
      <c r="AN453" s="76">
        <f>MAX(0,O453*Escenarios!$F$13/Escenarios!$F$16-AM453)</f>
        <v>0</v>
      </c>
      <c r="AO453" s="76">
        <f>AM453+AN453-O453*Escenarios!$F$13/Escenarios!$F$16</f>
        <v>0.19675087154733406</v>
      </c>
      <c r="AP453" s="76">
        <f t="shared" si="89"/>
        <v>1.0367999999999999</v>
      </c>
      <c r="AQ453" s="76">
        <f t="shared" si="90"/>
        <v>0</v>
      </c>
      <c r="AR453" s="76">
        <f t="shared" si="91"/>
        <v>1.0367999999999999</v>
      </c>
      <c r="AS453" s="76">
        <f t="shared" si="92"/>
        <v>0.52264438277942105</v>
      </c>
      <c r="AT453" s="76">
        <f t="shared" si="93"/>
        <v>0.8044464531214699</v>
      </c>
      <c r="AU453" s="76">
        <f t="shared" si="94"/>
        <v>62.359080171431174</v>
      </c>
      <c r="AV453" s="76">
        <f>MAX(0,(AU453-Constantes!$D$13)*(1-EXP(-Constantes!$D$24)))</f>
        <v>0.20801815275545854</v>
      </c>
      <c r="AW453" s="170">
        <f>AW452+(Entradas!$F$112*AT453-AX452)/(800*Entradas!$D$25)</f>
        <v>0</v>
      </c>
      <c r="AX453" s="170">
        <f>8000*Entradas!$D$26*AW453/Constantes!$F$45</f>
        <v>0</v>
      </c>
      <c r="AY453" s="170">
        <f>IF(Escenarios!$F$17&gt;0,10*Escenarios!$F$16*AL453,0)</f>
        <v>0</v>
      </c>
      <c r="AZ453" s="170">
        <f>IF(Escenarios!$F$17&gt;0,10*Escenarios!$F$16*AX453,0)</f>
        <v>0</v>
      </c>
      <c r="BA453" s="170">
        <f>IF(Escenarios!$F$17&gt;0,0.001*Observaciones!$F452*Escenarios!$F$17,0)</f>
        <v>0</v>
      </c>
      <c r="BB453" s="170">
        <f>IF(Escenarios!$F$17&gt;0,Observaciones!$K452,0)</f>
        <v>0</v>
      </c>
      <c r="BC453" s="170">
        <f>IF(Escenarios!$F$17&gt;0,MIN(0.0005*ETo!$M452*Escenarios!$F$17*(BG452/Constantes!$F$40)^(2/3),BG452+AY453+AZ453+BA453+BB453),0)</f>
        <v>0</v>
      </c>
      <c r="BD453" s="170">
        <f>IF(Escenarios!$F$17&gt;0,MIN(Constantes!$F$39*(BG452/Constantes!$F$40)^(2/3),BG452+AY453+AZ453+BA453+BB453-BC453),0)</f>
        <v>0</v>
      </c>
      <c r="BE453" s="170">
        <f>IF(Escenarios!$F$17&gt;0,MIN(Entradas!$F$113,BG452+AY453+AZ453+BA453+BB453-BC453-BD453),0)</f>
        <v>0</v>
      </c>
      <c r="BF453" s="170">
        <f>IF(Escenarios!$F$17&gt;0,MAX(0,BG452+AY453+AZ453+BA453+BB453-BC453-BD453-BE453-Constantes!$F$40),0)</f>
        <v>0</v>
      </c>
      <c r="BG453" s="170">
        <f t="shared" si="95"/>
        <v>0</v>
      </c>
      <c r="BH453" s="170">
        <f>(Escenarios!$F$16*AK453+0.1*BC453)/(Escenarios!$F$19)</f>
        <v>2.568456313671299</v>
      </c>
      <c r="BI453" s="170">
        <f>IF(Escenarios!$F$17&gt;0,BF453/10/Escenarios!$F$19,AL453)</f>
        <v>0</v>
      </c>
      <c r="BJ453" s="170">
        <f>(Escenarios!$F$16*AT453+0.1*BD453)/(Escenarios!$F$19)</f>
        <v>0.8044464531214699</v>
      </c>
      <c r="BK453" s="76">
        <f>BK452+(0.1*BD453)/(Escenarios!$F$19)-BL452</f>
        <v>48.75</v>
      </c>
      <c r="BL453" s="76">
        <f>MAX(0,(BK453-Constantes!$D$13)*(1-EXP(-Constantes!$D$23)))</f>
        <v>0</v>
      </c>
      <c r="BM453" s="76">
        <f t="shared" si="96"/>
        <v>1.2448181527554585</v>
      </c>
      <c r="BN453" s="76">
        <f t="shared" si="97"/>
        <v>1.2448181527554585</v>
      </c>
      <c r="BO453" s="76">
        <f>0.0526*BI453*Observaciones!$F452^1.218</f>
        <v>0</v>
      </c>
      <c r="BP453" s="76">
        <f>BO453*Constantes!$F$51</f>
        <v>0</v>
      </c>
      <c r="BQ453" s="76">
        <f t="shared" si="98"/>
        <v>0</v>
      </c>
      <c r="BR453" s="40"/>
    </row>
    <row r="454" spans="2:70">
      <c r="B454" s="39"/>
      <c r="C454" s="75">
        <v>448</v>
      </c>
      <c r="D454" s="146">
        <f>ETo!$I453*((1-Constantes!$F$19)*ETo!$K453+ETo!$L453)</f>
        <v>4.0153867077924872</v>
      </c>
      <c r="E454" s="76">
        <f>MIN(D454*Constantes!$F$17,0.8*(N453+Observaciones!$F453-F454-M454-Constantes!$D$14))</f>
        <v>2.2900222508011336</v>
      </c>
      <c r="F454" s="76">
        <f>IF(Observaciones!$F453&gt;0.05*Constantes!$F$18,((Observaciones!$F453-0.05*Constantes!$F$18)^2)/(Observaciones!$F453+0.95*Constantes!$F$18),0)</f>
        <v>0</v>
      </c>
      <c r="G454" s="76">
        <f>IF(Escenarios!$F$11&gt;0,(F454*Escenarios!$F$16*10000)/1000,0)</f>
        <v>0</v>
      </c>
      <c r="H454" s="76">
        <f>IF(Escenarios!$F$11&gt;0,(Observaciones!$F453*Constantes!$F$29)/1000,0)</f>
        <v>0</v>
      </c>
      <c r="I454" s="76">
        <f>IF(Escenarios!$F$11&gt;0,(D454*Constantes!$F$29)/1000,0)</f>
        <v>0</v>
      </c>
      <c r="J454" s="76">
        <f>IF(Escenarios!$F$11&gt;0,MAX(0,G454+H454-I454),0)</f>
        <v>0</v>
      </c>
      <c r="K454" s="76">
        <f>IF(Escenarios!$F$11&gt;0,IF(J454&gt;Constantes!$F$30,1000*((J454-Constantes!$F$30)/(Escenarios!$F$16*10000)),0),F454)</f>
        <v>0</v>
      </c>
      <c r="L454" s="76">
        <f>IF(Escenarios!$F$11&gt;0,I454*1000/Escenarios!$F$16/10000+E454,E454)</f>
        <v>2.2900222508011336</v>
      </c>
      <c r="M454" s="76">
        <f>MAX(0,N453+Observaciones!$F453-K454-Constantes!$D$13)</f>
        <v>0</v>
      </c>
      <c r="N454" s="76">
        <f>N453+Observaciones!$F453-K454-L454-M454-O453</f>
        <v>29.383093160656752</v>
      </c>
      <c r="O454" s="76">
        <f>MAX(0,(N454-Constantes!$D$14)*(1-EXP(-Constantes!$D$22)))</f>
        <v>0.61767972099974355</v>
      </c>
      <c r="P454" s="170">
        <f>P453+(Entradas!$F$83*M454-Q453)/(800*Entradas!$D$25)</f>
        <v>0</v>
      </c>
      <c r="Q454" s="170">
        <f>8000*Entradas!$D$26*P454/Constantes!$F$45</f>
        <v>0</v>
      </c>
      <c r="R454" s="170">
        <f>IF(Escenarios!$F$14&gt;0,K454*Escenarios!$F$13/Escenarios!$F$14,0)</f>
        <v>0</v>
      </c>
      <c r="S454" s="170">
        <f>IF(Escenarios!$F$14&gt;0,Q454*Escenarios!$F$13/Escenarios!$F$14,0)</f>
        <v>0</v>
      </c>
      <c r="T454" s="170">
        <f>IF(Escenarios!$F$14&gt;0,Observaciones!$I453,0)</f>
        <v>0</v>
      </c>
      <c r="U454" s="170">
        <f>IF(Escenarios!$F$14&gt;0,MAX(0,Constantes!$F$36/((Z453+R454+S454+T454+Observaciones!$F453)^2)+Entradas!$F$77),0)</f>
        <v>2.2835076928016056</v>
      </c>
      <c r="V454" s="146">
        <f>IF(ETo!D453&gt;0,ETo!I453*((1-Entradas!$F$81)*ETo!K453+ETo!L453),0)</f>
        <v>3.5562959826585878</v>
      </c>
      <c r="W454" s="170">
        <f>IF(Escenarios!$F$14&gt;0,MIN(V454*1,0.8*(Z453+R454+S454+T454+Observaciones!$F453-U454-Constantes!$F$35)),0)</f>
        <v>3.5562959826585878</v>
      </c>
      <c r="X454" s="170">
        <f>IF(Escenarios!$F$14&gt;0,Observaciones!$J453,0)</f>
        <v>0</v>
      </c>
      <c r="Y454" s="170">
        <f>IF(Escenarios!$F$14&gt;0,MAX(0,Z453+R454+S454+T454+Observaciones!$F453-U454-W454-X454-Constantes!$F$33),0)</f>
        <v>0</v>
      </c>
      <c r="Z454" s="170">
        <f>Z453+R454+S454+T454+Observaciones!$F453-U454-W454-Y454</f>
        <v>113.86476538624197</v>
      </c>
      <c r="AA454" s="170">
        <f>IF(Escenarios!$F$14&gt;0,(Escenarios!$F$13*L454+Escenarios!$F$14*W454)/(Escenarios!$F$16),L454)</f>
        <v>2.4419750986240278</v>
      </c>
      <c r="AB454" s="170">
        <f>IF(Escenarios!$F$14&gt;0,(Escenarios!$F$14*Y454)/(Escenarios!$F$16),K454)</f>
        <v>0</v>
      </c>
      <c r="AC454" s="170">
        <f>IF(Escenarios!$F$14&gt;0,(Escenarios!$F$13*M454+Escenarios!$F$14*U454)/(Escenarios!$F$16),M454)</f>
        <v>0.27402092313619264</v>
      </c>
      <c r="AD454" s="76">
        <f t="shared" si="85"/>
        <v>172.98290413589697</v>
      </c>
      <c r="AE454" s="76">
        <f>MAX(0,(AD454-Constantes!$D$13)*(1-EXP(-Constantes!$D$23)))</f>
        <v>1.2240963944234111</v>
      </c>
      <c r="AF454" s="76">
        <f>AB454+O454*Escenarios!$F$13/Escenarios!$F$16+AE454</f>
        <v>1.7676545489031854</v>
      </c>
      <c r="AG454" s="76">
        <f>IF(Entradas!$F$91&gt;0,IF(AF454-Escenarios!$F$38&lt;=0,0,IF(AF454-Escenarios!$F$38&gt;Escenarios!$F$37,Escenarios!$F$37,AF454-Escenarios!$F$38)),0)</f>
        <v>0.73085454890318546</v>
      </c>
      <c r="AH454" s="76">
        <f>AG454*Entradas!$F$99</f>
        <v>0</v>
      </c>
      <c r="AI454" s="76">
        <f>IF(Entradas!$F$91&gt;0,D454*Entradas!$D$23/Escenarios!$F$16,0)</f>
        <v>0.19273856197403938</v>
      </c>
      <c r="AJ454" s="76">
        <f>IF(Entradas!$F$91&gt;0,Entradas!$D$24*Entradas!$D$22/Escenarios!$F$16,0)</f>
        <v>0.12</v>
      </c>
      <c r="AK454" s="76">
        <f t="shared" si="86"/>
        <v>2.6347136605980674</v>
      </c>
      <c r="AL454" s="76">
        <f t="shared" si="87"/>
        <v>0</v>
      </c>
      <c r="AM454" s="76">
        <f t="shared" si="88"/>
        <v>0.73085454890318546</v>
      </c>
      <c r="AN454" s="76">
        <f>MAX(0,O454*Escenarios!$F$13/Escenarios!$F$16-AM454)</f>
        <v>0</v>
      </c>
      <c r="AO454" s="76">
        <f>AM454+AN454-O454*Escenarios!$F$13/Escenarios!$F$16</f>
        <v>0.18729639442341117</v>
      </c>
      <c r="AP454" s="76">
        <f t="shared" si="89"/>
        <v>1.0367999999999999</v>
      </c>
      <c r="AQ454" s="76">
        <f t="shared" si="90"/>
        <v>0</v>
      </c>
      <c r="AR454" s="76">
        <f t="shared" si="91"/>
        <v>1.0367999999999999</v>
      </c>
      <c r="AS454" s="76">
        <f t="shared" si="92"/>
        <v>0.41811598692914609</v>
      </c>
      <c r="AT454" s="76">
        <f t="shared" si="93"/>
        <v>0.69213691006533873</v>
      </c>
      <c r="AU454" s="76">
        <f t="shared" si="94"/>
        <v>62.569178005604861</v>
      </c>
      <c r="AV454" s="76">
        <f>MAX(0,(AU454-Constantes!$D$13)*(1-EXP(-Constantes!$D$24)))</f>
        <v>0.21122955005874425</v>
      </c>
      <c r="AW454" s="170">
        <f>AW453+(Entradas!$F$112*AT454-AX453)/(800*Entradas!$D$25)</f>
        <v>0</v>
      </c>
      <c r="AX454" s="170">
        <f>8000*Entradas!$D$26*AW454/Constantes!$F$45</f>
        <v>0</v>
      </c>
      <c r="AY454" s="170">
        <f>IF(Escenarios!$F$17&gt;0,10*Escenarios!$F$16*AL454,0)</f>
        <v>0</v>
      </c>
      <c r="AZ454" s="170">
        <f>IF(Escenarios!$F$17&gt;0,10*Escenarios!$F$16*AX454,0)</f>
        <v>0</v>
      </c>
      <c r="BA454" s="170">
        <f>IF(Escenarios!$F$17&gt;0,0.001*Observaciones!$F453*Escenarios!$F$17,0)</f>
        <v>0</v>
      </c>
      <c r="BB454" s="170">
        <f>IF(Escenarios!$F$17&gt;0,Observaciones!$K453,0)</f>
        <v>0</v>
      </c>
      <c r="BC454" s="170">
        <f>IF(Escenarios!$F$17&gt;0,MIN(0.0005*ETo!$M453*Escenarios!$F$17*(BG453/Constantes!$F$40)^(2/3),BG453+AY454+AZ454+BA454+BB454),0)</f>
        <v>0</v>
      </c>
      <c r="BD454" s="170">
        <f>IF(Escenarios!$F$17&gt;0,MIN(Constantes!$F$39*(BG453/Constantes!$F$40)^(2/3),BG453+AY454+AZ454+BA454+BB454-BC454),0)</f>
        <v>0</v>
      </c>
      <c r="BE454" s="170">
        <f>IF(Escenarios!$F$17&gt;0,MIN(Entradas!$F$113,BG453+AY454+AZ454+BA454+BB454-BC454-BD454),0)</f>
        <v>0</v>
      </c>
      <c r="BF454" s="170">
        <f>IF(Escenarios!$F$17&gt;0,MAX(0,BG453+AY454+AZ454+BA454+BB454-BC454-BD454-BE454-Constantes!$F$40),0)</f>
        <v>0</v>
      </c>
      <c r="BG454" s="170">
        <f t="shared" si="95"/>
        <v>0</v>
      </c>
      <c r="BH454" s="170">
        <f>(Escenarios!$F$16*AK454+0.1*BC454)/(Escenarios!$F$19)</f>
        <v>2.6347136605980674</v>
      </c>
      <c r="BI454" s="170">
        <f>IF(Escenarios!$F$17&gt;0,BF454/10/Escenarios!$F$19,AL454)</f>
        <v>0</v>
      </c>
      <c r="BJ454" s="170">
        <f>(Escenarios!$F$16*AT454+0.1*BD454)/(Escenarios!$F$19)</f>
        <v>0.69213691006533873</v>
      </c>
      <c r="BK454" s="76">
        <f>BK453+(0.1*BD454)/(Escenarios!$F$19)-BL453</f>
        <v>48.75</v>
      </c>
      <c r="BL454" s="76">
        <f>MAX(0,(BK454-Constantes!$D$13)*(1-EXP(-Constantes!$D$23)))</f>
        <v>0</v>
      </c>
      <c r="BM454" s="76">
        <f t="shared" si="96"/>
        <v>1.2480295500587442</v>
      </c>
      <c r="BN454" s="76">
        <f t="shared" si="97"/>
        <v>1.2480295500587442</v>
      </c>
      <c r="BO454" s="76">
        <f>0.0526*BI454*Observaciones!$F453^1.218</f>
        <v>0</v>
      </c>
      <c r="BP454" s="76">
        <f>BO454*Constantes!$F$51</f>
        <v>0</v>
      </c>
      <c r="BQ454" s="76">
        <f t="shared" si="98"/>
        <v>0</v>
      </c>
      <c r="BR454" s="40"/>
    </row>
    <row r="455" spans="2:70">
      <c r="B455" s="39"/>
      <c r="C455" s="75">
        <v>449</v>
      </c>
      <c r="D455" s="146">
        <f>ETo!$I454*((1-Constantes!$F$19)*ETo!$K454+ETo!$L454)</f>
        <v>4.1749133008881545</v>
      </c>
      <c r="E455" s="76">
        <f>MIN(D455*Constantes!$F$17,0.8*(N454+Observaciones!$F454-F455-M455-Constantes!$D$14))</f>
        <v>2.3810021424949066</v>
      </c>
      <c r="F455" s="76">
        <f>IF(Observaciones!$F454&gt;0.05*Constantes!$F$18,((Observaciones!$F454-0.05*Constantes!$F$18)^2)/(Observaciones!$F454+0.95*Constantes!$F$18),0)</f>
        <v>0</v>
      </c>
      <c r="G455" s="76">
        <f>IF(Escenarios!$F$11&gt;0,(F455*Escenarios!$F$16*10000)/1000,0)</f>
        <v>0</v>
      </c>
      <c r="H455" s="76">
        <f>IF(Escenarios!$F$11&gt;0,(Observaciones!$F454*Constantes!$F$29)/1000,0)</f>
        <v>0</v>
      </c>
      <c r="I455" s="76">
        <f>IF(Escenarios!$F$11&gt;0,(D455*Constantes!$F$29)/1000,0)</f>
        <v>0</v>
      </c>
      <c r="J455" s="76">
        <f>IF(Escenarios!$F$11&gt;0,MAX(0,G455+H455-I455),0)</f>
        <v>0</v>
      </c>
      <c r="K455" s="76">
        <f>IF(Escenarios!$F$11&gt;0,IF(J455&gt;Constantes!$F$30,1000*((J455-Constantes!$F$30)/(Escenarios!$F$16*10000)),0),F455)</f>
        <v>0</v>
      </c>
      <c r="L455" s="76">
        <f>IF(Escenarios!$F$11&gt;0,I455*1000/Escenarios!$F$16/10000+E455,E455)</f>
        <v>2.3810021424949066</v>
      </c>
      <c r="M455" s="76">
        <f>MAX(0,N454+Observaciones!$F454-K455-Constantes!$D$13)</f>
        <v>0</v>
      </c>
      <c r="N455" s="76">
        <f>N454+Observaciones!$F454-K455-L455-M455-O454</f>
        <v>26.384411297162103</v>
      </c>
      <c r="O455" s="76">
        <f>MAX(0,(N455-Constantes!$D$14)*(1-EXP(-Constantes!$D$22)))</f>
        <v>0.51553360834263073</v>
      </c>
      <c r="P455" s="170">
        <f>P454+(Entradas!$F$83*M455-Q454)/(800*Entradas!$D$25)</f>
        <v>0</v>
      </c>
      <c r="Q455" s="170">
        <f>8000*Entradas!$D$26*P455/Constantes!$F$45</f>
        <v>0</v>
      </c>
      <c r="R455" s="170">
        <f>IF(Escenarios!$F$14&gt;0,K455*Escenarios!$F$13/Escenarios!$F$14,0)</f>
        <v>0</v>
      </c>
      <c r="S455" s="170">
        <f>IF(Escenarios!$F$14&gt;0,Q455*Escenarios!$F$13/Escenarios!$F$14,0)</f>
        <v>0</v>
      </c>
      <c r="T455" s="170">
        <f>IF(Escenarios!$F$14&gt;0,Observaciones!$I454,0)</f>
        <v>0</v>
      </c>
      <c r="U455" s="170">
        <f>IF(Escenarios!$F$14&gt;0,MAX(0,Constantes!$F$36/((Z454+R455+S455+T455+Observaciones!$F454)^2)+Entradas!$F$77),0)</f>
        <v>2.2081292969460709</v>
      </c>
      <c r="V455" s="146">
        <f>IF(ETo!D454&gt;0,ETo!I454*((1-Entradas!$F$81)*ETo!K454+ETo!L454),0)</f>
        <v>3.7000018748141832</v>
      </c>
      <c r="W455" s="170">
        <f>IF(Escenarios!$F$14&gt;0,MIN(V455*1,0.8*(Z454+R455+S455+T455+Observaciones!$F454-U455-Constantes!$F$35)),0)</f>
        <v>3.7000018748141832</v>
      </c>
      <c r="X455" s="170">
        <f>IF(Escenarios!$F$14&gt;0,Observaciones!$J454,0)</f>
        <v>0</v>
      </c>
      <c r="Y455" s="170">
        <f>IF(Escenarios!$F$14&gt;0,MAX(0,Z454+R455+S455+T455+Observaciones!$F454-U455-W455-X455-Constantes!$F$33),0)</f>
        <v>0</v>
      </c>
      <c r="Z455" s="170">
        <f>Z454+R455+S455+T455+Observaciones!$F454-U455-W455-Y455</f>
        <v>107.95663421448172</v>
      </c>
      <c r="AA455" s="170">
        <f>IF(Escenarios!$F$14&gt;0,(Escenarios!$F$13*L455+Escenarios!$F$14*W455)/(Escenarios!$F$16),L455)</f>
        <v>2.5392821103732199</v>
      </c>
      <c r="AB455" s="170">
        <f>IF(Escenarios!$F$14&gt;0,(Escenarios!$F$14*Y455)/(Escenarios!$F$16),K455)</f>
        <v>0</v>
      </c>
      <c r="AC455" s="170">
        <f>IF(Escenarios!$F$14&gt;0,(Escenarios!$F$13*M455+Escenarios!$F$14*U455)/(Escenarios!$F$16),M455)</f>
        <v>0.2649755156335285</v>
      </c>
      <c r="AD455" s="76">
        <f t="shared" si="85"/>
        <v>172.02378325710708</v>
      </c>
      <c r="AE455" s="76">
        <f>MAX(0,(AD455-Constantes!$D$13)*(1-EXP(-Constantes!$D$23)))</f>
        <v>1.214645947959899</v>
      </c>
      <c r="AF455" s="76">
        <f>AB455+O455*Escenarios!$F$13/Escenarios!$F$16+AE455</f>
        <v>1.668315523301414</v>
      </c>
      <c r="AG455" s="76">
        <f>IF(Entradas!$F$91&gt;0,IF(AF455-Escenarios!$F$38&lt;=0,0,IF(AF455-Escenarios!$F$38&gt;Escenarios!$F$37,Escenarios!$F$37,AF455-Escenarios!$F$38)),0)</f>
        <v>0.63151552330141403</v>
      </c>
      <c r="AH455" s="76">
        <f>AG455*Entradas!$F$99</f>
        <v>0</v>
      </c>
      <c r="AI455" s="76">
        <f>IF(Entradas!$F$91&gt;0,D455*Entradas!$D$23/Escenarios!$F$16,0)</f>
        <v>0.20039583844263142</v>
      </c>
      <c r="AJ455" s="76">
        <f>IF(Entradas!$F$91&gt;0,Entradas!$D$24*Entradas!$D$22/Escenarios!$F$16,0)</f>
        <v>0.12</v>
      </c>
      <c r="AK455" s="76">
        <f t="shared" si="86"/>
        <v>2.7396779488158511</v>
      </c>
      <c r="AL455" s="76">
        <f t="shared" si="87"/>
        <v>0</v>
      </c>
      <c r="AM455" s="76">
        <f t="shared" si="88"/>
        <v>0.63151552330141403</v>
      </c>
      <c r="AN455" s="76">
        <f>MAX(0,O455*Escenarios!$F$13/Escenarios!$F$16-AM455)</f>
        <v>0</v>
      </c>
      <c r="AO455" s="76">
        <f>AM455+AN455-O455*Escenarios!$F$13/Escenarios!$F$16</f>
        <v>0.177845947959899</v>
      </c>
      <c r="AP455" s="76">
        <f t="shared" si="89"/>
        <v>1.0367999999999999</v>
      </c>
      <c r="AQ455" s="76">
        <f t="shared" si="90"/>
        <v>0</v>
      </c>
      <c r="AR455" s="76">
        <f t="shared" si="91"/>
        <v>1.0367999999999999</v>
      </c>
      <c r="AS455" s="76">
        <f t="shared" si="92"/>
        <v>0.31111968485878261</v>
      </c>
      <c r="AT455" s="76">
        <f t="shared" si="93"/>
        <v>0.57609520049231111</v>
      </c>
      <c r="AU455" s="76">
        <f t="shared" si="94"/>
        <v>62.669068140404896</v>
      </c>
      <c r="AV455" s="76">
        <f>MAX(0,(AU455-Constantes!$D$13)*(1-EXP(-Constantes!$D$24)))</f>
        <v>0.21275639544857575</v>
      </c>
      <c r="AW455" s="170">
        <f>AW454+(Entradas!$F$112*AT455-AX454)/(800*Entradas!$D$25)</f>
        <v>0</v>
      </c>
      <c r="AX455" s="170">
        <f>8000*Entradas!$D$26*AW455/Constantes!$F$45</f>
        <v>0</v>
      </c>
      <c r="AY455" s="170">
        <f>IF(Escenarios!$F$17&gt;0,10*Escenarios!$F$16*AL455,0)</f>
        <v>0</v>
      </c>
      <c r="AZ455" s="170">
        <f>IF(Escenarios!$F$17&gt;0,10*Escenarios!$F$16*AX455,0)</f>
        <v>0</v>
      </c>
      <c r="BA455" s="170">
        <f>IF(Escenarios!$F$17&gt;0,0.001*Observaciones!$F454*Escenarios!$F$17,0)</f>
        <v>0</v>
      </c>
      <c r="BB455" s="170">
        <f>IF(Escenarios!$F$17&gt;0,Observaciones!$K454,0)</f>
        <v>0</v>
      </c>
      <c r="BC455" s="170">
        <f>IF(Escenarios!$F$17&gt;0,MIN(0.0005*ETo!$M454*Escenarios!$F$17*(BG454/Constantes!$F$40)^(2/3),BG454+AY455+AZ455+BA455+BB455),0)</f>
        <v>0</v>
      </c>
      <c r="BD455" s="170">
        <f>IF(Escenarios!$F$17&gt;0,MIN(Constantes!$F$39*(BG454/Constantes!$F$40)^(2/3),BG454+AY455+AZ455+BA455+BB455-BC455),0)</f>
        <v>0</v>
      </c>
      <c r="BE455" s="170">
        <f>IF(Escenarios!$F$17&gt;0,MIN(Entradas!$F$113,BG454+AY455+AZ455+BA455+BB455-BC455-BD455),0)</f>
        <v>0</v>
      </c>
      <c r="BF455" s="170">
        <f>IF(Escenarios!$F$17&gt;0,MAX(0,BG454+AY455+AZ455+BA455+BB455-BC455-BD455-BE455-Constantes!$F$40),0)</f>
        <v>0</v>
      </c>
      <c r="BG455" s="170">
        <f t="shared" si="95"/>
        <v>0</v>
      </c>
      <c r="BH455" s="170">
        <f>(Escenarios!$F$16*AK455+0.1*BC455)/(Escenarios!$F$19)</f>
        <v>2.7396779488158511</v>
      </c>
      <c r="BI455" s="170">
        <f>IF(Escenarios!$F$17&gt;0,BF455/10/Escenarios!$F$19,AL455)</f>
        <v>0</v>
      </c>
      <c r="BJ455" s="170">
        <f>(Escenarios!$F$16*AT455+0.1*BD455)/(Escenarios!$F$19)</f>
        <v>0.57609520049231111</v>
      </c>
      <c r="BK455" s="76">
        <f>BK454+(0.1*BD455)/(Escenarios!$F$19)-BL454</f>
        <v>48.75</v>
      </c>
      <c r="BL455" s="76">
        <f>MAX(0,(BK455-Constantes!$D$13)*(1-EXP(-Constantes!$D$23)))</f>
        <v>0</v>
      </c>
      <c r="BM455" s="76">
        <f t="shared" si="96"/>
        <v>1.2495563954485758</v>
      </c>
      <c r="BN455" s="76">
        <f t="shared" si="97"/>
        <v>1.2495563954485758</v>
      </c>
      <c r="BO455" s="76">
        <f>0.0526*BI455*Observaciones!$F454^1.218</f>
        <v>0</v>
      </c>
      <c r="BP455" s="76">
        <f>BO455*Constantes!$F$51</f>
        <v>0</v>
      </c>
      <c r="BQ455" s="76">
        <f t="shared" si="98"/>
        <v>0</v>
      </c>
      <c r="BR455" s="40"/>
    </row>
    <row r="456" spans="2:70">
      <c r="B456" s="39"/>
      <c r="C456" s="75">
        <v>450</v>
      </c>
      <c r="D456" s="146">
        <f>ETo!$I455*((1-Constantes!$F$19)*ETo!$K455+ETo!$L455)</f>
        <v>4.0659246372777265</v>
      </c>
      <c r="E456" s="76">
        <f>MIN(D456*Constantes!$F$17,0.8*(N455+Observaciones!$F455-F456-M456-Constantes!$D$14))</f>
        <v>2.3188446261917823</v>
      </c>
      <c r="F456" s="76">
        <f>IF(Observaciones!$F455&gt;0.05*Constantes!$F$18,((Observaciones!$F455-0.05*Constantes!$F$18)^2)/(Observaciones!$F455+0.95*Constantes!$F$18),0)</f>
        <v>0</v>
      </c>
      <c r="G456" s="76">
        <f>IF(Escenarios!$F$11&gt;0,(F456*Escenarios!$F$16*10000)/1000,0)</f>
        <v>0</v>
      </c>
      <c r="H456" s="76">
        <f>IF(Escenarios!$F$11&gt;0,(Observaciones!$F455*Constantes!$F$29)/1000,0)</f>
        <v>0</v>
      </c>
      <c r="I456" s="76">
        <f>IF(Escenarios!$F$11&gt;0,(D456*Constantes!$F$29)/1000,0)</f>
        <v>0</v>
      </c>
      <c r="J456" s="76">
        <f>IF(Escenarios!$F$11&gt;0,MAX(0,G456+H456-I456),0)</f>
        <v>0</v>
      </c>
      <c r="K456" s="76">
        <f>IF(Escenarios!$F$11&gt;0,IF(J456&gt;Constantes!$F$30,1000*((J456-Constantes!$F$30)/(Escenarios!$F$16*10000)),0),F456)</f>
        <v>0</v>
      </c>
      <c r="L456" s="76">
        <f>IF(Escenarios!$F$11&gt;0,I456*1000/Escenarios!$F$16/10000+E456,E456)</f>
        <v>2.3188446261917823</v>
      </c>
      <c r="M456" s="76">
        <f>MAX(0,N455+Observaciones!$F455-K456-Constantes!$D$13)</f>
        <v>0</v>
      </c>
      <c r="N456" s="76">
        <f>N455+Observaciones!$F455-K456-L456-M456-O455</f>
        <v>23.550033062627691</v>
      </c>
      <c r="O456" s="76">
        <f>MAX(0,(N456-Constantes!$D$14)*(1-EXP(-Constantes!$D$22)))</f>
        <v>0.41898428045887365</v>
      </c>
      <c r="P456" s="170">
        <f>P455+(Entradas!$F$83*M456-Q455)/(800*Entradas!$D$25)</f>
        <v>0</v>
      </c>
      <c r="Q456" s="170">
        <f>8000*Entradas!$D$26*P456/Constantes!$F$45</f>
        <v>0</v>
      </c>
      <c r="R456" s="170">
        <f>IF(Escenarios!$F$14&gt;0,K456*Escenarios!$F$13/Escenarios!$F$14,0)</f>
        <v>0</v>
      </c>
      <c r="S456" s="170">
        <f>IF(Escenarios!$F$14&gt;0,Q456*Escenarios!$F$13/Escenarios!$F$14,0)</f>
        <v>0</v>
      </c>
      <c r="T456" s="170">
        <f>IF(Escenarios!$F$14&gt;0,Observaciones!$I455,0)</f>
        <v>0</v>
      </c>
      <c r="U456" s="170">
        <f>IF(Escenarios!$F$14&gt;0,MAX(0,Constantes!$F$36/((Z455+R456+S456+T456+Observaciones!$F455)^2)+Entradas!$F$77),0)</f>
        <v>2.1190843716933982</v>
      </c>
      <c r="V456" s="146">
        <f>IF(ETo!D455&gt;0,ETo!I455*((1-Entradas!$F$81)*ETo!K455+ETo!L455),0)</f>
        <v>3.6013147799505396</v>
      </c>
      <c r="W456" s="170">
        <f>IF(Escenarios!$F$14&gt;0,MIN(V456*1,0.8*(Z455+R456+S456+T456+Observaciones!$F455-U456-Constantes!$F$35)),0)</f>
        <v>3.6013147799505396</v>
      </c>
      <c r="X456" s="170">
        <f>IF(Escenarios!$F$14&gt;0,Observaciones!$J455,0)</f>
        <v>0</v>
      </c>
      <c r="Y456" s="170">
        <f>IF(Escenarios!$F$14&gt;0,MAX(0,Z455+R456+S456+T456+Observaciones!$F455-U456-W456-X456-Constantes!$F$33),0)</f>
        <v>0</v>
      </c>
      <c r="Z456" s="170">
        <f>Z455+R456+S456+T456+Observaciones!$F455-U456-W456-Y456</f>
        <v>102.23623506283778</v>
      </c>
      <c r="AA456" s="170">
        <f>IF(Escenarios!$F$14&gt;0,(Escenarios!$F$13*L456+Escenarios!$F$14*W456)/(Escenarios!$F$16),L456)</f>
        <v>2.4727410446428331</v>
      </c>
      <c r="AB456" s="170">
        <f>IF(Escenarios!$F$14&gt;0,(Escenarios!$F$14*Y456)/(Escenarios!$F$16),K456)</f>
        <v>0</v>
      </c>
      <c r="AC456" s="170">
        <f>IF(Escenarios!$F$14&gt;0,(Escenarios!$F$13*M456+Escenarios!$F$14*U456)/(Escenarios!$F$16),M456)</f>
        <v>0.25429012460320782</v>
      </c>
      <c r="AD456" s="76">
        <f t="shared" ref="AD456:AD519" si="99">AD455+AC456-AE455</f>
        <v>171.06342743375041</v>
      </c>
      <c r="AE456" s="76">
        <f>MAX(0,(AD456-Constantes!$D$13)*(1-EXP(-Constantes!$D$23)))</f>
        <v>1.2051833332934296</v>
      </c>
      <c r="AF456" s="76">
        <f>AB456+O456*Escenarios!$F$13/Escenarios!$F$16+AE456</f>
        <v>1.5738895000972384</v>
      </c>
      <c r="AG456" s="76">
        <f>IF(Entradas!$F$91&gt;0,IF(AF456-Escenarios!$F$38&lt;=0,0,IF(AF456-Escenarios!$F$38&gt;Escenarios!$F$37,Escenarios!$F$37,AF456-Escenarios!$F$38)),0)</f>
        <v>0.53708950009723844</v>
      </c>
      <c r="AH456" s="76">
        <f>AG456*Entradas!$F$99</f>
        <v>0</v>
      </c>
      <c r="AI456" s="76">
        <f>IF(Entradas!$F$91&gt;0,D456*Entradas!$D$23/Escenarios!$F$16,0)</f>
        <v>0.19516438258933086</v>
      </c>
      <c r="AJ456" s="76">
        <f>IF(Entradas!$F$91&gt;0,Entradas!$D$24*Entradas!$D$22/Escenarios!$F$16,0)</f>
        <v>0.12</v>
      </c>
      <c r="AK456" s="76">
        <f t="shared" ref="AK456:AK519" si="100">AA456+AI456</f>
        <v>2.6679054272321641</v>
      </c>
      <c r="AL456" s="76">
        <f t="shared" ref="AL456:AL519" si="101">MAX(0,AB456-AG456)</f>
        <v>0</v>
      </c>
      <c r="AM456" s="76">
        <f t="shared" ref="AM456:AM519" si="102">AG456+AL456-AB456</f>
        <v>0.53708950009723844</v>
      </c>
      <c r="AN456" s="76">
        <f>MAX(0,O456*Escenarios!$F$13/Escenarios!$F$16-AM456)</f>
        <v>0</v>
      </c>
      <c r="AO456" s="76">
        <f>AM456+AN456-O456*Escenarios!$F$13/Escenarios!$F$16</f>
        <v>0.16838333329342964</v>
      </c>
      <c r="AP456" s="76">
        <f t="shared" ref="AP456:AP519" si="103">MAX(0,AE456-AO456)</f>
        <v>1.0367999999999999</v>
      </c>
      <c r="AQ456" s="76">
        <f t="shared" ref="AQ456:AQ519" si="104">AO456+AP456-AE456</f>
        <v>0</v>
      </c>
      <c r="AR456" s="76">
        <f t="shared" ref="AR456:AR519" si="105">AL456+AN456+AP456+AH456</f>
        <v>1.0367999999999999</v>
      </c>
      <c r="AS456" s="76">
        <f t="shared" ref="AS456:AS519" si="106">MAX(0,AG456-AH456-AI456-AJ456)</f>
        <v>0.22192511750790755</v>
      </c>
      <c r="AT456" s="76">
        <f t="shared" ref="AT456:AT519" si="107">AC456+AS456</f>
        <v>0.47621524211111538</v>
      </c>
      <c r="AU456" s="76">
        <f t="shared" ref="AU456:AU519" si="108">AU455+AS456-AV455</f>
        <v>62.678236862464232</v>
      </c>
      <c r="AV456" s="76">
        <f>MAX(0,(AU456-Constantes!$D$13)*(1-EXP(-Constantes!$D$24)))</f>
        <v>0.21289654163052824</v>
      </c>
      <c r="AW456" s="170">
        <f>AW455+(Entradas!$F$112*AT456-AX455)/(800*Entradas!$D$25)</f>
        <v>0</v>
      </c>
      <c r="AX456" s="170">
        <f>8000*Entradas!$D$26*AW456/Constantes!$F$45</f>
        <v>0</v>
      </c>
      <c r="AY456" s="170">
        <f>IF(Escenarios!$F$17&gt;0,10*Escenarios!$F$16*AL456,0)</f>
        <v>0</v>
      </c>
      <c r="AZ456" s="170">
        <f>IF(Escenarios!$F$17&gt;0,10*Escenarios!$F$16*AX456,0)</f>
        <v>0</v>
      </c>
      <c r="BA456" s="170">
        <f>IF(Escenarios!$F$17&gt;0,0.001*Observaciones!$F455*Escenarios!$F$17,0)</f>
        <v>0</v>
      </c>
      <c r="BB456" s="170">
        <f>IF(Escenarios!$F$17&gt;0,Observaciones!$K455,0)</f>
        <v>0</v>
      </c>
      <c r="BC456" s="170">
        <f>IF(Escenarios!$F$17&gt;0,MIN(0.0005*ETo!$M455*Escenarios!$F$17*(BG455/Constantes!$F$40)^(2/3),BG455+AY456+AZ456+BA456+BB456),0)</f>
        <v>0</v>
      </c>
      <c r="BD456" s="170">
        <f>IF(Escenarios!$F$17&gt;0,MIN(Constantes!$F$39*(BG455/Constantes!$F$40)^(2/3),BG455+AY456+AZ456+BA456+BB456-BC456),0)</f>
        <v>0</v>
      </c>
      <c r="BE456" s="170">
        <f>IF(Escenarios!$F$17&gt;0,MIN(Entradas!$F$113,BG455+AY456+AZ456+BA456+BB456-BC456-BD456),0)</f>
        <v>0</v>
      </c>
      <c r="BF456" s="170">
        <f>IF(Escenarios!$F$17&gt;0,MAX(0,BG455+AY456+AZ456+BA456+BB456-BC456-BD456-BE456-Constantes!$F$40),0)</f>
        <v>0</v>
      </c>
      <c r="BG456" s="170">
        <f t="shared" ref="BG456:BG519" si="109">BG455+AY456+AZ456+BA456+BB456-BF456-BC456-BD456-BE456</f>
        <v>0</v>
      </c>
      <c r="BH456" s="170">
        <f>(Escenarios!$F$16*AK456+0.1*BC456)/(Escenarios!$F$19)</f>
        <v>2.6679054272321641</v>
      </c>
      <c r="BI456" s="170">
        <f>IF(Escenarios!$F$17&gt;0,BF456/10/Escenarios!$F$19,AL456)</f>
        <v>0</v>
      </c>
      <c r="BJ456" s="170">
        <f>(Escenarios!$F$16*AT456+0.1*BD456)/(Escenarios!$F$19)</f>
        <v>0.47621524211111538</v>
      </c>
      <c r="BK456" s="76">
        <f>BK455+(0.1*BD456)/(Escenarios!$F$19)-BL455</f>
        <v>48.75</v>
      </c>
      <c r="BL456" s="76">
        <f>MAX(0,(BK456-Constantes!$D$13)*(1-EXP(-Constantes!$D$23)))</f>
        <v>0</v>
      </c>
      <c r="BM456" s="76">
        <f t="shared" ref="BM456:BM519" si="110">AP456+AV456+BL456</f>
        <v>1.2496965416305281</v>
      </c>
      <c r="BN456" s="76">
        <f t="shared" ref="BN456:BN519" si="111">AN456+AP456+AV456+BI456+BL456</f>
        <v>1.2496965416305281</v>
      </c>
      <c r="BO456" s="76">
        <f>0.0526*BI456*Observaciones!$F455^1.218</f>
        <v>0</v>
      </c>
      <c r="BP456" s="76">
        <f>BO456*Constantes!$F$51</f>
        <v>0</v>
      </c>
      <c r="BQ456" s="76">
        <f t="shared" ref="BQ456:BQ519" si="112">BP456*1000000/(BN456/1000*10000)</f>
        <v>0</v>
      </c>
      <c r="BR456" s="40"/>
    </row>
    <row r="457" spans="2:70">
      <c r="B457" s="39"/>
      <c r="C457" s="75">
        <v>451</v>
      </c>
      <c r="D457" s="146">
        <f>ETo!$I456*((1-Constantes!$F$19)*ETo!$K456+ETo!$L456)</f>
        <v>4.1010390466722697</v>
      </c>
      <c r="E457" s="76">
        <f>MIN(D457*Constantes!$F$17,0.8*(N456+Observaciones!$F456-F457-M457-Constantes!$D$14))</f>
        <v>2.3388707867309879</v>
      </c>
      <c r="F457" s="76">
        <f>IF(Observaciones!$F456&gt;0.05*Constantes!$F$18,((Observaciones!$F456-0.05*Constantes!$F$18)^2)/(Observaciones!$F456+0.95*Constantes!$F$18),0)</f>
        <v>0</v>
      </c>
      <c r="G457" s="76">
        <f>IF(Escenarios!$F$11&gt;0,(F457*Escenarios!$F$16*10000)/1000,0)</f>
        <v>0</v>
      </c>
      <c r="H457" s="76">
        <f>IF(Escenarios!$F$11&gt;0,(Observaciones!$F456*Constantes!$F$29)/1000,0)</f>
        <v>0</v>
      </c>
      <c r="I457" s="76">
        <f>IF(Escenarios!$F$11&gt;0,(D457*Constantes!$F$29)/1000,0)</f>
        <v>0</v>
      </c>
      <c r="J457" s="76">
        <f>IF(Escenarios!$F$11&gt;0,MAX(0,G457+H457-I457),0)</f>
        <v>0</v>
      </c>
      <c r="K457" s="76">
        <f>IF(Escenarios!$F$11&gt;0,IF(J457&gt;Constantes!$F$30,1000*((J457-Constantes!$F$30)/(Escenarios!$F$16*10000)),0),F457)</f>
        <v>0</v>
      </c>
      <c r="L457" s="76">
        <f>IF(Escenarios!$F$11&gt;0,I457*1000/Escenarios!$F$16/10000+E457,E457)</f>
        <v>2.3388707867309879</v>
      </c>
      <c r="M457" s="76">
        <f>MAX(0,N456+Observaciones!$F456-K457-Constantes!$D$13)</f>
        <v>0</v>
      </c>
      <c r="N457" s="76">
        <f>N456+Observaciones!$F456-K457-L457-M457-O456</f>
        <v>20.792177995437832</v>
      </c>
      <c r="O457" s="76">
        <f>MAX(0,(N457-Constantes!$D$14)*(1-EXP(-Constantes!$D$22)))</f>
        <v>0.32504161257717046</v>
      </c>
      <c r="P457" s="170">
        <f>P456+(Entradas!$F$83*M457-Q456)/(800*Entradas!$D$25)</f>
        <v>0</v>
      </c>
      <c r="Q457" s="170">
        <f>8000*Entradas!$D$26*P457/Constantes!$F$45</f>
        <v>0</v>
      </c>
      <c r="R457" s="170">
        <f>IF(Escenarios!$F$14&gt;0,K457*Escenarios!$F$13/Escenarios!$F$14,0)</f>
        <v>0</v>
      </c>
      <c r="S457" s="170">
        <f>IF(Escenarios!$F$14&gt;0,Q457*Escenarios!$F$13/Escenarios!$F$14,0)</f>
        <v>0</v>
      </c>
      <c r="T457" s="170">
        <f>IF(Escenarios!$F$14&gt;0,Observaciones!$I456,0)</f>
        <v>0</v>
      </c>
      <c r="U457" s="170">
        <f>IF(Escenarios!$F$14&gt;0,MAX(0,Constantes!$F$36/((Z456+R457+S457+T457+Observaciones!$F456)^2)+Entradas!$F$77),0)</f>
        <v>2.0177471644459897</v>
      </c>
      <c r="V457" s="146">
        <f>IF(ETo!D456&gt;0,ETo!I456*((1-Entradas!$F$81)*ETo!K456+ETo!L456),0)</f>
        <v>3.6327884880265575</v>
      </c>
      <c r="W457" s="170">
        <f>IF(Escenarios!$F$14&gt;0,MIN(V457*1,0.8*(Z456+R457+S457+T457+Observaciones!$F456-U457-Constantes!$F$35)),0)</f>
        <v>3.6327884880265575</v>
      </c>
      <c r="X457" s="170">
        <f>IF(Escenarios!$F$14&gt;0,Observaciones!$J456,0)</f>
        <v>0</v>
      </c>
      <c r="Y457" s="170">
        <f>IF(Escenarios!$F$14&gt;0,MAX(0,Z456+R457+S457+T457+Observaciones!$F456-U457-W457-X457-Constantes!$F$33),0)</f>
        <v>0</v>
      </c>
      <c r="Z457" s="170">
        <f>Z456+R457+S457+T457+Observaciones!$F456-U457-W457-Y457</f>
        <v>96.585699410365223</v>
      </c>
      <c r="AA457" s="170">
        <f>IF(Escenarios!$F$14&gt;0,(Escenarios!$F$13*L457+Escenarios!$F$14*W457)/(Escenarios!$F$16),L457)</f>
        <v>2.4941409108864563</v>
      </c>
      <c r="AB457" s="170">
        <f>IF(Escenarios!$F$14&gt;0,(Escenarios!$F$14*Y457)/(Escenarios!$F$16),K457)</f>
        <v>0</v>
      </c>
      <c r="AC457" s="170">
        <f>IF(Escenarios!$F$14&gt;0,(Escenarios!$F$13*M457+Escenarios!$F$14*U457)/(Escenarios!$F$16),M457)</f>
        <v>0.24212965973351877</v>
      </c>
      <c r="AD457" s="76">
        <f t="shared" si="99"/>
        <v>170.10037376019048</v>
      </c>
      <c r="AE457" s="76">
        <f>MAX(0,(AD457-Constantes!$D$13)*(1-EXP(-Constantes!$D$23)))</f>
        <v>1.1956941360663296</v>
      </c>
      <c r="AF457" s="76">
        <f>AB457+O457*Escenarios!$F$13/Escenarios!$F$16+AE457</f>
        <v>1.4817307551342396</v>
      </c>
      <c r="AG457" s="76">
        <f>IF(Entradas!$F$91&gt;0,IF(AF457-Escenarios!$F$38&lt;=0,0,IF(AF457-Escenarios!$F$38&gt;Escenarios!$F$37,Escenarios!$F$37,AF457-Escenarios!$F$38)),0)</f>
        <v>0.44493075513423963</v>
      </c>
      <c r="AH457" s="76">
        <f>AG457*Entradas!$F$99</f>
        <v>0</v>
      </c>
      <c r="AI457" s="76">
        <f>IF(Entradas!$F$91&gt;0,D457*Entradas!$D$23/Escenarios!$F$16,0)</f>
        <v>0.19684987424026895</v>
      </c>
      <c r="AJ457" s="76">
        <f>IF(Entradas!$F$91&gt;0,Entradas!$D$24*Entradas!$D$22/Escenarios!$F$16,0)</f>
        <v>0.12</v>
      </c>
      <c r="AK457" s="76">
        <f t="shared" si="100"/>
        <v>2.6909907851267252</v>
      </c>
      <c r="AL457" s="76">
        <f t="shared" si="101"/>
        <v>0</v>
      </c>
      <c r="AM457" s="76">
        <f t="shared" si="102"/>
        <v>0.44493075513423963</v>
      </c>
      <c r="AN457" s="76">
        <f>MAX(0,O457*Escenarios!$F$13/Escenarios!$F$16-AM457)</f>
        <v>0</v>
      </c>
      <c r="AO457" s="76">
        <f>AM457+AN457-O457*Escenarios!$F$13/Escenarios!$F$16</f>
        <v>0.15889413606632963</v>
      </c>
      <c r="AP457" s="76">
        <f t="shared" si="103"/>
        <v>1.0367999999999999</v>
      </c>
      <c r="AQ457" s="76">
        <f t="shared" si="104"/>
        <v>0</v>
      </c>
      <c r="AR457" s="76">
        <f t="shared" si="105"/>
        <v>1.0367999999999999</v>
      </c>
      <c r="AS457" s="76">
        <f t="shared" si="106"/>
        <v>0.12808088089397068</v>
      </c>
      <c r="AT457" s="76">
        <f t="shared" si="107"/>
        <v>0.37021054062748948</v>
      </c>
      <c r="AU457" s="76">
        <f t="shared" si="108"/>
        <v>62.593421201727672</v>
      </c>
      <c r="AV457" s="76">
        <f>MAX(0,(AU457-Constantes!$D$13)*(1-EXP(-Constantes!$D$24)))</f>
        <v>0.21160011330114045</v>
      </c>
      <c r="AW457" s="170">
        <f>AW456+(Entradas!$F$112*AT457-AX456)/(800*Entradas!$D$25)</f>
        <v>0</v>
      </c>
      <c r="AX457" s="170">
        <f>8000*Entradas!$D$26*AW457/Constantes!$F$45</f>
        <v>0</v>
      </c>
      <c r="AY457" s="170">
        <f>IF(Escenarios!$F$17&gt;0,10*Escenarios!$F$16*AL457,0)</f>
        <v>0</v>
      </c>
      <c r="AZ457" s="170">
        <f>IF(Escenarios!$F$17&gt;0,10*Escenarios!$F$16*AX457,0)</f>
        <v>0</v>
      </c>
      <c r="BA457" s="170">
        <f>IF(Escenarios!$F$17&gt;0,0.001*Observaciones!$F456*Escenarios!$F$17,0)</f>
        <v>0</v>
      </c>
      <c r="BB457" s="170">
        <f>IF(Escenarios!$F$17&gt;0,Observaciones!$K456,0)</f>
        <v>0</v>
      </c>
      <c r="BC457" s="170">
        <f>IF(Escenarios!$F$17&gt;0,MIN(0.0005*ETo!$M456*Escenarios!$F$17*(BG456/Constantes!$F$40)^(2/3),BG456+AY457+AZ457+BA457+BB457),0)</f>
        <v>0</v>
      </c>
      <c r="BD457" s="170">
        <f>IF(Escenarios!$F$17&gt;0,MIN(Constantes!$F$39*(BG456/Constantes!$F$40)^(2/3),BG456+AY457+AZ457+BA457+BB457-BC457),0)</f>
        <v>0</v>
      </c>
      <c r="BE457" s="170">
        <f>IF(Escenarios!$F$17&gt;0,MIN(Entradas!$F$113,BG456+AY457+AZ457+BA457+BB457-BC457-BD457),0)</f>
        <v>0</v>
      </c>
      <c r="BF457" s="170">
        <f>IF(Escenarios!$F$17&gt;0,MAX(0,BG456+AY457+AZ457+BA457+BB457-BC457-BD457-BE457-Constantes!$F$40),0)</f>
        <v>0</v>
      </c>
      <c r="BG457" s="170">
        <f t="shared" si="109"/>
        <v>0</v>
      </c>
      <c r="BH457" s="170">
        <f>(Escenarios!$F$16*AK457+0.1*BC457)/(Escenarios!$F$19)</f>
        <v>2.6909907851267252</v>
      </c>
      <c r="BI457" s="170">
        <f>IF(Escenarios!$F$17&gt;0,BF457/10/Escenarios!$F$19,AL457)</f>
        <v>0</v>
      </c>
      <c r="BJ457" s="170">
        <f>(Escenarios!$F$16*AT457+0.1*BD457)/(Escenarios!$F$19)</f>
        <v>0.37021054062748948</v>
      </c>
      <c r="BK457" s="76">
        <f>BK456+(0.1*BD457)/(Escenarios!$F$19)-BL456</f>
        <v>48.75</v>
      </c>
      <c r="BL457" s="76">
        <f>MAX(0,(BK457-Constantes!$D$13)*(1-EXP(-Constantes!$D$23)))</f>
        <v>0</v>
      </c>
      <c r="BM457" s="76">
        <f t="shared" si="110"/>
        <v>1.2484001133011404</v>
      </c>
      <c r="BN457" s="76">
        <f t="shared" si="111"/>
        <v>1.2484001133011404</v>
      </c>
      <c r="BO457" s="76">
        <f>0.0526*BI457*Observaciones!$F456^1.218</f>
        <v>0</v>
      </c>
      <c r="BP457" s="76">
        <f>BO457*Constantes!$F$51</f>
        <v>0</v>
      </c>
      <c r="BQ457" s="76">
        <f t="shared" si="112"/>
        <v>0</v>
      </c>
      <c r="BR457" s="40"/>
    </row>
    <row r="458" spans="2:70">
      <c r="B458" s="39"/>
      <c r="C458" s="75">
        <v>452</v>
      </c>
      <c r="D458" s="146">
        <f>ETo!$I457*((1-Constantes!$F$19)*ETo!$K457+ETo!$L457)</f>
        <v>3.9713578441973083</v>
      </c>
      <c r="E458" s="76">
        <f>MIN(D458*Constantes!$F$17,0.8*(N457+Observaciones!$F457-F458-M458-Constantes!$D$14))</f>
        <v>2.264912072218638</v>
      </c>
      <c r="F458" s="76">
        <f>IF(Observaciones!$F457&gt;0.05*Constantes!$F$18,((Observaciones!$F457-0.05*Constantes!$F$18)^2)/(Observaciones!$F457+0.95*Constantes!$F$18),0)</f>
        <v>2.3775322244161436E-3</v>
      </c>
      <c r="G458" s="76">
        <f>IF(Escenarios!$F$11&gt;0,(F458*Escenarios!$F$16*10000)/1000,0)</f>
        <v>0</v>
      </c>
      <c r="H458" s="76">
        <f>IF(Escenarios!$F$11&gt;0,(Observaciones!$F457*Constantes!$F$29)/1000,0)</f>
        <v>0</v>
      </c>
      <c r="I458" s="76">
        <f>IF(Escenarios!$F$11&gt;0,(D458*Constantes!$F$29)/1000,0)</f>
        <v>0</v>
      </c>
      <c r="J458" s="76">
        <f>IF(Escenarios!$F$11&gt;0,MAX(0,G458+H458-I458),0)</f>
        <v>0</v>
      </c>
      <c r="K458" s="76">
        <f>IF(Escenarios!$F$11&gt;0,IF(J458&gt;Constantes!$F$30,1000*((J458-Constantes!$F$30)/(Escenarios!$F$16*10000)),0),F458)</f>
        <v>2.3775322244161436E-3</v>
      </c>
      <c r="L458" s="76">
        <f>IF(Escenarios!$F$11&gt;0,I458*1000/Escenarios!$F$16/10000+E458,E458)</f>
        <v>2.264912072218638</v>
      </c>
      <c r="M458" s="76">
        <f>MAX(0,N457+Observaciones!$F457-K458-Constantes!$D$13)</f>
        <v>0</v>
      </c>
      <c r="N458" s="76">
        <f>N457+Observaciones!$F457-K458-L458-M458-O457</f>
        <v>29.899846778417604</v>
      </c>
      <c r="O458" s="76">
        <f>MAX(0,(N458-Constantes!$D$14)*(1-EXP(-Constantes!$D$22)))</f>
        <v>0.63528224626204521</v>
      </c>
      <c r="P458" s="170">
        <f>P457+(Entradas!$F$83*M458-Q457)/(800*Entradas!$D$25)</f>
        <v>0</v>
      </c>
      <c r="Q458" s="170">
        <f>8000*Entradas!$D$26*P458/Constantes!$F$45</f>
        <v>0</v>
      </c>
      <c r="R458" s="170">
        <f>IF(Escenarios!$F$14&gt;0,K458*Escenarios!$F$13/Escenarios!$F$14,0)</f>
        <v>1.7435236312385052E-2</v>
      </c>
      <c r="S458" s="170">
        <f>IF(Escenarios!$F$14&gt;0,Q458*Escenarios!$F$13/Escenarios!$F$14,0)</f>
        <v>0</v>
      </c>
      <c r="T458" s="170">
        <f>IF(Escenarios!$F$14&gt;0,Observaciones!$I457,0)</f>
        <v>0</v>
      </c>
      <c r="U458" s="170">
        <f>IF(Escenarios!$F$14&gt;0,MAX(0,Constantes!$F$36/((Z457+R458+S458+T458+Observaciones!$F457)^2)+Entradas!$F$77),0)</f>
        <v>2.1247120825583559</v>
      </c>
      <c r="V458" s="146">
        <f>IF(ETo!D457&gt;0,ETo!I457*((1-Entradas!$F$81)*ETo!K457+ETo!L457),0)</f>
        <v>3.5156131515028823</v>
      </c>
      <c r="W458" s="170">
        <f>IF(Escenarios!$F$14&gt;0,MIN(V458*1,0.8*(Z457+R458+S458+T458+Observaciones!$F457-U458-Constantes!$F$35)),0)</f>
        <v>3.5156131515028823</v>
      </c>
      <c r="X458" s="170">
        <f>IF(Escenarios!$F$14&gt;0,Observaciones!$J457,0)</f>
        <v>0</v>
      </c>
      <c r="Y458" s="170">
        <f>IF(Escenarios!$F$14&gt;0,MAX(0,Z457+R458+S458+T458+Observaciones!$F457-U458-W458-X458-Constantes!$F$33),0)</f>
        <v>0</v>
      </c>
      <c r="Z458" s="170">
        <f>Z457+R458+S458+T458+Observaciones!$F457-U458-W458-Y458</f>
        <v>102.66280941261637</v>
      </c>
      <c r="AA458" s="170">
        <f>IF(Escenarios!$F$14&gt;0,(Escenarios!$F$13*L458+Escenarios!$F$14*W458)/(Escenarios!$F$16),L458)</f>
        <v>2.4149962017327469</v>
      </c>
      <c r="AB458" s="170">
        <f>IF(Escenarios!$F$14&gt;0,(Escenarios!$F$14*Y458)/(Escenarios!$F$16),K458)</f>
        <v>0</v>
      </c>
      <c r="AC458" s="170">
        <f>IF(Escenarios!$F$14&gt;0,(Escenarios!$F$13*M458+Escenarios!$F$14*U458)/(Escenarios!$F$16),M458)</f>
        <v>0.25496544990700271</v>
      </c>
      <c r="AD458" s="76">
        <f t="shared" si="99"/>
        <v>169.15964507403115</v>
      </c>
      <c r="AE458" s="76">
        <f>MAX(0,(AD458-Constantes!$D$13)*(1-EXP(-Constantes!$D$23)))</f>
        <v>1.1864249122574855</v>
      </c>
      <c r="AF458" s="76">
        <f>AB458+O458*Escenarios!$F$13/Escenarios!$F$16+AE458</f>
        <v>1.7454732889680853</v>
      </c>
      <c r="AG458" s="76">
        <f>IF(Entradas!$F$91&gt;0,IF(AF458-Escenarios!$F$38&lt;=0,0,IF(AF458-Escenarios!$F$38&gt;Escenarios!$F$37,Escenarios!$F$37,AF458-Escenarios!$F$38)),0)</f>
        <v>0.70867328896808535</v>
      </c>
      <c r="AH458" s="76">
        <f>AG458*Entradas!$F$99</f>
        <v>0</v>
      </c>
      <c r="AI458" s="76">
        <f>IF(Entradas!$F$91&gt;0,D458*Entradas!$D$23/Escenarios!$F$16,0)</f>
        <v>0.19062517652147079</v>
      </c>
      <c r="AJ458" s="76">
        <f>IF(Entradas!$F$91&gt;0,Entradas!$D$24*Entradas!$D$22/Escenarios!$F$16,0)</f>
        <v>0.12</v>
      </c>
      <c r="AK458" s="76">
        <f t="shared" si="100"/>
        <v>2.6056213782542175</v>
      </c>
      <c r="AL458" s="76">
        <f t="shared" si="101"/>
        <v>0</v>
      </c>
      <c r="AM458" s="76">
        <f t="shared" si="102"/>
        <v>0.70867328896808535</v>
      </c>
      <c r="AN458" s="76">
        <f>MAX(0,O458*Escenarios!$F$13/Escenarios!$F$16-AM458)</f>
        <v>0</v>
      </c>
      <c r="AO458" s="76">
        <f>AM458+AN458-O458*Escenarios!$F$13/Escenarios!$F$16</f>
        <v>0.14962491225748553</v>
      </c>
      <c r="AP458" s="76">
        <f t="shared" si="103"/>
        <v>1.0367999999999999</v>
      </c>
      <c r="AQ458" s="76">
        <f t="shared" si="104"/>
        <v>0</v>
      </c>
      <c r="AR458" s="76">
        <f t="shared" si="105"/>
        <v>1.0367999999999999</v>
      </c>
      <c r="AS458" s="76">
        <f t="shared" si="106"/>
        <v>0.39804811244661453</v>
      </c>
      <c r="AT458" s="76">
        <f t="shared" si="107"/>
        <v>0.65301356235361729</v>
      </c>
      <c r="AU458" s="76">
        <f t="shared" si="108"/>
        <v>62.779869200873151</v>
      </c>
      <c r="AV458" s="76">
        <f>MAX(0,(AU458-Constantes!$D$13)*(1-EXP(-Constantes!$D$24)))</f>
        <v>0.21445001703296004</v>
      </c>
      <c r="AW458" s="170">
        <f>AW457+(Entradas!$F$112*AT458-AX457)/(800*Entradas!$D$25)</f>
        <v>0</v>
      </c>
      <c r="AX458" s="170">
        <f>8000*Entradas!$D$26*AW458/Constantes!$F$45</f>
        <v>0</v>
      </c>
      <c r="AY458" s="170">
        <f>IF(Escenarios!$F$17&gt;0,10*Escenarios!$F$16*AL458,0)</f>
        <v>0</v>
      </c>
      <c r="AZ458" s="170">
        <f>IF(Escenarios!$F$17&gt;0,10*Escenarios!$F$16*AX458,0)</f>
        <v>0</v>
      </c>
      <c r="BA458" s="170">
        <f>IF(Escenarios!$F$17&gt;0,0.001*Observaciones!$F457*Escenarios!$F$17,0)</f>
        <v>0</v>
      </c>
      <c r="BB458" s="170">
        <f>IF(Escenarios!$F$17&gt;0,Observaciones!$K457,0)</f>
        <v>0</v>
      </c>
      <c r="BC458" s="170">
        <f>IF(Escenarios!$F$17&gt;0,MIN(0.0005*ETo!$M457*Escenarios!$F$17*(BG457/Constantes!$F$40)^(2/3),BG457+AY458+AZ458+BA458+BB458),0)</f>
        <v>0</v>
      </c>
      <c r="BD458" s="170">
        <f>IF(Escenarios!$F$17&gt;0,MIN(Constantes!$F$39*(BG457/Constantes!$F$40)^(2/3),BG457+AY458+AZ458+BA458+BB458-BC458),0)</f>
        <v>0</v>
      </c>
      <c r="BE458" s="170">
        <f>IF(Escenarios!$F$17&gt;0,MIN(Entradas!$F$113,BG457+AY458+AZ458+BA458+BB458-BC458-BD458),0)</f>
        <v>0</v>
      </c>
      <c r="BF458" s="170">
        <f>IF(Escenarios!$F$17&gt;0,MAX(0,BG457+AY458+AZ458+BA458+BB458-BC458-BD458-BE458-Constantes!$F$40),0)</f>
        <v>0</v>
      </c>
      <c r="BG458" s="170">
        <f t="shared" si="109"/>
        <v>0</v>
      </c>
      <c r="BH458" s="170">
        <f>(Escenarios!$F$16*AK458+0.1*BC458)/(Escenarios!$F$19)</f>
        <v>2.6056213782542175</v>
      </c>
      <c r="BI458" s="170">
        <f>IF(Escenarios!$F$17&gt;0,BF458/10/Escenarios!$F$19,AL458)</f>
        <v>0</v>
      </c>
      <c r="BJ458" s="170">
        <f>(Escenarios!$F$16*AT458+0.1*BD458)/(Escenarios!$F$19)</f>
        <v>0.65301356235361729</v>
      </c>
      <c r="BK458" s="76">
        <f>BK457+(0.1*BD458)/(Escenarios!$F$19)-BL457</f>
        <v>48.75</v>
      </c>
      <c r="BL458" s="76">
        <f>MAX(0,(BK458-Constantes!$D$13)*(1-EXP(-Constantes!$D$23)))</f>
        <v>0</v>
      </c>
      <c r="BM458" s="76">
        <f t="shared" si="110"/>
        <v>1.2512500170329599</v>
      </c>
      <c r="BN458" s="76">
        <f t="shared" si="111"/>
        <v>1.2512500170329599</v>
      </c>
      <c r="BO458" s="76">
        <f>0.0526*BI458*Observaciones!$F457^1.218</f>
        <v>0</v>
      </c>
      <c r="BP458" s="76">
        <f>BO458*Constantes!$F$51</f>
        <v>0</v>
      </c>
      <c r="BQ458" s="76">
        <f t="shared" si="112"/>
        <v>0</v>
      </c>
      <c r="BR458" s="40"/>
    </row>
    <row r="459" spans="2:70">
      <c r="B459" s="39"/>
      <c r="C459" s="75">
        <v>453</v>
      </c>
      <c r="D459" s="146">
        <f>ETo!$I458*((1-Constantes!$F$19)*ETo!$K458+ETo!$L458)</f>
        <v>4.0225933624825698</v>
      </c>
      <c r="E459" s="76">
        <f>MIN(D459*Constantes!$F$17,0.8*(N458+Observaciones!$F458-F459-M459-Constantes!$D$14))</f>
        <v>2.2941322907039159</v>
      </c>
      <c r="F459" s="76">
        <f>IF(Observaciones!$F458&gt;0.05*Constantes!$F$18,((Observaciones!$F458-0.05*Constantes!$F$18)^2)/(Observaciones!$F458+0.95*Constantes!$F$18),0)</f>
        <v>0</v>
      </c>
      <c r="G459" s="76">
        <f>IF(Escenarios!$F$11&gt;0,(F459*Escenarios!$F$16*10000)/1000,0)</f>
        <v>0</v>
      </c>
      <c r="H459" s="76">
        <f>IF(Escenarios!$F$11&gt;0,(Observaciones!$F458*Constantes!$F$29)/1000,0)</f>
        <v>0</v>
      </c>
      <c r="I459" s="76">
        <f>IF(Escenarios!$F$11&gt;0,(D459*Constantes!$F$29)/1000,0)</f>
        <v>0</v>
      </c>
      <c r="J459" s="76">
        <f>IF(Escenarios!$F$11&gt;0,MAX(0,G459+H459-I459),0)</f>
        <v>0</v>
      </c>
      <c r="K459" s="76">
        <f>IF(Escenarios!$F$11&gt;0,IF(J459&gt;Constantes!$F$30,1000*((J459-Constantes!$F$30)/(Escenarios!$F$16*10000)),0),F459)</f>
        <v>0</v>
      </c>
      <c r="L459" s="76">
        <f>IF(Escenarios!$F$11&gt;0,I459*1000/Escenarios!$F$16/10000+E459,E459)</f>
        <v>2.2941322907039159</v>
      </c>
      <c r="M459" s="76">
        <f>MAX(0,N458+Observaciones!$F458-K459-Constantes!$D$13)</f>
        <v>0</v>
      </c>
      <c r="N459" s="76">
        <f>N458+Observaciones!$F458-K459-L459-M459-O458</f>
        <v>26.970432241451643</v>
      </c>
      <c r="O459" s="76">
        <f>MAX(0,(N459-Constantes!$D$14)*(1-EXP(-Constantes!$D$22)))</f>
        <v>0.53549563303206105</v>
      </c>
      <c r="P459" s="170">
        <f>P458+(Entradas!$F$83*M459-Q458)/(800*Entradas!$D$25)</f>
        <v>0</v>
      </c>
      <c r="Q459" s="170">
        <f>8000*Entradas!$D$26*P459/Constantes!$F$45</f>
        <v>0</v>
      </c>
      <c r="R459" s="170">
        <f>IF(Escenarios!$F$14&gt;0,K459*Escenarios!$F$13/Escenarios!$F$14,0)</f>
        <v>0</v>
      </c>
      <c r="S459" s="170">
        <f>IF(Escenarios!$F$14&gt;0,Q459*Escenarios!$F$13/Escenarios!$F$14,0)</f>
        <v>0</v>
      </c>
      <c r="T459" s="170">
        <f>IF(Escenarios!$F$14&gt;0,Observaciones!$I458,0)</f>
        <v>0</v>
      </c>
      <c r="U459" s="170">
        <f>IF(Escenarios!$F$14&gt;0,MAX(0,Constantes!$F$36/((Z458+R459+S459+T459+Observaciones!$F458)^2)+Entradas!$F$77),0)</f>
        <v>2.0258929256097979</v>
      </c>
      <c r="V459" s="146">
        <f>IF(ETo!D458&gt;0,ETo!I458*((1-Entradas!$F$81)*ETo!K458+ETo!L458),0)</f>
        <v>3.5615059982223958</v>
      </c>
      <c r="W459" s="170">
        <f>IF(Escenarios!$F$14&gt;0,MIN(V459*1,0.8*(Z458+R459+S459+T459+Observaciones!$F458-U459-Constantes!$F$35)),0)</f>
        <v>3.5615059982223958</v>
      </c>
      <c r="X459" s="170">
        <f>IF(Escenarios!$F$14&gt;0,Observaciones!$J458,0)</f>
        <v>0</v>
      </c>
      <c r="Y459" s="170">
        <f>IF(Escenarios!$F$14&gt;0,MAX(0,Z458+R459+S459+T459+Observaciones!$F458-U459-W459-X459-Constantes!$F$33),0)</f>
        <v>0</v>
      </c>
      <c r="Z459" s="170">
        <f>Z458+R459+S459+T459+Observaciones!$F458-U459-W459-Y459</f>
        <v>97.075410488784172</v>
      </c>
      <c r="AA459" s="170">
        <f>IF(Escenarios!$F$14&gt;0,(Escenarios!$F$13*L459+Escenarios!$F$14*W459)/(Escenarios!$F$16),L459)</f>
        <v>2.4462171356061337</v>
      </c>
      <c r="AB459" s="170">
        <f>IF(Escenarios!$F$14&gt;0,(Escenarios!$F$14*Y459)/(Escenarios!$F$16),K459)</f>
        <v>0</v>
      </c>
      <c r="AC459" s="170">
        <f>IF(Escenarios!$F$14&gt;0,(Escenarios!$F$13*M459+Escenarios!$F$14*U459)/(Escenarios!$F$16),M459)</f>
        <v>0.24310715107317574</v>
      </c>
      <c r="AD459" s="76">
        <f t="shared" si="99"/>
        <v>168.21632731284686</v>
      </c>
      <c r="AE459" s="76">
        <f>MAX(0,(AD459-Constantes!$D$13)*(1-EXP(-Constantes!$D$23)))</f>
        <v>1.1771301776757508</v>
      </c>
      <c r="AF459" s="76">
        <f>AB459+O459*Escenarios!$F$13/Escenarios!$F$16+AE459</f>
        <v>1.6483663347439645</v>
      </c>
      <c r="AG459" s="76">
        <f>IF(Entradas!$F$91&gt;0,IF(AF459-Escenarios!$F$38&lt;=0,0,IF(AF459-Escenarios!$F$38&gt;Escenarios!$F$37,Escenarios!$F$37,AF459-Escenarios!$F$38)),0)</f>
        <v>0.6115663347439646</v>
      </c>
      <c r="AH459" s="76">
        <f>AG459*Entradas!$F$99</f>
        <v>0</v>
      </c>
      <c r="AI459" s="76">
        <f>IF(Entradas!$F$91&gt;0,D459*Entradas!$D$23/Escenarios!$F$16,0)</f>
        <v>0.19308448139916334</v>
      </c>
      <c r="AJ459" s="76">
        <f>IF(Entradas!$F$91&gt;0,Entradas!$D$24*Entradas!$D$22/Escenarios!$F$16,0)</f>
        <v>0.12</v>
      </c>
      <c r="AK459" s="76">
        <f t="shared" si="100"/>
        <v>2.6393016170052972</v>
      </c>
      <c r="AL459" s="76">
        <f t="shared" si="101"/>
        <v>0</v>
      </c>
      <c r="AM459" s="76">
        <f t="shared" si="102"/>
        <v>0.6115663347439646</v>
      </c>
      <c r="AN459" s="76">
        <f>MAX(0,O459*Escenarios!$F$13/Escenarios!$F$16-AM459)</f>
        <v>0</v>
      </c>
      <c r="AO459" s="76">
        <f>AM459+AN459-O459*Escenarios!$F$13/Escenarios!$F$16</f>
        <v>0.14033017767575084</v>
      </c>
      <c r="AP459" s="76">
        <f t="shared" si="103"/>
        <v>1.0367999999999999</v>
      </c>
      <c r="AQ459" s="76">
        <f t="shared" si="104"/>
        <v>0</v>
      </c>
      <c r="AR459" s="76">
        <f t="shared" si="105"/>
        <v>1.0367999999999999</v>
      </c>
      <c r="AS459" s="76">
        <f t="shared" si="106"/>
        <v>0.29848185334480126</v>
      </c>
      <c r="AT459" s="76">
        <f t="shared" si="107"/>
        <v>0.54158900441797697</v>
      </c>
      <c r="AU459" s="76">
        <f t="shared" si="108"/>
        <v>62.863901037184995</v>
      </c>
      <c r="AV459" s="76">
        <f>MAX(0,(AU459-Constantes!$D$13)*(1-EXP(-Constantes!$D$24)))</f>
        <v>0.21573446441236002</v>
      </c>
      <c r="AW459" s="170">
        <f>AW458+(Entradas!$F$112*AT459-AX458)/(800*Entradas!$D$25)</f>
        <v>0</v>
      </c>
      <c r="AX459" s="170">
        <f>8000*Entradas!$D$26*AW459/Constantes!$F$45</f>
        <v>0</v>
      </c>
      <c r="AY459" s="170">
        <f>IF(Escenarios!$F$17&gt;0,10*Escenarios!$F$16*AL459,0)</f>
        <v>0</v>
      </c>
      <c r="AZ459" s="170">
        <f>IF(Escenarios!$F$17&gt;0,10*Escenarios!$F$16*AX459,0)</f>
        <v>0</v>
      </c>
      <c r="BA459" s="170">
        <f>IF(Escenarios!$F$17&gt;0,0.001*Observaciones!$F458*Escenarios!$F$17,0)</f>
        <v>0</v>
      </c>
      <c r="BB459" s="170">
        <f>IF(Escenarios!$F$17&gt;0,Observaciones!$K458,0)</f>
        <v>0</v>
      </c>
      <c r="BC459" s="170">
        <f>IF(Escenarios!$F$17&gt;0,MIN(0.0005*ETo!$M458*Escenarios!$F$17*(BG458/Constantes!$F$40)^(2/3),BG458+AY459+AZ459+BA459+BB459),0)</f>
        <v>0</v>
      </c>
      <c r="BD459" s="170">
        <f>IF(Escenarios!$F$17&gt;0,MIN(Constantes!$F$39*(BG458/Constantes!$F$40)^(2/3),BG458+AY459+AZ459+BA459+BB459-BC459),0)</f>
        <v>0</v>
      </c>
      <c r="BE459" s="170">
        <f>IF(Escenarios!$F$17&gt;0,MIN(Entradas!$F$113,BG458+AY459+AZ459+BA459+BB459-BC459-BD459),0)</f>
        <v>0</v>
      </c>
      <c r="BF459" s="170">
        <f>IF(Escenarios!$F$17&gt;0,MAX(0,BG458+AY459+AZ459+BA459+BB459-BC459-BD459-BE459-Constantes!$F$40),0)</f>
        <v>0</v>
      </c>
      <c r="BG459" s="170">
        <f t="shared" si="109"/>
        <v>0</v>
      </c>
      <c r="BH459" s="170">
        <f>(Escenarios!$F$16*AK459+0.1*BC459)/(Escenarios!$F$19)</f>
        <v>2.6393016170052972</v>
      </c>
      <c r="BI459" s="170">
        <f>IF(Escenarios!$F$17&gt;0,BF459/10/Escenarios!$F$19,AL459)</f>
        <v>0</v>
      </c>
      <c r="BJ459" s="170">
        <f>(Escenarios!$F$16*AT459+0.1*BD459)/(Escenarios!$F$19)</f>
        <v>0.54158900441797697</v>
      </c>
      <c r="BK459" s="76">
        <f>BK458+(0.1*BD459)/(Escenarios!$F$19)-BL458</f>
        <v>48.75</v>
      </c>
      <c r="BL459" s="76">
        <f>MAX(0,(BK459-Constantes!$D$13)*(1-EXP(-Constantes!$D$23)))</f>
        <v>0</v>
      </c>
      <c r="BM459" s="76">
        <f t="shared" si="110"/>
        <v>1.2525344644123599</v>
      </c>
      <c r="BN459" s="76">
        <f t="shared" si="111"/>
        <v>1.2525344644123599</v>
      </c>
      <c r="BO459" s="76">
        <f>0.0526*BI459*Observaciones!$F458^1.218</f>
        <v>0</v>
      </c>
      <c r="BP459" s="76">
        <f>BO459*Constantes!$F$51</f>
        <v>0</v>
      </c>
      <c r="BQ459" s="76">
        <f t="shared" si="112"/>
        <v>0</v>
      </c>
      <c r="BR459" s="40"/>
    </row>
    <row r="460" spans="2:70">
      <c r="B460" s="39"/>
      <c r="C460" s="75">
        <v>454</v>
      </c>
      <c r="D460" s="146">
        <f>ETo!$I459*((1-Constantes!$F$19)*ETo!$K459+ETo!$L459)</f>
        <v>3.9060101530453637</v>
      </c>
      <c r="E460" s="76">
        <f>MIN(D460*Constantes!$F$17,0.8*(N459+Observaciones!$F459-F460-M460-Constantes!$D$14))</f>
        <v>2.2276435156220797</v>
      </c>
      <c r="F460" s="76">
        <f>IF(Observaciones!$F459&gt;0.05*Constantes!$F$18,((Observaciones!$F459-0.05*Constantes!$F$18)^2)/(Observaciones!$F459+0.95*Constantes!$F$18),0)</f>
        <v>0</v>
      </c>
      <c r="G460" s="76">
        <f>IF(Escenarios!$F$11&gt;0,(F460*Escenarios!$F$16*10000)/1000,0)</f>
        <v>0</v>
      </c>
      <c r="H460" s="76">
        <f>IF(Escenarios!$F$11&gt;0,(Observaciones!$F459*Constantes!$F$29)/1000,0)</f>
        <v>0</v>
      </c>
      <c r="I460" s="76">
        <f>IF(Escenarios!$F$11&gt;0,(D460*Constantes!$F$29)/1000,0)</f>
        <v>0</v>
      </c>
      <c r="J460" s="76">
        <f>IF(Escenarios!$F$11&gt;0,MAX(0,G460+H460-I460),0)</f>
        <v>0</v>
      </c>
      <c r="K460" s="76">
        <f>IF(Escenarios!$F$11&gt;0,IF(J460&gt;Constantes!$F$30,1000*((J460-Constantes!$F$30)/(Escenarios!$F$16*10000)),0),F460)</f>
        <v>0</v>
      </c>
      <c r="L460" s="76">
        <f>IF(Escenarios!$F$11&gt;0,I460*1000/Escenarios!$F$16/10000+E460,E460)</f>
        <v>2.2276435156220797</v>
      </c>
      <c r="M460" s="76">
        <f>MAX(0,N459+Observaciones!$F459-K460-Constantes!$D$13)</f>
        <v>0</v>
      </c>
      <c r="N460" s="76">
        <f>N459+Observaciones!$F459-K460-L460-M460-O459</f>
        <v>25.907293092797502</v>
      </c>
      <c r="O460" s="76">
        <f>MAX(0,(N460-Constantes!$D$14)*(1-EXP(-Constantes!$D$22)))</f>
        <v>0.49928121076518667</v>
      </c>
      <c r="P460" s="170">
        <f>P459+(Entradas!$F$83*M460-Q459)/(800*Entradas!$D$25)</f>
        <v>0</v>
      </c>
      <c r="Q460" s="170">
        <f>8000*Entradas!$D$26*P460/Constantes!$F$45</f>
        <v>0</v>
      </c>
      <c r="R460" s="170">
        <f>IF(Escenarios!$F$14&gt;0,K460*Escenarios!$F$13/Escenarios!$F$14,0)</f>
        <v>0</v>
      </c>
      <c r="S460" s="170">
        <f>IF(Escenarios!$F$14&gt;0,Q460*Escenarios!$F$13/Escenarios!$F$14,0)</f>
        <v>0</v>
      </c>
      <c r="T460" s="170">
        <f>IF(Escenarios!$F$14&gt;0,Observaciones!$I459,0)</f>
        <v>0</v>
      </c>
      <c r="U460" s="170">
        <f>IF(Escenarios!$F$14&gt;0,MAX(0,Constantes!$F$36/((Z459+R460+S460+T460+Observaciones!$F459)^2)+Entradas!$F$77),0)</f>
        <v>1.947710345943052</v>
      </c>
      <c r="V460" s="146">
        <f>IF(ETo!D459&gt;0,ETo!I459*((1-Entradas!$F$81)*ETo!K459+ETo!L459),0)</f>
        <v>3.4562813707357254</v>
      </c>
      <c r="W460" s="170">
        <f>IF(Escenarios!$F$14&gt;0,MIN(V460*1,0.8*(Z459+R460+S460+T460+Observaciones!$F459-U460-Constantes!$F$35)),0)</f>
        <v>3.4562813707357254</v>
      </c>
      <c r="X460" s="170">
        <f>IF(Escenarios!$F$14&gt;0,Observaciones!$J459,0)</f>
        <v>0</v>
      </c>
      <c r="Y460" s="170">
        <f>IF(Escenarios!$F$14&gt;0,MAX(0,Z459+R460+S460+T460+Observaciones!$F459-U460-W460-X460-Constantes!$F$33),0)</f>
        <v>0</v>
      </c>
      <c r="Z460" s="170">
        <f>Z459+R460+S460+T460+Observaciones!$F459-U460-W460-Y460</f>
        <v>93.3714187721054</v>
      </c>
      <c r="AA460" s="170">
        <f>IF(Escenarios!$F$14&gt;0,(Escenarios!$F$13*L460+Escenarios!$F$14*W460)/(Escenarios!$F$16),L460)</f>
        <v>2.3750800582357168</v>
      </c>
      <c r="AB460" s="170">
        <f>IF(Escenarios!$F$14&gt;0,(Escenarios!$F$14*Y460)/(Escenarios!$F$16),K460)</f>
        <v>0</v>
      </c>
      <c r="AC460" s="170">
        <f>IF(Escenarios!$F$14&gt;0,(Escenarios!$F$13*M460+Escenarios!$F$14*U460)/(Escenarios!$F$16),M460)</f>
        <v>0.23372524151316626</v>
      </c>
      <c r="AD460" s="76">
        <f t="shared" si="99"/>
        <v>167.27292237668425</v>
      </c>
      <c r="AE460" s="76">
        <f>MAX(0,(AD460-Constantes!$D$13)*(1-EXP(-Constantes!$D$23)))</f>
        <v>1.1678345841381912</v>
      </c>
      <c r="AF460" s="76">
        <f>AB460+O460*Escenarios!$F$13/Escenarios!$F$16+AE460</f>
        <v>1.6072020496115555</v>
      </c>
      <c r="AG460" s="76">
        <f>IF(Entradas!$F$91&gt;0,IF(AF460-Escenarios!$F$38&lt;=0,0,IF(AF460-Escenarios!$F$38&gt;Escenarios!$F$37,Escenarios!$F$37,AF460-Escenarios!$F$38)),0)</f>
        <v>0.57040204961155561</v>
      </c>
      <c r="AH460" s="76">
        <f>AG460*Entradas!$F$99</f>
        <v>0</v>
      </c>
      <c r="AI460" s="76">
        <f>IF(Entradas!$F$91&gt;0,D460*Entradas!$D$23/Escenarios!$F$16,0)</f>
        <v>0.18748848734617746</v>
      </c>
      <c r="AJ460" s="76">
        <f>IF(Entradas!$F$91&gt;0,Entradas!$D$24*Entradas!$D$22/Escenarios!$F$16,0)</f>
        <v>0.12</v>
      </c>
      <c r="AK460" s="76">
        <f t="shared" si="100"/>
        <v>2.5625685455818941</v>
      </c>
      <c r="AL460" s="76">
        <f t="shared" si="101"/>
        <v>0</v>
      </c>
      <c r="AM460" s="76">
        <f t="shared" si="102"/>
        <v>0.57040204961155561</v>
      </c>
      <c r="AN460" s="76">
        <f>MAX(0,O460*Escenarios!$F$13/Escenarios!$F$16-AM460)</f>
        <v>0</v>
      </c>
      <c r="AO460" s="76">
        <f>AM460+AN460-O460*Escenarios!$F$13/Escenarios!$F$16</f>
        <v>0.1310345841381913</v>
      </c>
      <c r="AP460" s="76">
        <f t="shared" si="103"/>
        <v>1.0367999999999999</v>
      </c>
      <c r="AQ460" s="76">
        <f t="shared" si="104"/>
        <v>0</v>
      </c>
      <c r="AR460" s="76">
        <f t="shared" si="105"/>
        <v>1.0367999999999999</v>
      </c>
      <c r="AS460" s="76">
        <f t="shared" si="106"/>
        <v>0.26291356226537815</v>
      </c>
      <c r="AT460" s="76">
        <f t="shared" si="107"/>
        <v>0.49663880377854441</v>
      </c>
      <c r="AU460" s="76">
        <f t="shared" si="108"/>
        <v>62.911080135038013</v>
      </c>
      <c r="AV460" s="76">
        <f>MAX(0,(AU460-Constantes!$D$13)*(1-EXP(-Constantes!$D$24)))</f>
        <v>0.21645560857937404</v>
      </c>
      <c r="AW460" s="170">
        <f>AW459+(Entradas!$F$112*AT460-AX459)/(800*Entradas!$D$25)</f>
        <v>0</v>
      </c>
      <c r="AX460" s="170">
        <f>8000*Entradas!$D$26*AW460/Constantes!$F$45</f>
        <v>0</v>
      </c>
      <c r="AY460" s="170">
        <f>IF(Escenarios!$F$17&gt;0,10*Escenarios!$F$16*AL460,0)</f>
        <v>0</v>
      </c>
      <c r="AZ460" s="170">
        <f>IF(Escenarios!$F$17&gt;0,10*Escenarios!$F$16*AX460,0)</f>
        <v>0</v>
      </c>
      <c r="BA460" s="170">
        <f>IF(Escenarios!$F$17&gt;0,0.001*Observaciones!$F459*Escenarios!$F$17,0)</f>
        <v>0</v>
      </c>
      <c r="BB460" s="170">
        <f>IF(Escenarios!$F$17&gt;0,Observaciones!$K459,0)</f>
        <v>0</v>
      </c>
      <c r="BC460" s="170">
        <f>IF(Escenarios!$F$17&gt;0,MIN(0.0005*ETo!$M459*Escenarios!$F$17*(BG459/Constantes!$F$40)^(2/3),BG459+AY460+AZ460+BA460+BB460),0)</f>
        <v>0</v>
      </c>
      <c r="BD460" s="170">
        <f>IF(Escenarios!$F$17&gt;0,MIN(Constantes!$F$39*(BG459/Constantes!$F$40)^(2/3),BG459+AY460+AZ460+BA460+BB460-BC460),0)</f>
        <v>0</v>
      </c>
      <c r="BE460" s="170">
        <f>IF(Escenarios!$F$17&gt;0,MIN(Entradas!$F$113,BG459+AY460+AZ460+BA460+BB460-BC460-BD460),0)</f>
        <v>0</v>
      </c>
      <c r="BF460" s="170">
        <f>IF(Escenarios!$F$17&gt;0,MAX(0,BG459+AY460+AZ460+BA460+BB460-BC460-BD460-BE460-Constantes!$F$40),0)</f>
        <v>0</v>
      </c>
      <c r="BG460" s="170">
        <f t="shared" si="109"/>
        <v>0</v>
      </c>
      <c r="BH460" s="170">
        <f>(Escenarios!$F$16*AK460+0.1*BC460)/(Escenarios!$F$19)</f>
        <v>2.5625685455818941</v>
      </c>
      <c r="BI460" s="170">
        <f>IF(Escenarios!$F$17&gt;0,BF460/10/Escenarios!$F$19,AL460)</f>
        <v>0</v>
      </c>
      <c r="BJ460" s="170">
        <f>(Escenarios!$F$16*AT460+0.1*BD460)/(Escenarios!$F$19)</f>
        <v>0.49663880377854441</v>
      </c>
      <c r="BK460" s="76">
        <f>BK459+(0.1*BD460)/(Escenarios!$F$19)-BL459</f>
        <v>48.75</v>
      </c>
      <c r="BL460" s="76">
        <f>MAX(0,(BK460-Constantes!$D$13)*(1-EXP(-Constantes!$D$23)))</f>
        <v>0</v>
      </c>
      <c r="BM460" s="76">
        <f t="shared" si="110"/>
        <v>1.253255608579374</v>
      </c>
      <c r="BN460" s="76">
        <f t="shared" si="111"/>
        <v>1.253255608579374</v>
      </c>
      <c r="BO460" s="76">
        <f>0.0526*BI460*Observaciones!$F459^1.218</f>
        <v>0</v>
      </c>
      <c r="BP460" s="76">
        <f>BO460*Constantes!$F$51</f>
        <v>0</v>
      </c>
      <c r="BQ460" s="76">
        <f t="shared" si="112"/>
        <v>0</v>
      </c>
      <c r="BR460" s="40"/>
    </row>
    <row r="461" spans="2:70">
      <c r="B461" s="39"/>
      <c r="C461" s="75">
        <v>455</v>
      </c>
      <c r="D461" s="146">
        <f>ETo!$I460*((1-Constantes!$F$19)*ETo!$K460+ETo!$L460)</f>
        <v>4.0230773675581739</v>
      </c>
      <c r="E461" s="76">
        <f>MIN(D461*Constantes!$F$17,0.8*(N460+Observaciones!$F460-F461-M461-Constantes!$D$14))</f>
        <v>2.2944083244892757</v>
      </c>
      <c r="F461" s="76">
        <f>IF(Observaciones!$F460&gt;0.05*Constantes!$F$18,((Observaciones!$F460-0.05*Constantes!$F$18)^2)/(Observaciones!$F460+0.95*Constantes!$F$18),0)</f>
        <v>0</v>
      </c>
      <c r="G461" s="76">
        <f>IF(Escenarios!$F$11&gt;0,(F461*Escenarios!$F$16*10000)/1000,0)</f>
        <v>0</v>
      </c>
      <c r="H461" s="76">
        <f>IF(Escenarios!$F$11&gt;0,(Observaciones!$F460*Constantes!$F$29)/1000,0)</f>
        <v>0</v>
      </c>
      <c r="I461" s="76">
        <f>IF(Escenarios!$F$11&gt;0,(D461*Constantes!$F$29)/1000,0)</f>
        <v>0</v>
      </c>
      <c r="J461" s="76">
        <f>IF(Escenarios!$F$11&gt;0,MAX(0,G461+H461-I461),0)</f>
        <v>0</v>
      </c>
      <c r="K461" s="76">
        <f>IF(Escenarios!$F$11&gt;0,IF(J461&gt;Constantes!$F$30,1000*((J461-Constantes!$F$30)/(Escenarios!$F$16*10000)),0),F461)</f>
        <v>0</v>
      </c>
      <c r="L461" s="76">
        <f>IF(Escenarios!$F$11&gt;0,I461*1000/Escenarios!$F$16/10000+E461,E461)</f>
        <v>2.2944083244892757</v>
      </c>
      <c r="M461" s="76">
        <f>MAX(0,N460+Observaciones!$F460-K461-Constantes!$D$13)</f>
        <v>0</v>
      </c>
      <c r="N461" s="76">
        <f>N460+Observaciones!$F460-K461-L461-M461-O460</f>
        <v>23.113603557543041</v>
      </c>
      <c r="O461" s="76">
        <f>MAX(0,(N461-Constantes!$D$14)*(1-EXP(-Constantes!$D$22)))</f>
        <v>0.40411788935017773</v>
      </c>
      <c r="P461" s="170">
        <f>P460+(Entradas!$F$83*M461-Q460)/(800*Entradas!$D$25)</f>
        <v>0</v>
      </c>
      <c r="Q461" s="170">
        <f>8000*Entradas!$D$26*P461/Constantes!$F$45</f>
        <v>0</v>
      </c>
      <c r="R461" s="170">
        <f>IF(Escenarios!$F$14&gt;0,K461*Escenarios!$F$13/Escenarios!$F$14,0)</f>
        <v>0</v>
      </c>
      <c r="S461" s="170">
        <f>IF(Escenarios!$F$14&gt;0,Q461*Escenarios!$F$13/Escenarios!$F$14,0)</f>
        <v>0</v>
      </c>
      <c r="T461" s="170">
        <f>IF(Escenarios!$F$14&gt;0,Observaciones!$I460,0)</f>
        <v>0</v>
      </c>
      <c r="U461" s="170">
        <f>IF(Escenarios!$F$14&gt;0,MAX(0,Constantes!$F$36/((Z460+R461+S461+T461+Observaciones!$F460)^2)+Entradas!$F$77),0)</f>
        <v>1.822380276129836</v>
      </c>
      <c r="V461" s="146">
        <f>IF(ETo!D460&gt;0,ETo!I460*((1-Entradas!$F$81)*ETo!K460+ETo!L460),0)</f>
        <v>3.5614558453591356</v>
      </c>
      <c r="W461" s="170">
        <f>IF(Escenarios!$F$14&gt;0,MIN(V461*1,0.8*(Z460+R461+S461+T461+Observaciones!$F460-U461-Constantes!$F$35)),0)</f>
        <v>3.5614558453591356</v>
      </c>
      <c r="X461" s="170">
        <f>IF(Escenarios!$F$14&gt;0,Observaciones!$J460,0)</f>
        <v>0</v>
      </c>
      <c r="Y461" s="170">
        <f>IF(Escenarios!$F$14&gt;0,MAX(0,Z460+R461+S461+T461+Observaciones!$F460-U461-W461-X461-Constantes!$F$33),0)</f>
        <v>0</v>
      </c>
      <c r="Z461" s="170">
        <f>Z460+R461+S461+T461+Observaciones!$F460-U461-W461-Y461</f>
        <v>87.987582650616432</v>
      </c>
      <c r="AA461" s="170">
        <f>IF(Escenarios!$F$14&gt;0,(Escenarios!$F$13*L461+Escenarios!$F$14*W461)/(Escenarios!$F$16),L461)</f>
        <v>2.446454026993659</v>
      </c>
      <c r="AB461" s="170">
        <f>IF(Escenarios!$F$14&gt;0,(Escenarios!$F$14*Y461)/(Escenarios!$F$16),K461)</f>
        <v>0</v>
      </c>
      <c r="AC461" s="170">
        <f>IF(Escenarios!$F$14&gt;0,(Escenarios!$F$13*M461+Escenarios!$F$14*U461)/(Escenarios!$F$16),M461)</f>
        <v>0.21868563313558034</v>
      </c>
      <c r="AD461" s="76">
        <f t="shared" si="99"/>
        <v>166.32377342568162</v>
      </c>
      <c r="AE461" s="76">
        <f>MAX(0,(AD461-Constantes!$D$13)*(1-EXP(-Constantes!$D$23)))</f>
        <v>1.1584823934542954</v>
      </c>
      <c r="AF461" s="76">
        <f>AB461+O461*Escenarios!$F$13/Escenarios!$F$16+AE461</f>
        <v>1.5141061360824517</v>
      </c>
      <c r="AG461" s="76">
        <f>IF(Entradas!$F$91&gt;0,IF(AF461-Escenarios!$F$38&lt;=0,0,IF(AF461-Escenarios!$F$38&gt;Escenarios!$F$37,Escenarios!$F$37,AF461-Escenarios!$F$38)),0)</f>
        <v>0.47730613608245176</v>
      </c>
      <c r="AH461" s="76">
        <f>AG461*Entradas!$F$99</f>
        <v>0</v>
      </c>
      <c r="AI461" s="76">
        <f>IF(Entradas!$F$91&gt;0,D461*Entradas!$D$23/Escenarios!$F$16,0)</f>
        <v>0.19310771364279236</v>
      </c>
      <c r="AJ461" s="76">
        <f>IF(Entradas!$F$91&gt;0,Entradas!$D$24*Entradas!$D$22/Escenarios!$F$16,0)</f>
        <v>0.12</v>
      </c>
      <c r="AK461" s="76">
        <f t="shared" si="100"/>
        <v>2.6395617406364513</v>
      </c>
      <c r="AL461" s="76">
        <f t="shared" si="101"/>
        <v>0</v>
      </c>
      <c r="AM461" s="76">
        <f t="shared" si="102"/>
        <v>0.47730613608245176</v>
      </c>
      <c r="AN461" s="76">
        <f>MAX(0,O461*Escenarios!$F$13/Escenarios!$F$16-AM461)</f>
        <v>0</v>
      </c>
      <c r="AO461" s="76">
        <f>AM461+AN461-O461*Escenarios!$F$13/Escenarios!$F$16</f>
        <v>0.12168239345429538</v>
      </c>
      <c r="AP461" s="76">
        <f t="shared" si="103"/>
        <v>1.0367999999999999</v>
      </c>
      <c r="AQ461" s="76">
        <f t="shared" si="104"/>
        <v>0</v>
      </c>
      <c r="AR461" s="76">
        <f t="shared" si="105"/>
        <v>1.0367999999999999</v>
      </c>
      <c r="AS461" s="76">
        <f t="shared" si="106"/>
        <v>0.16419842243965943</v>
      </c>
      <c r="AT461" s="76">
        <f t="shared" si="107"/>
        <v>0.38288405557523975</v>
      </c>
      <c r="AU461" s="76">
        <f t="shared" si="108"/>
        <v>62.8588229488983</v>
      </c>
      <c r="AV461" s="76">
        <f>MAX(0,(AU461-Constantes!$D$13)*(1-EXP(-Constantes!$D$24)))</f>
        <v>0.21565684457827713</v>
      </c>
      <c r="AW461" s="170">
        <f>AW460+(Entradas!$F$112*AT461-AX460)/(800*Entradas!$D$25)</f>
        <v>0</v>
      </c>
      <c r="AX461" s="170">
        <f>8000*Entradas!$D$26*AW461/Constantes!$F$45</f>
        <v>0</v>
      </c>
      <c r="AY461" s="170">
        <f>IF(Escenarios!$F$17&gt;0,10*Escenarios!$F$16*AL461,0)</f>
        <v>0</v>
      </c>
      <c r="AZ461" s="170">
        <f>IF(Escenarios!$F$17&gt;0,10*Escenarios!$F$16*AX461,0)</f>
        <v>0</v>
      </c>
      <c r="BA461" s="170">
        <f>IF(Escenarios!$F$17&gt;0,0.001*Observaciones!$F460*Escenarios!$F$17,0)</f>
        <v>0</v>
      </c>
      <c r="BB461" s="170">
        <f>IF(Escenarios!$F$17&gt;0,Observaciones!$K460,0)</f>
        <v>0</v>
      </c>
      <c r="BC461" s="170">
        <f>IF(Escenarios!$F$17&gt;0,MIN(0.0005*ETo!$M460*Escenarios!$F$17*(BG460/Constantes!$F$40)^(2/3),BG460+AY461+AZ461+BA461+BB461),0)</f>
        <v>0</v>
      </c>
      <c r="BD461" s="170">
        <f>IF(Escenarios!$F$17&gt;0,MIN(Constantes!$F$39*(BG460/Constantes!$F$40)^(2/3),BG460+AY461+AZ461+BA461+BB461-BC461),0)</f>
        <v>0</v>
      </c>
      <c r="BE461" s="170">
        <f>IF(Escenarios!$F$17&gt;0,MIN(Entradas!$F$113,BG460+AY461+AZ461+BA461+BB461-BC461-BD461),0)</f>
        <v>0</v>
      </c>
      <c r="BF461" s="170">
        <f>IF(Escenarios!$F$17&gt;0,MAX(0,BG460+AY461+AZ461+BA461+BB461-BC461-BD461-BE461-Constantes!$F$40),0)</f>
        <v>0</v>
      </c>
      <c r="BG461" s="170">
        <f t="shared" si="109"/>
        <v>0</v>
      </c>
      <c r="BH461" s="170">
        <f>(Escenarios!$F$16*AK461+0.1*BC461)/(Escenarios!$F$19)</f>
        <v>2.6395617406364513</v>
      </c>
      <c r="BI461" s="170">
        <f>IF(Escenarios!$F$17&gt;0,BF461/10/Escenarios!$F$19,AL461)</f>
        <v>0</v>
      </c>
      <c r="BJ461" s="170">
        <f>(Escenarios!$F$16*AT461+0.1*BD461)/(Escenarios!$F$19)</f>
        <v>0.38288405557523975</v>
      </c>
      <c r="BK461" s="76">
        <f>BK460+(0.1*BD461)/(Escenarios!$F$19)-BL460</f>
        <v>48.75</v>
      </c>
      <c r="BL461" s="76">
        <f>MAX(0,(BK461-Constantes!$D$13)*(1-EXP(-Constantes!$D$23)))</f>
        <v>0</v>
      </c>
      <c r="BM461" s="76">
        <f t="shared" si="110"/>
        <v>1.2524568445782771</v>
      </c>
      <c r="BN461" s="76">
        <f t="shared" si="111"/>
        <v>1.2524568445782771</v>
      </c>
      <c r="BO461" s="76">
        <f>0.0526*BI461*Observaciones!$F460^1.218</f>
        <v>0</v>
      </c>
      <c r="BP461" s="76">
        <f>BO461*Constantes!$F$51</f>
        <v>0</v>
      </c>
      <c r="BQ461" s="76">
        <f t="shared" si="112"/>
        <v>0</v>
      </c>
      <c r="BR461" s="40"/>
    </row>
    <row r="462" spans="2:70">
      <c r="B462" s="39"/>
      <c r="C462" s="75">
        <v>456</v>
      </c>
      <c r="D462" s="146">
        <f>ETo!$I461*((1-Constantes!$F$19)*ETo!$K461+ETo!$L461)</f>
        <v>4.0061992235074513</v>
      </c>
      <c r="E462" s="76">
        <f>MIN(D462*Constantes!$F$17,0.8*(N461+Observaciones!$F461-F462-M462-Constantes!$D$14))</f>
        <v>2.2847825204905292</v>
      </c>
      <c r="F462" s="76">
        <f>IF(Observaciones!$F461&gt;0.05*Constantes!$F$18,((Observaciones!$F461-0.05*Constantes!$F$18)^2)/(Observaciones!$F461+0.95*Constantes!$F$18),0)</f>
        <v>0</v>
      </c>
      <c r="G462" s="76">
        <f>IF(Escenarios!$F$11&gt;0,(F462*Escenarios!$F$16*10000)/1000,0)</f>
        <v>0</v>
      </c>
      <c r="H462" s="76">
        <f>IF(Escenarios!$F$11&gt;0,(Observaciones!$F461*Constantes!$F$29)/1000,0)</f>
        <v>0</v>
      </c>
      <c r="I462" s="76">
        <f>IF(Escenarios!$F$11&gt;0,(D462*Constantes!$F$29)/1000,0)</f>
        <v>0</v>
      </c>
      <c r="J462" s="76">
        <f>IF(Escenarios!$F$11&gt;0,MAX(0,G462+H462-I462),0)</f>
        <v>0</v>
      </c>
      <c r="K462" s="76">
        <f>IF(Escenarios!$F$11&gt;0,IF(J462&gt;Constantes!$F$30,1000*((J462-Constantes!$F$30)/(Escenarios!$F$16*10000)),0),F462)</f>
        <v>0</v>
      </c>
      <c r="L462" s="76">
        <f>IF(Escenarios!$F$11&gt;0,I462*1000/Escenarios!$F$16/10000+E462,E462)</f>
        <v>2.2847825204905292</v>
      </c>
      <c r="M462" s="76">
        <f>MAX(0,N461+Observaciones!$F461-K462-Constantes!$D$13)</f>
        <v>0</v>
      </c>
      <c r="N462" s="76">
        <f>N461+Observaciones!$F461-K462-L462-M462-O461</f>
        <v>20.424703147702331</v>
      </c>
      <c r="O462" s="76">
        <f>MAX(0,(N462-Constantes!$D$14)*(1-EXP(-Constantes!$D$22)))</f>
        <v>0.31252407023551593</v>
      </c>
      <c r="P462" s="170">
        <f>P461+(Entradas!$F$83*M462-Q461)/(800*Entradas!$D$25)</f>
        <v>0</v>
      </c>
      <c r="Q462" s="170">
        <f>8000*Entradas!$D$26*P462/Constantes!$F$45</f>
        <v>0</v>
      </c>
      <c r="R462" s="170">
        <f>IF(Escenarios!$F$14&gt;0,K462*Escenarios!$F$13/Escenarios!$F$14,0)</f>
        <v>0</v>
      </c>
      <c r="S462" s="170">
        <f>IF(Escenarios!$F$14&gt;0,Q462*Escenarios!$F$13/Escenarios!$F$14,0)</f>
        <v>0</v>
      </c>
      <c r="T462" s="170">
        <f>IF(Escenarios!$F$14&gt;0,Observaciones!$I461,0)</f>
        <v>0</v>
      </c>
      <c r="U462" s="170">
        <f>IF(Escenarios!$F$14&gt;0,MAX(0,Constantes!$F$36/((Z461+R462+S462+T462+Observaciones!$F461)^2)+Entradas!$F$77),0)</f>
        <v>1.6738574356380618</v>
      </c>
      <c r="V462" s="146">
        <f>IF(ETo!D461&gt;0,ETo!I461*((1-Entradas!$F$81)*ETo!K461+ETo!L461),0)</f>
        <v>3.5459748602174499</v>
      </c>
      <c r="W462" s="170">
        <f>IF(Escenarios!$F$14&gt;0,MIN(V462*1,0.8*(Z461+R462+S462+T462+Observaciones!$F461-U462-Constantes!$F$35)),0)</f>
        <v>3.5459748602174499</v>
      </c>
      <c r="X462" s="170">
        <f>IF(Escenarios!$F$14&gt;0,Observaciones!$J461,0)</f>
        <v>0</v>
      </c>
      <c r="Y462" s="170">
        <f>IF(Escenarios!$F$14&gt;0,MAX(0,Z461+R462+S462+T462+Observaciones!$F461-U462-W462-X462-Constantes!$F$33),0)</f>
        <v>0</v>
      </c>
      <c r="Z462" s="170">
        <f>Z461+R462+S462+T462+Observaciones!$F461-U462-W462-Y462</f>
        <v>82.767750354760921</v>
      </c>
      <c r="AA462" s="170">
        <f>IF(Escenarios!$F$14&gt;0,(Escenarios!$F$13*L462+Escenarios!$F$14*W462)/(Escenarios!$F$16),L462)</f>
        <v>2.4361256012577597</v>
      </c>
      <c r="AB462" s="170">
        <f>IF(Escenarios!$F$14&gt;0,(Escenarios!$F$14*Y462)/(Escenarios!$F$16),K462)</f>
        <v>0</v>
      </c>
      <c r="AC462" s="170">
        <f>IF(Escenarios!$F$14&gt;0,(Escenarios!$F$13*M462+Escenarios!$F$14*U462)/(Escenarios!$F$16),M462)</f>
        <v>0.2008628922765674</v>
      </c>
      <c r="AD462" s="76">
        <f t="shared" si="99"/>
        <v>165.36615392450389</v>
      </c>
      <c r="AE462" s="76">
        <f>MAX(0,(AD462-Constantes!$D$13)*(1-EXP(-Constantes!$D$23)))</f>
        <v>1.1490467404219962</v>
      </c>
      <c r="AF462" s="76">
        <f>AB462+O462*Escenarios!$F$13/Escenarios!$F$16+AE462</f>
        <v>1.4240679222292503</v>
      </c>
      <c r="AG462" s="76">
        <f>IF(Entradas!$F$91&gt;0,IF(AF462-Escenarios!$F$38&lt;=0,0,IF(AF462-Escenarios!$F$38&gt;Escenarios!$F$37,Escenarios!$F$37,AF462-Escenarios!$F$38)),0)</f>
        <v>0.38726792222925033</v>
      </c>
      <c r="AH462" s="76">
        <f>AG462*Entradas!$F$99</f>
        <v>0</v>
      </c>
      <c r="AI462" s="76">
        <f>IF(Entradas!$F$91&gt;0,D462*Entradas!$D$23/Escenarios!$F$16,0)</f>
        <v>0.19229756272835766</v>
      </c>
      <c r="AJ462" s="76">
        <f>IF(Entradas!$F$91&gt;0,Entradas!$D$24*Entradas!$D$22/Escenarios!$F$16,0)</f>
        <v>0.12</v>
      </c>
      <c r="AK462" s="76">
        <f t="shared" si="100"/>
        <v>2.6284231639861173</v>
      </c>
      <c r="AL462" s="76">
        <f t="shared" si="101"/>
        <v>0</v>
      </c>
      <c r="AM462" s="76">
        <f t="shared" si="102"/>
        <v>0.38726792222925033</v>
      </c>
      <c r="AN462" s="76">
        <f>MAX(0,O462*Escenarios!$F$13/Escenarios!$F$16-AM462)</f>
        <v>0</v>
      </c>
      <c r="AO462" s="76">
        <f>AM462+AN462-O462*Escenarios!$F$13/Escenarios!$F$16</f>
        <v>0.11224674042199628</v>
      </c>
      <c r="AP462" s="76">
        <f t="shared" si="103"/>
        <v>1.0367999999999999</v>
      </c>
      <c r="AQ462" s="76">
        <f t="shared" si="104"/>
        <v>0</v>
      </c>
      <c r="AR462" s="76">
        <f t="shared" si="105"/>
        <v>1.0367999999999999</v>
      </c>
      <c r="AS462" s="76">
        <f t="shared" si="106"/>
        <v>7.4970359500892675E-2</v>
      </c>
      <c r="AT462" s="76">
        <f t="shared" si="107"/>
        <v>0.2758332517774601</v>
      </c>
      <c r="AU462" s="76">
        <f t="shared" si="108"/>
        <v>62.718136463820919</v>
      </c>
      <c r="AV462" s="76">
        <f>MAX(0,(AU462-Constantes!$D$13)*(1-EXP(-Constantes!$D$24)))</f>
        <v>0.2135064168950829</v>
      </c>
      <c r="AW462" s="170">
        <f>AW461+(Entradas!$F$112*AT462-AX461)/(800*Entradas!$D$25)</f>
        <v>0</v>
      </c>
      <c r="AX462" s="170">
        <f>8000*Entradas!$D$26*AW462/Constantes!$F$45</f>
        <v>0</v>
      </c>
      <c r="AY462" s="170">
        <f>IF(Escenarios!$F$17&gt;0,10*Escenarios!$F$16*AL462,0)</f>
        <v>0</v>
      </c>
      <c r="AZ462" s="170">
        <f>IF(Escenarios!$F$17&gt;0,10*Escenarios!$F$16*AX462,0)</f>
        <v>0</v>
      </c>
      <c r="BA462" s="170">
        <f>IF(Escenarios!$F$17&gt;0,0.001*Observaciones!$F461*Escenarios!$F$17,0)</f>
        <v>0</v>
      </c>
      <c r="BB462" s="170">
        <f>IF(Escenarios!$F$17&gt;0,Observaciones!$K461,0)</f>
        <v>0</v>
      </c>
      <c r="BC462" s="170">
        <f>IF(Escenarios!$F$17&gt;0,MIN(0.0005*ETo!$M461*Escenarios!$F$17*(BG461/Constantes!$F$40)^(2/3),BG461+AY462+AZ462+BA462+BB462),0)</f>
        <v>0</v>
      </c>
      <c r="BD462" s="170">
        <f>IF(Escenarios!$F$17&gt;0,MIN(Constantes!$F$39*(BG461/Constantes!$F$40)^(2/3),BG461+AY462+AZ462+BA462+BB462-BC462),0)</f>
        <v>0</v>
      </c>
      <c r="BE462" s="170">
        <f>IF(Escenarios!$F$17&gt;0,MIN(Entradas!$F$113,BG461+AY462+AZ462+BA462+BB462-BC462-BD462),0)</f>
        <v>0</v>
      </c>
      <c r="BF462" s="170">
        <f>IF(Escenarios!$F$17&gt;0,MAX(0,BG461+AY462+AZ462+BA462+BB462-BC462-BD462-BE462-Constantes!$F$40),0)</f>
        <v>0</v>
      </c>
      <c r="BG462" s="170">
        <f t="shared" si="109"/>
        <v>0</v>
      </c>
      <c r="BH462" s="170">
        <f>(Escenarios!$F$16*AK462+0.1*BC462)/(Escenarios!$F$19)</f>
        <v>2.6284231639861173</v>
      </c>
      <c r="BI462" s="170">
        <f>IF(Escenarios!$F$17&gt;0,BF462/10/Escenarios!$F$19,AL462)</f>
        <v>0</v>
      </c>
      <c r="BJ462" s="170">
        <f>(Escenarios!$F$16*AT462+0.1*BD462)/(Escenarios!$F$19)</f>
        <v>0.2758332517774601</v>
      </c>
      <c r="BK462" s="76">
        <f>BK461+(0.1*BD462)/(Escenarios!$F$19)-BL461</f>
        <v>48.75</v>
      </c>
      <c r="BL462" s="76">
        <f>MAX(0,(BK462-Constantes!$D$13)*(1-EXP(-Constantes!$D$23)))</f>
        <v>0</v>
      </c>
      <c r="BM462" s="76">
        <f t="shared" si="110"/>
        <v>1.2503064168950828</v>
      </c>
      <c r="BN462" s="76">
        <f t="shared" si="111"/>
        <v>1.2503064168950828</v>
      </c>
      <c r="BO462" s="76">
        <f>0.0526*BI462*Observaciones!$F461^1.218</f>
        <v>0</v>
      </c>
      <c r="BP462" s="76">
        <f>BO462*Constantes!$F$51</f>
        <v>0</v>
      </c>
      <c r="BQ462" s="76">
        <f t="shared" si="112"/>
        <v>0</v>
      </c>
      <c r="BR462" s="40"/>
    </row>
    <row r="463" spans="2:70">
      <c r="B463" s="39"/>
      <c r="C463" s="75">
        <v>457</v>
      </c>
      <c r="D463" s="146">
        <f>ETo!$I462*((1-Constantes!$F$19)*ETo!$K462+ETo!$L462)</f>
        <v>4.0388383605505886</v>
      </c>
      <c r="E463" s="76">
        <f>MIN(D463*Constantes!$F$17,0.8*(N462+Observaciones!$F462-F463-M463-Constantes!$D$14))</f>
        <v>2.3033970041044434</v>
      </c>
      <c r="F463" s="76">
        <f>IF(Observaciones!$F462&gt;0.05*Constantes!$F$18,((Observaciones!$F462-0.05*Constantes!$F$18)^2)/(Observaciones!$F462+0.95*Constantes!$F$18),0)</f>
        <v>0</v>
      </c>
      <c r="G463" s="76">
        <f>IF(Escenarios!$F$11&gt;0,(F463*Escenarios!$F$16*10000)/1000,0)</f>
        <v>0</v>
      </c>
      <c r="H463" s="76">
        <f>IF(Escenarios!$F$11&gt;0,(Observaciones!$F462*Constantes!$F$29)/1000,0)</f>
        <v>0</v>
      </c>
      <c r="I463" s="76">
        <f>IF(Escenarios!$F$11&gt;0,(D463*Constantes!$F$29)/1000,0)</f>
        <v>0</v>
      </c>
      <c r="J463" s="76">
        <f>IF(Escenarios!$F$11&gt;0,MAX(0,G463+H463-I463),0)</f>
        <v>0</v>
      </c>
      <c r="K463" s="76">
        <f>IF(Escenarios!$F$11&gt;0,IF(J463&gt;Constantes!$F$30,1000*((J463-Constantes!$F$30)/(Escenarios!$F$16*10000)),0),F463)</f>
        <v>0</v>
      </c>
      <c r="L463" s="76">
        <f>IF(Escenarios!$F$11&gt;0,I463*1000/Escenarios!$F$16/10000+E463,E463)</f>
        <v>2.3033970041044434</v>
      </c>
      <c r="M463" s="76">
        <f>MAX(0,N462+Observaciones!$F462-K463-Constantes!$D$13)</f>
        <v>0</v>
      </c>
      <c r="N463" s="76">
        <f>N462+Observaciones!$F462-K463-L463-M463-O462</f>
        <v>17.808782073362373</v>
      </c>
      <c r="O463" s="76">
        <f>MAX(0,(N463-Constantes!$D$14)*(1-EXP(-Constantes!$D$22)))</f>
        <v>0.22341619520063508</v>
      </c>
      <c r="P463" s="170">
        <f>P462+(Entradas!$F$83*M463-Q462)/(800*Entradas!$D$25)</f>
        <v>0</v>
      </c>
      <c r="Q463" s="170">
        <f>8000*Entradas!$D$26*P463/Constantes!$F$45</f>
        <v>0</v>
      </c>
      <c r="R463" s="170">
        <f>IF(Escenarios!$F$14&gt;0,K463*Escenarios!$F$13/Escenarios!$F$14,0)</f>
        <v>0</v>
      </c>
      <c r="S463" s="170">
        <f>IF(Escenarios!$F$14&gt;0,Q463*Escenarios!$F$13/Escenarios!$F$14,0)</f>
        <v>0</v>
      </c>
      <c r="T463" s="170">
        <f>IF(Escenarios!$F$14&gt;0,Observaciones!$I462,0)</f>
        <v>0</v>
      </c>
      <c r="U463" s="170">
        <f>IF(Escenarios!$F$14&gt;0,MAX(0,Constantes!$F$36/((Z462+R463+S463+T463+Observaciones!$F462)^2)+Entradas!$F$77),0)</f>
        <v>1.501313881837339</v>
      </c>
      <c r="V463" s="146">
        <f>IF(ETo!D462&gt;0,ETo!I462*((1-Entradas!$F$81)*ETo!K462+ETo!L462),0)</f>
        <v>3.5752429437605087</v>
      </c>
      <c r="W463" s="170">
        <f>IF(Escenarios!$F$14&gt;0,MIN(V463*1,0.8*(Z462+R463+S463+T463+Observaciones!$F462-U463-Constantes!$F$35)),0)</f>
        <v>3.5752429437605087</v>
      </c>
      <c r="X463" s="170">
        <f>IF(Escenarios!$F$14&gt;0,Observaciones!$J462,0)</f>
        <v>0</v>
      </c>
      <c r="Y463" s="170">
        <f>IF(Escenarios!$F$14&gt;0,MAX(0,Z462+R463+S463+T463+Observaciones!$F462-U463-W463-X463-Constantes!$F$33),0)</f>
        <v>0</v>
      </c>
      <c r="Z463" s="170">
        <f>Z462+R463+S463+T463+Observaciones!$F462-U463-W463-Y463</f>
        <v>77.691193529163073</v>
      </c>
      <c r="AA463" s="170">
        <f>IF(Escenarios!$F$14&gt;0,(Escenarios!$F$13*L463+Escenarios!$F$14*W463)/(Escenarios!$F$16),L463)</f>
        <v>2.4560185168631716</v>
      </c>
      <c r="AB463" s="170">
        <f>IF(Escenarios!$F$14&gt;0,(Escenarios!$F$14*Y463)/(Escenarios!$F$16),K463)</f>
        <v>0</v>
      </c>
      <c r="AC463" s="170">
        <f>IF(Escenarios!$F$14&gt;0,(Escenarios!$F$13*M463+Escenarios!$F$14*U463)/(Escenarios!$F$16),M463)</f>
        <v>0.18015766582048068</v>
      </c>
      <c r="AD463" s="76">
        <f t="shared" si="99"/>
        <v>164.39726484990237</v>
      </c>
      <c r="AE463" s="76">
        <f>MAX(0,(AD463-Constantes!$D$13)*(1-EXP(-Constantes!$D$23)))</f>
        <v>1.1395000455985491</v>
      </c>
      <c r="AF463" s="76">
        <f>AB463+O463*Escenarios!$F$13/Escenarios!$F$16+AE463</f>
        <v>1.3361062973751081</v>
      </c>
      <c r="AG463" s="76">
        <f>IF(Entradas!$F$91&gt;0,IF(AF463-Escenarios!$F$38&lt;=0,0,IF(AF463-Escenarios!$F$38&gt;Escenarios!$F$37,Escenarios!$F$37,AF463-Escenarios!$F$38)),0)</f>
        <v>0.29930629737510817</v>
      </c>
      <c r="AH463" s="76">
        <f>AG463*Entradas!$F$99</f>
        <v>0</v>
      </c>
      <c r="AI463" s="76">
        <f>IF(Entradas!$F$91&gt;0,D463*Entradas!$D$23/Escenarios!$F$16,0)</f>
        <v>0.19386424130642826</v>
      </c>
      <c r="AJ463" s="76">
        <f>IF(Entradas!$F$91&gt;0,Entradas!$D$24*Entradas!$D$22/Escenarios!$F$16,0)</f>
        <v>0.12</v>
      </c>
      <c r="AK463" s="76">
        <f t="shared" si="100"/>
        <v>2.6498827581695998</v>
      </c>
      <c r="AL463" s="76">
        <f t="shared" si="101"/>
        <v>0</v>
      </c>
      <c r="AM463" s="76">
        <f t="shared" si="102"/>
        <v>0.29930629737510817</v>
      </c>
      <c r="AN463" s="76">
        <f>MAX(0,O463*Escenarios!$F$13/Escenarios!$F$16-AM463)</f>
        <v>0</v>
      </c>
      <c r="AO463" s="76">
        <f>AM463+AN463-O463*Escenarios!$F$13/Escenarios!$F$16</f>
        <v>0.10270004559854928</v>
      </c>
      <c r="AP463" s="76">
        <f t="shared" si="103"/>
        <v>1.0367999999999999</v>
      </c>
      <c r="AQ463" s="76">
        <f t="shared" si="104"/>
        <v>0</v>
      </c>
      <c r="AR463" s="76">
        <f t="shared" si="105"/>
        <v>1.0367999999999999</v>
      </c>
      <c r="AS463" s="76">
        <f t="shared" si="106"/>
        <v>0</v>
      </c>
      <c r="AT463" s="76">
        <f t="shared" si="107"/>
        <v>0.18015766582048068</v>
      </c>
      <c r="AU463" s="76">
        <f t="shared" si="108"/>
        <v>62.504630046925833</v>
      </c>
      <c r="AV463" s="76">
        <f>MAX(0,(AU463-Constantes!$D$13)*(1-EXP(-Constantes!$D$24)))</f>
        <v>0.21024291856275718</v>
      </c>
      <c r="AW463" s="170">
        <f>AW462+(Entradas!$F$112*AT463-AX462)/(800*Entradas!$D$25)</f>
        <v>0</v>
      </c>
      <c r="AX463" s="170">
        <f>8000*Entradas!$D$26*AW463/Constantes!$F$45</f>
        <v>0</v>
      </c>
      <c r="AY463" s="170">
        <f>IF(Escenarios!$F$17&gt;0,10*Escenarios!$F$16*AL463,0)</f>
        <v>0</v>
      </c>
      <c r="AZ463" s="170">
        <f>IF(Escenarios!$F$17&gt;0,10*Escenarios!$F$16*AX463,0)</f>
        <v>0</v>
      </c>
      <c r="BA463" s="170">
        <f>IF(Escenarios!$F$17&gt;0,0.001*Observaciones!$F462*Escenarios!$F$17,0)</f>
        <v>0</v>
      </c>
      <c r="BB463" s="170">
        <f>IF(Escenarios!$F$17&gt;0,Observaciones!$K462,0)</f>
        <v>0</v>
      </c>
      <c r="BC463" s="170">
        <f>IF(Escenarios!$F$17&gt;0,MIN(0.0005*ETo!$M462*Escenarios!$F$17*(BG462/Constantes!$F$40)^(2/3),BG462+AY463+AZ463+BA463+BB463),0)</f>
        <v>0</v>
      </c>
      <c r="BD463" s="170">
        <f>IF(Escenarios!$F$17&gt;0,MIN(Constantes!$F$39*(BG462/Constantes!$F$40)^(2/3),BG462+AY463+AZ463+BA463+BB463-BC463),0)</f>
        <v>0</v>
      </c>
      <c r="BE463" s="170">
        <f>IF(Escenarios!$F$17&gt;0,MIN(Entradas!$F$113,BG462+AY463+AZ463+BA463+BB463-BC463-BD463),0)</f>
        <v>0</v>
      </c>
      <c r="BF463" s="170">
        <f>IF(Escenarios!$F$17&gt;0,MAX(0,BG462+AY463+AZ463+BA463+BB463-BC463-BD463-BE463-Constantes!$F$40),0)</f>
        <v>0</v>
      </c>
      <c r="BG463" s="170">
        <f t="shared" si="109"/>
        <v>0</v>
      </c>
      <c r="BH463" s="170">
        <f>(Escenarios!$F$16*AK463+0.1*BC463)/(Escenarios!$F$19)</f>
        <v>2.6498827581695998</v>
      </c>
      <c r="BI463" s="170">
        <f>IF(Escenarios!$F$17&gt;0,BF463/10/Escenarios!$F$19,AL463)</f>
        <v>0</v>
      </c>
      <c r="BJ463" s="170">
        <f>(Escenarios!$F$16*AT463+0.1*BD463)/(Escenarios!$F$19)</f>
        <v>0.18015766582048068</v>
      </c>
      <c r="BK463" s="76">
        <f>BK462+(0.1*BD463)/(Escenarios!$F$19)-BL462</f>
        <v>48.75</v>
      </c>
      <c r="BL463" s="76">
        <f>MAX(0,(BK463-Constantes!$D$13)*(1-EXP(-Constantes!$D$23)))</f>
        <v>0</v>
      </c>
      <c r="BM463" s="76">
        <f t="shared" si="110"/>
        <v>1.2470429185627572</v>
      </c>
      <c r="BN463" s="76">
        <f t="shared" si="111"/>
        <v>1.2470429185627572</v>
      </c>
      <c r="BO463" s="76">
        <f>0.0526*BI463*Observaciones!$F462^1.218</f>
        <v>0</v>
      </c>
      <c r="BP463" s="76">
        <f>BO463*Constantes!$F$51</f>
        <v>0</v>
      </c>
      <c r="BQ463" s="76">
        <f t="shared" si="112"/>
        <v>0</v>
      </c>
      <c r="BR463" s="40"/>
    </row>
    <row r="464" spans="2:70">
      <c r="B464" s="39"/>
      <c r="C464" s="75">
        <v>458</v>
      </c>
      <c r="D464" s="146">
        <f>ETo!$I463*((1-Constantes!$F$19)*ETo!$K463+ETo!$L463)</f>
        <v>3.9635698740396603</v>
      </c>
      <c r="E464" s="76">
        <f>MIN(D464*Constantes!$F$17,0.8*(N463+Observaciones!$F463-F464-M464-Constantes!$D$14))</f>
        <v>2.2604705012698232</v>
      </c>
      <c r="F464" s="76">
        <f>IF(Observaciones!$F463&gt;0.05*Constantes!$F$18,((Observaciones!$F463-0.05*Constantes!$F$18)^2)/(Observaciones!$F463+0.95*Constantes!$F$18),0)</f>
        <v>0</v>
      </c>
      <c r="G464" s="76">
        <f>IF(Escenarios!$F$11&gt;0,(F464*Escenarios!$F$16*10000)/1000,0)</f>
        <v>0</v>
      </c>
      <c r="H464" s="76">
        <f>IF(Escenarios!$F$11&gt;0,(Observaciones!$F463*Constantes!$F$29)/1000,0)</f>
        <v>0</v>
      </c>
      <c r="I464" s="76">
        <f>IF(Escenarios!$F$11&gt;0,(D464*Constantes!$F$29)/1000,0)</f>
        <v>0</v>
      </c>
      <c r="J464" s="76">
        <f>IF(Escenarios!$F$11&gt;0,MAX(0,G464+H464-I464),0)</f>
        <v>0</v>
      </c>
      <c r="K464" s="76">
        <f>IF(Escenarios!$F$11&gt;0,IF(J464&gt;Constantes!$F$30,1000*((J464-Constantes!$F$30)/(Escenarios!$F$16*10000)),0),F464)</f>
        <v>0</v>
      </c>
      <c r="L464" s="76">
        <f>IF(Escenarios!$F$11&gt;0,I464*1000/Escenarios!$F$16/10000+E464,E464)</f>
        <v>2.2604705012698232</v>
      </c>
      <c r="M464" s="76">
        <f>MAX(0,N463+Observaciones!$F463-K464-Constantes!$D$13)</f>
        <v>0</v>
      </c>
      <c r="N464" s="76">
        <f>N463+Observaciones!$F463-K464-L464-M464-O463</f>
        <v>15.824895376891916</v>
      </c>
      <c r="O464" s="76">
        <f>MAX(0,(N464-Constantes!$D$14)*(1-EXP(-Constantes!$D$22)))</f>
        <v>0.15583773132169076</v>
      </c>
      <c r="P464" s="170">
        <f>P463+(Entradas!$F$83*M464-Q463)/(800*Entradas!$D$25)</f>
        <v>0</v>
      </c>
      <c r="Q464" s="170">
        <f>8000*Entradas!$D$26*P464/Constantes!$F$45</f>
        <v>0</v>
      </c>
      <c r="R464" s="170">
        <f>IF(Escenarios!$F$14&gt;0,K464*Escenarios!$F$13/Escenarios!$F$14,0)</f>
        <v>0</v>
      </c>
      <c r="S464" s="170">
        <f>IF(Escenarios!$F$14&gt;0,Q464*Escenarios!$F$13/Escenarios!$F$14,0)</f>
        <v>0</v>
      </c>
      <c r="T464" s="170">
        <f>IF(Escenarios!$F$14&gt;0,Observaciones!$I463,0)</f>
        <v>0</v>
      </c>
      <c r="U464" s="170">
        <f>IF(Escenarios!$F$14&gt;0,MAX(0,Constantes!$F$36/((Z463+R464+S464+T464+Observaciones!$F463)^2)+Entradas!$F$77),0)</f>
        <v>1.3207424786349</v>
      </c>
      <c r="V464" s="146">
        <f>IF(ETo!D463&gt;0,ETo!I463*((1-Entradas!$F$81)*ETo!K463+ETo!L463),0)</f>
        <v>3.5069942816526241</v>
      </c>
      <c r="W464" s="170">
        <f>IF(Escenarios!$F$14&gt;0,MIN(V464*1,0.8*(Z463+R464+S464+T464+Observaciones!$F463-U464-Constantes!$F$35)),0)</f>
        <v>3.5069942816526241</v>
      </c>
      <c r="X464" s="170">
        <f>IF(Escenarios!$F$14&gt;0,Observaciones!$J463,0)</f>
        <v>0</v>
      </c>
      <c r="Y464" s="170">
        <f>IF(Escenarios!$F$14&gt;0,MAX(0,Z463+R464+S464+T464+Observaciones!$F463-U464-W464-X464-Constantes!$F$33),0)</f>
        <v>0</v>
      </c>
      <c r="Z464" s="170">
        <f>Z463+R464+S464+T464+Observaciones!$F463-U464-W464-Y464</f>
        <v>73.363456768875551</v>
      </c>
      <c r="AA464" s="170">
        <f>IF(Escenarios!$F$14&gt;0,(Escenarios!$F$13*L464+Escenarios!$F$14*W464)/(Escenarios!$F$16),L464)</f>
        <v>2.4100533549157594</v>
      </c>
      <c r="AB464" s="170">
        <f>IF(Escenarios!$F$14&gt;0,(Escenarios!$F$14*Y464)/(Escenarios!$F$16),K464)</f>
        <v>0</v>
      </c>
      <c r="AC464" s="170">
        <f>IF(Escenarios!$F$14&gt;0,(Escenarios!$F$13*M464+Escenarios!$F$14*U464)/(Escenarios!$F$16),M464)</f>
        <v>0.158489097436188</v>
      </c>
      <c r="AD464" s="76">
        <f t="shared" si="99"/>
        <v>163.41625390174002</v>
      </c>
      <c r="AE464" s="76">
        <f>MAX(0,(AD464-Constantes!$D$13)*(1-EXP(-Constantes!$D$23)))</f>
        <v>1.1298339110677018</v>
      </c>
      <c r="AF464" s="76">
        <f>AB464+O464*Escenarios!$F$13/Escenarios!$F$16+AE464</f>
        <v>1.2669711146307896</v>
      </c>
      <c r="AG464" s="76">
        <f>IF(Entradas!$F$91&gt;0,IF(AF464-Escenarios!$F$38&lt;=0,0,IF(AF464-Escenarios!$F$38&gt;Escenarios!$F$37,Escenarios!$F$37,AF464-Escenarios!$F$38)),0)</f>
        <v>0.23017111463078965</v>
      </c>
      <c r="AH464" s="76">
        <f>AG464*Entradas!$F$99</f>
        <v>0</v>
      </c>
      <c r="AI464" s="76">
        <f>IF(Entradas!$F$91&gt;0,D464*Entradas!$D$23/Escenarios!$F$16,0)</f>
        <v>0.19025135395390369</v>
      </c>
      <c r="AJ464" s="76">
        <f>IF(Entradas!$F$91&gt;0,Entradas!$D$24*Entradas!$D$22/Escenarios!$F$16,0)</f>
        <v>0.12</v>
      </c>
      <c r="AK464" s="76">
        <f t="shared" si="100"/>
        <v>2.6003047088696629</v>
      </c>
      <c r="AL464" s="76">
        <f t="shared" si="101"/>
        <v>0</v>
      </c>
      <c r="AM464" s="76">
        <f t="shared" si="102"/>
        <v>0.23017111463078965</v>
      </c>
      <c r="AN464" s="76">
        <f>MAX(0,O464*Escenarios!$F$13/Escenarios!$F$16-AM464)</f>
        <v>0</v>
      </c>
      <c r="AO464" s="76">
        <f>AM464+AN464-O464*Escenarios!$F$13/Escenarios!$F$16</f>
        <v>9.3033911067701786E-2</v>
      </c>
      <c r="AP464" s="76">
        <f t="shared" si="103"/>
        <v>1.0367999999999999</v>
      </c>
      <c r="AQ464" s="76">
        <f t="shared" si="104"/>
        <v>0</v>
      </c>
      <c r="AR464" s="76">
        <f t="shared" si="105"/>
        <v>1.0367999999999999</v>
      </c>
      <c r="AS464" s="76">
        <f t="shared" si="106"/>
        <v>0</v>
      </c>
      <c r="AT464" s="76">
        <f t="shared" si="107"/>
        <v>0.158489097436188</v>
      </c>
      <c r="AU464" s="76">
        <f t="shared" si="108"/>
        <v>62.294387128363077</v>
      </c>
      <c r="AV464" s="76">
        <f>MAX(0,(AU464-Constantes!$D$13)*(1-EXP(-Constantes!$D$24)))</f>
        <v>0.2070293036087392</v>
      </c>
      <c r="AW464" s="170">
        <f>AW463+(Entradas!$F$112*AT464-AX463)/(800*Entradas!$D$25)</f>
        <v>0</v>
      </c>
      <c r="AX464" s="170">
        <f>8000*Entradas!$D$26*AW464/Constantes!$F$45</f>
        <v>0</v>
      </c>
      <c r="AY464" s="170">
        <f>IF(Escenarios!$F$17&gt;0,10*Escenarios!$F$16*AL464,0)</f>
        <v>0</v>
      </c>
      <c r="AZ464" s="170">
        <f>IF(Escenarios!$F$17&gt;0,10*Escenarios!$F$16*AX464,0)</f>
        <v>0</v>
      </c>
      <c r="BA464" s="170">
        <f>IF(Escenarios!$F$17&gt;0,0.001*Observaciones!$F463*Escenarios!$F$17,0)</f>
        <v>0</v>
      </c>
      <c r="BB464" s="170">
        <f>IF(Escenarios!$F$17&gt;0,Observaciones!$K463,0)</f>
        <v>0</v>
      </c>
      <c r="BC464" s="170">
        <f>IF(Escenarios!$F$17&gt;0,MIN(0.0005*ETo!$M463*Escenarios!$F$17*(BG463/Constantes!$F$40)^(2/3),BG463+AY464+AZ464+BA464+BB464),0)</f>
        <v>0</v>
      </c>
      <c r="BD464" s="170">
        <f>IF(Escenarios!$F$17&gt;0,MIN(Constantes!$F$39*(BG463/Constantes!$F$40)^(2/3),BG463+AY464+AZ464+BA464+BB464-BC464),0)</f>
        <v>0</v>
      </c>
      <c r="BE464" s="170">
        <f>IF(Escenarios!$F$17&gt;0,MIN(Entradas!$F$113,BG463+AY464+AZ464+BA464+BB464-BC464-BD464),0)</f>
        <v>0</v>
      </c>
      <c r="BF464" s="170">
        <f>IF(Escenarios!$F$17&gt;0,MAX(0,BG463+AY464+AZ464+BA464+BB464-BC464-BD464-BE464-Constantes!$F$40),0)</f>
        <v>0</v>
      </c>
      <c r="BG464" s="170">
        <f t="shared" si="109"/>
        <v>0</v>
      </c>
      <c r="BH464" s="170">
        <f>(Escenarios!$F$16*AK464+0.1*BC464)/(Escenarios!$F$19)</f>
        <v>2.6003047088696629</v>
      </c>
      <c r="BI464" s="170">
        <f>IF(Escenarios!$F$17&gt;0,BF464/10/Escenarios!$F$19,AL464)</f>
        <v>0</v>
      </c>
      <c r="BJ464" s="170">
        <f>(Escenarios!$F$16*AT464+0.1*BD464)/(Escenarios!$F$19)</f>
        <v>0.158489097436188</v>
      </c>
      <c r="BK464" s="76">
        <f>BK463+(0.1*BD464)/(Escenarios!$F$19)-BL463</f>
        <v>48.75</v>
      </c>
      <c r="BL464" s="76">
        <f>MAX(0,(BK464-Constantes!$D$13)*(1-EXP(-Constantes!$D$23)))</f>
        <v>0</v>
      </c>
      <c r="BM464" s="76">
        <f t="shared" si="110"/>
        <v>1.2438293036087391</v>
      </c>
      <c r="BN464" s="76">
        <f t="shared" si="111"/>
        <v>1.2438293036087391</v>
      </c>
      <c r="BO464" s="76">
        <f>0.0526*BI464*Observaciones!$F463^1.218</f>
        <v>0</v>
      </c>
      <c r="BP464" s="76">
        <f>BO464*Constantes!$F$51</f>
        <v>0</v>
      </c>
      <c r="BQ464" s="76">
        <f t="shared" si="112"/>
        <v>0</v>
      </c>
      <c r="BR464" s="40"/>
    </row>
    <row r="465" spans="2:70">
      <c r="B465" s="39"/>
      <c r="C465" s="75">
        <v>459</v>
      </c>
      <c r="D465" s="146">
        <f>ETo!$I464*((1-Constantes!$F$19)*ETo!$K464+ETo!$L464)</f>
        <v>3.8927389697957611</v>
      </c>
      <c r="E465" s="76">
        <f>MIN(D465*Constantes!$F$17,0.8*(N464+Observaciones!$F464-F465-M465-Constantes!$D$14))</f>
        <v>2.2200748037774467</v>
      </c>
      <c r="F465" s="76">
        <f>IF(Observaciones!$F464&gt;0.05*Constantes!$F$18,((Observaciones!$F464-0.05*Constantes!$F$18)^2)/(Observaciones!$F464+0.95*Constantes!$F$18),0)</f>
        <v>0</v>
      </c>
      <c r="G465" s="76">
        <f>IF(Escenarios!$F$11&gt;0,(F465*Escenarios!$F$16*10000)/1000,0)</f>
        <v>0</v>
      </c>
      <c r="H465" s="76">
        <f>IF(Escenarios!$F$11&gt;0,(Observaciones!$F464*Constantes!$F$29)/1000,0)</f>
        <v>0</v>
      </c>
      <c r="I465" s="76">
        <f>IF(Escenarios!$F$11&gt;0,(D465*Constantes!$F$29)/1000,0)</f>
        <v>0</v>
      </c>
      <c r="J465" s="76">
        <f>IF(Escenarios!$F$11&gt;0,MAX(0,G465+H465-I465),0)</f>
        <v>0</v>
      </c>
      <c r="K465" s="76">
        <f>IF(Escenarios!$F$11&gt;0,IF(J465&gt;Constantes!$F$30,1000*((J465-Constantes!$F$30)/(Escenarios!$F$16*10000)),0),F465)</f>
        <v>0</v>
      </c>
      <c r="L465" s="76">
        <f>IF(Escenarios!$F$11&gt;0,I465*1000/Escenarios!$F$16/10000+E465,E465)</f>
        <v>2.2200748037774467</v>
      </c>
      <c r="M465" s="76">
        <f>MAX(0,N464+Observaciones!$F464-K465-Constantes!$D$13)</f>
        <v>0</v>
      </c>
      <c r="N465" s="76">
        <f>N464+Observaciones!$F464-K465-L465-M465-O464</f>
        <v>13.448982841792779</v>
      </c>
      <c r="O465" s="76">
        <f>MAX(0,(N465-Constantes!$D$14)*(1-EXP(-Constantes!$D$22)))</f>
        <v>7.4905428222737491E-2</v>
      </c>
      <c r="P465" s="170">
        <f>P464+(Entradas!$F$83*M465-Q464)/(800*Entradas!$D$25)</f>
        <v>0</v>
      </c>
      <c r="Q465" s="170">
        <f>8000*Entradas!$D$26*P465/Constantes!$F$45</f>
        <v>0</v>
      </c>
      <c r="R465" s="170">
        <f>IF(Escenarios!$F$14&gt;0,K465*Escenarios!$F$13/Escenarios!$F$14,0)</f>
        <v>0</v>
      </c>
      <c r="S465" s="170">
        <f>IF(Escenarios!$F$14&gt;0,Q465*Escenarios!$F$13/Escenarios!$F$14,0)</f>
        <v>0</v>
      </c>
      <c r="T465" s="170">
        <f>IF(Escenarios!$F$14&gt;0,Observaciones!$I464,0)</f>
        <v>0</v>
      </c>
      <c r="U465" s="170">
        <f>IF(Escenarios!$F$14&gt;0,MAX(0,Constantes!$F$36/((Z464+R465+S465+T465+Observaciones!$F464)^2)+Entradas!$F$77),0)</f>
        <v>1.0924610521798721</v>
      </c>
      <c r="V465" s="146">
        <f>IF(ETo!D464&gt;0,ETo!I464*((1-Entradas!$F$81)*ETo!K464+ETo!L464),0)</f>
        <v>3.4428642736443065</v>
      </c>
      <c r="W465" s="170">
        <f>IF(Escenarios!$F$14&gt;0,MIN(V465*1,0.8*(Z464+R465+S465+T465+Observaciones!$F464-U465-Constantes!$F$35)),0)</f>
        <v>3.4428642736443065</v>
      </c>
      <c r="X465" s="170">
        <f>IF(Escenarios!$F$14&gt;0,Observaciones!$J464,0)</f>
        <v>0</v>
      </c>
      <c r="Y465" s="170">
        <f>IF(Escenarios!$F$14&gt;0,MAX(0,Z464+R465+S465+T465+Observaciones!$F464-U465-W465-X465-Constantes!$F$33),0)</f>
        <v>0</v>
      </c>
      <c r="Z465" s="170">
        <f>Z464+R465+S465+T465+Observaciones!$F464-U465-W465-Y465</f>
        <v>68.828131443051376</v>
      </c>
      <c r="AA465" s="170">
        <f>IF(Escenarios!$F$14&gt;0,(Escenarios!$F$13*L465+Escenarios!$F$14*W465)/(Escenarios!$F$16),L465)</f>
        <v>2.3668095401614702</v>
      </c>
      <c r="AB465" s="170">
        <f>IF(Escenarios!$F$14&gt;0,(Escenarios!$F$14*Y465)/(Escenarios!$F$16),K465)</f>
        <v>0</v>
      </c>
      <c r="AC465" s="170">
        <f>IF(Escenarios!$F$14&gt;0,(Escenarios!$F$13*M465+Escenarios!$F$14*U465)/(Escenarios!$F$16),M465)</f>
        <v>0.13109532626158465</v>
      </c>
      <c r="AD465" s="76">
        <f t="shared" si="99"/>
        <v>162.4175153169339</v>
      </c>
      <c r="AE465" s="76">
        <f>MAX(0,(AD465-Constantes!$D$13)*(1-EXP(-Constantes!$D$23)))</f>
        <v>1.1199931019106095</v>
      </c>
      <c r="AF465" s="76">
        <f>AB465+O465*Escenarios!$F$13/Escenarios!$F$16+AE465</f>
        <v>1.1859098787466185</v>
      </c>
      <c r="AG465" s="76">
        <f>IF(Entradas!$F$91&gt;0,IF(AF465-Escenarios!$F$38&lt;=0,0,IF(AF465-Escenarios!$F$38&gt;Escenarios!$F$37,Escenarios!$F$37,AF465-Escenarios!$F$38)),0)</f>
        <v>0.14910987874661852</v>
      </c>
      <c r="AH465" s="76">
        <f>AG465*Entradas!$F$99</f>
        <v>0</v>
      </c>
      <c r="AI465" s="76">
        <f>IF(Entradas!$F$91&gt;0,D465*Entradas!$D$23/Escenarios!$F$16,0)</f>
        <v>0.18685147055019652</v>
      </c>
      <c r="AJ465" s="76">
        <f>IF(Entradas!$F$91&gt;0,Entradas!$D$24*Entradas!$D$22/Escenarios!$F$16,0)</f>
        <v>0.12</v>
      </c>
      <c r="AK465" s="76">
        <f t="shared" si="100"/>
        <v>2.5536610107116666</v>
      </c>
      <c r="AL465" s="76">
        <f t="shared" si="101"/>
        <v>0</v>
      </c>
      <c r="AM465" s="76">
        <f t="shared" si="102"/>
        <v>0.14910987874661852</v>
      </c>
      <c r="AN465" s="76">
        <f>MAX(0,O465*Escenarios!$F$13/Escenarios!$F$16-AM465)</f>
        <v>0</v>
      </c>
      <c r="AO465" s="76">
        <f>AM465+AN465-O465*Escenarios!$F$13/Escenarios!$F$16</f>
        <v>8.3193101910609524E-2</v>
      </c>
      <c r="AP465" s="76">
        <f t="shared" si="103"/>
        <v>1.0367999999999999</v>
      </c>
      <c r="AQ465" s="76">
        <f t="shared" si="104"/>
        <v>0</v>
      </c>
      <c r="AR465" s="76">
        <f t="shared" si="105"/>
        <v>1.0367999999999999</v>
      </c>
      <c r="AS465" s="76">
        <f t="shared" si="106"/>
        <v>0</v>
      </c>
      <c r="AT465" s="76">
        <f t="shared" si="107"/>
        <v>0.13109532626158465</v>
      </c>
      <c r="AU465" s="76">
        <f t="shared" si="108"/>
        <v>62.087357824754335</v>
      </c>
      <c r="AV465" s="76">
        <f>MAX(0,(AU465-Constantes!$D$13)*(1-EXP(-Constantes!$D$24)))</f>
        <v>0.20386480955326694</v>
      </c>
      <c r="AW465" s="170">
        <f>AW464+(Entradas!$F$112*AT465-AX464)/(800*Entradas!$D$25)</f>
        <v>0</v>
      </c>
      <c r="AX465" s="170">
        <f>8000*Entradas!$D$26*AW465/Constantes!$F$45</f>
        <v>0</v>
      </c>
      <c r="AY465" s="170">
        <f>IF(Escenarios!$F$17&gt;0,10*Escenarios!$F$16*AL465,0)</f>
        <v>0</v>
      </c>
      <c r="AZ465" s="170">
        <f>IF(Escenarios!$F$17&gt;0,10*Escenarios!$F$16*AX465,0)</f>
        <v>0</v>
      </c>
      <c r="BA465" s="170">
        <f>IF(Escenarios!$F$17&gt;0,0.001*Observaciones!$F464*Escenarios!$F$17,0)</f>
        <v>0</v>
      </c>
      <c r="BB465" s="170">
        <f>IF(Escenarios!$F$17&gt;0,Observaciones!$K464,0)</f>
        <v>0</v>
      </c>
      <c r="BC465" s="170">
        <f>IF(Escenarios!$F$17&gt;0,MIN(0.0005*ETo!$M464*Escenarios!$F$17*(BG464/Constantes!$F$40)^(2/3),BG464+AY465+AZ465+BA465+BB465),0)</f>
        <v>0</v>
      </c>
      <c r="BD465" s="170">
        <f>IF(Escenarios!$F$17&gt;0,MIN(Constantes!$F$39*(BG464/Constantes!$F$40)^(2/3),BG464+AY465+AZ465+BA465+BB465-BC465),0)</f>
        <v>0</v>
      </c>
      <c r="BE465" s="170">
        <f>IF(Escenarios!$F$17&gt;0,MIN(Entradas!$F$113,BG464+AY465+AZ465+BA465+BB465-BC465-BD465),0)</f>
        <v>0</v>
      </c>
      <c r="BF465" s="170">
        <f>IF(Escenarios!$F$17&gt;0,MAX(0,BG464+AY465+AZ465+BA465+BB465-BC465-BD465-BE465-Constantes!$F$40),0)</f>
        <v>0</v>
      </c>
      <c r="BG465" s="170">
        <f t="shared" si="109"/>
        <v>0</v>
      </c>
      <c r="BH465" s="170">
        <f>(Escenarios!$F$16*AK465+0.1*BC465)/(Escenarios!$F$19)</f>
        <v>2.5536610107116666</v>
      </c>
      <c r="BI465" s="170">
        <f>IF(Escenarios!$F$17&gt;0,BF465/10/Escenarios!$F$19,AL465)</f>
        <v>0</v>
      </c>
      <c r="BJ465" s="170">
        <f>(Escenarios!$F$16*AT465+0.1*BD465)/(Escenarios!$F$19)</f>
        <v>0.13109532626158465</v>
      </c>
      <c r="BK465" s="76">
        <f>BK464+(0.1*BD465)/(Escenarios!$F$19)-BL464</f>
        <v>48.75</v>
      </c>
      <c r="BL465" s="76">
        <f>MAX(0,(BK465-Constantes!$D$13)*(1-EXP(-Constantes!$D$23)))</f>
        <v>0</v>
      </c>
      <c r="BM465" s="76">
        <f t="shared" si="110"/>
        <v>1.2406648095532669</v>
      </c>
      <c r="BN465" s="76">
        <f t="shared" si="111"/>
        <v>1.2406648095532669</v>
      </c>
      <c r="BO465" s="76">
        <f>0.0526*BI465*Observaciones!$F464^1.218</f>
        <v>0</v>
      </c>
      <c r="BP465" s="76">
        <f>BO465*Constantes!$F$51</f>
        <v>0</v>
      </c>
      <c r="BQ465" s="76">
        <f t="shared" si="112"/>
        <v>0</v>
      </c>
      <c r="BR465" s="40"/>
    </row>
    <row r="466" spans="2:70">
      <c r="B466" s="39"/>
      <c r="C466" s="75">
        <v>460</v>
      </c>
      <c r="D466" s="146">
        <f>ETo!$I465*((1-Constantes!$F$19)*ETo!$K465+ETo!$L465)</f>
        <v>3.8793868084853766</v>
      </c>
      <c r="E466" s="76">
        <f>MIN(D466*Constantes!$F$17,0.8*(N465+Observaciones!$F465-F466-M466-Constantes!$D$14))</f>
        <v>1.759186273434223</v>
      </c>
      <c r="F466" s="76">
        <f>IF(Observaciones!$F465&gt;0.05*Constantes!$F$18,((Observaciones!$F465-0.05*Constantes!$F$18)^2)/(Observaciones!$F465+0.95*Constantes!$F$18),0)</f>
        <v>0</v>
      </c>
      <c r="G466" s="76">
        <f>IF(Escenarios!$F$11&gt;0,(F466*Escenarios!$F$16*10000)/1000,0)</f>
        <v>0</v>
      </c>
      <c r="H466" s="76">
        <f>IF(Escenarios!$F$11&gt;0,(Observaciones!$F465*Constantes!$F$29)/1000,0)</f>
        <v>0</v>
      </c>
      <c r="I466" s="76">
        <f>IF(Escenarios!$F$11&gt;0,(D466*Constantes!$F$29)/1000,0)</f>
        <v>0</v>
      </c>
      <c r="J466" s="76">
        <f>IF(Escenarios!$F$11&gt;0,MAX(0,G466+H466-I466),0)</f>
        <v>0</v>
      </c>
      <c r="K466" s="76">
        <f>IF(Escenarios!$F$11&gt;0,IF(J466&gt;Constantes!$F$30,1000*((J466-Constantes!$F$30)/(Escenarios!$F$16*10000)),0),F466)</f>
        <v>0</v>
      </c>
      <c r="L466" s="76">
        <f>IF(Escenarios!$F$11&gt;0,I466*1000/Escenarios!$F$16/10000+E466,E466)</f>
        <v>1.759186273434223</v>
      </c>
      <c r="M466" s="76">
        <f>MAX(0,N465+Observaciones!$F465-K466-Constantes!$D$13)</f>
        <v>0</v>
      </c>
      <c r="N466" s="76">
        <f>N465+Observaciones!$F465-K466-L466-M466-O465</f>
        <v>11.614891140135818</v>
      </c>
      <c r="O466" s="76">
        <f>MAX(0,(N466-Constantes!$D$14)*(1-EXP(-Constantes!$D$22)))</f>
        <v>1.2429531775824563E-2</v>
      </c>
      <c r="P466" s="170">
        <f>P465+(Entradas!$F$83*M466-Q465)/(800*Entradas!$D$25)</f>
        <v>0</v>
      </c>
      <c r="Q466" s="170">
        <f>8000*Entradas!$D$26*P466/Constantes!$F$45</f>
        <v>0</v>
      </c>
      <c r="R466" s="170">
        <f>IF(Escenarios!$F$14&gt;0,K466*Escenarios!$F$13/Escenarios!$F$14,0)</f>
        <v>0</v>
      </c>
      <c r="S466" s="170">
        <f>IF(Escenarios!$F$14&gt;0,Q466*Escenarios!$F$13/Escenarios!$F$14,0)</f>
        <v>0</v>
      </c>
      <c r="T466" s="170">
        <f>IF(Escenarios!$F$14&gt;0,Observaciones!$I465,0)</f>
        <v>0</v>
      </c>
      <c r="U466" s="170">
        <f>IF(Escenarios!$F$14&gt;0,MAX(0,Constantes!$F$36/((Z465+R466+S466+T466+Observaciones!$F465)^2)+Entradas!$F$77),0)</f>
        <v>0.83278983989919597</v>
      </c>
      <c r="V466" s="146">
        <f>IF(ETo!D465&gt;0,ETo!I465*((1-Entradas!$F$81)*ETo!K465+ETo!L465),0)</f>
        <v>3.4305494236645844</v>
      </c>
      <c r="W466" s="170">
        <f>IF(Escenarios!$F$14&gt;0,MIN(V466*1,0.8*(Z465+R466+S466+T466+Observaciones!$F465-U466-Constantes!$F$35)),0)</f>
        <v>3.4305494236645844</v>
      </c>
      <c r="X466" s="170">
        <f>IF(Escenarios!$F$14&gt;0,Observaciones!$J465,0)</f>
        <v>0</v>
      </c>
      <c r="Y466" s="170">
        <f>IF(Escenarios!$F$14&gt;0,MAX(0,Z465+R466+S466+T466+Observaciones!$F465-U466-W466-X466-Constantes!$F$33),0)</f>
        <v>0</v>
      </c>
      <c r="Z466" s="170">
        <f>Z465+R466+S466+T466+Observaciones!$F465-U466-W466-Y466</f>
        <v>64.564792179487597</v>
      </c>
      <c r="AA466" s="170">
        <f>IF(Escenarios!$F$14&gt;0,(Escenarios!$F$13*L466+Escenarios!$F$14*W466)/(Escenarios!$F$16),L466)</f>
        <v>1.9597498514618665</v>
      </c>
      <c r="AB466" s="170">
        <f>IF(Escenarios!$F$14&gt;0,(Escenarios!$F$14*Y466)/(Escenarios!$F$16),K466)</f>
        <v>0</v>
      </c>
      <c r="AC466" s="170">
        <f>IF(Escenarios!$F$14&gt;0,(Escenarios!$F$13*M466+Escenarios!$F$14*U466)/(Escenarios!$F$16),M466)</f>
        <v>9.9934780787903521E-2</v>
      </c>
      <c r="AD466" s="76">
        <f t="shared" si="99"/>
        <v>161.39745699581118</v>
      </c>
      <c r="AE466" s="76">
        <f>MAX(0,(AD466-Constantes!$D$13)*(1-EXP(-Constantes!$D$23)))</f>
        <v>1.1099422243136241</v>
      </c>
      <c r="AF466" s="76">
        <f>AB466+O466*Escenarios!$F$13/Escenarios!$F$16+AE466</f>
        <v>1.1208802122763497</v>
      </c>
      <c r="AG466" s="76">
        <f>IF(Entradas!$F$91&gt;0,IF(AF466-Escenarios!$F$38&lt;=0,0,IF(AF466-Escenarios!$F$38&gt;Escenarios!$F$37,Escenarios!$F$37,AF466-Escenarios!$F$38)),0)</f>
        <v>8.4080212276349764E-2</v>
      </c>
      <c r="AH466" s="76">
        <f>AG466*Entradas!$F$99</f>
        <v>0</v>
      </c>
      <c r="AI466" s="76">
        <f>IF(Entradas!$F$91&gt;0,D466*Entradas!$D$23/Escenarios!$F$16,0)</f>
        <v>0.18621056680729808</v>
      </c>
      <c r="AJ466" s="76">
        <f>IF(Entradas!$F$91&gt;0,Entradas!$D$24*Entradas!$D$22/Escenarios!$F$16,0)</f>
        <v>0.12</v>
      </c>
      <c r="AK466" s="76">
        <f t="shared" si="100"/>
        <v>2.1459604182691647</v>
      </c>
      <c r="AL466" s="76">
        <f t="shared" si="101"/>
        <v>0</v>
      </c>
      <c r="AM466" s="76">
        <f t="shared" si="102"/>
        <v>8.4080212276349764E-2</v>
      </c>
      <c r="AN466" s="76">
        <f>MAX(0,O466*Escenarios!$F$13/Escenarios!$F$16-AM466)</f>
        <v>0</v>
      </c>
      <c r="AO466" s="76">
        <f>AM466+AN466-O466*Escenarios!$F$13/Escenarios!$F$16</f>
        <v>7.3142224313624146E-2</v>
      </c>
      <c r="AP466" s="76">
        <f t="shared" si="103"/>
        <v>1.0367999999999999</v>
      </c>
      <c r="AQ466" s="76">
        <f t="shared" si="104"/>
        <v>0</v>
      </c>
      <c r="AR466" s="76">
        <f t="shared" si="105"/>
        <v>1.0367999999999999</v>
      </c>
      <c r="AS466" s="76">
        <f t="shared" si="106"/>
        <v>0</v>
      </c>
      <c r="AT466" s="76">
        <f t="shared" si="107"/>
        <v>9.9934780787903521E-2</v>
      </c>
      <c r="AU466" s="76">
        <f t="shared" si="108"/>
        <v>61.883493015201068</v>
      </c>
      <c r="AV466" s="76">
        <f>MAX(0,(AU466-Constantes!$D$13)*(1-EXP(-Constantes!$D$24)))</f>
        <v>0.20074868557127012</v>
      </c>
      <c r="AW466" s="170">
        <f>AW465+(Entradas!$F$112*AT466-AX465)/(800*Entradas!$D$25)</f>
        <v>0</v>
      </c>
      <c r="AX466" s="170">
        <f>8000*Entradas!$D$26*AW466/Constantes!$F$45</f>
        <v>0</v>
      </c>
      <c r="AY466" s="170">
        <f>IF(Escenarios!$F$17&gt;0,10*Escenarios!$F$16*AL466,0)</f>
        <v>0</v>
      </c>
      <c r="AZ466" s="170">
        <f>IF(Escenarios!$F$17&gt;0,10*Escenarios!$F$16*AX466,0)</f>
        <v>0</v>
      </c>
      <c r="BA466" s="170">
        <f>IF(Escenarios!$F$17&gt;0,0.001*Observaciones!$F465*Escenarios!$F$17,0)</f>
        <v>0</v>
      </c>
      <c r="BB466" s="170">
        <f>IF(Escenarios!$F$17&gt;0,Observaciones!$K465,0)</f>
        <v>0</v>
      </c>
      <c r="BC466" s="170">
        <f>IF(Escenarios!$F$17&gt;0,MIN(0.0005*ETo!$M465*Escenarios!$F$17*(BG465/Constantes!$F$40)^(2/3),BG465+AY466+AZ466+BA466+BB466),0)</f>
        <v>0</v>
      </c>
      <c r="BD466" s="170">
        <f>IF(Escenarios!$F$17&gt;0,MIN(Constantes!$F$39*(BG465/Constantes!$F$40)^(2/3),BG465+AY466+AZ466+BA466+BB466-BC466),0)</f>
        <v>0</v>
      </c>
      <c r="BE466" s="170">
        <f>IF(Escenarios!$F$17&gt;0,MIN(Entradas!$F$113,BG465+AY466+AZ466+BA466+BB466-BC466-BD466),0)</f>
        <v>0</v>
      </c>
      <c r="BF466" s="170">
        <f>IF(Escenarios!$F$17&gt;0,MAX(0,BG465+AY466+AZ466+BA466+BB466-BC466-BD466-BE466-Constantes!$F$40),0)</f>
        <v>0</v>
      </c>
      <c r="BG466" s="170">
        <f t="shared" si="109"/>
        <v>0</v>
      </c>
      <c r="BH466" s="170">
        <f>(Escenarios!$F$16*AK466+0.1*BC466)/(Escenarios!$F$19)</f>
        <v>2.1459604182691647</v>
      </c>
      <c r="BI466" s="170">
        <f>IF(Escenarios!$F$17&gt;0,BF466/10/Escenarios!$F$19,AL466)</f>
        <v>0</v>
      </c>
      <c r="BJ466" s="170">
        <f>(Escenarios!$F$16*AT466+0.1*BD466)/(Escenarios!$F$19)</f>
        <v>9.9934780787903521E-2</v>
      </c>
      <c r="BK466" s="76">
        <f>BK465+(0.1*BD466)/(Escenarios!$F$19)-BL465</f>
        <v>48.75</v>
      </c>
      <c r="BL466" s="76">
        <f>MAX(0,(BK466-Constantes!$D$13)*(1-EXP(-Constantes!$D$23)))</f>
        <v>0</v>
      </c>
      <c r="BM466" s="76">
        <f t="shared" si="110"/>
        <v>1.2375486855712701</v>
      </c>
      <c r="BN466" s="76">
        <f t="shared" si="111"/>
        <v>1.2375486855712701</v>
      </c>
      <c r="BO466" s="76">
        <f>0.0526*BI466*Observaciones!$F465^1.218</f>
        <v>0</v>
      </c>
      <c r="BP466" s="76">
        <f>BO466*Constantes!$F$51</f>
        <v>0</v>
      </c>
      <c r="BQ466" s="76">
        <f t="shared" si="112"/>
        <v>0</v>
      </c>
      <c r="BR466" s="40"/>
    </row>
    <row r="467" spans="2:70">
      <c r="B467" s="39"/>
      <c r="C467" s="75">
        <v>461</v>
      </c>
      <c r="D467" s="146">
        <f>ETo!$I466*((1-Constantes!$F$19)*ETo!$K466+ETo!$L466)</f>
        <v>3.6870587586930581</v>
      </c>
      <c r="E467" s="76">
        <f>MIN(D467*Constantes!$F$17,0.8*(N466+Observaciones!$F466-F467-M467-Constantes!$D$14))</f>
        <v>0.29191291210865417</v>
      </c>
      <c r="F467" s="76">
        <f>IF(Observaciones!$F466&gt;0.05*Constantes!$F$18,((Observaciones!$F466-0.05*Constantes!$F$18)^2)/(Observaciones!$F466+0.95*Constantes!$F$18),0)</f>
        <v>0</v>
      </c>
      <c r="G467" s="76">
        <f>IF(Escenarios!$F$11&gt;0,(F467*Escenarios!$F$16*10000)/1000,0)</f>
        <v>0</v>
      </c>
      <c r="H467" s="76">
        <f>IF(Escenarios!$F$11&gt;0,(Observaciones!$F466*Constantes!$F$29)/1000,0)</f>
        <v>0</v>
      </c>
      <c r="I467" s="76">
        <f>IF(Escenarios!$F$11&gt;0,(D467*Constantes!$F$29)/1000,0)</f>
        <v>0</v>
      </c>
      <c r="J467" s="76">
        <f>IF(Escenarios!$F$11&gt;0,MAX(0,G467+H467-I467),0)</f>
        <v>0</v>
      </c>
      <c r="K467" s="76">
        <f>IF(Escenarios!$F$11&gt;0,IF(J467&gt;Constantes!$F$30,1000*((J467-Constantes!$F$30)/(Escenarios!$F$16*10000)),0),F467)</f>
        <v>0</v>
      </c>
      <c r="L467" s="76">
        <f>IF(Escenarios!$F$11&gt;0,I467*1000/Escenarios!$F$16/10000+E467,E467)</f>
        <v>0.29191291210865417</v>
      </c>
      <c r="M467" s="76">
        <f>MAX(0,N466+Observaciones!$F466-K467-Constantes!$D$13)</f>
        <v>0</v>
      </c>
      <c r="N467" s="76">
        <f>N466+Observaciones!$F466-K467-L467-M467-O466</f>
        <v>11.31054869625134</v>
      </c>
      <c r="O467" s="76">
        <f>MAX(0,(N467-Constantes!$D$14)*(1-EXP(-Constantes!$D$22)))</f>
        <v>2.0625108731350786E-3</v>
      </c>
      <c r="P467" s="170">
        <f>P466+(Entradas!$F$83*M467-Q466)/(800*Entradas!$D$25)</f>
        <v>0</v>
      </c>
      <c r="Q467" s="170">
        <f>8000*Entradas!$D$26*P467/Constantes!$F$45</f>
        <v>0</v>
      </c>
      <c r="R467" s="170">
        <f>IF(Escenarios!$F$14&gt;0,K467*Escenarios!$F$13/Escenarios!$F$14,0)</f>
        <v>0</v>
      </c>
      <c r="S467" s="170">
        <f>IF(Escenarios!$F$14&gt;0,Q467*Escenarios!$F$13/Escenarios!$F$14,0)</f>
        <v>0</v>
      </c>
      <c r="T467" s="170">
        <f>IF(Escenarios!$F$14&gt;0,Observaciones!$I466,0)</f>
        <v>0</v>
      </c>
      <c r="U467" s="170">
        <f>IF(Escenarios!$F$14&gt;0,MAX(0,Constantes!$F$36/((Z466+R467+S467+T467+Observaciones!$F466)^2)+Entradas!$F$77),0)</f>
        <v>0.53713009474154738</v>
      </c>
      <c r="V467" s="146">
        <f>IF(ETo!D466&gt;0,ETo!I466*((1-Entradas!$F$81)*ETo!K466+ETo!L466),0)</f>
        <v>3.2575833450462803</v>
      </c>
      <c r="W467" s="170">
        <f>IF(Escenarios!$F$14&gt;0,MIN(V467*1,0.8*(Z466+R467+S467+T467+Observaciones!$F466-U467-Constantes!$F$35)),0)</f>
        <v>3.2575833450462803</v>
      </c>
      <c r="X467" s="170">
        <f>IF(Escenarios!$F$14&gt;0,Observaciones!$J466,0)</f>
        <v>0</v>
      </c>
      <c r="Y467" s="170">
        <f>IF(Escenarios!$F$14&gt;0,MAX(0,Z466+R467+S467+T467+Observaciones!$F466-U467-W467-X467-Constantes!$F$33),0)</f>
        <v>0</v>
      </c>
      <c r="Z467" s="170">
        <f>Z466+R467+S467+T467+Observaciones!$F466-U467-W467-Y467</f>
        <v>60.770078739699777</v>
      </c>
      <c r="AA467" s="170">
        <f>IF(Escenarios!$F$14&gt;0,(Escenarios!$F$13*L467+Escenarios!$F$14*W467)/(Escenarios!$F$16),L467)</f>
        <v>0.64779336406116927</v>
      </c>
      <c r="AB467" s="170">
        <f>IF(Escenarios!$F$14&gt;0,(Escenarios!$F$14*Y467)/(Escenarios!$F$16),K467)</f>
        <v>0</v>
      </c>
      <c r="AC467" s="170">
        <f>IF(Escenarios!$F$14&gt;0,(Escenarios!$F$13*M467+Escenarios!$F$14*U467)/(Escenarios!$F$16),M467)</f>
        <v>6.4455611368985685E-2</v>
      </c>
      <c r="AD467" s="76">
        <f t="shared" si="99"/>
        <v>160.35197038286657</v>
      </c>
      <c r="AE467" s="76">
        <f>MAX(0,(AD467-Constantes!$D$13)*(1-EXP(-Constantes!$D$23)))</f>
        <v>1.0996407957007703</v>
      </c>
      <c r="AF467" s="76">
        <f>AB467+O467*Escenarios!$F$13/Escenarios!$F$16+AE467</f>
        <v>1.1014558052691292</v>
      </c>
      <c r="AG467" s="76">
        <f>IF(Entradas!$F$91&gt;0,IF(AF467-Escenarios!$F$38&lt;=0,0,IF(AF467-Escenarios!$F$38&gt;Escenarios!$F$37,Escenarios!$F$37,AF467-Escenarios!$F$38)),0)</f>
        <v>6.4655805269129285E-2</v>
      </c>
      <c r="AH467" s="76">
        <f>AG467*Entradas!$F$99</f>
        <v>0</v>
      </c>
      <c r="AI467" s="76">
        <f>IF(Entradas!$F$91&gt;0,D467*Entradas!$D$23/Escenarios!$F$16,0)</f>
        <v>0.17697882041726679</v>
      </c>
      <c r="AJ467" s="76">
        <f>IF(Entradas!$F$91&gt;0,Entradas!$D$24*Entradas!$D$22/Escenarios!$F$16,0)</f>
        <v>0.12</v>
      </c>
      <c r="AK467" s="76">
        <f t="shared" si="100"/>
        <v>0.82477218447843603</v>
      </c>
      <c r="AL467" s="76">
        <f t="shared" si="101"/>
        <v>0</v>
      </c>
      <c r="AM467" s="76">
        <f t="shared" si="102"/>
        <v>6.4655805269129285E-2</v>
      </c>
      <c r="AN467" s="76">
        <f>MAX(0,O467*Escenarios!$F$13/Escenarios!$F$16-AM467)</f>
        <v>0</v>
      </c>
      <c r="AO467" s="76">
        <f>AM467+AN467-O467*Escenarios!$F$13/Escenarios!$F$16</f>
        <v>6.2840795700770419E-2</v>
      </c>
      <c r="AP467" s="76">
        <f t="shared" si="103"/>
        <v>1.0367999999999999</v>
      </c>
      <c r="AQ467" s="76">
        <f t="shared" si="104"/>
        <v>0</v>
      </c>
      <c r="AR467" s="76">
        <f t="shared" si="105"/>
        <v>1.0367999999999999</v>
      </c>
      <c r="AS467" s="76">
        <f t="shared" si="106"/>
        <v>0</v>
      </c>
      <c r="AT467" s="76">
        <f t="shared" si="107"/>
        <v>6.4455611368985685E-2</v>
      </c>
      <c r="AU467" s="76">
        <f t="shared" si="108"/>
        <v>61.682744329629799</v>
      </c>
      <c r="AV467" s="76">
        <f>MAX(0,(AU467-Constantes!$D$13)*(1-EXP(-Constantes!$D$24)))</f>
        <v>0.19768019231422509</v>
      </c>
      <c r="AW467" s="170">
        <f>AW466+(Entradas!$F$112*AT467-AX466)/(800*Entradas!$D$25)</f>
        <v>0</v>
      </c>
      <c r="AX467" s="170">
        <f>8000*Entradas!$D$26*AW467/Constantes!$F$45</f>
        <v>0</v>
      </c>
      <c r="AY467" s="170">
        <f>IF(Escenarios!$F$17&gt;0,10*Escenarios!$F$16*AL467,0)</f>
        <v>0</v>
      </c>
      <c r="AZ467" s="170">
        <f>IF(Escenarios!$F$17&gt;0,10*Escenarios!$F$16*AX467,0)</f>
        <v>0</v>
      </c>
      <c r="BA467" s="170">
        <f>IF(Escenarios!$F$17&gt;0,0.001*Observaciones!$F466*Escenarios!$F$17,0)</f>
        <v>0</v>
      </c>
      <c r="BB467" s="170">
        <f>IF(Escenarios!$F$17&gt;0,Observaciones!$K466,0)</f>
        <v>0</v>
      </c>
      <c r="BC467" s="170">
        <f>IF(Escenarios!$F$17&gt;0,MIN(0.0005*ETo!$M466*Escenarios!$F$17*(BG466/Constantes!$F$40)^(2/3),BG466+AY467+AZ467+BA467+BB467),0)</f>
        <v>0</v>
      </c>
      <c r="BD467" s="170">
        <f>IF(Escenarios!$F$17&gt;0,MIN(Constantes!$F$39*(BG466/Constantes!$F$40)^(2/3),BG466+AY467+AZ467+BA467+BB467-BC467),0)</f>
        <v>0</v>
      </c>
      <c r="BE467" s="170">
        <f>IF(Escenarios!$F$17&gt;0,MIN(Entradas!$F$113,BG466+AY467+AZ467+BA467+BB467-BC467-BD467),0)</f>
        <v>0</v>
      </c>
      <c r="BF467" s="170">
        <f>IF(Escenarios!$F$17&gt;0,MAX(0,BG466+AY467+AZ467+BA467+BB467-BC467-BD467-BE467-Constantes!$F$40),0)</f>
        <v>0</v>
      </c>
      <c r="BG467" s="170">
        <f t="shared" si="109"/>
        <v>0</v>
      </c>
      <c r="BH467" s="170">
        <f>(Escenarios!$F$16*AK467+0.1*BC467)/(Escenarios!$F$19)</f>
        <v>0.82477218447843614</v>
      </c>
      <c r="BI467" s="170">
        <f>IF(Escenarios!$F$17&gt;0,BF467/10/Escenarios!$F$19,AL467)</f>
        <v>0</v>
      </c>
      <c r="BJ467" s="170">
        <f>(Escenarios!$F$16*AT467+0.1*BD467)/(Escenarios!$F$19)</f>
        <v>6.4455611368985685E-2</v>
      </c>
      <c r="BK467" s="76">
        <f>BK466+(0.1*BD467)/(Escenarios!$F$19)-BL466</f>
        <v>48.75</v>
      </c>
      <c r="BL467" s="76">
        <f>MAX(0,(BK467-Constantes!$D$13)*(1-EXP(-Constantes!$D$23)))</f>
        <v>0</v>
      </c>
      <c r="BM467" s="76">
        <f t="shared" si="110"/>
        <v>1.234480192314225</v>
      </c>
      <c r="BN467" s="76">
        <f t="shared" si="111"/>
        <v>1.234480192314225</v>
      </c>
      <c r="BO467" s="76">
        <f>0.0526*BI467*Observaciones!$F466^1.218</f>
        <v>0</v>
      </c>
      <c r="BP467" s="76">
        <f>BO467*Constantes!$F$51</f>
        <v>0</v>
      </c>
      <c r="BQ467" s="76">
        <f t="shared" si="112"/>
        <v>0</v>
      </c>
      <c r="BR467" s="40"/>
    </row>
    <row r="468" spans="2:70">
      <c r="B468" s="39"/>
      <c r="C468" s="75">
        <v>462</v>
      </c>
      <c r="D468" s="146">
        <f>ETo!$I467*((1-Constantes!$F$19)*ETo!$K467+ETo!$L467)</f>
        <v>3.7103726391610499</v>
      </c>
      <c r="E468" s="76">
        <f>MIN(D468*Constantes!$F$17,0.8*(N467+Observaciones!$F467-F468-M468-Constantes!$D$14))</f>
        <v>0.2084389570010714</v>
      </c>
      <c r="F468" s="76">
        <f>IF(Observaciones!$F467&gt;0.05*Constantes!$F$18,((Observaciones!$F467-0.05*Constantes!$F$18)^2)/(Observaciones!$F467+0.95*Constantes!$F$18),0)</f>
        <v>0</v>
      </c>
      <c r="G468" s="76">
        <f>IF(Escenarios!$F$11&gt;0,(F468*Escenarios!$F$16*10000)/1000,0)</f>
        <v>0</v>
      </c>
      <c r="H468" s="76">
        <f>IF(Escenarios!$F$11&gt;0,(Observaciones!$F467*Constantes!$F$29)/1000,0)</f>
        <v>0</v>
      </c>
      <c r="I468" s="76">
        <f>IF(Escenarios!$F$11&gt;0,(D468*Constantes!$F$29)/1000,0)</f>
        <v>0</v>
      </c>
      <c r="J468" s="76">
        <f>IF(Escenarios!$F$11&gt;0,MAX(0,G468+H468-I468),0)</f>
        <v>0</v>
      </c>
      <c r="K468" s="76">
        <f>IF(Escenarios!$F$11&gt;0,IF(J468&gt;Constantes!$F$30,1000*((J468-Constantes!$F$30)/(Escenarios!$F$16*10000)),0),F468)</f>
        <v>0</v>
      </c>
      <c r="L468" s="76">
        <f>IF(Escenarios!$F$11&gt;0,I468*1000/Escenarios!$F$16/10000+E468,E468)</f>
        <v>0.2084389570010714</v>
      </c>
      <c r="M468" s="76">
        <f>MAX(0,N467+Observaciones!$F467-K468-Constantes!$D$13)</f>
        <v>0</v>
      </c>
      <c r="N468" s="76">
        <f>N467+Observaciones!$F467-K468-L468-M468-O467</f>
        <v>11.300047228377133</v>
      </c>
      <c r="O468" s="76">
        <f>MAX(0,(N468-Constantes!$D$14)*(1-EXP(-Constantes!$D$22)))</f>
        <v>1.7047923256618047E-3</v>
      </c>
      <c r="P468" s="170">
        <f>P467+(Entradas!$F$83*M468-Q467)/(800*Entradas!$D$25)</f>
        <v>0</v>
      </c>
      <c r="Q468" s="170">
        <f>8000*Entradas!$D$26*P468/Constantes!$F$45</f>
        <v>0</v>
      </c>
      <c r="R468" s="170">
        <f>IF(Escenarios!$F$14&gt;0,K468*Escenarios!$F$13/Escenarios!$F$14,0)</f>
        <v>0</v>
      </c>
      <c r="S468" s="170">
        <f>IF(Escenarios!$F$14&gt;0,Q468*Escenarios!$F$13/Escenarios!$F$14,0)</f>
        <v>0</v>
      </c>
      <c r="T468" s="170">
        <f>IF(Escenarios!$F$14&gt;0,Observaciones!$I467,0)</f>
        <v>0</v>
      </c>
      <c r="U468" s="170">
        <f>IF(Escenarios!$F$14&gt;0,MAX(0,Constantes!$F$36/((Z467+R468+S468+T468+Observaciones!$F467)^2)+Entradas!$F$77),0)</f>
        <v>0.23815389595690339</v>
      </c>
      <c r="V468" s="146">
        <f>IF(ETo!D467&gt;0,ETo!I467*((1-Entradas!$F$81)*ETo!K467+ETo!L467),0)</f>
        <v>3.2780739147101241</v>
      </c>
      <c r="W468" s="170">
        <f>IF(Escenarios!$F$14&gt;0,MIN(V468*1,0.8*(Z467+R468+S468+T468+Observaciones!$F467-U468-Constantes!$F$35)),0)</f>
        <v>3.2780739147101241</v>
      </c>
      <c r="X468" s="170">
        <f>IF(Escenarios!$F$14&gt;0,Observaciones!$J467,0)</f>
        <v>0</v>
      </c>
      <c r="Y468" s="170">
        <f>IF(Escenarios!$F$14&gt;0,MAX(0,Z467+R468+S468+T468+Observaciones!$F467-U468-W468-X468-Constantes!$F$33),0)</f>
        <v>0</v>
      </c>
      <c r="Z468" s="170">
        <f>Z467+R468+S468+T468+Observaciones!$F467-U468-W468-Y468</f>
        <v>57.453850929032747</v>
      </c>
      <c r="AA468" s="170">
        <f>IF(Escenarios!$F$14&gt;0,(Escenarios!$F$13*L468+Escenarios!$F$14*W468)/(Escenarios!$F$16),L468)</f>
        <v>0.57679515192615771</v>
      </c>
      <c r="AB468" s="170">
        <f>IF(Escenarios!$F$14&gt;0,(Escenarios!$F$14*Y468)/(Escenarios!$F$16),K468)</f>
        <v>0</v>
      </c>
      <c r="AC468" s="170">
        <f>IF(Escenarios!$F$14&gt;0,(Escenarios!$F$13*M468+Escenarios!$F$14*U468)/(Escenarios!$F$16),M468)</f>
        <v>2.8578467514828409E-2</v>
      </c>
      <c r="AD468" s="76">
        <f t="shared" si="99"/>
        <v>159.28090805468062</v>
      </c>
      <c r="AE468" s="76">
        <f>MAX(0,(AD468-Constantes!$D$13)*(1-EXP(-Constantes!$D$23)))</f>
        <v>1.089087363473983</v>
      </c>
      <c r="AF468" s="76">
        <f>AB468+O468*Escenarios!$F$13/Escenarios!$F$16+AE468</f>
        <v>1.0905875807205654</v>
      </c>
      <c r="AG468" s="76">
        <f>IF(Entradas!$F$91&gt;0,IF(AF468-Escenarios!$F$38&lt;=0,0,IF(AF468-Escenarios!$F$38&gt;Escenarios!$F$37,Escenarios!$F$37,AF468-Escenarios!$F$38)),0)</f>
        <v>5.3787580720565442E-2</v>
      </c>
      <c r="AH468" s="76">
        <f>AG468*Entradas!$F$99</f>
        <v>0</v>
      </c>
      <c r="AI468" s="76">
        <f>IF(Entradas!$F$91&gt;0,D468*Entradas!$D$23/Escenarios!$F$16,0)</f>
        <v>0.17809788667973037</v>
      </c>
      <c r="AJ468" s="76">
        <f>IF(Entradas!$F$91&gt;0,Entradas!$D$24*Entradas!$D$22/Escenarios!$F$16,0)</f>
        <v>0.12</v>
      </c>
      <c r="AK468" s="76">
        <f t="shared" si="100"/>
        <v>0.75489303860588808</v>
      </c>
      <c r="AL468" s="76">
        <f t="shared" si="101"/>
        <v>0</v>
      </c>
      <c r="AM468" s="76">
        <f t="shared" si="102"/>
        <v>5.3787580720565442E-2</v>
      </c>
      <c r="AN468" s="76">
        <f>MAX(0,O468*Escenarios!$F$13/Escenarios!$F$16-AM468)</f>
        <v>0</v>
      </c>
      <c r="AO468" s="76">
        <f>AM468+AN468-O468*Escenarios!$F$13/Escenarios!$F$16</f>
        <v>5.2287363473983051E-2</v>
      </c>
      <c r="AP468" s="76">
        <f t="shared" si="103"/>
        <v>1.0367999999999999</v>
      </c>
      <c r="AQ468" s="76">
        <f t="shared" si="104"/>
        <v>0</v>
      </c>
      <c r="AR468" s="76">
        <f t="shared" si="105"/>
        <v>1.0367999999999999</v>
      </c>
      <c r="AS468" s="76">
        <f t="shared" si="106"/>
        <v>0</v>
      </c>
      <c r="AT468" s="76">
        <f t="shared" si="107"/>
        <v>2.8578467514828409E-2</v>
      </c>
      <c r="AU468" s="76">
        <f t="shared" si="108"/>
        <v>61.485064137315575</v>
      </c>
      <c r="AV468" s="76">
        <f>MAX(0,(AU468-Constantes!$D$13)*(1-EXP(-Constantes!$D$24)))</f>
        <v>0.19465860173473304</v>
      </c>
      <c r="AW468" s="170">
        <f>AW467+(Entradas!$F$112*AT468-AX467)/(800*Entradas!$D$25)</f>
        <v>0</v>
      </c>
      <c r="AX468" s="170">
        <f>8000*Entradas!$D$26*AW468/Constantes!$F$45</f>
        <v>0</v>
      </c>
      <c r="AY468" s="170">
        <f>IF(Escenarios!$F$17&gt;0,10*Escenarios!$F$16*AL468,0)</f>
        <v>0</v>
      </c>
      <c r="AZ468" s="170">
        <f>IF(Escenarios!$F$17&gt;0,10*Escenarios!$F$16*AX468,0)</f>
        <v>0</v>
      </c>
      <c r="BA468" s="170">
        <f>IF(Escenarios!$F$17&gt;0,0.001*Observaciones!$F467*Escenarios!$F$17,0)</f>
        <v>0</v>
      </c>
      <c r="BB468" s="170">
        <f>IF(Escenarios!$F$17&gt;0,Observaciones!$K467,0)</f>
        <v>0</v>
      </c>
      <c r="BC468" s="170">
        <f>IF(Escenarios!$F$17&gt;0,MIN(0.0005*ETo!$M467*Escenarios!$F$17*(BG467/Constantes!$F$40)^(2/3),BG467+AY468+AZ468+BA468+BB468),0)</f>
        <v>0</v>
      </c>
      <c r="BD468" s="170">
        <f>IF(Escenarios!$F$17&gt;0,MIN(Constantes!$F$39*(BG467/Constantes!$F$40)^(2/3),BG467+AY468+AZ468+BA468+BB468-BC468),0)</f>
        <v>0</v>
      </c>
      <c r="BE468" s="170">
        <f>IF(Escenarios!$F$17&gt;0,MIN(Entradas!$F$113,BG467+AY468+AZ468+BA468+BB468-BC468-BD468),0)</f>
        <v>0</v>
      </c>
      <c r="BF468" s="170">
        <f>IF(Escenarios!$F$17&gt;0,MAX(0,BG467+AY468+AZ468+BA468+BB468-BC468-BD468-BE468-Constantes!$F$40),0)</f>
        <v>0</v>
      </c>
      <c r="BG468" s="170">
        <f t="shared" si="109"/>
        <v>0</v>
      </c>
      <c r="BH468" s="170">
        <f>(Escenarios!$F$16*AK468+0.1*BC468)/(Escenarios!$F$19)</f>
        <v>0.75489303860588808</v>
      </c>
      <c r="BI468" s="170">
        <f>IF(Escenarios!$F$17&gt;0,BF468/10/Escenarios!$F$19,AL468)</f>
        <v>0</v>
      </c>
      <c r="BJ468" s="170">
        <f>(Escenarios!$F$16*AT468+0.1*BD468)/(Escenarios!$F$19)</f>
        <v>2.8578467514828409E-2</v>
      </c>
      <c r="BK468" s="76">
        <f>BK467+(0.1*BD468)/(Escenarios!$F$19)-BL467</f>
        <v>48.75</v>
      </c>
      <c r="BL468" s="76">
        <f>MAX(0,(BK468-Constantes!$D$13)*(1-EXP(-Constantes!$D$23)))</f>
        <v>0</v>
      </c>
      <c r="BM468" s="76">
        <f t="shared" si="110"/>
        <v>1.2314586017347331</v>
      </c>
      <c r="BN468" s="76">
        <f t="shared" si="111"/>
        <v>1.2314586017347331</v>
      </c>
      <c r="BO468" s="76">
        <f>0.0526*BI468*Observaciones!$F467^1.218</f>
        <v>0</v>
      </c>
      <c r="BP468" s="76">
        <f>BO468*Constantes!$F$51</f>
        <v>0</v>
      </c>
      <c r="BQ468" s="76">
        <f t="shared" si="112"/>
        <v>0</v>
      </c>
      <c r="BR468" s="40"/>
    </row>
    <row r="469" spans="2:70">
      <c r="B469" s="39"/>
      <c r="C469" s="75">
        <v>463</v>
      </c>
      <c r="D469" s="146">
        <f>ETo!$I468*((1-Constantes!$F$19)*ETo!$K468+ETo!$L468)</f>
        <v>3.7090604128889897</v>
      </c>
      <c r="E469" s="76">
        <f>MIN(D469*Constantes!$F$17,0.8*(N468+Observaciones!$F468-F469-M469-Constantes!$D$14))</f>
        <v>4.0037782701706708E-2</v>
      </c>
      <c r="F469" s="76">
        <f>IF(Observaciones!$F468&gt;0.05*Constantes!$F$18,((Observaciones!$F468-0.05*Constantes!$F$18)^2)/(Observaciones!$F468+0.95*Constantes!$F$18),0)</f>
        <v>0</v>
      </c>
      <c r="G469" s="76">
        <f>IF(Escenarios!$F$11&gt;0,(F469*Escenarios!$F$16*10000)/1000,0)</f>
        <v>0</v>
      </c>
      <c r="H469" s="76">
        <f>IF(Escenarios!$F$11&gt;0,(Observaciones!$F468*Constantes!$F$29)/1000,0)</f>
        <v>0</v>
      </c>
      <c r="I469" s="76">
        <f>IF(Escenarios!$F$11&gt;0,(D469*Constantes!$F$29)/1000,0)</f>
        <v>0</v>
      </c>
      <c r="J469" s="76">
        <f>IF(Escenarios!$F$11&gt;0,MAX(0,G469+H469-I469),0)</f>
        <v>0</v>
      </c>
      <c r="K469" s="76">
        <f>IF(Escenarios!$F$11&gt;0,IF(J469&gt;Constantes!$F$30,1000*((J469-Constantes!$F$30)/(Escenarios!$F$16*10000)),0),F469)</f>
        <v>0</v>
      </c>
      <c r="L469" s="76">
        <f>IF(Escenarios!$F$11&gt;0,I469*1000/Escenarios!$F$16/10000+E469,E469)</f>
        <v>4.0037782701706708E-2</v>
      </c>
      <c r="M469" s="76">
        <f>MAX(0,N468+Observaciones!$F468-K469-Constantes!$D$13)</f>
        <v>0</v>
      </c>
      <c r="N469" s="76">
        <f>N468+Observaciones!$F468-K469-L469-M469-O468</f>
        <v>11.258304653349766</v>
      </c>
      <c r="O469" s="76">
        <f>MAX(0,(N469-Constantes!$D$14)*(1-EXP(-Constantes!$D$22)))</f>
        <v>2.8288698009961349E-4</v>
      </c>
      <c r="P469" s="170">
        <f>P468+(Entradas!$F$83*M469-Q468)/(800*Entradas!$D$25)</f>
        <v>0</v>
      </c>
      <c r="Q469" s="170">
        <f>8000*Entradas!$D$26*P469/Constantes!$F$45</f>
        <v>0</v>
      </c>
      <c r="R469" s="170">
        <f>IF(Escenarios!$F$14&gt;0,K469*Escenarios!$F$13/Escenarios!$F$14,0)</f>
        <v>0</v>
      </c>
      <c r="S469" s="170">
        <f>IF(Escenarios!$F$14&gt;0,Q469*Escenarios!$F$13/Escenarios!$F$14,0)</f>
        <v>0</v>
      </c>
      <c r="T469" s="170">
        <f>IF(Escenarios!$F$14&gt;0,Observaciones!$I468,0)</f>
        <v>0</v>
      </c>
      <c r="U469" s="170">
        <f>IF(Escenarios!$F$14&gt;0,MAX(0,Constantes!$F$36/((Z468+R469+S469+T469+Observaciones!$F468)^2)+Entradas!$F$77),0)</f>
        <v>0</v>
      </c>
      <c r="V469" s="146">
        <f>IF(ETo!D468&gt;0,ETo!I468*((1-Entradas!$F$81)*ETo!K468+ETo!L468),0)</f>
        <v>3.2765284956043299</v>
      </c>
      <c r="W469" s="170">
        <f>IF(Escenarios!$F$14&gt;0,MIN(V469*1,0.8*(Z468+R469+S469+T469+Observaciones!$F468-U469-Constantes!$F$35)),0)</f>
        <v>3.2765284956043299</v>
      </c>
      <c r="X469" s="170">
        <f>IF(Escenarios!$F$14&gt;0,Observaciones!$J468,0)</f>
        <v>0</v>
      </c>
      <c r="Y469" s="170">
        <f>IF(Escenarios!$F$14&gt;0,MAX(0,Z468+R469+S469+T469+Observaciones!$F468-U469-W469-X469-Constantes!$F$33),0)</f>
        <v>0</v>
      </c>
      <c r="Z469" s="170">
        <f>Z468+R469+S469+T469+Observaciones!$F468-U469-W469-Y469</f>
        <v>54.177322433428415</v>
      </c>
      <c r="AA469" s="170">
        <f>IF(Escenarios!$F$14&gt;0,(Escenarios!$F$13*L469+Escenarios!$F$14*W469)/(Escenarios!$F$16),L469)</f>
        <v>0.42841666825002145</v>
      </c>
      <c r="AB469" s="170">
        <f>IF(Escenarios!$F$14&gt;0,(Escenarios!$F$14*Y469)/(Escenarios!$F$16),K469)</f>
        <v>0</v>
      </c>
      <c r="AC469" s="170">
        <f>IF(Escenarios!$F$14&gt;0,(Escenarios!$F$13*M469+Escenarios!$F$14*U469)/(Escenarios!$F$16),M469)</f>
        <v>0</v>
      </c>
      <c r="AD469" s="76">
        <f t="shared" si="99"/>
        <v>158.19182069120663</v>
      </c>
      <c r="AE469" s="76">
        <f>MAX(0,(AD469-Constantes!$D$13)*(1-EXP(-Constantes!$D$23)))</f>
        <v>1.0783563262812736</v>
      </c>
      <c r="AF469" s="76">
        <f>AB469+O469*Escenarios!$F$13/Escenarios!$F$16+AE469</f>
        <v>1.0786052668237613</v>
      </c>
      <c r="AG469" s="76">
        <f>IF(Entradas!$F$91&gt;0,IF(AF469-Escenarios!$F$38&lt;=0,0,IF(AF469-Escenarios!$F$38&gt;Escenarios!$F$37,Escenarios!$F$37,AF469-Escenarios!$F$38)),0)</f>
        <v>4.18052668237614E-2</v>
      </c>
      <c r="AH469" s="76">
        <f>AG469*Entradas!$F$99</f>
        <v>0</v>
      </c>
      <c r="AI469" s="76">
        <f>IF(Entradas!$F$91&gt;0,D469*Entradas!$D$23/Escenarios!$F$16,0)</f>
        <v>0.17803489981867152</v>
      </c>
      <c r="AJ469" s="76">
        <f>IF(Entradas!$F$91&gt;0,Entradas!$D$24*Entradas!$D$22/Escenarios!$F$16,0)</f>
        <v>0.12</v>
      </c>
      <c r="AK469" s="76">
        <f t="shared" si="100"/>
        <v>0.60645156806869294</v>
      </c>
      <c r="AL469" s="76">
        <f t="shared" si="101"/>
        <v>0</v>
      </c>
      <c r="AM469" s="76">
        <f t="shared" si="102"/>
        <v>4.18052668237614E-2</v>
      </c>
      <c r="AN469" s="76">
        <f>MAX(0,O469*Escenarios!$F$13/Escenarios!$F$16-AM469)</f>
        <v>0</v>
      </c>
      <c r="AO469" s="76">
        <f>AM469+AN469-O469*Escenarios!$F$13/Escenarios!$F$16</f>
        <v>4.1556326281273738E-2</v>
      </c>
      <c r="AP469" s="76">
        <f t="shared" si="103"/>
        <v>1.0367999999999999</v>
      </c>
      <c r="AQ469" s="76">
        <f t="shared" si="104"/>
        <v>0</v>
      </c>
      <c r="AR469" s="76">
        <f t="shared" si="105"/>
        <v>1.0367999999999999</v>
      </c>
      <c r="AS469" s="76">
        <f t="shared" si="106"/>
        <v>0</v>
      </c>
      <c r="AT469" s="76">
        <f t="shared" si="107"/>
        <v>0</v>
      </c>
      <c r="AU469" s="76">
        <f t="shared" si="108"/>
        <v>61.290405535580845</v>
      </c>
      <c r="AV469" s="76">
        <f>MAX(0,(AU469-Constantes!$D$13)*(1-EXP(-Constantes!$D$24)))</f>
        <v>0.19168319691377952</v>
      </c>
      <c r="AW469" s="170">
        <f>AW468+(Entradas!$F$112*AT469-AX468)/(800*Entradas!$D$25)</f>
        <v>0</v>
      </c>
      <c r="AX469" s="170">
        <f>8000*Entradas!$D$26*AW469/Constantes!$F$45</f>
        <v>0</v>
      </c>
      <c r="AY469" s="170">
        <f>IF(Escenarios!$F$17&gt;0,10*Escenarios!$F$16*AL469,0)</f>
        <v>0</v>
      </c>
      <c r="AZ469" s="170">
        <f>IF(Escenarios!$F$17&gt;0,10*Escenarios!$F$16*AX469,0)</f>
        <v>0</v>
      </c>
      <c r="BA469" s="170">
        <f>IF(Escenarios!$F$17&gt;0,0.001*Observaciones!$F468*Escenarios!$F$17,0)</f>
        <v>0</v>
      </c>
      <c r="BB469" s="170">
        <f>IF(Escenarios!$F$17&gt;0,Observaciones!$K468,0)</f>
        <v>0</v>
      </c>
      <c r="BC469" s="170">
        <f>IF(Escenarios!$F$17&gt;0,MIN(0.0005*ETo!$M468*Escenarios!$F$17*(BG468/Constantes!$F$40)^(2/3),BG468+AY469+AZ469+BA469+BB469),0)</f>
        <v>0</v>
      </c>
      <c r="BD469" s="170">
        <f>IF(Escenarios!$F$17&gt;0,MIN(Constantes!$F$39*(BG468/Constantes!$F$40)^(2/3),BG468+AY469+AZ469+BA469+BB469-BC469),0)</f>
        <v>0</v>
      </c>
      <c r="BE469" s="170">
        <f>IF(Escenarios!$F$17&gt;0,MIN(Entradas!$F$113,BG468+AY469+AZ469+BA469+BB469-BC469-BD469),0)</f>
        <v>0</v>
      </c>
      <c r="BF469" s="170">
        <f>IF(Escenarios!$F$17&gt;0,MAX(0,BG468+AY469+AZ469+BA469+BB469-BC469-BD469-BE469-Constantes!$F$40),0)</f>
        <v>0</v>
      </c>
      <c r="BG469" s="170">
        <f t="shared" si="109"/>
        <v>0</v>
      </c>
      <c r="BH469" s="170">
        <f>(Escenarios!$F$16*AK469+0.1*BC469)/(Escenarios!$F$19)</f>
        <v>0.60645156806869294</v>
      </c>
      <c r="BI469" s="170">
        <f>IF(Escenarios!$F$17&gt;0,BF469/10/Escenarios!$F$19,AL469)</f>
        <v>0</v>
      </c>
      <c r="BJ469" s="170">
        <f>(Escenarios!$F$16*AT469+0.1*BD469)/(Escenarios!$F$19)</f>
        <v>0</v>
      </c>
      <c r="BK469" s="76">
        <f>BK468+(0.1*BD469)/(Escenarios!$F$19)-BL468</f>
        <v>48.75</v>
      </c>
      <c r="BL469" s="76">
        <f>MAX(0,(BK469-Constantes!$D$13)*(1-EXP(-Constantes!$D$23)))</f>
        <v>0</v>
      </c>
      <c r="BM469" s="76">
        <f t="shared" si="110"/>
        <v>1.2284831969137795</v>
      </c>
      <c r="BN469" s="76">
        <f t="shared" si="111"/>
        <v>1.2284831969137795</v>
      </c>
      <c r="BO469" s="76">
        <f>0.0526*BI469*Observaciones!$F468^1.218</f>
        <v>0</v>
      </c>
      <c r="BP469" s="76">
        <f>BO469*Constantes!$F$51</f>
        <v>0</v>
      </c>
      <c r="BQ469" s="76">
        <f t="shared" si="112"/>
        <v>0</v>
      </c>
      <c r="BR469" s="40"/>
    </row>
    <row r="470" spans="2:70">
      <c r="B470" s="39"/>
      <c r="C470" s="75">
        <v>464</v>
      </c>
      <c r="D470" s="146">
        <f>ETo!$I469*((1-Constantes!$F$19)*ETo!$K469+ETo!$L469)</f>
        <v>3.6233254456494044</v>
      </c>
      <c r="E470" s="76">
        <f>MIN(D470*Constantes!$F$17,0.8*(N469+Observaciones!$F469-F470-M470-Constantes!$D$14))</f>
        <v>6.643722679812925E-3</v>
      </c>
      <c r="F470" s="76">
        <f>IF(Observaciones!$F469&gt;0.05*Constantes!$F$18,((Observaciones!$F469-0.05*Constantes!$F$18)^2)/(Observaciones!$F469+0.95*Constantes!$F$18),0)</f>
        <v>0</v>
      </c>
      <c r="G470" s="76">
        <f>IF(Escenarios!$F$11&gt;0,(F470*Escenarios!$F$16*10000)/1000,0)</f>
        <v>0</v>
      </c>
      <c r="H470" s="76">
        <f>IF(Escenarios!$F$11&gt;0,(Observaciones!$F469*Constantes!$F$29)/1000,0)</f>
        <v>0</v>
      </c>
      <c r="I470" s="76">
        <f>IF(Escenarios!$F$11&gt;0,(D470*Constantes!$F$29)/1000,0)</f>
        <v>0</v>
      </c>
      <c r="J470" s="76">
        <f>IF(Escenarios!$F$11&gt;0,MAX(0,G470+H470-I470),0)</f>
        <v>0</v>
      </c>
      <c r="K470" s="76">
        <f>IF(Escenarios!$F$11&gt;0,IF(J470&gt;Constantes!$F$30,1000*((J470-Constantes!$F$30)/(Escenarios!$F$16*10000)),0),F470)</f>
        <v>0</v>
      </c>
      <c r="L470" s="76">
        <f>IF(Escenarios!$F$11&gt;0,I470*1000/Escenarios!$F$16/10000+E470,E470)</f>
        <v>6.643722679812925E-3</v>
      </c>
      <c r="M470" s="76">
        <f>MAX(0,N469+Observaciones!$F469-K470-Constantes!$D$13)</f>
        <v>0</v>
      </c>
      <c r="N470" s="76">
        <f>N469+Observaciones!$F469-K470-L470-M470-O469</f>
        <v>11.251378043689853</v>
      </c>
      <c r="O470" s="76">
        <f>MAX(0,(N470-Constantes!$D$14)*(1-EXP(-Constantes!$D$22)))</f>
        <v>4.6941226978327779E-5</v>
      </c>
      <c r="P470" s="170">
        <f>P469+(Entradas!$F$83*M470-Q469)/(800*Entradas!$D$25)</f>
        <v>0</v>
      </c>
      <c r="Q470" s="170">
        <f>8000*Entradas!$D$26*P470/Constantes!$F$45</f>
        <v>0</v>
      </c>
      <c r="R470" s="170">
        <f>IF(Escenarios!$F$14&gt;0,K470*Escenarios!$F$13/Escenarios!$F$14,0)</f>
        <v>0</v>
      </c>
      <c r="S470" s="170">
        <f>IF(Escenarios!$F$14&gt;0,Q470*Escenarios!$F$13/Escenarios!$F$14,0)</f>
        <v>0</v>
      </c>
      <c r="T470" s="170">
        <f>IF(Escenarios!$F$14&gt;0,Observaciones!$I469,0)</f>
        <v>0</v>
      </c>
      <c r="U470" s="170">
        <f>IF(Escenarios!$F$14&gt;0,MAX(0,Constantes!$F$36/((Z469+R470+S470+T470+Observaciones!$F469)^2)+Entradas!$F$77),0)</f>
        <v>0</v>
      </c>
      <c r="V470" s="146">
        <f>IF(ETo!D469&gt;0,ETo!I469*((1-Entradas!$F$81)*ETo!K469+ETo!L469),0)</f>
        <v>3.1994045600438934</v>
      </c>
      <c r="W470" s="170">
        <f>IF(Escenarios!$F$14&gt;0,MIN(V470*1,0.8*(Z469+R470+S470+T470+Observaciones!$F469-U470-Constantes!$F$35)),0)</f>
        <v>3.1994045600438934</v>
      </c>
      <c r="X470" s="170">
        <f>IF(Escenarios!$F$14&gt;0,Observaciones!$J469,0)</f>
        <v>0</v>
      </c>
      <c r="Y470" s="170">
        <f>IF(Escenarios!$F$14&gt;0,MAX(0,Z469+R470+S470+T470+Observaciones!$F469-U470-W470-X470-Constantes!$F$33),0)</f>
        <v>0</v>
      </c>
      <c r="Z470" s="170">
        <f>Z469+R470+S470+T470+Observaciones!$F469-U470-W470-Y470</f>
        <v>50.97791787338452</v>
      </c>
      <c r="AA470" s="170">
        <f>IF(Escenarios!$F$14&gt;0,(Escenarios!$F$13*L470+Escenarios!$F$14*W470)/(Escenarios!$F$16),L470)</f>
        <v>0.38977502316350254</v>
      </c>
      <c r="AB470" s="170">
        <f>IF(Escenarios!$F$14&gt;0,(Escenarios!$F$14*Y470)/(Escenarios!$F$16),K470)</f>
        <v>0</v>
      </c>
      <c r="AC470" s="170">
        <f>IF(Escenarios!$F$14&gt;0,(Escenarios!$F$13*M470+Escenarios!$F$14*U470)/(Escenarios!$F$16),M470)</f>
        <v>0</v>
      </c>
      <c r="AD470" s="76">
        <f t="shared" si="99"/>
        <v>157.11346436492536</v>
      </c>
      <c r="AE470" s="76">
        <f>MAX(0,(AD470-Constantes!$D$13)*(1-EXP(-Constantes!$D$23)))</f>
        <v>1.0677310245539582</v>
      </c>
      <c r="AF470" s="76">
        <f>AB470+O470*Escenarios!$F$13/Escenarios!$F$16+AE470</f>
        <v>1.0677723328336992</v>
      </c>
      <c r="AG470" s="76">
        <f>IF(Entradas!$F$91&gt;0,IF(AF470-Escenarios!$F$38&lt;=0,0,IF(AF470-Escenarios!$F$38&gt;Escenarios!$F$37,Escenarios!$F$37,AF470-Escenarios!$F$38)),0)</f>
        <v>3.0972332833699268E-2</v>
      </c>
      <c r="AH470" s="76">
        <f>AG470*Entradas!$F$99</f>
        <v>0</v>
      </c>
      <c r="AI470" s="76">
        <f>IF(Entradas!$F$91&gt;0,D470*Entradas!$D$23/Escenarios!$F$16,0)</f>
        <v>0.1739196213911714</v>
      </c>
      <c r="AJ470" s="76">
        <f>IF(Entradas!$F$91&gt;0,Entradas!$D$24*Entradas!$D$22/Escenarios!$F$16,0)</f>
        <v>0.12</v>
      </c>
      <c r="AK470" s="76">
        <f t="shared" si="100"/>
        <v>0.563694644554674</v>
      </c>
      <c r="AL470" s="76">
        <f t="shared" si="101"/>
        <v>0</v>
      </c>
      <c r="AM470" s="76">
        <f t="shared" si="102"/>
        <v>3.0972332833699268E-2</v>
      </c>
      <c r="AN470" s="76">
        <f>MAX(0,O470*Escenarios!$F$13/Escenarios!$F$16-AM470)</f>
        <v>0</v>
      </c>
      <c r="AO470" s="76">
        <f>AM470+AN470-O470*Escenarios!$F$13/Escenarios!$F$16</f>
        <v>3.0931024553958339E-2</v>
      </c>
      <c r="AP470" s="76">
        <f t="shared" si="103"/>
        <v>1.0367999999999999</v>
      </c>
      <c r="AQ470" s="76">
        <f t="shared" si="104"/>
        <v>0</v>
      </c>
      <c r="AR470" s="76">
        <f t="shared" si="105"/>
        <v>1.0367999999999999</v>
      </c>
      <c r="AS470" s="76">
        <f t="shared" si="106"/>
        <v>0</v>
      </c>
      <c r="AT470" s="76">
        <f t="shared" si="107"/>
        <v>0</v>
      </c>
      <c r="AU470" s="76">
        <f t="shared" si="108"/>
        <v>61.098722338667066</v>
      </c>
      <c r="AV470" s="76">
        <f>MAX(0,(AU470-Constantes!$D$13)*(1-EXP(-Constantes!$D$24)))</f>
        <v>0.18875327189063434</v>
      </c>
      <c r="AW470" s="170">
        <f>AW469+(Entradas!$F$112*AT470-AX469)/(800*Entradas!$D$25)</f>
        <v>0</v>
      </c>
      <c r="AX470" s="170">
        <f>8000*Entradas!$D$26*AW470/Constantes!$F$45</f>
        <v>0</v>
      </c>
      <c r="AY470" s="170">
        <f>IF(Escenarios!$F$17&gt;0,10*Escenarios!$F$16*AL470,0)</f>
        <v>0</v>
      </c>
      <c r="AZ470" s="170">
        <f>IF(Escenarios!$F$17&gt;0,10*Escenarios!$F$16*AX470,0)</f>
        <v>0</v>
      </c>
      <c r="BA470" s="170">
        <f>IF(Escenarios!$F$17&gt;0,0.001*Observaciones!$F469*Escenarios!$F$17,0)</f>
        <v>0</v>
      </c>
      <c r="BB470" s="170">
        <f>IF(Escenarios!$F$17&gt;0,Observaciones!$K469,0)</f>
        <v>0</v>
      </c>
      <c r="BC470" s="170">
        <f>IF(Escenarios!$F$17&gt;0,MIN(0.0005*ETo!$M469*Escenarios!$F$17*(BG469/Constantes!$F$40)^(2/3),BG469+AY470+AZ470+BA470+BB470),0)</f>
        <v>0</v>
      </c>
      <c r="BD470" s="170">
        <f>IF(Escenarios!$F$17&gt;0,MIN(Constantes!$F$39*(BG469/Constantes!$F$40)^(2/3),BG469+AY470+AZ470+BA470+BB470-BC470),0)</f>
        <v>0</v>
      </c>
      <c r="BE470" s="170">
        <f>IF(Escenarios!$F$17&gt;0,MIN(Entradas!$F$113,BG469+AY470+AZ470+BA470+BB470-BC470-BD470),0)</f>
        <v>0</v>
      </c>
      <c r="BF470" s="170">
        <f>IF(Escenarios!$F$17&gt;0,MAX(0,BG469+AY470+AZ470+BA470+BB470-BC470-BD470-BE470-Constantes!$F$40),0)</f>
        <v>0</v>
      </c>
      <c r="BG470" s="170">
        <f t="shared" si="109"/>
        <v>0</v>
      </c>
      <c r="BH470" s="170">
        <f>(Escenarios!$F$16*AK470+0.1*BC470)/(Escenarios!$F$19)</f>
        <v>0.563694644554674</v>
      </c>
      <c r="BI470" s="170">
        <f>IF(Escenarios!$F$17&gt;0,BF470/10/Escenarios!$F$19,AL470)</f>
        <v>0</v>
      </c>
      <c r="BJ470" s="170">
        <f>(Escenarios!$F$16*AT470+0.1*BD470)/(Escenarios!$F$19)</f>
        <v>0</v>
      </c>
      <c r="BK470" s="76">
        <f>BK469+(0.1*BD470)/(Escenarios!$F$19)-BL469</f>
        <v>48.75</v>
      </c>
      <c r="BL470" s="76">
        <f>MAX(0,(BK470-Constantes!$D$13)*(1-EXP(-Constantes!$D$23)))</f>
        <v>0</v>
      </c>
      <c r="BM470" s="76">
        <f t="shared" si="110"/>
        <v>1.2255532718906343</v>
      </c>
      <c r="BN470" s="76">
        <f t="shared" si="111"/>
        <v>1.2255532718906343</v>
      </c>
      <c r="BO470" s="76">
        <f>0.0526*BI470*Observaciones!$F469^1.218</f>
        <v>0</v>
      </c>
      <c r="BP470" s="76">
        <f>BO470*Constantes!$F$51</f>
        <v>0</v>
      </c>
      <c r="BQ470" s="76">
        <f t="shared" si="112"/>
        <v>0</v>
      </c>
      <c r="BR470" s="40"/>
    </row>
    <row r="471" spans="2:70">
      <c r="B471" s="39"/>
      <c r="C471" s="75">
        <v>465</v>
      </c>
      <c r="D471" s="146">
        <f>ETo!$I470*((1-Constantes!$F$19)*ETo!$K470+ETo!$L470)</f>
        <v>3.729591108166658</v>
      </c>
      <c r="E471" s="76">
        <f>MIN(D471*Constantes!$F$17,0.8*(N470+Observaciones!$F470-F471-M471-Constantes!$D$14))</f>
        <v>1.1024349518820031E-3</v>
      </c>
      <c r="F471" s="76">
        <f>IF(Observaciones!$F470&gt;0.05*Constantes!$F$18,((Observaciones!$F470-0.05*Constantes!$F$18)^2)/(Observaciones!$F470+0.95*Constantes!$F$18),0)</f>
        <v>0</v>
      </c>
      <c r="G471" s="76">
        <f>IF(Escenarios!$F$11&gt;0,(F471*Escenarios!$F$16*10000)/1000,0)</f>
        <v>0</v>
      </c>
      <c r="H471" s="76">
        <f>IF(Escenarios!$F$11&gt;0,(Observaciones!$F470*Constantes!$F$29)/1000,0)</f>
        <v>0</v>
      </c>
      <c r="I471" s="76">
        <f>IF(Escenarios!$F$11&gt;0,(D471*Constantes!$F$29)/1000,0)</f>
        <v>0</v>
      </c>
      <c r="J471" s="76">
        <f>IF(Escenarios!$F$11&gt;0,MAX(0,G471+H471-I471),0)</f>
        <v>0</v>
      </c>
      <c r="K471" s="76">
        <f>IF(Escenarios!$F$11&gt;0,IF(J471&gt;Constantes!$F$30,1000*((J471-Constantes!$F$30)/(Escenarios!$F$16*10000)),0),F471)</f>
        <v>0</v>
      </c>
      <c r="L471" s="76">
        <f>IF(Escenarios!$F$11&gt;0,I471*1000/Escenarios!$F$16/10000+E471,E471)</f>
        <v>1.1024349518820031E-3</v>
      </c>
      <c r="M471" s="76">
        <f>MAX(0,N470+Observaciones!$F470-K471-Constantes!$D$13)</f>
        <v>0</v>
      </c>
      <c r="N471" s="76">
        <f>N470+Observaciones!$F470-K471-L471-M471-O470</f>
        <v>11.250228667510992</v>
      </c>
      <c r="O471" s="76">
        <f>MAX(0,(N471-Constantes!$D$14)*(1-EXP(-Constantes!$D$22)))</f>
        <v>7.7892548800109597E-6</v>
      </c>
      <c r="P471" s="170">
        <f>P470+(Entradas!$F$83*M471-Q470)/(800*Entradas!$D$25)</f>
        <v>0</v>
      </c>
      <c r="Q471" s="170">
        <f>8000*Entradas!$D$26*P471/Constantes!$F$45</f>
        <v>0</v>
      </c>
      <c r="R471" s="170">
        <f>IF(Escenarios!$F$14&gt;0,K471*Escenarios!$F$13/Escenarios!$F$14,0)</f>
        <v>0</v>
      </c>
      <c r="S471" s="170">
        <f>IF(Escenarios!$F$14&gt;0,Q471*Escenarios!$F$13/Escenarios!$F$14,0)</f>
        <v>0</v>
      </c>
      <c r="T471" s="170">
        <f>IF(Escenarios!$F$14&gt;0,Observaciones!$I470,0)</f>
        <v>0</v>
      </c>
      <c r="U471" s="170">
        <f>IF(Escenarios!$F$14&gt;0,MAX(0,Constantes!$F$36/((Z470+R471+S471+T471+Observaciones!$F470)^2)+Entradas!$F$77),0)</f>
        <v>0</v>
      </c>
      <c r="V471" s="146">
        <f>IF(ETo!D470&gt;0,ETo!I470*((1-Entradas!$F$81)*ETo!K470+ETo!L470),0)</f>
        <v>3.2942344081918526</v>
      </c>
      <c r="W471" s="170">
        <f>IF(Escenarios!$F$14&gt;0,MIN(V471*1,0.8*(Z470+R471+S471+T471+Observaciones!$F470-U471-Constantes!$F$35)),0)</f>
        <v>3.2942344081918526</v>
      </c>
      <c r="X471" s="170">
        <f>IF(Escenarios!$F$14&gt;0,Observaciones!$J470,0)</f>
        <v>0</v>
      </c>
      <c r="Y471" s="170">
        <f>IF(Escenarios!$F$14&gt;0,MAX(0,Z470+R471+S471+T471+Observaciones!$F470-U471-W471-X471-Constantes!$F$33),0)</f>
        <v>0</v>
      </c>
      <c r="Z471" s="170">
        <f>Z470+R471+S471+T471+Observaciones!$F470-U471-W471-Y471</f>
        <v>47.683683465192665</v>
      </c>
      <c r="AA471" s="170">
        <f>IF(Escenarios!$F$14&gt;0,(Escenarios!$F$13*L471+Escenarios!$F$14*W471)/(Escenarios!$F$16),L471)</f>
        <v>0.39627827174067848</v>
      </c>
      <c r="AB471" s="170">
        <f>IF(Escenarios!$F$14&gt;0,(Escenarios!$F$14*Y471)/(Escenarios!$F$16),K471)</f>
        <v>0</v>
      </c>
      <c r="AC471" s="170">
        <f>IF(Escenarios!$F$14&gt;0,(Escenarios!$F$13*M471+Escenarios!$F$14*U471)/(Escenarios!$F$16),M471)</f>
        <v>0</v>
      </c>
      <c r="AD471" s="76">
        <f t="shared" si="99"/>
        <v>156.04573334037141</v>
      </c>
      <c r="AE471" s="76">
        <f>MAX(0,(AD471-Constantes!$D$13)*(1-EXP(-Constantes!$D$23)))</f>
        <v>1.0572104164553116</v>
      </c>
      <c r="AF471" s="76">
        <f>AB471+O471*Escenarios!$F$13/Escenarios!$F$16+AE471</f>
        <v>1.0572172709996059</v>
      </c>
      <c r="AG471" s="76">
        <f>IF(Entradas!$F$91&gt;0,IF(AF471-Escenarios!$F$38&lt;=0,0,IF(AF471-Escenarios!$F$38&gt;Escenarios!$F$37,Escenarios!$F$37,AF471-Escenarios!$F$38)),0)</f>
        <v>2.0417270999605996E-2</v>
      </c>
      <c r="AH471" s="76">
        <f>AG471*Entradas!$F$99</f>
        <v>0</v>
      </c>
      <c r="AI471" s="76">
        <f>IF(Entradas!$F$91&gt;0,D471*Entradas!$D$23/Escenarios!$F$16,0)</f>
        <v>0.17902037319199957</v>
      </c>
      <c r="AJ471" s="76">
        <f>IF(Entradas!$F$91&gt;0,Entradas!$D$24*Entradas!$D$22/Escenarios!$F$16,0)</f>
        <v>0.12</v>
      </c>
      <c r="AK471" s="76">
        <f t="shared" si="100"/>
        <v>0.57529864493267802</v>
      </c>
      <c r="AL471" s="76">
        <f t="shared" si="101"/>
        <v>0</v>
      </c>
      <c r="AM471" s="76">
        <f t="shared" si="102"/>
        <v>2.0417270999605996E-2</v>
      </c>
      <c r="AN471" s="76">
        <f>MAX(0,O471*Escenarios!$F$13/Escenarios!$F$16-AM471)</f>
        <v>0</v>
      </c>
      <c r="AO471" s="76">
        <f>AM471+AN471-O471*Escenarios!$F$13/Escenarios!$F$16</f>
        <v>2.0410416455311588E-2</v>
      </c>
      <c r="AP471" s="76">
        <f t="shared" si="103"/>
        <v>1.0367999999999999</v>
      </c>
      <c r="AQ471" s="76">
        <f t="shared" si="104"/>
        <v>0</v>
      </c>
      <c r="AR471" s="76">
        <f t="shared" si="105"/>
        <v>1.0367999999999999</v>
      </c>
      <c r="AS471" s="76">
        <f t="shared" si="106"/>
        <v>0</v>
      </c>
      <c r="AT471" s="76">
        <f t="shared" si="107"/>
        <v>0</v>
      </c>
      <c r="AU471" s="76">
        <f t="shared" si="108"/>
        <v>60.909969066776434</v>
      </c>
      <c r="AV471" s="76">
        <f>MAX(0,(AU471-Constantes!$D$13)*(1-EXP(-Constantes!$D$24)))</f>
        <v>0.18586813149535156</v>
      </c>
      <c r="AW471" s="170">
        <f>AW470+(Entradas!$F$112*AT471-AX470)/(800*Entradas!$D$25)</f>
        <v>0</v>
      </c>
      <c r="AX471" s="170">
        <f>8000*Entradas!$D$26*AW471/Constantes!$F$45</f>
        <v>0</v>
      </c>
      <c r="AY471" s="170">
        <f>IF(Escenarios!$F$17&gt;0,10*Escenarios!$F$16*AL471,0)</f>
        <v>0</v>
      </c>
      <c r="AZ471" s="170">
        <f>IF(Escenarios!$F$17&gt;0,10*Escenarios!$F$16*AX471,0)</f>
        <v>0</v>
      </c>
      <c r="BA471" s="170">
        <f>IF(Escenarios!$F$17&gt;0,0.001*Observaciones!$F470*Escenarios!$F$17,0)</f>
        <v>0</v>
      </c>
      <c r="BB471" s="170">
        <f>IF(Escenarios!$F$17&gt;0,Observaciones!$K470,0)</f>
        <v>0</v>
      </c>
      <c r="BC471" s="170">
        <f>IF(Escenarios!$F$17&gt;0,MIN(0.0005*ETo!$M470*Escenarios!$F$17*(BG470/Constantes!$F$40)^(2/3),BG470+AY471+AZ471+BA471+BB471),0)</f>
        <v>0</v>
      </c>
      <c r="BD471" s="170">
        <f>IF(Escenarios!$F$17&gt;0,MIN(Constantes!$F$39*(BG470/Constantes!$F$40)^(2/3),BG470+AY471+AZ471+BA471+BB471-BC471),0)</f>
        <v>0</v>
      </c>
      <c r="BE471" s="170">
        <f>IF(Escenarios!$F$17&gt;0,MIN(Entradas!$F$113,BG470+AY471+AZ471+BA471+BB471-BC471-BD471),0)</f>
        <v>0</v>
      </c>
      <c r="BF471" s="170">
        <f>IF(Escenarios!$F$17&gt;0,MAX(0,BG470+AY471+AZ471+BA471+BB471-BC471-BD471-BE471-Constantes!$F$40),0)</f>
        <v>0</v>
      </c>
      <c r="BG471" s="170">
        <f t="shared" si="109"/>
        <v>0</v>
      </c>
      <c r="BH471" s="170">
        <f>(Escenarios!$F$16*AK471+0.1*BC471)/(Escenarios!$F$19)</f>
        <v>0.57529864493267802</v>
      </c>
      <c r="BI471" s="170">
        <f>IF(Escenarios!$F$17&gt;0,BF471/10/Escenarios!$F$19,AL471)</f>
        <v>0</v>
      </c>
      <c r="BJ471" s="170">
        <f>(Escenarios!$F$16*AT471+0.1*BD471)/(Escenarios!$F$19)</f>
        <v>0</v>
      </c>
      <c r="BK471" s="76">
        <f>BK470+(0.1*BD471)/(Escenarios!$F$19)-BL470</f>
        <v>48.75</v>
      </c>
      <c r="BL471" s="76">
        <f>MAX(0,(BK471-Constantes!$D$13)*(1-EXP(-Constantes!$D$23)))</f>
        <v>0</v>
      </c>
      <c r="BM471" s="76">
        <f t="shared" si="110"/>
        <v>1.2226681314953516</v>
      </c>
      <c r="BN471" s="76">
        <f t="shared" si="111"/>
        <v>1.2226681314953516</v>
      </c>
      <c r="BO471" s="76">
        <f>0.0526*BI471*Observaciones!$F470^1.218</f>
        <v>0</v>
      </c>
      <c r="BP471" s="76">
        <f>BO471*Constantes!$F$51</f>
        <v>0</v>
      </c>
      <c r="BQ471" s="76">
        <f t="shared" si="112"/>
        <v>0</v>
      </c>
      <c r="BR471" s="40"/>
    </row>
    <row r="472" spans="2:70">
      <c r="B472" s="39"/>
      <c r="C472" s="75">
        <v>466</v>
      </c>
      <c r="D472" s="146">
        <f>ETo!$I471*((1-Constantes!$F$19)*ETo!$K471+ETo!$L471)</f>
        <v>3.7512902993958894</v>
      </c>
      <c r="E472" s="76">
        <f>MIN(D472*Constantes!$F$17,0.8*(N471+Observaciones!$F471-F472-M472-Constantes!$D$14))</f>
        <v>1.8293400879372258E-4</v>
      </c>
      <c r="F472" s="76">
        <f>IF(Observaciones!$F471&gt;0.05*Constantes!$F$18,((Observaciones!$F471-0.05*Constantes!$F$18)^2)/(Observaciones!$F471+0.95*Constantes!$F$18),0)</f>
        <v>0</v>
      </c>
      <c r="G472" s="76">
        <f>IF(Escenarios!$F$11&gt;0,(F472*Escenarios!$F$16*10000)/1000,0)</f>
        <v>0</v>
      </c>
      <c r="H472" s="76">
        <f>IF(Escenarios!$F$11&gt;0,(Observaciones!$F471*Constantes!$F$29)/1000,0)</f>
        <v>0</v>
      </c>
      <c r="I472" s="76">
        <f>IF(Escenarios!$F$11&gt;0,(D472*Constantes!$F$29)/1000,0)</f>
        <v>0</v>
      </c>
      <c r="J472" s="76">
        <f>IF(Escenarios!$F$11&gt;0,MAX(0,G472+H472-I472),0)</f>
        <v>0</v>
      </c>
      <c r="K472" s="76">
        <f>IF(Escenarios!$F$11&gt;0,IF(J472&gt;Constantes!$F$30,1000*((J472-Constantes!$F$30)/(Escenarios!$F$16*10000)),0),F472)</f>
        <v>0</v>
      </c>
      <c r="L472" s="76">
        <f>IF(Escenarios!$F$11&gt;0,I472*1000/Escenarios!$F$16/10000+E472,E472)</f>
        <v>1.8293400879372258E-4</v>
      </c>
      <c r="M472" s="76">
        <f>MAX(0,N471+Observaciones!$F471-K472-Constantes!$D$13)</f>
        <v>0</v>
      </c>
      <c r="N472" s="76">
        <f>N471+Observaciones!$F471-K472-L472-M472-O471</f>
        <v>11.250037944247318</v>
      </c>
      <c r="O472" s="76">
        <f>MAX(0,(N472-Constantes!$D$14)*(1-EXP(-Constantes!$D$22)))</f>
        <v>1.2925203598180309E-6</v>
      </c>
      <c r="P472" s="170">
        <f>P471+(Entradas!$F$83*M472-Q471)/(800*Entradas!$D$25)</f>
        <v>0</v>
      </c>
      <c r="Q472" s="170">
        <f>8000*Entradas!$D$26*P472/Constantes!$F$45</f>
        <v>0</v>
      </c>
      <c r="R472" s="170">
        <f>IF(Escenarios!$F$14&gt;0,K472*Escenarios!$F$13/Escenarios!$F$14,0)</f>
        <v>0</v>
      </c>
      <c r="S472" s="170">
        <f>IF(Escenarios!$F$14&gt;0,Q472*Escenarios!$F$13/Escenarios!$F$14,0)</f>
        <v>0</v>
      </c>
      <c r="T472" s="170">
        <f>IF(Escenarios!$F$14&gt;0,Observaciones!$I471,0)</f>
        <v>0</v>
      </c>
      <c r="U472" s="170">
        <f>IF(Escenarios!$F$14&gt;0,MAX(0,Constantes!$F$36/((Z471+R472+S472+T472+Observaciones!$F471)^2)+Entradas!$F$77),0)</f>
        <v>0</v>
      </c>
      <c r="V472" s="146">
        <f>IF(ETo!D471&gt;0,ETo!I471*((1-Entradas!$F$81)*ETo!K471+ETo!L471),0)</f>
        <v>3.3134023413517828</v>
      </c>
      <c r="W472" s="170">
        <f>IF(Escenarios!$F$14&gt;0,MIN(V472*1,0.8*(Z471+R472+S472+T472+Observaciones!$F471-U472-Constantes!$F$35)),0)</f>
        <v>3.3134023413517828</v>
      </c>
      <c r="X472" s="170">
        <f>IF(Escenarios!$F$14&gt;0,Observaciones!$J471,0)</f>
        <v>0</v>
      </c>
      <c r="Y472" s="170">
        <f>IF(Escenarios!$F$14&gt;0,MAX(0,Z471+R472+S472+T472+Observaciones!$F471-U472-W472-X472-Constantes!$F$33),0)</f>
        <v>0</v>
      </c>
      <c r="Z472" s="170">
        <f>Z471+R472+S472+T472+Observaciones!$F471-U472-W472-Y472</f>
        <v>44.370281123840883</v>
      </c>
      <c r="AA472" s="170">
        <f>IF(Escenarios!$F$14&gt;0,(Escenarios!$F$13*L472+Escenarios!$F$14*W472)/(Escenarios!$F$16),L472)</f>
        <v>0.3977692628899524</v>
      </c>
      <c r="AB472" s="170">
        <f>IF(Escenarios!$F$14&gt;0,(Escenarios!$F$14*Y472)/(Escenarios!$F$16),K472)</f>
        <v>0</v>
      </c>
      <c r="AC472" s="170">
        <f>IF(Escenarios!$F$14&gt;0,(Escenarios!$F$13*M472+Escenarios!$F$14*U472)/(Escenarios!$F$16),M472)</f>
        <v>0</v>
      </c>
      <c r="AD472" s="76">
        <f t="shared" si="99"/>
        <v>154.98852292391609</v>
      </c>
      <c r="AE472" s="76">
        <f>MAX(0,(AD472-Constantes!$D$13)*(1-EXP(-Constantes!$D$23)))</f>
        <v>1.0467934704140742</v>
      </c>
      <c r="AF472" s="76">
        <f>AB472+O472*Escenarios!$F$13/Escenarios!$F$16+AE472</f>
        <v>1.046794607831991</v>
      </c>
      <c r="AG472" s="76">
        <f>IF(Entradas!$F$91&gt;0,IF(AF472-Escenarios!$F$38&lt;=0,0,IF(AF472-Escenarios!$F$38&gt;Escenarios!$F$37,Escenarios!$F$37,AF472-Escenarios!$F$38)),0)</f>
        <v>9.9946078319910203E-3</v>
      </c>
      <c r="AH472" s="76">
        <f>AG472*Entradas!$F$99</f>
        <v>0</v>
      </c>
      <c r="AI472" s="76">
        <f>IF(Entradas!$F$91&gt;0,D472*Entradas!$D$23/Escenarios!$F$16,0)</f>
        <v>0.18006193437100268</v>
      </c>
      <c r="AJ472" s="76">
        <f>IF(Entradas!$F$91&gt;0,Entradas!$D$24*Entradas!$D$22/Escenarios!$F$16,0)</f>
        <v>0.12</v>
      </c>
      <c r="AK472" s="76">
        <f t="shared" si="100"/>
        <v>0.57783119726095511</v>
      </c>
      <c r="AL472" s="76">
        <f t="shared" si="101"/>
        <v>0</v>
      </c>
      <c r="AM472" s="76">
        <f t="shared" si="102"/>
        <v>9.9946078319910203E-3</v>
      </c>
      <c r="AN472" s="76">
        <f>MAX(0,O472*Escenarios!$F$13/Escenarios!$F$16-AM472)</f>
        <v>0</v>
      </c>
      <c r="AO472" s="76">
        <f>AM472+AN472-O472*Escenarios!$F$13/Escenarios!$F$16</f>
        <v>9.9934704140743798E-3</v>
      </c>
      <c r="AP472" s="76">
        <f t="shared" si="103"/>
        <v>1.0367999999999999</v>
      </c>
      <c r="AQ472" s="76">
        <f t="shared" si="104"/>
        <v>0</v>
      </c>
      <c r="AR472" s="76">
        <f t="shared" si="105"/>
        <v>1.0367999999999999</v>
      </c>
      <c r="AS472" s="76">
        <f t="shared" si="106"/>
        <v>0</v>
      </c>
      <c r="AT472" s="76">
        <f t="shared" si="107"/>
        <v>0</v>
      </c>
      <c r="AU472" s="76">
        <f t="shared" si="108"/>
        <v>60.724100935281079</v>
      </c>
      <c r="AV472" s="76">
        <f>MAX(0,(AU472-Constantes!$D$13)*(1-EXP(-Constantes!$D$24)))</f>
        <v>0.18302709118382943</v>
      </c>
      <c r="AW472" s="170">
        <f>AW471+(Entradas!$F$112*AT472-AX471)/(800*Entradas!$D$25)</f>
        <v>0</v>
      </c>
      <c r="AX472" s="170">
        <f>8000*Entradas!$D$26*AW472/Constantes!$F$45</f>
        <v>0</v>
      </c>
      <c r="AY472" s="170">
        <f>IF(Escenarios!$F$17&gt;0,10*Escenarios!$F$16*AL472,0)</f>
        <v>0</v>
      </c>
      <c r="AZ472" s="170">
        <f>IF(Escenarios!$F$17&gt;0,10*Escenarios!$F$16*AX472,0)</f>
        <v>0</v>
      </c>
      <c r="BA472" s="170">
        <f>IF(Escenarios!$F$17&gt;0,0.001*Observaciones!$F471*Escenarios!$F$17,0)</f>
        <v>0</v>
      </c>
      <c r="BB472" s="170">
        <f>IF(Escenarios!$F$17&gt;0,Observaciones!$K471,0)</f>
        <v>0</v>
      </c>
      <c r="BC472" s="170">
        <f>IF(Escenarios!$F$17&gt;0,MIN(0.0005*ETo!$M471*Escenarios!$F$17*(BG471/Constantes!$F$40)^(2/3),BG471+AY472+AZ472+BA472+BB472),0)</f>
        <v>0</v>
      </c>
      <c r="BD472" s="170">
        <f>IF(Escenarios!$F$17&gt;0,MIN(Constantes!$F$39*(BG471/Constantes!$F$40)^(2/3),BG471+AY472+AZ472+BA472+BB472-BC472),0)</f>
        <v>0</v>
      </c>
      <c r="BE472" s="170">
        <f>IF(Escenarios!$F$17&gt;0,MIN(Entradas!$F$113,BG471+AY472+AZ472+BA472+BB472-BC472-BD472),0)</f>
        <v>0</v>
      </c>
      <c r="BF472" s="170">
        <f>IF(Escenarios!$F$17&gt;0,MAX(0,BG471+AY472+AZ472+BA472+BB472-BC472-BD472-BE472-Constantes!$F$40),0)</f>
        <v>0</v>
      </c>
      <c r="BG472" s="170">
        <f t="shared" si="109"/>
        <v>0</v>
      </c>
      <c r="BH472" s="170">
        <f>(Escenarios!$F$16*AK472+0.1*BC472)/(Escenarios!$F$19)</f>
        <v>0.57783119726095511</v>
      </c>
      <c r="BI472" s="170">
        <f>IF(Escenarios!$F$17&gt;0,BF472/10/Escenarios!$F$19,AL472)</f>
        <v>0</v>
      </c>
      <c r="BJ472" s="170">
        <f>(Escenarios!$F$16*AT472+0.1*BD472)/(Escenarios!$F$19)</f>
        <v>0</v>
      </c>
      <c r="BK472" s="76">
        <f>BK471+(0.1*BD472)/(Escenarios!$F$19)-BL471</f>
        <v>48.75</v>
      </c>
      <c r="BL472" s="76">
        <f>MAX(0,(BK472-Constantes!$D$13)*(1-EXP(-Constantes!$D$23)))</f>
        <v>0</v>
      </c>
      <c r="BM472" s="76">
        <f t="shared" si="110"/>
        <v>1.2198270911838294</v>
      </c>
      <c r="BN472" s="76">
        <f t="shared" si="111"/>
        <v>1.2198270911838294</v>
      </c>
      <c r="BO472" s="76">
        <f>0.0526*BI472*Observaciones!$F471^1.218</f>
        <v>0</v>
      </c>
      <c r="BP472" s="76">
        <f>BO472*Constantes!$F$51</f>
        <v>0</v>
      </c>
      <c r="BQ472" s="76">
        <f t="shared" si="112"/>
        <v>0</v>
      </c>
      <c r="BR472" s="40"/>
    </row>
    <row r="473" spans="2:70">
      <c r="B473" s="39"/>
      <c r="C473" s="75">
        <v>467</v>
      </c>
      <c r="D473" s="146">
        <f>ETo!$I472*((1-Constantes!$F$19)*ETo!$K472+ETo!$L472)</f>
        <v>3.7288902717723684</v>
      </c>
      <c r="E473" s="76">
        <f>MIN(D473*Constantes!$F$17,0.8*(N472+Observaciones!$F472-F473-M473-Constantes!$D$14))</f>
        <v>2.126629964825772</v>
      </c>
      <c r="F473" s="76">
        <f>IF(Observaciones!$F472&gt;0.05*Constantes!$F$18,((Observaciones!$F472-0.05*Constantes!$F$18)^2)/(Observaciones!$F472+0.95*Constantes!$F$18),0)</f>
        <v>0</v>
      </c>
      <c r="G473" s="76">
        <f>IF(Escenarios!$F$11&gt;0,(F473*Escenarios!$F$16*10000)/1000,0)</f>
        <v>0</v>
      </c>
      <c r="H473" s="76">
        <f>IF(Escenarios!$F$11&gt;0,(Observaciones!$F472*Constantes!$F$29)/1000,0)</f>
        <v>0</v>
      </c>
      <c r="I473" s="76">
        <f>IF(Escenarios!$F$11&gt;0,(D473*Constantes!$F$29)/1000,0)</f>
        <v>0</v>
      </c>
      <c r="J473" s="76">
        <f>IF(Escenarios!$F$11&gt;0,MAX(0,G473+H473-I473),0)</f>
        <v>0</v>
      </c>
      <c r="K473" s="76">
        <f>IF(Escenarios!$F$11&gt;0,IF(J473&gt;Constantes!$F$30,1000*((J473-Constantes!$F$30)/(Escenarios!$F$16*10000)),0),F473)</f>
        <v>0</v>
      </c>
      <c r="L473" s="76">
        <f>IF(Escenarios!$F$11&gt;0,I473*1000/Escenarios!$F$16/10000+E473,E473)</f>
        <v>2.126629964825772</v>
      </c>
      <c r="M473" s="76">
        <f>MAX(0,N472+Observaciones!$F472-K473-Constantes!$D$13)</f>
        <v>0</v>
      </c>
      <c r="N473" s="76">
        <f>N472+Observaciones!$F472-K473-L473-M473-O472</f>
        <v>12.623406686901186</v>
      </c>
      <c r="O473" s="76">
        <f>MAX(0,(N473-Constantes!$D$14)*(1-EXP(-Constantes!$D$22)))</f>
        <v>4.6783273635019558E-2</v>
      </c>
      <c r="P473" s="170">
        <f>P472+(Entradas!$F$83*M473-Q472)/(800*Entradas!$D$25)</f>
        <v>0</v>
      </c>
      <c r="Q473" s="170">
        <f>8000*Entradas!$D$26*P473/Constantes!$F$45</f>
        <v>0</v>
      </c>
      <c r="R473" s="170">
        <f>IF(Escenarios!$F$14&gt;0,K473*Escenarios!$F$13/Escenarios!$F$14,0)</f>
        <v>0</v>
      </c>
      <c r="S473" s="170">
        <f>IF(Escenarios!$F$14&gt;0,Q473*Escenarios!$F$13/Escenarios!$F$14,0)</f>
        <v>0</v>
      </c>
      <c r="T473" s="170">
        <f>IF(Escenarios!$F$14&gt;0,Observaciones!$I472,0)</f>
        <v>0</v>
      </c>
      <c r="U473" s="170">
        <f>IF(Escenarios!$F$14&gt;0,MAX(0,Constantes!$F$36/((Z472+R473+S473+T473+Observaciones!$F472)^2)+Entradas!$F$77),0)</f>
        <v>0</v>
      </c>
      <c r="V473" s="146">
        <f>IF(ETo!D472&gt;0,ETo!I472*((1-Entradas!$F$81)*ETo!K472+ETo!L472),0)</f>
        <v>3.2929274624140894</v>
      </c>
      <c r="W473" s="170">
        <f>IF(Escenarios!$F$14&gt;0,MIN(V473*1,0.8*(Z472+R473+S473+T473+Observaciones!$F472-U473-Constantes!$F$35)),0)</f>
        <v>3.2929274624140894</v>
      </c>
      <c r="X473" s="170">
        <f>IF(Escenarios!$F$14&gt;0,Observaciones!$J472,0)</f>
        <v>0</v>
      </c>
      <c r="Y473" s="170">
        <f>IF(Escenarios!$F$14&gt;0,MAX(0,Z472+R473+S473+T473+Observaciones!$F472-U473-W473-X473-Constantes!$F$33),0)</f>
        <v>0</v>
      </c>
      <c r="Z473" s="170">
        <f>Z472+R473+S473+T473+Observaciones!$F472-U473-W473-Y473</f>
        <v>44.577353661426791</v>
      </c>
      <c r="AA473" s="170">
        <f>IF(Escenarios!$F$14&gt;0,(Escenarios!$F$13*L473+Escenarios!$F$14*W473)/(Escenarios!$F$16),L473)</f>
        <v>2.26658566453637</v>
      </c>
      <c r="AB473" s="170">
        <f>IF(Escenarios!$F$14&gt;0,(Escenarios!$F$14*Y473)/(Escenarios!$F$16),K473)</f>
        <v>0</v>
      </c>
      <c r="AC473" s="170">
        <f>IF(Escenarios!$F$14&gt;0,(Escenarios!$F$13*M473+Escenarios!$F$14*U473)/(Escenarios!$F$16),M473)</f>
        <v>0</v>
      </c>
      <c r="AD473" s="76">
        <f t="shared" si="99"/>
        <v>153.94172945350201</v>
      </c>
      <c r="AE473" s="76">
        <f>MAX(0,(AD473-Constantes!$D$13)*(1-EXP(-Constantes!$D$23)))</f>
        <v>1.0364791650233047</v>
      </c>
      <c r="AF473" s="76">
        <f>AB473+O473*Escenarios!$F$13/Escenarios!$F$16+AE473</f>
        <v>1.0776484458221218</v>
      </c>
      <c r="AG473" s="76">
        <f>IF(Entradas!$F$91&gt;0,IF(AF473-Escenarios!$F$38&lt;=0,0,IF(AF473-Escenarios!$F$38&gt;Escenarios!$F$37,Escenarios!$F$37,AF473-Escenarios!$F$38)),0)</f>
        <v>4.0848445822121882E-2</v>
      </c>
      <c r="AH473" s="76">
        <f>AG473*Entradas!$F$99</f>
        <v>0</v>
      </c>
      <c r="AI473" s="76">
        <f>IF(Entradas!$F$91&gt;0,D473*Entradas!$D$23/Escenarios!$F$16,0)</f>
        <v>0.1789867330450737</v>
      </c>
      <c r="AJ473" s="76">
        <f>IF(Entradas!$F$91&gt;0,Entradas!$D$24*Entradas!$D$22/Escenarios!$F$16,0)</f>
        <v>0.12</v>
      </c>
      <c r="AK473" s="76">
        <f t="shared" si="100"/>
        <v>2.4455723975814436</v>
      </c>
      <c r="AL473" s="76">
        <f t="shared" si="101"/>
        <v>0</v>
      </c>
      <c r="AM473" s="76">
        <f t="shared" si="102"/>
        <v>4.0848445822121882E-2</v>
      </c>
      <c r="AN473" s="76">
        <f>MAX(0,O473*Escenarios!$F$13/Escenarios!$F$16-AM473)</f>
        <v>3.2083497669532779E-4</v>
      </c>
      <c r="AO473" s="76">
        <f>AM473+AN473-O473*Escenarios!$F$13/Escenarios!$F$16</f>
        <v>0</v>
      </c>
      <c r="AP473" s="76">
        <f t="shared" si="103"/>
        <v>1.0364791650233047</v>
      </c>
      <c r="AQ473" s="76">
        <f t="shared" si="104"/>
        <v>0</v>
      </c>
      <c r="AR473" s="76">
        <f t="shared" si="105"/>
        <v>1.0367999999999999</v>
      </c>
      <c r="AS473" s="76">
        <f t="shared" si="106"/>
        <v>0</v>
      </c>
      <c r="AT473" s="76">
        <f t="shared" si="107"/>
        <v>0</v>
      </c>
      <c r="AU473" s="76">
        <f t="shared" si="108"/>
        <v>60.541073844097248</v>
      </c>
      <c r="AV473" s="76">
        <f>MAX(0,(AU473-Constantes!$D$13)*(1-EXP(-Constantes!$D$24)))</f>
        <v>0.1802294768753922</v>
      </c>
      <c r="AW473" s="170">
        <f>AW472+(Entradas!$F$112*AT473-AX472)/(800*Entradas!$D$25)</f>
        <v>0</v>
      </c>
      <c r="AX473" s="170">
        <f>8000*Entradas!$D$26*AW473/Constantes!$F$45</f>
        <v>0</v>
      </c>
      <c r="AY473" s="170">
        <f>IF(Escenarios!$F$17&gt;0,10*Escenarios!$F$16*AL473,0)</f>
        <v>0</v>
      </c>
      <c r="AZ473" s="170">
        <f>IF(Escenarios!$F$17&gt;0,10*Escenarios!$F$16*AX473,0)</f>
        <v>0</v>
      </c>
      <c r="BA473" s="170">
        <f>IF(Escenarios!$F$17&gt;0,0.001*Observaciones!$F472*Escenarios!$F$17,0)</f>
        <v>0</v>
      </c>
      <c r="BB473" s="170">
        <f>IF(Escenarios!$F$17&gt;0,Observaciones!$K472,0)</f>
        <v>0</v>
      </c>
      <c r="BC473" s="170">
        <f>IF(Escenarios!$F$17&gt;0,MIN(0.0005*ETo!$M472*Escenarios!$F$17*(BG472/Constantes!$F$40)^(2/3),BG472+AY473+AZ473+BA473+BB473),0)</f>
        <v>0</v>
      </c>
      <c r="BD473" s="170">
        <f>IF(Escenarios!$F$17&gt;0,MIN(Constantes!$F$39*(BG472/Constantes!$F$40)^(2/3),BG472+AY473+AZ473+BA473+BB473-BC473),0)</f>
        <v>0</v>
      </c>
      <c r="BE473" s="170">
        <f>IF(Escenarios!$F$17&gt;0,MIN(Entradas!$F$113,BG472+AY473+AZ473+BA473+BB473-BC473-BD473),0)</f>
        <v>0</v>
      </c>
      <c r="BF473" s="170">
        <f>IF(Escenarios!$F$17&gt;0,MAX(0,BG472+AY473+AZ473+BA473+BB473-BC473-BD473-BE473-Constantes!$F$40),0)</f>
        <v>0</v>
      </c>
      <c r="BG473" s="170">
        <f t="shared" si="109"/>
        <v>0</v>
      </c>
      <c r="BH473" s="170">
        <f>(Escenarios!$F$16*AK473+0.1*BC473)/(Escenarios!$F$19)</f>
        <v>2.4455723975814436</v>
      </c>
      <c r="BI473" s="170">
        <f>IF(Escenarios!$F$17&gt;0,BF473/10/Escenarios!$F$19,AL473)</f>
        <v>0</v>
      </c>
      <c r="BJ473" s="170">
        <f>(Escenarios!$F$16*AT473+0.1*BD473)/(Escenarios!$F$19)</f>
        <v>0</v>
      </c>
      <c r="BK473" s="76">
        <f>BK472+(0.1*BD473)/(Escenarios!$F$19)-BL472</f>
        <v>48.75</v>
      </c>
      <c r="BL473" s="76">
        <f>MAX(0,(BK473-Constantes!$D$13)*(1-EXP(-Constantes!$D$23)))</f>
        <v>0</v>
      </c>
      <c r="BM473" s="76">
        <f t="shared" si="110"/>
        <v>1.216708641898697</v>
      </c>
      <c r="BN473" s="76">
        <f t="shared" si="111"/>
        <v>1.2170294768753922</v>
      </c>
      <c r="BO473" s="76">
        <f>0.0526*BI473*Observaciones!$F472^1.218</f>
        <v>0</v>
      </c>
      <c r="BP473" s="76">
        <f>BO473*Constantes!$F$51</f>
        <v>0</v>
      </c>
      <c r="BQ473" s="76">
        <f t="shared" si="112"/>
        <v>0</v>
      </c>
      <c r="BR473" s="40"/>
    </row>
    <row r="474" spans="2:70">
      <c r="B474" s="39"/>
      <c r="C474" s="75">
        <v>468</v>
      </c>
      <c r="D474" s="146">
        <f>ETo!$I473*((1-Constantes!$F$19)*ETo!$K473+ETo!$L473)</f>
        <v>3.4858885228192356</v>
      </c>
      <c r="E474" s="76">
        <f>MIN(D474*Constantes!$F$17,0.8*(N473+Observaciones!$F473-F474-M474-Constantes!$D$14))</f>
        <v>1.9880432102782388</v>
      </c>
      <c r="F474" s="76">
        <f>IF(Observaciones!$F473&gt;0.05*Constantes!$F$18,((Observaciones!$F473-0.05*Constantes!$F$18)^2)/(Observaciones!$F473+0.95*Constantes!$F$18),0)</f>
        <v>0</v>
      </c>
      <c r="G474" s="76">
        <f>IF(Escenarios!$F$11&gt;0,(F474*Escenarios!$F$16*10000)/1000,0)</f>
        <v>0</v>
      </c>
      <c r="H474" s="76">
        <f>IF(Escenarios!$F$11&gt;0,(Observaciones!$F473*Constantes!$F$29)/1000,0)</f>
        <v>0</v>
      </c>
      <c r="I474" s="76">
        <f>IF(Escenarios!$F$11&gt;0,(D474*Constantes!$F$29)/1000,0)</f>
        <v>0</v>
      </c>
      <c r="J474" s="76">
        <f>IF(Escenarios!$F$11&gt;0,MAX(0,G474+H474-I474),0)</f>
        <v>0</v>
      </c>
      <c r="K474" s="76">
        <f>IF(Escenarios!$F$11&gt;0,IF(J474&gt;Constantes!$F$30,1000*((J474-Constantes!$F$30)/(Escenarios!$F$16*10000)),0),F474)</f>
        <v>0</v>
      </c>
      <c r="L474" s="76">
        <f>IF(Escenarios!$F$11&gt;0,I474*1000/Escenarios!$F$16/10000+E474,E474)</f>
        <v>1.9880432102782388</v>
      </c>
      <c r="M474" s="76">
        <f>MAX(0,N473+Observaciones!$F473-K474-Constantes!$D$13)</f>
        <v>0</v>
      </c>
      <c r="N474" s="76">
        <f>N473+Observaciones!$F473-K474-L474-M474-O473</f>
        <v>12.388580202987928</v>
      </c>
      <c r="O474" s="76">
        <f>MAX(0,(N474-Constantes!$D$14)*(1-EXP(-Constantes!$D$22)))</f>
        <v>3.878422152726331E-2</v>
      </c>
      <c r="P474" s="170">
        <f>P473+(Entradas!$F$83*M474-Q473)/(800*Entradas!$D$25)</f>
        <v>0</v>
      </c>
      <c r="Q474" s="170">
        <f>8000*Entradas!$D$26*P474/Constantes!$F$45</f>
        <v>0</v>
      </c>
      <c r="R474" s="170">
        <f>IF(Escenarios!$F$14&gt;0,K474*Escenarios!$F$13/Escenarios!$F$14,0)</f>
        <v>0</v>
      </c>
      <c r="S474" s="170">
        <f>IF(Escenarios!$F$14&gt;0,Q474*Escenarios!$F$13/Escenarios!$F$14,0)</f>
        <v>0</v>
      </c>
      <c r="T474" s="170">
        <f>IF(Escenarios!$F$14&gt;0,Observaciones!$I473,0)</f>
        <v>0</v>
      </c>
      <c r="U474" s="170">
        <f>IF(Escenarios!$F$14&gt;0,MAX(0,Constantes!$F$36/((Z473+R474+S474+T474+Observaciones!$F473)^2)+Entradas!$F$77),0)</f>
        <v>0</v>
      </c>
      <c r="V474" s="146">
        <f>IF(ETo!D473&gt;0,ETo!I473*((1-Entradas!$F$81)*ETo!K473+ETo!L473),0)</f>
        <v>3.0750156898741232</v>
      </c>
      <c r="W474" s="170">
        <f>IF(Escenarios!$F$14&gt;0,MIN(V474*1,0.8*(Z473+R474+S474+T474+Observaciones!$F473-U474-Constantes!$F$35)),0)</f>
        <v>3.0750156898741232</v>
      </c>
      <c r="X474" s="170">
        <f>IF(Escenarios!$F$14&gt;0,Observaciones!$J473,0)</f>
        <v>0</v>
      </c>
      <c r="Y474" s="170">
        <f>IF(Escenarios!$F$14&gt;0,MAX(0,Z473+R474+S474+T474+Observaciones!$F473-U474-W474-X474-Constantes!$F$33),0)</f>
        <v>0</v>
      </c>
      <c r="Z474" s="170">
        <f>Z473+R474+S474+T474+Observaciones!$F473-U474-W474-Y474</f>
        <v>43.302337971552667</v>
      </c>
      <c r="AA474" s="170">
        <f>IF(Escenarios!$F$14&gt;0,(Escenarios!$F$13*L474+Escenarios!$F$14*W474)/(Escenarios!$F$16),L474)</f>
        <v>2.1184799078297449</v>
      </c>
      <c r="AB474" s="170">
        <f>IF(Escenarios!$F$14&gt;0,(Escenarios!$F$14*Y474)/(Escenarios!$F$16),K474)</f>
        <v>0</v>
      </c>
      <c r="AC474" s="170">
        <f>IF(Escenarios!$F$14&gt;0,(Escenarios!$F$13*M474+Escenarios!$F$14*U474)/(Escenarios!$F$16),M474)</f>
        <v>0</v>
      </c>
      <c r="AD474" s="76">
        <f t="shared" si="99"/>
        <v>152.9052502884787</v>
      </c>
      <c r="AE474" s="76">
        <f>MAX(0,(AD474-Constantes!$D$13)*(1-EXP(-Constantes!$D$23)))</f>
        <v>1.0262664889402264</v>
      </c>
      <c r="AF474" s="76">
        <f>AB474+O474*Escenarios!$F$13/Escenarios!$F$16+AE474</f>
        <v>1.0603966038842181</v>
      </c>
      <c r="AG474" s="76">
        <f>IF(Entradas!$F$91&gt;0,IF(AF474-Escenarios!$F$38&lt;=0,0,IF(AF474-Escenarios!$F$38&gt;Escenarios!$F$37,Escenarios!$F$37,AF474-Escenarios!$F$38)),0)</f>
        <v>2.3596603884218137E-2</v>
      </c>
      <c r="AH474" s="76">
        <f>AG474*Entradas!$F$99</f>
        <v>0</v>
      </c>
      <c r="AI474" s="76">
        <f>IF(Entradas!$F$91&gt;0,D474*Entradas!$D$23/Escenarios!$F$16,0)</f>
        <v>0.16732264909532329</v>
      </c>
      <c r="AJ474" s="76">
        <f>IF(Entradas!$F$91&gt;0,Entradas!$D$24*Entradas!$D$22/Escenarios!$F$16,0)</f>
        <v>0.12</v>
      </c>
      <c r="AK474" s="76">
        <f t="shared" si="100"/>
        <v>2.2858025569250682</v>
      </c>
      <c r="AL474" s="76">
        <f t="shared" si="101"/>
        <v>0</v>
      </c>
      <c r="AM474" s="76">
        <f t="shared" si="102"/>
        <v>2.3596603884218137E-2</v>
      </c>
      <c r="AN474" s="76">
        <f>MAX(0,O474*Escenarios!$F$13/Escenarios!$F$16-AM474)</f>
        <v>1.0533511059773577E-2</v>
      </c>
      <c r="AO474" s="76">
        <f>AM474+AN474-O474*Escenarios!$F$13/Escenarios!$F$16</f>
        <v>0</v>
      </c>
      <c r="AP474" s="76">
        <f t="shared" si="103"/>
        <v>1.0262664889402264</v>
      </c>
      <c r="AQ474" s="76">
        <f t="shared" si="104"/>
        <v>0</v>
      </c>
      <c r="AR474" s="76">
        <f t="shared" si="105"/>
        <v>1.0367999999999999</v>
      </c>
      <c r="AS474" s="76">
        <f t="shared" si="106"/>
        <v>0</v>
      </c>
      <c r="AT474" s="76">
        <f t="shared" si="107"/>
        <v>0</v>
      </c>
      <c r="AU474" s="76">
        <f t="shared" si="108"/>
        <v>60.360844367221858</v>
      </c>
      <c r="AV474" s="76">
        <f>MAX(0,(AU474-Constantes!$D$13)*(1-EXP(-Constantes!$D$24)))</f>
        <v>0.17747462479285364</v>
      </c>
      <c r="AW474" s="170">
        <f>AW473+(Entradas!$F$112*AT474-AX473)/(800*Entradas!$D$25)</f>
        <v>0</v>
      </c>
      <c r="AX474" s="170">
        <f>8000*Entradas!$D$26*AW474/Constantes!$F$45</f>
        <v>0</v>
      </c>
      <c r="AY474" s="170">
        <f>IF(Escenarios!$F$17&gt;0,10*Escenarios!$F$16*AL474,0)</f>
        <v>0</v>
      </c>
      <c r="AZ474" s="170">
        <f>IF(Escenarios!$F$17&gt;0,10*Escenarios!$F$16*AX474,0)</f>
        <v>0</v>
      </c>
      <c r="BA474" s="170">
        <f>IF(Escenarios!$F$17&gt;0,0.001*Observaciones!$F473*Escenarios!$F$17,0)</f>
        <v>0</v>
      </c>
      <c r="BB474" s="170">
        <f>IF(Escenarios!$F$17&gt;0,Observaciones!$K473,0)</f>
        <v>0</v>
      </c>
      <c r="BC474" s="170">
        <f>IF(Escenarios!$F$17&gt;0,MIN(0.0005*ETo!$M473*Escenarios!$F$17*(BG473/Constantes!$F$40)^(2/3),BG473+AY474+AZ474+BA474+BB474),0)</f>
        <v>0</v>
      </c>
      <c r="BD474" s="170">
        <f>IF(Escenarios!$F$17&gt;0,MIN(Constantes!$F$39*(BG473/Constantes!$F$40)^(2/3),BG473+AY474+AZ474+BA474+BB474-BC474),0)</f>
        <v>0</v>
      </c>
      <c r="BE474" s="170">
        <f>IF(Escenarios!$F$17&gt;0,MIN(Entradas!$F$113,BG473+AY474+AZ474+BA474+BB474-BC474-BD474),0)</f>
        <v>0</v>
      </c>
      <c r="BF474" s="170">
        <f>IF(Escenarios!$F$17&gt;0,MAX(0,BG473+AY474+AZ474+BA474+BB474-BC474-BD474-BE474-Constantes!$F$40),0)</f>
        <v>0</v>
      </c>
      <c r="BG474" s="170">
        <f t="shared" si="109"/>
        <v>0</v>
      </c>
      <c r="BH474" s="170">
        <f>(Escenarios!$F$16*AK474+0.1*BC474)/(Escenarios!$F$19)</f>
        <v>2.2858025569250682</v>
      </c>
      <c r="BI474" s="170">
        <f>IF(Escenarios!$F$17&gt;0,BF474/10/Escenarios!$F$19,AL474)</f>
        <v>0</v>
      </c>
      <c r="BJ474" s="170">
        <f>(Escenarios!$F$16*AT474+0.1*BD474)/(Escenarios!$F$19)</f>
        <v>0</v>
      </c>
      <c r="BK474" s="76">
        <f>BK473+(0.1*BD474)/(Escenarios!$F$19)-BL473</f>
        <v>48.75</v>
      </c>
      <c r="BL474" s="76">
        <f>MAX(0,(BK474-Constantes!$D$13)*(1-EXP(-Constantes!$D$23)))</f>
        <v>0</v>
      </c>
      <c r="BM474" s="76">
        <f t="shared" si="110"/>
        <v>1.20374111373308</v>
      </c>
      <c r="BN474" s="76">
        <f t="shared" si="111"/>
        <v>1.2142746247928535</v>
      </c>
      <c r="BO474" s="76">
        <f>0.0526*BI474*Observaciones!$F473^1.218</f>
        <v>0</v>
      </c>
      <c r="BP474" s="76">
        <f>BO474*Constantes!$F$51</f>
        <v>0</v>
      </c>
      <c r="BQ474" s="76">
        <f t="shared" si="112"/>
        <v>0</v>
      </c>
      <c r="BR474" s="40"/>
    </row>
    <row r="475" spans="2:70">
      <c r="B475" s="39"/>
      <c r="C475" s="75">
        <v>469</v>
      </c>
      <c r="D475" s="146">
        <f>ETo!$I474*((1-Constantes!$F$19)*ETo!$K474+ETo!$L474)</f>
        <v>3.6838617250403303</v>
      </c>
      <c r="E475" s="76">
        <f>MIN(D475*Constantes!$F$17,0.8*(N474+Observaciones!$F474-F475-M475-Constantes!$D$14))</f>
        <v>0.9108641623903424</v>
      </c>
      <c r="F475" s="76">
        <f>IF(Observaciones!$F474&gt;0.05*Constantes!$F$18,((Observaciones!$F474-0.05*Constantes!$F$18)^2)/(Observaciones!$F474+0.95*Constantes!$F$18),0)</f>
        <v>0</v>
      </c>
      <c r="G475" s="76">
        <f>IF(Escenarios!$F$11&gt;0,(F475*Escenarios!$F$16*10000)/1000,0)</f>
        <v>0</v>
      </c>
      <c r="H475" s="76">
        <f>IF(Escenarios!$F$11&gt;0,(Observaciones!$F474*Constantes!$F$29)/1000,0)</f>
        <v>0</v>
      </c>
      <c r="I475" s="76">
        <f>IF(Escenarios!$F$11&gt;0,(D475*Constantes!$F$29)/1000,0)</f>
        <v>0</v>
      </c>
      <c r="J475" s="76">
        <f>IF(Escenarios!$F$11&gt;0,MAX(0,G475+H475-I475),0)</f>
        <v>0</v>
      </c>
      <c r="K475" s="76">
        <f>IF(Escenarios!$F$11&gt;0,IF(J475&gt;Constantes!$F$30,1000*((J475-Constantes!$F$30)/(Escenarios!$F$16*10000)),0),F475)</f>
        <v>0</v>
      </c>
      <c r="L475" s="76">
        <f>IF(Escenarios!$F$11&gt;0,I475*1000/Escenarios!$F$16/10000+E475,E475)</f>
        <v>0.9108641623903424</v>
      </c>
      <c r="M475" s="76">
        <f>MAX(0,N474+Observaciones!$F474-K475-Constantes!$D$13)</f>
        <v>0</v>
      </c>
      <c r="N475" s="76">
        <f>N474+Observaciones!$F474-K475-L475-M475-O474</f>
        <v>11.438931819070321</v>
      </c>
      <c r="O475" s="76">
        <f>MAX(0,(N475-Constantes!$D$14)*(1-EXP(-Constantes!$D$22)))</f>
        <v>6.4357113404420012E-3</v>
      </c>
      <c r="P475" s="170">
        <f>P474+(Entradas!$F$83*M475-Q474)/(800*Entradas!$D$25)</f>
        <v>0</v>
      </c>
      <c r="Q475" s="170">
        <f>8000*Entradas!$D$26*P475/Constantes!$F$45</f>
        <v>0</v>
      </c>
      <c r="R475" s="170">
        <f>IF(Escenarios!$F$14&gt;0,K475*Escenarios!$F$13/Escenarios!$F$14,0)</f>
        <v>0</v>
      </c>
      <c r="S475" s="170">
        <f>IF(Escenarios!$F$14&gt;0,Q475*Escenarios!$F$13/Escenarios!$F$14,0)</f>
        <v>0</v>
      </c>
      <c r="T475" s="170">
        <f>IF(Escenarios!$F$14&gt;0,Observaciones!$I474,0)</f>
        <v>0</v>
      </c>
      <c r="U475" s="170">
        <f>IF(Escenarios!$F$14&gt;0,MAX(0,Constantes!$F$36/((Z474+R475+S475+T475+Observaciones!$F474)^2)+Entradas!$F$77),0)</f>
        <v>0</v>
      </c>
      <c r="V475" s="146">
        <f>IF(ETo!D474&gt;0,ETo!I474*((1-Entradas!$F$81)*ETo!K474+ETo!L474),0)</f>
        <v>3.2517698727577851</v>
      </c>
      <c r="W475" s="170">
        <f>IF(Escenarios!$F$14&gt;0,MIN(V475*1,0.8*(Z474+R475+S475+T475+Observaciones!$F474-U475-Constantes!$F$35)),0)</f>
        <v>1.6418703772421339</v>
      </c>
      <c r="X475" s="170">
        <f>IF(Escenarios!$F$14&gt;0,Observaciones!$J474,0)</f>
        <v>0</v>
      </c>
      <c r="Y475" s="170">
        <f>IF(Escenarios!$F$14&gt;0,MAX(0,Z474+R475+S475+T475+Observaciones!$F474-U475-W475-X475-Constantes!$F$33),0)</f>
        <v>0</v>
      </c>
      <c r="Z475" s="170">
        <f>Z474+R475+S475+T475+Observaciones!$F474-U475-W475-Y475</f>
        <v>41.660467594310532</v>
      </c>
      <c r="AA475" s="170">
        <f>IF(Escenarios!$F$14&gt;0,(Escenarios!$F$13*L475+Escenarios!$F$14*W475)/(Escenarios!$F$16),L475)</f>
        <v>0.9985849081725573</v>
      </c>
      <c r="AB475" s="170">
        <f>IF(Escenarios!$F$14&gt;0,(Escenarios!$F$14*Y475)/(Escenarios!$F$16),K475)</f>
        <v>0</v>
      </c>
      <c r="AC475" s="170">
        <f>IF(Escenarios!$F$14&gt;0,(Escenarios!$F$13*M475+Escenarios!$F$14*U475)/(Escenarios!$F$16),M475)</f>
        <v>0</v>
      </c>
      <c r="AD475" s="76">
        <f t="shared" si="99"/>
        <v>151.87898379953847</v>
      </c>
      <c r="AE475" s="76">
        <f>MAX(0,(AD475-Constantes!$D$13)*(1-EXP(-Constantes!$D$23)))</f>
        <v>1.0161544407870648</v>
      </c>
      <c r="AF475" s="76">
        <f>AB475+O475*Escenarios!$F$13/Escenarios!$F$16+AE475</f>
        <v>1.0218178667666538</v>
      </c>
      <c r="AG475" s="76">
        <f>IF(Entradas!$F$91&gt;0,IF(AF475-Escenarios!$F$38&lt;=0,0,IF(AF475-Escenarios!$F$38&gt;Escenarios!$F$37,Escenarios!$F$37,AF475-Escenarios!$F$38)),0)</f>
        <v>0</v>
      </c>
      <c r="AH475" s="76">
        <f>AG475*Entradas!$F$99</f>
        <v>0</v>
      </c>
      <c r="AI475" s="76">
        <f>IF(Entradas!$F$91&gt;0,D475*Entradas!$D$23/Escenarios!$F$16,0)</f>
        <v>0.17682536280193586</v>
      </c>
      <c r="AJ475" s="76">
        <f>IF(Entradas!$F$91&gt;0,Entradas!$D$24*Entradas!$D$22/Escenarios!$F$16,0)</f>
        <v>0.12</v>
      </c>
      <c r="AK475" s="76">
        <f t="shared" si="100"/>
        <v>1.1754102709744931</v>
      </c>
      <c r="AL475" s="76">
        <f t="shared" si="101"/>
        <v>0</v>
      </c>
      <c r="AM475" s="76">
        <f t="shared" si="102"/>
        <v>0</v>
      </c>
      <c r="AN475" s="76">
        <f>MAX(0,O475*Escenarios!$F$13/Escenarios!$F$16-AM475)</f>
        <v>5.6634259795889609E-3</v>
      </c>
      <c r="AO475" s="76">
        <f>AM475+AN475-O475*Escenarios!$F$13/Escenarios!$F$16</f>
        <v>0</v>
      </c>
      <c r="AP475" s="76">
        <f t="shared" si="103"/>
        <v>1.0161544407870648</v>
      </c>
      <c r="AQ475" s="76">
        <f t="shared" si="104"/>
        <v>0</v>
      </c>
      <c r="AR475" s="76">
        <f t="shared" si="105"/>
        <v>1.0218178667666538</v>
      </c>
      <c r="AS475" s="76">
        <f t="shared" si="106"/>
        <v>0</v>
      </c>
      <c r="AT475" s="76">
        <f t="shared" si="107"/>
        <v>0</v>
      </c>
      <c r="AU475" s="76">
        <f t="shared" si="108"/>
        <v>60.183369742429008</v>
      </c>
      <c r="AV475" s="76">
        <f>MAX(0,(AU475-Constantes!$D$13)*(1-EXP(-Constantes!$D$24)))</f>
        <v>0.17476188130502582</v>
      </c>
      <c r="AW475" s="170">
        <f>AW474+(Entradas!$F$112*AT475-AX474)/(800*Entradas!$D$25)</f>
        <v>0</v>
      </c>
      <c r="AX475" s="170">
        <f>8000*Entradas!$D$26*AW475/Constantes!$F$45</f>
        <v>0</v>
      </c>
      <c r="AY475" s="170">
        <f>IF(Escenarios!$F$17&gt;0,10*Escenarios!$F$16*AL475,0)</f>
        <v>0</v>
      </c>
      <c r="AZ475" s="170">
        <f>IF(Escenarios!$F$17&gt;0,10*Escenarios!$F$16*AX475,0)</f>
        <v>0</v>
      </c>
      <c r="BA475" s="170">
        <f>IF(Escenarios!$F$17&gt;0,0.001*Observaciones!$F474*Escenarios!$F$17,0)</f>
        <v>0</v>
      </c>
      <c r="BB475" s="170">
        <f>IF(Escenarios!$F$17&gt;0,Observaciones!$K474,0)</f>
        <v>0</v>
      </c>
      <c r="BC475" s="170">
        <f>IF(Escenarios!$F$17&gt;0,MIN(0.0005*ETo!$M474*Escenarios!$F$17*(BG474/Constantes!$F$40)^(2/3),BG474+AY475+AZ475+BA475+BB475),0)</f>
        <v>0</v>
      </c>
      <c r="BD475" s="170">
        <f>IF(Escenarios!$F$17&gt;0,MIN(Constantes!$F$39*(BG474/Constantes!$F$40)^(2/3),BG474+AY475+AZ475+BA475+BB475-BC475),0)</f>
        <v>0</v>
      </c>
      <c r="BE475" s="170">
        <f>IF(Escenarios!$F$17&gt;0,MIN(Entradas!$F$113,BG474+AY475+AZ475+BA475+BB475-BC475-BD475),0)</f>
        <v>0</v>
      </c>
      <c r="BF475" s="170">
        <f>IF(Escenarios!$F$17&gt;0,MAX(0,BG474+AY475+AZ475+BA475+BB475-BC475-BD475-BE475-Constantes!$F$40),0)</f>
        <v>0</v>
      </c>
      <c r="BG475" s="170">
        <f t="shared" si="109"/>
        <v>0</v>
      </c>
      <c r="BH475" s="170">
        <f>(Escenarios!$F$16*AK475+0.1*BC475)/(Escenarios!$F$19)</f>
        <v>1.1754102709744931</v>
      </c>
      <c r="BI475" s="170">
        <f>IF(Escenarios!$F$17&gt;0,BF475/10/Escenarios!$F$19,AL475)</f>
        <v>0</v>
      </c>
      <c r="BJ475" s="170">
        <f>(Escenarios!$F$16*AT475+0.1*BD475)/(Escenarios!$F$19)</f>
        <v>0</v>
      </c>
      <c r="BK475" s="76">
        <f>BK474+(0.1*BD475)/(Escenarios!$F$19)-BL474</f>
        <v>48.75</v>
      </c>
      <c r="BL475" s="76">
        <f>MAX(0,(BK475-Constantes!$D$13)*(1-EXP(-Constantes!$D$23)))</f>
        <v>0</v>
      </c>
      <c r="BM475" s="76">
        <f t="shared" si="110"/>
        <v>1.1909163220920906</v>
      </c>
      <c r="BN475" s="76">
        <f t="shared" si="111"/>
        <v>1.1965797480716795</v>
      </c>
      <c r="BO475" s="76">
        <f>0.0526*BI475*Observaciones!$F474^1.218</f>
        <v>0</v>
      </c>
      <c r="BP475" s="76">
        <f>BO475*Constantes!$F$51</f>
        <v>0</v>
      </c>
      <c r="BQ475" s="76">
        <f t="shared" si="112"/>
        <v>0</v>
      </c>
      <c r="BR475" s="40"/>
    </row>
    <row r="476" spans="2:70">
      <c r="B476" s="39"/>
      <c r="C476" s="75">
        <v>470</v>
      </c>
      <c r="D476" s="146">
        <f>ETo!$I475*((1-Constantes!$F$19)*ETo!$K475+ETo!$L475)</f>
        <v>3.5011635474656848</v>
      </c>
      <c r="E476" s="76">
        <f>MIN(D476*Constantes!$F$17,0.8*(N475+Observaciones!$F475-F476-M476-Constantes!$D$14))</f>
        <v>0.15114545525625689</v>
      </c>
      <c r="F476" s="76">
        <f>IF(Observaciones!$F475&gt;0.05*Constantes!$F$18,((Observaciones!$F475-0.05*Constantes!$F$18)^2)/(Observaciones!$F475+0.95*Constantes!$F$18),0)</f>
        <v>0</v>
      </c>
      <c r="G476" s="76">
        <f>IF(Escenarios!$F$11&gt;0,(F476*Escenarios!$F$16*10000)/1000,0)</f>
        <v>0</v>
      </c>
      <c r="H476" s="76">
        <f>IF(Escenarios!$F$11&gt;0,(Observaciones!$F475*Constantes!$F$29)/1000,0)</f>
        <v>0</v>
      </c>
      <c r="I476" s="76">
        <f>IF(Escenarios!$F$11&gt;0,(D476*Constantes!$F$29)/1000,0)</f>
        <v>0</v>
      </c>
      <c r="J476" s="76">
        <f>IF(Escenarios!$F$11&gt;0,MAX(0,G476+H476-I476),0)</f>
        <v>0</v>
      </c>
      <c r="K476" s="76">
        <f>IF(Escenarios!$F$11&gt;0,IF(J476&gt;Constantes!$F$30,1000*((J476-Constantes!$F$30)/(Escenarios!$F$16*10000)),0),F476)</f>
        <v>0</v>
      </c>
      <c r="L476" s="76">
        <f>IF(Escenarios!$F$11&gt;0,I476*1000/Escenarios!$F$16/10000+E476,E476)</f>
        <v>0.15114545525625689</v>
      </c>
      <c r="M476" s="76">
        <f>MAX(0,N475+Observaciones!$F475-K476-Constantes!$D$13)</f>
        <v>0</v>
      </c>
      <c r="N476" s="76">
        <f>N475+Observaciones!$F475-K476-L476-M476-O475</f>
        <v>11.281350652473622</v>
      </c>
      <c r="O476" s="76">
        <f>MAX(0,(N476-Constantes!$D$14)*(1-EXP(-Constantes!$D$22)))</f>
        <v>1.0679183138529206E-3</v>
      </c>
      <c r="P476" s="170">
        <f>P475+(Entradas!$F$83*M476-Q475)/(800*Entradas!$D$25)</f>
        <v>0</v>
      </c>
      <c r="Q476" s="170">
        <f>8000*Entradas!$D$26*P476/Constantes!$F$45</f>
        <v>0</v>
      </c>
      <c r="R476" s="170">
        <f>IF(Escenarios!$F$14&gt;0,K476*Escenarios!$F$13/Escenarios!$F$14,0)</f>
        <v>0</v>
      </c>
      <c r="S476" s="170">
        <f>IF(Escenarios!$F$14&gt;0,Q476*Escenarios!$F$13/Escenarios!$F$14,0)</f>
        <v>0</v>
      </c>
      <c r="T476" s="170">
        <f>IF(Escenarios!$F$14&gt;0,Observaciones!$I475,0)</f>
        <v>0</v>
      </c>
      <c r="U476" s="170">
        <f>IF(Escenarios!$F$14&gt;0,MAX(0,Constantes!$F$36/((Z475+R476+S476+T476+Observaciones!$F475)^2)+Entradas!$F$77),0)</f>
        <v>0</v>
      </c>
      <c r="V476" s="146">
        <f>IF(ETo!D475&gt;0,ETo!I475*((1-Entradas!$F$81)*ETo!K475+ETo!L475),0)</f>
        <v>3.0877343831360178</v>
      </c>
      <c r="W476" s="170">
        <f>IF(Escenarios!$F$14&gt;0,MIN(V476*1,0.8*(Z475+R476+S476+T476+Observaciones!$F475-U476-Constantes!$F$35)),0)</f>
        <v>0.32837407544842567</v>
      </c>
      <c r="X476" s="170">
        <f>IF(Escenarios!$F$14&gt;0,Observaciones!$J475,0)</f>
        <v>0</v>
      </c>
      <c r="Y476" s="170">
        <f>IF(Escenarios!$F$14&gt;0,MAX(0,Z475+R476+S476+T476+Observaciones!$F475-U476-W476-X476-Constantes!$F$33),0)</f>
        <v>0</v>
      </c>
      <c r="Z476" s="170">
        <f>Z475+R476+S476+T476+Observaciones!$F475-U476-W476-Y476</f>
        <v>41.332093518862109</v>
      </c>
      <c r="AA476" s="170">
        <f>IF(Escenarios!$F$14&gt;0,(Escenarios!$F$13*L476+Escenarios!$F$14*W476)/(Escenarios!$F$16),L476)</f>
        <v>0.17241288967931714</v>
      </c>
      <c r="AB476" s="170">
        <f>IF(Escenarios!$F$14&gt;0,(Escenarios!$F$14*Y476)/(Escenarios!$F$16),K476)</f>
        <v>0</v>
      </c>
      <c r="AC476" s="170">
        <f>IF(Escenarios!$F$14&gt;0,(Escenarios!$F$13*M476+Escenarios!$F$14*U476)/(Escenarios!$F$16),M476)</f>
        <v>0</v>
      </c>
      <c r="AD476" s="76">
        <f t="shared" si="99"/>
        <v>150.86282935875141</v>
      </c>
      <c r="AE476" s="76">
        <f>MAX(0,(AD476-Constantes!$D$13)*(1-EXP(-Constantes!$D$23)))</f>
        <v>1.0061420290528587</v>
      </c>
      <c r="AF476" s="76">
        <f>AB476+O476*Escenarios!$F$13/Escenarios!$F$16+AE476</f>
        <v>1.0070817971690493</v>
      </c>
      <c r="AG476" s="76">
        <f>IF(Entradas!$F$91&gt;0,IF(AF476-Escenarios!$F$38&lt;=0,0,IF(AF476-Escenarios!$F$38&gt;Escenarios!$F$37,Escenarios!$F$37,AF476-Escenarios!$F$38)),0)</f>
        <v>0</v>
      </c>
      <c r="AH476" s="76">
        <f>AG476*Entradas!$F$99</f>
        <v>0</v>
      </c>
      <c r="AI476" s="76">
        <f>IF(Entradas!$F$91&gt;0,D476*Entradas!$D$23/Escenarios!$F$16,0)</f>
        <v>0.16805585027835288</v>
      </c>
      <c r="AJ476" s="76">
        <f>IF(Entradas!$F$91&gt;0,Entradas!$D$24*Entradas!$D$22/Escenarios!$F$16,0)</f>
        <v>0.12</v>
      </c>
      <c r="AK476" s="76">
        <f t="shared" si="100"/>
        <v>0.34046873995767002</v>
      </c>
      <c r="AL476" s="76">
        <f t="shared" si="101"/>
        <v>0</v>
      </c>
      <c r="AM476" s="76">
        <f t="shared" si="102"/>
        <v>0</v>
      </c>
      <c r="AN476" s="76">
        <f>MAX(0,O476*Escenarios!$F$13/Escenarios!$F$16-AM476)</f>
        <v>9.3976811619057008E-4</v>
      </c>
      <c r="AO476" s="76">
        <f>AM476+AN476-O476*Escenarios!$F$13/Escenarios!$F$16</f>
        <v>0</v>
      </c>
      <c r="AP476" s="76">
        <f t="shared" si="103"/>
        <v>1.0061420290528587</v>
      </c>
      <c r="AQ476" s="76">
        <f t="shared" si="104"/>
        <v>0</v>
      </c>
      <c r="AR476" s="76">
        <f t="shared" si="105"/>
        <v>1.0070817971690493</v>
      </c>
      <c r="AS476" s="76">
        <f t="shared" si="106"/>
        <v>0</v>
      </c>
      <c r="AT476" s="76">
        <f t="shared" si="107"/>
        <v>0</v>
      </c>
      <c r="AU476" s="76">
        <f t="shared" si="108"/>
        <v>60.008607861123984</v>
      </c>
      <c r="AV476" s="76">
        <f>MAX(0,(AU476-Constantes!$D$13)*(1-EXP(-Constantes!$D$24)))</f>
        <v>0.1720906027716349</v>
      </c>
      <c r="AW476" s="170">
        <f>AW475+(Entradas!$F$112*AT476-AX475)/(800*Entradas!$D$25)</f>
        <v>0</v>
      </c>
      <c r="AX476" s="170">
        <f>8000*Entradas!$D$26*AW476/Constantes!$F$45</f>
        <v>0</v>
      </c>
      <c r="AY476" s="170">
        <f>IF(Escenarios!$F$17&gt;0,10*Escenarios!$F$16*AL476,0)</f>
        <v>0</v>
      </c>
      <c r="AZ476" s="170">
        <f>IF(Escenarios!$F$17&gt;0,10*Escenarios!$F$16*AX476,0)</f>
        <v>0</v>
      </c>
      <c r="BA476" s="170">
        <f>IF(Escenarios!$F$17&gt;0,0.001*Observaciones!$F475*Escenarios!$F$17,0)</f>
        <v>0</v>
      </c>
      <c r="BB476" s="170">
        <f>IF(Escenarios!$F$17&gt;0,Observaciones!$K475,0)</f>
        <v>0</v>
      </c>
      <c r="BC476" s="170">
        <f>IF(Escenarios!$F$17&gt;0,MIN(0.0005*ETo!$M475*Escenarios!$F$17*(BG475/Constantes!$F$40)^(2/3),BG475+AY476+AZ476+BA476+BB476),0)</f>
        <v>0</v>
      </c>
      <c r="BD476" s="170">
        <f>IF(Escenarios!$F$17&gt;0,MIN(Constantes!$F$39*(BG475/Constantes!$F$40)^(2/3),BG475+AY476+AZ476+BA476+BB476-BC476),0)</f>
        <v>0</v>
      </c>
      <c r="BE476" s="170">
        <f>IF(Escenarios!$F$17&gt;0,MIN(Entradas!$F$113,BG475+AY476+AZ476+BA476+BB476-BC476-BD476),0)</f>
        <v>0</v>
      </c>
      <c r="BF476" s="170">
        <f>IF(Escenarios!$F$17&gt;0,MAX(0,BG475+AY476+AZ476+BA476+BB476-BC476-BD476-BE476-Constantes!$F$40),0)</f>
        <v>0</v>
      </c>
      <c r="BG476" s="170">
        <f t="shared" si="109"/>
        <v>0</v>
      </c>
      <c r="BH476" s="170">
        <f>(Escenarios!$F$16*AK476+0.1*BC476)/(Escenarios!$F$19)</f>
        <v>0.34046873995767002</v>
      </c>
      <c r="BI476" s="170">
        <f>IF(Escenarios!$F$17&gt;0,BF476/10/Escenarios!$F$19,AL476)</f>
        <v>0</v>
      </c>
      <c r="BJ476" s="170">
        <f>(Escenarios!$F$16*AT476+0.1*BD476)/(Escenarios!$F$19)</f>
        <v>0</v>
      </c>
      <c r="BK476" s="76">
        <f>BK475+(0.1*BD476)/(Escenarios!$F$19)-BL475</f>
        <v>48.75</v>
      </c>
      <c r="BL476" s="76">
        <f>MAX(0,(BK476-Constantes!$D$13)*(1-EXP(-Constantes!$D$23)))</f>
        <v>0</v>
      </c>
      <c r="BM476" s="76">
        <f t="shared" si="110"/>
        <v>1.1782326318244936</v>
      </c>
      <c r="BN476" s="76">
        <f t="shared" si="111"/>
        <v>1.1791723999406842</v>
      </c>
      <c r="BO476" s="76">
        <f>0.0526*BI476*Observaciones!$F475^1.218</f>
        <v>0</v>
      </c>
      <c r="BP476" s="76">
        <f>BO476*Constantes!$F$51</f>
        <v>0</v>
      </c>
      <c r="BQ476" s="76">
        <f t="shared" si="112"/>
        <v>0</v>
      </c>
      <c r="BR476" s="40"/>
    </row>
    <row r="477" spans="2:70">
      <c r="B477" s="39"/>
      <c r="C477" s="75">
        <v>471</v>
      </c>
      <c r="D477" s="146">
        <f>ETo!$I476*((1-Constantes!$F$19)*ETo!$K476+ETo!$L476)</f>
        <v>3.5724218632691032</v>
      </c>
      <c r="E477" s="76">
        <f>MIN(D477*Constantes!$F$17,0.8*(N476+Observaciones!$F476-F477-M477-Constantes!$D$14))</f>
        <v>2.5080521978897253E-2</v>
      </c>
      <c r="F477" s="76">
        <f>IF(Observaciones!$F476&gt;0.05*Constantes!$F$18,((Observaciones!$F476-0.05*Constantes!$F$18)^2)/(Observaciones!$F476+0.95*Constantes!$F$18),0)</f>
        <v>0</v>
      </c>
      <c r="G477" s="76">
        <f>IF(Escenarios!$F$11&gt;0,(F477*Escenarios!$F$16*10000)/1000,0)</f>
        <v>0</v>
      </c>
      <c r="H477" s="76">
        <f>IF(Escenarios!$F$11&gt;0,(Observaciones!$F476*Constantes!$F$29)/1000,0)</f>
        <v>0</v>
      </c>
      <c r="I477" s="76">
        <f>IF(Escenarios!$F$11&gt;0,(D477*Constantes!$F$29)/1000,0)</f>
        <v>0</v>
      </c>
      <c r="J477" s="76">
        <f>IF(Escenarios!$F$11&gt;0,MAX(0,G477+H477-I477),0)</f>
        <v>0</v>
      </c>
      <c r="K477" s="76">
        <f>IF(Escenarios!$F$11&gt;0,IF(J477&gt;Constantes!$F$30,1000*((J477-Constantes!$F$30)/(Escenarios!$F$16*10000)),0),F477)</f>
        <v>0</v>
      </c>
      <c r="L477" s="76">
        <f>IF(Escenarios!$F$11&gt;0,I477*1000/Escenarios!$F$16/10000+E477,E477)</f>
        <v>2.5080521978897253E-2</v>
      </c>
      <c r="M477" s="76">
        <f>MAX(0,N476+Observaciones!$F476-K477-Constantes!$D$13)</f>
        <v>0</v>
      </c>
      <c r="N477" s="76">
        <f>N476+Observaciones!$F476-K477-L477-M477-O476</f>
        <v>11.255202212180873</v>
      </c>
      <c r="O477" s="76">
        <f>MAX(0,(N477-Constantes!$D$14)*(1-EXP(-Constantes!$D$22)))</f>
        <v>1.7720644459240514E-4</v>
      </c>
      <c r="P477" s="170">
        <f>P476+(Entradas!$F$83*M477-Q476)/(800*Entradas!$D$25)</f>
        <v>0</v>
      </c>
      <c r="Q477" s="170">
        <f>8000*Entradas!$D$26*P477/Constantes!$F$45</f>
        <v>0</v>
      </c>
      <c r="R477" s="170">
        <f>IF(Escenarios!$F$14&gt;0,K477*Escenarios!$F$13/Escenarios!$F$14,0)</f>
        <v>0</v>
      </c>
      <c r="S477" s="170">
        <f>IF(Escenarios!$F$14&gt;0,Q477*Escenarios!$F$13/Escenarios!$F$14,0)</f>
        <v>0</v>
      </c>
      <c r="T477" s="170">
        <f>IF(Escenarios!$F$14&gt;0,Observaciones!$I476,0)</f>
        <v>0</v>
      </c>
      <c r="U477" s="170">
        <f>IF(Escenarios!$F$14&gt;0,MAX(0,Constantes!$F$36/((Z476+R477+S477+T477+Observaciones!$F476)^2)+Entradas!$F$77),0)</f>
        <v>0</v>
      </c>
      <c r="V477" s="146">
        <f>IF(ETo!D476&gt;0,ETo!I476*((1-Entradas!$F$81)*ETo!K476+ETo!L476),0)</f>
        <v>3.1510332265999637</v>
      </c>
      <c r="W477" s="170">
        <f>IF(Escenarios!$F$14&gt;0,MIN(V477*1,0.8*(Z476+R477+S477+T477+Observaciones!$F476-U477-Constantes!$F$35)),0)</f>
        <v>6.5674815089687408E-2</v>
      </c>
      <c r="X477" s="170">
        <f>IF(Escenarios!$F$14&gt;0,Observaciones!$J476,0)</f>
        <v>0</v>
      </c>
      <c r="Y477" s="170">
        <f>IF(Escenarios!$F$14&gt;0,MAX(0,Z476+R477+S477+T477+Observaciones!$F476-U477-W477-X477-Constantes!$F$33),0)</f>
        <v>0</v>
      </c>
      <c r="Z477" s="170">
        <f>Z476+R477+S477+T477+Observaciones!$F476-U477-W477-Y477</f>
        <v>41.266418703772423</v>
      </c>
      <c r="AA477" s="170">
        <f>IF(Escenarios!$F$14&gt;0,(Escenarios!$F$13*L477+Escenarios!$F$14*W477)/(Escenarios!$F$16),L477)</f>
        <v>2.995183715219207E-2</v>
      </c>
      <c r="AB477" s="170">
        <f>IF(Escenarios!$F$14&gt;0,(Escenarios!$F$14*Y477)/(Escenarios!$F$16),K477)</f>
        <v>0</v>
      </c>
      <c r="AC477" s="170">
        <f>IF(Escenarios!$F$14&gt;0,(Escenarios!$F$13*M477+Escenarios!$F$14*U477)/(Escenarios!$F$16),M477)</f>
        <v>0</v>
      </c>
      <c r="AD477" s="76">
        <f t="shared" si="99"/>
        <v>149.85668732969856</v>
      </c>
      <c r="AE477" s="76">
        <f>MAX(0,(AD477-Constantes!$D$13)*(1-EXP(-Constantes!$D$23)))</f>
        <v>0.99622827199624009</v>
      </c>
      <c r="AF477" s="76">
        <f>AB477+O477*Escenarios!$F$13/Escenarios!$F$16+AE477</f>
        <v>0.99638421366748142</v>
      </c>
      <c r="AG477" s="76">
        <f>IF(Entradas!$F$91&gt;0,IF(AF477-Escenarios!$F$38&lt;=0,0,IF(AF477-Escenarios!$F$38&gt;Escenarios!$F$37,Escenarios!$F$37,AF477-Escenarios!$F$38)),0)</f>
        <v>0</v>
      </c>
      <c r="AH477" s="76">
        <f>AG477*Entradas!$F$99</f>
        <v>0</v>
      </c>
      <c r="AI477" s="76">
        <f>IF(Entradas!$F$91&gt;0,D477*Entradas!$D$23/Escenarios!$F$16,0)</f>
        <v>0.17147624943691697</v>
      </c>
      <c r="AJ477" s="76">
        <f>IF(Entradas!$F$91&gt;0,Entradas!$D$24*Entradas!$D$22/Escenarios!$F$16,0)</f>
        <v>0.12</v>
      </c>
      <c r="AK477" s="76">
        <f t="shared" si="100"/>
        <v>0.20142808658910905</v>
      </c>
      <c r="AL477" s="76">
        <f t="shared" si="101"/>
        <v>0</v>
      </c>
      <c r="AM477" s="76">
        <f t="shared" si="102"/>
        <v>0</v>
      </c>
      <c r="AN477" s="76">
        <f>MAX(0,O477*Escenarios!$F$13/Escenarios!$F$16-AM477)</f>
        <v>1.5594167124131653E-4</v>
      </c>
      <c r="AO477" s="76">
        <f>AM477+AN477-O477*Escenarios!$F$13/Escenarios!$F$16</f>
        <v>0</v>
      </c>
      <c r="AP477" s="76">
        <f t="shared" si="103"/>
        <v>0.99622827199624009</v>
      </c>
      <c r="AQ477" s="76">
        <f t="shared" si="104"/>
        <v>0</v>
      </c>
      <c r="AR477" s="76">
        <f t="shared" si="105"/>
        <v>0.99638421366748142</v>
      </c>
      <c r="AS477" s="76">
        <f t="shared" si="106"/>
        <v>0</v>
      </c>
      <c r="AT477" s="76">
        <f t="shared" si="107"/>
        <v>0</v>
      </c>
      <c r="AU477" s="76">
        <f t="shared" si="108"/>
        <v>59.836517258352352</v>
      </c>
      <c r="AV477" s="76">
        <f>MAX(0,(AU477-Constantes!$D$13)*(1-EXP(-Constantes!$D$24)))</f>
        <v>0.16946015539060785</v>
      </c>
      <c r="AW477" s="170">
        <f>AW476+(Entradas!$F$112*AT477-AX476)/(800*Entradas!$D$25)</f>
        <v>0</v>
      </c>
      <c r="AX477" s="170">
        <f>8000*Entradas!$D$26*AW477/Constantes!$F$45</f>
        <v>0</v>
      </c>
      <c r="AY477" s="170">
        <f>IF(Escenarios!$F$17&gt;0,10*Escenarios!$F$16*AL477,0)</f>
        <v>0</v>
      </c>
      <c r="AZ477" s="170">
        <f>IF(Escenarios!$F$17&gt;0,10*Escenarios!$F$16*AX477,0)</f>
        <v>0</v>
      </c>
      <c r="BA477" s="170">
        <f>IF(Escenarios!$F$17&gt;0,0.001*Observaciones!$F476*Escenarios!$F$17,0)</f>
        <v>0</v>
      </c>
      <c r="BB477" s="170">
        <f>IF(Escenarios!$F$17&gt;0,Observaciones!$K476,0)</f>
        <v>0</v>
      </c>
      <c r="BC477" s="170">
        <f>IF(Escenarios!$F$17&gt;0,MIN(0.0005*ETo!$M476*Escenarios!$F$17*(BG476/Constantes!$F$40)^(2/3),BG476+AY477+AZ477+BA477+BB477),0)</f>
        <v>0</v>
      </c>
      <c r="BD477" s="170">
        <f>IF(Escenarios!$F$17&gt;0,MIN(Constantes!$F$39*(BG476/Constantes!$F$40)^(2/3),BG476+AY477+AZ477+BA477+BB477-BC477),0)</f>
        <v>0</v>
      </c>
      <c r="BE477" s="170">
        <f>IF(Escenarios!$F$17&gt;0,MIN(Entradas!$F$113,BG476+AY477+AZ477+BA477+BB477-BC477-BD477),0)</f>
        <v>0</v>
      </c>
      <c r="BF477" s="170">
        <f>IF(Escenarios!$F$17&gt;0,MAX(0,BG476+AY477+AZ477+BA477+BB477-BC477-BD477-BE477-Constantes!$F$40),0)</f>
        <v>0</v>
      </c>
      <c r="BG477" s="170">
        <f t="shared" si="109"/>
        <v>0</v>
      </c>
      <c r="BH477" s="170">
        <f>(Escenarios!$F$16*AK477+0.1*BC477)/(Escenarios!$F$19)</f>
        <v>0.20142808658910905</v>
      </c>
      <c r="BI477" s="170">
        <f>IF(Escenarios!$F$17&gt;0,BF477/10/Escenarios!$F$19,AL477)</f>
        <v>0</v>
      </c>
      <c r="BJ477" s="170">
        <f>(Escenarios!$F$16*AT477+0.1*BD477)/(Escenarios!$F$19)</f>
        <v>0</v>
      </c>
      <c r="BK477" s="76">
        <f>BK476+(0.1*BD477)/(Escenarios!$F$19)-BL476</f>
        <v>48.75</v>
      </c>
      <c r="BL477" s="76">
        <f>MAX(0,(BK477-Constantes!$D$13)*(1-EXP(-Constantes!$D$23)))</f>
        <v>0</v>
      </c>
      <c r="BM477" s="76">
        <f t="shared" si="110"/>
        <v>1.165688427386848</v>
      </c>
      <c r="BN477" s="76">
        <f t="shared" si="111"/>
        <v>1.1658443690580893</v>
      </c>
      <c r="BO477" s="76">
        <f>0.0526*BI477*Observaciones!$F476^1.218</f>
        <v>0</v>
      </c>
      <c r="BP477" s="76">
        <f>BO477*Constantes!$F$51</f>
        <v>0</v>
      </c>
      <c r="BQ477" s="76">
        <f t="shared" si="112"/>
        <v>0</v>
      </c>
      <c r="BR477" s="40"/>
    </row>
    <row r="478" spans="2:70">
      <c r="B478" s="39"/>
      <c r="C478" s="75">
        <v>472</v>
      </c>
      <c r="D478" s="146">
        <f>ETo!$I477*((1-Constantes!$F$19)*ETo!$K477+ETo!$L477)</f>
        <v>3.5229646183672414</v>
      </c>
      <c r="E478" s="76">
        <f>MIN(D478*Constantes!$F$17,0.8*(N477+Observaciones!$F477-F478-M478-Constantes!$D$14))</f>
        <v>4.1617697446980628E-3</v>
      </c>
      <c r="F478" s="76">
        <f>IF(Observaciones!$F477&gt;0.05*Constantes!$F$18,((Observaciones!$F477-0.05*Constantes!$F$18)^2)/(Observaciones!$F477+0.95*Constantes!$F$18),0)</f>
        <v>0</v>
      </c>
      <c r="G478" s="76">
        <f>IF(Escenarios!$F$11&gt;0,(F478*Escenarios!$F$16*10000)/1000,0)</f>
        <v>0</v>
      </c>
      <c r="H478" s="76">
        <f>IF(Escenarios!$F$11&gt;0,(Observaciones!$F477*Constantes!$F$29)/1000,0)</f>
        <v>0</v>
      </c>
      <c r="I478" s="76">
        <f>IF(Escenarios!$F$11&gt;0,(D478*Constantes!$F$29)/1000,0)</f>
        <v>0</v>
      </c>
      <c r="J478" s="76">
        <f>IF(Escenarios!$F$11&gt;0,MAX(0,G478+H478-I478),0)</f>
        <v>0</v>
      </c>
      <c r="K478" s="76">
        <f>IF(Escenarios!$F$11&gt;0,IF(J478&gt;Constantes!$F$30,1000*((J478-Constantes!$F$30)/(Escenarios!$F$16*10000)),0),F478)</f>
        <v>0</v>
      </c>
      <c r="L478" s="76">
        <f>IF(Escenarios!$F$11&gt;0,I478*1000/Escenarios!$F$16/10000+E478,E478)</f>
        <v>4.1617697446980628E-3</v>
      </c>
      <c r="M478" s="76">
        <f>MAX(0,N477+Observaciones!$F477-K478-Constantes!$D$13)</f>
        <v>0</v>
      </c>
      <c r="N478" s="76">
        <f>N477+Observaciones!$F477-K478-L478-M478-O477</f>
        <v>11.250863235991583</v>
      </c>
      <c r="O478" s="76">
        <f>MAX(0,(N478-Constantes!$D$14)*(1-EXP(-Constantes!$D$22)))</f>
        <v>2.940498687750294E-5</v>
      </c>
      <c r="P478" s="170">
        <f>P477+(Entradas!$F$83*M478-Q477)/(800*Entradas!$D$25)</f>
        <v>0</v>
      </c>
      <c r="Q478" s="170">
        <f>8000*Entradas!$D$26*P478/Constantes!$F$45</f>
        <v>0</v>
      </c>
      <c r="R478" s="170">
        <f>IF(Escenarios!$F$14&gt;0,K478*Escenarios!$F$13/Escenarios!$F$14,0)</f>
        <v>0</v>
      </c>
      <c r="S478" s="170">
        <f>IF(Escenarios!$F$14&gt;0,Q478*Escenarios!$F$13/Escenarios!$F$14,0)</f>
        <v>0</v>
      </c>
      <c r="T478" s="170">
        <f>IF(Escenarios!$F$14&gt;0,Observaciones!$I477,0)</f>
        <v>0</v>
      </c>
      <c r="U478" s="170">
        <f>IF(Escenarios!$F$14&gt;0,MAX(0,Constantes!$F$36/((Z477+R478+S478+T478+Observaciones!$F477)^2)+Entradas!$F$77),0)</f>
        <v>0</v>
      </c>
      <c r="V478" s="146">
        <f>IF(ETo!D477&gt;0,ETo!I477*((1-Entradas!$F$81)*ETo!K477+ETo!L477),0)</f>
        <v>3.1063536319178122</v>
      </c>
      <c r="W478" s="170">
        <f>IF(Escenarios!$F$14&gt;0,MIN(V478*1,0.8*(Z477+R478+S478+T478+Observaciones!$F477-U478-Constantes!$F$35)),0)</f>
        <v>1.3134963017938617E-2</v>
      </c>
      <c r="X478" s="170">
        <f>IF(Escenarios!$F$14&gt;0,Observaciones!$J477,0)</f>
        <v>0</v>
      </c>
      <c r="Y478" s="170">
        <f>IF(Escenarios!$F$14&gt;0,MAX(0,Z477+R478+S478+T478+Observaciones!$F477-U478-W478-X478-Constantes!$F$33),0)</f>
        <v>0</v>
      </c>
      <c r="Z478" s="170">
        <f>Z477+R478+S478+T478+Observaciones!$F477-U478-W478-Y478</f>
        <v>41.253283740754483</v>
      </c>
      <c r="AA478" s="170">
        <f>IF(Escenarios!$F$14&gt;0,(Escenarios!$F$13*L478+Escenarios!$F$14*W478)/(Escenarios!$F$16),L478)</f>
        <v>5.2385529374869297E-3</v>
      </c>
      <c r="AB478" s="170">
        <f>IF(Escenarios!$F$14&gt;0,(Escenarios!$F$14*Y478)/(Escenarios!$F$16),K478)</f>
        <v>0</v>
      </c>
      <c r="AC478" s="170">
        <f>IF(Escenarios!$F$14&gt;0,(Escenarios!$F$13*M478+Escenarios!$F$14*U478)/(Escenarios!$F$16),M478)</f>
        <v>0</v>
      </c>
      <c r="AD478" s="76">
        <f t="shared" si="99"/>
        <v>148.86045905770231</v>
      </c>
      <c r="AE478" s="76">
        <f>MAX(0,(AD478-Constantes!$D$13)*(1-EXP(-Constantes!$D$23)))</f>
        <v>0.98641219754917342</v>
      </c>
      <c r="AF478" s="76">
        <f>AB478+O478*Escenarios!$F$13/Escenarios!$F$16+AE478</f>
        <v>0.98643807393762561</v>
      </c>
      <c r="AG478" s="76">
        <f>IF(Entradas!$F$91&gt;0,IF(AF478-Escenarios!$F$38&lt;=0,0,IF(AF478-Escenarios!$F$38&gt;Escenarios!$F$37,Escenarios!$F$37,AF478-Escenarios!$F$38)),0)</f>
        <v>0</v>
      </c>
      <c r="AH478" s="76">
        <f>AG478*Entradas!$F$99</f>
        <v>0</v>
      </c>
      <c r="AI478" s="76">
        <f>IF(Entradas!$F$91&gt;0,D478*Entradas!$D$23/Escenarios!$F$16,0)</f>
        <v>0.16910230168162757</v>
      </c>
      <c r="AJ478" s="76">
        <f>IF(Entradas!$F$91&gt;0,Entradas!$D$24*Entradas!$D$22/Escenarios!$F$16,0)</f>
        <v>0.12</v>
      </c>
      <c r="AK478" s="76">
        <f t="shared" si="100"/>
        <v>0.1743408546191145</v>
      </c>
      <c r="AL478" s="76">
        <f t="shared" si="101"/>
        <v>0</v>
      </c>
      <c r="AM478" s="76">
        <f t="shared" si="102"/>
        <v>0</v>
      </c>
      <c r="AN478" s="76">
        <f>MAX(0,O478*Escenarios!$F$13/Escenarios!$F$16-AM478)</f>
        <v>2.5876388452202588E-5</v>
      </c>
      <c r="AO478" s="76">
        <f>AM478+AN478-O478*Escenarios!$F$13/Escenarios!$F$16</f>
        <v>0</v>
      </c>
      <c r="AP478" s="76">
        <f t="shared" si="103"/>
        <v>0.98641219754917342</v>
      </c>
      <c r="AQ478" s="76">
        <f t="shared" si="104"/>
        <v>0</v>
      </c>
      <c r="AR478" s="76">
        <f t="shared" si="105"/>
        <v>0.98643807393762561</v>
      </c>
      <c r="AS478" s="76">
        <f t="shared" si="106"/>
        <v>0</v>
      </c>
      <c r="AT478" s="76">
        <f t="shared" si="107"/>
        <v>0</v>
      </c>
      <c r="AU478" s="76">
        <f t="shared" si="108"/>
        <v>59.667057102961742</v>
      </c>
      <c r="AV478" s="76">
        <f>MAX(0,(AU478-Constantes!$D$13)*(1-EXP(-Constantes!$D$24)))</f>
        <v>0.16686991504769272</v>
      </c>
      <c r="AW478" s="170">
        <f>AW477+(Entradas!$F$112*AT478-AX477)/(800*Entradas!$D$25)</f>
        <v>0</v>
      </c>
      <c r="AX478" s="170">
        <f>8000*Entradas!$D$26*AW478/Constantes!$F$45</f>
        <v>0</v>
      </c>
      <c r="AY478" s="170">
        <f>IF(Escenarios!$F$17&gt;0,10*Escenarios!$F$16*AL478,0)</f>
        <v>0</v>
      </c>
      <c r="AZ478" s="170">
        <f>IF(Escenarios!$F$17&gt;0,10*Escenarios!$F$16*AX478,0)</f>
        <v>0</v>
      </c>
      <c r="BA478" s="170">
        <f>IF(Escenarios!$F$17&gt;0,0.001*Observaciones!$F477*Escenarios!$F$17,0)</f>
        <v>0</v>
      </c>
      <c r="BB478" s="170">
        <f>IF(Escenarios!$F$17&gt;0,Observaciones!$K477,0)</f>
        <v>0</v>
      </c>
      <c r="BC478" s="170">
        <f>IF(Escenarios!$F$17&gt;0,MIN(0.0005*ETo!$M477*Escenarios!$F$17*(BG477/Constantes!$F$40)^(2/3),BG477+AY478+AZ478+BA478+BB478),0)</f>
        <v>0</v>
      </c>
      <c r="BD478" s="170">
        <f>IF(Escenarios!$F$17&gt;0,MIN(Constantes!$F$39*(BG477/Constantes!$F$40)^(2/3),BG477+AY478+AZ478+BA478+BB478-BC478),0)</f>
        <v>0</v>
      </c>
      <c r="BE478" s="170">
        <f>IF(Escenarios!$F$17&gt;0,MIN(Entradas!$F$113,BG477+AY478+AZ478+BA478+BB478-BC478-BD478),0)</f>
        <v>0</v>
      </c>
      <c r="BF478" s="170">
        <f>IF(Escenarios!$F$17&gt;0,MAX(0,BG477+AY478+AZ478+BA478+BB478-BC478-BD478-BE478-Constantes!$F$40),0)</f>
        <v>0</v>
      </c>
      <c r="BG478" s="170">
        <f t="shared" si="109"/>
        <v>0</v>
      </c>
      <c r="BH478" s="170">
        <f>(Escenarios!$F$16*AK478+0.1*BC478)/(Escenarios!$F$19)</f>
        <v>0.1743408546191145</v>
      </c>
      <c r="BI478" s="170">
        <f>IF(Escenarios!$F$17&gt;0,BF478/10/Escenarios!$F$19,AL478)</f>
        <v>0</v>
      </c>
      <c r="BJ478" s="170">
        <f>(Escenarios!$F$16*AT478+0.1*BD478)/(Escenarios!$F$19)</f>
        <v>0</v>
      </c>
      <c r="BK478" s="76">
        <f>BK477+(0.1*BD478)/(Escenarios!$F$19)-BL477</f>
        <v>48.75</v>
      </c>
      <c r="BL478" s="76">
        <f>MAX(0,(BK478-Constantes!$D$13)*(1-EXP(-Constantes!$D$23)))</f>
        <v>0</v>
      </c>
      <c r="BM478" s="76">
        <f t="shared" si="110"/>
        <v>1.1532821125968662</v>
      </c>
      <c r="BN478" s="76">
        <f t="shared" si="111"/>
        <v>1.1533079889853184</v>
      </c>
      <c r="BO478" s="76">
        <f>0.0526*BI478*Observaciones!$F477^1.218</f>
        <v>0</v>
      </c>
      <c r="BP478" s="76">
        <f>BO478*Constantes!$F$51</f>
        <v>0</v>
      </c>
      <c r="BQ478" s="76">
        <f t="shared" si="112"/>
        <v>0</v>
      </c>
      <c r="BR478" s="40"/>
    </row>
    <row r="479" spans="2:70">
      <c r="B479" s="39"/>
      <c r="C479" s="75">
        <v>473</v>
      </c>
      <c r="D479" s="146">
        <f>ETo!$I478*((1-Constantes!$F$19)*ETo!$K478+ETo!$L478)</f>
        <v>3.577739567402991</v>
      </c>
      <c r="E479" s="76">
        <f>MIN(D479*Constantes!$F$17,0.8*(N478+Observaciones!$F478-F479-M479-Constantes!$D$14))</f>
        <v>0.5606905887932655</v>
      </c>
      <c r="F479" s="76">
        <f>IF(Observaciones!$F478&gt;0.05*Constantes!$F$18,((Observaciones!$F478-0.05*Constantes!$F$18)^2)/(Observaciones!$F478+0.95*Constantes!$F$18),0)</f>
        <v>0</v>
      </c>
      <c r="G479" s="76">
        <f>IF(Escenarios!$F$11&gt;0,(F479*Escenarios!$F$16*10000)/1000,0)</f>
        <v>0</v>
      </c>
      <c r="H479" s="76">
        <f>IF(Escenarios!$F$11&gt;0,(Observaciones!$F478*Constantes!$F$29)/1000,0)</f>
        <v>0</v>
      </c>
      <c r="I479" s="76">
        <f>IF(Escenarios!$F$11&gt;0,(D479*Constantes!$F$29)/1000,0)</f>
        <v>0</v>
      </c>
      <c r="J479" s="76">
        <f>IF(Escenarios!$F$11&gt;0,MAX(0,G479+H479-I479),0)</f>
        <v>0</v>
      </c>
      <c r="K479" s="76">
        <f>IF(Escenarios!$F$11&gt;0,IF(J479&gt;Constantes!$F$30,1000*((J479-Constantes!$F$30)/(Escenarios!$F$16*10000)),0),F479)</f>
        <v>0</v>
      </c>
      <c r="L479" s="76">
        <f>IF(Escenarios!$F$11&gt;0,I479*1000/Escenarios!$F$16/10000+E479,E479)</f>
        <v>0.5606905887932655</v>
      </c>
      <c r="M479" s="76">
        <f>MAX(0,N478+Observaciones!$F478-K479-Constantes!$D$13)</f>
        <v>0</v>
      </c>
      <c r="N479" s="76">
        <f>N478+Observaciones!$F478-K479-L479-M479-O478</f>
        <v>11.390143242211439</v>
      </c>
      <c r="O479" s="76">
        <f>MAX(0,(N479-Constantes!$D$14)*(1-EXP(-Constantes!$D$22)))</f>
        <v>4.7737933060961382E-3</v>
      </c>
      <c r="P479" s="170">
        <f>P478+(Entradas!$F$83*M479-Q478)/(800*Entradas!$D$25)</f>
        <v>0</v>
      </c>
      <c r="Q479" s="170">
        <f>8000*Entradas!$D$26*P479/Constantes!$F$45</f>
        <v>0</v>
      </c>
      <c r="R479" s="170">
        <f>IF(Escenarios!$F$14&gt;0,K479*Escenarios!$F$13/Escenarios!$F$14,0)</f>
        <v>0</v>
      </c>
      <c r="S479" s="170">
        <f>IF(Escenarios!$F$14&gt;0,Q479*Escenarios!$F$13/Escenarios!$F$14,0)</f>
        <v>0</v>
      </c>
      <c r="T479" s="170">
        <f>IF(Escenarios!$F$14&gt;0,Observaciones!$I478,0)</f>
        <v>0</v>
      </c>
      <c r="U479" s="170">
        <f>IF(Escenarios!$F$14&gt;0,MAX(0,Constantes!$F$36/((Z478+R479+S479+T479+Observaciones!$F478)^2)+Entradas!$F$77),0)</f>
        <v>0</v>
      </c>
      <c r="V479" s="146">
        <f>IF(ETo!D478&gt;0,ETo!I478*((1-Entradas!$F$81)*ETo!K478+ETo!L478),0)</f>
        <v>3.1550296874992338</v>
      </c>
      <c r="W479" s="170">
        <f>IF(Escenarios!$F$14&gt;0,MIN(V479*1,0.8*(Z478+R479+S479+T479+Observaciones!$F478-U479-Constantes!$F$35)),0)</f>
        <v>0.56262699260358884</v>
      </c>
      <c r="X479" s="170">
        <f>IF(Escenarios!$F$14&gt;0,Observaciones!$J478,0)</f>
        <v>0</v>
      </c>
      <c r="Y479" s="170">
        <f>IF(Escenarios!$F$14&gt;0,MAX(0,Z478+R479+S479+T479+Observaciones!$F478-U479-W479-X479-Constantes!$F$33),0)</f>
        <v>0</v>
      </c>
      <c r="Z479" s="170">
        <f>Z478+R479+S479+T479+Observaciones!$F478-U479-W479-Y479</f>
        <v>41.390656748150896</v>
      </c>
      <c r="AA479" s="170">
        <f>IF(Escenarios!$F$14&gt;0,(Escenarios!$F$13*L479+Escenarios!$F$14*W479)/(Escenarios!$F$16),L479)</f>
        <v>0.56092295725050423</v>
      </c>
      <c r="AB479" s="170">
        <f>IF(Escenarios!$F$14&gt;0,(Escenarios!$F$14*Y479)/(Escenarios!$F$16),K479)</f>
        <v>0</v>
      </c>
      <c r="AC479" s="170">
        <f>IF(Escenarios!$F$14&gt;0,(Escenarios!$F$13*M479+Escenarios!$F$14*U479)/(Escenarios!$F$16),M479)</f>
        <v>0</v>
      </c>
      <c r="AD479" s="76">
        <f t="shared" si="99"/>
        <v>147.87404686015313</v>
      </c>
      <c r="AE479" s="76">
        <f>MAX(0,(AD479-Constantes!$D$13)*(1-EXP(-Constantes!$D$23)))</f>
        <v>0.97669284322164029</v>
      </c>
      <c r="AF479" s="76">
        <f>AB479+O479*Escenarios!$F$13/Escenarios!$F$16+AE479</f>
        <v>0.98089378133100491</v>
      </c>
      <c r="AG479" s="76">
        <f>IF(Entradas!$F$91&gt;0,IF(AF479-Escenarios!$F$38&lt;=0,0,IF(AF479-Escenarios!$F$38&gt;Escenarios!$F$37,Escenarios!$F$37,AF479-Escenarios!$F$38)),0)</f>
        <v>0</v>
      </c>
      <c r="AH479" s="76">
        <f>AG479*Entradas!$F$99</f>
        <v>0</v>
      </c>
      <c r="AI479" s="76">
        <f>IF(Entradas!$F$91&gt;0,D479*Entradas!$D$23/Escenarios!$F$16,0)</f>
        <v>0.17173149923534356</v>
      </c>
      <c r="AJ479" s="76">
        <f>IF(Entradas!$F$91&gt;0,Entradas!$D$24*Entradas!$D$22/Escenarios!$F$16,0)</f>
        <v>0.12</v>
      </c>
      <c r="AK479" s="76">
        <f t="shared" si="100"/>
        <v>0.73265445648584782</v>
      </c>
      <c r="AL479" s="76">
        <f t="shared" si="101"/>
        <v>0</v>
      </c>
      <c r="AM479" s="76">
        <f t="shared" si="102"/>
        <v>0</v>
      </c>
      <c r="AN479" s="76">
        <f>MAX(0,O479*Escenarios!$F$13/Escenarios!$F$16-AM479)</f>
        <v>4.200938109364602E-3</v>
      </c>
      <c r="AO479" s="76">
        <f>AM479+AN479-O479*Escenarios!$F$13/Escenarios!$F$16</f>
        <v>0</v>
      </c>
      <c r="AP479" s="76">
        <f t="shared" si="103"/>
        <v>0.97669284322164029</v>
      </c>
      <c r="AQ479" s="76">
        <f t="shared" si="104"/>
        <v>0</v>
      </c>
      <c r="AR479" s="76">
        <f t="shared" si="105"/>
        <v>0.98089378133100491</v>
      </c>
      <c r="AS479" s="76">
        <f t="shared" si="106"/>
        <v>0</v>
      </c>
      <c r="AT479" s="76">
        <f t="shared" si="107"/>
        <v>0</v>
      </c>
      <c r="AU479" s="76">
        <f t="shared" si="108"/>
        <v>59.500187187914051</v>
      </c>
      <c r="AV479" s="76">
        <f>MAX(0,(AU479-Constantes!$D$13)*(1-EXP(-Constantes!$D$24)))</f>
        <v>0.16431926716837827</v>
      </c>
      <c r="AW479" s="170">
        <f>AW478+(Entradas!$F$112*AT479-AX478)/(800*Entradas!$D$25)</f>
        <v>0</v>
      </c>
      <c r="AX479" s="170">
        <f>8000*Entradas!$D$26*AW479/Constantes!$F$45</f>
        <v>0</v>
      </c>
      <c r="AY479" s="170">
        <f>IF(Escenarios!$F$17&gt;0,10*Escenarios!$F$16*AL479,0)</f>
        <v>0</v>
      </c>
      <c r="AZ479" s="170">
        <f>IF(Escenarios!$F$17&gt;0,10*Escenarios!$F$16*AX479,0)</f>
        <v>0</v>
      </c>
      <c r="BA479" s="170">
        <f>IF(Escenarios!$F$17&gt;0,0.001*Observaciones!$F478*Escenarios!$F$17,0)</f>
        <v>0</v>
      </c>
      <c r="BB479" s="170">
        <f>IF(Escenarios!$F$17&gt;0,Observaciones!$K478,0)</f>
        <v>0</v>
      </c>
      <c r="BC479" s="170">
        <f>IF(Escenarios!$F$17&gt;0,MIN(0.0005*ETo!$M478*Escenarios!$F$17*(BG478/Constantes!$F$40)^(2/3),BG478+AY479+AZ479+BA479+BB479),0)</f>
        <v>0</v>
      </c>
      <c r="BD479" s="170">
        <f>IF(Escenarios!$F$17&gt;0,MIN(Constantes!$F$39*(BG478/Constantes!$F$40)^(2/3),BG478+AY479+AZ479+BA479+BB479-BC479),0)</f>
        <v>0</v>
      </c>
      <c r="BE479" s="170">
        <f>IF(Escenarios!$F$17&gt;0,MIN(Entradas!$F$113,BG478+AY479+AZ479+BA479+BB479-BC479-BD479),0)</f>
        <v>0</v>
      </c>
      <c r="BF479" s="170">
        <f>IF(Escenarios!$F$17&gt;0,MAX(0,BG478+AY479+AZ479+BA479+BB479-BC479-BD479-BE479-Constantes!$F$40),0)</f>
        <v>0</v>
      </c>
      <c r="BG479" s="170">
        <f t="shared" si="109"/>
        <v>0</v>
      </c>
      <c r="BH479" s="170">
        <f>(Escenarios!$F$16*AK479+0.1*BC479)/(Escenarios!$F$19)</f>
        <v>0.73265445648584782</v>
      </c>
      <c r="BI479" s="170">
        <f>IF(Escenarios!$F$17&gt;0,BF479/10/Escenarios!$F$19,AL479)</f>
        <v>0</v>
      </c>
      <c r="BJ479" s="170">
        <f>(Escenarios!$F$16*AT479+0.1*BD479)/(Escenarios!$F$19)</f>
        <v>0</v>
      </c>
      <c r="BK479" s="76">
        <f>BK478+(0.1*BD479)/(Escenarios!$F$19)-BL478</f>
        <v>48.75</v>
      </c>
      <c r="BL479" s="76">
        <f>MAX(0,(BK479-Constantes!$D$13)*(1-EXP(-Constantes!$D$23)))</f>
        <v>0</v>
      </c>
      <c r="BM479" s="76">
        <f t="shared" si="110"/>
        <v>1.1410121103900186</v>
      </c>
      <c r="BN479" s="76">
        <f t="shared" si="111"/>
        <v>1.1452130484993832</v>
      </c>
      <c r="BO479" s="76">
        <f>0.0526*BI479*Observaciones!$F478^1.218</f>
        <v>0</v>
      </c>
      <c r="BP479" s="76">
        <f>BO479*Constantes!$F$51</f>
        <v>0</v>
      </c>
      <c r="BQ479" s="76">
        <f t="shared" si="112"/>
        <v>0</v>
      </c>
      <c r="BR479" s="40"/>
    </row>
    <row r="480" spans="2:70">
      <c r="B480" s="39"/>
      <c r="C480" s="75">
        <v>474</v>
      </c>
      <c r="D480" s="146">
        <f>ETo!$I479*((1-Constantes!$F$19)*ETo!$K479+ETo!$L479)</f>
        <v>3.6050622740075786</v>
      </c>
      <c r="E480" s="76">
        <f>MIN(D480*Constantes!$F$17,0.8*(N479+Observaciones!$F479-F480-M480-Constantes!$D$14))</f>
        <v>0.51211459376915092</v>
      </c>
      <c r="F480" s="76">
        <f>IF(Observaciones!$F479&gt;0.05*Constantes!$F$18,((Observaciones!$F479-0.05*Constantes!$F$18)^2)/(Observaciones!$F479+0.95*Constantes!$F$18),0)</f>
        <v>0</v>
      </c>
      <c r="G480" s="76">
        <f>IF(Escenarios!$F$11&gt;0,(F480*Escenarios!$F$16*10000)/1000,0)</f>
        <v>0</v>
      </c>
      <c r="H480" s="76">
        <f>IF(Escenarios!$F$11&gt;0,(Observaciones!$F479*Constantes!$F$29)/1000,0)</f>
        <v>0</v>
      </c>
      <c r="I480" s="76">
        <f>IF(Escenarios!$F$11&gt;0,(D480*Constantes!$F$29)/1000,0)</f>
        <v>0</v>
      </c>
      <c r="J480" s="76">
        <f>IF(Escenarios!$F$11&gt;0,MAX(0,G480+H480-I480),0)</f>
        <v>0</v>
      </c>
      <c r="K480" s="76">
        <f>IF(Escenarios!$F$11&gt;0,IF(J480&gt;Constantes!$F$30,1000*((J480-Constantes!$F$30)/(Escenarios!$F$16*10000)),0),F480)</f>
        <v>0</v>
      </c>
      <c r="L480" s="76">
        <f>IF(Escenarios!$F$11&gt;0,I480*1000/Escenarios!$F$16/10000+E480,E480)</f>
        <v>0.51211459376915092</v>
      </c>
      <c r="M480" s="76">
        <f>MAX(0,N479+Observaciones!$F479-K480-Constantes!$D$13)</f>
        <v>0</v>
      </c>
      <c r="N480" s="76">
        <f>N479+Observaciones!$F479-K480-L480-M480-O479</f>
        <v>11.37325485513619</v>
      </c>
      <c r="O480" s="76">
        <f>MAX(0,(N480-Constantes!$D$14)*(1-EXP(-Constantes!$D$22)))</f>
        <v>4.1985128437749984E-3</v>
      </c>
      <c r="P480" s="170">
        <f>P479+(Entradas!$F$83*M480-Q479)/(800*Entradas!$D$25)</f>
        <v>0</v>
      </c>
      <c r="Q480" s="170">
        <f>8000*Entradas!$D$26*P480/Constantes!$F$45</f>
        <v>0</v>
      </c>
      <c r="R480" s="170">
        <f>IF(Escenarios!$F$14&gt;0,K480*Escenarios!$F$13/Escenarios!$F$14,0)</f>
        <v>0</v>
      </c>
      <c r="S480" s="170">
        <f>IF(Escenarios!$F$14&gt;0,Q480*Escenarios!$F$13/Escenarios!$F$14,0)</f>
        <v>0</v>
      </c>
      <c r="T480" s="170">
        <f>IF(Escenarios!$F$14&gt;0,Observaciones!$I479,0)</f>
        <v>0</v>
      </c>
      <c r="U480" s="170">
        <f>IF(Escenarios!$F$14&gt;0,MAX(0,Constantes!$F$36/((Z479+R480+S480+T480+Observaciones!$F479)^2)+Entradas!$F$77),0)</f>
        <v>0</v>
      </c>
      <c r="V480" s="146">
        <f>IF(ETo!D479&gt;0,ETo!I479*((1-Entradas!$F$81)*ETo!K479+ETo!L479),0)</f>
        <v>3.1792086420117447</v>
      </c>
      <c r="W480" s="170">
        <f>IF(Escenarios!$F$14&gt;0,MIN(V480*1,0.8*(Z479+R480+S480+T480+Observaciones!$F479-U480-Constantes!$F$35)),0)</f>
        <v>0.51252539852071666</v>
      </c>
      <c r="X480" s="170">
        <f>IF(Escenarios!$F$14&gt;0,Observaciones!$J479,0)</f>
        <v>0</v>
      </c>
      <c r="Y480" s="170">
        <f>IF(Escenarios!$F$14&gt;0,MAX(0,Z479+R480+S480+T480+Observaciones!$F479-U480-W480-X480-Constantes!$F$33),0)</f>
        <v>0</v>
      </c>
      <c r="Z480" s="170">
        <f>Z479+R480+S480+T480+Observaciones!$F479-U480-W480-Y480</f>
        <v>41.378131349630181</v>
      </c>
      <c r="AA480" s="170">
        <f>IF(Escenarios!$F$14&gt;0,(Escenarios!$F$13*L480+Escenarios!$F$14*W480)/(Escenarios!$F$16),L480)</f>
        <v>0.51216389033933885</v>
      </c>
      <c r="AB480" s="170">
        <f>IF(Escenarios!$F$14&gt;0,(Escenarios!$F$14*Y480)/(Escenarios!$F$16),K480)</f>
        <v>0</v>
      </c>
      <c r="AC480" s="170">
        <f>IF(Escenarios!$F$14&gt;0,(Escenarios!$F$13*M480+Escenarios!$F$14*U480)/(Escenarios!$F$16),M480)</f>
        <v>0</v>
      </c>
      <c r="AD480" s="76">
        <f t="shared" si="99"/>
        <v>146.8973540169315</v>
      </c>
      <c r="AE480" s="76">
        <f>MAX(0,(AD480-Constantes!$D$13)*(1-EXP(-Constantes!$D$23)))</f>
        <v>0.96706925600726645</v>
      </c>
      <c r="AF480" s="76">
        <f>AB480+O480*Escenarios!$F$13/Escenarios!$F$16+AE480</f>
        <v>0.97076394730978843</v>
      </c>
      <c r="AG480" s="76">
        <f>IF(Entradas!$F$91&gt;0,IF(AF480-Escenarios!$F$38&lt;=0,0,IF(AF480-Escenarios!$F$38&gt;Escenarios!$F$37,Escenarios!$F$37,AF480-Escenarios!$F$38)),0)</f>
        <v>0</v>
      </c>
      <c r="AH480" s="76">
        <f>AG480*Entradas!$F$99</f>
        <v>0</v>
      </c>
      <c r="AI480" s="76">
        <f>IF(Entradas!$F$91&gt;0,D480*Entradas!$D$23/Escenarios!$F$16,0)</f>
        <v>0.17304298915236377</v>
      </c>
      <c r="AJ480" s="76">
        <f>IF(Entradas!$F$91&gt;0,Entradas!$D$24*Entradas!$D$22/Escenarios!$F$16,0)</f>
        <v>0.12</v>
      </c>
      <c r="AK480" s="76">
        <f t="shared" si="100"/>
        <v>0.68520687949170256</v>
      </c>
      <c r="AL480" s="76">
        <f t="shared" si="101"/>
        <v>0</v>
      </c>
      <c r="AM480" s="76">
        <f t="shared" si="102"/>
        <v>0</v>
      </c>
      <c r="AN480" s="76">
        <f>MAX(0,O480*Escenarios!$F$13/Escenarios!$F$16-AM480)</f>
        <v>3.6946913025219987E-3</v>
      </c>
      <c r="AO480" s="76">
        <f>AM480+AN480-O480*Escenarios!$F$13/Escenarios!$F$16</f>
        <v>0</v>
      </c>
      <c r="AP480" s="76">
        <f t="shared" si="103"/>
        <v>0.96706925600726645</v>
      </c>
      <c r="AQ480" s="76">
        <f t="shared" si="104"/>
        <v>0</v>
      </c>
      <c r="AR480" s="76">
        <f t="shared" si="105"/>
        <v>0.97076394730978843</v>
      </c>
      <c r="AS480" s="76">
        <f t="shared" si="106"/>
        <v>0</v>
      </c>
      <c r="AT480" s="76">
        <f t="shared" si="107"/>
        <v>0</v>
      </c>
      <c r="AU480" s="76">
        <f t="shared" si="108"/>
        <v>59.33586792074567</v>
      </c>
      <c r="AV480" s="76">
        <f>MAX(0,(AU480-Constantes!$D$13)*(1-EXP(-Constantes!$D$24)))</f>
        <v>0.16180760657207638</v>
      </c>
      <c r="AW480" s="170">
        <f>AW479+(Entradas!$F$112*AT480-AX479)/(800*Entradas!$D$25)</f>
        <v>0</v>
      </c>
      <c r="AX480" s="170">
        <f>8000*Entradas!$D$26*AW480/Constantes!$F$45</f>
        <v>0</v>
      </c>
      <c r="AY480" s="170">
        <f>IF(Escenarios!$F$17&gt;0,10*Escenarios!$F$16*AL480,0)</f>
        <v>0</v>
      </c>
      <c r="AZ480" s="170">
        <f>IF(Escenarios!$F$17&gt;0,10*Escenarios!$F$16*AX480,0)</f>
        <v>0</v>
      </c>
      <c r="BA480" s="170">
        <f>IF(Escenarios!$F$17&gt;0,0.001*Observaciones!$F479*Escenarios!$F$17,0)</f>
        <v>0</v>
      </c>
      <c r="BB480" s="170">
        <f>IF(Escenarios!$F$17&gt;0,Observaciones!$K479,0)</f>
        <v>0</v>
      </c>
      <c r="BC480" s="170">
        <f>IF(Escenarios!$F$17&gt;0,MIN(0.0005*ETo!$M479*Escenarios!$F$17*(BG479/Constantes!$F$40)^(2/3),BG479+AY480+AZ480+BA480+BB480),0)</f>
        <v>0</v>
      </c>
      <c r="BD480" s="170">
        <f>IF(Escenarios!$F$17&gt;0,MIN(Constantes!$F$39*(BG479/Constantes!$F$40)^(2/3),BG479+AY480+AZ480+BA480+BB480-BC480),0)</f>
        <v>0</v>
      </c>
      <c r="BE480" s="170">
        <f>IF(Escenarios!$F$17&gt;0,MIN(Entradas!$F$113,BG479+AY480+AZ480+BA480+BB480-BC480-BD480),0)</f>
        <v>0</v>
      </c>
      <c r="BF480" s="170">
        <f>IF(Escenarios!$F$17&gt;0,MAX(0,BG479+AY480+AZ480+BA480+BB480-BC480-BD480-BE480-Constantes!$F$40),0)</f>
        <v>0</v>
      </c>
      <c r="BG480" s="170">
        <f t="shared" si="109"/>
        <v>0</v>
      </c>
      <c r="BH480" s="170">
        <f>(Escenarios!$F$16*AK480+0.1*BC480)/(Escenarios!$F$19)</f>
        <v>0.68520687949170256</v>
      </c>
      <c r="BI480" s="170">
        <f>IF(Escenarios!$F$17&gt;0,BF480/10/Escenarios!$F$19,AL480)</f>
        <v>0</v>
      </c>
      <c r="BJ480" s="170">
        <f>(Escenarios!$F$16*AT480+0.1*BD480)/(Escenarios!$F$19)</f>
        <v>0</v>
      </c>
      <c r="BK480" s="76">
        <f>BK479+(0.1*BD480)/(Escenarios!$F$19)-BL479</f>
        <v>48.75</v>
      </c>
      <c r="BL480" s="76">
        <f>MAX(0,(BK480-Constantes!$D$13)*(1-EXP(-Constantes!$D$23)))</f>
        <v>0</v>
      </c>
      <c r="BM480" s="76">
        <f t="shared" si="110"/>
        <v>1.1288768625793428</v>
      </c>
      <c r="BN480" s="76">
        <f t="shared" si="111"/>
        <v>1.1325715538818648</v>
      </c>
      <c r="BO480" s="76">
        <f>0.0526*BI480*Observaciones!$F479^1.218</f>
        <v>0</v>
      </c>
      <c r="BP480" s="76">
        <f>BO480*Constantes!$F$51</f>
        <v>0</v>
      </c>
      <c r="BQ480" s="76">
        <f t="shared" si="112"/>
        <v>0</v>
      </c>
      <c r="BR480" s="40"/>
    </row>
    <row r="481" spans="2:70">
      <c r="B481" s="39"/>
      <c r="C481" s="75">
        <v>475</v>
      </c>
      <c r="D481" s="146">
        <f>ETo!$I480*((1-Constantes!$F$19)*ETo!$K480+ETo!$L480)</f>
        <v>3.6551076817440884</v>
      </c>
      <c r="E481" s="76">
        <f>MIN(D481*Constantes!$F$17,0.8*(N480+Observaciones!$F480-F481-M481-Constantes!$D$14))</f>
        <v>9.8603884108952405E-2</v>
      </c>
      <c r="F481" s="76">
        <f>IF(Observaciones!$F480&gt;0.05*Constantes!$F$18,((Observaciones!$F480-0.05*Constantes!$F$18)^2)/(Observaciones!$F480+0.95*Constantes!$F$18),0)</f>
        <v>0</v>
      </c>
      <c r="G481" s="76">
        <f>IF(Escenarios!$F$11&gt;0,(F481*Escenarios!$F$16*10000)/1000,0)</f>
        <v>0</v>
      </c>
      <c r="H481" s="76">
        <f>IF(Escenarios!$F$11&gt;0,(Observaciones!$F480*Constantes!$F$29)/1000,0)</f>
        <v>0</v>
      </c>
      <c r="I481" s="76">
        <f>IF(Escenarios!$F$11&gt;0,(D481*Constantes!$F$29)/1000,0)</f>
        <v>0</v>
      </c>
      <c r="J481" s="76">
        <f>IF(Escenarios!$F$11&gt;0,MAX(0,G481+H481-I481),0)</f>
        <v>0</v>
      </c>
      <c r="K481" s="76">
        <f>IF(Escenarios!$F$11&gt;0,IF(J481&gt;Constantes!$F$30,1000*((J481-Constantes!$F$30)/(Escenarios!$F$16*10000)),0),F481)</f>
        <v>0</v>
      </c>
      <c r="L481" s="76">
        <f>IF(Escenarios!$F$11&gt;0,I481*1000/Escenarios!$F$16/10000+E481,E481)</f>
        <v>9.8603884108952405E-2</v>
      </c>
      <c r="M481" s="76">
        <f>MAX(0,N480+Observaciones!$F480-K481-Constantes!$D$13)</f>
        <v>0</v>
      </c>
      <c r="N481" s="76">
        <f>N480+Observaciones!$F480-K481-L481-M481-O480</f>
        <v>11.270452458183463</v>
      </c>
      <c r="O481" s="76">
        <f>MAX(0,(N481-Constantes!$D$14)*(1-EXP(-Constantes!$D$22)))</f>
        <v>6.9668580823984392E-4</v>
      </c>
      <c r="P481" s="170">
        <f>P480+(Entradas!$F$83*M481-Q480)/(800*Entradas!$D$25)</f>
        <v>0</v>
      </c>
      <c r="Q481" s="170">
        <f>8000*Entradas!$D$26*P481/Constantes!$F$45</f>
        <v>0</v>
      </c>
      <c r="R481" s="170">
        <f>IF(Escenarios!$F$14&gt;0,K481*Escenarios!$F$13/Escenarios!$F$14,0)</f>
        <v>0</v>
      </c>
      <c r="S481" s="170">
        <f>IF(Escenarios!$F$14&gt;0,Q481*Escenarios!$F$13/Escenarios!$F$14,0)</f>
        <v>0</v>
      </c>
      <c r="T481" s="170">
        <f>IF(Escenarios!$F$14&gt;0,Observaciones!$I480,0)</f>
        <v>0</v>
      </c>
      <c r="U481" s="170">
        <f>IF(Escenarios!$F$14&gt;0,MAX(0,Constantes!$F$36/((Z480+R481+S481+T481+Observaciones!$F480)^2)+Entradas!$F$77),0)</f>
        <v>0</v>
      </c>
      <c r="V481" s="146">
        <f>IF(ETo!D480&gt;0,ETo!I480*((1-Entradas!$F$81)*ETo!K480+ETo!L480),0)</f>
        <v>3.2239463880657762</v>
      </c>
      <c r="W481" s="170">
        <f>IF(Escenarios!$F$14&gt;0,MIN(V481*1,0.8*(Z480+R481+S481+T481+Observaciones!$F480-U481-Constantes!$F$35)),0)</f>
        <v>0.10250507970414446</v>
      </c>
      <c r="X481" s="170">
        <f>IF(Escenarios!$F$14&gt;0,Observaciones!$J480,0)</f>
        <v>0</v>
      </c>
      <c r="Y481" s="170">
        <f>IF(Escenarios!$F$14&gt;0,MAX(0,Z480+R481+S481+T481+Observaciones!$F480-U481-W481-X481-Constantes!$F$33),0)</f>
        <v>0</v>
      </c>
      <c r="Z481" s="170">
        <f>Z480+R481+S481+T481+Observaciones!$F480-U481-W481-Y481</f>
        <v>41.275626269926036</v>
      </c>
      <c r="AA481" s="170">
        <f>IF(Escenarios!$F$14&gt;0,(Escenarios!$F$13*L481+Escenarios!$F$14*W481)/(Escenarios!$F$16),L481)</f>
        <v>9.9072027580375449E-2</v>
      </c>
      <c r="AB481" s="170">
        <f>IF(Escenarios!$F$14&gt;0,(Escenarios!$F$14*Y481)/(Escenarios!$F$16),K481)</f>
        <v>0</v>
      </c>
      <c r="AC481" s="170">
        <f>IF(Escenarios!$F$14&gt;0,(Escenarios!$F$13*M481+Escenarios!$F$14*U481)/(Escenarios!$F$16),M481)</f>
        <v>0</v>
      </c>
      <c r="AD481" s="76">
        <f t="shared" si="99"/>
        <v>145.93028476092422</v>
      </c>
      <c r="AE481" s="76">
        <f>MAX(0,(AD481-Constantes!$D$13)*(1-EXP(-Constantes!$D$23)))</f>
        <v>0.95754049228987559</v>
      </c>
      <c r="AF481" s="76">
        <f>AB481+O481*Escenarios!$F$13/Escenarios!$F$16+AE481</f>
        <v>0.9581535758011267</v>
      </c>
      <c r="AG481" s="76">
        <f>IF(Entradas!$F$91&gt;0,IF(AF481-Escenarios!$F$38&lt;=0,0,IF(AF481-Escenarios!$F$38&gt;Escenarios!$F$37,Escenarios!$F$37,AF481-Escenarios!$F$38)),0)</f>
        <v>0</v>
      </c>
      <c r="AH481" s="76">
        <f>AG481*Entradas!$F$99</f>
        <v>0</v>
      </c>
      <c r="AI481" s="76">
        <f>IF(Entradas!$F$91&gt;0,D481*Entradas!$D$23/Escenarios!$F$16,0)</f>
        <v>0.17544516872371624</v>
      </c>
      <c r="AJ481" s="76">
        <f>IF(Entradas!$F$91&gt;0,Entradas!$D$24*Entradas!$D$22/Escenarios!$F$16,0)</f>
        <v>0.12</v>
      </c>
      <c r="AK481" s="76">
        <f t="shared" si="100"/>
        <v>0.27451719630409166</v>
      </c>
      <c r="AL481" s="76">
        <f t="shared" si="101"/>
        <v>0</v>
      </c>
      <c r="AM481" s="76">
        <f t="shared" si="102"/>
        <v>0</v>
      </c>
      <c r="AN481" s="76">
        <f>MAX(0,O481*Escenarios!$F$13/Escenarios!$F$16-AM481)</f>
        <v>6.1308351125106259E-4</v>
      </c>
      <c r="AO481" s="76">
        <f>AM481+AN481-O481*Escenarios!$F$13/Escenarios!$F$16</f>
        <v>0</v>
      </c>
      <c r="AP481" s="76">
        <f t="shared" si="103"/>
        <v>0.95754049228987559</v>
      </c>
      <c r="AQ481" s="76">
        <f t="shared" si="104"/>
        <v>0</v>
      </c>
      <c r="AR481" s="76">
        <f t="shared" si="105"/>
        <v>0.9581535758011267</v>
      </c>
      <c r="AS481" s="76">
        <f t="shared" si="106"/>
        <v>0</v>
      </c>
      <c r="AT481" s="76">
        <f t="shared" si="107"/>
        <v>0</v>
      </c>
      <c r="AU481" s="76">
        <f t="shared" si="108"/>
        <v>59.174060314173595</v>
      </c>
      <c r="AV481" s="76">
        <f>MAX(0,(AU481-Constantes!$D$13)*(1-EXP(-Constantes!$D$24)))</f>
        <v>0.15933433732853386</v>
      </c>
      <c r="AW481" s="170">
        <f>AW480+(Entradas!$F$112*AT481-AX480)/(800*Entradas!$D$25)</f>
        <v>0</v>
      </c>
      <c r="AX481" s="170">
        <f>8000*Entradas!$D$26*AW481/Constantes!$F$45</f>
        <v>0</v>
      </c>
      <c r="AY481" s="170">
        <f>IF(Escenarios!$F$17&gt;0,10*Escenarios!$F$16*AL481,0)</f>
        <v>0</v>
      </c>
      <c r="AZ481" s="170">
        <f>IF(Escenarios!$F$17&gt;0,10*Escenarios!$F$16*AX481,0)</f>
        <v>0</v>
      </c>
      <c r="BA481" s="170">
        <f>IF(Escenarios!$F$17&gt;0,0.001*Observaciones!$F480*Escenarios!$F$17,0)</f>
        <v>0</v>
      </c>
      <c r="BB481" s="170">
        <f>IF(Escenarios!$F$17&gt;0,Observaciones!$K480,0)</f>
        <v>0</v>
      </c>
      <c r="BC481" s="170">
        <f>IF(Escenarios!$F$17&gt;0,MIN(0.0005*ETo!$M480*Escenarios!$F$17*(BG480/Constantes!$F$40)^(2/3),BG480+AY481+AZ481+BA481+BB481),0)</f>
        <v>0</v>
      </c>
      <c r="BD481" s="170">
        <f>IF(Escenarios!$F$17&gt;0,MIN(Constantes!$F$39*(BG480/Constantes!$F$40)^(2/3),BG480+AY481+AZ481+BA481+BB481-BC481),0)</f>
        <v>0</v>
      </c>
      <c r="BE481" s="170">
        <f>IF(Escenarios!$F$17&gt;0,MIN(Entradas!$F$113,BG480+AY481+AZ481+BA481+BB481-BC481-BD481),0)</f>
        <v>0</v>
      </c>
      <c r="BF481" s="170">
        <f>IF(Escenarios!$F$17&gt;0,MAX(0,BG480+AY481+AZ481+BA481+BB481-BC481-BD481-BE481-Constantes!$F$40),0)</f>
        <v>0</v>
      </c>
      <c r="BG481" s="170">
        <f t="shared" si="109"/>
        <v>0</v>
      </c>
      <c r="BH481" s="170">
        <f>(Escenarios!$F$16*AK481+0.1*BC481)/(Escenarios!$F$19)</f>
        <v>0.27451719630409166</v>
      </c>
      <c r="BI481" s="170">
        <f>IF(Escenarios!$F$17&gt;0,BF481/10/Escenarios!$F$19,AL481)</f>
        <v>0</v>
      </c>
      <c r="BJ481" s="170">
        <f>(Escenarios!$F$16*AT481+0.1*BD481)/(Escenarios!$F$19)</f>
        <v>0</v>
      </c>
      <c r="BK481" s="76">
        <f>BK480+(0.1*BD481)/(Escenarios!$F$19)-BL480</f>
        <v>48.75</v>
      </c>
      <c r="BL481" s="76">
        <f>MAX(0,(BK481-Constantes!$D$13)*(1-EXP(-Constantes!$D$23)))</f>
        <v>0</v>
      </c>
      <c r="BM481" s="76">
        <f t="shared" si="110"/>
        <v>1.1168748296184094</v>
      </c>
      <c r="BN481" s="76">
        <f t="shared" si="111"/>
        <v>1.1174879131296604</v>
      </c>
      <c r="BO481" s="76">
        <f>0.0526*BI481*Observaciones!$F480^1.218</f>
        <v>0</v>
      </c>
      <c r="BP481" s="76">
        <f>BO481*Constantes!$F$51</f>
        <v>0</v>
      </c>
      <c r="BQ481" s="76">
        <f t="shared" si="112"/>
        <v>0</v>
      </c>
      <c r="BR481" s="40"/>
    </row>
    <row r="482" spans="2:70">
      <c r="B482" s="39"/>
      <c r="C482" s="75">
        <v>476</v>
      </c>
      <c r="D482" s="146">
        <f>ETo!$I481*((1-Constantes!$F$19)*ETo!$K481+ETo!$L481)</f>
        <v>3.4793334120464339</v>
      </c>
      <c r="E482" s="76">
        <f>MIN(D482*Constantes!$F$17,0.8*(N481+Observaciones!$F481-F482-M482-Constantes!$D$14))</f>
        <v>1.6361966546770645E-2</v>
      </c>
      <c r="F482" s="76">
        <f>IF(Observaciones!$F481&gt;0.05*Constantes!$F$18,((Observaciones!$F481-0.05*Constantes!$F$18)^2)/(Observaciones!$F481+0.95*Constantes!$F$18),0)</f>
        <v>0</v>
      </c>
      <c r="G482" s="76">
        <f>IF(Escenarios!$F$11&gt;0,(F482*Escenarios!$F$16*10000)/1000,0)</f>
        <v>0</v>
      </c>
      <c r="H482" s="76">
        <f>IF(Escenarios!$F$11&gt;0,(Observaciones!$F481*Constantes!$F$29)/1000,0)</f>
        <v>0</v>
      </c>
      <c r="I482" s="76">
        <f>IF(Escenarios!$F$11&gt;0,(D482*Constantes!$F$29)/1000,0)</f>
        <v>0</v>
      </c>
      <c r="J482" s="76">
        <f>IF(Escenarios!$F$11&gt;0,MAX(0,G482+H482-I482),0)</f>
        <v>0</v>
      </c>
      <c r="K482" s="76">
        <f>IF(Escenarios!$F$11&gt;0,IF(J482&gt;Constantes!$F$30,1000*((J482-Constantes!$F$30)/(Escenarios!$F$16*10000)),0),F482)</f>
        <v>0</v>
      </c>
      <c r="L482" s="76">
        <f>IF(Escenarios!$F$11&gt;0,I482*1000/Escenarios!$F$16/10000+E482,E482)</f>
        <v>1.6361966546770645E-2</v>
      </c>
      <c r="M482" s="76">
        <f>MAX(0,N481+Observaciones!$F481-K482-Constantes!$D$13)</f>
        <v>0</v>
      </c>
      <c r="N482" s="76">
        <f>N481+Observaciones!$F481-K482-L482-M482-O481</f>
        <v>11.253393805828452</v>
      </c>
      <c r="O482" s="76">
        <f>MAX(0,(N482-Constantes!$D$14)*(1-EXP(-Constantes!$D$22)))</f>
        <v>1.1560548543332895E-4</v>
      </c>
      <c r="P482" s="170">
        <f>P481+(Entradas!$F$83*M482-Q481)/(800*Entradas!$D$25)</f>
        <v>0</v>
      </c>
      <c r="Q482" s="170">
        <f>8000*Entradas!$D$26*P482/Constantes!$F$45</f>
        <v>0</v>
      </c>
      <c r="R482" s="170">
        <f>IF(Escenarios!$F$14&gt;0,K482*Escenarios!$F$13/Escenarios!$F$14,0)</f>
        <v>0</v>
      </c>
      <c r="S482" s="170">
        <f>IF(Escenarios!$F$14&gt;0,Q482*Escenarios!$F$13/Escenarios!$F$14,0)</f>
        <v>0</v>
      </c>
      <c r="T482" s="170">
        <f>IF(Escenarios!$F$14&gt;0,Observaciones!$I481,0)</f>
        <v>0</v>
      </c>
      <c r="U482" s="170">
        <f>IF(Escenarios!$F$14&gt;0,MAX(0,Constantes!$F$36/((Z481+R482+S482+T482+Observaciones!$F481)^2)+Entradas!$F$77),0)</f>
        <v>0</v>
      </c>
      <c r="V482" s="146">
        <f>IF(ETo!D481&gt;0,ETo!I481*((1-Entradas!$F$81)*ETo!K481+ETo!L481),0)</f>
        <v>3.0656505609520215</v>
      </c>
      <c r="W482" s="170">
        <f>IF(Escenarios!$F$14&gt;0,MIN(V482*1,0.8*(Z481+R482+S482+T482+Observaciones!$F481-U482-Constantes!$F$35)),0)</f>
        <v>2.0501015940828895E-2</v>
      </c>
      <c r="X482" s="170">
        <f>IF(Escenarios!$F$14&gt;0,Observaciones!$J481,0)</f>
        <v>0</v>
      </c>
      <c r="Y482" s="170">
        <f>IF(Escenarios!$F$14&gt;0,MAX(0,Z481+R482+S482+T482+Observaciones!$F481-U482-W482-X482-Constantes!$F$33),0)</f>
        <v>0</v>
      </c>
      <c r="Z482" s="170">
        <f>Z481+R482+S482+T482+Observaciones!$F481-U482-W482-Y482</f>
        <v>41.255125253985206</v>
      </c>
      <c r="AA482" s="170">
        <f>IF(Escenarios!$F$14&gt;0,(Escenarios!$F$13*L482+Escenarios!$F$14*W482)/(Escenarios!$F$16),L482)</f>
        <v>1.6858652474057635E-2</v>
      </c>
      <c r="AB482" s="170">
        <f>IF(Escenarios!$F$14&gt;0,(Escenarios!$F$14*Y482)/(Escenarios!$F$16),K482)</f>
        <v>0</v>
      </c>
      <c r="AC482" s="170">
        <f>IF(Escenarios!$F$14&gt;0,(Escenarios!$F$13*M482+Escenarios!$F$14*U482)/(Escenarios!$F$16),M482)</f>
        <v>0</v>
      </c>
      <c r="AD482" s="76">
        <f t="shared" si="99"/>
        <v>144.97274426863436</v>
      </c>
      <c r="AE482" s="76">
        <f>MAX(0,(AD482-Constantes!$D$13)*(1-EXP(-Constantes!$D$23)))</f>
        <v>0.94810561775096702</v>
      </c>
      <c r="AF482" s="76">
        <f>AB482+O482*Escenarios!$F$13/Escenarios!$F$16+AE482</f>
        <v>0.94820735057814831</v>
      </c>
      <c r="AG482" s="76">
        <f>IF(Entradas!$F$91&gt;0,IF(AF482-Escenarios!$F$38&lt;=0,0,IF(AF482-Escenarios!$F$38&gt;Escenarios!$F$37,Escenarios!$F$37,AF482-Escenarios!$F$38)),0)</f>
        <v>0</v>
      </c>
      <c r="AH482" s="76">
        <f>AG482*Entradas!$F$99</f>
        <v>0</v>
      </c>
      <c r="AI482" s="76">
        <f>IF(Entradas!$F$91&gt;0,D482*Entradas!$D$23/Escenarios!$F$16,0)</f>
        <v>0.16700800377822883</v>
      </c>
      <c r="AJ482" s="76">
        <f>IF(Entradas!$F$91&gt;0,Entradas!$D$24*Entradas!$D$22/Escenarios!$F$16,0)</f>
        <v>0.12</v>
      </c>
      <c r="AK482" s="76">
        <f t="shared" si="100"/>
        <v>0.18386665625228646</v>
      </c>
      <c r="AL482" s="76">
        <f t="shared" si="101"/>
        <v>0</v>
      </c>
      <c r="AM482" s="76">
        <f t="shared" si="102"/>
        <v>0</v>
      </c>
      <c r="AN482" s="76">
        <f>MAX(0,O482*Escenarios!$F$13/Escenarios!$F$16-AM482)</f>
        <v>1.0173282718132948E-4</v>
      </c>
      <c r="AO482" s="76">
        <f>AM482+AN482-O482*Escenarios!$F$13/Escenarios!$F$16</f>
        <v>0</v>
      </c>
      <c r="AP482" s="76">
        <f t="shared" si="103"/>
        <v>0.94810561775096702</v>
      </c>
      <c r="AQ482" s="76">
        <f t="shared" si="104"/>
        <v>0</v>
      </c>
      <c r="AR482" s="76">
        <f t="shared" si="105"/>
        <v>0.94820735057814831</v>
      </c>
      <c r="AS482" s="76">
        <f t="shared" si="106"/>
        <v>0</v>
      </c>
      <c r="AT482" s="76">
        <f t="shared" si="107"/>
        <v>0</v>
      </c>
      <c r="AU482" s="76">
        <f t="shared" si="108"/>
        <v>59.014725976845064</v>
      </c>
      <c r="AV482" s="76">
        <f>MAX(0,(AU482-Constantes!$D$13)*(1-EXP(-Constantes!$D$24)))</f>
        <v>0.15689887261643859</v>
      </c>
      <c r="AW482" s="170">
        <f>AW481+(Entradas!$F$112*AT482-AX481)/(800*Entradas!$D$25)</f>
        <v>0</v>
      </c>
      <c r="AX482" s="170">
        <f>8000*Entradas!$D$26*AW482/Constantes!$F$45</f>
        <v>0</v>
      </c>
      <c r="AY482" s="170">
        <f>IF(Escenarios!$F$17&gt;0,10*Escenarios!$F$16*AL482,0)</f>
        <v>0</v>
      </c>
      <c r="AZ482" s="170">
        <f>IF(Escenarios!$F$17&gt;0,10*Escenarios!$F$16*AX482,0)</f>
        <v>0</v>
      </c>
      <c r="BA482" s="170">
        <f>IF(Escenarios!$F$17&gt;0,0.001*Observaciones!$F481*Escenarios!$F$17,0)</f>
        <v>0</v>
      </c>
      <c r="BB482" s="170">
        <f>IF(Escenarios!$F$17&gt;0,Observaciones!$K481,0)</f>
        <v>0</v>
      </c>
      <c r="BC482" s="170">
        <f>IF(Escenarios!$F$17&gt;0,MIN(0.0005*ETo!$M481*Escenarios!$F$17*(BG481/Constantes!$F$40)^(2/3),BG481+AY482+AZ482+BA482+BB482),0)</f>
        <v>0</v>
      </c>
      <c r="BD482" s="170">
        <f>IF(Escenarios!$F$17&gt;0,MIN(Constantes!$F$39*(BG481/Constantes!$F$40)^(2/3),BG481+AY482+AZ482+BA482+BB482-BC482),0)</f>
        <v>0</v>
      </c>
      <c r="BE482" s="170">
        <f>IF(Escenarios!$F$17&gt;0,MIN(Entradas!$F$113,BG481+AY482+AZ482+BA482+BB482-BC482-BD482),0)</f>
        <v>0</v>
      </c>
      <c r="BF482" s="170">
        <f>IF(Escenarios!$F$17&gt;0,MAX(0,BG481+AY482+AZ482+BA482+BB482-BC482-BD482-BE482-Constantes!$F$40),0)</f>
        <v>0</v>
      </c>
      <c r="BG482" s="170">
        <f t="shared" si="109"/>
        <v>0</v>
      </c>
      <c r="BH482" s="170">
        <f>(Escenarios!$F$16*AK482+0.1*BC482)/(Escenarios!$F$19)</f>
        <v>0.18386665625228646</v>
      </c>
      <c r="BI482" s="170">
        <f>IF(Escenarios!$F$17&gt;0,BF482/10/Escenarios!$F$19,AL482)</f>
        <v>0</v>
      </c>
      <c r="BJ482" s="170">
        <f>(Escenarios!$F$16*AT482+0.1*BD482)/(Escenarios!$F$19)</f>
        <v>0</v>
      </c>
      <c r="BK482" s="76">
        <f>BK481+(0.1*BD482)/(Escenarios!$F$19)-BL481</f>
        <v>48.75</v>
      </c>
      <c r="BL482" s="76">
        <f>MAX(0,(BK482-Constantes!$D$13)*(1-EXP(-Constantes!$D$23)))</f>
        <v>0</v>
      </c>
      <c r="BM482" s="76">
        <f t="shared" si="110"/>
        <v>1.1050044903674057</v>
      </c>
      <c r="BN482" s="76">
        <f t="shared" si="111"/>
        <v>1.105106223194587</v>
      </c>
      <c r="BO482" s="76">
        <f>0.0526*BI482*Observaciones!$F481^1.218</f>
        <v>0</v>
      </c>
      <c r="BP482" s="76">
        <f>BO482*Constantes!$F$51</f>
        <v>0</v>
      </c>
      <c r="BQ482" s="76">
        <f t="shared" si="112"/>
        <v>0</v>
      </c>
      <c r="BR482" s="40"/>
    </row>
    <row r="483" spans="2:70">
      <c r="B483" s="39"/>
      <c r="C483" s="75">
        <v>477</v>
      </c>
      <c r="D483" s="146">
        <f>ETo!$I482*((1-Constantes!$F$19)*ETo!$K482+ETo!$L482)</f>
        <v>3.4115271186057923</v>
      </c>
      <c r="E483" s="76">
        <f>MIN(D483*Constantes!$F$17,0.8*(N482+Observaciones!$F482-F483-M483-Constantes!$D$14))</f>
        <v>0.48271504466276127</v>
      </c>
      <c r="F483" s="76">
        <f>IF(Observaciones!$F482&gt;0.05*Constantes!$F$18,((Observaciones!$F482-0.05*Constantes!$F$18)^2)/(Observaciones!$F482+0.95*Constantes!$F$18),0)</f>
        <v>0</v>
      </c>
      <c r="G483" s="76">
        <f>IF(Escenarios!$F$11&gt;0,(F483*Escenarios!$F$16*10000)/1000,0)</f>
        <v>0</v>
      </c>
      <c r="H483" s="76">
        <f>IF(Escenarios!$F$11&gt;0,(Observaciones!$F482*Constantes!$F$29)/1000,0)</f>
        <v>0</v>
      </c>
      <c r="I483" s="76">
        <f>IF(Escenarios!$F$11&gt;0,(D483*Constantes!$F$29)/1000,0)</f>
        <v>0</v>
      </c>
      <c r="J483" s="76">
        <f>IF(Escenarios!$F$11&gt;0,MAX(0,G483+H483-I483),0)</f>
        <v>0</v>
      </c>
      <c r="K483" s="76">
        <f>IF(Escenarios!$F$11&gt;0,IF(J483&gt;Constantes!$F$30,1000*((J483-Constantes!$F$30)/(Escenarios!$F$16*10000)),0),F483)</f>
        <v>0</v>
      </c>
      <c r="L483" s="76">
        <f>IF(Escenarios!$F$11&gt;0,I483*1000/Escenarios!$F$16/10000+E483,E483)</f>
        <v>0.48271504466276127</v>
      </c>
      <c r="M483" s="76">
        <f>MAX(0,N482+Observaciones!$F482-K483-Constantes!$D$13)</f>
        <v>0</v>
      </c>
      <c r="N483" s="76">
        <f>N482+Observaciones!$F482-K483-L483-M483-O482</f>
        <v>11.370563155680257</v>
      </c>
      <c r="O483" s="76">
        <f>MAX(0,(N483-Constantes!$D$14)*(1-EXP(-Constantes!$D$22)))</f>
        <v>4.1068236788749032E-3</v>
      </c>
      <c r="P483" s="170">
        <f>P482+(Entradas!$F$83*M483-Q482)/(800*Entradas!$D$25)</f>
        <v>0</v>
      </c>
      <c r="Q483" s="170">
        <f>8000*Entradas!$D$26*P483/Constantes!$F$45</f>
        <v>0</v>
      </c>
      <c r="R483" s="170">
        <f>IF(Escenarios!$F$14&gt;0,K483*Escenarios!$F$13/Escenarios!$F$14,0)</f>
        <v>0</v>
      </c>
      <c r="S483" s="170">
        <f>IF(Escenarios!$F$14&gt;0,Q483*Escenarios!$F$13/Escenarios!$F$14,0)</f>
        <v>0</v>
      </c>
      <c r="T483" s="170">
        <f>IF(Escenarios!$F$14&gt;0,Observaciones!$I482,0)</f>
        <v>0</v>
      </c>
      <c r="U483" s="170">
        <f>IF(Escenarios!$F$14&gt;0,MAX(0,Constantes!$F$36/((Z482+R483+S483+T483+Observaciones!$F482)^2)+Entradas!$F$77),0)</f>
        <v>0</v>
      </c>
      <c r="V483" s="146">
        <f>IF(ETo!D482&gt;0,ETo!I482*((1-Entradas!$F$81)*ETo!K482+ETo!L482),0)</f>
        <v>3.0045861750225153</v>
      </c>
      <c r="W483" s="170">
        <f>IF(Escenarios!$F$14&gt;0,MIN(V483*1,0.8*(Z482+R483+S483+T483+Observaciones!$F482-U483-Constantes!$F$35)),0)</f>
        <v>0.48410020318816582</v>
      </c>
      <c r="X483" s="170">
        <f>IF(Escenarios!$F$14&gt;0,Observaciones!$J482,0)</f>
        <v>0</v>
      </c>
      <c r="Y483" s="170">
        <f>IF(Escenarios!$F$14&gt;0,MAX(0,Z482+R483+S483+T483+Observaciones!$F482-U483-W483-X483-Constantes!$F$33),0)</f>
        <v>0</v>
      </c>
      <c r="Z483" s="170">
        <f>Z482+R483+S483+T483+Observaciones!$F482-U483-W483-Y483</f>
        <v>41.371025050797044</v>
      </c>
      <c r="AA483" s="170">
        <f>IF(Escenarios!$F$14&gt;0,(Escenarios!$F$13*L483+Escenarios!$F$14*W483)/(Escenarios!$F$16),L483)</f>
        <v>0.4828812636858098</v>
      </c>
      <c r="AB483" s="170">
        <f>IF(Escenarios!$F$14&gt;0,(Escenarios!$F$14*Y483)/(Escenarios!$F$16),K483)</f>
        <v>0</v>
      </c>
      <c r="AC483" s="170">
        <f>IF(Escenarios!$F$14&gt;0,(Escenarios!$F$13*M483+Escenarios!$F$14*U483)/(Escenarios!$F$16),M483)</f>
        <v>0</v>
      </c>
      <c r="AD483" s="76">
        <f t="shared" si="99"/>
        <v>144.02463865088339</v>
      </c>
      <c r="AE483" s="76">
        <f>MAX(0,(AD483-Constantes!$D$13)*(1-EXP(-Constantes!$D$23)))</f>
        <v>0.93876370727810221</v>
      </c>
      <c r="AF483" s="76">
        <f>AB483+O483*Escenarios!$F$13/Escenarios!$F$16+AE483</f>
        <v>0.94237771211551213</v>
      </c>
      <c r="AG483" s="76">
        <f>IF(Entradas!$F$91&gt;0,IF(AF483-Escenarios!$F$38&lt;=0,0,IF(AF483-Escenarios!$F$38&gt;Escenarios!$F$37,Escenarios!$F$37,AF483-Escenarios!$F$38)),0)</f>
        <v>0</v>
      </c>
      <c r="AH483" s="76">
        <f>AG483*Entradas!$F$99</f>
        <v>0</v>
      </c>
      <c r="AI483" s="76">
        <f>IF(Entradas!$F$91&gt;0,D483*Entradas!$D$23/Escenarios!$F$16,0)</f>
        <v>0.163753301693078</v>
      </c>
      <c r="AJ483" s="76">
        <f>IF(Entradas!$F$91&gt;0,Entradas!$D$24*Entradas!$D$22/Escenarios!$F$16,0)</f>
        <v>0.12</v>
      </c>
      <c r="AK483" s="76">
        <f t="shared" si="100"/>
        <v>0.64663456537888786</v>
      </c>
      <c r="AL483" s="76">
        <f t="shared" si="101"/>
        <v>0</v>
      </c>
      <c r="AM483" s="76">
        <f t="shared" si="102"/>
        <v>0</v>
      </c>
      <c r="AN483" s="76">
        <f>MAX(0,O483*Escenarios!$F$13/Escenarios!$F$16-AM483)</f>
        <v>3.6140048374099149E-3</v>
      </c>
      <c r="AO483" s="76">
        <f>AM483+AN483-O483*Escenarios!$F$13/Escenarios!$F$16</f>
        <v>0</v>
      </c>
      <c r="AP483" s="76">
        <f t="shared" si="103"/>
        <v>0.93876370727810221</v>
      </c>
      <c r="AQ483" s="76">
        <f t="shared" si="104"/>
        <v>0</v>
      </c>
      <c r="AR483" s="76">
        <f t="shared" si="105"/>
        <v>0.94237771211551213</v>
      </c>
      <c r="AS483" s="76">
        <f t="shared" si="106"/>
        <v>0</v>
      </c>
      <c r="AT483" s="76">
        <f t="shared" si="107"/>
        <v>0</v>
      </c>
      <c r="AU483" s="76">
        <f t="shared" si="108"/>
        <v>58.857827104228626</v>
      </c>
      <c r="AV483" s="76">
        <f>MAX(0,(AU483-Constantes!$D$13)*(1-EXP(-Constantes!$D$24)))</f>
        <v>0.15450063458418714</v>
      </c>
      <c r="AW483" s="170">
        <f>AW482+(Entradas!$F$112*AT483-AX482)/(800*Entradas!$D$25)</f>
        <v>0</v>
      </c>
      <c r="AX483" s="170">
        <f>8000*Entradas!$D$26*AW483/Constantes!$F$45</f>
        <v>0</v>
      </c>
      <c r="AY483" s="170">
        <f>IF(Escenarios!$F$17&gt;0,10*Escenarios!$F$16*AL483,0)</f>
        <v>0</v>
      </c>
      <c r="AZ483" s="170">
        <f>IF(Escenarios!$F$17&gt;0,10*Escenarios!$F$16*AX483,0)</f>
        <v>0</v>
      </c>
      <c r="BA483" s="170">
        <f>IF(Escenarios!$F$17&gt;0,0.001*Observaciones!$F482*Escenarios!$F$17,0)</f>
        <v>0</v>
      </c>
      <c r="BB483" s="170">
        <f>IF(Escenarios!$F$17&gt;0,Observaciones!$K482,0)</f>
        <v>0</v>
      </c>
      <c r="BC483" s="170">
        <f>IF(Escenarios!$F$17&gt;0,MIN(0.0005*ETo!$M482*Escenarios!$F$17*(BG482/Constantes!$F$40)^(2/3),BG482+AY483+AZ483+BA483+BB483),0)</f>
        <v>0</v>
      </c>
      <c r="BD483" s="170">
        <f>IF(Escenarios!$F$17&gt;0,MIN(Constantes!$F$39*(BG482/Constantes!$F$40)^(2/3),BG482+AY483+AZ483+BA483+BB483-BC483),0)</f>
        <v>0</v>
      </c>
      <c r="BE483" s="170">
        <f>IF(Escenarios!$F$17&gt;0,MIN(Entradas!$F$113,BG482+AY483+AZ483+BA483+BB483-BC483-BD483),0)</f>
        <v>0</v>
      </c>
      <c r="BF483" s="170">
        <f>IF(Escenarios!$F$17&gt;0,MAX(0,BG482+AY483+AZ483+BA483+BB483-BC483-BD483-BE483-Constantes!$F$40),0)</f>
        <v>0</v>
      </c>
      <c r="BG483" s="170">
        <f t="shared" si="109"/>
        <v>0</v>
      </c>
      <c r="BH483" s="170">
        <f>(Escenarios!$F$16*AK483+0.1*BC483)/(Escenarios!$F$19)</f>
        <v>0.64663456537888786</v>
      </c>
      <c r="BI483" s="170">
        <f>IF(Escenarios!$F$17&gt;0,BF483/10/Escenarios!$F$19,AL483)</f>
        <v>0</v>
      </c>
      <c r="BJ483" s="170">
        <f>(Escenarios!$F$16*AT483+0.1*BD483)/(Escenarios!$F$19)</f>
        <v>0</v>
      </c>
      <c r="BK483" s="76">
        <f>BK482+(0.1*BD483)/(Escenarios!$F$19)-BL482</f>
        <v>48.75</v>
      </c>
      <c r="BL483" s="76">
        <f>MAX(0,(BK483-Constantes!$D$13)*(1-EXP(-Constantes!$D$23)))</f>
        <v>0</v>
      </c>
      <c r="BM483" s="76">
        <f t="shared" si="110"/>
        <v>1.0932643418622894</v>
      </c>
      <c r="BN483" s="76">
        <f t="shared" si="111"/>
        <v>1.0968783466996992</v>
      </c>
      <c r="BO483" s="76">
        <f>0.0526*BI483*Observaciones!$F482^1.218</f>
        <v>0</v>
      </c>
      <c r="BP483" s="76">
        <f>BO483*Constantes!$F$51</f>
        <v>0</v>
      </c>
      <c r="BQ483" s="76">
        <f t="shared" si="112"/>
        <v>0</v>
      </c>
      <c r="BR483" s="40"/>
    </row>
    <row r="484" spans="2:70">
      <c r="B484" s="39"/>
      <c r="C484" s="75">
        <v>478</v>
      </c>
      <c r="D484" s="146">
        <f>ETo!$I483*((1-Constantes!$F$19)*ETo!$K483+ETo!$L483)</f>
        <v>3.3218218376495581</v>
      </c>
      <c r="E484" s="76">
        <f>MIN(D484*Constantes!$F$17,0.8*(N483+Observaciones!$F483-F484-M484-Constantes!$D$14))</f>
        <v>9.645052454420551E-2</v>
      </c>
      <c r="F484" s="76">
        <f>IF(Observaciones!$F483&gt;0.05*Constantes!$F$18,((Observaciones!$F483-0.05*Constantes!$F$18)^2)/(Observaciones!$F483+0.95*Constantes!$F$18),0)</f>
        <v>0</v>
      </c>
      <c r="G484" s="76">
        <f>IF(Escenarios!$F$11&gt;0,(F484*Escenarios!$F$16*10000)/1000,0)</f>
        <v>0</v>
      </c>
      <c r="H484" s="76">
        <f>IF(Escenarios!$F$11&gt;0,(Observaciones!$F483*Constantes!$F$29)/1000,0)</f>
        <v>0</v>
      </c>
      <c r="I484" s="76">
        <f>IF(Escenarios!$F$11&gt;0,(D484*Constantes!$F$29)/1000,0)</f>
        <v>0</v>
      </c>
      <c r="J484" s="76">
        <f>IF(Escenarios!$F$11&gt;0,MAX(0,G484+H484-I484),0)</f>
        <v>0</v>
      </c>
      <c r="K484" s="76">
        <f>IF(Escenarios!$F$11&gt;0,IF(J484&gt;Constantes!$F$30,1000*((J484-Constantes!$F$30)/(Escenarios!$F$16*10000)),0),F484)</f>
        <v>0</v>
      </c>
      <c r="L484" s="76">
        <f>IF(Escenarios!$F$11&gt;0,I484*1000/Escenarios!$F$16/10000+E484,E484)</f>
        <v>9.645052454420551E-2</v>
      </c>
      <c r="M484" s="76">
        <f>MAX(0,N483+Observaciones!$F483-K484-Constantes!$D$13)</f>
        <v>0</v>
      </c>
      <c r="N484" s="76">
        <f>N483+Observaciones!$F483-K484-L484-M484-O483</f>
        <v>11.270005807457176</v>
      </c>
      <c r="O484" s="76">
        <f>MAX(0,(N484-Constantes!$D$14)*(1-EXP(-Constantes!$D$22)))</f>
        <v>6.8147124481411636E-4</v>
      </c>
      <c r="P484" s="170">
        <f>P483+(Entradas!$F$83*M484-Q483)/(800*Entradas!$D$25)</f>
        <v>0</v>
      </c>
      <c r="Q484" s="170">
        <f>8000*Entradas!$D$26*P484/Constantes!$F$45</f>
        <v>0</v>
      </c>
      <c r="R484" s="170">
        <f>IF(Escenarios!$F$14&gt;0,K484*Escenarios!$F$13/Escenarios!$F$14,0)</f>
        <v>0</v>
      </c>
      <c r="S484" s="170">
        <f>IF(Escenarios!$F$14&gt;0,Q484*Escenarios!$F$13/Escenarios!$F$14,0)</f>
        <v>0</v>
      </c>
      <c r="T484" s="170">
        <f>IF(Escenarios!$F$14&gt;0,Observaciones!$I483,0)</f>
        <v>0</v>
      </c>
      <c r="U484" s="170">
        <f>IF(Escenarios!$F$14&gt;0,MAX(0,Constantes!$F$36/((Z483+R484+S484+T484+Observaciones!$F483)^2)+Entradas!$F$77),0)</f>
        <v>0</v>
      </c>
      <c r="V484" s="146">
        <f>IF(ETo!D483&gt;0,ETo!I483*((1-Entradas!$F$81)*ETo!K483+ETo!L483),0)</f>
        <v>2.9241232371895163</v>
      </c>
      <c r="W484" s="170">
        <f>IF(Escenarios!$F$14&gt;0,MIN(V484*1,0.8*(Z483+R484+S484+T484+Observaciones!$F483-U484-Constantes!$F$35)),0)</f>
        <v>9.6820040637635441E-2</v>
      </c>
      <c r="X484" s="170">
        <f>IF(Escenarios!$F$14&gt;0,Observaciones!$J483,0)</f>
        <v>0</v>
      </c>
      <c r="Y484" s="170">
        <f>IF(Escenarios!$F$14&gt;0,MAX(0,Z483+R484+S484+T484+Observaciones!$F483-U484-W484-X484-Constantes!$F$33),0)</f>
        <v>0</v>
      </c>
      <c r="Z484" s="170">
        <f>Z483+R484+S484+T484+Observaciones!$F483-U484-W484-Y484</f>
        <v>41.274205010159406</v>
      </c>
      <c r="AA484" s="170">
        <f>IF(Escenarios!$F$14&gt;0,(Escenarios!$F$13*L484+Escenarios!$F$14*W484)/(Escenarios!$F$16),L484)</f>
        <v>9.6494866475417093E-2</v>
      </c>
      <c r="AB484" s="170">
        <f>IF(Escenarios!$F$14&gt;0,(Escenarios!$F$14*Y484)/(Escenarios!$F$16),K484)</f>
        <v>0</v>
      </c>
      <c r="AC484" s="170">
        <f>IF(Escenarios!$F$14&gt;0,(Escenarios!$F$13*M484+Escenarios!$F$14*U484)/(Escenarios!$F$16),M484)</f>
        <v>0</v>
      </c>
      <c r="AD484" s="76">
        <f t="shared" si="99"/>
        <v>143.08587494360529</v>
      </c>
      <c r="AE484" s="76">
        <f>MAX(0,(AD484-Constantes!$D$13)*(1-EXP(-Constantes!$D$23)))</f>
        <v>0.92951384487419642</v>
      </c>
      <c r="AF484" s="76">
        <f>AB484+O484*Escenarios!$F$13/Escenarios!$F$16+AE484</f>
        <v>0.93011353956963283</v>
      </c>
      <c r="AG484" s="76">
        <f>IF(Entradas!$F$91&gt;0,IF(AF484-Escenarios!$F$38&lt;=0,0,IF(AF484-Escenarios!$F$38&gt;Escenarios!$F$37,Escenarios!$F$37,AF484-Escenarios!$F$38)),0)</f>
        <v>0</v>
      </c>
      <c r="AH484" s="76">
        <f>AG484*Entradas!$F$99</f>
        <v>0</v>
      </c>
      <c r="AI484" s="76">
        <f>IF(Entradas!$F$91&gt;0,D484*Entradas!$D$23/Escenarios!$F$16,0)</f>
        <v>0.15944744820717879</v>
      </c>
      <c r="AJ484" s="76">
        <f>IF(Entradas!$F$91&gt;0,Entradas!$D$24*Entradas!$D$22/Escenarios!$F$16,0)</f>
        <v>0.12</v>
      </c>
      <c r="AK484" s="76">
        <f t="shared" si="100"/>
        <v>0.25594231468259587</v>
      </c>
      <c r="AL484" s="76">
        <f t="shared" si="101"/>
        <v>0</v>
      </c>
      <c r="AM484" s="76">
        <f t="shared" si="102"/>
        <v>0</v>
      </c>
      <c r="AN484" s="76">
        <f>MAX(0,O484*Escenarios!$F$13/Escenarios!$F$16-AM484)</f>
        <v>5.9969469543642243E-4</v>
      </c>
      <c r="AO484" s="76">
        <f>AM484+AN484-O484*Escenarios!$F$13/Escenarios!$F$16</f>
        <v>0</v>
      </c>
      <c r="AP484" s="76">
        <f t="shared" si="103"/>
        <v>0.92951384487419642</v>
      </c>
      <c r="AQ484" s="76">
        <f t="shared" si="104"/>
        <v>0</v>
      </c>
      <c r="AR484" s="76">
        <f t="shared" si="105"/>
        <v>0.93011353956963283</v>
      </c>
      <c r="AS484" s="76">
        <f t="shared" si="106"/>
        <v>0</v>
      </c>
      <c r="AT484" s="76">
        <f t="shared" si="107"/>
        <v>0</v>
      </c>
      <c r="AU484" s="76">
        <f t="shared" si="108"/>
        <v>58.703326469644438</v>
      </c>
      <c r="AV484" s="76">
        <f>MAX(0,(AU484-Constantes!$D$13)*(1-EXP(-Constantes!$D$24)))</f>
        <v>0.15213905421278065</v>
      </c>
      <c r="AW484" s="170">
        <f>AW483+(Entradas!$F$112*AT484-AX483)/(800*Entradas!$D$25)</f>
        <v>0</v>
      </c>
      <c r="AX484" s="170">
        <f>8000*Entradas!$D$26*AW484/Constantes!$F$45</f>
        <v>0</v>
      </c>
      <c r="AY484" s="170">
        <f>IF(Escenarios!$F$17&gt;0,10*Escenarios!$F$16*AL484,0)</f>
        <v>0</v>
      </c>
      <c r="AZ484" s="170">
        <f>IF(Escenarios!$F$17&gt;0,10*Escenarios!$F$16*AX484,0)</f>
        <v>0</v>
      </c>
      <c r="BA484" s="170">
        <f>IF(Escenarios!$F$17&gt;0,0.001*Observaciones!$F483*Escenarios!$F$17,0)</f>
        <v>0</v>
      </c>
      <c r="BB484" s="170">
        <f>IF(Escenarios!$F$17&gt;0,Observaciones!$K483,0)</f>
        <v>0</v>
      </c>
      <c r="BC484" s="170">
        <f>IF(Escenarios!$F$17&gt;0,MIN(0.0005*ETo!$M483*Escenarios!$F$17*(BG483/Constantes!$F$40)^(2/3),BG483+AY484+AZ484+BA484+BB484),0)</f>
        <v>0</v>
      </c>
      <c r="BD484" s="170">
        <f>IF(Escenarios!$F$17&gt;0,MIN(Constantes!$F$39*(BG483/Constantes!$F$40)^(2/3),BG483+AY484+AZ484+BA484+BB484-BC484),0)</f>
        <v>0</v>
      </c>
      <c r="BE484" s="170">
        <f>IF(Escenarios!$F$17&gt;0,MIN(Entradas!$F$113,BG483+AY484+AZ484+BA484+BB484-BC484-BD484),0)</f>
        <v>0</v>
      </c>
      <c r="BF484" s="170">
        <f>IF(Escenarios!$F$17&gt;0,MAX(0,BG483+AY484+AZ484+BA484+BB484-BC484-BD484-BE484-Constantes!$F$40),0)</f>
        <v>0</v>
      </c>
      <c r="BG484" s="170">
        <f t="shared" si="109"/>
        <v>0</v>
      </c>
      <c r="BH484" s="170">
        <f>(Escenarios!$F$16*AK484+0.1*BC484)/(Escenarios!$F$19)</f>
        <v>0.25594231468259587</v>
      </c>
      <c r="BI484" s="170">
        <f>IF(Escenarios!$F$17&gt;0,BF484/10/Escenarios!$F$19,AL484)</f>
        <v>0</v>
      </c>
      <c r="BJ484" s="170">
        <f>(Escenarios!$F$16*AT484+0.1*BD484)/(Escenarios!$F$19)</f>
        <v>0</v>
      </c>
      <c r="BK484" s="76">
        <f>BK483+(0.1*BD484)/(Escenarios!$F$19)-BL483</f>
        <v>48.75</v>
      </c>
      <c r="BL484" s="76">
        <f>MAX(0,(BK484-Constantes!$D$13)*(1-EXP(-Constantes!$D$23)))</f>
        <v>0</v>
      </c>
      <c r="BM484" s="76">
        <f t="shared" si="110"/>
        <v>1.0816528990869771</v>
      </c>
      <c r="BN484" s="76">
        <f t="shared" si="111"/>
        <v>1.0822525937824135</v>
      </c>
      <c r="BO484" s="76">
        <f>0.0526*BI484*Observaciones!$F483^1.218</f>
        <v>0</v>
      </c>
      <c r="BP484" s="76">
        <f>BO484*Constantes!$F$51</f>
        <v>0</v>
      </c>
      <c r="BQ484" s="76">
        <f t="shared" si="112"/>
        <v>0</v>
      </c>
      <c r="BR484" s="40"/>
    </row>
    <row r="485" spans="2:70">
      <c r="B485" s="39"/>
      <c r="C485" s="75">
        <v>479</v>
      </c>
      <c r="D485" s="146">
        <f>ETo!$I484*((1-Constantes!$F$19)*ETo!$K484+ETo!$L484)</f>
        <v>3.3820233984139847</v>
      </c>
      <c r="E485" s="76">
        <f>MIN(D485*Constantes!$F$17,0.8*(N484+Observaciones!$F484-F485-M485-Constantes!$D$14))</f>
        <v>1.600464596574085E-2</v>
      </c>
      <c r="F485" s="76">
        <f>IF(Observaciones!$F484&gt;0.05*Constantes!$F$18,((Observaciones!$F484-0.05*Constantes!$F$18)^2)/(Observaciones!$F484+0.95*Constantes!$F$18),0)</f>
        <v>0</v>
      </c>
      <c r="G485" s="76">
        <f>IF(Escenarios!$F$11&gt;0,(F485*Escenarios!$F$16*10000)/1000,0)</f>
        <v>0</v>
      </c>
      <c r="H485" s="76">
        <f>IF(Escenarios!$F$11&gt;0,(Observaciones!$F484*Constantes!$F$29)/1000,0)</f>
        <v>0</v>
      </c>
      <c r="I485" s="76">
        <f>IF(Escenarios!$F$11&gt;0,(D485*Constantes!$F$29)/1000,0)</f>
        <v>0</v>
      </c>
      <c r="J485" s="76">
        <f>IF(Escenarios!$F$11&gt;0,MAX(0,G485+H485-I485),0)</f>
        <v>0</v>
      </c>
      <c r="K485" s="76">
        <f>IF(Escenarios!$F$11&gt;0,IF(J485&gt;Constantes!$F$30,1000*((J485-Constantes!$F$30)/(Escenarios!$F$16*10000)),0),F485)</f>
        <v>0</v>
      </c>
      <c r="L485" s="76">
        <f>IF(Escenarios!$F$11&gt;0,I485*1000/Escenarios!$F$16/10000+E485,E485)</f>
        <v>1.600464596574085E-2</v>
      </c>
      <c r="M485" s="76">
        <f>MAX(0,N484+Observaciones!$F484-K485-Constantes!$D$13)</f>
        <v>0</v>
      </c>
      <c r="N485" s="76">
        <f>N484+Observaciones!$F484-K485-L485-M485-O484</f>
        <v>11.253319690246622</v>
      </c>
      <c r="O485" s="76">
        <f>MAX(0,(N485-Constantes!$D$14)*(1-EXP(-Constantes!$D$22)))</f>
        <v>1.1308083663232766E-4</v>
      </c>
      <c r="P485" s="170">
        <f>P484+(Entradas!$F$83*M485-Q484)/(800*Entradas!$D$25)</f>
        <v>0</v>
      </c>
      <c r="Q485" s="170">
        <f>8000*Entradas!$D$26*P485/Constantes!$F$45</f>
        <v>0</v>
      </c>
      <c r="R485" s="170">
        <f>IF(Escenarios!$F$14&gt;0,K485*Escenarios!$F$13/Escenarios!$F$14,0)</f>
        <v>0</v>
      </c>
      <c r="S485" s="170">
        <f>IF(Escenarios!$F$14&gt;0,Q485*Escenarios!$F$13/Escenarios!$F$14,0)</f>
        <v>0</v>
      </c>
      <c r="T485" s="170">
        <f>IF(Escenarios!$F$14&gt;0,Observaciones!$I484,0)</f>
        <v>0</v>
      </c>
      <c r="U485" s="170">
        <f>IF(Escenarios!$F$14&gt;0,MAX(0,Constantes!$F$36/((Z484+R485+S485+T485+Observaciones!$F484)^2)+Entradas!$F$77),0)</f>
        <v>0</v>
      </c>
      <c r="V485" s="146">
        <f>IF(ETo!D484&gt;0,ETo!I484*((1-Entradas!$F$81)*ETo!K484+ETo!L484),0)</f>
        <v>2.9773449557449227</v>
      </c>
      <c r="W485" s="170">
        <f>IF(Escenarios!$F$14&gt;0,MIN(V485*1,0.8*(Z484+R485+S485+T485+Observaciones!$F484-U485-Constantes!$F$35)),0)</f>
        <v>1.9364008127524812E-2</v>
      </c>
      <c r="X485" s="170">
        <f>IF(Escenarios!$F$14&gt;0,Observaciones!$J484,0)</f>
        <v>0</v>
      </c>
      <c r="Y485" s="170">
        <f>IF(Escenarios!$F$14&gt;0,MAX(0,Z484+R485+S485+T485+Observaciones!$F484-U485-W485-X485-Constantes!$F$33),0)</f>
        <v>0</v>
      </c>
      <c r="Z485" s="170">
        <f>Z484+R485+S485+T485+Observaciones!$F484-U485-W485-Y485</f>
        <v>41.254841002031881</v>
      </c>
      <c r="AA485" s="170">
        <f>IF(Escenarios!$F$14&gt;0,(Escenarios!$F$13*L485+Escenarios!$F$14*W485)/(Escenarios!$F$16),L485)</f>
        <v>1.6407769425154924E-2</v>
      </c>
      <c r="AB485" s="170">
        <f>IF(Escenarios!$F$14&gt;0,(Escenarios!$F$14*Y485)/(Escenarios!$F$16),K485)</f>
        <v>0</v>
      </c>
      <c r="AC485" s="170">
        <f>IF(Escenarios!$F$14&gt;0,(Escenarios!$F$13*M485+Escenarios!$F$14*U485)/(Escenarios!$F$16),M485)</f>
        <v>0</v>
      </c>
      <c r="AD485" s="76">
        <f t="shared" si="99"/>
        <v>142.15636109873108</v>
      </c>
      <c r="AE485" s="76">
        <f>MAX(0,(AD485-Constantes!$D$13)*(1-EXP(-Constantes!$D$23)))</f>
        <v>0.92035512356770166</v>
      </c>
      <c r="AF485" s="76">
        <f>AB485+O485*Escenarios!$F$13/Escenarios!$F$16+AE485</f>
        <v>0.92045463470393807</v>
      </c>
      <c r="AG485" s="76">
        <f>IF(Entradas!$F$91&gt;0,IF(AF485-Escenarios!$F$38&lt;=0,0,IF(AF485-Escenarios!$F$38&gt;Escenarios!$F$37,Escenarios!$F$37,AF485-Escenarios!$F$38)),0)</f>
        <v>0</v>
      </c>
      <c r="AH485" s="76">
        <f>AG485*Entradas!$F$99</f>
        <v>0</v>
      </c>
      <c r="AI485" s="76">
        <f>IF(Entradas!$F$91&gt;0,D485*Entradas!$D$23/Escenarios!$F$16,0)</f>
        <v>0.16233712312387127</v>
      </c>
      <c r="AJ485" s="76">
        <f>IF(Entradas!$F$91&gt;0,Entradas!$D$24*Entradas!$D$22/Escenarios!$F$16,0)</f>
        <v>0.12</v>
      </c>
      <c r="AK485" s="76">
        <f t="shared" si="100"/>
        <v>0.1787448925490262</v>
      </c>
      <c r="AL485" s="76">
        <f t="shared" si="101"/>
        <v>0</v>
      </c>
      <c r="AM485" s="76">
        <f t="shared" si="102"/>
        <v>0</v>
      </c>
      <c r="AN485" s="76">
        <f>MAX(0,O485*Escenarios!$F$13/Escenarios!$F$16-AM485)</f>
        <v>9.9511136236448341E-5</v>
      </c>
      <c r="AO485" s="76">
        <f>AM485+AN485-O485*Escenarios!$F$13/Escenarios!$F$16</f>
        <v>0</v>
      </c>
      <c r="AP485" s="76">
        <f t="shared" si="103"/>
        <v>0.92035512356770166</v>
      </c>
      <c r="AQ485" s="76">
        <f t="shared" si="104"/>
        <v>0</v>
      </c>
      <c r="AR485" s="76">
        <f t="shared" si="105"/>
        <v>0.92045463470393807</v>
      </c>
      <c r="AS485" s="76">
        <f t="shared" si="106"/>
        <v>0</v>
      </c>
      <c r="AT485" s="76">
        <f t="shared" si="107"/>
        <v>0</v>
      </c>
      <c r="AU485" s="76">
        <f t="shared" si="108"/>
        <v>58.551187415431656</v>
      </c>
      <c r="AV485" s="76">
        <f>MAX(0,(AU485-Constantes!$D$13)*(1-EXP(-Constantes!$D$24)))</f>
        <v>0.14981357118081631</v>
      </c>
      <c r="AW485" s="170">
        <f>AW484+(Entradas!$F$112*AT485-AX484)/(800*Entradas!$D$25)</f>
        <v>0</v>
      </c>
      <c r="AX485" s="170">
        <f>8000*Entradas!$D$26*AW485/Constantes!$F$45</f>
        <v>0</v>
      </c>
      <c r="AY485" s="170">
        <f>IF(Escenarios!$F$17&gt;0,10*Escenarios!$F$16*AL485,0)</f>
        <v>0</v>
      </c>
      <c r="AZ485" s="170">
        <f>IF(Escenarios!$F$17&gt;0,10*Escenarios!$F$16*AX485,0)</f>
        <v>0</v>
      </c>
      <c r="BA485" s="170">
        <f>IF(Escenarios!$F$17&gt;0,0.001*Observaciones!$F484*Escenarios!$F$17,0)</f>
        <v>0</v>
      </c>
      <c r="BB485" s="170">
        <f>IF(Escenarios!$F$17&gt;0,Observaciones!$K484,0)</f>
        <v>0</v>
      </c>
      <c r="BC485" s="170">
        <f>IF(Escenarios!$F$17&gt;0,MIN(0.0005*ETo!$M484*Escenarios!$F$17*(BG484/Constantes!$F$40)^(2/3),BG484+AY485+AZ485+BA485+BB485),0)</f>
        <v>0</v>
      </c>
      <c r="BD485" s="170">
        <f>IF(Escenarios!$F$17&gt;0,MIN(Constantes!$F$39*(BG484/Constantes!$F$40)^(2/3),BG484+AY485+AZ485+BA485+BB485-BC485),0)</f>
        <v>0</v>
      </c>
      <c r="BE485" s="170">
        <f>IF(Escenarios!$F$17&gt;0,MIN(Entradas!$F$113,BG484+AY485+AZ485+BA485+BB485-BC485-BD485),0)</f>
        <v>0</v>
      </c>
      <c r="BF485" s="170">
        <f>IF(Escenarios!$F$17&gt;0,MAX(0,BG484+AY485+AZ485+BA485+BB485-BC485-BD485-BE485-Constantes!$F$40),0)</f>
        <v>0</v>
      </c>
      <c r="BG485" s="170">
        <f t="shared" si="109"/>
        <v>0</v>
      </c>
      <c r="BH485" s="170">
        <f>(Escenarios!$F$16*AK485+0.1*BC485)/(Escenarios!$F$19)</f>
        <v>0.1787448925490262</v>
      </c>
      <c r="BI485" s="170">
        <f>IF(Escenarios!$F$17&gt;0,BF485/10/Escenarios!$F$19,AL485)</f>
        <v>0</v>
      </c>
      <c r="BJ485" s="170">
        <f>(Escenarios!$F$16*AT485+0.1*BD485)/(Escenarios!$F$19)</f>
        <v>0</v>
      </c>
      <c r="BK485" s="76">
        <f>BK484+(0.1*BD485)/(Escenarios!$F$19)-BL484</f>
        <v>48.75</v>
      </c>
      <c r="BL485" s="76">
        <f>MAX(0,(BK485-Constantes!$D$13)*(1-EXP(-Constantes!$D$23)))</f>
        <v>0</v>
      </c>
      <c r="BM485" s="76">
        <f t="shared" si="110"/>
        <v>1.0701686947485181</v>
      </c>
      <c r="BN485" s="76">
        <f t="shared" si="111"/>
        <v>1.0702682058847544</v>
      </c>
      <c r="BO485" s="76">
        <f>0.0526*BI485*Observaciones!$F484^1.218</f>
        <v>0</v>
      </c>
      <c r="BP485" s="76">
        <f>BO485*Constantes!$F$51</f>
        <v>0</v>
      </c>
      <c r="BQ485" s="76">
        <f t="shared" si="112"/>
        <v>0</v>
      </c>
      <c r="BR485" s="40"/>
    </row>
    <row r="486" spans="2:70">
      <c r="B486" s="39"/>
      <c r="C486" s="75">
        <v>480</v>
      </c>
      <c r="D486" s="146">
        <f>ETo!$I485*((1-Constantes!$F$19)*ETo!$K485+ETo!$L485)</f>
        <v>3.3412163336296405</v>
      </c>
      <c r="E486" s="76">
        <f>MIN(D486*Constantes!$F$17,0.8*(N485+Observaciones!$F485-F486-M486-Constantes!$D$14))</f>
        <v>2.6557521972975454E-3</v>
      </c>
      <c r="F486" s="76">
        <f>IF(Observaciones!$F485&gt;0.05*Constantes!$F$18,((Observaciones!$F485-0.05*Constantes!$F$18)^2)/(Observaciones!$F485+0.95*Constantes!$F$18),0)</f>
        <v>0</v>
      </c>
      <c r="G486" s="76">
        <f>IF(Escenarios!$F$11&gt;0,(F486*Escenarios!$F$16*10000)/1000,0)</f>
        <v>0</v>
      </c>
      <c r="H486" s="76">
        <f>IF(Escenarios!$F$11&gt;0,(Observaciones!$F485*Constantes!$F$29)/1000,0)</f>
        <v>0</v>
      </c>
      <c r="I486" s="76">
        <f>IF(Escenarios!$F$11&gt;0,(D486*Constantes!$F$29)/1000,0)</f>
        <v>0</v>
      </c>
      <c r="J486" s="76">
        <f>IF(Escenarios!$F$11&gt;0,MAX(0,G486+H486-I486),0)</f>
        <v>0</v>
      </c>
      <c r="K486" s="76">
        <f>IF(Escenarios!$F$11&gt;0,IF(J486&gt;Constantes!$F$30,1000*((J486-Constantes!$F$30)/(Escenarios!$F$16*10000)),0),F486)</f>
        <v>0</v>
      </c>
      <c r="L486" s="76">
        <f>IF(Escenarios!$F$11&gt;0,I486*1000/Escenarios!$F$16/10000+E486,E486)</f>
        <v>2.6557521972975454E-3</v>
      </c>
      <c r="M486" s="76">
        <f>MAX(0,N485+Observaciones!$F485-K486-Constantes!$D$13)</f>
        <v>0</v>
      </c>
      <c r="N486" s="76">
        <f>N485+Observaciones!$F485-K486-L486-M486-O485</f>
        <v>11.250550857212692</v>
      </c>
      <c r="O486" s="76">
        <f>MAX(0,(N486-Constantes!$D$14)*(1-EXP(-Constantes!$D$22)))</f>
        <v>1.8764218902531473E-5</v>
      </c>
      <c r="P486" s="170">
        <f>P485+(Entradas!$F$83*M486-Q485)/(800*Entradas!$D$25)</f>
        <v>0</v>
      </c>
      <c r="Q486" s="170">
        <f>8000*Entradas!$D$26*P486/Constantes!$F$45</f>
        <v>0</v>
      </c>
      <c r="R486" s="170">
        <f>IF(Escenarios!$F$14&gt;0,K486*Escenarios!$F$13/Escenarios!$F$14,0)</f>
        <v>0</v>
      </c>
      <c r="S486" s="170">
        <f>IF(Escenarios!$F$14&gt;0,Q486*Escenarios!$F$13/Escenarios!$F$14,0)</f>
        <v>0</v>
      </c>
      <c r="T486" s="170">
        <f>IF(Escenarios!$F$14&gt;0,Observaciones!$I485,0)</f>
        <v>0</v>
      </c>
      <c r="U486" s="170">
        <f>IF(Escenarios!$F$14&gt;0,MAX(0,Constantes!$F$36/((Z485+R486+S486+T486+Observaciones!$F485)^2)+Entradas!$F$77),0)</f>
        <v>0</v>
      </c>
      <c r="V486" s="146">
        <f>IF(ETo!D485&gt;0,ETo!I485*((1-Entradas!$F$81)*ETo!K485+ETo!L485),0)</f>
        <v>2.9404618385484489</v>
      </c>
      <c r="W486" s="170">
        <f>IF(Escenarios!$F$14&gt;0,MIN(V486*1,0.8*(Z485+R486+S486+T486+Observaciones!$F485-U486-Constantes!$F$35)),0)</f>
        <v>3.8728016255049624E-3</v>
      </c>
      <c r="X486" s="170">
        <f>IF(Escenarios!$F$14&gt;0,Observaciones!$J485,0)</f>
        <v>0</v>
      </c>
      <c r="Y486" s="170">
        <f>IF(Escenarios!$F$14&gt;0,MAX(0,Z485+R486+S486+T486+Observaciones!$F485-U486-W486-X486-Constantes!$F$33),0)</f>
        <v>0</v>
      </c>
      <c r="Z486" s="170">
        <f>Z485+R486+S486+T486+Observaciones!$F485-U486-W486-Y486</f>
        <v>41.250968200406376</v>
      </c>
      <c r="AA486" s="170">
        <f>IF(Escenarios!$F$14&gt;0,(Escenarios!$F$13*L486+Escenarios!$F$14*W486)/(Escenarios!$F$16),L486)</f>
        <v>2.8017981286824357E-3</v>
      </c>
      <c r="AB486" s="170">
        <f>IF(Escenarios!$F$14&gt;0,(Escenarios!$F$14*Y486)/(Escenarios!$F$16),K486)</f>
        <v>0</v>
      </c>
      <c r="AC486" s="170">
        <f>IF(Escenarios!$F$14&gt;0,(Escenarios!$F$13*M486+Escenarios!$F$14*U486)/(Escenarios!$F$16),M486)</f>
        <v>0</v>
      </c>
      <c r="AD486" s="76">
        <f t="shared" si="99"/>
        <v>141.23600597516338</v>
      </c>
      <c r="AE486" s="76">
        <f>MAX(0,(AD486-Constantes!$D$13)*(1-EXP(-Constantes!$D$23)))</f>
        <v>0.91128664532367731</v>
      </c>
      <c r="AF486" s="76">
        <f>AB486+O486*Escenarios!$F$13/Escenarios!$F$16+AE486</f>
        <v>0.91130315783631155</v>
      </c>
      <c r="AG486" s="76">
        <f>IF(Entradas!$F$91&gt;0,IF(AF486-Escenarios!$F$38&lt;=0,0,IF(AF486-Escenarios!$F$38&gt;Escenarios!$F$37,Escenarios!$F$37,AF486-Escenarios!$F$38)),0)</f>
        <v>0</v>
      </c>
      <c r="AH486" s="76">
        <f>AG486*Entradas!$F$99</f>
        <v>0</v>
      </c>
      <c r="AI486" s="76">
        <f>IF(Entradas!$F$91&gt;0,D486*Entradas!$D$23/Escenarios!$F$16,0)</f>
        <v>0.16037838401422275</v>
      </c>
      <c r="AJ486" s="76">
        <f>IF(Entradas!$F$91&gt;0,Entradas!$D$24*Entradas!$D$22/Escenarios!$F$16,0)</f>
        <v>0.12</v>
      </c>
      <c r="AK486" s="76">
        <f t="shared" si="100"/>
        <v>0.16318018214290519</v>
      </c>
      <c r="AL486" s="76">
        <f t="shared" si="101"/>
        <v>0</v>
      </c>
      <c r="AM486" s="76">
        <f t="shared" si="102"/>
        <v>0</v>
      </c>
      <c r="AN486" s="76">
        <f>MAX(0,O486*Escenarios!$F$13/Escenarios!$F$16-AM486)</f>
        <v>1.6512512634227694E-5</v>
      </c>
      <c r="AO486" s="76">
        <f>AM486+AN486-O486*Escenarios!$F$13/Escenarios!$F$16</f>
        <v>0</v>
      </c>
      <c r="AP486" s="76">
        <f t="shared" si="103"/>
        <v>0.91128664532367731</v>
      </c>
      <c r="AQ486" s="76">
        <f t="shared" si="104"/>
        <v>0</v>
      </c>
      <c r="AR486" s="76">
        <f t="shared" si="105"/>
        <v>0.91130315783631155</v>
      </c>
      <c r="AS486" s="76">
        <f t="shared" si="106"/>
        <v>0</v>
      </c>
      <c r="AT486" s="76">
        <f t="shared" si="107"/>
        <v>0</v>
      </c>
      <c r="AU486" s="76">
        <f t="shared" si="108"/>
        <v>58.401373844250841</v>
      </c>
      <c r="AV486" s="76">
        <f>MAX(0,(AU486-Constantes!$D$13)*(1-EXP(-Constantes!$D$24)))</f>
        <v>0.1475236337315424</v>
      </c>
      <c r="AW486" s="170">
        <f>AW485+(Entradas!$F$112*AT486-AX485)/(800*Entradas!$D$25)</f>
        <v>0</v>
      </c>
      <c r="AX486" s="170">
        <f>8000*Entradas!$D$26*AW486/Constantes!$F$45</f>
        <v>0</v>
      </c>
      <c r="AY486" s="170">
        <f>IF(Escenarios!$F$17&gt;0,10*Escenarios!$F$16*AL486,0)</f>
        <v>0</v>
      </c>
      <c r="AZ486" s="170">
        <f>IF(Escenarios!$F$17&gt;0,10*Escenarios!$F$16*AX486,0)</f>
        <v>0</v>
      </c>
      <c r="BA486" s="170">
        <f>IF(Escenarios!$F$17&gt;0,0.001*Observaciones!$F485*Escenarios!$F$17,0)</f>
        <v>0</v>
      </c>
      <c r="BB486" s="170">
        <f>IF(Escenarios!$F$17&gt;0,Observaciones!$K485,0)</f>
        <v>0</v>
      </c>
      <c r="BC486" s="170">
        <f>IF(Escenarios!$F$17&gt;0,MIN(0.0005*ETo!$M485*Escenarios!$F$17*(BG485/Constantes!$F$40)^(2/3),BG485+AY486+AZ486+BA486+BB486),0)</f>
        <v>0</v>
      </c>
      <c r="BD486" s="170">
        <f>IF(Escenarios!$F$17&gt;0,MIN(Constantes!$F$39*(BG485/Constantes!$F$40)^(2/3),BG485+AY486+AZ486+BA486+BB486-BC486),0)</f>
        <v>0</v>
      </c>
      <c r="BE486" s="170">
        <f>IF(Escenarios!$F$17&gt;0,MIN(Entradas!$F$113,BG485+AY486+AZ486+BA486+BB486-BC486-BD486),0)</f>
        <v>0</v>
      </c>
      <c r="BF486" s="170">
        <f>IF(Escenarios!$F$17&gt;0,MAX(0,BG485+AY486+AZ486+BA486+BB486-BC486-BD486-BE486-Constantes!$F$40),0)</f>
        <v>0</v>
      </c>
      <c r="BG486" s="170">
        <f t="shared" si="109"/>
        <v>0</v>
      </c>
      <c r="BH486" s="170">
        <f>(Escenarios!$F$16*AK486+0.1*BC486)/(Escenarios!$F$19)</f>
        <v>0.16318018214290519</v>
      </c>
      <c r="BI486" s="170">
        <f>IF(Escenarios!$F$17&gt;0,BF486/10/Escenarios!$F$19,AL486)</f>
        <v>0</v>
      </c>
      <c r="BJ486" s="170">
        <f>(Escenarios!$F$16*AT486+0.1*BD486)/(Escenarios!$F$19)</f>
        <v>0</v>
      </c>
      <c r="BK486" s="76">
        <f>BK485+(0.1*BD486)/(Escenarios!$F$19)-BL485</f>
        <v>48.75</v>
      </c>
      <c r="BL486" s="76">
        <f>MAX(0,(BK486-Constantes!$D$13)*(1-EXP(-Constantes!$D$23)))</f>
        <v>0</v>
      </c>
      <c r="BM486" s="76">
        <f t="shared" si="110"/>
        <v>1.0588102790552196</v>
      </c>
      <c r="BN486" s="76">
        <f t="shared" si="111"/>
        <v>1.058826791567854</v>
      </c>
      <c r="BO486" s="76">
        <f>0.0526*BI486*Observaciones!$F485^1.218</f>
        <v>0</v>
      </c>
      <c r="BP486" s="76">
        <f>BO486*Constantes!$F$51</f>
        <v>0</v>
      </c>
      <c r="BQ486" s="76">
        <f t="shared" si="112"/>
        <v>0</v>
      </c>
      <c r="BR486" s="40"/>
    </row>
    <row r="487" spans="2:70">
      <c r="B487" s="39"/>
      <c r="C487" s="75">
        <v>481</v>
      </c>
      <c r="D487" s="146">
        <f>ETo!$I486*((1-Constantes!$F$19)*ETo!$K486+ETo!$L486)</f>
        <v>3.3450328125745212</v>
      </c>
      <c r="E487" s="76">
        <f>MIN(D487*Constantes!$F$17,0.8*(N486+Observaciones!$F486-F487-M487-Constantes!$D$14))</f>
        <v>1.9077115425993052</v>
      </c>
      <c r="F487" s="76">
        <f>IF(Observaciones!$F486&gt;0.05*Constantes!$F$18,((Observaciones!$F486-0.05*Constantes!$F$18)^2)/(Observaciones!$F486+0.95*Constantes!$F$18),0)</f>
        <v>1.0501999663621345E-2</v>
      </c>
      <c r="G487" s="76">
        <f>IF(Escenarios!$F$11&gt;0,(F487*Escenarios!$F$16*10000)/1000,0)</f>
        <v>0</v>
      </c>
      <c r="H487" s="76">
        <f>IF(Escenarios!$F$11&gt;0,(Observaciones!$F486*Constantes!$F$29)/1000,0)</f>
        <v>0</v>
      </c>
      <c r="I487" s="76">
        <f>IF(Escenarios!$F$11&gt;0,(D487*Constantes!$F$29)/1000,0)</f>
        <v>0</v>
      </c>
      <c r="J487" s="76">
        <f>IF(Escenarios!$F$11&gt;0,MAX(0,G487+H487-I487),0)</f>
        <v>0</v>
      </c>
      <c r="K487" s="76">
        <f>IF(Escenarios!$F$11&gt;0,IF(J487&gt;Constantes!$F$30,1000*((J487-Constantes!$F$30)/(Escenarios!$F$16*10000)),0),F487)</f>
        <v>1.0501999663621345E-2</v>
      </c>
      <c r="L487" s="76">
        <f>IF(Escenarios!$F$11&gt;0,I487*1000/Escenarios!$F$16/10000+E487,E487)</f>
        <v>1.9077115425993052</v>
      </c>
      <c r="M487" s="76">
        <f>MAX(0,N486+Observaciones!$F486-K487-Constantes!$D$13)</f>
        <v>0</v>
      </c>
      <c r="N487" s="76">
        <f>N486+Observaciones!$F486-K487-L487-M487-O486</f>
        <v>21.832318550730864</v>
      </c>
      <c r="O487" s="76">
        <f>MAX(0,(N487-Constantes!$D$14)*(1-EXP(-Constantes!$D$22)))</f>
        <v>0.36047261832460076</v>
      </c>
      <c r="P487" s="170">
        <f>P486+(Entradas!$F$83*M487-Q486)/(800*Entradas!$D$25)</f>
        <v>0</v>
      </c>
      <c r="Q487" s="170">
        <f>8000*Entradas!$D$26*P487/Constantes!$F$45</f>
        <v>0</v>
      </c>
      <c r="R487" s="170">
        <f>IF(Escenarios!$F$14&gt;0,K487*Escenarios!$F$13/Escenarios!$F$14,0)</f>
        <v>7.7014664199889865E-2</v>
      </c>
      <c r="S487" s="170">
        <f>IF(Escenarios!$F$14&gt;0,Q487*Escenarios!$F$13/Escenarios!$F$14,0)</f>
        <v>0</v>
      </c>
      <c r="T487" s="170">
        <f>IF(Escenarios!$F$14&gt;0,Observaciones!$I486,0)</f>
        <v>0</v>
      </c>
      <c r="U487" s="170">
        <f>IF(Escenarios!$F$14&gt;0,MAX(0,Constantes!$F$36/((Z486+R487+S487+T487+Observaciones!$F486)^2)+Entradas!$F$77),0)</f>
        <v>0</v>
      </c>
      <c r="V487" s="146">
        <f>IF(ETo!D486&gt;0,ETo!I486*((1-Entradas!$F$81)*ETo!K486+ETo!L486),0)</f>
        <v>2.9434164202352102</v>
      </c>
      <c r="W487" s="170">
        <f>IF(Escenarios!$F$14&gt;0,MIN(V487*1,0.8*(Z486+R487+S487+T487+Observaciones!$F486-U487-Constantes!$F$35)),0)</f>
        <v>2.9434164202352102</v>
      </c>
      <c r="X487" s="170">
        <f>IF(Escenarios!$F$14&gt;0,Observaciones!$J486,0)</f>
        <v>0</v>
      </c>
      <c r="Y487" s="170">
        <f>IF(Escenarios!$F$14&gt;0,MAX(0,Z486+R487+S487+T487+Observaciones!$F486-U487-W487-X487-Constantes!$F$33),0)</f>
        <v>0</v>
      </c>
      <c r="Z487" s="170">
        <f>Z486+R487+S487+T487+Observaciones!$F486-U487-W487-Y487</f>
        <v>50.884566444371053</v>
      </c>
      <c r="AA487" s="170">
        <f>IF(Escenarios!$F$14&gt;0,(Escenarios!$F$13*L487+Escenarios!$F$14*W487)/(Escenarios!$F$16),L487)</f>
        <v>2.031996127915614</v>
      </c>
      <c r="AB487" s="170">
        <f>IF(Escenarios!$F$14&gt;0,(Escenarios!$F$14*Y487)/(Escenarios!$F$16),K487)</f>
        <v>0</v>
      </c>
      <c r="AC487" s="170">
        <f>IF(Escenarios!$F$14&gt;0,(Escenarios!$F$13*M487+Escenarios!$F$14*U487)/(Escenarios!$F$16),M487)</f>
        <v>0</v>
      </c>
      <c r="AD487" s="76">
        <f t="shared" si="99"/>
        <v>140.3247193298397</v>
      </c>
      <c r="AE487" s="76">
        <f>MAX(0,(AD487-Constantes!$D$13)*(1-EXP(-Constantes!$D$23)))</f>
        <v>0.90230752095573452</v>
      </c>
      <c r="AF487" s="76">
        <f>AB487+O487*Escenarios!$F$13/Escenarios!$F$16+AE487</f>
        <v>1.2195234250813831</v>
      </c>
      <c r="AG487" s="76">
        <f>IF(Entradas!$F$91&gt;0,IF(AF487-Escenarios!$F$38&lt;=0,0,IF(AF487-Escenarios!$F$38&gt;Escenarios!$F$37,Escenarios!$F$37,AF487-Escenarios!$F$38)),0)</f>
        <v>0.18272342508138317</v>
      </c>
      <c r="AH487" s="76">
        <f>AG487*Entradas!$F$99</f>
        <v>0</v>
      </c>
      <c r="AI487" s="76">
        <f>IF(Entradas!$F$91&gt;0,D487*Entradas!$D$23/Escenarios!$F$16,0)</f>
        <v>0.16056157500357701</v>
      </c>
      <c r="AJ487" s="76">
        <f>IF(Entradas!$F$91&gt;0,Entradas!$D$24*Entradas!$D$22/Escenarios!$F$16,0)</f>
        <v>0.12</v>
      </c>
      <c r="AK487" s="76">
        <f t="shared" si="100"/>
        <v>2.1925577029191912</v>
      </c>
      <c r="AL487" s="76">
        <f t="shared" si="101"/>
        <v>0</v>
      </c>
      <c r="AM487" s="76">
        <f t="shared" si="102"/>
        <v>0.18272342508138317</v>
      </c>
      <c r="AN487" s="76">
        <f>MAX(0,O487*Escenarios!$F$13/Escenarios!$F$16-AM487)</f>
        <v>0.13449247904426548</v>
      </c>
      <c r="AO487" s="76">
        <f>AM487+AN487-O487*Escenarios!$F$13/Escenarios!$F$16</f>
        <v>0</v>
      </c>
      <c r="AP487" s="76">
        <f t="shared" si="103"/>
        <v>0.90230752095573452</v>
      </c>
      <c r="AQ487" s="76">
        <f t="shared" si="104"/>
        <v>0</v>
      </c>
      <c r="AR487" s="76">
        <f t="shared" si="105"/>
        <v>1.0367999999999999</v>
      </c>
      <c r="AS487" s="76">
        <f t="shared" si="106"/>
        <v>0</v>
      </c>
      <c r="AT487" s="76">
        <f t="shared" si="107"/>
        <v>0</v>
      </c>
      <c r="AU487" s="76">
        <f t="shared" si="108"/>
        <v>58.253850210519296</v>
      </c>
      <c r="AV487" s="76">
        <f>MAX(0,(AU487-Constantes!$D$13)*(1-EXP(-Constantes!$D$24)))</f>
        <v>0.14526869854194524</v>
      </c>
      <c r="AW487" s="170">
        <f>AW486+(Entradas!$F$112*AT487-AX486)/(800*Entradas!$D$25)</f>
        <v>0</v>
      </c>
      <c r="AX487" s="170">
        <f>8000*Entradas!$D$26*AW487/Constantes!$F$45</f>
        <v>0</v>
      </c>
      <c r="AY487" s="170">
        <f>IF(Escenarios!$F$17&gt;0,10*Escenarios!$F$16*AL487,0)</f>
        <v>0</v>
      </c>
      <c r="AZ487" s="170">
        <f>IF(Escenarios!$F$17&gt;0,10*Escenarios!$F$16*AX487,0)</f>
        <v>0</v>
      </c>
      <c r="BA487" s="170">
        <f>IF(Escenarios!$F$17&gt;0,0.001*Observaciones!$F486*Escenarios!$F$17,0)</f>
        <v>0</v>
      </c>
      <c r="BB487" s="170">
        <f>IF(Escenarios!$F$17&gt;0,Observaciones!$K486,0)</f>
        <v>0</v>
      </c>
      <c r="BC487" s="170">
        <f>IF(Escenarios!$F$17&gt;0,MIN(0.0005*ETo!$M486*Escenarios!$F$17*(BG486/Constantes!$F$40)^(2/3),BG486+AY487+AZ487+BA487+BB487),0)</f>
        <v>0</v>
      </c>
      <c r="BD487" s="170">
        <f>IF(Escenarios!$F$17&gt;0,MIN(Constantes!$F$39*(BG486/Constantes!$F$40)^(2/3),BG486+AY487+AZ487+BA487+BB487-BC487),0)</f>
        <v>0</v>
      </c>
      <c r="BE487" s="170">
        <f>IF(Escenarios!$F$17&gt;0,MIN(Entradas!$F$113,BG486+AY487+AZ487+BA487+BB487-BC487-BD487),0)</f>
        <v>0</v>
      </c>
      <c r="BF487" s="170">
        <f>IF(Escenarios!$F$17&gt;0,MAX(0,BG486+AY487+AZ487+BA487+BB487-BC487-BD487-BE487-Constantes!$F$40),0)</f>
        <v>0</v>
      </c>
      <c r="BG487" s="170">
        <f t="shared" si="109"/>
        <v>0</v>
      </c>
      <c r="BH487" s="170">
        <f>(Escenarios!$F$16*AK487+0.1*BC487)/(Escenarios!$F$19)</f>
        <v>2.1925577029191912</v>
      </c>
      <c r="BI487" s="170">
        <f>IF(Escenarios!$F$17&gt;0,BF487/10/Escenarios!$F$19,AL487)</f>
        <v>0</v>
      </c>
      <c r="BJ487" s="170">
        <f>(Escenarios!$F$16*AT487+0.1*BD487)/(Escenarios!$F$19)</f>
        <v>0</v>
      </c>
      <c r="BK487" s="76">
        <f>BK486+(0.1*BD487)/(Escenarios!$F$19)-BL486</f>
        <v>48.75</v>
      </c>
      <c r="BL487" s="76">
        <f>MAX(0,(BK487-Constantes!$D$13)*(1-EXP(-Constantes!$D$23)))</f>
        <v>0</v>
      </c>
      <c r="BM487" s="76">
        <f t="shared" si="110"/>
        <v>1.0475762194976799</v>
      </c>
      <c r="BN487" s="76">
        <f t="shared" si="111"/>
        <v>1.1820686985419453</v>
      </c>
      <c r="BO487" s="76">
        <f>0.0526*BI487*Observaciones!$F486^1.218</f>
        <v>0</v>
      </c>
      <c r="BP487" s="76">
        <f>BO487*Constantes!$F$51</f>
        <v>0</v>
      </c>
      <c r="BQ487" s="76">
        <f t="shared" si="112"/>
        <v>0</v>
      </c>
      <c r="BR487" s="40"/>
    </row>
    <row r="488" spans="2:70">
      <c r="B488" s="39"/>
      <c r="C488" s="75">
        <v>482</v>
      </c>
      <c r="D488" s="146">
        <f>ETo!$I487*((1-Constantes!$F$19)*ETo!$K487+ETo!$L487)</f>
        <v>3.4893928325084014</v>
      </c>
      <c r="E488" s="76">
        <f>MIN(D488*Constantes!$F$17,0.8*(N487+Observaciones!$F487-F488-M488-Constantes!$D$14))</f>
        <v>1.9900417592962734</v>
      </c>
      <c r="F488" s="76">
        <f>IF(Observaciones!$F487&gt;0.05*Constantes!$F$18,((Observaciones!$F487-0.05*Constantes!$F$18)^2)/(Observaciones!$F487+0.95*Constantes!$F$18),0)</f>
        <v>0</v>
      </c>
      <c r="G488" s="76">
        <f>IF(Escenarios!$F$11&gt;0,(F488*Escenarios!$F$16*10000)/1000,0)</f>
        <v>0</v>
      </c>
      <c r="H488" s="76">
        <f>IF(Escenarios!$F$11&gt;0,(Observaciones!$F487*Constantes!$F$29)/1000,0)</f>
        <v>0</v>
      </c>
      <c r="I488" s="76">
        <f>IF(Escenarios!$F$11&gt;0,(D488*Constantes!$F$29)/1000,0)</f>
        <v>0</v>
      </c>
      <c r="J488" s="76">
        <f>IF(Escenarios!$F$11&gt;0,MAX(0,G488+H488-I488),0)</f>
        <v>0</v>
      </c>
      <c r="K488" s="76">
        <f>IF(Escenarios!$F$11&gt;0,IF(J488&gt;Constantes!$F$30,1000*((J488-Constantes!$F$30)/(Escenarios!$F$16*10000)),0),F488)</f>
        <v>0</v>
      </c>
      <c r="L488" s="76">
        <f>IF(Escenarios!$F$11&gt;0,I488*1000/Escenarios!$F$16/10000+E488,E488)</f>
        <v>1.9900417592962734</v>
      </c>
      <c r="M488" s="76">
        <f>MAX(0,N487+Observaciones!$F487-K488-Constantes!$D$13)</f>
        <v>0</v>
      </c>
      <c r="N488" s="76">
        <f>N487+Observaciones!$F487-K488-L488-M488-O487</f>
        <v>19.481804173109992</v>
      </c>
      <c r="O488" s="76">
        <f>MAX(0,(N488-Constantes!$D$14)*(1-EXP(-Constantes!$D$22)))</f>
        <v>0.28040546970790214</v>
      </c>
      <c r="P488" s="170">
        <f>P487+(Entradas!$F$83*M488-Q487)/(800*Entradas!$D$25)</f>
        <v>0</v>
      </c>
      <c r="Q488" s="170">
        <f>8000*Entradas!$D$26*P488/Constantes!$F$45</f>
        <v>0</v>
      </c>
      <c r="R488" s="170">
        <f>IF(Escenarios!$F$14&gt;0,K488*Escenarios!$F$13/Escenarios!$F$14,0)</f>
        <v>0</v>
      </c>
      <c r="S488" s="170">
        <f>IF(Escenarios!$F$14&gt;0,Q488*Escenarios!$F$13/Escenarios!$F$14,0)</f>
        <v>0</v>
      </c>
      <c r="T488" s="170">
        <f>IF(Escenarios!$F$14&gt;0,Observaciones!$I487,0)</f>
        <v>0</v>
      </c>
      <c r="U488" s="170">
        <f>IF(Escenarios!$F$14&gt;0,MAX(0,Constantes!$F$36/((Z487+R488+S488+T488+Observaciones!$F487)^2)+Entradas!$F$77),0)</f>
        <v>0</v>
      </c>
      <c r="V488" s="146">
        <f>IF(ETo!D487&gt;0,ETo!I487*((1-Entradas!$F$81)*ETo!K487+ETo!L487),0)</f>
        <v>3.072443370408438</v>
      </c>
      <c r="W488" s="170">
        <f>IF(Escenarios!$F$14&gt;0,MIN(V488*1,0.8*(Z487+R488+S488+T488+Observaciones!$F487-U488-Constantes!$F$35)),0)</f>
        <v>3.072443370408438</v>
      </c>
      <c r="X488" s="170">
        <f>IF(Escenarios!$F$14&gt;0,Observaciones!$J487,0)</f>
        <v>0</v>
      </c>
      <c r="Y488" s="170">
        <f>IF(Escenarios!$F$14&gt;0,MAX(0,Z487+R488+S488+T488+Observaciones!$F487-U488-W488-X488-Constantes!$F$33),0)</f>
        <v>0</v>
      </c>
      <c r="Z488" s="170">
        <f>Z487+R488+S488+T488+Observaciones!$F487-U488-W488-Y488</f>
        <v>47.812123073962617</v>
      </c>
      <c r="AA488" s="170">
        <f>IF(Escenarios!$F$14&gt;0,(Escenarios!$F$13*L488+Escenarios!$F$14*W488)/(Escenarios!$F$16),L488)</f>
        <v>2.1199299526297333</v>
      </c>
      <c r="AB488" s="170">
        <f>IF(Escenarios!$F$14&gt;0,(Escenarios!$F$14*Y488)/(Escenarios!$F$16),K488)</f>
        <v>0</v>
      </c>
      <c r="AC488" s="170">
        <f>IF(Escenarios!$F$14&gt;0,(Escenarios!$F$13*M488+Escenarios!$F$14*U488)/(Escenarios!$F$16),M488)</f>
        <v>0</v>
      </c>
      <c r="AD488" s="76">
        <f t="shared" si="99"/>
        <v>139.42241180888396</v>
      </c>
      <c r="AE488" s="76">
        <f>MAX(0,(AD488-Constantes!$D$13)*(1-EXP(-Constantes!$D$23)))</f>
        <v>0.89341687003885006</v>
      </c>
      <c r="AF488" s="76">
        <f>AB488+O488*Escenarios!$F$13/Escenarios!$F$16+AE488</f>
        <v>1.1401736833818039</v>
      </c>
      <c r="AG488" s="76">
        <f>IF(Entradas!$F$91&gt;0,IF(AF488-Escenarios!$F$38&lt;=0,0,IF(AF488-Escenarios!$F$38&gt;Escenarios!$F$37,Escenarios!$F$37,AF488-Escenarios!$F$38)),0)</f>
        <v>0.10337368338180397</v>
      </c>
      <c r="AH488" s="76">
        <f>AG488*Entradas!$F$99</f>
        <v>0</v>
      </c>
      <c r="AI488" s="76">
        <f>IF(Entradas!$F$91&gt;0,D488*Entradas!$D$23/Escenarios!$F$16,0)</f>
        <v>0.16749085596040328</v>
      </c>
      <c r="AJ488" s="76">
        <f>IF(Entradas!$F$91&gt;0,Entradas!$D$24*Entradas!$D$22/Escenarios!$F$16,0)</f>
        <v>0.12</v>
      </c>
      <c r="AK488" s="76">
        <f t="shared" si="100"/>
        <v>2.2874208085901366</v>
      </c>
      <c r="AL488" s="76">
        <f t="shared" si="101"/>
        <v>0</v>
      </c>
      <c r="AM488" s="76">
        <f t="shared" si="102"/>
        <v>0.10337368338180397</v>
      </c>
      <c r="AN488" s="76">
        <f>MAX(0,O488*Escenarios!$F$13/Escenarios!$F$16-AM488)</f>
        <v>0.14338312996114991</v>
      </c>
      <c r="AO488" s="76">
        <f>AM488+AN488-O488*Escenarios!$F$13/Escenarios!$F$16</f>
        <v>0</v>
      </c>
      <c r="AP488" s="76">
        <f t="shared" si="103"/>
        <v>0.89341687003885006</v>
      </c>
      <c r="AQ488" s="76">
        <f t="shared" si="104"/>
        <v>0</v>
      </c>
      <c r="AR488" s="76">
        <f t="shared" si="105"/>
        <v>1.0367999999999999</v>
      </c>
      <c r="AS488" s="76">
        <f t="shared" si="106"/>
        <v>0</v>
      </c>
      <c r="AT488" s="76">
        <f t="shared" si="107"/>
        <v>0</v>
      </c>
      <c r="AU488" s="76">
        <f t="shared" si="108"/>
        <v>58.108581511977349</v>
      </c>
      <c r="AV488" s="76">
        <f>MAX(0,(AU488-Constantes!$D$13)*(1-EXP(-Constantes!$D$24)))</f>
        <v>0.14304823059383795</v>
      </c>
      <c r="AW488" s="170">
        <f>AW487+(Entradas!$F$112*AT488-AX487)/(800*Entradas!$D$25)</f>
        <v>0</v>
      </c>
      <c r="AX488" s="170">
        <f>8000*Entradas!$D$26*AW488/Constantes!$F$45</f>
        <v>0</v>
      </c>
      <c r="AY488" s="170">
        <f>IF(Escenarios!$F$17&gt;0,10*Escenarios!$F$16*AL488,0)</f>
        <v>0</v>
      </c>
      <c r="AZ488" s="170">
        <f>IF(Escenarios!$F$17&gt;0,10*Escenarios!$F$16*AX488,0)</f>
        <v>0</v>
      </c>
      <c r="BA488" s="170">
        <f>IF(Escenarios!$F$17&gt;0,0.001*Observaciones!$F487*Escenarios!$F$17,0)</f>
        <v>0</v>
      </c>
      <c r="BB488" s="170">
        <f>IF(Escenarios!$F$17&gt;0,Observaciones!$K487,0)</f>
        <v>0</v>
      </c>
      <c r="BC488" s="170">
        <f>IF(Escenarios!$F$17&gt;0,MIN(0.0005*ETo!$M487*Escenarios!$F$17*(BG487/Constantes!$F$40)^(2/3),BG487+AY488+AZ488+BA488+BB488),0)</f>
        <v>0</v>
      </c>
      <c r="BD488" s="170">
        <f>IF(Escenarios!$F$17&gt;0,MIN(Constantes!$F$39*(BG487/Constantes!$F$40)^(2/3),BG487+AY488+AZ488+BA488+BB488-BC488),0)</f>
        <v>0</v>
      </c>
      <c r="BE488" s="170">
        <f>IF(Escenarios!$F$17&gt;0,MIN(Entradas!$F$113,BG487+AY488+AZ488+BA488+BB488-BC488-BD488),0)</f>
        <v>0</v>
      </c>
      <c r="BF488" s="170">
        <f>IF(Escenarios!$F$17&gt;0,MAX(0,BG487+AY488+AZ488+BA488+BB488-BC488-BD488-BE488-Constantes!$F$40),0)</f>
        <v>0</v>
      </c>
      <c r="BG488" s="170">
        <f t="shared" si="109"/>
        <v>0</v>
      </c>
      <c r="BH488" s="170">
        <f>(Escenarios!$F$16*AK488+0.1*BC488)/(Escenarios!$F$19)</f>
        <v>2.2874208085901371</v>
      </c>
      <c r="BI488" s="170">
        <f>IF(Escenarios!$F$17&gt;0,BF488/10/Escenarios!$F$19,AL488)</f>
        <v>0</v>
      </c>
      <c r="BJ488" s="170">
        <f>(Escenarios!$F$16*AT488+0.1*BD488)/(Escenarios!$F$19)</f>
        <v>0</v>
      </c>
      <c r="BK488" s="76">
        <f>BK487+(0.1*BD488)/(Escenarios!$F$19)-BL487</f>
        <v>48.75</v>
      </c>
      <c r="BL488" s="76">
        <f>MAX(0,(BK488-Constantes!$D$13)*(1-EXP(-Constantes!$D$23)))</f>
        <v>0</v>
      </c>
      <c r="BM488" s="76">
        <f t="shared" si="110"/>
        <v>1.0364651006326879</v>
      </c>
      <c r="BN488" s="76">
        <f t="shared" si="111"/>
        <v>1.1798482305938378</v>
      </c>
      <c r="BO488" s="76">
        <f>0.0526*BI488*Observaciones!$F487^1.218</f>
        <v>0</v>
      </c>
      <c r="BP488" s="76">
        <f>BO488*Constantes!$F$51</f>
        <v>0</v>
      </c>
      <c r="BQ488" s="76">
        <f t="shared" si="112"/>
        <v>0</v>
      </c>
      <c r="BR488" s="40"/>
    </row>
    <row r="489" spans="2:70">
      <c r="B489" s="39"/>
      <c r="C489" s="75">
        <v>483</v>
      </c>
      <c r="D489" s="146">
        <f>ETo!$I488*((1-Constantes!$F$19)*ETo!$K488+ETo!$L488)</f>
        <v>3.3301885580467236</v>
      </c>
      <c r="E489" s="76">
        <f>MIN(D489*Constantes!$F$17,0.8*(N488+Observaciones!$F488-F489-M489-Constantes!$D$14))</f>
        <v>1.899245689709161</v>
      </c>
      <c r="F489" s="76">
        <f>IF(Observaciones!$F488&gt;0.05*Constantes!$F$18,((Observaciones!$F488-0.05*Constantes!$F$18)^2)/(Observaciones!$F488+0.95*Constantes!$F$18),0)</f>
        <v>0</v>
      </c>
      <c r="G489" s="76">
        <f>IF(Escenarios!$F$11&gt;0,(F489*Escenarios!$F$16*10000)/1000,0)</f>
        <v>0</v>
      </c>
      <c r="H489" s="76">
        <f>IF(Escenarios!$F$11&gt;0,(Observaciones!$F488*Constantes!$F$29)/1000,0)</f>
        <v>0</v>
      </c>
      <c r="I489" s="76">
        <f>IF(Escenarios!$F$11&gt;0,(D489*Constantes!$F$29)/1000,0)</f>
        <v>0</v>
      </c>
      <c r="J489" s="76">
        <f>IF(Escenarios!$F$11&gt;0,MAX(0,G489+H489-I489),0)</f>
        <v>0</v>
      </c>
      <c r="K489" s="76">
        <f>IF(Escenarios!$F$11&gt;0,IF(J489&gt;Constantes!$F$30,1000*((J489-Constantes!$F$30)/(Escenarios!$F$16*10000)),0),F489)</f>
        <v>0</v>
      </c>
      <c r="L489" s="76">
        <f>IF(Escenarios!$F$11&gt;0,I489*1000/Escenarios!$F$16/10000+E489,E489)</f>
        <v>1.899245689709161</v>
      </c>
      <c r="M489" s="76">
        <f>MAX(0,N488+Observaciones!$F488-K489-Constantes!$D$13)</f>
        <v>0</v>
      </c>
      <c r="N489" s="76">
        <f>N488+Observaciones!$F488-K489-L489-M489-O488</f>
        <v>17.30215301369293</v>
      </c>
      <c r="O489" s="76">
        <f>MAX(0,(N489-Constantes!$D$14)*(1-EXP(-Constantes!$D$22)))</f>
        <v>0.2061585495549404</v>
      </c>
      <c r="P489" s="170">
        <f>P488+(Entradas!$F$83*M489-Q488)/(800*Entradas!$D$25)</f>
        <v>0</v>
      </c>
      <c r="Q489" s="170">
        <f>8000*Entradas!$D$26*P489/Constantes!$F$45</f>
        <v>0</v>
      </c>
      <c r="R489" s="170">
        <f>IF(Escenarios!$F$14&gt;0,K489*Escenarios!$F$13/Escenarios!$F$14,0)</f>
        <v>0</v>
      </c>
      <c r="S489" s="170">
        <f>IF(Escenarios!$F$14&gt;0,Q489*Escenarios!$F$13/Escenarios!$F$14,0)</f>
        <v>0</v>
      </c>
      <c r="T489" s="170">
        <f>IF(Escenarios!$F$14&gt;0,Observaciones!$I488,0)</f>
        <v>0</v>
      </c>
      <c r="U489" s="170">
        <f>IF(Escenarios!$F$14&gt;0,MAX(0,Constantes!$F$36/((Z488+R489+S489+T489+Observaciones!$F488)^2)+Entradas!$F$77),0)</f>
        <v>0</v>
      </c>
      <c r="V489" s="146">
        <f>IF(ETo!D488&gt;0,ETo!I488*((1-Entradas!$F$81)*ETo!K488+ETo!L488),0)</f>
        <v>2.9292748670581599</v>
      </c>
      <c r="W489" s="170">
        <f>IF(Escenarios!$F$14&gt;0,MIN(V489*1,0.8*(Z488+R489+S489+T489+Observaciones!$F488-U489-Constantes!$F$35)),0)</f>
        <v>2.9292748670581599</v>
      </c>
      <c r="X489" s="170">
        <f>IF(Escenarios!$F$14&gt;0,Observaciones!$J488,0)</f>
        <v>0</v>
      </c>
      <c r="Y489" s="170">
        <f>IF(Escenarios!$F$14&gt;0,MAX(0,Z488+R489+S489+T489+Observaciones!$F488-U489-W489-X489-Constantes!$F$33),0)</f>
        <v>0</v>
      </c>
      <c r="Z489" s="170">
        <f>Z488+R489+S489+T489+Observaciones!$F488-U489-W489-Y489</f>
        <v>44.882848206904455</v>
      </c>
      <c r="AA489" s="170">
        <f>IF(Escenarios!$F$14&gt;0,(Escenarios!$F$13*L489+Escenarios!$F$14*W489)/(Escenarios!$F$16),L489)</f>
        <v>2.0228491909910407</v>
      </c>
      <c r="AB489" s="170">
        <f>IF(Escenarios!$F$14&gt;0,(Escenarios!$F$14*Y489)/(Escenarios!$F$16),K489)</f>
        <v>0</v>
      </c>
      <c r="AC489" s="170">
        <f>IF(Escenarios!$F$14&gt;0,(Escenarios!$F$13*M489+Escenarios!$F$14*U489)/(Escenarios!$F$16),M489)</f>
        <v>0</v>
      </c>
      <c r="AD489" s="76">
        <f t="shared" si="99"/>
        <v>138.5289949388451</v>
      </c>
      <c r="AE489" s="76">
        <f>MAX(0,(AD489-Constantes!$D$13)*(1-EXP(-Constantes!$D$23)))</f>
        <v>0.88461382082303752</v>
      </c>
      <c r="AF489" s="76">
        <f>AB489+O489*Escenarios!$F$13/Escenarios!$F$16+AE489</f>
        <v>1.0660333444313852</v>
      </c>
      <c r="AG489" s="76">
        <f>IF(Entradas!$F$91&gt;0,IF(AF489-Escenarios!$F$38&lt;=0,0,IF(AF489-Escenarios!$F$38&gt;Escenarios!$F$37,Escenarios!$F$37,AF489-Escenarios!$F$38)),0)</f>
        <v>2.9233344431385255E-2</v>
      </c>
      <c r="AH489" s="76">
        <f>AG489*Entradas!$F$99</f>
        <v>0</v>
      </c>
      <c r="AI489" s="76">
        <f>IF(Entradas!$F$91&gt;0,D489*Entradas!$D$23/Escenarios!$F$16,0)</f>
        <v>0.15984905078624273</v>
      </c>
      <c r="AJ489" s="76">
        <f>IF(Entradas!$F$91&gt;0,Entradas!$D$24*Entradas!$D$22/Escenarios!$F$16,0)</f>
        <v>0.12</v>
      </c>
      <c r="AK489" s="76">
        <f t="shared" si="100"/>
        <v>2.1826982417772833</v>
      </c>
      <c r="AL489" s="76">
        <f t="shared" si="101"/>
        <v>0</v>
      </c>
      <c r="AM489" s="76">
        <f t="shared" si="102"/>
        <v>2.9233344431385255E-2</v>
      </c>
      <c r="AN489" s="76">
        <f>MAX(0,O489*Escenarios!$F$13/Escenarios!$F$16-AM489)</f>
        <v>0.15218617917696231</v>
      </c>
      <c r="AO489" s="76">
        <f>AM489+AN489-O489*Escenarios!$F$13/Escenarios!$F$16</f>
        <v>0</v>
      </c>
      <c r="AP489" s="76">
        <f t="shared" si="103"/>
        <v>0.88461382082303752</v>
      </c>
      <c r="AQ489" s="76">
        <f t="shared" si="104"/>
        <v>0</v>
      </c>
      <c r="AR489" s="76">
        <f t="shared" si="105"/>
        <v>1.0367999999999999</v>
      </c>
      <c r="AS489" s="76">
        <f t="shared" si="106"/>
        <v>0</v>
      </c>
      <c r="AT489" s="76">
        <f t="shared" si="107"/>
        <v>0</v>
      </c>
      <c r="AU489" s="76">
        <f t="shared" si="108"/>
        <v>57.965533281383507</v>
      </c>
      <c r="AV489" s="76">
        <f>MAX(0,(AU489-Constantes!$D$13)*(1-EXP(-Constantes!$D$24)))</f>
        <v>0.14086170304691864</v>
      </c>
      <c r="AW489" s="170">
        <f>AW488+(Entradas!$F$112*AT489-AX488)/(800*Entradas!$D$25)</f>
        <v>0</v>
      </c>
      <c r="AX489" s="170">
        <f>8000*Entradas!$D$26*AW489/Constantes!$F$45</f>
        <v>0</v>
      </c>
      <c r="AY489" s="170">
        <f>IF(Escenarios!$F$17&gt;0,10*Escenarios!$F$16*AL489,0)</f>
        <v>0</v>
      </c>
      <c r="AZ489" s="170">
        <f>IF(Escenarios!$F$17&gt;0,10*Escenarios!$F$16*AX489,0)</f>
        <v>0</v>
      </c>
      <c r="BA489" s="170">
        <f>IF(Escenarios!$F$17&gt;0,0.001*Observaciones!$F488*Escenarios!$F$17,0)</f>
        <v>0</v>
      </c>
      <c r="BB489" s="170">
        <f>IF(Escenarios!$F$17&gt;0,Observaciones!$K488,0)</f>
        <v>0</v>
      </c>
      <c r="BC489" s="170">
        <f>IF(Escenarios!$F$17&gt;0,MIN(0.0005*ETo!$M488*Escenarios!$F$17*(BG488/Constantes!$F$40)^(2/3),BG488+AY489+AZ489+BA489+BB489),0)</f>
        <v>0</v>
      </c>
      <c r="BD489" s="170">
        <f>IF(Escenarios!$F$17&gt;0,MIN(Constantes!$F$39*(BG488/Constantes!$F$40)^(2/3),BG488+AY489+AZ489+BA489+BB489-BC489),0)</f>
        <v>0</v>
      </c>
      <c r="BE489" s="170">
        <f>IF(Escenarios!$F$17&gt;0,MIN(Entradas!$F$113,BG488+AY489+AZ489+BA489+BB489-BC489-BD489),0)</f>
        <v>0</v>
      </c>
      <c r="BF489" s="170">
        <f>IF(Escenarios!$F$17&gt;0,MAX(0,BG488+AY489+AZ489+BA489+BB489-BC489-BD489-BE489-Constantes!$F$40),0)</f>
        <v>0</v>
      </c>
      <c r="BG489" s="170">
        <f t="shared" si="109"/>
        <v>0</v>
      </c>
      <c r="BH489" s="170">
        <f>(Escenarios!$F$16*AK489+0.1*BC489)/(Escenarios!$F$19)</f>
        <v>2.1826982417772833</v>
      </c>
      <c r="BI489" s="170">
        <f>IF(Escenarios!$F$17&gt;0,BF489/10/Escenarios!$F$19,AL489)</f>
        <v>0</v>
      </c>
      <c r="BJ489" s="170">
        <f>(Escenarios!$F$16*AT489+0.1*BD489)/(Escenarios!$F$19)</f>
        <v>0</v>
      </c>
      <c r="BK489" s="76">
        <f>BK488+(0.1*BD489)/(Escenarios!$F$19)-BL488</f>
        <v>48.75</v>
      </c>
      <c r="BL489" s="76">
        <f>MAX(0,(BK489-Constantes!$D$13)*(1-EXP(-Constantes!$D$23)))</f>
        <v>0</v>
      </c>
      <c r="BM489" s="76">
        <f t="shared" si="110"/>
        <v>1.0254755238699562</v>
      </c>
      <c r="BN489" s="76">
        <f t="shared" si="111"/>
        <v>1.1776617030469185</v>
      </c>
      <c r="BO489" s="76">
        <f>0.0526*BI489*Observaciones!$F488^1.218</f>
        <v>0</v>
      </c>
      <c r="BP489" s="76">
        <f>BO489*Constantes!$F$51</f>
        <v>0</v>
      </c>
      <c r="BQ489" s="76">
        <f t="shared" si="112"/>
        <v>0</v>
      </c>
      <c r="BR489" s="40"/>
    </row>
    <row r="490" spans="2:70">
      <c r="B490" s="39"/>
      <c r="C490" s="75">
        <v>484</v>
      </c>
      <c r="D490" s="146">
        <f>ETo!$I489*((1-Constantes!$F$19)*ETo!$K489+ETo!$L489)</f>
        <v>3.4326942328039203</v>
      </c>
      <c r="E490" s="76">
        <f>MIN(D490*Constantes!$F$17,0.8*(N489+Observaciones!$F489-F490-M490-Constantes!$D$14))</f>
        <v>1.9577058812448389</v>
      </c>
      <c r="F490" s="76">
        <f>IF(Observaciones!$F489&gt;0.05*Constantes!$F$18,((Observaciones!$F489-0.05*Constantes!$F$18)^2)/(Observaciones!$F489+0.95*Constantes!$F$18),0)</f>
        <v>0</v>
      </c>
      <c r="G490" s="76">
        <f>IF(Escenarios!$F$11&gt;0,(F490*Escenarios!$F$16*10000)/1000,0)</f>
        <v>0</v>
      </c>
      <c r="H490" s="76">
        <f>IF(Escenarios!$F$11&gt;0,(Observaciones!$F489*Constantes!$F$29)/1000,0)</f>
        <v>0</v>
      </c>
      <c r="I490" s="76">
        <f>IF(Escenarios!$F$11&gt;0,(D490*Constantes!$F$29)/1000,0)</f>
        <v>0</v>
      </c>
      <c r="J490" s="76">
        <f>IF(Escenarios!$F$11&gt;0,MAX(0,G490+H490-I490),0)</f>
        <v>0</v>
      </c>
      <c r="K490" s="76">
        <f>IF(Escenarios!$F$11&gt;0,IF(J490&gt;Constantes!$F$30,1000*((J490-Constantes!$F$30)/(Escenarios!$F$16*10000)),0),F490)</f>
        <v>0</v>
      </c>
      <c r="L490" s="76">
        <f>IF(Escenarios!$F$11&gt;0,I490*1000/Escenarios!$F$16/10000+E490,E490)</f>
        <v>1.9577058812448389</v>
      </c>
      <c r="M490" s="76">
        <f>MAX(0,N489+Observaciones!$F489-K490-Constantes!$D$13)</f>
        <v>0</v>
      </c>
      <c r="N490" s="76">
        <f>N489+Observaciones!$F489-K490-L490-M490-O489</f>
        <v>15.13828858289315</v>
      </c>
      <c r="O490" s="76">
        <f>MAX(0,(N490-Constantes!$D$14)*(1-EXP(-Constantes!$D$22)))</f>
        <v>0.13244938333295048</v>
      </c>
      <c r="P490" s="170">
        <f>P489+(Entradas!$F$83*M490-Q489)/(800*Entradas!$D$25)</f>
        <v>0</v>
      </c>
      <c r="Q490" s="170">
        <f>8000*Entradas!$D$26*P490/Constantes!$F$45</f>
        <v>0</v>
      </c>
      <c r="R490" s="170">
        <f>IF(Escenarios!$F$14&gt;0,K490*Escenarios!$F$13/Escenarios!$F$14,0)</f>
        <v>0</v>
      </c>
      <c r="S490" s="170">
        <f>IF(Escenarios!$F$14&gt;0,Q490*Escenarios!$F$13/Escenarios!$F$14,0)</f>
        <v>0</v>
      </c>
      <c r="T490" s="170">
        <f>IF(Escenarios!$F$14&gt;0,Observaciones!$I489,0)</f>
        <v>0</v>
      </c>
      <c r="U490" s="170">
        <f>IF(Escenarios!$F$14&gt;0,MAX(0,Constantes!$F$36/((Z489+R490+S490+T490+Observaciones!$F489)^2)+Entradas!$F$77),0)</f>
        <v>0</v>
      </c>
      <c r="V490" s="146">
        <f>IF(ETo!D489&gt;0,ETo!I489*((1-Entradas!$F$81)*ETo!K489+ETo!L489),0)</f>
        <v>3.0207663102393405</v>
      </c>
      <c r="W490" s="170">
        <f>IF(Escenarios!$F$14&gt;0,MIN(V490*1,0.8*(Z489+R490+S490+T490+Observaciones!$F489-U490-Constantes!$F$35)),0)</f>
        <v>2.9062785655235643</v>
      </c>
      <c r="X490" s="170">
        <f>IF(Escenarios!$F$14&gt;0,Observaciones!$J489,0)</f>
        <v>0</v>
      </c>
      <c r="Y490" s="170">
        <f>IF(Escenarios!$F$14&gt;0,MAX(0,Z489+R490+S490+T490+Observaciones!$F489-U490-W490-X490-Constantes!$F$33),0)</f>
        <v>0</v>
      </c>
      <c r="Z490" s="170">
        <f>Z489+R490+S490+T490+Observaciones!$F489-U490-W490-Y490</f>
        <v>41.976569641380891</v>
      </c>
      <c r="AA490" s="170">
        <f>IF(Escenarios!$F$14&gt;0,(Escenarios!$F$13*L490+Escenarios!$F$14*W490)/(Escenarios!$F$16),L490)</f>
        <v>2.0715346033582858</v>
      </c>
      <c r="AB490" s="170">
        <f>IF(Escenarios!$F$14&gt;0,(Escenarios!$F$14*Y490)/(Escenarios!$F$16),K490)</f>
        <v>0</v>
      </c>
      <c r="AC490" s="170">
        <f>IF(Escenarios!$F$14&gt;0,(Escenarios!$F$13*M490+Escenarios!$F$14*U490)/(Escenarios!$F$16),M490)</f>
        <v>0</v>
      </c>
      <c r="AD490" s="76">
        <f t="shared" si="99"/>
        <v>137.64438111802207</v>
      </c>
      <c r="AE490" s="76">
        <f>MAX(0,(AD490-Constantes!$D$13)*(1-EXP(-Constantes!$D$23)))</f>
        <v>0.87589751014787154</v>
      </c>
      <c r="AF490" s="76">
        <f>AB490+O490*Escenarios!$F$13/Escenarios!$F$16+AE490</f>
        <v>0.99245296748086798</v>
      </c>
      <c r="AG490" s="76">
        <f>IF(Entradas!$F$91&gt;0,IF(AF490-Escenarios!$F$38&lt;=0,0,IF(AF490-Escenarios!$F$38&gt;Escenarios!$F$37,Escenarios!$F$37,AF490-Escenarios!$F$38)),0)</f>
        <v>0</v>
      </c>
      <c r="AH490" s="76">
        <f>AG490*Entradas!$F$99</f>
        <v>0</v>
      </c>
      <c r="AI490" s="76">
        <f>IF(Entradas!$F$91&gt;0,D490*Entradas!$D$23/Escenarios!$F$16,0)</f>
        <v>0.16476932317458817</v>
      </c>
      <c r="AJ490" s="76">
        <f>IF(Entradas!$F$91&gt;0,Entradas!$D$24*Entradas!$D$22/Escenarios!$F$16,0)</f>
        <v>0.12</v>
      </c>
      <c r="AK490" s="76">
        <f t="shared" si="100"/>
        <v>2.2363039265328739</v>
      </c>
      <c r="AL490" s="76">
        <f t="shared" si="101"/>
        <v>0</v>
      </c>
      <c r="AM490" s="76">
        <f t="shared" si="102"/>
        <v>0</v>
      </c>
      <c r="AN490" s="76">
        <f>MAX(0,O490*Escenarios!$F$13/Escenarios!$F$16-AM490)</f>
        <v>0.11655545733299642</v>
      </c>
      <c r="AO490" s="76">
        <f>AM490+AN490-O490*Escenarios!$F$13/Escenarios!$F$16</f>
        <v>0</v>
      </c>
      <c r="AP490" s="76">
        <f t="shared" si="103"/>
        <v>0.87589751014787154</v>
      </c>
      <c r="AQ490" s="76">
        <f t="shared" si="104"/>
        <v>0</v>
      </c>
      <c r="AR490" s="76">
        <f t="shared" si="105"/>
        <v>0.99245296748086798</v>
      </c>
      <c r="AS490" s="76">
        <f t="shared" si="106"/>
        <v>0</v>
      </c>
      <c r="AT490" s="76">
        <f t="shared" si="107"/>
        <v>0</v>
      </c>
      <c r="AU490" s="76">
        <f t="shared" si="108"/>
        <v>57.824671578336591</v>
      </c>
      <c r="AV490" s="76">
        <f>MAX(0,(AU490-Constantes!$D$13)*(1-EXP(-Constantes!$D$24)))</f>
        <v>0.13870859711376973</v>
      </c>
      <c r="AW490" s="170">
        <f>AW489+(Entradas!$F$112*AT490-AX489)/(800*Entradas!$D$25)</f>
        <v>0</v>
      </c>
      <c r="AX490" s="170">
        <f>8000*Entradas!$D$26*AW490/Constantes!$F$45</f>
        <v>0</v>
      </c>
      <c r="AY490" s="170">
        <f>IF(Escenarios!$F$17&gt;0,10*Escenarios!$F$16*AL490,0)</f>
        <v>0</v>
      </c>
      <c r="AZ490" s="170">
        <f>IF(Escenarios!$F$17&gt;0,10*Escenarios!$F$16*AX490,0)</f>
        <v>0</v>
      </c>
      <c r="BA490" s="170">
        <f>IF(Escenarios!$F$17&gt;0,0.001*Observaciones!$F489*Escenarios!$F$17,0)</f>
        <v>0</v>
      </c>
      <c r="BB490" s="170">
        <f>IF(Escenarios!$F$17&gt;0,Observaciones!$K489,0)</f>
        <v>0</v>
      </c>
      <c r="BC490" s="170">
        <f>IF(Escenarios!$F$17&gt;0,MIN(0.0005*ETo!$M489*Escenarios!$F$17*(BG489/Constantes!$F$40)^(2/3),BG489+AY490+AZ490+BA490+BB490),0)</f>
        <v>0</v>
      </c>
      <c r="BD490" s="170">
        <f>IF(Escenarios!$F$17&gt;0,MIN(Constantes!$F$39*(BG489/Constantes!$F$40)^(2/3),BG489+AY490+AZ490+BA490+BB490-BC490),0)</f>
        <v>0</v>
      </c>
      <c r="BE490" s="170">
        <f>IF(Escenarios!$F$17&gt;0,MIN(Entradas!$F$113,BG489+AY490+AZ490+BA490+BB490-BC490-BD490),0)</f>
        <v>0</v>
      </c>
      <c r="BF490" s="170">
        <f>IF(Escenarios!$F$17&gt;0,MAX(0,BG489+AY490+AZ490+BA490+BB490-BC490-BD490-BE490-Constantes!$F$40),0)</f>
        <v>0</v>
      </c>
      <c r="BG490" s="170">
        <f t="shared" si="109"/>
        <v>0</v>
      </c>
      <c r="BH490" s="170">
        <f>(Escenarios!$F$16*AK490+0.1*BC490)/(Escenarios!$F$19)</f>
        <v>2.2363039265328739</v>
      </c>
      <c r="BI490" s="170">
        <f>IF(Escenarios!$F$17&gt;0,BF490/10/Escenarios!$F$19,AL490)</f>
        <v>0</v>
      </c>
      <c r="BJ490" s="170">
        <f>(Escenarios!$F$16*AT490+0.1*BD490)/(Escenarios!$F$19)</f>
        <v>0</v>
      </c>
      <c r="BK490" s="76">
        <f>BK489+(0.1*BD490)/(Escenarios!$F$19)-BL489</f>
        <v>48.75</v>
      </c>
      <c r="BL490" s="76">
        <f>MAX(0,(BK490-Constantes!$D$13)*(1-EXP(-Constantes!$D$23)))</f>
        <v>0</v>
      </c>
      <c r="BM490" s="76">
        <f t="shared" si="110"/>
        <v>1.0146061072616412</v>
      </c>
      <c r="BN490" s="76">
        <f t="shared" si="111"/>
        <v>1.1311615645946378</v>
      </c>
      <c r="BO490" s="76">
        <f>0.0526*BI490*Observaciones!$F489^1.218</f>
        <v>0</v>
      </c>
      <c r="BP490" s="76">
        <f>BO490*Constantes!$F$51</f>
        <v>0</v>
      </c>
      <c r="BQ490" s="76">
        <f t="shared" si="112"/>
        <v>0</v>
      </c>
      <c r="BR490" s="40"/>
    </row>
    <row r="491" spans="2:70">
      <c r="B491" s="39"/>
      <c r="C491" s="75">
        <v>485</v>
      </c>
      <c r="D491" s="146">
        <f>ETo!$I490*((1-Constantes!$F$19)*ETo!$K490+ETo!$L490)</f>
        <v>3.3224612402572977</v>
      </c>
      <c r="E491" s="76">
        <f>MIN(D491*Constantes!$F$17,0.8*(N490+Observaciones!$F490-F491-M491-Constantes!$D$14))</f>
        <v>1.8948387095190697</v>
      </c>
      <c r="F491" s="76">
        <f>IF(Observaciones!$F490&gt;0.05*Constantes!$F$18,((Observaciones!$F490-0.05*Constantes!$F$18)^2)/(Observaciones!$F490+0.95*Constantes!$F$18),0)</f>
        <v>0</v>
      </c>
      <c r="G491" s="76">
        <f>IF(Escenarios!$F$11&gt;0,(F491*Escenarios!$F$16*10000)/1000,0)</f>
        <v>0</v>
      </c>
      <c r="H491" s="76">
        <f>IF(Escenarios!$F$11&gt;0,(Observaciones!$F490*Constantes!$F$29)/1000,0)</f>
        <v>0</v>
      </c>
      <c r="I491" s="76">
        <f>IF(Escenarios!$F$11&gt;0,(D491*Constantes!$F$29)/1000,0)</f>
        <v>0</v>
      </c>
      <c r="J491" s="76">
        <f>IF(Escenarios!$F$11&gt;0,MAX(0,G491+H491-I491),0)</f>
        <v>0</v>
      </c>
      <c r="K491" s="76">
        <f>IF(Escenarios!$F$11&gt;0,IF(J491&gt;Constantes!$F$30,1000*((J491-Constantes!$F$30)/(Escenarios!$F$16*10000)),0),F491)</f>
        <v>0</v>
      </c>
      <c r="L491" s="76">
        <f>IF(Escenarios!$F$11&gt;0,I491*1000/Escenarios!$F$16/10000+E491,E491)</f>
        <v>1.8948387095190697</v>
      </c>
      <c r="M491" s="76">
        <f>MAX(0,N490+Observaciones!$F490-K491-Constantes!$D$13)</f>
        <v>0</v>
      </c>
      <c r="N491" s="76">
        <f>N490+Observaciones!$F490-K491-L491-M491-O490</f>
        <v>13.11100049004113</v>
      </c>
      <c r="O491" s="76">
        <f>MAX(0,(N491-Constantes!$D$14)*(1-EXP(-Constantes!$D$22)))</f>
        <v>6.3392508563462208E-2</v>
      </c>
      <c r="P491" s="170">
        <f>P490+(Entradas!$F$83*M491-Q490)/(800*Entradas!$D$25)</f>
        <v>0</v>
      </c>
      <c r="Q491" s="170">
        <f>8000*Entradas!$D$26*P491/Constantes!$F$45</f>
        <v>0</v>
      </c>
      <c r="R491" s="170">
        <f>IF(Escenarios!$F$14&gt;0,K491*Escenarios!$F$13/Escenarios!$F$14,0)</f>
        <v>0</v>
      </c>
      <c r="S491" s="170">
        <f>IF(Escenarios!$F$14&gt;0,Q491*Escenarios!$F$13/Escenarios!$F$14,0)</f>
        <v>0</v>
      </c>
      <c r="T491" s="170">
        <f>IF(Escenarios!$F$14&gt;0,Observaciones!$I490,0)</f>
        <v>0</v>
      </c>
      <c r="U491" s="170">
        <f>IF(Escenarios!$F$14&gt;0,MAX(0,Constantes!$F$36/((Z490+R491+S491+T491+Observaciones!$F490)^2)+Entradas!$F$77),0)</f>
        <v>0</v>
      </c>
      <c r="V491" s="146">
        <f>IF(ETo!D490&gt;0,ETo!I490*((1-Entradas!$F$81)*ETo!K490+ETo!L490),0)</f>
        <v>2.9215170441067571</v>
      </c>
      <c r="W491" s="170">
        <f>IF(Escenarios!$F$14&gt;0,MIN(V491*1,0.8*(Z490+R491+S491+T491+Observaciones!$F490-U491-Constantes!$F$35)),0)</f>
        <v>0.58125571310471291</v>
      </c>
      <c r="X491" s="170">
        <f>IF(Escenarios!$F$14&gt;0,Observaciones!$J490,0)</f>
        <v>0</v>
      </c>
      <c r="Y491" s="170">
        <f>IF(Escenarios!$F$14&gt;0,MAX(0,Z490+R491+S491+T491+Observaciones!$F490-U491-W491-X491-Constantes!$F$33),0)</f>
        <v>0</v>
      </c>
      <c r="Z491" s="170">
        <f>Z490+R491+S491+T491+Observaciones!$F490-U491-W491-Y491</f>
        <v>41.395313928276181</v>
      </c>
      <c r="AA491" s="170">
        <f>IF(Escenarios!$F$14&gt;0,(Escenarios!$F$13*L491+Escenarios!$F$14*W491)/(Escenarios!$F$16),L491)</f>
        <v>1.7372087499493469</v>
      </c>
      <c r="AB491" s="170">
        <f>IF(Escenarios!$F$14&gt;0,(Escenarios!$F$14*Y491)/(Escenarios!$F$16),K491)</f>
        <v>0</v>
      </c>
      <c r="AC491" s="170">
        <f>IF(Escenarios!$F$14&gt;0,(Escenarios!$F$13*M491+Escenarios!$F$14*U491)/(Escenarios!$F$16),M491)</f>
        <v>0</v>
      </c>
      <c r="AD491" s="76">
        <f t="shared" si="99"/>
        <v>136.7684836078742</v>
      </c>
      <c r="AE491" s="76">
        <f>MAX(0,(AD491-Constantes!$D$13)*(1-EXP(-Constantes!$D$23)))</f>
        <v>0.86726708335785141</v>
      </c>
      <c r="AF491" s="76">
        <f>AB491+O491*Escenarios!$F$13/Escenarios!$F$16+AE491</f>
        <v>0.92305249089369812</v>
      </c>
      <c r="AG491" s="76">
        <f>IF(Entradas!$F$91&gt;0,IF(AF491-Escenarios!$F$38&lt;=0,0,IF(AF491-Escenarios!$F$38&gt;Escenarios!$F$37,Escenarios!$F$37,AF491-Escenarios!$F$38)),0)</f>
        <v>0</v>
      </c>
      <c r="AH491" s="76">
        <f>AG491*Entradas!$F$99</f>
        <v>0</v>
      </c>
      <c r="AI491" s="76">
        <f>IF(Entradas!$F$91&gt;0,D491*Entradas!$D$23/Escenarios!$F$16,0)</f>
        <v>0.15947813953235029</v>
      </c>
      <c r="AJ491" s="76">
        <f>IF(Entradas!$F$91&gt;0,Entradas!$D$24*Entradas!$D$22/Escenarios!$F$16,0)</f>
        <v>0.12</v>
      </c>
      <c r="AK491" s="76">
        <f t="shared" si="100"/>
        <v>1.8966868894816973</v>
      </c>
      <c r="AL491" s="76">
        <f t="shared" si="101"/>
        <v>0</v>
      </c>
      <c r="AM491" s="76">
        <f t="shared" si="102"/>
        <v>0</v>
      </c>
      <c r="AN491" s="76">
        <f>MAX(0,O491*Escenarios!$F$13/Escenarios!$F$16-AM491)</f>
        <v>5.5785407535846744E-2</v>
      </c>
      <c r="AO491" s="76">
        <f>AM491+AN491-O491*Escenarios!$F$13/Escenarios!$F$16</f>
        <v>0</v>
      </c>
      <c r="AP491" s="76">
        <f t="shared" si="103"/>
        <v>0.86726708335785141</v>
      </c>
      <c r="AQ491" s="76">
        <f t="shared" si="104"/>
        <v>0</v>
      </c>
      <c r="AR491" s="76">
        <f t="shared" si="105"/>
        <v>0.92305249089369812</v>
      </c>
      <c r="AS491" s="76">
        <f t="shared" si="106"/>
        <v>0</v>
      </c>
      <c r="AT491" s="76">
        <f t="shared" si="107"/>
        <v>0</v>
      </c>
      <c r="AU491" s="76">
        <f t="shared" si="108"/>
        <v>57.685962981222822</v>
      </c>
      <c r="AV491" s="76">
        <f>MAX(0,(AU491-Constantes!$D$13)*(1-EXP(-Constantes!$D$24)))</f>
        <v>0.13658840193676733</v>
      </c>
      <c r="AW491" s="170">
        <f>AW490+(Entradas!$F$112*AT491-AX490)/(800*Entradas!$D$25)</f>
        <v>0</v>
      </c>
      <c r="AX491" s="170">
        <f>8000*Entradas!$D$26*AW491/Constantes!$F$45</f>
        <v>0</v>
      </c>
      <c r="AY491" s="170">
        <f>IF(Escenarios!$F$17&gt;0,10*Escenarios!$F$16*AL491,0)</f>
        <v>0</v>
      </c>
      <c r="AZ491" s="170">
        <f>IF(Escenarios!$F$17&gt;0,10*Escenarios!$F$16*AX491,0)</f>
        <v>0</v>
      </c>
      <c r="BA491" s="170">
        <f>IF(Escenarios!$F$17&gt;0,0.001*Observaciones!$F490*Escenarios!$F$17,0)</f>
        <v>0</v>
      </c>
      <c r="BB491" s="170">
        <f>IF(Escenarios!$F$17&gt;0,Observaciones!$K490,0)</f>
        <v>0</v>
      </c>
      <c r="BC491" s="170">
        <f>IF(Escenarios!$F$17&gt;0,MIN(0.0005*ETo!$M490*Escenarios!$F$17*(BG490/Constantes!$F$40)^(2/3),BG490+AY491+AZ491+BA491+BB491),0)</f>
        <v>0</v>
      </c>
      <c r="BD491" s="170">
        <f>IF(Escenarios!$F$17&gt;0,MIN(Constantes!$F$39*(BG490/Constantes!$F$40)^(2/3),BG490+AY491+AZ491+BA491+BB491-BC491),0)</f>
        <v>0</v>
      </c>
      <c r="BE491" s="170">
        <f>IF(Escenarios!$F$17&gt;0,MIN(Entradas!$F$113,BG490+AY491+AZ491+BA491+BB491-BC491-BD491),0)</f>
        <v>0</v>
      </c>
      <c r="BF491" s="170">
        <f>IF(Escenarios!$F$17&gt;0,MAX(0,BG490+AY491+AZ491+BA491+BB491-BC491-BD491-BE491-Constantes!$F$40),0)</f>
        <v>0</v>
      </c>
      <c r="BG491" s="170">
        <f t="shared" si="109"/>
        <v>0</v>
      </c>
      <c r="BH491" s="170">
        <f>(Escenarios!$F$16*AK491+0.1*BC491)/(Escenarios!$F$19)</f>
        <v>1.8966868894816973</v>
      </c>
      <c r="BI491" s="170">
        <f>IF(Escenarios!$F$17&gt;0,BF491/10/Escenarios!$F$19,AL491)</f>
        <v>0</v>
      </c>
      <c r="BJ491" s="170">
        <f>(Escenarios!$F$16*AT491+0.1*BD491)/(Escenarios!$F$19)</f>
        <v>0</v>
      </c>
      <c r="BK491" s="76">
        <f>BK490+(0.1*BD491)/(Escenarios!$F$19)-BL490</f>
        <v>48.75</v>
      </c>
      <c r="BL491" s="76">
        <f>MAX(0,(BK491-Constantes!$D$13)*(1-EXP(-Constantes!$D$23)))</f>
        <v>0</v>
      </c>
      <c r="BM491" s="76">
        <f t="shared" si="110"/>
        <v>1.0038554852946187</v>
      </c>
      <c r="BN491" s="76">
        <f t="shared" si="111"/>
        <v>1.0596408928304655</v>
      </c>
      <c r="BO491" s="76">
        <f>0.0526*BI491*Observaciones!$F490^1.218</f>
        <v>0</v>
      </c>
      <c r="BP491" s="76">
        <f>BO491*Constantes!$F$51</f>
        <v>0</v>
      </c>
      <c r="BQ491" s="76">
        <f t="shared" si="112"/>
        <v>0</v>
      </c>
      <c r="BR491" s="40"/>
    </row>
    <row r="492" spans="2:70">
      <c r="B492" s="39"/>
      <c r="C492" s="75">
        <v>486</v>
      </c>
      <c r="D492" s="146">
        <f>ETo!$I491*((1-Constantes!$F$19)*ETo!$K491+ETo!$L491)</f>
        <v>3.3004098328336493</v>
      </c>
      <c r="E492" s="76">
        <f>MIN(D492*Constantes!$F$17,0.8*(N491+Observaciones!$F491-F492-M492-Constantes!$D$14))</f>
        <v>1.4888003920329043</v>
      </c>
      <c r="F492" s="76">
        <f>IF(Observaciones!$F491&gt;0.05*Constantes!$F$18,((Observaciones!$F491-0.05*Constantes!$F$18)^2)/(Observaciones!$F491+0.95*Constantes!$F$18),0)</f>
        <v>0</v>
      </c>
      <c r="G492" s="76">
        <f>IF(Escenarios!$F$11&gt;0,(F492*Escenarios!$F$16*10000)/1000,0)</f>
        <v>0</v>
      </c>
      <c r="H492" s="76">
        <f>IF(Escenarios!$F$11&gt;0,(Observaciones!$F491*Constantes!$F$29)/1000,0)</f>
        <v>0</v>
      </c>
      <c r="I492" s="76">
        <f>IF(Escenarios!$F$11&gt;0,(D492*Constantes!$F$29)/1000,0)</f>
        <v>0</v>
      </c>
      <c r="J492" s="76">
        <f>IF(Escenarios!$F$11&gt;0,MAX(0,G492+H492-I492),0)</f>
        <v>0</v>
      </c>
      <c r="K492" s="76">
        <f>IF(Escenarios!$F$11&gt;0,IF(J492&gt;Constantes!$F$30,1000*((J492-Constantes!$F$30)/(Escenarios!$F$16*10000)),0),F492)</f>
        <v>0</v>
      </c>
      <c r="L492" s="76">
        <f>IF(Escenarios!$F$11&gt;0,I492*1000/Escenarios!$F$16/10000+E492,E492)</f>
        <v>1.4888003920329043</v>
      </c>
      <c r="M492" s="76">
        <f>MAX(0,N491+Observaciones!$F491-K492-Constantes!$D$13)</f>
        <v>0</v>
      </c>
      <c r="N492" s="76">
        <f>N491+Observaciones!$F491-K492-L492-M492-O491</f>
        <v>11.558807589444763</v>
      </c>
      <c r="O492" s="76">
        <f>MAX(0,(N492-Constantes!$D$14)*(1-EXP(-Constantes!$D$22)))</f>
        <v>1.051912015235773E-2</v>
      </c>
      <c r="P492" s="170">
        <f>P491+(Entradas!$F$83*M492-Q491)/(800*Entradas!$D$25)</f>
        <v>0</v>
      </c>
      <c r="Q492" s="170">
        <f>8000*Entradas!$D$26*P492/Constantes!$F$45</f>
        <v>0</v>
      </c>
      <c r="R492" s="170">
        <f>IF(Escenarios!$F$14&gt;0,K492*Escenarios!$F$13/Escenarios!$F$14,0)</f>
        <v>0</v>
      </c>
      <c r="S492" s="170">
        <f>IF(Escenarios!$F$14&gt;0,Q492*Escenarios!$F$13/Escenarios!$F$14,0)</f>
        <v>0</v>
      </c>
      <c r="T492" s="170">
        <f>IF(Escenarios!$F$14&gt;0,Observaciones!$I491,0)</f>
        <v>0</v>
      </c>
      <c r="U492" s="170">
        <f>IF(Escenarios!$F$14&gt;0,MAX(0,Constantes!$F$36/((Z491+R492+S492+T492+Observaciones!$F491)^2)+Entradas!$F$77),0)</f>
        <v>0</v>
      </c>
      <c r="V492" s="146">
        <f>IF(ETo!D491&gt;0,ETo!I491*((1-Entradas!$F$81)*ETo!K491+ETo!L491),0)</f>
        <v>2.9013728343861329</v>
      </c>
      <c r="W492" s="170">
        <f>IF(Escenarios!$F$14&gt;0,MIN(V492*1,0.8*(Z491+R492+S492+T492+Observaciones!$F491-U492-Constantes!$F$35)),0)</f>
        <v>0.11625114262094485</v>
      </c>
      <c r="X492" s="170">
        <f>IF(Escenarios!$F$14&gt;0,Observaciones!$J491,0)</f>
        <v>0</v>
      </c>
      <c r="Y492" s="170">
        <f>IF(Escenarios!$F$14&gt;0,MAX(0,Z491+R492+S492+T492+Observaciones!$F491-U492-W492-X492-Constantes!$F$33),0)</f>
        <v>0</v>
      </c>
      <c r="Z492" s="170">
        <f>Z491+R492+S492+T492+Observaciones!$F491-U492-W492-Y492</f>
        <v>41.279062785655235</v>
      </c>
      <c r="AA492" s="170">
        <f>IF(Escenarios!$F$14&gt;0,(Escenarios!$F$13*L492+Escenarios!$F$14*W492)/(Escenarios!$F$16),L492)</f>
        <v>1.324094482103469</v>
      </c>
      <c r="AB492" s="170">
        <f>IF(Escenarios!$F$14&gt;0,(Escenarios!$F$14*Y492)/(Escenarios!$F$16),K492)</f>
        <v>0</v>
      </c>
      <c r="AC492" s="170">
        <f>IF(Escenarios!$F$14&gt;0,(Escenarios!$F$13*M492+Escenarios!$F$14*U492)/(Escenarios!$F$16),M492)</f>
        <v>0</v>
      </c>
      <c r="AD492" s="76">
        <f t="shared" si="99"/>
        <v>135.90121652451634</v>
      </c>
      <c r="AE492" s="76">
        <f>MAX(0,(AD492-Constantes!$D$13)*(1-EXP(-Constantes!$D$23)))</f>
        <v>0.85872169421860078</v>
      </c>
      <c r="AF492" s="76">
        <f>AB492+O492*Escenarios!$F$13/Escenarios!$F$16+AE492</f>
        <v>0.86797851995267561</v>
      </c>
      <c r="AG492" s="76">
        <f>IF(Entradas!$F$91&gt;0,IF(AF492-Escenarios!$F$38&lt;=0,0,IF(AF492-Escenarios!$F$38&gt;Escenarios!$F$37,Escenarios!$F$37,AF492-Escenarios!$F$38)),0)</f>
        <v>0</v>
      </c>
      <c r="AH492" s="76">
        <f>AG492*Entradas!$F$99</f>
        <v>0</v>
      </c>
      <c r="AI492" s="76">
        <f>IF(Entradas!$F$91&gt;0,D492*Entradas!$D$23/Escenarios!$F$16,0)</f>
        <v>0.15841967197601517</v>
      </c>
      <c r="AJ492" s="76">
        <f>IF(Entradas!$F$91&gt;0,Entradas!$D$24*Entradas!$D$22/Escenarios!$F$16,0)</f>
        <v>0.12</v>
      </c>
      <c r="AK492" s="76">
        <f t="shared" si="100"/>
        <v>1.4825141540794842</v>
      </c>
      <c r="AL492" s="76">
        <f t="shared" si="101"/>
        <v>0</v>
      </c>
      <c r="AM492" s="76">
        <f t="shared" si="102"/>
        <v>0</v>
      </c>
      <c r="AN492" s="76">
        <f>MAX(0,O492*Escenarios!$F$13/Escenarios!$F$16-AM492)</f>
        <v>9.2568257340748025E-3</v>
      </c>
      <c r="AO492" s="76">
        <f>AM492+AN492-O492*Escenarios!$F$13/Escenarios!$F$16</f>
        <v>0</v>
      </c>
      <c r="AP492" s="76">
        <f t="shared" si="103"/>
        <v>0.85872169421860078</v>
      </c>
      <c r="AQ492" s="76">
        <f t="shared" si="104"/>
        <v>0</v>
      </c>
      <c r="AR492" s="76">
        <f t="shared" si="105"/>
        <v>0.86797851995267561</v>
      </c>
      <c r="AS492" s="76">
        <f t="shared" si="106"/>
        <v>0</v>
      </c>
      <c r="AT492" s="76">
        <f t="shared" si="107"/>
        <v>0</v>
      </c>
      <c r="AU492" s="76">
        <f t="shared" si="108"/>
        <v>57.549374579286052</v>
      </c>
      <c r="AV492" s="76">
        <f>MAX(0,(AU492-Constantes!$D$13)*(1-EXP(-Constantes!$D$24)))</f>
        <v>0.13450061446687259</v>
      </c>
      <c r="AW492" s="170">
        <f>AW491+(Entradas!$F$112*AT492-AX491)/(800*Entradas!$D$25)</f>
        <v>0</v>
      </c>
      <c r="AX492" s="170">
        <f>8000*Entradas!$D$26*AW492/Constantes!$F$45</f>
        <v>0</v>
      </c>
      <c r="AY492" s="170">
        <f>IF(Escenarios!$F$17&gt;0,10*Escenarios!$F$16*AL492,0)</f>
        <v>0</v>
      </c>
      <c r="AZ492" s="170">
        <f>IF(Escenarios!$F$17&gt;0,10*Escenarios!$F$16*AX492,0)</f>
        <v>0</v>
      </c>
      <c r="BA492" s="170">
        <f>IF(Escenarios!$F$17&gt;0,0.001*Observaciones!$F491*Escenarios!$F$17,0)</f>
        <v>0</v>
      </c>
      <c r="BB492" s="170">
        <f>IF(Escenarios!$F$17&gt;0,Observaciones!$K491,0)</f>
        <v>0</v>
      </c>
      <c r="BC492" s="170">
        <f>IF(Escenarios!$F$17&gt;0,MIN(0.0005*ETo!$M491*Escenarios!$F$17*(BG491/Constantes!$F$40)^(2/3),BG491+AY492+AZ492+BA492+BB492),0)</f>
        <v>0</v>
      </c>
      <c r="BD492" s="170">
        <f>IF(Escenarios!$F$17&gt;0,MIN(Constantes!$F$39*(BG491/Constantes!$F$40)^(2/3),BG491+AY492+AZ492+BA492+BB492-BC492),0)</f>
        <v>0</v>
      </c>
      <c r="BE492" s="170">
        <f>IF(Escenarios!$F$17&gt;0,MIN(Entradas!$F$113,BG491+AY492+AZ492+BA492+BB492-BC492-BD492),0)</f>
        <v>0</v>
      </c>
      <c r="BF492" s="170">
        <f>IF(Escenarios!$F$17&gt;0,MAX(0,BG491+AY492+AZ492+BA492+BB492-BC492-BD492-BE492-Constantes!$F$40),0)</f>
        <v>0</v>
      </c>
      <c r="BG492" s="170">
        <f t="shared" si="109"/>
        <v>0</v>
      </c>
      <c r="BH492" s="170">
        <f>(Escenarios!$F$16*AK492+0.1*BC492)/(Escenarios!$F$19)</f>
        <v>1.4825141540794842</v>
      </c>
      <c r="BI492" s="170">
        <f>IF(Escenarios!$F$17&gt;0,BF492/10/Escenarios!$F$19,AL492)</f>
        <v>0</v>
      </c>
      <c r="BJ492" s="170">
        <f>(Escenarios!$F$16*AT492+0.1*BD492)/(Escenarios!$F$19)</f>
        <v>0</v>
      </c>
      <c r="BK492" s="76">
        <f>BK491+(0.1*BD492)/(Escenarios!$F$19)-BL491</f>
        <v>48.75</v>
      </c>
      <c r="BL492" s="76">
        <f>MAX(0,(BK492-Constantes!$D$13)*(1-EXP(-Constantes!$D$23)))</f>
        <v>0</v>
      </c>
      <c r="BM492" s="76">
        <f t="shared" si="110"/>
        <v>0.99322230868547334</v>
      </c>
      <c r="BN492" s="76">
        <f t="shared" si="111"/>
        <v>1.0024791344195483</v>
      </c>
      <c r="BO492" s="76">
        <f>0.0526*BI492*Observaciones!$F491^1.218</f>
        <v>0</v>
      </c>
      <c r="BP492" s="76">
        <f>BO492*Constantes!$F$51</f>
        <v>0</v>
      </c>
      <c r="BQ492" s="76">
        <f t="shared" si="112"/>
        <v>0</v>
      </c>
      <c r="BR492" s="40"/>
    </row>
    <row r="493" spans="2:70">
      <c r="B493" s="39"/>
      <c r="C493" s="75">
        <v>487</v>
      </c>
      <c r="D493" s="146">
        <f>ETo!$I492*((1-Constantes!$F$19)*ETo!$K492+ETo!$L492)</f>
        <v>3.3254050323538036</v>
      </c>
      <c r="E493" s="76">
        <f>MIN(D493*Constantes!$F$17,0.8*(N492+Observaciones!$F492-F493-M493-Constantes!$D$14))</f>
        <v>0.24704607155581046</v>
      </c>
      <c r="F493" s="76">
        <f>IF(Observaciones!$F492&gt;0.05*Constantes!$F$18,((Observaciones!$F492-0.05*Constantes!$F$18)^2)/(Observaciones!$F492+0.95*Constantes!$F$18),0)</f>
        <v>0</v>
      </c>
      <c r="G493" s="76">
        <f>IF(Escenarios!$F$11&gt;0,(F493*Escenarios!$F$16*10000)/1000,0)</f>
        <v>0</v>
      </c>
      <c r="H493" s="76">
        <f>IF(Escenarios!$F$11&gt;0,(Observaciones!$F492*Constantes!$F$29)/1000,0)</f>
        <v>0</v>
      </c>
      <c r="I493" s="76">
        <f>IF(Escenarios!$F$11&gt;0,(D493*Constantes!$F$29)/1000,0)</f>
        <v>0</v>
      </c>
      <c r="J493" s="76">
        <f>IF(Escenarios!$F$11&gt;0,MAX(0,G493+H493-I493),0)</f>
        <v>0</v>
      </c>
      <c r="K493" s="76">
        <f>IF(Escenarios!$F$11&gt;0,IF(J493&gt;Constantes!$F$30,1000*((J493-Constantes!$F$30)/(Escenarios!$F$16*10000)),0),F493)</f>
        <v>0</v>
      </c>
      <c r="L493" s="76">
        <f>IF(Escenarios!$F$11&gt;0,I493*1000/Escenarios!$F$16/10000+E493,E493)</f>
        <v>0.24704607155581046</v>
      </c>
      <c r="M493" s="76">
        <f>MAX(0,N492+Observaciones!$F492-K493-Constantes!$D$13)</f>
        <v>0</v>
      </c>
      <c r="N493" s="76">
        <f>N492+Observaciones!$F492-K493-L493-M493-O492</f>
        <v>11.301242397736594</v>
      </c>
      <c r="O493" s="76">
        <f>MAX(0,(N493-Constantes!$D$14)*(1-EXP(-Constantes!$D$22)))</f>
        <v>1.7455041816015783E-3</v>
      </c>
      <c r="P493" s="170">
        <f>P492+(Entradas!$F$83*M493-Q492)/(800*Entradas!$D$25)</f>
        <v>0</v>
      </c>
      <c r="Q493" s="170">
        <f>8000*Entradas!$D$26*P493/Constantes!$F$45</f>
        <v>0</v>
      </c>
      <c r="R493" s="170">
        <f>IF(Escenarios!$F$14&gt;0,K493*Escenarios!$F$13/Escenarios!$F$14,0)</f>
        <v>0</v>
      </c>
      <c r="S493" s="170">
        <f>IF(Escenarios!$F$14&gt;0,Q493*Escenarios!$F$13/Escenarios!$F$14,0)</f>
        <v>0</v>
      </c>
      <c r="T493" s="170">
        <f>IF(Escenarios!$F$14&gt;0,Observaciones!$I492,0)</f>
        <v>0</v>
      </c>
      <c r="U493" s="170">
        <f>IF(Escenarios!$F$14&gt;0,MAX(0,Constantes!$F$36/((Z492+R493+S493+T493+Observaciones!$F492)^2)+Entradas!$F$77),0)</f>
        <v>0</v>
      </c>
      <c r="V493" s="146">
        <f>IF(ETo!D492&gt;0,ETo!I492*((1-Entradas!$F$81)*ETo!K492+ETo!L492),0)</f>
        <v>2.9233548989100857</v>
      </c>
      <c r="W493" s="170">
        <f>IF(Escenarios!$F$14&gt;0,MIN(V493*1,0.8*(Z492+R493+S493+T493+Observaciones!$F492-U493-Constantes!$F$35)),0)</f>
        <v>2.3250228524187833E-2</v>
      </c>
      <c r="X493" s="170">
        <f>IF(Escenarios!$F$14&gt;0,Observaciones!$J492,0)</f>
        <v>0</v>
      </c>
      <c r="Y493" s="170">
        <f>IF(Escenarios!$F$14&gt;0,MAX(0,Z492+R493+S493+T493+Observaciones!$F492-U493-W493-X493-Constantes!$F$33),0)</f>
        <v>0</v>
      </c>
      <c r="Z493" s="170">
        <f>Z492+R493+S493+T493+Observaciones!$F492-U493-W493-Y493</f>
        <v>41.255812557131044</v>
      </c>
      <c r="AA493" s="170">
        <f>IF(Escenarios!$F$14&gt;0,(Escenarios!$F$13*L493+Escenarios!$F$14*W493)/(Escenarios!$F$16),L493)</f>
        <v>0.22019057039201576</v>
      </c>
      <c r="AB493" s="170">
        <f>IF(Escenarios!$F$14&gt;0,(Escenarios!$F$14*Y493)/(Escenarios!$F$16),K493)</f>
        <v>0</v>
      </c>
      <c r="AC493" s="170">
        <f>IF(Escenarios!$F$14&gt;0,(Escenarios!$F$13*M493+Escenarios!$F$14*U493)/(Escenarios!$F$16),M493)</f>
        <v>0</v>
      </c>
      <c r="AD493" s="76">
        <f t="shared" si="99"/>
        <v>135.04249483029776</v>
      </c>
      <c r="AE493" s="76">
        <f>MAX(0,(AD493-Constantes!$D$13)*(1-EXP(-Constantes!$D$23)))</f>
        <v>0.85026050483389248</v>
      </c>
      <c r="AF493" s="76">
        <f>AB493+O493*Escenarios!$F$13/Escenarios!$F$16+AE493</f>
        <v>0.8517965485137019</v>
      </c>
      <c r="AG493" s="76">
        <f>IF(Entradas!$F$91&gt;0,IF(AF493-Escenarios!$F$38&lt;=0,0,IF(AF493-Escenarios!$F$38&gt;Escenarios!$F$37,Escenarios!$F$37,AF493-Escenarios!$F$38)),0)</f>
        <v>0</v>
      </c>
      <c r="AH493" s="76">
        <f>AG493*Entradas!$F$99</f>
        <v>0</v>
      </c>
      <c r="AI493" s="76">
        <f>IF(Entradas!$F$91&gt;0,D493*Entradas!$D$23/Escenarios!$F$16,0)</f>
        <v>0.15961944155298258</v>
      </c>
      <c r="AJ493" s="76">
        <f>IF(Entradas!$F$91&gt;0,Entradas!$D$24*Entradas!$D$22/Escenarios!$F$16,0)</f>
        <v>0.12</v>
      </c>
      <c r="AK493" s="76">
        <f t="shared" si="100"/>
        <v>0.3798100119449983</v>
      </c>
      <c r="AL493" s="76">
        <f t="shared" si="101"/>
        <v>0</v>
      </c>
      <c r="AM493" s="76">
        <f t="shared" si="102"/>
        <v>0</v>
      </c>
      <c r="AN493" s="76">
        <f>MAX(0,O493*Escenarios!$F$13/Escenarios!$F$16-AM493)</f>
        <v>1.5360436798093889E-3</v>
      </c>
      <c r="AO493" s="76">
        <f>AM493+AN493-O493*Escenarios!$F$13/Escenarios!$F$16</f>
        <v>0</v>
      </c>
      <c r="AP493" s="76">
        <f t="shared" si="103"/>
        <v>0.85026050483389248</v>
      </c>
      <c r="AQ493" s="76">
        <f t="shared" si="104"/>
        <v>0</v>
      </c>
      <c r="AR493" s="76">
        <f t="shared" si="105"/>
        <v>0.8517965485137019</v>
      </c>
      <c r="AS493" s="76">
        <f t="shared" si="106"/>
        <v>0</v>
      </c>
      <c r="AT493" s="76">
        <f t="shared" si="107"/>
        <v>0</v>
      </c>
      <c r="AU493" s="76">
        <f t="shared" si="108"/>
        <v>57.414873964819179</v>
      </c>
      <c r="AV493" s="76">
        <f>MAX(0,(AU493-Constantes!$D$13)*(1-EXP(-Constantes!$D$24)))</f>
        <v>0.13244473934427564</v>
      </c>
      <c r="AW493" s="170">
        <f>AW492+(Entradas!$F$112*AT493-AX492)/(800*Entradas!$D$25)</f>
        <v>0</v>
      </c>
      <c r="AX493" s="170">
        <f>8000*Entradas!$D$26*AW493/Constantes!$F$45</f>
        <v>0</v>
      </c>
      <c r="AY493" s="170">
        <f>IF(Escenarios!$F$17&gt;0,10*Escenarios!$F$16*AL493,0)</f>
        <v>0</v>
      </c>
      <c r="AZ493" s="170">
        <f>IF(Escenarios!$F$17&gt;0,10*Escenarios!$F$16*AX493,0)</f>
        <v>0</v>
      </c>
      <c r="BA493" s="170">
        <f>IF(Escenarios!$F$17&gt;0,0.001*Observaciones!$F492*Escenarios!$F$17,0)</f>
        <v>0</v>
      </c>
      <c r="BB493" s="170">
        <f>IF(Escenarios!$F$17&gt;0,Observaciones!$K492,0)</f>
        <v>0</v>
      </c>
      <c r="BC493" s="170">
        <f>IF(Escenarios!$F$17&gt;0,MIN(0.0005*ETo!$M492*Escenarios!$F$17*(BG492/Constantes!$F$40)^(2/3),BG492+AY493+AZ493+BA493+BB493),0)</f>
        <v>0</v>
      </c>
      <c r="BD493" s="170">
        <f>IF(Escenarios!$F$17&gt;0,MIN(Constantes!$F$39*(BG492/Constantes!$F$40)^(2/3),BG492+AY493+AZ493+BA493+BB493-BC493),0)</f>
        <v>0</v>
      </c>
      <c r="BE493" s="170">
        <f>IF(Escenarios!$F$17&gt;0,MIN(Entradas!$F$113,BG492+AY493+AZ493+BA493+BB493-BC493-BD493),0)</f>
        <v>0</v>
      </c>
      <c r="BF493" s="170">
        <f>IF(Escenarios!$F$17&gt;0,MAX(0,BG492+AY493+AZ493+BA493+BB493-BC493-BD493-BE493-Constantes!$F$40),0)</f>
        <v>0</v>
      </c>
      <c r="BG493" s="170">
        <f t="shared" si="109"/>
        <v>0</v>
      </c>
      <c r="BH493" s="170">
        <f>(Escenarios!$F$16*AK493+0.1*BC493)/(Escenarios!$F$19)</f>
        <v>0.3798100119449983</v>
      </c>
      <c r="BI493" s="170">
        <f>IF(Escenarios!$F$17&gt;0,BF493/10/Escenarios!$F$19,AL493)</f>
        <v>0</v>
      </c>
      <c r="BJ493" s="170">
        <f>(Escenarios!$F$16*AT493+0.1*BD493)/(Escenarios!$F$19)</f>
        <v>0</v>
      </c>
      <c r="BK493" s="76">
        <f>BK492+(0.1*BD493)/(Escenarios!$F$19)-BL492</f>
        <v>48.75</v>
      </c>
      <c r="BL493" s="76">
        <f>MAX(0,(BK493-Constantes!$D$13)*(1-EXP(-Constantes!$D$23)))</f>
        <v>0</v>
      </c>
      <c r="BM493" s="76">
        <f t="shared" si="110"/>
        <v>0.98270524417816807</v>
      </c>
      <c r="BN493" s="76">
        <f t="shared" si="111"/>
        <v>0.9842412878579776</v>
      </c>
      <c r="BO493" s="76">
        <f>0.0526*BI493*Observaciones!$F492^1.218</f>
        <v>0</v>
      </c>
      <c r="BP493" s="76">
        <f>BO493*Constantes!$F$51</f>
        <v>0</v>
      </c>
      <c r="BQ493" s="76">
        <f t="shared" si="112"/>
        <v>0</v>
      </c>
      <c r="BR493" s="40"/>
    </row>
    <row r="494" spans="2:70">
      <c r="B494" s="39"/>
      <c r="C494" s="75">
        <v>488</v>
      </c>
      <c r="D494" s="146">
        <f>ETo!$I493*((1-Constantes!$F$19)*ETo!$K493+ETo!$L493)</f>
        <v>3.3141875062175066</v>
      </c>
      <c r="E494" s="76">
        <f>MIN(D494*Constantes!$F$17,0.8*(N493+Observaciones!$F493-F494-M494-Constantes!$D$14))</f>
        <v>4.0993918189275294E-2</v>
      </c>
      <c r="F494" s="76">
        <f>IF(Observaciones!$F493&gt;0.05*Constantes!$F$18,((Observaciones!$F493-0.05*Constantes!$F$18)^2)/(Observaciones!$F493+0.95*Constantes!$F$18),0)</f>
        <v>0</v>
      </c>
      <c r="G494" s="76">
        <f>IF(Escenarios!$F$11&gt;0,(F494*Escenarios!$F$16*10000)/1000,0)</f>
        <v>0</v>
      </c>
      <c r="H494" s="76">
        <f>IF(Escenarios!$F$11&gt;0,(Observaciones!$F493*Constantes!$F$29)/1000,0)</f>
        <v>0</v>
      </c>
      <c r="I494" s="76">
        <f>IF(Escenarios!$F$11&gt;0,(D494*Constantes!$F$29)/1000,0)</f>
        <v>0</v>
      </c>
      <c r="J494" s="76">
        <f>IF(Escenarios!$F$11&gt;0,MAX(0,G494+H494-I494),0)</f>
        <v>0</v>
      </c>
      <c r="K494" s="76">
        <f>IF(Escenarios!$F$11&gt;0,IF(J494&gt;Constantes!$F$30,1000*((J494-Constantes!$F$30)/(Escenarios!$F$16*10000)),0),F494)</f>
        <v>0</v>
      </c>
      <c r="L494" s="76">
        <f>IF(Escenarios!$F$11&gt;0,I494*1000/Escenarios!$F$16/10000+E494,E494)</f>
        <v>4.0993918189275294E-2</v>
      </c>
      <c r="M494" s="76">
        <f>MAX(0,N493+Observaciones!$F493-K494-Constantes!$D$13)</f>
        <v>0</v>
      </c>
      <c r="N494" s="76">
        <f>N493+Observaciones!$F493-K494-L494-M494-O493</f>
        <v>11.258502975365717</v>
      </c>
      <c r="O494" s="76">
        <f>MAX(0,(N494-Constantes!$D$14)*(1-EXP(-Constantes!$D$22)))</f>
        <v>2.8964255601792772E-4</v>
      </c>
      <c r="P494" s="170">
        <f>P493+(Entradas!$F$83*M494-Q493)/(800*Entradas!$D$25)</f>
        <v>0</v>
      </c>
      <c r="Q494" s="170">
        <f>8000*Entradas!$D$26*P494/Constantes!$F$45</f>
        <v>0</v>
      </c>
      <c r="R494" s="170">
        <f>IF(Escenarios!$F$14&gt;0,K494*Escenarios!$F$13/Escenarios!$F$14,0)</f>
        <v>0</v>
      </c>
      <c r="S494" s="170">
        <f>IF(Escenarios!$F$14&gt;0,Q494*Escenarios!$F$13/Escenarios!$F$14,0)</f>
        <v>0</v>
      </c>
      <c r="T494" s="170">
        <f>IF(Escenarios!$F$14&gt;0,Observaciones!$I493,0)</f>
        <v>0</v>
      </c>
      <c r="U494" s="170">
        <f>IF(Escenarios!$F$14&gt;0,MAX(0,Constantes!$F$36/((Z493+R494+S494+T494+Observaciones!$F493)^2)+Entradas!$F$77),0)</f>
        <v>0</v>
      </c>
      <c r="V494" s="146">
        <f>IF(ETo!D493&gt;0,ETo!I493*((1-Entradas!$F$81)*ETo!K493+ETo!L493),0)</f>
        <v>2.91291662911848</v>
      </c>
      <c r="W494" s="170">
        <f>IF(Escenarios!$F$14&gt;0,MIN(V494*1,0.8*(Z493+R494+S494+T494+Observaciones!$F493-U494-Constantes!$F$35)),0)</f>
        <v>4.6500457048352928E-3</v>
      </c>
      <c r="X494" s="170">
        <f>IF(Escenarios!$F$14&gt;0,Observaciones!$J493,0)</f>
        <v>0</v>
      </c>
      <c r="Y494" s="170">
        <f>IF(Escenarios!$F$14&gt;0,MAX(0,Z493+R494+S494+T494+Observaciones!$F493-U494-W494-X494-Constantes!$F$33),0)</f>
        <v>0</v>
      </c>
      <c r="Z494" s="170">
        <f>Z493+R494+S494+T494+Observaciones!$F493-U494-W494-Y494</f>
        <v>41.251162511426209</v>
      </c>
      <c r="AA494" s="170">
        <f>IF(Escenarios!$F$14&gt;0,(Escenarios!$F$13*L494+Escenarios!$F$14*W494)/(Escenarios!$F$16),L494)</f>
        <v>3.6632653491142489E-2</v>
      </c>
      <c r="AB494" s="170">
        <f>IF(Escenarios!$F$14&gt;0,(Escenarios!$F$14*Y494)/(Escenarios!$F$16),K494)</f>
        <v>0</v>
      </c>
      <c r="AC494" s="170">
        <f>IF(Escenarios!$F$14&gt;0,(Escenarios!$F$13*M494+Escenarios!$F$14*U494)/(Escenarios!$F$16),M494)</f>
        <v>0</v>
      </c>
      <c r="AD494" s="76">
        <f t="shared" si="99"/>
        <v>134.19223432546386</v>
      </c>
      <c r="AE494" s="76">
        <f>MAX(0,(AD494-Constantes!$D$13)*(1-EXP(-Constantes!$D$23)))</f>
        <v>0.84188268556348977</v>
      </c>
      <c r="AF494" s="76">
        <f>AB494+O494*Escenarios!$F$13/Escenarios!$F$16+AE494</f>
        <v>0.84213757101278552</v>
      </c>
      <c r="AG494" s="76">
        <f>IF(Entradas!$F$91&gt;0,IF(AF494-Escenarios!$F$38&lt;=0,0,IF(AF494-Escenarios!$F$38&gt;Escenarios!$F$37,Escenarios!$F$37,AF494-Escenarios!$F$38)),0)</f>
        <v>0</v>
      </c>
      <c r="AH494" s="76">
        <f>AG494*Entradas!$F$99</f>
        <v>0</v>
      </c>
      <c r="AI494" s="76">
        <f>IF(Entradas!$F$91&gt;0,D494*Entradas!$D$23/Escenarios!$F$16,0)</f>
        <v>0.1590810002984403</v>
      </c>
      <c r="AJ494" s="76">
        <f>IF(Entradas!$F$91&gt;0,Entradas!$D$24*Entradas!$D$22/Escenarios!$F$16,0)</f>
        <v>0.12</v>
      </c>
      <c r="AK494" s="76">
        <f t="shared" si="100"/>
        <v>0.19571365378958278</v>
      </c>
      <c r="AL494" s="76">
        <f t="shared" si="101"/>
        <v>0</v>
      </c>
      <c r="AM494" s="76">
        <f t="shared" si="102"/>
        <v>0</v>
      </c>
      <c r="AN494" s="76">
        <f>MAX(0,O494*Escenarios!$F$13/Escenarios!$F$16-AM494)</f>
        <v>2.5488544929577642E-4</v>
      </c>
      <c r="AO494" s="76">
        <f>AM494+AN494-O494*Escenarios!$F$13/Escenarios!$F$16</f>
        <v>0</v>
      </c>
      <c r="AP494" s="76">
        <f t="shared" si="103"/>
        <v>0.84188268556348977</v>
      </c>
      <c r="AQ494" s="76">
        <f t="shared" si="104"/>
        <v>0</v>
      </c>
      <c r="AR494" s="76">
        <f t="shared" si="105"/>
        <v>0.84213757101278552</v>
      </c>
      <c r="AS494" s="76">
        <f t="shared" si="106"/>
        <v>0</v>
      </c>
      <c r="AT494" s="76">
        <f t="shared" si="107"/>
        <v>0</v>
      </c>
      <c r="AU494" s="76">
        <f t="shared" si="108"/>
        <v>57.282429225474907</v>
      </c>
      <c r="AV494" s="76">
        <f>MAX(0,(AU494-Constantes!$D$13)*(1-EXP(-Constantes!$D$24)))</f>
        <v>0.13042028878086356</v>
      </c>
      <c r="AW494" s="170">
        <f>AW493+(Entradas!$F$112*AT494-AX493)/(800*Entradas!$D$25)</f>
        <v>0</v>
      </c>
      <c r="AX494" s="170">
        <f>8000*Entradas!$D$26*AW494/Constantes!$F$45</f>
        <v>0</v>
      </c>
      <c r="AY494" s="170">
        <f>IF(Escenarios!$F$17&gt;0,10*Escenarios!$F$16*AL494,0)</f>
        <v>0</v>
      </c>
      <c r="AZ494" s="170">
        <f>IF(Escenarios!$F$17&gt;0,10*Escenarios!$F$16*AX494,0)</f>
        <v>0</v>
      </c>
      <c r="BA494" s="170">
        <f>IF(Escenarios!$F$17&gt;0,0.001*Observaciones!$F493*Escenarios!$F$17,0)</f>
        <v>0</v>
      </c>
      <c r="BB494" s="170">
        <f>IF(Escenarios!$F$17&gt;0,Observaciones!$K493,0)</f>
        <v>0</v>
      </c>
      <c r="BC494" s="170">
        <f>IF(Escenarios!$F$17&gt;0,MIN(0.0005*ETo!$M493*Escenarios!$F$17*(BG493/Constantes!$F$40)^(2/3),BG493+AY494+AZ494+BA494+BB494),0)</f>
        <v>0</v>
      </c>
      <c r="BD494" s="170">
        <f>IF(Escenarios!$F$17&gt;0,MIN(Constantes!$F$39*(BG493/Constantes!$F$40)^(2/3),BG493+AY494+AZ494+BA494+BB494-BC494),0)</f>
        <v>0</v>
      </c>
      <c r="BE494" s="170">
        <f>IF(Escenarios!$F$17&gt;0,MIN(Entradas!$F$113,BG493+AY494+AZ494+BA494+BB494-BC494-BD494),0)</f>
        <v>0</v>
      </c>
      <c r="BF494" s="170">
        <f>IF(Escenarios!$F$17&gt;0,MAX(0,BG493+AY494+AZ494+BA494+BB494-BC494-BD494-BE494-Constantes!$F$40),0)</f>
        <v>0</v>
      </c>
      <c r="BG494" s="170">
        <f t="shared" si="109"/>
        <v>0</v>
      </c>
      <c r="BH494" s="170">
        <f>(Escenarios!$F$16*AK494+0.1*BC494)/(Escenarios!$F$19)</f>
        <v>0.19571365378958278</v>
      </c>
      <c r="BI494" s="170">
        <f>IF(Escenarios!$F$17&gt;0,BF494/10/Escenarios!$F$19,AL494)</f>
        <v>0</v>
      </c>
      <c r="BJ494" s="170">
        <f>(Escenarios!$F$16*AT494+0.1*BD494)/(Escenarios!$F$19)</f>
        <v>0</v>
      </c>
      <c r="BK494" s="76">
        <f>BK493+(0.1*BD494)/(Escenarios!$F$19)-BL493</f>
        <v>48.75</v>
      </c>
      <c r="BL494" s="76">
        <f>MAX(0,(BK494-Constantes!$D$13)*(1-EXP(-Constantes!$D$23)))</f>
        <v>0</v>
      </c>
      <c r="BM494" s="76">
        <f t="shared" si="110"/>
        <v>0.97230297434435331</v>
      </c>
      <c r="BN494" s="76">
        <f t="shared" si="111"/>
        <v>0.97255785979364906</v>
      </c>
      <c r="BO494" s="76">
        <f>0.0526*BI494*Observaciones!$F493^1.218</f>
        <v>0</v>
      </c>
      <c r="BP494" s="76">
        <f>BO494*Constantes!$F$51</f>
        <v>0</v>
      </c>
      <c r="BQ494" s="76">
        <f t="shared" si="112"/>
        <v>0</v>
      </c>
      <c r="BR494" s="40"/>
    </row>
    <row r="495" spans="2:70">
      <c r="B495" s="39"/>
      <c r="C495" s="75">
        <v>489</v>
      </c>
      <c r="D495" s="146">
        <f>ETo!$I494*((1-Constantes!$F$19)*ETo!$K494+ETo!$L494)</f>
        <v>3.1994814703471834</v>
      </c>
      <c r="E495" s="76">
        <f>MIN(D495*Constantes!$F$17,0.8*(N494+Observaciones!$F494-F495-M495-Constantes!$D$14))</f>
        <v>6.8023802925736739E-3</v>
      </c>
      <c r="F495" s="76">
        <f>IF(Observaciones!$F494&gt;0.05*Constantes!$F$18,((Observaciones!$F494-0.05*Constantes!$F$18)^2)/(Observaciones!$F494+0.95*Constantes!$F$18),0)</f>
        <v>0</v>
      </c>
      <c r="G495" s="76">
        <f>IF(Escenarios!$F$11&gt;0,(F495*Escenarios!$F$16*10000)/1000,0)</f>
        <v>0</v>
      </c>
      <c r="H495" s="76">
        <f>IF(Escenarios!$F$11&gt;0,(Observaciones!$F494*Constantes!$F$29)/1000,0)</f>
        <v>0</v>
      </c>
      <c r="I495" s="76">
        <f>IF(Escenarios!$F$11&gt;0,(D495*Constantes!$F$29)/1000,0)</f>
        <v>0</v>
      </c>
      <c r="J495" s="76">
        <f>IF(Escenarios!$F$11&gt;0,MAX(0,G495+H495-I495),0)</f>
        <v>0</v>
      </c>
      <c r="K495" s="76">
        <f>IF(Escenarios!$F$11&gt;0,IF(J495&gt;Constantes!$F$30,1000*((J495-Constantes!$F$30)/(Escenarios!$F$16*10000)),0),F495)</f>
        <v>0</v>
      </c>
      <c r="L495" s="76">
        <f>IF(Escenarios!$F$11&gt;0,I495*1000/Escenarios!$F$16/10000+E495,E495)</f>
        <v>6.8023802925736739E-3</v>
      </c>
      <c r="M495" s="76">
        <f>MAX(0,N494+Observaciones!$F494-K495-Constantes!$D$13)</f>
        <v>0</v>
      </c>
      <c r="N495" s="76">
        <f>N494+Observaciones!$F494-K495-L495-M495-O494</f>
        <v>11.251410952517126</v>
      </c>
      <c r="O495" s="76">
        <f>MAX(0,(N495-Constantes!$D$14)*(1-EXP(-Constantes!$D$22)))</f>
        <v>4.806222244605546E-5</v>
      </c>
      <c r="P495" s="170">
        <f>P494+(Entradas!$F$83*M495-Q494)/(800*Entradas!$D$25)</f>
        <v>0</v>
      </c>
      <c r="Q495" s="170">
        <f>8000*Entradas!$D$26*P495/Constantes!$F$45</f>
        <v>0</v>
      </c>
      <c r="R495" s="170">
        <f>IF(Escenarios!$F$14&gt;0,K495*Escenarios!$F$13/Escenarios!$F$14,0)</f>
        <v>0</v>
      </c>
      <c r="S495" s="170">
        <f>IF(Escenarios!$F$14&gt;0,Q495*Escenarios!$F$13/Escenarios!$F$14,0)</f>
        <v>0</v>
      </c>
      <c r="T495" s="170">
        <f>IF(Escenarios!$F$14&gt;0,Observaciones!$I494,0)</f>
        <v>0</v>
      </c>
      <c r="U495" s="170">
        <f>IF(Escenarios!$F$14&gt;0,MAX(0,Constantes!$F$36/((Z494+R495+S495+T495+Observaciones!$F494)^2)+Entradas!$F$77),0)</f>
        <v>0</v>
      </c>
      <c r="V495" s="146">
        <f>IF(ETo!D494&gt;0,ETo!I494*((1-Entradas!$F$81)*ETo!K494+ETo!L494),0)</f>
        <v>2.8099136986325162</v>
      </c>
      <c r="W495" s="170">
        <f>IF(Escenarios!$F$14&gt;0,MIN(V495*1,0.8*(Z494+R495+S495+T495+Observaciones!$F494-U495-Constantes!$F$35)),0)</f>
        <v>9.3000914096705864E-4</v>
      </c>
      <c r="X495" s="170">
        <f>IF(Escenarios!$F$14&gt;0,Observaciones!$J494,0)</f>
        <v>0</v>
      </c>
      <c r="Y495" s="170">
        <f>IF(Escenarios!$F$14&gt;0,MAX(0,Z494+R495+S495+T495+Observaciones!$F494-U495-W495-X495-Constantes!$F$33),0)</f>
        <v>0</v>
      </c>
      <c r="Z495" s="170">
        <f>Z494+R495+S495+T495+Observaciones!$F494-U495-W495-Y495</f>
        <v>41.250232502285243</v>
      </c>
      <c r="AA495" s="170">
        <f>IF(Escenarios!$F$14&gt;0,(Escenarios!$F$13*L495+Escenarios!$F$14*W495)/(Escenarios!$F$16),L495)</f>
        <v>6.09769575438088E-3</v>
      </c>
      <c r="AB495" s="170">
        <f>IF(Escenarios!$F$14&gt;0,(Escenarios!$F$14*Y495)/(Escenarios!$F$16),K495)</f>
        <v>0</v>
      </c>
      <c r="AC495" s="170">
        <f>IF(Escenarios!$F$14&gt;0,(Escenarios!$F$13*M495+Escenarios!$F$14*U495)/(Escenarios!$F$16),M495)</f>
        <v>0</v>
      </c>
      <c r="AD495" s="76">
        <f t="shared" si="99"/>
        <v>133.35035163990037</v>
      </c>
      <c r="AE495" s="76">
        <f>MAX(0,(AD495-Constantes!$D$13)*(1-EXP(-Constantes!$D$23)))</f>
        <v>0.83358741494179955</v>
      </c>
      <c r="AF495" s="76">
        <f>AB495+O495*Escenarios!$F$13/Escenarios!$F$16+AE495</f>
        <v>0.83362970969755212</v>
      </c>
      <c r="AG495" s="76">
        <f>IF(Entradas!$F$91&gt;0,IF(AF495-Escenarios!$F$38&lt;=0,0,IF(AF495-Escenarios!$F$38&gt;Escenarios!$F$37,Escenarios!$F$37,AF495-Escenarios!$F$38)),0)</f>
        <v>0</v>
      </c>
      <c r="AH495" s="76">
        <f>AG495*Entradas!$F$99</f>
        <v>0</v>
      </c>
      <c r="AI495" s="76">
        <f>IF(Entradas!$F$91&gt;0,D495*Entradas!$D$23/Escenarios!$F$16,0)</f>
        <v>0.15357511057666479</v>
      </c>
      <c r="AJ495" s="76">
        <f>IF(Entradas!$F$91&gt;0,Entradas!$D$24*Entradas!$D$22/Escenarios!$F$16,0)</f>
        <v>0.12</v>
      </c>
      <c r="AK495" s="76">
        <f t="shared" si="100"/>
        <v>0.15967280633104566</v>
      </c>
      <c r="AL495" s="76">
        <f t="shared" si="101"/>
        <v>0</v>
      </c>
      <c r="AM495" s="76">
        <f t="shared" si="102"/>
        <v>0</v>
      </c>
      <c r="AN495" s="76">
        <f>MAX(0,O495*Escenarios!$F$13/Escenarios!$F$16-AM495)</f>
        <v>4.2294755752528808E-5</v>
      </c>
      <c r="AO495" s="76">
        <f>AM495+AN495-O495*Escenarios!$F$13/Escenarios!$F$16</f>
        <v>0</v>
      </c>
      <c r="AP495" s="76">
        <f t="shared" si="103"/>
        <v>0.83358741494179955</v>
      </c>
      <c r="AQ495" s="76">
        <f t="shared" si="104"/>
        <v>0</v>
      </c>
      <c r="AR495" s="76">
        <f t="shared" si="105"/>
        <v>0.83362970969755212</v>
      </c>
      <c r="AS495" s="76">
        <f t="shared" si="106"/>
        <v>0</v>
      </c>
      <c r="AT495" s="76">
        <f t="shared" si="107"/>
        <v>0</v>
      </c>
      <c r="AU495" s="76">
        <f t="shared" si="108"/>
        <v>57.152008936694045</v>
      </c>
      <c r="AV495" s="76">
        <f>MAX(0,(AU495-Constantes!$D$13)*(1-EXP(-Constantes!$D$24)))</f>
        <v>0.12842678244448527</v>
      </c>
      <c r="AW495" s="170">
        <f>AW494+(Entradas!$F$112*AT495-AX494)/(800*Entradas!$D$25)</f>
        <v>0</v>
      </c>
      <c r="AX495" s="170">
        <f>8000*Entradas!$D$26*AW495/Constantes!$F$45</f>
        <v>0</v>
      </c>
      <c r="AY495" s="170">
        <f>IF(Escenarios!$F$17&gt;0,10*Escenarios!$F$16*AL495,0)</f>
        <v>0</v>
      </c>
      <c r="AZ495" s="170">
        <f>IF(Escenarios!$F$17&gt;0,10*Escenarios!$F$16*AX495,0)</f>
        <v>0</v>
      </c>
      <c r="BA495" s="170">
        <f>IF(Escenarios!$F$17&gt;0,0.001*Observaciones!$F494*Escenarios!$F$17,0)</f>
        <v>0</v>
      </c>
      <c r="BB495" s="170">
        <f>IF(Escenarios!$F$17&gt;0,Observaciones!$K494,0)</f>
        <v>0</v>
      </c>
      <c r="BC495" s="170">
        <f>IF(Escenarios!$F$17&gt;0,MIN(0.0005*ETo!$M494*Escenarios!$F$17*(BG494/Constantes!$F$40)^(2/3),BG494+AY495+AZ495+BA495+BB495),0)</f>
        <v>0</v>
      </c>
      <c r="BD495" s="170">
        <f>IF(Escenarios!$F$17&gt;0,MIN(Constantes!$F$39*(BG494/Constantes!$F$40)^(2/3),BG494+AY495+AZ495+BA495+BB495-BC495),0)</f>
        <v>0</v>
      </c>
      <c r="BE495" s="170">
        <f>IF(Escenarios!$F$17&gt;0,MIN(Entradas!$F$113,BG494+AY495+AZ495+BA495+BB495-BC495-BD495),0)</f>
        <v>0</v>
      </c>
      <c r="BF495" s="170">
        <f>IF(Escenarios!$F$17&gt;0,MAX(0,BG494+AY495+AZ495+BA495+BB495-BC495-BD495-BE495-Constantes!$F$40),0)</f>
        <v>0</v>
      </c>
      <c r="BG495" s="170">
        <f t="shared" si="109"/>
        <v>0</v>
      </c>
      <c r="BH495" s="170">
        <f>(Escenarios!$F$16*AK495+0.1*BC495)/(Escenarios!$F$19)</f>
        <v>0.15967280633104569</v>
      </c>
      <c r="BI495" s="170">
        <f>IF(Escenarios!$F$17&gt;0,BF495/10/Escenarios!$F$19,AL495)</f>
        <v>0</v>
      </c>
      <c r="BJ495" s="170">
        <f>(Escenarios!$F$16*AT495+0.1*BD495)/(Escenarios!$F$19)</f>
        <v>0</v>
      </c>
      <c r="BK495" s="76">
        <f>BK494+(0.1*BD495)/(Escenarios!$F$19)-BL494</f>
        <v>48.75</v>
      </c>
      <c r="BL495" s="76">
        <f>MAX(0,(BK495-Constantes!$D$13)*(1-EXP(-Constantes!$D$23)))</f>
        <v>0</v>
      </c>
      <c r="BM495" s="76">
        <f t="shared" si="110"/>
        <v>0.9620141973862848</v>
      </c>
      <c r="BN495" s="76">
        <f t="shared" si="111"/>
        <v>0.96205649214203737</v>
      </c>
      <c r="BO495" s="76">
        <f>0.0526*BI495*Observaciones!$F494^1.218</f>
        <v>0</v>
      </c>
      <c r="BP495" s="76">
        <f>BO495*Constantes!$F$51</f>
        <v>0</v>
      </c>
      <c r="BQ495" s="76">
        <f t="shared" si="112"/>
        <v>0</v>
      </c>
      <c r="BR495" s="40"/>
    </row>
    <row r="496" spans="2:70">
      <c r="B496" s="39"/>
      <c r="C496" s="75">
        <v>490</v>
      </c>
      <c r="D496" s="146">
        <f>ETo!$I495*((1-Constantes!$F$19)*ETo!$K495+ETo!$L495)</f>
        <v>3.2207394258358022</v>
      </c>
      <c r="E496" s="76">
        <f>MIN(D496*Constantes!$F$17,0.8*(N495+Observaciones!$F495-F496-M496-Constantes!$D$14))</f>
        <v>1.1287620137011346E-3</v>
      </c>
      <c r="F496" s="76">
        <f>IF(Observaciones!$F495&gt;0.05*Constantes!$F$18,((Observaciones!$F495-0.05*Constantes!$F$18)^2)/(Observaciones!$F495+0.95*Constantes!$F$18),0)</f>
        <v>0</v>
      </c>
      <c r="G496" s="76">
        <f>IF(Escenarios!$F$11&gt;0,(F496*Escenarios!$F$16*10000)/1000,0)</f>
        <v>0</v>
      </c>
      <c r="H496" s="76">
        <f>IF(Escenarios!$F$11&gt;0,(Observaciones!$F495*Constantes!$F$29)/1000,0)</f>
        <v>0</v>
      </c>
      <c r="I496" s="76">
        <f>IF(Escenarios!$F$11&gt;0,(D496*Constantes!$F$29)/1000,0)</f>
        <v>0</v>
      </c>
      <c r="J496" s="76">
        <f>IF(Escenarios!$F$11&gt;0,MAX(0,G496+H496-I496),0)</f>
        <v>0</v>
      </c>
      <c r="K496" s="76">
        <f>IF(Escenarios!$F$11&gt;0,IF(J496&gt;Constantes!$F$30,1000*((J496-Constantes!$F$30)/(Escenarios!$F$16*10000)),0),F496)</f>
        <v>0</v>
      </c>
      <c r="L496" s="76">
        <f>IF(Escenarios!$F$11&gt;0,I496*1000/Escenarios!$F$16/10000+E496,E496)</f>
        <v>1.1287620137011346E-3</v>
      </c>
      <c r="M496" s="76">
        <f>MAX(0,N495+Observaciones!$F495-K496-Constantes!$D$13)</f>
        <v>0</v>
      </c>
      <c r="N496" s="76">
        <f>N495+Observaciones!$F495-K496-L496-M496-O495</f>
        <v>11.250234128280979</v>
      </c>
      <c r="O496" s="76">
        <f>MAX(0,(N496-Constantes!$D$14)*(1-EXP(-Constantes!$D$22)))</f>
        <v>7.9752687526757238E-6</v>
      </c>
      <c r="P496" s="170">
        <f>P495+(Entradas!$F$83*M496-Q495)/(800*Entradas!$D$25)</f>
        <v>0</v>
      </c>
      <c r="Q496" s="170">
        <f>8000*Entradas!$D$26*P496/Constantes!$F$45</f>
        <v>0</v>
      </c>
      <c r="R496" s="170">
        <f>IF(Escenarios!$F$14&gt;0,K496*Escenarios!$F$13/Escenarios!$F$14,0)</f>
        <v>0</v>
      </c>
      <c r="S496" s="170">
        <f>IF(Escenarios!$F$14&gt;0,Q496*Escenarios!$F$13/Escenarios!$F$14,0)</f>
        <v>0</v>
      </c>
      <c r="T496" s="170">
        <f>IF(Escenarios!$F$14&gt;0,Observaciones!$I495,0)</f>
        <v>0</v>
      </c>
      <c r="U496" s="170">
        <f>IF(Escenarios!$F$14&gt;0,MAX(0,Constantes!$F$36/((Z495+R496+S496+T496+Observaciones!$F495)^2)+Entradas!$F$77),0)</f>
        <v>0</v>
      </c>
      <c r="V496" s="146">
        <f>IF(ETo!D495&gt;0,ETo!I495*((1-Entradas!$F$81)*ETo!K495+ETo!L495),0)</f>
        <v>2.8284627726368359</v>
      </c>
      <c r="W496" s="170">
        <f>IF(Escenarios!$F$14&gt;0,MIN(V496*1,0.8*(Z495+R496+S496+T496+Observaciones!$F495-U496-Constantes!$F$35)),0)</f>
        <v>1.860018281945486E-4</v>
      </c>
      <c r="X496" s="170">
        <f>IF(Escenarios!$F$14&gt;0,Observaciones!$J495,0)</f>
        <v>0</v>
      </c>
      <c r="Y496" s="170">
        <f>IF(Escenarios!$F$14&gt;0,MAX(0,Z495+R496+S496+T496+Observaciones!$F495-U496-W496-X496-Constantes!$F$33),0)</f>
        <v>0</v>
      </c>
      <c r="Z496" s="170">
        <f>Z495+R496+S496+T496+Observaciones!$F495-U496-W496-Y496</f>
        <v>41.250046500457046</v>
      </c>
      <c r="AA496" s="170">
        <f>IF(Escenarios!$F$14&gt;0,(Escenarios!$F$13*L496+Escenarios!$F$14*W496)/(Escenarios!$F$16),L496)</f>
        <v>1.0156307914403445E-3</v>
      </c>
      <c r="AB496" s="170">
        <f>IF(Escenarios!$F$14&gt;0,(Escenarios!$F$14*Y496)/(Escenarios!$F$16),K496)</f>
        <v>0</v>
      </c>
      <c r="AC496" s="170">
        <f>IF(Escenarios!$F$14&gt;0,(Escenarios!$F$13*M496+Escenarios!$F$14*U496)/(Escenarios!$F$16),M496)</f>
        <v>0</v>
      </c>
      <c r="AD496" s="76">
        <f t="shared" si="99"/>
        <v>132.51676422495856</v>
      </c>
      <c r="AE496" s="76">
        <f>MAX(0,(AD496-Constantes!$D$13)*(1-EXP(-Constantes!$D$23)))</f>
        <v>0.82537387959732433</v>
      </c>
      <c r="AF496" s="76">
        <f>AB496+O496*Escenarios!$F$13/Escenarios!$F$16+AE496</f>
        <v>0.82538089783382673</v>
      </c>
      <c r="AG496" s="76">
        <f>IF(Entradas!$F$91&gt;0,IF(AF496-Escenarios!$F$38&lt;=0,0,IF(AF496-Escenarios!$F$38&gt;Escenarios!$F$37,Escenarios!$F$37,AF496-Escenarios!$F$38)),0)</f>
        <v>0</v>
      </c>
      <c r="AH496" s="76">
        <f>AG496*Entradas!$F$99</f>
        <v>0</v>
      </c>
      <c r="AI496" s="76">
        <f>IF(Entradas!$F$91&gt;0,D496*Entradas!$D$23/Escenarios!$F$16,0)</f>
        <v>0.1545954924401185</v>
      </c>
      <c r="AJ496" s="76">
        <f>IF(Entradas!$F$91&gt;0,Entradas!$D$24*Entradas!$D$22/Escenarios!$F$16,0)</f>
        <v>0.12</v>
      </c>
      <c r="AK496" s="76">
        <f t="shared" si="100"/>
        <v>0.15561112323155885</v>
      </c>
      <c r="AL496" s="76">
        <f t="shared" si="101"/>
        <v>0</v>
      </c>
      <c r="AM496" s="76">
        <f t="shared" si="102"/>
        <v>0</v>
      </c>
      <c r="AN496" s="76">
        <f>MAX(0,O496*Escenarios!$F$13/Escenarios!$F$16-AM496)</f>
        <v>7.0182365023546371E-6</v>
      </c>
      <c r="AO496" s="76">
        <f>AM496+AN496-O496*Escenarios!$F$13/Escenarios!$F$16</f>
        <v>0</v>
      </c>
      <c r="AP496" s="76">
        <f t="shared" si="103"/>
        <v>0.82537387959732433</v>
      </c>
      <c r="AQ496" s="76">
        <f t="shared" si="104"/>
        <v>0</v>
      </c>
      <c r="AR496" s="76">
        <f t="shared" si="105"/>
        <v>0.82538089783382673</v>
      </c>
      <c r="AS496" s="76">
        <f t="shared" si="106"/>
        <v>0</v>
      </c>
      <c r="AT496" s="76">
        <f t="shared" si="107"/>
        <v>0</v>
      </c>
      <c r="AU496" s="76">
        <f t="shared" si="108"/>
        <v>57.02358215424956</v>
      </c>
      <c r="AV496" s="76">
        <f>MAX(0,(AU496-Constantes!$D$13)*(1-EXP(-Constantes!$D$24)))</f>
        <v>0.12646374734498528</v>
      </c>
      <c r="AW496" s="170">
        <f>AW495+(Entradas!$F$112*AT496-AX495)/(800*Entradas!$D$25)</f>
        <v>0</v>
      </c>
      <c r="AX496" s="170">
        <f>8000*Entradas!$D$26*AW496/Constantes!$F$45</f>
        <v>0</v>
      </c>
      <c r="AY496" s="170">
        <f>IF(Escenarios!$F$17&gt;0,10*Escenarios!$F$16*AL496,0)</f>
        <v>0</v>
      </c>
      <c r="AZ496" s="170">
        <f>IF(Escenarios!$F$17&gt;0,10*Escenarios!$F$16*AX496,0)</f>
        <v>0</v>
      </c>
      <c r="BA496" s="170">
        <f>IF(Escenarios!$F$17&gt;0,0.001*Observaciones!$F495*Escenarios!$F$17,0)</f>
        <v>0</v>
      </c>
      <c r="BB496" s="170">
        <f>IF(Escenarios!$F$17&gt;0,Observaciones!$K495,0)</f>
        <v>0</v>
      </c>
      <c r="BC496" s="170">
        <f>IF(Escenarios!$F$17&gt;0,MIN(0.0005*ETo!$M495*Escenarios!$F$17*(BG495/Constantes!$F$40)^(2/3),BG495+AY496+AZ496+BA496+BB496),0)</f>
        <v>0</v>
      </c>
      <c r="BD496" s="170">
        <f>IF(Escenarios!$F$17&gt;0,MIN(Constantes!$F$39*(BG495/Constantes!$F$40)^(2/3),BG495+AY496+AZ496+BA496+BB496-BC496),0)</f>
        <v>0</v>
      </c>
      <c r="BE496" s="170">
        <f>IF(Escenarios!$F$17&gt;0,MIN(Entradas!$F$113,BG495+AY496+AZ496+BA496+BB496-BC496-BD496),0)</f>
        <v>0</v>
      </c>
      <c r="BF496" s="170">
        <f>IF(Escenarios!$F$17&gt;0,MAX(0,BG495+AY496+AZ496+BA496+BB496-BC496-BD496-BE496-Constantes!$F$40),0)</f>
        <v>0</v>
      </c>
      <c r="BG496" s="170">
        <f t="shared" si="109"/>
        <v>0</v>
      </c>
      <c r="BH496" s="170">
        <f>(Escenarios!$F$16*AK496+0.1*BC496)/(Escenarios!$F$19)</f>
        <v>0.15561112323155885</v>
      </c>
      <c r="BI496" s="170">
        <f>IF(Escenarios!$F$17&gt;0,BF496/10/Escenarios!$F$19,AL496)</f>
        <v>0</v>
      </c>
      <c r="BJ496" s="170">
        <f>(Escenarios!$F$16*AT496+0.1*BD496)/(Escenarios!$F$19)</f>
        <v>0</v>
      </c>
      <c r="BK496" s="76">
        <f>BK495+(0.1*BD496)/(Escenarios!$F$19)-BL495</f>
        <v>48.75</v>
      </c>
      <c r="BL496" s="76">
        <f>MAX(0,(BK496-Constantes!$D$13)*(1-EXP(-Constantes!$D$23)))</f>
        <v>0</v>
      </c>
      <c r="BM496" s="76">
        <f t="shared" si="110"/>
        <v>0.95183762694230967</v>
      </c>
      <c r="BN496" s="76">
        <f t="shared" si="111"/>
        <v>0.95184464517881207</v>
      </c>
      <c r="BO496" s="76">
        <f>0.0526*BI496*Observaciones!$F495^1.218</f>
        <v>0</v>
      </c>
      <c r="BP496" s="76">
        <f>BO496*Constantes!$F$51</f>
        <v>0</v>
      </c>
      <c r="BQ496" s="76">
        <f t="shared" si="112"/>
        <v>0</v>
      </c>
      <c r="BR496" s="40"/>
    </row>
    <row r="497" spans="2:70">
      <c r="B497" s="39"/>
      <c r="C497" s="75">
        <v>491</v>
      </c>
      <c r="D497" s="146">
        <f>ETo!$I496*((1-Constantes!$F$19)*ETo!$K496+ETo!$L496)</f>
        <v>3.1114292393677716</v>
      </c>
      <c r="E497" s="76">
        <f>MIN(D497*Constantes!$F$17,0.8*(N496+Observaciones!$F496-F497-M497-Constantes!$D$14))</f>
        <v>1.8730262478356964E-4</v>
      </c>
      <c r="F497" s="76">
        <f>IF(Observaciones!$F496&gt;0.05*Constantes!$F$18,((Observaciones!$F496-0.05*Constantes!$F$18)^2)/(Observaciones!$F496+0.95*Constantes!$F$18),0)</f>
        <v>0</v>
      </c>
      <c r="G497" s="76">
        <f>IF(Escenarios!$F$11&gt;0,(F497*Escenarios!$F$16*10000)/1000,0)</f>
        <v>0</v>
      </c>
      <c r="H497" s="76">
        <f>IF(Escenarios!$F$11&gt;0,(Observaciones!$F496*Constantes!$F$29)/1000,0)</f>
        <v>0</v>
      </c>
      <c r="I497" s="76">
        <f>IF(Escenarios!$F$11&gt;0,(D497*Constantes!$F$29)/1000,0)</f>
        <v>0</v>
      </c>
      <c r="J497" s="76">
        <f>IF(Escenarios!$F$11&gt;0,MAX(0,G497+H497-I497),0)</f>
        <v>0</v>
      </c>
      <c r="K497" s="76">
        <f>IF(Escenarios!$F$11&gt;0,IF(J497&gt;Constantes!$F$30,1000*((J497-Constantes!$F$30)/(Escenarios!$F$16*10000)),0),F497)</f>
        <v>0</v>
      </c>
      <c r="L497" s="76">
        <f>IF(Escenarios!$F$11&gt;0,I497*1000/Escenarios!$F$16/10000+E497,E497)</f>
        <v>1.8730262478356964E-4</v>
      </c>
      <c r="M497" s="76">
        <f>MAX(0,N496+Observaciones!$F496-K497-Constantes!$D$13)</f>
        <v>0</v>
      </c>
      <c r="N497" s="76">
        <f>N496+Observaciones!$F496-K497-L497-M497-O496</f>
        <v>11.250038850387442</v>
      </c>
      <c r="O497" s="76">
        <f>MAX(0,(N497-Constantes!$D$14)*(1-EXP(-Constantes!$D$22)))</f>
        <v>1.3233868189742318E-6</v>
      </c>
      <c r="P497" s="170">
        <f>P496+(Entradas!$F$83*M497-Q496)/(800*Entradas!$D$25)</f>
        <v>0</v>
      </c>
      <c r="Q497" s="170">
        <f>8000*Entradas!$D$26*P497/Constantes!$F$45</f>
        <v>0</v>
      </c>
      <c r="R497" s="170">
        <f>IF(Escenarios!$F$14&gt;0,K497*Escenarios!$F$13/Escenarios!$F$14,0)</f>
        <v>0</v>
      </c>
      <c r="S497" s="170">
        <f>IF(Escenarios!$F$14&gt;0,Q497*Escenarios!$F$13/Escenarios!$F$14,0)</f>
        <v>0</v>
      </c>
      <c r="T497" s="170">
        <f>IF(Escenarios!$F$14&gt;0,Observaciones!$I496,0)</f>
        <v>0</v>
      </c>
      <c r="U497" s="170">
        <f>IF(Escenarios!$F$14&gt;0,MAX(0,Constantes!$F$36/((Z496+R497+S497+T497+Observaciones!$F496)^2)+Entradas!$F$77),0)</f>
        <v>0</v>
      </c>
      <c r="V497" s="146">
        <f>IF(ETo!D496&gt;0,ETo!I496*((1-Entradas!$F$81)*ETo!K496+ETo!L496),0)</f>
        <v>2.7305520769111915</v>
      </c>
      <c r="W497" s="170">
        <f>IF(Escenarios!$F$14&gt;0,MIN(V497*1,0.8*(Z496+R497+S497+T497+Observaciones!$F496-U497-Constantes!$F$35)),0)</f>
        <v>3.7200365636635982E-5</v>
      </c>
      <c r="X497" s="170">
        <f>IF(Escenarios!$F$14&gt;0,Observaciones!$J496,0)</f>
        <v>0</v>
      </c>
      <c r="Y497" s="170">
        <f>IF(Escenarios!$F$14&gt;0,MAX(0,Z496+R497+S497+T497+Observaciones!$F496-U497-W497-X497-Constantes!$F$33),0)</f>
        <v>0</v>
      </c>
      <c r="Z497" s="170">
        <f>Z496+R497+S497+T497+Observaciones!$F496-U497-W497-Y497</f>
        <v>41.250009300091406</v>
      </c>
      <c r="AA497" s="170">
        <f>IF(Escenarios!$F$14&gt;0,(Escenarios!$F$13*L497+Escenarios!$F$14*W497)/(Escenarios!$F$16),L497)</f>
        <v>1.6929035368593758E-4</v>
      </c>
      <c r="AB497" s="170">
        <f>IF(Escenarios!$F$14&gt;0,(Escenarios!$F$14*Y497)/(Escenarios!$F$16),K497)</f>
        <v>0</v>
      </c>
      <c r="AC497" s="170">
        <f>IF(Escenarios!$F$14&gt;0,(Escenarios!$F$13*M497+Escenarios!$F$14*U497)/(Escenarios!$F$16),M497)</f>
        <v>0</v>
      </c>
      <c r="AD497" s="76">
        <f t="shared" si="99"/>
        <v>131.69139034536124</v>
      </c>
      <c r="AE497" s="76">
        <f>MAX(0,(AD497-Constantes!$D$13)*(1-EXP(-Constantes!$D$23)))</f>
        <v>0.81724127417290993</v>
      </c>
      <c r="AF497" s="76">
        <f>AB497+O497*Escenarios!$F$13/Escenarios!$F$16+AE497</f>
        <v>0.8172424387533106</v>
      </c>
      <c r="AG497" s="76">
        <f>IF(Entradas!$F$91&gt;0,IF(AF497-Escenarios!$F$38&lt;=0,0,IF(AF497-Escenarios!$F$38&gt;Escenarios!$F$37,Escenarios!$F$37,AF497-Escenarios!$F$38)),0)</f>
        <v>0</v>
      </c>
      <c r="AH497" s="76">
        <f>AG497*Entradas!$F$99</f>
        <v>0</v>
      </c>
      <c r="AI497" s="76">
        <f>IF(Entradas!$F$91&gt;0,D497*Entradas!$D$23/Escenarios!$F$16,0)</f>
        <v>0.14934860348965304</v>
      </c>
      <c r="AJ497" s="76">
        <f>IF(Entradas!$F$91&gt;0,Entradas!$D$24*Entradas!$D$22/Escenarios!$F$16,0)</f>
        <v>0.12</v>
      </c>
      <c r="AK497" s="76">
        <f t="shared" si="100"/>
        <v>0.14951789384333897</v>
      </c>
      <c r="AL497" s="76">
        <f t="shared" si="101"/>
        <v>0</v>
      </c>
      <c r="AM497" s="76">
        <f t="shared" si="102"/>
        <v>0</v>
      </c>
      <c r="AN497" s="76">
        <f>MAX(0,O497*Escenarios!$F$13/Escenarios!$F$16-AM497)</f>
        <v>1.164580400697324E-6</v>
      </c>
      <c r="AO497" s="76">
        <f>AM497+AN497-O497*Escenarios!$F$13/Escenarios!$F$16</f>
        <v>0</v>
      </c>
      <c r="AP497" s="76">
        <f t="shared" si="103"/>
        <v>0.81724127417290993</v>
      </c>
      <c r="AQ497" s="76">
        <f t="shared" si="104"/>
        <v>0</v>
      </c>
      <c r="AR497" s="76">
        <f t="shared" si="105"/>
        <v>0.8172424387533106</v>
      </c>
      <c r="AS497" s="76">
        <f t="shared" si="106"/>
        <v>0</v>
      </c>
      <c r="AT497" s="76">
        <f t="shared" si="107"/>
        <v>0</v>
      </c>
      <c r="AU497" s="76">
        <f t="shared" si="108"/>
        <v>56.897118406904575</v>
      </c>
      <c r="AV497" s="76">
        <f>MAX(0,(AU497-Constantes!$D$13)*(1-EXP(-Constantes!$D$24)))</f>
        <v>0.1245307177219795</v>
      </c>
      <c r="AW497" s="170">
        <f>AW496+(Entradas!$F$112*AT497-AX496)/(800*Entradas!$D$25)</f>
        <v>0</v>
      </c>
      <c r="AX497" s="170">
        <f>8000*Entradas!$D$26*AW497/Constantes!$F$45</f>
        <v>0</v>
      </c>
      <c r="AY497" s="170">
        <f>IF(Escenarios!$F$17&gt;0,10*Escenarios!$F$16*AL497,0)</f>
        <v>0</v>
      </c>
      <c r="AZ497" s="170">
        <f>IF(Escenarios!$F$17&gt;0,10*Escenarios!$F$16*AX497,0)</f>
        <v>0</v>
      </c>
      <c r="BA497" s="170">
        <f>IF(Escenarios!$F$17&gt;0,0.001*Observaciones!$F496*Escenarios!$F$17,0)</f>
        <v>0</v>
      </c>
      <c r="BB497" s="170">
        <f>IF(Escenarios!$F$17&gt;0,Observaciones!$K496,0)</f>
        <v>0</v>
      </c>
      <c r="BC497" s="170">
        <f>IF(Escenarios!$F$17&gt;0,MIN(0.0005*ETo!$M496*Escenarios!$F$17*(BG496/Constantes!$F$40)^(2/3),BG496+AY497+AZ497+BA497+BB497),0)</f>
        <v>0</v>
      </c>
      <c r="BD497" s="170">
        <f>IF(Escenarios!$F$17&gt;0,MIN(Constantes!$F$39*(BG496/Constantes!$F$40)^(2/3),BG496+AY497+AZ497+BA497+BB497-BC497),0)</f>
        <v>0</v>
      </c>
      <c r="BE497" s="170">
        <f>IF(Escenarios!$F$17&gt;0,MIN(Entradas!$F$113,BG496+AY497+AZ497+BA497+BB497-BC497-BD497),0)</f>
        <v>0</v>
      </c>
      <c r="BF497" s="170">
        <f>IF(Escenarios!$F$17&gt;0,MAX(0,BG496+AY497+AZ497+BA497+BB497-BC497-BD497-BE497-Constantes!$F$40),0)</f>
        <v>0</v>
      </c>
      <c r="BG497" s="170">
        <f t="shared" si="109"/>
        <v>0</v>
      </c>
      <c r="BH497" s="170">
        <f>(Escenarios!$F$16*AK497+0.1*BC497)/(Escenarios!$F$19)</f>
        <v>0.14951789384333897</v>
      </c>
      <c r="BI497" s="170">
        <f>IF(Escenarios!$F$17&gt;0,BF497/10/Escenarios!$F$19,AL497)</f>
        <v>0</v>
      </c>
      <c r="BJ497" s="170">
        <f>(Escenarios!$F$16*AT497+0.1*BD497)/(Escenarios!$F$19)</f>
        <v>0</v>
      </c>
      <c r="BK497" s="76">
        <f>BK496+(0.1*BD497)/(Escenarios!$F$19)-BL496</f>
        <v>48.75</v>
      </c>
      <c r="BL497" s="76">
        <f>MAX(0,(BK497-Constantes!$D$13)*(1-EXP(-Constantes!$D$23)))</f>
        <v>0</v>
      </c>
      <c r="BM497" s="76">
        <f t="shared" si="110"/>
        <v>0.94177199189488947</v>
      </c>
      <c r="BN497" s="76">
        <f t="shared" si="111"/>
        <v>0.94177315647529014</v>
      </c>
      <c r="BO497" s="76">
        <f>0.0526*BI497*Observaciones!$F496^1.218</f>
        <v>0</v>
      </c>
      <c r="BP497" s="76">
        <f>BO497*Constantes!$F$51</f>
        <v>0</v>
      </c>
      <c r="BQ497" s="76">
        <f t="shared" si="112"/>
        <v>0</v>
      </c>
      <c r="BR497" s="40"/>
    </row>
    <row r="498" spans="2:70">
      <c r="B498" s="39"/>
      <c r="C498" s="75">
        <v>492</v>
      </c>
      <c r="D498" s="146">
        <f>ETo!$I497*((1-Constantes!$F$19)*ETo!$K497+ETo!$L497)</f>
        <v>3.1818210718770974</v>
      </c>
      <c r="E498" s="76">
        <f>MIN(D498*Constantes!$F$17,0.8*(N497+Observaciones!$F497-F498-M498-Constantes!$D$14))</f>
        <v>3.1080309953779305E-5</v>
      </c>
      <c r="F498" s="76">
        <f>IF(Observaciones!$F497&gt;0.05*Constantes!$F$18,((Observaciones!$F497-0.05*Constantes!$F$18)^2)/(Observaciones!$F497+0.95*Constantes!$F$18),0)</f>
        <v>0</v>
      </c>
      <c r="G498" s="76">
        <f>IF(Escenarios!$F$11&gt;0,(F498*Escenarios!$F$16*10000)/1000,0)</f>
        <v>0</v>
      </c>
      <c r="H498" s="76">
        <f>IF(Escenarios!$F$11&gt;0,(Observaciones!$F497*Constantes!$F$29)/1000,0)</f>
        <v>0</v>
      </c>
      <c r="I498" s="76">
        <f>IF(Escenarios!$F$11&gt;0,(D498*Constantes!$F$29)/1000,0)</f>
        <v>0</v>
      </c>
      <c r="J498" s="76">
        <f>IF(Escenarios!$F$11&gt;0,MAX(0,G498+H498-I498),0)</f>
        <v>0</v>
      </c>
      <c r="K498" s="76">
        <f>IF(Escenarios!$F$11&gt;0,IF(J498&gt;Constantes!$F$30,1000*((J498-Constantes!$F$30)/(Escenarios!$F$16*10000)),0),F498)</f>
        <v>0</v>
      </c>
      <c r="L498" s="76">
        <f>IF(Escenarios!$F$11&gt;0,I498*1000/Escenarios!$F$16/10000+E498,E498)</f>
        <v>3.1080309953779305E-5</v>
      </c>
      <c r="M498" s="76">
        <f>MAX(0,N497+Observaciones!$F497-K498-Constantes!$D$13)</f>
        <v>0</v>
      </c>
      <c r="N498" s="76">
        <f>N497+Observaciones!$F497-K498-L498-M498-O497</f>
        <v>11.250006446690669</v>
      </c>
      <c r="O498" s="76">
        <f>MAX(0,(N498-Constantes!$D$14)*(1-EXP(-Constantes!$D$22)))</f>
        <v>2.195979504820576E-7</v>
      </c>
      <c r="P498" s="170">
        <f>P497+(Entradas!$F$83*M498-Q497)/(800*Entradas!$D$25)</f>
        <v>0</v>
      </c>
      <c r="Q498" s="170">
        <f>8000*Entradas!$D$26*P498/Constantes!$F$45</f>
        <v>0</v>
      </c>
      <c r="R498" s="170">
        <f>IF(Escenarios!$F$14&gt;0,K498*Escenarios!$F$13/Escenarios!$F$14,0)</f>
        <v>0</v>
      </c>
      <c r="S498" s="170">
        <f>IF(Escenarios!$F$14&gt;0,Q498*Escenarios!$F$13/Escenarios!$F$14,0)</f>
        <v>0</v>
      </c>
      <c r="T498" s="170">
        <f>IF(Escenarios!$F$14&gt;0,Observaciones!$I497,0)</f>
        <v>0</v>
      </c>
      <c r="U498" s="170">
        <f>IF(Escenarios!$F$14&gt;0,MAX(0,Constantes!$F$36/((Z497+R498+S498+T498+Observaciones!$F497)^2)+Entradas!$F$77),0)</f>
        <v>0</v>
      </c>
      <c r="V498" s="146">
        <f>IF(ETo!D497&gt;0,ETo!I497*((1-Entradas!$F$81)*ETo!K497+ETo!L497),0)</f>
        <v>2.7928495402268596</v>
      </c>
      <c r="W498" s="170">
        <f>IF(Escenarios!$F$14&gt;0,MIN(V498*1,0.8*(Z497+R498+S498+T498+Observaciones!$F497-U498-Constantes!$F$35)),0)</f>
        <v>7.4400731250534596E-6</v>
      </c>
      <c r="X498" s="170">
        <f>IF(Escenarios!$F$14&gt;0,Observaciones!$J497,0)</f>
        <v>0</v>
      </c>
      <c r="Y498" s="170">
        <f>IF(Escenarios!$F$14&gt;0,MAX(0,Z497+R498+S498+T498+Observaciones!$F497-U498-W498-X498-Constantes!$F$33),0)</f>
        <v>0</v>
      </c>
      <c r="Z498" s="170">
        <f>Z497+R498+S498+T498+Observaciones!$F497-U498-W498-Y498</f>
        <v>41.25000186001828</v>
      </c>
      <c r="AA498" s="170">
        <f>IF(Escenarios!$F$14&gt;0,(Escenarios!$F$13*L498+Escenarios!$F$14*W498)/(Escenarios!$F$16),L498)</f>
        <v>2.8243481534332205E-5</v>
      </c>
      <c r="AB498" s="170">
        <f>IF(Escenarios!$F$14&gt;0,(Escenarios!$F$14*Y498)/(Escenarios!$F$16),K498)</f>
        <v>0</v>
      </c>
      <c r="AC498" s="170">
        <f>IF(Escenarios!$F$14&gt;0,(Escenarios!$F$13*M498+Escenarios!$F$14*U498)/(Escenarios!$F$16),M498)</f>
        <v>0</v>
      </c>
      <c r="AD498" s="76">
        <f t="shared" si="99"/>
        <v>130.87414907118833</v>
      </c>
      <c r="AE498" s="76">
        <f>MAX(0,(AD498-Constantes!$D$13)*(1-EXP(-Constantes!$D$23)))</f>
        <v>0.80918880124677794</v>
      </c>
      <c r="AF498" s="76">
        <f>AB498+O498*Escenarios!$F$13/Escenarios!$F$16+AE498</f>
        <v>0.80918899449297432</v>
      </c>
      <c r="AG498" s="76">
        <f>IF(Entradas!$F$91&gt;0,IF(AF498-Escenarios!$F$38&lt;=0,0,IF(AF498-Escenarios!$F$38&gt;Escenarios!$F$37,Escenarios!$F$37,AF498-Escenarios!$F$38)),0)</f>
        <v>0</v>
      </c>
      <c r="AH498" s="76">
        <f>AG498*Entradas!$F$99</f>
        <v>0</v>
      </c>
      <c r="AI498" s="76">
        <f>IF(Entradas!$F$91&gt;0,D498*Entradas!$D$23/Escenarios!$F$16,0)</f>
        <v>0.15272741145010069</v>
      </c>
      <c r="AJ498" s="76">
        <f>IF(Entradas!$F$91&gt;0,Entradas!$D$24*Entradas!$D$22/Escenarios!$F$16,0)</f>
        <v>0.12</v>
      </c>
      <c r="AK498" s="76">
        <f t="shared" si="100"/>
        <v>0.15275565493163501</v>
      </c>
      <c r="AL498" s="76">
        <f t="shared" si="101"/>
        <v>0</v>
      </c>
      <c r="AM498" s="76">
        <f t="shared" si="102"/>
        <v>0</v>
      </c>
      <c r="AN498" s="76">
        <f>MAX(0,O498*Escenarios!$F$13/Escenarios!$F$16-AM498)</f>
        <v>1.932461964242107E-7</v>
      </c>
      <c r="AO498" s="76">
        <f>AM498+AN498-O498*Escenarios!$F$13/Escenarios!$F$16</f>
        <v>0</v>
      </c>
      <c r="AP498" s="76">
        <f t="shared" si="103"/>
        <v>0.80918880124677794</v>
      </c>
      <c r="AQ498" s="76">
        <f t="shared" si="104"/>
        <v>0</v>
      </c>
      <c r="AR498" s="76">
        <f t="shared" si="105"/>
        <v>0.80918899449297432</v>
      </c>
      <c r="AS498" s="76">
        <f t="shared" si="106"/>
        <v>0</v>
      </c>
      <c r="AT498" s="76">
        <f t="shared" si="107"/>
        <v>0</v>
      </c>
      <c r="AU498" s="76">
        <f t="shared" si="108"/>
        <v>56.772587689182593</v>
      </c>
      <c r="AV498" s="76">
        <f>MAX(0,(AU498-Constantes!$D$13)*(1-EXP(-Constantes!$D$24)))</f>
        <v>0.12262723493434641</v>
      </c>
      <c r="AW498" s="170">
        <f>AW497+(Entradas!$F$112*AT498-AX497)/(800*Entradas!$D$25)</f>
        <v>0</v>
      </c>
      <c r="AX498" s="170">
        <f>8000*Entradas!$D$26*AW498/Constantes!$F$45</f>
        <v>0</v>
      </c>
      <c r="AY498" s="170">
        <f>IF(Escenarios!$F$17&gt;0,10*Escenarios!$F$16*AL498,0)</f>
        <v>0</v>
      </c>
      <c r="AZ498" s="170">
        <f>IF(Escenarios!$F$17&gt;0,10*Escenarios!$F$16*AX498,0)</f>
        <v>0</v>
      </c>
      <c r="BA498" s="170">
        <f>IF(Escenarios!$F$17&gt;0,0.001*Observaciones!$F497*Escenarios!$F$17,0)</f>
        <v>0</v>
      </c>
      <c r="BB498" s="170">
        <f>IF(Escenarios!$F$17&gt;0,Observaciones!$K497,0)</f>
        <v>0</v>
      </c>
      <c r="BC498" s="170">
        <f>IF(Escenarios!$F$17&gt;0,MIN(0.0005*ETo!$M497*Escenarios!$F$17*(BG497/Constantes!$F$40)^(2/3),BG497+AY498+AZ498+BA498+BB498),0)</f>
        <v>0</v>
      </c>
      <c r="BD498" s="170">
        <f>IF(Escenarios!$F$17&gt;0,MIN(Constantes!$F$39*(BG497/Constantes!$F$40)^(2/3),BG497+AY498+AZ498+BA498+BB498-BC498),0)</f>
        <v>0</v>
      </c>
      <c r="BE498" s="170">
        <f>IF(Escenarios!$F$17&gt;0,MIN(Entradas!$F$113,BG497+AY498+AZ498+BA498+BB498-BC498-BD498),0)</f>
        <v>0</v>
      </c>
      <c r="BF498" s="170">
        <f>IF(Escenarios!$F$17&gt;0,MAX(0,BG497+AY498+AZ498+BA498+BB498-BC498-BD498-BE498-Constantes!$F$40),0)</f>
        <v>0</v>
      </c>
      <c r="BG498" s="170">
        <f t="shared" si="109"/>
        <v>0</v>
      </c>
      <c r="BH498" s="170">
        <f>(Escenarios!$F$16*AK498+0.1*BC498)/(Escenarios!$F$19)</f>
        <v>0.15275565493163501</v>
      </c>
      <c r="BI498" s="170">
        <f>IF(Escenarios!$F$17&gt;0,BF498/10/Escenarios!$F$19,AL498)</f>
        <v>0</v>
      </c>
      <c r="BJ498" s="170">
        <f>(Escenarios!$F$16*AT498+0.1*BD498)/(Escenarios!$F$19)</f>
        <v>0</v>
      </c>
      <c r="BK498" s="76">
        <f>BK497+(0.1*BD498)/(Escenarios!$F$19)-BL497</f>
        <v>48.75</v>
      </c>
      <c r="BL498" s="76">
        <f>MAX(0,(BK498-Constantes!$D$13)*(1-EXP(-Constantes!$D$23)))</f>
        <v>0</v>
      </c>
      <c r="BM498" s="76">
        <f t="shared" si="110"/>
        <v>0.9318160361811243</v>
      </c>
      <c r="BN498" s="76">
        <f t="shared" si="111"/>
        <v>0.93181622942732067</v>
      </c>
      <c r="BO498" s="76">
        <f>0.0526*BI498*Observaciones!$F497^1.218</f>
        <v>0</v>
      </c>
      <c r="BP498" s="76">
        <f>BO498*Constantes!$F$51</f>
        <v>0</v>
      </c>
      <c r="BQ498" s="76">
        <f t="shared" si="112"/>
        <v>0</v>
      </c>
      <c r="BR498" s="40"/>
    </row>
    <row r="499" spans="2:70">
      <c r="B499" s="39"/>
      <c r="C499" s="75">
        <v>493</v>
      </c>
      <c r="D499" s="146">
        <f>ETo!$I498*((1-Constantes!$F$19)*ETo!$K498+ETo!$L498)</f>
        <v>3.077238842326171</v>
      </c>
      <c r="E499" s="76">
        <f>MIN(D499*Constantes!$F$17,0.8*(N498+Observaciones!$F498-F499-M499-Constantes!$D$14))</f>
        <v>5.1573525354342571E-6</v>
      </c>
      <c r="F499" s="76">
        <f>IF(Observaciones!$F498&gt;0.05*Constantes!$F$18,((Observaciones!$F498-0.05*Constantes!$F$18)^2)/(Observaciones!$F498+0.95*Constantes!$F$18),0)</f>
        <v>0</v>
      </c>
      <c r="G499" s="76">
        <f>IF(Escenarios!$F$11&gt;0,(F499*Escenarios!$F$16*10000)/1000,0)</f>
        <v>0</v>
      </c>
      <c r="H499" s="76">
        <f>IF(Escenarios!$F$11&gt;0,(Observaciones!$F498*Constantes!$F$29)/1000,0)</f>
        <v>0</v>
      </c>
      <c r="I499" s="76">
        <f>IF(Escenarios!$F$11&gt;0,(D499*Constantes!$F$29)/1000,0)</f>
        <v>0</v>
      </c>
      <c r="J499" s="76">
        <f>IF(Escenarios!$F$11&gt;0,MAX(0,G499+H499-I499),0)</f>
        <v>0</v>
      </c>
      <c r="K499" s="76">
        <f>IF(Escenarios!$F$11&gt;0,IF(J499&gt;Constantes!$F$30,1000*((J499-Constantes!$F$30)/(Escenarios!$F$16*10000)),0),F499)</f>
        <v>0</v>
      </c>
      <c r="L499" s="76">
        <f>IF(Escenarios!$F$11&gt;0,I499*1000/Escenarios!$F$16/10000+E499,E499)</f>
        <v>5.1573525354342571E-6</v>
      </c>
      <c r="M499" s="76">
        <f>MAX(0,N498+Observaciones!$F498-K499-Constantes!$D$13)</f>
        <v>0</v>
      </c>
      <c r="N499" s="76">
        <f>N498+Observaciones!$F498-K499-L499-M499-O498</f>
        <v>11.250001069740183</v>
      </c>
      <c r="O499" s="76">
        <f>MAX(0,(N499-Constantes!$D$14)*(1-EXP(-Constantes!$D$22)))</f>
        <v>3.6439277717923969E-8</v>
      </c>
      <c r="P499" s="170">
        <f>P498+(Entradas!$F$83*M499-Q498)/(800*Entradas!$D$25)</f>
        <v>0</v>
      </c>
      <c r="Q499" s="170">
        <f>8000*Entradas!$D$26*P499/Constantes!$F$45</f>
        <v>0</v>
      </c>
      <c r="R499" s="170">
        <f>IF(Escenarios!$F$14&gt;0,K499*Escenarios!$F$13/Escenarios!$F$14,0)</f>
        <v>0</v>
      </c>
      <c r="S499" s="170">
        <f>IF(Escenarios!$F$14&gt;0,Q499*Escenarios!$F$13/Escenarios!$F$14,0)</f>
        <v>0</v>
      </c>
      <c r="T499" s="170">
        <f>IF(Escenarios!$F$14&gt;0,Observaciones!$I498,0)</f>
        <v>0</v>
      </c>
      <c r="U499" s="170">
        <f>IF(Escenarios!$F$14&gt;0,MAX(0,Constantes!$F$36/((Z498+R499+S499+T499+Observaciones!$F498)^2)+Entradas!$F$77),0)</f>
        <v>0</v>
      </c>
      <c r="V499" s="146">
        <f>IF(ETo!D498&gt;0,ETo!I498*((1-Entradas!$F$81)*ETo!K498+ETo!L498),0)</f>
        <v>2.6991919328693652</v>
      </c>
      <c r="W499" s="170">
        <f>IF(Escenarios!$F$14&gt;0,MIN(V499*1,0.8*(Z498+R499+S499+T499+Observaciones!$F498-U499-Constantes!$F$35)),0)</f>
        <v>1.4880146238738235E-6</v>
      </c>
      <c r="X499" s="170">
        <f>IF(Escenarios!$F$14&gt;0,Observaciones!$J498,0)</f>
        <v>0</v>
      </c>
      <c r="Y499" s="170">
        <f>IF(Escenarios!$F$14&gt;0,MAX(0,Z498+R499+S499+T499+Observaciones!$F498-U499-W499-X499-Constantes!$F$33),0)</f>
        <v>0</v>
      </c>
      <c r="Z499" s="170">
        <f>Z498+R499+S499+T499+Observaciones!$F498-U499-W499-Y499</f>
        <v>41.250000372003655</v>
      </c>
      <c r="AA499" s="170">
        <f>IF(Escenarios!$F$14&gt;0,(Escenarios!$F$13*L499+Escenarios!$F$14*W499)/(Escenarios!$F$16),L499)</f>
        <v>4.7170319860470049E-6</v>
      </c>
      <c r="AB499" s="170">
        <f>IF(Escenarios!$F$14&gt;0,(Escenarios!$F$14*Y499)/(Escenarios!$F$16),K499)</f>
        <v>0</v>
      </c>
      <c r="AC499" s="170">
        <f>IF(Escenarios!$F$14&gt;0,(Escenarios!$F$13*M499+Escenarios!$F$14*U499)/(Escenarios!$F$16),M499)</f>
        <v>0</v>
      </c>
      <c r="AD499" s="76">
        <f t="shared" si="99"/>
        <v>130.06496026994154</v>
      </c>
      <c r="AE499" s="76">
        <f>MAX(0,(AD499-Constantes!$D$13)*(1-EXP(-Constantes!$D$23)))</f>
        <v>0.80121567125433679</v>
      </c>
      <c r="AF499" s="76">
        <f>AB499+O499*Escenarios!$F$13/Escenarios!$F$16+AE499</f>
        <v>0.8012157033209012</v>
      </c>
      <c r="AG499" s="76">
        <f>IF(Entradas!$F$91&gt;0,IF(AF499-Escenarios!$F$38&lt;=0,0,IF(AF499-Escenarios!$F$38&gt;Escenarios!$F$37,Escenarios!$F$37,AF499-Escenarios!$F$38)),0)</f>
        <v>0</v>
      </c>
      <c r="AH499" s="76">
        <f>AG499*Entradas!$F$99</f>
        <v>0</v>
      </c>
      <c r="AI499" s="76">
        <f>IF(Entradas!$F$91&gt;0,D499*Entradas!$D$23/Escenarios!$F$16,0)</f>
        <v>0.14770746443165619</v>
      </c>
      <c r="AJ499" s="76">
        <f>IF(Entradas!$F$91&gt;0,Entradas!$D$24*Entradas!$D$22/Escenarios!$F$16,0)</f>
        <v>0.12</v>
      </c>
      <c r="AK499" s="76">
        <f t="shared" si="100"/>
        <v>0.14771218146364223</v>
      </c>
      <c r="AL499" s="76">
        <f t="shared" si="101"/>
        <v>0</v>
      </c>
      <c r="AM499" s="76">
        <f t="shared" si="102"/>
        <v>0</v>
      </c>
      <c r="AN499" s="76">
        <f>MAX(0,O499*Escenarios!$F$13/Escenarios!$F$16-AM499)</f>
        <v>3.2066564391773092E-8</v>
      </c>
      <c r="AO499" s="76">
        <f>AM499+AN499-O499*Escenarios!$F$13/Escenarios!$F$16</f>
        <v>0</v>
      </c>
      <c r="AP499" s="76">
        <f t="shared" si="103"/>
        <v>0.80121567125433679</v>
      </c>
      <c r="AQ499" s="76">
        <f t="shared" si="104"/>
        <v>0</v>
      </c>
      <c r="AR499" s="76">
        <f t="shared" si="105"/>
        <v>0.8012157033209012</v>
      </c>
      <c r="AS499" s="76">
        <f t="shared" si="106"/>
        <v>0</v>
      </c>
      <c r="AT499" s="76">
        <f t="shared" si="107"/>
        <v>0</v>
      </c>
      <c r="AU499" s="76">
        <f t="shared" si="108"/>
        <v>56.649960454248244</v>
      </c>
      <c r="AV499" s="76">
        <f>MAX(0,(AU499-Constantes!$D$13)*(1-EXP(-Constantes!$D$24)))</f>
        <v>0.12075284735140734</v>
      </c>
      <c r="AW499" s="170">
        <f>AW498+(Entradas!$F$112*AT499-AX498)/(800*Entradas!$D$25)</f>
        <v>0</v>
      </c>
      <c r="AX499" s="170">
        <f>8000*Entradas!$D$26*AW499/Constantes!$F$45</f>
        <v>0</v>
      </c>
      <c r="AY499" s="170">
        <f>IF(Escenarios!$F$17&gt;0,10*Escenarios!$F$16*AL499,0)</f>
        <v>0</v>
      </c>
      <c r="AZ499" s="170">
        <f>IF(Escenarios!$F$17&gt;0,10*Escenarios!$F$16*AX499,0)</f>
        <v>0</v>
      </c>
      <c r="BA499" s="170">
        <f>IF(Escenarios!$F$17&gt;0,0.001*Observaciones!$F498*Escenarios!$F$17,0)</f>
        <v>0</v>
      </c>
      <c r="BB499" s="170">
        <f>IF(Escenarios!$F$17&gt;0,Observaciones!$K498,0)</f>
        <v>0</v>
      </c>
      <c r="BC499" s="170">
        <f>IF(Escenarios!$F$17&gt;0,MIN(0.0005*ETo!$M498*Escenarios!$F$17*(BG498/Constantes!$F$40)^(2/3),BG498+AY499+AZ499+BA499+BB499),0)</f>
        <v>0</v>
      </c>
      <c r="BD499" s="170">
        <f>IF(Escenarios!$F$17&gt;0,MIN(Constantes!$F$39*(BG498/Constantes!$F$40)^(2/3),BG498+AY499+AZ499+BA499+BB499-BC499),0)</f>
        <v>0</v>
      </c>
      <c r="BE499" s="170">
        <f>IF(Escenarios!$F$17&gt;0,MIN(Entradas!$F$113,BG498+AY499+AZ499+BA499+BB499-BC499-BD499),0)</f>
        <v>0</v>
      </c>
      <c r="BF499" s="170">
        <f>IF(Escenarios!$F$17&gt;0,MAX(0,BG498+AY499+AZ499+BA499+BB499-BC499-BD499-BE499-Constantes!$F$40),0)</f>
        <v>0</v>
      </c>
      <c r="BG499" s="170">
        <f t="shared" si="109"/>
        <v>0</v>
      </c>
      <c r="BH499" s="170">
        <f>(Escenarios!$F$16*AK499+0.1*BC499)/(Escenarios!$F$19)</f>
        <v>0.14771218146364223</v>
      </c>
      <c r="BI499" s="170">
        <f>IF(Escenarios!$F$17&gt;0,BF499/10/Escenarios!$F$19,AL499)</f>
        <v>0</v>
      </c>
      <c r="BJ499" s="170">
        <f>(Escenarios!$F$16*AT499+0.1*BD499)/(Escenarios!$F$19)</f>
        <v>0</v>
      </c>
      <c r="BK499" s="76">
        <f>BK498+(0.1*BD499)/(Escenarios!$F$19)-BL498</f>
        <v>48.75</v>
      </c>
      <c r="BL499" s="76">
        <f>MAX(0,(BK499-Constantes!$D$13)*(1-EXP(-Constantes!$D$23)))</f>
        <v>0</v>
      </c>
      <c r="BM499" s="76">
        <f t="shared" si="110"/>
        <v>0.92196851860574414</v>
      </c>
      <c r="BN499" s="76">
        <f t="shared" si="111"/>
        <v>0.92196855067230854</v>
      </c>
      <c r="BO499" s="76">
        <f>0.0526*BI499*Observaciones!$F498^1.218</f>
        <v>0</v>
      </c>
      <c r="BP499" s="76">
        <f>BO499*Constantes!$F$51</f>
        <v>0</v>
      </c>
      <c r="BQ499" s="76">
        <f t="shared" si="112"/>
        <v>0</v>
      </c>
      <c r="BR499" s="40"/>
    </row>
    <row r="500" spans="2:70">
      <c r="B500" s="39"/>
      <c r="C500" s="75">
        <v>494</v>
      </c>
      <c r="D500" s="146">
        <f>ETo!$I499*((1-Constantes!$F$19)*ETo!$K499+ETo!$L499)</f>
        <v>3.1019483950134497</v>
      </c>
      <c r="E500" s="76">
        <f>MIN(D500*Constantes!$F$17,0.8*(N499+Observaciones!$F499-F500-M500-Constantes!$D$14))</f>
        <v>0.16000085579214557</v>
      </c>
      <c r="F500" s="76">
        <f>IF(Observaciones!$F499&gt;0.05*Constantes!$F$18,((Observaciones!$F499-0.05*Constantes!$F$18)^2)/(Observaciones!$F499+0.95*Constantes!$F$18),0)</f>
        <v>0</v>
      </c>
      <c r="G500" s="76">
        <f>IF(Escenarios!$F$11&gt;0,(F500*Escenarios!$F$16*10000)/1000,0)</f>
        <v>0</v>
      </c>
      <c r="H500" s="76">
        <f>IF(Escenarios!$F$11&gt;0,(Observaciones!$F499*Constantes!$F$29)/1000,0)</f>
        <v>0</v>
      </c>
      <c r="I500" s="76">
        <f>IF(Escenarios!$F$11&gt;0,(D500*Constantes!$F$29)/1000,0)</f>
        <v>0</v>
      </c>
      <c r="J500" s="76">
        <f>IF(Escenarios!$F$11&gt;0,MAX(0,G500+H500-I500),0)</f>
        <v>0</v>
      </c>
      <c r="K500" s="76">
        <f>IF(Escenarios!$F$11&gt;0,IF(J500&gt;Constantes!$F$30,1000*((J500-Constantes!$F$30)/(Escenarios!$F$16*10000)),0),F500)</f>
        <v>0</v>
      </c>
      <c r="L500" s="76">
        <f>IF(Escenarios!$F$11&gt;0,I500*1000/Escenarios!$F$16/10000+E500,E500)</f>
        <v>0.16000085579214557</v>
      </c>
      <c r="M500" s="76">
        <f>MAX(0,N499+Observaciones!$F499-K500-Constantes!$D$13)</f>
        <v>0</v>
      </c>
      <c r="N500" s="76">
        <f>N499+Observaciones!$F499-K500-L500-M500-O499</f>
        <v>11.290000177508759</v>
      </c>
      <c r="O500" s="76">
        <f>MAX(0,(N500-Constantes!$D$14)*(1-EXP(-Constantes!$D$22)))</f>
        <v>1.36255288960615E-3</v>
      </c>
      <c r="P500" s="170">
        <f>P499+(Entradas!$F$83*M500-Q499)/(800*Entradas!$D$25)</f>
        <v>0</v>
      </c>
      <c r="Q500" s="170">
        <f>8000*Entradas!$D$26*P500/Constantes!$F$45</f>
        <v>0</v>
      </c>
      <c r="R500" s="170">
        <f>IF(Escenarios!$F$14&gt;0,K500*Escenarios!$F$13/Escenarios!$F$14,0)</f>
        <v>0</v>
      </c>
      <c r="S500" s="170">
        <f>IF(Escenarios!$F$14&gt;0,Q500*Escenarios!$F$13/Escenarios!$F$14,0)</f>
        <v>0</v>
      </c>
      <c r="T500" s="170">
        <f>IF(Escenarios!$F$14&gt;0,Observaciones!$I499,0)</f>
        <v>0</v>
      </c>
      <c r="U500" s="170">
        <f>IF(Escenarios!$F$14&gt;0,MAX(0,Constantes!$F$36/((Z499+R500+S500+T500+Observaciones!$F499)^2)+Entradas!$F$77),0)</f>
        <v>0</v>
      </c>
      <c r="V500" s="146">
        <f>IF(ETo!D499&gt;0,ETo!I499*((1-Entradas!$F$81)*ETo!K499+ETo!L499),0)</f>
        <v>2.7207248461999618</v>
      </c>
      <c r="W500" s="170">
        <f>IF(Escenarios!$F$14&gt;0,MIN(V500*1,0.8*(Z499+R500+S500+T500+Observaciones!$F499-U500-Constantes!$F$35)),0)</f>
        <v>0.16000029760292592</v>
      </c>
      <c r="X500" s="170">
        <f>IF(Escenarios!$F$14&gt;0,Observaciones!$J499,0)</f>
        <v>0</v>
      </c>
      <c r="Y500" s="170">
        <f>IF(Escenarios!$F$14&gt;0,MAX(0,Z499+R500+S500+T500+Observaciones!$F499-U500-W500-X500-Constantes!$F$33),0)</f>
        <v>0</v>
      </c>
      <c r="Z500" s="170">
        <f>Z499+R500+S500+T500+Observaciones!$F499-U500-W500-Y500</f>
        <v>41.29000007440073</v>
      </c>
      <c r="AA500" s="170">
        <f>IF(Escenarios!$F$14&gt;0,(Escenarios!$F$13*L500+Escenarios!$F$14*W500)/(Escenarios!$F$16),L500)</f>
        <v>0.16000078880943919</v>
      </c>
      <c r="AB500" s="170">
        <f>IF(Escenarios!$F$14&gt;0,(Escenarios!$F$14*Y500)/(Escenarios!$F$16),K500)</f>
        <v>0</v>
      </c>
      <c r="AC500" s="170">
        <f>IF(Escenarios!$F$14&gt;0,(Escenarios!$F$13*M500+Escenarios!$F$14*U500)/(Escenarios!$F$16),M500)</f>
        <v>0</v>
      </c>
      <c r="AD500" s="76">
        <f t="shared" si="99"/>
        <v>129.2637445986872</v>
      </c>
      <c r="AE500" s="76">
        <f>MAX(0,(AD500-Constantes!$D$13)*(1-EXP(-Constantes!$D$23)))</f>
        <v>0.7933211024107627</v>
      </c>
      <c r="AF500" s="76">
        <f>AB500+O500*Escenarios!$F$13/Escenarios!$F$16+AE500</f>
        <v>0.79452014895361611</v>
      </c>
      <c r="AG500" s="76">
        <f>IF(Entradas!$F$91&gt;0,IF(AF500-Escenarios!$F$38&lt;=0,0,IF(AF500-Escenarios!$F$38&gt;Escenarios!$F$37,Escenarios!$F$37,AF500-Escenarios!$F$38)),0)</f>
        <v>0</v>
      </c>
      <c r="AH500" s="76">
        <f>AG500*Entradas!$F$99</f>
        <v>0</v>
      </c>
      <c r="AI500" s="76">
        <f>IF(Entradas!$F$91&gt;0,D500*Entradas!$D$23/Escenarios!$F$16,0)</f>
        <v>0.14889352296064559</v>
      </c>
      <c r="AJ500" s="76">
        <f>IF(Entradas!$F$91&gt;0,Entradas!$D$24*Entradas!$D$22/Escenarios!$F$16,0)</f>
        <v>0.12</v>
      </c>
      <c r="AK500" s="76">
        <f t="shared" si="100"/>
        <v>0.30889431177008475</v>
      </c>
      <c r="AL500" s="76">
        <f t="shared" si="101"/>
        <v>0</v>
      </c>
      <c r="AM500" s="76">
        <f t="shared" si="102"/>
        <v>0</v>
      </c>
      <c r="AN500" s="76">
        <f>MAX(0,O500*Escenarios!$F$13/Escenarios!$F$16-AM500)</f>
        <v>1.199046542853412E-3</v>
      </c>
      <c r="AO500" s="76">
        <f>AM500+AN500-O500*Escenarios!$F$13/Escenarios!$F$16</f>
        <v>0</v>
      </c>
      <c r="AP500" s="76">
        <f t="shared" si="103"/>
        <v>0.7933211024107627</v>
      </c>
      <c r="AQ500" s="76">
        <f t="shared" si="104"/>
        <v>0</v>
      </c>
      <c r="AR500" s="76">
        <f t="shared" si="105"/>
        <v>0.79452014895361611</v>
      </c>
      <c r="AS500" s="76">
        <f t="shared" si="106"/>
        <v>0</v>
      </c>
      <c r="AT500" s="76">
        <f t="shared" si="107"/>
        <v>0</v>
      </c>
      <c r="AU500" s="76">
        <f t="shared" si="108"/>
        <v>56.52920760689684</v>
      </c>
      <c r="AV500" s="76">
        <f>MAX(0,(AU500-Constantes!$D$13)*(1-EXP(-Constantes!$D$24)))</f>
        <v>0.11890711024577021</v>
      </c>
      <c r="AW500" s="170">
        <f>AW499+(Entradas!$F$112*AT500-AX499)/(800*Entradas!$D$25)</f>
        <v>0</v>
      </c>
      <c r="AX500" s="170">
        <f>8000*Entradas!$D$26*AW500/Constantes!$F$45</f>
        <v>0</v>
      </c>
      <c r="AY500" s="170">
        <f>IF(Escenarios!$F$17&gt;0,10*Escenarios!$F$16*AL500,0)</f>
        <v>0</v>
      </c>
      <c r="AZ500" s="170">
        <f>IF(Escenarios!$F$17&gt;0,10*Escenarios!$F$16*AX500,0)</f>
        <v>0</v>
      </c>
      <c r="BA500" s="170">
        <f>IF(Escenarios!$F$17&gt;0,0.001*Observaciones!$F499*Escenarios!$F$17,0)</f>
        <v>0</v>
      </c>
      <c r="BB500" s="170">
        <f>IF(Escenarios!$F$17&gt;0,Observaciones!$K499,0)</f>
        <v>0</v>
      </c>
      <c r="BC500" s="170">
        <f>IF(Escenarios!$F$17&gt;0,MIN(0.0005*ETo!$M499*Escenarios!$F$17*(BG499/Constantes!$F$40)^(2/3),BG499+AY500+AZ500+BA500+BB500),0)</f>
        <v>0</v>
      </c>
      <c r="BD500" s="170">
        <f>IF(Escenarios!$F$17&gt;0,MIN(Constantes!$F$39*(BG499/Constantes!$F$40)^(2/3),BG499+AY500+AZ500+BA500+BB500-BC500),0)</f>
        <v>0</v>
      </c>
      <c r="BE500" s="170">
        <f>IF(Escenarios!$F$17&gt;0,MIN(Entradas!$F$113,BG499+AY500+AZ500+BA500+BB500-BC500-BD500),0)</f>
        <v>0</v>
      </c>
      <c r="BF500" s="170">
        <f>IF(Escenarios!$F$17&gt;0,MAX(0,BG499+AY500+AZ500+BA500+BB500-BC500-BD500-BE500-Constantes!$F$40),0)</f>
        <v>0</v>
      </c>
      <c r="BG500" s="170">
        <f t="shared" si="109"/>
        <v>0</v>
      </c>
      <c r="BH500" s="170">
        <f>(Escenarios!$F$16*AK500+0.1*BC500)/(Escenarios!$F$19)</f>
        <v>0.30889431177008475</v>
      </c>
      <c r="BI500" s="170">
        <f>IF(Escenarios!$F$17&gt;0,BF500/10/Escenarios!$F$19,AL500)</f>
        <v>0</v>
      </c>
      <c r="BJ500" s="170">
        <f>(Escenarios!$F$16*AT500+0.1*BD500)/(Escenarios!$F$19)</f>
        <v>0</v>
      </c>
      <c r="BK500" s="76">
        <f>BK499+(0.1*BD500)/(Escenarios!$F$19)-BL499</f>
        <v>48.75</v>
      </c>
      <c r="BL500" s="76">
        <f>MAX(0,(BK500-Constantes!$D$13)*(1-EXP(-Constantes!$D$23)))</f>
        <v>0</v>
      </c>
      <c r="BM500" s="76">
        <f t="shared" si="110"/>
        <v>0.91222821265653287</v>
      </c>
      <c r="BN500" s="76">
        <f t="shared" si="111"/>
        <v>0.91342725919938628</v>
      </c>
      <c r="BO500" s="76">
        <f>0.0526*BI500*Observaciones!$F499^1.218</f>
        <v>0</v>
      </c>
      <c r="BP500" s="76">
        <f>BO500*Constantes!$F$51</f>
        <v>0</v>
      </c>
      <c r="BQ500" s="76">
        <f t="shared" si="112"/>
        <v>0</v>
      </c>
      <c r="BR500" s="40"/>
    </row>
    <row r="501" spans="2:70">
      <c r="B501" s="39"/>
      <c r="C501" s="75">
        <v>495</v>
      </c>
      <c r="D501" s="146">
        <f>ETo!$I500*((1-Constantes!$F$19)*ETo!$K500+ETo!$L500)</f>
        <v>3.1196556692458954</v>
      </c>
      <c r="E501" s="76">
        <f>MIN(D501*Constantes!$F$17,0.8*(N500+Observaciones!$F500-F501-M501-Constantes!$D$14))</f>
        <v>3.2000142007007071E-2</v>
      </c>
      <c r="F501" s="76">
        <f>IF(Observaciones!$F500&gt;0.05*Constantes!$F$18,((Observaciones!$F500-0.05*Constantes!$F$18)^2)/(Observaciones!$F500+0.95*Constantes!$F$18),0)</f>
        <v>0</v>
      </c>
      <c r="G501" s="76">
        <f>IF(Escenarios!$F$11&gt;0,(F501*Escenarios!$F$16*10000)/1000,0)</f>
        <v>0</v>
      </c>
      <c r="H501" s="76">
        <f>IF(Escenarios!$F$11&gt;0,(Observaciones!$F500*Constantes!$F$29)/1000,0)</f>
        <v>0</v>
      </c>
      <c r="I501" s="76">
        <f>IF(Escenarios!$F$11&gt;0,(D501*Constantes!$F$29)/1000,0)</f>
        <v>0</v>
      </c>
      <c r="J501" s="76">
        <f>IF(Escenarios!$F$11&gt;0,MAX(0,G501+H501-I501),0)</f>
        <v>0</v>
      </c>
      <c r="K501" s="76">
        <f>IF(Escenarios!$F$11&gt;0,IF(J501&gt;Constantes!$F$30,1000*((J501-Constantes!$F$30)/(Escenarios!$F$16*10000)),0),F501)</f>
        <v>0</v>
      </c>
      <c r="L501" s="76">
        <f>IF(Escenarios!$F$11&gt;0,I501*1000/Escenarios!$F$16/10000+E501,E501)</f>
        <v>3.2000142007007071E-2</v>
      </c>
      <c r="M501" s="76">
        <f>MAX(0,N500+Observaciones!$F500-K501-Constantes!$D$13)</f>
        <v>0</v>
      </c>
      <c r="N501" s="76">
        <f>N500+Observaciones!$F500-K501-L501-M501-O500</f>
        <v>11.256637482612145</v>
      </c>
      <c r="O501" s="76">
        <f>MAX(0,(N501-Constantes!$D$14)*(1-EXP(-Constantes!$D$22)))</f>
        <v>2.2609702446717625E-4</v>
      </c>
      <c r="P501" s="170">
        <f>P500+(Entradas!$F$83*M501-Q500)/(800*Entradas!$D$25)</f>
        <v>0</v>
      </c>
      <c r="Q501" s="170">
        <f>8000*Entradas!$D$26*P501/Constantes!$F$45</f>
        <v>0</v>
      </c>
      <c r="R501" s="170">
        <f>IF(Escenarios!$F$14&gt;0,K501*Escenarios!$F$13/Escenarios!$F$14,0)</f>
        <v>0</v>
      </c>
      <c r="S501" s="170">
        <f>IF(Escenarios!$F$14&gt;0,Q501*Escenarios!$F$13/Escenarios!$F$14,0)</f>
        <v>0</v>
      </c>
      <c r="T501" s="170">
        <f>IF(Escenarios!$F$14&gt;0,Observaciones!$I500,0)</f>
        <v>0</v>
      </c>
      <c r="U501" s="170">
        <f>IF(Escenarios!$F$14&gt;0,MAX(0,Constantes!$F$36/((Z500+R501+S501+T501+Observaciones!$F500)^2)+Entradas!$F$77),0)</f>
        <v>0</v>
      </c>
      <c r="V501" s="146">
        <f>IF(ETo!D500&gt;0,ETo!I500*((1-Entradas!$F$81)*ETo!K500+ETo!L500),0)</f>
        <v>2.7360839834460466</v>
      </c>
      <c r="W501" s="170">
        <f>IF(Escenarios!$F$14&gt;0,MIN(V501*1,0.8*(Z500+R501+S501+T501+Observaciones!$F500-U501-Constantes!$F$35)),0)</f>
        <v>3.2000059520584045E-2</v>
      </c>
      <c r="X501" s="170">
        <f>IF(Escenarios!$F$14&gt;0,Observaciones!$J500,0)</f>
        <v>0</v>
      </c>
      <c r="Y501" s="170">
        <f>IF(Escenarios!$F$14&gt;0,MAX(0,Z500+R501+S501+T501+Observaciones!$F500-U501-W501-X501-Constantes!$F$33),0)</f>
        <v>0</v>
      </c>
      <c r="Z501" s="170">
        <f>Z500+R501+S501+T501+Observaciones!$F500-U501-W501-Y501</f>
        <v>41.258000014880146</v>
      </c>
      <c r="AA501" s="170">
        <f>IF(Escenarios!$F$14&gt;0,(Escenarios!$F$13*L501+Escenarios!$F$14*W501)/(Escenarios!$F$16),L501)</f>
        <v>3.2000132108636309E-2</v>
      </c>
      <c r="AB501" s="170">
        <f>IF(Escenarios!$F$14&gt;0,(Escenarios!$F$14*Y501)/(Escenarios!$F$16),K501)</f>
        <v>0</v>
      </c>
      <c r="AC501" s="170">
        <f>IF(Escenarios!$F$14&gt;0,(Escenarios!$F$13*M501+Escenarios!$F$14*U501)/(Escenarios!$F$16),M501)</f>
        <v>0</v>
      </c>
      <c r="AD501" s="76">
        <f t="shared" si="99"/>
        <v>128.47042349627642</v>
      </c>
      <c r="AE501" s="76">
        <f>MAX(0,(AD501-Constantes!$D$13)*(1-EXP(-Constantes!$D$23)))</f>
        <v>0.78550432063434417</v>
      </c>
      <c r="AF501" s="76">
        <f>AB501+O501*Escenarios!$F$13/Escenarios!$F$16+AE501</f>
        <v>0.78570328601587525</v>
      </c>
      <c r="AG501" s="76">
        <f>IF(Entradas!$F$91&gt;0,IF(AF501-Escenarios!$F$38&lt;=0,0,IF(AF501-Escenarios!$F$38&gt;Escenarios!$F$37,Escenarios!$F$37,AF501-Escenarios!$F$38)),0)</f>
        <v>0</v>
      </c>
      <c r="AH501" s="76">
        <f>AG501*Entradas!$F$99</f>
        <v>0</v>
      </c>
      <c r="AI501" s="76">
        <f>IF(Entradas!$F$91&gt;0,D501*Entradas!$D$23/Escenarios!$F$16,0)</f>
        <v>0.14974347212380298</v>
      </c>
      <c r="AJ501" s="76">
        <f>IF(Entradas!$F$91&gt;0,Entradas!$D$24*Entradas!$D$22/Escenarios!$F$16,0)</f>
        <v>0.12</v>
      </c>
      <c r="AK501" s="76">
        <f t="shared" si="100"/>
        <v>0.18174360423243929</v>
      </c>
      <c r="AL501" s="76">
        <f t="shared" si="101"/>
        <v>0</v>
      </c>
      <c r="AM501" s="76">
        <f t="shared" si="102"/>
        <v>0</v>
      </c>
      <c r="AN501" s="76">
        <f>MAX(0,O501*Escenarios!$F$13/Escenarios!$F$16-AM501)</f>
        <v>1.9896538153111508E-4</v>
      </c>
      <c r="AO501" s="76">
        <f>AM501+AN501-O501*Escenarios!$F$13/Escenarios!$F$16</f>
        <v>0</v>
      </c>
      <c r="AP501" s="76">
        <f t="shared" si="103"/>
        <v>0.78550432063434417</v>
      </c>
      <c r="AQ501" s="76">
        <f t="shared" si="104"/>
        <v>0</v>
      </c>
      <c r="AR501" s="76">
        <f t="shared" si="105"/>
        <v>0.78570328601587525</v>
      </c>
      <c r="AS501" s="76">
        <f t="shared" si="106"/>
        <v>0</v>
      </c>
      <c r="AT501" s="76">
        <f t="shared" si="107"/>
        <v>0</v>
      </c>
      <c r="AU501" s="76">
        <f t="shared" si="108"/>
        <v>56.410300496651068</v>
      </c>
      <c r="AV501" s="76">
        <f>MAX(0,(AU501-Constantes!$D$13)*(1-EXP(-Constantes!$D$24)))</f>
        <v>0.11708958568781076</v>
      </c>
      <c r="AW501" s="170">
        <f>AW500+(Entradas!$F$112*AT501-AX500)/(800*Entradas!$D$25)</f>
        <v>0</v>
      </c>
      <c r="AX501" s="170">
        <f>8000*Entradas!$D$26*AW501/Constantes!$F$45</f>
        <v>0</v>
      </c>
      <c r="AY501" s="170">
        <f>IF(Escenarios!$F$17&gt;0,10*Escenarios!$F$16*AL501,0)</f>
        <v>0</v>
      </c>
      <c r="AZ501" s="170">
        <f>IF(Escenarios!$F$17&gt;0,10*Escenarios!$F$16*AX501,0)</f>
        <v>0</v>
      </c>
      <c r="BA501" s="170">
        <f>IF(Escenarios!$F$17&gt;0,0.001*Observaciones!$F500*Escenarios!$F$17,0)</f>
        <v>0</v>
      </c>
      <c r="BB501" s="170">
        <f>IF(Escenarios!$F$17&gt;0,Observaciones!$K500,0)</f>
        <v>0</v>
      </c>
      <c r="BC501" s="170">
        <f>IF(Escenarios!$F$17&gt;0,MIN(0.0005*ETo!$M500*Escenarios!$F$17*(BG500/Constantes!$F$40)^(2/3),BG500+AY501+AZ501+BA501+BB501),0)</f>
        <v>0</v>
      </c>
      <c r="BD501" s="170">
        <f>IF(Escenarios!$F$17&gt;0,MIN(Constantes!$F$39*(BG500/Constantes!$F$40)^(2/3),BG500+AY501+AZ501+BA501+BB501-BC501),0)</f>
        <v>0</v>
      </c>
      <c r="BE501" s="170">
        <f>IF(Escenarios!$F$17&gt;0,MIN(Entradas!$F$113,BG500+AY501+AZ501+BA501+BB501-BC501-BD501),0)</f>
        <v>0</v>
      </c>
      <c r="BF501" s="170">
        <f>IF(Escenarios!$F$17&gt;0,MAX(0,BG500+AY501+AZ501+BA501+BB501-BC501-BD501-BE501-Constantes!$F$40),0)</f>
        <v>0</v>
      </c>
      <c r="BG501" s="170">
        <f t="shared" si="109"/>
        <v>0</v>
      </c>
      <c r="BH501" s="170">
        <f>(Escenarios!$F$16*AK501+0.1*BC501)/(Escenarios!$F$19)</f>
        <v>0.18174360423243929</v>
      </c>
      <c r="BI501" s="170">
        <f>IF(Escenarios!$F$17&gt;0,BF501/10/Escenarios!$F$19,AL501)</f>
        <v>0</v>
      </c>
      <c r="BJ501" s="170">
        <f>(Escenarios!$F$16*AT501+0.1*BD501)/(Escenarios!$F$19)</f>
        <v>0</v>
      </c>
      <c r="BK501" s="76">
        <f>BK500+(0.1*BD501)/(Escenarios!$F$19)-BL500</f>
        <v>48.75</v>
      </c>
      <c r="BL501" s="76">
        <f>MAX(0,(BK501-Constantes!$D$13)*(1-EXP(-Constantes!$D$23)))</f>
        <v>0</v>
      </c>
      <c r="BM501" s="76">
        <f t="shared" si="110"/>
        <v>0.90259390632215497</v>
      </c>
      <c r="BN501" s="76">
        <f t="shared" si="111"/>
        <v>0.90279287170368605</v>
      </c>
      <c r="BO501" s="76">
        <f>0.0526*BI501*Observaciones!$F500^1.218</f>
        <v>0</v>
      </c>
      <c r="BP501" s="76">
        <f>BO501*Constantes!$F$51</f>
        <v>0</v>
      </c>
      <c r="BQ501" s="76">
        <f t="shared" si="112"/>
        <v>0</v>
      </c>
      <c r="BR501" s="40"/>
    </row>
    <row r="502" spans="2:70">
      <c r="B502" s="39"/>
      <c r="C502" s="75">
        <v>496</v>
      </c>
      <c r="D502" s="146">
        <f>ETo!$I501*((1-Constantes!$F$19)*ETo!$K501+ETo!$L501)</f>
        <v>3.0959447704370264</v>
      </c>
      <c r="E502" s="76">
        <f>MIN(D502*Constantes!$F$17,0.8*(N501+Observaciones!$F501-F502-M502-Constantes!$D$14))</f>
        <v>5.30998608971629E-3</v>
      </c>
      <c r="F502" s="76">
        <f>IF(Observaciones!$F501&gt;0.05*Constantes!$F$18,((Observaciones!$F501-0.05*Constantes!$F$18)^2)/(Observaciones!$F501+0.95*Constantes!$F$18),0)</f>
        <v>0</v>
      </c>
      <c r="G502" s="76">
        <f>IF(Escenarios!$F$11&gt;0,(F502*Escenarios!$F$16*10000)/1000,0)</f>
        <v>0</v>
      </c>
      <c r="H502" s="76">
        <f>IF(Escenarios!$F$11&gt;0,(Observaciones!$F501*Constantes!$F$29)/1000,0)</f>
        <v>0</v>
      </c>
      <c r="I502" s="76">
        <f>IF(Escenarios!$F$11&gt;0,(D502*Constantes!$F$29)/1000,0)</f>
        <v>0</v>
      </c>
      <c r="J502" s="76">
        <f>IF(Escenarios!$F$11&gt;0,MAX(0,G502+H502-I502),0)</f>
        <v>0</v>
      </c>
      <c r="K502" s="76">
        <f>IF(Escenarios!$F$11&gt;0,IF(J502&gt;Constantes!$F$30,1000*((J502-Constantes!$F$30)/(Escenarios!$F$16*10000)),0),F502)</f>
        <v>0</v>
      </c>
      <c r="L502" s="76">
        <f>IF(Escenarios!$F$11&gt;0,I502*1000/Escenarios!$F$16/10000+E502,E502)</f>
        <v>5.30998608971629E-3</v>
      </c>
      <c r="M502" s="76">
        <f>MAX(0,N501+Observaciones!$F501-K502-Constantes!$D$13)</f>
        <v>0</v>
      </c>
      <c r="N502" s="76">
        <f>N501+Observaciones!$F501-K502-L502-M502-O501</f>
        <v>11.251101399497962</v>
      </c>
      <c r="O502" s="76">
        <f>MAX(0,(N502-Constantes!$D$14)*(1-EXP(-Constantes!$D$22)))</f>
        <v>3.7517710220919917E-5</v>
      </c>
      <c r="P502" s="170">
        <f>P501+(Entradas!$F$83*M502-Q501)/(800*Entradas!$D$25)</f>
        <v>0</v>
      </c>
      <c r="Q502" s="170">
        <f>8000*Entradas!$D$26*P502/Constantes!$F$45</f>
        <v>0</v>
      </c>
      <c r="R502" s="170">
        <f>IF(Escenarios!$F$14&gt;0,K502*Escenarios!$F$13/Escenarios!$F$14,0)</f>
        <v>0</v>
      </c>
      <c r="S502" s="170">
        <f>IF(Escenarios!$F$14&gt;0,Q502*Escenarios!$F$13/Escenarios!$F$14,0)</f>
        <v>0</v>
      </c>
      <c r="T502" s="170">
        <f>IF(Escenarios!$F$14&gt;0,Observaciones!$I501,0)</f>
        <v>0</v>
      </c>
      <c r="U502" s="170">
        <f>IF(Escenarios!$F$14&gt;0,MAX(0,Constantes!$F$36/((Z501+R502+S502+T502+Observaciones!$F501)^2)+Entradas!$F$77),0)</f>
        <v>0</v>
      </c>
      <c r="V502" s="146">
        <f>IF(ETo!D501&gt;0,ETo!I501*((1-Entradas!$F$81)*ETo!K501+ETo!L501),0)</f>
        <v>2.7145078805674756</v>
      </c>
      <c r="W502" s="170">
        <f>IF(Escenarios!$F$14&gt;0,MIN(V502*1,0.8*(Z501+R502+S502+T502+Observaciones!$F501-U502-Constantes!$F$35)),0)</f>
        <v>6.4000119041168098E-3</v>
      </c>
      <c r="X502" s="170">
        <f>IF(Escenarios!$F$14&gt;0,Observaciones!$J501,0)</f>
        <v>0</v>
      </c>
      <c r="Y502" s="170">
        <f>IF(Escenarios!$F$14&gt;0,MAX(0,Z501+R502+S502+T502+Observaciones!$F501-U502-W502-X502-Constantes!$F$33),0)</f>
        <v>0</v>
      </c>
      <c r="Z502" s="170">
        <f>Z501+R502+S502+T502+Observaciones!$F501-U502-W502-Y502</f>
        <v>41.251600002976026</v>
      </c>
      <c r="AA502" s="170">
        <f>IF(Escenarios!$F$14&gt;0,(Escenarios!$F$13*L502+Escenarios!$F$14*W502)/(Escenarios!$F$16),L502)</f>
        <v>5.4407891874443523E-3</v>
      </c>
      <c r="AB502" s="170">
        <f>IF(Escenarios!$F$14&gt;0,(Escenarios!$F$14*Y502)/(Escenarios!$F$16),K502)</f>
        <v>0</v>
      </c>
      <c r="AC502" s="170">
        <f>IF(Escenarios!$F$14&gt;0,(Escenarios!$F$13*M502+Escenarios!$F$14*U502)/(Escenarios!$F$16),M502)</f>
        <v>0</v>
      </c>
      <c r="AD502" s="76">
        <f t="shared" si="99"/>
        <v>127.68491917564208</v>
      </c>
      <c r="AE502" s="76">
        <f>MAX(0,(AD502-Constantes!$D$13)*(1-EXP(-Constantes!$D$23)))</f>
        <v>0.7777645594705811</v>
      </c>
      <c r="AF502" s="76">
        <f>AB502+O502*Escenarios!$F$13/Escenarios!$F$16+AE502</f>
        <v>0.77779757505557545</v>
      </c>
      <c r="AG502" s="76">
        <f>IF(Entradas!$F$91&gt;0,IF(AF502-Escenarios!$F$38&lt;=0,0,IF(AF502-Escenarios!$F$38&gt;Escenarios!$F$37,Escenarios!$F$37,AF502-Escenarios!$F$38)),0)</f>
        <v>0</v>
      </c>
      <c r="AH502" s="76">
        <f>AG502*Entradas!$F$99</f>
        <v>0</v>
      </c>
      <c r="AI502" s="76">
        <f>IF(Entradas!$F$91&gt;0,D502*Entradas!$D$23/Escenarios!$F$16,0)</f>
        <v>0.14860534898097727</v>
      </c>
      <c r="AJ502" s="76">
        <f>IF(Entradas!$F$91&gt;0,Entradas!$D$24*Entradas!$D$22/Escenarios!$F$16,0)</f>
        <v>0.12</v>
      </c>
      <c r="AK502" s="76">
        <f t="shared" si="100"/>
        <v>0.15404613816842161</v>
      </c>
      <c r="AL502" s="76">
        <f t="shared" si="101"/>
        <v>0</v>
      </c>
      <c r="AM502" s="76">
        <f t="shared" si="102"/>
        <v>0</v>
      </c>
      <c r="AN502" s="76">
        <f>MAX(0,O502*Escenarios!$F$13/Escenarios!$F$16-AM502)</f>
        <v>3.301558499440953E-5</v>
      </c>
      <c r="AO502" s="76">
        <f>AM502+AN502-O502*Escenarios!$F$13/Escenarios!$F$16</f>
        <v>0</v>
      </c>
      <c r="AP502" s="76">
        <f t="shared" si="103"/>
        <v>0.7777645594705811</v>
      </c>
      <c r="AQ502" s="76">
        <f t="shared" si="104"/>
        <v>0</v>
      </c>
      <c r="AR502" s="76">
        <f t="shared" si="105"/>
        <v>0.77779757505557545</v>
      </c>
      <c r="AS502" s="76">
        <f t="shared" si="106"/>
        <v>0</v>
      </c>
      <c r="AT502" s="76">
        <f t="shared" si="107"/>
        <v>0</v>
      </c>
      <c r="AU502" s="76">
        <f t="shared" si="108"/>
        <v>56.293210910963261</v>
      </c>
      <c r="AV502" s="76">
        <f>MAX(0,(AU502-Constantes!$D$13)*(1-EXP(-Constantes!$D$24)))</f>
        <v>0.11529984244176754</v>
      </c>
      <c r="AW502" s="170">
        <f>AW501+(Entradas!$F$112*AT502-AX501)/(800*Entradas!$D$25)</f>
        <v>0</v>
      </c>
      <c r="AX502" s="170">
        <f>8000*Entradas!$D$26*AW502/Constantes!$F$45</f>
        <v>0</v>
      </c>
      <c r="AY502" s="170">
        <f>IF(Escenarios!$F$17&gt;0,10*Escenarios!$F$16*AL502,0)</f>
        <v>0</v>
      </c>
      <c r="AZ502" s="170">
        <f>IF(Escenarios!$F$17&gt;0,10*Escenarios!$F$16*AX502,0)</f>
        <v>0</v>
      </c>
      <c r="BA502" s="170">
        <f>IF(Escenarios!$F$17&gt;0,0.001*Observaciones!$F501*Escenarios!$F$17,0)</f>
        <v>0</v>
      </c>
      <c r="BB502" s="170">
        <f>IF(Escenarios!$F$17&gt;0,Observaciones!$K501,0)</f>
        <v>0</v>
      </c>
      <c r="BC502" s="170">
        <f>IF(Escenarios!$F$17&gt;0,MIN(0.0005*ETo!$M501*Escenarios!$F$17*(BG501/Constantes!$F$40)^(2/3),BG501+AY502+AZ502+BA502+BB502),0)</f>
        <v>0</v>
      </c>
      <c r="BD502" s="170">
        <f>IF(Escenarios!$F$17&gt;0,MIN(Constantes!$F$39*(BG501/Constantes!$F$40)^(2/3),BG501+AY502+AZ502+BA502+BB502-BC502),0)</f>
        <v>0</v>
      </c>
      <c r="BE502" s="170">
        <f>IF(Escenarios!$F$17&gt;0,MIN(Entradas!$F$113,BG501+AY502+AZ502+BA502+BB502-BC502-BD502),0)</f>
        <v>0</v>
      </c>
      <c r="BF502" s="170">
        <f>IF(Escenarios!$F$17&gt;0,MAX(0,BG501+AY502+AZ502+BA502+BB502-BC502-BD502-BE502-Constantes!$F$40),0)</f>
        <v>0</v>
      </c>
      <c r="BG502" s="170">
        <f t="shared" si="109"/>
        <v>0</v>
      </c>
      <c r="BH502" s="170">
        <f>(Escenarios!$F$16*AK502+0.1*BC502)/(Escenarios!$F$19)</f>
        <v>0.15404613816842161</v>
      </c>
      <c r="BI502" s="170">
        <f>IF(Escenarios!$F$17&gt;0,BF502/10/Escenarios!$F$19,AL502)</f>
        <v>0</v>
      </c>
      <c r="BJ502" s="170">
        <f>(Escenarios!$F$16*AT502+0.1*BD502)/(Escenarios!$F$19)</f>
        <v>0</v>
      </c>
      <c r="BK502" s="76">
        <f>BK501+(0.1*BD502)/(Escenarios!$F$19)-BL501</f>
        <v>48.75</v>
      </c>
      <c r="BL502" s="76">
        <f>MAX(0,(BK502-Constantes!$D$13)*(1-EXP(-Constantes!$D$23)))</f>
        <v>0</v>
      </c>
      <c r="BM502" s="76">
        <f t="shared" si="110"/>
        <v>0.89306440191234859</v>
      </c>
      <c r="BN502" s="76">
        <f t="shared" si="111"/>
        <v>0.89309741749734295</v>
      </c>
      <c r="BO502" s="76">
        <f>0.0526*BI502*Observaciones!$F501^1.218</f>
        <v>0</v>
      </c>
      <c r="BP502" s="76">
        <f>BO502*Constantes!$F$51</f>
        <v>0</v>
      </c>
      <c r="BQ502" s="76">
        <f t="shared" si="112"/>
        <v>0</v>
      </c>
      <c r="BR502" s="40"/>
    </row>
    <row r="503" spans="2:70">
      <c r="B503" s="39"/>
      <c r="C503" s="75">
        <v>497</v>
      </c>
      <c r="D503" s="146">
        <f>ETo!$I502*((1-Constantes!$F$19)*ETo!$K502+ETo!$L502)</f>
        <v>3.0110341526131137</v>
      </c>
      <c r="E503" s="76">
        <f>MIN(D503*Constantes!$F$17,0.8*(N502+Observaciones!$F502-F503-M503-Constantes!$D$14))</f>
        <v>8.8111959836965079E-4</v>
      </c>
      <c r="F503" s="76">
        <f>IF(Observaciones!$F502&gt;0.05*Constantes!$F$18,((Observaciones!$F502-0.05*Constantes!$F$18)^2)/(Observaciones!$F502+0.95*Constantes!$F$18),0)</f>
        <v>0</v>
      </c>
      <c r="G503" s="76">
        <f>IF(Escenarios!$F$11&gt;0,(F503*Escenarios!$F$16*10000)/1000,0)</f>
        <v>0</v>
      </c>
      <c r="H503" s="76">
        <f>IF(Escenarios!$F$11&gt;0,(Observaciones!$F502*Constantes!$F$29)/1000,0)</f>
        <v>0</v>
      </c>
      <c r="I503" s="76">
        <f>IF(Escenarios!$F$11&gt;0,(D503*Constantes!$F$29)/1000,0)</f>
        <v>0</v>
      </c>
      <c r="J503" s="76">
        <f>IF(Escenarios!$F$11&gt;0,MAX(0,G503+H503-I503),0)</f>
        <v>0</v>
      </c>
      <c r="K503" s="76">
        <f>IF(Escenarios!$F$11&gt;0,IF(J503&gt;Constantes!$F$30,1000*((J503-Constantes!$F$30)/(Escenarios!$F$16*10000)),0),F503)</f>
        <v>0</v>
      </c>
      <c r="L503" s="76">
        <f>IF(Escenarios!$F$11&gt;0,I503*1000/Escenarios!$F$16/10000+E503,E503)</f>
        <v>8.8111959836965079E-4</v>
      </c>
      <c r="M503" s="76">
        <f>MAX(0,N502+Observaciones!$F502-K503-Constantes!$D$13)</f>
        <v>0</v>
      </c>
      <c r="N503" s="76">
        <f>N502+Observaciones!$F502-K503-L503-M503-O502</f>
        <v>11.250182762189372</v>
      </c>
      <c r="O503" s="76">
        <f>MAX(0,(N503-Constantes!$D$14)*(1-EXP(-Constantes!$D$22)))</f>
        <v>6.2255511037341492E-6</v>
      </c>
      <c r="P503" s="170">
        <f>P502+(Entradas!$F$83*M503-Q502)/(800*Entradas!$D$25)</f>
        <v>0</v>
      </c>
      <c r="Q503" s="170">
        <f>8000*Entradas!$D$26*P503/Constantes!$F$45</f>
        <v>0</v>
      </c>
      <c r="R503" s="170">
        <f>IF(Escenarios!$F$14&gt;0,K503*Escenarios!$F$13/Escenarios!$F$14,0)</f>
        <v>0</v>
      </c>
      <c r="S503" s="170">
        <f>IF(Escenarios!$F$14&gt;0,Q503*Escenarios!$F$13/Escenarios!$F$14,0)</f>
        <v>0</v>
      </c>
      <c r="T503" s="170">
        <f>IF(Escenarios!$F$14&gt;0,Observaciones!$I502,0)</f>
        <v>0</v>
      </c>
      <c r="U503" s="170">
        <f>IF(Escenarios!$F$14&gt;0,MAX(0,Constantes!$F$36/((Z502+R503+S503+T503+Observaciones!$F502)^2)+Entradas!$F$77),0)</f>
        <v>0</v>
      </c>
      <c r="V503" s="146">
        <f>IF(ETo!D502&gt;0,ETo!I502*((1-Entradas!$F$81)*ETo!K502+ETo!L502),0)</f>
        <v>2.6384676130224891</v>
      </c>
      <c r="W503" s="170">
        <f>IF(Escenarios!$F$14&gt;0,MIN(V503*1,0.8*(Z502+R503+S503+T503+Observaciones!$F502-U503-Constantes!$F$35)),0)</f>
        <v>1.2800023808210881E-3</v>
      </c>
      <c r="X503" s="170">
        <f>IF(Escenarios!$F$14&gt;0,Observaciones!$J502,0)</f>
        <v>0</v>
      </c>
      <c r="Y503" s="170">
        <f>IF(Escenarios!$F$14&gt;0,MAX(0,Z502+R503+S503+T503+Observaciones!$F502-U503-W503-X503-Constantes!$F$33),0)</f>
        <v>0</v>
      </c>
      <c r="Z503" s="170">
        <f>Z502+R503+S503+T503+Observaciones!$F502-U503-W503-Y503</f>
        <v>41.250320000595202</v>
      </c>
      <c r="AA503" s="170">
        <f>IF(Escenarios!$F$14&gt;0,(Escenarios!$F$13*L503+Escenarios!$F$14*W503)/(Escenarios!$F$16),L503)</f>
        <v>9.289855322638233E-4</v>
      </c>
      <c r="AB503" s="170">
        <f>IF(Escenarios!$F$14&gt;0,(Escenarios!$F$14*Y503)/(Escenarios!$F$16),K503)</f>
        <v>0</v>
      </c>
      <c r="AC503" s="170">
        <f>IF(Escenarios!$F$14&gt;0,(Escenarios!$F$13*M503+Escenarios!$F$14*U503)/(Escenarios!$F$16),M503)</f>
        <v>0</v>
      </c>
      <c r="AD503" s="76">
        <f t="shared" si="99"/>
        <v>126.9071546161715</v>
      </c>
      <c r="AE503" s="76">
        <f>MAX(0,(AD503-Constantes!$D$13)*(1-EXP(-Constantes!$D$23)))</f>
        <v>0.77010106001703216</v>
      </c>
      <c r="AF503" s="76">
        <f>AB503+O503*Escenarios!$F$13/Escenarios!$F$16+AE503</f>
        <v>0.77010653850200339</v>
      </c>
      <c r="AG503" s="76">
        <f>IF(Entradas!$F$91&gt;0,IF(AF503-Escenarios!$F$38&lt;=0,0,IF(AF503-Escenarios!$F$38&gt;Escenarios!$F$37,Escenarios!$F$37,AF503-Escenarios!$F$38)),0)</f>
        <v>0</v>
      </c>
      <c r="AH503" s="76">
        <f>AG503*Entradas!$F$99</f>
        <v>0</v>
      </c>
      <c r="AI503" s="76">
        <f>IF(Entradas!$F$91&gt;0,D503*Entradas!$D$23/Escenarios!$F$16,0)</f>
        <v>0.14452963932542945</v>
      </c>
      <c r="AJ503" s="76">
        <f>IF(Entradas!$F$91&gt;0,Entradas!$D$24*Entradas!$D$22/Escenarios!$F$16,0)</f>
        <v>0.12</v>
      </c>
      <c r="AK503" s="76">
        <f t="shared" si="100"/>
        <v>0.14545862485769326</v>
      </c>
      <c r="AL503" s="76">
        <f t="shared" si="101"/>
        <v>0</v>
      </c>
      <c r="AM503" s="76">
        <f t="shared" si="102"/>
        <v>0</v>
      </c>
      <c r="AN503" s="76">
        <f>MAX(0,O503*Escenarios!$F$13/Escenarios!$F$16-AM503)</f>
        <v>5.4784849712860514E-6</v>
      </c>
      <c r="AO503" s="76">
        <f>AM503+AN503-O503*Escenarios!$F$13/Escenarios!$F$16</f>
        <v>0</v>
      </c>
      <c r="AP503" s="76">
        <f t="shared" si="103"/>
        <v>0.77010106001703216</v>
      </c>
      <c r="AQ503" s="76">
        <f t="shared" si="104"/>
        <v>0</v>
      </c>
      <c r="AR503" s="76">
        <f t="shared" si="105"/>
        <v>0.77010653850200339</v>
      </c>
      <c r="AS503" s="76">
        <f t="shared" si="106"/>
        <v>0</v>
      </c>
      <c r="AT503" s="76">
        <f t="shared" si="107"/>
        <v>0</v>
      </c>
      <c r="AU503" s="76">
        <f t="shared" si="108"/>
        <v>56.177911068521496</v>
      </c>
      <c r="AV503" s="76">
        <f>MAX(0,(AU503-Constantes!$D$13)*(1-EXP(-Constantes!$D$24)))</f>
        <v>0.11353745586342402</v>
      </c>
      <c r="AW503" s="170">
        <f>AW502+(Entradas!$F$112*AT503-AX502)/(800*Entradas!$D$25)</f>
        <v>0</v>
      </c>
      <c r="AX503" s="170">
        <f>8000*Entradas!$D$26*AW503/Constantes!$F$45</f>
        <v>0</v>
      </c>
      <c r="AY503" s="170">
        <f>IF(Escenarios!$F$17&gt;0,10*Escenarios!$F$16*AL503,0)</f>
        <v>0</v>
      </c>
      <c r="AZ503" s="170">
        <f>IF(Escenarios!$F$17&gt;0,10*Escenarios!$F$16*AX503,0)</f>
        <v>0</v>
      </c>
      <c r="BA503" s="170">
        <f>IF(Escenarios!$F$17&gt;0,0.001*Observaciones!$F502*Escenarios!$F$17,0)</f>
        <v>0</v>
      </c>
      <c r="BB503" s="170">
        <f>IF(Escenarios!$F$17&gt;0,Observaciones!$K502,0)</f>
        <v>0</v>
      </c>
      <c r="BC503" s="170">
        <f>IF(Escenarios!$F$17&gt;0,MIN(0.0005*ETo!$M502*Escenarios!$F$17*(BG502/Constantes!$F$40)^(2/3),BG502+AY503+AZ503+BA503+BB503),0)</f>
        <v>0</v>
      </c>
      <c r="BD503" s="170">
        <f>IF(Escenarios!$F$17&gt;0,MIN(Constantes!$F$39*(BG502/Constantes!$F$40)^(2/3),BG502+AY503+AZ503+BA503+BB503-BC503),0)</f>
        <v>0</v>
      </c>
      <c r="BE503" s="170">
        <f>IF(Escenarios!$F$17&gt;0,MIN(Entradas!$F$113,BG502+AY503+AZ503+BA503+BB503-BC503-BD503),0)</f>
        <v>0</v>
      </c>
      <c r="BF503" s="170">
        <f>IF(Escenarios!$F$17&gt;0,MAX(0,BG502+AY503+AZ503+BA503+BB503-BC503-BD503-BE503-Constantes!$F$40),0)</f>
        <v>0</v>
      </c>
      <c r="BG503" s="170">
        <f t="shared" si="109"/>
        <v>0</v>
      </c>
      <c r="BH503" s="170">
        <f>(Escenarios!$F$16*AK503+0.1*BC503)/(Escenarios!$F$19)</f>
        <v>0.14545862485769326</v>
      </c>
      <c r="BI503" s="170">
        <f>IF(Escenarios!$F$17&gt;0,BF503/10/Escenarios!$F$19,AL503)</f>
        <v>0</v>
      </c>
      <c r="BJ503" s="170">
        <f>(Escenarios!$F$16*AT503+0.1*BD503)/(Escenarios!$F$19)</f>
        <v>0</v>
      </c>
      <c r="BK503" s="76">
        <f>BK502+(0.1*BD503)/(Escenarios!$F$19)-BL502</f>
        <v>48.75</v>
      </c>
      <c r="BL503" s="76">
        <f>MAX(0,(BK503-Constantes!$D$13)*(1-EXP(-Constantes!$D$23)))</f>
        <v>0</v>
      </c>
      <c r="BM503" s="76">
        <f t="shared" si="110"/>
        <v>0.88363851588045617</v>
      </c>
      <c r="BN503" s="76">
        <f t="shared" si="111"/>
        <v>0.8836439943654274</v>
      </c>
      <c r="BO503" s="76">
        <f>0.0526*BI503*Observaciones!$F502^1.218</f>
        <v>0</v>
      </c>
      <c r="BP503" s="76">
        <f>BO503*Constantes!$F$51</f>
        <v>0</v>
      </c>
      <c r="BQ503" s="76">
        <f t="shared" si="112"/>
        <v>0</v>
      </c>
      <c r="BR503" s="40"/>
    </row>
    <row r="504" spans="2:70">
      <c r="B504" s="39"/>
      <c r="C504" s="75">
        <v>498</v>
      </c>
      <c r="D504" s="146">
        <f>ETo!$I503*((1-Constantes!$F$19)*ETo!$K503+ETo!$L503)</f>
        <v>2.9510065324554993</v>
      </c>
      <c r="E504" s="76">
        <f>MIN(D504*Constantes!$F$17,0.8*(N503+Observaciones!$F503-F504-M504-Constantes!$D$14))</f>
        <v>1.4620975149739479E-4</v>
      </c>
      <c r="F504" s="76">
        <f>IF(Observaciones!$F503&gt;0.05*Constantes!$F$18,((Observaciones!$F503-0.05*Constantes!$F$18)^2)/(Observaciones!$F503+0.95*Constantes!$F$18),0)</f>
        <v>0</v>
      </c>
      <c r="G504" s="76">
        <f>IF(Escenarios!$F$11&gt;0,(F504*Escenarios!$F$16*10000)/1000,0)</f>
        <v>0</v>
      </c>
      <c r="H504" s="76">
        <f>IF(Escenarios!$F$11&gt;0,(Observaciones!$F503*Constantes!$F$29)/1000,0)</f>
        <v>0</v>
      </c>
      <c r="I504" s="76">
        <f>IF(Escenarios!$F$11&gt;0,(D504*Constantes!$F$29)/1000,0)</f>
        <v>0</v>
      </c>
      <c r="J504" s="76">
        <f>IF(Escenarios!$F$11&gt;0,MAX(0,G504+H504-I504),0)</f>
        <v>0</v>
      </c>
      <c r="K504" s="76">
        <f>IF(Escenarios!$F$11&gt;0,IF(J504&gt;Constantes!$F$30,1000*((J504-Constantes!$F$30)/(Escenarios!$F$16*10000)),0),F504)</f>
        <v>0</v>
      </c>
      <c r="L504" s="76">
        <f>IF(Escenarios!$F$11&gt;0,I504*1000/Escenarios!$F$16/10000+E504,E504)</f>
        <v>1.4620975149739479E-4</v>
      </c>
      <c r="M504" s="76">
        <f>MAX(0,N503+Observaciones!$F503-K504-Constantes!$D$13)</f>
        <v>0</v>
      </c>
      <c r="N504" s="76">
        <f>N503+Observaciones!$F503-K504-L504-M504-O503</f>
        <v>11.250030326886771</v>
      </c>
      <c r="O504" s="76">
        <f>MAX(0,(N504-Constantes!$D$14)*(1-EXP(-Constantes!$D$22)))</f>
        <v>1.0330450956918488E-6</v>
      </c>
      <c r="P504" s="170">
        <f>P503+(Entradas!$F$83*M504-Q503)/(800*Entradas!$D$25)</f>
        <v>0</v>
      </c>
      <c r="Q504" s="170">
        <f>8000*Entradas!$D$26*P504/Constantes!$F$45</f>
        <v>0</v>
      </c>
      <c r="R504" s="170">
        <f>IF(Escenarios!$F$14&gt;0,K504*Escenarios!$F$13/Escenarios!$F$14,0)</f>
        <v>0</v>
      </c>
      <c r="S504" s="170">
        <f>IF(Escenarios!$F$14&gt;0,Q504*Escenarios!$F$13/Escenarios!$F$14,0)</f>
        <v>0</v>
      </c>
      <c r="T504" s="170">
        <f>IF(Escenarios!$F$14&gt;0,Observaciones!$I503,0)</f>
        <v>0</v>
      </c>
      <c r="U504" s="170">
        <f>IF(Escenarios!$F$14&gt;0,MAX(0,Constantes!$F$36/((Z503+R504+S504+T504+Observaciones!$F503)^2)+Entradas!$F$77),0)</f>
        <v>0</v>
      </c>
      <c r="V504" s="146">
        <f>IF(ETo!D503&gt;0,ETo!I503*((1-Entradas!$F$81)*ETo!K503+ETo!L503),0)</f>
        <v>2.5847216179997323</v>
      </c>
      <c r="W504" s="170">
        <f>IF(Escenarios!$F$14&gt;0,MIN(V504*1,0.8*(Z503+R504+S504+T504+Observaciones!$F503-U504-Constantes!$F$35)),0)</f>
        <v>2.560004761619439E-4</v>
      </c>
      <c r="X504" s="170">
        <f>IF(Escenarios!$F$14&gt;0,Observaciones!$J503,0)</f>
        <v>0</v>
      </c>
      <c r="Y504" s="170">
        <f>IF(Escenarios!$F$14&gt;0,MAX(0,Z503+R504+S504+T504+Observaciones!$F503-U504-W504-X504-Constantes!$F$33),0)</f>
        <v>0</v>
      </c>
      <c r="Z504" s="170">
        <f>Z503+R504+S504+T504+Observaciones!$F503-U504-W504-Y504</f>
        <v>41.250064000119039</v>
      </c>
      <c r="AA504" s="170">
        <f>IF(Escenarios!$F$14&gt;0,(Escenarios!$F$13*L504+Escenarios!$F$14*W504)/(Escenarios!$F$16),L504)</f>
        <v>1.5938463845714069E-4</v>
      </c>
      <c r="AB504" s="170">
        <f>IF(Escenarios!$F$14&gt;0,(Escenarios!$F$14*Y504)/(Escenarios!$F$16),K504)</f>
        <v>0</v>
      </c>
      <c r="AC504" s="170">
        <f>IF(Escenarios!$F$14&gt;0,(Escenarios!$F$13*M504+Escenarios!$F$14*U504)/(Escenarios!$F$16),M504)</f>
        <v>0</v>
      </c>
      <c r="AD504" s="76">
        <f t="shared" si="99"/>
        <v>126.13705355615447</v>
      </c>
      <c r="AE504" s="76">
        <f>MAX(0,(AD504-Constantes!$D$13)*(1-EXP(-Constantes!$D$23)))</f>
        <v>0.7625130708489023</v>
      </c>
      <c r="AF504" s="76">
        <f>AB504+O504*Escenarios!$F$13/Escenarios!$F$16+AE504</f>
        <v>0.76251397992858649</v>
      </c>
      <c r="AG504" s="76">
        <f>IF(Entradas!$F$91&gt;0,IF(AF504-Escenarios!$F$38&lt;=0,0,IF(AF504-Escenarios!$F$38&gt;Escenarios!$F$37,Escenarios!$F$37,AF504-Escenarios!$F$38)),0)</f>
        <v>0</v>
      </c>
      <c r="AH504" s="76">
        <f>AG504*Entradas!$F$99</f>
        <v>0</v>
      </c>
      <c r="AI504" s="76">
        <f>IF(Entradas!$F$91&gt;0,D504*Entradas!$D$23/Escenarios!$F$16,0)</f>
        <v>0.14164831355786395</v>
      </c>
      <c r="AJ504" s="76">
        <f>IF(Entradas!$F$91&gt;0,Entradas!$D$24*Entradas!$D$22/Escenarios!$F$16,0)</f>
        <v>0.12</v>
      </c>
      <c r="AK504" s="76">
        <f t="shared" si="100"/>
        <v>0.14180769819632108</v>
      </c>
      <c r="AL504" s="76">
        <f t="shared" si="101"/>
        <v>0</v>
      </c>
      <c r="AM504" s="76">
        <f t="shared" si="102"/>
        <v>0</v>
      </c>
      <c r="AN504" s="76">
        <f>MAX(0,O504*Escenarios!$F$13/Escenarios!$F$16-AM504)</f>
        <v>9.0907968420882687E-7</v>
      </c>
      <c r="AO504" s="76">
        <f>AM504+AN504-O504*Escenarios!$F$13/Escenarios!$F$16</f>
        <v>0</v>
      </c>
      <c r="AP504" s="76">
        <f t="shared" si="103"/>
        <v>0.7625130708489023</v>
      </c>
      <c r="AQ504" s="76">
        <f t="shared" si="104"/>
        <v>0</v>
      </c>
      <c r="AR504" s="76">
        <f t="shared" si="105"/>
        <v>0.76251397992858649</v>
      </c>
      <c r="AS504" s="76">
        <f t="shared" si="106"/>
        <v>0</v>
      </c>
      <c r="AT504" s="76">
        <f t="shared" si="107"/>
        <v>0</v>
      </c>
      <c r="AU504" s="76">
        <f t="shared" si="108"/>
        <v>56.064373612658073</v>
      </c>
      <c r="AV504" s="76">
        <f>MAX(0,(AU504-Constantes!$D$13)*(1-EXP(-Constantes!$D$24)))</f>
        <v>0.11180200779935549</v>
      </c>
      <c r="AW504" s="170">
        <f>AW503+(Entradas!$F$112*AT504-AX503)/(800*Entradas!$D$25)</f>
        <v>0</v>
      </c>
      <c r="AX504" s="170">
        <f>8000*Entradas!$D$26*AW504/Constantes!$F$45</f>
        <v>0</v>
      </c>
      <c r="AY504" s="170">
        <f>IF(Escenarios!$F$17&gt;0,10*Escenarios!$F$16*AL504,0)</f>
        <v>0</v>
      </c>
      <c r="AZ504" s="170">
        <f>IF(Escenarios!$F$17&gt;0,10*Escenarios!$F$16*AX504,0)</f>
        <v>0</v>
      </c>
      <c r="BA504" s="170">
        <f>IF(Escenarios!$F$17&gt;0,0.001*Observaciones!$F503*Escenarios!$F$17,0)</f>
        <v>0</v>
      </c>
      <c r="BB504" s="170">
        <f>IF(Escenarios!$F$17&gt;0,Observaciones!$K503,0)</f>
        <v>0</v>
      </c>
      <c r="BC504" s="170">
        <f>IF(Escenarios!$F$17&gt;0,MIN(0.0005*ETo!$M503*Escenarios!$F$17*(BG503/Constantes!$F$40)^(2/3),BG503+AY504+AZ504+BA504+BB504),0)</f>
        <v>0</v>
      </c>
      <c r="BD504" s="170">
        <f>IF(Escenarios!$F$17&gt;0,MIN(Constantes!$F$39*(BG503/Constantes!$F$40)^(2/3),BG503+AY504+AZ504+BA504+BB504-BC504),0)</f>
        <v>0</v>
      </c>
      <c r="BE504" s="170">
        <f>IF(Escenarios!$F$17&gt;0,MIN(Entradas!$F$113,BG503+AY504+AZ504+BA504+BB504-BC504-BD504),0)</f>
        <v>0</v>
      </c>
      <c r="BF504" s="170">
        <f>IF(Escenarios!$F$17&gt;0,MAX(0,BG503+AY504+AZ504+BA504+BB504-BC504-BD504-BE504-Constantes!$F$40),0)</f>
        <v>0</v>
      </c>
      <c r="BG504" s="170">
        <f t="shared" si="109"/>
        <v>0</v>
      </c>
      <c r="BH504" s="170">
        <f>(Escenarios!$F$16*AK504+0.1*BC504)/(Escenarios!$F$19)</f>
        <v>0.14180769819632108</v>
      </c>
      <c r="BI504" s="170">
        <f>IF(Escenarios!$F$17&gt;0,BF504/10/Escenarios!$F$19,AL504)</f>
        <v>0</v>
      </c>
      <c r="BJ504" s="170">
        <f>(Escenarios!$F$16*AT504+0.1*BD504)/(Escenarios!$F$19)</f>
        <v>0</v>
      </c>
      <c r="BK504" s="76">
        <f>BK503+(0.1*BD504)/(Escenarios!$F$19)-BL503</f>
        <v>48.75</v>
      </c>
      <c r="BL504" s="76">
        <f>MAX(0,(BK504-Constantes!$D$13)*(1-EXP(-Constantes!$D$23)))</f>
        <v>0</v>
      </c>
      <c r="BM504" s="76">
        <f t="shared" si="110"/>
        <v>0.87431507864825775</v>
      </c>
      <c r="BN504" s="76">
        <f t="shared" si="111"/>
        <v>0.87431598772794195</v>
      </c>
      <c r="BO504" s="76">
        <f>0.0526*BI504*Observaciones!$F503^1.218</f>
        <v>0</v>
      </c>
      <c r="BP504" s="76">
        <f>BO504*Constantes!$F$51</f>
        <v>0</v>
      </c>
      <c r="BQ504" s="76">
        <f t="shared" si="112"/>
        <v>0</v>
      </c>
      <c r="BR504" s="40"/>
    </row>
    <row r="505" spans="2:70">
      <c r="B505" s="39"/>
      <c r="C505" s="75">
        <v>499</v>
      </c>
      <c r="D505" s="146">
        <f>ETo!$I504*((1-Constantes!$F$19)*ETo!$K504+ETo!$L504)</f>
        <v>2.9354149556007383</v>
      </c>
      <c r="E505" s="76">
        <f>MIN(D505*Constantes!$F$17,0.8*(N504+Observaciones!$F504-F505-M505-Constantes!$D$14))</f>
        <v>2.4261509416589888E-5</v>
      </c>
      <c r="F505" s="76">
        <f>IF(Observaciones!$F504&gt;0.05*Constantes!$F$18,((Observaciones!$F504-0.05*Constantes!$F$18)^2)/(Observaciones!$F504+0.95*Constantes!$F$18),0)</f>
        <v>0</v>
      </c>
      <c r="G505" s="76">
        <f>IF(Escenarios!$F$11&gt;0,(F505*Escenarios!$F$16*10000)/1000,0)</f>
        <v>0</v>
      </c>
      <c r="H505" s="76">
        <f>IF(Escenarios!$F$11&gt;0,(Observaciones!$F504*Constantes!$F$29)/1000,0)</f>
        <v>0</v>
      </c>
      <c r="I505" s="76">
        <f>IF(Escenarios!$F$11&gt;0,(D505*Constantes!$F$29)/1000,0)</f>
        <v>0</v>
      </c>
      <c r="J505" s="76">
        <f>IF(Escenarios!$F$11&gt;0,MAX(0,G505+H505-I505),0)</f>
        <v>0</v>
      </c>
      <c r="K505" s="76">
        <f>IF(Escenarios!$F$11&gt;0,IF(J505&gt;Constantes!$F$30,1000*((J505-Constantes!$F$30)/(Escenarios!$F$16*10000)),0),F505)</f>
        <v>0</v>
      </c>
      <c r="L505" s="76">
        <f>IF(Escenarios!$F$11&gt;0,I505*1000/Escenarios!$F$16/10000+E505,E505)</f>
        <v>2.4261509416589888E-5</v>
      </c>
      <c r="M505" s="76">
        <f>MAX(0,N504+Observaciones!$F504-K505-Constantes!$D$13)</f>
        <v>0</v>
      </c>
      <c r="N505" s="76">
        <f>N504+Observaciones!$F504-K505-L505-M505-O504</f>
        <v>11.250005032332258</v>
      </c>
      <c r="O505" s="76">
        <f>MAX(0,(N505-Constantes!$D$14)*(1-EXP(-Constantes!$D$22)))</f>
        <v>1.7141971076277801E-7</v>
      </c>
      <c r="P505" s="170">
        <f>P504+(Entradas!$F$83*M505-Q504)/(800*Entradas!$D$25)</f>
        <v>0</v>
      </c>
      <c r="Q505" s="170">
        <f>8000*Entradas!$D$26*P505/Constantes!$F$45</f>
        <v>0</v>
      </c>
      <c r="R505" s="170">
        <f>IF(Escenarios!$F$14&gt;0,K505*Escenarios!$F$13/Escenarios!$F$14,0)</f>
        <v>0</v>
      </c>
      <c r="S505" s="170">
        <f>IF(Escenarios!$F$14&gt;0,Q505*Escenarios!$F$13/Escenarios!$F$14,0)</f>
        <v>0</v>
      </c>
      <c r="T505" s="170">
        <f>IF(Escenarios!$F$14&gt;0,Observaciones!$I504,0)</f>
        <v>0</v>
      </c>
      <c r="U505" s="170">
        <f>IF(Escenarios!$F$14&gt;0,MAX(0,Constantes!$F$36/((Z504+R505+S505+T505+Observaciones!$F504)^2)+Entradas!$F$77),0)</f>
        <v>0</v>
      </c>
      <c r="V505" s="146">
        <f>IF(ETo!D504&gt;0,ETo!I504*((1-Entradas!$F$81)*ETo!K504+ETo!L504),0)</f>
        <v>2.5704206990776854</v>
      </c>
      <c r="W505" s="170">
        <f>IF(Escenarios!$F$14&gt;0,MIN(V505*1,0.8*(Z504+R505+S505+T505+Observaciones!$F504-U505-Constantes!$F$35)),0)</f>
        <v>5.1200095231251912E-5</v>
      </c>
      <c r="X505" s="170">
        <f>IF(Escenarios!$F$14&gt;0,Observaciones!$J504,0)</f>
        <v>0</v>
      </c>
      <c r="Y505" s="170">
        <f>IF(Escenarios!$F$14&gt;0,MAX(0,Z504+R505+S505+T505+Observaciones!$F504-U505-W505-X505-Constantes!$F$33),0)</f>
        <v>0</v>
      </c>
      <c r="Z505" s="170">
        <f>Z504+R505+S505+T505+Observaciones!$F504-U505-W505-Y505</f>
        <v>41.250012800023811</v>
      </c>
      <c r="AA505" s="170">
        <f>IF(Escenarios!$F$14&gt;0,(Escenarios!$F$13*L505+Escenarios!$F$14*W505)/(Escenarios!$F$16),L505)</f>
        <v>2.7494139714349331E-5</v>
      </c>
      <c r="AB505" s="170">
        <f>IF(Escenarios!$F$14&gt;0,(Escenarios!$F$14*Y505)/(Escenarios!$F$16),K505)</f>
        <v>0</v>
      </c>
      <c r="AC505" s="170">
        <f>IF(Escenarios!$F$14&gt;0,(Escenarios!$F$13*M505+Escenarios!$F$14*U505)/(Escenarios!$F$16),M505)</f>
        <v>0</v>
      </c>
      <c r="AD505" s="76">
        <f t="shared" si="99"/>
        <v>125.37454048530557</v>
      </c>
      <c r="AE505" s="76">
        <f>MAX(0,(AD505-Constantes!$D$13)*(1-EXP(-Constantes!$D$23)))</f>
        <v>0.75499984794536434</v>
      </c>
      <c r="AF505" s="76">
        <f>AB505+O505*Escenarios!$F$13/Escenarios!$F$16+AE505</f>
        <v>0.7549999987947098</v>
      </c>
      <c r="AG505" s="76">
        <f>IF(Entradas!$F$91&gt;0,IF(AF505-Escenarios!$F$38&lt;=0,0,IF(AF505-Escenarios!$F$38&gt;Escenarios!$F$37,Escenarios!$F$37,AF505-Escenarios!$F$38)),0)</f>
        <v>0</v>
      </c>
      <c r="AH505" s="76">
        <f>AG505*Entradas!$F$99</f>
        <v>0</v>
      </c>
      <c r="AI505" s="76">
        <f>IF(Entradas!$F$91&gt;0,D505*Entradas!$D$23/Escenarios!$F$16,0)</f>
        <v>0.14089991786883543</v>
      </c>
      <c r="AJ505" s="76">
        <f>IF(Entradas!$F$91&gt;0,Entradas!$D$24*Entradas!$D$22/Escenarios!$F$16,0)</f>
        <v>0.12</v>
      </c>
      <c r="AK505" s="76">
        <f t="shared" si="100"/>
        <v>0.14092741200854977</v>
      </c>
      <c r="AL505" s="76">
        <f t="shared" si="101"/>
        <v>0</v>
      </c>
      <c r="AM505" s="76">
        <f t="shared" si="102"/>
        <v>0</v>
      </c>
      <c r="AN505" s="76">
        <f>MAX(0,O505*Escenarios!$F$13/Escenarios!$F$16-AM505)</f>
        <v>1.5084934547124465E-7</v>
      </c>
      <c r="AO505" s="76">
        <f>AM505+AN505-O505*Escenarios!$F$13/Escenarios!$F$16</f>
        <v>0</v>
      </c>
      <c r="AP505" s="76">
        <f t="shared" si="103"/>
        <v>0.75499984794536434</v>
      </c>
      <c r="AQ505" s="76">
        <f t="shared" si="104"/>
        <v>0</v>
      </c>
      <c r="AR505" s="76">
        <f t="shared" si="105"/>
        <v>0.7549999987947098</v>
      </c>
      <c r="AS505" s="76">
        <f t="shared" si="106"/>
        <v>0</v>
      </c>
      <c r="AT505" s="76">
        <f t="shared" si="107"/>
        <v>0</v>
      </c>
      <c r="AU505" s="76">
        <f t="shared" si="108"/>
        <v>55.952571604858719</v>
      </c>
      <c r="AV505" s="76">
        <f>MAX(0,(AU505-Constantes!$D$13)*(1-EXP(-Constantes!$D$24)))</f>
        <v>0.11009308648771571</v>
      </c>
      <c r="AW505" s="170">
        <f>AW504+(Entradas!$F$112*AT505-AX504)/(800*Entradas!$D$25)</f>
        <v>0</v>
      </c>
      <c r="AX505" s="170">
        <f>8000*Entradas!$D$26*AW505/Constantes!$F$45</f>
        <v>0</v>
      </c>
      <c r="AY505" s="170">
        <f>IF(Escenarios!$F$17&gt;0,10*Escenarios!$F$16*AL505,0)</f>
        <v>0</v>
      </c>
      <c r="AZ505" s="170">
        <f>IF(Escenarios!$F$17&gt;0,10*Escenarios!$F$16*AX505,0)</f>
        <v>0</v>
      </c>
      <c r="BA505" s="170">
        <f>IF(Escenarios!$F$17&gt;0,0.001*Observaciones!$F504*Escenarios!$F$17,0)</f>
        <v>0</v>
      </c>
      <c r="BB505" s="170">
        <f>IF(Escenarios!$F$17&gt;0,Observaciones!$K504,0)</f>
        <v>0</v>
      </c>
      <c r="BC505" s="170">
        <f>IF(Escenarios!$F$17&gt;0,MIN(0.0005*ETo!$M504*Escenarios!$F$17*(BG504/Constantes!$F$40)^(2/3),BG504+AY505+AZ505+BA505+BB505),0)</f>
        <v>0</v>
      </c>
      <c r="BD505" s="170">
        <f>IF(Escenarios!$F$17&gt;0,MIN(Constantes!$F$39*(BG504/Constantes!$F$40)^(2/3),BG504+AY505+AZ505+BA505+BB505-BC505),0)</f>
        <v>0</v>
      </c>
      <c r="BE505" s="170">
        <f>IF(Escenarios!$F$17&gt;0,MIN(Entradas!$F$113,BG504+AY505+AZ505+BA505+BB505-BC505-BD505),0)</f>
        <v>0</v>
      </c>
      <c r="BF505" s="170">
        <f>IF(Escenarios!$F$17&gt;0,MAX(0,BG504+AY505+AZ505+BA505+BB505-BC505-BD505-BE505-Constantes!$F$40),0)</f>
        <v>0</v>
      </c>
      <c r="BG505" s="170">
        <f t="shared" si="109"/>
        <v>0</v>
      </c>
      <c r="BH505" s="170">
        <f>(Escenarios!$F$16*AK505+0.1*BC505)/(Escenarios!$F$19)</f>
        <v>0.14092741200854977</v>
      </c>
      <c r="BI505" s="170">
        <f>IF(Escenarios!$F$17&gt;0,BF505/10/Escenarios!$F$19,AL505)</f>
        <v>0</v>
      </c>
      <c r="BJ505" s="170">
        <f>(Escenarios!$F$16*AT505+0.1*BD505)/(Escenarios!$F$19)</f>
        <v>0</v>
      </c>
      <c r="BK505" s="76">
        <f>BK504+(0.1*BD505)/(Escenarios!$F$19)-BL504</f>
        <v>48.75</v>
      </c>
      <c r="BL505" s="76">
        <f>MAX(0,(BK505-Constantes!$D$13)*(1-EXP(-Constantes!$D$23)))</f>
        <v>0</v>
      </c>
      <c r="BM505" s="76">
        <f t="shared" si="110"/>
        <v>0.86509293443308</v>
      </c>
      <c r="BN505" s="76">
        <f t="shared" si="111"/>
        <v>0.86509308528242546</v>
      </c>
      <c r="BO505" s="76">
        <f>0.0526*BI505*Observaciones!$F504^1.218</f>
        <v>0</v>
      </c>
      <c r="BP505" s="76">
        <f>BO505*Constantes!$F$51</f>
        <v>0</v>
      </c>
      <c r="BQ505" s="76">
        <f t="shared" si="112"/>
        <v>0</v>
      </c>
      <c r="BR505" s="40"/>
    </row>
    <row r="506" spans="2:70">
      <c r="B506" s="39"/>
      <c r="C506" s="75">
        <v>500</v>
      </c>
      <c r="D506" s="146">
        <f>ETo!$I505*((1-Constantes!$F$19)*ETo!$K505+ETo!$L505)</f>
        <v>2.9703565130382601</v>
      </c>
      <c r="E506" s="76">
        <f>MIN(D506*Constantes!$F$17,0.8*(N505+Observaciones!$F505-F506-M506-Constantes!$D$14))</f>
        <v>4.0258658060565722E-6</v>
      </c>
      <c r="F506" s="76">
        <f>IF(Observaciones!$F505&gt;0.05*Constantes!$F$18,((Observaciones!$F505-0.05*Constantes!$F$18)^2)/(Observaciones!$F505+0.95*Constantes!$F$18),0)</f>
        <v>0</v>
      </c>
      <c r="G506" s="76">
        <f>IF(Escenarios!$F$11&gt;0,(F506*Escenarios!$F$16*10000)/1000,0)</f>
        <v>0</v>
      </c>
      <c r="H506" s="76">
        <f>IF(Escenarios!$F$11&gt;0,(Observaciones!$F505*Constantes!$F$29)/1000,0)</f>
        <v>0</v>
      </c>
      <c r="I506" s="76">
        <f>IF(Escenarios!$F$11&gt;0,(D506*Constantes!$F$29)/1000,0)</f>
        <v>0</v>
      </c>
      <c r="J506" s="76">
        <f>IF(Escenarios!$F$11&gt;0,MAX(0,G506+H506-I506),0)</f>
        <v>0</v>
      </c>
      <c r="K506" s="76">
        <f>IF(Escenarios!$F$11&gt;0,IF(J506&gt;Constantes!$F$30,1000*((J506-Constantes!$F$30)/(Escenarios!$F$16*10000)),0),F506)</f>
        <v>0</v>
      </c>
      <c r="L506" s="76">
        <f>IF(Escenarios!$F$11&gt;0,I506*1000/Escenarios!$F$16/10000+E506,E506)</f>
        <v>4.0258658060565722E-6</v>
      </c>
      <c r="M506" s="76">
        <f>MAX(0,N505+Observaciones!$F505-K506-Constantes!$D$13)</f>
        <v>0</v>
      </c>
      <c r="N506" s="76">
        <f>N505+Observaciones!$F505-K506-L506-M506-O505</f>
        <v>11.250000835046741</v>
      </c>
      <c r="O506" s="76">
        <f>MAX(0,(N506-Constantes!$D$14)*(1-EXP(-Constantes!$D$22)))</f>
        <v>2.8444757520794716E-8</v>
      </c>
      <c r="P506" s="170">
        <f>P505+(Entradas!$F$83*M506-Q505)/(800*Entradas!$D$25)</f>
        <v>0</v>
      </c>
      <c r="Q506" s="170">
        <f>8000*Entradas!$D$26*P506/Constantes!$F$45</f>
        <v>0</v>
      </c>
      <c r="R506" s="170">
        <f>IF(Escenarios!$F$14&gt;0,K506*Escenarios!$F$13/Escenarios!$F$14,0)</f>
        <v>0</v>
      </c>
      <c r="S506" s="170">
        <f>IF(Escenarios!$F$14&gt;0,Q506*Escenarios!$F$13/Escenarios!$F$14,0)</f>
        <v>0</v>
      </c>
      <c r="T506" s="170">
        <f>IF(Escenarios!$F$14&gt;0,Observaciones!$I505,0)</f>
        <v>0</v>
      </c>
      <c r="U506" s="170">
        <f>IF(Escenarios!$F$14&gt;0,MAX(0,Constantes!$F$36/((Z505+R506+S506+T506+Observaciones!$F505)^2)+Entradas!$F$77),0)</f>
        <v>0</v>
      </c>
      <c r="V506" s="146">
        <f>IF(ETo!D505&gt;0,ETo!I505*((1-Entradas!$F$81)*ETo!K505+ETo!L505),0)</f>
        <v>2.6009632862083647</v>
      </c>
      <c r="W506" s="170">
        <f>IF(Escenarios!$F$14&gt;0,MIN(V506*1,0.8*(Z505+R506+S506+T506+Observaciones!$F505-U506-Constantes!$F$35)),0)</f>
        <v>1.0240019048524119E-5</v>
      </c>
      <c r="X506" s="170">
        <f>IF(Escenarios!$F$14&gt;0,Observaciones!$J505,0)</f>
        <v>0</v>
      </c>
      <c r="Y506" s="170">
        <f>IF(Escenarios!$F$14&gt;0,MAX(0,Z505+R506+S506+T506+Observaciones!$F505-U506-W506-X506-Constantes!$F$33),0)</f>
        <v>0</v>
      </c>
      <c r="Z506" s="170">
        <f>Z505+R506+S506+T506+Observaciones!$F505-U506-W506-Y506</f>
        <v>41.250002560004759</v>
      </c>
      <c r="AA506" s="170">
        <f>IF(Escenarios!$F$14&gt;0,(Escenarios!$F$13*L506+Escenarios!$F$14*W506)/(Escenarios!$F$16),L506)</f>
        <v>4.7715641951526777E-6</v>
      </c>
      <c r="AB506" s="170">
        <f>IF(Escenarios!$F$14&gt;0,(Escenarios!$F$14*Y506)/(Escenarios!$F$16),K506)</f>
        <v>0</v>
      </c>
      <c r="AC506" s="170">
        <f>IF(Escenarios!$F$14&gt;0,(Escenarios!$F$13*M506+Escenarios!$F$14*U506)/(Escenarios!$F$16),M506)</f>
        <v>0</v>
      </c>
      <c r="AD506" s="76">
        <f t="shared" si="99"/>
        <v>124.6195406373602</v>
      </c>
      <c r="AE506" s="76">
        <f>MAX(0,(AD506-Constantes!$D$13)*(1-EXP(-Constantes!$D$23)))</f>
        <v>0.74756065461660515</v>
      </c>
      <c r="AF506" s="76">
        <f>AB506+O506*Escenarios!$F$13/Escenarios!$F$16+AE506</f>
        <v>0.74756067964799178</v>
      </c>
      <c r="AG506" s="76">
        <f>IF(Entradas!$F$91&gt;0,IF(AF506-Escenarios!$F$38&lt;=0,0,IF(AF506-Escenarios!$F$38&gt;Escenarios!$F$37,Escenarios!$F$37,AF506-Escenarios!$F$38)),0)</f>
        <v>0</v>
      </c>
      <c r="AH506" s="76">
        <f>AG506*Entradas!$F$99</f>
        <v>0</v>
      </c>
      <c r="AI506" s="76">
        <f>IF(Entradas!$F$91&gt;0,D506*Entradas!$D$23/Escenarios!$F$16,0)</f>
        <v>0.1425771126258365</v>
      </c>
      <c r="AJ506" s="76">
        <f>IF(Entradas!$F$91&gt;0,Entradas!$D$24*Entradas!$D$22/Escenarios!$F$16,0)</f>
        <v>0.12</v>
      </c>
      <c r="AK506" s="76">
        <f t="shared" si="100"/>
        <v>0.14258188419003165</v>
      </c>
      <c r="AL506" s="76">
        <f t="shared" si="101"/>
        <v>0</v>
      </c>
      <c r="AM506" s="76">
        <f t="shared" si="102"/>
        <v>0</v>
      </c>
      <c r="AN506" s="76">
        <f>MAX(0,O506*Escenarios!$F$13/Escenarios!$F$16-AM506)</f>
        <v>2.5031386618299351E-8</v>
      </c>
      <c r="AO506" s="76">
        <f>AM506+AN506-O506*Escenarios!$F$13/Escenarios!$F$16</f>
        <v>0</v>
      </c>
      <c r="AP506" s="76">
        <f t="shared" si="103"/>
        <v>0.74756065461660515</v>
      </c>
      <c r="AQ506" s="76">
        <f t="shared" si="104"/>
        <v>0</v>
      </c>
      <c r="AR506" s="76">
        <f t="shared" si="105"/>
        <v>0.74756067964799178</v>
      </c>
      <c r="AS506" s="76">
        <f t="shared" si="106"/>
        <v>0</v>
      </c>
      <c r="AT506" s="76">
        <f t="shared" si="107"/>
        <v>0</v>
      </c>
      <c r="AU506" s="76">
        <f t="shared" si="108"/>
        <v>55.842478518371003</v>
      </c>
      <c r="AV506" s="76">
        <f>MAX(0,(AU506-Constantes!$D$13)*(1-EXP(-Constantes!$D$24)))</f>
        <v>0.10841028646053993</v>
      </c>
      <c r="AW506" s="170">
        <f>AW505+(Entradas!$F$112*AT506-AX505)/(800*Entradas!$D$25)</f>
        <v>0</v>
      </c>
      <c r="AX506" s="170">
        <f>8000*Entradas!$D$26*AW506/Constantes!$F$45</f>
        <v>0</v>
      </c>
      <c r="AY506" s="170">
        <f>IF(Escenarios!$F$17&gt;0,10*Escenarios!$F$16*AL506,0)</f>
        <v>0</v>
      </c>
      <c r="AZ506" s="170">
        <f>IF(Escenarios!$F$17&gt;0,10*Escenarios!$F$16*AX506,0)</f>
        <v>0</v>
      </c>
      <c r="BA506" s="170">
        <f>IF(Escenarios!$F$17&gt;0,0.001*Observaciones!$F505*Escenarios!$F$17,0)</f>
        <v>0</v>
      </c>
      <c r="BB506" s="170">
        <f>IF(Escenarios!$F$17&gt;0,Observaciones!$K505,0)</f>
        <v>0</v>
      </c>
      <c r="BC506" s="170">
        <f>IF(Escenarios!$F$17&gt;0,MIN(0.0005*ETo!$M505*Escenarios!$F$17*(BG505/Constantes!$F$40)^(2/3),BG505+AY506+AZ506+BA506+BB506),0)</f>
        <v>0</v>
      </c>
      <c r="BD506" s="170">
        <f>IF(Escenarios!$F$17&gt;0,MIN(Constantes!$F$39*(BG505/Constantes!$F$40)^(2/3),BG505+AY506+AZ506+BA506+BB506-BC506),0)</f>
        <v>0</v>
      </c>
      <c r="BE506" s="170">
        <f>IF(Escenarios!$F$17&gt;0,MIN(Entradas!$F$113,BG505+AY506+AZ506+BA506+BB506-BC506-BD506),0)</f>
        <v>0</v>
      </c>
      <c r="BF506" s="170">
        <f>IF(Escenarios!$F$17&gt;0,MAX(0,BG505+AY506+AZ506+BA506+BB506-BC506-BD506-BE506-Constantes!$F$40),0)</f>
        <v>0</v>
      </c>
      <c r="BG506" s="170">
        <f t="shared" si="109"/>
        <v>0</v>
      </c>
      <c r="BH506" s="170">
        <f>(Escenarios!$F$16*AK506+0.1*BC506)/(Escenarios!$F$19)</f>
        <v>0.14258188419003165</v>
      </c>
      <c r="BI506" s="170">
        <f>IF(Escenarios!$F$17&gt;0,BF506/10/Escenarios!$F$19,AL506)</f>
        <v>0</v>
      </c>
      <c r="BJ506" s="170">
        <f>(Escenarios!$F$16*AT506+0.1*BD506)/(Escenarios!$F$19)</f>
        <v>0</v>
      </c>
      <c r="BK506" s="76">
        <f>BK505+(0.1*BD506)/(Escenarios!$F$19)-BL505</f>
        <v>48.75</v>
      </c>
      <c r="BL506" s="76">
        <f>MAX(0,(BK506-Constantes!$D$13)*(1-EXP(-Constantes!$D$23)))</f>
        <v>0</v>
      </c>
      <c r="BM506" s="76">
        <f t="shared" si="110"/>
        <v>0.85597094107714511</v>
      </c>
      <c r="BN506" s="76">
        <f t="shared" si="111"/>
        <v>0.85597096610853174</v>
      </c>
      <c r="BO506" s="76">
        <f>0.0526*BI506*Observaciones!$F505^1.218</f>
        <v>0</v>
      </c>
      <c r="BP506" s="76">
        <f>BO506*Constantes!$F$51</f>
        <v>0</v>
      </c>
      <c r="BQ506" s="76">
        <f t="shared" si="112"/>
        <v>0</v>
      </c>
      <c r="BR506" s="40"/>
    </row>
    <row r="507" spans="2:70">
      <c r="B507" s="39"/>
      <c r="C507" s="75">
        <v>501</v>
      </c>
      <c r="D507" s="146">
        <f>ETo!$I506*((1-Constantes!$F$19)*ETo!$K506+ETo!$L506)</f>
        <v>2.8883162161825653</v>
      </c>
      <c r="E507" s="76">
        <f>MIN(D507*Constantes!$F$17,0.8*(N506+Observaciones!$F506-F507-M507-Constantes!$D$14))</f>
        <v>6.6803739287024663E-7</v>
      </c>
      <c r="F507" s="76">
        <f>IF(Observaciones!$F506&gt;0.05*Constantes!$F$18,((Observaciones!$F506-0.05*Constantes!$F$18)^2)/(Observaciones!$F506+0.95*Constantes!$F$18),0)</f>
        <v>0</v>
      </c>
      <c r="G507" s="76">
        <f>IF(Escenarios!$F$11&gt;0,(F507*Escenarios!$F$16*10000)/1000,0)</f>
        <v>0</v>
      </c>
      <c r="H507" s="76">
        <f>IF(Escenarios!$F$11&gt;0,(Observaciones!$F506*Constantes!$F$29)/1000,0)</f>
        <v>0</v>
      </c>
      <c r="I507" s="76">
        <f>IF(Escenarios!$F$11&gt;0,(D507*Constantes!$F$29)/1000,0)</f>
        <v>0</v>
      </c>
      <c r="J507" s="76">
        <f>IF(Escenarios!$F$11&gt;0,MAX(0,G507+H507-I507),0)</f>
        <v>0</v>
      </c>
      <c r="K507" s="76">
        <f>IF(Escenarios!$F$11&gt;0,IF(J507&gt;Constantes!$F$30,1000*((J507-Constantes!$F$30)/(Escenarios!$F$16*10000)),0),F507)</f>
        <v>0</v>
      </c>
      <c r="L507" s="76">
        <f>IF(Escenarios!$F$11&gt;0,I507*1000/Escenarios!$F$16/10000+E507,E507)</f>
        <v>6.6803739287024663E-7</v>
      </c>
      <c r="M507" s="76">
        <f>MAX(0,N506+Observaciones!$F506-K507-Constantes!$D$13)</f>
        <v>0</v>
      </c>
      <c r="N507" s="76">
        <f>N506+Observaciones!$F506-K507-L507-M507-O506</f>
        <v>11.250000138564591</v>
      </c>
      <c r="O507" s="76">
        <f>MAX(0,(N507-Constantes!$D$14)*(1-EXP(-Constantes!$D$22)))</f>
        <v>4.7200186475046091E-9</v>
      </c>
      <c r="P507" s="170">
        <f>P506+(Entradas!$F$83*M507-Q506)/(800*Entradas!$D$25)</f>
        <v>0</v>
      </c>
      <c r="Q507" s="170">
        <f>8000*Entradas!$D$26*P507/Constantes!$F$45</f>
        <v>0</v>
      </c>
      <c r="R507" s="170">
        <f>IF(Escenarios!$F$14&gt;0,K507*Escenarios!$F$13/Escenarios!$F$14,0)</f>
        <v>0</v>
      </c>
      <c r="S507" s="170">
        <f>IF(Escenarios!$F$14&gt;0,Q507*Escenarios!$F$13/Escenarios!$F$14,0)</f>
        <v>0</v>
      </c>
      <c r="T507" s="170">
        <f>IF(Escenarios!$F$14&gt;0,Observaciones!$I506,0)</f>
        <v>0</v>
      </c>
      <c r="U507" s="170">
        <f>IF(Escenarios!$F$14&gt;0,MAX(0,Constantes!$F$36/((Z506+R507+S507+T507+Observaciones!$F506)^2)+Entradas!$F$77),0)</f>
        <v>0</v>
      </c>
      <c r="V507" s="146">
        <f>IF(ETo!D506&gt;0,ETo!I506*((1-Entradas!$F$81)*ETo!K506+ETo!L506),0)</f>
        <v>2.5277492252386646</v>
      </c>
      <c r="W507" s="170">
        <f>IF(Escenarios!$F$14&gt;0,MIN(V507*1,0.8*(Z506+R507+S507+T507+Observaciones!$F506-U507-Constantes!$F$35)),0)</f>
        <v>2.0480038074310869E-6</v>
      </c>
      <c r="X507" s="170">
        <f>IF(Escenarios!$F$14&gt;0,Observaciones!$J506,0)</f>
        <v>0</v>
      </c>
      <c r="Y507" s="170">
        <f>IF(Escenarios!$F$14&gt;0,MAX(0,Z506+R507+S507+T507+Observaciones!$F506-U507-W507-X507-Constantes!$F$33),0)</f>
        <v>0</v>
      </c>
      <c r="Z507" s="170">
        <f>Z506+R507+S507+T507+Observaciones!$F506-U507-W507-Y507</f>
        <v>41.250000512000952</v>
      </c>
      <c r="AA507" s="170">
        <f>IF(Escenarios!$F$14&gt;0,(Escenarios!$F$13*L507+Escenarios!$F$14*W507)/(Escenarios!$F$16),L507)</f>
        <v>8.3363336261754753E-7</v>
      </c>
      <c r="AB507" s="170">
        <f>IF(Escenarios!$F$14&gt;0,(Escenarios!$F$14*Y507)/(Escenarios!$F$16),K507)</f>
        <v>0</v>
      </c>
      <c r="AC507" s="170">
        <f>IF(Escenarios!$F$14&gt;0,(Escenarios!$F$13*M507+Escenarios!$F$14*U507)/(Escenarios!$F$16),M507)</f>
        <v>0</v>
      </c>
      <c r="AD507" s="76">
        <f t="shared" si="99"/>
        <v>123.8719799827436</v>
      </c>
      <c r="AE507" s="76">
        <f>MAX(0,(AD507-Constantes!$D$13)*(1-EXP(-Constantes!$D$23)))</f>
        <v>0.74019476143159202</v>
      </c>
      <c r="AF507" s="76">
        <f>AB507+O507*Escenarios!$F$13/Escenarios!$F$16+AE507</f>
        <v>0.74019476558520847</v>
      </c>
      <c r="AG507" s="76">
        <f>IF(Entradas!$F$91&gt;0,IF(AF507-Escenarios!$F$38&lt;=0,0,IF(AF507-Escenarios!$F$38&gt;Escenarios!$F$37,Escenarios!$F$37,AF507-Escenarios!$F$38)),0)</f>
        <v>0</v>
      </c>
      <c r="AH507" s="76">
        <f>AG507*Entradas!$F$99</f>
        <v>0</v>
      </c>
      <c r="AI507" s="76">
        <f>IF(Entradas!$F$91&gt;0,D507*Entradas!$D$23/Escenarios!$F$16,0)</f>
        <v>0.13863917837676315</v>
      </c>
      <c r="AJ507" s="76">
        <f>IF(Entradas!$F$91&gt;0,Entradas!$D$24*Entradas!$D$22/Escenarios!$F$16,0)</f>
        <v>0.12</v>
      </c>
      <c r="AK507" s="76">
        <f t="shared" si="100"/>
        <v>0.13864001201012577</v>
      </c>
      <c r="AL507" s="76">
        <f t="shared" si="101"/>
        <v>0</v>
      </c>
      <c r="AM507" s="76">
        <f t="shared" si="102"/>
        <v>0</v>
      </c>
      <c r="AN507" s="76">
        <f>MAX(0,O507*Escenarios!$F$13/Escenarios!$F$16-AM507)</f>
        <v>4.1536164098040561E-9</v>
      </c>
      <c r="AO507" s="76">
        <f>AM507+AN507-O507*Escenarios!$F$13/Escenarios!$F$16</f>
        <v>0</v>
      </c>
      <c r="AP507" s="76">
        <f t="shared" si="103"/>
        <v>0.74019476143159202</v>
      </c>
      <c r="AQ507" s="76">
        <f t="shared" si="104"/>
        <v>0</v>
      </c>
      <c r="AR507" s="76">
        <f t="shared" si="105"/>
        <v>0.74019476558520847</v>
      </c>
      <c r="AS507" s="76">
        <f t="shared" si="106"/>
        <v>0</v>
      </c>
      <c r="AT507" s="76">
        <f t="shared" si="107"/>
        <v>0</v>
      </c>
      <c r="AU507" s="76">
        <f t="shared" si="108"/>
        <v>55.734068231910463</v>
      </c>
      <c r="AV507" s="76">
        <f>MAX(0,(AU507-Constantes!$D$13)*(1-EXP(-Constantes!$D$24)))</f>
        <v>0.10675320844754151</v>
      </c>
      <c r="AW507" s="170">
        <f>AW506+(Entradas!$F$112*AT507-AX506)/(800*Entradas!$D$25)</f>
        <v>0</v>
      </c>
      <c r="AX507" s="170">
        <f>8000*Entradas!$D$26*AW507/Constantes!$F$45</f>
        <v>0</v>
      </c>
      <c r="AY507" s="170">
        <f>IF(Escenarios!$F$17&gt;0,10*Escenarios!$F$16*AL507,0)</f>
        <v>0</v>
      </c>
      <c r="AZ507" s="170">
        <f>IF(Escenarios!$F$17&gt;0,10*Escenarios!$F$16*AX507,0)</f>
        <v>0</v>
      </c>
      <c r="BA507" s="170">
        <f>IF(Escenarios!$F$17&gt;0,0.001*Observaciones!$F506*Escenarios!$F$17,0)</f>
        <v>0</v>
      </c>
      <c r="BB507" s="170">
        <f>IF(Escenarios!$F$17&gt;0,Observaciones!$K506,0)</f>
        <v>0</v>
      </c>
      <c r="BC507" s="170">
        <f>IF(Escenarios!$F$17&gt;0,MIN(0.0005*ETo!$M506*Escenarios!$F$17*(BG506/Constantes!$F$40)^(2/3),BG506+AY507+AZ507+BA507+BB507),0)</f>
        <v>0</v>
      </c>
      <c r="BD507" s="170">
        <f>IF(Escenarios!$F$17&gt;0,MIN(Constantes!$F$39*(BG506/Constantes!$F$40)^(2/3),BG506+AY507+AZ507+BA507+BB507-BC507),0)</f>
        <v>0</v>
      </c>
      <c r="BE507" s="170">
        <f>IF(Escenarios!$F$17&gt;0,MIN(Entradas!$F$113,BG506+AY507+AZ507+BA507+BB507-BC507-BD507),0)</f>
        <v>0</v>
      </c>
      <c r="BF507" s="170">
        <f>IF(Escenarios!$F$17&gt;0,MAX(0,BG506+AY507+AZ507+BA507+BB507-BC507-BD507-BE507-Constantes!$F$40),0)</f>
        <v>0</v>
      </c>
      <c r="BG507" s="170">
        <f t="shared" si="109"/>
        <v>0</v>
      </c>
      <c r="BH507" s="170">
        <f>(Escenarios!$F$16*AK507+0.1*BC507)/(Escenarios!$F$19)</f>
        <v>0.13864001201012577</v>
      </c>
      <c r="BI507" s="170">
        <f>IF(Escenarios!$F$17&gt;0,BF507/10/Escenarios!$F$19,AL507)</f>
        <v>0</v>
      </c>
      <c r="BJ507" s="170">
        <f>(Escenarios!$F$16*AT507+0.1*BD507)/(Escenarios!$F$19)</f>
        <v>0</v>
      </c>
      <c r="BK507" s="76">
        <f>BK506+(0.1*BD507)/(Escenarios!$F$19)-BL506</f>
        <v>48.75</v>
      </c>
      <c r="BL507" s="76">
        <f>MAX(0,(BK507-Constantes!$D$13)*(1-EXP(-Constantes!$D$23)))</f>
        <v>0</v>
      </c>
      <c r="BM507" s="76">
        <f t="shared" si="110"/>
        <v>0.84694796987913357</v>
      </c>
      <c r="BN507" s="76">
        <f t="shared" si="111"/>
        <v>0.84694797403275002</v>
      </c>
      <c r="BO507" s="76">
        <f>0.0526*BI507*Observaciones!$F506^1.218</f>
        <v>0</v>
      </c>
      <c r="BP507" s="76">
        <f>BO507*Constantes!$F$51</f>
        <v>0</v>
      </c>
      <c r="BQ507" s="76">
        <f t="shared" si="112"/>
        <v>0</v>
      </c>
      <c r="BR507" s="40"/>
    </row>
    <row r="508" spans="2:70">
      <c r="B508" s="39"/>
      <c r="C508" s="75">
        <v>502</v>
      </c>
      <c r="D508" s="146">
        <f>ETo!$I507*((1-Constantes!$F$19)*ETo!$K507+ETo!$L507)</f>
        <v>2.916654323500901</v>
      </c>
      <c r="E508" s="76">
        <f>MIN(D508*Constantes!$F$17,0.8*(N507+Observaciones!$F507-F508-M508-Constantes!$D$14))</f>
        <v>1.1085167272995022E-7</v>
      </c>
      <c r="F508" s="76">
        <f>IF(Observaciones!$F507&gt;0.05*Constantes!$F$18,((Observaciones!$F507-0.05*Constantes!$F$18)^2)/(Observaciones!$F507+0.95*Constantes!$F$18),0)</f>
        <v>0</v>
      </c>
      <c r="G508" s="76">
        <f>IF(Escenarios!$F$11&gt;0,(F508*Escenarios!$F$16*10000)/1000,0)</f>
        <v>0</v>
      </c>
      <c r="H508" s="76">
        <f>IF(Escenarios!$F$11&gt;0,(Observaciones!$F507*Constantes!$F$29)/1000,0)</f>
        <v>0</v>
      </c>
      <c r="I508" s="76">
        <f>IF(Escenarios!$F$11&gt;0,(D508*Constantes!$F$29)/1000,0)</f>
        <v>0</v>
      </c>
      <c r="J508" s="76">
        <f>IF(Escenarios!$F$11&gt;0,MAX(0,G508+H508-I508),0)</f>
        <v>0</v>
      </c>
      <c r="K508" s="76">
        <f>IF(Escenarios!$F$11&gt;0,IF(J508&gt;Constantes!$F$30,1000*((J508-Constantes!$F$30)/(Escenarios!$F$16*10000)),0),F508)</f>
        <v>0</v>
      </c>
      <c r="L508" s="76">
        <f>IF(Escenarios!$F$11&gt;0,I508*1000/Escenarios!$F$16/10000+E508,E508)</f>
        <v>1.1085167272995022E-7</v>
      </c>
      <c r="M508" s="76">
        <f>MAX(0,N507+Observaciones!$F507-K508-Constantes!$D$13)</f>
        <v>0</v>
      </c>
      <c r="N508" s="76">
        <f>N507+Observaciones!$F507-K508-L508-M508-O507</f>
        <v>11.2500000229929</v>
      </c>
      <c r="O508" s="76">
        <f>MAX(0,(N508-Constantes!$D$14)*(1-EXP(-Constantes!$D$22)))</f>
        <v>7.8322258363080169E-10</v>
      </c>
      <c r="P508" s="170">
        <f>P507+(Entradas!$F$83*M508-Q507)/(800*Entradas!$D$25)</f>
        <v>0</v>
      </c>
      <c r="Q508" s="170">
        <f>8000*Entradas!$D$26*P508/Constantes!$F$45</f>
        <v>0</v>
      </c>
      <c r="R508" s="170">
        <f>IF(Escenarios!$F$14&gt;0,K508*Escenarios!$F$13/Escenarios!$F$14,0)</f>
        <v>0</v>
      </c>
      <c r="S508" s="170">
        <f>IF(Escenarios!$F$14&gt;0,Q508*Escenarios!$F$13/Escenarios!$F$14,0)</f>
        <v>0</v>
      </c>
      <c r="T508" s="170">
        <f>IF(Escenarios!$F$14&gt;0,Observaciones!$I507,0)</f>
        <v>0</v>
      </c>
      <c r="U508" s="170">
        <f>IF(Escenarios!$F$14&gt;0,MAX(0,Constantes!$F$36/((Z507+R508+S508+T508+Observaciones!$F507)^2)+Entradas!$F$77),0)</f>
        <v>0</v>
      </c>
      <c r="V508" s="146">
        <f>IF(ETo!D507&gt;0,ETo!I507*((1-Entradas!$F$81)*ETo!K507+ETo!L507),0)</f>
        <v>2.5523947111432075</v>
      </c>
      <c r="W508" s="170">
        <f>IF(Escenarios!$F$14&gt;0,MIN(V508*1,0.8*(Z507+R508+S508+T508+Observaciones!$F507-U508-Constantes!$F$35)),0)</f>
        <v>4.0960076148621742E-7</v>
      </c>
      <c r="X508" s="170">
        <f>IF(Escenarios!$F$14&gt;0,Observaciones!$J507,0)</f>
        <v>0</v>
      </c>
      <c r="Y508" s="170">
        <f>IF(Escenarios!$F$14&gt;0,MAX(0,Z507+R508+S508+T508+Observaciones!$F507-U508-W508-X508-Constantes!$F$33),0)</f>
        <v>0</v>
      </c>
      <c r="Z508" s="170">
        <f>Z507+R508+S508+T508+Observaciones!$F507-U508-W508-Y508</f>
        <v>41.250000102400193</v>
      </c>
      <c r="AA508" s="170">
        <f>IF(Escenarios!$F$14&gt;0,(Escenarios!$F$13*L508+Escenarios!$F$14*W508)/(Escenarios!$F$16),L508)</f>
        <v>1.4670156338070228E-7</v>
      </c>
      <c r="AB508" s="170">
        <f>IF(Escenarios!$F$14&gt;0,(Escenarios!$F$14*Y508)/(Escenarios!$F$16),K508)</f>
        <v>0</v>
      </c>
      <c r="AC508" s="170">
        <f>IF(Escenarios!$F$14&gt;0,(Escenarios!$F$13*M508+Escenarios!$F$14*U508)/(Escenarios!$F$16),M508)</f>
        <v>0</v>
      </c>
      <c r="AD508" s="76">
        <f t="shared" si="99"/>
        <v>123.131785221312</v>
      </c>
      <c r="AE508" s="76">
        <f>MAX(0,(AD508-Constantes!$D$13)*(1-EXP(-Constantes!$D$23)))</f>
        <v>0.73290144614654984</v>
      </c>
      <c r="AF508" s="76">
        <f>AB508+O508*Escenarios!$F$13/Escenarios!$F$16+AE508</f>
        <v>0.73290144683578573</v>
      </c>
      <c r="AG508" s="76">
        <f>IF(Entradas!$F$91&gt;0,IF(AF508-Escenarios!$F$38&lt;=0,0,IF(AF508-Escenarios!$F$38&gt;Escenarios!$F$37,Escenarios!$F$37,AF508-Escenarios!$F$38)),0)</f>
        <v>0</v>
      </c>
      <c r="AH508" s="76">
        <f>AG508*Entradas!$F$99</f>
        <v>0</v>
      </c>
      <c r="AI508" s="76">
        <f>IF(Entradas!$F$91&gt;0,D508*Entradas!$D$23/Escenarios!$F$16,0)</f>
        <v>0.13999940752804327</v>
      </c>
      <c r="AJ508" s="76">
        <f>IF(Entradas!$F$91&gt;0,Entradas!$D$24*Entradas!$D$22/Escenarios!$F$16,0)</f>
        <v>0.12</v>
      </c>
      <c r="AK508" s="76">
        <f t="shared" si="100"/>
        <v>0.13999955422960664</v>
      </c>
      <c r="AL508" s="76">
        <f t="shared" si="101"/>
        <v>0</v>
      </c>
      <c r="AM508" s="76">
        <f t="shared" si="102"/>
        <v>0</v>
      </c>
      <c r="AN508" s="76">
        <f>MAX(0,O508*Escenarios!$F$13/Escenarios!$F$16-AM508)</f>
        <v>6.892358735951054E-10</v>
      </c>
      <c r="AO508" s="76">
        <f>AM508+AN508-O508*Escenarios!$F$13/Escenarios!$F$16</f>
        <v>0</v>
      </c>
      <c r="AP508" s="76">
        <f t="shared" si="103"/>
        <v>0.73290144614654984</v>
      </c>
      <c r="AQ508" s="76">
        <f t="shared" si="104"/>
        <v>0</v>
      </c>
      <c r="AR508" s="76">
        <f t="shared" si="105"/>
        <v>0.73290144683578573</v>
      </c>
      <c r="AS508" s="76">
        <f t="shared" si="106"/>
        <v>0</v>
      </c>
      <c r="AT508" s="76">
        <f t="shared" si="107"/>
        <v>0</v>
      </c>
      <c r="AU508" s="76">
        <f t="shared" si="108"/>
        <v>55.62731502346292</v>
      </c>
      <c r="AV508" s="76">
        <f>MAX(0,(AU508-Constantes!$D$13)*(1-EXP(-Constantes!$D$24)))</f>
        <v>0.10512145928137864</v>
      </c>
      <c r="AW508" s="170">
        <f>AW507+(Entradas!$F$112*AT508-AX507)/(800*Entradas!$D$25)</f>
        <v>0</v>
      </c>
      <c r="AX508" s="170">
        <f>8000*Entradas!$D$26*AW508/Constantes!$F$45</f>
        <v>0</v>
      </c>
      <c r="AY508" s="170">
        <f>IF(Escenarios!$F$17&gt;0,10*Escenarios!$F$16*AL508,0)</f>
        <v>0</v>
      </c>
      <c r="AZ508" s="170">
        <f>IF(Escenarios!$F$17&gt;0,10*Escenarios!$F$16*AX508,0)</f>
        <v>0</v>
      </c>
      <c r="BA508" s="170">
        <f>IF(Escenarios!$F$17&gt;0,0.001*Observaciones!$F507*Escenarios!$F$17,0)</f>
        <v>0</v>
      </c>
      <c r="BB508" s="170">
        <f>IF(Escenarios!$F$17&gt;0,Observaciones!$K507,0)</f>
        <v>0</v>
      </c>
      <c r="BC508" s="170">
        <f>IF(Escenarios!$F$17&gt;0,MIN(0.0005*ETo!$M507*Escenarios!$F$17*(BG507/Constantes!$F$40)^(2/3),BG507+AY508+AZ508+BA508+BB508),0)</f>
        <v>0</v>
      </c>
      <c r="BD508" s="170">
        <f>IF(Escenarios!$F$17&gt;0,MIN(Constantes!$F$39*(BG507/Constantes!$F$40)^(2/3),BG507+AY508+AZ508+BA508+BB508-BC508),0)</f>
        <v>0</v>
      </c>
      <c r="BE508" s="170">
        <f>IF(Escenarios!$F$17&gt;0,MIN(Entradas!$F$113,BG507+AY508+AZ508+BA508+BB508-BC508-BD508),0)</f>
        <v>0</v>
      </c>
      <c r="BF508" s="170">
        <f>IF(Escenarios!$F$17&gt;0,MAX(0,BG507+AY508+AZ508+BA508+BB508-BC508-BD508-BE508-Constantes!$F$40),0)</f>
        <v>0</v>
      </c>
      <c r="BG508" s="170">
        <f t="shared" si="109"/>
        <v>0</v>
      </c>
      <c r="BH508" s="170">
        <f>(Escenarios!$F$16*AK508+0.1*BC508)/(Escenarios!$F$19)</f>
        <v>0.13999955422960664</v>
      </c>
      <c r="BI508" s="170">
        <f>IF(Escenarios!$F$17&gt;0,BF508/10/Escenarios!$F$19,AL508)</f>
        <v>0</v>
      </c>
      <c r="BJ508" s="170">
        <f>(Escenarios!$F$16*AT508+0.1*BD508)/(Escenarios!$F$19)</f>
        <v>0</v>
      </c>
      <c r="BK508" s="76">
        <f>BK507+(0.1*BD508)/(Escenarios!$F$19)-BL507</f>
        <v>48.75</v>
      </c>
      <c r="BL508" s="76">
        <f>MAX(0,(BK508-Constantes!$D$13)*(1-EXP(-Constantes!$D$23)))</f>
        <v>0</v>
      </c>
      <c r="BM508" s="76">
        <f t="shared" si="110"/>
        <v>0.83802290542792846</v>
      </c>
      <c r="BN508" s="76">
        <f t="shared" si="111"/>
        <v>0.83802290611716435</v>
      </c>
      <c r="BO508" s="76">
        <f>0.0526*BI508*Observaciones!$F507^1.218</f>
        <v>0</v>
      </c>
      <c r="BP508" s="76">
        <f>BO508*Constantes!$F$51</f>
        <v>0</v>
      </c>
      <c r="BQ508" s="76">
        <f t="shared" si="112"/>
        <v>0</v>
      </c>
      <c r="BR508" s="40"/>
    </row>
    <row r="509" spans="2:70">
      <c r="B509" s="39"/>
      <c r="C509" s="75">
        <v>503</v>
      </c>
      <c r="D509" s="146">
        <f>ETo!$I508*((1-Constantes!$F$19)*ETo!$K508+ETo!$L508)</f>
        <v>2.9251302413845996</v>
      </c>
      <c r="E509" s="76">
        <f>MIN(D509*Constantes!$F$17,0.8*(N508+Observaciones!$F508-F509-M509-Constantes!$D$14))</f>
        <v>1.8394320022707691E-8</v>
      </c>
      <c r="F509" s="76">
        <f>IF(Observaciones!$F508&gt;0.05*Constantes!$F$18,((Observaciones!$F508-0.05*Constantes!$F$18)^2)/(Observaciones!$F508+0.95*Constantes!$F$18),0)</f>
        <v>0</v>
      </c>
      <c r="G509" s="76">
        <f>IF(Escenarios!$F$11&gt;0,(F509*Escenarios!$F$16*10000)/1000,0)</f>
        <v>0</v>
      </c>
      <c r="H509" s="76">
        <f>IF(Escenarios!$F$11&gt;0,(Observaciones!$F508*Constantes!$F$29)/1000,0)</f>
        <v>0</v>
      </c>
      <c r="I509" s="76">
        <f>IF(Escenarios!$F$11&gt;0,(D509*Constantes!$F$29)/1000,0)</f>
        <v>0</v>
      </c>
      <c r="J509" s="76">
        <f>IF(Escenarios!$F$11&gt;0,MAX(0,G509+H509-I509),0)</f>
        <v>0</v>
      </c>
      <c r="K509" s="76">
        <f>IF(Escenarios!$F$11&gt;0,IF(J509&gt;Constantes!$F$30,1000*((J509-Constantes!$F$30)/(Escenarios!$F$16*10000)),0),F509)</f>
        <v>0</v>
      </c>
      <c r="L509" s="76">
        <f>IF(Escenarios!$F$11&gt;0,I509*1000/Escenarios!$F$16/10000+E509,E509)</f>
        <v>1.8394320022707691E-8</v>
      </c>
      <c r="M509" s="76">
        <f>MAX(0,N508+Observaciones!$F508-K509-Constantes!$D$13)</f>
        <v>0</v>
      </c>
      <c r="N509" s="76">
        <f>N508+Observaciones!$F508-K509-L509-M509-O508</f>
        <v>11.250000003815357</v>
      </c>
      <c r="O509" s="76">
        <f>MAX(0,(N509-Constantes!$D$14)*(1-EXP(-Constantes!$D$22)))</f>
        <v>1.2996506313300983E-10</v>
      </c>
      <c r="P509" s="170">
        <f>P508+(Entradas!$F$83*M509-Q508)/(800*Entradas!$D$25)</f>
        <v>0</v>
      </c>
      <c r="Q509" s="170">
        <f>8000*Entradas!$D$26*P509/Constantes!$F$45</f>
        <v>0</v>
      </c>
      <c r="R509" s="170">
        <f>IF(Escenarios!$F$14&gt;0,K509*Escenarios!$F$13/Escenarios!$F$14,0)</f>
        <v>0</v>
      </c>
      <c r="S509" s="170">
        <f>IF(Escenarios!$F$14&gt;0,Q509*Escenarios!$F$13/Escenarios!$F$14,0)</f>
        <v>0</v>
      </c>
      <c r="T509" s="170">
        <f>IF(Escenarios!$F$14&gt;0,Observaciones!$I508,0)</f>
        <v>0</v>
      </c>
      <c r="U509" s="170">
        <f>IF(Escenarios!$F$14&gt;0,MAX(0,Constantes!$F$36/((Z508+R509+S509+T509+Observaciones!$F508)^2)+Entradas!$F$77),0)</f>
        <v>0</v>
      </c>
      <c r="V509" s="146">
        <f>IF(ETo!D508&gt;0,ETo!I508*((1-Entradas!$F$81)*ETo!K508+ETo!L508),0)</f>
        <v>2.5594808081953766</v>
      </c>
      <c r="W509" s="170">
        <f>IF(Escenarios!$F$14&gt;0,MIN(V509*1,0.8*(Z508+R509+S509+T509+Observaciones!$F508-U509-Constantes!$F$35)),0)</f>
        <v>8.1920154570980236E-8</v>
      </c>
      <c r="X509" s="170">
        <f>IF(Escenarios!$F$14&gt;0,Observaciones!$J508,0)</f>
        <v>0</v>
      </c>
      <c r="Y509" s="170">
        <f>IF(Escenarios!$F$14&gt;0,MAX(0,Z508+R509+S509+T509+Observaciones!$F508-U509-W509-X509-Constantes!$F$33),0)</f>
        <v>0</v>
      </c>
      <c r="Z509" s="170">
        <f>Z508+R509+S509+T509+Observaciones!$F508-U509-W509-Y509</f>
        <v>41.250000020480037</v>
      </c>
      <c r="AA509" s="170">
        <f>IF(Escenarios!$F$14&gt;0,(Escenarios!$F$13*L509+Escenarios!$F$14*W509)/(Escenarios!$F$16),L509)</f>
        <v>2.6017420168500395E-8</v>
      </c>
      <c r="AB509" s="170">
        <f>IF(Escenarios!$F$14&gt;0,(Escenarios!$F$14*Y509)/(Escenarios!$F$16),K509)</f>
        <v>0</v>
      </c>
      <c r="AC509" s="170">
        <f>IF(Escenarios!$F$14&gt;0,(Escenarios!$F$13*M509+Escenarios!$F$14*U509)/(Escenarios!$F$16),M509)</f>
        <v>0</v>
      </c>
      <c r="AD509" s="76">
        <f t="shared" si="99"/>
        <v>122.39888377516544</v>
      </c>
      <c r="AE509" s="76">
        <f>MAX(0,(AD509-Constantes!$D$13)*(1-EXP(-Constantes!$D$23)))</f>
        <v>0.72567999363414359</v>
      </c>
      <c r="AF509" s="76">
        <f>AB509+O509*Escenarios!$F$13/Escenarios!$F$16+AE509</f>
        <v>0.72567999374851289</v>
      </c>
      <c r="AG509" s="76">
        <f>IF(Entradas!$F$91&gt;0,IF(AF509-Escenarios!$F$38&lt;=0,0,IF(AF509-Escenarios!$F$38&gt;Escenarios!$F$37,Escenarios!$F$37,AF509-Escenarios!$F$38)),0)</f>
        <v>0</v>
      </c>
      <c r="AH509" s="76">
        <f>AG509*Entradas!$F$99</f>
        <v>0</v>
      </c>
      <c r="AI509" s="76">
        <f>IF(Entradas!$F$91&gt;0,D509*Entradas!$D$23/Escenarios!$F$16,0)</f>
        <v>0.14040625158646078</v>
      </c>
      <c r="AJ509" s="76">
        <f>IF(Entradas!$F$91&gt;0,Entradas!$D$24*Entradas!$D$22/Escenarios!$F$16,0)</f>
        <v>0.12</v>
      </c>
      <c r="AK509" s="76">
        <f t="shared" si="100"/>
        <v>0.14040627760388094</v>
      </c>
      <c r="AL509" s="76">
        <f t="shared" si="101"/>
        <v>0</v>
      </c>
      <c r="AM509" s="76">
        <f t="shared" si="102"/>
        <v>0</v>
      </c>
      <c r="AN509" s="76">
        <f>MAX(0,O509*Escenarios!$F$13/Escenarios!$F$16-AM509)</f>
        <v>1.1436925555704866E-10</v>
      </c>
      <c r="AO509" s="76">
        <f>AM509+AN509-O509*Escenarios!$F$13/Escenarios!$F$16</f>
        <v>0</v>
      </c>
      <c r="AP509" s="76">
        <f t="shared" si="103"/>
        <v>0.72567999363414359</v>
      </c>
      <c r="AQ509" s="76">
        <f t="shared" si="104"/>
        <v>0</v>
      </c>
      <c r="AR509" s="76">
        <f t="shared" si="105"/>
        <v>0.72567999374851289</v>
      </c>
      <c r="AS509" s="76">
        <f t="shared" si="106"/>
        <v>0</v>
      </c>
      <c r="AT509" s="76">
        <f t="shared" si="107"/>
        <v>0</v>
      </c>
      <c r="AU509" s="76">
        <f t="shared" si="108"/>
        <v>55.522193564181542</v>
      </c>
      <c r="AV509" s="76">
        <f>MAX(0,(AU509-Constantes!$D$13)*(1-EXP(-Constantes!$D$24)))</f>
        <v>0.10351465180436965</v>
      </c>
      <c r="AW509" s="170">
        <f>AW508+(Entradas!$F$112*AT509-AX508)/(800*Entradas!$D$25)</f>
        <v>0</v>
      </c>
      <c r="AX509" s="170">
        <f>8000*Entradas!$D$26*AW509/Constantes!$F$45</f>
        <v>0</v>
      </c>
      <c r="AY509" s="170">
        <f>IF(Escenarios!$F$17&gt;0,10*Escenarios!$F$16*AL509,0)</f>
        <v>0</v>
      </c>
      <c r="AZ509" s="170">
        <f>IF(Escenarios!$F$17&gt;0,10*Escenarios!$F$16*AX509,0)</f>
        <v>0</v>
      </c>
      <c r="BA509" s="170">
        <f>IF(Escenarios!$F$17&gt;0,0.001*Observaciones!$F508*Escenarios!$F$17,0)</f>
        <v>0</v>
      </c>
      <c r="BB509" s="170">
        <f>IF(Escenarios!$F$17&gt;0,Observaciones!$K508,0)</f>
        <v>0</v>
      </c>
      <c r="BC509" s="170">
        <f>IF(Escenarios!$F$17&gt;0,MIN(0.0005*ETo!$M508*Escenarios!$F$17*(BG508/Constantes!$F$40)^(2/3),BG508+AY509+AZ509+BA509+BB509),0)</f>
        <v>0</v>
      </c>
      <c r="BD509" s="170">
        <f>IF(Escenarios!$F$17&gt;0,MIN(Constantes!$F$39*(BG508/Constantes!$F$40)^(2/3),BG508+AY509+AZ509+BA509+BB509-BC509),0)</f>
        <v>0</v>
      </c>
      <c r="BE509" s="170">
        <f>IF(Escenarios!$F$17&gt;0,MIN(Entradas!$F$113,BG508+AY509+AZ509+BA509+BB509-BC509-BD509),0)</f>
        <v>0</v>
      </c>
      <c r="BF509" s="170">
        <f>IF(Escenarios!$F$17&gt;0,MAX(0,BG508+AY509+AZ509+BA509+BB509-BC509-BD509-BE509-Constantes!$F$40),0)</f>
        <v>0</v>
      </c>
      <c r="BG509" s="170">
        <f t="shared" si="109"/>
        <v>0</v>
      </c>
      <c r="BH509" s="170">
        <f>(Escenarios!$F$16*AK509+0.1*BC509)/(Escenarios!$F$19)</f>
        <v>0.14040627760388094</v>
      </c>
      <c r="BI509" s="170">
        <f>IF(Escenarios!$F$17&gt;0,BF509/10/Escenarios!$F$19,AL509)</f>
        <v>0</v>
      </c>
      <c r="BJ509" s="170">
        <f>(Escenarios!$F$16*AT509+0.1*BD509)/(Escenarios!$F$19)</f>
        <v>0</v>
      </c>
      <c r="BK509" s="76">
        <f>BK508+(0.1*BD509)/(Escenarios!$F$19)-BL508</f>
        <v>48.75</v>
      </c>
      <c r="BL509" s="76">
        <f>MAX(0,(BK509-Constantes!$D$13)*(1-EXP(-Constantes!$D$23)))</f>
        <v>0</v>
      </c>
      <c r="BM509" s="76">
        <f t="shared" si="110"/>
        <v>0.82919464543851329</v>
      </c>
      <c r="BN509" s="76">
        <f t="shared" si="111"/>
        <v>0.82919464555288258</v>
      </c>
      <c r="BO509" s="76">
        <f>0.0526*BI509*Observaciones!$F508^1.218</f>
        <v>0</v>
      </c>
      <c r="BP509" s="76">
        <f>BO509*Constantes!$F$51</f>
        <v>0</v>
      </c>
      <c r="BQ509" s="76">
        <f t="shared" si="112"/>
        <v>0</v>
      </c>
      <c r="BR509" s="40"/>
    </row>
    <row r="510" spans="2:70">
      <c r="B510" s="39"/>
      <c r="C510" s="75">
        <v>504</v>
      </c>
      <c r="D510" s="146">
        <f>ETo!$I509*((1-Constantes!$F$19)*ETo!$K509+ETo!$L509)</f>
        <v>2.8448207704253488</v>
      </c>
      <c r="E510" s="76">
        <f>MIN(D510*Constantes!$F$17,0.8*(N509+Observaciones!$F509-F510-M510-Constantes!$D$14))</f>
        <v>3.05228553543202E-9</v>
      </c>
      <c r="F510" s="76">
        <f>IF(Observaciones!$F509&gt;0.05*Constantes!$F$18,((Observaciones!$F509-0.05*Constantes!$F$18)^2)/(Observaciones!$F509+0.95*Constantes!$F$18),0)</f>
        <v>0</v>
      </c>
      <c r="G510" s="76">
        <f>IF(Escenarios!$F$11&gt;0,(F510*Escenarios!$F$16*10000)/1000,0)</f>
        <v>0</v>
      </c>
      <c r="H510" s="76">
        <f>IF(Escenarios!$F$11&gt;0,(Observaciones!$F509*Constantes!$F$29)/1000,0)</f>
        <v>0</v>
      </c>
      <c r="I510" s="76">
        <f>IF(Escenarios!$F$11&gt;0,(D510*Constantes!$F$29)/1000,0)</f>
        <v>0</v>
      </c>
      <c r="J510" s="76">
        <f>IF(Escenarios!$F$11&gt;0,MAX(0,G510+H510-I510),0)</f>
        <v>0</v>
      </c>
      <c r="K510" s="76">
        <f>IF(Escenarios!$F$11&gt;0,IF(J510&gt;Constantes!$F$30,1000*((J510-Constantes!$F$30)/(Escenarios!$F$16*10000)),0),F510)</f>
        <v>0</v>
      </c>
      <c r="L510" s="76">
        <f>IF(Escenarios!$F$11&gt;0,I510*1000/Escenarios!$F$16/10000+E510,E510)</f>
        <v>3.05228553543202E-9</v>
      </c>
      <c r="M510" s="76">
        <f>MAX(0,N509+Observaciones!$F509-K510-Constantes!$D$13)</f>
        <v>0</v>
      </c>
      <c r="N510" s="76">
        <f>N509+Observaciones!$F509-K510-L510-M510-O509</f>
        <v>11.250000000633106</v>
      </c>
      <c r="O510" s="76">
        <f>MAX(0,(N510-Constantes!$D$14)*(1-EXP(-Constantes!$D$22)))</f>
        <v>2.1565914950518835E-11</v>
      </c>
      <c r="P510" s="170">
        <f>P509+(Entradas!$F$83*M510-Q509)/(800*Entradas!$D$25)</f>
        <v>0</v>
      </c>
      <c r="Q510" s="170">
        <f>8000*Entradas!$D$26*P510/Constantes!$F$45</f>
        <v>0</v>
      </c>
      <c r="R510" s="170">
        <f>IF(Escenarios!$F$14&gt;0,K510*Escenarios!$F$13/Escenarios!$F$14,0)</f>
        <v>0</v>
      </c>
      <c r="S510" s="170">
        <f>IF(Escenarios!$F$14&gt;0,Q510*Escenarios!$F$13/Escenarios!$F$14,0)</f>
        <v>0</v>
      </c>
      <c r="T510" s="170">
        <f>IF(Escenarios!$F$14&gt;0,Observaciones!$I509,0)</f>
        <v>0</v>
      </c>
      <c r="U510" s="170">
        <f>IF(Escenarios!$F$14&gt;0,MAX(0,Constantes!$F$36/((Z509+R510+S510+T510+Observaciones!$F509)^2)+Entradas!$F$77),0)</f>
        <v>0</v>
      </c>
      <c r="V510" s="146">
        <f>IF(ETo!D509&gt;0,ETo!I509*((1-Entradas!$F$81)*ETo!K509+ETo!L509),0)</f>
        <v>2.4878542967752701</v>
      </c>
      <c r="W510" s="170">
        <f>IF(Escenarios!$F$14&gt;0,MIN(V510*1,0.8*(Z509+R510+S510+T510+Observaciones!$F509-U510-Constantes!$F$35)),0)</f>
        <v>1.638402977732767E-8</v>
      </c>
      <c r="X510" s="170">
        <f>IF(Escenarios!$F$14&gt;0,Observaciones!$J509,0)</f>
        <v>0</v>
      </c>
      <c r="Y510" s="170">
        <f>IF(Escenarios!$F$14&gt;0,MAX(0,Z509+R510+S510+T510+Observaciones!$F509-U510-W510-X510-Constantes!$F$33),0)</f>
        <v>0</v>
      </c>
      <c r="Z510" s="170">
        <f>Z509+R510+S510+T510+Observaciones!$F509-U510-W510-Y510</f>
        <v>41.250000004096009</v>
      </c>
      <c r="AA510" s="170">
        <f>IF(Escenarios!$F$14&gt;0,(Escenarios!$F$13*L510+Escenarios!$F$14*W510)/(Escenarios!$F$16),L510)</f>
        <v>4.6520948444594976E-9</v>
      </c>
      <c r="AB510" s="170">
        <f>IF(Escenarios!$F$14&gt;0,(Escenarios!$F$14*Y510)/(Escenarios!$F$16),K510)</f>
        <v>0</v>
      </c>
      <c r="AC510" s="170">
        <f>IF(Escenarios!$F$14&gt;0,(Escenarios!$F$13*M510+Escenarios!$F$14*U510)/(Escenarios!$F$16),M510)</f>
        <v>0</v>
      </c>
      <c r="AD510" s="76">
        <f t="shared" si="99"/>
        <v>121.6732037815313</v>
      </c>
      <c r="AE510" s="76">
        <f>MAX(0,(AD510-Constantes!$D$13)*(1-EXP(-Constantes!$D$23)))</f>
        <v>0.71852969581335802</v>
      </c>
      <c r="AF510" s="76">
        <f>AB510+O510*Escenarios!$F$13/Escenarios!$F$16+AE510</f>
        <v>0.71852969583233606</v>
      </c>
      <c r="AG510" s="76">
        <f>IF(Entradas!$F$91&gt;0,IF(AF510-Escenarios!$F$38&lt;=0,0,IF(AF510-Escenarios!$F$38&gt;Escenarios!$F$37,Escenarios!$F$37,AF510-Escenarios!$F$38)),0)</f>
        <v>0</v>
      </c>
      <c r="AH510" s="76">
        <f>AG510*Entradas!$F$99</f>
        <v>0</v>
      </c>
      <c r="AI510" s="76">
        <f>IF(Entradas!$F$91&gt;0,D510*Entradas!$D$23/Escenarios!$F$16,0)</f>
        <v>0.13655139698041674</v>
      </c>
      <c r="AJ510" s="76">
        <f>IF(Entradas!$F$91&gt;0,Entradas!$D$24*Entradas!$D$22/Escenarios!$F$16,0)</f>
        <v>0.12</v>
      </c>
      <c r="AK510" s="76">
        <f t="shared" si="100"/>
        <v>0.13655140163251159</v>
      </c>
      <c r="AL510" s="76">
        <f t="shared" si="101"/>
        <v>0</v>
      </c>
      <c r="AM510" s="76">
        <f t="shared" si="102"/>
        <v>0</v>
      </c>
      <c r="AN510" s="76">
        <f>MAX(0,O510*Escenarios!$F$13/Escenarios!$F$16-AM510)</f>
        <v>1.8978005156456577E-11</v>
      </c>
      <c r="AO510" s="76">
        <f>AM510+AN510-O510*Escenarios!$F$13/Escenarios!$F$16</f>
        <v>0</v>
      </c>
      <c r="AP510" s="76">
        <f t="shared" si="103"/>
        <v>0.71852969581335802</v>
      </c>
      <c r="AQ510" s="76">
        <f t="shared" si="104"/>
        <v>0</v>
      </c>
      <c r="AR510" s="76">
        <f t="shared" si="105"/>
        <v>0.71852969583233606</v>
      </c>
      <c r="AS510" s="76">
        <f t="shared" si="106"/>
        <v>0</v>
      </c>
      <c r="AT510" s="76">
        <f t="shared" si="107"/>
        <v>0</v>
      </c>
      <c r="AU510" s="76">
        <f t="shared" si="108"/>
        <v>55.418678912377175</v>
      </c>
      <c r="AV510" s="76">
        <f>MAX(0,(AU510-Constantes!$D$13)*(1-EXP(-Constantes!$D$24)))</f>
        <v>0.10193240477663357</v>
      </c>
      <c r="AW510" s="170">
        <f>AW509+(Entradas!$F$112*AT510-AX509)/(800*Entradas!$D$25)</f>
        <v>0</v>
      </c>
      <c r="AX510" s="170">
        <f>8000*Entradas!$D$26*AW510/Constantes!$F$45</f>
        <v>0</v>
      </c>
      <c r="AY510" s="170">
        <f>IF(Escenarios!$F$17&gt;0,10*Escenarios!$F$16*AL510,0)</f>
        <v>0</v>
      </c>
      <c r="AZ510" s="170">
        <f>IF(Escenarios!$F$17&gt;0,10*Escenarios!$F$16*AX510,0)</f>
        <v>0</v>
      </c>
      <c r="BA510" s="170">
        <f>IF(Escenarios!$F$17&gt;0,0.001*Observaciones!$F509*Escenarios!$F$17,0)</f>
        <v>0</v>
      </c>
      <c r="BB510" s="170">
        <f>IF(Escenarios!$F$17&gt;0,Observaciones!$K509,0)</f>
        <v>0</v>
      </c>
      <c r="BC510" s="170">
        <f>IF(Escenarios!$F$17&gt;0,MIN(0.0005*ETo!$M509*Escenarios!$F$17*(BG509/Constantes!$F$40)^(2/3),BG509+AY510+AZ510+BA510+BB510),0)</f>
        <v>0</v>
      </c>
      <c r="BD510" s="170">
        <f>IF(Escenarios!$F$17&gt;0,MIN(Constantes!$F$39*(BG509/Constantes!$F$40)^(2/3),BG509+AY510+AZ510+BA510+BB510-BC510),0)</f>
        <v>0</v>
      </c>
      <c r="BE510" s="170">
        <f>IF(Escenarios!$F$17&gt;0,MIN(Entradas!$F$113,BG509+AY510+AZ510+BA510+BB510-BC510-BD510),0)</f>
        <v>0</v>
      </c>
      <c r="BF510" s="170">
        <f>IF(Escenarios!$F$17&gt;0,MAX(0,BG509+AY510+AZ510+BA510+BB510-BC510-BD510-BE510-Constantes!$F$40),0)</f>
        <v>0</v>
      </c>
      <c r="BG510" s="170">
        <f t="shared" si="109"/>
        <v>0</v>
      </c>
      <c r="BH510" s="170">
        <f>(Escenarios!$F$16*AK510+0.1*BC510)/(Escenarios!$F$19)</f>
        <v>0.13655140163251159</v>
      </c>
      <c r="BI510" s="170">
        <f>IF(Escenarios!$F$17&gt;0,BF510/10/Escenarios!$F$19,AL510)</f>
        <v>0</v>
      </c>
      <c r="BJ510" s="170">
        <f>(Escenarios!$F$16*AT510+0.1*BD510)/(Escenarios!$F$19)</f>
        <v>0</v>
      </c>
      <c r="BK510" s="76">
        <f>BK509+(0.1*BD510)/(Escenarios!$F$19)-BL509</f>
        <v>48.75</v>
      </c>
      <c r="BL510" s="76">
        <f>MAX(0,(BK510-Constantes!$D$13)*(1-EXP(-Constantes!$D$23)))</f>
        <v>0</v>
      </c>
      <c r="BM510" s="76">
        <f t="shared" si="110"/>
        <v>0.82046210058999158</v>
      </c>
      <c r="BN510" s="76">
        <f t="shared" si="111"/>
        <v>0.82046210060896962</v>
      </c>
      <c r="BO510" s="76">
        <f>0.0526*BI510*Observaciones!$F509^1.218</f>
        <v>0</v>
      </c>
      <c r="BP510" s="76">
        <f>BO510*Constantes!$F$51</f>
        <v>0</v>
      </c>
      <c r="BQ510" s="76">
        <f t="shared" si="112"/>
        <v>0</v>
      </c>
      <c r="BR510" s="40"/>
    </row>
    <row r="511" spans="2:70">
      <c r="B511" s="39"/>
      <c r="C511" s="75">
        <v>505</v>
      </c>
      <c r="D511" s="146">
        <f>ETo!$I510*((1-Constantes!$F$19)*ETo!$K510+ETo!$L510)</f>
        <v>2.9226990971107116</v>
      </c>
      <c r="E511" s="76">
        <f>MIN(D511*Constantes!$F$17,0.8*(N510+Observaciones!$F510-F511-M511-Constantes!$D$14))</f>
        <v>5.0648480964810012E-10</v>
      </c>
      <c r="F511" s="76">
        <f>IF(Observaciones!$F510&gt;0.05*Constantes!$F$18,((Observaciones!$F510-0.05*Constantes!$F$18)^2)/(Observaciones!$F510+0.95*Constantes!$F$18),0)</f>
        <v>0</v>
      </c>
      <c r="G511" s="76">
        <f>IF(Escenarios!$F$11&gt;0,(F511*Escenarios!$F$16*10000)/1000,0)</f>
        <v>0</v>
      </c>
      <c r="H511" s="76">
        <f>IF(Escenarios!$F$11&gt;0,(Observaciones!$F510*Constantes!$F$29)/1000,0)</f>
        <v>0</v>
      </c>
      <c r="I511" s="76">
        <f>IF(Escenarios!$F$11&gt;0,(D511*Constantes!$F$29)/1000,0)</f>
        <v>0</v>
      </c>
      <c r="J511" s="76">
        <f>IF(Escenarios!$F$11&gt;0,MAX(0,G511+H511-I511),0)</f>
        <v>0</v>
      </c>
      <c r="K511" s="76">
        <f>IF(Escenarios!$F$11&gt;0,IF(J511&gt;Constantes!$F$30,1000*((J511-Constantes!$F$30)/(Escenarios!$F$16*10000)),0),F511)</f>
        <v>0</v>
      </c>
      <c r="L511" s="76">
        <f>IF(Escenarios!$F$11&gt;0,I511*1000/Escenarios!$F$16/10000+E511,E511)</f>
        <v>5.0648480964810012E-10</v>
      </c>
      <c r="M511" s="76">
        <f>MAX(0,N510+Observaciones!$F510-K511-Constantes!$D$13)</f>
        <v>0</v>
      </c>
      <c r="N511" s="76">
        <f>N510+Observaciones!$F510-K511-L511-M511-O510</f>
        <v>11.250000000105054</v>
      </c>
      <c r="O511" s="76">
        <f>MAX(0,(N511-Constantes!$D$14)*(1-EXP(-Constantes!$D$22)))</f>
        <v>3.5785161631889496E-12</v>
      </c>
      <c r="P511" s="170">
        <f>P510+(Entradas!$F$83*M511-Q510)/(800*Entradas!$D$25)</f>
        <v>0</v>
      </c>
      <c r="Q511" s="170">
        <f>8000*Entradas!$D$26*P511/Constantes!$F$45</f>
        <v>0</v>
      </c>
      <c r="R511" s="170">
        <f>IF(Escenarios!$F$14&gt;0,K511*Escenarios!$F$13/Escenarios!$F$14,0)</f>
        <v>0</v>
      </c>
      <c r="S511" s="170">
        <f>IF(Escenarios!$F$14&gt;0,Q511*Escenarios!$F$13/Escenarios!$F$14,0)</f>
        <v>0</v>
      </c>
      <c r="T511" s="170">
        <f>IF(Escenarios!$F$14&gt;0,Observaciones!$I510,0)</f>
        <v>0</v>
      </c>
      <c r="U511" s="170">
        <f>IF(Escenarios!$F$14&gt;0,MAX(0,Constantes!$F$36/((Z510+R511+S511+T511+Observaciones!$F510)^2)+Entradas!$F$77),0)</f>
        <v>0</v>
      </c>
      <c r="V511" s="146">
        <f>IF(ETo!D510&gt;0,ETo!I510*((1-Entradas!$F$81)*ETo!K510+ETo!L510),0)</f>
        <v>2.5564967487772163</v>
      </c>
      <c r="W511" s="170">
        <f>IF(Escenarios!$F$14&gt;0,MIN(V511*1,0.8*(Z510+R511+S511+T511+Observaciones!$F510-U511-Constantes!$F$35)),0)</f>
        <v>3.2768070923339112E-9</v>
      </c>
      <c r="X511" s="170">
        <f>IF(Escenarios!$F$14&gt;0,Observaciones!$J510,0)</f>
        <v>0</v>
      </c>
      <c r="Y511" s="170">
        <f>IF(Escenarios!$F$14&gt;0,MAX(0,Z510+R511+S511+T511+Observaciones!$F510-U511-W511-X511-Constantes!$F$33),0)</f>
        <v>0</v>
      </c>
      <c r="Z511" s="170">
        <f>Z510+R511+S511+T511+Observaciones!$F510-U511-W511-Y511</f>
        <v>41.250000000819199</v>
      </c>
      <c r="AA511" s="170">
        <f>IF(Escenarios!$F$14&gt;0,(Escenarios!$F$13*L511+Escenarios!$F$14*W511)/(Escenarios!$F$16),L511)</f>
        <v>8.3892348357039745E-10</v>
      </c>
      <c r="AB511" s="170">
        <f>IF(Escenarios!$F$14&gt;0,(Escenarios!$F$14*Y511)/(Escenarios!$F$16),K511)</f>
        <v>0</v>
      </c>
      <c r="AC511" s="170">
        <f>IF(Escenarios!$F$14&gt;0,(Escenarios!$F$13*M511+Escenarios!$F$14*U511)/(Escenarios!$F$16),M511)</f>
        <v>0</v>
      </c>
      <c r="AD511" s="76">
        <f t="shared" si="99"/>
        <v>120.95467408571794</v>
      </c>
      <c r="AE511" s="76">
        <f>MAX(0,(AD511-Constantes!$D$13)*(1-EXP(-Constantes!$D$23)))</f>
        <v>0.71144985158006901</v>
      </c>
      <c r="AF511" s="76">
        <f>AB511+O511*Escenarios!$F$13/Escenarios!$F$16+AE511</f>
        <v>0.71144985158321816</v>
      </c>
      <c r="AG511" s="76">
        <f>IF(Entradas!$F$91&gt;0,IF(AF511-Escenarios!$F$38&lt;=0,0,IF(AF511-Escenarios!$F$38&gt;Escenarios!$F$37,Escenarios!$F$37,AF511-Escenarios!$F$38)),0)</f>
        <v>0</v>
      </c>
      <c r="AH511" s="76">
        <f>AG511*Entradas!$F$99</f>
        <v>0</v>
      </c>
      <c r="AI511" s="76">
        <f>IF(Entradas!$F$91&gt;0,D511*Entradas!$D$23/Escenarios!$F$16,0)</f>
        <v>0.14028955666131415</v>
      </c>
      <c r="AJ511" s="76">
        <f>IF(Entradas!$F$91&gt;0,Entradas!$D$24*Entradas!$D$22/Escenarios!$F$16,0)</f>
        <v>0.12</v>
      </c>
      <c r="AK511" s="76">
        <f t="shared" si="100"/>
        <v>0.14028955750023764</v>
      </c>
      <c r="AL511" s="76">
        <f t="shared" si="101"/>
        <v>0</v>
      </c>
      <c r="AM511" s="76">
        <f t="shared" si="102"/>
        <v>0</v>
      </c>
      <c r="AN511" s="76">
        <f>MAX(0,O511*Escenarios!$F$13/Escenarios!$F$16-AM511)</f>
        <v>3.1490942236062757E-12</v>
      </c>
      <c r="AO511" s="76">
        <f>AM511+AN511-O511*Escenarios!$F$13/Escenarios!$F$16</f>
        <v>0</v>
      </c>
      <c r="AP511" s="76">
        <f t="shared" si="103"/>
        <v>0.71144985158006901</v>
      </c>
      <c r="AQ511" s="76">
        <f t="shared" si="104"/>
        <v>0</v>
      </c>
      <c r="AR511" s="76">
        <f t="shared" si="105"/>
        <v>0.71144985158321816</v>
      </c>
      <c r="AS511" s="76">
        <f t="shared" si="106"/>
        <v>0</v>
      </c>
      <c r="AT511" s="76">
        <f t="shared" si="107"/>
        <v>0</v>
      </c>
      <c r="AU511" s="76">
        <f t="shared" si="108"/>
        <v>55.316746507600541</v>
      </c>
      <c r="AV511" s="76">
        <f>MAX(0,(AU511-Constantes!$D$13)*(1-EXP(-Constantes!$D$24)))</f>
        <v>0.10037434278563517</v>
      </c>
      <c r="AW511" s="170">
        <f>AW510+(Entradas!$F$112*AT511-AX510)/(800*Entradas!$D$25)</f>
        <v>0</v>
      </c>
      <c r="AX511" s="170">
        <f>8000*Entradas!$D$26*AW511/Constantes!$F$45</f>
        <v>0</v>
      </c>
      <c r="AY511" s="170">
        <f>IF(Escenarios!$F$17&gt;0,10*Escenarios!$F$16*AL511,0)</f>
        <v>0</v>
      </c>
      <c r="AZ511" s="170">
        <f>IF(Escenarios!$F$17&gt;0,10*Escenarios!$F$16*AX511,0)</f>
        <v>0</v>
      </c>
      <c r="BA511" s="170">
        <f>IF(Escenarios!$F$17&gt;0,0.001*Observaciones!$F510*Escenarios!$F$17,0)</f>
        <v>0</v>
      </c>
      <c r="BB511" s="170">
        <f>IF(Escenarios!$F$17&gt;0,Observaciones!$K510,0)</f>
        <v>0</v>
      </c>
      <c r="BC511" s="170">
        <f>IF(Escenarios!$F$17&gt;0,MIN(0.0005*ETo!$M510*Escenarios!$F$17*(BG510/Constantes!$F$40)^(2/3),BG510+AY511+AZ511+BA511+BB511),0)</f>
        <v>0</v>
      </c>
      <c r="BD511" s="170">
        <f>IF(Escenarios!$F$17&gt;0,MIN(Constantes!$F$39*(BG510/Constantes!$F$40)^(2/3),BG510+AY511+AZ511+BA511+BB511-BC511),0)</f>
        <v>0</v>
      </c>
      <c r="BE511" s="170">
        <f>IF(Escenarios!$F$17&gt;0,MIN(Entradas!$F$113,BG510+AY511+AZ511+BA511+BB511-BC511-BD511),0)</f>
        <v>0</v>
      </c>
      <c r="BF511" s="170">
        <f>IF(Escenarios!$F$17&gt;0,MAX(0,BG510+AY511+AZ511+BA511+BB511-BC511-BD511-BE511-Constantes!$F$40),0)</f>
        <v>0</v>
      </c>
      <c r="BG511" s="170">
        <f t="shared" si="109"/>
        <v>0</v>
      </c>
      <c r="BH511" s="170">
        <f>(Escenarios!$F$16*AK511+0.1*BC511)/(Escenarios!$F$19)</f>
        <v>0.14028955750023764</v>
      </c>
      <c r="BI511" s="170">
        <f>IF(Escenarios!$F$17&gt;0,BF511/10/Escenarios!$F$19,AL511)</f>
        <v>0</v>
      </c>
      <c r="BJ511" s="170">
        <f>(Escenarios!$F$16*AT511+0.1*BD511)/(Escenarios!$F$19)</f>
        <v>0</v>
      </c>
      <c r="BK511" s="76">
        <f>BK510+(0.1*BD511)/(Escenarios!$F$19)-BL510</f>
        <v>48.75</v>
      </c>
      <c r="BL511" s="76">
        <f>MAX(0,(BK511-Constantes!$D$13)*(1-EXP(-Constantes!$D$23)))</f>
        <v>0</v>
      </c>
      <c r="BM511" s="76">
        <f t="shared" si="110"/>
        <v>0.81182419436570419</v>
      </c>
      <c r="BN511" s="76">
        <f t="shared" si="111"/>
        <v>0.81182419436885334</v>
      </c>
      <c r="BO511" s="76">
        <f>0.0526*BI511*Observaciones!$F510^1.218</f>
        <v>0</v>
      </c>
      <c r="BP511" s="76">
        <f>BO511*Constantes!$F$51</f>
        <v>0</v>
      </c>
      <c r="BQ511" s="76">
        <f t="shared" si="112"/>
        <v>0</v>
      </c>
      <c r="BR511" s="40"/>
    </row>
    <row r="512" spans="2:70">
      <c r="B512" s="39"/>
      <c r="C512" s="75">
        <v>506</v>
      </c>
      <c r="D512" s="146">
        <f>ETo!$I511*((1-Constantes!$F$19)*ETo!$K511+ETo!$L511)</f>
        <v>2.9316552101487758</v>
      </c>
      <c r="E512" s="76">
        <f>MIN(D512*Constantes!$F$17,0.8*(N511+Observaciones!$F511-F512-M512-Constantes!$D$14))</f>
        <v>8.404299478570465E-11</v>
      </c>
      <c r="F512" s="76">
        <f>IF(Observaciones!$F511&gt;0.05*Constantes!$F$18,((Observaciones!$F511-0.05*Constantes!$F$18)^2)/(Observaciones!$F511+0.95*Constantes!$F$18),0)</f>
        <v>0</v>
      </c>
      <c r="G512" s="76">
        <f>IF(Escenarios!$F$11&gt;0,(F512*Escenarios!$F$16*10000)/1000,0)</f>
        <v>0</v>
      </c>
      <c r="H512" s="76">
        <f>IF(Escenarios!$F$11&gt;0,(Observaciones!$F511*Constantes!$F$29)/1000,0)</f>
        <v>0</v>
      </c>
      <c r="I512" s="76">
        <f>IF(Escenarios!$F$11&gt;0,(D512*Constantes!$F$29)/1000,0)</f>
        <v>0</v>
      </c>
      <c r="J512" s="76">
        <f>IF(Escenarios!$F$11&gt;0,MAX(0,G512+H512-I512),0)</f>
        <v>0</v>
      </c>
      <c r="K512" s="76">
        <f>IF(Escenarios!$F$11&gt;0,IF(J512&gt;Constantes!$F$30,1000*((J512-Constantes!$F$30)/(Escenarios!$F$16*10000)),0),F512)</f>
        <v>0</v>
      </c>
      <c r="L512" s="76">
        <f>IF(Escenarios!$F$11&gt;0,I512*1000/Escenarios!$F$16/10000+E512,E512)</f>
        <v>8.404299478570465E-11</v>
      </c>
      <c r="M512" s="76">
        <f>MAX(0,N511+Observaciones!$F511-K512-Constantes!$D$13)</f>
        <v>0</v>
      </c>
      <c r="N512" s="76">
        <f>N511+Observaciones!$F511-K512-L512-M512-O511</f>
        <v>11.250000000017431</v>
      </c>
      <c r="O512" s="76">
        <f>MAX(0,(N512-Constantes!$D$14)*(1-EXP(-Constantes!$D$22)))</f>
        <v>5.937771239325864E-13</v>
      </c>
      <c r="P512" s="170">
        <f>P511+(Entradas!$F$83*M512-Q511)/(800*Entradas!$D$25)</f>
        <v>0</v>
      </c>
      <c r="Q512" s="170">
        <f>8000*Entradas!$D$26*P512/Constantes!$F$45</f>
        <v>0</v>
      </c>
      <c r="R512" s="170">
        <f>IF(Escenarios!$F$14&gt;0,K512*Escenarios!$F$13/Escenarios!$F$14,0)</f>
        <v>0</v>
      </c>
      <c r="S512" s="170">
        <f>IF(Escenarios!$F$14&gt;0,Q512*Escenarios!$F$13/Escenarios!$F$14,0)</f>
        <v>0</v>
      </c>
      <c r="T512" s="170">
        <f>IF(Escenarios!$F$14&gt;0,Observaciones!$I511,0)</f>
        <v>0</v>
      </c>
      <c r="U512" s="170">
        <f>IF(Escenarios!$F$14&gt;0,MAX(0,Constantes!$F$36/((Z511+R512+S512+T512+Observaciones!$F511)^2)+Entradas!$F$77),0)</f>
        <v>0</v>
      </c>
      <c r="V512" s="146">
        <f>IF(ETo!D511&gt;0,ETo!I511*((1-Entradas!$F$81)*ETo!K511+ETo!L511),0)</f>
        <v>2.5640802923306603</v>
      </c>
      <c r="W512" s="170">
        <f>IF(Escenarios!$F$14&gt;0,MIN(V512*1,0.8*(Z511+R512+S512+T512+Observaciones!$F511-U512-Constantes!$F$35)),0)</f>
        <v>6.5535914473002781E-10</v>
      </c>
      <c r="X512" s="170">
        <f>IF(Escenarios!$F$14&gt;0,Observaciones!$J511,0)</f>
        <v>0</v>
      </c>
      <c r="Y512" s="170">
        <f>IF(Escenarios!$F$14&gt;0,MAX(0,Z511+R512+S512+T512+Observaciones!$F511-U512-W512-X512-Constantes!$F$33),0)</f>
        <v>0</v>
      </c>
      <c r="Z512" s="170">
        <f>Z511+R512+S512+T512+Observaciones!$F511-U512-W512-Y512</f>
        <v>41.250000000163837</v>
      </c>
      <c r="AA512" s="170">
        <f>IF(Escenarios!$F$14&gt;0,(Escenarios!$F$13*L512+Escenarios!$F$14*W512)/(Escenarios!$F$16),L512)</f>
        <v>1.5260093277902341E-10</v>
      </c>
      <c r="AB512" s="170">
        <f>IF(Escenarios!$F$14&gt;0,(Escenarios!$F$14*Y512)/(Escenarios!$F$16),K512)</f>
        <v>0</v>
      </c>
      <c r="AC512" s="170">
        <f>IF(Escenarios!$F$14&gt;0,(Escenarios!$F$13*M512+Escenarios!$F$14*U512)/(Escenarios!$F$16),M512)</f>
        <v>0</v>
      </c>
      <c r="AD512" s="76">
        <f t="shared" si="99"/>
        <v>120.24322423413787</v>
      </c>
      <c r="AE512" s="76">
        <f>MAX(0,(AD512-Constantes!$D$13)*(1-EXP(-Constantes!$D$23)))</f>
        <v>0.704439766738298</v>
      </c>
      <c r="AF512" s="76">
        <f>AB512+O512*Escenarios!$F$13/Escenarios!$F$16+AE512</f>
        <v>0.70443976673882047</v>
      </c>
      <c r="AG512" s="76">
        <f>IF(Entradas!$F$91&gt;0,IF(AF512-Escenarios!$F$38&lt;=0,0,IF(AF512-Escenarios!$F$38&gt;Escenarios!$F$37,Escenarios!$F$37,AF512-Escenarios!$F$38)),0)</f>
        <v>0</v>
      </c>
      <c r="AH512" s="76">
        <f>AG512*Entradas!$F$99</f>
        <v>0</v>
      </c>
      <c r="AI512" s="76">
        <f>IF(Entradas!$F$91&gt;0,D512*Entradas!$D$23/Escenarios!$F$16,0)</f>
        <v>0.14071945008714123</v>
      </c>
      <c r="AJ512" s="76">
        <f>IF(Entradas!$F$91&gt;0,Entradas!$D$24*Entradas!$D$22/Escenarios!$F$16,0)</f>
        <v>0.12</v>
      </c>
      <c r="AK512" s="76">
        <f t="shared" si="100"/>
        <v>0.14071945023974217</v>
      </c>
      <c r="AL512" s="76">
        <f t="shared" si="101"/>
        <v>0</v>
      </c>
      <c r="AM512" s="76">
        <f t="shared" si="102"/>
        <v>0</v>
      </c>
      <c r="AN512" s="76">
        <f>MAX(0,O512*Escenarios!$F$13/Escenarios!$F$16-AM512)</f>
        <v>5.2252386906067608E-13</v>
      </c>
      <c r="AO512" s="76">
        <f>AM512+AN512-O512*Escenarios!$F$13/Escenarios!$F$16</f>
        <v>0</v>
      </c>
      <c r="AP512" s="76">
        <f t="shared" si="103"/>
        <v>0.704439766738298</v>
      </c>
      <c r="AQ512" s="76">
        <f t="shared" si="104"/>
        <v>0</v>
      </c>
      <c r="AR512" s="76">
        <f t="shared" si="105"/>
        <v>0.70443976673882047</v>
      </c>
      <c r="AS512" s="76">
        <f t="shared" si="106"/>
        <v>0</v>
      </c>
      <c r="AT512" s="76">
        <f t="shared" si="107"/>
        <v>0</v>
      </c>
      <c r="AU512" s="76">
        <f t="shared" si="108"/>
        <v>55.216372164814906</v>
      </c>
      <c r="AV512" s="76">
        <f>MAX(0,(AU512-Constantes!$D$13)*(1-EXP(-Constantes!$D$24)))</f>
        <v>9.8840096157112645E-2</v>
      </c>
      <c r="AW512" s="170">
        <f>AW511+(Entradas!$F$112*AT512-AX511)/(800*Entradas!$D$25)</f>
        <v>0</v>
      </c>
      <c r="AX512" s="170">
        <f>8000*Entradas!$D$26*AW512/Constantes!$F$45</f>
        <v>0</v>
      </c>
      <c r="AY512" s="170">
        <f>IF(Escenarios!$F$17&gt;0,10*Escenarios!$F$16*AL512,0)</f>
        <v>0</v>
      </c>
      <c r="AZ512" s="170">
        <f>IF(Escenarios!$F$17&gt;0,10*Escenarios!$F$16*AX512,0)</f>
        <v>0</v>
      </c>
      <c r="BA512" s="170">
        <f>IF(Escenarios!$F$17&gt;0,0.001*Observaciones!$F511*Escenarios!$F$17,0)</f>
        <v>0</v>
      </c>
      <c r="BB512" s="170">
        <f>IF(Escenarios!$F$17&gt;0,Observaciones!$K511,0)</f>
        <v>0</v>
      </c>
      <c r="BC512" s="170">
        <f>IF(Escenarios!$F$17&gt;0,MIN(0.0005*ETo!$M511*Escenarios!$F$17*(BG511/Constantes!$F$40)^(2/3),BG511+AY512+AZ512+BA512+BB512),0)</f>
        <v>0</v>
      </c>
      <c r="BD512" s="170">
        <f>IF(Escenarios!$F$17&gt;0,MIN(Constantes!$F$39*(BG511/Constantes!$F$40)^(2/3),BG511+AY512+AZ512+BA512+BB512-BC512),0)</f>
        <v>0</v>
      </c>
      <c r="BE512" s="170">
        <f>IF(Escenarios!$F$17&gt;0,MIN(Entradas!$F$113,BG511+AY512+AZ512+BA512+BB512-BC512-BD512),0)</f>
        <v>0</v>
      </c>
      <c r="BF512" s="170">
        <f>IF(Escenarios!$F$17&gt;0,MAX(0,BG511+AY512+AZ512+BA512+BB512-BC512-BD512-BE512-Constantes!$F$40),0)</f>
        <v>0</v>
      </c>
      <c r="BG512" s="170">
        <f t="shared" si="109"/>
        <v>0</v>
      </c>
      <c r="BH512" s="170">
        <f>(Escenarios!$F$16*AK512+0.1*BC512)/(Escenarios!$F$19)</f>
        <v>0.14071945023974217</v>
      </c>
      <c r="BI512" s="170">
        <f>IF(Escenarios!$F$17&gt;0,BF512/10/Escenarios!$F$19,AL512)</f>
        <v>0</v>
      </c>
      <c r="BJ512" s="170">
        <f>(Escenarios!$F$16*AT512+0.1*BD512)/(Escenarios!$F$19)</f>
        <v>0</v>
      </c>
      <c r="BK512" s="76">
        <f>BK511+(0.1*BD512)/(Escenarios!$F$19)-BL511</f>
        <v>48.75</v>
      </c>
      <c r="BL512" s="76">
        <f>MAX(0,(BK512-Constantes!$D$13)*(1-EXP(-Constantes!$D$23)))</f>
        <v>0</v>
      </c>
      <c r="BM512" s="76">
        <f t="shared" si="110"/>
        <v>0.80327986289541065</v>
      </c>
      <c r="BN512" s="76">
        <f t="shared" si="111"/>
        <v>0.80327986289593312</v>
      </c>
      <c r="BO512" s="76">
        <f>0.0526*BI512*Observaciones!$F511^1.218</f>
        <v>0</v>
      </c>
      <c r="BP512" s="76">
        <f>BO512*Constantes!$F$51</f>
        <v>0</v>
      </c>
      <c r="BQ512" s="76">
        <f t="shared" si="112"/>
        <v>0</v>
      </c>
      <c r="BR512" s="40"/>
    </row>
    <row r="513" spans="2:70">
      <c r="B513" s="39"/>
      <c r="C513" s="75">
        <v>507</v>
      </c>
      <c r="D513" s="146">
        <f>ETo!$I512*((1-Constantes!$F$19)*ETo!$K512+ETo!$L512)</f>
        <v>2.8590764671257278</v>
      </c>
      <c r="E513" s="76">
        <f>MIN(D513*Constantes!$F$17,0.8*(N512+Observaciones!$F512-F513-M513-Constantes!$D$14))</f>
        <v>1.3945111732027727E-11</v>
      </c>
      <c r="F513" s="76">
        <f>IF(Observaciones!$F512&gt;0.05*Constantes!$F$18,((Observaciones!$F512-0.05*Constantes!$F$18)^2)/(Observaciones!$F512+0.95*Constantes!$F$18),0)</f>
        <v>0</v>
      </c>
      <c r="G513" s="76">
        <f>IF(Escenarios!$F$11&gt;0,(F513*Escenarios!$F$16*10000)/1000,0)</f>
        <v>0</v>
      </c>
      <c r="H513" s="76">
        <f>IF(Escenarios!$F$11&gt;0,(Observaciones!$F512*Constantes!$F$29)/1000,0)</f>
        <v>0</v>
      </c>
      <c r="I513" s="76">
        <f>IF(Escenarios!$F$11&gt;0,(D513*Constantes!$F$29)/1000,0)</f>
        <v>0</v>
      </c>
      <c r="J513" s="76">
        <f>IF(Escenarios!$F$11&gt;0,MAX(0,G513+H513-I513),0)</f>
        <v>0</v>
      </c>
      <c r="K513" s="76">
        <f>IF(Escenarios!$F$11&gt;0,IF(J513&gt;Constantes!$F$30,1000*((J513-Constantes!$F$30)/(Escenarios!$F$16*10000)),0),F513)</f>
        <v>0</v>
      </c>
      <c r="L513" s="76">
        <f>IF(Escenarios!$F$11&gt;0,I513*1000/Escenarios!$F$16/10000+E513,E513)</f>
        <v>1.3945111732027727E-11</v>
      </c>
      <c r="M513" s="76">
        <f>MAX(0,N512+Observaciones!$F512-K513-Constantes!$D$13)</f>
        <v>0</v>
      </c>
      <c r="N513" s="76">
        <f>N512+Observaciones!$F512-K513-L513-M513-O512</f>
        <v>11.250000000002894</v>
      </c>
      <c r="O513" s="76">
        <f>MAX(0,(N513-Constantes!$D$14)*(1-EXP(-Constantes!$D$22)))</f>
        <v>9.8569543960683106E-14</v>
      </c>
      <c r="P513" s="170">
        <f>P512+(Entradas!$F$83*M513-Q512)/(800*Entradas!$D$25)</f>
        <v>0</v>
      </c>
      <c r="Q513" s="170">
        <f>8000*Entradas!$D$26*P513/Constantes!$F$45</f>
        <v>0</v>
      </c>
      <c r="R513" s="170">
        <f>IF(Escenarios!$F$14&gt;0,K513*Escenarios!$F$13/Escenarios!$F$14,0)</f>
        <v>0</v>
      </c>
      <c r="S513" s="170">
        <f>IF(Escenarios!$F$14&gt;0,Q513*Escenarios!$F$13/Escenarios!$F$14,0)</f>
        <v>0</v>
      </c>
      <c r="T513" s="170">
        <f>IF(Escenarios!$F$14&gt;0,Observaciones!$I512,0)</f>
        <v>0</v>
      </c>
      <c r="U513" s="170">
        <f>IF(Escenarios!$F$14&gt;0,MAX(0,Constantes!$F$36/((Z512+R513+S513+T513+Observaciones!$F512)^2)+Entradas!$F$77),0)</f>
        <v>0</v>
      </c>
      <c r="V513" s="146">
        <f>IF(ETo!D512&gt;0,ETo!I512*((1-Entradas!$F$81)*ETo!K512+ETo!L512),0)</f>
        <v>2.499186639760727</v>
      </c>
      <c r="W513" s="170">
        <f>IF(Escenarios!$F$14&gt;0,MIN(V513*1,0.8*(Z512+R513+S513+T513+Observaciones!$F512-U513-Constantes!$F$35)),0)</f>
        <v>1.3106955520925113E-10</v>
      </c>
      <c r="X513" s="170">
        <f>IF(Escenarios!$F$14&gt;0,Observaciones!$J512,0)</f>
        <v>0</v>
      </c>
      <c r="Y513" s="170">
        <f>IF(Escenarios!$F$14&gt;0,MAX(0,Z512+R513+S513+T513+Observaciones!$F512-U513-W513-X513-Constantes!$F$33),0)</f>
        <v>0</v>
      </c>
      <c r="Z513" s="170">
        <f>Z512+R513+S513+T513+Observaciones!$F512-U513-W513-Y513</f>
        <v>41.25000000003277</v>
      </c>
      <c r="AA513" s="170">
        <f>IF(Escenarios!$F$14&gt;0,(Escenarios!$F$13*L513+Escenarios!$F$14*W513)/(Escenarios!$F$16),L513)</f>
        <v>2.8000044949294533E-11</v>
      </c>
      <c r="AB513" s="170">
        <f>IF(Escenarios!$F$14&gt;0,(Escenarios!$F$14*Y513)/(Escenarios!$F$16),K513)</f>
        <v>0</v>
      </c>
      <c r="AC513" s="170">
        <f>IF(Escenarios!$F$14&gt;0,(Escenarios!$F$13*M513+Escenarios!$F$14*U513)/(Escenarios!$F$16),M513)</f>
        <v>0</v>
      </c>
      <c r="AD513" s="76">
        <f t="shared" si="99"/>
        <v>119.53878446739957</v>
      </c>
      <c r="AE513" s="76">
        <f>MAX(0,(AD513-Constantes!$D$13)*(1-EXP(-Constantes!$D$23)))</f>
        <v>0.69749875393214511</v>
      </c>
      <c r="AF513" s="76">
        <f>AB513+O513*Escenarios!$F$13/Escenarios!$F$16+AE513</f>
        <v>0.69749875393223182</v>
      </c>
      <c r="AG513" s="76">
        <f>IF(Entradas!$F$91&gt;0,IF(AF513-Escenarios!$F$38&lt;=0,0,IF(AF513-Escenarios!$F$38&gt;Escenarios!$F$37,Escenarios!$F$37,AF513-Escenarios!$F$38)),0)</f>
        <v>0</v>
      </c>
      <c r="AH513" s="76">
        <f>AG513*Entradas!$F$99</f>
        <v>0</v>
      </c>
      <c r="AI513" s="76">
        <f>IF(Entradas!$F$91&gt;0,D513*Entradas!$D$23/Escenarios!$F$16,0)</f>
        <v>0.13723567042203494</v>
      </c>
      <c r="AJ513" s="76">
        <f>IF(Entradas!$F$91&gt;0,Entradas!$D$24*Entradas!$D$22/Escenarios!$F$16,0)</f>
        <v>0.12</v>
      </c>
      <c r="AK513" s="76">
        <f t="shared" si="100"/>
        <v>0.13723567045003499</v>
      </c>
      <c r="AL513" s="76">
        <f t="shared" si="101"/>
        <v>0</v>
      </c>
      <c r="AM513" s="76">
        <f t="shared" si="102"/>
        <v>0</v>
      </c>
      <c r="AN513" s="76">
        <f>MAX(0,O513*Escenarios!$F$13/Escenarios!$F$16-AM513)</f>
        <v>8.6741198685401132E-14</v>
      </c>
      <c r="AO513" s="76">
        <f>AM513+AN513-O513*Escenarios!$F$13/Escenarios!$F$16</f>
        <v>0</v>
      </c>
      <c r="AP513" s="76">
        <f t="shared" si="103"/>
        <v>0.69749875393214511</v>
      </c>
      <c r="AQ513" s="76">
        <f t="shared" si="104"/>
        <v>0</v>
      </c>
      <c r="AR513" s="76">
        <f t="shared" si="105"/>
        <v>0.69749875393223182</v>
      </c>
      <c r="AS513" s="76">
        <f t="shared" si="106"/>
        <v>0</v>
      </c>
      <c r="AT513" s="76">
        <f t="shared" si="107"/>
        <v>0</v>
      </c>
      <c r="AU513" s="76">
        <f t="shared" si="108"/>
        <v>55.117532068657795</v>
      </c>
      <c r="AV513" s="76">
        <f>MAX(0,(AU513-Constantes!$D$13)*(1-EXP(-Constantes!$D$24)))</f>
        <v>9.732930086736663E-2</v>
      </c>
      <c r="AW513" s="170">
        <f>AW512+(Entradas!$F$112*AT513-AX512)/(800*Entradas!$D$25)</f>
        <v>0</v>
      </c>
      <c r="AX513" s="170">
        <f>8000*Entradas!$D$26*AW513/Constantes!$F$45</f>
        <v>0</v>
      </c>
      <c r="AY513" s="170">
        <f>IF(Escenarios!$F$17&gt;0,10*Escenarios!$F$16*AL513,0)</f>
        <v>0</v>
      </c>
      <c r="AZ513" s="170">
        <f>IF(Escenarios!$F$17&gt;0,10*Escenarios!$F$16*AX513,0)</f>
        <v>0</v>
      </c>
      <c r="BA513" s="170">
        <f>IF(Escenarios!$F$17&gt;0,0.001*Observaciones!$F512*Escenarios!$F$17,0)</f>
        <v>0</v>
      </c>
      <c r="BB513" s="170">
        <f>IF(Escenarios!$F$17&gt;0,Observaciones!$K512,0)</f>
        <v>0</v>
      </c>
      <c r="BC513" s="170">
        <f>IF(Escenarios!$F$17&gt;0,MIN(0.0005*ETo!$M512*Escenarios!$F$17*(BG512/Constantes!$F$40)^(2/3),BG512+AY513+AZ513+BA513+BB513),0)</f>
        <v>0</v>
      </c>
      <c r="BD513" s="170">
        <f>IF(Escenarios!$F$17&gt;0,MIN(Constantes!$F$39*(BG512/Constantes!$F$40)^(2/3),BG512+AY513+AZ513+BA513+BB513-BC513),0)</f>
        <v>0</v>
      </c>
      <c r="BE513" s="170">
        <f>IF(Escenarios!$F$17&gt;0,MIN(Entradas!$F$113,BG512+AY513+AZ513+BA513+BB513-BC513-BD513),0)</f>
        <v>0</v>
      </c>
      <c r="BF513" s="170">
        <f>IF(Escenarios!$F$17&gt;0,MAX(0,BG512+AY513+AZ513+BA513+BB513-BC513-BD513-BE513-Constantes!$F$40),0)</f>
        <v>0</v>
      </c>
      <c r="BG513" s="170">
        <f t="shared" si="109"/>
        <v>0</v>
      </c>
      <c r="BH513" s="170">
        <f>(Escenarios!$F$16*AK513+0.1*BC513)/(Escenarios!$F$19)</f>
        <v>0.13723567045003499</v>
      </c>
      <c r="BI513" s="170">
        <f>IF(Escenarios!$F$17&gt;0,BF513/10/Escenarios!$F$19,AL513)</f>
        <v>0</v>
      </c>
      <c r="BJ513" s="170">
        <f>(Escenarios!$F$16*AT513+0.1*BD513)/(Escenarios!$F$19)</f>
        <v>0</v>
      </c>
      <c r="BK513" s="76">
        <f>BK512+(0.1*BD513)/(Escenarios!$F$19)-BL512</f>
        <v>48.75</v>
      </c>
      <c r="BL513" s="76">
        <f>MAX(0,(BK513-Constantes!$D$13)*(1-EXP(-Constantes!$D$23)))</f>
        <v>0</v>
      </c>
      <c r="BM513" s="76">
        <f t="shared" si="110"/>
        <v>0.79482805479951169</v>
      </c>
      <c r="BN513" s="76">
        <f t="shared" si="111"/>
        <v>0.7948280547995985</v>
      </c>
      <c r="BO513" s="76">
        <f>0.0526*BI513*Observaciones!$F512^1.218</f>
        <v>0</v>
      </c>
      <c r="BP513" s="76">
        <f>BO513*Constantes!$F$51</f>
        <v>0</v>
      </c>
      <c r="BQ513" s="76">
        <f t="shared" si="112"/>
        <v>0</v>
      </c>
      <c r="BR513" s="40"/>
    </row>
    <row r="514" spans="2:70">
      <c r="B514" s="39"/>
      <c r="C514" s="75">
        <v>508</v>
      </c>
      <c r="D514" s="146">
        <f>ETo!$I513*((1-Constantes!$F$19)*ETo!$K513+ETo!$L513)</f>
        <v>2.7908990598547603</v>
      </c>
      <c r="E514" s="76">
        <f>MIN(D514*Constantes!$F$17,0.8*(N513+Observaciones!$F513-F514-M514-Constantes!$D$14))</f>
        <v>2.3149482331064065E-12</v>
      </c>
      <c r="F514" s="76">
        <f>IF(Observaciones!$F513&gt;0.05*Constantes!$F$18,((Observaciones!$F513-0.05*Constantes!$F$18)^2)/(Observaciones!$F513+0.95*Constantes!$F$18),0)</f>
        <v>0</v>
      </c>
      <c r="G514" s="76">
        <f>IF(Escenarios!$F$11&gt;0,(F514*Escenarios!$F$16*10000)/1000,0)</f>
        <v>0</v>
      </c>
      <c r="H514" s="76">
        <f>IF(Escenarios!$F$11&gt;0,(Observaciones!$F513*Constantes!$F$29)/1000,0)</f>
        <v>0</v>
      </c>
      <c r="I514" s="76">
        <f>IF(Escenarios!$F$11&gt;0,(D514*Constantes!$F$29)/1000,0)</f>
        <v>0</v>
      </c>
      <c r="J514" s="76">
        <f>IF(Escenarios!$F$11&gt;0,MAX(0,G514+H514-I514),0)</f>
        <v>0</v>
      </c>
      <c r="K514" s="76">
        <f>IF(Escenarios!$F$11&gt;0,IF(J514&gt;Constantes!$F$30,1000*((J514-Constantes!$F$30)/(Escenarios!$F$16*10000)),0),F514)</f>
        <v>0</v>
      </c>
      <c r="L514" s="76">
        <f>IF(Escenarios!$F$11&gt;0,I514*1000/Escenarios!$F$16/10000+E514,E514)</f>
        <v>2.3149482331064065E-12</v>
      </c>
      <c r="M514" s="76">
        <f>MAX(0,N513+Observaciones!$F513-K514-Constantes!$D$13)</f>
        <v>0</v>
      </c>
      <c r="N514" s="76">
        <f>N513+Observaciones!$F513-K514-L514-M514-O513</f>
        <v>11.250000000000481</v>
      </c>
      <c r="O514" s="76">
        <f>MAX(0,(N514-Constantes!$D$14)*(1-EXP(-Constantes!$D$22)))</f>
        <v>1.6398002709235802E-14</v>
      </c>
      <c r="P514" s="170">
        <f>P513+(Entradas!$F$83*M514-Q513)/(800*Entradas!$D$25)</f>
        <v>0</v>
      </c>
      <c r="Q514" s="170">
        <f>8000*Entradas!$D$26*P514/Constantes!$F$45</f>
        <v>0</v>
      </c>
      <c r="R514" s="170">
        <f>IF(Escenarios!$F$14&gt;0,K514*Escenarios!$F$13/Escenarios!$F$14,0)</f>
        <v>0</v>
      </c>
      <c r="S514" s="170">
        <f>IF(Escenarios!$F$14&gt;0,Q514*Escenarios!$F$13/Escenarios!$F$14,0)</f>
        <v>0</v>
      </c>
      <c r="T514" s="170">
        <f>IF(Escenarios!$F$14&gt;0,Observaciones!$I513,0)</f>
        <v>0</v>
      </c>
      <c r="U514" s="170">
        <f>IF(Escenarios!$F$14&gt;0,MAX(0,Constantes!$F$36/((Z513+R514+S514+T514+Observaciones!$F513)^2)+Entradas!$F$77),0)</f>
        <v>0</v>
      </c>
      <c r="V514" s="146">
        <f>IF(ETo!D513&gt;0,ETo!I513*((1-Entradas!$F$81)*ETo!K513+ETo!L513),0)</f>
        <v>2.4383961811407007</v>
      </c>
      <c r="W514" s="170">
        <f>IF(Escenarios!$F$14&gt;0,MIN(V514*1,0.8*(Z513+R514+S514+T514+Observaciones!$F513-U514-Constantes!$F$35)),0)</f>
        <v>2.6216184778604659E-11</v>
      </c>
      <c r="X514" s="170">
        <f>IF(Escenarios!$F$14&gt;0,Observaciones!$J513,0)</f>
        <v>0</v>
      </c>
      <c r="Y514" s="170">
        <f>IF(Escenarios!$F$14&gt;0,MAX(0,Z513+R514+S514+T514+Observaciones!$F513-U514-W514-X514-Constantes!$F$33),0)</f>
        <v>0</v>
      </c>
      <c r="Z514" s="170">
        <f>Z513+R514+S514+T514+Observaciones!$F513-U514-W514-Y514</f>
        <v>41.250000000006551</v>
      </c>
      <c r="AA514" s="170">
        <f>IF(Escenarios!$F$14&gt;0,(Escenarios!$F$13*L514+Escenarios!$F$14*W514)/(Escenarios!$F$16),L514)</f>
        <v>5.1830966185661965E-12</v>
      </c>
      <c r="AB514" s="170">
        <f>IF(Escenarios!$F$14&gt;0,(Escenarios!$F$14*Y514)/(Escenarios!$F$16),K514)</f>
        <v>0</v>
      </c>
      <c r="AC514" s="170">
        <f>IF(Escenarios!$F$14&gt;0,(Escenarios!$F$13*M514+Escenarios!$F$14*U514)/(Escenarios!$F$16),M514)</f>
        <v>0</v>
      </c>
      <c r="AD514" s="76">
        <f t="shared" si="99"/>
        <v>118.84128571346741</v>
      </c>
      <c r="AE514" s="76">
        <f>MAX(0,(AD514-Constantes!$D$13)*(1-EXP(-Constantes!$D$23)))</f>
        <v>0.69062613257839167</v>
      </c>
      <c r="AF514" s="76">
        <f>AB514+O514*Escenarios!$F$13/Escenarios!$F$16+AE514</f>
        <v>0.6906261325784061</v>
      </c>
      <c r="AG514" s="76">
        <f>IF(Entradas!$F$91&gt;0,IF(AF514-Escenarios!$F$38&lt;=0,0,IF(AF514-Escenarios!$F$38&gt;Escenarios!$F$37,Escenarios!$F$37,AF514-Escenarios!$F$38)),0)</f>
        <v>0</v>
      </c>
      <c r="AH514" s="76">
        <f>AG514*Entradas!$F$99</f>
        <v>0</v>
      </c>
      <c r="AI514" s="76">
        <f>IF(Entradas!$F$91&gt;0,D514*Entradas!$D$23/Escenarios!$F$16,0)</f>
        <v>0.13396315487302848</v>
      </c>
      <c r="AJ514" s="76">
        <f>IF(Entradas!$F$91&gt;0,Entradas!$D$24*Entradas!$D$22/Escenarios!$F$16,0)</f>
        <v>0.12</v>
      </c>
      <c r="AK514" s="76">
        <f t="shared" si="100"/>
        <v>0.13396315487821159</v>
      </c>
      <c r="AL514" s="76">
        <f t="shared" si="101"/>
        <v>0</v>
      </c>
      <c r="AM514" s="76">
        <f t="shared" si="102"/>
        <v>0</v>
      </c>
      <c r="AN514" s="76">
        <f>MAX(0,O514*Escenarios!$F$13/Escenarios!$F$16-AM514)</f>
        <v>1.4430242384127505E-14</v>
      </c>
      <c r="AO514" s="76">
        <f>AM514+AN514-O514*Escenarios!$F$13/Escenarios!$F$16</f>
        <v>0</v>
      </c>
      <c r="AP514" s="76">
        <f t="shared" si="103"/>
        <v>0.69062613257839167</v>
      </c>
      <c r="AQ514" s="76">
        <f t="shared" si="104"/>
        <v>0</v>
      </c>
      <c r="AR514" s="76">
        <f t="shared" si="105"/>
        <v>0.6906261325784061</v>
      </c>
      <c r="AS514" s="76">
        <f t="shared" si="106"/>
        <v>0</v>
      </c>
      <c r="AT514" s="76">
        <f t="shared" si="107"/>
        <v>0</v>
      </c>
      <c r="AU514" s="76">
        <f t="shared" si="108"/>
        <v>55.02020276779043</v>
      </c>
      <c r="AV514" s="76">
        <f>MAX(0,(AU514-Constantes!$D$13)*(1-EXP(-Constantes!$D$24)))</f>
        <v>9.5841598456889873E-2</v>
      </c>
      <c r="AW514" s="170">
        <f>AW513+(Entradas!$F$112*AT514-AX513)/(800*Entradas!$D$25)</f>
        <v>0</v>
      </c>
      <c r="AX514" s="170">
        <f>8000*Entradas!$D$26*AW514/Constantes!$F$45</f>
        <v>0</v>
      </c>
      <c r="AY514" s="170">
        <f>IF(Escenarios!$F$17&gt;0,10*Escenarios!$F$16*AL514,0)</f>
        <v>0</v>
      </c>
      <c r="AZ514" s="170">
        <f>IF(Escenarios!$F$17&gt;0,10*Escenarios!$F$16*AX514,0)</f>
        <v>0</v>
      </c>
      <c r="BA514" s="170">
        <f>IF(Escenarios!$F$17&gt;0,0.001*Observaciones!$F513*Escenarios!$F$17,0)</f>
        <v>0</v>
      </c>
      <c r="BB514" s="170">
        <f>IF(Escenarios!$F$17&gt;0,Observaciones!$K513,0)</f>
        <v>0</v>
      </c>
      <c r="BC514" s="170">
        <f>IF(Escenarios!$F$17&gt;0,MIN(0.0005*ETo!$M513*Escenarios!$F$17*(BG513/Constantes!$F$40)^(2/3),BG513+AY514+AZ514+BA514+BB514),0)</f>
        <v>0</v>
      </c>
      <c r="BD514" s="170">
        <f>IF(Escenarios!$F$17&gt;0,MIN(Constantes!$F$39*(BG513/Constantes!$F$40)^(2/3),BG513+AY514+AZ514+BA514+BB514-BC514),0)</f>
        <v>0</v>
      </c>
      <c r="BE514" s="170">
        <f>IF(Escenarios!$F$17&gt;0,MIN(Entradas!$F$113,BG513+AY514+AZ514+BA514+BB514-BC514-BD514),0)</f>
        <v>0</v>
      </c>
      <c r="BF514" s="170">
        <f>IF(Escenarios!$F$17&gt;0,MAX(0,BG513+AY514+AZ514+BA514+BB514-BC514-BD514-BE514-Constantes!$F$40),0)</f>
        <v>0</v>
      </c>
      <c r="BG514" s="170">
        <f t="shared" si="109"/>
        <v>0</v>
      </c>
      <c r="BH514" s="170">
        <f>(Escenarios!$F$16*AK514+0.1*BC514)/(Escenarios!$F$19)</f>
        <v>0.13396315487821159</v>
      </c>
      <c r="BI514" s="170">
        <f>IF(Escenarios!$F$17&gt;0,BF514/10/Escenarios!$F$19,AL514)</f>
        <v>0</v>
      </c>
      <c r="BJ514" s="170">
        <f>(Escenarios!$F$16*AT514+0.1*BD514)/(Escenarios!$F$19)</f>
        <v>0</v>
      </c>
      <c r="BK514" s="76">
        <f>BK513+(0.1*BD514)/(Escenarios!$F$19)-BL513</f>
        <v>48.75</v>
      </c>
      <c r="BL514" s="76">
        <f>MAX(0,(BK514-Constantes!$D$13)*(1-EXP(-Constantes!$D$23)))</f>
        <v>0</v>
      </c>
      <c r="BM514" s="76">
        <f t="shared" si="110"/>
        <v>0.78646773103528156</v>
      </c>
      <c r="BN514" s="76">
        <f t="shared" si="111"/>
        <v>0.78646773103529599</v>
      </c>
      <c r="BO514" s="76">
        <f>0.0526*BI514*Observaciones!$F513^1.218</f>
        <v>0</v>
      </c>
      <c r="BP514" s="76">
        <f>BO514*Constantes!$F$51</f>
        <v>0</v>
      </c>
      <c r="BQ514" s="76">
        <f t="shared" si="112"/>
        <v>0</v>
      </c>
      <c r="BR514" s="40"/>
    </row>
    <row r="515" spans="2:70">
      <c r="B515" s="39"/>
      <c r="C515" s="75">
        <v>509</v>
      </c>
      <c r="D515" s="146">
        <f>ETo!$I514*((1-Constantes!$F$19)*ETo!$K514+ETo!$L514)</f>
        <v>2.762179847341248</v>
      </c>
      <c r="E515" s="76">
        <f>MIN(D515*Constantes!$F$17,0.8*(N514+Observaciones!$F514-F515-M515-Constantes!$D$14))</f>
        <v>3.8511416278197432E-13</v>
      </c>
      <c r="F515" s="76">
        <f>IF(Observaciones!$F514&gt;0.05*Constantes!$F$18,((Observaciones!$F514-0.05*Constantes!$F$18)^2)/(Observaciones!$F514+0.95*Constantes!$F$18),0)</f>
        <v>0</v>
      </c>
      <c r="G515" s="76">
        <f>IF(Escenarios!$F$11&gt;0,(F515*Escenarios!$F$16*10000)/1000,0)</f>
        <v>0</v>
      </c>
      <c r="H515" s="76">
        <f>IF(Escenarios!$F$11&gt;0,(Observaciones!$F514*Constantes!$F$29)/1000,0)</f>
        <v>0</v>
      </c>
      <c r="I515" s="76">
        <f>IF(Escenarios!$F$11&gt;0,(D515*Constantes!$F$29)/1000,0)</f>
        <v>0</v>
      </c>
      <c r="J515" s="76">
        <f>IF(Escenarios!$F$11&gt;0,MAX(0,G515+H515-I515),0)</f>
        <v>0</v>
      </c>
      <c r="K515" s="76">
        <f>IF(Escenarios!$F$11&gt;0,IF(J515&gt;Constantes!$F$30,1000*((J515-Constantes!$F$30)/(Escenarios!$F$16*10000)),0),F515)</f>
        <v>0</v>
      </c>
      <c r="L515" s="76">
        <f>IF(Escenarios!$F$11&gt;0,I515*1000/Escenarios!$F$16/10000+E515,E515)</f>
        <v>3.8511416278197432E-13</v>
      </c>
      <c r="M515" s="76">
        <f>MAX(0,N514+Observaciones!$F514-K515-Constantes!$D$13)</f>
        <v>0</v>
      </c>
      <c r="N515" s="76">
        <f>N514+Observaciones!$F514-K515-L515-M515-O514</f>
        <v>11.25000000000008</v>
      </c>
      <c r="O515" s="76">
        <f>MAX(0,(N515-Constantes!$D$14)*(1-EXP(-Constantes!$D$22)))</f>
        <v>2.7229155790243949E-15</v>
      </c>
      <c r="P515" s="170">
        <f>P514+(Entradas!$F$83*M515-Q514)/(800*Entradas!$D$25)</f>
        <v>0</v>
      </c>
      <c r="Q515" s="170">
        <f>8000*Entradas!$D$26*P515/Constantes!$F$45</f>
        <v>0</v>
      </c>
      <c r="R515" s="170">
        <f>IF(Escenarios!$F$14&gt;0,K515*Escenarios!$F$13/Escenarios!$F$14,0)</f>
        <v>0</v>
      </c>
      <c r="S515" s="170">
        <f>IF(Escenarios!$F$14&gt;0,Q515*Escenarios!$F$13/Escenarios!$F$14,0)</f>
        <v>0</v>
      </c>
      <c r="T515" s="170">
        <f>IF(Escenarios!$F$14&gt;0,Observaciones!$I514,0)</f>
        <v>0</v>
      </c>
      <c r="U515" s="170">
        <f>IF(Escenarios!$F$14&gt;0,MAX(0,Constantes!$F$36/((Z514+R515+S515+T515+Observaciones!$F514)^2)+Entradas!$F$77),0)</f>
        <v>0</v>
      </c>
      <c r="V515" s="146">
        <f>IF(ETo!D514&gt;0,ETo!I514*((1-Entradas!$F$81)*ETo!K514+ETo!L514),0)</f>
        <v>2.4125957000120719</v>
      </c>
      <c r="W515" s="170">
        <f>IF(Escenarios!$F$14&gt;0,MIN(V515*1,0.8*(Z514+R515+S515+T515+Observaciones!$F514-U515-Constantes!$F$35)),0)</f>
        <v>5.2409632189664991E-12</v>
      </c>
      <c r="X515" s="170">
        <f>IF(Escenarios!$F$14&gt;0,Observaciones!$J514,0)</f>
        <v>0</v>
      </c>
      <c r="Y515" s="170">
        <f>IF(Escenarios!$F$14&gt;0,MAX(0,Z514+R515+S515+T515+Observaciones!$F514-U515-W515-X515-Constantes!$F$33),0)</f>
        <v>0</v>
      </c>
      <c r="Z515" s="170">
        <f>Z514+R515+S515+T515+Observaciones!$F514-U515-W515-Y515</f>
        <v>41.250000000001307</v>
      </c>
      <c r="AA515" s="170">
        <f>IF(Escenarios!$F$14&gt;0,(Escenarios!$F$13*L515+Escenarios!$F$14*W515)/(Escenarios!$F$16),L515)</f>
        <v>9.6781604952411725E-13</v>
      </c>
      <c r="AB515" s="170">
        <f>IF(Escenarios!$F$14&gt;0,(Escenarios!$F$14*Y515)/(Escenarios!$F$16),K515)</f>
        <v>0</v>
      </c>
      <c r="AC515" s="170">
        <f>IF(Escenarios!$F$14&gt;0,(Escenarios!$F$13*M515+Escenarios!$F$14*U515)/(Escenarios!$F$16),M515)</f>
        <v>0</v>
      </c>
      <c r="AD515" s="76">
        <f t="shared" si="99"/>
        <v>118.15065958088903</v>
      </c>
      <c r="AE515" s="76">
        <f>MAX(0,(AD515-Constantes!$D$13)*(1-EXP(-Constantes!$D$23)))</f>
        <v>0.68382122879976781</v>
      </c>
      <c r="AF515" s="76">
        <f>AB515+O515*Escenarios!$F$13/Escenarios!$F$16+AE515</f>
        <v>0.68382122879977025</v>
      </c>
      <c r="AG515" s="76">
        <f>IF(Entradas!$F$91&gt;0,IF(AF515-Escenarios!$F$38&lt;=0,0,IF(AF515-Escenarios!$F$38&gt;Escenarios!$F$37,Escenarios!$F$37,AF515-Escenarios!$F$38)),0)</f>
        <v>0</v>
      </c>
      <c r="AH515" s="76">
        <f>AG515*Entradas!$F$99</f>
        <v>0</v>
      </c>
      <c r="AI515" s="76">
        <f>IF(Entradas!$F$91&gt;0,D515*Entradas!$D$23/Escenarios!$F$16,0)</f>
        <v>0.13258463267237991</v>
      </c>
      <c r="AJ515" s="76">
        <f>IF(Entradas!$F$91&gt;0,Entradas!$D$24*Entradas!$D$22/Escenarios!$F$16,0)</f>
        <v>0.12</v>
      </c>
      <c r="AK515" s="76">
        <f t="shared" si="100"/>
        <v>0.13258463267334772</v>
      </c>
      <c r="AL515" s="76">
        <f t="shared" si="101"/>
        <v>0</v>
      </c>
      <c r="AM515" s="76">
        <f t="shared" si="102"/>
        <v>0</v>
      </c>
      <c r="AN515" s="76">
        <f>MAX(0,O515*Escenarios!$F$13/Escenarios!$F$16-AM515)</f>
        <v>2.3961657095414675E-15</v>
      </c>
      <c r="AO515" s="76">
        <f>AM515+AN515-O515*Escenarios!$F$13/Escenarios!$F$16</f>
        <v>0</v>
      </c>
      <c r="AP515" s="76">
        <f t="shared" si="103"/>
        <v>0.68382122879976781</v>
      </c>
      <c r="AQ515" s="76">
        <f t="shared" si="104"/>
        <v>0</v>
      </c>
      <c r="AR515" s="76">
        <f t="shared" si="105"/>
        <v>0.68382122879977025</v>
      </c>
      <c r="AS515" s="76">
        <f t="shared" si="106"/>
        <v>0</v>
      </c>
      <c r="AT515" s="76">
        <f t="shared" si="107"/>
        <v>0</v>
      </c>
      <c r="AU515" s="76">
        <f t="shared" si="108"/>
        <v>54.924361169333537</v>
      </c>
      <c r="AV515" s="76">
        <f>MAX(0,(AU515-Constantes!$D$13)*(1-EXP(-Constantes!$D$24)))</f>
        <v>9.4376635945317228E-2</v>
      </c>
      <c r="AW515" s="170">
        <f>AW514+(Entradas!$F$112*AT515-AX514)/(800*Entradas!$D$25)</f>
        <v>0</v>
      </c>
      <c r="AX515" s="170">
        <f>8000*Entradas!$D$26*AW515/Constantes!$F$45</f>
        <v>0</v>
      </c>
      <c r="AY515" s="170">
        <f>IF(Escenarios!$F$17&gt;0,10*Escenarios!$F$16*AL515,0)</f>
        <v>0</v>
      </c>
      <c r="AZ515" s="170">
        <f>IF(Escenarios!$F$17&gt;0,10*Escenarios!$F$16*AX515,0)</f>
        <v>0</v>
      </c>
      <c r="BA515" s="170">
        <f>IF(Escenarios!$F$17&gt;0,0.001*Observaciones!$F514*Escenarios!$F$17,0)</f>
        <v>0</v>
      </c>
      <c r="BB515" s="170">
        <f>IF(Escenarios!$F$17&gt;0,Observaciones!$K514,0)</f>
        <v>0</v>
      </c>
      <c r="BC515" s="170">
        <f>IF(Escenarios!$F$17&gt;0,MIN(0.0005*ETo!$M514*Escenarios!$F$17*(BG514/Constantes!$F$40)^(2/3),BG514+AY515+AZ515+BA515+BB515),0)</f>
        <v>0</v>
      </c>
      <c r="BD515" s="170">
        <f>IF(Escenarios!$F$17&gt;0,MIN(Constantes!$F$39*(BG514/Constantes!$F$40)^(2/3),BG514+AY515+AZ515+BA515+BB515-BC515),0)</f>
        <v>0</v>
      </c>
      <c r="BE515" s="170">
        <f>IF(Escenarios!$F$17&gt;0,MIN(Entradas!$F$113,BG514+AY515+AZ515+BA515+BB515-BC515-BD515),0)</f>
        <v>0</v>
      </c>
      <c r="BF515" s="170">
        <f>IF(Escenarios!$F$17&gt;0,MAX(0,BG514+AY515+AZ515+BA515+BB515-BC515-BD515-BE515-Constantes!$F$40),0)</f>
        <v>0</v>
      </c>
      <c r="BG515" s="170">
        <f t="shared" si="109"/>
        <v>0</v>
      </c>
      <c r="BH515" s="170">
        <f>(Escenarios!$F$16*AK515+0.1*BC515)/(Escenarios!$F$19)</f>
        <v>0.13258463267334772</v>
      </c>
      <c r="BI515" s="170">
        <f>IF(Escenarios!$F$17&gt;0,BF515/10/Escenarios!$F$19,AL515)</f>
        <v>0</v>
      </c>
      <c r="BJ515" s="170">
        <f>(Escenarios!$F$16*AT515+0.1*BD515)/(Escenarios!$F$19)</f>
        <v>0</v>
      </c>
      <c r="BK515" s="76">
        <f>BK514+(0.1*BD515)/(Escenarios!$F$19)-BL514</f>
        <v>48.75</v>
      </c>
      <c r="BL515" s="76">
        <f>MAX(0,(BK515-Constantes!$D$13)*(1-EXP(-Constantes!$D$23)))</f>
        <v>0</v>
      </c>
      <c r="BM515" s="76">
        <f t="shared" si="110"/>
        <v>0.77819786474508501</v>
      </c>
      <c r="BN515" s="76">
        <f t="shared" si="111"/>
        <v>0.77819786474508745</v>
      </c>
      <c r="BO515" s="76">
        <f>0.0526*BI515*Observaciones!$F514^1.218</f>
        <v>0</v>
      </c>
      <c r="BP515" s="76">
        <f>BO515*Constantes!$F$51</f>
        <v>0</v>
      </c>
      <c r="BQ515" s="76">
        <f t="shared" si="112"/>
        <v>0</v>
      </c>
      <c r="BR515" s="40"/>
    </row>
    <row r="516" spans="2:70">
      <c r="B516" s="39"/>
      <c r="C516" s="75">
        <v>510</v>
      </c>
      <c r="D516" s="146">
        <f>ETo!$I515*((1-Constantes!$F$19)*ETo!$K515+ETo!$L515)</f>
        <v>2.7180389271641809</v>
      </c>
      <c r="E516" s="76">
        <f>MIN(D516*Constantes!$F$17,0.8*(N515+Observaciones!$F515-F516-M516-Constantes!$D$14))</f>
        <v>6.3948846218409017E-14</v>
      </c>
      <c r="F516" s="76">
        <f>IF(Observaciones!$F515&gt;0.05*Constantes!$F$18,((Observaciones!$F515-0.05*Constantes!$F$18)^2)/(Observaciones!$F515+0.95*Constantes!$F$18),0)</f>
        <v>0</v>
      </c>
      <c r="G516" s="76">
        <f>IF(Escenarios!$F$11&gt;0,(F516*Escenarios!$F$16*10000)/1000,0)</f>
        <v>0</v>
      </c>
      <c r="H516" s="76">
        <f>IF(Escenarios!$F$11&gt;0,(Observaciones!$F515*Constantes!$F$29)/1000,0)</f>
        <v>0</v>
      </c>
      <c r="I516" s="76">
        <f>IF(Escenarios!$F$11&gt;0,(D516*Constantes!$F$29)/1000,0)</f>
        <v>0</v>
      </c>
      <c r="J516" s="76">
        <f>IF(Escenarios!$F$11&gt;0,MAX(0,G516+H516-I516),0)</f>
        <v>0</v>
      </c>
      <c r="K516" s="76">
        <f>IF(Escenarios!$F$11&gt;0,IF(J516&gt;Constantes!$F$30,1000*((J516-Constantes!$F$30)/(Escenarios!$F$16*10000)),0),F516)</f>
        <v>0</v>
      </c>
      <c r="L516" s="76">
        <f>IF(Escenarios!$F$11&gt;0,I516*1000/Escenarios!$F$16/10000+E516,E516)</f>
        <v>6.3948846218409017E-14</v>
      </c>
      <c r="M516" s="76">
        <f>MAX(0,N515+Observaciones!$F515-K516-Constantes!$D$13)</f>
        <v>0</v>
      </c>
      <c r="N516" s="76">
        <f>N515+Observaciones!$F515-K516-L516-M516-O515</f>
        <v>11.250000000000012</v>
      </c>
      <c r="O516" s="76">
        <f>MAX(0,(N516-Constantes!$D$14)*(1-EXP(-Constantes!$D$22)))</f>
        <v>4.2356464562601701E-16</v>
      </c>
      <c r="P516" s="170">
        <f>P515+(Entradas!$F$83*M516-Q515)/(800*Entradas!$D$25)</f>
        <v>0</v>
      </c>
      <c r="Q516" s="170">
        <f>8000*Entradas!$D$26*P516/Constantes!$F$45</f>
        <v>0</v>
      </c>
      <c r="R516" s="170">
        <f>IF(Escenarios!$F$14&gt;0,K516*Escenarios!$F$13/Escenarios!$F$14,0)</f>
        <v>0</v>
      </c>
      <c r="S516" s="170">
        <f>IF(Escenarios!$F$14&gt;0,Q516*Escenarios!$F$13/Escenarios!$F$14,0)</f>
        <v>0</v>
      </c>
      <c r="T516" s="170">
        <f>IF(Escenarios!$F$14&gt;0,Observaciones!$I515,0)</f>
        <v>0</v>
      </c>
      <c r="U516" s="170">
        <f>IF(Escenarios!$F$14&gt;0,MAX(0,Constantes!$F$36/((Z515+R516+S516+T516+Observaciones!$F515)^2)+Entradas!$F$77),0)</f>
        <v>0</v>
      </c>
      <c r="V516" s="146">
        <f>IF(ETo!D515&gt;0,ETo!I515*((1-Entradas!$F$81)*ETo!K515+ETo!L515),0)</f>
        <v>2.3732296180385024</v>
      </c>
      <c r="W516" s="170">
        <f>IF(Escenarios!$F$14&gt;0,MIN(V516*1,0.8*(Z515+R516+S516+T516+Observaciones!$F515-U516-Constantes!$F$35)),0)</f>
        <v>1.0459189070388676E-12</v>
      </c>
      <c r="X516" s="170">
        <f>IF(Escenarios!$F$14&gt;0,Observaciones!$J515,0)</f>
        <v>0</v>
      </c>
      <c r="Y516" s="170">
        <f>IF(Escenarios!$F$14&gt;0,MAX(0,Z515+R516+S516+T516+Observaciones!$F515-U516-W516-X516-Constantes!$F$33),0)</f>
        <v>0</v>
      </c>
      <c r="Z516" s="170">
        <f>Z515+R516+S516+T516+Observaciones!$F515-U516-W516-Y516</f>
        <v>41.250000000000263</v>
      </c>
      <c r="AA516" s="170">
        <f>IF(Escenarios!$F$14&gt;0,(Escenarios!$F$13*L516+Escenarios!$F$14*W516)/(Escenarios!$F$16),L516)</f>
        <v>1.8178525351686405E-13</v>
      </c>
      <c r="AB516" s="170">
        <f>IF(Escenarios!$F$14&gt;0,(Escenarios!$F$14*Y516)/(Escenarios!$F$16),K516)</f>
        <v>0</v>
      </c>
      <c r="AC516" s="170">
        <f>IF(Escenarios!$F$14&gt;0,(Escenarios!$F$13*M516+Escenarios!$F$14*U516)/(Escenarios!$F$16),M516)</f>
        <v>0</v>
      </c>
      <c r="AD516" s="76">
        <f t="shared" si="99"/>
        <v>117.46683835208925</v>
      </c>
      <c r="AE516" s="76">
        <f>MAX(0,(AD516-Constantes!$D$13)*(1-EXP(-Constantes!$D$23)))</f>
        <v>0.6770833753588763</v>
      </c>
      <c r="AF516" s="76">
        <f>AB516+O516*Escenarios!$F$13/Escenarios!$F$16+AE516</f>
        <v>0.67708337535887664</v>
      </c>
      <c r="AG516" s="76">
        <f>IF(Entradas!$F$91&gt;0,IF(AF516-Escenarios!$F$38&lt;=0,0,IF(AF516-Escenarios!$F$38&gt;Escenarios!$F$37,Escenarios!$F$37,AF516-Escenarios!$F$38)),0)</f>
        <v>0</v>
      </c>
      <c r="AH516" s="76">
        <f>AG516*Entradas!$F$99</f>
        <v>0</v>
      </c>
      <c r="AI516" s="76">
        <f>IF(Entradas!$F$91&gt;0,D516*Entradas!$D$23/Escenarios!$F$16,0)</f>
        <v>0.1304658685038807</v>
      </c>
      <c r="AJ516" s="76">
        <f>IF(Entradas!$F$91&gt;0,Entradas!$D$24*Entradas!$D$22/Escenarios!$F$16,0)</f>
        <v>0.12</v>
      </c>
      <c r="AK516" s="76">
        <f t="shared" si="100"/>
        <v>0.1304658685040625</v>
      </c>
      <c r="AL516" s="76">
        <f t="shared" si="101"/>
        <v>0</v>
      </c>
      <c r="AM516" s="76">
        <f t="shared" si="102"/>
        <v>0</v>
      </c>
      <c r="AN516" s="76">
        <f>MAX(0,O516*Escenarios!$F$13/Escenarios!$F$16-AM516)</f>
        <v>3.7273688815089499E-16</v>
      </c>
      <c r="AO516" s="76">
        <f>AM516+AN516-O516*Escenarios!$F$13/Escenarios!$F$16</f>
        <v>0</v>
      </c>
      <c r="AP516" s="76">
        <f t="shared" si="103"/>
        <v>0.6770833753588763</v>
      </c>
      <c r="AQ516" s="76">
        <f t="shared" si="104"/>
        <v>0</v>
      </c>
      <c r="AR516" s="76">
        <f t="shared" si="105"/>
        <v>0.67708337535887664</v>
      </c>
      <c r="AS516" s="76">
        <f t="shared" si="106"/>
        <v>0</v>
      </c>
      <c r="AT516" s="76">
        <f t="shared" si="107"/>
        <v>0</v>
      </c>
      <c r="AU516" s="76">
        <f t="shared" si="108"/>
        <v>54.82998453338822</v>
      </c>
      <c r="AV516" s="76">
        <f>MAX(0,(AU516-Constantes!$D$13)*(1-EXP(-Constantes!$D$24)))</f>
        <v>9.2934065747675834E-2</v>
      </c>
      <c r="AW516" s="170">
        <f>AW515+(Entradas!$F$112*AT516-AX515)/(800*Entradas!$D$25)</f>
        <v>0</v>
      </c>
      <c r="AX516" s="170">
        <f>8000*Entradas!$D$26*AW516/Constantes!$F$45</f>
        <v>0</v>
      </c>
      <c r="AY516" s="170">
        <f>IF(Escenarios!$F$17&gt;0,10*Escenarios!$F$16*AL516,0)</f>
        <v>0</v>
      </c>
      <c r="AZ516" s="170">
        <f>IF(Escenarios!$F$17&gt;0,10*Escenarios!$F$16*AX516,0)</f>
        <v>0</v>
      </c>
      <c r="BA516" s="170">
        <f>IF(Escenarios!$F$17&gt;0,0.001*Observaciones!$F515*Escenarios!$F$17,0)</f>
        <v>0</v>
      </c>
      <c r="BB516" s="170">
        <f>IF(Escenarios!$F$17&gt;0,Observaciones!$K515,0)</f>
        <v>0</v>
      </c>
      <c r="BC516" s="170">
        <f>IF(Escenarios!$F$17&gt;0,MIN(0.0005*ETo!$M515*Escenarios!$F$17*(BG515/Constantes!$F$40)^(2/3),BG515+AY516+AZ516+BA516+BB516),0)</f>
        <v>0</v>
      </c>
      <c r="BD516" s="170">
        <f>IF(Escenarios!$F$17&gt;0,MIN(Constantes!$F$39*(BG515/Constantes!$F$40)^(2/3),BG515+AY516+AZ516+BA516+BB516-BC516),0)</f>
        <v>0</v>
      </c>
      <c r="BE516" s="170">
        <f>IF(Escenarios!$F$17&gt;0,MIN(Entradas!$F$113,BG515+AY516+AZ516+BA516+BB516-BC516-BD516),0)</f>
        <v>0</v>
      </c>
      <c r="BF516" s="170">
        <f>IF(Escenarios!$F$17&gt;0,MAX(0,BG515+AY516+AZ516+BA516+BB516-BC516-BD516-BE516-Constantes!$F$40),0)</f>
        <v>0</v>
      </c>
      <c r="BG516" s="170">
        <f t="shared" si="109"/>
        <v>0</v>
      </c>
      <c r="BH516" s="170">
        <f>(Escenarios!$F$16*AK516+0.1*BC516)/(Escenarios!$F$19)</f>
        <v>0.13046586850406247</v>
      </c>
      <c r="BI516" s="170">
        <f>IF(Escenarios!$F$17&gt;0,BF516/10/Escenarios!$F$19,AL516)</f>
        <v>0</v>
      </c>
      <c r="BJ516" s="170">
        <f>(Escenarios!$F$16*AT516+0.1*BD516)/(Escenarios!$F$19)</f>
        <v>0</v>
      </c>
      <c r="BK516" s="76">
        <f>BK515+(0.1*BD516)/(Escenarios!$F$19)-BL515</f>
        <v>48.75</v>
      </c>
      <c r="BL516" s="76">
        <f>MAX(0,(BK516-Constantes!$D$13)*(1-EXP(-Constantes!$D$23)))</f>
        <v>0</v>
      </c>
      <c r="BM516" s="76">
        <f t="shared" si="110"/>
        <v>0.77001744110655213</v>
      </c>
      <c r="BN516" s="76">
        <f t="shared" si="111"/>
        <v>0.77001744110655246</v>
      </c>
      <c r="BO516" s="76">
        <f>0.0526*BI516*Observaciones!$F515^1.218</f>
        <v>0</v>
      </c>
      <c r="BP516" s="76">
        <f>BO516*Constantes!$F$51</f>
        <v>0</v>
      </c>
      <c r="BQ516" s="76">
        <f t="shared" si="112"/>
        <v>0</v>
      </c>
      <c r="BR516" s="40"/>
    </row>
    <row r="517" spans="2:70">
      <c r="B517" s="39"/>
      <c r="C517" s="75">
        <v>511</v>
      </c>
      <c r="D517" s="146">
        <f>ETo!$I516*((1-Constantes!$F$19)*ETo!$K516+ETo!$L516)</f>
        <v>2.7697745430742047</v>
      </c>
      <c r="E517" s="76">
        <f>MIN(D517*Constantes!$F$17,0.8*(N516+Observaciones!$F516-F517-M517-Constantes!$D$14))</f>
        <v>9.9475983006414035E-15</v>
      </c>
      <c r="F517" s="76">
        <f>IF(Observaciones!$F516&gt;0.05*Constantes!$F$18,((Observaciones!$F516-0.05*Constantes!$F$18)^2)/(Observaciones!$F516+0.95*Constantes!$F$18),0)</f>
        <v>0</v>
      </c>
      <c r="G517" s="76">
        <f>IF(Escenarios!$F$11&gt;0,(F517*Escenarios!$F$16*10000)/1000,0)</f>
        <v>0</v>
      </c>
      <c r="H517" s="76">
        <f>IF(Escenarios!$F$11&gt;0,(Observaciones!$F516*Constantes!$F$29)/1000,0)</f>
        <v>0</v>
      </c>
      <c r="I517" s="76">
        <f>IF(Escenarios!$F$11&gt;0,(D517*Constantes!$F$29)/1000,0)</f>
        <v>0</v>
      </c>
      <c r="J517" s="76">
        <f>IF(Escenarios!$F$11&gt;0,MAX(0,G517+H517-I517),0)</f>
        <v>0</v>
      </c>
      <c r="K517" s="76">
        <f>IF(Escenarios!$F$11&gt;0,IF(J517&gt;Constantes!$F$30,1000*((J517-Constantes!$F$30)/(Escenarios!$F$16*10000)),0),F517)</f>
        <v>0</v>
      </c>
      <c r="L517" s="76">
        <f>IF(Escenarios!$F$11&gt;0,I517*1000/Escenarios!$F$16/10000+E517,E517)</f>
        <v>9.9475983006414035E-15</v>
      </c>
      <c r="M517" s="76">
        <f>MAX(0,N516+Observaciones!$F516-K517-Constantes!$D$13)</f>
        <v>0</v>
      </c>
      <c r="N517" s="76">
        <f>N516+Observaciones!$F516-K517-L517-M517-O516</f>
        <v>11.250000000000002</v>
      </c>
      <c r="O517" s="76">
        <f>MAX(0,(N517-Constantes!$D$14)*(1-EXP(-Constantes!$D$22)))</f>
        <v>6.0509235089431002E-17</v>
      </c>
      <c r="P517" s="170">
        <f>P516+(Entradas!$F$83*M517-Q516)/(800*Entradas!$D$25)</f>
        <v>0</v>
      </c>
      <c r="Q517" s="170">
        <f>8000*Entradas!$D$26*P517/Constantes!$F$45</f>
        <v>0</v>
      </c>
      <c r="R517" s="170">
        <f>IF(Escenarios!$F$14&gt;0,K517*Escenarios!$F$13/Escenarios!$F$14,0)</f>
        <v>0</v>
      </c>
      <c r="S517" s="170">
        <f>IF(Escenarios!$F$14&gt;0,Q517*Escenarios!$F$13/Escenarios!$F$14,0)</f>
        <v>0</v>
      </c>
      <c r="T517" s="170">
        <f>IF(Escenarios!$F$14&gt;0,Observaciones!$I516,0)</f>
        <v>0</v>
      </c>
      <c r="U517" s="170">
        <f>IF(Escenarios!$F$14&gt;0,MAX(0,Constantes!$F$36/((Z516+R517+S517+T517+Observaciones!$F516)^2)+Entradas!$F$77),0)</f>
        <v>0</v>
      </c>
      <c r="V517" s="146">
        <f>IF(ETo!D516&gt;0,ETo!I516*((1-Entradas!$F$81)*ETo!K516+ETo!L516),0)</f>
        <v>2.4184918639237911</v>
      </c>
      <c r="W517" s="170">
        <f>IF(Escenarios!$F$14&gt;0,MIN(V517*1,0.8*(Z516+R517+S517+T517+Observaciones!$F516-U517-Constantes!$F$35)),0)</f>
        <v>2.1032064978498967E-13</v>
      </c>
      <c r="X517" s="170">
        <f>IF(Escenarios!$F$14&gt;0,Observaciones!$J516,0)</f>
        <v>0</v>
      </c>
      <c r="Y517" s="170">
        <f>IF(Escenarios!$F$14&gt;0,MAX(0,Z516+R517+S517+T517+Observaciones!$F516-U517-W517-X517-Constantes!$F$33),0)</f>
        <v>0</v>
      </c>
      <c r="Z517" s="170">
        <f>Z516+R517+S517+T517+Observaciones!$F516-U517-W517-Y517</f>
        <v>41.25000000000005</v>
      </c>
      <c r="AA517" s="170">
        <f>IF(Escenarios!$F$14&gt;0,(Escenarios!$F$13*L517+Escenarios!$F$14*W517)/(Escenarios!$F$16),L517)</f>
        <v>3.3992364478763192E-14</v>
      </c>
      <c r="AB517" s="170">
        <f>IF(Escenarios!$F$14&gt;0,(Escenarios!$F$14*Y517)/(Escenarios!$F$16),K517)</f>
        <v>0</v>
      </c>
      <c r="AC517" s="170">
        <f>IF(Escenarios!$F$14&gt;0,(Escenarios!$F$13*M517+Escenarios!$F$14*U517)/(Escenarios!$F$16),M517)</f>
        <v>0</v>
      </c>
      <c r="AD517" s="76">
        <f t="shared" si="99"/>
        <v>116.78975497673038</v>
      </c>
      <c r="AE517" s="76">
        <f>MAX(0,(AD517-Constantes!$D$13)*(1-EXP(-Constantes!$D$23)))</f>
        <v>0.67041191159276969</v>
      </c>
      <c r="AF517" s="76">
        <f>AB517+O517*Escenarios!$F$13/Escenarios!$F$16+AE517</f>
        <v>0.67041191159276969</v>
      </c>
      <c r="AG517" s="76">
        <f>IF(Entradas!$F$91&gt;0,IF(AF517-Escenarios!$F$38&lt;=0,0,IF(AF517-Escenarios!$F$38&gt;Escenarios!$F$37,Escenarios!$F$37,AF517-Escenarios!$F$38)),0)</f>
        <v>0</v>
      </c>
      <c r="AH517" s="76">
        <f>AG517*Entradas!$F$99</f>
        <v>0</v>
      </c>
      <c r="AI517" s="76">
        <f>IF(Entradas!$F$91&gt;0,D517*Entradas!$D$23/Escenarios!$F$16,0)</f>
        <v>0.13294917806756182</v>
      </c>
      <c r="AJ517" s="76">
        <f>IF(Entradas!$F$91&gt;0,Entradas!$D$24*Entradas!$D$22/Escenarios!$F$16,0)</f>
        <v>0.12</v>
      </c>
      <c r="AK517" s="76">
        <f t="shared" si="100"/>
        <v>0.13294917806759582</v>
      </c>
      <c r="AL517" s="76">
        <f t="shared" si="101"/>
        <v>0</v>
      </c>
      <c r="AM517" s="76">
        <f t="shared" si="102"/>
        <v>0</v>
      </c>
      <c r="AN517" s="76">
        <f>MAX(0,O517*Escenarios!$F$13/Escenarios!$F$16-AM517)</f>
        <v>5.3248126878699284E-17</v>
      </c>
      <c r="AO517" s="76">
        <f>AM517+AN517-O517*Escenarios!$F$13/Escenarios!$F$16</f>
        <v>0</v>
      </c>
      <c r="AP517" s="76">
        <f t="shared" si="103"/>
        <v>0.67041191159276969</v>
      </c>
      <c r="AQ517" s="76">
        <f t="shared" si="104"/>
        <v>0</v>
      </c>
      <c r="AR517" s="76">
        <f t="shared" si="105"/>
        <v>0.67041191159276969</v>
      </c>
      <c r="AS517" s="76">
        <f t="shared" si="106"/>
        <v>0</v>
      </c>
      <c r="AT517" s="76">
        <f t="shared" si="107"/>
        <v>0</v>
      </c>
      <c r="AU517" s="76">
        <f t="shared" si="108"/>
        <v>54.737050467640543</v>
      </c>
      <c r="AV517" s="76">
        <f>MAX(0,(AU517-Constantes!$D$13)*(1-EXP(-Constantes!$D$24)))</f>
        <v>9.1513545591914769E-2</v>
      </c>
      <c r="AW517" s="170">
        <f>AW516+(Entradas!$F$112*AT517-AX516)/(800*Entradas!$D$25)</f>
        <v>0</v>
      </c>
      <c r="AX517" s="170">
        <f>8000*Entradas!$D$26*AW517/Constantes!$F$45</f>
        <v>0</v>
      </c>
      <c r="AY517" s="170">
        <f>IF(Escenarios!$F$17&gt;0,10*Escenarios!$F$16*AL517,0)</f>
        <v>0</v>
      </c>
      <c r="AZ517" s="170">
        <f>IF(Escenarios!$F$17&gt;0,10*Escenarios!$F$16*AX517,0)</f>
        <v>0</v>
      </c>
      <c r="BA517" s="170">
        <f>IF(Escenarios!$F$17&gt;0,0.001*Observaciones!$F516*Escenarios!$F$17,0)</f>
        <v>0</v>
      </c>
      <c r="BB517" s="170">
        <f>IF(Escenarios!$F$17&gt;0,Observaciones!$K516,0)</f>
        <v>0</v>
      </c>
      <c r="BC517" s="170">
        <f>IF(Escenarios!$F$17&gt;0,MIN(0.0005*ETo!$M516*Escenarios!$F$17*(BG516/Constantes!$F$40)^(2/3),BG516+AY517+AZ517+BA517+BB517),0)</f>
        <v>0</v>
      </c>
      <c r="BD517" s="170">
        <f>IF(Escenarios!$F$17&gt;0,MIN(Constantes!$F$39*(BG516/Constantes!$F$40)^(2/3),BG516+AY517+AZ517+BA517+BB517-BC517),0)</f>
        <v>0</v>
      </c>
      <c r="BE517" s="170">
        <f>IF(Escenarios!$F$17&gt;0,MIN(Entradas!$F$113,BG516+AY517+AZ517+BA517+BB517-BC517-BD517),0)</f>
        <v>0</v>
      </c>
      <c r="BF517" s="170">
        <f>IF(Escenarios!$F$17&gt;0,MAX(0,BG516+AY517+AZ517+BA517+BB517-BC517-BD517-BE517-Constantes!$F$40),0)</f>
        <v>0</v>
      </c>
      <c r="BG517" s="170">
        <f t="shared" si="109"/>
        <v>0</v>
      </c>
      <c r="BH517" s="170">
        <f>(Escenarios!$F$16*AK517+0.1*BC517)/(Escenarios!$F$19)</f>
        <v>0.13294917806759582</v>
      </c>
      <c r="BI517" s="170">
        <f>IF(Escenarios!$F$17&gt;0,BF517/10/Escenarios!$F$19,AL517)</f>
        <v>0</v>
      </c>
      <c r="BJ517" s="170">
        <f>(Escenarios!$F$16*AT517+0.1*BD517)/(Escenarios!$F$19)</f>
        <v>0</v>
      </c>
      <c r="BK517" s="76">
        <f>BK516+(0.1*BD517)/(Escenarios!$F$19)-BL516</f>
        <v>48.75</v>
      </c>
      <c r="BL517" s="76">
        <f>MAX(0,(BK517-Constantes!$D$13)*(1-EXP(-Constantes!$D$23)))</f>
        <v>0</v>
      </c>
      <c r="BM517" s="76">
        <f t="shared" si="110"/>
        <v>0.76192545718468452</v>
      </c>
      <c r="BN517" s="76">
        <f t="shared" si="111"/>
        <v>0.76192545718468452</v>
      </c>
      <c r="BO517" s="76">
        <f>0.0526*BI517*Observaciones!$F516^1.218</f>
        <v>0</v>
      </c>
      <c r="BP517" s="76">
        <f>BO517*Constantes!$F$51</f>
        <v>0</v>
      </c>
      <c r="BQ517" s="76">
        <f t="shared" si="112"/>
        <v>0</v>
      </c>
      <c r="BR517" s="40"/>
    </row>
    <row r="518" spans="2:70">
      <c r="B518" s="39"/>
      <c r="C518" s="75">
        <v>512</v>
      </c>
      <c r="D518" s="146">
        <f>ETo!$I517*((1-Constantes!$F$19)*ETo!$K517+ETo!$L517)</f>
        <v>2.7803157996196304</v>
      </c>
      <c r="E518" s="76">
        <f>MIN(D518*Constantes!$F$17,0.8*(N517+Observaciones!$F517-F518-M518-Constantes!$D$14))</f>
        <v>1.4210854715202005E-15</v>
      </c>
      <c r="F518" s="76">
        <f>IF(Observaciones!$F517&gt;0.05*Constantes!$F$18,((Observaciones!$F517-0.05*Constantes!$F$18)^2)/(Observaciones!$F517+0.95*Constantes!$F$18),0)</f>
        <v>0</v>
      </c>
      <c r="G518" s="76">
        <f>IF(Escenarios!$F$11&gt;0,(F518*Escenarios!$F$16*10000)/1000,0)</f>
        <v>0</v>
      </c>
      <c r="H518" s="76">
        <f>IF(Escenarios!$F$11&gt;0,(Observaciones!$F517*Constantes!$F$29)/1000,0)</f>
        <v>0</v>
      </c>
      <c r="I518" s="76">
        <f>IF(Escenarios!$F$11&gt;0,(D518*Constantes!$F$29)/1000,0)</f>
        <v>0</v>
      </c>
      <c r="J518" s="76">
        <f>IF(Escenarios!$F$11&gt;0,MAX(0,G518+H518-I518),0)</f>
        <v>0</v>
      </c>
      <c r="K518" s="76">
        <f>IF(Escenarios!$F$11&gt;0,IF(J518&gt;Constantes!$F$30,1000*((J518-Constantes!$F$30)/(Escenarios!$F$16*10000)),0),F518)</f>
        <v>0</v>
      </c>
      <c r="L518" s="76">
        <f>IF(Escenarios!$F$11&gt;0,I518*1000/Escenarios!$F$16/10000+E518,E518)</f>
        <v>1.4210854715202005E-15</v>
      </c>
      <c r="M518" s="76">
        <f>MAX(0,N517+Observaciones!$F517-K518-Constantes!$D$13)</f>
        <v>0</v>
      </c>
      <c r="N518" s="76">
        <f>N517+Observaciones!$F517-K518-L518-M518-O517</f>
        <v>11.25</v>
      </c>
      <c r="O518" s="76">
        <f>MAX(0,(N518-Constantes!$D$14)*(1-EXP(-Constantes!$D$22)))</f>
        <v>0</v>
      </c>
      <c r="P518" s="170">
        <f>P517+(Entradas!$F$83*M518-Q517)/(800*Entradas!$D$25)</f>
        <v>0</v>
      </c>
      <c r="Q518" s="170">
        <f>8000*Entradas!$D$26*P518/Constantes!$F$45</f>
        <v>0</v>
      </c>
      <c r="R518" s="170">
        <f>IF(Escenarios!$F$14&gt;0,K518*Escenarios!$F$13/Escenarios!$F$14,0)</f>
        <v>0</v>
      </c>
      <c r="S518" s="170">
        <f>IF(Escenarios!$F$14&gt;0,Q518*Escenarios!$F$13/Escenarios!$F$14,0)</f>
        <v>0</v>
      </c>
      <c r="T518" s="170">
        <f>IF(Escenarios!$F$14&gt;0,Observaciones!$I517,0)</f>
        <v>0</v>
      </c>
      <c r="U518" s="170">
        <f>IF(Escenarios!$F$14&gt;0,MAX(0,Constantes!$F$36/((Z517+R518+S518+T518+Observaciones!$F517)^2)+Entradas!$F$77),0)</f>
        <v>0</v>
      </c>
      <c r="V518" s="146">
        <f>IF(ETo!D517&gt;0,ETo!I517*((1-Entradas!$F$81)*ETo!K517+ETo!L517),0)</f>
        <v>2.427442624458557</v>
      </c>
      <c r="W518" s="170">
        <f>IF(Escenarios!$F$14&gt;0,MIN(V518*1,0.8*(Z517+R518+S518+T518+Observaciones!$F517-U518-Constantes!$F$35)),0)</f>
        <v>3.9790393202565614E-14</v>
      </c>
      <c r="X518" s="170">
        <f>IF(Escenarios!$F$14&gt;0,Observaciones!$J517,0)</f>
        <v>0</v>
      </c>
      <c r="Y518" s="170">
        <f>IF(Escenarios!$F$14&gt;0,MAX(0,Z517+R518+S518+T518+Observaciones!$F517-U518-W518-X518-Constantes!$F$33),0)</f>
        <v>0</v>
      </c>
      <c r="Z518" s="170">
        <f>Z517+R518+S518+T518+Observaciones!$F517-U518-W518-Y518</f>
        <v>41.250000000000007</v>
      </c>
      <c r="AA518" s="170">
        <f>IF(Escenarios!$F$14&gt;0,(Escenarios!$F$13*L518+Escenarios!$F$14*W518)/(Escenarios!$F$16),L518)</f>
        <v>6.0254023992456502E-15</v>
      </c>
      <c r="AB518" s="170">
        <f>IF(Escenarios!$F$14&gt;0,(Escenarios!$F$14*Y518)/(Escenarios!$F$16),K518)</f>
        <v>0</v>
      </c>
      <c r="AC518" s="170">
        <f>IF(Escenarios!$F$14&gt;0,(Escenarios!$F$13*M518+Escenarios!$F$14*U518)/(Escenarios!$F$16),M518)</f>
        <v>0</v>
      </c>
      <c r="AD518" s="76">
        <f t="shared" si="99"/>
        <v>116.11934306513761</v>
      </c>
      <c r="AE518" s="76">
        <f>MAX(0,(AD518-Constantes!$D$13)*(1-EXP(-Constantes!$D$23)))</f>
        <v>0.66380618334816943</v>
      </c>
      <c r="AF518" s="76">
        <f>AB518+O518*Escenarios!$F$13/Escenarios!$F$16+AE518</f>
        <v>0.66380618334816943</v>
      </c>
      <c r="AG518" s="76">
        <f>IF(Entradas!$F$91&gt;0,IF(AF518-Escenarios!$F$38&lt;=0,0,IF(AF518-Escenarios!$F$38&gt;Escenarios!$F$37,Escenarios!$F$37,AF518-Escenarios!$F$38)),0)</f>
        <v>0</v>
      </c>
      <c r="AH518" s="76">
        <f>AG518*Entradas!$F$99</f>
        <v>0</v>
      </c>
      <c r="AI518" s="76">
        <f>IF(Entradas!$F$91&gt;0,D518*Entradas!$D$23/Escenarios!$F$16,0)</f>
        <v>0.13345515838174224</v>
      </c>
      <c r="AJ518" s="76">
        <f>IF(Entradas!$F$91&gt;0,Entradas!$D$24*Entradas!$D$22/Escenarios!$F$16,0)</f>
        <v>0.12</v>
      </c>
      <c r="AK518" s="76">
        <f t="shared" si="100"/>
        <v>0.13345515838174826</v>
      </c>
      <c r="AL518" s="76">
        <f t="shared" si="101"/>
        <v>0</v>
      </c>
      <c r="AM518" s="76">
        <f t="shared" si="102"/>
        <v>0</v>
      </c>
      <c r="AN518" s="76">
        <f>MAX(0,O518*Escenarios!$F$13/Escenarios!$F$16-AM518)</f>
        <v>0</v>
      </c>
      <c r="AO518" s="76">
        <f>AM518+AN518-O518*Escenarios!$F$13/Escenarios!$F$16</f>
        <v>0</v>
      </c>
      <c r="AP518" s="76">
        <f t="shared" si="103"/>
        <v>0.66380618334816943</v>
      </c>
      <c r="AQ518" s="76">
        <f t="shared" si="104"/>
        <v>0</v>
      </c>
      <c r="AR518" s="76">
        <f t="shared" si="105"/>
        <v>0.66380618334816943</v>
      </c>
      <c r="AS518" s="76">
        <f t="shared" si="106"/>
        <v>0</v>
      </c>
      <c r="AT518" s="76">
        <f t="shared" si="107"/>
        <v>0</v>
      </c>
      <c r="AU518" s="76">
        <f t="shared" si="108"/>
        <v>54.645536922048628</v>
      </c>
      <c r="AV518" s="76">
        <f>MAX(0,(AU518-Constantes!$D$13)*(1-EXP(-Constantes!$D$24)))</f>
        <v>9.0114738437696143E-2</v>
      </c>
      <c r="AW518" s="170">
        <f>AW517+(Entradas!$F$112*AT518-AX517)/(800*Entradas!$D$25)</f>
        <v>0</v>
      </c>
      <c r="AX518" s="170">
        <f>8000*Entradas!$D$26*AW518/Constantes!$F$45</f>
        <v>0</v>
      </c>
      <c r="AY518" s="170">
        <f>IF(Escenarios!$F$17&gt;0,10*Escenarios!$F$16*AL518,0)</f>
        <v>0</v>
      </c>
      <c r="AZ518" s="170">
        <f>IF(Escenarios!$F$17&gt;0,10*Escenarios!$F$16*AX518,0)</f>
        <v>0</v>
      </c>
      <c r="BA518" s="170">
        <f>IF(Escenarios!$F$17&gt;0,0.001*Observaciones!$F517*Escenarios!$F$17,0)</f>
        <v>0</v>
      </c>
      <c r="BB518" s="170">
        <f>IF(Escenarios!$F$17&gt;0,Observaciones!$K517,0)</f>
        <v>0</v>
      </c>
      <c r="BC518" s="170">
        <f>IF(Escenarios!$F$17&gt;0,MIN(0.0005*ETo!$M517*Escenarios!$F$17*(BG517/Constantes!$F$40)^(2/3),BG517+AY518+AZ518+BA518+BB518),0)</f>
        <v>0</v>
      </c>
      <c r="BD518" s="170">
        <f>IF(Escenarios!$F$17&gt;0,MIN(Constantes!$F$39*(BG517/Constantes!$F$40)^(2/3),BG517+AY518+AZ518+BA518+BB518-BC518),0)</f>
        <v>0</v>
      </c>
      <c r="BE518" s="170">
        <f>IF(Escenarios!$F$17&gt;0,MIN(Entradas!$F$113,BG517+AY518+AZ518+BA518+BB518-BC518-BD518),0)</f>
        <v>0</v>
      </c>
      <c r="BF518" s="170">
        <f>IF(Escenarios!$F$17&gt;0,MAX(0,BG517+AY518+AZ518+BA518+BB518-BC518-BD518-BE518-Constantes!$F$40),0)</f>
        <v>0</v>
      </c>
      <c r="BG518" s="170">
        <f t="shared" si="109"/>
        <v>0</v>
      </c>
      <c r="BH518" s="170">
        <f>(Escenarios!$F$16*AK518+0.1*BC518)/(Escenarios!$F$19)</f>
        <v>0.13345515838174829</v>
      </c>
      <c r="BI518" s="170">
        <f>IF(Escenarios!$F$17&gt;0,BF518/10/Escenarios!$F$19,AL518)</f>
        <v>0</v>
      </c>
      <c r="BJ518" s="170">
        <f>(Escenarios!$F$16*AT518+0.1*BD518)/(Escenarios!$F$19)</f>
        <v>0</v>
      </c>
      <c r="BK518" s="76">
        <f>BK517+(0.1*BD518)/(Escenarios!$F$19)-BL517</f>
        <v>48.75</v>
      </c>
      <c r="BL518" s="76">
        <f>MAX(0,(BK518-Constantes!$D$13)*(1-EXP(-Constantes!$D$23)))</f>
        <v>0</v>
      </c>
      <c r="BM518" s="76">
        <f t="shared" si="110"/>
        <v>0.75392092178586556</v>
      </c>
      <c r="BN518" s="76">
        <f t="shared" si="111"/>
        <v>0.75392092178586556</v>
      </c>
      <c r="BO518" s="76">
        <f>0.0526*BI518*Observaciones!$F517^1.218</f>
        <v>0</v>
      </c>
      <c r="BP518" s="76">
        <f>BO518*Constantes!$F$51</f>
        <v>0</v>
      </c>
      <c r="BQ518" s="76">
        <f t="shared" si="112"/>
        <v>0</v>
      </c>
      <c r="BR518" s="40"/>
    </row>
    <row r="519" spans="2:70">
      <c r="B519" s="39"/>
      <c r="C519" s="75">
        <v>513</v>
      </c>
      <c r="D519" s="146">
        <f>ETo!$I518*((1-Constantes!$F$19)*ETo!$K518+ETo!$L518)</f>
        <v>2.7214229904239788</v>
      </c>
      <c r="E519" s="76">
        <f>MIN(D519*Constantes!$F$17,0.8*(N518+Observaciones!$F518-F519-M519-Constantes!$D$14))</f>
        <v>0</v>
      </c>
      <c r="F519" s="76">
        <f>IF(Observaciones!$F518&gt;0.05*Constantes!$F$18,((Observaciones!$F518-0.05*Constantes!$F$18)^2)/(Observaciones!$F518+0.95*Constantes!$F$18),0)</f>
        <v>0</v>
      </c>
      <c r="G519" s="76">
        <f>IF(Escenarios!$F$11&gt;0,(F519*Escenarios!$F$16*10000)/1000,0)</f>
        <v>0</v>
      </c>
      <c r="H519" s="76">
        <f>IF(Escenarios!$F$11&gt;0,(Observaciones!$F518*Constantes!$F$29)/1000,0)</f>
        <v>0</v>
      </c>
      <c r="I519" s="76">
        <f>IF(Escenarios!$F$11&gt;0,(D519*Constantes!$F$29)/1000,0)</f>
        <v>0</v>
      </c>
      <c r="J519" s="76">
        <f>IF(Escenarios!$F$11&gt;0,MAX(0,G519+H519-I519),0)</f>
        <v>0</v>
      </c>
      <c r="K519" s="76">
        <f>IF(Escenarios!$F$11&gt;0,IF(J519&gt;Constantes!$F$30,1000*((J519-Constantes!$F$30)/(Escenarios!$F$16*10000)),0),F519)</f>
        <v>0</v>
      </c>
      <c r="L519" s="76">
        <f>IF(Escenarios!$F$11&gt;0,I519*1000/Escenarios!$F$16/10000+E519,E519)</f>
        <v>0</v>
      </c>
      <c r="M519" s="76">
        <f>MAX(0,N518+Observaciones!$F518-K519-Constantes!$D$13)</f>
        <v>0</v>
      </c>
      <c r="N519" s="76">
        <f>N518+Observaciones!$F518-K519-L519-M519-O518</f>
        <v>11.25</v>
      </c>
      <c r="O519" s="76">
        <f>MAX(0,(N519-Constantes!$D$14)*(1-EXP(-Constantes!$D$22)))</f>
        <v>0</v>
      </c>
      <c r="P519" s="170">
        <f>P518+(Entradas!$F$83*M519-Q518)/(800*Entradas!$D$25)</f>
        <v>0</v>
      </c>
      <c r="Q519" s="170">
        <f>8000*Entradas!$D$26*P519/Constantes!$F$45</f>
        <v>0</v>
      </c>
      <c r="R519" s="170">
        <f>IF(Escenarios!$F$14&gt;0,K519*Escenarios!$F$13/Escenarios!$F$14,0)</f>
        <v>0</v>
      </c>
      <c r="S519" s="170">
        <f>IF(Escenarios!$F$14&gt;0,Q519*Escenarios!$F$13/Escenarios!$F$14,0)</f>
        <v>0</v>
      </c>
      <c r="T519" s="170">
        <f>IF(Escenarios!$F$14&gt;0,Observaciones!$I518,0)</f>
        <v>0</v>
      </c>
      <c r="U519" s="170">
        <f>IF(Escenarios!$F$14&gt;0,MAX(0,Constantes!$F$36/((Z518+R519+S519+T519+Observaciones!$F518)^2)+Entradas!$F$77),0)</f>
        <v>0</v>
      </c>
      <c r="V519" s="146">
        <f>IF(ETo!D518&gt;0,ETo!I518*((1-Entradas!$F$81)*ETo!K518+ETo!L518),0)</f>
        <v>2.3749945712333251</v>
      </c>
      <c r="W519" s="170">
        <f>IF(Escenarios!$F$14&gt;0,MIN(V519*1,0.8*(Z518+R519+S519+T519+Observaciones!$F518-U519-Constantes!$F$35)),0)</f>
        <v>5.6843418860808018E-15</v>
      </c>
      <c r="X519" s="170">
        <f>IF(Escenarios!$F$14&gt;0,Observaciones!$J518,0)</f>
        <v>0</v>
      </c>
      <c r="Y519" s="170">
        <f>IF(Escenarios!$F$14&gt;0,MAX(0,Z518+R519+S519+T519+Observaciones!$F518-U519-W519-X519-Constantes!$F$33),0)</f>
        <v>0</v>
      </c>
      <c r="Z519" s="170">
        <f>Z518+R519+S519+T519+Observaciones!$F518-U519-W519-Y519</f>
        <v>41.25</v>
      </c>
      <c r="AA519" s="170">
        <f>IF(Escenarios!$F$14&gt;0,(Escenarios!$F$13*L519+Escenarios!$F$14*W519)/(Escenarios!$F$16),L519)</f>
        <v>6.8212102632969619E-16</v>
      </c>
      <c r="AB519" s="170">
        <f>IF(Escenarios!$F$14&gt;0,(Escenarios!$F$14*Y519)/(Escenarios!$F$16),K519)</f>
        <v>0</v>
      </c>
      <c r="AC519" s="170">
        <f>IF(Escenarios!$F$14&gt;0,(Escenarios!$F$13*M519+Escenarios!$F$14*U519)/(Escenarios!$F$16),M519)</f>
        <v>0</v>
      </c>
      <c r="AD519" s="76">
        <f t="shared" si="99"/>
        <v>115.45553688178944</v>
      </c>
      <c r="AE519" s="76">
        <f>MAX(0,(AD519-Constantes!$D$13)*(1-EXP(-Constantes!$D$23)))</f>
        <v>0.65726554291732509</v>
      </c>
      <c r="AF519" s="76">
        <f>AB519+O519*Escenarios!$F$13/Escenarios!$F$16+AE519</f>
        <v>0.65726554291732509</v>
      </c>
      <c r="AG519" s="76">
        <f>IF(Entradas!$F$91&gt;0,IF(AF519-Escenarios!$F$38&lt;=0,0,IF(AF519-Escenarios!$F$38&gt;Escenarios!$F$37,Escenarios!$F$37,AF519-Escenarios!$F$38)),0)</f>
        <v>0</v>
      </c>
      <c r="AH519" s="76">
        <f>AG519*Entradas!$F$99</f>
        <v>0</v>
      </c>
      <c r="AI519" s="76">
        <f>IF(Entradas!$F$91&gt;0,D519*Entradas!$D$23/Escenarios!$F$16,0)</f>
        <v>0.13062830354035099</v>
      </c>
      <c r="AJ519" s="76">
        <f>IF(Entradas!$F$91&gt;0,Entradas!$D$24*Entradas!$D$22/Escenarios!$F$16,0)</f>
        <v>0.12</v>
      </c>
      <c r="AK519" s="76">
        <f t="shared" si="100"/>
        <v>0.13062830354035168</v>
      </c>
      <c r="AL519" s="76">
        <f t="shared" si="101"/>
        <v>0</v>
      </c>
      <c r="AM519" s="76">
        <f t="shared" si="102"/>
        <v>0</v>
      </c>
      <c r="AN519" s="76">
        <f>MAX(0,O519*Escenarios!$F$13/Escenarios!$F$16-AM519)</f>
        <v>0</v>
      </c>
      <c r="AO519" s="76">
        <f>AM519+AN519-O519*Escenarios!$F$13/Escenarios!$F$16</f>
        <v>0</v>
      </c>
      <c r="AP519" s="76">
        <f t="shared" si="103"/>
        <v>0.65726554291732509</v>
      </c>
      <c r="AQ519" s="76">
        <f t="shared" si="104"/>
        <v>0</v>
      </c>
      <c r="AR519" s="76">
        <f t="shared" si="105"/>
        <v>0.65726554291732509</v>
      </c>
      <c r="AS519" s="76">
        <f t="shared" si="106"/>
        <v>0</v>
      </c>
      <c r="AT519" s="76">
        <f t="shared" si="107"/>
        <v>0</v>
      </c>
      <c r="AU519" s="76">
        <f t="shared" si="108"/>
        <v>54.555422183610929</v>
      </c>
      <c r="AV519" s="76">
        <f>MAX(0,(AU519-Constantes!$D$13)*(1-EXP(-Constantes!$D$24)))</f>
        <v>8.8737312396426821E-2</v>
      </c>
      <c r="AW519" s="170">
        <f>AW518+(Entradas!$F$112*AT519-AX518)/(800*Entradas!$D$25)</f>
        <v>0</v>
      </c>
      <c r="AX519" s="170">
        <f>8000*Entradas!$D$26*AW519/Constantes!$F$45</f>
        <v>0</v>
      </c>
      <c r="AY519" s="170">
        <f>IF(Escenarios!$F$17&gt;0,10*Escenarios!$F$16*AL519,0)</f>
        <v>0</v>
      </c>
      <c r="AZ519" s="170">
        <f>IF(Escenarios!$F$17&gt;0,10*Escenarios!$F$16*AX519,0)</f>
        <v>0</v>
      </c>
      <c r="BA519" s="170">
        <f>IF(Escenarios!$F$17&gt;0,0.001*Observaciones!$F518*Escenarios!$F$17,0)</f>
        <v>0</v>
      </c>
      <c r="BB519" s="170">
        <f>IF(Escenarios!$F$17&gt;0,Observaciones!$K518,0)</f>
        <v>0</v>
      </c>
      <c r="BC519" s="170">
        <f>IF(Escenarios!$F$17&gt;0,MIN(0.0005*ETo!$M518*Escenarios!$F$17*(BG518/Constantes!$F$40)^(2/3),BG518+AY519+AZ519+BA519+BB519),0)</f>
        <v>0</v>
      </c>
      <c r="BD519" s="170">
        <f>IF(Escenarios!$F$17&gt;0,MIN(Constantes!$F$39*(BG518/Constantes!$F$40)^(2/3),BG518+AY519+AZ519+BA519+BB519-BC519),0)</f>
        <v>0</v>
      </c>
      <c r="BE519" s="170">
        <f>IF(Escenarios!$F$17&gt;0,MIN(Entradas!$F$113,BG518+AY519+AZ519+BA519+BB519-BC519-BD519),0)</f>
        <v>0</v>
      </c>
      <c r="BF519" s="170">
        <f>IF(Escenarios!$F$17&gt;0,MAX(0,BG518+AY519+AZ519+BA519+BB519-BC519-BD519-BE519-Constantes!$F$40),0)</f>
        <v>0</v>
      </c>
      <c r="BG519" s="170">
        <f t="shared" si="109"/>
        <v>0</v>
      </c>
      <c r="BH519" s="170">
        <f>(Escenarios!$F$16*AK519+0.1*BC519)/(Escenarios!$F$19)</f>
        <v>0.13062830354035168</v>
      </c>
      <c r="BI519" s="170">
        <f>IF(Escenarios!$F$17&gt;0,BF519/10/Escenarios!$F$19,AL519)</f>
        <v>0</v>
      </c>
      <c r="BJ519" s="170">
        <f>(Escenarios!$F$16*AT519+0.1*BD519)/(Escenarios!$F$19)</f>
        <v>0</v>
      </c>
      <c r="BK519" s="76">
        <f>BK518+(0.1*BD519)/(Escenarios!$F$19)-BL518</f>
        <v>48.75</v>
      </c>
      <c r="BL519" s="76">
        <f>MAX(0,(BK519-Constantes!$D$13)*(1-EXP(-Constantes!$D$23)))</f>
        <v>0</v>
      </c>
      <c r="BM519" s="76">
        <f t="shared" si="110"/>
        <v>0.74600285531375188</v>
      </c>
      <c r="BN519" s="76">
        <f t="shared" si="111"/>
        <v>0.74600285531375188</v>
      </c>
      <c r="BO519" s="76">
        <f>0.0526*BI519*Observaciones!$F518^1.218</f>
        <v>0</v>
      </c>
      <c r="BP519" s="76">
        <f>BO519*Constantes!$F$51</f>
        <v>0</v>
      </c>
      <c r="BQ519" s="76">
        <f t="shared" si="112"/>
        <v>0</v>
      </c>
      <c r="BR519" s="40"/>
    </row>
    <row r="520" spans="2:70">
      <c r="B520" s="39"/>
      <c r="C520" s="75">
        <v>514</v>
      </c>
      <c r="D520" s="146">
        <f>ETo!$I519*((1-Constantes!$F$19)*ETo!$K519+ETo!$L519)</f>
        <v>2.7073878948290875</v>
      </c>
      <c r="E520" s="76">
        <f>MIN(D520*Constantes!$F$17,0.8*(N519+Observaciones!$F519-F520-M520-Constantes!$D$14))</f>
        <v>0</v>
      </c>
      <c r="F520" s="76">
        <f>IF(Observaciones!$F519&gt;0.05*Constantes!$F$18,((Observaciones!$F519-0.05*Constantes!$F$18)^2)/(Observaciones!$F519+0.95*Constantes!$F$18),0)</f>
        <v>0</v>
      </c>
      <c r="G520" s="76">
        <f>IF(Escenarios!$F$11&gt;0,(F520*Escenarios!$F$16*10000)/1000,0)</f>
        <v>0</v>
      </c>
      <c r="H520" s="76">
        <f>IF(Escenarios!$F$11&gt;0,(Observaciones!$F519*Constantes!$F$29)/1000,0)</f>
        <v>0</v>
      </c>
      <c r="I520" s="76">
        <f>IF(Escenarios!$F$11&gt;0,(D520*Constantes!$F$29)/1000,0)</f>
        <v>0</v>
      </c>
      <c r="J520" s="76">
        <f>IF(Escenarios!$F$11&gt;0,MAX(0,G520+H520-I520),0)</f>
        <v>0</v>
      </c>
      <c r="K520" s="76">
        <f>IF(Escenarios!$F$11&gt;0,IF(J520&gt;Constantes!$F$30,1000*((J520-Constantes!$F$30)/(Escenarios!$F$16*10000)),0),F520)</f>
        <v>0</v>
      </c>
      <c r="L520" s="76">
        <f>IF(Escenarios!$F$11&gt;0,I520*1000/Escenarios!$F$16/10000+E520,E520)</f>
        <v>0</v>
      </c>
      <c r="M520" s="76">
        <f>MAX(0,N519+Observaciones!$F519-K520-Constantes!$D$13)</f>
        <v>0</v>
      </c>
      <c r="N520" s="76">
        <f>N519+Observaciones!$F519-K520-L520-M520-O519</f>
        <v>11.25</v>
      </c>
      <c r="O520" s="76">
        <f>MAX(0,(N520-Constantes!$D$14)*(1-EXP(-Constantes!$D$22)))</f>
        <v>0</v>
      </c>
      <c r="P520" s="170">
        <f>P519+(Entradas!$F$83*M520-Q519)/(800*Entradas!$D$25)</f>
        <v>0</v>
      </c>
      <c r="Q520" s="170">
        <f>8000*Entradas!$D$26*P520/Constantes!$F$45</f>
        <v>0</v>
      </c>
      <c r="R520" s="170">
        <f>IF(Escenarios!$F$14&gt;0,K520*Escenarios!$F$13/Escenarios!$F$14,0)</f>
        <v>0</v>
      </c>
      <c r="S520" s="170">
        <f>IF(Escenarios!$F$14&gt;0,Q520*Escenarios!$F$13/Escenarios!$F$14,0)</f>
        <v>0</v>
      </c>
      <c r="T520" s="170">
        <f>IF(Escenarios!$F$14&gt;0,Observaciones!$I519,0)</f>
        <v>0</v>
      </c>
      <c r="U520" s="170">
        <f>IF(Escenarios!$F$14&gt;0,MAX(0,Constantes!$F$36/((Z519+R520+S520+T520+Observaciones!$F519)^2)+Entradas!$F$77),0)</f>
        <v>0</v>
      </c>
      <c r="V520" s="146">
        <f>IF(ETo!D519&gt;0,ETo!I519*((1-Entradas!$F$81)*ETo!K519+ETo!L519),0)</f>
        <v>2.3622300790266682</v>
      </c>
      <c r="W520" s="170">
        <f>IF(Escenarios!$F$14&gt;0,MIN(V520*1,0.8*(Z519+R520+S520+T520+Observaciones!$F519-U520-Constantes!$F$35)),0)</f>
        <v>0</v>
      </c>
      <c r="X520" s="170">
        <f>IF(Escenarios!$F$14&gt;0,Observaciones!$J519,0)</f>
        <v>0</v>
      </c>
      <c r="Y520" s="170">
        <f>IF(Escenarios!$F$14&gt;0,MAX(0,Z519+R520+S520+T520+Observaciones!$F519-U520-W520-X520-Constantes!$F$33),0)</f>
        <v>0</v>
      </c>
      <c r="Z520" s="170">
        <f>Z519+R520+S520+T520+Observaciones!$F519-U520-W520-Y520</f>
        <v>41.25</v>
      </c>
      <c r="AA520" s="170">
        <f>IF(Escenarios!$F$14&gt;0,(Escenarios!$F$13*L520+Escenarios!$F$14*W520)/(Escenarios!$F$16),L520)</f>
        <v>0</v>
      </c>
      <c r="AB520" s="170">
        <f>IF(Escenarios!$F$14&gt;0,(Escenarios!$F$14*Y520)/(Escenarios!$F$16),K520)</f>
        <v>0</v>
      </c>
      <c r="AC520" s="170">
        <f>IF(Escenarios!$F$14&gt;0,(Escenarios!$F$13*M520+Escenarios!$F$14*U520)/(Escenarios!$F$16),M520)</f>
        <v>0</v>
      </c>
      <c r="AD520" s="76">
        <f t="shared" ref="AD520:AD583" si="113">AD519+AC520-AE519</f>
        <v>114.79827133887211</v>
      </c>
      <c r="AE520" s="76">
        <f>MAX(0,(AD520-Constantes!$D$13)*(1-EXP(-Constantes!$D$23)))</f>
        <v>0.65078934897450502</v>
      </c>
      <c r="AF520" s="76">
        <f>AB520+O520*Escenarios!$F$13/Escenarios!$F$16+AE520</f>
        <v>0.65078934897450502</v>
      </c>
      <c r="AG520" s="76">
        <f>IF(Entradas!$F$91&gt;0,IF(AF520-Escenarios!$F$38&lt;=0,0,IF(AF520-Escenarios!$F$38&gt;Escenarios!$F$37,Escenarios!$F$37,AF520-Escenarios!$F$38)),0)</f>
        <v>0</v>
      </c>
      <c r="AH520" s="76">
        <f>AG520*Entradas!$F$99</f>
        <v>0</v>
      </c>
      <c r="AI520" s="76">
        <f>IF(Entradas!$F$91&gt;0,D520*Entradas!$D$23/Escenarios!$F$16,0)</f>
        <v>0.12995461895179619</v>
      </c>
      <c r="AJ520" s="76">
        <f>IF(Entradas!$F$91&gt;0,Entradas!$D$24*Entradas!$D$22/Escenarios!$F$16,0)</f>
        <v>0.12</v>
      </c>
      <c r="AK520" s="76">
        <f t="shared" ref="AK520:AK583" si="114">AA520+AI520</f>
        <v>0.12995461895179619</v>
      </c>
      <c r="AL520" s="76">
        <f t="shared" ref="AL520:AL583" si="115">MAX(0,AB520-AG520)</f>
        <v>0</v>
      </c>
      <c r="AM520" s="76">
        <f t="shared" ref="AM520:AM583" si="116">AG520+AL520-AB520</f>
        <v>0</v>
      </c>
      <c r="AN520" s="76">
        <f>MAX(0,O520*Escenarios!$F$13/Escenarios!$F$16-AM520)</f>
        <v>0</v>
      </c>
      <c r="AO520" s="76">
        <f>AM520+AN520-O520*Escenarios!$F$13/Escenarios!$F$16</f>
        <v>0</v>
      </c>
      <c r="AP520" s="76">
        <f t="shared" ref="AP520:AP583" si="117">MAX(0,AE520-AO520)</f>
        <v>0.65078934897450502</v>
      </c>
      <c r="AQ520" s="76">
        <f t="shared" ref="AQ520:AQ583" si="118">AO520+AP520-AE520</f>
        <v>0</v>
      </c>
      <c r="AR520" s="76">
        <f t="shared" ref="AR520:AR583" si="119">AL520+AN520+AP520+AH520</f>
        <v>0.65078934897450502</v>
      </c>
      <c r="AS520" s="76">
        <f t="shared" ref="AS520:AS583" si="120">MAX(0,AG520-AH520-AI520-AJ520)</f>
        <v>0</v>
      </c>
      <c r="AT520" s="76">
        <f t="shared" ref="AT520:AT583" si="121">AC520+AS520</f>
        <v>0</v>
      </c>
      <c r="AU520" s="76">
        <f t="shared" ref="AU520:AU583" si="122">AU519+AS520-AV519</f>
        <v>54.466684871214504</v>
      </c>
      <c r="AV520" s="76">
        <f>MAX(0,(AU520-Constantes!$D$13)*(1-EXP(-Constantes!$D$24)))</f>
        <v>8.7380940652512909E-2</v>
      </c>
      <c r="AW520" s="170">
        <f>AW519+(Entradas!$F$112*AT520-AX519)/(800*Entradas!$D$25)</f>
        <v>0</v>
      </c>
      <c r="AX520" s="170">
        <f>8000*Entradas!$D$26*AW520/Constantes!$F$45</f>
        <v>0</v>
      </c>
      <c r="AY520" s="170">
        <f>IF(Escenarios!$F$17&gt;0,10*Escenarios!$F$16*AL520,0)</f>
        <v>0</v>
      </c>
      <c r="AZ520" s="170">
        <f>IF(Escenarios!$F$17&gt;0,10*Escenarios!$F$16*AX520,0)</f>
        <v>0</v>
      </c>
      <c r="BA520" s="170">
        <f>IF(Escenarios!$F$17&gt;0,0.001*Observaciones!$F519*Escenarios!$F$17,0)</f>
        <v>0</v>
      </c>
      <c r="BB520" s="170">
        <f>IF(Escenarios!$F$17&gt;0,Observaciones!$K519,0)</f>
        <v>0</v>
      </c>
      <c r="BC520" s="170">
        <f>IF(Escenarios!$F$17&gt;0,MIN(0.0005*ETo!$M519*Escenarios!$F$17*(BG519/Constantes!$F$40)^(2/3),BG519+AY520+AZ520+BA520+BB520),0)</f>
        <v>0</v>
      </c>
      <c r="BD520" s="170">
        <f>IF(Escenarios!$F$17&gt;0,MIN(Constantes!$F$39*(BG519/Constantes!$F$40)^(2/3),BG519+AY520+AZ520+BA520+BB520-BC520),0)</f>
        <v>0</v>
      </c>
      <c r="BE520" s="170">
        <f>IF(Escenarios!$F$17&gt;0,MIN(Entradas!$F$113,BG519+AY520+AZ520+BA520+BB520-BC520-BD520),0)</f>
        <v>0</v>
      </c>
      <c r="BF520" s="170">
        <f>IF(Escenarios!$F$17&gt;0,MAX(0,BG519+AY520+AZ520+BA520+BB520-BC520-BD520-BE520-Constantes!$F$40),0)</f>
        <v>0</v>
      </c>
      <c r="BG520" s="170">
        <f t="shared" ref="BG520:BG583" si="123">BG519+AY520+AZ520+BA520+BB520-BF520-BC520-BD520-BE520</f>
        <v>0</v>
      </c>
      <c r="BH520" s="170">
        <f>(Escenarios!$F$16*AK520+0.1*BC520)/(Escenarios!$F$19)</f>
        <v>0.12995461895179619</v>
      </c>
      <c r="BI520" s="170">
        <f>IF(Escenarios!$F$17&gt;0,BF520/10/Escenarios!$F$19,AL520)</f>
        <v>0</v>
      </c>
      <c r="BJ520" s="170">
        <f>(Escenarios!$F$16*AT520+0.1*BD520)/(Escenarios!$F$19)</f>
        <v>0</v>
      </c>
      <c r="BK520" s="76">
        <f>BK519+(0.1*BD520)/(Escenarios!$F$19)-BL519</f>
        <v>48.75</v>
      </c>
      <c r="BL520" s="76">
        <f>MAX(0,(BK520-Constantes!$D$13)*(1-EXP(-Constantes!$D$23)))</f>
        <v>0</v>
      </c>
      <c r="BM520" s="76">
        <f t="shared" ref="BM520:BM583" si="124">AP520+AV520+BL520</f>
        <v>0.73817028962701792</v>
      </c>
      <c r="BN520" s="76">
        <f t="shared" ref="BN520:BN583" si="125">AN520+AP520+AV520+BI520+BL520</f>
        <v>0.73817028962701792</v>
      </c>
      <c r="BO520" s="76">
        <f>0.0526*BI520*Observaciones!$F519^1.218</f>
        <v>0</v>
      </c>
      <c r="BP520" s="76">
        <f>BO520*Constantes!$F$51</f>
        <v>0</v>
      </c>
      <c r="BQ520" s="76">
        <f t="shared" ref="BQ520:BQ583" si="126">BP520*1000000/(BN520/1000*10000)</f>
        <v>0</v>
      </c>
      <c r="BR520" s="40"/>
    </row>
    <row r="521" spans="2:70">
      <c r="B521" s="39"/>
      <c r="C521" s="75">
        <v>515</v>
      </c>
      <c r="D521" s="146">
        <f>ETo!$I520*((1-Constantes!$F$19)*ETo!$K520+ETo!$L520)</f>
        <v>2.6531508387420959</v>
      </c>
      <c r="E521" s="76">
        <f>MIN(D521*Constantes!$F$17,0.8*(N520+Observaciones!$F520-F521-M521-Constantes!$D$14))</f>
        <v>0</v>
      </c>
      <c r="F521" s="76">
        <f>IF(Observaciones!$F520&gt;0.05*Constantes!$F$18,((Observaciones!$F520-0.05*Constantes!$F$18)^2)/(Observaciones!$F520+0.95*Constantes!$F$18),0)</f>
        <v>0</v>
      </c>
      <c r="G521" s="76">
        <f>IF(Escenarios!$F$11&gt;0,(F521*Escenarios!$F$16*10000)/1000,0)</f>
        <v>0</v>
      </c>
      <c r="H521" s="76">
        <f>IF(Escenarios!$F$11&gt;0,(Observaciones!$F520*Constantes!$F$29)/1000,0)</f>
        <v>0</v>
      </c>
      <c r="I521" s="76">
        <f>IF(Escenarios!$F$11&gt;0,(D521*Constantes!$F$29)/1000,0)</f>
        <v>0</v>
      </c>
      <c r="J521" s="76">
        <f>IF(Escenarios!$F$11&gt;0,MAX(0,G521+H521-I521),0)</f>
        <v>0</v>
      </c>
      <c r="K521" s="76">
        <f>IF(Escenarios!$F$11&gt;0,IF(J521&gt;Constantes!$F$30,1000*((J521-Constantes!$F$30)/(Escenarios!$F$16*10000)),0),F521)</f>
        <v>0</v>
      </c>
      <c r="L521" s="76">
        <f>IF(Escenarios!$F$11&gt;0,I521*1000/Escenarios!$F$16/10000+E521,E521)</f>
        <v>0</v>
      </c>
      <c r="M521" s="76">
        <f>MAX(0,N520+Observaciones!$F520-K521-Constantes!$D$13)</f>
        <v>0</v>
      </c>
      <c r="N521" s="76">
        <f>N520+Observaciones!$F520-K521-L521-M521-O520</f>
        <v>11.25</v>
      </c>
      <c r="O521" s="76">
        <f>MAX(0,(N521-Constantes!$D$14)*(1-EXP(-Constantes!$D$22)))</f>
        <v>0</v>
      </c>
      <c r="P521" s="170">
        <f>P520+(Entradas!$F$83*M521-Q520)/(800*Entradas!$D$25)</f>
        <v>0</v>
      </c>
      <c r="Q521" s="170">
        <f>8000*Entradas!$D$26*P521/Constantes!$F$45</f>
        <v>0</v>
      </c>
      <c r="R521" s="170">
        <f>IF(Escenarios!$F$14&gt;0,K521*Escenarios!$F$13/Escenarios!$F$14,0)</f>
        <v>0</v>
      </c>
      <c r="S521" s="170">
        <f>IF(Escenarios!$F$14&gt;0,Q521*Escenarios!$F$13/Escenarios!$F$14,0)</f>
        <v>0</v>
      </c>
      <c r="T521" s="170">
        <f>IF(Escenarios!$F$14&gt;0,Observaciones!$I520,0)</f>
        <v>0</v>
      </c>
      <c r="U521" s="170">
        <f>IF(Escenarios!$F$14&gt;0,MAX(0,Constantes!$F$36/((Z520+R521+S521+T521+Observaciones!$F520)^2)+Entradas!$F$77),0)</f>
        <v>0</v>
      </c>
      <c r="V521" s="146">
        <f>IF(ETo!D520&gt;0,ETo!I520*((1-Entradas!$F$81)*ETo!K520+ETo!L520),0)</f>
        <v>2.314058951601448</v>
      </c>
      <c r="W521" s="170">
        <f>IF(Escenarios!$F$14&gt;0,MIN(V521*1,0.8*(Z520+R521+S521+T521+Observaciones!$F520-U521-Constantes!$F$35)),0)</f>
        <v>0</v>
      </c>
      <c r="X521" s="170">
        <f>IF(Escenarios!$F$14&gt;0,Observaciones!$J520,0)</f>
        <v>0</v>
      </c>
      <c r="Y521" s="170">
        <f>IF(Escenarios!$F$14&gt;0,MAX(0,Z520+R521+S521+T521+Observaciones!$F520-U521-W521-X521-Constantes!$F$33),0)</f>
        <v>0</v>
      </c>
      <c r="Z521" s="170">
        <f>Z520+R521+S521+T521+Observaciones!$F520-U521-W521-Y521</f>
        <v>41.25</v>
      </c>
      <c r="AA521" s="170">
        <f>IF(Escenarios!$F$14&gt;0,(Escenarios!$F$13*L521+Escenarios!$F$14*W521)/(Escenarios!$F$16),L521)</f>
        <v>0</v>
      </c>
      <c r="AB521" s="170">
        <f>IF(Escenarios!$F$14&gt;0,(Escenarios!$F$14*Y521)/(Escenarios!$F$16),K521)</f>
        <v>0</v>
      </c>
      <c r="AC521" s="170">
        <f>IF(Escenarios!$F$14&gt;0,(Escenarios!$F$13*M521+Escenarios!$F$14*U521)/(Escenarios!$F$16),M521)</f>
        <v>0</v>
      </c>
      <c r="AD521" s="76">
        <f t="shared" si="113"/>
        <v>114.14748198989761</v>
      </c>
      <c r="AE521" s="76">
        <f>MAX(0,(AD521-Constantes!$D$13)*(1-EXP(-Constantes!$D$23)))</f>
        <v>0.64437696651311283</v>
      </c>
      <c r="AF521" s="76">
        <f>AB521+O521*Escenarios!$F$13/Escenarios!$F$16+AE521</f>
        <v>0.64437696651311283</v>
      </c>
      <c r="AG521" s="76">
        <f>IF(Entradas!$F$91&gt;0,IF(AF521-Escenarios!$F$38&lt;=0,0,IF(AF521-Escenarios!$F$38&gt;Escenarios!$F$37,Escenarios!$F$37,AF521-Escenarios!$F$38)),0)</f>
        <v>0</v>
      </c>
      <c r="AH521" s="76">
        <f>AG521*Entradas!$F$99</f>
        <v>0</v>
      </c>
      <c r="AI521" s="76">
        <f>IF(Entradas!$F$91&gt;0,D521*Entradas!$D$23/Escenarios!$F$16,0)</f>
        <v>0.12735124025962061</v>
      </c>
      <c r="AJ521" s="76">
        <f>IF(Entradas!$F$91&gt;0,Entradas!$D$24*Entradas!$D$22/Escenarios!$F$16,0)</f>
        <v>0.12</v>
      </c>
      <c r="AK521" s="76">
        <f t="shared" si="114"/>
        <v>0.12735124025962061</v>
      </c>
      <c r="AL521" s="76">
        <f t="shared" si="115"/>
        <v>0</v>
      </c>
      <c r="AM521" s="76">
        <f t="shared" si="116"/>
        <v>0</v>
      </c>
      <c r="AN521" s="76">
        <f>MAX(0,O521*Escenarios!$F$13/Escenarios!$F$16-AM521)</f>
        <v>0</v>
      </c>
      <c r="AO521" s="76">
        <f>AM521+AN521-O521*Escenarios!$F$13/Escenarios!$F$16</f>
        <v>0</v>
      </c>
      <c r="AP521" s="76">
        <f t="shared" si="117"/>
        <v>0.64437696651311283</v>
      </c>
      <c r="AQ521" s="76">
        <f t="shared" si="118"/>
        <v>0</v>
      </c>
      <c r="AR521" s="76">
        <f t="shared" si="119"/>
        <v>0.64437696651311283</v>
      </c>
      <c r="AS521" s="76">
        <f t="shared" si="120"/>
        <v>0</v>
      </c>
      <c r="AT521" s="76">
        <f t="shared" si="121"/>
        <v>0</v>
      </c>
      <c r="AU521" s="76">
        <f t="shared" si="122"/>
        <v>54.379303930561989</v>
      </c>
      <c r="AV521" s="76">
        <f>MAX(0,(AU521-Constantes!$D$13)*(1-EXP(-Constantes!$D$24)))</f>
        <v>8.6045301385817397E-2</v>
      </c>
      <c r="AW521" s="170">
        <f>AW520+(Entradas!$F$112*AT521-AX520)/(800*Entradas!$D$25)</f>
        <v>0</v>
      </c>
      <c r="AX521" s="170">
        <f>8000*Entradas!$D$26*AW521/Constantes!$F$45</f>
        <v>0</v>
      </c>
      <c r="AY521" s="170">
        <f>IF(Escenarios!$F$17&gt;0,10*Escenarios!$F$16*AL521,0)</f>
        <v>0</v>
      </c>
      <c r="AZ521" s="170">
        <f>IF(Escenarios!$F$17&gt;0,10*Escenarios!$F$16*AX521,0)</f>
        <v>0</v>
      </c>
      <c r="BA521" s="170">
        <f>IF(Escenarios!$F$17&gt;0,0.001*Observaciones!$F520*Escenarios!$F$17,0)</f>
        <v>0</v>
      </c>
      <c r="BB521" s="170">
        <f>IF(Escenarios!$F$17&gt;0,Observaciones!$K520,0)</f>
        <v>0</v>
      </c>
      <c r="BC521" s="170">
        <f>IF(Escenarios!$F$17&gt;0,MIN(0.0005*ETo!$M520*Escenarios!$F$17*(BG520/Constantes!$F$40)^(2/3),BG520+AY521+AZ521+BA521+BB521),0)</f>
        <v>0</v>
      </c>
      <c r="BD521" s="170">
        <f>IF(Escenarios!$F$17&gt;0,MIN(Constantes!$F$39*(BG520/Constantes!$F$40)^(2/3),BG520+AY521+AZ521+BA521+BB521-BC521),0)</f>
        <v>0</v>
      </c>
      <c r="BE521" s="170">
        <f>IF(Escenarios!$F$17&gt;0,MIN(Entradas!$F$113,BG520+AY521+AZ521+BA521+BB521-BC521-BD521),0)</f>
        <v>0</v>
      </c>
      <c r="BF521" s="170">
        <f>IF(Escenarios!$F$17&gt;0,MAX(0,BG520+AY521+AZ521+BA521+BB521-BC521-BD521-BE521-Constantes!$F$40),0)</f>
        <v>0</v>
      </c>
      <c r="BG521" s="170">
        <f t="shared" si="123"/>
        <v>0</v>
      </c>
      <c r="BH521" s="170">
        <f>(Escenarios!$F$16*AK521+0.1*BC521)/(Escenarios!$F$19)</f>
        <v>0.12735124025962061</v>
      </c>
      <c r="BI521" s="170">
        <f>IF(Escenarios!$F$17&gt;0,BF521/10/Escenarios!$F$19,AL521)</f>
        <v>0</v>
      </c>
      <c r="BJ521" s="170">
        <f>(Escenarios!$F$16*AT521+0.1*BD521)/(Escenarios!$F$19)</f>
        <v>0</v>
      </c>
      <c r="BK521" s="76">
        <f>BK520+(0.1*BD521)/(Escenarios!$F$19)-BL520</f>
        <v>48.75</v>
      </c>
      <c r="BL521" s="76">
        <f>MAX(0,(BK521-Constantes!$D$13)*(1-EXP(-Constantes!$D$23)))</f>
        <v>0</v>
      </c>
      <c r="BM521" s="76">
        <f t="shared" si="124"/>
        <v>0.73042226789893028</v>
      </c>
      <c r="BN521" s="76">
        <f t="shared" si="125"/>
        <v>0.73042226789893028</v>
      </c>
      <c r="BO521" s="76">
        <f>0.0526*BI521*Observaciones!$F520^1.218</f>
        <v>0</v>
      </c>
      <c r="BP521" s="76">
        <f>BO521*Constantes!$F$51</f>
        <v>0</v>
      </c>
      <c r="BQ521" s="76">
        <f t="shared" si="126"/>
        <v>0</v>
      </c>
      <c r="BR521" s="40"/>
    </row>
    <row r="522" spans="2:70">
      <c r="B522" s="39"/>
      <c r="C522" s="75">
        <v>516</v>
      </c>
      <c r="D522" s="146">
        <f>ETo!$I521*((1-Constantes!$F$19)*ETo!$K521+ETo!$L521)</f>
        <v>2.6680586028673585</v>
      </c>
      <c r="E522" s="76">
        <f>MIN(D522*Constantes!$F$17,0.8*(N521+Observaciones!$F521-F522-M522-Constantes!$D$14))</f>
        <v>0</v>
      </c>
      <c r="F522" s="76">
        <f>IF(Observaciones!$F521&gt;0.05*Constantes!$F$18,((Observaciones!$F521-0.05*Constantes!$F$18)^2)/(Observaciones!$F521+0.95*Constantes!$F$18),0)</f>
        <v>0</v>
      </c>
      <c r="G522" s="76">
        <f>IF(Escenarios!$F$11&gt;0,(F522*Escenarios!$F$16*10000)/1000,0)</f>
        <v>0</v>
      </c>
      <c r="H522" s="76">
        <f>IF(Escenarios!$F$11&gt;0,(Observaciones!$F521*Constantes!$F$29)/1000,0)</f>
        <v>0</v>
      </c>
      <c r="I522" s="76">
        <f>IF(Escenarios!$F$11&gt;0,(D522*Constantes!$F$29)/1000,0)</f>
        <v>0</v>
      </c>
      <c r="J522" s="76">
        <f>IF(Escenarios!$F$11&gt;0,MAX(0,G522+H522-I522),0)</f>
        <v>0</v>
      </c>
      <c r="K522" s="76">
        <f>IF(Escenarios!$F$11&gt;0,IF(J522&gt;Constantes!$F$30,1000*((J522-Constantes!$F$30)/(Escenarios!$F$16*10000)),0),F522)</f>
        <v>0</v>
      </c>
      <c r="L522" s="76">
        <f>IF(Escenarios!$F$11&gt;0,I522*1000/Escenarios!$F$16/10000+E522,E522)</f>
        <v>0</v>
      </c>
      <c r="M522" s="76">
        <f>MAX(0,N521+Observaciones!$F521-K522-Constantes!$D$13)</f>
        <v>0</v>
      </c>
      <c r="N522" s="76">
        <f>N521+Observaciones!$F521-K522-L522-M522-O521</f>
        <v>11.25</v>
      </c>
      <c r="O522" s="76">
        <f>MAX(0,(N522-Constantes!$D$14)*(1-EXP(-Constantes!$D$22)))</f>
        <v>0</v>
      </c>
      <c r="P522" s="170">
        <f>P521+(Entradas!$F$83*M522-Q521)/(800*Entradas!$D$25)</f>
        <v>0</v>
      </c>
      <c r="Q522" s="170">
        <f>8000*Entradas!$D$26*P522/Constantes!$F$45</f>
        <v>0</v>
      </c>
      <c r="R522" s="170">
        <f>IF(Escenarios!$F$14&gt;0,K522*Escenarios!$F$13/Escenarios!$F$14,0)</f>
        <v>0</v>
      </c>
      <c r="S522" s="170">
        <f>IF(Escenarios!$F$14&gt;0,Q522*Escenarios!$F$13/Escenarios!$F$14,0)</f>
        <v>0</v>
      </c>
      <c r="T522" s="170">
        <f>IF(Escenarios!$F$14&gt;0,Observaciones!$I521,0)</f>
        <v>0</v>
      </c>
      <c r="U522" s="170">
        <f>IF(Escenarios!$F$14&gt;0,MAX(0,Constantes!$F$36/((Z521+R522+S522+T522+Observaciones!$F521)^2)+Entradas!$F$77),0)</f>
        <v>0</v>
      </c>
      <c r="V522" s="146">
        <f>IF(ETo!D521&gt;0,ETo!I521*((1-Entradas!$F$81)*ETo!K521+ETo!L521),0)</f>
        <v>2.3268198741718984</v>
      </c>
      <c r="W522" s="170">
        <f>IF(Escenarios!$F$14&gt;0,MIN(V522*1,0.8*(Z521+R522+S522+T522+Observaciones!$F521-U522-Constantes!$F$35)),0)</f>
        <v>0</v>
      </c>
      <c r="X522" s="170">
        <f>IF(Escenarios!$F$14&gt;0,Observaciones!$J521,0)</f>
        <v>0</v>
      </c>
      <c r="Y522" s="170">
        <f>IF(Escenarios!$F$14&gt;0,MAX(0,Z521+R522+S522+T522+Observaciones!$F521-U522-W522-X522-Constantes!$F$33),0)</f>
        <v>0</v>
      </c>
      <c r="Z522" s="170">
        <f>Z521+R522+S522+T522+Observaciones!$F521-U522-W522-Y522</f>
        <v>41.25</v>
      </c>
      <c r="AA522" s="170">
        <f>IF(Escenarios!$F$14&gt;0,(Escenarios!$F$13*L522+Escenarios!$F$14*W522)/(Escenarios!$F$16),L522)</f>
        <v>0</v>
      </c>
      <c r="AB522" s="170">
        <f>IF(Escenarios!$F$14&gt;0,(Escenarios!$F$14*Y522)/(Escenarios!$F$16),K522)</f>
        <v>0</v>
      </c>
      <c r="AC522" s="170">
        <f>IF(Escenarios!$F$14&gt;0,(Escenarios!$F$13*M522+Escenarios!$F$14*U522)/(Escenarios!$F$16),M522)</f>
        <v>0</v>
      </c>
      <c r="AD522" s="76">
        <f t="shared" si="113"/>
        <v>113.50310502338451</v>
      </c>
      <c r="AE522" s="76">
        <f>MAX(0,(AD522-Constantes!$D$13)*(1-EXP(-Constantes!$D$23)))</f>
        <v>0.63802776678342321</v>
      </c>
      <c r="AF522" s="76">
        <f>AB522+O522*Escenarios!$F$13/Escenarios!$F$16+AE522</f>
        <v>0.63802776678342321</v>
      </c>
      <c r="AG522" s="76">
        <f>IF(Entradas!$F$91&gt;0,IF(AF522-Escenarios!$F$38&lt;=0,0,IF(AF522-Escenarios!$F$38&gt;Escenarios!$F$37,Escenarios!$F$37,AF522-Escenarios!$F$38)),0)</f>
        <v>0</v>
      </c>
      <c r="AH522" s="76">
        <f>AG522*Entradas!$F$99</f>
        <v>0</v>
      </c>
      <c r="AI522" s="76">
        <f>IF(Entradas!$F$91&gt;0,D522*Entradas!$D$23/Escenarios!$F$16,0)</f>
        <v>0.12806681293763322</v>
      </c>
      <c r="AJ522" s="76">
        <f>IF(Entradas!$F$91&gt;0,Entradas!$D$24*Entradas!$D$22/Escenarios!$F$16,0)</f>
        <v>0.12</v>
      </c>
      <c r="AK522" s="76">
        <f t="shared" si="114"/>
        <v>0.12806681293763322</v>
      </c>
      <c r="AL522" s="76">
        <f t="shared" si="115"/>
        <v>0</v>
      </c>
      <c r="AM522" s="76">
        <f t="shared" si="116"/>
        <v>0</v>
      </c>
      <c r="AN522" s="76">
        <f>MAX(0,O522*Escenarios!$F$13/Escenarios!$F$16-AM522)</f>
        <v>0</v>
      </c>
      <c r="AO522" s="76">
        <f>AM522+AN522-O522*Escenarios!$F$13/Escenarios!$F$16</f>
        <v>0</v>
      </c>
      <c r="AP522" s="76">
        <f t="shared" si="117"/>
        <v>0.63802776678342321</v>
      </c>
      <c r="AQ522" s="76">
        <f t="shared" si="118"/>
        <v>0</v>
      </c>
      <c r="AR522" s="76">
        <f t="shared" si="119"/>
        <v>0.63802776678342321</v>
      </c>
      <c r="AS522" s="76">
        <f t="shared" si="120"/>
        <v>0</v>
      </c>
      <c r="AT522" s="76">
        <f t="shared" si="121"/>
        <v>0</v>
      </c>
      <c r="AU522" s="76">
        <f t="shared" si="122"/>
        <v>54.293258629176172</v>
      </c>
      <c r="AV522" s="76">
        <f>MAX(0,(AU522-Constantes!$D$13)*(1-EXP(-Constantes!$D$24)))</f>
        <v>8.4730077695303871E-2</v>
      </c>
      <c r="AW522" s="170">
        <f>AW521+(Entradas!$F$112*AT522-AX521)/(800*Entradas!$D$25)</f>
        <v>0</v>
      </c>
      <c r="AX522" s="170">
        <f>8000*Entradas!$D$26*AW522/Constantes!$F$45</f>
        <v>0</v>
      </c>
      <c r="AY522" s="170">
        <f>IF(Escenarios!$F$17&gt;0,10*Escenarios!$F$16*AL522,0)</f>
        <v>0</v>
      </c>
      <c r="AZ522" s="170">
        <f>IF(Escenarios!$F$17&gt;0,10*Escenarios!$F$16*AX522,0)</f>
        <v>0</v>
      </c>
      <c r="BA522" s="170">
        <f>IF(Escenarios!$F$17&gt;0,0.001*Observaciones!$F521*Escenarios!$F$17,0)</f>
        <v>0</v>
      </c>
      <c r="BB522" s="170">
        <f>IF(Escenarios!$F$17&gt;0,Observaciones!$K521,0)</f>
        <v>0</v>
      </c>
      <c r="BC522" s="170">
        <f>IF(Escenarios!$F$17&gt;0,MIN(0.0005*ETo!$M521*Escenarios!$F$17*(BG521/Constantes!$F$40)^(2/3),BG521+AY522+AZ522+BA522+BB522),0)</f>
        <v>0</v>
      </c>
      <c r="BD522" s="170">
        <f>IF(Escenarios!$F$17&gt;0,MIN(Constantes!$F$39*(BG521/Constantes!$F$40)^(2/3),BG521+AY522+AZ522+BA522+BB522-BC522),0)</f>
        <v>0</v>
      </c>
      <c r="BE522" s="170">
        <f>IF(Escenarios!$F$17&gt;0,MIN(Entradas!$F$113,BG521+AY522+AZ522+BA522+BB522-BC522-BD522),0)</f>
        <v>0</v>
      </c>
      <c r="BF522" s="170">
        <f>IF(Escenarios!$F$17&gt;0,MAX(0,BG521+AY522+AZ522+BA522+BB522-BC522-BD522-BE522-Constantes!$F$40),0)</f>
        <v>0</v>
      </c>
      <c r="BG522" s="170">
        <f t="shared" si="123"/>
        <v>0</v>
      </c>
      <c r="BH522" s="170">
        <f>(Escenarios!$F$16*AK522+0.1*BC522)/(Escenarios!$F$19)</f>
        <v>0.12806681293763322</v>
      </c>
      <c r="BI522" s="170">
        <f>IF(Escenarios!$F$17&gt;0,BF522/10/Escenarios!$F$19,AL522)</f>
        <v>0</v>
      </c>
      <c r="BJ522" s="170">
        <f>(Escenarios!$F$16*AT522+0.1*BD522)/(Escenarios!$F$19)</f>
        <v>0</v>
      </c>
      <c r="BK522" s="76">
        <f>BK521+(0.1*BD522)/(Escenarios!$F$19)-BL521</f>
        <v>48.75</v>
      </c>
      <c r="BL522" s="76">
        <f>MAX(0,(BK522-Constantes!$D$13)*(1-EXP(-Constantes!$D$23)))</f>
        <v>0</v>
      </c>
      <c r="BM522" s="76">
        <f t="shared" si="124"/>
        <v>0.72275784447872704</v>
      </c>
      <c r="BN522" s="76">
        <f t="shared" si="125"/>
        <v>0.72275784447872704</v>
      </c>
      <c r="BO522" s="76">
        <f>0.0526*BI522*Observaciones!$F521^1.218</f>
        <v>0</v>
      </c>
      <c r="BP522" s="76">
        <f>BO522*Constantes!$F$51</f>
        <v>0</v>
      </c>
      <c r="BQ522" s="76">
        <f t="shared" si="126"/>
        <v>0</v>
      </c>
      <c r="BR522" s="40"/>
    </row>
    <row r="523" spans="2:70">
      <c r="B523" s="39"/>
      <c r="C523" s="75">
        <v>517</v>
      </c>
      <c r="D523" s="146">
        <f>ETo!$I522*((1-Constantes!$F$19)*ETo!$K522+ETo!$L522)</f>
        <v>2.6677051571663388</v>
      </c>
      <c r="E523" s="76">
        <f>MIN(D523*Constantes!$F$17,0.8*(N522+Observaciones!$F522-F523-M523-Constantes!$D$14))</f>
        <v>0</v>
      </c>
      <c r="F523" s="76">
        <f>IF(Observaciones!$F522&gt;0.05*Constantes!$F$18,((Observaciones!$F522-0.05*Constantes!$F$18)^2)/(Observaciones!$F522+0.95*Constantes!$F$18),0)</f>
        <v>0</v>
      </c>
      <c r="G523" s="76">
        <f>IF(Escenarios!$F$11&gt;0,(F523*Escenarios!$F$16*10000)/1000,0)</f>
        <v>0</v>
      </c>
      <c r="H523" s="76">
        <f>IF(Escenarios!$F$11&gt;0,(Observaciones!$F522*Constantes!$F$29)/1000,0)</f>
        <v>0</v>
      </c>
      <c r="I523" s="76">
        <f>IF(Escenarios!$F$11&gt;0,(D523*Constantes!$F$29)/1000,0)</f>
        <v>0</v>
      </c>
      <c r="J523" s="76">
        <f>IF(Escenarios!$F$11&gt;0,MAX(0,G523+H523-I523),0)</f>
        <v>0</v>
      </c>
      <c r="K523" s="76">
        <f>IF(Escenarios!$F$11&gt;0,IF(J523&gt;Constantes!$F$30,1000*((J523-Constantes!$F$30)/(Escenarios!$F$16*10000)),0),F523)</f>
        <v>0</v>
      </c>
      <c r="L523" s="76">
        <f>IF(Escenarios!$F$11&gt;0,I523*1000/Escenarios!$F$16/10000+E523,E523)</f>
        <v>0</v>
      </c>
      <c r="M523" s="76">
        <f>MAX(0,N522+Observaciones!$F522-K523-Constantes!$D$13)</f>
        <v>0</v>
      </c>
      <c r="N523" s="76">
        <f>N522+Observaciones!$F522-K523-L523-M523-O522</f>
        <v>11.25</v>
      </c>
      <c r="O523" s="76">
        <f>MAX(0,(N523-Constantes!$D$14)*(1-EXP(-Constantes!$D$22)))</f>
        <v>0</v>
      </c>
      <c r="P523" s="170">
        <f>P522+(Entradas!$F$83*M523-Q522)/(800*Entradas!$D$25)</f>
        <v>0</v>
      </c>
      <c r="Q523" s="170">
        <f>8000*Entradas!$D$26*P523/Constantes!$F$45</f>
        <v>0</v>
      </c>
      <c r="R523" s="170">
        <f>IF(Escenarios!$F$14&gt;0,K523*Escenarios!$F$13/Escenarios!$F$14,0)</f>
        <v>0</v>
      </c>
      <c r="S523" s="170">
        <f>IF(Escenarios!$F$14&gt;0,Q523*Escenarios!$F$13/Escenarios!$F$14,0)</f>
        <v>0</v>
      </c>
      <c r="T523" s="170">
        <f>IF(Escenarios!$F$14&gt;0,Observaciones!$I522,0)</f>
        <v>0</v>
      </c>
      <c r="U523" s="170">
        <f>IF(Escenarios!$F$14&gt;0,MAX(0,Constantes!$F$36/((Z522+R523+S523+T523+Observaciones!$F522)^2)+Entradas!$F$77),0)</f>
        <v>0</v>
      </c>
      <c r="V523" s="146">
        <f>IF(ETo!D522&gt;0,ETo!I522*((1-Entradas!$F$81)*ETo!K522+ETo!L522),0)</f>
        <v>2.3261616799045166</v>
      </c>
      <c r="W523" s="170">
        <f>IF(Escenarios!$F$14&gt;0,MIN(V523*1,0.8*(Z522+R523+S523+T523+Observaciones!$F522-U523-Constantes!$F$35)),0)</f>
        <v>0</v>
      </c>
      <c r="X523" s="170">
        <f>IF(Escenarios!$F$14&gt;0,Observaciones!$J522,0)</f>
        <v>0</v>
      </c>
      <c r="Y523" s="170">
        <f>IF(Escenarios!$F$14&gt;0,MAX(0,Z522+R523+S523+T523+Observaciones!$F522-U523-W523-X523-Constantes!$F$33),0)</f>
        <v>0</v>
      </c>
      <c r="Z523" s="170">
        <f>Z522+R523+S523+T523+Observaciones!$F522-U523-W523-Y523</f>
        <v>41.25</v>
      </c>
      <c r="AA523" s="170">
        <f>IF(Escenarios!$F$14&gt;0,(Escenarios!$F$13*L523+Escenarios!$F$14*W523)/(Escenarios!$F$16),L523)</f>
        <v>0</v>
      </c>
      <c r="AB523" s="170">
        <f>IF(Escenarios!$F$14&gt;0,(Escenarios!$F$14*Y523)/(Escenarios!$F$16),K523)</f>
        <v>0</v>
      </c>
      <c r="AC523" s="170">
        <f>IF(Escenarios!$F$14&gt;0,(Escenarios!$F$13*M523+Escenarios!$F$14*U523)/(Escenarios!$F$16),M523)</f>
        <v>0</v>
      </c>
      <c r="AD523" s="76">
        <f t="shared" si="113"/>
        <v>112.86507725660108</v>
      </c>
      <c r="AE523" s="76">
        <f>MAX(0,(AD523-Constantes!$D$13)*(1-EXP(-Constantes!$D$23)))</f>
        <v>0.63174112723093179</v>
      </c>
      <c r="AF523" s="76">
        <f>AB523+O523*Escenarios!$F$13/Escenarios!$F$16+AE523</f>
        <v>0.63174112723093179</v>
      </c>
      <c r="AG523" s="76">
        <f>IF(Entradas!$F$91&gt;0,IF(AF523-Escenarios!$F$38&lt;=0,0,IF(AF523-Escenarios!$F$38&gt;Escenarios!$F$37,Escenarios!$F$37,AF523-Escenarios!$F$38)),0)</f>
        <v>0</v>
      </c>
      <c r="AH523" s="76">
        <f>AG523*Entradas!$F$99</f>
        <v>0</v>
      </c>
      <c r="AI523" s="76">
        <f>IF(Entradas!$F$91&gt;0,D523*Entradas!$D$23/Escenarios!$F$16,0)</f>
        <v>0.12804984754398427</v>
      </c>
      <c r="AJ523" s="76">
        <f>IF(Entradas!$F$91&gt;0,Entradas!$D$24*Entradas!$D$22/Escenarios!$F$16,0)</f>
        <v>0.12</v>
      </c>
      <c r="AK523" s="76">
        <f t="shared" si="114"/>
        <v>0.12804984754398427</v>
      </c>
      <c r="AL523" s="76">
        <f t="shared" si="115"/>
        <v>0</v>
      </c>
      <c r="AM523" s="76">
        <f t="shared" si="116"/>
        <v>0</v>
      </c>
      <c r="AN523" s="76">
        <f>MAX(0,O523*Escenarios!$F$13/Escenarios!$F$16-AM523)</f>
        <v>0</v>
      </c>
      <c r="AO523" s="76">
        <f>AM523+AN523-O523*Escenarios!$F$13/Escenarios!$F$16</f>
        <v>0</v>
      </c>
      <c r="AP523" s="76">
        <f t="shared" si="117"/>
        <v>0.63174112723093179</v>
      </c>
      <c r="AQ523" s="76">
        <f t="shared" si="118"/>
        <v>0</v>
      </c>
      <c r="AR523" s="76">
        <f t="shared" si="119"/>
        <v>0.63174112723093179</v>
      </c>
      <c r="AS523" s="76">
        <f t="shared" si="120"/>
        <v>0</v>
      </c>
      <c r="AT523" s="76">
        <f t="shared" si="121"/>
        <v>0</v>
      </c>
      <c r="AU523" s="76">
        <f t="shared" si="122"/>
        <v>54.208528551480867</v>
      </c>
      <c r="AV523" s="76">
        <f>MAX(0,(AU523-Constantes!$D$13)*(1-EXP(-Constantes!$D$24)))</f>
        <v>8.3434957523846304E-2</v>
      </c>
      <c r="AW523" s="170">
        <f>AW522+(Entradas!$F$112*AT523-AX522)/(800*Entradas!$D$25)</f>
        <v>0</v>
      </c>
      <c r="AX523" s="170">
        <f>8000*Entradas!$D$26*AW523/Constantes!$F$45</f>
        <v>0</v>
      </c>
      <c r="AY523" s="170">
        <f>IF(Escenarios!$F$17&gt;0,10*Escenarios!$F$16*AL523,0)</f>
        <v>0</v>
      </c>
      <c r="AZ523" s="170">
        <f>IF(Escenarios!$F$17&gt;0,10*Escenarios!$F$16*AX523,0)</f>
        <v>0</v>
      </c>
      <c r="BA523" s="170">
        <f>IF(Escenarios!$F$17&gt;0,0.001*Observaciones!$F522*Escenarios!$F$17,0)</f>
        <v>0</v>
      </c>
      <c r="BB523" s="170">
        <f>IF(Escenarios!$F$17&gt;0,Observaciones!$K522,0)</f>
        <v>0</v>
      </c>
      <c r="BC523" s="170">
        <f>IF(Escenarios!$F$17&gt;0,MIN(0.0005*ETo!$M522*Escenarios!$F$17*(BG522/Constantes!$F$40)^(2/3),BG522+AY523+AZ523+BA523+BB523),0)</f>
        <v>0</v>
      </c>
      <c r="BD523" s="170">
        <f>IF(Escenarios!$F$17&gt;0,MIN(Constantes!$F$39*(BG522/Constantes!$F$40)^(2/3),BG522+AY523+AZ523+BA523+BB523-BC523),0)</f>
        <v>0</v>
      </c>
      <c r="BE523" s="170">
        <f>IF(Escenarios!$F$17&gt;0,MIN(Entradas!$F$113,BG522+AY523+AZ523+BA523+BB523-BC523-BD523),0)</f>
        <v>0</v>
      </c>
      <c r="BF523" s="170">
        <f>IF(Escenarios!$F$17&gt;0,MAX(0,BG522+AY523+AZ523+BA523+BB523-BC523-BD523-BE523-Constantes!$F$40),0)</f>
        <v>0</v>
      </c>
      <c r="BG523" s="170">
        <f t="shared" si="123"/>
        <v>0</v>
      </c>
      <c r="BH523" s="170">
        <f>(Escenarios!$F$16*AK523+0.1*BC523)/(Escenarios!$F$19)</f>
        <v>0.12804984754398427</v>
      </c>
      <c r="BI523" s="170">
        <f>IF(Escenarios!$F$17&gt;0,BF523/10/Escenarios!$F$19,AL523)</f>
        <v>0</v>
      </c>
      <c r="BJ523" s="170">
        <f>(Escenarios!$F$16*AT523+0.1*BD523)/(Escenarios!$F$19)</f>
        <v>0</v>
      </c>
      <c r="BK523" s="76">
        <f>BK522+(0.1*BD523)/(Escenarios!$F$19)-BL522</f>
        <v>48.75</v>
      </c>
      <c r="BL523" s="76">
        <f>MAX(0,(BK523-Constantes!$D$13)*(1-EXP(-Constantes!$D$23)))</f>
        <v>0</v>
      </c>
      <c r="BM523" s="76">
        <f t="shared" si="124"/>
        <v>0.71517608475477812</v>
      </c>
      <c r="BN523" s="76">
        <f t="shared" si="125"/>
        <v>0.71517608475477812</v>
      </c>
      <c r="BO523" s="76">
        <f>0.0526*BI523*Observaciones!$F522^1.218</f>
        <v>0</v>
      </c>
      <c r="BP523" s="76">
        <f>BO523*Constantes!$F$51</f>
        <v>0</v>
      </c>
      <c r="BQ523" s="76">
        <f t="shared" si="126"/>
        <v>0</v>
      </c>
      <c r="BR523" s="40"/>
    </row>
    <row r="524" spans="2:70">
      <c r="B524" s="39"/>
      <c r="C524" s="75">
        <v>518</v>
      </c>
      <c r="D524" s="146">
        <f>ETo!$I523*((1-Constantes!$F$19)*ETo!$K523+ETo!$L523)</f>
        <v>2.633663864793613</v>
      </c>
      <c r="E524" s="76">
        <f>MIN(D524*Constantes!$F$17,0.8*(N523+Observaciones!$F523-F524-M524-Constantes!$D$14))</f>
        <v>1.5020094676818778</v>
      </c>
      <c r="F524" s="76">
        <f>IF(Observaciones!$F523&gt;0.05*Constantes!$F$18,((Observaciones!$F523-0.05*Constantes!$F$18)^2)/(Observaciones!$F523+0.95*Constantes!$F$18),0)</f>
        <v>1.7666326652408884E-3</v>
      </c>
      <c r="G524" s="76">
        <f>IF(Escenarios!$F$11&gt;0,(F524*Escenarios!$F$16*10000)/1000,0)</f>
        <v>0</v>
      </c>
      <c r="H524" s="76">
        <f>IF(Escenarios!$F$11&gt;0,(Observaciones!$F523*Constantes!$F$29)/1000,0)</f>
        <v>0</v>
      </c>
      <c r="I524" s="76">
        <f>IF(Escenarios!$F$11&gt;0,(D524*Constantes!$F$29)/1000,0)</f>
        <v>0</v>
      </c>
      <c r="J524" s="76">
        <f>IF(Escenarios!$F$11&gt;0,MAX(0,G524+H524-I524),0)</f>
        <v>0</v>
      </c>
      <c r="K524" s="76">
        <f>IF(Escenarios!$F$11&gt;0,IF(J524&gt;Constantes!$F$30,1000*((J524-Constantes!$F$30)/(Escenarios!$F$16*10000)),0),F524)</f>
        <v>1.7666326652408884E-3</v>
      </c>
      <c r="L524" s="76">
        <f>IF(Escenarios!$F$11&gt;0,I524*1000/Escenarios!$F$16/10000+E524,E524)</f>
        <v>1.5020094676818778</v>
      </c>
      <c r="M524" s="76">
        <f>MAX(0,N523+Observaciones!$F523-K524-Constantes!$D$13)</f>
        <v>0</v>
      </c>
      <c r="N524" s="76">
        <f>N523+Observaciones!$F523-K524-L524-M524-O523</f>
        <v>21.346223899652884</v>
      </c>
      <c r="O524" s="76">
        <f>MAX(0,(N524-Constantes!$D$14)*(1-EXP(-Constantes!$D$22)))</f>
        <v>0.34391445001888848</v>
      </c>
      <c r="P524" s="170">
        <f>P523+(Entradas!$F$83*M524-Q523)/(800*Entradas!$D$25)</f>
        <v>0</v>
      </c>
      <c r="Q524" s="170">
        <f>8000*Entradas!$D$26*P524/Constantes!$F$45</f>
        <v>0</v>
      </c>
      <c r="R524" s="170">
        <f>IF(Escenarios!$F$14&gt;0,K524*Escenarios!$F$13/Escenarios!$F$14,0)</f>
        <v>1.2955306211766516E-2</v>
      </c>
      <c r="S524" s="170">
        <f>IF(Escenarios!$F$14&gt;0,Q524*Escenarios!$F$13/Escenarios!$F$14,0)</f>
        <v>0</v>
      </c>
      <c r="T524" s="170">
        <f>IF(Escenarios!$F$14&gt;0,Observaciones!$I523,0)</f>
        <v>0</v>
      </c>
      <c r="U524" s="170">
        <f>IF(Escenarios!$F$14&gt;0,MAX(0,Constantes!$F$36/((Z523+R524+S524+T524+Observaciones!$F523)^2)+Entradas!$F$77),0)</f>
        <v>0</v>
      </c>
      <c r="V524" s="146">
        <f>IF(ETo!D523&gt;0,ETo!I523*((1-Entradas!$F$81)*ETo!K523+ETo!L523),0)</f>
        <v>2.2958390540664158</v>
      </c>
      <c r="W524" s="170">
        <f>IF(Escenarios!$F$14&gt;0,MIN(V524*1,0.8*(Z523+R524+S524+T524+Observaciones!$F523-U524-Constantes!$F$35)),0)</f>
        <v>2.2958390540664158</v>
      </c>
      <c r="X524" s="170">
        <f>IF(Escenarios!$F$14&gt;0,Observaciones!$J523,0)</f>
        <v>0</v>
      </c>
      <c r="Y524" s="170">
        <f>IF(Escenarios!$F$14&gt;0,MAX(0,Z523+R524+S524+T524+Observaciones!$F523-U524-W524-X524-Constantes!$F$33),0)</f>
        <v>0</v>
      </c>
      <c r="Z524" s="170">
        <f>Z523+R524+S524+T524+Observaciones!$F523-U524-W524-Y524</f>
        <v>50.567116252145354</v>
      </c>
      <c r="AA524" s="170">
        <f>IF(Escenarios!$F$14&gt;0,(Escenarios!$F$13*L524+Escenarios!$F$14*W524)/(Escenarios!$F$16),L524)</f>
        <v>1.5972690180480225</v>
      </c>
      <c r="AB524" s="170">
        <f>IF(Escenarios!$F$14&gt;0,(Escenarios!$F$14*Y524)/(Escenarios!$F$16),K524)</f>
        <v>0</v>
      </c>
      <c r="AC524" s="170">
        <f>IF(Escenarios!$F$14&gt;0,(Escenarios!$F$13*M524+Escenarios!$F$14*U524)/(Escenarios!$F$16),M524)</f>
        <v>0</v>
      </c>
      <c r="AD524" s="76">
        <f t="shared" si="113"/>
        <v>112.23333612937014</v>
      </c>
      <c r="AE524" s="76">
        <f>MAX(0,(AD524-Constantes!$D$13)*(1-EXP(-Constantes!$D$23)))</f>
        <v>0.62551643143531177</v>
      </c>
      <c r="AF524" s="76">
        <f>AB524+O524*Escenarios!$F$13/Escenarios!$F$16+AE524</f>
        <v>0.92816114745193368</v>
      </c>
      <c r="AG524" s="76">
        <f>IF(Entradas!$F$91&gt;0,IF(AF524-Escenarios!$F$38&lt;=0,0,IF(AF524-Escenarios!$F$38&gt;Escenarios!$F$37,Escenarios!$F$37,AF524-Escenarios!$F$38)),0)</f>
        <v>0</v>
      </c>
      <c r="AH524" s="76">
        <f>AG524*Entradas!$F$99</f>
        <v>0</v>
      </c>
      <c r="AI524" s="76">
        <f>IF(Entradas!$F$91&gt;0,D524*Entradas!$D$23/Escenarios!$F$16,0)</f>
        <v>0.12641586551009343</v>
      </c>
      <c r="AJ524" s="76">
        <f>IF(Entradas!$F$91&gt;0,Entradas!$D$24*Entradas!$D$22/Escenarios!$F$16,0)</f>
        <v>0.12</v>
      </c>
      <c r="AK524" s="76">
        <f t="shared" si="114"/>
        <v>1.723684883558116</v>
      </c>
      <c r="AL524" s="76">
        <f t="shared" si="115"/>
        <v>0</v>
      </c>
      <c r="AM524" s="76">
        <f t="shared" si="116"/>
        <v>0</v>
      </c>
      <c r="AN524" s="76">
        <f>MAX(0,O524*Escenarios!$F$13/Escenarios!$F$16-AM524)</f>
        <v>0.30264471601662191</v>
      </c>
      <c r="AO524" s="76">
        <f>AM524+AN524-O524*Escenarios!$F$13/Escenarios!$F$16</f>
        <v>0</v>
      </c>
      <c r="AP524" s="76">
        <f t="shared" si="117"/>
        <v>0.62551643143531177</v>
      </c>
      <c r="AQ524" s="76">
        <f t="shared" si="118"/>
        <v>0</v>
      </c>
      <c r="AR524" s="76">
        <f t="shared" si="119"/>
        <v>0.92816114745193368</v>
      </c>
      <c r="AS524" s="76">
        <f t="shared" si="120"/>
        <v>0</v>
      </c>
      <c r="AT524" s="76">
        <f t="shared" si="121"/>
        <v>0</v>
      </c>
      <c r="AU524" s="76">
        <f t="shared" si="122"/>
        <v>54.125093593957018</v>
      </c>
      <c r="AV524" s="76">
        <f>MAX(0,(AU524-Constantes!$D$13)*(1-EXP(-Constantes!$D$24)))</f>
        <v>8.2159633584189026E-2</v>
      </c>
      <c r="AW524" s="170">
        <f>AW523+(Entradas!$F$112*AT524-AX523)/(800*Entradas!$D$25)</f>
        <v>0</v>
      </c>
      <c r="AX524" s="170">
        <f>8000*Entradas!$D$26*AW524/Constantes!$F$45</f>
        <v>0</v>
      </c>
      <c r="AY524" s="170">
        <f>IF(Escenarios!$F$17&gt;0,10*Escenarios!$F$16*AL524,0)</f>
        <v>0</v>
      </c>
      <c r="AZ524" s="170">
        <f>IF(Escenarios!$F$17&gt;0,10*Escenarios!$F$16*AX524,0)</f>
        <v>0</v>
      </c>
      <c r="BA524" s="170">
        <f>IF(Escenarios!$F$17&gt;0,0.001*Observaciones!$F523*Escenarios!$F$17,0)</f>
        <v>0</v>
      </c>
      <c r="BB524" s="170">
        <f>IF(Escenarios!$F$17&gt;0,Observaciones!$K523,0)</f>
        <v>0</v>
      </c>
      <c r="BC524" s="170">
        <f>IF(Escenarios!$F$17&gt;0,MIN(0.0005*ETo!$M523*Escenarios!$F$17*(BG523/Constantes!$F$40)^(2/3),BG523+AY524+AZ524+BA524+BB524),0)</f>
        <v>0</v>
      </c>
      <c r="BD524" s="170">
        <f>IF(Escenarios!$F$17&gt;0,MIN(Constantes!$F$39*(BG523/Constantes!$F$40)^(2/3),BG523+AY524+AZ524+BA524+BB524-BC524),0)</f>
        <v>0</v>
      </c>
      <c r="BE524" s="170">
        <f>IF(Escenarios!$F$17&gt;0,MIN(Entradas!$F$113,BG523+AY524+AZ524+BA524+BB524-BC524-BD524),0)</f>
        <v>0</v>
      </c>
      <c r="BF524" s="170">
        <f>IF(Escenarios!$F$17&gt;0,MAX(0,BG523+AY524+AZ524+BA524+BB524-BC524-BD524-BE524-Constantes!$F$40),0)</f>
        <v>0</v>
      </c>
      <c r="BG524" s="170">
        <f t="shared" si="123"/>
        <v>0</v>
      </c>
      <c r="BH524" s="170">
        <f>(Escenarios!$F$16*AK524+0.1*BC524)/(Escenarios!$F$19)</f>
        <v>1.723684883558116</v>
      </c>
      <c r="BI524" s="170">
        <f>IF(Escenarios!$F$17&gt;0,BF524/10/Escenarios!$F$19,AL524)</f>
        <v>0</v>
      </c>
      <c r="BJ524" s="170">
        <f>(Escenarios!$F$16*AT524+0.1*BD524)/(Escenarios!$F$19)</f>
        <v>0</v>
      </c>
      <c r="BK524" s="76">
        <f>BK523+(0.1*BD524)/(Escenarios!$F$19)-BL523</f>
        <v>48.75</v>
      </c>
      <c r="BL524" s="76">
        <f>MAX(0,(BK524-Constantes!$D$13)*(1-EXP(-Constantes!$D$23)))</f>
        <v>0</v>
      </c>
      <c r="BM524" s="76">
        <f t="shared" si="124"/>
        <v>0.70767606501950076</v>
      </c>
      <c r="BN524" s="76">
        <f t="shared" si="125"/>
        <v>1.0103207810361228</v>
      </c>
      <c r="BO524" s="76">
        <f>0.0526*BI524*Observaciones!$F523^1.218</f>
        <v>0</v>
      </c>
      <c r="BP524" s="76">
        <f>BO524*Constantes!$F$51</f>
        <v>0</v>
      </c>
      <c r="BQ524" s="76">
        <f t="shared" si="126"/>
        <v>0</v>
      </c>
      <c r="BR524" s="40"/>
    </row>
    <row r="525" spans="2:70">
      <c r="B525" s="39"/>
      <c r="C525" s="75">
        <v>519</v>
      </c>
      <c r="D525" s="146">
        <f>ETo!$I524*((1-Constantes!$F$19)*ETo!$K524+ETo!$L524)</f>
        <v>2.505555343193739</v>
      </c>
      <c r="E525" s="76">
        <f>MIN(D525*Constantes!$F$17,0.8*(N524+Observaciones!$F524-F525-M525-Constantes!$D$14))</f>
        <v>1.4289476715635574</v>
      </c>
      <c r="F525" s="76">
        <f>IF(Observaciones!$F524&gt;0.05*Constantes!$F$18,((Observaciones!$F524-0.05*Constantes!$F$18)^2)/(Observaciones!$F524+0.95*Constantes!$F$18),0)</f>
        <v>0</v>
      </c>
      <c r="G525" s="76">
        <f>IF(Escenarios!$F$11&gt;0,(F525*Escenarios!$F$16*10000)/1000,0)</f>
        <v>0</v>
      </c>
      <c r="H525" s="76">
        <f>IF(Escenarios!$F$11&gt;0,(Observaciones!$F524*Constantes!$F$29)/1000,0)</f>
        <v>0</v>
      </c>
      <c r="I525" s="76">
        <f>IF(Escenarios!$F$11&gt;0,(D525*Constantes!$F$29)/1000,0)</f>
        <v>0</v>
      </c>
      <c r="J525" s="76">
        <f>IF(Escenarios!$F$11&gt;0,MAX(0,G525+H525-I525),0)</f>
        <v>0</v>
      </c>
      <c r="K525" s="76">
        <f>IF(Escenarios!$F$11&gt;0,IF(J525&gt;Constantes!$F$30,1000*((J525-Constantes!$F$30)/(Escenarios!$F$16*10000)),0),F525)</f>
        <v>0</v>
      </c>
      <c r="L525" s="76">
        <f>IF(Escenarios!$F$11&gt;0,I525*1000/Escenarios!$F$16/10000+E525,E525)</f>
        <v>1.4289476715635574</v>
      </c>
      <c r="M525" s="76">
        <f>MAX(0,N524+Observaciones!$F524-K525-Constantes!$D$13)</f>
        <v>0</v>
      </c>
      <c r="N525" s="76">
        <f>N524+Observaciones!$F524-K525-L525-M525-O524</f>
        <v>20.873361778070439</v>
      </c>
      <c r="O525" s="76">
        <f>MAX(0,(N525-Constantes!$D$14)*(1-EXP(-Constantes!$D$22)))</f>
        <v>0.32780703024540442</v>
      </c>
      <c r="P525" s="170">
        <f>P524+(Entradas!$F$83*M525-Q524)/(800*Entradas!$D$25)</f>
        <v>0</v>
      </c>
      <c r="Q525" s="170">
        <f>8000*Entradas!$D$26*P525/Constantes!$F$45</f>
        <v>0</v>
      </c>
      <c r="R525" s="170">
        <f>IF(Escenarios!$F$14&gt;0,K525*Escenarios!$F$13/Escenarios!$F$14,0)</f>
        <v>0</v>
      </c>
      <c r="S525" s="170">
        <f>IF(Escenarios!$F$14&gt;0,Q525*Escenarios!$F$13/Escenarios!$F$14,0)</f>
        <v>0</v>
      </c>
      <c r="T525" s="170">
        <f>IF(Escenarios!$F$14&gt;0,Observaciones!$I524,0)</f>
        <v>0</v>
      </c>
      <c r="U525" s="170">
        <f>IF(Escenarios!$F$14&gt;0,MAX(0,Constantes!$F$36/((Z524+R525+S525+T525+Observaciones!$F524)^2)+Entradas!$F$77),0)</f>
        <v>0</v>
      </c>
      <c r="V525" s="146">
        <f>IF(ETo!D524&gt;0,ETo!I524*((1-Entradas!$F$81)*ETo!K524+ETo!L524),0)</f>
        <v>2.1831709411267566</v>
      </c>
      <c r="W525" s="170">
        <f>IF(Escenarios!$F$14&gt;0,MIN(V525*1,0.8*(Z524+R525+S525+T525+Observaciones!$F524-U525-Constantes!$F$35)),0)</f>
        <v>2.1831709411267566</v>
      </c>
      <c r="X525" s="170">
        <f>IF(Escenarios!$F$14&gt;0,Observaciones!$J524,0)</f>
        <v>0</v>
      </c>
      <c r="Y525" s="170">
        <f>IF(Escenarios!$F$14&gt;0,MAX(0,Z524+R525+S525+T525+Observaciones!$F524-U525-W525-X525-Constantes!$F$33),0)</f>
        <v>0</v>
      </c>
      <c r="Z525" s="170">
        <f>Z524+R525+S525+T525+Observaciones!$F524-U525-W525-Y525</f>
        <v>49.683945311018597</v>
      </c>
      <c r="AA525" s="170">
        <f>IF(Escenarios!$F$14&gt;0,(Escenarios!$F$13*L525+Escenarios!$F$14*W525)/(Escenarios!$F$16),L525)</f>
        <v>1.5194544639111414</v>
      </c>
      <c r="AB525" s="170">
        <f>IF(Escenarios!$F$14&gt;0,(Escenarios!$F$14*Y525)/(Escenarios!$F$16),K525)</f>
        <v>0</v>
      </c>
      <c r="AC525" s="170">
        <f>IF(Escenarios!$F$14&gt;0,(Escenarios!$F$13*M525+Escenarios!$F$14*U525)/(Escenarios!$F$16),M525)</f>
        <v>0</v>
      </c>
      <c r="AD525" s="76">
        <f t="shared" si="113"/>
        <v>111.60781969793483</v>
      </c>
      <c r="AE525" s="76">
        <f>MAX(0,(AD525-Constantes!$D$13)*(1-EXP(-Constantes!$D$23)))</f>
        <v>0.61935306904997312</v>
      </c>
      <c r="AF525" s="76">
        <f>AB525+O525*Escenarios!$F$13/Escenarios!$F$16+AE525</f>
        <v>0.90782325566592892</v>
      </c>
      <c r="AG525" s="76">
        <f>IF(Entradas!$F$91&gt;0,IF(AF525-Escenarios!$F$38&lt;=0,0,IF(AF525-Escenarios!$F$38&gt;Escenarios!$F$37,Escenarios!$F$37,AF525-Escenarios!$F$38)),0)</f>
        <v>0</v>
      </c>
      <c r="AH525" s="76">
        <f>AG525*Entradas!$F$99</f>
        <v>0</v>
      </c>
      <c r="AI525" s="76">
        <f>IF(Entradas!$F$91&gt;0,D525*Entradas!$D$23/Escenarios!$F$16,0)</f>
        <v>0.12026665647329947</v>
      </c>
      <c r="AJ525" s="76">
        <f>IF(Entradas!$F$91&gt;0,Entradas!$D$24*Entradas!$D$22/Escenarios!$F$16,0)</f>
        <v>0.12</v>
      </c>
      <c r="AK525" s="76">
        <f t="shared" si="114"/>
        <v>1.6397211203844408</v>
      </c>
      <c r="AL525" s="76">
        <f t="shared" si="115"/>
        <v>0</v>
      </c>
      <c r="AM525" s="76">
        <f t="shared" si="116"/>
        <v>0</v>
      </c>
      <c r="AN525" s="76">
        <f>MAX(0,O525*Escenarios!$F$13/Escenarios!$F$16-AM525)</f>
        <v>0.28847018661595586</v>
      </c>
      <c r="AO525" s="76">
        <f>AM525+AN525-O525*Escenarios!$F$13/Escenarios!$F$16</f>
        <v>0</v>
      </c>
      <c r="AP525" s="76">
        <f t="shared" si="117"/>
        <v>0.61935306904997312</v>
      </c>
      <c r="AQ525" s="76">
        <f t="shared" si="118"/>
        <v>0</v>
      </c>
      <c r="AR525" s="76">
        <f t="shared" si="119"/>
        <v>0.90782325566592892</v>
      </c>
      <c r="AS525" s="76">
        <f t="shared" si="120"/>
        <v>0</v>
      </c>
      <c r="AT525" s="76">
        <f t="shared" si="121"/>
        <v>0</v>
      </c>
      <c r="AU525" s="76">
        <f t="shared" si="122"/>
        <v>54.042933960372828</v>
      </c>
      <c r="AV525" s="76">
        <f>MAX(0,(AU525-Constantes!$D$13)*(1-EXP(-Constantes!$D$24)))</f>
        <v>8.0903803286038078E-2</v>
      </c>
      <c r="AW525" s="170">
        <f>AW524+(Entradas!$F$112*AT525-AX524)/(800*Entradas!$D$25)</f>
        <v>0</v>
      </c>
      <c r="AX525" s="170">
        <f>8000*Entradas!$D$26*AW525/Constantes!$F$45</f>
        <v>0</v>
      </c>
      <c r="AY525" s="170">
        <f>IF(Escenarios!$F$17&gt;0,10*Escenarios!$F$16*AL525,0)</f>
        <v>0</v>
      </c>
      <c r="AZ525" s="170">
        <f>IF(Escenarios!$F$17&gt;0,10*Escenarios!$F$16*AX525,0)</f>
        <v>0</v>
      </c>
      <c r="BA525" s="170">
        <f>IF(Escenarios!$F$17&gt;0,0.001*Observaciones!$F524*Escenarios!$F$17,0)</f>
        <v>0</v>
      </c>
      <c r="BB525" s="170">
        <f>IF(Escenarios!$F$17&gt;0,Observaciones!$K524,0)</f>
        <v>0</v>
      </c>
      <c r="BC525" s="170">
        <f>IF(Escenarios!$F$17&gt;0,MIN(0.0005*ETo!$M524*Escenarios!$F$17*(BG524/Constantes!$F$40)^(2/3),BG524+AY525+AZ525+BA525+BB525),0)</f>
        <v>0</v>
      </c>
      <c r="BD525" s="170">
        <f>IF(Escenarios!$F$17&gt;0,MIN(Constantes!$F$39*(BG524/Constantes!$F$40)^(2/3),BG524+AY525+AZ525+BA525+BB525-BC525),0)</f>
        <v>0</v>
      </c>
      <c r="BE525" s="170">
        <f>IF(Escenarios!$F$17&gt;0,MIN(Entradas!$F$113,BG524+AY525+AZ525+BA525+BB525-BC525-BD525),0)</f>
        <v>0</v>
      </c>
      <c r="BF525" s="170">
        <f>IF(Escenarios!$F$17&gt;0,MAX(0,BG524+AY525+AZ525+BA525+BB525-BC525-BD525-BE525-Constantes!$F$40),0)</f>
        <v>0</v>
      </c>
      <c r="BG525" s="170">
        <f t="shared" si="123"/>
        <v>0</v>
      </c>
      <c r="BH525" s="170">
        <f>(Escenarios!$F$16*AK525+0.1*BC525)/(Escenarios!$F$19)</f>
        <v>1.6397211203844408</v>
      </c>
      <c r="BI525" s="170">
        <f>IF(Escenarios!$F$17&gt;0,BF525/10/Escenarios!$F$19,AL525)</f>
        <v>0</v>
      </c>
      <c r="BJ525" s="170">
        <f>(Escenarios!$F$16*AT525+0.1*BD525)/(Escenarios!$F$19)</f>
        <v>0</v>
      </c>
      <c r="BK525" s="76">
        <f>BK524+(0.1*BD525)/(Escenarios!$F$19)-BL524</f>
        <v>48.75</v>
      </c>
      <c r="BL525" s="76">
        <f>MAX(0,(BK525-Constantes!$D$13)*(1-EXP(-Constantes!$D$23)))</f>
        <v>0</v>
      </c>
      <c r="BM525" s="76">
        <f t="shared" si="124"/>
        <v>0.70025687233601119</v>
      </c>
      <c r="BN525" s="76">
        <f t="shared" si="125"/>
        <v>0.988727058951967</v>
      </c>
      <c r="BO525" s="76">
        <f>0.0526*BI525*Observaciones!$F524^1.218</f>
        <v>0</v>
      </c>
      <c r="BP525" s="76">
        <f>BO525*Constantes!$F$51</f>
        <v>0</v>
      </c>
      <c r="BQ525" s="76">
        <f t="shared" si="126"/>
        <v>0</v>
      </c>
      <c r="BR525" s="40"/>
    </row>
    <row r="526" spans="2:70">
      <c r="B526" s="39"/>
      <c r="C526" s="75">
        <v>520</v>
      </c>
      <c r="D526" s="146">
        <f>ETo!$I525*((1-Constantes!$F$19)*ETo!$K525+ETo!$L525)</f>
        <v>2.8122097665814727</v>
      </c>
      <c r="E526" s="76">
        <f>MIN(D526*Constantes!$F$17,0.8*(N525+Observaciones!$F525-F526-M526-Constantes!$D$14))</f>
        <v>1.6038362947444043</v>
      </c>
      <c r="F526" s="76">
        <f>IF(Observaciones!$F525&gt;0.05*Constantes!$F$18,((Observaciones!$F525-0.05*Constantes!$F$18)^2)/(Observaciones!$F525+0.95*Constantes!$F$18),0)</f>
        <v>0</v>
      </c>
      <c r="G526" s="76">
        <f>IF(Escenarios!$F$11&gt;0,(F526*Escenarios!$F$16*10000)/1000,0)</f>
        <v>0</v>
      </c>
      <c r="H526" s="76">
        <f>IF(Escenarios!$F$11&gt;0,(Observaciones!$F525*Constantes!$F$29)/1000,0)</f>
        <v>0</v>
      </c>
      <c r="I526" s="76">
        <f>IF(Escenarios!$F$11&gt;0,(D526*Constantes!$F$29)/1000,0)</f>
        <v>0</v>
      </c>
      <c r="J526" s="76">
        <f>IF(Escenarios!$F$11&gt;0,MAX(0,G526+H526-I526),0)</f>
        <v>0</v>
      </c>
      <c r="K526" s="76">
        <f>IF(Escenarios!$F$11&gt;0,IF(J526&gt;Constantes!$F$30,1000*((J526-Constantes!$F$30)/(Escenarios!$F$16*10000)),0),F526)</f>
        <v>0</v>
      </c>
      <c r="L526" s="76">
        <f>IF(Escenarios!$F$11&gt;0,I526*1000/Escenarios!$F$16/10000+E526,E526)</f>
        <v>1.6038362947444043</v>
      </c>
      <c r="M526" s="76">
        <f>MAX(0,N525+Observaciones!$F525-K526-Constantes!$D$13)</f>
        <v>0</v>
      </c>
      <c r="N526" s="76">
        <f>N525+Observaciones!$F525-K526-L526-M526-O525</f>
        <v>18.941718453080629</v>
      </c>
      <c r="O526" s="76">
        <f>MAX(0,(N526-Constantes!$D$14)*(1-EXP(-Constantes!$D$22)))</f>
        <v>0.26200816738843397</v>
      </c>
      <c r="P526" s="170">
        <f>P525+(Entradas!$F$83*M526-Q525)/(800*Entradas!$D$25)</f>
        <v>0</v>
      </c>
      <c r="Q526" s="170">
        <f>8000*Entradas!$D$26*P526/Constantes!$F$45</f>
        <v>0</v>
      </c>
      <c r="R526" s="170">
        <f>IF(Escenarios!$F$14&gt;0,K526*Escenarios!$F$13/Escenarios!$F$14,0)</f>
        <v>0</v>
      </c>
      <c r="S526" s="170">
        <f>IF(Escenarios!$F$14&gt;0,Q526*Escenarios!$F$13/Escenarios!$F$14,0)</f>
        <v>0</v>
      </c>
      <c r="T526" s="170">
        <f>IF(Escenarios!$F$14&gt;0,Observaciones!$I525,0)</f>
        <v>0</v>
      </c>
      <c r="U526" s="170">
        <f>IF(Escenarios!$F$14&gt;0,MAX(0,Constantes!$F$36/((Z525+R526+S526+T526+Observaciones!$F525)^2)+Entradas!$F$77),0)</f>
        <v>0</v>
      </c>
      <c r="V526" s="146">
        <f>IF(ETo!D525&gt;0,ETo!I525*((1-Entradas!$F$81)*ETo!K525+ETo!L525),0)</f>
        <v>2.4534225341003739</v>
      </c>
      <c r="W526" s="170">
        <f>IF(Escenarios!$F$14&gt;0,MIN(V526*1,0.8*(Z525+R526+S526+T526+Observaciones!$F525-U526-Constantes!$F$35)),0)</f>
        <v>2.4534225341003739</v>
      </c>
      <c r="X526" s="170">
        <f>IF(Escenarios!$F$14&gt;0,Observaciones!$J525,0)</f>
        <v>0</v>
      </c>
      <c r="Y526" s="170">
        <f>IF(Escenarios!$F$14&gt;0,MAX(0,Z525+R526+S526+T526+Observaciones!$F525-U526-W526-X526-Constantes!$F$33),0)</f>
        <v>0</v>
      </c>
      <c r="Z526" s="170">
        <f>Z525+R526+S526+T526+Observaciones!$F525-U526-W526-Y526</f>
        <v>47.230522776918221</v>
      </c>
      <c r="AA526" s="170">
        <f>IF(Escenarios!$F$14&gt;0,(Escenarios!$F$13*L526+Escenarios!$F$14*W526)/(Escenarios!$F$16),L526)</f>
        <v>1.7057866434671205</v>
      </c>
      <c r="AB526" s="170">
        <f>IF(Escenarios!$F$14&gt;0,(Escenarios!$F$14*Y526)/(Escenarios!$F$16),K526)</f>
        <v>0</v>
      </c>
      <c r="AC526" s="170">
        <f>IF(Escenarios!$F$14&gt;0,(Escenarios!$F$13*M526+Escenarios!$F$14*U526)/(Escenarios!$F$16),M526)</f>
        <v>0</v>
      </c>
      <c r="AD526" s="76">
        <f t="shared" si="113"/>
        <v>110.98846662888485</v>
      </c>
      <c r="AE526" s="76">
        <f>MAX(0,(AD526-Constantes!$D$13)*(1-EXP(-Constantes!$D$23)))</f>
        <v>0.61325043574221583</v>
      </c>
      <c r="AF526" s="76">
        <f>AB526+O526*Escenarios!$F$13/Escenarios!$F$16+AE526</f>
        <v>0.84381762304403773</v>
      </c>
      <c r="AG526" s="76">
        <f>IF(Entradas!$F$91&gt;0,IF(AF526-Escenarios!$F$38&lt;=0,0,IF(AF526-Escenarios!$F$38&gt;Escenarios!$F$37,Escenarios!$F$37,AF526-Escenarios!$F$38)),0)</f>
        <v>0</v>
      </c>
      <c r="AH526" s="76">
        <f>AG526*Entradas!$F$99</f>
        <v>0</v>
      </c>
      <c r="AI526" s="76">
        <f>IF(Entradas!$F$91&gt;0,D526*Entradas!$D$23/Escenarios!$F$16,0)</f>
        <v>0.13498606879591069</v>
      </c>
      <c r="AJ526" s="76">
        <f>IF(Entradas!$F$91&gt;0,Entradas!$D$24*Entradas!$D$22/Escenarios!$F$16,0)</f>
        <v>0.12</v>
      </c>
      <c r="AK526" s="76">
        <f t="shared" si="114"/>
        <v>1.8407727122630311</v>
      </c>
      <c r="AL526" s="76">
        <f t="shared" si="115"/>
        <v>0</v>
      </c>
      <c r="AM526" s="76">
        <f t="shared" si="116"/>
        <v>0</v>
      </c>
      <c r="AN526" s="76">
        <f>MAX(0,O526*Escenarios!$F$13/Escenarios!$F$16-AM526)</f>
        <v>0.23056718730182188</v>
      </c>
      <c r="AO526" s="76">
        <f>AM526+AN526-O526*Escenarios!$F$13/Escenarios!$F$16</f>
        <v>0</v>
      </c>
      <c r="AP526" s="76">
        <f t="shared" si="117"/>
        <v>0.61325043574221583</v>
      </c>
      <c r="AQ526" s="76">
        <f t="shared" si="118"/>
        <v>0</v>
      </c>
      <c r="AR526" s="76">
        <f t="shared" si="119"/>
        <v>0.84381762304403773</v>
      </c>
      <c r="AS526" s="76">
        <f t="shared" si="120"/>
        <v>0</v>
      </c>
      <c r="AT526" s="76">
        <f t="shared" si="121"/>
        <v>0</v>
      </c>
      <c r="AU526" s="76">
        <f t="shared" si="122"/>
        <v>53.962030157086787</v>
      </c>
      <c r="AV526" s="76">
        <f>MAX(0,(AU526-Constantes!$D$13)*(1-EXP(-Constantes!$D$24)))</f>
        <v>7.9667168664266763E-2</v>
      </c>
      <c r="AW526" s="170">
        <f>AW525+(Entradas!$F$112*AT526-AX525)/(800*Entradas!$D$25)</f>
        <v>0</v>
      </c>
      <c r="AX526" s="170">
        <f>8000*Entradas!$D$26*AW526/Constantes!$F$45</f>
        <v>0</v>
      </c>
      <c r="AY526" s="170">
        <f>IF(Escenarios!$F$17&gt;0,10*Escenarios!$F$16*AL526,0)</f>
        <v>0</v>
      </c>
      <c r="AZ526" s="170">
        <f>IF(Escenarios!$F$17&gt;0,10*Escenarios!$F$16*AX526,0)</f>
        <v>0</v>
      </c>
      <c r="BA526" s="170">
        <f>IF(Escenarios!$F$17&gt;0,0.001*Observaciones!$F525*Escenarios!$F$17,0)</f>
        <v>0</v>
      </c>
      <c r="BB526" s="170">
        <f>IF(Escenarios!$F$17&gt;0,Observaciones!$K525,0)</f>
        <v>0</v>
      </c>
      <c r="BC526" s="170">
        <f>IF(Escenarios!$F$17&gt;0,MIN(0.0005*ETo!$M525*Escenarios!$F$17*(BG525/Constantes!$F$40)^(2/3),BG525+AY526+AZ526+BA526+BB526),0)</f>
        <v>0</v>
      </c>
      <c r="BD526" s="170">
        <f>IF(Escenarios!$F$17&gt;0,MIN(Constantes!$F$39*(BG525/Constantes!$F$40)^(2/3),BG525+AY526+AZ526+BA526+BB526-BC526),0)</f>
        <v>0</v>
      </c>
      <c r="BE526" s="170">
        <f>IF(Escenarios!$F$17&gt;0,MIN(Entradas!$F$113,BG525+AY526+AZ526+BA526+BB526-BC526-BD526),0)</f>
        <v>0</v>
      </c>
      <c r="BF526" s="170">
        <f>IF(Escenarios!$F$17&gt;0,MAX(0,BG525+AY526+AZ526+BA526+BB526-BC526-BD526-BE526-Constantes!$F$40),0)</f>
        <v>0</v>
      </c>
      <c r="BG526" s="170">
        <f t="shared" si="123"/>
        <v>0</v>
      </c>
      <c r="BH526" s="170">
        <f>(Escenarios!$F$16*AK526+0.1*BC526)/(Escenarios!$F$19)</f>
        <v>1.8407727122630311</v>
      </c>
      <c r="BI526" s="170">
        <f>IF(Escenarios!$F$17&gt;0,BF526/10/Escenarios!$F$19,AL526)</f>
        <v>0</v>
      </c>
      <c r="BJ526" s="170">
        <f>(Escenarios!$F$16*AT526+0.1*BD526)/(Escenarios!$F$19)</f>
        <v>0</v>
      </c>
      <c r="BK526" s="76">
        <f>BK525+(0.1*BD526)/(Escenarios!$F$19)-BL525</f>
        <v>48.75</v>
      </c>
      <c r="BL526" s="76">
        <f>MAX(0,(BK526-Constantes!$D$13)*(1-EXP(-Constantes!$D$23)))</f>
        <v>0</v>
      </c>
      <c r="BM526" s="76">
        <f t="shared" si="124"/>
        <v>0.69291760440648265</v>
      </c>
      <c r="BN526" s="76">
        <f t="shared" si="125"/>
        <v>0.92348479170830444</v>
      </c>
      <c r="BO526" s="76">
        <f>0.0526*BI526*Observaciones!$F525^1.218</f>
        <v>0</v>
      </c>
      <c r="BP526" s="76">
        <f>BO526*Constantes!$F$51</f>
        <v>0</v>
      </c>
      <c r="BQ526" s="76">
        <f t="shared" si="126"/>
        <v>0</v>
      </c>
      <c r="BR526" s="40"/>
    </row>
    <row r="527" spans="2:70">
      <c r="B527" s="39"/>
      <c r="C527" s="75">
        <v>521</v>
      </c>
      <c r="D527" s="146">
        <f>ETo!$I526*((1-Constantes!$F$19)*ETo!$K526+ETo!$L526)</f>
        <v>2.6237337462773254</v>
      </c>
      <c r="E527" s="76">
        <f>MIN(D527*Constantes!$F$17,0.8*(N526+Observaciones!$F526-F527-M527-Constantes!$D$14))</f>
        <v>1.4963462043375877</v>
      </c>
      <c r="F527" s="76">
        <f>IF(Observaciones!$F526&gt;0.05*Constantes!$F$18,((Observaciones!$F526-0.05*Constantes!$F$18)^2)/(Observaciones!$F526+0.95*Constantes!$F$18),0)</f>
        <v>0</v>
      </c>
      <c r="G527" s="76">
        <f>IF(Escenarios!$F$11&gt;0,(F527*Escenarios!$F$16*10000)/1000,0)</f>
        <v>0</v>
      </c>
      <c r="H527" s="76">
        <f>IF(Escenarios!$F$11&gt;0,(Observaciones!$F526*Constantes!$F$29)/1000,0)</f>
        <v>0</v>
      </c>
      <c r="I527" s="76">
        <f>IF(Escenarios!$F$11&gt;0,(D527*Constantes!$F$29)/1000,0)</f>
        <v>0</v>
      </c>
      <c r="J527" s="76">
        <f>IF(Escenarios!$F$11&gt;0,MAX(0,G527+H527-I527),0)</f>
        <v>0</v>
      </c>
      <c r="K527" s="76">
        <f>IF(Escenarios!$F$11&gt;0,IF(J527&gt;Constantes!$F$30,1000*((J527-Constantes!$F$30)/(Escenarios!$F$16*10000)),0),F527)</f>
        <v>0</v>
      </c>
      <c r="L527" s="76">
        <f>IF(Escenarios!$F$11&gt;0,I527*1000/Escenarios!$F$16/10000+E527,E527)</f>
        <v>1.4963462043375877</v>
      </c>
      <c r="M527" s="76">
        <f>MAX(0,N526+Observaciones!$F526-K527-Constantes!$D$13)</f>
        <v>0</v>
      </c>
      <c r="N527" s="76">
        <f>N526+Observaciones!$F526-K527-L527-M527-O526</f>
        <v>17.183364081354608</v>
      </c>
      <c r="O527" s="76">
        <f>MAX(0,(N527-Constantes!$D$14)*(1-EXP(-Constantes!$D$22)))</f>
        <v>0.20211216243639901</v>
      </c>
      <c r="P527" s="170">
        <f>P526+(Entradas!$F$83*M527-Q526)/(800*Entradas!$D$25)</f>
        <v>0</v>
      </c>
      <c r="Q527" s="170">
        <f>8000*Entradas!$D$26*P527/Constantes!$F$45</f>
        <v>0</v>
      </c>
      <c r="R527" s="170">
        <f>IF(Escenarios!$F$14&gt;0,K527*Escenarios!$F$13/Escenarios!$F$14,0)</f>
        <v>0</v>
      </c>
      <c r="S527" s="170">
        <f>IF(Escenarios!$F$14&gt;0,Q527*Escenarios!$F$13/Escenarios!$F$14,0)</f>
        <v>0</v>
      </c>
      <c r="T527" s="170">
        <f>IF(Escenarios!$F$14&gt;0,Observaciones!$I526,0)</f>
        <v>0</v>
      </c>
      <c r="U527" s="170">
        <f>IF(Escenarios!$F$14&gt;0,MAX(0,Constantes!$F$36/((Z526+R527+S527+T527+Observaciones!$F526)^2)+Entradas!$F$77),0)</f>
        <v>0</v>
      </c>
      <c r="V527" s="146">
        <f>IF(ETo!D526&gt;0,ETo!I526*((1-Entradas!$F$81)*ETo!K526+ETo!L526),0)</f>
        <v>2.286164192823553</v>
      </c>
      <c r="W527" s="170">
        <f>IF(Escenarios!$F$14&gt;0,MIN(V527*1,0.8*(Z526+R527+S527+T527+Observaciones!$F526-U527-Constantes!$F$35)),0)</f>
        <v>2.286164192823553</v>
      </c>
      <c r="X527" s="170">
        <f>IF(Escenarios!$F$14&gt;0,Observaciones!$J526,0)</f>
        <v>0</v>
      </c>
      <c r="Y527" s="170">
        <f>IF(Escenarios!$F$14&gt;0,MAX(0,Z526+R527+S527+T527+Observaciones!$F526-U527-W527-X527-Constantes!$F$33),0)</f>
        <v>0</v>
      </c>
      <c r="Z527" s="170">
        <f>Z526+R527+S527+T527+Observaciones!$F526-U527-W527-Y527</f>
        <v>44.944358584094665</v>
      </c>
      <c r="AA527" s="170">
        <f>IF(Escenarios!$F$14&gt;0,(Escenarios!$F$13*L527+Escenarios!$F$14*W527)/(Escenarios!$F$16),L527)</f>
        <v>1.5911243629559035</v>
      </c>
      <c r="AB527" s="170">
        <f>IF(Escenarios!$F$14&gt;0,(Escenarios!$F$14*Y527)/(Escenarios!$F$16),K527)</f>
        <v>0</v>
      </c>
      <c r="AC527" s="170">
        <f>IF(Escenarios!$F$14&gt;0,(Escenarios!$F$13*M527+Escenarios!$F$14*U527)/(Escenarios!$F$16),M527)</f>
        <v>0</v>
      </c>
      <c r="AD527" s="76">
        <f t="shared" si="113"/>
        <v>110.37521619314263</v>
      </c>
      <c r="AE527" s="76">
        <f>MAX(0,(AD527-Constantes!$D$13)*(1-EXP(-Constantes!$D$23)))</f>
        <v>0.60720793313397381</v>
      </c>
      <c r="AF527" s="76">
        <f>AB527+O527*Escenarios!$F$13/Escenarios!$F$16+AE527</f>
        <v>0.78506663607800498</v>
      </c>
      <c r="AG527" s="76">
        <f>IF(Entradas!$F$91&gt;0,IF(AF527-Escenarios!$F$38&lt;=0,0,IF(AF527-Escenarios!$F$38&gt;Escenarios!$F$37,Escenarios!$F$37,AF527-Escenarios!$F$38)),0)</f>
        <v>0</v>
      </c>
      <c r="AH527" s="76">
        <f>AG527*Entradas!$F$99</f>
        <v>0</v>
      </c>
      <c r="AI527" s="76">
        <f>IF(Entradas!$F$91&gt;0,D527*Entradas!$D$23/Escenarios!$F$16,0)</f>
        <v>0.12593921982131162</v>
      </c>
      <c r="AJ527" s="76">
        <f>IF(Entradas!$F$91&gt;0,Entradas!$D$24*Entradas!$D$22/Escenarios!$F$16,0)</f>
        <v>0.12</v>
      </c>
      <c r="AK527" s="76">
        <f t="shared" si="114"/>
        <v>1.7170635827772152</v>
      </c>
      <c r="AL527" s="76">
        <f t="shared" si="115"/>
        <v>0</v>
      </c>
      <c r="AM527" s="76">
        <f t="shared" si="116"/>
        <v>0</v>
      </c>
      <c r="AN527" s="76">
        <f>MAX(0,O527*Escenarios!$F$13/Escenarios!$F$16-AM527)</f>
        <v>0.17785870294403114</v>
      </c>
      <c r="AO527" s="76">
        <f>AM527+AN527-O527*Escenarios!$F$13/Escenarios!$F$16</f>
        <v>0</v>
      </c>
      <c r="AP527" s="76">
        <f t="shared" si="117"/>
        <v>0.60720793313397381</v>
      </c>
      <c r="AQ527" s="76">
        <f t="shared" si="118"/>
        <v>0</v>
      </c>
      <c r="AR527" s="76">
        <f t="shared" si="119"/>
        <v>0.78506663607800498</v>
      </c>
      <c r="AS527" s="76">
        <f t="shared" si="120"/>
        <v>0</v>
      </c>
      <c r="AT527" s="76">
        <f t="shared" si="121"/>
        <v>0</v>
      </c>
      <c r="AU527" s="76">
        <f t="shared" si="122"/>
        <v>53.882362988422521</v>
      </c>
      <c r="AV527" s="76">
        <f>MAX(0,(AU527-Constantes!$D$13)*(1-EXP(-Constantes!$D$24)))</f>
        <v>7.8449436308219128E-2</v>
      </c>
      <c r="AW527" s="170">
        <f>AW526+(Entradas!$F$112*AT527-AX526)/(800*Entradas!$D$25)</f>
        <v>0</v>
      </c>
      <c r="AX527" s="170">
        <f>8000*Entradas!$D$26*AW527/Constantes!$F$45</f>
        <v>0</v>
      </c>
      <c r="AY527" s="170">
        <f>IF(Escenarios!$F$17&gt;0,10*Escenarios!$F$16*AL527,0)</f>
        <v>0</v>
      </c>
      <c r="AZ527" s="170">
        <f>IF(Escenarios!$F$17&gt;0,10*Escenarios!$F$16*AX527,0)</f>
        <v>0</v>
      </c>
      <c r="BA527" s="170">
        <f>IF(Escenarios!$F$17&gt;0,0.001*Observaciones!$F526*Escenarios!$F$17,0)</f>
        <v>0</v>
      </c>
      <c r="BB527" s="170">
        <f>IF(Escenarios!$F$17&gt;0,Observaciones!$K526,0)</f>
        <v>0</v>
      </c>
      <c r="BC527" s="170">
        <f>IF(Escenarios!$F$17&gt;0,MIN(0.0005*ETo!$M526*Escenarios!$F$17*(BG526/Constantes!$F$40)^(2/3),BG526+AY527+AZ527+BA527+BB527),0)</f>
        <v>0</v>
      </c>
      <c r="BD527" s="170">
        <f>IF(Escenarios!$F$17&gt;0,MIN(Constantes!$F$39*(BG526/Constantes!$F$40)^(2/3),BG526+AY527+AZ527+BA527+BB527-BC527),0)</f>
        <v>0</v>
      </c>
      <c r="BE527" s="170">
        <f>IF(Escenarios!$F$17&gt;0,MIN(Entradas!$F$113,BG526+AY527+AZ527+BA527+BB527-BC527-BD527),0)</f>
        <v>0</v>
      </c>
      <c r="BF527" s="170">
        <f>IF(Escenarios!$F$17&gt;0,MAX(0,BG526+AY527+AZ527+BA527+BB527-BC527-BD527-BE527-Constantes!$F$40),0)</f>
        <v>0</v>
      </c>
      <c r="BG527" s="170">
        <f t="shared" si="123"/>
        <v>0</v>
      </c>
      <c r="BH527" s="170">
        <f>(Escenarios!$F$16*AK527+0.1*BC527)/(Escenarios!$F$19)</f>
        <v>1.7170635827772152</v>
      </c>
      <c r="BI527" s="170">
        <f>IF(Escenarios!$F$17&gt;0,BF527/10/Escenarios!$F$19,AL527)</f>
        <v>0</v>
      </c>
      <c r="BJ527" s="170">
        <f>(Escenarios!$F$16*AT527+0.1*BD527)/(Escenarios!$F$19)</f>
        <v>0</v>
      </c>
      <c r="BK527" s="76">
        <f>BK526+(0.1*BD527)/(Escenarios!$F$19)-BL526</f>
        <v>48.75</v>
      </c>
      <c r="BL527" s="76">
        <f>MAX(0,(BK527-Constantes!$D$13)*(1-EXP(-Constantes!$D$23)))</f>
        <v>0</v>
      </c>
      <c r="BM527" s="76">
        <f t="shared" si="124"/>
        <v>0.68565736944219291</v>
      </c>
      <c r="BN527" s="76">
        <f t="shared" si="125"/>
        <v>0.86351607238622408</v>
      </c>
      <c r="BO527" s="76">
        <f>0.0526*BI527*Observaciones!$F526^1.218</f>
        <v>0</v>
      </c>
      <c r="BP527" s="76">
        <f>BO527*Constantes!$F$51</f>
        <v>0</v>
      </c>
      <c r="BQ527" s="76">
        <f t="shared" si="126"/>
        <v>0</v>
      </c>
      <c r="BR527" s="40"/>
    </row>
    <row r="528" spans="2:70">
      <c r="B528" s="39"/>
      <c r="C528" s="75">
        <v>522</v>
      </c>
      <c r="D528" s="146">
        <f>ETo!$I527*((1-Constantes!$F$19)*ETo!$K527+ETo!$L527)</f>
        <v>2.6960070502377524</v>
      </c>
      <c r="E528" s="76">
        <f>MIN(D528*Constantes!$F$17,0.8*(N527+Observaciones!$F527-F528-M528-Constantes!$D$14))</f>
        <v>1.5375645193474718</v>
      </c>
      <c r="F528" s="76">
        <f>IF(Observaciones!$F527&gt;0.05*Constantes!$F$18,((Observaciones!$F527-0.05*Constantes!$F$18)^2)/(Observaciones!$F527+0.95*Constantes!$F$18),0)</f>
        <v>0</v>
      </c>
      <c r="G528" s="76">
        <f>IF(Escenarios!$F$11&gt;0,(F528*Escenarios!$F$16*10000)/1000,0)</f>
        <v>0</v>
      </c>
      <c r="H528" s="76">
        <f>IF(Escenarios!$F$11&gt;0,(Observaciones!$F527*Constantes!$F$29)/1000,0)</f>
        <v>0</v>
      </c>
      <c r="I528" s="76">
        <f>IF(Escenarios!$F$11&gt;0,(D528*Constantes!$F$29)/1000,0)</f>
        <v>0</v>
      </c>
      <c r="J528" s="76">
        <f>IF(Escenarios!$F$11&gt;0,MAX(0,G528+H528-I528),0)</f>
        <v>0</v>
      </c>
      <c r="K528" s="76">
        <f>IF(Escenarios!$F$11&gt;0,IF(J528&gt;Constantes!$F$30,1000*((J528-Constantes!$F$30)/(Escenarios!$F$16*10000)),0),F528)</f>
        <v>0</v>
      </c>
      <c r="L528" s="76">
        <f>IF(Escenarios!$F$11&gt;0,I528*1000/Escenarios!$F$16/10000+E528,E528)</f>
        <v>1.5375645193474718</v>
      </c>
      <c r="M528" s="76">
        <f>MAX(0,N527+Observaciones!$F527-K528-Constantes!$D$13)</f>
        <v>0</v>
      </c>
      <c r="N528" s="76">
        <f>N527+Observaciones!$F527-K528-L528-M528-O527</f>
        <v>15.443687399570738</v>
      </c>
      <c r="O528" s="76">
        <f>MAX(0,(N528-Constantes!$D$14)*(1-EXP(-Constantes!$D$22)))</f>
        <v>0.14285238817099721</v>
      </c>
      <c r="P528" s="170">
        <f>P527+(Entradas!$F$83*M528-Q527)/(800*Entradas!$D$25)</f>
        <v>0</v>
      </c>
      <c r="Q528" s="170">
        <f>8000*Entradas!$D$26*P528/Constantes!$F$45</f>
        <v>0</v>
      </c>
      <c r="R528" s="170">
        <f>IF(Escenarios!$F$14&gt;0,K528*Escenarios!$F$13/Escenarios!$F$14,0)</f>
        <v>0</v>
      </c>
      <c r="S528" s="170">
        <f>IF(Escenarios!$F$14&gt;0,Q528*Escenarios!$F$13/Escenarios!$F$14,0)</f>
        <v>0</v>
      </c>
      <c r="T528" s="170">
        <f>IF(Escenarios!$F$14&gt;0,Observaciones!$I527,0)</f>
        <v>0</v>
      </c>
      <c r="U528" s="170">
        <f>IF(Escenarios!$F$14&gt;0,MAX(0,Constantes!$F$36/((Z527+R528+S528+T528+Observaciones!$F527)^2)+Entradas!$F$77),0)</f>
        <v>0</v>
      </c>
      <c r="V528" s="146">
        <f>IF(ETo!D527&gt;0,ETo!I527*((1-Entradas!$F$81)*ETo!K527+ETo!L527),0)</f>
        <v>2.3497142905541804</v>
      </c>
      <c r="W528" s="170">
        <f>IF(Escenarios!$F$14&gt;0,MIN(V528*1,0.8*(Z527+R528+S528+T528+Observaciones!$F527-U528-Constantes!$F$35)),0)</f>
        <v>2.3497142905541804</v>
      </c>
      <c r="X528" s="170">
        <f>IF(Escenarios!$F$14&gt;0,Observaciones!$J527,0)</f>
        <v>0</v>
      </c>
      <c r="Y528" s="170">
        <f>IF(Escenarios!$F$14&gt;0,MAX(0,Z527+R528+S528+T528+Observaciones!$F527-U528-W528-X528-Constantes!$F$33),0)</f>
        <v>0</v>
      </c>
      <c r="Z528" s="170">
        <f>Z527+R528+S528+T528+Observaciones!$F527-U528-W528-Y528</f>
        <v>42.594644293540483</v>
      </c>
      <c r="AA528" s="170">
        <f>IF(Escenarios!$F$14&gt;0,(Escenarios!$F$13*L528+Escenarios!$F$14*W528)/(Escenarios!$F$16),L528)</f>
        <v>1.6350224918922771</v>
      </c>
      <c r="AB528" s="170">
        <f>IF(Escenarios!$F$14&gt;0,(Escenarios!$F$14*Y528)/(Escenarios!$F$16),K528)</f>
        <v>0</v>
      </c>
      <c r="AC528" s="170">
        <f>IF(Escenarios!$F$14&gt;0,(Escenarios!$F$13*M528+Escenarios!$F$14*U528)/(Escenarios!$F$16),M528)</f>
        <v>0</v>
      </c>
      <c r="AD528" s="76">
        <f t="shared" si="113"/>
        <v>109.76800826000866</v>
      </c>
      <c r="AE528" s="76">
        <f>MAX(0,(AD528-Constantes!$D$13)*(1-EXP(-Constantes!$D$23)))</f>
        <v>0.6012249687431428</v>
      </c>
      <c r="AF528" s="76">
        <f>AB528+O528*Escenarios!$F$13/Escenarios!$F$16+AE528</f>
        <v>0.72693507033362037</v>
      </c>
      <c r="AG528" s="76">
        <f>IF(Entradas!$F$91&gt;0,IF(AF528-Escenarios!$F$38&lt;=0,0,IF(AF528-Escenarios!$F$38&gt;Escenarios!$F$37,Escenarios!$F$37,AF528-Escenarios!$F$38)),0)</f>
        <v>0</v>
      </c>
      <c r="AH528" s="76">
        <f>AG528*Entradas!$F$99</f>
        <v>0</v>
      </c>
      <c r="AI528" s="76">
        <f>IF(Entradas!$F$91&gt;0,D528*Entradas!$D$23/Escenarios!$F$16,0)</f>
        <v>0.12940833841141211</v>
      </c>
      <c r="AJ528" s="76">
        <f>IF(Entradas!$F$91&gt;0,Entradas!$D$24*Entradas!$D$22/Escenarios!$F$16,0)</f>
        <v>0.12</v>
      </c>
      <c r="AK528" s="76">
        <f t="shared" si="114"/>
        <v>1.7644308303036893</v>
      </c>
      <c r="AL528" s="76">
        <f t="shared" si="115"/>
        <v>0</v>
      </c>
      <c r="AM528" s="76">
        <f t="shared" si="116"/>
        <v>0</v>
      </c>
      <c r="AN528" s="76">
        <f>MAX(0,O528*Escenarios!$F$13/Escenarios!$F$16-AM528)</f>
        <v>0.12571010159047755</v>
      </c>
      <c r="AO528" s="76">
        <f>AM528+AN528-O528*Escenarios!$F$13/Escenarios!$F$16</f>
        <v>0</v>
      </c>
      <c r="AP528" s="76">
        <f t="shared" si="117"/>
        <v>0.6012249687431428</v>
      </c>
      <c r="AQ528" s="76">
        <f t="shared" si="118"/>
        <v>0</v>
      </c>
      <c r="AR528" s="76">
        <f t="shared" si="119"/>
        <v>0.72693507033362037</v>
      </c>
      <c r="AS528" s="76">
        <f t="shared" si="120"/>
        <v>0</v>
      </c>
      <c r="AT528" s="76">
        <f t="shared" si="121"/>
        <v>0</v>
      </c>
      <c r="AU528" s="76">
        <f t="shared" si="122"/>
        <v>53.803913552114302</v>
      </c>
      <c r="AV528" s="76">
        <f>MAX(0,(AU528-Constantes!$D$13)*(1-EXP(-Constantes!$D$24)))</f>
        <v>7.7250317292093404E-2</v>
      </c>
      <c r="AW528" s="170">
        <f>AW527+(Entradas!$F$112*AT528-AX527)/(800*Entradas!$D$25)</f>
        <v>0</v>
      </c>
      <c r="AX528" s="170">
        <f>8000*Entradas!$D$26*AW528/Constantes!$F$45</f>
        <v>0</v>
      </c>
      <c r="AY528" s="170">
        <f>IF(Escenarios!$F$17&gt;0,10*Escenarios!$F$16*AL528,0)</f>
        <v>0</v>
      </c>
      <c r="AZ528" s="170">
        <f>IF(Escenarios!$F$17&gt;0,10*Escenarios!$F$16*AX528,0)</f>
        <v>0</v>
      </c>
      <c r="BA528" s="170">
        <f>IF(Escenarios!$F$17&gt;0,0.001*Observaciones!$F527*Escenarios!$F$17,0)</f>
        <v>0</v>
      </c>
      <c r="BB528" s="170">
        <f>IF(Escenarios!$F$17&gt;0,Observaciones!$K527,0)</f>
        <v>0</v>
      </c>
      <c r="BC528" s="170">
        <f>IF(Escenarios!$F$17&gt;0,MIN(0.0005*ETo!$M527*Escenarios!$F$17*(BG527/Constantes!$F$40)^(2/3),BG527+AY528+AZ528+BA528+BB528),0)</f>
        <v>0</v>
      </c>
      <c r="BD528" s="170">
        <f>IF(Escenarios!$F$17&gt;0,MIN(Constantes!$F$39*(BG527/Constantes!$F$40)^(2/3),BG527+AY528+AZ528+BA528+BB528-BC528),0)</f>
        <v>0</v>
      </c>
      <c r="BE528" s="170">
        <f>IF(Escenarios!$F$17&gt;0,MIN(Entradas!$F$113,BG527+AY528+AZ528+BA528+BB528-BC528-BD528),0)</f>
        <v>0</v>
      </c>
      <c r="BF528" s="170">
        <f>IF(Escenarios!$F$17&gt;0,MAX(0,BG527+AY528+AZ528+BA528+BB528-BC528-BD528-BE528-Constantes!$F$40),0)</f>
        <v>0</v>
      </c>
      <c r="BG528" s="170">
        <f t="shared" si="123"/>
        <v>0</v>
      </c>
      <c r="BH528" s="170">
        <f>(Escenarios!$F$16*AK528+0.1*BC528)/(Escenarios!$F$19)</f>
        <v>1.7644308303036893</v>
      </c>
      <c r="BI528" s="170">
        <f>IF(Escenarios!$F$17&gt;0,BF528/10/Escenarios!$F$19,AL528)</f>
        <v>0</v>
      </c>
      <c r="BJ528" s="170">
        <f>(Escenarios!$F$16*AT528+0.1*BD528)/(Escenarios!$F$19)</f>
        <v>0</v>
      </c>
      <c r="BK528" s="76">
        <f>BK527+(0.1*BD528)/(Escenarios!$F$19)-BL527</f>
        <v>48.75</v>
      </c>
      <c r="BL528" s="76">
        <f>MAX(0,(BK528-Constantes!$D$13)*(1-EXP(-Constantes!$D$23)))</f>
        <v>0</v>
      </c>
      <c r="BM528" s="76">
        <f t="shared" si="124"/>
        <v>0.67847528603523621</v>
      </c>
      <c r="BN528" s="76">
        <f t="shared" si="125"/>
        <v>0.80418538762571379</v>
      </c>
      <c r="BO528" s="76">
        <f>0.0526*BI528*Observaciones!$F527^1.218</f>
        <v>0</v>
      </c>
      <c r="BP528" s="76">
        <f>BO528*Constantes!$F$51</f>
        <v>0</v>
      </c>
      <c r="BQ528" s="76">
        <f t="shared" si="126"/>
        <v>0</v>
      </c>
      <c r="BR528" s="40"/>
    </row>
    <row r="529" spans="2:70">
      <c r="B529" s="39"/>
      <c r="C529" s="75">
        <v>523</v>
      </c>
      <c r="D529" s="146">
        <f>ETo!$I528*((1-Constantes!$F$19)*ETo!$K528+ETo!$L528)</f>
        <v>2.6241672219202226</v>
      </c>
      <c r="E529" s="76">
        <f>MIN(D529*Constantes!$F$17,0.8*(N528+Observaciones!$F528-F529-M529-Constantes!$D$14))</f>
        <v>1.4965934205933691</v>
      </c>
      <c r="F529" s="76">
        <f>IF(Observaciones!$F528&gt;0.05*Constantes!$F$18,((Observaciones!$F528-0.05*Constantes!$F$18)^2)/(Observaciones!$F528+0.95*Constantes!$F$18),0)</f>
        <v>0</v>
      </c>
      <c r="G529" s="76">
        <f>IF(Escenarios!$F$11&gt;0,(F529*Escenarios!$F$16*10000)/1000,0)</f>
        <v>0</v>
      </c>
      <c r="H529" s="76">
        <f>IF(Escenarios!$F$11&gt;0,(Observaciones!$F528*Constantes!$F$29)/1000,0)</f>
        <v>0</v>
      </c>
      <c r="I529" s="76">
        <f>IF(Escenarios!$F$11&gt;0,(D529*Constantes!$F$29)/1000,0)</f>
        <v>0</v>
      </c>
      <c r="J529" s="76">
        <f>IF(Escenarios!$F$11&gt;0,MAX(0,G529+H529-I529),0)</f>
        <v>0</v>
      </c>
      <c r="K529" s="76">
        <f>IF(Escenarios!$F$11&gt;0,IF(J529&gt;Constantes!$F$30,1000*((J529-Constantes!$F$30)/(Escenarios!$F$16*10000)),0),F529)</f>
        <v>0</v>
      </c>
      <c r="L529" s="76">
        <f>IF(Escenarios!$F$11&gt;0,I529*1000/Escenarios!$F$16/10000+E529,E529)</f>
        <v>1.4965934205933691</v>
      </c>
      <c r="M529" s="76">
        <f>MAX(0,N528+Observaciones!$F528-K529-Constantes!$D$13)</f>
        <v>0</v>
      </c>
      <c r="N529" s="76">
        <f>N528+Observaciones!$F528-K529-L529-M529-O528</f>
        <v>13.804241590806372</v>
      </c>
      <c r="O529" s="76">
        <f>MAX(0,(N529-Constantes!$D$14)*(1-EXP(-Constantes!$D$22)))</f>
        <v>8.7006845395707383E-2</v>
      </c>
      <c r="P529" s="170">
        <f>P528+(Entradas!$F$83*M529-Q528)/(800*Entradas!$D$25)</f>
        <v>0</v>
      </c>
      <c r="Q529" s="170">
        <f>8000*Entradas!$D$26*P529/Constantes!$F$45</f>
        <v>0</v>
      </c>
      <c r="R529" s="170">
        <f>IF(Escenarios!$F$14&gt;0,K529*Escenarios!$F$13/Escenarios!$F$14,0)</f>
        <v>0</v>
      </c>
      <c r="S529" s="170">
        <f>IF(Escenarios!$F$14&gt;0,Q529*Escenarios!$F$13/Escenarios!$F$14,0)</f>
        <v>0</v>
      </c>
      <c r="T529" s="170">
        <f>IF(Escenarios!$F$14&gt;0,Observaciones!$I528,0)</f>
        <v>0</v>
      </c>
      <c r="U529" s="170">
        <f>IF(Escenarios!$F$14&gt;0,MAX(0,Constantes!$F$36/((Z528+R529+S529+T529+Observaciones!$F528)^2)+Entradas!$F$77),0)</f>
        <v>0</v>
      </c>
      <c r="V529" s="146">
        <f>IF(ETo!D528&gt;0,ETo!I528*((1-Entradas!$F$81)*ETo!K528+ETo!L528),0)</f>
        <v>2.2860076464270906</v>
      </c>
      <c r="W529" s="170">
        <f>IF(Escenarios!$F$14&gt;0,MIN(V529*1,0.8*(Z528+R529+S529+T529+Observaciones!$F528-U529-Constantes!$F$35)),0)</f>
        <v>1.0757154348323865</v>
      </c>
      <c r="X529" s="170">
        <f>IF(Escenarios!$F$14&gt;0,Observaciones!$J528,0)</f>
        <v>0</v>
      </c>
      <c r="Y529" s="170">
        <f>IF(Escenarios!$F$14&gt;0,MAX(0,Z528+R529+S529+T529+Observaciones!$F528-U529-W529-X529-Constantes!$F$33),0)</f>
        <v>0</v>
      </c>
      <c r="Z529" s="170">
        <f>Z528+R529+S529+T529+Observaciones!$F528-U529-W529-Y529</f>
        <v>41.518928858708094</v>
      </c>
      <c r="AA529" s="170">
        <f>IF(Escenarios!$F$14&gt;0,(Escenarios!$F$13*L529+Escenarios!$F$14*W529)/(Escenarios!$F$16),L529)</f>
        <v>1.4460880623020511</v>
      </c>
      <c r="AB529" s="170">
        <f>IF(Escenarios!$F$14&gt;0,(Escenarios!$F$14*Y529)/(Escenarios!$F$16),K529)</f>
        <v>0</v>
      </c>
      <c r="AC529" s="170">
        <f>IF(Escenarios!$F$14&gt;0,(Escenarios!$F$13*M529+Escenarios!$F$14*U529)/(Escenarios!$F$16),M529)</f>
        <v>0</v>
      </c>
      <c r="AD529" s="76">
        <f t="shared" si="113"/>
        <v>109.16678329126552</v>
      </c>
      <c r="AE529" s="76">
        <f>MAX(0,(AD529-Constantes!$D$13)*(1-EXP(-Constantes!$D$23)))</f>
        <v>0.59530095592548582</v>
      </c>
      <c r="AF529" s="76">
        <f>AB529+O529*Escenarios!$F$13/Escenarios!$F$16+AE529</f>
        <v>0.67186697987370836</v>
      </c>
      <c r="AG529" s="76">
        <f>IF(Entradas!$F$91&gt;0,IF(AF529-Escenarios!$F$38&lt;=0,0,IF(AF529-Escenarios!$F$38&gt;Escenarios!$F$37,Escenarios!$F$37,AF529-Escenarios!$F$38)),0)</f>
        <v>0</v>
      </c>
      <c r="AH529" s="76">
        <f>AG529*Entradas!$F$99</f>
        <v>0</v>
      </c>
      <c r="AI529" s="76">
        <f>IF(Entradas!$F$91&gt;0,D529*Entradas!$D$23/Escenarios!$F$16,0)</f>
        <v>0.12596002665217068</v>
      </c>
      <c r="AJ529" s="76">
        <f>IF(Entradas!$F$91&gt;0,Entradas!$D$24*Entradas!$D$22/Escenarios!$F$16,0)</f>
        <v>0.12</v>
      </c>
      <c r="AK529" s="76">
        <f t="shared" si="114"/>
        <v>1.5720480889542219</v>
      </c>
      <c r="AL529" s="76">
        <f t="shared" si="115"/>
        <v>0</v>
      </c>
      <c r="AM529" s="76">
        <f t="shared" si="116"/>
        <v>0</v>
      </c>
      <c r="AN529" s="76">
        <f>MAX(0,O529*Escenarios!$F$13/Escenarios!$F$16-AM529)</f>
        <v>7.6566023948222497E-2</v>
      </c>
      <c r="AO529" s="76">
        <f>AM529+AN529-O529*Escenarios!$F$13/Escenarios!$F$16</f>
        <v>0</v>
      </c>
      <c r="AP529" s="76">
        <f t="shared" si="117"/>
        <v>0.59530095592548582</v>
      </c>
      <c r="AQ529" s="76">
        <f t="shared" si="118"/>
        <v>0</v>
      </c>
      <c r="AR529" s="76">
        <f t="shared" si="119"/>
        <v>0.67186697987370836</v>
      </c>
      <c r="AS529" s="76">
        <f t="shared" si="120"/>
        <v>0</v>
      </c>
      <c r="AT529" s="76">
        <f t="shared" si="121"/>
        <v>0</v>
      </c>
      <c r="AU529" s="76">
        <f t="shared" si="122"/>
        <v>53.726663234822212</v>
      </c>
      <c r="AV529" s="76">
        <f>MAX(0,(AU529-Constantes!$D$13)*(1-EXP(-Constantes!$D$24)))</f>
        <v>7.6069527106390214E-2</v>
      </c>
      <c r="AW529" s="170">
        <f>AW528+(Entradas!$F$112*AT529-AX528)/(800*Entradas!$D$25)</f>
        <v>0</v>
      </c>
      <c r="AX529" s="170">
        <f>8000*Entradas!$D$26*AW529/Constantes!$F$45</f>
        <v>0</v>
      </c>
      <c r="AY529" s="170">
        <f>IF(Escenarios!$F$17&gt;0,10*Escenarios!$F$16*AL529,0)</f>
        <v>0</v>
      </c>
      <c r="AZ529" s="170">
        <f>IF(Escenarios!$F$17&gt;0,10*Escenarios!$F$16*AX529,0)</f>
        <v>0</v>
      </c>
      <c r="BA529" s="170">
        <f>IF(Escenarios!$F$17&gt;0,0.001*Observaciones!$F528*Escenarios!$F$17,0)</f>
        <v>0</v>
      </c>
      <c r="BB529" s="170">
        <f>IF(Escenarios!$F$17&gt;0,Observaciones!$K528,0)</f>
        <v>0</v>
      </c>
      <c r="BC529" s="170">
        <f>IF(Escenarios!$F$17&gt;0,MIN(0.0005*ETo!$M528*Escenarios!$F$17*(BG528/Constantes!$F$40)^(2/3),BG528+AY529+AZ529+BA529+BB529),0)</f>
        <v>0</v>
      </c>
      <c r="BD529" s="170">
        <f>IF(Escenarios!$F$17&gt;0,MIN(Constantes!$F$39*(BG528/Constantes!$F$40)^(2/3),BG528+AY529+AZ529+BA529+BB529-BC529),0)</f>
        <v>0</v>
      </c>
      <c r="BE529" s="170">
        <f>IF(Escenarios!$F$17&gt;0,MIN(Entradas!$F$113,BG528+AY529+AZ529+BA529+BB529-BC529-BD529),0)</f>
        <v>0</v>
      </c>
      <c r="BF529" s="170">
        <f>IF(Escenarios!$F$17&gt;0,MAX(0,BG528+AY529+AZ529+BA529+BB529-BC529-BD529-BE529-Constantes!$F$40),0)</f>
        <v>0</v>
      </c>
      <c r="BG529" s="170">
        <f t="shared" si="123"/>
        <v>0</v>
      </c>
      <c r="BH529" s="170">
        <f>(Escenarios!$F$16*AK529+0.1*BC529)/(Escenarios!$F$19)</f>
        <v>1.5720480889542219</v>
      </c>
      <c r="BI529" s="170">
        <f>IF(Escenarios!$F$17&gt;0,BF529/10/Escenarios!$F$19,AL529)</f>
        <v>0</v>
      </c>
      <c r="BJ529" s="170">
        <f>(Escenarios!$F$16*AT529+0.1*BD529)/(Escenarios!$F$19)</f>
        <v>0</v>
      </c>
      <c r="BK529" s="76">
        <f>BK528+(0.1*BD529)/(Escenarios!$F$19)-BL528</f>
        <v>48.75</v>
      </c>
      <c r="BL529" s="76">
        <f>MAX(0,(BK529-Constantes!$D$13)*(1-EXP(-Constantes!$D$23)))</f>
        <v>0</v>
      </c>
      <c r="BM529" s="76">
        <f t="shared" si="124"/>
        <v>0.67137048303187608</v>
      </c>
      <c r="BN529" s="76">
        <f t="shared" si="125"/>
        <v>0.74793650698009861</v>
      </c>
      <c r="BO529" s="76">
        <f>0.0526*BI529*Observaciones!$F528^1.218</f>
        <v>0</v>
      </c>
      <c r="BP529" s="76">
        <f>BO529*Constantes!$F$51</f>
        <v>0</v>
      </c>
      <c r="BQ529" s="76">
        <f t="shared" si="126"/>
        <v>0</v>
      </c>
      <c r="BR529" s="40"/>
    </row>
    <row r="530" spans="2:70">
      <c r="B530" s="39"/>
      <c r="C530" s="75">
        <v>524</v>
      </c>
      <c r="D530" s="146">
        <f>ETo!$I529*((1-Constantes!$F$19)*ETo!$K529+ETo!$L529)</f>
        <v>2.6479037508674073</v>
      </c>
      <c r="E530" s="76">
        <f>MIN(D530*Constantes!$F$17,0.8*(N529+Observaciones!$F529-F530-M530-Constantes!$D$14))</f>
        <v>1.5101306421367762</v>
      </c>
      <c r="F530" s="76">
        <f>IF(Observaciones!$F529&gt;0.05*Constantes!$F$18,((Observaciones!$F529-0.05*Constantes!$F$18)^2)/(Observaciones!$F529+0.95*Constantes!$F$18),0)</f>
        <v>0</v>
      </c>
      <c r="G530" s="76">
        <f>IF(Escenarios!$F$11&gt;0,(F530*Escenarios!$F$16*10000)/1000,0)</f>
        <v>0</v>
      </c>
      <c r="H530" s="76">
        <f>IF(Escenarios!$F$11&gt;0,(Observaciones!$F529*Constantes!$F$29)/1000,0)</f>
        <v>0</v>
      </c>
      <c r="I530" s="76">
        <f>IF(Escenarios!$F$11&gt;0,(D530*Constantes!$F$29)/1000,0)</f>
        <v>0</v>
      </c>
      <c r="J530" s="76">
        <f>IF(Escenarios!$F$11&gt;0,MAX(0,G530+H530-I530),0)</f>
        <v>0</v>
      </c>
      <c r="K530" s="76">
        <f>IF(Escenarios!$F$11&gt;0,IF(J530&gt;Constantes!$F$30,1000*((J530-Constantes!$F$30)/(Escenarios!$F$16*10000)),0),F530)</f>
        <v>0</v>
      </c>
      <c r="L530" s="76">
        <f>IF(Escenarios!$F$11&gt;0,I530*1000/Escenarios!$F$16/10000+E530,E530)</f>
        <v>1.5101306421367762</v>
      </c>
      <c r="M530" s="76">
        <f>MAX(0,N529+Observaciones!$F529-K530-Constantes!$D$13)</f>
        <v>0</v>
      </c>
      <c r="N530" s="76">
        <f>N529+Observaciones!$F529-K530-L530-M530-O529</f>
        <v>12.207104103273888</v>
      </c>
      <c r="O530" s="76">
        <f>MAX(0,(N530-Constantes!$D$14)*(1-EXP(-Constantes!$D$22)))</f>
        <v>3.2602479358602339E-2</v>
      </c>
      <c r="P530" s="170">
        <f>P529+(Entradas!$F$83*M530-Q529)/(800*Entradas!$D$25)</f>
        <v>0</v>
      </c>
      <c r="Q530" s="170">
        <f>8000*Entradas!$D$26*P530/Constantes!$F$45</f>
        <v>0</v>
      </c>
      <c r="R530" s="170">
        <f>IF(Escenarios!$F$14&gt;0,K530*Escenarios!$F$13/Escenarios!$F$14,0)</f>
        <v>0</v>
      </c>
      <c r="S530" s="170">
        <f>IF(Escenarios!$F$14&gt;0,Q530*Escenarios!$F$13/Escenarios!$F$14,0)</f>
        <v>0</v>
      </c>
      <c r="T530" s="170">
        <f>IF(Escenarios!$F$14&gt;0,Observaciones!$I529,0)</f>
        <v>0</v>
      </c>
      <c r="U530" s="170">
        <f>IF(Escenarios!$F$14&gt;0,MAX(0,Constantes!$F$36/((Z529+R530+S530+T530+Observaciones!$F529)^2)+Entradas!$F$77),0)</f>
        <v>0</v>
      </c>
      <c r="V530" s="146">
        <f>IF(ETo!D529&gt;0,ETo!I529*((1-Entradas!$F$81)*ETo!K529+ETo!L529),0)</f>
        <v>2.3067094358505993</v>
      </c>
      <c r="W530" s="170">
        <f>IF(Escenarios!$F$14&gt;0,MIN(V530*1,0.8*(Z529+R530+S530+T530+Observaciones!$F529-U530-Constantes!$F$35)),0)</f>
        <v>0.21514308696647505</v>
      </c>
      <c r="X530" s="170">
        <f>IF(Escenarios!$F$14&gt;0,Observaciones!$J529,0)</f>
        <v>0</v>
      </c>
      <c r="Y530" s="170">
        <f>IF(Escenarios!$F$14&gt;0,MAX(0,Z529+R530+S530+T530+Observaciones!$F529-U530-W530-X530-Constantes!$F$33),0)</f>
        <v>0</v>
      </c>
      <c r="Z530" s="170">
        <f>Z529+R530+S530+T530+Observaciones!$F529-U530-W530-Y530</f>
        <v>41.303785771741616</v>
      </c>
      <c r="AA530" s="170">
        <f>IF(Escenarios!$F$14&gt;0,(Escenarios!$F$13*L530+Escenarios!$F$14*W530)/(Escenarios!$F$16),L530)</f>
        <v>1.3547321355163402</v>
      </c>
      <c r="AB530" s="170">
        <f>IF(Escenarios!$F$14&gt;0,(Escenarios!$F$14*Y530)/(Escenarios!$F$16),K530)</f>
        <v>0</v>
      </c>
      <c r="AC530" s="170">
        <f>IF(Escenarios!$F$14&gt;0,(Escenarios!$F$13*M530+Escenarios!$F$14*U530)/(Escenarios!$F$16),M530)</f>
        <v>0</v>
      </c>
      <c r="AD530" s="76">
        <f t="shared" si="113"/>
        <v>108.57148233534004</v>
      </c>
      <c r="AE530" s="76">
        <f>MAX(0,(AD530-Constantes!$D$13)*(1-EXP(-Constantes!$D$23)))</f>
        <v>0.58943531381711112</v>
      </c>
      <c r="AF530" s="76">
        <f>AB530+O530*Escenarios!$F$13/Escenarios!$F$16+AE530</f>
        <v>0.61812549565268116</v>
      </c>
      <c r="AG530" s="76">
        <f>IF(Entradas!$F$91&gt;0,IF(AF530-Escenarios!$F$38&lt;=0,0,IF(AF530-Escenarios!$F$38&gt;Escenarios!$F$37,Escenarios!$F$37,AF530-Escenarios!$F$38)),0)</f>
        <v>0</v>
      </c>
      <c r="AH530" s="76">
        <f>AG530*Entradas!$F$99</f>
        <v>0</v>
      </c>
      <c r="AI530" s="76">
        <f>IF(Entradas!$F$91&gt;0,D530*Entradas!$D$23/Escenarios!$F$16,0)</f>
        <v>0.12709938004163557</v>
      </c>
      <c r="AJ530" s="76">
        <f>IF(Entradas!$F$91&gt;0,Entradas!$D$24*Entradas!$D$22/Escenarios!$F$16,0)</f>
        <v>0.12</v>
      </c>
      <c r="AK530" s="76">
        <f t="shared" si="114"/>
        <v>1.4818315155579758</v>
      </c>
      <c r="AL530" s="76">
        <f t="shared" si="115"/>
        <v>0</v>
      </c>
      <c r="AM530" s="76">
        <f t="shared" si="116"/>
        <v>0</v>
      </c>
      <c r="AN530" s="76">
        <f>MAX(0,O530*Escenarios!$F$13/Escenarios!$F$16-AM530)</f>
        <v>2.869018183557006E-2</v>
      </c>
      <c r="AO530" s="76">
        <f>AM530+AN530-O530*Escenarios!$F$13/Escenarios!$F$16</f>
        <v>0</v>
      </c>
      <c r="AP530" s="76">
        <f t="shared" si="117"/>
        <v>0.58943531381711112</v>
      </c>
      <c r="AQ530" s="76">
        <f t="shared" si="118"/>
        <v>0</v>
      </c>
      <c r="AR530" s="76">
        <f t="shared" si="119"/>
        <v>0.61812549565268116</v>
      </c>
      <c r="AS530" s="76">
        <f t="shared" si="120"/>
        <v>0</v>
      </c>
      <c r="AT530" s="76">
        <f t="shared" si="121"/>
        <v>0</v>
      </c>
      <c r="AU530" s="76">
        <f t="shared" si="122"/>
        <v>53.650593707715821</v>
      </c>
      <c r="AV530" s="76">
        <f>MAX(0,(AU530-Constantes!$D$13)*(1-EXP(-Constantes!$D$24)))</f>
        <v>7.4906785590408045E-2</v>
      </c>
      <c r="AW530" s="170">
        <f>AW529+(Entradas!$F$112*AT530-AX529)/(800*Entradas!$D$25)</f>
        <v>0</v>
      </c>
      <c r="AX530" s="170">
        <f>8000*Entradas!$D$26*AW530/Constantes!$F$45</f>
        <v>0</v>
      </c>
      <c r="AY530" s="170">
        <f>IF(Escenarios!$F$17&gt;0,10*Escenarios!$F$16*AL530,0)</f>
        <v>0</v>
      </c>
      <c r="AZ530" s="170">
        <f>IF(Escenarios!$F$17&gt;0,10*Escenarios!$F$16*AX530,0)</f>
        <v>0</v>
      </c>
      <c r="BA530" s="170">
        <f>IF(Escenarios!$F$17&gt;0,0.001*Observaciones!$F529*Escenarios!$F$17,0)</f>
        <v>0</v>
      </c>
      <c r="BB530" s="170">
        <f>IF(Escenarios!$F$17&gt;0,Observaciones!$K529,0)</f>
        <v>0</v>
      </c>
      <c r="BC530" s="170">
        <f>IF(Escenarios!$F$17&gt;0,MIN(0.0005*ETo!$M529*Escenarios!$F$17*(BG529/Constantes!$F$40)^(2/3),BG529+AY530+AZ530+BA530+BB530),0)</f>
        <v>0</v>
      </c>
      <c r="BD530" s="170">
        <f>IF(Escenarios!$F$17&gt;0,MIN(Constantes!$F$39*(BG529/Constantes!$F$40)^(2/3),BG529+AY530+AZ530+BA530+BB530-BC530),0)</f>
        <v>0</v>
      </c>
      <c r="BE530" s="170">
        <f>IF(Escenarios!$F$17&gt;0,MIN(Entradas!$F$113,BG529+AY530+AZ530+BA530+BB530-BC530-BD530),0)</f>
        <v>0</v>
      </c>
      <c r="BF530" s="170">
        <f>IF(Escenarios!$F$17&gt;0,MAX(0,BG529+AY530+AZ530+BA530+BB530-BC530-BD530-BE530-Constantes!$F$40),0)</f>
        <v>0</v>
      </c>
      <c r="BG530" s="170">
        <f t="shared" si="123"/>
        <v>0</v>
      </c>
      <c r="BH530" s="170">
        <f>(Escenarios!$F$16*AK530+0.1*BC530)/(Escenarios!$F$19)</f>
        <v>1.4818315155579758</v>
      </c>
      <c r="BI530" s="170">
        <f>IF(Escenarios!$F$17&gt;0,BF530/10/Escenarios!$F$19,AL530)</f>
        <v>0</v>
      </c>
      <c r="BJ530" s="170">
        <f>(Escenarios!$F$16*AT530+0.1*BD530)/(Escenarios!$F$19)</f>
        <v>0</v>
      </c>
      <c r="BK530" s="76">
        <f>BK529+(0.1*BD530)/(Escenarios!$F$19)-BL529</f>
        <v>48.75</v>
      </c>
      <c r="BL530" s="76">
        <f>MAX(0,(BK530-Constantes!$D$13)*(1-EXP(-Constantes!$D$23)))</f>
        <v>0</v>
      </c>
      <c r="BM530" s="76">
        <f t="shared" si="124"/>
        <v>0.6643420994075192</v>
      </c>
      <c r="BN530" s="76">
        <f t="shared" si="125"/>
        <v>0.69303228124308924</v>
      </c>
      <c r="BO530" s="76">
        <f>0.0526*BI530*Observaciones!$F529^1.218</f>
        <v>0</v>
      </c>
      <c r="BP530" s="76">
        <f>BO530*Constantes!$F$51</f>
        <v>0</v>
      </c>
      <c r="BQ530" s="76">
        <f t="shared" si="126"/>
        <v>0</v>
      </c>
      <c r="BR530" s="40"/>
    </row>
    <row r="531" spans="2:70">
      <c r="B531" s="39"/>
      <c r="C531" s="75">
        <v>525</v>
      </c>
      <c r="D531" s="146">
        <f>ETo!$I530*((1-Constantes!$F$19)*ETo!$K530+ETo!$L530)</f>
        <v>2.5082356632335574</v>
      </c>
      <c r="E531" s="76">
        <f>MIN(D531*Constantes!$F$17,0.8*(N530+Observaciones!$F530-F531-M531-Constantes!$D$14))</f>
        <v>1.4304762895964209</v>
      </c>
      <c r="F531" s="76">
        <f>IF(Observaciones!$F530&gt;0.05*Constantes!$F$18,((Observaciones!$F530-0.05*Constantes!$F$18)^2)/(Observaciones!$F530+0.95*Constantes!$F$18),0)</f>
        <v>0</v>
      </c>
      <c r="G531" s="76">
        <f>IF(Escenarios!$F$11&gt;0,(F531*Escenarios!$F$16*10000)/1000,0)</f>
        <v>0</v>
      </c>
      <c r="H531" s="76">
        <f>IF(Escenarios!$F$11&gt;0,(Observaciones!$F530*Constantes!$F$29)/1000,0)</f>
        <v>0</v>
      </c>
      <c r="I531" s="76">
        <f>IF(Escenarios!$F$11&gt;0,(D531*Constantes!$F$29)/1000,0)</f>
        <v>0</v>
      </c>
      <c r="J531" s="76">
        <f>IF(Escenarios!$F$11&gt;0,MAX(0,G531+H531-I531),0)</f>
        <v>0</v>
      </c>
      <c r="K531" s="76">
        <f>IF(Escenarios!$F$11&gt;0,IF(J531&gt;Constantes!$F$30,1000*((J531-Constantes!$F$30)/(Escenarios!$F$16*10000)),0),F531)</f>
        <v>0</v>
      </c>
      <c r="L531" s="76">
        <f>IF(Escenarios!$F$11&gt;0,I531*1000/Escenarios!$F$16/10000+E531,E531)</f>
        <v>1.4304762895964209</v>
      </c>
      <c r="M531" s="76">
        <f>MAX(0,N530+Observaciones!$F530-K531-Constantes!$D$13)</f>
        <v>0</v>
      </c>
      <c r="N531" s="76">
        <f>N530+Observaciones!$F530-K531-L531-M531-O530</f>
        <v>12.444025334318866</v>
      </c>
      <c r="O531" s="76">
        <f>MAX(0,(N531-Constantes!$D$14)*(1-EXP(-Constantes!$D$22)))</f>
        <v>4.0672886243639114E-2</v>
      </c>
      <c r="P531" s="170">
        <f>P530+(Entradas!$F$83*M531-Q530)/(800*Entradas!$D$25)</f>
        <v>0</v>
      </c>
      <c r="Q531" s="170">
        <f>8000*Entradas!$D$26*P531/Constantes!$F$45</f>
        <v>0</v>
      </c>
      <c r="R531" s="170">
        <f>IF(Escenarios!$F$14&gt;0,K531*Escenarios!$F$13/Escenarios!$F$14,0)</f>
        <v>0</v>
      </c>
      <c r="S531" s="170">
        <f>IF(Escenarios!$F$14&gt;0,Q531*Escenarios!$F$13/Escenarios!$F$14,0)</f>
        <v>0</v>
      </c>
      <c r="T531" s="170">
        <f>IF(Escenarios!$F$14&gt;0,Observaciones!$I530,0)</f>
        <v>0</v>
      </c>
      <c r="U531" s="170">
        <f>IF(Escenarios!$F$14&gt;0,MAX(0,Constantes!$F$36/((Z530+R531+S531+T531+Observaciones!$F530)^2)+Entradas!$F$77),0)</f>
        <v>0</v>
      </c>
      <c r="V531" s="146">
        <f>IF(ETo!D530&gt;0,ETo!I530*((1-Entradas!$F$81)*ETo!K530+ETo!L530),0)</f>
        <v>2.1836847084703606</v>
      </c>
      <c r="W531" s="170">
        <f>IF(Escenarios!$F$14&gt;0,MIN(V531*1,0.8*(Z530+R531+S531+T531+Observaciones!$F530-U531-Constantes!$F$35)),0)</f>
        <v>1.4030286173932951</v>
      </c>
      <c r="X531" s="170">
        <f>IF(Escenarios!$F$14&gt;0,Observaciones!$J530,0)</f>
        <v>0</v>
      </c>
      <c r="Y531" s="170">
        <f>IF(Escenarios!$F$14&gt;0,MAX(0,Z530+R531+S531+T531+Observaciones!$F530-U531-W531-X531-Constantes!$F$33),0)</f>
        <v>0</v>
      </c>
      <c r="Z531" s="170">
        <f>Z530+R531+S531+T531+Observaciones!$F530-U531-W531-Y531</f>
        <v>41.600757154348322</v>
      </c>
      <c r="AA531" s="170">
        <f>IF(Escenarios!$F$14&gt;0,(Escenarios!$F$13*L531+Escenarios!$F$14*W531)/(Escenarios!$F$16),L531)</f>
        <v>1.4271825689320459</v>
      </c>
      <c r="AB531" s="170">
        <f>IF(Escenarios!$F$14&gt;0,(Escenarios!$F$14*Y531)/(Escenarios!$F$16),K531)</f>
        <v>0</v>
      </c>
      <c r="AC531" s="170">
        <f>IF(Escenarios!$F$14&gt;0,(Escenarios!$F$13*M531+Escenarios!$F$14*U531)/(Escenarios!$F$16),M531)</f>
        <v>0</v>
      </c>
      <c r="AD531" s="76">
        <f t="shared" si="113"/>
        <v>107.98204702152293</v>
      </c>
      <c r="AE531" s="76">
        <f>MAX(0,(AD531-Constantes!$D$13)*(1-EXP(-Constantes!$D$23)))</f>
        <v>0.58362746727751735</v>
      </c>
      <c r="AF531" s="76">
        <f>AB531+O531*Escenarios!$F$13/Escenarios!$F$16+AE531</f>
        <v>0.61941960717191979</v>
      </c>
      <c r="AG531" s="76">
        <f>IF(Entradas!$F$91&gt;0,IF(AF531-Escenarios!$F$38&lt;=0,0,IF(AF531-Escenarios!$F$38&gt;Escenarios!$F$37,Escenarios!$F$37,AF531-Escenarios!$F$38)),0)</f>
        <v>0</v>
      </c>
      <c r="AH531" s="76">
        <f>AG531*Entradas!$F$99</f>
        <v>0</v>
      </c>
      <c r="AI531" s="76">
        <f>IF(Entradas!$F$91&gt;0,D531*Entradas!$D$23/Escenarios!$F$16,0)</f>
        <v>0.12039531183521075</v>
      </c>
      <c r="AJ531" s="76">
        <f>IF(Entradas!$F$91&gt;0,Entradas!$D$24*Entradas!$D$22/Escenarios!$F$16,0)</f>
        <v>0.12</v>
      </c>
      <c r="AK531" s="76">
        <f t="shared" si="114"/>
        <v>1.5475778807672567</v>
      </c>
      <c r="AL531" s="76">
        <f t="shared" si="115"/>
        <v>0</v>
      </c>
      <c r="AM531" s="76">
        <f t="shared" si="116"/>
        <v>0</v>
      </c>
      <c r="AN531" s="76">
        <f>MAX(0,O531*Escenarios!$F$13/Escenarios!$F$16-AM531)</f>
        <v>3.5792139894402421E-2</v>
      </c>
      <c r="AO531" s="76">
        <f>AM531+AN531-O531*Escenarios!$F$13/Escenarios!$F$16</f>
        <v>0</v>
      </c>
      <c r="AP531" s="76">
        <f t="shared" si="117"/>
        <v>0.58362746727751735</v>
      </c>
      <c r="AQ531" s="76">
        <f t="shared" si="118"/>
        <v>0</v>
      </c>
      <c r="AR531" s="76">
        <f t="shared" si="119"/>
        <v>0.61941960717191979</v>
      </c>
      <c r="AS531" s="76">
        <f t="shared" si="120"/>
        <v>0</v>
      </c>
      <c r="AT531" s="76">
        <f t="shared" si="121"/>
        <v>0</v>
      </c>
      <c r="AU531" s="76">
        <f t="shared" si="122"/>
        <v>53.575686922125414</v>
      </c>
      <c r="AV531" s="76">
        <f>MAX(0,(AU531-Constantes!$D$13)*(1-EXP(-Constantes!$D$24)))</f>
        <v>7.3761816865771088E-2</v>
      </c>
      <c r="AW531" s="170">
        <f>AW530+(Entradas!$F$112*AT531-AX530)/(800*Entradas!$D$25)</f>
        <v>0</v>
      </c>
      <c r="AX531" s="170">
        <f>8000*Entradas!$D$26*AW531/Constantes!$F$45</f>
        <v>0</v>
      </c>
      <c r="AY531" s="170">
        <f>IF(Escenarios!$F$17&gt;0,10*Escenarios!$F$16*AL531,0)</f>
        <v>0</v>
      </c>
      <c r="AZ531" s="170">
        <f>IF(Escenarios!$F$17&gt;0,10*Escenarios!$F$16*AX531,0)</f>
        <v>0</v>
      </c>
      <c r="BA531" s="170">
        <f>IF(Escenarios!$F$17&gt;0,0.001*Observaciones!$F530*Escenarios!$F$17,0)</f>
        <v>0</v>
      </c>
      <c r="BB531" s="170">
        <f>IF(Escenarios!$F$17&gt;0,Observaciones!$K530,0)</f>
        <v>0</v>
      </c>
      <c r="BC531" s="170">
        <f>IF(Escenarios!$F$17&gt;0,MIN(0.0005*ETo!$M530*Escenarios!$F$17*(BG530/Constantes!$F$40)^(2/3),BG530+AY531+AZ531+BA531+BB531),0)</f>
        <v>0</v>
      </c>
      <c r="BD531" s="170">
        <f>IF(Escenarios!$F$17&gt;0,MIN(Constantes!$F$39*(BG530/Constantes!$F$40)^(2/3),BG530+AY531+AZ531+BA531+BB531-BC531),0)</f>
        <v>0</v>
      </c>
      <c r="BE531" s="170">
        <f>IF(Escenarios!$F$17&gt;0,MIN(Entradas!$F$113,BG530+AY531+AZ531+BA531+BB531-BC531-BD531),0)</f>
        <v>0</v>
      </c>
      <c r="BF531" s="170">
        <f>IF(Escenarios!$F$17&gt;0,MAX(0,BG530+AY531+AZ531+BA531+BB531-BC531-BD531-BE531-Constantes!$F$40),0)</f>
        <v>0</v>
      </c>
      <c r="BG531" s="170">
        <f t="shared" si="123"/>
        <v>0</v>
      </c>
      <c r="BH531" s="170">
        <f>(Escenarios!$F$16*AK531+0.1*BC531)/(Escenarios!$F$19)</f>
        <v>1.5475778807672567</v>
      </c>
      <c r="BI531" s="170">
        <f>IF(Escenarios!$F$17&gt;0,BF531/10/Escenarios!$F$19,AL531)</f>
        <v>0</v>
      </c>
      <c r="BJ531" s="170">
        <f>(Escenarios!$F$16*AT531+0.1*BD531)/(Escenarios!$F$19)</f>
        <v>0</v>
      </c>
      <c r="BK531" s="76">
        <f>BK530+(0.1*BD531)/(Escenarios!$F$19)-BL530</f>
        <v>48.75</v>
      </c>
      <c r="BL531" s="76">
        <f>MAX(0,(BK531-Constantes!$D$13)*(1-EXP(-Constantes!$D$23)))</f>
        <v>0</v>
      </c>
      <c r="BM531" s="76">
        <f t="shared" si="124"/>
        <v>0.65738928414328845</v>
      </c>
      <c r="BN531" s="76">
        <f t="shared" si="125"/>
        <v>0.6931814240376909</v>
      </c>
      <c r="BO531" s="76">
        <f>0.0526*BI531*Observaciones!$F530^1.218</f>
        <v>0</v>
      </c>
      <c r="BP531" s="76">
        <f>BO531*Constantes!$F$51</f>
        <v>0</v>
      </c>
      <c r="BQ531" s="76">
        <f t="shared" si="126"/>
        <v>0</v>
      </c>
      <c r="BR531" s="40"/>
    </row>
    <row r="532" spans="2:70">
      <c r="B532" s="39"/>
      <c r="C532" s="75">
        <v>526</v>
      </c>
      <c r="D532" s="146">
        <f>ETo!$I531*((1-Constantes!$F$19)*ETo!$K531+ETo!$L531)</f>
        <v>2.4546927836241008</v>
      </c>
      <c r="E532" s="76">
        <f>MIN(D532*Constantes!$F$17,0.8*(N531+Observaciones!$F531-F532-M532-Constantes!$D$14))</f>
        <v>1.3999401558189022</v>
      </c>
      <c r="F532" s="76">
        <f>IF(Observaciones!$F531&gt;0.05*Constantes!$F$18,((Observaciones!$F531-0.05*Constantes!$F$18)^2)/(Observaciones!$F531+0.95*Constantes!$F$18),0)</f>
        <v>0</v>
      </c>
      <c r="G532" s="76">
        <f>IF(Escenarios!$F$11&gt;0,(F532*Escenarios!$F$16*10000)/1000,0)</f>
        <v>0</v>
      </c>
      <c r="H532" s="76">
        <f>IF(Escenarios!$F$11&gt;0,(Observaciones!$F531*Constantes!$F$29)/1000,0)</f>
        <v>0</v>
      </c>
      <c r="I532" s="76">
        <f>IF(Escenarios!$F$11&gt;0,(D532*Constantes!$F$29)/1000,0)</f>
        <v>0</v>
      </c>
      <c r="J532" s="76">
        <f>IF(Escenarios!$F$11&gt;0,MAX(0,G532+H532-I532),0)</f>
        <v>0</v>
      </c>
      <c r="K532" s="76">
        <f>IF(Escenarios!$F$11&gt;0,IF(J532&gt;Constantes!$F$30,1000*((J532-Constantes!$F$30)/(Escenarios!$F$16*10000)),0),F532)</f>
        <v>0</v>
      </c>
      <c r="L532" s="76">
        <f>IF(Escenarios!$F$11&gt;0,I532*1000/Escenarios!$F$16/10000+E532,E532)</f>
        <v>1.3999401558189022</v>
      </c>
      <c r="M532" s="76">
        <f>MAX(0,N531+Observaciones!$F531-K532-Constantes!$D$13)</f>
        <v>0</v>
      </c>
      <c r="N532" s="76">
        <f>N531+Observaciones!$F531-K532-L532-M532-O531</f>
        <v>12.303412292256326</v>
      </c>
      <c r="O532" s="76">
        <f>MAX(0,(N532-Constantes!$D$14)*(1-EXP(-Constantes!$D$22)))</f>
        <v>3.5883089829943891E-2</v>
      </c>
      <c r="P532" s="170">
        <f>P531+(Entradas!$F$83*M532-Q531)/(800*Entradas!$D$25)</f>
        <v>0</v>
      </c>
      <c r="Q532" s="170">
        <f>8000*Entradas!$D$26*P532/Constantes!$F$45</f>
        <v>0</v>
      </c>
      <c r="R532" s="170">
        <f>IF(Escenarios!$F$14&gt;0,K532*Escenarios!$F$13/Escenarios!$F$14,0)</f>
        <v>0</v>
      </c>
      <c r="S532" s="170">
        <f>IF(Escenarios!$F$14&gt;0,Q532*Escenarios!$F$13/Escenarios!$F$14,0)</f>
        <v>0</v>
      </c>
      <c r="T532" s="170">
        <f>IF(Escenarios!$F$14&gt;0,Observaciones!$I531,0)</f>
        <v>0</v>
      </c>
      <c r="U532" s="170">
        <f>IF(Escenarios!$F$14&gt;0,MAX(0,Constantes!$F$36/((Z531+R532+S532+T532+Observaciones!$F531)^2)+Entradas!$F$77),0)</f>
        <v>0</v>
      </c>
      <c r="V532" s="146">
        <f>IF(ETo!D531&gt;0,ETo!I531*((1-Entradas!$F$81)*ETo!K531+ETo!L531),0)</f>
        <v>2.1366520112961207</v>
      </c>
      <c r="W532" s="170">
        <f>IF(Escenarios!$F$14&gt;0,MIN(V532*1,0.8*(Z531+R532+S532+T532+Observaciones!$F531-U532-Constantes!$F$35)),0)</f>
        <v>1.3206057234786557</v>
      </c>
      <c r="X532" s="170">
        <f>IF(Escenarios!$F$14&gt;0,Observaciones!$J531,0)</f>
        <v>0</v>
      </c>
      <c r="Y532" s="170">
        <f>IF(Escenarios!$F$14&gt;0,MAX(0,Z531+R532+S532+T532+Observaciones!$F531-U532-W532-X532-Constantes!$F$33),0)</f>
        <v>0</v>
      </c>
      <c r="Z532" s="170">
        <f>Z531+R532+S532+T532+Observaciones!$F531-U532-W532-Y532</f>
        <v>41.580151430869662</v>
      </c>
      <c r="AA532" s="170">
        <f>IF(Escenarios!$F$14&gt;0,(Escenarios!$F$13*L532+Escenarios!$F$14*W532)/(Escenarios!$F$16),L532)</f>
        <v>1.3904200239380726</v>
      </c>
      <c r="AB532" s="170">
        <f>IF(Escenarios!$F$14&gt;0,(Escenarios!$F$14*Y532)/(Escenarios!$F$16),K532)</f>
        <v>0</v>
      </c>
      <c r="AC532" s="170">
        <f>IF(Escenarios!$F$14&gt;0,(Escenarios!$F$13*M532+Escenarios!$F$14*U532)/(Escenarios!$F$16),M532)</f>
        <v>0</v>
      </c>
      <c r="AD532" s="76">
        <f t="shared" si="113"/>
        <v>107.39841955424541</v>
      </c>
      <c r="AE532" s="76">
        <f>MAX(0,(AD532-Constantes!$D$13)*(1-EXP(-Constantes!$D$23)))</f>
        <v>0.5778768468331994</v>
      </c>
      <c r="AF532" s="76">
        <f>AB532+O532*Escenarios!$F$13/Escenarios!$F$16+AE532</f>
        <v>0.60945396588355005</v>
      </c>
      <c r="AG532" s="76">
        <f>IF(Entradas!$F$91&gt;0,IF(AF532-Escenarios!$F$38&lt;=0,0,IF(AF532-Escenarios!$F$38&gt;Escenarios!$F$37,Escenarios!$F$37,AF532-Escenarios!$F$38)),0)</f>
        <v>0</v>
      </c>
      <c r="AH532" s="76">
        <f>AG532*Entradas!$F$99</f>
        <v>0</v>
      </c>
      <c r="AI532" s="76">
        <f>IF(Entradas!$F$91&gt;0,D532*Entradas!$D$23/Escenarios!$F$16,0)</f>
        <v>0.11782525361395685</v>
      </c>
      <c r="AJ532" s="76">
        <f>IF(Entradas!$F$91&gt;0,Entradas!$D$24*Entradas!$D$22/Escenarios!$F$16,0)</f>
        <v>0.12</v>
      </c>
      <c r="AK532" s="76">
        <f t="shared" si="114"/>
        <v>1.5082452775520294</v>
      </c>
      <c r="AL532" s="76">
        <f t="shared" si="115"/>
        <v>0</v>
      </c>
      <c r="AM532" s="76">
        <f t="shared" si="116"/>
        <v>0</v>
      </c>
      <c r="AN532" s="76">
        <f>MAX(0,O532*Escenarios!$F$13/Escenarios!$F$16-AM532)</f>
        <v>3.1577119050350627E-2</v>
      </c>
      <c r="AO532" s="76">
        <f>AM532+AN532-O532*Escenarios!$F$13/Escenarios!$F$16</f>
        <v>0</v>
      </c>
      <c r="AP532" s="76">
        <f t="shared" si="117"/>
        <v>0.5778768468331994</v>
      </c>
      <c r="AQ532" s="76">
        <f t="shared" si="118"/>
        <v>0</v>
      </c>
      <c r="AR532" s="76">
        <f t="shared" si="119"/>
        <v>0.60945396588355005</v>
      </c>
      <c r="AS532" s="76">
        <f t="shared" si="120"/>
        <v>0</v>
      </c>
      <c r="AT532" s="76">
        <f t="shared" si="121"/>
        <v>0</v>
      </c>
      <c r="AU532" s="76">
        <f t="shared" si="122"/>
        <v>53.501925105259645</v>
      </c>
      <c r="AV532" s="76">
        <f>MAX(0,(AU532-Constantes!$D$13)*(1-EXP(-Constantes!$D$24)))</f>
        <v>7.2634349270972565E-2</v>
      </c>
      <c r="AW532" s="170">
        <f>AW531+(Entradas!$F$112*AT532-AX531)/(800*Entradas!$D$25)</f>
        <v>0</v>
      </c>
      <c r="AX532" s="170">
        <f>8000*Entradas!$D$26*AW532/Constantes!$F$45</f>
        <v>0</v>
      </c>
      <c r="AY532" s="170">
        <f>IF(Escenarios!$F$17&gt;0,10*Escenarios!$F$16*AL532,0)</f>
        <v>0</v>
      </c>
      <c r="AZ532" s="170">
        <f>IF(Escenarios!$F$17&gt;0,10*Escenarios!$F$16*AX532,0)</f>
        <v>0</v>
      </c>
      <c r="BA532" s="170">
        <f>IF(Escenarios!$F$17&gt;0,0.001*Observaciones!$F531*Escenarios!$F$17,0)</f>
        <v>0</v>
      </c>
      <c r="BB532" s="170">
        <f>IF(Escenarios!$F$17&gt;0,Observaciones!$K531,0)</f>
        <v>0</v>
      </c>
      <c r="BC532" s="170">
        <f>IF(Escenarios!$F$17&gt;0,MIN(0.0005*ETo!$M531*Escenarios!$F$17*(BG531/Constantes!$F$40)^(2/3),BG531+AY532+AZ532+BA532+BB532),0)</f>
        <v>0</v>
      </c>
      <c r="BD532" s="170">
        <f>IF(Escenarios!$F$17&gt;0,MIN(Constantes!$F$39*(BG531/Constantes!$F$40)^(2/3),BG531+AY532+AZ532+BA532+BB532-BC532),0)</f>
        <v>0</v>
      </c>
      <c r="BE532" s="170">
        <f>IF(Escenarios!$F$17&gt;0,MIN(Entradas!$F$113,BG531+AY532+AZ532+BA532+BB532-BC532-BD532),0)</f>
        <v>0</v>
      </c>
      <c r="BF532" s="170">
        <f>IF(Escenarios!$F$17&gt;0,MAX(0,BG531+AY532+AZ532+BA532+BB532-BC532-BD532-BE532-Constantes!$F$40),0)</f>
        <v>0</v>
      </c>
      <c r="BG532" s="170">
        <f t="shared" si="123"/>
        <v>0</v>
      </c>
      <c r="BH532" s="170">
        <f>(Escenarios!$F$16*AK532+0.1*BC532)/(Escenarios!$F$19)</f>
        <v>1.5082452775520294</v>
      </c>
      <c r="BI532" s="170">
        <f>IF(Escenarios!$F$17&gt;0,BF532/10/Escenarios!$F$19,AL532)</f>
        <v>0</v>
      </c>
      <c r="BJ532" s="170">
        <f>(Escenarios!$F$16*AT532+0.1*BD532)/(Escenarios!$F$19)</f>
        <v>0</v>
      </c>
      <c r="BK532" s="76">
        <f>BK531+(0.1*BD532)/(Escenarios!$F$19)-BL531</f>
        <v>48.75</v>
      </c>
      <c r="BL532" s="76">
        <f>MAX(0,(BK532-Constantes!$D$13)*(1-EXP(-Constantes!$D$23)))</f>
        <v>0</v>
      </c>
      <c r="BM532" s="76">
        <f t="shared" si="124"/>
        <v>0.65051119610417196</v>
      </c>
      <c r="BN532" s="76">
        <f t="shared" si="125"/>
        <v>0.68208831515452262</v>
      </c>
      <c r="BO532" s="76">
        <f>0.0526*BI532*Observaciones!$F531^1.218</f>
        <v>0</v>
      </c>
      <c r="BP532" s="76">
        <f>BO532*Constantes!$F$51</f>
        <v>0</v>
      </c>
      <c r="BQ532" s="76">
        <f t="shared" si="126"/>
        <v>0</v>
      </c>
      <c r="BR532" s="40"/>
    </row>
    <row r="533" spans="2:70">
      <c r="B533" s="39"/>
      <c r="C533" s="75">
        <v>527</v>
      </c>
      <c r="D533" s="146">
        <f>ETo!$I532*((1-Constantes!$F$19)*ETo!$K532+ETo!$L532)</f>
        <v>2.5452557234395483</v>
      </c>
      <c r="E533" s="76">
        <f>MIN(D533*Constantes!$F$17,0.8*(N532+Observaciones!$F532-F533-M533-Constantes!$D$14))</f>
        <v>1.082729833805061</v>
      </c>
      <c r="F533" s="76">
        <f>IF(Observaciones!$F532&gt;0.05*Constantes!$F$18,((Observaciones!$F532-0.05*Constantes!$F$18)^2)/(Observaciones!$F532+0.95*Constantes!$F$18),0)</f>
        <v>0</v>
      </c>
      <c r="G533" s="76">
        <f>IF(Escenarios!$F$11&gt;0,(F533*Escenarios!$F$16*10000)/1000,0)</f>
        <v>0</v>
      </c>
      <c r="H533" s="76">
        <f>IF(Escenarios!$F$11&gt;0,(Observaciones!$F532*Constantes!$F$29)/1000,0)</f>
        <v>0</v>
      </c>
      <c r="I533" s="76">
        <f>IF(Escenarios!$F$11&gt;0,(D533*Constantes!$F$29)/1000,0)</f>
        <v>0</v>
      </c>
      <c r="J533" s="76">
        <f>IF(Escenarios!$F$11&gt;0,MAX(0,G533+H533-I533),0)</f>
        <v>0</v>
      </c>
      <c r="K533" s="76">
        <f>IF(Escenarios!$F$11&gt;0,IF(J533&gt;Constantes!$F$30,1000*((J533-Constantes!$F$30)/(Escenarios!$F$16*10000)),0),F533)</f>
        <v>0</v>
      </c>
      <c r="L533" s="76">
        <f>IF(Escenarios!$F$11&gt;0,I533*1000/Escenarios!$F$16/10000+E533,E533)</f>
        <v>1.082729833805061</v>
      </c>
      <c r="M533" s="76">
        <f>MAX(0,N532+Observaciones!$F532-K533-Constantes!$D$13)</f>
        <v>0</v>
      </c>
      <c r="N533" s="76">
        <f>N532+Observaciones!$F532-K533-L533-M533-O532</f>
        <v>11.484799368621321</v>
      </c>
      <c r="O533" s="76">
        <f>MAX(0,(N533-Constantes!$D$14)*(1-EXP(-Constantes!$D$22)))</f>
        <v>7.9981284613705999E-3</v>
      </c>
      <c r="P533" s="170">
        <f>P532+(Entradas!$F$83*M533-Q532)/(800*Entradas!$D$25)</f>
        <v>0</v>
      </c>
      <c r="Q533" s="170">
        <f>8000*Entradas!$D$26*P533/Constantes!$F$45</f>
        <v>0</v>
      </c>
      <c r="R533" s="170">
        <f>IF(Escenarios!$F$14&gt;0,K533*Escenarios!$F$13/Escenarios!$F$14,0)</f>
        <v>0</v>
      </c>
      <c r="S533" s="170">
        <f>IF(Escenarios!$F$14&gt;0,Q533*Escenarios!$F$13/Escenarios!$F$14,0)</f>
        <v>0</v>
      </c>
      <c r="T533" s="170">
        <f>IF(Escenarios!$F$14&gt;0,Observaciones!$I532,0)</f>
        <v>0</v>
      </c>
      <c r="U533" s="170">
        <f>IF(Escenarios!$F$14&gt;0,MAX(0,Constantes!$F$36/((Z532+R533+S533+T533+Observaciones!$F532)^2)+Entradas!$F$77),0)</f>
        <v>0</v>
      </c>
      <c r="V533" s="146">
        <f>IF(ETo!D532&gt;0,ETo!I532*((1-Entradas!$F$81)*ETo!K532+ETo!L532),0)</f>
        <v>2.2156819119867008</v>
      </c>
      <c r="W533" s="170">
        <f>IF(Escenarios!$F$14&gt;0,MIN(V533*1,0.8*(Z532+R533+S533+T533+Observaciones!$F532-U533-Constantes!$F$35)),0)</f>
        <v>0.50412114469572777</v>
      </c>
      <c r="X533" s="170">
        <f>IF(Escenarios!$F$14&gt;0,Observaciones!$J532,0)</f>
        <v>0</v>
      </c>
      <c r="Y533" s="170">
        <f>IF(Escenarios!$F$14&gt;0,MAX(0,Z532+R533+S533+T533+Observaciones!$F532-U533-W533-X533-Constantes!$F$33),0)</f>
        <v>0</v>
      </c>
      <c r="Z533" s="170">
        <f>Z532+R533+S533+T533+Observaciones!$F532-U533-W533-Y533</f>
        <v>41.376030286173929</v>
      </c>
      <c r="AA533" s="170">
        <f>IF(Escenarios!$F$14&gt;0,(Escenarios!$F$13*L533+Escenarios!$F$14*W533)/(Escenarios!$F$16),L533)</f>
        <v>1.013296791111941</v>
      </c>
      <c r="AB533" s="170">
        <f>IF(Escenarios!$F$14&gt;0,(Escenarios!$F$14*Y533)/(Escenarios!$F$16),K533)</f>
        <v>0</v>
      </c>
      <c r="AC533" s="170">
        <f>IF(Escenarios!$F$14&gt;0,(Escenarios!$F$13*M533+Escenarios!$F$14*U533)/(Escenarios!$F$16),M533)</f>
        <v>0</v>
      </c>
      <c r="AD533" s="76">
        <f t="shared" si="113"/>
        <v>106.8205427074122</v>
      </c>
      <c r="AE533" s="76">
        <f>MAX(0,(AD533-Constantes!$D$13)*(1-EXP(-Constantes!$D$23)))</f>
        <v>0.57218288862181044</v>
      </c>
      <c r="AF533" s="76">
        <f>AB533+O533*Escenarios!$F$13/Escenarios!$F$16+AE533</f>
        <v>0.57922124166781652</v>
      </c>
      <c r="AG533" s="76">
        <f>IF(Entradas!$F$91&gt;0,IF(AF533-Escenarios!$F$38&lt;=0,0,IF(AF533-Escenarios!$F$38&gt;Escenarios!$F$37,Escenarios!$F$37,AF533-Escenarios!$F$38)),0)</f>
        <v>0</v>
      </c>
      <c r="AH533" s="76">
        <f>AG533*Entradas!$F$99</f>
        <v>0</v>
      </c>
      <c r="AI533" s="76">
        <f>IF(Entradas!$F$91&gt;0,D533*Entradas!$D$23/Escenarios!$F$16,0)</f>
        <v>0.12217227472509831</v>
      </c>
      <c r="AJ533" s="76">
        <f>IF(Entradas!$F$91&gt;0,Entradas!$D$24*Entradas!$D$22/Escenarios!$F$16,0)</f>
        <v>0.12</v>
      </c>
      <c r="AK533" s="76">
        <f t="shared" si="114"/>
        <v>1.1354690658370394</v>
      </c>
      <c r="AL533" s="76">
        <f t="shared" si="115"/>
        <v>0</v>
      </c>
      <c r="AM533" s="76">
        <f t="shared" si="116"/>
        <v>0</v>
      </c>
      <c r="AN533" s="76">
        <f>MAX(0,O533*Escenarios!$F$13/Escenarios!$F$16-AM533)</f>
        <v>7.0383530460061275E-3</v>
      </c>
      <c r="AO533" s="76">
        <f>AM533+AN533-O533*Escenarios!$F$13/Escenarios!$F$16</f>
        <v>0</v>
      </c>
      <c r="AP533" s="76">
        <f t="shared" si="117"/>
        <v>0.57218288862181044</v>
      </c>
      <c r="AQ533" s="76">
        <f t="shared" si="118"/>
        <v>0</v>
      </c>
      <c r="AR533" s="76">
        <f t="shared" si="119"/>
        <v>0.57922124166781652</v>
      </c>
      <c r="AS533" s="76">
        <f t="shared" si="120"/>
        <v>0</v>
      </c>
      <c r="AT533" s="76">
        <f t="shared" si="121"/>
        <v>0</v>
      </c>
      <c r="AU533" s="76">
        <f t="shared" si="122"/>
        <v>53.429290755988674</v>
      </c>
      <c r="AV533" s="76">
        <f>MAX(0,(AU533-Constantes!$D$13)*(1-EXP(-Constantes!$D$24)))</f>
        <v>7.1524115296918975E-2</v>
      </c>
      <c r="AW533" s="170">
        <f>AW532+(Entradas!$F$112*AT533-AX532)/(800*Entradas!$D$25)</f>
        <v>0</v>
      </c>
      <c r="AX533" s="170">
        <f>8000*Entradas!$D$26*AW533/Constantes!$F$45</f>
        <v>0</v>
      </c>
      <c r="AY533" s="170">
        <f>IF(Escenarios!$F$17&gt;0,10*Escenarios!$F$16*AL533,0)</f>
        <v>0</v>
      </c>
      <c r="AZ533" s="170">
        <f>IF(Escenarios!$F$17&gt;0,10*Escenarios!$F$16*AX533,0)</f>
        <v>0</v>
      </c>
      <c r="BA533" s="170">
        <f>IF(Escenarios!$F$17&gt;0,0.001*Observaciones!$F532*Escenarios!$F$17,0)</f>
        <v>0</v>
      </c>
      <c r="BB533" s="170">
        <f>IF(Escenarios!$F$17&gt;0,Observaciones!$K532,0)</f>
        <v>0</v>
      </c>
      <c r="BC533" s="170">
        <f>IF(Escenarios!$F$17&gt;0,MIN(0.0005*ETo!$M532*Escenarios!$F$17*(BG532/Constantes!$F$40)^(2/3),BG532+AY533+AZ533+BA533+BB533),0)</f>
        <v>0</v>
      </c>
      <c r="BD533" s="170">
        <f>IF(Escenarios!$F$17&gt;0,MIN(Constantes!$F$39*(BG532/Constantes!$F$40)^(2/3),BG532+AY533+AZ533+BA533+BB533-BC533),0)</f>
        <v>0</v>
      </c>
      <c r="BE533" s="170">
        <f>IF(Escenarios!$F$17&gt;0,MIN(Entradas!$F$113,BG532+AY533+AZ533+BA533+BB533-BC533-BD533),0)</f>
        <v>0</v>
      </c>
      <c r="BF533" s="170">
        <f>IF(Escenarios!$F$17&gt;0,MAX(0,BG532+AY533+AZ533+BA533+BB533-BC533-BD533-BE533-Constantes!$F$40),0)</f>
        <v>0</v>
      </c>
      <c r="BG533" s="170">
        <f t="shared" si="123"/>
        <v>0</v>
      </c>
      <c r="BH533" s="170">
        <f>(Escenarios!$F$16*AK533+0.1*BC533)/(Escenarios!$F$19)</f>
        <v>1.1354690658370394</v>
      </c>
      <c r="BI533" s="170">
        <f>IF(Escenarios!$F$17&gt;0,BF533/10/Escenarios!$F$19,AL533)</f>
        <v>0</v>
      </c>
      <c r="BJ533" s="170">
        <f>(Escenarios!$F$16*AT533+0.1*BD533)/(Escenarios!$F$19)</f>
        <v>0</v>
      </c>
      <c r="BK533" s="76">
        <f>BK532+(0.1*BD533)/(Escenarios!$F$19)-BL532</f>
        <v>48.75</v>
      </c>
      <c r="BL533" s="76">
        <f>MAX(0,(BK533-Constantes!$D$13)*(1-EXP(-Constantes!$D$23)))</f>
        <v>0</v>
      </c>
      <c r="BM533" s="76">
        <f t="shared" si="124"/>
        <v>0.64370700391872937</v>
      </c>
      <c r="BN533" s="76">
        <f t="shared" si="125"/>
        <v>0.65074535696473546</v>
      </c>
      <c r="BO533" s="76">
        <f>0.0526*BI533*Observaciones!$F532^1.218</f>
        <v>0</v>
      </c>
      <c r="BP533" s="76">
        <f>BO533*Constantes!$F$51</f>
        <v>0</v>
      </c>
      <c r="BQ533" s="76">
        <f t="shared" si="126"/>
        <v>0</v>
      </c>
      <c r="BR533" s="40"/>
    </row>
    <row r="534" spans="2:70">
      <c r="B534" s="39"/>
      <c r="C534" s="75">
        <v>528</v>
      </c>
      <c r="D534" s="146">
        <f>ETo!$I533*((1-Constantes!$F$19)*ETo!$K533+ETo!$L533)</f>
        <v>2.6461536532840229</v>
      </c>
      <c r="E534" s="76">
        <f>MIN(D534*Constantes!$F$17,0.8*(N533+Observaciones!$F533-F534-M534-Constantes!$D$14))</f>
        <v>0.18783949489705665</v>
      </c>
      <c r="F534" s="76">
        <f>IF(Observaciones!$F533&gt;0.05*Constantes!$F$18,((Observaciones!$F533-0.05*Constantes!$F$18)^2)/(Observaciones!$F533+0.95*Constantes!$F$18),0)</f>
        <v>0</v>
      </c>
      <c r="G534" s="76">
        <f>IF(Escenarios!$F$11&gt;0,(F534*Escenarios!$F$16*10000)/1000,0)</f>
        <v>0</v>
      </c>
      <c r="H534" s="76">
        <f>IF(Escenarios!$F$11&gt;0,(Observaciones!$F533*Constantes!$F$29)/1000,0)</f>
        <v>0</v>
      </c>
      <c r="I534" s="76">
        <f>IF(Escenarios!$F$11&gt;0,(D534*Constantes!$F$29)/1000,0)</f>
        <v>0</v>
      </c>
      <c r="J534" s="76">
        <f>IF(Escenarios!$F$11&gt;0,MAX(0,G534+H534-I534),0)</f>
        <v>0</v>
      </c>
      <c r="K534" s="76">
        <f>IF(Escenarios!$F$11&gt;0,IF(J534&gt;Constantes!$F$30,1000*((J534-Constantes!$F$30)/(Escenarios!$F$16*10000)),0),F534)</f>
        <v>0</v>
      </c>
      <c r="L534" s="76">
        <f>IF(Escenarios!$F$11&gt;0,I534*1000/Escenarios!$F$16/10000+E534,E534)</f>
        <v>0.18783949489705665</v>
      </c>
      <c r="M534" s="76">
        <f>MAX(0,N533+Observaciones!$F533-K534-Constantes!$D$13)</f>
        <v>0</v>
      </c>
      <c r="N534" s="76">
        <f>N533+Observaciones!$F533-K534-L534-M534-O533</f>
        <v>11.288961745262894</v>
      </c>
      <c r="O534" s="76">
        <f>MAX(0,(N534-Constantes!$D$14)*(1-EXP(-Constantes!$D$22)))</f>
        <v>1.3271800751491641E-3</v>
      </c>
      <c r="P534" s="170">
        <f>P533+(Entradas!$F$83*M534-Q533)/(800*Entradas!$D$25)</f>
        <v>0</v>
      </c>
      <c r="Q534" s="170">
        <f>8000*Entradas!$D$26*P534/Constantes!$F$45</f>
        <v>0</v>
      </c>
      <c r="R534" s="170">
        <f>IF(Escenarios!$F$14&gt;0,K534*Escenarios!$F$13/Escenarios!$F$14,0)</f>
        <v>0</v>
      </c>
      <c r="S534" s="170">
        <f>IF(Escenarios!$F$14&gt;0,Q534*Escenarios!$F$13/Escenarios!$F$14,0)</f>
        <v>0</v>
      </c>
      <c r="T534" s="170">
        <f>IF(Escenarios!$F$14&gt;0,Observaciones!$I533,0)</f>
        <v>0</v>
      </c>
      <c r="U534" s="170">
        <f>IF(Escenarios!$F$14&gt;0,MAX(0,Constantes!$F$36/((Z533+R534+S534+T534+Observaciones!$F533)^2)+Entradas!$F$77),0)</f>
        <v>0</v>
      </c>
      <c r="V534" s="146">
        <f>IF(ETo!D533&gt;0,ETo!I533*((1-Entradas!$F$81)*ETo!K533+ETo!L533),0)</f>
        <v>2.3043863104612101</v>
      </c>
      <c r="W534" s="170">
        <f>IF(Escenarios!$F$14&gt;0,MIN(V534*1,0.8*(Z533+R534+S534+T534+Observaciones!$F533-U534-Constantes!$F$35)),0)</f>
        <v>0.10082422893914328</v>
      </c>
      <c r="X534" s="170">
        <f>IF(Escenarios!$F$14&gt;0,Observaciones!$J533,0)</f>
        <v>0</v>
      </c>
      <c r="Y534" s="170">
        <f>IF(Escenarios!$F$14&gt;0,MAX(0,Z533+R534+S534+T534+Observaciones!$F533-U534-W534-X534-Constantes!$F$33),0)</f>
        <v>0</v>
      </c>
      <c r="Z534" s="170">
        <f>Z533+R534+S534+T534+Observaciones!$F533-U534-W534-Y534</f>
        <v>41.275206057234783</v>
      </c>
      <c r="AA534" s="170">
        <f>IF(Escenarios!$F$14&gt;0,(Escenarios!$F$13*L534+Escenarios!$F$14*W534)/(Escenarios!$F$16),L534)</f>
        <v>0.17739766298210705</v>
      </c>
      <c r="AB534" s="170">
        <f>IF(Escenarios!$F$14&gt;0,(Escenarios!$F$14*Y534)/(Escenarios!$F$16),K534)</f>
        <v>0</v>
      </c>
      <c r="AC534" s="170">
        <f>IF(Escenarios!$F$14&gt;0,(Escenarios!$F$13*M534+Escenarios!$F$14*U534)/(Escenarios!$F$16),M534)</f>
        <v>0</v>
      </c>
      <c r="AD534" s="76">
        <f t="shared" si="113"/>
        <v>106.24835981879039</v>
      </c>
      <c r="AE534" s="76">
        <f>MAX(0,(AD534-Constantes!$D$13)*(1-EXP(-Constantes!$D$23)))</f>
        <v>0.56654503433687342</v>
      </c>
      <c r="AF534" s="76">
        <f>AB534+O534*Escenarios!$F$13/Escenarios!$F$16+AE534</f>
        <v>0.56771295280300471</v>
      </c>
      <c r="AG534" s="76">
        <f>IF(Entradas!$F$91&gt;0,IF(AF534-Escenarios!$F$38&lt;=0,0,IF(AF534-Escenarios!$F$38&gt;Escenarios!$F$37,Escenarios!$F$37,AF534-Escenarios!$F$38)),0)</f>
        <v>0</v>
      </c>
      <c r="AH534" s="76">
        <f>AG534*Entradas!$F$99</f>
        <v>0</v>
      </c>
      <c r="AI534" s="76">
        <f>IF(Entradas!$F$91&gt;0,D534*Entradas!$D$23/Escenarios!$F$16,0)</f>
        <v>0.1270153753576331</v>
      </c>
      <c r="AJ534" s="76">
        <f>IF(Entradas!$F$91&gt;0,Entradas!$D$24*Entradas!$D$22/Escenarios!$F$16,0)</f>
        <v>0.12</v>
      </c>
      <c r="AK534" s="76">
        <f t="shared" si="114"/>
        <v>0.30441303833974015</v>
      </c>
      <c r="AL534" s="76">
        <f t="shared" si="115"/>
        <v>0</v>
      </c>
      <c r="AM534" s="76">
        <f t="shared" si="116"/>
        <v>0</v>
      </c>
      <c r="AN534" s="76">
        <f>MAX(0,O534*Escenarios!$F$13/Escenarios!$F$16-AM534)</f>
        <v>1.1679184661312644E-3</v>
      </c>
      <c r="AO534" s="76">
        <f>AM534+AN534-O534*Escenarios!$F$13/Escenarios!$F$16</f>
        <v>0</v>
      </c>
      <c r="AP534" s="76">
        <f t="shared" si="117"/>
        <v>0.56654503433687342</v>
      </c>
      <c r="AQ534" s="76">
        <f t="shared" si="118"/>
        <v>0</v>
      </c>
      <c r="AR534" s="76">
        <f t="shared" si="119"/>
        <v>0.56771295280300471</v>
      </c>
      <c r="AS534" s="76">
        <f t="shared" si="120"/>
        <v>0</v>
      </c>
      <c r="AT534" s="76">
        <f t="shared" si="121"/>
        <v>0</v>
      </c>
      <c r="AU534" s="76">
        <f t="shared" si="122"/>
        <v>53.357766640691757</v>
      </c>
      <c r="AV534" s="76">
        <f>MAX(0,(AU534-Constantes!$D$13)*(1-EXP(-Constantes!$D$24)))</f>
        <v>7.0430851523459376E-2</v>
      </c>
      <c r="AW534" s="170">
        <f>AW533+(Entradas!$F$112*AT534-AX533)/(800*Entradas!$D$25)</f>
        <v>0</v>
      </c>
      <c r="AX534" s="170">
        <f>8000*Entradas!$D$26*AW534/Constantes!$F$45</f>
        <v>0</v>
      </c>
      <c r="AY534" s="170">
        <f>IF(Escenarios!$F$17&gt;0,10*Escenarios!$F$16*AL534,0)</f>
        <v>0</v>
      </c>
      <c r="AZ534" s="170">
        <f>IF(Escenarios!$F$17&gt;0,10*Escenarios!$F$16*AX534,0)</f>
        <v>0</v>
      </c>
      <c r="BA534" s="170">
        <f>IF(Escenarios!$F$17&gt;0,0.001*Observaciones!$F533*Escenarios!$F$17,0)</f>
        <v>0</v>
      </c>
      <c r="BB534" s="170">
        <f>IF(Escenarios!$F$17&gt;0,Observaciones!$K533,0)</f>
        <v>0</v>
      </c>
      <c r="BC534" s="170">
        <f>IF(Escenarios!$F$17&gt;0,MIN(0.0005*ETo!$M533*Escenarios!$F$17*(BG533/Constantes!$F$40)^(2/3),BG533+AY534+AZ534+BA534+BB534),0)</f>
        <v>0</v>
      </c>
      <c r="BD534" s="170">
        <f>IF(Escenarios!$F$17&gt;0,MIN(Constantes!$F$39*(BG533/Constantes!$F$40)^(2/3),BG533+AY534+AZ534+BA534+BB534-BC534),0)</f>
        <v>0</v>
      </c>
      <c r="BE534" s="170">
        <f>IF(Escenarios!$F$17&gt;0,MIN(Entradas!$F$113,BG533+AY534+AZ534+BA534+BB534-BC534-BD534),0)</f>
        <v>0</v>
      </c>
      <c r="BF534" s="170">
        <f>IF(Escenarios!$F$17&gt;0,MAX(0,BG533+AY534+AZ534+BA534+BB534-BC534-BD534-BE534-Constantes!$F$40),0)</f>
        <v>0</v>
      </c>
      <c r="BG534" s="170">
        <f t="shared" si="123"/>
        <v>0</v>
      </c>
      <c r="BH534" s="170">
        <f>(Escenarios!$F$16*AK534+0.1*BC534)/(Escenarios!$F$19)</f>
        <v>0.30441303833974015</v>
      </c>
      <c r="BI534" s="170">
        <f>IF(Escenarios!$F$17&gt;0,BF534/10/Escenarios!$F$19,AL534)</f>
        <v>0</v>
      </c>
      <c r="BJ534" s="170">
        <f>(Escenarios!$F$16*AT534+0.1*BD534)/(Escenarios!$F$19)</f>
        <v>0</v>
      </c>
      <c r="BK534" s="76">
        <f>BK533+(0.1*BD534)/(Escenarios!$F$19)-BL533</f>
        <v>48.75</v>
      </c>
      <c r="BL534" s="76">
        <f>MAX(0,(BK534-Constantes!$D$13)*(1-EXP(-Constantes!$D$23)))</f>
        <v>0</v>
      </c>
      <c r="BM534" s="76">
        <f t="shared" si="124"/>
        <v>0.63697588586033282</v>
      </c>
      <c r="BN534" s="76">
        <f t="shared" si="125"/>
        <v>0.63814380432646411</v>
      </c>
      <c r="BO534" s="76">
        <f>0.0526*BI534*Observaciones!$F533^1.218</f>
        <v>0</v>
      </c>
      <c r="BP534" s="76">
        <f>BO534*Constantes!$F$51</f>
        <v>0</v>
      </c>
      <c r="BQ534" s="76">
        <f t="shared" si="126"/>
        <v>0</v>
      </c>
      <c r="BR534" s="40"/>
    </row>
    <row r="535" spans="2:70">
      <c r="B535" s="39"/>
      <c r="C535" s="75">
        <v>529</v>
      </c>
      <c r="D535" s="146">
        <f>ETo!$I534*((1-Constantes!$F$19)*ETo!$K534+ETo!$L534)</f>
        <v>2.5029382467736614</v>
      </c>
      <c r="E535" s="76">
        <f>MIN(D535*Constantes!$F$17,0.8*(N534+Observaciones!$F534-F535-M535-Constantes!$D$14))</f>
        <v>3.1169396210314917E-2</v>
      </c>
      <c r="F535" s="76">
        <f>IF(Observaciones!$F534&gt;0.05*Constantes!$F$18,((Observaciones!$F534-0.05*Constantes!$F$18)^2)/(Observaciones!$F534+0.95*Constantes!$F$18),0)</f>
        <v>0</v>
      </c>
      <c r="G535" s="76">
        <f>IF(Escenarios!$F$11&gt;0,(F535*Escenarios!$F$16*10000)/1000,0)</f>
        <v>0</v>
      </c>
      <c r="H535" s="76">
        <f>IF(Escenarios!$F$11&gt;0,(Observaciones!$F534*Constantes!$F$29)/1000,0)</f>
        <v>0</v>
      </c>
      <c r="I535" s="76">
        <f>IF(Escenarios!$F$11&gt;0,(D535*Constantes!$F$29)/1000,0)</f>
        <v>0</v>
      </c>
      <c r="J535" s="76">
        <f>IF(Escenarios!$F$11&gt;0,MAX(0,G535+H535-I535),0)</f>
        <v>0</v>
      </c>
      <c r="K535" s="76">
        <f>IF(Escenarios!$F$11&gt;0,IF(J535&gt;Constantes!$F$30,1000*((J535-Constantes!$F$30)/(Escenarios!$F$16*10000)),0),F535)</f>
        <v>0</v>
      </c>
      <c r="L535" s="76">
        <f>IF(Escenarios!$F$11&gt;0,I535*1000/Escenarios!$F$16/10000+E535,E535)</f>
        <v>3.1169396210314917E-2</v>
      </c>
      <c r="M535" s="76">
        <f>MAX(0,N534+Observaciones!$F534-K535-Constantes!$D$13)</f>
        <v>0</v>
      </c>
      <c r="N535" s="76">
        <f>N534+Observaciones!$F534-K535-L535-M535-O534</f>
        <v>11.25646516897743</v>
      </c>
      <c r="O535" s="76">
        <f>MAX(0,(N535-Constantes!$D$14)*(1-EXP(-Constantes!$D$22)))</f>
        <v>2.2022738949245999E-4</v>
      </c>
      <c r="P535" s="170">
        <f>P534+(Entradas!$F$83*M535-Q534)/(800*Entradas!$D$25)</f>
        <v>0</v>
      </c>
      <c r="Q535" s="170">
        <f>8000*Entradas!$D$26*P535/Constantes!$F$45</f>
        <v>0</v>
      </c>
      <c r="R535" s="170">
        <f>IF(Escenarios!$F$14&gt;0,K535*Escenarios!$F$13/Escenarios!$F$14,0)</f>
        <v>0</v>
      </c>
      <c r="S535" s="170">
        <f>IF(Escenarios!$F$14&gt;0,Q535*Escenarios!$F$13/Escenarios!$F$14,0)</f>
        <v>0</v>
      </c>
      <c r="T535" s="170">
        <f>IF(Escenarios!$F$14&gt;0,Observaciones!$I534,0)</f>
        <v>0</v>
      </c>
      <c r="U535" s="170">
        <f>IF(Escenarios!$F$14&gt;0,MAX(0,Constantes!$F$36/((Z534+R535+S535+T535+Observaciones!$F534)^2)+Entradas!$F$77),0)</f>
        <v>0</v>
      </c>
      <c r="V535" s="146">
        <f>IF(ETo!D534&gt;0,ETo!I534*((1-Entradas!$F$81)*ETo!K534+ETo!L534),0)</f>
        <v>2.178200713501572</v>
      </c>
      <c r="W535" s="170">
        <f>IF(Escenarios!$F$14&gt;0,MIN(V535*1,0.8*(Z534+R535+S535+T535+Observaciones!$F534-U535-Constantes!$F$35)),0)</f>
        <v>2.0164845787826381E-2</v>
      </c>
      <c r="X535" s="170">
        <f>IF(Escenarios!$F$14&gt;0,Observaciones!$J534,0)</f>
        <v>0</v>
      </c>
      <c r="Y535" s="170">
        <f>IF(Escenarios!$F$14&gt;0,MAX(0,Z534+R535+S535+T535+Observaciones!$F534-U535-W535-X535-Constantes!$F$33),0)</f>
        <v>0</v>
      </c>
      <c r="Z535" s="170">
        <f>Z534+R535+S535+T535+Observaciones!$F534-U535-W535-Y535</f>
        <v>41.255041211446958</v>
      </c>
      <c r="AA535" s="170">
        <f>IF(Escenarios!$F$14&gt;0,(Escenarios!$F$13*L535+Escenarios!$F$14*W535)/(Escenarios!$F$16),L535)</f>
        <v>2.9848850159616296E-2</v>
      </c>
      <c r="AB535" s="170">
        <f>IF(Escenarios!$F$14&gt;0,(Escenarios!$F$14*Y535)/(Escenarios!$F$16),K535)</f>
        <v>0</v>
      </c>
      <c r="AC535" s="170">
        <f>IF(Escenarios!$F$14&gt;0,(Escenarios!$F$13*M535+Escenarios!$F$14*U535)/(Escenarios!$F$16),M535)</f>
        <v>0</v>
      </c>
      <c r="AD535" s="76">
        <f t="shared" si="113"/>
        <v>105.68181478445352</v>
      </c>
      <c r="AE535" s="76">
        <f>MAX(0,(AD535-Constantes!$D$13)*(1-EXP(-Constantes!$D$23)))</f>
        <v>0.5609627311730383</v>
      </c>
      <c r="AF535" s="76">
        <f>AB535+O535*Escenarios!$F$13/Escenarios!$F$16+AE535</f>
        <v>0.56115653127579168</v>
      </c>
      <c r="AG535" s="76">
        <f>IF(Entradas!$F$91&gt;0,IF(AF535-Escenarios!$F$38&lt;=0,0,IF(AF535-Escenarios!$F$38&gt;Escenarios!$F$37,Escenarios!$F$37,AF535-Escenarios!$F$38)),0)</f>
        <v>0</v>
      </c>
      <c r="AH535" s="76">
        <f>AG535*Entradas!$F$99</f>
        <v>0</v>
      </c>
      <c r="AI535" s="76">
        <f>IF(Entradas!$F$91&gt;0,D535*Entradas!$D$23/Escenarios!$F$16,0)</f>
        <v>0.12014103584513575</v>
      </c>
      <c r="AJ535" s="76">
        <f>IF(Entradas!$F$91&gt;0,Entradas!$D$24*Entradas!$D$22/Escenarios!$F$16,0)</f>
        <v>0.12</v>
      </c>
      <c r="AK535" s="76">
        <f t="shared" si="114"/>
        <v>0.14998988600475205</v>
      </c>
      <c r="AL535" s="76">
        <f t="shared" si="115"/>
        <v>0</v>
      </c>
      <c r="AM535" s="76">
        <f t="shared" si="116"/>
        <v>0</v>
      </c>
      <c r="AN535" s="76">
        <f>MAX(0,O535*Escenarios!$F$13/Escenarios!$F$16-AM535)</f>
        <v>1.9380010275336478E-4</v>
      </c>
      <c r="AO535" s="76">
        <f>AM535+AN535-O535*Escenarios!$F$13/Escenarios!$F$16</f>
        <v>0</v>
      </c>
      <c r="AP535" s="76">
        <f t="shared" si="117"/>
        <v>0.5609627311730383</v>
      </c>
      <c r="AQ535" s="76">
        <f t="shared" si="118"/>
        <v>0</v>
      </c>
      <c r="AR535" s="76">
        <f t="shared" si="119"/>
        <v>0.56115653127579168</v>
      </c>
      <c r="AS535" s="76">
        <f t="shared" si="120"/>
        <v>0</v>
      </c>
      <c r="AT535" s="76">
        <f t="shared" si="121"/>
        <v>0</v>
      </c>
      <c r="AU535" s="76">
        <f t="shared" si="122"/>
        <v>53.287335789168296</v>
      </c>
      <c r="AV535" s="76">
        <f>MAX(0,(AU535-Constantes!$D$13)*(1-EXP(-Constantes!$D$24)))</f>
        <v>6.9354298556884866E-2</v>
      </c>
      <c r="AW535" s="170">
        <f>AW534+(Entradas!$F$112*AT535-AX534)/(800*Entradas!$D$25)</f>
        <v>0</v>
      </c>
      <c r="AX535" s="170">
        <f>8000*Entradas!$D$26*AW535/Constantes!$F$45</f>
        <v>0</v>
      </c>
      <c r="AY535" s="170">
        <f>IF(Escenarios!$F$17&gt;0,10*Escenarios!$F$16*AL535,0)</f>
        <v>0</v>
      </c>
      <c r="AZ535" s="170">
        <f>IF(Escenarios!$F$17&gt;0,10*Escenarios!$F$16*AX535,0)</f>
        <v>0</v>
      </c>
      <c r="BA535" s="170">
        <f>IF(Escenarios!$F$17&gt;0,0.001*Observaciones!$F534*Escenarios!$F$17,0)</f>
        <v>0</v>
      </c>
      <c r="BB535" s="170">
        <f>IF(Escenarios!$F$17&gt;0,Observaciones!$K534,0)</f>
        <v>0</v>
      </c>
      <c r="BC535" s="170">
        <f>IF(Escenarios!$F$17&gt;0,MIN(0.0005*ETo!$M534*Escenarios!$F$17*(BG534/Constantes!$F$40)^(2/3),BG534+AY535+AZ535+BA535+BB535),0)</f>
        <v>0</v>
      </c>
      <c r="BD535" s="170">
        <f>IF(Escenarios!$F$17&gt;0,MIN(Constantes!$F$39*(BG534/Constantes!$F$40)^(2/3),BG534+AY535+AZ535+BA535+BB535-BC535),0)</f>
        <v>0</v>
      </c>
      <c r="BE535" s="170">
        <f>IF(Escenarios!$F$17&gt;0,MIN(Entradas!$F$113,BG534+AY535+AZ535+BA535+BB535-BC535-BD535),0)</f>
        <v>0</v>
      </c>
      <c r="BF535" s="170">
        <f>IF(Escenarios!$F$17&gt;0,MAX(0,BG534+AY535+AZ535+BA535+BB535-BC535-BD535-BE535-Constantes!$F$40),0)</f>
        <v>0</v>
      </c>
      <c r="BG535" s="170">
        <f t="shared" si="123"/>
        <v>0</v>
      </c>
      <c r="BH535" s="170">
        <f>(Escenarios!$F$16*AK535+0.1*BC535)/(Escenarios!$F$19)</f>
        <v>0.14998988600475205</v>
      </c>
      <c r="BI535" s="170">
        <f>IF(Escenarios!$F$17&gt;0,BF535/10/Escenarios!$F$19,AL535)</f>
        <v>0</v>
      </c>
      <c r="BJ535" s="170">
        <f>(Escenarios!$F$16*AT535+0.1*BD535)/(Escenarios!$F$19)</f>
        <v>0</v>
      </c>
      <c r="BK535" s="76">
        <f>BK534+(0.1*BD535)/(Escenarios!$F$19)-BL534</f>
        <v>48.75</v>
      </c>
      <c r="BL535" s="76">
        <f>MAX(0,(BK535-Constantes!$D$13)*(1-EXP(-Constantes!$D$23)))</f>
        <v>0</v>
      </c>
      <c r="BM535" s="76">
        <f t="shared" si="124"/>
        <v>0.63031702972992321</v>
      </c>
      <c r="BN535" s="76">
        <f t="shared" si="125"/>
        <v>0.63051082983267659</v>
      </c>
      <c r="BO535" s="76">
        <f>0.0526*BI535*Observaciones!$F534^1.218</f>
        <v>0</v>
      </c>
      <c r="BP535" s="76">
        <f>BO535*Constantes!$F$51</f>
        <v>0</v>
      </c>
      <c r="BQ535" s="76">
        <f t="shared" si="126"/>
        <v>0</v>
      </c>
      <c r="BR535" s="40"/>
    </row>
    <row r="536" spans="2:70">
      <c r="B536" s="39"/>
      <c r="C536" s="75">
        <v>530</v>
      </c>
      <c r="D536" s="146">
        <f>ETo!$I535*((1-Constantes!$F$19)*ETo!$K535+ETo!$L535)</f>
        <v>2.5708308123227392</v>
      </c>
      <c r="E536" s="76">
        <f>MIN(D536*Constantes!$F$17,0.8*(N535+Observaciones!$F535-F536-M536-Constantes!$D$14))</f>
        <v>5.1721351819438155E-3</v>
      </c>
      <c r="F536" s="76">
        <f>IF(Observaciones!$F535&gt;0.05*Constantes!$F$18,((Observaciones!$F535-0.05*Constantes!$F$18)^2)/(Observaciones!$F535+0.95*Constantes!$F$18),0)</f>
        <v>0</v>
      </c>
      <c r="G536" s="76">
        <f>IF(Escenarios!$F$11&gt;0,(F536*Escenarios!$F$16*10000)/1000,0)</f>
        <v>0</v>
      </c>
      <c r="H536" s="76">
        <f>IF(Escenarios!$F$11&gt;0,(Observaciones!$F535*Constantes!$F$29)/1000,0)</f>
        <v>0</v>
      </c>
      <c r="I536" s="76">
        <f>IF(Escenarios!$F$11&gt;0,(D536*Constantes!$F$29)/1000,0)</f>
        <v>0</v>
      </c>
      <c r="J536" s="76">
        <f>IF(Escenarios!$F$11&gt;0,MAX(0,G536+H536-I536),0)</f>
        <v>0</v>
      </c>
      <c r="K536" s="76">
        <f>IF(Escenarios!$F$11&gt;0,IF(J536&gt;Constantes!$F$30,1000*((J536-Constantes!$F$30)/(Escenarios!$F$16*10000)),0),F536)</f>
        <v>0</v>
      </c>
      <c r="L536" s="76">
        <f>IF(Escenarios!$F$11&gt;0,I536*1000/Escenarios!$F$16/10000+E536,E536)</f>
        <v>5.1721351819438155E-3</v>
      </c>
      <c r="M536" s="76">
        <f>MAX(0,N535+Observaciones!$F535-K536-Constantes!$D$13)</f>
        <v>0</v>
      </c>
      <c r="N536" s="76">
        <f>N535+Observaciones!$F535-K536-L536-M536-O535</f>
        <v>11.251072806405993</v>
      </c>
      <c r="O536" s="76">
        <f>MAX(0,(N536-Constantes!$D$14)*(1-EXP(-Constantes!$D$22)))</f>
        <v>3.6543724541073513E-5</v>
      </c>
      <c r="P536" s="170">
        <f>P535+(Entradas!$F$83*M536-Q535)/(800*Entradas!$D$25)</f>
        <v>0</v>
      </c>
      <c r="Q536" s="170">
        <f>8000*Entradas!$D$26*P536/Constantes!$F$45</f>
        <v>0</v>
      </c>
      <c r="R536" s="170">
        <f>IF(Escenarios!$F$14&gt;0,K536*Escenarios!$F$13/Escenarios!$F$14,0)</f>
        <v>0</v>
      </c>
      <c r="S536" s="170">
        <f>IF(Escenarios!$F$14&gt;0,Q536*Escenarios!$F$13/Escenarios!$F$14,0)</f>
        <v>0</v>
      </c>
      <c r="T536" s="170">
        <f>IF(Escenarios!$F$14&gt;0,Observaciones!$I535,0)</f>
        <v>0</v>
      </c>
      <c r="U536" s="170">
        <f>IF(Escenarios!$F$14&gt;0,MAX(0,Constantes!$F$36/((Z535+R536+S536+T536+Observaciones!$F535)^2)+Entradas!$F$77),0)</f>
        <v>0</v>
      </c>
      <c r="V536" s="146">
        <f>IF(ETo!D535&gt;0,ETo!I535*((1-Entradas!$F$81)*ETo!K535+ETo!L535),0)</f>
        <v>2.2376405203130401</v>
      </c>
      <c r="W536" s="170">
        <f>IF(Escenarios!$F$14&gt;0,MIN(V536*1,0.8*(Z535+R536+S536+T536+Observaciones!$F535-U536-Constantes!$F$35)),0)</f>
        <v>4.032969157566413E-3</v>
      </c>
      <c r="X536" s="170">
        <f>IF(Escenarios!$F$14&gt;0,Observaciones!$J535,0)</f>
        <v>0</v>
      </c>
      <c r="Y536" s="170">
        <f>IF(Escenarios!$F$14&gt;0,MAX(0,Z535+R536+S536+T536+Observaciones!$F535-U536-W536-X536-Constantes!$F$33),0)</f>
        <v>0</v>
      </c>
      <c r="Z536" s="170">
        <f>Z535+R536+S536+T536+Observaciones!$F535-U536-W536-Y536</f>
        <v>41.251008242289394</v>
      </c>
      <c r="AA536" s="170">
        <f>IF(Escenarios!$F$14&gt;0,(Escenarios!$F$13*L536+Escenarios!$F$14*W536)/(Escenarios!$F$16),L536)</f>
        <v>5.0354352590185275E-3</v>
      </c>
      <c r="AB536" s="170">
        <f>IF(Escenarios!$F$14&gt;0,(Escenarios!$F$14*Y536)/(Escenarios!$F$16),K536)</f>
        <v>0</v>
      </c>
      <c r="AC536" s="170">
        <f>IF(Escenarios!$F$14&gt;0,(Escenarios!$F$13*M536+Escenarios!$F$14*U536)/(Escenarios!$F$16),M536)</f>
        <v>0</v>
      </c>
      <c r="AD536" s="76">
        <f t="shared" si="113"/>
        <v>105.12085205328049</v>
      </c>
      <c r="AE536" s="76">
        <f>MAX(0,(AD536-Constantes!$D$13)*(1-EXP(-Constantes!$D$23)))</f>
        <v>0.55543543177187737</v>
      </c>
      <c r="AF536" s="76">
        <f>AB536+O536*Escenarios!$F$13/Escenarios!$F$16+AE536</f>
        <v>0.55546759024947356</v>
      </c>
      <c r="AG536" s="76">
        <f>IF(Entradas!$F$91&gt;0,IF(AF536-Escenarios!$F$38&lt;=0,0,IF(AF536-Escenarios!$F$38&gt;Escenarios!$F$37,Escenarios!$F$37,AF536-Escenarios!$F$38)),0)</f>
        <v>0</v>
      </c>
      <c r="AH536" s="76">
        <f>AG536*Entradas!$F$99</f>
        <v>0</v>
      </c>
      <c r="AI536" s="76">
        <f>IF(Entradas!$F$91&gt;0,D536*Entradas!$D$23/Escenarios!$F$16,0)</f>
        <v>0.12339987899149148</v>
      </c>
      <c r="AJ536" s="76">
        <f>IF(Entradas!$F$91&gt;0,Entradas!$D$24*Entradas!$D$22/Escenarios!$F$16,0)</f>
        <v>0.12</v>
      </c>
      <c r="AK536" s="76">
        <f t="shared" si="114"/>
        <v>0.12843531425051</v>
      </c>
      <c r="AL536" s="76">
        <f t="shared" si="115"/>
        <v>0</v>
      </c>
      <c r="AM536" s="76">
        <f t="shared" si="116"/>
        <v>0</v>
      </c>
      <c r="AN536" s="76">
        <f>MAX(0,O536*Escenarios!$F$13/Escenarios!$F$16-AM536)</f>
        <v>3.2158477596144693E-5</v>
      </c>
      <c r="AO536" s="76">
        <f>AM536+AN536-O536*Escenarios!$F$13/Escenarios!$F$16</f>
        <v>0</v>
      </c>
      <c r="AP536" s="76">
        <f t="shared" si="117"/>
        <v>0.55543543177187737</v>
      </c>
      <c r="AQ536" s="76">
        <f t="shared" si="118"/>
        <v>0</v>
      </c>
      <c r="AR536" s="76">
        <f t="shared" si="119"/>
        <v>0.55546759024947356</v>
      </c>
      <c r="AS536" s="76">
        <f t="shared" si="120"/>
        <v>0</v>
      </c>
      <c r="AT536" s="76">
        <f t="shared" si="121"/>
        <v>0</v>
      </c>
      <c r="AU536" s="76">
        <f t="shared" si="122"/>
        <v>53.217981490611407</v>
      </c>
      <c r="AV536" s="76">
        <f>MAX(0,(AU536-Constantes!$D$13)*(1-EXP(-Constantes!$D$24)))</f>
        <v>6.8294200968383609E-2</v>
      </c>
      <c r="AW536" s="170">
        <f>AW535+(Entradas!$F$112*AT536-AX535)/(800*Entradas!$D$25)</f>
        <v>0</v>
      </c>
      <c r="AX536" s="170">
        <f>8000*Entradas!$D$26*AW536/Constantes!$F$45</f>
        <v>0</v>
      </c>
      <c r="AY536" s="170">
        <f>IF(Escenarios!$F$17&gt;0,10*Escenarios!$F$16*AL536,0)</f>
        <v>0</v>
      </c>
      <c r="AZ536" s="170">
        <f>IF(Escenarios!$F$17&gt;0,10*Escenarios!$F$16*AX536,0)</f>
        <v>0</v>
      </c>
      <c r="BA536" s="170">
        <f>IF(Escenarios!$F$17&gt;0,0.001*Observaciones!$F535*Escenarios!$F$17,0)</f>
        <v>0</v>
      </c>
      <c r="BB536" s="170">
        <f>IF(Escenarios!$F$17&gt;0,Observaciones!$K535,0)</f>
        <v>0</v>
      </c>
      <c r="BC536" s="170">
        <f>IF(Escenarios!$F$17&gt;0,MIN(0.0005*ETo!$M535*Escenarios!$F$17*(BG535/Constantes!$F$40)^(2/3),BG535+AY536+AZ536+BA536+BB536),0)</f>
        <v>0</v>
      </c>
      <c r="BD536" s="170">
        <f>IF(Escenarios!$F$17&gt;0,MIN(Constantes!$F$39*(BG535/Constantes!$F$40)^(2/3),BG535+AY536+AZ536+BA536+BB536-BC536),0)</f>
        <v>0</v>
      </c>
      <c r="BE536" s="170">
        <f>IF(Escenarios!$F$17&gt;0,MIN(Entradas!$F$113,BG535+AY536+AZ536+BA536+BB536-BC536-BD536),0)</f>
        <v>0</v>
      </c>
      <c r="BF536" s="170">
        <f>IF(Escenarios!$F$17&gt;0,MAX(0,BG535+AY536+AZ536+BA536+BB536-BC536-BD536-BE536-Constantes!$F$40),0)</f>
        <v>0</v>
      </c>
      <c r="BG536" s="170">
        <f t="shared" si="123"/>
        <v>0</v>
      </c>
      <c r="BH536" s="170">
        <f>(Escenarios!$F$16*AK536+0.1*BC536)/(Escenarios!$F$19)</f>
        <v>0.12843531425051</v>
      </c>
      <c r="BI536" s="170">
        <f>IF(Escenarios!$F$17&gt;0,BF536/10/Escenarios!$F$19,AL536)</f>
        <v>0</v>
      </c>
      <c r="BJ536" s="170">
        <f>(Escenarios!$F$16*AT536+0.1*BD536)/(Escenarios!$F$19)</f>
        <v>0</v>
      </c>
      <c r="BK536" s="76">
        <f>BK535+(0.1*BD536)/(Escenarios!$F$19)-BL535</f>
        <v>48.75</v>
      </c>
      <c r="BL536" s="76">
        <f>MAX(0,(BK536-Constantes!$D$13)*(1-EXP(-Constantes!$D$23)))</f>
        <v>0</v>
      </c>
      <c r="BM536" s="76">
        <f t="shared" si="124"/>
        <v>0.62372963274026094</v>
      </c>
      <c r="BN536" s="76">
        <f t="shared" si="125"/>
        <v>0.62376179121785713</v>
      </c>
      <c r="BO536" s="76">
        <f>0.0526*BI536*Observaciones!$F535^1.218</f>
        <v>0</v>
      </c>
      <c r="BP536" s="76">
        <f>BO536*Constantes!$F$51</f>
        <v>0</v>
      </c>
      <c r="BQ536" s="76">
        <f t="shared" si="126"/>
        <v>0</v>
      </c>
      <c r="BR536" s="40"/>
    </row>
    <row r="537" spans="2:70">
      <c r="B537" s="39"/>
      <c r="C537" s="75">
        <v>531</v>
      </c>
      <c r="D537" s="146">
        <f>ETo!$I536*((1-Constantes!$F$19)*ETo!$K536+ETo!$L536)</f>
        <v>2.4716396515234376</v>
      </c>
      <c r="E537" s="76">
        <f>MIN(D537*Constantes!$F$17,0.8*(N536+Observaciones!$F536-F537-M537-Constantes!$D$14))</f>
        <v>8.5824512479462103E-4</v>
      </c>
      <c r="F537" s="76">
        <f>IF(Observaciones!$F536&gt;0.05*Constantes!$F$18,((Observaciones!$F536-0.05*Constantes!$F$18)^2)/(Observaciones!$F536+0.95*Constantes!$F$18),0)</f>
        <v>0</v>
      </c>
      <c r="G537" s="76">
        <f>IF(Escenarios!$F$11&gt;0,(F537*Escenarios!$F$16*10000)/1000,0)</f>
        <v>0</v>
      </c>
      <c r="H537" s="76">
        <f>IF(Escenarios!$F$11&gt;0,(Observaciones!$F536*Constantes!$F$29)/1000,0)</f>
        <v>0</v>
      </c>
      <c r="I537" s="76">
        <f>IF(Escenarios!$F$11&gt;0,(D537*Constantes!$F$29)/1000,0)</f>
        <v>0</v>
      </c>
      <c r="J537" s="76">
        <f>IF(Escenarios!$F$11&gt;0,MAX(0,G537+H537-I537),0)</f>
        <v>0</v>
      </c>
      <c r="K537" s="76">
        <f>IF(Escenarios!$F$11&gt;0,IF(J537&gt;Constantes!$F$30,1000*((J537-Constantes!$F$30)/(Escenarios!$F$16*10000)),0),F537)</f>
        <v>0</v>
      </c>
      <c r="L537" s="76">
        <f>IF(Escenarios!$F$11&gt;0,I537*1000/Escenarios!$F$16/10000+E537,E537)</f>
        <v>8.5824512479462103E-4</v>
      </c>
      <c r="M537" s="76">
        <f>MAX(0,N536+Observaciones!$F536-K537-Constantes!$D$13)</f>
        <v>0</v>
      </c>
      <c r="N537" s="76">
        <f>N536+Observaciones!$F536-K537-L537-M537-O536</f>
        <v>11.250178017556658</v>
      </c>
      <c r="O537" s="76">
        <f>MAX(0,(N537-Constantes!$D$14)*(1-EXP(-Constantes!$D$22)))</f>
        <v>6.0639314956130656E-6</v>
      </c>
      <c r="P537" s="170">
        <f>P536+(Entradas!$F$83*M537-Q536)/(800*Entradas!$D$25)</f>
        <v>0</v>
      </c>
      <c r="Q537" s="170">
        <f>8000*Entradas!$D$26*P537/Constantes!$F$45</f>
        <v>0</v>
      </c>
      <c r="R537" s="170">
        <f>IF(Escenarios!$F$14&gt;0,K537*Escenarios!$F$13/Escenarios!$F$14,0)</f>
        <v>0</v>
      </c>
      <c r="S537" s="170">
        <f>IF(Escenarios!$F$14&gt;0,Q537*Escenarios!$F$13/Escenarios!$F$14,0)</f>
        <v>0</v>
      </c>
      <c r="T537" s="170">
        <f>IF(Escenarios!$F$14&gt;0,Observaciones!$I536,0)</f>
        <v>0</v>
      </c>
      <c r="U537" s="170">
        <f>IF(Escenarios!$F$14&gt;0,MAX(0,Constantes!$F$36/((Z536+R537+S537+T537+Observaciones!$F536)^2)+Entradas!$F$77),0)</f>
        <v>0</v>
      </c>
      <c r="V537" s="146">
        <f>IF(ETo!D536&gt;0,ETo!I536*((1-Entradas!$F$81)*ETo!K536+ETo!L536),0)</f>
        <v>2.1504987584151629</v>
      </c>
      <c r="W537" s="170">
        <f>IF(Escenarios!$F$14&gt;0,MIN(V537*1,0.8*(Z536+R537+S537+T537+Observaciones!$F536-U537-Constantes!$F$35)),0)</f>
        <v>8.0659383151555637E-4</v>
      </c>
      <c r="X537" s="170">
        <f>IF(Escenarios!$F$14&gt;0,Observaciones!$J536,0)</f>
        <v>0</v>
      </c>
      <c r="Y537" s="170">
        <f>IF(Escenarios!$F$14&gt;0,MAX(0,Z536+R537+S537+T537+Observaciones!$F536-U537-W537-X537-Constantes!$F$33),0)</f>
        <v>0</v>
      </c>
      <c r="Z537" s="170">
        <f>Z536+R537+S537+T537+Observaciones!$F536-U537-W537-Y537</f>
        <v>41.250201648457882</v>
      </c>
      <c r="AA537" s="170">
        <f>IF(Escenarios!$F$14&gt;0,(Escenarios!$F$13*L537+Escenarios!$F$14*W537)/(Escenarios!$F$16),L537)</f>
        <v>8.5204696960113329E-4</v>
      </c>
      <c r="AB537" s="170">
        <f>IF(Escenarios!$F$14&gt;0,(Escenarios!$F$14*Y537)/(Escenarios!$F$16),K537)</f>
        <v>0</v>
      </c>
      <c r="AC537" s="170">
        <f>IF(Escenarios!$F$14&gt;0,(Escenarios!$F$13*M537+Escenarios!$F$14*U537)/(Escenarios!$F$16),M537)</f>
        <v>0</v>
      </c>
      <c r="AD537" s="76">
        <f t="shared" si="113"/>
        <v>104.5654166215086</v>
      </c>
      <c r="AE537" s="76">
        <f>MAX(0,(AD537-Constantes!$D$13)*(1-EXP(-Constantes!$D$23)))</f>
        <v>0.54996259416821613</v>
      </c>
      <c r="AF537" s="76">
        <f>AB537+O537*Escenarios!$F$13/Escenarios!$F$16+AE537</f>
        <v>0.54996793042793224</v>
      </c>
      <c r="AG537" s="76">
        <f>IF(Entradas!$F$91&gt;0,IF(AF537-Escenarios!$F$38&lt;=0,0,IF(AF537-Escenarios!$F$38&gt;Escenarios!$F$37,Escenarios!$F$37,AF537-Escenarios!$F$38)),0)</f>
        <v>0</v>
      </c>
      <c r="AH537" s="76">
        <f>AG537*Entradas!$F$99</f>
        <v>0</v>
      </c>
      <c r="AI537" s="76">
        <f>IF(Entradas!$F$91&gt;0,D537*Entradas!$D$23/Escenarios!$F$16,0)</f>
        <v>0.11863870327312501</v>
      </c>
      <c r="AJ537" s="76">
        <f>IF(Entradas!$F$91&gt;0,Entradas!$D$24*Entradas!$D$22/Escenarios!$F$16,0)</f>
        <v>0.12</v>
      </c>
      <c r="AK537" s="76">
        <f t="shared" si="114"/>
        <v>0.11949075024272614</v>
      </c>
      <c r="AL537" s="76">
        <f t="shared" si="115"/>
        <v>0</v>
      </c>
      <c r="AM537" s="76">
        <f t="shared" si="116"/>
        <v>0</v>
      </c>
      <c r="AN537" s="76">
        <f>MAX(0,O537*Escenarios!$F$13/Escenarios!$F$16-AM537)</f>
        <v>5.3362597161394979E-6</v>
      </c>
      <c r="AO537" s="76">
        <f>AM537+AN537-O537*Escenarios!$F$13/Escenarios!$F$16</f>
        <v>0</v>
      </c>
      <c r="AP537" s="76">
        <f t="shared" si="117"/>
        <v>0.54996259416821613</v>
      </c>
      <c r="AQ537" s="76">
        <f t="shared" si="118"/>
        <v>0</v>
      </c>
      <c r="AR537" s="76">
        <f t="shared" si="119"/>
        <v>0.54996793042793224</v>
      </c>
      <c r="AS537" s="76">
        <f t="shared" si="120"/>
        <v>0</v>
      </c>
      <c r="AT537" s="76">
        <f t="shared" si="121"/>
        <v>0</v>
      </c>
      <c r="AU537" s="76">
        <f t="shared" si="122"/>
        <v>53.149687289643026</v>
      </c>
      <c r="AV537" s="76">
        <f>MAX(0,(AU537-Constantes!$D$13)*(1-EXP(-Constantes!$D$24)))</f>
        <v>6.7250307233436293E-2</v>
      </c>
      <c r="AW537" s="170">
        <f>AW536+(Entradas!$F$112*AT537-AX536)/(800*Entradas!$D$25)</f>
        <v>0</v>
      </c>
      <c r="AX537" s="170">
        <f>8000*Entradas!$D$26*AW537/Constantes!$F$45</f>
        <v>0</v>
      </c>
      <c r="AY537" s="170">
        <f>IF(Escenarios!$F$17&gt;0,10*Escenarios!$F$16*AL537,0)</f>
        <v>0</v>
      </c>
      <c r="AZ537" s="170">
        <f>IF(Escenarios!$F$17&gt;0,10*Escenarios!$F$16*AX537,0)</f>
        <v>0</v>
      </c>
      <c r="BA537" s="170">
        <f>IF(Escenarios!$F$17&gt;0,0.001*Observaciones!$F536*Escenarios!$F$17,0)</f>
        <v>0</v>
      </c>
      <c r="BB537" s="170">
        <f>IF(Escenarios!$F$17&gt;0,Observaciones!$K536,0)</f>
        <v>0</v>
      </c>
      <c r="BC537" s="170">
        <f>IF(Escenarios!$F$17&gt;0,MIN(0.0005*ETo!$M536*Escenarios!$F$17*(BG536/Constantes!$F$40)^(2/3),BG536+AY537+AZ537+BA537+BB537),0)</f>
        <v>0</v>
      </c>
      <c r="BD537" s="170">
        <f>IF(Escenarios!$F$17&gt;0,MIN(Constantes!$F$39*(BG536/Constantes!$F$40)^(2/3),BG536+AY537+AZ537+BA537+BB537-BC537),0)</f>
        <v>0</v>
      </c>
      <c r="BE537" s="170">
        <f>IF(Escenarios!$F$17&gt;0,MIN(Entradas!$F$113,BG536+AY537+AZ537+BA537+BB537-BC537-BD537),0)</f>
        <v>0</v>
      </c>
      <c r="BF537" s="170">
        <f>IF(Escenarios!$F$17&gt;0,MAX(0,BG536+AY537+AZ537+BA537+BB537-BC537-BD537-BE537-Constantes!$F$40),0)</f>
        <v>0</v>
      </c>
      <c r="BG537" s="170">
        <f t="shared" si="123"/>
        <v>0</v>
      </c>
      <c r="BH537" s="170">
        <f>(Escenarios!$F$16*AK537+0.1*BC537)/(Escenarios!$F$19)</f>
        <v>0.11949075024272614</v>
      </c>
      <c r="BI537" s="170">
        <f>IF(Escenarios!$F$17&gt;0,BF537/10/Escenarios!$F$19,AL537)</f>
        <v>0</v>
      </c>
      <c r="BJ537" s="170">
        <f>(Escenarios!$F$16*AT537+0.1*BD537)/(Escenarios!$F$19)</f>
        <v>0</v>
      </c>
      <c r="BK537" s="76">
        <f>BK536+(0.1*BD537)/(Escenarios!$F$19)-BL536</f>
        <v>48.75</v>
      </c>
      <c r="BL537" s="76">
        <f>MAX(0,(BK537-Constantes!$D$13)*(1-EXP(-Constantes!$D$23)))</f>
        <v>0</v>
      </c>
      <c r="BM537" s="76">
        <f t="shared" si="124"/>
        <v>0.61721290140165241</v>
      </c>
      <c r="BN537" s="76">
        <f t="shared" si="125"/>
        <v>0.61721823766136852</v>
      </c>
      <c r="BO537" s="76">
        <f>0.0526*BI537*Observaciones!$F536^1.218</f>
        <v>0</v>
      </c>
      <c r="BP537" s="76">
        <f>BO537*Constantes!$F$51</f>
        <v>0</v>
      </c>
      <c r="BQ537" s="76">
        <f t="shared" si="126"/>
        <v>0</v>
      </c>
      <c r="BR537" s="40"/>
    </row>
    <row r="538" spans="2:70">
      <c r="B538" s="39"/>
      <c r="C538" s="75">
        <v>532</v>
      </c>
      <c r="D538" s="146">
        <f>ETo!$I537*((1-Constantes!$F$19)*ETo!$K537+ETo!$L537)</f>
        <v>2.5700420507699957</v>
      </c>
      <c r="E538" s="76">
        <f>MIN(D538*Constantes!$F$17,0.8*(N537+Observaciones!$F537-F538-M538-Constantes!$D$14))</f>
        <v>1.4241404532668866E-4</v>
      </c>
      <c r="F538" s="76">
        <f>IF(Observaciones!$F537&gt;0.05*Constantes!$F$18,((Observaciones!$F537-0.05*Constantes!$F$18)^2)/(Observaciones!$F537+0.95*Constantes!$F$18),0)</f>
        <v>0</v>
      </c>
      <c r="G538" s="76">
        <f>IF(Escenarios!$F$11&gt;0,(F538*Escenarios!$F$16*10000)/1000,0)</f>
        <v>0</v>
      </c>
      <c r="H538" s="76">
        <f>IF(Escenarios!$F$11&gt;0,(Observaciones!$F537*Constantes!$F$29)/1000,0)</f>
        <v>0</v>
      </c>
      <c r="I538" s="76">
        <f>IF(Escenarios!$F$11&gt;0,(D538*Constantes!$F$29)/1000,0)</f>
        <v>0</v>
      </c>
      <c r="J538" s="76">
        <f>IF(Escenarios!$F$11&gt;0,MAX(0,G538+H538-I538),0)</f>
        <v>0</v>
      </c>
      <c r="K538" s="76">
        <f>IF(Escenarios!$F$11&gt;0,IF(J538&gt;Constantes!$F$30,1000*((J538-Constantes!$F$30)/(Escenarios!$F$16*10000)),0),F538)</f>
        <v>0</v>
      </c>
      <c r="L538" s="76">
        <f>IF(Escenarios!$F$11&gt;0,I538*1000/Escenarios!$F$16/10000+E538,E538)</f>
        <v>1.4241404532668866E-4</v>
      </c>
      <c r="M538" s="76">
        <f>MAX(0,N537+Observaciones!$F537-K538-Constantes!$D$13)</f>
        <v>0</v>
      </c>
      <c r="N538" s="76">
        <f>N537+Observaciones!$F537-K538-L538-M538-O537</f>
        <v>11.250029539579836</v>
      </c>
      <c r="O538" s="76">
        <f>MAX(0,(N538-Constantes!$D$14)*(1-EXP(-Constantes!$D$22)))</f>
        <v>1.0062265312462092E-6</v>
      </c>
      <c r="P538" s="170">
        <f>P537+(Entradas!$F$83*M538-Q537)/(800*Entradas!$D$25)</f>
        <v>0</v>
      </c>
      <c r="Q538" s="170">
        <f>8000*Entradas!$D$26*P538/Constantes!$F$45</f>
        <v>0</v>
      </c>
      <c r="R538" s="170">
        <f>IF(Escenarios!$F$14&gt;0,K538*Escenarios!$F$13/Escenarios!$F$14,0)</f>
        <v>0</v>
      </c>
      <c r="S538" s="170">
        <f>IF(Escenarios!$F$14&gt;0,Q538*Escenarios!$F$13/Escenarios!$F$14,0)</f>
        <v>0</v>
      </c>
      <c r="T538" s="170">
        <f>IF(Escenarios!$F$14&gt;0,Observaciones!$I537,0)</f>
        <v>0</v>
      </c>
      <c r="U538" s="170">
        <f>IF(Escenarios!$F$14&gt;0,MAX(0,Constantes!$F$36/((Z537+R538+S538+T538+Observaciones!$F537)^2)+Entradas!$F$77),0)</f>
        <v>0</v>
      </c>
      <c r="V538" s="146">
        <f>IF(ETo!D537&gt;0,ETo!I537*((1-Entradas!$F$81)*ETo!K537+ETo!L537),0)</f>
        <v>2.2366938743409097</v>
      </c>
      <c r="W538" s="170">
        <f>IF(Escenarios!$F$14&gt;0,MIN(V538*1,0.8*(Z537+R538+S538+T538+Observaciones!$F537-U538-Constantes!$F$35)),0)</f>
        <v>1.6131876630538501E-4</v>
      </c>
      <c r="X538" s="170">
        <f>IF(Escenarios!$F$14&gt;0,Observaciones!$J537,0)</f>
        <v>0</v>
      </c>
      <c r="Y538" s="170">
        <f>IF(Escenarios!$F$14&gt;0,MAX(0,Z537+R538+S538+T538+Observaciones!$F537-U538-W538-X538-Constantes!$F$33),0)</f>
        <v>0</v>
      </c>
      <c r="Z538" s="170">
        <f>Z537+R538+S538+T538+Observaciones!$F537-U538-W538-Y538</f>
        <v>41.250040329691579</v>
      </c>
      <c r="AA538" s="170">
        <f>IF(Escenarios!$F$14&gt;0,(Escenarios!$F$13*L538+Escenarios!$F$14*W538)/(Escenarios!$F$16),L538)</f>
        <v>1.4468261184413222E-4</v>
      </c>
      <c r="AB538" s="170">
        <f>IF(Escenarios!$F$14&gt;0,(Escenarios!$F$14*Y538)/(Escenarios!$F$16),K538)</f>
        <v>0</v>
      </c>
      <c r="AC538" s="170">
        <f>IF(Escenarios!$F$14&gt;0,(Escenarios!$F$13*M538+Escenarios!$F$14*U538)/(Escenarios!$F$16),M538)</f>
        <v>0</v>
      </c>
      <c r="AD538" s="76">
        <f t="shared" si="113"/>
        <v>104.01545402734038</v>
      </c>
      <c r="AE538" s="76">
        <f>MAX(0,(AD538-Constantes!$D$13)*(1-EXP(-Constantes!$D$23)))</f>
        <v>0.54454368173699219</v>
      </c>
      <c r="AF538" s="76">
        <f>AB538+O538*Escenarios!$F$13/Escenarios!$F$16+AE538</f>
        <v>0.5445445672163397</v>
      </c>
      <c r="AG538" s="76">
        <f>IF(Entradas!$F$91&gt;0,IF(AF538-Escenarios!$F$38&lt;=0,0,IF(AF538-Escenarios!$F$38&gt;Escenarios!$F$37,Escenarios!$F$37,AF538-Escenarios!$F$38)),0)</f>
        <v>0</v>
      </c>
      <c r="AH538" s="76">
        <f>AG538*Entradas!$F$99</f>
        <v>0</v>
      </c>
      <c r="AI538" s="76">
        <f>IF(Entradas!$F$91&gt;0,D538*Entradas!$D$23/Escenarios!$F$16,0)</f>
        <v>0.12336201843695981</v>
      </c>
      <c r="AJ538" s="76">
        <f>IF(Entradas!$F$91&gt;0,Entradas!$D$24*Entradas!$D$22/Escenarios!$F$16,0)</f>
        <v>0.12</v>
      </c>
      <c r="AK538" s="76">
        <f t="shared" si="114"/>
        <v>0.12350670104880394</v>
      </c>
      <c r="AL538" s="76">
        <f t="shared" si="115"/>
        <v>0</v>
      </c>
      <c r="AM538" s="76">
        <f t="shared" si="116"/>
        <v>0</v>
      </c>
      <c r="AN538" s="76">
        <f>MAX(0,O538*Escenarios!$F$13/Escenarios!$F$16-AM538)</f>
        <v>8.8547934749666399E-7</v>
      </c>
      <c r="AO538" s="76">
        <f>AM538+AN538-O538*Escenarios!$F$13/Escenarios!$F$16</f>
        <v>0</v>
      </c>
      <c r="AP538" s="76">
        <f t="shared" si="117"/>
        <v>0.54454368173699219</v>
      </c>
      <c r="AQ538" s="76">
        <f t="shared" si="118"/>
        <v>0</v>
      </c>
      <c r="AR538" s="76">
        <f t="shared" si="119"/>
        <v>0.5445445672163397</v>
      </c>
      <c r="AS538" s="76">
        <f t="shared" si="120"/>
        <v>0</v>
      </c>
      <c r="AT538" s="76">
        <f t="shared" si="121"/>
        <v>0</v>
      </c>
      <c r="AU538" s="76">
        <f t="shared" si="122"/>
        <v>53.08243698240959</v>
      </c>
      <c r="AV538" s="76">
        <f>MAX(0,(AU538-Constantes!$D$13)*(1-EXP(-Constantes!$D$24)))</f>
        <v>6.6222369672137821E-2</v>
      </c>
      <c r="AW538" s="170">
        <f>AW537+(Entradas!$F$112*AT538-AX537)/(800*Entradas!$D$25)</f>
        <v>0</v>
      </c>
      <c r="AX538" s="170">
        <f>8000*Entradas!$D$26*AW538/Constantes!$F$45</f>
        <v>0</v>
      </c>
      <c r="AY538" s="170">
        <f>IF(Escenarios!$F$17&gt;0,10*Escenarios!$F$16*AL538,0)</f>
        <v>0</v>
      </c>
      <c r="AZ538" s="170">
        <f>IF(Escenarios!$F$17&gt;0,10*Escenarios!$F$16*AX538,0)</f>
        <v>0</v>
      </c>
      <c r="BA538" s="170">
        <f>IF(Escenarios!$F$17&gt;0,0.001*Observaciones!$F537*Escenarios!$F$17,0)</f>
        <v>0</v>
      </c>
      <c r="BB538" s="170">
        <f>IF(Escenarios!$F$17&gt;0,Observaciones!$K537,0)</f>
        <v>0</v>
      </c>
      <c r="BC538" s="170">
        <f>IF(Escenarios!$F$17&gt;0,MIN(0.0005*ETo!$M537*Escenarios!$F$17*(BG537/Constantes!$F$40)^(2/3),BG537+AY538+AZ538+BA538+BB538),0)</f>
        <v>0</v>
      </c>
      <c r="BD538" s="170">
        <f>IF(Escenarios!$F$17&gt;0,MIN(Constantes!$F$39*(BG537/Constantes!$F$40)^(2/3),BG537+AY538+AZ538+BA538+BB538-BC538),0)</f>
        <v>0</v>
      </c>
      <c r="BE538" s="170">
        <f>IF(Escenarios!$F$17&gt;0,MIN(Entradas!$F$113,BG537+AY538+AZ538+BA538+BB538-BC538-BD538),0)</f>
        <v>0</v>
      </c>
      <c r="BF538" s="170">
        <f>IF(Escenarios!$F$17&gt;0,MAX(0,BG537+AY538+AZ538+BA538+BB538-BC538-BD538-BE538-Constantes!$F$40),0)</f>
        <v>0</v>
      </c>
      <c r="BG538" s="170">
        <f t="shared" si="123"/>
        <v>0</v>
      </c>
      <c r="BH538" s="170">
        <f>(Escenarios!$F$16*AK538+0.1*BC538)/(Escenarios!$F$19)</f>
        <v>0.12350670104880394</v>
      </c>
      <c r="BI538" s="170">
        <f>IF(Escenarios!$F$17&gt;0,BF538/10/Escenarios!$F$19,AL538)</f>
        <v>0</v>
      </c>
      <c r="BJ538" s="170">
        <f>(Escenarios!$F$16*AT538+0.1*BD538)/(Escenarios!$F$19)</f>
        <v>0</v>
      </c>
      <c r="BK538" s="76">
        <f>BK537+(0.1*BD538)/(Escenarios!$F$19)-BL537</f>
        <v>48.75</v>
      </c>
      <c r="BL538" s="76">
        <f>MAX(0,(BK538-Constantes!$D$13)*(1-EXP(-Constantes!$D$23)))</f>
        <v>0</v>
      </c>
      <c r="BM538" s="76">
        <f t="shared" si="124"/>
        <v>0.61076605140912998</v>
      </c>
      <c r="BN538" s="76">
        <f t="shared" si="125"/>
        <v>0.6107669368884775</v>
      </c>
      <c r="BO538" s="76">
        <f>0.0526*BI538*Observaciones!$F537^1.218</f>
        <v>0</v>
      </c>
      <c r="BP538" s="76">
        <f>BO538*Constantes!$F$51</f>
        <v>0</v>
      </c>
      <c r="BQ538" s="76">
        <f t="shared" si="126"/>
        <v>0</v>
      </c>
      <c r="BR538" s="40"/>
    </row>
    <row r="539" spans="2:70">
      <c r="B539" s="39"/>
      <c r="C539" s="75">
        <v>533</v>
      </c>
      <c r="D539" s="146">
        <f>ETo!$I538*((1-Constantes!$F$19)*ETo!$K538+ETo!$L538)</f>
        <v>2.5045826226826344</v>
      </c>
      <c r="E539" s="76">
        <f>MIN(D539*Constantes!$F$17,0.8*(N538+Observaciones!$F538-F539-M539-Constantes!$D$14))</f>
        <v>2.3631663869139177E-5</v>
      </c>
      <c r="F539" s="76">
        <f>IF(Observaciones!$F538&gt;0.05*Constantes!$F$18,((Observaciones!$F538-0.05*Constantes!$F$18)^2)/(Observaciones!$F538+0.95*Constantes!$F$18),0)</f>
        <v>0</v>
      </c>
      <c r="G539" s="76">
        <f>IF(Escenarios!$F$11&gt;0,(F539*Escenarios!$F$16*10000)/1000,0)</f>
        <v>0</v>
      </c>
      <c r="H539" s="76">
        <f>IF(Escenarios!$F$11&gt;0,(Observaciones!$F538*Constantes!$F$29)/1000,0)</f>
        <v>0</v>
      </c>
      <c r="I539" s="76">
        <f>IF(Escenarios!$F$11&gt;0,(D539*Constantes!$F$29)/1000,0)</f>
        <v>0</v>
      </c>
      <c r="J539" s="76">
        <f>IF(Escenarios!$F$11&gt;0,MAX(0,G539+H539-I539),0)</f>
        <v>0</v>
      </c>
      <c r="K539" s="76">
        <f>IF(Escenarios!$F$11&gt;0,IF(J539&gt;Constantes!$F$30,1000*((J539-Constantes!$F$30)/(Escenarios!$F$16*10000)),0),F539)</f>
        <v>0</v>
      </c>
      <c r="L539" s="76">
        <f>IF(Escenarios!$F$11&gt;0,I539*1000/Escenarios!$F$16/10000+E539,E539)</f>
        <v>2.3631663869139177E-5</v>
      </c>
      <c r="M539" s="76">
        <f>MAX(0,N538+Observaciones!$F538-K539-Constantes!$D$13)</f>
        <v>0</v>
      </c>
      <c r="N539" s="76">
        <f>N538+Observaciones!$F538-K539-L539-M539-O538</f>
        <v>11.250004901689437</v>
      </c>
      <c r="O539" s="76">
        <f>MAX(0,(N539-Constantes!$D$14)*(1-EXP(-Constantes!$D$22)))</f>
        <v>1.6696953667970882E-7</v>
      </c>
      <c r="P539" s="170">
        <f>P538+(Entradas!$F$83*M539-Q538)/(800*Entradas!$D$25)</f>
        <v>0</v>
      </c>
      <c r="Q539" s="170">
        <f>8000*Entradas!$D$26*P539/Constantes!$F$45</f>
        <v>0</v>
      </c>
      <c r="R539" s="170">
        <f>IF(Escenarios!$F$14&gt;0,K539*Escenarios!$F$13/Escenarios!$F$14,0)</f>
        <v>0</v>
      </c>
      <c r="S539" s="170">
        <f>IF(Escenarios!$F$14&gt;0,Q539*Escenarios!$F$13/Escenarios!$F$14,0)</f>
        <v>0</v>
      </c>
      <c r="T539" s="170">
        <f>IF(Escenarios!$F$14&gt;0,Observaciones!$I538,0)</f>
        <v>0</v>
      </c>
      <c r="U539" s="170">
        <f>IF(Escenarios!$F$14&gt;0,MAX(0,Constantes!$F$36/((Z538+R539+S539+T539+Observaciones!$F538)^2)+Entradas!$F$77),0)</f>
        <v>0</v>
      </c>
      <c r="V539" s="146">
        <f>IF(ETo!D538&gt;0,ETo!I538*((1-Entradas!$F$81)*ETo!K538+ETo!L538),0)</f>
        <v>2.1790957226636545</v>
      </c>
      <c r="W539" s="170">
        <f>IF(Escenarios!$F$14&gt;0,MIN(V539*1,0.8*(Z538+R539+S539+T539+Observaciones!$F538-U539-Constantes!$F$35)),0)</f>
        <v>3.2263753263350735E-5</v>
      </c>
      <c r="X539" s="170">
        <f>IF(Escenarios!$F$14&gt;0,Observaciones!$J538,0)</f>
        <v>0</v>
      </c>
      <c r="Y539" s="170">
        <f>IF(Escenarios!$F$14&gt;0,MAX(0,Z538+R539+S539+T539+Observaciones!$F538-U539-W539-X539-Constantes!$F$33),0)</f>
        <v>0</v>
      </c>
      <c r="Z539" s="170">
        <f>Z538+R539+S539+T539+Observaciones!$F538-U539-W539-Y539</f>
        <v>41.250008065938317</v>
      </c>
      <c r="AA539" s="170">
        <f>IF(Escenarios!$F$14&gt;0,(Escenarios!$F$13*L539+Escenarios!$F$14*W539)/(Escenarios!$F$16),L539)</f>
        <v>2.4667514596444564E-5</v>
      </c>
      <c r="AB539" s="170">
        <f>IF(Escenarios!$F$14&gt;0,(Escenarios!$F$14*Y539)/(Escenarios!$F$16),K539)</f>
        <v>0</v>
      </c>
      <c r="AC539" s="170">
        <f>IF(Escenarios!$F$14&gt;0,(Escenarios!$F$13*M539+Escenarios!$F$14*U539)/(Escenarios!$F$16),M539)</f>
        <v>0</v>
      </c>
      <c r="AD539" s="76">
        <f t="shared" si="113"/>
        <v>103.47091034560339</v>
      </c>
      <c r="AE539" s="76">
        <f>MAX(0,(AD539-Constantes!$D$13)*(1-EXP(-Constantes!$D$23)))</f>
        <v>0.53917816314063749</v>
      </c>
      <c r="AF539" s="76">
        <f>AB539+O539*Escenarios!$F$13/Escenarios!$F$16+AE539</f>
        <v>0.53917831007382977</v>
      </c>
      <c r="AG539" s="76">
        <f>IF(Entradas!$F$91&gt;0,IF(AF539-Escenarios!$F$38&lt;=0,0,IF(AF539-Escenarios!$F$38&gt;Escenarios!$F$37,Escenarios!$F$37,AF539-Escenarios!$F$38)),0)</f>
        <v>0</v>
      </c>
      <c r="AH539" s="76">
        <f>AG539*Entradas!$F$99</f>
        <v>0</v>
      </c>
      <c r="AI539" s="76">
        <f>IF(Entradas!$F$91&gt;0,D539*Entradas!$D$23/Escenarios!$F$16,0)</f>
        <v>0.12021996588876645</v>
      </c>
      <c r="AJ539" s="76">
        <f>IF(Entradas!$F$91&gt;0,Entradas!$D$24*Entradas!$D$22/Escenarios!$F$16,0)</f>
        <v>0.12</v>
      </c>
      <c r="AK539" s="76">
        <f t="shared" si="114"/>
        <v>0.12024463340336289</v>
      </c>
      <c r="AL539" s="76">
        <f t="shared" si="115"/>
        <v>0</v>
      </c>
      <c r="AM539" s="76">
        <f t="shared" si="116"/>
        <v>0</v>
      </c>
      <c r="AN539" s="76">
        <f>MAX(0,O539*Escenarios!$F$13/Escenarios!$F$16-AM539)</f>
        <v>1.4693319227814377E-7</v>
      </c>
      <c r="AO539" s="76">
        <f>AM539+AN539-O539*Escenarios!$F$13/Escenarios!$F$16</f>
        <v>0</v>
      </c>
      <c r="AP539" s="76">
        <f t="shared" si="117"/>
        <v>0.53917816314063749</v>
      </c>
      <c r="AQ539" s="76">
        <f t="shared" si="118"/>
        <v>0</v>
      </c>
      <c r="AR539" s="76">
        <f t="shared" si="119"/>
        <v>0.53917831007382977</v>
      </c>
      <c r="AS539" s="76">
        <f t="shared" si="120"/>
        <v>0</v>
      </c>
      <c r="AT539" s="76">
        <f t="shared" si="121"/>
        <v>0</v>
      </c>
      <c r="AU539" s="76">
        <f t="shared" si="122"/>
        <v>53.01621461273745</v>
      </c>
      <c r="AV539" s="76">
        <f>MAX(0,(AU539-Constantes!$D$13)*(1-EXP(-Constantes!$D$24)))</f>
        <v>6.5210144390431726E-2</v>
      </c>
      <c r="AW539" s="170">
        <f>AW538+(Entradas!$F$112*AT539-AX538)/(800*Entradas!$D$25)</f>
        <v>0</v>
      </c>
      <c r="AX539" s="170">
        <f>8000*Entradas!$D$26*AW539/Constantes!$F$45</f>
        <v>0</v>
      </c>
      <c r="AY539" s="170">
        <f>IF(Escenarios!$F$17&gt;0,10*Escenarios!$F$16*AL539,0)</f>
        <v>0</v>
      </c>
      <c r="AZ539" s="170">
        <f>IF(Escenarios!$F$17&gt;0,10*Escenarios!$F$16*AX539,0)</f>
        <v>0</v>
      </c>
      <c r="BA539" s="170">
        <f>IF(Escenarios!$F$17&gt;0,0.001*Observaciones!$F538*Escenarios!$F$17,0)</f>
        <v>0</v>
      </c>
      <c r="BB539" s="170">
        <f>IF(Escenarios!$F$17&gt;0,Observaciones!$K538,0)</f>
        <v>0</v>
      </c>
      <c r="BC539" s="170">
        <f>IF(Escenarios!$F$17&gt;0,MIN(0.0005*ETo!$M538*Escenarios!$F$17*(BG538/Constantes!$F$40)^(2/3),BG538+AY539+AZ539+BA539+BB539),0)</f>
        <v>0</v>
      </c>
      <c r="BD539" s="170">
        <f>IF(Escenarios!$F$17&gt;0,MIN(Constantes!$F$39*(BG538/Constantes!$F$40)^(2/3),BG538+AY539+AZ539+BA539+BB539-BC539),0)</f>
        <v>0</v>
      </c>
      <c r="BE539" s="170">
        <f>IF(Escenarios!$F$17&gt;0,MIN(Entradas!$F$113,BG538+AY539+AZ539+BA539+BB539-BC539-BD539),0)</f>
        <v>0</v>
      </c>
      <c r="BF539" s="170">
        <f>IF(Escenarios!$F$17&gt;0,MAX(0,BG538+AY539+AZ539+BA539+BB539-BC539-BD539-BE539-Constantes!$F$40),0)</f>
        <v>0</v>
      </c>
      <c r="BG539" s="170">
        <f t="shared" si="123"/>
        <v>0</v>
      </c>
      <c r="BH539" s="170">
        <f>(Escenarios!$F$16*AK539+0.1*BC539)/(Escenarios!$F$19)</f>
        <v>0.12024463340336289</v>
      </c>
      <c r="BI539" s="170">
        <f>IF(Escenarios!$F$17&gt;0,BF539/10/Escenarios!$F$19,AL539)</f>
        <v>0</v>
      </c>
      <c r="BJ539" s="170">
        <f>(Escenarios!$F$16*AT539+0.1*BD539)/(Escenarios!$F$19)</f>
        <v>0</v>
      </c>
      <c r="BK539" s="76">
        <f>BK538+(0.1*BD539)/(Escenarios!$F$19)-BL538</f>
        <v>48.75</v>
      </c>
      <c r="BL539" s="76">
        <f>MAX(0,(BK539-Constantes!$D$13)*(1-EXP(-Constantes!$D$23)))</f>
        <v>0</v>
      </c>
      <c r="BM539" s="76">
        <f t="shared" si="124"/>
        <v>0.6043883075310692</v>
      </c>
      <c r="BN539" s="76">
        <f t="shared" si="125"/>
        <v>0.60438845446426148</v>
      </c>
      <c r="BO539" s="76">
        <f>0.0526*BI539*Observaciones!$F538^1.218</f>
        <v>0</v>
      </c>
      <c r="BP539" s="76">
        <f>BO539*Constantes!$F$51</f>
        <v>0</v>
      </c>
      <c r="BQ539" s="76">
        <f t="shared" si="126"/>
        <v>0</v>
      </c>
      <c r="BR539" s="40"/>
    </row>
    <row r="540" spans="2:70">
      <c r="B540" s="39"/>
      <c r="C540" s="75">
        <v>534</v>
      </c>
      <c r="D540" s="146">
        <f>ETo!$I539*((1-Constantes!$F$19)*ETo!$K539+ETo!$L539)</f>
        <v>2.4875394646304025</v>
      </c>
      <c r="E540" s="76">
        <f>MIN(D540*Constantes!$F$17,0.8*(N539+Observaciones!$F539-F540-M540-Constantes!$D$14))</f>
        <v>3.9213515492519946E-6</v>
      </c>
      <c r="F540" s="76">
        <f>IF(Observaciones!$F539&gt;0.05*Constantes!$F$18,((Observaciones!$F539-0.05*Constantes!$F$18)^2)/(Observaciones!$F539+0.95*Constantes!$F$18),0)</f>
        <v>0</v>
      </c>
      <c r="G540" s="76">
        <f>IF(Escenarios!$F$11&gt;0,(F540*Escenarios!$F$16*10000)/1000,0)</f>
        <v>0</v>
      </c>
      <c r="H540" s="76">
        <f>IF(Escenarios!$F$11&gt;0,(Observaciones!$F539*Constantes!$F$29)/1000,0)</f>
        <v>0</v>
      </c>
      <c r="I540" s="76">
        <f>IF(Escenarios!$F$11&gt;0,(D540*Constantes!$F$29)/1000,0)</f>
        <v>0</v>
      </c>
      <c r="J540" s="76">
        <f>IF(Escenarios!$F$11&gt;0,MAX(0,G540+H540-I540),0)</f>
        <v>0</v>
      </c>
      <c r="K540" s="76">
        <f>IF(Escenarios!$F$11&gt;0,IF(J540&gt;Constantes!$F$30,1000*((J540-Constantes!$F$30)/(Escenarios!$F$16*10000)),0),F540)</f>
        <v>0</v>
      </c>
      <c r="L540" s="76">
        <f>IF(Escenarios!$F$11&gt;0,I540*1000/Escenarios!$F$16/10000+E540,E540)</f>
        <v>3.9213515492519946E-6</v>
      </c>
      <c r="M540" s="76">
        <f>MAX(0,N539+Observaciones!$F539-K540-Constantes!$D$13)</f>
        <v>0</v>
      </c>
      <c r="N540" s="76">
        <f>N539+Observaciones!$F539-K540-L540-M540-O539</f>
        <v>11.25000081336835</v>
      </c>
      <c r="O540" s="76">
        <f>MAX(0,(N540-Constantes!$D$14)*(1-EXP(-Constantes!$D$22)))</f>
        <v>2.77063119526578E-8</v>
      </c>
      <c r="P540" s="170">
        <f>P539+(Entradas!$F$83*M540-Q539)/(800*Entradas!$D$25)</f>
        <v>0</v>
      </c>
      <c r="Q540" s="170">
        <f>8000*Entradas!$D$26*P540/Constantes!$F$45</f>
        <v>0</v>
      </c>
      <c r="R540" s="170">
        <f>IF(Escenarios!$F$14&gt;0,K540*Escenarios!$F$13/Escenarios!$F$14,0)</f>
        <v>0</v>
      </c>
      <c r="S540" s="170">
        <f>IF(Escenarios!$F$14&gt;0,Q540*Escenarios!$F$13/Escenarios!$F$14,0)</f>
        <v>0</v>
      </c>
      <c r="T540" s="170">
        <f>IF(Escenarios!$F$14&gt;0,Observaciones!$I539,0)</f>
        <v>0</v>
      </c>
      <c r="U540" s="170">
        <f>IF(Escenarios!$F$14&gt;0,MAX(0,Constantes!$F$36/((Z539+R540+S540+T540+Observaciones!$F539)^2)+Entradas!$F$77),0)</f>
        <v>0</v>
      </c>
      <c r="V540" s="146">
        <f>IF(ETo!D539&gt;0,ETo!I539*((1-Entradas!$F$81)*ETo!K539+ETo!L539),0)</f>
        <v>2.1640766299030774</v>
      </c>
      <c r="W540" s="170">
        <f>IF(Escenarios!$F$14&gt;0,MIN(V540*1,0.8*(Z539+R540+S540+T540+Observaciones!$F539-U540-Constantes!$F$35)),0)</f>
        <v>6.4527506538070156E-6</v>
      </c>
      <c r="X540" s="170">
        <f>IF(Escenarios!$F$14&gt;0,Observaciones!$J539,0)</f>
        <v>0</v>
      </c>
      <c r="Y540" s="170">
        <f>IF(Escenarios!$F$14&gt;0,MAX(0,Z539+R540+S540+T540+Observaciones!$F539-U540-W540-X540-Constantes!$F$33),0)</f>
        <v>0</v>
      </c>
      <c r="Z540" s="170">
        <f>Z539+R540+S540+T540+Observaciones!$F539-U540-W540-Y540</f>
        <v>41.250001613187663</v>
      </c>
      <c r="AA540" s="170">
        <f>IF(Escenarios!$F$14&gt;0,(Escenarios!$F$13*L540+Escenarios!$F$14*W540)/(Escenarios!$F$16),L540)</f>
        <v>4.2251194417985972E-6</v>
      </c>
      <c r="AB540" s="170">
        <f>IF(Escenarios!$F$14&gt;0,(Escenarios!$F$14*Y540)/(Escenarios!$F$16),K540)</f>
        <v>0</v>
      </c>
      <c r="AC540" s="170">
        <f>IF(Escenarios!$F$14&gt;0,(Escenarios!$F$13*M540+Escenarios!$F$14*U540)/(Escenarios!$F$16),M540)</f>
        <v>0</v>
      </c>
      <c r="AD540" s="76">
        <f t="shared" si="113"/>
        <v>102.93173218246275</v>
      </c>
      <c r="AE540" s="76">
        <f>MAX(0,(AD540-Constantes!$D$13)*(1-EXP(-Constantes!$D$23)))</f>
        <v>0.53386551227697976</v>
      </c>
      <c r="AF540" s="76">
        <f>AB540+O540*Escenarios!$F$13/Escenarios!$F$16+AE540</f>
        <v>0.53386553665853431</v>
      </c>
      <c r="AG540" s="76">
        <f>IF(Entradas!$F$91&gt;0,IF(AF540-Escenarios!$F$38&lt;=0,0,IF(AF540-Escenarios!$F$38&gt;Escenarios!$F$37,Escenarios!$F$37,AF540-Escenarios!$F$38)),0)</f>
        <v>0</v>
      </c>
      <c r="AH540" s="76">
        <f>AG540*Entradas!$F$99</f>
        <v>0</v>
      </c>
      <c r="AI540" s="76">
        <f>IF(Entradas!$F$91&gt;0,D540*Entradas!$D$23/Escenarios!$F$16,0)</f>
        <v>0.11940189430225932</v>
      </c>
      <c r="AJ540" s="76">
        <f>IF(Entradas!$F$91&gt;0,Entradas!$D$24*Entradas!$D$22/Escenarios!$F$16,0)</f>
        <v>0.12</v>
      </c>
      <c r="AK540" s="76">
        <f t="shared" si="114"/>
        <v>0.11940611942170112</v>
      </c>
      <c r="AL540" s="76">
        <f t="shared" si="115"/>
        <v>0</v>
      </c>
      <c r="AM540" s="76">
        <f t="shared" si="116"/>
        <v>0</v>
      </c>
      <c r="AN540" s="76">
        <f>MAX(0,O540*Escenarios!$F$13/Escenarios!$F$16-AM540)</f>
        <v>2.4381554518338867E-8</v>
      </c>
      <c r="AO540" s="76">
        <f>AM540+AN540-O540*Escenarios!$F$13/Escenarios!$F$16</f>
        <v>0</v>
      </c>
      <c r="AP540" s="76">
        <f t="shared" si="117"/>
        <v>0.53386551227697976</v>
      </c>
      <c r="AQ540" s="76">
        <f t="shared" si="118"/>
        <v>0</v>
      </c>
      <c r="AR540" s="76">
        <f t="shared" si="119"/>
        <v>0.53386553665853431</v>
      </c>
      <c r="AS540" s="76">
        <f t="shared" si="120"/>
        <v>0</v>
      </c>
      <c r="AT540" s="76">
        <f t="shared" si="121"/>
        <v>0</v>
      </c>
      <c r="AU540" s="76">
        <f t="shared" si="122"/>
        <v>52.951004468347016</v>
      </c>
      <c r="AV540" s="76">
        <f>MAX(0,(AU540-Constantes!$D$13)*(1-EXP(-Constantes!$D$24)))</f>
        <v>6.4213391222242525E-2</v>
      </c>
      <c r="AW540" s="170">
        <f>AW539+(Entradas!$F$112*AT540-AX539)/(800*Entradas!$D$25)</f>
        <v>0</v>
      </c>
      <c r="AX540" s="170">
        <f>8000*Entradas!$D$26*AW540/Constantes!$F$45</f>
        <v>0</v>
      </c>
      <c r="AY540" s="170">
        <f>IF(Escenarios!$F$17&gt;0,10*Escenarios!$F$16*AL540,0)</f>
        <v>0</v>
      </c>
      <c r="AZ540" s="170">
        <f>IF(Escenarios!$F$17&gt;0,10*Escenarios!$F$16*AX540,0)</f>
        <v>0</v>
      </c>
      <c r="BA540" s="170">
        <f>IF(Escenarios!$F$17&gt;0,0.001*Observaciones!$F539*Escenarios!$F$17,0)</f>
        <v>0</v>
      </c>
      <c r="BB540" s="170">
        <f>IF(Escenarios!$F$17&gt;0,Observaciones!$K539,0)</f>
        <v>0</v>
      </c>
      <c r="BC540" s="170">
        <f>IF(Escenarios!$F$17&gt;0,MIN(0.0005*ETo!$M539*Escenarios!$F$17*(BG539/Constantes!$F$40)^(2/3),BG539+AY540+AZ540+BA540+BB540),0)</f>
        <v>0</v>
      </c>
      <c r="BD540" s="170">
        <f>IF(Escenarios!$F$17&gt;0,MIN(Constantes!$F$39*(BG539/Constantes!$F$40)^(2/3),BG539+AY540+AZ540+BA540+BB540-BC540),0)</f>
        <v>0</v>
      </c>
      <c r="BE540" s="170">
        <f>IF(Escenarios!$F$17&gt;0,MIN(Entradas!$F$113,BG539+AY540+AZ540+BA540+BB540-BC540-BD540),0)</f>
        <v>0</v>
      </c>
      <c r="BF540" s="170">
        <f>IF(Escenarios!$F$17&gt;0,MAX(0,BG539+AY540+AZ540+BA540+BB540-BC540-BD540-BE540-Constantes!$F$40),0)</f>
        <v>0</v>
      </c>
      <c r="BG540" s="170">
        <f t="shared" si="123"/>
        <v>0</v>
      </c>
      <c r="BH540" s="170">
        <f>(Escenarios!$F$16*AK540+0.1*BC540)/(Escenarios!$F$19)</f>
        <v>0.11940611942170112</v>
      </c>
      <c r="BI540" s="170">
        <f>IF(Escenarios!$F$17&gt;0,BF540/10/Escenarios!$F$19,AL540)</f>
        <v>0</v>
      </c>
      <c r="BJ540" s="170">
        <f>(Escenarios!$F$16*AT540+0.1*BD540)/(Escenarios!$F$19)</f>
        <v>0</v>
      </c>
      <c r="BK540" s="76">
        <f>BK539+(0.1*BD540)/(Escenarios!$F$19)-BL539</f>
        <v>48.75</v>
      </c>
      <c r="BL540" s="76">
        <f>MAX(0,(BK540-Constantes!$D$13)*(1-EXP(-Constantes!$D$23)))</f>
        <v>0</v>
      </c>
      <c r="BM540" s="76">
        <f t="shared" si="124"/>
        <v>0.59807890349922233</v>
      </c>
      <c r="BN540" s="76">
        <f t="shared" si="125"/>
        <v>0.59807892788077688</v>
      </c>
      <c r="BO540" s="76">
        <f>0.0526*BI540*Observaciones!$F539^1.218</f>
        <v>0</v>
      </c>
      <c r="BP540" s="76">
        <f>BO540*Constantes!$F$51</f>
        <v>0</v>
      </c>
      <c r="BQ540" s="76">
        <f t="shared" si="126"/>
        <v>0</v>
      </c>
      <c r="BR540" s="40"/>
    </row>
    <row r="541" spans="2:70">
      <c r="B541" s="39"/>
      <c r="C541" s="75">
        <v>535</v>
      </c>
      <c r="D541" s="146">
        <f>ETo!$I540*((1-Constantes!$F$19)*ETo!$K540+ETo!$L540)</f>
        <v>2.4917556063442432</v>
      </c>
      <c r="E541" s="76">
        <f>MIN(D541*Constantes!$F$17,0.8*(N540+Observaciones!$F540-F541-M541-Constantes!$D$14))</f>
        <v>6.5069468035972022E-7</v>
      </c>
      <c r="F541" s="76">
        <f>IF(Observaciones!$F540&gt;0.05*Constantes!$F$18,((Observaciones!$F540-0.05*Constantes!$F$18)^2)/(Observaciones!$F540+0.95*Constantes!$F$18),0)</f>
        <v>0</v>
      </c>
      <c r="G541" s="76">
        <f>IF(Escenarios!$F$11&gt;0,(F541*Escenarios!$F$16*10000)/1000,0)</f>
        <v>0</v>
      </c>
      <c r="H541" s="76">
        <f>IF(Escenarios!$F$11&gt;0,(Observaciones!$F540*Constantes!$F$29)/1000,0)</f>
        <v>0</v>
      </c>
      <c r="I541" s="76">
        <f>IF(Escenarios!$F$11&gt;0,(D541*Constantes!$F$29)/1000,0)</f>
        <v>0</v>
      </c>
      <c r="J541" s="76">
        <f>IF(Escenarios!$F$11&gt;0,MAX(0,G541+H541-I541),0)</f>
        <v>0</v>
      </c>
      <c r="K541" s="76">
        <f>IF(Escenarios!$F$11&gt;0,IF(J541&gt;Constantes!$F$30,1000*((J541-Constantes!$F$30)/(Escenarios!$F$16*10000)),0),F541)</f>
        <v>0</v>
      </c>
      <c r="L541" s="76">
        <f>IF(Escenarios!$F$11&gt;0,I541*1000/Escenarios!$F$16/10000+E541,E541)</f>
        <v>6.5069468035972022E-7</v>
      </c>
      <c r="M541" s="76">
        <f>MAX(0,N540+Observaciones!$F540-K541-Constantes!$D$13)</f>
        <v>0</v>
      </c>
      <c r="N541" s="76">
        <f>N540+Observaciones!$F540-K541-L541-M541-O540</f>
        <v>11.250000134967358</v>
      </c>
      <c r="O541" s="76">
        <f>MAX(0,(N541-Constantes!$D$14)*(1-EXP(-Constantes!$D$22)))</f>
        <v>4.5974836948759355E-9</v>
      </c>
      <c r="P541" s="170">
        <f>P540+(Entradas!$F$83*M541-Q540)/(800*Entradas!$D$25)</f>
        <v>0</v>
      </c>
      <c r="Q541" s="170">
        <f>8000*Entradas!$D$26*P541/Constantes!$F$45</f>
        <v>0</v>
      </c>
      <c r="R541" s="170">
        <f>IF(Escenarios!$F$14&gt;0,K541*Escenarios!$F$13/Escenarios!$F$14,0)</f>
        <v>0</v>
      </c>
      <c r="S541" s="170">
        <f>IF(Escenarios!$F$14&gt;0,Q541*Escenarios!$F$13/Escenarios!$F$14,0)</f>
        <v>0</v>
      </c>
      <c r="T541" s="170">
        <f>IF(Escenarios!$F$14&gt;0,Observaciones!$I540,0)</f>
        <v>0</v>
      </c>
      <c r="U541" s="170">
        <f>IF(Escenarios!$F$14&gt;0,MAX(0,Constantes!$F$36/((Z540+R541+S541+T541+Observaciones!$F540)^2)+Entradas!$F$77),0)</f>
        <v>0</v>
      </c>
      <c r="V541" s="146">
        <f>IF(ETo!D540&gt;0,ETo!I540*((1-Entradas!$F$81)*ETo!K540+ETo!L540),0)</f>
        <v>2.1676970332017769</v>
      </c>
      <c r="W541" s="170">
        <f>IF(Escenarios!$F$14&gt;0,MIN(V541*1,0.8*(Z540+R541+S541+T541+Observaciones!$F540-U541-Constantes!$F$35)),0)</f>
        <v>1.2905501307614031E-6</v>
      </c>
      <c r="X541" s="170">
        <f>IF(Escenarios!$F$14&gt;0,Observaciones!$J540,0)</f>
        <v>0</v>
      </c>
      <c r="Y541" s="170">
        <f>IF(Escenarios!$F$14&gt;0,MAX(0,Z540+R541+S541+T541+Observaciones!$F540-U541-W541-X541-Constantes!$F$33),0)</f>
        <v>0</v>
      </c>
      <c r="Z541" s="170">
        <f>Z540+R541+S541+T541+Observaciones!$F540-U541-W541-Y541</f>
        <v>41.250000322637533</v>
      </c>
      <c r="AA541" s="170">
        <f>IF(Escenarios!$F$14&gt;0,(Escenarios!$F$13*L541+Escenarios!$F$14*W541)/(Escenarios!$F$16),L541)</f>
        <v>7.2747733440792214E-7</v>
      </c>
      <c r="AB541" s="170">
        <f>IF(Escenarios!$F$14&gt;0,(Escenarios!$F$14*Y541)/(Escenarios!$F$16),K541)</f>
        <v>0</v>
      </c>
      <c r="AC541" s="170">
        <f>IF(Escenarios!$F$14&gt;0,(Escenarios!$F$13*M541+Escenarios!$F$14*U541)/(Escenarios!$F$16),M541)</f>
        <v>0</v>
      </c>
      <c r="AD541" s="76">
        <f t="shared" si="113"/>
        <v>102.39786667018578</v>
      </c>
      <c r="AE541" s="76">
        <f>MAX(0,(AD541-Constantes!$D$13)*(1-EXP(-Constantes!$D$23)))</f>
        <v>0.52860520822765644</v>
      </c>
      <c r="AF541" s="76">
        <f>AB541+O541*Escenarios!$F$13/Escenarios!$F$16+AE541</f>
        <v>0.52860521227344215</v>
      </c>
      <c r="AG541" s="76">
        <f>IF(Entradas!$F$91&gt;0,IF(AF541-Escenarios!$F$38&lt;=0,0,IF(AF541-Escenarios!$F$38&gt;Escenarios!$F$37,Escenarios!$F$37,AF541-Escenarios!$F$38)),0)</f>
        <v>0</v>
      </c>
      <c r="AH541" s="76">
        <f>AG541*Entradas!$F$99</f>
        <v>0</v>
      </c>
      <c r="AI541" s="76">
        <f>IF(Entradas!$F$91&gt;0,D541*Entradas!$D$23/Escenarios!$F$16,0)</f>
        <v>0.11960426910452367</v>
      </c>
      <c r="AJ541" s="76">
        <f>IF(Entradas!$F$91&gt;0,Entradas!$D$24*Entradas!$D$22/Escenarios!$F$16,0)</f>
        <v>0.12</v>
      </c>
      <c r="AK541" s="76">
        <f t="shared" si="114"/>
        <v>0.11960499658185808</v>
      </c>
      <c r="AL541" s="76">
        <f t="shared" si="115"/>
        <v>0</v>
      </c>
      <c r="AM541" s="76">
        <f t="shared" si="116"/>
        <v>0</v>
      </c>
      <c r="AN541" s="76">
        <f>MAX(0,O541*Escenarios!$F$13/Escenarios!$F$16-AM541)</f>
        <v>4.0457856514908233E-9</v>
      </c>
      <c r="AO541" s="76">
        <f>AM541+AN541-O541*Escenarios!$F$13/Escenarios!$F$16</f>
        <v>0</v>
      </c>
      <c r="AP541" s="76">
        <f t="shared" si="117"/>
        <v>0.52860520822765644</v>
      </c>
      <c r="AQ541" s="76">
        <f t="shared" si="118"/>
        <v>0</v>
      </c>
      <c r="AR541" s="76">
        <f t="shared" si="119"/>
        <v>0.52860521227344215</v>
      </c>
      <c r="AS541" s="76">
        <f t="shared" si="120"/>
        <v>0</v>
      </c>
      <c r="AT541" s="76">
        <f t="shared" si="121"/>
        <v>0</v>
      </c>
      <c r="AU541" s="76">
        <f t="shared" si="122"/>
        <v>52.886791077124776</v>
      </c>
      <c r="AV541" s="76">
        <f>MAX(0,(AU541-Constantes!$D$13)*(1-EXP(-Constantes!$D$24)))</f>
        <v>6.3231873672492583E-2</v>
      </c>
      <c r="AW541" s="170">
        <f>AW540+(Entradas!$F$112*AT541-AX540)/(800*Entradas!$D$25)</f>
        <v>0</v>
      </c>
      <c r="AX541" s="170">
        <f>8000*Entradas!$D$26*AW541/Constantes!$F$45</f>
        <v>0</v>
      </c>
      <c r="AY541" s="170">
        <f>IF(Escenarios!$F$17&gt;0,10*Escenarios!$F$16*AL541,0)</f>
        <v>0</v>
      </c>
      <c r="AZ541" s="170">
        <f>IF(Escenarios!$F$17&gt;0,10*Escenarios!$F$16*AX541,0)</f>
        <v>0</v>
      </c>
      <c r="BA541" s="170">
        <f>IF(Escenarios!$F$17&gt;0,0.001*Observaciones!$F540*Escenarios!$F$17,0)</f>
        <v>0</v>
      </c>
      <c r="BB541" s="170">
        <f>IF(Escenarios!$F$17&gt;0,Observaciones!$K540,0)</f>
        <v>0</v>
      </c>
      <c r="BC541" s="170">
        <f>IF(Escenarios!$F$17&gt;0,MIN(0.0005*ETo!$M540*Escenarios!$F$17*(BG540/Constantes!$F$40)^(2/3),BG540+AY541+AZ541+BA541+BB541),0)</f>
        <v>0</v>
      </c>
      <c r="BD541" s="170">
        <f>IF(Escenarios!$F$17&gt;0,MIN(Constantes!$F$39*(BG540/Constantes!$F$40)^(2/3),BG540+AY541+AZ541+BA541+BB541-BC541),0)</f>
        <v>0</v>
      </c>
      <c r="BE541" s="170">
        <f>IF(Escenarios!$F$17&gt;0,MIN(Entradas!$F$113,BG540+AY541+AZ541+BA541+BB541-BC541-BD541),0)</f>
        <v>0</v>
      </c>
      <c r="BF541" s="170">
        <f>IF(Escenarios!$F$17&gt;0,MAX(0,BG540+AY541+AZ541+BA541+BB541-BC541-BD541-BE541-Constantes!$F$40),0)</f>
        <v>0</v>
      </c>
      <c r="BG541" s="170">
        <f t="shared" si="123"/>
        <v>0</v>
      </c>
      <c r="BH541" s="170">
        <f>(Escenarios!$F$16*AK541+0.1*BC541)/(Escenarios!$F$19)</f>
        <v>0.11960499658185808</v>
      </c>
      <c r="BI541" s="170">
        <f>IF(Escenarios!$F$17&gt;0,BF541/10/Escenarios!$F$19,AL541)</f>
        <v>0</v>
      </c>
      <c r="BJ541" s="170">
        <f>(Escenarios!$F$16*AT541+0.1*BD541)/(Escenarios!$F$19)</f>
        <v>0</v>
      </c>
      <c r="BK541" s="76">
        <f>BK540+(0.1*BD541)/(Escenarios!$F$19)-BL540</f>
        <v>48.75</v>
      </c>
      <c r="BL541" s="76">
        <f>MAX(0,(BK541-Constantes!$D$13)*(1-EXP(-Constantes!$D$23)))</f>
        <v>0</v>
      </c>
      <c r="BM541" s="76">
        <f t="shared" si="124"/>
        <v>0.59183708190014905</v>
      </c>
      <c r="BN541" s="76">
        <f t="shared" si="125"/>
        <v>0.59183708594593476</v>
      </c>
      <c r="BO541" s="76">
        <f>0.0526*BI541*Observaciones!$F540^1.218</f>
        <v>0</v>
      </c>
      <c r="BP541" s="76">
        <f>BO541*Constantes!$F$51</f>
        <v>0</v>
      </c>
      <c r="BQ541" s="76">
        <f t="shared" si="126"/>
        <v>0</v>
      </c>
      <c r="BR541" s="40"/>
    </row>
    <row r="542" spans="2:70">
      <c r="B542" s="39"/>
      <c r="C542" s="75">
        <v>536</v>
      </c>
      <c r="D542" s="146">
        <f>ETo!$I541*((1-Constantes!$F$19)*ETo!$K541+ETo!$L541)</f>
        <v>2.5202180558245573</v>
      </c>
      <c r="E542" s="76">
        <f>MIN(D542*Constantes!$F$17,0.8*(N541+Observaciones!$F541-F542-M542-Constantes!$D$14))</f>
        <v>1.0797388654282259E-7</v>
      </c>
      <c r="F542" s="76">
        <f>IF(Observaciones!$F541&gt;0.05*Constantes!$F$18,((Observaciones!$F541-0.05*Constantes!$F$18)^2)/(Observaciones!$F541+0.95*Constantes!$F$18),0)</f>
        <v>0</v>
      </c>
      <c r="G542" s="76">
        <f>IF(Escenarios!$F$11&gt;0,(F542*Escenarios!$F$16*10000)/1000,0)</f>
        <v>0</v>
      </c>
      <c r="H542" s="76">
        <f>IF(Escenarios!$F$11&gt;0,(Observaciones!$F541*Constantes!$F$29)/1000,0)</f>
        <v>0</v>
      </c>
      <c r="I542" s="76">
        <f>IF(Escenarios!$F$11&gt;0,(D542*Constantes!$F$29)/1000,0)</f>
        <v>0</v>
      </c>
      <c r="J542" s="76">
        <f>IF(Escenarios!$F$11&gt;0,MAX(0,G542+H542-I542),0)</f>
        <v>0</v>
      </c>
      <c r="K542" s="76">
        <f>IF(Escenarios!$F$11&gt;0,IF(J542&gt;Constantes!$F$30,1000*((J542-Constantes!$F$30)/(Escenarios!$F$16*10000)),0),F542)</f>
        <v>0</v>
      </c>
      <c r="L542" s="76">
        <f>IF(Escenarios!$F$11&gt;0,I542*1000/Escenarios!$F$16/10000+E542,E542)</f>
        <v>1.0797388654282259E-7</v>
      </c>
      <c r="M542" s="76">
        <f>MAX(0,N541+Observaciones!$F541-K542-Constantes!$D$13)</f>
        <v>0</v>
      </c>
      <c r="N542" s="76">
        <f>N541+Observaciones!$F541-K542-L542-M542-O541</f>
        <v>11.250000022395989</v>
      </c>
      <c r="O542" s="76">
        <f>MAX(0,(N542-Constantes!$D$14)*(1-EXP(-Constantes!$D$22)))</f>
        <v>7.6288960485446505E-10</v>
      </c>
      <c r="P542" s="170">
        <f>P541+(Entradas!$F$83*M542-Q541)/(800*Entradas!$D$25)</f>
        <v>0</v>
      </c>
      <c r="Q542" s="170">
        <f>8000*Entradas!$D$26*P542/Constantes!$F$45</f>
        <v>0</v>
      </c>
      <c r="R542" s="170">
        <f>IF(Escenarios!$F$14&gt;0,K542*Escenarios!$F$13/Escenarios!$F$14,0)</f>
        <v>0</v>
      </c>
      <c r="S542" s="170">
        <f>IF(Escenarios!$F$14&gt;0,Q542*Escenarios!$F$13/Escenarios!$F$14,0)</f>
        <v>0</v>
      </c>
      <c r="T542" s="170">
        <f>IF(Escenarios!$F$14&gt;0,Observaciones!$I541,0)</f>
        <v>0</v>
      </c>
      <c r="U542" s="170">
        <f>IF(Escenarios!$F$14&gt;0,MAX(0,Constantes!$F$36/((Z541+R542+S542+T542+Observaciones!$F541)^2)+Entradas!$F$77),0)</f>
        <v>0</v>
      </c>
      <c r="V542" s="146">
        <f>IF(ETo!D541&gt;0,ETo!I541*((1-Entradas!$F$81)*ETo!K541+ETo!L541),0)</f>
        <v>2.1925985390516654</v>
      </c>
      <c r="W542" s="170">
        <f>IF(Escenarios!$F$14&gt;0,MIN(V542*1,0.8*(Z541+R542+S542+T542+Observaciones!$F541-U542-Constantes!$F$35)),0)</f>
        <v>2.5811002615228066E-7</v>
      </c>
      <c r="X542" s="170">
        <f>IF(Escenarios!$F$14&gt;0,Observaciones!$J541,0)</f>
        <v>0</v>
      </c>
      <c r="Y542" s="170">
        <f>IF(Escenarios!$F$14&gt;0,MAX(0,Z541+R542+S542+T542+Observaciones!$F541-U542-W542-X542-Constantes!$F$33),0)</f>
        <v>0</v>
      </c>
      <c r="Z542" s="170">
        <f>Z541+R542+S542+T542+Observaciones!$F541-U542-W542-Y542</f>
        <v>41.250000064527505</v>
      </c>
      <c r="AA542" s="170">
        <f>IF(Escenarios!$F$14&gt;0,(Escenarios!$F$13*L542+Escenarios!$F$14*W542)/(Escenarios!$F$16),L542)</f>
        <v>1.2599022329595757E-7</v>
      </c>
      <c r="AB542" s="170">
        <f>IF(Escenarios!$F$14&gt;0,(Escenarios!$F$14*Y542)/(Escenarios!$F$16),K542)</f>
        <v>0</v>
      </c>
      <c r="AC542" s="170">
        <f>IF(Escenarios!$F$14&gt;0,(Escenarios!$F$13*M542+Escenarios!$F$14*U542)/(Escenarios!$F$16),M542)</f>
        <v>0</v>
      </c>
      <c r="AD542" s="76">
        <f t="shared" si="113"/>
        <v>101.86926146195812</v>
      </c>
      <c r="AE542" s="76">
        <f>MAX(0,(AD542-Constantes!$D$13)*(1-EXP(-Constantes!$D$23)))</f>
        <v>0.52339673520703789</v>
      </c>
      <c r="AF542" s="76">
        <f>AB542+O542*Escenarios!$F$13/Escenarios!$F$16+AE542</f>
        <v>0.52339673587838076</v>
      </c>
      <c r="AG542" s="76">
        <f>IF(Entradas!$F$91&gt;0,IF(AF542-Escenarios!$F$38&lt;=0,0,IF(AF542-Escenarios!$F$38&gt;Escenarios!$F$37,Escenarios!$F$37,AF542-Escenarios!$F$38)),0)</f>
        <v>0</v>
      </c>
      <c r="AH542" s="76">
        <f>AG542*Entradas!$F$99</f>
        <v>0</v>
      </c>
      <c r="AI542" s="76">
        <f>IF(Entradas!$F$91&gt;0,D542*Entradas!$D$23/Escenarios!$F$16,0)</f>
        <v>0.12097046667957875</v>
      </c>
      <c r="AJ542" s="76">
        <f>IF(Entradas!$F$91&gt;0,Entradas!$D$24*Entradas!$D$22/Escenarios!$F$16,0)</f>
        <v>0.12</v>
      </c>
      <c r="AK542" s="76">
        <f t="shared" si="114"/>
        <v>0.12097059266980205</v>
      </c>
      <c r="AL542" s="76">
        <f t="shared" si="115"/>
        <v>0</v>
      </c>
      <c r="AM542" s="76">
        <f t="shared" si="116"/>
        <v>0</v>
      </c>
      <c r="AN542" s="76">
        <f>MAX(0,O542*Escenarios!$F$13/Escenarios!$F$16-AM542)</f>
        <v>6.7134285227192926E-10</v>
      </c>
      <c r="AO542" s="76">
        <f>AM542+AN542-O542*Escenarios!$F$13/Escenarios!$F$16</f>
        <v>0</v>
      </c>
      <c r="AP542" s="76">
        <f t="shared" si="117"/>
        <v>0.52339673520703789</v>
      </c>
      <c r="AQ542" s="76">
        <f t="shared" si="118"/>
        <v>0</v>
      </c>
      <c r="AR542" s="76">
        <f t="shared" si="119"/>
        <v>0.52339673587838076</v>
      </c>
      <c r="AS542" s="76">
        <f t="shared" si="120"/>
        <v>0</v>
      </c>
      <c r="AT542" s="76">
        <f t="shared" si="121"/>
        <v>0</v>
      </c>
      <c r="AU542" s="76">
        <f t="shared" si="122"/>
        <v>52.823559203452284</v>
      </c>
      <c r="AV542" s="76">
        <f>MAX(0,(AU542-Constantes!$D$13)*(1-EXP(-Constantes!$D$24)))</f>
        <v>6.2265358860989696E-2</v>
      </c>
      <c r="AW542" s="170">
        <f>AW541+(Entradas!$F$112*AT542-AX541)/(800*Entradas!$D$25)</f>
        <v>0</v>
      </c>
      <c r="AX542" s="170">
        <f>8000*Entradas!$D$26*AW542/Constantes!$F$45</f>
        <v>0</v>
      </c>
      <c r="AY542" s="170">
        <f>IF(Escenarios!$F$17&gt;0,10*Escenarios!$F$16*AL542,0)</f>
        <v>0</v>
      </c>
      <c r="AZ542" s="170">
        <f>IF(Escenarios!$F$17&gt;0,10*Escenarios!$F$16*AX542,0)</f>
        <v>0</v>
      </c>
      <c r="BA542" s="170">
        <f>IF(Escenarios!$F$17&gt;0,0.001*Observaciones!$F541*Escenarios!$F$17,0)</f>
        <v>0</v>
      </c>
      <c r="BB542" s="170">
        <f>IF(Escenarios!$F$17&gt;0,Observaciones!$K541,0)</f>
        <v>0</v>
      </c>
      <c r="BC542" s="170">
        <f>IF(Escenarios!$F$17&gt;0,MIN(0.0005*ETo!$M541*Escenarios!$F$17*(BG541/Constantes!$F$40)^(2/3),BG541+AY542+AZ542+BA542+BB542),0)</f>
        <v>0</v>
      </c>
      <c r="BD542" s="170">
        <f>IF(Escenarios!$F$17&gt;0,MIN(Constantes!$F$39*(BG541/Constantes!$F$40)^(2/3),BG541+AY542+AZ542+BA542+BB542-BC542),0)</f>
        <v>0</v>
      </c>
      <c r="BE542" s="170">
        <f>IF(Escenarios!$F$17&gt;0,MIN(Entradas!$F$113,BG541+AY542+AZ542+BA542+BB542-BC542-BD542),0)</f>
        <v>0</v>
      </c>
      <c r="BF542" s="170">
        <f>IF(Escenarios!$F$17&gt;0,MAX(0,BG541+AY542+AZ542+BA542+BB542-BC542-BD542-BE542-Constantes!$F$40),0)</f>
        <v>0</v>
      </c>
      <c r="BG542" s="170">
        <f t="shared" si="123"/>
        <v>0</v>
      </c>
      <c r="BH542" s="170">
        <f>(Escenarios!$F$16*AK542+0.1*BC542)/(Escenarios!$F$19)</f>
        <v>0.12097059266980205</v>
      </c>
      <c r="BI542" s="170">
        <f>IF(Escenarios!$F$17&gt;0,BF542/10/Escenarios!$F$19,AL542)</f>
        <v>0</v>
      </c>
      <c r="BJ542" s="170">
        <f>(Escenarios!$F$16*AT542+0.1*BD542)/(Escenarios!$F$19)</f>
        <v>0</v>
      </c>
      <c r="BK542" s="76">
        <f>BK541+(0.1*BD542)/(Escenarios!$F$19)-BL541</f>
        <v>48.75</v>
      </c>
      <c r="BL542" s="76">
        <f>MAX(0,(BK542-Constantes!$D$13)*(1-EXP(-Constantes!$D$23)))</f>
        <v>0</v>
      </c>
      <c r="BM542" s="76">
        <f t="shared" si="124"/>
        <v>0.58566209406802761</v>
      </c>
      <c r="BN542" s="76">
        <f t="shared" si="125"/>
        <v>0.58566209473937048</v>
      </c>
      <c r="BO542" s="76">
        <f>0.0526*BI542*Observaciones!$F541^1.218</f>
        <v>0</v>
      </c>
      <c r="BP542" s="76">
        <f>BO542*Constantes!$F$51</f>
        <v>0</v>
      </c>
      <c r="BQ542" s="76">
        <f t="shared" si="126"/>
        <v>0</v>
      </c>
      <c r="BR542" s="40"/>
    </row>
    <row r="543" spans="2:70">
      <c r="B543" s="39"/>
      <c r="C543" s="75">
        <v>537</v>
      </c>
      <c r="D543" s="146">
        <f>ETo!$I542*((1-Constantes!$F$19)*ETo!$K542+ETo!$L542)</f>
        <v>2.5015598259580871</v>
      </c>
      <c r="E543" s="76">
        <f>MIN(D543*Constantes!$F$17,0.8*(N542+Observaciones!$F542-F543-M543-Constantes!$D$14))</f>
        <v>1.7916791250627285E-8</v>
      </c>
      <c r="F543" s="76">
        <f>IF(Observaciones!$F542&gt;0.05*Constantes!$F$18,((Observaciones!$F542-0.05*Constantes!$F$18)^2)/(Observaciones!$F542+0.95*Constantes!$F$18),0)</f>
        <v>0</v>
      </c>
      <c r="G543" s="76">
        <f>IF(Escenarios!$F$11&gt;0,(F543*Escenarios!$F$16*10000)/1000,0)</f>
        <v>0</v>
      </c>
      <c r="H543" s="76">
        <f>IF(Escenarios!$F$11&gt;0,(Observaciones!$F542*Constantes!$F$29)/1000,0)</f>
        <v>0</v>
      </c>
      <c r="I543" s="76">
        <f>IF(Escenarios!$F$11&gt;0,(D543*Constantes!$F$29)/1000,0)</f>
        <v>0</v>
      </c>
      <c r="J543" s="76">
        <f>IF(Escenarios!$F$11&gt;0,MAX(0,G543+H543-I543),0)</f>
        <v>0</v>
      </c>
      <c r="K543" s="76">
        <f>IF(Escenarios!$F$11&gt;0,IF(J543&gt;Constantes!$F$30,1000*((J543-Constantes!$F$30)/(Escenarios!$F$16*10000)),0),F543)</f>
        <v>0</v>
      </c>
      <c r="L543" s="76">
        <f>IF(Escenarios!$F$11&gt;0,I543*1000/Escenarios!$F$16/10000+E543,E543)</f>
        <v>1.7916791250627285E-8</v>
      </c>
      <c r="M543" s="76">
        <f>MAX(0,N542+Observaciones!$F542-K543-Constantes!$D$13)</f>
        <v>0</v>
      </c>
      <c r="N543" s="76">
        <f>N542+Observaciones!$F542-K543-L543-M543-O542</f>
        <v>11.250000003716307</v>
      </c>
      <c r="O543" s="76">
        <f>MAX(0,(N543-Constantes!$D$14)*(1-EXP(-Constantes!$D$22)))</f>
        <v>1.2659106818442314E-10</v>
      </c>
      <c r="P543" s="170">
        <f>P542+(Entradas!$F$83*M543-Q542)/(800*Entradas!$D$25)</f>
        <v>0</v>
      </c>
      <c r="Q543" s="170">
        <f>8000*Entradas!$D$26*P543/Constantes!$F$45</f>
        <v>0</v>
      </c>
      <c r="R543" s="170">
        <f>IF(Escenarios!$F$14&gt;0,K543*Escenarios!$F$13/Escenarios!$F$14,0)</f>
        <v>0</v>
      </c>
      <c r="S543" s="170">
        <f>IF(Escenarios!$F$14&gt;0,Q543*Escenarios!$F$13/Escenarios!$F$14,0)</f>
        <v>0</v>
      </c>
      <c r="T543" s="170">
        <f>IF(Escenarios!$F$14&gt;0,Observaciones!$I542,0)</f>
        <v>0</v>
      </c>
      <c r="U543" s="170">
        <f>IF(Escenarios!$F$14&gt;0,MAX(0,Constantes!$F$36/((Z542+R543+S543+T543+Observaciones!$F542)^2)+Entradas!$F$77),0)</f>
        <v>0</v>
      </c>
      <c r="V543" s="146">
        <f>IF(ETo!D542&gt;0,ETo!I542*((1-Entradas!$F$81)*ETo!K542+ETo!L542),0)</f>
        <v>2.176201937493687</v>
      </c>
      <c r="W543" s="170">
        <f>IF(Escenarios!$F$14&gt;0,MIN(V543*1,0.8*(Z542+R543+S543+T543+Observaciones!$F542-U543-Constantes!$F$35)),0)</f>
        <v>5.1622004093587749E-8</v>
      </c>
      <c r="X543" s="170">
        <f>IF(Escenarios!$F$14&gt;0,Observaciones!$J542,0)</f>
        <v>0</v>
      </c>
      <c r="Y543" s="170">
        <f>IF(Escenarios!$F$14&gt;0,MAX(0,Z542+R543+S543+T543+Observaciones!$F542-U543-W543-X543-Constantes!$F$33),0)</f>
        <v>0</v>
      </c>
      <c r="Z543" s="170">
        <f>Z542+R543+S543+T543+Observaciones!$F542-U543-W543-Y543</f>
        <v>41.250000012905502</v>
      </c>
      <c r="AA543" s="170">
        <f>IF(Escenarios!$F$14&gt;0,(Escenarios!$F$13*L543+Escenarios!$F$14*W543)/(Escenarios!$F$16),L543)</f>
        <v>2.1961416791782541E-8</v>
      </c>
      <c r="AB543" s="170">
        <f>IF(Escenarios!$F$14&gt;0,(Escenarios!$F$14*Y543)/(Escenarios!$F$16),K543)</f>
        <v>0</v>
      </c>
      <c r="AC543" s="170">
        <f>IF(Escenarios!$F$14&gt;0,(Escenarios!$F$13*M543+Escenarios!$F$14*U543)/(Escenarios!$F$16),M543)</f>
        <v>0</v>
      </c>
      <c r="AD543" s="76">
        <f t="shared" si="113"/>
        <v>101.34586472675107</v>
      </c>
      <c r="AE543" s="76">
        <f>MAX(0,(AD543-Constantes!$D$13)*(1-EXP(-Constantes!$D$23)))</f>
        <v>0.51823958251165303</v>
      </c>
      <c r="AF543" s="76">
        <f>AB543+O543*Escenarios!$F$13/Escenarios!$F$16+AE543</f>
        <v>0.51823958262305314</v>
      </c>
      <c r="AG543" s="76">
        <f>IF(Entradas!$F$91&gt;0,IF(AF543-Escenarios!$F$38&lt;=0,0,IF(AF543-Escenarios!$F$38&gt;Escenarios!$F$37,Escenarios!$F$37,AF543-Escenarios!$F$38)),0)</f>
        <v>0</v>
      </c>
      <c r="AH543" s="76">
        <f>AG543*Entradas!$F$99</f>
        <v>0</v>
      </c>
      <c r="AI543" s="76">
        <f>IF(Entradas!$F$91&gt;0,D543*Entradas!$D$23/Escenarios!$F$16,0)</f>
        <v>0.12007487164598818</v>
      </c>
      <c r="AJ543" s="76">
        <f>IF(Entradas!$F$91&gt;0,Entradas!$D$24*Entradas!$D$22/Escenarios!$F$16,0)</f>
        <v>0.12</v>
      </c>
      <c r="AK543" s="76">
        <f t="shared" si="114"/>
        <v>0.12007489360740498</v>
      </c>
      <c r="AL543" s="76">
        <f t="shared" si="115"/>
        <v>0</v>
      </c>
      <c r="AM543" s="76">
        <f t="shared" si="116"/>
        <v>0</v>
      </c>
      <c r="AN543" s="76">
        <f>MAX(0,O543*Escenarios!$F$13/Escenarios!$F$16-AM543)</f>
        <v>1.1140014000229238E-10</v>
      </c>
      <c r="AO543" s="76">
        <f>AM543+AN543-O543*Escenarios!$F$13/Escenarios!$F$16</f>
        <v>0</v>
      </c>
      <c r="AP543" s="76">
        <f t="shared" si="117"/>
        <v>0.51823958251165303</v>
      </c>
      <c r="AQ543" s="76">
        <f t="shared" si="118"/>
        <v>0</v>
      </c>
      <c r="AR543" s="76">
        <f t="shared" si="119"/>
        <v>0.51823958262305314</v>
      </c>
      <c r="AS543" s="76">
        <f t="shared" si="120"/>
        <v>0</v>
      </c>
      <c r="AT543" s="76">
        <f t="shared" si="121"/>
        <v>0</v>
      </c>
      <c r="AU543" s="76">
        <f t="shared" si="122"/>
        <v>52.761293844591293</v>
      </c>
      <c r="AV543" s="76">
        <f>MAX(0,(AU543-Constantes!$D$13)*(1-EXP(-Constantes!$D$24)))</f>
        <v>6.1313617467173148E-2</v>
      </c>
      <c r="AW543" s="170">
        <f>AW542+(Entradas!$F$112*AT543-AX542)/(800*Entradas!$D$25)</f>
        <v>0</v>
      </c>
      <c r="AX543" s="170">
        <f>8000*Entradas!$D$26*AW543/Constantes!$F$45</f>
        <v>0</v>
      </c>
      <c r="AY543" s="170">
        <f>IF(Escenarios!$F$17&gt;0,10*Escenarios!$F$16*AL543,0)</f>
        <v>0</v>
      </c>
      <c r="AZ543" s="170">
        <f>IF(Escenarios!$F$17&gt;0,10*Escenarios!$F$16*AX543,0)</f>
        <v>0</v>
      </c>
      <c r="BA543" s="170">
        <f>IF(Escenarios!$F$17&gt;0,0.001*Observaciones!$F542*Escenarios!$F$17,0)</f>
        <v>0</v>
      </c>
      <c r="BB543" s="170">
        <f>IF(Escenarios!$F$17&gt;0,Observaciones!$K542,0)</f>
        <v>0</v>
      </c>
      <c r="BC543" s="170">
        <f>IF(Escenarios!$F$17&gt;0,MIN(0.0005*ETo!$M542*Escenarios!$F$17*(BG542/Constantes!$F$40)^(2/3),BG542+AY543+AZ543+BA543+BB543),0)</f>
        <v>0</v>
      </c>
      <c r="BD543" s="170">
        <f>IF(Escenarios!$F$17&gt;0,MIN(Constantes!$F$39*(BG542/Constantes!$F$40)^(2/3),BG542+AY543+AZ543+BA543+BB543-BC543),0)</f>
        <v>0</v>
      </c>
      <c r="BE543" s="170">
        <f>IF(Escenarios!$F$17&gt;0,MIN(Entradas!$F$113,BG542+AY543+AZ543+BA543+BB543-BC543-BD543),0)</f>
        <v>0</v>
      </c>
      <c r="BF543" s="170">
        <f>IF(Escenarios!$F$17&gt;0,MAX(0,BG542+AY543+AZ543+BA543+BB543-BC543-BD543-BE543-Constantes!$F$40),0)</f>
        <v>0</v>
      </c>
      <c r="BG543" s="170">
        <f t="shared" si="123"/>
        <v>0</v>
      </c>
      <c r="BH543" s="170">
        <f>(Escenarios!$F$16*AK543+0.1*BC543)/(Escenarios!$F$19)</f>
        <v>0.12007489360740498</v>
      </c>
      <c r="BI543" s="170">
        <f>IF(Escenarios!$F$17&gt;0,BF543/10/Escenarios!$F$19,AL543)</f>
        <v>0</v>
      </c>
      <c r="BJ543" s="170">
        <f>(Escenarios!$F$16*AT543+0.1*BD543)/(Escenarios!$F$19)</f>
        <v>0</v>
      </c>
      <c r="BK543" s="76">
        <f>BK542+(0.1*BD543)/(Escenarios!$F$19)-BL542</f>
        <v>48.75</v>
      </c>
      <c r="BL543" s="76">
        <f>MAX(0,(BK543-Constantes!$D$13)*(1-EXP(-Constantes!$D$23)))</f>
        <v>0</v>
      </c>
      <c r="BM543" s="76">
        <f t="shared" si="124"/>
        <v>0.57955319997882615</v>
      </c>
      <c r="BN543" s="76">
        <f t="shared" si="125"/>
        <v>0.57955320009022626</v>
      </c>
      <c r="BO543" s="76">
        <f>0.0526*BI543*Observaciones!$F542^1.218</f>
        <v>0</v>
      </c>
      <c r="BP543" s="76">
        <f>BO543*Constantes!$F$51</f>
        <v>0</v>
      </c>
      <c r="BQ543" s="76">
        <f t="shared" si="126"/>
        <v>0</v>
      </c>
      <c r="BR543" s="40"/>
    </row>
    <row r="544" spans="2:70">
      <c r="B544" s="39"/>
      <c r="C544" s="75">
        <v>538</v>
      </c>
      <c r="D544" s="146">
        <f>ETo!$I543*((1-Constantes!$F$19)*ETo!$K543+ETo!$L543)</f>
        <v>2.5041839108078223</v>
      </c>
      <c r="E544" s="76">
        <f>MIN(D544*Constantes!$F$17,0.8*(N543+Observaciones!$F543-F544-M544-Constantes!$D$14))</f>
        <v>2.9730458095400536E-9</v>
      </c>
      <c r="F544" s="76">
        <f>IF(Observaciones!$F543&gt;0.05*Constantes!$F$18,((Observaciones!$F543-0.05*Constantes!$F$18)^2)/(Observaciones!$F543+0.95*Constantes!$F$18),0)</f>
        <v>0</v>
      </c>
      <c r="G544" s="76">
        <f>IF(Escenarios!$F$11&gt;0,(F544*Escenarios!$F$16*10000)/1000,0)</f>
        <v>0</v>
      </c>
      <c r="H544" s="76">
        <f>IF(Escenarios!$F$11&gt;0,(Observaciones!$F543*Constantes!$F$29)/1000,0)</f>
        <v>0</v>
      </c>
      <c r="I544" s="76">
        <f>IF(Escenarios!$F$11&gt;0,(D544*Constantes!$F$29)/1000,0)</f>
        <v>0</v>
      </c>
      <c r="J544" s="76">
        <f>IF(Escenarios!$F$11&gt;0,MAX(0,G544+H544-I544),0)</f>
        <v>0</v>
      </c>
      <c r="K544" s="76">
        <f>IF(Escenarios!$F$11&gt;0,IF(J544&gt;Constantes!$F$30,1000*((J544-Constantes!$F$30)/(Escenarios!$F$16*10000)),0),F544)</f>
        <v>0</v>
      </c>
      <c r="L544" s="76">
        <f>IF(Escenarios!$F$11&gt;0,I544*1000/Escenarios!$F$16/10000+E544,E544)</f>
        <v>2.9730458095400536E-9</v>
      </c>
      <c r="M544" s="76">
        <f>MAX(0,N543+Observaciones!$F543-K544-Constantes!$D$13)</f>
        <v>0</v>
      </c>
      <c r="N544" s="76">
        <f>N543+Observaciones!$F543-K544-L544-M544-O543</f>
        <v>11.250000000616671</v>
      </c>
      <c r="O544" s="76">
        <f>MAX(0,(N544-Constantes!$D$14)*(1-EXP(-Constantes!$D$22)))</f>
        <v>2.100608350747142E-11</v>
      </c>
      <c r="P544" s="170">
        <f>P543+(Entradas!$F$83*M544-Q543)/(800*Entradas!$D$25)</f>
        <v>0</v>
      </c>
      <c r="Q544" s="170">
        <f>8000*Entradas!$D$26*P544/Constantes!$F$45</f>
        <v>0</v>
      </c>
      <c r="R544" s="170">
        <f>IF(Escenarios!$F$14&gt;0,K544*Escenarios!$F$13/Escenarios!$F$14,0)</f>
        <v>0</v>
      </c>
      <c r="S544" s="170">
        <f>IF(Escenarios!$F$14&gt;0,Q544*Escenarios!$F$13/Escenarios!$F$14,0)</f>
        <v>0</v>
      </c>
      <c r="T544" s="170">
        <f>IF(Escenarios!$F$14&gt;0,Observaciones!$I543,0)</f>
        <v>0</v>
      </c>
      <c r="U544" s="170">
        <f>IF(Escenarios!$F$14&gt;0,MAX(0,Constantes!$F$36/((Z543+R544+S544+T544+Observaciones!$F543)^2)+Entradas!$F$77),0)</f>
        <v>0</v>
      </c>
      <c r="V544" s="146">
        <f>IF(ETo!D543&gt;0,ETo!I543*((1-Entradas!$F$81)*ETo!K543+ETo!L543),0)</f>
        <v>2.1784880714791242</v>
      </c>
      <c r="W544" s="170">
        <f>IF(Escenarios!$F$14&gt;0,MIN(V544*1,0.8*(Z543+R544+S544+T544+Observaciones!$F543-U544-Constantes!$F$35)),0)</f>
        <v>1.0324401955585928E-8</v>
      </c>
      <c r="X544" s="170">
        <f>IF(Escenarios!$F$14&gt;0,Observaciones!$J543,0)</f>
        <v>0</v>
      </c>
      <c r="Y544" s="170">
        <f>IF(Escenarios!$F$14&gt;0,MAX(0,Z543+R544+S544+T544+Observaciones!$F543-U544-W544-X544-Constantes!$F$33),0)</f>
        <v>0</v>
      </c>
      <c r="Z544" s="170">
        <f>Z543+R544+S544+T544+Observaciones!$F543-U544-W544-Y544</f>
        <v>41.250000002581103</v>
      </c>
      <c r="AA544" s="170">
        <f>IF(Escenarios!$F$14&gt;0,(Escenarios!$F$13*L544+Escenarios!$F$14*W544)/(Escenarios!$F$16),L544)</f>
        <v>3.8552085470655585E-9</v>
      </c>
      <c r="AB544" s="170">
        <f>IF(Escenarios!$F$14&gt;0,(Escenarios!$F$14*Y544)/(Escenarios!$F$16),K544)</f>
        <v>0</v>
      </c>
      <c r="AC544" s="170">
        <f>IF(Escenarios!$F$14&gt;0,(Escenarios!$F$13*M544+Escenarios!$F$14*U544)/(Escenarios!$F$16),M544)</f>
        <v>0</v>
      </c>
      <c r="AD544" s="76">
        <f t="shared" si="113"/>
        <v>100.82762514423942</v>
      </c>
      <c r="AE544" s="76">
        <f>MAX(0,(AD544-Constantes!$D$13)*(1-EXP(-Constantes!$D$23)))</f>
        <v>0.51313324447011388</v>
      </c>
      <c r="AF544" s="76">
        <f>AB544+O544*Escenarios!$F$13/Escenarios!$F$16+AE544</f>
        <v>0.51313324448859921</v>
      </c>
      <c r="AG544" s="76">
        <f>IF(Entradas!$F$91&gt;0,IF(AF544-Escenarios!$F$38&lt;=0,0,IF(AF544-Escenarios!$F$38&gt;Escenarios!$F$37,Escenarios!$F$37,AF544-Escenarios!$F$38)),0)</f>
        <v>0</v>
      </c>
      <c r="AH544" s="76">
        <f>AG544*Entradas!$F$99</f>
        <v>0</v>
      </c>
      <c r="AI544" s="76">
        <f>IF(Entradas!$F$91&gt;0,D544*Entradas!$D$23/Escenarios!$F$16,0)</f>
        <v>0.12020082771877547</v>
      </c>
      <c r="AJ544" s="76">
        <f>IF(Entradas!$F$91&gt;0,Entradas!$D$24*Entradas!$D$22/Escenarios!$F$16,0)</f>
        <v>0.12</v>
      </c>
      <c r="AK544" s="76">
        <f t="shared" si="114"/>
        <v>0.12020083157398401</v>
      </c>
      <c r="AL544" s="76">
        <f t="shared" si="115"/>
        <v>0</v>
      </c>
      <c r="AM544" s="76">
        <f t="shared" si="116"/>
        <v>0</v>
      </c>
      <c r="AN544" s="76">
        <f>MAX(0,O544*Escenarios!$F$13/Escenarios!$F$16-AM544)</f>
        <v>1.8485353486574851E-11</v>
      </c>
      <c r="AO544" s="76">
        <f>AM544+AN544-O544*Escenarios!$F$13/Escenarios!$F$16</f>
        <v>0</v>
      </c>
      <c r="AP544" s="76">
        <f t="shared" si="117"/>
        <v>0.51313324447011388</v>
      </c>
      <c r="AQ544" s="76">
        <f t="shared" si="118"/>
        <v>0</v>
      </c>
      <c r="AR544" s="76">
        <f t="shared" si="119"/>
        <v>0.51313324448859921</v>
      </c>
      <c r="AS544" s="76">
        <f t="shared" si="120"/>
        <v>0</v>
      </c>
      <c r="AT544" s="76">
        <f t="shared" si="121"/>
        <v>0</v>
      </c>
      <c r="AU544" s="76">
        <f t="shared" si="122"/>
        <v>52.699980227124122</v>
      </c>
      <c r="AV544" s="76">
        <f>MAX(0,(AU544-Constantes!$D$13)*(1-EXP(-Constantes!$D$24)))</f>
        <v>6.0376423675703672E-2</v>
      </c>
      <c r="AW544" s="170">
        <f>AW543+(Entradas!$F$112*AT544-AX543)/(800*Entradas!$D$25)</f>
        <v>0</v>
      </c>
      <c r="AX544" s="170">
        <f>8000*Entradas!$D$26*AW544/Constantes!$F$45</f>
        <v>0</v>
      </c>
      <c r="AY544" s="170">
        <f>IF(Escenarios!$F$17&gt;0,10*Escenarios!$F$16*AL544,0)</f>
        <v>0</v>
      </c>
      <c r="AZ544" s="170">
        <f>IF(Escenarios!$F$17&gt;0,10*Escenarios!$F$16*AX544,0)</f>
        <v>0</v>
      </c>
      <c r="BA544" s="170">
        <f>IF(Escenarios!$F$17&gt;0,0.001*Observaciones!$F543*Escenarios!$F$17,0)</f>
        <v>0</v>
      </c>
      <c r="BB544" s="170">
        <f>IF(Escenarios!$F$17&gt;0,Observaciones!$K543,0)</f>
        <v>0</v>
      </c>
      <c r="BC544" s="170">
        <f>IF(Escenarios!$F$17&gt;0,MIN(0.0005*ETo!$M543*Escenarios!$F$17*(BG543/Constantes!$F$40)^(2/3),BG543+AY544+AZ544+BA544+BB544),0)</f>
        <v>0</v>
      </c>
      <c r="BD544" s="170">
        <f>IF(Escenarios!$F$17&gt;0,MIN(Constantes!$F$39*(BG543/Constantes!$F$40)^(2/3),BG543+AY544+AZ544+BA544+BB544-BC544),0)</f>
        <v>0</v>
      </c>
      <c r="BE544" s="170">
        <f>IF(Escenarios!$F$17&gt;0,MIN(Entradas!$F$113,BG543+AY544+AZ544+BA544+BB544-BC544-BD544),0)</f>
        <v>0</v>
      </c>
      <c r="BF544" s="170">
        <f>IF(Escenarios!$F$17&gt;0,MAX(0,BG543+AY544+AZ544+BA544+BB544-BC544-BD544-BE544-Constantes!$F$40),0)</f>
        <v>0</v>
      </c>
      <c r="BG544" s="170">
        <f t="shared" si="123"/>
        <v>0</v>
      </c>
      <c r="BH544" s="170">
        <f>(Escenarios!$F$16*AK544+0.1*BC544)/(Escenarios!$F$19)</f>
        <v>0.12020083157398401</v>
      </c>
      <c r="BI544" s="170">
        <f>IF(Escenarios!$F$17&gt;0,BF544/10/Escenarios!$F$19,AL544)</f>
        <v>0</v>
      </c>
      <c r="BJ544" s="170">
        <f>(Escenarios!$F$16*AT544+0.1*BD544)/(Escenarios!$F$19)</f>
        <v>0</v>
      </c>
      <c r="BK544" s="76">
        <f>BK543+(0.1*BD544)/(Escenarios!$F$19)-BL543</f>
        <v>48.75</v>
      </c>
      <c r="BL544" s="76">
        <f>MAX(0,(BK544-Constantes!$D$13)*(1-EXP(-Constantes!$D$23)))</f>
        <v>0</v>
      </c>
      <c r="BM544" s="76">
        <f t="shared" si="124"/>
        <v>0.57350966814581761</v>
      </c>
      <c r="BN544" s="76">
        <f t="shared" si="125"/>
        <v>0.57350966816430282</v>
      </c>
      <c r="BO544" s="76">
        <f>0.0526*BI544*Observaciones!$F543^1.218</f>
        <v>0</v>
      </c>
      <c r="BP544" s="76">
        <f>BO544*Constantes!$F$51</f>
        <v>0</v>
      </c>
      <c r="BQ544" s="76">
        <f t="shared" si="126"/>
        <v>0</v>
      </c>
      <c r="BR544" s="40"/>
    </row>
    <row r="545" spans="2:70">
      <c r="B545" s="39"/>
      <c r="C545" s="75">
        <v>539</v>
      </c>
      <c r="D545" s="146">
        <f>ETo!$I544*((1-Constantes!$F$19)*ETo!$K544+ETo!$L544)</f>
        <v>2.5699524177882749</v>
      </c>
      <c r="E545" s="76">
        <f>MIN(D545*Constantes!$F$17,0.8*(N544+Observaciones!$F544-F545-M545-Constantes!$D$14))</f>
        <v>4.9333692686559516E-10</v>
      </c>
      <c r="F545" s="76">
        <f>IF(Observaciones!$F544&gt;0.05*Constantes!$F$18,((Observaciones!$F544-0.05*Constantes!$F$18)^2)/(Observaciones!$F544+0.95*Constantes!$F$18),0)</f>
        <v>0</v>
      </c>
      <c r="G545" s="76">
        <f>IF(Escenarios!$F$11&gt;0,(F545*Escenarios!$F$16*10000)/1000,0)</f>
        <v>0</v>
      </c>
      <c r="H545" s="76">
        <f>IF(Escenarios!$F$11&gt;0,(Observaciones!$F544*Constantes!$F$29)/1000,0)</f>
        <v>0</v>
      </c>
      <c r="I545" s="76">
        <f>IF(Escenarios!$F$11&gt;0,(D545*Constantes!$F$29)/1000,0)</f>
        <v>0</v>
      </c>
      <c r="J545" s="76">
        <f>IF(Escenarios!$F$11&gt;0,MAX(0,G545+H545-I545),0)</f>
        <v>0</v>
      </c>
      <c r="K545" s="76">
        <f>IF(Escenarios!$F$11&gt;0,IF(J545&gt;Constantes!$F$30,1000*((J545-Constantes!$F$30)/(Escenarios!$F$16*10000)),0),F545)</f>
        <v>0</v>
      </c>
      <c r="L545" s="76">
        <f>IF(Escenarios!$F$11&gt;0,I545*1000/Escenarios!$F$16/10000+E545,E545)</f>
        <v>4.9333692686559516E-10</v>
      </c>
      <c r="M545" s="76">
        <f>MAX(0,N544+Observaciones!$F544-K545-Constantes!$D$13)</f>
        <v>0</v>
      </c>
      <c r="N545" s="76">
        <f>N544+Observaciones!$F544-K545-L545-M545-O544</f>
        <v>11.250000000102329</v>
      </c>
      <c r="O545" s="76">
        <f>MAX(0,(N545-Constantes!$D$14)*(1-EXP(-Constantes!$D$22)))</f>
        <v>3.4856949965617623E-12</v>
      </c>
      <c r="P545" s="170">
        <f>P544+(Entradas!$F$83*M545-Q544)/(800*Entradas!$D$25)</f>
        <v>0</v>
      </c>
      <c r="Q545" s="170">
        <f>8000*Entradas!$D$26*P545/Constantes!$F$45</f>
        <v>0</v>
      </c>
      <c r="R545" s="170">
        <f>IF(Escenarios!$F$14&gt;0,K545*Escenarios!$F$13/Escenarios!$F$14,0)</f>
        <v>0</v>
      </c>
      <c r="S545" s="170">
        <f>IF(Escenarios!$F$14&gt;0,Q545*Escenarios!$F$13/Escenarios!$F$14,0)</f>
        <v>0</v>
      </c>
      <c r="T545" s="170">
        <f>IF(Escenarios!$F$14&gt;0,Observaciones!$I544,0)</f>
        <v>0</v>
      </c>
      <c r="U545" s="170">
        <f>IF(Escenarios!$F$14&gt;0,MAX(0,Constantes!$F$36/((Z544+R545+S545+T545+Observaciones!$F544)^2)+Entradas!$F$77),0)</f>
        <v>0</v>
      </c>
      <c r="V545" s="146">
        <f>IF(ETo!D544&gt;0,ETo!I544*((1-Entradas!$F$81)*ETo!K544+ETo!L544),0)</f>
        <v>2.2362806992755679</v>
      </c>
      <c r="W545" s="170">
        <f>IF(Escenarios!$F$14&gt;0,MIN(V545*1,0.8*(Z544+R545+S545+T545+Observaciones!$F544-U545-Constantes!$F$35)),0)</f>
        <v>2.06488266485394E-9</v>
      </c>
      <c r="X545" s="170">
        <f>IF(Escenarios!$F$14&gt;0,Observaciones!$J544,0)</f>
        <v>0</v>
      </c>
      <c r="Y545" s="170">
        <f>IF(Escenarios!$F$14&gt;0,MAX(0,Z544+R545+S545+T545+Observaciones!$F544-U545-W545-X545-Constantes!$F$33),0)</f>
        <v>0</v>
      </c>
      <c r="Z545" s="170">
        <f>Z544+R545+S545+T545+Observaciones!$F544-U545-W545-Y545</f>
        <v>41.250000000516224</v>
      </c>
      <c r="AA545" s="170">
        <f>IF(Escenarios!$F$14&gt;0,(Escenarios!$F$13*L545+Escenarios!$F$14*W545)/(Escenarios!$F$16),L545)</f>
        <v>6.8192241542419648E-10</v>
      </c>
      <c r="AB545" s="170">
        <f>IF(Escenarios!$F$14&gt;0,(Escenarios!$F$14*Y545)/(Escenarios!$F$16),K545)</f>
        <v>0</v>
      </c>
      <c r="AC545" s="170">
        <f>IF(Escenarios!$F$14&gt;0,(Escenarios!$F$13*M545+Escenarios!$F$14*U545)/(Escenarios!$F$16),M545)</f>
        <v>0</v>
      </c>
      <c r="AD545" s="76">
        <f t="shared" si="113"/>
        <v>100.31449189976931</v>
      </c>
      <c r="AE545" s="76">
        <f>MAX(0,(AD545-Constantes!$D$13)*(1-EXP(-Constantes!$D$23)))</f>
        <v>0.50807722039353309</v>
      </c>
      <c r="AF545" s="76">
        <f>AB545+O545*Escenarios!$F$13/Escenarios!$F$16+AE545</f>
        <v>0.50807722039660053</v>
      </c>
      <c r="AG545" s="76">
        <f>IF(Entradas!$F$91&gt;0,IF(AF545-Escenarios!$F$38&lt;=0,0,IF(AF545-Escenarios!$F$38&gt;Escenarios!$F$37,Escenarios!$F$37,AF545-Escenarios!$F$38)),0)</f>
        <v>0</v>
      </c>
      <c r="AH545" s="76">
        <f>AG545*Entradas!$F$99</f>
        <v>0</v>
      </c>
      <c r="AI545" s="76">
        <f>IF(Entradas!$F$91&gt;0,D545*Entradas!$D$23/Escenarios!$F$16,0)</f>
        <v>0.12335771605383719</v>
      </c>
      <c r="AJ545" s="76">
        <f>IF(Entradas!$F$91&gt;0,Entradas!$D$24*Entradas!$D$22/Escenarios!$F$16,0)</f>
        <v>0.12</v>
      </c>
      <c r="AK545" s="76">
        <f t="shared" si="114"/>
        <v>0.12335771673575961</v>
      </c>
      <c r="AL545" s="76">
        <f t="shared" si="115"/>
        <v>0</v>
      </c>
      <c r="AM545" s="76">
        <f t="shared" si="116"/>
        <v>0</v>
      </c>
      <c r="AN545" s="76">
        <f>MAX(0,O545*Escenarios!$F$13/Escenarios!$F$16-AM545)</f>
        <v>3.0674115969743509E-12</v>
      </c>
      <c r="AO545" s="76">
        <f>AM545+AN545-O545*Escenarios!$F$13/Escenarios!$F$16</f>
        <v>0</v>
      </c>
      <c r="AP545" s="76">
        <f t="shared" si="117"/>
        <v>0.50807722039353309</v>
      </c>
      <c r="AQ545" s="76">
        <f t="shared" si="118"/>
        <v>0</v>
      </c>
      <c r="AR545" s="76">
        <f t="shared" si="119"/>
        <v>0.50807722039660053</v>
      </c>
      <c r="AS545" s="76">
        <f t="shared" si="120"/>
        <v>0</v>
      </c>
      <c r="AT545" s="76">
        <f t="shared" si="121"/>
        <v>0</v>
      </c>
      <c r="AU545" s="76">
        <f t="shared" si="122"/>
        <v>52.639603803448416</v>
      </c>
      <c r="AV545" s="76">
        <f>MAX(0,(AU545-Constantes!$D$13)*(1-EXP(-Constantes!$D$24)))</f>
        <v>5.9453555122885048E-2</v>
      </c>
      <c r="AW545" s="170">
        <f>AW544+(Entradas!$F$112*AT545-AX544)/(800*Entradas!$D$25)</f>
        <v>0</v>
      </c>
      <c r="AX545" s="170">
        <f>8000*Entradas!$D$26*AW545/Constantes!$F$45</f>
        <v>0</v>
      </c>
      <c r="AY545" s="170">
        <f>IF(Escenarios!$F$17&gt;0,10*Escenarios!$F$16*AL545,0)</f>
        <v>0</v>
      </c>
      <c r="AZ545" s="170">
        <f>IF(Escenarios!$F$17&gt;0,10*Escenarios!$F$16*AX545,0)</f>
        <v>0</v>
      </c>
      <c r="BA545" s="170">
        <f>IF(Escenarios!$F$17&gt;0,0.001*Observaciones!$F544*Escenarios!$F$17,0)</f>
        <v>0</v>
      </c>
      <c r="BB545" s="170">
        <f>IF(Escenarios!$F$17&gt;0,Observaciones!$K544,0)</f>
        <v>0</v>
      </c>
      <c r="BC545" s="170">
        <f>IF(Escenarios!$F$17&gt;0,MIN(0.0005*ETo!$M544*Escenarios!$F$17*(BG544/Constantes!$F$40)^(2/3),BG544+AY545+AZ545+BA545+BB545),0)</f>
        <v>0</v>
      </c>
      <c r="BD545" s="170">
        <f>IF(Escenarios!$F$17&gt;0,MIN(Constantes!$F$39*(BG544/Constantes!$F$40)^(2/3),BG544+AY545+AZ545+BA545+BB545-BC545),0)</f>
        <v>0</v>
      </c>
      <c r="BE545" s="170">
        <f>IF(Escenarios!$F$17&gt;0,MIN(Entradas!$F$113,BG544+AY545+AZ545+BA545+BB545-BC545-BD545),0)</f>
        <v>0</v>
      </c>
      <c r="BF545" s="170">
        <f>IF(Escenarios!$F$17&gt;0,MAX(0,BG544+AY545+AZ545+BA545+BB545-BC545-BD545-BE545-Constantes!$F$40),0)</f>
        <v>0</v>
      </c>
      <c r="BG545" s="170">
        <f t="shared" si="123"/>
        <v>0</v>
      </c>
      <c r="BH545" s="170">
        <f>(Escenarios!$F$16*AK545+0.1*BC545)/(Escenarios!$F$19)</f>
        <v>0.12335771673575961</v>
      </c>
      <c r="BI545" s="170">
        <f>IF(Escenarios!$F$17&gt;0,BF545/10/Escenarios!$F$19,AL545)</f>
        <v>0</v>
      </c>
      <c r="BJ545" s="170">
        <f>(Escenarios!$F$16*AT545+0.1*BD545)/(Escenarios!$F$19)</f>
        <v>0</v>
      </c>
      <c r="BK545" s="76">
        <f>BK544+(0.1*BD545)/(Escenarios!$F$19)-BL544</f>
        <v>48.75</v>
      </c>
      <c r="BL545" s="76">
        <f>MAX(0,(BK545-Constantes!$D$13)*(1-EXP(-Constantes!$D$23)))</f>
        <v>0</v>
      </c>
      <c r="BM545" s="76">
        <f t="shared" si="124"/>
        <v>0.56753077551641817</v>
      </c>
      <c r="BN545" s="76">
        <f t="shared" si="125"/>
        <v>0.56753077551948561</v>
      </c>
      <c r="BO545" s="76">
        <f>0.0526*BI545*Observaciones!$F544^1.218</f>
        <v>0</v>
      </c>
      <c r="BP545" s="76">
        <f>BO545*Constantes!$F$51</f>
        <v>0</v>
      </c>
      <c r="BQ545" s="76">
        <f t="shared" si="126"/>
        <v>0</v>
      </c>
      <c r="BR545" s="40"/>
    </row>
    <row r="546" spans="2:70">
      <c r="B546" s="39"/>
      <c r="C546" s="75">
        <v>540</v>
      </c>
      <c r="D546" s="146">
        <f>ETo!$I545*((1-Constantes!$F$19)*ETo!$K545+ETo!$L545)</f>
        <v>2.5108246049608098</v>
      </c>
      <c r="E546" s="76">
        <f>MIN(D546*Constantes!$F$17,0.8*(N545+Observaciones!$F545-F546-M546-Constantes!$D$14))</f>
        <v>8.1863049672392668E-11</v>
      </c>
      <c r="F546" s="76">
        <f>IF(Observaciones!$F545&gt;0.05*Constantes!$F$18,((Observaciones!$F545-0.05*Constantes!$F$18)^2)/(Observaciones!$F545+0.95*Constantes!$F$18),0)</f>
        <v>0</v>
      </c>
      <c r="G546" s="76">
        <f>IF(Escenarios!$F$11&gt;0,(F546*Escenarios!$F$16*10000)/1000,0)</f>
        <v>0</v>
      </c>
      <c r="H546" s="76">
        <f>IF(Escenarios!$F$11&gt;0,(Observaciones!$F545*Constantes!$F$29)/1000,0)</f>
        <v>0</v>
      </c>
      <c r="I546" s="76">
        <f>IF(Escenarios!$F$11&gt;0,(D546*Constantes!$F$29)/1000,0)</f>
        <v>0</v>
      </c>
      <c r="J546" s="76">
        <f>IF(Escenarios!$F$11&gt;0,MAX(0,G546+H546-I546),0)</f>
        <v>0</v>
      </c>
      <c r="K546" s="76">
        <f>IF(Escenarios!$F$11&gt;0,IF(J546&gt;Constantes!$F$30,1000*((J546-Constantes!$F$30)/(Escenarios!$F$16*10000)),0),F546)</f>
        <v>0</v>
      </c>
      <c r="L546" s="76">
        <f>IF(Escenarios!$F$11&gt;0,I546*1000/Escenarios!$F$16/10000+E546,E546)</f>
        <v>8.1863049672392668E-11</v>
      </c>
      <c r="M546" s="76">
        <f>MAX(0,N545+Observaciones!$F545-K546-Constantes!$D$13)</f>
        <v>0</v>
      </c>
      <c r="N546" s="76">
        <f>N545+Observaciones!$F545-K546-L546-M546-O545</f>
        <v>11.25000000001698</v>
      </c>
      <c r="O546" s="76">
        <f>MAX(0,(N546-Constantes!$D$14)*(1-EXP(-Constantes!$D$22)))</f>
        <v>5.78407778219871E-13</v>
      </c>
      <c r="P546" s="170">
        <f>P545+(Entradas!$F$83*M546-Q545)/(800*Entradas!$D$25)</f>
        <v>0</v>
      </c>
      <c r="Q546" s="170">
        <f>8000*Entradas!$D$26*P546/Constantes!$F$45</f>
        <v>0</v>
      </c>
      <c r="R546" s="170">
        <f>IF(Escenarios!$F$14&gt;0,K546*Escenarios!$F$13/Escenarios!$F$14,0)</f>
        <v>0</v>
      </c>
      <c r="S546" s="170">
        <f>IF(Escenarios!$F$14&gt;0,Q546*Escenarios!$F$13/Escenarios!$F$14,0)</f>
        <v>0</v>
      </c>
      <c r="T546" s="170">
        <f>IF(Escenarios!$F$14&gt;0,Observaciones!$I545,0)</f>
        <v>0</v>
      </c>
      <c r="U546" s="170">
        <f>IF(Escenarios!$F$14&gt;0,MAX(0,Constantes!$F$36/((Z545+R546+S546+T546+Observaciones!$F545)^2)+Entradas!$F$77),0)</f>
        <v>0</v>
      </c>
      <c r="V546" s="146">
        <f>IF(ETo!D545&gt;0,ETo!I545*((1-Entradas!$F$81)*ETo!K545+ETo!L545),0)</f>
        <v>2.1843390424657008</v>
      </c>
      <c r="W546" s="170">
        <f>IF(Escenarios!$F$14&gt;0,MIN(V546*1,0.8*(Z545+R546+S546+T546+Observaciones!$F545-U546-Constantes!$F$35)),0)</f>
        <v>4.1297880670754243E-10</v>
      </c>
      <c r="X546" s="170">
        <f>IF(Escenarios!$F$14&gt;0,Observaciones!$J545,0)</f>
        <v>0</v>
      </c>
      <c r="Y546" s="170">
        <f>IF(Escenarios!$F$14&gt;0,MAX(0,Z545+R546+S546+T546+Observaciones!$F545-U546-W546-X546-Constantes!$F$33),0)</f>
        <v>0</v>
      </c>
      <c r="Z546" s="170">
        <f>Z545+R546+S546+T546+Observaciones!$F545-U546-W546-Y546</f>
        <v>41.250000000103242</v>
      </c>
      <c r="AA546" s="170">
        <f>IF(Escenarios!$F$14&gt;0,(Escenarios!$F$13*L546+Escenarios!$F$14*W546)/(Escenarios!$F$16),L546)</f>
        <v>1.2159694051661063E-10</v>
      </c>
      <c r="AB546" s="170">
        <f>IF(Escenarios!$F$14&gt;0,(Escenarios!$F$14*Y546)/(Escenarios!$F$16),K546)</f>
        <v>0</v>
      </c>
      <c r="AC546" s="170">
        <f>IF(Escenarios!$F$14&gt;0,(Escenarios!$F$13*M546+Escenarios!$F$14*U546)/(Escenarios!$F$16),M546)</f>
        <v>0</v>
      </c>
      <c r="AD546" s="76">
        <f t="shared" si="113"/>
        <v>99.806414679375777</v>
      </c>
      <c r="AE546" s="76">
        <f>MAX(0,(AD546-Constantes!$D$13)*(1-EXP(-Constantes!$D$23)))</f>
        <v>0.50307101452642999</v>
      </c>
      <c r="AF546" s="76">
        <f>AB546+O546*Escenarios!$F$13/Escenarios!$F$16+AE546</f>
        <v>0.50307101452693903</v>
      </c>
      <c r="AG546" s="76">
        <f>IF(Entradas!$F$91&gt;0,IF(AF546-Escenarios!$F$38&lt;=0,0,IF(AF546-Escenarios!$F$38&gt;Escenarios!$F$37,Escenarios!$F$37,AF546-Escenarios!$F$38)),0)</f>
        <v>0</v>
      </c>
      <c r="AH546" s="76">
        <f>AG546*Entradas!$F$99</f>
        <v>0</v>
      </c>
      <c r="AI546" s="76">
        <f>IF(Entradas!$F$91&gt;0,D546*Entradas!$D$23/Escenarios!$F$16,0)</f>
        <v>0.12051958103811887</v>
      </c>
      <c r="AJ546" s="76">
        <f>IF(Entradas!$F$91&gt;0,Entradas!$D$24*Entradas!$D$22/Escenarios!$F$16,0)</f>
        <v>0.12</v>
      </c>
      <c r="AK546" s="76">
        <f t="shared" si="114"/>
        <v>0.12051958115971581</v>
      </c>
      <c r="AL546" s="76">
        <f t="shared" si="115"/>
        <v>0</v>
      </c>
      <c r="AM546" s="76">
        <f t="shared" si="116"/>
        <v>0</v>
      </c>
      <c r="AN546" s="76">
        <f>MAX(0,O546*Escenarios!$F$13/Escenarios!$F$16-AM546)</f>
        <v>5.0899884483348654E-13</v>
      </c>
      <c r="AO546" s="76">
        <f>AM546+AN546-O546*Escenarios!$F$13/Escenarios!$F$16</f>
        <v>0</v>
      </c>
      <c r="AP546" s="76">
        <f t="shared" si="117"/>
        <v>0.50307101452642999</v>
      </c>
      <c r="AQ546" s="76">
        <f t="shared" si="118"/>
        <v>0</v>
      </c>
      <c r="AR546" s="76">
        <f t="shared" si="119"/>
        <v>0.50307101452693903</v>
      </c>
      <c r="AS546" s="76">
        <f t="shared" si="120"/>
        <v>0</v>
      </c>
      <c r="AT546" s="76">
        <f t="shared" si="121"/>
        <v>0</v>
      </c>
      <c r="AU546" s="76">
        <f t="shared" si="122"/>
        <v>52.580150248325531</v>
      </c>
      <c r="AV546" s="76">
        <f>MAX(0,(AU546-Constantes!$D$13)*(1-EXP(-Constantes!$D$24)))</f>
        <v>5.8544792843905326E-2</v>
      </c>
      <c r="AW546" s="170">
        <f>AW545+(Entradas!$F$112*AT546-AX545)/(800*Entradas!$D$25)</f>
        <v>0</v>
      </c>
      <c r="AX546" s="170">
        <f>8000*Entradas!$D$26*AW546/Constantes!$F$45</f>
        <v>0</v>
      </c>
      <c r="AY546" s="170">
        <f>IF(Escenarios!$F$17&gt;0,10*Escenarios!$F$16*AL546,0)</f>
        <v>0</v>
      </c>
      <c r="AZ546" s="170">
        <f>IF(Escenarios!$F$17&gt;0,10*Escenarios!$F$16*AX546,0)</f>
        <v>0</v>
      </c>
      <c r="BA546" s="170">
        <f>IF(Escenarios!$F$17&gt;0,0.001*Observaciones!$F545*Escenarios!$F$17,0)</f>
        <v>0</v>
      </c>
      <c r="BB546" s="170">
        <f>IF(Escenarios!$F$17&gt;0,Observaciones!$K545,0)</f>
        <v>0</v>
      </c>
      <c r="BC546" s="170">
        <f>IF(Escenarios!$F$17&gt;0,MIN(0.0005*ETo!$M545*Escenarios!$F$17*(BG545/Constantes!$F$40)^(2/3),BG545+AY546+AZ546+BA546+BB546),0)</f>
        <v>0</v>
      </c>
      <c r="BD546" s="170">
        <f>IF(Escenarios!$F$17&gt;0,MIN(Constantes!$F$39*(BG545/Constantes!$F$40)^(2/3),BG545+AY546+AZ546+BA546+BB546-BC546),0)</f>
        <v>0</v>
      </c>
      <c r="BE546" s="170">
        <f>IF(Escenarios!$F$17&gt;0,MIN(Entradas!$F$113,BG545+AY546+AZ546+BA546+BB546-BC546-BD546),0)</f>
        <v>0</v>
      </c>
      <c r="BF546" s="170">
        <f>IF(Escenarios!$F$17&gt;0,MAX(0,BG545+AY546+AZ546+BA546+BB546-BC546-BD546-BE546-Constantes!$F$40),0)</f>
        <v>0</v>
      </c>
      <c r="BG546" s="170">
        <f t="shared" si="123"/>
        <v>0</v>
      </c>
      <c r="BH546" s="170">
        <f>(Escenarios!$F$16*AK546+0.1*BC546)/(Escenarios!$F$19)</f>
        <v>0.12051958115971581</v>
      </c>
      <c r="BI546" s="170">
        <f>IF(Escenarios!$F$17&gt;0,BF546/10/Escenarios!$F$19,AL546)</f>
        <v>0</v>
      </c>
      <c r="BJ546" s="170">
        <f>(Escenarios!$F$16*AT546+0.1*BD546)/(Escenarios!$F$19)</f>
        <v>0</v>
      </c>
      <c r="BK546" s="76">
        <f>BK545+(0.1*BD546)/(Escenarios!$F$19)-BL545</f>
        <v>48.75</v>
      </c>
      <c r="BL546" s="76">
        <f>MAX(0,(BK546-Constantes!$D$13)*(1-EXP(-Constantes!$D$23)))</f>
        <v>0</v>
      </c>
      <c r="BM546" s="76">
        <f t="shared" si="124"/>
        <v>0.56161580737033534</v>
      </c>
      <c r="BN546" s="76">
        <f t="shared" si="125"/>
        <v>0.56161580737084438</v>
      </c>
      <c r="BO546" s="76">
        <f>0.0526*BI546*Observaciones!$F545^1.218</f>
        <v>0</v>
      </c>
      <c r="BP546" s="76">
        <f>BO546*Constantes!$F$51</f>
        <v>0</v>
      </c>
      <c r="BQ546" s="76">
        <f t="shared" si="126"/>
        <v>0</v>
      </c>
      <c r="BR546" s="40"/>
    </row>
    <row r="547" spans="2:70">
      <c r="B547" s="39"/>
      <c r="C547" s="75">
        <v>541</v>
      </c>
      <c r="D547" s="146">
        <f>ETo!$I546*((1-Constantes!$F$19)*ETo!$K546+ETo!$L546)</f>
        <v>2.5118677150761517</v>
      </c>
      <c r="E547" s="76">
        <f>MIN(D547*Constantes!$F$17,0.8*(N546+Observaciones!$F546-F547-M547-Constantes!$D$14))</f>
        <v>1.3584156022261597E-11</v>
      </c>
      <c r="F547" s="76">
        <f>IF(Observaciones!$F546&gt;0.05*Constantes!$F$18,((Observaciones!$F546-0.05*Constantes!$F$18)^2)/(Observaciones!$F546+0.95*Constantes!$F$18),0)</f>
        <v>0</v>
      </c>
      <c r="G547" s="76">
        <f>IF(Escenarios!$F$11&gt;0,(F547*Escenarios!$F$16*10000)/1000,0)</f>
        <v>0</v>
      </c>
      <c r="H547" s="76">
        <f>IF(Escenarios!$F$11&gt;0,(Observaciones!$F546*Constantes!$F$29)/1000,0)</f>
        <v>0</v>
      </c>
      <c r="I547" s="76">
        <f>IF(Escenarios!$F$11&gt;0,(D547*Constantes!$F$29)/1000,0)</f>
        <v>0</v>
      </c>
      <c r="J547" s="76">
        <f>IF(Escenarios!$F$11&gt;0,MAX(0,G547+H547-I547),0)</f>
        <v>0</v>
      </c>
      <c r="K547" s="76">
        <f>IF(Escenarios!$F$11&gt;0,IF(J547&gt;Constantes!$F$30,1000*((J547-Constantes!$F$30)/(Escenarios!$F$16*10000)),0),F547)</f>
        <v>0</v>
      </c>
      <c r="L547" s="76">
        <f>IF(Escenarios!$F$11&gt;0,I547*1000/Escenarios!$F$16/10000+E547,E547)</f>
        <v>1.3584156022261597E-11</v>
      </c>
      <c r="M547" s="76">
        <f>MAX(0,N546+Observaciones!$F546-K547-Constantes!$D$13)</f>
        <v>0</v>
      </c>
      <c r="N547" s="76">
        <f>N546+Observaciones!$F546-K547-L547-M547-O546</f>
        <v>11.250000000002817</v>
      </c>
      <c r="O547" s="76">
        <f>MAX(0,(N547-Constantes!$D$14)*(1-EXP(-Constantes!$D$22)))</f>
        <v>9.5967646851837566E-14</v>
      </c>
      <c r="P547" s="170">
        <f>P546+(Entradas!$F$83*M547-Q546)/(800*Entradas!$D$25)</f>
        <v>0</v>
      </c>
      <c r="Q547" s="170">
        <f>8000*Entradas!$D$26*P547/Constantes!$F$45</f>
        <v>0</v>
      </c>
      <c r="R547" s="170">
        <f>IF(Escenarios!$F$14&gt;0,K547*Escenarios!$F$13/Escenarios!$F$14,0)</f>
        <v>0</v>
      </c>
      <c r="S547" s="170">
        <f>IF(Escenarios!$F$14&gt;0,Q547*Escenarios!$F$13/Escenarios!$F$14,0)</f>
        <v>0</v>
      </c>
      <c r="T547" s="170">
        <f>IF(Escenarios!$F$14&gt;0,Observaciones!$I546,0)</f>
        <v>0</v>
      </c>
      <c r="U547" s="170">
        <f>IF(Escenarios!$F$14&gt;0,MAX(0,Constantes!$F$36/((Z546+R547+S547+T547+Observaciones!$F546)^2)+Entradas!$F$77),0)</f>
        <v>0</v>
      </c>
      <c r="V547" s="146">
        <f>IF(ETo!D546&gt;0,ETo!I546*((1-Entradas!$F$81)*ETo!K546+ETo!L546),0)</f>
        <v>2.185295804781997</v>
      </c>
      <c r="W547" s="170">
        <f>IF(Escenarios!$F$14&gt;0,MIN(V547*1,0.8*(Z546+R547+S547+T547+Observaciones!$F546-U547-Constantes!$F$35)),0)</f>
        <v>8.2593487604754046E-11</v>
      </c>
      <c r="X547" s="170">
        <f>IF(Escenarios!$F$14&gt;0,Observaciones!$J546,0)</f>
        <v>0</v>
      </c>
      <c r="Y547" s="170">
        <f>IF(Escenarios!$F$14&gt;0,MAX(0,Z546+R547+S547+T547+Observaciones!$F546-U547-W547-X547-Constantes!$F$33),0)</f>
        <v>0</v>
      </c>
      <c r="Z547" s="170">
        <f>Z546+R547+S547+T547+Observaciones!$F546-U547-W547-Y547</f>
        <v>41.250000000020648</v>
      </c>
      <c r="AA547" s="170">
        <f>IF(Escenarios!$F$14&gt;0,(Escenarios!$F$13*L547+Escenarios!$F$14*W547)/(Escenarios!$F$16),L547)</f>
        <v>2.186527581216069E-11</v>
      </c>
      <c r="AB547" s="170">
        <f>IF(Escenarios!$F$14&gt;0,(Escenarios!$F$14*Y547)/(Escenarios!$F$16),K547)</f>
        <v>0</v>
      </c>
      <c r="AC547" s="170">
        <f>IF(Escenarios!$F$14&gt;0,(Escenarios!$F$13*M547+Escenarios!$F$14*U547)/(Escenarios!$F$16),M547)</f>
        <v>0</v>
      </c>
      <c r="AD547" s="76">
        <f t="shared" si="113"/>
        <v>99.303343664849351</v>
      </c>
      <c r="AE547" s="76">
        <f>MAX(0,(AD547-Constantes!$D$13)*(1-EXP(-Constantes!$D$23)))</f>
        <v>0.49811413599812077</v>
      </c>
      <c r="AF547" s="76">
        <f>AB547+O547*Escenarios!$F$13/Escenarios!$F$16+AE547</f>
        <v>0.4981141359982052</v>
      </c>
      <c r="AG547" s="76">
        <f>IF(Entradas!$F$91&gt;0,IF(AF547-Escenarios!$F$38&lt;=0,0,IF(AF547-Escenarios!$F$38&gt;Escenarios!$F$37,Escenarios!$F$37,AF547-Escenarios!$F$38)),0)</f>
        <v>0</v>
      </c>
      <c r="AH547" s="76">
        <f>AG547*Entradas!$F$99</f>
        <v>0</v>
      </c>
      <c r="AI547" s="76">
        <f>IF(Entradas!$F$91&gt;0,D547*Entradas!$D$23/Escenarios!$F$16,0)</f>
        <v>0.12056965032365528</v>
      </c>
      <c r="AJ547" s="76">
        <f>IF(Entradas!$F$91&gt;0,Entradas!$D$24*Entradas!$D$22/Escenarios!$F$16,0)</f>
        <v>0.12</v>
      </c>
      <c r="AK547" s="76">
        <f t="shared" si="114"/>
        <v>0.12056965034552056</v>
      </c>
      <c r="AL547" s="76">
        <f t="shared" si="115"/>
        <v>0</v>
      </c>
      <c r="AM547" s="76">
        <f t="shared" si="116"/>
        <v>0</v>
      </c>
      <c r="AN547" s="76">
        <f>MAX(0,O547*Escenarios!$F$13/Escenarios!$F$16-AM547)</f>
        <v>8.4451529229617055E-14</v>
      </c>
      <c r="AO547" s="76">
        <f>AM547+AN547-O547*Escenarios!$F$13/Escenarios!$F$16</f>
        <v>0</v>
      </c>
      <c r="AP547" s="76">
        <f t="shared" si="117"/>
        <v>0.49811413599812077</v>
      </c>
      <c r="AQ547" s="76">
        <f t="shared" si="118"/>
        <v>0</v>
      </c>
      <c r="AR547" s="76">
        <f t="shared" si="119"/>
        <v>0.4981141359982052</v>
      </c>
      <c r="AS547" s="76">
        <f t="shared" si="120"/>
        <v>0</v>
      </c>
      <c r="AT547" s="76">
        <f t="shared" si="121"/>
        <v>0</v>
      </c>
      <c r="AU547" s="76">
        <f t="shared" si="122"/>
        <v>52.521605455481627</v>
      </c>
      <c r="AV547" s="76">
        <f>MAX(0,(AU547-Constantes!$D$13)*(1-EXP(-Constantes!$D$24)))</f>
        <v>5.7649921220883714E-2</v>
      </c>
      <c r="AW547" s="170">
        <f>AW546+(Entradas!$F$112*AT547-AX546)/(800*Entradas!$D$25)</f>
        <v>0</v>
      </c>
      <c r="AX547" s="170">
        <f>8000*Entradas!$D$26*AW547/Constantes!$F$45</f>
        <v>0</v>
      </c>
      <c r="AY547" s="170">
        <f>IF(Escenarios!$F$17&gt;0,10*Escenarios!$F$16*AL547,0)</f>
        <v>0</v>
      </c>
      <c r="AZ547" s="170">
        <f>IF(Escenarios!$F$17&gt;0,10*Escenarios!$F$16*AX547,0)</f>
        <v>0</v>
      </c>
      <c r="BA547" s="170">
        <f>IF(Escenarios!$F$17&gt;0,0.001*Observaciones!$F546*Escenarios!$F$17,0)</f>
        <v>0</v>
      </c>
      <c r="BB547" s="170">
        <f>IF(Escenarios!$F$17&gt;0,Observaciones!$K546,0)</f>
        <v>0</v>
      </c>
      <c r="BC547" s="170">
        <f>IF(Escenarios!$F$17&gt;0,MIN(0.0005*ETo!$M546*Escenarios!$F$17*(BG546/Constantes!$F$40)^(2/3),BG546+AY547+AZ547+BA547+BB547),0)</f>
        <v>0</v>
      </c>
      <c r="BD547" s="170">
        <f>IF(Escenarios!$F$17&gt;0,MIN(Constantes!$F$39*(BG546/Constantes!$F$40)^(2/3),BG546+AY547+AZ547+BA547+BB547-BC547),0)</f>
        <v>0</v>
      </c>
      <c r="BE547" s="170">
        <f>IF(Escenarios!$F$17&gt;0,MIN(Entradas!$F$113,BG546+AY547+AZ547+BA547+BB547-BC547-BD547),0)</f>
        <v>0</v>
      </c>
      <c r="BF547" s="170">
        <f>IF(Escenarios!$F$17&gt;0,MAX(0,BG546+AY547+AZ547+BA547+BB547-BC547-BD547-BE547-Constantes!$F$40),0)</f>
        <v>0</v>
      </c>
      <c r="BG547" s="170">
        <f t="shared" si="123"/>
        <v>0</v>
      </c>
      <c r="BH547" s="170">
        <f>(Escenarios!$F$16*AK547+0.1*BC547)/(Escenarios!$F$19)</f>
        <v>0.12056965034552056</v>
      </c>
      <c r="BI547" s="170">
        <f>IF(Escenarios!$F$17&gt;0,BF547/10/Escenarios!$F$19,AL547)</f>
        <v>0</v>
      </c>
      <c r="BJ547" s="170">
        <f>(Escenarios!$F$16*AT547+0.1*BD547)/(Escenarios!$F$19)</f>
        <v>0</v>
      </c>
      <c r="BK547" s="76">
        <f>BK546+(0.1*BD547)/(Escenarios!$F$19)-BL546</f>
        <v>48.75</v>
      </c>
      <c r="BL547" s="76">
        <f>MAX(0,(BK547-Constantes!$D$13)*(1-EXP(-Constantes!$D$23)))</f>
        <v>0</v>
      </c>
      <c r="BM547" s="76">
        <f t="shared" si="124"/>
        <v>0.55576405721900446</v>
      </c>
      <c r="BN547" s="76">
        <f t="shared" si="125"/>
        <v>0.55576405721908895</v>
      </c>
      <c r="BO547" s="76">
        <f>0.0526*BI547*Observaciones!$F546^1.218</f>
        <v>0</v>
      </c>
      <c r="BP547" s="76">
        <f>BO547*Constantes!$F$51</f>
        <v>0</v>
      </c>
      <c r="BQ547" s="76">
        <f t="shared" si="126"/>
        <v>0</v>
      </c>
      <c r="BR547" s="40"/>
    </row>
    <row r="548" spans="2:70">
      <c r="B548" s="39"/>
      <c r="C548" s="75">
        <v>542</v>
      </c>
      <c r="D548" s="146">
        <f>ETo!$I547*((1-Constantes!$F$19)*ETo!$K547+ETo!$L547)</f>
        <v>2.6152877676428719</v>
      </c>
      <c r="E548" s="76">
        <f>MIN(D548*Constantes!$F$17,0.8*(N547+Observaciones!$F547-F548-M548-Constantes!$D$14))</f>
        <v>2.2538415578310381E-12</v>
      </c>
      <c r="F548" s="76">
        <f>IF(Observaciones!$F547&gt;0.05*Constantes!$F$18,((Observaciones!$F547-0.05*Constantes!$F$18)^2)/(Observaciones!$F547+0.95*Constantes!$F$18),0)</f>
        <v>0</v>
      </c>
      <c r="G548" s="76">
        <f>IF(Escenarios!$F$11&gt;0,(F548*Escenarios!$F$16*10000)/1000,0)</f>
        <v>0</v>
      </c>
      <c r="H548" s="76">
        <f>IF(Escenarios!$F$11&gt;0,(Observaciones!$F547*Constantes!$F$29)/1000,0)</f>
        <v>0</v>
      </c>
      <c r="I548" s="76">
        <f>IF(Escenarios!$F$11&gt;0,(D548*Constantes!$F$29)/1000,0)</f>
        <v>0</v>
      </c>
      <c r="J548" s="76">
        <f>IF(Escenarios!$F$11&gt;0,MAX(0,G548+H548-I548),0)</f>
        <v>0</v>
      </c>
      <c r="K548" s="76">
        <f>IF(Escenarios!$F$11&gt;0,IF(J548&gt;Constantes!$F$30,1000*((J548-Constantes!$F$30)/(Escenarios!$F$16*10000)),0),F548)</f>
        <v>0</v>
      </c>
      <c r="L548" s="76">
        <f>IF(Escenarios!$F$11&gt;0,I548*1000/Escenarios!$F$16/10000+E548,E548)</f>
        <v>2.2538415578310381E-12</v>
      </c>
      <c r="M548" s="76">
        <f>MAX(0,N547+Observaciones!$F547-K548-Constantes!$D$13)</f>
        <v>0</v>
      </c>
      <c r="N548" s="76">
        <f>N547+Observaciones!$F547-K548-L548-M548-O547</f>
        <v>11.250000000000467</v>
      </c>
      <c r="O548" s="76">
        <f>MAX(0,(N548-Constantes!$D$14)*(1-EXP(-Constantes!$D$22)))</f>
        <v>1.5913928828520352E-14</v>
      </c>
      <c r="P548" s="170">
        <f>P547+(Entradas!$F$83*M548-Q547)/(800*Entradas!$D$25)</f>
        <v>0</v>
      </c>
      <c r="Q548" s="170">
        <f>8000*Entradas!$D$26*P548/Constantes!$F$45</f>
        <v>0</v>
      </c>
      <c r="R548" s="170">
        <f>IF(Escenarios!$F$14&gt;0,K548*Escenarios!$F$13/Escenarios!$F$14,0)</f>
        <v>0</v>
      </c>
      <c r="S548" s="170">
        <f>IF(Escenarios!$F$14&gt;0,Q548*Escenarios!$F$13/Escenarios!$F$14,0)</f>
        <v>0</v>
      </c>
      <c r="T548" s="170">
        <f>IF(Escenarios!$F$14&gt;0,Observaciones!$I547,0)</f>
        <v>0</v>
      </c>
      <c r="U548" s="170">
        <f>IF(Escenarios!$F$14&gt;0,MAX(0,Constantes!$F$36/((Z547+R548+S548+T548+Observaciones!$F547)^2)+Entradas!$F$77),0)</f>
        <v>0</v>
      </c>
      <c r="V548" s="146">
        <f>IF(ETo!D547&gt;0,ETo!I547*((1-Entradas!$F$81)*ETo!K547+ETo!L547),0)</f>
        <v>2.2763799912103164</v>
      </c>
      <c r="W548" s="170">
        <f>IF(Escenarios!$F$14&gt;0,MIN(V548*1,0.8*(Z547+R548+S548+T548+Observaciones!$F547-U548-Constantes!$F$35)),0)</f>
        <v>1.651869752095081E-11</v>
      </c>
      <c r="X548" s="170">
        <f>IF(Escenarios!$F$14&gt;0,Observaciones!$J547,0)</f>
        <v>0</v>
      </c>
      <c r="Y548" s="170">
        <f>IF(Escenarios!$F$14&gt;0,MAX(0,Z547+R548+S548+T548+Observaciones!$F547-U548-W548-X548-Constantes!$F$33),0)</f>
        <v>0</v>
      </c>
      <c r="Z548" s="170">
        <f>Z547+R548+S548+T548+Observaciones!$F547-U548-W548-Y548</f>
        <v>41.250000000004128</v>
      </c>
      <c r="AA548" s="170">
        <f>IF(Escenarios!$F$14&gt;0,(Escenarios!$F$13*L548+Escenarios!$F$14*W548)/(Escenarios!$F$16),L548)</f>
        <v>3.9656242734054101E-12</v>
      </c>
      <c r="AB548" s="170">
        <f>IF(Escenarios!$F$14&gt;0,(Escenarios!$F$14*Y548)/(Escenarios!$F$16),K548)</f>
        <v>0</v>
      </c>
      <c r="AC548" s="170">
        <f>IF(Escenarios!$F$14&gt;0,(Escenarios!$F$13*M548+Escenarios!$F$14*U548)/(Escenarios!$F$16),M548)</f>
        <v>0</v>
      </c>
      <c r="AD548" s="76">
        <f t="shared" si="113"/>
        <v>98.805229528851228</v>
      </c>
      <c r="AE548" s="76">
        <f>MAX(0,(AD548-Constantes!$D$13)*(1-EXP(-Constantes!$D$23)))</f>
        <v>0.49320609877458738</v>
      </c>
      <c r="AF548" s="76">
        <f>AB548+O548*Escenarios!$F$13/Escenarios!$F$16+AE548</f>
        <v>0.49320609877460136</v>
      </c>
      <c r="AG548" s="76">
        <f>IF(Entradas!$F$91&gt;0,IF(AF548-Escenarios!$F$38&lt;=0,0,IF(AF548-Escenarios!$F$38&gt;Escenarios!$F$37,Escenarios!$F$37,AF548-Escenarios!$F$38)),0)</f>
        <v>0</v>
      </c>
      <c r="AH548" s="76">
        <f>AG548*Entradas!$F$99</f>
        <v>0</v>
      </c>
      <c r="AI548" s="76">
        <f>IF(Entradas!$F$91&gt;0,D548*Entradas!$D$23/Escenarios!$F$16,0)</f>
        <v>0.12553381284685783</v>
      </c>
      <c r="AJ548" s="76">
        <f>IF(Entradas!$F$91&gt;0,Entradas!$D$24*Entradas!$D$22/Escenarios!$F$16,0)</f>
        <v>0.12</v>
      </c>
      <c r="AK548" s="76">
        <f t="shared" si="114"/>
        <v>0.12553381285082346</v>
      </c>
      <c r="AL548" s="76">
        <f t="shared" si="115"/>
        <v>0</v>
      </c>
      <c r="AM548" s="76">
        <f t="shared" si="116"/>
        <v>0</v>
      </c>
      <c r="AN548" s="76">
        <f>MAX(0,O548*Escenarios!$F$13/Escenarios!$F$16-AM548)</f>
        <v>1.400425736909791E-14</v>
      </c>
      <c r="AO548" s="76">
        <f>AM548+AN548-O548*Escenarios!$F$13/Escenarios!$F$16</f>
        <v>0</v>
      </c>
      <c r="AP548" s="76">
        <f t="shared" si="117"/>
        <v>0.49320609877458738</v>
      </c>
      <c r="AQ548" s="76">
        <f t="shared" si="118"/>
        <v>0</v>
      </c>
      <c r="AR548" s="76">
        <f t="shared" si="119"/>
        <v>0.49320609877460136</v>
      </c>
      <c r="AS548" s="76">
        <f t="shared" si="120"/>
        <v>0</v>
      </c>
      <c r="AT548" s="76">
        <f t="shared" si="121"/>
        <v>0</v>
      </c>
      <c r="AU548" s="76">
        <f t="shared" si="122"/>
        <v>52.463955534260741</v>
      </c>
      <c r="AV548" s="76">
        <f>MAX(0,(AU548-Constantes!$D$13)*(1-EXP(-Constantes!$D$24)))</f>
        <v>5.67687279317119E-2</v>
      </c>
      <c r="AW548" s="170">
        <f>AW547+(Entradas!$F$112*AT548-AX547)/(800*Entradas!$D$25)</f>
        <v>0</v>
      </c>
      <c r="AX548" s="170">
        <f>8000*Entradas!$D$26*AW548/Constantes!$F$45</f>
        <v>0</v>
      </c>
      <c r="AY548" s="170">
        <f>IF(Escenarios!$F$17&gt;0,10*Escenarios!$F$16*AL548,0)</f>
        <v>0</v>
      </c>
      <c r="AZ548" s="170">
        <f>IF(Escenarios!$F$17&gt;0,10*Escenarios!$F$16*AX548,0)</f>
        <v>0</v>
      </c>
      <c r="BA548" s="170">
        <f>IF(Escenarios!$F$17&gt;0,0.001*Observaciones!$F547*Escenarios!$F$17,0)</f>
        <v>0</v>
      </c>
      <c r="BB548" s="170">
        <f>IF(Escenarios!$F$17&gt;0,Observaciones!$K547,0)</f>
        <v>0</v>
      </c>
      <c r="BC548" s="170">
        <f>IF(Escenarios!$F$17&gt;0,MIN(0.0005*ETo!$M547*Escenarios!$F$17*(BG547/Constantes!$F$40)^(2/3),BG547+AY548+AZ548+BA548+BB548),0)</f>
        <v>0</v>
      </c>
      <c r="BD548" s="170">
        <f>IF(Escenarios!$F$17&gt;0,MIN(Constantes!$F$39*(BG547/Constantes!$F$40)^(2/3),BG547+AY548+AZ548+BA548+BB548-BC548),0)</f>
        <v>0</v>
      </c>
      <c r="BE548" s="170">
        <f>IF(Escenarios!$F$17&gt;0,MIN(Entradas!$F$113,BG547+AY548+AZ548+BA548+BB548-BC548-BD548),0)</f>
        <v>0</v>
      </c>
      <c r="BF548" s="170">
        <f>IF(Escenarios!$F$17&gt;0,MAX(0,BG547+AY548+AZ548+BA548+BB548-BC548-BD548-BE548-Constantes!$F$40),0)</f>
        <v>0</v>
      </c>
      <c r="BG548" s="170">
        <f t="shared" si="123"/>
        <v>0</v>
      </c>
      <c r="BH548" s="170">
        <f>(Escenarios!$F$16*AK548+0.1*BC548)/(Escenarios!$F$19)</f>
        <v>0.12553381285082346</v>
      </c>
      <c r="BI548" s="170">
        <f>IF(Escenarios!$F$17&gt;0,BF548/10/Escenarios!$F$19,AL548)</f>
        <v>0</v>
      </c>
      <c r="BJ548" s="170">
        <f>(Escenarios!$F$16*AT548+0.1*BD548)/(Escenarios!$F$19)</f>
        <v>0</v>
      </c>
      <c r="BK548" s="76">
        <f>BK547+(0.1*BD548)/(Escenarios!$F$19)-BL547</f>
        <v>48.75</v>
      </c>
      <c r="BL548" s="76">
        <f>MAX(0,(BK548-Constantes!$D$13)*(1-EXP(-Constantes!$D$23)))</f>
        <v>0</v>
      </c>
      <c r="BM548" s="76">
        <f t="shared" si="124"/>
        <v>0.54997482670629927</v>
      </c>
      <c r="BN548" s="76">
        <f t="shared" si="125"/>
        <v>0.54997482670631326</v>
      </c>
      <c r="BO548" s="76">
        <f>0.0526*BI548*Observaciones!$F547^1.218</f>
        <v>0</v>
      </c>
      <c r="BP548" s="76">
        <f>BO548*Constantes!$F$51</f>
        <v>0</v>
      </c>
      <c r="BQ548" s="76">
        <f t="shared" si="126"/>
        <v>0</v>
      </c>
      <c r="BR548" s="40"/>
    </row>
    <row r="549" spans="2:70">
      <c r="B549" s="39"/>
      <c r="C549" s="75">
        <v>543</v>
      </c>
      <c r="D549" s="146">
        <f>ETo!$I548*((1-Constantes!$F$19)*ETo!$K548+ETo!$L548)</f>
        <v>2.5183205315496284</v>
      </c>
      <c r="E549" s="76">
        <f>MIN(D549*Constantes!$F$17,0.8*(N548+Observaciones!$F548-F549-M549-Constantes!$D$14))</f>
        <v>3.7374547900981271E-13</v>
      </c>
      <c r="F549" s="76">
        <f>IF(Observaciones!$F548&gt;0.05*Constantes!$F$18,((Observaciones!$F548-0.05*Constantes!$F$18)^2)/(Observaciones!$F548+0.95*Constantes!$F$18),0)</f>
        <v>0</v>
      </c>
      <c r="G549" s="76">
        <f>IF(Escenarios!$F$11&gt;0,(F549*Escenarios!$F$16*10000)/1000,0)</f>
        <v>0</v>
      </c>
      <c r="H549" s="76">
        <f>IF(Escenarios!$F$11&gt;0,(Observaciones!$F548*Constantes!$F$29)/1000,0)</f>
        <v>0</v>
      </c>
      <c r="I549" s="76">
        <f>IF(Escenarios!$F$11&gt;0,(D549*Constantes!$F$29)/1000,0)</f>
        <v>0</v>
      </c>
      <c r="J549" s="76">
        <f>IF(Escenarios!$F$11&gt;0,MAX(0,G549+H549-I549),0)</f>
        <v>0</v>
      </c>
      <c r="K549" s="76">
        <f>IF(Escenarios!$F$11&gt;0,IF(J549&gt;Constantes!$F$30,1000*((J549-Constantes!$F$30)/(Escenarios!$F$16*10000)),0),F549)</f>
        <v>0</v>
      </c>
      <c r="L549" s="76">
        <f>IF(Escenarios!$F$11&gt;0,I549*1000/Escenarios!$F$16/10000+E549,E549)</f>
        <v>3.7374547900981271E-13</v>
      </c>
      <c r="M549" s="76">
        <f>MAX(0,N548+Observaciones!$F548-K549-Constantes!$D$13)</f>
        <v>0</v>
      </c>
      <c r="N549" s="76">
        <f>N548+Observaciones!$F548-K549-L549-M549-O548</f>
        <v>11.250000000000078</v>
      </c>
      <c r="O549" s="76">
        <f>MAX(0,(N549-Constantes!$D$14)*(1-EXP(-Constantes!$D$22)))</f>
        <v>2.6624063439349641E-15</v>
      </c>
      <c r="P549" s="170">
        <f>P548+(Entradas!$F$83*M549-Q548)/(800*Entradas!$D$25)</f>
        <v>0</v>
      </c>
      <c r="Q549" s="170">
        <f>8000*Entradas!$D$26*P549/Constantes!$F$45</f>
        <v>0</v>
      </c>
      <c r="R549" s="170">
        <f>IF(Escenarios!$F$14&gt;0,K549*Escenarios!$F$13/Escenarios!$F$14,0)</f>
        <v>0</v>
      </c>
      <c r="S549" s="170">
        <f>IF(Escenarios!$F$14&gt;0,Q549*Escenarios!$F$13/Escenarios!$F$14,0)</f>
        <v>0</v>
      </c>
      <c r="T549" s="170">
        <f>IF(Escenarios!$F$14&gt;0,Observaciones!$I548,0)</f>
        <v>0</v>
      </c>
      <c r="U549" s="170">
        <f>IF(Escenarios!$F$14&gt;0,MAX(0,Constantes!$F$36/((Z548+R549+S549+T549+Observaciones!$F548)^2)+Entradas!$F$77),0)</f>
        <v>0</v>
      </c>
      <c r="V549" s="146">
        <f>IF(ETo!D548&gt;0,ETo!I548*((1-Entradas!$F$81)*ETo!K548+ETo!L548),0)</f>
        <v>2.1910951843050475</v>
      </c>
      <c r="W549" s="170">
        <f>IF(Escenarios!$F$14&gt;0,MIN(V549*1,0.8*(Z548+R549+S549+T549+Observaciones!$F548-U549-Constantes!$F$35)),0)</f>
        <v>3.3026026358129457E-12</v>
      </c>
      <c r="X549" s="170">
        <f>IF(Escenarios!$F$14&gt;0,Observaciones!$J548,0)</f>
        <v>0</v>
      </c>
      <c r="Y549" s="170">
        <f>IF(Escenarios!$F$14&gt;0,MAX(0,Z548+R549+S549+T549+Observaciones!$F548-U549-W549-X549-Constantes!$F$33),0)</f>
        <v>0</v>
      </c>
      <c r="Z549" s="170">
        <f>Z548+R549+S549+T549+Observaciones!$F548-U549-W549-Y549</f>
        <v>41.250000000000824</v>
      </c>
      <c r="AA549" s="170">
        <f>IF(Escenarios!$F$14&gt;0,(Escenarios!$F$13*L549+Escenarios!$F$14*W549)/(Escenarios!$F$16),L549)</f>
        <v>7.252083378261886E-13</v>
      </c>
      <c r="AB549" s="170">
        <f>IF(Escenarios!$F$14&gt;0,(Escenarios!$F$14*Y549)/(Escenarios!$F$16),K549)</f>
        <v>0</v>
      </c>
      <c r="AC549" s="170">
        <f>IF(Escenarios!$F$14&gt;0,(Escenarios!$F$13*M549+Escenarios!$F$14*U549)/(Escenarios!$F$16),M549)</f>
        <v>0</v>
      </c>
      <c r="AD549" s="76">
        <f t="shared" si="113"/>
        <v>98.312023430076636</v>
      </c>
      <c r="AE549" s="76">
        <f>MAX(0,(AD549-Constantes!$D$13)*(1-EXP(-Constantes!$D$23)))</f>
        <v>0.48834642161082087</v>
      </c>
      <c r="AF549" s="76">
        <f>AB549+O549*Escenarios!$F$13/Escenarios!$F$16+AE549</f>
        <v>0.4883464216108232</v>
      </c>
      <c r="AG549" s="76">
        <f>IF(Entradas!$F$91&gt;0,IF(AF549-Escenarios!$F$38&lt;=0,0,IF(AF549-Escenarios!$F$38&gt;Escenarios!$F$37,Escenarios!$F$37,AF549-Escenarios!$F$38)),0)</f>
        <v>0</v>
      </c>
      <c r="AH549" s="76">
        <f>AG549*Entradas!$F$99</f>
        <v>0</v>
      </c>
      <c r="AI549" s="76">
        <f>IF(Entradas!$F$91&gt;0,D549*Entradas!$D$23/Escenarios!$F$16,0)</f>
        <v>0.12087938551438217</v>
      </c>
      <c r="AJ549" s="76">
        <f>IF(Entradas!$F$91&gt;0,Entradas!$D$24*Entradas!$D$22/Escenarios!$F$16,0)</f>
        <v>0.12</v>
      </c>
      <c r="AK549" s="76">
        <f t="shared" si="114"/>
        <v>0.12087938551510738</v>
      </c>
      <c r="AL549" s="76">
        <f t="shared" si="115"/>
        <v>0</v>
      </c>
      <c r="AM549" s="76">
        <f t="shared" si="116"/>
        <v>0</v>
      </c>
      <c r="AN549" s="76">
        <f>MAX(0,O549*Escenarios!$F$13/Escenarios!$F$16-AM549)</f>
        <v>2.3429175826627683E-15</v>
      </c>
      <c r="AO549" s="76">
        <f>AM549+AN549-O549*Escenarios!$F$13/Escenarios!$F$16</f>
        <v>0</v>
      </c>
      <c r="AP549" s="76">
        <f t="shared" si="117"/>
        <v>0.48834642161082087</v>
      </c>
      <c r="AQ549" s="76">
        <f t="shared" si="118"/>
        <v>0</v>
      </c>
      <c r="AR549" s="76">
        <f t="shared" si="119"/>
        <v>0.4883464216108232</v>
      </c>
      <c r="AS549" s="76">
        <f t="shared" si="120"/>
        <v>0</v>
      </c>
      <c r="AT549" s="76">
        <f t="shared" si="121"/>
        <v>0</v>
      </c>
      <c r="AU549" s="76">
        <f t="shared" si="122"/>
        <v>52.40718680632903</v>
      </c>
      <c r="AV549" s="76">
        <f>MAX(0,(AU549-Constantes!$D$13)*(1-EXP(-Constantes!$D$24)))</f>
        <v>5.5901003899677636E-2</v>
      </c>
      <c r="AW549" s="170">
        <f>AW548+(Entradas!$F$112*AT549-AX548)/(800*Entradas!$D$25)</f>
        <v>0</v>
      </c>
      <c r="AX549" s="170">
        <f>8000*Entradas!$D$26*AW549/Constantes!$F$45</f>
        <v>0</v>
      </c>
      <c r="AY549" s="170">
        <f>IF(Escenarios!$F$17&gt;0,10*Escenarios!$F$16*AL549,0)</f>
        <v>0</v>
      </c>
      <c r="AZ549" s="170">
        <f>IF(Escenarios!$F$17&gt;0,10*Escenarios!$F$16*AX549,0)</f>
        <v>0</v>
      </c>
      <c r="BA549" s="170">
        <f>IF(Escenarios!$F$17&gt;0,0.001*Observaciones!$F548*Escenarios!$F$17,0)</f>
        <v>0</v>
      </c>
      <c r="BB549" s="170">
        <f>IF(Escenarios!$F$17&gt;0,Observaciones!$K548,0)</f>
        <v>0</v>
      </c>
      <c r="BC549" s="170">
        <f>IF(Escenarios!$F$17&gt;0,MIN(0.0005*ETo!$M548*Escenarios!$F$17*(BG548/Constantes!$F$40)^(2/3),BG548+AY549+AZ549+BA549+BB549),0)</f>
        <v>0</v>
      </c>
      <c r="BD549" s="170">
        <f>IF(Escenarios!$F$17&gt;0,MIN(Constantes!$F$39*(BG548/Constantes!$F$40)^(2/3),BG548+AY549+AZ549+BA549+BB549-BC549),0)</f>
        <v>0</v>
      </c>
      <c r="BE549" s="170">
        <f>IF(Escenarios!$F$17&gt;0,MIN(Entradas!$F$113,BG548+AY549+AZ549+BA549+BB549-BC549-BD549),0)</f>
        <v>0</v>
      </c>
      <c r="BF549" s="170">
        <f>IF(Escenarios!$F$17&gt;0,MAX(0,BG548+AY549+AZ549+BA549+BB549-BC549-BD549-BE549-Constantes!$F$40),0)</f>
        <v>0</v>
      </c>
      <c r="BG549" s="170">
        <f t="shared" si="123"/>
        <v>0</v>
      </c>
      <c r="BH549" s="170">
        <f>(Escenarios!$F$16*AK549+0.1*BC549)/(Escenarios!$F$19)</f>
        <v>0.12087938551510738</v>
      </c>
      <c r="BI549" s="170">
        <f>IF(Escenarios!$F$17&gt;0,BF549/10/Escenarios!$F$19,AL549)</f>
        <v>0</v>
      </c>
      <c r="BJ549" s="170">
        <f>(Escenarios!$F$16*AT549+0.1*BD549)/(Escenarios!$F$19)</f>
        <v>0</v>
      </c>
      <c r="BK549" s="76">
        <f>BK548+(0.1*BD549)/(Escenarios!$F$19)-BL548</f>
        <v>48.75</v>
      </c>
      <c r="BL549" s="76">
        <f>MAX(0,(BK549-Constantes!$D$13)*(1-EXP(-Constantes!$D$23)))</f>
        <v>0</v>
      </c>
      <c r="BM549" s="76">
        <f t="shared" si="124"/>
        <v>0.54424742551049854</v>
      </c>
      <c r="BN549" s="76">
        <f t="shared" si="125"/>
        <v>0.54424742551050087</v>
      </c>
      <c r="BO549" s="76">
        <f>0.0526*BI549*Observaciones!$F548^1.218</f>
        <v>0</v>
      </c>
      <c r="BP549" s="76">
        <f>BO549*Constantes!$F$51</f>
        <v>0</v>
      </c>
      <c r="BQ549" s="76">
        <f t="shared" si="126"/>
        <v>0</v>
      </c>
      <c r="BR549" s="40"/>
    </row>
    <row r="550" spans="2:70">
      <c r="B550" s="39"/>
      <c r="C550" s="75">
        <v>544</v>
      </c>
      <c r="D550" s="146">
        <f>ETo!$I549*((1-Constantes!$F$19)*ETo!$K549+ETo!$L549)</f>
        <v>2.6349816637197914</v>
      </c>
      <c r="E550" s="76">
        <f>MIN(D550*Constantes!$F$17,0.8*(N549+Observaciones!$F549-F550-M550-Constantes!$D$14))</f>
        <v>6.2527760746888821E-14</v>
      </c>
      <c r="F550" s="76">
        <f>IF(Observaciones!$F549&gt;0.05*Constantes!$F$18,((Observaciones!$F549-0.05*Constantes!$F$18)^2)/(Observaciones!$F549+0.95*Constantes!$F$18),0)</f>
        <v>0</v>
      </c>
      <c r="G550" s="76">
        <f>IF(Escenarios!$F$11&gt;0,(F550*Escenarios!$F$16*10000)/1000,0)</f>
        <v>0</v>
      </c>
      <c r="H550" s="76">
        <f>IF(Escenarios!$F$11&gt;0,(Observaciones!$F549*Constantes!$F$29)/1000,0)</f>
        <v>0</v>
      </c>
      <c r="I550" s="76">
        <f>IF(Escenarios!$F$11&gt;0,(D550*Constantes!$F$29)/1000,0)</f>
        <v>0</v>
      </c>
      <c r="J550" s="76">
        <f>IF(Escenarios!$F$11&gt;0,MAX(0,G550+H550-I550),0)</f>
        <v>0</v>
      </c>
      <c r="K550" s="76">
        <f>IF(Escenarios!$F$11&gt;0,IF(J550&gt;Constantes!$F$30,1000*((J550-Constantes!$F$30)/(Escenarios!$F$16*10000)),0),F550)</f>
        <v>0</v>
      </c>
      <c r="L550" s="76">
        <f>IF(Escenarios!$F$11&gt;0,I550*1000/Escenarios!$F$16/10000+E550,E550)</f>
        <v>6.2527760746888821E-14</v>
      </c>
      <c r="M550" s="76">
        <f>MAX(0,N549+Observaciones!$F549-K550-Constantes!$D$13)</f>
        <v>0</v>
      </c>
      <c r="N550" s="76">
        <f>N549+Observaciones!$F549-K550-L550-M550-O549</f>
        <v>11.250000000000014</v>
      </c>
      <c r="O550" s="76">
        <f>MAX(0,(N550-Constantes!$D$14)*(1-EXP(-Constantes!$D$22)))</f>
        <v>4.8407388071544802E-16</v>
      </c>
      <c r="P550" s="170">
        <f>P549+(Entradas!$F$83*M550-Q549)/(800*Entradas!$D$25)</f>
        <v>0</v>
      </c>
      <c r="Q550" s="170">
        <f>8000*Entradas!$D$26*P550/Constantes!$F$45</f>
        <v>0</v>
      </c>
      <c r="R550" s="170">
        <f>IF(Escenarios!$F$14&gt;0,K550*Escenarios!$F$13/Escenarios!$F$14,0)</f>
        <v>0</v>
      </c>
      <c r="S550" s="170">
        <f>IF(Escenarios!$F$14&gt;0,Q550*Escenarios!$F$13/Escenarios!$F$14,0)</f>
        <v>0</v>
      </c>
      <c r="T550" s="170">
        <f>IF(Escenarios!$F$14&gt;0,Observaciones!$I549,0)</f>
        <v>0</v>
      </c>
      <c r="U550" s="170">
        <f>IF(Escenarios!$F$14&gt;0,MAX(0,Constantes!$F$36/((Z549+R550+S550+T550+Observaciones!$F549)^2)+Entradas!$F$77),0)</f>
        <v>0</v>
      </c>
      <c r="V550" s="146">
        <f>IF(ETo!D549&gt;0,ETo!I549*((1-Entradas!$F$81)*ETo!K549+ETo!L549),0)</f>
        <v>2.293938767875316</v>
      </c>
      <c r="W550" s="170">
        <f>IF(Escenarios!$F$14&gt;0,MIN(V550*1,0.8*(Z549+R550+S550+T550+Observaciones!$F549-U550-Constantes!$F$35)),0)</f>
        <v>6.5938365878537305E-13</v>
      </c>
      <c r="X550" s="170">
        <f>IF(Escenarios!$F$14&gt;0,Observaciones!$J549,0)</f>
        <v>0</v>
      </c>
      <c r="Y550" s="170">
        <f>IF(Escenarios!$F$14&gt;0,MAX(0,Z549+R550+S550+T550+Observaciones!$F549-U550-W550-X550-Constantes!$F$33),0)</f>
        <v>0</v>
      </c>
      <c r="Z550" s="170">
        <f>Z549+R550+S550+T550+Observaciones!$F549-U550-W550-Y550</f>
        <v>41.250000000000163</v>
      </c>
      <c r="AA550" s="170">
        <f>IF(Escenarios!$F$14&gt;0,(Escenarios!$F$13*L550+Escenarios!$F$14*W550)/(Escenarios!$F$16),L550)</f>
        <v>1.3415046851150693E-13</v>
      </c>
      <c r="AB550" s="170">
        <f>IF(Escenarios!$F$14&gt;0,(Escenarios!$F$14*Y550)/(Escenarios!$F$16),K550)</f>
        <v>0</v>
      </c>
      <c r="AC550" s="170">
        <f>IF(Escenarios!$F$14&gt;0,(Escenarios!$F$13*M550+Escenarios!$F$14*U550)/(Escenarios!$F$16),M550)</f>
        <v>0</v>
      </c>
      <c r="AD550" s="76">
        <f t="shared" si="113"/>
        <v>97.823677008465808</v>
      </c>
      <c r="AE550" s="76">
        <f>MAX(0,(AD550-Constantes!$D$13)*(1-EXP(-Constantes!$D$23)))</f>
        <v>0.48353462800363384</v>
      </c>
      <c r="AF550" s="76">
        <f>AB550+O550*Escenarios!$F$13/Escenarios!$F$16+AE550</f>
        <v>0.48353462800363428</v>
      </c>
      <c r="AG550" s="76">
        <f>IF(Entradas!$F$91&gt;0,IF(AF550-Escenarios!$F$38&lt;=0,0,IF(AF550-Escenarios!$F$38&gt;Escenarios!$F$37,Escenarios!$F$37,AF550-Escenarios!$F$38)),0)</f>
        <v>0</v>
      </c>
      <c r="AH550" s="76">
        <f>AG550*Entradas!$F$99</f>
        <v>0</v>
      </c>
      <c r="AI550" s="76">
        <f>IF(Entradas!$F$91&gt;0,D550*Entradas!$D$23/Escenarios!$F$16,0)</f>
        <v>0.12647911985854998</v>
      </c>
      <c r="AJ550" s="76">
        <f>IF(Entradas!$F$91&gt;0,Entradas!$D$24*Entradas!$D$22/Escenarios!$F$16,0)</f>
        <v>0.12</v>
      </c>
      <c r="AK550" s="76">
        <f t="shared" si="114"/>
        <v>0.12647911985868412</v>
      </c>
      <c r="AL550" s="76">
        <f t="shared" si="115"/>
        <v>0</v>
      </c>
      <c r="AM550" s="76">
        <f t="shared" si="116"/>
        <v>0</v>
      </c>
      <c r="AN550" s="76">
        <f>MAX(0,O550*Escenarios!$F$13/Escenarios!$F$16-AM550)</f>
        <v>4.2598501502959427E-16</v>
      </c>
      <c r="AO550" s="76">
        <f>AM550+AN550-O550*Escenarios!$F$13/Escenarios!$F$16</f>
        <v>0</v>
      </c>
      <c r="AP550" s="76">
        <f t="shared" si="117"/>
        <v>0.48353462800363384</v>
      </c>
      <c r="AQ550" s="76">
        <f t="shared" si="118"/>
        <v>0</v>
      </c>
      <c r="AR550" s="76">
        <f t="shared" si="119"/>
        <v>0.48353462800363428</v>
      </c>
      <c r="AS550" s="76">
        <f t="shared" si="120"/>
        <v>0</v>
      </c>
      <c r="AT550" s="76">
        <f t="shared" si="121"/>
        <v>0</v>
      </c>
      <c r="AU550" s="76">
        <f t="shared" si="122"/>
        <v>52.351285802429352</v>
      </c>
      <c r="AV550" s="76">
        <f>MAX(0,(AU550-Constantes!$D$13)*(1-EXP(-Constantes!$D$24)))</f>
        <v>5.5046543243857743E-2</v>
      </c>
      <c r="AW550" s="170">
        <f>AW549+(Entradas!$F$112*AT550-AX549)/(800*Entradas!$D$25)</f>
        <v>0</v>
      </c>
      <c r="AX550" s="170">
        <f>8000*Entradas!$D$26*AW550/Constantes!$F$45</f>
        <v>0</v>
      </c>
      <c r="AY550" s="170">
        <f>IF(Escenarios!$F$17&gt;0,10*Escenarios!$F$16*AL550,0)</f>
        <v>0</v>
      </c>
      <c r="AZ550" s="170">
        <f>IF(Escenarios!$F$17&gt;0,10*Escenarios!$F$16*AX550,0)</f>
        <v>0</v>
      </c>
      <c r="BA550" s="170">
        <f>IF(Escenarios!$F$17&gt;0,0.001*Observaciones!$F549*Escenarios!$F$17,0)</f>
        <v>0</v>
      </c>
      <c r="BB550" s="170">
        <f>IF(Escenarios!$F$17&gt;0,Observaciones!$K549,0)</f>
        <v>0</v>
      </c>
      <c r="BC550" s="170">
        <f>IF(Escenarios!$F$17&gt;0,MIN(0.0005*ETo!$M549*Escenarios!$F$17*(BG549/Constantes!$F$40)^(2/3),BG549+AY550+AZ550+BA550+BB550),0)</f>
        <v>0</v>
      </c>
      <c r="BD550" s="170">
        <f>IF(Escenarios!$F$17&gt;0,MIN(Constantes!$F$39*(BG549/Constantes!$F$40)^(2/3),BG549+AY550+AZ550+BA550+BB550-BC550),0)</f>
        <v>0</v>
      </c>
      <c r="BE550" s="170">
        <f>IF(Escenarios!$F$17&gt;0,MIN(Entradas!$F$113,BG549+AY550+AZ550+BA550+BB550-BC550-BD550),0)</f>
        <v>0</v>
      </c>
      <c r="BF550" s="170">
        <f>IF(Escenarios!$F$17&gt;0,MAX(0,BG549+AY550+AZ550+BA550+BB550-BC550-BD550-BE550-Constantes!$F$40),0)</f>
        <v>0</v>
      </c>
      <c r="BG550" s="170">
        <f t="shared" si="123"/>
        <v>0</v>
      </c>
      <c r="BH550" s="170">
        <f>(Escenarios!$F$16*AK550+0.1*BC550)/(Escenarios!$F$19)</f>
        <v>0.12647911985868412</v>
      </c>
      <c r="BI550" s="170">
        <f>IF(Escenarios!$F$17&gt;0,BF550/10/Escenarios!$F$19,AL550)</f>
        <v>0</v>
      </c>
      <c r="BJ550" s="170">
        <f>(Escenarios!$F$16*AT550+0.1*BD550)/(Escenarios!$F$19)</f>
        <v>0</v>
      </c>
      <c r="BK550" s="76">
        <f>BK549+(0.1*BD550)/(Escenarios!$F$19)-BL549</f>
        <v>48.75</v>
      </c>
      <c r="BL550" s="76">
        <f>MAX(0,(BK550-Constantes!$D$13)*(1-EXP(-Constantes!$D$23)))</f>
        <v>0</v>
      </c>
      <c r="BM550" s="76">
        <f t="shared" si="124"/>
        <v>0.53858117124749161</v>
      </c>
      <c r="BN550" s="76">
        <f t="shared" si="125"/>
        <v>0.53858117124749205</v>
      </c>
      <c r="BO550" s="76">
        <f>0.0526*BI550*Observaciones!$F549^1.218</f>
        <v>0</v>
      </c>
      <c r="BP550" s="76">
        <f>BO550*Constantes!$F$51</f>
        <v>0</v>
      </c>
      <c r="BQ550" s="76">
        <f t="shared" si="126"/>
        <v>0</v>
      </c>
      <c r="BR550" s="40"/>
    </row>
    <row r="551" spans="2:70">
      <c r="B551" s="39"/>
      <c r="C551" s="75">
        <v>545</v>
      </c>
      <c r="D551" s="146">
        <f>ETo!$I550*((1-Constantes!$F$19)*ETo!$K550+ETo!$L550)</f>
        <v>2.6623030821662397</v>
      </c>
      <c r="E551" s="76">
        <f>MIN(D551*Constantes!$F$17,0.8*(N550+Observaciones!$F550-F551-M551-Constantes!$D$14))</f>
        <v>1.1368683772161604E-14</v>
      </c>
      <c r="F551" s="76">
        <f>IF(Observaciones!$F550&gt;0.05*Constantes!$F$18,((Observaciones!$F550-0.05*Constantes!$F$18)^2)/(Observaciones!$F550+0.95*Constantes!$F$18),0)</f>
        <v>0</v>
      </c>
      <c r="G551" s="76">
        <f>IF(Escenarios!$F$11&gt;0,(F551*Escenarios!$F$16*10000)/1000,0)</f>
        <v>0</v>
      </c>
      <c r="H551" s="76">
        <f>IF(Escenarios!$F$11&gt;0,(Observaciones!$F550*Constantes!$F$29)/1000,0)</f>
        <v>0</v>
      </c>
      <c r="I551" s="76">
        <f>IF(Escenarios!$F$11&gt;0,(D551*Constantes!$F$29)/1000,0)</f>
        <v>0</v>
      </c>
      <c r="J551" s="76">
        <f>IF(Escenarios!$F$11&gt;0,MAX(0,G551+H551-I551),0)</f>
        <v>0</v>
      </c>
      <c r="K551" s="76">
        <f>IF(Escenarios!$F$11&gt;0,IF(J551&gt;Constantes!$F$30,1000*((J551-Constantes!$F$30)/(Escenarios!$F$16*10000)),0),F551)</f>
        <v>0</v>
      </c>
      <c r="L551" s="76">
        <f>IF(Escenarios!$F$11&gt;0,I551*1000/Escenarios!$F$16/10000+E551,E551)</f>
        <v>1.1368683772161604E-14</v>
      </c>
      <c r="M551" s="76">
        <f>MAX(0,N550+Observaciones!$F550-K551-Constantes!$D$13)</f>
        <v>0</v>
      </c>
      <c r="N551" s="76">
        <f>N550+Observaciones!$F550-K551-L551-M551-O550</f>
        <v>11.250000000000004</v>
      </c>
      <c r="O551" s="76">
        <f>MAX(0,(N551-Constantes!$D$14)*(1-EXP(-Constantes!$D$22)))</f>
        <v>1.21018470178862E-16</v>
      </c>
      <c r="P551" s="170">
        <f>P550+(Entradas!$F$83*M551-Q550)/(800*Entradas!$D$25)</f>
        <v>0</v>
      </c>
      <c r="Q551" s="170">
        <f>8000*Entradas!$D$26*P551/Constantes!$F$45</f>
        <v>0</v>
      </c>
      <c r="R551" s="170">
        <f>IF(Escenarios!$F$14&gt;0,K551*Escenarios!$F$13/Escenarios!$F$14,0)</f>
        <v>0</v>
      </c>
      <c r="S551" s="170">
        <f>IF(Escenarios!$F$14&gt;0,Q551*Escenarios!$F$13/Escenarios!$F$14,0)</f>
        <v>0</v>
      </c>
      <c r="T551" s="170">
        <f>IF(Escenarios!$F$14&gt;0,Observaciones!$I550,0)</f>
        <v>0</v>
      </c>
      <c r="U551" s="170">
        <f>IF(Escenarios!$F$14&gt;0,MAX(0,Constantes!$F$36/((Z550+R551+S551+T551+Observaciones!$F550)^2)+Entradas!$F$77),0)</f>
        <v>0</v>
      </c>
      <c r="V551" s="146">
        <f>IF(ETo!D550&gt;0,ETo!I550*((1-Entradas!$F$81)*ETo!K550+ETo!L550),0)</f>
        <v>2.3182184713379796</v>
      </c>
      <c r="W551" s="170">
        <f>IF(Escenarios!$F$14&gt;0,MIN(V551*1,0.8*(Z550+R551+S551+T551+Observaciones!$F550-U551-Constantes!$F$35)),0)</f>
        <v>1.3073986337985845E-13</v>
      </c>
      <c r="X551" s="170">
        <f>IF(Escenarios!$F$14&gt;0,Observaciones!$J550,0)</f>
        <v>0</v>
      </c>
      <c r="Y551" s="170">
        <f>IF(Escenarios!$F$14&gt;0,MAX(0,Z550+R551+S551+T551+Observaciones!$F550-U551-W551-X551-Constantes!$F$33),0)</f>
        <v>0</v>
      </c>
      <c r="Z551" s="170">
        <f>Z550+R551+S551+T551+Observaciones!$F550-U551-W551-Y551</f>
        <v>41.250000000000036</v>
      </c>
      <c r="AA551" s="170">
        <f>IF(Escenarios!$F$14&gt;0,(Escenarios!$F$13*L551+Escenarios!$F$14*W551)/(Escenarios!$F$16),L551)</f>
        <v>2.5693225325085227E-14</v>
      </c>
      <c r="AB551" s="170">
        <f>IF(Escenarios!$F$14&gt;0,(Escenarios!$F$14*Y551)/(Escenarios!$F$16),K551)</f>
        <v>0</v>
      </c>
      <c r="AC551" s="170">
        <f>IF(Escenarios!$F$14&gt;0,(Escenarios!$F$13*M551+Escenarios!$F$14*U551)/(Escenarios!$F$16),M551)</f>
        <v>0</v>
      </c>
      <c r="AD551" s="76">
        <f t="shared" si="113"/>
        <v>97.340142380462169</v>
      </c>
      <c r="AE551" s="76">
        <f>MAX(0,(AD551-Constantes!$D$13)*(1-EXP(-Constantes!$D$23)))</f>
        <v>0.47877024614493835</v>
      </c>
      <c r="AF551" s="76">
        <f>AB551+O551*Escenarios!$F$13/Escenarios!$F$16+AE551</f>
        <v>0.47877024614493846</v>
      </c>
      <c r="AG551" s="76">
        <f>IF(Entradas!$F$91&gt;0,IF(AF551-Escenarios!$F$38&lt;=0,0,IF(AF551-Escenarios!$F$38&gt;Escenarios!$F$37,Escenarios!$F$37,AF551-Escenarios!$F$38)),0)</f>
        <v>0</v>
      </c>
      <c r="AH551" s="76">
        <f>AG551*Entradas!$F$99</f>
        <v>0</v>
      </c>
      <c r="AI551" s="76">
        <f>IF(Entradas!$F$91&gt;0,D551*Entradas!$D$23/Escenarios!$F$16,0)</f>
        <v>0.12779054794397951</v>
      </c>
      <c r="AJ551" s="76">
        <f>IF(Entradas!$F$91&gt;0,Entradas!$D$24*Entradas!$D$22/Escenarios!$F$16,0)</f>
        <v>0.12</v>
      </c>
      <c r="AK551" s="76">
        <f t="shared" si="114"/>
        <v>0.12779054794400521</v>
      </c>
      <c r="AL551" s="76">
        <f t="shared" si="115"/>
        <v>0</v>
      </c>
      <c r="AM551" s="76">
        <f t="shared" si="116"/>
        <v>0</v>
      </c>
      <c r="AN551" s="76">
        <f>MAX(0,O551*Escenarios!$F$13/Escenarios!$F$16-AM551)</f>
        <v>1.0649625375739857E-16</v>
      </c>
      <c r="AO551" s="76">
        <f>AM551+AN551-O551*Escenarios!$F$13/Escenarios!$F$16</f>
        <v>0</v>
      </c>
      <c r="AP551" s="76">
        <f t="shared" si="117"/>
        <v>0.47877024614493835</v>
      </c>
      <c r="AQ551" s="76">
        <f t="shared" si="118"/>
        <v>0</v>
      </c>
      <c r="AR551" s="76">
        <f t="shared" si="119"/>
        <v>0.47877024614493846</v>
      </c>
      <c r="AS551" s="76">
        <f t="shared" si="120"/>
        <v>0</v>
      </c>
      <c r="AT551" s="76">
        <f t="shared" si="121"/>
        <v>0</v>
      </c>
      <c r="AU551" s="76">
        <f t="shared" si="122"/>
        <v>52.296239259185498</v>
      </c>
      <c r="AV551" s="76">
        <f>MAX(0,(AU551-Constantes!$D$13)*(1-EXP(-Constantes!$D$24)))</f>
        <v>5.4205143230269918E-2</v>
      </c>
      <c r="AW551" s="170">
        <f>AW550+(Entradas!$F$112*AT551-AX550)/(800*Entradas!$D$25)</f>
        <v>0</v>
      </c>
      <c r="AX551" s="170">
        <f>8000*Entradas!$D$26*AW551/Constantes!$F$45</f>
        <v>0</v>
      </c>
      <c r="AY551" s="170">
        <f>IF(Escenarios!$F$17&gt;0,10*Escenarios!$F$16*AL551,0)</f>
        <v>0</v>
      </c>
      <c r="AZ551" s="170">
        <f>IF(Escenarios!$F$17&gt;0,10*Escenarios!$F$16*AX551,0)</f>
        <v>0</v>
      </c>
      <c r="BA551" s="170">
        <f>IF(Escenarios!$F$17&gt;0,0.001*Observaciones!$F550*Escenarios!$F$17,0)</f>
        <v>0</v>
      </c>
      <c r="BB551" s="170">
        <f>IF(Escenarios!$F$17&gt;0,Observaciones!$K550,0)</f>
        <v>0</v>
      </c>
      <c r="BC551" s="170">
        <f>IF(Escenarios!$F$17&gt;0,MIN(0.0005*ETo!$M550*Escenarios!$F$17*(BG550/Constantes!$F$40)^(2/3),BG550+AY551+AZ551+BA551+BB551),0)</f>
        <v>0</v>
      </c>
      <c r="BD551" s="170">
        <f>IF(Escenarios!$F$17&gt;0,MIN(Constantes!$F$39*(BG550/Constantes!$F$40)^(2/3),BG550+AY551+AZ551+BA551+BB551-BC551),0)</f>
        <v>0</v>
      </c>
      <c r="BE551" s="170">
        <f>IF(Escenarios!$F$17&gt;0,MIN(Entradas!$F$113,BG550+AY551+AZ551+BA551+BB551-BC551-BD551),0)</f>
        <v>0</v>
      </c>
      <c r="BF551" s="170">
        <f>IF(Escenarios!$F$17&gt;0,MAX(0,BG550+AY551+AZ551+BA551+BB551-BC551-BD551-BE551-Constantes!$F$40),0)</f>
        <v>0</v>
      </c>
      <c r="BG551" s="170">
        <f t="shared" si="123"/>
        <v>0</v>
      </c>
      <c r="BH551" s="170">
        <f>(Escenarios!$F$16*AK551+0.1*BC551)/(Escenarios!$F$19)</f>
        <v>0.12779054794400521</v>
      </c>
      <c r="BI551" s="170">
        <f>IF(Escenarios!$F$17&gt;0,BF551/10/Escenarios!$F$19,AL551)</f>
        <v>0</v>
      </c>
      <c r="BJ551" s="170">
        <f>(Escenarios!$F$16*AT551+0.1*BD551)/(Escenarios!$F$19)</f>
        <v>0</v>
      </c>
      <c r="BK551" s="76">
        <f>BK550+(0.1*BD551)/(Escenarios!$F$19)-BL550</f>
        <v>48.75</v>
      </c>
      <c r="BL551" s="76">
        <f>MAX(0,(BK551-Constantes!$D$13)*(1-EXP(-Constantes!$D$23)))</f>
        <v>0</v>
      </c>
      <c r="BM551" s="76">
        <f t="shared" si="124"/>
        <v>0.53297538937520827</v>
      </c>
      <c r="BN551" s="76">
        <f t="shared" si="125"/>
        <v>0.53297538937520839</v>
      </c>
      <c r="BO551" s="76">
        <f>0.0526*BI551*Observaciones!$F550^1.218</f>
        <v>0</v>
      </c>
      <c r="BP551" s="76">
        <f>BO551*Constantes!$F$51</f>
        <v>0</v>
      </c>
      <c r="BQ551" s="76">
        <f t="shared" si="126"/>
        <v>0</v>
      </c>
      <c r="BR551" s="40"/>
    </row>
    <row r="552" spans="2:70">
      <c r="B552" s="39"/>
      <c r="C552" s="75">
        <v>546</v>
      </c>
      <c r="D552" s="146">
        <f>ETo!$I551*((1-Constantes!$F$19)*ETo!$K551+ETo!$L551)</f>
        <v>2.5689592276417663</v>
      </c>
      <c r="E552" s="76">
        <f>MIN(D552*Constantes!$F$17,0.8*(N551+Observaciones!$F551-F552-M552-Constantes!$D$14))</f>
        <v>2.8421709430404009E-15</v>
      </c>
      <c r="F552" s="76">
        <f>IF(Observaciones!$F551&gt;0.05*Constantes!$F$18,((Observaciones!$F551-0.05*Constantes!$F$18)^2)/(Observaciones!$F551+0.95*Constantes!$F$18),0)</f>
        <v>0</v>
      </c>
      <c r="G552" s="76">
        <f>IF(Escenarios!$F$11&gt;0,(F552*Escenarios!$F$16*10000)/1000,0)</f>
        <v>0</v>
      </c>
      <c r="H552" s="76">
        <f>IF(Escenarios!$F$11&gt;0,(Observaciones!$F551*Constantes!$F$29)/1000,0)</f>
        <v>0</v>
      </c>
      <c r="I552" s="76">
        <f>IF(Escenarios!$F$11&gt;0,(D552*Constantes!$F$29)/1000,0)</f>
        <v>0</v>
      </c>
      <c r="J552" s="76">
        <f>IF(Escenarios!$F$11&gt;0,MAX(0,G552+H552-I552),0)</f>
        <v>0</v>
      </c>
      <c r="K552" s="76">
        <f>IF(Escenarios!$F$11&gt;0,IF(J552&gt;Constantes!$F$30,1000*((J552-Constantes!$F$30)/(Escenarios!$F$16*10000)),0),F552)</f>
        <v>0</v>
      </c>
      <c r="L552" s="76">
        <f>IF(Escenarios!$F$11&gt;0,I552*1000/Escenarios!$F$16/10000+E552,E552)</f>
        <v>2.8421709430404009E-15</v>
      </c>
      <c r="M552" s="76">
        <f>MAX(0,N551+Observaciones!$F551-K552-Constantes!$D$13)</f>
        <v>0</v>
      </c>
      <c r="N552" s="76">
        <f>N551+Observaciones!$F551-K552-L552-M552-O551</f>
        <v>11.25</v>
      </c>
      <c r="O552" s="76">
        <f>MAX(0,(N552-Constantes!$D$14)*(1-EXP(-Constantes!$D$22)))</f>
        <v>0</v>
      </c>
      <c r="P552" s="170">
        <f>P551+(Entradas!$F$83*M552-Q551)/(800*Entradas!$D$25)</f>
        <v>0</v>
      </c>
      <c r="Q552" s="170">
        <f>8000*Entradas!$D$26*P552/Constantes!$F$45</f>
        <v>0</v>
      </c>
      <c r="R552" s="170">
        <f>IF(Escenarios!$F$14&gt;0,K552*Escenarios!$F$13/Escenarios!$F$14,0)</f>
        <v>0</v>
      </c>
      <c r="S552" s="170">
        <f>IF(Escenarios!$F$14&gt;0,Q552*Escenarios!$F$13/Escenarios!$F$14,0)</f>
        <v>0</v>
      </c>
      <c r="T552" s="170">
        <f>IF(Escenarios!$F$14&gt;0,Observaciones!$I551,0)</f>
        <v>0</v>
      </c>
      <c r="U552" s="170">
        <f>IF(Escenarios!$F$14&gt;0,MAX(0,Constantes!$F$36/((Z551+R552+S552+T552+Observaciones!$F551)^2)+Entradas!$F$77),0)</f>
        <v>0</v>
      </c>
      <c r="V552" s="146">
        <f>IF(ETo!D551&gt;0,ETo!I551*((1-Entradas!$F$81)*ETo!K551+ETo!L551),0)</f>
        <v>2.2359238638755503</v>
      </c>
      <c r="W552" s="170">
        <f>IF(Escenarios!$F$14&gt;0,MIN(V552*1,0.8*(Z551+R552+S552+T552+Observaciones!$F551-U552-Constantes!$F$35)),0)</f>
        <v>2.8421709430404007E-14</v>
      </c>
      <c r="X552" s="170">
        <f>IF(Escenarios!$F$14&gt;0,Observaciones!$J551,0)</f>
        <v>0</v>
      </c>
      <c r="Y552" s="170">
        <f>IF(Escenarios!$F$14&gt;0,MAX(0,Z551+R552+S552+T552+Observaciones!$F551-U552-W552-X552-Constantes!$F$33),0)</f>
        <v>0</v>
      </c>
      <c r="Z552" s="170">
        <f>Z551+R552+S552+T552+Observaciones!$F551-U552-W552-Y552</f>
        <v>41.250000000000007</v>
      </c>
      <c r="AA552" s="170">
        <f>IF(Escenarios!$F$14&gt;0,(Escenarios!$F$13*L552+Escenarios!$F$14*W552)/(Escenarios!$F$16),L552)</f>
        <v>5.9117155615240333E-15</v>
      </c>
      <c r="AB552" s="170">
        <f>IF(Escenarios!$F$14&gt;0,(Escenarios!$F$14*Y552)/(Escenarios!$F$16),K552)</f>
        <v>0</v>
      </c>
      <c r="AC552" s="170">
        <f>IF(Escenarios!$F$14&gt;0,(Escenarios!$F$13*M552+Escenarios!$F$14*U552)/(Escenarios!$F$16),M552)</f>
        <v>0</v>
      </c>
      <c r="AD552" s="76">
        <f t="shared" si="113"/>
        <v>96.861372134317236</v>
      </c>
      <c r="AE552" s="76">
        <f>MAX(0,(AD552-Constantes!$D$13)*(1-EXP(-Constantes!$D$23)))</f>
        <v>0.47405280887548407</v>
      </c>
      <c r="AF552" s="76">
        <f>AB552+O552*Escenarios!$F$13/Escenarios!$F$16+AE552</f>
        <v>0.47405280887548407</v>
      </c>
      <c r="AG552" s="76">
        <f>IF(Entradas!$F$91&gt;0,IF(AF552-Escenarios!$F$38&lt;=0,0,IF(AF552-Escenarios!$F$38&gt;Escenarios!$F$37,Escenarios!$F$37,AF552-Escenarios!$F$38)),0)</f>
        <v>0</v>
      </c>
      <c r="AH552" s="76">
        <f>AG552*Entradas!$F$99</f>
        <v>0</v>
      </c>
      <c r="AI552" s="76">
        <f>IF(Entradas!$F$91&gt;0,D552*Entradas!$D$23/Escenarios!$F$16,0)</f>
        <v>0.12331004292680478</v>
      </c>
      <c r="AJ552" s="76">
        <f>IF(Entradas!$F$91&gt;0,Entradas!$D$24*Entradas!$D$22/Escenarios!$F$16,0)</f>
        <v>0.12</v>
      </c>
      <c r="AK552" s="76">
        <f t="shared" si="114"/>
        <v>0.12331004292681069</v>
      </c>
      <c r="AL552" s="76">
        <f t="shared" si="115"/>
        <v>0</v>
      </c>
      <c r="AM552" s="76">
        <f t="shared" si="116"/>
        <v>0</v>
      </c>
      <c r="AN552" s="76">
        <f>MAX(0,O552*Escenarios!$F$13/Escenarios!$F$16-AM552)</f>
        <v>0</v>
      </c>
      <c r="AO552" s="76">
        <f>AM552+AN552-O552*Escenarios!$F$13/Escenarios!$F$16</f>
        <v>0</v>
      </c>
      <c r="AP552" s="76">
        <f t="shared" si="117"/>
        <v>0.47405280887548407</v>
      </c>
      <c r="AQ552" s="76">
        <f t="shared" si="118"/>
        <v>0</v>
      </c>
      <c r="AR552" s="76">
        <f t="shared" si="119"/>
        <v>0.47405280887548407</v>
      </c>
      <c r="AS552" s="76">
        <f t="shared" si="120"/>
        <v>0</v>
      </c>
      <c r="AT552" s="76">
        <f t="shared" si="121"/>
        <v>0</v>
      </c>
      <c r="AU552" s="76">
        <f t="shared" si="122"/>
        <v>52.242034115955228</v>
      </c>
      <c r="AV552" s="76">
        <f>MAX(0,(AU552-Constantes!$D$13)*(1-EXP(-Constantes!$D$24)))</f>
        <v>5.3376604223770698E-2</v>
      </c>
      <c r="AW552" s="170">
        <f>AW551+(Entradas!$F$112*AT552-AX551)/(800*Entradas!$D$25)</f>
        <v>0</v>
      </c>
      <c r="AX552" s="170">
        <f>8000*Entradas!$D$26*AW552/Constantes!$F$45</f>
        <v>0</v>
      </c>
      <c r="AY552" s="170">
        <f>IF(Escenarios!$F$17&gt;0,10*Escenarios!$F$16*AL552,0)</f>
        <v>0</v>
      </c>
      <c r="AZ552" s="170">
        <f>IF(Escenarios!$F$17&gt;0,10*Escenarios!$F$16*AX552,0)</f>
        <v>0</v>
      </c>
      <c r="BA552" s="170">
        <f>IF(Escenarios!$F$17&gt;0,0.001*Observaciones!$F551*Escenarios!$F$17,0)</f>
        <v>0</v>
      </c>
      <c r="BB552" s="170">
        <f>IF(Escenarios!$F$17&gt;0,Observaciones!$K551,0)</f>
        <v>0</v>
      </c>
      <c r="BC552" s="170">
        <f>IF(Escenarios!$F$17&gt;0,MIN(0.0005*ETo!$M551*Escenarios!$F$17*(BG551/Constantes!$F$40)^(2/3),BG551+AY552+AZ552+BA552+BB552),0)</f>
        <v>0</v>
      </c>
      <c r="BD552" s="170">
        <f>IF(Escenarios!$F$17&gt;0,MIN(Constantes!$F$39*(BG551/Constantes!$F$40)^(2/3),BG551+AY552+AZ552+BA552+BB552-BC552),0)</f>
        <v>0</v>
      </c>
      <c r="BE552" s="170">
        <f>IF(Escenarios!$F$17&gt;0,MIN(Entradas!$F$113,BG551+AY552+AZ552+BA552+BB552-BC552-BD552),0)</f>
        <v>0</v>
      </c>
      <c r="BF552" s="170">
        <f>IF(Escenarios!$F$17&gt;0,MAX(0,BG551+AY552+AZ552+BA552+BB552-BC552-BD552-BE552-Constantes!$F$40),0)</f>
        <v>0</v>
      </c>
      <c r="BG552" s="170">
        <f t="shared" si="123"/>
        <v>0</v>
      </c>
      <c r="BH552" s="170">
        <f>(Escenarios!$F$16*AK552+0.1*BC552)/(Escenarios!$F$19)</f>
        <v>0.12331004292681069</v>
      </c>
      <c r="BI552" s="170">
        <f>IF(Escenarios!$F$17&gt;0,BF552/10/Escenarios!$F$19,AL552)</f>
        <v>0</v>
      </c>
      <c r="BJ552" s="170">
        <f>(Escenarios!$F$16*AT552+0.1*BD552)/(Escenarios!$F$19)</f>
        <v>0</v>
      </c>
      <c r="BK552" s="76">
        <f>BK551+(0.1*BD552)/(Escenarios!$F$19)-BL551</f>
        <v>48.75</v>
      </c>
      <c r="BL552" s="76">
        <f>MAX(0,(BK552-Constantes!$D$13)*(1-EXP(-Constantes!$D$23)))</f>
        <v>0</v>
      </c>
      <c r="BM552" s="76">
        <f t="shared" si="124"/>
        <v>0.52742941309925473</v>
      </c>
      <c r="BN552" s="76">
        <f t="shared" si="125"/>
        <v>0.52742941309925473</v>
      </c>
      <c r="BO552" s="76">
        <f>0.0526*BI552*Observaciones!$F551^1.218</f>
        <v>0</v>
      </c>
      <c r="BP552" s="76">
        <f>BO552*Constantes!$F$51</f>
        <v>0</v>
      </c>
      <c r="BQ552" s="76">
        <f t="shared" si="126"/>
        <v>0</v>
      </c>
      <c r="BR552" s="40"/>
    </row>
    <row r="553" spans="2:70">
      <c r="B553" s="39"/>
      <c r="C553" s="75">
        <v>547</v>
      </c>
      <c r="D553" s="146">
        <f>ETo!$I552*((1-Constantes!$F$19)*ETo!$K552+ETo!$L552)</f>
        <v>2.6332774896551419</v>
      </c>
      <c r="E553" s="76">
        <f>MIN(D553*Constantes!$F$17,0.8*(N552+Observaciones!$F552-F553-M553-Constantes!$D$14))</f>
        <v>0</v>
      </c>
      <c r="F553" s="76">
        <f>IF(Observaciones!$F552&gt;0.05*Constantes!$F$18,((Observaciones!$F552-0.05*Constantes!$F$18)^2)/(Observaciones!$F552+0.95*Constantes!$F$18),0)</f>
        <v>0</v>
      </c>
      <c r="G553" s="76">
        <f>IF(Escenarios!$F$11&gt;0,(F553*Escenarios!$F$16*10000)/1000,0)</f>
        <v>0</v>
      </c>
      <c r="H553" s="76">
        <f>IF(Escenarios!$F$11&gt;0,(Observaciones!$F552*Constantes!$F$29)/1000,0)</f>
        <v>0</v>
      </c>
      <c r="I553" s="76">
        <f>IF(Escenarios!$F$11&gt;0,(D553*Constantes!$F$29)/1000,0)</f>
        <v>0</v>
      </c>
      <c r="J553" s="76">
        <f>IF(Escenarios!$F$11&gt;0,MAX(0,G553+H553-I553),0)</f>
        <v>0</v>
      </c>
      <c r="K553" s="76">
        <f>IF(Escenarios!$F$11&gt;0,IF(J553&gt;Constantes!$F$30,1000*((J553-Constantes!$F$30)/(Escenarios!$F$16*10000)),0),F553)</f>
        <v>0</v>
      </c>
      <c r="L553" s="76">
        <f>IF(Escenarios!$F$11&gt;0,I553*1000/Escenarios!$F$16/10000+E553,E553)</f>
        <v>0</v>
      </c>
      <c r="M553" s="76">
        <f>MAX(0,N552+Observaciones!$F552-K553-Constantes!$D$13)</f>
        <v>0</v>
      </c>
      <c r="N553" s="76">
        <f>N552+Observaciones!$F552-K553-L553-M553-O552</f>
        <v>11.25</v>
      </c>
      <c r="O553" s="76">
        <f>MAX(0,(N553-Constantes!$D$14)*(1-EXP(-Constantes!$D$22)))</f>
        <v>0</v>
      </c>
      <c r="P553" s="170">
        <f>P552+(Entradas!$F$83*M553-Q552)/(800*Entradas!$D$25)</f>
        <v>0</v>
      </c>
      <c r="Q553" s="170">
        <f>8000*Entradas!$D$26*P553/Constantes!$F$45</f>
        <v>0</v>
      </c>
      <c r="R553" s="170">
        <f>IF(Escenarios!$F$14&gt;0,K553*Escenarios!$F$13/Escenarios!$F$14,0)</f>
        <v>0</v>
      </c>
      <c r="S553" s="170">
        <f>IF(Escenarios!$F$14&gt;0,Q553*Escenarios!$F$13/Escenarios!$F$14,0)</f>
        <v>0</v>
      </c>
      <c r="T553" s="170">
        <f>IF(Escenarios!$F$14&gt;0,Observaciones!$I552,0)</f>
        <v>0</v>
      </c>
      <c r="U553" s="170">
        <f>IF(Escenarios!$F$14&gt;0,MAX(0,Constantes!$F$36/((Z552+R553+S553+T553+Observaciones!$F552)^2)+Entradas!$F$77),0)</f>
        <v>0</v>
      </c>
      <c r="V553" s="146">
        <f>IF(ETo!D552&gt;0,ETo!I552*((1-Entradas!$F$81)*ETo!K552+ETo!L552),0)</f>
        <v>2.2927785061136965</v>
      </c>
      <c r="W553" s="170">
        <f>IF(Escenarios!$F$14&gt;0,MIN(V553*1,0.8*(Z552+R553+S553+T553+Observaciones!$F552-U553-Constantes!$F$35)),0)</f>
        <v>5.6843418860808018E-15</v>
      </c>
      <c r="X553" s="170">
        <f>IF(Escenarios!$F$14&gt;0,Observaciones!$J552,0)</f>
        <v>0</v>
      </c>
      <c r="Y553" s="170">
        <f>IF(Escenarios!$F$14&gt;0,MAX(0,Z552+R553+S553+T553+Observaciones!$F552-U553-W553-X553-Constantes!$F$33),0)</f>
        <v>0</v>
      </c>
      <c r="Z553" s="170">
        <f>Z552+R553+S553+T553+Observaciones!$F552-U553-W553-Y553</f>
        <v>41.25</v>
      </c>
      <c r="AA553" s="170">
        <f>IF(Escenarios!$F$14&gt;0,(Escenarios!$F$13*L553+Escenarios!$F$14*W553)/(Escenarios!$F$16),L553)</f>
        <v>6.8212102632969619E-16</v>
      </c>
      <c r="AB553" s="170">
        <f>IF(Escenarios!$F$14&gt;0,(Escenarios!$F$14*Y553)/(Escenarios!$F$16),K553)</f>
        <v>0</v>
      </c>
      <c r="AC553" s="170">
        <f>IF(Escenarios!$F$14&gt;0,(Escenarios!$F$13*M553+Escenarios!$F$14*U553)/(Escenarios!$F$16),M553)</f>
        <v>0</v>
      </c>
      <c r="AD553" s="76">
        <f t="shared" si="113"/>
        <v>96.387319325441752</v>
      </c>
      <c r="AE553" s="76">
        <f>MAX(0,(AD553-Constantes!$D$13)*(1-EXP(-Constantes!$D$23)))</f>
        <v>0.46938185363905166</v>
      </c>
      <c r="AF553" s="76">
        <f>AB553+O553*Escenarios!$F$13/Escenarios!$F$16+AE553</f>
        <v>0.46938185363905166</v>
      </c>
      <c r="AG553" s="76">
        <f>IF(Entradas!$F$91&gt;0,IF(AF553-Escenarios!$F$38&lt;=0,0,IF(AF553-Escenarios!$F$38&gt;Escenarios!$F$37,Escenarios!$F$37,AF553-Escenarios!$F$38)),0)</f>
        <v>0</v>
      </c>
      <c r="AH553" s="76">
        <f>AG553*Entradas!$F$99</f>
        <v>0</v>
      </c>
      <c r="AI553" s="76">
        <f>IF(Entradas!$F$91&gt;0,D553*Entradas!$D$23/Escenarios!$F$16,0)</f>
        <v>0.12639731950344682</v>
      </c>
      <c r="AJ553" s="76">
        <f>IF(Entradas!$F$91&gt;0,Entradas!$D$24*Entradas!$D$22/Escenarios!$F$16,0)</f>
        <v>0.12</v>
      </c>
      <c r="AK553" s="76">
        <f t="shared" si="114"/>
        <v>0.12639731950344751</v>
      </c>
      <c r="AL553" s="76">
        <f t="shared" si="115"/>
        <v>0</v>
      </c>
      <c r="AM553" s="76">
        <f t="shared" si="116"/>
        <v>0</v>
      </c>
      <c r="AN553" s="76">
        <f>MAX(0,O553*Escenarios!$F$13/Escenarios!$F$16-AM553)</f>
        <v>0</v>
      </c>
      <c r="AO553" s="76">
        <f>AM553+AN553-O553*Escenarios!$F$13/Escenarios!$F$16</f>
        <v>0</v>
      </c>
      <c r="AP553" s="76">
        <f t="shared" si="117"/>
        <v>0.46938185363905166</v>
      </c>
      <c r="AQ553" s="76">
        <f t="shared" si="118"/>
        <v>0</v>
      </c>
      <c r="AR553" s="76">
        <f t="shared" si="119"/>
        <v>0.46938185363905166</v>
      </c>
      <c r="AS553" s="76">
        <f t="shared" si="120"/>
        <v>0</v>
      </c>
      <c r="AT553" s="76">
        <f t="shared" si="121"/>
        <v>0</v>
      </c>
      <c r="AU553" s="76">
        <f t="shared" si="122"/>
        <v>52.188657511731456</v>
      </c>
      <c r="AV553" s="76">
        <f>MAX(0,(AU553-Constantes!$D$13)*(1-EXP(-Constantes!$D$24)))</f>
        <v>5.2560729640689266E-2</v>
      </c>
      <c r="AW553" s="170">
        <f>AW552+(Entradas!$F$112*AT553-AX552)/(800*Entradas!$D$25)</f>
        <v>0</v>
      </c>
      <c r="AX553" s="170">
        <f>8000*Entradas!$D$26*AW553/Constantes!$F$45</f>
        <v>0</v>
      </c>
      <c r="AY553" s="170">
        <f>IF(Escenarios!$F$17&gt;0,10*Escenarios!$F$16*AL553,0)</f>
        <v>0</v>
      </c>
      <c r="AZ553" s="170">
        <f>IF(Escenarios!$F$17&gt;0,10*Escenarios!$F$16*AX553,0)</f>
        <v>0</v>
      </c>
      <c r="BA553" s="170">
        <f>IF(Escenarios!$F$17&gt;0,0.001*Observaciones!$F552*Escenarios!$F$17,0)</f>
        <v>0</v>
      </c>
      <c r="BB553" s="170">
        <f>IF(Escenarios!$F$17&gt;0,Observaciones!$K552,0)</f>
        <v>0</v>
      </c>
      <c r="BC553" s="170">
        <f>IF(Escenarios!$F$17&gt;0,MIN(0.0005*ETo!$M552*Escenarios!$F$17*(BG552/Constantes!$F$40)^(2/3),BG552+AY553+AZ553+BA553+BB553),0)</f>
        <v>0</v>
      </c>
      <c r="BD553" s="170">
        <f>IF(Escenarios!$F$17&gt;0,MIN(Constantes!$F$39*(BG552/Constantes!$F$40)^(2/3),BG552+AY553+AZ553+BA553+BB553-BC553),0)</f>
        <v>0</v>
      </c>
      <c r="BE553" s="170">
        <f>IF(Escenarios!$F$17&gt;0,MIN(Entradas!$F$113,BG552+AY553+AZ553+BA553+BB553-BC553-BD553),0)</f>
        <v>0</v>
      </c>
      <c r="BF553" s="170">
        <f>IF(Escenarios!$F$17&gt;0,MAX(0,BG552+AY553+AZ553+BA553+BB553-BC553-BD553-BE553-Constantes!$F$40),0)</f>
        <v>0</v>
      </c>
      <c r="BG553" s="170">
        <f t="shared" si="123"/>
        <v>0</v>
      </c>
      <c r="BH553" s="170">
        <f>(Escenarios!$F$16*AK553+0.1*BC553)/(Escenarios!$F$19)</f>
        <v>0.12639731950344751</v>
      </c>
      <c r="BI553" s="170">
        <f>IF(Escenarios!$F$17&gt;0,BF553/10/Escenarios!$F$19,AL553)</f>
        <v>0</v>
      </c>
      <c r="BJ553" s="170">
        <f>(Escenarios!$F$16*AT553+0.1*BD553)/(Escenarios!$F$19)</f>
        <v>0</v>
      </c>
      <c r="BK553" s="76">
        <f>BK552+(0.1*BD553)/(Escenarios!$F$19)-BL552</f>
        <v>48.75</v>
      </c>
      <c r="BL553" s="76">
        <f>MAX(0,(BK553-Constantes!$D$13)*(1-EXP(-Constantes!$D$23)))</f>
        <v>0</v>
      </c>
      <c r="BM553" s="76">
        <f t="shared" si="124"/>
        <v>0.52194258327974097</v>
      </c>
      <c r="BN553" s="76">
        <f t="shared" si="125"/>
        <v>0.52194258327974097</v>
      </c>
      <c r="BO553" s="76">
        <f>0.0526*BI553*Observaciones!$F552^1.218</f>
        <v>0</v>
      </c>
      <c r="BP553" s="76">
        <f>BO553*Constantes!$F$51</f>
        <v>0</v>
      </c>
      <c r="BQ553" s="76">
        <f t="shared" si="126"/>
        <v>0</v>
      </c>
      <c r="BR553" s="40"/>
    </row>
    <row r="554" spans="2:70">
      <c r="B554" s="39"/>
      <c r="C554" s="75">
        <v>548</v>
      </c>
      <c r="D554" s="146">
        <f>ETo!$I553*((1-Constantes!$F$19)*ETo!$K553+ETo!$L553)</f>
        <v>2.6468135495888965</v>
      </c>
      <c r="E554" s="76">
        <f>MIN(D554*Constantes!$F$17,0.8*(N553+Observaciones!$F553-F554-M554-Constantes!$D$14))</f>
        <v>0</v>
      </c>
      <c r="F554" s="76">
        <f>IF(Observaciones!$F553&gt;0.05*Constantes!$F$18,((Observaciones!$F553-0.05*Constantes!$F$18)^2)/(Observaciones!$F553+0.95*Constantes!$F$18),0)</f>
        <v>0</v>
      </c>
      <c r="G554" s="76">
        <f>IF(Escenarios!$F$11&gt;0,(F554*Escenarios!$F$16*10000)/1000,0)</f>
        <v>0</v>
      </c>
      <c r="H554" s="76">
        <f>IF(Escenarios!$F$11&gt;0,(Observaciones!$F553*Constantes!$F$29)/1000,0)</f>
        <v>0</v>
      </c>
      <c r="I554" s="76">
        <f>IF(Escenarios!$F$11&gt;0,(D554*Constantes!$F$29)/1000,0)</f>
        <v>0</v>
      </c>
      <c r="J554" s="76">
        <f>IF(Escenarios!$F$11&gt;0,MAX(0,G554+H554-I554),0)</f>
        <v>0</v>
      </c>
      <c r="K554" s="76">
        <f>IF(Escenarios!$F$11&gt;0,IF(J554&gt;Constantes!$F$30,1000*((J554-Constantes!$F$30)/(Escenarios!$F$16*10000)),0),F554)</f>
        <v>0</v>
      </c>
      <c r="L554" s="76">
        <f>IF(Escenarios!$F$11&gt;0,I554*1000/Escenarios!$F$16/10000+E554,E554)</f>
        <v>0</v>
      </c>
      <c r="M554" s="76">
        <f>MAX(0,N553+Observaciones!$F553-K554-Constantes!$D$13)</f>
        <v>0</v>
      </c>
      <c r="N554" s="76">
        <f>N553+Observaciones!$F553-K554-L554-M554-O553</f>
        <v>11.25</v>
      </c>
      <c r="O554" s="76">
        <f>MAX(0,(N554-Constantes!$D$14)*(1-EXP(-Constantes!$D$22)))</f>
        <v>0</v>
      </c>
      <c r="P554" s="170">
        <f>P553+(Entradas!$F$83*M554-Q553)/(800*Entradas!$D$25)</f>
        <v>0</v>
      </c>
      <c r="Q554" s="170">
        <f>8000*Entradas!$D$26*P554/Constantes!$F$45</f>
        <v>0</v>
      </c>
      <c r="R554" s="170">
        <f>IF(Escenarios!$F$14&gt;0,K554*Escenarios!$F$13/Escenarios!$F$14,0)</f>
        <v>0</v>
      </c>
      <c r="S554" s="170">
        <f>IF(Escenarios!$F$14&gt;0,Q554*Escenarios!$F$13/Escenarios!$F$14,0)</f>
        <v>0</v>
      </c>
      <c r="T554" s="170">
        <f>IF(Escenarios!$F$14&gt;0,Observaciones!$I553,0)</f>
        <v>0</v>
      </c>
      <c r="U554" s="170">
        <f>IF(Escenarios!$F$14&gt;0,MAX(0,Constantes!$F$36/((Z553+R554+S554+T554+Observaciones!$F553)^2)+Entradas!$F$77),0)</f>
        <v>0</v>
      </c>
      <c r="V554" s="146">
        <f>IF(ETo!D553&gt;0,ETo!I553*((1-Entradas!$F$81)*ETo!K553+ETo!L553),0)</f>
        <v>2.3048911349799379</v>
      </c>
      <c r="W554" s="170">
        <f>IF(Escenarios!$F$14&gt;0,MIN(V554*1,0.8*(Z553+R554+S554+T554+Observaciones!$F553-U554-Constantes!$F$35)),0)</f>
        <v>0</v>
      </c>
      <c r="X554" s="170">
        <f>IF(Escenarios!$F$14&gt;0,Observaciones!$J553,0)</f>
        <v>0</v>
      </c>
      <c r="Y554" s="170">
        <f>IF(Escenarios!$F$14&gt;0,MAX(0,Z553+R554+S554+T554+Observaciones!$F553-U554-W554-X554-Constantes!$F$33),0)</f>
        <v>0</v>
      </c>
      <c r="Z554" s="170">
        <f>Z553+R554+S554+T554+Observaciones!$F553-U554-W554-Y554</f>
        <v>41.25</v>
      </c>
      <c r="AA554" s="170">
        <f>IF(Escenarios!$F$14&gt;0,(Escenarios!$F$13*L554+Escenarios!$F$14*W554)/(Escenarios!$F$16),L554)</f>
        <v>0</v>
      </c>
      <c r="AB554" s="170">
        <f>IF(Escenarios!$F$14&gt;0,(Escenarios!$F$14*Y554)/(Escenarios!$F$16),K554)</f>
        <v>0</v>
      </c>
      <c r="AC554" s="170">
        <f>IF(Escenarios!$F$14&gt;0,(Escenarios!$F$13*M554+Escenarios!$F$14*U554)/(Escenarios!$F$16),M554)</f>
        <v>0</v>
      </c>
      <c r="AD554" s="76">
        <f t="shared" si="113"/>
        <v>95.917937471802702</v>
      </c>
      <c r="AE554" s="76">
        <f>MAX(0,(AD554-Constantes!$D$13)*(1-EXP(-Constantes!$D$23)))</f>
        <v>0.46475692243709876</v>
      </c>
      <c r="AF554" s="76">
        <f>AB554+O554*Escenarios!$F$13/Escenarios!$F$16+AE554</f>
        <v>0.46475692243709876</v>
      </c>
      <c r="AG554" s="76">
        <f>IF(Entradas!$F$91&gt;0,IF(AF554-Escenarios!$F$38&lt;=0,0,IF(AF554-Escenarios!$F$38&gt;Escenarios!$F$37,Escenarios!$F$37,AF554-Escenarios!$F$38)),0)</f>
        <v>0</v>
      </c>
      <c r="AH554" s="76">
        <f>AG554*Entradas!$F$99</f>
        <v>0</v>
      </c>
      <c r="AI554" s="76">
        <f>IF(Entradas!$F$91&gt;0,D554*Entradas!$D$23/Escenarios!$F$16,0)</f>
        <v>0.12704705038026703</v>
      </c>
      <c r="AJ554" s="76">
        <f>IF(Entradas!$F$91&gt;0,Entradas!$D$24*Entradas!$D$22/Escenarios!$F$16,0)</f>
        <v>0.12</v>
      </c>
      <c r="AK554" s="76">
        <f t="shared" si="114"/>
        <v>0.12704705038026703</v>
      </c>
      <c r="AL554" s="76">
        <f t="shared" si="115"/>
        <v>0</v>
      </c>
      <c r="AM554" s="76">
        <f t="shared" si="116"/>
        <v>0</v>
      </c>
      <c r="AN554" s="76">
        <f>MAX(0,O554*Escenarios!$F$13/Escenarios!$F$16-AM554)</f>
        <v>0</v>
      </c>
      <c r="AO554" s="76">
        <f>AM554+AN554-O554*Escenarios!$F$13/Escenarios!$F$16</f>
        <v>0</v>
      </c>
      <c r="AP554" s="76">
        <f t="shared" si="117"/>
        <v>0.46475692243709876</v>
      </c>
      <c r="AQ554" s="76">
        <f t="shared" si="118"/>
        <v>0</v>
      </c>
      <c r="AR554" s="76">
        <f t="shared" si="119"/>
        <v>0.46475692243709876</v>
      </c>
      <c r="AS554" s="76">
        <f t="shared" si="120"/>
        <v>0</v>
      </c>
      <c r="AT554" s="76">
        <f t="shared" si="121"/>
        <v>0</v>
      </c>
      <c r="AU554" s="76">
        <f t="shared" si="122"/>
        <v>52.136096782090767</v>
      </c>
      <c r="AV554" s="76">
        <f>MAX(0,(AU554-Constantes!$D$13)*(1-EXP(-Constantes!$D$24)))</f>
        <v>5.1757325902184771E-2</v>
      </c>
      <c r="AW554" s="170">
        <f>AW553+(Entradas!$F$112*AT554-AX553)/(800*Entradas!$D$25)</f>
        <v>0</v>
      </c>
      <c r="AX554" s="170">
        <f>8000*Entradas!$D$26*AW554/Constantes!$F$45</f>
        <v>0</v>
      </c>
      <c r="AY554" s="170">
        <f>IF(Escenarios!$F$17&gt;0,10*Escenarios!$F$16*AL554,0)</f>
        <v>0</v>
      </c>
      <c r="AZ554" s="170">
        <f>IF(Escenarios!$F$17&gt;0,10*Escenarios!$F$16*AX554,0)</f>
        <v>0</v>
      </c>
      <c r="BA554" s="170">
        <f>IF(Escenarios!$F$17&gt;0,0.001*Observaciones!$F553*Escenarios!$F$17,0)</f>
        <v>0</v>
      </c>
      <c r="BB554" s="170">
        <f>IF(Escenarios!$F$17&gt;0,Observaciones!$K553,0)</f>
        <v>0</v>
      </c>
      <c r="BC554" s="170">
        <f>IF(Escenarios!$F$17&gt;0,MIN(0.0005*ETo!$M553*Escenarios!$F$17*(BG553/Constantes!$F$40)^(2/3),BG553+AY554+AZ554+BA554+BB554),0)</f>
        <v>0</v>
      </c>
      <c r="BD554" s="170">
        <f>IF(Escenarios!$F$17&gt;0,MIN(Constantes!$F$39*(BG553/Constantes!$F$40)^(2/3),BG553+AY554+AZ554+BA554+BB554-BC554),0)</f>
        <v>0</v>
      </c>
      <c r="BE554" s="170">
        <f>IF(Escenarios!$F$17&gt;0,MIN(Entradas!$F$113,BG553+AY554+AZ554+BA554+BB554-BC554-BD554),0)</f>
        <v>0</v>
      </c>
      <c r="BF554" s="170">
        <f>IF(Escenarios!$F$17&gt;0,MAX(0,BG553+AY554+AZ554+BA554+BB554-BC554-BD554-BE554-Constantes!$F$40),0)</f>
        <v>0</v>
      </c>
      <c r="BG554" s="170">
        <f t="shared" si="123"/>
        <v>0</v>
      </c>
      <c r="BH554" s="170">
        <f>(Escenarios!$F$16*AK554+0.1*BC554)/(Escenarios!$F$19)</f>
        <v>0.12704705038026703</v>
      </c>
      <c r="BI554" s="170">
        <f>IF(Escenarios!$F$17&gt;0,BF554/10/Escenarios!$F$19,AL554)</f>
        <v>0</v>
      </c>
      <c r="BJ554" s="170">
        <f>(Escenarios!$F$16*AT554+0.1*BD554)/(Escenarios!$F$19)</f>
        <v>0</v>
      </c>
      <c r="BK554" s="76">
        <f>BK553+(0.1*BD554)/(Escenarios!$F$19)-BL553</f>
        <v>48.75</v>
      </c>
      <c r="BL554" s="76">
        <f>MAX(0,(BK554-Constantes!$D$13)*(1-EXP(-Constantes!$D$23)))</f>
        <v>0</v>
      </c>
      <c r="BM554" s="76">
        <f t="shared" si="124"/>
        <v>0.5165142483392835</v>
      </c>
      <c r="BN554" s="76">
        <f t="shared" si="125"/>
        <v>0.5165142483392835</v>
      </c>
      <c r="BO554" s="76">
        <f>0.0526*BI554*Observaciones!$F553^1.218</f>
        <v>0</v>
      </c>
      <c r="BP554" s="76">
        <f>BO554*Constantes!$F$51</f>
        <v>0</v>
      </c>
      <c r="BQ554" s="76">
        <f t="shared" si="126"/>
        <v>0</v>
      </c>
      <c r="BR554" s="40"/>
    </row>
    <row r="555" spans="2:70">
      <c r="B555" s="39"/>
      <c r="C555" s="75">
        <v>549</v>
      </c>
      <c r="D555" s="146">
        <f>ETo!$I554*((1-Constantes!$F$19)*ETo!$K554+ETo!$L554)</f>
        <v>2.5970222528561084</v>
      </c>
      <c r="E555" s="76">
        <f>MIN(D555*Constantes!$F$17,0.8*(N554+Observaciones!$F554-F555-M555-Constantes!$D$14))</f>
        <v>0</v>
      </c>
      <c r="F555" s="76">
        <f>IF(Observaciones!$F554&gt;0.05*Constantes!$F$18,((Observaciones!$F554-0.05*Constantes!$F$18)^2)/(Observaciones!$F554+0.95*Constantes!$F$18),0)</f>
        <v>0</v>
      </c>
      <c r="G555" s="76">
        <f>IF(Escenarios!$F$11&gt;0,(F555*Escenarios!$F$16*10000)/1000,0)</f>
        <v>0</v>
      </c>
      <c r="H555" s="76">
        <f>IF(Escenarios!$F$11&gt;0,(Observaciones!$F554*Constantes!$F$29)/1000,0)</f>
        <v>0</v>
      </c>
      <c r="I555" s="76">
        <f>IF(Escenarios!$F$11&gt;0,(D555*Constantes!$F$29)/1000,0)</f>
        <v>0</v>
      </c>
      <c r="J555" s="76">
        <f>IF(Escenarios!$F$11&gt;0,MAX(0,G555+H555-I555),0)</f>
        <v>0</v>
      </c>
      <c r="K555" s="76">
        <f>IF(Escenarios!$F$11&gt;0,IF(J555&gt;Constantes!$F$30,1000*((J555-Constantes!$F$30)/(Escenarios!$F$16*10000)),0),F555)</f>
        <v>0</v>
      </c>
      <c r="L555" s="76">
        <f>IF(Escenarios!$F$11&gt;0,I555*1000/Escenarios!$F$16/10000+E555,E555)</f>
        <v>0</v>
      </c>
      <c r="M555" s="76">
        <f>MAX(0,N554+Observaciones!$F554-K555-Constantes!$D$13)</f>
        <v>0</v>
      </c>
      <c r="N555" s="76">
        <f>N554+Observaciones!$F554-K555-L555-M555-O554</f>
        <v>11.25</v>
      </c>
      <c r="O555" s="76">
        <f>MAX(0,(N555-Constantes!$D$14)*(1-EXP(-Constantes!$D$22)))</f>
        <v>0</v>
      </c>
      <c r="P555" s="170">
        <f>P554+(Entradas!$F$83*M555-Q554)/(800*Entradas!$D$25)</f>
        <v>0</v>
      </c>
      <c r="Q555" s="170">
        <f>8000*Entradas!$D$26*P555/Constantes!$F$45</f>
        <v>0</v>
      </c>
      <c r="R555" s="170">
        <f>IF(Escenarios!$F$14&gt;0,K555*Escenarios!$F$13/Escenarios!$F$14,0)</f>
        <v>0</v>
      </c>
      <c r="S555" s="170">
        <f>IF(Escenarios!$F$14&gt;0,Q555*Escenarios!$F$13/Escenarios!$F$14,0)</f>
        <v>0</v>
      </c>
      <c r="T555" s="170">
        <f>IF(Escenarios!$F$14&gt;0,Observaciones!$I554,0)</f>
        <v>0</v>
      </c>
      <c r="U555" s="170">
        <f>IF(Escenarios!$F$14&gt;0,MAX(0,Constantes!$F$36/((Z554+R555+S555+T555+Observaciones!$F554)^2)+Entradas!$F$77),0)</f>
        <v>0</v>
      </c>
      <c r="V555" s="146">
        <f>IF(ETo!D554&gt;0,ETo!I554*((1-Entradas!$F$81)*ETo!K554+ETo!L554),0)</f>
        <v>2.2611097156184563</v>
      </c>
      <c r="W555" s="170">
        <f>IF(Escenarios!$F$14&gt;0,MIN(V555*1,0.8*(Z554+R555+S555+T555+Observaciones!$F554-U555-Constantes!$F$35)),0)</f>
        <v>0</v>
      </c>
      <c r="X555" s="170">
        <f>IF(Escenarios!$F$14&gt;0,Observaciones!$J554,0)</f>
        <v>0</v>
      </c>
      <c r="Y555" s="170">
        <f>IF(Escenarios!$F$14&gt;0,MAX(0,Z554+R555+S555+T555+Observaciones!$F554-U555-W555-X555-Constantes!$F$33),0)</f>
        <v>0</v>
      </c>
      <c r="Z555" s="170">
        <f>Z554+R555+S555+T555+Observaciones!$F554-U555-W555-Y555</f>
        <v>41.25</v>
      </c>
      <c r="AA555" s="170">
        <f>IF(Escenarios!$F$14&gt;0,(Escenarios!$F$13*L555+Escenarios!$F$14*W555)/(Escenarios!$F$16),L555)</f>
        <v>0</v>
      </c>
      <c r="AB555" s="170">
        <f>IF(Escenarios!$F$14&gt;0,(Escenarios!$F$14*Y555)/(Escenarios!$F$16),K555)</f>
        <v>0</v>
      </c>
      <c r="AC555" s="170">
        <f>IF(Escenarios!$F$14&gt;0,(Escenarios!$F$13*M555+Escenarios!$F$14*U555)/(Escenarios!$F$16),M555)</f>
        <v>0</v>
      </c>
      <c r="AD555" s="76">
        <f t="shared" si="113"/>
        <v>95.453180549365598</v>
      </c>
      <c r="AE555" s="76">
        <f>MAX(0,(AD555-Constantes!$D$13)*(1-EXP(-Constantes!$D$23)))</f>
        <v>0.46017756178385139</v>
      </c>
      <c r="AF555" s="76">
        <f>AB555+O555*Escenarios!$F$13/Escenarios!$F$16+AE555</f>
        <v>0.46017756178385139</v>
      </c>
      <c r="AG555" s="76">
        <f>IF(Entradas!$F$91&gt;0,IF(AF555-Escenarios!$F$38&lt;=0,0,IF(AF555-Escenarios!$F$38&gt;Escenarios!$F$37,Escenarios!$F$37,AF555-Escenarios!$F$38)),0)</f>
        <v>0</v>
      </c>
      <c r="AH555" s="76">
        <f>AG555*Entradas!$F$99</f>
        <v>0</v>
      </c>
      <c r="AI555" s="76">
        <f>IF(Entradas!$F$91&gt;0,D555*Entradas!$D$23/Escenarios!$F$16,0)</f>
        <v>0.12465706813709321</v>
      </c>
      <c r="AJ555" s="76">
        <f>IF(Entradas!$F$91&gt;0,Entradas!$D$24*Entradas!$D$22/Escenarios!$F$16,0)</f>
        <v>0.12</v>
      </c>
      <c r="AK555" s="76">
        <f t="shared" si="114"/>
        <v>0.12465706813709321</v>
      </c>
      <c r="AL555" s="76">
        <f t="shared" si="115"/>
        <v>0</v>
      </c>
      <c r="AM555" s="76">
        <f t="shared" si="116"/>
        <v>0</v>
      </c>
      <c r="AN555" s="76">
        <f>MAX(0,O555*Escenarios!$F$13/Escenarios!$F$16-AM555)</f>
        <v>0</v>
      </c>
      <c r="AO555" s="76">
        <f>AM555+AN555-O555*Escenarios!$F$13/Escenarios!$F$16</f>
        <v>0</v>
      </c>
      <c r="AP555" s="76">
        <f t="shared" si="117"/>
        <v>0.46017756178385139</v>
      </c>
      <c r="AQ555" s="76">
        <f t="shared" si="118"/>
        <v>0</v>
      </c>
      <c r="AR555" s="76">
        <f t="shared" si="119"/>
        <v>0.46017756178385139</v>
      </c>
      <c r="AS555" s="76">
        <f t="shared" si="120"/>
        <v>0</v>
      </c>
      <c r="AT555" s="76">
        <f t="shared" si="121"/>
        <v>0</v>
      </c>
      <c r="AU555" s="76">
        <f t="shared" si="122"/>
        <v>52.08433945618858</v>
      </c>
      <c r="AV555" s="76">
        <f>MAX(0,(AU555-Constantes!$D$13)*(1-EXP(-Constantes!$D$24)))</f>
        <v>5.096620238831668E-2</v>
      </c>
      <c r="AW555" s="170">
        <f>AW554+(Entradas!$F$112*AT555-AX554)/(800*Entradas!$D$25)</f>
        <v>0</v>
      </c>
      <c r="AX555" s="170">
        <f>8000*Entradas!$D$26*AW555/Constantes!$F$45</f>
        <v>0</v>
      </c>
      <c r="AY555" s="170">
        <f>IF(Escenarios!$F$17&gt;0,10*Escenarios!$F$16*AL555,0)</f>
        <v>0</v>
      </c>
      <c r="AZ555" s="170">
        <f>IF(Escenarios!$F$17&gt;0,10*Escenarios!$F$16*AX555,0)</f>
        <v>0</v>
      </c>
      <c r="BA555" s="170">
        <f>IF(Escenarios!$F$17&gt;0,0.001*Observaciones!$F554*Escenarios!$F$17,0)</f>
        <v>0</v>
      </c>
      <c r="BB555" s="170">
        <f>IF(Escenarios!$F$17&gt;0,Observaciones!$K554,0)</f>
        <v>0</v>
      </c>
      <c r="BC555" s="170">
        <f>IF(Escenarios!$F$17&gt;0,MIN(0.0005*ETo!$M554*Escenarios!$F$17*(BG554/Constantes!$F$40)^(2/3),BG554+AY555+AZ555+BA555+BB555),0)</f>
        <v>0</v>
      </c>
      <c r="BD555" s="170">
        <f>IF(Escenarios!$F$17&gt;0,MIN(Constantes!$F$39*(BG554/Constantes!$F$40)^(2/3),BG554+AY555+AZ555+BA555+BB555-BC555),0)</f>
        <v>0</v>
      </c>
      <c r="BE555" s="170">
        <f>IF(Escenarios!$F$17&gt;0,MIN(Entradas!$F$113,BG554+AY555+AZ555+BA555+BB555-BC555-BD555),0)</f>
        <v>0</v>
      </c>
      <c r="BF555" s="170">
        <f>IF(Escenarios!$F$17&gt;0,MAX(0,BG554+AY555+AZ555+BA555+BB555-BC555-BD555-BE555-Constantes!$F$40),0)</f>
        <v>0</v>
      </c>
      <c r="BG555" s="170">
        <f t="shared" si="123"/>
        <v>0</v>
      </c>
      <c r="BH555" s="170">
        <f>(Escenarios!$F$16*AK555+0.1*BC555)/(Escenarios!$F$19)</f>
        <v>0.12465706813709321</v>
      </c>
      <c r="BI555" s="170">
        <f>IF(Escenarios!$F$17&gt;0,BF555/10/Escenarios!$F$19,AL555)</f>
        <v>0</v>
      </c>
      <c r="BJ555" s="170">
        <f>(Escenarios!$F$16*AT555+0.1*BD555)/(Escenarios!$F$19)</f>
        <v>0</v>
      </c>
      <c r="BK555" s="76">
        <f>BK554+(0.1*BD555)/(Escenarios!$F$19)-BL554</f>
        <v>48.75</v>
      </c>
      <c r="BL555" s="76">
        <f>MAX(0,(BK555-Constantes!$D$13)*(1-EXP(-Constantes!$D$23)))</f>
        <v>0</v>
      </c>
      <c r="BM555" s="76">
        <f t="shared" si="124"/>
        <v>0.51114376417216811</v>
      </c>
      <c r="BN555" s="76">
        <f t="shared" si="125"/>
        <v>0.51114376417216811</v>
      </c>
      <c r="BO555" s="76">
        <f>0.0526*BI555*Observaciones!$F554^1.218</f>
        <v>0</v>
      </c>
      <c r="BP555" s="76">
        <f>BO555*Constantes!$F$51</f>
        <v>0</v>
      </c>
      <c r="BQ555" s="76">
        <f t="shared" si="126"/>
        <v>0</v>
      </c>
      <c r="BR555" s="40"/>
    </row>
    <row r="556" spans="2:70">
      <c r="B556" s="39"/>
      <c r="C556" s="75">
        <v>550</v>
      </c>
      <c r="D556" s="146">
        <f>ETo!$I555*((1-Constantes!$F$19)*ETo!$K555+ETo!$L555)</f>
        <v>2.7030316107690062</v>
      </c>
      <c r="E556" s="76">
        <f>MIN(D556*Constantes!$F$17,0.8*(N555+Observaciones!$F555-F556-M556-Constantes!$D$14))</f>
        <v>0</v>
      </c>
      <c r="F556" s="76">
        <f>IF(Observaciones!$F555&gt;0.05*Constantes!$F$18,((Observaciones!$F555-0.05*Constantes!$F$18)^2)/(Observaciones!$F555+0.95*Constantes!$F$18),0)</f>
        <v>0</v>
      </c>
      <c r="G556" s="76">
        <f>IF(Escenarios!$F$11&gt;0,(F556*Escenarios!$F$16*10000)/1000,0)</f>
        <v>0</v>
      </c>
      <c r="H556" s="76">
        <f>IF(Escenarios!$F$11&gt;0,(Observaciones!$F555*Constantes!$F$29)/1000,0)</f>
        <v>0</v>
      </c>
      <c r="I556" s="76">
        <f>IF(Escenarios!$F$11&gt;0,(D556*Constantes!$F$29)/1000,0)</f>
        <v>0</v>
      </c>
      <c r="J556" s="76">
        <f>IF(Escenarios!$F$11&gt;0,MAX(0,G556+H556-I556),0)</f>
        <v>0</v>
      </c>
      <c r="K556" s="76">
        <f>IF(Escenarios!$F$11&gt;0,IF(J556&gt;Constantes!$F$30,1000*((J556-Constantes!$F$30)/(Escenarios!$F$16*10000)),0),F556)</f>
        <v>0</v>
      </c>
      <c r="L556" s="76">
        <f>IF(Escenarios!$F$11&gt;0,I556*1000/Escenarios!$F$16/10000+E556,E556)</f>
        <v>0</v>
      </c>
      <c r="M556" s="76">
        <f>MAX(0,N555+Observaciones!$F555-K556-Constantes!$D$13)</f>
        <v>0</v>
      </c>
      <c r="N556" s="76">
        <f>N555+Observaciones!$F555-K556-L556-M556-O555</f>
        <v>11.25</v>
      </c>
      <c r="O556" s="76">
        <f>MAX(0,(N556-Constantes!$D$14)*(1-EXP(-Constantes!$D$22)))</f>
        <v>0</v>
      </c>
      <c r="P556" s="170">
        <f>P555+(Entradas!$F$83*M556-Q555)/(800*Entradas!$D$25)</f>
        <v>0</v>
      </c>
      <c r="Q556" s="170">
        <f>8000*Entradas!$D$26*P556/Constantes!$F$45</f>
        <v>0</v>
      </c>
      <c r="R556" s="170">
        <f>IF(Escenarios!$F$14&gt;0,K556*Escenarios!$F$13/Escenarios!$F$14,0)</f>
        <v>0</v>
      </c>
      <c r="S556" s="170">
        <f>IF(Escenarios!$F$14&gt;0,Q556*Escenarios!$F$13/Escenarios!$F$14,0)</f>
        <v>0</v>
      </c>
      <c r="T556" s="170">
        <f>IF(Escenarios!$F$14&gt;0,Observaciones!$I555,0)</f>
        <v>0</v>
      </c>
      <c r="U556" s="170">
        <f>IF(Escenarios!$F$14&gt;0,MAX(0,Constantes!$F$36/((Z555+R556+S556+T556+Observaciones!$F555)^2)+Entradas!$F$77),0)</f>
        <v>0</v>
      </c>
      <c r="V556" s="146">
        <f>IF(ETo!D555&gt;0,ETo!I555*((1-Entradas!$F$81)*ETo!K555+ETo!L555),0)</f>
        <v>2.3550131566270633</v>
      </c>
      <c r="W556" s="170">
        <f>IF(Escenarios!$F$14&gt;0,MIN(V556*1,0.8*(Z555+R556+S556+T556+Observaciones!$F555-U556-Constantes!$F$35)),0)</f>
        <v>0</v>
      </c>
      <c r="X556" s="170">
        <f>IF(Escenarios!$F$14&gt;0,Observaciones!$J555,0)</f>
        <v>0</v>
      </c>
      <c r="Y556" s="170">
        <f>IF(Escenarios!$F$14&gt;0,MAX(0,Z555+R556+S556+T556+Observaciones!$F555-U556-W556-X556-Constantes!$F$33),0)</f>
        <v>0</v>
      </c>
      <c r="Z556" s="170">
        <f>Z555+R556+S556+T556+Observaciones!$F555-U556-W556-Y556</f>
        <v>41.25</v>
      </c>
      <c r="AA556" s="170">
        <f>IF(Escenarios!$F$14&gt;0,(Escenarios!$F$13*L556+Escenarios!$F$14*W556)/(Escenarios!$F$16),L556)</f>
        <v>0</v>
      </c>
      <c r="AB556" s="170">
        <f>IF(Escenarios!$F$14&gt;0,(Escenarios!$F$14*Y556)/(Escenarios!$F$16),K556)</f>
        <v>0</v>
      </c>
      <c r="AC556" s="170">
        <f>IF(Escenarios!$F$14&gt;0,(Escenarios!$F$13*M556+Escenarios!$F$14*U556)/(Escenarios!$F$16),M556)</f>
        <v>0</v>
      </c>
      <c r="AD556" s="76">
        <f t="shared" si="113"/>
        <v>94.993002987581747</v>
      </c>
      <c r="AE556" s="76">
        <f>MAX(0,(AD556-Constantes!$D$13)*(1-EXP(-Constantes!$D$23)))</f>
        <v>0.45564332266183921</v>
      </c>
      <c r="AF556" s="76">
        <f>AB556+O556*Escenarios!$F$13/Escenarios!$F$16+AE556</f>
        <v>0.45564332266183921</v>
      </c>
      <c r="AG556" s="76">
        <f>IF(Entradas!$F$91&gt;0,IF(AF556-Escenarios!$F$38&lt;=0,0,IF(AF556-Escenarios!$F$38&gt;Escenarios!$F$37,Escenarios!$F$37,AF556-Escenarios!$F$38)),0)</f>
        <v>0</v>
      </c>
      <c r="AH556" s="76">
        <f>AG556*Entradas!$F$99</f>
        <v>0</v>
      </c>
      <c r="AI556" s="76">
        <f>IF(Entradas!$F$91&gt;0,D556*Entradas!$D$23/Escenarios!$F$16,0)</f>
        <v>0.12974551731691231</v>
      </c>
      <c r="AJ556" s="76">
        <f>IF(Entradas!$F$91&gt;0,Entradas!$D$24*Entradas!$D$22/Escenarios!$F$16,0)</f>
        <v>0.12</v>
      </c>
      <c r="AK556" s="76">
        <f t="shared" si="114"/>
        <v>0.12974551731691231</v>
      </c>
      <c r="AL556" s="76">
        <f t="shared" si="115"/>
        <v>0</v>
      </c>
      <c r="AM556" s="76">
        <f t="shared" si="116"/>
        <v>0</v>
      </c>
      <c r="AN556" s="76">
        <f>MAX(0,O556*Escenarios!$F$13/Escenarios!$F$16-AM556)</f>
        <v>0</v>
      </c>
      <c r="AO556" s="76">
        <f>AM556+AN556-O556*Escenarios!$F$13/Escenarios!$F$16</f>
        <v>0</v>
      </c>
      <c r="AP556" s="76">
        <f t="shared" si="117"/>
        <v>0.45564332266183921</v>
      </c>
      <c r="AQ556" s="76">
        <f t="shared" si="118"/>
        <v>0</v>
      </c>
      <c r="AR556" s="76">
        <f t="shared" si="119"/>
        <v>0.45564332266183921</v>
      </c>
      <c r="AS556" s="76">
        <f t="shared" si="120"/>
        <v>0</v>
      </c>
      <c r="AT556" s="76">
        <f t="shared" si="121"/>
        <v>0</v>
      </c>
      <c r="AU556" s="76">
        <f t="shared" si="122"/>
        <v>52.033373253800264</v>
      </c>
      <c r="AV556" s="76">
        <f>MAX(0,(AU556-Constantes!$D$13)*(1-EXP(-Constantes!$D$24)))</f>
        <v>5.0187171392817476E-2</v>
      </c>
      <c r="AW556" s="170">
        <f>AW555+(Entradas!$F$112*AT556-AX555)/(800*Entradas!$D$25)</f>
        <v>0</v>
      </c>
      <c r="AX556" s="170">
        <f>8000*Entradas!$D$26*AW556/Constantes!$F$45</f>
        <v>0</v>
      </c>
      <c r="AY556" s="170">
        <f>IF(Escenarios!$F$17&gt;0,10*Escenarios!$F$16*AL556,0)</f>
        <v>0</v>
      </c>
      <c r="AZ556" s="170">
        <f>IF(Escenarios!$F$17&gt;0,10*Escenarios!$F$16*AX556,0)</f>
        <v>0</v>
      </c>
      <c r="BA556" s="170">
        <f>IF(Escenarios!$F$17&gt;0,0.001*Observaciones!$F555*Escenarios!$F$17,0)</f>
        <v>0</v>
      </c>
      <c r="BB556" s="170">
        <f>IF(Escenarios!$F$17&gt;0,Observaciones!$K555,0)</f>
        <v>0</v>
      </c>
      <c r="BC556" s="170">
        <f>IF(Escenarios!$F$17&gt;0,MIN(0.0005*ETo!$M555*Escenarios!$F$17*(BG555/Constantes!$F$40)^(2/3),BG555+AY556+AZ556+BA556+BB556),0)</f>
        <v>0</v>
      </c>
      <c r="BD556" s="170">
        <f>IF(Escenarios!$F$17&gt;0,MIN(Constantes!$F$39*(BG555/Constantes!$F$40)^(2/3),BG555+AY556+AZ556+BA556+BB556-BC556),0)</f>
        <v>0</v>
      </c>
      <c r="BE556" s="170">
        <f>IF(Escenarios!$F$17&gt;0,MIN(Entradas!$F$113,BG555+AY556+AZ556+BA556+BB556-BC556-BD556),0)</f>
        <v>0</v>
      </c>
      <c r="BF556" s="170">
        <f>IF(Escenarios!$F$17&gt;0,MAX(0,BG555+AY556+AZ556+BA556+BB556-BC556-BD556-BE556-Constantes!$F$40),0)</f>
        <v>0</v>
      </c>
      <c r="BG556" s="170">
        <f t="shared" si="123"/>
        <v>0</v>
      </c>
      <c r="BH556" s="170">
        <f>(Escenarios!$F$16*AK556+0.1*BC556)/(Escenarios!$F$19)</f>
        <v>0.12974551731691231</v>
      </c>
      <c r="BI556" s="170">
        <f>IF(Escenarios!$F$17&gt;0,BF556/10/Escenarios!$F$19,AL556)</f>
        <v>0</v>
      </c>
      <c r="BJ556" s="170">
        <f>(Escenarios!$F$16*AT556+0.1*BD556)/(Escenarios!$F$19)</f>
        <v>0</v>
      </c>
      <c r="BK556" s="76">
        <f>BK555+(0.1*BD556)/(Escenarios!$F$19)-BL555</f>
        <v>48.75</v>
      </c>
      <c r="BL556" s="76">
        <f>MAX(0,(BK556-Constantes!$D$13)*(1-EXP(-Constantes!$D$23)))</f>
        <v>0</v>
      </c>
      <c r="BM556" s="76">
        <f t="shared" si="124"/>
        <v>0.50583049405465674</v>
      </c>
      <c r="BN556" s="76">
        <f t="shared" si="125"/>
        <v>0.50583049405465674</v>
      </c>
      <c r="BO556" s="76">
        <f>0.0526*BI556*Observaciones!$F555^1.218</f>
        <v>0</v>
      </c>
      <c r="BP556" s="76">
        <f>BO556*Constantes!$F$51</f>
        <v>0</v>
      </c>
      <c r="BQ556" s="76">
        <f t="shared" si="126"/>
        <v>0</v>
      </c>
      <c r="BR556" s="40"/>
    </row>
    <row r="557" spans="2:70">
      <c r="B557" s="39"/>
      <c r="C557" s="75">
        <v>551</v>
      </c>
      <c r="D557" s="146">
        <f>ETo!$I556*((1-Constantes!$F$19)*ETo!$K556+ETo!$L556)</f>
        <v>2.6966155207095732</v>
      </c>
      <c r="E557" s="76">
        <f>MIN(D557*Constantes!$F$17,0.8*(N556+Observaciones!$F556-F557-M557-Constantes!$D$14))</f>
        <v>0</v>
      </c>
      <c r="F557" s="76">
        <f>IF(Observaciones!$F556&gt;0.05*Constantes!$F$18,((Observaciones!$F556-0.05*Constantes!$F$18)^2)/(Observaciones!$F556+0.95*Constantes!$F$18),0)</f>
        <v>0</v>
      </c>
      <c r="G557" s="76">
        <f>IF(Escenarios!$F$11&gt;0,(F557*Escenarios!$F$16*10000)/1000,0)</f>
        <v>0</v>
      </c>
      <c r="H557" s="76">
        <f>IF(Escenarios!$F$11&gt;0,(Observaciones!$F556*Constantes!$F$29)/1000,0)</f>
        <v>0</v>
      </c>
      <c r="I557" s="76">
        <f>IF(Escenarios!$F$11&gt;0,(D557*Constantes!$F$29)/1000,0)</f>
        <v>0</v>
      </c>
      <c r="J557" s="76">
        <f>IF(Escenarios!$F$11&gt;0,MAX(0,G557+H557-I557),0)</f>
        <v>0</v>
      </c>
      <c r="K557" s="76">
        <f>IF(Escenarios!$F$11&gt;0,IF(J557&gt;Constantes!$F$30,1000*((J557-Constantes!$F$30)/(Escenarios!$F$16*10000)),0),F557)</f>
        <v>0</v>
      </c>
      <c r="L557" s="76">
        <f>IF(Escenarios!$F$11&gt;0,I557*1000/Escenarios!$F$16/10000+E557,E557)</f>
        <v>0</v>
      </c>
      <c r="M557" s="76">
        <f>MAX(0,N556+Observaciones!$F556-K557-Constantes!$D$13)</f>
        <v>0</v>
      </c>
      <c r="N557" s="76">
        <f>N556+Observaciones!$F556-K557-L557-M557-O556</f>
        <v>11.25</v>
      </c>
      <c r="O557" s="76">
        <f>MAX(0,(N557-Constantes!$D$14)*(1-EXP(-Constantes!$D$22)))</f>
        <v>0</v>
      </c>
      <c r="P557" s="170">
        <f>P556+(Entradas!$F$83*M557-Q556)/(800*Entradas!$D$25)</f>
        <v>0</v>
      </c>
      <c r="Q557" s="170">
        <f>8000*Entradas!$D$26*P557/Constantes!$F$45</f>
        <v>0</v>
      </c>
      <c r="R557" s="170">
        <f>IF(Escenarios!$F$14&gt;0,K557*Escenarios!$F$13/Escenarios!$F$14,0)</f>
        <v>0</v>
      </c>
      <c r="S557" s="170">
        <f>IF(Escenarios!$F$14&gt;0,Q557*Escenarios!$F$13/Escenarios!$F$14,0)</f>
        <v>0</v>
      </c>
      <c r="T557" s="170">
        <f>IF(Escenarios!$F$14&gt;0,Observaciones!$I556,0)</f>
        <v>0</v>
      </c>
      <c r="U557" s="170">
        <f>IF(Escenarios!$F$14&gt;0,MAX(0,Constantes!$F$36/((Z556+R557+S557+T557+Observaciones!$F556)^2)+Entradas!$F$77),0)</f>
        <v>0</v>
      </c>
      <c r="V557" s="146">
        <f>IF(ETo!D556&gt;0,ETo!I556*((1-Entradas!$F$81)*ETo!K556+ETo!L556),0)</f>
        <v>2.3495009235163056</v>
      </c>
      <c r="W557" s="170">
        <f>IF(Escenarios!$F$14&gt;0,MIN(V557*1,0.8*(Z556+R557+S557+T557+Observaciones!$F556-U557-Constantes!$F$35)),0)</f>
        <v>0</v>
      </c>
      <c r="X557" s="170">
        <f>IF(Escenarios!$F$14&gt;0,Observaciones!$J556,0)</f>
        <v>0</v>
      </c>
      <c r="Y557" s="170">
        <f>IF(Escenarios!$F$14&gt;0,MAX(0,Z556+R557+S557+T557+Observaciones!$F556-U557-W557-X557-Constantes!$F$33),0)</f>
        <v>0</v>
      </c>
      <c r="Z557" s="170">
        <f>Z556+R557+S557+T557+Observaciones!$F556-U557-W557-Y557</f>
        <v>41.25</v>
      </c>
      <c r="AA557" s="170">
        <f>IF(Escenarios!$F$14&gt;0,(Escenarios!$F$13*L557+Escenarios!$F$14*W557)/(Escenarios!$F$16),L557)</f>
        <v>0</v>
      </c>
      <c r="AB557" s="170">
        <f>IF(Escenarios!$F$14&gt;0,(Escenarios!$F$14*Y557)/(Escenarios!$F$16),K557)</f>
        <v>0</v>
      </c>
      <c r="AC557" s="170">
        <f>IF(Escenarios!$F$14&gt;0,(Escenarios!$F$13*M557+Escenarios!$F$14*U557)/(Escenarios!$F$16),M557)</f>
        <v>0</v>
      </c>
      <c r="AD557" s="76">
        <f t="shared" si="113"/>
        <v>94.537359664919904</v>
      </c>
      <c r="AE557" s="76">
        <f>MAX(0,(AD557-Constantes!$D$13)*(1-EXP(-Constantes!$D$23)))</f>
        <v>0.45115376047786787</v>
      </c>
      <c r="AF557" s="76">
        <f>AB557+O557*Escenarios!$F$13/Escenarios!$F$16+AE557</f>
        <v>0.45115376047786787</v>
      </c>
      <c r="AG557" s="76">
        <f>IF(Entradas!$F$91&gt;0,IF(AF557-Escenarios!$F$38&lt;=0,0,IF(AF557-Escenarios!$F$38&gt;Escenarios!$F$37,Escenarios!$F$37,AF557-Escenarios!$F$38)),0)</f>
        <v>0</v>
      </c>
      <c r="AH557" s="76">
        <f>AG557*Entradas!$F$99</f>
        <v>0</v>
      </c>
      <c r="AI557" s="76">
        <f>IF(Entradas!$F$91&gt;0,D557*Entradas!$D$23/Escenarios!$F$16,0)</f>
        <v>0.12943754499405952</v>
      </c>
      <c r="AJ557" s="76">
        <f>IF(Entradas!$F$91&gt;0,Entradas!$D$24*Entradas!$D$22/Escenarios!$F$16,0)</f>
        <v>0.12</v>
      </c>
      <c r="AK557" s="76">
        <f t="shared" si="114"/>
        <v>0.12943754499405952</v>
      </c>
      <c r="AL557" s="76">
        <f t="shared" si="115"/>
        <v>0</v>
      </c>
      <c r="AM557" s="76">
        <f t="shared" si="116"/>
        <v>0</v>
      </c>
      <c r="AN557" s="76">
        <f>MAX(0,O557*Escenarios!$F$13/Escenarios!$F$16-AM557)</f>
        <v>0</v>
      </c>
      <c r="AO557" s="76">
        <f>AM557+AN557-O557*Escenarios!$F$13/Escenarios!$F$16</f>
        <v>0</v>
      </c>
      <c r="AP557" s="76">
        <f t="shared" si="117"/>
        <v>0.45115376047786787</v>
      </c>
      <c r="AQ557" s="76">
        <f t="shared" si="118"/>
        <v>0</v>
      </c>
      <c r="AR557" s="76">
        <f t="shared" si="119"/>
        <v>0.45115376047786787</v>
      </c>
      <c r="AS557" s="76">
        <f t="shared" si="120"/>
        <v>0</v>
      </c>
      <c r="AT557" s="76">
        <f t="shared" si="121"/>
        <v>0</v>
      </c>
      <c r="AU557" s="76">
        <f t="shared" si="122"/>
        <v>51.983186082407443</v>
      </c>
      <c r="AV557" s="76">
        <f>MAX(0,(AU557-Constantes!$D$13)*(1-EXP(-Constantes!$D$24)))</f>
        <v>4.9420048078556163E-2</v>
      </c>
      <c r="AW557" s="170">
        <f>AW556+(Entradas!$F$112*AT557-AX556)/(800*Entradas!$D$25)</f>
        <v>0</v>
      </c>
      <c r="AX557" s="170">
        <f>8000*Entradas!$D$26*AW557/Constantes!$F$45</f>
        <v>0</v>
      </c>
      <c r="AY557" s="170">
        <f>IF(Escenarios!$F$17&gt;0,10*Escenarios!$F$16*AL557,0)</f>
        <v>0</v>
      </c>
      <c r="AZ557" s="170">
        <f>IF(Escenarios!$F$17&gt;0,10*Escenarios!$F$16*AX557,0)</f>
        <v>0</v>
      </c>
      <c r="BA557" s="170">
        <f>IF(Escenarios!$F$17&gt;0,0.001*Observaciones!$F556*Escenarios!$F$17,0)</f>
        <v>0</v>
      </c>
      <c r="BB557" s="170">
        <f>IF(Escenarios!$F$17&gt;0,Observaciones!$K556,0)</f>
        <v>0</v>
      </c>
      <c r="BC557" s="170">
        <f>IF(Escenarios!$F$17&gt;0,MIN(0.0005*ETo!$M556*Escenarios!$F$17*(BG556/Constantes!$F$40)^(2/3),BG556+AY557+AZ557+BA557+BB557),0)</f>
        <v>0</v>
      </c>
      <c r="BD557" s="170">
        <f>IF(Escenarios!$F$17&gt;0,MIN(Constantes!$F$39*(BG556/Constantes!$F$40)^(2/3),BG556+AY557+AZ557+BA557+BB557-BC557),0)</f>
        <v>0</v>
      </c>
      <c r="BE557" s="170">
        <f>IF(Escenarios!$F$17&gt;0,MIN(Entradas!$F$113,BG556+AY557+AZ557+BA557+BB557-BC557-BD557),0)</f>
        <v>0</v>
      </c>
      <c r="BF557" s="170">
        <f>IF(Escenarios!$F$17&gt;0,MAX(0,BG556+AY557+AZ557+BA557+BB557-BC557-BD557-BE557-Constantes!$F$40),0)</f>
        <v>0</v>
      </c>
      <c r="BG557" s="170">
        <f t="shared" si="123"/>
        <v>0</v>
      </c>
      <c r="BH557" s="170">
        <f>(Escenarios!$F$16*AK557+0.1*BC557)/(Escenarios!$F$19)</f>
        <v>0.12943754499405952</v>
      </c>
      <c r="BI557" s="170">
        <f>IF(Escenarios!$F$17&gt;0,BF557/10/Escenarios!$F$19,AL557)</f>
        <v>0</v>
      </c>
      <c r="BJ557" s="170">
        <f>(Escenarios!$F$16*AT557+0.1*BD557)/(Escenarios!$F$19)</f>
        <v>0</v>
      </c>
      <c r="BK557" s="76">
        <f>BK556+(0.1*BD557)/(Escenarios!$F$19)-BL556</f>
        <v>48.75</v>
      </c>
      <c r="BL557" s="76">
        <f>MAX(0,(BK557-Constantes!$D$13)*(1-EXP(-Constantes!$D$23)))</f>
        <v>0</v>
      </c>
      <c r="BM557" s="76">
        <f t="shared" si="124"/>
        <v>0.50057380855642408</v>
      </c>
      <c r="BN557" s="76">
        <f t="shared" si="125"/>
        <v>0.50057380855642408</v>
      </c>
      <c r="BO557" s="76">
        <f>0.0526*BI557*Observaciones!$F556^1.218</f>
        <v>0</v>
      </c>
      <c r="BP557" s="76">
        <f>BO557*Constantes!$F$51</f>
        <v>0</v>
      </c>
      <c r="BQ557" s="76">
        <f t="shared" si="126"/>
        <v>0</v>
      </c>
      <c r="BR557" s="40"/>
    </row>
    <row r="558" spans="2:70">
      <c r="B558" s="39"/>
      <c r="C558" s="75">
        <v>552</v>
      </c>
      <c r="D558" s="146">
        <f>ETo!$I557*((1-Constantes!$F$19)*ETo!$K557+ETo!$L557)</f>
        <v>2.7183792371829161</v>
      </c>
      <c r="E558" s="76">
        <f>MIN(D558*Constantes!$F$17,0.8*(N557+Observaciones!$F557-F558-M558-Constantes!$D$14))</f>
        <v>0</v>
      </c>
      <c r="F558" s="76">
        <f>IF(Observaciones!$F557&gt;0.05*Constantes!$F$18,((Observaciones!$F557-0.05*Constantes!$F$18)^2)/(Observaciones!$F557+0.95*Constantes!$F$18),0)</f>
        <v>0</v>
      </c>
      <c r="G558" s="76">
        <f>IF(Escenarios!$F$11&gt;0,(F558*Escenarios!$F$16*10000)/1000,0)</f>
        <v>0</v>
      </c>
      <c r="H558" s="76">
        <f>IF(Escenarios!$F$11&gt;0,(Observaciones!$F557*Constantes!$F$29)/1000,0)</f>
        <v>0</v>
      </c>
      <c r="I558" s="76">
        <f>IF(Escenarios!$F$11&gt;0,(D558*Constantes!$F$29)/1000,0)</f>
        <v>0</v>
      </c>
      <c r="J558" s="76">
        <f>IF(Escenarios!$F$11&gt;0,MAX(0,G558+H558-I558),0)</f>
        <v>0</v>
      </c>
      <c r="K558" s="76">
        <f>IF(Escenarios!$F$11&gt;0,IF(J558&gt;Constantes!$F$30,1000*((J558-Constantes!$F$30)/(Escenarios!$F$16*10000)),0),F558)</f>
        <v>0</v>
      </c>
      <c r="L558" s="76">
        <f>IF(Escenarios!$F$11&gt;0,I558*1000/Escenarios!$F$16/10000+E558,E558)</f>
        <v>0</v>
      </c>
      <c r="M558" s="76">
        <f>MAX(0,N557+Observaciones!$F557-K558-Constantes!$D$13)</f>
        <v>0</v>
      </c>
      <c r="N558" s="76">
        <f>N557+Observaciones!$F557-K558-L558-M558-O557</f>
        <v>11.25</v>
      </c>
      <c r="O558" s="76">
        <f>MAX(0,(N558-Constantes!$D$14)*(1-EXP(-Constantes!$D$22)))</f>
        <v>0</v>
      </c>
      <c r="P558" s="170">
        <f>P557+(Entradas!$F$83*M558-Q557)/(800*Entradas!$D$25)</f>
        <v>0</v>
      </c>
      <c r="Q558" s="170">
        <f>8000*Entradas!$D$26*P558/Constantes!$F$45</f>
        <v>0</v>
      </c>
      <c r="R558" s="170">
        <f>IF(Escenarios!$F$14&gt;0,K558*Escenarios!$F$13/Escenarios!$F$14,0)</f>
        <v>0</v>
      </c>
      <c r="S558" s="170">
        <f>IF(Escenarios!$F$14&gt;0,Q558*Escenarios!$F$13/Escenarios!$F$14,0)</f>
        <v>0</v>
      </c>
      <c r="T558" s="170">
        <f>IF(Escenarios!$F$14&gt;0,Observaciones!$I557,0)</f>
        <v>0</v>
      </c>
      <c r="U558" s="170">
        <f>IF(Escenarios!$F$14&gt;0,MAX(0,Constantes!$F$36/((Z557+R558+S558+T558+Observaciones!$F557)^2)+Entradas!$F$77),0)</f>
        <v>0</v>
      </c>
      <c r="V558" s="146">
        <f>IF(ETo!D557&gt;0,ETo!I557*((1-Entradas!$F$81)*ETo!K557+ETo!L557),0)</f>
        <v>2.3689984996913345</v>
      </c>
      <c r="W558" s="170">
        <f>IF(Escenarios!$F$14&gt;0,MIN(V558*1,0.8*(Z557+R558+S558+T558+Observaciones!$F557-U558-Constantes!$F$35)),0)</f>
        <v>0</v>
      </c>
      <c r="X558" s="170">
        <f>IF(Escenarios!$F$14&gt;0,Observaciones!$J557,0)</f>
        <v>0</v>
      </c>
      <c r="Y558" s="170">
        <f>IF(Escenarios!$F$14&gt;0,MAX(0,Z557+R558+S558+T558+Observaciones!$F557-U558-W558-X558-Constantes!$F$33),0)</f>
        <v>0</v>
      </c>
      <c r="Z558" s="170">
        <f>Z557+R558+S558+T558+Observaciones!$F557-U558-W558-Y558</f>
        <v>41.25</v>
      </c>
      <c r="AA558" s="170">
        <f>IF(Escenarios!$F$14&gt;0,(Escenarios!$F$13*L558+Escenarios!$F$14*W558)/(Escenarios!$F$16),L558)</f>
        <v>0</v>
      </c>
      <c r="AB558" s="170">
        <f>IF(Escenarios!$F$14&gt;0,(Escenarios!$F$14*Y558)/(Escenarios!$F$16),K558)</f>
        <v>0</v>
      </c>
      <c r="AC558" s="170">
        <f>IF(Escenarios!$F$14&gt;0,(Escenarios!$F$13*M558+Escenarios!$F$14*U558)/(Escenarios!$F$16),M558)</f>
        <v>0</v>
      </c>
      <c r="AD558" s="76">
        <f t="shared" si="113"/>
        <v>94.086205904442039</v>
      </c>
      <c r="AE558" s="76">
        <f>MAX(0,(AD558-Constantes!$D$13)*(1-EXP(-Constantes!$D$23)))</f>
        <v>0.44670843501942559</v>
      </c>
      <c r="AF558" s="76">
        <f>AB558+O558*Escenarios!$F$13/Escenarios!$F$16+AE558</f>
        <v>0.44670843501942559</v>
      </c>
      <c r="AG558" s="76">
        <f>IF(Entradas!$F$91&gt;0,IF(AF558-Escenarios!$F$38&lt;=0,0,IF(AF558-Escenarios!$F$38&gt;Escenarios!$F$37,Escenarios!$F$37,AF558-Escenarios!$F$38)),0)</f>
        <v>0</v>
      </c>
      <c r="AH558" s="76">
        <f>AG558*Entradas!$F$99</f>
        <v>0</v>
      </c>
      <c r="AI558" s="76">
        <f>IF(Entradas!$F$91&gt;0,D558*Entradas!$D$23/Escenarios!$F$16,0)</f>
        <v>0.13048220338477998</v>
      </c>
      <c r="AJ558" s="76">
        <f>IF(Entradas!$F$91&gt;0,Entradas!$D$24*Entradas!$D$22/Escenarios!$F$16,0)</f>
        <v>0.12</v>
      </c>
      <c r="AK558" s="76">
        <f t="shared" si="114"/>
        <v>0.13048220338477998</v>
      </c>
      <c r="AL558" s="76">
        <f t="shared" si="115"/>
        <v>0</v>
      </c>
      <c r="AM558" s="76">
        <f t="shared" si="116"/>
        <v>0</v>
      </c>
      <c r="AN558" s="76">
        <f>MAX(0,O558*Escenarios!$F$13/Escenarios!$F$16-AM558)</f>
        <v>0</v>
      </c>
      <c r="AO558" s="76">
        <f>AM558+AN558-O558*Escenarios!$F$13/Escenarios!$F$16</f>
        <v>0</v>
      </c>
      <c r="AP558" s="76">
        <f t="shared" si="117"/>
        <v>0.44670843501942559</v>
      </c>
      <c r="AQ558" s="76">
        <f t="shared" si="118"/>
        <v>0</v>
      </c>
      <c r="AR558" s="76">
        <f t="shared" si="119"/>
        <v>0.44670843501942559</v>
      </c>
      <c r="AS558" s="76">
        <f t="shared" si="120"/>
        <v>0</v>
      </c>
      <c r="AT558" s="76">
        <f t="shared" si="121"/>
        <v>0</v>
      </c>
      <c r="AU558" s="76">
        <f t="shared" si="122"/>
        <v>51.933766034328883</v>
      </c>
      <c r="AV558" s="76">
        <f>MAX(0,(AU558-Constantes!$D$13)*(1-EXP(-Constantes!$D$24)))</f>
        <v>4.8664650433683093E-2</v>
      </c>
      <c r="AW558" s="170">
        <f>AW557+(Entradas!$F$112*AT558-AX557)/(800*Entradas!$D$25)</f>
        <v>0</v>
      </c>
      <c r="AX558" s="170">
        <f>8000*Entradas!$D$26*AW558/Constantes!$F$45</f>
        <v>0</v>
      </c>
      <c r="AY558" s="170">
        <f>IF(Escenarios!$F$17&gt;0,10*Escenarios!$F$16*AL558,0)</f>
        <v>0</v>
      </c>
      <c r="AZ558" s="170">
        <f>IF(Escenarios!$F$17&gt;0,10*Escenarios!$F$16*AX558,0)</f>
        <v>0</v>
      </c>
      <c r="BA558" s="170">
        <f>IF(Escenarios!$F$17&gt;0,0.001*Observaciones!$F557*Escenarios!$F$17,0)</f>
        <v>0</v>
      </c>
      <c r="BB558" s="170">
        <f>IF(Escenarios!$F$17&gt;0,Observaciones!$K557,0)</f>
        <v>0</v>
      </c>
      <c r="BC558" s="170">
        <f>IF(Escenarios!$F$17&gt;0,MIN(0.0005*ETo!$M557*Escenarios!$F$17*(BG557/Constantes!$F$40)^(2/3),BG557+AY558+AZ558+BA558+BB558),0)</f>
        <v>0</v>
      </c>
      <c r="BD558" s="170">
        <f>IF(Escenarios!$F$17&gt;0,MIN(Constantes!$F$39*(BG557/Constantes!$F$40)^(2/3),BG557+AY558+AZ558+BA558+BB558-BC558),0)</f>
        <v>0</v>
      </c>
      <c r="BE558" s="170">
        <f>IF(Escenarios!$F$17&gt;0,MIN(Entradas!$F$113,BG557+AY558+AZ558+BA558+BB558-BC558-BD558),0)</f>
        <v>0</v>
      </c>
      <c r="BF558" s="170">
        <f>IF(Escenarios!$F$17&gt;0,MAX(0,BG557+AY558+AZ558+BA558+BB558-BC558-BD558-BE558-Constantes!$F$40),0)</f>
        <v>0</v>
      </c>
      <c r="BG558" s="170">
        <f t="shared" si="123"/>
        <v>0</v>
      </c>
      <c r="BH558" s="170">
        <f>(Escenarios!$F$16*AK558+0.1*BC558)/(Escenarios!$F$19)</f>
        <v>0.13048220338477998</v>
      </c>
      <c r="BI558" s="170">
        <f>IF(Escenarios!$F$17&gt;0,BF558/10/Escenarios!$F$19,AL558)</f>
        <v>0</v>
      </c>
      <c r="BJ558" s="170">
        <f>(Escenarios!$F$16*AT558+0.1*BD558)/(Escenarios!$F$19)</f>
        <v>0</v>
      </c>
      <c r="BK558" s="76">
        <f>BK557+(0.1*BD558)/(Escenarios!$F$19)-BL557</f>
        <v>48.75</v>
      </c>
      <c r="BL558" s="76">
        <f>MAX(0,(BK558-Constantes!$D$13)*(1-EXP(-Constantes!$D$23)))</f>
        <v>0</v>
      </c>
      <c r="BM558" s="76">
        <f t="shared" si="124"/>
        <v>0.49537308545310865</v>
      </c>
      <c r="BN558" s="76">
        <f t="shared" si="125"/>
        <v>0.49537308545310865</v>
      </c>
      <c r="BO558" s="76">
        <f>0.0526*BI558*Observaciones!$F557^1.218</f>
        <v>0</v>
      </c>
      <c r="BP558" s="76">
        <f>BO558*Constantes!$F$51</f>
        <v>0</v>
      </c>
      <c r="BQ558" s="76">
        <f t="shared" si="126"/>
        <v>0</v>
      </c>
      <c r="BR558" s="40"/>
    </row>
    <row r="559" spans="2:70">
      <c r="B559" s="39"/>
      <c r="C559" s="75">
        <v>553</v>
      </c>
      <c r="D559" s="146">
        <f>ETo!$I558*((1-Constantes!$F$19)*ETo!$K558+ETo!$L558)</f>
        <v>2.6054646568647004</v>
      </c>
      <c r="E559" s="76">
        <f>MIN(D559*Constantes!$F$17,0.8*(N558+Observaciones!$F558-F559-M559-Constantes!$D$14))</f>
        <v>0</v>
      </c>
      <c r="F559" s="76">
        <f>IF(Observaciones!$F558&gt;0.05*Constantes!$F$18,((Observaciones!$F558-0.05*Constantes!$F$18)^2)/(Observaciones!$F558+0.95*Constantes!$F$18),0)</f>
        <v>0</v>
      </c>
      <c r="G559" s="76">
        <f>IF(Escenarios!$F$11&gt;0,(F559*Escenarios!$F$16*10000)/1000,0)</f>
        <v>0</v>
      </c>
      <c r="H559" s="76">
        <f>IF(Escenarios!$F$11&gt;0,(Observaciones!$F558*Constantes!$F$29)/1000,0)</f>
        <v>0</v>
      </c>
      <c r="I559" s="76">
        <f>IF(Escenarios!$F$11&gt;0,(D559*Constantes!$F$29)/1000,0)</f>
        <v>0</v>
      </c>
      <c r="J559" s="76">
        <f>IF(Escenarios!$F$11&gt;0,MAX(0,G559+H559-I559),0)</f>
        <v>0</v>
      </c>
      <c r="K559" s="76">
        <f>IF(Escenarios!$F$11&gt;0,IF(J559&gt;Constantes!$F$30,1000*((J559-Constantes!$F$30)/(Escenarios!$F$16*10000)),0),F559)</f>
        <v>0</v>
      </c>
      <c r="L559" s="76">
        <f>IF(Escenarios!$F$11&gt;0,I559*1000/Escenarios!$F$16/10000+E559,E559)</f>
        <v>0</v>
      </c>
      <c r="M559" s="76">
        <f>MAX(0,N558+Observaciones!$F558-K559-Constantes!$D$13)</f>
        <v>0</v>
      </c>
      <c r="N559" s="76">
        <f>N558+Observaciones!$F558-K559-L559-M559-O558</f>
        <v>11.25</v>
      </c>
      <c r="O559" s="76">
        <f>MAX(0,(N559-Constantes!$D$14)*(1-EXP(-Constantes!$D$22)))</f>
        <v>0</v>
      </c>
      <c r="P559" s="170">
        <f>P558+(Entradas!$F$83*M559-Q558)/(800*Entradas!$D$25)</f>
        <v>0</v>
      </c>
      <c r="Q559" s="170">
        <f>8000*Entradas!$D$26*P559/Constantes!$F$45</f>
        <v>0</v>
      </c>
      <c r="R559" s="170">
        <f>IF(Escenarios!$F$14&gt;0,K559*Escenarios!$F$13/Escenarios!$F$14,0)</f>
        <v>0</v>
      </c>
      <c r="S559" s="170">
        <f>IF(Escenarios!$F$14&gt;0,Q559*Escenarios!$F$13/Escenarios!$F$14,0)</f>
        <v>0</v>
      </c>
      <c r="T559" s="170">
        <f>IF(Escenarios!$F$14&gt;0,Observaciones!$I558,0)</f>
        <v>0</v>
      </c>
      <c r="U559" s="170">
        <f>IF(Escenarios!$F$14&gt;0,MAX(0,Constantes!$F$36/((Z558+R559+S559+T559+Observaciones!$F558)^2)+Entradas!$F$77),0)</f>
        <v>0</v>
      </c>
      <c r="V559" s="146">
        <f>IF(ETo!D558&gt;0,ETo!I558*((1-Entradas!$F$81)*ETo!K558+ETo!L558),0)</f>
        <v>2.2694074036351783</v>
      </c>
      <c r="W559" s="170">
        <f>IF(Escenarios!$F$14&gt;0,MIN(V559*1,0.8*(Z558+R559+S559+T559+Observaciones!$F558-U559-Constantes!$F$35)),0)</f>
        <v>0</v>
      </c>
      <c r="X559" s="170">
        <f>IF(Escenarios!$F$14&gt;0,Observaciones!$J558,0)</f>
        <v>0</v>
      </c>
      <c r="Y559" s="170">
        <f>IF(Escenarios!$F$14&gt;0,MAX(0,Z558+R559+S559+T559+Observaciones!$F558-U559-W559-X559-Constantes!$F$33),0)</f>
        <v>0</v>
      </c>
      <c r="Z559" s="170">
        <f>Z558+R559+S559+T559+Observaciones!$F558-U559-W559-Y559</f>
        <v>41.25</v>
      </c>
      <c r="AA559" s="170">
        <f>IF(Escenarios!$F$14&gt;0,(Escenarios!$F$13*L559+Escenarios!$F$14*W559)/(Escenarios!$F$16),L559)</f>
        <v>0</v>
      </c>
      <c r="AB559" s="170">
        <f>IF(Escenarios!$F$14&gt;0,(Escenarios!$F$14*Y559)/(Escenarios!$F$16),K559)</f>
        <v>0</v>
      </c>
      <c r="AC559" s="170">
        <f>IF(Escenarios!$F$14&gt;0,(Escenarios!$F$13*M559+Escenarios!$F$14*U559)/(Escenarios!$F$16),M559)</f>
        <v>0</v>
      </c>
      <c r="AD559" s="76">
        <f t="shared" si="113"/>
        <v>93.639497469422608</v>
      </c>
      <c r="AE559" s="76">
        <f>MAX(0,(AD559-Constantes!$D$13)*(1-EXP(-Constantes!$D$23)))</f>
        <v>0.44230691041151932</v>
      </c>
      <c r="AF559" s="76">
        <f>AB559+O559*Escenarios!$F$13/Escenarios!$F$16+AE559</f>
        <v>0.44230691041151932</v>
      </c>
      <c r="AG559" s="76">
        <f>IF(Entradas!$F$91&gt;0,IF(AF559-Escenarios!$F$38&lt;=0,0,IF(AF559-Escenarios!$F$38&gt;Escenarios!$F$37,Escenarios!$F$37,AF559-Escenarios!$F$38)),0)</f>
        <v>0</v>
      </c>
      <c r="AH559" s="76">
        <f>AG559*Entradas!$F$99</f>
        <v>0</v>
      </c>
      <c r="AI559" s="76">
        <f>IF(Entradas!$F$91&gt;0,D559*Entradas!$D$23/Escenarios!$F$16,0)</f>
        <v>0.12506230352950562</v>
      </c>
      <c r="AJ559" s="76">
        <f>IF(Entradas!$F$91&gt;0,Entradas!$D$24*Entradas!$D$22/Escenarios!$F$16,0)</f>
        <v>0.12</v>
      </c>
      <c r="AK559" s="76">
        <f t="shared" si="114"/>
        <v>0.12506230352950562</v>
      </c>
      <c r="AL559" s="76">
        <f t="shared" si="115"/>
        <v>0</v>
      </c>
      <c r="AM559" s="76">
        <f t="shared" si="116"/>
        <v>0</v>
      </c>
      <c r="AN559" s="76">
        <f>MAX(0,O559*Escenarios!$F$13/Escenarios!$F$16-AM559)</f>
        <v>0</v>
      </c>
      <c r="AO559" s="76">
        <f>AM559+AN559-O559*Escenarios!$F$13/Escenarios!$F$16</f>
        <v>0</v>
      </c>
      <c r="AP559" s="76">
        <f t="shared" si="117"/>
        <v>0.44230691041151932</v>
      </c>
      <c r="AQ559" s="76">
        <f t="shared" si="118"/>
        <v>0</v>
      </c>
      <c r="AR559" s="76">
        <f t="shared" si="119"/>
        <v>0.44230691041151932</v>
      </c>
      <c r="AS559" s="76">
        <f t="shared" si="120"/>
        <v>0</v>
      </c>
      <c r="AT559" s="76">
        <f t="shared" si="121"/>
        <v>0</v>
      </c>
      <c r="AU559" s="76">
        <f t="shared" si="122"/>
        <v>51.885101383895197</v>
      </c>
      <c r="AV559" s="76">
        <f>MAX(0,(AU559-Constantes!$D$13)*(1-EXP(-Constantes!$D$24)))</f>
        <v>4.7920799228444666E-2</v>
      </c>
      <c r="AW559" s="170">
        <f>AW558+(Entradas!$F$112*AT559-AX558)/(800*Entradas!$D$25)</f>
        <v>0</v>
      </c>
      <c r="AX559" s="170">
        <f>8000*Entradas!$D$26*AW559/Constantes!$F$45</f>
        <v>0</v>
      </c>
      <c r="AY559" s="170">
        <f>IF(Escenarios!$F$17&gt;0,10*Escenarios!$F$16*AL559,0)</f>
        <v>0</v>
      </c>
      <c r="AZ559" s="170">
        <f>IF(Escenarios!$F$17&gt;0,10*Escenarios!$F$16*AX559,0)</f>
        <v>0</v>
      </c>
      <c r="BA559" s="170">
        <f>IF(Escenarios!$F$17&gt;0,0.001*Observaciones!$F558*Escenarios!$F$17,0)</f>
        <v>0</v>
      </c>
      <c r="BB559" s="170">
        <f>IF(Escenarios!$F$17&gt;0,Observaciones!$K558,0)</f>
        <v>0</v>
      </c>
      <c r="BC559" s="170">
        <f>IF(Escenarios!$F$17&gt;0,MIN(0.0005*ETo!$M558*Escenarios!$F$17*(BG558/Constantes!$F$40)^(2/3),BG558+AY559+AZ559+BA559+BB559),0)</f>
        <v>0</v>
      </c>
      <c r="BD559" s="170">
        <f>IF(Escenarios!$F$17&gt;0,MIN(Constantes!$F$39*(BG558/Constantes!$F$40)^(2/3),BG558+AY559+AZ559+BA559+BB559-BC559),0)</f>
        <v>0</v>
      </c>
      <c r="BE559" s="170">
        <f>IF(Escenarios!$F$17&gt;0,MIN(Entradas!$F$113,BG558+AY559+AZ559+BA559+BB559-BC559-BD559),0)</f>
        <v>0</v>
      </c>
      <c r="BF559" s="170">
        <f>IF(Escenarios!$F$17&gt;0,MAX(0,BG558+AY559+AZ559+BA559+BB559-BC559-BD559-BE559-Constantes!$F$40),0)</f>
        <v>0</v>
      </c>
      <c r="BG559" s="170">
        <f t="shared" si="123"/>
        <v>0</v>
      </c>
      <c r="BH559" s="170">
        <f>(Escenarios!$F$16*AK559+0.1*BC559)/(Escenarios!$F$19)</f>
        <v>0.12506230352950562</v>
      </c>
      <c r="BI559" s="170">
        <f>IF(Escenarios!$F$17&gt;0,BF559/10/Escenarios!$F$19,AL559)</f>
        <v>0</v>
      </c>
      <c r="BJ559" s="170">
        <f>(Escenarios!$F$16*AT559+0.1*BD559)/(Escenarios!$F$19)</f>
        <v>0</v>
      </c>
      <c r="BK559" s="76">
        <f>BK558+(0.1*BD559)/(Escenarios!$F$19)-BL558</f>
        <v>48.75</v>
      </c>
      <c r="BL559" s="76">
        <f>MAX(0,(BK559-Constantes!$D$13)*(1-EXP(-Constantes!$D$23)))</f>
        <v>0</v>
      </c>
      <c r="BM559" s="76">
        <f t="shared" si="124"/>
        <v>0.49022770963996398</v>
      </c>
      <c r="BN559" s="76">
        <f t="shared" si="125"/>
        <v>0.49022770963996398</v>
      </c>
      <c r="BO559" s="76">
        <f>0.0526*BI559*Observaciones!$F558^1.218</f>
        <v>0</v>
      </c>
      <c r="BP559" s="76">
        <f>BO559*Constantes!$F$51</f>
        <v>0</v>
      </c>
      <c r="BQ559" s="76">
        <f t="shared" si="126"/>
        <v>0</v>
      </c>
      <c r="BR559" s="40"/>
    </row>
    <row r="560" spans="2:70">
      <c r="B560" s="39"/>
      <c r="C560" s="75">
        <v>554</v>
      </c>
      <c r="D560" s="146">
        <f>ETo!$I559*((1-Constantes!$F$19)*ETo!$K559+ETo!$L559)</f>
        <v>2.5243552854710223</v>
      </c>
      <c r="E560" s="76">
        <f>MIN(D560*Constantes!$F$17,0.8*(N559+Observaciones!$F559-F560-M560-Constantes!$D$14))</f>
        <v>0</v>
      </c>
      <c r="F560" s="76">
        <f>IF(Observaciones!$F559&gt;0.05*Constantes!$F$18,((Observaciones!$F559-0.05*Constantes!$F$18)^2)/(Observaciones!$F559+0.95*Constantes!$F$18),0)</f>
        <v>0</v>
      </c>
      <c r="G560" s="76">
        <f>IF(Escenarios!$F$11&gt;0,(F560*Escenarios!$F$16*10000)/1000,0)</f>
        <v>0</v>
      </c>
      <c r="H560" s="76">
        <f>IF(Escenarios!$F$11&gt;0,(Observaciones!$F559*Constantes!$F$29)/1000,0)</f>
        <v>0</v>
      </c>
      <c r="I560" s="76">
        <f>IF(Escenarios!$F$11&gt;0,(D560*Constantes!$F$29)/1000,0)</f>
        <v>0</v>
      </c>
      <c r="J560" s="76">
        <f>IF(Escenarios!$F$11&gt;0,MAX(0,G560+H560-I560),0)</f>
        <v>0</v>
      </c>
      <c r="K560" s="76">
        <f>IF(Escenarios!$F$11&gt;0,IF(J560&gt;Constantes!$F$30,1000*((J560-Constantes!$F$30)/(Escenarios!$F$16*10000)),0),F560)</f>
        <v>0</v>
      </c>
      <c r="L560" s="76">
        <f>IF(Escenarios!$F$11&gt;0,I560*1000/Escenarios!$F$16/10000+E560,E560)</f>
        <v>0</v>
      </c>
      <c r="M560" s="76">
        <f>MAX(0,N559+Observaciones!$F559-K560-Constantes!$D$13)</f>
        <v>0</v>
      </c>
      <c r="N560" s="76">
        <f>N559+Observaciones!$F559-K560-L560-M560-O559</f>
        <v>11.25</v>
      </c>
      <c r="O560" s="76">
        <f>MAX(0,(N560-Constantes!$D$14)*(1-EXP(-Constantes!$D$22)))</f>
        <v>0</v>
      </c>
      <c r="P560" s="170">
        <f>P559+(Entradas!$F$83*M560-Q559)/(800*Entradas!$D$25)</f>
        <v>0</v>
      </c>
      <c r="Q560" s="170">
        <f>8000*Entradas!$D$26*P560/Constantes!$F$45</f>
        <v>0</v>
      </c>
      <c r="R560" s="170">
        <f>IF(Escenarios!$F$14&gt;0,K560*Escenarios!$F$13/Escenarios!$F$14,0)</f>
        <v>0</v>
      </c>
      <c r="S560" s="170">
        <f>IF(Escenarios!$F$14&gt;0,Q560*Escenarios!$F$13/Escenarios!$F$14,0)</f>
        <v>0</v>
      </c>
      <c r="T560" s="170">
        <f>IF(Escenarios!$F$14&gt;0,Observaciones!$I559,0)</f>
        <v>0</v>
      </c>
      <c r="U560" s="170">
        <f>IF(Escenarios!$F$14&gt;0,MAX(0,Constantes!$F$36/((Z559+R560+S560+T560+Observaciones!$F559)^2)+Entradas!$F$77),0)</f>
        <v>0</v>
      </c>
      <c r="V560" s="146">
        <f>IF(ETo!D559&gt;0,ETo!I559*((1-Entradas!$F$81)*ETo!K559+ETo!L559),0)</f>
        <v>2.19846996161181</v>
      </c>
      <c r="W560" s="170">
        <f>IF(Escenarios!$F$14&gt;0,MIN(V560*1,0.8*(Z559+R560+S560+T560+Observaciones!$F559-U560-Constantes!$F$35)),0)</f>
        <v>0</v>
      </c>
      <c r="X560" s="170">
        <f>IF(Escenarios!$F$14&gt;0,Observaciones!$J559,0)</f>
        <v>0</v>
      </c>
      <c r="Y560" s="170">
        <f>IF(Escenarios!$F$14&gt;0,MAX(0,Z559+R560+S560+T560+Observaciones!$F559-U560-W560-X560-Constantes!$F$33),0)</f>
        <v>0</v>
      </c>
      <c r="Z560" s="170">
        <f>Z559+R560+S560+T560+Observaciones!$F559-U560-W560-Y560</f>
        <v>41.25</v>
      </c>
      <c r="AA560" s="170">
        <f>IF(Escenarios!$F$14&gt;0,(Escenarios!$F$13*L560+Escenarios!$F$14*W560)/(Escenarios!$F$16),L560)</f>
        <v>0</v>
      </c>
      <c r="AB560" s="170">
        <f>IF(Escenarios!$F$14&gt;0,(Escenarios!$F$14*Y560)/(Escenarios!$F$16),K560)</f>
        <v>0</v>
      </c>
      <c r="AC560" s="170">
        <f>IF(Escenarios!$F$14&gt;0,(Escenarios!$F$13*M560+Escenarios!$F$14*U560)/(Escenarios!$F$16),M560)</f>
        <v>0</v>
      </c>
      <c r="AD560" s="76">
        <f t="shared" si="113"/>
        <v>93.197190559011091</v>
      </c>
      <c r="AE560" s="76">
        <f>MAX(0,(AD560-Constantes!$D$13)*(1-EXP(-Constantes!$D$23)))</f>
        <v>0.43794875507393632</v>
      </c>
      <c r="AF560" s="76">
        <f>AB560+O560*Escenarios!$F$13/Escenarios!$F$16+AE560</f>
        <v>0.43794875507393632</v>
      </c>
      <c r="AG560" s="76">
        <f>IF(Entradas!$F$91&gt;0,IF(AF560-Escenarios!$F$38&lt;=0,0,IF(AF560-Escenarios!$F$38&gt;Escenarios!$F$37,Escenarios!$F$37,AF560-Escenarios!$F$38)),0)</f>
        <v>0</v>
      </c>
      <c r="AH560" s="76">
        <f>AG560*Entradas!$F$99</f>
        <v>0</v>
      </c>
      <c r="AI560" s="76">
        <f>IF(Entradas!$F$91&gt;0,D560*Entradas!$D$23/Escenarios!$F$16,0)</f>
        <v>0.12116905370260907</v>
      </c>
      <c r="AJ560" s="76">
        <f>IF(Entradas!$F$91&gt;0,Entradas!$D$24*Entradas!$D$22/Escenarios!$F$16,0)</f>
        <v>0.12</v>
      </c>
      <c r="AK560" s="76">
        <f t="shared" si="114"/>
        <v>0.12116905370260907</v>
      </c>
      <c r="AL560" s="76">
        <f t="shared" si="115"/>
        <v>0</v>
      </c>
      <c r="AM560" s="76">
        <f t="shared" si="116"/>
        <v>0</v>
      </c>
      <c r="AN560" s="76">
        <f>MAX(0,O560*Escenarios!$F$13/Escenarios!$F$16-AM560)</f>
        <v>0</v>
      </c>
      <c r="AO560" s="76">
        <f>AM560+AN560-O560*Escenarios!$F$13/Escenarios!$F$16</f>
        <v>0</v>
      </c>
      <c r="AP560" s="76">
        <f t="shared" si="117"/>
        <v>0.43794875507393632</v>
      </c>
      <c r="AQ560" s="76">
        <f t="shared" si="118"/>
        <v>0</v>
      </c>
      <c r="AR560" s="76">
        <f t="shared" si="119"/>
        <v>0.43794875507393632</v>
      </c>
      <c r="AS560" s="76">
        <f t="shared" si="120"/>
        <v>0</v>
      </c>
      <c r="AT560" s="76">
        <f t="shared" si="121"/>
        <v>0</v>
      </c>
      <c r="AU560" s="76">
        <f t="shared" si="122"/>
        <v>51.837180584666754</v>
      </c>
      <c r="AV560" s="76">
        <f>MAX(0,(AU560-Constantes!$D$13)*(1-EXP(-Constantes!$D$24)))</f>
        <v>4.7188317972658399E-2</v>
      </c>
      <c r="AW560" s="170">
        <f>AW559+(Entradas!$F$112*AT560-AX559)/(800*Entradas!$D$25)</f>
        <v>0</v>
      </c>
      <c r="AX560" s="170">
        <f>8000*Entradas!$D$26*AW560/Constantes!$F$45</f>
        <v>0</v>
      </c>
      <c r="AY560" s="170">
        <f>IF(Escenarios!$F$17&gt;0,10*Escenarios!$F$16*AL560,0)</f>
        <v>0</v>
      </c>
      <c r="AZ560" s="170">
        <f>IF(Escenarios!$F$17&gt;0,10*Escenarios!$F$16*AX560,0)</f>
        <v>0</v>
      </c>
      <c r="BA560" s="170">
        <f>IF(Escenarios!$F$17&gt;0,0.001*Observaciones!$F559*Escenarios!$F$17,0)</f>
        <v>0</v>
      </c>
      <c r="BB560" s="170">
        <f>IF(Escenarios!$F$17&gt;0,Observaciones!$K559,0)</f>
        <v>0</v>
      </c>
      <c r="BC560" s="170">
        <f>IF(Escenarios!$F$17&gt;0,MIN(0.0005*ETo!$M559*Escenarios!$F$17*(BG559/Constantes!$F$40)^(2/3),BG559+AY560+AZ560+BA560+BB560),0)</f>
        <v>0</v>
      </c>
      <c r="BD560" s="170">
        <f>IF(Escenarios!$F$17&gt;0,MIN(Constantes!$F$39*(BG559/Constantes!$F$40)^(2/3),BG559+AY560+AZ560+BA560+BB560-BC560),0)</f>
        <v>0</v>
      </c>
      <c r="BE560" s="170">
        <f>IF(Escenarios!$F$17&gt;0,MIN(Entradas!$F$113,BG559+AY560+AZ560+BA560+BB560-BC560-BD560),0)</f>
        <v>0</v>
      </c>
      <c r="BF560" s="170">
        <f>IF(Escenarios!$F$17&gt;0,MAX(0,BG559+AY560+AZ560+BA560+BB560-BC560-BD560-BE560-Constantes!$F$40),0)</f>
        <v>0</v>
      </c>
      <c r="BG560" s="170">
        <f t="shared" si="123"/>
        <v>0</v>
      </c>
      <c r="BH560" s="170">
        <f>(Escenarios!$F$16*AK560+0.1*BC560)/(Escenarios!$F$19)</f>
        <v>0.12116905370260907</v>
      </c>
      <c r="BI560" s="170">
        <f>IF(Escenarios!$F$17&gt;0,BF560/10/Escenarios!$F$19,AL560)</f>
        <v>0</v>
      </c>
      <c r="BJ560" s="170">
        <f>(Escenarios!$F$16*AT560+0.1*BD560)/(Escenarios!$F$19)</f>
        <v>0</v>
      </c>
      <c r="BK560" s="76">
        <f>BK559+(0.1*BD560)/(Escenarios!$F$19)-BL559</f>
        <v>48.75</v>
      </c>
      <c r="BL560" s="76">
        <f>MAX(0,(BK560-Constantes!$D$13)*(1-EXP(-Constantes!$D$23)))</f>
        <v>0</v>
      </c>
      <c r="BM560" s="76">
        <f t="shared" si="124"/>
        <v>0.4851370730465947</v>
      </c>
      <c r="BN560" s="76">
        <f t="shared" si="125"/>
        <v>0.4851370730465947</v>
      </c>
      <c r="BO560" s="76">
        <f>0.0526*BI560*Observaciones!$F559^1.218</f>
        <v>0</v>
      </c>
      <c r="BP560" s="76">
        <f>BO560*Constantes!$F$51</f>
        <v>0</v>
      </c>
      <c r="BQ560" s="76">
        <f t="shared" si="126"/>
        <v>0</v>
      </c>
      <c r="BR560" s="40"/>
    </row>
    <row r="561" spans="2:70">
      <c r="B561" s="39"/>
      <c r="C561" s="75">
        <v>555</v>
      </c>
      <c r="D561" s="146">
        <f>ETo!$I560*((1-Constantes!$F$19)*ETo!$K560+ETo!$L560)</f>
        <v>2.465072297541151</v>
      </c>
      <c r="E561" s="76">
        <f>MIN(D561*Constantes!$F$17,0.8*(N560+Observaciones!$F560-F561-M561-Constantes!$D$14))</f>
        <v>1.4058597146440626</v>
      </c>
      <c r="F561" s="76">
        <f>IF(Observaciones!$F560&gt;0.05*Constantes!$F$18,((Observaciones!$F560-0.05*Constantes!$F$18)^2)/(Observaciones!$F560+0.95*Constantes!$F$18),0)</f>
        <v>0</v>
      </c>
      <c r="G561" s="76">
        <f>IF(Escenarios!$F$11&gt;0,(F561*Escenarios!$F$16*10000)/1000,0)</f>
        <v>0</v>
      </c>
      <c r="H561" s="76">
        <f>IF(Escenarios!$F$11&gt;0,(Observaciones!$F560*Constantes!$F$29)/1000,0)</f>
        <v>0</v>
      </c>
      <c r="I561" s="76">
        <f>IF(Escenarios!$F$11&gt;0,(D561*Constantes!$F$29)/1000,0)</f>
        <v>0</v>
      </c>
      <c r="J561" s="76">
        <f>IF(Escenarios!$F$11&gt;0,MAX(0,G561+H561-I561),0)</f>
        <v>0</v>
      </c>
      <c r="K561" s="76">
        <f>IF(Escenarios!$F$11&gt;0,IF(J561&gt;Constantes!$F$30,1000*((J561-Constantes!$F$30)/(Escenarios!$F$16*10000)),0),F561)</f>
        <v>0</v>
      </c>
      <c r="L561" s="76">
        <f>IF(Escenarios!$F$11&gt;0,I561*1000/Escenarios!$F$16/10000+E561,E561)</f>
        <v>1.4058597146440626</v>
      </c>
      <c r="M561" s="76">
        <f>MAX(0,N560+Observaciones!$F560-K561-Constantes!$D$13)</f>
        <v>0</v>
      </c>
      <c r="N561" s="76">
        <f>N560+Observaciones!$F560-K561-L561-M561-O560</f>
        <v>12.044140285355937</v>
      </c>
      <c r="O561" s="76">
        <f>MAX(0,(N561-Constantes!$D$14)*(1-EXP(-Constantes!$D$22)))</f>
        <v>2.7051333467893884E-2</v>
      </c>
      <c r="P561" s="170">
        <f>P560+(Entradas!$F$83*M561-Q560)/(800*Entradas!$D$25)</f>
        <v>0</v>
      </c>
      <c r="Q561" s="170">
        <f>8000*Entradas!$D$26*P561/Constantes!$F$45</f>
        <v>0</v>
      </c>
      <c r="R561" s="170">
        <f>IF(Escenarios!$F$14&gt;0,K561*Escenarios!$F$13/Escenarios!$F$14,0)</f>
        <v>0</v>
      </c>
      <c r="S561" s="170">
        <f>IF(Escenarios!$F$14&gt;0,Q561*Escenarios!$F$13/Escenarios!$F$14,0)</f>
        <v>0</v>
      </c>
      <c r="T561" s="170">
        <f>IF(Escenarios!$F$14&gt;0,Observaciones!$I560,0)</f>
        <v>0</v>
      </c>
      <c r="U561" s="170">
        <f>IF(Escenarios!$F$14&gt;0,MAX(0,Constantes!$F$36/((Z560+R561+S561+T561+Observaciones!$F560)^2)+Entradas!$F$77),0)</f>
        <v>0</v>
      </c>
      <c r="V561" s="146">
        <f>IF(ETo!D560&gt;0,ETo!I560*((1-Entradas!$F$81)*ETo!K560+ETo!L560),0)</f>
        <v>2.1469812245303088</v>
      </c>
      <c r="W561" s="170">
        <f>IF(Escenarios!$F$14&gt;0,MIN(V561*1,0.8*(Z560+R561+S561+T561+Observaciones!$F560-U561-Constantes!$F$35)),0)</f>
        <v>1.7600000000000025</v>
      </c>
      <c r="X561" s="170">
        <f>IF(Escenarios!$F$14&gt;0,Observaciones!$J560,0)</f>
        <v>0</v>
      </c>
      <c r="Y561" s="170">
        <f>IF(Escenarios!$F$14&gt;0,MAX(0,Z560+R561+S561+T561+Observaciones!$F560-U561-W561-X561-Constantes!$F$33),0)</f>
        <v>0</v>
      </c>
      <c r="Z561" s="170">
        <f>Z560+R561+S561+T561+Observaciones!$F560-U561-W561-Y561</f>
        <v>41.69</v>
      </c>
      <c r="AA561" s="170">
        <f>IF(Escenarios!$F$14&gt;0,(Escenarios!$F$13*L561+Escenarios!$F$14*W561)/(Escenarios!$F$16),L561)</f>
        <v>1.4483565488867753</v>
      </c>
      <c r="AB561" s="170">
        <f>IF(Escenarios!$F$14&gt;0,(Escenarios!$F$14*Y561)/(Escenarios!$F$16),K561)</f>
        <v>0</v>
      </c>
      <c r="AC561" s="170">
        <f>IF(Escenarios!$F$14&gt;0,(Escenarios!$F$13*M561+Escenarios!$F$14*U561)/(Escenarios!$F$16),M561)</f>
        <v>0</v>
      </c>
      <c r="AD561" s="76">
        <f t="shared" si="113"/>
        <v>92.759241803937158</v>
      </c>
      <c r="AE561" s="76">
        <f>MAX(0,(AD561-Constantes!$D$13)*(1-EXP(-Constantes!$D$23)))</f>
        <v>0.43363354167892626</v>
      </c>
      <c r="AF561" s="76">
        <f>AB561+O561*Escenarios!$F$13/Escenarios!$F$16+AE561</f>
        <v>0.45743871513067286</v>
      </c>
      <c r="AG561" s="76">
        <f>IF(Entradas!$F$91&gt;0,IF(AF561-Escenarios!$F$38&lt;=0,0,IF(AF561-Escenarios!$F$38&gt;Escenarios!$F$37,Escenarios!$F$37,AF561-Escenarios!$F$38)),0)</f>
        <v>0</v>
      </c>
      <c r="AH561" s="76">
        <f>AG561*Entradas!$F$99</f>
        <v>0</v>
      </c>
      <c r="AI561" s="76">
        <f>IF(Entradas!$F$91&gt;0,D561*Entradas!$D$23/Escenarios!$F$16,0)</f>
        <v>0.11832347028197525</v>
      </c>
      <c r="AJ561" s="76">
        <f>IF(Entradas!$F$91&gt;0,Entradas!$D$24*Entradas!$D$22/Escenarios!$F$16,0)</f>
        <v>0.12</v>
      </c>
      <c r="AK561" s="76">
        <f t="shared" si="114"/>
        <v>1.5666800191687507</v>
      </c>
      <c r="AL561" s="76">
        <f t="shared" si="115"/>
        <v>0</v>
      </c>
      <c r="AM561" s="76">
        <f t="shared" si="116"/>
        <v>0</v>
      </c>
      <c r="AN561" s="76">
        <f>MAX(0,O561*Escenarios!$F$13/Escenarios!$F$16-AM561)</f>
        <v>2.3805173451746618E-2</v>
      </c>
      <c r="AO561" s="76">
        <f>AM561+AN561-O561*Escenarios!$F$13/Escenarios!$F$16</f>
        <v>0</v>
      </c>
      <c r="AP561" s="76">
        <f t="shared" si="117"/>
        <v>0.43363354167892626</v>
      </c>
      <c r="AQ561" s="76">
        <f t="shared" si="118"/>
        <v>0</v>
      </c>
      <c r="AR561" s="76">
        <f t="shared" si="119"/>
        <v>0.45743871513067286</v>
      </c>
      <c r="AS561" s="76">
        <f t="shared" si="120"/>
        <v>0</v>
      </c>
      <c r="AT561" s="76">
        <f t="shared" si="121"/>
        <v>0</v>
      </c>
      <c r="AU561" s="76">
        <f t="shared" si="122"/>
        <v>51.789992266694092</v>
      </c>
      <c r="AV561" s="76">
        <f>MAX(0,(AU561-Constantes!$D$13)*(1-EXP(-Constantes!$D$24)))</f>
        <v>4.646703287383764E-2</v>
      </c>
      <c r="AW561" s="170">
        <f>AW560+(Entradas!$F$112*AT561-AX560)/(800*Entradas!$D$25)</f>
        <v>0</v>
      </c>
      <c r="AX561" s="170">
        <f>8000*Entradas!$D$26*AW561/Constantes!$F$45</f>
        <v>0</v>
      </c>
      <c r="AY561" s="170">
        <f>IF(Escenarios!$F$17&gt;0,10*Escenarios!$F$16*AL561,0)</f>
        <v>0</v>
      </c>
      <c r="AZ561" s="170">
        <f>IF(Escenarios!$F$17&gt;0,10*Escenarios!$F$16*AX561,0)</f>
        <v>0</v>
      </c>
      <c r="BA561" s="170">
        <f>IF(Escenarios!$F$17&gt;0,0.001*Observaciones!$F560*Escenarios!$F$17,0)</f>
        <v>0</v>
      </c>
      <c r="BB561" s="170">
        <f>IF(Escenarios!$F$17&gt;0,Observaciones!$K560,0)</f>
        <v>0</v>
      </c>
      <c r="BC561" s="170">
        <f>IF(Escenarios!$F$17&gt;0,MIN(0.0005*ETo!$M560*Escenarios!$F$17*(BG560/Constantes!$F$40)^(2/3),BG560+AY561+AZ561+BA561+BB561),0)</f>
        <v>0</v>
      </c>
      <c r="BD561" s="170">
        <f>IF(Escenarios!$F$17&gt;0,MIN(Constantes!$F$39*(BG560/Constantes!$F$40)^(2/3),BG560+AY561+AZ561+BA561+BB561-BC561),0)</f>
        <v>0</v>
      </c>
      <c r="BE561" s="170">
        <f>IF(Escenarios!$F$17&gt;0,MIN(Entradas!$F$113,BG560+AY561+AZ561+BA561+BB561-BC561-BD561),0)</f>
        <v>0</v>
      </c>
      <c r="BF561" s="170">
        <f>IF(Escenarios!$F$17&gt;0,MAX(0,BG560+AY561+AZ561+BA561+BB561-BC561-BD561-BE561-Constantes!$F$40),0)</f>
        <v>0</v>
      </c>
      <c r="BG561" s="170">
        <f t="shared" si="123"/>
        <v>0</v>
      </c>
      <c r="BH561" s="170">
        <f>(Escenarios!$F$16*AK561+0.1*BC561)/(Escenarios!$F$19)</f>
        <v>1.5666800191687507</v>
      </c>
      <c r="BI561" s="170">
        <f>IF(Escenarios!$F$17&gt;0,BF561/10/Escenarios!$F$19,AL561)</f>
        <v>0</v>
      </c>
      <c r="BJ561" s="170">
        <f>(Escenarios!$F$16*AT561+0.1*BD561)/(Escenarios!$F$19)</f>
        <v>0</v>
      </c>
      <c r="BK561" s="76">
        <f>BK560+(0.1*BD561)/(Escenarios!$F$19)-BL560</f>
        <v>48.75</v>
      </c>
      <c r="BL561" s="76">
        <f>MAX(0,(BK561-Constantes!$D$13)*(1-EXP(-Constantes!$D$23)))</f>
        <v>0</v>
      </c>
      <c r="BM561" s="76">
        <f t="shared" si="124"/>
        <v>0.48010057455276389</v>
      </c>
      <c r="BN561" s="76">
        <f t="shared" si="125"/>
        <v>0.50390574800451049</v>
      </c>
      <c r="BO561" s="76">
        <f>0.0526*BI561*Observaciones!$F560^1.218</f>
        <v>0</v>
      </c>
      <c r="BP561" s="76">
        <f>BO561*Constantes!$F$51</f>
        <v>0</v>
      </c>
      <c r="BQ561" s="76">
        <f t="shared" si="126"/>
        <v>0</v>
      </c>
      <c r="BR561" s="40"/>
    </row>
    <row r="562" spans="2:70">
      <c r="B562" s="39"/>
      <c r="C562" s="75">
        <v>556</v>
      </c>
      <c r="D562" s="146">
        <f>ETo!$I561*((1-Constantes!$F$19)*ETo!$K561+ETo!$L561)</f>
        <v>2.6154343216267604</v>
      </c>
      <c r="E562" s="76">
        <f>MIN(D562*Constantes!$F$17,0.8*(N561+Observaciones!$F561-F562-M562-Constantes!$D$14))</f>
        <v>0.63531222828474943</v>
      </c>
      <c r="F562" s="76">
        <f>IF(Observaciones!$F561&gt;0.05*Constantes!$F$18,((Observaciones!$F561-0.05*Constantes!$F$18)^2)/(Observaciones!$F561+0.95*Constantes!$F$18),0)</f>
        <v>0</v>
      </c>
      <c r="G562" s="76">
        <f>IF(Escenarios!$F$11&gt;0,(F562*Escenarios!$F$16*10000)/1000,0)</f>
        <v>0</v>
      </c>
      <c r="H562" s="76">
        <f>IF(Escenarios!$F$11&gt;0,(Observaciones!$F561*Constantes!$F$29)/1000,0)</f>
        <v>0</v>
      </c>
      <c r="I562" s="76">
        <f>IF(Escenarios!$F$11&gt;0,(D562*Constantes!$F$29)/1000,0)</f>
        <v>0</v>
      </c>
      <c r="J562" s="76">
        <f>IF(Escenarios!$F$11&gt;0,MAX(0,G562+H562-I562),0)</f>
        <v>0</v>
      </c>
      <c r="K562" s="76">
        <f>IF(Escenarios!$F$11&gt;0,IF(J562&gt;Constantes!$F$30,1000*((J562-Constantes!$F$30)/(Escenarios!$F$16*10000)),0),F562)</f>
        <v>0</v>
      </c>
      <c r="L562" s="76">
        <f>IF(Escenarios!$F$11&gt;0,I562*1000/Escenarios!$F$16/10000+E562,E562)</f>
        <v>0.63531222828474943</v>
      </c>
      <c r="M562" s="76">
        <f>MAX(0,N561+Observaciones!$F561-K562-Constantes!$D$13)</f>
        <v>0</v>
      </c>
      <c r="N562" s="76">
        <f>N561+Observaciones!$F561-K562-L562-M562-O561</f>
        <v>11.381776723603293</v>
      </c>
      <c r="O562" s="76">
        <f>MAX(0,(N562-Constantes!$D$14)*(1-EXP(-Constantes!$D$22)))</f>
        <v>4.4887989681841141E-3</v>
      </c>
      <c r="P562" s="170">
        <f>P561+(Entradas!$F$83*M562-Q561)/(800*Entradas!$D$25)</f>
        <v>0</v>
      </c>
      <c r="Q562" s="170">
        <f>8000*Entradas!$D$26*P562/Constantes!$F$45</f>
        <v>0</v>
      </c>
      <c r="R562" s="170">
        <f>IF(Escenarios!$F$14&gt;0,K562*Escenarios!$F$13/Escenarios!$F$14,0)</f>
        <v>0</v>
      </c>
      <c r="S562" s="170">
        <f>IF(Escenarios!$F$14&gt;0,Q562*Escenarios!$F$13/Escenarios!$F$14,0)</f>
        <v>0</v>
      </c>
      <c r="T562" s="170">
        <f>IF(Escenarios!$F$14&gt;0,Observaciones!$I561,0)</f>
        <v>0</v>
      </c>
      <c r="U562" s="170">
        <f>IF(Escenarios!$F$14&gt;0,MAX(0,Constantes!$F$36/((Z561+R562+S562+T562+Observaciones!$F561)^2)+Entradas!$F$77),0)</f>
        <v>0</v>
      </c>
      <c r="V562" s="146">
        <f>IF(ETo!D561&gt;0,ETo!I561*((1-Entradas!$F$81)*ETo!K561+ETo!L561),0)</f>
        <v>2.2790041860325752</v>
      </c>
      <c r="W562" s="170">
        <f>IF(Escenarios!$F$14&gt;0,MIN(V562*1,0.8*(Z561+R562+S562+T562+Observaciones!$F561-U562-Constantes!$F$35)),0)</f>
        <v>0.3519999999999982</v>
      </c>
      <c r="X562" s="170">
        <f>IF(Escenarios!$F$14&gt;0,Observaciones!$J561,0)</f>
        <v>0</v>
      </c>
      <c r="Y562" s="170">
        <f>IF(Escenarios!$F$14&gt;0,MAX(0,Z561+R562+S562+T562+Observaciones!$F561-U562-W562-X562-Constantes!$F$33),0)</f>
        <v>0</v>
      </c>
      <c r="Z562" s="170">
        <f>Z561+R562+S562+T562+Observaciones!$F561-U562-W562-Y562</f>
        <v>41.338000000000001</v>
      </c>
      <c r="AA562" s="170">
        <f>IF(Escenarios!$F$14&gt;0,(Escenarios!$F$13*L562+Escenarios!$F$14*W562)/(Escenarios!$F$16),L562)</f>
        <v>0.60131476089057923</v>
      </c>
      <c r="AB562" s="170">
        <f>IF(Escenarios!$F$14&gt;0,(Escenarios!$F$14*Y562)/(Escenarios!$F$16),K562)</f>
        <v>0</v>
      </c>
      <c r="AC562" s="170">
        <f>IF(Escenarios!$F$14&gt;0,(Escenarios!$F$13*M562+Escenarios!$F$14*U562)/(Escenarios!$F$16),M562)</f>
        <v>0</v>
      </c>
      <c r="AD562" s="76">
        <f t="shared" si="113"/>
        <v>92.325608262258228</v>
      </c>
      <c r="AE562" s="76">
        <f>MAX(0,(AD562-Constantes!$D$13)*(1-EXP(-Constantes!$D$23)))</f>
        <v>0.42936084710930095</v>
      </c>
      <c r="AF562" s="76">
        <f>AB562+O562*Escenarios!$F$13/Escenarios!$F$16+AE562</f>
        <v>0.43331099020130298</v>
      </c>
      <c r="AG562" s="76">
        <f>IF(Entradas!$F$91&gt;0,IF(AF562-Escenarios!$F$38&lt;=0,0,IF(AF562-Escenarios!$F$38&gt;Escenarios!$F$37,Escenarios!$F$37,AF562-Escenarios!$F$38)),0)</f>
        <v>0</v>
      </c>
      <c r="AH562" s="76">
        <f>AG562*Entradas!$F$99</f>
        <v>0</v>
      </c>
      <c r="AI562" s="76">
        <f>IF(Entradas!$F$91&gt;0,D562*Entradas!$D$23/Escenarios!$F$16,0)</f>
        <v>0.1255408474380845</v>
      </c>
      <c r="AJ562" s="76">
        <f>IF(Entradas!$F$91&gt;0,Entradas!$D$24*Entradas!$D$22/Escenarios!$F$16,0)</f>
        <v>0.12</v>
      </c>
      <c r="AK562" s="76">
        <f t="shared" si="114"/>
        <v>0.72685560832866369</v>
      </c>
      <c r="AL562" s="76">
        <f t="shared" si="115"/>
        <v>0</v>
      </c>
      <c r="AM562" s="76">
        <f t="shared" si="116"/>
        <v>0</v>
      </c>
      <c r="AN562" s="76">
        <f>MAX(0,O562*Escenarios!$F$13/Escenarios!$F$16-AM562)</f>
        <v>3.9501430920020203E-3</v>
      </c>
      <c r="AO562" s="76">
        <f>AM562+AN562-O562*Escenarios!$F$13/Escenarios!$F$16</f>
        <v>0</v>
      </c>
      <c r="AP562" s="76">
        <f t="shared" si="117"/>
        <v>0.42936084710930095</v>
      </c>
      <c r="AQ562" s="76">
        <f t="shared" si="118"/>
        <v>0</v>
      </c>
      <c r="AR562" s="76">
        <f t="shared" si="119"/>
        <v>0.43331099020130298</v>
      </c>
      <c r="AS562" s="76">
        <f t="shared" si="120"/>
        <v>0</v>
      </c>
      <c r="AT562" s="76">
        <f t="shared" si="121"/>
        <v>0</v>
      </c>
      <c r="AU562" s="76">
        <f t="shared" si="122"/>
        <v>51.743525233820257</v>
      </c>
      <c r="AV562" s="76">
        <f>MAX(0,(AU562-Constantes!$D$13)*(1-EXP(-Constantes!$D$24)))</f>
        <v>4.5756772795957169E-2</v>
      </c>
      <c r="AW562" s="170">
        <f>AW561+(Entradas!$F$112*AT562-AX561)/(800*Entradas!$D$25)</f>
        <v>0</v>
      </c>
      <c r="AX562" s="170">
        <f>8000*Entradas!$D$26*AW562/Constantes!$F$45</f>
        <v>0</v>
      </c>
      <c r="AY562" s="170">
        <f>IF(Escenarios!$F$17&gt;0,10*Escenarios!$F$16*AL562,0)</f>
        <v>0</v>
      </c>
      <c r="AZ562" s="170">
        <f>IF(Escenarios!$F$17&gt;0,10*Escenarios!$F$16*AX562,0)</f>
        <v>0</v>
      </c>
      <c r="BA562" s="170">
        <f>IF(Escenarios!$F$17&gt;0,0.001*Observaciones!$F561*Escenarios!$F$17,0)</f>
        <v>0</v>
      </c>
      <c r="BB562" s="170">
        <f>IF(Escenarios!$F$17&gt;0,Observaciones!$K561,0)</f>
        <v>0</v>
      </c>
      <c r="BC562" s="170">
        <f>IF(Escenarios!$F$17&gt;0,MIN(0.0005*ETo!$M561*Escenarios!$F$17*(BG561/Constantes!$F$40)^(2/3),BG561+AY562+AZ562+BA562+BB562),0)</f>
        <v>0</v>
      </c>
      <c r="BD562" s="170">
        <f>IF(Escenarios!$F$17&gt;0,MIN(Constantes!$F$39*(BG561/Constantes!$F$40)^(2/3),BG561+AY562+AZ562+BA562+BB562-BC562),0)</f>
        <v>0</v>
      </c>
      <c r="BE562" s="170">
        <f>IF(Escenarios!$F$17&gt;0,MIN(Entradas!$F$113,BG561+AY562+AZ562+BA562+BB562-BC562-BD562),0)</f>
        <v>0</v>
      </c>
      <c r="BF562" s="170">
        <f>IF(Escenarios!$F$17&gt;0,MAX(0,BG561+AY562+AZ562+BA562+BB562-BC562-BD562-BE562-Constantes!$F$40),0)</f>
        <v>0</v>
      </c>
      <c r="BG562" s="170">
        <f t="shared" si="123"/>
        <v>0</v>
      </c>
      <c r="BH562" s="170">
        <f>(Escenarios!$F$16*AK562+0.1*BC562)/(Escenarios!$F$19)</f>
        <v>0.72685560832866369</v>
      </c>
      <c r="BI562" s="170">
        <f>IF(Escenarios!$F$17&gt;0,BF562/10/Escenarios!$F$19,AL562)</f>
        <v>0</v>
      </c>
      <c r="BJ562" s="170">
        <f>(Escenarios!$F$16*AT562+0.1*BD562)/(Escenarios!$F$19)</f>
        <v>0</v>
      </c>
      <c r="BK562" s="76">
        <f>BK561+(0.1*BD562)/(Escenarios!$F$19)-BL561</f>
        <v>48.75</v>
      </c>
      <c r="BL562" s="76">
        <f>MAX(0,(BK562-Constantes!$D$13)*(1-EXP(-Constantes!$D$23)))</f>
        <v>0</v>
      </c>
      <c r="BM562" s="76">
        <f t="shared" si="124"/>
        <v>0.47511761990525814</v>
      </c>
      <c r="BN562" s="76">
        <f t="shared" si="125"/>
        <v>0.47906776299726017</v>
      </c>
      <c r="BO562" s="76">
        <f>0.0526*BI562*Observaciones!$F561^1.218</f>
        <v>0</v>
      </c>
      <c r="BP562" s="76">
        <f>BO562*Constantes!$F$51</f>
        <v>0</v>
      </c>
      <c r="BQ562" s="76">
        <f t="shared" si="126"/>
        <v>0</v>
      </c>
      <c r="BR562" s="40"/>
    </row>
    <row r="563" spans="2:70">
      <c r="B563" s="39"/>
      <c r="C563" s="75">
        <v>557</v>
      </c>
      <c r="D563" s="146">
        <f>ETo!$I562*((1-Constantes!$F$19)*ETo!$K562+ETo!$L562)</f>
        <v>2.7101967083944394</v>
      </c>
      <c r="E563" s="76">
        <f>MIN(D563*Constantes!$F$17,0.8*(N562+Observaciones!$F562-F563-M563-Constantes!$D$14))</f>
        <v>0.10542137888263454</v>
      </c>
      <c r="F563" s="76">
        <f>IF(Observaciones!$F562&gt;0.05*Constantes!$F$18,((Observaciones!$F562-0.05*Constantes!$F$18)^2)/(Observaciones!$F562+0.95*Constantes!$F$18),0)</f>
        <v>0</v>
      </c>
      <c r="G563" s="76">
        <f>IF(Escenarios!$F$11&gt;0,(F563*Escenarios!$F$16*10000)/1000,0)</f>
        <v>0</v>
      </c>
      <c r="H563" s="76">
        <f>IF(Escenarios!$F$11&gt;0,(Observaciones!$F562*Constantes!$F$29)/1000,0)</f>
        <v>0</v>
      </c>
      <c r="I563" s="76">
        <f>IF(Escenarios!$F$11&gt;0,(D563*Constantes!$F$29)/1000,0)</f>
        <v>0</v>
      </c>
      <c r="J563" s="76">
        <f>IF(Escenarios!$F$11&gt;0,MAX(0,G563+H563-I563),0)</f>
        <v>0</v>
      </c>
      <c r="K563" s="76">
        <f>IF(Escenarios!$F$11&gt;0,IF(J563&gt;Constantes!$F$30,1000*((J563-Constantes!$F$30)/(Escenarios!$F$16*10000)),0),F563)</f>
        <v>0</v>
      </c>
      <c r="L563" s="76">
        <f>IF(Escenarios!$F$11&gt;0,I563*1000/Escenarios!$F$16/10000+E563,E563)</f>
        <v>0.10542137888263454</v>
      </c>
      <c r="M563" s="76">
        <f>MAX(0,N562+Observaciones!$F562-K563-Constantes!$D$13)</f>
        <v>0</v>
      </c>
      <c r="N563" s="76">
        <f>N562+Observaciones!$F562-K563-L563-M563-O562</f>
        <v>11.271866545752474</v>
      </c>
      <c r="O563" s="76">
        <f>MAX(0,(N563-Constantes!$D$14)*(1-EXP(-Constantes!$D$22)))</f>
        <v>7.4485482206207519E-4</v>
      </c>
      <c r="P563" s="170">
        <f>P562+(Entradas!$F$83*M563-Q562)/(800*Entradas!$D$25)</f>
        <v>0</v>
      </c>
      <c r="Q563" s="170">
        <f>8000*Entradas!$D$26*P563/Constantes!$F$45</f>
        <v>0</v>
      </c>
      <c r="R563" s="170">
        <f>IF(Escenarios!$F$14&gt;0,K563*Escenarios!$F$13/Escenarios!$F$14,0)</f>
        <v>0</v>
      </c>
      <c r="S563" s="170">
        <f>IF(Escenarios!$F$14&gt;0,Q563*Escenarios!$F$13/Escenarios!$F$14,0)</f>
        <v>0</v>
      </c>
      <c r="T563" s="170">
        <f>IF(Escenarios!$F$14&gt;0,Observaciones!$I562,0)</f>
        <v>0</v>
      </c>
      <c r="U563" s="170">
        <f>IF(Escenarios!$F$14&gt;0,MAX(0,Constantes!$F$36/((Z562+R563+S563+T563+Observaciones!$F562)^2)+Entradas!$F$77),0)</f>
        <v>0</v>
      </c>
      <c r="V563" s="146">
        <f>IF(ETo!D562&gt;0,ETo!I562*((1-Entradas!$F$81)*ETo!K562+ETo!L562),0)</f>
        <v>2.3629275728967771</v>
      </c>
      <c r="W563" s="170">
        <f>IF(Escenarios!$F$14&gt;0,MIN(V563*1,0.8*(Z562+R563+S563+T563+Observaciones!$F562-U563-Constantes!$F$35)),0)</f>
        <v>7.0400000000000781E-2</v>
      </c>
      <c r="X563" s="170">
        <f>IF(Escenarios!$F$14&gt;0,Observaciones!$J562,0)</f>
        <v>0</v>
      </c>
      <c r="Y563" s="170">
        <f>IF(Escenarios!$F$14&gt;0,MAX(0,Z562+R563+S563+T563+Observaciones!$F562-U563-W563-X563-Constantes!$F$33),0)</f>
        <v>0</v>
      </c>
      <c r="Z563" s="170">
        <f>Z562+R563+S563+T563+Observaciones!$F562-U563-W563-Y563</f>
        <v>41.267600000000002</v>
      </c>
      <c r="AA563" s="170">
        <f>IF(Escenarios!$F$14&gt;0,(Escenarios!$F$13*L563+Escenarios!$F$14*W563)/(Escenarios!$F$16),L563)</f>
        <v>0.10121881341671848</v>
      </c>
      <c r="AB563" s="170">
        <f>IF(Escenarios!$F$14&gt;0,(Escenarios!$F$14*Y563)/(Escenarios!$F$16),K563)</f>
        <v>0</v>
      </c>
      <c r="AC563" s="170">
        <f>IF(Escenarios!$F$14&gt;0,(Escenarios!$F$13*M563+Escenarios!$F$14*U563)/(Escenarios!$F$16),M563)</f>
        <v>0</v>
      </c>
      <c r="AD563" s="76">
        <f t="shared" si="113"/>
        <v>91.89624741514892</v>
      </c>
      <c r="AE563" s="76">
        <f>MAX(0,(AD563-Constantes!$D$13)*(1-EXP(-Constantes!$D$23)))</f>
        <v>0.42513025241694663</v>
      </c>
      <c r="AF563" s="76">
        <f>AB563+O563*Escenarios!$F$13/Escenarios!$F$16+AE563</f>
        <v>0.42578572466036124</v>
      </c>
      <c r="AG563" s="76">
        <f>IF(Entradas!$F$91&gt;0,IF(AF563-Escenarios!$F$38&lt;=0,0,IF(AF563-Escenarios!$F$38&gt;Escenarios!$F$37,Escenarios!$F$37,AF563-Escenarios!$F$38)),0)</f>
        <v>0</v>
      </c>
      <c r="AH563" s="76">
        <f>AG563*Entradas!$F$99</f>
        <v>0</v>
      </c>
      <c r="AI563" s="76">
        <f>IF(Entradas!$F$91&gt;0,D563*Entradas!$D$23/Escenarios!$F$16,0)</f>
        <v>0.13008944200293307</v>
      </c>
      <c r="AJ563" s="76">
        <f>IF(Entradas!$F$91&gt;0,Entradas!$D$24*Entradas!$D$22/Escenarios!$F$16,0)</f>
        <v>0.12</v>
      </c>
      <c r="AK563" s="76">
        <f t="shared" si="114"/>
        <v>0.23130825541965155</v>
      </c>
      <c r="AL563" s="76">
        <f t="shared" si="115"/>
        <v>0</v>
      </c>
      <c r="AM563" s="76">
        <f t="shared" si="116"/>
        <v>0</v>
      </c>
      <c r="AN563" s="76">
        <f>MAX(0,O563*Escenarios!$F$13/Escenarios!$F$16-AM563)</f>
        <v>6.5547224341462617E-4</v>
      </c>
      <c r="AO563" s="76">
        <f>AM563+AN563-O563*Escenarios!$F$13/Escenarios!$F$16</f>
        <v>0</v>
      </c>
      <c r="AP563" s="76">
        <f t="shared" si="117"/>
        <v>0.42513025241694663</v>
      </c>
      <c r="AQ563" s="76">
        <f t="shared" si="118"/>
        <v>0</v>
      </c>
      <c r="AR563" s="76">
        <f t="shared" si="119"/>
        <v>0.42578572466036124</v>
      </c>
      <c r="AS563" s="76">
        <f t="shared" si="120"/>
        <v>0</v>
      </c>
      <c r="AT563" s="76">
        <f t="shared" si="121"/>
        <v>0</v>
      </c>
      <c r="AU563" s="76">
        <f t="shared" si="122"/>
        <v>51.697768461024303</v>
      </c>
      <c r="AV563" s="76">
        <f>MAX(0,(AU563-Constantes!$D$13)*(1-EXP(-Constantes!$D$24)))</f>
        <v>4.5057369218847912E-2</v>
      </c>
      <c r="AW563" s="170">
        <f>AW562+(Entradas!$F$112*AT563-AX562)/(800*Entradas!$D$25)</f>
        <v>0</v>
      </c>
      <c r="AX563" s="170">
        <f>8000*Entradas!$D$26*AW563/Constantes!$F$45</f>
        <v>0</v>
      </c>
      <c r="AY563" s="170">
        <f>IF(Escenarios!$F$17&gt;0,10*Escenarios!$F$16*AL563,0)</f>
        <v>0</v>
      </c>
      <c r="AZ563" s="170">
        <f>IF(Escenarios!$F$17&gt;0,10*Escenarios!$F$16*AX563,0)</f>
        <v>0</v>
      </c>
      <c r="BA563" s="170">
        <f>IF(Escenarios!$F$17&gt;0,0.001*Observaciones!$F562*Escenarios!$F$17,0)</f>
        <v>0</v>
      </c>
      <c r="BB563" s="170">
        <f>IF(Escenarios!$F$17&gt;0,Observaciones!$K562,0)</f>
        <v>0</v>
      </c>
      <c r="BC563" s="170">
        <f>IF(Escenarios!$F$17&gt;0,MIN(0.0005*ETo!$M562*Escenarios!$F$17*(BG562/Constantes!$F$40)^(2/3),BG562+AY563+AZ563+BA563+BB563),0)</f>
        <v>0</v>
      </c>
      <c r="BD563" s="170">
        <f>IF(Escenarios!$F$17&gt;0,MIN(Constantes!$F$39*(BG562/Constantes!$F$40)^(2/3),BG562+AY563+AZ563+BA563+BB563-BC563),0)</f>
        <v>0</v>
      </c>
      <c r="BE563" s="170">
        <f>IF(Escenarios!$F$17&gt;0,MIN(Entradas!$F$113,BG562+AY563+AZ563+BA563+BB563-BC563-BD563),0)</f>
        <v>0</v>
      </c>
      <c r="BF563" s="170">
        <f>IF(Escenarios!$F$17&gt;0,MAX(0,BG562+AY563+AZ563+BA563+BB563-BC563-BD563-BE563-Constantes!$F$40),0)</f>
        <v>0</v>
      </c>
      <c r="BG563" s="170">
        <f t="shared" si="123"/>
        <v>0</v>
      </c>
      <c r="BH563" s="170">
        <f>(Escenarios!$F$16*AK563+0.1*BC563)/(Escenarios!$F$19)</f>
        <v>0.23130825541965155</v>
      </c>
      <c r="BI563" s="170">
        <f>IF(Escenarios!$F$17&gt;0,BF563/10/Escenarios!$F$19,AL563)</f>
        <v>0</v>
      </c>
      <c r="BJ563" s="170">
        <f>(Escenarios!$F$16*AT563+0.1*BD563)/(Escenarios!$F$19)</f>
        <v>0</v>
      </c>
      <c r="BK563" s="76">
        <f>BK562+(0.1*BD563)/(Escenarios!$F$19)-BL562</f>
        <v>48.75</v>
      </c>
      <c r="BL563" s="76">
        <f>MAX(0,(BK563-Constantes!$D$13)*(1-EXP(-Constantes!$D$23)))</f>
        <v>0</v>
      </c>
      <c r="BM563" s="76">
        <f t="shared" si="124"/>
        <v>0.47018762163579453</v>
      </c>
      <c r="BN563" s="76">
        <f t="shared" si="125"/>
        <v>0.47084309387920914</v>
      </c>
      <c r="BO563" s="76">
        <f>0.0526*BI563*Observaciones!$F562^1.218</f>
        <v>0</v>
      </c>
      <c r="BP563" s="76">
        <f>BO563*Constantes!$F$51</f>
        <v>0</v>
      </c>
      <c r="BQ563" s="76">
        <f t="shared" si="126"/>
        <v>0</v>
      </c>
      <c r="BR563" s="40"/>
    </row>
    <row r="564" spans="2:70">
      <c r="B564" s="39"/>
      <c r="C564" s="75">
        <v>558</v>
      </c>
      <c r="D564" s="146">
        <f>ETo!$I563*((1-Constantes!$F$19)*ETo!$K563+ETo!$L563)</f>
        <v>2.7097421120494225</v>
      </c>
      <c r="E564" s="76">
        <f>MIN(D564*Constantes!$F$17,0.8*(N563+Observaciones!$F563-F564-M564-Constantes!$D$14))</f>
        <v>1.7493236601978879E-2</v>
      </c>
      <c r="F564" s="76">
        <f>IF(Observaciones!$F563&gt;0.05*Constantes!$F$18,((Observaciones!$F563-0.05*Constantes!$F$18)^2)/(Observaciones!$F563+0.95*Constantes!$F$18),0)</f>
        <v>0</v>
      </c>
      <c r="G564" s="76">
        <f>IF(Escenarios!$F$11&gt;0,(F564*Escenarios!$F$16*10000)/1000,0)</f>
        <v>0</v>
      </c>
      <c r="H564" s="76">
        <f>IF(Escenarios!$F$11&gt;0,(Observaciones!$F563*Constantes!$F$29)/1000,0)</f>
        <v>0</v>
      </c>
      <c r="I564" s="76">
        <f>IF(Escenarios!$F$11&gt;0,(D564*Constantes!$F$29)/1000,0)</f>
        <v>0</v>
      </c>
      <c r="J564" s="76">
        <f>IF(Escenarios!$F$11&gt;0,MAX(0,G564+H564-I564),0)</f>
        <v>0</v>
      </c>
      <c r="K564" s="76">
        <f>IF(Escenarios!$F$11&gt;0,IF(J564&gt;Constantes!$F$30,1000*((J564-Constantes!$F$30)/(Escenarios!$F$16*10000)),0),F564)</f>
        <v>0</v>
      </c>
      <c r="L564" s="76">
        <f>IF(Escenarios!$F$11&gt;0,I564*1000/Escenarios!$F$16/10000+E564,E564)</f>
        <v>1.7493236601978879E-2</v>
      </c>
      <c r="M564" s="76">
        <f>MAX(0,N563+Observaciones!$F563-K564-Constantes!$D$13)</f>
        <v>0</v>
      </c>
      <c r="N564" s="76">
        <f>N563+Observaciones!$F563-K564-L564-M564-O563</f>
        <v>11.253628454328434</v>
      </c>
      <c r="O564" s="76">
        <f>MAX(0,(N564-Constantes!$D$14)*(1-EXP(-Constantes!$D$22)))</f>
        <v>1.2359847475497919E-4</v>
      </c>
      <c r="P564" s="170">
        <f>P563+(Entradas!$F$83*M564-Q563)/(800*Entradas!$D$25)</f>
        <v>0</v>
      </c>
      <c r="Q564" s="170">
        <f>8000*Entradas!$D$26*P564/Constantes!$F$45</f>
        <v>0</v>
      </c>
      <c r="R564" s="170">
        <f>IF(Escenarios!$F$14&gt;0,K564*Escenarios!$F$13/Escenarios!$F$14,0)</f>
        <v>0</v>
      </c>
      <c r="S564" s="170">
        <f>IF(Escenarios!$F$14&gt;0,Q564*Escenarios!$F$13/Escenarios!$F$14,0)</f>
        <v>0</v>
      </c>
      <c r="T564" s="170">
        <f>IF(Escenarios!$F$14&gt;0,Observaciones!$I563,0)</f>
        <v>0</v>
      </c>
      <c r="U564" s="170">
        <f>IF(Escenarios!$F$14&gt;0,MAX(0,Constantes!$F$36/((Z563+R564+S564+T564+Observaciones!$F563)^2)+Entradas!$F$77),0)</f>
        <v>0</v>
      </c>
      <c r="V564" s="146">
        <f>IF(ETo!D563&gt;0,ETo!I563*((1-Entradas!$F$81)*ETo!K563+ETo!L563),0)</f>
        <v>2.3628119448934748</v>
      </c>
      <c r="W564" s="170">
        <f>IF(Escenarios!$F$14&gt;0,MIN(V564*1,0.8*(Z563+R564+S564+T564+Observaciones!$F563-U564-Constantes!$F$35)),0)</f>
        <v>1.4080000000001293E-2</v>
      </c>
      <c r="X564" s="170">
        <f>IF(Escenarios!$F$14&gt;0,Observaciones!$J563,0)</f>
        <v>0</v>
      </c>
      <c r="Y564" s="170">
        <f>IF(Escenarios!$F$14&gt;0,MAX(0,Z563+R564+S564+T564+Observaciones!$F563-U564-W564-X564-Constantes!$F$33),0)</f>
        <v>0</v>
      </c>
      <c r="Z564" s="170">
        <f>Z563+R564+S564+T564+Observaciones!$F563-U564-W564-Y564</f>
        <v>41.253520000000002</v>
      </c>
      <c r="AA564" s="170">
        <f>IF(Escenarios!$F$14&gt;0,(Escenarios!$F$13*L564+Escenarios!$F$14*W564)/(Escenarios!$F$16),L564)</f>
        <v>1.7083648209741568E-2</v>
      </c>
      <c r="AB564" s="170">
        <f>IF(Escenarios!$F$14&gt;0,(Escenarios!$F$14*Y564)/(Escenarios!$F$16),K564)</f>
        <v>0</v>
      </c>
      <c r="AC564" s="170">
        <f>IF(Escenarios!$F$14&gt;0,(Escenarios!$F$13*M564+Escenarios!$F$14*U564)/(Escenarios!$F$16),M564)</f>
        <v>0</v>
      </c>
      <c r="AD564" s="76">
        <f t="shared" si="113"/>
        <v>91.471117162731971</v>
      </c>
      <c r="AE564" s="76">
        <f>MAX(0,(AD564-Constantes!$D$13)*(1-EXP(-Constantes!$D$23)))</f>
        <v>0.42094134278174533</v>
      </c>
      <c r="AF564" s="76">
        <f>AB564+O564*Escenarios!$F$13/Escenarios!$F$16+AE564</f>
        <v>0.4210501094395297</v>
      </c>
      <c r="AG564" s="76">
        <f>IF(Entradas!$F$91&gt;0,IF(AF564-Escenarios!$F$38&lt;=0,0,IF(AF564-Escenarios!$F$38&gt;Escenarios!$F$37,Escenarios!$F$37,AF564-Escenarios!$F$38)),0)</f>
        <v>0</v>
      </c>
      <c r="AH564" s="76">
        <f>AG564*Entradas!$F$99</f>
        <v>0</v>
      </c>
      <c r="AI564" s="76">
        <f>IF(Entradas!$F$91&gt;0,D564*Entradas!$D$23/Escenarios!$F$16,0)</f>
        <v>0.13006762137837227</v>
      </c>
      <c r="AJ564" s="76">
        <f>IF(Entradas!$F$91&gt;0,Entradas!$D$24*Entradas!$D$22/Escenarios!$F$16,0)</f>
        <v>0.12</v>
      </c>
      <c r="AK564" s="76">
        <f t="shared" si="114"/>
        <v>0.14715126958811384</v>
      </c>
      <c r="AL564" s="76">
        <f t="shared" si="115"/>
        <v>0</v>
      </c>
      <c r="AM564" s="76">
        <f t="shared" si="116"/>
        <v>0</v>
      </c>
      <c r="AN564" s="76">
        <f>MAX(0,O564*Escenarios!$F$13/Escenarios!$F$16-AM564)</f>
        <v>1.0876665778438169E-4</v>
      </c>
      <c r="AO564" s="76">
        <f>AM564+AN564-O564*Escenarios!$F$13/Escenarios!$F$16</f>
        <v>0</v>
      </c>
      <c r="AP564" s="76">
        <f t="shared" si="117"/>
        <v>0.42094134278174533</v>
      </c>
      <c r="AQ564" s="76">
        <f t="shared" si="118"/>
        <v>0</v>
      </c>
      <c r="AR564" s="76">
        <f t="shared" si="119"/>
        <v>0.4210501094395297</v>
      </c>
      <c r="AS564" s="76">
        <f t="shared" si="120"/>
        <v>0</v>
      </c>
      <c r="AT564" s="76">
        <f t="shared" si="121"/>
        <v>0</v>
      </c>
      <c r="AU564" s="76">
        <f t="shared" si="122"/>
        <v>51.652711091805457</v>
      </c>
      <c r="AV564" s="76">
        <f>MAX(0,(AU564-Constantes!$D$13)*(1-EXP(-Constantes!$D$24)))</f>
        <v>4.4368656198213299E-2</v>
      </c>
      <c r="AW564" s="170">
        <f>AW563+(Entradas!$F$112*AT564-AX563)/(800*Entradas!$D$25)</f>
        <v>0</v>
      </c>
      <c r="AX564" s="170">
        <f>8000*Entradas!$D$26*AW564/Constantes!$F$45</f>
        <v>0</v>
      </c>
      <c r="AY564" s="170">
        <f>IF(Escenarios!$F$17&gt;0,10*Escenarios!$F$16*AL564,0)</f>
        <v>0</v>
      </c>
      <c r="AZ564" s="170">
        <f>IF(Escenarios!$F$17&gt;0,10*Escenarios!$F$16*AX564,0)</f>
        <v>0</v>
      </c>
      <c r="BA564" s="170">
        <f>IF(Escenarios!$F$17&gt;0,0.001*Observaciones!$F563*Escenarios!$F$17,0)</f>
        <v>0</v>
      </c>
      <c r="BB564" s="170">
        <f>IF(Escenarios!$F$17&gt;0,Observaciones!$K563,0)</f>
        <v>0</v>
      </c>
      <c r="BC564" s="170">
        <f>IF(Escenarios!$F$17&gt;0,MIN(0.0005*ETo!$M563*Escenarios!$F$17*(BG563/Constantes!$F$40)^(2/3),BG563+AY564+AZ564+BA564+BB564),0)</f>
        <v>0</v>
      </c>
      <c r="BD564" s="170">
        <f>IF(Escenarios!$F$17&gt;0,MIN(Constantes!$F$39*(BG563/Constantes!$F$40)^(2/3),BG563+AY564+AZ564+BA564+BB564-BC564),0)</f>
        <v>0</v>
      </c>
      <c r="BE564" s="170">
        <f>IF(Escenarios!$F$17&gt;0,MIN(Entradas!$F$113,BG563+AY564+AZ564+BA564+BB564-BC564-BD564),0)</f>
        <v>0</v>
      </c>
      <c r="BF564" s="170">
        <f>IF(Escenarios!$F$17&gt;0,MAX(0,BG563+AY564+AZ564+BA564+BB564-BC564-BD564-BE564-Constantes!$F$40),0)</f>
        <v>0</v>
      </c>
      <c r="BG564" s="170">
        <f t="shared" si="123"/>
        <v>0</v>
      </c>
      <c r="BH564" s="170">
        <f>(Escenarios!$F$16*AK564+0.1*BC564)/(Escenarios!$F$19)</f>
        <v>0.14715126958811384</v>
      </c>
      <c r="BI564" s="170">
        <f>IF(Escenarios!$F$17&gt;0,BF564/10/Escenarios!$F$19,AL564)</f>
        <v>0</v>
      </c>
      <c r="BJ564" s="170">
        <f>(Escenarios!$F$16*AT564+0.1*BD564)/(Escenarios!$F$19)</f>
        <v>0</v>
      </c>
      <c r="BK564" s="76">
        <f>BK563+(0.1*BD564)/(Escenarios!$F$19)-BL563</f>
        <v>48.75</v>
      </c>
      <c r="BL564" s="76">
        <f>MAX(0,(BK564-Constantes!$D$13)*(1-EXP(-Constantes!$D$23)))</f>
        <v>0</v>
      </c>
      <c r="BM564" s="76">
        <f t="shared" si="124"/>
        <v>0.46530999897995862</v>
      </c>
      <c r="BN564" s="76">
        <f t="shared" si="125"/>
        <v>0.46541876563774298</v>
      </c>
      <c r="BO564" s="76">
        <f>0.0526*BI564*Observaciones!$F563^1.218</f>
        <v>0</v>
      </c>
      <c r="BP564" s="76">
        <f>BO564*Constantes!$F$51</f>
        <v>0</v>
      </c>
      <c r="BQ564" s="76">
        <f t="shared" si="126"/>
        <v>0</v>
      </c>
      <c r="BR564" s="40"/>
    </row>
    <row r="565" spans="2:70">
      <c r="B565" s="39"/>
      <c r="C565" s="75">
        <v>559</v>
      </c>
      <c r="D565" s="146">
        <f>ETo!$I564*((1-Constantes!$F$19)*ETo!$K564+ETo!$L564)</f>
        <v>2.6073493960911969</v>
      </c>
      <c r="E565" s="76">
        <f>MIN(D565*Constantes!$F$17,0.8*(N564+Observaciones!$F564-F565-M565-Constantes!$D$14))</f>
        <v>2.9027634627468049E-3</v>
      </c>
      <c r="F565" s="76">
        <f>IF(Observaciones!$F564&gt;0.05*Constantes!$F$18,((Observaciones!$F564-0.05*Constantes!$F$18)^2)/(Observaciones!$F564+0.95*Constantes!$F$18),0)</f>
        <v>0</v>
      </c>
      <c r="G565" s="76">
        <f>IF(Escenarios!$F$11&gt;0,(F565*Escenarios!$F$16*10000)/1000,0)</f>
        <v>0</v>
      </c>
      <c r="H565" s="76">
        <f>IF(Escenarios!$F$11&gt;0,(Observaciones!$F564*Constantes!$F$29)/1000,0)</f>
        <v>0</v>
      </c>
      <c r="I565" s="76">
        <f>IF(Escenarios!$F$11&gt;0,(D565*Constantes!$F$29)/1000,0)</f>
        <v>0</v>
      </c>
      <c r="J565" s="76">
        <f>IF(Escenarios!$F$11&gt;0,MAX(0,G565+H565-I565),0)</f>
        <v>0</v>
      </c>
      <c r="K565" s="76">
        <f>IF(Escenarios!$F$11&gt;0,IF(J565&gt;Constantes!$F$30,1000*((J565-Constantes!$F$30)/(Escenarios!$F$16*10000)),0),F565)</f>
        <v>0</v>
      </c>
      <c r="L565" s="76">
        <f>IF(Escenarios!$F$11&gt;0,I565*1000/Escenarios!$F$16/10000+E565,E565)</f>
        <v>2.9027634627468049E-3</v>
      </c>
      <c r="M565" s="76">
        <f>MAX(0,N564+Observaciones!$F564-K565-Constantes!$D$13)</f>
        <v>0</v>
      </c>
      <c r="N565" s="76">
        <f>N564+Observaciones!$F564-K565-L565-M565-O564</f>
        <v>11.250602092390933</v>
      </c>
      <c r="O565" s="76">
        <f>MAX(0,(N565-Constantes!$D$14)*(1-EXP(-Constantes!$D$22)))</f>
        <v>2.0509477161591434E-5</v>
      </c>
      <c r="P565" s="170">
        <f>P564+(Entradas!$F$83*M565-Q564)/(800*Entradas!$D$25)</f>
        <v>0</v>
      </c>
      <c r="Q565" s="170">
        <f>8000*Entradas!$D$26*P565/Constantes!$F$45</f>
        <v>0</v>
      </c>
      <c r="R565" s="170">
        <f>IF(Escenarios!$F$14&gt;0,K565*Escenarios!$F$13/Escenarios!$F$14,0)</f>
        <v>0</v>
      </c>
      <c r="S565" s="170">
        <f>IF(Escenarios!$F$14&gt;0,Q565*Escenarios!$F$13/Escenarios!$F$14,0)</f>
        <v>0</v>
      </c>
      <c r="T565" s="170">
        <f>IF(Escenarios!$F$14&gt;0,Observaciones!$I564,0)</f>
        <v>0</v>
      </c>
      <c r="U565" s="170">
        <f>IF(Escenarios!$F$14&gt;0,MAX(0,Constantes!$F$36/((Z564+R565+S565+T565+Observaciones!$F564)^2)+Entradas!$F$77),0)</f>
        <v>0</v>
      </c>
      <c r="V565" s="146">
        <f>IF(ETo!D564&gt;0,ETo!I564*((1-Entradas!$F$81)*ETo!K564+ETo!L564),0)</f>
        <v>2.2728735906247355</v>
      </c>
      <c r="W565" s="170">
        <f>IF(Escenarios!$F$14&gt;0,MIN(V565*1,0.8*(Z564+R565+S565+T565+Observaciones!$F564-U565-Constantes!$F$35)),0)</f>
        <v>2.8160000000013955E-3</v>
      </c>
      <c r="X565" s="170">
        <f>IF(Escenarios!$F$14&gt;0,Observaciones!$J564,0)</f>
        <v>0</v>
      </c>
      <c r="Y565" s="170">
        <f>IF(Escenarios!$F$14&gt;0,MAX(0,Z564+R565+S565+T565+Observaciones!$F564-U565-W565-X565-Constantes!$F$33),0)</f>
        <v>0</v>
      </c>
      <c r="Z565" s="170">
        <f>Z564+R565+S565+T565+Observaciones!$F564-U565-W565-Y565</f>
        <v>41.250703999999999</v>
      </c>
      <c r="AA565" s="170">
        <f>IF(Escenarios!$F$14&gt;0,(Escenarios!$F$13*L565+Escenarios!$F$14*W565)/(Escenarios!$F$16),L565)</f>
        <v>2.8923518472173558E-3</v>
      </c>
      <c r="AB565" s="170">
        <f>IF(Escenarios!$F$14&gt;0,(Escenarios!$F$14*Y565)/(Escenarios!$F$16),K565)</f>
        <v>0</v>
      </c>
      <c r="AC565" s="170">
        <f>IF(Escenarios!$F$14&gt;0,(Escenarios!$F$13*M565+Escenarios!$F$14*U565)/(Escenarios!$F$16),M565)</f>
        <v>0</v>
      </c>
      <c r="AD565" s="76">
        <f t="shared" si="113"/>
        <v>91.050175819950226</v>
      </c>
      <c r="AE565" s="76">
        <f>MAX(0,(AD565-Constantes!$D$13)*(1-EXP(-Constantes!$D$23)))</f>
        <v>0.41679370747090022</v>
      </c>
      <c r="AF565" s="76">
        <f>AB565+O565*Escenarios!$F$13/Escenarios!$F$16+AE565</f>
        <v>0.41681175581080243</v>
      </c>
      <c r="AG565" s="76">
        <f>IF(Entradas!$F$91&gt;0,IF(AF565-Escenarios!$F$38&lt;=0,0,IF(AF565-Escenarios!$F$38&gt;Escenarios!$F$37,Escenarios!$F$37,AF565-Escenarios!$F$38)),0)</f>
        <v>0</v>
      </c>
      <c r="AH565" s="76">
        <f>AG565*Entradas!$F$99</f>
        <v>0</v>
      </c>
      <c r="AI565" s="76">
        <f>IF(Entradas!$F$91&gt;0,D565*Entradas!$D$23/Escenarios!$F$16,0)</f>
        <v>0.12515277101237746</v>
      </c>
      <c r="AJ565" s="76">
        <f>IF(Entradas!$F$91&gt;0,Entradas!$D$24*Entradas!$D$22/Escenarios!$F$16,0)</f>
        <v>0.12</v>
      </c>
      <c r="AK565" s="76">
        <f t="shared" si="114"/>
        <v>0.12804512285959482</v>
      </c>
      <c r="AL565" s="76">
        <f t="shared" si="115"/>
        <v>0</v>
      </c>
      <c r="AM565" s="76">
        <f t="shared" si="116"/>
        <v>0</v>
      </c>
      <c r="AN565" s="76">
        <f>MAX(0,O565*Escenarios!$F$13/Escenarios!$F$16-AM565)</f>
        <v>1.8048339902200465E-5</v>
      </c>
      <c r="AO565" s="76">
        <f>AM565+AN565-O565*Escenarios!$F$13/Escenarios!$F$16</f>
        <v>0</v>
      </c>
      <c r="AP565" s="76">
        <f t="shared" si="117"/>
        <v>0.41679370747090022</v>
      </c>
      <c r="AQ565" s="76">
        <f t="shared" si="118"/>
        <v>0</v>
      </c>
      <c r="AR565" s="76">
        <f t="shared" si="119"/>
        <v>0.41681175581080243</v>
      </c>
      <c r="AS565" s="76">
        <f t="shared" si="120"/>
        <v>0</v>
      </c>
      <c r="AT565" s="76">
        <f t="shared" si="121"/>
        <v>0</v>
      </c>
      <c r="AU565" s="76">
        <f t="shared" si="122"/>
        <v>51.608342435607241</v>
      </c>
      <c r="AV565" s="76">
        <f>MAX(0,(AU565-Constantes!$D$13)*(1-EXP(-Constantes!$D$24)))</f>
        <v>4.3690470326256288E-2</v>
      </c>
      <c r="AW565" s="170">
        <f>AW564+(Entradas!$F$112*AT565-AX564)/(800*Entradas!$D$25)</f>
        <v>0</v>
      </c>
      <c r="AX565" s="170">
        <f>8000*Entradas!$D$26*AW565/Constantes!$F$45</f>
        <v>0</v>
      </c>
      <c r="AY565" s="170">
        <f>IF(Escenarios!$F$17&gt;0,10*Escenarios!$F$16*AL565,0)</f>
        <v>0</v>
      </c>
      <c r="AZ565" s="170">
        <f>IF(Escenarios!$F$17&gt;0,10*Escenarios!$F$16*AX565,0)</f>
        <v>0</v>
      </c>
      <c r="BA565" s="170">
        <f>IF(Escenarios!$F$17&gt;0,0.001*Observaciones!$F564*Escenarios!$F$17,0)</f>
        <v>0</v>
      </c>
      <c r="BB565" s="170">
        <f>IF(Escenarios!$F$17&gt;0,Observaciones!$K564,0)</f>
        <v>0</v>
      </c>
      <c r="BC565" s="170">
        <f>IF(Escenarios!$F$17&gt;0,MIN(0.0005*ETo!$M564*Escenarios!$F$17*(BG564/Constantes!$F$40)^(2/3),BG564+AY565+AZ565+BA565+BB565),0)</f>
        <v>0</v>
      </c>
      <c r="BD565" s="170">
        <f>IF(Escenarios!$F$17&gt;0,MIN(Constantes!$F$39*(BG564/Constantes!$F$40)^(2/3),BG564+AY565+AZ565+BA565+BB565-BC565),0)</f>
        <v>0</v>
      </c>
      <c r="BE565" s="170">
        <f>IF(Escenarios!$F$17&gt;0,MIN(Entradas!$F$113,BG564+AY565+AZ565+BA565+BB565-BC565-BD565),0)</f>
        <v>0</v>
      </c>
      <c r="BF565" s="170">
        <f>IF(Escenarios!$F$17&gt;0,MAX(0,BG564+AY565+AZ565+BA565+BB565-BC565-BD565-BE565-Constantes!$F$40),0)</f>
        <v>0</v>
      </c>
      <c r="BG565" s="170">
        <f t="shared" si="123"/>
        <v>0</v>
      </c>
      <c r="BH565" s="170">
        <f>(Escenarios!$F$16*AK565+0.1*BC565)/(Escenarios!$F$19)</f>
        <v>0.12804512285959482</v>
      </c>
      <c r="BI565" s="170">
        <f>IF(Escenarios!$F$17&gt;0,BF565/10/Escenarios!$F$19,AL565)</f>
        <v>0</v>
      </c>
      <c r="BJ565" s="170">
        <f>(Escenarios!$F$16*AT565+0.1*BD565)/(Escenarios!$F$19)</f>
        <v>0</v>
      </c>
      <c r="BK565" s="76">
        <f>BK564+(0.1*BD565)/(Escenarios!$F$19)-BL564</f>
        <v>48.75</v>
      </c>
      <c r="BL565" s="76">
        <f>MAX(0,(BK565-Constantes!$D$13)*(1-EXP(-Constantes!$D$23)))</f>
        <v>0</v>
      </c>
      <c r="BM565" s="76">
        <f t="shared" si="124"/>
        <v>0.4604841777971565</v>
      </c>
      <c r="BN565" s="76">
        <f t="shared" si="125"/>
        <v>0.46050222613705871</v>
      </c>
      <c r="BO565" s="76">
        <f>0.0526*BI565*Observaciones!$F564^1.218</f>
        <v>0</v>
      </c>
      <c r="BP565" s="76">
        <f>BO565*Constantes!$F$51</f>
        <v>0</v>
      </c>
      <c r="BQ565" s="76">
        <f t="shared" si="126"/>
        <v>0</v>
      </c>
      <c r="BR565" s="40"/>
    </row>
    <row r="566" spans="2:70">
      <c r="B566" s="39"/>
      <c r="C566" s="75">
        <v>560</v>
      </c>
      <c r="D566" s="146">
        <f>ETo!$I565*((1-Constantes!$F$19)*ETo!$K565+ETo!$L565)</f>
        <v>2.5642248697674814</v>
      </c>
      <c r="E566" s="76">
        <f>MIN(D566*Constantes!$F$17,0.8*(N565+Observaciones!$F565-F566-M566-Constantes!$D$14))</f>
        <v>4.8167391274631658E-4</v>
      </c>
      <c r="F566" s="76">
        <f>IF(Observaciones!$F565&gt;0.05*Constantes!$F$18,((Observaciones!$F565-0.05*Constantes!$F$18)^2)/(Observaciones!$F565+0.95*Constantes!$F$18),0)</f>
        <v>0</v>
      </c>
      <c r="G566" s="76">
        <f>IF(Escenarios!$F$11&gt;0,(F566*Escenarios!$F$16*10000)/1000,0)</f>
        <v>0</v>
      </c>
      <c r="H566" s="76">
        <f>IF(Escenarios!$F$11&gt;0,(Observaciones!$F565*Constantes!$F$29)/1000,0)</f>
        <v>0</v>
      </c>
      <c r="I566" s="76">
        <f>IF(Escenarios!$F$11&gt;0,(D566*Constantes!$F$29)/1000,0)</f>
        <v>0</v>
      </c>
      <c r="J566" s="76">
        <f>IF(Escenarios!$F$11&gt;0,MAX(0,G566+H566-I566),0)</f>
        <v>0</v>
      </c>
      <c r="K566" s="76">
        <f>IF(Escenarios!$F$11&gt;0,IF(J566&gt;Constantes!$F$30,1000*((J566-Constantes!$F$30)/(Escenarios!$F$16*10000)),0),F566)</f>
        <v>0</v>
      </c>
      <c r="L566" s="76">
        <f>IF(Escenarios!$F$11&gt;0,I566*1000/Escenarios!$F$16/10000+E566,E566)</f>
        <v>4.8167391274631658E-4</v>
      </c>
      <c r="M566" s="76">
        <f>MAX(0,N565+Observaciones!$F565-K566-Constantes!$D$13)</f>
        <v>0</v>
      </c>
      <c r="N566" s="76">
        <f>N565+Observaciones!$F565-K566-L566-M566-O565</f>
        <v>11.250099909001024</v>
      </c>
      <c r="O566" s="76">
        <f>MAX(0,(N566-Constantes!$D$14)*(1-EXP(-Constantes!$D$22)))</f>
        <v>3.4032673483390497E-6</v>
      </c>
      <c r="P566" s="170">
        <f>P565+(Entradas!$F$83*M566-Q565)/(800*Entradas!$D$25)</f>
        <v>0</v>
      </c>
      <c r="Q566" s="170">
        <f>8000*Entradas!$D$26*P566/Constantes!$F$45</f>
        <v>0</v>
      </c>
      <c r="R566" s="170">
        <f>IF(Escenarios!$F$14&gt;0,K566*Escenarios!$F$13/Escenarios!$F$14,0)</f>
        <v>0</v>
      </c>
      <c r="S566" s="170">
        <f>IF(Escenarios!$F$14&gt;0,Q566*Escenarios!$F$13/Escenarios!$F$14,0)</f>
        <v>0</v>
      </c>
      <c r="T566" s="170">
        <f>IF(Escenarios!$F$14&gt;0,Observaciones!$I565,0)</f>
        <v>0</v>
      </c>
      <c r="U566" s="170">
        <f>IF(Escenarios!$F$14&gt;0,MAX(0,Constantes!$F$36/((Z565+R566+S566+T566+Observaciones!$F565)^2)+Entradas!$F$77),0)</f>
        <v>0</v>
      </c>
      <c r="V566" s="146">
        <f>IF(ETo!D565&gt;0,ETo!I565*((1-Entradas!$F$81)*ETo!K565+ETo!L565),0)</f>
        <v>2.2354198482973402</v>
      </c>
      <c r="W566" s="170">
        <f>IF(Escenarios!$F$14&gt;0,MIN(V566*1,0.8*(Z565+R566+S566+T566+Observaciones!$F565-U566-Constantes!$F$35)),0)</f>
        <v>5.6319999999914221E-4</v>
      </c>
      <c r="X566" s="170">
        <f>IF(Escenarios!$F$14&gt;0,Observaciones!$J565,0)</f>
        <v>0</v>
      </c>
      <c r="Y566" s="170">
        <f>IF(Escenarios!$F$14&gt;0,MAX(0,Z565+R566+S566+T566+Observaciones!$F565-U566-W566-X566-Constantes!$F$33),0)</f>
        <v>0</v>
      </c>
      <c r="Z566" s="170">
        <f>Z565+R566+S566+T566+Observaciones!$F565-U566-W566-Y566</f>
        <v>41.250140799999997</v>
      </c>
      <c r="AA566" s="170">
        <f>IF(Escenarios!$F$14&gt;0,(Escenarios!$F$13*L566+Escenarios!$F$14*W566)/(Escenarios!$F$16),L566)</f>
        <v>4.9145704321665567E-4</v>
      </c>
      <c r="AB566" s="170">
        <f>IF(Escenarios!$F$14&gt;0,(Escenarios!$F$14*Y566)/(Escenarios!$F$16),K566)</f>
        <v>0</v>
      </c>
      <c r="AC566" s="170">
        <f>IF(Escenarios!$F$14&gt;0,(Escenarios!$F$13*M566+Escenarios!$F$14*U566)/(Escenarios!$F$16),M566)</f>
        <v>0</v>
      </c>
      <c r="AD566" s="76">
        <f t="shared" si="113"/>
        <v>90.633382112479325</v>
      </c>
      <c r="AE566" s="76">
        <f>MAX(0,(AD566-Constantes!$D$13)*(1-EXP(-Constantes!$D$23)))</f>
        <v>0.41268693979866256</v>
      </c>
      <c r="AF566" s="76">
        <f>AB566+O566*Escenarios!$F$13/Escenarios!$F$16+AE566</f>
        <v>0.41268993467392912</v>
      </c>
      <c r="AG566" s="76">
        <f>IF(Entradas!$F$91&gt;0,IF(AF566-Escenarios!$F$38&lt;=0,0,IF(AF566-Escenarios!$F$38&gt;Escenarios!$F$37,Escenarios!$F$37,AF566-Escenarios!$F$38)),0)</f>
        <v>0</v>
      </c>
      <c r="AH566" s="76">
        <f>AG566*Entradas!$F$99</f>
        <v>0</v>
      </c>
      <c r="AI566" s="76">
        <f>IF(Entradas!$F$91&gt;0,D566*Entradas!$D$23/Escenarios!$F$16,0)</f>
        <v>0.12308279374883911</v>
      </c>
      <c r="AJ566" s="76">
        <f>IF(Entradas!$F$91&gt;0,Entradas!$D$24*Entradas!$D$22/Escenarios!$F$16,0)</f>
        <v>0.12</v>
      </c>
      <c r="AK566" s="76">
        <f t="shared" si="114"/>
        <v>0.12357425079205576</v>
      </c>
      <c r="AL566" s="76">
        <f t="shared" si="115"/>
        <v>0</v>
      </c>
      <c r="AM566" s="76">
        <f t="shared" si="116"/>
        <v>0</v>
      </c>
      <c r="AN566" s="76">
        <f>MAX(0,O566*Escenarios!$F$13/Escenarios!$F$16-AM566)</f>
        <v>2.9948752665383637E-6</v>
      </c>
      <c r="AO566" s="76">
        <f>AM566+AN566-O566*Escenarios!$F$13/Escenarios!$F$16</f>
        <v>0</v>
      </c>
      <c r="AP566" s="76">
        <f t="shared" si="117"/>
        <v>0.41268693979866256</v>
      </c>
      <c r="AQ566" s="76">
        <f t="shared" si="118"/>
        <v>0</v>
      </c>
      <c r="AR566" s="76">
        <f t="shared" si="119"/>
        <v>0.41268993467392912</v>
      </c>
      <c r="AS566" s="76">
        <f t="shared" si="120"/>
        <v>0</v>
      </c>
      <c r="AT566" s="76">
        <f t="shared" si="121"/>
        <v>0</v>
      </c>
      <c r="AU566" s="76">
        <f t="shared" si="122"/>
        <v>51.564651965280987</v>
      </c>
      <c r="AV566" s="76">
        <f>MAX(0,(AU566-Constantes!$D$13)*(1-EXP(-Constantes!$D$24)))</f>
        <v>4.3022650692908594E-2</v>
      </c>
      <c r="AW566" s="170">
        <f>AW565+(Entradas!$F$112*AT566-AX565)/(800*Entradas!$D$25)</f>
        <v>0</v>
      </c>
      <c r="AX566" s="170">
        <f>8000*Entradas!$D$26*AW566/Constantes!$F$45</f>
        <v>0</v>
      </c>
      <c r="AY566" s="170">
        <f>IF(Escenarios!$F$17&gt;0,10*Escenarios!$F$16*AL566,0)</f>
        <v>0</v>
      </c>
      <c r="AZ566" s="170">
        <f>IF(Escenarios!$F$17&gt;0,10*Escenarios!$F$16*AX566,0)</f>
        <v>0</v>
      </c>
      <c r="BA566" s="170">
        <f>IF(Escenarios!$F$17&gt;0,0.001*Observaciones!$F565*Escenarios!$F$17,0)</f>
        <v>0</v>
      </c>
      <c r="BB566" s="170">
        <f>IF(Escenarios!$F$17&gt;0,Observaciones!$K565,0)</f>
        <v>0</v>
      </c>
      <c r="BC566" s="170">
        <f>IF(Escenarios!$F$17&gt;0,MIN(0.0005*ETo!$M565*Escenarios!$F$17*(BG565/Constantes!$F$40)^(2/3),BG565+AY566+AZ566+BA566+BB566),0)</f>
        <v>0</v>
      </c>
      <c r="BD566" s="170">
        <f>IF(Escenarios!$F$17&gt;0,MIN(Constantes!$F$39*(BG565/Constantes!$F$40)^(2/3),BG565+AY566+AZ566+BA566+BB566-BC566),0)</f>
        <v>0</v>
      </c>
      <c r="BE566" s="170">
        <f>IF(Escenarios!$F$17&gt;0,MIN(Entradas!$F$113,BG565+AY566+AZ566+BA566+BB566-BC566-BD566),0)</f>
        <v>0</v>
      </c>
      <c r="BF566" s="170">
        <f>IF(Escenarios!$F$17&gt;0,MAX(0,BG565+AY566+AZ566+BA566+BB566-BC566-BD566-BE566-Constantes!$F$40),0)</f>
        <v>0</v>
      </c>
      <c r="BG566" s="170">
        <f t="shared" si="123"/>
        <v>0</v>
      </c>
      <c r="BH566" s="170">
        <f>(Escenarios!$F$16*AK566+0.1*BC566)/(Escenarios!$F$19)</f>
        <v>0.12357425079205576</v>
      </c>
      <c r="BI566" s="170">
        <f>IF(Escenarios!$F$17&gt;0,BF566/10/Escenarios!$F$19,AL566)</f>
        <v>0</v>
      </c>
      <c r="BJ566" s="170">
        <f>(Escenarios!$F$16*AT566+0.1*BD566)/(Escenarios!$F$19)</f>
        <v>0</v>
      </c>
      <c r="BK566" s="76">
        <f>BK565+(0.1*BD566)/(Escenarios!$F$19)-BL565</f>
        <v>48.75</v>
      </c>
      <c r="BL566" s="76">
        <f>MAX(0,(BK566-Constantes!$D$13)*(1-EXP(-Constantes!$D$23)))</f>
        <v>0</v>
      </c>
      <c r="BM566" s="76">
        <f t="shared" si="124"/>
        <v>0.45570959049157117</v>
      </c>
      <c r="BN566" s="76">
        <f t="shared" si="125"/>
        <v>0.45571258536683773</v>
      </c>
      <c r="BO566" s="76">
        <f>0.0526*BI566*Observaciones!$F565^1.218</f>
        <v>0</v>
      </c>
      <c r="BP566" s="76">
        <f>BO566*Constantes!$F$51</f>
        <v>0</v>
      </c>
      <c r="BQ566" s="76">
        <f t="shared" si="126"/>
        <v>0</v>
      </c>
      <c r="BR566" s="40"/>
    </row>
    <row r="567" spans="2:70">
      <c r="B567" s="39"/>
      <c r="C567" s="75">
        <v>561</v>
      </c>
      <c r="D567" s="146">
        <f>ETo!$I566*((1-Constantes!$F$19)*ETo!$K566+ETo!$L566)</f>
        <v>2.6699201050892323</v>
      </c>
      <c r="E567" s="76">
        <f>MIN(D567*Constantes!$F$17,0.8*(N566+Observaciones!$F566-F567-M567-Constantes!$D$14))</f>
        <v>7.9927200819440716E-5</v>
      </c>
      <c r="F567" s="76">
        <f>IF(Observaciones!$F566&gt;0.05*Constantes!$F$18,((Observaciones!$F566-0.05*Constantes!$F$18)^2)/(Observaciones!$F566+0.95*Constantes!$F$18),0)</f>
        <v>0</v>
      </c>
      <c r="G567" s="76">
        <f>IF(Escenarios!$F$11&gt;0,(F567*Escenarios!$F$16*10000)/1000,0)</f>
        <v>0</v>
      </c>
      <c r="H567" s="76">
        <f>IF(Escenarios!$F$11&gt;0,(Observaciones!$F566*Constantes!$F$29)/1000,0)</f>
        <v>0</v>
      </c>
      <c r="I567" s="76">
        <f>IF(Escenarios!$F$11&gt;0,(D567*Constantes!$F$29)/1000,0)</f>
        <v>0</v>
      </c>
      <c r="J567" s="76">
        <f>IF(Escenarios!$F$11&gt;0,MAX(0,G567+H567-I567),0)</f>
        <v>0</v>
      </c>
      <c r="K567" s="76">
        <f>IF(Escenarios!$F$11&gt;0,IF(J567&gt;Constantes!$F$30,1000*((J567-Constantes!$F$30)/(Escenarios!$F$16*10000)),0),F567)</f>
        <v>0</v>
      </c>
      <c r="L567" s="76">
        <f>IF(Escenarios!$F$11&gt;0,I567*1000/Escenarios!$F$16/10000+E567,E567)</f>
        <v>7.9927200819440716E-5</v>
      </c>
      <c r="M567" s="76">
        <f>MAX(0,N566+Observaciones!$F566-K567-Constantes!$D$13)</f>
        <v>0</v>
      </c>
      <c r="N567" s="76">
        <f>N566+Observaciones!$F566-K567-L567-M567-O566</f>
        <v>11.250016578532858</v>
      </c>
      <c r="O567" s="76">
        <f>MAX(0,(N567-Constantes!$D$14)*(1-EXP(-Constantes!$D$22)))</f>
        <v>5.6472569017115972E-7</v>
      </c>
      <c r="P567" s="170">
        <f>P566+(Entradas!$F$83*M567-Q566)/(800*Entradas!$D$25)</f>
        <v>0</v>
      </c>
      <c r="Q567" s="170">
        <f>8000*Entradas!$D$26*P567/Constantes!$F$45</f>
        <v>0</v>
      </c>
      <c r="R567" s="170">
        <f>IF(Escenarios!$F$14&gt;0,K567*Escenarios!$F$13/Escenarios!$F$14,0)</f>
        <v>0</v>
      </c>
      <c r="S567" s="170">
        <f>IF(Escenarios!$F$14&gt;0,Q567*Escenarios!$F$13/Escenarios!$F$14,0)</f>
        <v>0</v>
      </c>
      <c r="T567" s="170">
        <f>IF(Escenarios!$F$14&gt;0,Observaciones!$I566,0)</f>
        <v>0</v>
      </c>
      <c r="U567" s="170">
        <f>IF(Escenarios!$F$14&gt;0,MAX(0,Constantes!$F$36/((Z566+R567+S567+T567+Observaciones!$F566)^2)+Entradas!$F$77),0)</f>
        <v>0</v>
      </c>
      <c r="V567" s="146">
        <f>IF(ETo!D566&gt;0,ETo!I566*((1-Entradas!$F$81)*ETo!K566+ETo!L566),0)</f>
        <v>2.3286396287449835</v>
      </c>
      <c r="W567" s="170">
        <f>IF(Escenarios!$F$14&gt;0,MIN(V567*1,0.8*(Z566+R567+S567+T567+Observaciones!$F566-U567-Constantes!$F$35)),0)</f>
        <v>1.126399999975547E-4</v>
      </c>
      <c r="X567" s="170">
        <f>IF(Escenarios!$F$14&gt;0,Observaciones!$J566,0)</f>
        <v>0</v>
      </c>
      <c r="Y567" s="170">
        <f>IF(Escenarios!$F$14&gt;0,MAX(0,Z566+R567+S567+T567+Observaciones!$F566-U567-W567-X567-Constantes!$F$33),0)</f>
        <v>0</v>
      </c>
      <c r="Z567" s="170">
        <f>Z566+R567+S567+T567+Observaciones!$F566-U567-W567-Y567</f>
        <v>41.250028159999999</v>
      </c>
      <c r="AA567" s="170">
        <f>IF(Escenarios!$F$14&gt;0,(Escenarios!$F$13*L567+Escenarios!$F$14*W567)/(Escenarios!$F$16),L567)</f>
        <v>8.3852736720814395E-5</v>
      </c>
      <c r="AB567" s="170">
        <f>IF(Escenarios!$F$14&gt;0,(Escenarios!$F$14*Y567)/(Escenarios!$F$16),K567)</f>
        <v>0</v>
      </c>
      <c r="AC567" s="170">
        <f>IF(Escenarios!$F$14&gt;0,(Escenarios!$F$13*M567+Escenarios!$F$14*U567)/(Escenarios!$F$16),M567)</f>
        <v>0</v>
      </c>
      <c r="AD567" s="76">
        <f t="shared" si="113"/>
        <v>90.220695172680664</v>
      </c>
      <c r="AE567" s="76">
        <f>MAX(0,(AD567-Constantes!$D$13)*(1-EXP(-Constantes!$D$23)))</f>
        <v>0.40862063708645541</v>
      </c>
      <c r="AF567" s="76">
        <f>AB567+O567*Escenarios!$F$13/Escenarios!$F$16+AE567</f>
        <v>0.40862113404506278</v>
      </c>
      <c r="AG567" s="76">
        <f>IF(Entradas!$F$91&gt;0,IF(AF567-Escenarios!$F$38&lt;=0,0,IF(AF567-Escenarios!$F$38&gt;Escenarios!$F$37,Escenarios!$F$37,AF567-Escenarios!$F$38)),0)</f>
        <v>0</v>
      </c>
      <c r="AH567" s="76">
        <f>AG567*Entradas!$F$99</f>
        <v>0</v>
      </c>
      <c r="AI567" s="76">
        <f>IF(Entradas!$F$91&gt;0,D567*Entradas!$D$23/Escenarios!$F$16,0)</f>
        <v>0.12815616504428315</v>
      </c>
      <c r="AJ567" s="76">
        <f>IF(Entradas!$F$91&gt;0,Entradas!$D$24*Entradas!$D$22/Escenarios!$F$16,0)</f>
        <v>0.12</v>
      </c>
      <c r="AK567" s="76">
        <f t="shared" si="114"/>
        <v>0.12824001778100397</v>
      </c>
      <c r="AL567" s="76">
        <f t="shared" si="115"/>
        <v>0</v>
      </c>
      <c r="AM567" s="76">
        <f t="shared" si="116"/>
        <v>0</v>
      </c>
      <c r="AN567" s="76">
        <f>MAX(0,O567*Escenarios!$F$13/Escenarios!$F$16-AM567)</f>
        <v>4.9695860735062055E-7</v>
      </c>
      <c r="AO567" s="76">
        <f>AM567+AN567-O567*Escenarios!$F$13/Escenarios!$F$16</f>
        <v>0</v>
      </c>
      <c r="AP567" s="76">
        <f t="shared" si="117"/>
        <v>0.40862063708645541</v>
      </c>
      <c r="AQ567" s="76">
        <f t="shared" si="118"/>
        <v>0</v>
      </c>
      <c r="AR567" s="76">
        <f t="shared" si="119"/>
        <v>0.40862113404506278</v>
      </c>
      <c r="AS567" s="76">
        <f t="shared" si="120"/>
        <v>0</v>
      </c>
      <c r="AT567" s="76">
        <f t="shared" si="121"/>
        <v>0</v>
      </c>
      <c r="AU567" s="76">
        <f t="shared" si="122"/>
        <v>51.521629314588075</v>
      </c>
      <c r="AV567" s="76">
        <f>MAX(0,(AU567-Constantes!$D$13)*(1-EXP(-Constantes!$D$24)))</f>
        <v>4.2365038847651776E-2</v>
      </c>
      <c r="AW567" s="170">
        <f>AW566+(Entradas!$F$112*AT567-AX566)/(800*Entradas!$D$25)</f>
        <v>0</v>
      </c>
      <c r="AX567" s="170">
        <f>8000*Entradas!$D$26*AW567/Constantes!$F$45</f>
        <v>0</v>
      </c>
      <c r="AY567" s="170">
        <f>IF(Escenarios!$F$17&gt;0,10*Escenarios!$F$16*AL567,0)</f>
        <v>0</v>
      </c>
      <c r="AZ567" s="170">
        <f>IF(Escenarios!$F$17&gt;0,10*Escenarios!$F$16*AX567,0)</f>
        <v>0</v>
      </c>
      <c r="BA567" s="170">
        <f>IF(Escenarios!$F$17&gt;0,0.001*Observaciones!$F566*Escenarios!$F$17,0)</f>
        <v>0</v>
      </c>
      <c r="BB567" s="170">
        <f>IF(Escenarios!$F$17&gt;0,Observaciones!$K566,0)</f>
        <v>0</v>
      </c>
      <c r="BC567" s="170">
        <f>IF(Escenarios!$F$17&gt;0,MIN(0.0005*ETo!$M566*Escenarios!$F$17*(BG566/Constantes!$F$40)^(2/3),BG566+AY567+AZ567+BA567+BB567),0)</f>
        <v>0</v>
      </c>
      <c r="BD567" s="170">
        <f>IF(Escenarios!$F$17&gt;0,MIN(Constantes!$F$39*(BG566/Constantes!$F$40)^(2/3),BG566+AY567+AZ567+BA567+BB567-BC567),0)</f>
        <v>0</v>
      </c>
      <c r="BE567" s="170">
        <f>IF(Escenarios!$F$17&gt;0,MIN(Entradas!$F$113,BG566+AY567+AZ567+BA567+BB567-BC567-BD567),0)</f>
        <v>0</v>
      </c>
      <c r="BF567" s="170">
        <f>IF(Escenarios!$F$17&gt;0,MAX(0,BG566+AY567+AZ567+BA567+BB567-BC567-BD567-BE567-Constantes!$F$40),0)</f>
        <v>0</v>
      </c>
      <c r="BG567" s="170">
        <f t="shared" si="123"/>
        <v>0</v>
      </c>
      <c r="BH567" s="170">
        <f>(Escenarios!$F$16*AK567+0.1*BC567)/(Escenarios!$F$19)</f>
        <v>0.12824001778100397</v>
      </c>
      <c r="BI567" s="170">
        <f>IF(Escenarios!$F$17&gt;0,BF567/10/Escenarios!$F$19,AL567)</f>
        <v>0</v>
      </c>
      <c r="BJ567" s="170">
        <f>(Escenarios!$F$16*AT567+0.1*BD567)/(Escenarios!$F$19)</f>
        <v>0</v>
      </c>
      <c r="BK567" s="76">
        <f>BK566+(0.1*BD567)/(Escenarios!$F$19)-BL566</f>
        <v>48.75</v>
      </c>
      <c r="BL567" s="76">
        <f>MAX(0,(BK567-Constantes!$D$13)*(1-EXP(-Constantes!$D$23)))</f>
        <v>0</v>
      </c>
      <c r="BM567" s="76">
        <f t="shared" si="124"/>
        <v>0.45098567593410721</v>
      </c>
      <c r="BN567" s="76">
        <f t="shared" si="125"/>
        <v>0.45098617289271459</v>
      </c>
      <c r="BO567" s="76">
        <f>0.0526*BI567*Observaciones!$F566^1.218</f>
        <v>0</v>
      </c>
      <c r="BP567" s="76">
        <f>BO567*Constantes!$F$51</f>
        <v>0</v>
      </c>
      <c r="BQ567" s="76">
        <f t="shared" si="126"/>
        <v>0</v>
      </c>
      <c r="BR567" s="40"/>
    </row>
    <row r="568" spans="2:70">
      <c r="B568" s="39"/>
      <c r="C568" s="75">
        <v>562</v>
      </c>
      <c r="D568" s="146">
        <f>ETo!$I567*((1-Constantes!$F$19)*ETo!$K567+ETo!$L567)</f>
        <v>2.6364474169000061</v>
      </c>
      <c r="E568" s="76">
        <f>MIN(D568*Constantes!$F$17,0.8*(N567+Observaciones!$F567-F568-M568-Constantes!$D$14))</f>
        <v>1.3262826286108975E-5</v>
      </c>
      <c r="F568" s="76">
        <f>IF(Observaciones!$F567&gt;0.05*Constantes!$F$18,((Observaciones!$F567-0.05*Constantes!$F$18)^2)/(Observaciones!$F567+0.95*Constantes!$F$18),0)</f>
        <v>0</v>
      </c>
      <c r="G568" s="76">
        <f>IF(Escenarios!$F$11&gt;0,(F568*Escenarios!$F$16*10000)/1000,0)</f>
        <v>0</v>
      </c>
      <c r="H568" s="76">
        <f>IF(Escenarios!$F$11&gt;0,(Observaciones!$F567*Constantes!$F$29)/1000,0)</f>
        <v>0</v>
      </c>
      <c r="I568" s="76">
        <f>IF(Escenarios!$F$11&gt;0,(D568*Constantes!$F$29)/1000,0)</f>
        <v>0</v>
      </c>
      <c r="J568" s="76">
        <f>IF(Escenarios!$F$11&gt;0,MAX(0,G568+H568-I568),0)</f>
        <v>0</v>
      </c>
      <c r="K568" s="76">
        <f>IF(Escenarios!$F$11&gt;0,IF(J568&gt;Constantes!$F$30,1000*((J568-Constantes!$F$30)/(Escenarios!$F$16*10000)),0),F568)</f>
        <v>0</v>
      </c>
      <c r="L568" s="76">
        <f>IF(Escenarios!$F$11&gt;0,I568*1000/Escenarios!$F$16/10000+E568,E568)</f>
        <v>1.3262826286108975E-5</v>
      </c>
      <c r="M568" s="76">
        <f>MAX(0,N567+Observaciones!$F567-K568-Constantes!$D$13)</f>
        <v>0</v>
      </c>
      <c r="N568" s="76">
        <f>N567+Observaciones!$F567-K568-L568-M568-O567</f>
        <v>11.250002750980881</v>
      </c>
      <c r="O568" s="76">
        <f>MAX(0,(N568-Constantes!$D$14)*(1-EXP(-Constantes!$D$22)))</f>
        <v>9.3708507875200982E-8</v>
      </c>
      <c r="P568" s="170">
        <f>P567+(Entradas!$F$83*M568-Q567)/(800*Entradas!$D$25)</f>
        <v>0</v>
      </c>
      <c r="Q568" s="170">
        <f>8000*Entradas!$D$26*P568/Constantes!$F$45</f>
        <v>0</v>
      </c>
      <c r="R568" s="170">
        <f>IF(Escenarios!$F$14&gt;0,K568*Escenarios!$F$13/Escenarios!$F$14,0)</f>
        <v>0</v>
      </c>
      <c r="S568" s="170">
        <f>IF(Escenarios!$F$14&gt;0,Q568*Escenarios!$F$13/Escenarios!$F$14,0)</f>
        <v>0</v>
      </c>
      <c r="T568" s="170">
        <f>IF(Escenarios!$F$14&gt;0,Observaciones!$I567,0)</f>
        <v>0</v>
      </c>
      <c r="U568" s="170">
        <f>IF(Escenarios!$F$14&gt;0,MAX(0,Constantes!$F$36/((Z567+R568+S568+T568+Observaciones!$F567)^2)+Entradas!$F$77),0)</f>
        <v>0</v>
      </c>
      <c r="V568" s="146">
        <f>IF(ETo!D567&gt;0,ETo!I567*((1-Entradas!$F$81)*ETo!K567+ETo!L567),0)</f>
        <v>2.2995629011579233</v>
      </c>
      <c r="W568" s="170">
        <f>IF(Escenarios!$F$14&gt;0,MIN(V568*1,0.8*(Z567+R568+S568+T568+Observaciones!$F567-U568-Constantes!$F$35)),0)</f>
        <v>2.2527999999510942E-5</v>
      </c>
      <c r="X568" s="170">
        <f>IF(Escenarios!$F$14&gt;0,Observaciones!$J567,0)</f>
        <v>0</v>
      </c>
      <c r="Y568" s="170">
        <f>IF(Escenarios!$F$14&gt;0,MAX(0,Z567+R568+S568+T568+Observaciones!$F567-U568-W568-X568-Constantes!$F$33),0)</f>
        <v>0</v>
      </c>
      <c r="Z568" s="170">
        <f>Z567+R568+S568+T568+Observaciones!$F567-U568-W568-Y568</f>
        <v>41.250005631999997</v>
      </c>
      <c r="AA568" s="170">
        <f>IF(Escenarios!$F$14&gt;0,(Escenarios!$F$13*L568+Escenarios!$F$14*W568)/(Escenarios!$F$16),L568)</f>
        <v>1.4374647131717211E-5</v>
      </c>
      <c r="AB568" s="170">
        <f>IF(Escenarios!$F$14&gt;0,(Escenarios!$F$14*Y568)/(Escenarios!$F$16),K568)</f>
        <v>0</v>
      </c>
      <c r="AC568" s="170">
        <f>IF(Escenarios!$F$14&gt;0,(Escenarios!$F$13*M568+Escenarios!$F$14*U568)/(Escenarios!$F$16),M568)</f>
        <v>0</v>
      </c>
      <c r="AD568" s="76">
        <f t="shared" si="113"/>
        <v>89.812074535594206</v>
      </c>
      <c r="AE568" s="76">
        <f>MAX(0,(AD568-Constantes!$D$13)*(1-EXP(-Constantes!$D$23)))</f>
        <v>0.40459440062338942</v>
      </c>
      <c r="AF568" s="76">
        <f>AB568+O568*Escenarios!$F$13/Escenarios!$F$16+AE568</f>
        <v>0.40459448308687634</v>
      </c>
      <c r="AG568" s="76">
        <f>IF(Entradas!$F$91&gt;0,IF(AF568-Escenarios!$F$38&lt;=0,0,IF(AF568-Escenarios!$F$38&gt;Escenarios!$F$37,Escenarios!$F$37,AF568-Escenarios!$F$38)),0)</f>
        <v>0</v>
      </c>
      <c r="AH568" s="76">
        <f>AG568*Entradas!$F$99</f>
        <v>0</v>
      </c>
      <c r="AI568" s="76">
        <f>IF(Entradas!$F$91&gt;0,D568*Entradas!$D$23/Escenarios!$F$16,0)</f>
        <v>0.12654947601120028</v>
      </c>
      <c r="AJ568" s="76">
        <f>IF(Entradas!$F$91&gt;0,Entradas!$D$24*Entradas!$D$22/Escenarios!$F$16,0)</f>
        <v>0.12</v>
      </c>
      <c r="AK568" s="76">
        <f t="shared" si="114"/>
        <v>0.12656385065833201</v>
      </c>
      <c r="AL568" s="76">
        <f t="shared" si="115"/>
        <v>0</v>
      </c>
      <c r="AM568" s="76">
        <f t="shared" si="116"/>
        <v>0</v>
      </c>
      <c r="AN568" s="76">
        <f>MAX(0,O568*Escenarios!$F$13/Escenarios!$F$16-AM568)</f>
        <v>8.2463486930176872E-8</v>
      </c>
      <c r="AO568" s="76">
        <f>AM568+AN568-O568*Escenarios!$F$13/Escenarios!$F$16</f>
        <v>0</v>
      </c>
      <c r="AP568" s="76">
        <f t="shared" si="117"/>
        <v>0.40459440062338942</v>
      </c>
      <c r="AQ568" s="76">
        <f t="shared" si="118"/>
        <v>0</v>
      </c>
      <c r="AR568" s="76">
        <f t="shared" si="119"/>
        <v>0.40459448308687634</v>
      </c>
      <c r="AS568" s="76">
        <f t="shared" si="120"/>
        <v>0</v>
      </c>
      <c r="AT568" s="76">
        <f t="shared" si="121"/>
        <v>0</v>
      </c>
      <c r="AU568" s="76">
        <f t="shared" si="122"/>
        <v>51.479264275740427</v>
      </c>
      <c r="AV568" s="76">
        <f>MAX(0,(AU568-Constantes!$D$13)*(1-EXP(-Constantes!$D$24)))</f>
        <v>4.1717478761923041E-2</v>
      </c>
      <c r="AW568" s="170">
        <f>AW567+(Entradas!$F$112*AT568-AX567)/(800*Entradas!$D$25)</f>
        <v>0</v>
      </c>
      <c r="AX568" s="170">
        <f>8000*Entradas!$D$26*AW568/Constantes!$F$45</f>
        <v>0</v>
      </c>
      <c r="AY568" s="170">
        <f>IF(Escenarios!$F$17&gt;0,10*Escenarios!$F$16*AL568,0)</f>
        <v>0</v>
      </c>
      <c r="AZ568" s="170">
        <f>IF(Escenarios!$F$17&gt;0,10*Escenarios!$F$16*AX568,0)</f>
        <v>0</v>
      </c>
      <c r="BA568" s="170">
        <f>IF(Escenarios!$F$17&gt;0,0.001*Observaciones!$F567*Escenarios!$F$17,0)</f>
        <v>0</v>
      </c>
      <c r="BB568" s="170">
        <f>IF(Escenarios!$F$17&gt;0,Observaciones!$K567,0)</f>
        <v>0</v>
      </c>
      <c r="BC568" s="170">
        <f>IF(Escenarios!$F$17&gt;0,MIN(0.0005*ETo!$M567*Escenarios!$F$17*(BG567/Constantes!$F$40)^(2/3),BG567+AY568+AZ568+BA568+BB568),0)</f>
        <v>0</v>
      </c>
      <c r="BD568" s="170">
        <f>IF(Escenarios!$F$17&gt;0,MIN(Constantes!$F$39*(BG567/Constantes!$F$40)^(2/3),BG567+AY568+AZ568+BA568+BB568-BC568),0)</f>
        <v>0</v>
      </c>
      <c r="BE568" s="170">
        <f>IF(Escenarios!$F$17&gt;0,MIN(Entradas!$F$113,BG567+AY568+AZ568+BA568+BB568-BC568-BD568),0)</f>
        <v>0</v>
      </c>
      <c r="BF568" s="170">
        <f>IF(Escenarios!$F$17&gt;0,MAX(0,BG567+AY568+AZ568+BA568+BB568-BC568-BD568-BE568-Constantes!$F$40),0)</f>
        <v>0</v>
      </c>
      <c r="BG568" s="170">
        <f t="shared" si="123"/>
        <v>0</v>
      </c>
      <c r="BH568" s="170">
        <f>(Escenarios!$F$16*AK568+0.1*BC568)/(Escenarios!$F$19)</f>
        <v>0.12656385065833201</v>
      </c>
      <c r="BI568" s="170">
        <f>IF(Escenarios!$F$17&gt;0,BF568/10/Escenarios!$F$19,AL568)</f>
        <v>0</v>
      </c>
      <c r="BJ568" s="170">
        <f>(Escenarios!$F$16*AT568+0.1*BD568)/(Escenarios!$F$19)</f>
        <v>0</v>
      </c>
      <c r="BK568" s="76">
        <f>BK567+(0.1*BD568)/(Escenarios!$F$19)-BL567</f>
        <v>48.75</v>
      </c>
      <c r="BL568" s="76">
        <f>MAX(0,(BK568-Constantes!$D$13)*(1-EXP(-Constantes!$D$23)))</f>
        <v>0</v>
      </c>
      <c r="BM568" s="76">
        <f t="shared" si="124"/>
        <v>0.44631187938531247</v>
      </c>
      <c r="BN568" s="76">
        <f t="shared" si="125"/>
        <v>0.4463119618487994</v>
      </c>
      <c r="BO568" s="76">
        <f>0.0526*BI568*Observaciones!$F567^1.218</f>
        <v>0</v>
      </c>
      <c r="BP568" s="76">
        <f>BO568*Constantes!$F$51</f>
        <v>0</v>
      </c>
      <c r="BQ568" s="76">
        <f t="shared" si="126"/>
        <v>0</v>
      </c>
      <c r="BR568" s="40"/>
    </row>
    <row r="569" spans="2:70">
      <c r="B569" s="39"/>
      <c r="C569" s="75">
        <v>563</v>
      </c>
      <c r="D569" s="146">
        <f>ETo!$I568*((1-Constantes!$F$19)*ETo!$K568+ETo!$L568)</f>
        <v>2.6187948080783325</v>
      </c>
      <c r="E569" s="76">
        <f>MIN(D569*Constantes!$F$17,0.8*(N568+Observaciones!$F568-F569-M569-Constantes!$D$14))</f>
        <v>2.2007847050531383E-6</v>
      </c>
      <c r="F569" s="76">
        <f>IF(Observaciones!$F568&gt;0.05*Constantes!$F$18,((Observaciones!$F568-0.05*Constantes!$F$18)^2)/(Observaciones!$F568+0.95*Constantes!$F$18),0)</f>
        <v>0</v>
      </c>
      <c r="G569" s="76">
        <f>IF(Escenarios!$F$11&gt;0,(F569*Escenarios!$F$16*10000)/1000,0)</f>
        <v>0</v>
      </c>
      <c r="H569" s="76">
        <f>IF(Escenarios!$F$11&gt;0,(Observaciones!$F568*Constantes!$F$29)/1000,0)</f>
        <v>0</v>
      </c>
      <c r="I569" s="76">
        <f>IF(Escenarios!$F$11&gt;0,(D569*Constantes!$F$29)/1000,0)</f>
        <v>0</v>
      </c>
      <c r="J569" s="76">
        <f>IF(Escenarios!$F$11&gt;0,MAX(0,G569+H569-I569),0)</f>
        <v>0</v>
      </c>
      <c r="K569" s="76">
        <f>IF(Escenarios!$F$11&gt;0,IF(J569&gt;Constantes!$F$30,1000*((J569-Constantes!$F$30)/(Escenarios!$F$16*10000)),0),F569)</f>
        <v>0</v>
      </c>
      <c r="L569" s="76">
        <f>IF(Escenarios!$F$11&gt;0,I569*1000/Escenarios!$F$16/10000+E569,E569)</f>
        <v>2.2007847050531383E-6</v>
      </c>
      <c r="M569" s="76">
        <f>MAX(0,N568+Observaciones!$F568-K569-Constantes!$D$13)</f>
        <v>0</v>
      </c>
      <c r="N569" s="76">
        <f>N568+Observaciones!$F568-K569-L569-M569-O568</f>
        <v>11.250000456487669</v>
      </c>
      <c r="O569" s="76">
        <f>MAX(0,(N569-Constantes!$D$14)*(1-EXP(-Constantes!$D$22)))</f>
        <v>1.5549645806622272E-8</v>
      </c>
      <c r="P569" s="170">
        <f>P568+(Entradas!$F$83*M569-Q568)/(800*Entradas!$D$25)</f>
        <v>0</v>
      </c>
      <c r="Q569" s="170">
        <f>8000*Entradas!$D$26*P569/Constantes!$F$45</f>
        <v>0</v>
      </c>
      <c r="R569" s="170">
        <f>IF(Escenarios!$F$14&gt;0,K569*Escenarios!$F$13/Escenarios!$F$14,0)</f>
        <v>0</v>
      </c>
      <c r="S569" s="170">
        <f>IF(Escenarios!$F$14&gt;0,Q569*Escenarios!$F$13/Escenarios!$F$14,0)</f>
        <v>0</v>
      </c>
      <c r="T569" s="170">
        <f>IF(Escenarios!$F$14&gt;0,Observaciones!$I568,0)</f>
        <v>0</v>
      </c>
      <c r="U569" s="170">
        <f>IF(Escenarios!$F$14&gt;0,MAX(0,Constantes!$F$36/((Z568+R569+S569+T569+Observaciones!$F568)^2)+Entradas!$F$77),0)</f>
        <v>0</v>
      </c>
      <c r="V569" s="146">
        <f>IF(ETo!D568&gt;0,ETo!I568*((1-Entradas!$F$81)*ETo!K568+ETo!L568),0)</f>
        <v>2.284466763769557</v>
      </c>
      <c r="W569" s="170">
        <f>IF(Escenarios!$F$14&gt;0,MIN(V569*1,0.8*(Z568+R569+S569+T569+Observaciones!$F568-U569-Constantes!$F$35)),0)</f>
        <v>4.5055999976284514E-6</v>
      </c>
      <c r="X569" s="170">
        <f>IF(Escenarios!$F$14&gt;0,Observaciones!$J568,0)</f>
        <v>0</v>
      </c>
      <c r="Y569" s="170">
        <f>IF(Escenarios!$F$14&gt;0,MAX(0,Z568+R569+S569+T569+Observaciones!$F568-U569-W569-X569-Constantes!$F$33),0)</f>
        <v>0</v>
      </c>
      <c r="Z569" s="170">
        <f>Z568+R569+S569+T569+Observaciones!$F568-U569-W569-Y569</f>
        <v>41.250001126400001</v>
      </c>
      <c r="AA569" s="170">
        <f>IF(Escenarios!$F$14&gt;0,(Escenarios!$F$13*L569+Escenarios!$F$14*W569)/(Escenarios!$F$16),L569)</f>
        <v>2.4773625401621757E-6</v>
      </c>
      <c r="AB569" s="170">
        <f>IF(Escenarios!$F$14&gt;0,(Escenarios!$F$14*Y569)/(Escenarios!$F$16),K569)</f>
        <v>0</v>
      </c>
      <c r="AC569" s="170">
        <f>IF(Escenarios!$F$14&gt;0,(Escenarios!$F$13*M569+Escenarios!$F$14*U569)/(Escenarios!$F$16),M569)</f>
        <v>0</v>
      </c>
      <c r="AD569" s="76">
        <f t="shared" si="113"/>
        <v>89.407480134970811</v>
      </c>
      <c r="AE569" s="76">
        <f>MAX(0,(AD569-Constantes!$D$13)*(1-EXP(-Constantes!$D$23)))</f>
        <v>0.40060783562716878</v>
      </c>
      <c r="AF569" s="76">
        <f>AB569+O569*Escenarios!$F$13/Escenarios!$F$16+AE569</f>
        <v>0.40060784931085708</v>
      </c>
      <c r="AG569" s="76">
        <f>IF(Entradas!$F$91&gt;0,IF(AF569-Escenarios!$F$38&lt;=0,0,IF(AF569-Escenarios!$F$38&gt;Escenarios!$F$37,Escenarios!$F$37,AF569-Escenarios!$F$38)),0)</f>
        <v>0</v>
      </c>
      <c r="AH569" s="76">
        <f>AG569*Entradas!$F$99</f>
        <v>0</v>
      </c>
      <c r="AI569" s="76">
        <f>IF(Entradas!$F$91&gt;0,D569*Entradas!$D$23/Escenarios!$F$16,0)</f>
        <v>0.12570215078775995</v>
      </c>
      <c r="AJ569" s="76">
        <f>IF(Entradas!$F$91&gt;0,Entradas!$D$24*Entradas!$D$22/Escenarios!$F$16,0)</f>
        <v>0.12</v>
      </c>
      <c r="AK569" s="76">
        <f t="shared" si="114"/>
        <v>0.12570462815030012</v>
      </c>
      <c r="AL569" s="76">
        <f t="shared" si="115"/>
        <v>0</v>
      </c>
      <c r="AM569" s="76">
        <f t="shared" si="116"/>
        <v>0</v>
      </c>
      <c r="AN569" s="76">
        <f>MAX(0,O569*Escenarios!$F$13/Escenarios!$F$16-AM569)</f>
        <v>1.3683688309827599E-8</v>
      </c>
      <c r="AO569" s="76">
        <f>AM569+AN569-O569*Escenarios!$F$13/Escenarios!$F$16</f>
        <v>0</v>
      </c>
      <c r="AP569" s="76">
        <f t="shared" si="117"/>
        <v>0.40060783562716878</v>
      </c>
      <c r="AQ569" s="76">
        <f t="shared" si="118"/>
        <v>0</v>
      </c>
      <c r="AR569" s="76">
        <f t="shared" si="119"/>
        <v>0.40060784931085708</v>
      </c>
      <c r="AS569" s="76">
        <f t="shared" si="120"/>
        <v>0</v>
      </c>
      <c r="AT569" s="76">
        <f t="shared" si="121"/>
        <v>0</v>
      </c>
      <c r="AU569" s="76">
        <f t="shared" si="122"/>
        <v>51.437546796978502</v>
      </c>
      <c r="AV569" s="76">
        <f>MAX(0,(AU569-Constantes!$D$13)*(1-EXP(-Constantes!$D$24)))</f>
        <v>4.1079816792094409E-2</v>
      </c>
      <c r="AW569" s="170">
        <f>AW568+(Entradas!$F$112*AT569-AX568)/(800*Entradas!$D$25)</f>
        <v>0</v>
      </c>
      <c r="AX569" s="170">
        <f>8000*Entradas!$D$26*AW569/Constantes!$F$45</f>
        <v>0</v>
      </c>
      <c r="AY569" s="170">
        <f>IF(Escenarios!$F$17&gt;0,10*Escenarios!$F$16*AL569,0)</f>
        <v>0</v>
      </c>
      <c r="AZ569" s="170">
        <f>IF(Escenarios!$F$17&gt;0,10*Escenarios!$F$16*AX569,0)</f>
        <v>0</v>
      </c>
      <c r="BA569" s="170">
        <f>IF(Escenarios!$F$17&gt;0,0.001*Observaciones!$F568*Escenarios!$F$17,0)</f>
        <v>0</v>
      </c>
      <c r="BB569" s="170">
        <f>IF(Escenarios!$F$17&gt;0,Observaciones!$K568,0)</f>
        <v>0</v>
      </c>
      <c r="BC569" s="170">
        <f>IF(Escenarios!$F$17&gt;0,MIN(0.0005*ETo!$M568*Escenarios!$F$17*(BG568/Constantes!$F$40)^(2/3),BG568+AY569+AZ569+BA569+BB569),0)</f>
        <v>0</v>
      </c>
      <c r="BD569" s="170">
        <f>IF(Escenarios!$F$17&gt;0,MIN(Constantes!$F$39*(BG568/Constantes!$F$40)^(2/3),BG568+AY569+AZ569+BA569+BB569-BC569),0)</f>
        <v>0</v>
      </c>
      <c r="BE569" s="170">
        <f>IF(Escenarios!$F$17&gt;0,MIN(Entradas!$F$113,BG568+AY569+AZ569+BA569+BB569-BC569-BD569),0)</f>
        <v>0</v>
      </c>
      <c r="BF569" s="170">
        <f>IF(Escenarios!$F$17&gt;0,MAX(0,BG568+AY569+AZ569+BA569+BB569-BC569-BD569-BE569-Constantes!$F$40),0)</f>
        <v>0</v>
      </c>
      <c r="BG569" s="170">
        <f t="shared" si="123"/>
        <v>0</v>
      </c>
      <c r="BH569" s="170">
        <f>(Escenarios!$F$16*AK569+0.1*BC569)/(Escenarios!$F$19)</f>
        <v>0.12570462815030012</v>
      </c>
      <c r="BI569" s="170">
        <f>IF(Escenarios!$F$17&gt;0,BF569/10/Escenarios!$F$19,AL569)</f>
        <v>0</v>
      </c>
      <c r="BJ569" s="170">
        <f>(Escenarios!$F$16*AT569+0.1*BD569)/(Escenarios!$F$19)</f>
        <v>0</v>
      </c>
      <c r="BK569" s="76">
        <f>BK568+(0.1*BD569)/(Escenarios!$F$19)-BL568</f>
        <v>48.75</v>
      </c>
      <c r="BL569" s="76">
        <f>MAX(0,(BK569-Constantes!$D$13)*(1-EXP(-Constantes!$D$23)))</f>
        <v>0</v>
      </c>
      <c r="BM569" s="76">
        <f t="shared" si="124"/>
        <v>0.44168765241926322</v>
      </c>
      <c r="BN569" s="76">
        <f t="shared" si="125"/>
        <v>0.44168766610295151</v>
      </c>
      <c r="BO569" s="76">
        <f>0.0526*BI569*Observaciones!$F568^1.218</f>
        <v>0</v>
      </c>
      <c r="BP569" s="76">
        <f>BO569*Constantes!$F$51</f>
        <v>0</v>
      </c>
      <c r="BQ569" s="76">
        <f t="shared" si="126"/>
        <v>0</v>
      </c>
      <c r="BR569" s="40"/>
    </row>
    <row r="570" spans="2:70">
      <c r="B570" s="39"/>
      <c r="C570" s="75">
        <v>564</v>
      </c>
      <c r="D570" s="146">
        <f>ETo!$I569*((1-Constantes!$F$19)*ETo!$K569+ETo!$L569)</f>
        <v>2.6734183363555521</v>
      </c>
      <c r="E570" s="76">
        <f>MIN(D570*Constantes!$F$17,0.8*(N569+Observaciones!$F569-F570-M570-Constantes!$D$14))</f>
        <v>0.16000036519013464</v>
      </c>
      <c r="F570" s="76">
        <f>IF(Observaciones!$F569&gt;0.05*Constantes!$F$18,((Observaciones!$F569-0.05*Constantes!$F$18)^2)/(Observaciones!$F569+0.95*Constantes!$F$18),0)</f>
        <v>0</v>
      </c>
      <c r="G570" s="76">
        <f>IF(Escenarios!$F$11&gt;0,(F570*Escenarios!$F$16*10000)/1000,0)</f>
        <v>0</v>
      </c>
      <c r="H570" s="76">
        <f>IF(Escenarios!$F$11&gt;0,(Observaciones!$F569*Constantes!$F$29)/1000,0)</f>
        <v>0</v>
      </c>
      <c r="I570" s="76">
        <f>IF(Escenarios!$F$11&gt;0,(D570*Constantes!$F$29)/1000,0)</f>
        <v>0</v>
      </c>
      <c r="J570" s="76">
        <f>IF(Escenarios!$F$11&gt;0,MAX(0,G570+H570-I570),0)</f>
        <v>0</v>
      </c>
      <c r="K570" s="76">
        <f>IF(Escenarios!$F$11&gt;0,IF(J570&gt;Constantes!$F$30,1000*((J570-Constantes!$F$30)/(Escenarios!$F$16*10000)),0),F570)</f>
        <v>0</v>
      </c>
      <c r="L570" s="76">
        <f>IF(Escenarios!$F$11&gt;0,I570*1000/Escenarios!$F$16/10000+E570,E570)</f>
        <v>0.16000036519013464</v>
      </c>
      <c r="M570" s="76">
        <f>MAX(0,N569+Observaciones!$F569-K570-Constantes!$D$13)</f>
        <v>0</v>
      </c>
      <c r="N570" s="76">
        <f>N569+Observaciones!$F569-K570-L570-M570-O569</f>
        <v>11.290000075747889</v>
      </c>
      <c r="O570" s="76">
        <f>MAX(0,(N570-Constantes!$D$14)*(1-EXP(-Constantes!$D$22)))</f>
        <v>1.3625494232573476E-3</v>
      </c>
      <c r="P570" s="170">
        <f>P569+(Entradas!$F$83*M570-Q569)/(800*Entradas!$D$25)</f>
        <v>0</v>
      </c>
      <c r="Q570" s="170">
        <f>8000*Entradas!$D$26*P570/Constantes!$F$45</f>
        <v>0</v>
      </c>
      <c r="R570" s="170">
        <f>IF(Escenarios!$F$14&gt;0,K570*Escenarios!$F$13/Escenarios!$F$14,0)</f>
        <v>0</v>
      </c>
      <c r="S570" s="170">
        <f>IF(Escenarios!$F$14&gt;0,Q570*Escenarios!$F$13/Escenarios!$F$14,0)</f>
        <v>0</v>
      </c>
      <c r="T570" s="170">
        <f>IF(Escenarios!$F$14&gt;0,Observaciones!$I569,0)</f>
        <v>0</v>
      </c>
      <c r="U570" s="170">
        <f>IF(Escenarios!$F$14&gt;0,MAX(0,Constantes!$F$36/((Z569+R570+S570+T570+Observaciones!$F569)^2)+Entradas!$F$77),0)</f>
        <v>0</v>
      </c>
      <c r="V570" s="146">
        <f>IF(ETo!D569&gt;0,ETo!I569*((1-Entradas!$F$81)*ETo!K569+ETo!L569),0)</f>
        <v>2.3328818901629456</v>
      </c>
      <c r="W570" s="170">
        <f>IF(Escenarios!$F$14&gt;0,MIN(V570*1,0.8*(Z569+R570+S570+T570+Observaciones!$F569-U570-Constantes!$F$35)),0)</f>
        <v>0.16000090112000295</v>
      </c>
      <c r="X570" s="170">
        <f>IF(Escenarios!$F$14&gt;0,Observaciones!$J569,0)</f>
        <v>0</v>
      </c>
      <c r="Y570" s="170">
        <f>IF(Escenarios!$F$14&gt;0,MAX(0,Z569+R570+S570+T570+Observaciones!$F569-U570-W570-X570-Constantes!$F$33),0)</f>
        <v>0</v>
      </c>
      <c r="Z570" s="170">
        <f>Z569+R570+S570+T570+Observaciones!$F569-U570-W570-Y570</f>
        <v>41.290000225280004</v>
      </c>
      <c r="AA570" s="170">
        <f>IF(Escenarios!$F$14&gt;0,(Escenarios!$F$13*L570+Escenarios!$F$14*W570)/(Escenarios!$F$16),L570)</f>
        <v>0.16000042950171883</v>
      </c>
      <c r="AB570" s="170">
        <f>IF(Escenarios!$F$14&gt;0,(Escenarios!$F$14*Y570)/(Escenarios!$F$16),K570)</f>
        <v>0</v>
      </c>
      <c r="AC570" s="170">
        <f>IF(Escenarios!$F$14&gt;0,(Escenarios!$F$13*M570+Escenarios!$F$14*U570)/(Escenarios!$F$16),M570)</f>
        <v>0</v>
      </c>
      <c r="AD570" s="76">
        <f t="shared" si="113"/>
        <v>89.006872299343641</v>
      </c>
      <c r="AE570" s="76">
        <f>MAX(0,(AD570-Constantes!$D$13)*(1-EXP(-Constantes!$D$23)))</f>
        <v>0.3966605512053818</v>
      </c>
      <c r="AF570" s="76">
        <f>AB570+O570*Escenarios!$F$13/Escenarios!$F$16+AE570</f>
        <v>0.39785959469784826</v>
      </c>
      <c r="AG570" s="76">
        <f>IF(Entradas!$F$91&gt;0,IF(AF570-Escenarios!$F$38&lt;=0,0,IF(AF570-Escenarios!$F$38&gt;Escenarios!$F$37,Escenarios!$F$37,AF570-Escenarios!$F$38)),0)</f>
        <v>0</v>
      </c>
      <c r="AH570" s="76">
        <f>AG570*Entradas!$F$99</f>
        <v>0</v>
      </c>
      <c r="AI570" s="76">
        <f>IF(Entradas!$F$91&gt;0,D570*Entradas!$D$23/Escenarios!$F$16,0)</f>
        <v>0.12832408014506649</v>
      </c>
      <c r="AJ570" s="76">
        <f>IF(Entradas!$F$91&gt;0,Entradas!$D$24*Entradas!$D$22/Escenarios!$F$16,0)</f>
        <v>0.12</v>
      </c>
      <c r="AK570" s="76">
        <f t="shared" si="114"/>
        <v>0.28832450964678535</v>
      </c>
      <c r="AL570" s="76">
        <f t="shared" si="115"/>
        <v>0</v>
      </c>
      <c r="AM570" s="76">
        <f t="shared" si="116"/>
        <v>0</v>
      </c>
      <c r="AN570" s="76">
        <f>MAX(0,O570*Escenarios!$F$13/Escenarios!$F$16-AM570)</f>
        <v>1.1990434924664659E-3</v>
      </c>
      <c r="AO570" s="76">
        <f>AM570+AN570-O570*Escenarios!$F$13/Escenarios!$F$16</f>
        <v>0</v>
      </c>
      <c r="AP570" s="76">
        <f t="shared" si="117"/>
        <v>0.3966605512053818</v>
      </c>
      <c r="AQ570" s="76">
        <f t="shared" si="118"/>
        <v>0</v>
      </c>
      <c r="AR570" s="76">
        <f t="shared" si="119"/>
        <v>0.39785959469784826</v>
      </c>
      <c r="AS570" s="76">
        <f t="shared" si="120"/>
        <v>0</v>
      </c>
      <c r="AT570" s="76">
        <f t="shared" si="121"/>
        <v>0</v>
      </c>
      <c r="AU570" s="76">
        <f t="shared" si="122"/>
        <v>51.39646698018641</v>
      </c>
      <c r="AV570" s="76">
        <f>MAX(0,(AU570-Constantes!$D$13)*(1-EXP(-Constantes!$D$24)))</f>
        <v>4.0451901643018984E-2</v>
      </c>
      <c r="AW570" s="170">
        <f>AW569+(Entradas!$F$112*AT570-AX569)/(800*Entradas!$D$25)</f>
        <v>0</v>
      </c>
      <c r="AX570" s="170">
        <f>8000*Entradas!$D$26*AW570/Constantes!$F$45</f>
        <v>0</v>
      </c>
      <c r="AY570" s="170">
        <f>IF(Escenarios!$F$17&gt;0,10*Escenarios!$F$16*AL570,0)</f>
        <v>0</v>
      </c>
      <c r="AZ570" s="170">
        <f>IF(Escenarios!$F$17&gt;0,10*Escenarios!$F$16*AX570,0)</f>
        <v>0</v>
      </c>
      <c r="BA570" s="170">
        <f>IF(Escenarios!$F$17&gt;0,0.001*Observaciones!$F569*Escenarios!$F$17,0)</f>
        <v>0</v>
      </c>
      <c r="BB570" s="170">
        <f>IF(Escenarios!$F$17&gt;0,Observaciones!$K569,0)</f>
        <v>0</v>
      </c>
      <c r="BC570" s="170">
        <f>IF(Escenarios!$F$17&gt;0,MIN(0.0005*ETo!$M569*Escenarios!$F$17*(BG569/Constantes!$F$40)^(2/3),BG569+AY570+AZ570+BA570+BB570),0)</f>
        <v>0</v>
      </c>
      <c r="BD570" s="170">
        <f>IF(Escenarios!$F$17&gt;0,MIN(Constantes!$F$39*(BG569/Constantes!$F$40)^(2/3),BG569+AY570+AZ570+BA570+BB570-BC570),0)</f>
        <v>0</v>
      </c>
      <c r="BE570" s="170">
        <f>IF(Escenarios!$F$17&gt;0,MIN(Entradas!$F$113,BG569+AY570+AZ570+BA570+BB570-BC570-BD570),0)</f>
        <v>0</v>
      </c>
      <c r="BF570" s="170">
        <f>IF(Escenarios!$F$17&gt;0,MAX(0,BG569+AY570+AZ570+BA570+BB570-BC570-BD570-BE570-Constantes!$F$40),0)</f>
        <v>0</v>
      </c>
      <c r="BG570" s="170">
        <f t="shared" si="123"/>
        <v>0</v>
      </c>
      <c r="BH570" s="170">
        <f>(Escenarios!$F$16*AK570+0.1*BC570)/(Escenarios!$F$19)</f>
        <v>0.28832450964678535</v>
      </c>
      <c r="BI570" s="170">
        <f>IF(Escenarios!$F$17&gt;0,BF570/10/Escenarios!$F$19,AL570)</f>
        <v>0</v>
      </c>
      <c r="BJ570" s="170">
        <f>(Escenarios!$F$16*AT570+0.1*BD570)/(Escenarios!$F$19)</f>
        <v>0</v>
      </c>
      <c r="BK570" s="76">
        <f>BK569+(0.1*BD570)/(Escenarios!$F$19)-BL569</f>
        <v>48.75</v>
      </c>
      <c r="BL570" s="76">
        <f>MAX(0,(BK570-Constantes!$D$13)*(1-EXP(-Constantes!$D$23)))</f>
        <v>0</v>
      </c>
      <c r="BM570" s="76">
        <f t="shared" si="124"/>
        <v>0.43711245284840078</v>
      </c>
      <c r="BN570" s="76">
        <f t="shared" si="125"/>
        <v>0.43831149634086725</v>
      </c>
      <c r="BO570" s="76">
        <f>0.0526*BI570*Observaciones!$F569^1.218</f>
        <v>0</v>
      </c>
      <c r="BP570" s="76">
        <f>BO570*Constantes!$F$51</f>
        <v>0</v>
      </c>
      <c r="BQ570" s="76">
        <f t="shared" si="126"/>
        <v>0</v>
      </c>
      <c r="BR570" s="40"/>
    </row>
    <row r="571" spans="2:70">
      <c r="B571" s="39"/>
      <c r="C571" s="75">
        <v>565</v>
      </c>
      <c r="D571" s="146">
        <f>ETo!$I570*((1-Constantes!$F$19)*ETo!$K570+ETo!$L570)</f>
        <v>2.6783394009163044</v>
      </c>
      <c r="E571" s="76">
        <f>MIN(D571*Constantes!$F$17,0.8*(N570+Observaciones!$F570-F571-M571-Constantes!$D$14))</f>
        <v>1.3120000605983109</v>
      </c>
      <c r="F571" s="76">
        <f>IF(Observaciones!$F570&gt;0.05*Constantes!$F$18,((Observaciones!$F570-0.05*Constantes!$F$18)^2)/(Observaciones!$F570+0.95*Constantes!$F$18),0)</f>
        <v>0</v>
      </c>
      <c r="G571" s="76">
        <f>IF(Escenarios!$F$11&gt;0,(F571*Escenarios!$F$16*10000)/1000,0)</f>
        <v>0</v>
      </c>
      <c r="H571" s="76">
        <f>IF(Escenarios!$F$11&gt;0,(Observaciones!$F570*Constantes!$F$29)/1000,0)</f>
        <v>0</v>
      </c>
      <c r="I571" s="76">
        <f>IF(Escenarios!$F$11&gt;0,(D571*Constantes!$F$29)/1000,0)</f>
        <v>0</v>
      </c>
      <c r="J571" s="76">
        <f>IF(Escenarios!$F$11&gt;0,MAX(0,G571+H571-I571),0)</f>
        <v>0</v>
      </c>
      <c r="K571" s="76">
        <f>IF(Escenarios!$F$11&gt;0,IF(J571&gt;Constantes!$F$30,1000*((J571-Constantes!$F$30)/(Escenarios!$F$16*10000)),0),F571)</f>
        <v>0</v>
      </c>
      <c r="L571" s="76">
        <f>IF(Escenarios!$F$11&gt;0,I571*1000/Escenarios!$F$16/10000+E571,E571)</f>
        <v>1.3120000605983109</v>
      </c>
      <c r="M571" s="76">
        <f>MAX(0,N570+Observaciones!$F570-K571-Constantes!$D$13)</f>
        <v>0</v>
      </c>
      <c r="N571" s="76">
        <f>N570+Observaciones!$F570-K571-L571-M571-O570</f>
        <v>11.57663746572632</v>
      </c>
      <c r="O571" s="76">
        <f>MAX(0,(N571-Constantes!$D$14)*(1-EXP(-Constantes!$D$22)))</f>
        <v>1.1126471193323368E-2</v>
      </c>
      <c r="P571" s="170">
        <f>P570+(Entradas!$F$83*M571-Q570)/(800*Entradas!$D$25)</f>
        <v>0</v>
      </c>
      <c r="Q571" s="170">
        <f>8000*Entradas!$D$26*P571/Constantes!$F$45</f>
        <v>0</v>
      </c>
      <c r="R571" s="170">
        <f>IF(Escenarios!$F$14&gt;0,K571*Escenarios!$F$13/Escenarios!$F$14,0)</f>
        <v>0</v>
      </c>
      <c r="S571" s="170">
        <f>IF(Escenarios!$F$14&gt;0,Q571*Escenarios!$F$13/Escenarios!$F$14,0)</f>
        <v>0</v>
      </c>
      <c r="T571" s="170">
        <f>IF(Escenarios!$F$14&gt;0,Observaciones!$I570,0)</f>
        <v>0</v>
      </c>
      <c r="U571" s="170">
        <f>IF(Escenarios!$F$14&gt;0,MAX(0,Constantes!$F$36/((Z570+R571+S571+T571+Observaciones!$F570)^2)+Entradas!$F$77),0)</f>
        <v>0</v>
      </c>
      <c r="V571" s="146">
        <f>IF(ETo!D570&gt;0,ETo!I570*((1-Entradas!$F$81)*ETo!K570+ETo!L570),0)</f>
        <v>2.3376307290005278</v>
      </c>
      <c r="W571" s="170">
        <f>IF(Escenarios!$F$14&gt;0,MIN(V571*1,0.8*(Z570+R571+S571+T571+Observaciones!$F570-U571-Constantes!$F$35)),0)</f>
        <v>1.312000180224004</v>
      </c>
      <c r="X571" s="170">
        <f>IF(Escenarios!$F$14&gt;0,Observaciones!$J570,0)</f>
        <v>0</v>
      </c>
      <c r="Y571" s="170">
        <f>IF(Escenarios!$F$14&gt;0,MAX(0,Z570+R571+S571+T571+Observaciones!$F570-U571-W571-X571-Constantes!$F$33),0)</f>
        <v>0</v>
      </c>
      <c r="Z571" s="170">
        <f>Z570+R571+S571+T571+Observaciones!$F570-U571-W571-Y571</f>
        <v>41.578000045056001</v>
      </c>
      <c r="AA571" s="170">
        <f>IF(Escenarios!$F$14&gt;0,(Escenarios!$F$13*L571+Escenarios!$F$14*W571)/(Escenarios!$F$16),L571)</f>
        <v>1.312000074953394</v>
      </c>
      <c r="AB571" s="170">
        <f>IF(Escenarios!$F$14&gt;0,(Escenarios!$F$14*Y571)/(Escenarios!$F$16),K571)</f>
        <v>0</v>
      </c>
      <c r="AC571" s="170">
        <f>IF(Escenarios!$F$14&gt;0,(Escenarios!$F$13*M571+Escenarios!$F$14*U571)/(Escenarios!$F$16),M571)</f>
        <v>0</v>
      </c>
      <c r="AD571" s="76">
        <f t="shared" si="113"/>
        <v>88.610211748138255</v>
      </c>
      <c r="AE571" s="76">
        <f>MAX(0,(AD571-Constantes!$D$13)*(1-EXP(-Constantes!$D$23)))</f>
        <v>0.39275216031717253</v>
      </c>
      <c r="AF571" s="76">
        <f>AB571+O571*Escenarios!$F$13/Escenarios!$F$16+AE571</f>
        <v>0.4025434549672971</v>
      </c>
      <c r="AG571" s="76">
        <f>IF(Entradas!$F$91&gt;0,IF(AF571-Escenarios!$F$38&lt;=0,0,IF(AF571-Escenarios!$F$38&gt;Escenarios!$F$37,Escenarios!$F$37,AF571-Escenarios!$F$38)),0)</f>
        <v>0</v>
      </c>
      <c r="AH571" s="76">
        <f>AG571*Entradas!$F$99</f>
        <v>0</v>
      </c>
      <c r="AI571" s="76">
        <f>IF(Entradas!$F$91&gt;0,D571*Entradas!$D$23/Escenarios!$F$16,0)</f>
        <v>0.12856029124398261</v>
      </c>
      <c r="AJ571" s="76">
        <f>IF(Entradas!$F$91&gt;0,Entradas!$D$24*Entradas!$D$22/Escenarios!$F$16,0)</f>
        <v>0.12</v>
      </c>
      <c r="AK571" s="76">
        <f t="shared" si="114"/>
        <v>1.4405603661973765</v>
      </c>
      <c r="AL571" s="76">
        <f t="shared" si="115"/>
        <v>0</v>
      </c>
      <c r="AM571" s="76">
        <f t="shared" si="116"/>
        <v>0</v>
      </c>
      <c r="AN571" s="76">
        <f>MAX(0,O571*Escenarios!$F$13/Escenarios!$F$16-AM571)</f>
        <v>9.7912946501245643E-3</v>
      </c>
      <c r="AO571" s="76">
        <f>AM571+AN571-O571*Escenarios!$F$13/Escenarios!$F$16</f>
        <v>0</v>
      </c>
      <c r="AP571" s="76">
        <f t="shared" si="117"/>
        <v>0.39275216031717253</v>
      </c>
      <c r="AQ571" s="76">
        <f t="shared" si="118"/>
        <v>0</v>
      </c>
      <c r="AR571" s="76">
        <f t="shared" si="119"/>
        <v>0.4025434549672971</v>
      </c>
      <c r="AS571" s="76">
        <f t="shared" si="120"/>
        <v>0</v>
      </c>
      <c r="AT571" s="76">
        <f t="shared" si="121"/>
        <v>0</v>
      </c>
      <c r="AU571" s="76">
        <f t="shared" si="122"/>
        <v>51.356015078543393</v>
      </c>
      <c r="AV571" s="76">
        <f>MAX(0,(AU571-Constantes!$D$13)*(1-EXP(-Constantes!$D$24)))</f>
        <v>3.9833584332133382E-2</v>
      </c>
      <c r="AW571" s="170">
        <f>AW570+(Entradas!$F$112*AT571-AX570)/(800*Entradas!$D$25)</f>
        <v>0</v>
      </c>
      <c r="AX571" s="170">
        <f>8000*Entradas!$D$26*AW571/Constantes!$F$45</f>
        <v>0</v>
      </c>
      <c r="AY571" s="170">
        <f>IF(Escenarios!$F$17&gt;0,10*Escenarios!$F$16*AL571,0)</f>
        <v>0</v>
      </c>
      <c r="AZ571" s="170">
        <f>IF(Escenarios!$F$17&gt;0,10*Escenarios!$F$16*AX571,0)</f>
        <v>0</v>
      </c>
      <c r="BA571" s="170">
        <f>IF(Escenarios!$F$17&gt;0,0.001*Observaciones!$F570*Escenarios!$F$17,0)</f>
        <v>0</v>
      </c>
      <c r="BB571" s="170">
        <f>IF(Escenarios!$F$17&gt;0,Observaciones!$K570,0)</f>
        <v>0</v>
      </c>
      <c r="BC571" s="170">
        <f>IF(Escenarios!$F$17&gt;0,MIN(0.0005*ETo!$M570*Escenarios!$F$17*(BG570/Constantes!$F$40)^(2/3),BG570+AY571+AZ571+BA571+BB571),0)</f>
        <v>0</v>
      </c>
      <c r="BD571" s="170">
        <f>IF(Escenarios!$F$17&gt;0,MIN(Constantes!$F$39*(BG570/Constantes!$F$40)^(2/3),BG570+AY571+AZ571+BA571+BB571-BC571),0)</f>
        <v>0</v>
      </c>
      <c r="BE571" s="170">
        <f>IF(Escenarios!$F$17&gt;0,MIN(Entradas!$F$113,BG570+AY571+AZ571+BA571+BB571-BC571-BD571),0)</f>
        <v>0</v>
      </c>
      <c r="BF571" s="170">
        <f>IF(Escenarios!$F$17&gt;0,MAX(0,BG570+AY571+AZ571+BA571+BB571-BC571-BD571-BE571-Constantes!$F$40),0)</f>
        <v>0</v>
      </c>
      <c r="BG571" s="170">
        <f t="shared" si="123"/>
        <v>0</v>
      </c>
      <c r="BH571" s="170">
        <f>(Escenarios!$F$16*AK571+0.1*BC571)/(Escenarios!$F$19)</f>
        <v>1.4405603661973765</v>
      </c>
      <c r="BI571" s="170">
        <f>IF(Escenarios!$F$17&gt;0,BF571/10/Escenarios!$F$19,AL571)</f>
        <v>0</v>
      </c>
      <c r="BJ571" s="170">
        <f>(Escenarios!$F$16*AT571+0.1*BD571)/(Escenarios!$F$19)</f>
        <v>0</v>
      </c>
      <c r="BK571" s="76">
        <f>BK570+(0.1*BD571)/(Escenarios!$F$19)-BL570</f>
        <v>48.75</v>
      </c>
      <c r="BL571" s="76">
        <f>MAX(0,(BK571-Constantes!$D$13)*(1-EXP(-Constantes!$D$23)))</f>
        <v>0</v>
      </c>
      <c r="BM571" s="76">
        <f t="shared" si="124"/>
        <v>0.43258574464930588</v>
      </c>
      <c r="BN571" s="76">
        <f t="shared" si="125"/>
        <v>0.44237703929943051</v>
      </c>
      <c r="BO571" s="76">
        <f>0.0526*BI571*Observaciones!$F570^1.218</f>
        <v>0</v>
      </c>
      <c r="BP571" s="76">
        <f>BO571*Constantes!$F$51</f>
        <v>0</v>
      </c>
      <c r="BQ571" s="76">
        <f t="shared" si="126"/>
        <v>0</v>
      </c>
      <c r="BR571" s="40"/>
    </row>
    <row r="572" spans="2:70">
      <c r="B572" s="39"/>
      <c r="C572" s="75">
        <v>566</v>
      </c>
      <c r="D572" s="146">
        <f>ETo!$I571*((1-Constantes!$F$19)*ETo!$K571+ETo!$L571)</f>
        <v>2.6235824350319388</v>
      </c>
      <c r="E572" s="76">
        <f>MIN(D572*Constantes!$F$17,0.8*(N571+Observaciones!$F571-F572-M572-Constantes!$D$14))</f>
        <v>1.4962599097552853</v>
      </c>
      <c r="F572" s="76">
        <f>IF(Observaciones!$F571&gt;0.05*Constantes!$F$18,((Observaciones!$F571-0.05*Constantes!$F$18)^2)/(Observaciones!$F571+0.95*Constantes!$F$18),0)</f>
        <v>0</v>
      </c>
      <c r="G572" s="76">
        <f>IF(Escenarios!$F$11&gt;0,(F572*Escenarios!$F$16*10000)/1000,0)</f>
        <v>0</v>
      </c>
      <c r="H572" s="76">
        <f>IF(Escenarios!$F$11&gt;0,(Observaciones!$F571*Constantes!$F$29)/1000,0)</f>
        <v>0</v>
      </c>
      <c r="I572" s="76">
        <f>IF(Escenarios!$F$11&gt;0,(D572*Constantes!$F$29)/1000,0)</f>
        <v>0</v>
      </c>
      <c r="J572" s="76">
        <f>IF(Escenarios!$F$11&gt;0,MAX(0,G572+H572-I572),0)</f>
        <v>0</v>
      </c>
      <c r="K572" s="76">
        <f>IF(Escenarios!$F$11&gt;0,IF(J572&gt;Constantes!$F$30,1000*((J572-Constantes!$F$30)/(Escenarios!$F$16*10000)),0),F572)</f>
        <v>0</v>
      </c>
      <c r="L572" s="76">
        <f>IF(Escenarios!$F$11&gt;0,I572*1000/Escenarios!$F$16/10000+E572,E572)</f>
        <v>1.4962599097552853</v>
      </c>
      <c r="M572" s="76">
        <f>MAX(0,N571+Observaciones!$F571-K572-Constantes!$D$13)</f>
        <v>0</v>
      </c>
      <c r="N572" s="76">
        <f>N571+Observaciones!$F571-K572-L572-M572-O571</f>
        <v>15.169251084777711</v>
      </c>
      <c r="O572" s="76">
        <f>MAX(0,(N572-Constantes!$D$14)*(1-EXP(-Constantes!$D$22)))</f>
        <v>0.13350407981281001</v>
      </c>
      <c r="P572" s="170">
        <f>P571+(Entradas!$F$83*M572-Q571)/(800*Entradas!$D$25)</f>
        <v>0</v>
      </c>
      <c r="Q572" s="170">
        <f>8000*Entradas!$D$26*P572/Constantes!$F$45</f>
        <v>0</v>
      </c>
      <c r="R572" s="170">
        <f>IF(Escenarios!$F$14&gt;0,K572*Escenarios!$F$13/Escenarios!$F$14,0)</f>
        <v>0</v>
      </c>
      <c r="S572" s="170">
        <f>IF(Escenarios!$F$14&gt;0,Q572*Escenarios!$F$13/Escenarios!$F$14,0)</f>
        <v>0</v>
      </c>
      <c r="T572" s="170">
        <f>IF(Escenarios!$F$14&gt;0,Observaciones!$I571,0)</f>
        <v>0</v>
      </c>
      <c r="U572" s="170">
        <f>IF(Escenarios!$F$14&gt;0,MAX(0,Constantes!$F$36/((Z571+R572+S572+T572+Observaciones!$F571)^2)+Entradas!$F$77),0)</f>
        <v>0</v>
      </c>
      <c r="V572" s="146">
        <f>IF(ETo!D571&gt;0,ETo!I571*((1-Entradas!$F$81)*ETo!K571+ETo!L571),0)</f>
        <v>2.2899916624011918</v>
      </c>
      <c r="W572" s="170">
        <f>IF(Escenarios!$F$14&gt;0,MIN(V572*1,0.8*(Z571+R572+S572+T572+Observaciones!$F571-U572-Constantes!$F$35)),0)</f>
        <v>2.2899916624011918</v>
      </c>
      <c r="X572" s="170">
        <f>IF(Escenarios!$F$14&gt;0,Observaciones!$J571,0)</f>
        <v>0</v>
      </c>
      <c r="Y572" s="170">
        <f>IF(Escenarios!$F$14&gt;0,MAX(0,Z571+R572+S572+T572+Observaciones!$F571-U572-W572-X572-Constantes!$F$33),0)</f>
        <v>0</v>
      </c>
      <c r="Z572" s="170">
        <f>Z571+R572+S572+T572+Observaciones!$F571-U572-W572-Y572</f>
        <v>44.38800838265481</v>
      </c>
      <c r="AA572" s="170">
        <f>IF(Escenarios!$F$14&gt;0,(Escenarios!$F$13*L572+Escenarios!$F$14*W572)/(Escenarios!$F$16),L572)</f>
        <v>1.5915077200727941</v>
      </c>
      <c r="AB572" s="170">
        <f>IF(Escenarios!$F$14&gt;0,(Escenarios!$F$14*Y572)/(Escenarios!$F$16),K572)</f>
        <v>0</v>
      </c>
      <c r="AC572" s="170">
        <f>IF(Escenarios!$F$14&gt;0,(Escenarios!$F$13*M572+Escenarios!$F$14*U572)/(Escenarios!$F$16),M572)</f>
        <v>0</v>
      </c>
      <c r="AD572" s="76">
        <f t="shared" si="113"/>
        <v>88.217459587821082</v>
      </c>
      <c r="AE572" s="76">
        <f>MAX(0,(AD572-Constantes!$D$13)*(1-EXP(-Constantes!$D$23)))</f>
        <v>0.38888227973529099</v>
      </c>
      <c r="AF572" s="76">
        <f>AB572+O572*Escenarios!$F$13/Escenarios!$F$16+AE572</f>
        <v>0.50636586997056376</v>
      </c>
      <c r="AG572" s="76">
        <f>IF(Entradas!$F$91&gt;0,IF(AF572-Escenarios!$F$38&lt;=0,0,IF(AF572-Escenarios!$F$38&gt;Escenarios!$F$37,Escenarios!$F$37,AF572-Escenarios!$F$38)),0)</f>
        <v>0</v>
      </c>
      <c r="AH572" s="76">
        <f>AG572*Entradas!$F$99</f>
        <v>0</v>
      </c>
      <c r="AI572" s="76">
        <f>IF(Entradas!$F$91&gt;0,D572*Entradas!$D$23/Escenarios!$F$16,0)</f>
        <v>0.12593195688153308</v>
      </c>
      <c r="AJ572" s="76">
        <f>IF(Entradas!$F$91&gt;0,Entradas!$D$24*Entradas!$D$22/Escenarios!$F$16,0)</f>
        <v>0.12</v>
      </c>
      <c r="AK572" s="76">
        <f t="shared" si="114"/>
        <v>1.7174396769543272</v>
      </c>
      <c r="AL572" s="76">
        <f t="shared" si="115"/>
        <v>0</v>
      </c>
      <c r="AM572" s="76">
        <f t="shared" si="116"/>
        <v>0</v>
      </c>
      <c r="AN572" s="76">
        <f>MAX(0,O572*Escenarios!$F$13/Escenarios!$F$16-AM572)</f>
        <v>0.11748359023527281</v>
      </c>
      <c r="AO572" s="76">
        <f>AM572+AN572-O572*Escenarios!$F$13/Escenarios!$F$16</f>
        <v>0</v>
      </c>
      <c r="AP572" s="76">
        <f t="shared" si="117"/>
        <v>0.38888227973529099</v>
      </c>
      <c r="AQ572" s="76">
        <f t="shared" si="118"/>
        <v>0</v>
      </c>
      <c r="AR572" s="76">
        <f t="shared" si="119"/>
        <v>0.50636586997056376</v>
      </c>
      <c r="AS572" s="76">
        <f t="shared" si="120"/>
        <v>0</v>
      </c>
      <c r="AT572" s="76">
        <f t="shared" si="121"/>
        <v>0</v>
      </c>
      <c r="AU572" s="76">
        <f t="shared" si="122"/>
        <v>51.316181494211257</v>
      </c>
      <c r="AV572" s="76">
        <f>MAX(0,(AU572-Constantes!$D$13)*(1-EXP(-Constantes!$D$24)))</f>
        <v>3.9224718154109509E-2</v>
      </c>
      <c r="AW572" s="170">
        <f>AW571+(Entradas!$F$112*AT572-AX571)/(800*Entradas!$D$25)</f>
        <v>0</v>
      </c>
      <c r="AX572" s="170">
        <f>8000*Entradas!$D$26*AW572/Constantes!$F$45</f>
        <v>0</v>
      </c>
      <c r="AY572" s="170">
        <f>IF(Escenarios!$F$17&gt;0,10*Escenarios!$F$16*AL572,0)</f>
        <v>0</v>
      </c>
      <c r="AZ572" s="170">
        <f>IF(Escenarios!$F$17&gt;0,10*Escenarios!$F$16*AX572,0)</f>
        <v>0</v>
      </c>
      <c r="BA572" s="170">
        <f>IF(Escenarios!$F$17&gt;0,0.001*Observaciones!$F571*Escenarios!$F$17,0)</f>
        <v>0</v>
      </c>
      <c r="BB572" s="170">
        <f>IF(Escenarios!$F$17&gt;0,Observaciones!$K571,0)</f>
        <v>0</v>
      </c>
      <c r="BC572" s="170">
        <f>IF(Escenarios!$F$17&gt;0,MIN(0.0005*ETo!$M571*Escenarios!$F$17*(BG571/Constantes!$F$40)^(2/3),BG571+AY572+AZ572+BA572+BB572),0)</f>
        <v>0</v>
      </c>
      <c r="BD572" s="170">
        <f>IF(Escenarios!$F$17&gt;0,MIN(Constantes!$F$39*(BG571/Constantes!$F$40)^(2/3),BG571+AY572+AZ572+BA572+BB572-BC572),0)</f>
        <v>0</v>
      </c>
      <c r="BE572" s="170">
        <f>IF(Escenarios!$F$17&gt;0,MIN(Entradas!$F$113,BG571+AY572+AZ572+BA572+BB572-BC572-BD572),0)</f>
        <v>0</v>
      </c>
      <c r="BF572" s="170">
        <f>IF(Escenarios!$F$17&gt;0,MAX(0,BG571+AY572+AZ572+BA572+BB572-BC572-BD572-BE572-Constantes!$F$40),0)</f>
        <v>0</v>
      </c>
      <c r="BG572" s="170">
        <f t="shared" si="123"/>
        <v>0</v>
      </c>
      <c r="BH572" s="170">
        <f>(Escenarios!$F$16*AK572+0.1*BC572)/(Escenarios!$F$19)</f>
        <v>1.7174396769543272</v>
      </c>
      <c r="BI572" s="170">
        <f>IF(Escenarios!$F$17&gt;0,BF572/10/Escenarios!$F$19,AL572)</f>
        <v>0</v>
      </c>
      <c r="BJ572" s="170">
        <f>(Escenarios!$F$16*AT572+0.1*BD572)/(Escenarios!$F$19)</f>
        <v>0</v>
      </c>
      <c r="BK572" s="76">
        <f>BK571+(0.1*BD572)/(Escenarios!$F$19)-BL571</f>
        <v>48.75</v>
      </c>
      <c r="BL572" s="76">
        <f>MAX(0,(BK572-Constantes!$D$13)*(1-EXP(-Constantes!$D$23)))</f>
        <v>0</v>
      </c>
      <c r="BM572" s="76">
        <f t="shared" si="124"/>
        <v>0.42810699788940049</v>
      </c>
      <c r="BN572" s="76">
        <f t="shared" si="125"/>
        <v>0.54559058812467331</v>
      </c>
      <c r="BO572" s="76">
        <f>0.0526*BI572*Observaciones!$F571^1.218</f>
        <v>0</v>
      </c>
      <c r="BP572" s="76">
        <f>BO572*Constantes!$F$51</f>
        <v>0</v>
      </c>
      <c r="BQ572" s="76">
        <f t="shared" si="126"/>
        <v>0</v>
      </c>
      <c r="BR572" s="40"/>
    </row>
    <row r="573" spans="2:70">
      <c r="B573" s="39"/>
      <c r="C573" s="75">
        <v>567</v>
      </c>
      <c r="D573" s="146">
        <f>ETo!$I572*((1-Constantes!$F$19)*ETo!$K572+ETo!$L572)</f>
        <v>2.5626676098905348</v>
      </c>
      <c r="E573" s="76">
        <f>MIN(D573*Constantes!$F$17,0.8*(N572+Observaciones!$F572-F573-M573-Constantes!$D$14))</f>
        <v>1.4615194687644435</v>
      </c>
      <c r="F573" s="76">
        <f>IF(Observaciones!$F572&gt;0.05*Constantes!$F$18,((Observaciones!$F572-0.05*Constantes!$F$18)^2)/(Observaciones!$F572+0.95*Constantes!$F$18),0)</f>
        <v>0</v>
      </c>
      <c r="G573" s="76">
        <f>IF(Escenarios!$F$11&gt;0,(F573*Escenarios!$F$16*10000)/1000,0)</f>
        <v>0</v>
      </c>
      <c r="H573" s="76">
        <f>IF(Escenarios!$F$11&gt;0,(Observaciones!$F572*Constantes!$F$29)/1000,0)</f>
        <v>0</v>
      </c>
      <c r="I573" s="76">
        <f>IF(Escenarios!$F$11&gt;0,(D573*Constantes!$F$29)/1000,0)</f>
        <v>0</v>
      </c>
      <c r="J573" s="76">
        <f>IF(Escenarios!$F$11&gt;0,MAX(0,G573+H573-I573),0)</f>
        <v>0</v>
      </c>
      <c r="K573" s="76">
        <f>IF(Escenarios!$F$11&gt;0,IF(J573&gt;Constantes!$F$30,1000*((J573-Constantes!$F$30)/(Escenarios!$F$16*10000)),0),F573)</f>
        <v>0</v>
      </c>
      <c r="L573" s="76">
        <f>IF(Escenarios!$F$11&gt;0,I573*1000/Escenarios!$F$16/10000+E573,E573)</f>
        <v>1.4615194687644435</v>
      </c>
      <c r="M573" s="76">
        <f>MAX(0,N572+Observaciones!$F572-K573-Constantes!$D$13)</f>
        <v>0</v>
      </c>
      <c r="N573" s="76">
        <f>N572+Observaciones!$F572-K573-L573-M573-O572</f>
        <v>20.27422753620046</v>
      </c>
      <c r="O573" s="76">
        <f>MAX(0,(N573-Constantes!$D$14)*(1-EXP(-Constantes!$D$22)))</f>
        <v>0.30739831850048344</v>
      </c>
      <c r="P573" s="170">
        <f>P572+(Entradas!$F$83*M573-Q572)/(800*Entradas!$D$25)</f>
        <v>0</v>
      </c>
      <c r="Q573" s="170">
        <f>8000*Entradas!$D$26*P573/Constantes!$F$45</f>
        <v>0</v>
      </c>
      <c r="R573" s="170">
        <f>IF(Escenarios!$F$14&gt;0,K573*Escenarios!$F$13/Escenarios!$F$14,0)</f>
        <v>0</v>
      </c>
      <c r="S573" s="170">
        <f>IF(Escenarios!$F$14&gt;0,Q573*Escenarios!$F$13/Escenarios!$F$14,0)</f>
        <v>0</v>
      </c>
      <c r="T573" s="170">
        <f>IF(Escenarios!$F$14&gt;0,Observaciones!$I572,0)</f>
        <v>0</v>
      </c>
      <c r="U573" s="170">
        <f>IF(Escenarios!$F$14&gt;0,MAX(0,Constantes!$F$36/((Z572+R573+S573+T573+Observaciones!$F572)^2)+Entradas!$F$77),0)</f>
        <v>0</v>
      </c>
      <c r="V573" s="146">
        <f>IF(ETo!D572&gt;0,ETo!I572*((1-Entradas!$F$81)*ETo!K572+ETo!L572),0)</f>
        <v>2.2371837779201296</v>
      </c>
      <c r="W573" s="170">
        <f>IF(Escenarios!$F$14&gt;0,MIN(V573*1,0.8*(Z572+R573+S573+T573+Observaciones!$F572-U573-Constantes!$F$35)),0)</f>
        <v>2.2371837779201296</v>
      </c>
      <c r="X573" s="170">
        <f>IF(Escenarios!$F$14&gt;0,Observaciones!$J572,0)</f>
        <v>0</v>
      </c>
      <c r="Y573" s="170">
        <f>IF(Escenarios!$F$14&gt;0,MAX(0,Z572+R573+S573+T573+Observaciones!$F572-U573-W573-X573-Constantes!$F$33),0)</f>
        <v>0</v>
      </c>
      <c r="Z573" s="170">
        <f>Z572+R573+S573+T573+Observaciones!$F572-U573-W573-Y573</f>
        <v>48.850824604734683</v>
      </c>
      <c r="AA573" s="170">
        <f>IF(Escenarios!$F$14&gt;0,(Escenarios!$F$13*L573+Escenarios!$F$14*W573)/(Escenarios!$F$16),L573)</f>
        <v>1.5545991858631258</v>
      </c>
      <c r="AB573" s="170">
        <f>IF(Escenarios!$F$14&gt;0,(Escenarios!$F$14*Y573)/(Escenarios!$F$16),K573)</f>
        <v>0</v>
      </c>
      <c r="AC573" s="170">
        <f>IF(Escenarios!$F$14&gt;0,(Escenarios!$F$13*M573+Escenarios!$F$14*U573)/(Escenarios!$F$16),M573)</f>
        <v>0</v>
      </c>
      <c r="AD573" s="76">
        <f t="shared" si="113"/>
        <v>87.828577308085798</v>
      </c>
      <c r="AE573" s="76">
        <f>MAX(0,(AD573-Constantes!$D$13)*(1-EXP(-Constantes!$D$23)))</f>
        <v>0.38505053000851652</v>
      </c>
      <c r="AF573" s="76">
        <f>AB573+O573*Escenarios!$F$13/Escenarios!$F$16+AE573</f>
        <v>0.65556105028894196</v>
      </c>
      <c r="AG573" s="76">
        <f>IF(Entradas!$F$91&gt;0,IF(AF573-Escenarios!$F$38&lt;=0,0,IF(AF573-Escenarios!$F$38&gt;Escenarios!$F$37,Escenarios!$F$37,AF573-Escenarios!$F$38)),0)</f>
        <v>0</v>
      </c>
      <c r="AH573" s="76">
        <f>AG573*Entradas!$F$99</f>
        <v>0</v>
      </c>
      <c r="AI573" s="76">
        <f>IF(Entradas!$F$91&gt;0,D573*Entradas!$D$23/Escenarios!$F$16,0)</f>
        <v>0.12300804527474567</v>
      </c>
      <c r="AJ573" s="76">
        <f>IF(Entradas!$F$91&gt;0,Entradas!$D$24*Entradas!$D$22/Escenarios!$F$16,0)</f>
        <v>0.12</v>
      </c>
      <c r="AK573" s="76">
        <f t="shared" si="114"/>
        <v>1.6776072311378716</v>
      </c>
      <c r="AL573" s="76">
        <f t="shared" si="115"/>
        <v>0</v>
      </c>
      <c r="AM573" s="76">
        <f t="shared" si="116"/>
        <v>0</v>
      </c>
      <c r="AN573" s="76">
        <f>MAX(0,O573*Escenarios!$F$13/Escenarios!$F$16-AM573)</f>
        <v>0.27051052028042538</v>
      </c>
      <c r="AO573" s="76">
        <f>AM573+AN573-O573*Escenarios!$F$13/Escenarios!$F$16</f>
        <v>0</v>
      </c>
      <c r="AP573" s="76">
        <f t="shared" si="117"/>
        <v>0.38505053000851652</v>
      </c>
      <c r="AQ573" s="76">
        <f t="shared" si="118"/>
        <v>0</v>
      </c>
      <c r="AR573" s="76">
        <f t="shared" si="119"/>
        <v>0.65556105028894196</v>
      </c>
      <c r="AS573" s="76">
        <f t="shared" si="120"/>
        <v>0</v>
      </c>
      <c r="AT573" s="76">
        <f t="shared" si="121"/>
        <v>0</v>
      </c>
      <c r="AU573" s="76">
        <f t="shared" si="122"/>
        <v>51.276956776057148</v>
      </c>
      <c r="AV573" s="76">
        <f>MAX(0,(AU573-Constantes!$D$13)*(1-EXP(-Constantes!$D$24)))</f>
        <v>3.8625158646046646E-2</v>
      </c>
      <c r="AW573" s="170">
        <f>AW572+(Entradas!$F$112*AT573-AX572)/(800*Entradas!$D$25)</f>
        <v>0</v>
      </c>
      <c r="AX573" s="170">
        <f>8000*Entradas!$D$26*AW573/Constantes!$F$45</f>
        <v>0</v>
      </c>
      <c r="AY573" s="170">
        <f>IF(Escenarios!$F$17&gt;0,10*Escenarios!$F$16*AL573,0)</f>
        <v>0</v>
      </c>
      <c r="AZ573" s="170">
        <f>IF(Escenarios!$F$17&gt;0,10*Escenarios!$F$16*AX573,0)</f>
        <v>0</v>
      </c>
      <c r="BA573" s="170">
        <f>IF(Escenarios!$F$17&gt;0,0.001*Observaciones!$F572*Escenarios!$F$17,0)</f>
        <v>0</v>
      </c>
      <c r="BB573" s="170">
        <f>IF(Escenarios!$F$17&gt;0,Observaciones!$K572,0)</f>
        <v>0</v>
      </c>
      <c r="BC573" s="170">
        <f>IF(Escenarios!$F$17&gt;0,MIN(0.0005*ETo!$M572*Escenarios!$F$17*(BG572/Constantes!$F$40)^(2/3),BG572+AY573+AZ573+BA573+BB573),0)</f>
        <v>0</v>
      </c>
      <c r="BD573" s="170">
        <f>IF(Escenarios!$F$17&gt;0,MIN(Constantes!$F$39*(BG572/Constantes!$F$40)^(2/3),BG572+AY573+AZ573+BA573+BB573-BC573),0)</f>
        <v>0</v>
      </c>
      <c r="BE573" s="170">
        <f>IF(Escenarios!$F$17&gt;0,MIN(Entradas!$F$113,BG572+AY573+AZ573+BA573+BB573-BC573-BD573),0)</f>
        <v>0</v>
      </c>
      <c r="BF573" s="170">
        <f>IF(Escenarios!$F$17&gt;0,MAX(0,BG572+AY573+AZ573+BA573+BB573-BC573-BD573-BE573-Constantes!$F$40),0)</f>
        <v>0</v>
      </c>
      <c r="BG573" s="170">
        <f t="shared" si="123"/>
        <v>0</v>
      </c>
      <c r="BH573" s="170">
        <f>(Escenarios!$F$16*AK573+0.1*BC573)/(Escenarios!$F$19)</f>
        <v>1.6776072311378716</v>
      </c>
      <c r="BI573" s="170">
        <f>IF(Escenarios!$F$17&gt;0,BF573/10/Escenarios!$F$19,AL573)</f>
        <v>0</v>
      </c>
      <c r="BJ573" s="170">
        <f>(Escenarios!$F$16*AT573+0.1*BD573)/(Escenarios!$F$19)</f>
        <v>0</v>
      </c>
      <c r="BK573" s="76">
        <f>BK572+(0.1*BD573)/(Escenarios!$F$19)-BL572</f>
        <v>48.75</v>
      </c>
      <c r="BL573" s="76">
        <f>MAX(0,(BK573-Constantes!$D$13)*(1-EXP(-Constantes!$D$23)))</f>
        <v>0</v>
      </c>
      <c r="BM573" s="76">
        <f t="shared" si="124"/>
        <v>0.42367568865456318</v>
      </c>
      <c r="BN573" s="76">
        <f t="shared" si="125"/>
        <v>0.69418620893498861</v>
      </c>
      <c r="BO573" s="76">
        <f>0.0526*BI573*Observaciones!$F572^1.218</f>
        <v>0</v>
      </c>
      <c r="BP573" s="76">
        <f>BO573*Constantes!$F$51</f>
        <v>0</v>
      </c>
      <c r="BQ573" s="76">
        <f t="shared" si="126"/>
        <v>0</v>
      </c>
      <c r="BR573" s="40"/>
    </row>
    <row r="574" spans="2:70">
      <c r="B574" s="39"/>
      <c r="C574" s="75">
        <v>568</v>
      </c>
      <c r="D574" s="146">
        <f>ETo!$I573*((1-Constantes!$F$19)*ETo!$K573+ETo!$L573)</f>
        <v>2.7427993151540031</v>
      </c>
      <c r="E574" s="76">
        <f>MIN(D574*Constantes!$F$17,0.8*(N573+Observaciones!$F573-F574-M574-Constantes!$D$14))</f>
        <v>1.5642506981943667</v>
      </c>
      <c r="F574" s="76">
        <f>IF(Observaciones!$F573&gt;0.05*Constantes!$F$18,((Observaciones!$F573-0.05*Constantes!$F$18)^2)/(Observaciones!$F573+0.95*Constantes!$F$18),0)</f>
        <v>0</v>
      </c>
      <c r="G574" s="76">
        <f>IF(Escenarios!$F$11&gt;0,(F574*Escenarios!$F$16*10000)/1000,0)</f>
        <v>0</v>
      </c>
      <c r="H574" s="76">
        <f>IF(Escenarios!$F$11&gt;0,(Observaciones!$F573*Constantes!$F$29)/1000,0)</f>
        <v>0</v>
      </c>
      <c r="I574" s="76">
        <f>IF(Escenarios!$F$11&gt;0,(D574*Constantes!$F$29)/1000,0)</f>
        <v>0</v>
      </c>
      <c r="J574" s="76">
        <f>IF(Escenarios!$F$11&gt;0,MAX(0,G574+H574-I574),0)</f>
        <v>0</v>
      </c>
      <c r="K574" s="76">
        <f>IF(Escenarios!$F$11&gt;0,IF(J574&gt;Constantes!$F$30,1000*((J574-Constantes!$F$30)/(Escenarios!$F$16*10000)),0),F574)</f>
        <v>0</v>
      </c>
      <c r="L574" s="76">
        <f>IF(Escenarios!$F$11&gt;0,I574*1000/Escenarios!$F$16/10000+E574,E574)</f>
        <v>1.5642506981943667</v>
      </c>
      <c r="M574" s="76">
        <f>MAX(0,N573+Observaciones!$F573-K574-Constantes!$D$13)</f>
        <v>0</v>
      </c>
      <c r="N574" s="76">
        <f>N573+Observaciones!$F573-K574-L574-M574-O573</f>
        <v>18.40257851950561</v>
      </c>
      <c r="O574" s="76">
        <f>MAX(0,(N574-Constantes!$D$14)*(1-EXP(-Constantes!$D$22)))</f>
        <v>0.24364308202765395</v>
      </c>
      <c r="P574" s="170">
        <f>P573+(Entradas!$F$83*M574-Q573)/(800*Entradas!$D$25)</f>
        <v>0</v>
      </c>
      <c r="Q574" s="170">
        <f>8000*Entradas!$D$26*P574/Constantes!$F$45</f>
        <v>0</v>
      </c>
      <c r="R574" s="170">
        <f>IF(Escenarios!$F$14&gt;0,K574*Escenarios!$F$13/Escenarios!$F$14,0)</f>
        <v>0</v>
      </c>
      <c r="S574" s="170">
        <f>IF(Escenarios!$F$14&gt;0,Q574*Escenarios!$F$13/Escenarios!$F$14,0)</f>
        <v>0</v>
      </c>
      <c r="T574" s="170">
        <f>IF(Escenarios!$F$14&gt;0,Observaciones!$I573,0)</f>
        <v>0</v>
      </c>
      <c r="U574" s="170">
        <f>IF(Escenarios!$F$14&gt;0,MAX(0,Constantes!$F$36/((Z573+R574+S574+T574+Observaciones!$F573)^2)+Entradas!$F$77),0)</f>
        <v>0</v>
      </c>
      <c r="V574" s="146">
        <f>IF(ETo!D573&gt;0,ETo!I573*((1-Entradas!$F$81)*ETo!K573+ETo!L573),0)</f>
        <v>2.3957121580015865</v>
      </c>
      <c r="W574" s="170">
        <f>IF(Escenarios!$F$14&gt;0,MIN(V574*1,0.8*(Z573+R574+S574+T574+Observaciones!$F573-U574-Constantes!$F$35)),0)</f>
        <v>2.3957121580015865</v>
      </c>
      <c r="X574" s="170">
        <f>IF(Escenarios!$F$14&gt;0,Observaciones!$J573,0)</f>
        <v>0</v>
      </c>
      <c r="Y574" s="170">
        <f>IF(Escenarios!$F$14&gt;0,MAX(0,Z573+R574+S574+T574+Observaciones!$F573-U574-W574-X574-Constantes!$F$33),0)</f>
        <v>0</v>
      </c>
      <c r="Z574" s="170">
        <f>Z573+R574+S574+T574+Observaciones!$F573-U574-W574-Y574</f>
        <v>46.455112446733096</v>
      </c>
      <c r="AA574" s="170">
        <f>IF(Escenarios!$F$14&gt;0,(Escenarios!$F$13*L574+Escenarios!$F$14*W574)/(Escenarios!$F$16),L574)</f>
        <v>1.6640260733712331</v>
      </c>
      <c r="AB574" s="170">
        <f>IF(Escenarios!$F$14&gt;0,(Escenarios!$F$14*Y574)/(Escenarios!$F$16),K574)</f>
        <v>0</v>
      </c>
      <c r="AC574" s="170">
        <f>IF(Escenarios!$F$14&gt;0,(Escenarios!$F$13*M574+Escenarios!$F$14*U574)/(Escenarios!$F$16),M574)</f>
        <v>0</v>
      </c>
      <c r="AD574" s="76">
        <f t="shared" si="113"/>
        <v>87.443526778077285</v>
      </c>
      <c r="AE574" s="76">
        <f>MAX(0,(AD574-Constantes!$D$13)*(1-EXP(-Constantes!$D$23)))</f>
        <v>0.38125653542445165</v>
      </c>
      <c r="AF574" s="76">
        <f>AB574+O574*Escenarios!$F$13/Escenarios!$F$16+AE574</f>
        <v>0.59566244760878706</v>
      </c>
      <c r="AG574" s="76">
        <f>IF(Entradas!$F$91&gt;0,IF(AF574-Escenarios!$F$38&lt;=0,0,IF(AF574-Escenarios!$F$38&gt;Escenarios!$F$37,Escenarios!$F$37,AF574-Escenarios!$F$38)),0)</f>
        <v>0</v>
      </c>
      <c r="AH574" s="76">
        <f>AG574*Entradas!$F$99</f>
        <v>0</v>
      </c>
      <c r="AI574" s="76">
        <f>IF(Entradas!$F$91&gt;0,D574*Entradas!$D$23/Escenarios!$F$16,0)</f>
        <v>0.13165436712739217</v>
      </c>
      <c r="AJ574" s="76">
        <f>IF(Entradas!$F$91&gt;0,Entradas!$D$24*Entradas!$D$22/Escenarios!$F$16,0)</f>
        <v>0.12</v>
      </c>
      <c r="AK574" s="76">
        <f t="shared" si="114"/>
        <v>1.7956804404986253</v>
      </c>
      <c r="AL574" s="76">
        <f t="shared" si="115"/>
        <v>0</v>
      </c>
      <c r="AM574" s="76">
        <f t="shared" si="116"/>
        <v>0</v>
      </c>
      <c r="AN574" s="76">
        <f>MAX(0,O574*Escenarios!$F$13/Escenarios!$F$16-AM574)</f>
        <v>0.21440591218433547</v>
      </c>
      <c r="AO574" s="76">
        <f>AM574+AN574-O574*Escenarios!$F$13/Escenarios!$F$16</f>
        <v>0</v>
      </c>
      <c r="AP574" s="76">
        <f t="shared" si="117"/>
        <v>0.38125653542445165</v>
      </c>
      <c r="AQ574" s="76">
        <f t="shared" si="118"/>
        <v>0</v>
      </c>
      <c r="AR574" s="76">
        <f t="shared" si="119"/>
        <v>0.59566244760878706</v>
      </c>
      <c r="AS574" s="76">
        <f t="shared" si="120"/>
        <v>0</v>
      </c>
      <c r="AT574" s="76">
        <f t="shared" si="121"/>
        <v>0</v>
      </c>
      <c r="AU574" s="76">
        <f t="shared" si="122"/>
        <v>51.238331617411099</v>
      </c>
      <c r="AV574" s="76">
        <f>MAX(0,(AU574-Constantes!$D$13)*(1-EXP(-Constantes!$D$24)))</f>
        <v>3.8034763553195003E-2</v>
      </c>
      <c r="AW574" s="170">
        <f>AW573+(Entradas!$F$112*AT574-AX573)/(800*Entradas!$D$25)</f>
        <v>0</v>
      </c>
      <c r="AX574" s="170">
        <f>8000*Entradas!$D$26*AW574/Constantes!$F$45</f>
        <v>0</v>
      </c>
      <c r="AY574" s="170">
        <f>IF(Escenarios!$F$17&gt;0,10*Escenarios!$F$16*AL574,0)</f>
        <v>0</v>
      </c>
      <c r="AZ574" s="170">
        <f>IF(Escenarios!$F$17&gt;0,10*Escenarios!$F$16*AX574,0)</f>
        <v>0</v>
      </c>
      <c r="BA574" s="170">
        <f>IF(Escenarios!$F$17&gt;0,0.001*Observaciones!$F573*Escenarios!$F$17,0)</f>
        <v>0</v>
      </c>
      <c r="BB574" s="170">
        <f>IF(Escenarios!$F$17&gt;0,Observaciones!$K573,0)</f>
        <v>0</v>
      </c>
      <c r="BC574" s="170">
        <f>IF(Escenarios!$F$17&gt;0,MIN(0.0005*ETo!$M573*Escenarios!$F$17*(BG573/Constantes!$F$40)^(2/3),BG573+AY574+AZ574+BA574+BB574),0)</f>
        <v>0</v>
      </c>
      <c r="BD574" s="170">
        <f>IF(Escenarios!$F$17&gt;0,MIN(Constantes!$F$39*(BG573/Constantes!$F$40)^(2/3),BG573+AY574+AZ574+BA574+BB574-BC574),0)</f>
        <v>0</v>
      </c>
      <c r="BE574" s="170">
        <f>IF(Escenarios!$F$17&gt;0,MIN(Entradas!$F$113,BG573+AY574+AZ574+BA574+BB574-BC574-BD574),0)</f>
        <v>0</v>
      </c>
      <c r="BF574" s="170">
        <f>IF(Escenarios!$F$17&gt;0,MAX(0,BG573+AY574+AZ574+BA574+BB574-BC574-BD574-BE574-Constantes!$F$40),0)</f>
        <v>0</v>
      </c>
      <c r="BG574" s="170">
        <f t="shared" si="123"/>
        <v>0</v>
      </c>
      <c r="BH574" s="170">
        <f>(Escenarios!$F$16*AK574+0.1*BC574)/(Escenarios!$F$19)</f>
        <v>1.7956804404986253</v>
      </c>
      <c r="BI574" s="170">
        <f>IF(Escenarios!$F$17&gt;0,BF574/10/Escenarios!$F$19,AL574)</f>
        <v>0</v>
      </c>
      <c r="BJ574" s="170">
        <f>(Escenarios!$F$16*AT574+0.1*BD574)/(Escenarios!$F$19)</f>
        <v>0</v>
      </c>
      <c r="BK574" s="76">
        <f>BK573+(0.1*BD574)/(Escenarios!$F$19)-BL573</f>
        <v>48.75</v>
      </c>
      <c r="BL574" s="76">
        <f>MAX(0,(BK574-Constantes!$D$13)*(1-EXP(-Constantes!$D$23)))</f>
        <v>0</v>
      </c>
      <c r="BM574" s="76">
        <f t="shared" si="124"/>
        <v>0.41929129897764666</v>
      </c>
      <c r="BN574" s="76">
        <f t="shared" si="125"/>
        <v>0.63369721116198208</v>
      </c>
      <c r="BO574" s="76">
        <f>0.0526*BI574*Observaciones!$F573^1.218</f>
        <v>0</v>
      </c>
      <c r="BP574" s="76">
        <f>BO574*Constantes!$F$51</f>
        <v>0</v>
      </c>
      <c r="BQ574" s="76">
        <f t="shared" si="126"/>
        <v>0</v>
      </c>
      <c r="BR574" s="40"/>
    </row>
    <row r="575" spans="2:70">
      <c r="B575" s="39"/>
      <c r="C575" s="75">
        <v>569</v>
      </c>
      <c r="D575" s="146">
        <f>ETo!$I574*((1-Constantes!$F$19)*ETo!$K574+ETo!$L574)</f>
        <v>2.7169458438683529</v>
      </c>
      <c r="E575" s="76">
        <f>MIN(D575*Constantes!$F$17,0.8*(N574+Observaciones!$F574-F575-M575-Constantes!$D$14))</f>
        <v>1.5495061595451527</v>
      </c>
      <c r="F575" s="76">
        <f>IF(Observaciones!$F574&gt;0.05*Constantes!$F$18,((Observaciones!$F574-0.05*Constantes!$F$18)^2)/(Observaciones!$F574+0.95*Constantes!$F$18),0)</f>
        <v>0</v>
      </c>
      <c r="G575" s="76">
        <f>IF(Escenarios!$F$11&gt;0,(F575*Escenarios!$F$16*10000)/1000,0)</f>
        <v>0</v>
      </c>
      <c r="H575" s="76">
        <f>IF(Escenarios!$F$11&gt;0,(Observaciones!$F574*Constantes!$F$29)/1000,0)</f>
        <v>0</v>
      </c>
      <c r="I575" s="76">
        <f>IF(Escenarios!$F$11&gt;0,(D575*Constantes!$F$29)/1000,0)</f>
        <v>0</v>
      </c>
      <c r="J575" s="76">
        <f>IF(Escenarios!$F$11&gt;0,MAX(0,G575+H575-I575),0)</f>
        <v>0</v>
      </c>
      <c r="K575" s="76">
        <f>IF(Escenarios!$F$11&gt;0,IF(J575&gt;Constantes!$F$30,1000*((J575-Constantes!$F$30)/(Escenarios!$F$16*10000)),0),F575)</f>
        <v>0</v>
      </c>
      <c r="L575" s="76">
        <f>IF(Escenarios!$F$11&gt;0,I575*1000/Escenarios!$F$16/10000+E575,E575)</f>
        <v>1.5495061595451527</v>
      </c>
      <c r="M575" s="76">
        <f>MAX(0,N574+Observaciones!$F574-K575-Constantes!$D$13)</f>
        <v>0</v>
      </c>
      <c r="N575" s="76">
        <f>N574+Observaciones!$F574-K575-L575-M575-O574</f>
        <v>16.609429277932804</v>
      </c>
      <c r="O575" s="76">
        <f>MAX(0,(N575-Constantes!$D$14)*(1-EXP(-Constantes!$D$22)))</f>
        <v>0.18256183607405529</v>
      </c>
      <c r="P575" s="170">
        <f>P574+(Entradas!$F$83*M575-Q574)/(800*Entradas!$D$25)</f>
        <v>0</v>
      </c>
      <c r="Q575" s="170">
        <f>8000*Entradas!$D$26*P575/Constantes!$F$45</f>
        <v>0</v>
      </c>
      <c r="R575" s="170">
        <f>IF(Escenarios!$F$14&gt;0,K575*Escenarios!$F$13/Escenarios!$F$14,0)</f>
        <v>0</v>
      </c>
      <c r="S575" s="170">
        <f>IF(Escenarios!$F$14&gt;0,Q575*Escenarios!$F$13/Escenarios!$F$14,0)</f>
        <v>0</v>
      </c>
      <c r="T575" s="170">
        <f>IF(Escenarios!$F$14&gt;0,Observaciones!$I574,0)</f>
        <v>0</v>
      </c>
      <c r="U575" s="170">
        <f>IF(Escenarios!$F$14&gt;0,MAX(0,Constantes!$F$36/((Z574+R575+S575+T575+Observaciones!$F574)^2)+Entradas!$F$77),0)</f>
        <v>0</v>
      </c>
      <c r="V575" s="146">
        <f>IF(ETo!D574&gt;0,ETo!I574*((1-Entradas!$F$81)*ETo!K574+ETo!L574),0)</f>
        <v>2.3733977344240067</v>
      </c>
      <c r="W575" s="170">
        <f>IF(Escenarios!$F$14&gt;0,MIN(V575*1,0.8*(Z574+R575+S575+T575+Observaciones!$F574-U575-Constantes!$F$35)),0)</f>
        <v>2.3733977344240067</v>
      </c>
      <c r="X575" s="170">
        <f>IF(Escenarios!$F$14&gt;0,Observaciones!$J574,0)</f>
        <v>0</v>
      </c>
      <c r="Y575" s="170">
        <f>IF(Escenarios!$F$14&gt;0,MAX(0,Z574+R575+S575+T575+Observaciones!$F574-U575-W575-X575-Constantes!$F$33),0)</f>
        <v>0</v>
      </c>
      <c r="Z575" s="170">
        <f>Z574+R575+S575+T575+Observaciones!$F574-U575-W575-Y575</f>
        <v>44.081714712309093</v>
      </c>
      <c r="AA575" s="170">
        <f>IF(Escenarios!$F$14&gt;0,(Escenarios!$F$13*L575+Escenarios!$F$14*W575)/(Escenarios!$F$16),L575)</f>
        <v>1.6483731485306152</v>
      </c>
      <c r="AB575" s="170">
        <f>IF(Escenarios!$F$14&gt;0,(Escenarios!$F$14*Y575)/(Escenarios!$F$16),K575)</f>
        <v>0</v>
      </c>
      <c r="AC575" s="170">
        <f>IF(Escenarios!$F$14&gt;0,(Escenarios!$F$13*M575+Escenarios!$F$14*U575)/(Escenarios!$F$16),M575)</f>
        <v>0</v>
      </c>
      <c r="AD575" s="76">
        <f t="shared" si="113"/>
        <v>87.062270242652829</v>
      </c>
      <c r="AE575" s="76">
        <f>MAX(0,(AD575-Constantes!$D$13)*(1-EXP(-Constantes!$D$23)))</f>
        <v>0.37749992397268262</v>
      </c>
      <c r="AF575" s="76">
        <f>AB575+O575*Escenarios!$F$13/Escenarios!$F$16+AE575</f>
        <v>0.5381543397178512</v>
      </c>
      <c r="AG575" s="76">
        <f>IF(Entradas!$F$91&gt;0,IF(AF575-Escenarios!$F$38&lt;=0,0,IF(AF575-Escenarios!$F$38&gt;Escenarios!$F$37,Escenarios!$F$37,AF575-Escenarios!$F$38)),0)</f>
        <v>0</v>
      </c>
      <c r="AH575" s="76">
        <f>AG575*Entradas!$F$99</f>
        <v>0</v>
      </c>
      <c r="AI575" s="76">
        <f>IF(Entradas!$F$91&gt;0,D575*Entradas!$D$23/Escenarios!$F$16,0)</f>
        <v>0.13041340050568095</v>
      </c>
      <c r="AJ575" s="76">
        <f>IF(Entradas!$F$91&gt;0,Entradas!$D$24*Entradas!$D$22/Escenarios!$F$16,0)</f>
        <v>0.12</v>
      </c>
      <c r="AK575" s="76">
        <f t="shared" si="114"/>
        <v>1.7787865490362962</v>
      </c>
      <c r="AL575" s="76">
        <f t="shared" si="115"/>
        <v>0</v>
      </c>
      <c r="AM575" s="76">
        <f t="shared" si="116"/>
        <v>0</v>
      </c>
      <c r="AN575" s="76">
        <f>MAX(0,O575*Escenarios!$F$13/Escenarios!$F$16-AM575)</f>
        <v>0.16065441574516864</v>
      </c>
      <c r="AO575" s="76">
        <f>AM575+AN575-O575*Escenarios!$F$13/Escenarios!$F$16</f>
        <v>0</v>
      </c>
      <c r="AP575" s="76">
        <f t="shared" si="117"/>
        <v>0.37749992397268262</v>
      </c>
      <c r="AQ575" s="76">
        <f t="shared" si="118"/>
        <v>0</v>
      </c>
      <c r="AR575" s="76">
        <f t="shared" si="119"/>
        <v>0.5381543397178512</v>
      </c>
      <c r="AS575" s="76">
        <f t="shared" si="120"/>
        <v>0</v>
      </c>
      <c r="AT575" s="76">
        <f t="shared" si="121"/>
        <v>0</v>
      </c>
      <c r="AU575" s="76">
        <f t="shared" si="122"/>
        <v>51.200296853857907</v>
      </c>
      <c r="AV575" s="76">
        <f>MAX(0,(AU575-Constantes!$D$13)*(1-EXP(-Constantes!$D$24)))</f>
        <v>3.7453392795203974E-2</v>
      </c>
      <c r="AW575" s="170">
        <f>AW574+(Entradas!$F$112*AT575-AX574)/(800*Entradas!$D$25)</f>
        <v>0</v>
      </c>
      <c r="AX575" s="170">
        <f>8000*Entradas!$D$26*AW575/Constantes!$F$45</f>
        <v>0</v>
      </c>
      <c r="AY575" s="170">
        <f>IF(Escenarios!$F$17&gt;0,10*Escenarios!$F$16*AL575,0)</f>
        <v>0</v>
      </c>
      <c r="AZ575" s="170">
        <f>IF(Escenarios!$F$17&gt;0,10*Escenarios!$F$16*AX575,0)</f>
        <v>0</v>
      </c>
      <c r="BA575" s="170">
        <f>IF(Escenarios!$F$17&gt;0,0.001*Observaciones!$F574*Escenarios!$F$17,0)</f>
        <v>0</v>
      </c>
      <c r="BB575" s="170">
        <f>IF(Escenarios!$F$17&gt;0,Observaciones!$K574,0)</f>
        <v>0</v>
      </c>
      <c r="BC575" s="170">
        <f>IF(Escenarios!$F$17&gt;0,MIN(0.0005*ETo!$M574*Escenarios!$F$17*(BG574/Constantes!$F$40)^(2/3),BG574+AY575+AZ575+BA575+BB575),0)</f>
        <v>0</v>
      </c>
      <c r="BD575" s="170">
        <f>IF(Escenarios!$F$17&gt;0,MIN(Constantes!$F$39*(BG574/Constantes!$F$40)^(2/3),BG574+AY575+AZ575+BA575+BB575-BC575),0)</f>
        <v>0</v>
      </c>
      <c r="BE575" s="170">
        <f>IF(Escenarios!$F$17&gt;0,MIN(Entradas!$F$113,BG574+AY575+AZ575+BA575+BB575-BC575-BD575),0)</f>
        <v>0</v>
      </c>
      <c r="BF575" s="170">
        <f>IF(Escenarios!$F$17&gt;0,MAX(0,BG574+AY575+AZ575+BA575+BB575-BC575-BD575-BE575-Constantes!$F$40),0)</f>
        <v>0</v>
      </c>
      <c r="BG575" s="170">
        <f t="shared" si="123"/>
        <v>0</v>
      </c>
      <c r="BH575" s="170">
        <f>(Escenarios!$F$16*AK575+0.1*BC575)/(Escenarios!$F$19)</f>
        <v>1.7787865490362962</v>
      </c>
      <c r="BI575" s="170">
        <f>IF(Escenarios!$F$17&gt;0,BF575/10/Escenarios!$F$19,AL575)</f>
        <v>0</v>
      </c>
      <c r="BJ575" s="170">
        <f>(Escenarios!$F$16*AT575+0.1*BD575)/(Escenarios!$F$19)</f>
        <v>0</v>
      </c>
      <c r="BK575" s="76">
        <f>BK574+(0.1*BD575)/(Escenarios!$F$19)-BL574</f>
        <v>48.75</v>
      </c>
      <c r="BL575" s="76">
        <f>MAX(0,(BK575-Constantes!$D$13)*(1-EXP(-Constantes!$D$23)))</f>
        <v>0</v>
      </c>
      <c r="BM575" s="76">
        <f t="shared" si="124"/>
        <v>0.4149533167678866</v>
      </c>
      <c r="BN575" s="76">
        <f t="shared" si="125"/>
        <v>0.57560773251305519</v>
      </c>
      <c r="BO575" s="76">
        <f>0.0526*BI575*Observaciones!$F574^1.218</f>
        <v>0</v>
      </c>
      <c r="BP575" s="76">
        <f>BO575*Constantes!$F$51</f>
        <v>0</v>
      </c>
      <c r="BQ575" s="76">
        <f t="shared" si="126"/>
        <v>0</v>
      </c>
      <c r="BR575" s="40"/>
    </row>
    <row r="576" spans="2:70">
      <c r="B576" s="39"/>
      <c r="C576" s="75">
        <v>570</v>
      </c>
      <c r="D576" s="146">
        <f>ETo!$I575*((1-Constantes!$F$19)*ETo!$K575+ETo!$L575)</f>
        <v>2.7846288697632349</v>
      </c>
      <c r="E576" s="76">
        <f>MIN(D576*Constantes!$F$17,0.8*(N575+Observaciones!$F575-F576-M576-Constantes!$D$14))</f>
        <v>1.5881065850035614</v>
      </c>
      <c r="F576" s="76">
        <f>IF(Observaciones!$F575&gt;0.05*Constantes!$F$18,((Observaciones!$F575-0.05*Constantes!$F$18)^2)/(Observaciones!$F575+0.95*Constantes!$F$18),0)</f>
        <v>0</v>
      </c>
      <c r="G576" s="76">
        <f>IF(Escenarios!$F$11&gt;0,(F576*Escenarios!$F$16*10000)/1000,0)</f>
        <v>0</v>
      </c>
      <c r="H576" s="76">
        <f>IF(Escenarios!$F$11&gt;0,(Observaciones!$F575*Constantes!$F$29)/1000,0)</f>
        <v>0</v>
      </c>
      <c r="I576" s="76">
        <f>IF(Escenarios!$F$11&gt;0,(D576*Constantes!$F$29)/1000,0)</f>
        <v>0</v>
      </c>
      <c r="J576" s="76">
        <f>IF(Escenarios!$F$11&gt;0,MAX(0,G576+H576-I576),0)</f>
        <v>0</v>
      </c>
      <c r="K576" s="76">
        <f>IF(Escenarios!$F$11&gt;0,IF(J576&gt;Constantes!$F$30,1000*((J576-Constantes!$F$30)/(Escenarios!$F$16*10000)),0),F576)</f>
        <v>0</v>
      </c>
      <c r="L576" s="76">
        <f>IF(Escenarios!$F$11&gt;0,I576*1000/Escenarios!$F$16/10000+E576,E576)</f>
        <v>1.5881065850035614</v>
      </c>
      <c r="M576" s="76">
        <f>MAX(0,N575+Observaciones!$F575-K576-Constantes!$D$13)</f>
        <v>0</v>
      </c>
      <c r="N576" s="76">
        <f>N575+Observaciones!$F575-K576-L576-M576-O575</f>
        <v>14.838760856855187</v>
      </c>
      <c r="O576" s="76">
        <f>MAX(0,(N576-Constantes!$D$14)*(1-EXP(-Constantes!$D$22)))</f>
        <v>0.12224636939530434</v>
      </c>
      <c r="P576" s="170">
        <f>P575+(Entradas!$F$83*M576-Q575)/(800*Entradas!$D$25)</f>
        <v>0</v>
      </c>
      <c r="Q576" s="170">
        <f>8000*Entradas!$D$26*P576/Constantes!$F$45</f>
        <v>0</v>
      </c>
      <c r="R576" s="170">
        <f>IF(Escenarios!$F$14&gt;0,K576*Escenarios!$F$13/Escenarios!$F$14,0)</f>
        <v>0</v>
      </c>
      <c r="S576" s="170">
        <f>IF(Escenarios!$F$14&gt;0,Q576*Escenarios!$F$13/Escenarios!$F$14,0)</f>
        <v>0</v>
      </c>
      <c r="T576" s="170">
        <f>IF(Escenarios!$F$14&gt;0,Observaciones!$I575,0)</f>
        <v>0</v>
      </c>
      <c r="U576" s="170">
        <f>IF(Escenarios!$F$14&gt;0,MAX(0,Constantes!$F$36/((Z575+R576+S576+T576+Observaciones!$F575)^2)+Entradas!$F$77),0)</f>
        <v>0</v>
      </c>
      <c r="V576" s="146">
        <f>IF(ETo!D575&gt;0,ETo!I575*((1-Entradas!$F$81)*ETo!K575+ETo!L575),0)</f>
        <v>2.4335173726149191</v>
      </c>
      <c r="W576" s="170">
        <f>IF(Escenarios!$F$14&gt;0,MIN(V576*1,0.8*(Z575+R576+S576+T576+Observaciones!$F575-U576-Constantes!$F$35)),0)</f>
        <v>2.2653717698472748</v>
      </c>
      <c r="X576" s="170">
        <f>IF(Escenarios!$F$14&gt;0,Observaciones!$J575,0)</f>
        <v>0</v>
      </c>
      <c r="Y576" s="170">
        <f>IF(Escenarios!$F$14&gt;0,MAX(0,Z575+R576+S576+T576+Observaciones!$F575-U576-W576-X576-Constantes!$F$33),0)</f>
        <v>0</v>
      </c>
      <c r="Z576" s="170">
        <f>Z575+R576+S576+T576+Observaciones!$F575-U576-W576-Y576</f>
        <v>41.816342942461816</v>
      </c>
      <c r="AA576" s="170">
        <f>IF(Escenarios!$F$14&gt;0,(Escenarios!$F$13*L576+Escenarios!$F$14*W576)/(Escenarios!$F$16),L576)</f>
        <v>1.669378407184807</v>
      </c>
      <c r="AB576" s="170">
        <f>IF(Escenarios!$F$14&gt;0,(Escenarios!$F$14*Y576)/(Escenarios!$F$16),K576)</f>
        <v>0</v>
      </c>
      <c r="AC576" s="170">
        <f>IF(Escenarios!$F$14&gt;0,(Escenarios!$F$13*M576+Escenarios!$F$14*U576)/(Escenarios!$F$16),M576)</f>
        <v>0</v>
      </c>
      <c r="AD576" s="76">
        <f t="shared" si="113"/>
        <v>86.684770318680151</v>
      </c>
      <c r="AE576" s="76">
        <f>MAX(0,(AD576-Constantes!$D$13)*(1-EXP(-Constantes!$D$23)))</f>
        <v>0.37378032730830307</v>
      </c>
      <c r="AF576" s="76">
        <f>AB576+O576*Escenarios!$F$13/Escenarios!$F$16+AE576</f>
        <v>0.48135713237617089</v>
      </c>
      <c r="AG576" s="76">
        <f>IF(Entradas!$F$91&gt;0,IF(AF576-Escenarios!$F$38&lt;=0,0,IF(AF576-Escenarios!$F$38&gt;Escenarios!$F$37,Escenarios!$F$37,AF576-Escenarios!$F$38)),0)</f>
        <v>0</v>
      </c>
      <c r="AH576" s="76">
        <f>AG576*Entradas!$F$99</f>
        <v>0</v>
      </c>
      <c r="AI576" s="76">
        <f>IF(Entradas!$F$91&gt;0,D576*Entradas!$D$23/Escenarios!$F$16,0)</f>
        <v>0.13366218574863525</v>
      </c>
      <c r="AJ576" s="76">
        <f>IF(Entradas!$F$91&gt;0,Entradas!$D$24*Entradas!$D$22/Escenarios!$F$16,0)</f>
        <v>0.12</v>
      </c>
      <c r="AK576" s="76">
        <f t="shared" si="114"/>
        <v>1.8030405929334423</v>
      </c>
      <c r="AL576" s="76">
        <f t="shared" si="115"/>
        <v>0</v>
      </c>
      <c r="AM576" s="76">
        <f t="shared" si="116"/>
        <v>0</v>
      </c>
      <c r="AN576" s="76">
        <f>MAX(0,O576*Escenarios!$F$13/Escenarios!$F$16-AM576)</f>
        <v>0.10757680506786782</v>
      </c>
      <c r="AO576" s="76">
        <f>AM576+AN576-O576*Escenarios!$F$13/Escenarios!$F$16</f>
        <v>0</v>
      </c>
      <c r="AP576" s="76">
        <f t="shared" si="117"/>
        <v>0.37378032730830307</v>
      </c>
      <c r="AQ576" s="76">
        <f t="shared" si="118"/>
        <v>0</v>
      </c>
      <c r="AR576" s="76">
        <f t="shared" si="119"/>
        <v>0.48135713237617089</v>
      </c>
      <c r="AS576" s="76">
        <f t="shared" si="120"/>
        <v>0</v>
      </c>
      <c r="AT576" s="76">
        <f t="shared" si="121"/>
        <v>0</v>
      </c>
      <c r="AU576" s="76">
        <f t="shared" si="122"/>
        <v>51.1628434610627</v>
      </c>
      <c r="AV576" s="76">
        <f>MAX(0,(AU576-Constantes!$D$13)*(1-EXP(-Constantes!$D$24)))</f>
        <v>3.6880908432885433E-2</v>
      </c>
      <c r="AW576" s="170">
        <f>AW575+(Entradas!$F$112*AT576-AX575)/(800*Entradas!$D$25)</f>
        <v>0</v>
      </c>
      <c r="AX576" s="170">
        <f>8000*Entradas!$D$26*AW576/Constantes!$F$45</f>
        <v>0</v>
      </c>
      <c r="AY576" s="170">
        <f>IF(Escenarios!$F$17&gt;0,10*Escenarios!$F$16*AL576,0)</f>
        <v>0</v>
      </c>
      <c r="AZ576" s="170">
        <f>IF(Escenarios!$F$17&gt;0,10*Escenarios!$F$16*AX576,0)</f>
        <v>0</v>
      </c>
      <c r="BA576" s="170">
        <f>IF(Escenarios!$F$17&gt;0,0.001*Observaciones!$F575*Escenarios!$F$17,0)</f>
        <v>0</v>
      </c>
      <c r="BB576" s="170">
        <f>IF(Escenarios!$F$17&gt;0,Observaciones!$K575,0)</f>
        <v>0</v>
      </c>
      <c r="BC576" s="170">
        <f>IF(Escenarios!$F$17&gt;0,MIN(0.0005*ETo!$M575*Escenarios!$F$17*(BG575/Constantes!$F$40)^(2/3),BG575+AY576+AZ576+BA576+BB576),0)</f>
        <v>0</v>
      </c>
      <c r="BD576" s="170">
        <f>IF(Escenarios!$F$17&gt;0,MIN(Constantes!$F$39*(BG575/Constantes!$F$40)^(2/3),BG575+AY576+AZ576+BA576+BB576-BC576),0)</f>
        <v>0</v>
      </c>
      <c r="BE576" s="170">
        <f>IF(Escenarios!$F$17&gt;0,MIN(Entradas!$F$113,BG575+AY576+AZ576+BA576+BB576-BC576-BD576),0)</f>
        <v>0</v>
      </c>
      <c r="BF576" s="170">
        <f>IF(Escenarios!$F$17&gt;0,MAX(0,BG575+AY576+AZ576+BA576+BB576-BC576-BD576-BE576-Constantes!$F$40),0)</f>
        <v>0</v>
      </c>
      <c r="BG576" s="170">
        <f t="shared" si="123"/>
        <v>0</v>
      </c>
      <c r="BH576" s="170">
        <f>(Escenarios!$F$16*AK576+0.1*BC576)/(Escenarios!$F$19)</f>
        <v>1.8030405929334423</v>
      </c>
      <c r="BI576" s="170">
        <f>IF(Escenarios!$F$17&gt;0,BF576/10/Escenarios!$F$19,AL576)</f>
        <v>0</v>
      </c>
      <c r="BJ576" s="170">
        <f>(Escenarios!$F$16*AT576+0.1*BD576)/(Escenarios!$F$19)</f>
        <v>0</v>
      </c>
      <c r="BK576" s="76">
        <f>BK575+(0.1*BD576)/(Escenarios!$F$19)-BL575</f>
        <v>48.75</v>
      </c>
      <c r="BL576" s="76">
        <f>MAX(0,(BK576-Constantes!$D$13)*(1-EXP(-Constantes!$D$23)))</f>
        <v>0</v>
      </c>
      <c r="BM576" s="76">
        <f t="shared" si="124"/>
        <v>0.41066123574118851</v>
      </c>
      <c r="BN576" s="76">
        <f t="shared" si="125"/>
        <v>0.51823804080905633</v>
      </c>
      <c r="BO576" s="76">
        <f>0.0526*BI576*Observaciones!$F575^1.218</f>
        <v>0</v>
      </c>
      <c r="BP576" s="76">
        <f>BO576*Constantes!$F$51</f>
        <v>0</v>
      </c>
      <c r="BQ576" s="76">
        <f t="shared" si="126"/>
        <v>0</v>
      </c>
      <c r="BR576" s="40"/>
    </row>
    <row r="577" spans="2:70">
      <c r="B577" s="39"/>
      <c r="C577" s="75">
        <v>571</v>
      </c>
      <c r="D577" s="146">
        <f>ETo!$I576*((1-Constantes!$F$19)*ETo!$K576+ETo!$L576)</f>
        <v>2.7980003746865227</v>
      </c>
      <c r="E577" s="76">
        <f>MIN(D577*Constantes!$F$17,0.8*(N576+Observaciones!$F576-F577-M577-Constantes!$D$14))</f>
        <v>1.5957325114782397</v>
      </c>
      <c r="F577" s="76">
        <f>IF(Observaciones!$F576&gt;0.05*Constantes!$F$18,((Observaciones!$F576-0.05*Constantes!$F$18)^2)/(Observaciones!$F576+0.95*Constantes!$F$18),0)</f>
        <v>0</v>
      </c>
      <c r="G577" s="76">
        <f>IF(Escenarios!$F$11&gt;0,(F577*Escenarios!$F$16*10000)/1000,0)</f>
        <v>0</v>
      </c>
      <c r="H577" s="76">
        <f>IF(Escenarios!$F$11&gt;0,(Observaciones!$F576*Constantes!$F$29)/1000,0)</f>
        <v>0</v>
      </c>
      <c r="I577" s="76">
        <f>IF(Escenarios!$F$11&gt;0,(D577*Constantes!$F$29)/1000,0)</f>
        <v>0</v>
      </c>
      <c r="J577" s="76">
        <f>IF(Escenarios!$F$11&gt;0,MAX(0,G577+H577-I577),0)</f>
        <v>0</v>
      </c>
      <c r="K577" s="76">
        <f>IF(Escenarios!$F$11&gt;0,IF(J577&gt;Constantes!$F$30,1000*((J577-Constantes!$F$30)/(Escenarios!$F$16*10000)),0),F577)</f>
        <v>0</v>
      </c>
      <c r="L577" s="76">
        <f>IF(Escenarios!$F$11&gt;0,I577*1000/Escenarios!$F$16/10000+E577,E577)</f>
        <v>1.5957325114782397</v>
      </c>
      <c r="M577" s="76">
        <f>MAX(0,N576+Observaciones!$F576-K577-Constantes!$D$13)</f>
        <v>0</v>
      </c>
      <c r="N577" s="76">
        <f>N576+Observaciones!$F576-K577-L577-M577-O576</f>
        <v>13.120781975981643</v>
      </c>
      <c r="O577" s="76">
        <f>MAX(0,(N577-Constantes!$D$14)*(1-EXP(-Constantes!$D$22)))</f>
        <v>6.3725701883166092E-2</v>
      </c>
      <c r="P577" s="170">
        <f>P576+(Entradas!$F$83*M577-Q576)/(800*Entradas!$D$25)</f>
        <v>0</v>
      </c>
      <c r="Q577" s="170">
        <f>8000*Entradas!$D$26*P577/Constantes!$F$45</f>
        <v>0</v>
      </c>
      <c r="R577" s="170">
        <f>IF(Escenarios!$F$14&gt;0,K577*Escenarios!$F$13/Escenarios!$F$14,0)</f>
        <v>0</v>
      </c>
      <c r="S577" s="170">
        <f>IF(Escenarios!$F$14&gt;0,Q577*Escenarios!$F$13/Escenarios!$F$14,0)</f>
        <v>0</v>
      </c>
      <c r="T577" s="170">
        <f>IF(Escenarios!$F$14&gt;0,Observaciones!$I576,0)</f>
        <v>0</v>
      </c>
      <c r="U577" s="170">
        <f>IF(Escenarios!$F$14&gt;0,MAX(0,Constantes!$F$36/((Z576+R577+S577+T577+Observaciones!$F576)^2)+Entradas!$F$77),0)</f>
        <v>0</v>
      </c>
      <c r="V577" s="146">
        <f>IF(ETo!D576&gt;0,ETo!I576*((1-Entradas!$F$81)*ETo!K576+ETo!L576),0)</f>
        <v>2.4457819953374944</v>
      </c>
      <c r="W577" s="170">
        <f>IF(Escenarios!$F$14&gt;0,MIN(V577*1,0.8*(Z576+R577+S577+T577+Observaciones!$F576-U577-Constantes!$F$35)),0)</f>
        <v>0.45307435396945267</v>
      </c>
      <c r="X577" s="170">
        <f>IF(Escenarios!$F$14&gt;0,Observaciones!$J576,0)</f>
        <v>0</v>
      </c>
      <c r="Y577" s="170">
        <f>IF(Escenarios!$F$14&gt;0,MAX(0,Z576+R577+S577+T577+Observaciones!$F576-U577-W577-X577-Constantes!$F$33),0)</f>
        <v>0</v>
      </c>
      <c r="Z577" s="170">
        <f>Z576+R577+S577+T577+Observaciones!$F576-U577-W577-Y577</f>
        <v>41.36326858849236</v>
      </c>
      <c r="AA577" s="170">
        <f>IF(Escenarios!$F$14&gt;0,(Escenarios!$F$13*L577+Escenarios!$F$14*W577)/(Escenarios!$F$16),L577)</f>
        <v>1.4586135325771852</v>
      </c>
      <c r="AB577" s="170">
        <f>IF(Escenarios!$F$14&gt;0,(Escenarios!$F$14*Y577)/(Escenarios!$F$16),K577)</f>
        <v>0</v>
      </c>
      <c r="AC577" s="170">
        <f>IF(Escenarios!$F$14&gt;0,(Escenarios!$F$13*M577+Escenarios!$F$14*U577)/(Escenarios!$F$16),M577)</f>
        <v>0</v>
      </c>
      <c r="AD577" s="76">
        <f t="shared" si="113"/>
        <v>86.310989991371855</v>
      </c>
      <c r="AE577" s="76">
        <f>MAX(0,(AD577-Constantes!$D$13)*(1-EXP(-Constantes!$D$23)))</f>
        <v>0.37009738071579656</v>
      </c>
      <c r="AF577" s="76">
        <f>AB577+O577*Escenarios!$F$13/Escenarios!$F$16+AE577</f>
        <v>0.4261759983729827</v>
      </c>
      <c r="AG577" s="76">
        <f>IF(Entradas!$F$91&gt;0,IF(AF577-Escenarios!$F$38&lt;=0,0,IF(AF577-Escenarios!$F$38&gt;Escenarios!$F$37,Escenarios!$F$37,AF577-Escenarios!$F$38)),0)</f>
        <v>0</v>
      </c>
      <c r="AH577" s="76">
        <f>AG577*Entradas!$F$99</f>
        <v>0</v>
      </c>
      <c r="AI577" s="76">
        <f>IF(Entradas!$F$91&gt;0,D577*Entradas!$D$23/Escenarios!$F$16,0)</f>
        <v>0.13430401798495309</v>
      </c>
      <c r="AJ577" s="76">
        <f>IF(Entradas!$F$91&gt;0,Entradas!$D$24*Entradas!$D$22/Escenarios!$F$16,0)</f>
        <v>0.12</v>
      </c>
      <c r="AK577" s="76">
        <f t="shared" si="114"/>
        <v>1.5929175505621382</v>
      </c>
      <c r="AL577" s="76">
        <f t="shared" si="115"/>
        <v>0</v>
      </c>
      <c r="AM577" s="76">
        <f t="shared" si="116"/>
        <v>0</v>
      </c>
      <c r="AN577" s="76">
        <f>MAX(0,O577*Escenarios!$F$13/Escenarios!$F$16-AM577)</f>
        <v>5.6078617657186157E-2</v>
      </c>
      <c r="AO577" s="76">
        <f>AM577+AN577-O577*Escenarios!$F$13/Escenarios!$F$16</f>
        <v>0</v>
      </c>
      <c r="AP577" s="76">
        <f t="shared" si="117"/>
        <v>0.37009738071579656</v>
      </c>
      <c r="AQ577" s="76">
        <f t="shared" si="118"/>
        <v>0</v>
      </c>
      <c r="AR577" s="76">
        <f t="shared" si="119"/>
        <v>0.4261759983729827</v>
      </c>
      <c r="AS577" s="76">
        <f t="shared" si="120"/>
        <v>0</v>
      </c>
      <c r="AT577" s="76">
        <f t="shared" si="121"/>
        <v>0</v>
      </c>
      <c r="AU577" s="76">
        <f t="shared" si="122"/>
        <v>51.125962552629815</v>
      </c>
      <c r="AV577" s="76">
        <f>MAX(0,(AU577-Constantes!$D$13)*(1-EXP(-Constantes!$D$24)))</f>
        <v>3.6317174635486178E-2</v>
      </c>
      <c r="AW577" s="170">
        <f>AW576+(Entradas!$F$112*AT577-AX576)/(800*Entradas!$D$25)</f>
        <v>0</v>
      </c>
      <c r="AX577" s="170">
        <f>8000*Entradas!$D$26*AW577/Constantes!$F$45</f>
        <v>0</v>
      </c>
      <c r="AY577" s="170">
        <f>IF(Escenarios!$F$17&gt;0,10*Escenarios!$F$16*AL577,0)</f>
        <v>0</v>
      </c>
      <c r="AZ577" s="170">
        <f>IF(Escenarios!$F$17&gt;0,10*Escenarios!$F$16*AX577,0)</f>
        <v>0</v>
      </c>
      <c r="BA577" s="170">
        <f>IF(Escenarios!$F$17&gt;0,0.001*Observaciones!$F576*Escenarios!$F$17,0)</f>
        <v>0</v>
      </c>
      <c r="BB577" s="170">
        <f>IF(Escenarios!$F$17&gt;0,Observaciones!$K576,0)</f>
        <v>0</v>
      </c>
      <c r="BC577" s="170">
        <f>IF(Escenarios!$F$17&gt;0,MIN(0.0005*ETo!$M576*Escenarios!$F$17*(BG576/Constantes!$F$40)^(2/3),BG576+AY577+AZ577+BA577+BB577),0)</f>
        <v>0</v>
      </c>
      <c r="BD577" s="170">
        <f>IF(Escenarios!$F$17&gt;0,MIN(Constantes!$F$39*(BG576/Constantes!$F$40)^(2/3),BG576+AY577+AZ577+BA577+BB577-BC577),0)</f>
        <v>0</v>
      </c>
      <c r="BE577" s="170">
        <f>IF(Escenarios!$F$17&gt;0,MIN(Entradas!$F$113,BG576+AY577+AZ577+BA577+BB577-BC577-BD577),0)</f>
        <v>0</v>
      </c>
      <c r="BF577" s="170">
        <f>IF(Escenarios!$F$17&gt;0,MAX(0,BG576+AY577+AZ577+BA577+BB577-BC577-BD577-BE577-Constantes!$F$40),0)</f>
        <v>0</v>
      </c>
      <c r="BG577" s="170">
        <f t="shared" si="123"/>
        <v>0</v>
      </c>
      <c r="BH577" s="170">
        <f>(Escenarios!$F$16*AK577+0.1*BC577)/(Escenarios!$F$19)</f>
        <v>1.5929175505621382</v>
      </c>
      <c r="BI577" s="170">
        <f>IF(Escenarios!$F$17&gt;0,BF577/10/Escenarios!$F$19,AL577)</f>
        <v>0</v>
      </c>
      <c r="BJ577" s="170">
        <f>(Escenarios!$F$16*AT577+0.1*BD577)/(Escenarios!$F$19)</f>
        <v>0</v>
      </c>
      <c r="BK577" s="76">
        <f>BK576+(0.1*BD577)/(Escenarios!$F$19)-BL576</f>
        <v>48.75</v>
      </c>
      <c r="BL577" s="76">
        <f>MAX(0,(BK577-Constantes!$D$13)*(1-EXP(-Constantes!$D$23)))</f>
        <v>0</v>
      </c>
      <c r="BM577" s="76">
        <f t="shared" si="124"/>
        <v>0.40641455535128274</v>
      </c>
      <c r="BN577" s="76">
        <f t="shared" si="125"/>
        <v>0.46249317300846887</v>
      </c>
      <c r="BO577" s="76">
        <f>0.0526*BI577*Observaciones!$F576^1.218</f>
        <v>0</v>
      </c>
      <c r="BP577" s="76">
        <f>BO577*Constantes!$F$51</f>
        <v>0</v>
      </c>
      <c r="BQ577" s="76">
        <f t="shared" si="126"/>
        <v>0</v>
      </c>
      <c r="BR577" s="40"/>
    </row>
    <row r="578" spans="2:70">
      <c r="B578" s="39"/>
      <c r="C578" s="75">
        <v>572</v>
      </c>
      <c r="D578" s="146">
        <f>ETo!$I577*((1-Constantes!$F$19)*ETo!$K577+ETo!$L577)</f>
        <v>2.7335824752988063</v>
      </c>
      <c r="E578" s="76">
        <f>MIN(D578*Constantes!$F$17,0.8*(N577+Observaciones!$F577-F578-M578-Constantes!$D$14))</f>
        <v>1.4966255807853146</v>
      </c>
      <c r="F578" s="76">
        <f>IF(Observaciones!$F577&gt;0.05*Constantes!$F$18,((Observaciones!$F577-0.05*Constantes!$F$18)^2)/(Observaciones!$F577+0.95*Constantes!$F$18),0)</f>
        <v>0</v>
      </c>
      <c r="G578" s="76">
        <f>IF(Escenarios!$F$11&gt;0,(F578*Escenarios!$F$16*10000)/1000,0)</f>
        <v>0</v>
      </c>
      <c r="H578" s="76">
        <f>IF(Escenarios!$F$11&gt;0,(Observaciones!$F577*Constantes!$F$29)/1000,0)</f>
        <v>0</v>
      </c>
      <c r="I578" s="76">
        <f>IF(Escenarios!$F$11&gt;0,(D578*Constantes!$F$29)/1000,0)</f>
        <v>0</v>
      </c>
      <c r="J578" s="76">
        <f>IF(Escenarios!$F$11&gt;0,MAX(0,G578+H578-I578),0)</f>
        <v>0</v>
      </c>
      <c r="K578" s="76">
        <f>IF(Escenarios!$F$11&gt;0,IF(J578&gt;Constantes!$F$30,1000*((J578-Constantes!$F$30)/(Escenarios!$F$16*10000)),0),F578)</f>
        <v>0</v>
      </c>
      <c r="L578" s="76">
        <f>IF(Escenarios!$F$11&gt;0,I578*1000/Escenarios!$F$16/10000+E578,E578)</f>
        <v>1.4966255807853146</v>
      </c>
      <c r="M578" s="76">
        <f>MAX(0,N577+Observaciones!$F577-K578-Constantes!$D$13)</f>
        <v>0</v>
      </c>
      <c r="N578" s="76">
        <f>N577+Observaciones!$F577-K578-L578-M578-O577</f>
        <v>11.560430693313162</v>
      </c>
      <c r="O578" s="76">
        <f>MAX(0,(N578-Constantes!$D$14)*(1-EXP(-Constantes!$D$22)))</f>
        <v>1.0574409028651675E-2</v>
      </c>
      <c r="P578" s="170">
        <f>P577+(Entradas!$F$83*M578-Q577)/(800*Entradas!$D$25)</f>
        <v>0</v>
      </c>
      <c r="Q578" s="170">
        <f>8000*Entradas!$D$26*P578/Constantes!$F$45</f>
        <v>0</v>
      </c>
      <c r="R578" s="170">
        <f>IF(Escenarios!$F$14&gt;0,K578*Escenarios!$F$13/Escenarios!$F$14,0)</f>
        <v>0</v>
      </c>
      <c r="S578" s="170">
        <f>IF(Escenarios!$F$14&gt;0,Q578*Escenarios!$F$13/Escenarios!$F$14,0)</f>
        <v>0</v>
      </c>
      <c r="T578" s="170">
        <f>IF(Escenarios!$F$14&gt;0,Observaciones!$I577,0)</f>
        <v>0</v>
      </c>
      <c r="U578" s="170">
        <f>IF(Escenarios!$F$14&gt;0,MAX(0,Constantes!$F$36/((Z577+R578+S578+T578+Observaciones!$F577)^2)+Entradas!$F$77),0)</f>
        <v>0</v>
      </c>
      <c r="V578" s="146">
        <f>IF(ETo!D577&gt;0,ETo!I577*((1-Entradas!$F$81)*ETo!K577+ETo!L577),0)</f>
        <v>2.3895056724630135</v>
      </c>
      <c r="W578" s="170">
        <f>IF(Escenarios!$F$14&gt;0,MIN(V578*1,0.8*(Z577+R578+S578+T578+Observaciones!$F577-U578-Constantes!$F$35)),0)</f>
        <v>9.0614870793888261E-2</v>
      </c>
      <c r="X578" s="170">
        <f>IF(Escenarios!$F$14&gt;0,Observaciones!$J577,0)</f>
        <v>0</v>
      </c>
      <c r="Y578" s="170">
        <f>IF(Escenarios!$F$14&gt;0,MAX(0,Z577+R578+S578+T578+Observaciones!$F577-U578-W578-X578-Constantes!$F$33),0)</f>
        <v>0</v>
      </c>
      <c r="Z578" s="170">
        <f>Z577+R578+S578+T578+Observaciones!$F577-U578-W578-Y578</f>
        <v>41.272653717698475</v>
      </c>
      <c r="AA578" s="170">
        <f>IF(Escenarios!$F$14&gt;0,(Escenarios!$F$13*L578+Escenarios!$F$14*W578)/(Escenarios!$F$16),L578)</f>
        <v>1.3279042955863436</v>
      </c>
      <c r="AB578" s="170">
        <f>IF(Escenarios!$F$14&gt;0,(Escenarios!$F$14*Y578)/(Escenarios!$F$16),K578)</f>
        <v>0</v>
      </c>
      <c r="AC578" s="170">
        <f>IF(Escenarios!$F$14&gt;0,(Escenarios!$F$13*M578+Escenarios!$F$14*U578)/(Escenarios!$F$16),M578)</f>
        <v>0</v>
      </c>
      <c r="AD578" s="76">
        <f t="shared" si="113"/>
        <v>85.940892610656064</v>
      </c>
      <c r="AE578" s="76">
        <f>MAX(0,(AD578-Constantes!$D$13)*(1-EXP(-Constantes!$D$23)))</f>
        <v>0.36645072307327559</v>
      </c>
      <c r="AF578" s="76">
        <f>AB578+O578*Escenarios!$F$13/Escenarios!$F$16+AE578</f>
        <v>0.37575620301848905</v>
      </c>
      <c r="AG578" s="76">
        <f>IF(Entradas!$F$91&gt;0,IF(AF578-Escenarios!$F$38&lt;=0,0,IF(AF578-Escenarios!$F$38&gt;Escenarios!$F$37,Escenarios!$F$37,AF578-Escenarios!$F$38)),0)</f>
        <v>0</v>
      </c>
      <c r="AH578" s="76">
        <f>AG578*Entradas!$F$99</f>
        <v>0</v>
      </c>
      <c r="AI578" s="76">
        <f>IF(Entradas!$F$91&gt;0,D578*Entradas!$D$23/Escenarios!$F$16,0)</f>
        <v>0.13121195881434269</v>
      </c>
      <c r="AJ578" s="76">
        <f>IF(Entradas!$F$91&gt;0,Entradas!$D$24*Entradas!$D$22/Escenarios!$F$16,0)</f>
        <v>0.12</v>
      </c>
      <c r="AK578" s="76">
        <f t="shared" si="114"/>
        <v>1.4591162544006864</v>
      </c>
      <c r="AL578" s="76">
        <f t="shared" si="115"/>
        <v>0</v>
      </c>
      <c r="AM578" s="76">
        <f t="shared" si="116"/>
        <v>0</v>
      </c>
      <c r="AN578" s="76">
        <f>MAX(0,O578*Escenarios!$F$13/Escenarios!$F$16-AM578)</f>
        <v>9.3054799452134736E-3</v>
      </c>
      <c r="AO578" s="76">
        <f>AM578+AN578-O578*Escenarios!$F$13/Escenarios!$F$16</f>
        <v>0</v>
      </c>
      <c r="AP578" s="76">
        <f t="shared" si="117"/>
        <v>0.36645072307327559</v>
      </c>
      <c r="AQ578" s="76">
        <f t="shared" si="118"/>
        <v>0</v>
      </c>
      <c r="AR578" s="76">
        <f t="shared" si="119"/>
        <v>0.37575620301848905</v>
      </c>
      <c r="AS578" s="76">
        <f t="shared" si="120"/>
        <v>0</v>
      </c>
      <c r="AT578" s="76">
        <f t="shared" si="121"/>
        <v>0</v>
      </c>
      <c r="AU578" s="76">
        <f t="shared" si="122"/>
        <v>51.08964537799433</v>
      </c>
      <c r="AV578" s="76">
        <f>MAX(0,(AU578-Constantes!$D$13)*(1-EXP(-Constantes!$D$24)))</f>
        <v>3.5762057648459376E-2</v>
      </c>
      <c r="AW578" s="170">
        <f>AW577+(Entradas!$F$112*AT578-AX577)/(800*Entradas!$D$25)</f>
        <v>0</v>
      </c>
      <c r="AX578" s="170">
        <f>8000*Entradas!$D$26*AW578/Constantes!$F$45</f>
        <v>0</v>
      </c>
      <c r="AY578" s="170">
        <f>IF(Escenarios!$F$17&gt;0,10*Escenarios!$F$16*AL578,0)</f>
        <v>0</v>
      </c>
      <c r="AZ578" s="170">
        <f>IF(Escenarios!$F$17&gt;0,10*Escenarios!$F$16*AX578,0)</f>
        <v>0</v>
      </c>
      <c r="BA578" s="170">
        <f>IF(Escenarios!$F$17&gt;0,0.001*Observaciones!$F577*Escenarios!$F$17,0)</f>
        <v>0</v>
      </c>
      <c r="BB578" s="170">
        <f>IF(Escenarios!$F$17&gt;0,Observaciones!$K577,0)</f>
        <v>0</v>
      </c>
      <c r="BC578" s="170">
        <f>IF(Escenarios!$F$17&gt;0,MIN(0.0005*ETo!$M577*Escenarios!$F$17*(BG577/Constantes!$F$40)^(2/3),BG577+AY578+AZ578+BA578+BB578),0)</f>
        <v>0</v>
      </c>
      <c r="BD578" s="170">
        <f>IF(Escenarios!$F$17&gt;0,MIN(Constantes!$F$39*(BG577/Constantes!$F$40)^(2/3),BG577+AY578+AZ578+BA578+BB578-BC578),0)</f>
        <v>0</v>
      </c>
      <c r="BE578" s="170">
        <f>IF(Escenarios!$F$17&gt;0,MIN(Entradas!$F$113,BG577+AY578+AZ578+BA578+BB578-BC578-BD578),0)</f>
        <v>0</v>
      </c>
      <c r="BF578" s="170">
        <f>IF(Escenarios!$F$17&gt;0,MAX(0,BG577+AY578+AZ578+BA578+BB578-BC578-BD578-BE578-Constantes!$F$40),0)</f>
        <v>0</v>
      </c>
      <c r="BG578" s="170">
        <f t="shared" si="123"/>
        <v>0</v>
      </c>
      <c r="BH578" s="170">
        <f>(Escenarios!$F$16*AK578+0.1*BC578)/(Escenarios!$F$19)</f>
        <v>1.4591162544006864</v>
      </c>
      <c r="BI578" s="170">
        <f>IF(Escenarios!$F$17&gt;0,BF578/10/Escenarios!$F$19,AL578)</f>
        <v>0</v>
      </c>
      <c r="BJ578" s="170">
        <f>(Escenarios!$F$16*AT578+0.1*BD578)/(Escenarios!$F$19)</f>
        <v>0</v>
      </c>
      <c r="BK578" s="76">
        <f>BK577+(0.1*BD578)/(Escenarios!$F$19)-BL577</f>
        <v>48.75</v>
      </c>
      <c r="BL578" s="76">
        <f>MAX(0,(BK578-Constantes!$D$13)*(1-EXP(-Constantes!$D$23)))</f>
        <v>0</v>
      </c>
      <c r="BM578" s="76">
        <f t="shared" si="124"/>
        <v>0.40221278072173494</v>
      </c>
      <c r="BN578" s="76">
        <f t="shared" si="125"/>
        <v>0.41151826066694841</v>
      </c>
      <c r="BO578" s="76">
        <f>0.0526*BI578*Observaciones!$F577^1.218</f>
        <v>0</v>
      </c>
      <c r="BP578" s="76">
        <f>BO578*Constantes!$F$51</f>
        <v>0</v>
      </c>
      <c r="BQ578" s="76">
        <f t="shared" si="126"/>
        <v>0</v>
      </c>
      <c r="BR578" s="40"/>
    </row>
    <row r="579" spans="2:70">
      <c r="B579" s="39"/>
      <c r="C579" s="75">
        <v>573</v>
      </c>
      <c r="D579" s="146">
        <f>ETo!$I578*((1-Constantes!$F$19)*ETo!$K578+ETo!$L578)</f>
        <v>2.7406607837998198</v>
      </c>
      <c r="E579" s="76">
        <f>MIN(D579*Constantes!$F$17,0.8*(N578+Observaciones!$F578-F579-M579-Constantes!$D$14))</f>
        <v>0.2483445546505294</v>
      </c>
      <c r="F579" s="76">
        <f>IF(Observaciones!$F578&gt;0.05*Constantes!$F$18,((Observaciones!$F578-0.05*Constantes!$F$18)^2)/(Observaciones!$F578+0.95*Constantes!$F$18),0)</f>
        <v>0</v>
      </c>
      <c r="G579" s="76">
        <f>IF(Escenarios!$F$11&gt;0,(F579*Escenarios!$F$16*10000)/1000,0)</f>
        <v>0</v>
      </c>
      <c r="H579" s="76">
        <f>IF(Escenarios!$F$11&gt;0,(Observaciones!$F578*Constantes!$F$29)/1000,0)</f>
        <v>0</v>
      </c>
      <c r="I579" s="76">
        <f>IF(Escenarios!$F$11&gt;0,(D579*Constantes!$F$29)/1000,0)</f>
        <v>0</v>
      </c>
      <c r="J579" s="76">
        <f>IF(Escenarios!$F$11&gt;0,MAX(0,G579+H579-I579),0)</f>
        <v>0</v>
      </c>
      <c r="K579" s="76">
        <f>IF(Escenarios!$F$11&gt;0,IF(J579&gt;Constantes!$F$30,1000*((J579-Constantes!$F$30)/(Escenarios!$F$16*10000)),0),F579)</f>
        <v>0</v>
      </c>
      <c r="L579" s="76">
        <f>IF(Escenarios!$F$11&gt;0,I579*1000/Escenarios!$F$16/10000+E579,E579)</f>
        <v>0.2483445546505294</v>
      </c>
      <c r="M579" s="76">
        <f>MAX(0,N578+Observaciones!$F578-K579-Constantes!$D$13)</f>
        <v>0</v>
      </c>
      <c r="N579" s="76">
        <f>N578+Observaciones!$F578-K579-L579-M579-O578</f>
        <v>11.301511729633981</v>
      </c>
      <c r="O579" s="76">
        <f>MAX(0,(N579-Constantes!$D$14)*(1-EXP(-Constantes!$D$22)))</f>
        <v>1.7546786147642232E-3</v>
      </c>
      <c r="P579" s="170">
        <f>P578+(Entradas!$F$83*M579-Q578)/(800*Entradas!$D$25)</f>
        <v>0</v>
      </c>
      <c r="Q579" s="170">
        <f>8000*Entradas!$D$26*P579/Constantes!$F$45</f>
        <v>0</v>
      </c>
      <c r="R579" s="170">
        <f>IF(Escenarios!$F$14&gt;0,K579*Escenarios!$F$13/Escenarios!$F$14,0)</f>
        <v>0</v>
      </c>
      <c r="S579" s="170">
        <f>IF(Escenarios!$F$14&gt;0,Q579*Escenarios!$F$13/Escenarios!$F$14,0)</f>
        <v>0</v>
      </c>
      <c r="T579" s="170">
        <f>IF(Escenarios!$F$14&gt;0,Observaciones!$I578,0)</f>
        <v>0</v>
      </c>
      <c r="U579" s="170">
        <f>IF(Escenarios!$F$14&gt;0,MAX(0,Constantes!$F$36/((Z578+R579+S579+T579+Observaciones!$F578)^2)+Entradas!$F$77),0)</f>
        <v>0</v>
      </c>
      <c r="V579" s="146">
        <f>IF(ETo!D578&gt;0,ETo!I578*((1-Entradas!$F$81)*ETo!K578+ETo!L578),0)</f>
        <v>2.3962447740621395</v>
      </c>
      <c r="W579" s="170">
        <f>IF(Escenarios!$F$14&gt;0,MIN(V579*1,0.8*(Z578+R579+S579+T579+Observaciones!$F578-U579-Constantes!$F$35)),0)</f>
        <v>1.8122974158779927E-2</v>
      </c>
      <c r="X579" s="170">
        <f>IF(Escenarios!$F$14&gt;0,Observaciones!$J578,0)</f>
        <v>0</v>
      </c>
      <c r="Y579" s="170">
        <f>IF(Escenarios!$F$14&gt;0,MAX(0,Z578+R579+S579+T579+Observaciones!$F578-U579-W579-X579-Constantes!$F$33),0)</f>
        <v>0</v>
      </c>
      <c r="Z579" s="170">
        <f>Z578+R579+S579+T579+Observaciones!$F578-U579-W579-Y579</f>
        <v>41.254530743539696</v>
      </c>
      <c r="AA579" s="170">
        <f>IF(Escenarios!$F$14&gt;0,(Escenarios!$F$13*L579+Escenarios!$F$14*W579)/(Escenarios!$F$16),L579)</f>
        <v>0.22071796499151947</v>
      </c>
      <c r="AB579" s="170">
        <f>IF(Escenarios!$F$14&gt;0,(Escenarios!$F$14*Y579)/(Escenarios!$F$16),K579)</f>
        <v>0</v>
      </c>
      <c r="AC579" s="170">
        <f>IF(Escenarios!$F$14&gt;0,(Escenarios!$F$13*M579+Escenarios!$F$14*U579)/(Escenarios!$F$16),M579)</f>
        <v>0</v>
      </c>
      <c r="AD579" s="76">
        <f t="shared" si="113"/>
        <v>85.574441887582793</v>
      </c>
      <c r="AE579" s="76">
        <f>MAX(0,(AD579-Constantes!$D$13)*(1-EXP(-Constantes!$D$23)))</f>
        <v>0.36283999681707246</v>
      </c>
      <c r="AF579" s="76">
        <f>AB579+O579*Escenarios!$F$13/Escenarios!$F$16+AE579</f>
        <v>0.36438411399806497</v>
      </c>
      <c r="AG579" s="76">
        <f>IF(Entradas!$F$91&gt;0,IF(AF579-Escenarios!$F$38&lt;=0,0,IF(AF579-Escenarios!$F$38&gt;Escenarios!$F$37,Escenarios!$F$37,AF579-Escenarios!$F$38)),0)</f>
        <v>0</v>
      </c>
      <c r="AH579" s="76">
        <f>AG579*Entradas!$F$99</f>
        <v>0</v>
      </c>
      <c r="AI579" s="76">
        <f>IF(Entradas!$F$91&gt;0,D579*Entradas!$D$23/Escenarios!$F$16,0)</f>
        <v>0.13155171762239135</v>
      </c>
      <c r="AJ579" s="76">
        <f>IF(Entradas!$F$91&gt;0,Entradas!$D$24*Entradas!$D$22/Escenarios!$F$16,0)</f>
        <v>0.12</v>
      </c>
      <c r="AK579" s="76">
        <f t="shared" si="114"/>
        <v>0.35226968261391078</v>
      </c>
      <c r="AL579" s="76">
        <f t="shared" si="115"/>
        <v>0</v>
      </c>
      <c r="AM579" s="76">
        <f t="shared" si="116"/>
        <v>0</v>
      </c>
      <c r="AN579" s="76">
        <f>MAX(0,O579*Escenarios!$F$13/Escenarios!$F$16-AM579)</f>
        <v>1.5441171809925166E-3</v>
      </c>
      <c r="AO579" s="76">
        <f>AM579+AN579-O579*Escenarios!$F$13/Escenarios!$F$16</f>
        <v>0</v>
      </c>
      <c r="AP579" s="76">
        <f t="shared" si="117"/>
        <v>0.36283999681707246</v>
      </c>
      <c r="AQ579" s="76">
        <f t="shared" si="118"/>
        <v>0</v>
      </c>
      <c r="AR579" s="76">
        <f t="shared" si="119"/>
        <v>0.36438411399806497</v>
      </c>
      <c r="AS579" s="76">
        <f t="shared" si="120"/>
        <v>0</v>
      </c>
      <c r="AT579" s="76">
        <f t="shared" si="121"/>
        <v>0</v>
      </c>
      <c r="AU579" s="76">
        <f t="shared" si="122"/>
        <v>51.053883320345868</v>
      </c>
      <c r="AV579" s="76">
        <f>MAX(0,(AU579-Constantes!$D$13)*(1-EXP(-Constantes!$D$24)))</f>
        <v>3.5215425761729521E-2</v>
      </c>
      <c r="AW579" s="170">
        <f>AW578+(Entradas!$F$112*AT579-AX578)/(800*Entradas!$D$25)</f>
        <v>0</v>
      </c>
      <c r="AX579" s="170">
        <f>8000*Entradas!$D$26*AW579/Constantes!$F$45</f>
        <v>0</v>
      </c>
      <c r="AY579" s="170">
        <f>IF(Escenarios!$F$17&gt;0,10*Escenarios!$F$16*AL579,0)</f>
        <v>0</v>
      </c>
      <c r="AZ579" s="170">
        <f>IF(Escenarios!$F$17&gt;0,10*Escenarios!$F$16*AX579,0)</f>
        <v>0</v>
      </c>
      <c r="BA579" s="170">
        <f>IF(Escenarios!$F$17&gt;0,0.001*Observaciones!$F578*Escenarios!$F$17,0)</f>
        <v>0</v>
      </c>
      <c r="BB579" s="170">
        <f>IF(Escenarios!$F$17&gt;0,Observaciones!$K578,0)</f>
        <v>0</v>
      </c>
      <c r="BC579" s="170">
        <f>IF(Escenarios!$F$17&gt;0,MIN(0.0005*ETo!$M578*Escenarios!$F$17*(BG578/Constantes!$F$40)^(2/3),BG578+AY579+AZ579+BA579+BB579),0)</f>
        <v>0</v>
      </c>
      <c r="BD579" s="170">
        <f>IF(Escenarios!$F$17&gt;0,MIN(Constantes!$F$39*(BG578/Constantes!$F$40)^(2/3),BG578+AY579+AZ579+BA579+BB579-BC579),0)</f>
        <v>0</v>
      </c>
      <c r="BE579" s="170">
        <f>IF(Escenarios!$F$17&gt;0,MIN(Entradas!$F$113,BG578+AY579+AZ579+BA579+BB579-BC579-BD579),0)</f>
        <v>0</v>
      </c>
      <c r="BF579" s="170">
        <f>IF(Escenarios!$F$17&gt;0,MAX(0,BG578+AY579+AZ579+BA579+BB579-BC579-BD579-BE579-Constantes!$F$40),0)</f>
        <v>0</v>
      </c>
      <c r="BG579" s="170">
        <f t="shared" si="123"/>
        <v>0</v>
      </c>
      <c r="BH579" s="170">
        <f>(Escenarios!$F$16*AK579+0.1*BC579)/(Escenarios!$F$19)</f>
        <v>0.35226968261391078</v>
      </c>
      <c r="BI579" s="170">
        <f>IF(Escenarios!$F$17&gt;0,BF579/10/Escenarios!$F$19,AL579)</f>
        <v>0</v>
      </c>
      <c r="BJ579" s="170">
        <f>(Escenarios!$F$16*AT579+0.1*BD579)/(Escenarios!$F$19)</f>
        <v>0</v>
      </c>
      <c r="BK579" s="76">
        <f>BK578+(0.1*BD579)/(Escenarios!$F$19)-BL578</f>
        <v>48.75</v>
      </c>
      <c r="BL579" s="76">
        <f>MAX(0,(BK579-Constantes!$D$13)*(1-EXP(-Constantes!$D$23)))</f>
        <v>0</v>
      </c>
      <c r="BM579" s="76">
        <f t="shared" si="124"/>
        <v>0.398055422578802</v>
      </c>
      <c r="BN579" s="76">
        <f t="shared" si="125"/>
        <v>0.39959953975979451</v>
      </c>
      <c r="BO579" s="76">
        <f>0.0526*BI579*Observaciones!$F578^1.218</f>
        <v>0</v>
      </c>
      <c r="BP579" s="76">
        <f>BO579*Constantes!$F$51</f>
        <v>0</v>
      </c>
      <c r="BQ579" s="76">
        <f t="shared" si="126"/>
        <v>0</v>
      </c>
      <c r="BR579" s="40"/>
    </row>
    <row r="580" spans="2:70">
      <c r="B580" s="39"/>
      <c r="C580" s="75">
        <v>574</v>
      </c>
      <c r="D580" s="146">
        <f>ETo!$I579*((1-Constantes!$F$19)*ETo!$K579+ETo!$L579)</f>
        <v>2.7905516811992013</v>
      </c>
      <c r="E580" s="76">
        <f>MIN(D580*Constantes!$F$17,0.8*(N579+Observaciones!$F579-F580-M580-Constantes!$D$14))</f>
        <v>4.1209383707185056E-2</v>
      </c>
      <c r="F580" s="76">
        <f>IF(Observaciones!$F579&gt;0.05*Constantes!$F$18,((Observaciones!$F579-0.05*Constantes!$F$18)^2)/(Observaciones!$F579+0.95*Constantes!$F$18),0)</f>
        <v>0</v>
      </c>
      <c r="G580" s="76">
        <f>IF(Escenarios!$F$11&gt;0,(F580*Escenarios!$F$16*10000)/1000,0)</f>
        <v>0</v>
      </c>
      <c r="H580" s="76">
        <f>IF(Escenarios!$F$11&gt;0,(Observaciones!$F579*Constantes!$F$29)/1000,0)</f>
        <v>0</v>
      </c>
      <c r="I580" s="76">
        <f>IF(Escenarios!$F$11&gt;0,(D580*Constantes!$F$29)/1000,0)</f>
        <v>0</v>
      </c>
      <c r="J580" s="76">
        <f>IF(Escenarios!$F$11&gt;0,MAX(0,G580+H580-I580),0)</f>
        <v>0</v>
      </c>
      <c r="K580" s="76">
        <f>IF(Escenarios!$F$11&gt;0,IF(J580&gt;Constantes!$F$30,1000*((J580-Constantes!$F$30)/(Escenarios!$F$16*10000)),0),F580)</f>
        <v>0</v>
      </c>
      <c r="L580" s="76">
        <f>IF(Escenarios!$F$11&gt;0,I580*1000/Escenarios!$F$16/10000+E580,E580)</f>
        <v>4.1209383707185056E-2</v>
      </c>
      <c r="M580" s="76">
        <f>MAX(0,N579+Observaciones!$F579-K580-Constantes!$D$13)</f>
        <v>0</v>
      </c>
      <c r="N580" s="76">
        <f>N579+Observaciones!$F579-K580-L580-M580-O579</f>
        <v>11.258547667312031</v>
      </c>
      <c r="O580" s="76">
        <f>MAX(0,(N580-Constantes!$D$14)*(1-EXP(-Constantes!$D$22)))</f>
        <v>2.9116492777688993E-4</v>
      </c>
      <c r="P580" s="170">
        <f>P579+(Entradas!$F$83*M580-Q579)/(800*Entradas!$D$25)</f>
        <v>0</v>
      </c>
      <c r="Q580" s="170">
        <f>8000*Entradas!$D$26*P580/Constantes!$F$45</f>
        <v>0</v>
      </c>
      <c r="R580" s="170">
        <f>IF(Escenarios!$F$14&gt;0,K580*Escenarios!$F$13/Escenarios!$F$14,0)</f>
        <v>0</v>
      </c>
      <c r="S580" s="170">
        <f>IF(Escenarios!$F$14&gt;0,Q580*Escenarios!$F$13/Escenarios!$F$14,0)</f>
        <v>0</v>
      </c>
      <c r="T580" s="170">
        <f>IF(Escenarios!$F$14&gt;0,Observaciones!$I579,0)</f>
        <v>0</v>
      </c>
      <c r="U580" s="170">
        <f>IF(Escenarios!$F$14&gt;0,MAX(0,Constantes!$F$36/((Z579+R580+S580+T580+Observaciones!$F579)^2)+Entradas!$F$77),0)</f>
        <v>0</v>
      </c>
      <c r="V580" s="146">
        <f>IF(ETo!D579&gt;0,ETo!I579*((1-Entradas!$F$81)*ETo!K579+ETo!L579),0)</f>
        <v>2.4406724717295605</v>
      </c>
      <c r="W580" s="170">
        <f>IF(Escenarios!$F$14&gt;0,MIN(V580*1,0.8*(Z579+R580+S580+T580+Observaciones!$F579-U580-Constantes!$F$35)),0)</f>
        <v>3.624594831757122E-3</v>
      </c>
      <c r="X580" s="170">
        <f>IF(Escenarios!$F$14&gt;0,Observaciones!$J579,0)</f>
        <v>0</v>
      </c>
      <c r="Y580" s="170">
        <f>IF(Escenarios!$F$14&gt;0,MAX(0,Z579+R580+S580+T580+Observaciones!$F579-U580-W580-X580-Constantes!$F$33),0)</f>
        <v>0</v>
      </c>
      <c r="Z580" s="170">
        <f>Z579+R580+S580+T580+Observaciones!$F579-U580-W580-Y580</f>
        <v>41.250906148707941</v>
      </c>
      <c r="AA580" s="170">
        <f>IF(Escenarios!$F$14&gt;0,(Escenarios!$F$13*L580+Escenarios!$F$14*W580)/(Escenarios!$F$16),L580)</f>
        <v>3.6699209042133703E-2</v>
      </c>
      <c r="AB580" s="170">
        <f>IF(Escenarios!$F$14&gt;0,(Escenarios!$F$14*Y580)/(Escenarios!$F$16),K580)</f>
        <v>0</v>
      </c>
      <c r="AC580" s="170">
        <f>IF(Escenarios!$F$14&gt;0,(Escenarios!$F$13*M580+Escenarios!$F$14*U580)/(Escenarios!$F$16),M580)</f>
        <v>0</v>
      </c>
      <c r="AD580" s="76">
        <f t="shared" si="113"/>
        <v>85.211601890765721</v>
      </c>
      <c r="AE580" s="76">
        <f>MAX(0,(AD580-Constantes!$D$13)*(1-EXP(-Constantes!$D$23)))</f>
        <v>0.35926484790667973</v>
      </c>
      <c r="AF580" s="76">
        <f>AB580+O580*Escenarios!$F$13/Escenarios!$F$16+AE580</f>
        <v>0.35952107304312342</v>
      </c>
      <c r="AG580" s="76">
        <f>IF(Entradas!$F$91&gt;0,IF(AF580-Escenarios!$F$38&lt;=0,0,IF(AF580-Escenarios!$F$38&gt;Escenarios!$F$37,Escenarios!$F$37,AF580-Escenarios!$F$38)),0)</f>
        <v>0</v>
      </c>
      <c r="AH580" s="76">
        <f>AG580*Entradas!$F$99</f>
        <v>0</v>
      </c>
      <c r="AI580" s="76">
        <f>IF(Entradas!$F$91&gt;0,D580*Entradas!$D$23/Escenarios!$F$16,0)</f>
        <v>0.13394648069756168</v>
      </c>
      <c r="AJ580" s="76">
        <f>IF(Entradas!$F$91&gt;0,Entradas!$D$24*Entradas!$D$22/Escenarios!$F$16,0)</f>
        <v>0.12</v>
      </c>
      <c r="AK580" s="76">
        <f t="shared" si="114"/>
        <v>0.17064568973969538</v>
      </c>
      <c r="AL580" s="76">
        <f t="shared" si="115"/>
        <v>0</v>
      </c>
      <c r="AM580" s="76">
        <f t="shared" si="116"/>
        <v>0</v>
      </c>
      <c r="AN580" s="76">
        <f>MAX(0,O580*Escenarios!$F$13/Escenarios!$F$16-AM580)</f>
        <v>2.5622513644366312E-4</v>
      </c>
      <c r="AO580" s="76">
        <f>AM580+AN580-O580*Escenarios!$F$13/Escenarios!$F$16</f>
        <v>0</v>
      </c>
      <c r="AP580" s="76">
        <f t="shared" si="117"/>
        <v>0.35926484790667973</v>
      </c>
      <c r="AQ580" s="76">
        <f t="shared" si="118"/>
        <v>0</v>
      </c>
      <c r="AR580" s="76">
        <f t="shared" si="119"/>
        <v>0.35952107304312342</v>
      </c>
      <c r="AS580" s="76">
        <f t="shared" si="120"/>
        <v>0</v>
      </c>
      <c r="AT580" s="76">
        <f t="shared" si="121"/>
        <v>0</v>
      </c>
      <c r="AU580" s="76">
        <f t="shared" si="122"/>
        <v>51.018667894584141</v>
      </c>
      <c r="AV580" s="76">
        <f>MAX(0,(AU580-Constantes!$D$13)*(1-EXP(-Constantes!$D$24)))</f>
        <v>3.4677149278442329E-2</v>
      </c>
      <c r="AW580" s="170">
        <f>AW579+(Entradas!$F$112*AT580-AX579)/(800*Entradas!$D$25)</f>
        <v>0</v>
      </c>
      <c r="AX580" s="170">
        <f>8000*Entradas!$D$26*AW580/Constantes!$F$45</f>
        <v>0</v>
      </c>
      <c r="AY580" s="170">
        <f>IF(Escenarios!$F$17&gt;0,10*Escenarios!$F$16*AL580,0)</f>
        <v>0</v>
      </c>
      <c r="AZ580" s="170">
        <f>IF(Escenarios!$F$17&gt;0,10*Escenarios!$F$16*AX580,0)</f>
        <v>0</v>
      </c>
      <c r="BA580" s="170">
        <f>IF(Escenarios!$F$17&gt;0,0.001*Observaciones!$F579*Escenarios!$F$17,0)</f>
        <v>0</v>
      </c>
      <c r="BB580" s="170">
        <f>IF(Escenarios!$F$17&gt;0,Observaciones!$K579,0)</f>
        <v>0</v>
      </c>
      <c r="BC580" s="170">
        <f>IF(Escenarios!$F$17&gt;0,MIN(0.0005*ETo!$M579*Escenarios!$F$17*(BG579/Constantes!$F$40)^(2/3),BG579+AY580+AZ580+BA580+BB580),0)</f>
        <v>0</v>
      </c>
      <c r="BD580" s="170">
        <f>IF(Escenarios!$F$17&gt;0,MIN(Constantes!$F$39*(BG579/Constantes!$F$40)^(2/3),BG579+AY580+AZ580+BA580+BB580-BC580),0)</f>
        <v>0</v>
      </c>
      <c r="BE580" s="170">
        <f>IF(Escenarios!$F$17&gt;0,MIN(Entradas!$F$113,BG579+AY580+AZ580+BA580+BB580-BC580-BD580),0)</f>
        <v>0</v>
      </c>
      <c r="BF580" s="170">
        <f>IF(Escenarios!$F$17&gt;0,MAX(0,BG579+AY580+AZ580+BA580+BB580-BC580-BD580-BE580-Constantes!$F$40),0)</f>
        <v>0</v>
      </c>
      <c r="BG580" s="170">
        <f t="shared" si="123"/>
        <v>0</v>
      </c>
      <c r="BH580" s="170">
        <f>(Escenarios!$F$16*AK580+0.1*BC580)/(Escenarios!$F$19)</f>
        <v>0.17064568973969538</v>
      </c>
      <c r="BI580" s="170">
        <f>IF(Escenarios!$F$17&gt;0,BF580/10/Escenarios!$F$19,AL580)</f>
        <v>0</v>
      </c>
      <c r="BJ580" s="170">
        <f>(Escenarios!$F$16*AT580+0.1*BD580)/(Escenarios!$F$19)</f>
        <v>0</v>
      </c>
      <c r="BK580" s="76">
        <f>BK579+(0.1*BD580)/(Escenarios!$F$19)-BL579</f>
        <v>48.75</v>
      </c>
      <c r="BL580" s="76">
        <f>MAX(0,(BK580-Constantes!$D$13)*(1-EXP(-Constantes!$D$23)))</f>
        <v>0</v>
      </c>
      <c r="BM580" s="76">
        <f t="shared" si="124"/>
        <v>0.39394199718512207</v>
      </c>
      <c r="BN580" s="76">
        <f t="shared" si="125"/>
        <v>0.39419822232156576</v>
      </c>
      <c r="BO580" s="76">
        <f>0.0526*BI580*Observaciones!$F579^1.218</f>
        <v>0</v>
      </c>
      <c r="BP580" s="76">
        <f>BO580*Constantes!$F$51</f>
        <v>0</v>
      </c>
      <c r="BQ580" s="76">
        <f t="shared" si="126"/>
        <v>0</v>
      </c>
      <c r="BR580" s="40"/>
    </row>
    <row r="581" spans="2:70">
      <c r="B581" s="39"/>
      <c r="C581" s="75">
        <v>575</v>
      </c>
      <c r="D581" s="146">
        <f>ETo!$I580*((1-Constantes!$F$19)*ETo!$K580+ETo!$L580)</f>
        <v>2.8213265196764858</v>
      </c>
      <c r="E581" s="76">
        <f>MIN(D581*Constantes!$F$17,0.8*(N580+Observaciones!$F580-F581-M581-Constantes!$D$14))</f>
        <v>6.8381338496251946E-3</v>
      </c>
      <c r="F581" s="76">
        <f>IF(Observaciones!$F580&gt;0.05*Constantes!$F$18,((Observaciones!$F580-0.05*Constantes!$F$18)^2)/(Observaciones!$F580+0.95*Constantes!$F$18),0)</f>
        <v>0</v>
      </c>
      <c r="G581" s="76">
        <f>IF(Escenarios!$F$11&gt;0,(F581*Escenarios!$F$16*10000)/1000,0)</f>
        <v>0</v>
      </c>
      <c r="H581" s="76">
        <f>IF(Escenarios!$F$11&gt;0,(Observaciones!$F580*Constantes!$F$29)/1000,0)</f>
        <v>0</v>
      </c>
      <c r="I581" s="76">
        <f>IF(Escenarios!$F$11&gt;0,(D581*Constantes!$F$29)/1000,0)</f>
        <v>0</v>
      </c>
      <c r="J581" s="76">
        <f>IF(Escenarios!$F$11&gt;0,MAX(0,G581+H581-I581),0)</f>
        <v>0</v>
      </c>
      <c r="K581" s="76">
        <f>IF(Escenarios!$F$11&gt;0,IF(J581&gt;Constantes!$F$30,1000*((J581-Constantes!$F$30)/(Escenarios!$F$16*10000)),0),F581)</f>
        <v>0</v>
      </c>
      <c r="L581" s="76">
        <f>IF(Escenarios!$F$11&gt;0,I581*1000/Escenarios!$F$16/10000+E581,E581)</f>
        <v>6.8381338496251946E-3</v>
      </c>
      <c r="M581" s="76">
        <f>MAX(0,N580+Observaciones!$F580-K581-Constantes!$D$13)</f>
        <v>0</v>
      </c>
      <c r="N581" s="76">
        <f>N580+Observaciones!$F580-K581-L581-M581-O580</f>
        <v>11.25141836853463</v>
      </c>
      <c r="O581" s="76">
        <f>MAX(0,(N581-Constantes!$D$14)*(1-EXP(-Constantes!$D$22)))</f>
        <v>4.8314839226972169E-5</v>
      </c>
      <c r="P581" s="170">
        <f>P580+(Entradas!$F$83*M581-Q580)/(800*Entradas!$D$25)</f>
        <v>0</v>
      </c>
      <c r="Q581" s="170">
        <f>8000*Entradas!$D$26*P581/Constantes!$F$45</f>
        <v>0</v>
      </c>
      <c r="R581" s="170">
        <f>IF(Escenarios!$F$14&gt;0,K581*Escenarios!$F$13/Escenarios!$F$14,0)</f>
        <v>0</v>
      </c>
      <c r="S581" s="170">
        <f>IF(Escenarios!$F$14&gt;0,Q581*Escenarios!$F$13/Escenarios!$F$14,0)</f>
        <v>0</v>
      </c>
      <c r="T581" s="170">
        <f>IF(Escenarios!$F$14&gt;0,Observaciones!$I580,0)</f>
        <v>0</v>
      </c>
      <c r="U581" s="170">
        <f>IF(Escenarios!$F$14&gt;0,MAX(0,Constantes!$F$36/((Z580+R581+S581+T581+Observaciones!$F580)^2)+Entradas!$F$77),0)</f>
        <v>0</v>
      </c>
      <c r="V581" s="146">
        <f>IF(ETo!D580&gt;0,ETo!I580*((1-Entradas!$F$81)*ETo!K580+ETo!L580),0)</f>
        <v>2.4683131877256299</v>
      </c>
      <c r="W581" s="170">
        <f>IF(Escenarios!$F$14&gt;0,MIN(V581*1,0.8*(Z580+R581+S581+T581+Observaciones!$F580-U581-Constantes!$F$35)),0)</f>
        <v>7.249189663525613E-4</v>
      </c>
      <c r="X581" s="170">
        <f>IF(Escenarios!$F$14&gt;0,Observaciones!$J580,0)</f>
        <v>0</v>
      </c>
      <c r="Y581" s="170">
        <f>IF(Escenarios!$F$14&gt;0,MAX(0,Z580+R581+S581+T581+Observaciones!$F580-U581-W581-X581-Constantes!$F$33),0)</f>
        <v>0</v>
      </c>
      <c r="Z581" s="170">
        <f>Z580+R581+S581+T581+Observaciones!$F580-U581-W581-Y581</f>
        <v>41.250181229741585</v>
      </c>
      <c r="AA581" s="170">
        <f>IF(Escenarios!$F$14&gt;0,(Escenarios!$F$13*L581+Escenarios!$F$14*W581)/(Escenarios!$F$16),L581)</f>
        <v>6.1045480636324782E-3</v>
      </c>
      <c r="AB581" s="170">
        <f>IF(Escenarios!$F$14&gt;0,(Escenarios!$F$14*Y581)/(Escenarios!$F$16),K581)</f>
        <v>0</v>
      </c>
      <c r="AC581" s="170">
        <f>IF(Escenarios!$F$14&gt;0,(Escenarios!$F$13*M581+Escenarios!$F$14*U581)/(Escenarios!$F$16),M581)</f>
        <v>0</v>
      </c>
      <c r="AD581" s="76">
        <f t="shared" si="113"/>
        <v>84.852337042859034</v>
      </c>
      <c r="AE581" s="76">
        <f>MAX(0,(AD581-Constantes!$D$13)*(1-EXP(-Constantes!$D$23)))</f>
        <v>0.35572492579003512</v>
      </c>
      <c r="AF581" s="76">
        <f>AB581+O581*Escenarios!$F$13/Escenarios!$F$16+AE581</f>
        <v>0.35576744284855483</v>
      </c>
      <c r="AG581" s="76">
        <f>IF(Entradas!$F$91&gt;0,IF(AF581-Escenarios!$F$38&lt;=0,0,IF(AF581-Escenarios!$F$38&gt;Escenarios!$F$37,Escenarios!$F$37,AF581-Escenarios!$F$38)),0)</f>
        <v>0</v>
      </c>
      <c r="AH581" s="76">
        <f>AG581*Entradas!$F$99</f>
        <v>0</v>
      </c>
      <c r="AI581" s="76">
        <f>IF(Entradas!$F$91&gt;0,D581*Entradas!$D$23/Escenarios!$F$16,0)</f>
        <v>0.13542367294447133</v>
      </c>
      <c r="AJ581" s="76">
        <f>IF(Entradas!$F$91&gt;0,Entradas!$D$24*Entradas!$D$22/Escenarios!$F$16,0)</f>
        <v>0.12</v>
      </c>
      <c r="AK581" s="76">
        <f t="shared" si="114"/>
        <v>0.14152822100810381</v>
      </c>
      <c r="AL581" s="76">
        <f t="shared" si="115"/>
        <v>0</v>
      </c>
      <c r="AM581" s="76">
        <f t="shared" si="116"/>
        <v>0</v>
      </c>
      <c r="AN581" s="76">
        <f>MAX(0,O581*Escenarios!$F$13/Escenarios!$F$16-AM581)</f>
        <v>4.2517058519735505E-5</v>
      </c>
      <c r="AO581" s="76">
        <f>AM581+AN581-O581*Escenarios!$F$13/Escenarios!$F$16</f>
        <v>0</v>
      </c>
      <c r="AP581" s="76">
        <f t="shared" si="117"/>
        <v>0.35572492579003512</v>
      </c>
      <c r="AQ581" s="76">
        <f t="shared" si="118"/>
        <v>0</v>
      </c>
      <c r="AR581" s="76">
        <f t="shared" si="119"/>
        <v>0.35576744284855483</v>
      </c>
      <c r="AS581" s="76">
        <f t="shared" si="120"/>
        <v>0</v>
      </c>
      <c r="AT581" s="76">
        <f t="shared" si="121"/>
        <v>0</v>
      </c>
      <c r="AU581" s="76">
        <f t="shared" si="122"/>
        <v>50.983990745305697</v>
      </c>
      <c r="AV581" s="76">
        <f>MAX(0,(AU581-Constantes!$D$13)*(1-EXP(-Constantes!$D$24)))</f>
        <v>3.41471004841917E-2</v>
      </c>
      <c r="AW581" s="170">
        <f>AW580+(Entradas!$F$112*AT581-AX580)/(800*Entradas!$D$25)</f>
        <v>0</v>
      </c>
      <c r="AX581" s="170">
        <f>8000*Entradas!$D$26*AW581/Constantes!$F$45</f>
        <v>0</v>
      </c>
      <c r="AY581" s="170">
        <f>IF(Escenarios!$F$17&gt;0,10*Escenarios!$F$16*AL581,0)</f>
        <v>0</v>
      </c>
      <c r="AZ581" s="170">
        <f>IF(Escenarios!$F$17&gt;0,10*Escenarios!$F$16*AX581,0)</f>
        <v>0</v>
      </c>
      <c r="BA581" s="170">
        <f>IF(Escenarios!$F$17&gt;0,0.001*Observaciones!$F580*Escenarios!$F$17,0)</f>
        <v>0</v>
      </c>
      <c r="BB581" s="170">
        <f>IF(Escenarios!$F$17&gt;0,Observaciones!$K580,0)</f>
        <v>0</v>
      </c>
      <c r="BC581" s="170">
        <f>IF(Escenarios!$F$17&gt;0,MIN(0.0005*ETo!$M580*Escenarios!$F$17*(BG580/Constantes!$F$40)^(2/3),BG580+AY581+AZ581+BA581+BB581),0)</f>
        <v>0</v>
      </c>
      <c r="BD581" s="170">
        <f>IF(Escenarios!$F$17&gt;0,MIN(Constantes!$F$39*(BG580/Constantes!$F$40)^(2/3),BG580+AY581+AZ581+BA581+BB581-BC581),0)</f>
        <v>0</v>
      </c>
      <c r="BE581" s="170">
        <f>IF(Escenarios!$F$17&gt;0,MIN(Entradas!$F$113,BG580+AY581+AZ581+BA581+BB581-BC581-BD581),0)</f>
        <v>0</v>
      </c>
      <c r="BF581" s="170">
        <f>IF(Escenarios!$F$17&gt;0,MAX(0,BG580+AY581+AZ581+BA581+BB581-BC581-BD581-BE581-Constantes!$F$40),0)</f>
        <v>0</v>
      </c>
      <c r="BG581" s="170">
        <f t="shared" si="123"/>
        <v>0</v>
      </c>
      <c r="BH581" s="170">
        <f>(Escenarios!$F$16*AK581+0.1*BC581)/(Escenarios!$F$19)</f>
        <v>0.14152822100810381</v>
      </c>
      <c r="BI581" s="170">
        <f>IF(Escenarios!$F$17&gt;0,BF581/10/Escenarios!$F$19,AL581)</f>
        <v>0</v>
      </c>
      <c r="BJ581" s="170">
        <f>(Escenarios!$F$16*AT581+0.1*BD581)/(Escenarios!$F$19)</f>
        <v>0</v>
      </c>
      <c r="BK581" s="76">
        <f>BK580+(0.1*BD581)/(Escenarios!$F$19)-BL580</f>
        <v>48.75</v>
      </c>
      <c r="BL581" s="76">
        <f>MAX(0,(BK581-Constantes!$D$13)*(1-EXP(-Constantes!$D$23)))</f>
        <v>0</v>
      </c>
      <c r="BM581" s="76">
        <f t="shared" si="124"/>
        <v>0.38987202627422679</v>
      </c>
      <c r="BN581" s="76">
        <f t="shared" si="125"/>
        <v>0.38991454333274655</v>
      </c>
      <c r="BO581" s="76">
        <f>0.0526*BI581*Observaciones!$F580^1.218</f>
        <v>0</v>
      </c>
      <c r="BP581" s="76">
        <f>BO581*Constantes!$F$51</f>
        <v>0</v>
      </c>
      <c r="BQ581" s="76">
        <f t="shared" si="126"/>
        <v>0</v>
      </c>
      <c r="BR581" s="40"/>
    </row>
    <row r="582" spans="2:70">
      <c r="B582" s="39"/>
      <c r="C582" s="75">
        <v>576</v>
      </c>
      <c r="D582" s="146">
        <f>ETo!$I581*((1-Constantes!$F$19)*ETo!$K581+ETo!$L581)</f>
        <v>2.9962325787166408</v>
      </c>
      <c r="E582" s="76">
        <f>MIN(D582*Constantes!$F$17,0.8*(N581+Observaciones!$F581-F582-M582-Constantes!$D$14))</f>
        <v>1.1346948277036974E-3</v>
      </c>
      <c r="F582" s="76">
        <f>IF(Observaciones!$F581&gt;0.05*Constantes!$F$18,((Observaciones!$F581-0.05*Constantes!$F$18)^2)/(Observaciones!$F581+0.95*Constantes!$F$18),0)</f>
        <v>0</v>
      </c>
      <c r="G582" s="76">
        <f>IF(Escenarios!$F$11&gt;0,(F582*Escenarios!$F$16*10000)/1000,0)</f>
        <v>0</v>
      </c>
      <c r="H582" s="76">
        <f>IF(Escenarios!$F$11&gt;0,(Observaciones!$F581*Constantes!$F$29)/1000,0)</f>
        <v>0</v>
      </c>
      <c r="I582" s="76">
        <f>IF(Escenarios!$F$11&gt;0,(D582*Constantes!$F$29)/1000,0)</f>
        <v>0</v>
      </c>
      <c r="J582" s="76">
        <f>IF(Escenarios!$F$11&gt;0,MAX(0,G582+H582-I582),0)</f>
        <v>0</v>
      </c>
      <c r="K582" s="76">
        <f>IF(Escenarios!$F$11&gt;0,IF(J582&gt;Constantes!$F$30,1000*((J582-Constantes!$F$30)/(Escenarios!$F$16*10000)),0),F582)</f>
        <v>0</v>
      </c>
      <c r="L582" s="76">
        <f>IF(Escenarios!$F$11&gt;0,I582*1000/Escenarios!$F$16/10000+E582,E582)</f>
        <v>1.1346948277036974E-3</v>
      </c>
      <c r="M582" s="76">
        <f>MAX(0,N581+Observaciones!$F581-K582-Constantes!$D$13)</f>
        <v>0</v>
      </c>
      <c r="N582" s="76">
        <f>N581+Observaciones!$F581-K582-L582-M582-O581</f>
        <v>11.2502353588677</v>
      </c>
      <c r="O582" s="76">
        <f>MAX(0,(N582-Constantes!$D$14)*(1-EXP(-Constantes!$D$22)))</f>
        <v>8.0171870539531133E-6</v>
      </c>
      <c r="P582" s="170">
        <f>P581+(Entradas!$F$83*M582-Q581)/(800*Entradas!$D$25)</f>
        <v>0</v>
      </c>
      <c r="Q582" s="170">
        <f>8000*Entradas!$D$26*P582/Constantes!$F$45</f>
        <v>0</v>
      </c>
      <c r="R582" s="170">
        <f>IF(Escenarios!$F$14&gt;0,K582*Escenarios!$F$13/Escenarios!$F$14,0)</f>
        <v>0</v>
      </c>
      <c r="S582" s="170">
        <f>IF(Escenarios!$F$14&gt;0,Q582*Escenarios!$F$13/Escenarios!$F$14,0)</f>
        <v>0</v>
      </c>
      <c r="T582" s="170">
        <f>IF(Escenarios!$F$14&gt;0,Observaciones!$I581,0)</f>
        <v>0</v>
      </c>
      <c r="U582" s="170">
        <f>IF(Escenarios!$F$14&gt;0,MAX(0,Constantes!$F$36/((Z581+R582+S582+T582+Observaciones!$F581)^2)+Entradas!$F$77),0)</f>
        <v>0</v>
      </c>
      <c r="V582" s="146">
        <f>IF(ETo!D581&gt;0,ETo!I581*((1-Entradas!$F$81)*ETo!K581+ETo!L581),0)</f>
        <v>2.6237600983927529</v>
      </c>
      <c r="W582" s="170">
        <f>IF(Escenarios!$F$14&gt;0,MIN(V582*1,0.8*(Z581+R582+S582+T582+Observaciones!$F581-U582-Constantes!$F$35)),0)</f>
        <v>1.4498379326823851E-4</v>
      </c>
      <c r="X582" s="170">
        <f>IF(Escenarios!$F$14&gt;0,Observaciones!$J581,0)</f>
        <v>0</v>
      </c>
      <c r="Y582" s="170">
        <f>IF(Escenarios!$F$14&gt;0,MAX(0,Z581+R582+S582+T582+Observaciones!$F581-U582-W582-X582-Constantes!$F$33),0)</f>
        <v>0</v>
      </c>
      <c r="Z582" s="170">
        <f>Z581+R582+S582+T582+Observaciones!$F581-U582-W582-Y582</f>
        <v>41.250036245948316</v>
      </c>
      <c r="AA582" s="170">
        <f>IF(Escenarios!$F$14&gt;0,(Escenarios!$F$13*L582+Escenarios!$F$14*W582)/(Escenarios!$F$16),L582)</f>
        <v>1.0159295035714422E-3</v>
      </c>
      <c r="AB582" s="170">
        <f>IF(Escenarios!$F$14&gt;0,(Escenarios!$F$14*Y582)/(Escenarios!$F$16),K582)</f>
        <v>0</v>
      </c>
      <c r="AC582" s="170">
        <f>IF(Escenarios!$F$14&gt;0,(Escenarios!$F$13*M582+Escenarios!$F$14*U582)/(Escenarios!$F$16),M582)</f>
        <v>0</v>
      </c>
      <c r="AD582" s="76">
        <f t="shared" si="113"/>
        <v>84.496612117069006</v>
      </c>
      <c r="AE582" s="76">
        <f>MAX(0,(AD582-Constantes!$D$13)*(1-EXP(-Constantes!$D$23)))</f>
        <v>0.35221988336914972</v>
      </c>
      <c r="AF582" s="76">
        <f>AB582+O582*Escenarios!$F$13/Escenarios!$F$16+AE582</f>
        <v>0.35222693849375719</v>
      </c>
      <c r="AG582" s="76">
        <f>IF(Entradas!$F$91&gt;0,IF(AF582-Escenarios!$F$38&lt;=0,0,IF(AF582-Escenarios!$F$38&gt;Escenarios!$F$37,Escenarios!$F$37,AF582-Escenarios!$F$38)),0)</f>
        <v>0</v>
      </c>
      <c r="AH582" s="76">
        <f>AG582*Entradas!$F$99</f>
        <v>0</v>
      </c>
      <c r="AI582" s="76">
        <f>IF(Entradas!$F$91&gt;0,D582*Entradas!$D$23/Escenarios!$F$16,0)</f>
        <v>0.14381916377839876</v>
      </c>
      <c r="AJ582" s="76">
        <f>IF(Entradas!$F$91&gt;0,Entradas!$D$24*Entradas!$D$22/Escenarios!$F$16,0)</f>
        <v>0.12</v>
      </c>
      <c r="AK582" s="76">
        <f t="shared" si="114"/>
        <v>0.1448350932819702</v>
      </c>
      <c r="AL582" s="76">
        <f t="shared" si="115"/>
        <v>0</v>
      </c>
      <c r="AM582" s="76">
        <f t="shared" si="116"/>
        <v>0</v>
      </c>
      <c r="AN582" s="76">
        <f>MAX(0,O582*Escenarios!$F$13/Escenarios!$F$16-AM582)</f>
        <v>7.0551246074787392E-6</v>
      </c>
      <c r="AO582" s="76">
        <f>AM582+AN582-O582*Escenarios!$F$13/Escenarios!$F$16</f>
        <v>0</v>
      </c>
      <c r="AP582" s="76">
        <f t="shared" si="117"/>
        <v>0.35221988336914972</v>
      </c>
      <c r="AQ582" s="76">
        <f t="shared" si="118"/>
        <v>0</v>
      </c>
      <c r="AR582" s="76">
        <f t="shared" si="119"/>
        <v>0.35222693849375719</v>
      </c>
      <c r="AS582" s="76">
        <f t="shared" si="120"/>
        <v>0</v>
      </c>
      <c r="AT582" s="76">
        <f t="shared" si="121"/>
        <v>0</v>
      </c>
      <c r="AU582" s="76">
        <f t="shared" si="122"/>
        <v>50.949843644821506</v>
      </c>
      <c r="AV582" s="76">
        <f>MAX(0,(AU582-Constantes!$D$13)*(1-EXP(-Constantes!$D$24)))</f>
        <v>3.3625153616718043E-2</v>
      </c>
      <c r="AW582" s="170">
        <f>AW581+(Entradas!$F$112*AT582-AX581)/(800*Entradas!$D$25)</f>
        <v>0</v>
      </c>
      <c r="AX582" s="170">
        <f>8000*Entradas!$D$26*AW582/Constantes!$F$45</f>
        <v>0</v>
      </c>
      <c r="AY582" s="170">
        <f>IF(Escenarios!$F$17&gt;0,10*Escenarios!$F$16*AL582,0)</f>
        <v>0</v>
      </c>
      <c r="AZ582" s="170">
        <f>IF(Escenarios!$F$17&gt;0,10*Escenarios!$F$16*AX582,0)</f>
        <v>0</v>
      </c>
      <c r="BA582" s="170">
        <f>IF(Escenarios!$F$17&gt;0,0.001*Observaciones!$F581*Escenarios!$F$17,0)</f>
        <v>0</v>
      </c>
      <c r="BB582" s="170">
        <f>IF(Escenarios!$F$17&gt;0,Observaciones!$K581,0)</f>
        <v>0</v>
      </c>
      <c r="BC582" s="170">
        <f>IF(Escenarios!$F$17&gt;0,MIN(0.0005*ETo!$M581*Escenarios!$F$17*(BG581/Constantes!$F$40)^(2/3),BG581+AY582+AZ582+BA582+BB582),0)</f>
        <v>0</v>
      </c>
      <c r="BD582" s="170">
        <f>IF(Escenarios!$F$17&gt;0,MIN(Constantes!$F$39*(BG581/Constantes!$F$40)^(2/3),BG581+AY582+AZ582+BA582+BB582-BC582),0)</f>
        <v>0</v>
      </c>
      <c r="BE582" s="170">
        <f>IF(Escenarios!$F$17&gt;0,MIN(Entradas!$F$113,BG581+AY582+AZ582+BA582+BB582-BC582-BD582),0)</f>
        <v>0</v>
      </c>
      <c r="BF582" s="170">
        <f>IF(Escenarios!$F$17&gt;0,MAX(0,BG581+AY582+AZ582+BA582+BB582-BC582-BD582-BE582-Constantes!$F$40),0)</f>
        <v>0</v>
      </c>
      <c r="BG582" s="170">
        <f t="shared" si="123"/>
        <v>0</v>
      </c>
      <c r="BH582" s="170">
        <f>(Escenarios!$F$16*AK582+0.1*BC582)/(Escenarios!$F$19)</f>
        <v>0.1448350932819702</v>
      </c>
      <c r="BI582" s="170">
        <f>IF(Escenarios!$F$17&gt;0,BF582/10/Escenarios!$F$19,AL582)</f>
        <v>0</v>
      </c>
      <c r="BJ582" s="170">
        <f>(Escenarios!$F$16*AT582+0.1*BD582)/(Escenarios!$F$19)</f>
        <v>0</v>
      </c>
      <c r="BK582" s="76">
        <f>BK581+(0.1*BD582)/(Escenarios!$F$19)-BL581</f>
        <v>48.75</v>
      </c>
      <c r="BL582" s="76">
        <f>MAX(0,(BK582-Constantes!$D$13)*(1-EXP(-Constantes!$D$23)))</f>
        <v>0</v>
      </c>
      <c r="BM582" s="76">
        <f t="shared" si="124"/>
        <v>0.38584503698586775</v>
      </c>
      <c r="BN582" s="76">
        <f t="shared" si="125"/>
        <v>0.38585209211047522</v>
      </c>
      <c r="BO582" s="76">
        <f>0.0526*BI582*Observaciones!$F581^1.218</f>
        <v>0</v>
      </c>
      <c r="BP582" s="76">
        <f>BO582*Constantes!$F$51</f>
        <v>0</v>
      </c>
      <c r="BQ582" s="76">
        <f t="shared" si="126"/>
        <v>0</v>
      </c>
      <c r="BR582" s="40"/>
    </row>
    <row r="583" spans="2:70">
      <c r="B583" s="39"/>
      <c r="C583" s="75">
        <v>577</v>
      </c>
      <c r="D583" s="146">
        <f>ETo!$I582*((1-Constantes!$F$19)*ETo!$K582+ETo!$L582)</f>
        <v>2.8875249533736582</v>
      </c>
      <c r="E583" s="76">
        <f>MIN(D583*Constantes!$F$17,0.8*(N582+Observaciones!$F582-F583-M583-Constantes!$D$14))</f>
        <v>1.8828709415998903E-4</v>
      </c>
      <c r="F583" s="76">
        <f>IF(Observaciones!$F582&gt;0.05*Constantes!$F$18,((Observaciones!$F582-0.05*Constantes!$F$18)^2)/(Observaciones!$F582+0.95*Constantes!$F$18),0)</f>
        <v>0</v>
      </c>
      <c r="G583" s="76">
        <f>IF(Escenarios!$F$11&gt;0,(F583*Escenarios!$F$16*10000)/1000,0)</f>
        <v>0</v>
      </c>
      <c r="H583" s="76">
        <f>IF(Escenarios!$F$11&gt;0,(Observaciones!$F582*Constantes!$F$29)/1000,0)</f>
        <v>0</v>
      </c>
      <c r="I583" s="76">
        <f>IF(Escenarios!$F$11&gt;0,(D583*Constantes!$F$29)/1000,0)</f>
        <v>0</v>
      </c>
      <c r="J583" s="76">
        <f>IF(Escenarios!$F$11&gt;0,MAX(0,G583+H583-I583),0)</f>
        <v>0</v>
      </c>
      <c r="K583" s="76">
        <f>IF(Escenarios!$F$11&gt;0,IF(J583&gt;Constantes!$F$30,1000*((J583-Constantes!$F$30)/(Escenarios!$F$16*10000)),0),F583)</f>
        <v>0</v>
      </c>
      <c r="L583" s="76">
        <f>IF(Escenarios!$F$11&gt;0,I583*1000/Escenarios!$F$16/10000+E583,E583)</f>
        <v>1.8828709415998903E-4</v>
      </c>
      <c r="M583" s="76">
        <f>MAX(0,N582+Observaciones!$F582-K583-Constantes!$D$13)</f>
        <v>0</v>
      </c>
      <c r="N583" s="76">
        <f>N582+Observaciones!$F582-K583-L583-M583-O582</f>
        <v>11.250039054586486</v>
      </c>
      <c r="O583" s="76">
        <f>MAX(0,(N583-Constantes!$D$14)*(1-EXP(-Constantes!$D$22)))</f>
        <v>1.3303425880242433E-6</v>
      </c>
      <c r="P583" s="170">
        <f>P582+(Entradas!$F$83*M583-Q582)/(800*Entradas!$D$25)</f>
        <v>0</v>
      </c>
      <c r="Q583" s="170">
        <f>8000*Entradas!$D$26*P583/Constantes!$F$45</f>
        <v>0</v>
      </c>
      <c r="R583" s="170">
        <f>IF(Escenarios!$F$14&gt;0,K583*Escenarios!$F$13/Escenarios!$F$14,0)</f>
        <v>0</v>
      </c>
      <c r="S583" s="170">
        <f>IF(Escenarios!$F$14&gt;0,Q583*Escenarios!$F$13/Escenarios!$F$14,0)</f>
        <v>0</v>
      </c>
      <c r="T583" s="170">
        <f>IF(Escenarios!$F$14&gt;0,Observaciones!$I582,0)</f>
        <v>0</v>
      </c>
      <c r="U583" s="170">
        <f>IF(Escenarios!$F$14&gt;0,MAX(0,Constantes!$F$36/((Z582+R583+S583+T583+Observaciones!$F582)^2)+Entradas!$F$77),0)</f>
        <v>0</v>
      </c>
      <c r="V583" s="146">
        <f>IF(ETo!D582&gt;0,ETo!I582*((1-Entradas!$F$81)*ETo!K582+ETo!L582),0)</f>
        <v>2.5277849738346427</v>
      </c>
      <c r="W583" s="170">
        <f>IF(Escenarios!$F$14&gt;0,MIN(V583*1,0.8*(Z582+R583+S583+T583+Observaciones!$F582-U583-Constantes!$F$35)),0)</f>
        <v>2.8996758652510837E-5</v>
      </c>
      <c r="X583" s="170">
        <f>IF(Escenarios!$F$14&gt;0,Observaciones!$J582,0)</f>
        <v>0</v>
      </c>
      <c r="Y583" s="170">
        <f>IF(Escenarios!$F$14&gt;0,MAX(0,Z582+R583+S583+T583+Observaciones!$F582-U583-W583-X583-Constantes!$F$33),0)</f>
        <v>0</v>
      </c>
      <c r="Z583" s="170">
        <f>Z582+R583+S583+T583+Observaciones!$F582-U583-W583-Y583</f>
        <v>41.250007249189665</v>
      </c>
      <c r="AA583" s="170">
        <f>IF(Escenarios!$F$14&gt;0,(Escenarios!$F$13*L583+Escenarios!$F$14*W583)/(Escenarios!$F$16),L583)</f>
        <v>1.6917225389909165E-4</v>
      </c>
      <c r="AB583" s="170">
        <f>IF(Escenarios!$F$14&gt;0,(Escenarios!$F$14*Y583)/(Escenarios!$F$16),K583)</f>
        <v>0</v>
      </c>
      <c r="AC583" s="170">
        <f>IF(Escenarios!$F$14&gt;0,(Escenarios!$F$13*M583+Escenarios!$F$14*U583)/(Escenarios!$F$16),M583)</f>
        <v>0</v>
      </c>
      <c r="AD583" s="76">
        <f t="shared" si="113"/>
        <v>84.144392233699861</v>
      </c>
      <c r="AE583" s="76">
        <f>MAX(0,(AD583-Constantes!$D$13)*(1-EXP(-Constantes!$D$23)))</f>
        <v>0.34874937696607333</v>
      </c>
      <c r="AF583" s="76">
        <f>AB583+O583*Escenarios!$F$13/Escenarios!$F$16+AE583</f>
        <v>0.34875054766755081</v>
      </c>
      <c r="AG583" s="76">
        <f>IF(Entradas!$F$91&gt;0,IF(AF583-Escenarios!$F$38&lt;=0,0,IF(AF583-Escenarios!$F$38&gt;Escenarios!$F$37,Escenarios!$F$37,AF583-Escenarios!$F$38)),0)</f>
        <v>0</v>
      </c>
      <c r="AH583" s="76">
        <f>AG583*Entradas!$F$99</f>
        <v>0</v>
      </c>
      <c r="AI583" s="76">
        <f>IF(Entradas!$F$91&gt;0,D583*Entradas!$D$23/Escenarios!$F$16,0)</f>
        <v>0.13860119776193561</v>
      </c>
      <c r="AJ583" s="76">
        <f>IF(Entradas!$F$91&gt;0,Entradas!$D$24*Entradas!$D$22/Escenarios!$F$16,0)</f>
        <v>0.12</v>
      </c>
      <c r="AK583" s="76">
        <f t="shared" si="114"/>
        <v>0.1387703700158347</v>
      </c>
      <c r="AL583" s="76">
        <f t="shared" si="115"/>
        <v>0</v>
      </c>
      <c r="AM583" s="76">
        <f t="shared" si="116"/>
        <v>0</v>
      </c>
      <c r="AN583" s="76">
        <f>MAX(0,O583*Escenarios!$F$13/Escenarios!$F$16-AM583)</f>
        <v>1.170701477461334E-6</v>
      </c>
      <c r="AO583" s="76">
        <f>AM583+AN583-O583*Escenarios!$F$13/Escenarios!$F$16</f>
        <v>0</v>
      </c>
      <c r="AP583" s="76">
        <f t="shared" si="117"/>
        <v>0.34874937696607333</v>
      </c>
      <c r="AQ583" s="76">
        <f t="shared" si="118"/>
        <v>0</v>
      </c>
      <c r="AR583" s="76">
        <f t="shared" si="119"/>
        <v>0.34875054766755081</v>
      </c>
      <c r="AS583" s="76">
        <f t="shared" si="120"/>
        <v>0</v>
      </c>
      <c r="AT583" s="76">
        <f t="shared" si="121"/>
        <v>0</v>
      </c>
      <c r="AU583" s="76">
        <f t="shared" si="122"/>
        <v>50.916218491204788</v>
      </c>
      <c r="AV583" s="76">
        <f>MAX(0,(AU583-Constantes!$D$13)*(1-EXP(-Constantes!$D$24)))</f>
        <v>3.3111184836068799E-2</v>
      </c>
      <c r="AW583" s="170">
        <f>AW582+(Entradas!$F$112*AT583-AX582)/(800*Entradas!$D$25)</f>
        <v>0</v>
      </c>
      <c r="AX583" s="170">
        <f>8000*Entradas!$D$26*AW583/Constantes!$F$45</f>
        <v>0</v>
      </c>
      <c r="AY583" s="170">
        <f>IF(Escenarios!$F$17&gt;0,10*Escenarios!$F$16*AL583,0)</f>
        <v>0</v>
      </c>
      <c r="AZ583" s="170">
        <f>IF(Escenarios!$F$17&gt;0,10*Escenarios!$F$16*AX583,0)</f>
        <v>0</v>
      </c>
      <c r="BA583" s="170">
        <f>IF(Escenarios!$F$17&gt;0,0.001*Observaciones!$F582*Escenarios!$F$17,0)</f>
        <v>0</v>
      </c>
      <c r="BB583" s="170">
        <f>IF(Escenarios!$F$17&gt;0,Observaciones!$K582,0)</f>
        <v>0</v>
      </c>
      <c r="BC583" s="170">
        <f>IF(Escenarios!$F$17&gt;0,MIN(0.0005*ETo!$M582*Escenarios!$F$17*(BG582/Constantes!$F$40)^(2/3),BG582+AY583+AZ583+BA583+BB583),0)</f>
        <v>0</v>
      </c>
      <c r="BD583" s="170">
        <f>IF(Escenarios!$F$17&gt;0,MIN(Constantes!$F$39*(BG582/Constantes!$F$40)^(2/3),BG582+AY583+AZ583+BA583+BB583-BC583),0)</f>
        <v>0</v>
      </c>
      <c r="BE583" s="170">
        <f>IF(Escenarios!$F$17&gt;0,MIN(Entradas!$F$113,BG582+AY583+AZ583+BA583+BB583-BC583-BD583),0)</f>
        <v>0</v>
      </c>
      <c r="BF583" s="170">
        <f>IF(Escenarios!$F$17&gt;0,MAX(0,BG582+AY583+AZ583+BA583+BB583-BC583-BD583-BE583-Constantes!$F$40),0)</f>
        <v>0</v>
      </c>
      <c r="BG583" s="170">
        <f t="shared" si="123"/>
        <v>0</v>
      </c>
      <c r="BH583" s="170">
        <f>(Escenarios!$F$16*AK583+0.1*BC583)/(Escenarios!$F$19)</f>
        <v>0.1387703700158347</v>
      </c>
      <c r="BI583" s="170">
        <f>IF(Escenarios!$F$17&gt;0,BF583/10/Escenarios!$F$19,AL583)</f>
        <v>0</v>
      </c>
      <c r="BJ583" s="170">
        <f>(Escenarios!$F$16*AT583+0.1*BD583)/(Escenarios!$F$19)</f>
        <v>0</v>
      </c>
      <c r="BK583" s="76">
        <f>BK582+(0.1*BD583)/(Escenarios!$F$19)-BL582</f>
        <v>48.75</v>
      </c>
      <c r="BL583" s="76">
        <f>MAX(0,(BK583-Constantes!$D$13)*(1-EXP(-Constantes!$D$23)))</f>
        <v>0</v>
      </c>
      <c r="BM583" s="76">
        <f t="shared" si="124"/>
        <v>0.38186056180214212</v>
      </c>
      <c r="BN583" s="76">
        <f t="shared" si="125"/>
        <v>0.3818617325036196</v>
      </c>
      <c r="BO583" s="76">
        <f>0.0526*BI583*Observaciones!$F582^1.218</f>
        <v>0</v>
      </c>
      <c r="BP583" s="76">
        <f>BO583*Constantes!$F$51</f>
        <v>0</v>
      </c>
      <c r="BQ583" s="76">
        <f t="shared" si="126"/>
        <v>0</v>
      </c>
      <c r="BR583" s="40"/>
    </row>
    <row r="584" spans="2:70">
      <c r="B584" s="39"/>
      <c r="C584" s="75">
        <v>578</v>
      </c>
      <c r="D584" s="146">
        <f>ETo!$I583*((1-Constantes!$F$19)*ETo!$K583+ETo!$L583)</f>
        <v>3.0413177459719947</v>
      </c>
      <c r="E584" s="76">
        <f>MIN(D584*Constantes!$F$17,0.8*(N583+Observaciones!$F583-F584-M584-Constantes!$D$14))</f>
        <v>3.1243669188540937E-5</v>
      </c>
      <c r="F584" s="76">
        <f>IF(Observaciones!$F583&gt;0.05*Constantes!$F$18,((Observaciones!$F583-0.05*Constantes!$F$18)^2)/(Observaciones!$F583+0.95*Constantes!$F$18),0)</f>
        <v>0</v>
      </c>
      <c r="G584" s="76">
        <f>IF(Escenarios!$F$11&gt;0,(F584*Escenarios!$F$16*10000)/1000,0)</f>
        <v>0</v>
      </c>
      <c r="H584" s="76">
        <f>IF(Escenarios!$F$11&gt;0,(Observaciones!$F583*Constantes!$F$29)/1000,0)</f>
        <v>0</v>
      </c>
      <c r="I584" s="76">
        <f>IF(Escenarios!$F$11&gt;0,(D584*Constantes!$F$29)/1000,0)</f>
        <v>0</v>
      </c>
      <c r="J584" s="76">
        <f>IF(Escenarios!$F$11&gt;0,MAX(0,G584+H584-I584),0)</f>
        <v>0</v>
      </c>
      <c r="K584" s="76">
        <f>IF(Escenarios!$F$11&gt;0,IF(J584&gt;Constantes!$F$30,1000*((J584-Constantes!$F$30)/(Escenarios!$F$16*10000)),0),F584)</f>
        <v>0</v>
      </c>
      <c r="L584" s="76">
        <f>IF(Escenarios!$F$11&gt;0,I584*1000/Escenarios!$F$16/10000+E584,E584)</f>
        <v>3.1243669188540937E-5</v>
      </c>
      <c r="M584" s="76">
        <f>MAX(0,N583+Observaciones!$F583-K584-Constantes!$D$13)</f>
        <v>0</v>
      </c>
      <c r="N584" s="76">
        <f>N583+Observaciones!$F583-K584-L584-M584-O583</f>
        <v>11.25000648057471</v>
      </c>
      <c r="O584" s="76">
        <f>MAX(0,(N584-Constantes!$D$14)*(1-EXP(-Constantes!$D$22)))</f>
        <v>2.2075216529106398E-7</v>
      </c>
      <c r="P584" s="170">
        <f>P583+(Entradas!$F$83*M584-Q583)/(800*Entradas!$D$25)</f>
        <v>0</v>
      </c>
      <c r="Q584" s="170">
        <f>8000*Entradas!$D$26*P584/Constantes!$F$45</f>
        <v>0</v>
      </c>
      <c r="R584" s="170">
        <f>IF(Escenarios!$F$14&gt;0,K584*Escenarios!$F$13/Escenarios!$F$14,0)</f>
        <v>0</v>
      </c>
      <c r="S584" s="170">
        <f>IF(Escenarios!$F$14&gt;0,Q584*Escenarios!$F$13/Escenarios!$F$14,0)</f>
        <v>0</v>
      </c>
      <c r="T584" s="170">
        <f>IF(Escenarios!$F$14&gt;0,Observaciones!$I583,0)</f>
        <v>0</v>
      </c>
      <c r="U584" s="170">
        <f>IF(Escenarios!$F$14&gt;0,MAX(0,Constantes!$F$36/((Z583+R584+S584+T584+Observaciones!$F583)^2)+Entradas!$F$77),0)</f>
        <v>0</v>
      </c>
      <c r="V584" s="146">
        <f>IF(ETo!D583&gt;0,ETo!I583*((1-Entradas!$F$81)*ETo!K583+ETo!L583),0)</f>
        <v>2.6647535688932438</v>
      </c>
      <c r="W584" s="170">
        <f>IF(Escenarios!$F$14&gt;0,MIN(V584*1,0.8*(Z583+R584+S584+T584+Observaciones!$F583-U584-Constantes!$F$35)),0)</f>
        <v>5.7993517316390358E-6</v>
      </c>
      <c r="X584" s="170">
        <f>IF(Escenarios!$F$14&gt;0,Observaciones!$J583,0)</f>
        <v>0</v>
      </c>
      <c r="Y584" s="170">
        <f>IF(Escenarios!$F$14&gt;0,MAX(0,Z583+R584+S584+T584+Observaciones!$F583-U584-W584-X584-Constantes!$F$33),0)</f>
        <v>0</v>
      </c>
      <c r="Z584" s="170">
        <f>Z583+R584+S584+T584+Observaciones!$F583-U584-W584-Y584</f>
        <v>41.250001449837931</v>
      </c>
      <c r="AA584" s="170">
        <f>IF(Escenarios!$F$14&gt;0,(Escenarios!$F$13*L584+Escenarios!$F$14*W584)/(Escenarios!$F$16),L584)</f>
        <v>2.8190351093712709E-5</v>
      </c>
      <c r="AB584" s="170">
        <f>IF(Escenarios!$F$14&gt;0,(Escenarios!$F$14*Y584)/(Escenarios!$F$16),K584)</f>
        <v>0</v>
      </c>
      <c r="AC584" s="170">
        <f>IF(Escenarios!$F$14&gt;0,(Escenarios!$F$13*M584+Escenarios!$F$14*U584)/(Escenarios!$F$16),M584)</f>
        <v>0</v>
      </c>
      <c r="AD584" s="76">
        <f t="shared" ref="AD584:AD647" si="127">AD583+AC584-AE583</f>
        <v>83.795642856733792</v>
      </c>
      <c r="AE584" s="76">
        <f>MAX(0,(AD584-Constantes!$D$13)*(1-EXP(-Constantes!$D$23)))</f>
        <v>0.34531306628919667</v>
      </c>
      <c r="AF584" s="76">
        <f>AB584+O584*Escenarios!$F$13/Escenarios!$F$16+AE584</f>
        <v>0.34531326055110212</v>
      </c>
      <c r="AG584" s="76">
        <f>IF(Entradas!$F$91&gt;0,IF(AF584-Escenarios!$F$38&lt;=0,0,IF(AF584-Escenarios!$F$38&gt;Escenarios!$F$37,Escenarios!$F$37,AF584-Escenarios!$F$38)),0)</f>
        <v>0</v>
      </c>
      <c r="AH584" s="76">
        <f>AG584*Entradas!$F$99</f>
        <v>0</v>
      </c>
      <c r="AI584" s="76">
        <f>IF(Entradas!$F$91&gt;0,D584*Entradas!$D$23/Escenarios!$F$16,0)</f>
        <v>0.14598325180665575</v>
      </c>
      <c r="AJ584" s="76">
        <f>IF(Entradas!$F$91&gt;0,Entradas!$D$24*Entradas!$D$22/Escenarios!$F$16,0)</f>
        <v>0.12</v>
      </c>
      <c r="AK584" s="76">
        <f t="shared" ref="AK584:AK647" si="128">AA584+AI584</f>
        <v>0.14601144215774947</v>
      </c>
      <c r="AL584" s="76">
        <f t="shared" ref="AL584:AL647" si="129">MAX(0,AB584-AG584)</f>
        <v>0</v>
      </c>
      <c r="AM584" s="76">
        <f t="shared" ref="AM584:AM647" si="130">AG584+AL584-AB584</f>
        <v>0</v>
      </c>
      <c r="AN584" s="76">
        <f>MAX(0,O584*Escenarios!$F$13/Escenarios!$F$16-AM584)</f>
        <v>1.9426190545613629E-7</v>
      </c>
      <c r="AO584" s="76">
        <f>AM584+AN584-O584*Escenarios!$F$13/Escenarios!$F$16</f>
        <v>0</v>
      </c>
      <c r="AP584" s="76">
        <f t="shared" ref="AP584:AP647" si="131">MAX(0,AE584-AO584)</f>
        <v>0.34531306628919667</v>
      </c>
      <c r="AQ584" s="76">
        <f t="shared" ref="AQ584:AQ647" si="132">AO584+AP584-AE584</f>
        <v>0</v>
      </c>
      <c r="AR584" s="76">
        <f t="shared" ref="AR584:AR647" si="133">AL584+AN584+AP584+AH584</f>
        <v>0.34531326055110212</v>
      </c>
      <c r="AS584" s="76">
        <f t="shared" ref="AS584:AS647" si="134">MAX(0,AG584-AH584-AI584-AJ584)</f>
        <v>0</v>
      </c>
      <c r="AT584" s="76">
        <f t="shared" ref="AT584:AT647" si="135">AC584+AS584</f>
        <v>0</v>
      </c>
      <c r="AU584" s="76">
        <f t="shared" ref="AU584:AU647" si="136">AU583+AS584-AV583</f>
        <v>50.883107306368721</v>
      </c>
      <c r="AV584" s="76">
        <f>MAX(0,(AU584-Constantes!$D$13)*(1-EXP(-Constantes!$D$24)))</f>
        <v>3.2605072195215808E-2</v>
      </c>
      <c r="AW584" s="170">
        <f>AW583+(Entradas!$F$112*AT584-AX583)/(800*Entradas!$D$25)</f>
        <v>0</v>
      </c>
      <c r="AX584" s="170">
        <f>8000*Entradas!$D$26*AW584/Constantes!$F$45</f>
        <v>0</v>
      </c>
      <c r="AY584" s="170">
        <f>IF(Escenarios!$F$17&gt;0,10*Escenarios!$F$16*AL584,0)</f>
        <v>0</v>
      </c>
      <c r="AZ584" s="170">
        <f>IF(Escenarios!$F$17&gt;0,10*Escenarios!$F$16*AX584,0)</f>
        <v>0</v>
      </c>
      <c r="BA584" s="170">
        <f>IF(Escenarios!$F$17&gt;0,0.001*Observaciones!$F583*Escenarios!$F$17,0)</f>
        <v>0</v>
      </c>
      <c r="BB584" s="170">
        <f>IF(Escenarios!$F$17&gt;0,Observaciones!$K583,0)</f>
        <v>0</v>
      </c>
      <c r="BC584" s="170">
        <f>IF(Escenarios!$F$17&gt;0,MIN(0.0005*ETo!$M583*Escenarios!$F$17*(BG583/Constantes!$F$40)^(2/3),BG583+AY584+AZ584+BA584+BB584),0)</f>
        <v>0</v>
      </c>
      <c r="BD584" s="170">
        <f>IF(Escenarios!$F$17&gt;0,MIN(Constantes!$F$39*(BG583/Constantes!$F$40)^(2/3),BG583+AY584+AZ584+BA584+BB584-BC584),0)</f>
        <v>0</v>
      </c>
      <c r="BE584" s="170">
        <f>IF(Escenarios!$F$17&gt;0,MIN(Entradas!$F$113,BG583+AY584+AZ584+BA584+BB584-BC584-BD584),0)</f>
        <v>0</v>
      </c>
      <c r="BF584" s="170">
        <f>IF(Escenarios!$F$17&gt;0,MAX(0,BG583+AY584+AZ584+BA584+BB584-BC584-BD584-BE584-Constantes!$F$40),0)</f>
        <v>0</v>
      </c>
      <c r="BG584" s="170">
        <f t="shared" ref="BG584:BG647" si="137">BG583+AY584+AZ584+BA584+BB584-BF584-BC584-BD584-BE584</f>
        <v>0</v>
      </c>
      <c r="BH584" s="170">
        <f>(Escenarios!$F$16*AK584+0.1*BC584)/(Escenarios!$F$19)</f>
        <v>0.14601144215774947</v>
      </c>
      <c r="BI584" s="170">
        <f>IF(Escenarios!$F$17&gt;0,BF584/10/Escenarios!$F$19,AL584)</f>
        <v>0</v>
      </c>
      <c r="BJ584" s="170">
        <f>(Escenarios!$F$16*AT584+0.1*BD584)/(Escenarios!$F$19)</f>
        <v>0</v>
      </c>
      <c r="BK584" s="76">
        <f>BK583+(0.1*BD584)/(Escenarios!$F$19)-BL583</f>
        <v>48.75</v>
      </c>
      <c r="BL584" s="76">
        <f>MAX(0,(BK584-Constantes!$D$13)*(1-EXP(-Constantes!$D$23)))</f>
        <v>0</v>
      </c>
      <c r="BM584" s="76">
        <f t="shared" ref="BM584:BM647" si="138">AP584+AV584+BL584</f>
        <v>0.37791813848441247</v>
      </c>
      <c r="BN584" s="76">
        <f t="shared" ref="BN584:BN647" si="139">AN584+AP584+AV584+BI584+BL584</f>
        <v>0.37791833274631792</v>
      </c>
      <c r="BO584" s="76">
        <f>0.0526*BI584*Observaciones!$F583^1.218</f>
        <v>0</v>
      </c>
      <c r="BP584" s="76">
        <f>BO584*Constantes!$F$51</f>
        <v>0</v>
      </c>
      <c r="BQ584" s="76">
        <f t="shared" ref="BQ584:BQ647" si="140">BP584*1000000/(BN584/1000*10000)</f>
        <v>0</v>
      </c>
      <c r="BR584" s="40"/>
    </row>
    <row r="585" spans="2:70">
      <c r="B585" s="39"/>
      <c r="C585" s="75">
        <v>579</v>
      </c>
      <c r="D585" s="146">
        <f>ETo!$I584*((1-Constantes!$F$19)*ETo!$K584+ETo!$L584)</f>
        <v>3.0199947022834124</v>
      </c>
      <c r="E585" s="76">
        <f>MIN(D585*Constantes!$F$17,0.8*(N584+Observaciones!$F584-F585-M585-Constantes!$D$14))</f>
        <v>0.32000518445976811</v>
      </c>
      <c r="F585" s="76">
        <f>IF(Observaciones!$F584&gt;0.05*Constantes!$F$18,((Observaciones!$F584-0.05*Constantes!$F$18)^2)/(Observaciones!$F584+0.95*Constantes!$F$18),0)</f>
        <v>0</v>
      </c>
      <c r="G585" s="76">
        <f>IF(Escenarios!$F$11&gt;0,(F585*Escenarios!$F$16*10000)/1000,0)</f>
        <v>0</v>
      </c>
      <c r="H585" s="76">
        <f>IF(Escenarios!$F$11&gt;0,(Observaciones!$F584*Constantes!$F$29)/1000,0)</f>
        <v>0</v>
      </c>
      <c r="I585" s="76">
        <f>IF(Escenarios!$F$11&gt;0,(D585*Constantes!$F$29)/1000,0)</f>
        <v>0</v>
      </c>
      <c r="J585" s="76">
        <f>IF(Escenarios!$F$11&gt;0,MAX(0,G585+H585-I585),0)</f>
        <v>0</v>
      </c>
      <c r="K585" s="76">
        <f>IF(Escenarios!$F$11&gt;0,IF(J585&gt;Constantes!$F$30,1000*((J585-Constantes!$F$30)/(Escenarios!$F$16*10000)),0),F585)</f>
        <v>0</v>
      </c>
      <c r="L585" s="76">
        <f>IF(Escenarios!$F$11&gt;0,I585*1000/Escenarios!$F$16/10000+E585,E585)</f>
        <v>0.32000518445976811</v>
      </c>
      <c r="M585" s="76">
        <f>MAX(0,N584+Observaciones!$F584-K585-Constantes!$D$13)</f>
        <v>0</v>
      </c>
      <c r="N585" s="76">
        <f>N584+Observaciones!$F584-K585-L585-M585-O584</f>
        <v>11.330001075362777</v>
      </c>
      <c r="O585" s="76">
        <f>MAX(0,(N585-Constantes!$D$14)*(1-EXP(-Constantes!$D$22)))</f>
        <v>2.725130316816263E-3</v>
      </c>
      <c r="P585" s="170">
        <f>P584+(Entradas!$F$83*M585-Q584)/(800*Entradas!$D$25)</f>
        <v>0</v>
      </c>
      <c r="Q585" s="170">
        <f>8000*Entradas!$D$26*P585/Constantes!$F$45</f>
        <v>0</v>
      </c>
      <c r="R585" s="170">
        <f>IF(Escenarios!$F$14&gt;0,K585*Escenarios!$F$13/Escenarios!$F$14,0)</f>
        <v>0</v>
      </c>
      <c r="S585" s="170">
        <f>IF(Escenarios!$F$14&gt;0,Q585*Escenarios!$F$13/Escenarios!$F$14,0)</f>
        <v>0</v>
      </c>
      <c r="T585" s="170">
        <f>IF(Escenarios!$F$14&gt;0,Observaciones!$I584,0)</f>
        <v>0</v>
      </c>
      <c r="U585" s="170">
        <f>IF(Escenarios!$F$14&gt;0,MAX(0,Constantes!$F$36/((Z584+R585+S585+T585+Observaciones!$F584)^2)+Entradas!$F$77),0)</f>
        <v>0</v>
      </c>
      <c r="V585" s="146">
        <f>IF(ETo!D584&gt;0,ETo!I584*((1-Entradas!$F$81)*ETo!K584+ETo!L584),0)</f>
        <v>2.6462055864044585</v>
      </c>
      <c r="W585" s="170">
        <f>IF(Escenarios!$F$14&gt;0,MIN(V585*1,0.8*(Z584+R585+S585+T585+Observaciones!$F584-U585-Constantes!$F$35)),0)</f>
        <v>0.32000115987034405</v>
      </c>
      <c r="X585" s="170">
        <f>IF(Escenarios!$F$14&gt;0,Observaciones!$J584,0)</f>
        <v>0</v>
      </c>
      <c r="Y585" s="170">
        <f>IF(Escenarios!$F$14&gt;0,MAX(0,Z584+R585+S585+T585+Observaciones!$F584-U585-W585-X585-Constantes!$F$33),0)</f>
        <v>0</v>
      </c>
      <c r="Z585" s="170">
        <f>Z584+R585+S585+T585+Observaciones!$F584-U585-W585-Y585</f>
        <v>41.330000289967586</v>
      </c>
      <c r="AA585" s="170">
        <f>IF(Escenarios!$F$14&gt;0,(Escenarios!$F$13*L585+Escenarios!$F$14*W585)/(Escenarios!$F$16),L585)</f>
        <v>0.3200047015090372</v>
      </c>
      <c r="AB585" s="170">
        <f>IF(Escenarios!$F$14&gt;0,(Escenarios!$F$14*Y585)/(Escenarios!$F$16),K585)</f>
        <v>0</v>
      </c>
      <c r="AC585" s="170">
        <f>IF(Escenarios!$F$14&gt;0,(Escenarios!$F$13*M585+Escenarios!$F$14*U585)/(Escenarios!$F$16),M585)</f>
        <v>0</v>
      </c>
      <c r="AD585" s="76">
        <f t="shared" si="127"/>
        <v>83.450329790444599</v>
      </c>
      <c r="AE585" s="76">
        <f>MAX(0,(AD585-Constantes!$D$13)*(1-EXP(-Constantes!$D$23)))</f>
        <v>0.34191061439988474</v>
      </c>
      <c r="AF585" s="76">
        <f>AB585+O585*Escenarios!$F$13/Escenarios!$F$16+AE585</f>
        <v>0.34430872907868304</v>
      </c>
      <c r="AG585" s="76">
        <f>IF(Entradas!$F$91&gt;0,IF(AF585-Escenarios!$F$38&lt;=0,0,IF(AF585-Escenarios!$F$38&gt;Escenarios!$F$37,Escenarios!$F$37,AF585-Escenarios!$F$38)),0)</f>
        <v>0</v>
      </c>
      <c r="AH585" s="76">
        <f>AG585*Entradas!$F$99</f>
        <v>0</v>
      </c>
      <c r="AI585" s="76">
        <f>IF(Entradas!$F$91&gt;0,D585*Entradas!$D$23/Escenarios!$F$16,0)</f>
        <v>0.14495974570960379</v>
      </c>
      <c r="AJ585" s="76">
        <f>IF(Entradas!$F$91&gt;0,Entradas!$D$24*Entradas!$D$22/Escenarios!$F$16,0)</f>
        <v>0.12</v>
      </c>
      <c r="AK585" s="76">
        <f t="shared" si="128"/>
        <v>0.464964447218641</v>
      </c>
      <c r="AL585" s="76">
        <f t="shared" si="129"/>
        <v>0</v>
      </c>
      <c r="AM585" s="76">
        <f t="shared" si="130"/>
        <v>0</v>
      </c>
      <c r="AN585" s="76">
        <f>MAX(0,O585*Escenarios!$F$13/Escenarios!$F$16-AM585)</f>
        <v>2.3981146787983116E-3</v>
      </c>
      <c r="AO585" s="76">
        <f>AM585+AN585-O585*Escenarios!$F$13/Escenarios!$F$16</f>
        <v>0</v>
      </c>
      <c r="AP585" s="76">
        <f t="shared" si="131"/>
        <v>0.34191061439988474</v>
      </c>
      <c r="AQ585" s="76">
        <f t="shared" si="132"/>
        <v>0</v>
      </c>
      <c r="AR585" s="76">
        <f t="shared" si="133"/>
        <v>0.34430872907868304</v>
      </c>
      <c r="AS585" s="76">
        <f t="shared" si="134"/>
        <v>0</v>
      </c>
      <c r="AT585" s="76">
        <f t="shared" si="135"/>
        <v>0</v>
      </c>
      <c r="AU585" s="76">
        <f t="shared" si="136"/>
        <v>50.850502234173504</v>
      </c>
      <c r="AV585" s="76">
        <f>MAX(0,(AU585-Constantes!$D$13)*(1-EXP(-Constantes!$D$24)))</f>
        <v>3.2106695611121214E-2</v>
      </c>
      <c r="AW585" s="170">
        <f>AW584+(Entradas!$F$112*AT585-AX584)/(800*Entradas!$D$25)</f>
        <v>0</v>
      </c>
      <c r="AX585" s="170">
        <f>8000*Entradas!$D$26*AW585/Constantes!$F$45</f>
        <v>0</v>
      </c>
      <c r="AY585" s="170">
        <f>IF(Escenarios!$F$17&gt;0,10*Escenarios!$F$16*AL585,0)</f>
        <v>0</v>
      </c>
      <c r="AZ585" s="170">
        <f>IF(Escenarios!$F$17&gt;0,10*Escenarios!$F$16*AX585,0)</f>
        <v>0</v>
      </c>
      <c r="BA585" s="170">
        <f>IF(Escenarios!$F$17&gt;0,0.001*Observaciones!$F584*Escenarios!$F$17,0)</f>
        <v>0</v>
      </c>
      <c r="BB585" s="170">
        <f>IF(Escenarios!$F$17&gt;0,Observaciones!$K584,0)</f>
        <v>0</v>
      </c>
      <c r="BC585" s="170">
        <f>IF(Escenarios!$F$17&gt;0,MIN(0.0005*ETo!$M584*Escenarios!$F$17*(BG584/Constantes!$F$40)^(2/3),BG584+AY585+AZ585+BA585+BB585),0)</f>
        <v>0</v>
      </c>
      <c r="BD585" s="170">
        <f>IF(Escenarios!$F$17&gt;0,MIN(Constantes!$F$39*(BG584/Constantes!$F$40)^(2/3),BG584+AY585+AZ585+BA585+BB585-BC585),0)</f>
        <v>0</v>
      </c>
      <c r="BE585" s="170">
        <f>IF(Escenarios!$F$17&gt;0,MIN(Entradas!$F$113,BG584+AY585+AZ585+BA585+BB585-BC585-BD585),0)</f>
        <v>0</v>
      </c>
      <c r="BF585" s="170">
        <f>IF(Escenarios!$F$17&gt;0,MAX(0,BG584+AY585+AZ585+BA585+BB585-BC585-BD585-BE585-Constantes!$F$40),0)</f>
        <v>0</v>
      </c>
      <c r="BG585" s="170">
        <f t="shared" si="137"/>
        <v>0</v>
      </c>
      <c r="BH585" s="170">
        <f>(Escenarios!$F$16*AK585+0.1*BC585)/(Escenarios!$F$19)</f>
        <v>0.464964447218641</v>
      </c>
      <c r="BI585" s="170">
        <f>IF(Escenarios!$F$17&gt;0,BF585/10/Escenarios!$F$19,AL585)</f>
        <v>0</v>
      </c>
      <c r="BJ585" s="170">
        <f>(Escenarios!$F$16*AT585+0.1*BD585)/(Escenarios!$F$19)</f>
        <v>0</v>
      </c>
      <c r="BK585" s="76">
        <f>BK584+(0.1*BD585)/(Escenarios!$F$19)-BL584</f>
        <v>48.75</v>
      </c>
      <c r="BL585" s="76">
        <f>MAX(0,(BK585-Constantes!$D$13)*(1-EXP(-Constantes!$D$23)))</f>
        <v>0</v>
      </c>
      <c r="BM585" s="76">
        <f t="shared" si="138"/>
        <v>0.37401731001100597</v>
      </c>
      <c r="BN585" s="76">
        <f t="shared" si="139"/>
        <v>0.37641542468980427</v>
      </c>
      <c r="BO585" s="76">
        <f>0.0526*BI585*Observaciones!$F584^1.218</f>
        <v>0</v>
      </c>
      <c r="BP585" s="76">
        <f>BO585*Constantes!$F$51</f>
        <v>0</v>
      </c>
      <c r="BQ585" s="76">
        <f t="shared" si="140"/>
        <v>0</v>
      </c>
      <c r="BR585" s="40"/>
    </row>
    <row r="586" spans="2:70">
      <c r="B586" s="39"/>
      <c r="C586" s="75">
        <v>580</v>
      </c>
      <c r="D586" s="146">
        <f>ETo!$I585*((1-Constantes!$F$19)*ETo!$K585+ETo!$L585)</f>
        <v>3.0362196404695423</v>
      </c>
      <c r="E586" s="76">
        <f>MIN(D586*Constantes!$F$17,0.8*(N585+Observaciones!$F585-F586-M586-Constantes!$D$14))</f>
        <v>6.400086029022134E-2</v>
      </c>
      <c r="F586" s="76">
        <f>IF(Observaciones!$F585&gt;0.05*Constantes!$F$18,((Observaciones!$F585-0.05*Constantes!$F$18)^2)/(Observaciones!$F585+0.95*Constantes!$F$18),0)</f>
        <v>0</v>
      </c>
      <c r="G586" s="76">
        <f>IF(Escenarios!$F$11&gt;0,(F586*Escenarios!$F$16*10000)/1000,0)</f>
        <v>0</v>
      </c>
      <c r="H586" s="76">
        <f>IF(Escenarios!$F$11&gt;0,(Observaciones!$F585*Constantes!$F$29)/1000,0)</f>
        <v>0</v>
      </c>
      <c r="I586" s="76">
        <f>IF(Escenarios!$F$11&gt;0,(D586*Constantes!$F$29)/1000,0)</f>
        <v>0</v>
      </c>
      <c r="J586" s="76">
        <f>IF(Escenarios!$F$11&gt;0,MAX(0,G586+H586-I586),0)</f>
        <v>0</v>
      </c>
      <c r="K586" s="76">
        <f>IF(Escenarios!$F$11&gt;0,IF(J586&gt;Constantes!$F$30,1000*((J586-Constantes!$F$30)/(Escenarios!$F$16*10000)),0),F586)</f>
        <v>0</v>
      </c>
      <c r="L586" s="76">
        <f>IF(Escenarios!$F$11&gt;0,I586*1000/Escenarios!$F$16/10000+E586,E586)</f>
        <v>6.400086029022134E-2</v>
      </c>
      <c r="M586" s="76">
        <f>MAX(0,N585+Observaciones!$F585-K586-Constantes!$D$13)</f>
        <v>0</v>
      </c>
      <c r="N586" s="76">
        <f>N585+Observaciones!$F585-K586-L586-M586-O585</f>
        <v>11.263275084755739</v>
      </c>
      <c r="O586" s="76">
        <f>MAX(0,(N586-Constantes!$D$14)*(1-EXP(-Constantes!$D$22)))</f>
        <v>4.5219812061427525E-4</v>
      </c>
      <c r="P586" s="170">
        <f>P585+(Entradas!$F$83*M586-Q585)/(800*Entradas!$D$25)</f>
        <v>0</v>
      </c>
      <c r="Q586" s="170">
        <f>8000*Entradas!$D$26*P586/Constantes!$F$45</f>
        <v>0</v>
      </c>
      <c r="R586" s="170">
        <f>IF(Escenarios!$F$14&gt;0,K586*Escenarios!$F$13/Escenarios!$F$14,0)</f>
        <v>0</v>
      </c>
      <c r="S586" s="170">
        <f>IF(Escenarios!$F$14&gt;0,Q586*Escenarios!$F$13/Escenarios!$F$14,0)</f>
        <v>0</v>
      </c>
      <c r="T586" s="170">
        <f>IF(Escenarios!$F$14&gt;0,Observaciones!$I585,0)</f>
        <v>0</v>
      </c>
      <c r="U586" s="170">
        <f>IF(Escenarios!$F$14&gt;0,MAX(0,Constantes!$F$36/((Z585+R586+S586+T586+Observaciones!$F585)^2)+Entradas!$F$77),0)</f>
        <v>0</v>
      </c>
      <c r="V586" s="146">
        <f>IF(ETo!D585&gt;0,ETo!I585*((1-Entradas!$F$81)*ETo!K585+ETo!L585),0)</f>
        <v>2.6610874375267977</v>
      </c>
      <c r="W586" s="170">
        <f>IF(Escenarios!$F$14&gt;0,MIN(V586*1,0.8*(Z585+R586+S586+T586+Observaciones!$F585-U586-Constantes!$F$35)),0)</f>
        <v>6.4000231974068816E-2</v>
      </c>
      <c r="X586" s="170">
        <f>IF(Escenarios!$F$14&gt;0,Observaciones!$J585,0)</f>
        <v>0</v>
      </c>
      <c r="Y586" s="170">
        <f>IF(Escenarios!$F$14&gt;0,MAX(0,Z585+R586+S586+T586+Observaciones!$F585-U586-W586-X586-Constantes!$F$33),0)</f>
        <v>0</v>
      </c>
      <c r="Z586" s="170">
        <f>Z585+R586+S586+T586+Observaciones!$F585-U586-W586-Y586</f>
        <v>41.266000057993516</v>
      </c>
      <c r="AA586" s="170">
        <f>IF(Escenarios!$F$14&gt;0,(Escenarios!$F$13*L586+Escenarios!$F$14*W586)/(Escenarios!$F$16),L586)</f>
        <v>6.400078489228303E-2</v>
      </c>
      <c r="AB586" s="170">
        <f>IF(Escenarios!$F$14&gt;0,(Escenarios!$F$14*Y586)/(Escenarios!$F$16),K586)</f>
        <v>0</v>
      </c>
      <c r="AC586" s="170">
        <f>IF(Escenarios!$F$14&gt;0,(Escenarios!$F$13*M586+Escenarios!$F$14*U586)/(Escenarios!$F$16),M586)</f>
        <v>0</v>
      </c>
      <c r="AD586" s="76">
        <f t="shared" si="127"/>
        <v>83.10841917604472</v>
      </c>
      <c r="AE586" s="76">
        <f>MAX(0,(AD586-Constantes!$D$13)*(1-EXP(-Constantes!$D$23)))</f>
        <v>0.3385416876794391</v>
      </c>
      <c r="AF586" s="76">
        <f>AB586+O586*Escenarios!$F$13/Escenarios!$F$16+AE586</f>
        <v>0.33893962202557965</v>
      </c>
      <c r="AG586" s="76">
        <f>IF(Entradas!$F$91&gt;0,IF(AF586-Escenarios!$F$38&lt;=0,0,IF(AF586-Escenarios!$F$38&gt;Escenarios!$F$37,Escenarios!$F$37,AF586-Escenarios!$F$38)),0)</f>
        <v>0</v>
      </c>
      <c r="AH586" s="76">
        <f>AG586*Entradas!$F$99</f>
        <v>0</v>
      </c>
      <c r="AI586" s="76">
        <f>IF(Entradas!$F$91&gt;0,D586*Entradas!$D$23/Escenarios!$F$16,0)</f>
        <v>0.145738542742538</v>
      </c>
      <c r="AJ586" s="76">
        <f>IF(Entradas!$F$91&gt;0,Entradas!$D$24*Entradas!$D$22/Escenarios!$F$16,0)</f>
        <v>0.12</v>
      </c>
      <c r="AK586" s="76">
        <f t="shared" si="128"/>
        <v>0.20973932763482103</v>
      </c>
      <c r="AL586" s="76">
        <f t="shared" si="129"/>
        <v>0</v>
      </c>
      <c r="AM586" s="76">
        <f t="shared" si="130"/>
        <v>0</v>
      </c>
      <c r="AN586" s="76">
        <f>MAX(0,O586*Escenarios!$F$13/Escenarios!$F$16-AM586)</f>
        <v>3.9793434614056225E-4</v>
      </c>
      <c r="AO586" s="76">
        <f>AM586+AN586-O586*Escenarios!$F$13/Escenarios!$F$16</f>
        <v>0</v>
      </c>
      <c r="AP586" s="76">
        <f t="shared" si="131"/>
        <v>0.3385416876794391</v>
      </c>
      <c r="AQ586" s="76">
        <f t="shared" si="132"/>
        <v>0</v>
      </c>
      <c r="AR586" s="76">
        <f t="shared" si="133"/>
        <v>0.33893962202557965</v>
      </c>
      <c r="AS586" s="76">
        <f t="shared" si="134"/>
        <v>0</v>
      </c>
      <c r="AT586" s="76">
        <f t="shared" si="135"/>
        <v>0</v>
      </c>
      <c r="AU586" s="76">
        <f t="shared" si="136"/>
        <v>50.818395538562385</v>
      </c>
      <c r="AV586" s="76">
        <f>MAX(0,(AU586-Constantes!$D$13)*(1-EXP(-Constantes!$D$24)))</f>
        <v>3.1615936836246236E-2</v>
      </c>
      <c r="AW586" s="170">
        <f>AW585+(Entradas!$F$112*AT586-AX585)/(800*Entradas!$D$25)</f>
        <v>0</v>
      </c>
      <c r="AX586" s="170">
        <f>8000*Entradas!$D$26*AW586/Constantes!$F$45</f>
        <v>0</v>
      </c>
      <c r="AY586" s="170">
        <f>IF(Escenarios!$F$17&gt;0,10*Escenarios!$F$16*AL586,0)</f>
        <v>0</v>
      </c>
      <c r="AZ586" s="170">
        <f>IF(Escenarios!$F$17&gt;0,10*Escenarios!$F$16*AX586,0)</f>
        <v>0</v>
      </c>
      <c r="BA586" s="170">
        <f>IF(Escenarios!$F$17&gt;0,0.001*Observaciones!$F585*Escenarios!$F$17,0)</f>
        <v>0</v>
      </c>
      <c r="BB586" s="170">
        <f>IF(Escenarios!$F$17&gt;0,Observaciones!$K585,0)</f>
        <v>0</v>
      </c>
      <c r="BC586" s="170">
        <f>IF(Escenarios!$F$17&gt;0,MIN(0.0005*ETo!$M585*Escenarios!$F$17*(BG585/Constantes!$F$40)^(2/3),BG585+AY586+AZ586+BA586+BB586),0)</f>
        <v>0</v>
      </c>
      <c r="BD586" s="170">
        <f>IF(Escenarios!$F$17&gt;0,MIN(Constantes!$F$39*(BG585/Constantes!$F$40)^(2/3),BG585+AY586+AZ586+BA586+BB586-BC586),0)</f>
        <v>0</v>
      </c>
      <c r="BE586" s="170">
        <f>IF(Escenarios!$F$17&gt;0,MIN(Entradas!$F$113,BG585+AY586+AZ586+BA586+BB586-BC586-BD586),0)</f>
        <v>0</v>
      </c>
      <c r="BF586" s="170">
        <f>IF(Escenarios!$F$17&gt;0,MAX(0,BG585+AY586+AZ586+BA586+BB586-BC586-BD586-BE586-Constantes!$F$40),0)</f>
        <v>0</v>
      </c>
      <c r="BG586" s="170">
        <f t="shared" si="137"/>
        <v>0</v>
      </c>
      <c r="BH586" s="170">
        <f>(Escenarios!$F$16*AK586+0.1*BC586)/(Escenarios!$F$19)</f>
        <v>0.20973932763482103</v>
      </c>
      <c r="BI586" s="170">
        <f>IF(Escenarios!$F$17&gt;0,BF586/10/Escenarios!$F$19,AL586)</f>
        <v>0</v>
      </c>
      <c r="BJ586" s="170">
        <f>(Escenarios!$F$16*AT586+0.1*BD586)/(Escenarios!$F$19)</f>
        <v>0</v>
      </c>
      <c r="BK586" s="76">
        <f>BK585+(0.1*BD586)/(Escenarios!$F$19)-BL585</f>
        <v>48.75</v>
      </c>
      <c r="BL586" s="76">
        <f>MAX(0,(BK586-Constantes!$D$13)*(1-EXP(-Constantes!$D$23)))</f>
        <v>0</v>
      </c>
      <c r="BM586" s="76">
        <f t="shared" si="138"/>
        <v>0.37015762451568535</v>
      </c>
      <c r="BN586" s="76">
        <f t="shared" si="139"/>
        <v>0.3705555588618259</v>
      </c>
      <c r="BO586" s="76">
        <f>0.0526*BI586*Observaciones!$F585^1.218</f>
        <v>0</v>
      </c>
      <c r="BP586" s="76">
        <f>BO586*Constantes!$F$51</f>
        <v>0</v>
      </c>
      <c r="BQ586" s="76">
        <f t="shared" si="140"/>
        <v>0</v>
      </c>
      <c r="BR586" s="40"/>
    </row>
    <row r="587" spans="2:70">
      <c r="B587" s="39"/>
      <c r="C587" s="75">
        <v>581</v>
      </c>
      <c r="D587" s="146">
        <f>ETo!$I586*((1-Constantes!$F$19)*ETo!$K586+ETo!$L586)</f>
        <v>3.0526588513505604</v>
      </c>
      <c r="E587" s="76">
        <f>MIN(D587*Constantes!$F$17,0.8*(N586+Observaciones!$F586-F587-M587-Constantes!$D$14))</f>
        <v>1.0620067804590861E-2</v>
      </c>
      <c r="F587" s="76">
        <f>IF(Observaciones!$F586&gt;0.05*Constantes!$F$18,((Observaciones!$F586-0.05*Constantes!$F$18)^2)/(Observaciones!$F586+0.95*Constantes!$F$18),0)</f>
        <v>0</v>
      </c>
      <c r="G587" s="76">
        <f>IF(Escenarios!$F$11&gt;0,(F587*Escenarios!$F$16*10000)/1000,0)</f>
        <v>0</v>
      </c>
      <c r="H587" s="76">
        <f>IF(Escenarios!$F$11&gt;0,(Observaciones!$F586*Constantes!$F$29)/1000,0)</f>
        <v>0</v>
      </c>
      <c r="I587" s="76">
        <f>IF(Escenarios!$F$11&gt;0,(D587*Constantes!$F$29)/1000,0)</f>
        <v>0</v>
      </c>
      <c r="J587" s="76">
        <f>IF(Escenarios!$F$11&gt;0,MAX(0,G587+H587-I587),0)</f>
        <v>0</v>
      </c>
      <c r="K587" s="76">
        <f>IF(Escenarios!$F$11&gt;0,IF(J587&gt;Constantes!$F$30,1000*((J587-Constantes!$F$30)/(Escenarios!$F$16*10000)),0),F587)</f>
        <v>0</v>
      </c>
      <c r="L587" s="76">
        <f>IF(Escenarios!$F$11&gt;0,I587*1000/Escenarios!$F$16/10000+E587,E587)</f>
        <v>1.0620067804590861E-2</v>
      </c>
      <c r="M587" s="76">
        <f>MAX(0,N586+Observaciones!$F586-K587-Constantes!$D$13)</f>
        <v>0</v>
      </c>
      <c r="N587" s="76">
        <f>N586+Observaciones!$F586-K587-L587-M587-O586</f>
        <v>11.252202818830533</v>
      </c>
      <c r="O587" s="76">
        <f>MAX(0,(N587-Constantes!$D$14)*(1-EXP(-Constantes!$D$22)))</f>
        <v>7.5036096081423841E-5</v>
      </c>
      <c r="P587" s="170">
        <f>P586+(Entradas!$F$83*M587-Q586)/(800*Entradas!$D$25)</f>
        <v>0</v>
      </c>
      <c r="Q587" s="170">
        <f>8000*Entradas!$D$26*P587/Constantes!$F$45</f>
        <v>0</v>
      </c>
      <c r="R587" s="170">
        <f>IF(Escenarios!$F$14&gt;0,K587*Escenarios!$F$13/Escenarios!$F$14,0)</f>
        <v>0</v>
      </c>
      <c r="S587" s="170">
        <f>IF(Escenarios!$F$14&gt;0,Q587*Escenarios!$F$13/Escenarios!$F$14,0)</f>
        <v>0</v>
      </c>
      <c r="T587" s="170">
        <f>IF(Escenarios!$F$14&gt;0,Observaciones!$I586,0)</f>
        <v>0</v>
      </c>
      <c r="U587" s="170">
        <f>IF(Escenarios!$F$14&gt;0,MAX(0,Constantes!$F$36/((Z586+R587+S587+T587+Observaciones!$F586)^2)+Entradas!$F$77),0)</f>
        <v>0</v>
      </c>
      <c r="V587" s="146">
        <f>IF(ETo!D586&gt;0,ETo!I586*((1-Entradas!$F$81)*ETo!K586+ETo!L586),0)</f>
        <v>2.6761658240262403</v>
      </c>
      <c r="W587" s="170">
        <f>IF(Escenarios!$F$14&gt;0,MIN(V587*1,0.8*(Z586+R587+S587+T587+Observaciones!$F586-U587-Constantes!$F$35)),0)</f>
        <v>1.2800046394812626E-2</v>
      </c>
      <c r="X587" s="170">
        <f>IF(Escenarios!$F$14&gt;0,Observaciones!$J586,0)</f>
        <v>0</v>
      </c>
      <c r="Y587" s="170">
        <f>IF(Escenarios!$F$14&gt;0,MAX(0,Z586+R587+S587+T587+Observaciones!$F586-U587-W587-X587-Constantes!$F$33),0)</f>
        <v>0</v>
      </c>
      <c r="Z587" s="170">
        <f>Z586+R587+S587+T587+Observaciones!$F586-U587-W587-Y587</f>
        <v>41.2532000115987</v>
      </c>
      <c r="AA587" s="170">
        <f>IF(Escenarios!$F$14&gt;0,(Escenarios!$F$13*L587+Escenarios!$F$14*W587)/(Escenarios!$F$16),L587)</f>
        <v>1.0881665235417474E-2</v>
      </c>
      <c r="AB587" s="170">
        <f>IF(Escenarios!$F$14&gt;0,(Escenarios!$F$14*Y587)/(Escenarios!$F$16),K587)</f>
        <v>0</v>
      </c>
      <c r="AC587" s="170">
        <f>IF(Escenarios!$F$14&gt;0,(Escenarios!$F$13*M587+Escenarios!$F$14*U587)/(Escenarios!$F$16),M587)</f>
        <v>0</v>
      </c>
      <c r="AD587" s="76">
        <f t="shared" si="127"/>
        <v>82.769877488365282</v>
      </c>
      <c r="AE587" s="76">
        <f>MAX(0,(AD587-Constantes!$D$13)*(1-EXP(-Constantes!$D$23)))</f>
        <v>0.33520595579638579</v>
      </c>
      <c r="AF587" s="76">
        <f>AB587+O587*Escenarios!$F$13/Escenarios!$F$16+AE587</f>
        <v>0.33527198756093746</v>
      </c>
      <c r="AG587" s="76">
        <f>IF(Entradas!$F$91&gt;0,IF(AF587-Escenarios!$F$38&lt;=0,0,IF(AF587-Escenarios!$F$38&gt;Escenarios!$F$37,Escenarios!$F$37,AF587-Escenarios!$F$38)),0)</f>
        <v>0</v>
      </c>
      <c r="AH587" s="76">
        <f>AG587*Entradas!$F$99</f>
        <v>0</v>
      </c>
      <c r="AI587" s="76">
        <f>IF(Entradas!$F$91&gt;0,D587*Entradas!$D$23/Escenarios!$F$16,0)</f>
        <v>0.1465276248648269</v>
      </c>
      <c r="AJ587" s="76">
        <f>IF(Entradas!$F$91&gt;0,Entradas!$D$24*Entradas!$D$22/Escenarios!$F$16,0)</f>
        <v>0.12</v>
      </c>
      <c r="AK587" s="76">
        <f t="shared" si="128"/>
        <v>0.15740929010024438</v>
      </c>
      <c r="AL587" s="76">
        <f t="shared" si="129"/>
        <v>0</v>
      </c>
      <c r="AM587" s="76">
        <f t="shared" si="130"/>
        <v>0</v>
      </c>
      <c r="AN587" s="76">
        <f>MAX(0,O587*Escenarios!$F$13/Escenarios!$F$16-AM587)</f>
        <v>6.6031764551652977E-5</v>
      </c>
      <c r="AO587" s="76">
        <f>AM587+AN587-O587*Escenarios!$F$13/Escenarios!$F$16</f>
        <v>0</v>
      </c>
      <c r="AP587" s="76">
        <f t="shared" si="131"/>
        <v>0.33520595579638579</v>
      </c>
      <c r="AQ587" s="76">
        <f t="shared" si="132"/>
        <v>0</v>
      </c>
      <c r="AR587" s="76">
        <f t="shared" si="133"/>
        <v>0.33527198756093746</v>
      </c>
      <c r="AS587" s="76">
        <f t="shared" si="134"/>
        <v>0</v>
      </c>
      <c r="AT587" s="76">
        <f t="shared" si="135"/>
        <v>0</v>
      </c>
      <c r="AU587" s="76">
        <f t="shared" si="136"/>
        <v>50.786779601726138</v>
      </c>
      <c r="AV587" s="76">
        <f>MAX(0,(AU587-Constantes!$D$13)*(1-EXP(-Constantes!$D$24)))</f>
        <v>3.1132679430494792E-2</v>
      </c>
      <c r="AW587" s="170">
        <f>AW586+(Entradas!$F$112*AT587-AX586)/(800*Entradas!$D$25)</f>
        <v>0</v>
      </c>
      <c r="AX587" s="170">
        <f>8000*Entradas!$D$26*AW587/Constantes!$F$45</f>
        <v>0</v>
      </c>
      <c r="AY587" s="170">
        <f>IF(Escenarios!$F$17&gt;0,10*Escenarios!$F$16*AL587,0)</f>
        <v>0</v>
      </c>
      <c r="AZ587" s="170">
        <f>IF(Escenarios!$F$17&gt;0,10*Escenarios!$F$16*AX587,0)</f>
        <v>0</v>
      </c>
      <c r="BA587" s="170">
        <f>IF(Escenarios!$F$17&gt;0,0.001*Observaciones!$F586*Escenarios!$F$17,0)</f>
        <v>0</v>
      </c>
      <c r="BB587" s="170">
        <f>IF(Escenarios!$F$17&gt;0,Observaciones!$K586,0)</f>
        <v>0</v>
      </c>
      <c r="BC587" s="170">
        <f>IF(Escenarios!$F$17&gt;0,MIN(0.0005*ETo!$M586*Escenarios!$F$17*(BG586/Constantes!$F$40)^(2/3),BG586+AY587+AZ587+BA587+BB587),0)</f>
        <v>0</v>
      </c>
      <c r="BD587" s="170">
        <f>IF(Escenarios!$F$17&gt;0,MIN(Constantes!$F$39*(BG586/Constantes!$F$40)^(2/3),BG586+AY587+AZ587+BA587+BB587-BC587),0)</f>
        <v>0</v>
      </c>
      <c r="BE587" s="170">
        <f>IF(Escenarios!$F$17&gt;0,MIN(Entradas!$F$113,BG586+AY587+AZ587+BA587+BB587-BC587-BD587),0)</f>
        <v>0</v>
      </c>
      <c r="BF587" s="170">
        <f>IF(Escenarios!$F$17&gt;0,MAX(0,BG586+AY587+AZ587+BA587+BB587-BC587-BD587-BE587-Constantes!$F$40),0)</f>
        <v>0</v>
      </c>
      <c r="BG587" s="170">
        <f t="shared" si="137"/>
        <v>0</v>
      </c>
      <c r="BH587" s="170">
        <f>(Escenarios!$F$16*AK587+0.1*BC587)/(Escenarios!$F$19)</f>
        <v>0.15740929010024438</v>
      </c>
      <c r="BI587" s="170">
        <f>IF(Escenarios!$F$17&gt;0,BF587/10/Escenarios!$F$19,AL587)</f>
        <v>0</v>
      </c>
      <c r="BJ587" s="170">
        <f>(Escenarios!$F$16*AT587+0.1*BD587)/(Escenarios!$F$19)</f>
        <v>0</v>
      </c>
      <c r="BK587" s="76">
        <f>BK586+(0.1*BD587)/(Escenarios!$F$19)-BL586</f>
        <v>48.75</v>
      </c>
      <c r="BL587" s="76">
        <f>MAX(0,(BK587-Constantes!$D$13)*(1-EXP(-Constantes!$D$23)))</f>
        <v>0</v>
      </c>
      <c r="BM587" s="76">
        <f t="shared" si="138"/>
        <v>0.36633863522688059</v>
      </c>
      <c r="BN587" s="76">
        <f t="shared" si="139"/>
        <v>0.36640466699143226</v>
      </c>
      <c r="BO587" s="76">
        <f>0.0526*BI587*Observaciones!$F586^1.218</f>
        <v>0</v>
      </c>
      <c r="BP587" s="76">
        <f>BO587*Constantes!$F$51</f>
        <v>0</v>
      </c>
      <c r="BQ587" s="76">
        <f t="shared" si="140"/>
        <v>0</v>
      </c>
      <c r="BR587" s="40"/>
    </row>
    <row r="588" spans="2:70">
      <c r="B588" s="39"/>
      <c r="C588" s="75">
        <v>582</v>
      </c>
      <c r="D588" s="146">
        <f>ETo!$I587*((1-Constantes!$F$19)*ETo!$K587+ETo!$L587)</f>
        <v>3.1663756323493346</v>
      </c>
      <c r="E588" s="76">
        <f>MIN(D588*Constantes!$F$17,0.8*(N587+Observaciones!$F587-F588-M588-Constantes!$D$14))</f>
        <v>1.7622550644261993E-3</v>
      </c>
      <c r="F588" s="76">
        <f>IF(Observaciones!$F587&gt;0.05*Constantes!$F$18,((Observaciones!$F587-0.05*Constantes!$F$18)^2)/(Observaciones!$F587+0.95*Constantes!$F$18),0)</f>
        <v>0</v>
      </c>
      <c r="G588" s="76">
        <f>IF(Escenarios!$F$11&gt;0,(F588*Escenarios!$F$16*10000)/1000,0)</f>
        <v>0</v>
      </c>
      <c r="H588" s="76">
        <f>IF(Escenarios!$F$11&gt;0,(Observaciones!$F587*Constantes!$F$29)/1000,0)</f>
        <v>0</v>
      </c>
      <c r="I588" s="76">
        <f>IF(Escenarios!$F$11&gt;0,(D588*Constantes!$F$29)/1000,0)</f>
        <v>0</v>
      </c>
      <c r="J588" s="76">
        <f>IF(Escenarios!$F$11&gt;0,MAX(0,G588+H588-I588),0)</f>
        <v>0</v>
      </c>
      <c r="K588" s="76">
        <f>IF(Escenarios!$F$11&gt;0,IF(J588&gt;Constantes!$F$30,1000*((J588-Constantes!$F$30)/(Escenarios!$F$16*10000)),0),F588)</f>
        <v>0</v>
      </c>
      <c r="L588" s="76">
        <f>IF(Escenarios!$F$11&gt;0,I588*1000/Escenarios!$F$16/10000+E588,E588)</f>
        <v>1.7622550644261993E-3</v>
      </c>
      <c r="M588" s="76">
        <f>MAX(0,N587+Observaciones!$F587-K588-Constantes!$D$13)</f>
        <v>0</v>
      </c>
      <c r="N588" s="76">
        <f>N587+Observaciones!$F587-K588-L588-M588-O587</f>
        <v>11.250365527670025</v>
      </c>
      <c r="O588" s="76">
        <f>MAX(0,(N588-Constantes!$D$14)*(1-EXP(-Constantes!$D$22)))</f>
        <v>1.2451214320612823E-5</v>
      </c>
      <c r="P588" s="170">
        <f>P587+(Entradas!$F$83*M588-Q587)/(800*Entradas!$D$25)</f>
        <v>0</v>
      </c>
      <c r="Q588" s="170">
        <f>8000*Entradas!$D$26*P588/Constantes!$F$45</f>
        <v>0</v>
      </c>
      <c r="R588" s="170">
        <f>IF(Escenarios!$F$14&gt;0,K588*Escenarios!$F$13/Escenarios!$F$14,0)</f>
        <v>0</v>
      </c>
      <c r="S588" s="170">
        <f>IF(Escenarios!$F$14&gt;0,Q588*Escenarios!$F$13/Escenarios!$F$14,0)</f>
        <v>0</v>
      </c>
      <c r="T588" s="170">
        <f>IF(Escenarios!$F$14&gt;0,Observaciones!$I587,0)</f>
        <v>0</v>
      </c>
      <c r="U588" s="170">
        <f>IF(Escenarios!$F$14&gt;0,MAX(0,Constantes!$F$36/((Z587+R588+S588+T588+Observaciones!$F587)^2)+Entradas!$F$77),0)</f>
        <v>0</v>
      </c>
      <c r="V588" s="146">
        <f>IF(ETo!D587&gt;0,ETo!I587*((1-Entradas!$F$81)*ETo!K587+ETo!L587),0)</f>
        <v>2.7780305413683415</v>
      </c>
      <c r="W588" s="170">
        <f>IF(Escenarios!$F$14&gt;0,MIN(V588*1,0.8*(Z587+R588+S588+T588+Observaciones!$F587-U588-Constantes!$F$35)),0)</f>
        <v>2.5600092789602514E-3</v>
      </c>
      <c r="X588" s="170">
        <f>IF(Escenarios!$F$14&gt;0,Observaciones!$J587,0)</f>
        <v>0</v>
      </c>
      <c r="Y588" s="170">
        <f>IF(Escenarios!$F$14&gt;0,MAX(0,Z587+R588+S588+T588+Observaciones!$F587-U588-W588-X588-Constantes!$F$33),0)</f>
        <v>0</v>
      </c>
      <c r="Z588" s="170">
        <f>Z587+R588+S588+T588+Observaciones!$F587-U588-W588-Y588</f>
        <v>41.250640002319741</v>
      </c>
      <c r="AA588" s="170">
        <f>IF(Escenarios!$F$14&gt;0,(Escenarios!$F$13*L588+Escenarios!$F$14*W588)/(Escenarios!$F$16),L588)</f>
        <v>1.8579855701702857E-3</v>
      </c>
      <c r="AB588" s="170">
        <f>IF(Escenarios!$F$14&gt;0,(Escenarios!$F$14*Y588)/(Escenarios!$F$16),K588)</f>
        <v>0</v>
      </c>
      <c r="AC588" s="170">
        <f>IF(Escenarios!$F$14&gt;0,(Escenarios!$F$13*M588+Escenarios!$F$14*U588)/(Escenarios!$F$16),M588)</f>
        <v>0</v>
      </c>
      <c r="AD588" s="76">
        <f t="shared" si="127"/>
        <v>82.434671532568899</v>
      </c>
      <c r="AE588" s="76">
        <f>MAX(0,(AD588-Constantes!$D$13)*(1-EXP(-Constantes!$D$23)))</f>
        <v>0.33190309167408566</v>
      </c>
      <c r="AF588" s="76">
        <f>AB588+O588*Escenarios!$F$13/Escenarios!$F$16+AE588</f>
        <v>0.33191404874268782</v>
      </c>
      <c r="AG588" s="76">
        <f>IF(Entradas!$F$91&gt;0,IF(AF588-Escenarios!$F$38&lt;=0,0,IF(AF588-Escenarios!$F$38&gt;Escenarios!$F$37,Escenarios!$F$37,AF588-Escenarios!$F$38)),0)</f>
        <v>0</v>
      </c>
      <c r="AH588" s="76">
        <f>AG588*Entradas!$F$99</f>
        <v>0</v>
      </c>
      <c r="AI588" s="76">
        <f>IF(Entradas!$F$91&gt;0,D588*Entradas!$D$23/Escenarios!$F$16,0)</f>
        <v>0.15198603035276806</v>
      </c>
      <c r="AJ588" s="76">
        <f>IF(Entradas!$F$91&gt;0,Entradas!$D$24*Entradas!$D$22/Escenarios!$F$16,0)</f>
        <v>0.12</v>
      </c>
      <c r="AK588" s="76">
        <f t="shared" si="128"/>
        <v>0.15384401592293834</v>
      </c>
      <c r="AL588" s="76">
        <f t="shared" si="129"/>
        <v>0</v>
      </c>
      <c r="AM588" s="76">
        <f t="shared" si="130"/>
        <v>0</v>
      </c>
      <c r="AN588" s="76">
        <f>MAX(0,O588*Escenarios!$F$13/Escenarios!$F$16-AM588)</f>
        <v>1.0957068602139284E-5</v>
      </c>
      <c r="AO588" s="76">
        <f>AM588+AN588-O588*Escenarios!$F$13/Escenarios!$F$16</f>
        <v>0</v>
      </c>
      <c r="AP588" s="76">
        <f t="shared" si="131"/>
        <v>0.33190309167408566</v>
      </c>
      <c r="AQ588" s="76">
        <f t="shared" si="132"/>
        <v>0</v>
      </c>
      <c r="AR588" s="76">
        <f t="shared" si="133"/>
        <v>0.33191404874268782</v>
      </c>
      <c r="AS588" s="76">
        <f t="shared" si="134"/>
        <v>0</v>
      </c>
      <c r="AT588" s="76">
        <f t="shared" si="135"/>
        <v>0</v>
      </c>
      <c r="AU588" s="76">
        <f t="shared" si="136"/>
        <v>50.755646922295647</v>
      </c>
      <c r="AV588" s="76">
        <f>MAX(0,(AU588-Constantes!$D$13)*(1-EXP(-Constantes!$D$24)))</f>
        <v>3.0656808733586574E-2</v>
      </c>
      <c r="AW588" s="170">
        <f>AW587+(Entradas!$F$112*AT588-AX587)/(800*Entradas!$D$25)</f>
        <v>0</v>
      </c>
      <c r="AX588" s="170">
        <f>8000*Entradas!$D$26*AW588/Constantes!$F$45</f>
        <v>0</v>
      </c>
      <c r="AY588" s="170">
        <f>IF(Escenarios!$F$17&gt;0,10*Escenarios!$F$16*AL588,0)</f>
        <v>0</v>
      </c>
      <c r="AZ588" s="170">
        <f>IF(Escenarios!$F$17&gt;0,10*Escenarios!$F$16*AX588,0)</f>
        <v>0</v>
      </c>
      <c r="BA588" s="170">
        <f>IF(Escenarios!$F$17&gt;0,0.001*Observaciones!$F587*Escenarios!$F$17,0)</f>
        <v>0</v>
      </c>
      <c r="BB588" s="170">
        <f>IF(Escenarios!$F$17&gt;0,Observaciones!$K587,0)</f>
        <v>0</v>
      </c>
      <c r="BC588" s="170">
        <f>IF(Escenarios!$F$17&gt;0,MIN(0.0005*ETo!$M587*Escenarios!$F$17*(BG587/Constantes!$F$40)^(2/3),BG587+AY588+AZ588+BA588+BB588),0)</f>
        <v>0</v>
      </c>
      <c r="BD588" s="170">
        <f>IF(Escenarios!$F$17&gt;0,MIN(Constantes!$F$39*(BG587/Constantes!$F$40)^(2/3),BG587+AY588+AZ588+BA588+BB588-BC588),0)</f>
        <v>0</v>
      </c>
      <c r="BE588" s="170">
        <f>IF(Escenarios!$F$17&gt;0,MIN(Entradas!$F$113,BG587+AY588+AZ588+BA588+BB588-BC588-BD588),0)</f>
        <v>0</v>
      </c>
      <c r="BF588" s="170">
        <f>IF(Escenarios!$F$17&gt;0,MAX(0,BG587+AY588+AZ588+BA588+BB588-BC588-BD588-BE588-Constantes!$F$40),0)</f>
        <v>0</v>
      </c>
      <c r="BG588" s="170">
        <f t="shared" si="137"/>
        <v>0</v>
      </c>
      <c r="BH588" s="170">
        <f>(Escenarios!$F$16*AK588+0.1*BC588)/(Escenarios!$F$19)</f>
        <v>0.15384401592293834</v>
      </c>
      <c r="BI588" s="170">
        <f>IF(Escenarios!$F$17&gt;0,BF588/10/Escenarios!$F$19,AL588)</f>
        <v>0</v>
      </c>
      <c r="BJ588" s="170">
        <f>(Escenarios!$F$16*AT588+0.1*BD588)/(Escenarios!$F$19)</f>
        <v>0</v>
      </c>
      <c r="BK588" s="76">
        <f>BK587+(0.1*BD588)/(Escenarios!$F$19)-BL587</f>
        <v>48.75</v>
      </c>
      <c r="BL588" s="76">
        <f>MAX(0,(BK588-Constantes!$D$13)*(1-EXP(-Constantes!$D$23)))</f>
        <v>0</v>
      </c>
      <c r="BM588" s="76">
        <f t="shared" si="138"/>
        <v>0.36255990040767222</v>
      </c>
      <c r="BN588" s="76">
        <f t="shared" si="139"/>
        <v>0.36257085747627438</v>
      </c>
      <c r="BO588" s="76">
        <f>0.0526*BI588*Observaciones!$F587^1.218</f>
        <v>0</v>
      </c>
      <c r="BP588" s="76">
        <f>BO588*Constantes!$F$51</f>
        <v>0</v>
      </c>
      <c r="BQ588" s="76">
        <f t="shared" si="140"/>
        <v>0</v>
      </c>
      <c r="BR588" s="40"/>
    </row>
    <row r="589" spans="2:70">
      <c r="B589" s="39"/>
      <c r="C589" s="75">
        <v>583</v>
      </c>
      <c r="D589" s="146">
        <f>ETo!$I588*((1-Constantes!$F$19)*ETo!$K588+ETo!$L588)</f>
        <v>2.7427160471869638</v>
      </c>
      <c r="E589" s="76">
        <f>MIN(D589*Constantes!$F$17,0.8*(N588+Observaciones!$F588-F589-M589-Constantes!$D$14))</f>
        <v>1.5642032094937321</v>
      </c>
      <c r="F589" s="76">
        <f>IF(Observaciones!$F588&gt;0.05*Constantes!$F$18,((Observaciones!$F588-0.05*Constantes!$F$18)^2)/(Observaciones!$F588+0.95*Constantes!$F$18),0)</f>
        <v>0</v>
      </c>
      <c r="G589" s="76">
        <f>IF(Escenarios!$F$11&gt;0,(F589*Escenarios!$F$16*10000)/1000,0)</f>
        <v>0</v>
      </c>
      <c r="H589" s="76">
        <f>IF(Escenarios!$F$11&gt;0,(Observaciones!$F588*Constantes!$F$29)/1000,0)</f>
        <v>0</v>
      </c>
      <c r="I589" s="76">
        <f>IF(Escenarios!$F$11&gt;0,(D589*Constantes!$F$29)/1000,0)</f>
        <v>0</v>
      </c>
      <c r="J589" s="76">
        <f>IF(Escenarios!$F$11&gt;0,MAX(0,G589+H589-I589),0)</f>
        <v>0</v>
      </c>
      <c r="K589" s="76">
        <f>IF(Escenarios!$F$11&gt;0,IF(J589&gt;Constantes!$F$30,1000*((J589-Constantes!$F$30)/(Escenarios!$F$16*10000)),0),F589)</f>
        <v>0</v>
      </c>
      <c r="L589" s="76">
        <f>IF(Escenarios!$F$11&gt;0,I589*1000/Escenarios!$F$16/10000+E589,E589)</f>
        <v>1.5642032094937321</v>
      </c>
      <c r="M589" s="76">
        <f>MAX(0,N588+Observaciones!$F588-K589-Constantes!$D$13)</f>
        <v>0</v>
      </c>
      <c r="N589" s="76">
        <f>N588+Observaciones!$F588-K589-L589-M589-O588</f>
        <v>12.286149866961972</v>
      </c>
      <c r="O589" s="76">
        <f>MAX(0,(N589-Constantes!$D$14)*(1-EXP(-Constantes!$D$22)))</f>
        <v>3.5295068252757619E-2</v>
      </c>
      <c r="P589" s="170">
        <f>P588+(Entradas!$F$83*M589-Q588)/(800*Entradas!$D$25)</f>
        <v>0</v>
      </c>
      <c r="Q589" s="170">
        <f>8000*Entradas!$D$26*P589/Constantes!$F$45</f>
        <v>0</v>
      </c>
      <c r="R589" s="170">
        <f>IF(Escenarios!$F$14&gt;0,K589*Escenarios!$F$13/Escenarios!$F$14,0)</f>
        <v>0</v>
      </c>
      <c r="S589" s="170">
        <f>IF(Escenarios!$F$14&gt;0,Q589*Escenarios!$F$13/Escenarios!$F$14,0)</f>
        <v>0</v>
      </c>
      <c r="T589" s="170">
        <f>IF(Escenarios!$F$14&gt;0,Observaciones!$I588,0)</f>
        <v>0</v>
      </c>
      <c r="U589" s="170">
        <f>IF(Escenarios!$F$14&gt;0,MAX(0,Constantes!$F$36/((Z588+R589+S589+T589+Observaciones!$F588)^2)+Entradas!$F$77),0)</f>
        <v>0</v>
      </c>
      <c r="V589" s="146">
        <f>IF(ETo!D588&gt;0,ETo!I588*((1-Entradas!$F$81)*ETo!K588+ETo!L588),0)</f>
        <v>2.4038748626051198</v>
      </c>
      <c r="W589" s="170">
        <f>IF(Escenarios!$F$14&gt;0,MIN(V589*1,0.8*(Z588+R589+S589+T589+Observaciones!$F588-U589-Constantes!$F$35)),0)</f>
        <v>2.0805120018557943</v>
      </c>
      <c r="X589" s="170">
        <f>IF(Escenarios!$F$14&gt;0,Observaciones!$J588,0)</f>
        <v>0</v>
      </c>
      <c r="Y589" s="170">
        <f>IF(Escenarios!$F$14&gt;0,MAX(0,Z588+R589+S589+T589+Observaciones!$F588-U589-W589-X589-Constantes!$F$33),0)</f>
        <v>0</v>
      </c>
      <c r="Z589" s="170">
        <f>Z588+R589+S589+T589+Observaciones!$F588-U589-W589-Y589</f>
        <v>41.770128000463949</v>
      </c>
      <c r="AA589" s="170">
        <f>IF(Escenarios!$F$14&gt;0,(Escenarios!$F$13*L589+Escenarios!$F$14*W589)/(Escenarios!$F$16),L589)</f>
        <v>1.6261602645771795</v>
      </c>
      <c r="AB589" s="170">
        <f>IF(Escenarios!$F$14&gt;0,(Escenarios!$F$14*Y589)/(Escenarios!$F$16),K589)</f>
        <v>0</v>
      </c>
      <c r="AC589" s="170">
        <f>IF(Escenarios!$F$14&gt;0,(Escenarios!$F$13*M589+Escenarios!$F$14*U589)/(Escenarios!$F$16),M589)</f>
        <v>0</v>
      </c>
      <c r="AD589" s="76">
        <f t="shared" si="127"/>
        <v>82.10276844089482</v>
      </c>
      <c r="AE589" s="76">
        <f>MAX(0,(AD589-Constantes!$D$13)*(1-EXP(-Constantes!$D$23)))</f>
        <v>0.32863277145866354</v>
      </c>
      <c r="AF589" s="76">
        <f>AB589+O589*Escenarios!$F$13/Escenarios!$F$16+AE589</f>
        <v>0.35969243152109026</v>
      </c>
      <c r="AG589" s="76">
        <f>IF(Entradas!$F$91&gt;0,IF(AF589-Escenarios!$F$38&lt;=0,0,IF(AF589-Escenarios!$F$38&gt;Escenarios!$F$37,Escenarios!$F$37,AF589-Escenarios!$F$38)),0)</f>
        <v>0</v>
      </c>
      <c r="AH589" s="76">
        <f>AG589*Entradas!$F$99</f>
        <v>0</v>
      </c>
      <c r="AI589" s="76">
        <f>IF(Entradas!$F$91&gt;0,D589*Entradas!$D$23/Escenarios!$F$16,0)</f>
        <v>0.13165037026497428</v>
      </c>
      <c r="AJ589" s="76">
        <f>IF(Entradas!$F$91&gt;0,Entradas!$D$24*Entradas!$D$22/Escenarios!$F$16,0)</f>
        <v>0.12</v>
      </c>
      <c r="AK589" s="76">
        <f t="shared" si="128"/>
        <v>1.7578106348421538</v>
      </c>
      <c r="AL589" s="76">
        <f t="shared" si="129"/>
        <v>0</v>
      </c>
      <c r="AM589" s="76">
        <f t="shared" si="130"/>
        <v>0</v>
      </c>
      <c r="AN589" s="76">
        <f>MAX(0,O589*Escenarios!$F$13/Escenarios!$F$16-AM589)</f>
        <v>3.1059660062426706E-2</v>
      </c>
      <c r="AO589" s="76">
        <f>AM589+AN589-O589*Escenarios!$F$13/Escenarios!$F$16</f>
        <v>0</v>
      </c>
      <c r="AP589" s="76">
        <f t="shared" si="131"/>
        <v>0.32863277145866354</v>
      </c>
      <c r="AQ589" s="76">
        <f t="shared" si="132"/>
        <v>0</v>
      </c>
      <c r="AR589" s="76">
        <f t="shared" si="133"/>
        <v>0.35969243152109026</v>
      </c>
      <c r="AS589" s="76">
        <f t="shared" si="134"/>
        <v>0</v>
      </c>
      <c r="AT589" s="76">
        <f t="shared" si="135"/>
        <v>0</v>
      </c>
      <c r="AU589" s="76">
        <f t="shared" si="136"/>
        <v>50.724990113562058</v>
      </c>
      <c r="AV589" s="76">
        <f>MAX(0,(AU589-Constantes!$D$13)*(1-EXP(-Constantes!$D$24)))</f>
        <v>3.0188211837851781E-2</v>
      </c>
      <c r="AW589" s="170">
        <f>AW588+(Entradas!$F$112*AT589-AX588)/(800*Entradas!$D$25)</f>
        <v>0</v>
      </c>
      <c r="AX589" s="170">
        <f>8000*Entradas!$D$26*AW589/Constantes!$F$45</f>
        <v>0</v>
      </c>
      <c r="AY589" s="170">
        <f>IF(Escenarios!$F$17&gt;0,10*Escenarios!$F$16*AL589,0)</f>
        <v>0</v>
      </c>
      <c r="AZ589" s="170">
        <f>IF(Escenarios!$F$17&gt;0,10*Escenarios!$F$16*AX589,0)</f>
        <v>0</v>
      </c>
      <c r="BA589" s="170">
        <f>IF(Escenarios!$F$17&gt;0,0.001*Observaciones!$F588*Escenarios!$F$17,0)</f>
        <v>0</v>
      </c>
      <c r="BB589" s="170">
        <f>IF(Escenarios!$F$17&gt;0,Observaciones!$K588,0)</f>
        <v>0</v>
      </c>
      <c r="BC589" s="170">
        <f>IF(Escenarios!$F$17&gt;0,MIN(0.0005*ETo!$M588*Escenarios!$F$17*(BG588/Constantes!$F$40)^(2/3),BG588+AY589+AZ589+BA589+BB589),0)</f>
        <v>0</v>
      </c>
      <c r="BD589" s="170">
        <f>IF(Escenarios!$F$17&gt;0,MIN(Constantes!$F$39*(BG588/Constantes!$F$40)^(2/3),BG588+AY589+AZ589+BA589+BB589-BC589),0)</f>
        <v>0</v>
      </c>
      <c r="BE589" s="170">
        <f>IF(Escenarios!$F$17&gt;0,MIN(Entradas!$F$113,BG588+AY589+AZ589+BA589+BB589-BC589-BD589),0)</f>
        <v>0</v>
      </c>
      <c r="BF589" s="170">
        <f>IF(Escenarios!$F$17&gt;0,MAX(0,BG588+AY589+AZ589+BA589+BB589-BC589-BD589-BE589-Constantes!$F$40),0)</f>
        <v>0</v>
      </c>
      <c r="BG589" s="170">
        <f t="shared" si="137"/>
        <v>0</v>
      </c>
      <c r="BH589" s="170">
        <f>(Escenarios!$F$16*AK589+0.1*BC589)/(Escenarios!$F$19)</f>
        <v>1.7578106348421538</v>
      </c>
      <c r="BI589" s="170">
        <f>IF(Escenarios!$F$17&gt;0,BF589/10/Escenarios!$F$19,AL589)</f>
        <v>0</v>
      </c>
      <c r="BJ589" s="170">
        <f>(Escenarios!$F$16*AT589+0.1*BD589)/(Escenarios!$F$19)</f>
        <v>0</v>
      </c>
      <c r="BK589" s="76">
        <f>BK588+(0.1*BD589)/(Escenarios!$F$19)-BL588</f>
        <v>48.75</v>
      </c>
      <c r="BL589" s="76">
        <f>MAX(0,(BK589-Constantes!$D$13)*(1-EXP(-Constantes!$D$23)))</f>
        <v>0</v>
      </c>
      <c r="BM589" s="76">
        <f t="shared" si="138"/>
        <v>0.35882098329651535</v>
      </c>
      <c r="BN589" s="76">
        <f t="shared" si="139"/>
        <v>0.38988064335894201</v>
      </c>
      <c r="BO589" s="76">
        <f>0.0526*BI589*Observaciones!$F588^1.218</f>
        <v>0</v>
      </c>
      <c r="BP589" s="76">
        <f>BO589*Constantes!$F$51</f>
        <v>0</v>
      </c>
      <c r="BQ589" s="76">
        <f t="shared" si="140"/>
        <v>0</v>
      </c>
      <c r="BR589" s="40"/>
    </row>
    <row r="590" spans="2:70">
      <c r="B590" s="39"/>
      <c r="C590" s="75">
        <v>584</v>
      </c>
      <c r="D590" s="146">
        <f>ETo!$I589*((1-Constantes!$F$19)*ETo!$K589+ETo!$L589)</f>
        <v>3.099662910853255</v>
      </c>
      <c r="E590" s="76">
        <f>MIN(D590*Constantes!$F$17,0.8*(N589+Observaciones!$F589-F590-M590-Constantes!$D$14))</f>
        <v>0.82891989356957796</v>
      </c>
      <c r="F590" s="76">
        <f>IF(Observaciones!$F589&gt;0.05*Constantes!$F$18,((Observaciones!$F589-0.05*Constantes!$F$18)^2)/(Observaciones!$F589+0.95*Constantes!$F$18),0)</f>
        <v>0</v>
      </c>
      <c r="G590" s="76">
        <f>IF(Escenarios!$F$11&gt;0,(F590*Escenarios!$F$16*10000)/1000,0)</f>
        <v>0</v>
      </c>
      <c r="H590" s="76">
        <f>IF(Escenarios!$F$11&gt;0,(Observaciones!$F589*Constantes!$F$29)/1000,0)</f>
        <v>0</v>
      </c>
      <c r="I590" s="76">
        <f>IF(Escenarios!$F$11&gt;0,(D590*Constantes!$F$29)/1000,0)</f>
        <v>0</v>
      </c>
      <c r="J590" s="76">
        <f>IF(Escenarios!$F$11&gt;0,MAX(0,G590+H590-I590),0)</f>
        <v>0</v>
      </c>
      <c r="K590" s="76">
        <f>IF(Escenarios!$F$11&gt;0,IF(J590&gt;Constantes!$F$30,1000*((J590-Constantes!$F$30)/(Escenarios!$F$16*10000)),0),F590)</f>
        <v>0</v>
      </c>
      <c r="L590" s="76">
        <f>IF(Escenarios!$F$11&gt;0,I590*1000/Escenarios!$F$16/10000+E590,E590)</f>
        <v>0.82891989356957796</v>
      </c>
      <c r="M590" s="76">
        <f>MAX(0,N589+Observaciones!$F589-K590-Constantes!$D$13)</f>
        <v>0</v>
      </c>
      <c r="N590" s="76">
        <f>N589+Observaciones!$F589-K590-L590-M590-O589</f>
        <v>11.421934905139636</v>
      </c>
      <c r="O590" s="76">
        <f>MAX(0,(N590-Constantes!$D$14)*(1-EXP(-Constantes!$D$22)))</f>
        <v>5.8567340550144476E-3</v>
      </c>
      <c r="P590" s="170">
        <f>P589+(Entradas!$F$83*M590-Q589)/(800*Entradas!$D$25)</f>
        <v>0</v>
      </c>
      <c r="Q590" s="170">
        <f>8000*Entradas!$D$26*P590/Constantes!$F$45</f>
        <v>0</v>
      </c>
      <c r="R590" s="170">
        <f>IF(Escenarios!$F$14&gt;0,K590*Escenarios!$F$13/Escenarios!$F$14,0)</f>
        <v>0</v>
      </c>
      <c r="S590" s="170">
        <f>IF(Escenarios!$F$14&gt;0,Q590*Escenarios!$F$13/Escenarios!$F$14,0)</f>
        <v>0</v>
      </c>
      <c r="T590" s="170">
        <f>IF(Escenarios!$F$14&gt;0,Observaciones!$I589,0)</f>
        <v>0</v>
      </c>
      <c r="U590" s="170">
        <f>IF(Escenarios!$F$14&gt;0,MAX(0,Constantes!$F$36/((Z589+R590+S590+T590+Observaciones!$F589)^2)+Entradas!$F$77),0)</f>
        <v>0</v>
      </c>
      <c r="V590" s="146">
        <f>IF(ETo!D589&gt;0,ETo!I589*((1-Entradas!$F$81)*ETo!K589+ETo!L589),0)</f>
        <v>2.7193740124404928</v>
      </c>
      <c r="W590" s="170">
        <f>IF(Escenarios!$F$14&gt;0,MIN(V590*1,0.8*(Z589+R590+S590+T590+Observaciones!$F589-U590-Constantes!$F$35)),0)</f>
        <v>0.41610240037115886</v>
      </c>
      <c r="X590" s="170">
        <f>IF(Escenarios!$F$14&gt;0,Observaciones!$J589,0)</f>
        <v>0</v>
      </c>
      <c r="Y590" s="170">
        <f>IF(Escenarios!$F$14&gt;0,MAX(0,Z589+R590+S590+T590+Observaciones!$F589-U590-W590-X590-Constantes!$F$33),0)</f>
        <v>0</v>
      </c>
      <c r="Z590" s="170">
        <f>Z589+R590+S590+T590+Observaciones!$F589-U590-W590-Y590</f>
        <v>41.35402560009279</v>
      </c>
      <c r="AA590" s="170">
        <f>IF(Escenarios!$F$14&gt;0,(Escenarios!$F$13*L590+Escenarios!$F$14*W590)/(Escenarios!$F$16),L590)</f>
        <v>0.7793817943857676</v>
      </c>
      <c r="AB590" s="170">
        <f>IF(Escenarios!$F$14&gt;0,(Escenarios!$F$14*Y590)/(Escenarios!$F$16),K590)</f>
        <v>0</v>
      </c>
      <c r="AC590" s="170">
        <f>IF(Escenarios!$F$14&gt;0,(Escenarios!$F$13*M590+Escenarios!$F$14*U590)/(Escenarios!$F$16),M590)</f>
        <v>0</v>
      </c>
      <c r="AD590" s="76">
        <f t="shared" si="127"/>
        <v>81.774135669436163</v>
      </c>
      <c r="AE590" s="76">
        <f>MAX(0,(AD590-Constantes!$D$13)*(1-EXP(-Constantes!$D$23)))</f>
        <v>0.32539467448725351</v>
      </c>
      <c r="AF590" s="76">
        <f>AB590+O590*Escenarios!$F$13/Escenarios!$F$16+AE590</f>
        <v>0.3305486004556662</v>
      </c>
      <c r="AG590" s="76">
        <f>IF(Entradas!$F$91&gt;0,IF(AF590-Escenarios!$F$38&lt;=0,0,IF(AF590-Escenarios!$F$38&gt;Escenarios!$F$37,Escenarios!$F$37,AF590-Escenarios!$F$38)),0)</f>
        <v>0</v>
      </c>
      <c r="AH590" s="76">
        <f>AG590*Entradas!$F$99</f>
        <v>0</v>
      </c>
      <c r="AI590" s="76">
        <f>IF(Entradas!$F$91&gt;0,D590*Entradas!$D$23/Escenarios!$F$16,0)</f>
        <v>0.14878381972095625</v>
      </c>
      <c r="AJ590" s="76">
        <f>IF(Entradas!$F$91&gt;0,Entradas!$D$24*Entradas!$D$22/Escenarios!$F$16,0)</f>
        <v>0.12</v>
      </c>
      <c r="AK590" s="76">
        <f t="shared" si="128"/>
        <v>0.92816561410672382</v>
      </c>
      <c r="AL590" s="76">
        <f t="shared" si="129"/>
        <v>0</v>
      </c>
      <c r="AM590" s="76">
        <f t="shared" si="130"/>
        <v>0</v>
      </c>
      <c r="AN590" s="76">
        <f>MAX(0,O590*Escenarios!$F$13/Escenarios!$F$16-AM590)</f>
        <v>5.1539259684127139E-3</v>
      </c>
      <c r="AO590" s="76">
        <f>AM590+AN590-O590*Escenarios!$F$13/Escenarios!$F$16</f>
        <v>0</v>
      </c>
      <c r="AP590" s="76">
        <f t="shared" si="131"/>
        <v>0.32539467448725351</v>
      </c>
      <c r="AQ590" s="76">
        <f t="shared" si="132"/>
        <v>0</v>
      </c>
      <c r="AR590" s="76">
        <f t="shared" si="133"/>
        <v>0.3305486004556662</v>
      </c>
      <c r="AS590" s="76">
        <f t="shared" si="134"/>
        <v>0</v>
      </c>
      <c r="AT590" s="76">
        <f t="shared" si="135"/>
        <v>0</v>
      </c>
      <c r="AU590" s="76">
        <f t="shared" si="136"/>
        <v>50.694801901724205</v>
      </c>
      <c r="AV590" s="76">
        <f>MAX(0,(AU590-Constantes!$D$13)*(1-EXP(-Constantes!$D$24)))</f>
        <v>2.9726777561442472E-2</v>
      </c>
      <c r="AW590" s="170">
        <f>AW589+(Entradas!$F$112*AT590-AX589)/(800*Entradas!$D$25)</f>
        <v>0</v>
      </c>
      <c r="AX590" s="170">
        <f>8000*Entradas!$D$26*AW590/Constantes!$F$45</f>
        <v>0</v>
      </c>
      <c r="AY590" s="170">
        <f>IF(Escenarios!$F$17&gt;0,10*Escenarios!$F$16*AL590,0)</f>
        <v>0</v>
      </c>
      <c r="AZ590" s="170">
        <f>IF(Escenarios!$F$17&gt;0,10*Escenarios!$F$16*AX590,0)</f>
        <v>0</v>
      </c>
      <c r="BA590" s="170">
        <f>IF(Escenarios!$F$17&gt;0,0.001*Observaciones!$F589*Escenarios!$F$17,0)</f>
        <v>0</v>
      </c>
      <c r="BB590" s="170">
        <f>IF(Escenarios!$F$17&gt;0,Observaciones!$K589,0)</f>
        <v>0</v>
      </c>
      <c r="BC590" s="170">
        <f>IF(Escenarios!$F$17&gt;0,MIN(0.0005*ETo!$M589*Escenarios!$F$17*(BG589/Constantes!$F$40)^(2/3),BG589+AY590+AZ590+BA590+BB590),0)</f>
        <v>0</v>
      </c>
      <c r="BD590" s="170">
        <f>IF(Escenarios!$F$17&gt;0,MIN(Constantes!$F$39*(BG589/Constantes!$F$40)^(2/3),BG589+AY590+AZ590+BA590+BB590-BC590),0)</f>
        <v>0</v>
      </c>
      <c r="BE590" s="170">
        <f>IF(Escenarios!$F$17&gt;0,MIN(Entradas!$F$113,BG589+AY590+AZ590+BA590+BB590-BC590-BD590),0)</f>
        <v>0</v>
      </c>
      <c r="BF590" s="170">
        <f>IF(Escenarios!$F$17&gt;0,MAX(0,BG589+AY590+AZ590+BA590+BB590-BC590-BD590-BE590-Constantes!$F$40),0)</f>
        <v>0</v>
      </c>
      <c r="BG590" s="170">
        <f t="shared" si="137"/>
        <v>0</v>
      </c>
      <c r="BH590" s="170">
        <f>(Escenarios!$F$16*AK590+0.1*BC590)/(Escenarios!$F$19)</f>
        <v>0.92816561410672382</v>
      </c>
      <c r="BI590" s="170">
        <f>IF(Escenarios!$F$17&gt;0,BF590/10/Escenarios!$F$19,AL590)</f>
        <v>0</v>
      </c>
      <c r="BJ590" s="170">
        <f>(Escenarios!$F$16*AT590+0.1*BD590)/(Escenarios!$F$19)</f>
        <v>0</v>
      </c>
      <c r="BK590" s="76">
        <f>BK589+(0.1*BD590)/(Escenarios!$F$19)-BL589</f>
        <v>48.75</v>
      </c>
      <c r="BL590" s="76">
        <f>MAX(0,(BK590-Constantes!$D$13)*(1-EXP(-Constantes!$D$23)))</f>
        <v>0</v>
      </c>
      <c r="BM590" s="76">
        <f t="shared" si="138"/>
        <v>0.355121452048696</v>
      </c>
      <c r="BN590" s="76">
        <f t="shared" si="139"/>
        <v>0.36027537801710868</v>
      </c>
      <c r="BO590" s="76">
        <f>0.0526*BI590*Observaciones!$F589^1.218</f>
        <v>0</v>
      </c>
      <c r="BP590" s="76">
        <f>BO590*Constantes!$F$51</f>
        <v>0</v>
      </c>
      <c r="BQ590" s="76">
        <f t="shared" si="140"/>
        <v>0</v>
      </c>
      <c r="BR590" s="40"/>
    </row>
    <row r="591" spans="2:70">
      <c r="B591" s="39"/>
      <c r="C591" s="75">
        <v>585</v>
      </c>
      <c r="D591" s="146">
        <f>ETo!$I590*((1-Constantes!$F$19)*ETo!$K590+ETo!$L590)</f>
        <v>3.0329762577225541</v>
      </c>
      <c r="E591" s="76">
        <f>MIN(D591*Constantes!$F$17,0.8*(N590+Observaciones!$F590-F591-M591-Constantes!$D$14))</f>
        <v>0.61754792411170889</v>
      </c>
      <c r="F591" s="76">
        <f>IF(Observaciones!$F590&gt;0.05*Constantes!$F$18,((Observaciones!$F590-0.05*Constantes!$F$18)^2)/(Observaciones!$F590+0.95*Constantes!$F$18),0)</f>
        <v>0</v>
      </c>
      <c r="G591" s="76">
        <f>IF(Escenarios!$F$11&gt;0,(F591*Escenarios!$F$16*10000)/1000,0)</f>
        <v>0</v>
      </c>
      <c r="H591" s="76">
        <f>IF(Escenarios!$F$11&gt;0,(Observaciones!$F590*Constantes!$F$29)/1000,0)</f>
        <v>0</v>
      </c>
      <c r="I591" s="76">
        <f>IF(Escenarios!$F$11&gt;0,(D591*Constantes!$F$29)/1000,0)</f>
        <v>0</v>
      </c>
      <c r="J591" s="76">
        <f>IF(Escenarios!$F$11&gt;0,MAX(0,G591+H591-I591),0)</f>
        <v>0</v>
      </c>
      <c r="K591" s="76">
        <f>IF(Escenarios!$F$11&gt;0,IF(J591&gt;Constantes!$F$30,1000*((J591-Constantes!$F$30)/(Escenarios!$F$16*10000)),0),F591)</f>
        <v>0</v>
      </c>
      <c r="L591" s="76">
        <f>IF(Escenarios!$F$11&gt;0,I591*1000/Escenarios!$F$16/10000+E591,E591)</f>
        <v>0.61754792411170889</v>
      </c>
      <c r="M591" s="76">
        <f>MAX(0,N590+Observaciones!$F590-K591-Constantes!$D$13)</f>
        <v>0</v>
      </c>
      <c r="N591" s="76">
        <f>N590+Observaciones!$F590-K591-L591-M591-O590</f>
        <v>11.398530246972914</v>
      </c>
      <c r="O591" s="76">
        <f>MAX(0,(N591-Constantes!$D$14)*(1-EXP(-Constantes!$D$22)))</f>
        <v>5.0594854775967962E-3</v>
      </c>
      <c r="P591" s="170">
        <f>P590+(Entradas!$F$83*M591-Q590)/(800*Entradas!$D$25)</f>
        <v>0</v>
      </c>
      <c r="Q591" s="170">
        <f>8000*Entradas!$D$26*P591/Constantes!$F$45</f>
        <v>0</v>
      </c>
      <c r="R591" s="170">
        <f>IF(Escenarios!$F$14&gt;0,K591*Escenarios!$F$13/Escenarios!$F$14,0)</f>
        <v>0</v>
      </c>
      <c r="S591" s="170">
        <f>IF(Escenarios!$F$14&gt;0,Q591*Escenarios!$F$13/Escenarios!$F$14,0)</f>
        <v>0</v>
      </c>
      <c r="T591" s="170">
        <f>IF(Escenarios!$F$14&gt;0,Observaciones!$I590,0)</f>
        <v>0</v>
      </c>
      <c r="U591" s="170">
        <f>IF(Escenarios!$F$14&gt;0,MAX(0,Constantes!$F$36/((Z590+R591+S591+T591+Observaciones!$F590)^2)+Entradas!$F$77),0)</f>
        <v>0</v>
      </c>
      <c r="V591" s="146">
        <f>IF(ETo!D590&gt;0,ETo!I590*((1-Entradas!$F$81)*ETo!K590+ETo!L590),0)</f>
        <v>2.6606494379353638</v>
      </c>
      <c r="W591" s="170">
        <f>IF(Escenarios!$F$14&gt;0,MIN(V591*1,0.8*(Z590+R591+S591+T591+Observaciones!$F590-U591-Constantes!$F$35)),0)</f>
        <v>0.56322048007423298</v>
      </c>
      <c r="X591" s="170">
        <f>IF(Escenarios!$F$14&gt;0,Observaciones!$J590,0)</f>
        <v>0</v>
      </c>
      <c r="Y591" s="170">
        <f>IF(Escenarios!$F$14&gt;0,MAX(0,Z590+R591+S591+T591+Observaciones!$F590-U591-W591-X591-Constantes!$F$33),0)</f>
        <v>0</v>
      </c>
      <c r="Z591" s="170">
        <f>Z590+R591+S591+T591+Observaciones!$F590-U591-W591-Y591</f>
        <v>41.390805120018555</v>
      </c>
      <c r="AA591" s="170">
        <f>IF(Escenarios!$F$14&gt;0,(Escenarios!$F$13*L591+Escenarios!$F$14*W591)/(Escenarios!$F$16),L591)</f>
        <v>0.61102863082721182</v>
      </c>
      <c r="AB591" s="170">
        <f>IF(Escenarios!$F$14&gt;0,(Escenarios!$F$14*Y591)/(Escenarios!$F$16),K591)</f>
        <v>0</v>
      </c>
      <c r="AC591" s="170">
        <f>IF(Escenarios!$F$14&gt;0,(Escenarios!$F$13*M591+Escenarios!$F$14*U591)/(Escenarios!$F$16),M591)</f>
        <v>0</v>
      </c>
      <c r="AD591" s="76">
        <f t="shared" si="127"/>
        <v>81.448740994948906</v>
      </c>
      <c r="AE591" s="76">
        <f>MAX(0,(AD591-Constantes!$D$13)*(1-EXP(-Constantes!$D$23)))</f>
        <v>0.32218848325655736</v>
      </c>
      <c r="AF591" s="76">
        <f>AB591+O591*Escenarios!$F$13/Escenarios!$F$16+AE591</f>
        <v>0.32664083047684256</v>
      </c>
      <c r="AG591" s="76">
        <f>IF(Entradas!$F$91&gt;0,IF(AF591-Escenarios!$F$38&lt;=0,0,IF(AF591-Escenarios!$F$38&gt;Escenarios!$F$37,Escenarios!$F$37,AF591-Escenarios!$F$38)),0)</f>
        <v>0</v>
      </c>
      <c r="AH591" s="76">
        <f>AG591*Entradas!$F$99</f>
        <v>0</v>
      </c>
      <c r="AI591" s="76">
        <f>IF(Entradas!$F$91&gt;0,D591*Entradas!$D$23/Escenarios!$F$16,0)</f>
        <v>0.1455828603706826</v>
      </c>
      <c r="AJ591" s="76">
        <f>IF(Entradas!$F$91&gt;0,Entradas!$D$24*Entradas!$D$22/Escenarios!$F$16,0)</f>
        <v>0.12</v>
      </c>
      <c r="AK591" s="76">
        <f t="shared" si="128"/>
        <v>0.75661149119789439</v>
      </c>
      <c r="AL591" s="76">
        <f t="shared" si="129"/>
        <v>0</v>
      </c>
      <c r="AM591" s="76">
        <f t="shared" si="130"/>
        <v>0</v>
      </c>
      <c r="AN591" s="76">
        <f>MAX(0,O591*Escenarios!$F$13/Escenarios!$F$16-AM591)</f>
        <v>4.4523472202851804E-3</v>
      </c>
      <c r="AO591" s="76">
        <f>AM591+AN591-O591*Escenarios!$F$13/Escenarios!$F$16</f>
        <v>0</v>
      </c>
      <c r="AP591" s="76">
        <f t="shared" si="131"/>
        <v>0.32218848325655736</v>
      </c>
      <c r="AQ591" s="76">
        <f t="shared" si="132"/>
        <v>0</v>
      </c>
      <c r="AR591" s="76">
        <f t="shared" si="133"/>
        <v>0.32664083047684256</v>
      </c>
      <c r="AS591" s="76">
        <f t="shared" si="134"/>
        <v>0</v>
      </c>
      <c r="AT591" s="76">
        <f t="shared" si="135"/>
        <v>0</v>
      </c>
      <c r="AU591" s="76">
        <f t="shared" si="136"/>
        <v>50.665075124162762</v>
      </c>
      <c r="AV591" s="76">
        <f>MAX(0,(AU591-Constantes!$D$13)*(1-EXP(-Constantes!$D$24)))</f>
        <v>2.9272396421952611E-2</v>
      </c>
      <c r="AW591" s="170">
        <f>AW590+(Entradas!$F$112*AT591-AX590)/(800*Entradas!$D$25)</f>
        <v>0</v>
      </c>
      <c r="AX591" s="170">
        <f>8000*Entradas!$D$26*AW591/Constantes!$F$45</f>
        <v>0</v>
      </c>
      <c r="AY591" s="170">
        <f>IF(Escenarios!$F$17&gt;0,10*Escenarios!$F$16*AL591,0)</f>
        <v>0</v>
      </c>
      <c r="AZ591" s="170">
        <f>IF(Escenarios!$F$17&gt;0,10*Escenarios!$F$16*AX591,0)</f>
        <v>0</v>
      </c>
      <c r="BA591" s="170">
        <f>IF(Escenarios!$F$17&gt;0,0.001*Observaciones!$F590*Escenarios!$F$17,0)</f>
        <v>0</v>
      </c>
      <c r="BB591" s="170">
        <f>IF(Escenarios!$F$17&gt;0,Observaciones!$K590,0)</f>
        <v>0</v>
      </c>
      <c r="BC591" s="170">
        <f>IF(Escenarios!$F$17&gt;0,MIN(0.0005*ETo!$M590*Escenarios!$F$17*(BG590/Constantes!$F$40)^(2/3),BG590+AY591+AZ591+BA591+BB591),0)</f>
        <v>0</v>
      </c>
      <c r="BD591" s="170">
        <f>IF(Escenarios!$F$17&gt;0,MIN(Constantes!$F$39*(BG590/Constantes!$F$40)^(2/3),BG590+AY591+AZ591+BA591+BB591-BC591),0)</f>
        <v>0</v>
      </c>
      <c r="BE591" s="170">
        <f>IF(Escenarios!$F$17&gt;0,MIN(Entradas!$F$113,BG590+AY591+AZ591+BA591+BB591-BC591-BD591),0)</f>
        <v>0</v>
      </c>
      <c r="BF591" s="170">
        <f>IF(Escenarios!$F$17&gt;0,MAX(0,BG590+AY591+AZ591+BA591+BB591-BC591-BD591-BE591-Constantes!$F$40),0)</f>
        <v>0</v>
      </c>
      <c r="BG591" s="170">
        <f t="shared" si="137"/>
        <v>0</v>
      </c>
      <c r="BH591" s="170">
        <f>(Escenarios!$F$16*AK591+0.1*BC591)/(Escenarios!$F$19)</f>
        <v>0.75661149119789439</v>
      </c>
      <c r="BI591" s="170">
        <f>IF(Escenarios!$F$17&gt;0,BF591/10/Escenarios!$F$19,AL591)</f>
        <v>0</v>
      </c>
      <c r="BJ591" s="170">
        <f>(Escenarios!$F$16*AT591+0.1*BD591)/(Escenarios!$F$19)</f>
        <v>0</v>
      </c>
      <c r="BK591" s="76">
        <f>BK590+(0.1*BD591)/(Escenarios!$F$19)-BL590</f>
        <v>48.75</v>
      </c>
      <c r="BL591" s="76">
        <f>MAX(0,(BK591-Constantes!$D$13)*(1-EXP(-Constantes!$D$23)))</f>
        <v>0</v>
      </c>
      <c r="BM591" s="76">
        <f t="shared" si="138"/>
        <v>0.35146087967850997</v>
      </c>
      <c r="BN591" s="76">
        <f t="shared" si="139"/>
        <v>0.35591322689879518</v>
      </c>
      <c r="BO591" s="76">
        <f>0.0526*BI591*Observaciones!$F590^1.218</f>
        <v>0</v>
      </c>
      <c r="BP591" s="76">
        <f>BO591*Constantes!$F$51</f>
        <v>0</v>
      </c>
      <c r="BQ591" s="76">
        <f t="shared" si="140"/>
        <v>0</v>
      </c>
      <c r="BR591" s="40"/>
    </row>
    <row r="592" spans="2:70">
      <c r="B592" s="39"/>
      <c r="C592" s="75">
        <v>586</v>
      </c>
      <c r="D592" s="146">
        <f>ETo!$I591*((1-Constantes!$F$19)*ETo!$K591+ETo!$L591)</f>
        <v>3.194137710869188</v>
      </c>
      <c r="E592" s="76">
        <f>MIN(D592*Constantes!$F$17,0.8*(N591+Observaciones!$F591-F592-M592-Constantes!$D$14))</f>
        <v>0.11882419757833135</v>
      </c>
      <c r="F592" s="76">
        <f>IF(Observaciones!$F591&gt;0.05*Constantes!$F$18,((Observaciones!$F591-0.05*Constantes!$F$18)^2)/(Observaciones!$F591+0.95*Constantes!$F$18),0)</f>
        <v>0</v>
      </c>
      <c r="G592" s="76">
        <f>IF(Escenarios!$F$11&gt;0,(F592*Escenarios!$F$16*10000)/1000,0)</f>
        <v>0</v>
      </c>
      <c r="H592" s="76">
        <f>IF(Escenarios!$F$11&gt;0,(Observaciones!$F591*Constantes!$F$29)/1000,0)</f>
        <v>0</v>
      </c>
      <c r="I592" s="76">
        <f>IF(Escenarios!$F$11&gt;0,(D592*Constantes!$F$29)/1000,0)</f>
        <v>0</v>
      </c>
      <c r="J592" s="76">
        <f>IF(Escenarios!$F$11&gt;0,MAX(0,G592+H592-I592),0)</f>
        <v>0</v>
      </c>
      <c r="K592" s="76">
        <f>IF(Escenarios!$F$11&gt;0,IF(J592&gt;Constantes!$F$30,1000*((J592-Constantes!$F$30)/(Escenarios!$F$16*10000)),0),F592)</f>
        <v>0</v>
      </c>
      <c r="L592" s="76">
        <f>IF(Escenarios!$F$11&gt;0,I592*1000/Escenarios!$F$16/10000+E592,E592)</f>
        <v>0.11882419757833135</v>
      </c>
      <c r="M592" s="76">
        <f>MAX(0,N591+Observaciones!$F591-K592-Constantes!$D$13)</f>
        <v>0</v>
      </c>
      <c r="N592" s="76">
        <f>N591+Observaciones!$F591-K592-L592-M592-O591</f>
        <v>11.274646563916987</v>
      </c>
      <c r="O592" s="76">
        <f>MAX(0,(N592-Constantes!$D$14)*(1-EXP(-Constantes!$D$22)))</f>
        <v>8.3955244640100083E-4</v>
      </c>
      <c r="P592" s="170">
        <f>P591+(Entradas!$F$83*M592-Q591)/(800*Entradas!$D$25)</f>
        <v>0</v>
      </c>
      <c r="Q592" s="170">
        <f>8000*Entradas!$D$26*P592/Constantes!$F$45</f>
        <v>0</v>
      </c>
      <c r="R592" s="170">
        <f>IF(Escenarios!$F$14&gt;0,K592*Escenarios!$F$13/Escenarios!$F$14,0)</f>
        <v>0</v>
      </c>
      <c r="S592" s="170">
        <f>IF(Escenarios!$F$14&gt;0,Q592*Escenarios!$F$13/Escenarios!$F$14,0)</f>
        <v>0</v>
      </c>
      <c r="T592" s="170">
        <f>IF(Escenarios!$F$14&gt;0,Observaciones!$I591,0)</f>
        <v>0</v>
      </c>
      <c r="U592" s="170">
        <f>IF(Escenarios!$F$14&gt;0,MAX(0,Constantes!$F$36/((Z591+R592+S592+T592+Observaciones!$F591)^2)+Entradas!$F$77),0)</f>
        <v>0</v>
      </c>
      <c r="V592" s="146">
        <f>IF(ETo!D591&gt;0,ETo!I591*((1-Entradas!$F$81)*ETo!K591+ETo!L591),0)</f>
        <v>2.8044861973241226</v>
      </c>
      <c r="W592" s="170">
        <f>IF(Escenarios!$F$14&gt;0,MIN(V592*1,0.8*(Z591+R592+S592+T592+Observaciones!$F591-U592-Constantes!$F$35)),0)</f>
        <v>0.11264409601484432</v>
      </c>
      <c r="X592" s="170">
        <f>IF(Escenarios!$F$14&gt;0,Observaciones!$J591,0)</f>
        <v>0</v>
      </c>
      <c r="Y592" s="170">
        <f>IF(Escenarios!$F$14&gt;0,MAX(0,Z591+R592+S592+T592+Observaciones!$F591-U592-W592-X592-Constantes!$F$33),0)</f>
        <v>0</v>
      </c>
      <c r="Z592" s="170">
        <f>Z591+R592+S592+T592+Observaciones!$F591-U592-W592-Y592</f>
        <v>41.278161024003708</v>
      </c>
      <c r="AA592" s="170">
        <f>IF(Escenarios!$F$14&gt;0,(Escenarios!$F$13*L592+Escenarios!$F$14*W592)/(Escenarios!$F$16),L592)</f>
        <v>0.11808258539071291</v>
      </c>
      <c r="AB592" s="170">
        <f>IF(Escenarios!$F$14&gt;0,(Escenarios!$F$14*Y592)/(Escenarios!$F$16),K592)</f>
        <v>0</v>
      </c>
      <c r="AC592" s="170">
        <f>IF(Escenarios!$F$14&gt;0,(Escenarios!$F$13*M592+Escenarios!$F$14*U592)/(Escenarios!$F$16),M592)</f>
        <v>0</v>
      </c>
      <c r="AD592" s="76">
        <f t="shared" si="127"/>
        <v>81.126552511692353</v>
      </c>
      <c r="AE592" s="76">
        <f>MAX(0,(AD592-Constantes!$D$13)*(1-EXP(-Constantes!$D$23)))</f>
        <v>0.3190138833917126</v>
      </c>
      <c r="AF592" s="76">
        <f>AB592+O592*Escenarios!$F$13/Escenarios!$F$16+AE592</f>
        <v>0.3197526895445455</v>
      </c>
      <c r="AG592" s="76">
        <f>IF(Entradas!$F$91&gt;0,IF(AF592-Escenarios!$F$38&lt;=0,0,IF(AF592-Escenarios!$F$38&gt;Escenarios!$F$37,Escenarios!$F$37,AF592-Escenarios!$F$38)),0)</f>
        <v>0</v>
      </c>
      <c r="AH592" s="76">
        <f>AG592*Entradas!$F$99</f>
        <v>0</v>
      </c>
      <c r="AI592" s="76">
        <f>IF(Entradas!$F$91&gt;0,D592*Entradas!$D$23/Escenarios!$F$16,0)</f>
        <v>0.15331861012172102</v>
      </c>
      <c r="AJ592" s="76">
        <f>IF(Entradas!$F$91&gt;0,Entradas!$D$24*Entradas!$D$22/Escenarios!$F$16,0)</f>
        <v>0.12</v>
      </c>
      <c r="AK592" s="76">
        <f t="shared" si="128"/>
        <v>0.27140119551243391</v>
      </c>
      <c r="AL592" s="76">
        <f t="shared" si="129"/>
        <v>0</v>
      </c>
      <c r="AM592" s="76">
        <f t="shared" si="130"/>
        <v>0</v>
      </c>
      <c r="AN592" s="76">
        <f>MAX(0,O592*Escenarios!$F$13/Escenarios!$F$16-AM592)</f>
        <v>7.3880615283288074E-4</v>
      </c>
      <c r="AO592" s="76">
        <f>AM592+AN592-O592*Escenarios!$F$13/Escenarios!$F$16</f>
        <v>0</v>
      </c>
      <c r="AP592" s="76">
        <f t="shared" si="131"/>
        <v>0.3190138833917126</v>
      </c>
      <c r="AQ592" s="76">
        <f t="shared" si="132"/>
        <v>0</v>
      </c>
      <c r="AR592" s="76">
        <f t="shared" si="133"/>
        <v>0.3197526895445455</v>
      </c>
      <c r="AS592" s="76">
        <f t="shared" si="134"/>
        <v>0</v>
      </c>
      <c r="AT592" s="76">
        <f t="shared" si="135"/>
        <v>0</v>
      </c>
      <c r="AU592" s="76">
        <f t="shared" si="136"/>
        <v>50.63580272774081</v>
      </c>
      <c r="AV592" s="76">
        <f>MAX(0,(AU592-Constantes!$D$13)*(1-EXP(-Constantes!$D$24)))</f>
        <v>2.8824960610441805E-2</v>
      </c>
      <c r="AW592" s="170">
        <f>AW591+(Entradas!$F$112*AT592-AX591)/(800*Entradas!$D$25)</f>
        <v>0</v>
      </c>
      <c r="AX592" s="170">
        <f>8000*Entradas!$D$26*AW592/Constantes!$F$45</f>
        <v>0</v>
      </c>
      <c r="AY592" s="170">
        <f>IF(Escenarios!$F$17&gt;0,10*Escenarios!$F$16*AL592,0)</f>
        <v>0</v>
      </c>
      <c r="AZ592" s="170">
        <f>IF(Escenarios!$F$17&gt;0,10*Escenarios!$F$16*AX592,0)</f>
        <v>0</v>
      </c>
      <c r="BA592" s="170">
        <f>IF(Escenarios!$F$17&gt;0,0.001*Observaciones!$F591*Escenarios!$F$17,0)</f>
        <v>0</v>
      </c>
      <c r="BB592" s="170">
        <f>IF(Escenarios!$F$17&gt;0,Observaciones!$K591,0)</f>
        <v>0</v>
      </c>
      <c r="BC592" s="170">
        <f>IF(Escenarios!$F$17&gt;0,MIN(0.0005*ETo!$M591*Escenarios!$F$17*(BG591/Constantes!$F$40)^(2/3),BG591+AY592+AZ592+BA592+BB592),0)</f>
        <v>0</v>
      </c>
      <c r="BD592" s="170">
        <f>IF(Escenarios!$F$17&gt;0,MIN(Constantes!$F$39*(BG591/Constantes!$F$40)^(2/3),BG591+AY592+AZ592+BA592+BB592-BC592),0)</f>
        <v>0</v>
      </c>
      <c r="BE592" s="170">
        <f>IF(Escenarios!$F$17&gt;0,MIN(Entradas!$F$113,BG591+AY592+AZ592+BA592+BB592-BC592-BD592),0)</f>
        <v>0</v>
      </c>
      <c r="BF592" s="170">
        <f>IF(Escenarios!$F$17&gt;0,MAX(0,BG591+AY592+AZ592+BA592+BB592-BC592-BD592-BE592-Constantes!$F$40),0)</f>
        <v>0</v>
      </c>
      <c r="BG592" s="170">
        <f t="shared" si="137"/>
        <v>0</v>
      </c>
      <c r="BH592" s="170">
        <f>(Escenarios!$F$16*AK592+0.1*BC592)/(Escenarios!$F$19)</f>
        <v>0.27140119551243391</v>
      </c>
      <c r="BI592" s="170">
        <f>IF(Escenarios!$F$17&gt;0,BF592/10/Escenarios!$F$19,AL592)</f>
        <v>0</v>
      </c>
      <c r="BJ592" s="170">
        <f>(Escenarios!$F$16*AT592+0.1*BD592)/(Escenarios!$F$19)</f>
        <v>0</v>
      </c>
      <c r="BK592" s="76">
        <f>BK591+(0.1*BD592)/(Escenarios!$F$19)-BL591</f>
        <v>48.75</v>
      </c>
      <c r="BL592" s="76">
        <f>MAX(0,(BK592-Constantes!$D$13)*(1-EXP(-Constantes!$D$23)))</f>
        <v>0</v>
      </c>
      <c r="BM592" s="76">
        <f t="shared" si="138"/>
        <v>0.34783884400215442</v>
      </c>
      <c r="BN592" s="76">
        <f t="shared" si="139"/>
        <v>0.34857765015498732</v>
      </c>
      <c r="BO592" s="76">
        <f>0.0526*BI592*Observaciones!$F591^1.218</f>
        <v>0</v>
      </c>
      <c r="BP592" s="76">
        <f>BO592*Constantes!$F$51</f>
        <v>0</v>
      </c>
      <c r="BQ592" s="76">
        <f t="shared" si="140"/>
        <v>0</v>
      </c>
      <c r="BR592" s="40"/>
    </row>
    <row r="593" spans="2:70">
      <c r="B593" s="39"/>
      <c r="C593" s="75">
        <v>587</v>
      </c>
      <c r="D593" s="146">
        <f>ETo!$I592*((1-Constantes!$F$19)*ETo!$K592+ETo!$L592)</f>
        <v>3.2332421650175216</v>
      </c>
      <c r="E593" s="76">
        <f>MIN(D593*Constantes!$F$17,0.8*(N592+Observaciones!$F592-F593-M593-Constantes!$D$14))</f>
        <v>1.9717251133589287E-2</v>
      </c>
      <c r="F593" s="76">
        <f>IF(Observaciones!$F592&gt;0.05*Constantes!$F$18,((Observaciones!$F592-0.05*Constantes!$F$18)^2)/(Observaciones!$F592+0.95*Constantes!$F$18),0)</f>
        <v>0</v>
      </c>
      <c r="G593" s="76">
        <f>IF(Escenarios!$F$11&gt;0,(F593*Escenarios!$F$16*10000)/1000,0)</f>
        <v>0</v>
      </c>
      <c r="H593" s="76">
        <f>IF(Escenarios!$F$11&gt;0,(Observaciones!$F592*Constantes!$F$29)/1000,0)</f>
        <v>0</v>
      </c>
      <c r="I593" s="76">
        <f>IF(Escenarios!$F$11&gt;0,(D593*Constantes!$F$29)/1000,0)</f>
        <v>0</v>
      </c>
      <c r="J593" s="76">
        <f>IF(Escenarios!$F$11&gt;0,MAX(0,G593+H593-I593),0)</f>
        <v>0</v>
      </c>
      <c r="K593" s="76">
        <f>IF(Escenarios!$F$11&gt;0,IF(J593&gt;Constantes!$F$30,1000*((J593-Constantes!$F$30)/(Escenarios!$F$16*10000)),0),F593)</f>
        <v>0</v>
      </c>
      <c r="L593" s="76">
        <f>IF(Escenarios!$F$11&gt;0,I593*1000/Escenarios!$F$16/10000+E593,E593)</f>
        <v>1.9717251133589287E-2</v>
      </c>
      <c r="M593" s="76">
        <f>MAX(0,N592+Observaciones!$F592-K593-Constantes!$D$13)</f>
        <v>0</v>
      </c>
      <c r="N593" s="76">
        <f>N592+Observaciones!$F592-K593-L593-M593-O592</f>
        <v>11.254089760336997</v>
      </c>
      <c r="O593" s="76">
        <f>MAX(0,(N593-Constantes!$D$14)*(1-EXP(-Constantes!$D$22)))</f>
        <v>1.393122508956911E-4</v>
      </c>
      <c r="P593" s="170">
        <f>P592+(Entradas!$F$83*M593-Q592)/(800*Entradas!$D$25)</f>
        <v>0</v>
      </c>
      <c r="Q593" s="170">
        <f>8000*Entradas!$D$26*P593/Constantes!$F$45</f>
        <v>0</v>
      </c>
      <c r="R593" s="170">
        <f>IF(Escenarios!$F$14&gt;0,K593*Escenarios!$F$13/Escenarios!$F$14,0)</f>
        <v>0</v>
      </c>
      <c r="S593" s="170">
        <f>IF(Escenarios!$F$14&gt;0,Q593*Escenarios!$F$13/Escenarios!$F$14,0)</f>
        <v>0</v>
      </c>
      <c r="T593" s="170">
        <f>IF(Escenarios!$F$14&gt;0,Observaciones!$I592,0)</f>
        <v>0</v>
      </c>
      <c r="U593" s="170">
        <f>IF(Escenarios!$F$14&gt;0,MAX(0,Constantes!$F$36/((Z592+R593+S593+T593+Observaciones!$F592)^2)+Entradas!$F$77),0)</f>
        <v>0</v>
      </c>
      <c r="V593" s="146">
        <f>IF(ETo!D592&gt;0,ETo!I592*((1-Entradas!$F$81)*ETo!K592+ETo!L592),0)</f>
        <v>2.8398476161758142</v>
      </c>
      <c r="W593" s="170">
        <f>IF(Escenarios!$F$14&gt;0,MIN(V593*1,0.8*(Z592+R593+S593+T593+Observaciones!$F592-U593-Constantes!$F$35)),0)</f>
        <v>2.252881920296659E-2</v>
      </c>
      <c r="X593" s="170">
        <f>IF(Escenarios!$F$14&gt;0,Observaciones!$J592,0)</f>
        <v>0</v>
      </c>
      <c r="Y593" s="170">
        <f>IF(Escenarios!$F$14&gt;0,MAX(0,Z592+R593+S593+T593+Observaciones!$F592-U593-W593-X593-Constantes!$F$33),0)</f>
        <v>0</v>
      </c>
      <c r="Z593" s="170">
        <f>Z592+R593+S593+T593+Observaciones!$F592-U593-W593-Y593</f>
        <v>41.25563220480074</v>
      </c>
      <c r="AA593" s="170">
        <f>IF(Escenarios!$F$14&gt;0,(Escenarios!$F$13*L593+Escenarios!$F$14*W593)/(Escenarios!$F$16),L593)</f>
        <v>2.0054639301914562E-2</v>
      </c>
      <c r="AB593" s="170">
        <f>IF(Escenarios!$F$14&gt;0,(Escenarios!$F$14*Y593)/(Escenarios!$F$16),K593)</f>
        <v>0</v>
      </c>
      <c r="AC593" s="170">
        <f>IF(Escenarios!$F$14&gt;0,(Escenarios!$F$13*M593+Escenarios!$F$14*U593)/(Escenarios!$F$16),M593)</f>
        <v>0</v>
      </c>
      <c r="AD593" s="76">
        <f t="shared" si="127"/>
        <v>80.807538628300634</v>
      </c>
      <c r="AE593" s="76">
        <f>MAX(0,(AD593-Constantes!$D$13)*(1-EXP(-Constantes!$D$23)))</f>
        <v>0.31587056361546678</v>
      </c>
      <c r="AF593" s="76">
        <f>AB593+O593*Escenarios!$F$13/Escenarios!$F$16+AE593</f>
        <v>0.31599315839625497</v>
      </c>
      <c r="AG593" s="76">
        <f>IF(Entradas!$F$91&gt;0,IF(AF593-Escenarios!$F$38&lt;=0,0,IF(AF593-Escenarios!$F$38&gt;Escenarios!$F$37,Escenarios!$F$37,AF593-Escenarios!$F$38)),0)</f>
        <v>0</v>
      </c>
      <c r="AH593" s="76">
        <f>AG593*Entradas!$F$99</f>
        <v>0</v>
      </c>
      <c r="AI593" s="76">
        <f>IF(Entradas!$F$91&gt;0,D593*Entradas!$D$23/Escenarios!$F$16,0)</f>
        <v>0.15519562392084102</v>
      </c>
      <c r="AJ593" s="76">
        <f>IF(Entradas!$F$91&gt;0,Entradas!$D$24*Entradas!$D$22/Escenarios!$F$16,0)</f>
        <v>0.12</v>
      </c>
      <c r="AK593" s="76">
        <f t="shared" si="128"/>
        <v>0.17525026322275558</v>
      </c>
      <c r="AL593" s="76">
        <f t="shared" si="129"/>
        <v>0</v>
      </c>
      <c r="AM593" s="76">
        <f t="shared" si="130"/>
        <v>0</v>
      </c>
      <c r="AN593" s="76">
        <f>MAX(0,O593*Escenarios!$F$13/Escenarios!$F$16-AM593)</f>
        <v>1.2259478078820816E-4</v>
      </c>
      <c r="AO593" s="76">
        <f>AM593+AN593-O593*Escenarios!$F$13/Escenarios!$F$16</f>
        <v>0</v>
      </c>
      <c r="AP593" s="76">
        <f t="shared" si="131"/>
        <v>0.31587056361546678</v>
      </c>
      <c r="AQ593" s="76">
        <f t="shared" si="132"/>
        <v>0</v>
      </c>
      <c r="AR593" s="76">
        <f t="shared" si="133"/>
        <v>0.31599315839625497</v>
      </c>
      <c r="AS593" s="76">
        <f t="shared" si="134"/>
        <v>0</v>
      </c>
      <c r="AT593" s="76">
        <f t="shared" si="135"/>
        <v>0</v>
      </c>
      <c r="AU593" s="76">
        <f t="shared" si="136"/>
        <v>50.606977767130367</v>
      </c>
      <c r="AV593" s="76">
        <f>MAX(0,(AU593-Constantes!$D$13)*(1-EXP(-Constantes!$D$24)))</f>
        <v>2.8384363965855895E-2</v>
      </c>
      <c r="AW593" s="170">
        <f>AW592+(Entradas!$F$112*AT593-AX592)/(800*Entradas!$D$25)</f>
        <v>0</v>
      </c>
      <c r="AX593" s="170">
        <f>8000*Entradas!$D$26*AW593/Constantes!$F$45</f>
        <v>0</v>
      </c>
      <c r="AY593" s="170">
        <f>IF(Escenarios!$F$17&gt;0,10*Escenarios!$F$16*AL593,0)</f>
        <v>0</v>
      </c>
      <c r="AZ593" s="170">
        <f>IF(Escenarios!$F$17&gt;0,10*Escenarios!$F$16*AX593,0)</f>
        <v>0</v>
      </c>
      <c r="BA593" s="170">
        <f>IF(Escenarios!$F$17&gt;0,0.001*Observaciones!$F592*Escenarios!$F$17,0)</f>
        <v>0</v>
      </c>
      <c r="BB593" s="170">
        <f>IF(Escenarios!$F$17&gt;0,Observaciones!$K592,0)</f>
        <v>0</v>
      </c>
      <c r="BC593" s="170">
        <f>IF(Escenarios!$F$17&gt;0,MIN(0.0005*ETo!$M592*Escenarios!$F$17*(BG592/Constantes!$F$40)^(2/3),BG592+AY593+AZ593+BA593+BB593),0)</f>
        <v>0</v>
      </c>
      <c r="BD593" s="170">
        <f>IF(Escenarios!$F$17&gt;0,MIN(Constantes!$F$39*(BG592/Constantes!$F$40)^(2/3),BG592+AY593+AZ593+BA593+BB593-BC593),0)</f>
        <v>0</v>
      </c>
      <c r="BE593" s="170">
        <f>IF(Escenarios!$F$17&gt;0,MIN(Entradas!$F$113,BG592+AY593+AZ593+BA593+BB593-BC593-BD593),0)</f>
        <v>0</v>
      </c>
      <c r="BF593" s="170">
        <f>IF(Escenarios!$F$17&gt;0,MAX(0,BG592+AY593+AZ593+BA593+BB593-BC593-BD593-BE593-Constantes!$F$40),0)</f>
        <v>0</v>
      </c>
      <c r="BG593" s="170">
        <f t="shared" si="137"/>
        <v>0</v>
      </c>
      <c r="BH593" s="170">
        <f>(Escenarios!$F$16*AK593+0.1*BC593)/(Escenarios!$F$19)</f>
        <v>0.17525026322275558</v>
      </c>
      <c r="BI593" s="170">
        <f>IF(Escenarios!$F$17&gt;0,BF593/10/Escenarios!$F$19,AL593)</f>
        <v>0</v>
      </c>
      <c r="BJ593" s="170">
        <f>(Escenarios!$F$16*AT593+0.1*BD593)/(Escenarios!$F$19)</f>
        <v>0</v>
      </c>
      <c r="BK593" s="76">
        <f>BK592+(0.1*BD593)/(Escenarios!$F$19)-BL592</f>
        <v>48.75</v>
      </c>
      <c r="BL593" s="76">
        <f>MAX(0,(BK593-Constantes!$D$13)*(1-EXP(-Constantes!$D$23)))</f>
        <v>0</v>
      </c>
      <c r="BM593" s="76">
        <f t="shared" si="138"/>
        <v>0.3442549275813227</v>
      </c>
      <c r="BN593" s="76">
        <f t="shared" si="139"/>
        <v>0.34437752236211089</v>
      </c>
      <c r="BO593" s="76">
        <f>0.0526*BI593*Observaciones!$F592^1.218</f>
        <v>0</v>
      </c>
      <c r="BP593" s="76">
        <f>BO593*Constantes!$F$51</f>
        <v>0</v>
      </c>
      <c r="BQ593" s="76">
        <f t="shared" si="140"/>
        <v>0</v>
      </c>
      <c r="BR593" s="40"/>
    </row>
    <row r="594" spans="2:70">
      <c r="B594" s="39"/>
      <c r="C594" s="75">
        <v>588</v>
      </c>
      <c r="D594" s="146">
        <f>ETo!$I593*((1-Constantes!$F$19)*ETo!$K593+ETo!$L593)</f>
        <v>3.1336992673516533</v>
      </c>
      <c r="E594" s="76">
        <f>MIN(D594*Constantes!$F$17,0.8*(N593+Observaciones!$F593-F594-M594-Constantes!$D$14))</f>
        <v>3.271808269597898E-3</v>
      </c>
      <c r="F594" s="76">
        <f>IF(Observaciones!$F593&gt;0.05*Constantes!$F$18,((Observaciones!$F593-0.05*Constantes!$F$18)^2)/(Observaciones!$F593+0.95*Constantes!$F$18),0)</f>
        <v>0</v>
      </c>
      <c r="G594" s="76">
        <f>IF(Escenarios!$F$11&gt;0,(F594*Escenarios!$F$16*10000)/1000,0)</f>
        <v>0</v>
      </c>
      <c r="H594" s="76">
        <f>IF(Escenarios!$F$11&gt;0,(Observaciones!$F593*Constantes!$F$29)/1000,0)</f>
        <v>0</v>
      </c>
      <c r="I594" s="76">
        <f>IF(Escenarios!$F$11&gt;0,(D594*Constantes!$F$29)/1000,0)</f>
        <v>0</v>
      </c>
      <c r="J594" s="76">
        <f>IF(Escenarios!$F$11&gt;0,MAX(0,G594+H594-I594),0)</f>
        <v>0</v>
      </c>
      <c r="K594" s="76">
        <f>IF(Escenarios!$F$11&gt;0,IF(J594&gt;Constantes!$F$30,1000*((J594-Constantes!$F$30)/(Escenarios!$F$16*10000)),0),F594)</f>
        <v>0</v>
      </c>
      <c r="L594" s="76">
        <f>IF(Escenarios!$F$11&gt;0,I594*1000/Escenarios!$F$16/10000+E594,E594)</f>
        <v>3.271808269597898E-3</v>
      </c>
      <c r="M594" s="76">
        <f>MAX(0,N593+Observaciones!$F593-K594-Constantes!$D$13)</f>
        <v>0</v>
      </c>
      <c r="N594" s="76">
        <f>N593+Observaciones!$F593-K594-L594-M594-O593</f>
        <v>11.250678639816503</v>
      </c>
      <c r="O594" s="76">
        <f>MAX(0,(N594-Constantes!$D$14)*(1-EXP(-Constantes!$D$22)))</f>
        <v>2.3116963487848529E-5</v>
      </c>
      <c r="P594" s="170">
        <f>P593+(Entradas!$F$83*M594-Q593)/(800*Entradas!$D$25)</f>
        <v>0</v>
      </c>
      <c r="Q594" s="170">
        <f>8000*Entradas!$D$26*P594/Constantes!$F$45</f>
        <v>0</v>
      </c>
      <c r="R594" s="170">
        <f>IF(Escenarios!$F$14&gt;0,K594*Escenarios!$F$13/Escenarios!$F$14,0)</f>
        <v>0</v>
      </c>
      <c r="S594" s="170">
        <f>IF(Escenarios!$F$14&gt;0,Q594*Escenarios!$F$13/Escenarios!$F$14,0)</f>
        <v>0</v>
      </c>
      <c r="T594" s="170">
        <f>IF(Escenarios!$F$14&gt;0,Observaciones!$I593,0)</f>
        <v>0</v>
      </c>
      <c r="U594" s="170">
        <f>IF(Escenarios!$F$14&gt;0,MAX(0,Constantes!$F$36/((Z593+R594+S594+T594+Observaciones!$F593)^2)+Entradas!$F$77),0)</f>
        <v>0</v>
      </c>
      <c r="V594" s="146">
        <f>IF(ETo!D593&gt;0,ETo!I593*((1-Entradas!$F$81)*ETo!K593+ETo!L593),0)</f>
        <v>2.7515732988286765</v>
      </c>
      <c r="W594" s="170">
        <f>IF(Escenarios!$F$14&gt;0,MIN(V594*1,0.8*(Z593+R594+S594+T594+Observaciones!$F593-U594-Constantes!$F$35)),0)</f>
        <v>4.5057638405921812E-3</v>
      </c>
      <c r="X594" s="170">
        <f>IF(Escenarios!$F$14&gt;0,Observaciones!$J593,0)</f>
        <v>0</v>
      </c>
      <c r="Y594" s="170">
        <f>IF(Escenarios!$F$14&gt;0,MAX(0,Z593+R594+S594+T594+Observaciones!$F593-U594-W594-X594-Constantes!$F$33),0)</f>
        <v>0</v>
      </c>
      <c r="Z594" s="170">
        <f>Z593+R594+S594+T594+Observaciones!$F593-U594-W594-Y594</f>
        <v>41.251126440960149</v>
      </c>
      <c r="AA594" s="170">
        <f>IF(Escenarios!$F$14&gt;0,(Escenarios!$F$13*L594+Escenarios!$F$14*W594)/(Escenarios!$F$16),L594)</f>
        <v>3.4198829381172119E-3</v>
      </c>
      <c r="AB594" s="170">
        <f>IF(Escenarios!$F$14&gt;0,(Escenarios!$F$14*Y594)/(Escenarios!$F$16),K594)</f>
        <v>0</v>
      </c>
      <c r="AC594" s="170">
        <f>IF(Escenarios!$F$14&gt;0,(Escenarios!$F$13*M594+Escenarios!$F$14*U594)/(Escenarios!$F$16),M594)</f>
        <v>0</v>
      </c>
      <c r="AD594" s="76">
        <f t="shared" si="127"/>
        <v>80.491668064685172</v>
      </c>
      <c r="AE594" s="76">
        <f>MAX(0,(AD594-Constantes!$D$13)*(1-EXP(-Constantes!$D$23)))</f>
        <v>0.31275821571765688</v>
      </c>
      <c r="AF594" s="76">
        <f>AB594+O594*Escenarios!$F$13/Escenarios!$F$16+AE594</f>
        <v>0.31277855864552617</v>
      </c>
      <c r="AG594" s="76">
        <f>IF(Entradas!$F$91&gt;0,IF(AF594-Escenarios!$F$38&lt;=0,0,IF(AF594-Escenarios!$F$38&gt;Escenarios!$F$37,Escenarios!$F$37,AF594-Escenarios!$F$38)),0)</f>
        <v>0</v>
      </c>
      <c r="AH594" s="76">
        <f>AG594*Entradas!$F$99</f>
        <v>0</v>
      </c>
      <c r="AI594" s="76">
        <f>IF(Entradas!$F$91&gt;0,D594*Entradas!$D$23/Escenarios!$F$16,0)</f>
        <v>0.15041756483287935</v>
      </c>
      <c r="AJ594" s="76">
        <f>IF(Entradas!$F$91&gt;0,Entradas!$D$24*Entradas!$D$22/Escenarios!$F$16,0)</f>
        <v>0.12</v>
      </c>
      <c r="AK594" s="76">
        <f t="shared" si="128"/>
        <v>0.15383744777099656</v>
      </c>
      <c r="AL594" s="76">
        <f t="shared" si="129"/>
        <v>0</v>
      </c>
      <c r="AM594" s="76">
        <f t="shared" si="130"/>
        <v>0</v>
      </c>
      <c r="AN594" s="76">
        <f>MAX(0,O594*Escenarios!$F$13/Escenarios!$F$16-AM594)</f>
        <v>2.0342927869306707E-5</v>
      </c>
      <c r="AO594" s="76">
        <f>AM594+AN594-O594*Escenarios!$F$13/Escenarios!$F$16</f>
        <v>0</v>
      </c>
      <c r="AP594" s="76">
        <f t="shared" si="131"/>
        <v>0.31275821571765688</v>
      </c>
      <c r="AQ594" s="76">
        <f t="shared" si="132"/>
        <v>0</v>
      </c>
      <c r="AR594" s="76">
        <f t="shared" si="133"/>
        <v>0.31277855864552617</v>
      </c>
      <c r="AS594" s="76">
        <f t="shared" si="134"/>
        <v>0</v>
      </c>
      <c r="AT594" s="76">
        <f t="shared" si="135"/>
        <v>0</v>
      </c>
      <c r="AU594" s="76">
        <f t="shared" si="136"/>
        <v>50.578593403164511</v>
      </c>
      <c r="AV594" s="76">
        <f>MAX(0,(AU594-Constantes!$D$13)*(1-EXP(-Constantes!$D$24)))</f>
        <v>2.7950501949838766E-2</v>
      </c>
      <c r="AW594" s="170">
        <f>AW593+(Entradas!$F$112*AT594-AX593)/(800*Entradas!$D$25)</f>
        <v>0</v>
      </c>
      <c r="AX594" s="170">
        <f>8000*Entradas!$D$26*AW594/Constantes!$F$45</f>
        <v>0</v>
      </c>
      <c r="AY594" s="170">
        <f>IF(Escenarios!$F$17&gt;0,10*Escenarios!$F$16*AL594,0)</f>
        <v>0</v>
      </c>
      <c r="AZ594" s="170">
        <f>IF(Escenarios!$F$17&gt;0,10*Escenarios!$F$16*AX594,0)</f>
        <v>0</v>
      </c>
      <c r="BA594" s="170">
        <f>IF(Escenarios!$F$17&gt;0,0.001*Observaciones!$F593*Escenarios!$F$17,0)</f>
        <v>0</v>
      </c>
      <c r="BB594" s="170">
        <f>IF(Escenarios!$F$17&gt;0,Observaciones!$K593,0)</f>
        <v>0</v>
      </c>
      <c r="BC594" s="170">
        <f>IF(Escenarios!$F$17&gt;0,MIN(0.0005*ETo!$M593*Escenarios!$F$17*(BG593/Constantes!$F$40)^(2/3),BG593+AY594+AZ594+BA594+BB594),0)</f>
        <v>0</v>
      </c>
      <c r="BD594" s="170">
        <f>IF(Escenarios!$F$17&gt;0,MIN(Constantes!$F$39*(BG593/Constantes!$F$40)^(2/3),BG593+AY594+AZ594+BA594+BB594-BC594),0)</f>
        <v>0</v>
      </c>
      <c r="BE594" s="170">
        <f>IF(Escenarios!$F$17&gt;0,MIN(Entradas!$F$113,BG593+AY594+AZ594+BA594+BB594-BC594-BD594),0)</f>
        <v>0</v>
      </c>
      <c r="BF594" s="170">
        <f>IF(Escenarios!$F$17&gt;0,MAX(0,BG593+AY594+AZ594+BA594+BB594-BC594-BD594-BE594-Constantes!$F$40),0)</f>
        <v>0</v>
      </c>
      <c r="BG594" s="170">
        <f t="shared" si="137"/>
        <v>0</v>
      </c>
      <c r="BH594" s="170">
        <f>(Escenarios!$F$16*AK594+0.1*BC594)/(Escenarios!$F$19)</f>
        <v>0.15383744777099656</v>
      </c>
      <c r="BI594" s="170">
        <f>IF(Escenarios!$F$17&gt;0,BF594/10/Escenarios!$F$19,AL594)</f>
        <v>0</v>
      </c>
      <c r="BJ594" s="170">
        <f>(Escenarios!$F$16*AT594+0.1*BD594)/(Escenarios!$F$19)</f>
        <v>0</v>
      </c>
      <c r="BK594" s="76">
        <f>BK593+(0.1*BD594)/(Escenarios!$F$19)-BL593</f>
        <v>48.75</v>
      </c>
      <c r="BL594" s="76">
        <f>MAX(0,(BK594-Constantes!$D$13)*(1-EXP(-Constantes!$D$23)))</f>
        <v>0</v>
      </c>
      <c r="BM594" s="76">
        <f t="shared" si="138"/>
        <v>0.34070871766749566</v>
      </c>
      <c r="BN594" s="76">
        <f t="shared" si="139"/>
        <v>0.34072906059536495</v>
      </c>
      <c r="BO594" s="76">
        <f>0.0526*BI594*Observaciones!$F593^1.218</f>
        <v>0</v>
      </c>
      <c r="BP594" s="76">
        <f>BO594*Constantes!$F$51</f>
        <v>0</v>
      </c>
      <c r="BQ594" s="76">
        <f t="shared" si="140"/>
        <v>0</v>
      </c>
      <c r="BR594" s="40"/>
    </row>
    <row r="595" spans="2:70">
      <c r="B595" s="39"/>
      <c r="C595" s="75">
        <v>589</v>
      </c>
      <c r="D595" s="146">
        <f>ETo!$I594*((1-Constantes!$F$19)*ETo!$K594+ETo!$L594)</f>
        <v>3.1227323073645876</v>
      </c>
      <c r="E595" s="76">
        <f>MIN(D595*Constantes!$F$17,0.8*(N594+Observaciones!$F594-F595-M595-Constantes!$D$14))</f>
        <v>5.4291185320209934E-4</v>
      </c>
      <c r="F595" s="76">
        <f>IF(Observaciones!$F594&gt;0.05*Constantes!$F$18,((Observaciones!$F594-0.05*Constantes!$F$18)^2)/(Observaciones!$F594+0.95*Constantes!$F$18),0)</f>
        <v>0</v>
      </c>
      <c r="G595" s="76">
        <f>IF(Escenarios!$F$11&gt;0,(F595*Escenarios!$F$16*10000)/1000,0)</f>
        <v>0</v>
      </c>
      <c r="H595" s="76">
        <f>IF(Escenarios!$F$11&gt;0,(Observaciones!$F594*Constantes!$F$29)/1000,0)</f>
        <v>0</v>
      </c>
      <c r="I595" s="76">
        <f>IF(Escenarios!$F$11&gt;0,(D595*Constantes!$F$29)/1000,0)</f>
        <v>0</v>
      </c>
      <c r="J595" s="76">
        <f>IF(Escenarios!$F$11&gt;0,MAX(0,G595+H595-I595),0)</f>
        <v>0</v>
      </c>
      <c r="K595" s="76">
        <f>IF(Escenarios!$F$11&gt;0,IF(J595&gt;Constantes!$F$30,1000*((J595-Constantes!$F$30)/(Escenarios!$F$16*10000)),0),F595)</f>
        <v>0</v>
      </c>
      <c r="L595" s="76">
        <f>IF(Escenarios!$F$11&gt;0,I595*1000/Escenarios!$F$16/10000+E595,E595)</f>
        <v>5.4291185320209934E-4</v>
      </c>
      <c r="M595" s="76">
        <f>MAX(0,N594+Observaciones!$F594-K595-Constantes!$D$13)</f>
        <v>0</v>
      </c>
      <c r="N595" s="76">
        <f>N594+Observaciones!$F594-K595-L595-M595-O594</f>
        <v>11.250112610999812</v>
      </c>
      <c r="O595" s="76">
        <f>MAX(0,(N595-Constantes!$D$14)*(1-EXP(-Constantes!$D$22)))</f>
        <v>3.83594405704673E-6</v>
      </c>
      <c r="P595" s="170">
        <f>P594+(Entradas!$F$83*M595-Q594)/(800*Entradas!$D$25)</f>
        <v>0</v>
      </c>
      <c r="Q595" s="170">
        <f>8000*Entradas!$D$26*P595/Constantes!$F$45</f>
        <v>0</v>
      </c>
      <c r="R595" s="170">
        <f>IF(Escenarios!$F$14&gt;0,K595*Escenarios!$F$13/Escenarios!$F$14,0)</f>
        <v>0</v>
      </c>
      <c r="S595" s="170">
        <f>IF(Escenarios!$F$14&gt;0,Q595*Escenarios!$F$13/Escenarios!$F$14,0)</f>
        <v>0</v>
      </c>
      <c r="T595" s="170">
        <f>IF(Escenarios!$F$14&gt;0,Observaciones!$I594,0)</f>
        <v>0</v>
      </c>
      <c r="U595" s="170">
        <f>IF(Escenarios!$F$14&gt;0,MAX(0,Constantes!$F$36/((Z594+R595+S595+T595+Observaciones!$F594)^2)+Entradas!$F$77),0)</f>
        <v>0</v>
      </c>
      <c r="V595" s="146">
        <f>IF(ETo!D594&gt;0,ETo!I594*((1-Entradas!$F$81)*ETo!K594+ETo!L594),0)</f>
        <v>2.7423367287504141</v>
      </c>
      <c r="W595" s="170">
        <f>IF(Escenarios!$F$14&gt;0,MIN(V595*1,0.8*(Z594+R595+S595+T595+Observaciones!$F594-U595-Constantes!$F$35)),0)</f>
        <v>9.0115276811957305E-4</v>
      </c>
      <c r="X595" s="170">
        <f>IF(Escenarios!$F$14&gt;0,Observaciones!$J594,0)</f>
        <v>0</v>
      </c>
      <c r="Y595" s="170">
        <f>IF(Escenarios!$F$14&gt;0,MAX(0,Z594+R595+S595+T595+Observaciones!$F594-U595-W595-X595-Constantes!$F$33),0)</f>
        <v>0</v>
      </c>
      <c r="Z595" s="170">
        <f>Z594+R595+S595+T595+Observaciones!$F594-U595-W595-Y595</f>
        <v>41.250225288192027</v>
      </c>
      <c r="AA595" s="170">
        <f>IF(Escenarios!$F$14&gt;0,(Escenarios!$F$13*L595+Escenarios!$F$14*W595)/(Escenarios!$F$16),L595)</f>
        <v>5.8590076299219621E-4</v>
      </c>
      <c r="AB595" s="170">
        <f>IF(Escenarios!$F$14&gt;0,(Escenarios!$F$14*Y595)/(Escenarios!$F$16),K595)</f>
        <v>0</v>
      </c>
      <c r="AC595" s="170">
        <f>IF(Escenarios!$F$14&gt;0,(Escenarios!$F$13*M595+Escenarios!$F$14*U595)/(Escenarios!$F$16),M595)</f>
        <v>0</v>
      </c>
      <c r="AD595" s="76">
        <f t="shared" si="127"/>
        <v>80.178909848967521</v>
      </c>
      <c r="AE595" s="76">
        <f>MAX(0,(AD595-Constantes!$D$13)*(1-EXP(-Constantes!$D$23)))</f>
        <v>0.30967653452498761</v>
      </c>
      <c r="AF595" s="76">
        <f>AB595+O595*Escenarios!$F$13/Escenarios!$F$16+AE595</f>
        <v>0.3096799101557578</v>
      </c>
      <c r="AG595" s="76">
        <f>IF(Entradas!$F$91&gt;0,IF(AF595-Escenarios!$F$38&lt;=0,0,IF(AF595-Escenarios!$F$38&gt;Escenarios!$F$37,Escenarios!$F$37,AF595-Escenarios!$F$38)),0)</f>
        <v>0</v>
      </c>
      <c r="AH595" s="76">
        <f>AG595*Entradas!$F$99</f>
        <v>0</v>
      </c>
      <c r="AI595" s="76">
        <f>IF(Entradas!$F$91&gt;0,D595*Entradas!$D$23/Escenarios!$F$16,0)</f>
        <v>0.14989115075350021</v>
      </c>
      <c r="AJ595" s="76">
        <f>IF(Entradas!$F$91&gt;0,Entradas!$D$24*Entradas!$D$22/Escenarios!$F$16,0)</f>
        <v>0.12</v>
      </c>
      <c r="AK595" s="76">
        <f t="shared" si="128"/>
        <v>0.1504770515164924</v>
      </c>
      <c r="AL595" s="76">
        <f t="shared" si="129"/>
        <v>0</v>
      </c>
      <c r="AM595" s="76">
        <f t="shared" si="130"/>
        <v>0</v>
      </c>
      <c r="AN595" s="76">
        <f>MAX(0,O595*Escenarios!$F$13/Escenarios!$F$16-AM595)</f>
        <v>3.375630770201122E-6</v>
      </c>
      <c r="AO595" s="76">
        <f>AM595+AN595-O595*Escenarios!$F$13/Escenarios!$F$16</f>
        <v>0</v>
      </c>
      <c r="AP595" s="76">
        <f t="shared" si="131"/>
        <v>0.30967653452498761</v>
      </c>
      <c r="AQ595" s="76">
        <f t="shared" si="132"/>
        <v>0</v>
      </c>
      <c r="AR595" s="76">
        <f t="shared" si="133"/>
        <v>0.3096799101557578</v>
      </c>
      <c r="AS595" s="76">
        <f t="shared" si="134"/>
        <v>0</v>
      </c>
      <c r="AT595" s="76">
        <f t="shared" si="135"/>
        <v>0</v>
      </c>
      <c r="AU595" s="76">
        <f t="shared" si="136"/>
        <v>50.550642901214673</v>
      </c>
      <c r="AV595" s="76">
        <f>MAX(0,(AU595-Constantes!$D$13)*(1-EXP(-Constantes!$D$24)))</f>
        <v>2.7523271621928819E-2</v>
      </c>
      <c r="AW595" s="170">
        <f>AW594+(Entradas!$F$112*AT595-AX594)/(800*Entradas!$D$25)</f>
        <v>0</v>
      </c>
      <c r="AX595" s="170">
        <f>8000*Entradas!$D$26*AW595/Constantes!$F$45</f>
        <v>0</v>
      </c>
      <c r="AY595" s="170">
        <f>IF(Escenarios!$F$17&gt;0,10*Escenarios!$F$16*AL595,0)</f>
        <v>0</v>
      </c>
      <c r="AZ595" s="170">
        <f>IF(Escenarios!$F$17&gt;0,10*Escenarios!$F$16*AX595,0)</f>
        <v>0</v>
      </c>
      <c r="BA595" s="170">
        <f>IF(Escenarios!$F$17&gt;0,0.001*Observaciones!$F594*Escenarios!$F$17,0)</f>
        <v>0</v>
      </c>
      <c r="BB595" s="170">
        <f>IF(Escenarios!$F$17&gt;0,Observaciones!$K594,0)</f>
        <v>0</v>
      </c>
      <c r="BC595" s="170">
        <f>IF(Escenarios!$F$17&gt;0,MIN(0.0005*ETo!$M594*Escenarios!$F$17*(BG594/Constantes!$F$40)^(2/3),BG594+AY595+AZ595+BA595+BB595),0)</f>
        <v>0</v>
      </c>
      <c r="BD595" s="170">
        <f>IF(Escenarios!$F$17&gt;0,MIN(Constantes!$F$39*(BG594/Constantes!$F$40)^(2/3),BG594+AY595+AZ595+BA595+BB595-BC595),0)</f>
        <v>0</v>
      </c>
      <c r="BE595" s="170">
        <f>IF(Escenarios!$F$17&gt;0,MIN(Entradas!$F$113,BG594+AY595+AZ595+BA595+BB595-BC595-BD595),0)</f>
        <v>0</v>
      </c>
      <c r="BF595" s="170">
        <f>IF(Escenarios!$F$17&gt;0,MAX(0,BG594+AY595+AZ595+BA595+BB595-BC595-BD595-BE595-Constantes!$F$40),0)</f>
        <v>0</v>
      </c>
      <c r="BG595" s="170">
        <f t="shared" si="137"/>
        <v>0</v>
      </c>
      <c r="BH595" s="170">
        <f>(Escenarios!$F$16*AK595+0.1*BC595)/(Escenarios!$F$19)</f>
        <v>0.1504770515164924</v>
      </c>
      <c r="BI595" s="170">
        <f>IF(Escenarios!$F$17&gt;0,BF595/10/Escenarios!$F$19,AL595)</f>
        <v>0</v>
      </c>
      <c r="BJ595" s="170">
        <f>(Escenarios!$F$16*AT595+0.1*BD595)/(Escenarios!$F$19)</f>
        <v>0</v>
      </c>
      <c r="BK595" s="76">
        <f>BK594+(0.1*BD595)/(Escenarios!$F$19)-BL594</f>
        <v>48.75</v>
      </c>
      <c r="BL595" s="76">
        <f>MAX(0,(BK595-Constantes!$D$13)*(1-EXP(-Constantes!$D$23)))</f>
        <v>0</v>
      </c>
      <c r="BM595" s="76">
        <f t="shared" si="138"/>
        <v>0.33719980614691641</v>
      </c>
      <c r="BN595" s="76">
        <f t="shared" si="139"/>
        <v>0.3372031817776866</v>
      </c>
      <c r="BO595" s="76">
        <f>0.0526*BI595*Observaciones!$F594^1.218</f>
        <v>0</v>
      </c>
      <c r="BP595" s="76">
        <f>BO595*Constantes!$F$51</f>
        <v>0</v>
      </c>
      <c r="BQ595" s="76">
        <f t="shared" si="140"/>
        <v>0</v>
      </c>
      <c r="BR595" s="40"/>
    </row>
    <row r="596" spans="2:70">
      <c r="B596" s="39"/>
      <c r="C596" s="75">
        <v>590</v>
      </c>
      <c r="D596" s="146">
        <f>ETo!$I595*((1-Constantes!$F$19)*ETo!$K595+ETo!$L595)</f>
        <v>3.118774652756926</v>
      </c>
      <c r="E596" s="76">
        <f>MIN(D596*Constantes!$F$17,0.8*(N595+Observaciones!$F595-F596-M596-Constantes!$D$14))</f>
        <v>0.16009008879984921</v>
      </c>
      <c r="F596" s="76">
        <f>IF(Observaciones!$F595&gt;0.05*Constantes!$F$18,((Observaciones!$F595-0.05*Constantes!$F$18)^2)/(Observaciones!$F595+0.95*Constantes!$F$18),0)</f>
        <v>0</v>
      </c>
      <c r="G596" s="76">
        <f>IF(Escenarios!$F$11&gt;0,(F596*Escenarios!$F$16*10000)/1000,0)</f>
        <v>0</v>
      </c>
      <c r="H596" s="76">
        <f>IF(Escenarios!$F$11&gt;0,(Observaciones!$F595*Constantes!$F$29)/1000,0)</f>
        <v>0</v>
      </c>
      <c r="I596" s="76">
        <f>IF(Escenarios!$F$11&gt;0,(D596*Constantes!$F$29)/1000,0)</f>
        <v>0</v>
      </c>
      <c r="J596" s="76">
        <f>IF(Escenarios!$F$11&gt;0,MAX(0,G596+H596-I596),0)</f>
        <v>0</v>
      </c>
      <c r="K596" s="76">
        <f>IF(Escenarios!$F$11&gt;0,IF(J596&gt;Constantes!$F$30,1000*((J596-Constantes!$F$30)/(Escenarios!$F$16*10000)),0),F596)</f>
        <v>0</v>
      </c>
      <c r="L596" s="76">
        <f>IF(Escenarios!$F$11&gt;0,I596*1000/Escenarios!$F$16/10000+E596,E596)</f>
        <v>0.16009008879984921</v>
      </c>
      <c r="M596" s="76">
        <f>MAX(0,N595+Observaciones!$F595-K596-Constantes!$D$13)</f>
        <v>0</v>
      </c>
      <c r="N596" s="76">
        <f>N595+Observaciones!$F595-K596-L596-M596-O595</f>
        <v>11.290018686255905</v>
      </c>
      <c r="O596" s="76">
        <f>MAX(0,(N596-Constantes!$D$14)*(1-EXP(-Constantes!$D$22)))</f>
        <v>1.363183365480961E-3</v>
      </c>
      <c r="P596" s="170">
        <f>P595+(Entradas!$F$83*M596-Q595)/(800*Entradas!$D$25)</f>
        <v>0</v>
      </c>
      <c r="Q596" s="170">
        <f>8000*Entradas!$D$26*P596/Constantes!$F$45</f>
        <v>0</v>
      </c>
      <c r="R596" s="170">
        <f>IF(Escenarios!$F$14&gt;0,K596*Escenarios!$F$13/Escenarios!$F$14,0)</f>
        <v>0</v>
      </c>
      <c r="S596" s="170">
        <f>IF(Escenarios!$F$14&gt;0,Q596*Escenarios!$F$13/Escenarios!$F$14,0)</f>
        <v>0</v>
      </c>
      <c r="T596" s="170">
        <f>IF(Escenarios!$F$14&gt;0,Observaciones!$I595,0)</f>
        <v>0</v>
      </c>
      <c r="U596" s="170">
        <f>IF(Escenarios!$F$14&gt;0,MAX(0,Constantes!$F$36/((Z595+R596+S596+T596+Observaciones!$F595)^2)+Entradas!$F$77),0)</f>
        <v>0</v>
      </c>
      <c r="V596" s="146">
        <f>IF(ETo!D595&gt;0,ETo!I595*((1-Entradas!$F$81)*ETo!K595+ETo!L595),0)</f>
        <v>2.7393455122617771</v>
      </c>
      <c r="W596" s="170">
        <f>IF(Escenarios!$F$14&gt;0,MIN(V596*1,0.8*(Z595+R596+S596+T596+Observaciones!$F595-U596-Constantes!$F$35)),0)</f>
        <v>0.16018023055362393</v>
      </c>
      <c r="X596" s="170">
        <f>IF(Escenarios!$F$14&gt;0,Observaciones!$J595,0)</f>
        <v>0</v>
      </c>
      <c r="Y596" s="170">
        <f>IF(Escenarios!$F$14&gt;0,MAX(0,Z595+R596+S596+T596+Observaciones!$F595-U596-W596-X596-Constantes!$F$33),0)</f>
        <v>0</v>
      </c>
      <c r="Z596" s="170">
        <f>Z595+R596+S596+T596+Observaciones!$F595-U596-W596-Y596</f>
        <v>41.290045057638409</v>
      </c>
      <c r="AA596" s="170">
        <f>IF(Escenarios!$F$14&gt;0,(Escenarios!$F$13*L596+Escenarios!$F$14*W596)/(Escenarios!$F$16),L596)</f>
        <v>0.16010090581030217</v>
      </c>
      <c r="AB596" s="170">
        <f>IF(Escenarios!$F$14&gt;0,(Escenarios!$F$14*Y596)/(Escenarios!$F$16),K596)</f>
        <v>0</v>
      </c>
      <c r="AC596" s="170">
        <f>IF(Escenarios!$F$14&gt;0,(Escenarios!$F$13*M596+Escenarios!$F$14*U596)/(Escenarios!$F$16),M596)</f>
        <v>0</v>
      </c>
      <c r="AD596" s="76">
        <f t="shared" si="127"/>
        <v>79.869233314442539</v>
      </c>
      <c r="AE596" s="76">
        <f>MAX(0,(AD596-Constantes!$D$13)*(1-EXP(-Constantes!$D$23)))</f>
        <v>0.30662521787110902</v>
      </c>
      <c r="AF596" s="76">
        <f>AB596+O596*Escenarios!$F$13/Escenarios!$F$16+AE596</f>
        <v>0.30782481923273225</v>
      </c>
      <c r="AG596" s="76">
        <f>IF(Entradas!$F$91&gt;0,IF(AF596-Escenarios!$F$38&lt;=0,0,IF(AF596-Escenarios!$F$38&gt;Escenarios!$F$37,Escenarios!$F$37,AF596-Escenarios!$F$38)),0)</f>
        <v>0</v>
      </c>
      <c r="AH596" s="76">
        <f>AG596*Entradas!$F$99</f>
        <v>0</v>
      </c>
      <c r="AI596" s="76">
        <f>IF(Entradas!$F$91&gt;0,D596*Entradas!$D$23/Escenarios!$F$16,0)</f>
        <v>0.14970118333233245</v>
      </c>
      <c r="AJ596" s="76">
        <f>IF(Entradas!$F$91&gt;0,Entradas!$D$24*Entradas!$D$22/Escenarios!$F$16,0)</f>
        <v>0.12</v>
      </c>
      <c r="AK596" s="76">
        <f t="shared" si="128"/>
        <v>0.30980208914263463</v>
      </c>
      <c r="AL596" s="76">
        <f t="shared" si="129"/>
        <v>0</v>
      </c>
      <c r="AM596" s="76">
        <f t="shared" si="130"/>
        <v>0</v>
      </c>
      <c r="AN596" s="76">
        <f>MAX(0,O596*Escenarios!$F$13/Escenarios!$F$16-AM596)</f>
        <v>1.1996013616232457E-3</v>
      </c>
      <c r="AO596" s="76">
        <f>AM596+AN596-O596*Escenarios!$F$13/Escenarios!$F$16</f>
        <v>0</v>
      </c>
      <c r="AP596" s="76">
        <f t="shared" si="131"/>
        <v>0.30662521787110902</v>
      </c>
      <c r="AQ596" s="76">
        <f t="shared" si="132"/>
        <v>0</v>
      </c>
      <c r="AR596" s="76">
        <f t="shared" si="133"/>
        <v>0.30782481923273225</v>
      </c>
      <c r="AS596" s="76">
        <f t="shared" si="134"/>
        <v>0</v>
      </c>
      <c r="AT596" s="76">
        <f t="shared" si="135"/>
        <v>0</v>
      </c>
      <c r="AU596" s="76">
        <f t="shared" si="136"/>
        <v>50.523119629592742</v>
      </c>
      <c r="AV596" s="76">
        <f>MAX(0,(AU596-Constantes!$D$13)*(1-EXP(-Constantes!$D$24)))</f>
        <v>2.7102571615134848E-2</v>
      </c>
      <c r="AW596" s="170">
        <f>AW595+(Entradas!$F$112*AT596-AX595)/(800*Entradas!$D$25)</f>
        <v>0</v>
      </c>
      <c r="AX596" s="170">
        <f>8000*Entradas!$D$26*AW596/Constantes!$F$45</f>
        <v>0</v>
      </c>
      <c r="AY596" s="170">
        <f>IF(Escenarios!$F$17&gt;0,10*Escenarios!$F$16*AL596,0)</f>
        <v>0</v>
      </c>
      <c r="AZ596" s="170">
        <f>IF(Escenarios!$F$17&gt;0,10*Escenarios!$F$16*AX596,0)</f>
        <v>0</v>
      </c>
      <c r="BA596" s="170">
        <f>IF(Escenarios!$F$17&gt;0,0.001*Observaciones!$F595*Escenarios!$F$17,0)</f>
        <v>0</v>
      </c>
      <c r="BB596" s="170">
        <f>IF(Escenarios!$F$17&gt;0,Observaciones!$K595,0)</f>
        <v>0</v>
      </c>
      <c r="BC596" s="170">
        <f>IF(Escenarios!$F$17&gt;0,MIN(0.0005*ETo!$M595*Escenarios!$F$17*(BG595/Constantes!$F$40)^(2/3),BG595+AY596+AZ596+BA596+BB596),0)</f>
        <v>0</v>
      </c>
      <c r="BD596" s="170">
        <f>IF(Escenarios!$F$17&gt;0,MIN(Constantes!$F$39*(BG595/Constantes!$F$40)^(2/3),BG595+AY596+AZ596+BA596+BB596-BC596),0)</f>
        <v>0</v>
      </c>
      <c r="BE596" s="170">
        <f>IF(Escenarios!$F$17&gt;0,MIN(Entradas!$F$113,BG595+AY596+AZ596+BA596+BB596-BC596-BD596),0)</f>
        <v>0</v>
      </c>
      <c r="BF596" s="170">
        <f>IF(Escenarios!$F$17&gt;0,MAX(0,BG595+AY596+AZ596+BA596+BB596-BC596-BD596-BE596-Constantes!$F$40),0)</f>
        <v>0</v>
      </c>
      <c r="BG596" s="170">
        <f t="shared" si="137"/>
        <v>0</v>
      </c>
      <c r="BH596" s="170">
        <f>(Escenarios!$F$16*AK596+0.1*BC596)/(Escenarios!$F$19)</f>
        <v>0.30980208914263463</v>
      </c>
      <c r="BI596" s="170">
        <f>IF(Escenarios!$F$17&gt;0,BF596/10/Escenarios!$F$19,AL596)</f>
        <v>0</v>
      </c>
      <c r="BJ596" s="170">
        <f>(Escenarios!$F$16*AT596+0.1*BD596)/(Escenarios!$F$19)</f>
        <v>0</v>
      </c>
      <c r="BK596" s="76">
        <f>BK595+(0.1*BD596)/(Escenarios!$F$19)-BL595</f>
        <v>48.75</v>
      </c>
      <c r="BL596" s="76">
        <f>MAX(0,(BK596-Constantes!$D$13)*(1-EXP(-Constantes!$D$23)))</f>
        <v>0</v>
      </c>
      <c r="BM596" s="76">
        <f t="shared" si="138"/>
        <v>0.33372778948624388</v>
      </c>
      <c r="BN596" s="76">
        <f t="shared" si="139"/>
        <v>0.3349273908478671</v>
      </c>
      <c r="BO596" s="76">
        <f>0.0526*BI596*Observaciones!$F595^1.218</f>
        <v>0</v>
      </c>
      <c r="BP596" s="76">
        <f>BO596*Constantes!$F$51</f>
        <v>0</v>
      </c>
      <c r="BQ596" s="76">
        <f t="shared" si="140"/>
        <v>0</v>
      </c>
      <c r="BR596" s="40"/>
    </row>
    <row r="597" spans="2:70">
      <c r="B597" s="39"/>
      <c r="C597" s="75">
        <v>591</v>
      </c>
      <c r="D597" s="146">
        <f>ETo!$I596*((1-Constantes!$F$19)*ETo!$K596+ETo!$L596)</f>
        <v>3.1254896201353275</v>
      </c>
      <c r="E597" s="76">
        <f>MIN(D597*Constantes!$F$17,0.8*(N596+Observaciones!$F596-F597-M597-Constantes!$D$14))</f>
        <v>3.2014949004724257E-2</v>
      </c>
      <c r="F597" s="76">
        <f>IF(Observaciones!$F596&gt;0.05*Constantes!$F$18,((Observaciones!$F596-0.05*Constantes!$F$18)^2)/(Observaciones!$F596+0.95*Constantes!$F$18),0)</f>
        <v>0</v>
      </c>
      <c r="G597" s="76">
        <f>IF(Escenarios!$F$11&gt;0,(F597*Escenarios!$F$16*10000)/1000,0)</f>
        <v>0</v>
      </c>
      <c r="H597" s="76">
        <f>IF(Escenarios!$F$11&gt;0,(Observaciones!$F596*Constantes!$F$29)/1000,0)</f>
        <v>0</v>
      </c>
      <c r="I597" s="76">
        <f>IF(Escenarios!$F$11&gt;0,(D597*Constantes!$F$29)/1000,0)</f>
        <v>0</v>
      </c>
      <c r="J597" s="76">
        <f>IF(Escenarios!$F$11&gt;0,MAX(0,G597+H597-I597),0)</f>
        <v>0</v>
      </c>
      <c r="K597" s="76">
        <f>IF(Escenarios!$F$11&gt;0,IF(J597&gt;Constantes!$F$30,1000*((J597-Constantes!$F$30)/(Escenarios!$F$16*10000)),0),F597)</f>
        <v>0</v>
      </c>
      <c r="L597" s="76">
        <f>IF(Escenarios!$F$11&gt;0,I597*1000/Escenarios!$F$16/10000+E597,E597)</f>
        <v>3.2014949004724257E-2</v>
      </c>
      <c r="M597" s="76">
        <f>MAX(0,N596+Observaciones!$F596-K597-Constantes!$D$13)</f>
        <v>0</v>
      </c>
      <c r="N597" s="76">
        <f>N596+Observaciones!$F596-K597-L597-M597-O596</f>
        <v>11.256640553885701</v>
      </c>
      <c r="O597" s="76">
        <f>MAX(0,(N597-Constantes!$D$14)*(1-EXP(-Constantes!$D$22)))</f>
        <v>2.2620164331935185E-4</v>
      </c>
      <c r="P597" s="170">
        <f>P596+(Entradas!$F$83*M597-Q596)/(800*Entradas!$D$25)</f>
        <v>0</v>
      </c>
      <c r="Q597" s="170">
        <f>8000*Entradas!$D$26*P597/Constantes!$F$45</f>
        <v>0</v>
      </c>
      <c r="R597" s="170">
        <f>IF(Escenarios!$F$14&gt;0,K597*Escenarios!$F$13/Escenarios!$F$14,0)</f>
        <v>0</v>
      </c>
      <c r="S597" s="170">
        <f>IF(Escenarios!$F$14&gt;0,Q597*Escenarios!$F$13/Escenarios!$F$14,0)</f>
        <v>0</v>
      </c>
      <c r="T597" s="170">
        <f>IF(Escenarios!$F$14&gt;0,Observaciones!$I596,0)</f>
        <v>0</v>
      </c>
      <c r="U597" s="170">
        <f>IF(Escenarios!$F$14&gt;0,MAX(0,Constantes!$F$36/((Z596+R597+S597+T597+Observaciones!$F596)^2)+Entradas!$F$77),0)</f>
        <v>0</v>
      </c>
      <c r="V597" s="146">
        <f>IF(ETo!D596&gt;0,ETo!I596*((1-Entradas!$F$81)*ETo!K596+ETo!L596),0)</f>
        <v>2.7458309880598404</v>
      </c>
      <c r="W597" s="170">
        <f>IF(Escenarios!$F$14&gt;0,MIN(V597*1,0.8*(Z596+R597+S597+T597+Observaciones!$F596-U597-Constantes!$F$35)),0)</f>
        <v>3.2036046110727058E-2</v>
      </c>
      <c r="X597" s="170">
        <f>IF(Escenarios!$F$14&gt;0,Observaciones!$J596,0)</f>
        <v>0</v>
      </c>
      <c r="Y597" s="170">
        <f>IF(Escenarios!$F$14&gt;0,MAX(0,Z596+R597+S597+T597+Observaciones!$F596-U597-W597-X597-Constantes!$F$33),0)</f>
        <v>0</v>
      </c>
      <c r="Z597" s="170">
        <f>Z596+R597+S597+T597+Observaciones!$F596-U597-W597-Y597</f>
        <v>41.258009011527683</v>
      </c>
      <c r="AA597" s="170">
        <f>IF(Escenarios!$F$14&gt;0,(Escenarios!$F$13*L597+Escenarios!$F$14*W597)/(Escenarios!$F$16),L597)</f>
        <v>3.2017480657444593E-2</v>
      </c>
      <c r="AB597" s="170">
        <f>IF(Escenarios!$F$14&gt;0,(Escenarios!$F$14*Y597)/(Escenarios!$F$16),K597)</f>
        <v>0</v>
      </c>
      <c r="AC597" s="170">
        <f>IF(Escenarios!$F$14&gt;0,(Escenarios!$F$13*M597+Escenarios!$F$14*U597)/(Escenarios!$F$16),M597)</f>
        <v>0</v>
      </c>
      <c r="AD597" s="76">
        <f t="shared" si="127"/>
        <v>79.562608096571424</v>
      </c>
      <c r="AE597" s="76">
        <f>MAX(0,(AD597-Constantes!$D$13)*(1-EXP(-Constantes!$D$23)))</f>
        <v>0.30360396656698796</v>
      </c>
      <c r="AF597" s="76">
        <f>AB597+O597*Escenarios!$F$13/Escenarios!$F$16+AE597</f>
        <v>0.30380302401310899</v>
      </c>
      <c r="AG597" s="76">
        <f>IF(Entradas!$F$91&gt;0,IF(AF597-Escenarios!$F$38&lt;=0,0,IF(AF597-Escenarios!$F$38&gt;Escenarios!$F$37,Escenarios!$F$37,AF597-Escenarios!$F$38)),0)</f>
        <v>0</v>
      </c>
      <c r="AH597" s="76">
        <f>AG597*Entradas!$F$99</f>
        <v>0</v>
      </c>
      <c r="AI597" s="76">
        <f>IF(Entradas!$F$91&gt;0,D597*Entradas!$D$23/Escenarios!$F$16,0)</f>
        <v>0.1500235017664957</v>
      </c>
      <c r="AJ597" s="76">
        <f>IF(Entradas!$F$91&gt;0,Entradas!$D$24*Entradas!$D$22/Escenarios!$F$16,0)</f>
        <v>0.12</v>
      </c>
      <c r="AK597" s="76">
        <f t="shared" si="128"/>
        <v>0.18204098242394029</v>
      </c>
      <c r="AL597" s="76">
        <f t="shared" si="129"/>
        <v>0</v>
      </c>
      <c r="AM597" s="76">
        <f t="shared" si="130"/>
        <v>0</v>
      </c>
      <c r="AN597" s="76">
        <f>MAX(0,O597*Escenarios!$F$13/Escenarios!$F$16-AM597)</f>
        <v>1.9905744612102962E-4</v>
      </c>
      <c r="AO597" s="76">
        <f>AM597+AN597-O597*Escenarios!$F$13/Escenarios!$F$16</f>
        <v>0</v>
      </c>
      <c r="AP597" s="76">
        <f t="shared" si="131"/>
        <v>0.30360396656698796</v>
      </c>
      <c r="AQ597" s="76">
        <f t="shared" si="132"/>
        <v>0</v>
      </c>
      <c r="AR597" s="76">
        <f t="shared" si="133"/>
        <v>0.30380302401310899</v>
      </c>
      <c r="AS597" s="76">
        <f t="shared" si="134"/>
        <v>0</v>
      </c>
      <c r="AT597" s="76">
        <f t="shared" si="135"/>
        <v>0</v>
      </c>
      <c r="AU597" s="76">
        <f t="shared" si="136"/>
        <v>50.49601705797761</v>
      </c>
      <c r="AV597" s="76">
        <f>MAX(0,(AU597-Constantes!$D$13)*(1-EXP(-Constantes!$D$24)))</f>
        <v>2.6688302111885293E-2</v>
      </c>
      <c r="AW597" s="170">
        <f>AW596+(Entradas!$F$112*AT597-AX596)/(800*Entradas!$D$25)</f>
        <v>0</v>
      </c>
      <c r="AX597" s="170">
        <f>8000*Entradas!$D$26*AW597/Constantes!$F$45</f>
        <v>0</v>
      </c>
      <c r="AY597" s="170">
        <f>IF(Escenarios!$F$17&gt;0,10*Escenarios!$F$16*AL597,0)</f>
        <v>0</v>
      </c>
      <c r="AZ597" s="170">
        <f>IF(Escenarios!$F$17&gt;0,10*Escenarios!$F$16*AX597,0)</f>
        <v>0</v>
      </c>
      <c r="BA597" s="170">
        <f>IF(Escenarios!$F$17&gt;0,0.001*Observaciones!$F596*Escenarios!$F$17,0)</f>
        <v>0</v>
      </c>
      <c r="BB597" s="170">
        <f>IF(Escenarios!$F$17&gt;0,Observaciones!$K596,0)</f>
        <v>0</v>
      </c>
      <c r="BC597" s="170">
        <f>IF(Escenarios!$F$17&gt;0,MIN(0.0005*ETo!$M596*Escenarios!$F$17*(BG596/Constantes!$F$40)^(2/3),BG596+AY597+AZ597+BA597+BB597),0)</f>
        <v>0</v>
      </c>
      <c r="BD597" s="170">
        <f>IF(Escenarios!$F$17&gt;0,MIN(Constantes!$F$39*(BG596/Constantes!$F$40)^(2/3),BG596+AY597+AZ597+BA597+BB597-BC597),0)</f>
        <v>0</v>
      </c>
      <c r="BE597" s="170">
        <f>IF(Escenarios!$F$17&gt;0,MIN(Entradas!$F$113,BG596+AY597+AZ597+BA597+BB597-BC597-BD597),0)</f>
        <v>0</v>
      </c>
      <c r="BF597" s="170">
        <f>IF(Escenarios!$F$17&gt;0,MAX(0,BG596+AY597+AZ597+BA597+BB597-BC597-BD597-BE597-Constantes!$F$40),0)</f>
        <v>0</v>
      </c>
      <c r="BG597" s="170">
        <f t="shared" si="137"/>
        <v>0</v>
      </c>
      <c r="BH597" s="170">
        <f>(Escenarios!$F$16*AK597+0.1*BC597)/(Escenarios!$F$19)</f>
        <v>0.18204098242394029</v>
      </c>
      <c r="BI597" s="170">
        <f>IF(Escenarios!$F$17&gt;0,BF597/10/Escenarios!$F$19,AL597)</f>
        <v>0</v>
      </c>
      <c r="BJ597" s="170">
        <f>(Escenarios!$F$16*AT597+0.1*BD597)/(Escenarios!$F$19)</f>
        <v>0</v>
      </c>
      <c r="BK597" s="76">
        <f>BK596+(0.1*BD597)/(Escenarios!$F$19)-BL596</f>
        <v>48.75</v>
      </c>
      <c r="BL597" s="76">
        <f>MAX(0,(BK597-Constantes!$D$13)*(1-EXP(-Constantes!$D$23)))</f>
        <v>0</v>
      </c>
      <c r="BM597" s="76">
        <f t="shared" si="138"/>
        <v>0.33029226867887324</v>
      </c>
      <c r="BN597" s="76">
        <f t="shared" si="139"/>
        <v>0.33049132612499427</v>
      </c>
      <c r="BO597" s="76">
        <f>0.0526*BI597*Observaciones!$F596^1.218</f>
        <v>0</v>
      </c>
      <c r="BP597" s="76">
        <f>BO597*Constantes!$F$51</f>
        <v>0</v>
      </c>
      <c r="BQ597" s="76">
        <f t="shared" si="140"/>
        <v>0</v>
      </c>
      <c r="BR597" s="40"/>
    </row>
    <row r="598" spans="2:70">
      <c r="B598" s="39"/>
      <c r="C598" s="75">
        <v>592</v>
      </c>
      <c r="D598" s="146">
        <f>ETo!$I597*((1-Constantes!$F$19)*ETo!$K597+ETo!$L597)</f>
        <v>3.1719279580347006</v>
      </c>
      <c r="E598" s="76">
        <f>MIN(D598*Constantes!$F$17,0.8*(N597+Observaciones!$F597-F598-M598-Constantes!$D$14))</f>
        <v>5.3124431085606718E-3</v>
      </c>
      <c r="F598" s="76">
        <f>IF(Observaciones!$F597&gt;0.05*Constantes!$F$18,((Observaciones!$F597-0.05*Constantes!$F$18)^2)/(Observaciones!$F597+0.95*Constantes!$F$18),0)</f>
        <v>0</v>
      </c>
      <c r="G598" s="76">
        <f>IF(Escenarios!$F$11&gt;0,(F598*Escenarios!$F$16*10000)/1000,0)</f>
        <v>0</v>
      </c>
      <c r="H598" s="76">
        <f>IF(Escenarios!$F$11&gt;0,(Observaciones!$F597*Constantes!$F$29)/1000,0)</f>
        <v>0</v>
      </c>
      <c r="I598" s="76">
        <f>IF(Escenarios!$F$11&gt;0,(D598*Constantes!$F$29)/1000,0)</f>
        <v>0</v>
      </c>
      <c r="J598" s="76">
        <f>IF(Escenarios!$F$11&gt;0,MAX(0,G598+H598-I598),0)</f>
        <v>0</v>
      </c>
      <c r="K598" s="76">
        <f>IF(Escenarios!$F$11&gt;0,IF(J598&gt;Constantes!$F$30,1000*((J598-Constantes!$F$30)/(Escenarios!$F$16*10000)),0),F598)</f>
        <v>0</v>
      </c>
      <c r="L598" s="76">
        <f>IF(Escenarios!$F$11&gt;0,I598*1000/Escenarios!$F$16/10000+E598,E598)</f>
        <v>5.3124431085606718E-3</v>
      </c>
      <c r="M598" s="76">
        <f>MAX(0,N597+Observaciones!$F597-K598-Constantes!$D$13)</f>
        <v>0</v>
      </c>
      <c r="N598" s="76">
        <f>N597+Observaciones!$F597-K598-L598-M598-O597</f>
        <v>11.251101909133821</v>
      </c>
      <c r="O598" s="76">
        <f>MAX(0,(N598-Constantes!$D$14)*(1-EXP(-Constantes!$D$22)))</f>
        <v>3.7535070289183801E-5</v>
      </c>
      <c r="P598" s="170">
        <f>P597+(Entradas!$F$83*M598-Q597)/(800*Entradas!$D$25)</f>
        <v>0</v>
      </c>
      <c r="Q598" s="170">
        <f>8000*Entradas!$D$26*P598/Constantes!$F$45</f>
        <v>0</v>
      </c>
      <c r="R598" s="170">
        <f>IF(Escenarios!$F$14&gt;0,K598*Escenarios!$F$13/Escenarios!$F$14,0)</f>
        <v>0</v>
      </c>
      <c r="S598" s="170">
        <f>IF(Escenarios!$F$14&gt;0,Q598*Escenarios!$F$13/Escenarios!$F$14,0)</f>
        <v>0</v>
      </c>
      <c r="T598" s="170">
        <f>IF(Escenarios!$F$14&gt;0,Observaciones!$I597,0)</f>
        <v>0</v>
      </c>
      <c r="U598" s="170">
        <f>IF(Escenarios!$F$14&gt;0,MAX(0,Constantes!$F$36/((Z597+R598+S598+T598+Observaciones!$F597)^2)+Entradas!$F$77),0)</f>
        <v>0</v>
      </c>
      <c r="V598" s="146">
        <f>IF(ETo!D597&gt;0,ETo!I597*((1-Entradas!$F$81)*ETo!K597+ETo!L597),0)</f>
        <v>2.7875651793124878</v>
      </c>
      <c r="W598" s="170">
        <f>IF(Escenarios!$F$14&gt;0,MIN(V598*1,0.8*(Z597+R598+S598+T598+Observaciones!$F597-U598-Constantes!$F$35)),0)</f>
        <v>6.4072092221465482E-3</v>
      </c>
      <c r="X598" s="170">
        <f>IF(Escenarios!$F$14&gt;0,Observaciones!$J597,0)</f>
        <v>0</v>
      </c>
      <c r="Y598" s="170">
        <f>IF(Escenarios!$F$14&gt;0,MAX(0,Z597+R598+S598+T598+Observaciones!$F597-U598-W598-X598-Constantes!$F$33),0)</f>
        <v>0</v>
      </c>
      <c r="Z598" s="170">
        <f>Z597+R598+S598+T598+Observaciones!$F597-U598-W598-Y598</f>
        <v>41.251601802305537</v>
      </c>
      <c r="AA598" s="170">
        <f>IF(Escenarios!$F$14&gt;0,(Escenarios!$F$13*L598+Escenarios!$F$14*W598)/(Escenarios!$F$16),L598)</f>
        <v>5.4438150421909767E-3</v>
      </c>
      <c r="AB598" s="170">
        <f>IF(Escenarios!$F$14&gt;0,(Escenarios!$F$14*Y598)/(Escenarios!$F$16),K598)</f>
        <v>0</v>
      </c>
      <c r="AC598" s="170">
        <f>IF(Escenarios!$F$14&gt;0,(Escenarios!$F$13*M598+Escenarios!$F$14*U598)/(Escenarios!$F$16),M598)</f>
        <v>0</v>
      </c>
      <c r="AD598" s="76">
        <f t="shared" si="127"/>
        <v>79.259004130004442</v>
      </c>
      <c r="AE598" s="76">
        <f>MAX(0,(AD598-Constantes!$D$13)*(1-EXP(-Constantes!$D$23)))</f>
        <v>0.30061248437157251</v>
      </c>
      <c r="AF598" s="76">
        <f>AB598+O598*Escenarios!$F$13/Escenarios!$F$16+AE598</f>
        <v>0.30064551523342697</v>
      </c>
      <c r="AG598" s="76">
        <f>IF(Entradas!$F$91&gt;0,IF(AF598-Escenarios!$F$38&lt;=0,0,IF(AF598-Escenarios!$F$38&gt;Escenarios!$F$37,Escenarios!$F$37,AF598-Escenarios!$F$38)),0)</f>
        <v>0</v>
      </c>
      <c r="AH598" s="76">
        <f>AG598*Entradas!$F$99</f>
        <v>0</v>
      </c>
      <c r="AI598" s="76">
        <f>IF(Entradas!$F$91&gt;0,D598*Entradas!$D$23/Escenarios!$F$16,0)</f>
        <v>0.15225254198566562</v>
      </c>
      <c r="AJ598" s="76">
        <f>IF(Entradas!$F$91&gt;0,Entradas!$D$24*Entradas!$D$22/Escenarios!$F$16,0)</f>
        <v>0.12</v>
      </c>
      <c r="AK598" s="76">
        <f t="shared" si="128"/>
        <v>0.15769635702785659</v>
      </c>
      <c r="AL598" s="76">
        <f t="shared" si="129"/>
        <v>0</v>
      </c>
      <c r="AM598" s="76">
        <f t="shared" si="130"/>
        <v>0</v>
      </c>
      <c r="AN598" s="76">
        <f>MAX(0,O598*Escenarios!$F$13/Escenarios!$F$16-AM598)</f>
        <v>3.3030861854481744E-5</v>
      </c>
      <c r="AO598" s="76">
        <f>AM598+AN598-O598*Escenarios!$F$13/Escenarios!$F$16</f>
        <v>0</v>
      </c>
      <c r="AP598" s="76">
        <f t="shared" si="131"/>
        <v>0.30061248437157251</v>
      </c>
      <c r="AQ598" s="76">
        <f t="shared" si="132"/>
        <v>0</v>
      </c>
      <c r="AR598" s="76">
        <f t="shared" si="133"/>
        <v>0.30064551523342697</v>
      </c>
      <c r="AS598" s="76">
        <f t="shared" si="134"/>
        <v>0</v>
      </c>
      <c r="AT598" s="76">
        <f t="shared" si="135"/>
        <v>0</v>
      </c>
      <c r="AU598" s="76">
        <f t="shared" si="136"/>
        <v>50.469328755865725</v>
      </c>
      <c r="AV598" s="76">
        <f>MAX(0,(AU598-Constantes!$D$13)*(1-EXP(-Constantes!$D$24)))</f>
        <v>2.6280364820344581E-2</v>
      </c>
      <c r="AW598" s="170">
        <f>AW597+(Entradas!$F$112*AT598-AX597)/(800*Entradas!$D$25)</f>
        <v>0</v>
      </c>
      <c r="AX598" s="170">
        <f>8000*Entradas!$D$26*AW598/Constantes!$F$45</f>
        <v>0</v>
      </c>
      <c r="AY598" s="170">
        <f>IF(Escenarios!$F$17&gt;0,10*Escenarios!$F$16*AL598,0)</f>
        <v>0</v>
      </c>
      <c r="AZ598" s="170">
        <f>IF(Escenarios!$F$17&gt;0,10*Escenarios!$F$16*AX598,0)</f>
        <v>0</v>
      </c>
      <c r="BA598" s="170">
        <f>IF(Escenarios!$F$17&gt;0,0.001*Observaciones!$F597*Escenarios!$F$17,0)</f>
        <v>0</v>
      </c>
      <c r="BB598" s="170">
        <f>IF(Escenarios!$F$17&gt;0,Observaciones!$K597,0)</f>
        <v>0</v>
      </c>
      <c r="BC598" s="170">
        <f>IF(Escenarios!$F$17&gt;0,MIN(0.0005*ETo!$M597*Escenarios!$F$17*(BG597/Constantes!$F$40)^(2/3),BG597+AY598+AZ598+BA598+BB598),0)</f>
        <v>0</v>
      </c>
      <c r="BD598" s="170">
        <f>IF(Escenarios!$F$17&gt;0,MIN(Constantes!$F$39*(BG597/Constantes!$F$40)^(2/3),BG597+AY598+AZ598+BA598+BB598-BC598),0)</f>
        <v>0</v>
      </c>
      <c r="BE598" s="170">
        <f>IF(Escenarios!$F$17&gt;0,MIN(Entradas!$F$113,BG597+AY598+AZ598+BA598+BB598-BC598-BD598),0)</f>
        <v>0</v>
      </c>
      <c r="BF598" s="170">
        <f>IF(Escenarios!$F$17&gt;0,MAX(0,BG597+AY598+AZ598+BA598+BB598-BC598-BD598-BE598-Constantes!$F$40),0)</f>
        <v>0</v>
      </c>
      <c r="BG598" s="170">
        <f t="shared" si="137"/>
        <v>0</v>
      </c>
      <c r="BH598" s="170">
        <f>(Escenarios!$F$16*AK598+0.1*BC598)/(Escenarios!$F$19)</f>
        <v>0.15769635702785659</v>
      </c>
      <c r="BI598" s="170">
        <f>IF(Escenarios!$F$17&gt;0,BF598/10/Escenarios!$F$19,AL598)</f>
        <v>0</v>
      </c>
      <c r="BJ598" s="170">
        <f>(Escenarios!$F$16*AT598+0.1*BD598)/(Escenarios!$F$19)</f>
        <v>0</v>
      </c>
      <c r="BK598" s="76">
        <f>BK597+(0.1*BD598)/(Escenarios!$F$19)-BL597</f>
        <v>48.75</v>
      </c>
      <c r="BL598" s="76">
        <f>MAX(0,(BK598-Constantes!$D$13)*(1-EXP(-Constantes!$D$23)))</f>
        <v>0</v>
      </c>
      <c r="BM598" s="76">
        <f t="shared" si="138"/>
        <v>0.32689284919191708</v>
      </c>
      <c r="BN598" s="76">
        <f t="shared" si="139"/>
        <v>0.32692588005377154</v>
      </c>
      <c r="BO598" s="76">
        <f>0.0526*BI598*Observaciones!$F597^1.218</f>
        <v>0</v>
      </c>
      <c r="BP598" s="76">
        <f>BO598*Constantes!$F$51</f>
        <v>0</v>
      </c>
      <c r="BQ598" s="76">
        <f t="shared" si="140"/>
        <v>0</v>
      </c>
      <c r="BR598" s="40"/>
    </row>
    <row r="599" spans="2:70">
      <c r="B599" s="39"/>
      <c r="C599" s="75">
        <v>593</v>
      </c>
      <c r="D599" s="146">
        <f>ETo!$I598*((1-Constantes!$F$19)*ETo!$K598+ETo!$L598)</f>
        <v>3.1896789668134127</v>
      </c>
      <c r="E599" s="76">
        <f>MIN(D599*Constantes!$F$17,0.8*(N598+Observaciones!$F598-F599-M599-Constantes!$D$14))</f>
        <v>8.8152730705672868E-4</v>
      </c>
      <c r="F599" s="76">
        <f>IF(Observaciones!$F598&gt;0.05*Constantes!$F$18,((Observaciones!$F598-0.05*Constantes!$F$18)^2)/(Observaciones!$F598+0.95*Constantes!$F$18),0)</f>
        <v>0</v>
      </c>
      <c r="G599" s="76">
        <f>IF(Escenarios!$F$11&gt;0,(F599*Escenarios!$F$16*10000)/1000,0)</f>
        <v>0</v>
      </c>
      <c r="H599" s="76">
        <f>IF(Escenarios!$F$11&gt;0,(Observaciones!$F598*Constantes!$F$29)/1000,0)</f>
        <v>0</v>
      </c>
      <c r="I599" s="76">
        <f>IF(Escenarios!$F$11&gt;0,(D599*Constantes!$F$29)/1000,0)</f>
        <v>0</v>
      </c>
      <c r="J599" s="76">
        <f>IF(Escenarios!$F$11&gt;0,MAX(0,G599+H599-I599),0)</f>
        <v>0</v>
      </c>
      <c r="K599" s="76">
        <f>IF(Escenarios!$F$11&gt;0,IF(J599&gt;Constantes!$F$30,1000*((J599-Constantes!$F$30)/(Escenarios!$F$16*10000)),0),F599)</f>
        <v>0</v>
      </c>
      <c r="L599" s="76">
        <f>IF(Escenarios!$F$11&gt;0,I599*1000/Escenarios!$F$16/10000+E599,E599)</f>
        <v>8.8152730705672868E-4</v>
      </c>
      <c r="M599" s="76">
        <f>MAX(0,N598+Observaciones!$F598-K599-Constantes!$D$13)</f>
        <v>0</v>
      </c>
      <c r="N599" s="76">
        <f>N598+Observaciones!$F598-K599-L599-M599-O598</f>
        <v>11.250182846756475</v>
      </c>
      <c r="O599" s="76">
        <f>MAX(0,(N599-Constantes!$D$14)*(1-EXP(-Constantes!$D$22)))</f>
        <v>6.2284317697329866E-6</v>
      </c>
      <c r="P599" s="170">
        <f>P598+(Entradas!$F$83*M599-Q598)/(800*Entradas!$D$25)</f>
        <v>0</v>
      </c>
      <c r="Q599" s="170">
        <f>8000*Entradas!$D$26*P599/Constantes!$F$45</f>
        <v>0</v>
      </c>
      <c r="R599" s="170">
        <f>IF(Escenarios!$F$14&gt;0,K599*Escenarios!$F$13/Escenarios!$F$14,0)</f>
        <v>0</v>
      </c>
      <c r="S599" s="170">
        <f>IF(Escenarios!$F$14&gt;0,Q599*Escenarios!$F$13/Escenarios!$F$14,0)</f>
        <v>0</v>
      </c>
      <c r="T599" s="170">
        <f>IF(Escenarios!$F$14&gt;0,Observaciones!$I598,0)</f>
        <v>0</v>
      </c>
      <c r="U599" s="170">
        <f>IF(Escenarios!$F$14&gt;0,MAX(0,Constantes!$F$36/((Z598+R599+S599+T599+Observaciones!$F598)^2)+Entradas!$F$77),0)</f>
        <v>0</v>
      </c>
      <c r="V599" s="146">
        <f>IF(ETo!D598&gt;0,ETo!I598*((1-Entradas!$F$81)*ETo!K598+ETo!L598),0)</f>
        <v>2.8038467741565256</v>
      </c>
      <c r="W599" s="170">
        <f>IF(Escenarios!$F$14&gt;0,MIN(V599*1,0.8*(Z598+R599+S599+T599+Observaciones!$F598-U599-Constantes!$F$35)),0)</f>
        <v>1.2814418444293098E-3</v>
      </c>
      <c r="X599" s="170">
        <f>IF(Escenarios!$F$14&gt;0,Observaciones!$J598,0)</f>
        <v>0</v>
      </c>
      <c r="Y599" s="170">
        <f>IF(Escenarios!$F$14&gt;0,MAX(0,Z598+R599+S599+T599+Observaciones!$F598-U599-W599-X599-Constantes!$F$33),0)</f>
        <v>0</v>
      </c>
      <c r="Z599" s="170">
        <f>Z598+R599+S599+T599+Observaciones!$F598-U599-W599-Y599</f>
        <v>41.25032036046111</v>
      </c>
      <c r="AA599" s="170">
        <f>IF(Escenarios!$F$14&gt;0,(Escenarios!$F$13*L599+Escenarios!$F$14*W599)/(Escenarios!$F$16),L599)</f>
        <v>9.2951705154143837E-4</v>
      </c>
      <c r="AB599" s="170">
        <f>IF(Escenarios!$F$14&gt;0,(Escenarios!$F$14*Y599)/(Escenarios!$F$16),K599)</f>
        <v>0</v>
      </c>
      <c r="AC599" s="170">
        <f>IF(Escenarios!$F$14&gt;0,(Escenarios!$F$13*M599+Escenarios!$F$14*U599)/(Escenarios!$F$16),M599)</f>
        <v>0</v>
      </c>
      <c r="AD599" s="76">
        <f t="shared" si="127"/>
        <v>78.958391645632872</v>
      </c>
      <c r="AE599" s="76">
        <f>MAX(0,(AD599-Constantes!$D$13)*(1-EXP(-Constantes!$D$23)))</f>
        <v>0.29765047796274402</v>
      </c>
      <c r="AF599" s="76">
        <f>AB599+O599*Escenarios!$F$13/Escenarios!$F$16+AE599</f>
        <v>0.29765595898270136</v>
      </c>
      <c r="AG599" s="76">
        <f>IF(Entradas!$F$91&gt;0,IF(AF599-Escenarios!$F$38&lt;=0,0,IF(AF599-Escenarios!$F$38&gt;Escenarios!$F$37,Escenarios!$F$37,AF599-Escenarios!$F$38)),0)</f>
        <v>0</v>
      </c>
      <c r="AH599" s="76">
        <f>AG599*Entradas!$F$99</f>
        <v>0</v>
      </c>
      <c r="AI599" s="76">
        <f>IF(Entradas!$F$91&gt;0,D599*Entradas!$D$23/Escenarios!$F$16,0)</f>
        <v>0.15310459040704383</v>
      </c>
      <c r="AJ599" s="76">
        <f>IF(Entradas!$F$91&gt;0,Entradas!$D$24*Entradas!$D$22/Escenarios!$F$16,0)</f>
        <v>0.12</v>
      </c>
      <c r="AK599" s="76">
        <f t="shared" si="128"/>
        <v>0.15403410745858526</v>
      </c>
      <c r="AL599" s="76">
        <f t="shared" si="129"/>
        <v>0</v>
      </c>
      <c r="AM599" s="76">
        <f t="shared" si="130"/>
        <v>0</v>
      </c>
      <c r="AN599" s="76">
        <f>MAX(0,O599*Escenarios!$F$13/Escenarios!$F$16-AM599)</f>
        <v>5.4810199573650288E-6</v>
      </c>
      <c r="AO599" s="76">
        <f>AM599+AN599-O599*Escenarios!$F$13/Escenarios!$F$16</f>
        <v>0</v>
      </c>
      <c r="AP599" s="76">
        <f t="shared" si="131"/>
        <v>0.29765047796274402</v>
      </c>
      <c r="AQ599" s="76">
        <f t="shared" si="132"/>
        <v>0</v>
      </c>
      <c r="AR599" s="76">
        <f t="shared" si="133"/>
        <v>0.29765595898270136</v>
      </c>
      <c r="AS599" s="76">
        <f t="shared" si="134"/>
        <v>0</v>
      </c>
      <c r="AT599" s="76">
        <f t="shared" si="135"/>
        <v>0</v>
      </c>
      <c r="AU599" s="76">
        <f t="shared" si="136"/>
        <v>50.44304839104538</v>
      </c>
      <c r="AV599" s="76">
        <f>MAX(0,(AU599-Constantes!$D$13)*(1-EXP(-Constantes!$D$24)))</f>
        <v>2.5878662951092334E-2</v>
      </c>
      <c r="AW599" s="170">
        <f>AW598+(Entradas!$F$112*AT599-AX598)/(800*Entradas!$D$25)</f>
        <v>0</v>
      </c>
      <c r="AX599" s="170">
        <f>8000*Entradas!$D$26*AW599/Constantes!$F$45</f>
        <v>0</v>
      </c>
      <c r="AY599" s="170">
        <f>IF(Escenarios!$F$17&gt;0,10*Escenarios!$F$16*AL599,0)</f>
        <v>0</v>
      </c>
      <c r="AZ599" s="170">
        <f>IF(Escenarios!$F$17&gt;0,10*Escenarios!$F$16*AX599,0)</f>
        <v>0</v>
      </c>
      <c r="BA599" s="170">
        <f>IF(Escenarios!$F$17&gt;0,0.001*Observaciones!$F598*Escenarios!$F$17,0)</f>
        <v>0</v>
      </c>
      <c r="BB599" s="170">
        <f>IF(Escenarios!$F$17&gt;0,Observaciones!$K598,0)</f>
        <v>0</v>
      </c>
      <c r="BC599" s="170">
        <f>IF(Escenarios!$F$17&gt;0,MIN(0.0005*ETo!$M598*Escenarios!$F$17*(BG598/Constantes!$F$40)^(2/3),BG598+AY599+AZ599+BA599+BB599),0)</f>
        <v>0</v>
      </c>
      <c r="BD599" s="170">
        <f>IF(Escenarios!$F$17&gt;0,MIN(Constantes!$F$39*(BG598/Constantes!$F$40)^(2/3),BG598+AY599+AZ599+BA599+BB599-BC599),0)</f>
        <v>0</v>
      </c>
      <c r="BE599" s="170">
        <f>IF(Escenarios!$F$17&gt;0,MIN(Entradas!$F$113,BG598+AY599+AZ599+BA599+BB599-BC599-BD599),0)</f>
        <v>0</v>
      </c>
      <c r="BF599" s="170">
        <f>IF(Escenarios!$F$17&gt;0,MAX(0,BG598+AY599+AZ599+BA599+BB599-BC599-BD599-BE599-Constantes!$F$40),0)</f>
        <v>0</v>
      </c>
      <c r="BG599" s="170">
        <f t="shared" si="137"/>
        <v>0</v>
      </c>
      <c r="BH599" s="170">
        <f>(Escenarios!$F$16*AK599+0.1*BC599)/(Escenarios!$F$19)</f>
        <v>0.15403410745858526</v>
      </c>
      <c r="BI599" s="170">
        <f>IF(Escenarios!$F$17&gt;0,BF599/10/Escenarios!$F$19,AL599)</f>
        <v>0</v>
      </c>
      <c r="BJ599" s="170">
        <f>(Escenarios!$F$16*AT599+0.1*BD599)/(Escenarios!$F$19)</f>
        <v>0</v>
      </c>
      <c r="BK599" s="76">
        <f>BK598+(0.1*BD599)/(Escenarios!$F$19)-BL598</f>
        <v>48.75</v>
      </c>
      <c r="BL599" s="76">
        <f>MAX(0,(BK599-Constantes!$D$13)*(1-EXP(-Constantes!$D$23)))</f>
        <v>0</v>
      </c>
      <c r="BM599" s="76">
        <f t="shared" si="138"/>
        <v>0.32352914091383633</v>
      </c>
      <c r="BN599" s="76">
        <f t="shared" si="139"/>
        <v>0.32353462193379368</v>
      </c>
      <c r="BO599" s="76">
        <f>0.0526*BI599*Observaciones!$F598^1.218</f>
        <v>0</v>
      </c>
      <c r="BP599" s="76">
        <f>BO599*Constantes!$F$51</f>
        <v>0</v>
      </c>
      <c r="BQ599" s="76">
        <f t="shared" si="140"/>
        <v>0</v>
      </c>
      <c r="BR599" s="40"/>
    </row>
    <row r="600" spans="2:70">
      <c r="B600" s="39"/>
      <c r="C600" s="75">
        <v>594</v>
      </c>
      <c r="D600" s="146">
        <f>ETo!$I599*((1-Constantes!$F$19)*ETo!$K599+ETo!$L599)</f>
        <v>3.2696929750704427</v>
      </c>
      <c r="E600" s="76">
        <f>MIN(D600*Constantes!$F$17,0.8*(N599+Observaciones!$F599-F600-M600-Constantes!$D$14))</f>
        <v>1.8647443474543743</v>
      </c>
      <c r="F600" s="76">
        <f>IF(Observaciones!$F599&gt;0.05*Constantes!$F$18,((Observaciones!$F599-0.05*Constantes!$F$18)^2)/(Observaciones!$F599+0.95*Constantes!$F$18),0)</f>
        <v>0</v>
      </c>
      <c r="G600" s="76">
        <f>IF(Escenarios!$F$11&gt;0,(F600*Escenarios!$F$16*10000)/1000,0)</f>
        <v>0</v>
      </c>
      <c r="H600" s="76">
        <f>IF(Escenarios!$F$11&gt;0,(Observaciones!$F599*Constantes!$F$29)/1000,0)</f>
        <v>0</v>
      </c>
      <c r="I600" s="76">
        <f>IF(Escenarios!$F$11&gt;0,(D600*Constantes!$F$29)/1000,0)</f>
        <v>0</v>
      </c>
      <c r="J600" s="76">
        <f>IF(Escenarios!$F$11&gt;0,MAX(0,G600+H600-I600),0)</f>
        <v>0</v>
      </c>
      <c r="K600" s="76">
        <f>IF(Escenarios!$F$11&gt;0,IF(J600&gt;Constantes!$F$30,1000*((J600-Constantes!$F$30)/(Escenarios!$F$16*10000)),0),F600)</f>
        <v>0</v>
      </c>
      <c r="L600" s="76">
        <f>IF(Escenarios!$F$11&gt;0,I600*1000/Escenarios!$F$16/10000+E600,E600)</f>
        <v>1.8647443474543743</v>
      </c>
      <c r="M600" s="76">
        <f>MAX(0,N599+Observaciones!$F599-K600-Constantes!$D$13)</f>
        <v>0</v>
      </c>
      <c r="N600" s="76">
        <f>N599+Observaciones!$F599-K600-L600-M600-O599</f>
        <v>12.685432270870329</v>
      </c>
      <c r="O600" s="76">
        <f>MAX(0,(N600-Constantes!$D$14)*(1-EXP(-Constantes!$D$22)))</f>
        <v>4.8896092725588834E-2</v>
      </c>
      <c r="P600" s="170">
        <f>P599+(Entradas!$F$83*M600-Q599)/(800*Entradas!$D$25)</f>
        <v>0</v>
      </c>
      <c r="Q600" s="170">
        <f>8000*Entradas!$D$26*P600/Constantes!$F$45</f>
        <v>0</v>
      </c>
      <c r="R600" s="170">
        <f>IF(Escenarios!$F$14&gt;0,K600*Escenarios!$F$13/Escenarios!$F$14,0)</f>
        <v>0</v>
      </c>
      <c r="S600" s="170">
        <f>IF(Escenarios!$F$14&gt;0,Q600*Escenarios!$F$13/Escenarios!$F$14,0)</f>
        <v>0</v>
      </c>
      <c r="T600" s="170">
        <f>IF(Escenarios!$F$14&gt;0,Observaciones!$I599,0)</f>
        <v>0</v>
      </c>
      <c r="U600" s="170">
        <f>IF(Escenarios!$F$14&gt;0,MAX(0,Constantes!$F$36/((Z599+R600+S600+T600+Observaciones!$F599)^2)+Entradas!$F$77),0)</f>
        <v>0</v>
      </c>
      <c r="V600" s="146">
        <f>IF(ETo!D599&gt;0,ETo!I599*((1-Entradas!$F$81)*ETo!K599+ETo!L599),0)</f>
        <v>2.8755209216426074</v>
      </c>
      <c r="W600" s="170">
        <f>IF(Escenarios!$F$14&gt;0,MIN(V600*1,0.8*(Z599+R600+S600+T600+Observaciones!$F599-U600-Constantes!$F$35)),0)</f>
        <v>2.640256288368886</v>
      </c>
      <c r="X600" s="170">
        <f>IF(Escenarios!$F$14&gt;0,Observaciones!$J599,0)</f>
        <v>0</v>
      </c>
      <c r="Y600" s="170">
        <f>IF(Escenarios!$F$14&gt;0,MAX(0,Z599+R600+S600+T600+Observaciones!$F599-U600-W600-X600-Constantes!$F$33),0)</f>
        <v>0</v>
      </c>
      <c r="Z600" s="170">
        <f>Z599+R600+S600+T600+Observaciones!$F599-U600-W600-Y600</f>
        <v>41.910064072092219</v>
      </c>
      <c r="AA600" s="170">
        <f>IF(Escenarios!$F$14&gt;0,(Escenarios!$F$13*L600+Escenarios!$F$14*W600)/(Escenarios!$F$16),L600)</f>
        <v>1.9578057803641156</v>
      </c>
      <c r="AB600" s="170">
        <f>IF(Escenarios!$F$14&gt;0,(Escenarios!$F$14*Y600)/(Escenarios!$F$16),K600)</f>
        <v>0</v>
      </c>
      <c r="AC600" s="170">
        <f>IF(Escenarios!$F$14&gt;0,(Escenarios!$F$13*M600+Escenarios!$F$14*U600)/(Escenarios!$F$16),M600)</f>
        <v>0</v>
      </c>
      <c r="AD600" s="76">
        <f t="shared" si="127"/>
        <v>78.660741167670125</v>
      </c>
      <c r="AE600" s="76">
        <f>MAX(0,(AD600-Constantes!$D$13)*(1-EXP(-Constantes!$D$23)))</f>
        <v>0.29471765690855661</v>
      </c>
      <c r="AF600" s="76">
        <f>AB600+O600*Escenarios!$F$13/Escenarios!$F$16+AE600</f>
        <v>0.33774621850707476</v>
      </c>
      <c r="AG600" s="76">
        <f>IF(Entradas!$F$91&gt;0,IF(AF600-Escenarios!$F$38&lt;=0,0,IF(AF600-Escenarios!$F$38&gt;Escenarios!$F$37,Escenarios!$F$37,AF600-Escenarios!$F$38)),0)</f>
        <v>0</v>
      </c>
      <c r="AH600" s="76">
        <f>AG600*Entradas!$F$99</f>
        <v>0</v>
      </c>
      <c r="AI600" s="76">
        <f>IF(Entradas!$F$91&gt;0,D600*Entradas!$D$23/Escenarios!$F$16,0)</f>
        <v>0.15694526280338125</v>
      </c>
      <c r="AJ600" s="76">
        <f>IF(Entradas!$F$91&gt;0,Entradas!$D$24*Entradas!$D$22/Escenarios!$F$16,0)</f>
        <v>0.12</v>
      </c>
      <c r="AK600" s="76">
        <f t="shared" si="128"/>
        <v>2.1147510431674967</v>
      </c>
      <c r="AL600" s="76">
        <f t="shared" si="129"/>
        <v>0</v>
      </c>
      <c r="AM600" s="76">
        <f t="shared" si="130"/>
        <v>0</v>
      </c>
      <c r="AN600" s="76">
        <f>MAX(0,O600*Escenarios!$F$13/Escenarios!$F$16-AM600)</f>
        <v>4.3028561598518172E-2</v>
      </c>
      <c r="AO600" s="76">
        <f>AM600+AN600-O600*Escenarios!$F$13/Escenarios!$F$16</f>
        <v>0</v>
      </c>
      <c r="AP600" s="76">
        <f t="shared" si="131"/>
        <v>0.29471765690855661</v>
      </c>
      <c r="AQ600" s="76">
        <f t="shared" si="132"/>
        <v>0</v>
      </c>
      <c r="AR600" s="76">
        <f t="shared" si="133"/>
        <v>0.33774621850707476</v>
      </c>
      <c r="AS600" s="76">
        <f t="shared" si="134"/>
        <v>0</v>
      </c>
      <c r="AT600" s="76">
        <f t="shared" si="135"/>
        <v>0</v>
      </c>
      <c r="AU600" s="76">
        <f t="shared" si="136"/>
        <v>50.417169728094287</v>
      </c>
      <c r="AV600" s="76">
        <f>MAX(0,(AU600-Constantes!$D$13)*(1-EXP(-Constantes!$D$24)))</f>
        <v>2.5483101194158284E-2</v>
      </c>
      <c r="AW600" s="170">
        <f>AW599+(Entradas!$F$112*AT600-AX599)/(800*Entradas!$D$25)</f>
        <v>0</v>
      </c>
      <c r="AX600" s="170">
        <f>8000*Entradas!$D$26*AW600/Constantes!$F$45</f>
        <v>0</v>
      </c>
      <c r="AY600" s="170">
        <f>IF(Escenarios!$F$17&gt;0,10*Escenarios!$F$16*AL600,0)</f>
        <v>0</v>
      </c>
      <c r="AZ600" s="170">
        <f>IF(Escenarios!$F$17&gt;0,10*Escenarios!$F$16*AX600,0)</f>
        <v>0</v>
      </c>
      <c r="BA600" s="170">
        <f>IF(Escenarios!$F$17&gt;0,0.001*Observaciones!$F599*Escenarios!$F$17,0)</f>
        <v>0</v>
      </c>
      <c r="BB600" s="170">
        <f>IF(Escenarios!$F$17&gt;0,Observaciones!$K599,0)</f>
        <v>0</v>
      </c>
      <c r="BC600" s="170">
        <f>IF(Escenarios!$F$17&gt;0,MIN(0.0005*ETo!$M599*Escenarios!$F$17*(BG599/Constantes!$F$40)^(2/3),BG599+AY600+AZ600+BA600+BB600),0)</f>
        <v>0</v>
      </c>
      <c r="BD600" s="170">
        <f>IF(Escenarios!$F$17&gt;0,MIN(Constantes!$F$39*(BG599/Constantes!$F$40)^(2/3),BG599+AY600+AZ600+BA600+BB600-BC600),0)</f>
        <v>0</v>
      </c>
      <c r="BE600" s="170">
        <f>IF(Escenarios!$F$17&gt;0,MIN(Entradas!$F$113,BG599+AY600+AZ600+BA600+BB600-BC600-BD600),0)</f>
        <v>0</v>
      </c>
      <c r="BF600" s="170">
        <f>IF(Escenarios!$F$17&gt;0,MAX(0,BG599+AY600+AZ600+BA600+BB600-BC600-BD600-BE600-Constantes!$F$40),0)</f>
        <v>0</v>
      </c>
      <c r="BG600" s="170">
        <f t="shared" si="137"/>
        <v>0</v>
      </c>
      <c r="BH600" s="170">
        <f>(Escenarios!$F$16*AK600+0.1*BC600)/(Escenarios!$F$19)</f>
        <v>2.1147510431674967</v>
      </c>
      <c r="BI600" s="170">
        <f>IF(Escenarios!$F$17&gt;0,BF600/10/Escenarios!$F$19,AL600)</f>
        <v>0</v>
      </c>
      <c r="BJ600" s="170">
        <f>(Escenarios!$F$16*AT600+0.1*BD600)/(Escenarios!$F$19)</f>
        <v>0</v>
      </c>
      <c r="BK600" s="76">
        <f>BK599+(0.1*BD600)/(Escenarios!$F$19)-BL599</f>
        <v>48.75</v>
      </c>
      <c r="BL600" s="76">
        <f>MAX(0,(BK600-Constantes!$D$13)*(1-EXP(-Constantes!$D$23)))</f>
        <v>0</v>
      </c>
      <c r="BM600" s="76">
        <f t="shared" si="138"/>
        <v>0.32020075810271492</v>
      </c>
      <c r="BN600" s="76">
        <f t="shared" si="139"/>
        <v>0.36322931970123307</v>
      </c>
      <c r="BO600" s="76">
        <f>0.0526*BI600*Observaciones!$F599^1.218</f>
        <v>0</v>
      </c>
      <c r="BP600" s="76">
        <f>BO600*Constantes!$F$51</f>
        <v>0</v>
      </c>
      <c r="BQ600" s="76">
        <f t="shared" si="140"/>
        <v>0</v>
      </c>
      <c r="BR600" s="40"/>
    </row>
    <row r="601" spans="2:70">
      <c r="B601" s="39"/>
      <c r="C601" s="75">
        <v>595</v>
      </c>
      <c r="D601" s="146">
        <f>ETo!$I600*((1-Constantes!$F$19)*ETo!$K600+ETo!$L600)</f>
        <v>3.2841952611782133</v>
      </c>
      <c r="E601" s="76">
        <f>MIN(D601*Constantes!$F$17,0.8*(N600+Observaciones!$F600-F601-M601-Constantes!$D$14))</f>
        <v>1.1483458166962635</v>
      </c>
      <c r="F601" s="76">
        <f>IF(Observaciones!$F600&gt;0.05*Constantes!$F$18,((Observaciones!$F600-0.05*Constantes!$F$18)^2)/(Observaciones!$F600+0.95*Constantes!$F$18),0)</f>
        <v>0</v>
      </c>
      <c r="G601" s="76">
        <f>IF(Escenarios!$F$11&gt;0,(F601*Escenarios!$F$16*10000)/1000,0)</f>
        <v>0</v>
      </c>
      <c r="H601" s="76">
        <f>IF(Escenarios!$F$11&gt;0,(Observaciones!$F600*Constantes!$F$29)/1000,0)</f>
        <v>0</v>
      </c>
      <c r="I601" s="76">
        <f>IF(Escenarios!$F$11&gt;0,(D601*Constantes!$F$29)/1000,0)</f>
        <v>0</v>
      </c>
      <c r="J601" s="76">
        <f>IF(Escenarios!$F$11&gt;0,MAX(0,G601+H601-I601),0)</f>
        <v>0</v>
      </c>
      <c r="K601" s="76">
        <f>IF(Escenarios!$F$11&gt;0,IF(J601&gt;Constantes!$F$30,1000*((J601-Constantes!$F$30)/(Escenarios!$F$16*10000)),0),F601)</f>
        <v>0</v>
      </c>
      <c r="L601" s="76">
        <f>IF(Escenarios!$F$11&gt;0,I601*1000/Escenarios!$F$16/10000+E601,E601)</f>
        <v>1.1483458166962635</v>
      </c>
      <c r="M601" s="76">
        <f>MAX(0,N600+Observaciones!$F600-K601-Constantes!$D$13)</f>
        <v>0</v>
      </c>
      <c r="N601" s="76">
        <f>N600+Observaciones!$F600-K601-L601-M601-O600</f>
        <v>11.488190361448478</v>
      </c>
      <c r="O601" s="76">
        <f>MAX(0,(N601-Constantes!$D$14)*(1-EXP(-Constantes!$D$22)))</f>
        <v>8.1136381256530828E-3</v>
      </c>
      <c r="P601" s="170">
        <f>P600+(Entradas!$F$83*M601-Q600)/(800*Entradas!$D$25)</f>
        <v>0</v>
      </c>
      <c r="Q601" s="170">
        <f>8000*Entradas!$D$26*P601/Constantes!$F$45</f>
        <v>0</v>
      </c>
      <c r="R601" s="170">
        <f>IF(Escenarios!$F$14&gt;0,K601*Escenarios!$F$13/Escenarios!$F$14,0)</f>
        <v>0</v>
      </c>
      <c r="S601" s="170">
        <f>IF(Escenarios!$F$14&gt;0,Q601*Escenarios!$F$13/Escenarios!$F$14,0)</f>
        <v>0</v>
      </c>
      <c r="T601" s="170">
        <f>IF(Escenarios!$F$14&gt;0,Observaciones!$I600,0)</f>
        <v>0</v>
      </c>
      <c r="U601" s="170">
        <f>IF(Escenarios!$F$14&gt;0,MAX(0,Constantes!$F$36/((Z600+R601+S601+T601+Observaciones!$F600)^2)+Entradas!$F$77),0)</f>
        <v>0</v>
      </c>
      <c r="V601" s="146">
        <f>IF(ETo!D600&gt;0,ETo!I600*((1-Entradas!$F$81)*ETo!K600+ETo!L600),0)</f>
        <v>2.8889194260311202</v>
      </c>
      <c r="W601" s="170">
        <f>IF(Escenarios!$F$14&gt;0,MIN(V601*1,0.8*(Z600+R601+S601+T601+Observaciones!$F600-U601-Constantes!$F$35)),0)</f>
        <v>0.52805125767377492</v>
      </c>
      <c r="X601" s="170">
        <f>IF(Escenarios!$F$14&gt;0,Observaciones!$J600,0)</f>
        <v>0</v>
      </c>
      <c r="Y601" s="170">
        <f>IF(Escenarios!$F$14&gt;0,MAX(0,Z600+R601+S601+T601+Observaciones!$F600-U601-W601-X601-Constantes!$F$33),0)</f>
        <v>0</v>
      </c>
      <c r="Z601" s="170">
        <f>Z600+R601+S601+T601+Observaciones!$F600-U601-W601-Y601</f>
        <v>41.382012814418445</v>
      </c>
      <c r="AA601" s="170">
        <f>IF(Escenarios!$F$14&gt;0,(Escenarios!$F$13*L601+Escenarios!$F$14*W601)/(Escenarios!$F$16),L601)</f>
        <v>1.0739104696135648</v>
      </c>
      <c r="AB601" s="170">
        <f>IF(Escenarios!$F$14&gt;0,(Escenarios!$F$14*Y601)/(Escenarios!$F$16),K601)</f>
        <v>0</v>
      </c>
      <c r="AC601" s="170">
        <f>IF(Escenarios!$F$14&gt;0,(Escenarios!$F$13*M601+Escenarios!$F$14*U601)/(Escenarios!$F$16),M601)</f>
        <v>0</v>
      </c>
      <c r="AD601" s="76">
        <f t="shared" si="127"/>
        <v>78.366023510761565</v>
      </c>
      <c r="AE601" s="76">
        <f>MAX(0,(AD601-Constantes!$D$13)*(1-EXP(-Constantes!$D$23)))</f>
        <v>0.29181373363875968</v>
      </c>
      <c r="AF601" s="76">
        <f>AB601+O601*Escenarios!$F$13/Escenarios!$F$16+AE601</f>
        <v>0.29895373518933438</v>
      </c>
      <c r="AG601" s="76">
        <f>IF(Entradas!$F$91&gt;0,IF(AF601-Escenarios!$F$38&lt;=0,0,IF(AF601-Escenarios!$F$38&gt;Escenarios!$F$37,Escenarios!$F$37,AF601-Escenarios!$F$38)),0)</f>
        <v>0</v>
      </c>
      <c r="AH601" s="76">
        <f>AG601*Entradas!$F$99</f>
        <v>0</v>
      </c>
      <c r="AI601" s="76">
        <f>IF(Entradas!$F$91&gt;0,D601*Entradas!$D$23/Escenarios!$F$16,0)</f>
        <v>0.15764137253655422</v>
      </c>
      <c r="AJ601" s="76">
        <f>IF(Entradas!$F$91&gt;0,Entradas!$D$24*Entradas!$D$22/Escenarios!$F$16,0)</f>
        <v>0.12</v>
      </c>
      <c r="AK601" s="76">
        <f t="shared" si="128"/>
        <v>1.231551842150119</v>
      </c>
      <c r="AL601" s="76">
        <f t="shared" si="129"/>
        <v>0</v>
      </c>
      <c r="AM601" s="76">
        <f t="shared" si="130"/>
        <v>0</v>
      </c>
      <c r="AN601" s="76">
        <f>MAX(0,O601*Escenarios!$F$13/Escenarios!$F$16-AM601)</f>
        <v>7.1400015505747125E-3</v>
      </c>
      <c r="AO601" s="76">
        <f>AM601+AN601-O601*Escenarios!$F$13/Escenarios!$F$16</f>
        <v>0</v>
      </c>
      <c r="AP601" s="76">
        <f t="shared" si="131"/>
        <v>0.29181373363875968</v>
      </c>
      <c r="AQ601" s="76">
        <f t="shared" si="132"/>
        <v>0</v>
      </c>
      <c r="AR601" s="76">
        <f t="shared" si="133"/>
        <v>0.29895373518933438</v>
      </c>
      <c r="AS601" s="76">
        <f t="shared" si="134"/>
        <v>0</v>
      </c>
      <c r="AT601" s="76">
        <f t="shared" si="135"/>
        <v>0</v>
      </c>
      <c r="AU601" s="76">
        <f t="shared" si="136"/>
        <v>50.391686626900132</v>
      </c>
      <c r="AV601" s="76">
        <f>MAX(0,(AU601-Constantes!$D$13)*(1-EXP(-Constantes!$D$24)))</f>
        <v>2.5093585696408738E-2</v>
      </c>
      <c r="AW601" s="170">
        <f>AW600+(Entradas!$F$112*AT601-AX600)/(800*Entradas!$D$25)</f>
        <v>0</v>
      </c>
      <c r="AX601" s="170">
        <f>8000*Entradas!$D$26*AW601/Constantes!$F$45</f>
        <v>0</v>
      </c>
      <c r="AY601" s="170">
        <f>IF(Escenarios!$F$17&gt;0,10*Escenarios!$F$16*AL601,0)</f>
        <v>0</v>
      </c>
      <c r="AZ601" s="170">
        <f>IF(Escenarios!$F$17&gt;0,10*Escenarios!$F$16*AX601,0)</f>
        <v>0</v>
      </c>
      <c r="BA601" s="170">
        <f>IF(Escenarios!$F$17&gt;0,0.001*Observaciones!$F600*Escenarios!$F$17,0)</f>
        <v>0</v>
      </c>
      <c r="BB601" s="170">
        <f>IF(Escenarios!$F$17&gt;0,Observaciones!$K600,0)</f>
        <v>0</v>
      </c>
      <c r="BC601" s="170">
        <f>IF(Escenarios!$F$17&gt;0,MIN(0.0005*ETo!$M600*Escenarios!$F$17*(BG600/Constantes!$F$40)^(2/3),BG600+AY601+AZ601+BA601+BB601),0)</f>
        <v>0</v>
      </c>
      <c r="BD601" s="170">
        <f>IF(Escenarios!$F$17&gt;0,MIN(Constantes!$F$39*(BG600/Constantes!$F$40)^(2/3),BG600+AY601+AZ601+BA601+BB601-BC601),0)</f>
        <v>0</v>
      </c>
      <c r="BE601" s="170">
        <f>IF(Escenarios!$F$17&gt;0,MIN(Entradas!$F$113,BG600+AY601+AZ601+BA601+BB601-BC601-BD601),0)</f>
        <v>0</v>
      </c>
      <c r="BF601" s="170">
        <f>IF(Escenarios!$F$17&gt;0,MAX(0,BG600+AY601+AZ601+BA601+BB601-BC601-BD601-BE601-Constantes!$F$40),0)</f>
        <v>0</v>
      </c>
      <c r="BG601" s="170">
        <f t="shared" si="137"/>
        <v>0</v>
      </c>
      <c r="BH601" s="170">
        <f>(Escenarios!$F$16*AK601+0.1*BC601)/(Escenarios!$F$19)</f>
        <v>1.231551842150119</v>
      </c>
      <c r="BI601" s="170">
        <f>IF(Escenarios!$F$17&gt;0,BF601/10/Escenarios!$F$19,AL601)</f>
        <v>0</v>
      </c>
      <c r="BJ601" s="170">
        <f>(Escenarios!$F$16*AT601+0.1*BD601)/(Escenarios!$F$19)</f>
        <v>0</v>
      </c>
      <c r="BK601" s="76">
        <f>BK600+(0.1*BD601)/(Escenarios!$F$19)-BL600</f>
        <v>48.75</v>
      </c>
      <c r="BL601" s="76">
        <f>MAX(0,(BK601-Constantes!$D$13)*(1-EXP(-Constantes!$D$23)))</f>
        <v>0</v>
      </c>
      <c r="BM601" s="76">
        <f t="shared" si="138"/>
        <v>0.31690731933516841</v>
      </c>
      <c r="BN601" s="76">
        <f t="shared" si="139"/>
        <v>0.32404732088574312</v>
      </c>
      <c r="BO601" s="76">
        <f>0.0526*BI601*Observaciones!$F600^1.218</f>
        <v>0</v>
      </c>
      <c r="BP601" s="76">
        <f>BO601*Constantes!$F$51</f>
        <v>0</v>
      </c>
      <c r="BQ601" s="76">
        <f t="shared" si="140"/>
        <v>0</v>
      </c>
      <c r="BR601" s="40"/>
    </row>
    <row r="602" spans="2:70">
      <c r="B602" s="39"/>
      <c r="C602" s="75">
        <v>596</v>
      </c>
      <c r="D602" s="146">
        <f>ETo!$I601*((1-Constantes!$F$19)*ETo!$K601+ETo!$L601)</f>
        <v>3.3098054626508828</v>
      </c>
      <c r="E602" s="76">
        <f>MIN(D602*Constantes!$F$17,0.8*(N601+Observaciones!$F601-F602-M602-Constantes!$D$14))</f>
        <v>0.1905522891587822</v>
      </c>
      <c r="F602" s="76">
        <f>IF(Observaciones!$F601&gt;0.05*Constantes!$F$18,((Observaciones!$F601-0.05*Constantes!$F$18)^2)/(Observaciones!$F601+0.95*Constantes!$F$18),0)</f>
        <v>0</v>
      </c>
      <c r="G602" s="76">
        <f>IF(Escenarios!$F$11&gt;0,(F602*Escenarios!$F$16*10000)/1000,0)</f>
        <v>0</v>
      </c>
      <c r="H602" s="76">
        <f>IF(Escenarios!$F$11&gt;0,(Observaciones!$F601*Constantes!$F$29)/1000,0)</f>
        <v>0</v>
      </c>
      <c r="I602" s="76">
        <f>IF(Escenarios!$F$11&gt;0,(D602*Constantes!$F$29)/1000,0)</f>
        <v>0</v>
      </c>
      <c r="J602" s="76">
        <f>IF(Escenarios!$F$11&gt;0,MAX(0,G602+H602-I602),0)</f>
        <v>0</v>
      </c>
      <c r="K602" s="76">
        <f>IF(Escenarios!$F$11&gt;0,IF(J602&gt;Constantes!$F$30,1000*((J602-Constantes!$F$30)/(Escenarios!$F$16*10000)),0),F602)</f>
        <v>0</v>
      </c>
      <c r="L602" s="76">
        <f>IF(Escenarios!$F$11&gt;0,I602*1000/Escenarios!$F$16/10000+E602,E602)</f>
        <v>0.1905522891587822</v>
      </c>
      <c r="M602" s="76">
        <f>MAX(0,N601+Observaciones!$F601-K602-Constantes!$D$13)</f>
        <v>0</v>
      </c>
      <c r="N602" s="76">
        <f>N601+Observaciones!$F601-K602-L602-M602-O601</f>
        <v>11.289524434164042</v>
      </c>
      <c r="O602" s="76">
        <f>MAX(0,(N602-Constantes!$D$14)*(1-EXP(-Constantes!$D$22)))</f>
        <v>1.3463473247955124E-3</v>
      </c>
      <c r="P602" s="170">
        <f>P601+(Entradas!$F$83*M602-Q601)/(800*Entradas!$D$25)</f>
        <v>0</v>
      </c>
      <c r="Q602" s="170">
        <f>8000*Entradas!$D$26*P602/Constantes!$F$45</f>
        <v>0</v>
      </c>
      <c r="R602" s="170">
        <f>IF(Escenarios!$F$14&gt;0,K602*Escenarios!$F$13/Escenarios!$F$14,0)</f>
        <v>0</v>
      </c>
      <c r="S602" s="170">
        <f>IF(Escenarios!$F$14&gt;0,Q602*Escenarios!$F$13/Escenarios!$F$14,0)</f>
        <v>0</v>
      </c>
      <c r="T602" s="170">
        <f>IF(Escenarios!$F$14&gt;0,Observaciones!$I601,0)</f>
        <v>0</v>
      </c>
      <c r="U602" s="170">
        <f>IF(Escenarios!$F$14&gt;0,MAX(0,Constantes!$F$36/((Z601+R602+S602+T602+Observaciones!$F601)^2)+Entradas!$F$77),0)</f>
        <v>0</v>
      </c>
      <c r="V602" s="146">
        <f>IF(ETo!D601&gt;0,ETo!I601*((1-Entradas!$F$81)*ETo!K601+ETo!L601),0)</f>
        <v>2.912216763493916</v>
      </c>
      <c r="W602" s="170">
        <f>IF(Escenarios!$F$14&gt;0,MIN(V602*1,0.8*(Z601+R602+S602+T602+Observaciones!$F601-U602-Constantes!$F$35)),0)</f>
        <v>0.10561025153475612</v>
      </c>
      <c r="X602" s="170">
        <f>IF(Escenarios!$F$14&gt;0,Observaciones!$J601,0)</f>
        <v>0</v>
      </c>
      <c r="Y602" s="170">
        <f>IF(Escenarios!$F$14&gt;0,MAX(0,Z601+R602+S602+T602+Observaciones!$F601-U602-W602-X602-Constantes!$F$33),0)</f>
        <v>0</v>
      </c>
      <c r="Z602" s="170">
        <f>Z601+R602+S602+T602+Observaciones!$F601-U602-W602-Y602</f>
        <v>41.276402562883689</v>
      </c>
      <c r="AA602" s="170">
        <f>IF(Escenarios!$F$14&gt;0,(Escenarios!$F$13*L602+Escenarios!$F$14*W602)/(Escenarios!$F$16),L602)</f>
        <v>0.18035924464389907</v>
      </c>
      <c r="AB602" s="170">
        <f>IF(Escenarios!$F$14&gt;0,(Escenarios!$F$14*Y602)/(Escenarios!$F$16),K602)</f>
        <v>0</v>
      </c>
      <c r="AC602" s="170">
        <f>IF(Escenarios!$F$14&gt;0,(Escenarios!$F$13*M602+Escenarios!$F$14*U602)/(Escenarios!$F$16),M602)</f>
        <v>0</v>
      </c>
      <c r="AD602" s="76">
        <f t="shared" si="127"/>
        <v>78.074209777122803</v>
      </c>
      <c r="AE602" s="76">
        <f>MAX(0,(AD602-Constantes!$D$13)*(1-EXP(-Constantes!$D$23)))</f>
        <v>0.2889384234166007</v>
      </c>
      <c r="AF602" s="76">
        <f>AB602+O602*Escenarios!$F$13/Escenarios!$F$16+AE602</f>
        <v>0.29012320906242073</v>
      </c>
      <c r="AG602" s="76">
        <f>IF(Entradas!$F$91&gt;0,IF(AF602-Escenarios!$F$38&lt;=0,0,IF(AF602-Escenarios!$F$38&gt;Escenarios!$F$37,Escenarios!$F$37,AF602-Escenarios!$F$38)),0)</f>
        <v>0</v>
      </c>
      <c r="AH602" s="76">
        <f>AG602*Entradas!$F$99</f>
        <v>0</v>
      </c>
      <c r="AI602" s="76">
        <f>IF(Entradas!$F$91&gt;0,D602*Entradas!$D$23/Escenarios!$F$16,0)</f>
        <v>0.15887066220724239</v>
      </c>
      <c r="AJ602" s="76">
        <f>IF(Entradas!$F$91&gt;0,Entradas!$D$24*Entradas!$D$22/Escenarios!$F$16,0)</f>
        <v>0.12</v>
      </c>
      <c r="AK602" s="76">
        <f t="shared" si="128"/>
        <v>0.33922990685114146</v>
      </c>
      <c r="AL602" s="76">
        <f t="shared" si="129"/>
        <v>0</v>
      </c>
      <c r="AM602" s="76">
        <f t="shared" si="130"/>
        <v>0</v>
      </c>
      <c r="AN602" s="76">
        <f>MAX(0,O602*Escenarios!$F$13/Escenarios!$F$16-AM602)</f>
        <v>1.1847856458200509E-3</v>
      </c>
      <c r="AO602" s="76">
        <f>AM602+AN602-O602*Escenarios!$F$13/Escenarios!$F$16</f>
        <v>0</v>
      </c>
      <c r="AP602" s="76">
        <f t="shared" si="131"/>
        <v>0.2889384234166007</v>
      </c>
      <c r="AQ602" s="76">
        <f t="shared" si="132"/>
        <v>0</v>
      </c>
      <c r="AR602" s="76">
        <f t="shared" si="133"/>
        <v>0.29012320906242073</v>
      </c>
      <c r="AS602" s="76">
        <f t="shared" si="134"/>
        <v>0</v>
      </c>
      <c r="AT602" s="76">
        <f t="shared" si="135"/>
        <v>0</v>
      </c>
      <c r="AU602" s="76">
        <f t="shared" si="136"/>
        <v>50.366593041203721</v>
      </c>
      <c r="AV602" s="76">
        <f>MAX(0,(AU602-Constantes!$D$13)*(1-EXP(-Constantes!$D$24)))</f>
        <v>2.4710024039278081E-2</v>
      </c>
      <c r="AW602" s="170">
        <f>AW601+(Entradas!$F$112*AT602-AX601)/(800*Entradas!$D$25)</f>
        <v>0</v>
      </c>
      <c r="AX602" s="170">
        <f>8000*Entradas!$D$26*AW602/Constantes!$F$45</f>
        <v>0</v>
      </c>
      <c r="AY602" s="170">
        <f>IF(Escenarios!$F$17&gt;0,10*Escenarios!$F$16*AL602,0)</f>
        <v>0</v>
      </c>
      <c r="AZ602" s="170">
        <f>IF(Escenarios!$F$17&gt;0,10*Escenarios!$F$16*AX602,0)</f>
        <v>0</v>
      </c>
      <c r="BA602" s="170">
        <f>IF(Escenarios!$F$17&gt;0,0.001*Observaciones!$F601*Escenarios!$F$17,0)</f>
        <v>0</v>
      </c>
      <c r="BB602" s="170">
        <f>IF(Escenarios!$F$17&gt;0,Observaciones!$K601,0)</f>
        <v>0</v>
      </c>
      <c r="BC602" s="170">
        <f>IF(Escenarios!$F$17&gt;0,MIN(0.0005*ETo!$M601*Escenarios!$F$17*(BG601/Constantes!$F$40)^(2/3),BG601+AY602+AZ602+BA602+BB602),0)</f>
        <v>0</v>
      </c>
      <c r="BD602" s="170">
        <f>IF(Escenarios!$F$17&gt;0,MIN(Constantes!$F$39*(BG601/Constantes!$F$40)^(2/3),BG601+AY602+AZ602+BA602+BB602-BC602),0)</f>
        <v>0</v>
      </c>
      <c r="BE602" s="170">
        <f>IF(Escenarios!$F$17&gt;0,MIN(Entradas!$F$113,BG601+AY602+AZ602+BA602+BB602-BC602-BD602),0)</f>
        <v>0</v>
      </c>
      <c r="BF602" s="170">
        <f>IF(Escenarios!$F$17&gt;0,MAX(0,BG601+AY602+AZ602+BA602+BB602-BC602-BD602-BE602-Constantes!$F$40),0)</f>
        <v>0</v>
      </c>
      <c r="BG602" s="170">
        <f t="shared" si="137"/>
        <v>0</v>
      </c>
      <c r="BH602" s="170">
        <f>(Escenarios!$F$16*AK602+0.1*BC602)/(Escenarios!$F$19)</f>
        <v>0.33922990685114146</v>
      </c>
      <c r="BI602" s="170">
        <f>IF(Escenarios!$F$17&gt;0,BF602/10/Escenarios!$F$19,AL602)</f>
        <v>0</v>
      </c>
      <c r="BJ602" s="170">
        <f>(Escenarios!$F$16*AT602+0.1*BD602)/(Escenarios!$F$19)</f>
        <v>0</v>
      </c>
      <c r="BK602" s="76">
        <f>BK601+(0.1*BD602)/(Escenarios!$F$19)-BL601</f>
        <v>48.75</v>
      </c>
      <c r="BL602" s="76">
        <f>MAX(0,(BK602-Constantes!$D$13)*(1-EXP(-Constantes!$D$23)))</f>
        <v>0</v>
      </c>
      <c r="BM602" s="76">
        <f t="shared" si="138"/>
        <v>0.31364844745587878</v>
      </c>
      <c r="BN602" s="76">
        <f t="shared" si="139"/>
        <v>0.31483323310169881</v>
      </c>
      <c r="BO602" s="76">
        <f>0.0526*BI602*Observaciones!$F601^1.218</f>
        <v>0</v>
      </c>
      <c r="BP602" s="76">
        <f>BO602*Constantes!$F$51</f>
        <v>0</v>
      </c>
      <c r="BQ602" s="76">
        <f t="shared" si="140"/>
        <v>0</v>
      </c>
      <c r="BR602" s="40"/>
    </row>
    <row r="603" spans="2:70">
      <c r="B603" s="39"/>
      <c r="C603" s="75">
        <v>597</v>
      </c>
      <c r="D603" s="146">
        <f>ETo!$I602*((1-Constantes!$F$19)*ETo!$K602+ETo!$L602)</f>
        <v>3.4399772460030076</v>
      </c>
      <c r="E603" s="76">
        <f>MIN(D603*Constantes!$F$17,0.8*(N602+Observaciones!$F602-F603-M603-Constantes!$D$14))</f>
        <v>3.1619547331233379E-2</v>
      </c>
      <c r="F603" s="76">
        <f>IF(Observaciones!$F602&gt;0.05*Constantes!$F$18,((Observaciones!$F602-0.05*Constantes!$F$18)^2)/(Observaciones!$F602+0.95*Constantes!$F$18),0)</f>
        <v>0</v>
      </c>
      <c r="G603" s="76">
        <f>IF(Escenarios!$F$11&gt;0,(F603*Escenarios!$F$16*10000)/1000,0)</f>
        <v>0</v>
      </c>
      <c r="H603" s="76">
        <f>IF(Escenarios!$F$11&gt;0,(Observaciones!$F602*Constantes!$F$29)/1000,0)</f>
        <v>0</v>
      </c>
      <c r="I603" s="76">
        <f>IF(Escenarios!$F$11&gt;0,(D603*Constantes!$F$29)/1000,0)</f>
        <v>0</v>
      </c>
      <c r="J603" s="76">
        <f>IF(Escenarios!$F$11&gt;0,MAX(0,G603+H603-I603),0)</f>
        <v>0</v>
      </c>
      <c r="K603" s="76">
        <f>IF(Escenarios!$F$11&gt;0,IF(J603&gt;Constantes!$F$30,1000*((J603-Constantes!$F$30)/(Escenarios!$F$16*10000)),0),F603)</f>
        <v>0</v>
      </c>
      <c r="L603" s="76">
        <f>IF(Escenarios!$F$11&gt;0,I603*1000/Escenarios!$F$16/10000+E603,E603)</f>
        <v>3.1619547331233379E-2</v>
      </c>
      <c r="M603" s="76">
        <f>MAX(0,N602+Observaciones!$F602-K603-Constantes!$D$13)</f>
        <v>0</v>
      </c>
      <c r="N603" s="76">
        <f>N602+Observaciones!$F602-K603-L603-M603-O602</f>
        <v>11.256558539508012</v>
      </c>
      <c r="O603" s="76">
        <f>MAX(0,(N603-Constantes!$D$14)*(1-EXP(-Constantes!$D$22)))</f>
        <v>2.2340793253431424E-4</v>
      </c>
      <c r="P603" s="170">
        <f>P602+(Entradas!$F$83*M603-Q602)/(800*Entradas!$D$25)</f>
        <v>0</v>
      </c>
      <c r="Q603" s="170">
        <f>8000*Entradas!$D$26*P603/Constantes!$F$45</f>
        <v>0</v>
      </c>
      <c r="R603" s="170">
        <f>IF(Escenarios!$F$14&gt;0,K603*Escenarios!$F$13/Escenarios!$F$14,0)</f>
        <v>0</v>
      </c>
      <c r="S603" s="170">
        <f>IF(Escenarios!$F$14&gt;0,Q603*Escenarios!$F$13/Escenarios!$F$14,0)</f>
        <v>0</v>
      </c>
      <c r="T603" s="170">
        <f>IF(Escenarios!$F$14&gt;0,Observaciones!$I602,0)</f>
        <v>0</v>
      </c>
      <c r="U603" s="170">
        <f>IF(Escenarios!$F$14&gt;0,MAX(0,Constantes!$F$36/((Z602+R603+S603+T603+Observaciones!$F602)^2)+Entradas!$F$77),0)</f>
        <v>0</v>
      </c>
      <c r="V603" s="146">
        <f>IF(ETo!D602&gt;0,ETo!I602*((1-Entradas!$F$81)*ETo!K602+ETo!L602),0)</f>
        <v>3.0289836380467858</v>
      </c>
      <c r="W603" s="170">
        <f>IF(Escenarios!$F$14&gt;0,MIN(V603*1,0.8*(Z602+R603+S603+T603+Observaciones!$F602-U603-Constantes!$F$35)),0)</f>
        <v>2.1122050306951225E-2</v>
      </c>
      <c r="X603" s="170">
        <f>IF(Escenarios!$F$14&gt;0,Observaciones!$J602,0)</f>
        <v>0</v>
      </c>
      <c r="Y603" s="170">
        <f>IF(Escenarios!$F$14&gt;0,MAX(0,Z602+R603+S603+T603+Observaciones!$F602-U603-W603-X603-Constantes!$F$33),0)</f>
        <v>0</v>
      </c>
      <c r="Z603" s="170">
        <f>Z602+R603+S603+T603+Observaciones!$F602-U603-W603-Y603</f>
        <v>41.255280512576739</v>
      </c>
      <c r="AA603" s="170">
        <f>IF(Escenarios!$F$14&gt;0,(Escenarios!$F$13*L603+Escenarios!$F$14*W603)/(Escenarios!$F$16),L603)</f>
        <v>3.0359847688319518E-2</v>
      </c>
      <c r="AB603" s="170">
        <f>IF(Escenarios!$F$14&gt;0,(Escenarios!$F$14*Y603)/(Escenarios!$F$16),K603)</f>
        <v>0</v>
      </c>
      <c r="AC603" s="170">
        <f>IF(Escenarios!$F$14&gt;0,(Escenarios!$F$13*M603+Escenarios!$F$14*U603)/(Escenarios!$F$16),M603)</f>
        <v>0</v>
      </c>
      <c r="AD603" s="76">
        <f t="shared" si="127"/>
        <v>77.785271353706207</v>
      </c>
      <c r="AE603" s="76">
        <f>MAX(0,(AD603-Constantes!$D$13)*(1-EXP(-Constantes!$D$23)))</f>
        <v>0.28609144431090627</v>
      </c>
      <c r="AF603" s="76">
        <f>AB603+O603*Escenarios!$F$13/Escenarios!$F$16+AE603</f>
        <v>0.28628804329153645</v>
      </c>
      <c r="AG603" s="76">
        <f>IF(Entradas!$F$91&gt;0,IF(AF603-Escenarios!$F$38&lt;=0,0,IF(AF603-Escenarios!$F$38&gt;Escenarios!$F$37,Escenarios!$F$37,AF603-Escenarios!$F$38)),0)</f>
        <v>0</v>
      </c>
      <c r="AH603" s="76">
        <f>AG603*Entradas!$F$99</f>
        <v>0</v>
      </c>
      <c r="AI603" s="76">
        <f>IF(Entradas!$F$91&gt;0,D603*Entradas!$D$23/Escenarios!$F$16,0)</f>
        <v>0.16511890780814437</v>
      </c>
      <c r="AJ603" s="76">
        <f>IF(Entradas!$F$91&gt;0,Entradas!$D$24*Entradas!$D$22/Escenarios!$F$16,0)</f>
        <v>0.12</v>
      </c>
      <c r="AK603" s="76">
        <f t="shared" si="128"/>
        <v>0.19547875549646387</v>
      </c>
      <c r="AL603" s="76">
        <f t="shared" si="129"/>
        <v>0</v>
      </c>
      <c r="AM603" s="76">
        <f t="shared" si="130"/>
        <v>0</v>
      </c>
      <c r="AN603" s="76">
        <f>MAX(0,O603*Escenarios!$F$13/Escenarios!$F$16-AM603)</f>
        <v>1.9659898063019654E-4</v>
      </c>
      <c r="AO603" s="76">
        <f>AM603+AN603-O603*Escenarios!$F$13/Escenarios!$F$16</f>
        <v>0</v>
      </c>
      <c r="AP603" s="76">
        <f t="shared" si="131"/>
        <v>0.28609144431090627</v>
      </c>
      <c r="AQ603" s="76">
        <f t="shared" si="132"/>
        <v>0</v>
      </c>
      <c r="AR603" s="76">
        <f t="shared" si="133"/>
        <v>0.28628804329153645</v>
      </c>
      <c r="AS603" s="76">
        <f t="shared" si="134"/>
        <v>0</v>
      </c>
      <c r="AT603" s="76">
        <f t="shared" si="135"/>
        <v>0</v>
      </c>
      <c r="AU603" s="76">
        <f t="shared" si="136"/>
        <v>50.341883017164442</v>
      </c>
      <c r="AV603" s="76">
        <f>MAX(0,(AU603-Constantes!$D$13)*(1-EXP(-Constantes!$D$24)))</f>
        <v>2.4332325216841547E-2</v>
      </c>
      <c r="AW603" s="170">
        <f>AW602+(Entradas!$F$112*AT603-AX602)/(800*Entradas!$D$25)</f>
        <v>0</v>
      </c>
      <c r="AX603" s="170">
        <f>8000*Entradas!$D$26*AW603/Constantes!$F$45</f>
        <v>0</v>
      </c>
      <c r="AY603" s="170">
        <f>IF(Escenarios!$F$17&gt;0,10*Escenarios!$F$16*AL603,0)</f>
        <v>0</v>
      </c>
      <c r="AZ603" s="170">
        <f>IF(Escenarios!$F$17&gt;0,10*Escenarios!$F$16*AX603,0)</f>
        <v>0</v>
      </c>
      <c r="BA603" s="170">
        <f>IF(Escenarios!$F$17&gt;0,0.001*Observaciones!$F602*Escenarios!$F$17,0)</f>
        <v>0</v>
      </c>
      <c r="BB603" s="170">
        <f>IF(Escenarios!$F$17&gt;0,Observaciones!$K602,0)</f>
        <v>0</v>
      </c>
      <c r="BC603" s="170">
        <f>IF(Escenarios!$F$17&gt;0,MIN(0.0005*ETo!$M602*Escenarios!$F$17*(BG602/Constantes!$F$40)^(2/3),BG602+AY603+AZ603+BA603+BB603),0)</f>
        <v>0</v>
      </c>
      <c r="BD603" s="170">
        <f>IF(Escenarios!$F$17&gt;0,MIN(Constantes!$F$39*(BG602/Constantes!$F$40)^(2/3),BG602+AY603+AZ603+BA603+BB603-BC603),0)</f>
        <v>0</v>
      </c>
      <c r="BE603" s="170">
        <f>IF(Escenarios!$F$17&gt;0,MIN(Entradas!$F$113,BG602+AY603+AZ603+BA603+BB603-BC603-BD603),0)</f>
        <v>0</v>
      </c>
      <c r="BF603" s="170">
        <f>IF(Escenarios!$F$17&gt;0,MAX(0,BG602+AY603+AZ603+BA603+BB603-BC603-BD603-BE603-Constantes!$F$40),0)</f>
        <v>0</v>
      </c>
      <c r="BG603" s="170">
        <f t="shared" si="137"/>
        <v>0</v>
      </c>
      <c r="BH603" s="170">
        <f>(Escenarios!$F$16*AK603+0.1*BC603)/(Escenarios!$F$19)</f>
        <v>0.19547875549646387</v>
      </c>
      <c r="BI603" s="170">
        <f>IF(Escenarios!$F$17&gt;0,BF603/10/Escenarios!$F$19,AL603)</f>
        <v>0</v>
      </c>
      <c r="BJ603" s="170">
        <f>(Escenarios!$F$16*AT603+0.1*BD603)/(Escenarios!$F$19)</f>
        <v>0</v>
      </c>
      <c r="BK603" s="76">
        <f>BK602+(0.1*BD603)/(Escenarios!$F$19)-BL602</f>
        <v>48.75</v>
      </c>
      <c r="BL603" s="76">
        <f>MAX(0,(BK603-Constantes!$D$13)*(1-EXP(-Constantes!$D$23)))</f>
        <v>0</v>
      </c>
      <c r="BM603" s="76">
        <f t="shared" si="138"/>
        <v>0.31042376952774781</v>
      </c>
      <c r="BN603" s="76">
        <f t="shared" si="139"/>
        <v>0.31062036850837799</v>
      </c>
      <c r="BO603" s="76">
        <f>0.0526*BI603*Observaciones!$F602^1.218</f>
        <v>0</v>
      </c>
      <c r="BP603" s="76">
        <f>BO603*Constantes!$F$51</f>
        <v>0</v>
      </c>
      <c r="BQ603" s="76">
        <f t="shared" si="140"/>
        <v>0</v>
      </c>
      <c r="BR603" s="40"/>
    </row>
    <row r="604" spans="2:70">
      <c r="B604" s="39"/>
      <c r="C604" s="75">
        <v>598</v>
      </c>
      <c r="D604" s="146">
        <f>ETo!$I603*((1-Constantes!$F$19)*ETo!$K603+ETo!$L603)</f>
        <v>3.3763054455387249</v>
      </c>
      <c r="E604" s="76">
        <f>MIN(D604*Constantes!$F$17,0.8*(N603+Observaciones!$F603-F604-M604-Constantes!$D$14))</f>
        <v>5.2468316064093303E-3</v>
      </c>
      <c r="F604" s="76">
        <f>IF(Observaciones!$F603&gt;0.05*Constantes!$F$18,((Observaciones!$F603-0.05*Constantes!$F$18)^2)/(Observaciones!$F603+0.95*Constantes!$F$18),0)</f>
        <v>0</v>
      </c>
      <c r="G604" s="76">
        <f>IF(Escenarios!$F$11&gt;0,(F604*Escenarios!$F$16*10000)/1000,0)</f>
        <v>0</v>
      </c>
      <c r="H604" s="76">
        <f>IF(Escenarios!$F$11&gt;0,(Observaciones!$F603*Constantes!$F$29)/1000,0)</f>
        <v>0</v>
      </c>
      <c r="I604" s="76">
        <f>IF(Escenarios!$F$11&gt;0,(D604*Constantes!$F$29)/1000,0)</f>
        <v>0</v>
      </c>
      <c r="J604" s="76">
        <f>IF(Escenarios!$F$11&gt;0,MAX(0,G604+H604-I604),0)</f>
        <v>0</v>
      </c>
      <c r="K604" s="76">
        <f>IF(Escenarios!$F$11&gt;0,IF(J604&gt;Constantes!$F$30,1000*((J604-Constantes!$F$30)/(Escenarios!$F$16*10000)),0),F604)</f>
        <v>0</v>
      </c>
      <c r="L604" s="76">
        <f>IF(Escenarios!$F$11&gt;0,I604*1000/Escenarios!$F$16/10000+E604,E604)</f>
        <v>5.2468316064093303E-3</v>
      </c>
      <c r="M604" s="76">
        <f>MAX(0,N603+Observaciones!$F603-K604-Constantes!$D$13)</f>
        <v>0</v>
      </c>
      <c r="N604" s="76">
        <f>N603+Observaciones!$F603-K604-L604-M604-O603</f>
        <v>11.251088299969068</v>
      </c>
      <c r="O604" s="76">
        <f>MAX(0,(N604-Constantes!$D$14)*(1-EXP(-Constantes!$D$22)))</f>
        <v>3.7071492177418183E-5</v>
      </c>
      <c r="P604" s="170">
        <f>P603+(Entradas!$F$83*M604-Q603)/(800*Entradas!$D$25)</f>
        <v>0</v>
      </c>
      <c r="Q604" s="170">
        <f>8000*Entradas!$D$26*P604/Constantes!$F$45</f>
        <v>0</v>
      </c>
      <c r="R604" s="170">
        <f>IF(Escenarios!$F$14&gt;0,K604*Escenarios!$F$13/Escenarios!$F$14,0)</f>
        <v>0</v>
      </c>
      <c r="S604" s="170">
        <f>IF(Escenarios!$F$14&gt;0,Q604*Escenarios!$F$13/Escenarios!$F$14,0)</f>
        <v>0</v>
      </c>
      <c r="T604" s="170">
        <f>IF(Escenarios!$F$14&gt;0,Observaciones!$I603,0)</f>
        <v>0</v>
      </c>
      <c r="U604" s="170">
        <f>IF(Escenarios!$F$14&gt;0,MAX(0,Constantes!$F$36/((Z603+R604+S604+T604+Observaciones!$F603)^2)+Entradas!$F$77),0)</f>
        <v>0</v>
      </c>
      <c r="V604" s="146">
        <f>IF(ETo!D603&gt;0,ETo!I603*((1-Entradas!$F$81)*ETo!K603+ETo!L603),0)</f>
        <v>2.9724621166193863</v>
      </c>
      <c r="W604" s="170">
        <f>IF(Escenarios!$F$14&gt;0,MIN(V604*1,0.8*(Z603+R604+S604+T604+Observaciones!$F603-U604-Constantes!$F$35)),0)</f>
        <v>4.2244100613913821E-3</v>
      </c>
      <c r="X604" s="170">
        <f>IF(Escenarios!$F$14&gt;0,Observaciones!$J603,0)</f>
        <v>0</v>
      </c>
      <c r="Y604" s="170">
        <f>IF(Escenarios!$F$14&gt;0,MAX(0,Z603+R604+S604+T604+Observaciones!$F603-U604-W604-X604-Constantes!$F$33),0)</f>
        <v>0</v>
      </c>
      <c r="Z604" s="170">
        <f>Z603+R604+S604+T604+Observaciones!$F603-U604-W604-Y604</f>
        <v>41.251056102515349</v>
      </c>
      <c r="AA604" s="170">
        <f>IF(Escenarios!$F$14&gt;0,(Escenarios!$F$13*L604+Escenarios!$F$14*W604)/(Escenarios!$F$16),L604)</f>
        <v>5.1241410210071765E-3</v>
      </c>
      <c r="AB604" s="170">
        <f>IF(Escenarios!$F$14&gt;0,(Escenarios!$F$14*Y604)/(Escenarios!$F$16),K604)</f>
        <v>0</v>
      </c>
      <c r="AC604" s="170">
        <f>IF(Escenarios!$F$14&gt;0,(Escenarios!$F$13*M604+Escenarios!$F$14*U604)/(Escenarios!$F$16),M604)</f>
        <v>0</v>
      </c>
      <c r="AD604" s="76">
        <f t="shared" si="127"/>
        <v>77.499179909395295</v>
      </c>
      <c r="AE604" s="76">
        <f>MAX(0,(AD604-Constantes!$D$13)*(1-EXP(-Constantes!$D$23)))</f>
        <v>0.28327251716843771</v>
      </c>
      <c r="AF604" s="76">
        <f>AB604+O604*Escenarios!$F$13/Escenarios!$F$16+AE604</f>
        <v>0.28330514008155383</v>
      </c>
      <c r="AG604" s="76">
        <f>IF(Entradas!$F$91&gt;0,IF(AF604-Escenarios!$F$38&lt;=0,0,IF(AF604-Escenarios!$F$38&gt;Escenarios!$F$37,Escenarios!$F$37,AF604-Escenarios!$F$38)),0)</f>
        <v>0</v>
      </c>
      <c r="AH604" s="76">
        <f>AG604*Entradas!$F$99</f>
        <v>0</v>
      </c>
      <c r="AI604" s="76">
        <f>IF(Entradas!$F$91&gt;0,D604*Entradas!$D$23/Escenarios!$F$16,0)</f>
        <v>0.16206266138585881</v>
      </c>
      <c r="AJ604" s="76">
        <f>IF(Entradas!$F$91&gt;0,Entradas!$D$24*Entradas!$D$22/Escenarios!$F$16,0)</f>
        <v>0.12</v>
      </c>
      <c r="AK604" s="76">
        <f t="shared" si="128"/>
        <v>0.16718680240686598</v>
      </c>
      <c r="AL604" s="76">
        <f t="shared" si="129"/>
        <v>0</v>
      </c>
      <c r="AM604" s="76">
        <f t="shared" si="130"/>
        <v>0</v>
      </c>
      <c r="AN604" s="76">
        <f>MAX(0,O604*Escenarios!$F$13/Escenarios!$F$16-AM604)</f>
        <v>3.2622913116127998E-5</v>
      </c>
      <c r="AO604" s="76">
        <f>AM604+AN604-O604*Escenarios!$F$13/Escenarios!$F$16</f>
        <v>0</v>
      </c>
      <c r="AP604" s="76">
        <f t="shared" si="131"/>
        <v>0.28327251716843771</v>
      </c>
      <c r="AQ604" s="76">
        <f t="shared" si="132"/>
        <v>0</v>
      </c>
      <c r="AR604" s="76">
        <f t="shared" si="133"/>
        <v>0.28330514008155383</v>
      </c>
      <c r="AS604" s="76">
        <f t="shared" si="134"/>
        <v>0</v>
      </c>
      <c r="AT604" s="76">
        <f t="shared" si="135"/>
        <v>0</v>
      </c>
      <c r="AU604" s="76">
        <f t="shared" si="136"/>
        <v>50.317550691947602</v>
      </c>
      <c r="AV604" s="76">
        <f>MAX(0,(AU604-Constantes!$D$13)*(1-EXP(-Constantes!$D$24)))</f>
        <v>2.3960399614222389E-2</v>
      </c>
      <c r="AW604" s="170">
        <f>AW603+(Entradas!$F$112*AT604-AX603)/(800*Entradas!$D$25)</f>
        <v>0</v>
      </c>
      <c r="AX604" s="170">
        <f>8000*Entradas!$D$26*AW604/Constantes!$F$45</f>
        <v>0</v>
      </c>
      <c r="AY604" s="170">
        <f>IF(Escenarios!$F$17&gt;0,10*Escenarios!$F$16*AL604,0)</f>
        <v>0</v>
      </c>
      <c r="AZ604" s="170">
        <f>IF(Escenarios!$F$17&gt;0,10*Escenarios!$F$16*AX604,0)</f>
        <v>0</v>
      </c>
      <c r="BA604" s="170">
        <f>IF(Escenarios!$F$17&gt;0,0.001*Observaciones!$F603*Escenarios!$F$17,0)</f>
        <v>0</v>
      </c>
      <c r="BB604" s="170">
        <f>IF(Escenarios!$F$17&gt;0,Observaciones!$K603,0)</f>
        <v>0</v>
      </c>
      <c r="BC604" s="170">
        <f>IF(Escenarios!$F$17&gt;0,MIN(0.0005*ETo!$M603*Escenarios!$F$17*(BG603/Constantes!$F$40)^(2/3),BG603+AY604+AZ604+BA604+BB604),0)</f>
        <v>0</v>
      </c>
      <c r="BD604" s="170">
        <f>IF(Escenarios!$F$17&gt;0,MIN(Constantes!$F$39*(BG603/Constantes!$F$40)^(2/3),BG603+AY604+AZ604+BA604+BB604-BC604),0)</f>
        <v>0</v>
      </c>
      <c r="BE604" s="170">
        <f>IF(Escenarios!$F$17&gt;0,MIN(Entradas!$F$113,BG603+AY604+AZ604+BA604+BB604-BC604-BD604),0)</f>
        <v>0</v>
      </c>
      <c r="BF604" s="170">
        <f>IF(Escenarios!$F$17&gt;0,MAX(0,BG603+AY604+AZ604+BA604+BB604-BC604-BD604-BE604-Constantes!$F$40),0)</f>
        <v>0</v>
      </c>
      <c r="BG604" s="170">
        <f t="shared" si="137"/>
        <v>0</v>
      </c>
      <c r="BH604" s="170">
        <f>(Escenarios!$F$16*AK604+0.1*BC604)/(Escenarios!$F$19)</f>
        <v>0.16718680240686598</v>
      </c>
      <c r="BI604" s="170">
        <f>IF(Escenarios!$F$17&gt;0,BF604/10/Escenarios!$F$19,AL604)</f>
        <v>0</v>
      </c>
      <c r="BJ604" s="170">
        <f>(Escenarios!$F$16*AT604+0.1*BD604)/(Escenarios!$F$19)</f>
        <v>0</v>
      </c>
      <c r="BK604" s="76">
        <f>BK603+(0.1*BD604)/(Escenarios!$F$19)-BL603</f>
        <v>48.75</v>
      </c>
      <c r="BL604" s="76">
        <f>MAX(0,(BK604-Constantes!$D$13)*(1-EXP(-Constantes!$D$23)))</f>
        <v>0</v>
      </c>
      <c r="BM604" s="76">
        <f t="shared" si="138"/>
        <v>0.30723291678266007</v>
      </c>
      <c r="BN604" s="76">
        <f t="shared" si="139"/>
        <v>0.30726553969577619</v>
      </c>
      <c r="BO604" s="76">
        <f>0.0526*BI604*Observaciones!$F603^1.218</f>
        <v>0</v>
      </c>
      <c r="BP604" s="76">
        <f>BO604*Constantes!$F$51</f>
        <v>0</v>
      </c>
      <c r="BQ604" s="76">
        <f t="shared" si="140"/>
        <v>0</v>
      </c>
      <c r="BR604" s="40"/>
    </row>
    <row r="605" spans="2:70">
      <c r="B605" s="39"/>
      <c r="C605" s="75">
        <v>599</v>
      </c>
      <c r="D605" s="146">
        <f>ETo!$I604*((1-Constantes!$F$19)*ETo!$K604+ETo!$L604)</f>
        <v>3.579919935669412</v>
      </c>
      <c r="E605" s="76">
        <f>MIN(D605*Constantes!$F$17,0.8*(N604+Observaciones!$F604-F605-M605-Constantes!$D$14))</f>
        <v>8.7063997525405057E-4</v>
      </c>
      <c r="F605" s="76">
        <f>IF(Observaciones!$F604&gt;0.05*Constantes!$F$18,((Observaciones!$F604-0.05*Constantes!$F$18)^2)/(Observaciones!$F604+0.95*Constantes!$F$18),0)</f>
        <v>0</v>
      </c>
      <c r="G605" s="76">
        <f>IF(Escenarios!$F$11&gt;0,(F605*Escenarios!$F$16*10000)/1000,0)</f>
        <v>0</v>
      </c>
      <c r="H605" s="76">
        <f>IF(Escenarios!$F$11&gt;0,(Observaciones!$F604*Constantes!$F$29)/1000,0)</f>
        <v>0</v>
      </c>
      <c r="I605" s="76">
        <f>IF(Escenarios!$F$11&gt;0,(D605*Constantes!$F$29)/1000,0)</f>
        <v>0</v>
      </c>
      <c r="J605" s="76">
        <f>IF(Escenarios!$F$11&gt;0,MAX(0,G605+H605-I605),0)</f>
        <v>0</v>
      </c>
      <c r="K605" s="76">
        <f>IF(Escenarios!$F$11&gt;0,IF(J605&gt;Constantes!$F$30,1000*((J605-Constantes!$F$30)/(Escenarios!$F$16*10000)),0),F605)</f>
        <v>0</v>
      </c>
      <c r="L605" s="76">
        <f>IF(Escenarios!$F$11&gt;0,I605*1000/Escenarios!$F$16/10000+E605,E605)</f>
        <v>8.7063997525405057E-4</v>
      </c>
      <c r="M605" s="76">
        <f>MAX(0,N604+Observaciones!$F604-K605-Constantes!$D$13)</f>
        <v>0</v>
      </c>
      <c r="N605" s="76">
        <f>N604+Observaciones!$F604-K605-L605-M605-O604</f>
        <v>11.250180588501635</v>
      </c>
      <c r="O605" s="76">
        <f>MAX(0,(N605-Constantes!$D$14)*(1-EXP(-Constantes!$D$22)))</f>
        <v>6.1515073196588335E-6</v>
      </c>
      <c r="P605" s="170">
        <f>P604+(Entradas!$F$83*M605-Q604)/(800*Entradas!$D$25)</f>
        <v>0</v>
      </c>
      <c r="Q605" s="170">
        <f>8000*Entradas!$D$26*P605/Constantes!$F$45</f>
        <v>0</v>
      </c>
      <c r="R605" s="170">
        <f>IF(Escenarios!$F$14&gt;0,K605*Escenarios!$F$13/Escenarios!$F$14,0)</f>
        <v>0</v>
      </c>
      <c r="S605" s="170">
        <f>IF(Escenarios!$F$14&gt;0,Q605*Escenarios!$F$13/Escenarios!$F$14,0)</f>
        <v>0</v>
      </c>
      <c r="T605" s="170">
        <f>IF(Escenarios!$F$14&gt;0,Observaciones!$I604,0)</f>
        <v>0</v>
      </c>
      <c r="U605" s="170">
        <f>IF(Escenarios!$F$14&gt;0,MAX(0,Constantes!$F$36/((Z604+R605+S605+T605+Observaciones!$F604)^2)+Entradas!$F$77),0)</f>
        <v>0</v>
      </c>
      <c r="V605" s="146">
        <f>IF(ETo!D604&gt;0,ETo!I604*((1-Entradas!$F$81)*ETo!K604+ETo!L604),0)</f>
        <v>3.1554128720751762</v>
      </c>
      <c r="W605" s="170">
        <f>IF(Escenarios!$F$14&gt;0,MIN(V605*1,0.8*(Z604+R605+S605+T605+Observaciones!$F604-U605-Constantes!$F$35)),0)</f>
        <v>8.448820122794132E-4</v>
      </c>
      <c r="X605" s="170">
        <f>IF(Escenarios!$F$14&gt;0,Observaciones!$J604,0)</f>
        <v>0</v>
      </c>
      <c r="Y605" s="170">
        <f>IF(Escenarios!$F$14&gt;0,MAX(0,Z604+R605+S605+T605+Observaciones!$F604-U605-W605-X605-Constantes!$F$33),0)</f>
        <v>0</v>
      </c>
      <c r="Z605" s="170">
        <f>Z604+R605+S605+T605+Observaciones!$F604-U605-W605-Y605</f>
        <v>41.250211220503068</v>
      </c>
      <c r="AA605" s="170">
        <f>IF(Escenarios!$F$14&gt;0,(Escenarios!$F$13*L605+Escenarios!$F$14*W605)/(Escenarios!$F$16),L605)</f>
        <v>8.6754901969709412E-4</v>
      </c>
      <c r="AB605" s="170">
        <f>IF(Escenarios!$F$14&gt;0,(Escenarios!$F$14*Y605)/(Escenarios!$F$16),K605)</f>
        <v>0</v>
      </c>
      <c r="AC605" s="170">
        <f>IF(Escenarios!$F$14&gt;0,(Escenarios!$F$13*M605+Escenarios!$F$14*U605)/(Escenarios!$F$16),M605)</f>
        <v>0</v>
      </c>
      <c r="AD605" s="76">
        <f t="shared" si="127"/>
        <v>77.215907392226853</v>
      </c>
      <c r="AE605" s="76">
        <f>MAX(0,(AD605-Constantes!$D$13)*(1-EXP(-Constantes!$D$23)))</f>
        <v>0.28048136558652004</v>
      </c>
      <c r="AF605" s="76">
        <f>AB605+O605*Escenarios!$F$13/Escenarios!$F$16+AE605</f>
        <v>0.28048677891296131</v>
      </c>
      <c r="AG605" s="76">
        <f>IF(Entradas!$F$91&gt;0,IF(AF605-Escenarios!$F$38&lt;=0,0,IF(AF605-Escenarios!$F$38&gt;Escenarios!$F$37,Escenarios!$F$37,AF605-Escenarios!$F$38)),0)</f>
        <v>0</v>
      </c>
      <c r="AH605" s="76">
        <f>AG605*Entradas!$F$99</f>
        <v>0</v>
      </c>
      <c r="AI605" s="76">
        <f>IF(Entradas!$F$91&gt;0,D605*Entradas!$D$23/Escenarios!$F$16,0)</f>
        <v>0.17183615691213178</v>
      </c>
      <c r="AJ605" s="76">
        <f>IF(Entradas!$F$91&gt;0,Entradas!$D$24*Entradas!$D$22/Escenarios!$F$16,0)</f>
        <v>0.12</v>
      </c>
      <c r="AK605" s="76">
        <f t="shared" si="128"/>
        <v>0.17270370593182888</v>
      </c>
      <c r="AL605" s="76">
        <f t="shared" si="129"/>
        <v>0</v>
      </c>
      <c r="AM605" s="76">
        <f t="shared" si="130"/>
        <v>0</v>
      </c>
      <c r="AN605" s="76">
        <f>MAX(0,O605*Escenarios!$F$13/Escenarios!$F$16-AM605)</f>
        <v>5.4133264412997734E-6</v>
      </c>
      <c r="AO605" s="76">
        <f>AM605+AN605-O605*Escenarios!$F$13/Escenarios!$F$16</f>
        <v>0</v>
      </c>
      <c r="AP605" s="76">
        <f t="shared" si="131"/>
        <v>0.28048136558652004</v>
      </c>
      <c r="AQ605" s="76">
        <f t="shared" si="132"/>
        <v>0</v>
      </c>
      <c r="AR605" s="76">
        <f t="shared" si="133"/>
        <v>0.28048677891296131</v>
      </c>
      <c r="AS605" s="76">
        <f t="shared" si="134"/>
        <v>0</v>
      </c>
      <c r="AT605" s="76">
        <f t="shared" si="135"/>
        <v>0</v>
      </c>
      <c r="AU605" s="76">
        <f t="shared" si="136"/>
        <v>50.293590292333377</v>
      </c>
      <c r="AV605" s="76">
        <f>MAX(0,(AU605-Constantes!$D$13)*(1-EXP(-Constantes!$D$24)))</f>
        <v>2.3594158986329199E-2</v>
      </c>
      <c r="AW605" s="170">
        <f>AW604+(Entradas!$F$112*AT605-AX604)/(800*Entradas!$D$25)</f>
        <v>0</v>
      </c>
      <c r="AX605" s="170">
        <f>8000*Entradas!$D$26*AW605/Constantes!$F$45</f>
        <v>0</v>
      </c>
      <c r="AY605" s="170">
        <f>IF(Escenarios!$F$17&gt;0,10*Escenarios!$F$16*AL605,0)</f>
        <v>0</v>
      </c>
      <c r="AZ605" s="170">
        <f>IF(Escenarios!$F$17&gt;0,10*Escenarios!$F$16*AX605,0)</f>
        <v>0</v>
      </c>
      <c r="BA605" s="170">
        <f>IF(Escenarios!$F$17&gt;0,0.001*Observaciones!$F604*Escenarios!$F$17,0)</f>
        <v>0</v>
      </c>
      <c r="BB605" s="170">
        <f>IF(Escenarios!$F$17&gt;0,Observaciones!$K604,0)</f>
        <v>0</v>
      </c>
      <c r="BC605" s="170">
        <f>IF(Escenarios!$F$17&gt;0,MIN(0.0005*ETo!$M604*Escenarios!$F$17*(BG604/Constantes!$F$40)^(2/3),BG604+AY605+AZ605+BA605+BB605),0)</f>
        <v>0</v>
      </c>
      <c r="BD605" s="170">
        <f>IF(Escenarios!$F$17&gt;0,MIN(Constantes!$F$39*(BG604/Constantes!$F$40)^(2/3),BG604+AY605+AZ605+BA605+BB605-BC605),0)</f>
        <v>0</v>
      </c>
      <c r="BE605" s="170">
        <f>IF(Escenarios!$F$17&gt;0,MIN(Entradas!$F$113,BG604+AY605+AZ605+BA605+BB605-BC605-BD605),0)</f>
        <v>0</v>
      </c>
      <c r="BF605" s="170">
        <f>IF(Escenarios!$F$17&gt;0,MAX(0,BG604+AY605+AZ605+BA605+BB605-BC605-BD605-BE605-Constantes!$F$40),0)</f>
        <v>0</v>
      </c>
      <c r="BG605" s="170">
        <f t="shared" si="137"/>
        <v>0</v>
      </c>
      <c r="BH605" s="170">
        <f>(Escenarios!$F$16*AK605+0.1*BC605)/(Escenarios!$F$19)</f>
        <v>0.17270370593182888</v>
      </c>
      <c r="BI605" s="170">
        <f>IF(Escenarios!$F$17&gt;0,BF605/10/Escenarios!$F$19,AL605)</f>
        <v>0</v>
      </c>
      <c r="BJ605" s="170">
        <f>(Escenarios!$F$16*AT605+0.1*BD605)/(Escenarios!$F$19)</f>
        <v>0</v>
      </c>
      <c r="BK605" s="76">
        <f>BK604+(0.1*BD605)/(Escenarios!$F$19)-BL604</f>
        <v>48.75</v>
      </c>
      <c r="BL605" s="76">
        <f>MAX(0,(BK605-Constantes!$D$13)*(1-EXP(-Constantes!$D$23)))</f>
        <v>0</v>
      </c>
      <c r="BM605" s="76">
        <f t="shared" si="138"/>
        <v>0.30407552457284925</v>
      </c>
      <c r="BN605" s="76">
        <f t="shared" si="139"/>
        <v>0.30408093789929053</v>
      </c>
      <c r="BO605" s="76">
        <f>0.0526*BI605*Observaciones!$F604^1.218</f>
        <v>0</v>
      </c>
      <c r="BP605" s="76">
        <f>BO605*Constantes!$F$51</f>
        <v>0</v>
      </c>
      <c r="BQ605" s="76">
        <f t="shared" si="140"/>
        <v>0</v>
      </c>
      <c r="BR605" s="40"/>
    </row>
    <row r="606" spans="2:70">
      <c r="B606" s="39"/>
      <c r="C606" s="75">
        <v>600</v>
      </c>
      <c r="D606" s="146">
        <f>ETo!$I605*((1-Constantes!$F$19)*ETo!$K605+ETo!$L605)</f>
        <v>3.4434673014867281</v>
      </c>
      <c r="E606" s="76">
        <f>MIN(D606*Constantes!$F$17,0.8*(N605+Observaciones!$F605-F606-M606-Constantes!$D$14))</f>
        <v>1.4447080130821632E-4</v>
      </c>
      <c r="F606" s="76">
        <f>IF(Observaciones!$F605&gt;0.05*Constantes!$F$18,((Observaciones!$F605-0.05*Constantes!$F$18)^2)/(Observaciones!$F605+0.95*Constantes!$F$18),0)</f>
        <v>0</v>
      </c>
      <c r="G606" s="76">
        <f>IF(Escenarios!$F$11&gt;0,(F606*Escenarios!$F$16*10000)/1000,0)</f>
        <v>0</v>
      </c>
      <c r="H606" s="76">
        <f>IF(Escenarios!$F$11&gt;0,(Observaciones!$F605*Constantes!$F$29)/1000,0)</f>
        <v>0</v>
      </c>
      <c r="I606" s="76">
        <f>IF(Escenarios!$F$11&gt;0,(D606*Constantes!$F$29)/1000,0)</f>
        <v>0</v>
      </c>
      <c r="J606" s="76">
        <f>IF(Escenarios!$F$11&gt;0,MAX(0,G606+H606-I606),0)</f>
        <v>0</v>
      </c>
      <c r="K606" s="76">
        <f>IF(Escenarios!$F$11&gt;0,IF(J606&gt;Constantes!$F$30,1000*((J606-Constantes!$F$30)/(Escenarios!$F$16*10000)),0),F606)</f>
        <v>0</v>
      </c>
      <c r="L606" s="76">
        <f>IF(Escenarios!$F$11&gt;0,I606*1000/Escenarios!$F$16/10000+E606,E606)</f>
        <v>1.4447080130821632E-4</v>
      </c>
      <c r="M606" s="76">
        <f>MAX(0,N605+Observaciones!$F605-K606-Constantes!$D$13)</f>
        <v>0</v>
      </c>
      <c r="N606" s="76">
        <f>N605+Observaciones!$F605-K606-L606-M606-O605</f>
        <v>11.250029966193008</v>
      </c>
      <c r="O606" s="76">
        <f>MAX(0,(N606-Constantes!$D$14)*(1-EXP(-Constantes!$D$22)))</f>
        <v>1.0207585419950105E-6</v>
      </c>
      <c r="P606" s="170">
        <f>P605+(Entradas!$F$83*M606-Q605)/(800*Entradas!$D$25)</f>
        <v>0</v>
      </c>
      <c r="Q606" s="170">
        <f>8000*Entradas!$D$26*P606/Constantes!$F$45</f>
        <v>0</v>
      </c>
      <c r="R606" s="170">
        <f>IF(Escenarios!$F$14&gt;0,K606*Escenarios!$F$13/Escenarios!$F$14,0)</f>
        <v>0</v>
      </c>
      <c r="S606" s="170">
        <f>IF(Escenarios!$F$14&gt;0,Q606*Escenarios!$F$13/Escenarios!$F$14,0)</f>
        <v>0</v>
      </c>
      <c r="T606" s="170">
        <f>IF(Escenarios!$F$14&gt;0,Observaciones!$I605,0)</f>
        <v>0</v>
      </c>
      <c r="U606" s="170">
        <f>IF(Escenarios!$F$14&gt;0,MAX(0,Constantes!$F$36/((Z605+R606+S606+T606+Observaciones!$F605)^2)+Entradas!$F$77),0)</f>
        <v>0</v>
      </c>
      <c r="V606" s="146">
        <f>IF(ETo!D605&gt;0,ETo!I605*((1-Entradas!$F$81)*ETo!K605+ETo!L605),0)</f>
        <v>3.0333496316316371</v>
      </c>
      <c r="W606" s="170">
        <f>IF(Escenarios!$F$14&gt;0,MIN(V606*1,0.8*(Z605+R606+S606+T606+Observaciones!$F605-U606-Constantes!$F$35)),0)</f>
        <v>1.6897640245474579E-4</v>
      </c>
      <c r="X606" s="170">
        <f>IF(Escenarios!$F$14&gt;0,Observaciones!$J605,0)</f>
        <v>0</v>
      </c>
      <c r="Y606" s="170">
        <f>IF(Escenarios!$F$14&gt;0,MAX(0,Z605+R606+S606+T606+Observaciones!$F605-U606-W606-X606-Constantes!$F$33),0)</f>
        <v>0</v>
      </c>
      <c r="Z606" s="170">
        <f>Z605+R606+S606+T606+Observaciones!$F605-U606-W606-Y606</f>
        <v>41.250042244100612</v>
      </c>
      <c r="AA606" s="170">
        <f>IF(Escenarios!$F$14&gt;0,(Escenarios!$F$13*L606+Escenarios!$F$14*W606)/(Escenarios!$F$16),L606)</f>
        <v>1.4741147344579986E-4</v>
      </c>
      <c r="AB606" s="170">
        <f>IF(Escenarios!$F$14&gt;0,(Escenarios!$F$14*Y606)/(Escenarios!$F$16),K606)</f>
        <v>0</v>
      </c>
      <c r="AC606" s="170">
        <f>IF(Escenarios!$F$14&gt;0,(Escenarios!$F$13*M606+Escenarios!$F$14*U606)/(Escenarios!$F$16),M606)</f>
        <v>0</v>
      </c>
      <c r="AD606" s="76">
        <f t="shared" si="127"/>
        <v>76.935426026640329</v>
      </c>
      <c r="AE606" s="76">
        <f>MAX(0,(AD606-Constantes!$D$13)*(1-EXP(-Constantes!$D$23)))</f>
        <v>0.27771771588593952</v>
      </c>
      <c r="AF606" s="76">
        <f>AB606+O606*Escenarios!$F$13/Escenarios!$F$16+AE606</f>
        <v>0.2777186141534565</v>
      </c>
      <c r="AG606" s="76">
        <f>IF(Entradas!$F$91&gt;0,IF(AF606-Escenarios!$F$38&lt;=0,0,IF(AF606-Escenarios!$F$38&gt;Escenarios!$F$37,Escenarios!$F$37,AF606-Escenarios!$F$38)),0)</f>
        <v>0</v>
      </c>
      <c r="AH606" s="76">
        <f>AG606*Entradas!$F$99</f>
        <v>0</v>
      </c>
      <c r="AI606" s="76">
        <f>IF(Entradas!$F$91&gt;0,D606*Entradas!$D$23/Escenarios!$F$16,0)</f>
        <v>0.16528643047136296</v>
      </c>
      <c r="AJ606" s="76">
        <f>IF(Entradas!$F$91&gt;0,Entradas!$D$24*Entradas!$D$22/Escenarios!$F$16,0)</f>
        <v>0.12</v>
      </c>
      <c r="AK606" s="76">
        <f t="shared" si="128"/>
        <v>0.16543384194480876</v>
      </c>
      <c r="AL606" s="76">
        <f t="shared" si="129"/>
        <v>0</v>
      </c>
      <c r="AM606" s="76">
        <f t="shared" si="130"/>
        <v>0</v>
      </c>
      <c r="AN606" s="76">
        <f>MAX(0,O606*Escenarios!$F$13/Escenarios!$F$16-AM606)</f>
        <v>8.9826751695560928E-7</v>
      </c>
      <c r="AO606" s="76">
        <f>AM606+AN606-O606*Escenarios!$F$13/Escenarios!$F$16</f>
        <v>0</v>
      </c>
      <c r="AP606" s="76">
        <f t="shared" si="131"/>
        <v>0.27771771588593952</v>
      </c>
      <c r="AQ606" s="76">
        <f t="shared" si="132"/>
        <v>0</v>
      </c>
      <c r="AR606" s="76">
        <f t="shared" si="133"/>
        <v>0.2777186141534565</v>
      </c>
      <c r="AS606" s="76">
        <f t="shared" si="134"/>
        <v>0</v>
      </c>
      <c r="AT606" s="76">
        <f t="shared" si="135"/>
        <v>0</v>
      </c>
      <c r="AU606" s="76">
        <f t="shared" si="136"/>
        <v>50.26999613334705</v>
      </c>
      <c r="AV606" s="76">
        <f>MAX(0,(AU606-Constantes!$D$13)*(1-EXP(-Constantes!$D$24)))</f>
        <v>2.3233516436918875E-2</v>
      </c>
      <c r="AW606" s="170">
        <f>AW605+(Entradas!$F$112*AT606-AX605)/(800*Entradas!$D$25)</f>
        <v>0</v>
      </c>
      <c r="AX606" s="170">
        <f>8000*Entradas!$D$26*AW606/Constantes!$F$45</f>
        <v>0</v>
      </c>
      <c r="AY606" s="170">
        <f>IF(Escenarios!$F$17&gt;0,10*Escenarios!$F$16*AL606,0)</f>
        <v>0</v>
      </c>
      <c r="AZ606" s="170">
        <f>IF(Escenarios!$F$17&gt;0,10*Escenarios!$F$16*AX606,0)</f>
        <v>0</v>
      </c>
      <c r="BA606" s="170">
        <f>IF(Escenarios!$F$17&gt;0,0.001*Observaciones!$F605*Escenarios!$F$17,0)</f>
        <v>0</v>
      </c>
      <c r="BB606" s="170">
        <f>IF(Escenarios!$F$17&gt;0,Observaciones!$K605,0)</f>
        <v>0</v>
      </c>
      <c r="BC606" s="170">
        <f>IF(Escenarios!$F$17&gt;0,MIN(0.0005*ETo!$M605*Escenarios!$F$17*(BG605/Constantes!$F$40)^(2/3),BG605+AY606+AZ606+BA606+BB606),0)</f>
        <v>0</v>
      </c>
      <c r="BD606" s="170">
        <f>IF(Escenarios!$F$17&gt;0,MIN(Constantes!$F$39*(BG605/Constantes!$F$40)^(2/3),BG605+AY606+AZ606+BA606+BB606-BC606),0)</f>
        <v>0</v>
      </c>
      <c r="BE606" s="170">
        <f>IF(Escenarios!$F$17&gt;0,MIN(Entradas!$F$113,BG605+AY606+AZ606+BA606+BB606-BC606-BD606),0)</f>
        <v>0</v>
      </c>
      <c r="BF606" s="170">
        <f>IF(Escenarios!$F$17&gt;0,MAX(0,BG605+AY606+AZ606+BA606+BB606-BC606-BD606-BE606-Constantes!$F$40),0)</f>
        <v>0</v>
      </c>
      <c r="BG606" s="170">
        <f t="shared" si="137"/>
        <v>0</v>
      </c>
      <c r="BH606" s="170">
        <f>(Escenarios!$F$16*AK606+0.1*BC606)/(Escenarios!$F$19)</f>
        <v>0.16543384194480876</v>
      </c>
      <c r="BI606" s="170">
        <f>IF(Escenarios!$F$17&gt;0,BF606/10/Escenarios!$F$19,AL606)</f>
        <v>0</v>
      </c>
      <c r="BJ606" s="170">
        <f>(Escenarios!$F$16*AT606+0.1*BD606)/(Escenarios!$F$19)</f>
        <v>0</v>
      </c>
      <c r="BK606" s="76">
        <f>BK605+(0.1*BD606)/(Escenarios!$F$19)-BL605</f>
        <v>48.75</v>
      </c>
      <c r="BL606" s="76">
        <f>MAX(0,(BK606-Constantes!$D$13)*(1-EXP(-Constantes!$D$23)))</f>
        <v>0</v>
      </c>
      <c r="BM606" s="76">
        <f t="shared" si="138"/>
        <v>0.30095123232285842</v>
      </c>
      <c r="BN606" s="76">
        <f t="shared" si="139"/>
        <v>0.3009521305903754</v>
      </c>
      <c r="BO606" s="76">
        <f>0.0526*BI606*Observaciones!$F605^1.218</f>
        <v>0</v>
      </c>
      <c r="BP606" s="76">
        <f>BO606*Constantes!$F$51</f>
        <v>0</v>
      </c>
      <c r="BQ606" s="76">
        <f t="shared" si="140"/>
        <v>0</v>
      </c>
      <c r="BR606" s="40"/>
    </row>
    <row r="607" spans="2:70">
      <c r="B607" s="39"/>
      <c r="C607" s="75">
        <v>601</v>
      </c>
      <c r="D607" s="146">
        <f>ETo!$I606*((1-Constantes!$F$19)*ETo!$K606+ETo!$L606)</f>
        <v>3.4848789483652953</v>
      </c>
      <c r="E607" s="76">
        <f>MIN(D607*Constantes!$F$17,0.8*(N606+Observaciones!$F606-F607-M607-Constantes!$D$14))</f>
        <v>2.3972954406303873E-5</v>
      </c>
      <c r="F607" s="76">
        <f>IF(Observaciones!$F606&gt;0.05*Constantes!$F$18,((Observaciones!$F606-0.05*Constantes!$F$18)^2)/(Observaciones!$F606+0.95*Constantes!$F$18),0)</f>
        <v>0</v>
      </c>
      <c r="G607" s="76">
        <f>IF(Escenarios!$F$11&gt;0,(F607*Escenarios!$F$16*10000)/1000,0)</f>
        <v>0</v>
      </c>
      <c r="H607" s="76">
        <f>IF(Escenarios!$F$11&gt;0,(Observaciones!$F606*Constantes!$F$29)/1000,0)</f>
        <v>0</v>
      </c>
      <c r="I607" s="76">
        <f>IF(Escenarios!$F$11&gt;0,(D607*Constantes!$F$29)/1000,0)</f>
        <v>0</v>
      </c>
      <c r="J607" s="76">
        <f>IF(Escenarios!$F$11&gt;0,MAX(0,G607+H607-I607),0)</f>
        <v>0</v>
      </c>
      <c r="K607" s="76">
        <f>IF(Escenarios!$F$11&gt;0,IF(J607&gt;Constantes!$F$30,1000*((J607-Constantes!$F$30)/(Escenarios!$F$16*10000)),0),F607)</f>
        <v>0</v>
      </c>
      <c r="L607" s="76">
        <f>IF(Escenarios!$F$11&gt;0,I607*1000/Escenarios!$F$16/10000+E607,E607)</f>
        <v>2.3972954406303873E-5</v>
      </c>
      <c r="M607" s="76">
        <f>MAX(0,N606+Observaciones!$F606-K607-Constantes!$D$13)</f>
        <v>0</v>
      </c>
      <c r="N607" s="76">
        <f>N606+Observaciones!$F606-K607-L607-M607-O606</f>
        <v>11.25000497248006</v>
      </c>
      <c r="O607" s="76">
        <f>MAX(0,(N607-Constantes!$D$14)*(1-EXP(-Constantes!$D$22)))</f>
        <v>1.6938092518159562E-7</v>
      </c>
      <c r="P607" s="170">
        <f>P606+(Entradas!$F$83*M607-Q606)/(800*Entradas!$D$25)</f>
        <v>0</v>
      </c>
      <c r="Q607" s="170">
        <f>8000*Entradas!$D$26*P607/Constantes!$F$45</f>
        <v>0</v>
      </c>
      <c r="R607" s="170">
        <f>IF(Escenarios!$F$14&gt;0,K607*Escenarios!$F$13/Escenarios!$F$14,0)</f>
        <v>0</v>
      </c>
      <c r="S607" s="170">
        <f>IF(Escenarios!$F$14&gt;0,Q607*Escenarios!$F$13/Escenarios!$F$14,0)</f>
        <v>0</v>
      </c>
      <c r="T607" s="170">
        <f>IF(Escenarios!$F$14&gt;0,Observaciones!$I606,0)</f>
        <v>0</v>
      </c>
      <c r="U607" s="170">
        <f>IF(Escenarios!$F$14&gt;0,MAX(0,Constantes!$F$36/((Z606+R607+S607+T607+Observaciones!$F606)^2)+Entradas!$F$77),0)</f>
        <v>0</v>
      </c>
      <c r="V607" s="146">
        <f>IF(ETo!D606&gt;0,ETo!I606*((1-Entradas!$F$81)*ETo!K606+ETo!L606),0)</f>
        <v>3.0708205344834041</v>
      </c>
      <c r="W607" s="170">
        <f>IF(Escenarios!$F$14&gt;0,MIN(V607*1,0.8*(Z606+R607+S607+T607+Observaciones!$F606-U607-Constantes!$F$35)),0)</f>
        <v>3.3795280489812289E-5</v>
      </c>
      <c r="X607" s="170">
        <f>IF(Escenarios!$F$14&gt;0,Observaciones!$J606,0)</f>
        <v>0</v>
      </c>
      <c r="Y607" s="170">
        <f>IF(Escenarios!$F$14&gt;0,MAX(0,Z606+R607+S607+T607+Observaciones!$F606-U607-W607-X607-Constantes!$F$33),0)</f>
        <v>0</v>
      </c>
      <c r="Z607" s="170">
        <f>Z606+R607+S607+T607+Observaciones!$F606-U607-W607-Y607</f>
        <v>41.250008448820125</v>
      </c>
      <c r="AA607" s="170">
        <f>IF(Escenarios!$F$14&gt;0,(Escenarios!$F$13*L607+Escenarios!$F$14*W607)/(Escenarios!$F$16),L607)</f>
        <v>2.5151633536324882E-5</v>
      </c>
      <c r="AB607" s="170">
        <f>IF(Escenarios!$F$14&gt;0,(Escenarios!$F$14*Y607)/(Escenarios!$F$16),K607)</f>
        <v>0</v>
      </c>
      <c r="AC607" s="170">
        <f>IF(Escenarios!$F$14&gt;0,(Escenarios!$F$13*M607+Escenarios!$F$14*U607)/(Escenarios!$F$16),M607)</f>
        <v>0</v>
      </c>
      <c r="AD607" s="76">
        <f t="shared" si="127"/>
        <v>76.657708310754387</v>
      </c>
      <c r="AE607" s="76">
        <f>MAX(0,(AD607-Constantes!$D$13)*(1-EXP(-Constantes!$D$23)))</f>
        <v>0.27498129708410896</v>
      </c>
      <c r="AF607" s="76">
        <f>AB607+O607*Escenarios!$F$13/Escenarios!$F$16+AE607</f>
        <v>0.27498144613932313</v>
      </c>
      <c r="AG607" s="76">
        <f>IF(Entradas!$F$91&gt;0,IF(AF607-Escenarios!$F$38&lt;=0,0,IF(AF607-Escenarios!$F$38&gt;Escenarios!$F$37,Escenarios!$F$37,AF607-Escenarios!$F$38)),0)</f>
        <v>0</v>
      </c>
      <c r="AH607" s="76">
        <f>AG607*Entradas!$F$99</f>
        <v>0</v>
      </c>
      <c r="AI607" s="76">
        <f>IF(Entradas!$F$91&gt;0,D607*Entradas!$D$23/Escenarios!$F$16,0)</f>
        <v>0.16727418952153417</v>
      </c>
      <c r="AJ607" s="76">
        <f>IF(Entradas!$F$91&gt;0,Entradas!$D$24*Entradas!$D$22/Escenarios!$F$16,0)</f>
        <v>0.12</v>
      </c>
      <c r="AK607" s="76">
        <f t="shared" si="128"/>
        <v>0.1672993411550705</v>
      </c>
      <c r="AL607" s="76">
        <f t="shared" si="129"/>
        <v>0</v>
      </c>
      <c r="AM607" s="76">
        <f t="shared" si="130"/>
        <v>0</v>
      </c>
      <c r="AN607" s="76">
        <f>MAX(0,O607*Escenarios!$F$13/Escenarios!$F$16-AM607)</f>
        <v>1.4905521415980414E-7</v>
      </c>
      <c r="AO607" s="76">
        <f>AM607+AN607-O607*Escenarios!$F$13/Escenarios!$F$16</f>
        <v>0</v>
      </c>
      <c r="AP607" s="76">
        <f t="shared" si="131"/>
        <v>0.27498129708410896</v>
      </c>
      <c r="AQ607" s="76">
        <f t="shared" si="132"/>
        <v>0</v>
      </c>
      <c r="AR607" s="76">
        <f t="shared" si="133"/>
        <v>0.27498144613932313</v>
      </c>
      <c r="AS607" s="76">
        <f t="shared" si="134"/>
        <v>0</v>
      </c>
      <c r="AT607" s="76">
        <f t="shared" si="135"/>
        <v>0</v>
      </c>
      <c r="AU607" s="76">
        <f t="shared" si="136"/>
        <v>50.246762616910132</v>
      </c>
      <c r="AV607" s="76">
        <f>MAX(0,(AU607-Constantes!$D$13)*(1-EXP(-Constantes!$D$24)))</f>
        <v>2.287838639797864E-2</v>
      </c>
      <c r="AW607" s="170">
        <f>AW606+(Entradas!$F$112*AT607-AX606)/(800*Entradas!$D$25)</f>
        <v>0</v>
      </c>
      <c r="AX607" s="170">
        <f>8000*Entradas!$D$26*AW607/Constantes!$F$45</f>
        <v>0</v>
      </c>
      <c r="AY607" s="170">
        <f>IF(Escenarios!$F$17&gt;0,10*Escenarios!$F$16*AL607,0)</f>
        <v>0</v>
      </c>
      <c r="AZ607" s="170">
        <f>IF(Escenarios!$F$17&gt;0,10*Escenarios!$F$16*AX607,0)</f>
        <v>0</v>
      </c>
      <c r="BA607" s="170">
        <f>IF(Escenarios!$F$17&gt;0,0.001*Observaciones!$F606*Escenarios!$F$17,0)</f>
        <v>0</v>
      </c>
      <c r="BB607" s="170">
        <f>IF(Escenarios!$F$17&gt;0,Observaciones!$K606,0)</f>
        <v>0</v>
      </c>
      <c r="BC607" s="170">
        <f>IF(Escenarios!$F$17&gt;0,MIN(0.0005*ETo!$M606*Escenarios!$F$17*(BG606/Constantes!$F$40)^(2/3),BG606+AY607+AZ607+BA607+BB607),0)</f>
        <v>0</v>
      </c>
      <c r="BD607" s="170">
        <f>IF(Escenarios!$F$17&gt;0,MIN(Constantes!$F$39*(BG606/Constantes!$F$40)^(2/3),BG606+AY607+AZ607+BA607+BB607-BC607),0)</f>
        <v>0</v>
      </c>
      <c r="BE607" s="170">
        <f>IF(Escenarios!$F$17&gt;0,MIN(Entradas!$F$113,BG606+AY607+AZ607+BA607+BB607-BC607-BD607),0)</f>
        <v>0</v>
      </c>
      <c r="BF607" s="170">
        <f>IF(Escenarios!$F$17&gt;0,MAX(0,BG606+AY607+AZ607+BA607+BB607-BC607-BD607-BE607-Constantes!$F$40),0)</f>
        <v>0</v>
      </c>
      <c r="BG607" s="170">
        <f t="shared" si="137"/>
        <v>0</v>
      </c>
      <c r="BH607" s="170">
        <f>(Escenarios!$F$16*AK607+0.1*BC607)/(Escenarios!$F$19)</f>
        <v>0.1672993411550705</v>
      </c>
      <c r="BI607" s="170">
        <f>IF(Escenarios!$F$17&gt;0,BF607/10/Escenarios!$F$19,AL607)</f>
        <v>0</v>
      </c>
      <c r="BJ607" s="170">
        <f>(Escenarios!$F$16*AT607+0.1*BD607)/(Escenarios!$F$19)</f>
        <v>0</v>
      </c>
      <c r="BK607" s="76">
        <f>BK606+(0.1*BD607)/(Escenarios!$F$19)-BL606</f>
        <v>48.75</v>
      </c>
      <c r="BL607" s="76">
        <f>MAX(0,(BK607-Constantes!$D$13)*(1-EXP(-Constantes!$D$23)))</f>
        <v>0</v>
      </c>
      <c r="BM607" s="76">
        <f t="shared" si="138"/>
        <v>0.29785968348208758</v>
      </c>
      <c r="BN607" s="76">
        <f t="shared" si="139"/>
        <v>0.29785983253730175</v>
      </c>
      <c r="BO607" s="76">
        <f>0.0526*BI607*Observaciones!$F606^1.218</f>
        <v>0</v>
      </c>
      <c r="BP607" s="76">
        <f>BO607*Constantes!$F$51</f>
        <v>0</v>
      </c>
      <c r="BQ607" s="76">
        <f t="shared" si="140"/>
        <v>0</v>
      </c>
      <c r="BR607" s="40"/>
    </row>
    <row r="608" spans="2:70">
      <c r="B608" s="39"/>
      <c r="C608" s="75">
        <v>602</v>
      </c>
      <c r="D608" s="146">
        <f>ETo!$I607*((1-Constantes!$F$19)*ETo!$K607+ETo!$L607)</f>
        <v>3.2825552050728728</v>
      </c>
      <c r="E608" s="76">
        <f>MIN(D608*Constantes!$F$17,0.8*(N607+Observaciones!$F607-F608-M608-Constantes!$D$14))</f>
        <v>3.9779840477649488E-6</v>
      </c>
      <c r="F608" s="76">
        <f>IF(Observaciones!$F607&gt;0.05*Constantes!$F$18,((Observaciones!$F607-0.05*Constantes!$F$18)^2)/(Observaciones!$F607+0.95*Constantes!$F$18),0)</f>
        <v>0</v>
      </c>
      <c r="G608" s="76">
        <f>IF(Escenarios!$F$11&gt;0,(F608*Escenarios!$F$16*10000)/1000,0)</f>
        <v>0</v>
      </c>
      <c r="H608" s="76">
        <f>IF(Escenarios!$F$11&gt;0,(Observaciones!$F607*Constantes!$F$29)/1000,0)</f>
        <v>0</v>
      </c>
      <c r="I608" s="76">
        <f>IF(Escenarios!$F$11&gt;0,(D608*Constantes!$F$29)/1000,0)</f>
        <v>0</v>
      </c>
      <c r="J608" s="76">
        <f>IF(Escenarios!$F$11&gt;0,MAX(0,G608+H608-I608),0)</f>
        <v>0</v>
      </c>
      <c r="K608" s="76">
        <f>IF(Escenarios!$F$11&gt;0,IF(J608&gt;Constantes!$F$30,1000*((J608-Constantes!$F$30)/(Escenarios!$F$16*10000)),0),F608)</f>
        <v>0</v>
      </c>
      <c r="L608" s="76">
        <f>IF(Escenarios!$F$11&gt;0,I608*1000/Escenarios!$F$16/10000+E608,E608)</f>
        <v>3.9779840477649488E-6</v>
      </c>
      <c r="M608" s="76">
        <f>MAX(0,N607+Observaciones!$F607-K608-Constantes!$D$13)</f>
        <v>0</v>
      </c>
      <c r="N608" s="76">
        <f>N607+Observaciones!$F607-K608-L608-M608-O607</f>
        <v>11.250000825115087</v>
      </c>
      <c r="O608" s="76">
        <f>MAX(0,(N608-Constantes!$D$14)*(1-EXP(-Constantes!$D$22)))</f>
        <v>2.8106448935188068E-8</v>
      </c>
      <c r="P608" s="170">
        <f>P607+(Entradas!$F$83*M608-Q607)/(800*Entradas!$D$25)</f>
        <v>0</v>
      </c>
      <c r="Q608" s="170">
        <f>8000*Entradas!$D$26*P608/Constantes!$F$45</f>
        <v>0</v>
      </c>
      <c r="R608" s="170">
        <f>IF(Escenarios!$F$14&gt;0,K608*Escenarios!$F$13/Escenarios!$F$14,0)</f>
        <v>0</v>
      </c>
      <c r="S608" s="170">
        <f>IF(Escenarios!$F$14&gt;0,Q608*Escenarios!$F$13/Escenarios!$F$14,0)</f>
        <v>0</v>
      </c>
      <c r="T608" s="170">
        <f>IF(Escenarios!$F$14&gt;0,Observaciones!$I607,0)</f>
        <v>0</v>
      </c>
      <c r="U608" s="170">
        <f>IF(Escenarios!$F$14&gt;0,MAX(0,Constantes!$F$36/((Z607+R608+S608+T608+Observaciones!$F607)^2)+Entradas!$F$77),0)</f>
        <v>0</v>
      </c>
      <c r="V608" s="146">
        <f>IF(ETo!D607&gt;0,ETo!I607*((1-Entradas!$F$81)*ETo!K607+ETo!L607),0)</f>
        <v>2.8910157018804581</v>
      </c>
      <c r="W608" s="170">
        <f>IF(Escenarios!$F$14&gt;0,MIN(V608*1,0.8*(Z607+R608+S608+T608+Observaciones!$F607-U608-Constantes!$F$35)),0)</f>
        <v>6.7590561002361941E-6</v>
      </c>
      <c r="X608" s="170">
        <f>IF(Escenarios!$F$14&gt;0,Observaciones!$J607,0)</f>
        <v>0</v>
      </c>
      <c r="Y608" s="170">
        <f>IF(Escenarios!$F$14&gt;0,MAX(0,Z607+R608+S608+T608+Observaciones!$F607-U608-W608-X608-Constantes!$F$33),0)</f>
        <v>0</v>
      </c>
      <c r="Z608" s="170">
        <f>Z607+R608+S608+T608+Observaciones!$F607-U608-W608-Y608</f>
        <v>41.250001689764026</v>
      </c>
      <c r="AA608" s="170">
        <f>IF(Escenarios!$F$14&gt;0,(Escenarios!$F$13*L608+Escenarios!$F$14*W608)/(Escenarios!$F$16),L608)</f>
        <v>4.3117126940614982E-6</v>
      </c>
      <c r="AB608" s="170">
        <f>IF(Escenarios!$F$14&gt;0,(Escenarios!$F$14*Y608)/(Escenarios!$F$16),K608)</f>
        <v>0</v>
      </c>
      <c r="AC608" s="170">
        <f>IF(Escenarios!$F$14&gt;0,(Escenarios!$F$13*M608+Escenarios!$F$14*U608)/(Escenarios!$F$16),M608)</f>
        <v>0</v>
      </c>
      <c r="AD608" s="76">
        <f t="shared" si="127"/>
        <v>76.382727013670277</v>
      </c>
      <c r="AE608" s="76">
        <f>MAX(0,(AD608-Constantes!$D$13)*(1-EXP(-Constantes!$D$23)))</f>
        <v>0.27227184086849698</v>
      </c>
      <c r="AF608" s="76">
        <f>AB608+O608*Escenarios!$F$13/Escenarios!$F$16+AE608</f>
        <v>0.27227186560217204</v>
      </c>
      <c r="AG608" s="76">
        <f>IF(Entradas!$F$91&gt;0,IF(AF608-Escenarios!$F$38&lt;=0,0,IF(AF608-Escenarios!$F$38&gt;Escenarios!$F$37,Escenarios!$F$37,AF608-Escenarios!$F$38)),0)</f>
        <v>0</v>
      </c>
      <c r="AH608" s="76">
        <f>AG608*Entradas!$F$99</f>
        <v>0</v>
      </c>
      <c r="AI608" s="76">
        <f>IF(Entradas!$F$91&gt;0,D608*Entradas!$D$23/Escenarios!$F$16,0)</f>
        <v>0.15756264984349788</v>
      </c>
      <c r="AJ608" s="76">
        <f>IF(Entradas!$F$91&gt;0,Entradas!$D$24*Entradas!$D$22/Escenarios!$F$16,0)</f>
        <v>0.12</v>
      </c>
      <c r="AK608" s="76">
        <f t="shared" si="128"/>
        <v>0.15756696155619193</v>
      </c>
      <c r="AL608" s="76">
        <f t="shared" si="129"/>
        <v>0</v>
      </c>
      <c r="AM608" s="76">
        <f t="shared" si="130"/>
        <v>0</v>
      </c>
      <c r="AN608" s="76">
        <f>MAX(0,O608*Escenarios!$F$13/Escenarios!$F$16-AM608)</f>
        <v>2.4733675062965502E-8</v>
      </c>
      <c r="AO608" s="76">
        <f>AM608+AN608-O608*Escenarios!$F$13/Escenarios!$F$16</f>
        <v>0</v>
      </c>
      <c r="AP608" s="76">
        <f t="shared" si="131"/>
        <v>0.27227184086849698</v>
      </c>
      <c r="AQ608" s="76">
        <f t="shared" si="132"/>
        <v>0</v>
      </c>
      <c r="AR608" s="76">
        <f t="shared" si="133"/>
        <v>0.27227186560217204</v>
      </c>
      <c r="AS608" s="76">
        <f t="shared" si="134"/>
        <v>0</v>
      </c>
      <c r="AT608" s="76">
        <f t="shared" si="135"/>
        <v>0</v>
      </c>
      <c r="AU608" s="76">
        <f t="shared" si="136"/>
        <v>50.223884230512155</v>
      </c>
      <c r="AV608" s="76">
        <f>MAX(0,(AU608-Constantes!$D$13)*(1-EXP(-Constantes!$D$24)))</f>
        <v>2.2528684609424011E-2</v>
      </c>
      <c r="AW608" s="170">
        <f>AW607+(Entradas!$F$112*AT608-AX607)/(800*Entradas!$D$25)</f>
        <v>0</v>
      </c>
      <c r="AX608" s="170">
        <f>8000*Entradas!$D$26*AW608/Constantes!$F$45</f>
        <v>0</v>
      </c>
      <c r="AY608" s="170">
        <f>IF(Escenarios!$F$17&gt;0,10*Escenarios!$F$16*AL608,0)</f>
        <v>0</v>
      </c>
      <c r="AZ608" s="170">
        <f>IF(Escenarios!$F$17&gt;0,10*Escenarios!$F$16*AX608,0)</f>
        <v>0</v>
      </c>
      <c r="BA608" s="170">
        <f>IF(Escenarios!$F$17&gt;0,0.001*Observaciones!$F607*Escenarios!$F$17,0)</f>
        <v>0</v>
      </c>
      <c r="BB608" s="170">
        <f>IF(Escenarios!$F$17&gt;0,Observaciones!$K607,0)</f>
        <v>0</v>
      </c>
      <c r="BC608" s="170">
        <f>IF(Escenarios!$F$17&gt;0,MIN(0.0005*ETo!$M607*Escenarios!$F$17*(BG607/Constantes!$F$40)^(2/3),BG607+AY608+AZ608+BA608+BB608),0)</f>
        <v>0</v>
      </c>
      <c r="BD608" s="170">
        <f>IF(Escenarios!$F$17&gt;0,MIN(Constantes!$F$39*(BG607/Constantes!$F$40)^(2/3),BG607+AY608+AZ608+BA608+BB608-BC608),0)</f>
        <v>0</v>
      </c>
      <c r="BE608" s="170">
        <f>IF(Escenarios!$F$17&gt;0,MIN(Entradas!$F$113,BG607+AY608+AZ608+BA608+BB608-BC608-BD608),0)</f>
        <v>0</v>
      </c>
      <c r="BF608" s="170">
        <f>IF(Escenarios!$F$17&gt;0,MAX(0,BG607+AY608+AZ608+BA608+BB608-BC608-BD608-BE608-Constantes!$F$40),0)</f>
        <v>0</v>
      </c>
      <c r="BG608" s="170">
        <f t="shared" si="137"/>
        <v>0</v>
      </c>
      <c r="BH608" s="170">
        <f>(Escenarios!$F$16*AK608+0.1*BC608)/(Escenarios!$F$19)</f>
        <v>0.15756696155619193</v>
      </c>
      <c r="BI608" s="170">
        <f>IF(Escenarios!$F$17&gt;0,BF608/10/Escenarios!$F$19,AL608)</f>
        <v>0</v>
      </c>
      <c r="BJ608" s="170">
        <f>(Escenarios!$F$16*AT608+0.1*BD608)/(Escenarios!$F$19)</f>
        <v>0</v>
      </c>
      <c r="BK608" s="76">
        <f>BK607+(0.1*BD608)/(Escenarios!$F$19)-BL607</f>
        <v>48.75</v>
      </c>
      <c r="BL608" s="76">
        <f>MAX(0,(BK608-Constantes!$D$13)*(1-EXP(-Constantes!$D$23)))</f>
        <v>0</v>
      </c>
      <c r="BM608" s="76">
        <f t="shared" si="138"/>
        <v>0.29480052547792102</v>
      </c>
      <c r="BN608" s="76">
        <f t="shared" si="139"/>
        <v>0.29480055021159607</v>
      </c>
      <c r="BO608" s="76">
        <f>0.0526*BI608*Observaciones!$F607^1.218</f>
        <v>0</v>
      </c>
      <c r="BP608" s="76">
        <f>BO608*Constantes!$F$51</f>
        <v>0</v>
      </c>
      <c r="BQ608" s="76">
        <f t="shared" si="140"/>
        <v>0</v>
      </c>
      <c r="BR608" s="40"/>
    </row>
    <row r="609" spans="2:70">
      <c r="B609" s="39"/>
      <c r="C609" s="75">
        <v>603</v>
      </c>
      <c r="D609" s="146">
        <f>ETo!$I608*((1-Constantes!$F$19)*ETo!$K608+ETo!$L608)</f>
        <v>3.4531022439975132</v>
      </c>
      <c r="E609" s="76">
        <f>MIN(D609*Constantes!$F$17,0.8*(N608+Observaciones!$F608-F609-M609-Constantes!$D$14))</f>
        <v>6.6009206989292579E-7</v>
      </c>
      <c r="F609" s="76">
        <f>IF(Observaciones!$F608&gt;0.05*Constantes!$F$18,((Observaciones!$F608-0.05*Constantes!$F$18)^2)/(Observaciones!$F608+0.95*Constantes!$F$18),0)</f>
        <v>0</v>
      </c>
      <c r="G609" s="76">
        <f>IF(Escenarios!$F$11&gt;0,(F609*Escenarios!$F$16*10000)/1000,0)</f>
        <v>0</v>
      </c>
      <c r="H609" s="76">
        <f>IF(Escenarios!$F$11&gt;0,(Observaciones!$F608*Constantes!$F$29)/1000,0)</f>
        <v>0</v>
      </c>
      <c r="I609" s="76">
        <f>IF(Escenarios!$F$11&gt;0,(D609*Constantes!$F$29)/1000,0)</f>
        <v>0</v>
      </c>
      <c r="J609" s="76">
        <f>IF(Escenarios!$F$11&gt;0,MAX(0,G609+H609-I609),0)</f>
        <v>0</v>
      </c>
      <c r="K609" s="76">
        <f>IF(Escenarios!$F$11&gt;0,IF(J609&gt;Constantes!$F$30,1000*((J609-Constantes!$F$30)/(Escenarios!$F$16*10000)),0),F609)</f>
        <v>0</v>
      </c>
      <c r="L609" s="76">
        <f>IF(Escenarios!$F$11&gt;0,I609*1000/Escenarios!$F$16/10000+E609,E609)</f>
        <v>6.6009206989292579E-7</v>
      </c>
      <c r="M609" s="76">
        <f>MAX(0,N608+Observaciones!$F608-K609-Constantes!$D$13)</f>
        <v>0</v>
      </c>
      <c r="N609" s="76">
        <f>N608+Observaciones!$F608-K609-L609-M609-O608</f>
        <v>11.250000136916569</v>
      </c>
      <c r="O609" s="76">
        <f>MAX(0,(N609-Constantes!$D$14)*(1-EXP(-Constantes!$D$22)))</f>
        <v>4.6638809626134494E-9</v>
      </c>
      <c r="P609" s="170">
        <f>P608+(Entradas!$F$83*M609-Q608)/(800*Entradas!$D$25)</f>
        <v>0</v>
      </c>
      <c r="Q609" s="170">
        <f>8000*Entradas!$D$26*P609/Constantes!$F$45</f>
        <v>0</v>
      </c>
      <c r="R609" s="170">
        <f>IF(Escenarios!$F$14&gt;0,K609*Escenarios!$F$13/Escenarios!$F$14,0)</f>
        <v>0</v>
      </c>
      <c r="S609" s="170">
        <f>IF(Escenarios!$F$14&gt;0,Q609*Escenarios!$F$13/Escenarios!$F$14,0)</f>
        <v>0</v>
      </c>
      <c r="T609" s="170">
        <f>IF(Escenarios!$F$14&gt;0,Observaciones!$I608,0)</f>
        <v>0</v>
      </c>
      <c r="U609" s="170">
        <f>IF(Escenarios!$F$14&gt;0,MAX(0,Constantes!$F$36/((Z608+R609+S609+T609+Observaciones!$F608)^2)+Entradas!$F$77),0)</f>
        <v>0</v>
      </c>
      <c r="V609" s="146">
        <f>IF(ETo!D608&gt;0,ETo!I608*((1-Entradas!$F$81)*ETo!K608+ETo!L608),0)</f>
        <v>3.0432722952863704</v>
      </c>
      <c r="W609" s="170">
        <f>IF(Escenarios!$F$14&gt;0,MIN(V609*1,0.8*(Z608+R609+S609+T609+Observaciones!$F608-U609-Constantes!$F$35)),0)</f>
        <v>1.3518112211841071E-6</v>
      </c>
      <c r="X609" s="170">
        <f>IF(Escenarios!$F$14&gt;0,Observaciones!$J608,0)</f>
        <v>0</v>
      </c>
      <c r="Y609" s="170">
        <f>IF(Escenarios!$F$14&gt;0,MAX(0,Z608+R609+S609+T609+Observaciones!$F608-U609-W609-X609-Constantes!$F$33),0)</f>
        <v>0</v>
      </c>
      <c r="Z609" s="170">
        <f>Z608+R609+S609+T609+Observaciones!$F608-U609-W609-Y609</f>
        <v>41.250000337952805</v>
      </c>
      <c r="AA609" s="170">
        <f>IF(Escenarios!$F$14&gt;0,(Escenarios!$F$13*L609+Escenarios!$F$14*W609)/(Escenarios!$F$16),L609)</f>
        <v>7.4309836804786757E-7</v>
      </c>
      <c r="AB609" s="170">
        <f>IF(Escenarios!$F$14&gt;0,(Escenarios!$F$14*Y609)/(Escenarios!$F$16),K609)</f>
        <v>0</v>
      </c>
      <c r="AC609" s="170">
        <f>IF(Escenarios!$F$14&gt;0,(Escenarios!$F$13*M609+Escenarios!$F$14*U609)/(Escenarios!$F$16),M609)</f>
        <v>0</v>
      </c>
      <c r="AD609" s="76">
        <f t="shared" si="127"/>
        <v>76.110455172801778</v>
      </c>
      <c r="AE609" s="76">
        <f>MAX(0,(AD609-Constantes!$D$13)*(1-EXP(-Constantes!$D$23)))</f>
        <v>0.26958908157031958</v>
      </c>
      <c r="AF609" s="76">
        <f>AB609+O609*Escenarios!$F$13/Escenarios!$F$16+AE609</f>
        <v>0.26958908567453482</v>
      </c>
      <c r="AG609" s="76">
        <f>IF(Entradas!$F$91&gt;0,IF(AF609-Escenarios!$F$38&lt;=0,0,IF(AF609-Escenarios!$F$38&gt;Escenarios!$F$37,Escenarios!$F$37,AF609-Escenarios!$F$38)),0)</f>
        <v>0</v>
      </c>
      <c r="AH609" s="76">
        <f>AG609*Entradas!$F$99</f>
        <v>0</v>
      </c>
      <c r="AI609" s="76">
        <f>IF(Entradas!$F$91&gt;0,D609*Entradas!$D$23/Escenarios!$F$16,0)</f>
        <v>0.16574890771188064</v>
      </c>
      <c r="AJ609" s="76">
        <f>IF(Entradas!$F$91&gt;0,Entradas!$D$24*Entradas!$D$22/Escenarios!$F$16,0)</f>
        <v>0.12</v>
      </c>
      <c r="AK609" s="76">
        <f t="shared" si="128"/>
        <v>0.1657496508102487</v>
      </c>
      <c r="AL609" s="76">
        <f t="shared" si="129"/>
        <v>0</v>
      </c>
      <c r="AM609" s="76">
        <f t="shared" si="130"/>
        <v>0</v>
      </c>
      <c r="AN609" s="76">
        <f>MAX(0,O609*Escenarios!$F$13/Escenarios!$F$16-AM609)</f>
        <v>4.1042152470998351E-9</v>
      </c>
      <c r="AO609" s="76">
        <f>AM609+AN609-O609*Escenarios!$F$13/Escenarios!$F$16</f>
        <v>0</v>
      </c>
      <c r="AP609" s="76">
        <f t="shared" si="131"/>
        <v>0.26958908157031958</v>
      </c>
      <c r="AQ609" s="76">
        <f t="shared" si="132"/>
        <v>0</v>
      </c>
      <c r="AR609" s="76">
        <f t="shared" si="133"/>
        <v>0.26958908567453482</v>
      </c>
      <c r="AS609" s="76">
        <f t="shared" si="134"/>
        <v>0</v>
      </c>
      <c r="AT609" s="76">
        <f t="shared" si="135"/>
        <v>0</v>
      </c>
      <c r="AU609" s="76">
        <f t="shared" si="136"/>
        <v>50.201355545902729</v>
      </c>
      <c r="AV609" s="76">
        <f>MAX(0,(AU609-Constantes!$D$13)*(1-EXP(-Constantes!$D$24)))</f>
        <v>2.218432809910665E-2</v>
      </c>
      <c r="AW609" s="170">
        <f>AW608+(Entradas!$F$112*AT609-AX608)/(800*Entradas!$D$25)</f>
        <v>0</v>
      </c>
      <c r="AX609" s="170">
        <f>8000*Entradas!$D$26*AW609/Constantes!$F$45</f>
        <v>0</v>
      </c>
      <c r="AY609" s="170">
        <f>IF(Escenarios!$F$17&gt;0,10*Escenarios!$F$16*AL609,0)</f>
        <v>0</v>
      </c>
      <c r="AZ609" s="170">
        <f>IF(Escenarios!$F$17&gt;0,10*Escenarios!$F$16*AX609,0)</f>
        <v>0</v>
      </c>
      <c r="BA609" s="170">
        <f>IF(Escenarios!$F$17&gt;0,0.001*Observaciones!$F608*Escenarios!$F$17,0)</f>
        <v>0</v>
      </c>
      <c r="BB609" s="170">
        <f>IF(Escenarios!$F$17&gt;0,Observaciones!$K608,0)</f>
        <v>0</v>
      </c>
      <c r="BC609" s="170">
        <f>IF(Escenarios!$F$17&gt;0,MIN(0.0005*ETo!$M608*Escenarios!$F$17*(BG608/Constantes!$F$40)^(2/3),BG608+AY609+AZ609+BA609+BB609),0)</f>
        <v>0</v>
      </c>
      <c r="BD609" s="170">
        <f>IF(Escenarios!$F$17&gt;0,MIN(Constantes!$F$39*(BG608/Constantes!$F$40)^(2/3),BG608+AY609+AZ609+BA609+BB609-BC609),0)</f>
        <v>0</v>
      </c>
      <c r="BE609" s="170">
        <f>IF(Escenarios!$F$17&gt;0,MIN(Entradas!$F$113,BG608+AY609+AZ609+BA609+BB609-BC609-BD609),0)</f>
        <v>0</v>
      </c>
      <c r="BF609" s="170">
        <f>IF(Escenarios!$F$17&gt;0,MAX(0,BG608+AY609+AZ609+BA609+BB609-BC609-BD609-BE609-Constantes!$F$40),0)</f>
        <v>0</v>
      </c>
      <c r="BG609" s="170">
        <f t="shared" si="137"/>
        <v>0</v>
      </c>
      <c r="BH609" s="170">
        <f>(Escenarios!$F$16*AK609+0.1*BC609)/(Escenarios!$F$19)</f>
        <v>0.1657496508102487</v>
      </c>
      <c r="BI609" s="170">
        <f>IF(Escenarios!$F$17&gt;0,BF609/10/Escenarios!$F$19,AL609)</f>
        <v>0</v>
      </c>
      <c r="BJ609" s="170">
        <f>(Escenarios!$F$16*AT609+0.1*BD609)/(Escenarios!$F$19)</f>
        <v>0</v>
      </c>
      <c r="BK609" s="76">
        <f>BK608+(0.1*BD609)/(Escenarios!$F$19)-BL608</f>
        <v>48.75</v>
      </c>
      <c r="BL609" s="76">
        <f>MAX(0,(BK609-Constantes!$D$13)*(1-EXP(-Constantes!$D$23)))</f>
        <v>0</v>
      </c>
      <c r="BM609" s="76">
        <f t="shared" si="138"/>
        <v>0.29177340966942622</v>
      </c>
      <c r="BN609" s="76">
        <f t="shared" si="139"/>
        <v>0.29177341377364147</v>
      </c>
      <c r="BO609" s="76">
        <f>0.0526*BI609*Observaciones!$F608^1.218</f>
        <v>0</v>
      </c>
      <c r="BP609" s="76">
        <f>BO609*Constantes!$F$51</f>
        <v>0</v>
      </c>
      <c r="BQ609" s="76">
        <f t="shared" si="140"/>
        <v>0</v>
      </c>
      <c r="BR609" s="40"/>
    </row>
    <row r="610" spans="2:70">
      <c r="B610" s="39"/>
      <c r="C610" s="75">
        <v>604</v>
      </c>
      <c r="D610" s="146">
        <f>ETo!$I609*((1-Constantes!$F$19)*ETo!$K609+ETo!$L609)</f>
        <v>3.5291856694264072</v>
      </c>
      <c r="E610" s="76">
        <f>MIN(D610*Constantes!$F$17,0.8*(N609+Observaciones!$F609-F610-M610-Constantes!$D$14))</f>
        <v>1.0953325499940548E-7</v>
      </c>
      <c r="F610" s="76">
        <f>IF(Observaciones!$F609&gt;0.05*Constantes!$F$18,((Observaciones!$F609-0.05*Constantes!$F$18)^2)/(Observaciones!$F609+0.95*Constantes!$F$18),0)</f>
        <v>0</v>
      </c>
      <c r="G610" s="76">
        <f>IF(Escenarios!$F$11&gt;0,(F610*Escenarios!$F$16*10000)/1000,0)</f>
        <v>0</v>
      </c>
      <c r="H610" s="76">
        <f>IF(Escenarios!$F$11&gt;0,(Observaciones!$F609*Constantes!$F$29)/1000,0)</f>
        <v>0</v>
      </c>
      <c r="I610" s="76">
        <f>IF(Escenarios!$F$11&gt;0,(D610*Constantes!$F$29)/1000,0)</f>
        <v>0</v>
      </c>
      <c r="J610" s="76">
        <f>IF(Escenarios!$F$11&gt;0,MAX(0,G610+H610-I610),0)</f>
        <v>0</v>
      </c>
      <c r="K610" s="76">
        <f>IF(Escenarios!$F$11&gt;0,IF(J610&gt;Constantes!$F$30,1000*((J610-Constantes!$F$30)/(Escenarios!$F$16*10000)),0),F610)</f>
        <v>0</v>
      </c>
      <c r="L610" s="76">
        <f>IF(Escenarios!$F$11&gt;0,I610*1000/Escenarios!$F$16/10000+E610,E610)</f>
        <v>1.0953325499940548E-7</v>
      </c>
      <c r="M610" s="76">
        <f>MAX(0,N609+Observaciones!$F609-K610-Constantes!$D$13)</f>
        <v>0</v>
      </c>
      <c r="N610" s="76">
        <f>N609+Observaciones!$F609-K610-L610-M610-O609</f>
        <v>11.250000022719432</v>
      </c>
      <c r="O610" s="76">
        <f>MAX(0,(N610-Constantes!$D$14)*(1-EXP(-Constantes!$D$22)))</f>
        <v>7.7390724739801883E-10</v>
      </c>
      <c r="P610" s="170">
        <f>P609+(Entradas!$F$83*M610-Q609)/(800*Entradas!$D$25)</f>
        <v>0</v>
      </c>
      <c r="Q610" s="170">
        <f>8000*Entradas!$D$26*P610/Constantes!$F$45</f>
        <v>0</v>
      </c>
      <c r="R610" s="170">
        <f>IF(Escenarios!$F$14&gt;0,K610*Escenarios!$F$13/Escenarios!$F$14,0)</f>
        <v>0</v>
      </c>
      <c r="S610" s="170">
        <f>IF(Escenarios!$F$14&gt;0,Q610*Escenarios!$F$13/Escenarios!$F$14,0)</f>
        <v>0</v>
      </c>
      <c r="T610" s="170">
        <f>IF(Escenarios!$F$14&gt;0,Observaciones!$I609,0)</f>
        <v>0</v>
      </c>
      <c r="U610" s="170">
        <f>IF(Escenarios!$F$14&gt;0,MAX(0,Constantes!$F$36/((Z609+R610+S610+T610+Observaciones!$F609)^2)+Entradas!$F$77),0)</f>
        <v>0</v>
      </c>
      <c r="V610" s="146">
        <f>IF(ETo!D609&gt;0,ETo!I609*((1-Entradas!$F$81)*ETo!K609+ETo!L609),0)</f>
        <v>3.1117134263999673</v>
      </c>
      <c r="W610" s="170">
        <f>IF(Escenarios!$F$14&gt;0,MIN(V610*1,0.8*(Z609+R610+S610+T610+Observaciones!$F609-U610-Constantes!$F$35)),0)</f>
        <v>2.7036224423682145E-7</v>
      </c>
      <c r="X610" s="170">
        <f>IF(Escenarios!$F$14&gt;0,Observaciones!$J609,0)</f>
        <v>0</v>
      </c>
      <c r="Y610" s="170">
        <f>IF(Escenarios!$F$14&gt;0,MAX(0,Z609+R610+S610+T610+Observaciones!$F609-U610-W610-X610-Constantes!$F$33),0)</f>
        <v>0</v>
      </c>
      <c r="Z610" s="170">
        <f>Z609+R610+S610+T610+Observaciones!$F609-U610-W610-Y610</f>
        <v>41.250000067590562</v>
      </c>
      <c r="AA610" s="170">
        <f>IF(Escenarios!$F$14&gt;0,(Escenarios!$F$13*L610+Escenarios!$F$14*W610)/(Escenarios!$F$16),L610)</f>
        <v>1.2883273370789538E-7</v>
      </c>
      <c r="AB610" s="170">
        <f>IF(Escenarios!$F$14&gt;0,(Escenarios!$F$14*Y610)/(Escenarios!$F$16),K610)</f>
        <v>0</v>
      </c>
      <c r="AC610" s="170">
        <f>IF(Escenarios!$F$14&gt;0,(Escenarios!$F$13*M610+Escenarios!$F$14*U610)/(Escenarios!$F$16),M610)</f>
        <v>0</v>
      </c>
      <c r="AD610" s="76">
        <f t="shared" si="127"/>
        <v>75.840866091231462</v>
      </c>
      <c r="AE610" s="76">
        <f>MAX(0,(AD610-Constantes!$D$13)*(1-EXP(-Constantes!$D$23)))</f>
        <v>0.26693275613849071</v>
      </c>
      <c r="AF610" s="76">
        <f>AB610+O610*Escenarios!$F$13/Escenarios!$F$16+AE610</f>
        <v>0.2669327568195291</v>
      </c>
      <c r="AG610" s="76">
        <f>IF(Entradas!$F$91&gt;0,IF(AF610-Escenarios!$F$38&lt;=0,0,IF(AF610-Escenarios!$F$38&gt;Escenarios!$F$37,Escenarios!$F$37,AF610-Escenarios!$F$38)),0)</f>
        <v>0</v>
      </c>
      <c r="AH610" s="76">
        <f>AG610*Entradas!$F$99</f>
        <v>0</v>
      </c>
      <c r="AI610" s="76">
        <f>IF(Entradas!$F$91&gt;0,D610*Entradas!$D$23/Escenarios!$F$16,0)</f>
        <v>0.16940091213246755</v>
      </c>
      <c r="AJ610" s="76">
        <f>IF(Entradas!$F$91&gt;0,Entradas!$D$24*Entradas!$D$22/Escenarios!$F$16,0)</f>
        <v>0.12</v>
      </c>
      <c r="AK610" s="76">
        <f t="shared" si="128"/>
        <v>0.16940104096520125</v>
      </c>
      <c r="AL610" s="76">
        <f t="shared" si="129"/>
        <v>0</v>
      </c>
      <c r="AM610" s="76">
        <f t="shared" si="130"/>
        <v>0</v>
      </c>
      <c r="AN610" s="76">
        <f>MAX(0,O610*Escenarios!$F$13/Escenarios!$F$16-AM610)</f>
        <v>6.8103837771025661E-10</v>
      </c>
      <c r="AO610" s="76">
        <f>AM610+AN610-O610*Escenarios!$F$13/Escenarios!$F$16</f>
        <v>0</v>
      </c>
      <c r="AP610" s="76">
        <f t="shared" si="131"/>
        <v>0.26693275613849071</v>
      </c>
      <c r="AQ610" s="76">
        <f t="shared" si="132"/>
        <v>0</v>
      </c>
      <c r="AR610" s="76">
        <f t="shared" si="133"/>
        <v>0.2669327568195291</v>
      </c>
      <c r="AS610" s="76">
        <f t="shared" si="134"/>
        <v>0</v>
      </c>
      <c r="AT610" s="76">
        <f t="shared" si="135"/>
        <v>0</v>
      </c>
      <c r="AU610" s="76">
        <f t="shared" si="136"/>
        <v>50.179171217803621</v>
      </c>
      <c r="AV610" s="76">
        <f>MAX(0,(AU610-Constantes!$D$13)*(1-EXP(-Constantes!$D$24)))</f>
        <v>2.1845235163128144E-2</v>
      </c>
      <c r="AW610" s="170">
        <f>AW609+(Entradas!$F$112*AT610-AX609)/(800*Entradas!$D$25)</f>
        <v>0</v>
      </c>
      <c r="AX610" s="170">
        <f>8000*Entradas!$D$26*AW610/Constantes!$F$45</f>
        <v>0</v>
      </c>
      <c r="AY610" s="170">
        <f>IF(Escenarios!$F$17&gt;0,10*Escenarios!$F$16*AL610,0)</f>
        <v>0</v>
      </c>
      <c r="AZ610" s="170">
        <f>IF(Escenarios!$F$17&gt;0,10*Escenarios!$F$16*AX610,0)</f>
        <v>0</v>
      </c>
      <c r="BA610" s="170">
        <f>IF(Escenarios!$F$17&gt;0,0.001*Observaciones!$F609*Escenarios!$F$17,0)</f>
        <v>0</v>
      </c>
      <c r="BB610" s="170">
        <f>IF(Escenarios!$F$17&gt;0,Observaciones!$K609,0)</f>
        <v>0</v>
      </c>
      <c r="BC610" s="170">
        <f>IF(Escenarios!$F$17&gt;0,MIN(0.0005*ETo!$M609*Escenarios!$F$17*(BG609/Constantes!$F$40)^(2/3),BG609+AY610+AZ610+BA610+BB610),0)</f>
        <v>0</v>
      </c>
      <c r="BD610" s="170">
        <f>IF(Escenarios!$F$17&gt;0,MIN(Constantes!$F$39*(BG609/Constantes!$F$40)^(2/3),BG609+AY610+AZ610+BA610+BB610-BC610),0)</f>
        <v>0</v>
      </c>
      <c r="BE610" s="170">
        <f>IF(Escenarios!$F$17&gt;0,MIN(Entradas!$F$113,BG609+AY610+AZ610+BA610+BB610-BC610-BD610),0)</f>
        <v>0</v>
      </c>
      <c r="BF610" s="170">
        <f>IF(Escenarios!$F$17&gt;0,MAX(0,BG609+AY610+AZ610+BA610+BB610-BC610-BD610-BE610-Constantes!$F$40),0)</f>
        <v>0</v>
      </c>
      <c r="BG610" s="170">
        <f t="shared" si="137"/>
        <v>0</v>
      </c>
      <c r="BH610" s="170">
        <f>(Escenarios!$F$16*AK610+0.1*BC610)/(Escenarios!$F$19)</f>
        <v>0.16940104096520125</v>
      </c>
      <c r="BI610" s="170">
        <f>IF(Escenarios!$F$17&gt;0,BF610/10/Escenarios!$F$19,AL610)</f>
        <v>0</v>
      </c>
      <c r="BJ610" s="170">
        <f>(Escenarios!$F$16*AT610+0.1*BD610)/(Escenarios!$F$19)</f>
        <v>0</v>
      </c>
      <c r="BK610" s="76">
        <f>BK609+(0.1*BD610)/(Escenarios!$F$19)-BL609</f>
        <v>48.75</v>
      </c>
      <c r="BL610" s="76">
        <f>MAX(0,(BK610-Constantes!$D$13)*(1-EXP(-Constantes!$D$23)))</f>
        <v>0</v>
      </c>
      <c r="BM610" s="76">
        <f t="shared" si="138"/>
        <v>0.28877799130161885</v>
      </c>
      <c r="BN610" s="76">
        <f t="shared" si="139"/>
        <v>0.28877799198265725</v>
      </c>
      <c r="BO610" s="76">
        <f>0.0526*BI610*Observaciones!$F609^1.218</f>
        <v>0</v>
      </c>
      <c r="BP610" s="76">
        <f>BO610*Constantes!$F$51</f>
        <v>0</v>
      </c>
      <c r="BQ610" s="76">
        <f t="shared" si="140"/>
        <v>0</v>
      </c>
      <c r="BR610" s="40"/>
    </row>
    <row r="611" spans="2:70">
      <c r="B611" s="39"/>
      <c r="C611" s="75">
        <v>605</v>
      </c>
      <c r="D611" s="146">
        <f>ETo!$I610*((1-Constantes!$F$19)*ETo!$K610+ETo!$L610)</f>
        <v>3.3736522880085951</v>
      </c>
      <c r="E611" s="76">
        <f>MIN(D611*Constantes!$F$17,0.8*(N610+Observaciones!$F610-F611-M611-Constantes!$D$14))</f>
        <v>1.8175545335452626E-8</v>
      </c>
      <c r="F611" s="76">
        <f>IF(Observaciones!$F610&gt;0.05*Constantes!$F$18,((Observaciones!$F610-0.05*Constantes!$F$18)^2)/(Observaciones!$F610+0.95*Constantes!$F$18),0)</f>
        <v>0</v>
      </c>
      <c r="G611" s="76">
        <f>IF(Escenarios!$F$11&gt;0,(F611*Escenarios!$F$16*10000)/1000,0)</f>
        <v>0</v>
      </c>
      <c r="H611" s="76">
        <f>IF(Escenarios!$F$11&gt;0,(Observaciones!$F610*Constantes!$F$29)/1000,0)</f>
        <v>0</v>
      </c>
      <c r="I611" s="76">
        <f>IF(Escenarios!$F$11&gt;0,(D611*Constantes!$F$29)/1000,0)</f>
        <v>0</v>
      </c>
      <c r="J611" s="76">
        <f>IF(Escenarios!$F$11&gt;0,MAX(0,G611+H611-I611),0)</f>
        <v>0</v>
      </c>
      <c r="K611" s="76">
        <f>IF(Escenarios!$F$11&gt;0,IF(J611&gt;Constantes!$F$30,1000*((J611-Constantes!$F$30)/(Escenarios!$F$16*10000)),0),F611)</f>
        <v>0</v>
      </c>
      <c r="L611" s="76">
        <f>IF(Escenarios!$F$11&gt;0,I611*1000/Escenarios!$F$16/10000+E611,E611)</f>
        <v>1.8175545335452626E-8</v>
      </c>
      <c r="M611" s="76">
        <f>MAX(0,N610+Observaciones!$F610-K611-Constantes!$D$13)</f>
        <v>0</v>
      </c>
      <c r="N611" s="76">
        <f>N610+Observaciones!$F610-K611-L611-M611-O610</f>
        <v>11.25000000376998</v>
      </c>
      <c r="O611" s="76">
        <f>MAX(0,(N611-Constantes!$D$14)*(1-EXP(-Constantes!$D$22)))</f>
        <v>1.284193547226503E-10</v>
      </c>
      <c r="P611" s="170">
        <f>P610+(Entradas!$F$83*M611-Q610)/(800*Entradas!$D$25)</f>
        <v>0</v>
      </c>
      <c r="Q611" s="170">
        <f>8000*Entradas!$D$26*P611/Constantes!$F$45</f>
        <v>0</v>
      </c>
      <c r="R611" s="170">
        <f>IF(Escenarios!$F$14&gt;0,K611*Escenarios!$F$13/Escenarios!$F$14,0)</f>
        <v>0</v>
      </c>
      <c r="S611" s="170">
        <f>IF(Escenarios!$F$14&gt;0,Q611*Escenarios!$F$13/Escenarios!$F$14,0)</f>
        <v>0</v>
      </c>
      <c r="T611" s="170">
        <f>IF(Escenarios!$F$14&gt;0,Observaciones!$I610,0)</f>
        <v>0</v>
      </c>
      <c r="U611" s="170">
        <f>IF(Escenarios!$F$14&gt;0,MAX(0,Constantes!$F$36/((Z610+R611+S611+T611+Observaciones!$F610)^2)+Entradas!$F$77),0)</f>
        <v>0</v>
      </c>
      <c r="V611" s="146">
        <f>IF(ETo!D610&gt;0,ETo!I610*((1-Entradas!$F$81)*ETo!K610+ETo!L610),0)</f>
        <v>2.9734509540064282</v>
      </c>
      <c r="W611" s="170">
        <f>IF(Escenarios!$F$14&gt;0,MIN(V611*1,0.8*(Z610+R611+S611+T611+Observaciones!$F610-U611-Constantes!$F$35)),0)</f>
        <v>5.4072449984232668E-8</v>
      </c>
      <c r="X611" s="170">
        <f>IF(Escenarios!$F$14&gt;0,Observaciones!$J610,0)</f>
        <v>0</v>
      </c>
      <c r="Y611" s="170">
        <f>IF(Escenarios!$F$14&gt;0,MAX(0,Z610+R611+S611+T611+Observaciones!$F610-U611-W611-X611-Constantes!$F$33),0)</f>
        <v>0</v>
      </c>
      <c r="Z611" s="170">
        <f>Z610+R611+S611+T611+Observaciones!$F610-U611-W611-Y611</f>
        <v>41.250000013518111</v>
      </c>
      <c r="AA611" s="170">
        <f>IF(Escenarios!$F$14&gt;0,(Escenarios!$F$13*L611+Escenarios!$F$14*W611)/(Escenarios!$F$16),L611)</f>
        <v>2.2483173893306231E-8</v>
      </c>
      <c r="AB611" s="170">
        <f>IF(Escenarios!$F$14&gt;0,(Escenarios!$F$14*Y611)/(Escenarios!$F$16),K611)</f>
        <v>0</v>
      </c>
      <c r="AC611" s="170">
        <f>IF(Escenarios!$F$14&gt;0,(Escenarios!$F$13*M611+Escenarios!$F$14*U611)/(Escenarios!$F$16),M611)</f>
        <v>0</v>
      </c>
      <c r="AD611" s="76">
        <f t="shared" si="127"/>
        <v>75.573933335092974</v>
      </c>
      <c r="AE611" s="76">
        <f>MAX(0,(AD611-Constantes!$D$13)*(1-EXP(-Constantes!$D$23)))</f>
        <v>0.26430260411382905</v>
      </c>
      <c r="AF611" s="76">
        <f>AB611+O611*Escenarios!$F$13/Escenarios!$F$16+AE611</f>
        <v>0.2643026042268381</v>
      </c>
      <c r="AG611" s="76">
        <f>IF(Entradas!$F$91&gt;0,IF(AF611-Escenarios!$F$38&lt;=0,0,IF(AF611-Escenarios!$F$38&gt;Escenarios!$F$37,Escenarios!$F$37,AF611-Escenarios!$F$38)),0)</f>
        <v>0</v>
      </c>
      <c r="AH611" s="76">
        <f>AG611*Entradas!$F$99</f>
        <v>0</v>
      </c>
      <c r="AI611" s="76">
        <f>IF(Entradas!$F$91&gt;0,D611*Entradas!$D$23/Escenarios!$F$16,0)</f>
        <v>0.16193530982441257</v>
      </c>
      <c r="AJ611" s="76">
        <f>IF(Entradas!$F$91&gt;0,Entradas!$D$24*Entradas!$D$22/Escenarios!$F$16,0)</f>
        <v>0.12</v>
      </c>
      <c r="AK611" s="76">
        <f t="shared" si="128"/>
        <v>0.16193533230758647</v>
      </c>
      <c r="AL611" s="76">
        <f t="shared" si="129"/>
        <v>0</v>
      </c>
      <c r="AM611" s="76">
        <f t="shared" si="130"/>
        <v>0</v>
      </c>
      <c r="AN611" s="76">
        <f>MAX(0,O611*Escenarios!$F$13/Escenarios!$F$16-AM611)</f>
        <v>1.1300903215593227E-10</v>
      </c>
      <c r="AO611" s="76">
        <f>AM611+AN611-O611*Escenarios!$F$13/Escenarios!$F$16</f>
        <v>0</v>
      </c>
      <c r="AP611" s="76">
        <f t="shared" si="131"/>
        <v>0.26430260411382905</v>
      </c>
      <c r="AQ611" s="76">
        <f t="shared" si="132"/>
        <v>0</v>
      </c>
      <c r="AR611" s="76">
        <f t="shared" si="133"/>
        <v>0.2643026042268381</v>
      </c>
      <c r="AS611" s="76">
        <f t="shared" si="134"/>
        <v>0</v>
      </c>
      <c r="AT611" s="76">
        <f t="shared" si="135"/>
        <v>0</v>
      </c>
      <c r="AU611" s="76">
        <f t="shared" si="136"/>
        <v>50.157325982640494</v>
      </c>
      <c r="AV611" s="76">
        <f>MAX(0,(AU611-Constantes!$D$13)*(1-EXP(-Constantes!$D$24)))</f>
        <v>2.1511325346454297E-2</v>
      </c>
      <c r="AW611" s="170">
        <f>AW610+(Entradas!$F$112*AT611-AX610)/(800*Entradas!$D$25)</f>
        <v>0</v>
      </c>
      <c r="AX611" s="170">
        <f>8000*Entradas!$D$26*AW611/Constantes!$F$45</f>
        <v>0</v>
      </c>
      <c r="AY611" s="170">
        <f>IF(Escenarios!$F$17&gt;0,10*Escenarios!$F$16*AL611,0)</f>
        <v>0</v>
      </c>
      <c r="AZ611" s="170">
        <f>IF(Escenarios!$F$17&gt;0,10*Escenarios!$F$16*AX611,0)</f>
        <v>0</v>
      </c>
      <c r="BA611" s="170">
        <f>IF(Escenarios!$F$17&gt;0,0.001*Observaciones!$F610*Escenarios!$F$17,0)</f>
        <v>0</v>
      </c>
      <c r="BB611" s="170">
        <f>IF(Escenarios!$F$17&gt;0,Observaciones!$K610,0)</f>
        <v>0</v>
      </c>
      <c r="BC611" s="170">
        <f>IF(Escenarios!$F$17&gt;0,MIN(0.0005*ETo!$M610*Escenarios!$F$17*(BG610/Constantes!$F$40)^(2/3),BG610+AY611+AZ611+BA611+BB611),0)</f>
        <v>0</v>
      </c>
      <c r="BD611" s="170">
        <f>IF(Escenarios!$F$17&gt;0,MIN(Constantes!$F$39*(BG610/Constantes!$F$40)^(2/3),BG610+AY611+AZ611+BA611+BB611-BC611),0)</f>
        <v>0</v>
      </c>
      <c r="BE611" s="170">
        <f>IF(Escenarios!$F$17&gt;0,MIN(Entradas!$F$113,BG610+AY611+AZ611+BA611+BB611-BC611-BD611),0)</f>
        <v>0</v>
      </c>
      <c r="BF611" s="170">
        <f>IF(Escenarios!$F$17&gt;0,MAX(0,BG610+AY611+AZ611+BA611+BB611-BC611-BD611-BE611-Constantes!$F$40),0)</f>
        <v>0</v>
      </c>
      <c r="BG611" s="170">
        <f t="shared" si="137"/>
        <v>0</v>
      </c>
      <c r="BH611" s="170">
        <f>(Escenarios!$F$16*AK611+0.1*BC611)/(Escenarios!$F$19)</f>
        <v>0.16193533230758647</v>
      </c>
      <c r="BI611" s="170">
        <f>IF(Escenarios!$F$17&gt;0,BF611/10/Escenarios!$F$19,AL611)</f>
        <v>0</v>
      </c>
      <c r="BJ611" s="170">
        <f>(Escenarios!$F$16*AT611+0.1*BD611)/(Escenarios!$F$19)</f>
        <v>0</v>
      </c>
      <c r="BK611" s="76">
        <f>BK610+(0.1*BD611)/(Escenarios!$F$19)-BL610</f>
        <v>48.75</v>
      </c>
      <c r="BL611" s="76">
        <f>MAX(0,(BK611-Constantes!$D$13)*(1-EXP(-Constantes!$D$23)))</f>
        <v>0</v>
      </c>
      <c r="BM611" s="76">
        <f t="shared" si="138"/>
        <v>0.28581392946028333</v>
      </c>
      <c r="BN611" s="76">
        <f t="shared" si="139"/>
        <v>0.28581392957329238</v>
      </c>
      <c r="BO611" s="76">
        <f>0.0526*BI611*Observaciones!$F610^1.218</f>
        <v>0</v>
      </c>
      <c r="BP611" s="76">
        <f>BO611*Constantes!$F$51</f>
        <v>0</v>
      </c>
      <c r="BQ611" s="76">
        <f t="shared" si="140"/>
        <v>0</v>
      </c>
      <c r="BR611" s="40"/>
    </row>
    <row r="612" spans="2:70">
      <c r="B612" s="39"/>
      <c r="C612" s="75">
        <v>606</v>
      </c>
      <c r="D612" s="146">
        <f>ETo!$I611*((1-Constantes!$F$19)*ETo!$K611+ETo!$L611)</f>
        <v>3.3524687054879458</v>
      </c>
      <c r="E612" s="76">
        <f>MIN(D612*Constantes!$F$17,0.8*(N611+Observaciones!$F611-F612-M612-Constantes!$D$14))</f>
        <v>3.0159839070620365E-9</v>
      </c>
      <c r="F612" s="76">
        <f>IF(Observaciones!$F611&gt;0.05*Constantes!$F$18,((Observaciones!$F611-0.05*Constantes!$F$18)^2)/(Observaciones!$F611+0.95*Constantes!$F$18),0)</f>
        <v>0</v>
      </c>
      <c r="G612" s="76">
        <f>IF(Escenarios!$F$11&gt;0,(F612*Escenarios!$F$16*10000)/1000,0)</f>
        <v>0</v>
      </c>
      <c r="H612" s="76">
        <f>IF(Escenarios!$F$11&gt;0,(Observaciones!$F611*Constantes!$F$29)/1000,0)</f>
        <v>0</v>
      </c>
      <c r="I612" s="76">
        <f>IF(Escenarios!$F$11&gt;0,(D612*Constantes!$F$29)/1000,0)</f>
        <v>0</v>
      </c>
      <c r="J612" s="76">
        <f>IF(Escenarios!$F$11&gt;0,MAX(0,G612+H612-I612),0)</f>
        <v>0</v>
      </c>
      <c r="K612" s="76">
        <f>IF(Escenarios!$F$11&gt;0,IF(J612&gt;Constantes!$F$30,1000*((J612-Constantes!$F$30)/(Escenarios!$F$16*10000)),0),F612)</f>
        <v>0</v>
      </c>
      <c r="L612" s="76">
        <f>IF(Escenarios!$F$11&gt;0,I612*1000/Escenarios!$F$16/10000+E612,E612)</f>
        <v>3.0159839070620365E-9</v>
      </c>
      <c r="M612" s="76">
        <f>MAX(0,N611+Observaciones!$F611-K612-Constantes!$D$13)</f>
        <v>0</v>
      </c>
      <c r="N612" s="76">
        <f>N611+Observaciones!$F611-K612-L612-M612-O611</f>
        <v>11.250000000625576</v>
      </c>
      <c r="O612" s="76">
        <f>MAX(0,(N612-Constantes!$D$14)*(1-EXP(-Constantes!$D$22)))</f>
        <v>2.1309416302974736E-11</v>
      </c>
      <c r="P612" s="170">
        <f>P611+(Entradas!$F$83*M612-Q611)/(800*Entradas!$D$25)</f>
        <v>0</v>
      </c>
      <c r="Q612" s="170">
        <f>8000*Entradas!$D$26*P612/Constantes!$F$45</f>
        <v>0</v>
      </c>
      <c r="R612" s="170">
        <f>IF(Escenarios!$F$14&gt;0,K612*Escenarios!$F$13/Escenarios!$F$14,0)</f>
        <v>0</v>
      </c>
      <c r="S612" s="170">
        <f>IF(Escenarios!$F$14&gt;0,Q612*Escenarios!$F$13/Escenarios!$F$14,0)</f>
        <v>0</v>
      </c>
      <c r="T612" s="170">
        <f>IF(Escenarios!$F$14&gt;0,Observaciones!$I611,0)</f>
        <v>0</v>
      </c>
      <c r="U612" s="170">
        <f>IF(Escenarios!$F$14&gt;0,MAX(0,Constantes!$F$36/((Z611+R612+S612+T612+Observaciones!$F611)^2)+Entradas!$F$77),0)</f>
        <v>0</v>
      </c>
      <c r="V612" s="146">
        <f>IF(ETo!D611&gt;0,ETo!I611*((1-Entradas!$F$81)*ETo!K611+ETo!L611),0)</f>
        <v>2.9551418201240476</v>
      </c>
      <c r="W612" s="170">
        <f>IF(Escenarios!$F$14&gt;0,MIN(V612*1,0.8*(Z611+R612+S612+T612+Observaciones!$F611-U612-Constantes!$F$35)),0)</f>
        <v>1.0814488859978155E-8</v>
      </c>
      <c r="X612" s="170">
        <f>IF(Escenarios!$F$14&gt;0,Observaciones!$J611,0)</f>
        <v>0</v>
      </c>
      <c r="Y612" s="170">
        <f>IF(Escenarios!$F$14&gt;0,MAX(0,Z611+R612+S612+T612+Observaciones!$F611-U612-W612-X612-Constantes!$F$33),0)</f>
        <v>0</v>
      </c>
      <c r="Z612" s="170">
        <f>Z611+R612+S612+T612+Observaciones!$F611-U612-W612-Y612</f>
        <v>41.250000002703622</v>
      </c>
      <c r="AA612" s="170">
        <f>IF(Escenarios!$F$14&gt;0,(Escenarios!$F$13*L612+Escenarios!$F$14*W612)/(Escenarios!$F$16),L612)</f>
        <v>3.951804501411971E-9</v>
      </c>
      <c r="AB612" s="170">
        <f>IF(Escenarios!$F$14&gt;0,(Escenarios!$F$14*Y612)/(Escenarios!$F$16),K612)</f>
        <v>0</v>
      </c>
      <c r="AC612" s="170">
        <f>IF(Escenarios!$F$14&gt;0,(Escenarios!$F$13*M612+Escenarios!$F$14*U612)/(Escenarios!$F$16),M612)</f>
        <v>0</v>
      </c>
      <c r="AD612" s="76">
        <f t="shared" si="127"/>
        <v>75.309630730979151</v>
      </c>
      <c r="AE612" s="76">
        <f>MAX(0,(AD612-Constantes!$D$13)*(1-EXP(-Constantes!$D$23)))</f>
        <v>0.26169836760351983</v>
      </c>
      <c r="AF612" s="76">
        <f>AB612+O612*Escenarios!$F$13/Escenarios!$F$16+AE612</f>
        <v>0.26169836762227211</v>
      </c>
      <c r="AG612" s="76">
        <f>IF(Entradas!$F$91&gt;0,IF(AF612-Escenarios!$F$38&lt;=0,0,IF(AF612-Escenarios!$F$38&gt;Escenarios!$F$37,Escenarios!$F$37,AF612-Escenarios!$F$38)),0)</f>
        <v>0</v>
      </c>
      <c r="AH612" s="76">
        <f>AG612*Entradas!$F$99</f>
        <v>0</v>
      </c>
      <c r="AI612" s="76">
        <f>IF(Entradas!$F$91&gt;0,D612*Entradas!$D$23/Escenarios!$F$16,0)</f>
        <v>0.16091849786342141</v>
      </c>
      <c r="AJ612" s="76">
        <f>IF(Entradas!$F$91&gt;0,Entradas!$D$24*Entradas!$D$22/Escenarios!$F$16,0)</f>
        <v>0.12</v>
      </c>
      <c r="AK612" s="76">
        <f t="shared" si="128"/>
        <v>0.16091850181522591</v>
      </c>
      <c r="AL612" s="76">
        <f t="shared" si="129"/>
        <v>0</v>
      </c>
      <c r="AM612" s="76">
        <f t="shared" si="130"/>
        <v>0</v>
      </c>
      <c r="AN612" s="76">
        <f>MAX(0,O612*Escenarios!$F$13/Escenarios!$F$16-AM612)</f>
        <v>1.8752286346617768E-11</v>
      </c>
      <c r="AO612" s="76">
        <f>AM612+AN612-O612*Escenarios!$F$13/Escenarios!$F$16</f>
        <v>0</v>
      </c>
      <c r="AP612" s="76">
        <f t="shared" si="131"/>
        <v>0.26169836760351983</v>
      </c>
      <c r="AQ612" s="76">
        <f t="shared" si="132"/>
        <v>0</v>
      </c>
      <c r="AR612" s="76">
        <f t="shared" si="133"/>
        <v>0.26169836762227211</v>
      </c>
      <c r="AS612" s="76">
        <f t="shared" si="134"/>
        <v>0</v>
      </c>
      <c r="AT612" s="76">
        <f t="shared" si="135"/>
        <v>0</v>
      </c>
      <c r="AU612" s="76">
        <f t="shared" si="136"/>
        <v>50.135814657294041</v>
      </c>
      <c r="AV612" s="76">
        <f>MAX(0,(AU612-Constantes!$D$13)*(1-EXP(-Constantes!$D$24)))</f>
        <v>2.118251942382594E-2</v>
      </c>
      <c r="AW612" s="170">
        <f>AW611+(Entradas!$F$112*AT612-AX611)/(800*Entradas!$D$25)</f>
        <v>0</v>
      </c>
      <c r="AX612" s="170">
        <f>8000*Entradas!$D$26*AW612/Constantes!$F$45</f>
        <v>0</v>
      </c>
      <c r="AY612" s="170">
        <f>IF(Escenarios!$F$17&gt;0,10*Escenarios!$F$16*AL612,0)</f>
        <v>0</v>
      </c>
      <c r="AZ612" s="170">
        <f>IF(Escenarios!$F$17&gt;0,10*Escenarios!$F$16*AX612,0)</f>
        <v>0</v>
      </c>
      <c r="BA612" s="170">
        <f>IF(Escenarios!$F$17&gt;0,0.001*Observaciones!$F611*Escenarios!$F$17,0)</f>
        <v>0</v>
      </c>
      <c r="BB612" s="170">
        <f>IF(Escenarios!$F$17&gt;0,Observaciones!$K611,0)</f>
        <v>0</v>
      </c>
      <c r="BC612" s="170">
        <f>IF(Escenarios!$F$17&gt;0,MIN(0.0005*ETo!$M611*Escenarios!$F$17*(BG611/Constantes!$F$40)^(2/3),BG611+AY612+AZ612+BA612+BB612),0)</f>
        <v>0</v>
      </c>
      <c r="BD612" s="170">
        <f>IF(Escenarios!$F$17&gt;0,MIN(Constantes!$F$39*(BG611/Constantes!$F$40)^(2/3),BG611+AY612+AZ612+BA612+BB612-BC612),0)</f>
        <v>0</v>
      </c>
      <c r="BE612" s="170">
        <f>IF(Escenarios!$F$17&gt;0,MIN(Entradas!$F$113,BG611+AY612+AZ612+BA612+BB612-BC612-BD612),0)</f>
        <v>0</v>
      </c>
      <c r="BF612" s="170">
        <f>IF(Escenarios!$F$17&gt;0,MAX(0,BG611+AY612+AZ612+BA612+BB612-BC612-BD612-BE612-Constantes!$F$40),0)</f>
        <v>0</v>
      </c>
      <c r="BG612" s="170">
        <f t="shared" si="137"/>
        <v>0</v>
      </c>
      <c r="BH612" s="170">
        <f>(Escenarios!$F$16*AK612+0.1*BC612)/(Escenarios!$F$19)</f>
        <v>0.16091850181522591</v>
      </c>
      <c r="BI612" s="170">
        <f>IF(Escenarios!$F$17&gt;0,BF612/10/Escenarios!$F$19,AL612)</f>
        <v>0</v>
      </c>
      <c r="BJ612" s="170">
        <f>(Escenarios!$F$16*AT612+0.1*BD612)/(Escenarios!$F$19)</f>
        <v>0</v>
      </c>
      <c r="BK612" s="76">
        <f>BK611+(0.1*BD612)/(Escenarios!$F$19)-BL611</f>
        <v>48.75</v>
      </c>
      <c r="BL612" s="76">
        <f>MAX(0,(BK612-Constantes!$D$13)*(1-EXP(-Constantes!$D$23)))</f>
        <v>0</v>
      </c>
      <c r="BM612" s="76">
        <f t="shared" si="138"/>
        <v>0.28288088702734576</v>
      </c>
      <c r="BN612" s="76">
        <f t="shared" si="139"/>
        <v>0.28288088704609804</v>
      </c>
      <c r="BO612" s="76">
        <f>0.0526*BI612*Observaciones!$F611^1.218</f>
        <v>0</v>
      </c>
      <c r="BP612" s="76">
        <f>BO612*Constantes!$F$51</f>
        <v>0</v>
      </c>
      <c r="BQ612" s="76">
        <f t="shared" si="140"/>
        <v>0</v>
      </c>
      <c r="BR612" s="40"/>
    </row>
    <row r="613" spans="2:70">
      <c r="B613" s="39"/>
      <c r="C613" s="75">
        <v>607</v>
      </c>
      <c r="D613" s="146">
        <f>ETo!$I612*((1-Constantes!$F$19)*ETo!$K612+ETo!$L612)</f>
        <v>3.52576873363877</v>
      </c>
      <c r="E613" s="76">
        <f>MIN(D613*Constantes!$F$17,0.8*(N612+Observaciones!$F612-F613-M613-Constantes!$D$14))</f>
        <v>5.0046082833432597E-10</v>
      </c>
      <c r="F613" s="76">
        <f>IF(Observaciones!$F612&gt;0.05*Constantes!$F$18,((Observaciones!$F612-0.05*Constantes!$F$18)^2)/(Observaciones!$F612+0.95*Constantes!$F$18),0)</f>
        <v>0</v>
      </c>
      <c r="G613" s="76">
        <f>IF(Escenarios!$F$11&gt;0,(F613*Escenarios!$F$16*10000)/1000,0)</f>
        <v>0</v>
      </c>
      <c r="H613" s="76">
        <f>IF(Escenarios!$F$11&gt;0,(Observaciones!$F612*Constantes!$F$29)/1000,0)</f>
        <v>0</v>
      </c>
      <c r="I613" s="76">
        <f>IF(Escenarios!$F$11&gt;0,(D613*Constantes!$F$29)/1000,0)</f>
        <v>0</v>
      </c>
      <c r="J613" s="76">
        <f>IF(Escenarios!$F$11&gt;0,MAX(0,G613+H613-I613),0)</f>
        <v>0</v>
      </c>
      <c r="K613" s="76">
        <f>IF(Escenarios!$F$11&gt;0,IF(J613&gt;Constantes!$F$30,1000*((J613-Constantes!$F$30)/(Escenarios!$F$16*10000)),0),F613)</f>
        <v>0</v>
      </c>
      <c r="L613" s="76">
        <f>IF(Escenarios!$F$11&gt;0,I613*1000/Escenarios!$F$16/10000+E613,E613)</f>
        <v>5.0046082833432597E-10</v>
      </c>
      <c r="M613" s="76">
        <f>MAX(0,N612+Observaciones!$F612-K613-Constantes!$D$13)</f>
        <v>0</v>
      </c>
      <c r="N613" s="76">
        <f>N612+Observaciones!$F612-K613-L613-M613-O612</f>
        <v>11.250000000103807</v>
      </c>
      <c r="O613" s="76">
        <f>MAX(0,(N613-Constantes!$D$14)*(1-EXP(-Constantes!$D$22)))</f>
        <v>3.5360386801561689E-12</v>
      </c>
      <c r="P613" s="170">
        <f>P612+(Entradas!$F$83*M613-Q612)/(800*Entradas!$D$25)</f>
        <v>0</v>
      </c>
      <c r="Q613" s="170">
        <f>8000*Entradas!$D$26*P613/Constantes!$F$45</f>
        <v>0</v>
      </c>
      <c r="R613" s="170">
        <f>IF(Escenarios!$F$14&gt;0,K613*Escenarios!$F$13/Escenarios!$F$14,0)</f>
        <v>0</v>
      </c>
      <c r="S613" s="170">
        <f>IF(Escenarios!$F$14&gt;0,Q613*Escenarios!$F$13/Escenarios!$F$14,0)</f>
        <v>0</v>
      </c>
      <c r="T613" s="170">
        <f>IF(Escenarios!$F$14&gt;0,Observaciones!$I612,0)</f>
        <v>0</v>
      </c>
      <c r="U613" s="170">
        <f>IF(Escenarios!$F$14&gt;0,MAX(0,Constantes!$F$36/((Z612+R613+S613+T613+Observaciones!$F612)^2)+Entradas!$F$77),0)</f>
        <v>0</v>
      </c>
      <c r="V613" s="146">
        <f>IF(ETo!D612&gt;0,ETo!I612*((1-Entradas!$F$81)*ETo!K612+ETo!L612),0)</f>
        <v>3.1099235125679621</v>
      </c>
      <c r="W613" s="170">
        <f>IF(Escenarios!$F$14&gt;0,MIN(V613*1,0.8*(Z612+R613+S613+T613+Observaciones!$F612-U613-Constantes!$F$35)),0)</f>
        <v>2.162897771995631E-9</v>
      </c>
      <c r="X613" s="170">
        <f>IF(Escenarios!$F$14&gt;0,Observaciones!$J612,0)</f>
        <v>0</v>
      </c>
      <c r="Y613" s="170">
        <f>IF(Escenarios!$F$14&gt;0,MAX(0,Z612+R613+S613+T613+Observaciones!$F612-U613-W613-X613-Constantes!$F$33),0)</f>
        <v>0</v>
      </c>
      <c r="Z613" s="170">
        <f>Z612+R613+S613+T613+Observaciones!$F612-U613-W613-Y613</f>
        <v>41.250000000540723</v>
      </c>
      <c r="AA613" s="170">
        <f>IF(Escenarios!$F$14&gt;0,(Escenarios!$F$13*L613+Escenarios!$F$14*W613)/(Escenarios!$F$16),L613)</f>
        <v>6.9995326157368257E-10</v>
      </c>
      <c r="AB613" s="170">
        <f>IF(Escenarios!$F$14&gt;0,(Escenarios!$F$14*Y613)/(Escenarios!$F$16),K613)</f>
        <v>0</v>
      </c>
      <c r="AC613" s="170">
        <f>IF(Escenarios!$F$14&gt;0,(Escenarios!$F$13*M613+Escenarios!$F$14*U613)/(Escenarios!$F$16),M613)</f>
        <v>0</v>
      </c>
      <c r="AD613" s="76">
        <f t="shared" si="127"/>
        <v>75.047932363375637</v>
      </c>
      <c r="AE613" s="76">
        <f>MAX(0,(AD613-Constantes!$D$13)*(1-EXP(-Constantes!$D$23)))</f>
        <v>0.25911979125582751</v>
      </c>
      <c r="AF613" s="76">
        <f>AB613+O613*Escenarios!$F$13/Escenarios!$F$16+AE613</f>
        <v>0.25911979125893925</v>
      </c>
      <c r="AG613" s="76">
        <f>IF(Entradas!$F$91&gt;0,IF(AF613-Escenarios!$F$38&lt;=0,0,IF(AF613-Escenarios!$F$38&gt;Escenarios!$F$37,Escenarios!$F$37,AF613-Escenarios!$F$38)),0)</f>
        <v>0</v>
      </c>
      <c r="AH613" s="76">
        <f>AG613*Entradas!$F$99</f>
        <v>0</v>
      </c>
      <c r="AI613" s="76">
        <f>IF(Entradas!$F$91&gt;0,D613*Entradas!$D$23/Escenarios!$F$16,0)</f>
        <v>0.16923689921466095</v>
      </c>
      <c r="AJ613" s="76">
        <f>IF(Entradas!$F$91&gt;0,Entradas!$D$24*Entradas!$D$22/Escenarios!$F$16,0)</f>
        <v>0.12</v>
      </c>
      <c r="AK613" s="76">
        <f t="shared" si="128"/>
        <v>0.16923689991461421</v>
      </c>
      <c r="AL613" s="76">
        <f t="shared" si="129"/>
        <v>0</v>
      </c>
      <c r="AM613" s="76">
        <f t="shared" si="130"/>
        <v>0</v>
      </c>
      <c r="AN613" s="76">
        <f>MAX(0,O613*Escenarios!$F$13/Escenarios!$F$16-AM613)</f>
        <v>3.1117140385374289E-12</v>
      </c>
      <c r="AO613" s="76">
        <f>AM613+AN613-O613*Escenarios!$F$13/Escenarios!$F$16</f>
        <v>0</v>
      </c>
      <c r="AP613" s="76">
        <f t="shared" si="131"/>
        <v>0.25911979125582751</v>
      </c>
      <c r="AQ613" s="76">
        <f t="shared" si="132"/>
        <v>0</v>
      </c>
      <c r="AR613" s="76">
        <f t="shared" si="133"/>
        <v>0.25911979125893925</v>
      </c>
      <c r="AS613" s="76">
        <f t="shared" si="134"/>
        <v>0</v>
      </c>
      <c r="AT613" s="76">
        <f t="shared" si="135"/>
        <v>0</v>
      </c>
      <c r="AU613" s="76">
        <f t="shared" si="136"/>
        <v>50.114632137870217</v>
      </c>
      <c r="AV613" s="76">
        <f>MAX(0,(AU613-Constantes!$D$13)*(1-EXP(-Constantes!$D$24)))</f>
        <v>2.0858739380961576E-2</v>
      </c>
      <c r="AW613" s="170">
        <f>AW612+(Entradas!$F$112*AT613-AX612)/(800*Entradas!$D$25)</f>
        <v>0</v>
      </c>
      <c r="AX613" s="170">
        <f>8000*Entradas!$D$26*AW613/Constantes!$F$45</f>
        <v>0</v>
      </c>
      <c r="AY613" s="170">
        <f>IF(Escenarios!$F$17&gt;0,10*Escenarios!$F$16*AL613,0)</f>
        <v>0</v>
      </c>
      <c r="AZ613" s="170">
        <f>IF(Escenarios!$F$17&gt;0,10*Escenarios!$F$16*AX613,0)</f>
        <v>0</v>
      </c>
      <c r="BA613" s="170">
        <f>IF(Escenarios!$F$17&gt;0,0.001*Observaciones!$F612*Escenarios!$F$17,0)</f>
        <v>0</v>
      </c>
      <c r="BB613" s="170">
        <f>IF(Escenarios!$F$17&gt;0,Observaciones!$K612,0)</f>
        <v>0</v>
      </c>
      <c r="BC613" s="170">
        <f>IF(Escenarios!$F$17&gt;0,MIN(0.0005*ETo!$M612*Escenarios!$F$17*(BG612/Constantes!$F$40)^(2/3),BG612+AY613+AZ613+BA613+BB613),0)</f>
        <v>0</v>
      </c>
      <c r="BD613" s="170">
        <f>IF(Escenarios!$F$17&gt;0,MIN(Constantes!$F$39*(BG612/Constantes!$F$40)^(2/3),BG612+AY613+AZ613+BA613+BB613-BC613),0)</f>
        <v>0</v>
      </c>
      <c r="BE613" s="170">
        <f>IF(Escenarios!$F$17&gt;0,MIN(Entradas!$F$113,BG612+AY613+AZ613+BA613+BB613-BC613-BD613),0)</f>
        <v>0</v>
      </c>
      <c r="BF613" s="170">
        <f>IF(Escenarios!$F$17&gt;0,MAX(0,BG612+AY613+AZ613+BA613+BB613-BC613-BD613-BE613-Constantes!$F$40),0)</f>
        <v>0</v>
      </c>
      <c r="BG613" s="170">
        <f t="shared" si="137"/>
        <v>0</v>
      </c>
      <c r="BH613" s="170">
        <f>(Escenarios!$F$16*AK613+0.1*BC613)/(Escenarios!$F$19)</f>
        <v>0.16923689991461421</v>
      </c>
      <c r="BI613" s="170">
        <f>IF(Escenarios!$F$17&gt;0,BF613/10/Escenarios!$F$19,AL613)</f>
        <v>0</v>
      </c>
      <c r="BJ613" s="170">
        <f>(Escenarios!$F$16*AT613+0.1*BD613)/(Escenarios!$F$19)</f>
        <v>0</v>
      </c>
      <c r="BK613" s="76">
        <f>BK612+(0.1*BD613)/(Escenarios!$F$19)-BL612</f>
        <v>48.75</v>
      </c>
      <c r="BL613" s="76">
        <f>MAX(0,(BK613-Constantes!$D$13)*(1-EXP(-Constantes!$D$23)))</f>
        <v>0</v>
      </c>
      <c r="BM613" s="76">
        <f t="shared" si="138"/>
        <v>0.27997853063678907</v>
      </c>
      <c r="BN613" s="76">
        <f t="shared" si="139"/>
        <v>0.2799785306399008</v>
      </c>
      <c r="BO613" s="76">
        <f>0.0526*BI613*Observaciones!$F612^1.218</f>
        <v>0</v>
      </c>
      <c r="BP613" s="76">
        <f>BO613*Constantes!$F$51</f>
        <v>0</v>
      </c>
      <c r="BQ613" s="76">
        <f t="shared" si="140"/>
        <v>0</v>
      </c>
      <c r="BR613" s="40"/>
    </row>
    <row r="614" spans="2:70">
      <c r="B614" s="39"/>
      <c r="C614" s="75">
        <v>608</v>
      </c>
      <c r="D614" s="146">
        <f>ETo!$I613*((1-Constantes!$F$19)*ETo!$K613+ETo!$L613)</f>
        <v>3.5045251010580238</v>
      </c>
      <c r="E614" s="76">
        <f>MIN(D614*Constantes!$F$17,0.8*(N613+Observaciones!$F613-F614-M614-Constantes!$D$14))</f>
        <v>8.3045392784697472E-11</v>
      </c>
      <c r="F614" s="76">
        <f>IF(Observaciones!$F613&gt;0.05*Constantes!$F$18,((Observaciones!$F613-0.05*Constantes!$F$18)^2)/(Observaciones!$F613+0.95*Constantes!$F$18),0)</f>
        <v>0</v>
      </c>
      <c r="G614" s="76">
        <f>IF(Escenarios!$F$11&gt;0,(F614*Escenarios!$F$16*10000)/1000,0)</f>
        <v>0</v>
      </c>
      <c r="H614" s="76">
        <f>IF(Escenarios!$F$11&gt;0,(Observaciones!$F613*Constantes!$F$29)/1000,0)</f>
        <v>0</v>
      </c>
      <c r="I614" s="76">
        <f>IF(Escenarios!$F$11&gt;0,(D614*Constantes!$F$29)/1000,0)</f>
        <v>0</v>
      </c>
      <c r="J614" s="76">
        <f>IF(Escenarios!$F$11&gt;0,MAX(0,G614+H614-I614),0)</f>
        <v>0</v>
      </c>
      <c r="K614" s="76">
        <f>IF(Escenarios!$F$11&gt;0,IF(J614&gt;Constantes!$F$30,1000*((J614-Constantes!$F$30)/(Escenarios!$F$16*10000)),0),F614)</f>
        <v>0</v>
      </c>
      <c r="L614" s="76">
        <f>IF(Escenarios!$F$11&gt;0,I614*1000/Escenarios!$F$16/10000+E614,E614)</f>
        <v>8.3045392784697472E-11</v>
      </c>
      <c r="M614" s="76">
        <f>MAX(0,N613+Observaciones!$F613-K614-Constantes!$D$13)</f>
        <v>0</v>
      </c>
      <c r="N614" s="76">
        <f>N613+Observaciones!$F613-K614-L614-M614-O613</f>
        <v>11.250000000017225</v>
      </c>
      <c r="O614" s="76">
        <f>MAX(0,(N614-Constantes!$D$14)*(1-EXP(-Constantes!$D$22)))</f>
        <v>5.8675805266221244E-13</v>
      </c>
      <c r="P614" s="170">
        <f>P613+(Entradas!$F$83*M614-Q613)/(800*Entradas!$D$25)</f>
        <v>0</v>
      </c>
      <c r="Q614" s="170">
        <f>8000*Entradas!$D$26*P614/Constantes!$F$45</f>
        <v>0</v>
      </c>
      <c r="R614" s="170">
        <f>IF(Escenarios!$F$14&gt;0,K614*Escenarios!$F$13/Escenarios!$F$14,0)</f>
        <v>0</v>
      </c>
      <c r="S614" s="170">
        <f>IF(Escenarios!$F$14&gt;0,Q614*Escenarios!$F$13/Escenarios!$F$14,0)</f>
        <v>0</v>
      </c>
      <c r="T614" s="170">
        <f>IF(Escenarios!$F$14&gt;0,Observaciones!$I613,0)</f>
        <v>0</v>
      </c>
      <c r="U614" s="170">
        <f>IF(Escenarios!$F$14&gt;0,MAX(0,Constantes!$F$36/((Z613+R614+S614+T614+Observaciones!$F613)^2)+Entradas!$F$77),0)</f>
        <v>0</v>
      </c>
      <c r="V614" s="146">
        <f>IF(ETo!D613&gt;0,ETo!I613*((1-Entradas!$F$81)*ETo!K613+ETo!L613),0)</f>
        <v>3.0914027304329901</v>
      </c>
      <c r="W614" s="170">
        <f>IF(Escenarios!$F$14&gt;0,MIN(V614*1,0.8*(Z613+R614+S614+T614+Observaciones!$F613-U614-Constantes!$F$35)),0)</f>
        <v>4.3257841753074899E-10</v>
      </c>
      <c r="X614" s="170">
        <f>IF(Escenarios!$F$14&gt;0,Observaciones!$J613,0)</f>
        <v>0</v>
      </c>
      <c r="Y614" s="170">
        <f>IF(Escenarios!$F$14&gt;0,MAX(0,Z613+R614+S614+T614+Observaciones!$F613-U614-W614-X614-Constantes!$F$33),0)</f>
        <v>0</v>
      </c>
      <c r="Z614" s="170">
        <f>Z613+R614+S614+T614+Observaciones!$F613-U614-W614-Y614</f>
        <v>41.250000000108145</v>
      </c>
      <c r="AA614" s="170">
        <f>IF(Escenarios!$F$14&gt;0,(Escenarios!$F$13*L614+Escenarios!$F$14*W614)/(Escenarios!$F$16),L614)</f>
        <v>1.2498935575422364E-10</v>
      </c>
      <c r="AB614" s="170">
        <f>IF(Escenarios!$F$14&gt;0,(Escenarios!$F$14*Y614)/(Escenarios!$F$16),K614)</f>
        <v>0</v>
      </c>
      <c r="AC614" s="170">
        <f>IF(Escenarios!$F$14&gt;0,(Escenarios!$F$13*M614+Escenarios!$F$14*U614)/(Escenarios!$F$16),M614)</f>
        <v>0</v>
      </c>
      <c r="AD614" s="76">
        <f t="shared" si="127"/>
        <v>74.788812572119809</v>
      </c>
      <c r="AE614" s="76">
        <f>MAX(0,(AD614-Constantes!$D$13)*(1-EXP(-Constantes!$D$23)))</f>
        <v>0.25656662223505794</v>
      </c>
      <c r="AF614" s="76">
        <f>AB614+O614*Escenarios!$F$13/Escenarios!$F$16+AE614</f>
        <v>0.2565666222355743</v>
      </c>
      <c r="AG614" s="76">
        <f>IF(Entradas!$F$91&gt;0,IF(AF614-Escenarios!$F$38&lt;=0,0,IF(AF614-Escenarios!$F$38&gt;Escenarios!$F$37,Escenarios!$F$37,AF614-Escenarios!$F$38)),0)</f>
        <v>0</v>
      </c>
      <c r="AH614" s="76">
        <f>AG614*Entradas!$F$99</f>
        <v>0</v>
      </c>
      <c r="AI614" s="76">
        <f>IF(Entradas!$F$91&gt;0,D614*Entradas!$D$23/Escenarios!$F$16,0)</f>
        <v>0.16821720485078515</v>
      </c>
      <c r="AJ614" s="76">
        <f>IF(Entradas!$F$91&gt;0,Entradas!$D$24*Entradas!$D$22/Escenarios!$F$16,0)</f>
        <v>0.12</v>
      </c>
      <c r="AK614" s="76">
        <f t="shared" si="128"/>
        <v>0.1682172049757745</v>
      </c>
      <c r="AL614" s="76">
        <f t="shared" si="129"/>
        <v>0</v>
      </c>
      <c r="AM614" s="76">
        <f t="shared" si="130"/>
        <v>0</v>
      </c>
      <c r="AN614" s="76">
        <f>MAX(0,O614*Escenarios!$F$13/Escenarios!$F$16-AM614)</f>
        <v>5.1634708634274691E-13</v>
      </c>
      <c r="AO614" s="76">
        <f>AM614+AN614-O614*Escenarios!$F$13/Escenarios!$F$16</f>
        <v>0</v>
      </c>
      <c r="AP614" s="76">
        <f t="shared" si="131"/>
        <v>0.25656662223505794</v>
      </c>
      <c r="AQ614" s="76">
        <f t="shared" si="132"/>
        <v>0</v>
      </c>
      <c r="AR614" s="76">
        <f t="shared" si="133"/>
        <v>0.2565666222355743</v>
      </c>
      <c r="AS614" s="76">
        <f t="shared" si="134"/>
        <v>0</v>
      </c>
      <c r="AT614" s="76">
        <f t="shared" si="135"/>
        <v>0</v>
      </c>
      <c r="AU614" s="76">
        <f t="shared" si="136"/>
        <v>50.093773398489255</v>
      </c>
      <c r="AV614" s="76">
        <f>MAX(0,(AU614-Constantes!$D$13)*(1-EXP(-Constantes!$D$24)))</f>
        <v>2.0539908396047257E-2</v>
      </c>
      <c r="AW614" s="170">
        <f>AW613+(Entradas!$F$112*AT614-AX613)/(800*Entradas!$D$25)</f>
        <v>0</v>
      </c>
      <c r="AX614" s="170">
        <f>8000*Entradas!$D$26*AW614/Constantes!$F$45</f>
        <v>0</v>
      </c>
      <c r="AY614" s="170">
        <f>IF(Escenarios!$F$17&gt;0,10*Escenarios!$F$16*AL614,0)</f>
        <v>0</v>
      </c>
      <c r="AZ614" s="170">
        <f>IF(Escenarios!$F$17&gt;0,10*Escenarios!$F$16*AX614,0)</f>
        <v>0</v>
      </c>
      <c r="BA614" s="170">
        <f>IF(Escenarios!$F$17&gt;0,0.001*Observaciones!$F613*Escenarios!$F$17,0)</f>
        <v>0</v>
      </c>
      <c r="BB614" s="170">
        <f>IF(Escenarios!$F$17&gt;0,Observaciones!$K613,0)</f>
        <v>0</v>
      </c>
      <c r="BC614" s="170">
        <f>IF(Escenarios!$F$17&gt;0,MIN(0.0005*ETo!$M613*Escenarios!$F$17*(BG613/Constantes!$F$40)^(2/3),BG613+AY614+AZ614+BA614+BB614),0)</f>
        <v>0</v>
      </c>
      <c r="BD614" s="170">
        <f>IF(Escenarios!$F$17&gt;0,MIN(Constantes!$F$39*(BG613/Constantes!$F$40)^(2/3),BG613+AY614+AZ614+BA614+BB614-BC614),0)</f>
        <v>0</v>
      </c>
      <c r="BE614" s="170">
        <f>IF(Escenarios!$F$17&gt;0,MIN(Entradas!$F$113,BG613+AY614+AZ614+BA614+BB614-BC614-BD614),0)</f>
        <v>0</v>
      </c>
      <c r="BF614" s="170">
        <f>IF(Escenarios!$F$17&gt;0,MAX(0,BG613+AY614+AZ614+BA614+BB614-BC614-BD614-BE614-Constantes!$F$40),0)</f>
        <v>0</v>
      </c>
      <c r="BG614" s="170">
        <f t="shared" si="137"/>
        <v>0</v>
      </c>
      <c r="BH614" s="170">
        <f>(Escenarios!$F$16*AK614+0.1*BC614)/(Escenarios!$F$19)</f>
        <v>0.1682172049757745</v>
      </c>
      <c r="BI614" s="170">
        <f>IF(Escenarios!$F$17&gt;0,BF614/10/Escenarios!$F$19,AL614)</f>
        <v>0</v>
      </c>
      <c r="BJ614" s="170">
        <f>(Escenarios!$F$16*AT614+0.1*BD614)/(Escenarios!$F$19)</f>
        <v>0</v>
      </c>
      <c r="BK614" s="76">
        <f>BK613+(0.1*BD614)/(Escenarios!$F$19)-BL613</f>
        <v>48.75</v>
      </c>
      <c r="BL614" s="76">
        <f>MAX(0,(BK614-Constantes!$D$13)*(1-EXP(-Constantes!$D$23)))</f>
        <v>0</v>
      </c>
      <c r="BM614" s="76">
        <f t="shared" si="138"/>
        <v>0.27710653063110519</v>
      </c>
      <c r="BN614" s="76">
        <f t="shared" si="139"/>
        <v>0.27710653063162155</v>
      </c>
      <c r="BO614" s="76">
        <f>0.0526*BI614*Observaciones!$F613^1.218</f>
        <v>0</v>
      </c>
      <c r="BP614" s="76">
        <f>BO614*Constantes!$F$51</f>
        <v>0</v>
      </c>
      <c r="BQ614" s="76">
        <f t="shared" si="140"/>
        <v>0</v>
      </c>
      <c r="BR614" s="40"/>
    </row>
    <row r="615" spans="2:70">
      <c r="B615" s="39"/>
      <c r="C615" s="75">
        <v>609</v>
      </c>
      <c r="D615" s="146">
        <f>ETo!$I614*((1-Constantes!$F$19)*ETo!$K614+ETo!$L614)</f>
        <v>3.5931731369675211</v>
      </c>
      <c r="E615" s="76">
        <f>MIN(D615*Constantes!$F$17,0.8*(N614+Observaciones!$F614-F615-M615-Constantes!$D$14))</f>
        <v>1.3780265817331384E-11</v>
      </c>
      <c r="F615" s="76">
        <f>IF(Observaciones!$F614&gt;0.05*Constantes!$F$18,((Observaciones!$F614-0.05*Constantes!$F$18)^2)/(Observaciones!$F614+0.95*Constantes!$F$18),0)</f>
        <v>0</v>
      </c>
      <c r="G615" s="76">
        <f>IF(Escenarios!$F$11&gt;0,(F615*Escenarios!$F$16*10000)/1000,0)</f>
        <v>0</v>
      </c>
      <c r="H615" s="76">
        <f>IF(Escenarios!$F$11&gt;0,(Observaciones!$F614*Constantes!$F$29)/1000,0)</f>
        <v>0</v>
      </c>
      <c r="I615" s="76">
        <f>IF(Escenarios!$F$11&gt;0,(D615*Constantes!$F$29)/1000,0)</f>
        <v>0</v>
      </c>
      <c r="J615" s="76">
        <f>IF(Escenarios!$F$11&gt;0,MAX(0,G615+H615-I615),0)</f>
        <v>0</v>
      </c>
      <c r="K615" s="76">
        <f>IF(Escenarios!$F$11&gt;0,IF(J615&gt;Constantes!$F$30,1000*((J615-Constantes!$F$30)/(Escenarios!$F$16*10000)),0),F615)</f>
        <v>0</v>
      </c>
      <c r="L615" s="76">
        <f>IF(Escenarios!$F$11&gt;0,I615*1000/Escenarios!$F$16/10000+E615,E615)</f>
        <v>1.3780265817331384E-11</v>
      </c>
      <c r="M615" s="76">
        <f>MAX(0,N614+Observaciones!$F614-K615-Constantes!$D$13)</f>
        <v>0</v>
      </c>
      <c r="N615" s="76">
        <f>N614+Observaciones!$F614-K615-L615-M615-O614</f>
        <v>11.250000000002858</v>
      </c>
      <c r="O615" s="76">
        <f>MAX(0,(N615-Constantes!$D$14)*(1-EXP(-Constantes!$D$22)))</f>
        <v>9.7359359258894477E-14</v>
      </c>
      <c r="P615" s="170">
        <f>P614+(Entradas!$F$83*M615-Q614)/(800*Entradas!$D$25)</f>
        <v>0</v>
      </c>
      <c r="Q615" s="170">
        <f>8000*Entradas!$D$26*P615/Constantes!$F$45</f>
        <v>0</v>
      </c>
      <c r="R615" s="170">
        <f>IF(Escenarios!$F$14&gt;0,K615*Escenarios!$F$13/Escenarios!$F$14,0)</f>
        <v>0</v>
      </c>
      <c r="S615" s="170">
        <f>IF(Escenarios!$F$14&gt;0,Q615*Escenarios!$F$13/Escenarios!$F$14,0)</f>
        <v>0</v>
      </c>
      <c r="T615" s="170">
        <f>IF(Escenarios!$F$14&gt;0,Observaciones!$I614,0)</f>
        <v>0</v>
      </c>
      <c r="U615" s="170">
        <f>IF(Escenarios!$F$14&gt;0,MAX(0,Constantes!$F$36/((Z614+R615+S615+T615+Observaciones!$F614)^2)+Entradas!$F$77),0)</f>
        <v>0</v>
      </c>
      <c r="V615" s="146">
        <f>IF(ETo!D614&gt;0,ETo!I614*((1-Entradas!$F$81)*ETo!K614+ETo!L614),0)</f>
        <v>3.1710158922764857</v>
      </c>
      <c r="W615" s="170">
        <f>IF(Escenarios!$F$14&gt;0,MIN(V615*1,0.8*(Z614+R615+S615+T615+Observaciones!$F614-U615-Constantes!$F$35)),0)</f>
        <v>8.6515683506149799E-11</v>
      </c>
      <c r="X615" s="170">
        <f>IF(Escenarios!$F$14&gt;0,Observaciones!$J614,0)</f>
        <v>0</v>
      </c>
      <c r="Y615" s="170">
        <f>IF(Escenarios!$F$14&gt;0,MAX(0,Z614+R615+S615+T615+Observaciones!$F614-U615-W615-X615-Constantes!$F$33),0)</f>
        <v>0</v>
      </c>
      <c r="Z615" s="170">
        <f>Z614+R615+S615+T615+Observaciones!$F614-U615-W615-Y615</f>
        <v>41.250000000021629</v>
      </c>
      <c r="AA615" s="170">
        <f>IF(Escenarios!$F$14&gt;0,(Escenarios!$F$13*L615+Escenarios!$F$14*W615)/(Escenarios!$F$16),L615)</f>
        <v>2.2508515939989592E-11</v>
      </c>
      <c r="AB615" s="170">
        <f>IF(Escenarios!$F$14&gt;0,(Escenarios!$F$14*Y615)/(Escenarios!$F$16),K615)</f>
        <v>0</v>
      </c>
      <c r="AC615" s="170">
        <f>IF(Escenarios!$F$14&gt;0,(Escenarios!$F$13*M615+Escenarios!$F$14*U615)/(Escenarios!$F$16),M615)</f>
        <v>0</v>
      </c>
      <c r="AD615" s="76">
        <f t="shared" si="127"/>
        <v>74.532245949884754</v>
      </c>
      <c r="AE615" s="76">
        <f>MAX(0,(AD615-Constantes!$D$13)*(1-EXP(-Constantes!$D$23)))</f>
        <v>0.25403861019676754</v>
      </c>
      <c r="AF615" s="76">
        <f>AB615+O615*Escenarios!$F$13/Escenarios!$F$16+AE615</f>
        <v>0.2540386101968532</v>
      </c>
      <c r="AG615" s="76">
        <f>IF(Entradas!$F$91&gt;0,IF(AF615-Escenarios!$F$38&lt;=0,0,IF(AF615-Escenarios!$F$38&gt;Escenarios!$F$37,Escenarios!$F$37,AF615-Escenarios!$F$38)),0)</f>
        <v>0</v>
      </c>
      <c r="AH615" s="76">
        <f>AG615*Entradas!$F$99</f>
        <v>0</v>
      </c>
      <c r="AI615" s="76">
        <f>IF(Entradas!$F$91&gt;0,D615*Entradas!$D$23/Escenarios!$F$16,0)</f>
        <v>0.17247231057444098</v>
      </c>
      <c r="AJ615" s="76">
        <f>IF(Entradas!$F$91&gt;0,Entradas!$D$24*Entradas!$D$22/Escenarios!$F$16,0)</f>
        <v>0.12</v>
      </c>
      <c r="AK615" s="76">
        <f t="shared" si="128"/>
        <v>0.17247231059694951</v>
      </c>
      <c r="AL615" s="76">
        <f t="shared" si="129"/>
        <v>0</v>
      </c>
      <c r="AM615" s="76">
        <f t="shared" si="130"/>
        <v>0</v>
      </c>
      <c r="AN615" s="76">
        <f>MAX(0,O615*Escenarios!$F$13/Escenarios!$F$16-AM615)</f>
        <v>8.5676236147827135E-14</v>
      </c>
      <c r="AO615" s="76">
        <f>AM615+AN615-O615*Escenarios!$F$13/Escenarios!$F$16</f>
        <v>0</v>
      </c>
      <c r="AP615" s="76">
        <f t="shared" si="131"/>
        <v>0.25403861019676754</v>
      </c>
      <c r="AQ615" s="76">
        <f t="shared" si="132"/>
        <v>0</v>
      </c>
      <c r="AR615" s="76">
        <f t="shared" si="133"/>
        <v>0.2540386101968532</v>
      </c>
      <c r="AS615" s="76">
        <f t="shared" si="134"/>
        <v>0</v>
      </c>
      <c r="AT615" s="76">
        <f t="shared" si="135"/>
        <v>0</v>
      </c>
      <c r="AU615" s="76">
        <f t="shared" si="136"/>
        <v>50.073233490093209</v>
      </c>
      <c r="AV615" s="76">
        <f>MAX(0,(AU615-Constantes!$D$13)*(1-EXP(-Constantes!$D$24)))</f>
        <v>2.0225950821509547E-2</v>
      </c>
      <c r="AW615" s="170">
        <f>AW614+(Entradas!$F$112*AT615-AX614)/(800*Entradas!$D$25)</f>
        <v>0</v>
      </c>
      <c r="AX615" s="170">
        <f>8000*Entradas!$D$26*AW615/Constantes!$F$45</f>
        <v>0</v>
      </c>
      <c r="AY615" s="170">
        <f>IF(Escenarios!$F$17&gt;0,10*Escenarios!$F$16*AL615,0)</f>
        <v>0</v>
      </c>
      <c r="AZ615" s="170">
        <f>IF(Escenarios!$F$17&gt;0,10*Escenarios!$F$16*AX615,0)</f>
        <v>0</v>
      </c>
      <c r="BA615" s="170">
        <f>IF(Escenarios!$F$17&gt;0,0.001*Observaciones!$F614*Escenarios!$F$17,0)</f>
        <v>0</v>
      </c>
      <c r="BB615" s="170">
        <f>IF(Escenarios!$F$17&gt;0,Observaciones!$K614,0)</f>
        <v>0</v>
      </c>
      <c r="BC615" s="170">
        <f>IF(Escenarios!$F$17&gt;0,MIN(0.0005*ETo!$M614*Escenarios!$F$17*(BG614/Constantes!$F$40)^(2/3),BG614+AY615+AZ615+BA615+BB615),0)</f>
        <v>0</v>
      </c>
      <c r="BD615" s="170">
        <f>IF(Escenarios!$F$17&gt;0,MIN(Constantes!$F$39*(BG614/Constantes!$F$40)^(2/3),BG614+AY615+AZ615+BA615+BB615-BC615),0)</f>
        <v>0</v>
      </c>
      <c r="BE615" s="170">
        <f>IF(Escenarios!$F$17&gt;0,MIN(Entradas!$F$113,BG614+AY615+AZ615+BA615+BB615-BC615-BD615),0)</f>
        <v>0</v>
      </c>
      <c r="BF615" s="170">
        <f>IF(Escenarios!$F$17&gt;0,MAX(0,BG614+AY615+AZ615+BA615+BB615-BC615-BD615-BE615-Constantes!$F$40),0)</f>
        <v>0</v>
      </c>
      <c r="BG615" s="170">
        <f t="shared" si="137"/>
        <v>0</v>
      </c>
      <c r="BH615" s="170">
        <f>(Escenarios!$F$16*AK615+0.1*BC615)/(Escenarios!$F$19)</f>
        <v>0.17247231059694951</v>
      </c>
      <c r="BI615" s="170">
        <f>IF(Escenarios!$F$17&gt;0,BF615/10/Escenarios!$F$19,AL615)</f>
        <v>0</v>
      </c>
      <c r="BJ615" s="170">
        <f>(Escenarios!$F$16*AT615+0.1*BD615)/(Escenarios!$F$19)</f>
        <v>0</v>
      </c>
      <c r="BK615" s="76">
        <f>BK614+(0.1*BD615)/(Escenarios!$F$19)-BL614</f>
        <v>48.75</v>
      </c>
      <c r="BL615" s="76">
        <f>MAX(0,(BK615-Constantes!$D$13)*(1-EXP(-Constantes!$D$23)))</f>
        <v>0</v>
      </c>
      <c r="BM615" s="76">
        <f t="shared" si="138"/>
        <v>0.27426456101827712</v>
      </c>
      <c r="BN615" s="76">
        <f t="shared" si="139"/>
        <v>0.27426456101836272</v>
      </c>
      <c r="BO615" s="76">
        <f>0.0526*BI615*Observaciones!$F614^1.218</f>
        <v>0</v>
      </c>
      <c r="BP615" s="76">
        <f>BO615*Constantes!$F$51</f>
        <v>0</v>
      </c>
      <c r="BQ615" s="76">
        <f t="shared" si="140"/>
        <v>0</v>
      </c>
      <c r="BR615" s="40"/>
    </row>
    <row r="616" spans="2:70">
      <c r="B616" s="39"/>
      <c r="C616" s="75">
        <v>610</v>
      </c>
      <c r="D616" s="146">
        <f>ETo!$I615*((1-Constantes!$F$19)*ETo!$K615+ETo!$L615)</f>
        <v>3.5873239595723905</v>
      </c>
      <c r="E616" s="76">
        <f>MIN(D616*Constantes!$F$17,0.8*(N615+Observaciones!$F615-F616-M616-Constantes!$D$14))</f>
        <v>2.2865265236760025E-12</v>
      </c>
      <c r="F616" s="76">
        <f>IF(Observaciones!$F615&gt;0.05*Constantes!$F$18,((Observaciones!$F615-0.05*Constantes!$F$18)^2)/(Observaciones!$F615+0.95*Constantes!$F$18),0)</f>
        <v>0</v>
      </c>
      <c r="G616" s="76">
        <f>IF(Escenarios!$F$11&gt;0,(F616*Escenarios!$F$16*10000)/1000,0)</f>
        <v>0</v>
      </c>
      <c r="H616" s="76">
        <f>IF(Escenarios!$F$11&gt;0,(Observaciones!$F615*Constantes!$F$29)/1000,0)</f>
        <v>0</v>
      </c>
      <c r="I616" s="76">
        <f>IF(Escenarios!$F$11&gt;0,(D616*Constantes!$F$29)/1000,0)</f>
        <v>0</v>
      </c>
      <c r="J616" s="76">
        <f>IF(Escenarios!$F$11&gt;0,MAX(0,G616+H616-I616),0)</f>
        <v>0</v>
      </c>
      <c r="K616" s="76">
        <f>IF(Escenarios!$F$11&gt;0,IF(J616&gt;Constantes!$F$30,1000*((J616-Constantes!$F$30)/(Escenarios!$F$16*10000)),0),F616)</f>
        <v>0</v>
      </c>
      <c r="L616" s="76">
        <f>IF(Escenarios!$F$11&gt;0,I616*1000/Escenarios!$F$16/10000+E616,E616)</f>
        <v>2.2865265236760025E-12</v>
      </c>
      <c r="M616" s="76">
        <f>MAX(0,N615+Observaciones!$F615-K616-Constantes!$D$13)</f>
        <v>0</v>
      </c>
      <c r="N616" s="76">
        <f>N615+Observaciones!$F615-K616-L616-M616-O615</f>
        <v>11.250000000000474</v>
      </c>
      <c r="O616" s="76">
        <f>MAX(0,(N616-Constantes!$D$14)*(1-EXP(-Constantes!$D$22)))</f>
        <v>1.6155965768878079E-14</v>
      </c>
      <c r="P616" s="170">
        <f>P615+(Entradas!$F$83*M616-Q615)/(800*Entradas!$D$25)</f>
        <v>0</v>
      </c>
      <c r="Q616" s="170">
        <f>8000*Entradas!$D$26*P616/Constantes!$F$45</f>
        <v>0</v>
      </c>
      <c r="R616" s="170">
        <f>IF(Escenarios!$F$14&gt;0,K616*Escenarios!$F$13/Escenarios!$F$14,0)</f>
        <v>0</v>
      </c>
      <c r="S616" s="170">
        <f>IF(Escenarios!$F$14&gt;0,Q616*Escenarios!$F$13/Escenarios!$F$14,0)</f>
        <v>0</v>
      </c>
      <c r="T616" s="170">
        <f>IF(Escenarios!$F$14&gt;0,Observaciones!$I615,0)</f>
        <v>0</v>
      </c>
      <c r="U616" s="170">
        <f>IF(Escenarios!$F$14&gt;0,MAX(0,Constantes!$F$36/((Z615+R616+S616+T616+Observaciones!$F615)^2)+Entradas!$F$77),0)</f>
        <v>0</v>
      </c>
      <c r="V616" s="146">
        <f>IF(ETo!D615&gt;0,ETo!I615*((1-Entradas!$F$81)*ETo!K615+ETo!L615),0)</f>
        <v>3.1661968772485185</v>
      </c>
      <c r="W616" s="170">
        <f>IF(Escenarios!$F$14&gt;0,MIN(V616*1,0.8*(Z615+R616+S616+T616+Observaciones!$F615-U616-Constantes!$F$35)),0)</f>
        <v>1.7303136701229962E-11</v>
      </c>
      <c r="X616" s="170">
        <f>IF(Escenarios!$F$14&gt;0,Observaciones!$J615,0)</f>
        <v>0</v>
      </c>
      <c r="Y616" s="170">
        <f>IF(Escenarios!$F$14&gt;0,MAX(0,Z615+R616+S616+T616+Observaciones!$F615-U616-W616-X616-Constantes!$F$33),0)</f>
        <v>0</v>
      </c>
      <c r="Z616" s="170">
        <f>Z615+R616+S616+T616+Observaciones!$F615-U616-W616-Y616</f>
        <v>41.250000000004327</v>
      </c>
      <c r="AA616" s="170">
        <f>IF(Escenarios!$F$14&gt;0,(Escenarios!$F$13*L616+Escenarios!$F$14*W616)/(Escenarios!$F$16),L616)</f>
        <v>4.0885197449824774E-12</v>
      </c>
      <c r="AB616" s="170">
        <f>IF(Escenarios!$F$14&gt;0,(Escenarios!$F$14*Y616)/(Escenarios!$F$16),K616)</f>
        <v>0</v>
      </c>
      <c r="AC616" s="170">
        <f>IF(Escenarios!$F$14&gt;0,(Escenarios!$F$13*M616+Escenarios!$F$14*U616)/(Escenarios!$F$16),M616)</f>
        <v>0</v>
      </c>
      <c r="AD616" s="76">
        <f t="shared" si="127"/>
        <v>74.278207339687981</v>
      </c>
      <c r="AE616" s="76">
        <f>MAX(0,(AD616-Constantes!$D$13)*(1-EXP(-Constantes!$D$23)))</f>
        <v>0.25153550726321589</v>
      </c>
      <c r="AF616" s="76">
        <f>AB616+O616*Escenarios!$F$13/Escenarios!$F$16+AE616</f>
        <v>0.2515355072632301</v>
      </c>
      <c r="AG616" s="76">
        <f>IF(Entradas!$F$91&gt;0,IF(AF616-Escenarios!$F$38&lt;=0,0,IF(AF616-Escenarios!$F$38&gt;Escenarios!$F$37,Escenarios!$F$37,AF616-Escenarios!$F$38)),0)</f>
        <v>0</v>
      </c>
      <c r="AH616" s="76">
        <f>AG616*Entradas!$F$99</f>
        <v>0</v>
      </c>
      <c r="AI616" s="76">
        <f>IF(Entradas!$F$91&gt;0,D616*Entradas!$D$23/Escenarios!$F$16,0)</f>
        <v>0.17219155005947473</v>
      </c>
      <c r="AJ616" s="76">
        <f>IF(Entradas!$F$91&gt;0,Entradas!$D$24*Entradas!$D$22/Escenarios!$F$16,0)</f>
        <v>0.12</v>
      </c>
      <c r="AK616" s="76">
        <f t="shared" si="128"/>
        <v>0.17219155006356324</v>
      </c>
      <c r="AL616" s="76">
        <f t="shared" si="129"/>
        <v>0</v>
      </c>
      <c r="AM616" s="76">
        <f t="shared" si="130"/>
        <v>0</v>
      </c>
      <c r="AN616" s="76">
        <f>MAX(0,O616*Escenarios!$F$13/Escenarios!$F$16-AM616)</f>
        <v>1.4217249876612708E-14</v>
      </c>
      <c r="AO616" s="76">
        <f>AM616+AN616-O616*Escenarios!$F$13/Escenarios!$F$16</f>
        <v>0</v>
      </c>
      <c r="AP616" s="76">
        <f t="shared" si="131"/>
        <v>0.25153550726321589</v>
      </c>
      <c r="AQ616" s="76">
        <f t="shared" si="132"/>
        <v>0</v>
      </c>
      <c r="AR616" s="76">
        <f t="shared" si="133"/>
        <v>0.2515355072632301</v>
      </c>
      <c r="AS616" s="76">
        <f t="shared" si="134"/>
        <v>0</v>
      </c>
      <c r="AT616" s="76">
        <f t="shared" si="135"/>
        <v>0</v>
      </c>
      <c r="AU616" s="76">
        <f t="shared" si="136"/>
        <v>50.053007539271697</v>
      </c>
      <c r="AV616" s="76">
        <f>MAX(0,(AU616-Constantes!$D$13)*(1-EXP(-Constantes!$D$24)))</f>
        <v>1.9916792166066691E-2</v>
      </c>
      <c r="AW616" s="170">
        <f>AW615+(Entradas!$F$112*AT616-AX615)/(800*Entradas!$D$25)</f>
        <v>0</v>
      </c>
      <c r="AX616" s="170">
        <f>8000*Entradas!$D$26*AW616/Constantes!$F$45</f>
        <v>0</v>
      </c>
      <c r="AY616" s="170">
        <f>IF(Escenarios!$F$17&gt;0,10*Escenarios!$F$16*AL616,0)</f>
        <v>0</v>
      </c>
      <c r="AZ616" s="170">
        <f>IF(Escenarios!$F$17&gt;0,10*Escenarios!$F$16*AX616,0)</f>
        <v>0</v>
      </c>
      <c r="BA616" s="170">
        <f>IF(Escenarios!$F$17&gt;0,0.001*Observaciones!$F615*Escenarios!$F$17,0)</f>
        <v>0</v>
      </c>
      <c r="BB616" s="170">
        <f>IF(Escenarios!$F$17&gt;0,Observaciones!$K615,0)</f>
        <v>0</v>
      </c>
      <c r="BC616" s="170">
        <f>IF(Escenarios!$F$17&gt;0,MIN(0.0005*ETo!$M615*Escenarios!$F$17*(BG615/Constantes!$F$40)^(2/3),BG615+AY616+AZ616+BA616+BB616),0)</f>
        <v>0</v>
      </c>
      <c r="BD616" s="170">
        <f>IF(Escenarios!$F$17&gt;0,MIN(Constantes!$F$39*(BG615/Constantes!$F$40)^(2/3),BG615+AY616+AZ616+BA616+BB616-BC616),0)</f>
        <v>0</v>
      </c>
      <c r="BE616" s="170">
        <f>IF(Escenarios!$F$17&gt;0,MIN(Entradas!$F$113,BG615+AY616+AZ616+BA616+BB616-BC616-BD616),0)</f>
        <v>0</v>
      </c>
      <c r="BF616" s="170">
        <f>IF(Escenarios!$F$17&gt;0,MAX(0,BG615+AY616+AZ616+BA616+BB616-BC616-BD616-BE616-Constantes!$F$40),0)</f>
        <v>0</v>
      </c>
      <c r="BG616" s="170">
        <f t="shared" si="137"/>
        <v>0</v>
      </c>
      <c r="BH616" s="170">
        <f>(Escenarios!$F$16*AK616+0.1*BC616)/(Escenarios!$F$19)</f>
        <v>0.17219155006356324</v>
      </c>
      <c r="BI616" s="170">
        <f>IF(Escenarios!$F$17&gt;0,BF616/10/Escenarios!$F$19,AL616)</f>
        <v>0</v>
      </c>
      <c r="BJ616" s="170">
        <f>(Escenarios!$F$16*AT616+0.1*BD616)/(Escenarios!$F$19)</f>
        <v>0</v>
      </c>
      <c r="BK616" s="76">
        <f>BK615+(0.1*BD616)/(Escenarios!$F$19)-BL615</f>
        <v>48.75</v>
      </c>
      <c r="BL616" s="76">
        <f>MAX(0,(BK616-Constantes!$D$13)*(1-EXP(-Constantes!$D$23)))</f>
        <v>0</v>
      </c>
      <c r="BM616" s="76">
        <f t="shared" si="138"/>
        <v>0.27145229942928256</v>
      </c>
      <c r="BN616" s="76">
        <f t="shared" si="139"/>
        <v>0.27145229942929677</v>
      </c>
      <c r="BO616" s="76">
        <f>0.0526*BI616*Observaciones!$F615^1.218</f>
        <v>0</v>
      </c>
      <c r="BP616" s="76">
        <f>BO616*Constantes!$F$51</f>
        <v>0</v>
      </c>
      <c r="BQ616" s="76">
        <f t="shared" si="140"/>
        <v>0</v>
      </c>
      <c r="BR616" s="40"/>
    </row>
    <row r="617" spans="2:70">
      <c r="B617" s="39"/>
      <c r="C617" s="75">
        <v>611</v>
      </c>
      <c r="D617" s="146">
        <f>ETo!$I616*((1-Constantes!$F$19)*ETo!$K616+ETo!$L616)</f>
        <v>3.6209358219809213</v>
      </c>
      <c r="E617" s="76">
        <f>MIN(D617*Constantes!$F$17,0.8*(N616+Observaciones!$F616-F617-M617-Constantes!$D$14))</f>
        <v>3.7942982089589354E-13</v>
      </c>
      <c r="F617" s="76">
        <f>IF(Observaciones!$F616&gt;0.05*Constantes!$F$18,((Observaciones!$F616-0.05*Constantes!$F$18)^2)/(Observaciones!$F616+0.95*Constantes!$F$18),0)</f>
        <v>0</v>
      </c>
      <c r="G617" s="76">
        <f>IF(Escenarios!$F$11&gt;0,(F617*Escenarios!$F$16*10000)/1000,0)</f>
        <v>0</v>
      </c>
      <c r="H617" s="76">
        <f>IF(Escenarios!$F$11&gt;0,(Observaciones!$F616*Constantes!$F$29)/1000,0)</f>
        <v>0</v>
      </c>
      <c r="I617" s="76">
        <f>IF(Escenarios!$F$11&gt;0,(D617*Constantes!$F$29)/1000,0)</f>
        <v>0</v>
      </c>
      <c r="J617" s="76">
        <f>IF(Escenarios!$F$11&gt;0,MAX(0,G617+H617-I617),0)</f>
        <v>0</v>
      </c>
      <c r="K617" s="76">
        <f>IF(Escenarios!$F$11&gt;0,IF(J617&gt;Constantes!$F$30,1000*((J617-Constantes!$F$30)/(Escenarios!$F$16*10000)),0),F617)</f>
        <v>0</v>
      </c>
      <c r="L617" s="76">
        <f>IF(Escenarios!$F$11&gt;0,I617*1000/Escenarios!$F$16/10000+E617,E617)</f>
        <v>3.7942982089589354E-13</v>
      </c>
      <c r="M617" s="76">
        <f>MAX(0,N616+Observaciones!$F616-K617-Constantes!$D$13)</f>
        <v>0</v>
      </c>
      <c r="N617" s="76">
        <f>N616+Observaciones!$F616-K617-L617-M617-O616</f>
        <v>11.250000000000078</v>
      </c>
      <c r="O617" s="76">
        <f>MAX(0,(N617-Constantes!$D$14)*(1-EXP(-Constantes!$D$22)))</f>
        <v>2.6624063439349641E-15</v>
      </c>
      <c r="P617" s="170">
        <f>P616+(Entradas!$F$83*M617-Q616)/(800*Entradas!$D$25)</f>
        <v>0</v>
      </c>
      <c r="Q617" s="170">
        <f>8000*Entradas!$D$26*P617/Constantes!$F$45</f>
        <v>0</v>
      </c>
      <c r="R617" s="170">
        <f>IF(Escenarios!$F$14&gt;0,K617*Escenarios!$F$13/Escenarios!$F$14,0)</f>
        <v>0</v>
      </c>
      <c r="S617" s="170">
        <f>IF(Escenarios!$F$14&gt;0,Q617*Escenarios!$F$13/Escenarios!$F$14,0)</f>
        <v>0</v>
      </c>
      <c r="T617" s="170">
        <f>IF(Escenarios!$F$14&gt;0,Observaciones!$I616,0)</f>
        <v>0</v>
      </c>
      <c r="U617" s="170">
        <f>IF(Escenarios!$F$14&gt;0,MAX(0,Constantes!$F$36/((Z616+R617+S617+T617+Observaciones!$F616)^2)+Entradas!$F$77),0)</f>
        <v>0</v>
      </c>
      <c r="V617" s="146">
        <f>IF(ETo!D616&gt;0,ETo!I616*((1-Entradas!$F$81)*ETo!K616+ETo!L616),0)</f>
        <v>3.1966601978385003</v>
      </c>
      <c r="W617" s="170">
        <f>IF(Escenarios!$F$14&gt;0,MIN(V617*1,0.8*(Z616+R617+S617+T617+Observaciones!$F616-U617-Constantes!$F$35)),0)</f>
        <v>3.4617642086232084E-12</v>
      </c>
      <c r="X617" s="170">
        <f>IF(Escenarios!$F$14&gt;0,Observaciones!$J616,0)</f>
        <v>0</v>
      </c>
      <c r="Y617" s="170">
        <f>IF(Escenarios!$F$14&gt;0,MAX(0,Z616+R617+S617+T617+Observaciones!$F616-U617-W617-X617-Constantes!$F$33),0)</f>
        <v>0</v>
      </c>
      <c r="Z617" s="170">
        <f>Z616+R617+S617+T617+Observaciones!$F616-U617-W617-Y617</f>
        <v>41.250000000000867</v>
      </c>
      <c r="AA617" s="170">
        <f>IF(Escenarios!$F$14&gt;0,(Escenarios!$F$13*L617+Escenarios!$F$14*W617)/(Escenarios!$F$16),L617)</f>
        <v>7.4930994742317137E-13</v>
      </c>
      <c r="AB617" s="170">
        <f>IF(Escenarios!$F$14&gt;0,(Escenarios!$F$14*Y617)/(Escenarios!$F$16),K617)</f>
        <v>0</v>
      </c>
      <c r="AC617" s="170">
        <f>IF(Escenarios!$F$14&gt;0,(Escenarios!$F$13*M617+Escenarios!$F$14*U617)/(Escenarios!$F$16),M617)</f>
        <v>0</v>
      </c>
      <c r="AD617" s="76">
        <f t="shared" si="127"/>
        <v>74.026671832424768</v>
      </c>
      <c r="AE617" s="76">
        <f>MAX(0,(AD617-Constantes!$D$13)*(1-EXP(-Constantes!$D$23)))</f>
        <v>0.24905706799906127</v>
      </c>
      <c r="AF617" s="76">
        <f>AB617+O617*Escenarios!$F$13/Escenarios!$F$16+AE617</f>
        <v>0.2490570679990636</v>
      </c>
      <c r="AG617" s="76">
        <f>IF(Entradas!$F$91&gt;0,IF(AF617-Escenarios!$F$38&lt;=0,0,IF(AF617-Escenarios!$F$38&gt;Escenarios!$F$37,Escenarios!$F$37,AF617-Escenarios!$F$38)),0)</f>
        <v>0</v>
      </c>
      <c r="AH617" s="76">
        <f>AG617*Entradas!$F$99</f>
        <v>0</v>
      </c>
      <c r="AI617" s="76">
        <f>IF(Entradas!$F$91&gt;0,D617*Entradas!$D$23/Escenarios!$F$16,0)</f>
        <v>0.17380491945508422</v>
      </c>
      <c r="AJ617" s="76">
        <f>IF(Entradas!$F$91&gt;0,Entradas!$D$24*Entradas!$D$22/Escenarios!$F$16,0)</f>
        <v>0.12</v>
      </c>
      <c r="AK617" s="76">
        <f t="shared" si="128"/>
        <v>0.17380491945583354</v>
      </c>
      <c r="AL617" s="76">
        <f t="shared" si="129"/>
        <v>0</v>
      </c>
      <c r="AM617" s="76">
        <f t="shared" si="130"/>
        <v>0</v>
      </c>
      <c r="AN617" s="76">
        <f>MAX(0,O617*Escenarios!$F$13/Escenarios!$F$16-AM617)</f>
        <v>2.3429175826627683E-15</v>
      </c>
      <c r="AO617" s="76">
        <f>AM617+AN617-O617*Escenarios!$F$13/Escenarios!$F$16</f>
        <v>0</v>
      </c>
      <c r="AP617" s="76">
        <f t="shared" si="131"/>
        <v>0.24905706799906127</v>
      </c>
      <c r="AQ617" s="76">
        <f t="shared" si="132"/>
        <v>0</v>
      </c>
      <c r="AR617" s="76">
        <f t="shared" si="133"/>
        <v>0.2490570679990636</v>
      </c>
      <c r="AS617" s="76">
        <f t="shared" si="134"/>
        <v>0</v>
      </c>
      <c r="AT617" s="76">
        <f t="shared" si="135"/>
        <v>0</v>
      </c>
      <c r="AU617" s="76">
        <f t="shared" si="136"/>
        <v>50.033090747105632</v>
      </c>
      <c r="AV617" s="76">
        <f>MAX(0,(AU617-Constantes!$D$13)*(1-EXP(-Constantes!$D$24)))</f>
        <v>1.961235907705481E-2</v>
      </c>
      <c r="AW617" s="170">
        <f>AW616+(Entradas!$F$112*AT617-AX616)/(800*Entradas!$D$25)</f>
        <v>0</v>
      </c>
      <c r="AX617" s="170">
        <f>8000*Entradas!$D$26*AW617/Constantes!$F$45</f>
        <v>0</v>
      </c>
      <c r="AY617" s="170">
        <f>IF(Escenarios!$F$17&gt;0,10*Escenarios!$F$16*AL617,0)</f>
        <v>0</v>
      </c>
      <c r="AZ617" s="170">
        <f>IF(Escenarios!$F$17&gt;0,10*Escenarios!$F$16*AX617,0)</f>
        <v>0</v>
      </c>
      <c r="BA617" s="170">
        <f>IF(Escenarios!$F$17&gt;0,0.001*Observaciones!$F616*Escenarios!$F$17,0)</f>
        <v>0</v>
      </c>
      <c r="BB617" s="170">
        <f>IF(Escenarios!$F$17&gt;0,Observaciones!$K616,0)</f>
        <v>0</v>
      </c>
      <c r="BC617" s="170">
        <f>IF(Escenarios!$F$17&gt;0,MIN(0.0005*ETo!$M616*Escenarios!$F$17*(BG616/Constantes!$F$40)^(2/3),BG616+AY617+AZ617+BA617+BB617),0)</f>
        <v>0</v>
      </c>
      <c r="BD617" s="170">
        <f>IF(Escenarios!$F$17&gt;0,MIN(Constantes!$F$39*(BG616/Constantes!$F$40)^(2/3),BG616+AY617+AZ617+BA617+BB617-BC617),0)</f>
        <v>0</v>
      </c>
      <c r="BE617" s="170">
        <f>IF(Escenarios!$F$17&gt;0,MIN(Entradas!$F$113,BG616+AY617+AZ617+BA617+BB617-BC617-BD617),0)</f>
        <v>0</v>
      </c>
      <c r="BF617" s="170">
        <f>IF(Escenarios!$F$17&gt;0,MAX(0,BG616+AY617+AZ617+BA617+BB617-BC617-BD617-BE617-Constantes!$F$40),0)</f>
        <v>0</v>
      </c>
      <c r="BG617" s="170">
        <f t="shared" si="137"/>
        <v>0</v>
      </c>
      <c r="BH617" s="170">
        <f>(Escenarios!$F$16*AK617+0.1*BC617)/(Escenarios!$F$19)</f>
        <v>0.17380491945583354</v>
      </c>
      <c r="BI617" s="170">
        <f>IF(Escenarios!$F$17&gt;0,BF617/10/Escenarios!$F$19,AL617)</f>
        <v>0</v>
      </c>
      <c r="BJ617" s="170">
        <f>(Escenarios!$F$16*AT617+0.1*BD617)/(Escenarios!$F$19)</f>
        <v>0</v>
      </c>
      <c r="BK617" s="76">
        <f>BK616+(0.1*BD617)/(Escenarios!$F$19)-BL616</f>
        <v>48.75</v>
      </c>
      <c r="BL617" s="76">
        <f>MAX(0,(BK617-Constantes!$D$13)*(1-EXP(-Constantes!$D$23)))</f>
        <v>0</v>
      </c>
      <c r="BM617" s="76">
        <f t="shared" si="138"/>
        <v>0.26866942707611607</v>
      </c>
      <c r="BN617" s="76">
        <f t="shared" si="139"/>
        <v>0.26866942707611841</v>
      </c>
      <c r="BO617" s="76">
        <f>0.0526*BI617*Observaciones!$F616^1.218</f>
        <v>0</v>
      </c>
      <c r="BP617" s="76">
        <f>BO617*Constantes!$F$51</f>
        <v>0</v>
      </c>
      <c r="BQ617" s="76">
        <f t="shared" si="140"/>
        <v>0</v>
      </c>
      <c r="BR617" s="40"/>
    </row>
    <row r="618" spans="2:70">
      <c r="B618" s="39"/>
      <c r="C618" s="75">
        <v>612</v>
      </c>
      <c r="D618" s="146">
        <f>ETo!$I617*((1-Constantes!$F$19)*ETo!$K617+ETo!$L617)</f>
        <v>3.5267756943978927</v>
      </c>
      <c r="E618" s="76">
        <f>MIN(D618*Constantes!$F$17,0.8*(N617+Observaciones!$F617-F618-M618-Constantes!$D$14))</f>
        <v>6.2527760746888821E-14</v>
      </c>
      <c r="F618" s="76">
        <f>IF(Observaciones!$F617&gt;0.05*Constantes!$F$18,((Observaciones!$F617-0.05*Constantes!$F$18)^2)/(Observaciones!$F617+0.95*Constantes!$F$18),0)</f>
        <v>0</v>
      </c>
      <c r="G618" s="76">
        <f>IF(Escenarios!$F$11&gt;0,(F618*Escenarios!$F$16*10000)/1000,0)</f>
        <v>0</v>
      </c>
      <c r="H618" s="76">
        <f>IF(Escenarios!$F$11&gt;0,(Observaciones!$F617*Constantes!$F$29)/1000,0)</f>
        <v>0</v>
      </c>
      <c r="I618" s="76">
        <f>IF(Escenarios!$F$11&gt;0,(D618*Constantes!$F$29)/1000,0)</f>
        <v>0</v>
      </c>
      <c r="J618" s="76">
        <f>IF(Escenarios!$F$11&gt;0,MAX(0,G618+H618-I618),0)</f>
        <v>0</v>
      </c>
      <c r="K618" s="76">
        <f>IF(Escenarios!$F$11&gt;0,IF(J618&gt;Constantes!$F$30,1000*((J618-Constantes!$F$30)/(Escenarios!$F$16*10000)),0),F618)</f>
        <v>0</v>
      </c>
      <c r="L618" s="76">
        <f>IF(Escenarios!$F$11&gt;0,I618*1000/Escenarios!$F$16/10000+E618,E618)</f>
        <v>6.2527760746888821E-14</v>
      </c>
      <c r="M618" s="76">
        <f>MAX(0,N617+Observaciones!$F617-K618-Constantes!$D$13)</f>
        <v>0</v>
      </c>
      <c r="N618" s="76">
        <f>N617+Observaciones!$F617-K618-L618-M618-O617</f>
        <v>11.250000000000014</v>
      </c>
      <c r="O618" s="76">
        <f>MAX(0,(N618-Constantes!$D$14)*(1-EXP(-Constantes!$D$22)))</f>
        <v>4.8407388071544802E-16</v>
      </c>
      <c r="P618" s="170">
        <f>P617+(Entradas!$F$83*M618-Q617)/(800*Entradas!$D$25)</f>
        <v>0</v>
      </c>
      <c r="Q618" s="170">
        <f>8000*Entradas!$D$26*P618/Constantes!$F$45</f>
        <v>0</v>
      </c>
      <c r="R618" s="170">
        <f>IF(Escenarios!$F$14&gt;0,K618*Escenarios!$F$13/Escenarios!$F$14,0)</f>
        <v>0</v>
      </c>
      <c r="S618" s="170">
        <f>IF(Escenarios!$F$14&gt;0,Q618*Escenarios!$F$13/Escenarios!$F$14,0)</f>
        <v>0</v>
      </c>
      <c r="T618" s="170">
        <f>IF(Escenarios!$F$14&gt;0,Observaciones!$I617,0)</f>
        <v>0</v>
      </c>
      <c r="U618" s="170">
        <f>IF(Escenarios!$F$14&gt;0,MAX(0,Constantes!$F$36/((Z617+R618+S618+T618+Observaciones!$F617)^2)+Entradas!$F$77),0)</f>
        <v>0</v>
      </c>
      <c r="V618" s="146">
        <f>IF(ETo!D617&gt;0,ETo!I617*((1-Entradas!$F$81)*ETo!K617+ETo!L617),0)</f>
        <v>3.1130389113585251</v>
      </c>
      <c r="W618" s="170">
        <f>IF(Escenarios!$F$14&gt;0,MIN(V618*1,0.8*(Z617+R618+S618+T618+Observaciones!$F617-U618-Constantes!$F$35)),0)</f>
        <v>6.9348971010185784E-13</v>
      </c>
      <c r="X618" s="170">
        <f>IF(Escenarios!$F$14&gt;0,Observaciones!$J617,0)</f>
        <v>0</v>
      </c>
      <c r="Y618" s="170">
        <f>IF(Escenarios!$F$14&gt;0,MAX(0,Z617+R618+S618+T618+Observaciones!$F617-U618-W618-X618-Constantes!$F$33),0)</f>
        <v>0</v>
      </c>
      <c r="Z618" s="170">
        <f>Z617+R618+S618+T618+Observaciones!$F617-U618-W618-Y618</f>
        <v>41.250000000000171</v>
      </c>
      <c r="AA618" s="170">
        <f>IF(Escenarios!$F$14&gt;0,(Escenarios!$F$13*L618+Escenarios!$F$14*W618)/(Escenarios!$F$16),L618)</f>
        <v>1.3824319466948511E-13</v>
      </c>
      <c r="AB618" s="170">
        <f>IF(Escenarios!$F$14&gt;0,(Escenarios!$F$14*Y618)/(Escenarios!$F$16),K618)</f>
        <v>0</v>
      </c>
      <c r="AC618" s="170">
        <f>IF(Escenarios!$F$14&gt;0,(Escenarios!$F$13*M618+Escenarios!$F$14*U618)/(Escenarios!$F$16),M618)</f>
        <v>0</v>
      </c>
      <c r="AD618" s="76">
        <f t="shared" si="127"/>
        <v>73.777614764425707</v>
      </c>
      <c r="AE618" s="76">
        <f>MAX(0,(AD618-Constantes!$D$13)*(1-EXP(-Constantes!$D$23)))</f>
        <v>0.2466030493872946</v>
      </c>
      <c r="AF618" s="76">
        <f>AB618+O618*Escenarios!$F$13/Escenarios!$F$16+AE618</f>
        <v>0.24660304938729502</v>
      </c>
      <c r="AG618" s="76">
        <f>IF(Entradas!$F$91&gt;0,IF(AF618-Escenarios!$F$38&lt;=0,0,IF(AF618-Escenarios!$F$38&gt;Escenarios!$F$37,Escenarios!$F$37,AF618-Escenarios!$F$38)),0)</f>
        <v>0</v>
      </c>
      <c r="AH618" s="76">
        <f>AG618*Entradas!$F$99</f>
        <v>0</v>
      </c>
      <c r="AI618" s="76">
        <f>IF(Entradas!$F$91&gt;0,D618*Entradas!$D$23/Escenarios!$F$16,0)</f>
        <v>0.16928523333109885</v>
      </c>
      <c r="AJ618" s="76">
        <f>IF(Entradas!$F$91&gt;0,Entradas!$D$24*Entradas!$D$22/Escenarios!$F$16,0)</f>
        <v>0.12</v>
      </c>
      <c r="AK618" s="76">
        <f t="shared" si="128"/>
        <v>0.1692852333312371</v>
      </c>
      <c r="AL618" s="76">
        <f t="shared" si="129"/>
        <v>0</v>
      </c>
      <c r="AM618" s="76">
        <f t="shared" si="130"/>
        <v>0</v>
      </c>
      <c r="AN618" s="76">
        <f>MAX(0,O618*Escenarios!$F$13/Escenarios!$F$16-AM618)</f>
        <v>4.2598501502959427E-16</v>
      </c>
      <c r="AO618" s="76">
        <f>AM618+AN618-O618*Escenarios!$F$13/Escenarios!$F$16</f>
        <v>0</v>
      </c>
      <c r="AP618" s="76">
        <f t="shared" si="131"/>
        <v>0.2466030493872946</v>
      </c>
      <c r="AQ618" s="76">
        <f t="shared" si="132"/>
        <v>0</v>
      </c>
      <c r="AR618" s="76">
        <f t="shared" si="133"/>
        <v>0.24660304938729502</v>
      </c>
      <c r="AS618" s="76">
        <f t="shared" si="134"/>
        <v>0</v>
      </c>
      <c r="AT618" s="76">
        <f t="shared" si="135"/>
        <v>0</v>
      </c>
      <c r="AU618" s="76">
        <f t="shared" si="136"/>
        <v>50.013478388028574</v>
      </c>
      <c r="AV618" s="76">
        <f>MAX(0,(AU618-Constantes!$D$13)*(1-EXP(-Constantes!$D$24)))</f>
        <v>1.9312579323023323E-2</v>
      </c>
      <c r="AW618" s="170">
        <f>AW617+(Entradas!$F$112*AT618-AX617)/(800*Entradas!$D$25)</f>
        <v>0</v>
      </c>
      <c r="AX618" s="170">
        <f>8000*Entradas!$D$26*AW618/Constantes!$F$45</f>
        <v>0</v>
      </c>
      <c r="AY618" s="170">
        <f>IF(Escenarios!$F$17&gt;0,10*Escenarios!$F$16*AL618,0)</f>
        <v>0</v>
      </c>
      <c r="AZ618" s="170">
        <f>IF(Escenarios!$F$17&gt;0,10*Escenarios!$F$16*AX618,0)</f>
        <v>0</v>
      </c>
      <c r="BA618" s="170">
        <f>IF(Escenarios!$F$17&gt;0,0.001*Observaciones!$F617*Escenarios!$F$17,0)</f>
        <v>0</v>
      </c>
      <c r="BB618" s="170">
        <f>IF(Escenarios!$F$17&gt;0,Observaciones!$K617,0)</f>
        <v>0</v>
      </c>
      <c r="BC618" s="170">
        <f>IF(Escenarios!$F$17&gt;0,MIN(0.0005*ETo!$M617*Escenarios!$F$17*(BG617/Constantes!$F$40)^(2/3),BG617+AY618+AZ618+BA618+BB618),0)</f>
        <v>0</v>
      </c>
      <c r="BD618" s="170">
        <f>IF(Escenarios!$F$17&gt;0,MIN(Constantes!$F$39*(BG617/Constantes!$F$40)^(2/3),BG617+AY618+AZ618+BA618+BB618-BC618),0)</f>
        <v>0</v>
      </c>
      <c r="BE618" s="170">
        <f>IF(Escenarios!$F$17&gt;0,MIN(Entradas!$F$113,BG617+AY618+AZ618+BA618+BB618-BC618-BD618),0)</f>
        <v>0</v>
      </c>
      <c r="BF618" s="170">
        <f>IF(Escenarios!$F$17&gt;0,MAX(0,BG617+AY618+AZ618+BA618+BB618-BC618-BD618-BE618-Constantes!$F$40),0)</f>
        <v>0</v>
      </c>
      <c r="BG618" s="170">
        <f t="shared" si="137"/>
        <v>0</v>
      </c>
      <c r="BH618" s="170">
        <f>(Escenarios!$F$16*AK618+0.1*BC618)/(Escenarios!$F$19)</f>
        <v>0.1692852333312371</v>
      </c>
      <c r="BI618" s="170">
        <f>IF(Escenarios!$F$17&gt;0,BF618/10/Escenarios!$F$19,AL618)</f>
        <v>0</v>
      </c>
      <c r="BJ618" s="170">
        <f>(Escenarios!$F$16*AT618+0.1*BD618)/(Escenarios!$F$19)</f>
        <v>0</v>
      </c>
      <c r="BK618" s="76">
        <f>BK617+(0.1*BD618)/(Escenarios!$F$19)-BL617</f>
        <v>48.75</v>
      </c>
      <c r="BL618" s="76">
        <f>MAX(0,(BK618-Constantes!$D$13)*(1-EXP(-Constantes!$D$23)))</f>
        <v>0</v>
      </c>
      <c r="BM618" s="76">
        <f t="shared" si="138"/>
        <v>0.26591562871031793</v>
      </c>
      <c r="BN618" s="76">
        <f t="shared" si="139"/>
        <v>0.26591562871031832</v>
      </c>
      <c r="BO618" s="76">
        <f>0.0526*BI618*Observaciones!$F617^1.218</f>
        <v>0</v>
      </c>
      <c r="BP618" s="76">
        <f>BO618*Constantes!$F$51</f>
        <v>0</v>
      </c>
      <c r="BQ618" s="76">
        <f t="shared" si="140"/>
        <v>0</v>
      </c>
      <c r="BR618" s="40"/>
    </row>
    <row r="619" spans="2:70">
      <c r="B619" s="39"/>
      <c r="C619" s="75">
        <v>613</v>
      </c>
      <c r="D619" s="146">
        <f>ETo!$I618*((1-Constantes!$F$19)*ETo!$K618+ETo!$L618)</f>
        <v>3.6119529469045606</v>
      </c>
      <c r="E619" s="76">
        <f>MIN(D619*Constantes!$F$17,0.8*(N618+Observaciones!$F618-F619-M619-Constantes!$D$14))</f>
        <v>1.1368683772161604E-14</v>
      </c>
      <c r="F619" s="76">
        <f>IF(Observaciones!$F618&gt;0.05*Constantes!$F$18,((Observaciones!$F618-0.05*Constantes!$F$18)^2)/(Observaciones!$F618+0.95*Constantes!$F$18),0)</f>
        <v>0</v>
      </c>
      <c r="G619" s="76">
        <f>IF(Escenarios!$F$11&gt;0,(F619*Escenarios!$F$16*10000)/1000,0)</f>
        <v>0</v>
      </c>
      <c r="H619" s="76">
        <f>IF(Escenarios!$F$11&gt;0,(Observaciones!$F618*Constantes!$F$29)/1000,0)</f>
        <v>0</v>
      </c>
      <c r="I619" s="76">
        <f>IF(Escenarios!$F$11&gt;0,(D619*Constantes!$F$29)/1000,0)</f>
        <v>0</v>
      </c>
      <c r="J619" s="76">
        <f>IF(Escenarios!$F$11&gt;0,MAX(0,G619+H619-I619),0)</f>
        <v>0</v>
      </c>
      <c r="K619" s="76">
        <f>IF(Escenarios!$F$11&gt;0,IF(J619&gt;Constantes!$F$30,1000*((J619-Constantes!$F$30)/(Escenarios!$F$16*10000)),0),F619)</f>
        <v>0</v>
      </c>
      <c r="L619" s="76">
        <f>IF(Escenarios!$F$11&gt;0,I619*1000/Escenarios!$F$16/10000+E619,E619)</f>
        <v>1.1368683772161604E-14</v>
      </c>
      <c r="M619" s="76">
        <f>MAX(0,N618+Observaciones!$F618-K619-Constantes!$D$13)</f>
        <v>0</v>
      </c>
      <c r="N619" s="76">
        <f>N618+Observaciones!$F618-K619-L619-M619-O618</f>
        <v>11.250000000000004</v>
      </c>
      <c r="O619" s="76">
        <f>MAX(0,(N619-Constantes!$D$14)*(1-EXP(-Constantes!$D$22)))</f>
        <v>1.21018470178862E-16</v>
      </c>
      <c r="P619" s="170">
        <f>P618+(Entradas!$F$83*M619-Q618)/(800*Entradas!$D$25)</f>
        <v>0</v>
      </c>
      <c r="Q619" s="170">
        <f>8000*Entradas!$D$26*P619/Constantes!$F$45</f>
        <v>0</v>
      </c>
      <c r="R619" s="170">
        <f>IF(Escenarios!$F$14&gt;0,K619*Escenarios!$F$13/Escenarios!$F$14,0)</f>
        <v>0</v>
      </c>
      <c r="S619" s="170">
        <f>IF(Escenarios!$F$14&gt;0,Q619*Escenarios!$F$13/Escenarios!$F$14,0)</f>
        <v>0</v>
      </c>
      <c r="T619" s="170">
        <f>IF(Escenarios!$F$14&gt;0,Observaciones!$I618,0)</f>
        <v>0</v>
      </c>
      <c r="U619" s="170">
        <f>IF(Escenarios!$F$14&gt;0,MAX(0,Constantes!$F$36/((Z618+R619+S619+T619+Observaciones!$F618)^2)+Entradas!$F$77),0)</f>
        <v>0</v>
      </c>
      <c r="V619" s="146">
        <f>IF(ETo!D618&gt;0,ETo!I618*((1-Entradas!$F$81)*ETo!K618+ETo!L618),0)</f>
        <v>3.1894488939738319</v>
      </c>
      <c r="W619" s="170">
        <f>IF(Escenarios!$F$14&gt;0,MIN(V619*1,0.8*(Z618+R619+S619+T619+Observaciones!$F618-U619-Constantes!$F$35)),0)</f>
        <v>1.3642420526593926E-13</v>
      </c>
      <c r="X619" s="170">
        <f>IF(Escenarios!$F$14&gt;0,Observaciones!$J618,0)</f>
        <v>0</v>
      </c>
      <c r="Y619" s="170">
        <f>IF(Escenarios!$F$14&gt;0,MAX(0,Z618+R619+S619+T619+Observaciones!$F618-U619-W619-X619-Constantes!$F$33),0)</f>
        <v>0</v>
      </c>
      <c r="Z619" s="170">
        <f>Z618+R619+S619+T619+Observaciones!$F618-U619-W619-Y619</f>
        <v>41.250000000000036</v>
      </c>
      <c r="AA619" s="170">
        <f>IF(Escenarios!$F$14&gt;0,(Escenarios!$F$13*L619+Escenarios!$F$14*W619)/(Escenarios!$F$16),L619)</f>
        <v>2.6375346351414923E-14</v>
      </c>
      <c r="AB619" s="170">
        <f>IF(Escenarios!$F$14&gt;0,(Escenarios!$F$14*Y619)/(Escenarios!$F$16),K619)</f>
        <v>0</v>
      </c>
      <c r="AC619" s="170">
        <f>IF(Escenarios!$F$14&gt;0,(Escenarios!$F$13*M619+Escenarios!$F$14*U619)/(Escenarios!$F$16),M619)</f>
        <v>0</v>
      </c>
      <c r="AD619" s="76">
        <f t="shared" si="127"/>
        <v>73.531011715038417</v>
      </c>
      <c r="AE619" s="76">
        <f>MAX(0,(AD619-Constantes!$D$13)*(1-EXP(-Constantes!$D$23)))</f>
        <v>0.24417321080541141</v>
      </c>
      <c r="AF619" s="76">
        <f>AB619+O619*Escenarios!$F$13/Escenarios!$F$16+AE619</f>
        <v>0.24417321080541152</v>
      </c>
      <c r="AG619" s="76">
        <f>IF(Entradas!$F$91&gt;0,IF(AF619-Escenarios!$F$38&lt;=0,0,IF(AF619-Escenarios!$F$38&gt;Escenarios!$F$37,Escenarios!$F$37,AF619-Escenarios!$F$38)),0)</f>
        <v>0</v>
      </c>
      <c r="AH619" s="76">
        <f>AG619*Entradas!$F$99</f>
        <v>0</v>
      </c>
      <c r="AI619" s="76">
        <f>IF(Entradas!$F$91&gt;0,D619*Entradas!$D$23/Escenarios!$F$16,0)</f>
        <v>0.1733737414514189</v>
      </c>
      <c r="AJ619" s="76">
        <f>IF(Entradas!$F$91&gt;0,Entradas!$D$24*Entradas!$D$22/Escenarios!$F$16,0)</f>
        <v>0.12</v>
      </c>
      <c r="AK619" s="76">
        <f t="shared" si="128"/>
        <v>0.17337374145144527</v>
      </c>
      <c r="AL619" s="76">
        <f t="shared" si="129"/>
        <v>0</v>
      </c>
      <c r="AM619" s="76">
        <f t="shared" si="130"/>
        <v>0</v>
      </c>
      <c r="AN619" s="76">
        <f>MAX(0,O619*Escenarios!$F$13/Escenarios!$F$16-AM619)</f>
        <v>1.0649625375739857E-16</v>
      </c>
      <c r="AO619" s="76">
        <f>AM619+AN619-O619*Escenarios!$F$13/Escenarios!$F$16</f>
        <v>0</v>
      </c>
      <c r="AP619" s="76">
        <f t="shared" si="131"/>
        <v>0.24417321080541141</v>
      </c>
      <c r="AQ619" s="76">
        <f t="shared" si="132"/>
        <v>0</v>
      </c>
      <c r="AR619" s="76">
        <f t="shared" si="133"/>
        <v>0.24417321080541152</v>
      </c>
      <c r="AS619" s="76">
        <f t="shared" si="134"/>
        <v>0</v>
      </c>
      <c r="AT619" s="76">
        <f t="shared" si="135"/>
        <v>0</v>
      </c>
      <c r="AU619" s="76">
        <f t="shared" si="136"/>
        <v>49.994165808705553</v>
      </c>
      <c r="AV619" s="76">
        <f>MAX(0,(AU619-Constantes!$D$13)*(1-EXP(-Constantes!$D$24)))</f>
        <v>1.9017381776597553E-2</v>
      </c>
      <c r="AW619" s="170">
        <f>AW618+(Entradas!$F$112*AT619-AX618)/(800*Entradas!$D$25)</f>
        <v>0</v>
      </c>
      <c r="AX619" s="170">
        <f>8000*Entradas!$D$26*AW619/Constantes!$F$45</f>
        <v>0</v>
      </c>
      <c r="AY619" s="170">
        <f>IF(Escenarios!$F$17&gt;0,10*Escenarios!$F$16*AL619,0)</f>
        <v>0</v>
      </c>
      <c r="AZ619" s="170">
        <f>IF(Escenarios!$F$17&gt;0,10*Escenarios!$F$16*AX619,0)</f>
        <v>0</v>
      </c>
      <c r="BA619" s="170">
        <f>IF(Escenarios!$F$17&gt;0,0.001*Observaciones!$F618*Escenarios!$F$17,0)</f>
        <v>0</v>
      </c>
      <c r="BB619" s="170">
        <f>IF(Escenarios!$F$17&gt;0,Observaciones!$K618,0)</f>
        <v>0</v>
      </c>
      <c r="BC619" s="170">
        <f>IF(Escenarios!$F$17&gt;0,MIN(0.0005*ETo!$M618*Escenarios!$F$17*(BG618/Constantes!$F$40)^(2/3),BG618+AY619+AZ619+BA619+BB619),0)</f>
        <v>0</v>
      </c>
      <c r="BD619" s="170">
        <f>IF(Escenarios!$F$17&gt;0,MIN(Constantes!$F$39*(BG618/Constantes!$F$40)^(2/3),BG618+AY619+AZ619+BA619+BB619-BC619),0)</f>
        <v>0</v>
      </c>
      <c r="BE619" s="170">
        <f>IF(Escenarios!$F$17&gt;0,MIN(Entradas!$F$113,BG618+AY619+AZ619+BA619+BB619-BC619-BD619),0)</f>
        <v>0</v>
      </c>
      <c r="BF619" s="170">
        <f>IF(Escenarios!$F$17&gt;0,MAX(0,BG618+AY619+AZ619+BA619+BB619-BC619-BD619-BE619-Constantes!$F$40),0)</f>
        <v>0</v>
      </c>
      <c r="BG619" s="170">
        <f t="shared" si="137"/>
        <v>0</v>
      </c>
      <c r="BH619" s="170">
        <f>(Escenarios!$F$16*AK619+0.1*BC619)/(Escenarios!$F$19)</f>
        <v>0.17337374145144527</v>
      </c>
      <c r="BI619" s="170">
        <f>IF(Escenarios!$F$17&gt;0,BF619/10/Escenarios!$F$19,AL619)</f>
        <v>0</v>
      </c>
      <c r="BJ619" s="170">
        <f>(Escenarios!$F$16*AT619+0.1*BD619)/(Escenarios!$F$19)</f>
        <v>0</v>
      </c>
      <c r="BK619" s="76">
        <f>BK618+(0.1*BD619)/(Escenarios!$F$19)-BL618</f>
        <v>48.75</v>
      </c>
      <c r="BL619" s="76">
        <f>MAX(0,(BK619-Constantes!$D$13)*(1-EXP(-Constantes!$D$23)))</f>
        <v>0</v>
      </c>
      <c r="BM619" s="76">
        <f t="shared" si="138"/>
        <v>0.26319059258200894</v>
      </c>
      <c r="BN619" s="76">
        <f t="shared" si="139"/>
        <v>0.26319059258200905</v>
      </c>
      <c r="BO619" s="76">
        <f>0.0526*BI619*Observaciones!$F618^1.218</f>
        <v>0</v>
      </c>
      <c r="BP619" s="76">
        <f>BO619*Constantes!$F$51</f>
        <v>0</v>
      </c>
      <c r="BQ619" s="76">
        <f t="shared" si="140"/>
        <v>0</v>
      </c>
      <c r="BR619" s="40"/>
    </row>
    <row r="620" spans="2:70">
      <c r="B620" s="39"/>
      <c r="C620" s="75">
        <v>614</v>
      </c>
      <c r="D620" s="146">
        <f>ETo!$I619*((1-Constantes!$F$19)*ETo!$K619+ETo!$L619)</f>
        <v>3.5043212084497548</v>
      </c>
      <c r="E620" s="76">
        <f>MIN(D620*Constantes!$F$17,0.8*(N619+Observaciones!$F619-F620-M620-Constantes!$D$14))</f>
        <v>2.8421709430404009E-15</v>
      </c>
      <c r="F620" s="76">
        <f>IF(Observaciones!$F619&gt;0.05*Constantes!$F$18,((Observaciones!$F619-0.05*Constantes!$F$18)^2)/(Observaciones!$F619+0.95*Constantes!$F$18),0)</f>
        <v>0</v>
      </c>
      <c r="G620" s="76">
        <f>IF(Escenarios!$F$11&gt;0,(F620*Escenarios!$F$16*10000)/1000,0)</f>
        <v>0</v>
      </c>
      <c r="H620" s="76">
        <f>IF(Escenarios!$F$11&gt;0,(Observaciones!$F619*Constantes!$F$29)/1000,0)</f>
        <v>0</v>
      </c>
      <c r="I620" s="76">
        <f>IF(Escenarios!$F$11&gt;0,(D620*Constantes!$F$29)/1000,0)</f>
        <v>0</v>
      </c>
      <c r="J620" s="76">
        <f>IF(Escenarios!$F$11&gt;0,MAX(0,G620+H620-I620),0)</f>
        <v>0</v>
      </c>
      <c r="K620" s="76">
        <f>IF(Escenarios!$F$11&gt;0,IF(J620&gt;Constantes!$F$30,1000*((J620-Constantes!$F$30)/(Escenarios!$F$16*10000)),0),F620)</f>
        <v>0</v>
      </c>
      <c r="L620" s="76">
        <f>IF(Escenarios!$F$11&gt;0,I620*1000/Escenarios!$F$16/10000+E620,E620)</f>
        <v>2.8421709430404009E-15</v>
      </c>
      <c r="M620" s="76">
        <f>MAX(0,N619+Observaciones!$F619-K620-Constantes!$D$13)</f>
        <v>0</v>
      </c>
      <c r="N620" s="76">
        <f>N619+Observaciones!$F619-K620-L620-M620-O619</f>
        <v>11.25</v>
      </c>
      <c r="O620" s="76">
        <f>MAX(0,(N620-Constantes!$D$14)*(1-EXP(-Constantes!$D$22)))</f>
        <v>0</v>
      </c>
      <c r="P620" s="170">
        <f>P619+(Entradas!$F$83*M620-Q619)/(800*Entradas!$D$25)</f>
        <v>0</v>
      </c>
      <c r="Q620" s="170">
        <f>8000*Entradas!$D$26*P620/Constantes!$F$45</f>
        <v>0</v>
      </c>
      <c r="R620" s="170">
        <f>IF(Escenarios!$F$14&gt;0,K620*Escenarios!$F$13/Escenarios!$F$14,0)</f>
        <v>0</v>
      </c>
      <c r="S620" s="170">
        <f>IF(Escenarios!$F$14&gt;0,Q620*Escenarios!$F$13/Escenarios!$F$14,0)</f>
        <v>0</v>
      </c>
      <c r="T620" s="170">
        <f>IF(Escenarios!$F$14&gt;0,Observaciones!$I619,0)</f>
        <v>0</v>
      </c>
      <c r="U620" s="170">
        <f>IF(Escenarios!$F$14&gt;0,MAX(0,Constantes!$F$36/((Z619+R620+S620+T620+Observaciones!$F619)^2)+Entradas!$F$77),0)</f>
        <v>0</v>
      </c>
      <c r="V620" s="146">
        <f>IF(ETo!D619&gt;0,ETo!I619*((1-Entradas!$F$81)*ETo!K619+ETo!L619),0)</f>
        <v>3.093969693739731</v>
      </c>
      <c r="W620" s="170">
        <f>IF(Escenarios!$F$14&gt;0,MIN(V620*1,0.8*(Z619+R620+S620+T620+Observaciones!$F619-U620-Constantes!$F$35)),0)</f>
        <v>2.8421709430404007E-14</v>
      </c>
      <c r="X620" s="170">
        <f>IF(Escenarios!$F$14&gt;0,Observaciones!$J619,0)</f>
        <v>0</v>
      </c>
      <c r="Y620" s="170">
        <f>IF(Escenarios!$F$14&gt;0,MAX(0,Z619+R620+S620+T620+Observaciones!$F619-U620-W620-X620-Constantes!$F$33),0)</f>
        <v>0</v>
      </c>
      <c r="Z620" s="170">
        <f>Z619+R620+S620+T620+Observaciones!$F619-U620-W620-Y620</f>
        <v>41.250000000000007</v>
      </c>
      <c r="AA620" s="170">
        <f>IF(Escenarios!$F$14&gt;0,(Escenarios!$F$13*L620+Escenarios!$F$14*W620)/(Escenarios!$F$16),L620)</f>
        <v>5.9117155615240333E-15</v>
      </c>
      <c r="AB620" s="170">
        <f>IF(Escenarios!$F$14&gt;0,(Escenarios!$F$14*Y620)/(Escenarios!$F$16),K620)</f>
        <v>0</v>
      </c>
      <c r="AC620" s="170">
        <f>IF(Escenarios!$F$14&gt;0,(Escenarios!$F$13*M620+Escenarios!$F$14*U620)/(Escenarios!$F$16),M620)</f>
        <v>0</v>
      </c>
      <c r="AD620" s="76">
        <f t="shared" si="127"/>
        <v>73.286838504233003</v>
      </c>
      <c r="AE620" s="76">
        <f>MAX(0,(AD620-Constantes!$D$13)*(1-EXP(-Constantes!$D$23)))</f>
        <v>0.24176731400181789</v>
      </c>
      <c r="AF620" s="76">
        <f>AB620+O620*Escenarios!$F$13/Escenarios!$F$16+AE620</f>
        <v>0.24176731400181789</v>
      </c>
      <c r="AG620" s="76">
        <f>IF(Entradas!$F$91&gt;0,IF(AF620-Escenarios!$F$38&lt;=0,0,IF(AF620-Escenarios!$F$38&gt;Escenarios!$F$37,Escenarios!$F$37,AF620-Escenarios!$F$38)),0)</f>
        <v>0</v>
      </c>
      <c r="AH620" s="76">
        <f>AG620*Entradas!$F$99</f>
        <v>0</v>
      </c>
      <c r="AI620" s="76">
        <f>IF(Entradas!$F$91&gt;0,D620*Entradas!$D$23/Escenarios!$F$16,0)</f>
        <v>0.16820741800558825</v>
      </c>
      <c r="AJ620" s="76">
        <f>IF(Entradas!$F$91&gt;0,Entradas!$D$24*Entradas!$D$22/Escenarios!$F$16,0)</f>
        <v>0.12</v>
      </c>
      <c r="AK620" s="76">
        <f t="shared" si="128"/>
        <v>0.16820741800559416</v>
      </c>
      <c r="AL620" s="76">
        <f t="shared" si="129"/>
        <v>0</v>
      </c>
      <c r="AM620" s="76">
        <f t="shared" si="130"/>
        <v>0</v>
      </c>
      <c r="AN620" s="76">
        <f>MAX(0,O620*Escenarios!$F$13/Escenarios!$F$16-AM620)</f>
        <v>0</v>
      </c>
      <c r="AO620" s="76">
        <f>AM620+AN620-O620*Escenarios!$F$13/Escenarios!$F$16</f>
        <v>0</v>
      </c>
      <c r="AP620" s="76">
        <f t="shared" si="131"/>
        <v>0.24176731400181789</v>
      </c>
      <c r="AQ620" s="76">
        <f t="shared" si="132"/>
        <v>0</v>
      </c>
      <c r="AR620" s="76">
        <f t="shared" si="133"/>
        <v>0.24176731400181789</v>
      </c>
      <c r="AS620" s="76">
        <f t="shared" si="134"/>
        <v>0</v>
      </c>
      <c r="AT620" s="76">
        <f t="shared" si="135"/>
        <v>0</v>
      </c>
      <c r="AU620" s="76">
        <f t="shared" si="136"/>
        <v>49.975148426928953</v>
      </c>
      <c r="AV620" s="76">
        <f>MAX(0,(AU620-Constantes!$D$13)*(1-EXP(-Constantes!$D$24)))</f>
        <v>1.8726696397601987E-2</v>
      </c>
      <c r="AW620" s="170">
        <f>AW619+(Entradas!$F$112*AT620-AX619)/(800*Entradas!$D$25)</f>
        <v>0</v>
      </c>
      <c r="AX620" s="170">
        <f>8000*Entradas!$D$26*AW620/Constantes!$F$45</f>
        <v>0</v>
      </c>
      <c r="AY620" s="170">
        <f>IF(Escenarios!$F$17&gt;0,10*Escenarios!$F$16*AL620,0)</f>
        <v>0</v>
      </c>
      <c r="AZ620" s="170">
        <f>IF(Escenarios!$F$17&gt;0,10*Escenarios!$F$16*AX620,0)</f>
        <v>0</v>
      </c>
      <c r="BA620" s="170">
        <f>IF(Escenarios!$F$17&gt;0,0.001*Observaciones!$F619*Escenarios!$F$17,0)</f>
        <v>0</v>
      </c>
      <c r="BB620" s="170">
        <f>IF(Escenarios!$F$17&gt;0,Observaciones!$K619,0)</f>
        <v>0</v>
      </c>
      <c r="BC620" s="170">
        <f>IF(Escenarios!$F$17&gt;0,MIN(0.0005*ETo!$M619*Escenarios!$F$17*(BG619/Constantes!$F$40)^(2/3),BG619+AY620+AZ620+BA620+BB620),0)</f>
        <v>0</v>
      </c>
      <c r="BD620" s="170">
        <f>IF(Escenarios!$F$17&gt;0,MIN(Constantes!$F$39*(BG619/Constantes!$F$40)^(2/3),BG619+AY620+AZ620+BA620+BB620-BC620),0)</f>
        <v>0</v>
      </c>
      <c r="BE620" s="170">
        <f>IF(Escenarios!$F$17&gt;0,MIN(Entradas!$F$113,BG619+AY620+AZ620+BA620+BB620-BC620-BD620),0)</f>
        <v>0</v>
      </c>
      <c r="BF620" s="170">
        <f>IF(Escenarios!$F$17&gt;0,MAX(0,BG619+AY620+AZ620+BA620+BB620-BC620-BD620-BE620-Constantes!$F$40),0)</f>
        <v>0</v>
      </c>
      <c r="BG620" s="170">
        <f t="shared" si="137"/>
        <v>0</v>
      </c>
      <c r="BH620" s="170">
        <f>(Escenarios!$F$16*AK620+0.1*BC620)/(Escenarios!$F$19)</f>
        <v>0.16820741800559416</v>
      </c>
      <c r="BI620" s="170">
        <f>IF(Escenarios!$F$17&gt;0,BF620/10/Escenarios!$F$19,AL620)</f>
        <v>0</v>
      </c>
      <c r="BJ620" s="170">
        <f>(Escenarios!$F$16*AT620+0.1*BD620)/(Escenarios!$F$19)</f>
        <v>0</v>
      </c>
      <c r="BK620" s="76">
        <f>BK619+(0.1*BD620)/(Escenarios!$F$19)-BL619</f>
        <v>48.75</v>
      </c>
      <c r="BL620" s="76">
        <f>MAX(0,(BK620-Constantes!$D$13)*(1-EXP(-Constantes!$D$23)))</f>
        <v>0</v>
      </c>
      <c r="BM620" s="76">
        <f t="shared" si="138"/>
        <v>0.26049401039941988</v>
      </c>
      <c r="BN620" s="76">
        <f t="shared" si="139"/>
        <v>0.26049401039941988</v>
      </c>
      <c r="BO620" s="76">
        <f>0.0526*BI620*Observaciones!$F619^1.218</f>
        <v>0</v>
      </c>
      <c r="BP620" s="76">
        <f>BO620*Constantes!$F$51</f>
        <v>0</v>
      </c>
      <c r="BQ620" s="76">
        <f t="shared" si="140"/>
        <v>0</v>
      </c>
      <c r="BR620" s="40"/>
    </row>
    <row r="621" spans="2:70">
      <c r="B621" s="39"/>
      <c r="C621" s="75">
        <v>615</v>
      </c>
      <c r="D621" s="146">
        <f>ETo!$I620*((1-Constantes!$F$19)*ETo!$K620+ETo!$L620)</f>
        <v>3.7635924172459654</v>
      </c>
      <c r="E621" s="76">
        <f>MIN(D621*Constantes!$F$17,0.8*(N620+Observaciones!$F620-F621-M621-Constantes!$D$14))</f>
        <v>0</v>
      </c>
      <c r="F621" s="76">
        <f>IF(Observaciones!$F620&gt;0.05*Constantes!$F$18,((Observaciones!$F620-0.05*Constantes!$F$18)^2)/(Observaciones!$F620+0.95*Constantes!$F$18),0)</f>
        <v>0</v>
      </c>
      <c r="G621" s="76">
        <f>IF(Escenarios!$F$11&gt;0,(F621*Escenarios!$F$16*10000)/1000,0)</f>
        <v>0</v>
      </c>
      <c r="H621" s="76">
        <f>IF(Escenarios!$F$11&gt;0,(Observaciones!$F620*Constantes!$F$29)/1000,0)</f>
        <v>0</v>
      </c>
      <c r="I621" s="76">
        <f>IF(Escenarios!$F$11&gt;0,(D621*Constantes!$F$29)/1000,0)</f>
        <v>0</v>
      </c>
      <c r="J621" s="76">
        <f>IF(Escenarios!$F$11&gt;0,MAX(0,G621+H621-I621),0)</f>
        <v>0</v>
      </c>
      <c r="K621" s="76">
        <f>IF(Escenarios!$F$11&gt;0,IF(J621&gt;Constantes!$F$30,1000*((J621-Constantes!$F$30)/(Escenarios!$F$16*10000)),0),F621)</f>
        <v>0</v>
      </c>
      <c r="L621" s="76">
        <f>IF(Escenarios!$F$11&gt;0,I621*1000/Escenarios!$F$16/10000+E621,E621)</f>
        <v>0</v>
      </c>
      <c r="M621" s="76">
        <f>MAX(0,N620+Observaciones!$F620-K621-Constantes!$D$13)</f>
        <v>0</v>
      </c>
      <c r="N621" s="76">
        <f>N620+Observaciones!$F620-K621-L621-M621-O620</f>
        <v>11.25</v>
      </c>
      <c r="O621" s="76">
        <f>MAX(0,(N621-Constantes!$D$14)*(1-EXP(-Constantes!$D$22)))</f>
        <v>0</v>
      </c>
      <c r="P621" s="170">
        <f>P620+(Entradas!$F$83*M621-Q620)/(800*Entradas!$D$25)</f>
        <v>0</v>
      </c>
      <c r="Q621" s="170">
        <f>8000*Entradas!$D$26*P621/Constantes!$F$45</f>
        <v>0</v>
      </c>
      <c r="R621" s="170">
        <f>IF(Escenarios!$F$14&gt;0,K621*Escenarios!$F$13/Escenarios!$F$14,0)</f>
        <v>0</v>
      </c>
      <c r="S621" s="170">
        <f>IF(Escenarios!$F$14&gt;0,Q621*Escenarios!$F$13/Escenarios!$F$14,0)</f>
        <v>0</v>
      </c>
      <c r="T621" s="170">
        <f>IF(Escenarios!$F$14&gt;0,Observaciones!$I620,0)</f>
        <v>0</v>
      </c>
      <c r="U621" s="170">
        <f>IF(Escenarios!$F$14&gt;0,MAX(0,Constantes!$F$36/((Z620+R621+S621+T621+Observaciones!$F620)^2)+Entradas!$F$77),0)</f>
        <v>0</v>
      </c>
      <c r="V621" s="146">
        <f>IF(ETo!D620&gt;0,ETo!I620*((1-Entradas!$F$81)*ETo!K620+ETo!L620),0)</f>
        <v>3.3259698422851169</v>
      </c>
      <c r="W621" s="170">
        <f>IF(Escenarios!$F$14&gt;0,MIN(V621*1,0.8*(Z620+R621+S621+T621+Observaciones!$F620-U621-Constantes!$F$35)),0)</f>
        <v>5.6843418860808018E-15</v>
      </c>
      <c r="X621" s="170">
        <f>IF(Escenarios!$F$14&gt;0,Observaciones!$J620,0)</f>
        <v>0</v>
      </c>
      <c r="Y621" s="170">
        <f>IF(Escenarios!$F$14&gt;0,MAX(0,Z620+R621+S621+T621+Observaciones!$F620-U621-W621-X621-Constantes!$F$33),0)</f>
        <v>0</v>
      </c>
      <c r="Z621" s="170">
        <f>Z620+R621+S621+T621+Observaciones!$F620-U621-W621-Y621</f>
        <v>41.25</v>
      </c>
      <c r="AA621" s="170">
        <f>IF(Escenarios!$F$14&gt;0,(Escenarios!$F$13*L621+Escenarios!$F$14*W621)/(Escenarios!$F$16),L621)</f>
        <v>6.8212102632969619E-16</v>
      </c>
      <c r="AB621" s="170">
        <f>IF(Escenarios!$F$14&gt;0,(Escenarios!$F$14*Y621)/(Escenarios!$F$16),K621)</f>
        <v>0</v>
      </c>
      <c r="AC621" s="170">
        <f>IF(Escenarios!$F$14&gt;0,(Escenarios!$F$13*M621+Escenarios!$F$14*U621)/(Escenarios!$F$16),M621)</f>
        <v>0</v>
      </c>
      <c r="AD621" s="76">
        <f t="shared" si="127"/>
        <v>73.045071190231184</v>
      </c>
      <c r="AE621" s="76">
        <f>MAX(0,(AD621-Constantes!$D$13)*(1-EXP(-Constantes!$D$23)))</f>
        <v>0.23938512307247015</v>
      </c>
      <c r="AF621" s="76">
        <f>AB621+O621*Escenarios!$F$13/Escenarios!$F$16+AE621</f>
        <v>0.23938512307247015</v>
      </c>
      <c r="AG621" s="76">
        <f>IF(Entradas!$F$91&gt;0,IF(AF621-Escenarios!$F$38&lt;=0,0,IF(AF621-Escenarios!$F$38&gt;Escenarios!$F$37,Escenarios!$F$37,AF621-Escenarios!$F$38)),0)</f>
        <v>0</v>
      </c>
      <c r="AH621" s="76">
        <f>AG621*Entradas!$F$99</f>
        <v>0</v>
      </c>
      <c r="AI621" s="76">
        <f>IF(Entradas!$F$91&gt;0,D621*Entradas!$D$23/Escenarios!$F$16,0)</f>
        <v>0.18065243602780634</v>
      </c>
      <c r="AJ621" s="76">
        <f>IF(Entradas!$F$91&gt;0,Entradas!$D$24*Entradas!$D$22/Escenarios!$F$16,0)</f>
        <v>0.12</v>
      </c>
      <c r="AK621" s="76">
        <f t="shared" si="128"/>
        <v>0.18065243602780703</v>
      </c>
      <c r="AL621" s="76">
        <f t="shared" si="129"/>
        <v>0</v>
      </c>
      <c r="AM621" s="76">
        <f t="shared" si="130"/>
        <v>0</v>
      </c>
      <c r="AN621" s="76">
        <f>MAX(0,O621*Escenarios!$F$13/Escenarios!$F$16-AM621)</f>
        <v>0</v>
      </c>
      <c r="AO621" s="76">
        <f>AM621+AN621-O621*Escenarios!$F$13/Escenarios!$F$16</f>
        <v>0</v>
      </c>
      <c r="AP621" s="76">
        <f t="shared" si="131"/>
        <v>0.23938512307247015</v>
      </c>
      <c r="AQ621" s="76">
        <f t="shared" si="132"/>
        <v>0</v>
      </c>
      <c r="AR621" s="76">
        <f t="shared" si="133"/>
        <v>0.23938512307247015</v>
      </c>
      <c r="AS621" s="76">
        <f t="shared" si="134"/>
        <v>0</v>
      </c>
      <c r="AT621" s="76">
        <f t="shared" si="135"/>
        <v>0</v>
      </c>
      <c r="AU621" s="76">
        <f t="shared" si="136"/>
        <v>49.956421730531353</v>
      </c>
      <c r="AV621" s="76">
        <f>MAX(0,(AU621-Constantes!$D$13)*(1-EXP(-Constantes!$D$24)))</f>
        <v>1.8440454216442772E-2</v>
      </c>
      <c r="AW621" s="170">
        <f>AW620+(Entradas!$F$112*AT621-AX620)/(800*Entradas!$D$25)</f>
        <v>0</v>
      </c>
      <c r="AX621" s="170">
        <f>8000*Entradas!$D$26*AW621/Constantes!$F$45</f>
        <v>0</v>
      </c>
      <c r="AY621" s="170">
        <f>IF(Escenarios!$F$17&gt;0,10*Escenarios!$F$16*AL621,0)</f>
        <v>0</v>
      </c>
      <c r="AZ621" s="170">
        <f>IF(Escenarios!$F$17&gt;0,10*Escenarios!$F$16*AX621,0)</f>
        <v>0</v>
      </c>
      <c r="BA621" s="170">
        <f>IF(Escenarios!$F$17&gt;0,0.001*Observaciones!$F620*Escenarios!$F$17,0)</f>
        <v>0</v>
      </c>
      <c r="BB621" s="170">
        <f>IF(Escenarios!$F$17&gt;0,Observaciones!$K620,0)</f>
        <v>0</v>
      </c>
      <c r="BC621" s="170">
        <f>IF(Escenarios!$F$17&gt;0,MIN(0.0005*ETo!$M620*Escenarios!$F$17*(BG620/Constantes!$F$40)^(2/3),BG620+AY621+AZ621+BA621+BB621),0)</f>
        <v>0</v>
      </c>
      <c r="BD621" s="170">
        <f>IF(Escenarios!$F$17&gt;0,MIN(Constantes!$F$39*(BG620/Constantes!$F$40)^(2/3),BG620+AY621+AZ621+BA621+BB621-BC621),0)</f>
        <v>0</v>
      </c>
      <c r="BE621" s="170">
        <f>IF(Escenarios!$F$17&gt;0,MIN(Entradas!$F$113,BG620+AY621+AZ621+BA621+BB621-BC621-BD621),0)</f>
        <v>0</v>
      </c>
      <c r="BF621" s="170">
        <f>IF(Escenarios!$F$17&gt;0,MAX(0,BG620+AY621+AZ621+BA621+BB621-BC621-BD621-BE621-Constantes!$F$40),0)</f>
        <v>0</v>
      </c>
      <c r="BG621" s="170">
        <f t="shared" si="137"/>
        <v>0</v>
      </c>
      <c r="BH621" s="170">
        <f>(Escenarios!$F$16*AK621+0.1*BC621)/(Escenarios!$F$19)</f>
        <v>0.18065243602780703</v>
      </c>
      <c r="BI621" s="170">
        <f>IF(Escenarios!$F$17&gt;0,BF621/10/Escenarios!$F$19,AL621)</f>
        <v>0</v>
      </c>
      <c r="BJ621" s="170">
        <f>(Escenarios!$F$16*AT621+0.1*BD621)/(Escenarios!$F$19)</f>
        <v>0</v>
      </c>
      <c r="BK621" s="76">
        <f>BK620+(0.1*BD621)/(Escenarios!$F$19)-BL620</f>
        <v>48.75</v>
      </c>
      <c r="BL621" s="76">
        <f>MAX(0,(BK621-Constantes!$D$13)*(1-EXP(-Constantes!$D$23)))</f>
        <v>0</v>
      </c>
      <c r="BM621" s="76">
        <f t="shared" si="138"/>
        <v>0.25782557728891292</v>
      </c>
      <c r="BN621" s="76">
        <f t="shared" si="139"/>
        <v>0.25782557728891292</v>
      </c>
      <c r="BO621" s="76">
        <f>0.0526*BI621*Observaciones!$F620^1.218</f>
        <v>0</v>
      </c>
      <c r="BP621" s="76">
        <f>BO621*Constantes!$F$51</f>
        <v>0</v>
      </c>
      <c r="BQ621" s="76">
        <f t="shared" si="140"/>
        <v>0</v>
      </c>
      <c r="BR621" s="40"/>
    </row>
    <row r="622" spans="2:70">
      <c r="B622" s="39"/>
      <c r="C622" s="75">
        <v>616</v>
      </c>
      <c r="D622" s="146">
        <f>ETo!$I621*((1-Constantes!$F$19)*ETo!$K621+ETo!$L621)</f>
        <v>3.7931648015510362</v>
      </c>
      <c r="E622" s="76">
        <f>MIN(D622*Constantes!$F$17,0.8*(N621+Observaciones!$F621-F622-M622-Constantes!$D$14))</f>
        <v>0</v>
      </c>
      <c r="F622" s="76">
        <f>IF(Observaciones!$F621&gt;0.05*Constantes!$F$18,((Observaciones!$F621-0.05*Constantes!$F$18)^2)/(Observaciones!$F621+0.95*Constantes!$F$18),0)</f>
        <v>0</v>
      </c>
      <c r="G622" s="76">
        <f>IF(Escenarios!$F$11&gt;0,(F622*Escenarios!$F$16*10000)/1000,0)</f>
        <v>0</v>
      </c>
      <c r="H622" s="76">
        <f>IF(Escenarios!$F$11&gt;0,(Observaciones!$F621*Constantes!$F$29)/1000,0)</f>
        <v>0</v>
      </c>
      <c r="I622" s="76">
        <f>IF(Escenarios!$F$11&gt;0,(D622*Constantes!$F$29)/1000,0)</f>
        <v>0</v>
      </c>
      <c r="J622" s="76">
        <f>IF(Escenarios!$F$11&gt;0,MAX(0,G622+H622-I622),0)</f>
        <v>0</v>
      </c>
      <c r="K622" s="76">
        <f>IF(Escenarios!$F$11&gt;0,IF(J622&gt;Constantes!$F$30,1000*((J622-Constantes!$F$30)/(Escenarios!$F$16*10000)),0),F622)</f>
        <v>0</v>
      </c>
      <c r="L622" s="76">
        <f>IF(Escenarios!$F$11&gt;0,I622*1000/Escenarios!$F$16/10000+E622,E622)</f>
        <v>0</v>
      </c>
      <c r="M622" s="76">
        <f>MAX(0,N621+Observaciones!$F621-K622-Constantes!$D$13)</f>
        <v>0</v>
      </c>
      <c r="N622" s="76">
        <f>N621+Observaciones!$F621-K622-L622-M622-O621</f>
        <v>11.25</v>
      </c>
      <c r="O622" s="76">
        <f>MAX(0,(N622-Constantes!$D$14)*(1-EXP(-Constantes!$D$22)))</f>
        <v>0</v>
      </c>
      <c r="P622" s="170">
        <f>P621+(Entradas!$F$83*M622-Q621)/(800*Entradas!$D$25)</f>
        <v>0</v>
      </c>
      <c r="Q622" s="170">
        <f>8000*Entradas!$D$26*P622/Constantes!$F$45</f>
        <v>0</v>
      </c>
      <c r="R622" s="170">
        <f>IF(Escenarios!$F$14&gt;0,K622*Escenarios!$F$13/Escenarios!$F$14,0)</f>
        <v>0</v>
      </c>
      <c r="S622" s="170">
        <f>IF(Escenarios!$F$14&gt;0,Q622*Escenarios!$F$13/Escenarios!$F$14,0)</f>
        <v>0</v>
      </c>
      <c r="T622" s="170">
        <f>IF(Escenarios!$F$14&gt;0,Observaciones!$I621,0)</f>
        <v>0</v>
      </c>
      <c r="U622" s="170">
        <f>IF(Escenarios!$F$14&gt;0,MAX(0,Constantes!$F$36/((Z621+R622+S622+T622+Observaciones!$F621)^2)+Entradas!$F$77),0)</f>
        <v>0</v>
      </c>
      <c r="V622" s="146">
        <f>IF(ETo!D621&gt;0,ETo!I621*((1-Entradas!$F$81)*ETo!K621+ETo!L621),0)</f>
        <v>3.3528556559893876</v>
      </c>
      <c r="W622" s="170">
        <f>IF(Escenarios!$F$14&gt;0,MIN(V622*1,0.8*(Z621+R622+S622+T622+Observaciones!$F621-U622-Constantes!$F$35)),0)</f>
        <v>0</v>
      </c>
      <c r="X622" s="170">
        <f>IF(Escenarios!$F$14&gt;0,Observaciones!$J621,0)</f>
        <v>0</v>
      </c>
      <c r="Y622" s="170">
        <f>IF(Escenarios!$F$14&gt;0,MAX(0,Z621+R622+S622+T622+Observaciones!$F621-U622-W622-X622-Constantes!$F$33),0)</f>
        <v>0</v>
      </c>
      <c r="Z622" s="170">
        <f>Z621+R622+S622+T622+Observaciones!$F621-U622-W622-Y622</f>
        <v>41.25</v>
      </c>
      <c r="AA622" s="170">
        <f>IF(Escenarios!$F$14&gt;0,(Escenarios!$F$13*L622+Escenarios!$F$14*W622)/(Escenarios!$F$16),L622)</f>
        <v>0</v>
      </c>
      <c r="AB622" s="170">
        <f>IF(Escenarios!$F$14&gt;0,(Escenarios!$F$14*Y622)/(Escenarios!$F$16),K622)</f>
        <v>0</v>
      </c>
      <c r="AC622" s="170">
        <f>IF(Escenarios!$F$14&gt;0,(Escenarios!$F$13*M622+Escenarios!$F$14*U622)/(Escenarios!$F$16),M622)</f>
        <v>0</v>
      </c>
      <c r="AD622" s="76">
        <f t="shared" si="127"/>
        <v>72.805686067158717</v>
      </c>
      <c r="AE622" s="76">
        <f>MAX(0,(AD622-Constantes!$D$13)*(1-EXP(-Constantes!$D$23)))</f>
        <v>0.237026404437743</v>
      </c>
      <c r="AF622" s="76">
        <f>AB622+O622*Escenarios!$F$13/Escenarios!$F$16+AE622</f>
        <v>0.237026404437743</v>
      </c>
      <c r="AG622" s="76">
        <f>IF(Entradas!$F$91&gt;0,IF(AF622-Escenarios!$F$38&lt;=0,0,IF(AF622-Escenarios!$F$38&gt;Escenarios!$F$37,Escenarios!$F$37,AF622-Escenarios!$F$38)),0)</f>
        <v>0</v>
      </c>
      <c r="AH622" s="76">
        <f>AG622*Entradas!$F$99</f>
        <v>0</v>
      </c>
      <c r="AI622" s="76">
        <f>IF(Entradas!$F$91&gt;0,D622*Entradas!$D$23/Escenarios!$F$16,0)</f>
        <v>0.18207191047444973</v>
      </c>
      <c r="AJ622" s="76">
        <f>IF(Entradas!$F$91&gt;0,Entradas!$D$24*Entradas!$D$22/Escenarios!$F$16,0)</f>
        <v>0.12</v>
      </c>
      <c r="AK622" s="76">
        <f t="shared" si="128"/>
        <v>0.18207191047444973</v>
      </c>
      <c r="AL622" s="76">
        <f t="shared" si="129"/>
        <v>0</v>
      </c>
      <c r="AM622" s="76">
        <f t="shared" si="130"/>
        <v>0</v>
      </c>
      <c r="AN622" s="76">
        <f>MAX(0,O622*Escenarios!$F$13/Escenarios!$F$16-AM622)</f>
        <v>0</v>
      </c>
      <c r="AO622" s="76">
        <f>AM622+AN622-O622*Escenarios!$F$13/Escenarios!$F$16</f>
        <v>0</v>
      </c>
      <c r="AP622" s="76">
        <f t="shared" si="131"/>
        <v>0.237026404437743</v>
      </c>
      <c r="AQ622" s="76">
        <f t="shared" si="132"/>
        <v>0</v>
      </c>
      <c r="AR622" s="76">
        <f t="shared" si="133"/>
        <v>0.237026404437743</v>
      </c>
      <c r="AS622" s="76">
        <f t="shared" si="134"/>
        <v>0</v>
      </c>
      <c r="AT622" s="76">
        <f t="shared" si="135"/>
        <v>0</v>
      </c>
      <c r="AU622" s="76">
        <f t="shared" si="136"/>
        <v>49.937981276314908</v>
      </c>
      <c r="AV622" s="76">
        <f>MAX(0,(AU622-Constantes!$D$13)*(1-EXP(-Constantes!$D$24)))</f>
        <v>1.8158587317743089E-2</v>
      </c>
      <c r="AW622" s="170">
        <f>AW621+(Entradas!$F$112*AT622-AX621)/(800*Entradas!$D$25)</f>
        <v>0</v>
      </c>
      <c r="AX622" s="170">
        <f>8000*Entradas!$D$26*AW622/Constantes!$F$45</f>
        <v>0</v>
      </c>
      <c r="AY622" s="170">
        <f>IF(Escenarios!$F$17&gt;0,10*Escenarios!$F$16*AL622,0)</f>
        <v>0</v>
      </c>
      <c r="AZ622" s="170">
        <f>IF(Escenarios!$F$17&gt;0,10*Escenarios!$F$16*AX622,0)</f>
        <v>0</v>
      </c>
      <c r="BA622" s="170">
        <f>IF(Escenarios!$F$17&gt;0,0.001*Observaciones!$F621*Escenarios!$F$17,0)</f>
        <v>0</v>
      </c>
      <c r="BB622" s="170">
        <f>IF(Escenarios!$F$17&gt;0,Observaciones!$K621,0)</f>
        <v>0</v>
      </c>
      <c r="BC622" s="170">
        <f>IF(Escenarios!$F$17&gt;0,MIN(0.0005*ETo!$M621*Escenarios!$F$17*(BG621/Constantes!$F$40)^(2/3),BG621+AY622+AZ622+BA622+BB622),0)</f>
        <v>0</v>
      </c>
      <c r="BD622" s="170">
        <f>IF(Escenarios!$F$17&gt;0,MIN(Constantes!$F$39*(BG621/Constantes!$F$40)^(2/3),BG621+AY622+AZ622+BA622+BB622-BC622),0)</f>
        <v>0</v>
      </c>
      <c r="BE622" s="170">
        <f>IF(Escenarios!$F$17&gt;0,MIN(Entradas!$F$113,BG621+AY622+AZ622+BA622+BB622-BC622-BD622),0)</f>
        <v>0</v>
      </c>
      <c r="BF622" s="170">
        <f>IF(Escenarios!$F$17&gt;0,MAX(0,BG621+AY622+AZ622+BA622+BB622-BC622-BD622-BE622-Constantes!$F$40),0)</f>
        <v>0</v>
      </c>
      <c r="BG622" s="170">
        <f t="shared" si="137"/>
        <v>0</v>
      </c>
      <c r="BH622" s="170">
        <f>(Escenarios!$F$16*AK622+0.1*BC622)/(Escenarios!$F$19)</f>
        <v>0.18207191047444973</v>
      </c>
      <c r="BI622" s="170">
        <f>IF(Escenarios!$F$17&gt;0,BF622/10/Escenarios!$F$19,AL622)</f>
        <v>0</v>
      </c>
      <c r="BJ622" s="170">
        <f>(Escenarios!$F$16*AT622+0.1*BD622)/(Escenarios!$F$19)</f>
        <v>0</v>
      </c>
      <c r="BK622" s="76">
        <f>BK621+(0.1*BD622)/(Escenarios!$F$19)-BL621</f>
        <v>48.75</v>
      </c>
      <c r="BL622" s="76">
        <f>MAX(0,(BK622-Constantes!$D$13)*(1-EXP(-Constantes!$D$23)))</f>
        <v>0</v>
      </c>
      <c r="BM622" s="76">
        <f t="shared" si="138"/>
        <v>0.25518499175548609</v>
      </c>
      <c r="BN622" s="76">
        <f t="shared" si="139"/>
        <v>0.25518499175548609</v>
      </c>
      <c r="BO622" s="76">
        <f>0.0526*BI622*Observaciones!$F621^1.218</f>
        <v>0</v>
      </c>
      <c r="BP622" s="76">
        <f>BO622*Constantes!$F$51</f>
        <v>0</v>
      </c>
      <c r="BQ622" s="76">
        <f t="shared" si="140"/>
        <v>0</v>
      </c>
      <c r="BR622" s="40"/>
    </row>
    <row r="623" spans="2:70">
      <c r="B623" s="39"/>
      <c r="C623" s="75">
        <v>617</v>
      </c>
      <c r="D623" s="146">
        <f>ETo!$I622*((1-Constantes!$F$19)*ETo!$K622+ETo!$L622)</f>
        <v>3.8349359215272223</v>
      </c>
      <c r="E623" s="76">
        <f>MIN(D623*Constantes!$F$17,0.8*(N622+Observaciones!$F622-F623-M623-Constantes!$D$14))</f>
        <v>0</v>
      </c>
      <c r="F623" s="76">
        <f>IF(Observaciones!$F622&gt;0.05*Constantes!$F$18,((Observaciones!$F622-0.05*Constantes!$F$18)^2)/(Observaciones!$F622+0.95*Constantes!$F$18),0)</f>
        <v>0</v>
      </c>
      <c r="G623" s="76">
        <f>IF(Escenarios!$F$11&gt;0,(F623*Escenarios!$F$16*10000)/1000,0)</f>
        <v>0</v>
      </c>
      <c r="H623" s="76">
        <f>IF(Escenarios!$F$11&gt;0,(Observaciones!$F622*Constantes!$F$29)/1000,0)</f>
        <v>0</v>
      </c>
      <c r="I623" s="76">
        <f>IF(Escenarios!$F$11&gt;0,(D623*Constantes!$F$29)/1000,0)</f>
        <v>0</v>
      </c>
      <c r="J623" s="76">
        <f>IF(Escenarios!$F$11&gt;0,MAX(0,G623+H623-I623),0)</f>
        <v>0</v>
      </c>
      <c r="K623" s="76">
        <f>IF(Escenarios!$F$11&gt;0,IF(J623&gt;Constantes!$F$30,1000*((J623-Constantes!$F$30)/(Escenarios!$F$16*10000)),0),F623)</f>
        <v>0</v>
      </c>
      <c r="L623" s="76">
        <f>IF(Escenarios!$F$11&gt;0,I623*1000/Escenarios!$F$16/10000+E623,E623)</f>
        <v>0</v>
      </c>
      <c r="M623" s="76">
        <f>MAX(0,N622+Observaciones!$F622-K623-Constantes!$D$13)</f>
        <v>0</v>
      </c>
      <c r="N623" s="76">
        <f>N622+Observaciones!$F622-K623-L623-M623-O622</f>
        <v>11.25</v>
      </c>
      <c r="O623" s="76">
        <f>MAX(0,(N623-Constantes!$D$14)*(1-EXP(-Constantes!$D$22)))</f>
        <v>0</v>
      </c>
      <c r="P623" s="170">
        <f>P622+(Entradas!$F$83*M623-Q622)/(800*Entradas!$D$25)</f>
        <v>0</v>
      </c>
      <c r="Q623" s="170">
        <f>8000*Entradas!$D$26*P623/Constantes!$F$45</f>
        <v>0</v>
      </c>
      <c r="R623" s="170">
        <f>IF(Escenarios!$F$14&gt;0,K623*Escenarios!$F$13/Escenarios!$F$14,0)</f>
        <v>0</v>
      </c>
      <c r="S623" s="170">
        <f>IF(Escenarios!$F$14&gt;0,Q623*Escenarios!$F$13/Escenarios!$F$14,0)</f>
        <v>0</v>
      </c>
      <c r="T623" s="170">
        <f>IF(Escenarios!$F$14&gt;0,Observaciones!$I622,0)</f>
        <v>0</v>
      </c>
      <c r="U623" s="170">
        <f>IF(Escenarios!$F$14&gt;0,MAX(0,Constantes!$F$36/((Z622+R623+S623+T623+Observaciones!$F622)^2)+Entradas!$F$77),0)</f>
        <v>0</v>
      </c>
      <c r="V623" s="146">
        <f>IF(ETo!D622&gt;0,ETo!I622*((1-Entradas!$F$81)*ETo!K622+ETo!L622),0)</f>
        <v>3.3907072393580719</v>
      </c>
      <c r="W623" s="170">
        <f>IF(Escenarios!$F$14&gt;0,MIN(V623*1,0.8*(Z622+R623+S623+T623+Observaciones!$F622-U623-Constantes!$F$35)),0)</f>
        <v>0</v>
      </c>
      <c r="X623" s="170">
        <f>IF(Escenarios!$F$14&gt;0,Observaciones!$J622,0)</f>
        <v>0</v>
      </c>
      <c r="Y623" s="170">
        <f>IF(Escenarios!$F$14&gt;0,MAX(0,Z622+R623+S623+T623+Observaciones!$F622-U623-W623-X623-Constantes!$F$33),0)</f>
        <v>0</v>
      </c>
      <c r="Z623" s="170">
        <f>Z622+R623+S623+T623+Observaciones!$F622-U623-W623-Y623</f>
        <v>41.25</v>
      </c>
      <c r="AA623" s="170">
        <f>IF(Escenarios!$F$14&gt;0,(Escenarios!$F$13*L623+Escenarios!$F$14*W623)/(Escenarios!$F$16),L623)</f>
        <v>0</v>
      </c>
      <c r="AB623" s="170">
        <f>IF(Escenarios!$F$14&gt;0,(Escenarios!$F$14*Y623)/(Escenarios!$F$16),K623)</f>
        <v>0</v>
      </c>
      <c r="AC623" s="170">
        <f>IF(Escenarios!$F$14&gt;0,(Escenarios!$F$13*M623+Escenarios!$F$14*U623)/(Escenarios!$F$16),M623)</f>
        <v>0</v>
      </c>
      <c r="AD623" s="76">
        <f t="shared" si="127"/>
        <v>72.568659662720975</v>
      </c>
      <c r="AE623" s="76">
        <f>MAX(0,(AD623-Constantes!$D$13)*(1-EXP(-Constantes!$D$23)))</f>
        <v>0.23469092681952683</v>
      </c>
      <c r="AF623" s="76">
        <f>AB623+O623*Escenarios!$F$13/Escenarios!$F$16+AE623</f>
        <v>0.23469092681952683</v>
      </c>
      <c r="AG623" s="76">
        <f>IF(Entradas!$F$91&gt;0,IF(AF623-Escenarios!$F$38&lt;=0,0,IF(AF623-Escenarios!$F$38&gt;Escenarios!$F$37,Escenarios!$F$37,AF623-Escenarios!$F$38)),0)</f>
        <v>0</v>
      </c>
      <c r="AH623" s="76">
        <f>AG623*Entradas!$F$99</f>
        <v>0</v>
      </c>
      <c r="AI623" s="76">
        <f>IF(Entradas!$F$91&gt;0,D623*Entradas!$D$23/Escenarios!$F$16,0)</f>
        <v>0.18407692423330668</v>
      </c>
      <c r="AJ623" s="76">
        <f>IF(Entradas!$F$91&gt;0,Entradas!$D$24*Entradas!$D$22/Escenarios!$F$16,0)</f>
        <v>0.12</v>
      </c>
      <c r="AK623" s="76">
        <f t="shared" si="128"/>
        <v>0.18407692423330668</v>
      </c>
      <c r="AL623" s="76">
        <f t="shared" si="129"/>
        <v>0</v>
      </c>
      <c r="AM623" s="76">
        <f t="shared" si="130"/>
        <v>0</v>
      </c>
      <c r="AN623" s="76">
        <f>MAX(0,O623*Escenarios!$F$13/Escenarios!$F$16-AM623)</f>
        <v>0</v>
      </c>
      <c r="AO623" s="76">
        <f>AM623+AN623-O623*Escenarios!$F$13/Escenarios!$F$16</f>
        <v>0</v>
      </c>
      <c r="AP623" s="76">
        <f t="shared" si="131"/>
        <v>0.23469092681952683</v>
      </c>
      <c r="AQ623" s="76">
        <f t="shared" si="132"/>
        <v>0</v>
      </c>
      <c r="AR623" s="76">
        <f t="shared" si="133"/>
        <v>0.23469092681952683</v>
      </c>
      <c r="AS623" s="76">
        <f t="shared" si="134"/>
        <v>0</v>
      </c>
      <c r="AT623" s="76">
        <f t="shared" si="135"/>
        <v>0</v>
      </c>
      <c r="AU623" s="76">
        <f t="shared" si="136"/>
        <v>49.919822688997165</v>
      </c>
      <c r="AV623" s="76">
        <f>MAX(0,(AU623-Constantes!$D$13)*(1-EXP(-Constantes!$D$24)))</f>
        <v>1.7881028824229688E-2</v>
      </c>
      <c r="AW623" s="170">
        <f>AW622+(Entradas!$F$112*AT623-AX622)/(800*Entradas!$D$25)</f>
        <v>0</v>
      </c>
      <c r="AX623" s="170">
        <f>8000*Entradas!$D$26*AW623/Constantes!$F$45</f>
        <v>0</v>
      </c>
      <c r="AY623" s="170">
        <f>IF(Escenarios!$F$17&gt;0,10*Escenarios!$F$16*AL623,0)</f>
        <v>0</v>
      </c>
      <c r="AZ623" s="170">
        <f>IF(Escenarios!$F$17&gt;0,10*Escenarios!$F$16*AX623,0)</f>
        <v>0</v>
      </c>
      <c r="BA623" s="170">
        <f>IF(Escenarios!$F$17&gt;0,0.001*Observaciones!$F622*Escenarios!$F$17,0)</f>
        <v>0</v>
      </c>
      <c r="BB623" s="170">
        <f>IF(Escenarios!$F$17&gt;0,Observaciones!$K622,0)</f>
        <v>0</v>
      </c>
      <c r="BC623" s="170">
        <f>IF(Escenarios!$F$17&gt;0,MIN(0.0005*ETo!$M622*Escenarios!$F$17*(BG622/Constantes!$F$40)^(2/3),BG622+AY623+AZ623+BA623+BB623),0)</f>
        <v>0</v>
      </c>
      <c r="BD623" s="170">
        <f>IF(Escenarios!$F$17&gt;0,MIN(Constantes!$F$39*(BG622/Constantes!$F$40)^(2/3),BG622+AY623+AZ623+BA623+BB623-BC623),0)</f>
        <v>0</v>
      </c>
      <c r="BE623" s="170">
        <f>IF(Escenarios!$F$17&gt;0,MIN(Entradas!$F$113,BG622+AY623+AZ623+BA623+BB623-BC623-BD623),0)</f>
        <v>0</v>
      </c>
      <c r="BF623" s="170">
        <f>IF(Escenarios!$F$17&gt;0,MAX(0,BG622+AY623+AZ623+BA623+BB623-BC623-BD623-BE623-Constantes!$F$40),0)</f>
        <v>0</v>
      </c>
      <c r="BG623" s="170">
        <f t="shared" si="137"/>
        <v>0</v>
      </c>
      <c r="BH623" s="170">
        <f>(Escenarios!$F$16*AK623+0.1*BC623)/(Escenarios!$F$19)</f>
        <v>0.18407692423330668</v>
      </c>
      <c r="BI623" s="170">
        <f>IF(Escenarios!$F$17&gt;0,BF623/10/Escenarios!$F$19,AL623)</f>
        <v>0</v>
      </c>
      <c r="BJ623" s="170">
        <f>(Escenarios!$F$16*AT623+0.1*BD623)/(Escenarios!$F$19)</f>
        <v>0</v>
      </c>
      <c r="BK623" s="76">
        <f>BK622+(0.1*BD623)/(Escenarios!$F$19)-BL622</f>
        <v>48.75</v>
      </c>
      <c r="BL623" s="76">
        <f>MAX(0,(BK623-Constantes!$D$13)*(1-EXP(-Constantes!$D$23)))</f>
        <v>0</v>
      </c>
      <c r="BM623" s="76">
        <f t="shared" si="138"/>
        <v>0.25257195564375651</v>
      </c>
      <c r="BN623" s="76">
        <f t="shared" si="139"/>
        <v>0.25257195564375651</v>
      </c>
      <c r="BO623" s="76">
        <f>0.0526*BI623*Observaciones!$F622^1.218</f>
        <v>0</v>
      </c>
      <c r="BP623" s="76">
        <f>BO623*Constantes!$F$51</f>
        <v>0</v>
      </c>
      <c r="BQ623" s="76">
        <f t="shared" si="140"/>
        <v>0</v>
      </c>
      <c r="BR623" s="40"/>
    </row>
    <row r="624" spans="2:70">
      <c r="B624" s="39"/>
      <c r="C624" s="75">
        <v>618</v>
      </c>
      <c r="D624" s="146">
        <f>ETo!$I623*((1-Constantes!$F$19)*ETo!$K623+ETo!$L623)</f>
        <v>3.8315691027812884</v>
      </c>
      <c r="E624" s="76">
        <f>MIN(D624*Constantes!$F$17,0.8*(N623+Observaciones!$F623-F624-M624-Constantes!$D$14))</f>
        <v>0</v>
      </c>
      <c r="F624" s="76">
        <f>IF(Observaciones!$F623&gt;0.05*Constantes!$F$18,((Observaciones!$F623-0.05*Constantes!$F$18)^2)/(Observaciones!$F623+0.95*Constantes!$F$18),0)</f>
        <v>0</v>
      </c>
      <c r="G624" s="76">
        <f>IF(Escenarios!$F$11&gt;0,(F624*Escenarios!$F$16*10000)/1000,0)</f>
        <v>0</v>
      </c>
      <c r="H624" s="76">
        <f>IF(Escenarios!$F$11&gt;0,(Observaciones!$F623*Constantes!$F$29)/1000,0)</f>
        <v>0</v>
      </c>
      <c r="I624" s="76">
        <f>IF(Escenarios!$F$11&gt;0,(D624*Constantes!$F$29)/1000,0)</f>
        <v>0</v>
      </c>
      <c r="J624" s="76">
        <f>IF(Escenarios!$F$11&gt;0,MAX(0,G624+H624-I624),0)</f>
        <v>0</v>
      </c>
      <c r="K624" s="76">
        <f>IF(Escenarios!$F$11&gt;0,IF(J624&gt;Constantes!$F$30,1000*((J624-Constantes!$F$30)/(Escenarios!$F$16*10000)),0),F624)</f>
        <v>0</v>
      </c>
      <c r="L624" s="76">
        <f>IF(Escenarios!$F$11&gt;0,I624*1000/Escenarios!$F$16/10000+E624,E624)</f>
        <v>0</v>
      </c>
      <c r="M624" s="76">
        <f>MAX(0,N623+Observaciones!$F623-K624-Constantes!$D$13)</f>
        <v>0</v>
      </c>
      <c r="N624" s="76">
        <f>N623+Observaciones!$F623-K624-L624-M624-O623</f>
        <v>11.25</v>
      </c>
      <c r="O624" s="76">
        <f>MAX(0,(N624-Constantes!$D$14)*(1-EXP(-Constantes!$D$22)))</f>
        <v>0</v>
      </c>
      <c r="P624" s="170">
        <f>P623+(Entradas!$F$83*M624-Q623)/(800*Entradas!$D$25)</f>
        <v>0</v>
      </c>
      <c r="Q624" s="170">
        <f>8000*Entradas!$D$26*P624/Constantes!$F$45</f>
        <v>0</v>
      </c>
      <c r="R624" s="170">
        <f>IF(Escenarios!$F$14&gt;0,K624*Escenarios!$F$13/Escenarios!$F$14,0)</f>
        <v>0</v>
      </c>
      <c r="S624" s="170">
        <f>IF(Escenarios!$F$14&gt;0,Q624*Escenarios!$F$13/Escenarios!$F$14,0)</f>
        <v>0</v>
      </c>
      <c r="T624" s="170">
        <f>IF(Escenarios!$F$14&gt;0,Observaciones!$I623,0)</f>
        <v>0</v>
      </c>
      <c r="U624" s="170">
        <f>IF(Escenarios!$F$14&gt;0,MAX(0,Constantes!$F$36/((Z623+R624+S624+T624+Observaciones!$F623)^2)+Entradas!$F$77),0)</f>
        <v>0</v>
      </c>
      <c r="V624" s="146">
        <f>IF(ETo!D623&gt;0,ETo!I623*((1-Entradas!$F$81)*ETo!K623+ETo!L623),0)</f>
        <v>3.3880024895029122</v>
      </c>
      <c r="W624" s="170">
        <f>IF(Escenarios!$F$14&gt;0,MIN(V624*1,0.8*(Z623+R624+S624+T624+Observaciones!$F623-U624-Constantes!$F$35)),0)</f>
        <v>0</v>
      </c>
      <c r="X624" s="170">
        <f>IF(Escenarios!$F$14&gt;0,Observaciones!$J623,0)</f>
        <v>0</v>
      </c>
      <c r="Y624" s="170">
        <f>IF(Escenarios!$F$14&gt;0,MAX(0,Z623+R624+S624+T624+Observaciones!$F623-U624-W624-X624-Constantes!$F$33),0)</f>
        <v>0</v>
      </c>
      <c r="Z624" s="170">
        <f>Z623+R624+S624+T624+Observaciones!$F623-U624-W624-Y624</f>
        <v>41.25</v>
      </c>
      <c r="AA624" s="170">
        <f>IF(Escenarios!$F$14&gt;0,(Escenarios!$F$13*L624+Escenarios!$F$14*W624)/(Escenarios!$F$16),L624)</f>
        <v>0</v>
      </c>
      <c r="AB624" s="170">
        <f>IF(Escenarios!$F$14&gt;0,(Escenarios!$F$14*Y624)/(Escenarios!$F$16),K624)</f>
        <v>0</v>
      </c>
      <c r="AC624" s="170">
        <f>IF(Escenarios!$F$14&gt;0,(Escenarios!$F$13*M624+Escenarios!$F$14*U624)/(Escenarios!$F$16),M624)</f>
        <v>0</v>
      </c>
      <c r="AD624" s="76">
        <f t="shared" si="127"/>
        <v>72.33396873590145</v>
      </c>
      <c r="AE624" s="76">
        <f>MAX(0,(AD624-Constantes!$D$13)*(1-EXP(-Constantes!$D$23)))</f>
        <v>0.23237846121855035</v>
      </c>
      <c r="AF624" s="76">
        <f>AB624+O624*Escenarios!$F$13/Escenarios!$F$16+AE624</f>
        <v>0.23237846121855035</v>
      </c>
      <c r="AG624" s="76">
        <f>IF(Entradas!$F$91&gt;0,IF(AF624-Escenarios!$F$38&lt;=0,0,IF(AF624-Escenarios!$F$38&gt;Escenarios!$F$37,Escenarios!$F$37,AF624-Escenarios!$F$38)),0)</f>
        <v>0</v>
      </c>
      <c r="AH624" s="76">
        <f>AG624*Entradas!$F$99</f>
        <v>0</v>
      </c>
      <c r="AI624" s="76">
        <f>IF(Entradas!$F$91&gt;0,D624*Entradas!$D$23/Escenarios!$F$16,0)</f>
        <v>0.18391531693350185</v>
      </c>
      <c r="AJ624" s="76">
        <f>IF(Entradas!$F$91&gt;0,Entradas!$D$24*Entradas!$D$22/Escenarios!$F$16,0)</f>
        <v>0.12</v>
      </c>
      <c r="AK624" s="76">
        <f t="shared" si="128"/>
        <v>0.18391531693350185</v>
      </c>
      <c r="AL624" s="76">
        <f t="shared" si="129"/>
        <v>0</v>
      </c>
      <c r="AM624" s="76">
        <f t="shared" si="130"/>
        <v>0</v>
      </c>
      <c r="AN624" s="76">
        <f>MAX(0,O624*Escenarios!$F$13/Escenarios!$F$16-AM624)</f>
        <v>0</v>
      </c>
      <c r="AO624" s="76">
        <f>AM624+AN624-O624*Escenarios!$F$13/Escenarios!$F$16</f>
        <v>0</v>
      </c>
      <c r="AP624" s="76">
        <f t="shared" si="131"/>
        <v>0.23237846121855035</v>
      </c>
      <c r="AQ624" s="76">
        <f t="shared" si="132"/>
        <v>0</v>
      </c>
      <c r="AR624" s="76">
        <f t="shared" si="133"/>
        <v>0.23237846121855035</v>
      </c>
      <c r="AS624" s="76">
        <f t="shared" si="134"/>
        <v>0</v>
      </c>
      <c r="AT624" s="76">
        <f t="shared" si="135"/>
        <v>0</v>
      </c>
      <c r="AU624" s="76">
        <f t="shared" si="136"/>
        <v>49.901941660172938</v>
      </c>
      <c r="AV624" s="76">
        <f>MAX(0,(AU624-Constantes!$D$13)*(1-EXP(-Constantes!$D$24)))</f>
        <v>1.7607712880864816E-2</v>
      </c>
      <c r="AW624" s="170">
        <f>AW623+(Entradas!$F$112*AT624-AX623)/(800*Entradas!$D$25)</f>
        <v>0</v>
      </c>
      <c r="AX624" s="170">
        <f>8000*Entradas!$D$26*AW624/Constantes!$F$45</f>
        <v>0</v>
      </c>
      <c r="AY624" s="170">
        <f>IF(Escenarios!$F$17&gt;0,10*Escenarios!$F$16*AL624,0)</f>
        <v>0</v>
      </c>
      <c r="AZ624" s="170">
        <f>IF(Escenarios!$F$17&gt;0,10*Escenarios!$F$16*AX624,0)</f>
        <v>0</v>
      </c>
      <c r="BA624" s="170">
        <f>IF(Escenarios!$F$17&gt;0,0.001*Observaciones!$F623*Escenarios!$F$17,0)</f>
        <v>0</v>
      </c>
      <c r="BB624" s="170">
        <f>IF(Escenarios!$F$17&gt;0,Observaciones!$K623,0)</f>
        <v>0</v>
      </c>
      <c r="BC624" s="170">
        <f>IF(Escenarios!$F$17&gt;0,MIN(0.0005*ETo!$M623*Escenarios!$F$17*(BG623/Constantes!$F$40)^(2/3),BG623+AY624+AZ624+BA624+BB624),0)</f>
        <v>0</v>
      </c>
      <c r="BD624" s="170">
        <f>IF(Escenarios!$F$17&gt;0,MIN(Constantes!$F$39*(BG623/Constantes!$F$40)^(2/3),BG623+AY624+AZ624+BA624+BB624-BC624),0)</f>
        <v>0</v>
      </c>
      <c r="BE624" s="170">
        <f>IF(Escenarios!$F$17&gt;0,MIN(Entradas!$F$113,BG623+AY624+AZ624+BA624+BB624-BC624-BD624),0)</f>
        <v>0</v>
      </c>
      <c r="BF624" s="170">
        <f>IF(Escenarios!$F$17&gt;0,MAX(0,BG623+AY624+AZ624+BA624+BB624-BC624-BD624-BE624-Constantes!$F$40),0)</f>
        <v>0</v>
      </c>
      <c r="BG624" s="170">
        <f t="shared" si="137"/>
        <v>0</v>
      </c>
      <c r="BH624" s="170">
        <f>(Escenarios!$F$16*AK624+0.1*BC624)/(Escenarios!$F$19)</f>
        <v>0.18391531693350185</v>
      </c>
      <c r="BI624" s="170">
        <f>IF(Escenarios!$F$17&gt;0,BF624/10/Escenarios!$F$19,AL624)</f>
        <v>0</v>
      </c>
      <c r="BJ624" s="170">
        <f>(Escenarios!$F$16*AT624+0.1*BD624)/(Escenarios!$F$19)</f>
        <v>0</v>
      </c>
      <c r="BK624" s="76">
        <f>BK623+(0.1*BD624)/(Escenarios!$F$19)-BL623</f>
        <v>48.75</v>
      </c>
      <c r="BL624" s="76">
        <f>MAX(0,(BK624-Constantes!$D$13)*(1-EXP(-Constantes!$D$23)))</f>
        <v>0</v>
      </c>
      <c r="BM624" s="76">
        <f t="shared" si="138"/>
        <v>0.24998617409941518</v>
      </c>
      <c r="BN624" s="76">
        <f t="shared" si="139"/>
        <v>0.24998617409941518</v>
      </c>
      <c r="BO624" s="76">
        <f>0.0526*BI624*Observaciones!$F623^1.218</f>
        <v>0</v>
      </c>
      <c r="BP624" s="76">
        <f>BO624*Constantes!$F$51</f>
        <v>0</v>
      </c>
      <c r="BQ624" s="76">
        <f t="shared" si="140"/>
        <v>0</v>
      </c>
      <c r="BR624" s="40"/>
    </row>
    <row r="625" spans="2:70">
      <c r="B625" s="39"/>
      <c r="C625" s="75">
        <v>619</v>
      </c>
      <c r="D625" s="146">
        <f>ETo!$I624*((1-Constantes!$F$19)*ETo!$K624+ETo!$L624)</f>
        <v>3.8031582538184172</v>
      </c>
      <c r="E625" s="76">
        <f>MIN(D625*Constantes!$F$17,0.8*(N624+Observaciones!$F624-F625-M625-Constantes!$D$14))</f>
        <v>0</v>
      </c>
      <c r="F625" s="76">
        <f>IF(Observaciones!$F624&gt;0.05*Constantes!$F$18,((Observaciones!$F624-0.05*Constantes!$F$18)^2)/(Observaciones!$F624+0.95*Constantes!$F$18),0)</f>
        <v>0</v>
      </c>
      <c r="G625" s="76">
        <f>IF(Escenarios!$F$11&gt;0,(F625*Escenarios!$F$16*10000)/1000,0)</f>
        <v>0</v>
      </c>
      <c r="H625" s="76">
        <f>IF(Escenarios!$F$11&gt;0,(Observaciones!$F624*Constantes!$F$29)/1000,0)</f>
        <v>0</v>
      </c>
      <c r="I625" s="76">
        <f>IF(Escenarios!$F$11&gt;0,(D625*Constantes!$F$29)/1000,0)</f>
        <v>0</v>
      </c>
      <c r="J625" s="76">
        <f>IF(Escenarios!$F$11&gt;0,MAX(0,G625+H625-I625),0)</f>
        <v>0</v>
      </c>
      <c r="K625" s="76">
        <f>IF(Escenarios!$F$11&gt;0,IF(J625&gt;Constantes!$F$30,1000*((J625-Constantes!$F$30)/(Escenarios!$F$16*10000)),0),F625)</f>
        <v>0</v>
      </c>
      <c r="L625" s="76">
        <f>IF(Escenarios!$F$11&gt;0,I625*1000/Escenarios!$F$16/10000+E625,E625)</f>
        <v>0</v>
      </c>
      <c r="M625" s="76">
        <f>MAX(0,N624+Observaciones!$F624-K625-Constantes!$D$13)</f>
        <v>0</v>
      </c>
      <c r="N625" s="76">
        <f>N624+Observaciones!$F624-K625-L625-M625-O624</f>
        <v>11.25</v>
      </c>
      <c r="O625" s="76">
        <f>MAX(0,(N625-Constantes!$D$14)*(1-EXP(-Constantes!$D$22)))</f>
        <v>0</v>
      </c>
      <c r="P625" s="170">
        <f>P624+(Entradas!$F$83*M625-Q624)/(800*Entradas!$D$25)</f>
        <v>0</v>
      </c>
      <c r="Q625" s="170">
        <f>8000*Entradas!$D$26*P625/Constantes!$F$45</f>
        <v>0</v>
      </c>
      <c r="R625" s="170">
        <f>IF(Escenarios!$F$14&gt;0,K625*Escenarios!$F$13/Escenarios!$F$14,0)</f>
        <v>0</v>
      </c>
      <c r="S625" s="170">
        <f>IF(Escenarios!$F$14&gt;0,Q625*Escenarios!$F$13/Escenarios!$F$14,0)</f>
        <v>0</v>
      </c>
      <c r="T625" s="170">
        <f>IF(Escenarios!$F$14&gt;0,Observaciones!$I624,0)</f>
        <v>0</v>
      </c>
      <c r="U625" s="170">
        <f>IF(Escenarios!$F$14&gt;0,MAX(0,Constantes!$F$36/((Z624+R625+S625+T625+Observaciones!$F624)^2)+Entradas!$F$77),0)</f>
        <v>0</v>
      </c>
      <c r="V625" s="146">
        <f>IF(ETo!D624&gt;0,ETo!I624*((1-Entradas!$F$81)*ETo!K624+ETo!L624),0)</f>
        <v>3.3628369945077257</v>
      </c>
      <c r="W625" s="170">
        <f>IF(Escenarios!$F$14&gt;0,MIN(V625*1,0.8*(Z624+R625+S625+T625+Observaciones!$F624-U625-Constantes!$F$35)),0)</f>
        <v>0</v>
      </c>
      <c r="X625" s="170">
        <f>IF(Escenarios!$F$14&gt;0,Observaciones!$J624,0)</f>
        <v>0</v>
      </c>
      <c r="Y625" s="170">
        <f>IF(Escenarios!$F$14&gt;0,MAX(0,Z624+R625+S625+T625+Observaciones!$F624-U625-W625-X625-Constantes!$F$33),0)</f>
        <v>0</v>
      </c>
      <c r="Z625" s="170">
        <f>Z624+R625+S625+T625+Observaciones!$F624-U625-W625-Y625</f>
        <v>41.25</v>
      </c>
      <c r="AA625" s="170">
        <f>IF(Escenarios!$F$14&gt;0,(Escenarios!$F$13*L625+Escenarios!$F$14*W625)/(Escenarios!$F$16),L625)</f>
        <v>0</v>
      </c>
      <c r="AB625" s="170">
        <f>IF(Escenarios!$F$14&gt;0,(Escenarios!$F$14*Y625)/(Escenarios!$F$16),K625)</f>
        <v>0</v>
      </c>
      <c r="AC625" s="170">
        <f>IF(Escenarios!$F$14&gt;0,(Escenarios!$F$13*M625+Escenarios!$F$14*U625)/(Escenarios!$F$16),M625)</f>
        <v>0</v>
      </c>
      <c r="AD625" s="76">
        <f t="shared" si="127"/>
        <v>72.101590274682906</v>
      </c>
      <c r="AE625" s="76">
        <f>MAX(0,(AD625-Constantes!$D$13)*(1-EXP(-Constantes!$D$23)))</f>
        <v>0.23008878089192675</v>
      </c>
      <c r="AF625" s="76">
        <f>AB625+O625*Escenarios!$F$13/Escenarios!$F$16+AE625</f>
        <v>0.23008878089192675</v>
      </c>
      <c r="AG625" s="76">
        <f>IF(Entradas!$F$91&gt;0,IF(AF625-Escenarios!$F$38&lt;=0,0,IF(AF625-Escenarios!$F$38&gt;Escenarios!$F$37,Escenarios!$F$37,AF625-Escenarios!$F$38)),0)</f>
        <v>0</v>
      </c>
      <c r="AH625" s="76">
        <f>AG625*Entradas!$F$99</f>
        <v>0</v>
      </c>
      <c r="AI625" s="76">
        <f>IF(Entradas!$F$91&gt;0,D625*Entradas!$D$23/Escenarios!$F$16,0)</f>
        <v>0.18255159618328404</v>
      </c>
      <c r="AJ625" s="76">
        <f>IF(Entradas!$F$91&gt;0,Entradas!$D$24*Entradas!$D$22/Escenarios!$F$16,0)</f>
        <v>0.12</v>
      </c>
      <c r="AK625" s="76">
        <f t="shared" si="128"/>
        <v>0.18255159618328404</v>
      </c>
      <c r="AL625" s="76">
        <f t="shared" si="129"/>
        <v>0</v>
      </c>
      <c r="AM625" s="76">
        <f t="shared" si="130"/>
        <v>0</v>
      </c>
      <c r="AN625" s="76">
        <f>MAX(0,O625*Escenarios!$F$13/Escenarios!$F$16-AM625)</f>
        <v>0</v>
      </c>
      <c r="AO625" s="76">
        <f>AM625+AN625-O625*Escenarios!$F$13/Escenarios!$F$16</f>
        <v>0</v>
      </c>
      <c r="AP625" s="76">
        <f t="shared" si="131"/>
        <v>0.23008878089192675</v>
      </c>
      <c r="AQ625" s="76">
        <f t="shared" si="132"/>
        <v>0</v>
      </c>
      <c r="AR625" s="76">
        <f t="shared" si="133"/>
        <v>0.23008878089192675</v>
      </c>
      <c r="AS625" s="76">
        <f t="shared" si="134"/>
        <v>0</v>
      </c>
      <c r="AT625" s="76">
        <f t="shared" si="135"/>
        <v>0</v>
      </c>
      <c r="AU625" s="76">
        <f t="shared" si="136"/>
        <v>49.88433394729207</v>
      </c>
      <c r="AV625" s="76">
        <f>MAX(0,(AU625-Constantes!$D$13)*(1-EXP(-Constantes!$D$24)))</f>
        <v>1.7338574639221165E-2</v>
      </c>
      <c r="AW625" s="170">
        <f>AW624+(Entradas!$F$112*AT625-AX624)/(800*Entradas!$D$25)</f>
        <v>0</v>
      </c>
      <c r="AX625" s="170">
        <f>8000*Entradas!$D$26*AW625/Constantes!$F$45</f>
        <v>0</v>
      </c>
      <c r="AY625" s="170">
        <f>IF(Escenarios!$F$17&gt;0,10*Escenarios!$F$16*AL625,0)</f>
        <v>0</v>
      </c>
      <c r="AZ625" s="170">
        <f>IF(Escenarios!$F$17&gt;0,10*Escenarios!$F$16*AX625,0)</f>
        <v>0</v>
      </c>
      <c r="BA625" s="170">
        <f>IF(Escenarios!$F$17&gt;0,0.001*Observaciones!$F624*Escenarios!$F$17,0)</f>
        <v>0</v>
      </c>
      <c r="BB625" s="170">
        <f>IF(Escenarios!$F$17&gt;0,Observaciones!$K624,0)</f>
        <v>0</v>
      </c>
      <c r="BC625" s="170">
        <f>IF(Escenarios!$F$17&gt;0,MIN(0.0005*ETo!$M624*Escenarios!$F$17*(BG624/Constantes!$F$40)^(2/3),BG624+AY625+AZ625+BA625+BB625),0)</f>
        <v>0</v>
      </c>
      <c r="BD625" s="170">
        <f>IF(Escenarios!$F$17&gt;0,MIN(Constantes!$F$39*(BG624/Constantes!$F$40)^(2/3),BG624+AY625+AZ625+BA625+BB625-BC625),0)</f>
        <v>0</v>
      </c>
      <c r="BE625" s="170">
        <f>IF(Escenarios!$F$17&gt;0,MIN(Entradas!$F$113,BG624+AY625+AZ625+BA625+BB625-BC625-BD625),0)</f>
        <v>0</v>
      </c>
      <c r="BF625" s="170">
        <f>IF(Escenarios!$F$17&gt;0,MAX(0,BG624+AY625+AZ625+BA625+BB625-BC625-BD625-BE625-Constantes!$F$40),0)</f>
        <v>0</v>
      </c>
      <c r="BG625" s="170">
        <f t="shared" si="137"/>
        <v>0</v>
      </c>
      <c r="BH625" s="170">
        <f>(Escenarios!$F$16*AK625+0.1*BC625)/(Escenarios!$F$19)</f>
        <v>0.18255159618328404</v>
      </c>
      <c r="BI625" s="170">
        <f>IF(Escenarios!$F$17&gt;0,BF625/10/Escenarios!$F$19,AL625)</f>
        <v>0</v>
      </c>
      <c r="BJ625" s="170">
        <f>(Escenarios!$F$16*AT625+0.1*BD625)/(Escenarios!$F$19)</f>
        <v>0</v>
      </c>
      <c r="BK625" s="76">
        <f>BK624+(0.1*BD625)/(Escenarios!$F$19)-BL624</f>
        <v>48.75</v>
      </c>
      <c r="BL625" s="76">
        <f>MAX(0,(BK625-Constantes!$D$13)*(1-EXP(-Constantes!$D$23)))</f>
        <v>0</v>
      </c>
      <c r="BM625" s="76">
        <f t="shared" si="138"/>
        <v>0.24742735553114792</v>
      </c>
      <c r="BN625" s="76">
        <f t="shared" si="139"/>
        <v>0.24742735553114792</v>
      </c>
      <c r="BO625" s="76">
        <f>0.0526*BI625*Observaciones!$F624^1.218</f>
        <v>0</v>
      </c>
      <c r="BP625" s="76">
        <f>BO625*Constantes!$F$51</f>
        <v>0</v>
      </c>
      <c r="BQ625" s="76">
        <f t="shared" si="140"/>
        <v>0</v>
      </c>
      <c r="BR625" s="40"/>
    </row>
    <row r="626" spans="2:70">
      <c r="B626" s="39"/>
      <c r="C626" s="75">
        <v>620</v>
      </c>
      <c r="D626" s="146">
        <f>ETo!$I625*((1-Constantes!$F$19)*ETo!$K625+ETo!$L625)</f>
        <v>3.8858401269542284</v>
      </c>
      <c r="E626" s="76">
        <f>MIN(D626*Constantes!$F$17,0.8*(N625+Observaciones!$F625-F626-M626-Constantes!$D$14))</f>
        <v>0</v>
      </c>
      <c r="F626" s="76">
        <f>IF(Observaciones!$F625&gt;0.05*Constantes!$F$18,((Observaciones!$F625-0.05*Constantes!$F$18)^2)/(Observaciones!$F625+0.95*Constantes!$F$18),0)</f>
        <v>0</v>
      </c>
      <c r="G626" s="76">
        <f>IF(Escenarios!$F$11&gt;0,(F626*Escenarios!$F$16*10000)/1000,0)</f>
        <v>0</v>
      </c>
      <c r="H626" s="76">
        <f>IF(Escenarios!$F$11&gt;0,(Observaciones!$F625*Constantes!$F$29)/1000,0)</f>
        <v>0</v>
      </c>
      <c r="I626" s="76">
        <f>IF(Escenarios!$F$11&gt;0,(D626*Constantes!$F$29)/1000,0)</f>
        <v>0</v>
      </c>
      <c r="J626" s="76">
        <f>IF(Escenarios!$F$11&gt;0,MAX(0,G626+H626-I626),0)</f>
        <v>0</v>
      </c>
      <c r="K626" s="76">
        <f>IF(Escenarios!$F$11&gt;0,IF(J626&gt;Constantes!$F$30,1000*((J626-Constantes!$F$30)/(Escenarios!$F$16*10000)),0),F626)</f>
        <v>0</v>
      </c>
      <c r="L626" s="76">
        <f>IF(Escenarios!$F$11&gt;0,I626*1000/Escenarios!$F$16/10000+E626,E626)</f>
        <v>0</v>
      </c>
      <c r="M626" s="76">
        <f>MAX(0,N625+Observaciones!$F625-K626-Constantes!$D$13)</f>
        <v>0</v>
      </c>
      <c r="N626" s="76">
        <f>N625+Observaciones!$F625-K626-L626-M626-O625</f>
        <v>11.25</v>
      </c>
      <c r="O626" s="76">
        <f>MAX(0,(N626-Constantes!$D$14)*(1-EXP(-Constantes!$D$22)))</f>
        <v>0</v>
      </c>
      <c r="P626" s="170">
        <f>P625+(Entradas!$F$83*M626-Q625)/(800*Entradas!$D$25)</f>
        <v>0</v>
      </c>
      <c r="Q626" s="170">
        <f>8000*Entradas!$D$26*P626/Constantes!$F$45</f>
        <v>0</v>
      </c>
      <c r="R626" s="170">
        <f>IF(Escenarios!$F$14&gt;0,K626*Escenarios!$F$13/Escenarios!$F$14,0)</f>
        <v>0</v>
      </c>
      <c r="S626" s="170">
        <f>IF(Escenarios!$F$14&gt;0,Q626*Escenarios!$F$13/Escenarios!$F$14,0)</f>
        <v>0</v>
      </c>
      <c r="T626" s="170">
        <f>IF(Escenarios!$F$14&gt;0,Observaciones!$I625,0)</f>
        <v>0</v>
      </c>
      <c r="U626" s="170">
        <f>IF(Escenarios!$F$14&gt;0,MAX(0,Constantes!$F$36/((Z625+R626+S626+T626+Observaciones!$F625)^2)+Entradas!$F$77),0)</f>
        <v>0</v>
      </c>
      <c r="V626" s="146">
        <f>IF(ETo!D625&gt;0,ETo!I625*((1-Entradas!$F$81)*ETo!K625+ETo!L625),0)</f>
        <v>3.4373976364477365</v>
      </c>
      <c r="W626" s="170">
        <f>IF(Escenarios!$F$14&gt;0,MIN(V626*1,0.8*(Z625+R626+S626+T626+Observaciones!$F625-U626-Constantes!$F$35)),0)</f>
        <v>0</v>
      </c>
      <c r="X626" s="170">
        <f>IF(Escenarios!$F$14&gt;0,Observaciones!$J625,0)</f>
        <v>0</v>
      </c>
      <c r="Y626" s="170">
        <f>IF(Escenarios!$F$14&gt;0,MAX(0,Z625+R626+S626+T626+Observaciones!$F625-U626-W626-X626-Constantes!$F$33),0)</f>
        <v>0</v>
      </c>
      <c r="Z626" s="170">
        <f>Z625+R626+S626+T626+Observaciones!$F625-U626-W626-Y626</f>
        <v>41.25</v>
      </c>
      <c r="AA626" s="170">
        <f>IF(Escenarios!$F$14&gt;0,(Escenarios!$F$13*L626+Escenarios!$F$14*W626)/(Escenarios!$F$16),L626)</f>
        <v>0</v>
      </c>
      <c r="AB626" s="170">
        <f>IF(Escenarios!$F$14&gt;0,(Escenarios!$F$14*Y626)/(Escenarios!$F$16),K626)</f>
        <v>0</v>
      </c>
      <c r="AC626" s="170">
        <f>IF(Escenarios!$F$14&gt;0,(Escenarios!$F$13*M626+Escenarios!$F$14*U626)/(Escenarios!$F$16),M626)</f>
        <v>0</v>
      </c>
      <c r="AD626" s="76">
        <f t="shared" si="127"/>
        <v>71.871501493790973</v>
      </c>
      <c r="AE626" s="76">
        <f>MAX(0,(AD626-Constantes!$D$13)*(1-EXP(-Constantes!$D$23)))</f>
        <v>0.22782166133092058</v>
      </c>
      <c r="AF626" s="76">
        <f>AB626+O626*Escenarios!$F$13/Escenarios!$F$16+AE626</f>
        <v>0.22782166133092058</v>
      </c>
      <c r="AG626" s="76">
        <f>IF(Entradas!$F$91&gt;0,IF(AF626-Escenarios!$F$38&lt;=0,0,IF(AF626-Escenarios!$F$38&gt;Escenarios!$F$37,Escenarios!$F$37,AF626-Escenarios!$F$38)),0)</f>
        <v>0</v>
      </c>
      <c r="AH626" s="76">
        <f>AG626*Entradas!$F$99</f>
        <v>0</v>
      </c>
      <c r="AI626" s="76">
        <f>IF(Entradas!$F$91&gt;0,D626*Entradas!$D$23/Escenarios!$F$16,0)</f>
        <v>0.18652032609380295</v>
      </c>
      <c r="AJ626" s="76">
        <f>IF(Entradas!$F$91&gt;0,Entradas!$D$24*Entradas!$D$22/Escenarios!$F$16,0)</f>
        <v>0.12</v>
      </c>
      <c r="AK626" s="76">
        <f t="shared" si="128"/>
        <v>0.18652032609380295</v>
      </c>
      <c r="AL626" s="76">
        <f t="shared" si="129"/>
        <v>0</v>
      </c>
      <c r="AM626" s="76">
        <f t="shared" si="130"/>
        <v>0</v>
      </c>
      <c r="AN626" s="76">
        <f>MAX(0,O626*Escenarios!$F$13/Escenarios!$F$16-AM626)</f>
        <v>0</v>
      </c>
      <c r="AO626" s="76">
        <f>AM626+AN626-O626*Escenarios!$F$13/Escenarios!$F$16</f>
        <v>0</v>
      </c>
      <c r="AP626" s="76">
        <f t="shared" si="131"/>
        <v>0.22782166133092058</v>
      </c>
      <c r="AQ626" s="76">
        <f t="shared" si="132"/>
        <v>0</v>
      </c>
      <c r="AR626" s="76">
        <f t="shared" si="133"/>
        <v>0.22782166133092058</v>
      </c>
      <c r="AS626" s="76">
        <f t="shared" si="134"/>
        <v>0</v>
      </c>
      <c r="AT626" s="76">
        <f t="shared" si="135"/>
        <v>0</v>
      </c>
      <c r="AU626" s="76">
        <f t="shared" si="136"/>
        <v>49.866995372652852</v>
      </c>
      <c r="AV626" s="76">
        <f>MAX(0,(AU626-Constantes!$D$13)*(1-EXP(-Constantes!$D$24)))</f>
        <v>1.7073550242095902E-2</v>
      </c>
      <c r="AW626" s="170">
        <f>AW625+(Entradas!$F$112*AT626-AX625)/(800*Entradas!$D$25)</f>
        <v>0</v>
      </c>
      <c r="AX626" s="170">
        <f>8000*Entradas!$D$26*AW626/Constantes!$F$45</f>
        <v>0</v>
      </c>
      <c r="AY626" s="170">
        <f>IF(Escenarios!$F$17&gt;0,10*Escenarios!$F$16*AL626,0)</f>
        <v>0</v>
      </c>
      <c r="AZ626" s="170">
        <f>IF(Escenarios!$F$17&gt;0,10*Escenarios!$F$16*AX626,0)</f>
        <v>0</v>
      </c>
      <c r="BA626" s="170">
        <f>IF(Escenarios!$F$17&gt;0,0.001*Observaciones!$F625*Escenarios!$F$17,0)</f>
        <v>0</v>
      </c>
      <c r="BB626" s="170">
        <f>IF(Escenarios!$F$17&gt;0,Observaciones!$K625,0)</f>
        <v>0</v>
      </c>
      <c r="BC626" s="170">
        <f>IF(Escenarios!$F$17&gt;0,MIN(0.0005*ETo!$M625*Escenarios!$F$17*(BG625/Constantes!$F$40)^(2/3),BG625+AY626+AZ626+BA626+BB626),0)</f>
        <v>0</v>
      </c>
      <c r="BD626" s="170">
        <f>IF(Escenarios!$F$17&gt;0,MIN(Constantes!$F$39*(BG625/Constantes!$F$40)^(2/3),BG625+AY626+AZ626+BA626+BB626-BC626),0)</f>
        <v>0</v>
      </c>
      <c r="BE626" s="170">
        <f>IF(Escenarios!$F$17&gt;0,MIN(Entradas!$F$113,BG625+AY626+AZ626+BA626+BB626-BC626-BD626),0)</f>
        <v>0</v>
      </c>
      <c r="BF626" s="170">
        <f>IF(Escenarios!$F$17&gt;0,MAX(0,BG625+AY626+AZ626+BA626+BB626-BC626-BD626-BE626-Constantes!$F$40),0)</f>
        <v>0</v>
      </c>
      <c r="BG626" s="170">
        <f t="shared" si="137"/>
        <v>0</v>
      </c>
      <c r="BH626" s="170">
        <f>(Escenarios!$F$16*AK626+0.1*BC626)/(Escenarios!$F$19)</f>
        <v>0.18652032609380295</v>
      </c>
      <c r="BI626" s="170">
        <f>IF(Escenarios!$F$17&gt;0,BF626/10/Escenarios!$F$19,AL626)</f>
        <v>0</v>
      </c>
      <c r="BJ626" s="170">
        <f>(Escenarios!$F$16*AT626+0.1*BD626)/(Escenarios!$F$19)</f>
        <v>0</v>
      </c>
      <c r="BK626" s="76">
        <f>BK625+(0.1*BD626)/(Escenarios!$F$19)-BL625</f>
        <v>48.75</v>
      </c>
      <c r="BL626" s="76">
        <f>MAX(0,(BK626-Constantes!$D$13)*(1-EXP(-Constantes!$D$23)))</f>
        <v>0</v>
      </c>
      <c r="BM626" s="76">
        <f t="shared" si="138"/>
        <v>0.24489521157301647</v>
      </c>
      <c r="BN626" s="76">
        <f t="shared" si="139"/>
        <v>0.24489521157301647</v>
      </c>
      <c r="BO626" s="76">
        <f>0.0526*BI626*Observaciones!$F625^1.218</f>
        <v>0</v>
      </c>
      <c r="BP626" s="76">
        <f>BO626*Constantes!$F$51</f>
        <v>0</v>
      </c>
      <c r="BQ626" s="76">
        <f t="shared" si="140"/>
        <v>0</v>
      </c>
      <c r="BR626" s="40"/>
    </row>
    <row r="627" spans="2:70">
      <c r="B627" s="39"/>
      <c r="C627" s="75">
        <v>621</v>
      </c>
      <c r="D627" s="146">
        <f>ETo!$I626*((1-Constantes!$F$19)*ETo!$K626+ETo!$L626)</f>
        <v>3.8277099366775742</v>
      </c>
      <c r="E627" s="76">
        <f>MIN(D627*Constantes!$F$17,0.8*(N626+Observaciones!$F626-F627-M627-Constantes!$D$14))</f>
        <v>0</v>
      </c>
      <c r="F627" s="76">
        <f>IF(Observaciones!$F626&gt;0.05*Constantes!$F$18,((Observaciones!$F626-0.05*Constantes!$F$18)^2)/(Observaciones!$F626+0.95*Constantes!$F$18),0)</f>
        <v>0</v>
      </c>
      <c r="G627" s="76">
        <f>IF(Escenarios!$F$11&gt;0,(F627*Escenarios!$F$16*10000)/1000,0)</f>
        <v>0</v>
      </c>
      <c r="H627" s="76">
        <f>IF(Escenarios!$F$11&gt;0,(Observaciones!$F626*Constantes!$F$29)/1000,0)</f>
        <v>0</v>
      </c>
      <c r="I627" s="76">
        <f>IF(Escenarios!$F$11&gt;0,(D627*Constantes!$F$29)/1000,0)</f>
        <v>0</v>
      </c>
      <c r="J627" s="76">
        <f>IF(Escenarios!$F$11&gt;0,MAX(0,G627+H627-I627),0)</f>
        <v>0</v>
      </c>
      <c r="K627" s="76">
        <f>IF(Escenarios!$F$11&gt;0,IF(J627&gt;Constantes!$F$30,1000*((J627-Constantes!$F$30)/(Escenarios!$F$16*10000)),0),F627)</f>
        <v>0</v>
      </c>
      <c r="L627" s="76">
        <f>IF(Escenarios!$F$11&gt;0,I627*1000/Escenarios!$F$16/10000+E627,E627)</f>
        <v>0</v>
      </c>
      <c r="M627" s="76">
        <f>MAX(0,N626+Observaciones!$F626-K627-Constantes!$D$13)</f>
        <v>0</v>
      </c>
      <c r="N627" s="76">
        <f>N626+Observaciones!$F626-K627-L627-M627-O626</f>
        <v>11.25</v>
      </c>
      <c r="O627" s="76">
        <f>MAX(0,(N627-Constantes!$D$14)*(1-EXP(-Constantes!$D$22)))</f>
        <v>0</v>
      </c>
      <c r="P627" s="170">
        <f>P626+(Entradas!$F$83*M627-Q626)/(800*Entradas!$D$25)</f>
        <v>0</v>
      </c>
      <c r="Q627" s="170">
        <f>8000*Entradas!$D$26*P627/Constantes!$F$45</f>
        <v>0</v>
      </c>
      <c r="R627" s="170">
        <f>IF(Escenarios!$F$14&gt;0,K627*Escenarios!$F$13/Escenarios!$F$14,0)</f>
        <v>0</v>
      </c>
      <c r="S627" s="170">
        <f>IF(Escenarios!$F$14&gt;0,Q627*Escenarios!$F$13/Escenarios!$F$14,0)</f>
        <v>0</v>
      </c>
      <c r="T627" s="170">
        <f>IF(Escenarios!$F$14&gt;0,Observaciones!$I626,0)</f>
        <v>0</v>
      </c>
      <c r="U627" s="170">
        <f>IF(Escenarios!$F$14&gt;0,MAX(0,Constantes!$F$36/((Z626+R627+S627+T627+Observaciones!$F626)^2)+Entradas!$F$77),0)</f>
        <v>0</v>
      </c>
      <c r="V627" s="146">
        <f>IF(ETo!D626&gt;0,ETo!I626*((1-Entradas!$F$81)*ETo!K626+ETo!L626),0)</f>
        <v>3.3855260998704253</v>
      </c>
      <c r="W627" s="170">
        <f>IF(Escenarios!$F$14&gt;0,MIN(V627*1,0.8*(Z626+R627+S627+T627+Observaciones!$F626-U627-Constantes!$F$35)),0)</f>
        <v>0</v>
      </c>
      <c r="X627" s="170">
        <f>IF(Escenarios!$F$14&gt;0,Observaciones!$J626,0)</f>
        <v>0</v>
      </c>
      <c r="Y627" s="170">
        <f>IF(Escenarios!$F$14&gt;0,MAX(0,Z626+R627+S627+T627+Observaciones!$F626-U627-W627-X627-Constantes!$F$33),0)</f>
        <v>0</v>
      </c>
      <c r="Z627" s="170">
        <f>Z626+R627+S627+T627+Observaciones!$F626-U627-W627-Y627</f>
        <v>41.25</v>
      </c>
      <c r="AA627" s="170">
        <f>IF(Escenarios!$F$14&gt;0,(Escenarios!$F$13*L627+Escenarios!$F$14*W627)/(Escenarios!$F$16),L627)</f>
        <v>0</v>
      </c>
      <c r="AB627" s="170">
        <f>IF(Escenarios!$F$14&gt;0,(Escenarios!$F$14*Y627)/(Escenarios!$F$16),K627)</f>
        <v>0</v>
      </c>
      <c r="AC627" s="170">
        <f>IF(Escenarios!$F$14&gt;0,(Escenarios!$F$13*M627+Escenarios!$F$14*U627)/(Escenarios!$F$16),M627)</f>
        <v>0</v>
      </c>
      <c r="AD627" s="76">
        <f t="shared" si="127"/>
        <v>71.643679832460052</v>
      </c>
      <c r="AE627" s="76">
        <f>MAX(0,(AD627-Constantes!$D$13)*(1-EXP(-Constantes!$D$23)))</f>
        <v>0.22557688023893491</v>
      </c>
      <c r="AF627" s="76">
        <f>AB627+O627*Escenarios!$F$13/Escenarios!$F$16+AE627</f>
        <v>0.22557688023893491</v>
      </c>
      <c r="AG627" s="76">
        <f>IF(Entradas!$F$91&gt;0,IF(AF627-Escenarios!$F$38&lt;=0,0,IF(AF627-Escenarios!$F$38&gt;Escenarios!$F$37,Escenarios!$F$37,AF627-Escenarios!$F$38)),0)</f>
        <v>0</v>
      </c>
      <c r="AH627" s="76">
        <f>AG627*Entradas!$F$99</f>
        <v>0</v>
      </c>
      <c r="AI627" s="76">
        <f>IF(Entradas!$F$91&gt;0,D627*Entradas!$D$23/Escenarios!$F$16,0)</f>
        <v>0.18373007696052354</v>
      </c>
      <c r="AJ627" s="76">
        <f>IF(Entradas!$F$91&gt;0,Entradas!$D$24*Entradas!$D$22/Escenarios!$F$16,0)</f>
        <v>0.12</v>
      </c>
      <c r="AK627" s="76">
        <f t="shared" si="128"/>
        <v>0.18373007696052354</v>
      </c>
      <c r="AL627" s="76">
        <f t="shared" si="129"/>
        <v>0</v>
      </c>
      <c r="AM627" s="76">
        <f t="shared" si="130"/>
        <v>0</v>
      </c>
      <c r="AN627" s="76">
        <f>MAX(0,O627*Escenarios!$F$13/Escenarios!$F$16-AM627)</f>
        <v>0</v>
      </c>
      <c r="AO627" s="76">
        <f>AM627+AN627-O627*Escenarios!$F$13/Escenarios!$F$16</f>
        <v>0</v>
      </c>
      <c r="AP627" s="76">
        <f t="shared" si="131"/>
        <v>0.22557688023893491</v>
      </c>
      <c r="AQ627" s="76">
        <f t="shared" si="132"/>
        <v>0</v>
      </c>
      <c r="AR627" s="76">
        <f t="shared" si="133"/>
        <v>0.22557688023893491</v>
      </c>
      <c r="AS627" s="76">
        <f t="shared" si="134"/>
        <v>0</v>
      </c>
      <c r="AT627" s="76">
        <f t="shared" si="135"/>
        <v>0</v>
      </c>
      <c r="AU627" s="76">
        <f t="shared" si="136"/>
        <v>49.849921822410757</v>
      </c>
      <c r="AV627" s="76">
        <f>MAX(0,(AU627-Constantes!$D$13)*(1-EXP(-Constantes!$D$24)))</f>
        <v>1.6812576808359073E-2</v>
      </c>
      <c r="AW627" s="170">
        <f>AW626+(Entradas!$F$112*AT627-AX626)/(800*Entradas!$D$25)</f>
        <v>0</v>
      </c>
      <c r="AX627" s="170">
        <f>8000*Entradas!$D$26*AW627/Constantes!$F$45</f>
        <v>0</v>
      </c>
      <c r="AY627" s="170">
        <f>IF(Escenarios!$F$17&gt;0,10*Escenarios!$F$16*AL627,0)</f>
        <v>0</v>
      </c>
      <c r="AZ627" s="170">
        <f>IF(Escenarios!$F$17&gt;0,10*Escenarios!$F$16*AX627,0)</f>
        <v>0</v>
      </c>
      <c r="BA627" s="170">
        <f>IF(Escenarios!$F$17&gt;0,0.001*Observaciones!$F626*Escenarios!$F$17,0)</f>
        <v>0</v>
      </c>
      <c r="BB627" s="170">
        <f>IF(Escenarios!$F$17&gt;0,Observaciones!$K626,0)</f>
        <v>0</v>
      </c>
      <c r="BC627" s="170">
        <f>IF(Escenarios!$F$17&gt;0,MIN(0.0005*ETo!$M626*Escenarios!$F$17*(BG626/Constantes!$F$40)^(2/3),BG626+AY627+AZ627+BA627+BB627),0)</f>
        <v>0</v>
      </c>
      <c r="BD627" s="170">
        <f>IF(Escenarios!$F$17&gt;0,MIN(Constantes!$F$39*(BG626/Constantes!$F$40)^(2/3),BG626+AY627+AZ627+BA627+BB627-BC627),0)</f>
        <v>0</v>
      </c>
      <c r="BE627" s="170">
        <f>IF(Escenarios!$F$17&gt;0,MIN(Entradas!$F$113,BG626+AY627+AZ627+BA627+BB627-BC627-BD627),0)</f>
        <v>0</v>
      </c>
      <c r="BF627" s="170">
        <f>IF(Escenarios!$F$17&gt;0,MAX(0,BG626+AY627+AZ627+BA627+BB627-BC627-BD627-BE627-Constantes!$F$40),0)</f>
        <v>0</v>
      </c>
      <c r="BG627" s="170">
        <f t="shared" si="137"/>
        <v>0</v>
      </c>
      <c r="BH627" s="170">
        <f>(Escenarios!$F$16*AK627+0.1*BC627)/(Escenarios!$F$19)</f>
        <v>0.18373007696052354</v>
      </c>
      <c r="BI627" s="170">
        <f>IF(Escenarios!$F$17&gt;0,BF627/10/Escenarios!$F$19,AL627)</f>
        <v>0</v>
      </c>
      <c r="BJ627" s="170">
        <f>(Escenarios!$F$16*AT627+0.1*BD627)/(Escenarios!$F$19)</f>
        <v>0</v>
      </c>
      <c r="BK627" s="76">
        <f>BK626+(0.1*BD627)/(Escenarios!$F$19)-BL626</f>
        <v>48.75</v>
      </c>
      <c r="BL627" s="76">
        <f>MAX(0,(BK627-Constantes!$D$13)*(1-EXP(-Constantes!$D$23)))</f>
        <v>0</v>
      </c>
      <c r="BM627" s="76">
        <f t="shared" si="138"/>
        <v>0.24238945704729398</v>
      </c>
      <c r="BN627" s="76">
        <f t="shared" si="139"/>
        <v>0.24238945704729398</v>
      </c>
      <c r="BO627" s="76">
        <f>0.0526*BI627*Observaciones!$F626^1.218</f>
        <v>0</v>
      </c>
      <c r="BP627" s="76">
        <f>BO627*Constantes!$F$51</f>
        <v>0</v>
      </c>
      <c r="BQ627" s="76">
        <f t="shared" si="140"/>
        <v>0</v>
      </c>
      <c r="BR627" s="40"/>
    </row>
    <row r="628" spans="2:70">
      <c r="B628" s="39"/>
      <c r="C628" s="75">
        <v>622</v>
      </c>
      <c r="D628" s="146">
        <f>ETo!$I627*((1-Constantes!$F$19)*ETo!$K627+ETo!$L627)</f>
        <v>3.8146548843962464</v>
      </c>
      <c r="E628" s="76">
        <f>MIN(D628*Constantes!$F$17,0.8*(N627+Observaciones!$F627-F628-M628-Constantes!$D$14))</f>
        <v>0</v>
      </c>
      <c r="F628" s="76">
        <f>IF(Observaciones!$F627&gt;0.05*Constantes!$F$18,((Observaciones!$F627-0.05*Constantes!$F$18)^2)/(Observaciones!$F627+0.95*Constantes!$F$18),0)</f>
        <v>0</v>
      </c>
      <c r="G628" s="76">
        <f>IF(Escenarios!$F$11&gt;0,(F628*Escenarios!$F$16*10000)/1000,0)</f>
        <v>0</v>
      </c>
      <c r="H628" s="76">
        <f>IF(Escenarios!$F$11&gt;0,(Observaciones!$F627*Constantes!$F$29)/1000,0)</f>
        <v>0</v>
      </c>
      <c r="I628" s="76">
        <f>IF(Escenarios!$F$11&gt;0,(D628*Constantes!$F$29)/1000,0)</f>
        <v>0</v>
      </c>
      <c r="J628" s="76">
        <f>IF(Escenarios!$F$11&gt;0,MAX(0,G628+H628-I628),0)</f>
        <v>0</v>
      </c>
      <c r="K628" s="76">
        <f>IF(Escenarios!$F$11&gt;0,IF(J628&gt;Constantes!$F$30,1000*((J628-Constantes!$F$30)/(Escenarios!$F$16*10000)),0),F628)</f>
        <v>0</v>
      </c>
      <c r="L628" s="76">
        <f>IF(Escenarios!$F$11&gt;0,I628*1000/Escenarios!$F$16/10000+E628,E628)</f>
        <v>0</v>
      </c>
      <c r="M628" s="76">
        <f>MAX(0,N627+Observaciones!$F627-K628-Constantes!$D$13)</f>
        <v>0</v>
      </c>
      <c r="N628" s="76">
        <f>N627+Observaciones!$F627-K628-L628-M628-O627</f>
        <v>11.25</v>
      </c>
      <c r="O628" s="76">
        <f>MAX(0,(N628-Constantes!$D$14)*(1-EXP(-Constantes!$D$22)))</f>
        <v>0</v>
      </c>
      <c r="P628" s="170">
        <f>P627+(Entradas!$F$83*M628-Q627)/(800*Entradas!$D$25)</f>
        <v>0</v>
      </c>
      <c r="Q628" s="170">
        <f>8000*Entradas!$D$26*P628/Constantes!$F$45</f>
        <v>0</v>
      </c>
      <c r="R628" s="170">
        <f>IF(Escenarios!$F$14&gt;0,K628*Escenarios!$F$13/Escenarios!$F$14,0)</f>
        <v>0</v>
      </c>
      <c r="S628" s="170">
        <f>IF(Escenarios!$F$14&gt;0,Q628*Escenarios!$F$13/Escenarios!$F$14,0)</f>
        <v>0</v>
      </c>
      <c r="T628" s="170">
        <f>IF(Escenarios!$F$14&gt;0,Observaciones!$I627,0)</f>
        <v>0</v>
      </c>
      <c r="U628" s="170">
        <f>IF(Escenarios!$F$14&gt;0,MAX(0,Constantes!$F$36/((Z627+R628+S628+T628+Observaciones!$F627)^2)+Entradas!$F$77),0)</f>
        <v>0</v>
      </c>
      <c r="V628" s="146">
        <f>IF(ETo!D627&gt;0,ETo!I627*((1-Entradas!$F$81)*ETo!K627+ETo!L627),0)</f>
        <v>3.3741635624702258</v>
      </c>
      <c r="W628" s="170">
        <f>IF(Escenarios!$F$14&gt;0,MIN(V628*1,0.8*(Z627+R628+S628+T628+Observaciones!$F627-U628-Constantes!$F$35)),0)</f>
        <v>0</v>
      </c>
      <c r="X628" s="170">
        <f>IF(Escenarios!$F$14&gt;0,Observaciones!$J627,0)</f>
        <v>0</v>
      </c>
      <c r="Y628" s="170">
        <f>IF(Escenarios!$F$14&gt;0,MAX(0,Z627+R628+S628+T628+Observaciones!$F627-U628-W628-X628-Constantes!$F$33),0)</f>
        <v>0</v>
      </c>
      <c r="Z628" s="170">
        <f>Z627+R628+S628+T628+Observaciones!$F627-U628-W628-Y628</f>
        <v>41.25</v>
      </c>
      <c r="AA628" s="170">
        <f>IF(Escenarios!$F$14&gt;0,(Escenarios!$F$13*L628+Escenarios!$F$14*W628)/(Escenarios!$F$16),L628)</f>
        <v>0</v>
      </c>
      <c r="AB628" s="170">
        <f>IF(Escenarios!$F$14&gt;0,(Escenarios!$F$14*Y628)/(Escenarios!$F$16),K628)</f>
        <v>0</v>
      </c>
      <c r="AC628" s="170">
        <f>IF(Escenarios!$F$14&gt;0,(Escenarios!$F$13*M628+Escenarios!$F$14*U628)/(Escenarios!$F$16),M628)</f>
        <v>0</v>
      </c>
      <c r="AD628" s="76">
        <f t="shared" si="127"/>
        <v>71.418102952221119</v>
      </c>
      <c r="AE628" s="76">
        <f>MAX(0,(AD628-Constantes!$D$13)*(1-EXP(-Constantes!$D$23)))</f>
        <v>0.22335421750971376</v>
      </c>
      <c r="AF628" s="76">
        <f>AB628+O628*Escenarios!$F$13/Escenarios!$F$16+AE628</f>
        <v>0.22335421750971376</v>
      </c>
      <c r="AG628" s="76">
        <f>IF(Entradas!$F$91&gt;0,IF(AF628-Escenarios!$F$38&lt;=0,0,IF(AF628-Escenarios!$F$38&gt;Escenarios!$F$37,Escenarios!$F$37,AF628-Escenarios!$F$38)),0)</f>
        <v>0</v>
      </c>
      <c r="AH628" s="76">
        <f>AG628*Entradas!$F$99</f>
        <v>0</v>
      </c>
      <c r="AI628" s="76">
        <f>IF(Entradas!$F$91&gt;0,D628*Entradas!$D$23/Escenarios!$F$16,0)</f>
        <v>0.18310343445101984</v>
      </c>
      <c r="AJ628" s="76">
        <f>IF(Entradas!$F$91&gt;0,Entradas!$D$24*Entradas!$D$22/Escenarios!$F$16,0)</f>
        <v>0.12</v>
      </c>
      <c r="AK628" s="76">
        <f t="shared" si="128"/>
        <v>0.18310343445101984</v>
      </c>
      <c r="AL628" s="76">
        <f t="shared" si="129"/>
        <v>0</v>
      </c>
      <c r="AM628" s="76">
        <f t="shared" si="130"/>
        <v>0</v>
      </c>
      <c r="AN628" s="76">
        <f>MAX(0,O628*Escenarios!$F$13/Escenarios!$F$16-AM628)</f>
        <v>0</v>
      </c>
      <c r="AO628" s="76">
        <f>AM628+AN628-O628*Escenarios!$F$13/Escenarios!$F$16</f>
        <v>0</v>
      </c>
      <c r="AP628" s="76">
        <f t="shared" si="131"/>
        <v>0.22335421750971376</v>
      </c>
      <c r="AQ628" s="76">
        <f t="shared" si="132"/>
        <v>0</v>
      </c>
      <c r="AR628" s="76">
        <f t="shared" si="133"/>
        <v>0.22335421750971376</v>
      </c>
      <c r="AS628" s="76">
        <f t="shared" si="134"/>
        <v>0</v>
      </c>
      <c r="AT628" s="76">
        <f t="shared" si="135"/>
        <v>0</v>
      </c>
      <c r="AU628" s="76">
        <f t="shared" si="136"/>
        <v>49.833109245602401</v>
      </c>
      <c r="AV628" s="76">
        <f>MAX(0,(AU628-Constantes!$D$13)*(1-EXP(-Constantes!$D$24)))</f>
        <v>1.6555592418034507E-2</v>
      </c>
      <c r="AW628" s="170">
        <f>AW627+(Entradas!$F$112*AT628-AX627)/(800*Entradas!$D$25)</f>
        <v>0</v>
      </c>
      <c r="AX628" s="170">
        <f>8000*Entradas!$D$26*AW628/Constantes!$F$45</f>
        <v>0</v>
      </c>
      <c r="AY628" s="170">
        <f>IF(Escenarios!$F$17&gt;0,10*Escenarios!$F$16*AL628,0)</f>
        <v>0</v>
      </c>
      <c r="AZ628" s="170">
        <f>IF(Escenarios!$F$17&gt;0,10*Escenarios!$F$16*AX628,0)</f>
        <v>0</v>
      </c>
      <c r="BA628" s="170">
        <f>IF(Escenarios!$F$17&gt;0,0.001*Observaciones!$F627*Escenarios!$F$17,0)</f>
        <v>0</v>
      </c>
      <c r="BB628" s="170">
        <f>IF(Escenarios!$F$17&gt;0,Observaciones!$K627,0)</f>
        <v>0</v>
      </c>
      <c r="BC628" s="170">
        <f>IF(Escenarios!$F$17&gt;0,MIN(0.0005*ETo!$M627*Escenarios!$F$17*(BG627/Constantes!$F$40)^(2/3),BG627+AY628+AZ628+BA628+BB628),0)</f>
        <v>0</v>
      </c>
      <c r="BD628" s="170">
        <f>IF(Escenarios!$F$17&gt;0,MIN(Constantes!$F$39*(BG627/Constantes!$F$40)^(2/3),BG627+AY628+AZ628+BA628+BB628-BC628),0)</f>
        <v>0</v>
      </c>
      <c r="BE628" s="170">
        <f>IF(Escenarios!$F$17&gt;0,MIN(Entradas!$F$113,BG627+AY628+AZ628+BA628+BB628-BC628-BD628),0)</f>
        <v>0</v>
      </c>
      <c r="BF628" s="170">
        <f>IF(Escenarios!$F$17&gt;0,MAX(0,BG627+AY628+AZ628+BA628+BB628-BC628-BD628-BE628-Constantes!$F$40),0)</f>
        <v>0</v>
      </c>
      <c r="BG628" s="170">
        <f t="shared" si="137"/>
        <v>0</v>
      </c>
      <c r="BH628" s="170">
        <f>(Escenarios!$F$16*AK628+0.1*BC628)/(Escenarios!$F$19)</f>
        <v>0.18310343445101984</v>
      </c>
      <c r="BI628" s="170">
        <f>IF(Escenarios!$F$17&gt;0,BF628/10/Escenarios!$F$19,AL628)</f>
        <v>0</v>
      </c>
      <c r="BJ628" s="170">
        <f>(Escenarios!$F$16*AT628+0.1*BD628)/(Escenarios!$F$19)</f>
        <v>0</v>
      </c>
      <c r="BK628" s="76">
        <f>BK627+(0.1*BD628)/(Escenarios!$F$19)-BL627</f>
        <v>48.75</v>
      </c>
      <c r="BL628" s="76">
        <f>MAX(0,(BK628-Constantes!$D$13)*(1-EXP(-Constantes!$D$23)))</f>
        <v>0</v>
      </c>
      <c r="BM628" s="76">
        <f t="shared" si="138"/>
        <v>0.23990980992774827</v>
      </c>
      <c r="BN628" s="76">
        <f t="shared" si="139"/>
        <v>0.23990980992774827</v>
      </c>
      <c r="BO628" s="76">
        <f>0.0526*BI628*Observaciones!$F627^1.218</f>
        <v>0</v>
      </c>
      <c r="BP628" s="76">
        <f>BO628*Constantes!$F$51</f>
        <v>0</v>
      </c>
      <c r="BQ628" s="76">
        <f t="shared" si="140"/>
        <v>0</v>
      </c>
      <c r="BR628" s="40"/>
    </row>
    <row r="629" spans="2:70">
      <c r="B629" s="39"/>
      <c r="C629" s="75">
        <v>623</v>
      </c>
      <c r="D629" s="146">
        <f>ETo!$I628*((1-Constantes!$F$19)*ETo!$K628+ETo!$L628)</f>
        <v>3.8178888547485625</v>
      </c>
      <c r="E629" s="76">
        <f>MIN(D629*Constantes!$F$17,0.8*(N628+Observaciones!$F628-F629-M629-Constantes!$D$14))</f>
        <v>0.4</v>
      </c>
      <c r="F629" s="76">
        <f>IF(Observaciones!$F628&gt;0.05*Constantes!$F$18,((Observaciones!$F628-0.05*Constantes!$F$18)^2)/(Observaciones!$F628+0.95*Constantes!$F$18),0)</f>
        <v>0</v>
      </c>
      <c r="G629" s="76">
        <f>IF(Escenarios!$F$11&gt;0,(F629*Escenarios!$F$16*10000)/1000,0)</f>
        <v>0</v>
      </c>
      <c r="H629" s="76">
        <f>IF(Escenarios!$F$11&gt;0,(Observaciones!$F628*Constantes!$F$29)/1000,0)</f>
        <v>0</v>
      </c>
      <c r="I629" s="76">
        <f>IF(Escenarios!$F$11&gt;0,(D629*Constantes!$F$29)/1000,0)</f>
        <v>0</v>
      </c>
      <c r="J629" s="76">
        <f>IF(Escenarios!$F$11&gt;0,MAX(0,G629+H629-I629),0)</f>
        <v>0</v>
      </c>
      <c r="K629" s="76">
        <f>IF(Escenarios!$F$11&gt;0,IF(J629&gt;Constantes!$F$30,1000*((J629-Constantes!$F$30)/(Escenarios!$F$16*10000)),0),F629)</f>
        <v>0</v>
      </c>
      <c r="L629" s="76">
        <f>IF(Escenarios!$F$11&gt;0,I629*1000/Escenarios!$F$16/10000+E629,E629)</f>
        <v>0.4</v>
      </c>
      <c r="M629" s="76">
        <f>MAX(0,N628+Observaciones!$F628-K629-Constantes!$D$13)</f>
        <v>0</v>
      </c>
      <c r="N629" s="76">
        <f>N628+Observaciones!$F628-K629-L629-M629-O628</f>
        <v>11.35</v>
      </c>
      <c r="O629" s="76">
        <f>MAX(0,(N629-Constantes!$D$14)*(1-EXP(-Constantes!$D$22)))</f>
        <v>3.406367107515428E-3</v>
      </c>
      <c r="P629" s="170">
        <f>P628+(Entradas!$F$83*M629-Q628)/(800*Entradas!$D$25)</f>
        <v>0</v>
      </c>
      <c r="Q629" s="170">
        <f>8000*Entradas!$D$26*P629/Constantes!$F$45</f>
        <v>0</v>
      </c>
      <c r="R629" s="170">
        <f>IF(Escenarios!$F$14&gt;0,K629*Escenarios!$F$13/Escenarios!$F$14,0)</f>
        <v>0</v>
      </c>
      <c r="S629" s="170">
        <f>IF(Escenarios!$F$14&gt;0,Q629*Escenarios!$F$13/Escenarios!$F$14,0)</f>
        <v>0</v>
      </c>
      <c r="T629" s="170">
        <f>IF(Escenarios!$F$14&gt;0,Observaciones!$I628,0)</f>
        <v>0</v>
      </c>
      <c r="U629" s="170">
        <f>IF(Escenarios!$F$14&gt;0,MAX(0,Constantes!$F$36/((Z628+R629+S629+T629+Observaciones!$F628)^2)+Entradas!$F$77),0)</f>
        <v>0</v>
      </c>
      <c r="V629" s="146">
        <f>IF(ETo!D628&gt;0,ETo!I628*((1-Entradas!$F$81)*ETo!K628+ETo!L628),0)</f>
        <v>3.3774003424027721</v>
      </c>
      <c r="W629" s="170">
        <f>IF(Escenarios!$F$14&gt;0,MIN(V629*1,0.8*(Z628+R629+S629+T629+Observaciones!$F628-U629-Constantes!$F$35)),0)</f>
        <v>0.4</v>
      </c>
      <c r="X629" s="170">
        <f>IF(Escenarios!$F$14&gt;0,Observaciones!$J628,0)</f>
        <v>0</v>
      </c>
      <c r="Y629" s="170">
        <f>IF(Escenarios!$F$14&gt;0,MAX(0,Z628+R629+S629+T629+Observaciones!$F628-U629-W629-X629-Constantes!$F$33),0)</f>
        <v>0</v>
      </c>
      <c r="Z629" s="170">
        <f>Z628+R629+S629+T629+Observaciones!$F628-U629-W629-Y629</f>
        <v>41.35</v>
      </c>
      <c r="AA629" s="170">
        <f>IF(Escenarios!$F$14&gt;0,(Escenarios!$F$13*L629+Escenarios!$F$14*W629)/(Escenarios!$F$16),L629)</f>
        <v>0.4</v>
      </c>
      <c r="AB629" s="170">
        <f>IF(Escenarios!$F$14&gt;0,(Escenarios!$F$14*Y629)/(Escenarios!$F$16),K629)</f>
        <v>0</v>
      </c>
      <c r="AC629" s="170">
        <f>IF(Escenarios!$F$14&gt;0,(Escenarios!$F$13*M629+Escenarios!$F$14*U629)/(Escenarios!$F$16),M629)</f>
        <v>0</v>
      </c>
      <c r="AD629" s="76">
        <f t="shared" si="127"/>
        <v>71.194748734711411</v>
      </c>
      <c r="AE629" s="76">
        <f>MAX(0,(AD629-Constantes!$D$13)*(1-EXP(-Constantes!$D$23)))</f>
        <v>0.22115345520576071</v>
      </c>
      <c r="AF629" s="76">
        <f>AB629+O629*Escenarios!$F$13/Escenarios!$F$16+AE629</f>
        <v>0.22415105826037429</v>
      </c>
      <c r="AG629" s="76">
        <f>IF(Entradas!$F$91&gt;0,IF(AF629-Escenarios!$F$38&lt;=0,0,IF(AF629-Escenarios!$F$38&gt;Escenarios!$F$37,Escenarios!$F$37,AF629-Escenarios!$F$38)),0)</f>
        <v>0</v>
      </c>
      <c r="AH629" s="76">
        <f>AG629*Entradas!$F$99</f>
        <v>0</v>
      </c>
      <c r="AI629" s="76">
        <f>IF(Entradas!$F$91&gt;0,D629*Entradas!$D$23/Escenarios!$F$16,0)</f>
        <v>0.18325866502793098</v>
      </c>
      <c r="AJ629" s="76">
        <f>IF(Entradas!$F$91&gt;0,Entradas!$D$24*Entradas!$D$22/Escenarios!$F$16,0)</f>
        <v>0.12</v>
      </c>
      <c r="AK629" s="76">
        <f t="shared" si="128"/>
        <v>0.583258665027931</v>
      </c>
      <c r="AL629" s="76">
        <f t="shared" si="129"/>
        <v>0</v>
      </c>
      <c r="AM629" s="76">
        <f t="shared" si="130"/>
        <v>0</v>
      </c>
      <c r="AN629" s="76">
        <f>MAX(0,O629*Escenarios!$F$13/Escenarios!$F$16-AM629)</f>
        <v>2.9976030546135764E-3</v>
      </c>
      <c r="AO629" s="76">
        <f>AM629+AN629-O629*Escenarios!$F$13/Escenarios!$F$16</f>
        <v>0</v>
      </c>
      <c r="AP629" s="76">
        <f t="shared" si="131"/>
        <v>0.22115345520576071</v>
      </c>
      <c r="AQ629" s="76">
        <f t="shared" si="132"/>
        <v>0</v>
      </c>
      <c r="AR629" s="76">
        <f t="shared" si="133"/>
        <v>0.22415105826037429</v>
      </c>
      <c r="AS629" s="76">
        <f t="shared" si="134"/>
        <v>0</v>
      </c>
      <c r="AT629" s="76">
        <f t="shared" si="135"/>
        <v>0</v>
      </c>
      <c r="AU629" s="76">
        <f t="shared" si="136"/>
        <v>49.816553653184364</v>
      </c>
      <c r="AV629" s="76">
        <f>MAX(0,(AU629-Constantes!$D$13)*(1-EXP(-Constantes!$D$24)))</f>
        <v>1.6302536097607959E-2</v>
      </c>
      <c r="AW629" s="170">
        <f>AW628+(Entradas!$F$112*AT629-AX628)/(800*Entradas!$D$25)</f>
        <v>0</v>
      </c>
      <c r="AX629" s="170">
        <f>8000*Entradas!$D$26*AW629/Constantes!$F$45</f>
        <v>0</v>
      </c>
      <c r="AY629" s="170">
        <f>IF(Escenarios!$F$17&gt;0,10*Escenarios!$F$16*AL629,0)</f>
        <v>0</v>
      </c>
      <c r="AZ629" s="170">
        <f>IF(Escenarios!$F$17&gt;0,10*Escenarios!$F$16*AX629,0)</f>
        <v>0</v>
      </c>
      <c r="BA629" s="170">
        <f>IF(Escenarios!$F$17&gt;0,0.001*Observaciones!$F628*Escenarios!$F$17,0)</f>
        <v>0</v>
      </c>
      <c r="BB629" s="170">
        <f>IF(Escenarios!$F$17&gt;0,Observaciones!$K628,0)</f>
        <v>0</v>
      </c>
      <c r="BC629" s="170">
        <f>IF(Escenarios!$F$17&gt;0,MIN(0.0005*ETo!$M628*Escenarios!$F$17*(BG628/Constantes!$F$40)^(2/3),BG628+AY629+AZ629+BA629+BB629),0)</f>
        <v>0</v>
      </c>
      <c r="BD629" s="170">
        <f>IF(Escenarios!$F$17&gt;0,MIN(Constantes!$F$39*(BG628/Constantes!$F$40)^(2/3),BG628+AY629+AZ629+BA629+BB629-BC629),0)</f>
        <v>0</v>
      </c>
      <c r="BE629" s="170">
        <f>IF(Escenarios!$F$17&gt;0,MIN(Entradas!$F$113,BG628+AY629+AZ629+BA629+BB629-BC629-BD629),0)</f>
        <v>0</v>
      </c>
      <c r="BF629" s="170">
        <f>IF(Escenarios!$F$17&gt;0,MAX(0,BG628+AY629+AZ629+BA629+BB629-BC629-BD629-BE629-Constantes!$F$40),0)</f>
        <v>0</v>
      </c>
      <c r="BG629" s="170">
        <f t="shared" si="137"/>
        <v>0</v>
      </c>
      <c r="BH629" s="170">
        <f>(Escenarios!$F$16*AK629+0.1*BC629)/(Escenarios!$F$19)</f>
        <v>0.583258665027931</v>
      </c>
      <c r="BI629" s="170">
        <f>IF(Escenarios!$F$17&gt;0,BF629/10/Escenarios!$F$19,AL629)</f>
        <v>0</v>
      </c>
      <c r="BJ629" s="170">
        <f>(Escenarios!$F$16*AT629+0.1*BD629)/(Escenarios!$F$19)</f>
        <v>0</v>
      </c>
      <c r="BK629" s="76">
        <f>BK628+(0.1*BD629)/(Escenarios!$F$19)-BL628</f>
        <v>48.75</v>
      </c>
      <c r="BL629" s="76">
        <f>MAX(0,(BK629-Constantes!$D$13)*(1-EXP(-Constantes!$D$23)))</f>
        <v>0</v>
      </c>
      <c r="BM629" s="76">
        <f t="shared" si="138"/>
        <v>0.23745599130336867</v>
      </c>
      <c r="BN629" s="76">
        <f t="shared" si="139"/>
        <v>0.24045359435798225</v>
      </c>
      <c r="BO629" s="76">
        <f>0.0526*BI629*Observaciones!$F628^1.218</f>
        <v>0</v>
      </c>
      <c r="BP629" s="76">
        <f>BO629*Constantes!$F$51</f>
        <v>0</v>
      </c>
      <c r="BQ629" s="76">
        <f t="shared" si="140"/>
        <v>0</v>
      </c>
      <c r="BR629" s="40"/>
    </row>
    <row r="630" spans="2:70">
      <c r="B630" s="39"/>
      <c r="C630" s="75">
        <v>624</v>
      </c>
      <c r="D630" s="146">
        <f>ETo!$I629*((1-Constantes!$F$19)*ETo!$K629+ETo!$L629)</f>
        <v>4.0096560709396254</v>
      </c>
      <c r="E630" s="76">
        <f>MIN(D630*Constantes!$F$17,0.8*(N629+Observaciones!$F629-F630-M630-Constantes!$D$14))</f>
        <v>7.9999999999999724E-2</v>
      </c>
      <c r="F630" s="76">
        <f>IF(Observaciones!$F629&gt;0.05*Constantes!$F$18,((Observaciones!$F629-0.05*Constantes!$F$18)^2)/(Observaciones!$F629+0.95*Constantes!$F$18),0)</f>
        <v>0</v>
      </c>
      <c r="G630" s="76">
        <f>IF(Escenarios!$F$11&gt;0,(F630*Escenarios!$F$16*10000)/1000,0)</f>
        <v>0</v>
      </c>
      <c r="H630" s="76">
        <f>IF(Escenarios!$F$11&gt;0,(Observaciones!$F629*Constantes!$F$29)/1000,0)</f>
        <v>0</v>
      </c>
      <c r="I630" s="76">
        <f>IF(Escenarios!$F$11&gt;0,(D630*Constantes!$F$29)/1000,0)</f>
        <v>0</v>
      </c>
      <c r="J630" s="76">
        <f>IF(Escenarios!$F$11&gt;0,MAX(0,G630+H630-I630),0)</f>
        <v>0</v>
      </c>
      <c r="K630" s="76">
        <f>IF(Escenarios!$F$11&gt;0,IF(J630&gt;Constantes!$F$30,1000*((J630-Constantes!$F$30)/(Escenarios!$F$16*10000)),0),F630)</f>
        <v>0</v>
      </c>
      <c r="L630" s="76">
        <f>IF(Escenarios!$F$11&gt;0,I630*1000/Escenarios!$F$16/10000+E630,E630)</f>
        <v>7.9999999999999724E-2</v>
      </c>
      <c r="M630" s="76">
        <f>MAX(0,N629+Observaciones!$F629-K630-Constantes!$D$13)</f>
        <v>0</v>
      </c>
      <c r="N630" s="76">
        <f>N629+Observaciones!$F629-K630-L630-M630-O629</f>
        <v>11.266593632892484</v>
      </c>
      <c r="O630" s="76">
        <f>MAX(0,(N630-Constantes!$D$14)*(1-EXP(-Constantes!$D$22)))</f>
        <v>5.6524005279142461E-4</v>
      </c>
      <c r="P630" s="170">
        <f>P629+(Entradas!$F$83*M630-Q629)/(800*Entradas!$D$25)</f>
        <v>0</v>
      </c>
      <c r="Q630" s="170">
        <f>8000*Entradas!$D$26*P630/Constantes!$F$45</f>
        <v>0</v>
      </c>
      <c r="R630" s="170">
        <f>IF(Escenarios!$F$14&gt;0,K630*Escenarios!$F$13/Escenarios!$F$14,0)</f>
        <v>0</v>
      </c>
      <c r="S630" s="170">
        <f>IF(Escenarios!$F$14&gt;0,Q630*Escenarios!$F$13/Escenarios!$F$14,0)</f>
        <v>0</v>
      </c>
      <c r="T630" s="170">
        <f>IF(Escenarios!$F$14&gt;0,Observaciones!$I629,0)</f>
        <v>0</v>
      </c>
      <c r="U630" s="170">
        <f>IF(Escenarios!$F$14&gt;0,MAX(0,Constantes!$F$36/((Z629+R630+S630+T630+Observaciones!$F629)^2)+Entradas!$F$77),0)</f>
        <v>0</v>
      </c>
      <c r="V630" s="146">
        <f>IF(ETo!D629&gt;0,ETo!I629*((1-Entradas!$F$81)*ETo!K629+ETo!L629),0)</f>
        <v>3.549967721049434</v>
      </c>
      <c r="W630" s="170">
        <f>IF(Escenarios!$F$14&gt;0,MIN(V630*1,0.8*(Z629+R630+S630+T630+Observaciones!$F629-U630-Constantes!$F$35)),0)</f>
        <v>8.000000000000114E-2</v>
      </c>
      <c r="X630" s="170">
        <f>IF(Escenarios!$F$14&gt;0,Observaciones!$J629,0)</f>
        <v>0</v>
      </c>
      <c r="Y630" s="170">
        <f>IF(Escenarios!$F$14&gt;0,MAX(0,Z629+R630+S630+T630+Observaciones!$F629-U630-W630-X630-Constantes!$F$33),0)</f>
        <v>0</v>
      </c>
      <c r="Z630" s="170">
        <f>Z629+R630+S630+T630+Observaciones!$F629-U630-W630-Y630</f>
        <v>41.27</v>
      </c>
      <c r="AA630" s="170">
        <f>IF(Escenarios!$F$14&gt;0,(Escenarios!$F$13*L630+Escenarios!$F$14*W630)/(Escenarios!$F$16),L630)</f>
        <v>7.9999999999999905E-2</v>
      </c>
      <c r="AB630" s="170">
        <f>IF(Escenarios!$F$14&gt;0,(Escenarios!$F$14*Y630)/(Escenarios!$F$16),K630)</f>
        <v>0</v>
      </c>
      <c r="AC630" s="170">
        <f>IF(Escenarios!$F$14&gt;0,(Escenarios!$F$13*M630+Escenarios!$F$14*U630)/(Escenarios!$F$16),M630)</f>
        <v>0</v>
      </c>
      <c r="AD630" s="76">
        <f t="shared" si="127"/>
        <v>70.973595279505645</v>
      </c>
      <c r="AE630" s="76">
        <f>MAX(0,(AD630-Constantes!$D$13)*(1-EXP(-Constantes!$D$23)))</f>
        <v>0.21897437753696913</v>
      </c>
      <c r="AF630" s="76">
        <f>AB630+O630*Escenarios!$F$13/Escenarios!$F$16+AE630</f>
        <v>0.21947178878342558</v>
      </c>
      <c r="AG630" s="76">
        <f>IF(Entradas!$F$91&gt;0,IF(AF630-Escenarios!$F$38&lt;=0,0,IF(AF630-Escenarios!$F$38&gt;Escenarios!$F$37,Escenarios!$F$37,AF630-Escenarios!$F$38)),0)</f>
        <v>0</v>
      </c>
      <c r="AH630" s="76">
        <f>AG630*Entradas!$F$99</f>
        <v>0</v>
      </c>
      <c r="AI630" s="76">
        <f>IF(Entradas!$F$91&gt;0,D630*Entradas!$D$23/Escenarios!$F$16,0)</f>
        <v>0.19246349140510202</v>
      </c>
      <c r="AJ630" s="76">
        <f>IF(Entradas!$F$91&gt;0,Entradas!$D$24*Entradas!$D$22/Escenarios!$F$16,0)</f>
        <v>0.12</v>
      </c>
      <c r="AK630" s="76">
        <f t="shared" si="128"/>
        <v>0.27246349140510195</v>
      </c>
      <c r="AL630" s="76">
        <f t="shared" si="129"/>
        <v>0</v>
      </c>
      <c r="AM630" s="76">
        <f t="shared" si="130"/>
        <v>0</v>
      </c>
      <c r="AN630" s="76">
        <f>MAX(0,O630*Escenarios!$F$13/Escenarios!$F$16-AM630)</f>
        <v>4.9741124645645367E-4</v>
      </c>
      <c r="AO630" s="76">
        <f>AM630+AN630-O630*Escenarios!$F$13/Escenarios!$F$16</f>
        <v>0</v>
      </c>
      <c r="AP630" s="76">
        <f t="shared" si="131"/>
        <v>0.21897437753696913</v>
      </c>
      <c r="AQ630" s="76">
        <f t="shared" si="132"/>
        <v>0</v>
      </c>
      <c r="AR630" s="76">
        <f t="shared" si="133"/>
        <v>0.21947178878342558</v>
      </c>
      <c r="AS630" s="76">
        <f t="shared" si="134"/>
        <v>0</v>
      </c>
      <c r="AT630" s="76">
        <f t="shared" si="135"/>
        <v>0</v>
      </c>
      <c r="AU630" s="76">
        <f t="shared" si="136"/>
        <v>49.800251117086759</v>
      </c>
      <c r="AV630" s="76">
        <f>MAX(0,(AU630-Constantes!$D$13)*(1-EXP(-Constantes!$D$24)))</f>
        <v>1.6053347805560714E-2</v>
      </c>
      <c r="AW630" s="170">
        <f>AW629+(Entradas!$F$112*AT630-AX629)/(800*Entradas!$D$25)</f>
        <v>0</v>
      </c>
      <c r="AX630" s="170">
        <f>8000*Entradas!$D$26*AW630/Constantes!$F$45</f>
        <v>0</v>
      </c>
      <c r="AY630" s="170">
        <f>IF(Escenarios!$F$17&gt;0,10*Escenarios!$F$16*AL630,0)</f>
        <v>0</v>
      </c>
      <c r="AZ630" s="170">
        <f>IF(Escenarios!$F$17&gt;0,10*Escenarios!$F$16*AX630,0)</f>
        <v>0</v>
      </c>
      <c r="BA630" s="170">
        <f>IF(Escenarios!$F$17&gt;0,0.001*Observaciones!$F629*Escenarios!$F$17,0)</f>
        <v>0</v>
      </c>
      <c r="BB630" s="170">
        <f>IF(Escenarios!$F$17&gt;0,Observaciones!$K629,0)</f>
        <v>0</v>
      </c>
      <c r="BC630" s="170">
        <f>IF(Escenarios!$F$17&gt;0,MIN(0.0005*ETo!$M629*Escenarios!$F$17*(BG629/Constantes!$F$40)^(2/3),BG629+AY630+AZ630+BA630+BB630),0)</f>
        <v>0</v>
      </c>
      <c r="BD630" s="170">
        <f>IF(Escenarios!$F$17&gt;0,MIN(Constantes!$F$39*(BG629/Constantes!$F$40)^(2/3),BG629+AY630+AZ630+BA630+BB630-BC630),0)</f>
        <v>0</v>
      </c>
      <c r="BE630" s="170">
        <f>IF(Escenarios!$F$17&gt;0,MIN(Entradas!$F$113,BG629+AY630+AZ630+BA630+BB630-BC630-BD630),0)</f>
        <v>0</v>
      </c>
      <c r="BF630" s="170">
        <f>IF(Escenarios!$F$17&gt;0,MAX(0,BG629+AY630+AZ630+BA630+BB630-BC630-BD630-BE630-Constantes!$F$40),0)</f>
        <v>0</v>
      </c>
      <c r="BG630" s="170">
        <f t="shared" si="137"/>
        <v>0</v>
      </c>
      <c r="BH630" s="170">
        <f>(Escenarios!$F$16*AK630+0.1*BC630)/(Escenarios!$F$19)</f>
        <v>0.27246349140510195</v>
      </c>
      <c r="BI630" s="170">
        <f>IF(Escenarios!$F$17&gt;0,BF630/10/Escenarios!$F$19,AL630)</f>
        <v>0</v>
      </c>
      <c r="BJ630" s="170">
        <f>(Escenarios!$F$16*AT630+0.1*BD630)/(Escenarios!$F$19)</f>
        <v>0</v>
      </c>
      <c r="BK630" s="76">
        <f>BK629+(0.1*BD630)/(Escenarios!$F$19)-BL629</f>
        <v>48.75</v>
      </c>
      <c r="BL630" s="76">
        <f>MAX(0,(BK630-Constantes!$D$13)*(1-EXP(-Constantes!$D$23)))</f>
        <v>0</v>
      </c>
      <c r="BM630" s="76">
        <f t="shared" si="138"/>
        <v>0.23502772534252986</v>
      </c>
      <c r="BN630" s="76">
        <f t="shared" si="139"/>
        <v>0.2355251365889863</v>
      </c>
      <c r="BO630" s="76">
        <f>0.0526*BI630*Observaciones!$F629^1.218</f>
        <v>0</v>
      </c>
      <c r="BP630" s="76">
        <f>BO630*Constantes!$F$51</f>
        <v>0</v>
      </c>
      <c r="BQ630" s="76">
        <f t="shared" si="140"/>
        <v>0</v>
      </c>
      <c r="BR630" s="40"/>
    </row>
    <row r="631" spans="2:70">
      <c r="B631" s="39"/>
      <c r="C631" s="75">
        <v>625</v>
      </c>
      <c r="D631" s="146">
        <f>ETo!$I630*((1-Constantes!$F$19)*ETo!$K630+ETo!$L630)</f>
        <v>4.0297772369701441</v>
      </c>
      <c r="E631" s="76">
        <f>MIN(D631*Constantes!$F$17,0.8*(N630+Observaciones!$F630-F631-M631-Constantes!$D$14))</f>
        <v>1.327490631398689E-2</v>
      </c>
      <c r="F631" s="76">
        <f>IF(Observaciones!$F630&gt;0.05*Constantes!$F$18,((Observaciones!$F630-0.05*Constantes!$F$18)^2)/(Observaciones!$F630+0.95*Constantes!$F$18),0)</f>
        <v>0</v>
      </c>
      <c r="G631" s="76">
        <f>IF(Escenarios!$F$11&gt;0,(F631*Escenarios!$F$16*10000)/1000,0)</f>
        <v>0</v>
      </c>
      <c r="H631" s="76">
        <f>IF(Escenarios!$F$11&gt;0,(Observaciones!$F630*Constantes!$F$29)/1000,0)</f>
        <v>0</v>
      </c>
      <c r="I631" s="76">
        <f>IF(Escenarios!$F$11&gt;0,(D631*Constantes!$F$29)/1000,0)</f>
        <v>0</v>
      </c>
      <c r="J631" s="76">
        <f>IF(Escenarios!$F$11&gt;0,MAX(0,G631+H631-I631),0)</f>
        <v>0</v>
      </c>
      <c r="K631" s="76">
        <f>IF(Escenarios!$F$11&gt;0,IF(J631&gt;Constantes!$F$30,1000*((J631-Constantes!$F$30)/(Escenarios!$F$16*10000)),0),F631)</f>
        <v>0</v>
      </c>
      <c r="L631" s="76">
        <f>IF(Escenarios!$F$11&gt;0,I631*1000/Escenarios!$F$16/10000+E631,E631)</f>
        <v>1.327490631398689E-2</v>
      </c>
      <c r="M631" s="76">
        <f>MAX(0,N630+Observaciones!$F630-K631-Constantes!$D$13)</f>
        <v>0</v>
      </c>
      <c r="N631" s="76">
        <f>N630+Observaciones!$F630-K631-L631-M631-O630</f>
        <v>11.252753486525705</v>
      </c>
      <c r="O631" s="76">
        <f>MAX(0,(N631-Constantes!$D$14)*(1-EXP(-Constantes!$D$22)))</f>
        <v>9.379385932149447E-5</v>
      </c>
      <c r="P631" s="170">
        <f>P630+(Entradas!$F$83*M631-Q630)/(800*Entradas!$D$25)</f>
        <v>0</v>
      </c>
      <c r="Q631" s="170">
        <f>8000*Entradas!$D$26*P631/Constantes!$F$45</f>
        <v>0</v>
      </c>
      <c r="R631" s="170">
        <f>IF(Escenarios!$F$14&gt;0,K631*Escenarios!$F$13/Escenarios!$F$14,0)</f>
        <v>0</v>
      </c>
      <c r="S631" s="170">
        <f>IF(Escenarios!$F$14&gt;0,Q631*Escenarios!$F$13/Escenarios!$F$14,0)</f>
        <v>0</v>
      </c>
      <c r="T631" s="170">
        <f>IF(Escenarios!$F$14&gt;0,Observaciones!$I630,0)</f>
        <v>0</v>
      </c>
      <c r="U631" s="170">
        <f>IF(Escenarios!$F$14&gt;0,MAX(0,Constantes!$F$36/((Z630+R631+S631+T631+Observaciones!$F630)^2)+Entradas!$F$77),0)</f>
        <v>0</v>
      </c>
      <c r="V631" s="146">
        <f>IF(ETo!D630&gt;0,ETo!I630*((1-Entradas!$F$81)*ETo!K630+ETo!L630),0)</f>
        <v>3.5683564790004225</v>
      </c>
      <c r="W631" s="170">
        <f>IF(Escenarios!$F$14&gt;0,MIN(V631*1,0.8*(Z630+R631+S631+T631+Observaciones!$F630-U631-Constantes!$F$35)),0)</f>
        <v>1.6000000000002502E-2</v>
      </c>
      <c r="X631" s="170">
        <f>IF(Escenarios!$F$14&gt;0,Observaciones!$J630,0)</f>
        <v>0</v>
      </c>
      <c r="Y631" s="170">
        <f>IF(Escenarios!$F$14&gt;0,MAX(0,Z630+R631+S631+T631+Observaciones!$F630-U631-W631-X631-Constantes!$F$33),0)</f>
        <v>0</v>
      </c>
      <c r="Z631" s="170">
        <f>Z630+R631+S631+T631+Observaciones!$F630-U631-W631-Y631</f>
        <v>41.253999999999998</v>
      </c>
      <c r="AA631" s="170">
        <f>IF(Escenarios!$F$14&gt;0,(Escenarios!$F$13*L631+Escenarios!$F$14*W631)/(Escenarios!$F$16),L631)</f>
        <v>1.3601917556308763E-2</v>
      </c>
      <c r="AB631" s="170">
        <f>IF(Escenarios!$F$14&gt;0,(Escenarios!$F$14*Y631)/(Escenarios!$F$16),K631)</f>
        <v>0</v>
      </c>
      <c r="AC631" s="170">
        <f>IF(Escenarios!$F$14&gt;0,(Escenarios!$F$13*M631+Escenarios!$F$14*U631)/(Escenarios!$F$16),M631)</f>
        <v>0</v>
      </c>
      <c r="AD631" s="76">
        <f t="shared" si="127"/>
        <v>70.754620901968678</v>
      </c>
      <c r="AE631" s="76">
        <f>MAX(0,(AD631-Constantes!$D$13)*(1-EXP(-Constantes!$D$23)))</f>
        <v>0.21681677083946413</v>
      </c>
      <c r="AF631" s="76">
        <f>AB631+O631*Escenarios!$F$13/Escenarios!$F$16+AE631</f>
        <v>0.21689930943566704</v>
      </c>
      <c r="AG631" s="76">
        <f>IF(Entradas!$F$91&gt;0,IF(AF631-Escenarios!$F$38&lt;=0,0,IF(AF631-Escenarios!$F$38&gt;Escenarios!$F$37,Escenarios!$F$37,AF631-Escenarios!$F$38)),0)</f>
        <v>0</v>
      </c>
      <c r="AH631" s="76">
        <f>AG631*Entradas!$F$99</f>
        <v>0</v>
      </c>
      <c r="AI631" s="76">
        <f>IF(Entradas!$F$91&gt;0,D631*Entradas!$D$23/Escenarios!$F$16,0)</f>
        <v>0.19342930737456693</v>
      </c>
      <c r="AJ631" s="76">
        <f>IF(Entradas!$F$91&gt;0,Entradas!$D$24*Entradas!$D$22/Escenarios!$F$16,0)</f>
        <v>0.12</v>
      </c>
      <c r="AK631" s="76">
        <f t="shared" si="128"/>
        <v>0.2070312249308757</v>
      </c>
      <c r="AL631" s="76">
        <f t="shared" si="129"/>
        <v>0</v>
      </c>
      <c r="AM631" s="76">
        <f t="shared" si="130"/>
        <v>0</v>
      </c>
      <c r="AN631" s="76">
        <f>MAX(0,O631*Escenarios!$F$13/Escenarios!$F$16-AM631)</f>
        <v>8.2538596202915137E-5</v>
      </c>
      <c r="AO631" s="76">
        <f>AM631+AN631-O631*Escenarios!$F$13/Escenarios!$F$16</f>
        <v>0</v>
      </c>
      <c r="AP631" s="76">
        <f t="shared" si="131"/>
        <v>0.21681677083946413</v>
      </c>
      <c r="AQ631" s="76">
        <f t="shared" si="132"/>
        <v>0</v>
      </c>
      <c r="AR631" s="76">
        <f t="shared" si="133"/>
        <v>0.21689930943566704</v>
      </c>
      <c r="AS631" s="76">
        <f t="shared" si="134"/>
        <v>0</v>
      </c>
      <c r="AT631" s="76">
        <f t="shared" si="135"/>
        <v>0</v>
      </c>
      <c r="AU631" s="76">
        <f t="shared" si="136"/>
        <v>49.784197769281199</v>
      </c>
      <c r="AV631" s="76">
        <f>MAX(0,(AU631-Constantes!$D$13)*(1-EXP(-Constantes!$D$24)))</f>
        <v>1.5807968418123226E-2</v>
      </c>
      <c r="AW631" s="170">
        <f>AW630+(Entradas!$F$112*AT631-AX630)/(800*Entradas!$D$25)</f>
        <v>0</v>
      </c>
      <c r="AX631" s="170">
        <f>8000*Entradas!$D$26*AW631/Constantes!$F$45</f>
        <v>0</v>
      </c>
      <c r="AY631" s="170">
        <f>IF(Escenarios!$F$17&gt;0,10*Escenarios!$F$16*AL631,0)</f>
        <v>0</v>
      </c>
      <c r="AZ631" s="170">
        <f>IF(Escenarios!$F$17&gt;0,10*Escenarios!$F$16*AX631,0)</f>
        <v>0</v>
      </c>
      <c r="BA631" s="170">
        <f>IF(Escenarios!$F$17&gt;0,0.001*Observaciones!$F630*Escenarios!$F$17,0)</f>
        <v>0</v>
      </c>
      <c r="BB631" s="170">
        <f>IF(Escenarios!$F$17&gt;0,Observaciones!$K630,0)</f>
        <v>0</v>
      </c>
      <c r="BC631" s="170">
        <f>IF(Escenarios!$F$17&gt;0,MIN(0.0005*ETo!$M630*Escenarios!$F$17*(BG630/Constantes!$F$40)^(2/3),BG630+AY631+AZ631+BA631+BB631),0)</f>
        <v>0</v>
      </c>
      <c r="BD631" s="170">
        <f>IF(Escenarios!$F$17&gt;0,MIN(Constantes!$F$39*(BG630/Constantes!$F$40)^(2/3),BG630+AY631+AZ631+BA631+BB631-BC631),0)</f>
        <v>0</v>
      </c>
      <c r="BE631" s="170">
        <f>IF(Escenarios!$F$17&gt;0,MIN(Entradas!$F$113,BG630+AY631+AZ631+BA631+BB631-BC631-BD631),0)</f>
        <v>0</v>
      </c>
      <c r="BF631" s="170">
        <f>IF(Escenarios!$F$17&gt;0,MAX(0,BG630+AY631+AZ631+BA631+BB631-BC631-BD631-BE631-Constantes!$F$40),0)</f>
        <v>0</v>
      </c>
      <c r="BG631" s="170">
        <f t="shared" si="137"/>
        <v>0</v>
      </c>
      <c r="BH631" s="170">
        <f>(Escenarios!$F$16*AK631+0.1*BC631)/(Escenarios!$F$19)</f>
        <v>0.2070312249308757</v>
      </c>
      <c r="BI631" s="170">
        <f>IF(Escenarios!$F$17&gt;0,BF631/10/Escenarios!$F$19,AL631)</f>
        <v>0</v>
      </c>
      <c r="BJ631" s="170">
        <f>(Escenarios!$F$16*AT631+0.1*BD631)/(Escenarios!$F$19)</f>
        <v>0</v>
      </c>
      <c r="BK631" s="76">
        <f>BK630+(0.1*BD631)/(Escenarios!$F$19)-BL630</f>
        <v>48.75</v>
      </c>
      <c r="BL631" s="76">
        <f>MAX(0,(BK631-Constantes!$D$13)*(1-EXP(-Constantes!$D$23)))</f>
        <v>0</v>
      </c>
      <c r="BM631" s="76">
        <f t="shared" si="138"/>
        <v>0.23262473925758737</v>
      </c>
      <c r="BN631" s="76">
        <f t="shared" si="139"/>
        <v>0.23270727785379028</v>
      </c>
      <c r="BO631" s="76">
        <f>0.0526*BI631*Observaciones!$F630^1.218</f>
        <v>0</v>
      </c>
      <c r="BP631" s="76">
        <f>BO631*Constantes!$F$51</f>
        <v>0</v>
      </c>
      <c r="BQ631" s="76">
        <f t="shared" si="140"/>
        <v>0</v>
      </c>
      <c r="BR631" s="40"/>
    </row>
    <row r="632" spans="2:70">
      <c r="B632" s="39"/>
      <c r="C632" s="75">
        <v>626</v>
      </c>
      <c r="D632" s="146">
        <f>ETo!$I631*((1-Constantes!$F$19)*ETo!$K631+ETo!$L631)</f>
        <v>3.9904865291684017</v>
      </c>
      <c r="E632" s="76">
        <f>MIN(D632*Constantes!$F$17,0.8*(N631+Observaciones!$F631-F632-M632-Constantes!$D$14))</f>
        <v>2.2027892205642276E-3</v>
      </c>
      <c r="F632" s="76">
        <f>IF(Observaciones!$F631&gt;0.05*Constantes!$F$18,((Observaciones!$F631-0.05*Constantes!$F$18)^2)/(Observaciones!$F631+0.95*Constantes!$F$18),0)</f>
        <v>0</v>
      </c>
      <c r="G632" s="76">
        <f>IF(Escenarios!$F$11&gt;0,(F632*Escenarios!$F$16*10000)/1000,0)</f>
        <v>0</v>
      </c>
      <c r="H632" s="76">
        <f>IF(Escenarios!$F$11&gt;0,(Observaciones!$F631*Constantes!$F$29)/1000,0)</f>
        <v>0</v>
      </c>
      <c r="I632" s="76">
        <f>IF(Escenarios!$F$11&gt;0,(D632*Constantes!$F$29)/1000,0)</f>
        <v>0</v>
      </c>
      <c r="J632" s="76">
        <f>IF(Escenarios!$F$11&gt;0,MAX(0,G632+H632-I632),0)</f>
        <v>0</v>
      </c>
      <c r="K632" s="76">
        <f>IF(Escenarios!$F$11&gt;0,IF(J632&gt;Constantes!$F$30,1000*((J632-Constantes!$F$30)/(Escenarios!$F$16*10000)),0),F632)</f>
        <v>0</v>
      </c>
      <c r="L632" s="76">
        <f>IF(Escenarios!$F$11&gt;0,I632*1000/Escenarios!$F$16/10000+E632,E632)</f>
        <v>2.2027892205642276E-3</v>
      </c>
      <c r="M632" s="76">
        <f>MAX(0,N631+Observaciones!$F631-K632-Constantes!$D$13)</f>
        <v>0</v>
      </c>
      <c r="N632" s="76">
        <f>N631+Observaciones!$F631-K632-L632-M632-O631</f>
        <v>11.250456903445819</v>
      </c>
      <c r="O632" s="76">
        <f>MAX(0,(N632-Constantes!$D$14)*(1-EXP(-Constantes!$D$22)))</f>
        <v>1.5563808691492545E-5</v>
      </c>
      <c r="P632" s="170">
        <f>P631+(Entradas!$F$83*M632-Q631)/(800*Entradas!$D$25)</f>
        <v>0</v>
      </c>
      <c r="Q632" s="170">
        <f>8000*Entradas!$D$26*P632/Constantes!$F$45</f>
        <v>0</v>
      </c>
      <c r="R632" s="170">
        <f>IF(Escenarios!$F$14&gt;0,K632*Escenarios!$F$13/Escenarios!$F$14,0)</f>
        <v>0</v>
      </c>
      <c r="S632" s="170">
        <f>IF(Escenarios!$F$14&gt;0,Q632*Escenarios!$F$13/Escenarios!$F$14,0)</f>
        <v>0</v>
      </c>
      <c r="T632" s="170">
        <f>IF(Escenarios!$F$14&gt;0,Observaciones!$I631,0)</f>
        <v>0</v>
      </c>
      <c r="U632" s="170">
        <f>IF(Escenarios!$F$14&gt;0,MAX(0,Constantes!$F$36/((Z631+R632+S632+T632+Observaciones!$F631)^2)+Entradas!$F$77),0)</f>
        <v>0</v>
      </c>
      <c r="V632" s="146">
        <f>IF(ETo!D631&gt;0,ETo!I631*((1-Entradas!$F$81)*ETo!K631+ETo!L631),0)</f>
        <v>3.5332321741319128</v>
      </c>
      <c r="W632" s="170">
        <f>IF(Escenarios!$F$14&gt;0,MIN(V632*1,0.8*(Z631+R632+S632+T632+Observaciones!$F631-U632-Constantes!$F$35)),0)</f>
        <v>3.1999999999982268E-3</v>
      </c>
      <c r="X632" s="170">
        <f>IF(Escenarios!$F$14&gt;0,Observaciones!$J631,0)</f>
        <v>0</v>
      </c>
      <c r="Y632" s="170">
        <f>IF(Escenarios!$F$14&gt;0,MAX(0,Z631+R632+S632+T632+Observaciones!$F631-U632-W632-X632-Constantes!$F$33),0)</f>
        <v>0</v>
      </c>
      <c r="Z632" s="170">
        <f>Z631+R632+S632+T632+Observaciones!$F631-U632-W632-Y632</f>
        <v>41.250799999999998</v>
      </c>
      <c r="AA632" s="170">
        <f>IF(Escenarios!$F$14&gt;0,(Escenarios!$F$13*L632+Escenarios!$F$14*W632)/(Escenarios!$F$16),L632)</f>
        <v>2.3224545140963079E-3</v>
      </c>
      <c r="AB632" s="170">
        <f>IF(Escenarios!$F$14&gt;0,(Escenarios!$F$14*Y632)/(Escenarios!$F$16),K632)</f>
        <v>0</v>
      </c>
      <c r="AC632" s="170">
        <f>IF(Escenarios!$F$14&gt;0,(Escenarios!$F$13*M632+Escenarios!$F$14*U632)/(Escenarios!$F$16),M632)</f>
        <v>0</v>
      </c>
      <c r="AD632" s="76">
        <f t="shared" si="127"/>
        <v>70.537804131129221</v>
      </c>
      <c r="AE632" s="76">
        <f>MAX(0,(AD632-Constantes!$D$13)*(1-EXP(-Constantes!$D$23)))</f>
        <v>0.21468042355465153</v>
      </c>
      <c r="AF632" s="76">
        <f>AB632+O632*Escenarios!$F$13/Escenarios!$F$16+AE632</f>
        <v>0.21469411970630004</v>
      </c>
      <c r="AG632" s="76">
        <f>IF(Entradas!$F$91&gt;0,IF(AF632-Escenarios!$F$38&lt;=0,0,IF(AF632-Escenarios!$F$38&gt;Escenarios!$F$37,Escenarios!$F$37,AF632-Escenarios!$F$38)),0)</f>
        <v>0</v>
      </c>
      <c r="AH632" s="76">
        <f>AG632*Entradas!$F$99</f>
        <v>0</v>
      </c>
      <c r="AI632" s="76">
        <f>IF(Entradas!$F$91&gt;0,D632*Entradas!$D$23/Escenarios!$F$16,0)</f>
        <v>0.19154335340008327</v>
      </c>
      <c r="AJ632" s="76">
        <f>IF(Entradas!$F$91&gt;0,Entradas!$D$24*Entradas!$D$22/Escenarios!$F$16,0)</f>
        <v>0.12</v>
      </c>
      <c r="AK632" s="76">
        <f t="shared" si="128"/>
        <v>0.19386580791417957</v>
      </c>
      <c r="AL632" s="76">
        <f t="shared" si="129"/>
        <v>0</v>
      </c>
      <c r="AM632" s="76">
        <f t="shared" si="130"/>
        <v>0</v>
      </c>
      <c r="AN632" s="76">
        <f>MAX(0,O632*Escenarios!$F$13/Escenarios!$F$16-AM632)</f>
        <v>1.3696151648513439E-5</v>
      </c>
      <c r="AO632" s="76">
        <f>AM632+AN632-O632*Escenarios!$F$13/Escenarios!$F$16</f>
        <v>0</v>
      </c>
      <c r="AP632" s="76">
        <f t="shared" si="131"/>
        <v>0.21468042355465153</v>
      </c>
      <c r="AQ632" s="76">
        <f t="shared" si="132"/>
        <v>0</v>
      </c>
      <c r="AR632" s="76">
        <f t="shared" si="133"/>
        <v>0.21469411970630004</v>
      </c>
      <c r="AS632" s="76">
        <f t="shared" si="134"/>
        <v>0</v>
      </c>
      <c r="AT632" s="76">
        <f t="shared" si="135"/>
        <v>0</v>
      </c>
      <c r="AU632" s="76">
        <f t="shared" si="136"/>
        <v>49.768389800863076</v>
      </c>
      <c r="AV632" s="76">
        <f>MAX(0,(AU632-Constantes!$D$13)*(1-EXP(-Constantes!$D$24)))</f>
        <v>1.5566339715247506E-2</v>
      </c>
      <c r="AW632" s="170">
        <f>AW631+(Entradas!$F$112*AT632-AX631)/(800*Entradas!$D$25)</f>
        <v>0</v>
      </c>
      <c r="AX632" s="170">
        <f>8000*Entradas!$D$26*AW632/Constantes!$F$45</f>
        <v>0</v>
      </c>
      <c r="AY632" s="170">
        <f>IF(Escenarios!$F$17&gt;0,10*Escenarios!$F$16*AL632,0)</f>
        <v>0</v>
      </c>
      <c r="AZ632" s="170">
        <f>IF(Escenarios!$F$17&gt;0,10*Escenarios!$F$16*AX632,0)</f>
        <v>0</v>
      </c>
      <c r="BA632" s="170">
        <f>IF(Escenarios!$F$17&gt;0,0.001*Observaciones!$F631*Escenarios!$F$17,0)</f>
        <v>0</v>
      </c>
      <c r="BB632" s="170">
        <f>IF(Escenarios!$F$17&gt;0,Observaciones!$K631,0)</f>
        <v>0</v>
      </c>
      <c r="BC632" s="170">
        <f>IF(Escenarios!$F$17&gt;0,MIN(0.0005*ETo!$M631*Escenarios!$F$17*(BG631/Constantes!$F$40)^(2/3),BG631+AY632+AZ632+BA632+BB632),0)</f>
        <v>0</v>
      </c>
      <c r="BD632" s="170">
        <f>IF(Escenarios!$F$17&gt;0,MIN(Constantes!$F$39*(BG631/Constantes!$F$40)^(2/3),BG631+AY632+AZ632+BA632+BB632-BC632),0)</f>
        <v>0</v>
      </c>
      <c r="BE632" s="170">
        <f>IF(Escenarios!$F$17&gt;0,MIN(Entradas!$F$113,BG631+AY632+AZ632+BA632+BB632-BC632-BD632),0)</f>
        <v>0</v>
      </c>
      <c r="BF632" s="170">
        <f>IF(Escenarios!$F$17&gt;0,MAX(0,BG631+AY632+AZ632+BA632+BB632-BC632-BD632-BE632-Constantes!$F$40),0)</f>
        <v>0</v>
      </c>
      <c r="BG632" s="170">
        <f t="shared" si="137"/>
        <v>0</v>
      </c>
      <c r="BH632" s="170">
        <f>(Escenarios!$F$16*AK632+0.1*BC632)/(Escenarios!$F$19)</f>
        <v>0.19386580791417957</v>
      </c>
      <c r="BI632" s="170">
        <f>IF(Escenarios!$F$17&gt;0,BF632/10/Escenarios!$F$19,AL632)</f>
        <v>0</v>
      </c>
      <c r="BJ632" s="170">
        <f>(Escenarios!$F$16*AT632+0.1*BD632)/(Escenarios!$F$19)</f>
        <v>0</v>
      </c>
      <c r="BK632" s="76">
        <f>BK631+(0.1*BD632)/(Escenarios!$F$19)-BL631</f>
        <v>48.75</v>
      </c>
      <c r="BL632" s="76">
        <f>MAX(0,(BK632-Constantes!$D$13)*(1-EXP(-Constantes!$D$23)))</f>
        <v>0</v>
      </c>
      <c r="BM632" s="76">
        <f t="shared" si="138"/>
        <v>0.23024676326989904</v>
      </c>
      <c r="BN632" s="76">
        <f t="shared" si="139"/>
        <v>0.23026045942154755</v>
      </c>
      <c r="BO632" s="76">
        <f>0.0526*BI632*Observaciones!$F631^1.218</f>
        <v>0</v>
      </c>
      <c r="BP632" s="76">
        <f>BO632*Constantes!$F$51</f>
        <v>0</v>
      </c>
      <c r="BQ632" s="76">
        <f t="shared" si="140"/>
        <v>0</v>
      </c>
      <c r="BR632" s="40"/>
    </row>
    <row r="633" spans="2:70">
      <c r="B633" s="39"/>
      <c r="C633" s="75">
        <v>627</v>
      </c>
      <c r="D633" s="146">
        <f>ETo!$I632*((1-Constantes!$F$19)*ETo!$K632+ETo!$L632)</f>
        <v>4.1076074565789051</v>
      </c>
      <c r="E633" s="76">
        <f>MIN(D633*Constantes!$F$17,0.8*(N632+Observaciones!$F632-F633-M633-Constantes!$D$14))</f>
        <v>3.6552275665542312E-4</v>
      </c>
      <c r="F633" s="76">
        <f>IF(Observaciones!$F632&gt;0.05*Constantes!$F$18,((Observaciones!$F632-0.05*Constantes!$F$18)^2)/(Observaciones!$F632+0.95*Constantes!$F$18),0)</f>
        <v>0</v>
      </c>
      <c r="G633" s="76">
        <f>IF(Escenarios!$F$11&gt;0,(F633*Escenarios!$F$16*10000)/1000,0)</f>
        <v>0</v>
      </c>
      <c r="H633" s="76">
        <f>IF(Escenarios!$F$11&gt;0,(Observaciones!$F632*Constantes!$F$29)/1000,0)</f>
        <v>0</v>
      </c>
      <c r="I633" s="76">
        <f>IF(Escenarios!$F$11&gt;0,(D633*Constantes!$F$29)/1000,0)</f>
        <v>0</v>
      </c>
      <c r="J633" s="76">
        <f>IF(Escenarios!$F$11&gt;0,MAX(0,G633+H633-I633),0)</f>
        <v>0</v>
      </c>
      <c r="K633" s="76">
        <f>IF(Escenarios!$F$11&gt;0,IF(J633&gt;Constantes!$F$30,1000*((J633-Constantes!$F$30)/(Escenarios!$F$16*10000)),0),F633)</f>
        <v>0</v>
      </c>
      <c r="L633" s="76">
        <f>IF(Escenarios!$F$11&gt;0,I633*1000/Escenarios!$F$16/10000+E633,E633)</f>
        <v>3.6552275665542312E-4</v>
      </c>
      <c r="M633" s="76">
        <f>MAX(0,N632+Observaciones!$F632-K633-Constantes!$D$13)</f>
        <v>0</v>
      </c>
      <c r="N633" s="76">
        <f>N632+Observaciones!$F632-K633-L633-M633-O632</f>
        <v>11.250075816880472</v>
      </c>
      <c r="O633" s="76">
        <f>MAX(0,(N633-Constantes!$D$14)*(1-EXP(-Constantes!$D$22)))</f>
        <v>2.5826012783266771E-6</v>
      </c>
      <c r="P633" s="170">
        <f>P632+(Entradas!$F$83*M633-Q632)/(800*Entradas!$D$25)</f>
        <v>0</v>
      </c>
      <c r="Q633" s="170">
        <f>8000*Entradas!$D$26*P633/Constantes!$F$45</f>
        <v>0</v>
      </c>
      <c r="R633" s="170">
        <f>IF(Escenarios!$F$14&gt;0,K633*Escenarios!$F$13/Escenarios!$F$14,0)</f>
        <v>0</v>
      </c>
      <c r="S633" s="170">
        <f>IF(Escenarios!$F$14&gt;0,Q633*Escenarios!$F$13/Escenarios!$F$14,0)</f>
        <v>0</v>
      </c>
      <c r="T633" s="170">
        <f>IF(Escenarios!$F$14&gt;0,Observaciones!$I632,0)</f>
        <v>0</v>
      </c>
      <c r="U633" s="170">
        <f>IF(Escenarios!$F$14&gt;0,MAX(0,Constantes!$F$36/((Z632+R633+S633+T633+Observaciones!$F632)^2)+Entradas!$F$77),0)</f>
        <v>0</v>
      </c>
      <c r="V633" s="146">
        <f>IF(ETo!D632&gt;0,ETo!I632*((1-Entradas!$F$81)*ETo!K632+ETo!L632),0)</f>
        <v>3.6390482783666918</v>
      </c>
      <c r="W633" s="170">
        <f>IF(Escenarios!$F$14&gt;0,MIN(V633*1,0.8*(Z632+R633+S633+T633+Observaciones!$F632-U633-Constantes!$F$35)),0)</f>
        <v>6.3999999999850852E-4</v>
      </c>
      <c r="X633" s="170">
        <f>IF(Escenarios!$F$14&gt;0,Observaciones!$J632,0)</f>
        <v>0</v>
      </c>
      <c r="Y633" s="170">
        <f>IF(Escenarios!$F$14&gt;0,MAX(0,Z632+R633+S633+T633+Observaciones!$F632-U633-W633-X633-Constantes!$F$33),0)</f>
        <v>0</v>
      </c>
      <c r="Z633" s="170">
        <f>Z632+R633+S633+T633+Observaciones!$F632-U633-W633-Y633</f>
        <v>41.250160000000001</v>
      </c>
      <c r="AA633" s="170">
        <f>IF(Escenarios!$F$14&gt;0,(Escenarios!$F$13*L633+Escenarios!$F$14*W633)/(Escenarios!$F$16),L633)</f>
        <v>3.9846002585659335E-4</v>
      </c>
      <c r="AB633" s="170">
        <f>IF(Escenarios!$F$14&gt;0,(Escenarios!$F$14*Y633)/(Escenarios!$F$16),K633)</f>
        <v>0</v>
      </c>
      <c r="AC633" s="170">
        <f>IF(Escenarios!$F$14&gt;0,(Escenarios!$F$13*M633+Escenarios!$F$14*U633)/(Escenarios!$F$16),M633)</f>
        <v>0</v>
      </c>
      <c r="AD633" s="76">
        <f t="shared" si="127"/>
        <v>70.323123707574567</v>
      </c>
      <c r="AE633" s="76">
        <f>MAX(0,(AD633-Constantes!$D$13)*(1-EXP(-Constantes!$D$23)))</f>
        <v>0.21256512620847437</v>
      </c>
      <c r="AF633" s="76">
        <f>AB633+O633*Escenarios!$F$13/Escenarios!$F$16+AE633</f>
        <v>0.21256739889759929</v>
      </c>
      <c r="AG633" s="76">
        <f>IF(Entradas!$F$91&gt;0,IF(AF633-Escenarios!$F$38&lt;=0,0,IF(AF633-Escenarios!$F$38&gt;Escenarios!$F$37,Escenarios!$F$37,AF633-Escenarios!$F$38)),0)</f>
        <v>0</v>
      </c>
      <c r="AH633" s="76">
        <f>AG633*Entradas!$F$99</f>
        <v>0</v>
      </c>
      <c r="AI633" s="76">
        <f>IF(Entradas!$F$91&gt;0,D633*Entradas!$D$23/Escenarios!$F$16,0)</f>
        <v>0.19716515791578745</v>
      </c>
      <c r="AJ633" s="76">
        <f>IF(Entradas!$F$91&gt;0,Entradas!$D$24*Entradas!$D$22/Escenarios!$F$16,0)</f>
        <v>0.12</v>
      </c>
      <c r="AK633" s="76">
        <f t="shared" si="128"/>
        <v>0.19756361794164404</v>
      </c>
      <c r="AL633" s="76">
        <f t="shared" si="129"/>
        <v>0</v>
      </c>
      <c r="AM633" s="76">
        <f t="shared" si="130"/>
        <v>0</v>
      </c>
      <c r="AN633" s="76">
        <f>MAX(0,O633*Escenarios!$F$13/Escenarios!$F$16-AM633)</f>
        <v>2.2726891249274759E-6</v>
      </c>
      <c r="AO633" s="76">
        <f>AM633+AN633-O633*Escenarios!$F$13/Escenarios!$F$16</f>
        <v>0</v>
      </c>
      <c r="AP633" s="76">
        <f t="shared" si="131"/>
        <v>0.21256512620847437</v>
      </c>
      <c r="AQ633" s="76">
        <f t="shared" si="132"/>
        <v>0</v>
      </c>
      <c r="AR633" s="76">
        <f t="shared" si="133"/>
        <v>0.21256739889759929</v>
      </c>
      <c r="AS633" s="76">
        <f t="shared" si="134"/>
        <v>0</v>
      </c>
      <c r="AT633" s="76">
        <f t="shared" si="135"/>
        <v>0</v>
      </c>
      <c r="AU633" s="76">
        <f t="shared" si="136"/>
        <v>49.752823461147827</v>
      </c>
      <c r="AV633" s="76">
        <f>MAX(0,(AU633-Constantes!$D$13)*(1-EXP(-Constantes!$D$24)))</f>
        <v>1.5328404366793343E-2</v>
      </c>
      <c r="AW633" s="170">
        <f>AW632+(Entradas!$F$112*AT633-AX632)/(800*Entradas!$D$25)</f>
        <v>0</v>
      </c>
      <c r="AX633" s="170">
        <f>8000*Entradas!$D$26*AW633/Constantes!$F$45</f>
        <v>0</v>
      </c>
      <c r="AY633" s="170">
        <f>IF(Escenarios!$F$17&gt;0,10*Escenarios!$F$16*AL633,0)</f>
        <v>0</v>
      </c>
      <c r="AZ633" s="170">
        <f>IF(Escenarios!$F$17&gt;0,10*Escenarios!$F$16*AX633,0)</f>
        <v>0</v>
      </c>
      <c r="BA633" s="170">
        <f>IF(Escenarios!$F$17&gt;0,0.001*Observaciones!$F632*Escenarios!$F$17,0)</f>
        <v>0</v>
      </c>
      <c r="BB633" s="170">
        <f>IF(Escenarios!$F$17&gt;0,Observaciones!$K632,0)</f>
        <v>0</v>
      </c>
      <c r="BC633" s="170">
        <f>IF(Escenarios!$F$17&gt;0,MIN(0.0005*ETo!$M632*Escenarios!$F$17*(BG632/Constantes!$F$40)^(2/3),BG632+AY633+AZ633+BA633+BB633),0)</f>
        <v>0</v>
      </c>
      <c r="BD633" s="170">
        <f>IF(Escenarios!$F$17&gt;0,MIN(Constantes!$F$39*(BG632/Constantes!$F$40)^(2/3),BG632+AY633+AZ633+BA633+BB633-BC633),0)</f>
        <v>0</v>
      </c>
      <c r="BE633" s="170">
        <f>IF(Escenarios!$F$17&gt;0,MIN(Entradas!$F$113,BG632+AY633+AZ633+BA633+BB633-BC633-BD633),0)</f>
        <v>0</v>
      </c>
      <c r="BF633" s="170">
        <f>IF(Escenarios!$F$17&gt;0,MAX(0,BG632+AY633+AZ633+BA633+BB633-BC633-BD633-BE633-Constantes!$F$40),0)</f>
        <v>0</v>
      </c>
      <c r="BG633" s="170">
        <f t="shared" si="137"/>
        <v>0</v>
      </c>
      <c r="BH633" s="170">
        <f>(Escenarios!$F$16*AK633+0.1*BC633)/(Escenarios!$F$19)</f>
        <v>0.19756361794164404</v>
      </c>
      <c r="BI633" s="170">
        <f>IF(Escenarios!$F$17&gt;0,BF633/10/Escenarios!$F$19,AL633)</f>
        <v>0</v>
      </c>
      <c r="BJ633" s="170">
        <f>(Escenarios!$F$16*AT633+0.1*BD633)/(Escenarios!$F$19)</f>
        <v>0</v>
      </c>
      <c r="BK633" s="76">
        <f>BK632+(0.1*BD633)/(Escenarios!$F$19)-BL632</f>
        <v>48.75</v>
      </c>
      <c r="BL633" s="76">
        <f>MAX(0,(BK633-Constantes!$D$13)*(1-EXP(-Constantes!$D$23)))</f>
        <v>0</v>
      </c>
      <c r="BM633" s="76">
        <f t="shared" si="138"/>
        <v>0.22789353057526771</v>
      </c>
      <c r="BN633" s="76">
        <f t="shared" si="139"/>
        <v>0.22789580326439263</v>
      </c>
      <c r="BO633" s="76">
        <f>0.0526*BI633*Observaciones!$F632^1.218</f>
        <v>0</v>
      </c>
      <c r="BP633" s="76">
        <f>BO633*Constantes!$F$51</f>
        <v>0</v>
      </c>
      <c r="BQ633" s="76">
        <f t="shared" si="140"/>
        <v>0</v>
      </c>
      <c r="BR633" s="40"/>
    </row>
    <row r="634" spans="2:70">
      <c r="B634" s="39"/>
      <c r="C634" s="75">
        <v>628</v>
      </c>
      <c r="D634" s="146">
        <f>ETo!$I633*((1-Constantes!$F$19)*ETo!$K633+ETo!$L633)</f>
        <v>4.203986119168249</v>
      </c>
      <c r="E634" s="76">
        <f>MIN(D634*Constantes!$F$17,0.8*(N633+Observaciones!$F633-F634-M634-Constantes!$D$14))</f>
        <v>6.0653504377228273E-5</v>
      </c>
      <c r="F634" s="76">
        <f>IF(Observaciones!$F633&gt;0.05*Constantes!$F$18,((Observaciones!$F633-0.05*Constantes!$F$18)^2)/(Observaciones!$F633+0.95*Constantes!$F$18),0)</f>
        <v>0</v>
      </c>
      <c r="G634" s="76">
        <f>IF(Escenarios!$F$11&gt;0,(F634*Escenarios!$F$16*10000)/1000,0)</f>
        <v>0</v>
      </c>
      <c r="H634" s="76">
        <f>IF(Escenarios!$F$11&gt;0,(Observaciones!$F633*Constantes!$F$29)/1000,0)</f>
        <v>0</v>
      </c>
      <c r="I634" s="76">
        <f>IF(Escenarios!$F$11&gt;0,(D634*Constantes!$F$29)/1000,0)</f>
        <v>0</v>
      </c>
      <c r="J634" s="76">
        <f>IF(Escenarios!$F$11&gt;0,MAX(0,G634+H634-I634),0)</f>
        <v>0</v>
      </c>
      <c r="K634" s="76">
        <f>IF(Escenarios!$F$11&gt;0,IF(J634&gt;Constantes!$F$30,1000*((J634-Constantes!$F$30)/(Escenarios!$F$16*10000)),0),F634)</f>
        <v>0</v>
      </c>
      <c r="L634" s="76">
        <f>IF(Escenarios!$F$11&gt;0,I634*1000/Escenarios!$F$16/10000+E634,E634)</f>
        <v>6.0653504377228273E-5</v>
      </c>
      <c r="M634" s="76">
        <f>MAX(0,N633+Observaciones!$F633-K634-Constantes!$D$13)</f>
        <v>0</v>
      </c>
      <c r="N634" s="76">
        <f>N633+Observaciones!$F633-K634-L634-M634-O633</f>
        <v>11.250012580774817</v>
      </c>
      <c r="O634" s="76">
        <f>MAX(0,(N634-Constantes!$D$14)*(1-EXP(-Constantes!$D$22)))</f>
        <v>4.2854737522270467E-7</v>
      </c>
      <c r="P634" s="170">
        <f>P633+(Entradas!$F$83*M634-Q633)/(800*Entradas!$D$25)</f>
        <v>0</v>
      </c>
      <c r="Q634" s="170">
        <f>8000*Entradas!$D$26*P634/Constantes!$F$45</f>
        <v>0</v>
      </c>
      <c r="R634" s="170">
        <f>IF(Escenarios!$F$14&gt;0,K634*Escenarios!$F$13/Escenarios!$F$14,0)</f>
        <v>0</v>
      </c>
      <c r="S634" s="170">
        <f>IF(Escenarios!$F$14&gt;0,Q634*Escenarios!$F$13/Escenarios!$F$14,0)</f>
        <v>0</v>
      </c>
      <c r="T634" s="170">
        <f>IF(Escenarios!$F$14&gt;0,Observaciones!$I633,0)</f>
        <v>0</v>
      </c>
      <c r="U634" s="170">
        <f>IF(Escenarios!$F$14&gt;0,MAX(0,Constantes!$F$36/((Z633+R634+S634+T634+Observaciones!$F633)^2)+Entradas!$F$77),0)</f>
        <v>0</v>
      </c>
      <c r="V634" s="146">
        <f>IF(ETo!D633&gt;0,ETo!I633*((1-Entradas!$F$81)*ETo!K633+ETo!L633),0)</f>
        <v>3.7264180171208046</v>
      </c>
      <c r="W634" s="170">
        <f>IF(Escenarios!$F$14&gt;0,MIN(V634*1,0.8*(Z633+R634+S634+T634+Observaciones!$F633-U634-Constantes!$F$35)),0)</f>
        <v>1.2800000000083857E-4</v>
      </c>
      <c r="X634" s="170">
        <f>IF(Escenarios!$F$14&gt;0,Observaciones!$J633,0)</f>
        <v>0</v>
      </c>
      <c r="Y634" s="170">
        <f>IF(Escenarios!$F$14&gt;0,MAX(0,Z633+R634+S634+T634+Observaciones!$F633-U634-W634-X634-Constantes!$F$33),0)</f>
        <v>0</v>
      </c>
      <c r="Z634" s="170">
        <f>Z633+R634+S634+T634+Observaciones!$F633-U634-W634-Y634</f>
        <v>41.250031999999997</v>
      </c>
      <c r="AA634" s="170">
        <f>IF(Escenarios!$F$14&gt;0,(Escenarios!$F$13*L634+Escenarios!$F$14*W634)/(Escenarios!$F$16),L634)</f>
        <v>6.873508385206151E-5</v>
      </c>
      <c r="AB634" s="170">
        <f>IF(Escenarios!$F$14&gt;0,(Escenarios!$F$14*Y634)/(Escenarios!$F$16),K634)</f>
        <v>0</v>
      </c>
      <c r="AC634" s="170">
        <f>IF(Escenarios!$F$14&gt;0,(Escenarios!$F$13*M634+Escenarios!$F$14*U634)/(Escenarios!$F$16),M634)</f>
        <v>0</v>
      </c>
      <c r="AD634" s="76">
        <f t="shared" si="127"/>
        <v>70.110558581366092</v>
      </c>
      <c r="AE634" s="76">
        <f>MAX(0,(AD634-Constantes!$D$13)*(1-EXP(-Constantes!$D$23)))</f>
        <v>0.21047067139087372</v>
      </c>
      <c r="AF634" s="76">
        <f>AB634+O634*Escenarios!$F$13/Escenarios!$F$16+AE634</f>
        <v>0.21047104851256393</v>
      </c>
      <c r="AG634" s="76">
        <f>IF(Entradas!$F$91&gt;0,IF(AF634-Escenarios!$F$38&lt;=0,0,IF(AF634-Escenarios!$F$38&gt;Escenarios!$F$37,Escenarios!$F$37,AF634-Escenarios!$F$38)),0)</f>
        <v>0</v>
      </c>
      <c r="AH634" s="76">
        <f>AG634*Entradas!$F$99</f>
        <v>0</v>
      </c>
      <c r="AI634" s="76">
        <f>IF(Entradas!$F$91&gt;0,D634*Entradas!$D$23/Escenarios!$F$16,0)</f>
        <v>0.20179133372007596</v>
      </c>
      <c r="AJ634" s="76">
        <f>IF(Entradas!$F$91&gt;0,Entradas!$D$24*Entradas!$D$22/Escenarios!$F$16,0)</f>
        <v>0.12</v>
      </c>
      <c r="AK634" s="76">
        <f t="shared" si="128"/>
        <v>0.20186006880392801</v>
      </c>
      <c r="AL634" s="76">
        <f t="shared" si="129"/>
        <v>0</v>
      </c>
      <c r="AM634" s="76">
        <f t="shared" si="130"/>
        <v>0</v>
      </c>
      <c r="AN634" s="76">
        <f>MAX(0,O634*Escenarios!$F$13/Escenarios!$F$16-AM634)</f>
        <v>3.7712169019598015E-7</v>
      </c>
      <c r="AO634" s="76">
        <f>AM634+AN634-O634*Escenarios!$F$13/Escenarios!$F$16</f>
        <v>0</v>
      </c>
      <c r="AP634" s="76">
        <f t="shared" si="131"/>
        <v>0.21047067139087372</v>
      </c>
      <c r="AQ634" s="76">
        <f t="shared" si="132"/>
        <v>0</v>
      </c>
      <c r="AR634" s="76">
        <f t="shared" si="133"/>
        <v>0.21047104851256393</v>
      </c>
      <c r="AS634" s="76">
        <f t="shared" si="134"/>
        <v>0</v>
      </c>
      <c r="AT634" s="76">
        <f t="shared" si="135"/>
        <v>0</v>
      </c>
      <c r="AU634" s="76">
        <f t="shared" si="136"/>
        <v>49.737495056781036</v>
      </c>
      <c r="AV634" s="76">
        <f>MAX(0,(AU634-Constantes!$D$13)*(1-EXP(-Constantes!$D$24)))</f>
        <v>1.5094105918926E-2</v>
      </c>
      <c r="AW634" s="170">
        <f>AW633+(Entradas!$F$112*AT634-AX633)/(800*Entradas!$D$25)</f>
        <v>0</v>
      </c>
      <c r="AX634" s="170">
        <f>8000*Entradas!$D$26*AW634/Constantes!$F$45</f>
        <v>0</v>
      </c>
      <c r="AY634" s="170">
        <f>IF(Escenarios!$F$17&gt;0,10*Escenarios!$F$16*AL634,0)</f>
        <v>0</v>
      </c>
      <c r="AZ634" s="170">
        <f>IF(Escenarios!$F$17&gt;0,10*Escenarios!$F$16*AX634,0)</f>
        <v>0</v>
      </c>
      <c r="BA634" s="170">
        <f>IF(Escenarios!$F$17&gt;0,0.001*Observaciones!$F633*Escenarios!$F$17,0)</f>
        <v>0</v>
      </c>
      <c r="BB634" s="170">
        <f>IF(Escenarios!$F$17&gt;0,Observaciones!$K633,0)</f>
        <v>0</v>
      </c>
      <c r="BC634" s="170">
        <f>IF(Escenarios!$F$17&gt;0,MIN(0.0005*ETo!$M633*Escenarios!$F$17*(BG633/Constantes!$F$40)^(2/3),BG633+AY634+AZ634+BA634+BB634),0)</f>
        <v>0</v>
      </c>
      <c r="BD634" s="170">
        <f>IF(Escenarios!$F$17&gt;0,MIN(Constantes!$F$39*(BG633/Constantes!$F$40)^(2/3),BG633+AY634+AZ634+BA634+BB634-BC634),0)</f>
        <v>0</v>
      </c>
      <c r="BE634" s="170">
        <f>IF(Escenarios!$F$17&gt;0,MIN(Entradas!$F$113,BG633+AY634+AZ634+BA634+BB634-BC634-BD634),0)</f>
        <v>0</v>
      </c>
      <c r="BF634" s="170">
        <f>IF(Escenarios!$F$17&gt;0,MAX(0,BG633+AY634+AZ634+BA634+BB634-BC634-BD634-BE634-Constantes!$F$40),0)</f>
        <v>0</v>
      </c>
      <c r="BG634" s="170">
        <f t="shared" si="137"/>
        <v>0</v>
      </c>
      <c r="BH634" s="170">
        <f>(Escenarios!$F$16*AK634+0.1*BC634)/(Escenarios!$F$19)</f>
        <v>0.20186006880392801</v>
      </c>
      <c r="BI634" s="170">
        <f>IF(Escenarios!$F$17&gt;0,BF634/10/Escenarios!$F$19,AL634)</f>
        <v>0</v>
      </c>
      <c r="BJ634" s="170">
        <f>(Escenarios!$F$16*AT634+0.1*BD634)/(Escenarios!$F$19)</f>
        <v>0</v>
      </c>
      <c r="BK634" s="76">
        <f>BK633+(0.1*BD634)/(Escenarios!$F$19)-BL633</f>
        <v>48.75</v>
      </c>
      <c r="BL634" s="76">
        <f>MAX(0,(BK634-Constantes!$D$13)*(1-EXP(-Constantes!$D$23)))</f>
        <v>0</v>
      </c>
      <c r="BM634" s="76">
        <f t="shared" si="138"/>
        <v>0.22556477730979971</v>
      </c>
      <c r="BN634" s="76">
        <f t="shared" si="139"/>
        <v>0.22556515443148992</v>
      </c>
      <c r="BO634" s="76">
        <f>0.0526*BI634*Observaciones!$F633^1.218</f>
        <v>0</v>
      </c>
      <c r="BP634" s="76">
        <f>BO634*Constantes!$F$51</f>
        <v>0</v>
      </c>
      <c r="BQ634" s="76">
        <f t="shared" si="140"/>
        <v>0</v>
      </c>
      <c r="BR634" s="40"/>
    </row>
    <row r="635" spans="2:70">
      <c r="B635" s="39"/>
      <c r="C635" s="75">
        <v>629</v>
      </c>
      <c r="D635" s="146">
        <f>ETo!$I634*((1-Constantes!$F$19)*ETo!$K634+ETo!$L634)</f>
        <v>4.1252153782849836</v>
      </c>
      <c r="E635" s="76">
        <f>MIN(D635*Constantes!$F$17,0.8*(N634+Observaciones!$F634-F635-M635-Constantes!$D$14))</f>
        <v>1.0064619853267232E-5</v>
      </c>
      <c r="F635" s="76">
        <f>IF(Observaciones!$F634&gt;0.05*Constantes!$F$18,((Observaciones!$F634-0.05*Constantes!$F$18)^2)/(Observaciones!$F634+0.95*Constantes!$F$18),0)</f>
        <v>0</v>
      </c>
      <c r="G635" s="76">
        <f>IF(Escenarios!$F$11&gt;0,(F635*Escenarios!$F$16*10000)/1000,0)</f>
        <v>0</v>
      </c>
      <c r="H635" s="76">
        <f>IF(Escenarios!$F$11&gt;0,(Observaciones!$F634*Constantes!$F$29)/1000,0)</f>
        <v>0</v>
      </c>
      <c r="I635" s="76">
        <f>IF(Escenarios!$F$11&gt;0,(D635*Constantes!$F$29)/1000,0)</f>
        <v>0</v>
      </c>
      <c r="J635" s="76">
        <f>IF(Escenarios!$F$11&gt;0,MAX(0,G635+H635-I635),0)</f>
        <v>0</v>
      </c>
      <c r="K635" s="76">
        <f>IF(Escenarios!$F$11&gt;0,IF(J635&gt;Constantes!$F$30,1000*((J635-Constantes!$F$30)/(Escenarios!$F$16*10000)),0),F635)</f>
        <v>0</v>
      </c>
      <c r="L635" s="76">
        <f>IF(Escenarios!$F$11&gt;0,I635*1000/Escenarios!$F$16/10000+E635,E635)</f>
        <v>1.0064619853267232E-5</v>
      </c>
      <c r="M635" s="76">
        <f>MAX(0,N634+Observaciones!$F634-K635-Constantes!$D$13)</f>
        <v>0</v>
      </c>
      <c r="N635" s="76">
        <f>N634+Observaciones!$F634-K635-L635-M635-O634</f>
        <v>11.250002087607587</v>
      </c>
      <c r="O635" s="76">
        <f>MAX(0,(N635-Constantes!$D$14)*(1-EXP(-Constantes!$D$22)))</f>
        <v>7.1111578185816569E-8</v>
      </c>
      <c r="P635" s="170">
        <f>P634+(Entradas!$F$83*M635-Q634)/(800*Entradas!$D$25)</f>
        <v>0</v>
      </c>
      <c r="Q635" s="170">
        <f>8000*Entradas!$D$26*P635/Constantes!$F$45</f>
        <v>0</v>
      </c>
      <c r="R635" s="170">
        <f>IF(Escenarios!$F$14&gt;0,K635*Escenarios!$F$13/Escenarios!$F$14,0)</f>
        <v>0</v>
      </c>
      <c r="S635" s="170">
        <f>IF(Escenarios!$F$14&gt;0,Q635*Escenarios!$F$13/Escenarios!$F$14,0)</f>
        <v>0</v>
      </c>
      <c r="T635" s="170">
        <f>IF(Escenarios!$F$14&gt;0,Observaciones!$I634,0)</f>
        <v>0</v>
      </c>
      <c r="U635" s="170">
        <f>IF(Escenarios!$F$14&gt;0,MAX(0,Constantes!$F$36/((Z634+R635+S635+T635+Observaciones!$F634)^2)+Entradas!$F$77),0)</f>
        <v>0</v>
      </c>
      <c r="V635" s="146">
        <f>IF(ETo!D634&gt;0,ETo!I634*((1-Entradas!$F$81)*ETo!K634+ETo!L634),0)</f>
        <v>3.6553812394671761</v>
      </c>
      <c r="W635" s="170">
        <f>IF(Escenarios!$F$14&gt;0,MIN(V635*1,0.8*(Z634+R635+S635+T635+Observaciones!$F634-U635-Constantes!$F$35)),0)</f>
        <v>2.5599999997893977E-5</v>
      </c>
      <c r="X635" s="170">
        <f>IF(Escenarios!$F$14&gt;0,Observaciones!$J634,0)</f>
        <v>0</v>
      </c>
      <c r="Y635" s="170">
        <f>IF(Escenarios!$F$14&gt;0,MAX(0,Z634+R635+S635+T635+Observaciones!$F634-U635-W635-X635-Constantes!$F$33),0)</f>
        <v>0</v>
      </c>
      <c r="Z635" s="170">
        <f>Z634+R635+S635+T635+Observaciones!$F634-U635-W635-Y635</f>
        <v>41.250006399999997</v>
      </c>
      <c r="AA635" s="170">
        <f>IF(Escenarios!$F$14&gt;0,(Escenarios!$F$13*L635+Escenarios!$F$14*W635)/(Escenarios!$F$16),L635)</f>
        <v>1.192886547062244E-5</v>
      </c>
      <c r="AB635" s="170">
        <f>IF(Escenarios!$F$14&gt;0,(Escenarios!$F$14*Y635)/(Escenarios!$F$16),K635)</f>
        <v>0</v>
      </c>
      <c r="AC635" s="170">
        <f>IF(Escenarios!$F$14&gt;0,(Escenarios!$F$13*M635+Escenarios!$F$14*U635)/(Escenarios!$F$16),M635)</f>
        <v>0</v>
      </c>
      <c r="AD635" s="76">
        <f t="shared" si="127"/>
        <v>69.900087909975213</v>
      </c>
      <c r="AE635" s="76">
        <f>MAX(0,(AD635-Constantes!$D$13)*(1-EXP(-Constantes!$D$23)))</f>
        <v>0.20839685373545108</v>
      </c>
      <c r="AF635" s="76">
        <f>AB635+O635*Escenarios!$F$13/Escenarios!$F$16+AE635</f>
        <v>0.20839691631363988</v>
      </c>
      <c r="AG635" s="76">
        <f>IF(Entradas!$F$91&gt;0,IF(AF635-Escenarios!$F$38&lt;=0,0,IF(AF635-Escenarios!$F$38&gt;Escenarios!$F$37,Escenarios!$F$37,AF635-Escenarios!$F$38)),0)</f>
        <v>0</v>
      </c>
      <c r="AH635" s="76">
        <f>AG635*Entradas!$F$99</f>
        <v>0</v>
      </c>
      <c r="AI635" s="76">
        <f>IF(Entradas!$F$91&gt;0,D635*Entradas!$D$23/Escenarios!$F$16,0)</f>
        <v>0.19801033815767921</v>
      </c>
      <c r="AJ635" s="76">
        <f>IF(Entradas!$F$91&gt;0,Entradas!$D$24*Entradas!$D$22/Escenarios!$F$16,0)</f>
        <v>0.12</v>
      </c>
      <c r="AK635" s="76">
        <f t="shared" si="128"/>
        <v>0.19802226702314984</v>
      </c>
      <c r="AL635" s="76">
        <f t="shared" si="129"/>
        <v>0</v>
      </c>
      <c r="AM635" s="76">
        <f t="shared" si="130"/>
        <v>0</v>
      </c>
      <c r="AN635" s="76">
        <f>MAX(0,O635*Escenarios!$F$13/Escenarios!$F$16-AM635)</f>
        <v>6.2578188803518575E-8</v>
      </c>
      <c r="AO635" s="76">
        <f>AM635+AN635-O635*Escenarios!$F$13/Escenarios!$F$16</f>
        <v>0</v>
      </c>
      <c r="AP635" s="76">
        <f t="shared" si="131"/>
        <v>0.20839685373545108</v>
      </c>
      <c r="AQ635" s="76">
        <f t="shared" si="132"/>
        <v>0</v>
      </c>
      <c r="AR635" s="76">
        <f t="shared" si="133"/>
        <v>0.20839691631363988</v>
      </c>
      <c r="AS635" s="76">
        <f t="shared" si="134"/>
        <v>0</v>
      </c>
      <c r="AT635" s="76">
        <f t="shared" si="135"/>
        <v>0</v>
      </c>
      <c r="AU635" s="76">
        <f t="shared" si="136"/>
        <v>49.722400950862109</v>
      </c>
      <c r="AV635" s="76">
        <f>MAX(0,(AU635-Constantes!$D$13)*(1-EXP(-Constantes!$D$24)))</f>
        <v>1.4863388780721343E-2</v>
      </c>
      <c r="AW635" s="170">
        <f>AW634+(Entradas!$F$112*AT635-AX634)/(800*Entradas!$D$25)</f>
        <v>0</v>
      </c>
      <c r="AX635" s="170">
        <f>8000*Entradas!$D$26*AW635/Constantes!$F$45</f>
        <v>0</v>
      </c>
      <c r="AY635" s="170">
        <f>IF(Escenarios!$F$17&gt;0,10*Escenarios!$F$16*AL635,0)</f>
        <v>0</v>
      </c>
      <c r="AZ635" s="170">
        <f>IF(Escenarios!$F$17&gt;0,10*Escenarios!$F$16*AX635,0)</f>
        <v>0</v>
      </c>
      <c r="BA635" s="170">
        <f>IF(Escenarios!$F$17&gt;0,0.001*Observaciones!$F634*Escenarios!$F$17,0)</f>
        <v>0</v>
      </c>
      <c r="BB635" s="170">
        <f>IF(Escenarios!$F$17&gt;0,Observaciones!$K634,0)</f>
        <v>0</v>
      </c>
      <c r="BC635" s="170">
        <f>IF(Escenarios!$F$17&gt;0,MIN(0.0005*ETo!$M634*Escenarios!$F$17*(BG634/Constantes!$F$40)^(2/3),BG634+AY635+AZ635+BA635+BB635),0)</f>
        <v>0</v>
      </c>
      <c r="BD635" s="170">
        <f>IF(Escenarios!$F$17&gt;0,MIN(Constantes!$F$39*(BG634/Constantes!$F$40)^(2/3),BG634+AY635+AZ635+BA635+BB635-BC635),0)</f>
        <v>0</v>
      </c>
      <c r="BE635" s="170">
        <f>IF(Escenarios!$F$17&gt;0,MIN(Entradas!$F$113,BG634+AY635+AZ635+BA635+BB635-BC635-BD635),0)</f>
        <v>0</v>
      </c>
      <c r="BF635" s="170">
        <f>IF(Escenarios!$F$17&gt;0,MAX(0,BG634+AY635+AZ635+BA635+BB635-BC635-BD635-BE635-Constantes!$F$40),0)</f>
        <v>0</v>
      </c>
      <c r="BG635" s="170">
        <f t="shared" si="137"/>
        <v>0</v>
      </c>
      <c r="BH635" s="170">
        <f>(Escenarios!$F$16*AK635+0.1*BC635)/(Escenarios!$F$19)</f>
        <v>0.19802226702314984</v>
      </c>
      <c r="BI635" s="170">
        <f>IF(Escenarios!$F$17&gt;0,BF635/10/Escenarios!$F$19,AL635)</f>
        <v>0</v>
      </c>
      <c r="BJ635" s="170">
        <f>(Escenarios!$F$16*AT635+0.1*BD635)/(Escenarios!$F$19)</f>
        <v>0</v>
      </c>
      <c r="BK635" s="76">
        <f>BK634+(0.1*BD635)/(Escenarios!$F$19)-BL634</f>
        <v>48.75</v>
      </c>
      <c r="BL635" s="76">
        <f>MAX(0,(BK635-Constantes!$D$13)*(1-EXP(-Constantes!$D$23)))</f>
        <v>0</v>
      </c>
      <c r="BM635" s="76">
        <f t="shared" si="138"/>
        <v>0.22326024251617244</v>
      </c>
      <c r="BN635" s="76">
        <f t="shared" si="139"/>
        <v>0.22326030509436123</v>
      </c>
      <c r="BO635" s="76">
        <f>0.0526*BI635*Observaciones!$F634^1.218</f>
        <v>0</v>
      </c>
      <c r="BP635" s="76">
        <f>BO635*Constantes!$F$51</f>
        <v>0</v>
      </c>
      <c r="BQ635" s="76">
        <f t="shared" si="140"/>
        <v>0</v>
      </c>
      <c r="BR635" s="40"/>
    </row>
    <row r="636" spans="2:70">
      <c r="B636" s="39"/>
      <c r="C636" s="75">
        <v>630</v>
      </c>
      <c r="D636" s="146">
        <f>ETo!$I635*((1-Constantes!$F$19)*ETo!$K635+ETo!$L635)</f>
        <v>4.0585985858066884</v>
      </c>
      <c r="E636" s="76">
        <f>MIN(D636*Constantes!$F$17,0.8*(N635+Observaciones!$F635-F636-M636-Constantes!$D$14))</f>
        <v>1.670086069793797E-6</v>
      </c>
      <c r="F636" s="76">
        <f>IF(Observaciones!$F635&gt;0.05*Constantes!$F$18,((Observaciones!$F635-0.05*Constantes!$F$18)^2)/(Observaciones!$F635+0.95*Constantes!$F$18),0)</f>
        <v>0</v>
      </c>
      <c r="G636" s="76">
        <f>IF(Escenarios!$F$11&gt;0,(F636*Escenarios!$F$16*10000)/1000,0)</f>
        <v>0</v>
      </c>
      <c r="H636" s="76">
        <f>IF(Escenarios!$F$11&gt;0,(Observaciones!$F635*Constantes!$F$29)/1000,0)</f>
        <v>0</v>
      </c>
      <c r="I636" s="76">
        <f>IF(Escenarios!$F$11&gt;0,(D636*Constantes!$F$29)/1000,0)</f>
        <v>0</v>
      </c>
      <c r="J636" s="76">
        <f>IF(Escenarios!$F$11&gt;0,MAX(0,G636+H636-I636),0)</f>
        <v>0</v>
      </c>
      <c r="K636" s="76">
        <f>IF(Escenarios!$F$11&gt;0,IF(J636&gt;Constantes!$F$30,1000*((J636-Constantes!$F$30)/(Escenarios!$F$16*10000)),0),F636)</f>
        <v>0</v>
      </c>
      <c r="L636" s="76">
        <f>IF(Escenarios!$F$11&gt;0,I636*1000/Escenarios!$F$16/10000+E636,E636)</f>
        <v>1.670086069793797E-6</v>
      </c>
      <c r="M636" s="76">
        <f>MAX(0,N635+Observaciones!$F635-K636-Constantes!$D$13)</f>
        <v>0</v>
      </c>
      <c r="N636" s="76">
        <f>N635+Observaciones!$F635-K636-L636-M636-O635</f>
        <v>11.250000346409939</v>
      </c>
      <c r="O636" s="76">
        <f>MAX(0,(N636-Constantes!$D$14)*(1-EXP(-Constantes!$D$22)))</f>
        <v>1.1799994217763935E-8</v>
      </c>
      <c r="P636" s="170">
        <f>P635+(Entradas!$F$83*M636-Q635)/(800*Entradas!$D$25)</f>
        <v>0</v>
      </c>
      <c r="Q636" s="170">
        <f>8000*Entradas!$D$26*P636/Constantes!$F$45</f>
        <v>0</v>
      </c>
      <c r="R636" s="170">
        <f>IF(Escenarios!$F$14&gt;0,K636*Escenarios!$F$13/Escenarios!$F$14,0)</f>
        <v>0</v>
      </c>
      <c r="S636" s="170">
        <f>IF(Escenarios!$F$14&gt;0,Q636*Escenarios!$F$13/Escenarios!$F$14,0)</f>
        <v>0</v>
      </c>
      <c r="T636" s="170">
        <f>IF(Escenarios!$F$14&gt;0,Observaciones!$I635,0)</f>
        <v>0</v>
      </c>
      <c r="U636" s="170">
        <f>IF(Escenarios!$F$14&gt;0,MAX(0,Constantes!$F$36/((Z635+R636+S636+T636+Observaciones!$F635)^2)+Entradas!$F$77),0)</f>
        <v>0</v>
      </c>
      <c r="V636" s="146">
        <f>IF(ETo!D635&gt;0,ETo!I635*((1-Entradas!$F$81)*ETo!K635+ETo!L635),0)</f>
        <v>3.5955589602402145</v>
      </c>
      <c r="W636" s="170">
        <f>IF(Escenarios!$F$14&gt;0,MIN(V636*1,0.8*(Z635+R636+S636+T636+Observaciones!$F635-U636-Constantes!$F$35)),0)</f>
        <v>5.1199999973050581E-6</v>
      </c>
      <c r="X636" s="170">
        <f>IF(Escenarios!$F$14&gt;0,Observaciones!$J635,0)</f>
        <v>0</v>
      </c>
      <c r="Y636" s="170">
        <f>IF(Escenarios!$F$14&gt;0,MAX(0,Z635+R636+S636+T636+Observaciones!$F635-U636-W636-X636-Constantes!$F$33),0)</f>
        <v>0</v>
      </c>
      <c r="Z636" s="170">
        <f>Z635+R636+S636+T636+Observaciones!$F635-U636-W636-Y636</f>
        <v>41.250001279999999</v>
      </c>
      <c r="AA636" s="170">
        <f>IF(Escenarios!$F$14&gt;0,(Escenarios!$F$13*L636+Escenarios!$F$14*W636)/(Escenarios!$F$16),L636)</f>
        <v>2.0840757410951481E-6</v>
      </c>
      <c r="AB636" s="170">
        <f>IF(Escenarios!$F$14&gt;0,(Escenarios!$F$14*Y636)/(Escenarios!$F$16),K636)</f>
        <v>0</v>
      </c>
      <c r="AC636" s="170">
        <f>IF(Escenarios!$F$14&gt;0,(Escenarios!$F$13*M636+Escenarios!$F$14*U636)/(Escenarios!$F$16),M636)</f>
        <v>0</v>
      </c>
      <c r="AD636" s="76">
        <f t="shared" si="127"/>
        <v>69.691691056239762</v>
      </c>
      <c r="AE636" s="76">
        <f>MAX(0,(AD636-Constantes!$D$13)*(1-EXP(-Constantes!$D$23)))</f>
        <v>0.20634346989933228</v>
      </c>
      <c r="AF636" s="76">
        <f>AB636+O636*Escenarios!$F$13/Escenarios!$F$16+AE636</f>
        <v>0.20634348028332719</v>
      </c>
      <c r="AG636" s="76">
        <f>IF(Entradas!$F$91&gt;0,IF(AF636-Escenarios!$F$38&lt;=0,0,IF(AF636-Escenarios!$F$38&gt;Escenarios!$F$37,Escenarios!$F$37,AF636-Escenarios!$F$38)),0)</f>
        <v>0</v>
      </c>
      <c r="AH636" s="76">
        <f>AG636*Entradas!$F$99</f>
        <v>0</v>
      </c>
      <c r="AI636" s="76">
        <f>IF(Entradas!$F$91&gt;0,D636*Entradas!$D$23/Escenarios!$F$16,0)</f>
        <v>0.19481273211872105</v>
      </c>
      <c r="AJ636" s="76">
        <f>IF(Entradas!$F$91&gt;0,Entradas!$D$24*Entradas!$D$22/Escenarios!$F$16,0)</f>
        <v>0.12</v>
      </c>
      <c r="AK636" s="76">
        <f t="shared" si="128"/>
        <v>0.19481481619446214</v>
      </c>
      <c r="AL636" s="76">
        <f t="shared" si="129"/>
        <v>0</v>
      </c>
      <c r="AM636" s="76">
        <f t="shared" si="130"/>
        <v>0</v>
      </c>
      <c r="AN636" s="76">
        <f>MAX(0,O636*Escenarios!$F$13/Escenarios!$F$16-AM636)</f>
        <v>1.0383994911632263E-8</v>
      </c>
      <c r="AO636" s="76">
        <f>AM636+AN636-O636*Escenarios!$F$13/Escenarios!$F$16</f>
        <v>0</v>
      </c>
      <c r="AP636" s="76">
        <f t="shared" si="131"/>
        <v>0.20634346989933228</v>
      </c>
      <c r="AQ636" s="76">
        <f t="shared" si="132"/>
        <v>0</v>
      </c>
      <c r="AR636" s="76">
        <f t="shared" si="133"/>
        <v>0.20634348028332719</v>
      </c>
      <c r="AS636" s="76">
        <f t="shared" si="134"/>
        <v>0</v>
      </c>
      <c r="AT636" s="76">
        <f t="shared" si="135"/>
        <v>0</v>
      </c>
      <c r="AU636" s="76">
        <f t="shared" si="136"/>
        <v>49.707537562081392</v>
      </c>
      <c r="AV636" s="76">
        <f>MAX(0,(AU636-Constantes!$D$13)*(1-EXP(-Constantes!$D$24)))</f>
        <v>1.4636198210976469E-2</v>
      </c>
      <c r="AW636" s="170">
        <f>AW635+(Entradas!$F$112*AT636-AX635)/(800*Entradas!$D$25)</f>
        <v>0</v>
      </c>
      <c r="AX636" s="170">
        <f>8000*Entradas!$D$26*AW636/Constantes!$F$45</f>
        <v>0</v>
      </c>
      <c r="AY636" s="170">
        <f>IF(Escenarios!$F$17&gt;0,10*Escenarios!$F$16*AL636,0)</f>
        <v>0</v>
      </c>
      <c r="AZ636" s="170">
        <f>IF(Escenarios!$F$17&gt;0,10*Escenarios!$F$16*AX636,0)</f>
        <v>0</v>
      </c>
      <c r="BA636" s="170">
        <f>IF(Escenarios!$F$17&gt;0,0.001*Observaciones!$F635*Escenarios!$F$17,0)</f>
        <v>0</v>
      </c>
      <c r="BB636" s="170">
        <f>IF(Escenarios!$F$17&gt;0,Observaciones!$K635,0)</f>
        <v>0</v>
      </c>
      <c r="BC636" s="170">
        <f>IF(Escenarios!$F$17&gt;0,MIN(0.0005*ETo!$M635*Escenarios!$F$17*(BG635/Constantes!$F$40)^(2/3),BG635+AY636+AZ636+BA636+BB636),0)</f>
        <v>0</v>
      </c>
      <c r="BD636" s="170">
        <f>IF(Escenarios!$F$17&gt;0,MIN(Constantes!$F$39*(BG635/Constantes!$F$40)^(2/3),BG635+AY636+AZ636+BA636+BB636-BC636),0)</f>
        <v>0</v>
      </c>
      <c r="BE636" s="170">
        <f>IF(Escenarios!$F$17&gt;0,MIN(Entradas!$F$113,BG635+AY636+AZ636+BA636+BB636-BC636-BD636),0)</f>
        <v>0</v>
      </c>
      <c r="BF636" s="170">
        <f>IF(Escenarios!$F$17&gt;0,MAX(0,BG635+AY636+AZ636+BA636+BB636-BC636-BD636-BE636-Constantes!$F$40),0)</f>
        <v>0</v>
      </c>
      <c r="BG636" s="170">
        <f t="shared" si="137"/>
        <v>0</v>
      </c>
      <c r="BH636" s="170">
        <f>(Escenarios!$F$16*AK636+0.1*BC636)/(Escenarios!$F$19)</f>
        <v>0.19481481619446214</v>
      </c>
      <c r="BI636" s="170">
        <f>IF(Escenarios!$F$17&gt;0,BF636/10/Escenarios!$F$19,AL636)</f>
        <v>0</v>
      </c>
      <c r="BJ636" s="170">
        <f>(Escenarios!$F$16*AT636+0.1*BD636)/(Escenarios!$F$19)</f>
        <v>0</v>
      </c>
      <c r="BK636" s="76">
        <f>BK635+(0.1*BD636)/(Escenarios!$F$19)-BL635</f>
        <v>48.75</v>
      </c>
      <c r="BL636" s="76">
        <f>MAX(0,(BK636-Constantes!$D$13)*(1-EXP(-Constantes!$D$23)))</f>
        <v>0</v>
      </c>
      <c r="BM636" s="76">
        <f t="shared" si="138"/>
        <v>0.22097966811030875</v>
      </c>
      <c r="BN636" s="76">
        <f t="shared" si="139"/>
        <v>0.22097967849430367</v>
      </c>
      <c r="BO636" s="76">
        <f>0.0526*BI636*Observaciones!$F635^1.218</f>
        <v>0</v>
      </c>
      <c r="BP636" s="76">
        <f>BO636*Constantes!$F$51</f>
        <v>0</v>
      </c>
      <c r="BQ636" s="76">
        <f t="shared" si="140"/>
        <v>0</v>
      </c>
      <c r="BR636" s="40"/>
    </row>
    <row r="637" spans="2:70">
      <c r="B637" s="39"/>
      <c r="C637" s="75">
        <v>631</v>
      </c>
      <c r="D637" s="146">
        <f>ETo!$I636*((1-Constantes!$F$19)*ETo!$K636+ETo!$L636)</f>
        <v>3.9569173641250894</v>
      </c>
      <c r="E637" s="76">
        <f>MIN(D637*Constantes!$F$17,0.8*(N636+Observaciones!$F636-F637-M637-Constantes!$D$14))</f>
        <v>2.7712795116485725E-7</v>
      </c>
      <c r="F637" s="76">
        <f>IF(Observaciones!$F636&gt;0.05*Constantes!$F$18,((Observaciones!$F636-0.05*Constantes!$F$18)^2)/(Observaciones!$F636+0.95*Constantes!$F$18),0)</f>
        <v>0</v>
      </c>
      <c r="G637" s="76">
        <f>IF(Escenarios!$F$11&gt;0,(F637*Escenarios!$F$16*10000)/1000,0)</f>
        <v>0</v>
      </c>
      <c r="H637" s="76">
        <f>IF(Escenarios!$F$11&gt;0,(Observaciones!$F636*Constantes!$F$29)/1000,0)</f>
        <v>0</v>
      </c>
      <c r="I637" s="76">
        <f>IF(Escenarios!$F$11&gt;0,(D637*Constantes!$F$29)/1000,0)</f>
        <v>0</v>
      </c>
      <c r="J637" s="76">
        <f>IF(Escenarios!$F$11&gt;0,MAX(0,G637+H637-I637),0)</f>
        <v>0</v>
      </c>
      <c r="K637" s="76">
        <f>IF(Escenarios!$F$11&gt;0,IF(J637&gt;Constantes!$F$30,1000*((J637-Constantes!$F$30)/(Escenarios!$F$16*10000)),0),F637)</f>
        <v>0</v>
      </c>
      <c r="L637" s="76">
        <f>IF(Escenarios!$F$11&gt;0,I637*1000/Escenarios!$F$16/10000+E637,E637)</f>
        <v>2.7712795116485725E-7</v>
      </c>
      <c r="M637" s="76">
        <f>MAX(0,N636+Observaciones!$F636-K637-Constantes!$D$13)</f>
        <v>0</v>
      </c>
      <c r="N637" s="76">
        <f>N636+Observaciones!$F636-K637-L637-M637-O636</f>
        <v>11.250000057481994</v>
      </c>
      <c r="O637" s="76">
        <f>MAX(0,(N637-Constantes!$D$14)*(1-EXP(-Constantes!$D$22)))</f>
        <v>1.9580477457471514E-9</v>
      </c>
      <c r="P637" s="170">
        <f>P636+(Entradas!$F$83*M637-Q636)/(800*Entradas!$D$25)</f>
        <v>0</v>
      </c>
      <c r="Q637" s="170">
        <f>8000*Entradas!$D$26*P637/Constantes!$F$45</f>
        <v>0</v>
      </c>
      <c r="R637" s="170">
        <f>IF(Escenarios!$F$14&gt;0,K637*Escenarios!$F$13/Escenarios!$F$14,0)</f>
        <v>0</v>
      </c>
      <c r="S637" s="170">
        <f>IF(Escenarios!$F$14&gt;0,Q637*Escenarios!$F$13/Escenarios!$F$14,0)</f>
        <v>0</v>
      </c>
      <c r="T637" s="170">
        <f>IF(Escenarios!$F$14&gt;0,Observaciones!$I636,0)</f>
        <v>0</v>
      </c>
      <c r="U637" s="170">
        <f>IF(Escenarios!$F$14&gt;0,MAX(0,Constantes!$F$36/((Z636+R637+S637+T637+Observaciones!$F636)^2)+Entradas!$F$77),0)</f>
        <v>0</v>
      </c>
      <c r="V637" s="146">
        <f>IF(ETo!D636&gt;0,ETo!I636*((1-Entradas!$F$81)*ETo!K636+ETo!L636),0)</f>
        <v>3.5044720868514712</v>
      </c>
      <c r="W637" s="170">
        <f>IF(Escenarios!$F$14&gt;0,MIN(V637*1,0.8*(Z636+R637+S637+T637+Observaciones!$F636-U637-Constantes!$F$35)),0)</f>
        <v>1.0239999994610116E-6</v>
      </c>
      <c r="X637" s="170">
        <f>IF(Escenarios!$F$14&gt;0,Observaciones!$J636,0)</f>
        <v>0</v>
      </c>
      <c r="Y637" s="170">
        <f>IF(Escenarios!$F$14&gt;0,MAX(0,Z636+R637+S637+T637+Observaciones!$F636-U637-W637-X637-Constantes!$F$33),0)</f>
        <v>0</v>
      </c>
      <c r="Z637" s="170">
        <f>Z636+R637+S637+T637+Observaciones!$F636-U637-W637-Y637</f>
        <v>41.250000256</v>
      </c>
      <c r="AA637" s="170">
        <f>IF(Escenarios!$F$14&gt;0,(Escenarios!$F$13*L637+Escenarios!$F$14*W637)/(Escenarios!$F$16),L637)</f>
        <v>3.6675259696039573E-7</v>
      </c>
      <c r="AB637" s="170">
        <f>IF(Escenarios!$F$14&gt;0,(Escenarios!$F$14*Y637)/(Escenarios!$F$16),K637)</f>
        <v>0</v>
      </c>
      <c r="AC637" s="170">
        <f>IF(Escenarios!$F$14&gt;0,(Escenarios!$F$13*M637+Escenarios!$F$14*U637)/(Escenarios!$F$16),M637)</f>
        <v>0</v>
      </c>
      <c r="AD637" s="76">
        <f t="shared" si="127"/>
        <v>69.485347586340424</v>
      </c>
      <c r="AE637" s="76">
        <f>MAX(0,(AD637-Constantes!$D$13)*(1-EXP(-Constantes!$D$23)))</f>
        <v>0.20431031854322862</v>
      </c>
      <c r="AF637" s="76">
        <f>AB637+O637*Escenarios!$F$13/Escenarios!$F$16+AE637</f>
        <v>0.20431032026631063</v>
      </c>
      <c r="AG637" s="76">
        <f>IF(Entradas!$F$91&gt;0,IF(AF637-Escenarios!$F$38&lt;=0,0,IF(AF637-Escenarios!$F$38&gt;Escenarios!$F$37,Escenarios!$F$37,AF637-Escenarios!$F$38)),0)</f>
        <v>0</v>
      </c>
      <c r="AH637" s="76">
        <f>AG637*Entradas!$F$99</f>
        <v>0</v>
      </c>
      <c r="AI637" s="76">
        <f>IF(Entradas!$F$91&gt;0,D637*Entradas!$D$23/Escenarios!$F$16,0)</f>
        <v>0.18993203347800428</v>
      </c>
      <c r="AJ637" s="76">
        <f>IF(Entradas!$F$91&gt;0,Entradas!$D$24*Entradas!$D$22/Escenarios!$F$16,0)</f>
        <v>0.12</v>
      </c>
      <c r="AK637" s="76">
        <f t="shared" si="128"/>
        <v>0.18993240023060123</v>
      </c>
      <c r="AL637" s="76">
        <f t="shared" si="129"/>
        <v>0</v>
      </c>
      <c r="AM637" s="76">
        <f t="shared" si="130"/>
        <v>0</v>
      </c>
      <c r="AN637" s="76">
        <f>MAX(0,O637*Escenarios!$F$13/Escenarios!$F$16-AM637)</f>
        <v>1.7230820162574932E-9</v>
      </c>
      <c r="AO637" s="76">
        <f>AM637+AN637-O637*Escenarios!$F$13/Escenarios!$F$16</f>
        <v>0</v>
      </c>
      <c r="AP637" s="76">
        <f t="shared" si="131"/>
        <v>0.20431031854322862</v>
      </c>
      <c r="AQ637" s="76">
        <f t="shared" si="132"/>
        <v>0</v>
      </c>
      <c r="AR637" s="76">
        <f t="shared" si="133"/>
        <v>0.20431032026631063</v>
      </c>
      <c r="AS637" s="76">
        <f t="shared" si="134"/>
        <v>0</v>
      </c>
      <c r="AT637" s="76">
        <f t="shared" si="135"/>
        <v>0</v>
      </c>
      <c r="AU637" s="76">
        <f t="shared" si="136"/>
        <v>49.692901363870412</v>
      </c>
      <c r="AV637" s="76">
        <f>MAX(0,(AU637-Constantes!$D$13)*(1-EXP(-Constantes!$D$24)))</f>
        <v>1.441248030522101E-2</v>
      </c>
      <c r="AW637" s="170">
        <f>AW636+(Entradas!$F$112*AT637-AX636)/(800*Entradas!$D$25)</f>
        <v>0</v>
      </c>
      <c r="AX637" s="170">
        <f>8000*Entradas!$D$26*AW637/Constantes!$F$45</f>
        <v>0</v>
      </c>
      <c r="AY637" s="170">
        <f>IF(Escenarios!$F$17&gt;0,10*Escenarios!$F$16*AL637,0)</f>
        <v>0</v>
      </c>
      <c r="AZ637" s="170">
        <f>IF(Escenarios!$F$17&gt;0,10*Escenarios!$F$16*AX637,0)</f>
        <v>0</v>
      </c>
      <c r="BA637" s="170">
        <f>IF(Escenarios!$F$17&gt;0,0.001*Observaciones!$F636*Escenarios!$F$17,0)</f>
        <v>0</v>
      </c>
      <c r="BB637" s="170">
        <f>IF(Escenarios!$F$17&gt;0,Observaciones!$K636,0)</f>
        <v>0</v>
      </c>
      <c r="BC637" s="170">
        <f>IF(Escenarios!$F$17&gt;0,MIN(0.0005*ETo!$M636*Escenarios!$F$17*(BG636/Constantes!$F$40)^(2/3),BG636+AY637+AZ637+BA637+BB637),0)</f>
        <v>0</v>
      </c>
      <c r="BD637" s="170">
        <f>IF(Escenarios!$F$17&gt;0,MIN(Constantes!$F$39*(BG636/Constantes!$F$40)^(2/3),BG636+AY637+AZ637+BA637+BB637-BC637),0)</f>
        <v>0</v>
      </c>
      <c r="BE637" s="170">
        <f>IF(Escenarios!$F$17&gt;0,MIN(Entradas!$F$113,BG636+AY637+AZ637+BA637+BB637-BC637-BD637),0)</f>
        <v>0</v>
      </c>
      <c r="BF637" s="170">
        <f>IF(Escenarios!$F$17&gt;0,MAX(0,BG636+AY637+AZ637+BA637+BB637-BC637-BD637-BE637-Constantes!$F$40),0)</f>
        <v>0</v>
      </c>
      <c r="BG637" s="170">
        <f t="shared" si="137"/>
        <v>0</v>
      </c>
      <c r="BH637" s="170">
        <f>(Escenarios!$F$16*AK637+0.1*BC637)/(Escenarios!$F$19)</f>
        <v>0.18993240023060123</v>
      </c>
      <c r="BI637" s="170">
        <f>IF(Escenarios!$F$17&gt;0,BF637/10/Escenarios!$F$19,AL637)</f>
        <v>0</v>
      </c>
      <c r="BJ637" s="170">
        <f>(Escenarios!$F$16*AT637+0.1*BD637)/(Escenarios!$F$19)</f>
        <v>0</v>
      </c>
      <c r="BK637" s="76">
        <f>BK636+(0.1*BD637)/(Escenarios!$F$19)-BL636</f>
        <v>48.75</v>
      </c>
      <c r="BL637" s="76">
        <f>MAX(0,(BK637-Constantes!$D$13)*(1-EXP(-Constantes!$D$23)))</f>
        <v>0</v>
      </c>
      <c r="BM637" s="76">
        <f t="shared" si="138"/>
        <v>0.21872279884844964</v>
      </c>
      <c r="BN637" s="76">
        <f t="shared" si="139"/>
        <v>0.21872280057153165</v>
      </c>
      <c r="BO637" s="76">
        <f>0.0526*BI637*Observaciones!$F636^1.218</f>
        <v>0</v>
      </c>
      <c r="BP637" s="76">
        <f>BO637*Constantes!$F$51</f>
        <v>0</v>
      </c>
      <c r="BQ637" s="76">
        <f t="shared" si="140"/>
        <v>0</v>
      </c>
      <c r="BR637" s="40"/>
    </row>
    <row r="638" spans="2:70">
      <c r="B638" s="39"/>
      <c r="C638" s="75">
        <v>632</v>
      </c>
      <c r="D638" s="146">
        <f>ETo!$I637*((1-Constantes!$F$19)*ETo!$K637+ETo!$L637)</f>
        <v>4.0265785359611579</v>
      </c>
      <c r="E638" s="76">
        <f>MIN(D638*Constantes!$F$17,0.8*(N637+Observaciones!$F637-F638-M638-Constantes!$D$14))</f>
        <v>1.6000000459855954</v>
      </c>
      <c r="F638" s="76">
        <f>IF(Observaciones!$F637&gt;0.05*Constantes!$F$18,((Observaciones!$F637-0.05*Constantes!$F$18)^2)/(Observaciones!$F637+0.95*Constantes!$F$18),0)</f>
        <v>0</v>
      </c>
      <c r="G638" s="76">
        <f>IF(Escenarios!$F$11&gt;0,(F638*Escenarios!$F$16*10000)/1000,0)</f>
        <v>0</v>
      </c>
      <c r="H638" s="76">
        <f>IF(Escenarios!$F$11&gt;0,(Observaciones!$F637*Constantes!$F$29)/1000,0)</f>
        <v>0</v>
      </c>
      <c r="I638" s="76">
        <f>IF(Escenarios!$F$11&gt;0,(D638*Constantes!$F$29)/1000,0)</f>
        <v>0</v>
      </c>
      <c r="J638" s="76">
        <f>IF(Escenarios!$F$11&gt;0,MAX(0,G638+H638-I638),0)</f>
        <v>0</v>
      </c>
      <c r="K638" s="76">
        <f>IF(Escenarios!$F$11&gt;0,IF(J638&gt;Constantes!$F$30,1000*((J638-Constantes!$F$30)/(Escenarios!$F$16*10000)),0),F638)</f>
        <v>0</v>
      </c>
      <c r="L638" s="76">
        <f>IF(Escenarios!$F$11&gt;0,I638*1000/Escenarios!$F$16/10000+E638,E638)</f>
        <v>1.6000000459855954</v>
      </c>
      <c r="M638" s="76">
        <f>MAX(0,N637+Observaciones!$F637-K638-Constantes!$D$13)</f>
        <v>0</v>
      </c>
      <c r="N638" s="76">
        <f>N637+Observaciones!$F637-K638-L638-M638-O637</f>
        <v>11.650000009538351</v>
      </c>
      <c r="O638" s="76">
        <f>MAX(0,(N638-Constantes!$D$14)*(1-EXP(-Constantes!$D$22)))</f>
        <v>1.3625468754973008E-2</v>
      </c>
      <c r="P638" s="170">
        <f>P637+(Entradas!$F$83*M638-Q637)/(800*Entradas!$D$25)</f>
        <v>0</v>
      </c>
      <c r="Q638" s="170">
        <f>8000*Entradas!$D$26*P638/Constantes!$F$45</f>
        <v>0</v>
      </c>
      <c r="R638" s="170">
        <f>IF(Escenarios!$F$14&gt;0,K638*Escenarios!$F$13/Escenarios!$F$14,0)</f>
        <v>0</v>
      </c>
      <c r="S638" s="170">
        <f>IF(Escenarios!$F$14&gt;0,Q638*Escenarios!$F$13/Escenarios!$F$14,0)</f>
        <v>0</v>
      </c>
      <c r="T638" s="170">
        <f>IF(Escenarios!$F$14&gt;0,Observaciones!$I637,0)</f>
        <v>0</v>
      </c>
      <c r="U638" s="170">
        <f>IF(Escenarios!$F$14&gt;0,MAX(0,Constantes!$F$36/((Z637+R638+S638+T638+Observaciones!$F637)^2)+Entradas!$F$77),0)</f>
        <v>0</v>
      </c>
      <c r="V638" s="146">
        <f>IF(ETo!D637&gt;0,ETo!I637*((1-Entradas!$F$81)*ETo!K637+ETo!L637),0)</f>
        <v>3.5672668536414744</v>
      </c>
      <c r="W638" s="170">
        <f>IF(Escenarios!$F$14&gt;0,MIN(V638*1,0.8*(Z637+R638+S638+T638+Observaciones!$F637-U638-Constantes!$F$35)),0)</f>
        <v>1.6000002047999999</v>
      </c>
      <c r="X638" s="170">
        <f>IF(Escenarios!$F$14&gt;0,Observaciones!$J637,0)</f>
        <v>0</v>
      </c>
      <c r="Y638" s="170">
        <f>IF(Escenarios!$F$14&gt;0,MAX(0,Z637+R638+S638+T638+Observaciones!$F637-U638-W638-X638-Constantes!$F$33),0)</f>
        <v>0</v>
      </c>
      <c r="Z638" s="170">
        <f>Z637+R638+S638+T638+Observaciones!$F637-U638-W638-Y638</f>
        <v>41.650000051200003</v>
      </c>
      <c r="AA638" s="170">
        <f>IF(Escenarios!$F$14&gt;0,(Escenarios!$F$13*L638+Escenarios!$F$14*W638)/(Escenarios!$F$16),L638)</f>
        <v>1.6000000650433239</v>
      </c>
      <c r="AB638" s="170">
        <f>IF(Escenarios!$F$14&gt;0,(Escenarios!$F$14*Y638)/(Escenarios!$F$16),K638)</f>
        <v>0</v>
      </c>
      <c r="AC638" s="170">
        <f>IF(Escenarios!$F$14&gt;0,(Escenarios!$F$13*M638+Escenarios!$F$14*U638)/(Escenarios!$F$16),M638)</f>
        <v>0</v>
      </c>
      <c r="AD638" s="76">
        <f t="shared" si="127"/>
        <v>69.281037267797203</v>
      </c>
      <c r="AE638" s="76">
        <f>MAX(0,(AD638-Constantes!$D$13)*(1-EXP(-Constantes!$D$23)))</f>
        <v>0.20229720031169568</v>
      </c>
      <c r="AF638" s="76">
        <f>AB638+O638*Escenarios!$F$13/Escenarios!$F$16+AE638</f>
        <v>0.21428761281607192</v>
      </c>
      <c r="AG638" s="76">
        <f>IF(Entradas!$F$91&gt;0,IF(AF638-Escenarios!$F$38&lt;=0,0,IF(AF638-Escenarios!$F$38&gt;Escenarios!$F$37,Escenarios!$F$37,AF638-Escenarios!$F$38)),0)</f>
        <v>0</v>
      </c>
      <c r="AH638" s="76">
        <f>AG638*Entradas!$F$99</f>
        <v>0</v>
      </c>
      <c r="AI638" s="76">
        <f>IF(Entradas!$F$91&gt;0,D638*Entradas!$D$23/Escenarios!$F$16,0)</f>
        <v>0.19327576972613558</v>
      </c>
      <c r="AJ638" s="76">
        <f>IF(Entradas!$F$91&gt;0,Entradas!$D$24*Entradas!$D$22/Escenarios!$F$16,0)</f>
        <v>0.12</v>
      </c>
      <c r="AK638" s="76">
        <f t="shared" si="128"/>
        <v>1.7932758347694595</v>
      </c>
      <c r="AL638" s="76">
        <f t="shared" si="129"/>
        <v>0</v>
      </c>
      <c r="AM638" s="76">
        <f t="shared" si="130"/>
        <v>0</v>
      </c>
      <c r="AN638" s="76">
        <f>MAX(0,O638*Escenarios!$F$13/Escenarios!$F$16-AM638)</f>
        <v>1.1990412504376246E-2</v>
      </c>
      <c r="AO638" s="76">
        <f>AM638+AN638-O638*Escenarios!$F$13/Escenarios!$F$16</f>
        <v>0</v>
      </c>
      <c r="AP638" s="76">
        <f t="shared" si="131"/>
        <v>0.20229720031169568</v>
      </c>
      <c r="AQ638" s="76">
        <f t="shared" si="132"/>
        <v>0</v>
      </c>
      <c r="AR638" s="76">
        <f t="shared" si="133"/>
        <v>0.21428761281607192</v>
      </c>
      <c r="AS638" s="76">
        <f t="shared" si="134"/>
        <v>0</v>
      </c>
      <c r="AT638" s="76">
        <f t="shared" si="135"/>
        <v>0</v>
      </c>
      <c r="AU638" s="76">
        <f t="shared" si="136"/>
        <v>49.678488883565194</v>
      </c>
      <c r="AV638" s="76">
        <f>MAX(0,(AU638-Constantes!$D$13)*(1-EXP(-Constantes!$D$24)))</f>
        <v>1.419218198292811E-2</v>
      </c>
      <c r="AW638" s="170">
        <f>AW637+(Entradas!$F$112*AT638-AX637)/(800*Entradas!$D$25)</f>
        <v>0</v>
      </c>
      <c r="AX638" s="170">
        <f>8000*Entradas!$D$26*AW638/Constantes!$F$45</f>
        <v>0</v>
      </c>
      <c r="AY638" s="170">
        <f>IF(Escenarios!$F$17&gt;0,10*Escenarios!$F$16*AL638,0)</f>
        <v>0</v>
      </c>
      <c r="AZ638" s="170">
        <f>IF(Escenarios!$F$17&gt;0,10*Escenarios!$F$16*AX638,0)</f>
        <v>0</v>
      </c>
      <c r="BA638" s="170">
        <f>IF(Escenarios!$F$17&gt;0,0.001*Observaciones!$F637*Escenarios!$F$17,0)</f>
        <v>0</v>
      </c>
      <c r="BB638" s="170">
        <f>IF(Escenarios!$F$17&gt;0,Observaciones!$K637,0)</f>
        <v>0</v>
      </c>
      <c r="BC638" s="170">
        <f>IF(Escenarios!$F$17&gt;0,MIN(0.0005*ETo!$M637*Escenarios!$F$17*(BG637/Constantes!$F$40)^(2/3),BG637+AY638+AZ638+BA638+BB638),0)</f>
        <v>0</v>
      </c>
      <c r="BD638" s="170">
        <f>IF(Escenarios!$F$17&gt;0,MIN(Constantes!$F$39*(BG637/Constantes!$F$40)^(2/3),BG637+AY638+AZ638+BA638+BB638-BC638),0)</f>
        <v>0</v>
      </c>
      <c r="BE638" s="170">
        <f>IF(Escenarios!$F$17&gt;0,MIN(Entradas!$F$113,BG637+AY638+AZ638+BA638+BB638-BC638-BD638),0)</f>
        <v>0</v>
      </c>
      <c r="BF638" s="170">
        <f>IF(Escenarios!$F$17&gt;0,MAX(0,BG637+AY638+AZ638+BA638+BB638-BC638-BD638-BE638-Constantes!$F$40),0)</f>
        <v>0</v>
      </c>
      <c r="BG638" s="170">
        <f t="shared" si="137"/>
        <v>0</v>
      </c>
      <c r="BH638" s="170">
        <f>(Escenarios!$F$16*AK638+0.1*BC638)/(Escenarios!$F$19)</f>
        <v>1.7932758347694595</v>
      </c>
      <c r="BI638" s="170">
        <f>IF(Escenarios!$F$17&gt;0,BF638/10/Escenarios!$F$19,AL638)</f>
        <v>0</v>
      </c>
      <c r="BJ638" s="170">
        <f>(Escenarios!$F$16*AT638+0.1*BD638)/(Escenarios!$F$19)</f>
        <v>0</v>
      </c>
      <c r="BK638" s="76">
        <f>BK637+(0.1*BD638)/(Escenarios!$F$19)-BL637</f>
        <v>48.75</v>
      </c>
      <c r="BL638" s="76">
        <f>MAX(0,(BK638-Constantes!$D$13)*(1-EXP(-Constantes!$D$23)))</f>
        <v>0</v>
      </c>
      <c r="BM638" s="76">
        <f t="shared" si="138"/>
        <v>0.21648938229462378</v>
      </c>
      <c r="BN638" s="76">
        <f t="shared" si="139"/>
        <v>0.22847979479900002</v>
      </c>
      <c r="BO638" s="76">
        <f>0.0526*BI638*Observaciones!$F637^1.218</f>
        <v>0</v>
      </c>
      <c r="BP638" s="76">
        <f>BO638*Constantes!$F$51</f>
        <v>0</v>
      </c>
      <c r="BQ638" s="76">
        <f t="shared" si="140"/>
        <v>0</v>
      </c>
      <c r="BR638" s="40"/>
    </row>
    <row r="639" spans="2:70">
      <c r="B639" s="39"/>
      <c r="C639" s="75">
        <v>633</v>
      </c>
      <c r="D639" s="146">
        <f>ETo!$I638*((1-Constantes!$F$19)*ETo!$K638+ETo!$L638)</f>
        <v>4.0358278937858101</v>
      </c>
      <c r="E639" s="76">
        <f>MIN(D639*Constantes!$F$17,0.8*(N638+Observaciones!$F638-F639-M639-Constantes!$D$14))</f>
        <v>2.3016800995125988</v>
      </c>
      <c r="F639" s="76">
        <f>IF(Observaciones!$F638&gt;0.05*Constantes!$F$18,((Observaciones!$F638-0.05*Constantes!$F$18)^2)/(Observaciones!$F638+0.95*Constantes!$F$18),0)</f>
        <v>0</v>
      </c>
      <c r="G639" s="76">
        <f>IF(Escenarios!$F$11&gt;0,(F639*Escenarios!$F$16*10000)/1000,0)</f>
        <v>0</v>
      </c>
      <c r="H639" s="76">
        <f>IF(Escenarios!$F$11&gt;0,(Observaciones!$F638*Constantes!$F$29)/1000,0)</f>
        <v>0</v>
      </c>
      <c r="I639" s="76">
        <f>IF(Escenarios!$F$11&gt;0,(D639*Constantes!$F$29)/1000,0)</f>
        <v>0</v>
      </c>
      <c r="J639" s="76">
        <f>IF(Escenarios!$F$11&gt;0,MAX(0,G639+H639-I639),0)</f>
        <v>0</v>
      </c>
      <c r="K639" s="76">
        <f>IF(Escenarios!$F$11&gt;0,IF(J639&gt;Constantes!$F$30,1000*((J639-Constantes!$F$30)/(Escenarios!$F$16*10000)),0),F639)</f>
        <v>0</v>
      </c>
      <c r="L639" s="76">
        <f>IF(Escenarios!$F$11&gt;0,I639*1000/Escenarios!$F$16/10000+E639,E639)</f>
        <v>2.3016800995125988</v>
      </c>
      <c r="M639" s="76">
        <f>MAX(0,N638+Observaciones!$F638-K639-Constantes!$D$13)</f>
        <v>0</v>
      </c>
      <c r="N639" s="76">
        <f>N638+Observaciones!$F638-K639-L639-M639-O638</f>
        <v>13.834694441270781</v>
      </c>
      <c r="O639" s="76">
        <f>MAX(0,(N639-Constantes!$D$14)*(1-EXP(-Constantes!$D$22)))</f>
        <v>8.8044181277227851E-2</v>
      </c>
      <c r="P639" s="170">
        <f>P638+(Entradas!$F$83*M639-Q638)/(800*Entradas!$D$25)</f>
        <v>0</v>
      </c>
      <c r="Q639" s="170">
        <f>8000*Entradas!$D$26*P639/Constantes!$F$45</f>
        <v>0</v>
      </c>
      <c r="R639" s="170">
        <f>IF(Escenarios!$F$14&gt;0,K639*Escenarios!$F$13/Escenarios!$F$14,0)</f>
        <v>0</v>
      </c>
      <c r="S639" s="170">
        <f>IF(Escenarios!$F$14&gt;0,Q639*Escenarios!$F$13/Escenarios!$F$14,0)</f>
        <v>0</v>
      </c>
      <c r="T639" s="170">
        <f>IF(Escenarios!$F$14&gt;0,Observaciones!$I638,0)</f>
        <v>0</v>
      </c>
      <c r="U639" s="170">
        <f>IF(Escenarios!$F$14&gt;0,MAX(0,Constantes!$F$36/((Z638+R639+S639+T639+Observaciones!$F638)^2)+Entradas!$F$77),0)</f>
        <v>0</v>
      </c>
      <c r="V639" s="146">
        <f>IF(ETo!D638&gt;0,ETo!I638*((1-Entradas!$F$81)*ETo!K638+ETo!L638),0)</f>
        <v>3.5758317916678783</v>
      </c>
      <c r="W639" s="170">
        <f>IF(Escenarios!$F$14&gt;0,MIN(V639*1,0.8*(Z638+R639+S639+T639+Observaciones!$F638-U639-Constantes!$F$35)),0)</f>
        <v>3.5758317916678783</v>
      </c>
      <c r="X639" s="170">
        <f>IF(Escenarios!$F$14&gt;0,Observaciones!$J638,0)</f>
        <v>0</v>
      </c>
      <c r="Y639" s="170">
        <f>IF(Escenarios!$F$14&gt;0,MAX(0,Z638+R639+S639+T639+Observaciones!$F638-U639-W639-X639-Constantes!$F$33),0)</f>
        <v>0</v>
      </c>
      <c r="Z639" s="170">
        <f>Z638+R639+S639+T639+Observaciones!$F638-U639-W639-Y639</f>
        <v>42.574168259532122</v>
      </c>
      <c r="AA639" s="170">
        <f>IF(Escenarios!$F$14&gt;0,(Escenarios!$F$13*L639+Escenarios!$F$14*W639)/(Escenarios!$F$16),L639)</f>
        <v>2.4545783025712322</v>
      </c>
      <c r="AB639" s="170">
        <f>IF(Escenarios!$F$14&gt;0,(Escenarios!$F$14*Y639)/(Escenarios!$F$16),K639)</f>
        <v>0</v>
      </c>
      <c r="AC639" s="170">
        <f>IF(Escenarios!$F$14&gt;0,(Escenarios!$F$13*M639+Escenarios!$F$14*U639)/(Escenarios!$F$16),M639)</f>
        <v>0</v>
      </c>
      <c r="AD639" s="76">
        <f t="shared" si="127"/>
        <v>69.078740067485512</v>
      </c>
      <c r="AE639" s="76">
        <f>MAX(0,(AD639-Constantes!$D$13)*(1-EXP(-Constantes!$D$23)))</f>
        <v>0.20030391781358545</v>
      </c>
      <c r="AF639" s="76">
        <f>AB639+O639*Escenarios!$F$13/Escenarios!$F$16+AE639</f>
        <v>0.27778279733754596</v>
      </c>
      <c r="AG639" s="76">
        <f>IF(Entradas!$F$91&gt;0,IF(AF639-Escenarios!$F$38&lt;=0,0,IF(AF639-Escenarios!$F$38&gt;Escenarios!$F$37,Escenarios!$F$37,AF639-Escenarios!$F$38)),0)</f>
        <v>0</v>
      </c>
      <c r="AH639" s="76">
        <f>AG639*Entradas!$F$99</f>
        <v>0</v>
      </c>
      <c r="AI639" s="76">
        <f>IF(Entradas!$F$91&gt;0,D639*Entradas!$D$23/Escenarios!$F$16,0)</f>
        <v>0.19371973890171887</v>
      </c>
      <c r="AJ639" s="76">
        <f>IF(Entradas!$F$91&gt;0,Entradas!$D$24*Entradas!$D$22/Escenarios!$F$16,0)</f>
        <v>0.12</v>
      </c>
      <c r="AK639" s="76">
        <f t="shared" si="128"/>
        <v>2.6482980414729509</v>
      </c>
      <c r="AL639" s="76">
        <f t="shared" si="129"/>
        <v>0</v>
      </c>
      <c r="AM639" s="76">
        <f t="shared" si="130"/>
        <v>0</v>
      </c>
      <c r="AN639" s="76">
        <f>MAX(0,O639*Escenarios!$F$13/Escenarios!$F$16-AM639)</f>
        <v>7.7478879523960514E-2</v>
      </c>
      <c r="AO639" s="76">
        <f>AM639+AN639-O639*Escenarios!$F$13/Escenarios!$F$16</f>
        <v>0</v>
      </c>
      <c r="AP639" s="76">
        <f t="shared" si="131"/>
        <v>0.20030391781358545</v>
      </c>
      <c r="AQ639" s="76">
        <f t="shared" si="132"/>
        <v>0</v>
      </c>
      <c r="AR639" s="76">
        <f t="shared" si="133"/>
        <v>0.27778279733754596</v>
      </c>
      <c r="AS639" s="76">
        <f t="shared" si="134"/>
        <v>0</v>
      </c>
      <c r="AT639" s="76">
        <f t="shared" si="135"/>
        <v>0</v>
      </c>
      <c r="AU639" s="76">
        <f t="shared" si="136"/>
        <v>49.664296701582266</v>
      </c>
      <c r="AV639" s="76">
        <f>MAX(0,(AU639-Constantes!$D$13)*(1-EXP(-Constantes!$D$24)))</f>
        <v>1.3975250974919546E-2</v>
      </c>
      <c r="AW639" s="170">
        <f>AW638+(Entradas!$F$112*AT639-AX638)/(800*Entradas!$D$25)</f>
        <v>0</v>
      </c>
      <c r="AX639" s="170">
        <f>8000*Entradas!$D$26*AW639/Constantes!$F$45</f>
        <v>0</v>
      </c>
      <c r="AY639" s="170">
        <f>IF(Escenarios!$F$17&gt;0,10*Escenarios!$F$16*AL639,0)</f>
        <v>0</v>
      </c>
      <c r="AZ639" s="170">
        <f>IF(Escenarios!$F$17&gt;0,10*Escenarios!$F$16*AX639,0)</f>
        <v>0</v>
      </c>
      <c r="BA639" s="170">
        <f>IF(Escenarios!$F$17&gt;0,0.001*Observaciones!$F638*Escenarios!$F$17,0)</f>
        <v>0</v>
      </c>
      <c r="BB639" s="170">
        <f>IF(Escenarios!$F$17&gt;0,Observaciones!$K638,0)</f>
        <v>0</v>
      </c>
      <c r="BC639" s="170">
        <f>IF(Escenarios!$F$17&gt;0,MIN(0.0005*ETo!$M638*Escenarios!$F$17*(BG638/Constantes!$F$40)^(2/3),BG638+AY639+AZ639+BA639+BB639),0)</f>
        <v>0</v>
      </c>
      <c r="BD639" s="170">
        <f>IF(Escenarios!$F$17&gt;0,MIN(Constantes!$F$39*(BG638/Constantes!$F$40)^(2/3),BG638+AY639+AZ639+BA639+BB639-BC639),0)</f>
        <v>0</v>
      </c>
      <c r="BE639" s="170">
        <f>IF(Escenarios!$F$17&gt;0,MIN(Entradas!$F$113,BG638+AY639+AZ639+BA639+BB639-BC639-BD639),0)</f>
        <v>0</v>
      </c>
      <c r="BF639" s="170">
        <f>IF(Escenarios!$F$17&gt;0,MAX(0,BG638+AY639+AZ639+BA639+BB639-BC639-BD639-BE639-Constantes!$F$40),0)</f>
        <v>0</v>
      </c>
      <c r="BG639" s="170">
        <f t="shared" si="137"/>
        <v>0</v>
      </c>
      <c r="BH639" s="170">
        <f>(Escenarios!$F$16*AK639+0.1*BC639)/(Escenarios!$F$19)</f>
        <v>2.6482980414729509</v>
      </c>
      <c r="BI639" s="170">
        <f>IF(Escenarios!$F$17&gt;0,BF639/10/Escenarios!$F$19,AL639)</f>
        <v>0</v>
      </c>
      <c r="BJ639" s="170">
        <f>(Escenarios!$F$16*AT639+0.1*BD639)/(Escenarios!$F$19)</f>
        <v>0</v>
      </c>
      <c r="BK639" s="76">
        <f>BK638+(0.1*BD639)/(Escenarios!$F$19)-BL638</f>
        <v>48.75</v>
      </c>
      <c r="BL639" s="76">
        <f>MAX(0,(BK639-Constantes!$D$13)*(1-EXP(-Constantes!$D$23)))</f>
        <v>0</v>
      </c>
      <c r="BM639" s="76">
        <f t="shared" si="138"/>
        <v>0.214279168788505</v>
      </c>
      <c r="BN639" s="76">
        <f t="shared" si="139"/>
        <v>0.29175804831246549</v>
      </c>
      <c r="BO639" s="76">
        <f>0.0526*BI639*Observaciones!$F638^1.218</f>
        <v>0</v>
      </c>
      <c r="BP639" s="76">
        <f>BO639*Constantes!$F$51</f>
        <v>0</v>
      </c>
      <c r="BQ639" s="76">
        <f t="shared" si="140"/>
        <v>0</v>
      </c>
      <c r="BR639" s="40"/>
    </row>
    <row r="640" spans="2:70">
      <c r="B640" s="39"/>
      <c r="C640" s="75">
        <v>634</v>
      </c>
      <c r="D640" s="146">
        <f>ETo!$I639*((1-Constantes!$F$19)*ETo!$K639+ETo!$L639)</f>
        <v>4.0144510277944114</v>
      </c>
      <c r="E640" s="76">
        <f>MIN(D640*Constantes!$F$17,0.8*(N639+Observaciones!$F639-F640-M640-Constantes!$D$14))</f>
        <v>2.0677555530166245</v>
      </c>
      <c r="F640" s="76">
        <f>IF(Observaciones!$F639&gt;0.05*Constantes!$F$18,((Observaciones!$F639-0.05*Constantes!$F$18)^2)/(Observaciones!$F639+0.95*Constantes!$F$18),0)</f>
        <v>0</v>
      </c>
      <c r="G640" s="76">
        <f>IF(Escenarios!$F$11&gt;0,(F640*Escenarios!$F$16*10000)/1000,0)</f>
        <v>0</v>
      </c>
      <c r="H640" s="76">
        <f>IF(Escenarios!$F$11&gt;0,(Observaciones!$F639*Constantes!$F$29)/1000,0)</f>
        <v>0</v>
      </c>
      <c r="I640" s="76">
        <f>IF(Escenarios!$F$11&gt;0,(D640*Constantes!$F$29)/1000,0)</f>
        <v>0</v>
      </c>
      <c r="J640" s="76">
        <f>IF(Escenarios!$F$11&gt;0,MAX(0,G640+H640-I640),0)</f>
        <v>0</v>
      </c>
      <c r="K640" s="76">
        <f>IF(Escenarios!$F$11&gt;0,IF(J640&gt;Constantes!$F$30,1000*((J640-Constantes!$F$30)/(Escenarios!$F$16*10000)),0),F640)</f>
        <v>0</v>
      </c>
      <c r="L640" s="76">
        <f>IF(Escenarios!$F$11&gt;0,I640*1000/Escenarios!$F$16/10000+E640,E640)</f>
        <v>2.0677555530166245</v>
      </c>
      <c r="M640" s="76">
        <f>MAX(0,N639+Observaciones!$F639-K640-Constantes!$D$13)</f>
        <v>0</v>
      </c>
      <c r="N640" s="76">
        <f>N639+Observaciones!$F639-K640-L640-M640-O639</f>
        <v>11.678894706976928</v>
      </c>
      <c r="O640" s="76">
        <f>MAX(0,(N640-Constantes!$D$14)*(1-EXP(-Constantes!$D$22)))</f>
        <v>1.4609728224336812E-2</v>
      </c>
      <c r="P640" s="170">
        <f>P639+(Entradas!$F$83*M640-Q639)/(800*Entradas!$D$25)</f>
        <v>0</v>
      </c>
      <c r="Q640" s="170">
        <f>8000*Entradas!$D$26*P640/Constantes!$F$45</f>
        <v>0</v>
      </c>
      <c r="R640" s="170">
        <f>IF(Escenarios!$F$14&gt;0,K640*Escenarios!$F$13/Escenarios!$F$14,0)</f>
        <v>0</v>
      </c>
      <c r="S640" s="170">
        <f>IF(Escenarios!$F$14&gt;0,Q640*Escenarios!$F$13/Escenarios!$F$14,0)</f>
        <v>0</v>
      </c>
      <c r="T640" s="170">
        <f>IF(Escenarios!$F$14&gt;0,Observaciones!$I639,0)</f>
        <v>0</v>
      </c>
      <c r="U640" s="170">
        <f>IF(Escenarios!$F$14&gt;0,MAX(0,Constantes!$F$36/((Z639+R640+S640+T640+Observaciones!$F639)^2)+Entradas!$F$77),0)</f>
        <v>0</v>
      </c>
      <c r="V640" s="146">
        <f>IF(ETo!D639&gt;0,ETo!I639*((1-Entradas!$F$81)*ETo!K639+ETo!L639),0)</f>
        <v>3.5568946512798414</v>
      </c>
      <c r="W640" s="170">
        <f>IF(Escenarios!$F$14&gt;0,MIN(V640*1,0.8*(Z639+R640+S640+T640+Observaciones!$F639-U640-Constantes!$F$35)),0)</f>
        <v>1.0593346076256978</v>
      </c>
      <c r="X640" s="170">
        <f>IF(Escenarios!$F$14&gt;0,Observaciones!$J639,0)</f>
        <v>0</v>
      </c>
      <c r="Y640" s="170">
        <f>IF(Escenarios!$F$14&gt;0,MAX(0,Z639+R640+S640+T640+Observaciones!$F639-U640-W640-X640-Constantes!$F$33),0)</f>
        <v>0</v>
      </c>
      <c r="Z640" s="170">
        <f>Z639+R640+S640+T640+Observaciones!$F639-U640-W640-Y640</f>
        <v>41.514833651906422</v>
      </c>
      <c r="AA640" s="170">
        <f>IF(Escenarios!$F$14&gt;0,(Escenarios!$F$13*L640+Escenarios!$F$14*W640)/(Escenarios!$F$16),L640)</f>
        <v>1.9467450395697132</v>
      </c>
      <c r="AB640" s="170">
        <f>IF(Escenarios!$F$14&gt;0,(Escenarios!$F$14*Y640)/(Escenarios!$F$16),K640)</f>
        <v>0</v>
      </c>
      <c r="AC640" s="170">
        <f>IF(Escenarios!$F$14&gt;0,(Escenarios!$F$13*M640+Escenarios!$F$14*U640)/(Escenarios!$F$16),M640)</f>
        <v>0</v>
      </c>
      <c r="AD640" s="76">
        <f t="shared" si="127"/>
        <v>68.878436149671927</v>
      </c>
      <c r="AE640" s="76">
        <f>MAX(0,(AD640-Constantes!$D$13)*(1-EXP(-Constantes!$D$23)))</f>
        <v>0.19833027560269195</v>
      </c>
      <c r="AF640" s="76">
        <f>AB640+O640*Escenarios!$F$13/Escenarios!$F$16+AE640</f>
        <v>0.21118683644010836</v>
      </c>
      <c r="AG640" s="76">
        <f>IF(Entradas!$F$91&gt;0,IF(AF640-Escenarios!$F$38&lt;=0,0,IF(AF640-Escenarios!$F$38&gt;Escenarios!$F$37,Escenarios!$F$37,AF640-Escenarios!$F$38)),0)</f>
        <v>0</v>
      </c>
      <c r="AH640" s="76">
        <f>AG640*Entradas!$F$99</f>
        <v>0</v>
      </c>
      <c r="AI640" s="76">
        <f>IF(Entradas!$F$91&gt;0,D640*Entradas!$D$23/Escenarios!$F$16,0)</f>
        <v>0.19269364933413174</v>
      </c>
      <c r="AJ640" s="76">
        <f>IF(Entradas!$F$91&gt;0,Entradas!$D$24*Entradas!$D$22/Escenarios!$F$16,0)</f>
        <v>0.12</v>
      </c>
      <c r="AK640" s="76">
        <f t="shared" si="128"/>
        <v>2.1394386889038448</v>
      </c>
      <c r="AL640" s="76">
        <f t="shared" si="129"/>
        <v>0</v>
      </c>
      <c r="AM640" s="76">
        <f t="shared" si="130"/>
        <v>0</v>
      </c>
      <c r="AN640" s="76">
        <f>MAX(0,O640*Escenarios!$F$13/Escenarios!$F$16-AM640)</f>
        <v>1.2856560837416394E-2</v>
      </c>
      <c r="AO640" s="76">
        <f>AM640+AN640-O640*Escenarios!$F$13/Escenarios!$F$16</f>
        <v>0</v>
      </c>
      <c r="AP640" s="76">
        <f t="shared" si="131"/>
        <v>0.19833027560269195</v>
      </c>
      <c r="AQ640" s="76">
        <f t="shared" si="132"/>
        <v>0</v>
      </c>
      <c r="AR640" s="76">
        <f t="shared" si="133"/>
        <v>0.21118683644010836</v>
      </c>
      <c r="AS640" s="76">
        <f t="shared" si="134"/>
        <v>0</v>
      </c>
      <c r="AT640" s="76">
        <f t="shared" si="135"/>
        <v>0</v>
      </c>
      <c r="AU640" s="76">
        <f t="shared" si="136"/>
        <v>49.650321450607343</v>
      </c>
      <c r="AV640" s="76">
        <f>MAX(0,(AU640-Constantes!$D$13)*(1-EXP(-Constantes!$D$24)))</f>
        <v>1.3761635810964517E-2</v>
      </c>
      <c r="AW640" s="170">
        <f>AW639+(Entradas!$F$112*AT640-AX639)/(800*Entradas!$D$25)</f>
        <v>0</v>
      </c>
      <c r="AX640" s="170">
        <f>8000*Entradas!$D$26*AW640/Constantes!$F$45</f>
        <v>0</v>
      </c>
      <c r="AY640" s="170">
        <f>IF(Escenarios!$F$17&gt;0,10*Escenarios!$F$16*AL640,0)</f>
        <v>0</v>
      </c>
      <c r="AZ640" s="170">
        <f>IF(Escenarios!$F$17&gt;0,10*Escenarios!$F$16*AX640,0)</f>
        <v>0</v>
      </c>
      <c r="BA640" s="170">
        <f>IF(Escenarios!$F$17&gt;0,0.001*Observaciones!$F639*Escenarios!$F$17,0)</f>
        <v>0</v>
      </c>
      <c r="BB640" s="170">
        <f>IF(Escenarios!$F$17&gt;0,Observaciones!$K639,0)</f>
        <v>0</v>
      </c>
      <c r="BC640" s="170">
        <f>IF(Escenarios!$F$17&gt;0,MIN(0.0005*ETo!$M639*Escenarios!$F$17*(BG639/Constantes!$F$40)^(2/3),BG639+AY640+AZ640+BA640+BB640),0)</f>
        <v>0</v>
      </c>
      <c r="BD640" s="170">
        <f>IF(Escenarios!$F$17&gt;0,MIN(Constantes!$F$39*(BG639/Constantes!$F$40)^(2/3),BG639+AY640+AZ640+BA640+BB640-BC640),0)</f>
        <v>0</v>
      </c>
      <c r="BE640" s="170">
        <f>IF(Escenarios!$F$17&gt;0,MIN(Entradas!$F$113,BG639+AY640+AZ640+BA640+BB640-BC640-BD640),0)</f>
        <v>0</v>
      </c>
      <c r="BF640" s="170">
        <f>IF(Escenarios!$F$17&gt;0,MAX(0,BG639+AY640+AZ640+BA640+BB640-BC640-BD640-BE640-Constantes!$F$40),0)</f>
        <v>0</v>
      </c>
      <c r="BG640" s="170">
        <f t="shared" si="137"/>
        <v>0</v>
      </c>
      <c r="BH640" s="170">
        <f>(Escenarios!$F$16*AK640+0.1*BC640)/(Escenarios!$F$19)</f>
        <v>2.1394386889038448</v>
      </c>
      <c r="BI640" s="170">
        <f>IF(Escenarios!$F$17&gt;0,BF640/10/Escenarios!$F$19,AL640)</f>
        <v>0</v>
      </c>
      <c r="BJ640" s="170">
        <f>(Escenarios!$F$16*AT640+0.1*BD640)/(Escenarios!$F$19)</f>
        <v>0</v>
      </c>
      <c r="BK640" s="76">
        <f>BK639+(0.1*BD640)/(Escenarios!$F$19)-BL639</f>
        <v>48.75</v>
      </c>
      <c r="BL640" s="76">
        <f>MAX(0,(BK640-Constantes!$D$13)*(1-EXP(-Constantes!$D$23)))</f>
        <v>0</v>
      </c>
      <c r="BM640" s="76">
        <f t="shared" si="138"/>
        <v>0.21209191141365646</v>
      </c>
      <c r="BN640" s="76">
        <f t="shared" si="139"/>
        <v>0.22494847225107287</v>
      </c>
      <c r="BO640" s="76">
        <f>0.0526*BI640*Observaciones!$F639^1.218</f>
        <v>0</v>
      </c>
      <c r="BP640" s="76">
        <f>BO640*Constantes!$F$51</f>
        <v>0</v>
      </c>
      <c r="BQ640" s="76">
        <f t="shared" si="140"/>
        <v>0</v>
      </c>
      <c r="BR640" s="40"/>
    </row>
    <row r="641" spans="2:70">
      <c r="B641" s="39"/>
      <c r="C641" s="75">
        <v>635</v>
      </c>
      <c r="D641" s="146">
        <f>ETo!$I640*((1-Constantes!$F$19)*ETo!$K640+ETo!$L640)</f>
        <v>3.9665160247363795</v>
      </c>
      <c r="E641" s="76">
        <f>MIN(D641*Constantes!$F$17,0.8*(N640+Observaciones!$F640-F641-M641-Constantes!$D$14))</f>
        <v>0.34311576558154261</v>
      </c>
      <c r="F641" s="76">
        <f>IF(Observaciones!$F640&gt;0.05*Constantes!$F$18,((Observaciones!$F640-0.05*Constantes!$F$18)^2)/(Observaciones!$F640+0.95*Constantes!$F$18),0)</f>
        <v>0</v>
      </c>
      <c r="G641" s="76">
        <f>IF(Escenarios!$F$11&gt;0,(F641*Escenarios!$F$16*10000)/1000,0)</f>
        <v>0</v>
      </c>
      <c r="H641" s="76">
        <f>IF(Escenarios!$F$11&gt;0,(Observaciones!$F640*Constantes!$F$29)/1000,0)</f>
        <v>0</v>
      </c>
      <c r="I641" s="76">
        <f>IF(Escenarios!$F$11&gt;0,(D641*Constantes!$F$29)/1000,0)</f>
        <v>0</v>
      </c>
      <c r="J641" s="76">
        <f>IF(Escenarios!$F$11&gt;0,MAX(0,G641+H641-I641),0)</f>
        <v>0</v>
      </c>
      <c r="K641" s="76">
        <f>IF(Escenarios!$F$11&gt;0,IF(J641&gt;Constantes!$F$30,1000*((J641-Constantes!$F$30)/(Escenarios!$F$16*10000)),0),F641)</f>
        <v>0</v>
      </c>
      <c r="L641" s="76">
        <f>IF(Escenarios!$F$11&gt;0,I641*1000/Escenarios!$F$16/10000+E641,E641)</f>
        <v>0.34311576558154261</v>
      </c>
      <c r="M641" s="76">
        <f>MAX(0,N640+Observaciones!$F640-K641-Constantes!$D$13)</f>
        <v>0</v>
      </c>
      <c r="N641" s="76">
        <f>N640+Observaciones!$F640-K641-L641-M641-O640</f>
        <v>11.32116921317105</v>
      </c>
      <c r="O641" s="76">
        <f>MAX(0,(N641-Constantes!$D$14)*(1-EXP(-Constantes!$D$22)))</f>
        <v>2.4242846681361923E-3</v>
      </c>
      <c r="P641" s="170">
        <f>P640+(Entradas!$F$83*M641-Q640)/(800*Entradas!$D$25)</f>
        <v>0</v>
      </c>
      <c r="Q641" s="170">
        <f>8000*Entradas!$D$26*P641/Constantes!$F$45</f>
        <v>0</v>
      </c>
      <c r="R641" s="170">
        <f>IF(Escenarios!$F$14&gt;0,K641*Escenarios!$F$13/Escenarios!$F$14,0)</f>
        <v>0</v>
      </c>
      <c r="S641" s="170">
        <f>IF(Escenarios!$F$14&gt;0,Q641*Escenarios!$F$13/Escenarios!$F$14,0)</f>
        <v>0</v>
      </c>
      <c r="T641" s="170">
        <f>IF(Escenarios!$F$14&gt;0,Observaciones!$I640,0)</f>
        <v>0</v>
      </c>
      <c r="U641" s="170">
        <f>IF(Escenarios!$F$14&gt;0,MAX(0,Constantes!$F$36/((Z640+R641+S641+T641+Observaciones!$F640)^2)+Entradas!$F$77),0)</f>
        <v>0</v>
      </c>
      <c r="V641" s="146">
        <f>IF(ETo!D640&gt;0,ETo!I640*((1-Entradas!$F$81)*ETo!K640+ETo!L640),0)</f>
        <v>3.5141861047235321</v>
      </c>
      <c r="W641" s="170">
        <f>IF(Escenarios!$F$14&gt;0,MIN(V641*1,0.8*(Z640+R641+S641+T641+Observaciones!$F640-U641-Constantes!$F$35)),0)</f>
        <v>0.21186692152513731</v>
      </c>
      <c r="X641" s="170">
        <f>IF(Escenarios!$F$14&gt;0,Observaciones!$J640,0)</f>
        <v>0</v>
      </c>
      <c r="Y641" s="170">
        <f>IF(Escenarios!$F$14&gt;0,MAX(0,Z640+R641+S641+T641+Observaciones!$F640-U641-W641-X641-Constantes!$F$33),0)</f>
        <v>0</v>
      </c>
      <c r="Z641" s="170">
        <f>Z640+R641+S641+T641+Observaciones!$F640-U641-W641-Y641</f>
        <v>41.302966730381286</v>
      </c>
      <c r="AA641" s="170">
        <f>IF(Escenarios!$F$14&gt;0,(Escenarios!$F$13*L641+Escenarios!$F$14*W641)/(Escenarios!$F$16),L641)</f>
        <v>0.32736590429477402</v>
      </c>
      <c r="AB641" s="170">
        <f>IF(Escenarios!$F$14&gt;0,(Escenarios!$F$14*Y641)/(Escenarios!$F$16),K641)</f>
        <v>0</v>
      </c>
      <c r="AC641" s="170">
        <f>IF(Escenarios!$F$14&gt;0,(Escenarios!$F$13*M641+Escenarios!$F$14*U641)/(Escenarios!$F$16),M641)</f>
        <v>0</v>
      </c>
      <c r="AD641" s="76">
        <f t="shared" si="127"/>
        <v>68.680105874069241</v>
      </c>
      <c r="AE641" s="76">
        <f>MAX(0,(AD641-Constantes!$D$13)*(1-EXP(-Constantes!$D$23)))</f>
        <v>0.19637608015858737</v>
      </c>
      <c r="AF641" s="76">
        <f>AB641+O641*Escenarios!$F$13/Escenarios!$F$16+AE641</f>
        <v>0.19850945066654721</v>
      </c>
      <c r="AG641" s="76">
        <f>IF(Entradas!$F$91&gt;0,IF(AF641-Escenarios!$F$38&lt;=0,0,IF(AF641-Escenarios!$F$38&gt;Escenarios!$F$37,Escenarios!$F$37,AF641-Escenarios!$F$38)),0)</f>
        <v>0</v>
      </c>
      <c r="AH641" s="76">
        <f>AG641*Entradas!$F$99</f>
        <v>0</v>
      </c>
      <c r="AI641" s="76">
        <f>IF(Entradas!$F$91&gt;0,D641*Entradas!$D$23/Escenarios!$F$16,0)</f>
        <v>0.19039276918734624</v>
      </c>
      <c r="AJ641" s="76">
        <f>IF(Entradas!$F$91&gt;0,Entradas!$D$24*Entradas!$D$22/Escenarios!$F$16,0)</f>
        <v>0.12</v>
      </c>
      <c r="AK641" s="76">
        <f t="shared" si="128"/>
        <v>0.51775867348212024</v>
      </c>
      <c r="AL641" s="76">
        <f t="shared" si="129"/>
        <v>0</v>
      </c>
      <c r="AM641" s="76">
        <f t="shared" si="130"/>
        <v>0</v>
      </c>
      <c r="AN641" s="76">
        <f>MAX(0,O641*Escenarios!$F$13/Escenarios!$F$16-AM641)</f>
        <v>2.133370507959849E-3</v>
      </c>
      <c r="AO641" s="76">
        <f>AM641+AN641-O641*Escenarios!$F$13/Escenarios!$F$16</f>
        <v>0</v>
      </c>
      <c r="AP641" s="76">
        <f t="shared" si="131"/>
        <v>0.19637608015858737</v>
      </c>
      <c r="AQ641" s="76">
        <f t="shared" si="132"/>
        <v>0</v>
      </c>
      <c r="AR641" s="76">
        <f t="shared" si="133"/>
        <v>0.19850945066654721</v>
      </c>
      <c r="AS641" s="76">
        <f t="shared" si="134"/>
        <v>0</v>
      </c>
      <c r="AT641" s="76">
        <f t="shared" si="135"/>
        <v>0</v>
      </c>
      <c r="AU641" s="76">
        <f t="shared" si="136"/>
        <v>49.636559814796378</v>
      </c>
      <c r="AV641" s="76">
        <f>MAX(0,(AU641-Constantes!$D$13)*(1-EXP(-Constantes!$D$24)))</f>
        <v>1.3551285807567533E-2</v>
      </c>
      <c r="AW641" s="170">
        <f>AW640+(Entradas!$F$112*AT641-AX640)/(800*Entradas!$D$25)</f>
        <v>0</v>
      </c>
      <c r="AX641" s="170">
        <f>8000*Entradas!$D$26*AW641/Constantes!$F$45</f>
        <v>0</v>
      </c>
      <c r="AY641" s="170">
        <f>IF(Escenarios!$F$17&gt;0,10*Escenarios!$F$16*AL641,0)</f>
        <v>0</v>
      </c>
      <c r="AZ641" s="170">
        <f>IF(Escenarios!$F$17&gt;0,10*Escenarios!$F$16*AX641,0)</f>
        <v>0</v>
      </c>
      <c r="BA641" s="170">
        <f>IF(Escenarios!$F$17&gt;0,0.001*Observaciones!$F640*Escenarios!$F$17,0)</f>
        <v>0</v>
      </c>
      <c r="BB641" s="170">
        <f>IF(Escenarios!$F$17&gt;0,Observaciones!$K640,0)</f>
        <v>0</v>
      </c>
      <c r="BC641" s="170">
        <f>IF(Escenarios!$F$17&gt;0,MIN(0.0005*ETo!$M640*Escenarios!$F$17*(BG640/Constantes!$F$40)^(2/3),BG640+AY641+AZ641+BA641+BB641),0)</f>
        <v>0</v>
      </c>
      <c r="BD641" s="170">
        <f>IF(Escenarios!$F$17&gt;0,MIN(Constantes!$F$39*(BG640/Constantes!$F$40)^(2/3),BG640+AY641+AZ641+BA641+BB641-BC641),0)</f>
        <v>0</v>
      </c>
      <c r="BE641" s="170">
        <f>IF(Escenarios!$F$17&gt;0,MIN(Entradas!$F$113,BG640+AY641+AZ641+BA641+BB641-BC641-BD641),0)</f>
        <v>0</v>
      </c>
      <c r="BF641" s="170">
        <f>IF(Escenarios!$F$17&gt;0,MAX(0,BG640+AY641+AZ641+BA641+BB641-BC641-BD641-BE641-Constantes!$F$40),0)</f>
        <v>0</v>
      </c>
      <c r="BG641" s="170">
        <f t="shared" si="137"/>
        <v>0</v>
      </c>
      <c r="BH641" s="170">
        <f>(Escenarios!$F$16*AK641+0.1*BC641)/(Escenarios!$F$19)</f>
        <v>0.51775867348212024</v>
      </c>
      <c r="BI641" s="170">
        <f>IF(Escenarios!$F$17&gt;0,BF641/10/Escenarios!$F$19,AL641)</f>
        <v>0</v>
      </c>
      <c r="BJ641" s="170">
        <f>(Escenarios!$F$16*AT641+0.1*BD641)/(Escenarios!$F$19)</f>
        <v>0</v>
      </c>
      <c r="BK641" s="76">
        <f>BK640+(0.1*BD641)/(Escenarios!$F$19)-BL640</f>
        <v>48.75</v>
      </c>
      <c r="BL641" s="76">
        <f>MAX(0,(BK641-Constantes!$D$13)*(1-EXP(-Constantes!$D$23)))</f>
        <v>0</v>
      </c>
      <c r="BM641" s="76">
        <f t="shared" si="138"/>
        <v>0.20992736596615491</v>
      </c>
      <c r="BN641" s="76">
        <f t="shared" si="139"/>
        <v>0.21206073647411475</v>
      </c>
      <c r="BO641" s="76">
        <f>0.0526*BI641*Observaciones!$F640^1.218</f>
        <v>0</v>
      </c>
      <c r="BP641" s="76">
        <f>BO641*Constantes!$F$51</f>
        <v>0</v>
      </c>
      <c r="BQ641" s="76">
        <f t="shared" si="140"/>
        <v>0</v>
      </c>
      <c r="BR641" s="40"/>
    </row>
    <row r="642" spans="2:70">
      <c r="B642" s="39"/>
      <c r="C642" s="75">
        <v>636</v>
      </c>
      <c r="D642" s="146">
        <f>ETo!$I641*((1-Constantes!$F$19)*ETo!$K641+ETo!$L641)</f>
        <v>4.0531003798156418</v>
      </c>
      <c r="E642" s="76">
        <f>MIN(D642*Constantes!$F$17,0.8*(N641+Observaciones!$F641-F642-M642-Constantes!$D$14))</f>
        <v>5.6935370536839974E-2</v>
      </c>
      <c r="F642" s="76">
        <f>IF(Observaciones!$F641&gt;0.05*Constantes!$F$18,((Observaciones!$F641-0.05*Constantes!$F$18)^2)/(Observaciones!$F641+0.95*Constantes!$F$18),0)</f>
        <v>0</v>
      </c>
      <c r="G642" s="76">
        <f>IF(Escenarios!$F$11&gt;0,(F642*Escenarios!$F$16*10000)/1000,0)</f>
        <v>0</v>
      </c>
      <c r="H642" s="76">
        <f>IF(Escenarios!$F$11&gt;0,(Observaciones!$F641*Constantes!$F$29)/1000,0)</f>
        <v>0</v>
      </c>
      <c r="I642" s="76">
        <f>IF(Escenarios!$F$11&gt;0,(D642*Constantes!$F$29)/1000,0)</f>
        <v>0</v>
      </c>
      <c r="J642" s="76">
        <f>IF(Escenarios!$F$11&gt;0,MAX(0,G642+H642-I642),0)</f>
        <v>0</v>
      </c>
      <c r="K642" s="76">
        <f>IF(Escenarios!$F$11&gt;0,IF(J642&gt;Constantes!$F$30,1000*((J642-Constantes!$F$30)/(Escenarios!$F$16*10000)),0),F642)</f>
        <v>0</v>
      </c>
      <c r="L642" s="76">
        <f>IF(Escenarios!$F$11&gt;0,I642*1000/Escenarios!$F$16/10000+E642,E642)</f>
        <v>5.6935370536839974E-2</v>
      </c>
      <c r="M642" s="76">
        <f>MAX(0,N641+Observaciones!$F641-K642-Constantes!$D$13)</f>
        <v>0</v>
      </c>
      <c r="N642" s="76">
        <f>N641+Observaciones!$F641-K642-L642-M642-O641</f>
        <v>11.261809557966075</v>
      </c>
      <c r="O642" s="76">
        <f>MAX(0,(N642-Constantes!$D$14)*(1-EXP(-Constantes!$D$22)))</f>
        <v>4.0227689809933581E-4</v>
      </c>
      <c r="P642" s="170">
        <f>P641+(Entradas!$F$83*M642-Q641)/(800*Entradas!$D$25)</f>
        <v>0</v>
      </c>
      <c r="Q642" s="170">
        <f>8000*Entradas!$D$26*P642/Constantes!$F$45</f>
        <v>0</v>
      </c>
      <c r="R642" s="170">
        <f>IF(Escenarios!$F$14&gt;0,K642*Escenarios!$F$13/Escenarios!$F$14,0)</f>
        <v>0</v>
      </c>
      <c r="S642" s="170">
        <f>IF(Escenarios!$F$14&gt;0,Q642*Escenarios!$F$13/Escenarios!$F$14,0)</f>
        <v>0</v>
      </c>
      <c r="T642" s="170">
        <f>IF(Escenarios!$F$14&gt;0,Observaciones!$I641,0)</f>
        <v>0</v>
      </c>
      <c r="U642" s="170">
        <f>IF(Escenarios!$F$14&gt;0,MAX(0,Constantes!$F$36/((Z641+R642+S642+T642+Observaciones!$F641)^2)+Entradas!$F$77),0)</f>
        <v>0</v>
      </c>
      <c r="V642" s="146">
        <f>IF(ETo!D641&gt;0,ETo!I641*((1-Entradas!$F$81)*ETo!K641+ETo!L641),0)</f>
        <v>3.5920891164955489</v>
      </c>
      <c r="W642" s="170">
        <f>IF(Escenarios!$F$14&gt;0,MIN(V642*1,0.8*(Z641+R642+S642+T642+Observaciones!$F641-U642-Constantes!$F$35)),0)</f>
        <v>4.23733843050286E-2</v>
      </c>
      <c r="X642" s="170">
        <f>IF(Escenarios!$F$14&gt;0,Observaciones!$J641,0)</f>
        <v>0</v>
      </c>
      <c r="Y642" s="170">
        <f>IF(Escenarios!$F$14&gt;0,MAX(0,Z641+R642+S642+T642+Observaciones!$F641-U642-W642-X642-Constantes!$F$33),0)</f>
        <v>0</v>
      </c>
      <c r="Z642" s="170">
        <f>Z641+R642+S642+T642+Observaciones!$F641-U642-W642-Y642</f>
        <v>41.260593346076256</v>
      </c>
      <c r="AA642" s="170">
        <f>IF(Escenarios!$F$14&gt;0,(Escenarios!$F$13*L642+Escenarios!$F$14*W642)/(Escenarios!$F$16),L642)</f>
        <v>5.5187932189022612E-2</v>
      </c>
      <c r="AB642" s="170">
        <f>IF(Escenarios!$F$14&gt;0,(Escenarios!$F$14*Y642)/(Escenarios!$F$16),K642)</f>
        <v>0</v>
      </c>
      <c r="AC642" s="170">
        <f>IF(Escenarios!$F$14&gt;0,(Escenarios!$F$13*M642+Escenarios!$F$14*U642)/(Escenarios!$F$16),M642)</f>
        <v>0</v>
      </c>
      <c r="AD642" s="76">
        <f t="shared" si="127"/>
        <v>68.483729793910655</v>
      </c>
      <c r="AE642" s="76">
        <f>MAX(0,(AD642-Constantes!$D$13)*(1-EXP(-Constantes!$D$23)))</f>
        <v>0.19444113986764661</v>
      </c>
      <c r="AF642" s="76">
        <f>AB642+O642*Escenarios!$F$13/Escenarios!$F$16+AE642</f>
        <v>0.19479514353797403</v>
      </c>
      <c r="AG642" s="76">
        <f>IF(Entradas!$F$91&gt;0,IF(AF642-Escenarios!$F$38&lt;=0,0,IF(AF642-Escenarios!$F$38&gt;Escenarios!$F$37,Escenarios!$F$37,AF642-Escenarios!$F$38)),0)</f>
        <v>0</v>
      </c>
      <c r="AH642" s="76">
        <f>AG642*Entradas!$F$99</f>
        <v>0</v>
      </c>
      <c r="AI642" s="76">
        <f>IF(Entradas!$F$91&gt;0,D642*Entradas!$D$23/Escenarios!$F$16,0)</f>
        <v>0.19454881823115078</v>
      </c>
      <c r="AJ642" s="76">
        <f>IF(Entradas!$F$91&gt;0,Entradas!$D$24*Entradas!$D$22/Escenarios!$F$16,0)</f>
        <v>0.12</v>
      </c>
      <c r="AK642" s="76">
        <f t="shared" si="128"/>
        <v>0.2497367504201734</v>
      </c>
      <c r="AL642" s="76">
        <f t="shared" si="129"/>
        <v>0</v>
      </c>
      <c r="AM642" s="76">
        <f t="shared" si="130"/>
        <v>0</v>
      </c>
      <c r="AN642" s="76">
        <f>MAX(0,O642*Escenarios!$F$13/Escenarios!$F$16-AM642)</f>
        <v>3.5400367032741552E-4</v>
      </c>
      <c r="AO642" s="76">
        <f>AM642+AN642-O642*Escenarios!$F$13/Escenarios!$F$16</f>
        <v>0</v>
      </c>
      <c r="AP642" s="76">
        <f t="shared" si="131"/>
        <v>0.19444113986764661</v>
      </c>
      <c r="AQ642" s="76">
        <f t="shared" si="132"/>
        <v>0</v>
      </c>
      <c r="AR642" s="76">
        <f t="shared" si="133"/>
        <v>0.19479514353797403</v>
      </c>
      <c r="AS642" s="76">
        <f t="shared" si="134"/>
        <v>0</v>
      </c>
      <c r="AT642" s="76">
        <f t="shared" si="135"/>
        <v>0</v>
      </c>
      <c r="AU642" s="76">
        <f t="shared" si="136"/>
        <v>49.623008528988812</v>
      </c>
      <c r="AV642" s="76">
        <f>MAX(0,(AU642-Constantes!$D$13)*(1-EXP(-Constantes!$D$24)))</f>
        <v>1.3344151055942756E-2</v>
      </c>
      <c r="AW642" s="170">
        <f>AW641+(Entradas!$F$112*AT642-AX641)/(800*Entradas!$D$25)</f>
        <v>0</v>
      </c>
      <c r="AX642" s="170">
        <f>8000*Entradas!$D$26*AW642/Constantes!$F$45</f>
        <v>0</v>
      </c>
      <c r="AY642" s="170">
        <f>IF(Escenarios!$F$17&gt;0,10*Escenarios!$F$16*AL642,0)</f>
        <v>0</v>
      </c>
      <c r="AZ642" s="170">
        <f>IF(Escenarios!$F$17&gt;0,10*Escenarios!$F$16*AX642,0)</f>
        <v>0</v>
      </c>
      <c r="BA642" s="170">
        <f>IF(Escenarios!$F$17&gt;0,0.001*Observaciones!$F641*Escenarios!$F$17,0)</f>
        <v>0</v>
      </c>
      <c r="BB642" s="170">
        <f>IF(Escenarios!$F$17&gt;0,Observaciones!$K641,0)</f>
        <v>0</v>
      </c>
      <c r="BC642" s="170">
        <f>IF(Escenarios!$F$17&gt;0,MIN(0.0005*ETo!$M641*Escenarios!$F$17*(BG641/Constantes!$F$40)^(2/3),BG641+AY642+AZ642+BA642+BB642),0)</f>
        <v>0</v>
      </c>
      <c r="BD642" s="170">
        <f>IF(Escenarios!$F$17&gt;0,MIN(Constantes!$F$39*(BG641/Constantes!$F$40)^(2/3),BG641+AY642+AZ642+BA642+BB642-BC642),0)</f>
        <v>0</v>
      </c>
      <c r="BE642" s="170">
        <f>IF(Escenarios!$F$17&gt;0,MIN(Entradas!$F$113,BG641+AY642+AZ642+BA642+BB642-BC642-BD642),0)</f>
        <v>0</v>
      </c>
      <c r="BF642" s="170">
        <f>IF(Escenarios!$F$17&gt;0,MAX(0,BG641+AY642+AZ642+BA642+BB642-BC642-BD642-BE642-Constantes!$F$40),0)</f>
        <v>0</v>
      </c>
      <c r="BG642" s="170">
        <f t="shared" si="137"/>
        <v>0</v>
      </c>
      <c r="BH642" s="170">
        <f>(Escenarios!$F$16*AK642+0.1*BC642)/(Escenarios!$F$19)</f>
        <v>0.2497367504201734</v>
      </c>
      <c r="BI642" s="170">
        <f>IF(Escenarios!$F$17&gt;0,BF642/10/Escenarios!$F$19,AL642)</f>
        <v>0</v>
      </c>
      <c r="BJ642" s="170">
        <f>(Escenarios!$F$16*AT642+0.1*BD642)/(Escenarios!$F$19)</f>
        <v>0</v>
      </c>
      <c r="BK642" s="76">
        <f>BK641+(0.1*BD642)/(Escenarios!$F$19)-BL641</f>
        <v>48.75</v>
      </c>
      <c r="BL642" s="76">
        <f>MAX(0,(BK642-Constantes!$D$13)*(1-EXP(-Constantes!$D$23)))</f>
        <v>0</v>
      </c>
      <c r="BM642" s="76">
        <f t="shared" si="138"/>
        <v>0.20778529092358936</v>
      </c>
      <c r="BN642" s="76">
        <f t="shared" si="139"/>
        <v>0.20813929459391678</v>
      </c>
      <c r="BO642" s="76">
        <f>0.0526*BI642*Observaciones!$F641^1.218</f>
        <v>0</v>
      </c>
      <c r="BP642" s="76">
        <f>BO642*Constantes!$F$51</f>
        <v>0</v>
      </c>
      <c r="BQ642" s="76">
        <f t="shared" si="140"/>
        <v>0</v>
      </c>
      <c r="BR642" s="40"/>
    </row>
    <row r="643" spans="2:70">
      <c r="B643" s="39"/>
      <c r="C643" s="75">
        <v>637</v>
      </c>
      <c r="D643" s="146">
        <f>ETo!$I642*((1-Constantes!$F$19)*ETo!$K642+ETo!$L642)</f>
        <v>4.1529122534023051</v>
      </c>
      <c r="E643" s="76">
        <f>MIN(D643*Constantes!$F$17,0.8*(N642+Observaciones!$F642-F643-M643-Constantes!$D$14))</f>
        <v>9.4476463728597089E-3</v>
      </c>
      <c r="F643" s="76">
        <f>IF(Observaciones!$F642&gt;0.05*Constantes!$F$18,((Observaciones!$F642-0.05*Constantes!$F$18)^2)/(Observaciones!$F642+0.95*Constantes!$F$18),0)</f>
        <v>0</v>
      </c>
      <c r="G643" s="76">
        <f>IF(Escenarios!$F$11&gt;0,(F643*Escenarios!$F$16*10000)/1000,0)</f>
        <v>0</v>
      </c>
      <c r="H643" s="76">
        <f>IF(Escenarios!$F$11&gt;0,(Observaciones!$F642*Constantes!$F$29)/1000,0)</f>
        <v>0</v>
      </c>
      <c r="I643" s="76">
        <f>IF(Escenarios!$F$11&gt;0,(D643*Constantes!$F$29)/1000,0)</f>
        <v>0</v>
      </c>
      <c r="J643" s="76">
        <f>IF(Escenarios!$F$11&gt;0,MAX(0,G643+H643-I643),0)</f>
        <v>0</v>
      </c>
      <c r="K643" s="76">
        <f>IF(Escenarios!$F$11&gt;0,IF(J643&gt;Constantes!$F$30,1000*((J643-Constantes!$F$30)/(Escenarios!$F$16*10000)),0),F643)</f>
        <v>0</v>
      </c>
      <c r="L643" s="76">
        <f>IF(Escenarios!$F$11&gt;0,I643*1000/Escenarios!$F$16/10000+E643,E643)</f>
        <v>9.4476463728597089E-3</v>
      </c>
      <c r="M643" s="76">
        <f>MAX(0,N642+Observaciones!$F642-K643-Constantes!$D$13)</f>
        <v>0</v>
      </c>
      <c r="N643" s="76">
        <f>N642+Observaciones!$F642-K643-L643-M643-O642</f>
        <v>11.251959634695117</v>
      </c>
      <c r="O643" s="76">
        <f>MAX(0,(N643-Constantes!$D$14)*(1-EXP(-Constantes!$D$22)))</f>
        <v>6.6752351681931895E-5</v>
      </c>
      <c r="P643" s="170">
        <f>P642+(Entradas!$F$83*M643-Q642)/(800*Entradas!$D$25)</f>
        <v>0</v>
      </c>
      <c r="Q643" s="170">
        <f>8000*Entradas!$D$26*P643/Constantes!$F$45</f>
        <v>0</v>
      </c>
      <c r="R643" s="170">
        <f>IF(Escenarios!$F$14&gt;0,K643*Escenarios!$F$13/Escenarios!$F$14,0)</f>
        <v>0</v>
      </c>
      <c r="S643" s="170">
        <f>IF(Escenarios!$F$14&gt;0,Q643*Escenarios!$F$13/Escenarios!$F$14,0)</f>
        <v>0</v>
      </c>
      <c r="T643" s="170">
        <f>IF(Escenarios!$F$14&gt;0,Observaciones!$I642,0)</f>
        <v>0</v>
      </c>
      <c r="U643" s="170">
        <f>IF(Escenarios!$F$14&gt;0,MAX(0,Constantes!$F$36/((Z642+R643+S643+T643+Observaciones!$F642)^2)+Entradas!$F$77),0)</f>
        <v>0</v>
      </c>
      <c r="V643" s="146">
        <f>IF(ETo!D642&gt;0,ETo!I642*((1-Entradas!$F$81)*ETo!K642+ETo!L642),0)</f>
        <v>3.6820654198555474</v>
      </c>
      <c r="W643" s="170">
        <f>IF(Escenarios!$F$14&gt;0,MIN(V643*1,0.8*(Z642+R643+S643+T643+Observaciones!$F642-U643-Constantes!$F$35)),0)</f>
        <v>8.4746768610045823E-3</v>
      </c>
      <c r="X643" s="170">
        <f>IF(Escenarios!$F$14&gt;0,Observaciones!$J642,0)</f>
        <v>0</v>
      </c>
      <c r="Y643" s="170">
        <f>IF(Escenarios!$F$14&gt;0,MAX(0,Z642+R643+S643+T643+Observaciones!$F642-U643-W643-X643-Constantes!$F$33),0)</f>
        <v>0</v>
      </c>
      <c r="Z643" s="170">
        <f>Z642+R643+S643+T643+Observaciones!$F642-U643-W643-Y643</f>
        <v>41.25211866921525</v>
      </c>
      <c r="AA643" s="170">
        <f>IF(Escenarios!$F$14&gt;0,(Escenarios!$F$13*L643+Escenarios!$F$14*W643)/(Escenarios!$F$16),L643)</f>
        <v>9.3308900314370939E-3</v>
      </c>
      <c r="AB643" s="170">
        <f>IF(Escenarios!$F$14&gt;0,(Escenarios!$F$14*Y643)/(Escenarios!$F$16),K643)</f>
        <v>0</v>
      </c>
      <c r="AC643" s="170">
        <f>IF(Escenarios!$F$14&gt;0,(Escenarios!$F$13*M643+Escenarios!$F$14*U643)/(Escenarios!$F$16),M643)</f>
        <v>0</v>
      </c>
      <c r="AD643" s="76">
        <f t="shared" si="127"/>
        <v>68.289288654043006</v>
      </c>
      <c r="AE643" s="76">
        <f>MAX(0,(AD643-Constantes!$D$13)*(1-EXP(-Constantes!$D$23)))</f>
        <v>0.19252526500425932</v>
      </c>
      <c r="AF643" s="76">
        <f>AB643+O643*Escenarios!$F$13/Escenarios!$F$16+AE643</f>
        <v>0.1925840070737394</v>
      </c>
      <c r="AG643" s="76">
        <f>IF(Entradas!$F$91&gt;0,IF(AF643-Escenarios!$F$38&lt;=0,0,IF(AF643-Escenarios!$F$38&gt;Escenarios!$F$37,Escenarios!$F$37,AF643-Escenarios!$F$38)),0)</f>
        <v>0</v>
      </c>
      <c r="AH643" s="76">
        <f>AG643*Entradas!$F$99</f>
        <v>0</v>
      </c>
      <c r="AI643" s="76">
        <f>IF(Entradas!$F$91&gt;0,D643*Entradas!$D$23/Escenarios!$F$16,0)</f>
        <v>0.19933978816331063</v>
      </c>
      <c r="AJ643" s="76">
        <f>IF(Entradas!$F$91&gt;0,Entradas!$D$24*Entradas!$D$22/Escenarios!$F$16,0)</f>
        <v>0.12</v>
      </c>
      <c r="AK643" s="76">
        <f t="shared" si="128"/>
        <v>0.20867067819474772</v>
      </c>
      <c r="AL643" s="76">
        <f t="shared" si="129"/>
        <v>0</v>
      </c>
      <c r="AM643" s="76">
        <f t="shared" si="130"/>
        <v>0</v>
      </c>
      <c r="AN643" s="76">
        <f>MAX(0,O643*Escenarios!$F$13/Escenarios!$F$16-AM643)</f>
        <v>5.8742069480100067E-5</v>
      </c>
      <c r="AO643" s="76">
        <f>AM643+AN643-O643*Escenarios!$F$13/Escenarios!$F$16</f>
        <v>0</v>
      </c>
      <c r="AP643" s="76">
        <f t="shared" si="131"/>
        <v>0.19252526500425932</v>
      </c>
      <c r="AQ643" s="76">
        <f t="shared" si="132"/>
        <v>0</v>
      </c>
      <c r="AR643" s="76">
        <f t="shared" si="133"/>
        <v>0.1925840070737394</v>
      </c>
      <c r="AS643" s="76">
        <f t="shared" si="134"/>
        <v>0</v>
      </c>
      <c r="AT643" s="76">
        <f t="shared" si="135"/>
        <v>0</v>
      </c>
      <c r="AU643" s="76">
        <f t="shared" si="136"/>
        <v>49.609664377932873</v>
      </c>
      <c r="AV643" s="76">
        <f>MAX(0,(AU643-Constantes!$D$13)*(1-EXP(-Constantes!$D$24)))</f>
        <v>1.3140182410172452E-2</v>
      </c>
      <c r="AW643" s="170">
        <f>AW642+(Entradas!$F$112*AT643-AX642)/(800*Entradas!$D$25)</f>
        <v>0</v>
      </c>
      <c r="AX643" s="170">
        <f>8000*Entradas!$D$26*AW643/Constantes!$F$45</f>
        <v>0</v>
      </c>
      <c r="AY643" s="170">
        <f>IF(Escenarios!$F$17&gt;0,10*Escenarios!$F$16*AL643,0)</f>
        <v>0</v>
      </c>
      <c r="AZ643" s="170">
        <f>IF(Escenarios!$F$17&gt;0,10*Escenarios!$F$16*AX643,0)</f>
        <v>0</v>
      </c>
      <c r="BA643" s="170">
        <f>IF(Escenarios!$F$17&gt;0,0.001*Observaciones!$F642*Escenarios!$F$17,0)</f>
        <v>0</v>
      </c>
      <c r="BB643" s="170">
        <f>IF(Escenarios!$F$17&gt;0,Observaciones!$K642,0)</f>
        <v>0</v>
      </c>
      <c r="BC643" s="170">
        <f>IF(Escenarios!$F$17&gt;0,MIN(0.0005*ETo!$M642*Escenarios!$F$17*(BG642/Constantes!$F$40)^(2/3),BG642+AY643+AZ643+BA643+BB643),0)</f>
        <v>0</v>
      </c>
      <c r="BD643" s="170">
        <f>IF(Escenarios!$F$17&gt;0,MIN(Constantes!$F$39*(BG642/Constantes!$F$40)^(2/3),BG642+AY643+AZ643+BA643+BB643-BC643),0)</f>
        <v>0</v>
      </c>
      <c r="BE643" s="170">
        <f>IF(Escenarios!$F$17&gt;0,MIN(Entradas!$F$113,BG642+AY643+AZ643+BA643+BB643-BC643-BD643),0)</f>
        <v>0</v>
      </c>
      <c r="BF643" s="170">
        <f>IF(Escenarios!$F$17&gt;0,MAX(0,BG642+AY643+AZ643+BA643+BB643-BC643-BD643-BE643-Constantes!$F$40),0)</f>
        <v>0</v>
      </c>
      <c r="BG643" s="170">
        <f t="shared" si="137"/>
        <v>0</v>
      </c>
      <c r="BH643" s="170">
        <f>(Escenarios!$F$16*AK643+0.1*BC643)/(Escenarios!$F$19)</f>
        <v>0.20867067819474772</v>
      </c>
      <c r="BI643" s="170">
        <f>IF(Escenarios!$F$17&gt;0,BF643/10/Escenarios!$F$19,AL643)</f>
        <v>0</v>
      </c>
      <c r="BJ643" s="170">
        <f>(Escenarios!$F$16*AT643+0.1*BD643)/(Escenarios!$F$19)</f>
        <v>0</v>
      </c>
      <c r="BK643" s="76">
        <f>BK642+(0.1*BD643)/(Escenarios!$F$19)-BL642</f>
        <v>48.75</v>
      </c>
      <c r="BL643" s="76">
        <f>MAX(0,(BK643-Constantes!$D$13)*(1-EXP(-Constantes!$D$23)))</f>
        <v>0</v>
      </c>
      <c r="BM643" s="76">
        <f t="shared" si="138"/>
        <v>0.20566544741443177</v>
      </c>
      <c r="BN643" s="76">
        <f t="shared" si="139"/>
        <v>0.20572418948391186</v>
      </c>
      <c r="BO643" s="76">
        <f>0.0526*BI643*Observaciones!$F642^1.218</f>
        <v>0</v>
      </c>
      <c r="BP643" s="76">
        <f>BO643*Constantes!$F$51</f>
        <v>0</v>
      </c>
      <c r="BQ643" s="76">
        <f t="shared" si="140"/>
        <v>0</v>
      </c>
      <c r="BR643" s="40"/>
    </row>
    <row r="644" spans="2:70">
      <c r="B644" s="39"/>
      <c r="C644" s="75">
        <v>638</v>
      </c>
      <c r="D644" s="146">
        <f>ETo!$I643*((1-Constantes!$F$19)*ETo!$K643+ETo!$L643)</f>
        <v>4.2704539959292482</v>
      </c>
      <c r="E644" s="76">
        <f>MIN(D644*Constantes!$F$17,0.8*(N643+Observaciones!$F643-F644-M644-Constantes!$D$14))</f>
        <v>1.5677077560937393E-3</v>
      </c>
      <c r="F644" s="76">
        <f>IF(Observaciones!$F643&gt;0.05*Constantes!$F$18,((Observaciones!$F643-0.05*Constantes!$F$18)^2)/(Observaciones!$F643+0.95*Constantes!$F$18),0)</f>
        <v>0</v>
      </c>
      <c r="G644" s="76">
        <f>IF(Escenarios!$F$11&gt;0,(F644*Escenarios!$F$16*10000)/1000,0)</f>
        <v>0</v>
      </c>
      <c r="H644" s="76">
        <f>IF(Escenarios!$F$11&gt;0,(Observaciones!$F643*Constantes!$F$29)/1000,0)</f>
        <v>0</v>
      </c>
      <c r="I644" s="76">
        <f>IF(Escenarios!$F$11&gt;0,(D644*Constantes!$F$29)/1000,0)</f>
        <v>0</v>
      </c>
      <c r="J644" s="76">
        <f>IF(Escenarios!$F$11&gt;0,MAX(0,G644+H644-I644),0)</f>
        <v>0</v>
      </c>
      <c r="K644" s="76">
        <f>IF(Escenarios!$F$11&gt;0,IF(J644&gt;Constantes!$F$30,1000*((J644-Constantes!$F$30)/(Escenarios!$F$16*10000)),0),F644)</f>
        <v>0</v>
      </c>
      <c r="L644" s="76">
        <f>IF(Escenarios!$F$11&gt;0,I644*1000/Escenarios!$F$16/10000+E644,E644)</f>
        <v>1.5677077560937393E-3</v>
      </c>
      <c r="M644" s="76">
        <f>MAX(0,N643+Observaciones!$F643-K644-Constantes!$D$13)</f>
        <v>0</v>
      </c>
      <c r="N644" s="76">
        <f>N643+Observaciones!$F643-K644-L644-M644-O643</f>
        <v>11.250325174587342</v>
      </c>
      <c r="O644" s="76">
        <f>MAX(0,(N644-Constantes!$D$14)*(1-EXP(-Constantes!$D$22)))</f>
        <v>1.1076640185218573E-5</v>
      </c>
      <c r="P644" s="170">
        <f>P643+(Entradas!$F$83*M644-Q643)/(800*Entradas!$D$25)</f>
        <v>0</v>
      </c>
      <c r="Q644" s="170">
        <f>8000*Entradas!$D$26*P644/Constantes!$F$45</f>
        <v>0</v>
      </c>
      <c r="R644" s="170">
        <f>IF(Escenarios!$F$14&gt;0,K644*Escenarios!$F$13/Escenarios!$F$14,0)</f>
        <v>0</v>
      </c>
      <c r="S644" s="170">
        <f>IF(Escenarios!$F$14&gt;0,Q644*Escenarios!$F$13/Escenarios!$F$14,0)</f>
        <v>0</v>
      </c>
      <c r="T644" s="170">
        <f>IF(Escenarios!$F$14&gt;0,Observaciones!$I643,0)</f>
        <v>0</v>
      </c>
      <c r="U644" s="170">
        <f>IF(Escenarios!$F$14&gt;0,MAX(0,Constantes!$F$36/((Z643+R644+S644+T644+Observaciones!$F643)^2)+Entradas!$F$77),0)</f>
        <v>0</v>
      </c>
      <c r="V644" s="146">
        <f>IF(ETo!D643&gt;0,ETo!I643*((1-Entradas!$F$81)*ETo!K643+ETo!L643),0)</f>
        <v>3.7882957625388736</v>
      </c>
      <c r="W644" s="170">
        <f>IF(Escenarios!$F$14&gt;0,MIN(V644*1,0.8*(Z643+R644+S644+T644+Observaciones!$F643-U644-Constantes!$F$35)),0)</f>
        <v>1.6949353721997795E-3</v>
      </c>
      <c r="X644" s="170">
        <f>IF(Escenarios!$F$14&gt;0,Observaciones!$J643,0)</f>
        <v>0</v>
      </c>
      <c r="Y644" s="170">
        <f>IF(Escenarios!$F$14&gt;0,MAX(0,Z643+R644+S644+T644+Observaciones!$F643-U644-W644-X644-Constantes!$F$33),0)</f>
        <v>0</v>
      </c>
      <c r="Z644" s="170">
        <f>Z643+R644+S644+T644+Observaciones!$F643-U644-W644-Y644</f>
        <v>41.25042373384305</v>
      </c>
      <c r="AA644" s="170">
        <f>IF(Escenarios!$F$14&gt;0,(Escenarios!$F$13*L644+Escenarios!$F$14*W644)/(Escenarios!$F$16),L644)</f>
        <v>1.5829750700264641E-3</v>
      </c>
      <c r="AB644" s="170">
        <f>IF(Escenarios!$F$14&gt;0,(Escenarios!$F$14*Y644)/(Escenarios!$F$16),K644)</f>
        <v>0</v>
      </c>
      <c r="AC644" s="170">
        <f>IF(Escenarios!$F$14&gt;0,(Escenarios!$F$13*M644+Escenarios!$F$14*U644)/(Escenarios!$F$16),M644)</f>
        <v>0</v>
      </c>
      <c r="AD644" s="76">
        <f t="shared" si="127"/>
        <v>68.096763389038742</v>
      </c>
      <c r="AE644" s="76">
        <f>MAX(0,(AD644-Constantes!$D$13)*(1-EXP(-Constantes!$D$23)))</f>
        <v>0.19062826771222682</v>
      </c>
      <c r="AF644" s="76">
        <f>AB644+O644*Escenarios!$F$13/Escenarios!$F$16+AE644</f>
        <v>0.19063801515558981</v>
      </c>
      <c r="AG644" s="76">
        <f>IF(Entradas!$F$91&gt;0,IF(AF644-Escenarios!$F$38&lt;=0,0,IF(AF644-Escenarios!$F$38&gt;Escenarios!$F$37,Escenarios!$F$37,AF644-Escenarios!$F$38)),0)</f>
        <v>0</v>
      </c>
      <c r="AH644" s="76">
        <f>AG644*Entradas!$F$99</f>
        <v>0</v>
      </c>
      <c r="AI644" s="76">
        <f>IF(Entradas!$F$91&gt;0,D644*Entradas!$D$23/Escenarios!$F$16,0)</f>
        <v>0.20498179180460391</v>
      </c>
      <c r="AJ644" s="76">
        <f>IF(Entradas!$F$91&gt;0,Entradas!$D$24*Entradas!$D$22/Escenarios!$F$16,0)</f>
        <v>0.12</v>
      </c>
      <c r="AK644" s="76">
        <f t="shared" si="128"/>
        <v>0.20656476687463038</v>
      </c>
      <c r="AL644" s="76">
        <f t="shared" si="129"/>
        <v>0</v>
      </c>
      <c r="AM644" s="76">
        <f t="shared" si="130"/>
        <v>0</v>
      </c>
      <c r="AN644" s="76">
        <f>MAX(0,O644*Escenarios!$F$13/Escenarios!$F$16-AM644)</f>
        <v>9.7474433629923444E-6</v>
      </c>
      <c r="AO644" s="76">
        <f>AM644+AN644-O644*Escenarios!$F$13/Escenarios!$F$16</f>
        <v>0</v>
      </c>
      <c r="AP644" s="76">
        <f t="shared" si="131"/>
        <v>0.19062826771222682</v>
      </c>
      <c r="AQ644" s="76">
        <f t="shared" si="132"/>
        <v>0</v>
      </c>
      <c r="AR644" s="76">
        <f t="shared" si="133"/>
        <v>0.19063801515558981</v>
      </c>
      <c r="AS644" s="76">
        <f t="shared" si="134"/>
        <v>0</v>
      </c>
      <c r="AT644" s="76">
        <f t="shared" si="135"/>
        <v>0</v>
      </c>
      <c r="AU644" s="76">
        <f t="shared" si="136"/>
        <v>49.596524195522697</v>
      </c>
      <c r="AV644" s="76">
        <f>MAX(0,(AU644-Constantes!$D$13)*(1-EXP(-Constantes!$D$24)))</f>
        <v>1.2939331475546274E-2</v>
      </c>
      <c r="AW644" s="170">
        <f>AW643+(Entradas!$F$112*AT644-AX643)/(800*Entradas!$D$25)</f>
        <v>0</v>
      </c>
      <c r="AX644" s="170">
        <f>8000*Entradas!$D$26*AW644/Constantes!$F$45</f>
        <v>0</v>
      </c>
      <c r="AY644" s="170">
        <f>IF(Escenarios!$F$17&gt;0,10*Escenarios!$F$16*AL644,0)</f>
        <v>0</v>
      </c>
      <c r="AZ644" s="170">
        <f>IF(Escenarios!$F$17&gt;0,10*Escenarios!$F$16*AX644,0)</f>
        <v>0</v>
      </c>
      <c r="BA644" s="170">
        <f>IF(Escenarios!$F$17&gt;0,0.001*Observaciones!$F643*Escenarios!$F$17,0)</f>
        <v>0</v>
      </c>
      <c r="BB644" s="170">
        <f>IF(Escenarios!$F$17&gt;0,Observaciones!$K643,0)</f>
        <v>0</v>
      </c>
      <c r="BC644" s="170">
        <f>IF(Escenarios!$F$17&gt;0,MIN(0.0005*ETo!$M643*Escenarios!$F$17*(BG643/Constantes!$F$40)^(2/3),BG643+AY644+AZ644+BA644+BB644),0)</f>
        <v>0</v>
      </c>
      <c r="BD644" s="170">
        <f>IF(Escenarios!$F$17&gt;0,MIN(Constantes!$F$39*(BG643/Constantes!$F$40)^(2/3),BG643+AY644+AZ644+BA644+BB644-BC644),0)</f>
        <v>0</v>
      </c>
      <c r="BE644" s="170">
        <f>IF(Escenarios!$F$17&gt;0,MIN(Entradas!$F$113,BG643+AY644+AZ644+BA644+BB644-BC644-BD644),0)</f>
        <v>0</v>
      </c>
      <c r="BF644" s="170">
        <f>IF(Escenarios!$F$17&gt;0,MAX(0,BG643+AY644+AZ644+BA644+BB644-BC644-BD644-BE644-Constantes!$F$40),0)</f>
        <v>0</v>
      </c>
      <c r="BG644" s="170">
        <f t="shared" si="137"/>
        <v>0</v>
      </c>
      <c r="BH644" s="170">
        <f>(Escenarios!$F$16*AK644+0.1*BC644)/(Escenarios!$F$19)</f>
        <v>0.20656476687463038</v>
      </c>
      <c r="BI644" s="170">
        <f>IF(Escenarios!$F$17&gt;0,BF644/10/Escenarios!$F$19,AL644)</f>
        <v>0</v>
      </c>
      <c r="BJ644" s="170">
        <f>(Escenarios!$F$16*AT644+0.1*BD644)/(Escenarios!$F$19)</f>
        <v>0</v>
      </c>
      <c r="BK644" s="76">
        <f>BK643+(0.1*BD644)/(Escenarios!$F$19)-BL643</f>
        <v>48.75</v>
      </c>
      <c r="BL644" s="76">
        <f>MAX(0,(BK644-Constantes!$D$13)*(1-EXP(-Constantes!$D$23)))</f>
        <v>0</v>
      </c>
      <c r="BM644" s="76">
        <f t="shared" si="138"/>
        <v>0.20356759918777309</v>
      </c>
      <c r="BN644" s="76">
        <f t="shared" si="139"/>
        <v>0.20357734663113608</v>
      </c>
      <c r="BO644" s="76">
        <f>0.0526*BI644*Observaciones!$F643^1.218</f>
        <v>0</v>
      </c>
      <c r="BP644" s="76">
        <f>BO644*Constantes!$F$51</f>
        <v>0</v>
      </c>
      <c r="BQ644" s="76">
        <f t="shared" si="140"/>
        <v>0</v>
      </c>
      <c r="BR644" s="40"/>
    </row>
    <row r="645" spans="2:70">
      <c r="B645" s="39"/>
      <c r="C645" s="75">
        <v>639</v>
      </c>
      <c r="D645" s="146">
        <f>ETo!$I644*((1-Constantes!$F$19)*ETo!$K644+ETo!$L644)</f>
        <v>4.1773748357050753</v>
      </c>
      <c r="E645" s="76">
        <f>MIN(D645*Constantes!$F$17,0.8*(N644+Observaciones!$F644-F645-M645-Constantes!$D$14))</f>
        <v>2.60139669873638E-4</v>
      </c>
      <c r="F645" s="76">
        <f>IF(Observaciones!$F644&gt;0.05*Constantes!$F$18,((Observaciones!$F644-0.05*Constantes!$F$18)^2)/(Observaciones!$F644+0.95*Constantes!$F$18),0)</f>
        <v>0</v>
      </c>
      <c r="G645" s="76">
        <f>IF(Escenarios!$F$11&gt;0,(F645*Escenarios!$F$16*10000)/1000,0)</f>
        <v>0</v>
      </c>
      <c r="H645" s="76">
        <f>IF(Escenarios!$F$11&gt;0,(Observaciones!$F644*Constantes!$F$29)/1000,0)</f>
        <v>0</v>
      </c>
      <c r="I645" s="76">
        <f>IF(Escenarios!$F$11&gt;0,(D645*Constantes!$F$29)/1000,0)</f>
        <v>0</v>
      </c>
      <c r="J645" s="76">
        <f>IF(Escenarios!$F$11&gt;0,MAX(0,G645+H645-I645),0)</f>
        <v>0</v>
      </c>
      <c r="K645" s="76">
        <f>IF(Escenarios!$F$11&gt;0,IF(J645&gt;Constantes!$F$30,1000*((J645-Constantes!$F$30)/(Escenarios!$F$16*10000)),0),F645)</f>
        <v>0</v>
      </c>
      <c r="L645" s="76">
        <f>IF(Escenarios!$F$11&gt;0,I645*1000/Escenarios!$F$16/10000+E645,E645)</f>
        <v>2.60139669873638E-4</v>
      </c>
      <c r="M645" s="76">
        <f>MAX(0,N644+Observaciones!$F644-K645-Constantes!$D$13)</f>
        <v>0</v>
      </c>
      <c r="N645" s="76">
        <f>N644+Observaciones!$F644-K645-L645-M645-O644</f>
        <v>11.250053958277284</v>
      </c>
      <c r="O645" s="76">
        <f>MAX(0,(N645-Constantes!$D$14)*(1-EXP(-Constantes!$D$22)))</f>
        <v>1.8380170092009708E-6</v>
      </c>
      <c r="P645" s="170">
        <f>P644+(Entradas!$F$83*M645-Q644)/(800*Entradas!$D$25)</f>
        <v>0</v>
      </c>
      <c r="Q645" s="170">
        <f>8000*Entradas!$D$26*P645/Constantes!$F$45</f>
        <v>0</v>
      </c>
      <c r="R645" s="170">
        <f>IF(Escenarios!$F$14&gt;0,K645*Escenarios!$F$13/Escenarios!$F$14,0)</f>
        <v>0</v>
      </c>
      <c r="S645" s="170">
        <f>IF(Escenarios!$F$14&gt;0,Q645*Escenarios!$F$13/Escenarios!$F$14,0)</f>
        <v>0</v>
      </c>
      <c r="T645" s="170">
        <f>IF(Escenarios!$F$14&gt;0,Observaciones!$I644,0)</f>
        <v>0</v>
      </c>
      <c r="U645" s="170">
        <f>IF(Escenarios!$F$14&gt;0,MAX(0,Constantes!$F$36/((Z644+R645+S645+T645+Observaciones!$F644)^2)+Entradas!$F$77),0)</f>
        <v>0</v>
      </c>
      <c r="V645" s="146">
        <f>IF(ETo!D644&gt;0,ETo!I644*((1-Entradas!$F$81)*ETo!K644+ETo!L644),0)</f>
        <v>3.7045030096769374</v>
      </c>
      <c r="W645" s="170">
        <f>IF(Escenarios!$F$14&gt;0,MIN(V645*1,0.8*(Z644+R645+S645+T645+Observaciones!$F644-U645-Constantes!$F$35)),0)</f>
        <v>3.3898707443995595E-4</v>
      </c>
      <c r="X645" s="170">
        <f>IF(Escenarios!$F$14&gt;0,Observaciones!$J644,0)</f>
        <v>0</v>
      </c>
      <c r="Y645" s="170">
        <f>IF(Escenarios!$F$14&gt;0,MAX(0,Z644+R645+S645+T645+Observaciones!$F644-U645-W645-X645-Constantes!$F$33),0)</f>
        <v>0</v>
      </c>
      <c r="Z645" s="170">
        <f>Z644+R645+S645+T645+Observaciones!$F644-U645-W645-Y645</f>
        <v>41.250084746768607</v>
      </c>
      <c r="AA645" s="170">
        <f>IF(Escenarios!$F$14&gt;0,(Escenarios!$F$13*L645+Escenarios!$F$14*W645)/(Escenarios!$F$16),L645)</f>
        <v>2.6960135842159618E-4</v>
      </c>
      <c r="AB645" s="170">
        <f>IF(Escenarios!$F$14&gt;0,(Escenarios!$F$14*Y645)/(Escenarios!$F$16),K645)</f>
        <v>0</v>
      </c>
      <c r="AC645" s="170">
        <f>IF(Escenarios!$F$14&gt;0,(Escenarios!$F$13*M645+Escenarios!$F$14*U645)/(Escenarios!$F$16),M645)</f>
        <v>0</v>
      </c>
      <c r="AD645" s="76">
        <f t="shared" si="127"/>
        <v>67.906135121326514</v>
      </c>
      <c r="AE645" s="76">
        <f>MAX(0,(AD645-Constantes!$D$13)*(1-EXP(-Constantes!$D$23)))</f>
        <v>0.18874996198634228</v>
      </c>
      <c r="AF645" s="76">
        <f>AB645+O645*Escenarios!$F$13/Escenarios!$F$16+AE645</f>
        <v>0.18875157944131038</v>
      </c>
      <c r="AG645" s="76">
        <f>IF(Entradas!$F$91&gt;0,IF(AF645-Escenarios!$F$38&lt;=0,0,IF(AF645-Escenarios!$F$38&gt;Escenarios!$F$37,Escenarios!$F$37,AF645-Escenarios!$F$38)),0)</f>
        <v>0</v>
      </c>
      <c r="AH645" s="76">
        <f>AG645*Entradas!$F$99</f>
        <v>0</v>
      </c>
      <c r="AI645" s="76">
        <f>IF(Entradas!$F$91&gt;0,D645*Entradas!$D$23/Escenarios!$F$16,0)</f>
        <v>0.2005139921138436</v>
      </c>
      <c r="AJ645" s="76">
        <f>IF(Entradas!$F$91&gt;0,Entradas!$D$24*Entradas!$D$22/Escenarios!$F$16,0)</f>
        <v>0.12</v>
      </c>
      <c r="AK645" s="76">
        <f t="shared" si="128"/>
        <v>0.20078359347226521</v>
      </c>
      <c r="AL645" s="76">
        <f t="shared" si="129"/>
        <v>0</v>
      </c>
      <c r="AM645" s="76">
        <f t="shared" si="130"/>
        <v>0</v>
      </c>
      <c r="AN645" s="76">
        <f>MAX(0,O645*Escenarios!$F$13/Escenarios!$F$16-AM645)</f>
        <v>1.6174549680968543E-6</v>
      </c>
      <c r="AO645" s="76">
        <f>AM645+AN645-O645*Escenarios!$F$13/Escenarios!$F$16</f>
        <v>0</v>
      </c>
      <c r="AP645" s="76">
        <f t="shared" si="131"/>
        <v>0.18874996198634228</v>
      </c>
      <c r="AQ645" s="76">
        <f t="shared" si="132"/>
        <v>0</v>
      </c>
      <c r="AR645" s="76">
        <f t="shared" si="133"/>
        <v>0.18875157944131038</v>
      </c>
      <c r="AS645" s="76">
        <f t="shared" si="134"/>
        <v>0</v>
      </c>
      <c r="AT645" s="76">
        <f t="shared" si="135"/>
        <v>0</v>
      </c>
      <c r="AU645" s="76">
        <f t="shared" si="136"/>
        <v>49.583584864047154</v>
      </c>
      <c r="AV645" s="76">
        <f>MAX(0,(AU645-Constantes!$D$13)*(1-EXP(-Constantes!$D$24)))</f>
        <v>1.2741550597079305E-2</v>
      </c>
      <c r="AW645" s="170">
        <f>AW644+(Entradas!$F$112*AT645-AX644)/(800*Entradas!$D$25)</f>
        <v>0</v>
      </c>
      <c r="AX645" s="170">
        <f>8000*Entradas!$D$26*AW645/Constantes!$F$45</f>
        <v>0</v>
      </c>
      <c r="AY645" s="170">
        <f>IF(Escenarios!$F$17&gt;0,10*Escenarios!$F$16*AL645,0)</f>
        <v>0</v>
      </c>
      <c r="AZ645" s="170">
        <f>IF(Escenarios!$F$17&gt;0,10*Escenarios!$F$16*AX645,0)</f>
        <v>0</v>
      </c>
      <c r="BA645" s="170">
        <f>IF(Escenarios!$F$17&gt;0,0.001*Observaciones!$F644*Escenarios!$F$17,0)</f>
        <v>0</v>
      </c>
      <c r="BB645" s="170">
        <f>IF(Escenarios!$F$17&gt;0,Observaciones!$K644,0)</f>
        <v>0</v>
      </c>
      <c r="BC645" s="170">
        <f>IF(Escenarios!$F$17&gt;0,MIN(0.0005*ETo!$M644*Escenarios!$F$17*(BG644/Constantes!$F$40)^(2/3),BG644+AY645+AZ645+BA645+BB645),0)</f>
        <v>0</v>
      </c>
      <c r="BD645" s="170">
        <f>IF(Escenarios!$F$17&gt;0,MIN(Constantes!$F$39*(BG644/Constantes!$F$40)^(2/3),BG644+AY645+AZ645+BA645+BB645-BC645),0)</f>
        <v>0</v>
      </c>
      <c r="BE645" s="170">
        <f>IF(Escenarios!$F$17&gt;0,MIN(Entradas!$F$113,BG644+AY645+AZ645+BA645+BB645-BC645-BD645),0)</f>
        <v>0</v>
      </c>
      <c r="BF645" s="170">
        <f>IF(Escenarios!$F$17&gt;0,MAX(0,BG644+AY645+AZ645+BA645+BB645-BC645-BD645-BE645-Constantes!$F$40),0)</f>
        <v>0</v>
      </c>
      <c r="BG645" s="170">
        <f t="shared" si="137"/>
        <v>0</v>
      </c>
      <c r="BH645" s="170">
        <f>(Escenarios!$F$16*AK645+0.1*BC645)/(Escenarios!$F$19)</f>
        <v>0.20078359347226521</v>
      </c>
      <c r="BI645" s="170">
        <f>IF(Escenarios!$F$17&gt;0,BF645/10/Escenarios!$F$19,AL645)</f>
        <v>0</v>
      </c>
      <c r="BJ645" s="170">
        <f>(Escenarios!$F$16*AT645+0.1*BD645)/(Escenarios!$F$19)</f>
        <v>0</v>
      </c>
      <c r="BK645" s="76">
        <f>BK644+(0.1*BD645)/(Escenarios!$F$19)-BL644</f>
        <v>48.75</v>
      </c>
      <c r="BL645" s="76">
        <f>MAX(0,(BK645-Constantes!$D$13)*(1-EXP(-Constantes!$D$23)))</f>
        <v>0</v>
      </c>
      <c r="BM645" s="76">
        <f t="shared" si="138"/>
        <v>0.20149151258342157</v>
      </c>
      <c r="BN645" s="76">
        <f t="shared" si="139"/>
        <v>0.20149313003838967</v>
      </c>
      <c r="BO645" s="76">
        <f>0.0526*BI645*Observaciones!$F644^1.218</f>
        <v>0</v>
      </c>
      <c r="BP645" s="76">
        <f>BO645*Constantes!$F$51</f>
        <v>0</v>
      </c>
      <c r="BQ645" s="76">
        <f t="shared" si="140"/>
        <v>0</v>
      </c>
      <c r="BR645" s="40"/>
    </row>
    <row r="646" spans="2:70">
      <c r="B646" s="39"/>
      <c r="C646" s="75">
        <v>640</v>
      </c>
      <c r="D646" s="146">
        <f>ETo!$I645*((1-Constantes!$F$19)*ETo!$K645+ETo!$L645)</f>
        <v>4.2904666714814175</v>
      </c>
      <c r="E646" s="76">
        <f>MIN(D646*Constantes!$F$17,0.8*(N645+Observaciones!$F645-F646-M646-Constantes!$D$14))</f>
        <v>4.316662182759501E-5</v>
      </c>
      <c r="F646" s="76">
        <f>IF(Observaciones!$F645&gt;0.05*Constantes!$F$18,((Observaciones!$F645-0.05*Constantes!$F$18)^2)/(Observaciones!$F645+0.95*Constantes!$F$18),0)</f>
        <v>0</v>
      </c>
      <c r="G646" s="76">
        <f>IF(Escenarios!$F$11&gt;0,(F646*Escenarios!$F$16*10000)/1000,0)</f>
        <v>0</v>
      </c>
      <c r="H646" s="76">
        <f>IF(Escenarios!$F$11&gt;0,(Observaciones!$F645*Constantes!$F$29)/1000,0)</f>
        <v>0</v>
      </c>
      <c r="I646" s="76">
        <f>IF(Escenarios!$F$11&gt;0,(D646*Constantes!$F$29)/1000,0)</f>
        <v>0</v>
      </c>
      <c r="J646" s="76">
        <f>IF(Escenarios!$F$11&gt;0,MAX(0,G646+H646-I646),0)</f>
        <v>0</v>
      </c>
      <c r="K646" s="76">
        <f>IF(Escenarios!$F$11&gt;0,IF(J646&gt;Constantes!$F$30,1000*((J646-Constantes!$F$30)/(Escenarios!$F$16*10000)),0),F646)</f>
        <v>0</v>
      </c>
      <c r="L646" s="76">
        <f>IF(Escenarios!$F$11&gt;0,I646*1000/Escenarios!$F$16/10000+E646,E646)</f>
        <v>4.316662182759501E-5</v>
      </c>
      <c r="M646" s="76">
        <f>MAX(0,N645+Observaciones!$F645-K646-Constantes!$D$13)</f>
        <v>0</v>
      </c>
      <c r="N646" s="76">
        <f>N645+Observaciones!$F645-K646-L646-M646-O645</f>
        <v>11.250008953638448</v>
      </c>
      <c r="O646" s="76">
        <f>MAX(0,(N646-Constantes!$D$14)*(1-EXP(-Constantes!$D$22)))</f>
        <v>3.0499379500322707E-7</v>
      </c>
      <c r="P646" s="170">
        <f>P645+(Entradas!$F$83*M646-Q645)/(800*Entradas!$D$25)</f>
        <v>0</v>
      </c>
      <c r="Q646" s="170">
        <f>8000*Entradas!$D$26*P646/Constantes!$F$45</f>
        <v>0</v>
      </c>
      <c r="R646" s="170">
        <f>IF(Escenarios!$F$14&gt;0,K646*Escenarios!$F$13/Escenarios!$F$14,0)</f>
        <v>0</v>
      </c>
      <c r="S646" s="170">
        <f>IF(Escenarios!$F$14&gt;0,Q646*Escenarios!$F$13/Escenarios!$F$14,0)</f>
        <v>0</v>
      </c>
      <c r="T646" s="170">
        <f>IF(Escenarios!$F$14&gt;0,Observaciones!$I645,0)</f>
        <v>0</v>
      </c>
      <c r="U646" s="170">
        <f>IF(Escenarios!$F$14&gt;0,MAX(0,Constantes!$F$36/((Z645+R646+S646+T646+Observaciones!$F645)^2)+Entradas!$F$77),0)</f>
        <v>0</v>
      </c>
      <c r="V646" s="146">
        <f>IF(ETo!D645&gt;0,ETo!I645*((1-Entradas!$F$81)*ETo!K645+ETo!L645),0)</f>
        <v>3.8067108822068709</v>
      </c>
      <c r="W646" s="170">
        <f>IF(Escenarios!$F$14&gt;0,MIN(V646*1,0.8*(Z645+R646+S646+T646+Observaciones!$F645-U646-Constantes!$F$35)),0)</f>
        <v>6.7797414885717444E-5</v>
      </c>
      <c r="X646" s="170">
        <f>IF(Escenarios!$F$14&gt;0,Observaciones!$J645,0)</f>
        <v>0</v>
      </c>
      <c r="Y646" s="170">
        <f>IF(Escenarios!$F$14&gt;0,MAX(0,Z645+R646+S646+T646+Observaciones!$F645-U646-W646-X646-Constantes!$F$33),0)</f>
        <v>0</v>
      </c>
      <c r="Z646" s="170">
        <f>Z645+R646+S646+T646+Observaciones!$F645-U646-W646-Y646</f>
        <v>41.250016949353721</v>
      </c>
      <c r="AA646" s="170">
        <f>IF(Escenarios!$F$14&gt;0,(Escenarios!$F$13*L646+Escenarios!$F$14*W646)/(Escenarios!$F$16),L646)</f>
        <v>4.6122316994569703E-5</v>
      </c>
      <c r="AB646" s="170">
        <f>IF(Escenarios!$F$14&gt;0,(Escenarios!$F$14*Y646)/(Escenarios!$F$16),K646)</f>
        <v>0</v>
      </c>
      <c r="AC646" s="170">
        <f>IF(Escenarios!$F$14&gt;0,(Escenarios!$F$13*M646+Escenarios!$F$14*U646)/(Escenarios!$F$16),M646)</f>
        <v>0</v>
      </c>
      <c r="AD646" s="76">
        <f t="shared" si="127"/>
        <v>67.717385159340168</v>
      </c>
      <c r="AE646" s="76">
        <f>MAX(0,(AD646-Constantes!$D$13)*(1-EXP(-Constantes!$D$23)))</f>
        <v>0.18689016365415245</v>
      </c>
      <c r="AF646" s="76">
        <f>AB646+O646*Escenarios!$F$13/Escenarios!$F$16+AE646</f>
        <v>0.18689043204869205</v>
      </c>
      <c r="AG646" s="76">
        <f>IF(Entradas!$F$91&gt;0,IF(AF646-Escenarios!$F$38&lt;=0,0,IF(AF646-Escenarios!$F$38&gt;Escenarios!$F$37,Escenarios!$F$37,AF646-Escenarios!$F$38)),0)</f>
        <v>0</v>
      </c>
      <c r="AH646" s="76">
        <f>AG646*Entradas!$F$99</f>
        <v>0</v>
      </c>
      <c r="AI646" s="76">
        <f>IF(Entradas!$F$91&gt;0,D646*Entradas!$D$23/Escenarios!$F$16,0)</f>
        <v>0.20594240023110802</v>
      </c>
      <c r="AJ646" s="76">
        <f>IF(Entradas!$F$91&gt;0,Entradas!$D$24*Entradas!$D$22/Escenarios!$F$16,0)</f>
        <v>0.12</v>
      </c>
      <c r="AK646" s="76">
        <f t="shared" si="128"/>
        <v>0.2059885225481026</v>
      </c>
      <c r="AL646" s="76">
        <f t="shared" si="129"/>
        <v>0</v>
      </c>
      <c r="AM646" s="76">
        <f t="shared" si="130"/>
        <v>0</v>
      </c>
      <c r="AN646" s="76">
        <f>MAX(0,O646*Escenarios!$F$13/Escenarios!$F$16-AM646)</f>
        <v>2.6839453960283984E-7</v>
      </c>
      <c r="AO646" s="76">
        <f>AM646+AN646-O646*Escenarios!$F$13/Escenarios!$F$16</f>
        <v>0</v>
      </c>
      <c r="AP646" s="76">
        <f t="shared" si="131"/>
        <v>0.18689016365415245</v>
      </c>
      <c r="AQ646" s="76">
        <f t="shared" si="132"/>
        <v>0</v>
      </c>
      <c r="AR646" s="76">
        <f t="shared" si="133"/>
        <v>0.18689043204869205</v>
      </c>
      <c r="AS646" s="76">
        <f t="shared" si="134"/>
        <v>0</v>
      </c>
      <c r="AT646" s="76">
        <f t="shared" si="135"/>
        <v>0</v>
      </c>
      <c r="AU646" s="76">
        <f t="shared" si="136"/>
        <v>49.570843313450077</v>
      </c>
      <c r="AV646" s="76">
        <f>MAX(0,(AU646-Constantes!$D$13)*(1-EXP(-Constantes!$D$24)))</f>
        <v>1.2546792848204532E-2</v>
      </c>
      <c r="AW646" s="170">
        <f>AW645+(Entradas!$F$112*AT646-AX645)/(800*Entradas!$D$25)</f>
        <v>0</v>
      </c>
      <c r="AX646" s="170">
        <f>8000*Entradas!$D$26*AW646/Constantes!$F$45</f>
        <v>0</v>
      </c>
      <c r="AY646" s="170">
        <f>IF(Escenarios!$F$17&gt;0,10*Escenarios!$F$16*AL646,0)</f>
        <v>0</v>
      </c>
      <c r="AZ646" s="170">
        <f>IF(Escenarios!$F$17&gt;0,10*Escenarios!$F$16*AX646,0)</f>
        <v>0</v>
      </c>
      <c r="BA646" s="170">
        <f>IF(Escenarios!$F$17&gt;0,0.001*Observaciones!$F645*Escenarios!$F$17,0)</f>
        <v>0</v>
      </c>
      <c r="BB646" s="170">
        <f>IF(Escenarios!$F$17&gt;0,Observaciones!$K645,0)</f>
        <v>0</v>
      </c>
      <c r="BC646" s="170">
        <f>IF(Escenarios!$F$17&gt;0,MIN(0.0005*ETo!$M645*Escenarios!$F$17*(BG645/Constantes!$F$40)^(2/3),BG645+AY646+AZ646+BA646+BB646),0)</f>
        <v>0</v>
      </c>
      <c r="BD646" s="170">
        <f>IF(Escenarios!$F$17&gt;0,MIN(Constantes!$F$39*(BG645/Constantes!$F$40)^(2/3),BG645+AY646+AZ646+BA646+BB646-BC646),0)</f>
        <v>0</v>
      </c>
      <c r="BE646" s="170">
        <f>IF(Escenarios!$F$17&gt;0,MIN(Entradas!$F$113,BG645+AY646+AZ646+BA646+BB646-BC646-BD646),0)</f>
        <v>0</v>
      </c>
      <c r="BF646" s="170">
        <f>IF(Escenarios!$F$17&gt;0,MAX(0,BG645+AY646+AZ646+BA646+BB646-BC646-BD646-BE646-Constantes!$F$40),0)</f>
        <v>0</v>
      </c>
      <c r="BG646" s="170">
        <f t="shared" si="137"/>
        <v>0</v>
      </c>
      <c r="BH646" s="170">
        <f>(Escenarios!$F$16*AK646+0.1*BC646)/(Escenarios!$F$19)</f>
        <v>0.2059885225481026</v>
      </c>
      <c r="BI646" s="170">
        <f>IF(Escenarios!$F$17&gt;0,BF646/10/Escenarios!$F$19,AL646)</f>
        <v>0</v>
      </c>
      <c r="BJ646" s="170">
        <f>(Escenarios!$F$16*AT646+0.1*BD646)/(Escenarios!$F$19)</f>
        <v>0</v>
      </c>
      <c r="BK646" s="76">
        <f>BK645+(0.1*BD646)/(Escenarios!$F$19)-BL645</f>
        <v>48.75</v>
      </c>
      <c r="BL646" s="76">
        <f>MAX(0,(BK646-Constantes!$D$13)*(1-EXP(-Constantes!$D$23)))</f>
        <v>0</v>
      </c>
      <c r="BM646" s="76">
        <f t="shared" si="138"/>
        <v>0.19943695650235699</v>
      </c>
      <c r="BN646" s="76">
        <f t="shared" si="139"/>
        <v>0.19943722489689658</v>
      </c>
      <c r="BO646" s="76">
        <f>0.0526*BI646*Observaciones!$F645^1.218</f>
        <v>0</v>
      </c>
      <c r="BP646" s="76">
        <f>BO646*Constantes!$F$51</f>
        <v>0</v>
      </c>
      <c r="BQ646" s="76">
        <f t="shared" si="140"/>
        <v>0</v>
      </c>
      <c r="BR646" s="40"/>
    </row>
    <row r="647" spans="2:70">
      <c r="B647" s="39"/>
      <c r="C647" s="75">
        <v>641</v>
      </c>
      <c r="D647" s="146">
        <f>ETo!$I646*((1-Constantes!$F$19)*ETo!$K646+ETo!$L646)</f>
        <v>4.2624974070085724</v>
      </c>
      <c r="E647" s="76">
        <f>MIN(D647*Constantes!$F$17,0.8*(N646+Observaciones!$F646-F647-M647-Constantes!$D$14))</f>
        <v>7.1629107580406533E-6</v>
      </c>
      <c r="F647" s="76">
        <f>IF(Observaciones!$F646&gt;0.05*Constantes!$F$18,((Observaciones!$F646-0.05*Constantes!$F$18)^2)/(Observaciones!$F646+0.95*Constantes!$F$18),0)</f>
        <v>0</v>
      </c>
      <c r="G647" s="76">
        <f>IF(Escenarios!$F$11&gt;0,(F647*Escenarios!$F$16*10000)/1000,0)</f>
        <v>0</v>
      </c>
      <c r="H647" s="76">
        <f>IF(Escenarios!$F$11&gt;0,(Observaciones!$F646*Constantes!$F$29)/1000,0)</f>
        <v>0</v>
      </c>
      <c r="I647" s="76">
        <f>IF(Escenarios!$F$11&gt;0,(D647*Constantes!$F$29)/1000,0)</f>
        <v>0</v>
      </c>
      <c r="J647" s="76">
        <f>IF(Escenarios!$F$11&gt;0,MAX(0,G647+H647-I647),0)</f>
        <v>0</v>
      </c>
      <c r="K647" s="76">
        <f>IF(Escenarios!$F$11&gt;0,IF(J647&gt;Constantes!$F$30,1000*((J647-Constantes!$F$30)/(Escenarios!$F$16*10000)),0),F647)</f>
        <v>0</v>
      </c>
      <c r="L647" s="76">
        <f>IF(Escenarios!$F$11&gt;0,I647*1000/Escenarios!$F$16/10000+E647,E647)</f>
        <v>7.1629107580406533E-6</v>
      </c>
      <c r="M647" s="76">
        <f>MAX(0,N646+Observaciones!$F646-K647-Constantes!$D$13)</f>
        <v>0</v>
      </c>
      <c r="N647" s="76">
        <f>N646+Observaciones!$F646-K647-L647-M647-O646</f>
        <v>11.250001485733893</v>
      </c>
      <c r="O647" s="76">
        <f>MAX(0,(N647-Constantes!$D$14)*(1-EXP(-Constantes!$D$22)))</f>
        <v>5.0609550644782645E-8</v>
      </c>
      <c r="P647" s="170">
        <f>P646+(Entradas!$F$83*M647-Q646)/(800*Entradas!$D$25)</f>
        <v>0</v>
      </c>
      <c r="Q647" s="170">
        <f>8000*Entradas!$D$26*P647/Constantes!$F$45</f>
        <v>0</v>
      </c>
      <c r="R647" s="170">
        <f>IF(Escenarios!$F$14&gt;0,K647*Escenarios!$F$13/Escenarios!$F$14,0)</f>
        <v>0</v>
      </c>
      <c r="S647" s="170">
        <f>IF(Escenarios!$F$14&gt;0,Q647*Escenarios!$F$13/Escenarios!$F$14,0)</f>
        <v>0</v>
      </c>
      <c r="T647" s="170">
        <f>IF(Escenarios!$F$14&gt;0,Observaciones!$I646,0)</f>
        <v>0</v>
      </c>
      <c r="U647" s="170">
        <f>IF(Escenarios!$F$14&gt;0,MAX(0,Constantes!$F$36/((Z646+R647+S647+T647+Observaciones!$F646)^2)+Entradas!$F$77),0)</f>
        <v>0</v>
      </c>
      <c r="V647" s="146">
        <f>IF(ETo!D646&gt;0,ETo!I646*((1-Entradas!$F$81)*ETo!K646+ETo!L646),0)</f>
        <v>3.7816154171721363</v>
      </c>
      <c r="W647" s="170">
        <f>IF(Escenarios!$F$14&gt;0,MIN(V647*1,0.8*(Z646+R647+S647+T647+Observaciones!$F646-U647-Constantes!$F$35)),0)</f>
        <v>1.355948297714349E-5</v>
      </c>
      <c r="X647" s="170">
        <f>IF(Escenarios!$F$14&gt;0,Observaciones!$J646,0)</f>
        <v>0</v>
      </c>
      <c r="Y647" s="170">
        <f>IF(Escenarios!$F$14&gt;0,MAX(0,Z646+R647+S647+T647+Observaciones!$F646-U647-W647-X647-Constantes!$F$33),0)</f>
        <v>0</v>
      </c>
      <c r="Z647" s="170">
        <f>Z646+R647+S647+T647+Observaciones!$F646-U647-W647-Y647</f>
        <v>41.250003389870741</v>
      </c>
      <c r="AA647" s="170">
        <f>IF(Escenarios!$F$14&gt;0,(Escenarios!$F$13*L647+Escenarios!$F$14*W647)/(Escenarios!$F$16),L647)</f>
        <v>7.9304994243329951E-6</v>
      </c>
      <c r="AB647" s="170">
        <f>IF(Escenarios!$F$14&gt;0,(Escenarios!$F$14*Y647)/(Escenarios!$F$16),K647)</f>
        <v>0</v>
      </c>
      <c r="AC647" s="170">
        <f>IF(Escenarios!$F$14&gt;0,(Escenarios!$F$13*M647+Escenarios!$F$14*U647)/(Escenarios!$F$16),M647)</f>
        <v>0</v>
      </c>
      <c r="AD647" s="76">
        <f t="shared" si="127"/>
        <v>67.530494995686013</v>
      </c>
      <c r="AE647" s="76">
        <f>MAX(0,(AD647-Constantes!$D$13)*(1-EXP(-Constantes!$D$23)))</f>
        <v>0.18504869035789911</v>
      </c>
      <c r="AF647" s="76">
        <f>AB647+O647*Escenarios!$F$13/Escenarios!$F$16+AE647</f>
        <v>0.18504873489430368</v>
      </c>
      <c r="AG647" s="76">
        <f>IF(Entradas!$F$91&gt;0,IF(AF647-Escenarios!$F$38&lt;=0,0,IF(AF647-Escenarios!$F$38&gt;Escenarios!$F$37,Escenarios!$F$37,AF647-Escenarios!$F$38)),0)</f>
        <v>0</v>
      </c>
      <c r="AH647" s="76">
        <f>AG647*Entradas!$F$99</f>
        <v>0</v>
      </c>
      <c r="AI647" s="76">
        <f>IF(Entradas!$F$91&gt;0,D647*Entradas!$D$23/Escenarios!$F$16,0)</f>
        <v>0.20459987553641149</v>
      </c>
      <c r="AJ647" s="76">
        <f>IF(Entradas!$F$91&gt;0,Entradas!$D$24*Entradas!$D$22/Escenarios!$F$16,0)</f>
        <v>0.12</v>
      </c>
      <c r="AK647" s="76">
        <f t="shared" si="128"/>
        <v>0.20460780603583581</v>
      </c>
      <c r="AL647" s="76">
        <f t="shared" si="129"/>
        <v>0</v>
      </c>
      <c r="AM647" s="76">
        <f t="shared" si="130"/>
        <v>0</v>
      </c>
      <c r="AN647" s="76">
        <f>MAX(0,O647*Escenarios!$F$13/Escenarios!$F$16-AM647)</f>
        <v>4.4536404567408729E-8</v>
      </c>
      <c r="AO647" s="76">
        <f>AM647+AN647-O647*Escenarios!$F$13/Escenarios!$F$16</f>
        <v>0</v>
      </c>
      <c r="AP647" s="76">
        <f t="shared" si="131"/>
        <v>0.18504869035789911</v>
      </c>
      <c r="AQ647" s="76">
        <f t="shared" si="132"/>
        <v>0</v>
      </c>
      <c r="AR647" s="76">
        <f t="shared" si="133"/>
        <v>0.18504873489430368</v>
      </c>
      <c r="AS647" s="76">
        <f t="shared" si="134"/>
        <v>0</v>
      </c>
      <c r="AT647" s="76">
        <f t="shared" si="135"/>
        <v>0</v>
      </c>
      <c r="AU647" s="76">
        <f t="shared" si="136"/>
        <v>49.558296520601871</v>
      </c>
      <c r="AV647" s="76">
        <f>MAX(0,(AU647-Constantes!$D$13)*(1-EXP(-Constantes!$D$24)))</f>
        <v>1.2355012019639204E-2</v>
      </c>
      <c r="AW647" s="170">
        <f>AW646+(Entradas!$F$112*AT647-AX646)/(800*Entradas!$D$25)</f>
        <v>0</v>
      </c>
      <c r="AX647" s="170">
        <f>8000*Entradas!$D$26*AW647/Constantes!$F$45</f>
        <v>0</v>
      </c>
      <c r="AY647" s="170">
        <f>IF(Escenarios!$F$17&gt;0,10*Escenarios!$F$16*AL647,0)</f>
        <v>0</v>
      </c>
      <c r="AZ647" s="170">
        <f>IF(Escenarios!$F$17&gt;0,10*Escenarios!$F$16*AX647,0)</f>
        <v>0</v>
      </c>
      <c r="BA647" s="170">
        <f>IF(Escenarios!$F$17&gt;0,0.001*Observaciones!$F646*Escenarios!$F$17,0)</f>
        <v>0</v>
      </c>
      <c r="BB647" s="170">
        <f>IF(Escenarios!$F$17&gt;0,Observaciones!$K646,0)</f>
        <v>0</v>
      </c>
      <c r="BC647" s="170">
        <f>IF(Escenarios!$F$17&gt;0,MIN(0.0005*ETo!$M646*Escenarios!$F$17*(BG646/Constantes!$F$40)^(2/3),BG646+AY647+AZ647+BA647+BB647),0)</f>
        <v>0</v>
      </c>
      <c r="BD647" s="170">
        <f>IF(Escenarios!$F$17&gt;0,MIN(Constantes!$F$39*(BG646/Constantes!$F$40)^(2/3),BG646+AY647+AZ647+BA647+BB647-BC647),0)</f>
        <v>0</v>
      </c>
      <c r="BE647" s="170">
        <f>IF(Escenarios!$F$17&gt;0,MIN(Entradas!$F$113,BG646+AY647+AZ647+BA647+BB647-BC647-BD647),0)</f>
        <v>0</v>
      </c>
      <c r="BF647" s="170">
        <f>IF(Escenarios!$F$17&gt;0,MAX(0,BG646+AY647+AZ647+BA647+BB647-BC647-BD647-BE647-Constantes!$F$40),0)</f>
        <v>0</v>
      </c>
      <c r="BG647" s="170">
        <f t="shared" si="137"/>
        <v>0</v>
      </c>
      <c r="BH647" s="170">
        <f>(Escenarios!$F$16*AK647+0.1*BC647)/(Escenarios!$F$19)</f>
        <v>0.20460780603583581</v>
      </c>
      <c r="BI647" s="170">
        <f>IF(Escenarios!$F$17&gt;0,BF647/10/Escenarios!$F$19,AL647)</f>
        <v>0</v>
      </c>
      <c r="BJ647" s="170">
        <f>(Escenarios!$F$16*AT647+0.1*BD647)/(Escenarios!$F$19)</f>
        <v>0</v>
      </c>
      <c r="BK647" s="76">
        <f>BK646+(0.1*BD647)/(Escenarios!$F$19)-BL646</f>
        <v>48.75</v>
      </c>
      <c r="BL647" s="76">
        <f>MAX(0,(BK647-Constantes!$D$13)*(1-EXP(-Constantes!$D$23)))</f>
        <v>0</v>
      </c>
      <c r="BM647" s="76">
        <f t="shared" si="138"/>
        <v>0.19740370237753832</v>
      </c>
      <c r="BN647" s="76">
        <f t="shared" si="139"/>
        <v>0.19740374691394288</v>
      </c>
      <c r="BO647" s="76">
        <f>0.0526*BI647*Observaciones!$F646^1.218</f>
        <v>0</v>
      </c>
      <c r="BP647" s="76">
        <f>BO647*Constantes!$F$51</f>
        <v>0</v>
      </c>
      <c r="BQ647" s="76">
        <f t="shared" si="140"/>
        <v>0</v>
      </c>
      <c r="BR647" s="40"/>
    </row>
    <row r="648" spans="2:70">
      <c r="B648" s="39"/>
      <c r="C648" s="75">
        <v>642</v>
      </c>
      <c r="D648" s="146">
        <f>ETo!$I647*((1-Constantes!$F$19)*ETo!$K647+ETo!$L647)</f>
        <v>3.8396086117509158</v>
      </c>
      <c r="E648" s="76">
        <f>MIN(D648*Constantes!$F$17,0.8*(N647+Observaciones!$F647-F648-M648-Constantes!$D$14))</f>
        <v>1.1885871145977946E-6</v>
      </c>
      <c r="F648" s="76">
        <f>IF(Observaciones!$F647&gt;0.05*Constantes!$F$18,((Observaciones!$F647-0.05*Constantes!$F$18)^2)/(Observaciones!$F647+0.95*Constantes!$F$18),0)</f>
        <v>0</v>
      </c>
      <c r="G648" s="76">
        <f>IF(Escenarios!$F$11&gt;0,(F648*Escenarios!$F$16*10000)/1000,0)</f>
        <v>0</v>
      </c>
      <c r="H648" s="76">
        <f>IF(Escenarios!$F$11&gt;0,(Observaciones!$F647*Constantes!$F$29)/1000,0)</f>
        <v>0</v>
      </c>
      <c r="I648" s="76">
        <f>IF(Escenarios!$F$11&gt;0,(D648*Constantes!$F$29)/1000,0)</f>
        <v>0</v>
      </c>
      <c r="J648" s="76">
        <f>IF(Escenarios!$F$11&gt;0,MAX(0,G648+H648-I648),0)</f>
        <v>0</v>
      </c>
      <c r="K648" s="76">
        <f>IF(Escenarios!$F$11&gt;0,IF(J648&gt;Constantes!$F$30,1000*((J648-Constantes!$F$30)/(Escenarios!$F$16*10000)),0),F648)</f>
        <v>0</v>
      </c>
      <c r="L648" s="76">
        <f>IF(Escenarios!$F$11&gt;0,I648*1000/Escenarios!$F$16/10000+E648,E648)</f>
        <v>1.1885871145977946E-6</v>
      </c>
      <c r="M648" s="76">
        <f>MAX(0,N647+Observaciones!$F647-K648-Constantes!$D$13)</f>
        <v>0</v>
      </c>
      <c r="N648" s="76">
        <f>N647+Observaciones!$F647-K648-L648-M648-O647</f>
        <v>11.250000246537228</v>
      </c>
      <c r="O648" s="76">
        <f>MAX(0,(N648-Constantes!$D$14)*(1-EXP(-Constantes!$D$22)))</f>
        <v>8.3979630412093953E-9</v>
      </c>
      <c r="P648" s="170">
        <f>P647+(Entradas!$F$83*M648-Q647)/(800*Entradas!$D$25)</f>
        <v>0</v>
      </c>
      <c r="Q648" s="170">
        <f>8000*Entradas!$D$26*P648/Constantes!$F$45</f>
        <v>0</v>
      </c>
      <c r="R648" s="170">
        <f>IF(Escenarios!$F$14&gt;0,K648*Escenarios!$F$13/Escenarios!$F$14,0)</f>
        <v>0</v>
      </c>
      <c r="S648" s="170">
        <f>IF(Escenarios!$F$14&gt;0,Q648*Escenarios!$F$13/Escenarios!$F$14,0)</f>
        <v>0</v>
      </c>
      <c r="T648" s="170">
        <f>IF(Escenarios!$F$14&gt;0,Observaciones!$I647,0)</f>
        <v>0</v>
      </c>
      <c r="U648" s="170">
        <f>IF(Escenarios!$F$14&gt;0,MAX(0,Constantes!$F$36/((Z647+R648+S648+T648+Observaciones!$F647)^2)+Entradas!$F$77),0)</f>
        <v>0</v>
      </c>
      <c r="V648" s="146">
        <f>IF(ETo!D647&gt;0,ETo!I647*((1-Entradas!$F$81)*ETo!K647+ETo!L647),0)</f>
        <v>3.4027710278628169</v>
      </c>
      <c r="W648" s="170">
        <f>IF(Escenarios!$F$14&gt;0,MIN(V648*1,0.8*(Z647+R648+S648+T648+Observaciones!$F647-U648-Constantes!$F$35)),0)</f>
        <v>2.7118965931549613E-6</v>
      </c>
      <c r="X648" s="170">
        <f>IF(Escenarios!$F$14&gt;0,Observaciones!$J647,0)</f>
        <v>0</v>
      </c>
      <c r="Y648" s="170">
        <f>IF(Escenarios!$F$14&gt;0,MAX(0,Z647+R648+S648+T648+Observaciones!$F647-U648-W648-X648-Constantes!$F$33),0)</f>
        <v>0</v>
      </c>
      <c r="Z648" s="170">
        <f>Z647+R648+S648+T648+Observaciones!$F647-U648-W648-Y648</f>
        <v>41.25000067797415</v>
      </c>
      <c r="AA648" s="170">
        <f>IF(Escenarios!$F$14&gt;0,(Escenarios!$F$13*L648+Escenarios!$F$14*W648)/(Escenarios!$F$16),L648)</f>
        <v>1.3713842520246545E-6</v>
      </c>
      <c r="AB648" s="170">
        <f>IF(Escenarios!$F$14&gt;0,(Escenarios!$F$14*Y648)/(Escenarios!$F$16),K648)</f>
        <v>0</v>
      </c>
      <c r="AC648" s="170">
        <f>IF(Escenarios!$F$14&gt;0,(Escenarios!$F$13*M648+Escenarios!$F$14*U648)/(Escenarios!$F$16),M648)</f>
        <v>0</v>
      </c>
      <c r="AD648" s="76">
        <f t="shared" ref="AD648:AD711" si="141">AD647+AC648-AE647</f>
        <v>67.34544630532811</v>
      </c>
      <c r="AE648" s="76">
        <f>MAX(0,(AD648-Constantes!$D$13)*(1-EXP(-Constantes!$D$23)))</f>
        <v>0.18322536153663854</v>
      </c>
      <c r="AF648" s="76">
        <f>AB648+O648*Escenarios!$F$13/Escenarios!$F$16+AE648</f>
        <v>0.18322536892684602</v>
      </c>
      <c r="AG648" s="76">
        <f>IF(Entradas!$F$91&gt;0,IF(AF648-Escenarios!$F$38&lt;=0,0,IF(AF648-Escenarios!$F$38&gt;Escenarios!$F$37,Escenarios!$F$37,AF648-Escenarios!$F$38)),0)</f>
        <v>0</v>
      </c>
      <c r="AH648" s="76">
        <f>AG648*Entradas!$F$99</f>
        <v>0</v>
      </c>
      <c r="AI648" s="76">
        <f>IF(Entradas!$F$91&gt;0,D648*Entradas!$D$23/Escenarios!$F$16,0)</f>
        <v>0.18430121336404398</v>
      </c>
      <c r="AJ648" s="76">
        <f>IF(Entradas!$F$91&gt;0,Entradas!$D$24*Entradas!$D$22/Escenarios!$F$16,0)</f>
        <v>0.12</v>
      </c>
      <c r="AK648" s="76">
        <f t="shared" ref="AK648:AK711" si="142">AA648+AI648</f>
        <v>0.184302584748296</v>
      </c>
      <c r="AL648" s="76">
        <f t="shared" ref="AL648:AL711" si="143">MAX(0,AB648-AG648)</f>
        <v>0</v>
      </c>
      <c r="AM648" s="76">
        <f t="shared" ref="AM648:AM711" si="144">AG648+AL648-AB648</f>
        <v>0</v>
      </c>
      <c r="AN648" s="76">
        <f>MAX(0,O648*Escenarios!$F$13/Escenarios!$F$16-AM648)</f>
        <v>7.3902074762642677E-9</v>
      </c>
      <c r="AO648" s="76">
        <f>AM648+AN648-O648*Escenarios!$F$13/Escenarios!$F$16</f>
        <v>0</v>
      </c>
      <c r="AP648" s="76">
        <f t="shared" ref="AP648:AP711" si="145">MAX(0,AE648-AO648)</f>
        <v>0.18322536153663854</v>
      </c>
      <c r="AQ648" s="76">
        <f t="shared" ref="AQ648:AQ711" si="146">AO648+AP648-AE648</f>
        <v>0</v>
      </c>
      <c r="AR648" s="76">
        <f t="shared" ref="AR648:AR711" si="147">AL648+AN648+AP648+AH648</f>
        <v>0.18322536892684602</v>
      </c>
      <c r="AS648" s="76">
        <f t="shared" ref="AS648:AS711" si="148">MAX(0,AG648-AH648-AI648-AJ648)</f>
        <v>0</v>
      </c>
      <c r="AT648" s="76">
        <f t="shared" ref="AT648:AT711" si="149">AC648+AS648</f>
        <v>0</v>
      </c>
      <c r="AU648" s="76">
        <f t="shared" ref="AU648:AU711" si="150">AU647+AS648-AV647</f>
        <v>49.545941508582231</v>
      </c>
      <c r="AV648" s="76">
        <f>MAX(0,(AU648-Constantes!$D$13)*(1-EXP(-Constantes!$D$24)))</f>
        <v>1.2166162608420936E-2</v>
      </c>
      <c r="AW648" s="170">
        <f>AW647+(Entradas!$F$112*AT648-AX647)/(800*Entradas!$D$25)</f>
        <v>0</v>
      </c>
      <c r="AX648" s="170">
        <f>8000*Entradas!$D$26*AW648/Constantes!$F$45</f>
        <v>0</v>
      </c>
      <c r="AY648" s="170">
        <f>IF(Escenarios!$F$17&gt;0,10*Escenarios!$F$16*AL648,0)</f>
        <v>0</v>
      </c>
      <c r="AZ648" s="170">
        <f>IF(Escenarios!$F$17&gt;0,10*Escenarios!$F$16*AX648,0)</f>
        <v>0</v>
      </c>
      <c r="BA648" s="170">
        <f>IF(Escenarios!$F$17&gt;0,0.001*Observaciones!$F647*Escenarios!$F$17,0)</f>
        <v>0</v>
      </c>
      <c r="BB648" s="170">
        <f>IF(Escenarios!$F$17&gt;0,Observaciones!$K647,0)</f>
        <v>0</v>
      </c>
      <c r="BC648" s="170">
        <f>IF(Escenarios!$F$17&gt;0,MIN(0.0005*ETo!$M647*Escenarios!$F$17*(BG647/Constantes!$F$40)^(2/3),BG647+AY648+AZ648+BA648+BB648),0)</f>
        <v>0</v>
      </c>
      <c r="BD648" s="170">
        <f>IF(Escenarios!$F$17&gt;0,MIN(Constantes!$F$39*(BG647/Constantes!$F$40)^(2/3),BG647+AY648+AZ648+BA648+BB648-BC648),0)</f>
        <v>0</v>
      </c>
      <c r="BE648" s="170">
        <f>IF(Escenarios!$F$17&gt;0,MIN(Entradas!$F$113,BG647+AY648+AZ648+BA648+BB648-BC648-BD648),0)</f>
        <v>0</v>
      </c>
      <c r="BF648" s="170">
        <f>IF(Escenarios!$F$17&gt;0,MAX(0,BG647+AY648+AZ648+BA648+BB648-BC648-BD648-BE648-Constantes!$F$40),0)</f>
        <v>0</v>
      </c>
      <c r="BG648" s="170">
        <f t="shared" ref="BG648:BG711" si="151">BG647+AY648+AZ648+BA648+BB648-BF648-BC648-BD648-BE648</f>
        <v>0</v>
      </c>
      <c r="BH648" s="170">
        <f>(Escenarios!$F$16*AK648+0.1*BC648)/(Escenarios!$F$19)</f>
        <v>0.184302584748296</v>
      </c>
      <c r="BI648" s="170">
        <f>IF(Escenarios!$F$17&gt;0,BF648/10/Escenarios!$F$19,AL648)</f>
        <v>0</v>
      </c>
      <c r="BJ648" s="170">
        <f>(Escenarios!$F$16*AT648+0.1*BD648)/(Escenarios!$F$19)</f>
        <v>0</v>
      </c>
      <c r="BK648" s="76">
        <f>BK647+(0.1*BD648)/(Escenarios!$F$19)-BL647</f>
        <v>48.75</v>
      </c>
      <c r="BL648" s="76">
        <f>MAX(0,(BK648-Constantes!$D$13)*(1-EXP(-Constantes!$D$23)))</f>
        <v>0</v>
      </c>
      <c r="BM648" s="76">
        <f t="shared" ref="BM648:BM711" si="152">AP648+AV648+BL648</f>
        <v>0.19539152414505948</v>
      </c>
      <c r="BN648" s="76">
        <f t="shared" ref="BN648:BN711" si="153">AN648+AP648+AV648+BI648+BL648</f>
        <v>0.19539153153526695</v>
      </c>
      <c r="BO648" s="76">
        <f>0.0526*BI648*Observaciones!$F647^1.218</f>
        <v>0</v>
      </c>
      <c r="BP648" s="76">
        <f>BO648*Constantes!$F$51</f>
        <v>0</v>
      </c>
      <c r="BQ648" s="76">
        <f t="shared" ref="BQ648:BQ711" si="154">BP648*1000000/(BN648/1000*10000)</f>
        <v>0</v>
      </c>
      <c r="BR648" s="40"/>
    </row>
    <row r="649" spans="2:70">
      <c r="B649" s="39"/>
      <c r="C649" s="75">
        <v>643</v>
      </c>
      <c r="D649" s="146">
        <f>ETo!$I648*((1-Constantes!$F$19)*ETo!$K648+ETo!$L648)</f>
        <v>4.324876822893005</v>
      </c>
      <c r="E649" s="76">
        <f>MIN(D649*Constantes!$F$17,0.8*(N648+Observaciones!$F648-F649-M649-Constantes!$D$14))</f>
        <v>1.9722978237268764E-7</v>
      </c>
      <c r="F649" s="76">
        <f>IF(Observaciones!$F648&gt;0.05*Constantes!$F$18,((Observaciones!$F648-0.05*Constantes!$F$18)^2)/(Observaciones!$F648+0.95*Constantes!$F$18),0)</f>
        <v>0</v>
      </c>
      <c r="G649" s="76">
        <f>IF(Escenarios!$F$11&gt;0,(F649*Escenarios!$F$16*10000)/1000,0)</f>
        <v>0</v>
      </c>
      <c r="H649" s="76">
        <f>IF(Escenarios!$F$11&gt;0,(Observaciones!$F648*Constantes!$F$29)/1000,0)</f>
        <v>0</v>
      </c>
      <c r="I649" s="76">
        <f>IF(Escenarios!$F$11&gt;0,(D649*Constantes!$F$29)/1000,0)</f>
        <v>0</v>
      </c>
      <c r="J649" s="76">
        <f>IF(Escenarios!$F$11&gt;0,MAX(0,G649+H649-I649),0)</f>
        <v>0</v>
      </c>
      <c r="K649" s="76">
        <f>IF(Escenarios!$F$11&gt;0,IF(J649&gt;Constantes!$F$30,1000*((J649-Constantes!$F$30)/(Escenarios!$F$16*10000)),0),F649)</f>
        <v>0</v>
      </c>
      <c r="L649" s="76">
        <f>IF(Escenarios!$F$11&gt;0,I649*1000/Escenarios!$F$16/10000+E649,E649)</f>
        <v>1.9722978237268764E-7</v>
      </c>
      <c r="M649" s="76">
        <f>MAX(0,N648+Observaciones!$F648-K649-Constantes!$D$13)</f>
        <v>0</v>
      </c>
      <c r="N649" s="76">
        <f>N648+Observaciones!$F648-K649-L649-M649-O648</f>
        <v>11.250000040909482</v>
      </c>
      <c r="O649" s="76">
        <f>MAX(0,(N649-Constantes!$D$14)*(1-EXP(-Constantes!$D$22)))</f>
        <v>1.3935271395264802E-9</v>
      </c>
      <c r="P649" s="170">
        <f>P648+(Entradas!$F$83*M649-Q648)/(800*Entradas!$D$25)</f>
        <v>0</v>
      </c>
      <c r="Q649" s="170">
        <f>8000*Entradas!$D$26*P649/Constantes!$F$45</f>
        <v>0</v>
      </c>
      <c r="R649" s="170">
        <f>IF(Escenarios!$F$14&gt;0,K649*Escenarios!$F$13/Escenarios!$F$14,0)</f>
        <v>0</v>
      </c>
      <c r="S649" s="170">
        <f>IF(Escenarios!$F$14&gt;0,Q649*Escenarios!$F$13/Escenarios!$F$14,0)</f>
        <v>0</v>
      </c>
      <c r="T649" s="170">
        <f>IF(Escenarios!$F$14&gt;0,Observaciones!$I648,0)</f>
        <v>0</v>
      </c>
      <c r="U649" s="170">
        <f>IF(Escenarios!$F$14&gt;0,MAX(0,Constantes!$F$36/((Z648+R649+S649+T649+Observaciones!$F648)^2)+Entradas!$F$77),0)</f>
        <v>0</v>
      </c>
      <c r="V649" s="146">
        <f>IF(ETo!D648&gt;0,ETo!I648*((1-Entradas!$F$81)*ETo!K648+ETo!L648),0)</f>
        <v>3.8382725895323357</v>
      </c>
      <c r="W649" s="170">
        <f>IF(Escenarios!$F$14&gt;0,MIN(V649*1,0.8*(Z648+R649+S649+T649+Observaciones!$F648-U649-Constantes!$F$35)),0)</f>
        <v>5.423793197678606E-7</v>
      </c>
      <c r="X649" s="170">
        <f>IF(Escenarios!$F$14&gt;0,Observaciones!$J648,0)</f>
        <v>0</v>
      </c>
      <c r="Y649" s="170">
        <f>IF(Escenarios!$F$14&gt;0,MAX(0,Z648+R649+S649+T649+Observaciones!$F648-U649-W649-X649-Constantes!$F$33),0)</f>
        <v>0</v>
      </c>
      <c r="Z649" s="170">
        <f>Z648+R649+S649+T649+Observaciones!$F648-U649-W649-Y649</f>
        <v>41.250000135594831</v>
      </c>
      <c r="AA649" s="170">
        <f>IF(Escenarios!$F$14&gt;0,(Escenarios!$F$13*L649+Escenarios!$F$14*W649)/(Escenarios!$F$16),L649)</f>
        <v>2.3864772686010843E-7</v>
      </c>
      <c r="AB649" s="170">
        <f>IF(Escenarios!$F$14&gt;0,(Escenarios!$F$14*Y649)/(Escenarios!$F$16),K649)</f>
        <v>0</v>
      </c>
      <c r="AC649" s="170">
        <f>IF(Escenarios!$F$14&gt;0,(Escenarios!$F$13*M649+Escenarios!$F$14*U649)/(Escenarios!$F$16),M649)</f>
        <v>0</v>
      </c>
      <c r="AD649" s="76">
        <f t="shared" si="141"/>
        <v>67.162220943791468</v>
      </c>
      <c r="AE649" s="76">
        <f>MAX(0,(AD649-Constantes!$D$13)*(1-EXP(-Constantes!$D$23)))</f>
        <v>0.18141999840853695</v>
      </c>
      <c r="AF649" s="76">
        <f>AB649+O649*Escenarios!$F$13/Escenarios!$F$16+AE649</f>
        <v>0.18141999963484085</v>
      </c>
      <c r="AG649" s="76">
        <f>IF(Entradas!$F$91&gt;0,IF(AF649-Escenarios!$F$38&lt;=0,0,IF(AF649-Escenarios!$F$38&gt;Escenarios!$F$37,Escenarios!$F$37,AF649-Escenarios!$F$38)),0)</f>
        <v>0</v>
      </c>
      <c r="AH649" s="76">
        <f>AG649*Entradas!$F$99</f>
        <v>0</v>
      </c>
      <c r="AI649" s="76">
        <f>IF(Entradas!$F$91&gt;0,D649*Entradas!$D$23/Escenarios!$F$16,0)</f>
        <v>0.20759408749886424</v>
      </c>
      <c r="AJ649" s="76">
        <f>IF(Entradas!$F$91&gt;0,Entradas!$D$24*Entradas!$D$22/Escenarios!$F$16,0)</f>
        <v>0.12</v>
      </c>
      <c r="AK649" s="76">
        <f t="shared" si="142"/>
        <v>0.2075943261465911</v>
      </c>
      <c r="AL649" s="76">
        <f t="shared" si="143"/>
        <v>0</v>
      </c>
      <c r="AM649" s="76">
        <f t="shared" si="144"/>
        <v>0</v>
      </c>
      <c r="AN649" s="76">
        <f>MAX(0,O649*Escenarios!$F$13/Escenarios!$F$16-AM649)</f>
        <v>1.2263038827833026E-9</v>
      </c>
      <c r="AO649" s="76">
        <f>AM649+AN649-O649*Escenarios!$F$13/Escenarios!$F$16</f>
        <v>0</v>
      </c>
      <c r="AP649" s="76">
        <f t="shared" si="145"/>
        <v>0.18141999840853695</v>
      </c>
      <c r="AQ649" s="76">
        <f t="shared" si="146"/>
        <v>0</v>
      </c>
      <c r="AR649" s="76">
        <f t="shared" si="147"/>
        <v>0.18141999963484085</v>
      </c>
      <c r="AS649" s="76">
        <f t="shared" si="148"/>
        <v>0</v>
      </c>
      <c r="AT649" s="76">
        <f t="shared" si="149"/>
        <v>0</v>
      </c>
      <c r="AU649" s="76">
        <f t="shared" si="150"/>
        <v>49.533775345973808</v>
      </c>
      <c r="AV649" s="76">
        <f>MAX(0,(AU649-Constantes!$D$13)*(1-EXP(-Constantes!$D$24)))</f>
        <v>1.1980199807111302E-2</v>
      </c>
      <c r="AW649" s="170">
        <f>AW648+(Entradas!$F$112*AT649-AX648)/(800*Entradas!$D$25)</f>
        <v>0</v>
      </c>
      <c r="AX649" s="170">
        <f>8000*Entradas!$D$26*AW649/Constantes!$F$45</f>
        <v>0</v>
      </c>
      <c r="AY649" s="170">
        <f>IF(Escenarios!$F$17&gt;0,10*Escenarios!$F$16*AL649,0)</f>
        <v>0</v>
      </c>
      <c r="AZ649" s="170">
        <f>IF(Escenarios!$F$17&gt;0,10*Escenarios!$F$16*AX649,0)</f>
        <v>0</v>
      </c>
      <c r="BA649" s="170">
        <f>IF(Escenarios!$F$17&gt;0,0.001*Observaciones!$F648*Escenarios!$F$17,0)</f>
        <v>0</v>
      </c>
      <c r="BB649" s="170">
        <f>IF(Escenarios!$F$17&gt;0,Observaciones!$K648,0)</f>
        <v>0</v>
      </c>
      <c r="BC649" s="170">
        <f>IF(Escenarios!$F$17&gt;0,MIN(0.0005*ETo!$M648*Escenarios!$F$17*(BG648/Constantes!$F$40)^(2/3),BG648+AY649+AZ649+BA649+BB649),0)</f>
        <v>0</v>
      </c>
      <c r="BD649" s="170">
        <f>IF(Escenarios!$F$17&gt;0,MIN(Constantes!$F$39*(BG648/Constantes!$F$40)^(2/3),BG648+AY649+AZ649+BA649+BB649-BC649),0)</f>
        <v>0</v>
      </c>
      <c r="BE649" s="170">
        <f>IF(Escenarios!$F$17&gt;0,MIN(Entradas!$F$113,BG648+AY649+AZ649+BA649+BB649-BC649-BD649),0)</f>
        <v>0</v>
      </c>
      <c r="BF649" s="170">
        <f>IF(Escenarios!$F$17&gt;0,MAX(0,BG648+AY649+AZ649+BA649+BB649-BC649-BD649-BE649-Constantes!$F$40),0)</f>
        <v>0</v>
      </c>
      <c r="BG649" s="170">
        <f t="shared" si="151"/>
        <v>0</v>
      </c>
      <c r="BH649" s="170">
        <f>(Escenarios!$F$16*AK649+0.1*BC649)/(Escenarios!$F$19)</f>
        <v>0.2075943261465911</v>
      </c>
      <c r="BI649" s="170">
        <f>IF(Escenarios!$F$17&gt;0,BF649/10/Escenarios!$F$19,AL649)</f>
        <v>0</v>
      </c>
      <c r="BJ649" s="170">
        <f>(Escenarios!$F$16*AT649+0.1*BD649)/(Escenarios!$F$19)</f>
        <v>0</v>
      </c>
      <c r="BK649" s="76">
        <f>BK648+(0.1*BD649)/(Escenarios!$F$19)-BL648</f>
        <v>48.75</v>
      </c>
      <c r="BL649" s="76">
        <f>MAX(0,(BK649-Constantes!$D$13)*(1-EXP(-Constantes!$D$23)))</f>
        <v>0</v>
      </c>
      <c r="BM649" s="76">
        <f t="shared" si="152"/>
        <v>0.19340019821564824</v>
      </c>
      <c r="BN649" s="76">
        <f t="shared" si="153"/>
        <v>0.19340019944195214</v>
      </c>
      <c r="BO649" s="76">
        <f>0.0526*BI649*Observaciones!$F648^1.218</f>
        <v>0</v>
      </c>
      <c r="BP649" s="76">
        <f>BO649*Constantes!$F$51</f>
        <v>0</v>
      </c>
      <c r="BQ649" s="76">
        <f t="shared" si="154"/>
        <v>0</v>
      </c>
      <c r="BR649" s="40"/>
    </row>
    <row r="650" spans="2:70">
      <c r="B650" s="39"/>
      <c r="C650" s="75">
        <v>644</v>
      </c>
      <c r="D650" s="146">
        <f>ETo!$I649*((1-Constantes!$F$19)*ETo!$K649+ETo!$L649)</f>
        <v>4.2468806631609279</v>
      </c>
      <c r="E650" s="76">
        <f>MIN(D650*Constantes!$F$17,0.8*(N649+Observaciones!$F649-F650-M650-Constantes!$D$14))</f>
        <v>3.2727585619340972E-8</v>
      </c>
      <c r="F650" s="76">
        <f>IF(Observaciones!$F649&gt;0.05*Constantes!$F$18,((Observaciones!$F649-0.05*Constantes!$F$18)^2)/(Observaciones!$F649+0.95*Constantes!$F$18),0)</f>
        <v>0</v>
      </c>
      <c r="G650" s="76">
        <f>IF(Escenarios!$F$11&gt;0,(F650*Escenarios!$F$16*10000)/1000,0)</f>
        <v>0</v>
      </c>
      <c r="H650" s="76">
        <f>IF(Escenarios!$F$11&gt;0,(Observaciones!$F649*Constantes!$F$29)/1000,0)</f>
        <v>0</v>
      </c>
      <c r="I650" s="76">
        <f>IF(Escenarios!$F$11&gt;0,(D650*Constantes!$F$29)/1000,0)</f>
        <v>0</v>
      </c>
      <c r="J650" s="76">
        <f>IF(Escenarios!$F$11&gt;0,MAX(0,G650+H650-I650),0)</f>
        <v>0</v>
      </c>
      <c r="K650" s="76">
        <f>IF(Escenarios!$F$11&gt;0,IF(J650&gt;Constantes!$F$30,1000*((J650-Constantes!$F$30)/(Escenarios!$F$16*10000)),0),F650)</f>
        <v>0</v>
      </c>
      <c r="L650" s="76">
        <f>IF(Escenarios!$F$11&gt;0,I650*1000/Escenarios!$F$16/10000+E650,E650)</f>
        <v>3.2727585619340972E-8</v>
      </c>
      <c r="M650" s="76">
        <f>MAX(0,N649+Observaciones!$F649-K650-Constantes!$D$13)</f>
        <v>0</v>
      </c>
      <c r="N650" s="76">
        <f>N649+Observaciones!$F649-K650-L650-M650-O649</f>
        <v>11.250000006788369</v>
      </c>
      <c r="O650" s="76">
        <f>MAX(0,(N650-Constantes!$D$14)*(1-EXP(-Constantes!$D$22)))</f>
        <v>2.3123676800508164E-10</v>
      </c>
      <c r="P650" s="170">
        <f>P649+(Entradas!$F$83*M650-Q649)/(800*Entradas!$D$25)</f>
        <v>0</v>
      </c>
      <c r="Q650" s="170">
        <f>8000*Entradas!$D$26*P650/Constantes!$F$45</f>
        <v>0</v>
      </c>
      <c r="R650" s="170">
        <f>IF(Escenarios!$F$14&gt;0,K650*Escenarios!$F$13/Escenarios!$F$14,0)</f>
        <v>0</v>
      </c>
      <c r="S650" s="170">
        <f>IF(Escenarios!$F$14&gt;0,Q650*Escenarios!$F$13/Escenarios!$F$14,0)</f>
        <v>0</v>
      </c>
      <c r="T650" s="170">
        <f>IF(Escenarios!$F$14&gt;0,Observaciones!$I649,0)</f>
        <v>0</v>
      </c>
      <c r="U650" s="170">
        <f>IF(Escenarios!$F$14&gt;0,MAX(0,Constantes!$F$36/((Z649+R650+S650+T650+Observaciones!$F649)^2)+Entradas!$F$77),0)</f>
        <v>0</v>
      </c>
      <c r="V650" s="146">
        <f>IF(ETo!D649&gt;0,ETo!I649*((1-Entradas!$F$81)*ETo!K649+ETo!L649),0)</f>
        <v>3.768039034428361</v>
      </c>
      <c r="W650" s="170">
        <f>IF(Escenarios!$F$14&gt;0,MIN(V650*1,0.8*(Z649+R650+S650+T650+Observaciones!$F649-U650-Constantes!$F$35)),0)</f>
        <v>1.084758650904405E-7</v>
      </c>
      <c r="X650" s="170">
        <f>IF(Escenarios!$F$14&gt;0,Observaciones!$J649,0)</f>
        <v>0</v>
      </c>
      <c r="Y650" s="170">
        <f>IF(Escenarios!$F$14&gt;0,MAX(0,Z649+R650+S650+T650+Observaciones!$F649-U650-W650-X650-Constantes!$F$33),0)</f>
        <v>0</v>
      </c>
      <c r="Z650" s="170">
        <f>Z649+R650+S650+T650+Observaciones!$F649-U650-W650-Y650</f>
        <v>41.250000027118965</v>
      </c>
      <c r="AA650" s="170">
        <f>IF(Escenarios!$F$14&gt;0,(Escenarios!$F$13*L650+Escenarios!$F$14*W650)/(Escenarios!$F$16),L650)</f>
        <v>4.181737915587291E-8</v>
      </c>
      <c r="AB650" s="170">
        <f>IF(Escenarios!$F$14&gt;0,(Escenarios!$F$14*Y650)/(Escenarios!$F$16),K650)</f>
        <v>0</v>
      </c>
      <c r="AC650" s="170">
        <f>IF(Escenarios!$F$14&gt;0,(Escenarios!$F$13*M650+Escenarios!$F$14*U650)/(Escenarios!$F$16),M650)</f>
        <v>0</v>
      </c>
      <c r="AD650" s="76">
        <f t="shared" si="141"/>
        <v>66.980800945382924</v>
      </c>
      <c r="AE650" s="76">
        <f>MAX(0,(AD650-Constantes!$D$13)*(1-EXP(-Constantes!$D$23)))</f>
        <v>0.1796324239533405</v>
      </c>
      <c r="AF650" s="76">
        <f>AB650+O650*Escenarios!$F$13/Escenarios!$F$16+AE650</f>
        <v>0.17963242415682887</v>
      </c>
      <c r="AG650" s="76">
        <f>IF(Entradas!$F$91&gt;0,IF(AF650-Escenarios!$F$38&lt;=0,0,IF(AF650-Escenarios!$F$38&gt;Escenarios!$F$37,Escenarios!$F$37,AF650-Escenarios!$F$38)),0)</f>
        <v>0</v>
      </c>
      <c r="AH650" s="76">
        <f>AG650*Entradas!$F$99</f>
        <v>0</v>
      </c>
      <c r="AI650" s="76">
        <f>IF(Entradas!$F$91&gt;0,D650*Entradas!$D$23/Escenarios!$F$16,0)</f>
        <v>0.20385027183172455</v>
      </c>
      <c r="AJ650" s="76">
        <f>IF(Entradas!$F$91&gt;0,Entradas!$D$24*Entradas!$D$22/Escenarios!$F$16,0)</f>
        <v>0.12</v>
      </c>
      <c r="AK650" s="76">
        <f t="shared" si="142"/>
        <v>0.20385031364910369</v>
      </c>
      <c r="AL650" s="76">
        <f t="shared" si="143"/>
        <v>0</v>
      </c>
      <c r="AM650" s="76">
        <f t="shared" si="144"/>
        <v>0</v>
      </c>
      <c r="AN650" s="76">
        <f>MAX(0,O650*Escenarios!$F$13/Escenarios!$F$16-AM650)</f>
        <v>2.0348835584447187E-10</v>
      </c>
      <c r="AO650" s="76">
        <f>AM650+AN650-O650*Escenarios!$F$13/Escenarios!$F$16</f>
        <v>0</v>
      </c>
      <c r="AP650" s="76">
        <f t="shared" si="145"/>
        <v>0.1796324239533405</v>
      </c>
      <c r="AQ650" s="76">
        <f t="shared" si="146"/>
        <v>0</v>
      </c>
      <c r="AR650" s="76">
        <f t="shared" si="147"/>
        <v>0.17963242415682887</v>
      </c>
      <c r="AS650" s="76">
        <f t="shared" si="148"/>
        <v>0</v>
      </c>
      <c r="AT650" s="76">
        <f t="shared" si="149"/>
        <v>0</v>
      </c>
      <c r="AU650" s="76">
        <f t="shared" si="150"/>
        <v>49.521795146166696</v>
      </c>
      <c r="AV650" s="76">
        <f>MAX(0,(AU650-Constantes!$D$13)*(1-EXP(-Constantes!$D$24)))</f>
        <v>1.1797079493164707E-2</v>
      </c>
      <c r="AW650" s="170">
        <f>AW649+(Entradas!$F$112*AT650-AX649)/(800*Entradas!$D$25)</f>
        <v>0</v>
      </c>
      <c r="AX650" s="170">
        <f>8000*Entradas!$D$26*AW650/Constantes!$F$45</f>
        <v>0</v>
      </c>
      <c r="AY650" s="170">
        <f>IF(Escenarios!$F$17&gt;0,10*Escenarios!$F$16*AL650,0)</f>
        <v>0</v>
      </c>
      <c r="AZ650" s="170">
        <f>IF(Escenarios!$F$17&gt;0,10*Escenarios!$F$16*AX650,0)</f>
        <v>0</v>
      </c>
      <c r="BA650" s="170">
        <f>IF(Escenarios!$F$17&gt;0,0.001*Observaciones!$F649*Escenarios!$F$17,0)</f>
        <v>0</v>
      </c>
      <c r="BB650" s="170">
        <f>IF(Escenarios!$F$17&gt;0,Observaciones!$K649,0)</f>
        <v>0</v>
      </c>
      <c r="BC650" s="170">
        <f>IF(Escenarios!$F$17&gt;0,MIN(0.0005*ETo!$M649*Escenarios!$F$17*(BG649/Constantes!$F$40)^(2/3),BG649+AY650+AZ650+BA650+BB650),0)</f>
        <v>0</v>
      </c>
      <c r="BD650" s="170">
        <f>IF(Escenarios!$F$17&gt;0,MIN(Constantes!$F$39*(BG649/Constantes!$F$40)^(2/3),BG649+AY650+AZ650+BA650+BB650-BC650),0)</f>
        <v>0</v>
      </c>
      <c r="BE650" s="170">
        <f>IF(Escenarios!$F$17&gt;0,MIN(Entradas!$F$113,BG649+AY650+AZ650+BA650+BB650-BC650-BD650),0)</f>
        <v>0</v>
      </c>
      <c r="BF650" s="170">
        <f>IF(Escenarios!$F$17&gt;0,MAX(0,BG649+AY650+AZ650+BA650+BB650-BC650-BD650-BE650-Constantes!$F$40),0)</f>
        <v>0</v>
      </c>
      <c r="BG650" s="170">
        <f t="shared" si="151"/>
        <v>0</v>
      </c>
      <c r="BH650" s="170">
        <f>(Escenarios!$F$16*AK650+0.1*BC650)/(Escenarios!$F$19)</f>
        <v>0.20385031364910369</v>
      </c>
      <c r="BI650" s="170">
        <f>IF(Escenarios!$F$17&gt;0,BF650/10/Escenarios!$F$19,AL650)</f>
        <v>0</v>
      </c>
      <c r="BJ650" s="170">
        <f>(Escenarios!$F$16*AT650+0.1*BD650)/(Escenarios!$F$19)</f>
        <v>0</v>
      </c>
      <c r="BK650" s="76">
        <f>BK649+(0.1*BD650)/(Escenarios!$F$19)-BL649</f>
        <v>48.75</v>
      </c>
      <c r="BL650" s="76">
        <f>MAX(0,(BK650-Constantes!$D$13)*(1-EXP(-Constantes!$D$23)))</f>
        <v>0</v>
      </c>
      <c r="BM650" s="76">
        <f t="shared" si="152"/>
        <v>0.19142950344650522</v>
      </c>
      <c r="BN650" s="76">
        <f t="shared" si="153"/>
        <v>0.19142950364999359</v>
      </c>
      <c r="BO650" s="76">
        <f>0.0526*BI650*Observaciones!$F649^1.218</f>
        <v>0</v>
      </c>
      <c r="BP650" s="76">
        <f>BO650*Constantes!$F$51</f>
        <v>0</v>
      </c>
      <c r="BQ650" s="76">
        <f t="shared" si="154"/>
        <v>0</v>
      </c>
      <c r="BR650" s="40"/>
    </row>
    <row r="651" spans="2:70">
      <c r="B651" s="39"/>
      <c r="C651" s="75">
        <v>645</v>
      </c>
      <c r="D651" s="146">
        <f>ETo!$I650*((1-Constantes!$F$19)*ETo!$K650+ETo!$L650)</f>
        <v>4.1860155908007339</v>
      </c>
      <c r="E651" s="76">
        <f>MIN(D651*Constantes!$F$17,0.8*(N650+Observaciones!$F650-F651-M651-Constantes!$D$14))</f>
        <v>5.4306951824401041E-9</v>
      </c>
      <c r="F651" s="76">
        <f>IF(Observaciones!$F650&gt;0.05*Constantes!$F$18,((Observaciones!$F650-0.05*Constantes!$F$18)^2)/(Observaciones!$F650+0.95*Constantes!$F$18),0)</f>
        <v>0</v>
      </c>
      <c r="G651" s="76">
        <f>IF(Escenarios!$F$11&gt;0,(F651*Escenarios!$F$16*10000)/1000,0)</f>
        <v>0</v>
      </c>
      <c r="H651" s="76">
        <f>IF(Escenarios!$F$11&gt;0,(Observaciones!$F650*Constantes!$F$29)/1000,0)</f>
        <v>0</v>
      </c>
      <c r="I651" s="76">
        <f>IF(Escenarios!$F$11&gt;0,(D651*Constantes!$F$29)/1000,0)</f>
        <v>0</v>
      </c>
      <c r="J651" s="76">
        <f>IF(Escenarios!$F$11&gt;0,MAX(0,G651+H651-I651),0)</f>
        <v>0</v>
      </c>
      <c r="K651" s="76">
        <f>IF(Escenarios!$F$11&gt;0,IF(J651&gt;Constantes!$F$30,1000*((J651-Constantes!$F$30)/(Escenarios!$F$16*10000)),0),F651)</f>
        <v>0</v>
      </c>
      <c r="L651" s="76">
        <f>IF(Escenarios!$F$11&gt;0,I651*1000/Escenarios!$F$16/10000+E651,E651)</f>
        <v>5.4306951824401041E-9</v>
      </c>
      <c r="M651" s="76">
        <f>MAX(0,N650+Observaciones!$F650-K651-Constantes!$D$13)</f>
        <v>0</v>
      </c>
      <c r="N651" s="76">
        <f>N650+Observaciones!$F650-K651-L651-M651-O650</f>
        <v>11.250000001126436</v>
      </c>
      <c r="O651" s="76">
        <f>MAX(0,(N651-Constantes!$D$14)*(1-EXP(-Constantes!$D$22)))</f>
        <v>3.8370539719555613E-11</v>
      </c>
      <c r="P651" s="170">
        <f>P650+(Entradas!$F$83*M651-Q650)/(800*Entradas!$D$25)</f>
        <v>0</v>
      </c>
      <c r="Q651" s="170">
        <f>8000*Entradas!$D$26*P651/Constantes!$F$45</f>
        <v>0</v>
      </c>
      <c r="R651" s="170">
        <f>IF(Escenarios!$F$14&gt;0,K651*Escenarios!$F$13/Escenarios!$F$14,0)</f>
        <v>0</v>
      </c>
      <c r="S651" s="170">
        <f>IF(Escenarios!$F$14&gt;0,Q651*Escenarios!$F$13/Escenarios!$F$14,0)</f>
        <v>0</v>
      </c>
      <c r="T651" s="170">
        <f>IF(Escenarios!$F$14&gt;0,Observaciones!$I650,0)</f>
        <v>0</v>
      </c>
      <c r="U651" s="170">
        <f>IF(Escenarios!$F$14&gt;0,MAX(0,Constantes!$F$36/((Z650+R651+S651+T651+Observaciones!$F650)^2)+Entradas!$F$77),0)</f>
        <v>0</v>
      </c>
      <c r="V651" s="146">
        <f>IF(ETo!D650&gt;0,ETo!I650*((1-Entradas!$F$81)*ETo!K650+ETo!L650),0)</f>
        <v>3.7134251723055418</v>
      </c>
      <c r="W651" s="170">
        <f>IF(Escenarios!$F$14&gt;0,MIN(V651*1,0.8*(Z650+R651+S651+T651+Observaciones!$F650-U651-Constantes!$F$35)),0)</f>
        <v>2.1695171881219721E-8</v>
      </c>
      <c r="X651" s="170">
        <f>IF(Escenarios!$F$14&gt;0,Observaciones!$J650,0)</f>
        <v>0</v>
      </c>
      <c r="Y651" s="170">
        <f>IF(Escenarios!$F$14&gt;0,MAX(0,Z650+R651+S651+T651+Observaciones!$F650-U651-W651-X651-Constantes!$F$33),0)</f>
        <v>0</v>
      </c>
      <c r="Z651" s="170">
        <f>Z650+R651+S651+T651+Observaciones!$F650-U651-W651-Y651</f>
        <v>41.250000005423793</v>
      </c>
      <c r="AA651" s="170">
        <f>IF(Escenarios!$F$14&gt;0,(Escenarios!$F$13*L651+Escenarios!$F$14*W651)/(Escenarios!$F$16),L651)</f>
        <v>7.3824323862936578E-9</v>
      </c>
      <c r="AB651" s="170">
        <f>IF(Escenarios!$F$14&gt;0,(Escenarios!$F$14*Y651)/(Escenarios!$F$16),K651)</f>
        <v>0</v>
      </c>
      <c r="AC651" s="170">
        <f>IF(Escenarios!$F$14&gt;0,(Escenarios!$F$13*M651+Escenarios!$F$14*U651)/(Escenarios!$F$16),M651)</f>
        <v>0</v>
      </c>
      <c r="AD651" s="76">
        <f t="shared" si="141"/>
        <v>66.801168521429588</v>
      </c>
      <c r="AE651" s="76">
        <f>MAX(0,(AD651-Constantes!$D$13)*(1-EXP(-Constantes!$D$23)))</f>
        <v>0.17786246289501825</v>
      </c>
      <c r="AF651" s="76">
        <f>AB651+O651*Escenarios!$F$13/Escenarios!$F$16+AE651</f>
        <v>0.17786246292878433</v>
      </c>
      <c r="AG651" s="76">
        <f>IF(Entradas!$F$91&gt;0,IF(AF651-Escenarios!$F$38&lt;=0,0,IF(AF651-Escenarios!$F$38&gt;Escenarios!$F$37,Escenarios!$F$37,AF651-Escenarios!$F$38)),0)</f>
        <v>0</v>
      </c>
      <c r="AH651" s="76">
        <f>AG651*Entradas!$F$99</f>
        <v>0</v>
      </c>
      <c r="AI651" s="76">
        <f>IF(Entradas!$F$91&gt;0,D651*Entradas!$D$23/Escenarios!$F$16,0)</f>
        <v>0.20092874835843522</v>
      </c>
      <c r="AJ651" s="76">
        <f>IF(Entradas!$F$91&gt;0,Entradas!$D$24*Entradas!$D$22/Escenarios!$F$16,0)</f>
        <v>0.12</v>
      </c>
      <c r="AK651" s="76">
        <f t="shared" si="142"/>
        <v>0.2009287557408676</v>
      </c>
      <c r="AL651" s="76">
        <f t="shared" si="143"/>
        <v>0</v>
      </c>
      <c r="AM651" s="76">
        <f t="shared" si="144"/>
        <v>0</v>
      </c>
      <c r="AN651" s="76">
        <f>MAX(0,O651*Escenarios!$F$13/Escenarios!$F$16-AM651)</f>
        <v>3.3766074953208938E-11</v>
      </c>
      <c r="AO651" s="76">
        <f>AM651+AN651-O651*Escenarios!$F$13/Escenarios!$F$16</f>
        <v>0</v>
      </c>
      <c r="AP651" s="76">
        <f t="shared" si="145"/>
        <v>0.17786246289501825</v>
      </c>
      <c r="AQ651" s="76">
        <f t="shared" si="146"/>
        <v>0</v>
      </c>
      <c r="AR651" s="76">
        <f t="shared" si="147"/>
        <v>0.17786246292878433</v>
      </c>
      <c r="AS651" s="76">
        <f t="shared" si="148"/>
        <v>0</v>
      </c>
      <c r="AT651" s="76">
        <f t="shared" si="149"/>
        <v>0</v>
      </c>
      <c r="AU651" s="76">
        <f t="shared" si="150"/>
        <v>49.509998066673532</v>
      </c>
      <c r="AV651" s="76">
        <f>MAX(0,(AU651-Constantes!$D$13)*(1-EXP(-Constantes!$D$24)))</f>
        <v>1.1616758218459547E-2</v>
      </c>
      <c r="AW651" s="170">
        <f>AW650+(Entradas!$F$112*AT651-AX650)/(800*Entradas!$D$25)</f>
        <v>0</v>
      </c>
      <c r="AX651" s="170">
        <f>8000*Entradas!$D$26*AW651/Constantes!$F$45</f>
        <v>0</v>
      </c>
      <c r="AY651" s="170">
        <f>IF(Escenarios!$F$17&gt;0,10*Escenarios!$F$16*AL651,0)</f>
        <v>0</v>
      </c>
      <c r="AZ651" s="170">
        <f>IF(Escenarios!$F$17&gt;0,10*Escenarios!$F$16*AX651,0)</f>
        <v>0</v>
      </c>
      <c r="BA651" s="170">
        <f>IF(Escenarios!$F$17&gt;0,0.001*Observaciones!$F650*Escenarios!$F$17,0)</f>
        <v>0</v>
      </c>
      <c r="BB651" s="170">
        <f>IF(Escenarios!$F$17&gt;0,Observaciones!$K650,0)</f>
        <v>0</v>
      </c>
      <c r="BC651" s="170">
        <f>IF(Escenarios!$F$17&gt;0,MIN(0.0005*ETo!$M650*Escenarios!$F$17*(BG650/Constantes!$F$40)^(2/3),BG650+AY651+AZ651+BA651+BB651),0)</f>
        <v>0</v>
      </c>
      <c r="BD651" s="170">
        <f>IF(Escenarios!$F$17&gt;0,MIN(Constantes!$F$39*(BG650/Constantes!$F$40)^(2/3),BG650+AY651+AZ651+BA651+BB651-BC651),0)</f>
        <v>0</v>
      </c>
      <c r="BE651" s="170">
        <f>IF(Escenarios!$F$17&gt;0,MIN(Entradas!$F$113,BG650+AY651+AZ651+BA651+BB651-BC651-BD651),0)</f>
        <v>0</v>
      </c>
      <c r="BF651" s="170">
        <f>IF(Escenarios!$F$17&gt;0,MAX(0,BG650+AY651+AZ651+BA651+BB651-BC651-BD651-BE651-Constantes!$F$40),0)</f>
        <v>0</v>
      </c>
      <c r="BG651" s="170">
        <f t="shared" si="151"/>
        <v>0</v>
      </c>
      <c r="BH651" s="170">
        <f>(Escenarios!$F$16*AK651+0.1*BC651)/(Escenarios!$F$19)</f>
        <v>0.2009287557408676</v>
      </c>
      <c r="BI651" s="170">
        <f>IF(Escenarios!$F$17&gt;0,BF651/10/Escenarios!$F$19,AL651)</f>
        <v>0</v>
      </c>
      <c r="BJ651" s="170">
        <f>(Escenarios!$F$16*AT651+0.1*BD651)/(Escenarios!$F$19)</f>
        <v>0</v>
      </c>
      <c r="BK651" s="76">
        <f>BK650+(0.1*BD651)/(Escenarios!$F$19)-BL650</f>
        <v>48.75</v>
      </c>
      <c r="BL651" s="76">
        <f>MAX(0,(BK651-Constantes!$D$13)*(1-EXP(-Constantes!$D$23)))</f>
        <v>0</v>
      </c>
      <c r="BM651" s="76">
        <f t="shared" si="152"/>
        <v>0.18947922111347781</v>
      </c>
      <c r="BN651" s="76">
        <f t="shared" si="153"/>
        <v>0.18947922114724386</v>
      </c>
      <c r="BO651" s="76">
        <f>0.0526*BI651*Observaciones!$F650^1.218</f>
        <v>0</v>
      </c>
      <c r="BP651" s="76">
        <f>BO651*Constantes!$F$51</f>
        <v>0</v>
      </c>
      <c r="BQ651" s="76">
        <f t="shared" si="154"/>
        <v>0</v>
      </c>
      <c r="BR651" s="40"/>
    </row>
    <row r="652" spans="2:70">
      <c r="B652" s="39"/>
      <c r="C652" s="75">
        <v>646</v>
      </c>
      <c r="D652" s="146">
        <f>ETo!$I651*((1-Constantes!$F$19)*ETo!$K651+ETo!$L651)</f>
        <v>3.9455312232134068</v>
      </c>
      <c r="E652" s="76">
        <f>MIN(D652*Constantes!$F$17,0.8*(N651+Observaciones!$F651-F652-M652-Constantes!$D$14))</f>
        <v>9.0114866679869016E-10</v>
      </c>
      <c r="F652" s="76">
        <f>IF(Observaciones!$F651&gt;0.05*Constantes!$F$18,((Observaciones!$F651-0.05*Constantes!$F$18)^2)/(Observaciones!$F651+0.95*Constantes!$F$18),0)</f>
        <v>0</v>
      </c>
      <c r="G652" s="76">
        <f>IF(Escenarios!$F$11&gt;0,(F652*Escenarios!$F$16*10000)/1000,0)</f>
        <v>0</v>
      </c>
      <c r="H652" s="76">
        <f>IF(Escenarios!$F$11&gt;0,(Observaciones!$F651*Constantes!$F$29)/1000,0)</f>
        <v>0</v>
      </c>
      <c r="I652" s="76">
        <f>IF(Escenarios!$F$11&gt;0,(D652*Constantes!$F$29)/1000,0)</f>
        <v>0</v>
      </c>
      <c r="J652" s="76">
        <f>IF(Escenarios!$F$11&gt;0,MAX(0,G652+H652-I652),0)</f>
        <v>0</v>
      </c>
      <c r="K652" s="76">
        <f>IF(Escenarios!$F$11&gt;0,IF(J652&gt;Constantes!$F$30,1000*((J652-Constantes!$F$30)/(Escenarios!$F$16*10000)),0),F652)</f>
        <v>0</v>
      </c>
      <c r="L652" s="76">
        <f>IF(Escenarios!$F$11&gt;0,I652*1000/Escenarios!$F$16/10000+E652,E652)</f>
        <v>9.0114866679869016E-10</v>
      </c>
      <c r="M652" s="76">
        <f>MAX(0,N651+Observaciones!$F651-K652-Constantes!$D$13)</f>
        <v>0</v>
      </c>
      <c r="N652" s="76">
        <f>N651+Observaciones!$F651-K652-L652-M652-O651</f>
        <v>11.250000000186915</v>
      </c>
      <c r="O652" s="76">
        <f>MAX(0,(N652-Constantes!$D$14)*(1-EXP(-Constantes!$D$22)))</f>
        <v>6.3670237530502881E-12</v>
      </c>
      <c r="P652" s="170">
        <f>P651+(Entradas!$F$83*M652-Q651)/(800*Entradas!$D$25)</f>
        <v>0</v>
      </c>
      <c r="Q652" s="170">
        <f>8000*Entradas!$D$26*P652/Constantes!$F$45</f>
        <v>0</v>
      </c>
      <c r="R652" s="170">
        <f>IF(Escenarios!$F$14&gt;0,K652*Escenarios!$F$13/Escenarios!$F$14,0)</f>
        <v>0</v>
      </c>
      <c r="S652" s="170">
        <f>IF(Escenarios!$F$14&gt;0,Q652*Escenarios!$F$13/Escenarios!$F$14,0)</f>
        <v>0</v>
      </c>
      <c r="T652" s="170">
        <f>IF(Escenarios!$F$14&gt;0,Observaciones!$I651,0)</f>
        <v>0</v>
      </c>
      <c r="U652" s="170">
        <f>IF(Escenarios!$F$14&gt;0,MAX(0,Constantes!$F$36/((Z651+R652+S652+T652+Observaciones!$F651)^2)+Entradas!$F$77),0)</f>
        <v>0</v>
      </c>
      <c r="V652" s="146">
        <f>IF(ETo!D651&gt;0,ETo!I651*((1-Entradas!$F$81)*ETo!K651+ETo!L651),0)</f>
        <v>3.4982103531877713</v>
      </c>
      <c r="W652" s="170">
        <f>IF(Escenarios!$F$14&gt;0,MIN(V652*1,0.8*(Z651+R652+S652+T652+Observaciones!$F651-U652-Constantes!$F$35)),0)</f>
        <v>4.3390343762439446E-9</v>
      </c>
      <c r="X652" s="170">
        <f>IF(Escenarios!$F$14&gt;0,Observaciones!$J651,0)</f>
        <v>0</v>
      </c>
      <c r="Y652" s="170">
        <f>IF(Escenarios!$F$14&gt;0,MAX(0,Z651+R652+S652+T652+Observaciones!$F651-U652-W652-X652-Constantes!$F$33),0)</f>
        <v>0</v>
      </c>
      <c r="Z652" s="170">
        <f>Z651+R652+S652+T652+Observaciones!$F651-U652-W652-Y652</f>
        <v>41.250000001084757</v>
      </c>
      <c r="AA652" s="170">
        <f>IF(Escenarios!$F$14&gt;0,(Escenarios!$F$13*L652+Escenarios!$F$14*W652)/(Escenarios!$F$16),L652)</f>
        <v>1.3136949519321206E-9</v>
      </c>
      <c r="AB652" s="170">
        <f>IF(Escenarios!$F$14&gt;0,(Escenarios!$F$14*Y652)/(Escenarios!$F$16),K652)</f>
        <v>0</v>
      </c>
      <c r="AC652" s="170">
        <f>IF(Escenarios!$F$14&gt;0,(Escenarios!$F$13*M652+Escenarios!$F$14*U652)/(Escenarios!$F$16),M652)</f>
        <v>0</v>
      </c>
      <c r="AD652" s="76">
        <f t="shared" si="141"/>
        <v>66.623306058534567</v>
      </c>
      <c r="AE652" s="76">
        <f>MAX(0,(AD652-Constantes!$D$13)*(1-EXP(-Constantes!$D$23)))</f>
        <v>0.1761099416845755</v>
      </c>
      <c r="AF652" s="76">
        <f>AB652+O652*Escenarios!$F$13/Escenarios!$F$16+AE652</f>
        <v>0.17610994169017849</v>
      </c>
      <c r="AG652" s="76">
        <f>IF(Entradas!$F$91&gt;0,IF(AF652-Escenarios!$F$38&lt;=0,0,IF(AF652-Escenarios!$F$38&gt;Escenarios!$F$37,Escenarios!$F$37,AF652-Escenarios!$F$38)),0)</f>
        <v>0</v>
      </c>
      <c r="AH652" s="76">
        <f>AG652*Entradas!$F$99</f>
        <v>0</v>
      </c>
      <c r="AI652" s="76">
        <f>IF(Entradas!$F$91&gt;0,D652*Entradas!$D$23/Escenarios!$F$16,0)</f>
        <v>0.18938549871424351</v>
      </c>
      <c r="AJ652" s="76">
        <f>IF(Entradas!$F$91&gt;0,Entradas!$D$24*Entradas!$D$22/Escenarios!$F$16,0)</f>
        <v>0.12</v>
      </c>
      <c r="AK652" s="76">
        <f t="shared" si="142"/>
        <v>0.18938550002793847</v>
      </c>
      <c r="AL652" s="76">
        <f t="shared" si="143"/>
        <v>0</v>
      </c>
      <c r="AM652" s="76">
        <f t="shared" si="144"/>
        <v>0</v>
      </c>
      <c r="AN652" s="76">
        <f>MAX(0,O652*Escenarios!$F$13/Escenarios!$F$16-AM652)</f>
        <v>5.6029809026842533E-12</v>
      </c>
      <c r="AO652" s="76">
        <f>AM652+AN652-O652*Escenarios!$F$13/Escenarios!$F$16</f>
        <v>0</v>
      </c>
      <c r="AP652" s="76">
        <f t="shared" si="145"/>
        <v>0.1761099416845755</v>
      </c>
      <c r="AQ652" s="76">
        <f t="shared" si="146"/>
        <v>0</v>
      </c>
      <c r="AR652" s="76">
        <f t="shared" si="147"/>
        <v>0.17610994169017849</v>
      </c>
      <c r="AS652" s="76">
        <f t="shared" si="148"/>
        <v>0</v>
      </c>
      <c r="AT652" s="76">
        <f t="shared" si="149"/>
        <v>0</v>
      </c>
      <c r="AU652" s="76">
        <f t="shared" si="150"/>
        <v>49.498381308455073</v>
      </c>
      <c r="AV652" s="76">
        <f>MAX(0,(AU652-Constantes!$D$13)*(1-EXP(-Constantes!$D$24)))</f>
        <v>1.1439193198989428E-2</v>
      </c>
      <c r="AW652" s="170">
        <f>AW651+(Entradas!$F$112*AT652-AX651)/(800*Entradas!$D$25)</f>
        <v>0</v>
      </c>
      <c r="AX652" s="170">
        <f>8000*Entradas!$D$26*AW652/Constantes!$F$45</f>
        <v>0</v>
      </c>
      <c r="AY652" s="170">
        <f>IF(Escenarios!$F$17&gt;0,10*Escenarios!$F$16*AL652,0)</f>
        <v>0</v>
      </c>
      <c r="AZ652" s="170">
        <f>IF(Escenarios!$F$17&gt;0,10*Escenarios!$F$16*AX652,0)</f>
        <v>0</v>
      </c>
      <c r="BA652" s="170">
        <f>IF(Escenarios!$F$17&gt;0,0.001*Observaciones!$F651*Escenarios!$F$17,0)</f>
        <v>0</v>
      </c>
      <c r="BB652" s="170">
        <f>IF(Escenarios!$F$17&gt;0,Observaciones!$K651,0)</f>
        <v>0</v>
      </c>
      <c r="BC652" s="170">
        <f>IF(Escenarios!$F$17&gt;0,MIN(0.0005*ETo!$M651*Escenarios!$F$17*(BG651/Constantes!$F$40)^(2/3),BG651+AY652+AZ652+BA652+BB652),0)</f>
        <v>0</v>
      </c>
      <c r="BD652" s="170">
        <f>IF(Escenarios!$F$17&gt;0,MIN(Constantes!$F$39*(BG651/Constantes!$F$40)^(2/3),BG651+AY652+AZ652+BA652+BB652-BC652),0)</f>
        <v>0</v>
      </c>
      <c r="BE652" s="170">
        <f>IF(Escenarios!$F$17&gt;0,MIN(Entradas!$F$113,BG651+AY652+AZ652+BA652+BB652-BC652-BD652),0)</f>
        <v>0</v>
      </c>
      <c r="BF652" s="170">
        <f>IF(Escenarios!$F$17&gt;0,MAX(0,BG651+AY652+AZ652+BA652+BB652-BC652-BD652-BE652-Constantes!$F$40),0)</f>
        <v>0</v>
      </c>
      <c r="BG652" s="170">
        <f t="shared" si="151"/>
        <v>0</v>
      </c>
      <c r="BH652" s="170">
        <f>(Escenarios!$F$16*AK652+0.1*BC652)/(Escenarios!$F$19)</f>
        <v>0.18938550002793847</v>
      </c>
      <c r="BI652" s="170">
        <f>IF(Escenarios!$F$17&gt;0,BF652/10/Escenarios!$F$19,AL652)</f>
        <v>0</v>
      </c>
      <c r="BJ652" s="170">
        <f>(Escenarios!$F$16*AT652+0.1*BD652)/(Escenarios!$F$19)</f>
        <v>0</v>
      </c>
      <c r="BK652" s="76">
        <f>BK651+(0.1*BD652)/(Escenarios!$F$19)-BL651</f>
        <v>48.75</v>
      </c>
      <c r="BL652" s="76">
        <f>MAX(0,(BK652-Constantes!$D$13)*(1-EXP(-Constantes!$D$23)))</f>
        <v>0</v>
      </c>
      <c r="BM652" s="76">
        <f t="shared" si="152"/>
        <v>0.18754913488356492</v>
      </c>
      <c r="BN652" s="76">
        <f t="shared" si="153"/>
        <v>0.18754913488916791</v>
      </c>
      <c r="BO652" s="76">
        <f>0.0526*BI652*Observaciones!$F651^1.218</f>
        <v>0</v>
      </c>
      <c r="BP652" s="76">
        <f>BO652*Constantes!$F$51</f>
        <v>0</v>
      </c>
      <c r="BQ652" s="76">
        <f t="shared" si="154"/>
        <v>0</v>
      </c>
      <c r="BR652" s="40"/>
    </row>
    <row r="653" spans="2:70">
      <c r="B653" s="39"/>
      <c r="C653" s="75">
        <v>647</v>
      </c>
      <c r="D653" s="146">
        <f>ETo!$I652*((1-Constantes!$F$19)*ETo!$K652+ETo!$L652)</f>
        <v>4.2593395468327611</v>
      </c>
      <c r="E653" s="76">
        <f>MIN(D653*Constantes!$F$17,0.8*(N652+Observaciones!$F652-F653-M653-Constantes!$D$14))</f>
        <v>1.4953229765524158E-10</v>
      </c>
      <c r="F653" s="76">
        <f>IF(Observaciones!$F652&gt;0.05*Constantes!$F$18,((Observaciones!$F652-0.05*Constantes!$F$18)^2)/(Observaciones!$F652+0.95*Constantes!$F$18),0)</f>
        <v>0</v>
      </c>
      <c r="G653" s="76">
        <f>IF(Escenarios!$F$11&gt;0,(F653*Escenarios!$F$16*10000)/1000,0)</f>
        <v>0</v>
      </c>
      <c r="H653" s="76">
        <f>IF(Escenarios!$F$11&gt;0,(Observaciones!$F652*Constantes!$F$29)/1000,0)</f>
        <v>0</v>
      </c>
      <c r="I653" s="76">
        <f>IF(Escenarios!$F$11&gt;0,(D653*Constantes!$F$29)/1000,0)</f>
        <v>0</v>
      </c>
      <c r="J653" s="76">
        <f>IF(Escenarios!$F$11&gt;0,MAX(0,G653+H653-I653),0)</f>
        <v>0</v>
      </c>
      <c r="K653" s="76">
        <f>IF(Escenarios!$F$11&gt;0,IF(J653&gt;Constantes!$F$30,1000*((J653-Constantes!$F$30)/(Escenarios!$F$16*10000)),0),F653)</f>
        <v>0</v>
      </c>
      <c r="L653" s="76">
        <f>IF(Escenarios!$F$11&gt;0,I653*1000/Escenarios!$F$16/10000+E653,E653)</f>
        <v>1.4953229765524158E-10</v>
      </c>
      <c r="M653" s="76">
        <f>MAX(0,N652+Observaciones!$F652-K653-Constantes!$D$13)</f>
        <v>0</v>
      </c>
      <c r="N653" s="76">
        <f>N652+Observaciones!$F652-K653-L653-M653-O652</f>
        <v>11.250000000031017</v>
      </c>
      <c r="O653" s="76">
        <f>MAX(0,(N653-Constantes!$D$14)*(1-EXP(-Constantes!$D$22)))</f>
        <v>1.0565517538965548E-12</v>
      </c>
      <c r="P653" s="170">
        <f>P652+(Entradas!$F$83*M653-Q652)/(800*Entradas!$D$25)</f>
        <v>0</v>
      </c>
      <c r="Q653" s="170">
        <f>8000*Entradas!$D$26*P653/Constantes!$F$45</f>
        <v>0</v>
      </c>
      <c r="R653" s="170">
        <f>IF(Escenarios!$F$14&gt;0,K653*Escenarios!$F$13/Escenarios!$F$14,0)</f>
        <v>0</v>
      </c>
      <c r="S653" s="170">
        <f>IF(Escenarios!$F$14&gt;0,Q653*Escenarios!$F$13/Escenarios!$F$14,0)</f>
        <v>0</v>
      </c>
      <c r="T653" s="170">
        <f>IF(Escenarios!$F$14&gt;0,Observaciones!$I652,0)</f>
        <v>0</v>
      </c>
      <c r="U653" s="170">
        <f>IF(Escenarios!$F$14&gt;0,MAX(0,Constantes!$F$36/((Z652+R653+S653+T653+Observaciones!$F652)^2)+Entradas!$F$77),0)</f>
        <v>0</v>
      </c>
      <c r="V653" s="146">
        <f>IF(ETo!D652&gt;0,ETo!I652*((1-Entradas!$F$81)*ETo!K652+ETo!L652),0)</f>
        <v>3.7797559652019905</v>
      </c>
      <c r="W653" s="170">
        <f>IF(Escenarios!$F$14&gt;0,MIN(V653*1,0.8*(Z652+R653+S653+T653+Observaciones!$F652-U653-Constantes!$F$35)),0)</f>
        <v>8.6780573838041166E-10</v>
      </c>
      <c r="X653" s="170">
        <f>IF(Escenarios!$F$14&gt;0,Observaciones!$J652,0)</f>
        <v>0</v>
      </c>
      <c r="Y653" s="170">
        <f>IF(Escenarios!$F$14&gt;0,MAX(0,Z652+R653+S653+T653+Observaciones!$F652-U653-W653-X653-Constantes!$F$33),0)</f>
        <v>0</v>
      </c>
      <c r="Z653" s="170">
        <f>Z652+R653+S653+T653+Observaciones!$F652-U653-W653-Y653</f>
        <v>41.25000000021695</v>
      </c>
      <c r="AA653" s="170">
        <f>IF(Escenarios!$F$14&gt;0,(Escenarios!$F$13*L653+Escenarios!$F$14*W653)/(Escenarios!$F$16),L653)</f>
        <v>2.3572511054226198E-10</v>
      </c>
      <c r="AB653" s="170">
        <f>IF(Escenarios!$F$14&gt;0,(Escenarios!$F$14*Y653)/(Escenarios!$F$16),K653)</f>
        <v>0</v>
      </c>
      <c r="AC653" s="170">
        <f>IF(Escenarios!$F$14&gt;0,(Escenarios!$F$13*M653+Escenarios!$F$14*U653)/(Escenarios!$F$16),M653)</f>
        <v>0</v>
      </c>
      <c r="AD653" s="76">
        <f t="shared" si="141"/>
        <v>66.447196116849994</v>
      </c>
      <c r="AE653" s="76">
        <f>MAX(0,(AD653-Constantes!$D$13)*(1-EXP(-Constantes!$D$23)))</f>
        <v>0.1743746884830373</v>
      </c>
      <c r="AF653" s="76">
        <f>AB653+O653*Escenarios!$F$13/Escenarios!$F$16+AE653</f>
        <v>0.17437468848396706</v>
      </c>
      <c r="AG653" s="76">
        <f>IF(Entradas!$F$91&gt;0,IF(AF653-Escenarios!$F$38&lt;=0,0,IF(AF653-Escenarios!$F$38&gt;Escenarios!$F$37,Escenarios!$F$37,AF653-Escenarios!$F$38)),0)</f>
        <v>0</v>
      </c>
      <c r="AH653" s="76">
        <f>AG653*Entradas!$F$99</f>
        <v>0</v>
      </c>
      <c r="AI653" s="76">
        <f>IF(Entradas!$F$91&gt;0,D653*Entradas!$D$23/Escenarios!$F$16,0)</f>
        <v>0.20444829824797253</v>
      </c>
      <c r="AJ653" s="76">
        <f>IF(Entradas!$F$91&gt;0,Entradas!$D$24*Entradas!$D$22/Escenarios!$F$16,0)</f>
        <v>0.12</v>
      </c>
      <c r="AK653" s="76">
        <f t="shared" si="142"/>
        <v>0.20444829848369764</v>
      </c>
      <c r="AL653" s="76">
        <f t="shared" si="143"/>
        <v>0</v>
      </c>
      <c r="AM653" s="76">
        <f t="shared" si="144"/>
        <v>0</v>
      </c>
      <c r="AN653" s="76">
        <f>MAX(0,O653*Escenarios!$F$13/Escenarios!$F$16-AM653)</f>
        <v>9.2976554342896813E-13</v>
      </c>
      <c r="AO653" s="76">
        <f>AM653+AN653-O653*Escenarios!$F$13/Escenarios!$F$16</f>
        <v>0</v>
      </c>
      <c r="AP653" s="76">
        <f t="shared" si="145"/>
        <v>0.1743746884830373</v>
      </c>
      <c r="AQ653" s="76">
        <f t="shared" si="146"/>
        <v>0</v>
      </c>
      <c r="AR653" s="76">
        <f t="shared" si="147"/>
        <v>0.17437468848396706</v>
      </c>
      <c r="AS653" s="76">
        <f t="shared" si="148"/>
        <v>0</v>
      </c>
      <c r="AT653" s="76">
        <f t="shared" si="149"/>
        <v>0</v>
      </c>
      <c r="AU653" s="76">
        <f t="shared" si="150"/>
        <v>49.486942115256085</v>
      </c>
      <c r="AV653" s="76">
        <f>MAX(0,(AU653-Constantes!$D$13)*(1-EXP(-Constantes!$D$24)))</f>
        <v>1.1264342304712113E-2</v>
      </c>
      <c r="AW653" s="170">
        <f>AW652+(Entradas!$F$112*AT653-AX652)/(800*Entradas!$D$25)</f>
        <v>0</v>
      </c>
      <c r="AX653" s="170">
        <f>8000*Entradas!$D$26*AW653/Constantes!$F$45</f>
        <v>0</v>
      </c>
      <c r="AY653" s="170">
        <f>IF(Escenarios!$F$17&gt;0,10*Escenarios!$F$16*AL653,0)</f>
        <v>0</v>
      </c>
      <c r="AZ653" s="170">
        <f>IF(Escenarios!$F$17&gt;0,10*Escenarios!$F$16*AX653,0)</f>
        <v>0</v>
      </c>
      <c r="BA653" s="170">
        <f>IF(Escenarios!$F$17&gt;0,0.001*Observaciones!$F652*Escenarios!$F$17,0)</f>
        <v>0</v>
      </c>
      <c r="BB653" s="170">
        <f>IF(Escenarios!$F$17&gt;0,Observaciones!$K652,0)</f>
        <v>0</v>
      </c>
      <c r="BC653" s="170">
        <f>IF(Escenarios!$F$17&gt;0,MIN(0.0005*ETo!$M652*Escenarios!$F$17*(BG652/Constantes!$F$40)^(2/3),BG652+AY653+AZ653+BA653+BB653),0)</f>
        <v>0</v>
      </c>
      <c r="BD653" s="170">
        <f>IF(Escenarios!$F$17&gt;0,MIN(Constantes!$F$39*(BG652/Constantes!$F$40)^(2/3),BG652+AY653+AZ653+BA653+BB653-BC653),0)</f>
        <v>0</v>
      </c>
      <c r="BE653" s="170">
        <f>IF(Escenarios!$F$17&gt;0,MIN(Entradas!$F$113,BG652+AY653+AZ653+BA653+BB653-BC653-BD653),0)</f>
        <v>0</v>
      </c>
      <c r="BF653" s="170">
        <f>IF(Escenarios!$F$17&gt;0,MAX(0,BG652+AY653+AZ653+BA653+BB653-BC653-BD653-BE653-Constantes!$F$40),0)</f>
        <v>0</v>
      </c>
      <c r="BG653" s="170">
        <f t="shared" si="151"/>
        <v>0</v>
      </c>
      <c r="BH653" s="170">
        <f>(Escenarios!$F$16*AK653+0.1*BC653)/(Escenarios!$F$19)</f>
        <v>0.20444829848369764</v>
      </c>
      <c r="BI653" s="170">
        <f>IF(Escenarios!$F$17&gt;0,BF653/10/Escenarios!$F$19,AL653)</f>
        <v>0</v>
      </c>
      <c r="BJ653" s="170">
        <f>(Escenarios!$F$16*AT653+0.1*BD653)/(Escenarios!$F$19)</f>
        <v>0</v>
      </c>
      <c r="BK653" s="76">
        <f>BK652+(0.1*BD653)/(Escenarios!$F$19)-BL652</f>
        <v>48.75</v>
      </c>
      <c r="BL653" s="76">
        <f>MAX(0,(BK653-Constantes!$D$13)*(1-EXP(-Constantes!$D$23)))</f>
        <v>0</v>
      </c>
      <c r="BM653" s="76">
        <f t="shared" si="152"/>
        <v>0.1856390307877494</v>
      </c>
      <c r="BN653" s="76">
        <f t="shared" si="153"/>
        <v>0.18563903078867916</v>
      </c>
      <c r="BO653" s="76">
        <f>0.0526*BI653*Observaciones!$F652^1.218</f>
        <v>0</v>
      </c>
      <c r="BP653" s="76">
        <f>BO653*Constantes!$F$51</f>
        <v>0</v>
      </c>
      <c r="BQ653" s="76">
        <f t="shared" si="154"/>
        <v>0</v>
      </c>
      <c r="BR653" s="40"/>
    </row>
    <row r="654" spans="2:70">
      <c r="B654" s="39"/>
      <c r="C654" s="75">
        <v>648</v>
      </c>
      <c r="D654" s="146">
        <f>ETo!$I653*((1-Constantes!$F$19)*ETo!$K653+ETo!$L653)</f>
        <v>4.1971308566330823</v>
      </c>
      <c r="E654" s="76">
        <f>MIN(D654*Constantes!$F$17,0.8*(N653+Observaciones!$F653-F654-M654-Constantes!$D$14))</f>
        <v>2.3936730757615732</v>
      </c>
      <c r="F654" s="76">
        <f>IF(Observaciones!$F653&gt;0.05*Constantes!$F$18,((Observaciones!$F653-0.05*Constantes!$F$18)^2)/(Observaciones!$F653+0.95*Constantes!$F$18),0)</f>
        <v>0</v>
      </c>
      <c r="G654" s="76">
        <f>IF(Escenarios!$F$11&gt;0,(F654*Escenarios!$F$16*10000)/1000,0)</f>
        <v>0</v>
      </c>
      <c r="H654" s="76">
        <f>IF(Escenarios!$F$11&gt;0,(Observaciones!$F653*Constantes!$F$29)/1000,0)</f>
        <v>0</v>
      </c>
      <c r="I654" s="76">
        <f>IF(Escenarios!$F$11&gt;0,(D654*Constantes!$F$29)/1000,0)</f>
        <v>0</v>
      </c>
      <c r="J654" s="76">
        <f>IF(Escenarios!$F$11&gt;0,MAX(0,G654+H654-I654),0)</f>
        <v>0</v>
      </c>
      <c r="K654" s="76">
        <f>IF(Escenarios!$F$11&gt;0,IF(J654&gt;Constantes!$F$30,1000*((J654-Constantes!$F$30)/(Escenarios!$F$16*10000)),0),F654)</f>
        <v>0</v>
      </c>
      <c r="L654" s="76">
        <f>IF(Escenarios!$F$11&gt;0,I654*1000/Escenarios!$F$16/10000+E654,E654)</f>
        <v>2.3936730757615732</v>
      </c>
      <c r="M654" s="76">
        <f>MAX(0,N653+Observaciones!$F653-K654-Constantes!$D$13)</f>
        <v>0</v>
      </c>
      <c r="N654" s="76">
        <f>N653+Observaciones!$F653-K654-L654-M654-O653</f>
        <v>11.856326924268387</v>
      </c>
      <c r="O654" s="76">
        <f>MAX(0,(N654-Constantes!$D$14)*(1-EXP(-Constantes!$D$22)))</f>
        <v>2.0653720912288398E-2</v>
      </c>
      <c r="P654" s="170">
        <f>P653+(Entradas!$F$83*M654-Q653)/(800*Entradas!$D$25)</f>
        <v>0</v>
      </c>
      <c r="Q654" s="170">
        <f>8000*Entradas!$D$26*P654/Constantes!$F$45</f>
        <v>0</v>
      </c>
      <c r="R654" s="170">
        <f>IF(Escenarios!$F$14&gt;0,K654*Escenarios!$F$13/Escenarios!$F$14,0)</f>
        <v>0</v>
      </c>
      <c r="S654" s="170">
        <f>IF(Escenarios!$F$14&gt;0,Q654*Escenarios!$F$13/Escenarios!$F$14,0)</f>
        <v>0</v>
      </c>
      <c r="T654" s="170">
        <f>IF(Escenarios!$F$14&gt;0,Observaciones!$I653,0)</f>
        <v>0</v>
      </c>
      <c r="U654" s="170">
        <f>IF(Escenarios!$F$14&gt;0,MAX(0,Constantes!$F$36/((Z653+R654+S654+T654+Observaciones!$F653)^2)+Entradas!$F$77),0)</f>
        <v>0</v>
      </c>
      <c r="V654" s="146">
        <f>IF(ETo!D653&gt;0,ETo!I653*((1-Entradas!$F$81)*ETo!K653+ETo!L653),0)</f>
        <v>3.7239463931678443</v>
      </c>
      <c r="W654" s="170">
        <f>IF(Escenarios!$F$14&gt;0,MIN(V654*1,0.8*(Z653+R654+S654+T654+Observaciones!$F653-U654-Constantes!$F$35)),0)</f>
        <v>2.4000000001735602</v>
      </c>
      <c r="X654" s="170">
        <f>IF(Escenarios!$F$14&gt;0,Observaciones!$J653,0)</f>
        <v>0</v>
      </c>
      <c r="Y654" s="170">
        <f>IF(Escenarios!$F$14&gt;0,MAX(0,Z653+R654+S654+T654+Observaciones!$F653-U654-W654-X654-Constantes!$F$33),0)</f>
        <v>0</v>
      </c>
      <c r="Z654" s="170">
        <f>Z653+R654+S654+T654+Observaciones!$F653-U654-W654-Y654</f>
        <v>41.850000000043387</v>
      </c>
      <c r="AA654" s="170">
        <f>IF(Escenarios!$F$14&gt;0,(Escenarios!$F$13*L654+Escenarios!$F$14*W654)/(Escenarios!$F$16),L654)</f>
        <v>2.3944323066910118</v>
      </c>
      <c r="AB654" s="170">
        <f>IF(Escenarios!$F$14&gt;0,(Escenarios!$F$14*Y654)/(Escenarios!$F$16),K654)</f>
        <v>0</v>
      </c>
      <c r="AC654" s="170">
        <f>IF(Escenarios!$F$14&gt;0,(Escenarios!$F$13*M654+Escenarios!$F$14*U654)/(Escenarios!$F$16),M654)</f>
        <v>0</v>
      </c>
      <c r="AD654" s="76">
        <f t="shared" si="141"/>
        <v>66.272821428366953</v>
      </c>
      <c r="AE654" s="76">
        <f>MAX(0,(AD654-Constantes!$D$13)*(1-EXP(-Constantes!$D$23)))</f>
        <v>0.17265653314459892</v>
      </c>
      <c r="AF654" s="76">
        <f>AB654+O654*Escenarios!$F$13/Escenarios!$F$16+AE654</f>
        <v>0.19083180754741272</v>
      </c>
      <c r="AG654" s="76">
        <f>IF(Entradas!$F$91&gt;0,IF(AF654-Escenarios!$F$38&lt;=0,0,IF(AF654-Escenarios!$F$38&gt;Escenarios!$F$37,Escenarios!$F$37,AF654-Escenarios!$F$38)),0)</f>
        <v>0</v>
      </c>
      <c r="AH654" s="76">
        <f>AG654*Entradas!$F$99</f>
        <v>0</v>
      </c>
      <c r="AI654" s="76">
        <f>IF(Entradas!$F$91&gt;0,D654*Entradas!$D$23/Escenarios!$F$16,0)</f>
        <v>0.20146228111838796</v>
      </c>
      <c r="AJ654" s="76">
        <f>IF(Entradas!$F$91&gt;0,Entradas!$D$24*Entradas!$D$22/Escenarios!$F$16,0)</f>
        <v>0.12</v>
      </c>
      <c r="AK654" s="76">
        <f t="shared" si="142"/>
        <v>2.5958945878093997</v>
      </c>
      <c r="AL654" s="76">
        <f t="shared" si="143"/>
        <v>0</v>
      </c>
      <c r="AM654" s="76">
        <f t="shared" si="144"/>
        <v>0</v>
      </c>
      <c r="AN654" s="76">
        <f>MAX(0,O654*Escenarios!$F$13/Escenarios!$F$16-AM654)</f>
        <v>1.8175274402813791E-2</v>
      </c>
      <c r="AO654" s="76">
        <f>AM654+AN654-O654*Escenarios!$F$13/Escenarios!$F$16</f>
        <v>0</v>
      </c>
      <c r="AP654" s="76">
        <f t="shared" si="145"/>
        <v>0.17265653314459892</v>
      </c>
      <c r="AQ654" s="76">
        <f t="shared" si="146"/>
        <v>0</v>
      </c>
      <c r="AR654" s="76">
        <f t="shared" si="147"/>
        <v>0.19083180754741272</v>
      </c>
      <c r="AS654" s="76">
        <f t="shared" si="148"/>
        <v>0</v>
      </c>
      <c r="AT654" s="76">
        <f t="shared" si="149"/>
        <v>0</v>
      </c>
      <c r="AU654" s="76">
        <f t="shared" si="150"/>
        <v>49.475677772951371</v>
      </c>
      <c r="AV654" s="76">
        <f>MAX(0,(AU654-Constantes!$D$13)*(1-EXP(-Constantes!$D$24)))</f>
        <v>1.1092164049553434E-2</v>
      </c>
      <c r="AW654" s="170">
        <f>AW653+(Entradas!$F$112*AT654-AX653)/(800*Entradas!$D$25)</f>
        <v>0</v>
      </c>
      <c r="AX654" s="170">
        <f>8000*Entradas!$D$26*AW654/Constantes!$F$45</f>
        <v>0</v>
      </c>
      <c r="AY654" s="170">
        <f>IF(Escenarios!$F$17&gt;0,10*Escenarios!$F$16*AL654,0)</f>
        <v>0</v>
      </c>
      <c r="AZ654" s="170">
        <f>IF(Escenarios!$F$17&gt;0,10*Escenarios!$F$16*AX654,0)</f>
        <v>0</v>
      </c>
      <c r="BA654" s="170">
        <f>IF(Escenarios!$F$17&gt;0,0.001*Observaciones!$F653*Escenarios!$F$17,0)</f>
        <v>0</v>
      </c>
      <c r="BB654" s="170">
        <f>IF(Escenarios!$F$17&gt;0,Observaciones!$K653,0)</f>
        <v>0</v>
      </c>
      <c r="BC654" s="170">
        <f>IF(Escenarios!$F$17&gt;0,MIN(0.0005*ETo!$M653*Escenarios!$F$17*(BG653/Constantes!$F$40)^(2/3),BG653+AY654+AZ654+BA654+BB654),0)</f>
        <v>0</v>
      </c>
      <c r="BD654" s="170">
        <f>IF(Escenarios!$F$17&gt;0,MIN(Constantes!$F$39*(BG653/Constantes!$F$40)^(2/3),BG653+AY654+AZ654+BA654+BB654-BC654),0)</f>
        <v>0</v>
      </c>
      <c r="BE654" s="170">
        <f>IF(Escenarios!$F$17&gt;0,MIN(Entradas!$F$113,BG653+AY654+AZ654+BA654+BB654-BC654-BD654),0)</f>
        <v>0</v>
      </c>
      <c r="BF654" s="170">
        <f>IF(Escenarios!$F$17&gt;0,MAX(0,BG653+AY654+AZ654+BA654+BB654-BC654-BD654-BE654-Constantes!$F$40),0)</f>
        <v>0</v>
      </c>
      <c r="BG654" s="170">
        <f t="shared" si="151"/>
        <v>0</v>
      </c>
      <c r="BH654" s="170">
        <f>(Escenarios!$F$16*AK654+0.1*BC654)/(Escenarios!$F$19)</f>
        <v>2.5958945878093997</v>
      </c>
      <c r="BI654" s="170">
        <f>IF(Escenarios!$F$17&gt;0,BF654/10/Escenarios!$F$19,AL654)</f>
        <v>0</v>
      </c>
      <c r="BJ654" s="170">
        <f>(Escenarios!$F$16*AT654+0.1*BD654)/(Escenarios!$F$19)</f>
        <v>0</v>
      </c>
      <c r="BK654" s="76">
        <f>BK653+(0.1*BD654)/(Escenarios!$F$19)-BL653</f>
        <v>48.75</v>
      </c>
      <c r="BL654" s="76">
        <f>MAX(0,(BK654-Constantes!$D$13)*(1-EXP(-Constantes!$D$23)))</f>
        <v>0</v>
      </c>
      <c r="BM654" s="76">
        <f t="shared" si="152"/>
        <v>0.18374869719415235</v>
      </c>
      <c r="BN654" s="76">
        <f t="shared" si="153"/>
        <v>0.20192397159696615</v>
      </c>
      <c r="BO654" s="76">
        <f>0.0526*BI654*Observaciones!$F653^1.218</f>
        <v>0</v>
      </c>
      <c r="BP654" s="76">
        <f>BO654*Constantes!$F$51</f>
        <v>0</v>
      </c>
      <c r="BQ654" s="76">
        <f t="shared" si="154"/>
        <v>0</v>
      </c>
      <c r="BR654" s="40"/>
    </row>
    <row r="655" spans="2:70">
      <c r="B655" s="39"/>
      <c r="C655" s="75">
        <v>649</v>
      </c>
      <c r="D655" s="146">
        <f>ETo!$I654*((1-Constantes!$F$19)*ETo!$K654+ETo!$L654)</f>
        <v>4.2870472954778229</v>
      </c>
      <c r="E655" s="76">
        <f>MIN(D655*Constantes!$F$17,0.8*(N654+Observaciones!$F654-F655-M655-Constantes!$D$14))</f>
        <v>0.72506153941471041</v>
      </c>
      <c r="F655" s="76">
        <f>IF(Observaciones!$F654&gt;0.05*Constantes!$F$18,((Observaciones!$F654-0.05*Constantes!$F$18)^2)/(Observaciones!$F654+0.95*Constantes!$F$18),0)</f>
        <v>0</v>
      </c>
      <c r="G655" s="76">
        <f>IF(Escenarios!$F$11&gt;0,(F655*Escenarios!$F$16*10000)/1000,0)</f>
        <v>0</v>
      </c>
      <c r="H655" s="76">
        <f>IF(Escenarios!$F$11&gt;0,(Observaciones!$F654*Constantes!$F$29)/1000,0)</f>
        <v>0</v>
      </c>
      <c r="I655" s="76">
        <f>IF(Escenarios!$F$11&gt;0,(D655*Constantes!$F$29)/1000,0)</f>
        <v>0</v>
      </c>
      <c r="J655" s="76">
        <f>IF(Escenarios!$F$11&gt;0,MAX(0,G655+H655-I655),0)</f>
        <v>0</v>
      </c>
      <c r="K655" s="76">
        <f>IF(Escenarios!$F$11&gt;0,IF(J655&gt;Constantes!$F$30,1000*((J655-Constantes!$F$30)/(Escenarios!$F$16*10000)),0),F655)</f>
        <v>0</v>
      </c>
      <c r="L655" s="76">
        <f>IF(Escenarios!$F$11&gt;0,I655*1000/Escenarios!$F$16/10000+E655,E655)</f>
        <v>0.72506153941471041</v>
      </c>
      <c r="M655" s="76">
        <f>MAX(0,N654+Observaciones!$F654-K655-Constantes!$D$13)</f>
        <v>0</v>
      </c>
      <c r="N655" s="76">
        <f>N654+Observaciones!$F654-K655-L655-M655-O654</f>
        <v>11.410611663941388</v>
      </c>
      <c r="O655" s="76">
        <f>MAX(0,(N655-Constantes!$D$14)*(1-EXP(-Constantes!$D$22)))</f>
        <v>5.4710228913326898E-3</v>
      </c>
      <c r="P655" s="170">
        <f>P654+(Entradas!$F$83*M655-Q654)/(800*Entradas!$D$25)</f>
        <v>0</v>
      </c>
      <c r="Q655" s="170">
        <f>8000*Entradas!$D$26*P655/Constantes!$F$45</f>
        <v>0</v>
      </c>
      <c r="R655" s="170">
        <f>IF(Escenarios!$F$14&gt;0,K655*Escenarios!$F$13/Escenarios!$F$14,0)</f>
        <v>0</v>
      </c>
      <c r="S655" s="170">
        <f>IF(Escenarios!$F$14&gt;0,Q655*Escenarios!$F$13/Escenarios!$F$14,0)</f>
        <v>0</v>
      </c>
      <c r="T655" s="170">
        <f>IF(Escenarios!$F$14&gt;0,Observaciones!$I654,0)</f>
        <v>0</v>
      </c>
      <c r="U655" s="170">
        <f>IF(Escenarios!$F$14&gt;0,MAX(0,Constantes!$F$36/((Z654+R655+S655+T655+Observaciones!$F654)^2)+Entradas!$F$77),0)</f>
        <v>0</v>
      </c>
      <c r="V655" s="146">
        <f>IF(ETo!D654&gt;0,ETo!I654*((1-Entradas!$F$81)*ETo!K654+ETo!L654),0)</f>
        <v>3.8050242368371179</v>
      </c>
      <c r="W655" s="170">
        <f>IF(Escenarios!$F$14&gt;0,MIN(V655*1,0.8*(Z654+R655+S655+T655+Observaciones!$F654-U655-Constantes!$F$35)),0)</f>
        <v>0.72000000003470754</v>
      </c>
      <c r="X655" s="170">
        <f>IF(Escenarios!$F$14&gt;0,Observaciones!$J654,0)</f>
        <v>0</v>
      </c>
      <c r="Y655" s="170">
        <f>IF(Escenarios!$F$14&gt;0,MAX(0,Z654+R655+S655+T655+Observaciones!$F654-U655-W655-X655-Constantes!$F$33),0)</f>
        <v>0</v>
      </c>
      <c r="Z655" s="170">
        <f>Z654+R655+S655+T655+Observaciones!$F654-U655-W655-Y655</f>
        <v>41.430000000008675</v>
      </c>
      <c r="AA655" s="170">
        <f>IF(Escenarios!$F$14&gt;0,(Escenarios!$F$13*L655+Escenarios!$F$14*W655)/(Escenarios!$F$16),L655)</f>
        <v>0.72445415468911001</v>
      </c>
      <c r="AB655" s="170">
        <f>IF(Escenarios!$F$14&gt;0,(Escenarios!$F$14*Y655)/(Escenarios!$F$16),K655)</f>
        <v>0</v>
      </c>
      <c r="AC655" s="170">
        <f>IF(Escenarios!$F$14&gt;0,(Escenarios!$F$13*M655+Escenarios!$F$14*U655)/(Escenarios!$F$16),M655)</f>
        <v>0</v>
      </c>
      <c r="AD655" s="76">
        <f t="shared" si="141"/>
        <v>66.100164895222349</v>
      </c>
      <c r="AE655" s="76">
        <f>MAX(0,(AD655-Constantes!$D$13)*(1-EXP(-Constantes!$D$23)))</f>
        <v>0.17095530719994284</v>
      </c>
      <c r="AF655" s="76">
        <f>AB655+O655*Escenarios!$F$13/Escenarios!$F$16+AE655</f>
        <v>0.1757698073443156</v>
      </c>
      <c r="AG655" s="76">
        <f>IF(Entradas!$F$91&gt;0,IF(AF655-Escenarios!$F$38&lt;=0,0,IF(AF655-Escenarios!$F$38&gt;Escenarios!$F$37,Escenarios!$F$37,AF655-Escenarios!$F$38)),0)</f>
        <v>0</v>
      </c>
      <c r="AH655" s="76">
        <f>AG655*Entradas!$F$99</f>
        <v>0</v>
      </c>
      <c r="AI655" s="76">
        <f>IF(Entradas!$F$91&gt;0,D655*Entradas!$D$23/Escenarios!$F$16,0)</f>
        <v>0.20577827018293551</v>
      </c>
      <c r="AJ655" s="76">
        <f>IF(Entradas!$F$91&gt;0,Entradas!$D$24*Entradas!$D$22/Escenarios!$F$16,0)</f>
        <v>0.12</v>
      </c>
      <c r="AK655" s="76">
        <f t="shared" si="142"/>
        <v>0.93023242487204549</v>
      </c>
      <c r="AL655" s="76">
        <f t="shared" si="143"/>
        <v>0</v>
      </c>
      <c r="AM655" s="76">
        <f t="shared" si="144"/>
        <v>0</v>
      </c>
      <c r="AN655" s="76">
        <f>MAX(0,O655*Escenarios!$F$13/Escenarios!$F$16-AM655)</f>
        <v>4.8145001443727665E-3</v>
      </c>
      <c r="AO655" s="76">
        <f>AM655+AN655-O655*Escenarios!$F$13/Escenarios!$F$16</f>
        <v>0</v>
      </c>
      <c r="AP655" s="76">
        <f t="shared" si="145"/>
        <v>0.17095530719994284</v>
      </c>
      <c r="AQ655" s="76">
        <f t="shared" si="146"/>
        <v>0</v>
      </c>
      <c r="AR655" s="76">
        <f t="shared" si="147"/>
        <v>0.1757698073443156</v>
      </c>
      <c r="AS655" s="76">
        <f t="shared" si="148"/>
        <v>0</v>
      </c>
      <c r="AT655" s="76">
        <f t="shared" si="149"/>
        <v>0</v>
      </c>
      <c r="AU655" s="76">
        <f t="shared" si="150"/>
        <v>49.464585608901821</v>
      </c>
      <c r="AV655" s="76">
        <f>MAX(0,(AU655-Constantes!$D$13)*(1-EXP(-Constantes!$D$24)))</f>
        <v>1.0922617581564235E-2</v>
      </c>
      <c r="AW655" s="170">
        <f>AW654+(Entradas!$F$112*AT655-AX654)/(800*Entradas!$D$25)</f>
        <v>0</v>
      </c>
      <c r="AX655" s="170">
        <f>8000*Entradas!$D$26*AW655/Constantes!$F$45</f>
        <v>0</v>
      </c>
      <c r="AY655" s="170">
        <f>IF(Escenarios!$F$17&gt;0,10*Escenarios!$F$16*AL655,0)</f>
        <v>0</v>
      </c>
      <c r="AZ655" s="170">
        <f>IF(Escenarios!$F$17&gt;0,10*Escenarios!$F$16*AX655,0)</f>
        <v>0</v>
      </c>
      <c r="BA655" s="170">
        <f>IF(Escenarios!$F$17&gt;0,0.001*Observaciones!$F654*Escenarios!$F$17,0)</f>
        <v>0</v>
      </c>
      <c r="BB655" s="170">
        <f>IF(Escenarios!$F$17&gt;0,Observaciones!$K654,0)</f>
        <v>0</v>
      </c>
      <c r="BC655" s="170">
        <f>IF(Escenarios!$F$17&gt;0,MIN(0.0005*ETo!$M654*Escenarios!$F$17*(BG654/Constantes!$F$40)^(2/3),BG654+AY655+AZ655+BA655+BB655),0)</f>
        <v>0</v>
      </c>
      <c r="BD655" s="170">
        <f>IF(Escenarios!$F$17&gt;0,MIN(Constantes!$F$39*(BG654/Constantes!$F$40)^(2/3),BG654+AY655+AZ655+BA655+BB655-BC655),0)</f>
        <v>0</v>
      </c>
      <c r="BE655" s="170">
        <f>IF(Escenarios!$F$17&gt;0,MIN(Entradas!$F$113,BG654+AY655+AZ655+BA655+BB655-BC655-BD655),0)</f>
        <v>0</v>
      </c>
      <c r="BF655" s="170">
        <f>IF(Escenarios!$F$17&gt;0,MAX(0,BG654+AY655+AZ655+BA655+BB655-BC655-BD655-BE655-Constantes!$F$40),0)</f>
        <v>0</v>
      </c>
      <c r="BG655" s="170">
        <f t="shared" si="151"/>
        <v>0</v>
      </c>
      <c r="BH655" s="170">
        <f>(Escenarios!$F$16*AK655+0.1*BC655)/(Escenarios!$F$19)</f>
        <v>0.93023242487204549</v>
      </c>
      <c r="BI655" s="170">
        <f>IF(Escenarios!$F$17&gt;0,BF655/10/Escenarios!$F$19,AL655)</f>
        <v>0</v>
      </c>
      <c r="BJ655" s="170">
        <f>(Escenarios!$F$16*AT655+0.1*BD655)/(Escenarios!$F$19)</f>
        <v>0</v>
      </c>
      <c r="BK655" s="76">
        <f>BK654+(0.1*BD655)/(Escenarios!$F$19)-BL654</f>
        <v>48.75</v>
      </c>
      <c r="BL655" s="76">
        <f>MAX(0,(BK655-Constantes!$D$13)*(1-EXP(-Constantes!$D$23)))</f>
        <v>0</v>
      </c>
      <c r="BM655" s="76">
        <f t="shared" si="152"/>
        <v>0.18187792478150708</v>
      </c>
      <c r="BN655" s="76">
        <f t="shared" si="153"/>
        <v>0.18669242492587984</v>
      </c>
      <c r="BO655" s="76">
        <f>0.0526*BI655*Observaciones!$F654^1.218</f>
        <v>0</v>
      </c>
      <c r="BP655" s="76">
        <f>BO655*Constantes!$F$51</f>
        <v>0</v>
      </c>
      <c r="BQ655" s="76">
        <f t="shared" si="154"/>
        <v>0</v>
      </c>
      <c r="BR655" s="40"/>
    </row>
    <row r="656" spans="2:70">
      <c r="B656" s="39"/>
      <c r="C656" s="75">
        <v>650</v>
      </c>
      <c r="D656" s="146">
        <f>ETo!$I655*((1-Constantes!$F$19)*ETo!$K655+ETo!$L655)</f>
        <v>4.3274830265656758</v>
      </c>
      <c r="E656" s="76">
        <f>MIN(D656*Constantes!$F$17,0.8*(N655+Observaciones!$F655-F656-M656-Constantes!$D$14))</f>
        <v>2.4680144509039836</v>
      </c>
      <c r="F656" s="76">
        <f>IF(Observaciones!$F655&gt;0.05*Constantes!$F$18,((Observaciones!$F655-0.05*Constantes!$F$18)^2)/(Observaciones!$F655+0.95*Constantes!$F$18),0)</f>
        <v>0</v>
      </c>
      <c r="G656" s="76">
        <f>IF(Escenarios!$F$11&gt;0,(F656*Escenarios!$F$16*10000)/1000,0)</f>
        <v>0</v>
      </c>
      <c r="H656" s="76">
        <f>IF(Escenarios!$F$11&gt;0,(Observaciones!$F655*Constantes!$F$29)/1000,0)</f>
        <v>0</v>
      </c>
      <c r="I656" s="76">
        <f>IF(Escenarios!$F$11&gt;0,(D656*Constantes!$F$29)/1000,0)</f>
        <v>0</v>
      </c>
      <c r="J656" s="76">
        <f>IF(Escenarios!$F$11&gt;0,MAX(0,G656+H656-I656),0)</f>
        <v>0</v>
      </c>
      <c r="K656" s="76">
        <f>IF(Escenarios!$F$11&gt;0,IF(J656&gt;Constantes!$F$30,1000*((J656-Constantes!$F$30)/(Escenarios!$F$16*10000)),0),F656)</f>
        <v>0</v>
      </c>
      <c r="L656" s="76">
        <f>IF(Escenarios!$F$11&gt;0,I656*1000/Escenarios!$F$16/10000+E656,E656)</f>
        <v>2.4680144509039836</v>
      </c>
      <c r="M656" s="76">
        <f>MAX(0,N655+Observaciones!$F655-K656-Constantes!$D$13)</f>
        <v>0</v>
      </c>
      <c r="N656" s="76">
        <f>N655+Observaciones!$F655-K656-L656-M656-O655</f>
        <v>15.237126190146073</v>
      </c>
      <c r="O656" s="76">
        <f>MAX(0,(N656-Constantes!$D$14)*(1-EXP(-Constantes!$D$22)))</f>
        <v>0.13581615507626935</v>
      </c>
      <c r="P656" s="170">
        <f>P655+(Entradas!$F$83*M656-Q655)/(800*Entradas!$D$25)</f>
        <v>0</v>
      </c>
      <c r="Q656" s="170">
        <f>8000*Entradas!$D$26*P656/Constantes!$F$45</f>
        <v>0</v>
      </c>
      <c r="R656" s="170">
        <f>IF(Escenarios!$F$14&gt;0,K656*Escenarios!$F$13/Escenarios!$F$14,0)</f>
        <v>0</v>
      </c>
      <c r="S656" s="170">
        <f>IF(Escenarios!$F$14&gt;0,Q656*Escenarios!$F$13/Escenarios!$F$14,0)</f>
        <v>0</v>
      </c>
      <c r="T656" s="170">
        <f>IF(Escenarios!$F$14&gt;0,Observaciones!$I655,0)</f>
        <v>0</v>
      </c>
      <c r="U656" s="170">
        <f>IF(Escenarios!$F$14&gt;0,MAX(0,Constantes!$F$36/((Z655+R656+S656+T656+Observaciones!$F655)^2)+Entradas!$F$77),0)</f>
        <v>0</v>
      </c>
      <c r="V656" s="146">
        <f>IF(ETo!D655&gt;0,ETo!I655*((1-Entradas!$F$81)*ETo!K655+ETo!L655),0)</f>
        <v>3.8416205742816962</v>
      </c>
      <c r="W656" s="170">
        <f>IF(Escenarios!$F$14&gt;0,MIN(V656*1,0.8*(Z655+R656+S656+T656+Observaciones!$F655-U656-Constantes!$F$35)),0)</f>
        <v>3.8416205742816962</v>
      </c>
      <c r="X656" s="170">
        <f>IF(Escenarios!$F$14&gt;0,Observaciones!$J655,0)</f>
        <v>0</v>
      </c>
      <c r="Y656" s="170">
        <f>IF(Escenarios!$F$14&gt;0,MAX(0,Z655+R656+S656+T656+Observaciones!$F655-U656-W656-X656-Constantes!$F$33),0)</f>
        <v>0</v>
      </c>
      <c r="Z656" s="170">
        <f>Z655+R656+S656+T656+Observaciones!$F655-U656-W656-Y656</f>
        <v>43.888379425726974</v>
      </c>
      <c r="AA656" s="170">
        <f>IF(Escenarios!$F$14&gt;0,(Escenarios!$F$13*L656+Escenarios!$F$14*W656)/(Escenarios!$F$16),L656)</f>
        <v>2.6328471857093092</v>
      </c>
      <c r="AB656" s="170">
        <f>IF(Escenarios!$F$14&gt;0,(Escenarios!$F$14*Y656)/(Escenarios!$F$16),K656)</f>
        <v>0</v>
      </c>
      <c r="AC656" s="170">
        <f>IF(Escenarios!$F$14&gt;0,(Escenarios!$F$13*M656+Escenarios!$F$14*U656)/(Escenarios!$F$16),M656)</f>
        <v>0</v>
      </c>
      <c r="AD656" s="76">
        <f t="shared" si="141"/>
        <v>65.929209588022402</v>
      </c>
      <c r="AE656" s="76">
        <f>MAX(0,(AD656-Constantes!$D$13)*(1-EXP(-Constantes!$D$23)))</f>
        <v>0.16927084383971996</v>
      </c>
      <c r="AF656" s="76">
        <f>AB656+O656*Escenarios!$F$13/Escenarios!$F$16+AE656</f>
        <v>0.28878906030683699</v>
      </c>
      <c r="AG656" s="76">
        <f>IF(Entradas!$F$91&gt;0,IF(AF656-Escenarios!$F$38&lt;=0,0,IF(AF656-Escenarios!$F$38&gt;Escenarios!$F$37,Escenarios!$F$37,AF656-Escenarios!$F$38)),0)</f>
        <v>0</v>
      </c>
      <c r="AH656" s="76">
        <f>AG656*Entradas!$F$99</f>
        <v>0</v>
      </c>
      <c r="AI656" s="76">
        <f>IF(Entradas!$F$91&gt;0,D656*Entradas!$D$23/Escenarios!$F$16,0)</f>
        <v>0.20771918527515243</v>
      </c>
      <c r="AJ656" s="76">
        <f>IF(Entradas!$F$91&gt;0,Entradas!$D$24*Entradas!$D$22/Escenarios!$F$16,0)</f>
        <v>0.12</v>
      </c>
      <c r="AK656" s="76">
        <f t="shared" si="142"/>
        <v>2.8405663709844617</v>
      </c>
      <c r="AL656" s="76">
        <f t="shared" si="143"/>
        <v>0</v>
      </c>
      <c r="AM656" s="76">
        <f t="shared" si="144"/>
        <v>0</v>
      </c>
      <c r="AN656" s="76">
        <f>MAX(0,O656*Escenarios!$F$13/Escenarios!$F$16-AM656)</f>
        <v>0.11951821646711702</v>
      </c>
      <c r="AO656" s="76">
        <f>AM656+AN656-O656*Escenarios!$F$13/Escenarios!$F$16</f>
        <v>0</v>
      </c>
      <c r="AP656" s="76">
        <f t="shared" si="145"/>
        <v>0.16927084383971996</v>
      </c>
      <c r="AQ656" s="76">
        <f t="shared" si="146"/>
        <v>0</v>
      </c>
      <c r="AR656" s="76">
        <f t="shared" si="147"/>
        <v>0.28878906030683699</v>
      </c>
      <c r="AS656" s="76">
        <f t="shared" si="148"/>
        <v>0</v>
      </c>
      <c r="AT656" s="76">
        <f t="shared" si="149"/>
        <v>0</v>
      </c>
      <c r="AU656" s="76">
        <f t="shared" si="150"/>
        <v>49.453662991320257</v>
      </c>
      <c r="AV656" s="76">
        <f>MAX(0,(AU656-Constantes!$D$13)*(1-EXP(-Constantes!$D$24)))</f>
        <v>1.0755662673227312E-2</v>
      </c>
      <c r="AW656" s="170">
        <f>AW655+(Entradas!$F$112*AT656-AX655)/(800*Entradas!$D$25)</f>
        <v>0</v>
      </c>
      <c r="AX656" s="170">
        <f>8000*Entradas!$D$26*AW656/Constantes!$F$45</f>
        <v>0</v>
      </c>
      <c r="AY656" s="170">
        <f>IF(Escenarios!$F$17&gt;0,10*Escenarios!$F$16*AL656,0)</f>
        <v>0</v>
      </c>
      <c r="AZ656" s="170">
        <f>IF(Escenarios!$F$17&gt;0,10*Escenarios!$F$16*AX656,0)</f>
        <v>0</v>
      </c>
      <c r="BA656" s="170">
        <f>IF(Escenarios!$F$17&gt;0,0.001*Observaciones!$F655*Escenarios!$F$17,0)</f>
        <v>0</v>
      </c>
      <c r="BB656" s="170">
        <f>IF(Escenarios!$F$17&gt;0,Observaciones!$K655,0)</f>
        <v>0</v>
      </c>
      <c r="BC656" s="170">
        <f>IF(Escenarios!$F$17&gt;0,MIN(0.0005*ETo!$M655*Escenarios!$F$17*(BG655/Constantes!$F$40)^(2/3),BG655+AY656+AZ656+BA656+BB656),0)</f>
        <v>0</v>
      </c>
      <c r="BD656" s="170">
        <f>IF(Escenarios!$F$17&gt;0,MIN(Constantes!$F$39*(BG655/Constantes!$F$40)^(2/3),BG655+AY656+AZ656+BA656+BB656-BC656),0)</f>
        <v>0</v>
      </c>
      <c r="BE656" s="170">
        <f>IF(Escenarios!$F$17&gt;0,MIN(Entradas!$F$113,BG655+AY656+AZ656+BA656+BB656-BC656-BD656),0)</f>
        <v>0</v>
      </c>
      <c r="BF656" s="170">
        <f>IF(Escenarios!$F$17&gt;0,MAX(0,BG655+AY656+AZ656+BA656+BB656-BC656-BD656-BE656-Constantes!$F$40),0)</f>
        <v>0</v>
      </c>
      <c r="BG656" s="170">
        <f t="shared" si="151"/>
        <v>0</v>
      </c>
      <c r="BH656" s="170">
        <f>(Escenarios!$F$16*AK656+0.1*BC656)/(Escenarios!$F$19)</f>
        <v>2.8405663709844617</v>
      </c>
      <c r="BI656" s="170">
        <f>IF(Escenarios!$F$17&gt;0,BF656/10/Escenarios!$F$19,AL656)</f>
        <v>0</v>
      </c>
      <c r="BJ656" s="170">
        <f>(Escenarios!$F$16*AT656+0.1*BD656)/(Escenarios!$F$19)</f>
        <v>0</v>
      </c>
      <c r="BK656" s="76">
        <f>BK655+(0.1*BD656)/(Escenarios!$F$19)-BL655</f>
        <v>48.75</v>
      </c>
      <c r="BL656" s="76">
        <f>MAX(0,(BK656-Constantes!$D$13)*(1-EXP(-Constantes!$D$23)))</f>
        <v>0</v>
      </c>
      <c r="BM656" s="76">
        <f t="shared" si="152"/>
        <v>0.18002650651294727</v>
      </c>
      <c r="BN656" s="76">
        <f t="shared" si="153"/>
        <v>0.29954472298006429</v>
      </c>
      <c r="BO656" s="76">
        <f>0.0526*BI656*Observaciones!$F655^1.218</f>
        <v>0</v>
      </c>
      <c r="BP656" s="76">
        <f>BO656*Constantes!$F$51</f>
        <v>0</v>
      </c>
      <c r="BQ656" s="76">
        <f t="shared" si="154"/>
        <v>0</v>
      </c>
      <c r="BR656" s="40"/>
    </row>
    <row r="657" spans="2:70">
      <c r="B657" s="39"/>
      <c r="C657" s="75">
        <v>651</v>
      </c>
      <c r="D657" s="146">
        <f>ETo!$I656*((1-Constantes!$F$19)*ETo!$K656+ETo!$L656)</f>
        <v>4.1242803562899715</v>
      </c>
      <c r="E657" s="76">
        <f>MIN(D657*Constantes!$F$17,0.8*(N656+Observaciones!$F656-F657-M657-Constantes!$D$14))</f>
        <v>2.3521255788681956</v>
      </c>
      <c r="F657" s="76">
        <f>IF(Observaciones!$F656&gt;0.05*Constantes!$F$18,((Observaciones!$F656-0.05*Constantes!$F$18)^2)/(Observaciones!$F656+0.95*Constantes!$F$18),0)</f>
        <v>0</v>
      </c>
      <c r="G657" s="76">
        <f>IF(Escenarios!$F$11&gt;0,(F657*Escenarios!$F$16*10000)/1000,0)</f>
        <v>0</v>
      </c>
      <c r="H657" s="76">
        <f>IF(Escenarios!$F$11&gt;0,(Observaciones!$F656*Constantes!$F$29)/1000,0)</f>
        <v>0</v>
      </c>
      <c r="I657" s="76">
        <f>IF(Escenarios!$F$11&gt;0,(D657*Constantes!$F$29)/1000,0)</f>
        <v>0</v>
      </c>
      <c r="J657" s="76">
        <f>IF(Escenarios!$F$11&gt;0,MAX(0,G657+H657-I657),0)</f>
        <v>0</v>
      </c>
      <c r="K657" s="76">
        <f>IF(Escenarios!$F$11&gt;0,IF(J657&gt;Constantes!$F$30,1000*((J657-Constantes!$F$30)/(Escenarios!$F$16*10000)),0),F657)</f>
        <v>0</v>
      </c>
      <c r="L657" s="76">
        <f>IF(Escenarios!$F$11&gt;0,I657*1000/Escenarios!$F$16/10000+E657,E657)</f>
        <v>2.3521255788681956</v>
      </c>
      <c r="M657" s="76">
        <f>MAX(0,N656+Observaciones!$F656-K657-Constantes!$D$13)</f>
        <v>0</v>
      </c>
      <c r="N657" s="76">
        <f>N656+Observaciones!$F656-K657-L657-M657-O656</f>
        <v>16.049184456201605</v>
      </c>
      <c r="O657" s="76">
        <f>MAX(0,(N657-Constantes!$D$14)*(1-EXP(-Constantes!$D$22)))</f>
        <v>0.16347784074504521</v>
      </c>
      <c r="P657" s="170">
        <f>P656+(Entradas!$F$83*M657-Q656)/(800*Entradas!$D$25)</f>
        <v>0</v>
      </c>
      <c r="Q657" s="170">
        <f>8000*Entradas!$D$26*P657/Constantes!$F$45</f>
        <v>0</v>
      </c>
      <c r="R657" s="170">
        <f>IF(Escenarios!$F$14&gt;0,K657*Escenarios!$F$13/Escenarios!$F$14,0)</f>
        <v>0</v>
      </c>
      <c r="S657" s="170">
        <f>IF(Escenarios!$F$14&gt;0,Q657*Escenarios!$F$13/Escenarios!$F$14,0)</f>
        <v>0</v>
      </c>
      <c r="T657" s="170">
        <f>IF(Escenarios!$F$14&gt;0,Observaciones!$I656,0)</f>
        <v>0</v>
      </c>
      <c r="U657" s="170">
        <f>IF(Escenarios!$F$14&gt;0,MAX(0,Constantes!$F$36/((Z656+R657+S657+T657+Observaciones!$F656)^2)+Entradas!$F$77),0)</f>
        <v>0</v>
      </c>
      <c r="V657" s="146">
        <f>IF(ETo!D656&gt;0,ETo!I656*((1-Entradas!$F$81)*ETo!K656+ETo!L656),0)</f>
        <v>3.6590793804944011</v>
      </c>
      <c r="W657" s="170">
        <f>IF(Escenarios!$F$14&gt;0,MIN(V657*1,0.8*(Z656+R657+S657+T657+Observaciones!$F656-U657-Constantes!$F$35)),0)</f>
        <v>3.6590793804944011</v>
      </c>
      <c r="X657" s="170">
        <f>IF(Escenarios!$F$14&gt;0,Observaciones!$J656,0)</f>
        <v>0</v>
      </c>
      <c r="Y657" s="170">
        <f>IF(Escenarios!$F$14&gt;0,MAX(0,Z656+R657+S657+T657+Observaciones!$F656-U657-W657-X657-Constantes!$F$33),0)</f>
        <v>0</v>
      </c>
      <c r="Z657" s="170">
        <f>Z656+R657+S657+T657+Observaciones!$F656-U657-W657-Y657</f>
        <v>43.529300045232567</v>
      </c>
      <c r="AA657" s="170">
        <f>IF(Escenarios!$F$14&gt;0,(Escenarios!$F$13*L657+Escenarios!$F$14*W657)/(Escenarios!$F$16),L657)</f>
        <v>2.5089600350633399</v>
      </c>
      <c r="AB657" s="170">
        <f>IF(Escenarios!$F$14&gt;0,(Escenarios!$F$14*Y657)/(Escenarios!$F$16),K657)</f>
        <v>0</v>
      </c>
      <c r="AC657" s="170">
        <f>IF(Escenarios!$F$14&gt;0,(Escenarios!$F$13*M657+Escenarios!$F$14*U657)/(Escenarios!$F$16),M657)</f>
        <v>0</v>
      </c>
      <c r="AD657" s="76">
        <f t="shared" si="141"/>
        <v>65.759938744182676</v>
      </c>
      <c r="AE657" s="76">
        <f>MAX(0,(AD657-Constantes!$D$13)*(1-EXP(-Constantes!$D$23)))</f>
        <v>0.16760297789819323</v>
      </c>
      <c r="AF657" s="76">
        <f>AB657+O657*Escenarios!$F$13/Escenarios!$F$16+AE657</f>
        <v>0.31146347775383298</v>
      </c>
      <c r="AG657" s="76">
        <f>IF(Entradas!$F$91&gt;0,IF(AF657-Escenarios!$F$38&lt;=0,0,IF(AF657-Escenarios!$F$38&gt;Escenarios!$F$37,Escenarios!$F$37,AF657-Escenarios!$F$38)),0)</f>
        <v>0</v>
      </c>
      <c r="AH657" s="76">
        <f>AG657*Entradas!$F$99</f>
        <v>0</v>
      </c>
      <c r="AI657" s="76">
        <f>IF(Entradas!$F$91&gt;0,D657*Entradas!$D$23/Escenarios!$F$16,0)</f>
        <v>0.19796545710191862</v>
      </c>
      <c r="AJ657" s="76">
        <f>IF(Entradas!$F$91&gt;0,Entradas!$D$24*Entradas!$D$22/Escenarios!$F$16,0)</f>
        <v>0.12</v>
      </c>
      <c r="AK657" s="76">
        <f t="shared" si="142"/>
        <v>2.7069254921652584</v>
      </c>
      <c r="AL657" s="76">
        <f t="shared" si="143"/>
        <v>0</v>
      </c>
      <c r="AM657" s="76">
        <f t="shared" si="144"/>
        <v>0</v>
      </c>
      <c r="AN657" s="76">
        <f>MAX(0,O657*Escenarios!$F$13/Escenarios!$F$16-AM657)</f>
        <v>0.14386049985563978</v>
      </c>
      <c r="AO657" s="76">
        <f>AM657+AN657-O657*Escenarios!$F$13/Escenarios!$F$16</f>
        <v>0</v>
      </c>
      <c r="AP657" s="76">
        <f t="shared" si="145"/>
        <v>0.16760297789819323</v>
      </c>
      <c r="AQ657" s="76">
        <f t="shared" si="146"/>
        <v>0</v>
      </c>
      <c r="AR657" s="76">
        <f t="shared" si="147"/>
        <v>0.31146347775383298</v>
      </c>
      <c r="AS657" s="76">
        <f t="shared" si="148"/>
        <v>0</v>
      </c>
      <c r="AT657" s="76">
        <f t="shared" si="149"/>
        <v>0</v>
      </c>
      <c r="AU657" s="76">
        <f t="shared" si="150"/>
        <v>49.442907328647031</v>
      </c>
      <c r="AV657" s="76">
        <f>MAX(0,(AU657-Constantes!$D$13)*(1-EXP(-Constantes!$D$24)))</f>
        <v>1.0591259711913133E-2</v>
      </c>
      <c r="AW657" s="170">
        <f>AW656+(Entradas!$F$112*AT657-AX656)/(800*Entradas!$D$25)</f>
        <v>0</v>
      </c>
      <c r="AX657" s="170">
        <f>8000*Entradas!$D$26*AW657/Constantes!$F$45</f>
        <v>0</v>
      </c>
      <c r="AY657" s="170">
        <f>IF(Escenarios!$F$17&gt;0,10*Escenarios!$F$16*AL657,0)</f>
        <v>0</v>
      </c>
      <c r="AZ657" s="170">
        <f>IF(Escenarios!$F$17&gt;0,10*Escenarios!$F$16*AX657,0)</f>
        <v>0</v>
      </c>
      <c r="BA657" s="170">
        <f>IF(Escenarios!$F$17&gt;0,0.001*Observaciones!$F656*Escenarios!$F$17,0)</f>
        <v>0</v>
      </c>
      <c r="BB657" s="170">
        <f>IF(Escenarios!$F$17&gt;0,Observaciones!$K656,0)</f>
        <v>0</v>
      </c>
      <c r="BC657" s="170">
        <f>IF(Escenarios!$F$17&gt;0,MIN(0.0005*ETo!$M656*Escenarios!$F$17*(BG656/Constantes!$F$40)^(2/3),BG656+AY657+AZ657+BA657+BB657),0)</f>
        <v>0</v>
      </c>
      <c r="BD657" s="170">
        <f>IF(Escenarios!$F$17&gt;0,MIN(Constantes!$F$39*(BG656/Constantes!$F$40)^(2/3),BG656+AY657+AZ657+BA657+BB657-BC657),0)</f>
        <v>0</v>
      </c>
      <c r="BE657" s="170">
        <f>IF(Escenarios!$F$17&gt;0,MIN(Entradas!$F$113,BG656+AY657+AZ657+BA657+BB657-BC657-BD657),0)</f>
        <v>0</v>
      </c>
      <c r="BF657" s="170">
        <f>IF(Escenarios!$F$17&gt;0,MAX(0,BG656+AY657+AZ657+BA657+BB657-BC657-BD657-BE657-Constantes!$F$40),0)</f>
        <v>0</v>
      </c>
      <c r="BG657" s="170">
        <f t="shared" si="151"/>
        <v>0</v>
      </c>
      <c r="BH657" s="170">
        <f>(Escenarios!$F$16*AK657+0.1*BC657)/(Escenarios!$F$19)</f>
        <v>2.7069254921652584</v>
      </c>
      <c r="BI657" s="170">
        <f>IF(Escenarios!$F$17&gt;0,BF657/10/Escenarios!$F$19,AL657)</f>
        <v>0</v>
      </c>
      <c r="BJ657" s="170">
        <f>(Escenarios!$F$16*AT657+0.1*BD657)/(Escenarios!$F$19)</f>
        <v>0</v>
      </c>
      <c r="BK657" s="76">
        <f>BK656+(0.1*BD657)/(Escenarios!$F$19)-BL656</f>
        <v>48.75</v>
      </c>
      <c r="BL657" s="76">
        <f>MAX(0,(BK657-Constantes!$D$13)*(1-EXP(-Constantes!$D$23)))</f>
        <v>0</v>
      </c>
      <c r="BM657" s="76">
        <f t="shared" si="152"/>
        <v>0.17819423761010636</v>
      </c>
      <c r="BN657" s="76">
        <f t="shared" si="153"/>
        <v>0.32205473746574614</v>
      </c>
      <c r="BO657" s="76">
        <f>0.0526*BI657*Observaciones!$F656^1.218</f>
        <v>0</v>
      </c>
      <c r="BP657" s="76">
        <f>BO657*Constantes!$F$51</f>
        <v>0</v>
      </c>
      <c r="BQ657" s="76">
        <f t="shared" si="154"/>
        <v>0</v>
      </c>
      <c r="BR657" s="40"/>
    </row>
    <row r="658" spans="2:70">
      <c r="B658" s="39"/>
      <c r="C658" s="75">
        <v>652</v>
      </c>
      <c r="D658" s="146">
        <f>ETo!$I657*((1-Constantes!$F$19)*ETo!$K657+ETo!$L657)</f>
        <v>4.2859874394727795</v>
      </c>
      <c r="E658" s="76">
        <f>MIN(D658*Constantes!$F$17,0.8*(N657+Observaciones!$F657-F658-M658-Constantes!$D$14))</f>
        <v>2.4443490296960149</v>
      </c>
      <c r="F658" s="76">
        <f>IF(Observaciones!$F657&gt;0.05*Constantes!$F$18,((Observaciones!$F657-0.05*Constantes!$F$18)^2)/(Observaciones!$F657+0.95*Constantes!$F$18),0)</f>
        <v>0.35627108569046401</v>
      </c>
      <c r="G658" s="76">
        <f>IF(Escenarios!$F$11&gt;0,(F658*Escenarios!$F$16*10000)/1000,0)</f>
        <v>0</v>
      </c>
      <c r="H658" s="76">
        <f>IF(Escenarios!$F$11&gt;0,(Observaciones!$F657*Constantes!$F$29)/1000,0)</f>
        <v>0</v>
      </c>
      <c r="I658" s="76">
        <f>IF(Escenarios!$F$11&gt;0,(D658*Constantes!$F$29)/1000,0)</f>
        <v>0</v>
      </c>
      <c r="J658" s="76">
        <f>IF(Escenarios!$F$11&gt;0,MAX(0,G658+H658-I658),0)</f>
        <v>0</v>
      </c>
      <c r="K658" s="76">
        <f>IF(Escenarios!$F$11&gt;0,IF(J658&gt;Constantes!$F$30,1000*((J658-Constantes!$F$30)/(Escenarios!$F$16*10000)),0),F658)</f>
        <v>0.35627108569046401</v>
      </c>
      <c r="L658" s="76">
        <f>IF(Escenarios!$F$11&gt;0,I658*1000/Escenarios!$F$16/10000+E658,E658)</f>
        <v>2.4443490296960149</v>
      </c>
      <c r="M658" s="76">
        <f>MAX(0,N657+Observaciones!$F657-K658-Constantes!$D$13)</f>
        <v>0</v>
      </c>
      <c r="N658" s="76">
        <f>N657+Observaciones!$F657-K658-L658-M658-O657</f>
        <v>33.085086500070076</v>
      </c>
      <c r="O658" s="76">
        <f>MAX(0,(N658-Constantes!$D$14)*(1-EXP(-Constantes!$D$22)))</f>
        <v>0.74378320443593138</v>
      </c>
      <c r="P658" s="170">
        <f>P657+(Entradas!$F$83*M658-Q657)/(800*Entradas!$D$25)</f>
        <v>0</v>
      </c>
      <c r="Q658" s="170">
        <f>8000*Entradas!$D$26*P658/Constantes!$F$45</f>
        <v>0</v>
      </c>
      <c r="R658" s="170">
        <f>IF(Escenarios!$F$14&gt;0,K658*Escenarios!$F$13/Escenarios!$F$14,0)</f>
        <v>2.612654628396736</v>
      </c>
      <c r="S658" s="170">
        <f>IF(Escenarios!$F$14&gt;0,Q658*Escenarios!$F$13/Escenarios!$F$14,0)</f>
        <v>0</v>
      </c>
      <c r="T658" s="170">
        <f>IF(Escenarios!$F$14&gt;0,Observaciones!$I657,0)</f>
        <v>0</v>
      </c>
      <c r="U658" s="170">
        <f>IF(Escenarios!$F$14&gt;0,MAX(0,Constantes!$F$36/((Z657+R658+S658+T658+Observaciones!$F657)^2)+Entradas!$F$77),0)</f>
        <v>0.6531845634384017</v>
      </c>
      <c r="V658" s="146">
        <f>IF(ETo!D657&gt;0,ETo!I657*((1-Entradas!$F$81)*ETo!K657+ETo!L657),0)</f>
        <v>3.8044966079099463</v>
      </c>
      <c r="W658" s="170">
        <f>IF(Escenarios!$F$14&gt;0,MIN(V658*1,0.8*(Z657+R658+S658+T658+Observaciones!$F657-U658-Constantes!$F$35)),0)</f>
        <v>3.8044966079099463</v>
      </c>
      <c r="X658" s="170">
        <f>IF(Escenarios!$F$14&gt;0,Observaciones!$J657,0)</f>
        <v>0</v>
      </c>
      <c r="Y658" s="170">
        <f>IF(Escenarios!$F$14&gt;0,MAX(0,Z657+R658+S658+T658+Observaciones!$F657-U658-W658-X658-Constantes!$F$33),0)</f>
        <v>0</v>
      </c>
      <c r="Z658" s="170">
        <f>Z657+R658+S658+T658+Observaciones!$F657-U658-W658-Y658</f>
        <v>61.684273502280952</v>
      </c>
      <c r="AA658" s="170">
        <f>IF(Escenarios!$F$14&gt;0,(Escenarios!$F$13*L658+Escenarios!$F$14*W658)/(Escenarios!$F$16),L658)</f>
        <v>2.6075667390816872</v>
      </c>
      <c r="AB658" s="170">
        <f>IF(Escenarios!$F$14&gt;0,(Escenarios!$F$14*Y658)/(Escenarios!$F$16),K658)</f>
        <v>0</v>
      </c>
      <c r="AC658" s="170">
        <f>IF(Escenarios!$F$14&gt;0,(Escenarios!$F$13*M658+Escenarios!$F$14*U658)/(Escenarios!$F$16),M658)</f>
        <v>7.8382147612608213E-2</v>
      </c>
      <c r="AD658" s="76">
        <f t="shared" si="141"/>
        <v>65.670717913897093</v>
      </c>
      <c r="AE658" s="76">
        <f>MAX(0,(AD658-Constantes!$D$13)*(1-EXP(-Constantes!$D$23)))</f>
        <v>0.16672386380664325</v>
      </c>
      <c r="AF658" s="76">
        <f>AB658+O658*Escenarios!$F$13/Escenarios!$F$16+AE658</f>
        <v>0.82125308371026284</v>
      </c>
      <c r="AG658" s="76">
        <f>IF(Entradas!$F$91&gt;0,IF(AF658-Escenarios!$F$38&lt;=0,0,IF(AF658-Escenarios!$F$38&gt;Escenarios!$F$37,Escenarios!$F$37,AF658-Escenarios!$F$38)),0)</f>
        <v>0</v>
      </c>
      <c r="AH658" s="76">
        <f>AG658*Entradas!$F$99</f>
        <v>0</v>
      </c>
      <c r="AI658" s="76">
        <f>IF(Entradas!$F$91&gt;0,D658*Entradas!$D$23/Escenarios!$F$16,0)</f>
        <v>0.2057273970946934</v>
      </c>
      <c r="AJ658" s="76">
        <f>IF(Entradas!$F$91&gt;0,Entradas!$D$24*Entradas!$D$22/Escenarios!$F$16,0)</f>
        <v>0.12</v>
      </c>
      <c r="AK658" s="76">
        <f t="shared" si="142"/>
        <v>2.8132941361763808</v>
      </c>
      <c r="AL658" s="76">
        <f t="shared" si="143"/>
        <v>0</v>
      </c>
      <c r="AM658" s="76">
        <f t="shared" si="144"/>
        <v>0</v>
      </c>
      <c r="AN658" s="76">
        <f>MAX(0,O658*Escenarios!$F$13/Escenarios!$F$16-AM658)</f>
        <v>0.65452921990361956</v>
      </c>
      <c r="AO658" s="76">
        <f>AM658+AN658-O658*Escenarios!$F$13/Escenarios!$F$16</f>
        <v>0</v>
      </c>
      <c r="AP658" s="76">
        <f t="shared" si="145"/>
        <v>0.16672386380664325</v>
      </c>
      <c r="AQ658" s="76">
        <f t="shared" si="146"/>
        <v>0</v>
      </c>
      <c r="AR658" s="76">
        <f t="shared" si="147"/>
        <v>0.82125308371026284</v>
      </c>
      <c r="AS658" s="76">
        <f t="shared" si="148"/>
        <v>0</v>
      </c>
      <c r="AT658" s="76">
        <f t="shared" si="149"/>
        <v>7.8382147612608213E-2</v>
      </c>
      <c r="AU658" s="76">
        <f t="shared" si="150"/>
        <v>49.432316068935116</v>
      </c>
      <c r="AV658" s="76">
        <f>MAX(0,(AU658-Constantes!$D$13)*(1-EXP(-Constantes!$D$24)))</f>
        <v>1.0429369690480897E-2</v>
      </c>
      <c r="AW658" s="170">
        <f>AW657+(Entradas!$F$112*AT658-AX657)/(800*Entradas!$D$25)</f>
        <v>0</v>
      </c>
      <c r="AX658" s="170">
        <f>8000*Entradas!$D$26*AW658/Constantes!$F$45</f>
        <v>0</v>
      </c>
      <c r="AY658" s="170">
        <f>IF(Escenarios!$F$17&gt;0,10*Escenarios!$F$16*AL658,0)</f>
        <v>0</v>
      </c>
      <c r="AZ658" s="170">
        <f>IF(Escenarios!$F$17&gt;0,10*Escenarios!$F$16*AX658,0)</f>
        <v>0</v>
      </c>
      <c r="BA658" s="170">
        <f>IF(Escenarios!$F$17&gt;0,0.001*Observaciones!$F657*Escenarios!$F$17,0)</f>
        <v>0</v>
      </c>
      <c r="BB658" s="170">
        <f>IF(Escenarios!$F$17&gt;0,Observaciones!$K657,0)</f>
        <v>0</v>
      </c>
      <c r="BC658" s="170">
        <f>IF(Escenarios!$F$17&gt;0,MIN(0.0005*ETo!$M657*Escenarios!$F$17*(BG657/Constantes!$F$40)^(2/3),BG657+AY658+AZ658+BA658+BB658),0)</f>
        <v>0</v>
      </c>
      <c r="BD658" s="170">
        <f>IF(Escenarios!$F$17&gt;0,MIN(Constantes!$F$39*(BG657/Constantes!$F$40)^(2/3),BG657+AY658+AZ658+BA658+BB658-BC658),0)</f>
        <v>0</v>
      </c>
      <c r="BE658" s="170">
        <f>IF(Escenarios!$F$17&gt;0,MIN(Entradas!$F$113,BG657+AY658+AZ658+BA658+BB658-BC658-BD658),0)</f>
        <v>0</v>
      </c>
      <c r="BF658" s="170">
        <f>IF(Escenarios!$F$17&gt;0,MAX(0,BG657+AY658+AZ658+BA658+BB658-BC658-BD658-BE658-Constantes!$F$40),0)</f>
        <v>0</v>
      </c>
      <c r="BG658" s="170">
        <f t="shared" si="151"/>
        <v>0</v>
      </c>
      <c r="BH658" s="170">
        <f>(Escenarios!$F$16*AK658+0.1*BC658)/(Escenarios!$F$19)</f>
        <v>2.8132941361763808</v>
      </c>
      <c r="BI658" s="170">
        <f>IF(Escenarios!$F$17&gt;0,BF658/10/Escenarios!$F$19,AL658)</f>
        <v>0</v>
      </c>
      <c r="BJ658" s="170">
        <f>(Escenarios!$F$16*AT658+0.1*BD658)/(Escenarios!$F$19)</f>
        <v>7.8382147612608213E-2</v>
      </c>
      <c r="BK658" s="76">
        <f>BK657+(0.1*BD658)/(Escenarios!$F$19)-BL657</f>
        <v>48.75</v>
      </c>
      <c r="BL658" s="76">
        <f>MAX(0,(BK658-Constantes!$D$13)*(1-EXP(-Constantes!$D$23)))</f>
        <v>0</v>
      </c>
      <c r="BM658" s="76">
        <f t="shared" si="152"/>
        <v>0.17715323349712414</v>
      </c>
      <c r="BN658" s="76">
        <f t="shared" si="153"/>
        <v>0.83168245340074376</v>
      </c>
      <c r="BO658" s="76">
        <f>0.0526*BI658*Observaciones!$F657^1.218</f>
        <v>0</v>
      </c>
      <c r="BP658" s="76">
        <f>BO658*Constantes!$F$51</f>
        <v>0</v>
      </c>
      <c r="BQ658" s="76">
        <f t="shared" si="154"/>
        <v>0</v>
      </c>
      <c r="BR658" s="40"/>
    </row>
    <row r="659" spans="2:70">
      <c r="B659" s="39"/>
      <c r="C659" s="75">
        <v>653</v>
      </c>
      <c r="D659" s="146">
        <f>ETo!$I658*((1-Constantes!$F$19)*ETo!$K658+ETo!$L658)</f>
        <v>4.3709050629931188</v>
      </c>
      <c r="E659" s="76">
        <f>MIN(D659*Constantes!$F$17,0.8*(N658+Observaciones!$F658-F659-M659-Constantes!$D$14))</f>
        <v>2.4927785488178826</v>
      </c>
      <c r="F659" s="76">
        <f>IF(Observaciones!$F658&gt;0.05*Constantes!$F$18,((Observaciones!$F658-0.05*Constantes!$F$18)^2)/(Observaciones!$F658+0.95*Constantes!$F$18),0)</f>
        <v>0</v>
      </c>
      <c r="G659" s="76">
        <f>IF(Escenarios!$F$11&gt;0,(F659*Escenarios!$F$16*10000)/1000,0)</f>
        <v>0</v>
      </c>
      <c r="H659" s="76">
        <f>IF(Escenarios!$F$11&gt;0,(Observaciones!$F658*Constantes!$F$29)/1000,0)</f>
        <v>0</v>
      </c>
      <c r="I659" s="76">
        <f>IF(Escenarios!$F$11&gt;0,(D659*Constantes!$F$29)/1000,0)</f>
        <v>0</v>
      </c>
      <c r="J659" s="76">
        <f>IF(Escenarios!$F$11&gt;0,MAX(0,G659+H659-I659),0)</f>
        <v>0</v>
      </c>
      <c r="K659" s="76">
        <f>IF(Escenarios!$F$11&gt;0,IF(J659&gt;Constantes!$F$30,1000*((J659-Constantes!$F$30)/(Escenarios!$F$16*10000)),0),F659)</f>
        <v>0</v>
      </c>
      <c r="L659" s="76">
        <f>IF(Escenarios!$F$11&gt;0,I659*1000/Escenarios!$F$16/10000+E659,E659)</f>
        <v>2.4927785488178826</v>
      </c>
      <c r="M659" s="76">
        <f>MAX(0,N658+Observaciones!$F658-K659-Constantes!$D$13)</f>
        <v>0</v>
      </c>
      <c r="N659" s="76">
        <f>N658+Observaciones!$F658-K659-L659-M659-O658</f>
        <v>34.04852474681627</v>
      </c>
      <c r="O659" s="76">
        <f>MAX(0,(N659-Constantes!$D$14)*(1-EXP(-Constantes!$D$22)))</f>
        <v>0.77660144797431718</v>
      </c>
      <c r="P659" s="170">
        <f>P658+(Entradas!$F$83*M659-Q658)/(800*Entradas!$D$25)</f>
        <v>0</v>
      </c>
      <c r="Q659" s="170">
        <f>8000*Entradas!$D$26*P659/Constantes!$F$45</f>
        <v>0</v>
      </c>
      <c r="R659" s="170">
        <f>IF(Escenarios!$F$14&gt;0,K659*Escenarios!$F$13/Escenarios!$F$14,0)</f>
        <v>0</v>
      </c>
      <c r="S659" s="170">
        <f>IF(Escenarios!$F$14&gt;0,Q659*Escenarios!$F$13/Escenarios!$F$14,0)</f>
        <v>0</v>
      </c>
      <c r="T659" s="170">
        <f>IF(Escenarios!$F$14&gt;0,Observaciones!$I658,0)</f>
        <v>0</v>
      </c>
      <c r="U659" s="170">
        <f>IF(Escenarios!$F$14&gt;0,MAX(0,Constantes!$F$36/((Z658+R659+S659+T659+Observaciones!$F658)^2)+Entradas!$F$77),0)</f>
        <v>0.63479132013688577</v>
      </c>
      <c r="V659" s="146">
        <f>IF(ETo!D658&gt;0,ETo!I658*((1-Entradas!$F$81)*ETo!K658+ETo!L658),0)</f>
        <v>3.8811798179648758</v>
      </c>
      <c r="W659" s="170">
        <f>IF(Escenarios!$F$14&gt;0,MIN(V659*1,0.8*(Z658+R659+S659+T659+Observaciones!$F658-U659-Constantes!$F$35)),0)</f>
        <v>3.8811798179648758</v>
      </c>
      <c r="X659" s="170">
        <f>IF(Escenarios!$F$14&gt;0,Observaciones!$J658,0)</f>
        <v>0</v>
      </c>
      <c r="Y659" s="170">
        <f>IF(Escenarios!$F$14&gt;0,MAX(0,Z658+R659+S659+T659+Observaciones!$F658-U659-W659-X659-Constantes!$F$33),0)</f>
        <v>0</v>
      </c>
      <c r="Z659" s="170">
        <f>Z658+R659+S659+T659+Observaciones!$F658-U659-W659-Y659</f>
        <v>61.368302364179186</v>
      </c>
      <c r="AA659" s="170">
        <f>IF(Escenarios!$F$14&gt;0,(Escenarios!$F$13*L659+Escenarios!$F$14*W659)/(Escenarios!$F$16),L659)</f>
        <v>2.6593867011155221</v>
      </c>
      <c r="AB659" s="170">
        <f>IF(Escenarios!$F$14&gt;0,(Escenarios!$F$14*Y659)/(Escenarios!$F$16),K659)</f>
        <v>0</v>
      </c>
      <c r="AC659" s="170">
        <f>IF(Escenarios!$F$14&gt;0,(Escenarios!$F$13*M659+Escenarios!$F$14*U659)/(Escenarios!$F$16),M659)</f>
        <v>7.6174958416426297E-2</v>
      </c>
      <c r="AD659" s="76">
        <f t="shared" si="141"/>
        <v>65.580169008506886</v>
      </c>
      <c r="AE659" s="76">
        <f>MAX(0,(AD659-Constantes!$D$13)*(1-EXP(-Constantes!$D$23)))</f>
        <v>0.16583166387476456</v>
      </c>
      <c r="AF659" s="76">
        <f>AB659+O659*Escenarios!$F$13/Escenarios!$F$16+AE659</f>
        <v>0.84924093809216372</v>
      </c>
      <c r="AG659" s="76">
        <f>IF(Entradas!$F$91&gt;0,IF(AF659-Escenarios!$F$38&lt;=0,0,IF(AF659-Escenarios!$F$38&gt;Escenarios!$F$37,Escenarios!$F$37,AF659-Escenarios!$F$38)),0)</f>
        <v>0</v>
      </c>
      <c r="AH659" s="76">
        <f>AG659*Entradas!$F$99</f>
        <v>0</v>
      </c>
      <c r="AI659" s="76">
        <f>IF(Entradas!$F$91&gt;0,D659*Entradas!$D$23/Escenarios!$F$16,0)</f>
        <v>0.20980344302366971</v>
      </c>
      <c r="AJ659" s="76">
        <f>IF(Entradas!$F$91&gt;0,Entradas!$D$24*Entradas!$D$22/Escenarios!$F$16,0)</f>
        <v>0.12</v>
      </c>
      <c r="AK659" s="76">
        <f t="shared" si="142"/>
        <v>2.8691901441391918</v>
      </c>
      <c r="AL659" s="76">
        <f t="shared" si="143"/>
        <v>0</v>
      </c>
      <c r="AM659" s="76">
        <f t="shared" si="144"/>
        <v>0</v>
      </c>
      <c r="AN659" s="76">
        <f>MAX(0,O659*Escenarios!$F$13/Escenarios!$F$16-AM659)</f>
        <v>0.68340927421739917</v>
      </c>
      <c r="AO659" s="76">
        <f>AM659+AN659-O659*Escenarios!$F$13/Escenarios!$F$16</f>
        <v>0</v>
      </c>
      <c r="AP659" s="76">
        <f t="shared" si="145"/>
        <v>0.16583166387476456</v>
      </c>
      <c r="AQ659" s="76">
        <f t="shared" si="146"/>
        <v>0</v>
      </c>
      <c r="AR659" s="76">
        <f t="shared" si="147"/>
        <v>0.84924093809216372</v>
      </c>
      <c r="AS659" s="76">
        <f t="shared" si="148"/>
        <v>0</v>
      </c>
      <c r="AT659" s="76">
        <f t="shared" si="149"/>
        <v>7.6174958416426297E-2</v>
      </c>
      <c r="AU659" s="76">
        <f t="shared" si="150"/>
        <v>49.421886699244638</v>
      </c>
      <c r="AV659" s="76">
        <f>MAX(0,(AU659-Constantes!$D$13)*(1-EXP(-Constantes!$D$24)))</f>
        <v>1.0269954198023791E-2</v>
      </c>
      <c r="AW659" s="170">
        <f>AW658+(Entradas!$F$112*AT659-AX658)/(800*Entradas!$D$25)</f>
        <v>0</v>
      </c>
      <c r="AX659" s="170">
        <f>8000*Entradas!$D$26*AW659/Constantes!$F$45</f>
        <v>0</v>
      </c>
      <c r="AY659" s="170">
        <f>IF(Escenarios!$F$17&gt;0,10*Escenarios!$F$16*AL659,0)</f>
        <v>0</v>
      </c>
      <c r="AZ659" s="170">
        <f>IF(Escenarios!$F$17&gt;0,10*Escenarios!$F$16*AX659,0)</f>
        <v>0</v>
      </c>
      <c r="BA659" s="170">
        <f>IF(Escenarios!$F$17&gt;0,0.001*Observaciones!$F658*Escenarios!$F$17,0)</f>
        <v>0</v>
      </c>
      <c r="BB659" s="170">
        <f>IF(Escenarios!$F$17&gt;0,Observaciones!$K658,0)</f>
        <v>0</v>
      </c>
      <c r="BC659" s="170">
        <f>IF(Escenarios!$F$17&gt;0,MIN(0.0005*ETo!$M658*Escenarios!$F$17*(BG658/Constantes!$F$40)^(2/3),BG658+AY659+AZ659+BA659+BB659),0)</f>
        <v>0</v>
      </c>
      <c r="BD659" s="170">
        <f>IF(Escenarios!$F$17&gt;0,MIN(Constantes!$F$39*(BG658/Constantes!$F$40)^(2/3),BG658+AY659+AZ659+BA659+BB659-BC659),0)</f>
        <v>0</v>
      </c>
      <c r="BE659" s="170">
        <f>IF(Escenarios!$F$17&gt;0,MIN(Entradas!$F$113,BG658+AY659+AZ659+BA659+BB659-BC659-BD659),0)</f>
        <v>0</v>
      </c>
      <c r="BF659" s="170">
        <f>IF(Escenarios!$F$17&gt;0,MAX(0,BG658+AY659+AZ659+BA659+BB659-BC659-BD659-BE659-Constantes!$F$40),0)</f>
        <v>0</v>
      </c>
      <c r="BG659" s="170">
        <f t="shared" si="151"/>
        <v>0</v>
      </c>
      <c r="BH659" s="170">
        <f>(Escenarios!$F$16*AK659+0.1*BC659)/(Escenarios!$F$19)</f>
        <v>2.8691901441391918</v>
      </c>
      <c r="BI659" s="170">
        <f>IF(Escenarios!$F$17&gt;0,BF659/10/Escenarios!$F$19,AL659)</f>
        <v>0</v>
      </c>
      <c r="BJ659" s="170">
        <f>(Escenarios!$F$16*AT659+0.1*BD659)/(Escenarios!$F$19)</f>
        <v>7.6174958416426297E-2</v>
      </c>
      <c r="BK659" s="76">
        <f>BK658+(0.1*BD659)/(Escenarios!$F$19)-BL658</f>
        <v>48.75</v>
      </c>
      <c r="BL659" s="76">
        <f>MAX(0,(BK659-Constantes!$D$13)*(1-EXP(-Constantes!$D$23)))</f>
        <v>0</v>
      </c>
      <c r="BM659" s="76">
        <f t="shared" si="152"/>
        <v>0.17610161807278835</v>
      </c>
      <c r="BN659" s="76">
        <f t="shared" si="153"/>
        <v>0.85951089229018751</v>
      </c>
      <c r="BO659" s="76">
        <f>0.0526*BI659*Observaciones!$F658^1.218</f>
        <v>0</v>
      </c>
      <c r="BP659" s="76">
        <f>BO659*Constantes!$F$51</f>
        <v>0</v>
      </c>
      <c r="BQ659" s="76">
        <f t="shared" si="154"/>
        <v>0</v>
      </c>
      <c r="BR659" s="40"/>
    </row>
    <row r="660" spans="2:70">
      <c r="B660" s="39"/>
      <c r="C660" s="75">
        <v>654</v>
      </c>
      <c r="D660" s="146">
        <f>ETo!$I659*((1-Constantes!$F$19)*ETo!$K659+ETo!$L659)</f>
        <v>4.4557660224118854</v>
      </c>
      <c r="E660" s="76">
        <f>MIN(D660*Constantes!$F$17,0.8*(N659+Observaciones!$F659-F660-M660-Constantes!$D$14))</f>
        <v>2.5411757517363895</v>
      </c>
      <c r="F660" s="76">
        <f>IF(Observaciones!$F659&gt;0.05*Constantes!$F$18,((Observaciones!$F659-0.05*Constantes!$F$18)^2)/(Observaciones!$F659+0.95*Constantes!$F$18),0)</f>
        <v>1.192038717767014E-2</v>
      </c>
      <c r="G660" s="76">
        <f>IF(Escenarios!$F$11&gt;0,(F660*Escenarios!$F$16*10000)/1000,0)</f>
        <v>0</v>
      </c>
      <c r="H660" s="76">
        <f>IF(Escenarios!$F$11&gt;0,(Observaciones!$F659*Constantes!$F$29)/1000,0)</f>
        <v>0</v>
      </c>
      <c r="I660" s="76">
        <f>IF(Escenarios!$F$11&gt;0,(D660*Constantes!$F$29)/1000,0)</f>
        <v>0</v>
      </c>
      <c r="J660" s="76">
        <f>IF(Escenarios!$F$11&gt;0,MAX(0,G660+H660-I660),0)</f>
        <v>0</v>
      </c>
      <c r="K660" s="76">
        <f>IF(Escenarios!$F$11&gt;0,IF(J660&gt;Constantes!$F$30,1000*((J660-Constantes!$F$30)/(Escenarios!$F$16*10000)),0),F660)</f>
        <v>1.192038717767014E-2</v>
      </c>
      <c r="L660" s="76">
        <f>IF(Escenarios!$F$11&gt;0,I660*1000/Escenarios!$F$16/10000+E660,E660)</f>
        <v>2.5411757517363895</v>
      </c>
      <c r="M660" s="76">
        <f>MAX(0,N659+Observaciones!$F659-K660-Constantes!$D$13)</f>
        <v>0</v>
      </c>
      <c r="N660" s="76">
        <f>N659+Observaciones!$F659-K660-L660-M660-O659</f>
        <v>43.318827159927899</v>
      </c>
      <c r="O660" s="76">
        <f>MAX(0,(N660-Constantes!$D$14)*(1-EXP(-Constantes!$D$22)))</f>
        <v>1.0923819801417618</v>
      </c>
      <c r="P660" s="170">
        <f>P659+(Entradas!$F$83*M660-Q659)/(800*Entradas!$D$25)</f>
        <v>0</v>
      </c>
      <c r="Q660" s="170">
        <f>8000*Entradas!$D$26*P660/Constantes!$F$45</f>
        <v>0</v>
      </c>
      <c r="R660" s="170">
        <f>IF(Escenarios!$F$14&gt;0,K660*Escenarios!$F$13/Escenarios!$F$14,0)</f>
        <v>8.7416172636247694E-2</v>
      </c>
      <c r="S660" s="170">
        <f>IF(Escenarios!$F$14&gt;0,Q660*Escenarios!$F$13/Escenarios!$F$14,0)</f>
        <v>0</v>
      </c>
      <c r="T660" s="170">
        <f>IF(Escenarios!$F$14&gt;0,Observaciones!$I659,0)</f>
        <v>0</v>
      </c>
      <c r="U660" s="170">
        <f>IF(Escenarios!$F$14&gt;0,MAX(0,Constantes!$F$36/((Z659+R660+S660+T660+Observaciones!$F659)^2)+Entradas!$F$77),0)</f>
        <v>1.1279571439376186</v>
      </c>
      <c r="V660" s="146">
        <f>IF(ETo!D659&gt;0,ETo!I659*((1-Entradas!$F$81)*ETo!K659+ETo!L659),0)</f>
        <v>3.9579814294571261</v>
      </c>
      <c r="W660" s="170">
        <f>IF(Escenarios!$F$14&gt;0,MIN(V660*1,0.8*(Z659+R660+S660+T660+Observaciones!$F659-U660-Constantes!$F$35)),0)</f>
        <v>3.9579814294571261</v>
      </c>
      <c r="X660" s="170">
        <f>IF(Escenarios!$F$14&gt;0,Observaciones!$J659,0)</f>
        <v>0</v>
      </c>
      <c r="Y660" s="170">
        <f>IF(Escenarios!$F$14&gt;0,MAX(0,Z659+R660+S660+T660+Observaciones!$F659-U660-W660-X660-Constantes!$F$33),0)</f>
        <v>0</v>
      </c>
      <c r="Z660" s="170">
        <f>Z659+R660+S660+T660+Observaciones!$F659-U660-W660-Y660</f>
        <v>68.969779963420692</v>
      </c>
      <c r="AA660" s="170">
        <f>IF(Escenarios!$F$14&gt;0,(Escenarios!$F$13*L660+Escenarios!$F$14*W660)/(Escenarios!$F$16),L660)</f>
        <v>2.711192433062878</v>
      </c>
      <c r="AB660" s="170">
        <f>IF(Escenarios!$F$14&gt;0,(Escenarios!$F$14*Y660)/(Escenarios!$F$16),K660)</f>
        <v>0</v>
      </c>
      <c r="AC660" s="170">
        <f>IF(Escenarios!$F$14&gt;0,(Escenarios!$F$13*M660+Escenarios!$F$14*U660)/(Escenarios!$F$16),M660)</f>
        <v>0.13535485727251423</v>
      </c>
      <c r="AD660" s="76">
        <f t="shared" si="141"/>
        <v>65.549692201904634</v>
      </c>
      <c r="AE660" s="76">
        <f>MAX(0,(AD660-Constantes!$D$13)*(1-EXP(-Constantes!$D$23)))</f>
        <v>0.1655313686403028</v>
      </c>
      <c r="AF660" s="76">
        <f>AB660+O660*Escenarios!$F$13/Escenarios!$F$16+AE660</f>
        <v>1.1268275111650532</v>
      </c>
      <c r="AG660" s="76">
        <f>IF(Entradas!$F$91&gt;0,IF(AF660-Escenarios!$F$38&lt;=0,0,IF(AF660-Escenarios!$F$38&gt;Escenarios!$F$37,Escenarios!$F$37,AF660-Escenarios!$F$38)),0)</f>
        <v>9.0027511165053253E-2</v>
      </c>
      <c r="AH660" s="76">
        <f>AG660*Entradas!$F$99</f>
        <v>0</v>
      </c>
      <c r="AI660" s="76">
        <f>IF(Entradas!$F$91&gt;0,D660*Entradas!$D$23/Escenarios!$F$16,0)</f>
        <v>0.2138767690757705</v>
      </c>
      <c r="AJ660" s="76">
        <f>IF(Entradas!$F$91&gt;0,Entradas!$D$24*Entradas!$D$22/Escenarios!$F$16,0)</f>
        <v>0.12</v>
      </c>
      <c r="AK660" s="76">
        <f t="shared" si="142"/>
        <v>2.9250692021386486</v>
      </c>
      <c r="AL660" s="76">
        <f t="shared" si="143"/>
        <v>0</v>
      </c>
      <c r="AM660" s="76">
        <f t="shared" si="144"/>
        <v>9.0027511165053253E-2</v>
      </c>
      <c r="AN660" s="76">
        <f>MAX(0,O660*Escenarios!$F$13/Escenarios!$F$16-AM660)</f>
        <v>0.87126863135969712</v>
      </c>
      <c r="AO660" s="76">
        <f>AM660+AN660-O660*Escenarios!$F$13/Escenarios!$F$16</f>
        <v>0</v>
      </c>
      <c r="AP660" s="76">
        <f t="shared" si="145"/>
        <v>0.1655313686403028</v>
      </c>
      <c r="AQ660" s="76">
        <f t="shared" si="146"/>
        <v>0</v>
      </c>
      <c r="AR660" s="76">
        <f t="shared" si="147"/>
        <v>1.0367999999999999</v>
      </c>
      <c r="AS660" s="76">
        <f t="shared" si="148"/>
        <v>0</v>
      </c>
      <c r="AT660" s="76">
        <f t="shared" si="149"/>
        <v>0.13535485727251423</v>
      </c>
      <c r="AU660" s="76">
        <f t="shared" si="150"/>
        <v>49.411616745046615</v>
      </c>
      <c r="AV660" s="76">
        <f>MAX(0,(AU660-Constantes!$D$13)*(1-EXP(-Constantes!$D$24)))</f>
        <v>1.0112975410754937E-2</v>
      </c>
      <c r="AW660" s="170">
        <f>AW659+(Entradas!$F$112*AT660-AX659)/(800*Entradas!$D$25)</f>
        <v>0</v>
      </c>
      <c r="AX660" s="170">
        <f>8000*Entradas!$D$26*AW660/Constantes!$F$45</f>
        <v>0</v>
      </c>
      <c r="AY660" s="170">
        <f>IF(Escenarios!$F$17&gt;0,10*Escenarios!$F$16*AL660,0)</f>
        <v>0</v>
      </c>
      <c r="AZ660" s="170">
        <f>IF(Escenarios!$F$17&gt;0,10*Escenarios!$F$16*AX660,0)</f>
        <v>0</v>
      </c>
      <c r="BA660" s="170">
        <f>IF(Escenarios!$F$17&gt;0,0.001*Observaciones!$F659*Escenarios!$F$17,0)</f>
        <v>0</v>
      </c>
      <c r="BB660" s="170">
        <f>IF(Escenarios!$F$17&gt;0,Observaciones!$K659,0)</f>
        <v>0</v>
      </c>
      <c r="BC660" s="170">
        <f>IF(Escenarios!$F$17&gt;0,MIN(0.0005*ETo!$M659*Escenarios!$F$17*(BG659/Constantes!$F$40)^(2/3),BG659+AY660+AZ660+BA660+BB660),0)</f>
        <v>0</v>
      </c>
      <c r="BD660" s="170">
        <f>IF(Escenarios!$F$17&gt;0,MIN(Constantes!$F$39*(BG659/Constantes!$F$40)^(2/3),BG659+AY660+AZ660+BA660+BB660-BC660),0)</f>
        <v>0</v>
      </c>
      <c r="BE660" s="170">
        <f>IF(Escenarios!$F$17&gt;0,MIN(Entradas!$F$113,BG659+AY660+AZ660+BA660+BB660-BC660-BD660),0)</f>
        <v>0</v>
      </c>
      <c r="BF660" s="170">
        <f>IF(Escenarios!$F$17&gt;0,MAX(0,BG659+AY660+AZ660+BA660+BB660-BC660-BD660-BE660-Constantes!$F$40),0)</f>
        <v>0</v>
      </c>
      <c r="BG660" s="170">
        <f t="shared" si="151"/>
        <v>0</v>
      </c>
      <c r="BH660" s="170">
        <f>(Escenarios!$F$16*AK660+0.1*BC660)/(Escenarios!$F$19)</f>
        <v>2.9250692021386486</v>
      </c>
      <c r="BI660" s="170">
        <f>IF(Escenarios!$F$17&gt;0,BF660/10/Escenarios!$F$19,AL660)</f>
        <v>0</v>
      </c>
      <c r="BJ660" s="170">
        <f>(Escenarios!$F$16*AT660+0.1*BD660)/(Escenarios!$F$19)</f>
        <v>0.13535485727251423</v>
      </c>
      <c r="BK660" s="76">
        <f>BK659+(0.1*BD660)/(Escenarios!$F$19)-BL659</f>
        <v>48.75</v>
      </c>
      <c r="BL660" s="76">
        <f>MAX(0,(BK660-Constantes!$D$13)*(1-EXP(-Constantes!$D$23)))</f>
        <v>0</v>
      </c>
      <c r="BM660" s="76">
        <f t="shared" si="152"/>
        <v>0.17564434405105772</v>
      </c>
      <c r="BN660" s="76">
        <f t="shared" si="153"/>
        <v>1.0469129754107549</v>
      </c>
      <c r="BO660" s="76">
        <f>0.0526*BI660*Observaciones!$F659^1.218</f>
        <v>0</v>
      </c>
      <c r="BP660" s="76">
        <f>BO660*Constantes!$F$51</f>
        <v>0</v>
      </c>
      <c r="BQ660" s="76">
        <f t="shared" si="154"/>
        <v>0</v>
      </c>
      <c r="BR660" s="40"/>
    </row>
    <row r="661" spans="2:70">
      <c r="B661" s="39"/>
      <c r="C661" s="75">
        <v>655</v>
      </c>
      <c r="D661" s="146">
        <f>ETo!$I660*((1-Constantes!$F$19)*ETo!$K660+ETo!$L660)</f>
        <v>4.4635234601321354</v>
      </c>
      <c r="E661" s="76">
        <f>MIN(D661*Constantes!$F$17,0.8*(N660+Observaciones!$F660-F661-M661-Constantes!$D$14))</f>
        <v>2.545599909677168</v>
      </c>
      <c r="F661" s="76">
        <f>IF(Observaciones!$F660&gt;0.05*Constantes!$F$18,((Observaciones!$F660-0.05*Constantes!$F$18)^2)/(Observaciones!$F660+0.95*Constantes!$F$18),0)</f>
        <v>0</v>
      </c>
      <c r="G661" s="76">
        <f>IF(Escenarios!$F$11&gt;0,(F661*Escenarios!$F$16*10000)/1000,0)</f>
        <v>0</v>
      </c>
      <c r="H661" s="76">
        <f>IF(Escenarios!$F$11&gt;0,(Observaciones!$F660*Constantes!$F$29)/1000,0)</f>
        <v>0</v>
      </c>
      <c r="I661" s="76">
        <f>IF(Escenarios!$F$11&gt;0,(D661*Constantes!$F$29)/1000,0)</f>
        <v>0</v>
      </c>
      <c r="J661" s="76">
        <f>IF(Escenarios!$F$11&gt;0,MAX(0,G661+H661-I661),0)</f>
        <v>0</v>
      </c>
      <c r="K661" s="76">
        <f>IF(Escenarios!$F$11&gt;0,IF(J661&gt;Constantes!$F$30,1000*((J661-Constantes!$F$30)/(Escenarios!$F$16*10000)),0),F661)</f>
        <v>0</v>
      </c>
      <c r="L661" s="76">
        <f>IF(Escenarios!$F$11&gt;0,I661*1000/Escenarios!$F$16/10000+E661,E661)</f>
        <v>2.545599909677168</v>
      </c>
      <c r="M661" s="76">
        <f>MAX(0,N660+Observaciones!$F660-K661-Constantes!$D$13)</f>
        <v>0</v>
      </c>
      <c r="N661" s="76">
        <f>N660+Observaciones!$F660-K661-L661-M661-O660</f>
        <v>39.680845270108975</v>
      </c>
      <c r="O661" s="76">
        <f>MAX(0,(N661-Constantes!$D$14)*(1-EXP(-Constantes!$D$22)))</f>
        <v>0.96845896166960133</v>
      </c>
      <c r="P661" s="170">
        <f>P660+(Entradas!$F$83*M661-Q660)/(800*Entradas!$D$25)</f>
        <v>0</v>
      </c>
      <c r="Q661" s="170">
        <f>8000*Entradas!$D$26*P661/Constantes!$F$45</f>
        <v>0</v>
      </c>
      <c r="R661" s="170">
        <f>IF(Escenarios!$F$14&gt;0,K661*Escenarios!$F$13/Escenarios!$F$14,0)</f>
        <v>0</v>
      </c>
      <c r="S661" s="170">
        <f>IF(Escenarios!$F$14&gt;0,Q661*Escenarios!$F$13/Escenarios!$F$14,0)</f>
        <v>0</v>
      </c>
      <c r="T661" s="170">
        <f>IF(Escenarios!$F$14&gt;0,Observaciones!$I660,0)</f>
        <v>0</v>
      </c>
      <c r="U661" s="170">
        <f>IF(Escenarios!$F$14&gt;0,MAX(0,Constantes!$F$36/((Z660+R661+S661+T661+Observaciones!$F660)^2)+Entradas!$F$77),0)</f>
        <v>0.84168262964943796</v>
      </c>
      <c r="V661" s="146">
        <f>IF(ETo!D660&gt;0,ETo!I660*((1-Entradas!$F$81)*ETo!K660+ETo!L660),0)</f>
        <v>3.9650967128510715</v>
      </c>
      <c r="W661" s="170">
        <f>IF(Escenarios!$F$14&gt;0,MIN(V661*1,0.8*(Z660+R661+S661+T661+Observaciones!$F660-U661-Constantes!$F$35)),0)</f>
        <v>3.9650967128510715</v>
      </c>
      <c r="X661" s="170">
        <f>IF(Escenarios!$F$14&gt;0,Observaciones!$J660,0)</f>
        <v>0</v>
      </c>
      <c r="Y661" s="170">
        <f>IF(Escenarios!$F$14&gt;0,MAX(0,Z660+R661+S661+T661+Observaciones!$F660-U661-W661-X661-Constantes!$F$33),0)</f>
        <v>0</v>
      </c>
      <c r="Z661" s="170">
        <f>Z660+R661+S661+T661+Observaciones!$F660-U661-W661-Y661</f>
        <v>64.163000620920172</v>
      </c>
      <c r="AA661" s="170">
        <f>IF(Escenarios!$F$14&gt;0,(Escenarios!$F$13*L661+Escenarios!$F$14*W661)/(Escenarios!$F$16),L661)</f>
        <v>2.7159395260580368</v>
      </c>
      <c r="AB661" s="170">
        <f>IF(Escenarios!$F$14&gt;0,(Escenarios!$F$14*Y661)/(Escenarios!$F$16),K661)</f>
        <v>0</v>
      </c>
      <c r="AC661" s="170">
        <f>IF(Escenarios!$F$14&gt;0,(Escenarios!$F$13*M661+Escenarios!$F$14*U661)/(Escenarios!$F$16),M661)</f>
        <v>0.10100191555793256</v>
      </c>
      <c r="AD661" s="76">
        <f t="shared" si="141"/>
        <v>65.485162748822262</v>
      </c>
      <c r="AE661" s="76">
        <f>MAX(0,(AD661-Constantes!$D$13)*(1-EXP(-Constantes!$D$23)))</f>
        <v>0.16489554456936389</v>
      </c>
      <c r="AF661" s="76">
        <f>AB661+O661*Escenarios!$F$13/Escenarios!$F$16+AE661</f>
        <v>1.017139430838613</v>
      </c>
      <c r="AG661" s="76">
        <f>IF(Entradas!$F$91&gt;0,IF(AF661-Escenarios!$F$38&lt;=0,0,IF(AF661-Escenarios!$F$38&gt;Escenarios!$F$37,Escenarios!$F$37,AF661-Escenarios!$F$38)),0)</f>
        <v>0</v>
      </c>
      <c r="AH661" s="76">
        <f>AG661*Entradas!$F$99</f>
        <v>0</v>
      </c>
      <c r="AI661" s="76">
        <f>IF(Entradas!$F$91&gt;0,D661*Entradas!$D$23/Escenarios!$F$16,0)</f>
        <v>0.2142491260863425</v>
      </c>
      <c r="AJ661" s="76">
        <f>IF(Entradas!$F$91&gt;0,Entradas!$D$24*Entradas!$D$22/Escenarios!$F$16,0)</f>
        <v>0.12</v>
      </c>
      <c r="AK661" s="76">
        <f t="shared" si="142"/>
        <v>2.9301886521443792</v>
      </c>
      <c r="AL661" s="76">
        <f t="shared" si="143"/>
        <v>0</v>
      </c>
      <c r="AM661" s="76">
        <f t="shared" si="144"/>
        <v>0</v>
      </c>
      <c r="AN661" s="76">
        <f>MAX(0,O661*Escenarios!$F$13/Escenarios!$F$16-AM661)</f>
        <v>0.85224388626924918</v>
      </c>
      <c r="AO661" s="76">
        <f>AM661+AN661-O661*Escenarios!$F$13/Escenarios!$F$16</f>
        <v>0</v>
      </c>
      <c r="AP661" s="76">
        <f t="shared" si="145"/>
        <v>0.16489554456936389</v>
      </c>
      <c r="AQ661" s="76">
        <f t="shared" si="146"/>
        <v>0</v>
      </c>
      <c r="AR661" s="76">
        <f t="shared" si="147"/>
        <v>1.017139430838613</v>
      </c>
      <c r="AS661" s="76">
        <f t="shared" si="148"/>
        <v>0</v>
      </c>
      <c r="AT661" s="76">
        <f t="shared" si="149"/>
        <v>0.10100191555793256</v>
      </c>
      <c r="AU661" s="76">
        <f t="shared" si="150"/>
        <v>49.401503769635859</v>
      </c>
      <c r="AV661" s="76">
        <f>MAX(0,(AU661-Constantes!$D$13)*(1-EXP(-Constantes!$D$24)))</f>
        <v>9.9583960830335085E-3</v>
      </c>
      <c r="AW661" s="170">
        <f>AW660+(Entradas!$F$112*AT661-AX660)/(800*Entradas!$D$25)</f>
        <v>0</v>
      </c>
      <c r="AX661" s="170">
        <f>8000*Entradas!$D$26*AW661/Constantes!$F$45</f>
        <v>0</v>
      </c>
      <c r="AY661" s="170">
        <f>IF(Escenarios!$F$17&gt;0,10*Escenarios!$F$16*AL661,0)</f>
        <v>0</v>
      </c>
      <c r="AZ661" s="170">
        <f>IF(Escenarios!$F$17&gt;0,10*Escenarios!$F$16*AX661,0)</f>
        <v>0</v>
      </c>
      <c r="BA661" s="170">
        <f>IF(Escenarios!$F$17&gt;0,0.001*Observaciones!$F660*Escenarios!$F$17,0)</f>
        <v>0</v>
      </c>
      <c r="BB661" s="170">
        <f>IF(Escenarios!$F$17&gt;0,Observaciones!$K660,0)</f>
        <v>0</v>
      </c>
      <c r="BC661" s="170">
        <f>IF(Escenarios!$F$17&gt;0,MIN(0.0005*ETo!$M660*Escenarios!$F$17*(BG660/Constantes!$F$40)^(2/3),BG660+AY661+AZ661+BA661+BB661),0)</f>
        <v>0</v>
      </c>
      <c r="BD661" s="170">
        <f>IF(Escenarios!$F$17&gt;0,MIN(Constantes!$F$39*(BG660/Constantes!$F$40)^(2/3),BG660+AY661+AZ661+BA661+BB661-BC661),0)</f>
        <v>0</v>
      </c>
      <c r="BE661" s="170">
        <f>IF(Escenarios!$F$17&gt;0,MIN(Entradas!$F$113,BG660+AY661+AZ661+BA661+BB661-BC661-BD661),0)</f>
        <v>0</v>
      </c>
      <c r="BF661" s="170">
        <f>IF(Escenarios!$F$17&gt;0,MAX(0,BG660+AY661+AZ661+BA661+BB661-BC661-BD661-BE661-Constantes!$F$40),0)</f>
        <v>0</v>
      </c>
      <c r="BG661" s="170">
        <f t="shared" si="151"/>
        <v>0</v>
      </c>
      <c r="BH661" s="170">
        <f>(Escenarios!$F$16*AK661+0.1*BC661)/(Escenarios!$F$19)</f>
        <v>2.9301886521443792</v>
      </c>
      <c r="BI661" s="170">
        <f>IF(Escenarios!$F$17&gt;0,BF661/10/Escenarios!$F$19,AL661)</f>
        <v>0</v>
      </c>
      <c r="BJ661" s="170">
        <f>(Escenarios!$F$16*AT661+0.1*BD661)/(Escenarios!$F$19)</f>
        <v>0.10100191555793256</v>
      </c>
      <c r="BK661" s="76">
        <f>BK660+(0.1*BD661)/(Escenarios!$F$19)-BL660</f>
        <v>48.75</v>
      </c>
      <c r="BL661" s="76">
        <f>MAX(0,(BK661-Constantes!$D$13)*(1-EXP(-Constantes!$D$23)))</f>
        <v>0</v>
      </c>
      <c r="BM661" s="76">
        <f t="shared" si="152"/>
        <v>0.1748539406523974</v>
      </c>
      <c r="BN661" s="76">
        <f t="shared" si="153"/>
        <v>1.0270978269216466</v>
      </c>
      <c r="BO661" s="76">
        <f>0.0526*BI661*Observaciones!$F660^1.218</f>
        <v>0</v>
      </c>
      <c r="BP661" s="76">
        <f>BO661*Constantes!$F$51</f>
        <v>0</v>
      </c>
      <c r="BQ661" s="76">
        <f t="shared" si="154"/>
        <v>0</v>
      </c>
      <c r="BR661" s="40"/>
    </row>
    <row r="662" spans="2:70">
      <c r="B662" s="39"/>
      <c r="C662" s="75">
        <v>656</v>
      </c>
      <c r="D662" s="146">
        <f>ETo!$I661*((1-Constantes!$F$19)*ETo!$K661+ETo!$L661)</f>
        <v>4.3484272675228599</v>
      </c>
      <c r="E662" s="76">
        <f>MIN(D662*Constantes!$F$17,0.8*(N661+Observaciones!$F661-F662-M662-Constantes!$D$14))</f>
        <v>2.4799591977760627</v>
      </c>
      <c r="F662" s="76">
        <f>IF(Observaciones!$F661&gt;0.05*Constantes!$F$18,((Observaciones!$F661-0.05*Constantes!$F$18)^2)/(Observaciones!$F661+0.95*Constantes!$F$18),0)</f>
        <v>0</v>
      </c>
      <c r="G662" s="76">
        <f>IF(Escenarios!$F$11&gt;0,(F662*Escenarios!$F$16*10000)/1000,0)</f>
        <v>0</v>
      </c>
      <c r="H662" s="76">
        <f>IF(Escenarios!$F$11&gt;0,(Observaciones!$F661*Constantes!$F$29)/1000,0)</f>
        <v>0</v>
      </c>
      <c r="I662" s="76">
        <f>IF(Escenarios!$F$11&gt;0,(D662*Constantes!$F$29)/1000,0)</f>
        <v>0</v>
      </c>
      <c r="J662" s="76">
        <f>IF(Escenarios!$F$11&gt;0,MAX(0,G662+H662-I662),0)</f>
        <v>0</v>
      </c>
      <c r="K662" s="76">
        <f>IF(Escenarios!$F$11&gt;0,IF(J662&gt;Constantes!$F$30,1000*((J662-Constantes!$F$30)/(Escenarios!$F$16*10000)),0),F662)</f>
        <v>0</v>
      </c>
      <c r="L662" s="76">
        <f>IF(Escenarios!$F$11&gt;0,I662*1000/Escenarios!$F$16/10000+E662,E662)</f>
        <v>2.4799591977760627</v>
      </c>
      <c r="M662" s="76">
        <f>MAX(0,N661+Observaciones!$F661-K662-Constantes!$D$13)</f>
        <v>0</v>
      </c>
      <c r="N662" s="76">
        <f>N661+Observaciones!$F661-K662-L662-M662-O661</f>
        <v>36.232427110663309</v>
      </c>
      <c r="O662" s="76">
        <f>MAX(0,(N662-Constantes!$D$14)*(1-EXP(-Constantes!$D$22)))</f>
        <v>0.85099317975665489</v>
      </c>
      <c r="P662" s="170">
        <f>P661+(Entradas!$F$83*M662-Q661)/(800*Entradas!$D$25)</f>
        <v>0</v>
      </c>
      <c r="Q662" s="170">
        <f>8000*Entradas!$D$26*P662/Constantes!$F$45</f>
        <v>0</v>
      </c>
      <c r="R662" s="170">
        <f>IF(Escenarios!$F$14&gt;0,K662*Escenarios!$F$13/Escenarios!$F$14,0)</f>
        <v>0</v>
      </c>
      <c r="S662" s="170">
        <f>IF(Escenarios!$F$14&gt;0,Q662*Escenarios!$F$13/Escenarios!$F$14,0)</f>
        <v>0</v>
      </c>
      <c r="T662" s="170">
        <f>IF(Escenarios!$F$14&gt;0,Observaciones!$I661,0)</f>
        <v>0</v>
      </c>
      <c r="U662" s="170">
        <f>IF(Escenarios!$F$14&gt;0,MAX(0,Constantes!$F$36/((Z661+R662+S662+T662+Observaciones!$F661)^2)+Entradas!$F$77),0)</f>
        <v>0.50618831634711325</v>
      </c>
      <c r="V662" s="146">
        <f>IF(ETo!D661&gt;0,ETo!I661*((1-Entradas!$F$81)*ETo!K661+ETo!L661),0)</f>
        <v>3.8612511691061506</v>
      </c>
      <c r="W662" s="170">
        <f>IF(Escenarios!$F$14&gt;0,MIN(V662*1,0.8*(Z661+R662+S662+T662+Observaciones!$F661-U662-Constantes!$F$35)),0)</f>
        <v>3.8612511691061506</v>
      </c>
      <c r="X662" s="170">
        <f>IF(Escenarios!$F$14&gt;0,Observaciones!$J661,0)</f>
        <v>0</v>
      </c>
      <c r="Y662" s="170">
        <f>IF(Escenarios!$F$14&gt;0,MAX(0,Z661+R662+S662+T662+Observaciones!$F661-U662-W662-X662-Constantes!$F$33),0)</f>
        <v>0</v>
      </c>
      <c r="Z662" s="170">
        <f>Z661+R662+S662+T662+Observaciones!$F661-U662-W662-Y662</f>
        <v>59.795561135466912</v>
      </c>
      <c r="AA662" s="170">
        <f>IF(Escenarios!$F$14&gt;0,(Escenarios!$F$13*L662+Escenarios!$F$14*W662)/(Escenarios!$F$16),L662)</f>
        <v>2.645714234335673</v>
      </c>
      <c r="AB662" s="170">
        <f>IF(Escenarios!$F$14&gt;0,(Escenarios!$F$14*Y662)/(Escenarios!$F$16),K662)</f>
        <v>0</v>
      </c>
      <c r="AC662" s="170">
        <f>IF(Escenarios!$F$14&gt;0,(Escenarios!$F$13*M662+Escenarios!$F$14*U662)/(Escenarios!$F$16),M662)</f>
        <v>6.0742597961653585E-2</v>
      </c>
      <c r="AD662" s="76">
        <f t="shared" si="141"/>
        <v>65.38100980221455</v>
      </c>
      <c r="AE662" s="76">
        <f>MAX(0,(AD662-Constantes!$D$13)*(1-EXP(-Constantes!$D$23)))</f>
        <v>0.16386930077913897</v>
      </c>
      <c r="AF662" s="76">
        <f>AB662+O662*Escenarios!$F$13/Escenarios!$F$16+AE662</f>
        <v>0.91274329896499529</v>
      </c>
      <c r="AG662" s="76">
        <f>IF(Entradas!$F$91&gt;0,IF(AF662-Escenarios!$F$38&lt;=0,0,IF(AF662-Escenarios!$F$38&gt;Escenarios!$F$37,Escenarios!$F$37,AF662-Escenarios!$F$38)),0)</f>
        <v>0</v>
      </c>
      <c r="AH662" s="76">
        <f>AG662*Entradas!$F$99</f>
        <v>0</v>
      </c>
      <c r="AI662" s="76">
        <f>IF(Entradas!$F$91&gt;0,D662*Entradas!$D$23/Escenarios!$F$16,0)</f>
        <v>0.20872450884109728</v>
      </c>
      <c r="AJ662" s="76">
        <f>IF(Entradas!$F$91&gt;0,Entradas!$D$24*Entradas!$D$22/Escenarios!$F$16,0)</f>
        <v>0.12</v>
      </c>
      <c r="AK662" s="76">
        <f t="shared" si="142"/>
        <v>2.8544387431767704</v>
      </c>
      <c r="AL662" s="76">
        <f t="shared" si="143"/>
        <v>0</v>
      </c>
      <c r="AM662" s="76">
        <f t="shared" si="144"/>
        <v>0</v>
      </c>
      <c r="AN662" s="76">
        <f>MAX(0,O662*Escenarios!$F$13/Escenarios!$F$16-AM662)</f>
        <v>0.74887399818585632</v>
      </c>
      <c r="AO662" s="76">
        <f>AM662+AN662-O662*Escenarios!$F$13/Escenarios!$F$16</f>
        <v>0</v>
      </c>
      <c r="AP662" s="76">
        <f t="shared" si="145"/>
        <v>0.16386930077913897</v>
      </c>
      <c r="AQ662" s="76">
        <f t="shared" si="146"/>
        <v>0</v>
      </c>
      <c r="AR662" s="76">
        <f t="shared" si="147"/>
        <v>0.91274329896499529</v>
      </c>
      <c r="AS662" s="76">
        <f t="shared" si="148"/>
        <v>0</v>
      </c>
      <c r="AT662" s="76">
        <f t="shared" si="149"/>
        <v>6.0742597961653585E-2</v>
      </c>
      <c r="AU662" s="76">
        <f t="shared" si="150"/>
        <v>49.391545373552823</v>
      </c>
      <c r="AV662" s="76">
        <f>MAX(0,(AU662-Constantes!$D$13)*(1-EXP(-Constantes!$D$24)))</f>
        <v>9.8061795385275125E-3</v>
      </c>
      <c r="AW662" s="170">
        <f>AW661+(Entradas!$F$112*AT662-AX661)/(800*Entradas!$D$25)</f>
        <v>0</v>
      </c>
      <c r="AX662" s="170">
        <f>8000*Entradas!$D$26*AW662/Constantes!$F$45</f>
        <v>0</v>
      </c>
      <c r="AY662" s="170">
        <f>IF(Escenarios!$F$17&gt;0,10*Escenarios!$F$16*AL662,0)</f>
        <v>0</v>
      </c>
      <c r="AZ662" s="170">
        <f>IF(Escenarios!$F$17&gt;0,10*Escenarios!$F$16*AX662,0)</f>
        <v>0</v>
      </c>
      <c r="BA662" s="170">
        <f>IF(Escenarios!$F$17&gt;0,0.001*Observaciones!$F661*Escenarios!$F$17,0)</f>
        <v>0</v>
      </c>
      <c r="BB662" s="170">
        <f>IF(Escenarios!$F$17&gt;0,Observaciones!$K661,0)</f>
        <v>0</v>
      </c>
      <c r="BC662" s="170">
        <f>IF(Escenarios!$F$17&gt;0,MIN(0.0005*ETo!$M661*Escenarios!$F$17*(BG661/Constantes!$F$40)^(2/3),BG661+AY662+AZ662+BA662+BB662),0)</f>
        <v>0</v>
      </c>
      <c r="BD662" s="170">
        <f>IF(Escenarios!$F$17&gt;0,MIN(Constantes!$F$39*(BG661/Constantes!$F$40)^(2/3),BG661+AY662+AZ662+BA662+BB662-BC662),0)</f>
        <v>0</v>
      </c>
      <c r="BE662" s="170">
        <f>IF(Escenarios!$F$17&gt;0,MIN(Entradas!$F$113,BG661+AY662+AZ662+BA662+BB662-BC662-BD662),0)</f>
        <v>0</v>
      </c>
      <c r="BF662" s="170">
        <f>IF(Escenarios!$F$17&gt;0,MAX(0,BG661+AY662+AZ662+BA662+BB662-BC662-BD662-BE662-Constantes!$F$40),0)</f>
        <v>0</v>
      </c>
      <c r="BG662" s="170">
        <f t="shared" si="151"/>
        <v>0</v>
      </c>
      <c r="BH662" s="170">
        <f>(Escenarios!$F$16*AK662+0.1*BC662)/(Escenarios!$F$19)</f>
        <v>2.8544387431767704</v>
      </c>
      <c r="BI662" s="170">
        <f>IF(Escenarios!$F$17&gt;0,BF662/10/Escenarios!$F$19,AL662)</f>
        <v>0</v>
      </c>
      <c r="BJ662" s="170">
        <f>(Escenarios!$F$16*AT662+0.1*BD662)/(Escenarios!$F$19)</f>
        <v>6.0742597961653585E-2</v>
      </c>
      <c r="BK662" s="76">
        <f>BK661+(0.1*BD662)/(Escenarios!$F$19)-BL661</f>
        <v>48.75</v>
      </c>
      <c r="BL662" s="76">
        <f>MAX(0,(BK662-Constantes!$D$13)*(1-EXP(-Constantes!$D$23)))</f>
        <v>0</v>
      </c>
      <c r="BM662" s="76">
        <f t="shared" si="152"/>
        <v>0.1736754803176665</v>
      </c>
      <c r="BN662" s="76">
        <f t="shared" si="153"/>
        <v>0.92254947850352276</v>
      </c>
      <c r="BO662" s="76">
        <f>0.0526*BI662*Observaciones!$F661^1.218</f>
        <v>0</v>
      </c>
      <c r="BP662" s="76">
        <f>BO662*Constantes!$F$51</f>
        <v>0</v>
      </c>
      <c r="BQ662" s="76">
        <f t="shared" si="154"/>
        <v>0</v>
      </c>
      <c r="BR662" s="40"/>
    </row>
    <row r="663" spans="2:70">
      <c r="B663" s="39"/>
      <c r="C663" s="75">
        <v>657</v>
      </c>
      <c r="D663" s="146">
        <f>ETo!$I662*((1-Constantes!$F$19)*ETo!$K662+ETo!$L662)</f>
        <v>4.3827460766814141</v>
      </c>
      <c r="E663" s="76">
        <f>MIN(D663*Constantes!$F$17,0.8*(N662+Observaciones!$F662-F663-M663-Constantes!$D$14))</f>
        <v>2.4995316181463272</v>
      </c>
      <c r="F663" s="76">
        <f>IF(Observaciones!$F662&gt;0.05*Constantes!$F$18,((Observaciones!$F662-0.05*Constantes!$F$18)^2)/(Observaciones!$F662+0.95*Constantes!$F$18),0)</f>
        <v>0</v>
      </c>
      <c r="G663" s="76">
        <f>IF(Escenarios!$F$11&gt;0,(F663*Escenarios!$F$16*10000)/1000,0)</f>
        <v>0</v>
      </c>
      <c r="H663" s="76">
        <f>IF(Escenarios!$F$11&gt;0,(Observaciones!$F662*Constantes!$F$29)/1000,0)</f>
        <v>0</v>
      </c>
      <c r="I663" s="76">
        <f>IF(Escenarios!$F$11&gt;0,(D663*Constantes!$F$29)/1000,0)</f>
        <v>0</v>
      </c>
      <c r="J663" s="76">
        <f>IF(Escenarios!$F$11&gt;0,MAX(0,G663+H663-I663),0)</f>
        <v>0</v>
      </c>
      <c r="K663" s="76">
        <f>IF(Escenarios!$F$11&gt;0,IF(J663&gt;Constantes!$F$30,1000*((J663-Constantes!$F$30)/(Escenarios!$F$16*10000)),0),F663)</f>
        <v>0</v>
      </c>
      <c r="L663" s="76">
        <f>IF(Escenarios!$F$11&gt;0,I663*1000/Escenarios!$F$16/10000+E663,E663)</f>
        <v>2.4995316181463272</v>
      </c>
      <c r="M663" s="76">
        <f>MAX(0,N662+Observaciones!$F662-K663-Constantes!$D$13)</f>
        <v>0</v>
      </c>
      <c r="N663" s="76">
        <f>N662+Observaciones!$F662-K663-L663-M663-O662</f>
        <v>41.281902312760323</v>
      </c>
      <c r="O663" s="76">
        <f>MAX(0,(N663-Constantes!$D$14)*(1-EXP(-Constantes!$D$22)))</f>
        <v>1.0229968421430364</v>
      </c>
      <c r="P663" s="170">
        <f>P662+(Entradas!$F$83*M663-Q662)/(800*Entradas!$D$25)</f>
        <v>0</v>
      </c>
      <c r="Q663" s="170">
        <f>8000*Entradas!$D$26*P663/Constantes!$F$45</f>
        <v>0</v>
      </c>
      <c r="R663" s="170">
        <f>IF(Escenarios!$F$14&gt;0,K663*Escenarios!$F$13/Escenarios!$F$14,0)</f>
        <v>0</v>
      </c>
      <c r="S663" s="170">
        <f>IF(Escenarios!$F$14&gt;0,Q663*Escenarios!$F$13/Escenarios!$F$14,0)</f>
        <v>0</v>
      </c>
      <c r="T663" s="170">
        <f>IF(Escenarios!$F$14&gt;0,Observaciones!$I662,0)</f>
        <v>0</v>
      </c>
      <c r="U663" s="170">
        <f>IF(Escenarios!$F$14&gt;0,MAX(0,Constantes!$F$36/((Z662+R663+S663+T663+Observaciones!$F662)^2)+Entradas!$F$77),0)</f>
        <v>0.79239803285422372</v>
      </c>
      <c r="V663" s="146">
        <f>IF(ETo!D662&gt;0,ETo!I662*((1-Entradas!$F$81)*ETo!K662+ETo!L662),0)</f>
        <v>3.8923089944749893</v>
      </c>
      <c r="W663" s="170">
        <f>IF(Escenarios!$F$14&gt;0,MIN(V663*1,0.8*(Z662+R663+S663+T663+Observaciones!$F662-U663-Constantes!$F$35)),0)</f>
        <v>3.8923089944749893</v>
      </c>
      <c r="X663" s="170">
        <f>IF(Escenarios!$F$14&gt;0,Observaciones!$J662,0)</f>
        <v>0</v>
      </c>
      <c r="Y663" s="170">
        <f>IF(Escenarios!$F$14&gt;0,MAX(0,Z662+R663+S663+T663+Observaciones!$F662-U663-W663-X663-Constantes!$F$33),0)</f>
        <v>0</v>
      </c>
      <c r="Z663" s="170">
        <f>Z662+R663+S663+T663+Observaciones!$F662-U663-W663-Y663</f>
        <v>63.510854108137707</v>
      </c>
      <c r="AA663" s="170">
        <f>IF(Escenarios!$F$14&gt;0,(Escenarios!$F$13*L663+Escenarios!$F$14*W663)/(Escenarios!$F$16),L663)</f>
        <v>2.666664903305767</v>
      </c>
      <c r="AB663" s="170">
        <f>IF(Escenarios!$F$14&gt;0,(Escenarios!$F$14*Y663)/(Escenarios!$F$16),K663)</f>
        <v>0</v>
      </c>
      <c r="AC663" s="170">
        <f>IF(Escenarios!$F$14&gt;0,(Escenarios!$F$13*M663+Escenarios!$F$14*U663)/(Escenarios!$F$16),M663)</f>
        <v>9.5087763942506856E-2</v>
      </c>
      <c r="AD663" s="76">
        <f t="shared" si="141"/>
        <v>65.312228265377911</v>
      </c>
      <c r="AE663" s="76">
        <f>MAX(0,(AD663-Constantes!$D$13)*(1-EXP(-Constantes!$D$23)))</f>
        <v>0.16319157991420183</v>
      </c>
      <c r="AF663" s="76">
        <f>AB663+O663*Escenarios!$F$13/Escenarios!$F$16+AE663</f>
        <v>1.0634288010000739</v>
      </c>
      <c r="AG663" s="76">
        <f>IF(Entradas!$F$91&gt;0,IF(AF663-Escenarios!$F$38&lt;=0,0,IF(AF663-Escenarios!$F$38&gt;Escenarios!$F$37,Escenarios!$F$37,AF663-Escenarios!$F$38)),0)</f>
        <v>2.6628801000073921E-2</v>
      </c>
      <c r="AH663" s="76">
        <f>AG663*Entradas!$F$99</f>
        <v>0</v>
      </c>
      <c r="AI663" s="76">
        <f>IF(Entradas!$F$91&gt;0,D663*Entradas!$D$23/Escenarios!$F$16,0)</f>
        <v>0.21037181168070787</v>
      </c>
      <c r="AJ663" s="76">
        <f>IF(Entradas!$F$91&gt;0,Entradas!$D$24*Entradas!$D$22/Escenarios!$F$16,0)</f>
        <v>0.12</v>
      </c>
      <c r="AK663" s="76">
        <f t="shared" si="142"/>
        <v>2.8770367149864748</v>
      </c>
      <c r="AL663" s="76">
        <f t="shared" si="143"/>
        <v>0</v>
      </c>
      <c r="AM663" s="76">
        <f t="shared" si="144"/>
        <v>2.6628801000073921E-2</v>
      </c>
      <c r="AN663" s="76">
        <f>MAX(0,O663*Escenarios!$F$13/Escenarios!$F$16-AM663)</f>
        <v>0.8736084200857982</v>
      </c>
      <c r="AO663" s="76">
        <f>AM663+AN663-O663*Escenarios!$F$13/Escenarios!$F$16</f>
        <v>0</v>
      </c>
      <c r="AP663" s="76">
        <f t="shared" si="145"/>
        <v>0.16319157991420183</v>
      </c>
      <c r="AQ663" s="76">
        <f t="shared" si="146"/>
        <v>0</v>
      </c>
      <c r="AR663" s="76">
        <f t="shared" si="147"/>
        <v>1.0367999999999999</v>
      </c>
      <c r="AS663" s="76">
        <f t="shared" si="148"/>
        <v>0</v>
      </c>
      <c r="AT663" s="76">
        <f t="shared" si="149"/>
        <v>9.5087763942506856E-2</v>
      </c>
      <c r="AU663" s="76">
        <f t="shared" si="150"/>
        <v>49.381739194014294</v>
      </c>
      <c r="AV663" s="76">
        <f>MAX(0,(AU663-Constantes!$D$13)*(1-EXP(-Constantes!$D$24)))</f>
        <v>9.6562896615117709E-3</v>
      </c>
      <c r="AW663" s="170">
        <f>AW662+(Entradas!$F$112*AT663-AX662)/(800*Entradas!$D$25)</f>
        <v>0</v>
      </c>
      <c r="AX663" s="170">
        <f>8000*Entradas!$D$26*AW663/Constantes!$F$45</f>
        <v>0</v>
      </c>
      <c r="AY663" s="170">
        <f>IF(Escenarios!$F$17&gt;0,10*Escenarios!$F$16*AL663,0)</f>
        <v>0</v>
      </c>
      <c r="AZ663" s="170">
        <f>IF(Escenarios!$F$17&gt;0,10*Escenarios!$F$16*AX663,0)</f>
        <v>0</v>
      </c>
      <c r="BA663" s="170">
        <f>IF(Escenarios!$F$17&gt;0,0.001*Observaciones!$F662*Escenarios!$F$17,0)</f>
        <v>0</v>
      </c>
      <c r="BB663" s="170">
        <f>IF(Escenarios!$F$17&gt;0,Observaciones!$K662,0)</f>
        <v>0</v>
      </c>
      <c r="BC663" s="170">
        <f>IF(Escenarios!$F$17&gt;0,MIN(0.0005*ETo!$M662*Escenarios!$F$17*(BG662/Constantes!$F$40)^(2/3),BG662+AY663+AZ663+BA663+BB663),0)</f>
        <v>0</v>
      </c>
      <c r="BD663" s="170">
        <f>IF(Escenarios!$F$17&gt;0,MIN(Constantes!$F$39*(BG662/Constantes!$F$40)^(2/3),BG662+AY663+AZ663+BA663+BB663-BC663),0)</f>
        <v>0</v>
      </c>
      <c r="BE663" s="170">
        <f>IF(Escenarios!$F$17&gt;0,MIN(Entradas!$F$113,BG662+AY663+AZ663+BA663+BB663-BC663-BD663),0)</f>
        <v>0</v>
      </c>
      <c r="BF663" s="170">
        <f>IF(Escenarios!$F$17&gt;0,MAX(0,BG662+AY663+AZ663+BA663+BB663-BC663-BD663-BE663-Constantes!$F$40),0)</f>
        <v>0</v>
      </c>
      <c r="BG663" s="170">
        <f t="shared" si="151"/>
        <v>0</v>
      </c>
      <c r="BH663" s="170">
        <f>(Escenarios!$F$16*AK663+0.1*BC663)/(Escenarios!$F$19)</f>
        <v>2.8770367149864748</v>
      </c>
      <c r="BI663" s="170">
        <f>IF(Escenarios!$F$17&gt;0,BF663/10/Escenarios!$F$19,AL663)</f>
        <v>0</v>
      </c>
      <c r="BJ663" s="170">
        <f>(Escenarios!$F$16*AT663+0.1*BD663)/(Escenarios!$F$19)</f>
        <v>9.5087763942506856E-2</v>
      </c>
      <c r="BK663" s="76">
        <f>BK662+(0.1*BD663)/(Escenarios!$F$19)-BL662</f>
        <v>48.75</v>
      </c>
      <c r="BL663" s="76">
        <f>MAX(0,(BK663-Constantes!$D$13)*(1-EXP(-Constantes!$D$23)))</f>
        <v>0</v>
      </c>
      <c r="BM663" s="76">
        <f t="shared" si="152"/>
        <v>0.1728478695757136</v>
      </c>
      <c r="BN663" s="76">
        <f t="shared" si="153"/>
        <v>1.0464562896615117</v>
      </c>
      <c r="BO663" s="76">
        <f>0.0526*BI663*Observaciones!$F662^1.218</f>
        <v>0</v>
      </c>
      <c r="BP663" s="76">
        <f>BO663*Constantes!$F$51</f>
        <v>0</v>
      </c>
      <c r="BQ663" s="76">
        <f t="shared" si="154"/>
        <v>0</v>
      </c>
      <c r="BR663" s="40"/>
    </row>
    <row r="664" spans="2:70">
      <c r="B664" s="39"/>
      <c r="C664" s="75">
        <v>658</v>
      </c>
      <c r="D664" s="146">
        <f>ETo!$I663*((1-Constantes!$F$19)*ETo!$K663+ETo!$L663)</f>
        <v>4.2938937353643167</v>
      </c>
      <c r="E664" s="76">
        <f>MIN(D664*Constantes!$F$17,0.8*(N663+Observaciones!$F663-F664-M664-Constantes!$D$14))</f>
        <v>2.4488580832020945</v>
      </c>
      <c r="F664" s="76">
        <f>IF(Observaciones!$F663&gt;0.05*Constantes!$F$18,((Observaciones!$F663-0.05*Constantes!$F$18)^2)/(Observaciones!$F663+0.95*Constantes!$F$18),0)</f>
        <v>0</v>
      </c>
      <c r="G664" s="76">
        <f>IF(Escenarios!$F$11&gt;0,(F664*Escenarios!$F$16*10000)/1000,0)</f>
        <v>0</v>
      </c>
      <c r="H664" s="76">
        <f>IF(Escenarios!$F$11&gt;0,(Observaciones!$F663*Constantes!$F$29)/1000,0)</f>
        <v>0</v>
      </c>
      <c r="I664" s="76">
        <f>IF(Escenarios!$F$11&gt;0,(D664*Constantes!$F$29)/1000,0)</f>
        <v>0</v>
      </c>
      <c r="J664" s="76">
        <f>IF(Escenarios!$F$11&gt;0,MAX(0,G664+H664-I664),0)</f>
        <v>0</v>
      </c>
      <c r="K664" s="76">
        <f>IF(Escenarios!$F$11&gt;0,IF(J664&gt;Constantes!$F$30,1000*((J664-Constantes!$F$30)/(Escenarios!$F$16*10000)),0),F664)</f>
        <v>0</v>
      </c>
      <c r="L664" s="76">
        <f>IF(Escenarios!$F$11&gt;0,I664*1000/Escenarios!$F$16/10000+E664,E664)</f>
        <v>2.4488580832020945</v>
      </c>
      <c r="M664" s="76">
        <f>MAX(0,N663+Observaciones!$F663-K664-Constantes!$D$13)</f>
        <v>0</v>
      </c>
      <c r="N664" s="76">
        <f>N663+Observaciones!$F663-K664-L664-M664-O663</f>
        <v>41.210047387415187</v>
      </c>
      <c r="O664" s="76">
        <f>MAX(0,(N664-Constantes!$D$14)*(1-EXP(-Constantes!$D$22)))</f>
        <v>1.0205491996009499</v>
      </c>
      <c r="P664" s="170">
        <f>P663+(Entradas!$F$83*M664-Q663)/(800*Entradas!$D$25)</f>
        <v>0</v>
      </c>
      <c r="Q664" s="170">
        <f>8000*Entradas!$D$26*P664/Constantes!$F$45</f>
        <v>0</v>
      </c>
      <c r="R664" s="170">
        <f>IF(Escenarios!$F$14&gt;0,K664*Escenarios!$F$13/Escenarios!$F$14,0)</f>
        <v>0</v>
      </c>
      <c r="S664" s="170">
        <f>IF(Escenarios!$F$14&gt;0,Q664*Escenarios!$F$13/Escenarios!$F$14,0)</f>
        <v>0</v>
      </c>
      <c r="T664" s="170">
        <f>IF(Escenarios!$F$14&gt;0,Observaciones!$I663,0)</f>
        <v>0</v>
      </c>
      <c r="U664" s="170">
        <f>IF(Escenarios!$F$14&gt;0,MAX(0,Constantes!$F$36/((Z663+R664+S664+T664+Observaciones!$F663)^2)+Entradas!$F$77),0)</f>
        <v>0.70681105410152112</v>
      </c>
      <c r="V664" s="146">
        <f>IF(ETo!D663&gt;0,ETo!I663*((1-Entradas!$F$81)*ETo!K663+ETo!L663),0)</f>
        <v>3.8123732526206831</v>
      </c>
      <c r="W664" s="170">
        <f>IF(Escenarios!$F$14&gt;0,MIN(V664*1,0.8*(Z663+R664+S664+T664+Observaciones!$F663-U664-Constantes!$F$35)),0)</f>
        <v>3.8123732526206831</v>
      </c>
      <c r="X664" s="170">
        <f>IF(Escenarios!$F$14&gt;0,Observaciones!$J663,0)</f>
        <v>0</v>
      </c>
      <c r="Y664" s="170">
        <f>IF(Escenarios!$F$14&gt;0,MAX(0,Z663+R664+S664+T664+Observaciones!$F663-U664-W664-X664-Constantes!$F$33),0)</f>
        <v>0</v>
      </c>
      <c r="Z664" s="170">
        <f>Z663+R664+S664+T664+Observaciones!$F663-U664-W664-Y664</f>
        <v>62.39166980141551</v>
      </c>
      <c r="AA664" s="170">
        <f>IF(Escenarios!$F$14&gt;0,(Escenarios!$F$13*L664+Escenarios!$F$14*W664)/(Escenarios!$F$16),L664)</f>
        <v>2.612479903532325</v>
      </c>
      <c r="AB664" s="170">
        <f>IF(Escenarios!$F$14&gt;0,(Escenarios!$F$14*Y664)/(Escenarios!$F$16),K664)</f>
        <v>0</v>
      </c>
      <c r="AC664" s="170">
        <f>IF(Escenarios!$F$14&gt;0,(Escenarios!$F$13*M664+Escenarios!$F$14*U664)/(Escenarios!$F$16),M664)</f>
        <v>8.4817326492182529E-2</v>
      </c>
      <c r="AD664" s="76">
        <f t="shared" si="141"/>
        <v>65.233854011955898</v>
      </c>
      <c r="AE664" s="76">
        <f>MAX(0,(AD664-Constantes!$D$13)*(1-EXP(-Constantes!$D$23)))</f>
        <v>0.16241933972794195</v>
      </c>
      <c r="AF664" s="76">
        <f>AB664+O664*Escenarios!$F$13/Escenarios!$F$16+AE664</f>
        <v>1.0605026353767779</v>
      </c>
      <c r="AG664" s="76">
        <f>IF(Entradas!$F$91&gt;0,IF(AF664-Escenarios!$F$38&lt;=0,0,IF(AF664-Escenarios!$F$38&gt;Escenarios!$F$37,Escenarios!$F$37,AF664-Escenarios!$F$38)),0)</f>
        <v>2.370263537677797E-2</v>
      </c>
      <c r="AH664" s="76">
        <f>AG664*Entradas!$F$99</f>
        <v>0</v>
      </c>
      <c r="AI664" s="76">
        <f>IF(Entradas!$F$91&gt;0,D664*Entradas!$D$23/Escenarios!$F$16,0)</f>
        <v>0.20610689929748718</v>
      </c>
      <c r="AJ664" s="76">
        <f>IF(Entradas!$F$91&gt;0,Entradas!$D$24*Entradas!$D$22/Escenarios!$F$16,0)</f>
        <v>0.12</v>
      </c>
      <c r="AK664" s="76">
        <f t="shared" si="142"/>
        <v>2.8185868028298122</v>
      </c>
      <c r="AL664" s="76">
        <f t="shared" si="143"/>
        <v>0</v>
      </c>
      <c r="AM664" s="76">
        <f t="shared" si="144"/>
        <v>2.370263537677797E-2</v>
      </c>
      <c r="AN664" s="76">
        <f>MAX(0,O664*Escenarios!$F$13/Escenarios!$F$16-AM664)</f>
        <v>0.87438066027205796</v>
      </c>
      <c r="AO664" s="76">
        <f>AM664+AN664-O664*Escenarios!$F$13/Escenarios!$F$16</f>
        <v>0</v>
      </c>
      <c r="AP664" s="76">
        <f t="shared" si="145"/>
        <v>0.16241933972794195</v>
      </c>
      <c r="AQ664" s="76">
        <f t="shared" si="146"/>
        <v>0</v>
      </c>
      <c r="AR664" s="76">
        <f t="shared" si="147"/>
        <v>1.0367999999999999</v>
      </c>
      <c r="AS664" s="76">
        <f t="shared" si="148"/>
        <v>0</v>
      </c>
      <c r="AT664" s="76">
        <f t="shared" si="149"/>
        <v>8.4817326492182529E-2</v>
      </c>
      <c r="AU664" s="76">
        <f t="shared" si="150"/>
        <v>49.37208290435278</v>
      </c>
      <c r="AV664" s="76">
        <f>MAX(0,(AU664-Constantes!$D$13)*(1-EXP(-Constantes!$D$24)))</f>
        <v>9.5086908882988305E-3</v>
      </c>
      <c r="AW664" s="170">
        <f>AW663+(Entradas!$F$112*AT664-AX663)/(800*Entradas!$D$25)</f>
        <v>0</v>
      </c>
      <c r="AX664" s="170">
        <f>8000*Entradas!$D$26*AW664/Constantes!$F$45</f>
        <v>0</v>
      </c>
      <c r="AY664" s="170">
        <f>IF(Escenarios!$F$17&gt;0,10*Escenarios!$F$16*AL664,0)</f>
        <v>0</v>
      </c>
      <c r="AZ664" s="170">
        <f>IF(Escenarios!$F$17&gt;0,10*Escenarios!$F$16*AX664,0)</f>
        <v>0</v>
      </c>
      <c r="BA664" s="170">
        <f>IF(Escenarios!$F$17&gt;0,0.001*Observaciones!$F663*Escenarios!$F$17,0)</f>
        <v>0</v>
      </c>
      <c r="BB664" s="170">
        <f>IF(Escenarios!$F$17&gt;0,Observaciones!$K663,0)</f>
        <v>0</v>
      </c>
      <c r="BC664" s="170">
        <f>IF(Escenarios!$F$17&gt;0,MIN(0.0005*ETo!$M663*Escenarios!$F$17*(BG663/Constantes!$F$40)^(2/3),BG663+AY664+AZ664+BA664+BB664),0)</f>
        <v>0</v>
      </c>
      <c r="BD664" s="170">
        <f>IF(Escenarios!$F$17&gt;0,MIN(Constantes!$F$39*(BG663/Constantes!$F$40)^(2/3),BG663+AY664+AZ664+BA664+BB664-BC664),0)</f>
        <v>0</v>
      </c>
      <c r="BE664" s="170">
        <f>IF(Escenarios!$F$17&gt;0,MIN(Entradas!$F$113,BG663+AY664+AZ664+BA664+BB664-BC664-BD664),0)</f>
        <v>0</v>
      </c>
      <c r="BF664" s="170">
        <f>IF(Escenarios!$F$17&gt;0,MAX(0,BG663+AY664+AZ664+BA664+BB664-BC664-BD664-BE664-Constantes!$F$40),0)</f>
        <v>0</v>
      </c>
      <c r="BG664" s="170">
        <f t="shared" si="151"/>
        <v>0</v>
      </c>
      <c r="BH664" s="170">
        <f>(Escenarios!$F$16*AK664+0.1*BC664)/(Escenarios!$F$19)</f>
        <v>2.8185868028298122</v>
      </c>
      <c r="BI664" s="170">
        <f>IF(Escenarios!$F$17&gt;0,BF664/10/Escenarios!$F$19,AL664)</f>
        <v>0</v>
      </c>
      <c r="BJ664" s="170">
        <f>(Escenarios!$F$16*AT664+0.1*BD664)/(Escenarios!$F$19)</f>
        <v>8.4817326492182529E-2</v>
      </c>
      <c r="BK664" s="76">
        <f>BK663+(0.1*BD664)/(Escenarios!$F$19)-BL663</f>
        <v>48.75</v>
      </c>
      <c r="BL664" s="76">
        <f>MAX(0,(BK664-Constantes!$D$13)*(1-EXP(-Constantes!$D$23)))</f>
        <v>0</v>
      </c>
      <c r="BM664" s="76">
        <f t="shared" si="152"/>
        <v>0.17192803061624079</v>
      </c>
      <c r="BN664" s="76">
        <f t="shared" si="153"/>
        <v>1.0463086908882988</v>
      </c>
      <c r="BO664" s="76">
        <f>0.0526*BI664*Observaciones!$F663^1.218</f>
        <v>0</v>
      </c>
      <c r="BP664" s="76">
        <f>BO664*Constantes!$F$51</f>
        <v>0</v>
      </c>
      <c r="BQ664" s="76">
        <f t="shared" si="154"/>
        <v>0</v>
      </c>
      <c r="BR664" s="40"/>
    </row>
    <row r="665" spans="2:70">
      <c r="B665" s="39"/>
      <c r="C665" s="75">
        <v>659</v>
      </c>
      <c r="D665" s="146">
        <f>ETo!$I664*((1-Constantes!$F$19)*ETo!$K664+ETo!$L664)</f>
        <v>4.3869792516296027</v>
      </c>
      <c r="E665" s="76">
        <f>MIN(D665*Constantes!$F$17,0.8*(N664+Observaciones!$F664-F665-M665-Constantes!$D$14))</f>
        <v>2.5019458475912955</v>
      </c>
      <c r="F665" s="76">
        <f>IF(Observaciones!$F664&gt;0.05*Constantes!$F$18,((Observaciones!$F664-0.05*Constantes!$F$18)^2)/(Observaciones!$F664+0.95*Constantes!$F$18),0)</f>
        <v>0</v>
      </c>
      <c r="G665" s="76">
        <f>IF(Escenarios!$F$11&gt;0,(F665*Escenarios!$F$16*10000)/1000,0)</f>
        <v>0</v>
      </c>
      <c r="H665" s="76">
        <f>IF(Escenarios!$F$11&gt;0,(Observaciones!$F664*Constantes!$F$29)/1000,0)</f>
        <v>0</v>
      </c>
      <c r="I665" s="76">
        <f>IF(Escenarios!$F$11&gt;0,(D665*Constantes!$F$29)/1000,0)</f>
        <v>0</v>
      </c>
      <c r="J665" s="76">
        <f>IF(Escenarios!$F$11&gt;0,MAX(0,G665+H665-I665),0)</f>
        <v>0</v>
      </c>
      <c r="K665" s="76">
        <f>IF(Escenarios!$F$11&gt;0,IF(J665&gt;Constantes!$F$30,1000*((J665-Constantes!$F$30)/(Escenarios!$F$16*10000)),0),F665)</f>
        <v>0</v>
      </c>
      <c r="L665" s="76">
        <f>IF(Escenarios!$F$11&gt;0,I665*1000/Escenarios!$F$16/10000+E665,E665)</f>
        <v>2.5019458475912955</v>
      </c>
      <c r="M665" s="76">
        <f>MAX(0,N664+Observaciones!$F664-K665-Constantes!$D$13)</f>
        <v>0</v>
      </c>
      <c r="N665" s="76">
        <f>N664+Observaciones!$F664-K665-L665-M665-O664</f>
        <v>37.687552340222943</v>
      </c>
      <c r="O665" s="76">
        <f>MAX(0,(N665-Constantes!$D$14)*(1-EXP(-Constantes!$D$22)))</f>
        <v>0.90056008694953282</v>
      </c>
      <c r="P665" s="170">
        <f>P664+(Entradas!$F$83*M665-Q664)/(800*Entradas!$D$25)</f>
        <v>0</v>
      </c>
      <c r="Q665" s="170">
        <f>8000*Entradas!$D$26*P665/Constantes!$F$45</f>
        <v>0</v>
      </c>
      <c r="R665" s="170">
        <f>IF(Escenarios!$F$14&gt;0,K665*Escenarios!$F$13/Escenarios!$F$14,0)</f>
        <v>0</v>
      </c>
      <c r="S665" s="170">
        <f>IF(Escenarios!$F$14&gt;0,Q665*Escenarios!$F$13/Escenarios!$F$14,0)</f>
        <v>0</v>
      </c>
      <c r="T665" s="170">
        <f>IF(Escenarios!$F$14&gt;0,Observaciones!$I664,0)</f>
        <v>0</v>
      </c>
      <c r="U665" s="170">
        <f>IF(Escenarios!$F$14&gt;0,MAX(0,Constantes!$F$36/((Z664+R665+S665+T665+Observaciones!$F664)^2)+Entradas!$F$77),0)</f>
        <v>0.36257712212035687</v>
      </c>
      <c r="V665" s="146">
        <f>IF(ETo!D664&gt;0,ETo!I664*((1-Entradas!$F$81)*ETo!K664+ETo!L664),0)</f>
        <v>3.8963294480472377</v>
      </c>
      <c r="W665" s="170">
        <f>IF(Escenarios!$F$14&gt;0,MIN(V665*1,0.8*(Z664+R665+S665+T665+Observaciones!$F664-U665-Constantes!$F$35)),0)</f>
        <v>3.8963294480472377</v>
      </c>
      <c r="X665" s="170">
        <f>IF(Escenarios!$F$14&gt;0,Observaciones!$J664,0)</f>
        <v>0</v>
      </c>
      <c r="Y665" s="170">
        <f>IF(Escenarios!$F$14&gt;0,MAX(0,Z664+R665+S665+T665+Observaciones!$F664-U665-W665-X665-Constantes!$F$33),0)</f>
        <v>0</v>
      </c>
      <c r="Z665" s="170">
        <f>Z664+R665+S665+T665+Observaciones!$F664-U665-W665-Y665</f>
        <v>58.132763231247914</v>
      </c>
      <c r="AA665" s="170">
        <f>IF(Escenarios!$F$14&gt;0,(Escenarios!$F$13*L665+Escenarios!$F$14*W665)/(Escenarios!$F$16),L665)</f>
        <v>2.6692718796460086</v>
      </c>
      <c r="AB665" s="170">
        <f>IF(Escenarios!$F$14&gt;0,(Escenarios!$F$14*Y665)/(Escenarios!$F$16),K665)</f>
        <v>0</v>
      </c>
      <c r="AC665" s="170">
        <f>IF(Escenarios!$F$14&gt;0,(Escenarios!$F$13*M665+Escenarios!$F$14*U665)/(Escenarios!$F$16),M665)</f>
        <v>4.350925465444283E-2</v>
      </c>
      <c r="AD665" s="76">
        <f t="shared" si="141"/>
        <v>65.11494392688239</v>
      </c>
      <c r="AE665" s="76">
        <f>MAX(0,(AD665-Constantes!$D$13)*(1-EXP(-Constantes!$D$23)))</f>
        <v>0.16124769033753697</v>
      </c>
      <c r="AF665" s="76">
        <f>AB665+O665*Escenarios!$F$13/Escenarios!$F$16+AE665</f>
        <v>0.95374056685312592</v>
      </c>
      <c r="AG665" s="76">
        <f>IF(Entradas!$F$91&gt;0,IF(AF665-Escenarios!$F$38&lt;=0,0,IF(AF665-Escenarios!$F$38&gt;Escenarios!$F$37,Escenarios!$F$37,AF665-Escenarios!$F$38)),0)</f>
        <v>0</v>
      </c>
      <c r="AH665" s="76">
        <f>AG665*Entradas!$F$99</f>
        <v>0</v>
      </c>
      <c r="AI665" s="76">
        <f>IF(Entradas!$F$91&gt;0,D665*Entradas!$D$23/Escenarios!$F$16,0)</f>
        <v>0.21057500407822094</v>
      </c>
      <c r="AJ665" s="76">
        <f>IF(Entradas!$F$91&gt;0,Entradas!$D$24*Entradas!$D$22/Escenarios!$F$16,0)</f>
        <v>0.12</v>
      </c>
      <c r="AK665" s="76">
        <f t="shared" si="142"/>
        <v>2.8798468837242295</v>
      </c>
      <c r="AL665" s="76">
        <f t="shared" si="143"/>
        <v>0</v>
      </c>
      <c r="AM665" s="76">
        <f t="shared" si="144"/>
        <v>0</v>
      </c>
      <c r="AN665" s="76">
        <f>MAX(0,O665*Escenarios!$F$13/Escenarios!$F$16-AM665)</f>
        <v>0.79249287651558897</v>
      </c>
      <c r="AO665" s="76">
        <f>AM665+AN665-O665*Escenarios!$F$13/Escenarios!$F$16</f>
        <v>0</v>
      </c>
      <c r="AP665" s="76">
        <f t="shared" si="145"/>
        <v>0.16124769033753697</v>
      </c>
      <c r="AQ665" s="76">
        <f t="shared" si="146"/>
        <v>0</v>
      </c>
      <c r="AR665" s="76">
        <f t="shared" si="147"/>
        <v>0.95374056685312592</v>
      </c>
      <c r="AS665" s="76">
        <f t="shared" si="148"/>
        <v>0</v>
      </c>
      <c r="AT665" s="76">
        <f t="shared" si="149"/>
        <v>4.350925465444283E-2</v>
      </c>
      <c r="AU665" s="76">
        <f t="shared" si="150"/>
        <v>49.362574213464484</v>
      </c>
      <c r="AV665" s="76">
        <f>MAX(0,(AU665-Constantes!$D$13)*(1-EXP(-Constantes!$D$24)))</f>
        <v>9.3633481988011011E-3</v>
      </c>
      <c r="AW665" s="170">
        <f>AW664+(Entradas!$F$112*AT665-AX664)/(800*Entradas!$D$25)</f>
        <v>0</v>
      </c>
      <c r="AX665" s="170">
        <f>8000*Entradas!$D$26*AW665/Constantes!$F$45</f>
        <v>0</v>
      </c>
      <c r="AY665" s="170">
        <f>IF(Escenarios!$F$17&gt;0,10*Escenarios!$F$16*AL665,0)</f>
        <v>0</v>
      </c>
      <c r="AZ665" s="170">
        <f>IF(Escenarios!$F$17&gt;0,10*Escenarios!$F$16*AX665,0)</f>
        <v>0</v>
      </c>
      <c r="BA665" s="170">
        <f>IF(Escenarios!$F$17&gt;0,0.001*Observaciones!$F664*Escenarios!$F$17,0)</f>
        <v>0</v>
      </c>
      <c r="BB665" s="170">
        <f>IF(Escenarios!$F$17&gt;0,Observaciones!$K664,0)</f>
        <v>0</v>
      </c>
      <c r="BC665" s="170">
        <f>IF(Escenarios!$F$17&gt;0,MIN(0.0005*ETo!$M664*Escenarios!$F$17*(BG664/Constantes!$F$40)^(2/3),BG664+AY665+AZ665+BA665+BB665),0)</f>
        <v>0</v>
      </c>
      <c r="BD665" s="170">
        <f>IF(Escenarios!$F$17&gt;0,MIN(Constantes!$F$39*(BG664/Constantes!$F$40)^(2/3),BG664+AY665+AZ665+BA665+BB665-BC665),0)</f>
        <v>0</v>
      </c>
      <c r="BE665" s="170">
        <f>IF(Escenarios!$F$17&gt;0,MIN(Entradas!$F$113,BG664+AY665+AZ665+BA665+BB665-BC665-BD665),0)</f>
        <v>0</v>
      </c>
      <c r="BF665" s="170">
        <f>IF(Escenarios!$F$17&gt;0,MAX(0,BG664+AY665+AZ665+BA665+BB665-BC665-BD665-BE665-Constantes!$F$40),0)</f>
        <v>0</v>
      </c>
      <c r="BG665" s="170">
        <f t="shared" si="151"/>
        <v>0</v>
      </c>
      <c r="BH665" s="170">
        <f>(Escenarios!$F$16*AK665+0.1*BC665)/(Escenarios!$F$19)</f>
        <v>2.8798468837242295</v>
      </c>
      <c r="BI665" s="170">
        <f>IF(Escenarios!$F$17&gt;0,BF665/10/Escenarios!$F$19,AL665)</f>
        <v>0</v>
      </c>
      <c r="BJ665" s="170">
        <f>(Escenarios!$F$16*AT665+0.1*BD665)/(Escenarios!$F$19)</f>
        <v>4.350925465444283E-2</v>
      </c>
      <c r="BK665" s="76">
        <f>BK664+(0.1*BD665)/(Escenarios!$F$19)-BL664</f>
        <v>48.75</v>
      </c>
      <c r="BL665" s="76">
        <f>MAX(0,(BK665-Constantes!$D$13)*(1-EXP(-Constantes!$D$23)))</f>
        <v>0</v>
      </c>
      <c r="BM665" s="76">
        <f t="shared" si="152"/>
        <v>0.17061103853633808</v>
      </c>
      <c r="BN665" s="76">
        <f t="shared" si="153"/>
        <v>0.96310391505192705</v>
      </c>
      <c r="BO665" s="76">
        <f>0.0526*BI665*Observaciones!$F664^1.218</f>
        <v>0</v>
      </c>
      <c r="BP665" s="76">
        <f>BO665*Constantes!$F$51</f>
        <v>0</v>
      </c>
      <c r="BQ665" s="76">
        <f t="shared" si="154"/>
        <v>0</v>
      </c>
      <c r="BR665" s="40"/>
    </row>
    <row r="666" spans="2:70">
      <c r="B666" s="39"/>
      <c r="C666" s="75">
        <v>660</v>
      </c>
      <c r="D666" s="146">
        <f>ETo!$I665*((1-Constantes!$F$19)*ETo!$K665+ETo!$L665)</f>
        <v>4.4297688165611762</v>
      </c>
      <c r="E666" s="76">
        <f>MIN(D666*Constantes!$F$17,0.8*(N665+Observaciones!$F665-F666-M666-Constantes!$D$14))</f>
        <v>2.5263492395747473</v>
      </c>
      <c r="F666" s="76">
        <f>IF(Observaciones!$F665&gt;0.05*Constantes!$F$18,((Observaciones!$F665-0.05*Constantes!$F$18)^2)/(Observaciones!$F665+0.95*Constantes!$F$18),0)</f>
        <v>0</v>
      </c>
      <c r="G666" s="76">
        <f>IF(Escenarios!$F$11&gt;0,(F666*Escenarios!$F$16*10000)/1000,0)</f>
        <v>0</v>
      </c>
      <c r="H666" s="76">
        <f>IF(Escenarios!$F$11&gt;0,(Observaciones!$F665*Constantes!$F$29)/1000,0)</f>
        <v>0</v>
      </c>
      <c r="I666" s="76">
        <f>IF(Escenarios!$F$11&gt;0,(D666*Constantes!$F$29)/1000,0)</f>
        <v>0</v>
      </c>
      <c r="J666" s="76">
        <f>IF(Escenarios!$F$11&gt;0,MAX(0,G666+H666-I666),0)</f>
        <v>0</v>
      </c>
      <c r="K666" s="76">
        <f>IF(Escenarios!$F$11&gt;0,IF(J666&gt;Constantes!$F$30,1000*((J666-Constantes!$F$30)/(Escenarios!$F$16*10000)),0),F666)</f>
        <v>0</v>
      </c>
      <c r="L666" s="76">
        <f>IF(Escenarios!$F$11&gt;0,I666*1000/Escenarios!$F$16/10000+E666,E666)</f>
        <v>2.5263492395747473</v>
      </c>
      <c r="M666" s="76">
        <f>MAX(0,N665+Observaciones!$F665-K666-Constantes!$D$13)</f>
        <v>0</v>
      </c>
      <c r="N666" s="76">
        <f>N665+Observaciones!$F665-K666-L666-M666-O665</f>
        <v>36.760643013698662</v>
      </c>
      <c r="O666" s="76">
        <f>MAX(0,(N666-Constantes!$D$14)*(1-EXP(-Constantes!$D$22)))</f>
        <v>0.86898615253431677</v>
      </c>
      <c r="P666" s="170">
        <f>P665+(Entradas!$F$83*M666-Q665)/(800*Entradas!$D$25)</f>
        <v>0</v>
      </c>
      <c r="Q666" s="170">
        <f>8000*Entradas!$D$26*P666/Constantes!$F$45</f>
        <v>0</v>
      </c>
      <c r="R666" s="170">
        <f>IF(Escenarios!$F$14&gt;0,K666*Escenarios!$F$13/Escenarios!$F$14,0)</f>
        <v>0</v>
      </c>
      <c r="S666" s="170">
        <f>IF(Escenarios!$F$14&gt;0,Q666*Escenarios!$F$13/Escenarios!$F$14,0)</f>
        <v>0</v>
      </c>
      <c r="T666" s="170">
        <f>IF(Escenarios!$F$14&gt;0,Observaciones!$I665,0)</f>
        <v>0</v>
      </c>
      <c r="U666" s="170">
        <f>IF(Escenarios!$F$14&gt;0,MAX(0,Constantes!$F$36/((Z665+R666+S666+T666+Observaciones!$F665)^2)+Entradas!$F$77),0)</f>
        <v>0.20733871041210872</v>
      </c>
      <c r="V666" s="146">
        <f>IF(ETo!D665&gt;0,ETo!I665*((1-Entradas!$F$81)*ETo!K665+ETo!L665),0)</f>
        <v>3.9350402367571888</v>
      </c>
      <c r="W666" s="170">
        <f>IF(Escenarios!$F$14&gt;0,MIN(V666*1,0.8*(Z665+R666+S666+T666+Observaciones!$F665-U666-Constantes!$F$35)),0)</f>
        <v>3.9350402367571888</v>
      </c>
      <c r="X666" s="170">
        <f>IF(Escenarios!$F$14&gt;0,Observaciones!$J665,0)</f>
        <v>0</v>
      </c>
      <c r="Y666" s="170">
        <f>IF(Escenarios!$F$14&gt;0,MAX(0,Z665+R666+S666+T666+Observaciones!$F665-U666-W666-X666-Constantes!$F$33),0)</f>
        <v>0</v>
      </c>
      <c r="Z666" s="170">
        <f>Z665+R666+S666+T666+Observaciones!$F665-U666-W666-Y666</f>
        <v>56.490384284078615</v>
      </c>
      <c r="AA666" s="170">
        <f>IF(Escenarios!$F$14&gt;0,(Escenarios!$F$13*L666+Escenarios!$F$14*W666)/(Escenarios!$F$16),L666)</f>
        <v>2.6953921592366403</v>
      </c>
      <c r="AB666" s="170">
        <f>IF(Escenarios!$F$14&gt;0,(Escenarios!$F$14*Y666)/(Escenarios!$F$16),K666)</f>
        <v>0</v>
      </c>
      <c r="AC666" s="170">
        <f>IF(Escenarios!$F$14&gt;0,(Escenarios!$F$13*M666+Escenarios!$F$14*U666)/(Escenarios!$F$16),M666)</f>
        <v>2.4880645249453045E-2</v>
      </c>
      <c r="AD666" s="76">
        <f t="shared" si="141"/>
        <v>64.978576881794311</v>
      </c>
      <c r="AE666" s="76">
        <f>MAX(0,(AD666-Constantes!$D$13)*(1-EXP(-Constantes!$D$23)))</f>
        <v>0.15990403336218451</v>
      </c>
      <c r="AF666" s="76">
        <f>AB666+O666*Escenarios!$F$13/Escenarios!$F$16+AE666</f>
        <v>0.92461184759238324</v>
      </c>
      <c r="AG666" s="76">
        <f>IF(Entradas!$F$91&gt;0,IF(AF666-Escenarios!$F$38&lt;=0,0,IF(AF666-Escenarios!$F$38&gt;Escenarios!$F$37,Escenarios!$F$37,AF666-Escenarios!$F$38)),0)</f>
        <v>0</v>
      </c>
      <c r="AH666" s="76">
        <f>AG666*Entradas!$F$99</f>
        <v>0</v>
      </c>
      <c r="AI666" s="76">
        <f>IF(Entradas!$F$91&gt;0,D666*Entradas!$D$23/Escenarios!$F$16,0)</f>
        <v>0.21262890319493646</v>
      </c>
      <c r="AJ666" s="76">
        <f>IF(Entradas!$F$91&gt;0,Entradas!$D$24*Entradas!$D$22/Escenarios!$F$16,0)</f>
        <v>0.12</v>
      </c>
      <c r="AK666" s="76">
        <f t="shared" si="142"/>
        <v>2.908021062431577</v>
      </c>
      <c r="AL666" s="76">
        <f t="shared" si="143"/>
        <v>0</v>
      </c>
      <c r="AM666" s="76">
        <f t="shared" si="144"/>
        <v>0</v>
      </c>
      <c r="AN666" s="76">
        <f>MAX(0,O666*Escenarios!$F$13/Escenarios!$F$16-AM666)</f>
        <v>0.76470781423019873</v>
      </c>
      <c r="AO666" s="76">
        <f>AM666+AN666-O666*Escenarios!$F$13/Escenarios!$F$16</f>
        <v>0</v>
      </c>
      <c r="AP666" s="76">
        <f t="shared" si="145"/>
        <v>0.15990403336218451</v>
      </c>
      <c r="AQ666" s="76">
        <f t="shared" si="146"/>
        <v>0</v>
      </c>
      <c r="AR666" s="76">
        <f t="shared" si="147"/>
        <v>0.92461184759238324</v>
      </c>
      <c r="AS666" s="76">
        <f t="shared" si="148"/>
        <v>0</v>
      </c>
      <c r="AT666" s="76">
        <f t="shared" si="149"/>
        <v>2.4880645249453045E-2</v>
      </c>
      <c r="AU666" s="76">
        <f t="shared" si="150"/>
        <v>49.35321086526568</v>
      </c>
      <c r="AV666" s="76">
        <f>MAX(0,(AU666-Constantes!$D$13)*(1-EXP(-Constantes!$D$24)))</f>
        <v>9.2202271082214397E-3</v>
      </c>
      <c r="AW666" s="170">
        <f>AW665+(Entradas!$F$112*AT666-AX665)/(800*Entradas!$D$25)</f>
        <v>0</v>
      </c>
      <c r="AX666" s="170">
        <f>8000*Entradas!$D$26*AW666/Constantes!$F$45</f>
        <v>0</v>
      </c>
      <c r="AY666" s="170">
        <f>IF(Escenarios!$F$17&gt;0,10*Escenarios!$F$16*AL666,0)</f>
        <v>0</v>
      </c>
      <c r="AZ666" s="170">
        <f>IF(Escenarios!$F$17&gt;0,10*Escenarios!$F$16*AX666,0)</f>
        <v>0</v>
      </c>
      <c r="BA666" s="170">
        <f>IF(Escenarios!$F$17&gt;0,0.001*Observaciones!$F665*Escenarios!$F$17,0)</f>
        <v>0</v>
      </c>
      <c r="BB666" s="170">
        <f>IF(Escenarios!$F$17&gt;0,Observaciones!$K665,0)</f>
        <v>0</v>
      </c>
      <c r="BC666" s="170">
        <f>IF(Escenarios!$F$17&gt;0,MIN(0.0005*ETo!$M665*Escenarios!$F$17*(BG665/Constantes!$F$40)^(2/3),BG665+AY666+AZ666+BA666+BB666),0)</f>
        <v>0</v>
      </c>
      <c r="BD666" s="170">
        <f>IF(Escenarios!$F$17&gt;0,MIN(Constantes!$F$39*(BG665/Constantes!$F$40)^(2/3),BG665+AY666+AZ666+BA666+BB666-BC666),0)</f>
        <v>0</v>
      </c>
      <c r="BE666" s="170">
        <f>IF(Escenarios!$F$17&gt;0,MIN(Entradas!$F$113,BG665+AY666+AZ666+BA666+BB666-BC666-BD666),0)</f>
        <v>0</v>
      </c>
      <c r="BF666" s="170">
        <f>IF(Escenarios!$F$17&gt;0,MAX(0,BG665+AY666+AZ666+BA666+BB666-BC666-BD666-BE666-Constantes!$F$40),0)</f>
        <v>0</v>
      </c>
      <c r="BG666" s="170">
        <f t="shared" si="151"/>
        <v>0</v>
      </c>
      <c r="BH666" s="170">
        <f>(Escenarios!$F$16*AK666+0.1*BC666)/(Escenarios!$F$19)</f>
        <v>2.908021062431577</v>
      </c>
      <c r="BI666" s="170">
        <f>IF(Escenarios!$F$17&gt;0,BF666/10/Escenarios!$F$19,AL666)</f>
        <v>0</v>
      </c>
      <c r="BJ666" s="170">
        <f>(Escenarios!$F$16*AT666+0.1*BD666)/(Escenarios!$F$19)</f>
        <v>2.4880645249453045E-2</v>
      </c>
      <c r="BK666" s="76">
        <f>BK665+(0.1*BD666)/(Escenarios!$F$19)-BL665</f>
        <v>48.75</v>
      </c>
      <c r="BL666" s="76">
        <f>MAX(0,(BK666-Constantes!$D$13)*(1-EXP(-Constantes!$D$23)))</f>
        <v>0</v>
      </c>
      <c r="BM666" s="76">
        <f t="shared" si="152"/>
        <v>0.16912426047040593</v>
      </c>
      <c r="BN666" s="76">
        <f t="shared" si="153"/>
        <v>0.9338320747006047</v>
      </c>
      <c r="BO666" s="76">
        <f>0.0526*BI666*Observaciones!$F665^1.218</f>
        <v>0</v>
      </c>
      <c r="BP666" s="76">
        <f>BO666*Constantes!$F$51</f>
        <v>0</v>
      </c>
      <c r="BQ666" s="76">
        <f t="shared" si="154"/>
        <v>0</v>
      </c>
      <c r="BR666" s="40"/>
    </row>
    <row r="667" spans="2:70">
      <c r="B667" s="39"/>
      <c r="C667" s="75">
        <v>661</v>
      </c>
      <c r="D667" s="146">
        <f>ETo!$I666*((1-Constantes!$F$19)*ETo!$K666+ETo!$L666)</f>
        <v>4.4860869399315009</v>
      </c>
      <c r="E667" s="76">
        <f>MIN(D667*Constantes!$F$17,0.8*(N666+Observaciones!$F666-F667-M667-Constantes!$D$14))</f>
        <v>2.5584681274993204</v>
      </c>
      <c r="F667" s="76">
        <f>IF(Observaciones!$F666&gt;0.05*Constantes!$F$18,((Observaciones!$F666-0.05*Constantes!$F$18)^2)/(Observaciones!$F666+0.95*Constantes!$F$18),0)</f>
        <v>0</v>
      </c>
      <c r="G667" s="76">
        <f>IF(Escenarios!$F$11&gt;0,(F667*Escenarios!$F$16*10000)/1000,0)</f>
        <v>0</v>
      </c>
      <c r="H667" s="76">
        <f>IF(Escenarios!$F$11&gt;0,(Observaciones!$F666*Constantes!$F$29)/1000,0)</f>
        <v>0</v>
      </c>
      <c r="I667" s="76">
        <f>IF(Escenarios!$F$11&gt;0,(D667*Constantes!$F$29)/1000,0)</f>
        <v>0</v>
      </c>
      <c r="J667" s="76">
        <f>IF(Escenarios!$F$11&gt;0,MAX(0,G667+H667-I667),0)</f>
        <v>0</v>
      </c>
      <c r="K667" s="76">
        <f>IF(Escenarios!$F$11&gt;0,IF(J667&gt;Constantes!$F$30,1000*((J667-Constantes!$F$30)/(Escenarios!$F$16*10000)),0),F667)</f>
        <v>0</v>
      </c>
      <c r="L667" s="76">
        <f>IF(Escenarios!$F$11&gt;0,I667*1000/Escenarios!$F$16/10000+E667,E667)</f>
        <v>2.5584681274993204</v>
      </c>
      <c r="M667" s="76">
        <f>MAX(0,N666+Observaciones!$F666-K667-Constantes!$D$13)</f>
        <v>0</v>
      </c>
      <c r="N667" s="76">
        <f>N666+Observaciones!$F666-K667-L667-M667-O666</f>
        <v>36.533188733665028</v>
      </c>
      <c r="O667" s="76">
        <f>MAX(0,(N667-Constantes!$D$14)*(1-EXP(-Constantes!$D$22)))</f>
        <v>0.86123822475461509</v>
      </c>
      <c r="P667" s="170">
        <f>P666+(Entradas!$F$83*M667-Q666)/(800*Entradas!$D$25)</f>
        <v>0</v>
      </c>
      <c r="Q667" s="170">
        <f>8000*Entradas!$D$26*P667/Constantes!$F$45</f>
        <v>0</v>
      </c>
      <c r="R667" s="170">
        <f>IF(Escenarios!$F$14&gt;0,K667*Escenarios!$F$13/Escenarios!$F$14,0)</f>
        <v>0</v>
      </c>
      <c r="S667" s="170">
        <f>IF(Escenarios!$F$14&gt;0,Q667*Escenarios!$F$13/Escenarios!$F$14,0)</f>
        <v>0</v>
      </c>
      <c r="T667" s="170">
        <f>IF(Escenarios!$F$14&gt;0,Observaciones!$I666,0)</f>
        <v>0</v>
      </c>
      <c r="U667" s="170">
        <f>IF(Escenarios!$F$14&gt;0,MAX(0,Constantes!$F$36/((Z666+R667+S667+T667+Observaciones!$F666)^2)+Entradas!$F$77),0)</f>
        <v>0.11846275656137495</v>
      </c>
      <c r="V667" s="146">
        <f>IF(ETo!D666&gt;0,ETo!I666*((1-Entradas!$F$81)*ETo!K666+ETo!L666),0)</f>
        <v>3.9860203106475254</v>
      </c>
      <c r="W667" s="170">
        <f>IF(Escenarios!$F$14&gt;0,MIN(V667*1,0.8*(Z666+R667+S667+T667+Observaciones!$F666-U667-Constantes!$F$35)),0)</f>
        <v>3.9860203106475254</v>
      </c>
      <c r="X667" s="170">
        <f>IF(Escenarios!$F$14&gt;0,Observaciones!$J666,0)</f>
        <v>0</v>
      </c>
      <c r="Y667" s="170">
        <f>IF(Escenarios!$F$14&gt;0,MAX(0,Z666+R667+S667+T667+Observaciones!$F666-U667-W667-X667-Constantes!$F$33),0)</f>
        <v>0</v>
      </c>
      <c r="Z667" s="170">
        <f>Z666+R667+S667+T667+Observaciones!$F666-U667-W667-Y667</f>
        <v>55.585901216869715</v>
      </c>
      <c r="AA667" s="170">
        <f>IF(Escenarios!$F$14&gt;0,(Escenarios!$F$13*L667+Escenarios!$F$14*W667)/(Escenarios!$F$16),L667)</f>
        <v>2.7297743894771052</v>
      </c>
      <c r="AB667" s="170">
        <f>IF(Escenarios!$F$14&gt;0,(Escenarios!$F$14*Y667)/(Escenarios!$F$16),K667)</f>
        <v>0</v>
      </c>
      <c r="AC667" s="170">
        <f>IF(Escenarios!$F$14&gt;0,(Escenarios!$F$13*M667+Escenarios!$F$14*U667)/(Escenarios!$F$16),M667)</f>
        <v>1.4215530787364993E-2</v>
      </c>
      <c r="AD667" s="76">
        <f t="shared" si="141"/>
        <v>64.832888379219497</v>
      </c>
      <c r="AE667" s="76">
        <f>MAX(0,(AD667-Constantes!$D$13)*(1-EXP(-Constantes!$D$23)))</f>
        <v>0.15846852984601706</v>
      </c>
      <c r="AF667" s="76">
        <f>AB667+O667*Escenarios!$F$13/Escenarios!$F$16+AE667</f>
        <v>0.91635816763007827</v>
      </c>
      <c r="AG667" s="76">
        <f>IF(Entradas!$F$91&gt;0,IF(AF667-Escenarios!$F$38&lt;=0,0,IF(AF667-Escenarios!$F$38&gt;Escenarios!$F$37,Escenarios!$F$37,AF667-Escenarios!$F$38)),0)</f>
        <v>0</v>
      </c>
      <c r="AH667" s="76">
        <f>AG667*Entradas!$F$99</f>
        <v>0</v>
      </c>
      <c r="AI667" s="76">
        <f>IF(Entradas!$F$91&gt;0,D667*Entradas!$D$23/Escenarios!$F$16,0)</f>
        <v>0.21533217311671204</v>
      </c>
      <c r="AJ667" s="76">
        <f>IF(Entradas!$F$91&gt;0,Entradas!$D$24*Entradas!$D$22/Escenarios!$F$16,0)</f>
        <v>0.12</v>
      </c>
      <c r="AK667" s="76">
        <f t="shared" si="142"/>
        <v>2.9451065625938173</v>
      </c>
      <c r="AL667" s="76">
        <f t="shared" si="143"/>
        <v>0</v>
      </c>
      <c r="AM667" s="76">
        <f t="shared" si="144"/>
        <v>0</v>
      </c>
      <c r="AN667" s="76">
        <f>MAX(0,O667*Escenarios!$F$13/Escenarios!$F$16-AM667)</f>
        <v>0.75788963778406127</v>
      </c>
      <c r="AO667" s="76">
        <f>AM667+AN667-O667*Escenarios!$F$13/Escenarios!$F$16</f>
        <v>0</v>
      </c>
      <c r="AP667" s="76">
        <f t="shared" si="145"/>
        <v>0.15846852984601706</v>
      </c>
      <c r="AQ667" s="76">
        <f t="shared" si="146"/>
        <v>0</v>
      </c>
      <c r="AR667" s="76">
        <f t="shared" si="147"/>
        <v>0.91635816763007827</v>
      </c>
      <c r="AS667" s="76">
        <f t="shared" si="148"/>
        <v>0</v>
      </c>
      <c r="AT667" s="76">
        <f t="shared" si="149"/>
        <v>1.4215530787364993E-2</v>
      </c>
      <c r="AU667" s="76">
        <f t="shared" si="150"/>
        <v>49.343990638157457</v>
      </c>
      <c r="AV667" s="76">
        <f>MAX(0,(AU667-Constantes!$D$13)*(1-EXP(-Constantes!$D$24)))</f>
        <v>9.0792936588715983E-3</v>
      </c>
      <c r="AW667" s="170">
        <f>AW666+(Entradas!$F$112*AT667-AX666)/(800*Entradas!$D$25)</f>
        <v>0</v>
      </c>
      <c r="AX667" s="170">
        <f>8000*Entradas!$D$26*AW667/Constantes!$F$45</f>
        <v>0</v>
      </c>
      <c r="AY667" s="170">
        <f>IF(Escenarios!$F$17&gt;0,10*Escenarios!$F$16*AL667,0)</f>
        <v>0</v>
      </c>
      <c r="AZ667" s="170">
        <f>IF(Escenarios!$F$17&gt;0,10*Escenarios!$F$16*AX667,0)</f>
        <v>0</v>
      </c>
      <c r="BA667" s="170">
        <f>IF(Escenarios!$F$17&gt;0,0.001*Observaciones!$F666*Escenarios!$F$17,0)</f>
        <v>0</v>
      </c>
      <c r="BB667" s="170">
        <f>IF(Escenarios!$F$17&gt;0,Observaciones!$K666,0)</f>
        <v>0</v>
      </c>
      <c r="BC667" s="170">
        <f>IF(Escenarios!$F$17&gt;0,MIN(0.0005*ETo!$M666*Escenarios!$F$17*(BG666/Constantes!$F$40)^(2/3),BG666+AY667+AZ667+BA667+BB667),0)</f>
        <v>0</v>
      </c>
      <c r="BD667" s="170">
        <f>IF(Escenarios!$F$17&gt;0,MIN(Constantes!$F$39*(BG666/Constantes!$F$40)^(2/3),BG666+AY667+AZ667+BA667+BB667-BC667),0)</f>
        <v>0</v>
      </c>
      <c r="BE667" s="170">
        <f>IF(Escenarios!$F$17&gt;0,MIN(Entradas!$F$113,BG666+AY667+AZ667+BA667+BB667-BC667-BD667),0)</f>
        <v>0</v>
      </c>
      <c r="BF667" s="170">
        <f>IF(Escenarios!$F$17&gt;0,MAX(0,BG666+AY667+AZ667+BA667+BB667-BC667-BD667-BE667-Constantes!$F$40),0)</f>
        <v>0</v>
      </c>
      <c r="BG667" s="170">
        <f t="shared" si="151"/>
        <v>0</v>
      </c>
      <c r="BH667" s="170">
        <f>(Escenarios!$F$16*AK667+0.1*BC667)/(Escenarios!$F$19)</f>
        <v>2.9451065625938173</v>
      </c>
      <c r="BI667" s="170">
        <f>IF(Escenarios!$F$17&gt;0,BF667/10/Escenarios!$F$19,AL667)</f>
        <v>0</v>
      </c>
      <c r="BJ667" s="170">
        <f>(Escenarios!$F$16*AT667+0.1*BD667)/(Escenarios!$F$19)</f>
        <v>1.4215530787364993E-2</v>
      </c>
      <c r="BK667" s="76">
        <f>BK666+(0.1*BD667)/(Escenarios!$F$19)-BL666</f>
        <v>48.75</v>
      </c>
      <c r="BL667" s="76">
        <f>MAX(0,(BK667-Constantes!$D$13)*(1-EXP(-Constantes!$D$23)))</f>
        <v>0</v>
      </c>
      <c r="BM667" s="76">
        <f t="shared" si="152"/>
        <v>0.16754782350488867</v>
      </c>
      <c r="BN667" s="76">
        <f t="shared" si="153"/>
        <v>0.92543746128894988</v>
      </c>
      <c r="BO667" s="76">
        <f>0.0526*BI667*Observaciones!$F666^1.218</f>
        <v>0</v>
      </c>
      <c r="BP667" s="76">
        <f>BO667*Constantes!$F$51</f>
        <v>0</v>
      </c>
      <c r="BQ667" s="76">
        <f t="shared" si="154"/>
        <v>0</v>
      </c>
      <c r="BR667" s="40"/>
    </row>
    <row r="668" spans="2:70">
      <c r="B668" s="39"/>
      <c r="C668" s="75">
        <v>662</v>
      </c>
      <c r="D668" s="146">
        <f>ETo!$I667*((1-Constantes!$F$19)*ETo!$K667+ETo!$L667)</f>
        <v>4.189652067173661</v>
      </c>
      <c r="E668" s="76">
        <f>MIN(D668*Constantes!$F$17,0.8*(N667+Observaciones!$F667-F668-M668-Constantes!$D$14))</f>
        <v>2.389407834200183</v>
      </c>
      <c r="F668" s="76">
        <f>IF(Observaciones!$F667&gt;0.05*Constantes!$F$18,((Observaciones!$F667-0.05*Constantes!$F$18)^2)/(Observaciones!$F667+0.95*Constantes!$F$18),0)</f>
        <v>0</v>
      </c>
      <c r="G668" s="76">
        <f>IF(Escenarios!$F$11&gt;0,(F668*Escenarios!$F$16*10000)/1000,0)</f>
        <v>0</v>
      </c>
      <c r="H668" s="76">
        <f>IF(Escenarios!$F$11&gt;0,(Observaciones!$F667*Constantes!$F$29)/1000,0)</f>
        <v>0</v>
      </c>
      <c r="I668" s="76">
        <f>IF(Escenarios!$F$11&gt;0,(D668*Constantes!$F$29)/1000,0)</f>
        <v>0</v>
      </c>
      <c r="J668" s="76">
        <f>IF(Escenarios!$F$11&gt;0,MAX(0,G668+H668-I668),0)</f>
        <v>0</v>
      </c>
      <c r="K668" s="76">
        <f>IF(Escenarios!$F$11&gt;0,IF(J668&gt;Constantes!$F$30,1000*((J668-Constantes!$F$30)/(Escenarios!$F$16*10000)),0),F668)</f>
        <v>0</v>
      </c>
      <c r="L668" s="76">
        <f>IF(Escenarios!$F$11&gt;0,I668*1000/Escenarios!$F$16/10000+E668,E668)</f>
        <v>2.389407834200183</v>
      </c>
      <c r="M668" s="76">
        <f>MAX(0,N667+Observaciones!$F667-K668-Constantes!$D$13)</f>
        <v>0</v>
      </c>
      <c r="N668" s="76">
        <f>N667+Observaciones!$F667-K668-L668-M668-O667</f>
        <v>35.082542674710226</v>
      </c>
      <c r="O668" s="76">
        <f>MAX(0,(N668-Constantes!$D$14)*(1-EXP(-Constantes!$D$22)))</f>
        <v>0.81182389455590964</v>
      </c>
      <c r="P668" s="170">
        <f>P667+(Entradas!$F$83*M668-Q667)/(800*Entradas!$D$25)</f>
        <v>0</v>
      </c>
      <c r="Q668" s="170">
        <f>8000*Entradas!$D$26*P668/Constantes!$F$45</f>
        <v>0</v>
      </c>
      <c r="R668" s="170">
        <f>IF(Escenarios!$F$14&gt;0,K668*Escenarios!$F$13/Escenarios!$F$14,0)</f>
        <v>0</v>
      </c>
      <c r="S668" s="170">
        <f>IF(Escenarios!$F$14&gt;0,Q668*Escenarios!$F$13/Escenarios!$F$14,0)</f>
        <v>0</v>
      </c>
      <c r="T668" s="170">
        <f>IF(Escenarios!$F$14&gt;0,Observaciones!$I667,0)</f>
        <v>0</v>
      </c>
      <c r="U668" s="170">
        <f>IF(Escenarios!$F$14&gt;0,MAX(0,Constantes!$F$36/((Z667+R668+S668+T668+Observaciones!$F667)^2)+Entradas!$F$77),0)</f>
        <v>0</v>
      </c>
      <c r="V668" s="146">
        <f>IF(ETo!D667&gt;0,ETo!I667*((1-Entradas!$F$81)*ETo!K667+ETo!L667),0)</f>
        <v>3.7192303883714928</v>
      </c>
      <c r="W668" s="170">
        <f>IF(Escenarios!$F$14&gt;0,MIN(V668*1,0.8*(Z667+R668+S668+T668+Observaciones!$F667-U668-Constantes!$F$35)),0)</f>
        <v>3.7192303883714928</v>
      </c>
      <c r="X668" s="170">
        <f>IF(Escenarios!$F$14&gt;0,Observaciones!$J667,0)</f>
        <v>0</v>
      </c>
      <c r="Y668" s="170">
        <f>IF(Escenarios!$F$14&gt;0,MAX(0,Z667+R668+S668+T668+Observaciones!$F667-U668-W668-X668-Constantes!$F$33),0)</f>
        <v>0</v>
      </c>
      <c r="Z668" s="170">
        <f>Z667+R668+S668+T668+Observaciones!$F667-U668-W668-Y668</f>
        <v>53.666670828498219</v>
      </c>
      <c r="AA668" s="170">
        <f>IF(Escenarios!$F$14&gt;0,(Escenarios!$F$13*L668+Escenarios!$F$14*W668)/(Escenarios!$F$16),L668)</f>
        <v>2.5489865407007399</v>
      </c>
      <c r="AB668" s="170">
        <f>IF(Escenarios!$F$14&gt;0,(Escenarios!$F$14*Y668)/(Escenarios!$F$16),K668)</f>
        <v>0</v>
      </c>
      <c r="AC668" s="170">
        <f>IF(Escenarios!$F$14&gt;0,(Escenarios!$F$13*M668+Escenarios!$F$14*U668)/(Escenarios!$F$16),M668)</f>
        <v>0</v>
      </c>
      <c r="AD668" s="76">
        <f t="shared" si="141"/>
        <v>64.674419849373479</v>
      </c>
      <c r="AE668" s="76">
        <f>MAX(0,(AD668-Constantes!$D$13)*(1-EXP(-Constantes!$D$23)))</f>
        <v>0.15690710167718105</v>
      </c>
      <c r="AF668" s="76">
        <f>AB668+O668*Escenarios!$F$13/Escenarios!$F$16+AE668</f>
        <v>0.87131212888638154</v>
      </c>
      <c r="AG668" s="76">
        <f>IF(Entradas!$F$91&gt;0,IF(AF668-Escenarios!$F$38&lt;=0,0,IF(AF668-Escenarios!$F$38&gt;Escenarios!$F$37,Escenarios!$F$37,AF668-Escenarios!$F$38)),0)</f>
        <v>0</v>
      </c>
      <c r="AH668" s="76">
        <f>AG668*Entradas!$F$99</f>
        <v>0</v>
      </c>
      <c r="AI668" s="76">
        <f>IF(Entradas!$F$91&gt;0,D668*Entradas!$D$23/Escenarios!$F$16,0)</f>
        <v>0.20110329922433573</v>
      </c>
      <c r="AJ668" s="76">
        <f>IF(Entradas!$F$91&gt;0,Entradas!$D$24*Entradas!$D$22/Escenarios!$F$16,0)</f>
        <v>0.12</v>
      </c>
      <c r="AK668" s="76">
        <f t="shared" si="142"/>
        <v>2.7500898399250757</v>
      </c>
      <c r="AL668" s="76">
        <f t="shared" si="143"/>
        <v>0</v>
      </c>
      <c r="AM668" s="76">
        <f t="shared" si="144"/>
        <v>0</v>
      </c>
      <c r="AN668" s="76">
        <f>MAX(0,O668*Escenarios!$F$13/Escenarios!$F$16-AM668)</f>
        <v>0.71440502720920052</v>
      </c>
      <c r="AO668" s="76">
        <f>AM668+AN668-O668*Escenarios!$F$13/Escenarios!$F$16</f>
        <v>0</v>
      </c>
      <c r="AP668" s="76">
        <f t="shared" si="145"/>
        <v>0.15690710167718105</v>
      </c>
      <c r="AQ668" s="76">
        <f t="shared" si="146"/>
        <v>0</v>
      </c>
      <c r="AR668" s="76">
        <f t="shared" si="147"/>
        <v>0.87131212888638154</v>
      </c>
      <c r="AS668" s="76">
        <f t="shared" si="148"/>
        <v>0</v>
      </c>
      <c r="AT668" s="76">
        <f t="shared" si="149"/>
        <v>0</v>
      </c>
      <c r="AU668" s="76">
        <f t="shared" si="150"/>
        <v>49.334911344498586</v>
      </c>
      <c r="AV668" s="76">
        <f>MAX(0,(AU668-Constantes!$D$13)*(1-EXP(-Constantes!$D$24)))</f>
        <v>8.9405144121148996E-3</v>
      </c>
      <c r="AW668" s="170">
        <f>AW667+(Entradas!$F$112*AT668-AX667)/(800*Entradas!$D$25)</f>
        <v>0</v>
      </c>
      <c r="AX668" s="170">
        <f>8000*Entradas!$D$26*AW668/Constantes!$F$45</f>
        <v>0</v>
      </c>
      <c r="AY668" s="170">
        <f>IF(Escenarios!$F$17&gt;0,10*Escenarios!$F$16*AL668,0)</f>
        <v>0</v>
      </c>
      <c r="AZ668" s="170">
        <f>IF(Escenarios!$F$17&gt;0,10*Escenarios!$F$16*AX668,0)</f>
        <v>0</v>
      </c>
      <c r="BA668" s="170">
        <f>IF(Escenarios!$F$17&gt;0,0.001*Observaciones!$F667*Escenarios!$F$17,0)</f>
        <v>0</v>
      </c>
      <c r="BB668" s="170">
        <f>IF(Escenarios!$F$17&gt;0,Observaciones!$K667,0)</f>
        <v>0</v>
      </c>
      <c r="BC668" s="170">
        <f>IF(Escenarios!$F$17&gt;0,MIN(0.0005*ETo!$M667*Escenarios!$F$17*(BG667/Constantes!$F$40)^(2/3),BG667+AY668+AZ668+BA668+BB668),0)</f>
        <v>0</v>
      </c>
      <c r="BD668" s="170">
        <f>IF(Escenarios!$F$17&gt;0,MIN(Constantes!$F$39*(BG667/Constantes!$F$40)^(2/3),BG667+AY668+AZ668+BA668+BB668-BC668),0)</f>
        <v>0</v>
      </c>
      <c r="BE668" s="170">
        <f>IF(Escenarios!$F$17&gt;0,MIN(Entradas!$F$113,BG667+AY668+AZ668+BA668+BB668-BC668-BD668),0)</f>
        <v>0</v>
      </c>
      <c r="BF668" s="170">
        <f>IF(Escenarios!$F$17&gt;0,MAX(0,BG667+AY668+AZ668+BA668+BB668-BC668-BD668-BE668-Constantes!$F$40),0)</f>
        <v>0</v>
      </c>
      <c r="BG668" s="170">
        <f t="shared" si="151"/>
        <v>0</v>
      </c>
      <c r="BH668" s="170">
        <f>(Escenarios!$F$16*AK668+0.1*BC668)/(Escenarios!$F$19)</f>
        <v>2.7500898399250757</v>
      </c>
      <c r="BI668" s="170">
        <f>IF(Escenarios!$F$17&gt;0,BF668/10/Escenarios!$F$19,AL668)</f>
        <v>0</v>
      </c>
      <c r="BJ668" s="170">
        <f>(Escenarios!$F$16*AT668+0.1*BD668)/(Escenarios!$F$19)</f>
        <v>0</v>
      </c>
      <c r="BK668" s="76">
        <f>BK667+(0.1*BD668)/(Escenarios!$F$19)-BL667</f>
        <v>48.75</v>
      </c>
      <c r="BL668" s="76">
        <f>MAX(0,(BK668-Constantes!$D$13)*(1-EXP(-Constantes!$D$23)))</f>
        <v>0</v>
      </c>
      <c r="BM668" s="76">
        <f t="shared" si="152"/>
        <v>0.16584761608929596</v>
      </c>
      <c r="BN668" s="76">
        <f t="shared" si="153"/>
        <v>0.8802526432984964</v>
      </c>
      <c r="BO668" s="76">
        <f>0.0526*BI668*Observaciones!$F667^1.218</f>
        <v>0</v>
      </c>
      <c r="BP668" s="76">
        <f>BO668*Constantes!$F$51</f>
        <v>0</v>
      </c>
      <c r="BQ668" s="76">
        <f t="shared" si="154"/>
        <v>0</v>
      </c>
      <c r="BR668" s="40"/>
    </row>
    <row r="669" spans="2:70">
      <c r="B669" s="39"/>
      <c r="C669" s="75">
        <v>663</v>
      </c>
      <c r="D669" s="146">
        <f>ETo!$I668*((1-Constantes!$F$19)*ETo!$K668+ETo!$L668)</f>
        <v>4.2087208131279112</v>
      </c>
      <c r="E669" s="76">
        <f>MIN(D669*Constantes!$F$17,0.8*(N668+Observaciones!$F668-F669-M669-Constantes!$D$14))</f>
        <v>2.4002829642207515</v>
      </c>
      <c r="F669" s="76">
        <f>IF(Observaciones!$F668&gt;0.05*Constantes!$F$18,((Observaciones!$F668-0.05*Constantes!$F$18)^2)/(Observaciones!$F668+0.95*Constantes!$F$18),0)</f>
        <v>0</v>
      </c>
      <c r="G669" s="76">
        <f>IF(Escenarios!$F$11&gt;0,(F669*Escenarios!$F$16*10000)/1000,0)</f>
        <v>0</v>
      </c>
      <c r="H669" s="76">
        <f>IF(Escenarios!$F$11&gt;0,(Observaciones!$F668*Constantes!$F$29)/1000,0)</f>
        <v>0</v>
      </c>
      <c r="I669" s="76">
        <f>IF(Escenarios!$F$11&gt;0,(D669*Constantes!$F$29)/1000,0)</f>
        <v>0</v>
      </c>
      <c r="J669" s="76">
        <f>IF(Escenarios!$F$11&gt;0,MAX(0,G669+H669-I669),0)</f>
        <v>0</v>
      </c>
      <c r="K669" s="76">
        <f>IF(Escenarios!$F$11&gt;0,IF(J669&gt;Constantes!$F$30,1000*((J669-Constantes!$F$30)/(Escenarios!$F$16*10000)),0),F669)</f>
        <v>0</v>
      </c>
      <c r="L669" s="76">
        <f>IF(Escenarios!$F$11&gt;0,I669*1000/Escenarios!$F$16/10000+E669,E669)</f>
        <v>2.4002829642207515</v>
      </c>
      <c r="M669" s="76">
        <f>MAX(0,N668+Observaciones!$F668-K669-Constantes!$D$13)</f>
        <v>0</v>
      </c>
      <c r="N669" s="76">
        <f>N668+Observaciones!$F668-K669-L669-M669-O668</f>
        <v>37.670435815933565</v>
      </c>
      <c r="O669" s="76">
        <f>MAX(0,(N669-Constantes!$D$14)*(1-EXP(-Constantes!$D$22)))</f>
        <v>0.89997703529618955</v>
      </c>
      <c r="P669" s="170">
        <f>P668+(Entradas!$F$83*M669-Q668)/(800*Entradas!$D$25)</f>
        <v>0</v>
      </c>
      <c r="Q669" s="170">
        <f>8000*Entradas!$D$26*P669/Constantes!$F$45</f>
        <v>0</v>
      </c>
      <c r="R669" s="170">
        <f>IF(Escenarios!$F$14&gt;0,K669*Escenarios!$F$13/Escenarios!$F$14,0)</f>
        <v>0</v>
      </c>
      <c r="S669" s="170">
        <f>IF(Escenarios!$F$14&gt;0,Q669*Escenarios!$F$13/Escenarios!$F$14,0)</f>
        <v>0</v>
      </c>
      <c r="T669" s="170">
        <f>IF(Escenarios!$F$14&gt;0,Observaciones!$I668,0)</f>
        <v>0</v>
      </c>
      <c r="U669" s="170">
        <f>IF(Escenarios!$F$14&gt;0,MAX(0,Constantes!$F$36/((Z668+R669+S669+T669+Observaciones!$F668)^2)+Entradas!$F$77),0)</f>
        <v>9.6741304542758755E-2</v>
      </c>
      <c r="V669" s="146">
        <f>IF(ETo!D668&gt;0,ETo!I668*((1-Entradas!$F$81)*ETo!K668+ETo!L668),0)</f>
        <v>3.7364353811345938</v>
      </c>
      <c r="W669" s="170">
        <f>IF(Escenarios!$F$14&gt;0,MIN(V669*1,0.8*(Z668+R669+S669+T669+Observaciones!$F668-U669-Constantes!$F$35)),0)</f>
        <v>3.7364353811345938</v>
      </c>
      <c r="X669" s="170">
        <f>IF(Escenarios!$F$14&gt;0,Observaciones!$J668,0)</f>
        <v>0</v>
      </c>
      <c r="Y669" s="170">
        <f>IF(Escenarios!$F$14&gt;0,MAX(0,Z668+R669+S669+T669+Observaciones!$F668-U669-W669-X669-Constantes!$F$33),0)</f>
        <v>0</v>
      </c>
      <c r="Z669" s="170">
        <f>Z668+R669+S669+T669+Observaciones!$F668-U669-W669-Y669</f>
        <v>55.633494142820865</v>
      </c>
      <c r="AA669" s="170">
        <f>IF(Escenarios!$F$14&gt;0,(Escenarios!$F$13*L669+Escenarios!$F$14*W669)/(Escenarios!$F$16),L669)</f>
        <v>2.5606212542504125</v>
      </c>
      <c r="AB669" s="170">
        <f>IF(Escenarios!$F$14&gt;0,(Escenarios!$F$14*Y669)/(Escenarios!$F$16),K669)</f>
        <v>0</v>
      </c>
      <c r="AC669" s="170">
        <f>IF(Escenarios!$F$14&gt;0,(Escenarios!$F$13*M669+Escenarios!$F$14*U669)/(Escenarios!$F$16),M669)</f>
        <v>1.160895654513105E-2</v>
      </c>
      <c r="AD669" s="76">
        <f t="shared" si="141"/>
        <v>64.529121704241433</v>
      </c>
      <c r="AE669" s="76">
        <f>MAX(0,(AD669-Constantes!$D$13)*(1-EXP(-Constantes!$D$23)))</f>
        <v>0.15547544444587311</v>
      </c>
      <c r="AF669" s="76">
        <f>AB669+O669*Escenarios!$F$13/Escenarios!$F$16+AE669</f>
        <v>0.94745523550651989</v>
      </c>
      <c r="AG669" s="76">
        <f>IF(Entradas!$F$91&gt;0,IF(AF669-Escenarios!$F$38&lt;=0,0,IF(AF669-Escenarios!$F$38&gt;Escenarios!$F$37,Escenarios!$F$37,AF669-Escenarios!$F$38)),0)</f>
        <v>0</v>
      </c>
      <c r="AH669" s="76">
        <f>AG669*Entradas!$F$99</f>
        <v>0</v>
      </c>
      <c r="AI669" s="76">
        <f>IF(Entradas!$F$91&gt;0,D669*Entradas!$D$23/Escenarios!$F$16,0)</f>
        <v>0.20201859903013974</v>
      </c>
      <c r="AJ669" s="76">
        <f>IF(Entradas!$F$91&gt;0,Entradas!$D$24*Entradas!$D$22/Escenarios!$F$16,0)</f>
        <v>0.12</v>
      </c>
      <c r="AK669" s="76">
        <f t="shared" si="142"/>
        <v>2.7626398532805521</v>
      </c>
      <c r="AL669" s="76">
        <f t="shared" si="143"/>
        <v>0</v>
      </c>
      <c r="AM669" s="76">
        <f t="shared" si="144"/>
        <v>0</v>
      </c>
      <c r="AN669" s="76">
        <f>MAX(0,O669*Escenarios!$F$13/Escenarios!$F$16-AM669)</f>
        <v>0.79197979106064675</v>
      </c>
      <c r="AO669" s="76">
        <f>AM669+AN669-O669*Escenarios!$F$13/Escenarios!$F$16</f>
        <v>0</v>
      </c>
      <c r="AP669" s="76">
        <f t="shared" si="145"/>
        <v>0.15547544444587311</v>
      </c>
      <c r="AQ669" s="76">
        <f t="shared" si="146"/>
        <v>0</v>
      </c>
      <c r="AR669" s="76">
        <f t="shared" si="147"/>
        <v>0.94745523550651989</v>
      </c>
      <c r="AS669" s="76">
        <f t="shared" si="148"/>
        <v>0</v>
      </c>
      <c r="AT669" s="76">
        <f t="shared" si="149"/>
        <v>1.160895654513105E-2</v>
      </c>
      <c r="AU669" s="76">
        <f t="shared" si="150"/>
        <v>49.325970830086469</v>
      </c>
      <c r="AV669" s="76">
        <f>MAX(0,(AU669-Constantes!$D$13)*(1-EXP(-Constantes!$D$24)))</f>
        <v>8.8038564404324081E-3</v>
      </c>
      <c r="AW669" s="170">
        <f>AW668+(Entradas!$F$112*AT669-AX668)/(800*Entradas!$D$25)</f>
        <v>0</v>
      </c>
      <c r="AX669" s="170">
        <f>8000*Entradas!$D$26*AW669/Constantes!$F$45</f>
        <v>0</v>
      </c>
      <c r="AY669" s="170">
        <f>IF(Escenarios!$F$17&gt;0,10*Escenarios!$F$16*AL669,0)</f>
        <v>0</v>
      </c>
      <c r="AZ669" s="170">
        <f>IF(Escenarios!$F$17&gt;0,10*Escenarios!$F$16*AX669,0)</f>
        <v>0</v>
      </c>
      <c r="BA669" s="170">
        <f>IF(Escenarios!$F$17&gt;0,0.001*Observaciones!$F668*Escenarios!$F$17,0)</f>
        <v>0</v>
      </c>
      <c r="BB669" s="170">
        <f>IF(Escenarios!$F$17&gt;0,Observaciones!$K668,0)</f>
        <v>0</v>
      </c>
      <c r="BC669" s="170">
        <f>IF(Escenarios!$F$17&gt;0,MIN(0.0005*ETo!$M668*Escenarios!$F$17*(BG668/Constantes!$F$40)^(2/3),BG668+AY669+AZ669+BA669+BB669),0)</f>
        <v>0</v>
      </c>
      <c r="BD669" s="170">
        <f>IF(Escenarios!$F$17&gt;0,MIN(Constantes!$F$39*(BG668/Constantes!$F$40)^(2/3),BG668+AY669+AZ669+BA669+BB669-BC669),0)</f>
        <v>0</v>
      </c>
      <c r="BE669" s="170">
        <f>IF(Escenarios!$F$17&gt;0,MIN(Entradas!$F$113,BG668+AY669+AZ669+BA669+BB669-BC669-BD669),0)</f>
        <v>0</v>
      </c>
      <c r="BF669" s="170">
        <f>IF(Escenarios!$F$17&gt;0,MAX(0,BG668+AY669+AZ669+BA669+BB669-BC669-BD669-BE669-Constantes!$F$40),0)</f>
        <v>0</v>
      </c>
      <c r="BG669" s="170">
        <f t="shared" si="151"/>
        <v>0</v>
      </c>
      <c r="BH669" s="170">
        <f>(Escenarios!$F$16*AK669+0.1*BC669)/(Escenarios!$F$19)</f>
        <v>2.7626398532805521</v>
      </c>
      <c r="BI669" s="170">
        <f>IF(Escenarios!$F$17&gt;0,BF669/10/Escenarios!$F$19,AL669)</f>
        <v>0</v>
      </c>
      <c r="BJ669" s="170">
        <f>(Escenarios!$F$16*AT669+0.1*BD669)/(Escenarios!$F$19)</f>
        <v>1.160895654513105E-2</v>
      </c>
      <c r="BK669" s="76">
        <f>BK668+(0.1*BD669)/(Escenarios!$F$19)-BL668</f>
        <v>48.75</v>
      </c>
      <c r="BL669" s="76">
        <f>MAX(0,(BK669-Constantes!$D$13)*(1-EXP(-Constantes!$D$23)))</f>
        <v>0</v>
      </c>
      <c r="BM669" s="76">
        <f t="shared" si="152"/>
        <v>0.16427930088630552</v>
      </c>
      <c r="BN669" s="76">
        <f t="shared" si="153"/>
        <v>0.95625909194695224</v>
      </c>
      <c r="BO669" s="76">
        <f>0.0526*BI669*Observaciones!$F668^1.218</f>
        <v>0</v>
      </c>
      <c r="BP669" s="76">
        <f>BO669*Constantes!$F$51</f>
        <v>0</v>
      </c>
      <c r="BQ669" s="76">
        <f t="shared" si="154"/>
        <v>0</v>
      </c>
      <c r="BR669" s="40"/>
    </row>
    <row r="670" spans="2:70">
      <c r="B670" s="39"/>
      <c r="C670" s="75">
        <v>664</v>
      </c>
      <c r="D670" s="146">
        <f>ETo!$I669*((1-Constantes!$F$19)*ETo!$K669+ETo!$L669)</f>
        <v>4.3470345052025605</v>
      </c>
      <c r="E670" s="76">
        <f>MIN(D670*Constantes!$F$17,0.8*(N669+Observaciones!$F669-F670-M670-Constantes!$D$14))</f>
        <v>2.4791648890492413</v>
      </c>
      <c r="F670" s="76">
        <f>IF(Observaciones!$F669&gt;0.05*Constantes!$F$18,((Observaciones!$F669-0.05*Constantes!$F$18)^2)/(Observaciones!$F669+0.95*Constantes!$F$18),0)</f>
        <v>0</v>
      </c>
      <c r="G670" s="76">
        <f>IF(Escenarios!$F$11&gt;0,(F670*Escenarios!$F$16*10000)/1000,0)</f>
        <v>0</v>
      </c>
      <c r="H670" s="76">
        <f>IF(Escenarios!$F$11&gt;0,(Observaciones!$F669*Constantes!$F$29)/1000,0)</f>
        <v>0</v>
      </c>
      <c r="I670" s="76">
        <f>IF(Escenarios!$F$11&gt;0,(D670*Constantes!$F$29)/1000,0)</f>
        <v>0</v>
      </c>
      <c r="J670" s="76">
        <f>IF(Escenarios!$F$11&gt;0,MAX(0,G670+H670-I670),0)</f>
        <v>0</v>
      </c>
      <c r="K670" s="76">
        <f>IF(Escenarios!$F$11&gt;0,IF(J670&gt;Constantes!$F$30,1000*((J670-Constantes!$F$30)/(Escenarios!$F$16*10000)),0),F670)</f>
        <v>0</v>
      </c>
      <c r="L670" s="76">
        <f>IF(Escenarios!$F$11&gt;0,I670*1000/Escenarios!$F$16/10000+E670,E670)</f>
        <v>2.4791648890492413</v>
      </c>
      <c r="M670" s="76">
        <f>MAX(0,N669+Observaciones!$F669-K670-Constantes!$D$13)</f>
        <v>0</v>
      </c>
      <c r="N670" s="76">
        <f>N669+Observaciones!$F669-K670-L670-M670-O669</f>
        <v>35.991293891588136</v>
      </c>
      <c r="O670" s="76">
        <f>MAX(0,(N670-Constantes!$D$14)*(1-EXP(-Constantes!$D$22)))</f>
        <v>0.84277929709678501</v>
      </c>
      <c r="P670" s="170">
        <f>P669+(Entradas!$F$83*M670-Q669)/(800*Entradas!$D$25)</f>
        <v>0</v>
      </c>
      <c r="Q670" s="170">
        <f>8000*Entradas!$D$26*P670/Constantes!$F$45</f>
        <v>0</v>
      </c>
      <c r="R670" s="170">
        <f>IF(Escenarios!$F$14&gt;0,K670*Escenarios!$F$13/Escenarios!$F$14,0)</f>
        <v>0</v>
      </c>
      <c r="S670" s="170">
        <f>IF(Escenarios!$F$14&gt;0,Q670*Escenarios!$F$13/Escenarios!$F$14,0)</f>
        <v>0</v>
      </c>
      <c r="T670" s="170">
        <f>IF(Escenarios!$F$14&gt;0,Observaciones!$I669,0)</f>
        <v>0</v>
      </c>
      <c r="U670" s="170">
        <f>IF(Escenarios!$F$14&gt;0,MAX(0,Constantes!$F$36/((Z669+R670+S670+T670+Observaciones!$F669)^2)+Entradas!$F$77),0)</f>
        <v>0</v>
      </c>
      <c r="V670" s="146">
        <f>IF(ETo!D669&gt;0,ETo!I669*((1-Entradas!$F$81)*ETo!K669+ETo!L669),0)</f>
        <v>3.8607980890638123</v>
      </c>
      <c r="W670" s="170">
        <f>IF(Escenarios!$F$14&gt;0,MIN(V670*1,0.8*(Z669+R670+S670+T670+Observaciones!$F669-U670-Constantes!$F$35)),0)</f>
        <v>3.8607980890638123</v>
      </c>
      <c r="X670" s="170">
        <f>IF(Escenarios!$F$14&gt;0,Observaciones!$J669,0)</f>
        <v>0</v>
      </c>
      <c r="Y670" s="170">
        <f>IF(Escenarios!$F$14&gt;0,MAX(0,Z669+R670+S670+T670+Observaciones!$F669-U670-W670-X670-Constantes!$F$33),0)</f>
        <v>0</v>
      </c>
      <c r="Z670" s="170">
        <f>Z669+R670+S670+T670+Observaciones!$F669-U670-W670-Y670</f>
        <v>53.472696053757055</v>
      </c>
      <c r="AA670" s="170">
        <f>IF(Escenarios!$F$14&gt;0,(Escenarios!$F$13*L670+Escenarios!$F$14*W670)/(Escenarios!$F$16),L670)</f>
        <v>2.6449608730509895</v>
      </c>
      <c r="AB670" s="170">
        <f>IF(Escenarios!$F$14&gt;0,(Escenarios!$F$14*Y670)/(Escenarios!$F$16),K670)</f>
        <v>0</v>
      </c>
      <c r="AC670" s="170">
        <f>IF(Escenarios!$F$14&gt;0,(Escenarios!$F$13*M670+Escenarios!$F$14*U670)/(Escenarios!$F$16),M670)</f>
        <v>0</v>
      </c>
      <c r="AD670" s="76">
        <f t="shared" si="141"/>
        <v>64.373646259795564</v>
      </c>
      <c r="AE670" s="76">
        <f>MAX(0,(AD670-Constantes!$D$13)*(1-EXP(-Constantes!$D$23)))</f>
        <v>0.15394350786038219</v>
      </c>
      <c r="AF670" s="76">
        <f>AB670+O670*Escenarios!$F$13/Escenarios!$F$16+AE670</f>
        <v>0.89558928930555304</v>
      </c>
      <c r="AG670" s="76">
        <f>IF(Entradas!$F$91&gt;0,IF(AF670-Escenarios!$F$38&lt;=0,0,IF(AF670-Escenarios!$F$38&gt;Escenarios!$F$37,Escenarios!$F$37,AF670-Escenarios!$F$38)),0)</f>
        <v>0</v>
      </c>
      <c r="AH670" s="76">
        <f>AG670*Entradas!$F$99</f>
        <v>0</v>
      </c>
      <c r="AI670" s="76">
        <f>IF(Entradas!$F$91&gt;0,D670*Entradas!$D$23/Escenarios!$F$16,0)</f>
        <v>0.20865765624972288</v>
      </c>
      <c r="AJ670" s="76">
        <f>IF(Entradas!$F$91&gt;0,Entradas!$D$24*Entradas!$D$22/Escenarios!$F$16,0)</f>
        <v>0.12</v>
      </c>
      <c r="AK670" s="76">
        <f t="shared" si="142"/>
        <v>2.8536185293007126</v>
      </c>
      <c r="AL670" s="76">
        <f t="shared" si="143"/>
        <v>0</v>
      </c>
      <c r="AM670" s="76">
        <f t="shared" si="144"/>
        <v>0</v>
      </c>
      <c r="AN670" s="76">
        <f>MAX(0,O670*Escenarios!$F$13/Escenarios!$F$16-AM670)</f>
        <v>0.74164578144517079</v>
      </c>
      <c r="AO670" s="76">
        <f>AM670+AN670-O670*Escenarios!$F$13/Escenarios!$F$16</f>
        <v>0</v>
      </c>
      <c r="AP670" s="76">
        <f t="shared" si="145"/>
        <v>0.15394350786038219</v>
      </c>
      <c r="AQ670" s="76">
        <f t="shared" si="146"/>
        <v>0</v>
      </c>
      <c r="AR670" s="76">
        <f t="shared" si="147"/>
        <v>0.89558928930555304</v>
      </c>
      <c r="AS670" s="76">
        <f t="shared" si="148"/>
        <v>0</v>
      </c>
      <c r="AT670" s="76">
        <f t="shared" si="149"/>
        <v>0</v>
      </c>
      <c r="AU670" s="76">
        <f t="shared" si="150"/>
        <v>49.317166973646039</v>
      </c>
      <c r="AV670" s="76">
        <f>MAX(0,(AU670-Constantes!$D$13)*(1-EXP(-Constantes!$D$24)))</f>
        <v>8.669287319610636E-3</v>
      </c>
      <c r="AW670" s="170">
        <f>AW669+(Entradas!$F$112*AT670-AX669)/(800*Entradas!$D$25)</f>
        <v>0</v>
      </c>
      <c r="AX670" s="170">
        <f>8000*Entradas!$D$26*AW670/Constantes!$F$45</f>
        <v>0</v>
      </c>
      <c r="AY670" s="170">
        <f>IF(Escenarios!$F$17&gt;0,10*Escenarios!$F$16*AL670,0)</f>
        <v>0</v>
      </c>
      <c r="AZ670" s="170">
        <f>IF(Escenarios!$F$17&gt;0,10*Escenarios!$F$16*AX670,0)</f>
        <v>0</v>
      </c>
      <c r="BA670" s="170">
        <f>IF(Escenarios!$F$17&gt;0,0.001*Observaciones!$F669*Escenarios!$F$17,0)</f>
        <v>0</v>
      </c>
      <c r="BB670" s="170">
        <f>IF(Escenarios!$F$17&gt;0,Observaciones!$K669,0)</f>
        <v>0</v>
      </c>
      <c r="BC670" s="170">
        <f>IF(Escenarios!$F$17&gt;0,MIN(0.0005*ETo!$M669*Escenarios!$F$17*(BG669/Constantes!$F$40)^(2/3),BG669+AY670+AZ670+BA670+BB670),0)</f>
        <v>0</v>
      </c>
      <c r="BD670" s="170">
        <f>IF(Escenarios!$F$17&gt;0,MIN(Constantes!$F$39*(BG669/Constantes!$F$40)^(2/3),BG669+AY670+AZ670+BA670+BB670-BC670),0)</f>
        <v>0</v>
      </c>
      <c r="BE670" s="170">
        <f>IF(Escenarios!$F$17&gt;0,MIN(Entradas!$F$113,BG669+AY670+AZ670+BA670+BB670-BC670-BD670),0)</f>
        <v>0</v>
      </c>
      <c r="BF670" s="170">
        <f>IF(Escenarios!$F$17&gt;0,MAX(0,BG669+AY670+AZ670+BA670+BB670-BC670-BD670-BE670-Constantes!$F$40),0)</f>
        <v>0</v>
      </c>
      <c r="BG670" s="170">
        <f t="shared" si="151"/>
        <v>0</v>
      </c>
      <c r="BH670" s="170">
        <f>(Escenarios!$F$16*AK670+0.1*BC670)/(Escenarios!$F$19)</f>
        <v>2.8536185293007126</v>
      </c>
      <c r="BI670" s="170">
        <f>IF(Escenarios!$F$17&gt;0,BF670/10/Escenarios!$F$19,AL670)</f>
        <v>0</v>
      </c>
      <c r="BJ670" s="170">
        <f>(Escenarios!$F$16*AT670+0.1*BD670)/(Escenarios!$F$19)</f>
        <v>0</v>
      </c>
      <c r="BK670" s="76">
        <f>BK669+(0.1*BD670)/(Escenarios!$F$19)-BL669</f>
        <v>48.75</v>
      </c>
      <c r="BL670" s="76">
        <f>MAX(0,(BK670-Constantes!$D$13)*(1-EXP(-Constantes!$D$23)))</f>
        <v>0</v>
      </c>
      <c r="BM670" s="76">
        <f t="shared" si="152"/>
        <v>0.16261279517999283</v>
      </c>
      <c r="BN670" s="76">
        <f t="shared" si="153"/>
        <v>0.90425857662516362</v>
      </c>
      <c r="BO670" s="76">
        <f>0.0526*BI670*Observaciones!$F669^1.218</f>
        <v>0</v>
      </c>
      <c r="BP670" s="76">
        <f>BO670*Constantes!$F$51</f>
        <v>0</v>
      </c>
      <c r="BQ670" s="76">
        <f t="shared" si="154"/>
        <v>0</v>
      </c>
      <c r="BR670" s="40"/>
    </row>
    <row r="671" spans="2:70">
      <c r="B671" s="39"/>
      <c r="C671" s="75">
        <v>665</v>
      </c>
      <c r="D671" s="146">
        <f>ETo!$I670*((1-Constantes!$F$19)*ETo!$K670+ETo!$L670)</f>
        <v>4.4851360754987963</v>
      </c>
      <c r="E671" s="76">
        <f>MIN(D671*Constantes!$F$17,0.8*(N670+Observaciones!$F670-F671-M671-Constantes!$D$14))</f>
        <v>2.5579258383334569</v>
      </c>
      <c r="F671" s="76">
        <f>IF(Observaciones!$F670&gt;0.05*Constantes!$F$18,((Observaciones!$F670-0.05*Constantes!$F$18)^2)/(Observaciones!$F670+0.95*Constantes!$F$18),0)</f>
        <v>0</v>
      </c>
      <c r="G671" s="76">
        <f>IF(Escenarios!$F$11&gt;0,(F671*Escenarios!$F$16*10000)/1000,0)</f>
        <v>0</v>
      </c>
      <c r="H671" s="76">
        <f>IF(Escenarios!$F$11&gt;0,(Observaciones!$F670*Constantes!$F$29)/1000,0)</f>
        <v>0</v>
      </c>
      <c r="I671" s="76">
        <f>IF(Escenarios!$F$11&gt;0,(D671*Constantes!$F$29)/1000,0)</f>
        <v>0</v>
      </c>
      <c r="J671" s="76">
        <f>IF(Escenarios!$F$11&gt;0,MAX(0,G671+H671-I671),0)</f>
        <v>0</v>
      </c>
      <c r="K671" s="76">
        <f>IF(Escenarios!$F$11&gt;0,IF(J671&gt;Constantes!$F$30,1000*((J671-Constantes!$F$30)/(Escenarios!$F$16*10000)),0),F671)</f>
        <v>0</v>
      </c>
      <c r="L671" s="76">
        <f>IF(Escenarios!$F$11&gt;0,I671*1000/Escenarios!$F$16/10000+E671,E671)</f>
        <v>2.5579258383334569</v>
      </c>
      <c r="M671" s="76">
        <f>MAX(0,N670+Observaciones!$F670-K671-Constantes!$D$13)</f>
        <v>0</v>
      </c>
      <c r="N671" s="76">
        <f>N670+Observaciones!$F670-K671-L671-M671-O670</f>
        <v>32.890588756157896</v>
      </c>
      <c r="O671" s="76">
        <f>MAX(0,(N671-Constantes!$D$14)*(1-EXP(-Constantes!$D$22)))</f>
        <v>0.73715789726244729</v>
      </c>
      <c r="P671" s="170">
        <f>P670+(Entradas!$F$83*M671-Q670)/(800*Entradas!$D$25)</f>
        <v>0</v>
      </c>
      <c r="Q671" s="170">
        <f>8000*Entradas!$D$26*P671/Constantes!$F$45</f>
        <v>0</v>
      </c>
      <c r="R671" s="170">
        <f>IF(Escenarios!$F$14&gt;0,K671*Escenarios!$F$13/Escenarios!$F$14,0)</f>
        <v>0</v>
      </c>
      <c r="S671" s="170">
        <f>IF(Escenarios!$F$14&gt;0,Q671*Escenarios!$F$13/Escenarios!$F$14,0)</f>
        <v>0</v>
      </c>
      <c r="T671" s="170">
        <f>IF(Escenarios!$F$14&gt;0,Observaciones!$I670,0)</f>
        <v>0</v>
      </c>
      <c r="U671" s="170">
        <f>IF(Escenarios!$F$14&gt;0,MAX(0,Constantes!$F$36/((Z670+R671+S671+T671+Observaciones!$F670)^2)+Entradas!$F$77),0)</f>
        <v>0</v>
      </c>
      <c r="V671" s="146">
        <f>IF(ETo!D670&gt;0,ETo!I670*((1-Entradas!$F$81)*ETo!K670+ETo!L670),0)</f>
        <v>3.9854465309424061</v>
      </c>
      <c r="W671" s="170">
        <f>IF(Escenarios!$F$14&gt;0,MIN(V671*1,0.8*(Z670+R671+S671+T671+Observaciones!$F670-U671-Constantes!$F$35)),0)</f>
        <v>3.9854465309424061</v>
      </c>
      <c r="X671" s="170">
        <f>IF(Escenarios!$F$14&gt;0,Observaciones!$J670,0)</f>
        <v>0</v>
      </c>
      <c r="Y671" s="170">
        <f>IF(Escenarios!$F$14&gt;0,MAX(0,Z670+R671+S671+T671+Observaciones!$F670-U671-W671-X671-Constantes!$F$33),0)</f>
        <v>0</v>
      </c>
      <c r="Z671" s="170">
        <f>Z670+R671+S671+T671+Observaciones!$F670-U671-W671-Y671</f>
        <v>49.787249522814648</v>
      </c>
      <c r="AA671" s="170">
        <f>IF(Escenarios!$F$14&gt;0,(Escenarios!$F$13*L671+Escenarios!$F$14*W671)/(Escenarios!$F$16),L671)</f>
        <v>2.7292283214465307</v>
      </c>
      <c r="AB671" s="170">
        <f>IF(Escenarios!$F$14&gt;0,(Escenarios!$F$14*Y671)/(Escenarios!$F$16),K671)</f>
        <v>0</v>
      </c>
      <c r="AC671" s="170">
        <f>IF(Escenarios!$F$14&gt;0,(Escenarios!$F$13*M671+Escenarios!$F$14*U671)/(Escenarios!$F$16),M671)</f>
        <v>0</v>
      </c>
      <c r="AD671" s="76">
        <f t="shared" si="141"/>
        <v>64.219702751935188</v>
      </c>
      <c r="AE671" s="76">
        <f>MAX(0,(AD671-Constantes!$D$13)*(1-EXP(-Constantes!$D$23)))</f>
        <v>0.15242666581094699</v>
      </c>
      <c r="AF671" s="76">
        <f>AB671+O671*Escenarios!$F$13/Escenarios!$F$16+AE671</f>
        <v>0.80112561540190064</v>
      </c>
      <c r="AG671" s="76">
        <f>IF(Entradas!$F$91&gt;0,IF(AF671-Escenarios!$F$38&lt;=0,0,IF(AF671-Escenarios!$F$38&gt;Escenarios!$F$37,Escenarios!$F$37,AF671-Escenarios!$F$38)),0)</f>
        <v>0</v>
      </c>
      <c r="AH671" s="76">
        <f>AG671*Entradas!$F$99</f>
        <v>0</v>
      </c>
      <c r="AI671" s="76">
        <f>IF(Entradas!$F$91&gt;0,D671*Entradas!$D$23/Escenarios!$F$16,0)</f>
        <v>0.21528653162394221</v>
      </c>
      <c r="AJ671" s="76">
        <f>IF(Entradas!$F$91&gt;0,Entradas!$D$24*Entradas!$D$22/Escenarios!$F$16,0)</f>
        <v>0.12</v>
      </c>
      <c r="AK671" s="76">
        <f t="shared" si="142"/>
        <v>2.9445148530704728</v>
      </c>
      <c r="AL671" s="76">
        <f t="shared" si="143"/>
        <v>0</v>
      </c>
      <c r="AM671" s="76">
        <f t="shared" si="144"/>
        <v>0</v>
      </c>
      <c r="AN671" s="76">
        <f>MAX(0,O671*Escenarios!$F$13/Escenarios!$F$16-AM671)</f>
        <v>0.64869894959095364</v>
      </c>
      <c r="AO671" s="76">
        <f>AM671+AN671-O671*Escenarios!$F$13/Escenarios!$F$16</f>
        <v>0</v>
      </c>
      <c r="AP671" s="76">
        <f t="shared" si="145"/>
        <v>0.15242666581094699</v>
      </c>
      <c r="AQ671" s="76">
        <f t="shared" si="146"/>
        <v>0</v>
      </c>
      <c r="AR671" s="76">
        <f t="shared" si="147"/>
        <v>0.80112561540190064</v>
      </c>
      <c r="AS671" s="76">
        <f t="shared" si="148"/>
        <v>0</v>
      </c>
      <c r="AT671" s="76">
        <f t="shared" si="149"/>
        <v>0</v>
      </c>
      <c r="AU671" s="76">
        <f t="shared" si="150"/>
        <v>49.308497686326426</v>
      </c>
      <c r="AV671" s="76">
        <f>MAX(0,(AU671-Constantes!$D$13)*(1-EXP(-Constantes!$D$24)))</f>
        <v>8.5367751210479511E-3</v>
      </c>
      <c r="AW671" s="170">
        <f>AW670+(Entradas!$F$112*AT671-AX670)/(800*Entradas!$D$25)</f>
        <v>0</v>
      </c>
      <c r="AX671" s="170">
        <f>8000*Entradas!$D$26*AW671/Constantes!$F$45</f>
        <v>0</v>
      </c>
      <c r="AY671" s="170">
        <f>IF(Escenarios!$F$17&gt;0,10*Escenarios!$F$16*AL671,0)</f>
        <v>0</v>
      </c>
      <c r="AZ671" s="170">
        <f>IF(Escenarios!$F$17&gt;0,10*Escenarios!$F$16*AX671,0)</f>
        <v>0</v>
      </c>
      <c r="BA671" s="170">
        <f>IF(Escenarios!$F$17&gt;0,0.001*Observaciones!$F670*Escenarios!$F$17,0)</f>
        <v>0</v>
      </c>
      <c r="BB671" s="170">
        <f>IF(Escenarios!$F$17&gt;0,Observaciones!$K670,0)</f>
        <v>0</v>
      </c>
      <c r="BC671" s="170">
        <f>IF(Escenarios!$F$17&gt;0,MIN(0.0005*ETo!$M670*Escenarios!$F$17*(BG670/Constantes!$F$40)^(2/3),BG670+AY671+AZ671+BA671+BB671),0)</f>
        <v>0</v>
      </c>
      <c r="BD671" s="170">
        <f>IF(Escenarios!$F$17&gt;0,MIN(Constantes!$F$39*(BG670/Constantes!$F$40)^(2/3),BG670+AY671+AZ671+BA671+BB671-BC671),0)</f>
        <v>0</v>
      </c>
      <c r="BE671" s="170">
        <f>IF(Escenarios!$F$17&gt;0,MIN(Entradas!$F$113,BG670+AY671+AZ671+BA671+BB671-BC671-BD671),0)</f>
        <v>0</v>
      </c>
      <c r="BF671" s="170">
        <f>IF(Escenarios!$F$17&gt;0,MAX(0,BG670+AY671+AZ671+BA671+BB671-BC671-BD671-BE671-Constantes!$F$40),0)</f>
        <v>0</v>
      </c>
      <c r="BG671" s="170">
        <f t="shared" si="151"/>
        <v>0</v>
      </c>
      <c r="BH671" s="170">
        <f>(Escenarios!$F$16*AK671+0.1*BC671)/(Escenarios!$F$19)</f>
        <v>2.9445148530704728</v>
      </c>
      <c r="BI671" s="170">
        <f>IF(Escenarios!$F$17&gt;0,BF671/10/Escenarios!$F$19,AL671)</f>
        <v>0</v>
      </c>
      <c r="BJ671" s="170">
        <f>(Escenarios!$F$16*AT671+0.1*BD671)/(Escenarios!$F$19)</f>
        <v>0</v>
      </c>
      <c r="BK671" s="76">
        <f>BK670+(0.1*BD671)/(Escenarios!$F$19)-BL670</f>
        <v>48.75</v>
      </c>
      <c r="BL671" s="76">
        <f>MAX(0,(BK671-Constantes!$D$13)*(1-EXP(-Constantes!$D$23)))</f>
        <v>0</v>
      </c>
      <c r="BM671" s="76">
        <f t="shared" si="152"/>
        <v>0.16096344093199494</v>
      </c>
      <c r="BN671" s="76">
        <f t="shared" si="153"/>
        <v>0.80966239052294864</v>
      </c>
      <c r="BO671" s="76">
        <f>0.0526*BI671*Observaciones!$F670^1.218</f>
        <v>0</v>
      </c>
      <c r="BP671" s="76">
        <f>BO671*Constantes!$F$51</f>
        <v>0</v>
      </c>
      <c r="BQ671" s="76">
        <f t="shared" si="154"/>
        <v>0</v>
      </c>
      <c r="BR671" s="40"/>
    </row>
    <row r="672" spans="2:70">
      <c r="B672" s="39"/>
      <c r="C672" s="75">
        <v>666</v>
      </c>
      <c r="D672" s="146">
        <f>ETo!$I671*((1-Constantes!$F$19)*ETo!$K671+ETo!$L671)</f>
        <v>4.6185637790714846</v>
      </c>
      <c r="E672" s="76">
        <f>MIN(D672*Constantes!$F$17,0.8*(N671+Observaciones!$F671-F672-M672-Constantes!$D$14))</f>
        <v>2.6340212264717353</v>
      </c>
      <c r="F672" s="76">
        <f>IF(Observaciones!$F671&gt;0.05*Constantes!$F$18,((Observaciones!$F671-0.05*Constantes!$F$18)^2)/(Observaciones!$F671+0.95*Constantes!$F$18),0)</f>
        <v>0</v>
      </c>
      <c r="G672" s="76">
        <f>IF(Escenarios!$F$11&gt;0,(F672*Escenarios!$F$16*10000)/1000,0)</f>
        <v>0</v>
      </c>
      <c r="H672" s="76">
        <f>IF(Escenarios!$F$11&gt;0,(Observaciones!$F671*Constantes!$F$29)/1000,0)</f>
        <v>0</v>
      </c>
      <c r="I672" s="76">
        <f>IF(Escenarios!$F$11&gt;0,(D672*Constantes!$F$29)/1000,0)</f>
        <v>0</v>
      </c>
      <c r="J672" s="76">
        <f>IF(Escenarios!$F$11&gt;0,MAX(0,G672+H672-I672),0)</f>
        <v>0</v>
      </c>
      <c r="K672" s="76">
        <f>IF(Escenarios!$F$11&gt;0,IF(J672&gt;Constantes!$F$30,1000*((J672-Constantes!$F$30)/(Escenarios!$F$16*10000)),0),F672)</f>
        <v>0</v>
      </c>
      <c r="L672" s="76">
        <f>IF(Escenarios!$F$11&gt;0,I672*1000/Escenarios!$F$16/10000+E672,E672)</f>
        <v>2.6340212264717353</v>
      </c>
      <c r="M672" s="76">
        <f>MAX(0,N671+Observaciones!$F671-K672-Constantes!$D$13)</f>
        <v>0</v>
      </c>
      <c r="N672" s="76">
        <f>N671+Observaciones!$F671-K672-L672-M672-O671</f>
        <v>30.919409632423715</v>
      </c>
      <c r="O672" s="76">
        <f>MAX(0,(N672-Constantes!$D$14)*(1-EXP(-Constantes!$D$22)))</f>
        <v>0.67001229996135503</v>
      </c>
      <c r="P672" s="170">
        <f>P671+(Entradas!$F$83*M672-Q671)/(800*Entradas!$D$25)</f>
        <v>0</v>
      </c>
      <c r="Q672" s="170">
        <f>8000*Entradas!$D$26*P672/Constantes!$F$45</f>
        <v>0</v>
      </c>
      <c r="R672" s="170">
        <f>IF(Escenarios!$F$14&gt;0,K672*Escenarios!$F$13/Escenarios!$F$14,0)</f>
        <v>0</v>
      </c>
      <c r="S672" s="170">
        <f>IF(Escenarios!$F$14&gt;0,Q672*Escenarios!$F$13/Escenarios!$F$14,0)</f>
        <v>0</v>
      </c>
      <c r="T672" s="170">
        <f>IF(Escenarios!$F$14&gt;0,Observaciones!$I671,0)</f>
        <v>0</v>
      </c>
      <c r="U672" s="170">
        <f>IF(Escenarios!$F$14&gt;0,MAX(0,Constantes!$F$36/((Z671+R672+S672+T672+Observaciones!$F671)^2)+Entradas!$F$77),0)</f>
        <v>0</v>
      </c>
      <c r="V672" s="146">
        <f>IF(ETo!D671&gt;0,ETo!I671*((1-Entradas!$F$81)*ETo!K671+ETo!L671),0)</f>
        <v>4.1063529117969786</v>
      </c>
      <c r="W672" s="170">
        <f>IF(Escenarios!$F$14&gt;0,MIN(V672*1,0.8*(Z671+R672+S672+T672+Observaciones!$F671-U672-Constantes!$F$35)),0)</f>
        <v>4.1063529117969786</v>
      </c>
      <c r="X672" s="170">
        <f>IF(Escenarios!$F$14&gt;0,Observaciones!$J671,0)</f>
        <v>0</v>
      </c>
      <c r="Y672" s="170">
        <f>IF(Escenarios!$F$14&gt;0,MAX(0,Z671+R672+S672+T672+Observaciones!$F671-U672-W672-X672-Constantes!$F$33),0)</f>
        <v>0</v>
      </c>
      <c r="Z672" s="170">
        <f>Z671+R672+S672+T672+Observaciones!$F671-U672-W672-Y672</f>
        <v>47.080896611017664</v>
      </c>
      <c r="AA672" s="170">
        <f>IF(Escenarios!$F$14&gt;0,(Escenarios!$F$13*L672+Escenarios!$F$14*W672)/(Escenarios!$F$16),L672)</f>
        <v>2.8107010287107648</v>
      </c>
      <c r="AB672" s="170">
        <f>IF(Escenarios!$F$14&gt;0,(Escenarios!$F$14*Y672)/(Escenarios!$F$16),K672)</f>
        <v>0</v>
      </c>
      <c r="AC672" s="170">
        <f>IF(Escenarios!$F$14&gt;0,(Escenarios!$F$13*M672+Escenarios!$F$14*U672)/(Escenarios!$F$16),M672)</f>
        <v>0</v>
      </c>
      <c r="AD672" s="76">
        <f t="shared" si="141"/>
        <v>64.067276086124238</v>
      </c>
      <c r="AE672" s="76">
        <f>MAX(0,(AD672-Constantes!$D$13)*(1-EXP(-Constantes!$D$23)))</f>
        <v>0.15092476956750844</v>
      </c>
      <c r="AF672" s="76">
        <f>AB672+O672*Escenarios!$F$13/Escenarios!$F$16+AE672</f>
        <v>0.74053559353350085</v>
      </c>
      <c r="AG672" s="76">
        <f>IF(Entradas!$F$91&gt;0,IF(AF672-Escenarios!$F$38&lt;=0,0,IF(AF672-Escenarios!$F$38&gt;Escenarios!$F$37,Escenarios!$F$37,AF672-Escenarios!$F$38)),0)</f>
        <v>0</v>
      </c>
      <c r="AH672" s="76">
        <f>AG672*Entradas!$F$99</f>
        <v>0</v>
      </c>
      <c r="AI672" s="76">
        <f>IF(Entradas!$F$91&gt;0,D672*Entradas!$D$23/Escenarios!$F$16,0)</f>
        <v>0.22169106139543127</v>
      </c>
      <c r="AJ672" s="76">
        <f>IF(Entradas!$F$91&gt;0,Entradas!$D$24*Entradas!$D$22/Escenarios!$F$16,0)</f>
        <v>0.12</v>
      </c>
      <c r="AK672" s="76">
        <f t="shared" si="142"/>
        <v>3.032392090106196</v>
      </c>
      <c r="AL672" s="76">
        <f t="shared" si="143"/>
        <v>0</v>
      </c>
      <c r="AM672" s="76">
        <f t="shared" si="144"/>
        <v>0</v>
      </c>
      <c r="AN672" s="76">
        <f>MAX(0,O672*Escenarios!$F$13/Escenarios!$F$16-AM672)</f>
        <v>0.5896108239659924</v>
      </c>
      <c r="AO672" s="76">
        <f>AM672+AN672-O672*Escenarios!$F$13/Escenarios!$F$16</f>
        <v>0</v>
      </c>
      <c r="AP672" s="76">
        <f t="shared" si="145"/>
        <v>0.15092476956750844</v>
      </c>
      <c r="AQ672" s="76">
        <f t="shared" si="146"/>
        <v>0</v>
      </c>
      <c r="AR672" s="76">
        <f t="shared" si="147"/>
        <v>0.74053559353350085</v>
      </c>
      <c r="AS672" s="76">
        <f t="shared" si="148"/>
        <v>0</v>
      </c>
      <c r="AT672" s="76">
        <f t="shared" si="149"/>
        <v>0</v>
      </c>
      <c r="AU672" s="76">
        <f t="shared" si="150"/>
        <v>49.299960911205375</v>
      </c>
      <c r="AV672" s="76">
        <f>MAX(0,(AU672-Constantes!$D$13)*(1-EXP(-Constantes!$D$24)))</f>
        <v>8.4062884041794829E-3</v>
      </c>
      <c r="AW672" s="170">
        <f>AW671+(Entradas!$F$112*AT672-AX671)/(800*Entradas!$D$25)</f>
        <v>0</v>
      </c>
      <c r="AX672" s="170">
        <f>8000*Entradas!$D$26*AW672/Constantes!$F$45</f>
        <v>0</v>
      </c>
      <c r="AY672" s="170">
        <f>IF(Escenarios!$F$17&gt;0,10*Escenarios!$F$16*AL672,0)</f>
        <v>0</v>
      </c>
      <c r="AZ672" s="170">
        <f>IF(Escenarios!$F$17&gt;0,10*Escenarios!$F$16*AX672,0)</f>
        <v>0</v>
      </c>
      <c r="BA672" s="170">
        <f>IF(Escenarios!$F$17&gt;0,0.001*Observaciones!$F671*Escenarios!$F$17,0)</f>
        <v>0</v>
      </c>
      <c r="BB672" s="170">
        <f>IF(Escenarios!$F$17&gt;0,Observaciones!$K671,0)</f>
        <v>0</v>
      </c>
      <c r="BC672" s="170">
        <f>IF(Escenarios!$F$17&gt;0,MIN(0.0005*ETo!$M671*Escenarios!$F$17*(BG671/Constantes!$F$40)^(2/3),BG671+AY672+AZ672+BA672+BB672),0)</f>
        <v>0</v>
      </c>
      <c r="BD672" s="170">
        <f>IF(Escenarios!$F$17&gt;0,MIN(Constantes!$F$39*(BG671/Constantes!$F$40)^(2/3),BG671+AY672+AZ672+BA672+BB672-BC672),0)</f>
        <v>0</v>
      </c>
      <c r="BE672" s="170">
        <f>IF(Escenarios!$F$17&gt;0,MIN(Entradas!$F$113,BG671+AY672+AZ672+BA672+BB672-BC672-BD672),0)</f>
        <v>0</v>
      </c>
      <c r="BF672" s="170">
        <f>IF(Escenarios!$F$17&gt;0,MAX(0,BG671+AY672+AZ672+BA672+BB672-BC672-BD672-BE672-Constantes!$F$40),0)</f>
        <v>0</v>
      </c>
      <c r="BG672" s="170">
        <f t="shared" si="151"/>
        <v>0</v>
      </c>
      <c r="BH672" s="170">
        <f>(Escenarios!$F$16*AK672+0.1*BC672)/(Escenarios!$F$19)</f>
        <v>3.032392090106196</v>
      </c>
      <c r="BI672" s="170">
        <f>IF(Escenarios!$F$17&gt;0,BF672/10/Escenarios!$F$19,AL672)</f>
        <v>0</v>
      </c>
      <c r="BJ672" s="170">
        <f>(Escenarios!$F$16*AT672+0.1*BD672)/(Escenarios!$F$19)</f>
        <v>0</v>
      </c>
      <c r="BK672" s="76">
        <f>BK671+(0.1*BD672)/(Escenarios!$F$19)-BL671</f>
        <v>48.75</v>
      </c>
      <c r="BL672" s="76">
        <f>MAX(0,(BK672-Constantes!$D$13)*(1-EXP(-Constantes!$D$23)))</f>
        <v>0</v>
      </c>
      <c r="BM672" s="76">
        <f t="shared" si="152"/>
        <v>0.15933105797168792</v>
      </c>
      <c r="BN672" s="76">
        <f t="shared" si="153"/>
        <v>0.7489418819376803</v>
      </c>
      <c r="BO672" s="76">
        <f>0.0526*BI672*Observaciones!$F671^1.218</f>
        <v>0</v>
      </c>
      <c r="BP672" s="76">
        <f>BO672*Constantes!$F$51</f>
        <v>0</v>
      </c>
      <c r="BQ672" s="76">
        <f t="shared" si="154"/>
        <v>0</v>
      </c>
      <c r="BR672" s="40"/>
    </row>
    <row r="673" spans="2:70">
      <c r="B673" s="39"/>
      <c r="C673" s="75">
        <v>667</v>
      </c>
      <c r="D673" s="146">
        <f>ETo!$I672*((1-Constantes!$F$19)*ETo!$K672+ETo!$L672)</f>
        <v>4.6095324245139375</v>
      </c>
      <c r="E673" s="76">
        <f>MIN(D673*Constantes!$F$17,0.8*(N672+Observaciones!$F672-F673-M673-Constantes!$D$14))</f>
        <v>2.6288705387804301</v>
      </c>
      <c r="F673" s="76">
        <f>IF(Observaciones!$F672&gt;0.05*Constantes!$F$18,((Observaciones!$F672-0.05*Constantes!$F$18)^2)/(Observaciones!$F672+0.95*Constantes!$F$18),0)</f>
        <v>0</v>
      </c>
      <c r="G673" s="76">
        <f>IF(Escenarios!$F$11&gt;0,(F673*Escenarios!$F$16*10000)/1000,0)</f>
        <v>0</v>
      </c>
      <c r="H673" s="76">
        <f>IF(Escenarios!$F$11&gt;0,(Observaciones!$F672*Constantes!$F$29)/1000,0)</f>
        <v>0</v>
      </c>
      <c r="I673" s="76">
        <f>IF(Escenarios!$F$11&gt;0,(D673*Constantes!$F$29)/1000,0)</f>
        <v>0</v>
      </c>
      <c r="J673" s="76">
        <f>IF(Escenarios!$F$11&gt;0,MAX(0,G673+H673-I673),0)</f>
        <v>0</v>
      </c>
      <c r="K673" s="76">
        <f>IF(Escenarios!$F$11&gt;0,IF(J673&gt;Constantes!$F$30,1000*((J673-Constantes!$F$30)/(Escenarios!$F$16*10000)),0),F673)</f>
        <v>0</v>
      </c>
      <c r="L673" s="76">
        <f>IF(Escenarios!$F$11&gt;0,I673*1000/Escenarios!$F$16/10000+E673,E673)</f>
        <v>2.6288705387804301</v>
      </c>
      <c r="M673" s="76">
        <f>MAX(0,N672+Observaciones!$F672-K673-Constantes!$D$13)</f>
        <v>0</v>
      </c>
      <c r="N673" s="76">
        <f>N672+Observaciones!$F672-K673-L673-M673-O672</f>
        <v>27.620526793681933</v>
      </c>
      <c r="O673" s="76">
        <f>MAX(0,(N673-Constantes!$D$14)*(1-EXP(-Constantes!$D$22)))</f>
        <v>0.55764024002698331</v>
      </c>
      <c r="P673" s="170">
        <f>P672+(Entradas!$F$83*M673-Q672)/(800*Entradas!$D$25)</f>
        <v>0</v>
      </c>
      <c r="Q673" s="170">
        <f>8000*Entradas!$D$26*P673/Constantes!$F$45</f>
        <v>0</v>
      </c>
      <c r="R673" s="170">
        <f>IF(Escenarios!$F$14&gt;0,K673*Escenarios!$F$13/Escenarios!$F$14,0)</f>
        <v>0</v>
      </c>
      <c r="S673" s="170">
        <f>IF(Escenarios!$F$14&gt;0,Q673*Escenarios!$F$13/Escenarios!$F$14,0)</f>
        <v>0</v>
      </c>
      <c r="T673" s="170">
        <f>IF(Escenarios!$F$14&gt;0,Observaciones!$I672,0)</f>
        <v>0</v>
      </c>
      <c r="U673" s="170">
        <f>IF(Escenarios!$F$14&gt;0,MAX(0,Constantes!$F$36/((Z672+R673+S673+T673+Observaciones!$F672)^2)+Entradas!$F$77),0)</f>
        <v>0</v>
      </c>
      <c r="V673" s="146">
        <f>IF(ETo!D672&gt;0,ETo!I672*((1-Entradas!$F$81)*ETo!K672+ETo!L672),0)</f>
        <v>4.0982044950645129</v>
      </c>
      <c r="W673" s="170">
        <f>IF(Escenarios!$F$14&gt;0,MIN(V673*1,0.8*(Z672+R673+S673+T673+Observaciones!$F672-U673-Constantes!$F$35)),0)</f>
        <v>4.0982044950645129</v>
      </c>
      <c r="X673" s="170">
        <f>IF(Escenarios!$F$14&gt;0,Observaciones!$J672,0)</f>
        <v>0</v>
      </c>
      <c r="Y673" s="170">
        <f>IF(Escenarios!$F$14&gt;0,MAX(0,Z672+R673+S673+T673+Observaciones!$F672-U673-W673-X673-Constantes!$F$33),0)</f>
        <v>0</v>
      </c>
      <c r="Z673" s="170">
        <f>Z672+R673+S673+T673+Observaciones!$F672-U673-W673-Y673</f>
        <v>42.982692115953149</v>
      </c>
      <c r="AA673" s="170">
        <f>IF(Escenarios!$F$14&gt;0,(Escenarios!$F$13*L673+Escenarios!$F$14*W673)/(Escenarios!$F$16),L673)</f>
        <v>2.8051906135345201</v>
      </c>
      <c r="AB673" s="170">
        <f>IF(Escenarios!$F$14&gt;0,(Escenarios!$F$14*Y673)/(Escenarios!$F$16),K673)</f>
        <v>0</v>
      </c>
      <c r="AC673" s="170">
        <f>IF(Escenarios!$F$14&gt;0,(Escenarios!$F$13*M673+Escenarios!$F$14*U673)/(Escenarios!$F$16),M673)</f>
        <v>0</v>
      </c>
      <c r="AD673" s="76">
        <f t="shared" si="141"/>
        <v>63.916351316556728</v>
      </c>
      <c r="AE673" s="76">
        <f>MAX(0,(AD673-Constantes!$D$13)*(1-EXP(-Constantes!$D$23)))</f>
        <v>0.14943767186548032</v>
      </c>
      <c r="AF673" s="76">
        <f>AB673+O673*Escenarios!$F$13/Escenarios!$F$16+AE673</f>
        <v>0.64016108308922559</v>
      </c>
      <c r="AG673" s="76">
        <f>IF(Entradas!$F$91&gt;0,IF(AF673-Escenarios!$F$38&lt;=0,0,IF(AF673-Escenarios!$F$38&gt;Escenarios!$F$37,Escenarios!$F$37,AF673-Escenarios!$F$38)),0)</f>
        <v>0</v>
      </c>
      <c r="AH673" s="76">
        <f>AG673*Entradas!$F$99</f>
        <v>0</v>
      </c>
      <c r="AI673" s="76">
        <f>IF(Entradas!$F$91&gt;0,D673*Entradas!$D$23/Escenarios!$F$16,0)</f>
        <v>0.22125755637666902</v>
      </c>
      <c r="AJ673" s="76">
        <f>IF(Entradas!$F$91&gt;0,Entradas!$D$24*Entradas!$D$22/Escenarios!$F$16,0)</f>
        <v>0.12</v>
      </c>
      <c r="AK673" s="76">
        <f t="shared" si="142"/>
        <v>3.0264481699111894</v>
      </c>
      <c r="AL673" s="76">
        <f t="shared" si="143"/>
        <v>0</v>
      </c>
      <c r="AM673" s="76">
        <f t="shared" si="144"/>
        <v>0</v>
      </c>
      <c r="AN673" s="76">
        <f>MAX(0,O673*Escenarios!$F$13/Escenarios!$F$16-AM673)</f>
        <v>0.4907234112237453</v>
      </c>
      <c r="AO673" s="76">
        <f>AM673+AN673-O673*Escenarios!$F$13/Escenarios!$F$16</f>
        <v>0</v>
      </c>
      <c r="AP673" s="76">
        <f t="shared" si="145"/>
        <v>0.14943767186548032</v>
      </c>
      <c r="AQ673" s="76">
        <f t="shared" si="146"/>
        <v>0</v>
      </c>
      <c r="AR673" s="76">
        <f t="shared" si="147"/>
        <v>0.64016108308922559</v>
      </c>
      <c r="AS673" s="76">
        <f t="shared" si="148"/>
        <v>0</v>
      </c>
      <c r="AT673" s="76">
        <f t="shared" si="149"/>
        <v>0</v>
      </c>
      <c r="AU673" s="76">
        <f t="shared" si="150"/>
        <v>49.291554622801193</v>
      </c>
      <c r="AV673" s="76">
        <f>MAX(0,(AU673-Constantes!$D$13)*(1-EXP(-Constantes!$D$24)))</f>
        <v>8.2777962090171461E-3</v>
      </c>
      <c r="AW673" s="170">
        <f>AW672+(Entradas!$F$112*AT673-AX672)/(800*Entradas!$D$25)</f>
        <v>0</v>
      </c>
      <c r="AX673" s="170">
        <f>8000*Entradas!$D$26*AW673/Constantes!$F$45</f>
        <v>0</v>
      </c>
      <c r="AY673" s="170">
        <f>IF(Escenarios!$F$17&gt;0,10*Escenarios!$F$16*AL673,0)</f>
        <v>0</v>
      </c>
      <c r="AZ673" s="170">
        <f>IF(Escenarios!$F$17&gt;0,10*Escenarios!$F$16*AX673,0)</f>
        <v>0</v>
      </c>
      <c r="BA673" s="170">
        <f>IF(Escenarios!$F$17&gt;0,0.001*Observaciones!$F672*Escenarios!$F$17,0)</f>
        <v>0</v>
      </c>
      <c r="BB673" s="170">
        <f>IF(Escenarios!$F$17&gt;0,Observaciones!$K672,0)</f>
        <v>0</v>
      </c>
      <c r="BC673" s="170">
        <f>IF(Escenarios!$F$17&gt;0,MIN(0.0005*ETo!$M672*Escenarios!$F$17*(BG672/Constantes!$F$40)^(2/3),BG672+AY673+AZ673+BA673+BB673),0)</f>
        <v>0</v>
      </c>
      <c r="BD673" s="170">
        <f>IF(Escenarios!$F$17&gt;0,MIN(Constantes!$F$39*(BG672/Constantes!$F$40)^(2/3),BG672+AY673+AZ673+BA673+BB673-BC673),0)</f>
        <v>0</v>
      </c>
      <c r="BE673" s="170">
        <f>IF(Escenarios!$F$17&gt;0,MIN(Entradas!$F$113,BG672+AY673+AZ673+BA673+BB673-BC673-BD673),0)</f>
        <v>0</v>
      </c>
      <c r="BF673" s="170">
        <f>IF(Escenarios!$F$17&gt;0,MAX(0,BG672+AY673+AZ673+BA673+BB673-BC673-BD673-BE673-Constantes!$F$40),0)</f>
        <v>0</v>
      </c>
      <c r="BG673" s="170">
        <f t="shared" si="151"/>
        <v>0</v>
      </c>
      <c r="BH673" s="170">
        <f>(Escenarios!$F$16*AK673+0.1*BC673)/(Escenarios!$F$19)</f>
        <v>3.0264481699111894</v>
      </c>
      <c r="BI673" s="170">
        <f>IF(Escenarios!$F$17&gt;0,BF673/10/Escenarios!$F$19,AL673)</f>
        <v>0</v>
      </c>
      <c r="BJ673" s="170">
        <f>(Escenarios!$F$16*AT673+0.1*BD673)/(Escenarios!$F$19)</f>
        <v>0</v>
      </c>
      <c r="BK673" s="76">
        <f>BK672+(0.1*BD673)/(Escenarios!$F$19)-BL672</f>
        <v>48.75</v>
      </c>
      <c r="BL673" s="76">
        <f>MAX(0,(BK673-Constantes!$D$13)*(1-EXP(-Constantes!$D$23)))</f>
        <v>0</v>
      </c>
      <c r="BM673" s="76">
        <f t="shared" si="152"/>
        <v>0.15771546807449746</v>
      </c>
      <c r="BN673" s="76">
        <f t="shared" si="153"/>
        <v>0.64843887929824273</v>
      </c>
      <c r="BO673" s="76">
        <f>0.0526*BI673*Observaciones!$F672^1.218</f>
        <v>0</v>
      </c>
      <c r="BP673" s="76">
        <f>BO673*Constantes!$F$51</f>
        <v>0</v>
      </c>
      <c r="BQ673" s="76">
        <f t="shared" si="154"/>
        <v>0</v>
      </c>
      <c r="BR673" s="40"/>
    </row>
    <row r="674" spans="2:70">
      <c r="B674" s="39"/>
      <c r="C674" s="75">
        <v>668</v>
      </c>
      <c r="D674" s="146">
        <f>ETo!$I673*((1-Constantes!$F$19)*ETo!$K673+ETo!$L673)</f>
        <v>4.4806646493965596</v>
      </c>
      <c r="E674" s="76">
        <f>MIN(D674*Constantes!$F$17,0.8*(N673+Observaciones!$F673-F674-M674-Constantes!$D$14))</f>
        <v>2.5553757314540713</v>
      </c>
      <c r="F674" s="76">
        <f>IF(Observaciones!$F673&gt;0.05*Constantes!$F$18,((Observaciones!$F673-0.05*Constantes!$F$18)^2)/(Observaciones!$F673+0.95*Constantes!$F$18),0)</f>
        <v>0</v>
      </c>
      <c r="G674" s="76">
        <f>IF(Escenarios!$F$11&gt;0,(F674*Escenarios!$F$16*10000)/1000,0)</f>
        <v>0</v>
      </c>
      <c r="H674" s="76">
        <f>IF(Escenarios!$F$11&gt;0,(Observaciones!$F673*Constantes!$F$29)/1000,0)</f>
        <v>0</v>
      </c>
      <c r="I674" s="76">
        <f>IF(Escenarios!$F$11&gt;0,(D674*Constantes!$F$29)/1000,0)</f>
        <v>0</v>
      </c>
      <c r="J674" s="76">
        <f>IF(Escenarios!$F$11&gt;0,MAX(0,G674+H674-I674),0)</f>
        <v>0</v>
      </c>
      <c r="K674" s="76">
        <f>IF(Escenarios!$F$11&gt;0,IF(J674&gt;Constantes!$F$30,1000*((J674-Constantes!$F$30)/(Escenarios!$F$16*10000)),0),F674)</f>
        <v>0</v>
      </c>
      <c r="L674" s="76">
        <f>IF(Escenarios!$F$11&gt;0,I674*1000/Escenarios!$F$16/10000+E674,E674)</f>
        <v>2.5553757314540713</v>
      </c>
      <c r="M674" s="76">
        <f>MAX(0,N673+Observaciones!$F673-K674-Constantes!$D$13)</f>
        <v>0</v>
      </c>
      <c r="N674" s="76">
        <f>N673+Observaciones!$F673-K674-L674-M674-O673</f>
        <v>27.007510822200878</v>
      </c>
      <c r="O674" s="76">
        <f>MAX(0,(N674-Constantes!$D$14)*(1-EXP(-Constantes!$D$22)))</f>
        <v>0.53675866561063645</v>
      </c>
      <c r="P674" s="170">
        <f>P673+(Entradas!$F$83*M674-Q673)/(800*Entradas!$D$25)</f>
        <v>0</v>
      </c>
      <c r="Q674" s="170">
        <f>8000*Entradas!$D$26*P674/Constantes!$F$45</f>
        <v>0</v>
      </c>
      <c r="R674" s="170">
        <f>IF(Escenarios!$F$14&gt;0,K674*Escenarios!$F$13/Escenarios!$F$14,0)</f>
        <v>0</v>
      </c>
      <c r="S674" s="170">
        <f>IF(Escenarios!$F$14&gt;0,Q674*Escenarios!$F$13/Escenarios!$F$14,0)</f>
        <v>0</v>
      </c>
      <c r="T674" s="170">
        <f>IF(Escenarios!$F$14&gt;0,Observaciones!$I673,0)</f>
        <v>0</v>
      </c>
      <c r="U674" s="170">
        <f>IF(Escenarios!$F$14&gt;0,MAX(0,Constantes!$F$36/((Z673+R674+S674+T674+Observaciones!$F673)^2)+Entradas!$F$77),0)</f>
        <v>0</v>
      </c>
      <c r="V674" s="146">
        <f>IF(ETo!D673&gt;0,ETo!I673*((1-Entradas!$F$81)*ETo!K673+ETo!L673),0)</f>
        <v>3.9815946778327072</v>
      </c>
      <c r="W674" s="170">
        <f>IF(Escenarios!$F$14&gt;0,MIN(V674*1,0.8*(Z673+R674+S674+T674+Observaciones!$F673-U674-Constantes!$F$35)),0)</f>
        <v>3.3861536927625195</v>
      </c>
      <c r="X674" s="170">
        <f>IF(Escenarios!$F$14&gt;0,Observaciones!$J673,0)</f>
        <v>0</v>
      </c>
      <c r="Y674" s="170">
        <f>IF(Escenarios!$F$14&gt;0,MAX(0,Z673+R674+S674+T674+Observaciones!$F673-U674-W674-X674-Constantes!$F$33),0)</f>
        <v>0</v>
      </c>
      <c r="Z674" s="170">
        <f>Z673+R674+S674+T674+Observaciones!$F673-U674-W674-Y674</f>
        <v>42.09653842319063</v>
      </c>
      <c r="AA674" s="170">
        <f>IF(Escenarios!$F$14&gt;0,(Escenarios!$F$13*L674+Escenarios!$F$14*W674)/(Escenarios!$F$16),L674)</f>
        <v>2.6550690868110851</v>
      </c>
      <c r="AB674" s="170">
        <f>IF(Escenarios!$F$14&gt;0,(Escenarios!$F$14*Y674)/(Escenarios!$F$16),K674)</f>
        <v>0</v>
      </c>
      <c r="AC674" s="170">
        <f>IF(Escenarios!$F$14&gt;0,(Escenarios!$F$13*M674+Escenarios!$F$14*U674)/(Escenarios!$F$16),M674)</f>
        <v>0</v>
      </c>
      <c r="AD674" s="76">
        <f t="shared" si="141"/>
        <v>63.76691364469125</v>
      </c>
      <c r="AE674" s="76">
        <f>MAX(0,(AD674-Constantes!$D$13)*(1-EXP(-Constantes!$D$23)))</f>
        <v>0.14796522689130939</v>
      </c>
      <c r="AF674" s="76">
        <f>AB674+O674*Escenarios!$F$13/Escenarios!$F$16+AE674</f>
        <v>0.62031285262866953</v>
      </c>
      <c r="AG674" s="76">
        <f>IF(Entradas!$F$91&gt;0,IF(AF674-Escenarios!$F$38&lt;=0,0,IF(AF674-Escenarios!$F$38&gt;Escenarios!$F$37,Escenarios!$F$37,AF674-Escenarios!$F$38)),0)</f>
        <v>0</v>
      </c>
      <c r="AH674" s="76">
        <f>AG674*Entradas!$F$99</f>
        <v>0</v>
      </c>
      <c r="AI674" s="76">
        <f>IF(Entradas!$F$91&gt;0,D674*Entradas!$D$23/Escenarios!$F$16,0)</f>
        <v>0.21507190317103489</v>
      </c>
      <c r="AJ674" s="76">
        <f>IF(Entradas!$F$91&gt;0,Entradas!$D$24*Entradas!$D$22/Escenarios!$F$16,0)</f>
        <v>0.12</v>
      </c>
      <c r="AK674" s="76">
        <f t="shared" si="142"/>
        <v>2.87014098998212</v>
      </c>
      <c r="AL674" s="76">
        <f t="shared" si="143"/>
        <v>0</v>
      </c>
      <c r="AM674" s="76">
        <f t="shared" si="144"/>
        <v>0</v>
      </c>
      <c r="AN674" s="76">
        <f>MAX(0,O674*Escenarios!$F$13/Escenarios!$F$16-AM674)</f>
        <v>0.47234762573736011</v>
      </c>
      <c r="AO674" s="76">
        <f>AM674+AN674-O674*Escenarios!$F$13/Escenarios!$F$16</f>
        <v>0</v>
      </c>
      <c r="AP674" s="76">
        <f t="shared" si="145"/>
        <v>0.14796522689130939</v>
      </c>
      <c r="AQ674" s="76">
        <f t="shared" si="146"/>
        <v>0</v>
      </c>
      <c r="AR674" s="76">
        <f t="shared" si="147"/>
        <v>0.62031285262866953</v>
      </c>
      <c r="AS674" s="76">
        <f t="shared" si="148"/>
        <v>0</v>
      </c>
      <c r="AT674" s="76">
        <f t="shared" si="149"/>
        <v>0</v>
      </c>
      <c r="AU674" s="76">
        <f t="shared" si="150"/>
        <v>49.283276826592179</v>
      </c>
      <c r="AV674" s="76">
        <f>MAX(0,(AU674-Constantes!$D$13)*(1-EXP(-Constantes!$D$24)))</f>
        <v>8.1512680488039259E-3</v>
      </c>
      <c r="AW674" s="170">
        <f>AW673+(Entradas!$F$112*AT674-AX673)/(800*Entradas!$D$25)</f>
        <v>0</v>
      </c>
      <c r="AX674" s="170">
        <f>8000*Entradas!$D$26*AW674/Constantes!$F$45</f>
        <v>0</v>
      </c>
      <c r="AY674" s="170">
        <f>IF(Escenarios!$F$17&gt;0,10*Escenarios!$F$16*AL674,0)</f>
        <v>0</v>
      </c>
      <c r="AZ674" s="170">
        <f>IF(Escenarios!$F$17&gt;0,10*Escenarios!$F$16*AX674,0)</f>
        <v>0</v>
      </c>
      <c r="BA674" s="170">
        <f>IF(Escenarios!$F$17&gt;0,0.001*Observaciones!$F673*Escenarios!$F$17,0)</f>
        <v>0</v>
      </c>
      <c r="BB674" s="170">
        <f>IF(Escenarios!$F$17&gt;0,Observaciones!$K673,0)</f>
        <v>0</v>
      </c>
      <c r="BC674" s="170">
        <f>IF(Escenarios!$F$17&gt;0,MIN(0.0005*ETo!$M673*Escenarios!$F$17*(BG673/Constantes!$F$40)^(2/3),BG673+AY674+AZ674+BA674+BB674),0)</f>
        <v>0</v>
      </c>
      <c r="BD674" s="170">
        <f>IF(Escenarios!$F$17&gt;0,MIN(Constantes!$F$39*(BG673/Constantes!$F$40)^(2/3),BG673+AY674+AZ674+BA674+BB674-BC674),0)</f>
        <v>0</v>
      </c>
      <c r="BE674" s="170">
        <f>IF(Escenarios!$F$17&gt;0,MIN(Entradas!$F$113,BG673+AY674+AZ674+BA674+BB674-BC674-BD674),0)</f>
        <v>0</v>
      </c>
      <c r="BF674" s="170">
        <f>IF(Escenarios!$F$17&gt;0,MAX(0,BG673+AY674+AZ674+BA674+BB674-BC674-BD674-BE674-Constantes!$F$40),0)</f>
        <v>0</v>
      </c>
      <c r="BG674" s="170">
        <f t="shared" si="151"/>
        <v>0</v>
      </c>
      <c r="BH674" s="170">
        <f>(Escenarios!$F$16*AK674+0.1*BC674)/(Escenarios!$F$19)</f>
        <v>2.87014098998212</v>
      </c>
      <c r="BI674" s="170">
        <f>IF(Escenarios!$F$17&gt;0,BF674/10/Escenarios!$F$19,AL674)</f>
        <v>0</v>
      </c>
      <c r="BJ674" s="170">
        <f>(Escenarios!$F$16*AT674+0.1*BD674)/(Escenarios!$F$19)</f>
        <v>0</v>
      </c>
      <c r="BK674" s="76">
        <f>BK673+(0.1*BD674)/(Escenarios!$F$19)-BL673</f>
        <v>48.75</v>
      </c>
      <c r="BL674" s="76">
        <f>MAX(0,(BK674-Constantes!$D$13)*(1-EXP(-Constantes!$D$23)))</f>
        <v>0</v>
      </c>
      <c r="BM674" s="76">
        <f t="shared" si="152"/>
        <v>0.15611649494011332</v>
      </c>
      <c r="BN674" s="76">
        <f t="shared" si="153"/>
        <v>0.62846412067747348</v>
      </c>
      <c r="BO674" s="76">
        <f>0.0526*BI674*Observaciones!$F673^1.218</f>
        <v>0</v>
      </c>
      <c r="BP674" s="76">
        <f>BO674*Constantes!$F$51</f>
        <v>0</v>
      </c>
      <c r="BQ674" s="76">
        <f t="shared" si="154"/>
        <v>0</v>
      </c>
      <c r="BR674" s="40"/>
    </row>
    <row r="675" spans="2:70">
      <c r="B675" s="39"/>
      <c r="C675" s="75">
        <v>669</v>
      </c>
      <c r="D675" s="146">
        <f>ETo!$I674*((1-Constantes!$F$19)*ETo!$K674+ETo!$L674)</f>
        <v>4.5538974533336845</v>
      </c>
      <c r="E675" s="76">
        <f>MIN(D675*Constantes!$F$17,0.8*(N674+Observaciones!$F674-F675-M675-Constantes!$D$14))</f>
        <v>2.5971412605820916</v>
      </c>
      <c r="F675" s="76">
        <f>IF(Observaciones!$F674&gt;0.05*Constantes!$F$18,((Observaciones!$F674-0.05*Constantes!$F$18)^2)/(Observaciones!$F674+0.95*Constantes!$F$18),0)</f>
        <v>0</v>
      </c>
      <c r="G675" s="76">
        <f>IF(Escenarios!$F$11&gt;0,(F675*Escenarios!$F$16*10000)/1000,0)</f>
        <v>0</v>
      </c>
      <c r="H675" s="76">
        <f>IF(Escenarios!$F$11&gt;0,(Observaciones!$F674*Constantes!$F$29)/1000,0)</f>
        <v>0</v>
      </c>
      <c r="I675" s="76">
        <f>IF(Escenarios!$F$11&gt;0,(D675*Constantes!$F$29)/1000,0)</f>
        <v>0</v>
      </c>
      <c r="J675" s="76">
        <f>IF(Escenarios!$F$11&gt;0,MAX(0,G675+H675-I675),0)</f>
        <v>0</v>
      </c>
      <c r="K675" s="76">
        <f>IF(Escenarios!$F$11&gt;0,IF(J675&gt;Constantes!$F$30,1000*((J675-Constantes!$F$30)/(Escenarios!$F$16*10000)),0),F675)</f>
        <v>0</v>
      </c>
      <c r="L675" s="76">
        <f>IF(Escenarios!$F$11&gt;0,I675*1000/Escenarios!$F$16/10000+E675,E675)</f>
        <v>2.5971412605820916</v>
      </c>
      <c r="M675" s="76">
        <f>MAX(0,N674+Observaciones!$F674-K675-Constantes!$D$13)</f>
        <v>0</v>
      </c>
      <c r="N675" s="76">
        <f>N674+Observaciones!$F674-K675-L675-M675-O674</f>
        <v>23.873610896008149</v>
      </c>
      <c r="O675" s="76">
        <f>MAX(0,(N675-Constantes!$D$14)*(1-EXP(-Constantes!$D$22)))</f>
        <v>0.43000652934235672</v>
      </c>
      <c r="P675" s="170">
        <f>P674+(Entradas!$F$83*M675-Q674)/(800*Entradas!$D$25)</f>
        <v>0</v>
      </c>
      <c r="Q675" s="170">
        <f>8000*Entradas!$D$26*P675/Constantes!$F$45</f>
        <v>0</v>
      </c>
      <c r="R675" s="170">
        <f>IF(Escenarios!$F$14&gt;0,K675*Escenarios!$F$13/Escenarios!$F$14,0)</f>
        <v>0</v>
      </c>
      <c r="S675" s="170">
        <f>IF(Escenarios!$F$14&gt;0,Q675*Escenarios!$F$13/Escenarios!$F$14,0)</f>
        <v>0</v>
      </c>
      <c r="T675" s="170">
        <f>IF(Escenarios!$F$14&gt;0,Observaciones!$I674,0)</f>
        <v>0</v>
      </c>
      <c r="U675" s="170">
        <f>IF(Escenarios!$F$14&gt;0,MAX(0,Constantes!$F$36/((Z674+R675+S675+T675+Observaciones!$F674)^2)+Entradas!$F$77),0)</f>
        <v>0</v>
      </c>
      <c r="V675" s="146">
        <f>IF(ETo!D674&gt;0,ETo!I674*((1-Entradas!$F$81)*ETo!K674+ETo!L674),0)</f>
        <v>4.0478792835999</v>
      </c>
      <c r="W675" s="170">
        <f>IF(Escenarios!$F$14&gt;0,MIN(V675*1,0.8*(Z674+R675+S675+T675+Observaciones!$F674-U675-Constantes!$F$35)),0)</f>
        <v>0.67723073855250393</v>
      </c>
      <c r="X675" s="170">
        <f>IF(Escenarios!$F$14&gt;0,Observaciones!$J674,0)</f>
        <v>0</v>
      </c>
      <c r="Y675" s="170">
        <f>IF(Escenarios!$F$14&gt;0,MAX(0,Z674+R675+S675+T675+Observaciones!$F674-U675-W675-X675-Constantes!$F$33),0)</f>
        <v>0</v>
      </c>
      <c r="Z675" s="170">
        <f>Z674+R675+S675+T675+Observaciones!$F674-U675-W675-Y675</f>
        <v>41.419307684638127</v>
      </c>
      <c r="AA675" s="170">
        <f>IF(Escenarios!$F$14&gt;0,(Escenarios!$F$13*L675+Escenarios!$F$14*W675)/(Escenarios!$F$16),L675)</f>
        <v>2.3667519979385414</v>
      </c>
      <c r="AB675" s="170">
        <f>IF(Escenarios!$F$14&gt;0,(Escenarios!$F$14*Y675)/(Escenarios!$F$16),K675)</f>
        <v>0</v>
      </c>
      <c r="AC675" s="170">
        <f>IF(Escenarios!$F$14&gt;0,(Escenarios!$F$13*M675+Escenarios!$F$14*U675)/(Escenarios!$F$16),M675)</f>
        <v>0</v>
      </c>
      <c r="AD675" s="76">
        <f t="shared" si="141"/>
        <v>63.618948417799942</v>
      </c>
      <c r="AE675" s="76">
        <f>MAX(0,(AD675-Constantes!$D$13)*(1-EXP(-Constantes!$D$23)))</f>
        <v>0.14650729026817802</v>
      </c>
      <c r="AF675" s="76">
        <f>AB675+O675*Escenarios!$F$13/Escenarios!$F$16+AE675</f>
        <v>0.52491303608945195</v>
      </c>
      <c r="AG675" s="76">
        <f>IF(Entradas!$F$91&gt;0,IF(AF675-Escenarios!$F$38&lt;=0,0,IF(AF675-Escenarios!$F$38&gt;Escenarios!$F$37,Escenarios!$F$37,AF675-Escenarios!$F$38)),0)</f>
        <v>0</v>
      </c>
      <c r="AH675" s="76">
        <f>AG675*Entradas!$F$99</f>
        <v>0</v>
      </c>
      <c r="AI675" s="76">
        <f>IF(Entradas!$F$91&gt;0,D675*Entradas!$D$23/Escenarios!$F$16,0)</f>
        <v>0.21858707776001685</v>
      </c>
      <c r="AJ675" s="76">
        <f>IF(Entradas!$F$91&gt;0,Entradas!$D$24*Entradas!$D$22/Escenarios!$F$16,0)</f>
        <v>0.12</v>
      </c>
      <c r="AK675" s="76">
        <f t="shared" si="142"/>
        <v>2.5853390756985584</v>
      </c>
      <c r="AL675" s="76">
        <f t="shared" si="143"/>
        <v>0</v>
      </c>
      <c r="AM675" s="76">
        <f t="shared" si="144"/>
        <v>0</v>
      </c>
      <c r="AN675" s="76">
        <f>MAX(0,O675*Escenarios!$F$13/Escenarios!$F$16-AM675)</f>
        <v>0.3784057458212739</v>
      </c>
      <c r="AO675" s="76">
        <f>AM675+AN675-O675*Escenarios!$F$13/Escenarios!$F$16</f>
        <v>0</v>
      </c>
      <c r="AP675" s="76">
        <f t="shared" si="145"/>
        <v>0.14650729026817802</v>
      </c>
      <c r="AQ675" s="76">
        <f t="shared" si="146"/>
        <v>0</v>
      </c>
      <c r="AR675" s="76">
        <f t="shared" si="147"/>
        <v>0.52491303608945195</v>
      </c>
      <c r="AS675" s="76">
        <f t="shared" si="148"/>
        <v>0</v>
      </c>
      <c r="AT675" s="76">
        <f t="shared" si="149"/>
        <v>0</v>
      </c>
      <c r="AU675" s="76">
        <f t="shared" si="150"/>
        <v>49.275125558543373</v>
      </c>
      <c r="AV675" s="76">
        <f>MAX(0,(AU675-Constantes!$D$13)*(1-EXP(-Constantes!$D$24)))</f>
        <v>8.0266739027802479E-3</v>
      </c>
      <c r="AW675" s="170">
        <f>AW674+(Entradas!$F$112*AT675-AX674)/(800*Entradas!$D$25)</f>
        <v>0</v>
      </c>
      <c r="AX675" s="170">
        <f>8000*Entradas!$D$26*AW675/Constantes!$F$45</f>
        <v>0</v>
      </c>
      <c r="AY675" s="170">
        <f>IF(Escenarios!$F$17&gt;0,10*Escenarios!$F$16*AL675,0)</f>
        <v>0</v>
      </c>
      <c r="AZ675" s="170">
        <f>IF(Escenarios!$F$17&gt;0,10*Escenarios!$F$16*AX675,0)</f>
        <v>0</v>
      </c>
      <c r="BA675" s="170">
        <f>IF(Escenarios!$F$17&gt;0,0.001*Observaciones!$F674*Escenarios!$F$17,0)</f>
        <v>0</v>
      </c>
      <c r="BB675" s="170">
        <f>IF(Escenarios!$F$17&gt;0,Observaciones!$K674,0)</f>
        <v>0</v>
      </c>
      <c r="BC675" s="170">
        <f>IF(Escenarios!$F$17&gt;0,MIN(0.0005*ETo!$M674*Escenarios!$F$17*(BG674/Constantes!$F$40)^(2/3),BG674+AY675+AZ675+BA675+BB675),0)</f>
        <v>0</v>
      </c>
      <c r="BD675" s="170">
        <f>IF(Escenarios!$F$17&gt;0,MIN(Constantes!$F$39*(BG674/Constantes!$F$40)^(2/3),BG674+AY675+AZ675+BA675+BB675-BC675),0)</f>
        <v>0</v>
      </c>
      <c r="BE675" s="170">
        <f>IF(Escenarios!$F$17&gt;0,MIN(Entradas!$F$113,BG674+AY675+AZ675+BA675+BB675-BC675-BD675),0)</f>
        <v>0</v>
      </c>
      <c r="BF675" s="170">
        <f>IF(Escenarios!$F$17&gt;0,MAX(0,BG674+AY675+AZ675+BA675+BB675-BC675-BD675-BE675-Constantes!$F$40),0)</f>
        <v>0</v>
      </c>
      <c r="BG675" s="170">
        <f t="shared" si="151"/>
        <v>0</v>
      </c>
      <c r="BH675" s="170">
        <f>(Escenarios!$F$16*AK675+0.1*BC675)/(Escenarios!$F$19)</f>
        <v>2.5853390756985584</v>
      </c>
      <c r="BI675" s="170">
        <f>IF(Escenarios!$F$17&gt;0,BF675/10/Escenarios!$F$19,AL675)</f>
        <v>0</v>
      </c>
      <c r="BJ675" s="170">
        <f>(Escenarios!$F$16*AT675+0.1*BD675)/(Escenarios!$F$19)</f>
        <v>0</v>
      </c>
      <c r="BK675" s="76">
        <f>BK674+(0.1*BD675)/(Escenarios!$F$19)-BL674</f>
        <v>48.75</v>
      </c>
      <c r="BL675" s="76">
        <f>MAX(0,(BK675-Constantes!$D$13)*(1-EXP(-Constantes!$D$23)))</f>
        <v>0</v>
      </c>
      <c r="BM675" s="76">
        <f t="shared" si="152"/>
        <v>0.15453396417095827</v>
      </c>
      <c r="BN675" s="76">
        <f t="shared" si="153"/>
        <v>0.53293970999223217</v>
      </c>
      <c r="BO675" s="76">
        <f>0.0526*BI675*Observaciones!$F674^1.218</f>
        <v>0</v>
      </c>
      <c r="BP675" s="76">
        <f>BO675*Constantes!$F$51</f>
        <v>0</v>
      </c>
      <c r="BQ675" s="76">
        <f t="shared" si="154"/>
        <v>0</v>
      </c>
      <c r="BR675" s="40"/>
    </row>
    <row r="676" spans="2:70">
      <c r="B676" s="39"/>
      <c r="C676" s="75">
        <v>670</v>
      </c>
      <c r="D676" s="146">
        <f>ETo!$I675*((1-Constantes!$F$19)*ETo!$K675+ETo!$L675)</f>
        <v>4.5210650481923222</v>
      </c>
      <c r="E676" s="76">
        <f>MIN(D676*Constantes!$F$17,0.8*(N675+Observaciones!$F675-F676-M676-Constantes!$D$14))</f>
        <v>2.5784165538993888</v>
      </c>
      <c r="F676" s="76">
        <f>IF(Observaciones!$F675&gt;0.05*Constantes!$F$18,((Observaciones!$F675-0.05*Constantes!$F$18)^2)/(Observaciones!$F675+0.95*Constantes!$F$18),0)</f>
        <v>0</v>
      </c>
      <c r="G676" s="76">
        <f>IF(Escenarios!$F$11&gt;0,(F676*Escenarios!$F$16*10000)/1000,0)</f>
        <v>0</v>
      </c>
      <c r="H676" s="76">
        <f>IF(Escenarios!$F$11&gt;0,(Observaciones!$F675*Constantes!$F$29)/1000,0)</f>
        <v>0</v>
      </c>
      <c r="I676" s="76">
        <f>IF(Escenarios!$F$11&gt;0,(D676*Constantes!$F$29)/1000,0)</f>
        <v>0</v>
      </c>
      <c r="J676" s="76">
        <f>IF(Escenarios!$F$11&gt;0,MAX(0,G676+H676-I676),0)</f>
        <v>0</v>
      </c>
      <c r="K676" s="76">
        <f>IF(Escenarios!$F$11&gt;0,IF(J676&gt;Constantes!$F$30,1000*((J676-Constantes!$F$30)/(Escenarios!$F$16*10000)),0),F676)</f>
        <v>0</v>
      </c>
      <c r="L676" s="76">
        <f>IF(Escenarios!$F$11&gt;0,I676*1000/Escenarios!$F$16/10000+E676,E676)</f>
        <v>2.5784165538993888</v>
      </c>
      <c r="M676" s="76">
        <f>MAX(0,N675+Observaciones!$F675-K676-Constantes!$D$13)</f>
        <v>0</v>
      </c>
      <c r="N676" s="76">
        <f>N675+Observaciones!$F675-K676-L676-M676-O675</f>
        <v>21.265187812766403</v>
      </c>
      <c r="O676" s="76">
        <f>MAX(0,(N676-Constantes!$D$14)*(1-EXP(-Constantes!$D$22)))</f>
        <v>0.34115406340996979</v>
      </c>
      <c r="P676" s="170">
        <f>P675+(Entradas!$F$83*M676-Q675)/(800*Entradas!$D$25)</f>
        <v>0</v>
      </c>
      <c r="Q676" s="170">
        <f>8000*Entradas!$D$26*P676/Constantes!$F$45</f>
        <v>0</v>
      </c>
      <c r="R676" s="170">
        <f>IF(Escenarios!$F$14&gt;0,K676*Escenarios!$F$13/Escenarios!$F$14,0)</f>
        <v>0</v>
      </c>
      <c r="S676" s="170">
        <f>IF(Escenarios!$F$14&gt;0,Q676*Escenarios!$F$13/Escenarios!$F$14,0)</f>
        <v>0</v>
      </c>
      <c r="T676" s="170">
        <f>IF(Escenarios!$F$14&gt;0,Observaciones!$I675,0)</f>
        <v>0</v>
      </c>
      <c r="U676" s="170">
        <f>IF(Escenarios!$F$14&gt;0,MAX(0,Constantes!$F$36/((Z675+R676+S676+T676+Observaciones!$F675)^2)+Entradas!$F$77),0)</f>
        <v>0</v>
      </c>
      <c r="V676" s="146">
        <f>IF(ETo!D675&gt;0,ETo!I675*((1-Entradas!$F$81)*ETo!K675+ETo!L675),0)</f>
        <v>4.018220514594768</v>
      </c>
      <c r="W676" s="170">
        <f>IF(Escenarios!$F$14&gt;0,MIN(V676*1,0.8*(Z675+R676+S676+T676+Observaciones!$F675-U676-Constantes!$F$35)),0)</f>
        <v>0.45544614771050079</v>
      </c>
      <c r="X676" s="170">
        <f>IF(Escenarios!$F$14&gt;0,Observaciones!$J675,0)</f>
        <v>0</v>
      </c>
      <c r="Y676" s="170">
        <f>IF(Escenarios!$F$14&gt;0,MAX(0,Z675+R676+S676+T676+Observaciones!$F675-U676-W676-X676-Constantes!$F$33),0)</f>
        <v>0</v>
      </c>
      <c r="Z676" s="170">
        <f>Z675+R676+S676+T676+Observaciones!$F675-U676-W676-Y676</f>
        <v>41.363861536927622</v>
      </c>
      <c r="AA676" s="170">
        <f>IF(Escenarios!$F$14&gt;0,(Escenarios!$F$13*L676+Escenarios!$F$14*W676)/(Escenarios!$F$16),L676)</f>
        <v>2.3236601051567223</v>
      </c>
      <c r="AB676" s="170">
        <f>IF(Escenarios!$F$14&gt;0,(Escenarios!$F$14*Y676)/(Escenarios!$F$16),K676)</f>
        <v>0</v>
      </c>
      <c r="AC676" s="170">
        <f>IF(Escenarios!$F$14&gt;0,(Escenarios!$F$13*M676+Escenarios!$F$14*U676)/(Escenarios!$F$16),M676)</f>
        <v>0</v>
      </c>
      <c r="AD676" s="76">
        <f t="shared" si="141"/>
        <v>63.472441127531766</v>
      </c>
      <c r="AE676" s="76">
        <f>MAX(0,(AD676-Constantes!$D$13)*(1-EXP(-Constantes!$D$23)))</f>
        <v>0.14506371904184784</v>
      </c>
      <c r="AF676" s="76">
        <f>AB676+O676*Escenarios!$F$13/Escenarios!$F$16+AE676</f>
        <v>0.44527929484262124</v>
      </c>
      <c r="AG676" s="76">
        <f>IF(Entradas!$F$91&gt;0,IF(AF676-Escenarios!$F$38&lt;=0,0,IF(AF676-Escenarios!$F$38&gt;Escenarios!$F$37,Escenarios!$F$37,AF676-Escenarios!$F$38)),0)</f>
        <v>0</v>
      </c>
      <c r="AH676" s="76">
        <f>AG676*Entradas!$F$99</f>
        <v>0</v>
      </c>
      <c r="AI676" s="76">
        <f>IF(Entradas!$F$91&gt;0,D676*Entradas!$D$23/Escenarios!$F$16,0)</f>
        <v>0.21701112231323144</v>
      </c>
      <c r="AJ676" s="76">
        <f>IF(Entradas!$F$91&gt;0,Entradas!$D$24*Entradas!$D$22/Escenarios!$F$16,0)</f>
        <v>0.12</v>
      </c>
      <c r="AK676" s="76">
        <f t="shared" si="142"/>
        <v>2.5406712274699537</v>
      </c>
      <c r="AL676" s="76">
        <f t="shared" si="143"/>
        <v>0</v>
      </c>
      <c r="AM676" s="76">
        <f t="shared" si="144"/>
        <v>0</v>
      </c>
      <c r="AN676" s="76">
        <f>MAX(0,O676*Escenarios!$F$13/Escenarios!$F$16-AM676)</f>
        <v>0.3002155758007734</v>
      </c>
      <c r="AO676" s="76">
        <f>AM676+AN676-O676*Escenarios!$F$13/Escenarios!$F$16</f>
        <v>0</v>
      </c>
      <c r="AP676" s="76">
        <f t="shared" si="145"/>
        <v>0.14506371904184784</v>
      </c>
      <c r="AQ676" s="76">
        <f t="shared" si="146"/>
        <v>0</v>
      </c>
      <c r="AR676" s="76">
        <f t="shared" si="147"/>
        <v>0.44527929484262124</v>
      </c>
      <c r="AS676" s="76">
        <f t="shared" si="148"/>
        <v>0</v>
      </c>
      <c r="AT676" s="76">
        <f t="shared" si="149"/>
        <v>0</v>
      </c>
      <c r="AU676" s="76">
        <f t="shared" si="150"/>
        <v>49.267098884640589</v>
      </c>
      <c r="AV676" s="76">
        <f>MAX(0,(AU676-Constantes!$D$13)*(1-EXP(-Constantes!$D$24)))</f>
        <v>7.9039842090614498E-3</v>
      </c>
      <c r="AW676" s="170">
        <f>AW675+(Entradas!$F$112*AT676-AX675)/(800*Entradas!$D$25)</f>
        <v>0</v>
      </c>
      <c r="AX676" s="170">
        <f>8000*Entradas!$D$26*AW676/Constantes!$F$45</f>
        <v>0</v>
      </c>
      <c r="AY676" s="170">
        <f>IF(Escenarios!$F$17&gt;0,10*Escenarios!$F$16*AL676,0)</f>
        <v>0</v>
      </c>
      <c r="AZ676" s="170">
        <f>IF(Escenarios!$F$17&gt;0,10*Escenarios!$F$16*AX676,0)</f>
        <v>0</v>
      </c>
      <c r="BA676" s="170">
        <f>IF(Escenarios!$F$17&gt;0,0.001*Observaciones!$F675*Escenarios!$F$17,0)</f>
        <v>0</v>
      </c>
      <c r="BB676" s="170">
        <f>IF(Escenarios!$F$17&gt;0,Observaciones!$K675,0)</f>
        <v>0</v>
      </c>
      <c r="BC676" s="170">
        <f>IF(Escenarios!$F$17&gt;0,MIN(0.0005*ETo!$M675*Escenarios!$F$17*(BG675/Constantes!$F$40)^(2/3),BG675+AY676+AZ676+BA676+BB676),0)</f>
        <v>0</v>
      </c>
      <c r="BD676" s="170">
        <f>IF(Escenarios!$F$17&gt;0,MIN(Constantes!$F$39*(BG675/Constantes!$F$40)^(2/3),BG675+AY676+AZ676+BA676+BB676-BC676),0)</f>
        <v>0</v>
      </c>
      <c r="BE676" s="170">
        <f>IF(Escenarios!$F$17&gt;0,MIN(Entradas!$F$113,BG675+AY676+AZ676+BA676+BB676-BC676-BD676),0)</f>
        <v>0</v>
      </c>
      <c r="BF676" s="170">
        <f>IF(Escenarios!$F$17&gt;0,MAX(0,BG675+AY676+AZ676+BA676+BB676-BC676-BD676-BE676-Constantes!$F$40),0)</f>
        <v>0</v>
      </c>
      <c r="BG676" s="170">
        <f t="shared" si="151"/>
        <v>0</v>
      </c>
      <c r="BH676" s="170">
        <f>(Escenarios!$F$16*AK676+0.1*BC676)/(Escenarios!$F$19)</f>
        <v>2.5406712274699537</v>
      </c>
      <c r="BI676" s="170">
        <f>IF(Escenarios!$F$17&gt;0,BF676/10/Escenarios!$F$19,AL676)</f>
        <v>0</v>
      </c>
      <c r="BJ676" s="170">
        <f>(Escenarios!$F$16*AT676+0.1*BD676)/(Escenarios!$F$19)</f>
        <v>0</v>
      </c>
      <c r="BK676" s="76">
        <f>BK675+(0.1*BD676)/(Escenarios!$F$19)-BL675</f>
        <v>48.75</v>
      </c>
      <c r="BL676" s="76">
        <f>MAX(0,(BK676-Constantes!$D$13)*(1-EXP(-Constantes!$D$23)))</f>
        <v>0</v>
      </c>
      <c r="BM676" s="76">
        <f t="shared" si="152"/>
        <v>0.15296770325090928</v>
      </c>
      <c r="BN676" s="76">
        <f t="shared" si="153"/>
        <v>0.45318327905168271</v>
      </c>
      <c r="BO676" s="76">
        <f>0.0526*BI676*Observaciones!$F675^1.218</f>
        <v>0</v>
      </c>
      <c r="BP676" s="76">
        <f>BO676*Constantes!$F$51</f>
        <v>0</v>
      </c>
      <c r="BQ676" s="76">
        <f t="shared" si="154"/>
        <v>0</v>
      </c>
      <c r="BR676" s="40"/>
    </row>
    <row r="677" spans="2:70">
      <c r="B677" s="39"/>
      <c r="C677" s="75">
        <v>671</v>
      </c>
      <c r="D677" s="146">
        <f>ETo!$I676*((1-Constantes!$F$19)*ETo!$K676+ETo!$L676)</f>
        <v>4.5340669442597648</v>
      </c>
      <c r="E677" s="76">
        <f>MIN(D677*Constantes!$F$17,0.8*(N676+Observaciones!$F676-F677-M677-Constantes!$D$14))</f>
        <v>2.585831688097862</v>
      </c>
      <c r="F677" s="76">
        <f>IF(Observaciones!$F676&gt;0.05*Constantes!$F$18,((Observaciones!$F676-0.05*Constantes!$F$18)^2)/(Observaciones!$F676+0.95*Constantes!$F$18),0)</f>
        <v>0</v>
      </c>
      <c r="G677" s="76">
        <f>IF(Escenarios!$F$11&gt;0,(F677*Escenarios!$F$16*10000)/1000,0)</f>
        <v>0</v>
      </c>
      <c r="H677" s="76">
        <f>IF(Escenarios!$F$11&gt;0,(Observaciones!$F676*Constantes!$F$29)/1000,0)</f>
        <v>0</v>
      </c>
      <c r="I677" s="76">
        <f>IF(Escenarios!$F$11&gt;0,(D677*Constantes!$F$29)/1000,0)</f>
        <v>0</v>
      </c>
      <c r="J677" s="76">
        <f>IF(Escenarios!$F$11&gt;0,MAX(0,G677+H677-I677),0)</f>
        <v>0</v>
      </c>
      <c r="K677" s="76">
        <f>IF(Escenarios!$F$11&gt;0,IF(J677&gt;Constantes!$F$30,1000*((J677-Constantes!$F$30)/(Escenarios!$F$16*10000)),0),F677)</f>
        <v>0</v>
      </c>
      <c r="L677" s="76">
        <f>IF(Escenarios!$F$11&gt;0,I677*1000/Escenarios!$F$16/10000+E677,E677)</f>
        <v>2.585831688097862</v>
      </c>
      <c r="M677" s="76">
        <f>MAX(0,N676+Observaciones!$F676-K677-Constantes!$D$13)</f>
        <v>0</v>
      </c>
      <c r="N677" s="76">
        <f>N676+Observaciones!$F676-K677-L677-M677-O676</f>
        <v>20.53820206125857</v>
      </c>
      <c r="O677" s="76">
        <f>MAX(0,(N677-Constantes!$D$14)*(1-EXP(-Constantes!$D$22)))</f>
        <v>0.31639025989428304</v>
      </c>
      <c r="P677" s="170">
        <f>P676+(Entradas!$F$83*M677-Q676)/(800*Entradas!$D$25)</f>
        <v>0</v>
      </c>
      <c r="Q677" s="170">
        <f>8000*Entradas!$D$26*P677/Constantes!$F$45</f>
        <v>0</v>
      </c>
      <c r="R677" s="170">
        <f>IF(Escenarios!$F$14&gt;0,K677*Escenarios!$F$13/Escenarios!$F$14,0)</f>
        <v>0</v>
      </c>
      <c r="S677" s="170">
        <f>IF(Escenarios!$F$14&gt;0,Q677*Escenarios!$F$13/Escenarios!$F$14,0)</f>
        <v>0</v>
      </c>
      <c r="T677" s="170">
        <f>IF(Escenarios!$F$14&gt;0,Observaciones!$I676,0)</f>
        <v>0</v>
      </c>
      <c r="U677" s="170">
        <f>IF(Escenarios!$F$14&gt;0,MAX(0,Constantes!$F$36/((Z676+R677+S677+T677+Observaciones!$F676)^2)+Entradas!$F$77),0)</f>
        <v>0</v>
      </c>
      <c r="V677" s="146">
        <f>IF(ETo!D676&gt;0,ETo!I676*((1-Entradas!$F$81)*ETo!K676+ETo!L676),0)</f>
        <v>4.0300285696048856</v>
      </c>
      <c r="W677" s="170">
        <f>IF(Escenarios!$F$14&gt;0,MIN(V677*1,0.8*(Z676+R677+S677+T677+Observaciones!$F676-U677-Constantes!$F$35)),0)</f>
        <v>1.8510892295421002</v>
      </c>
      <c r="X677" s="170">
        <f>IF(Escenarios!$F$14&gt;0,Observaciones!$J676,0)</f>
        <v>0</v>
      </c>
      <c r="Y677" s="170">
        <f>IF(Escenarios!$F$14&gt;0,MAX(0,Z676+R677+S677+T677+Observaciones!$F676-U677-W677-X677-Constantes!$F$33),0)</f>
        <v>0</v>
      </c>
      <c r="Z677" s="170">
        <f>Z676+R677+S677+T677+Observaciones!$F676-U677-W677-Y677</f>
        <v>41.712772307385528</v>
      </c>
      <c r="AA677" s="170">
        <f>IF(Escenarios!$F$14&gt;0,(Escenarios!$F$13*L677+Escenarios!$F$14*W677)/(Escenarios!$F$16),L677)</f>
        <v>2.4976625930711709</v>
      </c>
      <c r="AB677" s="170">
        <f>IF(Escenarios!$F$14&gt;0,(Escenarios!$F$14*Y677)/(Escenarios!$F$16),K677)</f>
        <v>0</v>
      </c>
      <c r="AC677" s="170">
        <f>IF(Escenarios!$F$14&gt;0,(Escenarios!$F$13*M677+Escenarios!$F$14*U677)/(Escenarios!$F$16),M677)</f>
        <v>0</v>
      </c>
      <c r="AD677" s="76">
        <f t="shared" si="141"/>
        <v>63.327377408489916</v>
      </c>
      <c r="AE677" s="76">
        <f>MAX(0,(AD677-Constantes!$D$13)*(1-EXP(-Constantes!$D$23)))</f>
        <v>0.1436343716666425</v>
      </c>
      <c r="AF677" s="76">
        <f>AB677+O677*Escenarios!$F$13/Escenarios!$F$16+AE677</f>
        <v>0.42205780037361162</v>
      </c>
      <c r="AG677" s="76">
        <f>IF(Entradas!$F$91&gt;0,IF(AF677-Escenarios!$F$38&lt;=0,0,IF(AF677-Escenarios!$F$38&gt;Escenarios!$F$37,Escenarios!$F$37,AF677-Escenarios!$F$38)),0)</f>
        <v>0</v>
      </c>
      <c r="AH677" s="76">
        <f>AG677*Entradas!$F$99</f>
        <v>0</v>
      </c>
      <c r="AI677" s="76">
        <f>IF(Entradas!$F$91&gt;0,D677*Entradas!$D$23/Escenarios!$F$16,0)</f>
        <v>0.2176352133244687</v>
      </c>
      <c r="AJ677" s="76">
        <f>IF(Entradas!$F$91&gt;0,Entradas!$D$24*Entradas!$D$22/Escenarios!$F$16,0)</f>
        <v>0.12</v>
      </c>
      <c r="AK677" s="76">
        <f t="shared" si="142"/>
        <v>2.7152978063956397</v>
      </c>
      <c r="AL677" s="76">
        <f t="shared" si="143"/>
        <v>0</v>
      </c>
      <c r="AM677" s="76">
        <f t="shared" si="144"/>
        <v>0</v>
      </c>
      <c r="AN677" s="76">
        <f>MAX(0,O677*Escenarios!$F$13/Escenarios!$F$16-AM677)</f>
        <v>0.27842342870696912</v>
      </c>
      <c r="AO677" s="76">
        <f>AM677+AN677-O677*Escenarios!$F$13/Escenarios!$F$16</f>
        <v>0</v>
      </c>
      <c r="AP677" s="76">
        <f t="shared" si="145"/>
        <v>0.1436343716666425</v>
      </c>
      <c r="AQ677" s="76">
        <f t="shared" si="146"/>
        <v>0</v>
      </c>
      <c r="AR677" s="76">
        <f t="shared" si="147"/>
        <v>0.42205780037361162</v>
      </c>
      <c r="AS677" s="76">
        <f t="shared" si="148"/>
        <v>0</v>
      </c>
      <c r="AT677" s="76">
        <f t="shared" si="149"/>
        <v>0</v>
      </c>
      <c r="AU677" s="76">
        <f t="shared" si="150"/>
        <v>49.259194900431531</v>
      </c>
      <c r="AV677" s="76">
        <f>MAX(0,(AU677-Constantes!$D$13)*(1-EXP(-Constantes!$D$24)))</f>
        <v>7.7831698576236443E-3</v>
      </c>
      <c r="AW677" s="170">
        <f>AW676+(Entradas!$F$112*AT677-AX676)/(800*Entradas!$D$25)</f>
        <v>0</v>
      </c>
      <c r="AX677" s="170">
        <f>8000*Entradas!$D$26*AW677/Constantes!$F$45</f>
        <v>0</v>
      </c>
      <c r="AY677" s="170">
        <f>IF(Escenarios!$F$17&gt;0,10*Escenarios!$F$16*AL677,0)</f>
        <v>0</v>
      </c>
      <c r="AZ677" s="170">
        <f>IF(Escenarios!$F$17&gt;0,10*Escenarios!$F$16*AX677,0)</f>
        <v>0</v>
      </c>
      <c r="BA677" s="170">
        <f>IF(Escenarios!$F$17&gt;0,0.001*Observaciones!$F676*Escenarios!$F$17,0)</f>
        <v>0</v>
      </c>
      <c r="BB677" s="170">
        <f>IF(Escenarios!$F$17&gt;0,Observaciones!$K676,0)</f>
        <v>0</v>
      </c>
      <c r="BC677" s="170">
        <f>IF(Escenarios!$F$17&gt;0,MIN(0.0005*ETo!$M676*Escenarios!$F$17*(BG676/Constantes!$F$40)^(2/3),BG676+AY677+AZ677+BA677+BB677),0)</f>
        <v>0</v>
      </c>
      <c r="BD677" s="170">
        <f>IF(Escenarios!$F$17&gt;0,MIN(Constantes!$F$39*(BG676/Constantes!$F$40)^(2/3),BG676+AY677+AZ677+BA677+BB677-BC677),0)</f>
        <v>0</v>
      </c>
      <c r="BE677" s="170">
        <f>IF(Escenarios!$F$17&gt;0,MIN(Entradas!$F$113,BG676+AY677+AZ677+BA677+BB677-BC677-BD677),0)</f>
        <v>0</v>
      </c>
      <c r="BF677" s="170">
        <f>IF(Escenarios!$F$17&gt;0,MAX(0,BG676+AY677+AZ677+BA677+BB677-BC677-BD677-BE677-Constantes!$F$40),0)</f>
        <v>0</v>
      </c>
      <c r="BG677" s="170">
        <f t="shared" si="151"/>
        <v>0</v>
      </c>
      <c r="BH677" s="170">
        <f>(Escenarios!$F$16*AK677+0.1*BC677)/(Escenarios!$F$19)</f>
        <v>2.7152978063956397</v>
      </c>
      <c r="BI677" s="170">
        <f>IF(Escenarios!$F$17&gt;0,BF677/10/Escenarios!$F$19,AL677)</f>
        <v>0</v>
      </c>
      <c r="BJ677" s="170">
        <f>(Escenarios!$F$16*AT677+0.1*BD677)/(Escenarios!$F$19)</f>
        <v>0</v>
      </c>
      <c r="BK677" s="76">
        <f>BK676+(0.1*BD677)/(Escenarios!$F$19)-BL676</f>
        <v>48.75</v>
      </c>
      <c r="BL677" s="76">
        <f>MAX(0,(BK677-Constantes!$D$13)*(1-EXP(-Constantes!$D$23)))</f>
        <v>0</v>
      </c>
      <c r="BM677" s="76">
        <f t="shared" si="152"/>
        <v>0.15141754152426615</v>
      </c>
      <c r="BN677" s="76">
        <f t="shared" si="153"/>
        <v>0.42984097023123524</v>
      </c>
      <c r="BO677" s="76">
        <f>0.0526*BI677*Observaciones!$F676^1.218</f>
        <v>0</v>
      </c>
      <c r="BP677" s="76">
        <f>BO677*Constantes!$F$51</f>
        <v>0</v>
      </c>
      <c r="BQ677" s="76">
        <f t="shared" si="154"/>
        <v>0</v>
      </c>
      <c r="BR677" s="40"/>
    </row>
    <row r="678" spans="2:70">
      <c r="B678" s="39"/>
      <c r="C678" s="75">
        <v>672</v>
      </c>
      <c r="D678" s="146">
        <f>ETo!$I677*((1-Constantes!$F$19)*ETo!$K677+ETo!$L677)</f>
        <v>4.5745519935906227</v>
      </c>
      <c r="E678" s="76">
        <f>MIN(D678*Constantes!$F$17,0.8*(N677+Observaciones!$F677-F678-M678-Constantes!$D$14))</f>
        <v>2.6089207877386325</v>
      </c>
      <c r="F678" s="76">
        <f>IF(Observaciones!$F677&gt;0.05*Constantes!$F$18,((Observaciones!$F677-0.05*Constantes!$F$18)^2)/(Observaciones!$F677+0.95*Constantes!$F$18),0)</f>
        <v>0</v>
      </c>
      <c r="G678" s="76">
        <f>IF(Escenarios!$F$11&gt;0,(F678*Escenarios!$F$16*10000)/1000,0)</f>
        <v>0</v>
      </c>
      <c r="H678" s="76">
        <f>IF(Escenarios!$F$11&gt;0,(Observaciones!$F677*Constantes!$F$29)/1000,0)</f>
        <v>0</v>
      </c>
      <c r="I678" s="76">
        <f>IF(Escenarios!$F$11&gt;0,(D678*Constantes!$F$29)/1000,0)</f>
        <v>0</v>
      </c>
      <c r="J678" s="76">
        <f>IF(Escenarios!$F$11&gt;0,MAX(0,G678+H678-I678),0)</f>
        <v>0</v>
      </c>
      <c r="K678" s="76">
        <f>IF(Escenarios!$F$11&gt;0,IF(J678&gt;Constantes!$F$30,1000*((J678-Constantes!$F$30)/(Escenarios!$F$16*10000)),0),F678)</f>
        <v>0</v>
      </c>
      <c r="L678" s="76">
        <f>IF(Escenarios!$F$11&gt;0,I678*1000/Escenarios!$F$16/10000+E678,E678)</f>
        <v>2.6089207877386325</v>
      </c>
      <c r="M678" s="76">
        <f>MAX(0,N677+Observaciones!$F677-K678-Constantes!$D$13)</f>
        <v>0</v>
      </c>
      <c r="N678" s="76">
        <f>N677+Observaciones!$F677-K678-L678-M678-O677</f>
        <v>17.612891013625653</v>
      </c>
      <c r="O678" s="76">
        <f>MAX(0,(N678-Constantes!$D$14)*(1-EXP(-Constantes!$D$22)))</f>
        <v>0.21674342657520002</v>
      </c>
      <c r="P678" s="170">
        <f>P677+(Entradas!$F$83*M678-Q677)/(800*Entradas!$D$25)</f>
        <v>0</v>
      </c>
      <c r="Q678" s="170">
        <f>8000*Entradas!$D$26*P678/Constantes!$F$45</f>
        <v>0</v>
      </c>
      <c r="R678" s="170">
        <f>IF(Escenarios!$F$14&gt;0,K678*Escenarios!$F$13/Escenarios!$F$14,0)</f>
        <v>0</v>
      </c>
      <c r="S678" s="170">
        <f>IF(Escenarios!$F$14&gt;0,Q678*Escenarios!$F$13/Escenarios!$F$14,0)</f>
        <v>0</v>
      </c>
      <c r="T678" s="170">
        <f>IF(Escenarios!$F$14&gt;0,Observaciones!$I677,0)</f>
        <v>0</v>
      </c>
      <c r="U678" s="170">
        <f>IF(Escenarios!$F$14&gt;0,MAX(0,Constantes!$F$36/((Z677+R678+S678+T678+Observaciones!$F677)^2)+Entradas!$F$77),0)</f>
        <v>0</v>
      </c>
      <c r="V678" s="146">
        <f>IF(ETo!D677&gt;0,ETo!I677*((1-Entradas!$F$81)*ETo!K677+ETo!L677),0)</f>
        <v>4.0667161382072052</v>
      </c>
      <c r="W678" s="170">
        <f>IF(Escenarios!$F$14&gt;0,MIN(V678*1,0.8*(Z677+R678+S678+T678+Observaciones!$F677-U678-Constantes!$F$35)),0)</f>
        <v>0.37021784590842233</v>
      </c>
      <c r="X678" s="170">
        <f>IF(Escenarios!$F$14&gt;0,Observaciones!$J677,0)</f>
        <v>0</v>
      </c>
      <c r="Y678" s="170">
        <f>IF(Escenarios!$F$14&gt;0,MAX(0,Z677+R678+S678+T678+Observaciones!$F677-U678-W678-X678-Constantes!$F$33),0)</f>
        <v>0</v>
      </c>
      <c r="Z678" s="170">
        <f>Z677+R678+S678+T678+Observaciones!$F677-U678-W678-Y678</f>
        <v>41.342554461477107</v>
      </c>
      <c r="AA678" s="170">
        <f>IF(Escenarios!$F$14&gt;0,(Escenarios!$F$13*L678+Escenarios!$F$14*W678)/(Escenarios!$F$16),L678)</f>
        <v>2.3402764347190068</v>
      </c>
      <c r="AB678" s="170">
        <f>IF(Escenarios!$F$14&gt;0,(Escenarios!$F$14*Y678)/(Escenarios!$F$16),K678)</f>
        <v>0</v>
      </c>
      <c r="AC678" s="170">
        <f>IF(Escenarios!$F$14&gt;0,(Escenarios!$F$13*M678+Escenarios!$F$14*U678)/(Escenarios!$F$16),M678)</f>
        <v>0</v>
      </c>
      <c r="AD678" s="76">
        <f t="shared" si="141"/>
        <v>63.183743036823273</v>
      </c>
      <c r="AE678" s="76">
        <f>MAX(0,(AD678-Constantes!$D$13)*(1-EXP(-Constantes!$D$23)))</f>
        <v>0.14221910799156912</v>
      </c>
      <c r="AF678" s="76">
        <f>AB678+O678*Escenarios!$F$13/Escenarios!$F$16+AE678</f>
        <v>0.33295332337774508</v>
      </c>
      <c r="AG678" s="76">
        <f>IF(Entradas!$F$91&gt;0,IF(AF678-Escenarios!$F$38&lt;=0,0,IF(AF678-Escenarios!$F$38&gt;Escenarios!$F$37,Escenarios!$F$37,AF678-Escenarios!$F$38)),0)</f>
        <v>0</v>
      </c>
      <c r="AH678" s="76">
        <f>AG678*Entradas!$F$99</f>
        <v>0</v>
      </c>
      <c r="AI678" s="76">
        <f>IF(Entradas!$F$91&gt;0,D678*Entradas!$D$23/Escenarios!$F$16,0)</f>
        <v>0.21957849569234988</v>
      </c>
      <c r="AJ678" s="76">
        <f>IF(Entradas!$F$91&gt;0,Entradas!$D$24*Entradas!$D$22/Escenarios!$F$16,0)</f>
        <v>0.12</v>
      </c>
      <c r="AK678" s="76">
        <f t="shared" si="142"/>
        <v>2.5598549304113565</v>
      </c>
      <c r="AL678" s="76">
        <f t="shared" si="143"/>
        <v>0</v>
      </c>
      <c r="AM678" s="76">
        <f t="shared" si="144"/>
        <v>0</v>
      </c>
      <c r="AN678" s="76">
        <f>MAX(0,O678*Escenarios!$F$13/Escenarios!$F$16-AM678)</f>
        <v>0.19073421538617599</v>
      </c>
      <c r="AO678" s="76">
        <f>AM678+AN678-O678*Escenarios!$F$13/Escenarios!$F$16</f>
        <v>0</v>
      </c>
      <c r="AP678" s="76">
        <f t="shared" si="145"/>
        <v>0.14221910799156912</v>
      </c>
      <c r="AQ678" s="76">
        <f t="shared" si="146"/>
        <v>0</v>
      </c>
      <c r="AR678" s="76">
        <f t="shared" si="147"/>
        <v>0.33295332337774508</v>
      </c>
      <c r="AS678" s="76">
        <f t="shared" si="148"/>
        <v>0</v>
      </c>
      <c r="AT678" s="76">
        <f t="shared" si="149"/>
        <v>0</v>
      </c>
      <c r="AU678" s="76">
        <f t="shared" si="150"/>
        <v>49.251411730573906</v>
      </c>
      <c r="AV678" s="76">
        <f>MAX(0,(AU678-Constantes!$D$13)*(1-EXP(-Constantes!$D$24)))</f>
        <v>7.664202183396562E-3</v>
      </c>
      <c r="AW678" s="170">
        <f>AW677+(Entradas!$F$112*AT678-AX677)/(800*Entradas!$D$25)</f>
        <v>0</v>
      </c>
      <c r="AX678" s="170">
        <f>8000*Entradas!$D$26*AW678/Constantes!$F$45</f>
        <v>0</v>
      </c>
      <c r="AY678" s="170">
        <f>IF(Escenarios!$F$17&gt;0,10*Escenarios!$F$16*AL678,0)</f>
        <v>0</v>
      </c>
      <c r="AZ678" s="170">
        <f>IF(Escenarios!$F$17&gt;0,10*Escenarios!$F$16*AX678,0)</f>
        <v>0</v>
      </c>
      <c r="BA678" s="170">
        <f>IF(Escenarios!$F$17&gt;0,0.001*Observaciones!$F677*Escenarios!$F$17,0)</f>
        <v>0</v>
      </c>
      <c r="BB678" s="170">
        <f>IF(Escenarios!$F$17&gt;0,Observaciones!$K677,0)</f>
        <v>0</v>
      </c>
      <c r="BC678" s="170">
        <f>IF(Escenarios!$F$17&gt;0,MIN(0.0005*ETo!$M677*Escenarios!$F$17*(BG677/Constantes!$F$40)^(2/3),BG677+AY678+AZ678+BA678+BB678),0)</f>
        <v>0</v>
      </c>
      <c r="BD678" s="170">
        <f>IF(Escenarios!$F$17&gt;0,MIN(Constantes!$F$39*(BG677/Constantes!$F$40)^(2/3),BG677+AY678+AZ678+BA678+BB678-BC678),0)</f>
        <v>0</v>
      </c>
      <c r="BE678" s="170">
        <f>IF(Escenarios!$F$17&gt;0,MIN(Entradas!$F$113,BG677+AY678+AZ678+BA678+BB678-BC678-BD678),0)</f>
        <v>0</v>
      </c>
      <c r="BF678" s="170">
        <f>IF(Escenarios!$F$17&gt;0,MAX(0,BG677+AY678+AZ678+BA678+BB678-BC678-BD678-BE678-Constantes!$F$40),0)</f>
        <v>0</v>
      </c>
      <c r="BG678" s="170">
        <f t="shared" si="151"/>
        <v>0</v>
      </c>
      <c r="BH678" s="170">
        <f>(Escenarios!$F$16*AK678+0.1*BC678)/(Escenarios!$F$19)</f>
        <v>2.5598549304113565</v>
      </c>
      <c r="BI678" s="170">
        <f>IF(Escenarios!$F$17&gt;0,BF678/10/Escenarios!$F$19,AL678)</f>
        <v>0</v>
      </c>
      <c r="BJ678" s="170">
        <f>(Escenarios!$F$16*AT678+0.1*BD678)/(Escenarios!$F$19)</f>
        <v>0</v>
      </c>
      <c r="BK678" s="76">
        <f>BK677+(0.1*BD678)/(Escenarios!$F$19)-BL677</f>
        <v>48.75</v>
      </c>
      <c r="BL678" s="76">
        <f>MAX(0,(BK678-Constantes!$D$13)*(1-EXP(-Constantes!$D$23)))</f>
        <v>0</v>
      </c>
      <c r="BM678" s="76">
        <f t="shared" si="152"/>
        <v>0.14988331017496567</v>
      </c>
      <c r="BN678" s="76">
        <f t="shared" si="153"/>
        <v>0.34061752556114167</v>
      </c>
      <c r="BO678" s="76">
        <f>0.0526*BI678*Observaciones!$F677^1.218</f>
        <v>0</v>
      </c>
      <c r="BP678" s="76">
        <f>BO678*Constantes!$F$51</f>
        <v>0</v>
      </c>
      <c r="BQ678" s="76">
        <f t="shared" si="154"/>
        <v>0</v>
      </c>
      <c r="BR678" s="40"/>
    </row>
    <row r="679" spans="2:70">
      <c r="B679" s="39"/>
      <c r="C679" s="75">
        <v>673</v>
      </c>
      <c r="D679" s="146">
        <f>ETo!$I678*((1-Constantes!$F$19)*ETo!$K678+ETo!$L678)</f>
        <v>4.5087186482712811</v>
      </c>
      <c r="E679" s="76">
        <f>MIN(D679*Constantes!$F$17,0.8*(N678+Observaciones!$F678-F679-M679-Constantes!$D$14))</f>
        <v>2.5713752568602759</v>
      </c>
      <c r="F679" s="76">
        <f>IF(Observaciones!$F678&gt;0.05*Constantes!$F$18,((Observaciones!$F678-0.05*Constantes!$F$18)^2)/(Observaciones!$F678+0.95*Constantes!$F$18),0)</f>
        <v>0</v>
      </c>
      <c r="G679" s="76">
        <f>IF(Escenarios!$F$11&gt;0,(F679*Escenarios!$F$16*10000)/1000,0)</f>
        <v>0</v>
      </c>
      <c r="H679" s="76">
        <f>IF(Escenarios!$F$11&gt;0,(Observaciones!$F678*Constantes!$F$29)/1000,0)</f>
        <v>0</v>
      </c>
      <c r="I679" s="76">
        <f>IF(Escenarios!$F$11&gt;0,(D679*Constantes!$F$29)/1000,0)</f>
        <v>0</v>
      </c>
      <c r="J679" s="76">
        <f>IF(Escenarios!$F$11&gt;0,MAX(0,G679+H679-I679),0)</f>
        <v>0</v>
      </c>
      <c r="K679" s="76">
        <f>IF(Escenarios!$F$11&gt;0,IF(J679&gt;Constantes!$F$30,1000*((J679-Constantes!$F$30)/(Escenarios!$F$16*10000)),0),F679)</f>
        <v>0</v>
      </c>
      <c r="L679" s="76">
        <f>IF(Escenarios!$F$11&gt;0,I679*1000/Escenarios!$F$16/10000+E679,E679)</f>
        <v>2.5713752568602759</v>
      </c>
      <c r="M679" s="76">
        <f>MAX(0,N678+Observaciones!$F678-K679-Constantes!$D$13)</f>
        <v>0</v>
      </c>
      <c r="N679" s="76">
        <f>N678+Observaciones!$F678-K679-L679-M679-O678</f>
        <v>17.42477233019018</v>
      </c>
      <c r="O679" s="76">
        <f>MAX(0,(N679-Constantes!$D$14)*(1-EXP(-Constantes!$D$22)))</f>
        <v>0.21033541361956298</v>
      </c>
      <c r="P679" s="170">
        <f>P678+(Entradas!$F$83*M679-Q678)/(800*Entradas!$D$25)</f>
        <v>0</v>
      </c>
      <c r="Q679" s="170">
        <f>8000*Entradas!$D$26*P679/Constantes!$F$45</f>
        <v>0</v>
      </c>
      <c r="R679" s="170">
        <f>IF(Escenarios!$F$14&gt;0,K679*Escenarios!$F$13/Escenarios!$F$14,0)</f>
        <v>0</v>
      </c>
      <c r="S679" s="170">
        <f>IF(Escenarios!$F$14&gt;0,Q679*Escenarios!$F$13/Escenarios!$F$14,0)</f>
        <v>0</v>
      </c>
      <c r="T679" s="170">
        <f>IF(Escenarios!$F$14&gt;0,Observaciones!$I678,0)</f>
        <v>0</v>
      </c>
      <c r="U679" s="170">
        <f>IF(Escenarios!$F$14&gt;0,MAX(0,Constantes!$F$36/((Z678+R679+S679+T679+Observaciones!$F678)^2)+Entradas!$F$77),0)</f>
        <v>0</v>
      </c>
      <c r="V679" s="146">
        <f>IF(ETo!D678&gt;0,ETo!I678*((1-Entradas!$F$81)*ETo!K678+ETo!L678),0)</f>
        <v>4.0072004847457352</v>
      </c>
      <c r="W679" s="170">
        <f>IF(Escenarios!$F$14&gt;0,MIN(V679*1,0.8*(Z678+R679+S679+T679+Observaciones!$F678-U679-Constantes!$F$35)),0)</f>
        <v>2.1540435691816868</v>
      </c>
      <c r="X679" s="170">
        <f>IF(Escenarios!$F$14&gt;0,Observaciones!$J678,0)</f>
        <v>0</v>
      </c>
      <c r="Y679" s="170">
        <f>IF(Escenarios!$F$14&gt;0,MAX(0,Z678+R679+S679+T679+Observaciones!$F678-U679-W679-X679-Constantes!$F$33),0)</f>
        <v>0</v>
      </c>
      <c r="Z679" s="170">
        <f>Z678+R679+S679+T679+Observaciones!$F678-U679-W679-Y679</f>
        <v>41.78851089229542</v>
      </c>
      <c r="AA679" s="170">
        <f>IF(Escenarios!$F$14&gt;0,(Escenarios!$F$13*L679+Escenarios!$F$14*W679)/(Escenarios!$F$16),L679)</f>
        <v>2.5212954543388451</v>
      </c>
      <c r="AB679" s="170">
        <f>IF(Escenarios!$F$14&gt;0,(Escenarios!$F$14*Y679)/(Escenarios!$F$16),K679)</f>
        <v>0</v>
      </c>
      <c r="AC679" s="170">
        <f>IF(Escenarios!$F$14&gt;0,(Escenarios!$F$13*M679+Escenarios!$F$14*U679)/(Escenarios!$F$16),M679)</f>
        <v>0</v>
      </c>
      <c r="AD679" s="76">
        <f t="shared" si="141"/>
        <v>63.041523928831701</v>
      </c>
      <c r="AE679" s="76">
        <f>MAX(0,(AD679-Constantes!$D$13)*(1-EXP(-Constantes!$D$23)))</f>
        <v>0.14081778924657573</v>
      </c>
      <c r="AF679" s="76">
        <f>AB679+O679*Escenarios!$F$13/Escenarios!$F$16+AE679</f>
        <v>0.32591295323179115</v>
      </c>
      <c r="AG679" s="76">
        <f>IF(Entradas!$F$91&gt;0,IF(AF679-Escenarios!$F$38&lt;=0,0,IF(AF679-Escenarios!$F$38&gt;Escenarios!$F$37,Escenarios!$F$37,AF679-Escenarios!$F$38)),0)</f>
        <v>0</v>
      </c>
      <c r="AH679" s="76">
        <f>AG679*Entradas!$F$99</f>
        <v>0</v>
      </c>
      <c r="AI679" s="76">
        <f>IF(Entradas!$F$91&gt;0,D679*Entradas!$D$23/Escenarios!$F$16,0)</f>
        <v>0.21641849511702152</v>
      </c>
      <c r="AJ679" s="76">
        <f>IF(Entradas!$F$91&gt;0,Entradas!$D$24*Entradas!$D$22/Escenarios!$F$16,0)</f>
        <v>0.12</v>
      </c>
      <c r="AK679" s="76">
        <f t="shared" si="142"/>
        <v>2.7377139494558667</v>
      </c>
      <c r="AL679" s="76">
        <f t="shared" si="143"/>
        <v>0</v>
      </c>
      <c r="AM679" s="76">
        <f t="shared" si="144"/>
        <v>0</v>
      </c>
      <c r="AN679" s="76">
        <f>MAX(0,O679*Escenarios!$F$13/Escenarios!$F$16-AM679)</f>
        <v>0.18509516398521544</v>
      </c>
      <c r="AO679" s="76">
        <f>AM679+AN679-O679*Escenarios!$F$13/Escenarios!$F$16</f>
        <v>0</v>
      </c>
      <c r="AP679" s="76">
        <f t="shared" si="145"/>
        <v>0.14081778924657573</v>
      </c>
      <c r="AQ679" s="76">
        <f t="shared" si="146"/>
        <v>0</v>
      </c>
      <c r="AR679" s="76">
        <f t="shared" si="147"/>
        <v>0.32591295323179115</v>
      </c>
      <c r="AS679" s="76">
        <f t="shared" si="148"/>
        <v>0</v>
      </c>
      <c r="AT679" s="76">
        <f t="shared" si="149"/>
        <v>0</v>
      </c>
      <c r="AU679" s="76">
        <f t="shared" si="150"/>
        <v>49.243747528390507</v>
      </c>
      <c r="AV679" s="76">
        <f>MAX(0,(AU679-Constantes!$D$13)*(1-EXP(-Constantes!$D$24)))</f>
        <v>7.5470529594628367E-3</v>
      </c>
      <c r="AW679" s="170">
        <f>AW678+(Entradas!$F$112*AT679-AX678)/(800*Entradas!$D$25)</f>
        <v>0</v>
      </c>
      <c r="AX679" s="170">
        <f>8000*Entradas!$D$26*AW679/Constantes!$F$45</f>
        <v>0</v>
      </c>
      <c r="AY679" s="170">
        <f>IF(Escenarios!$F$17&gt;0,10*Escenarios!$F$16*AL679,0)</f>
        <v>0</v>
      </c>
      <c r="AZ679" s="170">
        <f>IF(Escenarios!$F$17&gt;0,10*Escenarios!$F$16*AX679,0)</f>
        <v>0</v>
      </c>
      <c r="BA679" s="170">
        <f>IF(Escenarios!$F$17&gt;0,0.001*Observaciones!$F678*Escenarios!$F$17,0)</f>
        <v>0</v>
      </c>
      <c r="BB679" s="170">
        <f>IF(Escenarios!$F$17&gt;0,Observaciones!$K678,0)</f>
        <v>0</v>
      </c>
      <c r="BC679" s="170">
        <f>IF(Escenarios!$F$17&gt;0,MIN(0.0005*ETo!$M678*Escenarios!$F$17*(BG678/Constantes!$F$40)^(2/3),BG678+AY679+AZ679+BA679+BB679),0)</f>
        <v>0</v>
      </c>
      <c r="BD679" s="170">
        <f>IF(Escenarios!$F$17&gt;0,MIN(Constantes!$F$39*(BG678/Constantes!$F$40)^(2/3),BG678+AY679+AZ679+BA679+BB679-BC679),0)</f>
        <v>0</v>
      </c>
      <c r="BE679" s="170">
        <f>IF(Escenarios!$F$17&gt;0,MIN(Entradas!$F$113,BG678+AY679+AZ679+BA679+BB679-BC679-BD679),0)</f>
        <v>0</v>
      </c>
      <c r="BF679" s="170">
        <f>IF(Escenarios!$F$17&gt;0,MAX(0,BG678+AY679+AZ679+BA679+BB679-BC679-BD679-BE679-Constantes!$F$40),0)</f>
        <v>0</v>
      </c>
      <c r="BG679" s="170">
        <f t="shared" si="151"/>
        <v>0</v>
      </c>
      <c r="BH679" s="170">
        <f>(Escenarios!$F$16*AK679+0.1*BC679)/(Escenarios!$F$19)</f>
        <v>2.7377139494558667</v>
      </c>
      <c r="BI679" s="170">
        <f>IF(Escenarios!$F$17&gt;0,BF679/10/Escenarios!$F$19,AL679)</f>
        <v>0</v>
      </c>
      <c r="BJ679" s="170">
        <f>(Escenarios!$F$16*AT679+0.1*BD679)/(Escenarios!$F$19)</f>
        <v>0</v>
      </c>
      <c r="BK679" s="76">
        <f>BK678+(0.1*BD679)/(Escenarios!$F$19)-BL678</f>
        <v>48.75</v>
      </c>
      <c r="BL679" s="76">
        <f>MAX(0,(BK679-Constantes!$D$13)*(1-EXP(-Constantes!$D$23)))</f>
        <v>0</v>
      </c>
      <c r="BM679" s="76">
        <f t="shared" si="152"/>
        <v>0.14836484220603857</v>
      </c>
      <c r="BN679" s="76">
        <f t="shared" si="153"/>
        <v>0.33346000619125399</v>
      </c>
      <c r="BO679" s="76">
        <f>0.0526*BI679*Observaciones!$F678^1.218</f>
        <v>0</v>
      </c>
      <c r="BP679" s="76">
        <f>BO679*Constantes!$F$51</f>
        <v>0</v>
      </c>
      <c r="BQ679" s="76">
        <f t="shared" si="154"/>
        <v>0</v>
      </c>
      <c r="BR679" s="40"/>
    </row>
    <row r="680" spans="2:70">
      <c r="B680" s="39"/>
      <c r="C680" s="75">
        <v>674</v>
      </c>
      <c r="D680" s="146">
        <f>ETo!$I679*((1-Constantes!$F$19)*ETo!$K679+ETo!$L679)</f>
        <v>4.6365859448280489</v>
      </c>
      <c r="E680" s="76">
        <f>MIN(D680*Constantes!$F$17,0.8*(N679+Observaciones!$F679-F680-M680-Constantes!$D$14))</f>
        <v>2.6442994795002832</v>
      </c>
      <c r="F680" s="76">
        <f>IF(Observaciones!$F679&gt;0.05*Constantes!$F$18,((Observaciones!$F679-0.05*Constantes!$F$18)^2)/(Observaciones!$F679+0.95*Constantes!$F$18),0)</f>
        <v>0</v>
      </c>
      <c r="G680" s="76">
        <f>IF(Escenarios!$F$11&gt;0,(F680*Escenarios!$F$16*10000)/1000,0)</f>
        <v>0</v>
      </c>
      <c r="H680" s="76">
        <f>IF(Escenarios!$F$11&gt;0,(Observaciones!$F679*Constantes!$F$29)/1000,0)</f>
        <v>0</v>
      </c>
      <c r="I680" s="76">
        <f>IF(Escenarios!$F$11&gt;0,(D680*Constantes!$F$29)/1000,0)</f>
        <v>0</v>
      </c>
      <c r="J680" s="76">
        <f>IF(Escenarios!$F$11&gt;0,MAX(0,G680+H680-I680),0)</f>
        <v>0</v>
      </c>
      <c r="K680" s="76">
        <f>IF(Escenarios!$F$11&gt;0,IF(J680&gt;Constantes!$F$30,1000*((J680-Constantes!$F$30)/(Escenarios!$F$16*10000)),0),F680)</f>
        <v>0</v>
      </c>
      <c r="L680" s="76">
        <f>IF(Escenarios!$F$11&gt;0,I680*1000/Escenarios!$F$16/10000+E680,E680)</f>
        <v>2.6442994795002832</v>
      </c>
      <c r="M680" s="76">
        <f>MAX(0,N679+Observaciones!$F679-K680-Constantes!$D$13)</f>
        <v>0</v>
      </c>
      <c r="N680" s="76">
        <f>N679+Observaciones!$F679-K680-L680-M680-O679</f>
        <v>15.670137437070336</v>
      </c>
      <c r="O680" s="76">
        <f>MAX(0,(N680-Constantes!$D$14)*(1-EXP(-Constantes!$D$22)))</f>
        <v>0.1505661077633399</v>
      </c>
      <c r="P680" s="170">
        <f>P679+(Entradas!$F$83*M680-Q679)/(800*Entradas!$D$25)</f>
        <v>0</v>
      </c>
      <c r="Q680" s="170">
        <f>8000*Entradas!$D$26*P680/Constantes!$F$45</f>
        <v>0</v>
      </c>
      <c r="R680" s="170">
        <f>IF(Escenarios!$F$14&gt;0,K680*Escenarios!$F$13/Escenarios!$F$14,0)</f>
        <v>0</v>
      </c>
      <c r="S680" s="170">
        <f>IF(Escenarios!$F$14&gt;0,Q680*Escenarios!$F$13/Escenarios!$F$14,0)</f>
        <v>0</v>
      </c>
      <c r="T680" s="170">
        <f>IF(Escenarios!$F$14&gt;0,Observaciones!$I679,0)</f>
        <v>0</v>
      </c>
      <c r="U680" s="170">
        <f>IF(Escenarios!$F$14&gt;0,MAX(0,Constantes!$F$36/((Z679+R680+S680+T680+Observaciones!$F679)^2)+Entradas!$F$77),0)</f>
        <v>0</v>
      </c>
      <c r="V680" s="146">
        <f>IF(ETo!D679&gt;0,ETo!I679*((1-Entradas!$F$81)*ETo!K679+ETo!L679),0)</f>
        <v>4.1230185471756</v>
      </c>
      <c r="W680" s="170">
        <f>IF(Escenarios!$F$14&gt;0,MIN(V680*1,0.8*(Z679+R680+S680+T680+Observaciones!$F679-U680-Constantes!$F$35)),0)</f>
        <v>1.3108087138363373</v>
      </c>
      <c r="X680" s="170">
        <f>IF(Escenarios!$F$14&gt;0,Observaciones!$J679,0)</f>
        <v>0</v>
      </c>
      <c r="Y680" s="170">
        <f>IF(Escenarios!$F$14&gt;0,MAX(0,Z679+R680+S680+T680+Observaciones!$F679-U680-W680-X680-Constantes!$F$33),0)</f>
        <v>0</v>
      </c>
      <c r="Z680" s="170">
        <f>Z679+R680+S680+T680+Observaciones!$F679-U680-W680-Y680</f>
        <v>41.577702178459084</v>
      </c>
      <c r="AA680" s="170">
        <f>IF(Escenarios!$F$14&gt;0,(Escenarios!$F$13*L680+Escenarios!$F$14*W680)/(Escenarios!$F$16),L680)</f>
        <v>2.4842805876206095</v>
      </c>
      <c r="AB680" s="170">
        <f>IF(Escenarios!$F$14&gt;0,(Escenarios!$F$14*Y680)/(Escenarios!$F$16),K680)</f>
        <v>0</v>
      </c>
      <c r="AC680" s="170">
        <f>IF(Escenarios!$F$14&gt;0,(Escenarios!$F$13*M680+Escenarios!$F$14*U680)/(Escenarios!$F$16),M680)</f>
        <v>0</v>
      </c>
      <c r="AD680" s="76">
        <f t="shared" si="141"/>
        <v>62.900706139585125</v>
      </c>
      <c r="AE680" s="76">
        <f>MAX(0,(AD680-Constantes!$D$13)*(1-EXP(-Constantes!$D$23)))</f>
        <v>0.13943027802894495</v>
      </c>
      <c r="AF680" s="76">
        <f>AB680+O680*Escenarios!$F$13/Escenarios!$F$16+AE680</f>
        <v>0.27192845286068407</v>
      </c>
      <c r="AG680" s="76">
        <f>IF(Entradas!$F$91&gt;0,IF(AF680-Escenarios!$F$38&lt;=0,0,IF(AF680-Escenarios!$F$38&gt;Escenarios!$F$37,Escenarios!$F$37,AF680-Escenarios!$F$38)),0)</f>
        <v>0</v>
      </c>
      <c r="AH680" s="76">
        <f>AG680*Entradas!$F$99</f>
        <v>0</v>
      </c>
      <c r="AI680" s="76">
        <f>IF(Entradas!$F$91&gt;0,D680*Entradas!$D$23/Escenarios!$F$16,0)</f>
        <v>0.22255612535174635</v>
      </c>
      <c r="AJ680" s="76">
        <f>IF(Entradas!$F$91&gt;0,Entradas!$D$24*Entradas!$D$22/Escenarios!$F$16,0)</f>
        <v>0.12</v>
      </c>
      <c r="AK680" s="76">
        <f t="shared" si="142"/>
        <v>2.7068367129723558</v>
      </c>
      <c r="AL680" s="76">
        <f t="shared" si="143"/>
        <v>0</v>
      </c>
      <c r="AM680" s="76">
        <f t="shared" si="144"/>
        <v>0</v>
      </c>
      <c r="AN680" s="76">
        <f>MAX(0,O680*Escenarios!$F$13/Escenarios!$F$16-AM680)</f>
        <v>0.13249817483173912</v>
      </c>
      <c r="AO680" s="76">
        <f>AM680+AN680-O680*Escenarios!$F$13/Escenarios!$F$16</f>
        <v>0</v>
      </c>
      <c r="AP680" s="76">
        <f t="shared" si="145"/>
        <v>0.13943027802894495</v>
      </c>
      <c r="AQ680" s="76">
        <f t="shared" si="146"/>
        <v>0</v>
      </c>
      <c r="AR680" s="76">
        <f t="shared" si="147"/>
        <v>0.27192845286068407</v>
      </c>
      <c r="AS680" s="76">
        <f t="shared" si="148"/>
        <v>0</v>
      </c>
      <c r="AT680" s="76">
        <f t="shared" si="149"/>
        <v>0</v>
      </c>
      <c r="AU680" s="76">
        <f t="shared" si="150"/>
        <v>49.236200475431048</v>
      </c>
      <c r="AV680" s="76">
        <f>MAX(0,(AU680-Constantes!$D$13)*(1-EXP(-Constantes!$D$24)))</f>
        <v>7.4316943903605633E-3</v>
      </c>
      <c r="AW680" s="170">
        <f>AW679+(Entradas!$F$112*AT680-AX679)/(800*Entradas!$D$25)</f>
        <v>0</v>
      </c>
      <c r="AX680" s="170">
        <f>8000*Entradas!$D$26*AW680/Constantes!$F$45</f>
        <v>0</v>
      </c>
      <c r="AY680" s="170">
        <f>IF(Escenarios!$F$17&gt;0,10*Escenarios!$F$16*AL680,0)</f>
        <v>0</v>
      </c>
      <c r="AZ680" s="170">
        <f>IF(Escenarios!$F$17&gt;0,10*Escenarios!$F$16*AX680,0)</f>
        <v>0</v>
      </c>
      <c r="BA680" s="170">
        <f>IF(Escenarios!$F$17&gt;0,0.001*Observaciones!$F679*Escenarios!$F$17,0)</f>
        <v>0</v>
      </c>
      <c r="BB680" s="170">
        <f>IF(Escenarios!$F$17&gt;0,Observaciones!$K679,0)</f>
        <v>0</v>
      </c>
      <c r="BC680" s="170">
        <f>IF(Escenarios!$F$17&gt;0,MIN(0.0005*ETo!$M679*Escenarios!$F$17*(BG679/Constantes!$F$40)^(2/3),BG679+AY680+AZ680+BA680+BB680),0)</f>
        <v>0</v>
      </c>
      <c r="BD680" s="170">
        <f>IF(Escenarios!$F$17&gt;0,MIN(Constantes!$F$39*(BG679/Constantes!$F$40)^(2/3),BG679+AY680+AZ680+BA680+BB680-BC680),0)</f>
        <v>0</v>
      </c>
      <c r="BE680" s="170">
        <f>IF(Escenarios!$F$17&gt;0,MIN(Entradas!$F$113,BG679+AY680+AZ680+BA680+BB680-BC680-BD680),0)</f>
        <v>0</v>
      </c>
      <c r="BF680" s="170">
        <f>IF(Escenarios!$F$17&gt;0,MAX(0,BG679+AY680+AZ680+BA680+BB680-BC680-BD680-BE680-Constantes!$F$40),0)</f>
        <v>0</v>
      </c>
      <c r="BG680" s="170">
        <f t="shared" si="151"/>
        <v>0</v>
      </c>
      <c r="BH680" s="170">
        <f>(Escenarios!$F$16*AK680+0.1*BC680)/(Escenarios!$F$19)</f>
        <v>2.7068367129723558</v>
      </c>
      <c r="BI680" s="170">
        <f>IF(Escenarios!$F$17&gt;0,BF680/10/Escenarios!$F$19,AL680)</f>
        <v>0</v>
      </c>
      <c r="BJ680" s="170">
        <f>(Escenarios!$F$16*AT680+0.1*BD680)/(Escenarios!$F$19)</f>
        <v>0</v>
      </c>
      <c r="BK680" s="76">
        <f>BK679+(0.1*BD680)/(Escenarios!$F$19)-BL679</f>
        <v>48.75</v>
      </c>
      <c r="BL680" s="76">
        <f>MAX(0,(BK680-Constantes!$D$13)*(1-EXP(-Constantes!$D$23)))</f>
        <v>0</v>
      </c>
      <c r="BM680" s="76">
        <f t="shared" si="152"/>
        <v>0.14686197241930551</v>
      </c>
      <c r="BN680" s="76">
        <f t="shared" si="153"/>
        <v>0.27936014725104463</v>
      </c>
      <c r="BO680" s="76">
        <f>0.0526*BI680*Observaciones!$F679^1.218</f>
        <v>0</v>
      </c>
      <c r="BP680" s="76">
        <f>BO680*Constantes!$F$51</f>
        <v>0</v>
      </c>
      <c r="BQ680" s="76">
        <f t="shared" si="154"/>
        <v>0</v>
      </c>
      <c r="BR680" s="40"/>
    </row>
    <row r="681" spans="2:70">
      <c r="B681" s="39"/>
      <c r="C681" s="75">
        <v>675</v>
      </c>
      <c r="D681" s="146">
        <f>ETo!$I680*((1-Constantes!$F$19)*ETo!$K680+ETo!$L680)</f>
        <v>4.5841969809008498</v>
      </c>
      <c r="E681" s="76">
        <f>MIN(D681*Constantes!$F$17,0.8*(N680+Observaciones!$F680-F681-M681-Constantes!$D$14))</f>
        <v>2.6144214374036454</v>
      </c>
      <c r="F681" s="76">
        <f>IF(Observaciones!$F680&gt;0.05*Constantes!$F$18,((Observaciones!$F680-0.05*Constantes!$F$18)^2)/(Observaciones!$F680+0.95*Constantes!$F$18),0)</f>
        <v>0</v>
      </c>
      <c r="G681" s="76">
        <f>IF(Escenarios!$F$11&gt;0,(F681*Escenarios!$F$16*10000)/1000,0)</f>
        <v>0</v>
      </c>
      <c r="H681" s="76">
        <f>IF(Escenarios!$F$11&gt;0,(Observaciones!$F680*Constantes!$F$29)/1000,0)</f>
        <v>0</v>
      </c>
      <c r="I681" s="76">
        <f>IF(Escenarios!$F$11&gt;0,(D681*Constantes!$F$29)/1000,0)</f>
        <v>0</v>
      </c>
      <c r="J681" s="76">
        <f>IF(Escenarios!$F$11&gt;0,MAX(0,G681+H681-I681),0)</f>
        <v>0</v>
      </c>
      <c r="K681" s="76">
        <f>IF(Escenarios!$F$11&gt;0,IF(J681&gt;Constantes!$F$30,1000*((J681-Constantes!$F$30)/(Escenarios!$F$16*10000)),0),F681)</f>
        <v>0</v>
      </c>
      <c r="L681" s="76">
        <f>IF(Escenarios!$F$11&gt;0,I681*1000/Escenarios!$F$16/10000+E681,E681)</f>
        <v>2.6144214374036454</v>
      </c>
      <c r="M681" s="76">
        <f>MAX(0,N680+Observaciones!$F680-K681-Constantes!$D$13)</f>
        <v>0</v>
      </c>
      <c r="N681" s="76">
        <f>N680+Observaciones!$F680-K681-L681-M681-O680</f>
        <v>13.005149891903351</v>
      </c>
      <c r="O681" s="76">
        <f>MAX(0,(N681-Constantes!$D$14)*(1-EXP(-Constantes!$D$22)))</f>
        <v>5.9786848605388535E-2</v>
      </c>
      <c r="P681" s="170">
        <f>P680+(Entradas!$F$83*M681-Q680)/(800*Entradas!$D$25)</f>
        <v>0</v>
      </c>
      <c r="Q681" s="170">
        <f>8000*Entradas!$D$26*P681/Constantes!$F$45</f>
        <v>0</v>
      </c>
      <c r="R681" s="170">
        <f>IF(Escenarios!$F$14&gt;0,K681*Escenarios!$F$13/Escenarios!$F$14,0)</f>
        <v>0</v>
      </c>
      <c r="S681" s="170">
        <f>IF(Escenarios!$F$14&gt;0,Q681*Escenarios!$F$13/Escenarios!$F$14,0)</f>
        <v>0</v>
      </c>
      <c r="T681" s="170">
        <f>IF(Escenarios!$F$14&gt;0,Observaciones!$I680,0)</f>
        <v>0</v>
      </c>
      <c r="U681" s="170">
        <f>IF(Escenarios!$F$14&gt;0,MAX(0,Constantes!$F$36/((Z680+R681+S681+T681+Observaciones!$F680)^2)+Entradas!$F$77),0)</f>
        <v>0</v>
      </c>
      <c r="V681" s="146">
        <f>IF(ETo!D680&gt;0,ETo!I680*((1-Entradas!$F$81)*ETo!K680+ETo!L680),0)</f>
        <v>4.0755627213855847</v>
      </c>
      <c r="W681" s="170">
        <f>IF(Escenarios!$F$14&gt;0,MIN(V681*1,0.8*(Z680+R681+S681+T681+Observaciones!$F680-U681-Constantes!$F$35)),0)</f>
        <v>0.34216174276726863</v>
      </c>
      <c r="X681" s="170">
        <f>IF(Escenarios!$F$14&gt;0,Observaciones!$J680,0)</f>
        <v>0</v>
      </c>
      <c r="Y681" s="170">
        <f>IF(Escenarios!$F$14&gt;0,MAX(0,Z680+R681+S681+T681+Observaciones!$F680-U681-W681-X681-Constantes!$F$33),0)</f>
        <v>0</v>
      </c>
      <c r="Z681" s="170">
        <f>Z680+R681+S681+T681+Observaciones!$F680-U681-W681-Y681</f>
        <v>41.335540435691819</v>
      </c>
      <c r="AA681" s="170">
        <f>IF(Escenarios!$F$14&gt;0,(Escenarios!$F$13*L681+Escenarios!$F$14*W681)/(Escenarios!$F$16),L681)</f>
        <v>2.3417502740472802</v>
      </c>
      <c r="AB681" s="170">
        <f>IF(Escenarios!$F$14&gt;0,(Escenarios!$F$14*Y681)/(Escenarios!$F$16),K681)</f>
        <v>0</v>
      </c>
      <c r="AC681" s="170">
        <f>IF(Escenarios!$F$14&gt;0,(Escenarios!$F$13*M681+Escenarios!$F$14*U681)/(Escenarios!$F$16),M681)</f>
        <v>0</v>
      </c>
      <c r="AD681" s="76">
        <f t="shared" si="141"/>
        <v>62.761275861556179</v>
      </c>
      <c r="AE681" s="76">
        <f>MAX(0,(AD681-Constantes!$D$13)*(1-EXP(-Constantes!$D$23)))</f>
        <v>0.13805643828982087</v>
      </c>
      <c r="AF681" s="76">
        <f>AB681+O681*Escenarios!$F$13/Escenarios!$F$16+AE681</f>
        <v>0.19066886506256278</v>
      </c>
      <c r="AG681" s="76">
        <f>IF(Entradas!$F$91&gt;0,IF(AF681-Escenarios!$F$38&lt;=0,0,IF(AF681-Escenarios!$F$38&gt;Escenarios!$F$37,Escenarios!$F$37,AF681-Escenarios!$F$38)),0)</f>
        <v>0</v>
      </c>
      <c r="AH681" s="76">
        <f>AG681*Entradas!$F$99</f>
        <v>0</v>
      </c>
      <c r="AI681" s="76">
        <f>IF(Entradas!$F$91&gt;0,D681*Entradas!$D$23/Escenarios!$F$16,0)</f>
        <v>0.2200414550832408</v>
      </c>
      <c r="AJ681" s="76">
        <f>IF(Entradas!$F$91&gt;0,Entradas!$D$24*Entradas!$D$22/Escenarios!$F$16,0)</f>
        <v>0.12</v>
      </c>
      <c r="AK681" s="76">
        <f t="shared" si="142"/>
        <v>2.5617917291305208</v>
      </c>
      <c r="AL681" s="76">
        <f t="shared" si="143"/>
        <v>0</v>
      </c>
      <c r="AM681" s="76">
        <f t="shared" si="144"/>
        <v>0</v>
      </c>
      <c r="AN681" s="76">
        <f>MAX(0,O681*Escenarios!$F$13/Escenarios!$F$16-AM681)</f>
        <v>5.2612426772741909E-2</v>
      </c>
      <c r="AO681" s="76">
        <f>AM681+AN681-O681*Escenarios!$F$13/Escenarios!$F$16</f>
        <v>0</v>
      </c>
      <c r="AP681" s="76">
        <f t="shared" si="145"/>
        <v>0.13805643828982087</v>
      </c>
      <c r="AQ681" s="76">
        <f t="shared" si="146"/>
        <v>0</v>
      </c>
      <c r="AR681" s="76">
        <f t="shared" si="147"/>
        <v>0.19066886506256278</v>
      </c>
      <c r="AS681" s="76">
        <f t="shared" si="148"/>
        <v>0</v>
      </c>
      <c r="AT681" s="76">
        <f t="shared" si="149"/>
        <v>0</v>
      </c>
      <c r="AU681" s="76">
        <f t="shared" si="150"/>
        <v>49.228768781040685</v>
      </c>
      <c r="AV681" s="76">
        <f>MAX(0,(AU681-Constantes!$D$13)*(1-EXP(-Constantes!$D$24)))</f>
        <v>7.3180991054880712E-3</v>
      </c>
      <c r="AW681" s="170">
        <f>AW680+(Entradas!$F$112*AT681-AX680)/(800*Entradas!$D$25)</f>
        <v>0</v>
      </c>
      <c r="AX681" s="170">
        <f>8000*Entradas!$D$26*AW681/Constantes!$F$45</f>
        <v>0</v>
      </c>
      <c r="AY681" s="170">
        <f>IF(Escenarios!$F$17&gt;0,10*Escenarios!$F$16*AL681,0)</f>
        <v>0</v>
      </c>
      <c r="AZ681" s="170">
        <f>IF(Escenarios!$F$17&gt;0,10*Escenarios!$F$16*AX681,0)</f>
        <v>0</v>
      </c>
      <c r="BA681" s="170">
        <f>IF(Escenarios!$F$17&gt;0,0.001*Observaciones!$F680*Escenarios!$F$17,0)</f>
        <v>0</v>
      </c>
      <c r="BB681" s="170">
        <f>IF(Escenarios!$F$17&gt;0,Observaciones!$K680,0)</f>
        <v>0</v>
      </c>
      <c r="BC681" s="170">
        <f>IF(Escenarios!$F$17&gt;0,MIN(0.0005*ETo!$M680*Escenarios!$F$17*(BG680/Constantes!$F$40)^(2/3),BG680+AY681+AZ681+BA681+BB681),0)</f>
        <v>0</v>
      </c>
      <c r="BD681" s="170">
        <f>IF(Escenarios!$F$17&gt;0,MIN(Constantes!$F$39*(BG680/Constantes!$F$40)^(2/3),BG680+AY681+AZ681+BA681+BB681-BC681),0)</f>
        <v>0</v>
      </c>
      <c r="BE681" s="170">
        <f>IF(Escenarios!$F$17&gt;0,MIN(Entradas!$F$113,BG680+AY681+AZ681+BA681+BB681-BC681-BD681),0)</f>
        <v>0</v>
      </c>
      <c r="BF681" s="170">
        <f>IF(Escenarios!$F$17&gt;0,MAX(0,BG680+AY681+AZ681+BA681+BB681-BC681-BD681-BE681-Constantes!$F$40),0)</f>
        <v>0</v>
      </c>
      <c r="BG681" s="170">
        <f t="shared" si="151"/>
        <v>0</v>
      </c>
      <c r="BH681" s="170">
        <f>(Escenarios!$F$16*AK681+0.1*BC681)/(Escenarios!$F$19)</f>
        <v>2.5617917291305208</v>
      </c>
      <c r="BI681" s="170">
        <f>IF(Escenarios!$F$17&gt;0,BF681/10/Escenarios!$F$19,AL681)</f>
        <v>0</v>
      </c>
      <c r="BJ681" s="170">
        <f>(Escenarios!$F$16*AT681+0.1*BD681)/(Escenarios!$F$19)</f>
        <v>0</v>
      </c>
      <c r="BK681" s="76">
        <f>BK680+(0.1*BD681)/(Escenarios!$F$19)-BL680</f>
        <v>48.75</v>
      </c>
      <c r="BL681" s="76">
        <f>MAX(0,(BK681-Constantes!$D$13)*(1-EXP(-Constantes!$D$23)))</f>
        <v>0</v>
      </c>
      <c r="BM681" s="76">
        <f t="shared" si="152"/>
        <v>0.14537453739530892</v>
      </c>
      <c r="BN681" s="76">
        <f t="shared" si="153"/>
        <v>0.19798696416805084</v>
      </c>
      <c r="BO681" s="76">
        <f>0.0526*BI681*Observaciones!$F680^1.218</f>
        <v>0</v>
      </c>
      <c r="BP681" s="76">
        <f>BO681*Constantes!$F$51</f>
        <v>0</v>
      </c>
      <c r="BQ681" s="76">
        <f t="shared" si="154"/>
        <v>0</v>
      </c>
      <c r="BR681" s="40"/>
    </row>
    <row r="682" spans="2:70">
      <c r="B682" s="39"/>
      <c r="C682" s="75">
        <v>676</v>
      </c>
      <c r="D682" s="146">
        <f>ETo!$I681*((1-Constantes!$F$19)*ETo!$K681+ETo!$L681)</f>
        <v>4.5639217212976453</v>
      </c>
      <c r="E682" s="76">
        <f>MIN(D682*Constantes!$F$17,0.8*(N681+Observaciones!$F681-F682-M682-Constantes!$D$14))</f>
        <v>2.602858218463362</v>
      </c>
      <c r="F682" s="76">
        <f>IF(Observaciones!$F681&gt;0.05*Constantes!$F$18,((Observaciones!$F681-0.05*Constantes!$F$18)^2)/(Observaciones!$F681+0.95*Constantes!$F$18),0)</f>
        <v>0</v>
      </c>
      <c r="G682" s="76">
        <f>IF(Escenarios!$F$11&gt;0,(F682*Escenarios!$F$16*10000)/1000,0)</f>
        <v>0</v>
      </c>
      <c r="H682" s="76">
        <f>IF(Escenarios!$F$11&gt;0,(Observaciones!$F681*Constantes!$F$29)/1000,0)</f>
        <v>0</v>
      </c>
      <c r="I682" s="76">
        <f>IF(Escenarios!$F$11&gt;0,(D682*Constantes!$F$29)/1000,0)</f>
        <v>0</v>
      </c>
      <c r="J682" s="76">
        <f>IF(Escenarios!$F$11&gt;0,MAX(0,G682+H682-I682),0)</f>
        <v>0</v>
      </c>
      <c r="K682" s="76">
        <f>IF(Escenarios!$F$11&gt;0,IF(J682&gt;Constantes!$F$30,1000*((J682-Constantes!$F$30)/(Escenarios!$F$16*10000)),0),F682)</f>
        <v>0</v>
      </c>
      <c r="L682" s="76">
        <f>IF(Escenarios!$F$11&gt;0,I682*1000/Escenarios!$F$16/10000+E682,E682)</f>
        <v>2.602858218463362</v>
      </c>
      <c r="M682" s="76">
        <f>MAX(0,N681+Observaciones!$F681-K682-Constantes!$D$13)</f>
        <v>0</v>
      </c>
      <c r="N682" s="76">
        <f>N681+Observaciones!$F681-K682-L682-M682-O681</f>
        <v>12.342504824834599</v>
      </c>
      <c r="O682" s="76">
        <f>MAX(0,(N682-Constantes!$D$14)*(1-EXP(-Constantes!$D$22)))</f>
        <v>3.7214725001184945E-2</v>
      </c>
      <c r="P682" s="170">
        <f>P681+(Entradas!$F$83*M682-Q681)/(800*Entradas!$D$25)</f>
        <v>0</v>
      </c>
      <c r="Q682" s="170">
        <f>8000*Entradas!$D$26*P682/Constantes!$F$45</f>
        <v>0</v>
      </c>
      <c r="R682" s="170">
        <f>IF(Escenarios!$F$14&gt;0,K682*Escenarios!$F$13/Escenarios!$F$14,0)</f>
        <v>0</v>
      </c>
      <c r="S682" s="170">
        <f>IF(Escenarios!$F$14&gt;0,Q682*Escenarios!$F$13/Escenarios!$F$14,0)</f>
        <v>0</v>
      </c>
      <c r="T682" s="170">
        <f>IF(Escenarios!$F$14&gt;0,Observaciones!$I681,0)</f>
        <v>0</v>
      </c>
      <c r="U682" s="170">
        <f>IF(Escenarios!$F$14&gt;0,MAX(0,Constantes!$F$36/((Z681+R682+S682+T682+Observaciones!$F681)^2)+Entradas!$F$77),0)</f>
        <v>0</v>
      </c>
      <c r="V682" s="146">
        <f>IF(ETo!D681&gt;0,ETo!I681*((1-Entradas!$F$81)*ETo!K681+ETo!L681),0)</f>
        <v>4.0572401619119898</v>
      </c>
      <c r="W682" s="170">
        <f>IF(Escenarios!$F$14&gt;0,MIN(V682*1,0.8*(Z681+R682+S682+T682+Observaciones!$F681-U682-Constantes!$F$35)),0)</f>
        <v>1.6684323485534549</v>
      </c>
      <c r="X682" s="170">
        <f>IF(Escenarios!$F$14&gt;0,Observaciones!$J681,0)</f>
        <v>0</v>
      </c>
      <c r="Y682" s="170">
        <f>IF(Escenarios!$F$14&gt;0,MAX(0,Z681+R682+S682+T682+Observaciones!$F681-U682-W682-X682-Constantes!$F$33),0)</f>
        <v>0</v>
      </c>
      <c r="Z682" s="170">
        <f>Z681+R682+S682+T682+Observaciones!$F681-U682-W682-Y682</f>
        <v>41.667108087138367</v>
      </c>
      <c r="AA682" s="170">
        <f>IF(Escenarios!$F$14&gt;0,(Escenarios!$F$13*L682+Escenarios!$F$14*W682)/(Escenarios!$F$16),L682)</f>
        <v>2.4907271140741734</v>
      </c>
      <c r="AB682" s="170">
        <f>IF(Escenarios!$F$14&gt;0,(Escenarios!$F$14*Y682)/(Escenarios!$F$16),K682)</f>
        <v>0</v>
      </c>
      <c r="AC682" s="170">
        <f>IF(Escenarios!$F$14&gt;0,(Escenarios!$F$13*M682+Escenarios!$F$14*U682)/(Escenarios!$F$16),M682)</f>
        <v>0</v>
      </c>
      <c r="AD682" s="76">
        <f t="shared" si="141"/>
        <v>62.623219423266356</v>
      </c>
      <c r="AE682" s="76">
        <f>MAX(0,(AD682-Constantes!$D$13)*(1-EXP(-Constantes!$D$23)))</f>
        <v>0.13669613532086949</v>
      </c>
      <c r="AF682" s="76">
        <f>AB682+O682*Escenarios!$F$13/Escenarios!$F$16+AE682</f>
        <v>0.16944509332191224</v>
      </c>
      <c r="AG682" s="76">
        <f>IF(Entradas!$F$91&gt;0,IF(AF682-Escenarios!$F$38&lt;=0,0,IF(AF682-Escenarios!$F$38&gt;Escenarios!$F$37,Escenarios!$F$37,AF682-Escenarios!$F$38)),0)</f>
        <v>0</v>
      </c>
      <c r="AH682" s="76">
        <f>AG682*Entradas!$F$99</f>
        <v>0</v>
      </c>
      <c r="AI682" s="76">
        <f>IF(Entradas!$F$91&gt;0,D682*Entradas!$D$23/Escenarios!$F$16,0)</f>
        <v>0.21906824262228697</v>
      </c>
      <c r="AJ682" s="76">
        <f>IF(Entradas!$F$91&gt;0,Entradas!$D$24*Entradas!$D$22/Escenarios!$F$16,0)</f>
        <v>0.12</v>
      </c>
      <c r="AK682" s="76">
        <f t="shared" si="142"/>
        <v>2.7097953566964605</v>
      </c>
      <c r="AL682" s="76">
        <f t="shared" si="143"/>
        <v>0</v>
      </c>
      <c r="AM682" s="76">
        <f t="shared" si="144"/>
        <v>0</v>
      </c>
      <c r="AN682" s="76">
        <f>MAX(0,O682*Escenarios!$F$13/Escenarios!$F$16-AM682)</f>
        <v>3.2748958001042751E-2</v>
      </c>
      <c r="AO682" s="76">
        <f>AM682+AN682-O682*Escenarios!$F$13/Escenarios!$F$16</f>
        <v>0</v>
      </c>
      <c r="AP682" s="76">
        <f t="shared" si="145"/>
        <v>0.13669613532086949</v>
      </c>
      <c r="AQ682" s="76">
        <f t="shared" si="146"/>
        <v>0</v>
      </c>
      <c r="AR682" s="76">
        <f t="shared" si="147"/>
        <v>0.16944509332191224</v>
      </c>
      <c r="AS682" s="76">
        <f t="shared" si="148"/>
        <v>0</v>
      </c>
      <c r="AT682" s="76">
        <f t="shared" si="149"/>
        <v>0</v>
      </c>
      <c r="AU682" s="76">
        <f t="shared" si="150"/>
        <v>49.221450681935195</v>
      </c>
      <c r="AV682" s="76">
        <f>MAX(0,(AU682-Constantes!$D$13)*(1-EXP(-Constantes!$D$24)))</f>
        <v>7.2062401526103419E-3</v>
      </c>
      <c r="AW682" s="170">
        <f>AW681+(Entradas!$F$112*AT682-AX681)/(800*Entradas!$D$25)</f>
        <v>0</v>
      </c>
      <c r="AX682" s="170">
        <f>8000*Entradas!$D$26*AW682/Constantes!$F$45</f>
        <v>0</v>
      </c>
      <c r="AY682" s="170">
        <f>IF(Escenarios!$F$17&gt;0,10*Escenarios!$F$16*AL682,0)</f>
        <v>0</v>
      </c>
      <c r="AZ682" s="170">
        <f>IF(Escenarios!$F$17&gt;0,10*Escenarios!$F$16*AX682,0)</f>
        <v>0</v>
      </c>
      <c r="BA682" s="170">
        <f>IF(Escenarios!$F$17&gt;0,0.001*Observaciones!$F681*Escenarios!$F$17,0)</f>
        <v>0</v>
      </c>
      <c r="BB682" s="170">
        <f>IF(Escenarios!$F$17&gt;0,Observaciones!$K681,0)</f>
        <v>0</v>
      </c>
      <c r="BC682" s="170">
        <f>IF(Escenarios!$F$17&gt;0,MIN(0.0005*ETo!$M681*Escenarios!$F$17*(BG681/Constantes!$F$40)^(2/3),BG681+AY682+AZ682+BA682+BB682),0)</f>
        <v>0</v>
      </c>
      <c r="BD682" s="170">
        <f>IF(Escenarios!$F$17&gt;0,MIN(Constantes!$F$39*(BG681/Constantes!$F$40)^(2/3),BG681+AY682+AZ682+BA682+BB682-BC682),0)</f>
        <v>0</v>
      </c>
      <c r="BE682" s="170">
        <f>IF(Escenarios!$F$17&gt;0,MIN(Entradas!$F$113,BG681+AY682+AZ682+BA682+BB682-BC682-BD682),0)</f>
        <v>0</v>
      </c>
      <c r="BF682" s="170">
        <f>IF(Escenarios!$F$17&gt;0,MAX(0,BG681+AY682+AZ682+BA682+BB682-BC682-BD682-BE682-Constantes!$F$40),0)</f>
        <v>0</v>
      </c>
      <c r="BG682" s="170">
        <f t="shared" si="151"/>
        <v>0</v>
      </c>
      <c r="BH682" s="170">
        <f>(Escenarios!$F$16*AK682+0.1*BC682)/(Escenarios!$F$19)</f>
        <v>2.7097953566964605</v>
      </c>
      <c r="BI682" s="170">
        <f>IF(Escenarios!$F$17&gt;0,BF682/10/Escenarios!$F$19,AL682)</f>
        <v>0</v>
      </c>
      <c r="BJ682" s="170">
        <f>(Escenarios!$F$16*AT682+0.1*BD682)/(Escenarios!$F$19)</f>
        <v>0</v>
      </c>
      <c r="BK682" s="76">
        <f>BK681+(0.1*BD682)/(Escenarios!$F$19)-BL681</f>
        <v>48.75</v>
      </c>
      <c r="BL682" s="76">
        <f>MAX(0,(BK682-Constantes!$D$13)*(1-EXP(-Constantes!$D$23)))</f>
        <v>0</v>
      </c>
      <c r="BM682" s="76">
        <f t="shared" si="152"/>
        <v>0.14390237547347984</v>
      </c>
      <c r="BN682" s="76">
        <f t="shared" si="153"/>
        <v>0.17665133347452258</v>
      </c>
      <c r="BO682" s="76">
        <f>0.0526*BI682*Observaciones!$F681^1.218</f>
        <v>0</v>
      </c>
      <c r="BP682" s="76">
        <f>BO682*Constantes!$F$51</f>
        <v>0</v>
      </c>
      <c r="BQ682" s="76">
        <f t="shared" si="154"/>
        <v>0</v>
      </c>
      <c r="BR682" s="40"/>
    </row>
    <row r="683" spans="2:70">
      <c r="B683" s="39"/>
      <c r="C683" s="75">
        <v>677</v>
      </c>
      <c r="D683" s="146">
        <f>ETo!$I682*((1-Constantes!$F$19)*ETo!$K682+ETo!$L682)</f>
        <v>4.566574462360256</v>
      </c>
      <c r="E683" s="76">
        <f>MIN(D683*Constantes!$F$17,0.8*(N682+Observaciones!$F682-F683-M683-Constantes!$D$14))</f>
        <v>0.87400385986767903</v>
      </c>
      <c r="F683" s="76">
        <f>IF(Observaciones!$F682&gt;0.05*Constantes!$F$18,((Observaciones!$F682-0.05*Constantes!$F$18)^2)/(Observaciones!$F682+0.95*Constantes!$F$18),0)</f>
        <v>0</v>
      </c>
      <c r="G683" s="76">
        <f>IF(Escenarios!$F$11&gt;0,(F683*Escenarios!$F$16*10000)/1000,0)</f>
        <v>0</v>
      </c>
      <c r="H683" s="76">
        <f>IF(Escenarios!$F$11&gt;0,(Observaciones!$F682*Constantes!$F$29)/1000,0)</f>
        <v>0</v>
      </c>
      <c r="I683" s="76">
        <f>IF(Escenarios!$F$11&gt;0,(D683*Constantes!$F$29)/1000,0)</f>
        <v>0</v>
      </c>
      <c r="J683" s="76">
        <f>IF(Escenarios!$F$11&gt;0,MAX(0,G683+H683-I683),0)</f>
        <v>0</v>
      </c>
      <c r="K683" s="76">
        <f>IF(Escenarios!$F$11&gt;0,IF(J683&gt;Constantes!$F$30,1000*((J683-Constantes!$F$30)/(Escenarios!$F$16*10000)),0),F683)</f>
        <v>0</v>
      </c>
      <c r="L683" s="76">
        <f>IF(Escenarios!$F$11&gt;0,I683*1000/Escenarios!$F$16/10000+E683,E683)</f>
        <v>0.87400385986767903</v>
      </c>
      <c r="M683" s="76">
        <f>MAX(0,N682+Observaciones!$F682-K683-Constantes!$D$13)</f>
        <v>0</v>
      </c>
      <c r="N683" s="76">
        <f>N682+Observaciones!$F682-K683-L683-M683-O682</f>
        <v>11.431286239965734</v>
      </c>
      <c r="O683" s="76">
        <f>MAX(0,(N683-Constantes!$D$14)*(1-EXP(-Constantes!$D$22)))</f>
        <v>6.1752748486442882E-3</v>
      </c>
      <c r="P683" s="170">
        <f>P682+(Entradas!$F$83*M683-Q682)/(800*Entradas!$D$25)</f>
        <v>0</v>
      </c>
      <c r="Q683" s="170">
        <f>8000*Entradas!$D$26*P683/Constantes!$F$45</f>
        <v>0</v>
      </c>
      <c r="R683" s="170">
        <f>IF(Escenarios!$F$14&gt;0,K683*Escenarios!$F$13/Escenarios!$F$14,0)</f>
        <v>0</v>
      </c>
      <c r="S683" s="170">
        <f>IF(Escenarios!$F$14&gt;0,Q683*Escenarios!$F$13/Escenarios!$F$14,0)</f>
        <v>0</v>
      </c>
      <c r="T683" s="170">
        <f>IF(Escenarios!$F$14&gt;0,Observaciones!$I682,0)</f>
        <v>0</v>
      </c>
      <c r="U683" s="170">
        <f>IF(Escenarios!$F$14&gt;0,MAX(0,Constantes!$F$36/((Z682+R683+S683+T683+Observaciones!$F682)^2)+Entradas!$F$77),0)</f>
        <v>0</v>
      </c>
      <c r="V683" s="146">
        <f>IF(ETo!D682&gt;0,ETo!I682*((1-Entradas!$F$81)*ETo!K682+ETo!L682),0)</f>
        <v>4.0596733112471064</v>
      </c>
      <c r="W683" s="170">
        <f>IF(Escenarios!$F$14&gt;0,MIN(V683*1,0.8*(Z682+R683+S683+T683+Observaciones!$F682-U683-Constantes!$F$35)),0)</f>
        <v>0.33368646971069327</v>
      </c>
      <c r="X683" s="170">
        <f>IF(Escenarios!$F$14&gt;0,Observaciones!$J682,0)</f>
        <v>0</v>
      </c>
      <c r="Y683" s="170">
        <f>IF(Escenarios!$F$14&gt;0,MAX(0,Z682+R683+S683+T683+Observaciones!$F682-U683-W683-X683-Constantes!$F$33),0)</f>
        <v>0</v>
      </c>
      <c r="Z683" s="170">
        <f>Z682+R683+S683+T683+Observaciones!$F682-U683-W683-Y683</f>
        <v>41.333421617427675</v>
      </c>
      <c r="AA683" s="170">
        <f>IF(Escenarios!$F$14&gt;0,(Escenarios!$F$13*L683+Escenarios!$F$14*W683)/(Escenarios!$F$16),L683)</f>
        <v>0.80916577304884074</v>
      </c>
      <c r="AB683" s="170">
        <f>IF(Escenarios!$F$14&gt;0,(Escenarios!$F$14*Y683)/(Escenarios!$F$16),K683)</f>
        <v>0</v>
      </c>
      <c r="AC683" s="170">
        <f>IF(Escenarios!$F$14&gt;0,(Escenarios!$F$13*M683+Escenarios!$F$14*U683)/(Escenarios!$F$16),M683)</f>
        <v>0</v>
      </c>
      <c r="AD683" s="76">
        <f t="shared" si="141"/>
        <v>62.486523287945488</v>
      </c>
      <c r="AE683" s="76">
        <f>MAX(0,(AD683-Constantes!$D$13)*(1-EXP(-Constantes!$D$23)))</f>
        <v>0.13534923574107019</v>
      </c>
      <c r="AF683" s="76">
        <f>AB683+O683*Escenarios!$F$13/Escenarios!$F$16+AE683</f>
        <v>0.14078347760787716</v>
      </c>
      <c r="AG683" s="76">
        <f>IF(Entradas!$F$91&gt;0,IF(AF683-Escenarios!$F$38&lt;=0,0,IF(AF683-Escenarios!$F$38&gt;Escenarios!$F$37,Escenarios!$F$37,AF683-Escenarios!$F$38)),0)</f>
        <v>0</v>
      </c>
      <c r="AH683" s="76">
        <f>AG683*Entradas!$F$99</f>
        <v>0</v>
      </c>
      <c r="AI683" s="76">
        <f>IF(Entradas!$F$91&gt;0,D683*Entradas!$D$23/Escenarios!$F$16,0)</f>
        <v>0.21919557419329228</v>
      </c>
      <c r="AJ683" s="76">
        <f>IF(Entradas!$F$91&gt;0,Entradas!$D$24*Entradas!$D$22/Escenarios!$F$16,0)</f>
        <v>0.12</v>
      </c>
      <c r="AK683" s="76">
        <f t="shared" si="142"/>
        <v>1.0283613472421331</v>
      </c>
      <c r="AL683" s="76">
        <f t="shared" si="143"/>
        <v>0</v>
      </c>
      <c r="AM683" s="76">
        <f t="shared" si="144"/>
        <v>0</v>
      </c>
      <c r="AN683" s="76">
        <f>MAX(0,O683*Escenarios!$F$13/Escenarios!$F$16-AM683)</f>
        <v>5.4342418668069737E-3</v>
      </c>
      <c r="AO683" s="76">
        <f>AM683+AN683-O683*Escenarios!$F$13/Escenarios!$F$16</f>
        <v>0</v>
      </c>
      <c r="AP683" s="76">
        <f t="shared" si="145"/>
        <v>0.13534923574107019</v>
      </c>
      <c r="AQ683" s="76">
        <f t="shared" si="146"/>
        <v>0</v>
      </c>
      <c r="AR683" s="76">
        <f t="shared" si="147"/>
        <v>0.14078347760787716</v>
      </c>
      <c r="AS683" s="76">
        <f t="shared" si="148"/>
        <v>0</v>
      </c>
      <c r="AT683" s="76">
        <f t="shared" si="149"/>
        <v>0</v>
      </c>
      <c r="AU683" s="76">
        <f t="shared" si="150"/>
        <v>49.214244441782583</v>
      </c>
      <c r="AV683" s="76">
        <f>MAX(0,(AU683-Constantes!$D$13)*(1-EXP(-Constantes!$D$24)))</f>
        <v>7.0960909914638383E-3</v>
      </c>
      <c r="AW683" s="170">
        <f>AW682+(Entradas!$F$112*AT683-AX682)/(800*Entradas!$D$25)</f>
        <v>0</v>
      </c>
      <c r="AX683" s="170">
        <f>8000*Entradas!$D$26*AW683/Constantes!$F$45</f>
        <v>0</v>
      </c>
      <c r="AY683" s="170">
        <f>IF(Escenarios!$F$17&gt;0,10*Escenarios!$F$16*AL683,0)</f>
        <v>0</v>
      </c>
      <c r="AZ683" s="170">
        <f>IF(Escenarios!$F$17&gt;0,10*Escenarios!$F$16*AX683,0)</f>
        <v>0</v>
      </c>
      <c r="BA683" s="170">
        <f>IF(Escenarios!$F$17&gt;0,0.001*Observaciones!$F682*Escenarios!$F$17,0)</f>
        <v>0</v>
      </c>
      <c r="BB683" s="170">
        <f>IF(Escenarios!$F$17&gt;0,Observaciones!$K682,0)</f>
        <v>0</v>
      </c>
      <c r="BC683" s="170">
        <f>IF(Escenarios!$F$17&gt;0,MIN(0.0005*ETo!$M682*Escenarios!$F$17*(BG682/Constantes!$F$40)^(2/3),BG682+AY683+AZ683+BA683+BB683),0)</f>
        <v>0</v>
      </c>
      <c r="BD683" s="170">
        <f>IF(Escenarios!$F$17&gt;0,MIN(Constantes!$F$39*(BG682/Constantes!$F$40)^(2/3),BG682+AY683+AZ683+BA683+BB683-BC683),0)</f>
        <v>0</v>
      </c>
      <c r="BE683" s="170">
        <f>IF(Escenarios!$F$17&gt;0,MIN(Entradas!$F$113,BG682+AY683+AZ683+BA683+BB683-BC683-BD683),0)</f>
        <v>0</v>
      </c>
      <c r="BF683" s="170">
        <f>IF(Escenarios!$F$17&gt;0,MAX(0,BG682+AY683+AZ683+BA683+BB683-BC683-BD683-BE683-Constantes!$F$40),0)</f>
        <v>0</v>
      </c>
      <c r="BG683" s="170">
        <f t="shared" si="151"/>
        <v>0</v>
      </c>
      <c r="BH683" s="170">
        <f>(Escenarios!$F$16*AK683+0.1*BC683)/(Escenarios!$F$19)</f>
        <v>1.0283613472421331</v>
      </c>
      <c r="BI683" s="170">
        <f>IF(Escenarios!$F$17&gt;0,BF683/10/Escenarios!$F$19,AL683)</f>
        <v>0</v>
      </c>
      <c r="BJ683" s="170">
        <f>(Escenarios!$F$16*AT683+0.1*BD683)/(Escenarios!$F$19)</f>
        <v>0</v>
      </c>
      <c r="BK683" s="76">
        <f>BK682+(0.1*BD683)/(Escenarios!$F$19)-BL682</f>
        <v>48.75</v>
      </c>
      <c r="BL683" s="76">
        <f>MAX(0,(BK683-Constantes!$D$13)*(1-EXP(-Constantes!$D$23)))</f>
        <v>0</v>
      </c>
      <c r="BM683" s="76">
        <f t="shared" si="152"/>
        <v>0.14244532673253402</v>
      </c>
      <c r="BN683" s="76">
        <f t="shared" si="153"/>
        <v>0.14787956859934098</v>
      </c>
      <c r="BO683" s="76">
        <f>0.0526*BI683*Observaciones!$F682^1.218</f>
        <v>0</v>
      </c>
      <c r="BP683" s="76">
        <f>BO683*Constantes!$F$51</f>
        <v>0</v>
      </c>
      <c r="BQ683" s="76">
        <f t="shared" si="154"/>
        <v>0</v>
      </c>
      <c r="BR683" s="40"/>
    </row>
    <row r="684" spans="2:70">
      <c r="B684" s="39"/>
      <c r="C684" s="75">
        <v>678</v>
      </c>
      <c r="D684" s="146">
        <f>ETo!$I683*((1-Constantes!$F$19)*ETo!$K683+ETo!$L683)</f>
        <v>4.6153320183334463</v>
      </c>
      <c r="E684" s="76">
        <f>MIN(D684*Constantes!$F$17,0.8*(N683+Observaciones!$F683-F684-M684-Constantes!$D$14))</f>
        <v>0.46502899197258785</v>
      </c>
      <c r="F684" s="76">
        <f>IF(Observaciones!$F683&gt;0.05*Constantes!$F$18,((Observaciones!$F683-0.05*Constantes!$F$18)^2)/(Observaciones!$F683+0.95*Constantes!$F$18),0)</f>
        <v>0</v>
      </c>
      <c r="G684" s="76">
        <f>IF(Escenarios!$F$11&gt;0,(F684*Escenarios!$F$16*10000)/1000,0)</f>
        <v>0</v>
      </c>
      <c r="H684" s="76">
        <f>IF(Escenarios!$F$11&gt;0,(Observaciones!$F683*Constantes!$F$29)/1000,0)</f>
        <v>0</v>
      </c>
      <c r="I684" s="76">
        <f>IF(Escenarios!$F$11&gt;0,(D684*Constantes!$F$29)/1000,0)</f>
        <v>0</v>
      </c>
      <c r="J684" s="76">
        <f>IF(Escenarios!$F$11&gt;0,MAX(0,G684+H684-I684),0)</f>
        <v>0</v>
      </c>
      <c r="K684" s="76">
        <f>IF(Escenarios!$F$11&gt;0,IF(J684&gt;Constantes!$F$30,1000*((J684-Constantes!$F$30)/(Escenarios!$F$16*10000)),0),F684)</f>
        <v>0</v>
      </c>
      <c r="L684" s="76">
        <f>IF(Escenarios!$F$11&gt;0,I684*1000/Escenarios!$F$16/10000+E684,E684)</f>
        <v>0.46502899197258785</v>
      </c>
      <c r="M684" s="76">
        <f>MAX(0,N683+Observaciones!$F683-K684-Constantes!$D$13)</f>
        <v>0</v>
      </c>
      <c r="N684" s="76">
        <f>N683+Observaciones!$F683-K684-L684-M684-O683</f>
        <v>11.360081973144503</v>
      </c>
      <c r="O684" s="76">
        <f>MAX(0,(N684-Constantes!$D$14)*(1-EXP(-Constantes!$D$22)))</f>
        <v>3.7497961244983254E-3</v>
      </c>
      <c r="P684" s="170">
        <f>P683+(Entradas!$F$83*M684-Q683)/(800*Entradas!$D$25)</f>
        <v>0</v>
      </c>
      <c r="Q684" s="170">
        <f>8000*Entradas!$D$26*P684/Constantes!$F$45</f>
        <v>0</v>
      </c>
      <c r="R684" s="170">
        <f>IF(Escenarios!$F$14&gt;0,K684*Escenarios!$F$13/Escenarios!$F$14,0)</f>
        <v>0</v>
      </c>
      <c r="S684" s="170">
        <f>IF(Escenarios!$F$14&gt;0,Q684*Escenarios!$F$13/Escenarios!$F$14,0)</f>
        <v>0</v>
      </c>
      <c r="T684" s="170">
        <f>IF(Escenarios!$F$14&gt;0,Observaciones!$I683,0)</f>
        <v>0</v>
      </c>
      <c r="U684" s="170">
        <f>IF(Escenarios!$F$14&gt;0,MAX(0,Constantes!$F$36/((Z683+R684+S684+T684+Observaciones!$F683)^2)+Entradas!$F$77),0)</f>
        <v>0</v>
      </c>
      <c r="V684" s="146">
        <f>IF(ETo!D683&gt;0,ETo!I683*((1-Entradas!$F$81)*ETo!K683+ETo!L683),0)</f>
        <v>4.1038612424281906</v>
      </c>
      <c r="W684" s="170">
        <f>IF(Escenarios!$F$14&gt;0,MIN(V684*1,0.8*(Z683+R684+S684+T684+Observaciones!$F683-U684-Constantes!$F$35)),0)</f>
        <v>0.38673729394213868</v>
      </c>
      <c r="X684" s="170">
        <f>IF(Escenarios!$F$14&gt;0,Observaciones!$J683,0)</f>
        <v>0</v>
      </c>
      <c r="Y684" s="170">
        <f>IF(Escenarios!$F$14&gt;0,MAX(0,Z683+R684+S684+T684+Observaciones!$F683-U684-W684-X684-Constantes!$F$33),0)</f>
        <v>0</v>
      </c>
      <c r="Z684" s="170">
        <f>Z683+R684+S684+T684+Observaciones!$F683-U684-W684-Y684</f>
        <v>41.346684323485533</v>
      </c>
      <c r="AA684" s="170">
        <f>IF(Escenarios!$F$14&gt;0,(Escenarios!$F$13*L684+Escenarios!$F$14*W684)/(Escenarios!$F$16),L684)</f>
        <v>0.45563398820893392</v>
      </c>
      <c r="AB684" s="170">
        <f>IF(Escenarios!$F$14&gt;0,(Escenarios!$F$14*Y684)/(Escenarios!$F$16),K684)</f>
        <v>0</v>
      </c>
      <c r="AC684" s="170">
        <f>IF(Escenarios!$F$14&gt;0,(Escenarios!$F$13*M684+Escenarios!$F$14*U684)/(Escenarios!$F$16),M684)</f>
        <v>0</v>
      </c>
      <c r="AD684" s="76">
        <f t="shared" si="141"/>
        <v>62.351174052204421</v>
      </c>
      <c r="AE684" s="76">
        <f>MAX(0,(AD684-Constantes!$D$13)*(1-EXP(-Constantes!$D$23)))</f>
        <v>0.13401560748363711</v>
      </c>
      <c r="AF684" s="76">
        <f>AB684+O684*Escenarios!$F$13/Escenarios!$F$16+AE684</f>
        <v>0.13731542807319563</v>
      </c>
      <c r="AG684" s="76">
        <f>IF(Entradas!$F$91&gt;0,IF(AF684-Escenarios!$F$38&lt;=0,0,IF(AF684-Escenarios!$F$38&gt;Escenarios!$F$37,Escenarios!$F$37,AF684-Escenarios!$F$38)),0)</f>
        <v>0</v>
      </c>
      <c r="AH684" s="76">
        <f>AG684*Entradas!$F$99</f>
        <v>0</v>
      </c>
      <c r="AI684" s="76">
        <f>IF(Entradas!$F$91&gt;0,D684*Entradas!$D$23/Escenarios!$F$16,0)</f>
        <v>0.22153593688000542</v>
      </c>
      <c r="AJ684" s="76">
        <f>IF(Entradas!$F$91&gt;0,Entradas!$D$24*Entradas!$D$22/Escenarios!$F$16,0)</f>
        <v>0.12</v>
      </c>
      <c r="AK684" s="76">
        <f t="shared" si="142"/>
        <v>0.67716992508893936</v>
      </c>
      <c r="AL684" s="76">
        <f t="shared" si="143"/>
        <v>0</v>
      </c>
      <c r="AM684" s="76">
        <f t="shared" si="144"/>
        <v>0</v>
      </c>
      <c r="AN684" s="76">
        <f>MAX(0,O684*Escenarios!$F$13/Escenarios!$F$16-AM684)</f>
        <v>3.2998205895585263E-3</v>
      </c>
      <c r="AO684" s="76">
        <f>AM684+AN684-O684*Escenarios!$F$13/Escenarios!$F$16</f>
        <v>0</v>
      </c>
      <c r="AP684" s="76">
        <f t="shared" si="145"/>
        <v>0.13401560748363711</v>
      </c>
      <c r="AQ684" s="76">
        <f t="shared" si="146"/>
        <v>0</v>
      </c>
      <c r="AR684" s="76">
        <f t="shared" si="147"/>
        <v>0.13731542807319563</v>
      </c>
      <c r="AS684" s="76">
        <f t="shared" si="148"/>
        <v>0</v>
      </c>
      <c r="AT684" s="76">
        <f t="shared" si="149"/>
        <v>0</v>
      </c>
      <c r="AU684" s="76">
        <f t="shared" si="150"/>
        <v>49.207148350791122</v>
      </c>
      <c r="AV684" s="76">
        <f>MAX(0,(AU684-Constantes!$D$13)*(1-EXP(-Constantes!$D$24)))</f>
        <v>6.9876254874596099E-3</v>
      </c>
      <c r="AW684" s="170">
        <f>AW683+(Entradas!$F$112*AT684-AX683)/(800*Entradas!$D$25)</f>
        <v>0</v>
      </c>
      <c r="AX684" s="170">
        <f>8000*Entradas!$D$26*AW684/Constantes!$F$45</f>
        <v>0</v>
      </c>
      <c r="AY684" s="170">
        <f>IF(Escenarios!$F$17&gt;0,10*Escenarios!$F$16*AL684,0)</f>
        <v>0</v>
      </c>
      <c r="AZ684" s="170">
        <f>IF(Escenarios!$F$17&gt;0,10*Escenarios!$F$16*AX684,0)</f>
        <v>0</v>
      </c>
      <c r="BA684" s="170">
        <f>IF(Escenarios!$F$17&gt;0,0.001*Observaciones!$F683*Escenarios!$F$17,0)</f>
        <v>0</v>
      </c>
      <c r="BB684" s="170">
        <f>IF(Escenarios!$F$17&gt;0,Observaciones!$K683,0)</f>
        <v>0</v>
      </c>
      <c r="BC684" s="170">
        <f>IF(Escenarios!$F$17&gt;0,MIN(0.0005*ETo!$M683*Escenarios!$F$17*(BG683/Constantes!$F$40)^(2/3),BG683+AY684+AZ684+BA684+BB684),0)</f>
        <v>0</v>
      </c>
      <c r="BD684" s="170">
        <f>IF(Escenarios!$F$17&gt;0,MIN(Constantes!$F$39*(BG683/Constantes!$F$40)^(2/3),BG683+AY684+AZ684+BA684+BB684-BC684),0)</f>
        <v>0</v>
      </c>
      <c r="BE684" s="170">
        <f>IF(Escenarios!$F$17&gt;0,MIN(Entradas!$F$113,BG683+AY684+AZ684+BA684+BB684-BC684-BD684),0)</f>
        <v>0</v>
      </c>
      <c r="BF684" s="170">
        <f>IF(Escenarios!$F$17&gt;0,MAX(0,BG683+AY684+AZ684+BA684+BB684-BC684-BD684-BE684-Constantes!$F$40),0)</f>
        <v>0</v>
      </c>
      <c r="BG684" s="170">
        <f t="shared" si="151"/>
        <v>0</v>
      </c>
      <c r="BH684" s="170">
        <f>(Escenarios!$F$16*AK684+0.1*BC684)/(Escenarios!$F$19)</f>
        <v>0.67716992508893936</v>
      </c>
      <c r="BI684" s="170">
        <f>IF(Escenarios!$F$17&gt;0,BF684/10/Escenarios!$F$19,AL684)</f>
        <v>0</v>
      </c>
      <c r="BJ684" s="170">
        <f>(Escenarios!$F$16*AT684+0.1*BD684)/(Escenarios!$F$19)</f>
        <v>0</v>
      </c>
      <c r="BK684" s="76">
        <f>BK683+(0.1*BD684)/(Escenarios!$F$19)-BL683</f>
        <v>48.75</v>
      </c>
      <c r="BL684" s="76">
        <f>MAX(0,(BK684-Constantes!$D$13)*(1-EXP(-Constantes!$D$23)))</f>
        <v>0</v>
      </c>
      <c r="BM684" s="76">
        <f t="shared" si="152"/>
        <v>0.14100323297109671</v>
      </c>
      <c r="BN684" s="76">
        <f t="shared" si="153"/>
        <v>0.14430305356065523</v>
      </c>
      <c r="BO684" s="76">
        <f>0.0526*BI684*Observaciones!$F683^1.218</f>
        <v>0</v>
      </c>
      <c r="BP684" s="76">
        <f>BO684*Constantes!$F$51</f>
        <v>0</v>
      </c>
      <c r="BQ684" s="76">
        <f t="shared" si="154"/>
        <v>0</v>
      </c>
      <c r="BR684" s="40"/>
    </row>
    <row r="685" spans="2:70">
      <c r="B685" s="39"/>
      <c r="C685" s="75">
        <v>679</v>
      </c>
      <c r="D685" s="146">
        <f>ETo!$I684*((1-Constantes!$F$19)*ETo!$K684+ETo!$L684)</f>
        <v>4.5528541644584459</v>
      </c>
      <c r="E685" s="76">
        <f>MIN(D685*Constantes!$F$17,0.8*(N684+Observaciones!$F684-F685-M685-Constantes!$D$14))</f>
        <v>8.8065578515602289E-2</v>
      </c>
      <c r="F685" s="76">
        <f>IF(Observaciones!$F684&gt;0.05*Constantes!$F$18,((Observaciones!$F684-0.05*Constantes!$F$18)^2)/(Observaciones!$F684+0.95*Constantes!$F$18),0)</f>
        <v>0</v>
      </c>
      <c r="G685" s="76">
        <f>IF(Escenarios!$F$11&gt;0,(F685*Escenarios!$F$16*10000)/1000,0)</f>
        <v>0</v>
      </c>
      <c r="H685" s="76">
        <f>IF(Escenarios!$F$11&gt;0,(Observaciones!$F684*Constantes!$F$29)/1000,0)</f>
        <v>0</v>
      </c>
      <c r="I685" s="76">
        <f>IF(Escenarios!$F$11&gt;0,(D685*Constantes!$F$29)/1000,0)</f>
        <v>0</v>
      </c>
      <c r="J685" s="76">
        <f>IF(Escenarios!$F$11&gt;0,MAX(0,G685+H685-I685),0)</f>
        <v>0</v>
      </c>
      <c r="K685" s="76">
        <f>IF(Escenarios!$F$11&gt;0,IF(J685&gt;Constantes!$F$30,1000*((J685-Constantes!$F$30)/(Escenarios!$F$16*10000)),0),F685)</f>
        <v>0</v>
      </c>
      <c r="L685" s="76">
        <f>IF(Escenarios!$F$11&gt;0,I685*1000/Escenarios!$F$16/10000+E685,E685)</f>
        <v>8.8065578515602289E-2</v>
      </c>
      <c r="M685" s="76">
        <f>MAX(0,N684+Observaciones!$F684-K685-Constantes!$D$13)</f>
        <v>0</v>
      </c>
      <c r="N685" s="76">
        <f>N684+Observaciones!$F684-K685-L685-M685-O684</f>
        <v>11.268266598504402</v>
      </c>
      <c r="O685" s="76">
        <f>MAX(0,(N685-Constantes!$D$14)*(1-EXP(-Constantes!$D$22)))</f>
        <v>6.2222740311586224E-4</v>
      </c>
      <c r="P685" s="170">
        <f>P684+(Entradas!$F$83*M685-Q684)/(800*Entradas!$D$25)</f>
        <v>0</v>
      </c>
      <c r="Q685" s="170">
        <f>8000*Entradas!$D$26*P685/Constantes!$F$45</f>
        <v>0</v>
      </c>
      <c r="R685" s="170">
        <f>IF(Escenarios!$F$14&gt;0,K685*Escenarios!$F$13/Escenarios!$F$14,0)</f>
        <v>0</v>
      </c>
      <c r="S685" s="170">
        <f>IF(Escenarios!$F$14&gt;0,Q685*Escenarios!$F$13/Escenarios!$F$14,0)</f>
        <v>0</v>
      </c>
      <c r="T685" s="170">
        <f>IF(Escenarios!$F$14&gt;0,Observaciones!$I684,0)</f>
        <v>0</v>
      </c>
      <c r="U685" s="170">
        <f>IF(Escenarios!$F$14&gt;0,MAX(0,Constantes!$F$36/((Z684+R685+S685+T685+Observaciones!$F684)^2)+Entradas!$F$77),0)</f>
        <v>0</v>
      </c>
      <c r="V685" s="146">
        <f>IF(ETo!D684&gt;0,ETo!I684*((1-Entradas!$F$81)*ETo!K684+ETo!L684),0)</f>
        <v>4.0473190769430909</v>
      </c>
      <c r="W685" s="170">
        <f>IF(Escenarios!$F$14&gt;0,MIN(V685*1,0.8*(Z684+R685+S685+T685+Observaciones!$F684-U685-Constantes!$F$35)),0)</f>
        <v>7.7347458788426596E-2</v>
      </c>
      <c r="X685" s="170">
        <f>IF(Escenarios!$F$14&gt;0,Observaciones!$J684,0)</f>
        <v>0</v>
      </c>
      <c r="Y685" s="170">
        <f>IF(Escenarios!$F$14&gt;0,MAX(0,Z684+R685+S685+T685+Observaciones!$F684-U685-W685-X685-Constantes!$F$33),0)</f>
        <v>0</v>
      </c>
      <c r="Z685" s="170">
        <f>Z684+R685+S685+T685+Observaciones!$F684-U685-W685-Y685</f>
        <v>41.269336864697109</v>
      </c>
      <c r="AA685" s="170">
        <f>IF(Escenarios!$F$14&gt;0,(Escenarios!$F$13*L685+Escenarios!$F$14*W685)/(Escenarios!$F$16),L685)</f>
        <v>8.6779404148341205E-2</v>
      </c>
      <c r="AB685" s="170">
        <f>IF(Escenarios!$F$14&gt;0,(Escenarios!$F$14*Y685)/(Escenarios!$F$16),K685)</f>
        <v>0</v>
      </c>
      <c r="AC685" s="170">
        <f>IF(Escenarios!$F$14&gt;0,(Escenarios!$F$13*M685+Escenarios!$F$14*U685)/(Escenarios!$F$16),M685)</f>
        <v>0</v>
      </c>
      <c r="AD685" s="76">
        <f t="shared" si="141"/>
        <v>62.217158444720781</v>
      </c>
      <c r="AE685" s="76">
        <f>MAX(0,(AD685-Constantes!$D$13)*(1-EXP(-Constantes!$D$23)))</f>
        <v>0.13269511978307</v>
      </c>
      <c r="AF685" s="76">
        <f>AB685+O685*Escenarios!$F$13/Escenarios!$F$16+AE685</f>
        <v>0.13324267989781197</v>
      </c>
      <c r="AG685" s="76">
        <f>IF(Entradas!$F$91&gt;0,IF(AF685-Escenarios!$F$38&lt;=0,0,IF(AF685-Escenarios!$F$38&gt;Escenarios!$F$37,Escenarios!$F$37,AF685-Escenarios!$F$38)),0)</f>
        <v>0</v>
      </c>
      <c r="AH685" s="76">
        <f>AG685*Entradas!$F$99</f>
        <v>0</v>
      </c>
      <c r="AI685" s="76">
        <f>IF(Entradas!$F$91&gt;0,D685*Entradas!$D$23/Escenarios!$F$16,0)</f>
        <v>0.21853699989400541</v>
      </c>
      <c r="AJ685" s="76">
        <f>IF(Entradas!$F$91&gt;0,Entradas!$D$24*Entradas!$D$22/Escenarios!$F$16,0)</f>
        <v>0.12</v>
      </c>
      <c r="AK685" s="76">
        <f t="shared" si="142"/>
        <v>0.30531640404234661</v>
      </c>
      <c r="AL685" s="76">
        <f t="shared" si="143"/>
        <v>0</v>
      </c>
      <c r="AM685" s="76">
        <f t="shared" si="144"/>
        <v>0</v>
      </c>
      <c r="AN685" s="76">
        <f>MAX(0,O685*Escenarios!$F$13/Escenarios!$F$16-AM685)</f>
        <v>5.4756011474195877E-4</v>
      </c>
      <c r="AO685" s="76">
        <f>AM685+AN685-O685*Escenarios!$F$13/Escenarios!$F$16</f>
        <v>0</v>
      </c>
      <c r="AP685" s="76">
        <f t="shared" si="145"/>
        <v>0.13269511978307</v>
      </c>
      <c r="AQ685" s="76">
        <f t="shared" si="146"/>
        <v>0</v>
      </c>
      <c r="AR685" s="76">
        <f t="shared" si="147"/>
        <v>0.13324267989781197</v>
      </c>
      <c r="AS685" s="76">
        <f t="shared" si="148"/>
        <v>0</v>
      </c>
      <c r="AT685" s="76">
        <f t="shared" si="149"/>
        <v>0</v>
      </c>
      <c r="AU685" s="76">
        <f t="shared" si="150"/>
        <v>49.200160725303661</v>
      </c>
      <c r="AV685" s="76">
        <f>MAX(0,(AU685-Constantes!$D$13)*(1-EXP(-Constantes!$D$24)))</f>
        <v>6.8808179054820956E-3</v>
      </c>
      <c r="AW685" s="170">
        <f>AW684+(Entradas!$F$112*AT685-AX684)/(800*Entradas!$D$25)</f>
        <v>0</v>
      </c>
      <c r="AX685" s="170">
        <f>8000*Entradas!$D$26*AW685/Constantes!$F$45</f>
        <v>0</v>
      </c>
      <c r="AY685" s="170">
        <f>IF(Escenarios!$F$17&gt;0,10*Escenarios!$F$16*AL685,0)</f>
        <v>0</v>
      </c>
      <c r="AZ685" s="170">
        <f>IF(Escenarios!$F$17&gt;0,10*Escenarios!$F$16*AX685,0)</f>
        <v>0</v>
      </c>
      <c r="BA685" s="170">
        <f>IF(Escenarios!$F$17&gt;0,0.001*Observaciones!$F684*Escenarios!$F$17,0)</f>
        <v>0</v>
      </c>
      <c r="BB685" s="170">
        <f>IF(Escenarios!$F$17&gt;0,Observaciones!$K684,0)</f>
        <v>0</v>
      </c>
      <c r="BC685" s="170">
        <f>IF(Escenarios!$F$17&gt;0,MIN(0.0005*ETo!$M684*Escenarios!$F$17*(BG684/Constantes!$F$40)^(2/3),BG684+AY685+AZ685+BA685+BB685),0)</f>
        <v>0</v>
      </c>
      <c r="BD685" s="170">
        <f>IF(Escenarios!$F$17&gt;0,MIN(Constantes!$F$39*(BG684/Constantes!$F$40)^(2/3),BG684+AY685+AZ685+BA685+BB685-BC685),0)</f>
        <v>0</v>
      </c>
      <c r="BE685" s="170">
        <f>IF(Escenarios!$F$17&gt;0,MIN(Entradas!$F$113,BG684+AY685+AZ685+BA685+BB685-BC685-BD685),0)</f>
        <v>0</v>
      </c>
      <c r="BF685" s="170">
        <f>IF(Escenarios!$F$17&gt;0,MAX(0,BG684+AY685+AZ685+BA685+BB685-BC685-BD685-BE685-Constantes!$F$40),0)</f>
        <v>0</v>
      </c>
      <c r="BG685" s="170">
        <f t="shared" si="151"/>
        <v>0</v>
      </c>
      <c r="BH685" s="170">
        <f>(Escenarios!$F$16*AK685+0.1*BC685)/(Escenarios!$F$19)</f>
        <v>0.30531640404234661</v>
      </c>
      <c r="BI685" s="170">
        <f>IF(Escenarios!$F$17&gt;0,BF685/10/Escenarios!$F$19,AL685)</f>
        <v>0</v>
      </c>
      <c r="BJ685" s="170">
        <f>(Escenarios!$F$16*AT685+0.1*BD685)/(Escenarios!$F$19)</f>
        <v>0</v>
      </c>
      <c r="BK685" s="76">
        <f>BK684+(0.1*BD685)/(Escenarios!$F$19)-BL684</f>
        <v>48.75</v>
      </c>
      <c r="BL685" s="76">
        <f>MAX(0,(BK685-Constantes!$D$13)*(1-EXP(-Constantes!$D$23)))</f>
        <v>0</v>
      </c>
      <c r="BM685" s="76">
        <f t="shared" si="152"/>
        <v>0.13957593768855209</v>
      </c>
      <c r="BN685" s="76">
        <f t="shared" si="153"/>
        <v>0.14012349780329406</v>
      </c>
      <c r="BO685" s="76">
        <f>0.0526*BI685*Observaciones!$F684^1.218</f>
        <v>0</v>
      </c>
      <c r="BP685" s="76">
        <f>BO685*Constantes!$F$51</f>
        <v>0</v>
      </c>
      <c r="BQ685" s="76">
        <f t="shared" si="154"/>
        <v>0</v>
      </c>
      <c r="BR685" s="40"/>
    </row>
    <row r="686" spans="2:70">
      <c r="B686" s="39"/>
      <c r="C686" s="75">
        <v>680</v>
      </c>
      <c r="D686" s="146">
        <f>ETo!$I685*((1-Constantes!$F$19)*ETo!$K685+ETo!$L685)</f>
        <v>4.4112905802968898</v>
      </c>
      <c r="E686" s="76">
        <f>MIN(D686*Constantes!$F$17,0.8*(N685+Observaciones!$F685-F686-M686-Constantes!$D$14))</f>
        <v>1.4613278803521723E-2</v>
      </c>
      <c r="F686" s="76">
        <f>IF(Observaciones!$F685&gt;0.05*Constantes!$F$18,((Observaciones!$F685-0.05*Constantes!$F$18)^2)/(Observaciones!$F685+0.95*Constantes!$F$18),0)</f>
        <v>0</v>
      </c>
      <c r="G686" s="76">
        <f>IF(Escenarios!$F$11&gt;0,(F686*Escenarios!$F$16*10000)/1000,0)</f>
        <v>0</v>
      </c>
      <c r="H686" s="76">
        <f>IF(Escenarios!$F$11&gt;0,(Observaciones!$F685*Constantes!$F$29)/1000,0)</f>
        <v>0</v>
      </c>
      <c r="I686" s="76">
        <f>IF(Escenarios!$F$11&gt;0,(D686*Constantes!$F$29)/1000,0)</f>
        <v>0</v>
      </c>
      <c r="J686" s="76">
        <f>IF(Escenarios!$F$11&gt;0,MAX(0,G686+H686-I686),0)</f>
        <v>0</v>
      </c>
      <c r="K686" s="76">
        <f>IF(Escenarios!$F$11&gt;0,IF(J686&gt;Constantes!$F$30,1000*((J686-Constantes!$F$30)/(Escenarios!$F$16*10000)),0),F686)</f>
        <v>0</v>
      </c>
      <c r="L686" s="76">
        <f>IF(Escenarios!$F$11&gt;0,I686*1000/Escenarios!$F$16/10000+E686,E686)</f>
        <v>1.4613278803521723E-2</v>
      </c>
      <c r="M686" s="76">
        <f>MAX(0,N685+Observaciones!$F685-K686-Constantes!$D$13)</f>
        <v>0</v>
      </c>
      <c r="N686" s="76">
        <f>N685+Observaciones!$F685-K686-L686-M686-O685</f>
        <v>11.253031092297764</v>
      </c>
      <c r="O686" s="76">
        <f>MAX(0,(N686-Constantes!$D$14)*(1-EXP(-Constantes!$D$22)))</f>
        <v>1.032501310294704E-4</v>
      </c>
      <c r="P686" s="170">
        <f>P685+(Entradas!$F$83*M686-Q685)/(800*Entradas!$D$25)</f>
        <v>0</v>
      </c>
      <c r="Q686" s="170">
        <f>8000*Entradas!$D$26*P686/Constantes!$F$45</f>
        <v>0</v>
      </c>
      <c r="R686" s="170">
        <f>IF(Escenarios!$F$14&gt;0,K686*Escenarios!$F$13/Escenarios!$F$14,0)</f>
        <v>0</v>
      </c>
      <c r="S686" s="170">
        <f>IF(Escenarios!$F$14&gt;0,Q686*Escenarios!$F$13/Escenarios!$F$14,0)</f>
        <v>0</v>
      </c>
      <c r="T686" s="170">
        <f>IF(Escenarios!$F$14&gt;0,Observaciones!$I685,0)</f>
        <v>0</v>
      </c>
      <c r="U686" s="170">
        <f>IF(Escenarios!$F$14&gt;0,MAX(0,Constantes!$F$36/((Z685+R686+S686+T686+Observaciones!$F685)^2)+Entradas!$F$77),0)</f>
        <v>0</v>
      </c>
      <c r="V686" s="146">
        <f>IF(ETo!D685&gt;0,ETo!I685*((1-Entradas!$F$81)*ETo!K685+ETo!L685),0)</f>
        <v>3.9195800318183336</v>
      </c>
      <c r="W686" s="170">
        <f>IF(Escenarios!$F$14&gt;0,MIN(V686*1,0.8*(Z685+R686+S686+T686+Observaciones!$F685-U686-Constantes!$F$35)),0)</f>
        <v>1.5469491757687593E-2</v>
      </c>
      <c r="X686" s="170">
        <f>IF(Escenarios!$F$14&gt;0,Observaciones!$J685,0)</f>
        <v>0</v>
      </c>
      <c r="Y686" s="170">
        <f>IF(Escenarios!$F$14&gt;0,MAX(0,Z685+R686+S686+T686+Observaciones!$F685-U686-W686-X686-Constantes!$F$33),0)</f>
        <v>0</v>
      </c>
      <c r="Z686" s="170">
        <f>Z685+R686+S686+T686+Observaciones!$F685-U686-W686-Y686</f>
        <v>41.253867372939425</v>
      </c>
      <c r="AA686" s="170">
        <f>IF(Escenarios!$F$14&gt;0,(Escenarios!$F$13*L686+Escenarios!$F$14*W686)/(Escenarios!$F$16),L686)</f>
        <v>1.4716024358021627E-2</v>
      </c>
      <c r="AB686" s="170">
        <f>IF(Escenarios!$F$14&gt;0,(Escenarios!$F$14*Y686)/(Escenarios!$F$16),K686)</f>
        <v>0</v>
      </c>
      <c r="AC686" s="170">
        <f>IF(Escenarios!$F$14&gt;0,(Escenarios!$F$13*M686+Escenarios!$F$14*U686)/(Escenarios!$F$16),M686)</f>
        <v>0</v>
      </c>
      <c r="AD686" s="76">
        <f t="shared" si="141"/>
        <v>62.084463324937708</v>
      </c>
      <c r="AE686" s="76">
        <f>MAX(0,(AD686-Constantes!$D$13)*(1-EXP(-Constantes!$D$23)))</f>
        <v>0.13138764316233223</v>
      </c>
      <c r="AF686" s="76">
        <f>AB686+O686*Escenarios!$F$13/Escenarios!$F$16+AE686</f>
        <v>0.13147850327763816</v>
      </c>
      <c r="AG686" s="76">
        <f>IF(Entradas!$F$91&gt;0,IF(AF686-Escenarios!$F$38&lt;=0,0,IF(AF686-Escenarios!$F$38&gt;Escenarios!$F$37,Escenarios!$F$37,AF686-Escenarios!$F$38)),0)</f>
        <v>0</v>
      </c>
      <c r="AH686" s="76">
        <f>AG686*Entradas!$F$99</f>
        <v>0</v>
      </c>
      <c r="AI686" s="76">
        <f>IF(Entradas!$F$91&gt;0,D686*Entradas!$D$23/Escenarios!$F$16,0)</f>
        <v>0.21174194785425071</v>
      </c>
      <c r="AJ686" s="76">
        <f>IF(Entradas!$F$91&gt;0,Entradas!$D$24*Entradas!$D$22/Escenarios!$F$16,0)</f>
        <v>0.12</v>
      </c>
      <c r="AK686" s="76">
        <f t="shared" si="142"/>
        <v>0.22645797221227235</v>
      </c>
      <c r="AL686" s="76">
        <f t="shared" si="143"/>
        <v>0</v>
      </c>
      <c r="AM686" s="76">
        <f t="shared" si="144"/>
        <v>0</v>
      </c>
      <c r="AN686" s="76">
        <f>MAX(0,O686*Escenarios!$F$13/Escenarios!$F$16-AM686)</f>
        <v>9.0860115305933944E-5</v>
      </c>
      <c r="AO686" s="76">
        <f>AM686+AN686-O686*Escenarios!$F$13/Escenarios!$F$16</f>
        <v>0</v>
      </c>
      <c r="AP686" s="76">
        <f t="shared" si="145"/>
        <v>0.13138764316233223</v>
      </c>
      <c r="AQ686" s="76">
        <f t="shared" si="146"/>
        <v>0</v>
      </c>
      <c r="AR686" s="76">
        <f t="shared" si="147"/>
        <v>0.13147850327763816</v>
      </c>
      <c r="AS686" s="76">
        <f t="shared" si="148"/>
        <v>0</v>
      </c>
      <c r="AT686" s="76">
        <f t="shared" si="149"/>
        <v>0</v>
      </c>
      <c r="AU686" s="76">
        <f t="shared" si="150"/>
        <v>49.193279907398178</v>
      </c>
      <c r="AV686" s="76">
        <f>MAX(0,(AU686-Constantes!$D$13)*(1-EXP(-Constantes!$D$24)))</f>
        <v>6.7756429037836036E-3</v>
      </c>
      <c r="AW686" s="170">
        <f>AW685+(Entradas!$F$112*AT686-AX685)/(800*Entradas!$D$25)</f>
        <v>0</v>
      </c>
      <c r="AX686" s="170">
        <f>8000*Entradas!$D$26*AW686/Constantes!$F$45</f>
        <v>0</v>
      </c>
      <c r="AY686" s="170">
        <f>IF(Escenarios!$F$17&gt;0,10*Escenarios!$F$16*AL686,0)</f>
        <v>0</v>
      </c>
      <c r="AZ686" s="170">
        <f>IF(Escenarios!$F$17&gt;0,10*Escenarios!$F$16*AX686,0)</f>
        <v>0</v>
      </c>
      <c r="BA686" s="170">
        <f>IF(Escenarios!$F$17&gt;0,0.001*Observaciones!$F685*Escenarios!$F$17,0)</f>
        <v>0</v>
      </c>
      <c r="BB686" s="170">
        <f>IF(Escenarios!$F$17&gt;0,Observaciones!$K685,0)</f>
        <v>0</v>
      </c>
      <c r="BC686" s="170">
        <f>IF(Escenarios!$F$17&gt;0,MIN(0.0005*ETo!$M685*Escenarios!$F$17*(BG685/Constantes!$F$40)^(2/3),BG685+AY686+AZ686+BA686+BB686),0)</f>
        <v>0</v>
      </c>
      <c r="BD686" s="170">
        <f>IF(Escenarios!$F$17&gt;0,MIN(Constantes!$F$39*(BG685/Constantes!$F$40)^(2/3),BG685+AY686+AZ686+BA686+BB686-BC686),0)</f>
        <v>0</v>
      </c>
      <c r="BE686" s="170">
        <f>IF(Escenarios!$F$17&gt;0,MIN(Entradas!$F$113,BG685+AY686+AZ686+BA686+BB686-BC686-BD686),0)</f>
        <v>0</v>
      </c>
      <c r="BF686" s="170">
        <f>IF(Escenarios!$F$17&gt;0,MAX(0,BG685+AY686+AZ686+BA686+BB686-BC686-BD686-BE686-Constantes!$F$40),0)</f>
        <v>0</v>
      </c>
      <c r="BG686" s="170">
        <f t="shared" si="151"/>
        <v>0</v>
      </c>
      <c r="BH686" s="170">
        <f>(Escenarios!$F$16*AK686+0.1*BC686)/(Escenarios!$F$19)</f>
        <v>0.22645797221227235</v>
      </c>
      <c r="BI686" s="170">
        <f>IF(Escenarios!$F$17&gt;0,BF686/10/Escenarios!$F$19,AL686)</f>
        <v>0</v>
      </c>
      <c r="BJ686" s="170">
        <f>(Escenarios!$F$16*AT686+0.1*BD686)/(Escenarios!$F$19)</f>
        <v>0</v>
      </c>
      <c r="BK686" s="76">
        <f>BK685+(0.1*BD686)/(Escenarios!$F$19)-BL685</f>
        <v>48.75</v>
      </c>
      <c r="BL686" s="76">
        <f>MAX(0,(BK686-Constantes!$D$13)*(1-EXP(-Constantes!$D$23)))</f>
        <v>0</v>
      </c>
      <c r="BM686" s="76">
        <f t="shared" si="152"/>
        <v>0.13816328606611583</v>
      </c>
      <c r="BN686" s="76">
        <f t="shared" si="153"/>
        <v>0.13825414618142176</v>
      </c>
      <c r="BO686" s="76">
        <f>0.0526*BI686*Observaciones!$F685^1.218</f>
        <v>0</v>
      </c>
      <c r="BP686" s="76">
        <f>BO686*Constantes!$F$51</f>
        <v>0</v>
      </c>
      <c r="BQ686" s="76">
        <f t="shared" si="154"/>
        <v>0</v>
      </c>
      <c r="BR686" s="40"/>
    </row>
    <row r="687" spans="2:70">
      <c r="B687" s="39"/>
      <c r="C687" s="75">
        <v>681</v>
      </c>
      <c r="D687" s="146">
        <f>ETo!$I686*((1-Constantes!$F$19)*ETo!$K686+ETo!$L686)</f>
        <v>4.5384698248119335</v>
      </c>
      <c r="E687" s="76">
        <f>MIN(D687*Constantes!$F$17,0.8*(N686+Observaciones!$F686-F687-M687-Constantes!$D$14))</f>
        <v>2.4248738382112835E-3</v>
      </c>
      <c r="F687" s="76">
        <f>IF(Observaciones!$F686&gt;0.05*Constantes!$F$18,((Observaciones!$F686-0.05*Constantes!$F$18)^2)/(Observaciones!$F686+0.95*Constantes!$F$18),0)</f>
        <v>0</v>
      </c>
      <c r="G687" s="76">
        <f>IF(Escenarios!$F$11&gt;0,(F687*Escenarios!$F$16*10000)/1000,0)</f>
        <v>0</v>
      </c>
      <c r="H687" s="76">
        <f>IF(Escenarios!$F$11&gt;0,(Observaciones!$F686*Constantes!$F$29)/1000,0)</f>
        <v>0</v>
      </c>
      <c r="I687" s="76">
        <f>IF(Escenarios!$F$11&gt;0,(D687*Constantes!$F$29)/1000,0)</f>
        <v>0</v>
      </c>
      <c r="J687" s="76">
        <f>IF(Escenarios!$F$11&gt;0,MAX(0,G687+H687-I687),0)</f>
        <v>0</v>
      </c>
      <c r="K687" s="76">
        <f>IF(Escenarios!$F$11&gt;0,IF(J687&gt;Constantes!$F$30,1000*((J687-Constantes!$F$30)/(Escenarios!$F$16*10000)),0),F687)</f>
        <v>0</v>
      </c>
      <c r="L687" s="76">
        <f>IF(Escenarios!$F$11&gt;0,I687*1000/Escenarios!$F$16/10000+E687,E687)</f>
        <v>2.4248738382112835E-3</v>
      </c>
      <c r="M687" s="76">
        <f>MAX(0,N686+Observaciones!$F686-K687-Constantes!$D$13)</f>
        <v>0</v>
      </c>
      <c r="N687" s="76">
        <f>N686+Observaciones!$F686-K687-L687-M687-O686</f>
        <v>11.250502968328522</v>
      </c>
      <c r="O687" s="76">
        <f>MAX(0,(N687-Constantes!$D$14)*(1-EXP(-Constantes!$D$22)))</f>
        <v>1.7132947704002379E-5</v>
      </c>
      <c r="P687" s="170">
        <f>P686+(Entradas!$F$83*M687-Q686)/(800*Entradas!$D$25)</f>
        <v>0</v>
      </c>
      <c r="Q687" s="170">
        <f>8000*Entradas!$D$26*P687/Constantes!$F$45</f>
        <v>0</v>
      </c>
      <c r="R687" s="170">
        <f>IF(Escenarios!$F$14&gt;0,K687*Escenarios!$F$13/Escenarios!$F$14,0)</f>
        <v>0</v>
      </c>
      <c r="S687" s="170">
        <f>IF(Escenarios!$F$14&gt;0,Q687*Escenarios!$F$13/Escenarios!$F$14,0)</f>
        <v>0</v>
      </c>
      <c r="T687" s="170">
        <f>IF(Escenarios!$F$14&gt;0,Observaciones!$I686,0)</f>
        <v>0</v>
      </c>
      <c r="U687" s="170">
        <f>IF(Escenarios!$F$14&gt;0,MAX(0,Constantes!$F$36/((Z686+R687+S687+T687+Observaciones!$F686)^2)+Entradas!$F$77),0)</f>
        <v>0</v>
      </c>
      <c r="V687" s="146">
        <f>IF(ETo!D686&gt;0,ETo!I686*((1-Entradas!$F$81)*ETo!K686+ETo!L686),0)</f>
        <v>4.0343653562697508</v>
      </c>
      <c r="W687" s="170">
        <f>IF(Escenarios!$F$14&gt;0,MIN(V687*1,0.8*(Z686+R687+S687+T687+Observaciones!$F686-U687-Constantes!$F$35)),0)</f>
        <v>3.0938983515397924E-3</v>
      </c>
      <c r="X687" s="170">
        <f>IF(Escenarios!$F$14&gt;0,Observaciones!$J686,0)</f>
        <v>0</v>
      </c>
      <c r="Y687" s="170">
        <f>IF(Escenarios!$F$14&gt;0,MAX(0,Z686+R687+S687+T687+Observaciones!$F686-U687-W687-X687-Constantes!$F$33),0)</f>
        <v>0</v>
      </c>
      <c r="Z687" s="170">
        <f>Z686+R687+S687+T687+Observaciones!$F686-U687-W687-Y687</f>
        <v>41.250773474587888</v>
      </c>
      <c r="AA687" s="170">
        <f>IF(Escenarios!$F$14&gt;0,(Escenarios!$F$13*L687+Escenarios!$F$14*W687)/(Escenarios!$F$16),L687)</f>
        <v>2.5051567798107044E-3</v>
      </c>
      <c r="AB687" s="170">
        <f>IF(Escenarios!$F$14&gt;0,(Escenarios!$F$14*Y687)/(Escenarios!$F$16),K687)</f>
        <v>0</v>
      </c>
      <c r="AC687" s="170">
        <f>IF(Escenarios!$F$14&gt;0,(Escenarios!$F$13*M687+Escenarios!$F$14*U687)/(Escenarios!$F$16),M687)</f>
        <v>0</v>
      </c>
      <c r="AD687" s="76">
        <f t="shared" si="141"/>
        <v>61.953075681775374</v>
      </c>
      <c r="AE687" s="76">
        <f>MAX(0,(AD687-Constantes!$D$13)*(1-EXP(-Constantes!$D$23)))</f>
        <v>0.13009304942015526</v>
      </c>
      <c r="AF687" s="76">
        <f>AB687+O687*Escenarios!$F$13/Escenarios!$F$16+AE687</f>
        <v>0.13010812641413477</v>
      </c>
      <c r="AG687" s="76">
        <f>IF(Entradas!$F$91&gt;0,IF(AF687-Escenarios!$F$38&lt;=0,0,IF(AF687-Escenarios!$F$38&gt;Escenarios!$F$37,Escenarios!$F$37,AF687-Escenarios!$F$38)),0)</f>
        <v>0</v>
      </c>
      <c r="AH687" s="76">
        <f>AG687*Entradas!$F$99</f>
        <v>0</v>
      </c>
      <c r="AI687" s="76">
        <f>IF(Entradas!$F$91&gt;0,D687*Entradas!$D$23/Escenarios!$F$16,0)</f>
        <v>0.2178465515909728</v>
      </c>
      <c r="AJ687" s="76">
        <f>IF(Entradas!$F$91&gt;0,Entradas!$D$24*Entradas!$D$22/Escenarios!$F$16,0)</f>
        <v>0.12</v>
      </c>
      <c r="AK687" s="76">
        <f t="shared" si="142"/>
        <v>0.22035170837078349</v>
      </c>
      <c r="AL687" s="76">
        <f t="shared" si="143"/>
        <v>0</v>
      </c>
      <c r="AM687" s="76">
        <f t="shared" si="144"/>
        <v>0</v>
      </c>
      <c r="AN687" s="76">
        <f>MAX(0,O687*Escenarios!$F$13/Escenarios!$F$16-AM687)</f>
        <v>1.5076993979522094E-5</v>
      </c>
      <c r="AO687" s="76">
        <f>AM687+AN687-O687*Escenarios!$F$13/Escenarios!$F$16</f>
        <v>0</v>
      </c>
      <c r="AP687" s="76">
        <f t="shared" si="145"/>
        <v>0.13009304942015526</v>
      </c>
      <c r="AQ687" s="76">
        <f t="shared" si="146"/>
        <v>0</v>
      </c>
      <c r="AR687" s="76">
        <f t="shared" si="147"/>
        <v>0.13010812641413477</v>
      </c>
      <c r="AS687" s="76">
        <f t="shared" si="148"/>
        <v>0</v>
      </c>
      <c r="AT687" s="76">
        <f t="shared" si="149"/>
        <v>0</v>
      </c>
      <c r="AU687" s="76">
        <f t="shared" si="150"/>
        <v>49.186504264494395</v>
      </c>
      <c r="AV687" s="76">
        <f>MAX(0,(AU687-Constantes!$D$13)*(1-EXP(-Constantes!$D$24)))</f>
        <v>6.6720755279712149E-3</v>
      </c>
      <c r="AW687" s="170">
        <f>AW686+(Entradas!$F$112*AT687-AX686)/(800*Entradas!$D$25)</f>
        <v>0</v>
      </c>
      <c r="AX687" s="170">
        <f>8000*Entradas!$D$26*AW687/Constantes!$F$45</f>
        <v>0</v>
      </c>
      <c r="AY687" s="170">
        <f>IF(Escenarios!$F$17&gt;0,10*Escenarios!$F$16*AL687,0)</f>
        <v>0</v>
      </c>
      <c r="AZ687" s="170">
        <f>IF(Escenarios!$F$17&gt;0,10*Escenarios!$F$16*AX687,0)</f>
        <v>0</v>
      </c>
      <c r="BA687" s="170">
        <f>IF(Escenarios!$F$17&gt;0,0.001*Observaciones!$F686*Escenarios!$F$17,0)</f>
        <v>0</v>
      </c>
      <c r="BB687" s="170">
        <f>IF(Escenarios!$F$17&gt;0,Observaciones!$K686,0)</f>
        <v>0</v>
      </c>
      <c r="BC687" s="170">
        <f>IF(Escenarios!$F$17&gt;0,MIN(0.0005*ETo!$M686*Escenarios!$F$17*(BG686/Constantes!$F$40)^(2/3),BG686+AY687+AZ687+BA687+BB687),0)</f>
        <v>0</v>
      </c>
      <c r="BD687" s="170">
        <f>IF(Escenarios!$F$17&gt;0,MIN(Constantes!$F$39*(BG686/Constantes!$F$40)^(2/3),BG686+AY687+AZ687+BA687+BB687-BC687),0)</f>
        <v>0</v>
      </c>
      <c r="BE687" s="170">
        <f>IF(Escenarios!$F$17&gt;0,MIN(Entradas!$F$113,BG686+AY687+AZ687+BA687+BB687-BC687-BD687),0)</f>
        <v>0</v>
      </c>
      <c r="BF687" s="170">
        <f>IF(Escenarios!$F$17&gt;0,MAX(0,BG686+AY687+AZ687+BA687+BB687-BC687-BD687-BE687-Constantes!$F$40),0)</f>
        <v>0</v>
      </c>
      <c r="BG687" s="170">
        <f t="shared" si="151"/>
        <v>0</v>
      </c>
      <c r="BH687" s="170">
        <f>(Escenarios!$F$16*AK687+0.1*BC687)/(Escenarios!$F$19)</f>
        <v>0.22035170837078349</v>
      </c>
      <c r="BI687" s="170">
        <f>IF(Escenarios!$F$17&gt;0,BF687/10/Escenarios!$F$19,AL687)</f>
        <v>0</v>
      </c>
      <c r="BJ687" s="170">
        <f>(Escenarios!$F$16*AT687+0.1*BD687)/(Escenarios!$F$19)</f>
        <v>0</v>
      </c>
      <c r="BK687" s="76">
        <f>BK686+(0.1*BD687)/(Escenarios!$F$19)-BL686</f>
        <v>48.75</v>
      </c>
      <c r="BL687" s="76">
        <f>MAX(0,(BK687-Constantes!$D$13)*(1-EXP(-Constantes!$D$23)))</f>
        <v>0</v>
      </c>
      <c r="BM687" s="76">
        <f t="shared" si="152"/>
        <v>0.13676512494812648</v>
      </c>
      <c r="BN687" s="76">
        <f t="shared" si="153"/>
        <v>0.13678020194210599</v>
      </c>
      <c r="BO687" s="76">
        <f>0.0526*BI687*Observaciones!$F686^1.218</f>
        <v>0</v>
      </c>
      <c r="BP687" s="76">
        <f>BO687*Constantes!$F$51</f>
        <v>0</v>
      </c>
      <c r="BQ687" s="76">
        <f t="shared" si="154"/>
        <v>0</v>
      </c>
      <c r="BR687" s="40"/>
    </row>
    <row r="688" spans="2:70">
      <c r="B688" s="39"/>
      <c r="C688" s="75">
        <v>682</v>
      </c>
      <c r="D688" s="146">
        <f>ETo!$I687*((1-Constantes!$F$19)*ETo!$K687+ETo!$L687)</f>
        <v>4.6747276040912551</v>
      </c>
      <c r="E688" s="76">
        <f>MIN(D688*Constantes!$F$17,0.8*(N687+Observaciones!$F687-F688-M688-Constantes!$D$14))</f>
        <v>1.9204023746628183</v>
      </c>
      <c r="F688" s="76">
        <f>IF(Observaciones!$F687&gt;0.05*Constantes!$F$18,((Observaciones!$F687-0.05*Constantes!$F$18)^2)/(Observaciones!$F687+0.95*Constantes!$F$18),0)</f>
        <v>0</v>
      </c>
      <c r="G688" s="76">
        <f>IF(Escenarios!$F$11&gt;0,(F688*Escenarios!$F$16*10000)/1000,0)</f>
        <v>0</v>
      </c>
      <c r="H688" s="76">
        <f>IF(Escenarios!$F$11&gt;0,(Observaciones!$F687*Constantes!$F$29)/1000,0)</f>
        <v>0</v>
      </c>
      <c r="I688" s="76">
        <f>IF(Escenarios!$F$11&gt;0,(D688*Constantes!$F$29)/1000,0)</f>
        <v>0</v>
      </c>
      <c r="J688" s="76">
        <f>IF(Escenarios!$F$11&gt;0,MAX(0,G688+H688-I688),0)</f>
        <v>0</v>
      </c>
      <c r="K688" s="76">
        <f>IF(Escenarios!$F$11&gt;0,IF(J688&gt;Constantes!$F$30,1000*((J688-Constantes!$F$30)/(Escenarios!$F$16*10000)),0),F688)</f>
        <v>0</v>
      </c>
      <c r="L688" s="76">
        <f>IF(Escenarios!$F$11&gt;0,I688*1000/Escenarios!$F$16/10000+E688,E688)</f>
        <v>1.9204023746628183</v>
      </c>
      <c r="M688" s="76">
        <f>MAX(0,N687+Observaciones!$F687-K688-Constantes!$D$13)</f>
        <v>0</v>
      </c>
      <c r="N688" s="76">
        <f>N687+Observaciones!$F687-K688-L688-M688-O687</f>
        <v>11.730083460717999</v>
      </c>
      <c r="O688" s="76">
        <f>MAX(0,(N688-Constantes!$D$14)*(1-EXP(-Constantes!$D$22)))</f>
        <v>1.6353405094519737E-2</v>
      </c>
      <c r="P688" s="170">
        <f>P687+(Entradas!$F$83*M688-Q687)/(800*Entradas!$D$25)</f>
        <v>0</v>
      </c>
      <c r="Q688" s="170">
        <f>8000*Entradas!$D$26*P688/Constantes!$F$45</f>
        <v>0</v>
      </c>
      <c r="R688" s="170">
        <f>IF(Escenarios!$F$14&gt;0,K688*Escenarios!$F$13/Escenarios!$F$14,0)</f>
        <v>0</v>
      </c>
      <c r="S688" s="170">
        <f>IF(Escenarios!$F$14&gt;0,Q688*Escenarios!$F$13/Escenarios!$F$14,0)</f>
        <v>0</v>
      </c>
      <c r="T688" s="170">
        <f>IF(Escenarios!$F$14&gt;0,Observaciones!$I687,0)</f>
        <v>0</v>
      </c>
      <c r="U688" s="170">
        <f>IF(Escenarios!$F$14&gt;0,MAX(0,Constantes!$F$36/((Z687+R688+S688+T688+Observaciones!$F687)^2)+Entradas!$F$77),0)</f>
        <v>0</v>
      </c>
      <c r="V688" s="146">
        <f>IF(ETo!D687&gt;0,ETo!I687*((1-Entradas!$F$81)*ETo!K687+ETo!L687),0)</f>
        <v>4.1578236634085668</v>
      </c>
      <c r="W688" s="170">
        <f>IF(Escenarios!$F$14&gt;0,MIN(V688*1,0.8*(Z687+R688+S688+T688+Observaciones!$F687-U688-Constantes!$F$35)),0)</f>
        <v>1.9206187796703091</v>
      </c>
      <c r="X688" s="170">
        <f>IF(Escenarios!$F$14&gt;0,Observaciones!$J687,0)</f>
        <v>0</v>
      </c>
      <c r="Y688" s="170">
        <f>IF(Escenarios!$F$14&gt;0,MAX(0,Z687+R688+S688+T688+Observaciones!$F687-U688-W688-X688-Constantes!$F$33),0)</f>
        <v>0</v>
      </c>
      <c r="Z688" s="170">
        <f>Z687+R688+S688+T688+Observaciones!$F687-U688-W688-Y688</f>
        <v>41.73015469491758</v>
      </c>
      <c r="AA688" s="170">
        <f>IF(Escenarios!$F$14&gt;0,(Escenarios!$F$13*L688+Escenarios!$F$14*W688)/(Escenarios!$F$16),L688)</f>
        <v>1.920428343263717</v>
      </c>
      <c r="AB688" s="170">
        <f>IF(Escenarios!$F$14&gt;0,(Escenarios!$F$14*Y688)/(Escenarios!$F$16),K688)</f>
        <v>0</v>
      </c>
      <c r="AC688" s="170">
        <f>IF(Escenarios!$F$14&gt;0,(Escenarios!$F$13*M688+Escenarios!$F$14*U688)/(Escenarios!$F$16),M688)</f>
        <v>0</v>
      </c>
      <c r="AD688" s="76">
        <f t="shared" si="141"/>
        <v>61.82298263235522</v>
      </c>
      <c r="AE688" s="76">
        <f>MAX(0,(AD688-Constantes!$D$13)*(1-EXP(-Constantes!$D$23)))</f>
        <v>0.1288112116184682</v>
      </c>
      <c r="AF688" s="76">
        <f>AB688+O688*Escenarios!$F$13/Escenarios!$F$16+AE688</f>
        <v>0.14320220810164558</v>
      </c>
      <c r="AG688" s="76">
        <f>IF(Entradas!$F$91&gt;0,IF(AF688-Escenarios!$F$38&lt;=0,0,IF(AF688-Escenarios!$F$38&gt;Escenarios!$F$37,Escenarios!$F$37,AF688-Escenarios!$F$38)),0)</f>
        <v>0</v>
      </c>
      <c r="AH688" s="76">
        <f>AG688*Entradas!$F$99</f>
        <v>0</v>
      </c>
      <c r="AI688" s="76">
        <f>IF(Entradas!$F$91&gt;0,D688*Entradas!$D$23/Escenarios!$F$16,0)</f>
        <v>0.22438692499638024</v>
      </c>
      <c r="AJ688" s="76">
        <f>IF(Entradas!$F$91&gt;0,Entradas!$D$24*Entradas!$D$22/Escenarios!$F$16,0)</f>
        <v>0.12</v>
      </c>
      <c r="AK688" s="76">
        <f t="shared" si="142"/>
        <v>2.1448152682600972</v>
      </c>
      <c r="AL688" s="76">
        <f t="shared" si="143"/>
        <v>0</v>
      </c>
      <c r="AM688" s="76">
        <f t="shared" si="144"/>
        <v>0</v>
      </c>
      <c r="AN688" s="76">
        <f>MAX(0,O688*Escenarios!$F$13/Escenarios!$F$16-AM688)</f>
        <v>1.4390996483177369E-2</v>
      </c>
      <c r="AO688" s="76">
        <f>AM688+AN688-O688*Escenarios!$F$13/Escenarios!$F$16</f>
        <v>0</v>
      </c>
      <c r="AP688" s="76">
        <f t="shared" si="145"/>
        <v>0.1288112116184682</v>
      </c>
      <c r="AQ688" s="76">
        <f t="shared" si="146"/>
        <v>0</v>
      </c>
      <c r="AR688" s="76">
        <f t="shared" si="147"/>
        <v>0.14320220810164558</v>
      </c>
      <c r="AS688" s="76">
        <f t="shared" si="148"/>
        <v>0</v>
      </c>
      <c r="AT688" s="76">
        <f t="shared" si="149"/>
        <v>0</v>
      </c>
      <c r="AU688" s="76">
        <f t="shared" si="150"/>
        <v>49.179832188966422</v>
      </c>
      <c r="AV688" s="76">
        <f>MAX(0,(AU688-Constantes!$D$13)*(1-EXP(-Constantes!$D$24)))</f>
        <v>6.5700912050860091E-3</v>
      </c>
      <c r="AW688" s="170">
        <f>AW687+(Entradas!$F$112*AT688-AX687)/(800*Entradas!$D$25)</f>
        <v>0</v>
      </c>
      <c r="AX688" s="170">
        <f>8000*Entradas!$D$26*AW688/Constantes!$F$45</f>
        <v>0</v>
      </c>
      <c r="AY688" s="170">
        <f>IF(Escenarios!$F$17&gt;0,10*Escenarios!$F$16*AL688,0)</f>
        <v>0</v>
      </c>
      <c r="AZ688" s="170">
        <f>IF(Escenarios!$F$17&gt;0,10*Escenarios!$F$16*AX688,0)</f>
        <v>0</v>
      </c>
      <c r="BA688" s="170">
        <f>IF(Escenarios!$F$17&gt;0,0.001*Observaciones!$F687*Escenarios!$F$17,0)</f>
        <v>0</v>
      </c>
      <c r="BB688" s="170">
        <f>IF(Escenarios!$F$17&gt;0,Observaciones!$K687,0)</f>
        <v>0</v>
      </c>
      <c r="BC688" s="170">
        <f>IF(Escenarios!$F$17&gt;0,MIN(0.0005*ETo!$M687*Escenarios!$F$17*(BG687/Constantes!$F$40)^(2/3),BG687+AY688+AZ688+BA688+BB688),0)</f>
        <v>0</v>
      </c>
      <c r="BD688" s="170">
        <f>IF(Escenarios!$F$17&gt;0,MIN(Constantes!$F$39*(BG687/Constantes!$F$40)^(2/3),BG687+AY688+AZ688+BA688+BB688-BC688),0)</f>
        <v>0</v>
      </c>
      <c r="BE688" s="170">
        <f>IF(Escenarios!$F$17&gt;0,MIN(Entradas!$F$113,BG687+AY688+AZ688+BA688+BB688-BC688-BD688),0)</f>
        <v>0</v>
      </c>
      <c r="BF688" s="170">
        <f>IF(Escenarios!$F$17&gt;0,MAX(0,BG687+AY688+AZ688+BA688+BB688-BC688-BD688-BE688-Constantes!$F$40),0)</f>
        <v>0</v>
      </c>
      <c r="BG688" s="170">
        <f t="shared" si="151"/>
        <v>0</v>
      </c>
      <c r="BH688" s="170">
        <f>(Escenarios!$F$16*AK688+0.1*BC688)/(Escenarios!$F$19)</f>
        <v>2.1448152682600972</v>
      </c>
      <c r="BI688" s="170">
        <f>IF(Escenarios!$F$17&gt;0,BF688/10/Escenarios!$F$19,AL688)</f>
        <v>0</v>
      </c>
      <c r="BJ688" s="170">
        <f>(Escenarios!$F$16*AT688+0.1*BD688)/(Escenarios!$F$19)</f>
        <v>0</v>
      </c>
      <c r="BK688" s="76">
        <f>BK687+(0.1*BD688)/(Escenarios!$F$19)-BL687</f>
        <v>48.75</v>
      </c>
      <c r="BL688" s="76">
        <f>MAX(0,(BK688-Constantes!$D$13)*(1-EXP(-Constantes!$D$23)))</f>
        <v>0</v>
      </c>
      <c r="BM688" s="76">
        <f t="shared" si="152"/>
        <v>0.13538130282355421</v>
      </c>
      <c r="BN688" s="76">
        <f t="shared" si="153"/>
        <v>0.14977229930673158</v>
      </c>
      <c r="BO688" s="76">
        <f>0.0526*BI688*Observaciones!$F687^1.218</f>
        <v>0</v>
      </c>
      <c r="BP688" s="76">
        <f>BO688*Constantes!$F$51</f>
        <v>0</v>
      </c>
      <c r="BQ688" s="76">
        <f t="shared" si="154"/>
        <v>0</v>
      </c>
      <c r="BR688" s="40"/>
    </row>
    <row r="689" spans="2:70">
      <c r="B689" s="39"/>
      <c r="C689" s="75">
        <v>683</v>
      </c>
      <c r="D689" s="146">
        <f>ETo!$I688*((1-Constantes!$F$19)*ETo!$K688+ETo!$L688)</f>
        <v>4.6625743452739954</v>
      </c>
      <c r="E689" s="76">
        <f>MIN(D689*Constantes!$F$17,0.8*(N688+Observaciones!$F688-F689-M689-Constantes!$D$14))</f>
        <v>0.86406676857439924</v>
      </c>
      <c r="F689" s="76">
        <f>IF(Observaciones!$F688&gt;0.05*Constantes!$F$18,((Observaciones!$F688-0.05*Constantes!$F$18)^2)/(Observaciones!$F688+0.95*Constantes!$F$18),0)</f>
        <v>0</v>
      </c>
      <c r="G689" s="76">
        <f>IF(Escenarios!$F$11&gt;0,(F689*Escenarios!$F$16*10000)/1000,0)</f>
        <v>0</v>
      </c>
      <c r="H689" s="76">
        <f>IF(Escenarios!$F$11&gt;0,(Observaciones!$F688*Constantes!$F$29)/1000,0)</f>
        <v>0</v>
      </c>
      <c r="I689" s="76">
        <f>IF(Escenarios!$F$11&gt;0,(D689*Constantes!$F$29)/1000,0)</f>
        <v>0</v>
      </c>
      <c r="J689" s="76">
        <f>IF(Escenarios!$F$11&gt;0,MAX(0,G689+H689-I689),0)</f>
        <v>0</v>
      </c>
      <c r="K689" s="76">
        <f>IF(Escenarios!$F$11&gt;0,IF(J689&gt;Constantes!$F$30,1000*((J689-Constantes!$F$30)/(Escenarios!$F$16*10000)),0),F689)</f>
        <v>0</v>
      </c>
      <c r="L689" s="76">
        <f>IF(Escenarios!$F$11&gt;0,I689*1000/Escenarios!$F$16/10000+E689,E689)</f>
        <v>0.86406676857439924</v>
      </c>
      <c r="M689" s="76">
        <f>MAX(0,N688+Observaciones!$F688-K689-Constantes!$D$13)</f>
        <v>0</v>
      </c>
      <c r="N689" s="76">
        <f>N688+Observaciones!$F688-K689-L689-M689-O688</f>
        <v>11.449663287049079</v>
      </c>
      <c r="O689" s="76">
        <f>MAX(0,(N689-Constantes!$D$14)*(1-EXP(-Constantes!$D$22)))</f>
        <v>6.8012645358239586E-3</v>
      </c>
      <c r="P689" s="170">
        <f>P688+(Entradas!$F$83*M689-Q688)/(800*Entradas!$D$25)</f>
        <v>0</v>
      </c>
      <c r="Q689" s="170">
        <f>8000*Entradas!$D$26*P689/Constantes!$F$45</f>
        <v>0</v>
      </c>
      <c r="R689" s="170">
        <f>IF(Escenarios!$F$14&gt;0,K689*Escenarios!$F$13/Escenarios!$F$14,0)</f>
        <v>0</v>
      </c>
      <c r="S689" s="170">
        <f>IF(Escenarios!$F$14&gt;0,Q689*Escenarios!$F$13/Escenarios!$F$14,0)</f>
        <v>0</v>
      </c>
      <c r="T689" s="170">
        <f>IF(Escenarios!$F$14&gt;0,Observaciones!$I688,0)</f>
        <v>0</v>
      </c>
      <c r="U689" s="170">
        <f>IF(Escenarios!$F$14&gt;0,MAX(0,Constantes!$F$36/((Z688+R689+S689+T689+Observaciones!$F688)^2)+Entradas!$F$77),0)</f>
        <v>0</v>
      </c>
      <c r="V689" s="146">
        <f>IF(ETo!D688&gt;0,ETo!I688*((1-Entradas!$F$81)*ETo!K688+ETo!L688),0)</f>
        <v>4.1468099240221052</v>
      </c>
      <c r="W689" s="170">
        <f>IF(Escenarios!$F$14&gt;0,MIN(V689*1,0.8*(Z688+R689+S689+T689+Observaciones!$F688-U689-Constantes!$F$35)),0)</f>
        <v>0.86412375593406532</v>
      </c>
      <c r="X689" s="170">
        <f>IF(Escenarios!$F$14&gt;0,Observaciones!$J688,0)</f>
        <v>0</v>
      </c>
      <c r="Y689" s="170">
        <f>IF(Escenarios!$F$14&gt;0,MAX(0,Z688+R689+S689+T689+Observaciones!$F688-U689-W689-X689-Constantes!$F$33),0)</f>
        <v>0</v>
      </c>
      <c r="Z689" s="170">
        <f>Z688+R689+S689+T689+Observaciones!$F688-U689-W689-Y689</f>
        <v>41.466030938983515</v>
      </c>
      <c r="AA689" s="170">
        <f>IF(Escenarios!$F$14&gt;0,(Escenarios!$F$13*L689+Escenarios!$F$14*W689)/(Escenarios!$F$16),L689)</f>
        <v>0.86407360705755909</v>
      </c>
      <c r="AB689" s="170">
        <f>IF(Escenarios!$F$14&gt;0,(Escenarios!$F$14*Y689)/(Escenarios!$F$16),K689)</f>
        <v>0</v>
      </c>
      <c r="AC689" s="170">
        <f>IF(Escenarios!$F$14&gt;0,(Escenarios!$F$13*M689+Escenarios!$F$14*U689)/(Escenarios!$F$16),M689)</f>
        <v>0</v>
      </c>
      <c r="AD689" s="76">
        <f t="shared" si="141"/>
        <v>61.694171420736751</v>
      </c>
      <c r="AE689" s="76">
        <f>MAX(0,(AD689-Constantes!$D$13)*(1-EXP(-Constantes!$D$23)))</f>
        <v>0.12754200406995111</v>
      </c>
      <c r="AF689" s="76">
        <f>AB689+O689*Escenarios!$F$13/Escenarios!$F$16+AE689</f>
        <v>0.1335271168614762</v>
      </c>
      <c r="AG689" s="76">
        <f>IF(Entradas!$F$91&gt;0,IF(AF689-Escenarios!$F$38&lt;=0,0,IF(AF689-Escenarios!$F$38&gt;Escenarios!$F$37,Escenarios!$F$37,AF689-Escenarios!$F$38)),0)</f>
        <v>0</v>
      </c>
      <c r="AH689" s="76">
        <f>AG689*Entradas!$F$99</f>
        <v>0</v>
      </c>
      <c r="AI689" s="76">
        <f>IF(Entradas!$F$91&gt;0,D689*Entradas!$D$23/Escenarios!$F$16,0)</f>
        <v>0.22380356857315178</v>
      </c>
      <c r="AJ689" s="76">
        <f>IF(Entradas!$F$91&gt;0,Entradas!$D$24*Entradas!$D$22/Escenarios!$F$16,0)</f>
        <v>0.12</v>
      </c>
      <c r="AK689" s="76">
        <f t="shared" si="142"/>
        <v>1.0878771756307108</v>
      </c>
      <c r="AL689" s="76">
        <f t="shared" si="143"/>
        <v>0</v>
      </c>
      <c r="AM689" s="76">
        <f t="shared" si="144"/>
        <v>0</v>
      </c>
      <c r="AN689" s="76">
        <f>MAX(0,O689*Escenarios!$F$13/Escenarios!$F$16-AM689)</f>
        <v>5.9851127915250841E-3</v>
      </c>
      <c r="AO689" s="76">
        <f>AM689+AN689-O689*Escenarios!$F$13/Escenarios!$F$16</f>
        <v>0</v>
      </c>
      <c r="AP689" s="76">
        <f t="shared" si="145"/>
        <v>0.12754200406995111</v>
      </c>
      <c r="AQ689" s="76">
        <f t="shared" si="146"/>
        <v>0</v>
      </c>
      <c r="AR689" s="76">
        <f t="shared" si="147"/>
        <v>0.1335271168614762</v>
      </c>
      <c r="AS689" s="76">
        <f t="shared" si="148"/>
        <v>0</v>
      </c>
      <c r="AT689" s="76">
        <f t="shared" si="149"/>
        <v>0</v>
      </c>
      <c r="AU689" s="76">
        <f t="shared" si="150"/>
        <v>49.173262097761338</v>
      </c>
      <c r="AV689" s="76">
        <f>MAX(0,(AU689-Constantes!$D$13)*(1-EXP(-Constantes!$D$24)))</f>
        <v>6.4696657377729741E-3</v>
      </c>
      <c r="AW689" s="170">
        <f>AW688+(Entradas!$F$112*AT689-AX688)/(800*Entradas!$D$25)</f>
        <v>0</v>
      </c>
      <c r="AX689" s="170">
        <f>8000*Entradas!$D$26*AW689/Constantes!$F$45</f>
        <v>0</v>
      </c>
      <c r="AY689" s="170">
        <f>IF(Escenarios!$F$17&gt;0,10*Escenarios!$F$16*AL689,0)</f>
        <v>0</v>
      </c>
      <c r="AZ689" s="170">
        <f>IF(Escenarios!$F$17&gt;0,10*Escenarios!$F$16*AX689,0)</f>
        <v>0</v>
      </c>
      <c r="BA689" s="170">
        <f>IF(Escenarios!$F$17&gt;0,0.001*Observaciones!$F688*Escenarios!$F$17,0)</f>
        <v>0</v>
      </c>
      <c r="BB689" s="170">
        <f>IF(Escenarios!$F$17&gt;0,Observaciones!$K688,0)</f>
        <v>0</v>
      </c>
      <c r="BC689" s="170">
        <f>IF(Escenarios!$F$17&gt;0,MIN(0.0005*ETo!$M688*Escenarios!$F$17*(BG688/Constantes!$F$40)^(2/3),BG688+AY689+AZ689+BA689+BB689),0)</f>
        <v>0</v>
      </c>
      <c r="BD689" s="170">
        <f>IF(Escenarios!$F$17&gt;0,MIN(Constantes!$F$39*(BG688/Constantes!$F$40)^(2/3),BG688+AY689+AZ689+BA689+BB689-BC689),0)</f>
        <v>0</v>
      </c>
      <c r="BE689" s="170">
        <f>IF(Escenarios!$F$17&gt;0,MIN(Entradas!$F$113,BG688+AY689+AZ689+BA689+BB689-BC689-BD689),0)</f>
        <v>0</v>
      </c>
      <c r="BF689" s="170">
        <f>IF(Escenarios!$F$17&gt;0,MAX(0,BG688+AY689+AZ689+BA689+BB689-BC689-BD689-BE689-Constantes!$F$40),0)</f>
        <v>0</v>
      </c>
      <c r="BG689" s="170">
        <f t="shared" si="151"/>
        <v>0</v>
      </c>
      <c r="BH689" s="170">
        <f>(Escenarios!$F$16*AK689+0.1*BC689)/(Escenarios!$F$19)</f>
        <v>1.0878771756307108</v>
      </c>
      <c r="BI689" s="170">
        <f>IF(Escenarios!$F$17&gt;0,BF689/10/Escenarios!$F$19,AL689)</f>
        <v>0</v>
      </c>
      <c r="BJ689" s="170">
        <f>(Escenarios!$F$16*AT689+0.1*BD689)/(Escenarios!$F$19)</f>
        <v>0</v>
      </c>
      <c r="BK689" s="76">
        <f>BK688+(0.1*BD689)/(Escenarios!$F$19)-BL688</f>
        <v>48.75</v>
      </c>
      <c r="BL689" s="76">
        <f>MAX(0,(BK689-Constantes!$D$13)*(1-EXP(-Constantes!$D$23)))</f>
        <v>0</v>
      </c>
      <c r="BM689" s="76">
        <f t="shared" si="152"/>
        <v>0.13401166980772408</v>
      </c>
      <c r="BN689" s="76">
        <f t="shared" si="153"/>
        <v>0.13999678259924916</v>
      </c>
      <c r="BO689" s="76">
        <f>0.0526*BI689*Observaciones!$F688^1.218</f>
        <v>0</v>
      </c>
      <c r="BP689" s="76">
        <f>BO689*Constantes!$F$51</f>
        <v>0</v>
      </c>
      <c r="BQ689" s="76">
        <f t="shared" si="154"/>
        <v>0</v>
      </c>
      <c r="BR689" s="40"/>
    </row>
    <row r="690" spans="2:70">
      <c r="B690" s="39"/>
      <c r="C690" s="75">
        <v>684</v>
      </c>
      <c r="D690" s="146">
        <f>ETo!$I689*((1-Constantes!$F$19)*ETo!$K689+ETo!$L689)</f>
        <v>4.6317290529791721</v>
      </c>
      <c r="E690" s="76">
        <f>MIN(D690*Constantes!$F$17,0.8*(N689+Observaciones!$F689-F690-M690-Constantes!$D$14))</f>
        <v>2.6415295369734331</v>
      </c>
      <c r="F690" s="76">
        <f>IF(Observaciones!$F689&gt;0.05*Constantes!$F$18,((Observaciones!$F689-0.05*Constantes!$F$18)^2)/(Observaciones!$F689+0.95*Constantes!$F$18),0)</f>
        <v>2.8681511308678784E-2</v>
      </c>
      <c r="G690" s="76">
        <f>IF(Escenarios!$F$11&gt;0,(F690*Escenarios!$F$16*10000)/1000,0)</f>
        <v>0</v>
      </c>
      <c r="H690" s="76">
        <f>IF(Escenarios!$F$11&gt;0,(Observaciones!$F689*Constantes!$F$29)/1000,0)</f>
        <v>0</v>
      </c>
      <c r="I690" s="76">
        <f>IF(Escenarios!$F$11&gt;0,(D690*Constantes!$F$29)/1000,0)</f>
        <v>0</v>
      </c>
      <c r="J690" s="76">
        <f>IF(Escenarios!$F$11&gt;0,MAX(0,G690+H690-I690),0)</f>
        <v>0</v>
      </c>
      <c r="K690" s="76">
        <f>IF(Escenarios!$F$11&gt;0,IF(J690&gt;Constantes!$F$30,1000*((J690-Constantes!$F$30)/(Escenarios!$F$16*10000)),0),F690)</f>
        <v>2.8681511308678784E-2</v>
      </c>
      <c r="L690" s="76">
        <f>IF(Escenarios!$F$11&gt;0,I690*1000/Escenarios!$F$16/10000+E690,E690)</f>
        <v>2.6415295369734331</v>
      </c>
      <c r="M690" s="76">
        <f>MAX(0,N689+Observaciones!$F689-K690-Constantes!$D$13)</f>
        <v>0</v>
      </c>
      <c r="N690" s="76">
        <f>N689+Observaciones!$F689-K690-L690-M690-O689</f>
        <v>22.272650974231141</v>
      </c>
      <c r="O690" s="76">
        <f>MAX(0,(N690-Constantes!$D$14)*(1-EXP(-Constantes!$D$22)))</f>
        <v>0.37547195716243975</v>
      </c>
      <c r="P690" s="170">
        <f>P689+(Entradas!$F$83*M690-Q689)/(800*Entradas!$D$25)</f>
        <v>0</v>
      </c>
      <c r="Q690" s="170">
        <f>8000*Entradas!$D$26*P690/Constantes!$F$45</f>
        <v>0</v>
      </c>
      <c r="R690" s="170">
        <f>IF(Escenarios!$F$14&gt;0,K690*Escenarios!$F$13/Escenarios!$F$14,0)</f>
        <v>0.21033108293031108</v>
      </c>
      <c r="S690" s="170">
        <f>IF(Escenarios!$F$14&gt;0,Q690*Escenarios!$F$13/Escenarios!$F$14,0)</f>
        <v>0</v>
      </c>
      <c r="T690" s="170">
        <f>IF(Escenarios!$F$14&gt;0,Observaciones!$I689,0)</f>
        <v>0</v>
      </c>
      <c r="U690" s="170">
        <f>IF(Escenarios!$F$14&gt;0,MAX(0,Constantes!$F$36/((Z689+R690+S690+T690+Observaciones!$F689)^2)+Entradas!$F$77),0)</f>
        <v>0</v>
      </c>
      <c r="V690" s="146">
        <f>IF(ETo!D689&gt;0,ETo!I689*((1-Entradas!$F$81)*ETo!K689+ETo!L689),0)</f>
        <v>4.1188509329123244</v>
      </c>
      <c r="W690" s="170">
        <f>IF(Escenarios!$F$14&gt;0,MIN(V690*1,0.8*(Z689+R690+S690+T690+Observaciones!$F689-U690-Constantes!$F$35)),0)</f>
        <v>4.1188509329123244</v>
      </c>
      <c r="X690" s="170">
        <f>IF(Escenarios!$F$14&gt;0,Observaciones!$J689,0)</f>
        <v>0</v>
      </c>
      <c r="Y690" s="170">
        <f>IF(Escenarios!$F$14&gt;0,MAX(0,Z689+R690+S690+T690+Observaciones!$F689-U690-W690-X690-Constantes!$F$33),0)</f>
        <v>0</v>
      </c>
      <c r="Z690" s="170">
        <f>Z689+R690+S690+T690+Observaciones!$F689-U690-W690-Y690</f>
        <v>51.057511089001501</v>
      </c>
      <c r="AA690" s="170">
        <f>IF(Escenarios!$F$14&gt;0,(Escenarios!$F$13*L690+Escenarios!$F$14*W690)/(Escenarios!$F$16),L690)</f>
        <v>2.8188081044861</v>
      </c>
      <c r="AB690" s="170">
        <f>IF(Escenarios!$F$14&gt;0,(Escenarios!$F$14*Y690)/(Escenarios!$F$16),K690)</f>
        <v>0</v>
      </c>
      <c r="AC690" s="170">
        <f>IF(Escenarios!$F$14&gt;0,(Escenarios!$F$13*M690+Escenarios!$F$14*U690)/(Escenarios!$F$16),M690)</f>
        <v>0</v>
      </c>
      <c r="AD690" s="76">
        <f t="shared" si="141"/>
        <v>61.5666294166668</v>
      </c>
      <c r="AE690" s="76">
        <f>MAX(0,(AD690-Constantes!$D$13)*(1-EXP(-Constantes!$D$23)))</f>
        <v>0.12628530232571128</v>
      </c>
      <c r="AF690" s="76">
        <f>AB690+O690*Escenarios!$F$13/Escenarios!$F$16+AE690</f>
        <v>0.45670062462865829</v>
      </c>
      <c r="AG690" s="76">
        <f>IF(Entradas!$F$91&gt;0,IF(AF690-Escenarios!$F$38&lt;=0,0,IF(AF690-Escenarios!$F$38&gt;Escenarios!$F$37,Escenarios!$F$37,AF690-Escenarios!$F$38)),0)</f>
        <v>0</v>
      </c>
      <c r="AH690" s="76">
        <f>AG690*Entradas!$F$99</f>
        <v>0</v>
      </c>
      <c r="AI690" s="76">
        <f>IF(Entradas!$F$91&gt;0,D690*Entradas!$D$23/Escenarios!$F$16,0)</f>
        <v>0.22232299454300028</v>
      </c>
      <c r="AJ690" s="76">
        <f>IF(Entradas!$F$91&gt;0,Entradas!$D$24*Entradas!$D$22/Escenarios!$F$16,0)</f>
        <v>0.12</v>
      </c>
      <c r="AK690" s="76">
        <f t="shared" si="142"/>
        <v>3.0411310990291001</v>
      </c>
      <c r="AL690" s="76">
        <f t="shared" si="143"/>
        <v>0</v>
      </c>
      <c r="AM690" s="76">
        <f t="shared" si="144"/>
        <v>0</v>
      </c>
      <c r="AN690" s="76">
        <f>MAX(0,O690*Escenarios!$F$13/Escenarios!$F$16-AM690)</f>
        <v>0.33041532230294701</v>
      </c>
      <c r="AO690" s="76">
        <f>AM690+AN690-O690*Escenarios!$F$13/Escenarios!$F$16</f>
        <v>0</v>
      </c>
      <c r="AP690" s="76">
        <f t="shared" si="145"/>
        <v>0.12628530232571128</v>
      </c>
      <c r="AQ690" s="76">
        <f t="shared" si="146"/>
        <v>0</v>
      </c>
      <c r="AR690" s="76">
        <f t="shared" si="147"/>
        <v>0.45670062462865829</v>
      </c>
      <c r="AS690" s="76">
        <f t="shared" si="148"/>
        <v>0</v>
      </c>
      <c r="AT690" s="76">
        <f t="shared" si="149"/>
        <v>0</v>
      </c>
      <c r="AU690" s="76">
        <f t="shared" si="150"/>
        <v>49.166792432023563</v>
      </c>
      <c r="AV690" s="76">
        <f>MAX(0,(AU690-Constantes!$D$13)*(1-EXP(-Constantes!$D$24)))</f>
        <v>6.3707752985394358E-3</v>
      </c>
      <c r="AW690" s="170">
        <f>AW689+(Entradas!$F$112*AT690-AX689)/(800*Entradas!$D$25)</f>
        <v>0</v>
      </c>
      <c r="AX690" s="170">
        <f>8000*Entradas!$D$26*AW690/Constantes!$F$45</f>
        <v>0</v>
      </c>
      <c r="AY690" s="170">
        <f>IF(Escenarios!$F$17&gt;0,10*Escenarios!$F$16*AL690,0)</f>
        <v>0</v>
      </c>
      <c r="AZ690" s="170">
        <f>IF(Escenarios!$F$17&gt;0,10*Escenarios!$F$16*AX690,0)</f>
        <v>0</v>
      </c>
      <c r="BA690" s="170">
        <f>IF(Escenarios!$F$17&gt;0,0.001*Observaciones!$F689*Escenarios!$F$17,0)</f>
        <v>0</v>
      </c>
      <c r="BB690" s="170">
        <f>IF(Escenarios!$F$17&gt;0,Observaciones!$K689,0)</f>
        <v>0</v>
      </c>
      <c r="BC690" s="170">
        <f>IF(Escenarios!$F$17&gt;0,MIN(0.0005*ETo!$M689*Escenarios!$F$17*(BG689/Constantes!$F$40)^(2/3),BG689+AY690+AZ690+BA690+BB690),0)</f>
        <v>0</v>
      </c>
      <c r="BD690" s="170">
        <f>IF(Escenarios!$F$17&gt;0,MIN(Constantes!$F$39*(BG689/Constantes!$F$40)^(2/3),BG689+AY690+AZ690+BA690+BB690-BC690),0)</f>
        <v>0</v>
      </c>
      <c r="BE690" s="170">
        <f>IF(Escenarios!$F$17&gt;0,MIN(Entradas!$F$113,BG689+AY690+AZ690+BA690+BB690-BC690-BD690),0)</f>
        <v>0</v>
      </c>
      <c r="BF690" s="170">
        <f>IF(Escenarios!$F$17&gt;0,MAX(0,BG689+AY690+AZ690+BA690+BB690-BC690-BD690-BE690-Constantes!$F$40),0)</f>
        <v>0</v>
      </c>
      <c r="BG690" s="170">
        <f t="shared" si="151"/>
        <v>0</v>
      </c>
      <c r="BH690" s="170">
        <f>(Escenarios!$F$16*AK690+0.1*BC690)/(Escenarios!$F$19)</f>
        <v>3.0411310990291001</v>
      </c>
      <c r="BI690" s="170">
        <f>IF(Escenarios!$F$17&gt;0,BF690/10/Escenarios!$F$19,AL690)</f>
        <v>0</v>
      </c>
      <c r="BJ690" s="170">
        <f>(Escenarios!$F$16*AT690+0.1*BD690)/(Escenarios!$F$19)</f>
        <v>0</v>
      </c>
      <c r="BK690" s="76">
        <f>BK689+(0.1*BD690)/(Escenarios!$F$19)-BL689</f>
        <v>48.75</v>
      </c>
      <c r="BL690" s="76">
        <f>MAX(0,(BK690-Constantes!$D$13)*(1-EXP(-Constantes!$D$23)))</f>
        <v>0</v>
      </c>
      <c r="BM690" s="76">
        <f t="shared" si="152"/>
        <v>0.13265607762425072</v>
      </c>
      <c r="BN690" s="76">
        <f t="shared" si="153"/>
        <v>0.4630713999271977</v>
      </c>
      <c r="BO690" s="76">
        <f>0.0526*BI690*Observaciones!$F689^1.218</f>
        <v>0</v>
      </c>
      <c r="BP690" s="76">
        <f>BO690*Constantes!$F$51</f>
        <v>0</v>
      </c>
      <c r="BQ690" s="76">
        <f t="shared" si="154"/>
        <v>0</v>
      </c>
      <c r="BR690" s="40"/>
    </row>
    <row r="691" spans="2:70">
      <c r="B691" s="39"/>
      <c r="C691" s="75">
        <v>685</v>
      </c>
      <c r="D691" s="146">
        <f>ETo!$I690*((1-Constantes!$F$19)*ETo!$K690+ETo!$L690)</f>
        <v>4.6053725788748689</v>
      </c>
      <c r="E691" s="76">
        <f>MIN(D691*Constantes!$F$17,0.8*(N690+Observaciones!$F690-F691-M691-Constantes!$D$14))</f>
        <v>2.6264981299026307</v>
      </c>
      <c r="F691" s="76">
        <f>IF(Observaciones!$F690&gt;0.05*Constantes!$F$18,((Observaciones!$F690-0.05*Constantes!$F$18)^2)/(Observaciones!$F690+0.95*Constantes!$F$18),0)</f>
        <v>0</v>
      </c>
      <c r="G691" s="76">
        <f>IF(Escenarios!$F$11&gt;0,(F691*Escenarios!$F$16*10000)/1000,0)</f>
        <v>0</v>
      </c>
      <c r="H691" s="76">
        <f>IF(Escenarios!$F$11&gt;0,(Observaciones!$F690*Constantes!$F$29)/1000,0)</f>
        <v>0</v>
      </c>
      <c r="I691" s="76">
        <f>IF(Escenarios!$F$11&gt;0,(D691*Constantes!$F$29)/1000,0)</f>
        <v>0</v>
      </c>
      <c r="J691" s="76">
        <f>IF(Escenarios!$F$11&gt;0,MAX(0,G691+H691-I691),0)</f>
        <v>0</v>
      </c>
      <c r="K691" s="76">
        <f>IF(Escenarios!$F$11&gt;0,IF(J691&gt;Constantes!$F$30,1000*((J691-Constantes!$F$30)/(Escenarios!$F$16*10000)),0),F691)</f>
        <v>0</v>
      </c>
      <c r="L691" s="76">
        <f>IF(Escenarios!$F$11&gt;0,I691*1000/Escenarios!$F$16/10000+E691,E691)</f>
        <v>2.6264981299026307</v>
      </c>
      <c r="M691" s="76">
        <f>MAX(0,N690+Observaciones!$F690-K691-Constantes!$D$13)</f>
        <v>0</v>
      </c>
      <c r="N691" s="76">
        <f>N690+Observaciones!$F690-K691-L691-M691-O690</f>
        <v>28.770680887166073</v>
      </c>
      <c r="O691" s="76">
        <f>MAX(0,(N691-Constantes!$D$14)*(1-EXP(-Constantes!$D$22)))</f>
        <v>0.5968187107531695</v>
      </c>
      <c r="P691" s="170">
        <f>P690+(Entradas!$F$83*M691-Q690)/(800*Entradas!$D$25)</f>
        <v>0</v>
      </c>
      <c r="Q691" s="170">
        <f>8000*Entradas!$D$26*P691/Constantes!$F$45</f>
        <v>0</v>
      </c>
      <c r="R691" s="170">
        <f>IF(Escenarios!$F$14&gt;0,K691*Escenarios!$F$13/Escenarios!$F$14,0)</f>
        <v>0</v>
      </c>
      <c r="S691" s="170">
        <f>IF(Escenarios!$F$14&gt;0,Q691*Escenarios!$F$13/Escenarios!$F$14,0)</f>
        <v>0</v>
      </c>
      <c r="T691" s="170">
        <f>IF(Escenarios!$F$14&gt;0,Observaciones!$I690,0)</f>
        <v>0</v>
      </c>
      <c r="U691" s="170">
        <f>IF(Escenarios!$F$14&gt;0,MAX(0,Constantes!$F$36/((Z690+R691+S691+T691+Observaciones!$F690)^2)+Entradas!$F$77),0)</f>
        <v>0.20039376451809288</v>
      </c>
      <c r="V691" s="146">
        <f>IF(ETo!D690&gt;0,ETo!I690*((1-Entradas!$F$81)*ETo!K690+ETo!L690),0)</f>
        <v>4.0949854207426304</v>
      </c>
      <c r="W691" s="170">
        <f>IF(Escenarios!$F$14&gt;0,MIN(V691*1,0.8*(Z690+R691+S691+T691+Observaciones!$F690-U691-Constantes!$F$35)),0)</f>
        <v>4.0949854207426304</v>
      </c>
      <c r="X691" s="170">
        <f>IF(Escenarios!$F$14&gt;0,Observaciones!$J690,0)</f>
        <v>0</v>
      </c>
      <c r="Y691" s="170">
        <f>IF(Escenarios!$F$14&gt;0,MAX(0,Z690+R691+S691+T691+Observaciones!$F690-U691-W691-X691-Constantes!$F$33),0)</f>
        <v>0</v>
      </c>
      <c r="Z691" s="170">
        <f>Z690+R691+S691+T691+Observaciones!$F690-U691-W691-Y691</f>
        <v>56.26213190374078</v>
      </c>
      <c r="AA691" s="170">
        <f>IF(Escenarios!$F$14&gt;0,(Escenarios!$F$13*L691+Escenarios!$F$14*W691)/(Escenarios!$F$16),L691)</f>
        <v>2.8027166048034307</v>
      </c>
      <c r="AB691" s="170">
        <f>IF(Escenarios!$F$14&gt;0,(Escenarios!$F$14*Y691)/(Escenarios!$F$16),K691)</f>
        <v>0</v>
      </c>
      <c r="AC691" s="170">
        <f>IF(Escenarios!$F$14&gt;0,(Escenarios!$F$13*M691+Escenarios!$F$14*U691)/(Escenarios!$F$16),M691)</f>
        <v>2.4047251742171146E-2</v>
      </c>
      <c r="AD691" s="76">
        <f t="shared" si="141"/>
        <v>61.464391366083255</v>
      </c>
      <c r="AE691" s="76">
        <f>MAX(0,(AD691-Constantes!$D$13)*(1-EXP(-Constantes!$D$23)))</f>
        <v>0.12527792646210517</v>
      </c>
      <c r="AF691" s="76">
        <f>AB691+O691*Escenarios!$F$13/Escenarios!$F$16+AE691</f>
        <v>0.65047839192489421</v>
      </c>
      <c r="AG691" s="76">
        <f>IF(Entradas!$F$91&gt;0,IF(AF691-Escenarios!$F$38&lt;=0,0,IF(AF691-Escenarios!$F$38&gt;Escenarios!$F$37,Escenarios!$F$37,AF691-Escenarios!$F$38)),0)</f>
        <v>0</v>
      </c>
      <c r="AH691" s="76">
        <f>AG691*Entradas!$F$99</f>
        <v>0</v>
      </c>
      <c r="AI691" s="76">
        <f>IF(Entradas!$F$91&gt;0,D691*Entradas!$D$23/Escenarios!$F$16,0)</f>
        <v>0.2210578837859937</v>
      </c>
      <c r="AJ691" s="76">
        <f>IF(Entradas!$F$91&gt;0,Entradas!$D$24*Entradas!$D$22/Escenarios!$F$16,0)</f>
        <v>0.12</v>
      </c>
      <c r="AK691" s="76">
        <f t="shared" si="142"/>
        <v>3.0237744885894244</v>
      </c>
      <c r="AL691" s="76">
        <f t="shared" si="143"/>
        <v>0</v>
      </c>
      <c r="AM691" s="76">
        <f t="shared" si="144"/>
        <v>0</v>
      </c>
      <c r="AN691" s="76">
        <f>MAX(0,O691*Escenarios!$F$13/Escenarios!$F$16-AM691)</f>
        <v>0.52520046546278909</v>
      </c>
      <c r="AO691" s="76">
        <f>AM691+AN691-O691*Escenarios!$F$13/Escenarios!$F$16</f>
        <v>0</v>
      </c>
      <c r="AP691" s="76">
        <f t="shared" si="145"/>
        <v>0.12527792646210517</v>
      </c>
      <c r="AQ691" s="76">
        <f t="shared" si="146"/>
        <v>0</v>
      </c>
      <c r="AR691" s="76">
        <f t="shared" si="147"/>
        <v>0.65047839192489421</v>
      </c>
      <c r="AS691" s="76">
        <f t="shared" si="148"/>
        <v>0</v>
      </c>
      <c r="AT691" s="76">
        <f t="shared" si="149"/>
        <v>2.4047251742171146E-2</v>
      </c>
      <c r="AU691" s="76">
        <f t="shared" si="150"/>
        <v>49.160421656725021</v>
      </c>
      <c r="AV691" s="76">
        <f>MAX(0,(AU691-Constantes!$D$13)*(1-EXP(-Constantes!$D$24)))</f>
        <v>6.2733964241019945E-3</v>
      </c>
      <c r="AW691" s="170">
        <f>AW690+(Entradas!$F$112*AT691-AX690)/(800*Entradas!$D$25)</f>
        <v>0</v>
      </c>
      <c r="AX691" s="170">
        <f>8000*Entradas!$D$26*AW691/Constantes!$F$45</f>
        <v>0</v>
      </c>
      <c r="AY691" s="170">
        <f>IF(Escenarios!$F$17&gt;0,10*Escenarios!$F$16*AL691,0)</f>
        <v>0</v>
      </c>
      <c r="AZ691" s="170">
        <f>IF(Escenarios!$F$17&gt;0,10*Escenarios!$F$16*AX691,0)</f>
        <v>0</v>
      </c>
      <c r="BA691" s="170">
        <f>IF(Escenarios!$F$17&gt;0,0.001*Observaciones!$F690*Escenarios!$F$17,0)</f>
        <v>0</v>
      </c>
      <c r="BB691" s="170">
        <f>IF(Escenarios!$F$17&gt;0,Observaciones!$K690,0)</f>
        <v>0</v>
      </c>
      <c r="BC691" s="170">
        <f>IF(Escenarios!$F$17&gt;0,MIN(0.0005*ETo!$M690*Escenarios!$F$17*(BG690/Constantes!$F$40)^(2/3),BG690+AY691+AZ691+BA691+BB691),0)</f>
        <v>0</v>
      </c>
      <c r="BD691" s="170">
        <f>IF(Escenarios!$F$17&gt;0,MIN(Constantes!$F$39*(BG690/Constantes!$F$40)^(2/3),BG690+AY691+AZ691+BA691+BB691-BC691),0)</f>
        <v>0</v>
      </c>
      <c r="BE691" s="170">
        <f>IF(Escenarios!$F$17&gt;0,MIN(Entradas!$F$113,BG690+AY691+AZ691+BA691+BB691-BC691-BD691),0)</f>
        <v>0</v>
      </c>
      <c r="BF691" s="170">
        <f>IF(Escenarios!$F$17&gt;0,MAX(0,BG690+AY691+AZ691+BA691+BB691-BC691-BD691-BE691-Constantes!$F$40),0)</f>
        <v>0</v>
      </c>
      <c r="BG691" s="170">
        <f t="shared" si="151"/>
        <v>0</v>
      </c>
      <c r="BH691" s="170">
        <f>(Escenarios!$F$16*AK691+0.1*BC691)/(Escenarios!$F$19)</f>
        <v>3.0237744885894244</v>
      </c>
      <c r="BI691" s="170">
        <f>IF(Escenarios!$F$17&gt;0,BF691/10/Escenarios!$F$19,AL691)</f>
        <v>0</v>
      </c>
      <c r="BJ691" s="170">
        <f>(Escenarios!$F$16*AT691+0.1*BD691)/(Escenarios!$F$19)</f>
        <v>2.4047251742171146E-2</v>
      </c>
      <c r="BK691" s="76">
        <f>BK690+(0.1*BD691)/(Escenarios!$F$19)-BL690</f>
        <v>48.75</v>
      </c>
      <c r="BL691" s="76">
        <f>MAX(0,(BK691-Constantes!$D$13)*(1-EXP(-Constantes!$D$23)))</f>
        <v>0</v>
      </c>
      <c r="BM691" s="76">
        <f t="shared" si="152"/>
        <v>0.13155132288620716</v>
      </c>
      <c r="BN691" s="76">
        <f t="shared" si="153"/>
        <v>0.65675178834899617</v>
      </c>
      <c r="BO691" s="76">
        <f>0.0526*BI691*Observaciones!$F690^1.218</f>
        <v>0</v>
      </c>
      <c r="BP691" s="76">
        <f>BO691*Constantes!$F$51</f>
        <v>0</v>
      </c>
      <c r="BQ691" s="76">
        <f t="shared" si="154"/>
        <v>0</v>
      </c>
      <c r="BR691" s="40"/>
    </row>
    <row r="692" spans="2:70">
      <c r="B692" s="39"/>
      <c r="C692" s="75">
        <v>686</v>
      </c>
      <c r="D692" s="146">
        <f>ETo!$I691*((1-Constantes!$F$19)*ETo!$K691+ETo!$L691)</f>
        <v>4.6716692138330407</v>
      </c>
      <c r="E692" s="76">
        <f>MIN(D692*Constantes!$F$17,0.8*(N691+Observaciones!$F691-F692-M692-Constantes!$D$14))</f>
        <v>2.6643078803091909</v>
      </c>
      <c r="F692" s="76">
        <f>IF(Observaciones!$F691&gt;0.05*Constantes!$F$18,((Observaciones!$F691-0.05*Constantes!$F$18)^2)/(Observaciones!$F691+0.95*Constantes!$F$18),0)</f>
        <v>0</v>
      </c>
      <c r="G692" s="76">
        <f>IF(Escenarios!$F$11&gt;0,(F692*Escenarios!$F$16*10000)/1000,0)</f>
        <v>0</v>
      </c>
      <c r="H692" s="76">
        <f>IF(Escenarios!$F$11&gt;0,(Observaciones!$F691*Constantes!$F$29)/1000,0)</f>
        <v>0</v>
      </c>
      <c r="I692" s="76">
        <f>IF(Escenarios!$F$11&gt;0,(D692*Constantes!$F$29)/1000,0)</f>
        <v>0</v>
      </c>
      <c r="J692" s="76">
        <f>IF(Escenarios!$F$11&gt;0,MAX(0,G692+H692-I692),0)</f>
        <v>0</v>
      </c>
      <c r="K692" s="76">
        <f>IF(Escenarios!$F$11&gt;0,IF(J692&gt;Constantes!$F$30,1000*((J692-Constantes!$F$30)/(Escenarios!$F$16*10000)),0),F692)</f>
        <v>0</v>
      </c>
      <c r="L692" s="76">
        <f>IF(Escenarios!$F$11&gt;0,I692*1000/Escenarios!$F$16/10000+E692,E692)</f>
        <v>2.6643078803091909</v>
      </c>
      <c r="M692" s="76">
        <f>MAX(0,N691+Observaciones!$F691-K692-Constantes!$D$13)</f>
        <v>0</v>
      </c>
      <c r="N692" s="76">
        <f>N691+Observaciones!$F691-K692-L692-M692-O691</f>
        <v>26.009554296103712</v>
      </c>
      <c r="O692" s="76">
        <f>MAX(0,(N692-Constantes!$D$14)*(1-EXP(-Constantes!$D$22)))</f>
        <v>0.50276460275835888</v>
      </c>
      <c r="P692" s="170">
        <f>P691+(Entradas!$F$83*M692-Q691)/(800*Entradas!$D$25)</f>
        <v>0</v>
      </c>
      <c r="Q692" s="170">
        <f>8000*Entradas!$D$26*P692/Constantes!$F$45</f>
        <v>0</v>
      </c>
      <c r="R692" s="170">
        <f>IF(Escenarios!$F$14&gt;0,K692*Escenarios!$F$13/Escenarios!$F$14,0)</f>
        <v>0</v>
      </c>
      <c r="S692" s="170">
        <f>IF(Escenarios!$F$14&gt;0,Q692*Escenarios!$F$13/Escenarios!$F$14,0)</f>
        <v>0</v>
      </c>
      <c r="T692" s="170">
        <f>IF(Escenarios!$F$14&gt;0,Observaciones!$I691,0)</f>
        <v>0</v>
      </c>
      <c r="U692" s="170">
        <f>IF(Escenarios!$F$14&gt;0,MAX(0,Constantes!$F$36/((Z691+R692+S692+T692+Observaciones!$F691)^2)+Entradas!$F$77),0)</f>
        <v>0</v>
      </c>
      <c r="V692" s="146">
        <f>IF(ETo!D691&gt;0,ETo!I691*((1-Entradas!$F$81)*ETo!K691+ETo!L691),0)</f>
        <v>4.1551068167008767</v>
      </c>
      <c r="W692" s="170">
        <f>IF(Escenarios!$F$14&gt;0,MIN(V692*1,0.8*(Z691+R692+S692+T692+Observaciones!$F691-U692-Constantes!$F$35)),0)</f>
        <v>4.1551068167008767</v>
      </c>
      <c r="X692" s="170">
        <f>IF(Escenarios!$F$14&gt;0,Observaciones!$J691,0)</f>
        <v>0</v>
      </c>
      <c r="Y692" s="170">
        <f>IF(Escenarios!$F$14&gt;0,MAX(0,Z691+R692+S692+T692+Observaciones!$F691-U692-W692-X692-Constantes!$F$33),0)</f>
        <v>0</v>
      </c>
      <c r="Z692" s="170">
        <f>Z691+R692+S692+T692+Observaciones!$F691-U692-W692-Y692</f>
        <v>52.607025087039901</v>
      </c>
      <c r="AA692" s="170">
        <f>IF(Escenarios!$F$14&gt;0,(Escenarios!$F$13*L692+Escenarios!$F$14*W692)/(Escenarios!$F$16),L692)</f>
        <v>2.8432037526761929</v>
      </c>
      <c r="AB692" s="170">
        <f>IF(Escenarios!$F$14&gt;0,(Escenarios!$F$14*Y692)/(Escenarios!$F$16),K692)</f>
        <v>0</v>
      </c>
      <c r="AC692" s="170">
        <f>IF(Escenarios!$F$14&gt;0,(Escenarios!$F$13*M692+Escenarios!$F$14*U692)/(Escenarios!$F$16),M692)</f>
        <v>0</v>
      </c>
      <c r="AD692" s="76">
        <f t="shared" si="141"/>
        <v>61.339113439621151</v>
      </c>
      <c r="AE692" s="76">
        <f>MAX(0,(AD692-Constantes!$D$13)*(1-EXP(-Constantes!$D$23)))</f>
        <v>0.12404353321379671</v>
      </c>
      <c r="AF692" s="76">
        <f>AB692+O692*Escenarios!$F$13/Escenarios!$F$16+AE692</f>
        <v>0.56647638364115249</v>
      </c>
      <c r="AG692" s="76">
        <f>IF(Entradas!$F$91&gt;0,IF(AF692-Escenarios!$F$38&lt;=0,0,IF(AF692-Escenarios!$F$38&gt;Escenarios!$F$37,Escenarios!$F$37,AF692-Escenarios!$F$38)),0)</f>
        <v>0</v>
      </c>
      <c r="AH692" s="76">
        <f>AG692*Entradas!$F$99</f>
        <v>0</v>
      </c>
      <c r="AI692" s="76">
        <f>IF(Entradas!$F$91&gt;0,D692*Entradas!$D$23/Escenarios!$F$16,0)</f>
        <v>0.22424012226398593</v>
      </c>
      <c r="AJ692" s="76">
        <f>IF(Entradas!$F$91&gt;0,Entradas!$D$24*Entradas!$D$22/Escenarios!$F$16,0)</f>
        <v>0.12</v>
      </c>
      <c r="AK692" s="76">
        <f t="shared" si="142"/>
        <v>3.0674438749401789</v>
      </c>
      <c r="AL692" s="76">
        <f t="shared" si="143"/>
        <v>0</v>
      </c>
      <c r="AM692" s="76">
        <f t="shared" si="144"/>
        <v>0</v>
      </c>
      <c r="AN692" s="76">
        <f>MAX(0,O692*Escenarios!$F$13/Escenarios!$F$16-AM692)</f>
        <v>0.44243285042735581</v>
      </c>
      <c r="AO692" s="76">
        <f>AM692+AN692-O692*Escenarios!$F$13/Escenarios!$F$16</f>
        <v>0</v>
      </c>
      <c r="AP692" s="76">
        <f t="shared" si="145"/>
        <v>0.12404353321379671</v>
      </c>
      <c r="AQ692" s="76">
        <f t="shared" si="146"/>
        <v>0</v>
      </c>
      <c r="AR692" s="76">
        <f t="shared" si="147"/>
        <v>0.56647638364115249</v>
      </c>
      <c r="AS692" s="76">
        <f t="shared" si="148"/>
        <v>0</v>
      </c>
      <c r="AT692" s="76">
        <f t="shared" si="149"/>
        <v>0</v>
      </c>
      <c r="AU692" s="76">
        <f t="shared" si="150"/>
        <v>49.154148260300921</v>
      </c>
      <c r="AV692" s="76">
        <f>MAX(0,(AU692-Constantes!$D$13)*(1-EXP(-Constantes!$D$24)))</f>
        <v>6.1775060098193842E-3</v>
      </c>
      <c r="AW692" s="170">
        <f>AW691+(Entradas!$F$112*AT692-AX691)/(800*Entradas!$D$25)</f>
        <v>0</v>
      </c>
      <c r="AX692" s="170">
        <f>8000*Entradas!$D$26*AW692/Constantes!$F$45</f>
        <v>0</v>
      </c>
      <c r="AY692" s="170">
        <f>IF(Escenarios!$F$17&gt;0,10*Escenarios!$F$16*AL692,0)</f>
        <v>0</v>
      </c>
      <c r="AZ692" s="170">
        <f>IF(Escenarios!$F$17&gt;0,10*Escenarios!$F$16*AX692,0)</f>
        <v>0</v>
      </c>
      <c r="BA692" s="170">
        <f>IF(Escenarios!$F$17&gt;0,0.001*Observaciones!$F691*Escenarios!$F$17,0)</f>
        <v>0</v>
      </c>
      <c r="BB692" s="170">
        <f>IF(Escenarios!$F$17&gt;0,Observaciones!$K691,0)</f>
        <v>0</v>
      </c>
      <c r="BC692" s="170">
        <f>IF(Escenarios!$F$17&gt;0,MIN(0.0005*ETo!$M691*Escenarios!$F$17*(BG691/Constantes!$F$40)^(2/3),BG691+AY692+AZ692+BA692+BB692),0)</f>
        <v>0</v>
      </c>
      <c r="BD692" s="170">
        <f>IF(Escenarios!$F$17&gt;0,MIN(Constantes!$F$39*(BG691/Constantes!$F$40)^(2/3),BG691+AY692+AZ692+BA692+BB692-BC692),0)</f>
        <v>0</v>
      </c>
      <c r="BE692" s="170">
        <f>IF(Escenarios!$F$17&gt;0,MIN(Entradas!$F$113,BG691+AY692+AZ692+BA692+BB692-BC692-BD692),0)</f>
        <v>0</v>
      </c>
      <c r="BF692" s="170">
        <f>IF(Escenarios!$F$17&gt;0,MAX(0,BG691+AY692+AZ692+BA692+BB692-BC692-BD692-BE692-Constantes!$F$40),0)</f>
        <v>0</v>
      </c>
      <c r="BG692" s="170">
        <f t="shared" si="151"/>
        <v>0</v>
      </c>
      <c r="BH692" s="170">
        <f>(Escenarios!$F$16*AK692+0.1*BC692)/(Escenarios!$F$19)</f>
        <v>3.0674438749401789</v>
      </c>
      <c r="BI692" s="170">
        <f>IF(Escenarios!$F$17&gt;0,BF692/10/Escenarios!$F$19,AL692)</f>
        <v>0</v>
      </c>
      <c r="BJ692" s="170">
        <f>(Escenarios!$F$16*AT692+0.1*BD692)/(Escenarios!$F$19)</f>
        <v>0</v>
      </c>
      <c r="BK692" s="76">
        <f>BK691+(0.1*BD692)/(Escenarios!$F$19)-BL691</f>
        <v>48.75</v>
      </c>
      <c r="BL692" s="76">
        <f>MAX(0,(BK692-Constantes!$D$13)*(1-EXP(-Constantes!$D$23)))</f>
        <v>0</v>
      </c>
      <c r="BM692" s="76">
        <f t="shared" si="152"/>
        <v>0.13022103922361611</v>
      </c>
      <c r="BN692" s="76">
        <f t="shared" si="153"/>
        <v>0.57265388965097186</v>
      </c>
      <c r="BO692" s="76">
        <f>0.0526*BI692*Observaciones!$F691^1.218</f>
        <v>0</v>
      </c>
      <c r="BP692" s="76">
        <f>BO692*Constantes!$F$51</f>
        <v>0</v>
      </c>
      <c r="BQ692" s="76">
        <f t="shared" si="154"/>
        <v>0</v>
      </c>
      <c r="BR692" s="40"/>
    </row>
    <row r="693" spans="2:70">
      <c r="B693" s="39"/>
      <c r="C693" s="75">
        <v>687</v>
      </c>
      <c r="D693" s="146">
        <f>ETo!$I692*((1-Constantes!$F$19)*ETo!$K692+ETo!$L692)</f>
        <v>4.7285968527854392</v>
      </c>
      <c r="E693" s="76">
        <f>MIN(D693*Constantes!$F$17,0.8*(N692+Observaciones!$F692-F693-M693-Constantes!$D$14))</f>
        <v>2.6967743821366663</v>
      </c>
      <c r="F693" s="76">
        <f>IF(Observaciones!$F692&gt;0.05*Constantes!$F$18,((Observaciones!$F692-0.05*Constantes!$F$18)^2)/(Observaciones!$F692+0.95*Constantes!$F$18),0)</f>
        <v>0</v>
      </c>
      <c r="G693" s="76">
        <f>IF(Escenarios!$F$11&gt;0,(F693*Escenarios!$F$16*10000)/1000,0)</f>
        <v>0</v>
      </c>
      <c r="H693" s="76">
        <f>IF(Escenarios!$F$11&gt;0,(Observaciones!$F692*Constantes!$F$29)/1000,0)</f>
        <v>0</v>
      </c>
      <c r="I693" s="76">
        <f>IF(Escenarios!$F$11&gt;0,(D693*Constantes!$F$29)/1000,0)</f>
        <v>0</v>
      </c>
      <c r="J693" s="76">
        <f>IF(Escenarios!$F$11&gt;0,MAX(0,G693+H693-I693),0)</f>
        <v>0</v>
      </c>
      <c r="K693" s="76">
        <f>IF(Escenarios!$F$11&gt;0,IF(J693&gt;Constantes!$F$30,1000*((J693-Constantes!$F$30)/(Escenarios!$F$16*10000)),0),F693)</f>
        <v>0</v>
      </c>
      <c r="L693" s="76">
        <f>IF(Escenarios!$F$11&gt;0,I693*1000/Escenarios!$F$16/10000+E693,E693)</f>
        <v>2.6967743821366663</v>
      </c>
      <c r="M693" s="76">
        <f>MAX(0,N692+Observaciones!$F692-K693-Constantes!$D$13)</f>
        <v>0</v>
      </c>
      <c r="N693" s="76">
        <f>N692+Observaciones!$F692-K693-L693-M693-O692</f>
        <v>23.410015311208689</v>
      </c>
      <c r="O693" s="76">
        <f>MAX(0,(N693-Constantes!$D$14)*(1-EXP(-Constantes!$D$22)))</f>
        <v>0.41421476182985406</v>
      </c>
      <c r="P693" s="170">
        <f>P692+(Entradas!$F$83*M693-Q692)/(800*Entradas!$D$25)</f>
        <v>0</v>
      </c>
      <c r="Q693" s="170">
        <f>8000*Entradas!$D$26*P693/Constantes!$F$45</f>
        <v>0</v>
      </c>
      <c r="R693" s="170">
        <f>IF(Escenarios!$F$14&gt;0,K693*Escenarios!$F$13/Escenarios!$F$14,0)</f>
        <v>0</v>
      </c>
      <c r="S693" s="170">
        <f>IF(Escenarios!$F$14&gt;0,Q693*Escenarios!$F$13/Escenarios!$F$14,0)</f>
        <v>0</v>
      </c>
      <c r="T693" s="170">
        <f>IF(Escenarios!$F$14&gt;0,Observaciones!$I692,0)</f>
        <v>0</v>
      </c>
      <c r="U693" s="170">
        <f>IF(Escenarios!$F$14&gt;0,MAX(0,Constantes!$F$36/((Z692+R693+S693+T693+Observaciones!$F692)^2)+Entradas!$F$77),0)</f>
        <v>0</v>
      </c>
      <c r="V693" s="146">
        <f>IF(ETo!D692&gt;0,ETo!I692*((1-Entradas!$F$81)*ETo!K692+ETo!L692),0)</f>
        <v>4.2068289229410212</v>
      </c>
      <c r="W693" s="170">
        <f>IF(Escenarios!$F$14&gt;0,MIN(V693*1,0.8*(Z692+R693+S693+T693+Observaciones!$F692-U693-Constantes!$F$35)),0)</f>
        <v>4.2068289229410212</v>
      </c>
      <c r="X693" s="170">
        <f>IF(Escenarios!$F$14&gt;0,Observaciones!$J692,0)</f>
        <v>0</v>
      </c>
      <c r="Y693" s="170">
        <f>IF(Escenarios!$F$14&gt;0,MAX(0,Z692+R693+S693+T693+Observaciones!$F692-U693-W693-X693-Constantes!$F$33),0)</f>
        <v>0</v>
      </c>
      <c r="Z693" s="170">
        <f>Z692+R693+S693+T693+Observaciones!$F692-U693-W693-Y693</f>
        <v>49.000196164098881</v>
      </c>
      <c r="AA693" s="170">
        <f>IF(Escenarios!$F$14&gt;0,(Escenarios!$F$13*L693+Escenarios!$F$14*W693)/(Escenarios!$F$16),L693)</f>
        <v>2.8779809270331889</v>
      </c>
      <c r="AB693" s="170">
        <f>IF(Escenarios!$F$14&gt;0,(Escenarios!$F$14*Y693)/(Escenarios!$F$16),K693)</f>
        <v>0</v>
      </c>
      <c r="AC693" s="170">
        <f>IF(Escenarios!$F$14&gt;0,(Escenarios!$F$13*M693+Escenarios!$F$14*U693)/(Escenarios!$F$16),M693)</f>
        <v>0</v>
      </c>
      <c r="AD693" s="76">
        <f t="shared" si="141"/>
        <v>61.215069906407358</v>
      </c>
      <c r="AE693" s="76">
        <f>MAX(0,(AD693-Constantes!$D$13)*(1-EXP(-Constantes!$D$23)))</f>
        <v>0.12282130273617342</v>
      </c>
      <c r="AF693" s="76">
        <f>AB693+O693*Escenarios!$F$13/Escenarios!$F$16+AE693</f>
        <v>0.48733029314644499</v>
      </c>
      <c r="AG693" s="76">
        <f>IF(Entradas!$F$91&gt;0,IF(AF693-Escenarios!$F$38&lt;=0,0,IF(AF693-Escenarios!$F$38&gt;Escenarios!$F$37,Escenarios!$F$37,AF693-Escenarios!$F$38)),0)</f>
        <v>0</v>
      </c>
      <c r="AH693" s="76">
        <f>AG693*Entradas!$F$99</f>
        <v>0</v>
      </c>
      <c r="AI693" s="76">
        <f>IF(Entradas!$F$91&gt;0,D693*Entradas!$D$23/Escenarios!$F$16,0)</f>
        <v>0.22697264893370106</v>
      </c>
      <c r="AJ693" s="76">
        <f>IF(Entradas!$F$91&gt;0,Entradas!$D$24*Entradas!$D$22/Escenarios!$F$16,0)</f>
        <v>0.12</v>
      </c>
      <c r="AK693" s="76">
        <f t="shared" si="142"/>
        <v>3.1049535759668898</v>
      </c>
      <c r="AL693" s="76">
        <f t="shared" si="143"/>
        <v>0</v>
      </c>
      <c r="AM693" s="76">
        <f t="shared" si="144"/>
        <v>0</v>
      </c>
      <c r="AN693" s="76">
        <f>MAX(0,O693*Escenarios!$F$13/Escenarios!$F$16-AM693)</f>
        <v>0.36450899041027157</v>
      </c>
      <c r="AO693" s="76">
        <f>AM693+AN693-O693*Escenarios!$F$13/Escenarios!$F$16</f>
        <v>0</v>
      </c>
      <c r="AP693" s="76">
        <f t="shared" si="145"/>
        <v>0.12282130273617342</v>
      </c>
      <c r="AQ693" s="76">
        <f t="shared" si="146"/>
        <v>0</v>
      </c>
      <c r="AR693" s="76">
        <f t="shared" si="147"/>
        <v>0.48733029314644499</v>
      </c>
      <c r="AS693" s="76">
        <f t="shared" si="148"/>
        <v>0</v>
      </c>
      <c r="AT693" s="76">
        <f t="shared" si="149"/>
        <v>0</v>
      </c>
      <c r="AU693" s="76">
        <f t="shared" si="150"/>
        <v>49.147970754291102</v>
      </c>
      <c r="AV693" s="76">
        <f>MAX(0,(AU693-Constantes!$D$13)*(1-EXP(-Constantes!$D$24)))</f>
        <v>6.0830813042102513E-3</v>
      </c>
      <c r="AW693" s="170">
        <f>AW692+(Entradas!$F$112*AT693-AX692)/(800*Entradas!$D$25)</f>
        <v>0</v>
      </c>
      <c r="AX693" s="170">
        <f>8000*Entradas!$D$26*AW693/Constantes!$F$45</f>
        <v>0</v>
      </c>
      <c r="AY693" s="170">
        <f>IF(Escenarios!$F$17&gt;0,10*Escenarios!$F$16*AL693,0)</f>
        <v>0</v>
      </c>
      <c r="AZ693" s="170">
        <f>IF(Escenarios!$F$17&gt;0,10*Escenarios!$F$16*AX693,0)</f>
        <v>0</v>
      </c>
      <c r="BA693" s="170">
        <f>IF(Escenarios!$F$17&gt;0,0.001*Observaciones!$F692*Escenarios!$F$17,0)</f>
        <v>0</v>
      </c>
      <c r="BB693" s="170">
        <f>IF(Escenarios!$F$17&gt;0,Observaciones!$K692,0)</f>
        <v>0</v>
      </c>
      <c r="BC693" s="170">
        <f>IF(Escenarios!$F$17&gt;0,MIN(0.0005*ETo!$M692*Escenarios!$F$17*(BG692/Constantes!$F$40)^(2/3),BG692+AY693+AZ693+BA693+BB693),0)</f>
        <v>0</v>
      </c>
      <c r="BD693" s="170">
        <f>IF(Escenarios!$F$17&gt;0,MIN(Constantes!$F$39*(BG692/Constantes!$F$40)^(2/3),BG692+AY693+AZ693+BA693+BB693-BC693),0)</f>
        <v>0</v>
      </c>
      <c r="BE693" s="170">
        <f>IF(Escenarios!$F$17&gt;0,MIN(Entradas!$F$113,BG692+AY693+AZ693+BA693+BB693-BC693-BD693),0)</f>
        <v>0</v>
      </c>
      <c r="BF693" s="170">
        <f>IF(Escenarios!$F$17&gt;0,MAX(0,BG692+AY693+AZ693+BA693+BB693-BC693-BD693-BE693-Constantes!$F$40),0)</f>
        <v>0</v>
      </c>
      <c r="BG693" s="170">
        <f t="shared" si="151"/>
        <v>0</v>
      </c>
      <c r="BH693" s="170">
        <f>(Escenarios!$F$16*AK693+0.1*BC693)/(Escenarios!$F$19)</f>
        <v>3.1049535759668898</v>
      </c>
      <c r="BI693" s="170">
        <f>IF(Escenarios!$F$17&gt;0,BF693/10/Escenarios!$F$19,AL693)</f>
        <v>0</v>
      </c>
      <c r="BJ693" s="170">
        <f>(Escenarios!$F$16*AT693+0.1*BD693)/(Escenarios!$F$19)</f>
        <v>0</v>
      </c>
      <c r="BK693" s="76">
        <f>BK692+(0.1*BD693)/(Escenarios!$F$19)-BL692</f>
        <v>48.75</v>
      </c>
      <c r="BL693" s="76">
        <f>MAX(0,(BK693-Constantes!$D$13)*(1-EXP(-Constantes!$D$23)))</f>
        <v>0</v>
      </c>
      <c r="BM693" s="76">
        <f t="shared" si="152"/>
        <v>0.12890438404038368</v>
      </c>
      <c r="BN693" s="76">
        <f t="shared" si="153"/>
        <v>0.49341337445065525</v>
      </c>
      <c r="BO693" s="76">
        <f>0.0526*BI693*Observaciones!$F692^1.218</f>
        <v>0</v>
      </c>
      <c r="BP693" s="76">
        <f>BO693*Constantes!$F$51</f>
        <v>0</v>
      </c>
      <c r="BQ693" s="76">
        <f t="shared" si="154"/>
        <v>0</v>
      </c>
      <c r="BR693" s="40"/>
    </row>
    <row r="694" spans="2:70">
      <c r="B694" s="39"/>
      <c r="C694" s="75">
        <v>688</v>
      </c>
      <c r="D694" s="146">
        <f>ETo!$I693*((1-Constantes!$F$19)*ETo!$K693+ETo!$L693)</f>
        <v>4.4929631410047612</v>
      </c>
      <c r="E694" s="76">
        <f>MIN(D694*Constantes!$F$17,0.8*(N693+Observaciones!$F693-F694-M694-Constantes!$D$14))</f>
        <v>2.5623897058190845</v>
      </c>
      <c r="F694" s="76">
        <f>IF(Observaciones!$F693&gt;0.05*Constantes!$F$18,((Observaciones!$F693-0.05*Constantes!$F$18)^2)/(Observaciones!$F693+0.95*Constantes!$F$18),0)</f>
        <v>0</v>
      </c>
      <c r="G694" s="76">
        <f>IF(Escenarios!$F$11&gt;0,(F694*Escenarios!$F$16*10000)/1000,0)</f>
        <v>0</v>
      </c>
      <c r="H694" s="76">
        <f>IF(Escenarios!$F$11&gt;0,(Observaciones!$F693*Constantes!$F$29)/1000,0)</f>
        <v>0</v>
      </c>
      <c r="I694" s="76">
        <f>IF(Escenarios!$F$11&gt;0,(D694*Constantes!$F$29)/1000,0)</f>
        <v>0</v>
      </c>
      <c r="J694" s="76">
        <f>IF(Escenarios!$F$11&gt;0,MAX(0,G694+H694-I694),0)</f>
        <v>0</v>
      </c>
      <c r="K694" s="76">
        <f>IF(Escenarios!$F$11&gt;0,IF(J694&gt;Constantes!$F$30,1000*((J694-Constantes!$F$30)/(Escenarios!$F$16*10000)),0),F694)</f>
        <v>0</v>
      </c>
      <c r="L694" s="76">
        <f>IF(Escenarios!$F$11&gt;0,I694*1000/Escenarios!$F$16/10000+E694,E694)</f>
        <v>2.5623897058190845</v>
      </c>
      <c r="M694" s="76">
        <f>MAX(0,N693+Observaciones!$F693-K694-Constantes!$D$13)</f>
        <v>0</v>
      </c>
      <c r="N694" s="76">
        <f>N693+Observaciones!$F693-K694-L694-M694-O693</f>
        <v>24.133410843559751</v>
      </c>
      <c r="O694" s="76">
        <f>MAX(0,(N694-Constantes!$D$14)*(1-EXP(-Constantes!$D$22)))</f>
        <v>0.43885626930109684</v>
      </c>
      <c r="P694" s="170">
        <f>P693+(Entradas!$F$83*M694-Q693)/(800*Entradas!$D$25)</f>
        <v>0</v>
      </c>
      <c r="Q694" s="170">
        <f>8000*Entradas!$D$26*P694/Constantes!$F$45</f>
        <v>0</v>
      </c>
      <c r="R694" s="170">
        <f>IF(Escenarios!$F$14&gt;0,K694*Escenarios!$F$13/Escenarios!$F$14,0)</f>
        <v>0</v>
      </c>
      <c r="S694" s="170">
        <f>IF(Escenarios!$F$14&gt;0,Q694*Escenarios!$F$13/Escenarios!$F$14,0)</f>
        <v>0</v>
      </c>
      <c r="T694" s="170">
        <f>IF(Escenarios!$F$14&gt;0,Observaciones!$I693,0)</f>
        <v>0</v>
      </c>
      <c r="U694" s="170">
        <f>IF(Escenarios!$F$14&gt;0,MAX(0,Constantes!$F$36/((Z693+R694+S694+T694+Observaciones!$F693)^2)+Entradas!$F$77),0)</f>
        <v>0</v>
      </c>
      <c r="V694" s="146">
        <f>IF(ETo!D693&gt;0,ETo!I693*((1-Entradas!$F$81)*ETo!K693+ETo!L693),0)</f>
        <v>3.9934023806922312</v>
      </c>
      <c r="W694" s="170">
        <f>IF(Escenarios!$F$14&gt;0,MIN(V694*1,0.8*(Z693+R694+S694+T694+Observaciones!$F693-U694-Constantes!$F$35)),0)</f>
        <v>3.9934023806922312</v>
      </c>
      <c r="X694" s="170">
        <f>IF(Escenarios!$F$14&gt;0,Observaciones!$J693,0)</f>
        <v>0</v>
      </c>
      <c r="Y694" s="170">
        <f>IF(Escenarios!$F$14&gt;0,MAX(0,Z693+R694+S694+T694+Observaciones!$F693-U694-W694-X694-Constantes!$F$33),0)</f>
        <v>0</v>
      </c>
      <c r="Z694" s="170">
        <f>Z693+R694+S694+T694+Observaciones!$F693-U694-W694-Y694</f>
        <v>48.706793783406653</v>
      </c>
      <c r="AA694" s="170">
        <f>IF(Escenarios!$F$14&gt;0,(Escenarios!$F$13*L694+Escenarios!$F$14*W694)/(Escenarios!$F$16),L694)</f>
        <v>2.7341112268038623</v>
      </c>
      <c r="AB694" s="170">
        <f>IF(Escenarios!$F$14&gt;0,(Escenarios!$F$14*Y694)/(Escenarios!$F$16),K694)</f>
        <v>0</v>
      </c>
      <c r="AC694" s="170">
        <f>IF(Escenarios!$F$14&gt;0,(Escenarios!$F$13*M694+Escenarios!$F$14*U694)/(Escenarios!$F$16),M694)</f>
        <v>0</v>
      </c>
      <c r="AD694" s="76">
        <f t="shared" si="141"/>
        <v>61.092248603671187</v>
      </c>
      <c r="AE694" s="76">
        <f>MAX(0,(AD694-Constantes!$D$13)*(1-EXP(-Constantes!$D$23)))</f>
        <v>0.12161111518655877</v>
      </c>
      <c r="AF694" s="76">
        <f>AB694+O694*Escenarios!$F$13/Escenarios!$F$16+AE694</f>
        <v>0.50780463217152405</v>
      </c>
      <c r="AG694" s="76">
        <f>IF(Entradas!$F$91&gt;0,IF(AF694-Escenarios!$F$38&lt;=0,0,IF(AF694-Escenarios!$F$38&gt;Escenarios!$F$37,Escenarios!$F$37,AF694-Escenarios!$F$38)),0)</f>
        <v>0</v>
      </c>
      <c r="AH694" s="76">
        <f>AG694*Entradas!$F$99</f>
        <v>0</v>
      </c>
      <c r="AI694" s="76">
        <f>IF(Entradas!$F$91&gt;0,D694*Entradas!$D$23/Escenarios!$F$16,0)</f>
        <v>0.21566223076822855</v>
      </c>
      <c r="AJ694" s="76">
        <f>IF(Entradas!$F$91&gt;0,Entradas!$D$24*Entradas!$D$22/Escenarios!$F$16,0)</f>
        <v>0.12</v>
      </c>
      <c r="AK694" s="76">
        <f t="shared" si="142"/>
        <v>2.9497734575720909</v>
      </c>
      <c r="AL694" s="76">
        <f t="shared" si="143"/>
        <v>0</v>
      </c>
      <c r="AM694" s="76">
        <f t="shared" si="144"/>
        <v>0</v>
      </c>
      <c r="AN694" s="76">
        <f>MAX(0,O694*Escenarios!$F$13/Escenarios!$F$16-AM694)</f>
        <v>0.38619351698496523</v>
      </c>
      <c r="AO694" s="76">
        <f>AM694+AN694-O694*Escenarios!$F$13/Escenarios!$F$16</f>
        <v>0</v>
      </c>
      <c r="AP694" s="76">
        <f t="shared" si="145"/>
        <v>0.12161111518655877</v>
      </c>
      <c r="AQ694" s="76">
        <f t="shared" si="146"/>
        <v>0</v>
      </c>
      <c r="AR694" s="76">
        <f t="shared" si="147"/>
        <v>0.50780463217152405</v>
      </c>
      <c r="AS694" s="76">
        <f t="shared" si="148"/>
        <v>0</v>
      </c>
      <c r="AT694" s="76">
        <f t="shared" si="149"/>
        <v>0</v>
      </c>
      <c r="AU694" s="76">
        <f t="shared" si="150"/>
        <v>49.14188767298689</v>
      </c>
      <c r="AV694" s="76">
        <f>MAX(0,(AU694-Constantes!$D$13)*(1-EXP(-Constantes!$D$24)))</f>
        <v>5.9900999035554341E-3</v>
      </c>
      <c r="AW694" s="170">
        <f>AW693+(Entradas!$F$112*AT694-AX693)/(800*Entradas!$D$25)</f>
        <v>0</v>
      </c>
      <c r="AX694" s="170">
        <f>8000*Entradas!$D$26*AW694/Constantes!$F$45</f>
        <v>0</v>
      </c>
      <c r="AY694" s="170">
        <f>IF(Escenarios!$F$17&gt;0,10*Escenarios!$F$16*AL694,0)</f>
        <v>0</v>
      </c>
      <c r="AZ694" s="170">
        <f>IF(Escenarios!$F$17&gt;0,10*Escenarios!$F$16*AX694,0)</f>
        <v>0</v>
      </c>
      <c r="BA694" s="170">
        <f>IF(Escenarios!$F$17&gt;0,0.001*Observaciones!$F693*Escenarios!$F$17,0)</f>
        <v>0</v>
      </c>
      <c r="BB694" s="170">
        <f>IF(Escenarios!$F$17&gt;0,Observaciones!$K693,0)</f>
        <v>0</v>
      </c>
      <c r="BC694" s="170">
        <f>IF(Escenarios!$F$17&gt;0,MIN(0.0005*ETo!$M693*Escenarios!$F$17*(BG693/Constantes!$F$40)^(2/3),BG693+AY694+AZ694+BA694+BB694),0)</f>
        <v>0</v>
      </c>
      <c r="BD694" s="170">
        <f>IF(Escenarios!$F$17&gt;0,MIN(Constantes!$F$39*(BG693/Constantes!$F$40)^(2/3),BG693+AY694+AZ694+BA694+BB694-BC694),0)</f>
        <v>0</v>
      </c>
      <c r="BE694" s="170">
        <f>IF(Escenarios!$F$17&gt;0,MIN(Entradas!$F$113,BG693+AY694+AZ694+BA694+BB694-BC694-BD694),0)</f>
        <v>0</v>
      </c>
      <c r="BF694" s="170">
        <f>IF(Escenarios!$F$17&gt;0,MAX(0,BG693+AY694+AZ694+BA694+BB694-BC694-BD694-BE694-Constantes!$F$40),0)</f>
        <v>0</v>
      </c>
      <c r="BG694" s="170">
        <f t="shared" si="151"/>
        <v>0</v>
      </c>
      <c r="BH694" s="170">
        <f>(Escenarios!$F$16*AK694+0.1*BC694)/(Escenarios!$F$19)</f>
        <v>2.9497734575720909</v>
      </c>
      <c r="BI694" s="170">
        <f>IF(Escenarios!$F$17&gt;0,BF694/10/Escenarios!$F$19,AL694)</f>
        <v>0</v>
      </c>
      <c r="BJ694" s="170">
        <f>(Escenarios!$F$16*AT694+0.1*BD694)/(Escenarios!$F$19)</f>
        <v>0</v>
      </c>
      <c r="BK694" s="76">
        <f>BK693+(0.1*BD694)/(Escenarios!$F$19)-BL693</f>
        <v>48.75</v>
      </c>
      <c r="BL694" s="76">
        <f>MAX(0,(BK694-Constantes!$D$13)*(1-EXP(-Constantes!$D$23)))</f>
        <v>0</v>
      </c>
      <c r="BM694" s="76">
        <f t="shared" si="152"/>
        <v>0.12760121509011421</v>
      </c>
      <c r="BN694" s="76">
        <f t="shared" si="153"/>
        <v>0.51379473207507953</v>
      </c>
      <c r="BO694" s="76">
        <f>0.0526*BI694*Observaciones!$F693^1.218</f>
        <v>0</v>
      </c>
      <c r="BP694" s="76">
        <f>BO694*Constantes!$F$51</f>
        <v>0</v>
      </c>
      <c r="BQ694" s="76">
        <f t="shared" si="154"/>
        <v>0</v>
      </c>
      <c r="BR694" s="40"/>
    </row>
    <row r="695" spans="2:70">
      <c r="B695" s="39"/>
      <c r="C695" s="75">
        <v>689</v>
      </c>
      <c r="D695" s="146">
        <f>ETo!$I694*((1-Constantes!$F$19)*ETo!$K694+ETo!$L694)</f>
        <v>4.526482288940378</v>
      </c>
      <c r="E695" s="76">
        <f>MIN(D695*Constantes!$F$17,0.8*(N694+Observaciones!$F694-F695-M695-Constantes!$D$14))</f>
        <v>2.581506069991804</v>
      </c>
      <c r="F695" s="76">
        <f>IF(Observaciones!$F694&gt;0.05*Constantes!$F$18,((Observaciones!$F694-0.05*Constantes!$F$18)^2)/(Observaciones!$F694+0.95*Constantes!$F$18),0)</f>
        <v>3.0985619739921651E-2</v>
      </c>
      <c r="G695" s="76">
        <f>IF(Escenarios!$F$11&gt;0,(F695*Escenarios!$F$16*10000)/1000,0)</f>
        <v>0</v>
      </c>
      <c r="H695" s="76">
        <f>IF(Escenarios!$F$11&gt;0,(Observaciones!$F694*Constantes!$F$29)/1000,0)</f>
        <v>0</v>
      </c>
      <c r="I695" s="76">
        <f>IF(Escenarios!$F$11&gt;0,(D695*Constantes!$F$29)/1000,0)</f>
        <v>0</v>
      </c>
      <c r="J695" s="76">
        <f>IF(Escenarios!$F$11&gt;0,MAX(0,G695+H695-I695),0)</f>
        <v>0</v>
      </c>
      <c r="K695" s="76">
        <f>IF(Escenarios!$F$11&gt;0,IF(J695&gt;Constantes!$F$30,1000*((J695-Constantes!$F$30)/(Escenarios!$F$16*10000)),0),F695)</f>
        <v>3.0985619739921651E-2</v>
      </c>
      <c r="L695" s="76">
        <f>IF(Escenarios!$F$11&gt;0,I695*1000/Escenarios!$F$16/10000+E695,E695)</f>
        <v>2.581506069991804</v>
      </c>
      <c r="M695" s="76">
        <f>MAX(0,N694+Observaciones!$F694-K695-Constantes!$D$13)</f>
        <v>0</v>
      </c>
      <c r="N695" s="76">
        <f>N694+Observaciones!$F694-K695-L695-M695-O694</f>
        <v>34.682062884526928</v>
      </c>
      <c r="O695" s="76">
        <f>MAX(0,(N695-Constantes!$D$14)*(1-EXP(-Constantes!$D$22)))</f>
        <v>0.79818208271085889</v>
      </c>
      <c r="P695" s="170">
        <f>P694+(Entradas!$F$83*M695-Q694)/(800*Entradas!$D$25)</f>
        <v>0</v>
      </c>
      <c r="Q695" s="170">
        <f>8000*Entradas!$D$26*P695/Constantes!$F$45</f>
        <v>0</v>
      </c>
      <c r="R695" s="170">
        <f>IF(Escenarios!$F$14&gt;0,K695*Escenarios!$F$13/Escenarios!$F$14,0)</f>
        <v>0.22722787809275877</v>
      </c>
      <c r="S695" s="170">
        <f>IF(Escenarios!$F$14&gt;0,Q695*Escenarios!$F$13/Escenarios!$F$14,0)</f>
        <v>0</v>
      </c>
      <c r="T695" s="170">
        <f>IF(Escenarios!$F$14&gt;0,Observaciones!$I694,0)</f>
        <v>0</v>
      </c>
      <c r="U695" s="170">
        <f>IF(Escenarios!$F$14&gt;0,MAX(0,Constantes!$F$36/((Z694+R695+S695+T695+Observaciones!$F694)^2)+Entradas!$F$77),0)</f>
        <v>0.37457106449436406</v>
      </c>
      <c r="V695" s="146">
        <f>IF(ETo!D694&gt;0,ETo!I694*((1-Entradas!$F$81)*ETo!K694+ETo!L694),0)</f>
        <v>4.0236834129968129</v>
      </c>
      <c r="W695" s="170">
        <f>IF(Escenarios!$F$14&gt;0,MIN(V695*1,0.8*(Z694+R695+S695+T695+Observaciones!$F694-U695-Constantes!$F$35)),0)</f>
        <v>4.0236834129968129</v>
      </c>
      <c r="X695" s="170">
        <f>IF(Escenarios!$F$14&gt;0,Observaciones!$J694,0)</f>
        <v>0</v>
      </c>
      <c r="Y695" s="170">
        <f>IF(Escenarios!$F$14&gt;0,MAX(0,Z694+R695+S695+T695+Observaciones!$F694-U695-W695-X695-Constantes!$F$33),0)</f>
        <v>0</v>
      </c>
      <c r="Z695" s="170">
        <f>Z694+R695+S695+T695+Observaciones!$F694-U695-W695-Y695</f>
        <v>58.135767184008245</v>
      </c>
      <c r="AA695" s="170">
        <f>IF(Escenarios!$F$14&gt;0,(Escenarios!$F$13*L695+Escenarios!$F$14*W695)/(Escenarios!$F$16),L695)</f>
        <v>2.7545673511524051</v>
      </c>
      <c r="AB695" s="170">
        <f>IF(Escenarios!$F$14&gt;0,(Escenarios!$F$14*Y695)/(Escenarios!$F$16),K695)</f>
        <v>0</v>
      </c>
      <c r="AC695" s="170">
        <f>IF(Escenarios!$F$14&gt;0,(Escenarios!$F$13*M695+Escenarios!$F$14*U695)/(Escenarios!$F$16),M695)</f>
        <v>4.4948527739323688E-2</v>
      </c>
      <c r="AD695" s="76">
        <f t="shared" si="141"/>
        <v>61.015586016223949</v>
      </c>
      <c r="AE695" s="76">
        <f>MAX(0,(AD695-Constantes!$D$13)*(1-EXP(-Constantes!$D$23)))</f>
        <v>0.12085574045283541</v>
      </c>
      <c r="AF695" s="76">
        <f>AB695+O695*Escenarios!$F$13/Escenarios!$F$16+AE695</f>
        <v>0.82325597323839117</v>
      </c>
      <c r="AG695" s="76">
        <f>IF(Entradas!$F$91&gt;0,IF(AF695-Escenarios!$F$38&lt;=0,0,IF(AF695-Escenarios!$F$38&gt;Escenarios!$F$37,Escenarios!$F$37,AF695-Escenarios!$F$38)),0)</f>
        <v>0</v>
      </c>
      <c r="AH695" s="76">
        <f>AG695*Entradas!$F$99</f>
        <v>0</v>
      </c>
      <c r="AI695" s="76">
        <f>IF(Entradas!$F$91&gt;0,D695*Entradas!$D$23/Escenarios!$F$16,0)</f>
        <v>0.21727114986913812</v>
      </c>
      <c r="AJ695" s="76">
        <f>IF(Entradas!$F$91&gt;0,Entradas!$D$24*Entradas!$D$22/Escenarios!$F$16,0)</f>
        <v>0.12</v>
      </c>
      <c r="AK695" s="76">
        <f t="shared" si="142"/>
        <v>2.9718385010215433</v>
      </c>
      <c r="AL695" s="76">
        <f t="shared" si="143"/>
        <v>0</v>
      </c>
      <c r="AM695" s="76">
        <f t="shared" si="144"/>
        <v>0</v>
      </c>
      <c r="AN695" s="76">
        <f>MAX(0,O695*Escenarios!$F$13/Escenarios!$F$16-AM695)</f>
        <v>0.70240023278555574</v>
      </c>
      <c r="AO695" s="76">
        <f>AM695+AN695-O695*Escenarios!$F$13/Escenarios!$F$16</f>
        <v>0</v>
      </c>
      <c r="AP695" s="76">
        <f t="shared" si="145"/>
        <v>0.12085574045283541</v>
      </c>
      <c r="AQ695" s="76">
        <f t="shared" si="146"/>
        <v>0</v>
      </c>
      <c r="AR695" s="76">
        <f t="shared" si="147"/>
        <v>0.82325597323839117</v>
      </c>
      <c r="AS695" s="76">
        <f t="shared" si="148"/>
        <v>0</v>
      </c>
      <c r="AT695" s="76">
        <f t="shared" si="149"/>
        <v>4.4948527739323688E-2</v>
      </c>
      <c r="AU695" s="76">
        <f t="shared" si="150"/>
        <v>49.135897573083334</v>
      </c>
      <c r="AV695" s="76">
        <f>MAX(0,(AU695-Constantes!$D$13)*(1-EXP(-Constantes!$D$24)))</f>
        <v>5.8985397465821368E-3</v>
      </c>
      <c r="AW695" s="170">
        <f>AW694+(Entradas!$F$112*AT695-AX694)/(800*Entradas!$D$25)</f>
        <v>0</v>
      </c>
      <c r="AX695" s="170">
        <f>8000*Entradas!$D$26*AW695/Constantes!$F$45</f>
        <v>0</v>
      </c>
      <c r="AY695" s="170">
        <f>IF(Escenarios!$F$17&gt;0,10*Escenarios!$F$16*AL695,0)</f>
        <v>0</v>
      </c>
      <c r="AZ695" s="170">
        <f>IF(Escenarios!$F$17&gt;0,10*Escenarios!$F$16*AX695,0)</f>
        <v>0</v>
      </c>
      <c r="BA695" s="170">
        <f>IF(Escenarios!$F$17&gt;0,0.001*Observaciones!$F694*Escenarios!$F$17,0)</f>
        <v>0</v>
      </c>
      <c r="BB695" s="170">
        <f>IF(Escenarios!$F$17&gt;0,Observaciones!$K694,0)</f>
        <v>0</v>
      </c>
      <c r="BC695" s="170">
        <f>IF(Escenarios!$F$17&gt;0,MIN(0.0005*ETo!$M694*Escenarios!$F$17*(BG694/Constantes!$F$40)^(2/3),BG694+AY695+AZ695+BA695+BB695),0)</f>
        <v>0</v>
      </c>
      <c r="BD695" s="170">
        <f>IF(Escenarios!$F$17&gt;0,MIN(Constantes!$F$39*(BG694/Constantes!$F$40)^(2/3),BG694+AY695+AZ695+BA695+BB695-BC695),0)</f>
        <v>0</v>
      </c>
      <c r="BE695" s="170">
        <f>IF(Escenarios!$F$17&gt;0,MIN(Entradas!$F$113,BG694+AY695+AZ695+BA695+BB695-BC695-BD695),0)</f>
        <v>0</v>
      </c>
      <c r="BF695" s="170">
        <f>IF(Escenarios!$F$17&gt;0,MAX(0,BG694+AY695+AZ695+BA695+BB695-BC695-BD695-BE695-Constantes!$F$40),0)</f>
        <v>0</v>
      </c>
      <c r="BG695" s="170">
        <f t="shared" si="151"/>
        <v>0</v>
      </c>
      <c r="BH695" s="170">
        <f>(Escenarios!$F$16*AK695+0.1*BC695)/(Escenarios!$F$19)</f>
        <v>2.9718385010215433</v>
      </c>
      <c r="BI695" s="170">
        <f>IF(Escenarios!$F$17&gt;0,BF695/10/Escenarios!$F$19,AL695)</f>
        <v>0</v>
      </c>
      <c r="BJ695" s="170">
        <f>(Escenarios!$F$16*AT695+0.1*BD695)/(Escenarios!$F$19)</f>
        <v>4.4948527739323688E-2</v>
      </c>
      <c r="BK695" s="76">
        <f>BK694+(0.1*BD695)/(Escenarios!$F$19)-BL694</f>
        <v>48.75</v>
      </c>
      <c r="BL695" s="76">
        <f>MAX(0,(BK695-Constantes!$D$13)*(1-EXP(-Constantes!$D$23)))</f>
        <v>0</v>
      </c>
      <c r="BM695" s="76">
        <f t="shared" si="152"/>
        <v>0.12675428019941753</v>
      </c>
      <c r="BN695" s="76">
        <f t="shared" si="153"/>
        <v>0.82915451298497334</v>
      </c>
      <c r="BO695" s="76">
        <f>0.0526*BI695*Observaciones!$F694^1.218</f>
        <v>0</v>
      </c>
      <c r="BP695" s="76">
        <f>BO695*Constantes!$F$51</f>
        <v>0</v>
      </c>
      <c r="BQ695" s="76">
        <f t="shared" si="154"/>
        <v>0</v>
      </c>
      <c r="BR695" s="40"/>
    </row>
    <row r="696" spans="2:70">
      <c r="B696" s="39"/>
      <c r="C696" s="75">
        <v>690</v>
      </c>
      <c r="D696" s="146">
        <f>ETo!$I695*((1-Constantes!$F$19)*ETo!$K695+ETo!$L695)</f>
        <v>4.6388520135413547</v>
      </c>
      <c r="E696" s="76">
        <f>MIN(D696*Constantes!$F$17,0.8*(N695+Observaciones!$F695-F696-M696-Constantes!$D$14))</f>
        <v>2.6455918451310314</v>
      </c>
      <c r="F696" s="76">
        <f>IF(Observaciones!$F695&gt;0.05*Constantes!$F$18,((Observaciones!$F695-0.05*Constantes!$F$18)^2)/(Observaciones!$F695+0.95*Constantes!$F$18),0)</f>
        <v>0</v>
      </c>
      <c r="G696" s="76">
        <f>IF(Escenarios!$F$11&gt;0,(F696*Escenarios!$F$16*10000)/1000,0)</f>
        <v>0</v>
      </c>
      <c r="H696" s="76">
        <f>IF(Escenarios!$F$11&gt;0,(Observaciones!$F695*Constantes!$F$29)/1000,0)</f>
        <v>0</v>
      </c>
      <c r="I696" s="76">
        <f>IF(Escenarios!$F$11&gt;0,(D696*Constantes!$F$29)/1000,0)</f>
        <v>0</v>
      </c>
      <c r="J696" s="76">
        <f>IF(Escenarios!$F$11&gt;0,MAX(0,G696+H696-I696),0)</f>
        <v>0</v>
      </c>
      <c r="K696" s="76">
        <f>IF(Escenarios!$F$11&gt;0,IF(J696&gt;Constantes!$F$30,1000*((J696-Constantes!$F$30)/(Escenarios!$F$16*10000)),0),F696)</f>
        <v>0</v>
      </c>
      <c r="L696" s="76">
        <f>IF(Escenarios!$F$11&gt;0,I696*1000/Escenarios!$F$16/10000+E696,E696)</f>
        <v>2.6455918451310314</v>
      </c>
      <c r="M696" s="76">
        <f>MAX(0,N695+Observaciones!$F695-K696-Constantes!$D$13)</f>
        <v>0</v>
      </c>
      <c r="N696" s="76">
        <f>N695+Observaciones!$F695-K696-L696-M696-O695</f>
        <v>38.138288956685038</v>
      </c>
      <c r="O696" s="76">
        <f>MAX(0,(N696-Constantes!$D$14)*(1-EXP(-Constantes!$D$22)))</f>
        <v>0.91591383079422561</v>
      </c>
      <c r="P696" s="170">
        <f>P695+(Entradas!$F$83*M696-Q695)/(800*Entradas!$D$25)</f>
        <v>0</v>
      </c>
      <c r="Q696" s="170">
        <f>8000*Entradas!$D$26*P696/Constantes!$F$45</f>
        <v>0</v>
      </c>
      <c r="R696" s="170">
        <f>IF(Escenarios!$F$14&gt;0,K696*Escenarios!$F$13/Escenarios!$F$14,0)</f>
        <v>0</v>
      </c>
      <c r="S696" s="170">
        <f>IF(Escenarios!$F$14&gt;0,Q696*Escenarios!$F$13/Escenarios!$F$14,0)</f>
        <v>0</v>
      </c>
      <c r="T696" s="170">
        <f>IF(Escenarios!$F$14&gt;0,Observaciones!$I695,0)</f>
        <v>0</v>
      </c>
      <c r="U696" s="170">
        <f>IF(Escenarios!$F$14&gt;0,MAX(0,Constantes!$F$36/((Z695+R696+S696+T696+Observaciones!$F695)^2)+Entradas!$F$77),0)</f>
        <v>0.57267207910797557</v>
      </c>
      <c r="V696" s="146">
        <f>IF(ETo!D695&gt;0,ETo!I695*((1-Entradas!$F$81)*ETo!K695+ETo!L695),0)</f>
        <v>4.1253842606464994</v>
      </c>
      <c r="W696" s="170">
        <f>IF(Escenarios!$F$14&gt;0,MIN(V696*1,0.8*(Z695+R696+S696+T696+Observaciones!$F695-U696-Constantes!$F$35)),0)</f>
        <v>4.1253842606464994</v>
      </c>
      <c r="X696" s="170">
        <f>IF(Escenarios!$F$14&gt;0,Observaciones!$J695,0)</f>
        <v>0</v>
      </c>
      <c r="Y696" s="170">
        <f>IF(Escenarios!$F$14&gt;0,MAX(0,Z695+R696+S696+T696+Observaciones!$F695-U696-W696-X696-Constantes!$F$33),0)</f>
        <v>0</v>
      </c>
      <c r="Z696" s="170">
        <f>Z695+R696+S696+T696+Observaciones!$F695-U696-W696-Y696</f>
        <v>60.337710844253778</v>
      </c>
      <c r="AA696" s="170">
        <f>IF(Escenarios!$F$14&gt;0,(Escenarios!$F$13*L696+Escenarios!$F$14*W696)/(Escenarios!$F$16),L696)</f>
        <v>2.8231669349928881</v>
      </c>
      <c r="AB696" s="170">
        <f>IF(Escenarios!$F$14&gt;0,(Escenarios!$F$14*Y696)/(Escenarios!$F$16),K696)</f>
        <v>0</v>
      </c>
      <c r="AC696" s="170">
        <f>IF(Escenarios!$F$14&gt;0,(Escenarios!$F$13*M696+Escenarios!$F$14*U696)/(Escenarios!$F$16),M696)</f>
        <v>6.8720649492957059E-2</v>
      </c>
      <c r="AD696" s="76">
        <f t="shared" si="141"/>
        <v>60.963450925264077</v>
      </c>
      <c r="AE696" s="76">
        <f>MAX(0,(AD696-Constantes!$D$13)*(1-EXP(-Constantes!$D$23)))</f>
        <v>0.12034204098399658</v>
      </c>
      <c r="AF696" s="76">
        <f>AB696+O696*Escenarios!$F$13/Escenarios!$F$16+AE696</f>
        <v>0.92634621208291512</v>
      </c>
      <c r="AG696" s="76">
        <f>IF(Entradas!$F$91&gt;0,IF(AF696-Escenarios!$F$38&lt;=0,0,IF(AF696-Escenarios!$F$38&gt;Escenarios!$F$37,Escenarios!$F$37,AF696-Escenarios!$F$38)),0)</f>
        <v>0</v>
      </c>
      <c r="AH696" s="76">
        <f>AG696*Entradas!$F$99</f>
        <v>0</v>
      </c>
      <c r="AI696" s="76">
        <f>IF(Entradas!$F$91&gt;0,D696*Entradas!$D$23/Escenarios!$F$16,0)</f>
        <v>0.22266489664998501</v>
      </c>
      <c r="AJ696" s="76">
        <f>IF(Entradas!$F$91&gt;0,Entradas!$D$24*Entradas!$D$22/Escenarios!$F$16,0)</f>
        <v>0.12</v>
      </c>
      <c r="AK696" s="76">
        <f t="shared" si="142"/>
        <v>3.045831831642873</v>
      </c>
      <c r="AL696" s="76">
        <f t="shared" si="143"/>
        <v>0</v>
      </c>
      <c r="AM696" s="76">
        <f t="shared" si="144"/>
        <v>0</v>
      </c>
      <c r="AN696" s="76">
        <f>MAX(0,O696*Escenarios!$F$13/Escenarios!$F$16-AM696)</f>
        <v>0.80600417109891853</v>
      </c>
      <c r="AO696" s="76">
        <f>AM696+AN696-O696*Escenarios!$F$13/Escenarios!$F$16</f>
        <v>0</v>
      </c>
      <c r="AP696" s="76">
        <f t="shared" si="145"/>
        <v>0.12034204098399658</v>
      </c>
      <c r="AQ696" s="76">
        <f t="shared" si="146"/>
        <v>0</v>
      </c>
      <c r="AR696" s="76">
        <f t="shared" si="147"/>
        <v>0.92634621208291512</v>
      </c>
      <c r="AS696" s="76">
        <f t="shared" si="148"/>
        <v>0</v>
      </c>
      <c r="AT696" s="76">
        <f t="shared" si="149"/>
        <v>6.8720649492957059E-2</v>
      </c>
      <c r="AU696" s="76">
        <f t="shared" si="150"/>
        <v>49.129999033336752</v>
      </c>
      <c r="AV696" s="76">
        <f>MAX(0,(AU696-Constantes!$D$13)*(1-EXP(-Constantes!$D$24)))</f>
        <v>5.8083791092295558E-3</v>
      </c>
      <c r="AW696" s="170">
        <f>AW695+(Entradas!$F$112*AT696-AX695)/(800*Entradas!$D$25)</f>
        <v>0</v>
      </c>
      <c r="AX696" s="170">
        <f>8000*Entradas!$D$26*AW696/Constantes!$F$45</f>
        <v>0</v>
      </c>
      <c r="AY696" s="170">
        <f>IF(Escenarios!$F$17&gt;0,10*Escenarios!$F$16*AL696,0)</f>
        <v>0</v>
      </c>
      <c r="AZ696" s="170">
        <f>IF(Escenarios!$F$17&gt;0,10*Escenarios!$F$16*AX696,0)</f>
        <v>0</v>
      </c>
      <c r="BA696" s="170">
        <f>IF(Escenarios!$F$17&gt;0,0.001*Observaciones!$F695*Escenarios!$F$17,0)</f>
        <v>0</v>
      </c>
      <c r="BB696" s="170">
        <f>IF(Escenarios!$F$17&gt;0,Observaciones!$K695,0)</f>
        <v>0</v>
      </c>
      <c r="BC696" s="170">
        <f>IF(Escenarios!$F$17&gt;0,MIN(0.0005*ETo!$M695*Escenarios!$F$17*(BG695/Constantes!$F$40)^(2/3),BG695+AY696+AZ696+BA696+BB696),0)</f>
        <v>0</v>
      </c>
      <c r="BD696" s="170">
        <f>IF(Escenarios!$F$17&gt;0,MIN(Constantes!$F$39*(BG695/Constantes!$F$40)^(2/3),BG695+AY696+AZ696+BA696+BB696-BC696),0)</f>
        <v>0</v>
      </c>
      <c r="BE696" s="170">
        <f>IF(Escenarios!$F$17&gt;0,MIN(Entradas!$F$113,BG695+AY696+AZ696+BA696+BB696-BC696-BD696),0)</f>
        <v>0</v>
      </c>
      <c r="BF696" s="170">
        <f>IF(Escenarios!$F$17&gt;0,MAX(0,BG695+AY696+AZ696+BA696+BB696-BC696-BD696-BE696-Constantes!$F$40),0)</f>
        <v>0</v>
      </c>
      <c r="BG696" s="170">
        <f t="shared" si="151"/>
        <v>0</v>
      </c>
      <c r="BH696" s="170">
        <f>(Escenarios!$F$16*AK696+0.1*BC696)/(Escenarios!$F$19)</f>
        <v>3.045831831642873</v>
      </c>
      <c r="BI696" s="170">
        <f>IF(Escenarios!$F$17&gt;0,BF696/10/Escenarios!$F$19,AL696)</f>
        <v>0</v>
      </c>
      <c r="BJ696" s="170">
        <f>(Escenarios!$F$16*AT696+0.1*BD696)/(Escenarios!$F$19)</f>
        <v>6.8720649492957059E-2</v>
      </c>
      <c r="BK696" s="76">
        <f>BK695+(0.1*BD696)/(Escenarios!$F$19)-BL695</f>
        <v>48.75</v>
      </c>
      <c r="BL696" s="76">
        <f>MAX(0,(BK696-Constantes!$D$13)*(1-EXP(-Constantes!$D$23)))</f>
        <v>0</v>
      </c>
      <c r="BM696" s="76">
        <f t="shared" si="152"/>
        <v>0.12615042009322613</v>
      </c>
      <c r="BN696" s="76">
        <f t="shared" si="153"/>
        <v>0.93215459119214472</v>
      </c>
      <c r="BO696" s="76">
        <f>0.0526*BI696*Observaciones!$F695^1.218</f>
        <v>0</v>
      </c>
      <c r="BP696" s="76">
        <f>BO696*Constantes!$F$51</f>
        <v>0</v>
      </c>
      <c r="BQ696" s="76">
        <f t="shared" si="154"/>
        <v>0</v>
      </c>
      <c r="BR696" s="40"/>
    </row>
    <row r="697" spans="2:70">
      <c r="B697" s="39"/>
      <c r="C697" s="75">
        <v>691</v>
      </c>
      <c r="D697" s="146">
        <f>ETo!$I696*((1-Constantes!$F$19)*ETo!$K696+ETo!$L696)</f>
        <v>4.6628962815197257</v>
      </c>
      <c r="E697" s="76">
        <f>MIN(D697*Constantes!$F$17,0.8*(N696+Observaciones!$F696-F697-M697-Constantes!$D$14))</f>
        <v>2.6593045738621992</v>
      </c>
      <c r="F697" s="76">
        <f>IF(Observaciones!$F696&gt;0.05*Constantes!$F$18,((Observaciones!$F696-0.05*Constantes!$F$18)^2)/(Observaciones!$F696+0.95*Constantes!$F$18),0)</f>
        <v>0</v>
      </c>
      <c r="G697" s="76">
        <f>IF(Escenarios!$F$11&gt;0,(F697*Escenarios!$F$16*10000)/1000,0)</f>
        <v>0</v>
      </c>
      <c r="H697" s="76">
        <f>IF(Escenarios!$F$11&gt;0,(Observaciones!$F696*Constantes!$F$29)/1000,0)</f>
        <v>0</v>
      </c>
      <c r="I697" s="76">
        <f>IF(Escenarios!$F$11&gt;0,(D697*Constantes!$F$29)/1000,0)</f>
        <v>0</v>
      </c>
      <c r="J697" s="76">
        <f>IF(Escenarios!$F$11&gt;0,MAX(0,G697+H697-I697),0)</f>
        <v>0</v>
      </c>
      <c r="K697" s="76">
        <f>IF(Escenarios!$F$11&gt;0,IF(J697&gt;Constantes!$F$30,1000*((J697-Constantes!$F$30)/(Escenarios!$F$16*10000)),0),F697)</f>
        <v>0</v>
      </c>
      <c r="L697" s="76">
        <f>IF(Escenarios!$F$11&gt;0,I697*1000/Escenarios!$F$16/10000+E697,E697)</f>
        <v>2.6593045738621992</v>
      </c>
      <c r="M697" s="76">
        <f>MAX(0,N696+Observaciones!$F696-K697-Constantes!$D$13)</f>
        <v>0</v>
      </c>
      <c r="N697" s="76">
        <f>N696+Observaciones!$F696-K697-L697-M697-O696</f>
        <v>34.563070552028613</v>
      </c>
      <c r="O697" s="76">
        <f>MAX(0,(N697-Constantes!$D$14)*(1-EXP(-Constantes!$D$22)))</f>
        <v>0.79412876703617086</v>
      </c>
      <c r="P697" s="170">
        <f>P696+(Entradas!$F$83*M697-Q696)/(800*Entradas!$D$25)</f>
        <v>0</v>
      </c>
      <c r="Q697" s="170">
        <f>8000*Entradas!$D$26*P697/Constantes!$F$45</f>
        <v>0</v>
      </c>
      <c r="R697" s="170">
        <f>IF(Escenarios!$F$14&gt;0,K697*Escenarios!$F$13/Escenarios!$F$14,0)</f>
        <v>0</v>
      </c>
      <c r="S697" s="170">
        <f>IF(Escenarios!$F$14&gt;0,Q697*Escenarios!$F$13/Escenarios!$F$14,0)</f>
        <v>0</v>
      </c>
      <c r="T697" s="170">
        <f>IF(Escenarios!$F$14&gt;0,Observaciones!$I696,0)</f>
        <v>0</v>
      </c>
      <c r="U697" s="170">
        <f>IF(Escenarios!$F$14&gt;0,MAX(0,Constantes!$F$36/((Z696+R697+S697+T697+Observaciones!$F696)^2)+Entradas!$F$77),0)</f>
        <v>0.17995961335414234</v>
      </c>
      <c r="V697" s="146">
        <f>IF(ETo!D696&gt;0,ETo!I696*((1-Entradas!$F$81)*ETo!K696+ETo!L696),0)</f>
        <v>4.1471972752803348</v>
      </c>
      <c r="W697" s="170">
        <f>IF(Escenarios!$F$14&gt;0,MIN(V697*1,0.8*(Z696+R697+S697+T697+Observaciones!$F696-U697-Constantes!$F$35)),0)</f>
        <v>4.1471972752803348</v>
      </c>
      <c r="X697" s="170">
        <f>IF(Escenarios!$F$14&gt;0,Observaciones!$J696,0)</f>
        <v>0</v>
      </c>
      <c r="Y697" s="170">
        <f>IF(Escenarios!$F$14&gt;0,MAX(0,Z696+R697+S697+T697+Observaciones!$F696-U697-W697-X697-Constantes!$F$33),0)</f>
        <v>0</v>
      </c>
      <c r="Z697" s="170">
        <f>Z696+R697+S697+T697+Observaciones!$F696-U697-W697-Y697</f>
        <v>56.010553955619301</v>
      </c>
      <c r="AA697" s="170">
        <f>IF(Escenarios!$F$14&gt;0,(Escenarios!$F$13*L697+Escenarios!$F$14*W697)/(Escenarios!$F$16),L697)</f>
        <v>2.8378516980323756</v>
      </c>
      <c r="AB697" s="170">
        <f>IF(Escenarios!$F$14&gt;0,(Escenarios!$F$14*Y697)/(Escenarios!$F$16),K697)</f>
        <v>0</v>
      </c>
      <c r="AC697" s="170">
        <f>IF(Escenarios!$F$14&gt;0,(Escenarios!$F$13*M697+Escenarios!$F$14*U697)/(Escenarios!$F$16),M697)</f>
        <v>2.1595153602497082E-2</v>
      </c>
      <c r="AD697" s="76">
        <f t="shared" si="141"/>
        <v>60.864704037882575</v>
      </c>
      <c r="AE697" s="76">
        <f>MAX(0,(AD697-Constantes!$D$13)*(1-EXP(-Constantes!$D$23)))</f>
        <v>0.11936906438295047</v>
      </c>
      <c r="AF697" s="76">
        <f>AB697+O697*Escenarios!$F$13/Escenarios!$F$16+AE697</f>
        <v>0.8182023793747808</v>
      </c>
      <c r="AG697" s="76">
        <f>IF(Entradas!$F$91&gt;0,IF(AF697-Escenarios!$F$38&lt;=0,0,IF(AF697-Escenarios!$F$38&gt;Escenarios!$F$37,Escenarios!$F$37,AF697-Escenarios!$F$38)),0)</f>
        <v>0</v>
      </c>
      <c r="AH697" s="76">
        <f>AG697*Entradas!$F$99</f>
        <v>0</v>
      </c>
      <c r="AI697" s="76">
        <f>IF(Entradas!$F$91&gt;0,D697*Entradas!$D$23/Escenarios!$F$16,0)</f>
        <v>0.22381902151294686</v>
      </c>
      <c r="AJ697" s="76">
        <f>IF(Entradas!$F$91&gt;0,Entradas!$D$24*Entradas!$D$22/Escenarios!$F$16,0)</f>
        <v>0.12</v>
      </c>
      <c r="AK697" s="76">
        <f t="shared" si="142"/>
        <v>3.0616707195453223</v>
      </c>
      <c r="AL697" s="76">
        <f t="shared" si="143"/>
        <v>0</v>
      </c>
      <c r="AM697" s="76">
        <f t="shared" si="144"/>
        <v>0</v>
      </c>
      <c r="AN697" s="76">
        <f>MAX(0,O697*Escenarios!$F$13/Escenarios!$F$16-AM697)</f>
        <v>0.69883331499183032</v>
      </c>
      <c r="AO697" s="76">
        <f>AM697+AN697-O697*Escenarios!$F$13/Escenarios!$F$16</f>
        <v>0</v>
      </c>
      <c r="AP697" s="76">
        <f t="shared" si="145"/>
        <v>0.11936906438295047</v>
      </c>
      <c r="AQ697" s="76">
        <f t="shared" si="146"/>
        <v>0</v>
      </c>
      <c r="AR697" s="76">
        <f t="shared" si="147"/>
        <v>0.8182023793747808</v>
      </c>
      <c r="AS697" s="76">
        <f t="shared" si="148"/>
        <v>0</v>
      </c>
      <c r="AT697" s="76">
        <f t="shared" si="149"/>
        <v>2.1595153602497082E-2</v>
      </c>
      <c r="AU697" s="76">
        <f t="shared" si="150"/>
        <v>49.124190654227519</v>
      </c>
      <c r="AV697" s="76">
        <f>MAX(0,(AU697-Constantes!$D$13)*(1-EXP(-Constantes!$D$24)))</f>
        <v>5.7195965994944423E-3</v>
      </c>
      <c r="AW697" s="170">
        <f>AW696+(Entradas!$F$112*AT697-AX696)/(800*Entradas!$D$25)</f>
        <v>0</v>
      </c>
      <c r="AX697" s="170">
        <f>8000*Entradas!$D$26*AW697/Constantes!$F$45</f>
        <v>0</v>
      </c>
      <c r="AY697" s="170">
        <f>IF(Escenarios!$F$17&gt;0,10*Escenarios!$F$16*AL697,0)</f>
        <v>0</v>
      </c>
      <c r="AZ697" s="170">
        <f>IF(Escenarios!$F$17&gt;0,10*Escenarios!$F$16*AX697,0)</f>
        <v>0</v>
      </c>
      <c r="BA697" s="170">
        <f>IF(Escenarios!$F$17&gt;0,0.001*Observaciones!$F696*Escenarios!$F$17,0)</f>
        <v>0</v>
      </c>
      <c r="BB697" s="170">
        <f>IF(Escenarios!$F$17&gt;0,Observaciones!$K696,0)</f>
        <v>0</v>
      </c>
      <c r="BC697" s="170">
        <f>IF(Escenarios!$F$17&gt;0,MIN(0.0005*ETo!$M696*Escenarios!$F$17*(BG696/Constantes!$F$40)^(2/3),BG696+AY697+AZ697+BA697+BB697),0)</f>
        <v>0</v>
      </c>
      <c r="BD697" s="170">
        <f>IF(Escenarios!$F$17&gt;0,MIN(Constantes!$F$39*(BG696/Constantes!$F$40)^(2/3),BG696+AY697+AZ697+BA697+BB697-BC697),0)</f>
        <v>0</v>
      </c>
      <c r="BE697" s="170">
        <f>IF(Escenarios!$F$17&gt;0,MIN(Entradas!$F$113,BG696+AY697+AZ697+BA697+BB697-BC697-BD697),0)</f>
        <v>0</v>
      </c>
      <c r="BF697" s="170">
        <f>IF(Escenarios!$F$17&gt;0,MAX(0,BG696+AY697+AZ697+BA697+BB697-BC697-BD697-BE697-Constantes!$F$40),0)</f>
        <v>0</v>
      </c>
      <c r="BG697" s="170">
        <f t="shared" si="151"/>
        <v>0</v>
      </c>
      <c r="BH697" s="170">
        <f>(Escenarios!$F$16*AK697+0.1*BC697)/(Escenarios!$F$19)</f>
        <v>3.0616707195453223</v>
      </c>
      <c r="BI697" s="170">
        <f>IF(Escenarios!$F$17&gt;0,BF697/10/Escenarios!$F$19,AL697)</f>
        <v>0</v>
      </c>
      <c r="BJ697" s="170">
        <f>(Escenarios!$F$16*AT697+0.1*BD697)/(Escenarios!$F$19)</f>
        <v>2.1595153602497082E-2</v>
      </c>
      <c r="BK697" s="76">
        <f>BK696+(0.1*BD697)/(Escenarios!$F$19)-BL696</f>
        <v>48.75</v>
      </c>
      <c r="BL697" s="76">
        <f>MAX(0,(BK697-Constantes!$D$13)*(1-EXP(-Constantes!$D$23)))</f>
        <v>0</v>
      </c>
      <c r="BM697" s="76">
        <f t="shared" si="152"/>
        <v>0.12508866098244492</v>
      </c>
      <c r="BN697" s="76">
        <f t="shared" si="153"/>
        <v>0.82392197597427519</v>
      </c>
      <c r="BO697" s="76">
        <f>0.0526*BI697*Observaciones!$F696^1.218</f>
        <v>0</v>
      </c>
      <c r="BP697" s="76">
        <f>BO697*Constantes!$F$51</f>
        <v>0</v>
      </c>
      <c r="BQ697" s="76">
        <f t="shared" si="154"/>
        <v>0</v>
      </c>
      <c r="BR697" s="40"/>
    </row>
    <row r="698" spans="2:70">
      <c r="B698" s="39"/>
      <c r="C698" s="75">
        <v>692</v>
      </c>
      <c r="D698" s="146">
        <f>ETo!$I697*((1-Constantes!$F$19)*ETo!$K697+ETo!$L697)</f>
        <v>4.7007905977434845</v>
      </c>
      <c r="E698" s="76">
        <f>MIN(D698*Constantes!$F$17,0.8*(N697+Observaciones!$F697-F698-M698-Constantes!$D$14))</f>
        <v>2.6809161479511641</v>
      </c>
      <c r="F698" s="76">
        <f>IF(Observaciones!$F697&gt;0.05*Constantes!$F$18,((Observaciones!$F697-0.05*Constantes!$F$18)^2)/(Observaciones!$F697+0.95*Constantes!$F$18),0)</f>
        <v>0</v>
      </c>
      <c r="G698" s="76">
        <f>IF(Escenarios!$F$11&gt;0,(F698*Escenarios!$F$16*10000)/1000,0)</f>
        <v>0</v>
      </c>
      <c r="H698" s="76">
        <f>IF(Escenarios!$F$11&gt;0,(Observaciones!$F697*Constantes!$F$29)/1000,0)</f>
        <v>0</v>
      </c>
      <c r="I698" s="76">
        <f>IF(Escenarios!$F$11&gt;0,(D698*Constantes!$F$29)/1000,0)</f>
        <v>0</v>
      </c>
      <c r="J698" s="76">
        <f>IF(Escenarios!$F$11&gt;0,MAX(0,G698+H698-I698),0)</f>
        <v>0</v>
      </c>
      <c r="K698" s="76">
        <f>IF(Escenarios!$F$11&gt;0,IF(J698&gt;Constantes!$F$30,1000*((J698-Constantes!$F$30)/(Escenarios!$F$16*10000)),0),F698)</f>
        <v>0</v>
      </c>
      <c r="L698" s="76">
        <f>IF(Escenarios!$F$11&gt;0,I698*1000/Escenarios!$F$16/10000+E698,E698)</f>
        <v>2.6809161479511641</v>
      </c>
      <c r="M698" s="76">
        <f>MAX(0,N697+Observaciones!$F697-K698-Constantes!$D$13)</f>
        <v>0</v>
      </c>
      <c r="N698" s="76">
        <f>N697+Observaciones!$F697-K698-L698-M698-O697</f>
        <v>31.088025637041277</v>
      </c>
      <c r="O698" s="76">
        <f>MAX(0,(N698-Constantes!$D$14)*(1-EXP(-Constantes!$D$22)))</f>
        <v>0.67575598008065441</v>
      </c>
      <c r="P698" s="170">
        <f>P697+(Entradas!$F$83*M698-Q697)/(800*Entradas!$D$25)</f>
        <v>0</v>
      </c>
      <c r="Q698" s="170">
        <f>8000*Entradas!$D$26*P698/Constantes!$F$45</f>
        <v>0</v>
      </c>
      <c r="R698" s="170">
        <f>IF(Escenarios!$F$14&gt;0,K698*Escenarios!$F$13/Escenarios!$F$14,0)</f>
        <v>0</v>
      </c>
      <c r="S698" s="170">
        <f>IF(Escenarios!$F$14&gt;0,Q698*Escenarios!$F$13/Escenarios!$F$14,0)</f>
        <v>0</v>
      </c>
      <c r="T698" s="170">
        <f>IF(Escenarios!$F$14&gt;0,Observaciones!$I697,0)</f>
        <v>0</v>
      </c>
      <c r="U698" s="170">
        <f>IF(Escenarios!$F$14&gt;0,MAX(0,Constantes!$F$36/((Z697+R698+S698+T698+Observaciones!$F697)^2)+Entradas!$F$77),0)</f>
        <v>0</v>
      </c>
      <c r="V698" s="146">
        <f>IF(ETo!D697&gt;0,ETo!I697*((1-Entradas!$F$81)*ETo!K697+ETo!L697),0)</f>
        <v>4.1816012543771031</v>
      </c>
      <c r="W698" s="170">
        <f>IF(Escenarios!$F$14&gt;0,MIN(V698*1,0.8*(Z697+R698+S698+T698+Observaciones!$F697-U698-Constantes!$F$35)),0)</f>
        <v>4.1816012543771031</v>
      </c>
      <c r="X698" s="170">
        <f>IF(Escenarios!$F$14&gt;0,Observaciones!$J697,0)</f>
        <v>0</v>
      </c>
      <c r="Y698" s="170">
        <f>IF(Escenarios!$F$14&gt;0,MAX(0,Z697+R698+S698+T698+Observaciones!$F697-U698-W698-X698-Constantes!$F$33),0)</f>
        <v>0</v>
      </c>
      <c r="Z698" s="170">
        <f>Z697+R698+S698+T698+Observaciones!$F697-U698-W698-Y698</f>
        <v>51.828952701242201</v>
      </c>
      <c r="AA698" s="170">
        <f>IF(Escenarios!$F$14&gt;0,(Escenarios!$F$13*L698+Escenarios!$F$14*W698)/(Escenarios!$F$16),L698)</f>
        <v>2.8609983607222769</v>
      </c>
      <c r="AB698" s="170">
        <f>IF(Escenarios!$F$14&gt;0,(Escenarios!$F$14*Y698)/(Escenarios!$F$16),K698)</f>
        <v>0</v>
      </c>
      <c r="AC698" s="170">
        <f>IF(Escenarios!$F$14&gt;0,(Escenarios!$F$13*M698+Escenarios!$F$14*U698)/(Escenarios!$F$16),M698)</f>
        <v>0</v>
      </c>
      <c r="AD698" s="76">
        <f t="shared" si="141"/>
        <v>60.745334973499624</v>
      </c>
      <c r="AE698" s="76">
        <f>MAX(0,(AD698-Constantes!$D$13)*(1-EXP(-Constantes!$D$23)))</f>
        <v>0.1181928925600892</v>
      </c>
      <c r="AF698" s="76">
        <f>AB698+O698*Escenarios!$F$13/Escenarios!$F$16+AE698</f>
        <v>0.7128581550310652</v>
      </c>
      <c r="AG698" s="76">
        <f>IF(Entradas!$F$91&gt;0,IF(AF698-Escenarios!$F$38&lt;=0,0,IF(AF698-Escenarios!$F$38&gt;Escenarios!$F$37,Escenarios!$F$37,AF698-Escenarios!$F$38)),0)</f>
        <v>0</v>
      </c>
      <c r="AH698" s="76">
        <f>AG698*Entradas!$F$99</f>
        <v>0</v>
      </c>
      <c r="AI698" s="76">
        <f>IF(Entradas!$F$91&gt;0,D698*Entradas!$D$23/Escenarios!$F$16,0)</f>
        <v>0.22563794869168727</v>
      </c>
      <c r="AJ698" s="76">
        <f>IF(Entradas!$F$91&gt;0,Entradas!$D$24*Entradas!$D$22/Escenarios!$F$16,0)</f>
        <v>0.12</v>
      </c>
      <c r="AK698" s="76">
        <f t="shared" si="142"/>
        <v>3.0866363094139642</v>
      </c>
      <c r="AL698" s="76">
        <f t="shared" si="143"/>
        <v>0</v>
      </c>
      <c r="AM698" s="76">
        <f t="shared" si="144"/>
        <v>0</v>
      </c>
      <c r="AN698" s="76">
        <f>MAX(0,O698*Escenarios!$F$13/Escenarios!$F$16-AM698)</f>
        <v>0.59466526247097595</v>
      </c>
      <c r="AO698" s="76">
        <f>AM698+AN698-O698*Escenarios!$F$13/Escenarios!$F$16</f>
        <v>0</v>
      </c>
      <c r="AP698" s="76">
        <f t="shared" si="145"/>
        <v>0.1181928925600892</v>
      </c>
      <c r="AQ698" s="76">
        <f t="shared" si="146"/>
        <v>0</v>
      </c>
      <c r="AR698" s="76">
        <f t="shared" si="147"/>
        <v>0.7128581550310652</v>
      </c>
      <c r="AS698" s="76">
        <f t="shared" si="148"/>
        <v>0</v>
      </c>
      <c r="AT698" s="76">
        <f t="shared" si="149"/>
        <v>0</v>
      </c>
      <c r="AU698" s="76">
        <f t="shared" si="150"/>
        <v>49.118471057628021</v>
      </c>
      <c r="AV698" s="76">
        <f>MAX(0,(AU698-Constantes!$D$13)*(1-EXP(-Constantes!$D$24)))</f>
        <v>5.6321711523557314E-3</v>
      </c>
      <c r="AW698" s="170">
        <f>AW697+(Entradas!$F$112*AT698-AX697)/(800*Entradas!$D$25)</f>
        <v>0</v>
      </c>
      <c r="AX698" s="170">
        <f>8000*Entradas!$D$26*AW698/Constantes!$F$45</f>
        <v>0</v>
      </c>
      <c r="AY698" s="170">
        <f>IF(Escenarios!$F$17&gt;0,10*Escenarios!$F$16*AL698,0)</f>
        <v>0</v>
      </c>
      <c r="AZ698" s="170">
        <f>IF(Escenarios!$F$17&gt;0,10*Escenarios!$F$16*AX698,0)</f>
        <v>0</v>
      </c>
      <c r="BA698" s="170">
        <f>IF(Escenarios!$F$17&gt;0,0.001*Observaciones!$F697*Escenarios!$F$17,0)</f>
        <v>0</v>
      </c>
      <c r="BB698" s="170">
        <f>IF(Escenarios!$F$17&gt;0,Observaciones!$K697,0)</f>
        <v>0</v>
      </c>
      <c r="BC698" s="170">
        <f>IF(Escenarios!$F$17&gt;0,MIN(0.0005*ETo!$M697*Escenarios!$F$17*(BG697/Constantes!$F$40)^(2/3),BG697+AY698+AZ698+BA698+BB698),0)</f>
        <v>0</v>
      </c>
      <c r="BD698" s="170">
        <f>IF(Escenarios!$F$17&gt;0,MIN(Constantes!$F$39*(BG697/Constantes!$F$40)^(2/3),BG697+AY698+AZ698+BA698+BB698-BC698),0)</f>
        <v>0</v>
      </c>
      <c r="BE698" s="170">
        <f>IF(Escenarios!$F$17&gt;0,MIN(Entradas!$F$113,BG697+AY698+AZ698+BA698+BB698-BC698-BD698),0)</f>
        <v>0</v>
      </c>
      <c r="BF698" s="170">
        <f>IF(Escenarios!$F$17&gt;0,MAX(0,BG697+AY698+AZ698+BA698+BB698-BC698-BD698-BE698-Constantes!$F$40),0)</f>
        <v>0</v>
      </c>
      <c r="BG698" s="170">
        <f t="shared" si="151"/>
        <v>0</v>
      </c>
      <c r="BH698" s="170">
        <f>(Escenarios!$F$16*AK698+0.1*BC698)/(Escenarios!$F$19)</f>
        <v>3.0866363094139642</v>
      </c>
      <c r="BI698" s="170">
        <f>IF(Escenarios!$F$17&gt;0,BF698/10/Escenarios!$F$19,AL698)</f>
        <v>0</v>
      </c>
      <c r="BJ698" s="170">
        <f>(Escenarios!$F$16*AT698+0.1*BD698)/(Escenarios!$F$19)</f>
        <v>0</v>
      </c>
      <c r="BK698" s="76">
        <f>BK697+(0.1*BD698)/(Escenarios!$F$19)-BL697</f>
        <v>48.75</v>
      </c>
      <c r="BL698" s="76">
        <f>MAX(0,(BK698-Constantes!$D$13)*(1-EXP(-Constantes!$D$23)))</f>
        <v>0</v>
      </c>
      <c r="BM698" s="76">
        <f t="shared" si="152"/>
        <v>0.12382506371244494</v>
      </c>
      <c r="BN698" s="76">
        <f t="shared" si="153"/>
        <v>0.7184903261834209</v>
      </c>
      <c r="BO698" s="76">
        <f>0.0526*BI698*Observaciones!$F697^1.218</f>
        <v>0</v>
      </c>
      <c r="BP698" s="76">
        <f>BO698*Constantes!$F$51</f>
        <v>0</v>
      </c>
      <c r="BQ698" s="76">
        <f t="shared" si="154"/>
        <v>0</v>
      </c>
      <c r="BR698" s="40"/>
    </row>
    <row r="699" spans="2:70">
      <c r="B699" s="39"/>
      <c r="C699" s="75">
        <v>693</v>
      </c>
      <c r="D699" s="146">
        <f>ETo!$I698*((1-Constantes!$F$19)*ETo!$K698+ETo!$L698)</f>
        <v>4.5806804315560425</v>
      </c>
      <c r="E699" s="76">
        <f>MIN(D699*Constantes!$F$17,0.8*(N698+Observaciones!$F698-F699-M699-Constantes!$D$14))</f>
        <v>2.6124159079660894</v>
      </c>
      <c r="F699" s="76">
        <f>IF(Observaciones!$F698&gt;0.05*Constantes!$F$18,((Observaciones!$F698-0.05*Constantes!$F$18)^2)/(Observaciones!$F698+0.95*Constantes!$F$18),0)</f>
        <v>0</v>
      </c>
      <c r="G699" s="76">
        <f>IF(Escenarios!$F$11&gt;0,(F699*Escenarios!$F$16*10000)/1000,0)</f>
        <v>0</v>
      </c>
      <c r="H699" s="76">
        <f>IF(Escenarios!$F$11&gt;0,(Observaciones!$F698*Constantes!$F$29)/1000,0)</f>
        <v>0</v>
      </c>
      <c r="I699" s="76">
        <f>IF(Escenarios!$F$11&gt;0,(D699*Constantes!$F$29)/1000,0)</f>
        <v>0</v>
      </c>
      <c r="J699" s="76">
        <f>IF(Escenarios!$F$11&gt;0,MAX(0,G699+H699-I699),0)</f>
        <v>0</v>
      </c>
      <c r="K699" s="76">
        <f>IF(Escenarios!$F$11&gt;0,IF(J699&gt;Constantes!$F$30,1000*((J699-Constantes!$F$30)/(Escenarios!$F$16*10000)),0),F699)</f>
        <v>0</v>
      </c>
      <c r="L699" s="76">
        <f>IF(Escenarios!$F$11&gt;0,I699*1000/Escenarios!$F$16/10000+E699,E699)</f>
        <v>2.6124159079660894</v>
      </c>
      <c r="M699" s="76">
        <f>MAX(0,N698+Observaciones!$F698-K699-Constantes!$D$13)</f>
        <v>0</v>
      </c>
      <c r="N699" s="76">
        <f>N698+Observaciones!$F698-K699-L699-M699-O698</f>
        <v>27.799853748994533</v>
      </c>
      <c r="O699" s="76">
        <f>MAX(0,(N699-Constantes!$D$14)*(1-EXP(-Constantes!$D$22)))</f>
        <v>0.56374877444766069</v>
      </c>
      <c r="P699" s="170">
        <f>P698+(Entradas!$F$83*M699-Q698)/(800*Entradas!$D$25)</f>
        <v>0</v>
      </c>
      <c r="Q699" s="170">
        <f>8000*Entradas!$D$26*P699/Constantes!$F$45</f>
        <v>0</v>
      </c>
      <c r="R699" s="170">
        <f>IF(Escenarios!$F$14&gt;0,K699*Escenarios!$F$13/Escenarios!$F$14,0)</f>
        <v>0</v>
      </c>
      <c r="S699" s="170">
        <f>IF(Escenarios!$F$14&gt;0,Q699*Escenarios!$F$13/Escenarios!$F$14,0)</f>
        <v>0</v>
      </c>
      <c r="T699" s="170">
        <f>IF(Escenarios!$F$14&gt;0,Observaciones!$I698,0)</f>
        <v>0</v>
      </c>
      <c r="U699" s="170">
        <f>IF(Escenarios!$F$14&gt;0,MAX(0,Constantes!$F$36/((Z698+R699+S699+T699+Observaciones!$F698)^2)+Entradas!$F$77),0)</f>
        <v>0</v>
      </c>
      <c r="V699" s="146">
        <f>IF(ETo!D698&gt;0,ETo!I698*((1-Entradas!$F$81)*ETo!K698+ETo!L698),0)</f>
        <v>4.0727255528133242</v>
      </c>
      <c r="W699" s="170">
        <f>IF(Escenarios!$F$14&gt;0,MIN(V699*1,0.8*(Z698+R699+S699+T699+Observaciones!$F698-U699-Constantes!$F$35)),0)</f>
        <v>4.0727255528133242</v>
      </c>
      <c r="X699" s="170">
        <f>IF(Escenarios!$F$14&gt;0,Observaciones!$J698,0)</f>
        <v>0</v>
      </c>
      <c r="Y699" s="170">
        <f>IF(Escenarios!$F$14&gt;0,MAX(0,Z698+R699+S699+T699+Observaciones!$F698-U699-W699-X699-Constantes!$F$33),0)</f>
        <v>0</v>
      </c>
      <c r="Z699" s="170">
        <f>Z698+R699+S699+T699+Observaciones!$F698-U699-W699-Y699</f>
        <v>47.756227148428877</v>
      </c>
      <c r="AA699" s="170">
        <f>IF(Escenarios!$F$14&gt;0,(Escenarios!$F$13*L699+Escenarios!$F$14*W699)/(Escenarios!$F$16),L699)</f>
        <v>2.7876530653477576</v>
      </c>
      <c r="AB699" s="170">
        <f>IF(Escenarios!$F$14&gt;0,(Escenarios!$F$14*Y699)/(Escenarios!$F$16),K699)</f>
        <v>0</v>
      </c>
      <c r="AC699" s="170">
        <f>IF(Escenarios!$F$14&gt;0,(Escenarios!$F$13*M699+Escenarios!$F$14*U699)/(Escenarios!$F$16),M699)</f>
        <v>0</v>
      </c>
      <c r="AD699" s="76">
        <f t="shared" si="141"/>
        <v>60.627142080939535</v>
      </c>
      <c r="AE699" s="76">
        <f>MAX(0,(AD699-Constantes!$D$13)*(1-EXP(-Constantes!$D$23)))</f>
        <v>0.11702830983834091</v>
      </c>
      <c r="AF699" s="76">
        <f>AB699+O699*Escenarios!$F$13/Escenarios!$F$16+AE699</f>
        <v>0.61312723135228231</v>
      </c>
      <c r="AG699" s="76">
        <f>IF(Entradas!$F$91&gt;0,IF(AF699-Escenarios!$F$38&lt;=0,0,IF(AF699-Escenarios!$F$38&gt;Escenarios!$F$37,Escenarios!$F$37,AF699-Escenarios!$F$38)),0)</f>
        <v>0</v>
      </c>
      <c r="AH699" s="76">
        <f>AG699*Entradas!$F$99</f>
        <v>0</v>
      </c>
      <c r="AI699" s="76">
        <f>IF(Entradas!$F$91&gt;0,D699*Entradas!$D$23/Escenarios!$F$16,0)</f>
        <v>0.21987266071469003</v>
      </c>
      <c r="AJ699" s="76">
        <f>IF(Entradas!$F$91&gt;0,Entradas!$D$24*Entradas!$D$22/Escenarios!$F$16,0)</f>
        <v>0.12</v>
      </c>
      <c r="AK699" s="76">
        <f t="shared" si="142"/>
        <v>3.0075257260624477</v>
      </c>
      <c r="AL699" s="76">
        <f t="shared" si="143"/>
        <v>0</v>
      </c>
      <c r="AM699" s="76">
        <f t="shared" si="144"/>
        <v>0</v>
      </c>
      <c r="AN699" s="76">
        <f>MAX(0,O699*Escenarios!$F$13/Escenarios!$F$16-AM699)</f>
        <v>0.49609892151394142</v>
      </c>
      <c r="AO699" s="76">
        <f>AM699+AN699-O699*Escenarios!$F$13/Escenarios!$F$16</f>
        <v>0</v>
      </c>
      <c r="AP699" s="76">
        <f t="shared" si="145"/>
        <v>0.11702830983834091</v>
      </c>
      <c r="AQ699" s="76">
        <f t="shared" si="146"/>
        <v>0</v>
      </c>
      <c r="AR699" s="76">
        <f t="shared" si="147"/>
        <v>0.61312723135228231</v>
      </c>
      <c r="AS699" s="76">
        <f t="shared" si="148"/>
        <v>0</v>
      </c>
      <c r="AT699" s="76">
        <f t="shared" si="149"/>
        <v>0</v>
      </c>
      <c r="AU699" s="76">
        <f t="shared" si="150"/>
        <v>49.112838886475664</v>
      </c>
      <c r="AV699" s="76">
        <f>MAX(0,(AU699-Constantes!$D$13)*(1-EXP(-Constantes!$D$24)))</f>
        <v>5.5460820247763909E-3</v>
      </c>
      <c r="AW699" s="170">
        <f>AW698+(Entradas!$F$112*AT699-AX698)/(800*Entradas!$D$25)</f>
        <v>0</v>
      </c>
      <c r="AX699" s="170">
        <f>8000*Entradas!$D$26*AW699/Constantes!$F$45</f>
        <v>0</v>
      </c>
      <c r="AY699" s="170">
        <f>IF(Escenarios!$F$17&gt;0,10*Escenarios!$F$16*AL699,0)</f>
        <v>0</v>
      </c>
      <c r="AZ699" s="170">
        <f>IF(Escenarios!$F$17&gt;0,10*Escenarios!$F$16*AX699,0)</f>
        <v>0</v>
      </c>
      <c r="BA699" s="170">
        <f>IF(Escenarios!$F$17&gt;0,0.001*Observaciones!$F698*Escenarios!$F$17,0)</f>
        <v>0</v>
      </c>
      <c r="BB699" s="170">
        <f>IF(Escenarios!$F$17&gt;0,Observaciones!$K698,0)</f>
        <v>0</v>
      </c>
      <c r="BC699" s="170">
        <f>IF(Escenarios!$F$17&gt;0,MIN(0.0005*ETo!$M698*Escenarios!$F$17*(BG698/Constantes!$F$40)^(2/3),BG698+AY699+AZ699+BA699+BB699),0)</f>
        <v>0</v>
      </c>
      <c r="BD699" s="170">
        <f>IF(Escenarios!$F$17&gt;0,MIN(Constantes!$F$39*(BG698/Constantes!$F$40)^(2/3),BG698+AY699+AZ699+BA699+BB699-BC699),0)</f>
        <v>0</v>
      </c>
      <c r="BE699" s="170">
        <f>IF(Escenarios!$F$17&gt;0,MIN(Entradas!$F$113,BG698+AY699+AZ699+BA699+BB699-BC699-BD699),0)</f>
        <v>0</v>
      </c>
      <c r="BF699" s="170">
        <f>IF(Escenarios!$F$17&gt;0,MAX(0,BG698+AY699+AZ699+BA699+BB699-BC699-BD699-BE699-Constantes!$F$40),0)</f>
        <v>0</v>
      </c>
      <c r="BG699" s="170">
        <f t="shared" si="151"/>
        <v>0</v>
      </c>
      <c r="BH699" s="170">
        <f>(Escenarios!$F$16*AK699+0.1*BC699)/(Escenarios!$F$19)</f>
        <v>3.0075257260624477</v>
      </c>
      <c r="BI699" s="170">
        <f>IF(Escenarios!$F$17&gt;0,BF699/10/Escenarios!$F$19,AL699)</f>
        <v>0</v>
      </c>
      <c r="BJ699" s="170">
        <f>(Escenarios!$F$16*AT699+0.1*BD699)/(Escenarios!$F$19)</f>
        <v>0</v>
      </c>
      <c r="BK699" s="76">
        <f>BK698+(0.1*BD699)/(Escenarios!$F$19)-BL698</f>
        <v>48.75</v>
      </c>
      <c r="BL699" s="76">
        <f>MAX(0,(BK699-Constantes!$D$13)*(1-EXP(-Constantes!$D$23)))</f>
        <v>0</v>
      </c>
      <c r="BM699" s="76">
        <f t="shared" si="152"/>
        <v>0.1225743918631173</v>
      </c>
      <c r="BN699" s="76">
        <f t="shared" si="153"/>
        <v>0.61867331337705866</v>
      </c>
      <c r="BO699" s="76">
        <f>0.0526*BI699*Observaciones!$F698^1.218</f>
        <v>0</v>
      </c>
      <c r="BP699" s="76">
        <f>BO699*Constantes!$F$51</f>
        <v>0</v>
      </c>
      <c r="BQ699" s="76">
        <f t="shared" si="154"/>
        <v>0</v>
      </c>
      <c r="BR699" s="40"/>
    </row>
    <row r="700" spans="2:70">
      <c r="B700" s="39"/>
      <c r="C700" s="75">
        <v>694</v>
      </c>
      <c r="D700" s="146">
        <f>ETo!$I699*((1-Constantes!$F$19)*ETo!$K699+ETo!$L699)</f>
        <v>4.6370071945177047</v>
      </c>
      <c r="E700" s="76">
        <f>MIN(D700*Constantes!$F$17,0.8*(N699+Observaciones!$F699-F700-M700-Constantes!$D$14))</f>
        <v>2.6445397231511829</v>
      </c>
      <c r="F700" s="76">
        <f>IF(Observaciones!$F699&gt;0.05*Constantes!$F$18,((Observaciones!$F699-0.05*Constantes!$F$18)^2)/(Observaciones!$F699+0.95*Constantes!$F$18),0)</f>
        <v>0</v>
      </c>
      <c r="G700" s="76">
        <f>IF(Escenarios!$F$11&gt;0,(F700*Escenarios!$F$16*10000)/1000,0)</f>
        <v>0</v>
      </c>
      <c r="H700" s="76">
        <f>IF(Escenarios!$F$11&gt;0,(Observaciones!$F699*Constantes!$F$29)/1000,0)</f>
        <v>0</v>
      </c>
      <c r="I700" s="76">
        <f>IF(Escenarios!$F$11&gt;0,(D700*Constantes!$F$29)/1000,0)</f>
        <v>0</v>
      </c>
      <c r="J700" s="76">
        <f>IF(Escenarios!$F$11&gt;0,MAX(0,G700+H700-I700),0)</f>
        <v>0</v>
      </c>
      <c r="K700" s="76">
        <f>IF(Escenarios!$F$11&gt;0,IF(J700&gt;Constantes!$F$30,1000*((J700-Constantes!$F$30)/(Escenarios!$F$16*10000)),0),F700)</f>
        <v>0</v>
      </c>
      <c r="L700" s="76">
        <f>IF(Escenarios!$F$11&gt;0,I700*1000/Escenarios!$F$16/10000+E700,E700)</f>
        <v>2.6445397231511829</v>
      </c>
      <c r="M700" s="76">
        <f>MAX(0,N699+Observaciones!$F699-K700-Constantes!$D$13)</f>
        <v>0</v>
      </c>
      <c r="N700" s="76">
        <f>N699+Observaciones!$F699-K700-L700-M700-O699</f>
        <v>32.191565251395687</v>
      </c>
      <c r="O700" s="76">
        <f>MAX(0,(N700-Constantes!$D$14)*(1-EXP(-Constantes!$D$22)))</f>
        <v>0.71334659052242577</v>
      </c>
      <c r="P700" s="170">
        <f>P699+(Entradas!$F$83*M700-Q699)/(800*Entradas!$D$25)</f>
        <v>0</v>
      </c>
      <c r="Q700" s="170">
        <f>8000*Entradas!$D$26*P700/Constantes!$F$45</f>
        <v>0</v>
      </c>
      <c r="R700" s="170">
        <f>IF(Escenarios!$F$14&gt;0,K700*Escenarios!$F$13/Escenarios!$F$14,0)</f>
        <v>0</v>
      </c>
      <c r="S700" s="170">
        <f>IF(Escenarios!$F$14&gt;0,Q700*Escenarios!$F$13/Escenarios!$F$14,0)</f>
        <v>0</v>
      </c>
      <c r="T700" s="170">
        <f>IF(Escenarios!$F$14&gt;0,Observaciones!$I699,0)</f>
        <v>0</v>
      </c>
      <c r="U700" s="170">
        <f>IF(Escenarios!$F$14&gt;0,MAX(0,Constantes!$F$36/((Z699+R700+S700+T700+Observaciones!$F699)^2)+Entradas!$F$77),0)</f>
        <v>0</v>
      </c>
      <c r="V700" s="146">
        <f>IF(ETo!D699&gt;0,ETo!I699*((1-Entradas!$F$81)*ETo!K699+ETo!L699),0)</f>
        <v>4.1237421653213415</v>
      </c>
      <c r="W700" s="170">
        <f>IF(Escenarios!$F$14&gt;0,MIN(V700*1,0.8*(Z699+R700+S700+T700+Observaciones!$F699-U700-Constantes!$F$35)),0)</f>
        <v>4.1237421653213415</v>
      </c>
      <c r="X700" s="170">
        <f>IF(Escenarios!$F$14&gt;0,Observaciones!$J699,0)</f>
        <v>0</v>
      </c>
      <c r="Y700" s="170">
        <f>IF(Escenarios!$F$14&gt;0,MAX(0,Z699+R700+S700+T700+Observaciones!$F699-U700-W700-X700-Constantes!$F$33),0)</f>
        <v>0</v>
      </c>
      <c r="Z700" s="170">
        <f>Z699+R700+S700+T700+Observaciones!$F699-U700-W700-Y700</f>
        <v>51.23248498310754</v>
      </c>
      <c r="AA700" s="170">
        <f>IF(Escenarios!$F$14&gt;0,(Escenarios!$F$13*L700+Escenarios!$F$14*W700)/(Escenarios!$F$16),L700)</f>
        <v>2.8220440162116018</v>
      </c>
      <c r="AB700" s="170">
        <f>IF(Escenarios!$F$14&gt;0,(Escenarios!$F$14*Y700)/(Escenarios!$F$16),K700)</f>
        <v>0</v>
      </c>
      <c r="AC700" s="170">
        <f>IF(Escenarios!$F$14&gt;0,(Escenarios!$F$13*M700+Escenarios!$F$14*U700)/(Escenarios!$F$16),M700)</f>
        <v>0</v>
      </c>
      <c r="AD700" s="76">
        <f t="shared" si="141"/>
        <v>60.510113771101196</v>
      </c>
      <c r="AE700" s="76">
        <f>MAX(0,(AD700-Constantes!$D$13)*(1-EXP(-Constantes!$D$23)))</f>
        <v>0.115875202027532</v>
      </c>
      <c r="AF700" s="76">
        <f>AB700+O700*Escenarios!$F$13/Escenarios!$F$16+AE700</f>
        <v>0.74362020168726672</v>
      </c>
      <c r="AG700" s="76">
        <f>IF(Entradas!$F$91&gt;0,IF(AF700-Escenarios!$F$38&lt;=0,0,IF(AF700-Escenarios!$F$38&gt;Escenarios!$F$37,Escenarios!$F$37,AF700-Escenarios!$F$38)),0)</f>
        <v>0</v>
      </c>
      <c r="AH700" s="76">
        <f>AG700*Entradas!$F$99</f>
        <v>0</v>
      </c>
      <c r="AI700" s="76">
        <f>IF(Entradas!$F$91&gt;0,D700*Entradas!$D$23/Escenarios!$F$16,0)</f>
        <v>0.22257634533684983</v>
      </c>
      <c r="AJ700" s="76">
        <f>IF(Entradas!$F$91&gt;0,Entradas!$D$24*Entradas!$D$22/Escenarios!$F$16,0)</f>
        <v>0.12</v>
      </c>
      <c r="AK700" s="76">
        <f t="shared" si="142"/>
        <v>3.0446203615484517</v>
      </c>
      <c r="AL700" s="76">
        <f t="shared" si="143"/>
        <v>0</v>
      </c>
      <c r="AM700" s="76">
        <f t="shared" si="144"/>
        <v>0</v>
      </c>
      <c r="AN700" s="76">
        <f>MAX(0,O700*Escenarios!$F$13/Escenarios!$F$16-AM700)</f>
        <v>0.62774499965973474</v>
      </c>
      <c r="AO700" s="76">
        <f>AM700+AN700-O700*Escenarios!$F$13/Escenarios!$F$16</f>
        <v>0</v>
      </c>
      <c r="AP700" s="76">
        <f t="shared" si="145"/>
        <v>0.115875202027532</v>
      </c>
      <c r="AQ700" s="76">
        <f t="shared" si="146"/>
        <v>0</v>
      </c>
      <c r="AR700" s="76">
        <f t="shared" si="147"/>
        <v>0.74362020168726672</v>
      </c>
      <c r="AS700" s="76">
        <f t="shared" si="148"/>
        <v>0</v>
      </c>
      <c r="AT700" s="76">
        <f t="shared" si="149"/>
        <v>0</v>
      </c>
      <c r="AU700" s="76">
        <f t="shared" si="150"/>
        <v>49.107292804450886</v>
      </c>
      <c r="AV700" s="76">
        <f>MAX(0,(AU700-Constantes!$D$13)*(1-EXP(-Constantes!$D$24)))</f>
        <v>5.4613087907817376E-3</v>
      </c>
      <c r="AW700" s="170">
        <f>AW699+(Entradas!$F$112*AT700-AX699)/(800*Entradas!$D$25)</f>
        <v>0</v>
      </c>
      <c r="AX700" s="170">
        <f>8000*Entradas!$D$26*AW700/Constantes!$F$45</f>
        <v>0</v>
      </c>
      <c r="AY700" s="170">
        <f>IF(Escenarios!$F$17&gt;0,10*Escenarios!$F$16*AL700,0)</f>
        <v>0</v>
      </c>
      <c r="AZ700" s="170">
        <f>IF(Escenarios!$F$17&gt;0,10*Escenarios!$F$16*AX700,0)</f>
        <v>0</v>
      </c>
      <c r="BA700" s="170">
        <f>IF(Escenarios!$F$17&gt;0,0.001*Observaciones!$F699*Escenarios!$F$17,0)</f>
        <v>0</v>
      </c>
      <c r="BB700" s="170">
        <f>IF(Escenarios!$F$17&gt;0,Observaciones!$K699,0)</f>
        <v>0</v>
      </c>
      <c r="BC700" s="170">
        <f>IF(Escenarios!$F$17&gt;0,MIN(0.0005*ETo!$M699*Escenarios!$F$17*(BG699/Constantes!$F$40)^(2/3),BG699+AY700+AZ700+BA700+BB700),0)</f>
        <v>0</v>
      </c>
      <c r="BD700" s="170">
        <f>IF(Escenarios!$F$17&gt;0,MIN(Constantes!$F$39*(BG699/Constantes!$F$40)^(2/3),BG699+AY700+AZ700+BA700+BB700-BC700),0)</f>
        <v>0</v>
      </c>
      <c r="BE700" s="170">
        <f>IF(Escenarios!$F$17&gt;0,MIN(Entradas!$F$113,BG699+AY700+AZ700+BA700+BB700-BC700-BD700),0)</f>
        <v>0</v>
      </c>
      <c r="BF700" s="170">
        <f>IF(Escenarios!$F$17&gt;0,MAX(0,BG699+AY700+AZ700+BA700+BB700-BC700-BD700-BE700-Constantes!$F$40),0)</f>
        <v>0</v>
      </c>
      <c r="BG700" s="170">
        <f t="shared" si="151"/>
        <v>0</v>
      </c>
      <c r="BH700" s="170">
        <f>(Escenarios!$F$16*AK700+0.1*BC700)/(Escenarios!$F$19)</f>
        <v>3.0446203615484517</v>
      </c>
      <c r="BI700" s="170">
        <f>IF(Escenarios!$F$17&gt;0,BF700/10/Escenarios!$F$19,AL700)</f>
        <v>0</v>
      </c>
      <c r="BJ700" s="170">
        <f>(Escenarios!$F$16*AT700+0.1*BD700)/(Escenarios!$F$19)</f>
        <v>0</v>
      </c>
      <c r="BK700" s="76">
        <f>BK699+(0.1*BD700)/(Escenarios!$F$19)-BL699</f>
        <v>48.75</v>
      </c>
      <c r="BL700" s="76">
        <f>MAX(0,(BK700-Constantes!$D$13)*(1-EXP(-Constantes!$D$23)))</f>
        <v>0</v>
      </c>
      <c r="BM700" s="76">
        <f t="shared" si="152"/>
        <v>0.12133651081831374</v>
      </c>
      <c r="BN700" s="76">
        <f t="shared" si="153"/>
        <v>0.7490815104780485</v>
      </c>
      <c r="BO700" s="76">
        <f>0.0526*BI700*Observaciones!$F699^1.218</f>
        <v>0</v>
      </c>
      <c r="BP700" s="76">
        <f>BO700*Constantes!$F$51</f>
        <v>0</v>
      </c>
      <c r="BQ700" s="76">
        <f t="shared" si="154"/>
        <v>0</v>
      </c>
      <c r="BR700" s="40"/>
    </row>
    <row r="701" spans="2:70">
      <c r="B701" s="39"/>
      <c r="C701" s="75">
        <v>695</v>
      </c>
      <c r="D701" s="146">
        <f>ETo!$I700*((1-Constantes!$F$19)*ETo!$K700+ETo!$L700)</f>
        <v>4.7071994806655955</v>
      </c>
      <c r="E701" s="76">
        <f>MIN(D701*Constantes!$F$17,0.8*(N700+Observaciones!$F700-F701-M701-Constantes!$D$14))</f>
        <v>2.6845712092347838</v>
      </c>
      <c r="F701" s="76">
        <f>IF(Observaciones!$F700&gt;0.05*Constantes!$F$18,((Observaciones!$F700-0.05*Constantes!$F$18)^2)/(Observaciones!$F700+0.95*Constantes!$F$18),0)</f>
        <v>1.5024380359522313E-2</v>
      </c>
      <c r="G701" s="76">
        <f>IF(Escenarios!$F$11&gt;0,(F701*Escenarios!$F$16*10000)/1000,0)</f>
        <v>0</v>
      </c>
      <c r="H701" s="76">
        <f>IF(Escenarios!$F$11&gt;0,(Observaciones!$F700*Constantes!$F$29)/1000,0)</f>
        <v>0</v>
      </c>
      <c r="I701" s="76">
        <f>IF(Escenarios!$F$11&gt;0,(D701*Constantes!$F$29)/1000,0)</f>
        <v>0</v>
      </c>
      <c r="J701" s="76">
        <f>IF(Escenarios!$F$11&gt;0,MAX(0,G701+H701-I701),0)</f>
        <v>0</v>
      </c>
      <c r="K701" s="76">
        <f>IF(Escenarios!$F$11&gt;0,IF(J701&gt;Constantes!$F$30,1000*((J701-Constantes!$F$30)/(Escenarios!$F$16*10000)),0),F701)</f>
        <v>1.5024380359522313E-2</v>
      </c>
      <c r="L701" s="76">
        <f>IF(Escenarios!$F$11&gt;0,I701*1000/Escenarios!$F$16/10000+E701,E701)</f>
        <v>2.6845712092347838</v>
      </c>
      <c r="M701" s="76">
        <f>MAX(0,N700+Observaciones!$F700-K701-Constantes!$D$13)</f>
        <v>0</v>
      </c>
      <c r="N701" s="76">
        <f>N700+Observaciones!$F700-K701-L701-M701-O700</f>
        <v>41.578623071278955</v>
      </c>
      <c r="O701" s="76">
        <f>MAX(0,(N701-Constantes!$D$14)*(1-EXP(-Constantes!$D$22)))</f>
        <v>1.0331042404623854</v>
      </c>
      <c r="P701" s="170">
        <f>P700+(Entradas!$F$83*M701-Q700)/(800*Entradas!$D$25)</f>
        <v>0</v>
      </c>
      <c r="Q701" s="170">
        <f>8000*Entradas!$D$26*P701/Constantes!$F$45</f>
        <v>0</v>
      </c>
      <c r="R701" s="170">
        <f>IF(Escenarios!$F$14&gt;0,K701*Escenarios!$F$13/Escenarios!$F$14,0)</f>
        <v>0.11017878930316363</v>
      </c>
      <c r="S701" s="170">
        <f>IF(Escenarios!$F$14&gt;0,Q701*Escenarios!$F$13/Escenarios!$F$14,0)</f>
        <v>0</v>
      </c>
      <c r="T701" s="170">
        <f>IF(Escenarios!$F$14&gt;0,Observaciones!$I700,0)</f>
        <v>0</v>
      </c>
      <c r="U701" s="170">
        <f>IF(Escenarios!$F$14&gt;0,MAX(0,Constantes!$F$36/((Z700+R701+S701+T701+Observaciones!$F700)^2)+Entradas!$F$77),0)</f>
        <v>0.50460670724640044</v>
      </c>
      <c r="V701" s="146">
        <f>IF(ETo!D700&gt;0,ETo!I700*((1-Entradas!$F$81)*ETo!K700+ETo!L700),0)</f>
        <v>4.1874382091876337</v>
      </c>
      <c r="W701" s="170">
        <f>IF(Escenarios!$F$14&gt;0,MIN(V701*1,0.8*(Z700+R701+S701+T701+Observaciones!$F700-U701-Constantes!$F$35)),0)</f>
        <v>4.1874382091876337</v>
      </c>
      <c r="X701" s="170">
        <f>IF(Escenarios!$F$14&gt;0,Observaciones!$J700,0)</f>
        <v>0</v>
      </c>
      <c r="Y701" s="170">
        <f>IF(Escenarios!$F$14&gt;0,MAX(0,Z700+R701+S701+T701+Observaciones!$F700-U701-W701-X701-Constantes!$F$33),0)</f>
        <v>0</v>
      </c>
      <c r="Z701" s="170">
        <f>Z700+R701+S701+T701+Observaciones!$F700-U701-W701-Y701</f>
        <v>59.450618855976664</v>
      </c>
      <c r="AA701" s="170">
        <f>IF(Escenarios!$F$14&gt;0,(Escenarios!$F$13*L701+Escenarios!$F$14*W701)/(Escenarios!$F$16),L701)</f>
        <v>2.8649152492291257</v>
      </c>
      <c r="AB701" s="170">
        <f>IF(Escenarios!$F$14&gt;0,(Escenarios!$F$14*Y701)/(Escenarios!$F$16),K701)</f>
        <v>0</v>
      </c>
      <c r="AC701" s="170">
        <f>IF(Escenarios!$F$14&gt;0,(Escenarios!$F$13*M701+Escenarios!$F$14*U701)/(Escenarios!$F$16),M701)</f>
        <v>6.0552804869568051E-2</v>
      </c>
      <c r="AD701" s="76">
        <f t="shared" si="141"/>
        <v>60.45479137394323</v>
      </c>
      <c r="AE701" s="76">
        <f>MAX(0,(AD701-Constantes!$D$13)*(1-EXP(-Constantes!$D$23)))</f>
        <v>0.11533009727156616</v>
      </c>
      <c r="AF701" s="76">
        <f>AB701+O701*Escenarios!$F$13/Escenarios!$F$16+AE701</f>
        <v>1.0244618288784653</v>
      </c>
      <c r="AG701" s="76">
        <f>IF(Entradas!$F$91&gt;0,IF(AF701-Escenarios!$F$38&lt;=0,0,IF(AF701-Escenarios!$F$38&gt;Escenarios!$F$37,Escenarios!$F$37,AF701-Escenarios!$F$38)),0)</f>
        <v>0</v>
      </c>
      <c r="AH701" s="76">
        <f>AG701*Entradas!$F$99</f>
        <v>0</v>
      </c>
      <c r="AI701" s="76">
        <f>IF(Entradas!$F$91&gt;0,D701*Entradas!$D$23/Escenarios!$F$16,0)</f>
        <v>0.2259455750719486</v>
      </c>
      <c r="AJ701" s="76">
        <f>IF(Entradas!$F$91&gt;0,Entradas!$D$24*Entradas!$D$22/Escenarios!$F$16,0)</f>
        <v>0.12</v>
      </c>
      <c r="AK701" s="76">
        <f t="shared" si="142"/>
        <v>3.0908608243010742</v>
      </c>
      <c r="AL701" s="76">
        <f t="shared" si="143"/>
        <v>0</v>
      </c>
      <c r="AM701" s="76">
        <f t="shared" si="144"/>
        <v>0</v>
      </c>
      <c r="AN701" s="76">
        <f>MAX(0,O701*Escenarios!$F$13/Escenarios!$F$16-AM701)</f>
        <v>0.9091317316068992</v>
      </c>
      <c r="AO701" s="76">
        <f>AM701+AN701-O701*Escenarios!$F$13/Escenarios!$F$16</f>
        <v>0</v>
      </c>
      <c r="AP701" s="76">
        <f t="shared" si="145"/>
        <v>0.11533009727156616</v>
      </c>
      <c r="AQ701" s="76">
        <f t="shared" si="146"/>
        <v>0</v>
      </c>
      <c r="AR701" s="76">
        <f t="shared" si="147"/>
        <v>1.0244618288784653</v>
      </c>
      <c r="AS701" s="76">
        <f t="shared" si="148"/>
        <v>0</v>
      </c>
      <c r="AT701" s="76">
        <f t="shared" si="149"/>
        <v>6.0552804869568051E-2</v>
      </c>
      <c r="AU701" s="76">
        <f t="shared" si="150"/>
        <v>49.101831495660107</v>
      </c>
      <c r="AV701" s="76">
        <f>MAX(0,(AU701-Constantes!$D$13)*(1-EXP(-Constantes!$D$24)))</f>
        <v>5.3778313366133297E-3</v>
      </c>
      <c r="AW701" s="170">
        <f>AW700+(Entradas!$F$112*AT701-AX700)/(800*Entradas!$D$25)</f>
        <v>0</v>
      </c>
      <c r="AX701" s="170">
        <f>8000*Entradas!$D$26*AW701/Constantes!$F$45</f>
        <v>0</v>
      </c>
      <c r="AY701" s="170">
        <f>IF(Escenarios!$F$17&gt;0,10*Escenarios!$F$16*AL701,0)</f>
        <v>0</v>
      </c>
      <c r="AZ701" s="170">
        <f>IF(Escenarios!$F$17&gt;0,10*Escenarios!$F$16*AX701,0)</f>
        <v>0</v>
      </c>
      <c r="BA701" s="170">
        <f>IF(Escenarios!$F$17&gt;0,0.001*Observaciones!$F700*Escenarios!$F$17,0)</f>
        <v>0</v>
      </c>
      <c r="BB701" s="170">
        <f>IF(Escenarios!$F$17&gt;0,Observaciones!$K700,0)</f>
        <v>0</v>
      </c>
      <c r="BC701" s="170">
        <f>IF(Escenarios!$F$17&gt;0,MIN(0.0005*ETo!$M700*Escenarios!$F$17*(BG700/Constantes!$F$40)^(2/3),BG700+AY701+AZ701+BA701+BB701),0)</f>
        <v>0</v>
      </c>
      <c r="BD701" s="170">
        <f>IF(Escenarios!$F$17&gt;0,MIN(Constantes!$F$39*(BG700/Constantes!$F$40)^(2/3),BG700+AY701+AZ701+BA701+BB701-BC701),0)</f>
        <v>0</v>
      </c>
      <c r="BE701" s="170">
        <f>IF(Escenarios!$F$17&gt;0,MIN(Entradas!$F$113,BG700+AY701+AZ701+BA701+BB701-BC701-BD701),0)</f>
        <v>0</v>
      </c>
      <c r="BF701" s="170">
        <f>IF(Escenarios!$F$17&gt;0,MAX(0,BG700+AY701+AZ701+BA701+BB701-BC701-BD701-BE701-Constantes!$F$40),0)</f>
        <v>0</v>
      </c>
      <c r="BG701" s="170">
        <f t="shared" si="151"/>
        <v>0</v>
      </c>
      <c r="BH701" s="170">
        <f>(Escenarios!$F$16*AK701+0.1*BC701)/(Escenarios!$F$19)</f>
        <v>3.0908608243010742</v>
      </c>
      <c r="BI701" s="170">
        <f>IF(Escenarios!$F$17&gt;0,BF701/10/Escenarios!$F$19,AL701)</f>
        <v>0</v>
      </c>
      <c r="BJ701" s="170">
        <f>(Escenarios!$F$16*AT701+0.1*BD701)/(Escenarios!$F$19)</f>
        <v>6.0552804869568051E-2</v>
      </c>
      <c r="BK701" s="76">
        <f>BK700+(0.1*BD701)/(Escenarios!$F$19)-BL700</f>
        <v>48.75</v>
      </c>
      <c r="BL701" s="76">
        <f>MAX(0,(BK701-Constantes!$D$13)*(1-EXP(-Constantes!$D$23)))</f>
        <v>0</v>
      </c>
      <c r="BM701" s="76">
        <f t="shared" si="152"/>
        <v>0.1207079286081795</v>
      </c>
      <c r="BN701" s="76">
        <f t="shared" si="153"/>
        <v>1.0298396602150786</v>
      </c>
      <c r="BO701" s="76">
        <f>0.0526*BI701*Observaciones!$F700^1.218</f>
        <v>0</v>
      </c>
      <c r="BP701" s="76">
        <f>BO701*Constantes!$F$51</f>
        <v>0</v>
      </c>
      <c r="BQ701" s="76">
        <f t="shared" si="154"/>
        <v>0</v>
      </c>
      <c r="BR701" s="40"/>
    </row>
    <row r="702" spans="2:70">
      <c r="B702" s="39"/>
      <c r="C702" s="75">
        <v>696</v>
      </c>
      <c r="D702" s="146">
        <f>ETo!$I701*((1-Constantes!$F$19)*ETo!$K701+ETo!$L701)</f>
        <v>4.679771390674567</v>
      </c>
      <c r="E702" s="76">
        <f>MIN(D702*Constantes!$F$17,0.8*(N701+Observaciones!$F701-F702-M702-Constantes!$D$14))</f>
        <v>2.6689286470241411</v>
      </c>
      <c r="F702" s="76">
        <f>IF(Observaciones!$F701&gt;0.05*Constantes!$F$18,((Observaciones!$F701-0.05*Constantes!$F$18)^2)/(Observaciones!$F701+0.95*Constantes!$F$18),0)</f>
        <v>0</v>
      </c>
      <c r="G702" s="76">
        <f>IF(Escenarios!$F$11&gt;0,(F702*Escenarios!$F$16*10000)/1000,0)</f>
        <v>0</v>
      </c>
      <c r="H702" s="76">
        <f>IF(Escenarios!$F$11&gt;0,(Observaciones!$F701*Constantes!$F$29)/1000,0)</f>
        <v>0</v>
      </c>
      <c r="I702" s="76">
        <f>IF(Escenarios!$F$11&gt;0,(D702*Constantes!$F$29)/1000,0)</f>
        <v>0</v>
      </c>
      <c r="J702" s="76">
        <f>IF(Escenarios!$F$11&gt;0,MAX(0,G702+H702-I702),0)</f>
        <v>0</v>
      </c>
      <c r="K702" s="76">
        <f>IF(Escenarios!$F$11&gt;0,IF(J702&gt;Constantes!$F$30,1000*((J702-Constantes!$F$30)/(Escenarios!$F$16*10000)),0),F702)</f>
        <v>0</v>
      </c>
      <c r="L702" s="76">
        <f>IF(Escenarios!$F$11&gt;0,I702*1000/Escenarios!$F$16/10000+E702,E702)</f>
        <v>2.6689286470241411</v>
      </c>
      <c r="M702" s="76">
        <f>MAX(0,N701+Observaciones!$F701-K702-Constantes!$D$13)</f>
        <v>0</v>
      </c>
      <c r="N702" s="76">
        <f>N701+Observaciones!$F701-K702-L702-M702-O701</f>
        <v>38.176590183792428</v>
      </c>
      <c r="O702" s="76">
        <f>MAX(0,(N702-Constantes!$D$14)*(1-EXP(-Constantes!$D$22)))</f>
        <v>0.91721851119618647</v>
      </c>
      <c r="P702" s="170">
        <f>P701+(Entradas!$F$83*M702-Q701)/(800*Entradas!$D$25)</f>
        <v>0</v>
      </c>
      <c r="Q702" s="170">
        <f>8000*Entradas!$D$26*P702/Constantes!$F$45</f>
        <v>0</v>
      </c>
      <c r="R702" s="170">
        <f>IF(Escenarios!$F$14&gt;0,K702*Escenarios!$F$13/Escenarios!$F$14,0)</f>
        <v>0</v>
      </c>
      <c r="S702" s="170">
        <f>IF(Escenarios!$F$14&gt;0,Q702*Escenarios!$F$13/Escenarios!$F$14,0)</f>
        <v>0</v>
      </c>
      <c r="T702" s="170">
        <f>IF(Escenarios!$F$14&gt;0,Observaciones!$I701,0)</f>
        <v>0</v>
      </c>
      <c r="U702" s="170">
        <f>IF(Escenarios!$F$14&gt;0,MAX(0,Constantes!$F$36/((Z701+R702+S702+T702+Observaciones!$F701)^2)+Entradas!$F$77),0)</f>
        <v>0.124269580945636</v>
      </c>
      <c r="V702" s="146">
        <f>IF(ETo!D701&gt;0,ETo!I701*((1-Entradas!$F$81)*ETo!K701+ETo!L701),0)</f>
        <v>4.1625383019946405</v>
      </c>
      <c r="W702" s="170">
        <f>IF(Escenarios!$F$14&gt;0,MIN(V702*1,0.8*(Z701+R702+S702+T702+Observaciones!$F701-U702-Constantes!$F$35)),0)</f>
        <v>4.1625383019946405</v>
      </c>
      <c r="X702" s="170">
        <f>IF(Escenarios!$F$14&gt;0,Observaciones!$J701,0)</f>
        <v>0</v>
      </c>
      <c r="Y702" s="170">
        <f>IF(Escenarios!$F$14&gt;0,MAX(0,Z701+R702+S702+T702+Observaciones!$F701-U702-W702-X702-Constantes!$F$33),0)</f>
        <v>0</v>
      </c>
      <c r="Z702" s="170">
        <f>Z701+R702+S702+T702+Observaciones!$F701-U702-W702-Y702</f>
        <v>55.463810973036388</v>
      </c>
      <c r="AA702" s="170">
        <f>IF(Escenarios!$F$14&gt;0,(Escenarios!$F$13*L702+Escenarios!$F$14*W702)/(Escenarios!$F$16),L702)</f>
        <v>2.8481618056206011</v>
      </c>
      <c r="AB702" s="170">
        <f>IF(Escenarios!$F$14&gt;0,(Escenarios!$F$14*Y702)/(Escenarios!$F$16),K702)</f>
        <v>0</v>
      </c>
      <c r="AC702" s="170">
        <f>IF(Escenarios!$F$14&gt;0,(Escenarios!$F$13*M702+Escenarios!$F$14*U702)/(Escenarios!$F$16),M702)</f>
        <v>1.491234971347632E-2</v>
      </c>
      <c r="AD702" s="76">
        <f t="shared" si="141"/>
        <v>60.35437362638514</v>
      </c>
      <c r="AE702" s="76">
        <f>MAX(0,(AD702-Constantes!$D$13)*(1-EXP(-Constantes!$D$23)))</f>
        <v>0.11434065728723225</v>
      </c>
      <c r="AF702" s="76">
        <f>AB702+O702*Escenarios!$F$13/Escenarios!$F$16+AE702</f>
        <v>0.92149294713987628</v>
      </c>
      <c r="AG702" s="76">
        <f>IF(Entradas!$F$91&gt;0,IF(AF702-Escenarios!$F$38&lt;=0,0,IF(AF702-Escenarios!$F$38&gt;Escenarios!$F$37,Escenarios!$F$37,AF702-Escenarios!$F$38)),0)</f>
        <v>0</v>
      </c>
      <c r="AH702" s="76">
        <f>AG702*Entradas!$F$99</f>
        <v>0</v>
      </c>
      <c r="AI702" s="76">
        <f>IF(Entradas!$F$91&gt;0,D702*Entradas!$D$23/Escenarios!$F$16,0)</f>
        <v>0.22462902675237922</v>
      </c>
      <c r="AJ702" s="76">
        <f>IF(Entradas!$F$91&gt;0,Entradas!$D$24*Entradas!$D$22/Escenarios!$F$16,0)</f>
        <v>0.12</v>
      </c>
      <c r="AK702" s="76">
        <f t="shared" si="142"/>
        <v>3.0727908323729802</v>
      </c>
      <c r="AL702" s="76">
        <f t="shared" si="143"/>
        <v>0</v>
      </c>
      <c r="AM702" s="76">
        <f t="shared" si="144"/>
        <v>0</v>
      </c>
      <c r="AN702" s="76">
        <f>MAX(0,O702*Escenarios!$F$13/Escenarios!$F$16-AM702)</f>
        <v>0.80715228985264409</v>
      </c>
      <c r="AO702" s="76">
        <f>AM702+AN702-O702*Escenarios!$F$13/Escenarios!$F$16</f>
        <v>0</v>
      </c>
      <c r="AP702" s="76">
        <f t="shared" si="145"/>
        <v>0.11434065728723225</v>
      </c>
      <c r="AQ702" s="76">
        <f t="shared" si="146"/>
        <v>0</v>
      </c>
      <c r="AR702" s="76">
        <f t="shared" si="147"/>
        <v>0.92149294713987628</v>
      </c>
      <c r="AS702" s="76">
        <f t="shared" si="148"/>
        <v>0</v>
      </c>
      <c r="AT702" s="76">
        <f t="shared" si="149"/>
        <v>1.491234971347632E-2</v>
      </c>
      <c r="AU702" s="76">
        <f t="shared" si="150"/>
        <v>49.096453664323491</v>
      </c>
      <c r="AV702" s="76">
        <f>MAX(0,(AU702-Constantes!$D$13)*(1-EXP(-Constantes!$D$24)))</f>
        <v>5.2956298559561866E-3</v>
      </c>
      <c r="AW702" s="170">
        <f>AW701+(Entradas!$F$112*AT702-AX701)/(800*Entradas!$D$25)</f>
        <v>0</v>
      </c>
      <c r="AX702" s="170">
        <f>8000*Entradas!$D$26*AW702/Constantes!$F$45</f>
        <v>0</v>
      </c>
      <c r="AY702" s="170">
        <f>IF(Escenarios!$F$17&gt;0,10*Escenarios!$F$16*AL702,0)</f>
        <v>0</v>
      </c>
      <c r="AZ702" s="170">
        <f>IF(Escenarios!$F$17&gt;0,10*Escenarios!$F$16*AX702,0)</f>
        <v>0</v>
      </c>
      <c r="BA702" s="170">
        <f>IF(Escenarios!$F$17&gt;0,0.001*Observaciones!$F701*Escenarios!$F$17,0)</f>
        <v>0</v>
      </c>
      <c r="BB702" s="170">
        <f>IF(Escenarios!$F$17&gt;0,Observaciones!$K701,0)</f>
        <v>0</v>
      </c>
      <c r="BC702" s="170">
        <f>IF(Escenarios!$F$17&gt;0,MIN(0.0005*ETo!$M701*Escenarios!$F$17*(BG701/Constantes!$F$40)^(2/3),BG701+AY702+AZ702+BA702+BB702),0)</f>
        <v>0</v>
      </c>
      <c r="BD702" s="170">
        <f>IF(Escenarios!$F$17&gt;0,MIN(Constantes!$F$39*(BG701/Constantes!$F$40)^(2/3),BG701+AY702+AZ702+BA702+BB702-BC702),0)</f>
        <v>0</v>
      </c>
      <c r="BE702" s="170">
        <f>IF(Escenarios!$F$17&gt;0,MIN(Entradas!$F$113,BG701+AY702+AZ702+BA702+BB702-BC702-BD702),0)</f>
        <v>0</v>
      </c>
      <c r="BF702" s="170">
        <f>IF(Escenarios!$F$17&gt;0,MAX(0,BG701+AY702+AZ702+BA702+BB702-BC702-BD702-BE702-Constantes!$F$40),0)</f>
        <v>0</v>
      </c>
      <c r="BG702" s="170">
        <f t="shared" si="151"/>
        <v>0</v>
      </c>
      <c r="BH702" s="170">
        <f>(Escenarios!$F$16*AK702+0.1*BC702)/(Escenarios!$F$19)</f>
        <v>3.0727908323729802</v>
      </c>
      <c r="BI702" s="170">
        <f>IF(Escenarios!$F$17&gt;0,BF702/10/Escenarios!$F$19,AL702)</f>
        <v>0</v>
      </c>
      <c r="BJ702" s="170">
        <f>(Escenarios!$F$16*AT702+0.1*BD702)/(Escenarios!$F$19)</f>
        <v>1.491234971347632E-2</v>
      </c>
      <c r="BK702" s="76">
        <f>BK701+(0.1*BD702)/(Escenarios!$F$19)-BL701</f>
        <v>48.75</v>
      </c>
      <c r="BL702" s="76">
        <f>MAX(0,(BK702-Constantes!$D$13)*(1-EXP(-Constantes!$D$23)))</f>
        <v>0</v>
      </c>
      <c r="BM702" s="76">
        <f t="shared" si="152"/>
        <v>0.11963628714318844</v>
      </c>
      <c r="BN702" s="76">
        <f t="shared" si="153"/>
        <v>0.9267885769958325</v>
      </c>
      <c r="BO702" s="76">
        <f>0.0526*BI702*Observaciones!$F701^1.218</f>
        <v>0</v>
      </c>
      <c r="BP702" s="76">
        <f>BO702*Constantes!$F$51</f>
        <v>0</v>
      </c>
      <c r="BQ702" s="76">
        <f t="shared" si="154"/>
        <v>0</v>
      </c>
      <c r="BR702" s="40"/>
    </row>
    <row r="703" spans="2:70">
      <c r="B703" s="39"/>
      <c r="C703" s="75">
        <v>697</v>
      </c>
      <c r="D703" s="146">
        <f>ETo!$I702*((1-Constantes!$F$19)*ETo!$K702+ETo!$L702)</f>
        <v>4.6848014453641706</v>
      </c>
      <c r="E703" s="76">
        <f>MIN(D703*Constantes!$F$17,0.8*(N702+Observaciones!$F702-F703-M703-Constantes!$D$14))</f>
        <v>2.6717973463550386</v>
      </c>
      <c r="F703" s="76">
        <f>IF(Observaciones!$F702&gt;0.05*Constantes!$F$18,((Observaciones!$F702-0.05*Constantes!$F$18)^2)/(Observaciones!$F702+0.95*Constantes!$F$18),0)</f>
        <v>0</v>
      </c>
      <c r="G703" s="76">
        <f>IF(Escenarios!$F$11&gt;0,(F703*Escenarios!$F$16*10000)/1000,0)</f>
        <v>0</v>
      </c>
      <c r="H703" s="76">
        <f>IF(Escenarios!$F$11&gt;0,(Observaciones!$F702*Constantes!$F$29)/1000,0)</f>
        <v>0</v>
      </c>
      <c r="I703" s="76">
        <f>IF(Escenarios!$F$11&gt;0,(D703*Constantes!$F$29)/1000,0)</f>
        <v>0</v>
      </c>
      <c r="J703" s="76">
        <f>IF(Escenarios!$F$11&gt;0,MAX(0,G703+H703-I703),0)</f>
        <v>0</v>
      </c>
      <c r="K703" s="76">
        <f>IF(Escenarios!$F$11&gt;0,IF(J703&gt;Constantes!$F$30,1000*((J703-Constantes!$F$30)/(Escenarios!$F$16*10000)),0),F703)</f>
        <v>0</v>
      </c>
      <c r="L703" s="76">
        <f>IF(Escenarios!$F$11&gt;0,I703*1000/Escenarios!$F$16/10000+E703,E703)</f>
        <v>2.6717973463550386</v>
      </c>
      <c r="M703" s="76">
        <f>MAX(0,N702+Observaciones!$F702-K703-Constantes!$D$13)</f>
        <v>0</v>
      </c>
      <c r="N703" s="76">
        <f>N702+Observaciones!$F702-K703-L703-M703-O702</f>
        <v>34.587574326241203</v>
      </c>
      <c r="O703" s="76">
        <f>MAX(0,(N703-Constantes!$D$14)*(1-EXP(-Constantes!$D$22)))</f>
        <v>0.79496345554104841</v>
      </c>
      <c r="P703" s="170">
        <f>P702+(Entradas!$F$83*M703-Q702)/(800*Entradas!$D$25)</f>
        <v>0</v>
      </c>
      <c r="Q703" s="170">
        <f>8000*Entradas!$D$26*P703/Constantes!$F$45</f>
        <v>0</v>
      </c>
      <c r="R703" s="170">
        <f>IF(Escenarios!$F$14&gt;0,K703*Escenarios!$F$13/Escenarios!$F$14,0)</f>
        <v>0</v>
      </c>
      <c r="S703" s="170">
        <f>IF(Escenarios!$F$14&gt;0,Q703*Escenarios!$F$13/Escenarios!$F$14,0)</f>
        <v>0</v>
      </c>
      <c r="T703" s="170">
        <f>IF(Escenarios!$F$14&gt;0,Observaciones!$I702,0)</f>
        <v>0</v>
      </c>
      <c r="U703" s="170">
        <f>IF(Escenarios!$F$14&gt;0,MAX(0,Constantes!$F$36/((Z702+R703+S703+T703+Observaciones!$F702)^2)+Entradas!$F$77),0)</f>
        <v>0</v>
      </c>
      <c r="V703" s="146">
        <f>IF(ETo!D702&gt;0,ETo!I702*((1-Entradas!$F$81)*ETo!K702+ETo!L702),0)</f>
        <v>4.1671074784492941</v>
      </c>
      <c r="W703" s="170">
        <f>IF(Escenarios!$F$14&gt;0,MIN(V703*1,0.8*(Z702+R703+S703+T703+Observaciones!$F702-U703-Constantes!$F$35)),0)</f>
        <v>4.1671074784492941</v>
      </c>
      <c r="X703" s="170">
        <f>IF(Escenarios!$F$14&gt;0,Observaciones!$J702,0)</f>
        <v>0</v>
      </c>
      <c r="Y703" s="170">
        <f>IF(Escenarios!$F$14&gt;0,MAX(0,Z702+R703+S703+T703+Observaciones!$F702-U703-W703-X703-Constantes!$F$33),0)</f>
        <v>0</v>
      </c>
      <c r="Z703" s="170">
        <f>Z702+R703+S703+T703+Observaciones!$F702-U703-W703-Y703</f>
        <v>51.296703494587092</v>
      </c>
      <c r="AA703" s="170">
        <f>IF(Escenarios!$F$14&gt;0,(Escenarios!$F$13*L703+Escenarios!$F$14*W703)/(Escenarios!$F$16),L703)</f>
        <v>2.8512345622063489</v>
      </c>
      <c r="AB703" s="170">
        <f>IF(Escenarios!$F$14&gt;0,(Escenarios!$F$14*Y703)/(Escenarios!$F$16),K703)</f>
        <v>0</v>
      </c>
      <c r="AC703" s="170">
        <f>IF(Escenarios!$F$14&gt;0,(Escenarios!$F$13*M703+Escenarios!$F$14*U703)/(Escenarios!$F$16),M703)</f>
        <v>0</v>
      </c>
      <c r="AD703" s="76">
        <f t="shared" si="141"/>
        <v>60.240032969097911</v>
      </c>
      <c r="AE703" s="76">
        <f>MAX(0,(AD703-Constantes!$D$13)*(1-EXP(-Constantes!$D$23)))</f>
        <v>0.1132140315571584</v>
      </c>
      <c r="AF703" s="76">
        <f>AB703+O703*Escenarios!$F$13/Escenarios!$F$16+AE703</f>
        <v>0.81278187243328104</v>
      </c>
      <c r="AG703" s="76">
        <f>IF(Entradas!$F$91&gt;0,IF(AF703-Escenarios!$F$38&lt;=0,0,IF(AF703-Escenarios!$F$38&gt;Escenarios!$F$37,Escenarios!$F$37,AF703-Escenarios!$F$38)),0)</f>
        <v>0</v>
      </c>
      <c r="AH703" s="76">
        <f>AG703*Entradas!$F$99</f>
        <v>0</v>
      </c>
      <c r="AI703" s="76">
        <f>IF(Entradas!$F$91&gt;0,D703*Entradas!$D$23/Escenarios!$F$16,0)</f>
        <v>0.2248704693774802</v>
      </c>
      <c r="AJ703" s="76">
        <f>IF(Entradas!$F$91&gt;0,Entradas!$D$24*Entradas!$D$22/Escenarios!$F$16,0)</f>
        <v>0.12</v>
      </c>
      <c r="AK703" s="76">
        <f t="shared" si="142"/>
        <v>3.076105031583829</v>
      </c>
      <c r="AL703" s="76">
        <f t="shared" si="143"/>
        <v>0</v>
      </c>
      <c r="AM703" s="76">
        <f t="shared" si="144"/>
        <v>0</v>
      </c>
      <c r="AN703" s="76">
        <f>MAX(0,O703*Escenarios!$F$13/Escenarios!$F$16-AM703)</f>
        <v>0.69956784087612267</v>
      </c>
      <c r="AO703" s="76">
        <f>AM703+AN703-O703*Escenarios!$F$13/Escenarios!$F$16</f>
        <v>0</v>
      </c>
      <c r="AP703" s="76">
        <f t="shared" si="145"/>
        <v>0.1132140315571584</v>
      </c>
      <c r="AQ703" s="76">
        <f t="shared" si="146"/>
        <v>0</v>
      </c>
      <c r="AR703" s="76">
        <f t="shared" si="147"/>
        <v>0.81278187243328104</v>
      </c>
      <c r="AS703" s="76">
        <f t="shared" si="148"/>
        <v>0</v>
      </c>
      <c r="AT703" s="76">
        <f t="shared" si="149"/>
        <v>0</v>
      </c>
      <c r="AU703" s="76">
        <f t="shared" si="150"/>
        <v>49.091158034467533</v>
      </c>
      <c r="AV703" s="76">
        <f>MAX(0,(AU703-Constantes!$D$13)*(1-EXP(-Constantes!$D$24)))</f>
        <v>5.2146848452400679E-3</v>
      </c>
      <c r="AW703" s="170">
        <f>AW702+(Entradas!$F$112*AT703-AX702)/(800*Entradas!$D$25)</f>
        <v>0</v>
      </c>
      <c r="AX703" s="170">
        <f>8000*Entradas!$D$26*AW703/Constantes!$F$45</f>
        <v>0</v>
      </c>
      <c r="AY703" s="170">
        <f>IF(Escenarios!$F$17&gt;0,10*Escenarios!$F$16*AL703,0)</f>
        <v>0</v>
      </c>
      <c r="AZ703" s="170">
        <f>IF(Escenarios!$F$17&gt;0,10*Escenarios!$F$16*AX703,0)</f>
        <v>0</v>
      </c>
      <c r="BA703" s="170">
        <f>IF(Escenarios!$F$17&gt;0,0.001*Observaciones!$F702*Escenarios!$F$17,0)</f>
        <v>0</v>
      </c>
      <c r="BB703" s="170">
        <f>IF(Escenarios!$F$17&gt;0,Observaciones!$K702,0)</f>
        <v>0</v>
      </c>
      <c r="BC703" s="170">
        <f>IF(Escenarios!$F$17&gt;0,MIN(0.0005*ETo!$M702*Escenarios!$F$17*(BG702/Constantes!$F$40)^(2/3),BG702+AY703+AZ703+BA703+BB703),0)</f>
        <v>0</v>
      </c>
      <c r="BD703" s="170">
        <f>IF(Escenarios!$F$17&gt;0,MIN(Constantes!$F$39*(BG702/Constantes!$F$40)^(2/3),BG702+AY703+AZ703+BA703+BB703-BC703),0)</f>
        <v>0</v>
      </c>
      <c r="BE703" s="170">
        <f>IF(Escenarios!$F$17&gt;0,MIN(Entradas!$F$113,BG702+AY703+AZ703+BA703+BB703-BC703-BD703),0)</f>
        <v>0</v>
      </c>
      <c r="BF703" s="170">
        <f>IF(Escenarios!$F$17&gt;0,MAX(0,BG702+AY703+AZ703+BA703+BB703-BC703-BD703-BE703-Constantes!$F$40),0)</f>
        <v>0</v>
      </c>
      <c r="BG703" s="170">
        <f t="shared" si="151"/>
        <v>0</v>
      </c>
      <c r="BH703" s="170">
        <f>(Escenarios!$F$16*AK703+0.1*BC703)/(Escenarios!$F$19)</f>
        <v>3.076105031583829</v>
      </c>
      <c r="BI703" s="170">
        <f>IF(Escenarios!$F$17&gt;0,BF703/10/Escenarios!$F$19,AL703)</f>
        <v>0</v>
      </c>
      <c r="BJ703" s="170">
        <f>(Escenarios!$F$16*AT703+0.1*BD703)/(Escenarios!$F$19)</f>
        <v>0</v>
      </c>
      <c r="BK703" s="76">
        <f>BK702+(0.1*BD703)/(Escenarios!$F$19)-BL702</f>
        <v>48.75</v>
      </c>
      <c r="BL703" s="76">
        <f>MAX(0,(BK703-Constantes!$D$13)*(1-EXP(-Constantes!$D$23)))</f>
        <v>0</v>
      </c>
      <c r="BM703" s="76">
        <f t="shared" si="152"/>
        <v>0.11842871640239847</v>
      </c>
      <c r="BN703" s="76">
        <f t="shared" si="153"/>
        <v>0.81799655727852105</v>
      </c>
      <c r="BO703" s="76">
        <f>0.0526*BI703*Observaciones!$F702^1.218</f>
        <v>0</v>
      </c>
      <c r="BP703" s="76">
        <f>BO703*Constantes!$F$51</f>
        <v>0</v>
      </c>
      <c r="BQ703" s="76">
        <f t="shared" si="154"/>
        <v>0</v>
      </c>
      <c r="BR703" s="40"/>
    </row>
    <row r="704" spans="2:70">
      <c r="B704" s="39"/>
      <c r="C704" s="75">
        <v>698</v>
      </c>
      <c r="D704" s="146">
        <f>ETo!$I703*((1-Constantes!$F$19)*ETo!$K703+ETo!$L703)</f>
        <v>4.5642975054174348</v>
      </c>
      <c r="E704" s="76">
        <f>MIN(D704*Constantes!$F$17,0.8*(N703+Observaciones!$F703-F704-M704-Constantes!$D$14))</f>
        <v>2.6030725325652009</v>
      </c>
      <c r="F704" s="76">
        <f>IF(Observaciones!$F703&gt;0.05*Constantes!$F$18,((Observaciones!$F703-0.05*Constantes!$F$18)^2)/(Observaciones!$F703+0.95*Constantes!$F$18),0)</f>
        <v>0</v>
      </c>
      <c r="G704" s="76">
        <f>IF(Escenarios!$F$11&gt;0,(F704*Escenarios!$F$16*10000)/1000,0)</f>
        <v>0</v>
      </c>
      <c r="H704" s="76">
        <f>IF(Escenarios!$F$11&gt;0,(Observaciones!$F703*Constantes!$F$29)/1000,0)</f>
        <v>0</v>
      </c>
      <c r="I704" s="76">
        <f>IF(Escenarios!$F$11&gt;0,(D704*Constantes!$F$29)/1000,0)</f>
        <v>0</v>
      </c>
      <c r="J704" s="76">
        <f>IF(Escenarios!$F$11&gt;0,MAX(0,G704+H704-I704),0)</f>
        <v>0</v>
      </c>
      <c r="K704" s="76">
        <f>IF(Escenarios!$F$11&gt;0,IF(J704&gt;Constantes!$F$30,1000*((J704-Constantes!$F$30)/(Escenarios!$F$16*10000)),0),F704)</f>
        <v>0</v>
      </c>
      <c r="L704" s="76">
        <f>IF(Escenarios!$F$11&gt;0,I704*1000/Escenarios!$F$16/10000+E704,E704)</f>
        <v>2.6030725325652009</v>
      </c>
      <c r="M704" s="76">
        <f>MAX(0,N703+Observaciones!$F703-K704-Constantes!$D$13)</f>
        <v>0</v>
      </c>
      <c r="N704" s="76">
        <f>N703+Observaciones!$F703-K704-L704-M704-O703</f>
        <v>31.189538338134955</v>
      </c>
      <c r="O704" s="76">
        <f>MAX(0,(N704-Constantes!$D$14)*(1-EXP(-Constantes!$D$22)))</f>
        <v>0.67921387534065991</v>
      </c>
      <c r="P704" s="170">
        <f>P703+(Entradas!$F$83*M704-Q703)/(800*Entradas!$D$25)</f>
        <v>0</v>
      </c>
      <c r="Q704" s="170">
        <f>8000*Entradas!$D$26*P704/Constantes!$F$45</f>
        <v>0</v>
      </c>
      <c r="R704" s="170">
        <f>IF(Escenarios!$F$14&gt;0,K704*Escenarios!$F$13/Escenarios!$F$14,0)</f>
        <v>0</v>
      </c>
      <c r="S704" s="170">
        <f>IF(Escenarios!$F$14&gt;0,Q704*Escenarios!$F$13/Escenarios!$F$14,0)</f>
        <v>0</v>
      </c>
      <c r="T704" s="170">
        <f>IF(Escenarios!$F$14&gt;0,Observaciones!$I703,0)</f>
        <v>0</v>
      </c>
      <c r="U704" s="170">
        <f>IF(Escenarios!$F$14&gt;0,MAX(0,Constantes!$F$36/((Z703+R704+S704+T704+Observaciones!$F703)^2)+Entradas!$F$77),0)</f>
        <v>0</v>
      </c>
      <c r="V704" s="146">
        <f>IF(ETo!D703&gt;0,ETo!I703*((1-Entradas!$F$81)*ETo!K703+ETo!L703),0)</f>
        <v>4.0579338998649988</v>
      </c>
      <c r="W704" s="170">
        <f>IF(Escenarios!$F$14&gt;0,MIN(V704*1,0.8*(Z703+R704+S704+T704+Observaciones!$F703-U704-Constantes!$F$35)),0)</f>
        <v>4.0579338998649988</v>
      </c>
      <c r="X704" s="170">
        <f>IF(Escenarios!$F$14&gt;0,Observaciones!$J703,0)</f>
        <v>0</v>
      </c>
      <c r="Y704" s="170">
        <f>IF(Escenarios!$F$14&gt;0,MAX(0,Z703+R704+S704+T704+Observaciones!$F703-U704-W704-X704-Constantes!$F$33),0)</f>
        <v>0</v>
      </c>
      <c r="Z704" s="170">
        <f>Z703+R704+S704+T704+Observaciones!$F703-U704-W704-Y704</f>
        <v>47.238769594722093</v>
      </c>
      <c r="AA704" s="170">
        <f>IF(Escenarios!$F$14&gt;0,(Escenarios!$F$13*L704+Escenarios!$F$14*W704)/(Escenarios!$F$16),L704)</f>
        <v>2.7776558966411762</v>
      </c>
      <c r="AB704" s="170">
        <f>IF(Escenarios!$F$14&gt;0,(Escenarios!$F$14*Y704)/(Escenarios!$F$16),K704)</f>
        <v>0</v>
      </c>
      <c r="AC704" s="170">
        <f>IF(Escenarios!$F$14&gt;0,(Escenarios!$F$13*M704+Escenarios!$F$14*U704)/(Escenarios!$F$16),M704)</f>
        <v>0</v>
      </c>
      <c r="AD704" s="76">
        <f t="shared" si="141"/>
        <v>60.126818937540754</v>
      </c>
      <c r="AE704" s="76">
        <f>MAX(0,(AD704-Constantes!$D$13)*(1-EXP(-Constantes!$D$23)))</f>
        <v>0.11209850673874429</v>
      </c>
      <c r="AF704" s="76">
        <f>AB704+O704*Escenarios!$F$13/Escenarios!$F$16+AE704</f>
        <v>0.70980671703852505</v>
      </c>
      <c r="AG704" s="76">
        <f>IF(Entradas!$F$91&gt;0,IF(AF704-Escenarios!$F$38&lt;=0,0,IF(AF704-Escenarios!$F$38&gt;Escenarios!$F$37,Escenarios!$F$37,AF704-Escenarios!$F$38)),0)</f>
        <v>0</v>
      </c>
      <c r="AH704" s="76">
        <f>AG704*Entradas!$F$99</f>
        <v>0</v>
      </c>
      <c r="AI704" s="76">
        <f>IF(Entradas!$F$91&gt;0,D704*Entradas!$D$23/Escenarios!$F$16,0)</f>
        <v>0.21908628026003685</v>
      </c>
      <c r="AJ704" s="76">
        <f>IF(Entradas!$F$91&gt;0,Entradas!$D$24*Entradas!$D$22/Escenarios!$F$16,0)</f>
        <v>0.12</v>
      </c>
      <c r="AK704" s="76">
        <f t="shared" si="142"/>
        <v>2.996742176901213</v>
      </c>
      <c r="AL704" s="76">
        <f t="shared" si="143"/>
        <v>0</v>
      </c>
      <c r="AM704" s="76">
        <f t="shared" si="144"/>
        <v>0</v>
      </c>
      <c r="AN704" s="76">
        <f>MAX(0,O704*Escenarios!$F$13/Escenarios!$F$16-AM704)</f>
        <v>0.59770821029978072</v>
      </c>
      <c r="AO704" s="76">
        <f>AM704+AN704-O704*Escenarios!$F$13/Escenarios!$F$16</f>
        <v>0</v>
      </c>
      <c r="AP704" s="76">
        <f t="shared" si="145"/>
        <v>0.11209850673874429</v>
      </c>
      <c r="AQ704" s="76">
        <f t="shared" si="146"/>
        <v>0</v>
      </c>
      <c r="AR704" s="76">
        <f t="shared" si="147"/>
        <v>0.70980671703852505</v>
      </c>
      <c r="AS704" s="76">
        <f t="shared" si="148"/>
        <v>0</v>
      </c>
      <c r="AT704" s="76">
        <f t="shared" si="149"/>
        <v>0</v>
      </c>
      <c r="AU704" s="76">
        <f t="shared" si="150"/>
        <v>49.085943349622291</v>
      </c>
      <c r="AV704" s="76">
        <f>MAX(0,(AU704-Constantes!$D$13)*(1-EXP(-Constantes!$D$24)))</f>
        <v>5.1349770990114611E-3</v>
      </c>
      <c r="AW704" s="170">
        <f>AW703+(Entradas!$F$112*AT704-AX703)/(800*Entradas!$D$25)</f>
        <v>0</v>
      </c>
      <c r="AX704" s="170">
        <f>8000*Entradas!$D$26*AW704/Constantes!$F$45</f>
        <v>0</v>
      </c>
      <c r="AY704" s="170">
        <f>IF(Escenarios!$F$17&gt;0,10*Escenarios!$F$16*AL704,0)</f>
        <v>0</v>
      </c>
      <c r="AZ704" s="170">
        <f>IF(Escenarios!$F$17&gt;0,10*Escenarios!$F$16*AX704,0)</f>
        <v>0</v>
      </c>
      <c r="BA704" s="170">
        <f>IF(Escenarios!$F$17&gt;0,0.001*Observaciones!$F703*Escenarios!$F$17,0)</f>
        <v>0</v>
      </c>
      <c r="BB704" s="170">
        <f>IF(Escenarios!$F$17&gt;0,Observaciones!$K703,0)</f>
        <v>0</v>
      </c>
      <c r="BC704" s="170">
        <f>IF(Escenarios!$F$17&gt;0,MIN(0.0005*ETo!$M703*Escenarios!$F$17*(BG703/Constantes!$F$40)^(2/3),BG703+AY704+AZ704+BA704+BB704),0)</f>
        <v>0</v>
      </c>
      <c r="BD704" s="170">
        <f>IF(Escenarios!$F$17&gt;0,MIN(Constantes!$F$39*(BG703/Constantes!$F$40)^(2/3),BG703+AY704+AZ704+BA704+BB704-BC704),0)</f>
        <v>0</v>
      </c>
      <c r="BE704" s="170">
        <f>IF(Escenarios!$F$17&gt;0,MIN(Entradas!$F$113,BG703+AY704+AZ704+BA704+BB704-BC704-BD704),0)</f>
        <v>0</v>
      </c>
      <c r="BF704" s="170">
        <f>IF(Escenarios!$F$17&gt;0,MAX(0,BG703+AY704+AZ704+BA704+BB704-BC704-BD704-BE704-Constantes!$F$40),0)</f>
        <v>0</v>
      </c>
      <c r="BG704" s="170">
        <f t="shared" si="151"/>
        <v>0</v>
      </c>
      <c r="BH704" s="170">
        <f>(Escenarios!$F$16*AK704+0.1*BC704)/(Escenarios!$F$19)</f>
        <v>2.996742176901213</v>
      </c>
      <c r="BI704" s="170">
        <f>IF(Escenarios!$F$17&gt;0,BF704/10/Escenarios!$F$19,AL704)</f>
        <v>0</v>
      </c>
      <c r="BJ704" s="170">
        <f>(Escenarios!$F$16*AT704+0.1*BD704)/(Escenarios!$F$19)</f>
        <v>0</v>
      </c>
      <c r="BK704" s="76">
        <f>BK703+(0.1*BD704)/(Escenarios!$F$19)-BL703</f>
        <v>48.75</v>
      </c>
      <c r="BL704" s="76">
        <f>MAX(0,(BK704-Constantes!$D$13)*(1-EXP(-Constantes!$D$23)))</f>
        <v>0</v>
      </c>
      <c r="BM704" s="76">
        <f t="shared" si="152"/>
        <v>0.11723348383775575</v>
      </c>
      <c r="BN704" s="76">
        <f t="shared" si="153"/>
        <v>0.7149416941375365</v>
      </c>
      <c r="BO704" s="76">
        <f>0.0526*BI704*Observaciones!$F703^1.218</f>
        <v>0</v>
      </c>
      <c r="BP704" s="76">
        <f>BO704*Constantes!$F$51</f>
        <v>0</v>
      </c>
      <c r="BQ704" s="76">
        <f t="shared" si="154"/>
        <v>0</v>
      </c>
      <c r="BR704" s="40"/>
    </row>
    <row r="705" spans="2:70">
      <c r="B705" s="39"/>
      <c r="C705" s="75">
        <v>699</v>
      </c>
      <c r="D705" s="146">
        <f>ETo!$I704*((1-Constantes!$F$19)*ETo!$K704+ETo!$L704)</f>
        <v>4.4622230163980179</v>
      </c>
      <c r="E705" s="76">
        <f>MIN(D705*Constantes!$F$17,0.8*(N704+Observaciones!$F704-F705-M705-Constantes!$D$14))</f>
        <v>2.5448582513254916</v>
      </c>
      <c r="F705" s="76">
        <f>IF(Observaciones!$F704&gt;0.05*Constantes!$F$18,((Observaciones!$F704-0.05*Constantes!$F$18)^2)/(Observaciones!$F704+0.95*Constantes!$F$18),0)</f>
        <v>0</v>
      </c>
      <c r="G705" s="76">
        <f>IF(Escenarios!$F$11&gt;0,(F705*Escenarios!$F$16*10000)/1000,0)</f>
        <v>0</v>
      </c>
      <c r="H705" s="76">
        <f>IF(Escenarios!$F$11&gt;0,(Observaciones!$F704*Constantes!$F$29)/1000,0)</f>
        <v>0</v>
      </c>
      <c r="I705" s="76">
        <f>IF(Escenarios!$F$11&gt;0,(D705*Constantes!$F$29)/1000,0)</f>
        <v>0</v>
      </c>
      <c r="J705" s="76">
        <f>IF(Escenarios!$F$11&gt;0,MAX(0,G705+H705-I705),0)</f>
        <v>0</v>
      </c>
      <c r="K705" s="76">
        <f>IF(Escenarios!$F$11&gt;0,IF(J705&gt;Constantes!$F$30,1000*((J705-Constantes!$F$30)/(Escenarios!$F$16*10000)),0),F705)</f>
        <v>0</v>
      </c>
      <c r="L705" s="76">
        <f>IF(Escenarios!$F$11&gt;0,I705*1000/Escenarios!$F$16/10000+E705,E705)</f>
        <v>2.5448582513254916</v>
      </c>
      <c r="M705" s="76">
        <f>MAX(0,N704+Observaciones!$F704-K705-Constantes!$D$13)</f>
        <v>0</v>
      </c>
      <c r="N705" s="76">
        <f>N704+Observaciones!$F704-K705-L705-M705-O704</f>
        <v>27.965466211468804</v>
      </c>
      <c r="O705" s="76">
        <f>MAX(0,(N705-Constantes!$D$14)*(1-EXP(-Constantes!$D$22)))</f>
        <v>0.56939014289533063</v>
      </c>
      <c r="P705" s="170">
        <f>P704+(Entradas!$F$83*M705-Q704)/(800*Entradas!$D$25)</f>
        <v>0</v>
      </c>
      <c r="Q705" s="170">
        <f>8000*Entradas!$D$26*P705/Constantes!$F$45</f>
        <v>0</v>
      </c>
      <c r="R705" s="170">
        <f>IF(Escenarios!$F$14&gt;0,K705*Escenarios!$F$13/Escenarios!$F$14,0)</f>
        <v>0</v>
      </c>
      <c r="S705" s="170">
        <f>IF(Escenarios!$F$14&gt;0,Q705*Escenarios!$F$13/Escenarios!$F$14,0)</f>
        <v>0</v>
      </c>
      <c r="T705" s="170">
        <f>IF(Escenarios!$F$14&gt;0,Observaciones!$I704,0)</f>
        <v>0</v>
      </c>
      <c r="U705" s="170">
        <f>IF(Escenarios!$F$14&gt;0,MAX(0,Constantes!$F$36/((Z704+R705+S705+T705+Observaciones!$F704)^2)+Entradas!$F$77),0)</f>
        <v>0</v>
      </c>
      <c r="V705" s="146">
        <f>IF(ETo!D704&gt;0,ETo!I704*((1-Entradas!$F$81)*ETo!K704+ETo!L704),0)</f>
        <v>3.9657716918075887</v>
      </c>
      <c r="W705" s="170">
        <f>IF(Escenarios!$F$14&gt;0,MIN(V705*1,0.8*(Z704+R705+S705+T705+Observaciones!$F704-U705-Constantes!$F$35)),0)</f>
        <v>3.9657716918075887</v>
      </c>
      <c r="X705" s="170">
        <f>IF(Escenarios!$F$14&gt;0,Observaciones!$J704,0)</f>
        <v>0</v>
      </c>
      <c r="Y705" s="170">
        <f>IF(Escenarios!$F$14&gt;0,MAX(0,Z704+R705+S705+T705+Observaciones!$F704-U705-W705-X705-Constantes!$F$33),0)</f>
        <v>0</v>
      </c>
      <c r="Z705" s="170">
        <f>Z704+R705+S705+T705+Observaciones!$F704-U705-W705-Y705</f>
        <v>43.272997902914504</v>
      </c>
      <c r="AA705" s="170">
        <f>IF(Escenarios!$F$14&gt;0,(Escenarios!$F$13*L705+Escenarios!$F$14*W705)/(Escenarios!$F$16),L705)</f>
        <v>2.7153678641833432</v>
      </c>
      <c r="AB705" s="170">
        <f>IF(Escenarios!$F$14&gt;0,(Escenarios!$F$14*Y705)/(Escenarios!$F$16),K705)</f>
        <v>0</v>
      </c>
      <c r="AC705" s="170">
        <f>IF(Escenarios!$F$14&gt;0,(Escenarios!$F$13*M705+Escenarios!$F$14*U705)/(Escenarios!$F$16),M705)</f>
        <v>0</v>
      </c>
      <c r="AD705" s="76">
        <f t="shared" si="141"/>
        <v>60.014720430802008</v>
      </c>
      <c r="AE705" s="76">
        <f>MAX(0,(AD705-Constantes!$D$13)*(1-EXP(-Constantes!$D$23)))</f>
        <v>0.11099397345206329</v>
      </c>
      <c r="AF705" s="76">
        <f>AB705+O705*Escenarios!$F$13/Escenarios!$F$16+AE705</f>
        <v>0.61205729919995422</v>
      </c>
      <c r="AG705" s="76">
        <f>IF(Entradas!$F$91&gt;0,IF(AF705-Escenarios!$F$38&lt;=0,0,IF(AF705-Escenarios!$F$38&gt;Escenarios!$F$37,Escenarios!$F$37,AF705-Escenarios!$F$38)),0)</f>
        <v>0</v>
      </c>
      <c r="AH705" s="76">
        <f>AG705*Entradas!$F$99</f>
        <v>0</v>
      </c>
      <c r="AI705" s="76">
        <f>IF(Entradas!$F$91&gt;0,D705*Entradas!$D$23/Escenarios!$F$16,0)</f>
        <v>0.21418670478710486</v>
      </c>
      <c r="AJ705" s="76">
        <f>IF(Entradas!$F$91&gt;0,Entradas!$D$24*Entradas!$D$22/Escenarios!$F$16,0)</f>
        <v>0.12</v>
      </c>
      <c r="AK705" s="76">
        <f t="shared" si="142"/>
        <v>2.9295545689704481</v>
      </c>
      <c r="AL705" s="76">
        <f t="shared" si="143"/>
        <v>0</v>
      </c>
      <c r="AM705" s="76">
        <f t="shared" si="144"/>
        <v>0</v>
      </c>
      <c r="AN705" s="76">
        <f>MAX(0,O705*Escenarios!$F$13/Escenarios!$F$16-AM705)</f>
        <v>0.50106332574789092</v>
      </c>
      <c r="AO705" s="76">
        <f>AM705+AN705-O705*Escenarios!$F$13/Escenarios!$F$16</f>
        <v>0</v>
      </c>
      <c r="AP705" s="76">
        <f t="shared" si="145"/>
        <v>0.11099397345206329</v>
      </c>
      <c r="AQ705" s="76">
        <f t="shared" si="146"/>
        <v>0</v>
      </c>
      <c r="AR705" s="76">
        <f t="shared" si="147"/>
        <v>0.61205729919995422</v>
      </c>
      <c r="AS705" s="76">
        <f t="shared" si="148"/>
        <v>0</v>
      </c>
      <c r="AT705" s="76">
        <f t="shared" si="149"/>
        <v>0</v>
      </c>
      <c r="AU705" s="76">
        <f t="shared" si="150"/>
        <v>49.080808372523279</v>
      </c>
      <c r="AV705" s="76">
        <f>MAX(0,(AU705-Constantes!$D$13)*(1-EXP(-Constantes!$D$24)))</f>
        <v>5.0564877053770338E-3</v>
      </c>
      <c r="AW705" s="170">
        <f>AW704+(Entradas!$F$112*AT705-AX704)/(800*Entradas!$D$25)</f>
        <v>0</v>
      </c>
      <c r="AX705" s="170">
        <f>8000*Entradas!$D$26*AW705/Constantes!$F$45</f>
        <v>0</v>
      </c>
      <c r="AY705" s="170">
        <f>IF(Escenarios!$F$17&gt;0,10*Escenarios!$F$16*AL705,0)</f>
        <v>0</v>
      </c>
      <c r="AZ705" s="170">
        <f>IF(Escenarios!$F$17&gt;0,10*Escenarios!$F$16*AX705,0)</f>
        <v>0</v>
      </c>
      <c r="BA705" s="170">
        <f>IF(Escenarios!$F$17&gt;0,0.001*Observaciones!$F704*Escenarios!$F$17,0)</f>
        <v>0</v>
      </c>
      <c r="BB705" s="170">
        <f>IF(Escenarios!$F$17&gt;0,Observaciones!$K704,0)</f>
        <v>0</v>
      </c>
      <c r="BC705" s="170">
        <f>IF(Escenarios!$F$17&gt;0,MIN(0.0005*ETo!$M704*Escenarios!$F$17*(BG704/Constantes!$F$40)^(2/3),BG704+AY705+AZ705+BA705+BB705),0)</f>
        <v>0</v>
      </c>
      <c r="BD705" s="170">
        <f>IF(Escenarios!$F$17&gt;0,MIN(Constantes!$F$39*(BG704/Constantes!$F$40)^(2/3),BG704+AY705+AZ705+BA705+BB705-BC705),0)</f>
        <v>0</v>
      </c>
      <c r="BE705" s="170">
        <f>IF(Escenarios!$F$17&gt;0,MIN(Entradas!$F$113,BG704+AY705+AZ705+BA705+BB705-BC705-BD705),0)</f>
        <v>0</v>
      </c>
      <c r="BF705" s="170">
        <f>IF(Escenarios!$F$17&gt;0,MAX(0,BG704+AY705+AZ705+BA705+BB705-BC705-BD705-BE705-Constantes!$F$40),0)</f>
        <v>0</v>
      </c>
      <c r="BG705" s="170">
        <f t="shared" si="151"/>
        <v>0</v>
      </c>
      <c r="BH705" s="170">
        <f>(Escenarios!$F$16*AK705+0.1*BC705)/(Escenarios!$F$19)</f>
        <v>2.9295545689704481</v>
      </c>
      <c r="BI705" s="170">
        <f>IF(Escenarios!$F$17&gt;0,BF705/10/Escenarios!$F$19,AL705)</f>
        <v>0</v>
      </c>
      <c r="BJ705" s="170">
        <f>(Escenarios!$F$16*AT705+0.1*BD705)/(Escenarios!$F$19)</f>
        <v>0</v>
      </c>
      <c r="BK705" s="76">
        <f>BK704+(0.1*BD705)/(Escenarios!$F$19)-BL704</f>
        <v>48.75</v>
      </c>
      <c r="BL705" s="76">
        <f>MAX(0,(BK705-Constantes!$D$13)*(1-EXP(-Constantes!$D$23)))</f>
        <v>0</v>
      </c>
      <c r="BM705" s="76">
        <f t="shared" si="152"/>
        <v>0.11605046115744032</v>
      </c>
      <c r="BN705" s="76">
        <f t="shared" si="153"/>
        <v>0.61711378690533125</v>
      </c>
      <c r="BO705" s="76">
        <f>0.0526*BI705*Observaciones!$F704^1.218</f>
        <v>0</v>
      </c>
      <c r="BP705" s="76">
        <f>BO705*Constantes!$F$51</f>
        <v>0</v>
      </c>
      <c r="BQ705" s="76">
        <f t="shared" si="154"/>
        <v>0</v>
      </c>
      <c r="BR705" s="40"/>
    </row>
    <row r="706" spans="2:70">
      <c r="B706" s="39"/>
      <c r="C706" s="75">
        <v>700</v>
      </c>
      <c r="D706" s="146">
        <f>ETo!$I705*((1-Constantes!$F$19)*ETo!$K705+ETo!$L705)</f>
        <v>4.3739202233659009</v>
      </c>
      <c r="E706" s="76">
        <f>MIN(D706*Constantes!$F$17,0.8*(N705+Observaciones!$F705-F706-M706-Constantes!$D$14))</f>
        <v>2.4944981302295575</v>
      </c>
      <c r="F706" s="76">
        <f>IF(Observaciones!$F705&gt;0.05*Constantes!$F$18,((Observaciones!$F705-0.05*Constantes!$F$18)^2)/(Observaciones!$F705+0.95*Constantes!$F$18),0)</f>
        <v>0</v>
      </c>
      <c r="G706" s="76">
        <f>IF(Escenarios!$F$11&gt;0,(F706*Escenarios!$F$16*10000)/1000,0)</f>
        <v>0</v>
      </c>
      <c r="H706" s="76">
        <f>IF(Escenarios!$F$11&gt;0,(Observaciones!$F705*Constantes!$F$29)/1000,0)</f>
        <v>0</v>
      </c>
      <c r="I706" s="76">
        <f>IF(Escenarios!$F$11&gt;0,(D706*Constantes!$F$29)/1000,0)</f>
        <v>0</v>
      </c>
      <c r="J706" s="76">
        <f>IF(Escenarios!$F$11&gt;0,MAX(0,G706+H706-I706),0)</f>
        <v>0</v>
      </c>
      <c r="K706" s="76">
        <f>IF(Escenarios!$F$11&gt;0,IF(J706&gt;Constantes!$F$30,1000*((J706-Constantes!$F$30)/(Escenarios!$F$16*10000)),0),F706)</f>
        <v>0</v>
      </c>
      <c r="L706" s="76">
        <f>IF(Escenarios!$F$11&gt;0,I706*1000/Escenarios!$F$16/10000+E706,E706)</f>
        <v>2.4944981302295575</v>
      </c>
      <c r="M706" s="76">
        <f>MAX(0,N705+Observaciones!$F705-K706-Constantes!$D$13)</f>
        <v>0</v>
      </c>
      <c r="N706" s="76">
        <f>N705+Observaciones!$F705-K706-L706-M706-O705</f>
        <v>24.901577938343916</v>
      </c>
      <c r="O706" s="76">
        <f>MAX(0,(N706-Constantes!$D$14)*(1-EXP(-Constantes!$D$22)))</f>
        <v>0.46502286054858161</v>
      </c>
      <c r="P706" s="170">
        <f>P705+(Entradas!$F$83*M706-Q705)/(800*Entradas!$D$25)</f>
        <v>0</v>
      </c>
      <c r="Q706" s="170">
        <f>8000*Entradas!$D$26*P706/Constantes!$F$45</f>
        <v>0</v>
      </c>
      <c r="R706" s="170">
        <f>IF(Escenarios!$F$14&gt;0,K706*Escenarios!$F$13/Escenarios!$F$14,0)</f>
        <v>0</v>
      </c>
      <c r="S706" s="170">
        <f>IF(Escenarios!$F$14&gt;0,Q706*Escenarios!$F$13/Escenarios!$F$14,0)</f>
        <v>0</v>
      </c>
      <c r="T706" s="170">
        <f>IF(Escenarios!$F$14&gt;0,Observaciones!$I705,0)</f>
        <v>0</v>
      </c>
      <c r="U706" s="170">
        <f>IF(Escenarios!$F$14&gt;0,MAX(0,Constantes!$F$36/((Z705+R706+S706+T706+Observaciones!$F705)^2)+Entradas!$F$77),0)</f>
        <v>0</v>
      </c>
      <c r="V706" s="146">
        <f>IF(ETo!D705&gt;0,ETo!I705*((1-Entradas!$F$81)*ETo!K705+ETo!L705),0)</f>
        <v>3.8862677025646755</v>
      </c>
      <c r="W706" s="170">
        <f>IF(Escenarios!$F$14&gt;0,MIN(V706*1,0.8*(Z705+R706+S706+T706+Observaciones!$F705-U706-Constantes!$F$35)),0)</f>
        <v>1.6183983223316034</v>
      </c>
      <c r="X706" s="170">
        <f>IF(Escenarios!$F$14&gt;0,Observaciones!$J705,0)</f>
        <v>0</v>
      </c>
      <c r="Y706" s="170">
        <f>IF(Escenarios!$F$14&gt;0,MAX(0,Z705+R706+S706+T706+Observaciones!$F705-U706-W706-X706-Constantes!$F$33),0)</f>
        <v>0</v>
      </c>
      <c r="Z706" s="170">
        <f>Z705+R706+S706+T706+Observaciones!$F705-U706-W706-Y706</f>
        <v>41.654599580582904</v>
      </c>
      <c r="AA706" s="170">
        <f>IF(Escenarios!$F$14&gt;0,(Escenarios!$F$13*L706+Escenarios!$F$14*W706)/(Escenarios!$F$16),L706)</f>
        <v>2.3893661532818031</v>
      </c>
      <c r="AB706" s="170">
        <f>IF(Escenarios!$F$14&gt;0,(Escenarios!$F$14*Y706)/(Escenarios!$F$16),K706)</f>
        <v>0</v>
      </c>
      <c r="AC706" s="170">
        <f>IF(Escenarios!$F$14&gt;0,(Escenarios!$F$13*M706+Escenarios!$F$14*U706)/(Escenarios!$F$16),M706)</f>
        <v>0</v>
      </c>
      <c r="AD706" s="76">
        <f t="shared" si="141"/>
        <v>59.903726457349947</v>
      </c>
      <c r="AE706" s="76">
        <f>MAX(0,(AD706-Constantes!$D$13)*(1-EXP(-Constantes!$D$23)))</f>
        <v>0.10990032339493533</v>
      </c>
      <c r="AF706" s="76">
        <f>AB706+O706*Escenarios!$F$13/Escenarios!$F$16+AE706</f>
        <v>0.51912044067768714</v>
      </c>
      <c r="AG706" s="76">
        <f>IF(Entradas!$F$91&gt;0,IF(AF706-Escenarios!$F$38&lt;=0,0,IF(AF706-Escenarios!$F$38&gt;Escenarios!$F$37,Escenarios!$F$37,AF706-Escenarios!$F$38)),0)</f>
        <v>0</v>
      </c>
      <c r="AH706" s="76">
        <f>AG706*Entradas!$F$99</f>
        <v>0</v>
      </c>
      <c r="AI706" s="76">
        <f>IF(Entradas!$F$91&gt;0,D706*Entradas!$D$23/Escenarios!$F$16,0)</f>
        <v>0.20994817072156327</v>
      </c>
      <c r="AJ706" s="76">
        <f>IF(Entradas!$F$91&gt;0,Entradas!$D$24*Entradas!$D$22/Escenarios!$F$16,0)</f>
        <v>0.12</v>
      </c>
      <c r="AK706" s="76">
        <f t="shared" si="142"/>
        <v>2.5993143240033665</v>
      </c>
      <c r="AL706" s="76">
        <f t="shared" si="143"/>
        <v>0</v>
      </c>
      <c r="AM706" s="76">
        <f t="shared" si="144"/>
        <v>0</v>
      </c>
      <c r="AN706" s="76">
        <f>MAX(0,O706*Escenarios!$F$13/Escenarios!$F$16-AM706)</f>
        <v>0.40922011728275182</v>
      </c>
      <c r="AO706" s="76">
        <f>AM706+AN706-O706*Escenarios!$F$13/Escenarios!$F$16</f>
        <v>0</v>
      </c>
      <c r="AP706" s="76">
        <f t="shared" si="145"/>
        <v>0.10990032339493533</v>
      </c>
      <c r="AQ706" s="76">
        <f t="shared" si="146"/>
        <v>0</v>
      </c>
      <c r="AR706" s="76">
        <f t="shared" si="147"/>
        <v>0.51912044067768714</v>
      </c>
      <c r="AS706" s="76">
        <f t="shared" si="148"/>
        <v>0</v>
      </c>
      <c r="AT706" s="76">
        <f t="shared" si="149"/>
        <v>0</v>
      </c>
      <c r="AU706" s="76">
        <f t="shared" si="150"/>
        <v>49.075751884817905</v>
      </c>
      <c r="AV706" s="76">
        <f>MAX(0,(AU706-Constantes!$D$13)*(1-EXP(-Constantes!$D$24)))</f>
        <v>4.9791980415163743E-3</v>
      </c>
      <c r="AW706" s="170">
        <f>AW705+(Entradas!$F$112*AT706-AX705)/(800*Entradas!$D$25)</f>
        <v>0</v>
      </c>
      <c r="AX706" s="170">
        <f>8000*Entradas!$D$26*AW706/Constantes!$F$45</f>
        <v>0</v>
      </c>
      <c r="AY706" s="170">
        <f>IF(Escenarios!$F$17&gt;0,10*Escenarios!$F$16*AL706,0)</f>
        <v>0</v>
      </c>
      <c r="AZ706" s="170">
        <f>IF(Escenarios!$F$17&gt;0,10*Escenarios!$F$16*AX706,0)</f>
        <v>0</v>
      </c>
      <c r="BA706" s="170">
        <f>IF(Escenarios!$F$17&gt;0,0.001*Observaciones!$F705*Escenarios!$F$17,0)</f>
        <v>0</v>
      </c>
      <c r="BB706" s="170">
        <f>IF(Escenarios!$F$17&gt;0,Observaciones!$K705,0)</f>
        <v>0</v>
      </c>
      <c r="BC706" s="170">
        <f>IF(Escenarios!$F$17&gt;0,MIN(0.0005*ETo!$M705*Escenarios!$F$17*(BG705/Constantes!$F$40)^(2/3),BG705+AY706+AZ706+BA706+BB706),0)</f>
        <v>0</v>
      </c>
      <c r="BD706" s="170">
        <f>IF(Escenarios!$F$17&gt;0,MIN(Constantes!$F$39*(BG705/Constantes!$F$40)^(2/3),BG705+AY706+AZ706+BA706+BB706-BC706),0)</f>
        <v>0</v>
      </c>
      <c r="BE706" s="170">
        <f>IF(Escenarios!$F$17&gt;0,MIN(Entradas!$F$113,BG705+AY706+AZ706+BA706+BB706-BC706-BD706),0)</f>
        <v>0</v>
      </c>
      <c r="BF706" s="170">
        <f>IF(Escenarios!$F$17&gt;0,MAX(0,BG705+AY706+AZ706+BA706+BB706-BC706-BD706-BE706-Constantes!$F$40),0)</f>
        <v>0</v>
      </c>
      <c r="BG706" s="170">
        <f t="shared" si="151"/>
        <v>0</v>
      </c>
      <c r="BH706" s="170">
        <f>(Escenarios!$F$16*AK706+0.1*BC706)/(Escenarios!$F$19)</f>
        <v>2.5993143240033665</v>
      </c>
      <c r="BI706" s="170">
        <f>IF(Escenarios!$F$17&gt;0,BF706/10/Escenarios!$F$19,AL706)</f>
        <v>0</v>
      </c>
      <c r="BJ706" s="170">
        <f>(Escenarios!$F$16*AT706+0.1*BD706)/(Escenarios!$F$19)</f>
        <v>0</v>
      </c>
      <c r="BK706" s="76">
        <f>BK705+(0.1*BD706)/(Escenarios!$F$19)-BL705</f>
        <v>48.75</v>
      </c>
      <c r="BL706" s="76">
        <f>MAX(0,(BK706-Constantes!$D$13)*(1-EXP(-Constantes!$D$23)))</f>
        <v>0</v>
      </c>
      <c r="BM706" s="76">
        <f t="shared" si="152"/>
        <v>0.11487952143645171</v>
      </c>
      <c r="BN706" s="76">
        <f t="shared" si="153"/>
        <v>0.52409963871920351</v>
      </c>
      <c r="BO706" s="76">
        <f>0.0526*BI706*Observaciones!$F705^1.218</f>
        <v>0</v>
      </c>
      <c r="BP706" s="76">
        <f>BO706*Constantes!$F$51</f>
        <v>0</v>
      </c>
      <c r="BQ706" s="76">
        <f t="shared" si="154"/>
        <v>0</v>
      </c>
      <c r="BR706" s="40"/>
    </row>
    <row r="707" spans="2:70">
      <c r="B707" s="39"/>
      <c r="C707" s="75">
        <v>701</v>
      </c>
      <c r="D707" s="146">
        <f>ETo!$I706*((1-Constantes!$F$19)*ETo!$K706+ETo!$L706)</f>
        <v>4.3880840474474061</v>
      </c>
      <c r="E707" s="76">
        <f>MIN(D707*Constantes!$F$17,0.8*(N706+Observaciones!$F706-F707-M707-Constantes!$D$14))</f>
        <v>2.5025759256359459</v>
      </c>
      <c r="F707" s="76">
        <f>IF(Observaciones!$F706&gt;0.05*Constantes!$F$18,((Observaciones!$F706-0.05*Constantes!$F$18)^2)/(Observaciones!$F706+0.95*Constantes!$F$18),0)</f>
        <v>0</v>
      </c>
      <c r="G707" s="76">
        <f>IF(Escenarios!$F$11&gt;0,(F707*Escenarios!$F$16*10000)/1000,0)</f>
        <v>0</v>
      </c>
      <c r="H707" s="76">
        <f>IF(Escenarios!$F$11&gt;0,(Observaciones!$F706*Constantes!$F$29)/1000,0)</f>
        <v>0</v>
      </c>
      <c r="I707" s="76">
        <f>IF(Escenarios!$F$11&gt;0,(D707*Constantes!$F$29)/1000,0)</f>
        <v>0</v>
      </c>
      <c r="J707" s="76">
        <f>IF(Escenarios!$F$11&gt;0,MAX(0,G707+H707-I707),0)</f>
        <v>0</v>
      </c>
      <c r="K707" s="76">
        <f>IF(Escenarios!$F$11&gt;0,IF(J707&gt;Constantes!$F$30,1000*((J707-Constantes!$F$30)/(Escenarios!$F$16*10000)),0),F707)</f>
        <v>0</v>
      </c>
      <c r="L707" s="76">
        <f>IF(Escenarios!$F$11&gt;0,I707*1000/Escenarios!$F$16/10000+E707,E707)</f>
        <v>2.5025759256359459</v>
      </c>
      <c r="M707" s="76">
        <f>MAX(0,N706+Observaciones!$F706-K707-Constantes!$D$13)</f>
        <v>0</v>
      </c>
      <c r="N707" s="76">
        <f>N706+Observaciones!$F706-K707-L707-M707-O706</f>
        <v>21.933979152159388</v>
      </c>
      <c r="O707" s="76">
        <f>MAX(0,(N707-Constantes!$D$14)*(1-EXP(-Constantes!$D$22)))</f>
        <v>0.36393555161296437</v>
      </c>
      <c r="P707" s="170">
        <f>P706+(Entradas!$F$83*M707-Q706)/(800*Entradas!$D$25)</f>
        <v>0</v>
      </c>
      <c r="Q707" s="170">
        <f>8000*Entradas!$D$26*P707/Constantes!$F$45</f>
        <v>0</v>
      </c>
      <c r="R707" s="170">
        <f>IF(Escenarios!$F$14&gt;0,K707*Escenarios!$F$13/Escenarios!$F$14,0)</f>
        <v>0</v>
      </c>
      <c r="S707" s="170">
        <f>IF(Escenarios!$F$14&gt;0,Q707*Escenarios!$F$13/Escenarios!$F$14,0)</f>
        <v>0</v>
      </c>
      <c r="T707" s="170">
        <f>IF(Escenarios!$F$14&gt;0,Observaciones!$I706,0)</f>
        <v>0</v>
      </c>
      <c r="U707" s="170">
        <f>IF(Escenarios!$F$14&gt;0,MAX(0,Constantes!$F$36/((Z706+R707+S707+T707+Observaciones!$F706)^2)+Entradas!$F$77),0)</f>
        <v>0</v>
      </c>
      <c r="V707" s="146">
        <f>IF(ETo!D706&gt;0,ETo!I706*((1-Entradas!$F$81)*ETo!K706+ETo!L706),0)</f>
        <v>3.8990102703996672</v>
      </c>
      <c r="W707" s="170">
        <f>IF(Escenarios!$F$14&gt;0,MIN(V707*1,0.8*(Z706+R707+S707+T707+Observaciones!$F706-U707-Constantes!$F$35)),0)</f>
        <v>0.32367966446632296</v>
      </c>
      <c r="X707" s="170">
        <f>IF(Escenarios!$F$14&gt;0,Observaciones!$J706,0)</f>
        <v>0</v>
      </c>
      <c r="Y707" s="170">
        <f>IF(Escenarios!$F$14&gt;0,MAX(0,Z706+R707+S707+T707+Observaciones!$F706-U707-W707-X707-Constantes!$F$33),0)</f>
        <v>0</v>
      </c>
      <c r="Z707" s="170">
        <f>Z706+R707+S707+T707+Observaciones!$F706-U707-W707-Y707</f>
        <v>41.330919916116578</v>
      </c>
      <c r="AA707" s="170">
        <f>IF(Escenarios!$F$14&gt;0,(Escenarios!$F$13*L707+Escenarios!$F$14*W707)/(Escenarios!$F$16),L707)</f>
        <v>2.2411083742955906</v>
      </c>
      <c r="AB707" s="170">
        <f>IF(Escenarios!$F$14&gt;0,(Escenarios!$F$14*Y707)/(Escenarios!$F$16),K707)</f>
        <v>0</v>
      </c>
      <c r="AC707" s="170">
        <f>IF(Escenarios!$F$14&gt;0,(Escenarios!$F$13*M707+Escenarios!$F$14*U707)/(Escenarios!$F$16),M707)</f>
        <v>0</v>
      </c>
      <c r="AD707" s="76">
        <f t="shared" si="141"/>
        <v>59.793826133955015</v>
      </c>
      <c r="AE707" s="76">
        <f>MAX(0,(AD707-Constantes!$D$13)*(1-EXP(-Constantes!$D$23)))</f>
        <v>0.10881744933230741</v>
      </c>
      <c r="AF707" s="76">
        <f>AB707+O707*Escenarios!$F$13/Escenarios!$F$16+AE707</f>
        <v>0.42908073475171604</v>
      </c>
      <c r="AG707" s="76">
        <f>IF(Entradas!$F$91&gt;0,IF(AF707-Escenarios!$F$38&lt;=0,0,IF(AF707-Escenarios!$F$38&gt;Escenarios!$F$37,Escenarios!$F$37,AF707-Escenarios!$F$38)),0)</f>
        <v>0</v>
      </c>
      <c r="AH707" s="76">
        <f>AG707*Entradas!$F$99</f>
        <v>0</v>
      </c>
      <c r="AI707" s="76">
        <f>IF(Entradas!$F$91&gt;0,D707*Entradas!$D$23/Escenarios!$F$16,0)</f>
        <v>0.21062803427747548</v>
      </c>
      <c r="AJ707" s="76">
        <f>IF(Entradas!$F$91&gt;0,Entradas!$D$24*Entradas!$D$22/Escenarios!$F$16,0)</f>
        <v>0.12</v>
      </c>
      <c r="AK707" s="76">
        <f t="shared" si="142"/>
        <v>2.451736408573066</v>
      </c>
      <c r="AL707" s="76">
        <f t="shared" si="143"/>
        <v>0</v>
      </c>
      <c r="AM707" s="76">
        <f t="shared" si="144"/>
        <v>0</v>
      </c>
      <c r="AN707" s="76">
        <f>MAX(0,O707*Escenarios!$F$13/Escenarios!$F$16-AM707)</f>
        <v>0.32026328541940863</v>
      </c>
      <c r="AO707" s="76">
        <f>AM707+AN707-O707*Escenarios!$F$13/Escenarios!$F$16</f>
        <v>0</v>
      </c>
      <c r="AP707" s="76">
        <f t="shared" si="145"/>
        <v>0.10881744933230741</v>
      </c>
      <c r="AQ707" s="76">
        <f t="shared" si="146"/>
        <v>0</v>
      </c>
      <c r="AR707" s="76">
        <f t="shared" si="147"/>
        <v>0.42908073475171604</v>
      </c>
      <c r="AS707" s="76">
        <f t="shared" si="148"/>
        <v>0</v>
      </c>
      <c r="AT707" s="76">
        <f t="shared" si="149"/>
        <v>0</v>
      </c>
      <c r="AU707" s="76">
        <f t="shared" si="150"/>
        <v>49.070772686776387</v>
      </c>
      <c r="AV707" s="76">
        <f>MAX(0,(AU707-Constantes!$D$13)*(1-EXP(-Constantes!$D$24)))</f>
        <v>4.9030897692633763E-3</v>
      </c>
      <c r="AW707" s="170">
        <f>AW706+(Entradas!$F$112*AT707-AX706)/(800*Entradas!$D$25)</f>
        <v>0</v>
      </c>
      <c r="AX707" s="170">
        <f>8000*Entradas!$D$26*AW707/Constantes!$F$45</f>
        <v>0</v>
      </c>
      <c r="AY707" s="170">
        <f>IF(Escenarios!$F$17&gt;0,10*Escenarios!$F$16*AL707,0)</f>
        <v>0</v>
      </c>
      <c r="AZ707" s="170">
        <f>IF(Escenarios!$F$17&gt;0,10*Escenarios!$F$16*AX707,0)</f>
        <v>0</v>
      </c>
      <c r="BA707" s="170">
        <f>IF(Escenarios!$F$17&gt;0,0.001*Observaciones!$F706*Escenarios!$F$17,0)</f>
        <v>0</v>
      </c>
      <c r="BB707" s="170">
        <f>IF(Escenarios!$F$17&gt;0,Observaciones!$K706,0)</f>
        <v>0</v>
      </c>
      <c r="BC707" s="170">
        <f>IF(Escenarios!$F$17&gt;0,MIN(0.0005*ETo!$M706*Escenarios!$F$17*(BG706/Constantes!$F$40)^(2/3),BG706+AY707+AZ707+BA707+BB707),0)</f>
        <v>0</v>
      </c>
      <c r="BD707" s="170">
        <f>IF(Escenarios!$F$17&gt;0,MIN(Constantes!$F$39*(BG706/Constantes!$F$40)^(2/3),BG706+AY707+AZ707+BA707+BB707-BC707),0)</f>
        <v>0</v>
      </c>
      <c r="BE707" s="170">
        <f>IF(Escenarios!$F$17&gt;0,MIN(Entradas!$F$113,BG706+AY707+AZ707+BA707+BB707-BC707-BD707),0)</f>
        <v>0</v>
      </c>
      <c r="BF707" s="170">
        <f>IF(Escenarios!$F$17&gt;0,MAX(0,BG706+AY707+AZ707+BA707+BB707-BC707-BD707-BE707-Constantes!$F$40),0)</f>
        <v>0</v>
      </c>
      <c r="BG707" s="170">
        <f t="shared" si="151"/>
        <v>0</v>
      </c>
      <c r="BH707" s="170">
        <f>(Escenarios!$F$16*AK707+0.1*BC707)/(Escenarios!$F$19)</f>
        <v>2.451736408573066</v>
      </c>
      <c r="BI707" s="170">
        <f>IF(Escenarios!$F$17&gt;0,BF707/10/Escenarios!$F$19,AL707)</f>
        <v>0</v>
      </c>
      <c r="BJ707" s="170">
        <f>(Escenarios!$F$16*AT707+0.1*BD707)/(Escenarios!$F$19)</f>
        <v>0</v>
      </c>
      <c r="BK707" s="76">
        <f>BK706+(0.1*BD707)/(Escenarios!$F$19)-BL706</f>
        <v>48.75</v>
      </c>
      <c r="BL707" s="76">
        <f>MAX(0,(BK707-Constantes!$D$13)*(1-EXP(-Constantes!$D$23)))</f>
        <v>0</v>
      </c>
      <c r="BM707" s="76">
        <f t="shared" si="152"/>
        <v>0.11372053910157079</v>
      </c>
      <c r="BN707" s="76">
        <f t="shared" si="153"/>
        <v>0.43398382452097944</v>
      </c>
      <c r="BO707" s="76">
        <f>0.0526*BI707*Observaciones!$F706^1.218</f>
        <v>0</v>
      </c>
      <c r="BP707" s="76">
        <f>BO707*Constantes!$F$51</f>
        <v>0</v>
      </c>
      <c r="BQ707" s="76">
        <f t="shared" si="154"/>
        <v>0</v>
      </c>
      <c r="BR707" s="40"/>
    </row>
    <row r="708" spans="2:70">
      <c r="B708" s="39"/>
      <c r="C708" s="75">
        <v>702</v>
      </c>
      <c r="D708" s="146">
        <f>ETo!$I707*((1-Constantes!$F$19)*ETo!$K707+ETo!$L707)</f>
        <v>4.504653967367962</v>
      </c>
      <c r="E708" s="76">
        <f>MIN(D708*Constantes!$F$17,0.8*(N707+Observaciones!$F707-F708-M708-Constantes!$D$14))</f>
        <v>2.5690571215501836</v>
      </c>
      <c r="F708" s="76">
        <f>IF(Observaciones!$F707&gt;0.05*Constantes!$F$18,((Observaciones!$F707-0.05*Constantes!$F$18)^2)/(Observaciones!$F707+0.95*Constantes!$F$18),0)</f>
        <v>0</v>
      </c>
      <c r="G708" s="76">
        <f>IF(Escenarios!$F$11&gt;0,(F708*Escenarios!$F$16*10000)/1000,0)</f>
        <v>0</v>
      </c>
      <c r="H708" s="76">
        <f>IF(Escenarios!$F$11&gt;0,(Observaciones!$F707*Constantes!$F$29)/1000,0)</f>
        <v>0</v>
      </c>
      <c r="I708" s="76">
        <f>IF(Escenarios!$F$11&gt;0,(D708*Constantes!$F$29)/1000,0)</f>
        <v>0</v>
      </c>
      <c r="J708" s="76">
        <f>IF(Escenarios!$F$11&gt;0,MAX(0,G708+H708-I708),0)</f>
        <v>0</v>
      </c>
      <c r="K708" s="76">
        <f>IF(Escenarios!$F$11&gt;0,IF(J708&gt;Constantes!$F$30,1000*((J708-Constantes!$F$30)/(Escenarios!$F$16*10000)),0),F708)</f>
        <v>0</v>
      </c>
      <c r="L708" s="76">
        <f>IF(Escenarios!$F$11&gt;0,I708*1000/Escenarios!$F$16/10000+E708,E708)</f>
        <v>2.5690571215501836</v>
      </c>
      <c r="M708" s="76">
        <f>MAX(0,N707+Observaciones!$F707-K708-Constantes!$D$13)</f>
        <v>0</v>
      </c>
      <c r="N708" s="76">
        <f>N707+Observaciones!$F707-K708-L708-M708-O707</f>
        <v>19.000986478996239</v>
      </c>
      <c r="O708" s="76">
        <f>MAX(0,(N708-Constantes!$D$14)*(1-EXP(-Constantes!$D$22)))</f>
        <v>0.26402705392849707</v>
      </c>
      <c r="P708" s="170">
        <f>P707+(Entradas!$F$83*M708-Q707)/(800*Entradas!$D$25)</f>
        <v>0</v>
      </c>
      <c r="Q708" s="170">
        <f>8000*Entradas!$D$26*P708/Constantes!$F$45</f>
        <v>0</v>
      </c>
      <c r="R708" s="170">
        <f>IF(Escenarios!$F$14&gt;0,K708*Escenarios!$F$13/Escenarios!$F$14,0)</f>
        <v>0</v>
      </c>
      <c r="S708" s="170">
        <f>IF(Escenarios!$F$14&gt;0,Q708*Escenarios!$F$13/Escenarios!$F$14,0)</f>
        <v>0</v>
      </c>
      <c r="T708" s="170">
        <f>IF(Escenarios!$F$14&gt;0,Observaciones!$I707,0)</f>
        <v>0</v>
      </c>
      <c r="U708" s="170">
        <f>IF(Escenarios!$F$14&gt;0,MAX(0,Constantes!$F$36/((Z707+R708+S708+T708+Observaciones!$F707)^2)+Entradas!$F$77),0)</f>
        <v>0</v>
      </c>
      <c r="V708" s="146">
        <f>IF(ETo!D707&gt;0,ETo!I707*((1-Entradas!$F$81)*ETo!K707+ETo!L707),0)</f>
        <v>4.0040574804245797</v>
      </c>
      <c r="W708" s="170">
        <f>IF(Escenarios!$F$14&gt;0,MIN(V708*1,0.8*(Z707+R708+S708+T708+Observaciones!$F707-U708-Constantes!$F$35)),0)</f>
        <v>6.4735932893262321E-2</v>
      </c>
      <c r="X708" s="170">
        <f>IF(Escenarios!$F$14&gt;0,Observaciones!$J707,0)</f>
        <v>0</v>
      </c>
      <c r="Y708" s="170">
        <f>IF(Escenarios!$F$14&gt;0,MAX(0,Z707+R708+S708+T708+Observaciones!$F707-U708-W708-X708-Constantes!$F$33),0)</f>
        <v>0</v>
      </c>
      <c r="Z708" s="170">
        <f>Z707+R708+S708+T708+Observaciones!$F707-U708-W708-Y708</f>
        <v>41.266183983223314</v>
      </c>
      <c r="AA708" s="170">
        <f>IF(Escenarios!$F$14&gt;0,(Escenarios!$F$13*L708+Escenarios!$F$14*W708)/(Escenarios!$F$16),L708)</f>
        <v>2.2685385789113535</v>
      </c>
      <c r="AB708" s="170">
        <f>IF(Escenarios!$F$14&gt;0,(Escenarios!$F$14*Y708)/(Escenarios!$F$16),K708)</f>
        <v>0</v>
      </c>
      <c r="AC708" s="170">
        <f>IF(Escenarios!$F$14&gt;0,(Escenarios!$F$13*M708+Escenarios!$F$14*U708)/(Escenarios!$F$16),M708)</f>
        <v>0</v>
      </c>
      <c r="AD708" s="76">
        <f t="shared" si="141"/>
        <v>59.685008684622709</v>
      </c>
      <c r="AE708" s="76">
        <f>MAX(0,(AD708-Constantes!$D$13)*(1-EXP(-Constantes!$D$23)))</f>
        <v>0.10774524508573906</v>
      </c>
      <c r="AF708" s="76">
        <f>AB708+O708*Escenarios!$F$13/Escenarios!$F$16+AE708</f>
        <v>0.34008905254281646</v>
      </c>
      <c r="AG708" s="76">
        <f>IF(Entradas!$F$91&gt;0,IF(AF708-Escenarios!$F$38&lt;=0,0,IF(AF708-Escenarios!$F$38&gt;Escenarios!$F$37,Escenarios!$F$37,AF708-Escenarios!$F$38)),0)</f>
        <v>0</v>
      </c>
      <c r="AH708" s="76">
        <f>AG708*Entradas!$F$99</f>
        <v>0</v>
      </c>
      <c r="AI708" s="76">
        <f>IF(Entradas!$F$91&gt;0,D708*Entradas!$D$23/Escenarios!$F$16,0)</f>
        <v>0.21622339043366218</v>
      </c>
      <c r="AJ708" s="76">
        <f>IF(Entradas!$F$91&gt;0,Entradas!$D$24*Entradas!$D$22/Escenarios!$F$16,0)</f>
        <v>0.12</v>
      </c>
      <c r="AK708" s="76">
        <f t="shared" si="142"/>
        <v>2.4847619693450156</v>
      </c>
      <c r="AL708" s="76">
        <f t="shared" si="143"/>
        <v>0</v>
      </c>
      <c r="AM708" s="76">
        <f t="shared" si="144"/>
        <v>0</v>
      </c>
      <c r="AN708" s="76">
        <f>MAX(0,O708*Escenarios!$F$13/Escenarios!$F$16-AM708)</f>
        <v>0.23234380745707742</v>
      </c>
      <c r="AO708" s="76">
        <f>AM708+AN708-O708*Escenarios!$F$13/Escenarios!$F$16</f>
        <v>0</v>
      </c>
      <c r="AP708" s="76">
        <f t="shared" si="145"/>
        <v>0.10774524508573906</v>
      </c>
      <c r="AQ708" s="76">
        <f t="shared" si="146"/>
        <v>0</v>
      </c>
      <c r="AR708" s="76">
        <f t="shared" si="147"/>
        <v>0.34008905254281646</v>
      </c>
      <c r="AS708" s="76">
        <f t="shared" si="148"/>
        <v>0</v>
      </c>
      <c r="AT708" s="76">
        <f t="shared" si="149"/>
        <v>0</v>
      </c>
      <c r="AU708" s="76">
        <f t="shared" si="150"/>
        <v>49.065869597007122</v>
      </c>
      <c r="AV708" s="76">
        <f>MAX(0,(AU708-Constantes!$D$13)*(1-EXP(-Constantes!$D$24)))</f>
        <v>4.8281448307555047E-3</v>
      </c>
      <c r="AW708" s="170">
        <f>AW707+(Entradas!$F$112*AT708-AX707)/(800*Entradas!$D$25)</f>
        <v>0</v>
      </c>
      <c r="AX708" s="170">
        <f>8000*Entradas!$D$26*AW708/Constantes!$F$45</f>
        <v>0</v>
      </c>
      <c r="AY708" s="170">
        <f>IF(Escenarios!$F$17&gt;0,10*Escenarios!$F$16*AL708,0)</f>
        <v>0</v>
      </c>
      <c r="AZ708" s="170">
        <f>IF(Escenarios!$F$17&gt;0,10*Escenarios!$F$16*AX708,0)</f>
        <v>0</v>
      </c>
      <c r="BA708" s="170">
        <f>IF(Escenarios!$F$17&gt;0,0.001*Observaciones!$F707*Escenarios!$F$17,0)</f>
        <v>0</v>
      </c>
      <c r="BB708" s="170">
        <f>IF(Escenarios!$F$17&gt;0,Observaciones!$K707,0)</f>
        <v>0</v>
      </c>
      <c r="BC708" s="170">
        <f>IF(Escenarios!$F$17&gt;0,MIN(0.0005*ETo!$M707*Escenarios!$F$17*(BG707/Constantes!$F$40)^(2/3),BG707+AY708+AZ708+BA708+BB708),0)</f>
        <v>0</v>
      </c>
      <c r="BD708" s="170">
        <f>IF(Escenarios!$F$17&gt;0,MIN(Constantes!$F$39*(BG707/Constantes!$F$40)^(2/3),BG707+AY708+AZ708+BA708+BB708-BC708),0)</f>
        <v>0</v>
      </c>
      <c r="BE708" s="170">
        <f>IF(Escenarios!$F$17&gt;0,MIN(Entradas!$F$113,BG707+AY708+AZ708+BA708+BB708-BC708-BD708),0)</f>
        <v>0</v>
      </c>
      <c r="BF708" s="170">
        <f>IF(Escenarios!$F$17&gt;0,MAX(0,BG707+AY708+AZ708+BA708+BB708-BC708-BD708-BE708-Constantes!$F$40),0)</f>
        <v>0</v>
      </c>
      <c r="BG708" s="170">
        <f t="shared" si="151"/>
        <v>0</v>
      </c>
      <c r="BH708" s="170">
        <f>(Escenarios!$F$16*AK708+0.1*BC708)/(Escenarios!$F$19)</f>
        <v>2.4847619693450156</v>
      </c>
      <c r="BI708" s="170">
        <f>IF(Escenarios!$F$17&gt;0,BF708/10/Escenarios!$F$19,AL708)</f>
        <v>0</v>
      </c>
      <c r="BJ708" s="170">
        <f>(Escenarios!$F$16*AT708+0.1*BD708)/(Escenarios!$F$19)</f>
        <v>0</v>
      </c>
      <c r="BK708" s="76">
        <f>BK707+(0.1*BD708)/(Escenarios!$F$19)-BL707</f>
        <v>48.75</v>
      </c>
      <c r="BL708" s="76">
        <f>MAX(0,(BK708-Constantes!$D$13)*(1-EXP(-Constantes!$D$23)))</f>
        <v>0</v>
      </c>
      <c r="BM708" s="76">
        <f t="shared" si="152"/>
        <v>0.11257338991649456</v>
      </c>
      <c r="BN708" s="76">
        <f t="shared" si="153"/>
        <v>0.34491719737357196</v>
      </c>
      <c r="BO708" s="76">
        <f>0.0526*BI708*Observaciones!$F707^1.218</f>
        <v>0</v>
      </c>
      <c r="BP708" s="76">
        <f>BO708*Constantes!$F$51</f>
        <v>0</v>
      </c>
      <c r="BQ708" s="76">
        <f t="shared" si="154"/>
        <v>0</v>
      </c>
      <c r="BR708" s="40"/>
    </row>
    <row r="709" spans="2:70">
      <c r="B709" s="39"/>
      <c r="C709" s="75">
        <v>703</v>
      </c>
      <c r="D709" s="146">
        <f>ETo!$I708*((1-Constantes!$F$19)*ETo!$K708+ETo!$L708)</f>
        <v>4.5001123237698586</v>
      </c>
      <c r="E709" s="76">
        <f>MIN(D709*Constantes!$F$17,0.8*(N708+Observaciones!$F708-F709-M709-Constantes!$D$14))</f>
        <v>2.5664669688073158</v>
      </c>
      <c r="F709" s="76">
        <f>IF(Observaciones!$F708&gt;0.05*Constantes!$F$18,((Observaciones!$F708-0.05*Constantes!$F$18)^2)/(Observaciones!$F708+0.95*Constantes!$F$18),0)</f>
        <v>0</v>
      </c>
      <c r="G709" s="76">
        <f>IF(Escenarios!$F$11&gt;0,(F709*Escenarios!$F$16*10000)/1000,0)</f>
        <v>0</v>
      </c>
      <c r="H709" s="76">
        <f>IF(Escenarios!$F$11&gt;0,(Observaciones!$F708*Constantes!$F$29)/1000,0)</f>
        <v>0</v>
      </c>
      <c r="I709" s="76">
        <f>IF(Escenarios!$F$11&gt;0,(D709*Constantes!$F$29)/1000,0)</f>
        <v>0</v>
      </c>
      <c r="J709" s="76">
        <f>IF(Escenarios!$F$11&gt;0,MAX(0,G709+H709-I709),0)</f>
        <v>0</v>
      </c>
      <c r="K709" s="76">
        <f>IF(Escenarios!$F$11&gt;0,IF(J709&gt;Constantes!$F$30,1000*((J709-Constantes!$F$30)/(Escenarios!$F$16*10000)),0),F709)</f>
        <v>0</v>
      </c>
      <c r="L709" s="76">
        <f>IF(Escenarios!$F$11&gt;0,I709*1000/Escenarios!$F$16/10000+E709,E709)</f>
        <v>2.5664669688073158</v>
      </c>
      <c r="M709" s="76">
        <f>MAX(0,N708+Observaciones!$F708-K709-Constantes!$D$13)</f>
        <v>0</v>
      </c>
      <c r="N709" s="76">
        <f>N708+Observaciones!$F708-K709-L709-M709-O708</f>
        <v>16.170492456260426</v>
      </c>
      <c r="O709" s="76">
        <f>MAX(0,(N709-Constantes!$D$14)*(1-EXP(-Constantes!$D$22)))</f>
        <v>0.16761003655783371</v>
      </c>
      <c r="P709" s="170">
        <f>P708+(Entradas!$F$83*M709-Q708)/(800*Entradas!$D$25)</f>
        <v>0</v>
      </c>
      <c r="Q709" s="170">
        <f>8000*Entradas!$D$26*P709/Constantes!$F$45</f>
        <v>0</v>
      </c>
      <c r="R709" s="170">
        <f>IF(Escenarios!$F$14&gt;0,K709*Escenarios!$F$13/Escenarios!$F$14,0)</f>
        <v>0</v>
      </c>
      <c r="S709" s="170">
        <f>IF(Escenarios!$F$14&gt;0,Q709*Escenarios!$F$13/Escenarios!$F$14,0)</f>
        <v>0</v>
      </c>
      <c r="T709" s="170">
        <f>IF(Escenarios!$F$14&gt;0,Observaciones!$I708,0)</f>
        <v>0</v>
      </c>
      <c r="U709" s="170">
        <f>IF(Escenarios!$F$14&gt;0,MAX(0,Constantes!$F$36/((Z708+R709+S709+T709+Observaciones!$F708)^2)+Entradas!$F$77),0)</f>
        <v>0</v>
      </c>
      <c r="V709" s="146">
        <f>IF(ETo!D708&gt;0,ETo!I708*((1-Entradas!$F$81)*ETo!K708+ETo!L708),0)</f>
        <v>3.9999597599768881</v>
      </c>
      <c r="W709" s="170">
        <f>IF(Escenarios!$F$14&gt;0,MIN(V709*1,0.8*(Z708+R709+S709+T709+Observaciones!$F708-U709-Constantes!$F$35)),0)</f>
        <v>1.2947186578651328E-2</v>
      </c>
      <c r="X709" s="170">
        <f>IF(Escenarios!$F$14&gt;0,Observaciones!$J708,0)</f>
        <v>0</v>
      </c>
      <c r="Y709" s="170">
        <f>IF(Escenarios!$F$14&gt;0,MAX(0,Z708+R709+S709+T709+Observaciones!$F708-U709-W709-X709-Constantes!$F$33),0)</f>
        <v>0</v>
      </c>
      <c r="Z709" s="170">
        <f>Z708+R709+S709+T709+Observaciones!$F708-U709-W709-Y709</f>
        <v>41.253236796644664</v>
      </c>
      <c r="AA709" s="170">
        <f>IF(Escenarios!$F$14&gt;0,(Escenarios!$F$13*L709+Escenarios!$F$14*W709)/(Escenarios!$F$16),L709)</f>
        <v>2.2600445949398758</v>
      </c>
      <c r="AB709" s="170">
        <f>IF(Escenarios!$F$14&gt;0,(Escenarios!$F$14*Y709)/(Escenarios!$F$16),K709)</f>
        <v>0</v>
      </c>
      <c r="AC709" s="170">
        <f>IF(Escenarios!$F$14&gt;0,(Escenarios!$F$13*M709+Escenarios!$F$14*U709)/(Escenarios!$F$16),M709)</f>
        <v>0</v>
      </c>
      <c r="AD709" s="76">
        <f t="shared" si="141"/>
        <v>59.577263439536971</v>
      </c>
      <c r="AE709" s="76">
        <f>MAX(0,(AD709-Constantes!$D$13)*(1-EXP(-Constantes!$D$23)))</f>
        <v>0.10668360552299129</v>
      </c>
      <c r="AF709" s="76">
        <f>AB709+O709*Escenarios!$F$13/Escenarios!$F$16+AE709</f>
        <v>0.25418043769388493</v>
      </c>
      <c r="AG709" s="76">
        <f>IF(Entradas!$F$91&gt;0,IF(AF709-Escenarios!$F$38&lt;=0,0,IF(AF709-Escenarios!$F$38&gt;Escenarios!$F$37,Escenarios!$F$37,AF709-Escenarios!$F$38)),0)</f>
        <v>0</v>
      </c>
      <c r="AH709" s="76">
        <f>AG709*Entradas!$F$99</f>
        <v>0</v>
      </c>
      <c r="AI709" s="76">
        <f>IF(Entradas!$F$91&gt;0,D709*Entradas!$D$23/Escenarios!$F$16,0)</f>
        <v>0.21600539154095322</v>
      </c>
      <c r="AJ709" s="76">
        <f>IF(Entradas!$F$91&gt;0,Entradas!$D$24*Entradas!$D$22/Escenarios!$F$16,0)</f>
        <v>0.12</v>
      </c>
      <c r="AK709" s="76">
        <f t="shared" si="142"/>
        <v>2.4760499864808292</v>
      </c>
      <c r="AL709" s="76">
        <f t="shared" si="143"/>
        <v>0</v>
      </c>
      <c r="AM709" s="76">
        <f t="shared" si="144"/>
        <v>0</v>
      </c>
      <c r="AN709" s="76">
        <f>MAX(0,O709*Escenarios!$F$13/Escenarios!$F$16-AM709)</f>
        <v>0.14749683217089365</v>
      </c>
      <c r="AO709" s="76">
        <f>AM709+AN709-O709*Escenarios!$F$13/Escenarios!$F$16</f>
        <v>0</v>
      </c>
      <c r="AP709" s="76">
        <f t="shared" si="145"/>
        <v>0.10668360552299129</v>
      </c>
      <c r="AQ709" s="76">
        <f t="shared" si="146"/>
        <v>0</v>
      </c>
      <c r="AR709" s="76">
        <f t="shared" si="147"/>
        <v>0.25418043769388493</v>
      </c>
      <c r="AS709" s="76">
        <f t="shared" si="148"/>
        <v>0</v>
      </c>
      <c r="AT709" s="76">
        <f t="shared" si="149"/>
        <v>0</v>
      </c>
      <c r="AU709" s="76">
        <f t="shared" si="150"/>
        <v>49.061041452176369</v>
      </c>
      <c r="AV709" s="76">
        <f>MAX(0,(AU709-Constantes!$D$13)*(1-EXP(-Constantes!$D$24)))</f>
        <v>4.75434544414909E-3</v>
      </c>
      <c r="AW709" s="170">
        <f>AW708+(Entradas!$F$112*AT709-AX708)/(800*Entradas!$D$25)</f>
        <v>0</v>
      </c>
      <c r="AX709" s="170">
        <f>8000*Entradas!$D$26*AW709/Constantes!$F$45</f>
        <v>0</v>
      </c>
      <c r="AY709" s="170">
        <f>IF(Escenarios!$F$17&gt;0,10*Escenarios!$F$16*AL709,0)</f>
        <v>0</v>
      </c>
      <c r="AZ709" s="170">
        <f>IF(Escenarios!$F$17&gt;0,10*Escenarios!$F$16*AX709,0)</f>
        <v>0</v>
      </c>
      <c r="BA709" s="170">
        <f>IF(Escenarios!$F$17&gt;0,0.001*Observaciones!$F708*Escenarios!$F$17,0)</f>
        <v>0</v>
      </c>
      <c r="BB709" s="170">
        <f>IF(Escenarios!$F$17&gt;0,Observaciones!$K708,0)</f>
        <v>0</v>
      </c>
      <c r="BC709" s="170">
        <f>IF(Escenarios!$F$17&gt;0,MIN(0.0005*ETo!$M708*Escenarios!$F$17*(BG708/Constantes!$F$40)^(2/3),BG708+AY709+AZ709+BA709+BB709),0)</f>
        <v>0</v>
      </c>
      <c r="BD709" s="170">
        <f>IF(Escenarios!$F$17&gt;0,MIN(Constantes!$F$39*(BG708/Constantes!$F$40)^(2/3),BG708+AY709+AZ709+BA709+BB709-BC709),0)</f>
        <v>0</v>
      </c>
      <c r="BE709" s="170">
        <f>IF(Escenarios!$F$17&gt;0,MIN(Entradas!$F$113,BG708+AY709+AZ709+BA709+BB709-BC709-BD709),0)</f>
        <v>0</v>
      </c>
      <c r="BF709" s="170">
        <f>IF(Escenarios!$F$17&gt;0,MAX(0,BG708+AY709+AZ709+BA709+BB709-BC709-BD709-BE709-Constantes!$F$40),0)</f>
        <v>0</v>
      </c>
      <c r="BG709" s="170">
        <f t="shared" si="151"/>
        <v>0</v>
      </c>
      <c r="BH709" s="170">
        <f>(Escenarios!$F$16*AK709+0.1*BC709)/(Escenarios!$F$19)</f>
        <v>2.4760499864808292</v>
      </c>
      <c r="BI709" s="170">
        <f>IF(Escenarios!$F$17&gt;0,BF709/10/Escenarios!$F$19,AL709)</f>
        <v>0</v>
      </c>
      <c r="BJ709" s="170">
        <f>(Escenarios!$F$16*AT709+0.1*BD709)/(Escenarios!$F$19)</f>
        <v>0</v>
      </c>
      <c r="BK709" s="76">
        <f>BK708+(0.1*BD709)/(Escenarios!$F$19)-BL708</f>
        <v>48.75</v>
      </c>
      <c r="BL709" s="76">
        <f>MAX(0,(BK709-Constantes!$D$13)*(1-EXP(-Constantes!$D$23)))</f>
        <v>0</v>
      </c>
      <c r="BM709" s="76">
        <f t="shared" si="152"/>
        <v>0.11143795096714038</v>
      </c>
      <c r="BN709" s="76">
        <f t="shared" si="153"/>
        <v>0.25893478313803403</v>
      </c>
      <c r="BO709" s="76">
        <f>0.0526*BI709*Observaciones!$F708^1.218</f>
        <v>0</v>
      </c>
      <c r="BP709" s="76">
        <f>BO709*Constantes!$F$51</f>
        <v>0</v>
      </c>
      <c r="BQ709" s="76">
        <f t="shared" si="154"/>
        <v>0</v>
      </c>
      <c r="BR709" s="40"/>
    </row>
    <row r="710" spans="2:70">
      <c r="B710" s="39"/>
      <c r="C710" s="75">
        <v>704</v>
      </c>
      <c r="D710" s="146">
        <f>ETo!$I709*((1-Constantes!$F$19)*ETo!$K709+ETo!$L709)</f>
        <v>4.5001950887428697</v>
      </c>
      <c r="E710" s="76">
        <f>MIN(D710*Constantes!$F$17,0.8*(N709+Observaciones!$F709-F710-M710-Constantes!$D$14))</f>
        <v>2.5665141706445422</v>
      </c>
      <c r="F710" s="76">
        <f>IF(Observaciones!$F709&gt;0.05*Constantes!$F$18,((Observaciones!$F709-0.05*Constantes!$F$18)^2)/(Observaciones!$F709+0.95*Constantes!$F$18),0)</f>
        <v>0</v>
      </c>
      <c r="G710" s="76">
        <f>IF(Escenarios!$F$11&gt;0,(F710*Escenarios!$F$16*10000)/1000,0)</f>
        <v>0</v>
      </c>
      <c r="H710" s="76">
        <f>IF(Escenarios!$F$11&gt;0,(Observaciones!$F709*Constantes!$F$29)/1000,0)</f>
        <v>0</v>
      </c>
      <c r="I710" s="76">
        <f>IF(Escenarios!$F$11&gt;0,(D710*Constantes!$F$29)/1000,0)</f>
        <v>0</v>
      </c>
      <c r="J710" s="76">
        <f>IF(Escenarios!$F$11&gt;0,MAX(0,G710+H710-I710),0)</f>
        <v>0</v>
      </c>
      <c r="K710" s="76">
        <f>IF(Escenarios!$F$11&gt;0,IF(J710&gt;Constantes!$F$30,1000*((J710-Constantes!$F$30)/(Escenarios!$F$16*10000)),0),F710)</f>
        <v>0</v>
      </c>
      <c r="L710" s="76">
        <f>IF(Escenarios!$F$11&gt;0,I710*1000/Escenarios!$F$16/10000+E710,E710)</f>
        <v>2.5665141706445422</v>
      </c>
      <c r="M710" s="76">
        <f>MAX(0,N709+Observaciones!$F709-K710-Constantes!$D$13)</f>
        <v>0</v>
      </c>
      <c r="N710" s="76">
        <f>N709+Observaciones!$F709-K710-L710-M710-O709</f>
        <v>13.43636824905805</v>
      </c>
      <c r="O710" s="76">
        <f>MAX(0,(N710-Constantes!$D$14)*(1-EXP(-Constantes!$D$22)))</f>
        <v>7.4475728885074685E-2</v>
      </c>
      <c r="P710" s="170">
        <f>P709+(Entradas!$F$83*M710-Q709)/(800*Entradas!$D$25)</f>
        <v>0</v>
      </c>
      <c r="Q710" s="170">
        <f>8000*Entradas!$D$26*P710/Constantes!$F$45</f>
        <v>0</v>
      </c>
      <c r="R710" s="170">
        <f>IF(Escenarios!$F$14&gt;0,K710*Escenarios!$F$13/Escenarios!$F$14,0)</f>
        <v>0</v>
      </c>
      <c r="S710" s="170">
        <f>IF(Escenarios!$F$14&gt;0,Q710*Escenarios!$F$13/Escenarios!$F$14,0)</f>
        <v>0</v>
      </c>
      <c r="T710" s="170">
        <f>IF(Escenarios!$F$14&gt;0,Observaciones!$I709,0)</f>
        <v>0</v>
      </c>
      <c r="U710" s="170">
        <f>IF(Escenarios!$F$14&gt;0,MAX(0,Constantes!$F$36/((Z709+R710+S710+T710+Observaciones!$F709)^2)+Entradas!$F$77),0)</f>
        <v>0</v>
      </c>
      <c r="V710" s="146">
        <f>IF(ETo!D709&gt;0,ETo!I709*((1-Entradas!$F$81)*ETo!K709+ETo!L709),0)</f>
        <v>4.0000356737333762</v>
      </c>
      <c r="W710" s="170">
        <f>IF(Escenarios!$F$14&gt;0,MIN(V710*1,0.8*(Z709+R710+S710+T710+Observaciones!$F709-U710-Constantes!$F$35)),0)</f>
        <v>2.5894373157314024E-3</v>
      </c>
      <c r="X710" s="170">
        <f>IF(Escenarios!$F$14&gt;0,Observaciones!$J709,0)</f>
        <v>0</v>
      </c>
      <c r="Y710" s="170">
        <f>IF(Escenarios!$F$14&gt;0,MAX(0,Z709+R710+S710+T710+Observaciones!$F709-U710-W710-X710-Constantes!$F$33),0)</f>
        <v>0</v>
      </c>
      <c r="Z710" s="170">
        <f>Z709+R710+S710+T710+Observaciones!$F709-U710-W710-Y710</f>
        <v>41.25064735932893</v>
      </c>
      <c r="AA710" s="170">
        <f>IF(Escenarios!$F$14&gt;0,(Escenarios!$F$13*L710+Escenarios!$F$14*W710)/(Escenarios!$F$16),L710)</f>
        <v>2.2588432026450849</v>
      </c>
      <c r="AB710" s="170">
        <f>IF(Escenarios!$F$14&gt;0,(Escenarios!$F$14*Y710)/(Escenarios!$F$16),K710)</f>
        <v>0</v>
      </c>
      <c r="AC710" s="170">
        <f>IF(Escenarios!$F$14&gt;0,(Escenarios!$F$13*M710+Escenarios!$F$14*U710)/(Escenarios!$F$16),M710)</f>
        <v>0</v>
      </c>
      <c r="AD710" s="76">
        <f t="shared" si="141"/>
        <v>59.470579834013982</v>
      </c>
      <c r="AE710" s="76">
        <f>MAX(0,(AD710-Constantes!$D$13)*(1-EXP(-Constantes!$D$23)))</f>
        <v>0.10563242654771815</v>
      </c>
      <c r="AF710" s="76">
        <f>AB710+O710*Escenarios!$F$13/Escenarios!$F$16+AE710</f>
        <v>0.17117106796658388</v>
      </c>
      <c r="AG710" s="76">
        <f>IF(Entradas!$F$91&gt;0,IF(AF710-Escenarios!$F$38&lt;=0,0,IF(AF710-Escenarios!$F$38&gt;Escenarios!$F$37,Escenarios!$F$37,AF710-Escenarios!$F$38)),0)</f>
        <v>0</v>
      </c>
      <c r="AH710" s="76">
        <f>AG710*Entradas!$F$99</f>
        <v>0</v>
      </c>
      <c r="AI710" s="76">
        <f>IF(Entradas!$F$91&gt;0,D710*Entradas!$D$23/Escenarios!$F$16,0)</f>
        <v>0.21600936425965772</v>
      </c>
      <c r="AJ710" s="76">
        <f>IF(Entradas!$F$91&gt;0,Entradas!$D$24*Entradas!$D$22/Escenarios!$F$16,0)</f>
        <v>0.12</v>
      </c>
      <c r="AK710" s="76">
        <f t="shared" si="142"/>
        <v>2.4748525669047425</v>
      </c>
      <c r="AL710" s="76">
        <f t="shared" si="143"/>
        <v>0</v>
      </c>
      <c r="AM710" s="76">
        <f t="shared" si="144"/>
        <v>0</v>
      </c>
      <c r="AN710" s="76">
        <f>MAX(0,O710*Escenarios!$F$13/Escenarios!$F$16-AM710)</f>
        <v>6.5538641418865728E-2</v>
      </c>
      <c r="AO710" s="76">
        <f>AM710+AN710-O710*Escenarios!$F$13/Escenarios!$F$16</f>
        <v>0</v>
      </c>
      <c r="AP710" s="76">
        <f t="shared" si="145"/>
        <v>0.10563242654771815</v>
      </c>
      <c r="AQ710" s="76">
        <f t="shared" si="146"/>
        <v>0</v>
      </c>
      <c r="AR710" s="76">
        <f t="shared" si="147"/>
        <v>0.17117106796658388</v>
      </c>
      <c r="AS710" s="76">
        <f t="shared" si="148"/>
        <v>0</v>
      </c>
      <c r="AT710" s="76">
        <f t="shared" si="149"/>
        <v>0</v>
      </c>
      <c r="AU710" s="76">
        <f t="shared" si="150"/>
        <v>49.056287106732221</v>
      </c>
      <c r="AV710" s="76">
        <f>MAX(0,(AU710-Constantes!$D$13)*(1-EXP(-Constantes!$D$24)))</f>
        <v>4.6816740994002244E-3</v>
      </c>
      <c r="AW710" s="170">
        <f>AW709+(Entradas!$F$112*AT710-AX709)/(800*Entradas!$D$25)</f>
        <v>0</v>
      </c>
      <c r="AX710" s="170">
        <f>8000*Entradas!$D$26*AW710/Constantes!$F$45</f>
        <v>0</v>
      </c>
      <c r="AY710" s="170">
        <f>IF(Escenarios!$F$17&gt;0,10*Escenarios!$F$16*AL710,0)</f>
        <v>0</v>
      </c>
      <c r="AZ710" s="170">
        <f>IF(Escenarios!$F$17&gt;0,10*Escenarios!$F$16*AX710,0)</f>
        <v>0</v>
      </c>
      <c r="BA710" s="170">
        <f>IF(Escenarios!$F$17&gt;0,0.001*Observaciones!$F709*Escenarios!$F$17,0)</f>
        <v>0</v>
      </c>
      <c r="BB710" s="170">
        <f>IF(Escenarios!$F$17&gt;0,Observaciones!$K709,0)</f>
        <v>0</v>
      </c>
      <c r="BC710" s="170">
        <f>IF(Escenarios!$F$17&gt;0,MIN(0.0005*ETo!$M709*Escenarios!$F$17*(BG709/Constantes!$F$40)^(2/3),BG709+AY710+AZ710+BA710+BB710),0)</f>
        <v>0</v>
      </c>
      <c r="BD710" s="170">
        <f>IF(Escenarios!$F$17&gt;0,MIN(Constantes!$F$39*(BG709/Constantes!$F$40)^(2/3),BG709+AY710+AZ710+BA710+BB710-BC710),0)</f>
        <v>0</v>
      </c>
      <c r="BE710" s="170">
        <f>IF(Escenarios!$F$17&gt;0,MIN(Entradas!$F$113,BG709+AY710+AZ710+BA710+BB710-BC710-BD710),0)</f>
        <v>0</v>
      </c>
      <c r="BF710" s="170">
        <f>IF(Escenarios!$F$17&gt;0,MAX(0,BG709+AY710+AZ710+BA710+BB710-BC710-BD710-BE710-Constantes!$F$40),0)</f>
        <v>0</v>
      </c>
      <c r="BG710" s="170">
        <f t="shared" si="151"/>
        <v>0</v>
      </c>
      <c r="BH710" s="170">
        <f>(Escenarios!$F$16*AK710+0.1*BC710)/(Escenarios!$F$19)</f>
        <v>2.4748525669047425</v>
      </c>
      <c r="BI710" s="170">
        <f>IF(Escenarios!$F$17&gt;0,BF710/10/Escenarios!$F$19,AL710)</f>
        <v>0</v>
      </c>
      <c r="BJ710" s="170">
        <f>(Escenarios!$F$16*AT710+0.1*BD710)/(Escenarios!$F$19)</f>
        <v>0</v>
      </c>
      <c r="BK710" s="76">
        <f>BK709+(0.1*BD710)/(Escenarios!$F$19)-BL709</f>
        <v>48.75</v>
      </c>
      <c r="BL710" s="76">
        <f>MAX(0,(BK710-Constantes!$D$13)*(1-EXP(-Constantes!$D$23)))</f>
        <v>0</v>
      </c>
      <c r="BM710" s="76">
        <f t="shared" si="152"/>
        <v>0.11031410064711837</v>
      </c>
      <c r="BN710" s="76">
        <f t="shared" si="153"/>
        <v>0.17585274206598411</v>
      </c>
      <c r="BO710" s="76">
        <f>0.0526*BI710*Observaciones!$F709^1.218</f>
        <v>0</v>
      </c>
      <c r="BP710" s="76">
        <f>BO710*Constantes!$F$51</f>
        <v>0</v>
      </c>
      <c r="BQ710" s="76">
        <f t="shared" si="154"/>
        <v>0</v>
      </c>
      <c r="BR710" s="40"/>
    </row>
    <row r="711" spans="2:70">
      <c r="B711" s="39"/>
      <c r="C711" s="75">
        <v>705</v>
      </c>
      <c r="D711" s="146">
        <f>ETo!$I710*((1-Constantes!$F$19)*ETo!$K710+ETo!$L710)</f>
        <v>4.5328203328932064</v>
      </c>
      <c r="E711" s="76">
        <f>MIN(D711*Constantes!$F$17,0.8*(N710+Observaciones!$F710-F711-M711-Constantes!$D$14))</f>
        <v>1.7490945992464404</v>
      </c>
      <c r="F711" s="76">
        <f>IF(Observaciones!$F710&gt;0.05*Constantes!$F$18,((Observaciones!$F710-0.05*Constantes!$F$18)^2)/(Observaciones!$F710+0.95*Constantes!$F$18),0)</f>
        <v>0</v>
      </c>
      <c r="G711" s="76">
        <f>IF(Escenarios!$F$11&gt;0,(F711*Escenarios!$F$16*10000)/1000,0)</f>
        <v>0</v>
      </c>
      <c r="H711" s="76">
        <f>IF(Escenarios!$F$11&gt;0,(Observaciones!$F710*Constantes!$F$29)/1000,0)</f>
        <v>0</v>
      </c>
      <c r="I711" s="76">
        <f>IF(Escenarios!$F$11&gt;0,(D711*Constantes!$F$29)/1000,0)</f>
        <v>0</v>
      </c>
      <c r="J711" s="76">
        <f>IF(Escenarios!$F$11&gt;0,MAX(0,G711+H711-I711),0)</f>
        <v>0</v>
      </c>
      <c r="K711" s="76">
        <f>IF(Escenarios!$F$11&gt;0,IF(J711&gt;Constantes!$F$30,1000*((J711-Constantes!$F$30)/(Escenarios!$F$16*10000)),0),F711)</f>
        <v>0</v>
      </c>
      <c r="L711" s="76">
        <f>IF(Escenarios!$F$11&gt;0,I711*1000/Escenarios!$F$16/10000+E711,E711)</f>
        <v>1.7490945992464404</v>
      </c>
      <c r="M711" s="76">
        <f>MAX(0,N710+Observaciones!$F710-K711-Constantes!$D$13)</f>
        <v>0</v>
      </c>
      <c r="N711" s="76">
        <f>N710+Observaciones!$F710-K711-L711-M711-O710</f>
        <v>11.612797920926536</v>
      </c>
      <c r="O711" s="76">
        <f>MAX(0,(N711-Constantes!$D$14)*(1-EXP(-Constantes!$D$22)))</f>
        <v>1.235822904519138E-2</v>
      </c>
      <c r="P711" s="170">
        <f>P710+(Entradas!$F$83*M711-Q710)/(800*Entradas!$D$25)</f>
        <v>0</v>
      </c>
      <c r="Q711" s="170">
        <f>8000*Entradas!$D$26*P711/Constantes!$F$45</f>
        <v>0</v>
      </c>
      <c r="R711" s="170">
        <f>IF(Escenarios!$F$14&gt;0,K711*Escenarios!$F$13/Escenarios!$F$14,0)</f>
        <v>0</v>
      </c>
      <c r="S711" s="170">
        <f>IF(Escenarios!$F$14&gt;0,Q711*Escenarios!$F$13/Escenarios!$F$14,0)</f>
        <v>0</v>
      </c>
      <c r="T711" s="170">
        <f>IF(Escenarios!$F$14&gt;0,Observaciones!$I710,0)</f>
        <v>0</v>
      </c>
      <c r="U711" s="170">
        <f>IF(Escenarios!$F$14&gt;0,MAX(0,Constantes!$F$36/((Z710+R711+S711+T711+Observaciones!$F710)^2)+Entradas!$F$77),0)</f>
        <v>0</v>
      </c>
      <c r="V711" s="146">
        <f>IF(ETo!D710&gt;0,ETo!I710*((1-Entradas!$F$81)*ETo!K710+ETo!L710),0)</f>
        <v>4.0294967988742076</v>
      </c>
      <c r="W711" s="170">
        <f>IF(Escenarios!$F$14&gt;0,MIN(V711*1,0.8*(Z710+R711+S711+T711+Observaciones!$F710-U711-Constantes!$F$35)),0)</f>
        <v>5.1788746314400673E-4</v>
      </c>
      <c r="X711" s="170">
        <f>IF(Escenarios!$F$14&gt;0,Observaciones!$J710,0)</f>
        <v>0</v>
      </c>
      <c r="Y711" s="170">
        <f>IF(Escenarios!$F$14&gt;0,MAX(0,Z710+R711+S711+T711+Observaciones!$F710-U711-W711-X711-Constantes!$F$33),0)</f>
        <v>0</v>
      </c>
      <c r="Z711" s="170">
        <f>Z710+R711+S711+T711+Observaciones!$F710-U711-W711-Y711</f>
        <v>41.250129471865783</v>
      </c>
      <c r="AA711" s="170">
        <f>IF(Escenarios!$F$14&gt;0,(Escenarios!$F$13*L711+Escenarios!$F$14*W711)/(Escenarios!$F$16),L711)</f>
        <v>1.539265393832445</v>
      </c>
      <c r="AB711" s="170">
        <f>IF(Escenarios!$F$14&gt;0,(Escenarios!$F$14*Y711)/(Escenarios!$F$16),K711)</f>
        <v>0</v>
      </c>
      <c r="AC711" s="170">
        <f>IF(Escenarios!$F$14&gt;0,(Escenarios!$F$13*M711+Escenarios!$F$14*U711)/(Escenarios!$F$16),M711)</f>
        <v>0</v>
      </c>
      <c r="AD711" s="76">
        <f t="shared" si="141"/>
        <v>59.364947407466261</v>
      </c>
      <c r="AE711" s="76">
        <f>MAX(0,(AD711-Constantes!$D$13)*(1-EXP(-Constantes!$D$23)))</f>
        <v>0.10459160508925963</v>
      </c>
      <c r="AF711" s="76">
        <f>AB711+O711*Escenarios!$F$13/Escenarios!$F$16+AE711</f>
        <v>0.11546684664902804</v>
      </c>
      <c r="AG711" s="76">
        <f>IF(Entradas!$F$91&gt;0,IF(AF711-Escenarios!$F$38&lt;=0,0,IF(AF711-Escenarios!$F$38&gt;Escenarios!$F$37,Escenarios!$F$37,AF711-Escenarios!$F$38)),0)</f>
        <v>0</v>
      </c>
      <c r="AH711" s="76">
        <f>AG711*Entradas!$F$99</f>
        <v>0</v>
      </c>
      <c r="AI711" s="76">
        <f>IF(Entradas!$F$91&gt;0,D711*Entradas!$D$23/Escenarios!$F$16,0)</f>
        <v>0.21757537597887391</v>
      </c>
      <c r="AJ711" s="76">
        <f>IF(Entradas!$F$91&gt;0,Entradas!$D$24*Entradas!$D$22/Escenarios!$F$16,0)</f>
        <v>0.12</v>
      </c>
      <c r="AK711" s="76">
        <f t="shared" si="142"/>
        <v>1.7568407698113189</v>
      </c>
      <c r="AL711" s="76">
        <f t="shared" si="143"/>
        <v>0</v>
      </c>
      <c r="AM711" s="76">
        <f t="shared" si="144"/>
        <v>0</v>
      </c>
      <c r="AN711" s="76">
        <f>MAX(0,O711*Escenarios!$F$13/Escenarios!$F$16-AM711)</f>
        <v>1.0875241559768413E-2</v>
      </c>
      <c r="AO711" s="76">
        <f>AM711+AN711-O711*Escenarios!$F$13/Escenarios!$F$16</f>
        <v>0</v>
      </c>
      <c r="AP711" s="76">
        <f t="shared" si="145"/>
        <v>0.10459160508925963</v>
      </c>
      <c r="AQ711" s="76">
        <f t="shared" si="146"/>
        <v>0</v>
      </c>
      <c r="AR711" s="76">
        <f t="shared" si="147"/>
        <v>0.11546684664902804</v>
      </c>
      <c r="AS711" s="76">
        <f t="shared" si="148"/>
        <v>0</v>
      </c>
      <c r="AT711" s="76">
        <f t="shared" si="149"/>
        <v>0</v>
      </c>
      <c r="AU711" s="76">
        <f t="shared" si="150"/>
        <v>49.051605432632819</v>
      </c>
      <c r="AV711" s="76">
        <f>MAX(0,(AU711-Constantes!$D$13)*(1-EXP(-Constantes!$D$24)))</f>
        <v>4.6101135541103946E-3</v>
      </c>
      <c r="AW711" s="170">
        <f>AW710+(Entradas!$F$112*AT711-AX710)/(800*Entradas!$D$25)</f>
        <v>0</v>
      </c>
      <c r="AX711" s="170">
        <f>8000*Entradas!$D$26*AW711/Constantes!$F$45</f>
        <v>0</v>
      </c>
      <c r="AY711" s="170">
        <f>IF(Escenarios!$F$17&gt;0,10*Escenarios!$F$16*AL711,0)</f>
        <v>0</v>
      </c>
      <c r="AZ711" s="170">
        <f>IF(Escenarios!$F$17&gt;0,10*Escenarios!$F$16*AX711,0)</f>
        <v>0</v>
      </c>
      <c r="BA711" s="170">
        <f>IF(Escenarios!$F$17&gt;0,0.001*Observaciones!$F710*Escenarios!$F$17,0)</f>
        <v>0</v>
      </c>
      <c r="BB711" s="170">
        <f>IF(Escenarios!$F$17&gt;0,Observaciones!$K710,0)</f>
        <v>0</v>
      </c>
      <c r="BC711" s="170">
        <f>IF(Escenarios!$F$17&gt;0,MIN(0.0005*ETo!$M710*Escenarios!$F$17*(BG710/Constantes!$F$40)^(2/3),BG710+AY711+AZ711+BA711+BB711),0)</f>
        <v>0</v>
      </c>
      <c r="BD711" s="170">
        <f>IF(Escenarios!$F$17&gt;0,MIN(Constantes!$F$39*(BG710/Constantes!$F$40)^(2/3),BG710+AY711+AZ711+BA711+BB711-BC711),0)</f>
        <v>0</v>
      </c>
      <c r="BE711" s="170">
        <f>IF(Escenarios!$F$17&gt;0,MIN(Entradas!$F$113,BG710+AY711+AZ711+BA711+BB711-BC711-BD711),0)</f>
        <v>0</v>
      </c>
      <c r="BF711" s="170">
        <f>IF(Escenarios!$F$17&gt;0,MAX(0,BG710+AY711+AZ711+BA711+BB711-BC711-BD711-BE711-Constantes!$F$40),0)</f>
        <v>0</v>
      </c>
      <c r="BG711" s="170">
        <f t="shared" si="151"/>
        <v>0</v>
      </c>
      <c r="BH711" s="170">
        <f>(Escenarios!$F$16*AK711+0.1*BC711)/(Escenarios!$F$19)</f>
        <v>1.7568407698113189</v>
      </c>
      <c r="BI711" s="170">
        <f>IF(Escenarios!$F$17&gt;0,BF711/10/Escenarios!$F$19,AL711)</f>
        <v>0</v>
      </c>
      <c r="BJ711" s="170">
        <f>(Escenarios!$F$16*AT711+0.1*BD711)/(Escenarios!$F$19)</f>
        <v>0</v>
      </c>
      <c r="BK711" s="76">
        <f>BK710+(0.1*BD711)/(Escenarios!$F$19)-BL710</f>
        <v>48.75</v>
      </c>
      <c r="BL711" s="76">
        <f>MAX(0,(BK711-Constantes!$D$13)*(1-EXP(-Constantes!$D$23)))</f>
        <v>0</v>
      </c>
      <c r="BM711" s="76">
        <f t="shared" si="152"/>
        <v>0.10920171864337003</v>
      </c>
      <c r="BN711" s="76">
        <f t="shared" si="153"/>
        <v>0.12007696020313843</v>
      </c>
      <c r="BO711" s="76">
        <f>0.0526*BI711*Observaciones!$F710^1.218</f>
        <v>0</v>
      </c>
      <c r="BP711" s="76">
        <f>BO711*Constantes!$F$51</f>
        <v>0</v>
      </c>
      <c r="BQ711" s="76">
        <f t="shared" si="154"/>
        <v>0</v>
      </c>
      <c r="BR711" s="40"/>
    </row>
    <row r="712" spans="2:70">
      <c r="B712" s="39"/>
      <c r="C712" s="75">
        <v>706</v>
      </c>
      <c r="D712" s="146">
        <f>ETo!$I711*((1-Constantes!$F$19)*ETo!$K711+ETo!$L711)</f>
        <v>4.5002892476619003</v>
      </c>
      <c r="E712" s="76">
        <f>MIN(D712*Constantes!$F$17,0.8*(N711+Observaciones!$F711-F712-M712-Constantes!$D$14))</f>
        <v>0.37023833674122814</v>
      </c>
      <c r="F712" s="76">
        <f>IF(Observaciones!$F711&gt;0.05*Constantes!$F$18,((Observaciones!$F711-0.05*Constantes!$F$18)^2)/(Observaciones!$F711+0.95*Constantes!$F$18),0)</f>
        <v>0</v>
      </c>
      <c r="G712" s="76">
        <f>IF(Escenarios!$F$11&gt;0,(F712*Escenarios!$F$16*10000)/1000,0)</f>
        <v>0</v>
      </c>
      <c r="H712" s="76">
        <f>IF(Escenarios!$F$11&gt;0,(Observaciones!$F711*Constantes!$F$29)/1000,0)</f>
        <v>0</v>
      </c>
      <c r="I712" s="76">
        <f>IF(Escenarios!$F$11&gt;0,(D712*Constantes!$F$29)/1000,0)</f>
        <v>0</v>
      </c>
      <c r="J712" s="76">
        <f>IF(Escenarios!$F$11&gt;0,MAX(0,G712+H712-I712),0)</f>
        <v>0</v>
      </c>
      <c r="K712" s="76">
        <f>IF(Escenarios!$F$11&gt;0,IF(J712&gt;Constantes!$F$30,1000*((J712-Constantes!$F$30)/(Escenarios!$F$16*10000)),0),F712)</f>
        <v>0</v>
      </c>
      <c r="L712" s="76">
        <f>IF(Escenarios!$F$11&gt;0,I712*1000/Escenarios!$F$16/10000+E712,E712)</f>
        <v>0.37023833674122814</v>
      </c>
      <c r="M712" s="76">
        <f>MAX(0,N711+Observaciones!$F711-K712-Constantes!$D$13)</f>
        <v>0</v>
      </c>
      <c r="N712" s="76">
        <f>N711+Observaciones!$F711-K712-L712-M712-O711</f>
        <v>11.330201355140117</v>
      </c>
      <c r="O712" s="76">
        <f>MAX(0,(N712-Constantes!$D$14)*(1-EXP(-Constantes!$D$22)))</f>
        <v>2.7319525812745911E-3</v>
      </c>
      <c r="P712" s="170">
        <f>P711+(Entradas!$F$83*M712-Q711)/(800*Entradas!$D$25)</f>
        <v>0</v>
      </c>
      <c r="Q712" s="170">
        <f>8000*Entradas!$D$26*P712/Constantes!$F$45</f>
        <v>0</v>
      </c>
      <c r="R712" s="170">
        <f>IF(Escenarios!$F$14&gt;0,K712*Escenarios!$F$13/Escenarios!$F$14,0)</f>
        <v>0</v>
      </c>
      <c r="S712" s="170">
        <f>IF(Escenarios!$F$14&gt;0,Q712*Escenarios!$F$13/Escenarios!$F$14,0)</f>
        <v>0</v>
      </c>
      <c r="T712" s="170">
        <f>IF(Escenarios!$F$14&gt;0,Observaciones!$I711,0)</f>
        <v>0</v>
      </c>
      <c r="U712" s="170">
        <f>IF(Escenarios!$F$14&gt;0,MAX(0,Constantes!$F$36/((Z711+R712+S712+T712+Observaciones!$F711)^2)+Entradas!$F$77),0)</f>
        <v>0</v>
      </c>
      <c r="V712" s="146">
        <f>IF(ETo!D711&gt;0,ETo!I711*((1-Entradas!$F$81)*ETo!K711+ETo!L711),0)</f>
        <v>4.0001220382543856</v>
      </c>
      <c r="W712" s="170">
        <f>IF(Escenarios!$F$14&gt;0,MIN(V712*1,0.8*(Z711+R712+S712+T712+Observaciones!$F711-U712-Constantes!$F$35)),0)</f>
        <v>8.010357749262767E-2</v>
      </c>
      <c r="X712" s="170">
        <f>IF(Escenarios!$F$14&gt;0,Observaciones!$J711,0)</f>
        <v>0</v>
      </c>
      <c r="Y712" s="170">
        <f>IF(Escenarios!$F$14&gt;0,MAX(0,Z711+R712+S712+T712+Observaciones!$F711-U712-W712-X712-Constantes!$F$33),0)</f>
        <v>0</v>
      </c>
      <c r="Z712" s="170">
        <f>Z711+R712+S712+T712+Observaciones!$F711-U712-W712-Y712</f>
        <v>41.270025894373155</v>
      </c>
      <c r="AA712" s="170">
        <f>IF(Escenarios!$F$14&gt;0,(Escenarios!$F$13*L712+Escenarios!$F$14*W712)/(Escenarios!$F$16),L712)</f>
        <v>0.3354221656313961</v>
      </c>
      <c r="AB712" s="170">
        <f>IF(Escenarios!$F$14&gt;0,(Escenarios!$F$14*Y712)/(Escenarios!$F$16),K712)</f>
        <v>0</v>
      </c>
      <c r="AC712" s="170">
        <f>IF(Escenarios!$F$14&gt;0,(Escenarios!$F$13*M712+Escenarios!$F$14*U712)/(Escenarios!$F$16),M712)</f>
        <v>0</v>
      </c>
      <c r="AD712" s="76">
        <f t="shared" ref="AD712:AD736" si="155">AD711+AC712-AE711</f>
        <v>59.260355802376999</v>
      </c>
      <c r="AE712" s="76">
        <f>MAX(0,(AD712-Constantes!$D$13)*(1-EXP(-Constantes!$D$23)))</f>
        <v>0.10356103909253567</v>
      </c>
      <c r="AF712" s="76">
        <f>AB712+O712*Escenarios!$F$13/Escenarios!$F$16+AE712</f>
        <v>0.1059651573640573</v>
      </c>
      <c r="AG712" s="76">
        <f>IF(Entradas!$F$91&gt;0,IF(AF712-Escenarios!$F$38&lt;=0,0,IF(AF712-Escenarios!$F$38&gt;Escenarios!$F$37,Escenarios!$F$37,AF712-Escenarios!$F$38)),0)</f>
        <v>0</v>
      </c>
      <c r="AH712" s="76">
        <f>AG712*Entradas!$F$99</f>
        <v>0</v>
      </c>
      <c r="AI712" s="76">
        <f>IF(Entradas!$F$91&gt;0,D712*Entradas!$D$23/Escenarios!$F$16,0)</f>
        <v>0.21601388388777121</v>
      </c>
      <c r="AJ712" s="76">
        <f>IF(Entradas!$F$91&gt;0,Entradas!$D$24*Entradas!$D$22/Escenarios!$F$16,0)</f>
        <v>0.12</v>
      </c>
      <c r="AK712" s="76">
        <f t="shared" ref="AK712:AK736" si="156">AA712+AI712</f>
        <v>0.55143604951916725</v>
      </c>
      <c r="AL712" s="76">
        <f t="shared" ref="AL712:AL736" si="157">MAX(0,AB712-AG712)</f>
        <v>0</v>
      </c>
      <c r="AM712" s="76">
        <f t="shared" ref="AM712:AM736" si="158">AG712+AL712-AB712</f>
        <v>0</v>
      </c>
      <c r="AN712" s="76">
        <f>MAX(0,O712*Escenarios!$F$13/Escenarios!$F$16-AM712)</f>
        <v>2.4041182715216405E-3</v>
      </c>
      <c r="AO712" s="76">
        <f>AM712+AN712-O712*Escenarios!$F$13/Escenarios!$F$16</f>
        <v>0</v>
      </c>
      <c r="AP712" s="76">
        <f t="shared" ref="AP712:AP736" si="159">MAX(0,AE712-AO712)</f>
        <v>0.10356103909253567</v>
      </c>
      <c r="AQ712" s="76">
        <f t="shared" ref="AQ712:AQ736" si="160">AO712+AP712-AE712</f>
        <v>0</v>
      </c>
      <c r="AR712" s="76">
        <f t="shared" ref="AR712:AR736" si="161">AL712+AN712+AP712+AH712</f>
        <v>0.1059651573640573</v>
      </c>
      <c r="AS712" s="76">
        <f t="shared" ref="AS712:AS736" si="162">MAX(0,AG712-AH712-AI712-AJ712)</f>
        <v>0</v>
      </c>
      <c r="AT712" s="76">
        <f t="shared" ref="AT712:AT736" si="163">AC712+AS712</f>
        <v>0</v>
      </c>
      <c r="AU712" s="76">
        <f t="shared" ref="AU712:AU736" si="164">AU711+AS712-AV711</f>
        <v>49.046995319078711</v>
      </c>
      <c r="AV712" s="76">
        <f>MAX(0,(AU712-Constantes!$D$13)*(1-EXP(-Constantes!$D$24)))</f>
        <v>4.5396468294355277E-3</v>
      </c>
      <c r="AW712" s="170">
        <f>AW711+(Entradas!$F$112*AT712-AX711)/(800*Entradas!$D$25)</f>
        <v>0</v>
      </c>
      <c r="AX712" s="170">
        <f>8000*Entradas!$D$26*AW712/Constantes!$F$45</f>
        <v>0</v>
      </c>
      <c r="AY712" s="170">
        <f>IF(Escenarios!$F$17&gt;0,10*Escenarios!$F$16*AL712,0)</f>
        <v>0</v>
      </c>
      <c r="AZ712" s="170">
        <f>IF(Escenarios!$F$17&gt;0,10*Escenarios!$F$16*AX712,0)</f>
        <v>0</v>
      </c>
      <c r="BA712" s="170">
        <f>IF(Escenarios!$F$17&gt;0,0.001*Observaciones!$F711*Escenarios!$F$17,0)</f>
        <v>0</v>
      </c>
      <c r="BB712" s="170">
        <f>IF(Escenarios!$F$17&gt;0,Observaciones!$K711,0)</f>
        <v>0</v>
      </c>
      <c r="BC712" s="170">
        <f>IF(Escenarios!$F$17&gt;0,MIN(0.0005*ETo!$M711*Escenarios!$F$17*(BG711/Constantes!$F$40)^(2/3),BG711+AY712+AZ712+BA712+BB712),0)</f>
        <v>0</v>
      </c>
      <c r="BD712" s="170">
        <f>IF(Escenarios!$F$17&gt;0,MIN(Constantes!$F$39*(BG711/Constantes!$F$40)^(2/3),BG711+AY712+AZ712+BA712+BB712-BC712),0)</f>
        <v>0</v>
      </c>
      <c r="BE712" s="170">
        <f>IF(Escenarios!$F$17&gt;0,MIN(Entradas!$F$113,BG711+AY712+AZ712+BA712+BB712-BC712-BD712),0)</f>
        <v>0</v>
      </c>
      <c r="BF712" s="170">
        <f>IF(Escenarios!$F$17&gt;0,MAX(0,BG711+AY712+AZ712+BA712+BB712-BC712-BD712-BE712-Constantes!$F$40),0)</f>
        <v>0</v>
      </c>
      <c r="BG712" s="170">
        <f t="shared" ref="BG712:BG736" si="165">BG711+AY712+AZ712+BA712+BB712-BF712-BC712-BD712-BE712</f>
        <v>0</v>
      </c>
      <c r="BH712" s="170">
        <f>(Escenarios!$F$16*AK712+0.1*BC712)/(Escenarios!$F$19)</f>
        <v>0.55143604951916725</v>
      </c>
      <c r="BI712" s="170">
        <f>IF(Escenarios!$F$17&gt;0,BF712/10/Escenarios!$F$19,AL712)</f>
        <v>0</v>
      </c>
      <c r="BJ712" s="170">
        <f>(Escenarios!$F$16*AT712+0.1*BD712)/(Escenarios!$F$19)</f>
        <v>0</v>
      </c>
      <c r="BK712" s="76">
        <f>BK711+(0.1*BD712)/(Escenarios!$F$19)-BL711</f>
        <v>48.75</v>
      </c>
      <c r="BL712" s="76">
        <f>MAX(0,(BK712-Constantes!$D$13)*(1-EXP(-Constantes!$D$23)))</f>
        <v>0</v>
      </c>
      <c r="BM712" s="76">
        <f t="shared" ref="BM712:BM736" si="166">AP712+AV712+BL712</f>
        <v>0.1081006859219712</v>
      </c>
      <c r="BN712" s="76">
        <f t="shared" ref="BN712:BN736" si="167">AN712+AP712+AV712+BI712+BL712</f>
        <v>0.11050480419349283</v>
      </c>
      <c r="BO712" s="76">
        <f>0.0526*BI712*Observaciones!$F711^1.218</f>
        <v>0</v>
      </c>
      <c r="BP712" s="76">
        <f>BO712*Constantes!$F$51</f>
        <v>0</v>
      </c>
      <c r="BQ712" s="76">
        <f t="shared" ref="BQ712:BQ736" si="168">BP712*1000000/(BN712/1000*10000)</f>
        <v>0</v>
      </c>
      <c r="BR712" s="40"/>
    </row>
    <row r="713" spans="2:70">
      <c r="B713" s="39"/>
      <c r="C713" s="75">
        <v>707</v>
      </c>
      <c r="D713" s="146">
        <f>ETo!$I712*((1-Constantes!$F$19)*ETo!$K712+ETo!$L712)</f>
        <v>4.4956538480373709</v>
      </c>
      <c r="E713" s="76">
        <f>MIN(D713*Constantes!$F$17,0.8*(N712+Observaciones!$F712-F713-M713-Constantes!$D$14))</f>
        <v>6.4161084112093647E-2</v>
      </c>
      <c r="F713" s="76">
        <f>IF(Observaciones!$F712&gt;0.05*Constantes!$F$18,((Observaciones!$F712-0.05*Constantes!$F$18)^2)/(Observaciones!$F712+0.95*Constantes!$F$18),0)</f>
        <v>0</v>
      </c>
      <c r="G713" s="76">
        <f>IF(Escenarios!$F$11&gt;0,(F713*Escenarios!$F$16*10000)/1000,0)</f>
        <v>0</v>
      </c>
      <c r="H713" s="76">
        <f>IF(Escenarios!$F$11&gt;0,(Observaciones!$F712*Constantes!$F$29)/1000,0)</f>
        <v>0</v>
      </c>
      <c r="I713" s="76">
        <f>IF(Escenarios!$F$11&gt;0,(D713*Constantes!$F$29)/1000,0)</f>
        <v>0</v>
      </c>
      <c r="J713" s="76">
        <f>IF(Escenarios!$F$11&gt;0,MAX(0,G713+H713-I713),0)</f>
        <v>0</v>
      </c>
      <c r="K713" s="76">
        <f>IF(Escenarios!$F$11&gt;0,IF(J713&gt;Constantes!$F$30,1000*((J713-Constantes!$F$30)/(Escenarios!$F$16*10000)),0),F713)</f>
        <v>0</v>
      </c>
      <c r="L713" s="76">
        <f>IF(Escenarios!$F$11&gt;0,I713*1000/Escenarios!$F$16/10000+E713,E713)</f>
        <v>6.4161084112093647E-2</v>
      </c>
      <c r="M713" s="76">
        <f>MAX(0,N712+Observaciones!$F712-K713-Constantes!$D$13)</f>
        <v>0</v>
      </c>
      <c r="N713" s="76">
        <f>N712+Observaciones!$F712-K713-L713-M713-O712</f>
        <v>11.263308318446748</v>
      </c>
      <c r="O713" s="76">
        <f>MAX(0,(N713-Constantes!$D$14)*(1-EXP(-Constantes!$D$22)))</f>
        <v>4.5333018213344727E-4</v>
      </c>
      <c r="P713" s="170">
        <f>P712+(Entradas!$F$83*M713-Q712)/(800*Entradas!$D$25)</f>
        <v>0</v>
      </c>
      <c r="Q713" s="170">
        <f>8000*Entradas!$D$26*P713/Constantes!$F$45</f>
        <v>0</v>
      </c>
      <c r="R713" s="170">
        <f>IF(Escenarios!$F$14&gt;0,K713*Escenarios!$F$13/Escenarios!$F$14,0)</f>
        <v>0</v>
      </c>
      <c r="S713" s="170">
        <f>IF(Escenarios!$F$14&gt;0,Q713*Escenarios!$F$13/Escenarios!$F$14,0)</f>
        <v>0</v>
      </c>
      <c r="T713" s="170">
        <f>IF(Escenarios!$F$14&gt;0,Observaciones!$I712,0)</f>
        <v>0</v>
      </c>
      <c r="U713" s="170">
        <f>IF(Escenarios!$F$14&gt;0,MAX(0,Constantes!$F$36/((Z712+R713+S713+T713+Observaciones!$F712)^2)+Entradas!$F$77),0)</f>
        <v>0</v>
      </c>
      <c r="V713" s="146">
        <f>IF(ETo!D712&gt;0,ETo!I712*((1-Entradas!$F$81)*ETo!K712+ETo!L712),0)</f>
        <v>3.9959389091498951</v>
      </c>
      <c r="W713" s="170">
        <f>IF(Escenarios!$F$14&gt;0,MIN(V713*1,0.8*(Z712+R713+S713+T713+Observaciones!$F712-U713-Constantes!$F$35)),0)</f>
        <v>1.6020715498524397E-2</v>
      </c>
      <c r="X713" s="170">
        <f>IF(Escenarios!$F$14&gt;0,Observaciones!$J712,0)</f>
        <v>0</v>
      </c>
      <c r="Y713" s="170">
        <f>IF(Escenarios!$F$14&gt;0,MAX(0,Z712+R713+S713+T713+Observaciones!$F712-U713-W713-X713-Constantes!$F$33),0)</f>
        <v>0</v>
      </c>
      <c r="Z713" s="170">
        <f>Z712+R713+S713+T713+Observaciones!$F712-U713-W713-Y713</f>
        <v>41.254005178874628</v>
      </c>
      <c r="AA713" s="170">
        <f>IF(Escenarios!$F$14&gt;0,(Escenarios!$F$13*L713+Escenarios!$F$14*W713)/(Escenarios!$F$16),L713)</f>
        <v>5.838423987846534E-2</v>
      </c>
      <c r="AB713" s="170">
        <f>IF(Escenarios!$F$14&gt;0,(Escenarios!$F$14*Y713)/(Escenarios!$F$16),K713)</f>
        <v>0</v>
      </c>
      <c r="AC713" s="170">
        <f>IF(Escenarios!$F$14&gt;0,(Escenarios!$F$13*M713+Escenarios!$F$14*U713)/(Escenarios!$F$16),M713)</f>
        <v>0</v>
      </c>
      <c r="AD713" s="76">
        <f t="shared" si="155"/>
        <v>59.156794763284466</v>
      </c>
      <c r="AE713" s="76">
        <f>MAX(0,(AD713-Constantes!$D$13)*(1-EXP(-Constantes!$D$23)))</f>
        <v>0.10254062750803918</v>
      </c>
      <c r="AF713" s="76">
        <f>AB713+O713*Escenarios!$F$13/Escenarios!$F$16+AE713</f>
        <v>0.1029395580683166</v>
      </c>
      <c r="AG713" s="76">
        <f>IF(Entradas!$F$91&gt;0,IF(AF713-Escenarios!$F$38&lt;=0,0,IF(AF713-Escenarios!$F$38&gt;Escenarios!$F$37,Escenarios!$F$37,AF713-Escenarios!$F$38)),0)</f>
        <v>0</v>
      </c>
      <c r="AH713" s="76">
        <f>AG713*Entradas!$F$99</f>
        <v>0</v>
      </c>
      <c r="AI713" s="76">
        <f>IF(Entradas!$F$91&gt;0,D713*Entradas!$D$23/Escenarios!$F$16,0)</f>
        <v>0.21579138470579382</v>
      </c>
      <c r="AJ713" s="76">
        <f>IF(Entradas!$F$91&gt;0,Entradas!$D$24*Entradas!$D$22/Escenarios!$F$16,0)</f>
        <v>0.12</v>
      </c>
      <c r="AK713" s="76">
        <f t="shared" si="156"/>
        <v>0.27417562458425915</v>
      </c>
      <c r="AL713" s="76">
        <f t="shared" si="157"/>
        <v>0</v>
      </c>
      <c r="AM713" s="76">
        <f t="shared" si="158"/>
        <v>0</v>
      </c>
      <c r="AN713" s="76">
        <f>MAX(0,O713*Escenarios!$F$13/Escenarios!$F$16-AM713)</f>
        <v>3.9893056027743358E-4</v>
      </c>
      <c r="AO713" s="76">
        <f>AM713+AN713-O713*Escenarios!$F$13/Escenarios!$F$16</f>
        <v>0</v>
      </c>
      <c r="AP713" s="76">
        <f t="shared" si="159"/>
        <v>0.10254062750803918</v>
      </c>
      <c r="AQ713" s="76">
        <f t="shared" si="160"/>
        <v>0</v>
      </c>
      <c r="AR713" s="76">
        <f t="shared" si="161"/>
        <v>0.1029395580683166</v>
      </c>
      <c r="AS713" s="76">
        <f t="shared" si="162"/>
        <v>0</v>
      </c>
      <c r="AT713" s="76">
        <f t="shared" si="163"/>
        <v>0</v>
      </c>
      <c r="AU713" s="76">
        <f t="shared" si="164"/>
        <v>49.042455672249275</v>
      </c>
      <c r="AV713" s="76">
        <f>MAX(0,(AU713-Constantes!$D$13)*(1-EXP(-Constantes!$D$24)))</f>
        <v>4.4702572060571783E-3</v>
      </c>
      <c r="AW713" s="170">
        <f>AW712+(Entradas!$F$112*AT713-AX712)/(800*Entradas!$D$25)</f>
        <v>0</v>
      </c>
      <c r="AX713" s="170">
        <f>8000*Entradas!$D$26*AW713/Constantes!$F$45</f>
        <v>0</v>
      </c>
      <c r="AY713" s="170">
        <f>IF(Escenarios!$F$17&gt;0,10*Escenarios!$F$16*AL713,0)</f>
        <v>0</v>
      </c>
      <c r="AZ713" s="170">
        <f>IF(Escenarios!$F$17&gt;0,10*Escenarios!$F$16*AX713,0)</f>
        <v>0</v>
      </c>
      <c r="BA713" s="170">
        <f>IF(Escenarios!$F$17&gt;0,0.001*Observaciones!$F712*Escenarios!$F$17,0)</f>
        <v>0</v>
      </c>
      <c r="BB713" s="170">
        <f>IF(Escenarios!$F$17&gt;0,Observaciones!$K712,0)</f>
        <v>0</v>
      </c>
      <c r="BC713" s="170">
        <f>IF(Escenarios!$F$17&gt;0,MIN(0.0005*ETo!$M712*Escenarios!$F$17*(BG712/Constantes!$F$40)^(2/3),BG712+AY713+AZ713+BA713+BB713),0)</f>
        <v>0</v>
      </c>
      <c r="BD713" s="170">
        <f>IF(Escenarios!$F$17&gt;0,MIN(Constantes!$F$39*(BG712/Constantes!$F$40)^(2/3),BG712+AY713+AZ713+BA713+BB713-BC713),0)</f>
        <v>0</v>
      </c>
      <c r="BE713" s="170">
        <f>IF(Escenarios!$F$17&gt;0,MIN(Entradas!$F$113,BG712+AY713+AZ713+BA713+BB713-BC713-BD713),0)</f>
        <v>0</v>
      </c>
      <c r="BF713" s="170">
        <f>IF(Escenarios!$F$17&gt;0,MAX(0,BG712+AY713+AZ713+BA713+BB713-BC713-BD713-BE713-Constantes!$F$40),0)</f>
        <v>0</v>
      </c>
      <c r="BG713" s="170">
        <f t="shared" si="165"/>
        <v>0</v>
      </c>
      <c r="BH713" s="170">
        <f>(Escenarios!$F$16*AK713+0.1*BC713)/(Escenarios!$F$19)</f>
        <v>0.27417562458425915</v>
      </c>
      <c r="BI713" s="170">
        <f>IF(Escenarios!$F$17&gt;0,BF713/10/Escenarios!$F$19,AL713)</f>
        <v>0</v>
      </c>
      <c r="BJ713" s="170">
        <f>(Escenarios!$F$16*AT713+0.1*BD713)/(Escenarios!$F$19)</f>
        <v>0</v>
      </c>
      <c r="BK713" s="76">
        <f>BK712+(0.1*BD713)/(Escenarios!$F$19)-BL712</f>
        <v>48.75</v>
      </c>
      <c r="BL713" s="76">
        <f>MAX(0,(BK713-Constantes!$D$13)*(1-EXP(-Constantes!$D$23)))</f>
        <v>0</v>
      </c>
      <c r="BM713" s="76">
        <f t="shared" si="166"/>
        <v>0.10701088471409635</v>
      </c>
      <c r="BN713" s="76">
        <f t="shared" si="167"/>
        <v>0.10740981527437378</v>
      </c>
      <c r="BO713" s="76">
        <f>0.0526*BI713*Observaciones!$F712^1.218</f>
        <v>0</v>
      </c>
      <c r="BP713" s="76">
        <f>BO713*Constantes!$F$51</f>
        <v>0</v>
      </c>
      <c r="BQ713" s="76">
        <f t="shared" si="168"/>
        <v>0</v>
      </c>
      <c r="BR713" s="40"/>
    </row>
    <row r="714" spans="2:70">
      <c r="B714" s="39"/>
      <c r="C714" s="75">
        <v>708</v>
      </c>
      <c r="D714" s="146">
        <f>ETo!$I713*((1-Constantes!$F$19)*ETo!$K713+ETo!$L713)</f>
        <v>4.625871638836105</v>
      </c>
      <c r="E714" s="76">
        <f>MIN(D714*Constantes!$F$17,0.8*(N713+Observaciones!$F713-F714-M714-Constantes!$D$14))</f>
        <v>1.0646654757398722E-2</v>
      </c>
      <c r="F714" s="76">
        <f>IF(Observaciones!$F713&gt;0.05*Constantes!$F$18,((Observaciones!$F713-0.05*Constantes!$F$18)^2)/(Observaciones!$F713+0.95*Constantes!$F$18),0)</f>
        <v>0</v>
      </c>
      <c r="G714" s="76">
        <f>IF(Escenarios!$F$11&gt;0,(F714*Escenarios!$F$16*10000)/1000,0)</f>
        <v>0</v>
      </c>
      <c r="H714" s="76">
        <f>IF(Escenarios!$F$11&gt;0,(Observaciones!$F713*Constantes!$F$29)/1000,0)</f>
        <v>0</v>
      </c>
      <c r="I714" s="76">
        <f>IF(Escenarios!$F$11&gt;0,(D714*Constantes!$F$29)/1000,0)</f>
        <v>0</v>
      </c>
      <c r="J714" s="76">
        <f>IF(Escenarios!$F$11&gt;0,MAX(0,G714+H714-I714),0)</f>
        <v>0</v>
      </c>
      <c r="K714" s="76">
        <f>IF(Escenarios!$F$11&gt;0,IF(J714&gt;Constantes!$F$30,1000*((J714-Constantes!$F$30)/(Escenarios!$F$16*10000)),0),F714)</f>
        <v>0</v>
      </c>
      <c r="L714" s="76">
        <f>IF(Escenarios!$F$11&gt;0,I714*1000/Escenarios!$F$16/10000+E714,E714)</f>
        <v>1.0646654757398722E-2</v>
      </c>
      <c r="M714" s="76">
        <f>MAX(0,N713+Observaciones!$F713-K714-Constantes!$D$13)</f>
        <v>0</v>
      </c>
      <c r="N714" s="76">
        <f>N713+Observaciones!$F713-K714-L714-M714-O713</f>
        <v>11.252208333507218</v>
      </c>
      <c r="O714" s="76">
        <f>MAX(0,(N714-Constantes!$D$14)*(1-EXP(-Constantes!$D$22)))</f>
        <v>7.5223946214110274E-5</v>
      </c>
      <c r="P714" s="170">
        <f>P713+(Entradas!$F$83*M714-Q713)/(800*Entradas!$D$25)</f>
        <v>0</v>
      </c>
      <c r="Q714" s="170">
        <f>8000*Entradas!$D$26*P714/Constantes!$F$45</f>
        <v>0</v>
      </c>
      <c r="R714" s="170">
        <f>IF(Escenarios!$F$14&gt;0,K714*Escenarios!$F$13/Escenarios!$F$14,0)</f>
        <v>0</v>
      </c>
      <c r="S714" s="170">
        <f>IF(Escenarios!$F$14&gt;0,Q714*Escenarios!$F$13/Escenarios!$F$14,0)</f>
        <v>0</v>
      </c>
      <c r="T714" s="170">
        <f>IF(Escenarios!$F$14&gt;0,Observaciones!$I713,0)</f>
        <v>0</v>
      </c>
      <c r="U714" s="170">
        <f>IF(Escenarios!$F$14&gt;0,MAX(0,Constantes!$F$36/((Z713+R714+S714+T714+Observaciones!$F713)^2)+Entradas!$F$77),0)</f>
        <v>0</v>
      </c>
      <c r="V714" s="146">
        <f>IF(ETo!D713&gt;0,ETo!I713*((1-Entradas!$F$81)*ETo!K713+ETo!L713),0)</f>
        <v>4.1136820891725847</v>
      </c>
      <c r="W714" s="170">
        <f>IF(Escenarios!$F$14&gt;0,MIN(V714*1,0.8*(Z713+R714+S714+T714+Observaciones!$F713-U714-Constantes!$F$35)),0)</f>
        <v>3.2041430997026056E-3</v>
      </c>
      <c r="X714" s="170">
        <f>IF(Escenarios!$F$14&gt;0,Observaciones!$J713,0)</f>
        <v>0</v>
      </c>
      <c r="Y714" s="170">
        <f>IF(Escenarios!$F$14&gt;0,MAX(0,Z713+R714+S714+T714+Observaciones!$F713-U714-W714-X714-Constantes!$F$33),0)</f>
        <v>0</v>
      </c>
      <c r="Z714" s="170">
        <f>Z713+R714+S714+T714+Observaciones!$F713-U714-W714-Y714</f>
        <v>41.250801035774927</v>
      </c>
      <c r="AA714" s="170">
        <f>IF(Escenarios!$F$14&gt;0,(Escenarios!$F$13*L714+Escenarios!$F$14*W714)/(Escenarios!$F$16),L714)</f>
        <v>9.7535533584751869E-3</v>
      </c>
      <c r="AB714" s="170">
        <f>IF(Escenarios!$F$14&gt;0,(Escenarios!$F$14*Y714)/(Escenarios!$F$16),K714)</f>
        <v>0</v>
      </c>
      <c r="AC714" s="170">
        <f>IF(Escenarios!$F$14&gt;0,(Escenarios!$F$13*M714+Escenarios!$F$14*U714)/(Escenarios!$F$16),M714)</f>
        <v>0</v>
      </c>
      <c r="AD714" s="76">
        <f t="shared" si="155"/>
        <v>59.054254135776425</v>
      </c>
      <c r="AE714" s="76">
        <f>MAX(0,(AD714-Constantes!$D$13)*(1-EXP(-Constantes!$D$23)))</f>
        <v>0.10153027028192779</v>
      </c>
      <c r="AF714" s="76">
        <f>AB714+O714*Escenarios!$F$13/Escenarios!$F$16+AE714</f>
        <v>0.10159646735459621</v>
      </c>
      <c r="AG714" s="76">
        <f>IF(Entradas!$F$91&gt;0,IF(AF714-Escenarios!$F$38&lt;=0,0,IF(AF714-Escenarios!$F$38&gt;Escenarios!$F$37,Escenarios!$F$37,AF714-Escenarios!$F$38)),0)</f>
        <v>0</v>
      </c>
      <c r="AH714" s="76">
        <f>AG714*Entradas!$F$99</f>
        <v>0</v>
      </c>
      <c r="AI714" s="76">
        <f>IF(Entradas!$F$91&gt;0,D714*Entradas!$D$23/Escenarios!$F$16,0)</f>
        <v>0.22204183866413302</v>
      </c>
      <c r="AJ714" s="76">
        <f>IF(Entradas!$F$91&gt;0,Entradas!$D$24*Entradas!$D$22/Escenarios!$F$16,0)</f>
        <v>0.12</v>
      </c>
      <c r="AK714" s="76">
        <f t="shared" si="156"/>
        <v>0.23179539202260821</v>
      </c>
      <c r="AL714" s="76">
        <f t="shared" si="157"/>
        <v>0</v>
      </c>
      <c r="AM714" s="76">
        <f t="shared" si="158"/>
        <v>0</v>
      </c>
      <c r="AN714" s="76">
        <f>MAX(0,O714*Escenarios!$F$13/Escenarios!$F$16-AM714)</f>
        <v>6.6197072668417036E-5</v>
      </c>
      <c r="AO714" s="76">
        <f>AM714+AN714-O714*Escenarios!$F$13/Escenarios!$F$16</f>
        <v>0</v>
      </c>
      <c r="AP714" s="76">
        <f t="shared" si="159"/>
        <v>0.10153027028192779</v>
      </c>
      <c r="AQ714" s="76">
        <f t="shared" si="160"/>
        <v>0</v>
      </c>
      <c r="AR714" s="76">
        <f t="shared" si="161"/>
        <v>0.10159646735459621</v>
      </c>
      <c r="AS714" s="76">
        <f t="shared" si="162"/>
        <v>0</v>
      </c>
      <c r="AT714" s="76">
        <f t="shared" si="163"/>
        <v>0</v>
      </c>
      <c r="AU714" s="76">
        <f t="shared" si="164"/>
        <v>49.037985415043217</v>
      </c>
      <c r="AV714" s="76">
        <f>MAX(0,(AU714-Constantes!$D$13)*(1-EXP(-Constantes!$D$24)))</f>
        <v>4.4019282202159326E-3</v>
      </c>
      <c r="AW714" s="170">
        <f>AW713+(Entradas!$F$112*AT714-AX713)/(800*Entradas!$D$25)</f>
        <v>0</v>
      </c>
      <c r="AX714" s="170">
        <f>8000*Entradas!$D$26*AW714/Constantes!$F$45</f>
        <v>0</v>
      </c>
      <c r="AY714" s="170">
        <f>IF(Escenarios!$F$17&gt;0,10*Escenarios!$F$16*AL714,0)</f>
        <v>0</v>
      </c>
      <c r="AZ714" s="170">
        <f>IF(Escenarios!$F$17&gt;0,10*Escenarios!$F$16*AX714,0)</f>
        <v>0</v>
      </c>
      <c r="BA714" s="170">
        <f>IF(Escenarios!$F$17&gt;0,0.001*Observaciones!$F713*Escenarios!$F$17,0)</f>
        <v>0</v>
      </c>
      <c r="BB714" s="170">
        <f>IF(Escenarios!$F$17&gt;0,Observaciones!$K713,0)</f>
        <v>0</v>
      </c>
      <c r="BC714" s="170">
        <f>IF(Escenarios!$F$17&gt;0,MIN(0.0005*ETo!$M713*Escenarios!$F$17*(BG713/Constantes!$F$40)^(2/3),BG713+AY714+AZ714+BA714+BB714),0)</f>
        <v>0</v>
      </c>
      <c r="BD714" s="170">
        <f>IF(Escenarios!$F$17&gt;0,MIN(Constantes!$F$39*(BG713/Constantes!$F$40)^(2/3),BG713+AY714+AZ714+BA714+BB714-BC714),0)</f>
        <v>0</v>
      </c>
      <c r="BE714" s="170">
        <f>IF(Escenarios!$F$17&gt;0,MIN(Entradas!$F$113,BG713+AY714+AZ714+BA714+BB714-BC714-BD714),0)</f>
        <v>0</v>
      </c>
      <c r="BF714" s="170">
        <f>IF(Escenarios!$F$17&gt;0,MAX(0,BG713+AY714+AZ714+BA714+BB714-BC714-BD714-BE714-Constantes!$F$40),0)</f>
        <v>0</v>
      </c>
      <c r="BG714" s="170">
        <f t="shared" si="165"/>
        <v>0</v>
      </c>
      <c r="BH714" s="170">
        <f>(Escenarios!$F$16*AK714+0.1*BC714)/(Escenarios!$F$19)</f>
        <v>0.23179539202260821</v>
      </c>
      <c r="BI714" s="170">
        <f>IF(Escenarios!$F$17&gt;0,BF714/10/Escenarios!$F$19,AL714)</f>
        <v>0</v>
      </c>
      <c r="BJ714" s="170">
        <f>(Escenarios!$F$16*AT714+0.1*BD714)/(Escenarios!$F$19)</f>
        <v>0</v>
      </c>
      <c r="BK714" s="76">
        <f>BK713+(0.1*BD714)/(Escenarios!$F$19)-BL713</f>
        <v>48.75</v>
      </c>
      <c r="BL714" s="76">
        <f>MAX(0,(BK714-Constantes!$D$13)*(1-EXP(-Constantes!$D$23)))</f>
        <v>0</v>
      </c>
      <c r="BM714" s="76">
        <f t="shared" si="166"/>
        <v>0.10593219850214372</v>
      </c>
      <c r="BN714" s="76">
        <f t="shared" si="167"/>
        <v>0.10599839557481214</v>
      </c>
      <c r="BO714" s="76">
        <f>0.0526*BI714*Observaciones!$F713^1.218</f>
        <v>0</v>
      </c>
      <c r="BP714" s="76">
        <f>BO714*Constantes!$F$51</f>
        <v>0</v>
      </c>
      <c r="BQ714" s="76">
        <f t="shared" si="168"/>
        <v>0</v>
      </c>
      <c r="BR714" s="40"/>
    </row>
    <row r="715" spans="2:70">
      <c r="B715" s="39"/>
      <c r="C715" s="75">
        <v>709</v>
      </c>
      <c r="D715" s="146">
        <f>ETo!$I714*((1-Constantes!$F$19)*ETo!$K714+ETo!$L714)</f>
        <v>4.3138623445059601</v>
      </c>
      <c r="E715" s="76">
        <f>MIN(D715*Constantes!$F$17,0.8*(N714+Observaciones!$F714-F715-M715-Constantes!$D$14))</f>
        <v>1.7666668057742642E-3</v>
      </c>
      <c r="F715" s="76">
        <f>IF(Observaciones!$F714&gt;0.05*Constantes!$F$18,((Observaciones!$F714-0.05*Constantes!$F$18)^2)/(Observaciones!$F714+0.95*Constantes!$F$18),0)</f>
        <v>0</v>
      </c>
      <c r="G715" s="76">
        <f>IF(Escenarios!$F$11&gt;0,(F715*Escenarios!$F$16*10000)/1000,0)</f>
        <v>0</v>
      </c>
      <c r="H715" s="76">
        <f>IF(Escenarios!$F$11&gt;0,(Observaciones!$F714*Constantes!$F$29)/1000,0)</f>
        <v>0</v>
      </c>
      <c r="I715" s="76">
        <f>IF(Escenarios!$F$11&gt;0,(D715*Constantes!$F$29)/1000,0)</f>
        <v>0</v>
      </c>
      <c r="J715" s="76">
        <f>IF(Escenarios!$F$11&gt;0,MAX(0,G715+H715-I715),0)</f>
        <v>0</v>
      </c>
      <c r="K715" s="76">
        <f>IF(Escenarios!$F$11&gt;0,IF(J715&gt;Constantes!$F$30,1000*((J715-Constantes!$F$30)/(Escenarios!$F$16*10000)),0),F715)</f>
        <v>0</v>
      </c>
      <c r="L715" s="76">
        <f>IF(Escenarios!$F$11&gt;0,I715*1000/Escenarios!$F$16/10000+E715,E715)</f>
        <v>1.7666668057742642E-3</v>
      </c>
      <c r="M715" s="76">
        <f>MAX(0,N714+Observaciones!$F714-K715-Constantes!$D$13)</f>
        <v>0</v>
      </c>
      <c r="N715" s="76">
        <f>N714+Observaciones!$F714-K715-L715-M715-O714</f>
        <v>11.250366442755229</v>
      </c>
      <c r="O715" s="76">
        <f>MAX(0,(N715-Constantes!$D$14)*(1-EXP(-Constantes!$D$22)))</f>
        <v>1.2482385482009535E-5</v>
      </c>
      <c r="P715" s="170">
        <f>P714+(Entradas!$F$83*M715-Q714)/(800*Entradas!$D$25)</f>
        <v>0</v>
      </c>
      <c r="Q715" s="170">
        <f>8000*Entradas!$D$26*P715/Constantes!$F$45</f>
        <v>0</v>
      </c>
      <c r="R715" s="170">
        <f>IF(Escenarios!$F$14&gt;0,K715*Escenarios!$F$13/Escenarios!$F$14,0)</f>
        <v>0</v>
      </c>
      <c r="S715" s="170">
        <f>IF(Escenarios!$F$14&gt;0,Q715*Escenarios!$F$13/Escenarios!$F$14,0)</f>
        <v>0</v>
      </c>
      <c r="T715" s="170">
        <f>IF(Escenarios!$F$14&gt;0,Observaciones!$I714,0)</f>
        <v>0</v>
      </c>
      <c r="U715" s="170">
        <f>IF(Escenarios!$F$14&gt;0,MAX(0,Constantes!$F$36/((Z714+R715+S715+T715+Observaciones!$F714)^2)+Entradas!$F$77),0)</f>
        <v>0</v>
      </c>
      <c r="V715" s="146">
        <f>IF(ETo!D714&gt;0,ETo!I714*((1-Entradas!$F$81)*ETo!K714+ETo!L714),0)</f>
        <v>3.8323175538289558</v>
      </c>
      <c r="W715" s="170">
        <f>IF(Escenarios!$F$14&gt;0,MIN(V715*1,0.8*(Z714+R715+S715+T715+Observaciones!$F714-U715-Constantes!$F$35)),0)</f>
        <v>6.4082861994165798E-4</v>
      </c>
      <c r="X715" s="170">
        <f>IF(Escenarios!$F$14&gt;0,Observaciones!$J714,0)</f>
        <v>0</v>
      </c>
      <c r="Y715" s="170">
        <f>IF(Escenarios!$F$14&gt;0,MAX(0,Z714+R715+S715+T715+Observaciones!$F714-U715-W715-X715-Constantes!$F$33),0)</f>
        <v>0</v>
      </c>
      <c r="Z715" s="170">
        <f>Z714+R715+S715+T715+Observaciones!$F714-U715-W715-Y715</f>
        <v>41.250160207154984</v>
      </c>
      <c r="AA715" s="170">
        <f>IF(Escenarios!$F$14&gt;0,(Escenarios!$F$13*L715+Escenarios!$F$14*W715)/(Escenarios!$F$16),L715)</f>
        <v>1.6315662234743515E-3</v>
      </c>
      <c r="AB715" s="170">
        <f>IF(Escenarios!$F$14&gt;0,(Escenarios!$F$14*Y715)/(Escenarios!$F$16),K715)</f>
        <v>0</v>
      </c>
      <c r="AC715" s="170">
        <f>IF(Escenarios!$F$14&gt;0,(Escenarios!$F$13*M715+Escenarios!$F$14*U715)/(Escenarios!$F$16),M715)</f>
        <v>0</v>
      </c>
      <c r="AD715" s="76">
        <f t="shared" si="155"/>
        <v>58.952723865494498</v>
      </c>
      <c r="AE715" s="76">
        <f>MAX(0,(AD715-Constantes!$D$13)*(1-EXP(-Constantes!$D$23)))</f>
        <v>0.10052986834621364</v>
      </c>
      <c r="AF715" s="76">
        <f>AB715+O715*Escenarios!$F$13/Escenarios!$F$16+AE715</f>
        <v>0.1005408528454378</v>
      </c>
      <c r="AG715" s="76">
        <f>IF(Entradas!$F$91&gt;0,IF(AF715-Escenarios!$F$38&lt;=0,0,IF(AF715-Escenarios!$F$38&gt;Escenarios!$F$37,Escenarios!$F$37,AF715-Escenarios!$F$38)),0)</f>
        <v>0</v>
      </c>
      <c r="AH715" s="76">
        <f>AG715*Entradas!$F$99</f>
        <v>0</v>
      </c>
      <c r="AI715" s="76">
        <f>IF(Entradas!$F$91&gt;0,D715*Entradas!$D$23/Escenarios!$F$16,0)</f>
        <v>0.20706539253628609</v>
      </c>
      <c r="AJ715" s="76">
        <f>IF(Entradas!$F$91&gt;0,Entradas!$D$24*Entradas!$D$22/Escenarios!$F$16,0)</f>
        <v>0.12</v>
      </c>
      <c r="AK715" s="76">
        <f t="shared" si="156"/>
        <v>0.20869695875976044</v>
      </c>
      <c r="AL715" s="76">
        <f t="shared" si="157"/>
        <v>0</v>
      </c>
      <c r="AM715" s="76">
        <f t="shared" si="158"/>
        <v>0</v>
      </c>
      <c r="AN715" s="76">
        <f>MAX(0,O715*Escenarios!$F$13/Escenarios!$F$16-AM715)</f>
        <v>1.0984499224168391E-5</v>
      </c>
      <c r="AO715" s="76">
        <f>AM715+AN715-O715*Escenarios!$F$13/Escenarios!$F$16</f>
        <v>0</v>
      </c>
      <c r="AP715" s="76">
        <f t="shared" si="159"/>
        <v>0.10052986834621364</v>
      </c>
      <c r="AQ715" s="76">
        <f t="shared" si="160"/>
        <v>0</v>
      </c>
      <c r="AR715" s="76">
        <f t="shared" si="161"/>
        <v>0.1005408528454378</v>
      </c>
      <c r="AS715" s="76">
        <f t="shared" si="162"/>
        <v>0</v>
      </c>
      <c r="AT715" s="76">
        <f t="shared" si="163"/>
        <v>0</v>
      </c>
      <c r="AU715" s="76">
        <f t="shared" si="164"/>
        <v>49.033583486822998</v>
      </c>
      <c r="AV715" s="76">
        <f>MAX(0,(AU715-Constantes!$D$13)*(1-EXP(-Constantes!$D$24)))</f>
        <v>4.3346436598049919E-3</v>
      </c>
      <c r="AW715" s="170">
        <f>AW714+(Entradas!$F$112*AT715-AX714)/(800*Entradas!$D$25)</f>
        <v>0</v>
      </c>
      <c r="AX715" s="170">
        <f>8000*Entradas!$D$26*AW715/Constantes!$F$45</f>
        <v>0</v>
      </c>
      <c r="AY715" s="170">
        <f>IF(Escenarios!$F$17&gt;0,10*Escenarios!$F$16*AL715,0)</f>
        <v>0</v>
      </c>
      <c r="AZ715" s="170">
        <f>IF(Escenarios!$F$17&gt;0,10*Escenarios!$F$16*AX715,0)</f>
        <v>0</v>
      </c>
      <c r="BA715" s="170">
        <f>IF(Escenarios!$F$17&gt;0,0.001*Observaciones!$F714*Escenarios!$F$17,0)</f>
        <v>0</v>
      </c>
      <c r="BB715" s="170">
        <f>IF(Escenarios!$F$17&gt;0,Observaciones!$K714,0)</f>
        <v>0</v>
      </c>
      <c r="BC715" s="170">
        <f>IF(Escenarios!$F$17&gt;0,MIN(0.0005*ETo!$M714*Escenarios!$F$17*(BG714/Constantes!$F$40)^(2/3),BG714+AY715+AZ715+BA715+BB715),0)</f>
        <v>0</v>
      </c>
      <c r="BD715" s="170">
        <f>IF(Escenarios!$F$17&gt;0,MIN(Constantes!$F$39*(BG714/Constantes!$F$40)^(2/3),BG714+AY715+AZ715+BA715+BB715-BC715),0)</f>
        <v>0</v>
      </c>
      <c r="BE715" s="170">
        <f>IF(Escenarios!$F$17&gt;0,MIN(Entradas!$F$113,BG714+AY715+AZ715+BA715+BB715-BC715-BD715),0)</f>
        <v>0</v>
      </c>
      <c r="BF715" s="170">
        <f>IF(Escenarios!$F$17&gt;0,MAX(0,BG714+AY715+AZ715+BA715+BB715-BC715-BD715-BE715-Constantes!$F$40),0)</f>
        <v>0</v>
      </c>
      <c r="BG715" s="170">
        <f t="shared" si="165"/>
        <v>0</v>
      </c>
      <c r="BH715" s="170">
        <f>(Escenarios!$F$16*AK715+0.1*BC715)/(Escenarios!$F$19)</f>
        <v>0.20869695875976044</v>
      </c>
      <c r="BI715" s="170">
        <f>IF(Escenarios!$F$17&gt;0,BF715/10/Escenarios!$F$19,AL715)</f>
        <v>0</v>
      </c>
      <c r="BJ715" s="170">
        <f>(Escenarios!$F$16*AT715+0.1*BD715)/(Escenarios!$F$19)</f>
        <v>0</v>
      </c>
      <c r="BK715" s="76">
        <f>BK714+(0.1*BD715)/(Escenarios!$F$19)-BL714</f>
        <v>48.75</v>
      </c>
      <c r="BL715" s="76">
        <f>MAX(0,(BK715-Constantes!$D$13)*(1-EXP(-Constantes!$D$23)))</f>
        <v>0</v>
      </c>
      <c r="BM715" s="76">
        <f t="shared" si="166"/>
        <v>0.10486451200601862</v>
      </c>
      <c r="BN715" s="76">
        <f t="shared" si="167"/>
        <v>0.10487549650524279</v>
      </c>
      <c r="BO715" s="76">
        <f>0.0526*BI715*Observaciones!$F714^1.218</f>
        <v>0</v>
      </c>
      <c r="BP715" s="76">
        <f>BO715*Constantes!$F$51</f>
        <v>0</v>
      </c>
      <c r="BQ715" s="76">
        <f t="shared" si="168"/>
        <v>0</v>
      </c>
      <c r="BR715" s="40"/>
    </row>
    <row r="716" spans="2:70">
      <c r="B716" s="39"/>
      <c r="C716" s="75">
        <v>710</v>
      </c>
      <c r="D716" s="146">
        <f>ETo!$I715*((1-Constantes!$F$19)*ETo!$K715+ETo!$L715)</f>
        <v>4.5561067978950609</v>
      </c>
      <c r="E716" s="76">
        <f>MIN(D716*Constantes!$F$17,0.8*(N715+Observaciones!$F715-F716-M716-Constantes!$D$14))</f>
        <v>2.9315420418356557E-4</v>
      </c>
      <c r="F716" s="76">
        <f>IF(Observaciones!$F715&gt;0.05*Constantes!$F$18,((Observaciones!$F715-0.05*Constantes!$F$18)^2)/(Observaciones!$F715+0.95*Constantes!$F$18),0)</f>
        <v>0</v>
      </c>
      <c r="G716" s="76">
        <f>IF(Escenarios!$F$11&gt;0,(F716*Escenarios!$F$16*10000)/1000,0)</f>
        <v>0</v>
      </c>
      <c r="H716" s="76">
        <f>IF(Escenarios!$F$11&gt;0,(Observaciones!$F715*Constantes!$F$29)/1000,0)</f>
        <v>0</v>
      </c>
      <c r="I716" s="76">
        <f>IF(Escenarios!$F$11&gt;0,(D716*Constantes!$F$29)/1000,0)</f>
        <v>0</v>
      </c>
      <c r="J716" s="76">
        <f>IF(Escenarios!$F$11&gt;0,MAX(0,G716+H716-I716),0)</f>
        <v>0</v>
      </c>
      <c r="K716" s="76">
        <f>IF(Escenarios!$F$11&gt;0,IF(J716&gt;Constantes!$F$30,1000*((J716-Constantes!$F$30)/(Escenarios!$F$16*10000)),0),F716)</f>
        <v>0</v>
      </c>
      <c r="L716" s="76">
        <f>IF(Escenarios!$F$11&gt;0,I716*1000/Escenarios!$F$16/10000+E716,E716)</f>
        <v>2.9315420418356557E-4</v>
      </c>
      <c r="M716" s="76">
        <f>MAX(0,N715+Observaciones!$F715-K716-Constantes!$D$13)</f>
        <v>0</v>
      </c>
      <c r="N716" s="76">
        <f>N715+Observaciones!$F715-K716-L716-M716-O715</f>
        <v>11.250060806165564</v>
      </c>
      <c r="O716" s="76">
        <f>MAX(0,(N716-Constantes!$D$14)*(1-EXP(-Constantes!$D$22)))</f>
        <v>2.0712812231145423E-6</v>
      </c>
      <c r="P716" s="170">
        <f>P715+(Entradas!$F$83*M716-Q715)/(800*Entradas!$D$25)</f>
        <v>0</v>
      </c>
      <c r="Q716" s="170">
        <f>8000*Entradas!$D$26*P716/Constantes!$F$45</f>
        <v>0</v>
      </c>
      <c r="R716" s="170">
        <f>IF(Escenarios!$F$14&gt;0,K716*Escenarios!$F$13/Escenarios!$F$14,0)</f>
        <v>0</v>
      </c>
      <c r="S716" s="170">
        <f>IF(Escenarios!$F$14&gt;0,Q716*Escenarios!$F$13/Escenarios!$F$14,0)</f>
        <v>0</v>
      </c>
      <c r="T716" s="170">
        <f>IF(Escenarios!$F$14&gt;0,Observaciones!$I715,0)</f>
        <v>0</v>
      </c>
      <c r="U716" s="170">
        <f>IF(Escenarios!$F$14&gt;0,MAX(0,Constantes!$F$36/((Z715+R716+S716+T716+Observaciones!$F715)^2)+Entradas!$F$77),0)</f>
        <v>0</v>
      </c>
      <c r="V716" s="146">
        <f>IF(ETo!D715&gt;0,ETo!I715*((1-Entradas!$F$81)*ETo!K715+ETo!L715),0)</f>
        <v>4.0505423551994699</v>
      </c>
      <c r="W716" s="170">
        <f>IF(Escenarios!$F$14&gt;0,MIN(V716*1,0.8*(Z715+R716+S716+T716+Observaciones!$F715-U716-Constantes!$F$35)),0)</f>
        <v>1.2816572398719473E-4</v>
      </c>
      <c r="X716" s="170">
        <f>IF(Escenarios!$F$14&gt;0,Observaciones!$J715,0)</f>
        <v>0</v>
      </c>
      <c r="Y716" s="170">
        <f>IF(Escenarios!$F$14&gt;0,MAX(0,Z715+R716+S716+T716+Observaciones!$F715-U716-W716-X716-Constantes!$F$33),0)</f>
        <v>0</v>
      </c>
      <c r="Z716" s="170">
        <f>Z715+R716+S716+T716+Observaciones!$F715-U716-W716-Y716</f>
        <v>41.250032041430998</v>
      </c>
      <c r="AA716" s="170">
        <f>IF(Escenarios!$F$14&gt;0,(Escenarios!$F$13*L716+Escenarios!$F$14*W716)/(Escenarios!$F$16),L716)</f>
        <v>2.7335558656000106E-4</v>
      </c>
      <c r="AB716" s="170">
        <f>IF(Escenarios!$F$14&gt;0,(Escenarios!$F$14*Y716)/(Escenarios!$F$16),K716)</f>
        <v>0</v>
      </c>
      <c r="AC716" s="170">
        <f>IF(Escenarios!$F$14&gt;0,(Escenarios!$F$13*M716+Escenarios!$F$14*U716)/(Escenarios!$F$16),M716)</f>
        <v>0</v>
      </c>
      <c r="AD716" s="76">
        <f t="shared" si="155"/>
        <v>58.852193997148284</v>
      </c>
      <c r="AE716" s="76">
        <f>MAX(0,(AD716-Constantes!$D$13)*(1-EXP(-Constantes!$D$23)))</f>
        <v>9.9539323609049254E-2</v>
      </c>
      <c r="AF716" s="76">
        <f>AB716+O716*Escenarios!$F$13/Escenarios!$F$16+AE716</f>
        <v>9.9541146336525596E-2</v>
      </c>
      <c r="AG716" s="76">
        <f>IF(Entradas!$F$91&gt;0,IF(AF716-Escenarios!$F$38&lt;=0,0,IF(AF716-Escenarios!$F$38&gt;Escenarios!$F$37,Escenarios!$F$37,AF716-Escenarios!$F$38)),0)</f>
        <v>0</v>
      </c>
      <c r="AH716" s="76">
        <f>AG716*Entradas!$F$99</f>
        <v>0</v>
      </c>
      <c r="AI716" s="76">
        <f>IF(Entradas!$F$91&gt;0,D716*Entradas!$D$23/Escenarios!$F$16,0)</f>
        <v>0.2186931262989629</v>
      </c>
      <c r="AJ716" s="76">
        <f>IF(Entradas!$F$91&gt;0,Entradas!$D$24*Entradas!$D$22/Escenarios!$F$16,0)</f>
        <v>0.12</v>
      </c>
      <c r="AK716" s="76">
        <f t="shared" si="156"/>
        <v>0.2189664818855229</v>
      </c>
      <c r="AL716" s="76">
        <f t="shared" si="157"/>
        <v>0</v>
      </c>
      <c r="AM716" s="76">
        <f t="shared" si="158"/>
        <v>0</v>
      </c>
      <c r="AN716" s="76">
        <f>MAX(0,O716*Escenarios!$F$13/Escenarios!$F$16-AM716)</f>
        <v>1.8227274763407972E-6</v>
      </c>
      <c r="AO716" s="76">
        <f>AM716+AN716-O716*Escenarios!$F$13/Escenarios!$F$16</f>
        <v>0</v>
      </c>
      <c r="AP716" s="76">
        <f t="shared" si="159"/>
        <v>9.9539323609049254E-2</v>
      </c>
      <c r="AQ716" s="76">
        <f t="shared" si="160"/>
        <v>0</v>
      </c>
      <c r="AR716" s="76">
        <f t="shared" si="161"/>
        <v>9.9541146336525596E-2</v>
      </c>
      <c r="AS716" s="76">
        <f t="shared" si="162"/>
        <v>0</v>
      </c>
      <c r="AT716" s="76">
        <f t="shared" si="163"/>
        <v>0</v>
      </c>
      <c r="AU716" s="76">
        <f t="shared" si="164"/>
        <v>49.029248843163195</v>
      </c>
      <c r="AV716" s="76">
        <f>MAX(0,(AU716-Constantes!$D$13)*(1-EXP(-Constantes!$D$24)))</f>
        <v>4.2683875605237041E-3</v>
      </c>
      <c r="AW716" s="170">
        <f>AW715+(Entradas!$F$112*AT716-AX715)/(800*Entradas!$D$25)</f>
        <v>0</v>
      </c>
      <c r="AX716" s="170">
        <f>8000*Entradas!$D$26*AW716/Constantes!$F$45</f>
        <v>0</v>
      </c>
      <c r="AY716" s="170">
        <f>IF(Escenarios!$F$17&gt;0,10*Escenarios!$F$16*AL716,0)</f>
        <v>0</v>
      </c>
      <c r="AZ716" s="170">
        <f>IF(Escenarios!$F$17&gt;0,10*Escenarios!$F$16*AX716,0)</f>
        <v>0</v>
      </c>
      <c r="BA716" s="170">
        <f>IF(Escenarios!$F$17&gt;0,0.001*Observaciones!$F715*Escenarios!$F$17,0)</f>
        <v>0</v>
      </c>
      <c r="BB716" s="170">
        <f>IF(Escenarios!$F$17&gt;0,Observaciones!$K715,0)</f>
        <v>0</v>
      </c>
      <c r="BC716" s="170">
        <f>IF(Escenarios!$F$17&gt;0,MIN(0.0005*ETo!$M715*Escenarios!$F$17*(BG715/Constantes!$F$40)^(2/3),BG715+AY716+AZ716+BA716+BB716),0)</f>
        <v>0</v>
      </c>
      <c r="BD716" s="170">
        <f>IF(Escenarios!$F$17&gt;0,MIN(Constantes!$F$39*(BG715/Constantes!$F$40)^(2/3),BG715+AY716+AZ716+BA716+BB716-BC716),0)</f>
        <v>0</v>
      </c>
      <c r="BE716" s="170">
        <f>IF(Escenarios!$F$17&gt;0,MIN(Entradas!$F$113,BG715+AY716+AZ716+BA716+BB716-BC716-BD716),0)</f>
        <v>0</v>
      </c>
      <c r="BF716" s="170">
        <f>IF(Escenarios!$F$17&gt;0,MAX(0,BG715+AY716+AZ716+BA716+BB716-BC716-BD716-BE716-Constantes!$F$40),0)</f>
        <v>0</v>
      </c>
      <c r="BG716" s="170">
        <f t="shared" si="165"/>
        <v>0</v>
      </c>
      <c r="BH716" s="170">
        <f>(Escenarios!$F$16*AK716+0.1*BC716)/(Escenarios!$F$19)</f>
        <v>0.21896648188552287</v>
      </c>
      <c r="BI716" s="170">
        <f>IF(Escenarios!$F$17&gt;0,BF716/10/Escenarios!$F$19,AL716)</f>
        <v>0</v>
      </c>
      <c r="BJ716" s="170">
        <f>(Escenarios!$F$16*AT716+0.1*BD716)/(Escenarios!$F$19)</f>
        <v>0</v>
      </c>
      <c r="BK716" s="76">
        <f>BK715+(0.1*BD716)/(Escenarios!$F$19)-BL715</f>
        <v>48.75</v>
      </c>
      <c r="BL716" s="76">
        <f>MAX(0,(BK716-Constantes!$D$13)*(1-EXP(-Constantes!$D$23)))</f>
        <v>0</v>
      </c>
      <c r="BM716" s="76">
        <f t="shared" si="166"/>
        <v>0.10380771116957296</v>
      </c>
      <c r="BN716" s="76">
        <f t="shared" si="167"/>
        <v>0.10380953389704931</v>
      </c>
      <c r="BO716" s="76">
        <f>0.0526*BI716*Observaciones!$F715^1.218</f>
        <v>0</v>
      </c>
      <c r="BP716" s="76">
        <f>BO716*Constantes!$F$51</f>
        <v>0</v>
      </c>
      <c r="BQ716" s="76">
        <f t="shared" si="168"/>
        <v>0</v>
      </c>
      <c r="BR716" s="40"/>
    </row>
    <row r="717" spans="2:70">
      <c r="B717" s="39"/>
      <c r="C717" s="75">
        <v>711</v>
      </c>
      <c r="D717" s="146">
        <f>ETo!$I716*((1-Constantes!$F$19)*ETo!$K716+ETo!$L716)</f>
        <v>4.4723329709372006</v>
      </c>
      <c r="E717" s="76">
        <f>MIN(D717*Constantes!$F$17,0.8*(N716+Observaciones!$F716-F717-M717-Constantes!$D$14))</f>
        <v>4.8644932451225035E-5</v>
      </c>
      <c r="F717" s="76">
        <f>IF(Observaciones!$F716&gt;0.05*Constantes!$F$18,((Observaciones!$F716-0.05*Constantes!$F$18)^2)/(Observaciones!$F716+0.95*Constantes!$F$18),0)</f>
        <v>0</v>
      </c>
      <c r="G717" s="76">
        <f>IF(Escenarios!$F$11&gt;0,(F717*Escenarios!$F$16*10000)/1000,0)</f>
        <v>0</v>
      </c>
      <c r="H717" s="76">
        <f>IF(Escenarios!$F$11&gt;0,(Observaciones!$F716*Constantes!$F$29)/1000,0)</f>
        <v>0</v>
      </c>
      <c r="I717" s="76">
        <f>IF(Escenarios!$F$11&gt;0,(D717*Constantes!$F$29)/1000,0)</f>
        <v>0</v>
      </c>
      <c r="J717" s="76">
        <f>IF(Escenarios!$F$11&gt;0,MAX(0,G717+H717-I717),0)</f>
        <v>0</v>
      </c>
      <c r="K717" s="76">
        <f>IF(Escenarios!$F$11&gt;0,IF(J717&gt;Constantes!$F$30,1000*((J717-Constantes!$F$30)/(Escenarios!$F$16*10000)),0),F717)</f>
        <v>0</v>
      </c>
      <c r="L717" s="76">
        <f>IF(Escenarios!$F$11&gt;0,I717*1000/Escenarios!$F$16/10000+E717,E717)</f>
        <v>4.8644932451225035E-5</v>
      </c>
      <c r="M717" s="76">
        <f>MAX(0,N716+Observaciones!$F716-K717-Constantes!$D$13)</f>
        <v>0</v>
      </c>
      <c r="N717" s="76">
        <f>N716+Observaciones!$F716-K717-L717-M717-O716</f>
        <v>11.250010089951889</v>
      </c>
      <c r="O717" s="76">
        <f>MAX(0,(N717-Constantes!$D$14)*(1-EXP(-Constantes!$D$22)))</f>
        <v>3.4370080231491175E-7</v>
      </c>
      <c r="P717" s="170">
        <f>P716+(Entradas!$F$83*M717-Q716)/(800*Entradas!$D$25)</f>
        <v>0</v>
      </c>
      <c r="Q717" s="170">
        <f>8000*Entradas!$D$26*P717/Constantes!$F$45</f>
        <v>0</v>
      </c>
      <c r="R717" s="170">
        <f>IF(Escenarios!$F$14&gt;0,K717*Escenarios!$F$13/Escenarios!$F$14,0)</f>
        <v>0</v>
      </c>
      <c r="S717" s="170">
        <f>IF(Escenarios!$F$14&gt;0,Q717*Escenarios!$F$13/Escenarios!$F$14,0)</f>
        <v>0</v>
      </c>
      <c r="T717" s="170">
        <f>IF(Escenarios!$F$14&gt;0,Observaciones!$I716,0)</f>
        <v>0</v>
      </c>
      <c r="U717" s="170">
        <f>IF(Escenarios!$F$14&gt;0,MAX(0,Constantes!$F$36/((Z716+R717+S717+T717+Observaciones!$F716)^2)+Entradas!$F$77),0)</f>
        <v>0</v>
      </c>
      <c r="V717" s="146">
        <f>IF(ETo!D716&gt;0,ETo!I716*((1-Entradas!$F$81)*ETo!K716+ETo!L716),0)</f>
        <v>3.974900060107609</v>
      </c>
      <c r="W717" s="170">
        <f>IF(Escenarios!$F$14&gt;0,MIN(V717*1,0.8*(Z716+R717+S717+T717+Observaciones!$F716-U717-Constantes!$F$35)),0)</f>
        <v>2.5633144798575816E-5</v>
      </c>
      <c r="X717" s="170">
        <f>IF(Escenarios!$F$14&gt;0,Observaciones!$J716,0)</f>
        <v>0</v>
      </c>
      <c r="Y717" s="170">
        <f>IF(Escenarios!$F$14&gt;0,MAX(0,Z716+R717+S717+T717+Observaciones!$F716-U717-W717-X717-Constantes!$F$33),0)</f>
        <v>0</v>
      </c>
      <c r="Z717" s="170">
        <f>Z716+R717+S717+T717+Observaciones!$F716-U717-W717-Y717</f>
        <v>41.250006408286197</v>
      </c>
      <c r="AA717" s="170">
        <f>IF(Escenarios!$F$14&gt;0,(Escenarios!$F$13*L717+Escenarios!$F$14*W717)/(Escenarios!$F$16),L717)</f>
        <v>4.5883517932907135E-5</v>
      </c>
      <c r="AB717" s="170">
        <f>IF(Escenarios!$F$14&gt;0,(Escenarios!$F$14*Y717)/(Escenarios!$F$16),K717)</f>
        <v>0</v>
      </c>
      <c r="AC717" s="170">
        <f>IF(Escenarios!$F$14&gt;0,(Escenarios!$F$13*M717+Escenarios!$F$14*U717)/(Escenarios!$F$16),M717)</f>
        <v>0</v>
      </c>
      <c r="AD717" s="76">
        <f t="shared" si="155"/>
        <v>58.752654673539233</v>
      </c>
      <c r="AE717" s="76">
        <f>MAX(0,(AD717-Constantes!$D$13)*(1-EXP(-Constantes!$D$23)))</f>
        <v>9.8558538945109506E-2</v>
      </c>
      <c r="AF717" s="76">
        <f>AB717+O717*Escenarios!$F$13/Escenarios!$F$16+AE717</f>
        <v>9.8558841401815547E-2</v>
      </c>
      <c r="AG717" s="76">
        <f>IF(Entradas!$F$91&gt;0,IF(AF717-Escenarios!$F$38&lt;=0,0,IF(AF717-Escenarios!$F$38&gt;Escenarios!$F$37,Escenarios!$F$37,AF717-Escenarios!$F$38)),0)</f>
        <v>0</v>
      </c>
      <c r="AH717" s="76">
        <f>AG717*Entradas!$F$99</f>
        <v>0</v>
      </c>
      <c r="AI717" s="76">
        <f>IF(Entradas!$F$91&gt;0,D717*Entradas!$D$23/Escenarios!$F$16,0)</f>
        <v>0.21467198260498563</v>
      </c>
      <c r="AJ717" s="76">
        <f>IF(Entradas!$F$91&gt;0,Entradas!$D$24*Entradas!$D$22/Escenarios!$F$16,0)</f>
        <v>0.12</v>
      </c>
      <c r="AK717" s="76">
        <f t="shared" si="156"/>
        <v>0.21471786612291854</v>
      </c>
      <c r="AL717" s="76">
        <f t="shared" si="157"/>
        <v>0</v>
      </c>
      <c r="AM717" s="76">
        <f t="shared" si="158"/>
        <v>0</v>
      </c>
      <c r="AN717" s="76">
        <f>MAX(0,O717*Escenarios!$F$13/Escenarios!$F$16-AM717)</f>
        <v>3.0245670603712232E-7</v>
      </c>
      <c r="AO717" s="76">
        <f>AM717+AN717-O717*Escenarios!$F$13/Escenarios!$F$16</f>
        <v>0</v>
      </c>
      <c r="AP717" s="76">
        <f t="shared" si="159"/>
        <v>9.8558538945109506E-2</v>
      </c>
      <c r="AQ717" s="76">
        <f t="shared" si="160"/>
        <v>0</v>
      </c>
      <c r="AR717" s="76">
        <f t="shared" si="161"/>
        <v>9.8558841401815547E-2</v>
      </c>
      <c r="AS717" s="76">
        <f t="shared" si="162"/>
        <v>0</v>
      </c>
      <c r="AT717" s="76">
        <f t="shared" si="163"/>
        <v>0</v>
      </c>
      <c r="AU717" s="76">
        <f t="shared" si="164"/>
        <v>49.024980455602673</v>
      </c>
      <c r="AV717" s="76">
        <f>MAX(0,(AU717-Constantes!$D$13)*(1-EXP(-Constantes!$D$24)))</f>
        <v>4.2031442020895246E-3</v>
      </c>
      <c r="AW717" s="170">
        <f>AW716+(Entradas!$F$112*AT717-AX716)/(800*Entradas!$D$25)</f>
        <v>0</v>
      </c>
      <c r="AX717" s="170">
        <f>8000*Entradas!$D$26*AW717/Constantes!$F$45</f>
        <v>0</v>
      </c>
      <c r="AY717" s="170">
        <f>IF(Escenarios!$F$17&gt;0,10*Escenarios!$F$16*AL717,0)</f>
        <v>0</v>
      </c>
      <c r="AZ717" s="170">
        <f>IF(Escenarios!$F$17&gt;0,10*Escenarios!$F$16*AX717,0)</f>
        <v>0</v>
      </c>
      <c r="BA717" s="170">
        <f>IF(Escenarios!$F$17&gt;0,0.001*Observaciones!$F716*Escenarios!$F$17,0)</f>
        <v>0</v>
      </c>
      <c r="BB717" s="170">
        <f>IF(Escenarios!$F$17&gt;0,Observaciones!$K716,0)</f>
        <v>0</v>
      </c>
      <c r="BC717" s="170">
        <f>IF(Escenarios!$F$17&gt;0,MIN(0.0005*ETo!$M716*Escenarios!$F$17*(BG716/Constantes!$F$40)^(2/3),BG716+AY717+AZ717+BA717+BB717),0)</f>
        <v>0</v>
      </c>
      <c r="BD717" s="170">
        <f>IF(Escenarios!$F$17&gt;0,MIN(Constantes!$F$39*(BG716/Constantes!$F$40)^(2/3),BG716+AY717+AZ717+BA717+BB717-BC717),0)</f>
        <v>0</v>
      </c>
      <c r="BE717" s="170">
        <f>IF(Escenarios!$F$17&gt;0,MIN(Entradas!$F$113,BG716+AY717+AZ717+BA717+BB717-BC717-BD717),0)</f>
        <v>0</v>
      </c>
      <c r="BF717" s="170">
        <f>IF(Escenarios!$F$17&gt;0,MAX(0,BG716+AY717+AZ717+BA717+BB717-BC717-BD717-BE717-Constantes!$F$40),0)</f>
        <v>0</v>
      </c>
      <c r="BG717" s="170">
        <f t="shared" si="165"/>
        <v>0</v>
      </c>
      <c r="BH717" s="170">
        <f>(Escenarios!$F$16*AK717+0.1*BC717)/(Escenarios!$F$19)</f>
        <v>0.21471786612291854</v>
      </c>
      <c r="BI717" s="170">
        <f>IF(Escenarios!$F$17&gt;0,BF717/10/Escenarios!$F$19,AL717)</f>
        <v>0</v>
      </c>
      <c r="BJ717" s="170">
        <f>(Escenarios!$F$16*AT717+0.1*BD717)/(Escenarios!$F$19)</f>
        <v>0</v>
      </c>
      <c r="BK717" s="76">
        <f>BK716+(0.1*BD717)/(Escenarios!$F$19)-BL716</f>
        <v>48.75</v>
      </c>
      <c r="BL717" s="76">
        <f>MAX(0,(BK717-Constantes!$D$13)*(1-EXP(-Constantes!$D$23)))</f>
        <v>0</v>
      </c>
      <c r="BM717" s="76">
        <f t="shared" si="166"/>
        <v>0.10276168314719902</v>
      </c>
      <c r="BN717" s="76">
        <f t="shared" si="167"/>
        <v>0.10276198560390506</v>
      </c>
      <c r="BO717" s="76">
        <f>0.0526*BI717*Observaciones!$F716^1.218</f>
        <v>0</v>
      </c>
      <c r="BP717" s="76">
        <f>BO717*Constantes!$F$51</f>
        <v>0</v>
      </c>
      <c r="BQ717" s="76">
        <f t="shared" si="168"/>
        <v>0</v>
      </c>
      <c r="BR717" s="40"/>
    </row>
    <row r="718" spans="2:70">
      <c r="B718" s="39"/>
      <c r="C718" s="75">
        <v>712</v>
      </c>
      <c r="D718" s="146">
        <f>ETo!$I717*((1-Constantes!$F$19)*ETo!$K717+ETo!$L717)</f>
        <v>4.3371363926715292</v>
      </c>
      <c r="E718" s="76">
        <f>MIN(D718*Constantes!$F$17,0.8*(N717+Observaciones!$F717-F718-M718-Constantes!$D$14))</f>
        <v>2.4735198790946566</v>
      </c>
      <c r="F718" s="76">
        <f>IF(Observaciones!$F717&gt;0.05*Constantes!$F$18,((Observaciones!$F717-0.05*Constantes!$F$18)^2)/(Observaciones!$F717+0.95*Constantes!$F$18),0)</f>
        <v>0</v>
      </c>
      <c r="G718" s="76">
        <f>IF(Escenarios!$F$11&gt;0,(F718*Escenarios!$F$16*10000)/1000,0)</f>
        <v>0</v>
      </c>
      <c r="H718" s="76">
        <f>IF(Escenarios!$F$11&gt;0,(Observaciones!$F717*Constantes!$F$29)/1000,0)</f>
        <v>0</v>
      </c>
      <c r="I718" s="76">
        <f>IF(Escenarios!$F$11&gt;0,(D718*Constantes!$F$29)/1000,0)</f>
        <v>0</v>
      </c>
      <c r="J718" s="76">
        <f>IF(Escenarios!$F$11&gt;0,MAX(0,G718+H718-I718),0)</f>
        <v>0</v>
      </c>
      <c r="K718" s="76">
        <f>IF(Escenarios!$F$11&gt;0,IF(J718&gt;Constantes!$F$30,1000*((J718-Constantes!$F$30)/(Escenarios!$F$16*10000)),0),F718)</f>
        <v>0</v>
      </c>
      <c r="L718" s="76">
        <f>IF(Escenarios!$F$11&gt;0,I718*1000/Escenarios!$F$16/10000+E718,E718)</f>
        <v>2.4735198790946566</v>
      </c>
      <c r="M718" s="76">
        <f>MAX(0,N717+Observaciones!$F717-K718-Constantes!$D$13)</f>
        <v>0</v>
      </c>
      <c r="N718" s="76">
        <f>N717+Observaciones!$F717-K718-L718-M718-O717</f>
        <v>12.87648986715643</v>
      </c>
      <c r="O718" s="76">
        <f>MAX(0,(N718-Constantes!$D$14)*(1-EXP(-Constantes!$D$22)))</f>
        <v>5.5404215841888198E-2</v>
      </c>
      <c r="P718" s="170">
        <f>P717+(Entradas!$F$83*M718-Q717)/(800*Entradas!$D$25)</f>
        <v>0</v>
      </c>
      <c r="Q718" s="170">
        <f>8000*Entradas!$D$26*P718/Constantes!$F$45</f>
        <v>0</v>
      </c>
      <c r="R718" s="170">
        <f>IF(Escenarios!$F$14&gt;0,K718*Escenarios!$F$13/Escenarios!$F$14,0)</f>
        <v>0</v>
      </c>
      <c r="S718" s="170">
        <f>IF(Escenarios!$F$14&gt;0,Q718*Escenarios!$F$13/Escenarios!$F$14,0)</f>
        <v>0</v>
      </c>
      <c r="T718" s="170">
        <f>IF(Escenarios!$F$14&gt;0,Observaciones!$I717,0)</f>
        <v>0</v>
      </c>
      <c r="U718" s="170">
        <f>IF(Escenarios!$F$14&gt;0,MAX(0,Constantes!$F$36/((Z717+R718+S718+T718+Observaciones!$F717)^2)+Entradas!$F$77),0)</f>
        <v>0</v>
      </c>
      <c r="V718" s="146">
        <f>IF(ETo!D717&gt;0,ETo!I717*((1-Entradas!$F$81)*ETo!K717+ETo!L717),0)</f>
        <v>3.8532168963414408</v>
      </c>
      <c r="W718" s="170">
        <f>IF(Escenarios!$F$14&gt;0,MIN(V718*1,0.8*(Z717+R718+S718+T718+Observaciones!$F717-U718-Constantes!$F$35)),0)</f>
        <v>3.2800051266289589</v>
      </c>
      <c r="X718" s="170">
        <f>IF(Escenarios!$F$14&gt;0,Observaciones!$J717,0)</f>
        <v>0</v>
      </c>
      <c r="Y718" s="170">
        <f>IF(Escenarios!$F$14&gt;0,MAX(0,Z717+R718+S718+T718+Observaciones!$F717-U718-W718-X718-Constantes!$F$33),0)</f>
        <v>0</v>
      </c>
      <c r="Z718" s="170">
        <f>Z717+R718+S718+T718+Observaciones!$F717-U718-W718-Y718</f>
        <v>42.070001281657241</v>
      </c>
      <c r="AA718" s="170">
        <f>IF(Escenarios!$F$14&gt;0,(Escenarios!$F$13*L718+Escenarios!$F$14*W718)/(Escenarios!$F$16),L718)</f>
        <v>2.5702981087987733</v>
      </c>
      <c r="AB718" s="170">
        <f>IF(Escenarios!$F$14&gt;0,(Escenarios!$F$14*Y718)/(Escenarios!$F$16),K718)</f>
        <v>0</v>
      </c>
      <c r="AC718" s="170">
        <f>IF(Escenarios!$F$14&gt;0,(Escenarios!$F$13*M718+Escenarios!$F$14*U718)/(Escenarios!$F$16),M718)</f>
        <v>0</v>
      </c>
      <c r="AD718" s="76">
        <f t="shared" si="155"/>
        <v>58.654096134594127</v>
      </c>
      <c r="AE718" s="76">
        <f>MAX(0,(AD718-Constantes!$D$13)*(1-EXP(-Constantes!$D$23)))</f>
        <v>9.7587418186068309E-2</v>
      </c>
      <c r="AF718" s="76">
        <f>AB718+O718*Escenarios!$F$13/Escenarios!$F$16+AE718</f>
        <v>0.14634312812692993</v>
      </c>
      <c r="AG718" s="76">
        <f>IF(Entradas!$F$91&gt;0,IF(AF718-Escenarios!$F$38&lt;=0,0,IF(AF718-Escenarios!$F$38&gt;Escenarios!$F$37,Escenarios!$F$37,AF718-Escenarios!$F$38)),0)</f>
        <v>0</v>
      </c>
      <c r="AH718" s="76">
        <f>AG718*Entradas!$F$99</f>
        <v>0</v>
      </c>
      <c r="AI718" s="76">
        <f>IF(Entradas!$F$91&gt;0,D718*Entradas!$D$23/Escenarios!$F$16,0)</f>
        <v>0.20818254684823342</v>
      </c>
      <c r="AJ718" s="76">
        <f>IF(Entradas!$F$91&gt;0,Entradas!$D$24*Entradas!$D$22/Escenarios!$F$16,0)</f>
        <v>0.12</v>
      </c>
      <c r="AK718" s="76">
        <f t="shared" si="156"/>
        <v>2.7784806556470065</v>
      </c>
      <c r="AL718" s="76">
        <f t="shared" si="157"/>
        <v>0</v>
      </c>
      <c r="AM718" s="76">
        <f t="shared" si="158"/>
        <v>0</v>
      </c>
      <c r="AN718" s="76">
        <f>MAX(0,O718*Escenarios!$F$13/Escenarios!$F$16-AM718)</f>
        <v>4.8755709940861612E-2</v>
      </c>
      <c r="AO718" s="76">
        <f>AM718+AN718-O718*Escenarios!$F$13/Escenarios!$F$16</f>
        <v>0</v>
      </c>
      <c r="AP718" s="76">
        <f t="shared" si="159"/>
        <v>9.7587418186068309E-2</v>
      </c>
      <c r="AQ718" s="76">
        <f t="shared" si="160"/>
        <v>0</v>
      </c>
      <c r="AR718" s="76">
        <f t="shared" si="161"/>
        <v>0.14634312812692993</v>
      </c>
      <c r="AS718" s="76">
        <f t="shared" si="162"/>
        <v>0</v>
      </c>
      <c r="AT718" s="76">
        <f t="shared" si="163"/>
        <v>0</v>
      </c>
      <c r="AU718" s="76">
        <f t="shared" si="164"/>
        <v>49.020777311400586</v>
      </c>
      <c r="AV718" s="76">
        <f>MAX(0,(AU718-Constantes!$D$13)*(1-EXP(-Constantes!$D$24)))</f>
        <v>4.13889810450841E-3</v>
      </c>
      <c r="AW718" s="170">
        <f>AW717+(Entradas!$F$112*AT718-AX717)/(800*Entradas!$D$25)</f>
        <v>0</v>
      </c>
      <c r="AX718" s="170">
        <f>8000*Entradas!$D$26*AW718/Constantes!$F$45</f>
        <v>0</v>
      </c>
      <c r="AY718" s="170">
        <f>IF(Escenarios!$F$17&gt;0,10*Escenarios!$F$16*AL718,0)</f>
        <v>0</v>
      </c>
      <c r="AZ718" s="170">
        <f>IF(Escenarios!$F$17&gt;0,10*Escenarios!$F$16*AX718,0)</f>
        <v>0</v>
      </c>
      <c r="BA718" s="170">
        <f>IF(Escenarios!$F$17&gt;0,0.001*Observaciones!$F717*Escenarios!$F$17,0)</f>
        <v>0</v>
      </c>
      <c r="BB718" s="170">
        <f>IF(Escenarios!$F$17&gt;0,Observaciones!$K717,0)</f>
        <v>0</v>
      </c>
      <c r="BC718" s="170">
        <f>IF(Escenarios!$F$17&gt;0,MIN(0.0005*ETo!$M717*Escenarios!$F$17*(BG717/Constantes!$F$40)^(2/3),BG717+AY718+AZ718+BA718+BB718),0)</f>
        <v>0</v>
      </c>
      <c r="BD718" s="170">
        <f>IF(Escenarios!$F$17&gt;0,MIN(Constantes!$F$39*(BG717/Constantes!$F$40)^(2/3),BG717+AY718+AZ718+BA718+BB718-BC718),0)</f>
        <v>0</v>
      </c>
      <c r="BE718" s="170">
        <f>IF(Escenarios!$F$17&gt;0,MIN(Entradas!$F$113,BG717+AY718+AZ718+BA718+BB718-BC718-BD718),0)</f>
        <v>0</v>
      </c>
      <c r="BF718" s="170">
        <f>IF(Escenarios!$F$17&gt;0,MAX(0,BG717+AY718+AZ718+BA718+BB718-BC718-BD718-BE718-Constantes!$F$40),0)</f>
        <v>0</v>
      </c>
      <c r="BG718" s="170">
        <f t="shared" si="165"/>
        <v>0</v>
      </c>
      <c r="BH718" s="170">
        <f>(Escenarios!$F$16*AK718+0.1*BC718)/(Escenarios!$F$19)</f>
        <v>2.7784806556470065</v>
      </c>
      <c r="BI718" s="170">
        <f>IF(Escenarios!$F$17&gt;0,BF718/10/Escenarios!$F$19,AL718)</f>
        <v>0</v>
      </c>
      <c r="BJ718" s="170">
        <f>(Escenarios!$F$16*AT718+0.1*BD718)/(Escenarios!$F$19)</f>
        <v>0</v>
      </c>
      <c r="BK718" s="76">
        <f>BK717+(0.1*BD718)/(Escenarios!$F$19)-BL717</f>
        <v>48.75</v>
      </c>
      <c r="BL718" s="76">
        <f>MAX(0,(BK718-Constantes!$D$13)*(1-EXP(-Constantes!$D$23)))</f>
        <v>0</v>
      </c>
      <c r="BM718" s="76">
        <f t="shared" si="166"/>
        <v>0.10172631629057671</v>
      </c>
      <c r="BN718" s="76">
        <f t="shared" si="167"/>
        <v>0.15048202623143833</v>
      </c>
      <c r="BO718" s="76">
        <f>0.0526*BI718*Observaciones!$F717^1.218</f>
        <v>0</v>
      </c>
      <c r="BP718" s="76">
        <f>BO718*Constantes!$F$51</f>
        <v>0</v>
      </c>
      <c r="BQ718" s="76">
        <f t="shared" si="168"/>
        <v>0</v>
      </c>
      <c r="BR718" s="40"/>
    </row>
    <row r="719" spans="2:70">
      <c r="B719" s="39"/>
      <c r="C719" s="75">
        <v>713</v>
      </c>
      <c r="D719" s="146">
        <f>ETo!$I718*((1-Constantes!$F$19)*ETo!$K718+ETo!$L718)</f>
        <v>4.6397002495040658</v>
      </c>
      <c r="E719" s="76">
        <f>MIN(D719*Constantes!$F$17,0.8*(N718+Observaciones!$F718-F719-M719-Constantes!$D$14))</f>
        <v>1.6211918937251442</v>
      </c>
      <c r="F719" s="76">
        <f>IF(Observaciones!$F718&gt;0.05*Constantes!$F$18,((Observaciones!$F718-0.05*Constantes!$F$18)^2)/(Observaciones!$F718+0.95*Constantes!$F$18),0)</f>
        <v>0</v>
      </c>
      <c r="G719" s="76">
        <f>IF(Escenarios!$F$11&gt;0,(F719*Escenarios!$F$16*10000)/1000,0)</f>
        <v>0</v>
      </c>
      <c r="H719" s="76">
        <f>IF(Escenarios!$F$11&gt;0,(Observaciones!$F718*Constantes!$F$29)/1000,0)</f>
        <v>0</v>
      </c>
      <c r="I719" s="76">
        <f>IF(Escenarios!$F$11&gt;0,(D719*Constantes!$F$29)/1000,0)</f>
        <v>0</v>
      </c>
      <c r="J719" s="76">
        <f>IF(Escenarios!$F$11&gt;0,MAX(0,G719+H719-I719),0)</f>
        <v>0</v>
      </c>
      <c r="K719" s="76">
        <f>IF(Escenarios!$F$11&gt;0,IF(J719&gt;Constantes!$F$30,1000*((J719-Constantes!$F$30)/(Escenarios!$F$16*10000)),0),F719)</f>
        <v>0</v>
      </c>
      <c r="L719" s="76">
        <f>IF(Escenarios!$F$11&gt;0,I719*1000/Escenarios!$F$16/10000+E719,E719)</f>
        <v>1.6211918937251442</v>
      </c>
      <c r="M719" s="76">
        <f>MAX(0,N718+Observaciones!$F718-K719-Constantes!$D$13)</f>
        <v>0</v>
      </c>
      <c r="N719" s="76">
        <f>N718+Observaciones!$F718-K719-L719-M719-O718</f>
        <v>11.599893757589397</v>
      </c>
      <c r="O719" s="76">
        <f>MAX(0,(N719-Constantes!$D$14)*(1-EXP(-Constantes!$D$22)))</f>
        <v>1.1918665869775035E-2</v>
      </c>
      <c r="P719" s="170">
        <f>P718+(Entradas!$F$83*M719-Q718)/(800*Entradas!$D$25)</f>
        <v>0</v>
      </c>
      <c r="Q719" s="170">
        <f>8000*Entradas!$D$26*P719/Constantes!$F$45</f>
        <v>0</v>
      </c>
      <c r="R719" s="170">
        <f>IF(Escenarios!$F$14&gt;0,K719*Escenarios!$F$13/Escenarios!$F$14,0)</f>
        <v>0</v>
      </c>
      <c r="S719" s="170">
        <f>IF(Escenarios!$F$14&gt;0,Q719*Escenarios!$F$13/Escenarios!$F$14,0)</f>
        <v>0</v>
      </c>
      <c r="T719" s="170">
        <f>IF(Escenarios!$F$14&gt;0,Observaciones!$I718,0)</f>
        <v>0</v>
      </c>
      <c r="U719" s="170">
        <f>IF(Escenarios!$F$14&gt;0,MAX(0,Constantes!$F$36/((Z718+R719+S719+T719+Observaciones!$F718)^2)+Entradas!$F$77),0)</f>
        <v>0</v>
      </c>
      <c r="V719" s="146">
        <f>IF(ETo!D718&gt;0,ETo!I718*((1-Entradas!$F$81)*ETo!K718+ETo!L718),0)</f>
        <v>4.126212291426695</v>
      </c>
      <c r="W719" s="170">
        <f>IF(Escenarios!$F$14&gt;0,MIN(V719*1,0.8*(Z718+R719+S719+T719+Observaciones!$F718-U719-Constantes!$F$35)),0)</f>
        <v>0.9760010253257918</v>
      </c>
      <c r="X719" s="170">
        <f>IF(Escenarios!$F$14&gt;0,Observaciones!$J718,0)</f>
        <v>0</v>
      </c>
      <c r="Y719" s="170">
        <f>IF(Escenarios!$F$14&gt;0,MAX(0,Z718+R719+S719+T719+Observaciones!$F718-U719-W719-X719-Constantes!$F$33),0)</f>
        <v>0</v>
      </c>
      <c r="Z719" s="170">
        <f>Z718+R719+S719+T719+Observaciones!$F718-U719-W719-Y719</f>
        <v>41.494000256331447</v>
      </c>
      <c r="AA719" s="170">
        <f>IF(Escenarios!$F$14&gt;0,(Escenarios!$F$13*L719+Escenarios!$F$14*W719)/(Escenarios!$F$16),L719)</f>
        <v>1.5437689895172217</v>
      </c>
      <c r="AB719" s="170">
        <f>IF(Escenarios!$F$14&gt;0,(Escenarios!$F$14*Y719)/(Escenarios!$F$16),K719)</f>
        <v>0</v>
      </c>
      <c r="AC719" s="170">
        <f>IF(Escenarios!$F$14&gt;0,(Escenarios!$F$13*M719+Escenarios!$F$14*U719)/(Escenarios!$F$16),M719)</f>
        <v>0</v>
      </c>
      <c r="AD719" s="76">
        <f t="shared" si="155"/>
        <v>58.556508716408061</v>
      </c>
      <c r="AE719" s="76">
        <f>MAX(0,(AD719-Constantes!$D$13)*(1-EXP(-Constantes!$D$23)))</f>
        <v>9.6625866111168884E-2</v>
      </c>
      <c r="AF719" s="76">
        <f>AB719+O719*Escenarios!$F$13/Escenarios!$F$16+AE719</f>
        <v>0.10711429207657092</v>
      </c>
      <c r="AG719" s="76">
        <f>IF(Entradas!$F$91&gt;0,IF(AF719-Escenarios!$F$38&lt;=0,0,IF(AF719-Escenarios!$F$38&gt;Escenarios!$F$37,Escenarios!$F$37,AF719-Escenarios!$F$38)),0)</f>
        <v>0</v>
      </c>
      <c r="AH719" s="76">
        <f>AG719*Entradas!$F$99</f>
        <v>0</v>
      </c>
      <c r="AI719" s="76">
        <f>IF(Entradas!$F$91&gt;0,D719*Entradas!$D$23/Escenarios!$F$16,0)</f>
        <v>0.22270561197619515</v>
      </c>
      <c r="AJ719" s="76">
        <f>IF(Entradas!$F$91&gt;0,Entradas!$D$24*Entradas!$D$22/Escenarios!$F$16,0)</f>
        <v>0.12</v>
      </c>
      <c r="AK719" s="76">
        <f t="shared" si="156"/>
        <v>1.766474601493417</v>
      </c>
      <c r="AL719" s="76">
        <f t="shared" si="157"/>
        <v>0</v>
      </c>
      <c r="AM719" s="76">
        <f t="shared" si="158"/>
        <v>0</v>
      </c>
      <c r="AN719" s="76">
        <f>MAX(0,O719*Escenarios!$F$13/Escenarios!$F$16-AM719)</f>
        <v>1.0488425965402032E-2</v>
      </c>
      <c r="AO719" s="76">
        <f>AM719+AN719-O719*Escenarios!$F$13/Escenarios!$F$16</f>
        <v>0</v>
      </c>
      <c r="AP719" s="76">
        <f t="shared" si="159"/>
        <v>9.6625866111168884E-2</v>
      </c>
      <c r="AQ719" s="76">
        <f t="shared" si="160"/>
        <v>0</v>
      </c>
      <c r="AR719" s="76">
        <f t="shared" si="161"/>
        <v>0.10711429207657092</v>
      </c>
      <c r="AS719" s="76">
        <f t="shared" si="162"/>
        <v>0</v>
      </c>
      <c r="AT719" s="76">
        <f t="shared" si="163"/>
        <v>0</v>
      </c>
      <c r="AU719" s="76">
        <f t="shared" si="164"/>
        <v>49.016638413296079</v>
      </c>
      <c r="AV719" s="76">
        <f>MAX(0,(AU719-Constantes!$D$13)*(1-EXP(-Constantes!$D$24)))</f>
        <v>4.0756340244017999E-3</v>
      </c>
      <c r="AW719" s="170">
        <f>AW718+(Entradas!$F$112*AT719-AX718)/(800*Entradas!$D$25)</f>
        <v>0</v>
      </c>
      <c r="AX719" s="170">
        <f>8000*Entradas!$D$26*AW719/Constantes!$F$45</f>
        <v>0</v>
      </c>
      <c r="AY719" s="170">
        <f>IF(Escenarios!$F$17&gt;0,10*Escenarios!$F$16*AL719,0)</f>
        <v>0</v>
      </c>
      <c r="AZ719" s="170">
        <f>IF(Escenarios!$F$17&gt;0,10*Escenarios!$F$16*AX719,0)</f>
        <v>0</v>
      </c>
      <c r="BA719" s="170">
        <f>IF(Escenarios!$F$17&gt;0,0.001*Observaciones!$F718*Escenarios!$F$17,0)</f>
        <v>0</v>
      </c>
      <c r="BB719" s="170">
        <f>IF(Escenarios!$F$17&gt;0,Observaciones!$K718,0)</f>
        <v>0</v>
      </c>
      <c r="BC719" s="170">
        <f>IF(Escenarios!$F$17&gt;0,MIN(0.0005*ETo!$M718*Escenarios!$F$17*(BG718/Constantes!$F$40)^(2/3),BG718+AY719+AZ719+BA719+BB719),0)</f>
        <v>0</v>
      </c>
      <c r="BD719" s="170">
        <f>IF(Escenarios!$F$17&gt;0,MIN(Constantes!$F$39*(BG718/Constantes!$F$40)^(2/3),BG718+AY719+AZ719+BA719+BB719-BC719),0)</f>
        <v>0</v>
      </c>
      <c r="BE719" s="170">
        <f>IF(Escenarios!$F$17&gt;0,MIN(Entradas!$F$113,BG718+AY719+AZ719+BA719+BB719-BC719-BD719),0)</f>
        <v>0</v>
      </c>
      <c r="BF719" s="170">
        <f>IF(Escenarios!$F$17&gt;0,MAX(0,BG718+AY719+AZ719+BA719+BB719-BC719-BD719-BE719-Constantes!$F$40),0)</f>
        <v>0</v>
      </c>
      <c r="BG719" s="170">
        <f t="shared" si="165"/>
        <v>0</v>
      </c>
      <c r="BH719" s="170">
        <f>(Escenarios!$F$16*AK719+0.1*BC719)/(Escenarios!$F$19)</f>
        <v>1.766474601493417</v>
      </c>
      <c r="BI719" s="170">
        <f>IF(Escenarios!$F$17&gt;0,BF719/10/Escenarios!$F$19,AL719)</f>
        <v>0</v>
      </c>
      <c r="BJ719" s="170">
        <f>(Escenarios!$F$16*AT719+0.1*BD719)/(Escenarios!$F$19)</f>
        <v>0</v>
      </c>
      <c r="BK719" s="76">
        <f>BK718+(0.1*BD719)/(Escenarios!$F$19)-BL718</f>
        <v>48.75</v>
      </c>
      <c r="BL719" s="76">
        <f>MAX(0,(BK719-Constantes!$D$13)*(1-EXP(-Constantes!$D$23)))</f>
        <v>0</v>
      </c>
      <c r="BM719" s="76">
        <f t="shared" si="166"/>
        <v>0.10070150013557068</v>
      </c>
      <c r="BN719" s="76">
        <f t="shared" si="167"/>
        <v>0.11118992610097271</v>
      </c>
      <c r="BO719" s="76">
        <f>0.0526*BI719*Observaciones!$F718^1.218</f>
        <v>0</v>
      </c>
      <c r="BP719" s="76">
        <f>BO719*Constantes!$F$51</f>
        <v>0</v>
      </c>
      <c r="BQ719" s="76">
        <f t="shared" si="168"/>
        <v>0</v>
      </c>
      <c r="BR719" s="40"/>
    </row>
    <row r="720" spans="2:70">
      <c r="B720" s="39"/>
      <c r="C720" s="75">
        <v>714</v>
      </c>
      <c r="D720" s="146">
        <f>ETo!$I719*((1-Constantes!$F$19)*ETo!$K719+ETo!$L719)</f>
        <v>4.5466866615525392</v>
      </c>
      <c r="E720" s="76">
        <f>MIN(D720*Constantes!$F$17,0.8*(N719+Observaciones!$F719-F720-M720-Constantes!$D$14))</f>
        <v>0.27991500607151781</v>
      </c>
      <c r="F720" s="76">
        <f>IF(Observaciones!$F719&gt;0.05*Constantes!$F$18,((Observaciones!$F719-0.05*Constantes!$F$18)^2)/(Observaciones!$F719+0.95*Constantes!$F$18),0)</f>
        <v>0</v>
      </c>
      <c r="G720" s="76">
        <f>IF(Escenarios!$F$11&gt;0,(F720*Escenarios!$F$16*10000)/1000,0)</f>
        <v>0</v>
      </c>
      <c r="H720" s="76">
        <f>IF(Escenarios!$F$11&gt;0,(Observaciones!$F719*Constantes!$F$29)/1000,0)</f>
        <v>0</v>
      </c>
      <c r="I720" s="76">
        <f>IF(Escenarios!$F$11&gt;0,(D720*Constantes!$F$29)/1000,0)</f>
        <v>0</v>
      </c>
      <c r="J720" s="76">
        <f>IF(Escenarios!$F$11&gt;0,MAX(0,G720+H720-I720),0)</f>
        <v>0</v>
      </c>
      <c r="K720" s="76">
        <f>IF(Escenarios!$F$11&gt;0,IF(J720&gt;Constantes!$F$30,1000*((J720-Constantes!$F$30)/(Escenarios!$F$16*10000)),0),F720)</f>
        <v>0</v>
      </c>
      <c r="L720" s="76">
        <f>IF(Escenarios!$F$11&gt;0,I720*1000/Escenarios!$F$16/10000+E720,E720)</f>
        <v>0.27991500607151781</v>
      </c>
      <c r="M720" s="76">
        <f>MAX(0,N719+Observaciones!$F719-K720-Constantes!$D$13)</f>
        <v>0</v>
      </c>
      <c r="N720" s="76">
        <f>N719+Observaciones!$F719-K720-L720-M720-O719</f>
        <v>11.308060085648105</v>
      </c>
      <c r="O720" s="76">
        <f>MAX(0,(N720-Constantes!$D$14)*(1-EXP(-Constantes!$D$22)))</f>
        <v>1.9777396601123355E-3</v>
      </c>
      <c r="P720" s="170">
        <f>P719+(Entradas!$F$83*M720-Q719)/(800*Entradas!$D$25)</f>
        <v>0</v>
      </c>
      <c r="Q720" s="170">
        <f>8000*Entradas!$D$26*P720/Constantes!$F$45</f>
        <v>0</v>
      </c>
      <c r="R720" s="170">
        <f>IF(Escenarios!$F$14&gt;0,K720*Escenarios!$F$13/Escenarios!$F$14,0)</f>
        <v>0</v>
      </c>
      <c r="S720" s="170">
        <f>IF(Escenarios!$F$14&gt;0,Q720*Escenarios!$F$13/Escenarios!$F$14,0)</f>
        <v>0</v>
      </c>
      <c r="T720" s="170">
        <f>IF(Escenarios!$F$14&gt;0,Observaciones!$I719,0)</f>
        <v>0</v>
      </c>
      <c r="U720" s="170">
        <f>IF(Escenarios!$F$14&gt;0,MAX(0,Constantes!$F$36/((Z719+R720+S720+T720+Observaciones!$F719)^2)+Entradas!$F$77),0)</f>
        <v>0</v>
      </c>
      <c r="V720" s="146">
        <f>IF(ETo!D719&gt;0,ETo!I719*((1-Entradas!$F$81)*ETo!K719+ETo!L719),0)</f>
        <v>4.0420255370559923</v>
      </c>
      <c r="W720" s="170">
        <f>IF(Escenarios!$F$14&gt;0,MIN(V720*1,0.8*(Z719+R720+S720+T720+Observaciones!$F719-U720-Constantes!$F$35)),0)</f>
        <v>0.19520020506515723</v>
      </c>
      <c r="X720" s="170">
        <f>IF(Escenarios!$F$14&gt;0,Observaciones!$J719,0)</f>
        <v>0</v>
      </c>
      <c r="Y720" s="170">
        <f>IF(Escenarios!$F$14&gt;0,MAX(0,Z719+R720+S720+T720+Observaciones!$F719-U720-W720-X720-Constantes!$F$33),0)</f>
        <v>0</v>
      </c>
      <c r="Z720" s="170">
        <f>Z719+R720+S720+T720+Observaciones!$F719-U720-W720-Y720</f>
        <v>41.298800051266291</v>
      </c>
      <c r="AA720" s="170">
        <f>IF(Escenarios!$F$14&gt;0,(Escenarios!$F$13*L720+Escenarios!$F$14*W720)/(Escenarios!$F$16),L720)</f>
        <v>0.26974922995075457</v>
      </c>
      <c r="AB720" s="170">
        <f>IF(Escenarios!$F$14&gt;0,(Escenarios!$F$14*Y720)/(Escenarios!$F$16),K720)</f>
        <v>0</v>
      </c>
      <c r="AC720" s="170">
        <f>IF(Escenarios!$F$14&gt;0,(Escenarios!$F$13*M720+Escenarios!$F$14*U720)/(Escenarios!$F$16),M720)</f>
        <v>0</v>
      </c>
      <c r="AD720" s="76">
        <f t="shared" si="155"/>
        <v>58.459882850296893</v>
      </c>
      <c r="AE720" s="76">
        <f>MAX(0,(AD720-Constantes!$D$13)*(1-EXP(-Constantes!$D$23)))</f>
        <v>9.5673788437887292E-2</v>
      </c>
      <c r="AF720" s="76">
        <f>AB720+O720*Escenarios!$F$13/Escenarios!$F$16+AE720</f>
        <v>9.7414199338786145E-2</v>
      </c>
      <c r="AG720" s="76">
        <f>IF(Entradas!$F$91&gt;0,IF(AF720-Escenarios!$F$38&lt;=0,0,IF(AF720-Escenarios!$F$38&gt;Escenarios!$F$37,Escenarios!$F$37,AF720-Escenarios!$F$38)),0)</f>
        <v>0</v>
      </c>
      <c r="AH720" s="76">
        <f>AG720*Entradas!$F$99</f>
        <v>0</v>
      </c>
      <c r="AI720" s="76">
        <f>IF(Entradas!$F$91&gt;0,D720*Entradas!$D$23/Escenarios!$F$16,0)</f>
        <v>0.2182409597545219</v>
      </c>
      <c r="AJ720" s="76">
        <f>IF(Entradas!$F$91&gt;0,Entradas!$D$24*Entradas!$D$22/Escenarios!$F$16,0)</f>
        <v>0.12</v>
      </c>
      <c r="AK720" s="76">
        <f t="shared" si="156"/>
        <v>0.48799018970527647</v>
      </c>
      <c r="AL720" s="76">
        <f t="shared" si="157"/>
        <v>0</v>
      </c>
      <c r="AM720" s="76">
        <f t="shared" si="158"/>
        <v>0</v>
      </c>
      <c r="AN720" s="76">
        <f>MAX(0,O720*Escenarios!$F$13/Escenarios!$F$16-AM720)</f>
        <v>1.7404109008988553E-3</v>
      </c>
      <c r="AO720" s="76">
        <f>AM720+AN720-O720*Escenarios!$F$13/Escenarios!$F$16</f>
        <v>0</v>
      </c>
      <c r="AP720" s="76">
        <f t="shared" si="159"/>
        <v>9.5673788437887292E-2</v>
      </c>
      <c r="AQ720" s="76">
        <f t="shared" si="160"/>
        <v>0</v>
      </c>
      <c r="AR720" s="76">
        <f t="shared" si="161"/>
        <v>9.7414199338786145E-2</v>
      </c>
      <c r="AS720" s="76">
        <f t="shared" si="162"/>
        <v>0</v>
      </c>
      <c r="AT720" s="76">
        <f t="shared" si="163"/>
        <v>0</v>
      </c>
      <c r="AU720" s="76">
        <f t="shared" si="164"/>
        <v>49.012562779271676</v>
      </c>
      <c r="AV720" s="76">
        <f>MAX(0,(AU720-Constantes!$D$13)*(1-EXP(-Constantes!$D$24)))</f>
        <v>4.0133369513899609E-3</v>
      </c>
      <c r="AW720" s="170">
        <f>AW719+(Entradas!$F$112*AT720-AX719)/(800*Entradas!$D$25)</f>
        <v>0</v>
      </c>
      <c r="AX720" s="170">
        <f>8000*Entradas!$D$26*AW720/Constantes!$F$45</f>
        <v>0</v>
      </c>
      <c r="AY720" s="170">
        <f>IF(Escenarios!$F$17&gt;0,10*Escenarios!$F$16*AL720,0)</f>
        <v>0</v>
      </c>
      <c r="AZ720" s="170">
        <f>IF(Escenarios!$F$17&gt;0,10*Escenarios!$F$16*AX720,0)</f>
        <v>0</v>
      </c>
      <c r="BA720" s="170">
        <f>IF(Escenarios!$F$17&gt;0,0.001*Observaciones!$F719*Escenarios!$F$17,0)</f>
        <v>0</v>
      </c>
      <c r="BB720" s="170">
        <f>IF(Escenarios!$F$17&gt;0,Observaciones!$K719,0)</f>
        <v>0</v>
      </c>
      <c r="BC720" s="170">
        <f>IF(Escenarios!$F$17&gt;0,MIN(0.0005*ETo!$M719*Escenarios!$F$17*(BG719/Constantes!$F$40)^(2/3),BG719+AY720+AZ720+BA720+BB720),0)</f>
        <v>0</v>
      </c>
      <c r="BD720" s="170">
        <f>IF(Escenarios!$F$17&gt;0,MIN(Constantes!$F$39*(BG719/Constantes!$F$40)^(2/3),BG719+AY720+AZ720+BA720+BB720-BC720),0)</f>
        <v>0</v>
      </c>
      <c r="BE720" s="170">
        <f>IF(Escenarios!$F$17&gt;0,MIN(Entradas!$F$113,BG719+AY720+AZ720+BA720+BB720-BC720-BD720),0)</f>
        <v>0</v>
      </c>
      <c r="BF720" s="170">
        <f>IF(Escenarios!$F$17&gt;0,MAX(0,BG719+AY720+AZ720+BA720+BB720-BC720-BD720-BE720-Constantes!$F$40),0)</f>
        <v>0</v>
      </c>
      <c r="BG720" s="170">
        <f t="shared" si="165"/>
        <v>0</v>
      </c>
      <c r="BH720" s="170">
        <f>(Escenarios!$F$16*AK720+0.1*BC720)/(Escenarios!$F$19)</f>
        <v>0.48799018970527647</v>
      </c>
      <c r="BI720" s="170">
        <f>IF(Escenarios!$F$17&gt;0,BF720/10/Escenarios!$F$19,AL720)</f>
        <v>0</v>
      </c>
      <c r="BJ720" s="170">
        <f>(Escenarios!$F$16*AT720+0.1*BD720)/(Escenarios!$F$19)</f>
        <v>0</v>
      </c>
      <c r="BK720" s="76">
        <f>BK719+(0.1*BD720)/(Escenarios!$F$19)-BL719</f>
        <v>48.75</v>
      </c>
      <c r="BL720" s="76">
        <f>MAX(0,(BK720-Constantes!$D$13)*(1-EXP(-Constantes!$D$23)))</f>
        <v>0</v>
      </c>
      <c r="BM720" s="76">
        <f t="shared" si="166"/>
        <v>9.9687125389277251E-2</v>
      </c>
      <c r="BN720" s="76">
        <f t="shared" si="167"/>
        <v>0.1014275362901761</v>
      </c>
      <c r="BO720" s="76">
        <f>0.0526*BI720*Observaciones!$F719^1.218</f>
        <v>0</v>
      </c>
      <c r="BP720" s="76">
        <f>BO720*Constantes!$F$51</f>
        <v>0</v>
      </c>
      <c r="BQ720" s="76">
        <f t="shared" si="168"/>
        <v>0</v>
      </c>
      <c r="BR720" s="40"/>
    </row>
    <row r="721" spans="2:70">
      <c r="B721" s="39"/>
      <c r="C721" s="75">
        <v>715</v>
      </c>
      <c r="D721" s="146">
        <f>ETo!$I720*((1-Constantes!$F$19)*ETo!$K720+ETo!$L720)</f>
        <v>4.6070992129135773</v>
      </c>
      <c r="E721" s="76">
        <f>MIN(D721*Constantes!$F$17,0.8*(N720+Observaciones!$F720-F721-M721-Constantes!$D$14))</f>
        <v>2.6274828495959941</v>
      </c>
      <c r="F721" s="76">
        <f>IF(Observaciones!$F720&gt;0.05*Constantes!$F$18,((Observaciones!$F720-0.05*Constantes!$F$18)^2)/(Observaciones!$F720+0.95*Constantes!$F$18),0)</f>
        <v>0</v>
      </c>
      <c r="G721" s="76">
        <f>IF(Escenarios!$F$11&gt;0,(F721*Escenarios!$F$16*10000)/1000,0)</f>
        <v>0</v>
      </c>
      <c r="H721" s="76">
        <f>IF(Escenarios!$F$11&gt;0,(Observaciones!$F720*Constantes!$F$29)/1000,0)</f>
        <v>0</v>
      </c>
      <c r="I721" s="76">
        <f>IF(Escenarios!$F$11&gt;0,(D721*Constantes!$F$29)/1000,0)</f>
        <v>0</v>
      </c>
      <c r="J721" s="76">
        <f>IF(Escenarios!$F$11&gt;0,MAX(0,G721+H721-I721),0)</f>
        <v>0</v>
      </c>
      <c r="K721" s="76">
        <f>IF(Escenarios!$F$11&gt;0,IF(J721&gt;Constantes!$F$30,1000*((J721-Constantes!$F$30)/(Escenarios!$F$16*10000)),0),F721)</f>
        <v>0</v>
      </c>
      <c r="L721" s="76">
        <f>IF(Escenarios!$F$11&gt;0,I721*1000/Escenarios!$F$16/10000+E721,E721)</f>
        <v>2.6274828495959941</v>
      </c>
      <c r="M721" s="76">
        <f>MAX(0,N720+Observaciones!$F720-K721-Constantes!$D$13)</f>
        <v>0</v>
      </c>
      <c r="N721" s="76">
        <f>N720+Observaciones!$F720-K721-L721-M721-O720</f>
        <v>16.678599496391996</v>
      </c>
      <c r="O721" s="76">
        <f>MAX(0,(N721-Constantes!$D$14)*(1-EXP(-Constantes!$D$22)))</f>
        <v>0.18491802764384579</v>
      </c>
      <c r="P721" s="170">
        <f>P720+(Entradas!$F$83*M721-Q720)/(800*Entradas!$D$25)</f>
        <v>0</v>
      </c>
      <c r="Q721" s="170">
        <f>8000*Entradas!$D$26*P721/Constantes!$F$45</f>
        <v>0</v>
      </c>
      <c r="R721" s="170">
        <f>IF(Escenarios!$F$14&gt;0,K721*Escenarios!$F$13/Escenarios!$F$14,0)</f>
        <v>0</v>
      </c>
      <c r="S721" s="170">
        <f>IF(Escenarios!$F$14&gt;0,Q721*Escenarios!$F$13/Escenarios!$F$14,0)</f>
        <v>0</v>
      </c>
      <c r="T721" s="170">
        <f>IF(Escenarios!$F$14&gt;0,Observaciones!$I720,0)</f>
        <v>0</v>
      </c>
      <c r="U721" s="170">
        <f>IF(Escenarios!$F$14&gt;0,MAX(0,Constantes!$F$36/((Z720+R721+S721+T721+Observaciones!$F720)^2)+Entradas!$F$77),0)</f>
        <v>0</v>
      </c>
      <c r="V721" s="146">
        <f>IF(ETo!D720&gt;0,ETo!I720*((1-Entradas!$F$81)*ETo!K720+ETo!L720),0)</f>
        <v>4.0966770451957668</v>
      </c>
      <c r="W721" s="170">
        <f>IF(Escenarios!$F$14&gt;0,MIN(V721*1,0.8*(Z720+R721+S721+T721+Observaciones!$F720-U721-Constantes!$F$35)),0)</f>
        <v>4.0966770451957668</v>
      </c>
      <c r="X721" s="170">
        <f>IF(Escenarios!$F$14&gt;0,Observaciones!$J720,0)</f>
        <v>0</v>
      </c>
      <c r="Y721" s="170">
        <f>IF(Escenarios!$F$14&gt;0,MAX(0,Z720+R721+S721+T721+Observaciones!$F720-U721-W721-X721-Constantes!$F$33),0)</f>
        <v>0</v>
      </c>
      <c r="Z721" s="170">
        <f>Z720+R721+S721+T721+Observaciones!$F720-U721-W721-Y721</f>
        <v>45.202123006070522</v>
      </c>
      <c r="AA721" s="170">
        <f>IF(Escenarios!$F$14&gt;0,(Escenarios!$F$13*L721+Escenarios!$F$14*W721)/(Escenarios!$F$16),L721)</f>
        <v>2.8037861530679664</v>
      </c>
      <c r="AB721" s="170">
        <f>IF(Escenarios!$F$14&gt;0,(Escenarios!$F$14*Y721)/(Escenarios!$F$16),K721)</f>
        <v>0</v>
      </c>
      <c r="AC721" s="170">
        <f>IF(Escenarios!$F$14&gt;0,(Escenarios!$F$13*M721+Escenarios!$F$14*U721)/(Escenarios!$F$16),M721)</f>
        <v>0</v>
      </c>
      <c r="AD721" s="76">
        <f t="shared" si="155"/>
        <v>58.364209061859007</v>
      </c>
      <c r="AE721" s="76">
        <f>MAX(0,(AD721-Constantes!$D$13)*(1-EXP(-Constantes!$D$23)))</f>
        <v>9.4731091812687795E-2</v>
      </c>
      <c r="AF721" s="76">
        <f>AB721+O721*Escenarios!$F$13/Escenarios!$F$16+AE721</f>
        <v>0.25745895613927205</v>
      </c>
      <c r="AG721" s="76">
        <f>IF(Entradas!$F$91&gt;0,IF(AF721-Escenarios!$F$38&lt;=0,0,IF(AF721-Escenarios!$F$38&gt;Escenarios!$F$37,Escenarios!$F$37,AF721-Escenarios!$F$38)),0)</f>
        <v>0</v>
      </c>
      <c r="AH721" s="76">
        <f>AG721*Entradas!$F$99</f>
        <v>0</v>
      </c>
      <c r="AI721" s="76">
        <f>IF(Entradas!$F$91&gt;0,D721*Entradas!$D$23/Escenarios!$F$16,0)</f>
        <v>0.22114076221985168</v>
      </c>
      <c r="AJ721" s="76">
        <f>IF(Entradas!$F$91&gt;0,Entradas!$D$24*Entradas!$D$22/Escenarios!$F$16,0)</f>
        <v>0.12</v>
      </c>
      <c r="AK721" s="76">
        <f t="shared" si="156"/>
        <v>3.0249269152878182</v>
      </c>
      <c r="AL721" s="76">
        <f t="shared" si="157"/>
        <v>0</v>
      </c>
      <c r="AM721" s="76">
        <f t="shared" si="158"/>
        <v>0</v>
      </c>
      <c r="AN721" s="76">
        <f>MAX(0,O721*Escenarios!$F$13/Escenarios!$F$16-AM721)</f>
        <v>0.16272786432658429</v>
      </c>
      <c r="AO721" s="76">
        <f>AM721+AN721-O721*Escenarios!$F$13/Escenarios!$F$16</f>
        <v>0</v>
      </c>
      <c r="AP721" s="76">
        <f t="shared" si="159"/>
        <v>9.4731091812687795E-2</v>
      </c>
      <c r="AQ721" s="76">
        <f t="shared" si="160"/>
        <v>0</v>
      </c>
      <c r="AR721" s="76">
        <f t="shared" si="161"/>
        <v>0.25745895613927205</v>
      </c>
      <c r="AS721" s="76">
        <f t="shared" si="162"/>
        <v>0</v>
      </c>
      <c r="AT721" s="76">
        <f t="shared" si="163"/>
        <v>0</v>
      </c>
      <c r="AU721" s="76">
        <f t="shared" si="164"/>
        <v>49.008549442320287</v>
      </c>
      <c r="AV721" s="76">
        <f>MAX(0,(AU721-Constantes!$D$13)*(1-EXP(-Constantes!$D$24)))</f>
        <v>3.9519921045306165E-3</v>
      </c>
      <c r="AW721" s="170">
        <f>AW720+(Entradas!$F$112*AT721-AX720)/(800*Entradas!$D$25)</f>
        <v>0</v>
      </c>
      <c r="AX721" s="170">
        <f>8000*Entradas!$D$26*AW721/Constantes!$F$45</f>
        <v>0</v>
      </c>
      <c r="AY721" s="170">
        <f>IF(Escenarios!$F$17&gt;0,10*Escenarios!$F$16*AL721,0)</f>
        <v>0</v>
      </c>
      <c r="AZ721" s="170">
        <f>IF(Escenarios!$F$17&gt;0,10*Escenarios!$F$16*AX721,0)</f>
        <v>0</v>
      </c>
      <c r="BA721" s="170">
        <f>IF(Escenarios!$F$17&gt;0,0.001*Observaciones!$F720*Escenarios!$F$17,0)</f>
        <v>0</v>
      </c>
      <c r="BB721" s="170">
        <f>IF(Escenarios!$F$17&gt;0,Observaciones!$K720,0)</f>
        <v>0</v>
      </c>
      <c r="BC721" s="170">
        <f>IF(Escenarios!$F$17&gt;0,MIN(0.0005*ETo!$M720*Escenarios!$F$17*(BG720/Constantes!$F$40)^(2/3),BG720+AY721+AZ721+BA721+BB721),0)</f>
        <v>0</v>
      </c>
      <c r="BD721" s="170">
        <f>IF(Escenarios!$F$17&gt;0,MIN(Constantes!$F$39*(BG720/Constantes!$F$40)^(2/3),BG720+AY721+AZ721+BA721+BB721-BC721),0)</f>
        <v>0</v>
      </c>
      <c r="BE721" s="170">
        <f>IF(Escenarios!$F$17&gt;0,MIN(Entradas!$F$113,BG720+AY721+AZ721+BA721+BB721-BC721-BD721),0)</f>
        <v>0</v>
      </c>
      <c r="BF721" s="170">
        <f>IF(Escenarios!$F$17&gt;0,MAX(0,BG720+AY721+AZ721+BA721+BB721-BC721-BD721-BE721-Constantes!$F$40),0)</f>
        <v>0</v>
      </c>
      <c r="BG721" s="170">
        <f t="shared" si="165"/>
        <v>0</v>
      </c>
      <c r="BH721" s="170">
        <f>(Escenarios!$F$16*AK721+0.1*BC721)/(Escenarios!$F$19)</f>
        <v>3.0249269152878182</v>
      </c>
      <c r="BI721" s="170">
        <f>IF(Escenarios!$F$17&gt;0,BF721/10/Escenarios!$F$19,AL721)</f>
        <v>0</v>
      </c>
      <c r="BJ721" s="170">
        <f>(Escenarios!$F$16*AT721+0.1*BD721)/(Escenarios!$F$19)</f>
        <v>0</v>
      </c>
      <c r="BK721" s="76">
        <f>BK720+(0.1*BD721)/(Escenarios!$F$19)-BL720</f>
        <v>48.75</v>
      </c>
      <c r="BL721" s="76">
        <f>MAX(0,(BK721-Constantes!$D$13)*(1-EXP(-Constantes!$D$23)))</f>
        <v>0</v>
      </c>
      <c r="BM721" s="76">
        <f t="shared" si="166"/>
        <v>9.8683083917218417E-2</v>
      </c>
      <c r="BN721" s="76">
        <f t="shared" si="167"/>
        <v>0.26141094824380268</v>
      </c>
      <c r="BO721" s="76">
        <f>0.0526*BI721*Observaciones!$F720^1.218</f>
        <v>0</v>
      </c>
      <c r="BP721" s="76">
        <f>BO721*Constantes!$F$51</f>
        <v>0</v>
      </c>
      <c r="BQ721" s="76">
        <f t="shared" si="168"/>
        <v>0</v>
      </c>
      <c r="BR721" s="40"/>
    </row>
    <row r="722" spans="2:70">
      <c r="B722" s="39"/>
      <c r="C722" s="75">
        <v>716</v>
      </c>
      <c r="D722" s="146">
        <f>ETo!$I721*((1-Constantes!$F$19)*ETo!$K721+ETo!$L721)</f>
        <v>4.4535582824982125</v>
      </c>
      <c r="E722" s="76">
        <f>MIN(D722*Constantes!$F$17,0.8*(N721+Observaciones!$F721-F722-M722-Constantes!$D$14))</f>
        <v>2.5399166517058789</v>
      </c>
      <c r="F722" s="76">
        <f>IF(Observaciones!$F721&gt;0.05*Constantes!$F$18,((Observaciones!$F721-0.05*Constantes!$F$18)^2)/(Observaciones!$F721+0.95*Constantes!$F$18),0)</f>
        <v>0</v>
      </c>
      <c r="G722" s="76">
        <f>IF(Escenarios!$F$11&gt;0,(F722*Escenarios!$F$16*10000)/1000,0)</f>
        <v>0</v>
      </c>
      <c r="H722" s="76">
        <f>IF(Escenarios!$F$11&gt;0,(Observaciones!$F721*Constantes!$F$29)/1000,0)</f>
        <v>0</v>
      </c>
      <c r="I722" s="76">
        <f>IF(Escenarios!$F$11&gt;0,(D722*Constantes!$F$29)/1000,0)</f>
        <v>0</v>
      </c>
      <c r="J722" s="76">
        <f>IF(Escenarios!$F$11&gt;0,MAX(0,G722+H722-I722),0)</f>
        <v>0</v>
      </c>
      <c r="K722" s="76">
        <f>IF(Escenarios!$F$11&gt;0,IF(J722&gt;Constantes!$F$30,1000*((J722-Constantes!$F$30)/(Escenarios!$F$16*10000)),0),F722)</f>
        <v>0</v>
      </c>
      <c r="L722" s="76">
        <f>IF(Escenarios!$F$11&gt;0,I722*1000/Escenarios!$F$16/10000+E722,E722)</f>
        <v>2.5399166517058789</v>
      </c>
      <c r="M722" s="76">
        <f>MAX(0,N721+Observaciones!$F721-K722-Constantes!$D$13)</f>
        <v>0</v>
      </c>
      <c r="N722" s="76">
        <f>N721+Observaciones!$F721-K722-L722-M722-O721</f>
        <v>15.753764817042272</v>
      </c>
      <c r="O722" s="76">
        <f>MAX(0,(N722-Constantes!$D$14)*(1-EXP(-Constantes!$D$22)))</f>
        <v>0.15341476332758092</v>
      </c>
      <c r="P722" s="170">
        <f>P721+(Entradas!$F$83*M722-Q721)/(800*Entradas!$D$25)</f>
        <v>0</v>
      </c>
      <c r="Q722" s="170">
        <f>8000*Entradas!$D$26*P722/Constantes!$F$45</f>
        <v>0</v>
      </c>
      <c r="R722" s="170">
        <f>IF(Escenarios!$F$14&gt;0,K722*Escenarios!$F$13/Escenarios!$F$14,0)</f>
        <v>0</v>
      </c>
      <c r="S722" s="170">
        <f>IF(Escenarios!$F$14&gt;0,Q722*Escenarios!$F$13/Escenarios!$F$14,0)</f>
        <v>0</v>
      </c>
      <c r="T722" s="170">
        <f>IF(Escenarios!$F$14&gt;0,Observaciones!$I721,0)</f>
        <v>0</v>
      </c>
      <c r="U722" s="170">
        <f>IF(Escenarios!$F$14&gt;0,MAX(0,Constantes!$F$36/((Z721+R722+S722+T722+Observaciones!$F721)^2)+Entradas!$F$77),0)</f>
        <v>0</v>
      </c>
      <c r="V722" s="146">
        <f>IF(ETo!D721&gt;0,ETo!I721*((1-Entradas!$F$81)*ETo!K721+ETo!L721),0)</f>
        <v>3.9579712278625352</v>
      </c>
      <c r="W722" s="170">
        <f>IF(Escenarios!$F$14&gt;0,MIN(V722*1,0.8*(Z721+R722+S722+T722+Observaciones!$F721-U722-Constantes!$F$35)),0)</f>
        <v>3.9579712278625352</v>
      </c>
      <c r="X722" s="170">
        <f>IF(Escenarios!$F$14&gt;0,Observaciones!$J721,0)</f>
        <v>0</v>
      </c>
      <c r="Y722" s="170">
        <f>IF(Escenarios!$F$14&gt;0,MAX(0,Z721+R722+S722+T722+Observaciones!$F721-U722-W722-X722-Constantes!$F$33),0)</f>
        <v>0</v>
      </c>
      <c r="Z722" s="170">
        <f>Z721+R722+S722+T722+Observaciones!$F721-U722-W722-Y722</f>
        <v>43.044151778207983</v>
      </c>
      <c r="AA722" s="170">
        <f>IF(Escenarios!$F$14&gt;0,(Escenarios!$F$13*L722+Escenarios!$F$14*W722)/(Escenarios!$F$16),L722)</f>
        <v>2.7100832008446774</v>
      </c>
      <c r="AB722" s="170">
        <f>IF(Escenarios!$F$14&gt;0,(Escenarios!$F$14*Y722)/(Escenarios!$F$16),K722)</f>
        <v>0</v>
      </c>
      <c r="AC722" s="170">
        <f>IF(Escenarios!$F$14&gt;0,(Escenarios!$F$13*M722+Escenarios!$F$14*U722)/(Escenarios!$F$16),M722)</f>
        <v>0</v>
      </c>
      <c r="AD722" s="76">
        <f t="shared" si="155"/>
        <v>58.269477970046317</v>
      </c>
      <c r="AE722" s="76">
        <f>MAX(0,(AD722-Constantes!$D$13)*(1-EXP(-Constantes!$D$23)))</f>
        <v>9.3797683801869175E-2</v>
      </c>
      <c r="AF722" s="76">
        <f>AB722+O722*Escenarios!$F$13/Escenarios!$F$16+AE722</f>
        <v>0.22880267553014036</v>
      </c>
      <c r="AG722" s="76">
        <f>IF(Entradas!$F$91&gt;0,IF(AF722-Escenarios!$F$38&lt;=0,0,IF(AF722-Escenarios!$F$38&gt;Escenarios!$F$37,Escenarios!$F$37,AF722-Escenarios!$F$38)),0)</f>
        <v>0</v>
      </c>
      <c r="AH722" s="76">
        <f>AG722*Entradas!$F$99</f>
        <v>0</v>
      </c>
      <c r="AI722" s="76">
        <f>IF(Entradas!$F$91&gt;0,D722*Entradas!$D$23/Escenarios!$F$16,0)</f>
        <v>0.21377079755991421</v>
      </c>
      <c r="AJ722" s="76">
        <f>IF(Entradas!$F$91&gt;0,Entradas!$D$24*Entradas!$D$22/Escenarios!$F$16,0)</f>
        <v>0.12</v>
      </c>
      <c r="AK722" s="76">
        <f t="shared" si="156"/>
        <v>2.9238539984045917</v>
      </c>
      <c r="AL722" s="76">
        <f t="shared" si="157"/>
        <v>0</v>
      </c>
      <c r="AM722" s="76">
        <f t="shared" si="158"/>
        <v>0</v>
      </c>
      <c r="AN722" s="76">
        <f>MAX(0,O722*Escenarios!$F$13/Escenarios!$F$16-AM722)</f>
        <v>0.13500499172827118</v>
      </c>
      <c r="AO722" s="76">
        <f>AM722+AN722-O722*Escenarios!$F$13/Escenarios!$F$16</f>
        <v>0</v>
      </c>
      <c r="AP722" s="76">
        <f t="shared" si="159"/>
        <v>9.3797683801869175E-2</v>
      </c>
      <c r="AQ722" s="76">
        <f t="shared" si="160"/>
        <v>0</v>
      </c>
      <c r="AR722" s="76">
        <f t="shared" si="161"/>
        <v>0.22880267553014036</v>
      </c>
      <c r="AS722" s="76">
        <f t="shared" si="162"/>
        <v>0</v>
      </c>
      <c r="AT722" s="76">
        <f t="shared" si="163"/>
        <v>0</v>
      </c>
      <c r="AU722" s="76">
        <f t="shared" si="164"/>
        <v>49.004597450215755</v>
      </c>
      <c r="AV722" s="76">
        <f>MAX(0,(AU722-Constantes!$D$13)*(1-EXP(-Constantes!$D$24)))</f>
        <v>3.8915849288116591E-3</v>
      </c>
      <c r="AW722" s="170">
        <f>AW721+(Entradas!$F$112*AT722-AX721)/(800*Entradas!$D$25)</f>
        <v>0</v>
      </c>
      <c r="AX722" s="170">
        <f>8000*Entradas!$D$26*AW722/Constantes!$F$45</f>
        <v>0</v>
      </c>
      <c r="AY722" s="170">
        <f>IF(Escenarios!$F$17&gt;0,10*Escenarios!$F$16*AL722,0)</f>
        <v>0</v>
      </c>
      <c r="AZ722" s="170">
        <f>IF(Escenarios!$F$17&gt;0,10*Escenarios!$F$16*AX722,0)</f>
        <v>0</v>
      </c>
      <c r="BA722" s="170">
        <f>IF(Escenarios!$F$17&gt;0,0.001*Observaciones!$F721*Escenarios!$F$17,0)</f>
        <v>0</v>
      </c>
      <c r="BB722" s="170">
        <f>IF(Escenarios!$F$17&gt;0,Observaciones!$K721,0)</f>
        <v>0</v>
      </c>
      <c r="BC722" s="170">
        <f>IF(Escenarios!$F$17&gt;0,MIN(0.0005*ETo!$M721*Escenarios!$F$17*(BG721/Constantes!$F$40)^(2/3),BG721+AY722+AZ722+BA722+BB722),0)</f>
        <v>0</v>
      </c>
      <c r="BD722" s="170">
        <f>IF(Escenarios!$F$17&gt;0,MIN(Constantes!$F$39*(BG721/Constantes!$F$40)^(2/3),BG721+AY722+AZ722+BA722+BB722-BC722),0)</f>
        <v>0</v>
      </c>
      <c r="BE722" s="170">
        <f>IF(Escenarios!$F$17&gt;0,MIN(Entradas!$F$113,BG721+AY722+AZ722+BA722+BB722-BC722-BD722),0)</f>
        <v>0</v>
      </c>
      <c r="BF722" s="170">
        <f>IF(Escenarios!$F$17&gt;0,MAX(0,BG721+AY722+AZ722+BA722+BB722-BC722-BD722-BE722-Constantes!$F$40),0)</f>
        <v>0</v>
      </c>
      <c r="BG722" s="170">
        <f t="shared" si="165"/>
        <v>0</v>
      </c>
      <c r="BH722" s="170">
        <f>(Escenarios!$F$16*AK722+0.1*BC722)/(Escenarios!$F$19)</f>
        <v>2.9238539984045917</v>
      </c>
      <c r="BI722" s="170">
        <f>IF(Escenarios!$F$17&gt;0,BF722/10/Escenarios!$F$19,AL722)</f>
        <v>0</v>
      </c>
      <c r="BJ722" s="170">
        <f>(Escenarios!$F$16*AT722+0.1*BD722)/(Escenarios!$F$19)</f>
        <v>0</v>
      </c>
      <c r="BK722" s="76">
        <f>BK721+(0.1*BD722)/(Escenarios!$F$19)-BL721</f>
        <v>48.75</v>
      </c>
      <c r="BL722" s="76">
        <f>MAX(0,(BK722-Constantes!$D$13)*(1-EXP(-Constantes!$D$23)))</f>
        <v>0</v>
      </c>
      <c r="BM722" s="76">
        <f t="shared" si="166"/>
        <v>9.7689268730680831E-2</v>
      </c>
      <c r="BN722" s="76">
        <f t="shared" si="167"/>
        <v>0.23269426045895203</v>
      </c>
      <c r="BO722" s="76">
        <f>0.0526*BI722*Observaciones!$F721^1.218</f>
        <v>0</v>
      </c>
      <c r="BP722" s="76">
        <f>BO722*Constantes!$F$51</f>
        <v>0</v>
      </c>
      <c r="BQ722" s="76">
        <f t="shared" si="168"/>
        <v>0</v>
      </c>
      <c r="BR722" s="40"/>
    </row>
    <row r="723" spans="2:70">
      <c r="B723" s="39"/>
      <c r="C723" s="75">
        <v>717</v>
      </c>
      <c r="D723" s="146">
        <f>ETo!$I722*((1-Constantes!$F$19)*ETo!$K722+ETo!$L722)</f>
        <v>4.4209292482441835</v>
      </c>
      <c r="E723" s="76">
        <f>MIN(D723*Constantes!$F$17,0.8*(N722+Observaciones!$F722-F723-M723-Constantes!$D$14))</f>
        <v>2.5213079298313779</v>
      </c>
      <c r="F723" s="76">
        <f>IF(Observaciones!$F722&gt;0.05*Constantes!$F$18,((Observaciones!$F722-0.05*Constantes!$F$18)^2)/(Observaciones!$F722+0.95*Constantes!$F$18),0)</f>
        <v>0</v>
      </c>
      <c r="G723" s="76">
        <f>IF(Escenarios!$F$11&gt;0,(F723*Escenarios!$F$16*10000)/1000,0)</f>
        <v>0</v>
      </c>
      <c r="H723" s="76">
        <f>IF(Escenarios!$F$11&gt;0,(Observaciones!$F722*Constantes!$F$29)/1000,0)</f>
        <v>0</v>
      </c>
      <c r="I723" s="76">
        <f>IF(Escenarios!$F$11&gt;0,(D723*Constantes!$F$29)/1000,0)</f>
        <v>0</v>
      </c>
      <c r="J723" s="76">
        <f>IF(Escenarios!$F$11&gt;0,MAX(0,G723+H723-I723),0)</f>
        <v>0</v>
      </c>
      <c r="K723" s="76">
        <f>IF(Escenarios!$F$11&gt;0,IF(J723&gt;Constantes!$F$30,1000*((J723-Constantes!$F$30)/(Escenarios!$F$16*10000)),0),F723)</f>
        <v>0</v>
      </c>
      <c r="L723" s="76">
        <f>IF(Escenarios!$F$11&gt;0,I723*1000/Escenarios!$F$16/10000+E723,E723)</f>
        <v>2.5213079298313779</v>
      </c>
      <c r="M723" s="76">
        <f>MAX(0,N722+Observaciones!$F722-K723-Constantes!$D$13)</f>
        <v>0</v>
      </c>
      <c r="N723" s="76">
        <f>N722+Observaciones!$F722-K723-L723-M723-O722</f>
        <v>13.679042123883313</v>
      </c>
      <c r="O723" s="76">
        <f>MAX(0,(N723-Constantes!$D$14)*(1-EXP(-Constantes!$D$22)))</f>
        <v>8.2742091935655626E-2</v>
      </c>
      <c r="P723" s="170">
        <f>P722+(Entradas!$F$83*M723-Q722)/(800*Entradas!$D$25)</f>
        <v>0</v>
      </c>
      <c r="Q723" s="170">
        <f>8000*Entradas!$D$26*P723/Constantes!$F$45</f>
        <v>0</v>
      </c>
      <c r="R723" s="170">
        <f>IF(Escenarios!$F$14&gt;0,K723*Escenarios!$F$13/Escenarios!$F$14,0)</f>
        <v>0</v>
      </c>
      <c r="S723" s="170">
        <f>IF(Escenarios!$F$14&gt;0,Q723*Escenarios!$F$13/Escenarios!$F$14,0)</f>
        <v>0</v>
      </c>
      <c r="T723" s="170">
        <f>IF(Escenarios!$F$14&gt;0,Observaciones!$I722,0)</f>
        <v>0</v>
      </c>
      <c r="U723" s="170">
        <f>IF(Escenarios!$F$14&gt;0,MAX(0,Constantes!$F$36/((Z722+R723+S723+T723+Observaciones!$F722)^2)+Entradas!$F$77),0)</f>
        <v>0</v>
      </c>
      <c r="V723" s="146">
        <f>IF(ETo!D722&gt;0,ETo!I722*((1-Entradas!$F$81)*ETo!K722+ETo!L722),0)</f>
        <v>3.9285758859375788</v>
      </c>
      <c r="W723" s="170">
        <f>IF(Escenarios!$F$14&gt;0,MIN(V723*1,0.8*(Z722+R723+S723+T723+Observaciones!$F722-U723-Constantes!$F$35)),0)</f>
        <v>1.9153214225663875</v>
      </c>
      <c r="X723" s="170">
        <f>IF(Escenarios!$F$14&gt;0,Observaciones!$J722,0)</f>
        <v>0</v>
      </c>
      <c r="Y723" s="170">
        <f>IF(Escenarios!$F$14&gt;0,MAX(0,Z722+R723+S723+T723+Observaciones!$F722-U723-W723-X723-Constantes!$F$33),0)</f>
        <v>0</v>
      </c>
      <c r="Z723" s="170">
        <f>Z722+R723+S723+T723+Observaciones!$F722-U723-W723-Y723</f>
        <v>41.728830355641598</v>
      </c>
      <c r="AA723" s="170">
        <f>IF(Escenarios!$F$14&gt;0,(Escenarios!$F$13*L723+Escenarios!$F$14*W723)/(Escenarios!$F$16),L723)</f>
        <v>2.4485895489595793</v>
      </c>
      <c r="AB723" s="170">
        <f>IF(Escenarios!$F$14&gt;0,(Escenarios!$F$14*Y723)/(Escenarios!$F$16),K723)</f>
        <v>0</v>
      </c>
      <c r="AC723" s="170">
        <f>IF(Escenarios!$F$14&gt;0,(Escenarios!$F$13*M723+Escenarios!$F$14*U723)/(Escenarios!$F$16),M723)</f>
        <v>0</v>
      </c>
      <c r="AD723" s="76">
        <f t="shared" si="155"/>
        <v>58.17568028624445</v>
      </c>
      <c r="AE723" s="76">
        <f>MAX(0,(AD723-Constantes!$D$13)*(1-EXP(-Constantes!$D$23)))</f>
        <v>9.2873472882501668E-2</v>
      </c>
      <c r="AF723" s="76">
        <f>AB723+O723*Escenarios!$F$13/Escenarios!$F$16+AE723</f>
        <v>0.16568651378587862</v>
      </c>
      <c r="AG723" s="76">
        <f>IF(Entradas!$F$91&gt;0,IF(AF723-Escenarios!$F$38&lt;=0,0,IF(AF723-Escenarios!$F$38&gt;Escenarios!$F$37,Escenarios!$F$37,AF723-Escenarios!$F$38)),0)</f>
        <v>0</v>
      </c>
      <c r="AH723" s="76">
        <f>AG723*Entradas!$F$99</f>
        <v>0</v>
      </c>
      <c r="AI723" s="76">
        <f>IF(Entradas!$F$91&gt;0,D723*Entradas!$D$23/Escenarios!$F$16,0)</f>
        <v>0.2122046039157208</v>
      </c>
      <c r="AJ723" s="76">
        <f>IF(Entradas!$F$91&gt;0,Entradas!$D$24*Entradas!$D$22/Escenarios!$F$16,0)</f>
        <v>0.12</v>
      </c>
      <c r="AK723" s="76">
        <f t="shared" si="156"/>
        <v>2.6607941528753001</v>
      </c>
      <c r="AL723" s="76">
        <f t="shared" si="157"/>
        <v>0</v>
      </c>
      <c r="AM723" s="76">
        <f t="shared" si="158"/>
        <v>0</v>
      </c>
      <c r="AN723" s="76">
        <f>MAX(0,O723*Escenarios!$F$13/Escenarios!$F$16-AM723)</f>
        <v>7.2813040903376952E-2</v>
      </c>
      <c r="AO723" s="76">
        <f>AM723+AN723-O723*Escenarios!$F$13/Escenarios!$F$16</f>
        <v>0</v>
      </c>
      <c r="AP723" s="76">
        <f t="shared" si="159"/>
        <v>9.2873472882501668E-2</v>
      </c>
      <c r="AQ723" s="76">
        <f t="shared" si="160"/>
        <v>0</v>
      </c>
      <c r="AR723" s="76">
        <f t="shared" si="161"/>
        <v>0.16568651378587862</v>
      </c>
      <c r="AS723" s="76">
        <f t="shared" si="162"/>
        <v>0</v>
      </c>
      <c r="AT723" s="76">
        <f t="shared" si="163"/>
        <v>0</v>
      </c>
      <c r="AU723" s="76">
        <f t="shared" si="164"/>
        <v>49.000705865286946</v>
      </c>
      <c r="AV723" s="76">
        <f>MAX(0,(AU723-Constantes!$D$13)*(1-EXP(-Constantes!$D$24)))</f>
        <v>3.8321010916981726E-3</v>
      </c>
      <c r="AW723" s="170">
        <f>AW722+(Entradas!$F$112*AT723-AX722)/(800*Entradas!$D$25)</f>
        <v>0</v>
      </c>
      <c r="AX723" s="170">
        <f>8000*Entradas!$D$26*AW723/Constantes!$F$45</f>
        <v>0</v>
      </c>
      <c r="AY723" s="170">
        <f>IF(Escenarios!$F$17&gt;0,10*Escenarios!$F$16*AL723,0)</f>
        <v>0</v>
      </c>
      <c r="AZ723" s="170">
        <f>IF(Escenarios!$F$17&gt;0,10*Escenarios!$F$16*AX723,0)</f>
        <v>0</v>
      </c>
      <c r="BA723" s="170">
        <f>IF(Escenarios!$F$17&gt;0,0.001*Observaciones!$F722*Escenarios!$F$17,0)</f>
        <v>0</v>
      </c>
      <c r="BB723" s="170">
        <f>IF(Escenarios!$F$17&gt;0,Observaciones!$K722,0)</f>
        <v>0</v>
      </c>
      <c r="BC723" s="170">
        <f>IF(Escenarios!$F$17&gt;0,MIN(0.0005*ETo!$M722*Escenarios!$F$17*(BG722/Constantes!$F$40)^(2/3),BG722+AY723+AZ723+BA723+BB723),0)</f>
        <v>0</v>
      </c>
      <c r="BD723" s="170">
        <f>IF(Escenarios!$F$17&gt;0,MIN(Constantes!$F$39*(BG722/Constantes!$F$40)^(2/3),BG722+AY723+AZ723+BA723+BB723-BC723),0)</f>
        <v>0</v>
      </c>
      <c r="BE723" s="170">
        <f>IF(Escenarios!$F$17&gt;0,MIN(Entradas!$F$113,BG722+AY723+AZ723+BA723+BB723-BC723-BD723),0)</f>
        <v>0</v>
      </c>
      <c r="BF723" s="170">
        <f>IF(Escenarios!$F$17&gt;0,MAX(0,BG722+AY723+AZ723+BA723+BB723-BC723-BD723-BE723-Constantes!$F$40),0)</f>
        <v>0</v>
      </c>
      <c r="BG723" s="170">
        <f t="shared" si="165"/>
        <v>0</v>
      </c>
      <c r="BH723" s="170">
        <f>(Escenarios!$F$16*AK723+0.1*BC723)/(Escenarios!$F$19)</f>
        <v>2.6607941528753001</v>
      </c>
      <c r="BI723" s="170">
        <f>IF(Escenarios!$F$17&gt;0,BF723/10/Escenarios!$F$19,AL723)</f>
        <v>0</v>
      </c>
      <c r="BJ723" s="170">
        <f>(Escenarios!$F$16*AT723+0.1*BD723)/(Escenarios!$F$19)</f>
        <v>0</v>
      </c>
      <c r="BK723" s="76">
        <f>BK722+(0.1*BD723)/(Escenarios!$F$19)-BL722</f>
        <v>48.75</v>
      </c>
      <c r="BL723" s="76">
        <f>MAX(0,(BK723-Constantes!$D$13)*(1-EXP(-Constantes!$D$23)))</f>
        <v>0</v>
      </c>
      <c r="BM723" s="76">
        <f t="shared" si="166"/>
        <v>9.6705573974199835E-2</v>
      </c>
      <c r="BN723" s="76">
        <f t="shared" si="167"/>
        <v>0.1695186148775768</v>
      </c>
      <c r="BO723" s="76">
        <f>0.0526*BI723*Observaciones!$F722^1.218</f>
        <v>0</v>
      </c>
      <c r="BP723" s="76">
        <f>BO723*Constantes!$F$51</f>
        <v>0</v>
      </c>
      <c r="BQ723" s="76">
        <f t="shared" si="168"/>
        <v>0</v>
      </c>
      <c r="BR723" s="40"/>
    </row>
    <row r="724" spans="2:70">
      <c r="B724" s="39"/>
      <c r="C724" s="75">
        <v>718</v>
      </c>
      <c r="D724" s="146">
        <f>ETo!$I723*((1-Constantes!$F$19)*ETo!$K723+ETo!$L723)</f>
        <v>4.4209099310707662</v>
      </c>
      <c r="E724" s="76">
        <f>MIN(D724*Constantes!$F$17,0.8*(N723+Observaciones!$F723-F724-M724-Constantes!$D$14))</f>
        <v>2.5212969130202545</v>
      </c>
      <c r="F724" s="76">
        <f>IF(Observaciones!$F723&gt;0.05*Constantes!$F$18,((Observaciones!$F723-0.05*Constantes!$F$18)^2)/(Observaciones!$F723+0.95*Constantes!$F$18),0)</f>
        <v>0.17157712602698141</v>
      </c>
      <c r="G724" s="76">
        <f>IF(Escenarios!$F$11&gt;0,(F724*Escenarios!$F$16*10000)/1000,0)</f>
        <v>0</v>
      </c>
      <c r="H724" s="76">
        <f>IF(Escenarios!$F$11&gt;0,(Observaciones!$F723*Constantes!$F$29)/1000,0)</f>
        <v>0</v>
      </c>
      <c r="I724" s="76">
        <f>IF(Escenarios!$F$11&gt;0,(D724*Constantes!$F$29)/1000,0)</f>
        <v>0</v>
      </c>
      <c r="J724" s="76">
        <f>IF(Escenarios!$F$11&gt;0,MAX(0,G724+H724-I724),0)</f>
        <v>0</v>
      </c>
      <c r="K724" s="76">
        <f>IF(Escenarios!$F$11&gt;0,IF(J724&gt;Constantes!$F$30,1000*((J724-Constantes!$F$30)/(Escenarios!$F$16*10000)),0),F724)</f>
        <v>0.17157712602698141</v>
      </c>
      <c r="L724" s="76">
        <f>IF(Escenarios!$F$11&gt;0,I724*1000/Escenarios!$F$16/10000+E724,E724)</f>
        <v>2.5212969130202545</v>
      </c>
      <c r="M724" s="76">
        <f>MAX(0,N723+Observaciones!$F723-K724-Constantes!$D$13)</f>
        <v>0</v>
      </c>
      <c r="N724" s="76">
        <f>N723+Observaciones!$F723-K724-L724-M724-O723</f>
        <v>28.103425992900419</v>
      </c>
      <c r="O724" s="76">
        <f>MAX(0,(N724-Constantes!$D$14)*(1-EXP(-Constantes!$D$22)))</f>
        <v>0.57408955951161733</v>
      </c>
      <c r="P724" s="170">
        <f>P723+(Entradas!$F$83*M724-Q723)/(800*Entradas!$D$25)</f>
        <v>0</v>
      </c>
      <c r="Q724" s="170">
        <f>8000*Entradas!$D$26*P724/Constantes!$F$45</f>
        <v>0</v>
      </c>
      <c r="R724" s="170">
        <f>IF(Escenarios!$F$14&gt;0,K724*Escenarios!$F$13/Escenarios!$F$14,0)</f>
        <v>1.2582322575311971</v>
      </c>
      <c r="S724" s="170">
        <f>IF(Escenarios!$F$14&gt;0,Q724*Escenarios!$F$13/Escenarios!$F$14,0)</f>
        <v>0</v>
      </c>
      <c r="T724" s="170">
        <f>IF(Escenarios!$F$14&gt;0,Observaciones!$I723,0)</f>
        <v>0</v>
      </c>
      <c r="U724" s="170">
        <f>IF(Escenarios!$F$14&gt;0,MAX(0,Constantes!$F$36/((Z723+R724+S724+T724+Observaciones!$F723)^2)+Entradas!$F$77),0)</f>
        <v>0.16582482234508289</v>
      </c>
      <c r="V724" s="146">
        <f>IF(ETo!D723&gt;0,ETo!I723*((1-Entradas!$F$81)*ETo!K723+ETo!L723),0)</f>
        <v>3.928558167823919</v>
      </c>
      <c r="W724" s="170">
        <f>IF(Escenarios!$F$14&gt;0,MIN(V724*1,0.8*(Z723+R724+S724+T724+Observaciones!$F723-U724-Constantes!$F$35)),0)</f>
        <v>3.928558167823919</v>
      </c>
      <c r="X724" s="170">
        <f>IF(Escenarios!$F$14&gt;0,Observaciones!$J723,0)</f>
        <v>0</v>
      </c>
      <c r="Y724" s="170">
        <f>IF(Escenarios!$F$14&gt;0,MAX(0,Z723+R724+S724+T724+Observaciones!$F723-U724-W724-X724-Constantes!$F$33),0)</f>
        <v>0</v>
      </c>
      <c r="Z724" s="170">
        <f>Z723+R724+S724+T724+Observaciones!$F723-U724-W724-Y724</f>
        <v>56.092679623003804</v>
      </c>
      <c r="AA724" s="170">
        <f>IF(Escenarios!$F$14&gt;0,(Escenarios!$F$13*L724+Escenarios!$F$14*W724)/(Escenarios!$F$16),L724)</f>
        <v>2.6901682635966946</v>
      </c>
      <c r="AB724" s="170">
        <f>IF(Escenarios!$F$14&gt;0,(Escenarios!$F$14*Y724)/(Escenarios!$F$16),K724)</f>
        <v>0</v>
      </c>
      <c r="AC724" s="170">
        <f>IF(Escenarios!$F$14&gt;0,(Escenarios!$F$13*M724+Escenarios!$F$14*U724)/(Escenarios!$F$16),M724)</f>
        <v>1.9898978681409947E-2</v>
      </c>
      <c r="AD724" s="76">
        <f t="shared" si="155"/>
        <v>58.102705792043359</v>
      </c>
      <c r="AE724" s="76">
        <f>MAX(0,(AD724-Constantes!$D$13)*(1-EXP(-Constantes!$D$23)))</f>
        <v>9.215443780996796E-2</v>
      </c>
      <c r="AF724" s="76">
        <f>AB724+O724*Escenarios!$F$13/Escenarios!$F$16+AE724</f>
        <v>0.59735325018019125</v>
      </c>
      <c r="AG724" s="76">
        <f>IF(Entradas!$F$91&gt;0,IF(AF724-Escenarios!$F$38&lt;=0,0,IF(AF724-Escenarios!$F$38&gt;Escenarios!$F$37,Escenarios!$F$37,AF724-Escenarios!$F$38)),0)</f>
        <v>0</v>
      </c>
      <c r="AH724" s="76">
        <f>AG724*Entradas!$F$99</f>
        <v>0</v>
      </c>
      <c r="AI724" s="76">
        <f>IF(Entradas!$F$91&gt;0,D724*Entradas!$D$23/Escenarios!$F$16,0)</f>
        <v>0.21220367669139675</v>
      </c>
      <c r="AJ724" s="76">
        <f>IF(Entradas!$F$91&gt;0,Entradas!$D$24*Entradas!$D$22/Escenarios!$F$16,0)</f>
        <v>0.12</v>
      </c>
      <c r="AK724" s="76">
        <f t="shared" si="156"/>
        <v>2.9023719402880914</v>
      </c>
      <c r="AL724" s="76">
        <f t="shared" si="157"/>
        <v>0</v>
      </c>
      <c r="AM724" s="76">
        <f t="shared" si="158"/>
        <v>0</v>
      </c>
      <c r="AN724" s="76">
        <f>MAX(0,O724*Escenarios!$F$13/Escenarios!$F$16-AM724)</f>
        <v>0.50519881237022324</v>
      </c>
      <c r="AO724" s="76">
        <f>AM724+AN724-O724*Escenarios!$F$13/Escenarios!$F$16</f>
        <v>0</v>
      </c>
      <c r="AP724" s="76">
        <f t="shared" si="159"/>
        <v>9.215443780996796E-2</v>
      </c>
      <c r="AQ724" s="76">
        <f t="shared" si="160"/>
        <v>0</v>
      </c>
      <c r="AR724" s="76">
        <f t="shared" si="161"/>
        <v>0.59735325018019125</v>
      </c>
      <c r="AS724" s="76">
        <f t="shared" si="162"/>
        <v>0</v>
      </c>
      <c r="AT724" s="76">
        <f t="shared" si="163"/>
        <v>1.9898978681409947E-2</v>
      </c>
      <c r="AU724" s="76">
        <f t="shared" si="164"/>
        <v>48.99687376419525</v>
      </c>
      <c r="AV724" s="76">
        <f>MAX(0,(AU724-Constantes!$D$13)*(1-EXP(-Constantes!$D$24)))</f>
        <v>3.7735264797313641E-3</v>
      </c>
      <c r="AW724" s="170">
        <f>AW723+(Entradas!$F$112*AT724-AX723)/(800*Entradas!$D$25)</f>
        <v>0</v>
      </c>
      <c r="AX724" s="170">
        <f>8000*Entradas!$D$26*AW724/Constantes!$F$45</f>
        <v>0</v>
      </c>
      <c r="AY724" s="170">
        <f>IF(Escenarios!$F$17&gt;0,10*Escenarios!$F$16*AL724,0)</f>
        <v>0</v>
      </c>
      <c r="AZ724" s="170">
        <f>IF(Escenarios!$F$17&gt;0,10*Escenarios!$F$16*AX724,0)</f>
        <v>0</v>
      </c>
      <c r="BA724" s="170">
        <f>IF(Escenarios!$F$17&gt;0,0.001*Observaciones!$F723*Escenarios!$F$17,0)</f>
        <v>0</v>
      </c>
      <c r="BB724" s="170">
        <f>IF(Escenarios!$F$17&gt;0,Observaciones!$K723,0)</f>
        <v>0</v>
      </c>
      <c r="BC724" s="170">
        <f>IF(Escenarios!$F$17&gt;0,MIN(0.0005*ETo!$M723*Escenarios!$F$17*(BG723/Constantes!$F$40)^(2/3),BG723+AY724+AZ724+BA724+BB724),0)</f>
        <v>0</v>
      </c>
      <c r="BD724" s="170">
        <f>IF(Escenarios!$F$17&gt;0,MIN(Constantes!$F$39*(BG723/Constantes!$F$40)^(2/3),BG723+AY724+AZ724+BA724+BB724-BC724),0)</f>
        <v>0</v>
      </c>
      <c r="BE724" s="170">
        <f>IF(Escenarios!$F$17&gt;0,MIN(Entradas!$F$113,BG723+AY724+AZ724+BA724+BB724-BC724-BD724),0)</f>
        <v>0</v>
      </c>
      <c r="BF724" s="170">
        <f>IF(Escenarios!$F$17&gt;0,MAX(0,BG723+AY724+AZ724+BA724+BB724-BC724-BD724-BE724-Constantes!$F$40),0)</f>
        <v>0</v>
      </c>
      <c r="BG724" s="170">
        <f t="shared" si="165"/>
        <v>0</v>
      </c>
      <c r="BH724" s="170">
        <f>(Escenarios!$F$16*AK724+0.1*BC724)/(Escenarios!$F$19)</f>
        <v>2.9023719402880914</v>
      </c>
      <c r="BI724" s="170">
        <f>IF(Escenarios!$F$17&gt;0,BF724/10/Escenarios!$F$19,AL724)</f>
        <v>0</v>
      </c>
      <c r="BJ724" s="170">
        <f>(Escenarios!$F$16*AT724+0.1*BD724)/(Escenarios!$F$19)</f>
        <v>1.9898978681409947E-2</v>
      </c>
      <c r="BK724" s="76">
        <f>BK723+(0.1*BD724)/(Escenarios!$F$19)-BL723</f>
        <v>48.75</v>
      </c>
      <c r="BL724" s="76">
        <f>MAX(0,(BK724-Constantes!$D$13)*(1-EXP(-Constantes!$D$23)))</f>
        <v>0</v>
      </c>
      <c r="BM724" s="76">
        <f t="shared" si="166"/>
        <v>9.5927964289699325E-2</v>
      </c>
      <c r="BN724" s="76">
        <f t="shared" si="167"/>
        <v>0.60112677665992265</v>
      </c>
      <c r="BO724" s="76">
        <f>0.0526*BI724*Observaciones!$F723^1.218</f>
        <v>0</v>
      </c>
      <c r="BP724" s="76">
        <f>BO724*Constantes!$F$51</f>
        <v>0</v>
      </c>
      <c r="BQ724" s="76">
        <f t="shared" si="168"/>
        <v>0</v>
      </c>
      <c r="BR724" s="40"/>
    </row>
    <row r="725" spans="2:70">
      <c r="B725" s="39"/>
      <c r="C725" s="75">
        <v>719</v>
      </c>
      <c r="D725" s="146">
        <f>ETo!$I724*((1-Constantes!$F$19)*ETo!$K724+ETo!$L724)</f>
        <v>4.5047021889990333</v>
      </c>
      <c r="E725" s="76">
        <f>MIN(D725*Constantes!$F$17,0.8*(N724+Observaciones!$F724-F725-M725-Constantes!$D$14))</f>
        <v>2.5690846229133548</v>
      </c>
      <c r="F725" s="76">
        <f>IF(Observaciones!$F724&gt;0.05*Constantes!$F$18,((Observaciones!$F724-0.05*Constantes!$F$18)^2)/(Observaciones!$F724+0.95*Constantes!$F$18),0)</f>
        <v>0</v>
      </c>
      <c r="G725" s="76">
        <f>IF(Escenarios!$F$11&gt;0,(F725*Escenarios!$F$16*10000)/1000,0)</f>
        <v>0</v>
      </c>
      <c r="H725" s="76">
        <f>IF(Escenarios!$F$11&gt;0,(Observaciones!$F724*Constantes!$F$29)/1000,0)</f>
        <v>0</v>
      </c>
      <c r="I725" s="76">
        <f>IF(Escenarios!$F$11&gt;0,(D725*Constantes!$F$29)/1000,0)</f>
        <v>0</v>
      </c>
      <c r="J725" s="76">
        <f>IF(Escenarios!$F$11&gt;0,MAX(0,G725+H725-I725),0)</f>
        <v>0</v>
      </c>
      <c r="K725" s="76">
        <f>IF(Escenarios!$F$11&gt;0,IF(J725&gt;Constantes!$F$30,1000*((J725-Constantes!$F$30)/(Escenarios!$F$16*10000)),0),F725)</f>
        <v>0</v>
      </c>
      <c r="L725" s="76">
        <f>IF(Escenarios!$F$11&gt;0,I725*1000/Escenarios!$F$16/10000+E725,E725)</f>
        <v>2.5690846229133548</v>
      </c>
      <c r="M725" s="76">
        <f>MAX(0,N724+Observaciones!$F724-K725-Constantes!$D$13)</f>
        <v>0</v>
      </c>
      <c r="N725" s="76">
        <f>N724+Observaciones!$F724-K725-L725-M725-O724</f>
        <v>24.960251810475448</v>
      </c>
      <c r="O725" s="76">
        <f>MAX(0,(N725-Constantes!$D$14)*(1-EXP(-Constantes!$D$22)))</f>
        <v>0.46702150802957576</v>
      </c>
      <c r="P725" s="170">
        <f>P724+(Entradas!$F$83*M725-Q724)/(800*Entradas!$D$25)</f>
        <v>0</v>
      </c>
      <c r="Q725" s="170">
        <f>8000*Entradas!$D$26*P725/Constantes!$F$45</f>
        <v>0</v>
      </c>
      <c r="R725" s="170">
        <f>IF(Escenarios!$F$14&gt;0,K725*Escenarios!$F$13/Escenarios!$F$14,0)</f>
        <v>0</v>
      </c>
      <c r="S725" s="170">
        <f>IF(Escenarios!$F$14&gt;0,Q725*Escenarios!$F$13/Escenarios!$F$14,0)</f>
        <v>0</v>
      </c>
      <c r="T725" s="170">
        <f>IF(Escenarios!$F$14&gt;0,Observaciones!$I724,0)</f>
        <v>0</v>
      </c>
      <c r="U725" s="170">
        <f>IF(Escenarios!$F$14&gt;0,MAX(0,Constantes!$F$36/((Z724+R725+S725+T725+Observaciones!$F724)^2)+Entradas!$F$77),0)</f>
        <v>0</v>
      </c>
      <c r="V725" s="146">
        <f>IF(ETo!D724&gt;0,ETo!I724*((1-Entradas!$F$81)*ETo!K724+ETo!L724),0)</f>
        <v>4.0041017103086167</v>
      </c>
      <c r="W725" s="170">
        <f>IF(Escenarios!$F$14&gt;0,MIN(V725*1,0.8*(Z724+R725+S725+T725+Observaciones!$F724-U725-Constantes!$F$35)),0)</f>
        <v>4.0041017103086167</v>
      </c>
      <c r="X725" s="170">
        <f>IF(Escenarios!$F$14&gt;0,Observaciones!$J724,0)</f>
        <v>0</v>
      </c>
      <c r="Y725" s="170">
        <f>IF(Escenarios!$F$14&gt;0,MAX(0,Z724+R725+S725+T725+Observaciones!$F724-U725-W725-X725-Constantes!$F$33),0)</f>
        <v>0</v>
      </c>
      <c r="Z725" s="170">
        <f>Z724+R725+S725+T725+Observaciones!$F724-U725-W725-Y725</f>
        <v>52.088577912695186</v>
      </c>
      <c r="AA725" s="170">
        <f>IF(Escenarios!$F$14&gt;0,(Escenarios!$F$13*L725+Escenarios!$F$14*W725)/(Escenarios!$F$16),L725)</f>
        <v>2.7412866734007864</v>
      </c>
      <c r="AB725" s="170">
        <f>IF(Escenarios!$F$14&gt;0,(Escenarios!$F$14*Y725)/(Escenarios!$F$16),K725)</f>
        <v>0</v>
      </c>
      <c r="AC725" s="170">
        <f>IF(Escenarios!$F$14&gt;0,(Escenarios!$F$13*M725+Escenarios!$F$14*U725)/(Escenarios!$F$16),M725)</f>
        <v>0</v>
      </c>
      <c r="AD725" s="76">
        <f t="shared" si="155"/>
        <v>58.010551354233392</v>
      </c>
      <c r="AE725" s="76">
        <f>MAX(0,(AD725-Constantes!$D$13)*(1-EXP(-Constantes!$D$23)))</f>
        <v>9.1246418184749351E-2</v>
      </c>
      <c r="AF725" s="76">
        <f>AB725+O725*Escenarios!$F$13/Escenarios!$F$16+AE725</f>
        <v>0.502225345250776</v>
      </c>
      <c r="AG725" s="76">
        <f>IF(Entradas!$F$91&gt;0,IF(AF725-Escenarios!$F$38&lt;=0,0,IF(AF725-Escenarios!$F$38&gt;Escenarios!$F$37,Escenarios!$F$37,AF725-Escenarios!$F$38)),0)</f>
        <v>0</v>
      </c>
      <c r="AH725" s="76">
        <f>AG725*Entradas!$F$99</f>
        <v>0</v>
      </c>
      <c r="AI725" s="76">
        <f>IF(Entradas!$F$91&gt;0,D725*Entradas!$D$23/Escenarios!$F$16,0)</f>
        <v>0.2162257050719536</v>
      </c>
      <c r="AJ725" s="76">
        <f>IF(Entradas!$F$91&gt;0,Entradas!$D$24*Entradas!$D$22/Escenarios!$F$16,0)</f>
        <v>0.12</v>
      </c>
      <c r="AK725" s="76">
        <f t="shared" si="156"/>
        <v>2.9575123784727397</v>
      </c>
      <c r="AL725" s="76">
        <f t="shared" si="157"/>
        <v>0</v>
      </c>
      <c r="AM725" s="76">
        <f t="shared" si="158"/>
        <v>0</v>
      </c>
      <c r="AN725" s="76">
        <f>MAX(0,O725*Escenarios!$F$13/Escenarios!$F$16-AM725)</f>
        <v>0.41097892706602662</v>
      </c>
      <c r="AO725" s="76">
        <f>AM725+AN725-O725*Escenarios!$F$13/Escenarios!$F$16</f>
        <v>0</v>
      </c>
      <c r="AP725" s="76">
        <f t="shared" si="159"/>
        <v>9.1246418184749351E-2</v>
      </c>
      <c r="AQ725" s="76">
        <f t="shared" si="160"/>
        <v>0</v>
      </c>
      <c r="AR725" s="76">
        <f t="shared" si="161"/>
        <v>0.502225345250776</v>
      </c>
      <c r="AS725" s="76">
        <f t="shared" si="162"/>
        <v>0</v>
      </c>
      <c r="AT725" s="76">
        <f t="shared" si="163"/>
        <v>0</v>
      </c>
      <c r="AU725" s="76">
        <f t="shared" si="164"/>
        <v>48.993100237715517</v>
      </c>
      <c r="AV725" s="76">
        <f>MAX(0,(AU725-Constantes!$D$13)*(1-EXP(-Constantes!$D$24)))</f>
        <v>3.7158471951801732E-3</v>
      </c>
      <c r="AW725" s="170">
        <f>AW724+(Entradas!$F$112*AT725-AX724)/(800*Entradas!$D$25)</f>
        <v>0</v>
      </c>
      <c r="AX725" s="170">
        <f>8000*Entradas!$D$26*AW725/Constantes!$F$45</f>
        <v>0</v>
      </c>
      <c r="AY725" s="170">
        <f>IF(Escenarios!$F$17&gt;0,10*Escenarios!$F$16*AL725,0)</f>
        <v>0</v>
      </c>
      <c r="AZ725" s="170">
        <f>IF(Escenarios!$F$17&gt;0,10*Escenarios!$F$16*AX725,0)</f>
        <v>0</v>
      </c>
      <c r="BA725" s="170">
        <f>IF(Escenarios!$F$17&gt;0,0.001*Observaciones!$F724*Escenarios!$F$17,0)</f>
        <v>0</v>
      </c>
      <c r="BB725" s="170">
        <f>IF(Escenarios!$F$17&gt;0,Observaciones!$K724,0)</f>
        <v>0</v>
      </c>
      <c r="BC725" s="170">
        <f>IF(Escenarios!$F$17&gt;0,MIN(0.0005*ETo!$M724*Escenarios!$F$17*(BG724/Constantes!$F$40)^(2/3),BG724+AY725+AZ725+BA725+BB725),0)</f>
        <v>0</v>
      </c>
      <c r="BD725" s="170">
        <f>IF(Escenarios!$F$17&gt;0,MIN(Constantes!$F$39*(BG724/Constantes!$F$40)^(2/3),BG724+AY725+AZ725+BA725+BB725-BC725),0)</f>
        <v>0</v>
      </c>
      <c r="BE725" s="170">
        <f>IF(Escenarios!$F$17&gt;0,MIN(Entradas!$F$113,BG724+AY725+AZ725+BA725+BB725-BC725-BD725),0)</f>
        <v>0</v>
      </c>
      <c r="BF725" s="170">
        <f>IF(Escenarios!$F$17&gt;0,MAX(0,BG724+AY725+AZ725+BA725+BB725-BC725-BD725-BE725-Constantes!$F$40),0)</f>
        <v>0</v>
      </c>
      <c r="BG725" s="170">
        <f t="shared" si="165"/>
        <v>0</v>
      </c>
      <c r="BH725" s="170">
        <f>(Escenarios!$F$16*AK725+0.1*BC725)/(Escenarios!$F$19)</f>
        <v>2.9575123784727397</v>
      </c>
      <c r="BI725" s="170">
        <f>IF(Escenarios!$F$17&gt;0,BF725/10/Escenarios!$F$19,AL725)</f>
        <v>0</v>
      </c>
      <c r="BJ725" s="170">
        <f>(Escenarios!$F$16*AT725+0.1*BD725)/(Escenarios!$F$19)</f>
        <v>0</v>
      </c>
      <c r="BK725" s="76">
        <f>BK724+(0.1*BD725)/(Escenarios!$F$19)-BL724</f>
        <v>48.75</v>
      </c>
      <c r="BL725" s="76">
        <f>MAX(0,(BK725-Constantes!$D$13)*(1-EXP(-Constantes!$D$23)))</f>
        <v>0</v>
      </c>
      <c r="BM725" s="76">
        <f t="shared" si="166"/>
        <v>9.4962265379929522E-2</v>
      </c>
      <c r="BN725" s="76">
        <f t="shared" si="167"/>
        <v>0.50594119244595614</v>
      </c>
      <c r="BO725" s="76">
        <f>0.0526*BI725*Observaciones!$F724^1.218</f>
        <v>0</v>
      </c>
      <c r="BP725" s="76">
        <f>BO725*Constantes!$F$51</f>
        <v>0</v>
      </c>
      <c r="BQ725" s="76">
        <f t="shared" si="168"/>
        <v>0</v>
      </c>
      <c r="BR725" s="40"/>
    </row>
    <row r="726" spans="2:70">
      <c r="B726" s="39"/>
      <c r="C726" s="75">
        <v>720</v>
      </c>
      <c r="D726" s="146">
        <f>ETo!$I725*((1-Constantes!$F$19)*ETo!$K725+ETo!$L725)</f>
        <v>4.5046942003025015</v>
      </c>
      <c r="E726" s="76">
        <f>MIN(D726*Constantes!$F$17,0.8*(N725+Observaciones!$F725-F726-M726-Constantes!$D$14))</f>
        <v>2.5690800668657947</v>
      </c>
      <c r="F726" s="76">
        <f>IF(Observaciones!$F725&gt;0.05*Constantes!$F$18,((Observaciones!$F725-0.05*Constantes!$F$18)^2)/(Observaciones!$F725+0.95*Constantes!$F$18),0)</f>
        <v>0</v>
      </c>
      <c r="G726" s="76">
        <f>IF(Escenarios!$F$11&gt;0,(F726*Escenarios!$F$16*10000)/1000,0)</f>
        <v>0</v>
      </c>
      <c r="H726" s="76">
        <f>IF(Escenarios!$F$11&gt;0,(Observaciones!$F725*Constantes!$F$29)/1000,0)</f>
        <v>0</v>
      </c>
      <c r="I726" s="76">
        <f>IF(Escenarios!$F$11&gt;0,(D726*Constantes!$F$29)/1000,0)</f>
        <v>0</v>
      </c>
      <c r="J726" s="76">
        <f>IF(Escenarios!$F$11&gt;0,MAX(0,G726+H726-I726),0)</f>
        <v>0</v>
      </c>
      <c r="K726" s="76">
        <f>IF(Escenarios!$F$11&gt;0,IF(J726&gt;Constantes!$F$30,1000*((J726-Constantes!$F$30)/(Escenarios!$F$16*10000)),0),F726)</f>
        <v>0</v>
      </c>
      <c r="L726" s="76">
        <f>IF(Escenarios!$F$11&gt;0,I726*1000/Escenarios!$F$16/10000+E726,E726)</f>
        <v>2.5690800668657947</v>
      </c>
      <c r="M726" s="76">
        <f>MAX(0,N725+Observaciones!$F725-K726-Constantes!$D$13)</f>
        <v>0</v>
      </c>
      <c r="N726" s="76">
        <f>N725+Observaciones!$F725-K726-L726-M726-O725</f>
        <v>21.924150235580079</v>
      </c>
      <c r="O726" s="76">
        <f>MAX(0,(N726-Constantes!$D$14)*(1-EXP(-Constantes!$D$22)))</f>
        <v>0.36360074263158165</v>
      </c>
      <c r="P726" s="170">
        <f>P725+(Entradas!$F$83*M726-Q725)/(800*Entradas!$D$25)</f>
        <v>0</v>
      </c>
      <c r="Q726" s="170">
        <f>8000*Entradas!$D$26*P726/Constantes!$F$45</f>
        <v>0</v>
      </c>
      <c r="R726" s="170">
        <f>IF(Escenarios!$F$14&gt;0,K726*Escenarios!$F$13/Escenarios!$F$14,0)</f>
        <v>0</v>
      </c>
      <c r="S726" s="170">
        <f>IF(Escenarios!$F$14&gt;0,Q726*Escenarios!$F$13/Escenarios!$F$14,0)</f>
        <v>0</v>
      </c>
      <c r="T726" s="170">
        <f>IF(Escenarios!$F$14&gt;0,Observaciones!$I725,0)</f>
        <v>0</v>
      </c>
      <c r="U726" s="170">
        <f>IF(Escenarios!$F$14&gt;0,MAX(0,Constantes!$F$36/((Z725+R726+S726+T726+Observaciones!$F725)^2)+Entradas!$F$77),0)</f>
        <v>0</v>
      </c>
      <c r="V726" s="146">
        <f>IF(ETo!D725&gt;0,ETo!I725*((1-Entradas!$F$81)*ETo!K725+ETo!L725),0)</f>
        <v>4.0040943829098259</v>
      </c>
      <c r="W726" s="170">
        <f>IF(Escenarios!$F$14&gt;0,MIN(V726*1,0.8*(Z725+R726+S726+T726+Observaciones!$F725-U726-Constantes!$F$35)),0)</f>
        <v>4.0040943829098259</v>
      </c>
      <c r="X726" s="170">
        <f>IF(Escenarios!$F$14&gt;0,Observaciones!$J725,0)</f>
        <v>0</v>
      </c>
      <c r="Y726" s="170">
        <f>IF(Escenarios!$F$14&gt;0,MAX(0,Z725+R726+S726+T726+Observaciones!$F725-U726-W726-X726-Constantes!$F$33),0)</f>
        <v>0</v>
      </c>
      <c r="Z726" s="170">
        <f>Z725+R726+S726+T726+Observaciones!$F725-U726-W726-Y726</f>
        <v>48.084483529785359</v>
      </c>
      <c r="AA726" s="170">
        <f>IF(Escenarios!$F$14&gt;0,(Escenarios!$F$13*L726+Escenarios!$F$14*W726)/(Escenarios!$F$16),L726)</f>
        <v>2.7412817847910782</v>
      </c>
      <c r="AB726" s="170">
        <f>IF(Escenarios!$F$14&gt;0,(Escenarios!$F$14*Y726)/(Escenarios!$F$16),K726)</f>
        <v>0</v>
      </c>
      <c r="AC726" s="170">
        <f>IF(Escenarios!$F$14&gt;0,(Escenarios!$F$13*M726+Escenarios!$F$14*U726)/(Escenarios!$F$16),M726)</f>
        <v>0</v>
      </c>
      <c r="AD726" s="76">
        <f t="shared" si="155"/>
        <v>57.91930493604864</v>
      </c>
      <c r="AE726" s="76">
        <f>MAX(0,(AD726-Constantes!$D$13)*(1-EXP(-Constantes!$D$23)))</f>
        <v>9.0347345493171402E-2</v>
      </c>
      <c r="AF726" s="76">
        <f>AB726+O726*Escenarios!$F$13/Escenarios!$F$16+AE726</f>
        <v>0.41031599900896326</v>
      </c>
      <c r="AG726" s="76">
        <f>IF(Entradas!$F$91&gt;0,IF(AF726-Escenarios!$F$38&lt;=0,0,IF(AF726-Escenarios!$F$38&gt;Escenarios!$F$37,Escenarios!$F$37,AF726-Escenarios!$F$38)),0)</f>
        <v>0</v>
      </c>
      <c r="AH726" s="76">
        <f>AG726*Entradas!$F$99</f>
        <v>0</v>
      </c>
      <c r="AI726" s="76">
        <f>IF(Entradas!$F$91&gt;0,D726*Entradas!$D$23/Escenarios!$F$16,0)</f>
        <v>0.21622532161452004</v>
      </c>
      <c r="AJ726" s="76">
        <f>IF(Entradas!$F$91&gt;0,Entradas!$D$24*Entradas!$D$22/Escenarios!$F$16,0)</f>
        <v>0.12</v>
      </c>
      <c r="AK726" s="76">
        <f t="shared" si="156"/>
        <v>2.9575071064055982</v>
      </c>
      <c r="AL726" s="76">
        <f t="shared" si="157"/>
        <v>0</v>
      </c>
      <c r="AM726" s="76">
        <f t="shared" si="158"/>
        <v>0</v>
      </c>
      <c r="AN726" s="76">
        <f>MAX(0,O726*Escenarios!$F$13/Escenarios!$F$16-AM726)</f>
        <v>0.31996865351579185</v>
      </c>
      <c r="AO726" s="76">
        <f>AM726+AN726-O726*Escenarios!$F$13/Escenarios!$F$16</f>
        <v>0</v>
      </c>
      <c r="AP726" s="76">
        <f t="shared" si="159"/>
        <v>9.0347345493171402E-2</v>
      </c>
      <c r="AQ726" s="76">
        <f t="shared" si="160"/>
        <v>0</v>
      </c>
      <c r="AR726" s="76">
        <f t="shared" si="161"/>
        <v>0.41031599900896326</v>
      </c>
      <c r="AS726" s="76">
        <f t="shared" si="162"/>
        <v>0</v>
      </c>
      <c r="AT726" s="76">
        <f t="shared" si="163"/>
        <v>0</v>
      </c>
      <c r="AU726" s="76">
        <f t="shared" si="164"/>
        <v>48.989384390520335</v>
      </c>
      <c r="AV726" s="76">
        <f>MAX(0,(AU726-Constantes!$D$13)*(1-EXP(-Constantes!$D$24)))</f>
        <v>3.6590495527439267E-3</v>
      </c>
      <c r="AW726" s="170">
        <f>AW725+(Entradas!$F$112*AT726-AX725)/(800*Entradas!$D$25)</f>
        <v>0</v>
      </c>
      <c r="AX726" s="170">
        <f>8000*Entradas!$D$26*AW726/Constantes!$F$45</f>
        <v>0</v>
      </c>
      <c r="AY726" s="170">
        <f>IF(Escenarios!$F$17&gt;0,10*Escenarios!$F$16*AL726,0)</f>
        <v>0</v>
      </c>
      <c r="AZ726" s="170">
        <f>IF(Escenarios!$F$17&gt;0,10*Escenarios!$F$16*AX726,0)</f>
        <v>0</v>
      </c>
      <c r="BA726" s="170">
        <f>IF(Escenarios!$F$17&gt;0,0.001*Observaciones!$F725*Escenarios!$F$17,0)</f>
        <v>0</v>
      </c>
      <c r="BB726" s="170">
        <f>IF(Escenarios!$F$17&gt;0,Observaciones!$K725,0)</f>
        <v>0</v>
      </c>
      <c r="BC726" s="170">
        <f>IF(Escenarios!$F$17&gt;0,MIN(0.0005*ETo!$M725*Escenarios!$F$17*(BG725/Constantes!$F$40)^(2/3),BG725+AY726+AZ726+BA726+BB726),0)</f>
        <v>0</v>
      </c>
      <c r="BD726" s="170">
        <f>IF(Escenarios!$F$17&gt;0,MIN(Constantes!$F$39*(BG725/Constantes!$F$40)^(2/3),BG725+AY726+AZ726+BA726+BB726-BC726),0)</f>
        <v>0</v>
      </c>
      <c r="BE726" s="170">
        <f>IF(Escenarios!$F$17&gt;0,MIN(Entradas!$F$113,BG725+AY726+AZ726+BA726+BB726-BC726-BD726),0)</f>
        <v>0</v>
      </c>
      <c r="BF726" s="170">
        <f>IF(Escenarios!$F$17&gt;0,MAX(0,BG725+AY726+AZ726+BA726+BB726-BC726-BD726-BE726-Constantes!$F$40),0)</f>
        <v>0</v>
      </c>
      <c r="BG726" s="170">
        <f t="shared" si="165"/>
        <v>0</v>
      </c>
      <c r="BH726" s="170">
        <f>(Escenarios!$F$16*AK726+0.1*BC726)/(Escenarios!$F$19)</f>
        <v>2.9575071064055982</v>
      </c>
      <c r="BI726" s="170">
        <f>IF(Escenarios!$F$17&gt;0,BF726/10/Escenarios!$F$19,AL726)</f>
        <v>0</v>
      </c>
      <c r="BJ726" s="170">
        <f>(Escenarios!$F$16*AT726+0.1*BD726)/(Escenarios!$F$19)</f>
        <v>0</v>
      </c>
      <c r="BK726" s="76">
        <f>BK725+(0.1*BD726)/(Escenarios!$F$19)-BL725</f>
        <v>48.75</v>
      </c>
      <c r="BL726" s="76">
        <f>MAX(0,(BK726-Constantes!$D$13)*(1-EXP(-Constantes!$D$23)))</f>
        <v>0</v>
      </c>
      <c r="BM726" s="76">
        <f t="shared" si="166"/>
        <v>9.4006395045915334E-2</v>
      </c>
      <c r="BN726" s="76">
        <f t="shared" si="167"/>
        <v>0.41397504856170719</v>
      </c>
      <c r="BO726" s="76">
        <f>0.0526*BI726*Observaciones!$F725^1.218</f>
        <v>0</v>
      </c>
      <c r="BP726" s="76">
        <f>BO726*Constantes!$F$51</f>
        <v>0</v>
      </c>
      <c r="BQ726" s="76">
        <f t="shared" si="168"/>
        <v>0</v>
      </c>
      <c r="BR726" s="40"/>
    </row>
    <row r="727" spans="2:70">
      <c r="B727" s="39"/>
      <c r="C727" s="75">
        <v>721</v>
      </c>
      <c r="D727" s="146">
        <f>ETo!$I726*((1-Constantes!$F$19)*ETo!$K726+ETo!$L726)</f>
        <v>4.5233022882772245</v>
      </c>
      <c r="E727" s="76">
        <f>MIN(D727*Constantes!$F$17,0.8*(N726+Observaciones!$F726-F727-M727-Constantes!$D$14))</f>
        <v>2.5796924782244028</v>
      </c>
      <c r="F727" s="76">
        <f>IF(Observaciones!$F726&gt;0.05*Constantes!$F$18,((Observaciones!$F726-0.05*Constantes!$F$18)^2)/(Observaciones!$F726+0.95*Constantes!$F$18),0)</f>
        <v>5.2573489269537851E-2</v>
      </c>
      <c r="G727" s="76">
        <f>IF(Escenarios!$F$11&gt;0,(F727*Escenarios!$F$16*10000)/1000,0)</f>
        <v>0</v>
      </c>
      <c r="H727" s="76">
        <f>IF(Escenarios!$F$11&gt;0,(Observaciones!$F726*Constantes!$F$29)/1000,0)</f>
        <v>0</v>
      </c>
      <c r="I727" s="76">
        <f>IF(Escenarios!$F$11&gt;0,(D727*Constantes!$F$29)/1000,0)</f>
        <v>0</v>
      </c>
      <c r="J727" s="76">
        <f>IF(Escenarios!$F$11&gt;0,MAX(0,G727+H727-I727),0)</f>
        <v>0</v>
      </c>
      <c r="K727" s="76">
        <f>IF(Escenarios!$F$11&gt;0,IF(J727&gt;Constantes!$F$30,1000*((J727-Constantes!$F$30)/(Escenarios!$F$16*10000)),0),F727)</f>
        <v>5.2573489269537851E-2</v>
      </c>
      <c r="L727" s="76">
        <f>IF(Escenarios!$F$11&gt;0,I727*1000/Escenarios!$F$16/10000+E727,E727)</f>
        <v>2.5796924782244028</v>
      </c>
      <c r="M727" s="76">
        <f>MAX(0,N726+Observaciones!$F726-K727-Constantes!$D$13)</f>
        <v>0</v>
      </c>
      <c r="N727" s="76">
        <f>N726+Observaciones!$F726-K727-L727-M727-O726</f>
        <v>33.328283525454552</v>
      </c>
      <c r="O727" s="76">
        <f>MAX(0,(N727-Constantes!$D$14)*(1-EXP(-Constantes!$D$22)))</f>
        <v>0.7520673879150841</v>
      </c>
      <c r="P727" s="170">
        <f>P726+(Entradas!$F$83*M727-Q726)/(800*Entradas!$D$25)</f>
        <v>0</v>
      </c>
      <c r="Q727" s="170">
        <f>8000*Entradas!$D$26*P727/Constantes!$F$45</f>
        <v>0</v>
      </c>
      <c r="R727" s="170">
        <f>IF(Escenarios!$F$14&gt;0,K727*Escenarios!$F$13/Escenarios!$F$14,0)</f>
        <v>0.38553892130994427</v>
      </c>
      <c r="S727" s="170">
        <f>IF(Escenarios!$F$14&gt;0,Q727*Escenarios!$F$13/Escenarios!$F$14,0)</f>
        <v>0</v>
      </c>
      <c r="T727" s="170">
        <f>IF(Escenarios!$F$14&gt;0,Observaciones!$I726,0)</f>
        <v>0</v>
      </c>
      <c r="U727" s="170">
        <f>IF(Escenarios!$F$14&gt;0,MAX(0,Constantes!$F$36/((Z726+R727+S727+T727+Observaciones!$F726)^2)+Entradas!$F$77),0)</f>
        <v>0.4025586141191515</v>
      </c>
      <c r="V727" s="146">
        <f>IF(ETo!D726&gt;0,ETo!I726*((1-Entradas!$F$81)*ETo!K726+ETo!L726),0)</f>
        <v>4.0208961100274845</v>
      </c>
      <c r="W727" s="170">
        <f>IF(Escenarios!$F$14&gt;0,MIN(V727*1,0.8*(Z726+R727+S727+T727+Observaciones!$F726-U727-Constantes!$F$35)),0)</f>
        <v>4.0208961100274845</v>
      </c>
      <c r="X727" s="170">
        <f>IF(Escenarios!$F$14&gt;0,Observaciones!$J726,0)</f>
        <v>0</v>
      </c>
      <c r="Y727" s="170">
        <f>IF(Escenarios!$F$14&gt;0,MAX(0,Z726+R727+S727+T727+Observaciones!$F726-U727-W727-X727-Constantes!$F$33),0)</f>
        <v>0</v>
      </c>
      <c r="Z727" s="170">
        <f>Z726+R727+S727+T727+Observaciones!$F726-U727-W727-Y727</f>
        <v>58.446567726948665</v>
      </c>
      <c r="AA727" s="170">
        <f>IF(Escenarios!$F$14&gt;0,(Escenarios!$F$13*L727+Escenarios!$F$14*W727)/(Escenarios!$F$16),L727)</f>
        <v>2.7526369140407723</v>
      </c>
      <c r="AB727" s="170">
        <f>IF(Escenarios!$F$14&gt;0,(Escenarios!$F$14*Y727)/(Escenarios!$F$16),K727)</f>
        <v>0</v>
      </c>
      <c r="AC727" s="170">
        <f>IF(Escenarios!$F$14&gt;0,(Escenarios!$F$13*M727+Escenarios!$F$14*U727)/(Escenarios!$F$16),M727)</f>
        <v>4.8307033694298181E-2</v>
      </c>
      <c r="AD727" s="76">
        <f t="shared" si="155"/>
        <v>57.877264624249769</v>
      </c>
      <c r="AE727" s="76">
        <f>MAX(0,(AD727-Constantes!$D$13)*(1-EXP(-Constantes!$D$23)))</f>
        <v>8.9933112287794978E-2</v>
      </c>
      <c r="AF727" s="76">
        <f>AB727+O727*Escenarios!$F$13/Escenarios!$F$16+AE727</f>
        <v>0.751752413653069</v>
      </c>
      <c r="AG727" s="76">
        <f>IF(Entradas!$F$91&gt;0,IF(AF727-Escenarios!$F$38&lt;=0,0,IF(AF727-Escenarios!$F$38&gt;Escenarios!$F$37,Escenarios!$F$37,AF727-Escenarios!$F$38)),0)</f>
        <v>0</v>
      </c>
      <c r="AH727" s="76">
        <f>AG727*Entradas!$F$99</f>
        <v>0</v>
      </c>
      <c r="AI727" s="76">
        <f>IF(Entradas!$F$91&gt;0,D727*Entradas!$D$23/Escenarios!$F$16,0)</f>
        <v>0.21711850983730677</v>
      </c>
      <c r="AJ727" s="76">
        <f>IF(Entradas!$F$91&gt;0,Entradas!$D$24*Entradas!$D$22/Escenarios!$F$16,0)</f>
        <v>0.12</v>
      </c>
      <c r="AK727" s="76">
        <f t="shared" si="156"/>
        <v>2.969755423878079</v>
      </c>
      <c r="AL727" s="76">
        <f t="shared" si="157"/>
        <v>0</v>
      </c>
      <c r="AM727" s="76">
        <f t="shared" si="158"/>
        <v>0</v>
      </c>
      <c r="AN727" s="76">
        <f>MAX(0,O727*Escenarios!$F$13/Escenarios!$F$16-AM727)</f>
        <v>0.661819301365274</v>
      </c>
      <c r="AO727" s="76">
        <f>AM727+AN727-O727*Escenarios!$F$13/Escenarios!$F$16</f>
        <v>0</v>
      </c>
      <c r="AP727" s="76">
        <f t="shared" si="159"/>
        <v>8.9933112287794978E-2</v>
      </c>
      <c r="AQ727" s="76">
        <f t="shared" si="160"/>
        <v>0</v>
      </c>
      <c r="AR727" s="76">
        <f t="shared" si="161"/>
        <v>0.751752413653069</v>
      </c>
      <c r="AS727" s="76">
        <f t="shared" si="162"/>
        <v>0</v>
      </c>
      <c r="AT727" s="76">
        <f t="shared" si="163"/>
        <v>4.8307033694298181E-2</v>
      </c>
      <c r="AU727" s="76">
        <f t="shared" si="164"/>
        <v>48.985725340967591</v>
      </c>
      <c r="AV727" s="76">
        <f>MAX(0,(AU727-Constantes!$D$13)*(1-EXP(-Constantes!$D$24)))</f>
        <v>3.6031200763050625E-3</v>
      </c>
      <c r="AW727" s="170">
        <f>AW726+(Entradas!$F$112*AT727-AX726)/(800*Entradas!$D$25)</f>
        <v>0</v>
      </c>
      <c r="AX727" s="170">
        <f>8000*Entradas!$D$26*AW727/Constantes!$F$45</f>
        <v>0</v>
      </c>
      <c r="AY727" s="170">
        <f>IF(Escenarios!$F$17&gt;0,10*Escenarios!$F$16*AL727,0)</f>
        <v>0</v>
      </c>
      <c r="AZ727" s="170">
        <f>IF(Escenarios!$F$17&gt;0,10*Escenarios!$F$16*AX727,0)</f>
        <v>0</v>
      </c>
      <c r="BA727" s="170">
        <f>IF(Escenarios!$F$17&gt;0,0.001*Observaciones!$F726*Escenarios!$F$17,0)</f>
        <v>0</v>
      </c>
      <c r="BB727" s="170">
        <f>IF(Escenarios!$F$17&gt;0,Observaciones!$K726,0)</f>
        <v>0</v>
      </c>
      <c r="BC727" s="170">
        <f>IF(Escenarios!$F$17&gt;0,MIN(0.0005*ETo!$M726*Escenarios!$F$17*(BG726/Constantes!$F$40)^(2/3),BG726+AY727+AZ727+BA727+BB727),0)</f>
        <v>0</v>
      </c>
      <c r="BD727" s="170">
        <f>IF(Escenarios!$F$17&gt;0,MIN(Constantes!$F$39*(BG726/Constantes!$F$40)^(2/3),BG726+AY727+AZ727+BA727+BB727-BC727),0)</f>
        <v>0</v>
      </c>
      <c r="BE727" s="170">
        <f>IF(Escenarios!$F$17&gt;0,MIN(Entradas!$F$113,BG726+AY727+AZ727+BA727+BB727-BC727-BD727),0)</f>
        <v>0</v>
      </c>
      <c r="BF727" s="170">
        <f>IF(Escenarios!$F$17&gt;0,MAX(0,BG726+AY727+AZ727+BA727+BB727-BC727-BD727-BE727-Constantes!$F$40),0)</f>
        <v>0</v>
      </c>
      <c r="BG727" s="170">
        <f t="shared" si="165"/>
        <v>0</v>
      </c>
      <c r="BH727" s="170">
        <f>(Escenarios!$F$16*AK727+0.1*BC727)/(Escenarios!$F$19)</f>
        <v>2.969755423878079</v>
      </c>
      <c r="BI727" s="170">
        <f>IF(Escenarios!$F$17&gt;0,BF727/10/Escenarios!$F$19,AL727)</f>
        <v>0</v>
      </c>
      <c r="BJ727" s="170">
        <f>(Escenarios!$F$16*AT727+0.1*BD727)/(Escenarios!$F$19)</f>
        <v>4.8307033694298181E-2</v>
      </c>
      <c r="BK727" s="76">
        <f>BK726+(0.1*BD727)/(Escenarios!$F$19)-BL726</f>
        <v>48.75</v>
      </c>
      <c r="BL727" s="76">
        <f>MAX(0,(BK727-Constantes!$D$13)*(1-EXP(-Constantes!$D$23)))</f>
        <v>0</v>
      </c>
      <c r="BM727" s="76">
        <f t="shared" si="166"/>
        <v>9.3536232364100039E-2</v>
      </c>
      <c r="BN727" s="76">
        <f t="shared" si="167"/>
        <v>0.75535553372937403</v>
      </c>
      <c r="BO727" s="76">
        <f>0.0526*BI727*Observaciones!$F726^1.218</f>
        <v>0</v>
      </c>
      <c r="BP727" s="76">
        <f>BO727*Constantes!$F$51</f>
        <v>0</v>
      </c>
      <c r="BQ727" s="76">
        <f t="shared" si="168"/>
        <v>0</v>
      </c>
      <c r="BR727" s="40"/>
    </row>
    <row r="728" spans="2:70">
      <c r="B728" s="39"/>
      <c r="C728" s="75">
        <v>722</v>
      </c>
      <c r="D728" s="146">
        <f>ETo!$I727*((1-Constantes!$F$19)*ETo!$K727+ETo!$L727)</f>
        <v>4.6627793939151383</v>
      </c>
      <c r="E728" s="76">
        <f>MIN(D728*Constantes!$F$17,0.8*(N727+Observaciones!$F727-F728-M728-Constantes!$D$14))</f>
        <v>2.6592379114869842</v>
      </c>
      <c r="F728" s="76">
        <f>IF(Observaciones!$F727&gt;0.05*Constantes!$F$18,((Observaciones!$F727-0.05*Constantes!$F$18)^2)/(Observaciones!$F727+0.95*Constantes!$F$18),0)</f>
        <v>0</v>
      </c>
      <c r="G728" s="76">
        <f>IF(Escenarios!$F$11&gt;0,(F728*Escenarios!$F$16*10000)/1000,0)</f>
        <v>0</v>
      </c>
      <c r="H728" s="76">
        <f>IF(Escenarios!$F$11&gt;0,(Observaciones!$F727*Constantes!$F$29)/1000,0)</f>
        <v>0</v>
      </c>
      <c r="I728" s="76">
        <f>IF(Escenarios!$F$11&gt;0,(D728*Constantes!$F$29)/1000,0)</f>
        <v>0</v>
      </c>
      <c r="J728" s="76">
        <f>IF(Escenarios!$F$11&gt;0,MAX(0,G728+H728-I728),0)</f>
        <v>0</v>
      </c>
      <c r="K728" s="76">
        <f>IF(Escenarios!$F$11&gt;0,IF(J728&gt;Constantes!$F$30,1000*((J728-Constantes!$F$30)/(Escenarios!$F$16*10000)),0),F728)</f>
        <v>0</v>
      </c>
      <c r="L728" s="76">
        <f>IF(Escenarios!$F$11&gt;0,I728*1000/Escenarios!$F$16/10000+E728,E728)</f>
        <v>2.6592379114869842</v>
      </c>
      <c r="M728" s="76">
        <f>MAX(0,N727+Observaciones!$F727-K728-Constantes!$D$13)</f>
        <v>0</v>
      </c>
      <c r="N728" s="76">
        <f>N727+Observaciones!$F727-K728-L728-M728-O727</f>
        <v>32.116978226052488</v>
      </c>
      <c r="O728" s="76">
        <f>MAX(0,(N728-Constantes!$D$14)*(1-EXP(-Constantes!$D$22)))</f>
        <v>0.71080588262466082</v>
      </c>
      <c r="P728" s="170">
        <f>P727+(Entradas!$F$83*M728-Q727)/(800*Entradas!$D$25)</f>
        <v>0</v>
      </c>
      <c r="Q728" s="170">
        <f>8000*Entradas!$D$26*P728/Constantes!$F$45</f>
        <v>0</v>
      </c>
      <c r="R728" s="170">
        <f>IF(Escenarios!$F$14&gt;0,K728*Escenarios!$F$13/Escenarios!$F$14,0)</f>
        <v>0</v>
      </c>
      <c r="S728" s="170">
        <f>IF(Escenarios!$F$14&gt;0,Q728*Escenarios!$F$13/Escenarios!$F$14,0)</f>
        <v>0</v>
      </c>
      <c r="T728" s="170">
        <f>IF(Escenarios!$F$14&gt;0,Observaciones!$I727,0)</f>
        <v>0</v>
      </c>
      <c r="U728" s="170">
        <f>IF(Escenarios!$F$14&gt;0,MAX(0,Constantes!$F$36/((Z727+R728+S728+T728+Observaciones!$F727)^2)+Entradas!$F$77),0)</f>
        <v>0.20860990826055614</v>
      </c>
      <c r="V728" s="146">
        <f>IF(ETo!D727&gt;0,ETo!I727*((1-Entradas!$F$81)*ETo!K727+ETo!L727),0)</f>
        <v>4.1471370166821417</v>
      </c>
      <c r="W728" s="170">
        <f>IF(Escenarios!$F$14&gt;0,MIN(V728*1,0.8*(Z727+R728+S728+T728+Observaciones!$F727-U728-Constantes!$F$35)),0)</f>
        <v>4.1471370166821417</v>
      </c>
      <c r="X728" s="170">
        <f>IF(Escenarios!$F$14&gt;0,Observaciones!$J727,0)</f>
        <v>0</v>
      </c>
      <c r="Y728" s="170">
        <f>IF(Escenarios!$F$14&gt;0,MAX(0,Z727+R728+S728+T728+Observaciones!$F727-U728-W728-X728-Constantes!$F$33),0)</f>
        <v>0</v>
      </c>
      <c r="Z728" s="170">
        <f>Z727+R728+S728+T728+Observaciones!$F727-U728-W728-Y728</f>
        <v>56.290820802005967</v>
      </c>
      <c r="AA728" s="170">
        <f>IF(Escenarios!$F$14&gt;0,(Escenarios!$F$13*L728+Escenarios!$F$14*W728)/(Escenarios!$F$16),L728)</f>
        <v>2.8377858041104034</v>
      </c>
      <c r="AB728" s="170">
        <f>IF(Escenarios!$F$14&gt;0,(Escenarios!$F$14*Y728)/(Escenarios!$F$16),K728)</f>
        <v>0</v>
      </c>
      <c r="AC728" s="170">
        <f>IF(Escenarios!$F$14&gt;0,(Escenarios!$F$13*M728+Escenarios!$F$14*U728)/(Escenarios!$F$16),M728)</f>
        <v>2.5033188991266737E-2</v>
      </c>
      <c r="AD728" s="76">
        <f t="shared" si="155"/>
        <v>57.812364700953239</v>
      </c>
      <c r="AE728" s="76">
        <f>MAX(0,(AD728-Constantes!$D$13)*(1-EXP(-Constantes!$D$23)))</f>
        <v>8.9293637885596869E-2</v>
      </c>
      <c r="AF728" s="76">
        <f>AB728+O728*Escenarios!$F$13/Escenarios!$F$16+AE728</f>
        <v>0.71480281459529837</v>
      </c>
      <c r="AG728" s="76">
        <f>IF(Entradas!$F$91&gt;0,IF(AF728-Escenarios!$F$38&lt;=0,0,IF(AF728-Escenarios!$F$38&gt;Escenarios!$F$37,Escenarios!$F$37,AF728-Escenarios!$F$38)),0)</f>
        <v>0</v>
      </c>
      <c r="AH728" s="76">
        <f>AG728*Entradas!$F$99</f>
        <v>0</v>
      </c>
      <c r="AI728" s="76">
        <f>IF(Entradas!$F$91&gt;0,D728*Entradas!$D$23/Escenarios!$F$16,0)</f>
        <v>0.22381341090792664</v>
      </c>
      <c r="AJ728" s="76">
        <f>IF(Entradas!$F$91&gt;0,Entradas!$D$24*Entradas!$D$22/Escenarios!$F$16,0)</f>
        <v>0.12</v>
      </c>
      <c r="AK728" s="76">
        <f t="shared" si="156"/>
        <v>3.06159921501833</v>
      </c>
      <c r="AL728" s="76">
        <f t="shared" si="157"/>
        <v>0</v>
      </c>
      <c r="AM728" s="76">
        <f t="shared" si="158"/>
        <v>0</v>
      </c>
      <c r="AN728" s="76">
        <f>MAX(0,O728*Escenarios!$F$13/Escenarios!$F$16-AM728)</f>
        <v>0.62550917670970152</v>
      </c>
      <c r="AO728" s="76">
        <f>AM728+AN728-O728*Escenarios!$F$13/Escenarios!$F$16</f>
        <v>0</v>
      </c>
      <c r="AP728" s="76">
        <f t="shared" si="159"/>
        <v>8.9293637885596869E-2</v>
      </c>
      <c r="AQ728" s="76">
        <f t="shared" si="160"/>
        <v>0</v>
      </c>
      <c r="AR728" s="76">
        <f t="shared" si="161"/>
        <v>0.71480281459529837</v>
      </c>
      <c r="AS728" s="76">
        <f t="shared" si="162"/>
        <v>0</v>
      </c>
      <c r="AT728" s="76">
        <f t="shared" si="163"/>
        <v>2.5033188991266737E-2</v>
      </c>
      <c r="AU728" s="76">
        <f t="shared" si="164"/>
        <v>48.982122220891284</v>
      </c>
      <c r="AV728" s="76">
        <f>MAX(0,(AU728-Constantes!$D$13)*(1-EXP(-Constantes!$D$24)))</f>
        <v>3.5480454957318103E-3</v>
      </c>
      <c r="AW728" s="170">
        <f>AW727+(Entradas!$F$112*AT728-AX727)/(800*Entradas!$D$25)</f>
        <v>0</v>
      </c>
      <c r="AX728" s="170">
        <f>8000*Entradas!$D$26*AW728/Constantes!$F$45</f>
        <v>0</v>
      </c>
      <c r="AY728" s="170">
        <f>IF(Escenarios!$F$17&gt;0,10*Escenarios!$F$16*AL728,0)</f>
        <v>0</v>
      </c>
      <c r="AZ728" s="170">
        <f>IF(Escenarios!$F$17&gt;0,10*Escenarios!$F$16*AX728,0)</f>
        <v>0</v>
      </c>
      <c r="BA728" s="170">
        <f>IF(Escenarios!$F$17&gt;0,0.001*Observaciones!$F727*Escenarios!$F$17,0)</f>
        <v>0</v>
      </c>
      <c r="BB728" s="170">
        <f>IF(Escenarios!$F$17&gt;0,Observaciones!$K727,0)</f>
        <v>0</v>
      </c>
      <c r="BC728" s="170">
        <f>IF(Escenarios!$F$17&gt;0,MIN(0.0005*ETo!$M727*Escenarios!$F$17*(BG727/Constantes!$F$40)^(2/3),BG727+AY728+AZ728+BA728+BB728),0)</f>
        <v>0</v>
      </c>
      <c r="BD728" s="170">
        <f>IF(Escenarios!$F$17&gt;0,MIN(Constantes!$F$39*(BG727/Constantes!$F$40)^(2/3),BG727+AY728+AZ728+BA728+BB728-BC728),0)</f>
        <v>0</v>
      </c>
      <c r="BE728" s="170">
        <f>IF(Escenarios!$F$17&gt;0,MIN(Entradas!$F$113,BG727+AY728+AZ728+BA728+BB728-BC728-BD728),0)</f>
        <v>0</v>
      </c>
      <c r="BF728" s="170">
        <f>IF(Escenarios!$F$17&gt;0,MAX(0,BG727+AY728+AZ728+BA728+BB728-BC728-BD728-BE728-Constantes!$F$40),0)</f>
        <v>0</v>
      </c>
      <c r="BG728" s="170">
        <f t="shared" si="165"/>
        <v>0</v>
      </c>
      <c r="BH728" s="170">
        <f>(Escenarios!$F$16*AK728+0.1*BC728)/(Escenarios!$F$19)</f>
        <v>3.06159921501833</v>
      </c>
      <c r="BI728" s="170">
        <f>IF(Escenarios!$F$17&gt;0,BF728/10/Escenarios!$F$19,AL728)</f>
        <v>0</v>
      </c>
      <c r="BJ728" s="170">
        <f>(Escenarios!$F$16*AT728+0.1*BD728)/(Escenarios!$F$19)</f>
        <v>2.5033188991266737E-2</v>
      </c>
      <c r="BK728" s="76">
        <f>BK727+(0.1*BD728)/(Escenarios!$F$19)-BL727</f>
        <v>48.75</v>
      </c>
      <c r="BL728" s="76">
        <f>MAX(0,(BK728-Constantes!$D$13)*(1-EXP(-Constantes!$D$23)))</f>
        <v>0</v>
      </c>
      <c r="BM728" s="76">
        <f t="shared" si="166"/>
        <v>9.2841683381328685E-2</v>
      </c>
      <c r="BN728" s="76">
        <f t="shared" si="167"/>
        <v>0.71835086009103022</v>
      </c>
      <c r="BO728" s="76">
        <f>0.0526*BI728*Observaciones!$F727^1.218</f>
        <v>0</v>
      </c>
      <c r="BP728" s="76">
        <f>BO728*Constantes!$F$51</f>
        <v>0</v>
      </c>
      <c r="BQ728" s="76">
        <f t="shared" si="168"/>
        <v>0</v>
      </c>
      <c r="BR728" s="40"/>
    </row>
    <row r="729" spans="2:70">
      <c r="B729" s="39"/>
      <c r="C729" s="75">
        <v>723</v>
      </c>
      <c r="D729" s="146">
        <f>ETo!$I728*((1-Constantes!$F$19)*ETo!$K728+ETo!$L728)</f>
        <v>4.5093613425446559</v>
      </c>
      <c r="E729" s="76">
        <f>MIN(D729*Constantes!$F$17,0.8*(N728+Observaciones!$F728-F729-M729-Constantes!$D$14))</f>
        <v>2.5717417929609292</v>
      </c>
      <c r="F729" s="76">
        <f>IF(Observaciones!$F728&gt;0.05*Constantes!$F$18,((Observaciones!$F728-0.05*Constantes!$F$18)^2)/(Observaciones!$F728+0.95*Constantes!$F$18),0)</f>
        <v>0</v>
      </c>
      <c r="G729" s="76">
        <f>IF(Escenarios!$F$11&gt;0,(F729*Escenarios!$F$16*10000)/1000,0)</f>
        <v>0</v>
      </c>
      <c r="H729" s="76">
        <f>IF(Escenarios!$F$11&gt;0,(Observaciones!$F728*Constantes!$F$29)/1000,0)</f>
        <v>0</v>
      </c>
      <c r="I729" s="76">
        <f>IF(Escenarios!$F$11&gt;0,(D729*Constantes!$F$29)/1000,0)</f>
        <v>0</v>
      </c>
      <c r="J729" s="76">
        <f>IF(Escenarios!$F$11&gt;0,MAX(0,G729+H729-I729),0)</f>
        <v>0</v>
      </c>
      <c r="K729" s="76">
        <f>IF(Escenarios!$F$11&gt;0,IF(J729&gt;Constantes!$F$30,1000*((J729-Constantes!$F$30)/(Escenarios!$F$16*10000)),0),F729)</f>
        <v>0</v>
      </c>
      <c r="L729" s="76">
        <f>IF(Escenarios!$F$11&gt;0,I729*1000/Escenarios!$F$16/10000+E729,E729)</f>
        <v>2.5717417929609292</v>
      </c>
      <c r="M729" s="76">
        <f>MAX(0,N728+Observaciones!$F728-K729-Constantes!$D$13)</f>
        <v>0</v>
      </c>
      <c r="N729" s="76">
        <f>N728+Observaciones!$F728-K729-L729-M729-O728</f>
        <v>28.834430550466898</v>
      </c>
      <c r="O729" s="76">
        <f>MAX(0,(N729-Constantes!$D$14)*(1-EXP(-Constantes!$D$22)))</f>
        <v>0.59899025831500063</v>
      </c>
      <c r="P729" s="170">
        <f>P728+(Entradas!$F$83*M729-Q728)/(800*Entradas!$D$25)</f>
        <v>0</v>
      </c>
      <c r="Q729" s="170">
        <f>8000*Entradas!$D$26*P729/Constantes!$F$45</f>
        <v>0</v>
      </c>
      <c r="R729" s="170">
        <f>IF(Escenarios!$F$14&gt;0,K729*Escenarios!$F$13/Escenarios!$F$14,0)</f>
        <v>0</v>
      </c>
      <c r="S729" s="170">
        <f>IF(Escenarios!$F$14&gt;0,Q729*Escenarios!$F$13/Escenarios!$F$14,0)</f>
        <v>0</v>
      </c>
      <c r="T729" s="170">
        <f>IF(Escenarios!$F$14&gt;0,Observaciones!$I728,0)</f>
        <v>0</v>
      </c>
      <c r="U729" s="170">
        <f>IF(Escenarios!$F$14&gt;0,MAX(0,Constantes!$F$36/((Z728+R729+S729+T729+Observaciones!$F728)^2)+Entradas!$F$77),0)</f>
        <v>0</v>
      </c>
      <c r="V729" s="146">
        <f>IF(ETo!D728&gt;0,ETo!I728*((1-Entradas!$F$81)*ETo!K728+ETo!L728),0)</f>
        <v>4.0083078004853725</v>
      </c>
      <c r="W729" s="170">
        <f>IF(Escenarios!$F$14&gt;0,MIN(V729*1,0.8*(Z728+R729+S729+T729+Observaciones!$F728-U729-Constantes!$F$35)),0)</f>
        <v>4.0083078004853725</v>
      </c>
      <c r="X729" s="170">
        <f>IF(Escenarios!$F$14&gt;0,Observaciones!$J728,0)</f>
        <v>0</v>
      </c>
      <c r="Y729" s="170">
        <f>IF(Escenarios!$F$14&gt;0,MAX(0,Z728+R729+S729+T729+Observaciones!$F728-U729-W729-X729-Constantes!$F$33),0)</f>
        <v>0</v>
      </c>
      <c r="Z729" s="170">
        <f>Z728+R729+S729+T729+Observaciones!$F728-U729-W729-Y729</f>
        <v>52.282513001520599</v>
      </c>
      <c r="AA729" s="170">
        <f>IF(Escenarios!$F$14&gt;0,(Escenarios!$F$13*L729+Escenarios!$F$14*W729)/(Escenarios!$F$16),L729)</f>
        <v>2.7441297138638618</v>
      </c>
      <c r="AB729" s="170">
        <f>IF(Escenarios!$F$14&gt;0,(Escenarios!$F$14*Y729)/(Escenarios!$F$16),K729)</f>
        <v>0</v>
      </c>
      <c r="AC729" s="170">
        <f>IF(Escenarios!$F$14&gt;0,(Escenarios!$F$13*M729+Escenarios!$F$14*U729)/(Escenarios!$F$16),M729)</f>
        <v>0</v>
      </c>
      <c r="AD729" s="76">
        <f t="shared" si="155"/>
        <v>57.723071063067643</v>
      </c>
      <c r="AE729" s="76">
        <f>MAX(0,(AD729-Constantes!$D$13)*(1-EXP(-Constantes!$D$23)))</f>
        <v>8.8413806403422543E-2</v>
      </c>
      <c r="AF729" s="76">
        <f>AB729+O729*Escenarios!$F$13/Escenarios!$F$16+AE729</f>
        <v>0.61552523372062307</v>
      </c>
      <c r="AG729" s="76">
        <f>IF(Entradas!$F$91&gt;0,IF(AF729-Escenarios!$F$38&lt;=0,0,IF(AF729-Escenarios!$F$38&gt;Escenarios!$F$37,Escenarios!$F$37,AF729-Escenarios!$F$38)),0)</f>
        <v>0</v>
      </c>
      <c r="AH729" s="76">
        <f>AG729*Entradas!$F$99</f>
        <v>0</v>
      </c>
      <c r="AI729" s="76">
        <f>IF(Entradas!$F$91&gt;0,D729*Entradas!$D$23/Escenarios!$F$16,0)</f>
        <v>0.21644934444214348</v>
      </c>
      <c r="AJ729" s="76">
        <f>IF(Entradas!$F$91&gt;0,Entradas!$D$24*Entradas!$D$22/Escenarios!$F$16,0)</f>
        <v>0.12</v>
      </c>
      <c r="AK729" s="76">
        <f t="shared" si="156"/>
        <v>2.9605790583060054</v>
      </c>
      <c r="AL729" s="76">
        <f t="shared" si="157"/>
        <v>0</v>
      </c>
      <c r="AM729" s="76">
        <f t="shared" si="158"/>
        <v>0</v>
      </c>
      <c r="AN729" s="76">
        <f>MAX(0,O729*Escenarios!$F$13/Escenarios!$F$16-AM729)</f>
        <v>0.52711142731720051</v>
      </c>
      <c r="AO729" s="76">
        <f>AM729+AN729-O729*Escenarios!$F$13/Escenarios!$F$16</f>
        <v>0</v>
      </c>
      <c r="AP729" s="76">
        <f t="shared" si="159"/>
        <v>8.8413806403422543E-2</v>
      </c>
      <c r="AQ729" s="76">
        <f t="shared" si="160"/>
        <v>0</v>
      </c>
      <c r="AR729" s="76">
        <f t="shared" si="161"/>
        <v>0.61552523372062307</v>
      </c>
      <c r="AS729" s="76">
        <f t="shared" si="162"/>
        <v>0</v>
      </c>
      <c r="AT729" s="76">
        <f t="shared" si="163"/>
        <v>0</v>
      </c>
      <c r="AU729" s="76">
        <f t="shared" si="164"/>
        <v>48.978574175395551</v>
      </c>
      <c r="AV729" s="76">
        <f>MAX(0,(AU729-Constantes!$D$13)*(1-EXP(-Constantes!$D$24)))</f>
        <v>3.4938127437296419E-3</v>
      </c>
      <c r="AW729" s="170">
        <f>AW728+(Entradas!$F$112*AT729-AX728)/(800*Entradas!$D$25)</f>
        <v>0</v>
      </c>
      <c r="AX729" s="170">
        <f>8000*Entradas!$D$26*AW729/Constantes!$F$45</f>
        <v>0</v>
      </c>
      <c r="AY729" s="170">
        <f>IF(Escenarios!$F$17&gt;0,10*Escenarios!$F$16*AL729,0)</f>
        <v>0</v>
      </c>
      <c r="AZ729" s="170">
        <f>IF(Escenarios!$F$17&gt;0,10*Escenarios!$F$16*AX729,0)</f>
        <v>0</v>
      </c>
      <c r="BA729" s="170">
        <f>IF(Escenarios!$F$17&gt;0,0.001*Observaciones!$F728*Escenarios!$F$17,0)</f>
        <v>0</v>
      </c>
      <c r="BB729" s="170">
        <f>IF(Escenarios!$F$17&gt;0,Observaciones!$K728,0)</f>
        <v>0</v>
      </c>
      <c r="BC729" s="170">
        <f>IF(Escenarios!$F$17&gt;0,MIN(0.0005*ETo!$M728*Escenarios!$F$17*(BG728/Constantes!$F$40)^(2/3),BG728+AY729+AZ729+BA729+BB729),0)</f>
        <v>0</v>
      </c>
      <c r="BD729" s="170">
        <f>IF(Escenarios!$F$17&gt;0,MIN(Constantes!$F$39*(BG728/Constantes!$F$40)^(2/3),BG728+AY729+AZ729+BA729+BB729-BC729),0)</f>
        <v>0</v>
      </c>
      <c r="BE729" s="170">
        <f>IF(Escenarios!$F$17&gt;0,MIN(Entradas!$F$113,BG728+AY729+AZ729+BA729+BB729-BC729-BD729),0)</f>
        <v>0</v>
      </c>
      <c r="BF729" s="170">
        <f>IF(Escenarios!$F$17&gt;0,MAX(0,BG728+AY729+AZ729+BA729+BB729-BC729-BD729-BE729-Constantes!$F$40),0)</f>
        <v>0</v>
      </c>
      <c r="BG729" s="170">
        <f t="shared" si="165"/>
        <v>0</v>
      </c>
      <c r="BH729" s="170">
        <f>(Escenarios!$F$16*AK729+0.1*BC729)/(Escenarios!$F$19)</f>
        <v>2.9605790583060054</v>
      </c>
      <c r="BI729" s="170">
        <f>IF(Escenarios!$F$17&gt;0,BF729/10/Escenarios!$F$19,AL729)</f>
        <v>0</v>
      </c>
      <c r="BJ729" s="170">
        <f>(Escenarios!$F$16*AT729+0.1*BD729)/(Escenarios!$F$19)</f>
        <v>0</v>
      </c>
      <c r="BK729" s="76">
        <f>BK728+(0.1*BD729)/(Escenarios!$F$19)-BL728</f>
        <v>48.75</v>
      </c>
      <c r="BL729" s="76">
        <f>MAX(0,(BK729-Constantes!$D$13)*(1-EXP(-Constantes!$D$23)))</f>
        <v>0</v>
      </c>
      <c r="BM729" s="76">
        <f t="shared" si="166"/>
        <v>9.1907619147152189E-2</v>
      </c>
      <c r="BN729" s="76">
        <f t="shared" si="167"/>
        <v>0.61901904646435268</v>
      </c>
      <c r="BO729" s="76">
        <f>0.0526*BI729*Observaciones!$F728^1.218</f>
        <v>0</v>
      </c>
      <c r="BP729" s="76">
        <f>BO729*Constantes!$F$51</f>
        <v>0</v>
      </c>
      <c r="BQ729" s="76">
        <f t="shared" si="168"/>
        <v>0</v>
      </c>
      <c r="BR729" s="40"/>
    </row>
    <row r="730" spans="2:70">
      <c r="B730" s="39"/>
      <c r="C730" s="75">
        <v>724</v>
      </c>
      <c r="D730" s="146">
        <f>ETo!$I729*((1-Constantes!$F$19)*ETo!$K729+ETo!$L729)</f>
        <v>4.5140308825053816</v>
      </c>
      <c r="E730" s="76">
        <f>MIN(D730*Constantes!$F$17,0.8*(N729+Observaciones!$F729-F730-M730-Constantes!$D$14))</f>
        <v>2.5744048865031566</v>
      </c>
      <c r="F730" s="76">
        <f>IF(Observaciones!$F729&gt;0.05*Constantes!$F$18,((Observaciones!$F729-0.05*Constantes!$F$18)^2)/(Observaciones!$F729+0.95*Constantes!$F$18),0)</f>
        <v>0.62434619388279189</v>
      </c>
      <c r="G730" s="76">
        <f>IF(Escenarios!$F$11&gt;0,(F730*Escenarios!$F$16*10000)/1000,0)</f>
        <v>0</v>
      </c>
      <c r="H730" s="76">
        <f>IF(Escenarios!$F$11&gt;0,(Observaciones!$F729*Constantes!$F$29)/1000,0)</f>
        <v>0</v>
      </c>
      <c r="I730" s="76">
        <f>IF(Escenarios!$F$11&gt;0,(D730*Constantes!$F$29)/1000,0)</f>
        <v>0</v>
      </c>
      <c r="J730" s="76">
        <f>IF(Escenarios!$F$11&gt;0,MAX(0,G730+H730-I730),0)</f>
        <v>0</v>
      </c>
      <c r="K730" s="76">
        <f>IF(Escenarios!$F$11&gt;0,IF(J730&gt;Constantes!$F$30,1000*((J730-Constantes!$F$30)/(Escenarios!$F$16*10000)),0),F730)</f>
        <v>0.62434619388279189</v>
      </c>
      <c r="L730" s="76">
        <f>IF(Escenarios!$F$11&gt;0,I730*1000/Escenarios!$F$16/10000+E730,E730)</f>
        <v>2.5744048865031566</v>
      </c>
      <c r="M730" s="76">
        <f>MAX(0,N729+Observaciones!$F729-K730-Constantes!$D$13)</f>
        <v>2.4600843565841046</v>
      </c>
      <c r="N730" s="76">
        <f>N729+Observaciones!$F729-K730-L730-M730-O729</f>
        <v>45.576604855181841</v>
      </c>
      <c r="O730" s="76">
        <f>MAX(0,(N730-Constantes!$D$14)*(1-EXP(-Constantes!$D$22)))</f>
        <v>1.1692901769137123</v>
      </c>
      <c r="P730" s="170">
        <f>P729+(Entradas!$F$83*M730-Q729)/(800*Entradas!$D$25)</f>
        <v>0</v>
      </c>
      <c r="Q730" s="170">
        <f>8000*Entradas!$D$26*P730/Constantes!$F$45</f>
        <v>0</v>
      </c>
      <c r="R730" s="170">
        <f>IF(Escenarios!$F$14&gt;0,K730*Escenarios!$F$13/Escenarios!$F$14,0)</f>
        <v>4.5785387551404737</v>
      </c>
      <c r="S730" s="170">
        <f>IF(Escenarios!$F$14&gt;0,Q730*Escenarios!$F$13/Escenarios!$F$14,0)</f>
        <v>0</v>
      </c>
      <c r="T730" s="170">
        <f>IF(Escenarios!$F$14&gt;0,Observaciones!$I729,0)</f>
        <v>0</v>
      </c>
      <c r="U730" s="170">
        <f>IF(Escenarios!$F$14&gt;0,MAX(0,Constantes!$F$36/((Z729+R730+S730+T730+Observaciones!$F729)^2)+Entradas!$F$77),0)</f>
        <v>1.3902333122802384</v>
      </c>
      <c r="V730" s="146">
        <f>IF(ETo!D729&gt;0,ETo!I729*((1-Entradas!$F$81)*ETo!K729+ETo!L729),0)</f>
        <v>4.0125240052881894</v>
      </c>
      <c r="W730" s="170">
        <f>IF(Escenarios!$F$14&gt;0,MIN(V730*1,0.8*(Z729+R730+S730+T730+Observaciones!$F729-U730-Constantes!$F$35)),0)</f>
        <v>4.0125240052881894</v>
      </c>
      <c r="X730" s="170">
        <f>IF(Escenarios!$F$14&gt;0,Observaciones!$J729,0)</f>
        <v>0</v>
      </c>
      <c r="Y730" s="170">
        <f>IF(Escenarios!$F$14&gt;0,MAX(0,Z729+R730+S730+T730+Observaciones!$F729-U730-W730-X730-Constantes!$F$33),0)</f>
        <v>0</v>
      </c>
      <c r="Z730" s="170">
        <f>Z729+R730+S730+T730+Observaciones!$F729-U730-W730-Y730</f>
        <v>74.45829443909264</v>
      </c>
      <c r="AA730" s="170">
        <f>IF(Escenarios!$F$14&gt;0,(Escenarios!$F$13*L730+Escenarios!$F$14*W730)/(Escenarios!$F$16),L730)</f>
        <v>2.7469791807573607</v>
      </c>
      <c r="AB730" s="170">
        <f>IF(Escenarios!$F$14&gt;0,(Escenarios!$F$14*Y730)/(Escenarios!$F$16),K730)</f>
        <v>0</v>
      </c>
      <c r="AC730" s="170">
        <f>IF(Escenarios!$F$14&gt;0,(Escenarios!$F$13*M730+Escenarios!$F$14*U730)/(Escenarios!$F$16),M730)</f>
        <v>2.331702231267641</v>
      </c>
      <c r="AD730" s="76">
        <f t="shared" si="155"/>
        <v>59.966359487931861</v>
      </c>
      <c r="AE730" s="76">
        <f>MAX(0,(AD730-Constantes!$D$13)*(1-EXP(-Constantes!$D$23)))</f>
        <v>0.11051746156328456</v>
      </c>
      <c r="AF730" s="76">
        <f>AB730+O730*Escenarios!$F$13/Escenarios!$F$16+AE730</f>
        <v>1.1394928172473513</v>
      </c>
      <c r="AG730" s="76">
        <f>IF(Entradas!$F$91&gt;0,IF(AF730-Escenarios!$F$38&lt;=0,0,IF(AF730-Escenarios!$F$38&gt;Escenarios!$F$37,Escenarios!$F$37,AF730-Escenarios!$F$38)),0)</f>
        <v>0.10269281724735135</v>
      </c>
      <c r="AH730" s="76">
        <f>AG730*Entradas!$F$99</f>
        <v>0</v>
      </c>
      <c r="AI730" s="76">
        <f>IF(Entradas!$F$91&gt;0,D730*Entradas!$D$23/Escenarios!$F$16,0)</f>
        <v>0.21667348236025832</v>
      </c>
      <c r="AJ730" s="76">
        <f>IF(Entradas!$F$91&gt;0,Entradas!$D$24*Entradas!$D$22/Escenarios!$F$16,0)</f>
        <v>0.12</v>
      </c>
      <c r="AK730" s="76">
        <f t="shared" si="156"/>
        <v>2.9636526631176192</v>
      </c>
      <c r="AL730" s="76">
        <f t="shared" si="157"/>
        <v>0</v>
      </c>
      <c r="AM730" s="76">
        <f t="shared" si="158"/>
        <v>0.10269281724735135</v>
      </c>
      <c r="AN730" s="76">
        <f>MAX(0,O730*Escenarios!$F$13/Escenarios!$F$16-AM730)</f>
        <v>0.92628253843671549</v>
      </c>
      <c r="AO730" s="76">
        <f>AM730+AN730-O730*Escenarios!$F$13/Escenarios!$F$16</f>
        <v>0</v>
      </c>
      <c r="AP730" s="76">
        <f t="shared" si="159"/>
        <v>0.11051746156328456</v>
      </c>
      <c r="AQ730" s="76">
        <f t="shared" si="160"/>
        <v>0</v>
      </c>
      <c r="AR730" s="76">
        <f t="shared" si="161"/>
        <v>1.0367999999999999</v>
      </c>
      <c r="AS730" s="76">
        <f t="shared" si="162"/>
        <v>0</v>
      </c>
      <c r="AT730" s="76">
        <f t="shared" si="163"/>
        <v>2.331702231267641</v>
      </c>
      <c r="AU730" s="76">
        <f t="shared" si="164"/>
        <v>48.975080362651823</v>
      </c>
      <c r="AV730" s="76">
        <f>MAX(0,(AU730-Constantes!$D$13)*(1-EXP(-Constantes!$D$24)))</f>
        <v>3.4404089527409394E-3</v>
      </c>
      <c r="AW730" s="170">
        <f>AW729+(Entradas!$F$112*AT730-AX729)/(800*Entradas!$D$25)</f>
        <v>0</v>
      </c>
      <c r="AX730" s="170">
        <f>8000*Entradas!$D$26*AW730/Constantes!$F$45</f>
        <v>0</v>
      </c>
      <c r="AY730" s="170">
        <f>IF(Escenarios!$F$17&gt;0,10*Escenarios!$F$16*AL730,0)</f>
        <v>0</v>
      </c>
      <c r="AZ730" s="170">
        <f>IF(Escenarios!$F$17&gt;0,10*Escenarios!$F$16*AX730,0)</f>
        <v>0</v>
      </c>
      <c r="BA730" s="170">
        <f>IF(Escenarios!$F$17&gt;0,0.001*Observaciones!$F729*Escenarios!$F$17,0)</f>
        <v>0</v>
      </c>
      <c r="BB730" s="170">
        <f>IF(Escenarios!$F$17&gt;0,Observaciones!$K729,0)</f>
        <v>0</v>
      </c>
      <c r="BC730" s="170">
        <f>IF(Escenarios!$F$17&gt;0,MIN(0.0005*ETo!$M729*Escenarios!$F$17*(BG729/Constantes!$F$40)^(2/3),BG729+AY730+AZ730+BA730+BB730),0)</f>
        <v>0</v>
      </c>
      <c r="BD730" s="170">
        <f>IF(Escenarios!$F$17&gt;0,MIN(Constantes!$F$39*(BG729/Constantes!$F$40)^(2/3),BG729+AY730+AZ730+BA730+BB730-BC730),0)</f>
        <v>0</v>
      </c>
      <c r="BE730" s="170">
        <f>IF(Escenarios!$F$17&gt;0,MIN(Entradas!$F$113,BG729+AY730+AZ730+BA730+BB730-BC730-BD730),0)</f>
        <v>0</v>
      </c>
      <c r="BF730" s="170">
        <f>IF(Escenarios!$F$17&gt;0,MAX(0,BG729+AY730+AZ730+BA730+BB730-BC730-BD730-BE730-Constantes!$F$40),0)</f>
        <v>0</v>
      </c>
      <c r="BG730" s="170">
        <f t="shared" si="165"/>
        <v>0</v>
      </c>
      <c r="BH730" s="170">
        <f>(Escenarios!$F$16*AK730+0.1*BC730)/(Escenarios!$F$19)</f>
        <v>2.9636526631176192</v>
      </c>
      <c r="BI730" s="170">
        <f>IF(Escenarios!$F$17&gt;0,BF730/10/Escenarios!$F$19,AL730)</f>
        <v>0</v>
      </c>
      <c r="BJ730" s="170">
        <f>(Escenarios!$F$16*AT730+0.1*BD730)/(Escenarios!$F$19)</f>
        <v>2.331702231267641</v>
      </c>
      <c r="BK730" s="76">
        <f>BK729+(0.1*BD730)/(Escenarios!$F$19)-BL729</f>
        <v>48.75</v>
      </c>
      <c r="BL730" s="76">
        <f>MAX(0,(BK730-Constantes!$D$13)*(1-EXP(-Constantes!$D$23)))</f>
        <v>0</v>
      </c>
      <c r="BM730" s="76">
        <f t="shared" si="166"/>
        <v>0.11395787051602549</v>
      </c>
      <c r="BN730" s="76">
        <f t="shared" si="167"/>
        <v>1.0402404089527408</v>
      </c>
      <c r="BO730" s="76">
        <f>0.0526*BI730*Observaciones!$F729^1.218</f>
        <v>0</v>
      </c>
      <c r="BP730" s="76">
        <f>BO730*Constantes!$F$51</f>
        <v>0</v>
      </c>
      <c r="BQ730" s="76">
        <f t="shared" si="168"/>
        <v>0</v>
      </c>
      <c r="BR730" s="40"/>
    </row>
    <row r="731" spans="2:70">
      <c r="B731" s="39"/>
      <c r="C731" s="75">
        <v>725</v>
      </c>
      <c r="D731" s="146">
        <f>ETo!$I730*((1-Constantes!$F$19)*ETo!$K730+ETo!$L730)</f>
        <v>4.4675137137677021</v>
      </c>
      <c r="E731" s="76">
        <f>MIN(D731*Constantes!$F$17,0.8*(N730+Observaciones!$F730-F731-M731-Constantes!$D$14))</f>
        <v>2.5478755982413741</v>
      </c>
      <c r="F731" s="76">
        <f>IF(Observaciones!$F730&gt;0.05*Constantes!$F$18,((Observaciones!$F730-0.05*Constantes!$F$18)^2)/(Observaciones!$F730+0.95*Constantes!$F$18),0)</f>
        <v>0</v>
      </c>
      <c r="G731" s="76">
        <f>IF(Escenarios!$F$11&gt;0,(F731*Escenarios!$F$16*10000)/1000,0)</f>
        <v>0</v>
      </c>
      <c r="H731" s="76">
        <f>IF(Escenarios!$F$11&gt;0,(Observaciones!$F730*Constantes!$F$29)/1000,0)</f>
        <v>0</v>
      </c>
      <c r="I731" s="76">
        <f>IF(Escenarios!$F$11&gt;0,(D731*Constantes!$F$29)/1000,0)</f>
        <v>0</v>
      </c>
      <c r="J731" s="76">
        <f>IF(Escenarios!$F$11&gt;0,MAX(0,G731+H731-I731),0)</f>
        <v>0</v>
      </c>
      <c r="K731" s="76">
        <f>IF(Escenarios!$F$11&gt;0,IF(J731&gt;Constantes!$F$30,1000*((J731-Constantes!$F$30)/(Escenarios!$F$16*10000)),0),F731)</f>
        <v>0</v>
      </c>
      <c r="L731" s="76">
        <f>IF(Escenarios!$F$11&gt;0,I731*1000/Escenarios!$F$16/10000+E731,E731)</f>
        <v>2.5478755982413741</v>
      </c>
      <c r="M731" s="76">
        <f>MAX(0,N730+Observaciones!$F730-K731-Constantes!$D$13)</f>
        <v>0.62660485518183862</v>
      </c>
      <c r="N731" s="76">
        <f>N730+Observaciones!$F730-K731-L731-M731-O730</f>
        <v>45.032834224844912</v>
      </c>
      <c r="O731" s="76">
        <f>MAX(0,(N731-Constantes!$D$14)*(1-EXP(-Constantes!$D$22)))</f>
        <v>1.1507673530215858</v>
      </c>
      <c r="P731" s="170">
        <f>P730+(Entradas!$F$83*M731-Q730)/(800*Entradas!$D$25)</f>
        <v>0</v>
      </c>
      <c r="Q731" s="170">
        <f>8000*Entradas!$D$26*P731/Constantes!$F$45</f>
        <v>0</v>
      </c>
      <c r="R731" s="170">
        <f>IF(Escenarios!$F$14&gt;0,K731*Escenarios!$F$13/Escenarios!$F$14,0)</f>
        <v>0</v>
      </c>
      <c r="S731" s="170">
        <f>IF(Escenarios!$F$14&gt;0,Q731*Escenarios!$F$13/Escenarios!$F$14,0)</f>
        <v>0</v>
      </c>
      <c r="T731" s="170">
        <f>IF(Escenarios!$F$14&gt;0,Observaciones!$I730,0)</f>
        <v>0</v>
      </c>
      <c r="U731" s="170">
        <f>IF(Escenarios!$F$14&gt;0,MAX(0,Constantes!$F$36/((Z730+R731+S731+T731+Observaciones!$F730)^2)+Entradas!$F$77),0)</f>
        <v>1.3236209313557947</v>
      </c>
      <c r="V731" s="146">
        <f>IF(ETo!D730&gt;0,ETo!I730*((1-Entradas!$F$81)*ETo!K730+ETo!L730),0)</f>
        <v>3.9705517931681236</v>
      </c>
      <c r="W731" s="170">
        <f>IF(Escenarios!$F$14&gt;0,MIN(V731*1,0.8*(Z730+R731+S731+T731+Observaciones!$F730-U731-Constantes!$F$35)),0)</f>
        <v>3.9705517931681236</v>
      </c>
      <c r="X731" s="170">
        <f>IF(Escenarios!$F$14&gt;0,Observaciones!$J730,0)</f>
        <v>0</v>
      </c>
      <c r="Y731" s="170">
        <f>IF(Escenarios!$F$14&gt;0,MAX(0,Z730+R731+S731+T731+Observaciones!$F730-U731-W731-X731-Constantes!$F$33),0)</f>
        <v>0</v>
      </c>
      <c r="Z731" s="170">
        <f>Z730+R731+S731+T731+Observaciones!$F730-U731-W731-Y731</f>
        <v>72.964121714568719</v>
      </c>
      <c r="AA731" s="170">
        <f>IF(Escenarios!$F$14&gt;0,(Escenarios!$F$13*L731+Escenarios!$F$14*W731)/(Escenarios!$F$16),L731)</f>
        <v>2.7185967416325845</v>
      </c>
      <c r="AB731" s="170">
        <f>IF(Escenarios!$F$14&gt;0,(Escenarios!$F$14*Y731)/(Escenarios!$F$16),K731)</f>
        <v>0</v>
      </c>
      <c r="AC731" s="170">
        <f>IF(Escenarios!$F$14&gt;0,(Escenarios!$F$13*M731+Escenarios!$F$14*U731)/(Escenarios!$F$16),M731)</f>
        <v>0.71024678432271338</v>
      </c>
      <c r="AD731" s="76">
        <f t="shared" si="155"/>
        <v>60.566088810691291</v>
      </c>
      <c r="AE731" s="76">
        <f>MAX(0,(AD731-Constantes!$D$13)*(1-EXP(-Constantes!$D$23)))</f>
        <v>0.11642673742482892</v>
      </c>
      <c r="AF731" s="76">
        <f>AB731+O731*Escenarios!$F$13/Escenarios!$F$16+AE731</f>
        <v>1.1291020080838243</v>
      </c>
      <c r="AG731" s="76">
        <f>IF(Entradas!$F$91&gt;0,IF(AF731-Escenarios!$F$38&lt;=0,0,IF(AF731-Escenarios!$F$38&gt;Escenarios!$F$37,Escenarios!$F$37,AF731-Escenarios!$F$38)),0)</f>
        <v>9.2302008083824383E-2</v>
      </c>
      <c r="AH731" s="76">
        <f>AG731*Entradas!$F$99</f>
        <v>0</v>
      </c>
      <c r="AI731" s="76">
        <f>IF(Entradas!$F$91&gt;0,D731*Entradas!$D$23/Escenarios!$F$16,0)</f>
        <v>0.21444065826084971</v>
      </c>
      <c r="AJ731" s="76">
        <f>IF(Entradas!$F$91&gt;0,Entradas!$D$24*Entradas!$D$22/Escenarios!$F$16,0)</f>
        <v>0.12</v>
      </c>
      <c r="AK731" s="76">
        <f t="shared" si="156"/>
        <v>2.933037399893434</v>
      </c>
      <c r="AL731" s="76">
        <f t="shared" si="157"/>
        <v>0</v>
      </c>
      <c r="AM731" s="76">
        <f t="shared" si="158"/>
        <v>9.2302008083824383E-2</v>
      </c>
      <c r="AN731" s="76">
        <f>MAX(0,O731*Escenarios!$F$13/Escenarios!$F$16-AM731)</f>
        <v>0.92037326257517105</v>
      </c>
      <c r="AO731" s="76">
        <f>AM731+AN731-O731*Escenarios!$F$13/Escenarios!$F$16</f>
        <v>0</v>
      </c>
      <c r="AP731" s="76">
        <f t="shared" si="159"/>
        <v>0.11642673742482892</v>
      </c>
      <c r="AQ731" s="76">
        <f t="shared" si="160"/>
        <v>0</v>
      </c>
      <c r="AR731" s="76">
        <f t="shared" si="161"/>
        <v>1.0367999999999999</v>
      </c>
      <c r="AS731" s="76">
        <f t="shared" si="162"/>
        <v>0</v>
      </c>
      <c r="AT731" s="76">
        <f t="shared" si="163"/>
        <v>0.71024678432271338</v>
      </c>
      <c r="AU731" s="76">
        <f t="shared" si="164"/>
        <v>48.971639953699082</v>
      </c>
      <c r="AV731" s="76">
        <f>MAX(0,(AU731-Constantes!$D$13)*(1-EXP(-Constantes!$D$24)))</f>
        <v>3.3878214518916934E-3</v>
      </c>
      <c r="AW731" s="170">
        <f>AW730+(Entradas!$F$112*AT731-AX730)/(800*Entradas!$D$25)</f>
        <v>0</v>
      </c>
      <c r="AX731" s="170">
        <f>8000*Entradas!$D$26*AW731/Constantes!$F$45</f>
        <v>0</v>
      </c>
      <c r="AY731" s="170">
        <f>IF(Escenarios!$F$17&gt;0,10*Escenarios!$F$16*AL731,0)</f>
        <v>0</v>
      </c>
      <c r="AZ731" s="170">
        <f>IF(Escenarios!$F$17&gt;0,10*Escenarios!$F$16*AX731,0)</f>
        <v>0</v>
      </c>
      <c r="BA731" s="170">
        <f>IF(Escenarios!$F$17&gt;0,0.001*Observaciones!$F730*Escenarios!$F$17,0)</f>
        <v>0</v>
      </c>
      <c r="BB731" s="170">
        <f>IF(Escenarios!$F$17&gt;0,Observaciones!$K730,0)</f>
        <v>0</v>
      </c>
      <c r="BC731" s="170">
        <f>IF(Escenarios!$F$17&gt;0,MIN(0.0005*ETo!$M730*Escenarios!$F$17*(BG730/Constantes!$F$40)^(2/3),BG730+AY731+AZ731+BA731+BB731),0)</f>
        <v>0</v>
      </c>
      <c r="BD731" s="170">
        <f>IF(Escenarios!$F$17&gt;0,MIN(Constantes!$F$39*(BG730/Constantes!$F$40)^(2/3),BG730+AY731+AZ731+BA731+BB731-BC731),0)</f>
        <v>0</v>
      </c>
      <c r="BE731" s="170">
        <f>IF(Escenarios!$F$17&gt;0,MIN(Entradas!$F$113,BG730+AY731+AZ731+BA731+BB731-BC731-BD731),0)</f>
        <v>0</v>
      </c>
      <c r="BF731" s="170">
        <f>IF(Escenarios!$F$17&gt;0,MAX(0,BG730+AY731+AZ731+BA731+BB731-BC731-BD731-BE731-Constantes!$F$40),0)</f>
        <v>0</v>
      </c>
      <c r="BG731" s="170">
        <f t="shared" si="165"/>
        <v>0</v>
      </c>
      <c r="BH731" s="170">
        <f>(Escenarios!$F$16*AK731+0.1*BC731)/(Escenarios!$F$19)</f>
        <v>2.933037399893434</v>
      </c>
      <c r="BI731" s="170">
        <f>IF(Escenarios!$F$17&gt;0,BF731/10/Escenarios!$F$19,AL731)</f>
        <v>0</v>
      </c>
      <c r="BJ731" s="170">
        <f>(Escenarios!$F$16*AT731+0.1*BD731)/(Escenarios!$F$19)</f>
        <v>0.71024678432271338</v>
      </c>
      <c r="BK731" s="76">
        <f>BK730+(0.1*BD731)/(Escenarios!$F$19)-BL730</f>
        <v>48.75</v>
      </c>
      <c r="BL731" s="76">
        <f>MAX(0,(BK731-Constantes!$D$13)*(1-EXP(-Constantes!$D$23)))</f>
        <v>0</v>
      </c>
      <c r="BM731" s="76">
        <f t="shared" si="166"/>
        <v>0.11981455887672061</v>
      </c>
      <c r="BN731" s="76">
        <f t="shared" si="167"/>
        <v>1.0401878214518916</v>
      </c>
      <c r="BO731" s="76">
        <f>0.0526*BI731*Observaciones!$F730^1.218</f>
        <v>0</v>
      </c>
      <c r="BP731" s="76">
        <f>BO731*Constantes!$F$51</f>
        <v>0</v>
      </c>
      <c r="BQ731" s="76">
        <f t="shared" si="168"/>
        <v>0</v>
      </c>
      <c r="BR731" s="40"/>
    </row>
    <row r="732" spans="2:70">
      <c r="B732" s="39"/>
      <c r="C732" s="75">
        <v>726</v>
      </c>
      <c r="D732" s="146">
        <f>ETo!$I731*((1-Constantes!$F$19)*ETo!$K731+ETo!$L731)</f>
        <v>4.6163810142330997</v>
      </c>
      <c r="E732" s="76">
        <f>MIN(D732*Constantes!$F$17,0.8*(N731+Observaciones!$F731-F732-M732-Constantes!$D$14))</f>
        <v>2.6327763700203088</v>
      </c>
      <c r="F732" s="76">
        <f>IF(Observaciones!$F731&gt;0.05*Constantes!$F$18,((Observaciones!$F731-0.05*Constantes!$F$18)^2)/(Observaciones!$F731+0.95*Constantes!$F$18),0)</f>
        <v>0</v>
      </c>
      <c r="G732" s="76">
        <f>IF(Escenarios!$F$11&gt;0,(F732*Escenarios!$F$16*10000)/1000,0)</f>
        <v>0</v>
      </c>
      <c r="H732" s="76">
        <f>IF(Escenarios!$F$11&gt;0,(Observaciones!$F731*Constantes!$F$29)/1000,0)</f>
        <v>0</v>
      </c>
      <c r="I732" s="76">
        <f>IF(Escenarios!$F$11&gt;0,(D732*Constantes!$F$29)/1000,0)</f>
        <v>0</v>
      </c>
      <c r="J732" s="76">
        <f>IF(Escenarios!$F$11&gt;0,MAX(0,G732+H732-I732),0)</f>
        <v>0</v>
      </c>
      <c r="K732" s="76">
        <f>IF(Escenarios!$F$11&gt;0,IF(J732&gt;Constantes!$F$30,1000*((J732-Constantes!$F$30)/(Escenarios!$F$16*10000)),0),F732)</f>
        <v>0</v>
      </c>
      <c r="L732" s="76">
        <f>IF(Escenarios!$F$11&gt;0,I732*1000/Escenarios!$F$16/10000+E732,E732)</f>
        <v>2.6327763700203088</v>
      </c>
      <c r="M732" s="76">
        <f>MAX(0,N731+Observaciones!$F731-K732-Constantes!$D$13)</f>
        <v>0</v>
      </c>
      <c r="N732" s="76">
        <f>N731+Observaciones!$F731-K732-L732-M732-O731</f>
        <v>44.049290501803014</v>
      </c>
      <c r="O732" s="76">
        <f>MAX(0,(N732-Constantes!$D$14)*(1-EXP(-Constantes!$D$22)))</f>
        <v>1.1172642431518538</v>
      </c>
      <c r="P732" s="170">
        <f>P731+(Entradas!$F$83*M732-Q731)/(800*Entradas!$D$25)</f>
        <v>0</v>
      </c>
      <c r="Q732" s="170">
        <f>8000*Entradas!$D$26*P732/Constantes!$F$45</f>
        <v>0</v>
      </c>
      <c r="R732" s="170">
        <f>IF(Escenarios!$F$14&gt;0,K732*Escenarios!$F$13/Escenarios!$F$14,0)</f>
        <v>0</v>
      </c>
      <c r="S732" s="170">
        <f>IF(Escenarios!$F$14&gt;0,Q732*Escenarios!$F$13/Escenarios!$F$14,0)</f>
        <v>0</v>
      </c>
      <c r="T732" s="170">
        <f>IF(Escenarios!$F$14&gt;0,Observaciones!$I731,0)</f>
        <v>0</v>
      </c>
      <c r="U732" s="170">
        <f>IF(Escenarios!$F$14&gt;0,MAX(0,Constantes!$F$36/((Z731+R732+S732+T732+Observaciones!$F731)^2)+Entradas!$F$77),0)</f>
        <v>1.2114305818737843</v>
      </c>
      <c r="V732" s="146">
        <f>IF(ETo!D731&gt;0,ETo!I731*((1-Entradas!$F$81)*ETo!K731+ETo!L731),0)</f>
        <v>4.1050825868588703</v>
      </c>
      <c r="W732" s="170">
        <f>IF(Escenarios!$F$14&gt;0,MIN(V732*1,0.8*(Z731+R732+S732+T732+Observaciones!$F731-U732-Constantes!$F$35)),0)</f>
        <v>4.1050825868588703</v>
      </c>
      <c r="X732" s="170">
        <f>IF(Escenarios!$F$14&gt;0,Observaciones!$J731,0)</f>
        <v>0</v>
      </c>
      <c r="Y732" s="170">
        <f>IF(Escenarios!$F$14&gt;0,MAX(0,Z731+R732+S732+T732+Observaciones!$F731-U732-W732-X732-Constantes!$F$33),0)</f>
        <v>0</v>
      </c>
      <c r="Z732" s="170">
        <f>Z731+R732+S732+T732+Observaciones!$F731-U732-W732-Y732</f>
        <v>70.447608545836061</v>
      </c>
      <c r="AA732" s="170">
        <f>IF(Escenarios!$F$14&gt;0,(Escenarios!$F$13*L732+Escenarios!$F$14*W732)/(Escenarios!$F$16),L732)</f>
        <v>2.8094531160409359</v>
      </c>
      <c r="AB732" s="170">
        <f>IF(Escenarios!$F$14&gt;0,(Escenarios!$F$14*Y732)/(Escenarios!$F$16),K732)</f>
        <v>0</v>
      </c>
      <c r="AC732" s="170">
        <f>IF(Escenarios!$F$14&gt;0,(Escenarios!$F$13*M732+Escenarios!$F$14*U732)/(Escenarios!$F$16),M732)</f>
        <v>0.14537166982485411</v>
      </c>
      <c r="AD732" s="76">
        <f t="shared" si="155"/>
        <v>60.595033743091314</v>
      </c>
      <c r="AE732" s="76">
        <f>MAX(0,(AD732-Constantes!$D$13)*(1-EXP(-Constantes!$D$23)))</f>
        <v>0.11671193873791214</v>
      </c>
      <c r="AF732" s="76">
        <f>AB732+O732*Escenarios!$F$13/Escenarios!$F$16+AE732</f>
        <v>1.0999044727115435</v>
      </c>
      <c r="AG732" s="76">
        <f>IF(Entradas!$F$91&gt;0,IF(AF732-Escenarios!$F$38&lt;=0,0,IF(AF732-Escenarios!$F$38&gt;Escenarios!$F$37,Escenarios!$F$37,AF732-Escenarios!$F$38)),0)</f>
        <v>6.3104472711543513E-2</v>
      </c>
      <c r="AH732" s="76">
        <f>AG732*Entradas!$F$99</f>
        <v>0</v>
      </c>
      <c r="AI732" s="76">
        <f>IF(Entradas!$F$91&gt;0,D732*Entradas!$D$23/Escenarios!$F$16,0)</f>
        <v>0.2215862886831888</v>
      </c>
      <c r="AJ732" s="76">
        <f>IF(Entradas!$F$91&gt;0,Entradas!$D$24*Entradas!$D$22/Escenarios!$F$16,0)</f>
        <v>0.12</v>
      </c>
      <c r="AK732" s="76">
        <f t="shared" si="156"/>
        <v>3.0310394047241247</v>
      </c>
      <c r="AL732" s="76">
        <f t="shared" si="157"/>
        <v>0</v>
      </c>
      <c r="AM732" s="76">
        <f t="shared" si="158"/>
        <v>6.3104472711543513E-2</v>
      </c>
      <c r="AN732" s="76">
        <f>MAX(0,O732*Escenarios!$F$13/Escenarios!$F$16-AM732)</f>
        <v>0.92008806126208786</v>
      </c>
      <c r="AO732" s="76">
        <f>AM732+AN732-O732*Escenarios!$F$13/Escenarios!$F$16</f>
        <v>0</v>
      </c>
      <c r="AP732" s="76">
        <f t="shared" si="159"/>
        <v>0.11671193873791214</v>
      </c>
      <c r="AQ732" s="76">
        <f t="shared" si="160"/>
        <v>0</v>
      </c>
      <c r="AR732" s="76">
        <f t="shared" si="161"/>
        <v>1.0367999999999999</v>
      </c>
      <c r="AS732" s="76">
        <f t="shared" si="162"/>
        <v>0</v>
      </c>
      <c r="AT732" s="76">
        <f t="shared" si="163"/>
        <v>0.14537166982485411</v>
      </c>
      <c r="AU732" s="76">
        <f t="shared" si="164"/>
        <v>48.968252132247187</v>
      </c>
      <c r="AV732" s="76">
        <f>MAX(0,(AU732-Constantes!$D$13)*(1-EXP(-Constantes!$D$24)))</f>
        <v>3.3360377639854444E-3</v>
      </c>
      <c r="AW732" s="170">
        <f>AW731+(Entradas!$F$112*AT732-AX731)/(800*Entradas!$D$25)</f>
        <v>0</v>
      </c>
      <c r="AX732" s="170">
        <f>8000*Entradas!$D$26*AW732/Constantes!$F$45</f>
        <v>0</v>
      </c>
      <c r="AY732" s="170">
        <f>IF(Escenarios!$F$17&gt;0,10*Escenarios!$F$16*AL732,0)</f>
        <v>0</v>
      </c>
      <c r="AZ732" s="170">
        <f>IF(Escenarios!$F$17&gt;0,10*Escenarios!$F$16*AX732,0)</f>
        <v>0</v>
      </c>
      <c r="BA732" s="170">
        <f>IF(Escenarios!$F$17&gt;0,0.001*Observaciones!$F731*Escenarios!$F$17,0)</f>
        <v>0</v>
      </c>
      <c r="BB732" s="170">
        <f>IF(Escenarios!$F$17&gt;0,Observaciones!$K731,0)</f>
        <v>0</v>
      </c>
      <c r="BC732" s="170">
        <f>IF(Escenarios!$F$17&gt;0,MIN(0.0005*ETo!$M731*Escenarios!$F$17*(BG731/Constantes!$F$40)^(2/3),BG731+AY732+AZ732+BA732+BB732),0)</f>
        <v>0</v>
      </c>
      <c r="BD732" s="170">
        <f>IF(Escenarios!$F$17&gt;0,MIN(Constantes!$F$39*(BG731/Constantes!$F$40)^(2/3),BG731+AY732+AZ732+BA732+BB732-BC732),0)</f>
        <v>0</v>
      </c>
      <c r="BE732" s="170">
        <f>IF(Escenarios!$F$17&gt;0,MIN(Entradas!$F$113,BG731+AY732+AZ732+BA732+BB732-BC732-BD732),0)</f>
        <v>0</v>
      </c>
      <c r="BF732" s="170">
        <f>IF(Escenarios!$F$17&gt;0,MAX(0,BG731+AY732+AZ732+BA732+BB732-BC732-BD732-BE732-Constantes!$F$40),0)</f>
        <v>0</v>
      </c>
      <c r="BG732" s="170">
        <f t="shared" si="165"/>
        <v>0</v>
      </c>
      <c r="BH732" s="170">
        <f>(Escenarios!$F$16*AK732+0.1*BC732)/(Escenarios!$F$19)</f>
        <v>3.0310394047241247</v>
      </c>
      <c r="BI732" s="170">
        <f>IF(Escenarios!$F$17&gt;0,BF732/10/Escenarios!$F$19,AL732)</f>
        <v>0</v>
      </c>
      <c r="BJ732" s="170">
        <f>(Escenarios!$F$16*AT732+0.1*BD732)/(Escenarios!$F$19)</f>
        <v>0.14537166982485411</v>
      </c>
      <c r="BK732" s="76">
        <f>BK731+(0.1*BD732)/(Escenarios!$F$19)-BL731</f>
        <v>48.75</v>
      </c>
      <c r="BL732" s="76">
        <f>MAX(0,(BK732-Constantes!$D$13)*(1-EXP(-Constantes!$D$23)))</f>
        <v>0</v>
      </c>
      <c r="BM732" s="76">
        <f t="shared" si="166"/>
        <v>0.12004797650189758</v>
      </c>
      <c r="BN732" s="76">
        <f t="shared" si="167"/>
        <v>1.0401360377639854</v>
      </c>
      <c r="BO732" s="76">
        <f>0.0526*BI732*Observaciones!$F731^1.218</f>
        <v>0</v>
      </c>
      <c r="BP732" s="76">
        <f>BO732*Constantes!$F$51</f>
        <v>0</v>
      </c>
      <c r="BQ732" s="76">
        <f t="shared" si="168"/>
        <v>0</v>
      </c>
      <c r="BR732" s="40"/>
    </row>
    <row r="733" spans="2:70">
      <c r="B733" s="39"/>
      <c r="C733" s="75">
        <v>727</v>
      </c>
      <c r="D733" s="146">
        <f>ETo!$I732*((1-Constantes!$F$19)*ETo!$K732+ETo!$L732)</f>
        <v>4.6628890404499908</v>
      </c>
      <c r="E733" s="76">
        <f>MIN(D733*Constantes!$F$17,0.8*(N732+Observaciones!$F732-F733-M733-Constantes!$D$14))</f>
        <v>2.6593004441949915</v>
      </c>
      <c r="F733" s="76">
        <f>IF(Observaciones!$F732&gt;0.05*Constantes!$F$18,((Observaciones!$F732-0.05*Constantes!$F$18)^2)/(Observaciones!$F732+0.95*Constantes!$F$18),0)</f>
        <v>0</v>
      </c>
      <c r="G733" s="76">
        <f>IF(Escenarios!$F$11&gt;0,(F733*Escenarios!$F$16*10000)/1000,0)</f>
        <v>0</v>
      </c>
      <c r="H733" s="76">
        <f>IF(Escenarios!$F$11&gt;0,(Observaciones!$F732*Constantes!$F$29)/1000,0)</f>
        <v>0</v>
      </c>
      <c r="I733" s="76">
        <f>IF(Escenarios!$F$11&gt;0,(D733*Constantes!$F$29)/1000,0)</f>
        <v>0</v>
      </c>
      <c r="J733" s="76">
        <f>IF(Escenarios!$F$11&gt;0,MAX(0,G733+H733-I733),0)</f>
        <v>0</v>
      </c>
      <c r="K733" s="76">
        <f>IF(Escenarios!$F$11&gt;0,IF(J733&gt;Constantes!$F$30,1000*((J733-Constantes!$F$30)/(Escenarios!$F$16*10000)),0),F733)</f>
        <v>0</v>
      </c>
      <c r="L733" s="76">
        <f>IF(Escenarios!$F$11&gt;0,I733*1000/Escenarios!$F$16/10000+E733,E733)</f>
        <v>2.6593004441949915</v>
      </c>
      <c r="M733" s="76">
        <f>MAX(0,N732+Observaciones!$F732-K733-Constantes!$D$13)</f>
        <v>1.5992905018030115</v>
      </c>
      <c r="N733" s="76">
        <f>N732+Observaciones!$F732-K733-L733-M733-O732</f>
        <v>44.973435312653159</v>
      </c>
      <c r="O733" s="76">
        <f>MAX(0,(N733-Constantes!$D$14)*(1-EXP(-Constantes!$D$22)))</f>
        <v>1.148744008014464</v>
      </c>
      <c r="P733" s="170">
        <f>P732+(Entradas!$F$83*M733-Q732)/(800*Entradas!$D$25)</f>
        <v>0</v>
      </c>
      <c r="Q733" s="170">
        <f>8000*Entradas!$D$26*P733/Constantes!$F$45</f>
        <v>0</v>
      </c>
      <c r="R733" s="170">
        <f>IF(Escenarios!$F$14&gt;0,K733*Escenarios!$F$13/Escenarios!$F$14,0)</f>
        <v>0</v>
      </c>
      <c r="S733" s="170">
        <f>IF(Escenarios!$F$14&gt;0,Q733*Escenarios!$F$13/Escenarios!$F$14,0)</f>
        <v>0</v>
      </c>
      <c r="T733" s="170">
        <f>IF(Escenarios!$F$14&gt;0,Observaciones!$I732,0)</f>
        <v>0</v>
      </c>
      <c r="U733" s="170">
        <f>IF(Escenarios!$F$14&gt;0,MAX(0,Constantes!$F$36/((Z732+R733+S733+T733+Observaciones!$F732)^2)+Entradas!$F$77),0)</f>
        <v>1.2569763357106003</v>
      </c>
      <c r="V733" s="146">
        <f>IF(ETo!D732&gt;0,ETo!I732*((1-Entradas!$F$81)*ETo!K732+ETo!L732),0)</f>
        <v>4.1472375867668507</v>
      </c>
      <c r="W733" s="170">
        <f>IF(Escenarios!$F$14&gt;0,MIN(V733*1,0.8*(Z732+R733+S733+T733+Observaciones!$F732-U733-Constantes!$F$35)),0)</f>
        <v>4.1472375867668507</v>
      </c>
      <c r="X733" s="170">
        <f>IF(Escenarios!$F$14&gt;0,Observaciones!$J732,0)</f>
        <v>0</v>
      </c>
      <c r="Y733" s="170">
        <f>IF(Escenarios!$F$14&gt;0,MAX(0,Z732+R733+S733+T733+Observaciones!$F732-U733-W733-X733-Constantes!$F$33),0)</f>
        <v>0</v>
      </c>
      <c r="Z733" s="170">
        <f>Z732+R733+S733+T733+Observaciones!$F732-U733-W733-Y733</f>
        <v>71.343394623358606</v>
      </c>
      <c r="AA733" s="170">
        <f>IF(Escenarios!$F$14&gt;0,(Escenarios!$F$13*L733+Escenarios!$F$14*W733)/(Escenarios!$F$16),L733)</f>
        <v>2.8378529013036147</v>
      </c>
      <c r="AB733" s="170">
        <f>IF(Escenarios!$F$14&gt;0,(Escenarios!$F$14*Y733)/(Escenarios!$F$16),K733)</f>
        <v>0</v>
      </c>
      <c r="AC733" s="170">
        <f>IF(Escenarios!$F$14&gt;0,(Escenarios!$F$13*M733+Escenarios!$F$14*U733)/(Escenarios!$F$16),M733)</f>
        <v>1.5582128018719223</v>
      </c>
      <c r="AD733" s="76">
        <f t="shared" si="155"/>
        <v>62.036534606225324</v>
      </c>
      <c r="AE733" s="76">
        <f>MAX(0,(AD733-Constantes!$D$13)*(1-EXP(-Constantes!$D$23)))</f>
        <v>0.13091539008112771</v>
      </c>
      <c r="AF733" s="76">
        <f>AB733+O733*Escenarios!$F$13/Escenarios!$F$16+AE733</f>
        <v>1.1418101171338559</v>
      </c>
      <c r="AG733" s="76">
        <f>IF(Entradas!$F$91&gt;0,IF(AF733-Escenarios!$F$38&lt;=0,0,IF(AF733-Escenarios!$F$38&gt;Escenarios!$F$37,Escenarios!$F$37,AF733-Escenarios!$F$38)),0)</f>
        <v>0.105010117133856</v>
      </c>
      <c r="AH733" s="76">
        <f>AG733*Entradas!$F$99</f>
        <v>0</v>
      </c>
      <c r="AI733" s="76">
        <f>IF(Entradas!$F$91&gt;0,D733*Entradas!$D$23/Escenarios!$F$16,0)</f>
        <v>0.22381867394159957</v>
      </c>
      <c r="AJ733" s="76">
        <f>IF(Entradas!$F$91&gt;0,Entradas!$D$24*Entradas!$D$22/Escenarios!$F$16,0)</f>
        <v>0.12</v>
      </c>
      <c r="AK733" s="76">
        <f t="shared" si="156"/>
        <v>3.0616715752452142</v>
      </c>
      <c r="AL733" s="76">
        <f t="shared" si="157"/>
        <v>0</v>
      </c>
      <c r="AM733" s="76">
        <f t="shared" si="158"/>
        <v>0.105010117133856</v>
      </c>
      <c r="AN733" s="76">
        <f>MAX(0,O733*Escenarios!$F$13/Escenarios!$F$16-AM733)</f>
        <v>0.90588460991887221</v>
      </c>
      <c r="AO733" s="76">
        <f>AM733+AN733-O733*Escenarios!$F$13/Escenarios!$F$16</f>
        <v>0</v>
      </c>
      <c r="AP733" s="76">
        <f t="shared" si="159"/>
        <v>0.13091539008112771</v>
      </c>
      <c r="AQ733" s="76">
        <f t="shared" si="160"/>
        <v>0</v>
      </c>
      <c r="AR733" s="76">
        <f t="shared" si="161"/>
        <v>1.0367999999999999</v>
      </c>
      <c r="AS733" s="76">
        <f t="shared" si="162"/>
        <v>0</v>
      </c>
      <c r="AT733" s="76">
        <f t="shared" si="163"/>
        <v>1.5582128018719223</v>
      </c>
      <c r="AU733" s="76">
        <f t="shared" si="164"/>
        <v>48.9649160944832</v>
      </c>
      <c r="AV733" s="76">
        <f>MAX(0,(AU733-Constantes!$D$13)*(1-EXP(-Constantes!$D$24)))</f>
        <v>3.2850456025428415E-3</v>
      </c>
      <c r="AW733" s="170">
        <f>AW732+(Entradas!$F$112*AT733-AX732)/(800*Entradas!$D$25)</f>
        <v>0</v>
      </c>
      <c r="AX733" s="170">
        <f>8000*Entradas!$D$26*AW733/Constantes!$F$45</f>
        <v>0</v>
      </c>
      <c r="AY733" s="170">
        <f>IF(Escenarios!$F$17&gt;0,10*Escenarios!$F$16*AL733,0)</f>
        <v>0</v>
      </c>
      <c r="AZ733" s="170">
        <f>IF(Escenarios!$F$17&gt;0,10*Escenarios!$F$16*AX733,0)</f>
        <v>0</v>
      </c>
      <c r="BA733" s="170">
        <f>IF(Escenarios!$F$17&gt;0,0.001*Observaciones!$F732*Escenarios!$F$17,0)</f>
        <v>0</v>
      </c>
      <c r="BB733" s="170">
        <f>IF(Escenarios!$F$17&gt;0,Observaciones!$K732,0)</f>
        <v>0</v>
      </c>
      <c r="BC733" s="170">
        <f>IF(Escenarios!$F$17&gt;0,MIN(0.0005*ETo!$M732*Escenarios!$F$17*(BG732/Constantes!$F$40)^(2/3),BG732+AY733+AZ733+BA733+BB733),0)</f>
        <v>0</v>
      </c>
      <c r="BD733" s="170">
        <f>IF(Escenarios!$F$17&gt;0,MIN(Constantes!$F$39*(BG732/Constantes!$F$40)^(2/3),BG732+AY733+AZ733+BA733+BB733-BC733),0)</f>
        <v>0</v>
      </c>
      <c r="BE733" s="170">
        <f>IF(Escenarios!$F$17&gt;0,MIN(Entradas!$F$113,BG732+AY733+AZ733+BA733+BB733-BC733-BD733),0)</f>
        <v>0</v>
      </c>
      <c r="BF733" s="170">
        <f>IF(Escenarios!$F$17&gt;0,MAX(0,BG732+AY733+AZ733+BA733+BB733-BC733-BD733-BE733-Constantes!$F$40),0)</f>
        <v>0</v>
      </c>
      <c r="BG733" s="170">
        <f t="shared" si="165"/>
        <v>0</v>
      </c>
      <c r="BH733" s="170">
        <f>(Escenarios!$F$16*AK733+0.1*BC733)/(Escenarios!$F$19)</f>
        <v>3.0616715752452142</v>
      </c>
      <c r="BI733" s="170">
        <f>IF(Escenarios!$F$17&gt;0,BF733/10/Escenarios!$F$19,AL733)</f>
        <v>0</v>
      </c>
      <c r="BJ733" s="170">
        <f>(Escenarios!$F$16*AT733+0.1*BD733)/(Escenarios!$F$19)</f>
        <v>1.5582128018719223</v>
      </c>
      <c r="BK733" s="76">
        <f>BK732+(0.1*BD733)/(Escenarios!$F$19)-BL732</f>
        <v>48.75</v>
      </c>
      <c r="BL733" s="76">
        <f>MAX(0,(BK733-Constantes!$D$13)*(1-EXP(-Constantes!$D$23)))</f>
        <v>0</v>
      </c>
      <c r="BM733" s="76">
        <f t="shared" si="166"/>
        <v>0.13420043568367054</v>
      </c>
      <c r="BN733" s="76">
        <f t="shared" si="167"/>
        <v>1.0400850456025428</v>
      </c>
      <c r="BO733" s="76">
        <f>0.0526*BI733*Observaciones!$F732^1.218</f>
        <v>0</v>
      </c>
      <c r="BP733" s="76">
        <f>BO733*Constantes!$F$51</f>
        <v>0</v>
      </c>
      <c r="BQ733" s="76">
        <f t="shared" si="168"/>
        <v>0</v>
      </c>
      <c r="BR733" s="40"/>
    </row>
    <row r="734" spans="2:70">
      <c r="B734" s="39"/>
      <c r="C734" s="75">
        <v>728</v>
      </c>
      <c r="D734" s="146">
        <f>ETo!$I733*((1-Constantes!$F$19)*ETo!$K733+ETo!$L733)</f>
        <v>4.4722564668482754</v>
      </c>
      <c r="E734" s="76">
        <f>MIN(D734*Constantes!$F$17,0.8*(N733+Observaciones!$F733-F734-M734-Constantes!$D$14))</f>
        <v>2.5505804460866615</v>
      </c>
      <c r="F734" s="76">
        <f>IF(Observaciones!$F733&gt;0.05*Constantes!$F$18,((Observaciones!$F733-0.05*Constantes!$F$18)^2)/(Observaciones!$F733+0.95*Constantes!$F$18),0)</f>
        <v>0</v>
      </c>
      <c r="G734" s="76">
        <f>IF(Escenarios!$F$11&gt;0,(F734*Escenarios!$F$16*10000)/1000,0)</f>
        <v>0</v>
      </c>
      <c r="H734" s="76">
        <f>IF(Escenarios!$F$11&gt;0,(Observaciones!$F733*Constantes!$F$29)/1000,0)</f>
        <v>0</v>
      </c>
      <c r="I734" s="76">
        <f>IF(Escenarios!$F$11&gt;0,(D734*Constantes!$F$29)/1000,0)</f>
        <v>0</v>
      </c>
      <c r="J734" s="76">
        <f>IF(Escenarios!$F$11&gt;0,MAX(0,G734+H734-I734),0)</f>
        <v>0</v>
      </c>
      <c r="K734" s="76">
        <f>IF(Escenarios!$F$11&gt;0,IF(J734&gt;Constantes!$F$30,1000*((J734-Constantes!$F$30)/(Escenarios!$F$16*10000)),0),F734)</f>
        <v>0</v>
      </c>
      <c r="L734" s="76">
        <f>IF(Escenarios!$F$11&gt;0,I734*1000/Escenarios!$F$16/10000+E734,E734)</f>
        <v>2.5505804460866615</v>
      </c>
      <c r="M734" s="76">
        <f>MAX(0,N733+Observaciones!$F733-K734-Constantes!$D$13)</f>
        <v>0.12343531265315733</v>
      </c>
      <c r="N734" s="76">
        <f>N733+Observaciones!$F733-K734-L734-M734-O733</f>
        <v>45.050675545898876</v>
      </c>
      <c r="O734" s="76">
        <f>MAX(0,(N734-Constantes!$D$14)*(1-EXP(-Constantes!$D$22)))</f>
        <v>1.1513750939135141</v>
      </c>
      <c r="P734" s="170">
        <f>P733+(Entradas!$F$83*M734-Q733)/(800*Entradas!$D$25)</f>
        <v>0</v>
      </c>
      <c r="Q734" s="170">
        <f>8000*Entradas!$D$26*P734/Constantes!$F$45</f>
        <v>0</v>
      </c>
      <c r="R734" s="170">
        <f>IF(Escenarios!$F$14&gt;0,K734*Escenarios!$F$13/Escenarios!$F$14,0)</f>
        <v>0</v>
      </c>
      <c r="S734" s="170">
        <f>IF(Escenarios!$F$14&gt;0,Q734*Escenarios!$F$13/Escenarios!$F$14,0)</f>
        <v>0</v>
      </c>
      <c r="T734" s="170">
        <f>IF(Escenarios!$F$14&gt;0,Observaciones!$I733,0)</f>
        <v>0</v>
      </c>
      <c r="U734" s="170">
        <f>IF(Escenarios!$F$14&gt;0,MAX(0,Constantes!$F$36/((Z733+R734+S734+T734+Observaciones!$F733)^2)+Entradas!$F$77),0)</f>
        <v>1.1865890841247466</v>
      </c>
      <c r="V734" s="146">
        <f>IF(ETo!D733&gt;0,ETo!I733*((1-Entradas!$F$81)*ETo!K733+ETo!L733),0)</f>
        <v>3.9748298889643623</v>
      </c>
      <c r="W734" s="170">
        <f>IF(Escenarios!$F$14&gt;0,MIN(V734*1,0.8*(Z733+R734+S734+T734+Observaciones!$F733-U734-Constantes!$F$35)),0)</f>
        <v>3.9748298889643623</v>
      </c>
      <c r="X734" s="170">
        <f>IF(Escenarios!$F$14&gt;0,Observaciones!$J733,0)</f>
        <v>0</v>
      </c>
      <c r="Y734" s="170">
        <f>IF(Escenarios!$F$14&gt;0,MAX(0,Z733+R734+S734+T734+Observaciones!$F733-U734-W734-X734-Constantes!$F$33),0)</f>
        <v>0</v>
      </c>
      <c r="Z734" s="170">
        <f>Z733+R734+S734+T734+Observaciones!$F733-U734-W734-Y734</f>
        <v>70.081975650269499</v>
      </c>
      <c r="AA734" s="170">
        <f>IF(Escenarios!$F$14&gt;0,(Escenarios!$F$13*L734+Escenarios!$F$14*W734)/(Escenarios!$F$16),L734)</f>
        <v>2.7214903792319856</v>
      </c>
      <c r="AB734" s="170">
        <f>IF(Escenarios!$F$14&gt;0,(Escenarios!$F$14*Y734)/(Escenarios!$F$16),K734)</f>
        <v>0</v>
      </c>
      <c r="AC734" s="170">
        <f>IF(Escenarios!$F$14&gt;0,(Escenarios!$F$13*M734+Escenarios!$F$14*U734)/(Escenarios!$F$16),M734)</f>
        <v>0.25101376522974805</v>
      </c>
      <c r="AD734" s="76">
        <f t="shared" si="155"/>
        <v>62.156632981373946</v>
      </c>
      <c r="AE734" s="76">
        <f>MAX(0,(AD734-Constantes!$D$13)*(1-EXP(-Constantes!$D$23)))</f>
        <v>0.1320987479766714</v>
      </c>
      <c r="AF734" s="76">
        <f>AB734+O734*Escenarios!$F$13/Escenarios!$F$16+AE734</f>
        <v>1.1453088306205637</v>
      </c>
      <c r="AG734" s="76">
        <f>IF(Entradas!$F$91&gt;0,IF(AF734-Escenarios!$F$38&lt;=0,0,IF(AF734-Escenarios!$F$38&gt;Escenarios!$F$37,Escenarios!$F$37,AF734-Escenarios!$F$38)),0)</f>
        <v>0.10850883062056371</v>
      </c>
      <c r="AH734" s="76">
        <f>AG734*Entradas!$F$99</f>
        <v>0</v>
      </c>
      <c r="AI734" s="76">
        <f>IF(Entradas!$F$91&gt;0,D734*Entradas!$D$23/Escenarios!$F$16,0)</f>
        <v>0.21466831040871723</v>
      </c>
      <c r="AJ734" s="76">
        <f>IF(Entradas!$F$91&gt;0,Entradas!$D$24*Entradas!$D$22/Escenarios!$F$16,0)</f>
        <v>0.12</v>
      </c>
      <c r="AK734" s="76">
        <f t="shared" si="156"/>
        <v>2.9361586896407026</v>
      </c>
      <c r="AL734" s="76">
        <f t="shared" si="157"/>
        <v>0</v>
      </c>
      <c r="AM734" s="76">
        <f t="shared" si="158"/>
        <v>0.10850883062056371</v>
      </c>
      <c r="AN734" s="76">
        <f>MAX(0,O734*Escenarios!$F$13/Escenarios!$F$16-AM734)</f>
        <v>0.90470125202332863</v>
      </c>
      <c r="AO734" s="76">
        <f>AM734+AN734-O734*Escenarios!$F$13/Escenarios!$F$16</f>
        <v>0</v>
      </c>
      <c r="AP734" s="76">
        <f t="shared" si="159"/>
        <v>0.1320987479766714</v>
      </c>
      <c r="AQ734" s="76">
        <f t="shared" si="160"/>
        <v>0</v>
      </c>
      <c r="AR734" s="76">
        <f t="shared" si="161"/>
        <v>1.0367999999999999</v>
      </c>
      <c r="AS734" s="76">
        <f t="shared" si="162"/>
        <v>0</v>
      </c>
      <c r="AT734" s="76">
        <f t="shared" si="163"/>
        <v>0.25101376522974805</v>
      </c>
      <c r="AU734" s="76">
        <f t="shared" si="164"/>
        <v>48.961631048880655</v>
      </c>
      <c r="AV734" s="76">
        <f>MAX(0,(AU734-Constantes!$D$13)*(1-EXP(-Constantes!$D$24)))</f>
        <v>3.2348328688862702E-3</v>
      </c>
      <c r="AW734" s="170">
        <f>AW733+(Entradas!$F$112*AT734-AX733)/(800*Entradas!$D$25)</f>
        <v>0</v>
      </c>
      <c r="AX734" s="170">
        <f>8000*Entradas!$D$26*AW734/Constantes!$F$45</f>
        <v>0</v>
      </c>
      <c r="AY734" s="170">
        <f>IF(Escenarios!$F$17&gt;0,10*Escenarios!$F$16*AL734,0)</f>
        <v>0</v>
      </c>
      <c r="AZ734" s="170">
        <f>IF(Escenarios!$F$17&gt;0,10*Escenarios!$F$16*AX734,0)</f>
        <v>0</v>
      </c>
      <c r="BA734" s="170">
        <f>IF(Escenarios!$F$17&gt;0,0.001*Observaciones!$F733*Escenarios!$F$17,0)</f>
        <v>0</v>
      </c>
      <c r="BB734" s="170">
        <f>IF(Escenarios!$F$17&gt;0,Observaciones!$K733,0)</f>
        <v>0</v>
      </c>
      <c r="BC734" s="170">
        <f>IF(Escenarios!$F$17&gt;0,MIN(0.0005*ETo!$M733*Escenarios!$F$17*(BG733/Constantes!$F$40)^(2/3),BG733+AY734+AZ734+BA734+BB734),0)</f>
        <v>0</v>
      </c>
      <c r="BD734" s="170">
        <f>IF(Escenarios!$F$17&gt;0,MIN(Constantes!$F$39*(BG733/Constantes!$F$40)^(2/3),BG733+AY734+AZ734+BA734+BB734-BC734),0)</f>
        <v>0</v>
      </c>
      <c r="BE734" s="170">
        <f>IF(Escenarios!$F$17&gt;0,MIN(Entradas!$F$113,BG733+AY734+AZ734+BA734+BB734-BC734-BD734),0)</f>
        <v>0</v>
      </c>
      <c r="BF734" s="170">
        <f>IF(Escenarios!$F$17&gt;0,MAX(0,BG733+AY734+AZ734+BA734+BB734-BC734-BD734-BE734-Constantes!$F$40),0)</f>
        <v>0</v>
      </c>
      <c r="BG734" s="170">
        <f t="shared" si="165"/>
        <v>0</v>
      </c>
      <c r="BH734" s="170">
        <f>(Escenarios!$F$16*AK734+0.1*BC734)/(Escenarios!$F$19)</f>
        <v>2.9361586896407026</v>
      </c>
      <c r="BI734" s="170">
        <f>IF(Escenarios!$F$17&gt;0,BF734/10/Escenarios!$F$19,AL734)</f>
        <v>0</v>
      </c>
      <c r="BJ734" s="170">
        <f>(Escenarios!$F$16*AT734+0.1*BD734)/(Escenarios!$F$19)</f>
        <v>0.25101376522974805</v>
      </c>
      <c r="BK734" s="76">
        <f>BK733+(0.1*BD734)/(Escenarios!$F$19)-BL733</f>
        <v>48.75</v>
      </c>
      <c r="BL734" s="76">
        <f>MAX(0,(BK734-Constantes!$D$13)*(1-EXP(-Constantes!$D$23)))</f>
        <v>0</v>
      </c>
      <c r="BM734" s="76">
        <f t="shared" si="166"/>
        <v>0.13533358084555766</v>
      </c>
      <c r="BN734" s="76">
        <f t="shared" si="167"/>
        <v>1.0400348328688862</v>
      </c>
      <c r="BO734" s="76">
        <f>0.0526*BI734*Observaciones!$F733^1.218</f>
        <v>0</v>
      </c>
      <c r="BP734" s="76">
        <f>BO734*Constantes!$F$51</f>
        <v>0</v>
      </c>
      <c r="BQ734" s="76">
        <f t="shared" si="168"/>
        <v>0</v>
      </c>
      <c r="BR734" s="40"/>
    </row>
    <row r="735" spans="2:70">
      <c r="B735" s="39"/>
      <c r="C735" s="75">
        <v>729</v>
      </c>
      <c r="D735" s="146">
        <f>ETo!$I734*((1-Constantes!$F$19)*ETo!$K734+ETo!$L734)</f>
        <v>4.4769434688182894</v>
      </c>
      <c r="E735" s="76">
        <f>MIN(D735*Constantes!$F$17,0.8*(N734+Observaciones!$F734-F735-M735-Constantes!$D$14))</f>
        <v>2.5532534984180972</v>
      </c>
      <c r="F735" s="76">
        <f>IF(Observaciones!$F734&gt;0.05*Constantes!$F$18,((Observaciones!$F734-0.05*Constantes!$F$18)^2)/(Observaciones!$F734+0.95*Constantes!$F$18),0)</f>
        <v>0</v>
      </c>
      <c r="G735" s="76">
        <f>IF(Escenarios!$F$11&gt;0,(F735*Escenarios!$F$16*10000)/1000,0)</f>
        <v>0</v>
      </c>
      <c r="H735" s="76">
        <f>IF(Escenarios!$F$11&gt;0,(Observaciones!$F734*Constantes!$F$29)/1000,0)</f>
        <v>0</v>
      </c>
      <c r="I735" s="76">
        <f>IF(Escenarios!$F$11&gt;0,(D735*Constantes!$F$29)/1000,0)</f>
        <v>0</v>
      </c>
      <c r="J735" s="76">
        <f>IF(Escenarios!$F$11&gt;0,MAX(0,G735+H735-I735),0)</f>
        <v>0</v>
      </c>
      <c r="K735" s="76">
        <f>IF(Escenarios!$F$11&gt;0,IF(J735&gt;Constantes!$F$30,1000*((J735-Constantes!$F$30)/(Escenarios!$F$16*10000)),0),F735)</f>
        <v>0</v>
      </c>
      <c r="L735" s="76">
        <f>IF(Escenarios!$F$11&gt;0,I735*1000/Escenarios!$F$16/10000+E735,E735)</f>
        <v>2.5532534984180972</v>
      </c>
      <c r="M735" s="76">
        <f>MAX(0,N734+Observaciones!$F734-K735-Constantes!$D$13)</f>
        <v>0.40067554589887777</v>
      </c>
      <c r="N735" s="76">
        <f>N734+Observaciones!$F734-K735-L735-M735-O734</f>
        <v>45.045371407668391</v>
      </c>
      <c r="O735" s="76">
        <f>MAX(0,(N735-Constantes!$D$14)*(1-EXP(-Constantes!$D$22)))</f>
        <v>1.1511944154934939</v>
      </c>
      <c r="P735" s="170">
        <f>P734+(Entradas!$F$83*M735-Q734)/(800*Entradas!$D$25)</f>
        <v>0</v>
      </c>
      <c r="Q735" s="170">
        <f>8000*Entradas!$D$26*P735/Constantes!$F$45</f>
        <v>0</v>
      </c>
      <c r="R735" s="170">
        <f>IF(Escenarios!$F$14&gt;0,K735*Escenarios!$F$13/Escenarios!$F$14,0)</f>
        <v>0</v>
      </c>
      <c r="S735" s="170">
        <f>IF(Escenarios!$F$14&gt;0,Q735*Escenarios!$F$13/Escenarios!$F$14,0)</f>
        <v>0</v>
      </c>
      <c r="T735" s="170">
        <f>IF(Escenarios!$F$14&gt;0,Observaciones!$I734,0)</f>
        <v>0</v>
      </c>
      <c r="U735" s="170">
        <f>IF(Escenarios!$F$14&gt;0,MAX(0,Constantes!$F$36/((Z734+R735+S735+T735+Observaciones!$F734)^2)+Entradas!$F$77),0)</f>
        <v>1.1343241241883351</v>
      </c>
      <c r="V735" s="146">
        <f>IF(ETo!D734&gt;0,ETo!I734*((1-Entradas!$F$81)*ETo!K734+ETo!L734),0)</f>
        <v>3.9790574298948695</v>
      </c>
      <c r="W735" s="170">
        <f>IF(Escenarios!$F$14&gt;0,MIN(V735*1,0.8*(Z734+R735+S735+T735+Observaciones!$F734-U735-Constantes!$F$35)),0)</f>
        <v>3.9790574298948695</v>
      </c>
      <c r="X735" s="170">
        <f>IF(Escenarios!$F$14&gt;0,Observaciones!$J734,0)</f>
        <v>0</v>
      </c>
      <c r="Y735" s="170">
        <f>IF(Escenarios!$F$14&gt;0,MAX(0,Z734+R735+S735+T735+Observaciones!$F734-U735-W735-X735-Constantes!$F$33),0)</f>
        <v>0</v>
      </c>
      <c r="Z735" s="170">
        <f>Z734+R735+S735+T735+Observaciones!$F734-U735-W735-Y735</f>
        <v>69.068594096186288</v>
      </c>
      <c r="AA735" s="170">
        <f>IF(Escenarios!$F$14&gt;0,(Escenarios!$F$13*L735+Escenarios!$F$14*W735)/(Escenarios!$F$16),L735)</f>
        <v>2.72434997019531</v>
      </c>
      <c r="AB735" s="170">
        <f>IF(Escenarios!$F$14&gt;0,(Escenarios!$F$14*Y735)/(Escenarios!$F$16),K735)</f>
        <v>0</v>
      </c>
      <c r="AC735" s="170">
        <f>IF(Escenarios!$F$14&gt;0,(Escenarios!$F$13*M735+Escenarios!$F$14*U735)/(Escenarios!$F$16),M735)</f>
        <v>0.4887133752936127</v>
      </c>
      <c r="AD735" s="76">
        <f t="shared" si="155"/>
        <v>62.513247608690889</v>
      </c>
      <c r="AE735" s="76">
        <f>MAX(0,(AD735-Constantes!$D$13)*(1-EXP(-Constantes!$D$23)))</f>
        <v>0.1356125568386119</v>
      </c>
      <c r="AF735" s="76">
        <f>AB735+O735*Escenarios!$F$13/Escenarios!$F$16+AE735</f>
        <v>1.1486636424728867</v>
      </c>
      <c r="AG735" s="76">
        <f>IF(Entradas!$F$91&gt;0,IF(AF735-Escenarios!$F$38&lt;=0,0,IF(AF735-Escenarios!$F$38&gt;Escenarios!$F$37,Escenarios!$F$37,AF735-Escenarios!$F$38)),0)</f>
        <v>0.11186364247288672</v>
      </c>
      <c r="AH735" s="76">
        <f>AG735*Entradas!$F$99</f>
        <v>0</v>
      </c>
      <c r="AI735" s="76">
        <f>IF(Entradas!$F$91&gt;0,D735*Entradas!$D$23/Escenarios!$F$16,0)</f>
        <v>0.21489328650327788</v>
      </c>
      <c r="AJ735" s="76">
        <f>IF(Entradas!$F$91&gt;0,Entradas!$D$24*Entradas!$D$22/Escenarios!$F$16,0)</f>
        <v>0.12</v>
      </c>
      <c r="AK735" s="76">
        <f t="shared" si="156"/>
        <v>2.939243256698588</v>
      </c>
      <c r="AL735" s="76">
        <f t="shared" si="157"/>
        <v>0</v>
      </c>
      <c r="AM735" s="76">
        <f t="shared" si="158"/>
        <v>0.11186364247288672</v>
      </c>
      <c r="AN735" s="76">
        <f>MAX(0,O735*Escenarios!$F$13/Escenarios!$F$16-AM735)</f>
        <v>0.90118744316138799</v>
      </c>
      <c r="AO735" s="76">
        <f>AM735+AN735-O735*Escenarios!$F$13/Escenarios!$F$16</f>
        <v>0</v>
      </c>
      <c r="AP735" s="76">
        <f t="shared" si="159"/>
        <v>0.1356125568386119</v>
      </c>
      <c r="AQ735" s="76">
        <f t="shared" si="160"/>
        <v>0</v>
      </c>
      <c r="AR735" s="76">
        <f t="shared" si="161"/>
        <v>1.0367999999999999</v>
      </c>
      <c r="AS735" s="76">
        <f t="shared" si="162"/>
        <v>0</v>
      </c>
      <c r="AT735" s="76">
        <f t="shared" si="163"/>
        <v>0.4887133752936127</v>
      </c>
      <c r="AU735" s="76">
        <f t="shared" si="164"/>
        <v>48.958396216011771</v>
      </c>
      <c r="AV735" s="76">
        <f>MAX(0,(AU735-Constantes!$D$13)*(1-EXP(-Constantes!$D$24)))</f>
        <v>3.1853876492695548E-3</v>
      </c>
      <c r="AW735" s="170">
        <f>AW734+(Entradas!$F$112*AT735-AX734)/(800*Entradas!$D$25)</f>
        <v>0</v>
      </c>
      <c r="AX735" s="170">
        <f>8000*Entradas!$D$26*AW735/Constantes!$F$45</f>
        <v>0</v>
      </c>
      <c r="AY735" s="170">
        <f>IF(Escenarios!$F$17&gt;0,10*Escenarios!$F$16*AL735,0)</f>
        <v>0</v>
      </c>
      <c r="AZ735" s="170">
        <f>IF(Escenarios!$F$17&gt;0,10*Escenarios!$F$16*AX735,0)</f>
        <v>0</v>
      </c>
      <c r="BA735" s="170">
        <f>IF(Escenarios!$F$17&gt;0,0.001*Observaciones!$F734*Escenarios!$F$17,0)</f>
        <v>0</v>
      </c>
      <c r="BB735" s="170">
        <f>IF(Escenarios!$F$17&gt;0,Observaciones!$K734,0)</f>
        <v>0</v>
      </c>
      <c r="BC735" s="170">
        <f>IF(Escenarios!$F$17&gt;0,MIN(0.0005*ETo!$M734*Escenarios!$F$17*(BG734/Constantes!$F$40)^(2/3),BG734+AY735+AZ735+BA735+BB735),0)</f>
        <v>0</v>
      </c>
      <c r="BD735" s="170">
        <f>IF(Escenarios!$F$17&gt;0,MIN(Constantes!$F$39*(BG734/Constantes!$F$40)^(2/3),BG734+AY735+AZ735+BA735+BB735-BC735),0)</f>
        <v>0</v>
      </c>
      <c r="BE735" s="170">
        <f>IF(Escenarios!$F$17&gt;0,MIN(Entradas!$F$113,BG734+AY735+AZ735+BA735+BB735-BC735-BD735),0)</f>
        <v>0</v>
      </c>
      <c r="BF735" s="170">
        <f>IF(Escenarios!$F$17&gt;0,MAX(0,BG734+AY735+AZ735+BA735+BB735-BC735-BD735-BE735-Constantes!$F$40),0)</f>
        <v>0</v>
      </c>
      <c r="BG735" s="170">
        <f t="shared" si="165"/>
        <v>0</v>
      </c>
      <c r="BH735" s="170">
        <f>(Escenarios!$F$16*AK735+0.1*BC735)/(Escenarios!$F$19)</f>
        <v>2.939243256698588</v>
      </c>
      <c r="BI735" s="170">
        <f>IF(Escenarios!$F$17&gt;0,BF735/10/Escenarios!$F$19,AL735)</f>
        <v>0</v>
      </c>
      <c r="BJ735" s="170">
        <f>(Escenarios!$F$16*AT735+0.1*BD735)/(Escenarios!$F$19)</f>
        <v>0.4887133752936127</v>
      </c>
      <c r="BK735" s="76">
        <f>BK734+(0.1*BD735)/(Escenarios!$F$19)-BL734</f>
        <v>48.75</v>
      </c>
      <c r="BL735" s="76">
        <f>MAX(0,(BK735-Constantes!$D$13)*(1-EXP(-Constantes!$D$23)))</f>
        <v>0</v>
      </c>
      <c r="BM735" s="76">
        <f t="shared" si="166"/>
        <v>0.13879794448788146</v>
      </c>
      <c r="BN735" s="76">
        <f t="shared" si="167"/>
        <v>1.0399853876492695</v>
      </c>
      <c r="BO735" s="76">
        <f>0.0526*BI735*Observaciones!$F734^1.218</f>
        <v>0</v>
      </c>
      <c r="BP735" s="76">
        <f>BO735*Constantes!$F$51</f>
        <v>0</v>
      </c>
      <c r="BQ735" s="76">
        <f t="shared" si="168"/>
        <v>0</v>
      </c>
      <c r="BR735" s="40"/>
    </row>
    <row r="736" spans="2:70">
      <c r="B736" s="39"/>
      <c r="C736" s="75">
        <v>730</v>
      </c>
      <c r="D736" s="146">
        <f>ETo!$I735*((1-Constantes!$F$19)*ETo!$K735+ETo!$L735)</f>
        <v>4.2951232070782757</v>
      </c>
      <c r="E736" s="76">
        <f>MIN(D736*Constantes!$F$17,0.8*(N735+Observaciones!$F735-F736-M736-Constantes!$D$14))</f>
        <v>2.4495592653762133</v>
      </c>
      <c r="F736" s="76">
        <f>IF(Observaciones!$F735&gt;0.05*Constantes!$F$18,((Observaciones!$F735-0.05*Constantes!$F$18)^2)/(Observaciones!$F735+0.95*Constantes!$F$18),0)</f>
        <v>0</v>
      </c>
      <c r="G736" s="76">
        <f>IF(Escenarios!$F$11&gt;0,(F736*Escenarios!$F$16*10000)/1000,0)</f>
        <v>0</v>
      </c>
      <c r="H736" s="76">
        <f>IF(Escenarios!$F$11&gt;0,(Observaciones!$F735*Constantes!$F$29)/1000,0)</f>
        <v>0</v>
      </c>
      <c r="I736" s="76">
        <f>IF(Escenarios!$F$11&gt;0,(D736*Constantes!$F$29)/1000,0)</f>
        <v>0</v>
      </c>
      <c r="J736" s="76">
        <f>IF(Escenarios!$F$11&gt;0,MAX(0,G736+H736-I736),0)</f>
        <v>0</v>
      </c>
      <c r="K736" s="76">
        <f>IF(Escenarios!$F$11&gt;0,IF(J736&gt;Constantes!$F$30,1000*((J736-Constantes!$F$30)/(Escenarios!$F$16*10000)),0),F736)</f>
        <v>0</v>
      </c>
      <c r="L736" s="76">
        <f>IF(Escenarios!$F$11&gt;0,I736*1000/Escenarios!$F$16/10000+E736,E736)</f>
        <v>2.4495592653762133</v>
      </c>
      <c r="M736" s="76">
        <f>MAX(0,N735+Observaciones!$F735-K736-Constantes!$D$13)</f>
        <v>0</v>
      </c>
      <c r="N736" s="76">
        <f>N735+Observaciones!$F735-K736-L736-M736-O735</f>
        <v>43.944617726798683</v>
      </c>
      <c r="O736" s="76">
        <f>MAX(0,(N736-Constantes!$D$14)*(1-EXP(-Constantes!$D$22)))</f>
        <v>1.1136987041735826</v>
      </c>
      <c r="P736" s="170">
        <f>P735+(Entradas!$F$83*M736-Q735)/(800*Entradas!$D$25)</f>
        <v>0</v>
      </c>
      <c r="Q736" s="170">
        <f>8000*Entradas!$D$26*P736/Constantes!$F$45</f>
        <v>0</v>
      </c>
      <c r="R736" s="170">
        <f>IF(Escenarios!$F$14&gt;0,K736*Escenarios!$F$13/Escenarios!$F$14,0)</f>
        <v>0</v>
      </c>
      <c r="S736" s="170">
        <f>IF(Escenarios!$F$14&gt;0,Q736*Escenarios!$F$13/Escenarios!$F$14,0)</f>
        <v>0</v>
      </c>
      <c r="T736" s="170">
        <f>IF(Escenarios!$F$14&gt;0,Observaciones!$I735,0)</f>
        <v>0</v>
      </c>
      <c r="U736" s="170">
        <f>IF(Escenarios!$F$14&gt;0,MAX(0,Constantes!$F$36/((Z735+R736+S736+T736+Observaciones!$F735)^2)+Entradas!$F$77),0)</f>
        <v>0.99558328836024979</v>
      </c>
      <c r="V736" s="146">
        <f>IF(ETo!D735&gt;0,ETo!I735*((1-Entradas!$F$81)*ETo!K735+ETo!L735),0)</f>
        <v>3.8154979966692331</v>
      </c>
      <c r="W736" s="170">
        <f>IF(Escenarios!$F$14&gt;0,MIN(V736*1,0.8*(Z735+R736+S736+T736+Observaciones!$F735-U736-Constantes!$F$35)),0)</f>
        <v>3.8154979966692331</v>
      </c>
      <c r="X736" s="170">
        <f>IF(Escenarios!$F$14&gt;0,Observaciones!$J735,0)</f>
        <v>0</v>
      </c>
      <c r="Y736" s="170">
        <f>IF(Escenarios!$F$14&gt;0,MAX(0,Z735+R736+S736+T736+Observaciones!$F735-U736-W736-X736-Constantes!$F$33),0)</f>
        <v>0</v>
      </c>
      <c r="Z736" s="170">
        <f>Z735+R736+S736+T736+Observaciones!$F735-U736-W736-Y736</f>
        <v>66.757512811156801</v>
      </c>
      <c r="AA736" s="170">
        <f>IF(Escenarios!$F$14&gt;0,(Escenarios!$F$13*L736+Escenarios!$F$14*W736)/(Escenarios!$F$16),L736)</f>
        <v>2.6134719131313755</v>
      </c>
      <c r="AB736" s="170">
        <f>IF(Escenarios!$F$14&gt;0,(Escenarios!$F$14*Y736)/(Escenarios!$F$16),K736)</f>
        <v>0</v>
      </c>
      <c r="AC736" s="170">
        <f>IF(Escenarios!$F$14&gt;0,(Escenarios!$F$13*M736+Escenarios!$F$14*U736)/(Escenarios!$F$16),M736)</f>
        <v>0.11946999460322998</v>
      </c>
      <c r="AD736" s="76">
        <f t="shared" si="155"/>
        <v>62.497105046455509</v>
      </c>
      <c r="AE736" s="76">
        <f>MAX(0,(AD736-Constantes!$D$13)*(1-EXP(-Constantes!$D$23)))</f>
        <v>0.13545350032804793</v>
      </c>
      <c r="AF736" s="76">
        <f>AB736+O736*Escenarios!$F$13/Escenarios!$F$16+AE736</f>
        <v>1.1155083600008007</v>
      </c>
      <c r="AG736" s="76">
        <f>IF(Entradas!$F$91&gt;0,IF(AF736-Escenarios!$F$38&lt;=0,0,IF(AF736-Escenarios!$F$38&gt;Escenarios!$F$37,Escenarios!$F$37,AF736-Escenarios!$F$38)),0)</f>
        <v>7.8708360000800726E-2</v>
      </c>
      <c r="AH736" s="76">
        <f>AG736*Entradas!$F$99</f>
        <v>0</v>
      </c>
      <c r="AI736" s="76">
        <f>IF(Entradas!$F$91&gt;0,D736*Entradas!$D$23/Escenarios!$F$16,0)</f>
        <v>0.20616591393975722</v>
      </c>
      <c r="AJ736" s="76">
        <f>IF(Entradas!$F$91&gt;0,Entradas!$D$24*Entradas!$D$22/Escenarios!$F$16,0)</f>
        <v>0.12</v>
      </c>
      <c r="AK736" s="76">
        <f t="shared" si="156"/>
        <v>2.8196378270711326</v>
      </c>
      <c r="AL736" s="76">
        <f t="shared" si="157"/>
        <v>0</v>
      </c>
      <c r="AM736" s="76">
        <f t="shared" si="158"/>
        <v>7.8708360000800726E-2</v>
      </c>
      <c r="AN736" s="76">
        <f>MAX(0,O736*Escenarios!$F$13/Escenarios!$F$16-AM736)</f>
        <v>0.90134649967195202</v>
      </c>
      <c r="AO736" s="76">
        <f>AM736+AN736-O736*Escenarios!$F$13/Escenarios!$F$16</f>
        <v>0</v>
      </c>
      <c r="AP736" s="76">
        <f t="shared" si="159"/>
        <v>0.13545350032804793</v>
      </c>
      <c r="AQ736" s="76">
        <f t="shared" si="160"/>
        <v>0</v>
      </c>
      <c r="AR736" s="76">
        <f t="shared" si="161"/>
        <v>1.0367999999999999</v>
      </c>
      <c r="AS736" s="76">
        <f t="shared" si="162"/>
        <v>0</v>
      </c>
      <c r="AT736" s="76">
        <f t="shared" si="163"/>
        <v>0.11946999460322998</v>
      </c>
      <c r="AU736" s="76">
        <f t="shared" si="164"/>
        <v>48.955210828362503</v>
      </c>
      <c r="AV736" s="76">
        <f>MAX(0,(AU736-Constantes!$D$13)*(1-EXP(-Constantes!$D$24)))</f>
        <v>3.1366982120508888E-3</v>
      </c>
      <c r="AW736" s="170">
        <f>AW735+(Entradas!$F$112*AT736-AX735)/(800*Entradas!$D$25)</f>
        <v>0</v>
      </c>
      <c r="AX736" s="170">
        <f>8000*Entradas!$D$26*AW736/Constantes!$F$45</f>
        <v>0</v>
      </c>
      <c r="AY736" s="170">
        <f>IF(Escenarios!$F$17&gt;0,10*Escenarios!$F$16*AL736,0)</f>
        <v>0</v>
      </c>
      <c r="AZ736" s="170">
        <f>IF(Escenarios!$F$17&gt;0,10*Escenarios!$F$16*AX736,0)</f>
        <v>0</v>
      </c>
      <c r="BA736" s="170">
        <f>IF(Escenarios!$F$17&gt;0,0.001*Observaciones!$F735*Escenarios!$F$17,0)</f>
        <v>0</v>
      </c>
      <c r="BB736" s="170">
        <f>IF(Escenarios!$F$17&gt;0,Observaciones!$K735,0)</f>
        <v>0</v>
      </c>
      <c r="BC736" s="170">
        <f>IF(Escenarios!$F$17&gt;0,MIN(0.0005*ETo!$M735*Escenarios!$F$17*(BG735/Constantes!$F$40)^(2/3),BG735+AY736+AZ736+BA736+BB736),0)</f>
        <v>0</v>
      </c>
      <c r="BD736" s="170">
        <f>IF(Escenarios!$F$17&gt;0,MIN(Constantes!$F$39*(BG735/Constantes!$F$40)^(2/3),BG735+AY736+AZ736+BA736+BB736-BC736),0)</f>
        <v>0</v>
      </c>
      <c r="BE736" s="170">
        <f>IF(Escenarios!$F$17&gt;0,MIN(Entradas!$F$113,BG735+AY736+AZ736+BA736+BB736-BC736-BD736),0)</f>
        <v>0</v>
      </c>
      <c r="BF736" s="170">
        <f>IF(Escenarios!$F$17&gt;0,MAX(0,BG735+AY736+AZ736+BA736+BB736-BC736-BD736-BE736-Constantes!$F$40),0)</f>
        <v>0</v>
      </c>
      <c r="BG736" s="170">
        <f t="shared" si="165"/>
        <v>0</v>
      </c>
      <c r="BH736" s="170">
        <f>(Escenarios!$F$16*AK736+0.1*BC736)/(Escenarios!$F$19)</f>
        <v>2.8196378270711326</v>
      </c>
      <c r="BI736" s="170">
        <f>IF(Escenarios!$F$17&gt;0,BF736/10/Escenarios!$F$19,AL736)</f>
        <v>0</v>
      </c>
      <c r="BJ736" s="170">
        <f>(Escenarios!$F$16*AT736+0.1*BD736)/(Escenarios!$F$19)</f>
        <v>0.11946999460322998</v>
      </c>
      <c r="BK736" s="76">
        <f>BK735+(0.1*BD736)/(Escenarios!$F$19)-BL735</f>
        <v>48.75</v>
      </c>
      <c r="BL736" s="76">
        <f>MAX(0,(BK736-Constantes!$D$13)*(1-EXP(-Constantes!$D$23)))</f>
        <v>0</v>
      </c>
      <c r="BM736" s="76">
        <f t="shared" si="166"/>
        <v>0.13859019854009882</v>
      </c>
      <c r="BN736" s="76">
        <f t="shared" si="167"/>
        <v>1.0399366982120508</v>
      </c>
      <c r="BO736" s="76">
        <f>0.0526*BI736*Observaciones!$F735^1.218</f>
        <v>0</v>
      </c>
      <c r="BP736" s="76">
        <f>BO736*Constantes!$F$51</f>
        <v>0</v>
      </c>
      <c r="BQ736" s="76">
        <f t="shared" si="168"/>
        <v>0</v>
      </c>
      <c r="BR736" s="40"/>
    </row>
    <row r="737" spans="2:70" ht="15" thickBot="1">
      <c r="B737" s="41"/>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3"/>
    </row>
    <row r="738" spans="2:70">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c r="AC738" s="147"/>
      <c r="AD738" s="147"/>
      <c r="AE738" s="147"/>
      <c r="AF738" s="147"/>
      <c r="AG738" s="147"/>
      <c r="AH738" s="147"/>
      <c r="AI738" s="147"/>
      <c r="AJ738" s="147"/>
      <c r="AK738" s="147"/>
      <c r="AL738" s="147"/>
      <c r="AM738" s="147"/>
      <c r="AN738" s="147"/>
      <c r="AO738" s="147"/>
      <c r="AP738" s="147"/>
      <c r="AQ738" s="147"/>
      <c r="AR738" s="147"/>
      <c r="AS738" s="147"/>
      <c r="AT738" s="147"/>
      <c r="AU738" s="147"/>
      <c r="AV738" s="147"/>
      <c r="AW738" s="147"/>
      <c r="AX738" s="147"/>
      <c r="AY738" s="147"/>
      <c r="AZ738" s="147"/>
      <c r="BA738" s="147"/>
      <c r="BB738" s="147"/>
      <c r="BC738" s="147"/>
      <c r="BD738" s="147"/>
      <c r="BE738" s="147"/>
      <c r="BF738" s="147"/>
      <c r="BG738" s="147"/>
      <c r="BH738" s="147"/>
      <c r="BI738" s="147"/>
      <c r="BJ738" s="147"/>
      <c r="BK738" s="147"/>
      <c r="BL738" s="147"/>
      <c r="BM738" s="147"/>
      <c r="BN738" s="147"/>
      <c r="BO738" s="147"/>
      <c r="BP738" s="147"/>
    </row>
    <row r="739" spans="2:70">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c r="AC739" s="147"/>
      <c r="AD739" s="147"/>
      <c r="AE739" s="147"/>
      <c r="AF739" s="147"/>
      <c r="AG739" s="147"/>
      <c r="AH739" s="147"/>
      <c r="AI739" s="147"/>
      <c r="AJ739" s="147"/>
      <c r="AK739" s="147"/>
      <c r="AL739" s="147"/>
      <c r="AM739" s="147"/>
      <c r="AN739" s="147"/>
      <c r="AO739" s="147"/>
      <c r="AP739" s="147"/>
      <c r="AQ739" s="147"/>
      <c r="AR739" s="147"/>
      <c r="AS739" s="147"/>
      <c r="AT739" s="147"/>
      <c r="AU739" s="147"/>
      <c r="AV739" s="147"/>
      <c r="AW739" s="147"/>
      <c r="AX739" s="147"/>
      <c r="AY739" s="147"/>
      <c r="AZ739" s="147"/>
      <c r="BA739" s="147"/>
      <c r="BB739" s="147"/>
      <c r="BC739" s="147"/>
      <c r="BD739" s="147"/>
      <c r="BE739" s="147"/>
      <c r="BF739" s="147"/>
      <c r="BG739" s="147"/>
      <c r="BH739" s="147"/>
      <c r="BI739" s="147"/>
      <c r="BJ739" s="147"/>
      <c r="BK739" s="147"/>
      <c r="BL739" s="147"/>
      <c r="BM739" s="147"/>
      <c r="BN739" s="147"/>
      <c r="BO739" s="147"/>
      <c r="BP739" s="147"/>
    </row>
    <row r="740" spans="2:70">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c r="AC740" s="147"/>
      <c r="AD740" s="147"/>
      <c r="AE740" s="147"/>
      <c r="AF740" s="147"/>
      <c r="AG740" s="147"/>
      <c r="AH740" s="147"/>
      <c r="AI740" s="147"/>
      <c r="AJ740" s="147"/>
      <c r="AK740" s="147"/>
      <c r="AL740" s="147"/>
      <c r="AM740" s="147"/>
      <c r="AN740" s="147"/>
      <c r="AO740" s="147"/>
      <c r="AP740" s="147"/>
      <c r="AQ740" s="147"/>
      <c r="AR740" s="147"/>
      <c r="AS740" s="147"/>
      <c r="AT740" s="147"/>
      <c r="AU740" s="147"/>
      <c r="AV740" s="147"/>
      <c r="AW740" s="147"/>
      <c r="AX740" s="147"/>
      <c r="AY740" s="147"/>
      <c r="AZ740" s="147"/>
      <c r="BA740" s="147"/>
      <c r="BB740" s="147"/>
      <c r="BC740" s="147"/>
      <c r="BD740" s="147"/>
      <c r="BE740" s="147"/>
      <c r="BF740" s="147"/>
      <c r="BG740" s="147"/>
      <c r="BH740" s="147"/>
      <c r="BI740" s="147"/>
      <c r="BJ740" s="147"/>
      <c r="BK740" s="147"/>
      <c r="BL740" s="147"/>
      <c r="BM740" s="147"/>
      <c r="BN740" s="147"/>
      <c r="BO740" s="147"/>
      <c r="BP740" s="147"/>
    </row>
    <row r="741" spans="2:70">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c r="AC741" s="147"/>
      <c r="AD741" s="147"/>
      <c r="AE741" s="147"/>
      <c r="AF741" s="147"/>
      <c r="AG741" s="147"/>
      <c r="AH741" s="147"/>
      <c r="AI741" s="147"/>
      <c r="AJ741" s="147"/>
      <c r="AK741" s="147"/>
      <c r="AL741" s="147"/>
      <c r="AM741" s="147"/>
      <c r="AN741" s="147"/>
      <c r="AO741" s="147"/>
      <c r="AP741" s="147"/>
      <c r="AQ741" s="147"/>
      <c r="AR741" s="147"/>
      <c r="AS741" s="147"/>
      <c r="AT741" s="147"/>
      <c r="AU741" s="147"/>
      <c r="AV741" s="147"/>
      <c r="AW741" s="147"/>
      <c r="AX741" s="147"/>
      <c r="AY741" s="147"/>
      <c r="AZ741" s="147"/>
      <c r="BA741" s="147"/>
      <c r="BB741" s="147"/>
      <c r="BC741" s="147"/>
      <c r="BD741" s="147"/>
      <c r="BE741" s="147"/>
      <c r="BF741" s="147"/>
      <c r="BG741" s="147"/>
      <c r="BH741" s="147"/>
      <c r="BI741" s="147"/>
      <c r="BJ741" s="147"/>
      <c r="BK741" s="147"/>
      <c r="BL741" s="147"/>
      <c r="BM741" s="147"/>
      <c r="BN741" s="147"/>
      <c r="BO741" s="147"/>
      <c r="BP741" s="147"/>
    </row>
    <row r="742" spans="2:70">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c r="AC742" s="147"/>
      <c r="AD742" s="147"/>
      <c r="AE742" s="147"/>
      <c r="AF742" s="147"/>
      <c r="AG742" s="147"/>
      <c r="AH742" s="147"/>
      <c r="AI742" s="147"/>
      <c r="AJ742" s="147"/>
      <c r="AK742" s="147"/>
      <c r="AL742" s="147"/>
      <c r="AM742" s="147"/>
      <c r="AN742" s="147"/>
      <c r="AO742" s="147"/>
      <c r="AP742" s="147"/>
      <c r="AQ742" s="147"/>
      <c r="AR742" s="147"/>
      <c r="AS742" s="147"/>
      <c r="AT742" s="147"/>
      <c r="AU742" s="147"/>
      <c r="AV742" s="147"/>
      <c r="AW742" s="147"/>
      <c r="AX742" s="147"/>
      <c r="AY742" s="147"/>
      <c r="AZ742" s="147"/>
      <c r="BA742" s="147"/>
      <c r="BB742" s="147"/>
      <c r="BC742" s="147"/>
      <c r="BD742" s="147"/>
      <c r="BE742" s="147"/>
      <c r="BF742" s="147"/>
      <c r="BG742" s="147"/>
      <c r="BH742" s="147"/>
      <c r="BI742" s="147"/>
      <c r="BJ742" s="147"/>
      <c r="BK742" s="147"/>
      <c r="BL742" s="147"/>
      <c r="BM742" s="147"/>
      <c r="BN742" s="147"/>
      <c r="BO742" s="147"/>
      <c r="BP742" s="147"/>
    </row>
    <row r="743" spans="2:70">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c r="AC743" s="147"/>
      <c r="AD743" s="147"/>
      <c r="AE743" s="147"/>
      <c r="AF743" s="147"/>
      <c r="AG743" s="147"/>
      <c r="AH743" s="147"/>
      <c r="AI743" s="147"/>
      <c r="AJ743" s="147"/>
      <c r="AK743" s="147"/>
      <c r="AL743" s="147"/>
      <c r="AM743" s="147"/>
      <c r="AN743" s="147"/>
      <c r="AO743" s="147"/>
      <c r="AP743" s="147"/>
      <c r="AQ743" s="147"/>
      <c r="AR743" s="147"/>
      <c r="AS743" s="147"/>
      <c r="AT743" s="147"/>
      <c r="AU743" s="147"/>
      <c r="AV743" s="147"/>
      <c r="AW743" s="147"/>
      <c r="AX743" s="147"/>
      <c r="AY743" s="147"/>
      <c r="AZ743" s="147"/>
      <c r="BA743" s="147"/>
      <c r="BB743" s="147"/>
      <c r="BC743" s="147"/>
      <c r="BD743" s="147"/>
      <c r="BE743" s="147"/>
      <c r="BF743" s="147"/>
      <c r="BG743" s="147"/>
      <c r="BH743" s="147"/>
      <c r="BI743" s="147"/>
      <c r="BJ743" s="147"/>
      <c r="BK743" s="147"/>
      <c r="BL743" s="147"/>
      <c r="BM743" s="147"/>
      <c r="BN743" s="147"/>
      <c r="BO743" s="147"/>
      <c r="BP743" s="147"/>
    </row>
    <row r="744" spans="2:70">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c r="AC744" s="147"/>
      <c r="AD744" s="147"/>
      <c r="AE744" s="147"/>
      <c r="AF744" s="147"/>
      <c r="AG744" s="147"/>
      <c r="AH744" s="147"/>
      <c r="AI744" s="147"/>
      <c r="AJ744" s="147"/>
      <c r="AK744" s="147"/>
      <c r="AL744" s="147"/>
      <c r="AM744" s="147"/>
      <c r="AN744" s="147"/>
      <c r="AO744" s="147"/>
      <c r="AP744" s="147"/>
      <c r="AQ744" s="147"/>
      <c r="AR744" s="147"/>
      <c r="AS744" s="147"/>
      <c r="AT744" s="147"/>
      <c r="AU744" s="147"/>
      <c r="AV744" s="147"/>
      <c r="AW744" s="147"/>
      <c r="AX744" s="147"/>
      <c r="AY744" s="147"/>
      <c r="AZ744" s="147"/>
      <c r="BA744" s="147"/>
      <c r="BB744" s="147"/>
      <c r="BC744" s="147"/>
      <c r="BD744" s="147"/>
      <c r="BE744" s="147"/>
      <c r="BF744" s="147"/>
      <c r="BG744" s="147"/>
      <c r="BH744" s="147"/>
      <c r="BI744" s="147"/>
      <c r="BJ744" s="147"/>
      <c r="BK744" s="147"/>
      <c r="BL744" s="147"/>
      <c r="BM744" s="147"/>
      <c r="BN744" s="147"/>
      <c r="BO744" s="147"/>
      <c r="BP744" s="147"/>
    </row>
    <row r="745" spans="2:70">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c r="AC745" s="147"/>
      <c r="AD745" s="147"/>
      <c r="AE745" s="147"/>
      <c r="AF745" s="147"/>
      <c r="AG745" s="147"/>
      <c r="AH745" s="147"/>
      <c r="AI745" s="147"/>
      <c r="AJ745" s="147"/>
      <c r="AK745" s="147"/>
      <c r="AL745" s="147"/>
      <c r="AM745" s="147"/>
      <c r="AN745" s="147"/>
      <c r="AO745" s="147"/>
      <c r="AP745" s="147"/>
      <c r="AQ745" s="147"/>
      <c r="AR745" s="147"/>
      <c r="AS745" s="147"/>
      <c r="AT745" s="147"/>
      <c r="AU745" s="147"/>
      <c r="AV745" s="147"/>
      <c r="AW745" s="147"/>
      <c r="AX745" s="147"/>
      <c r="AY745" s="147"/>
      <c r="AZ745" s="147"/>
      <c r="BA745" s="147"/>
      <c r="BB745" s="147"/>
      <c r="BC745" s="147"/>
      <c r="BD745" s="147"/>
      <c r="BE745" s="147"/>
      <c r="BF745" s="147"/>
      <c r="BG745" s="147"/>
      <c r="BH745" s="147"/>
      <c r="BI745" s="147"/>
      <c r="BJ745" s="147"/>
      <c r="BK745" s="147"/>
      <c r="BL745" s="147"/>
      <c r="BM745" s="147"/>
      <c r="BN745" s="147"/>
      <c r="BO745" s="147"/>
      <c r="BP745" s="147"/>
    </row>
    <row r="746" spans="2:70">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c r="AC746" s="147"/>
      <c r="AD746" s="147"/>
      <c r="AE746" s="147"/>
      <c r="AF746" s="147"/>
      <c r="AG746" s="147"/>
      <c r="AH746" s="147"/>
      <c r="AI746" s="147"/>
      <c r="AJ746" s="147"/>
      <c r="AK746" s="147"/>
      <c r="AL746" s="147"/>
      <c r="AM746" s="147"/>
      <c r="AN746" s="147"/>
      <c r="AO746" s="147"/>
      <c r="AP746" s="147"/>
      <c r="AQ746" s="147"/>
      <c r="AR746" s="147"/>
      <c r="AS746" s="147"/>
      <c r="AT746" s="147"/>
      <c r="AU746" s="147"/>
      <c r="AV746" s="147"/>
      <c r="AW746" s="147"/>
      <c r="AX746" s="147"/>
      <c r="AY746" s="147"/>
      <c r="AZ746" s="147"/>
      <c r="BA746" s="147"/>
      <c r="BB746" s="147"/>
      <c r="BC746" s="147"/>
      <c r="BD746" s="147"/>
      <c r="BE746" s="147"/>
      <c r="BF746" s="147"/>
      <c r="BG746" s="147"/>
      <c r="BH746" s="147"/>
      <c r="BI746" s="147"/>
      <c r="BJ746" s="147"/>
      <c r="BK746" s="147"/>
      <c r="BL746" s="147"/>
      <c r="BM746" s="147"/>
      <c r="BN746" s="147"/>
      <c r="BO746" s="147"/>
      <c r="BP746" s="147"/>
    </row>
    <row r="747" spans="2:70">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c r="AC747" s="147"/>
      <c r="AD747" s="147"/>
      <c r="AE747" s="147"/>
      <c r="AF747" s="147"/>
      <c r="AG747" s="147"/>
      <c r="AH747" s="147"/>
      <c r="AI747" s="147"/>
      <c r="AJ747" s="147"/>
      <c r="AK747" s="147"/>
      <c r="AL747" s="147"/>
      <c r="AM747" s="147"/>
      <c r="AN747" s="147"/>
      <c r="AO747" s="147"/>
      <c r="AP747" s="147"/>
      <c r="AQ747" s="147"/>
      <c r="AR747" s="147"/>
      <c r="AS747" s="147"/>
      <c r="AT747" s="147"/>
      <c r="AU747" s="147"/>
      <c r="AV747" s="147"/>
      <c r="AW747" s="147"/>
      <c r="AX747" s="147"/>
      <c r="AY747" s="147"/>
      <c r="AZ747" s="147"/>
      <c r="BA747" s="147"/>
      <c r="BB747" s="147"/>
      <c r="BC747" s="147"/>
      <c r="BD747" s="147"/>
      <c r="BE747" s="147"/>
      <c r="BF747" s="147"/>
      <c r="BG747" s="147"/>
      <c r="BH747" s="147"/>
      <c r="BI747" s="147"/>
      <c r="BJ747" s="147"/>
      <c r="BK747" s="147"/>
      <c r="BL747" s="147"/>
      <c r="BM747" s="147"/>
      <c r="BN747" s="147"/>
      <c r="BO747" s="147"/>
      <c r="BP747" s="147"/>
    </row>
    <row r="748" spans="2:70">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c r="AC748" s="147"/>
      <c r="AD748" s="147"/>
      <c r="AE748" s="147"/>
      <c r="AF748" s="147"/>
      <c r="AG748" s="147"/>
      <c r="AH748" s="147"/>
      <c r="AI748" s="147"/>
      <c r="AJ748" s="147"/>
      <c r="AK748" s="147"/>
      <c r="AL748" s="147"/>
      <c r="AM748" s="147"/>
      <c r="AN748" s="147"/>
      <c r="AO748" s="147"/>
      <c r="AP748" s="147"/>
      <c r="AQ748" s="147"/>
      <c r="AR748" s="147"/>
      <c r="AS748" s="147"/>
      <c r="AT748" s="147"/>
      <c r="AU748" s="147"/>
      <c r="AV748" s="147"/>
      <c r="AW748" s="147"/>
      <c r="AX748" s="147"/>
      <c r="AY748" s="147"/>
      <c r="AZ748" s="147"/>
      <c r="BA748" s="147"/>
      <c r="BB748" s="147"/>
      <c r="BC748" s="147"/>
      <c r="BD748" s="147"/>
      <c r="BE748" s="147"/>
      <c r="BF748" s="147"/>
      <c r="BG748" s="147"/>
      <c r="BH748" s="147"/>
      <c r="BI748" s="147"/>
      <c r="BJ748" s="147"/>
      <c r="BK748" s="147"/>
      <c r="BL748" s="147"/>
      <c r="BM748" s="147"/>
      <c r="BN748" s="147"/>
      <c r="BO748" s="147"/>
      <c r="BP748" s="147"/>
    </row>
    <row r="749" spans="2:70">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c r="AC749" s="147"/>
      <c r="AD749" s="147"/>
      <c r="AE749" s="147"/>
      <c r="AF749" s="147"/>
      <c r="AG749" s="147"/>
      <c r="AH749" s="147"/>
      <c r="AI749" s="147"/>
      <c r="AJ749" s="147"/>
      <c r="AK749" s="147"/>
      <c r="AL749" s="147"/>
      <c r="AM749" s="147"/>
      <c r="AN749" s="147"/>
      <c r="AO749" s="147"/>
      <c r="AP749" s="147"/>
      <c r="AQ749" s="147"/>
      <c r="AR749" s="147"/>
      <c r="AS749" s="147"/>
      <c r="AT749" s="147"/>
      <c r="AU749" s="147"/>
      <c r="AV749" s="147"/>
      <c r="AW749" s="147"/>
      <c r="AX749" s="147"/>
      <c r="AY749" s="147"/>
      <c r="AZ749" s="147"/>
      <c r="BA749" s="147"/>
      <c r="BB749" s="147"/>
      <c r="BC749" s="147"/>
      <c r="BD749" s="147"/>
      <c r="BE749" s="147"/>
      <c r="BF749" s="147"/>
      <c r="BG749" s="147"/>
      <c r="BH749" s="147"/>
      <c r="BI749" s="147"/>
      <c r="BJ749" s="147"/>
      <c r="BK749" s="147"/>
      <c r="BL749" s="147"/>
      <c r="BM749" s="147"/>
      <c r="BN749" s="147"/>
      <c r="BO749" s="147"/>
      <c r="BP749" s="147"/>
    </row>
    <row r="750" spans="2:70">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c r="AC750" s="147"/>
      <c r="AD750" s="147"/>
      <c r="AE750" s="147"/>
      <c r="AF750" s="147"/>
      <c r="AG750" s="147"/>
      <c r="AH750" s="147"/>
      <c r="AI750" s="147"/>
      <c r="AJ750" s="147"/>
      <c r="AK750" s="147"/>
      <c r="AL750" s="147"/>
      <c r="AM750" s="147"/>
      <c r="AN750" s="147"/>
      <c r="AO750" s="147"/>
      <c r="AP750" s="147"/>
      <c r="AQ750" s="147"/>
      <c r="AR750" s="147"/>
      <c r="AS750" s="147"/>
      <c r="AT750" s="147"/>
      <c r="AU750" s="147"/>
      <c r="AV750" s="147"/>
      <c r="AW750" s="147"/>
      <c r="AX750" s="147"/>
      <c r="AY750" s="147"/>
      <c r="AZ750" s="147"/>
      <c r="BA750" s="147"/>
      <c r="BB750" s="147"/>
      <c r="BC750" s="147"/>
      <c r="BD750" s="147"/>
      <c r="BE750" s="147"/>
      <c r="BF750" s="147"/>
      <c r="BG750" s="147"/>
      <c r="BH750" s="147"/>
      <c r="BI750" s="147"/>
      <c r="BJ750" s="147"/>
      <c r="BK750" s="147"/>
      <c r="BL750" s="147"/>
      <c r="BM750" s="147"/>
      <c r="BN750" s="147"/>
      <c r="BO750" s="147"/>
      <c r="BP750" s="147"/>
    </row>
    <row r="751" spans="2:70">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c r="AC751" s="147"/>
      <c r="AD751" s="147"/>
      <c r="AE751" s="147"/>
      <c r="AF751" s="147"/>
      <c r="AG751" s="147"/>
      <c r="AH751" s="147"/>
      <c r="AI751" s="147"/>
      <c r="AJ751" s="147"/>
      <c r="AK751" s="147"/>
      <c r="AL751" s="147"/>
      <c r="AM751" s="147"/>
      <c r="AN751" s="147"/>
      <c r="AO751" s="147"/>
      <c r="AP751" s="147"/>
      <c r="AQ751" s="147"/>
      <c r="AR751" s="147"/>
      <c r="AS751" s="147"/>
      <c r="AT751" s="147"/>
      <c r="AU751" s="147"/>
      <c r="AV751" s="147"/>
      <c r="AW751" s="147"/>
      <c r="AX751" s="147"/>
      <c r="AY751" s="147"/>
      <c r="AZ751" s="147"/>
      <c r="BA751" s="147"/>
      <c r="BB751" s="147"/>
      <c r="BC751" s="147"/>
      <c r="BD751" s="147"/>
      <c r="BE751" s="147"/>
      <c r="BF751" s="147"/>
      <c r="BG751" s="147"/>
      <c r="BH751" s="147"/>
      <c r="BI751" s="147"/>
      <c r="BJ751" s="147"/>
      <c r="BK751" s="147"/>
      <c r="BL751" s="147"/>
      <c r="BM751" s="147"/>
      <c r="BN751" s="147"/>
      <c r="BO751" s="147"/>
      <c r="BP751" s="147"/>
    </row>
    <row r="752" spans="2:70">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c r="AC752" s="147"/>
      <c r="AD752" s="147"/>
      <c r="AE752" s="147"/>
      <c r="AF752" s="147"/>
      <c r="AG752" s="147"/>
      <c r="AH752" s="147"/>
      <c r="AI752" s="147"/>
      <c r="AJ752" s="147"/>
      <c r="AK752" s="147"/>
      <c r="AL752" s="147"/>
      <c r="AM752" s="147"/>
      <c r="AN752" s="147"/>
      <c r="AO752" s="147"/>
      <c r="AP752" s="147"/>
      <c r="AQ752" s="147"/>
      <c r="AR752" s="147"/>
      <c r="AS752" s="147"/>
      <c r="AT752" s="147"/>
      <c r="AU752" s="147"/>
      <c r="AV752" s="147"/>
      <c r="AW752" s="147"/>
      <c r="AX752" s="147"/>
      <c r="AY752" s="147"/>
      <c r="AZ752" s="147"/>
      <c r="BA752" s="147"/>
      <c r="BB752" s="147"/>
      <c r="BC752" s="147"/>
      <c r="BD752" s="147"/>
      <c r="BE752" s="147"/>
      <c r="BF752" s="147"/>
      <c r="BG752" s="147"/>
      <c r="BH752" s="147"/>
      <c r="BI752" s="147"/>
      <c r="BJ752" s="147"/>
      <c r="BK752" s="147"/>
      <c r="BL752" s="147"/>
      <c r="BM752" s="147"/>
      <c r="BN752" s="147"/>
      <c r="BO752" s="147"/>
      <c r="BP752" s="147"/>
    </row>
    <row r="753" spans="3:68">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c r="AC753" s="147"/>
      <c r="AD753" s="147"/>
      <c r="AE753" s="147"/>
      <c r="AF753" s="147"/>
      <c r="AG753" s="147"/>
      <c r="AH753" s="147"/>
      <c r="AI753" s="147"/>
      <c r="AJ753" s="147"/>
      <c r="AK753" s="147"/>
      <c r="AL753" s="147"/>
      <c r="AM753" s="147"/>
      <c r="AN753" s="147"/>
      <c r="AO753" s="147"/>
      <c r="AP753" s="147"/>
      <c r="AQ753" s="147"/>
      <c r="AR753" s="147"/>
      <c r="AS753" s="147"/>
      <c r="AT753" s="147"/>
      <c r="AU753" s="147"/>
      <c r="AV753" s="147"/>
      <c r="AW753" s="147"/>
      <c r="AX753" s="147"/>
      <c r="AY753" s="147"/>
      <c r="AZ753" s="147"/>
      <c r="BA753" s="147"/>
      <c r="BB753" s="147"/>
      <c r="BC753" s="147"/>
      <c r="BD753" s="147"/>
      <c r="BE753" s="147"/>
      <c r="BF753" s="147"/>
      <c r="BG753" s="147"/>
      <c r="BH753" s="147"/>
      <c r="BI753" s="147"/>
      <c r="BJ753" s="147"/>
      <c r="BK753" s="147"/>
      <c r="BL753" s="147"/>
      <c r="BM753" s="147"/>
      <c r="BN753" s="147"/>
      <c r="BO753" s="147"/>
      <c r="BP753" s="147"/>
    </row>
    <row r="754" spans="3:68">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c r="AC754" s="147"/>
      <c r="AD754" s="147"/>
      <c r="AE754" s="147"/>
      <c r="AF754" s="147"/>
      <c r="AG754" s="147"/>
      <c r="AH754" s="147"/>
      <c r="AI754" s="147"/>
      <c r="AJ754" s="147"/>
      <c r="AK754" s="147"/>
      <c r="AL754" s="147"/>
      <c r="AM754" s="147"/>
      <c r="AN754" s="147"/>
      <c r="AO754" s="147"/>
      <c r="AP754" s="147"/>
      <c r="AQ754" s="147"/>
      <c r="AR754" s="147"/>
      <c r="AS754" s="147"/>
      <c r="AT754" s="147"/>
      <c r="AU754" s="147"/>
      <c r="AV754" s="147"/>
      <c r="AW754" s="147"/>
      <c r="AX754" s="147"/>
      <c r="AY754" s="147"/>
      <c r="AZ754" s="147"/>
      <c r="BA754" s="147"/>
      <c r="BB754" s="147"/>
      <c r="BC754" s="147"/>
      <c r="BD754" s="147"/>
      <c r="BE754" s="147"/>
      <c r="BF754" s="147"/>
      <c r="BG754" s="147"/>
      <c r="BH754" s="147"/>
      <c r="BI754" s="147"/>
      <c r="BJ754" s="147"/>
      <c r="BK754" s="147"/>
      <c r="BL754" s="147"/>
      <c r="BM754" s="147"/>
      <c r="BN754" s="147"/>
      <c r="BO754" s="147"/>
      <c r="BP754" s="147"/>
    </row>
    <row r="755" spans="3:68">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c r="AC755" s="147"/>
      <c r="AD755" s="147"/>
      <c r="AE755" s="147"/>
      <c r="AF755" s="147"/>
      <c r="AG755" s="147"/>
      <c r="AH755" s="147"/>
      <c r="AI755" s="147"/>
      <c r="AJ755" s="147"/>
      <c r="AK755" s="147"/>
      <c r="AL755" s="147"/>
      <c r="AM755" s="147"/>
      <c r="AN755" s="147"/>
      <c r="AO755" s="147"/>
      <c r="AP755" s="147"/>
      <c r="AQ755" s="147"/>
      <c r="AR755" s="147"/>
      <c r="AS755" s="147"/>
      <c r="AT755" s="147"/>
      <c r="AU755" s="147"/>
      <c r="AV755" s="147"/>
      <c r="AW755" s="147"/>
      <c r="AX755" s="147"/>
      <c r="AY755" s="147"/>
      <c r="AZ755" s="147"/>
      <c r="BA755" s="147"/>
      <c r="BB755" s="147"/>
      <c r="BC755" s="147"/>
      <c r="BD755" s="147"/>
      <c r="BE755" s="147"/>
      <c r="BF755" s="147"/>
      <c r="BG755" s="147"/>
      <c r="BH755" s="147"/>
      <c r="BI755" s="147"/>
      <c r="BJ755" s="147"/>
      <c r="BK755" s="147"/>
      <c r="BL755" s="147"/>
      <c r="BM755" s="147"/>
      <c r="BN755" s="147"/>
      <c r="BO755" s="147"/>
      <c r="BP755" s="147"/>
    </row>
    <row r="756" spans="3:68">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c r="AC756" s="147"/>
      <c r="AD756" s="147"/>
      <c r="AE756" s="147"/>
      <c r="AF756" s="147"/>
      <c r="AG756" s="147"/>
      <c r="AH756" s="147"/>
      <c r="AI756" s="147"/>
      <c r="AJ756" s="147"/>
      <c r="AK756" s="147"/>
      <c r="AL756" s="147"/>
      <c r="AM756" s="147"/>
      <c r="AN756" s="147"/>
      <c r="AO756" s="147"/>
      <c r="AP756" s="147"/>
      <c r="AQ756" s="147"/>
      <c r="AR756" s="147"/>
      <c r="AS756" s="147"/>
      <c r="AT756" s="147"/>
      <c r="AU756" s="147"/>
      <c r="AV756" s="147"/>
      <c r="AW756" s="147"/>
      <c r="AX756" s="147"/>
      <c r="AY756" s="147"/>
      <c r="AZ756" s="147"/>
      <c r="BA756" s="147"/>
      <c r="BB756" s="147"/>
      <c r="BC756" s="147"/>
      <c r="BD756" s="147"/>
      <c r="BE756" s="147"/>
      <c r="BF756" s="147"/>
      <c r="BG756" s="147"/>
      <c r="BH756" s="147"/>
      <c r="BI756" s="147"/>
      <c r="BJ756" s="147"/>
      <c r="BK756" s="147"/>
      <c r="BL756" s="147"/>
      <c r="BM756" s="147"/>
      <c r="BN756" s="147"/>
      <c r="BO756" s="147"/>
      <c r="BP756" s="147"/>
    </row>
    <row r="757" spans="3:68">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c r="AC757" s="147"/>
      <c r="AD757" s="147"/>
      <c r="AE757" s="147"/>
      <c r="AF757" s="147"/>
      <c r="AG757" s="147"/>
      <c r="AH757" s="147"/>
      <c r="AI757" s="147"/>
      <c r="AJ757" s="147"/>
      <c r="AK757" s="147"/>
      <c r="AL757" s="147"/>
      <c r="AM757" s="147"/>
      <c r="AN757" s="147"/>
      <c r="AO757" s="147"/>
      <c r="AP757" s="147"/>
      <c r="AQ757" s="147"/>
      <c r="AR757" s="147"/>
      <c r="AS757" s="147"/>
      <c r="AT757" s="147"/>
      <c r="AU757" s="147"/>
      <c r="AV757" s="147"/>
      <c r="AW757" s="147"/>
      <c r="AX757" s="147"/>
      <c r="AY757" s="147"/>
      <c r="AZ757" s="147"/>
      <c r="BA757" s="147"/>
      <c r="BB757" s="147"/>
      <c r="BC757" s="147"/>
      <c r="BD757" s="147"/>
      <c r="BE757" s="147"/>
      <c r="BF757" s="147"/>
      <c r="BG757" s="147"/>
      <c r="BH757" s="147"/>
      <c r="BI757" s="147"/>
      <c r="BJ757" s="147"/>
      <c r="BK757" s="147"/>
      <c r="BL757" s="147"/>
      <c r="BM757" s="147"/>
      <c r="BN757" s="147"/>
      <c r="BO757" s="147"/>
      <c r="BP757" s="147"/>
    </row>
    <row r="758" spans="3:68">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c r="AC758" s="147"/>
      <c r="AD758" s="147"/>
      <c r="AE758" s="147"/>
      <c r="AF758" s="147"/>
      <c r="AG758" s="147"/>
      <c r="AH758" s="147"/>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c r="BI758" s="147"/>
      <c r="BJ758" s="147"/>
      <c r="BK758" s="147"/>
      <c r="BL758" s="147"/>
      <c r="BM758" s="147"/>
      <c r="BN758" s="147"/>
      <c r="BO758" s="147"/>
      <c r="BP758" s="147"/>
    </row>
    <row r="759" spans="3:68">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c r="AC759" s="147"/>
      <c r="AD759" s="147"/>
      <c r="AE759" s="147"/>
      <c r="AF759" s="147"/>
      <c r="AG759" s="147"/>
      <c r="AH759" s="147"/>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c r="BI759" s="147"/>
      <c r="BJ759" s="147"/>
      <c r="BK759" s="147"/>
      <c r="BL759" s="147"/>
      <c r="BM759" s="147"/>
      <c r="BN759" s="147"/>
      <c r="BO759" s="147"/>
      <c r="BP759" s="147"/>
    </row>
    <row r="760" spans="3:68">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c r="AG760" s="147"/>
      <c r="AH760" s="147"/>
      <c r="AI760" s="147"/>
      <c r="AJ760" s="147"/>
      <c r="AK760" s="147"/>
      <c r="AL760" s="147"/>
      <c r="AM760" s="147"/>
      <c r="AN760" s="147"/>
      <c r="AO760" s="147"/>
      <c r="AP760" s="147"/>
      <c r="AQ760" s="147"/>
      <c r="AR760" s="147"/>
      <c r="AS760" s="147"/>
      <c r="AT760" s="147"/>
      <c r="AU760" s="147"/>
      <c r="AV760" s="147"/>
      <c r="AW760" s="147"/>
      <c r="AX760" s="147"/>
      <c r="AY760" s="147"/>
      <c r="AZ760" s="147"/>
      <c r="BA760" s="147"/>
      <c r="BB760" s="147"/>
      <c r="BC760" s="147"/>
      <c r="BD760" s="147"/>
      <c r="BE760" s="147"/>
      <c r="BF760" s="147"/>
      <c r="BG760" s="147"/>
      <c r="BH760" s="147"/>
      <c r="BI760" s="147"/>
      <c r="BJ760" s="147"/>
      <c r="BK760" s="147"/>
      <c r="BL760" s="147"/>
      <c r="BM760" s="147"/>
      <c r="BN760" s="147"/>
      <c r="BO760" s="147"/>
      <c r="BP760" s="147"/>
    </row>
    <row r="761" spans="3:68">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c r="AC761" s="147"/>
      <c r="AD761" s="147"/>
      <c r="AE761" s="147"/>
      <c r="AF761" s="147"/>
      <c r="AG761" s="147"/>
      <c r="AH761" s="147"/>
      <c r="AI761" s="147"/>
      <c r="AJ761" s="147"/>
      <c r="AK761" s="147"/>
      <c r="AL761" s="147"/>
      <c r="AM761" s="147"/>
      <c r="AN761" s="147"/>
      <c r="AO761" s="147"/>
      <c r="AP761" s="147"/>
      <c r="AQ761" s="147"/>
      <c r="AR761" s="147"/>
      <c r="AS761" s="147"/>
      <c r="AT761" s="147"/>
      <c r="AU761" s="147"/>
      <c r="AV761" s="147"/>
      <c r="AW761" s="147"/>
      <c r="AX761" s="147"/>
      <c r="AY761" s="147"/>
      <c r="AZ761" s="147"/>
      <c r="BA761" s="147"/>
      <c r="BB761" s="147"/>
      <c r="BC761" s="147"/>
      <c r="BD761" s="147"/>
      <c r="BE761" s="147"/>
      <c r="BF761" s="147"/>
      <c r="BG761" s="147"/>
      <c r="BH761" s="147"/>
      <c r="BI761" s="147"/>
      <c r="BJ761" s="147"/>
      <c r="BK761" s="147"/>
      <c r="BL761" s="147"/>
      <c r="BM761" s="147"/>
      <c r="BN761" s="147"/>
      <c r="BO761" s="147"/>
      <c r="BP761" s="147"/>
    </row>
    <row r="762" spans="3:68">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c r="AC762" s="147"/>
      <c r="AD762" s="147"/>
      <c r="AE762" s="147"/>
      <c r="AF762" s="147"/>
      <c r="AG762" s="147"/>
      <c r="AH762" s="147"/>
      <c r="AI762" s="147"/>
      <c r="AJ762" s="147"/>
      <c r="AK762" s="147"/>
      <c r="AL762" s="147"/>
      <c r="AM762" s="147"/>
      <c r="AN762" s="147"/>
      <c r="AO762" s="147"/>
      <c r="AP762" s="147"/>
      <c r="AQ762" s="147"/>
      <c r="AR762" s="147"/>
      <c r="AS762" s="147"/>
      <c r="AT762" s="147"/>
      <c r="AU762" s="147"/>
      <c r="AV762" s="147"/>
      <c r="AW762" s="147"/>
      <c r="AX762" s="147"/>
      <c r="AY762" s="147"/>
      <c r="AZ762" s="147"/>
      <c r="BA762" s="147"/>
      <c r="BB762" s="147"/>
      <c r="BC762" s="147"/>
      <c r="BD762" s="147"/>
      <c r="BE762" s="147"/>
      <c r="BF762" s="147"/>
      <c r="BG762" s="147"/>
      <c r="BH762" s="147"/>
      <c r="BI762" s="147"/>
      <c r="BJ762" s="147"/>
      <c r="BK762" s="147"/>
      <c r="BL762" s="147"/>
      <c r="BM762" s="147"/>
      <c r="BN762" s="147"/>
      <c r="BO762" s="147"/>
      <c r="BP762" s="147"/>
    </row>
    <row r="763" spans="3:68">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c r="AC763" s="147"/>
      <c r="AD763" s="147"/>
      <c r="AE763" s="147"/>
      <c r="AF763" s="147"/>
      <c r="AG763" s="147"/>
      <c r="AH763" s="147"/>
      <c r="AI763" s="147"/>
      <c r="AJ763" s="147"/>
      <c r="AK763" s="147"/>
      <c r="AL763" s="147"/>
      <c r="AM763" s="147"/>
      <c r="AN763" s="147"/>
      <c r="AO763" s="147"/>
      <c r="AP763" s="147"/>
      <c r="AQ763" s="147"/>
      <c r="AR763" s="147"/>
      <c r="AS763" s="147"/>
      <c r="AT763" s="147"/>
      <c r="AU763" s="147"/>
      <c r="AV763" s="147"/>
      <c r="AW763" s="147"/>
      <c r="AX763" s="147"/>
      <c r="AY763" s="147"/>
      <c r="AZ763" s="147"/>
      <c r="BA763" s="147"/>
      <c r="BB763" s="147"/>
      <c r="BC763" s="147"/>
      <c r="BD763" s="147"/>
      <c r="BE763" s="147"/>
      <c r="BF763" s="147"/>
      <c r="BG763" s="147"/>
      <c r="BH763" s="147"/>
      <c r="BI763" s="147"/>
      <c r="BJ763" s="147"/>
      <c r="BK763" s="147"/>
      <c r="BL763" s="147"/>
      <c r="BM763" s="147"/>
      <c r="BN763" s="147"/>
      <c r="BO763" s="147"/>
      <c r="BP763" s="147"/>
    </row>
    <row r="764" spans="3:68">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c r="AC764" s="147"/>
      <c r="AD764" s="147"/>
      <c r="AE764" s="147"/>
      <c r="AF764" s="147"/>
      <c r="AG764" s="147"/>
      <c r="AH764" s="147"/>
      <c r="AI764" s="147"/>
      <c r="AJ764" s="147"/>
      <c r="AK764" s="147"/>
      <c r="AL764" s="147"/>
      <c r="AM764" s="147"/>
      <c r="AN764" s="147"/>
      <c r="AO764" s="147"/>
      <c r="AP764" s="147"/>
      <c r="AQ764" s="147"/>
      <c r="AR764" s="147"/>
      <c r="AS764" s="147"/>
      <c r="AT764" s="147"/>
      <c r="AU764" s="147"/>
      <c r="AV764" s="147"/>
      <c r="AW764" s="147"/>
      <c r="AX764" s="147"/>
      <c r="AY764" s="147"/>
      <c r="AZ764" s="147"/>
      <c r="BA764" s="147"/>
      <c r="BB764" s="147"/>
      <c r="BC764" s="147"/>
      <c r="BD764" s="147"/>
      <c r="BE764" s="147"/>
      <c r="BF764" s="147"/>
      <c r="BG764" s="147"/>
      <c r="BH764" s="147"/>
      <c r="BI764" s="147"/>
      <c r="BJ764" s="147"/>
      <c r="BK764" s="147"/>
      <c r="BL764" s="147"/>
      <c r="BM764" s="147"/>
      <c r="BN764" s="147"/>
      <c r="BO764" s="147"/>
      <c r="BP764" s="147"/>
    </row>
    <row r="765" spans="3:68">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c r="AC765" s="147"/>
      <c r="AD765" s="147"/>
      <c r="AE765" s="147"/>
      <c r="AF765" s="147"/>
      <c r="AG765" s="147"/>
      <c r="AH765" s="147"/>
      <c r="AI765" s="147"/>
      <c r="AJ765" s="147"/>
      <c r="AK765" s="147"/>
      <c r="AL765" s="147"/>
      <c r="AM765" s="147"/>
      <c r="AN765" s="147"/>
      <c r="AO765" s="147"/>
      <c r="AP765" s="147"/>
      <c r="AQ765" s="147"/>
      <c r="AR765" s="147"/>
      <c r="AS765" s="147"/>
      <c r="AT765" s="147"/>
      <c r="AU765" s="147"/>
      <c r="AV765" s="147"/>
      <c r="AW765" s="147"/>
      <c r="AX765" s="147"/>
      <c r="AY765" s="147"/>
      <c r="AZ765" s="147"/>
      <c r="BA765" s="147"/>
      <c r="BB765" s="147"/>
      <c r="BC765" s="147"/>
      <c r="BD765" s="147"/>
      <c r="BE765" s="147"/>
      <c r="BF765" s="147"/>
      <c r="BG765" s="147"/>
      <c r="BH765" s="147"/>
      <c r="BI765" s="147"/>
      <c r="BJ765" s="147"/>
      <c r="BK765" s="147"/>
      <c r="BL765" s="147"/>
      <c r="BM765" s="147"/>
      <c r="BN765" s="147"/>
      <c r="BO765" s="147"/>
      <c r="BP765" s="147"/>
    </row>
    <row r="766" spans="3:68">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c r="AC766" s="147"/>
      <c r="AD766" s="147"/>
      <c r="AE766" s="147"/>
      <c r="AF766" s="147"/>
      <c r="AG766" s="147"/>
      <c r="AH766" s="147"/>
      <c r="AI766" s="147"/>
      <c r="AJ766" s="147"/>
      <c r="AK766" s="147"/>
      <c r="AL766" s="147"/>
      <c r="AM766" s="147"/>
      <c r="AN766" s="147"/>
      <c r="AO766" s="147"/>
      <c r="AP766" s="147"/>
      <c r="AQ766" s="147"/>
      <c r="AR766" s="147"/>
      <c r="AS766" s="147"/>
      <c r="AT766" s="147"/>
      <c r="AU766" s="147"/>
      <c r="AV766" s="147"/>
      <c r="AW766" s="147"/>
      <c r="AX766" s="147"/>
      <c r="AY766" s="147"/>
      <c r="AZ766" s="147"/>
      <c r="BA766" s="147"/>
      <c r="BB766" s="147"/>
      <c r="BC766" s="147"/>
      <c r="BD766" s="147"/>
      <c r="BE766" s="147"/>
      <c r="BF766" s="147"/>
      <c r="BG766" s="147"/>
      <c r="BH766" s="147"/>
      <c r="BI766" s="147"/>
      <c r="BJ766" s="147"/>
      <c r="BK766" s="147"/>
      <c r="BL766" s="147"/>
      <c r="BM766" s="147"/>
      <c r="BN766" s="147"/>
      <c r="BO766" s="147"/>
      <c r="BP766" s="147"/>
    </row>
    <row r="767" spans="3:68">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c r="AC767" s="147"/>
      <c r="AD767" s="147"/>
      <c r="AE767" s="147"/>
      <c r="AF767" s="147"/>
      <c r="AG767" s="147"/>
      <c r="AH767" s="147"/>
      <c r="AI767" s="147"/>
      <c r="AJ767" s="147"/>
      <c r="AK767" s="147"/>
      <c r="AL767" s="147"/>
      <c r="AM767" s="147"/>
      <c r="AN767" s="147"/>
      <c r="AO767" s="147"/>
      <c r="AP767" s="147"/>
      <c r="AQ767" s="147"/>
      <c r="AR767" s="147"/>
      <c r="AS767" s="147"/>
      <c r="AT767" s="147"/>
      <c r="AU767" s="147"/>
      <c r="AV767" s="147"/>
      <c r="AW767" s="147"/>
      <c r="AX767" s="147"/>
      <c r="AY767" s="147"/>
      <c r="AZ767" s="147"/>
      <c r="BA767" s="147"/>
      <c r="BB767" s="147"/>
      <c r="BC767" s="147"/>
      <c r="BD767" s="147"/>
      <c r="BE767" s="147"/>
      <c r="BF767" s="147"/>
      <c r="BG767" s="147"/>
      <c r="BH767" s="147"/>
      <c r="BI767" s="147"/>
      <c r="BJ767" s="147"/>
      <c r="BK767" s="147"/>
      <c r="BL767" s="147"/>
      <c r="BM767" s="147"/>
      <c r="BN767" s="147"/>
      <c r="BO767" s="147"/>
      <c r="BP767" s="147"/>
    </row>
    <row r="768" spans="3:68">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c r="AC768" s="147"/>
      <c r="AD768" s="147"/>
      <c r="AE768" s="147"/>
      <c r="AF768" s="147"/>
      <c r="AG768" s="147"/>
      <c r="AH768" s="147"/>
      <c r="AI768" s="147"/>
      <c r="AJ768" s="147"/>
      <c r="AK768" s="147"/>
      <c r="AL768" s="147"/>
      <c r="AM768" s="147"/>
      <c r="AN768" s="147"/>
      <c r="AO768" s="147"/>
      <c r="AP768" s="147"/>
      <c r="AQ768" s="147"/>
      <c r="AR768" s="147"/>
      <c r="AS768" s="147"/>
      <c r="AT768" s="147"/>
      <c r="AU768" s="147"/>
      <c r="AV768" s="147"/>
      <c r="AW768" s="147"/>
      <c r="AX768" s="147"/>
      <c r="AY768" s="147"/>
      <c r="AZ768" s="147"/>
      <c r="BA768" s="147"/>
      <c r="BB768" s="147"/>
      <c r="BC768" s="147"/>
      <c r="BD768" s="147"/>
      <c r="BE768" s="147"/>
      <c r="BF768" s="147"/>
      <c r="BG768" s="147"/>
      <c r="BH768" s="147"/>
      <c r="BI768" s="147"/>
      <c r="BJ768" s="147"/>
      <c r="BK768" s="147"/>
      <c r="BL768" s="147"/>
      <c r="BM768" s="147"/>
      <c r="BN768" s="147"/>
      <c r="BO768" s="147"/>
      <c r="BP768" s="147"/>
    </row>
    <row r="769" spans="3:68">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c r="AC769" s="147"/>
      <c r="AD769" s="147"/>
      <c r="AE769" s="147"/>
      <c r="AF769" s="147"/>
      <c r="AG769" s="147"/>
      <c r="AH769" s="147"/>
      <c r="AI769" s="147"/>
      <c r="AJ769" s="147"/>
      <c r="AK769" s="147"/>
      <c r="AL769" s="147"/>
      <c r="AM769" s="147"/>
      <c r="AN769" s="147"/>
      <c r="AO769" s="147"/>
      <c r="AP769" s="147"/>
      <c r="AQ769" s="147"/>
      <c r="AR769" s="147"/>
      <c r="AS769" s="147"/>
      <c r="AT769" s="147"/>
      <c r="AU769" s="147"/>
      <c r="AV769" s="147"/>
      <c r="AW769" s="147"/>
      <c r="AX769" s="147"/>
      <c r="AY769" s="147"/>
      <c r="AZ769" s="147"/>
      <c r="BA769" s="147"/>
      <c r="BB769" s="147"/>
      <c r="BC769" s="147"/>
      <c r="BD769" s="147"/>
      <c r="BE769" s="147"/>
      <c r="BF769" s="147"/>
      <c r="BG769" s="147"/>
      <c r="BH769" s="147"/>
      <c r="BI769" s="147"/>
      <c r="BJ769" s="147"/>
      <c r="BK769" s="147"/>
      <c r="BL769" s="147"/>
      <c r="BM769" s="147"/>
      <c r="BN769" s="147"/>
      <c r="BO769" s="147"/>
      <c r="BP769" s="147"/>
    </row>
    <row r="770" spans="3:68">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c r="AC770" s="147"/>
      <c r="AD770" s="147"/>
      <c r="AE770" s="147"/>
      <c r="AF770" s="147"/>
      <c r="AG770" s="147"/>
      <c r="AH770" s="147"/>
      <c r="AI770" s="147"/>
      <c r="AJ770" s="147"/>
      <c r="AK770" s="147"/>
      <c r="AL770" s="147"/>
      <c r="AM770" s="147"/>
      <c r="AN770" s="147"/>
      <c r="AO770" s="147"/>
      <c r="AP770" s="147"/>
      <c r="AQ770" s="147"/>
      <c r="AR770" s="147"/>
      <c r="AS770" s="147"/>
      <c r="AT770" s="147"/>
      <c r="AU770" s="147"/>
      <c r="AV770" s="147"/>
      <c r="AW770" s="147"/>
      <c r="AX770" s="147"/>
      <c r="AY770" s="147"/>
      <c r="AZ770" s="147"/>
      <c r="BA770" s="147"/>
      <c r="BB770" s="147"/>
      <c r="BC770" s="147"/>
      <c r="BD770" s="147"/>
      <c r="BE770" s="147"/>
      <c r="BF770" s="147"/>
      <c r="BG770" s="147"/>
      <c r="BH770" s="147"/>
      <c r="BI770" s="147"/>
      <c r="BJ770" s="147"/>
      <c r="BK770" s="147"/>
      <c r="BL770" s="147"/>
      <c r="BM770" s="147"/>
      <c r="BN770" s="147"/>
      <c r="BO770" s="147"/>
      <c r="BP770" s="147"/>
    </row>
    <row r="771" spans="3:68">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c r="AC771" s="147"/>
      <c r="AD771" s="147"/>
      <c r="AE771" s="147"/>
      <c r="AF771" s="147"/>
      <c r="AG771" s="147"/>
      <c r="AH771" s="147"/>
      <c r="AI771" s="147"/>
      <c r="AJ771" s="147"/>
      <c r="AK771" s="147"/>
      <c r="AL771" s="147"/>
      <c r="AM771" s="147"/>
      <c r="AN771" s="147"/>
      <c r="AO771" s="147"/>
      <c r="AP771" s="147"/>
      <c r="AQ771" s="147"/>
      <c r="AR771" s="147"/>
      <c r="AS771" s="147"/>
      <c r="AT771" s="147"/>
      <c r="AU771" s="147"/>
      <c r="AV771" s="147"/>
      <c r="AW771" s="147"/>
      <c r="AX771" s="147"/>
      <c r="AY771" s="147"/>
      <c r="AZ771" s="147"/>
      <c r="BA771" s="147"/>
      <c r="BB771" s="147"/>
      <c r="BC771" s="147"/>
      <c r="BD771" s="147"/>
      <c r="BE771" s="147"/>
      <c r="BF771" s="147"/>
      <c r="BG771" s="147"/>
      <c r="BH771" s="147"/>
      <c r="BI771" s="147"/>
      <c r="BJ771" s="147"/>
      <c r="BK771" s="147"/>
      <c r="BL771" s="147"/>
      <c r="BM771" s="147"/>
      <c r="BN771" s="147"/>
      <c r="BO771" s="147"/>
      <c r="BP771" s="147"/>
    </row>
    <row r="772" spans="3:68">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c r="AC772" s="147"/>
      <c r="AD772" s="147"/>
      <c r="AE772" s="147"/>
      <c r="AF772" s="147"/>
      <c r="AG772" s="147"/>
      <c r="AH772" s="147"/>
      <c r="AI772" s="147"/>
      <c r="AJ772" s="147"/>
      <c r="AK772" s="147"/>
      <c r="AL772" s="147"/>
      <c r="AM772" s="147"/>
      <c r="AN772" s="147"/>
      <c r="AO772" s="147"/>
      <c r="AP772" s="147"/>
      <c r="AQ772" s="147"/>
      <c r="AR772" s="147"/>
      <c r="AS772" s="147"/>
      <c r="AT772" s="147"/>
      <c r="AU772" s="147"/>
      <c r="AV772" s="147"/>
      <c r="AW772" s="147"/>
      <c r="AX772" s="147"/>
      <c r="AY772" s="147"/>
      <c r="AZ772" s="147"/>
      <c r="BA772" s="147"/>
      <c r="BB772" s="147"/>
      <c r="BC772" s="147"/>
      <c r="BD772" s="147"/>
      <c r="BE772" s="147"/>
      <c r="BF772" s="147"/>
      <c r="BG772" s="147"/>
      <c r="BH772" s="147"/>
      <c r="BI772" s="147"/>
      <c r="BJ772" s="147"/>
      <c r="BK772" s="147"/>
      <c r="BL772" s="147"/>
      <c r="BM772" s="147"/>
      <c r="BN772" s="147"/>
      <c r="BO772" s="147"/>
      <c r="BP772" s="147"/>
    </row>
    <row r="773" spans="3:68">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c r="AC773" s="147"/>
      <c r="AD773" s="147"/>
      <c r="AE773" s="147"/>
      <c r="AF773" s="147"/>
      <c r="AG773" s="147"/>
      <c r="AH773" s="147"/>
      <c r="AI773" s="147"/>
      <c r="AJ773" s="147"/>
      <c r="AK773" s="147"/>
      <c r="AL773" s="147"/>
      <c r="AM773" s="147"/>
      <c r="AN773" s="147"/>
      <c r="AO773" s="147"/>
      <c r="AP773" s="147"/>
      <c r="AQ773" s="147"/>
      <c r="AR773" s="147"/>
      <c r="AS773" s="147"/>
      <c r="AT773" s="147"/>
      <c r="AU773" s="147"/>
      <c r="AV773" s="147"/>
      <c r="AW773" s="147"/>
      <c r="AX773" s="147"/>
      <c r="AY773" s="147"/>
      <c r="AZ773" s="147"/>
      <c r="BA773" s="147"/>
      <c r="BB773" s="147"/>
      <c r="BC773" s="147"/>
      <c r="BD773" s="147"/>
      <c r="BE773" s="147"/>
      <c r="BF773" s="147"/>
      <c r="BG773" s="147"/>
      <c r="BH773" s="147"/>
      <c r="BI773" s="147"/>
      <c r="BJ773" s="147"/>
      <c r="BK773" s="147"/>
      <c r="BL773" s="147"/>
      <c r="BM773" s="147"/>
      <c r="BN773" s="147"/>
      <c r="BO773" s="147"/>
      <c r="BP773" s="147"/>
    </row>
    <row r="774" spans="3:68">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c r="AC774" s="147"/>
      <c r="AD774" s="147"/>
      <c r="AE774" s="147"/>
      <c r="AF774" s="147"/>
      <c r="AG774" s="147"/>
      <c r="AH774" s="147"/>
      <c r="AI774" s="147"/>
      <c r="AJ774" s="147"/>
      <c r="AK774" s="147"/>
      <c r="AL774" s="147"/>
      <c r="AM774" s="147"/>
      <c r="AN774" s="147"/>
      <c r="AO774" s="147"/>
      <c r="AP774" s="147"/>
      <c r="AQ774" s="147"/>
      <c r="AR774" s="147"/>
      <c r="AS774" s="147"/>
      <c r="AT774" s="147"/>
      <c r="AU774" s="147"/>
      <c r="AV774" s="147"/>
      <c r="AW774" s="147"/>
      <c r="AX774" s="147"/>
      <c r="AY774" s="147"/>
      <c r="AZ774" s="147"/>
      <c r="BA774" s="147"/>
      <c r="BB774" s="147"/>
      <c r="BC774" s="147"/>
      <c r="BD774" s="147"/>
      <c r="BE774" s="147"/>
      <c r="BF774" s="147"/>
      <c r="BG774" s="147"/>
      <c r="BH774" s="147"/>
      <c r="BI774" s="147"/>
      <c r="BJ774" s="147"/>
      <c r="BK774" s="147"/>
      <c r="BL774" s="147"/>
      <c r="BM774" s="147"/>
      <c r="BN774" s="147"/>
      <c r="BO774" s="147"/>
      <c r="BP774" s="147"/>
    </row>
    <row r="775" spans="3:68">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c r="AC775" s="147"/>
      <c r="AD775" s="147"/>
      <c r="AE775" s="147"/>
      <c r="AF775" s="147"/>
      <c r="AG775" s="147"/>
      <c r="AH775" s="147"/>
      <c r="AI775" s="147"/>
      <c r="AJ775" s="147"/>
      <c r="AK775" s="147"/>
      <c r="AL775" s="147"/>
      <c r="AM775" s="147"/>
      <c r="AN775" s="147"/>
      <c r="AO775" s="147"/>
      <c r="AP775" s="147"/>
      <c r="AQ775" s="147"/>
      <c r="AR775" s="147"/>
      <c r="AS775" s="147"/>
      <c r="AT775" s="147"/>
      <c r="AU775" s="147"/>
      <c r="AV775" s="147"/>
      <c r="AW775" s="147"/>
      <c r="AX775" s="147"/>
      <c r="AY775" s="147"/>
      <c r="AZ775" s="147"/>
      <c r="BA775" s="147"/>
      <c r="BB775" s="147"/>
      <c r="BC775" s="147"/>
      <c r="BD775" s="147"/>
      <c r="BE775" s="147"/>
      <c r="BF775" s="147"/>
      <c r="BG775" s="147"/>
      <c r="BH775" s="147"/>
      <c r="BI775" s="147"/>
      <c r="BJ775" s="147"/>
      <c r="BK775" s="147"/>
      <c r="BL775" s="147"/>
      <c r="BM775" s="147"/>
      <c r="BN775" s="147"/>
      <c r="BO775" s="147"/>
      <c r="BP775" s="147"/>
    </row>
    <row r="776" spans="3:68">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c r="AC776" s="147"/>
      <c r="AD776" s="147"/>
      <c r="AE776" s="147"/>
      <c r="AF776" s="147"/>
      <c r="AG776" s="147"/>
      <c r="AH776" s="147"/>
      <c r="AI776" s="147"/>
      <c r="AJ776" s="147"/>
      <c r="AK776" s="147"/>
      <c r="AL776" s="147"/>
      <c r="AM776" s="147"/>
      <c r="AN776" s="147"/>
      <c r="AO776" s="147"/>
      <c r="AP776" s="147"/>
      <c r="AQ776" s="147"/>
      <c r="AR776" s="147"/>
      <c r="AS776" s="147"/>
      <c r="AT776" s="147"/>
      <c r="AU776" s="147"/>
      <c r="AV776" s="147"/>
      <c r="AW776" s="147"/>
      <c r="AX776" s="147"/>
      <c r="AY776" s="147"/>
      <c r="AZ776" s="147"/>
      <c r="BA776" s="147"/>
      <c r="BB776" s="147"/>
      <c r="BC776" s="147"/>
      <c r="BD776" s="147"/>
      <c r="BE776" s="147"/>
      <c r="BF776" s="147"/>
      <c r="BG776" s="147"/>
      <c r="BH776" s="147"/>
      <c r="BI776" s="147"/>
      <c r="BJ776" s="147"/>
      <c r="BK776" s="147"/>
      <c r="BL776" s="147"/>
      <c r="BM776" s="147"/>
      <c r="BN776" s="147"/>
      <c r="BO776" s="147"/>
      <c r="BP776" s="147"/>
    </row>
    <row r="777" spans="3:68">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c r="AC777" s="147"/>
      <c r="AD777" s="147"/>
      <c r="AE777" s="147"/>
      <c r="AF777" s="147"/>
      <c r="AG777" s="147"/>
      <c r="AH777" s="147"/>
      <c r="AI777" s="147"/>
      <c r="AJ777" s="147"/>
      <c r="AK777" s="147"/>
      <c r="AL777" s="147"/>
      <c r="AM777" s="147"/>
      <c r="AN777" s="147"/>
      <c r="AO777" s="147"/>
      <c r="AP777" s="147"/>
      <c r="AQ777" s="147"/>
      <c r="AR777" s="147"/>
      <c r="AS777" s="147"/>
      <c r="AT777" s="147"/>
      <c r="AU777" s="147"/>
      <c r="AV777" s="147"/>
      <c r="AW777" s="147"/>
      <c r="AX777" s="147"/>
      <c r="AY777" s="147"/>
      <c r="AZ777" s="147"/>
      <c r="BA777" s="147"/>
      <c r="BB777" s="147"/>
      <c r="BC777" s="147"/>
      <c r="BD777" s="147"/>
      <c r="BE777" s="147"/>
      <c r="BF777" s="147"/>
      <c r="BG777" s="147"/>
      <c r="BH777" s="147"/>
      <c r="BI777" s="147"/>
      <c r="BJ777" s="147"/>
      <c r="BK777" s="147"/>
      <c r="BL777" s="147"/>
      <c r="BM777" s="147"/>
      <c r="BN777" s="147"/>
      <c r="BO777" s="147"/>
      <c r="BP777" s="147"/>
    </row>
    <row r="778" spans="3:68">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c r="AC778" s="147"/>
      <c r="AD778" s="147"/>
      <c r="AE778" s="147"/>
      <c r="AF778" s="147"/>
      <c r="AG778" s="147"/>
      <c r="AH778" s="147"/>
      <c r="AI778" s="147"/>
      <c r="AJ778" s="147"/>
      <c r="AK778" s="147"/>
      <c r="AL778" s="147"/>
      <c r="AM778" s="147"/>
      <c r="AN778" s="147"/>
      <c r="AO778" s="147"/>
      <c r="AP778" s="147"/>
      <c r="AQ778" s="147"/>
      <c r="AR778" s="147"/>
      <c r="AS778" s="147"/>
      <c r="AT778" s="147"/>
      <c r="AU778" s="147"/>
      <c r="AV778" s="147"/>
      <c r="AW778" s="147"/>
      <c r="AX778" s="147"/>
      <c r="AY778" s="147"/>
      <c r="AZ778" s="147"/>
      <c r="BA778" s="147"/>
      <c r="BB778" s="147"/>
      <c r="BC778" s="147"/>
      <c r="BD778" s="147"/>
      <c r="BE778" s="147"/>
      <c r="BF778" s="147"/>
      <c r="BG778" s="147"/>
      <c r="BH778" s="147"/>
      <c r="BI778" s="147"/>
      <c r="BJ778" s="147"/>
      <c r="BK778" s="147"/>
      <c r="BL778" s="147"/>
      <c r="BM778" s="147"/>
      <c r="BN778" s="147"/>
      <c r="BO778" s="147"/>
      <c r="BP778" s="147"/>
    </row>
    <row r="779" spans="3:68">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c r="AC779" s="147"/>
      <c r="AD779" s="147"/>
      <c r="AE779" s="147"/>
      <c r="AF779" s="147"/>
      <c r="AG779" s="147"/>
      <c r="AH779" s="147"/>
      <c r="AI779" s="147"/>
      <c r="AJ779" s="147"/>
      <c r="AK779" s="147"/>
      <c r="AL779" s="147"/>
      <c r="AM779" s="147"/>
      <c r="AN779" s="147"/>
      <c r="AO779" s="147"/>
      <c r="AP779" s="147"/>
      <c r="AQ779" s="147"/>
      <c r="AR779" s="147"/>
      <c r="AS779" s="147"/>
      <c r="AT779" s="147"/>
      <c r="AU779" s="147"/>
      <c r="AV779" s="147"/>
      <c r="AW779" s="147"/>
      <c r="AX779" s="147"/>
      <c r="AY779" s="147"/>
      <c r="AZ779" s="147"/>
      <c r="BA779" s="147"/>
      <c r="BB779" s="147"/>
      <c r="BC779" s="147"/>
      <c r="BD779" s="147"/>
      <c r="BE779" s="147"/>
      <c r="BF779" s="147"/>
      <c r="BG779" s="147"/>
      <c r="BH779" s="147"/>
      <c r="BI779" s="147"/>
      <c r="BJ779" s="147"/>
      <c r="BK779" s="147"/>
      <c r="BL779" s="147"/>
      <c r="BM779" s="147"/>
      <c r="BN779" s="147"/>
      <c r="BO779" s="147"/>
      <c r="BP779" s="147"/>
    </row>
    <row r="780" spans="3:68">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c r="AC780" s="147"/>
      <c r="AD780" s="147"/>
      <c r="AE780" s="147"/>
      <c r="AF780" s="147"/>
      <c r="AG780" s="147"/>
      <c r="AH780" s="147"/>
      <c r="AI780" s="147"/>
      <c r="AJ780" s="147"/>
      <c r="AK780" s="147"/>
      <c r="AL780" s="147"/>
      <c r="AM780" s="147"/>
      <c r="AN780" s="147"/>
      <c r="AO780" s="147"/>
      <c r="AP780" s="147"/>
      <c r="AQ780" s="147"/>
      <c r="AR780" s="147"/>
      <c r="AS780" s="147"/>
      <c r="AT780" s="147"/>
      <c r="AU780" s="147"/>
      <c r="AV780" s="147"/>
      <c r="AW780" s="147"/>
      <c r="AX780" s="147"/>
      <c r="AY780" s="147"/>
      <c r="AZ780" s="147"/>
      <c r="BA780" s="147"/>
      <c r="BB780" s="147"/>
      <c r="BC780" s="147"/>
      <c r="BD780" s="147"/>
      <c r="BE780" s="147"/>
      <c r="BF780" s="147"/>
      <c r="BG780" s="147"/>
      <c r="BH780" s="147"/>
      <c r="BI780" s="147"/>
      <c r="BJ780" s="147"/>
      <c r="BK780" s="147"/>
      <c r="BL780" s="147"/>
      <c r="BM780" s="147"/>
      <c r="BN780" s="147"/>
      <c r="BO780" s="147"/>
      <c r="BP780" s="147"/>
    </row>
    <row r="781" spans="3:68">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c r="AC781" s="147"/>
      <c r="AD781" s="147"/>
      <c r="AE781" s="147"/>
      <c r="AF781" s="147"/>
      <c r="AG781" s="147"/>
      <c r="AH781" s="147"/>
      <c r="AI781" s="147"/>
      <c r="AJ781" s="147"/>
      <c r="AK781" s="147"/>
      <c r="AL781" s="147"/>
      <c r="AM781" s="147"/>
      <c r="AN781" s="147"/>
      <c r="AO781" s="147"/>
      <c r="AP781" s="147"/>
      <c r="AQ781" s="147"/>
      <c r="AR781" s="147"/>
      <c r="AS781" s="147"/>
      <c r="AT781" s="147"/>
      <c r="AU781" s="147"/>
      <c r="AV781" s="147"/>
      <c r="AW781" s="147"/>
      <c r="AX781" s="147"/>
      <c r="AY781" s="147"/>
      <c r="AZ781" s="147"/>
      <c r="BA781" s="147"/>
      <c r="BB781" s="147"/>
      <c r="BC781" s="147"/>
      <c r="BD781" s="147"/>
      <c r="BE781" s="147"/>
      <c r="BF781" s="147"/>
      <c r="BG781" s="147"/>
      <c r="BH781" s="147"/>
      <c r="BI781" s="147"/>
      <c r="BJ781" s="147"/>
      <c r="BK781" s="147"/>
      <c r="BL781" s="147"/>
      <c r="BM781" s="147"/>
      <c r="BN781" s="147"/>
      <c r="BO781" s="147"/>
      <c r="BP781" s="147"/>
    </row>
    <row r="782" spans="3:68">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c r="AC782" s="147"/>
      <c r="AD782" s="147"/>
      <c r="AE782" s="147"/>
      <c r="AF782" s="147"/>
      <c r="AG782" s="147"/>
      <c r="AH782" s="147"/>
      <c r="AI782" s="147"/>
      <c r="AJ782" s="147"/>
      <c r="AK782" s="147"/>
      <c r="AL782" s="147"/>
      <c r="AM782" s="147"/>
      <c r="AN782" s="147"/>
      <c r="AO782" s="147"/>
      <c r="AP782" s="147"/>
      <c r="AQ782" s="147"/>
      <c r="AR782" s="147"/>
      <c r="AS782" s="147"/>
      <c r="AT782" s="147"/>
      <c r="AU782" s="147"/>
      <c r="AV782" s="147"/>
      <c r="AW782" s="147"/>
      <c r="AX782" s="147"/>
      <c r="AY782" s="147"/>
      <c r="AZ782" s="147"/>
      <c r="BA782" s="147"/>
      <c r="BB782" s="147"/>
      <c r="BC782" s="147"/>
      <c r="BD782" s="147"/>
      <c r="BE782" s="147"/>
      <c r="BF782" s="147"/>
      <c r="BG782" s="147"/>
      <c r="BH782" s="147"/>
      <c r="BI782" s="147"/>
      <c r="BJ782" s="147"/>
      <c r="BK782" s="147"/>
      <c r="BL782" s="147"/>
      <c r="BM782" s="147"/>
      <c r="BN782" s="147"/>
      <c r="BO782" s="147"/>
      <c r="BP782" s="147"/>
    </row>
    <row r="783" spans="3:68">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c r="AC783" s="147"/>
      <c r="AD783" s="147"/>
      <c r="AE783" s="147"/>
      <c r="AF783" s="147"/>
      <c r="AG783" s="147"/>
      <c r="AH783" s="147"/>
      <c r="AI783" s="147"/>
      <c r="AJ783" s="147"/>
      <c r="AK783" s="147"/>
      <c r="AL783" s="147"/>
      <c r="AM783" s="147"/>
      <c r="AN783" s="147"/>
      <c r="AO783" s="147"/>
      <c r="AP783" s="147"/>
      <c r="AQ783" s="147"/>
      <c r="AR783" s="147"/>
      <c r="AS783" s="147"/>
      <c r="AT783" s="147"/>
      <c r="AU783" s="147"/>
      <c r="AV783" s="147"/>
      <c r="AW783" s="147"/>
      <c r="AX783" s="147"/>
      <c r="AY783" s="147"/>
      <c r="AZ783" s="147"/>
      <c r="BA783" s="147"/>
      <c r="BB783" s="147"/>
      <c r="BC783" s="147"/>
      <c r="BD783" s="147"/>
      <c r="BE783" s="147"/>
      <c r="BF783" s="147"/>
      <c r="BG783" s="147"/>
      <c r="BH783" s="147"/>
      <c r="BI783" s="147"/>
      <c r="BJ783" s="147"/>
      <c r="BK783" s="147"/>
      <c r="BL783" s="147"/>
      <c r="BM783" s="147"/>
      <c r="BN783" s="147"/>
      <c r="BO783" s="147"/>
      <c r="BP783" s="147"/>
    </row>
    <row r="784" spans="3:68">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c r="AC784" s="147"/>
      <c r="AD784" s="147"/>
      <c r="AE784" s="147"/>
      <c r="AF784" s="147"/>
      <c r="AG784" s="147"/>
      <c r="AH784" s="147"/>
      <c r="AI784" s="147"/>
      <c r="AJ784" s="147"/>
      <c r="AK784" s="147"/>
      <c r="AL784" s="147"/>
      <c r="AM784" s="147"/>
      <c r="AN784" s="147"/>
      <c r="AO784" s="147"/>
      <c r="AP784" s="147"/>
      <c r="AQ784" s="147"/>
      <c r="AR784" s="147"/>
      <c r="AS784" s="147"/>
      <c r="AT784" s="147"/>
      <c r="AU784" s="147"/>
      <c r="AV784" s="147"/>
      <c r="AW784" s="147"/>
      <c r="AX784" s="147"/>
      <c r="AY784" s="147"/>
      <c r="AZ784" s="147"/>
      <c r="BA784" s="147"/>
      <c r="BB784" s="147"/>
      <c r="BC784" s="147"/>
      <c r="BD784" s="147"/>
      <c r="BE784" s="147"/>
      <c r="BF784" s="147"/>
      <c r="BG784" s="147"/>
      <c r="BH784" s="147"/>
      <c r="BI784" s="147"/>
      <c r="BJ784" s="147"/>
      <c r="BK784" s="147"/>
      <c r="BL784" s="147"/>
      <c r="BM784" s="147"/>
      <c r="BN784" s="147"/>
      <c r="BO784" s="147"/>
      <c r="BP784" s="147"/>
    </row>
    <row r="785" spans="3:68">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c r="AC785" s="147"/>
      <c r="AD785" s="147"/>
      <c r="AE785" s="147"/>
      <c r="AF785" s="147"/>
      <c r="AG785" s="147"/>
      <c r="AH785" s="147"/>
      <c r="AI785" s="147"/>
      <c r="AJ785" s="147"/>
      <c r="AK785" s="147"/>
      <c r="AL785" s="147"/>
      <c r="AM785" s="147"/>
      <c r="AN785" s="147"/>
      <c r="AO785" s="147"/>
      <c r="AP785" s="147"/>
      <c r="AQ785" s="147"/>
      <c r="AR785" s="147"/>
      <c r="AS785" s="147"/>
      <c r="AT785" s="147"/>
      <c r="AU785" s="147"/>
      <c r="AV785" s="147"/>
      <c r="AW785" s="147"/>
      <c r="AX785" s="147"/>
      <c r="AY785" s="147"/>
      <c r="AZ785" s="147"/>
      <c r="BA785" s="147"/>
      <c r="BB785" s="147"/>
      <c r="BC785" s="147"/>
      <c r="BD785" s="147"/>
      <c r="BE785" s="147"/>
      <c r="BF785" s="147"/>
      <c r="BG785" s="147"/>
      <c r="BH785" s="147"/>
      <c r="BI785" s="147"/>
      <c r="BJ785" s="147"/>
      <c r="BK785" s="147"/>
      <c r="BL785" s="147"/>
      <c r="BM785" s="147"/>
      <c r="BN785" s="147"/>
      <c r="BO785" s="147"/>
      <c r="BP785" s="147"/>
    </row>
    <row r="786" spans="3:68">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c r="AC786" s="147"/>
      <c r="AD786" s="147"/>
      <c r="AE786" s="147"/>
      <c r="AF786" s="147"/>
      <c r="AG786" s="147"/>
      <c r="AH786" s="147"/>
      <c r="AI786" s="147"/>
      <c r="AJ786" s="147"/>
      <c r="AK786" s="147"/>
      <c r="AL786" s="147"/>
      <c r="AM786" s="147"/>
      <c r="AN786" s="147"/>
      <c r="AO786" s="147"/>
      <c r="AP786" s="147"/>
      <c r="AQ786" s="147"/>
      <c r="AR786" s="147"/>
      <c r="AS786" s="147"/>
      <c r="AT786" s="147"/>
      <c r="AU786" s="147"/>
      <c r="AV786" s="147"/>
      <c r="AW786" s="147"/>
      <c r="AX786" s="147"/>
      <c r="AY786" s="147"/>
      <c r="AZ786" s="147"/>
      <c r="BA786" s="147"/>
      <c r="BB786" s="147"/>
      <c r="BC786" s="147"/>
      <c r="BD786" s="147"/>
      <c r="BE786" s="147"/>
      <c r="BF786" s="147"/>
      <c r="BG786" s="147"/>
      <c r="BH786" s="147"/>
      <c r="BI786" s="147"/>
      <c r="BJ786" s="147"/>
      <c r="BK786" s="147"/>
      <c r="BL786" s="147"/>
      <c r="BM786" s="147"/>
      <c r="BN786" s="147"/>
      <c r="BO786" s="147"/>
      <c r="BP786" s="147"/>
    </row>
    <row r="787" spans="3:68">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c r="AC787" s="147"/>
      <c r="AD787" s="147"/>
      <c r="AE787" s="147"/>
      <c r="AF787" s="147"/>
      <c r="AG787" s="147"/>
      <c r="AH787" s="147"/>
      <c r="AI787" s="147"/>
      <c r="AJ787" s="147"/>
      <c r="AK787" s="147"/>
      <c r="AL787" s="147"/>
      <c r="AM787" s="147"/>
      <c r="AN787" s="147"/>
      <c r="AO787" s="147"/>
      <c r="AP787" s="147"/>
      <c r="AQ787" s="147"/>
      <c r="AR787" s="147"/>
      <c r="AS787" s="147"/>
      <c r="AT787" s="147"/>
      <c r="AU787" s="147"/>
      <c r="AV787" s="147"/>
      <c r="AW787" s="147"/>
      <c r="AX787" s="147"/>
      <c r="AY787" s="147"/>
      <c r="AZ787" s="147"/>
      <c r="BA787" s="147"/>
      <c r="BB787" s="147"/>
      <c r="BC787" s="147"/>
      <c r="BD787" s="147"/>
      <c r="BE787" s="147"/>
      <c r="BF787" s="147"/>
      <c r="BG787" s="147"/>
      <c r="BH787" s="147"/>
      <c r="BI787" s="147"/>
      <c r="BJ787" s="147"/>
      <c r="BK787" s="147"/>
      <c r="BL787" s="147"/>
      <c r="BM787" s="147"/>
      <c r="BN787" s="147"/>
      <c r="BO787" s="147"/>
      <c r="BP787" s="147"/>
    </row>
    <row r="788" spans="3:68">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c r="AC788" s="147"/>
      <c r="AD788" s="147"/>
      <c r="AE788" s="147"/>
      <c r="AF788" s="147"/>
      <c r="AG788" s="147"/>
      <c r="AH788" s="147"/>
      <c r="AI788" s="147"/>
      <c r="AJ788" s="147"/>
      <c r="AK788" s="147"/>
      <c r="AL788" s="147"/>
      <c r="AM788" s="147"/>
      <c r="AN788" s="147"/>
      <c r="AO788" s="147"/>
      <c r="AP788" s="147"/>
      <c r="AQ788" s="147"/>
      <c r="AR788" s="147"/>
      <c r="AS788" s="147"/>
      <c r="AT788" s="147"/>
      <c r="AU788" s="147"/>
      <c r="AV788" s="147"/>
      <c r="AW788" s="147"/>
      <c r="AX788" s="147"/>
      <c r="AY788" s="147"/>
      <c r="AZ788" s="147"/>
      <c r="BA788" s="147"/>
      <c r="BB788" s="147"/>
      <c r="BC788" s="147"/>
      <c r="BD788" s="147"/>
      <c r="BE788" s="147"/>
      <c r="BF788" s="147"/>
      <c r="BG788" s="147"/>
      <c r="BH788" s="147"/>
      <c r="BI788" s="147"/>
      <c r="BJ788" s="147"/>
      <c r="BK788" s="147"/>
      <c r="BL788" s="147"/>
      <c r="BM788" s="147"/>
      <c r="BN788" s="147"/>
      <c r="BO788" s="147"/>
      <c r="BP788" s="147"/>
    </row>
    <row r="789" spans="3:68">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c r="AC789" s="147"/>
      <c r="AD789" s="147"/>
      <c r="AE789" s="147"/>
      <c r="AF789" s="147"/>
      <c r="AG789" s="147"/>
      <c r="AH789" s="147"/>
      <c r="AI789" s="147"/>
      <c r="AJ789" s="147"/>
      <c r="AK789" s="147"/>
      <c r="AL789" s="147"/>
      <c r="AM789" s="147"/>
      <c r="AN789" s="147"/>
      <c r="AO789" s="147"/>
      <c r="AP789" s="147"/>
      <c r="AQ789" s="147"/>
      <c r="AR789" s="147"/>
      <c r="AS789" s="147"/>
      <c r="AT789" s="147"/>
      <c r="AU789" s="147"/>
      <c r="AV789" s="147"/>
      <c r="AW789" s="147"/>
      <c r="AX789" s="147"/>
      <c r="AY789" s="147"/>
      <c r="AZ789" s="147"/>
      <c r="BA789" s="147"/>
      <c r="BB789" s="147"/>
      <c r="BC789" s="147"/>
      <c r="BD789" s="147"/>
      <c r="BE789" s="147"/>
      <c r="BF789" s="147"/>
      <c r="BG789" s="147"/>
      <c r="BH789" s="147"/>
      <c r="BI789" s="147"/>
      <c r="BJ789" s="147"/>
      <c r="BK789" s="147"/>
      <c r="BL789" s="147"/>
      <c r="BM789" s="147"/>
      <c r="BN789" s="147"/>
      <c r="BO789" s="147"/>
      <c r="BP789" s="147"/>
    </row>
    <row r="790" spans="3:68">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c r="AC790" s="147"/>
      <c r="AD790" s="147"/>
      <c r="AE790" s="147"/>
      <c r="AF790" s="147"/>
      <c r="AG790" s="147"/>
      <c r="AH790" s="147"/>
      <c r="AI790" s="147"/>
      <c r="AJ790" s="147"/>
      <c r="AK790" s="147"/>
      <c r="AL790" s="147"/>
      <c r="AM790" s="147"/>
      <c r="AN790" s="147"/>
      <c r="AO790" s="147"/>
      <c r="AP790" s="147"/>
      <c r="AQ790" s="147"/>
      <c r="AR790" s="147"/>
      <c r="AS790" s="147"/>
      <c r="AT790" s="147"/>
      <c r="AU790" s="147"/>
      <c r="AV790" s="147"/>
      <c r="AW790" s="147"/>
      <c r="AX790" s="147"/>
      <c r="AY790" s="147"/>
      <c r="AZ790" s="147"/>
      <c r="BA790" s="147"/>
      <c r="BB790" s="147"/>
      <c r="BC790" s="147"/>
      <c r="BD790" s="147"/>
      <c r="BE790" s="147"/>
      <c r="BF790" s="147"/>
      <c r="BG790" s="147"/>
      <c r="BH790" s="147"/>
      <c r="BI790" s="147"/>
      <c r="BJ790" s="147"/>
      <c r="BK790" s="147"/>
      <c r="BL790" s="147"/>
      <c r="BM790" s="147"/>
      <c r="BN790" s="147"/>
      <c r="BO790" s="147"/>
      <c r="BP790" s="147"/>
    </row>
    <row r="791" spans="3:68">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c r="AC791" s="147"/>
      <c r="AD791" s="147"/>
      <c r="AE791" s="147"/>
      <c r="AF791" s="147"/>
      <c r="AG791" s="147"/>
      <c r="AH791" s="147"/>
      <c r="AI791" s="147"/>
      <c r="AJ791" s="147"/>
      <c r="AK791" s="147"/>
      <c r="AL791" s="147"/>
      <c r="AM791" s="147"/>
      <c r="AN791" s="147"/>
      <c r="AO791" s="147"/>
      <c r="AP791" s="147"/>
      <c r="AQ791" s="147"/>
      <c r="AR791" s="147"/>
      <c r="AS791" s="147"/>
      <c r="AT791" s="147"/>
      <c r="AU791" s="147"/>
      <c r="AV791" s="147"/>
      <c r="AW791" s="147"/>
      <c r="AX791" s="147"/>
      <c r="AY791" s="147"/>
      <c r="AZ791" s="147"/>
      <c r="BA791" s="147"/>
      <c r="BB791" s="147"/>
      <c r="BC791" s="147"/>
      <c r="BD791" s="147"/>
      <c r="BE791" s="147"/>
      <c r="BF791" s="147"/>
      <c r="BG791" s="147"/>
      <c r="BH791" s="147"/>
      <c r="BI791" s="147"/>
      <c r="BJ791" s="147"/>
      <c r="BK791" s="147"/>
      <c r="BL791" s="147"/>
      <c r="BM791" s="147"/>
      <c r="BN791" s="147"/>
      <c r="BO791" s="147"/>
      <c r="BP791" s="147"/>
    </row>
    <row r="792" spans="3:68">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c r="AC792" s="147"/>
      <c r="AD792" s="147"/>
      <c r="AE792" s="147"/>
      <c r="AF792" s="147"/>
      <c r="AG792" s="147"/>
      <c r="AH792" s="147"/>
      <c r="AI792" s="147"/>
      <c r="AJ792" s="147"/>
      <c r="AK792" s="147"/>
      <c r="AL792" s="147"/>
      <c r="AM792" s="147"/>
      <c r="AN792" s="147"/>
      <c r="AO792" s="147"/>
      <c r="AP792" s="147"/>
      <c r="AQ792" s="147"/>
      <c r="AR792" s="147"/>
      <c r="AS792" s="147"/>
      <c r="AT792" s="147"/>
      <c r="AU792" s="147"/>
      <c r="AV792" s="147"/>
      <c r="AW792" s="147"/>
      <c r="AX792" s="147"/>
      <c r="AY792" s="147"/>
      <c r="AZ792" s="147"/>
      <c r="BA792" s="147"/>
      <c r="BB792" s="147"/>
      <c r="BC792" s="147"/>
      <c r="BD792" s="147"/>
      <c r="BE792" s="147"/>
      <c r="BF792" s="147"/>
      <c r="BG792" s="147"/>
      <c r="BH792" s="147"/>
      <c r="BI792" s="147"/>
      <c r="BJ792" s="147"/>
      <c r="BK792" s="147"/>
      <c r="BL792" s="147"/>
      <c r="BM792" s="147"/>
      <c r="BN792" s="147"/>
      <c r="BO792" s="147"/>
      <c r="BP792" s="147"/>
    </row>
    <row r="793" spans="3:68">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c r="AC793" s="147"/>
      <c r="AD793" s="147"/>
      <c r="AE793" s="147"/>
      <c r="AF793" s="147"/>
      <c r="AG793" s="147"/>
      <c r="AH793" s="147"/>
      <c r="AI793" s="147"/>
      <c r="AJ793" s="147"/>
      <c r="AK793" s="147"/>
      <c r="AL793" s="147"/>
      <c r="AM793" s="147"/>
      <c r="AN793" s="147"/>
      <c r="AO793" s="147"/>
      <c r="AP793" s="147"/>
      <c r="AQ793" s="147"/>
      <c r="AR793" s="147"/>
      <c r="AS793" s="147"/>
      <c r="AT793" s="147"/>
      <c r="AU793" s="147"/>
      <c r="AV793" s="147"/>
      <c r="AW793" s="147"/>
      <c r="AX793" s="147"/>
      <c r="AY793" s="147"/>
      <c r="AZ793" s="147"/>
      <c r="BA793" s="147"/>
      <c r="BB793" s="147"/>
      <c r="BC793" s="147"/>
      <c r="BD793" s="147"/>
      <c r="BE793" s="147"/>
      <c r="BF793" s="147"/>
      <c r="BG793" s="147"/>
      <c r="BH793" s="147"/>
      <c r="BI793" s="147"/>
      <c r="BJ793" s="147"/>
      <c r="BK793" s="147"/>
      <c r="BL793" s="147"/>
      <c r="BM793" s="147"/>
      <c r="BN793" s="147"/>
      <c r="BO793" s="147"/>
      <c r="BP793" s="147"/>
    </row>
    <row r="794" spans="3:68">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c r="AC794" s="147"/>
      <c r="AD794" s="147"/>
      <c r="AE794" s="147"/>
      <c r="AF794" s="147"/>
      <c r="AG794" s="147"/>
      <c r="AH794" s="147"/>
      <c r="AI794" s="147"/>
      <c r="AJ794" s="147"/>
      <c r="AK794" s="147"/>
      <c r="AL794" s="147"/>
      <c r="AM794" s="147"/>
      <c r="AN794" s="147"/>
      <c r="AO794" s="147"/>
      <c r="AP794" s="147"/>
      <c r="AQ794" s="147"/>
      <c r="AR794" s="147"/>
      <c r="AS794" s="147"/>
      <c r="AT794" s="147"/>
      <c r="AU794" s="147"/>
      <c r="AV794" s="147"/>
      <c r="AW794" s="147"/>
      <c r="AX794" s="147"/>
      <c r="AY794" s="147"/>
      <c r="AZ794" s="147"/>
      <c r="BA794" s="147"/>
      <c r="BB794" s="147"/>
      <c r="BC794" s="147"/>
      <c r="BD794" s="147"/>
      <c r="BE794" s="147"/>
      <c r="BF794" s="147"/>
      <c r="BG794" s="147"/>
      <c r="BH794" s="147"/>
      <c r="BI794" s="147"/>
      <c r="BJ794" s="147"/>
      <c r="BK794" s="147"/>
      <c r="BL794" s="147"/>
      <c r="BM794" s="147"/>
      <c r="BN794" s="147"/>
      <c r="BO794" s="147"/>
      <c r="BP794" s="147"/>
    </row>
    <row r="795" spans="3:68">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c r="AC795" s="147"/>
      <c r="AD795" s="147"/>
      <c r="AE795" s="147"/>
      <c r="AF795" s="147"/>
      <c r="AG795" s="147"/>
      <c r="AH795" s="147"/>
      <c r="AI795" s="147"/>
      <c r="AJ795" s="147"/>
      <c r="AK795" s="147"/>
      <c r="AL795" s="147"/>
      <c r="AM795" s="147"/>
      <c r="AN795" s="147"/>
      <c r="AO795" s="147"/>
      <c r="AP795" s="147"/>
      <c r="AQ795" s="147"/>
      <c r="AR795" s="147"/>
      <c r="AS795" s="147"/>
      <c r="AT795" s="147"/>
      <c r="AU795" s="147"/>
      <c r="AV795" s="147"/>
      <c r="AW795" s="147"/>
      <c r="AX795" s="147"/>
      <c r="AY795" s="147"/>
      <c r="AZ795" s="147"/>
      <c r="BA795" s="147"/>
      <c r="BB795" s="147"/>
      <c r="BC795" s="147"/>
      <c r="BD795" s="147"/>
      <c r="BE795" s="147"/>
      <c r="BF795" s="147"/>
      <c r="BG795" s="147"/>
      <c r="BH795" s="147"/>
      <c r="BI795" s="147"/>
      <c r="BJ795" s="147"/>
      <c r="BK795" s="147"/>
      <c r="BL795" s="147"/>
      <c r="BM795" s="147"/>
      <c r="BN795" s="147"/>
      <c r="BO795" s="147"/>
      <c r="BP795" s="147"/>
    </row>
    <row r="796" spans="3:68">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c r="AC796" s="147"/>
      <c r="AD796" s="147"/>
      <c r="AE796" s="147"/>
      <c r="AF796" s="147"/>
      <c r="AG796" s="147"/>
      <c r="AH796" s="147"/>
      <c r="AI796" s="147"/>
      <c r="AJ796" s="147"/>
      <c r="AK796" s="147"/>
      <c r="AL796" s="147"/>
      <c r="AM796" s="147"/>
      <c r="AN796" s="147"/>
      <c r="AO796" s="147"/>
      <c r="AP796" s="147"/>
      <c r="AQ796" s="147"/>
      <c r="AR796" s="147"/>
      <c r="AS796" s="147"/>
      <c r="AT796" s="147"/>
      <c r="AU796" s="147"/>
      <c r="AV796" s="147"/>
      <c r="AW796" s="147"/>
      <c r="AX796" s="147"/>
      <c r="AY796" s="147"/>
      <c r="AZ796" s="147"/>
      <c r="BA796" s="147"/>
      <c r="BB796" s="147"/>
      <c r="BC796" s="147"/>
      <c r="BD796" s="147"/>
      <c r="BE796" s="147"/>
      <c r="BF796" s="147"/>
      <c r="BG796" s="147"/>
      <c r="BH796" s="147"/>
      <c r="BI796" s="147"/>
      <c r="BJ796" s="147"/>
      <c r="BK796" s="147"/>
      <c r="BL796" s="147"/>
      <c r="BM796" s="147"/>
      <c r="BN796" s="147"/>
      <c r="BO796" s="147"/>
      <c r="BP796" s="147"/>
    </row>
    <row r="797" spans="3:68">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c r="AC797" s="147"/>
      <c r="AD797" s="147"/>
      <c r="AE797" s="147"/>
      <c r="AF797" s="147"/>
      <c r="AG797" s="147"/>
      <c r="AH797" s="147"/>
      <c r="AI797" s="147"/>
      <c r="AJ797" s="147"/>
      <c r="AK797" s="147"/>
      <c r="AL797" s="147"/>
      <c r="AM797" s="147"/>
      <c r="AN797" s="147"/>
      <c r="AO797" s="147"/>
      <c r="AP797" s="147"/>
      <c r="AQ797" s="147"/>
      <c r="AR797" s="147"/>
      <c r="AS797" s="147"/>
      <c r="AT797" s="147"/>
      <c r="AU797" s="147"/>
      <c r="AV797" s="147"/>
      <c r="AW797" s="147"/>
      <c r="AX797" s="147"/>
      <c r="AY797" s="147"/>
      <c r="AZ797" s="147"/>
      <c r="BA797" s="147"/>
      <c r="BB797" s="147"/>
      <c r="BC797" s="147"/>
      <c r="BD797" s="147"/>
      <c r="BE797" s="147"/>
      <c r="BF797" s="147"/>
      <c r="BG797" s="147"/>
      <c r="BH797" s="147"/>
      <c r="BI797" s="147"/>
      <c r="BJ797" s="147"/>
      <c r="BK797" s="147"/>
      <c r="BL797" s="147"/>
      <c r="BM797" s="147"/>
      <c r="BN797" s="147"/>
      <c r="BO797" s="147"/>
      <c r="BP797" s="147"/>
    </row>
    <row r="798" spans="3:68">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c r="AC798" s="147"/>
      <c r="AD798" s="147"/>
      <c r="AE798" s="147"/>
      <c r="AF798" s="147"/>
      <c r="AG798" s="147"/>
      <c r="AH798" s="147"/>
      <c r="AI798" s="147"/>
      <c r="AJ798" s="147"/>
      <c r="AK798" s="147"/>
      <c r="AL798" s="147"/>
      <c r="AM798" s="147"/>
      <c r="AN798" s="147"/>
      <c r="AO798" s="147"/>
      <c r="AP798" s="147"/>
      <c r="AQ798" s="147"/>
      <c r="AR798" s="147"/>
      <c r="AS798" s="147"/>
      <c r="AT798" s="147"/>
      <c r="AU798" s="147"/>
      <c r="AV798" s="147"/>
      <c r="AW798" s="147"/>
      <c r="AX798" s="147"/>
      <c r="AY798" s="147"/>
      <c r="AZ798" s="147"/>
      <c r="BA798" s="147"/>
      <c r="BB798" s="147"/>
      <c r="BC798" s="147"/>
      <c r="BD798" s="147"/>
      <c r="BE798" s="147"/>
      <c r="BF798" s="147"/>
      <c r="BG798" s="147"/>
      <c r="BH798" s="147"/>
      <c r="BI798" s="147"/>
      <c r="BJ798" s="147"/>
      <c r="BK798" s="147"/>
      <c r="BL798" s="147"/>
      <c r="BM798" s="147"/>
      <c r="BN798" s="147"/>
      <c r="BO798" s="147"/>
      <c r="BP798" s="147"/>
    </row>
    <row r="799" spans="3:68">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c r="AC799" s="147"/>
      <c r="AD799" s="147"/>
      <c r="AE799" s="147"/>
      <c r="AF799" s="147"/>
      <c r="AG799" s="147"/>
      <c r="AH799" s="147"/>
      <c r="AI799" s="147"/>
      <c r="AJ799" s="147"/>
      <c r="AK799" s="147"/>
      <c r="AL799" s="147"/>
      <c r="AM799" s="147"/>
      <c r="AN799" s="147"/>
      <c r="AO799" s="147"/>
      <c r="AP799" s="147"/>
      <c r="AQ799" s="147"/>
      <c r="AR799" s="147"/>
      <c r="AS799" s="147"/>
      <c r="AT799" s="147"/>
      <c r="AU799" s="147"/>
      <c r="AV799" s="147"/>
      <c r="AW799" s="147"/>
      <c r="AX799" s="147"/>
      <c r="AY799" s="147"/>
      <c r="AZ799" s="147"/>
      <c r="BA799" s="147"/>
      <c r="BB799" s="147"/>
      <c r="BC799" s="147"/>
      <c r="BD799" s="147"/>
      <c r="BE799" s="147"/>
      <c r="BF799" s="147"/>
      <c r="BG799" s="147"/>
      <c r="BH799" s="147"/>
      <c r="BI799" s="147"/>
      <c r="BJ799" s="147"/>
      <c r="BK799" s="147"/>
      <c r="BL799" s="147"/>
      <c r="BM799" s="147"/>
      <c r="BN799" s="147"/>
      <c r="BO799" s="147"/>
      <c r="BP799" s="147"/>
    </row>
    <row r="800" spans="3:68">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c r="AC800" s="147"/>
      <c r="AD800" s="147"/>
      <c r="AE800" s="147"/>
      <c r="AF800" s="147"/>
      <c r="AG800" s="147"/>
      <c r="AH800" s="147"/>
      <c r="AI800" s="147"/>
      <c r="AJ800" s="147"/>
      <c r="AK800" s="147"/>
      <c r="AL800" s="147"/>
      <c r="AM800" s="147"/>
      <c r="AN800" s="147"/>
      <c r="AO800" s="147"/>
      <c r="AP800" s="147"/>
      <c r="AQ800" s="147"/>
      <c r="AR800" s="147"/>
      <c r="AS800" s="147"/>
      <c r="AT800" s="147"/>
      <c r="AU800" s="147"/>
      <c r="AV800" s="147"/>
      <c r="AW800" s="147"/>
      <c r="AX800" s="147"/>
      <c r="AY800" s="147"/>
      <c r="AZ800" s="147"/>
      <c r="BA800" s="147"/>
      <c r="BB800" s="147"/>
      <c r="BC800" s="147"/>
      <c r="BD800" s="147"/>
      <c r="BE800" s="147"/>
      <c r="BF800" s="147"/>
      <c r="BG800" s="147"/>
      <c r="BH800" s="147"/>
      <c r="BI800" s="147"/>
      <c r="BJ800" s="147"/>
      <c r="BK800" s="147"/>
      <c r="BL800" s="147"/>
      <c r="BM800" s="147"/>
      <c r="BN800" s="147"/>
      <c r="BO800" s="147"/>
      <c r="BP800" s="147"/>
    </row>
    <row r="801" spans="3:68">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c r="AC801" s="147"/>
      <c r="AD801" s="147"/>
      <c r="AE801" s="147"/>
      <c r="AF801" s="147"/>
      <c r="AG801" s="147"/>
      <c r="AH801" s="147"/>
      <c r="AI801" s="147"/>
      <c r="AJ801" s="147"/>
      <c r="AK801" s="147"/>
      <c r="AL801" s="147"/>
      <c r="AM801" s="147"/>
      <c r="AN801" s="147"/>
      <c r="AO801" s="147"/>
      <c r="AP801" s="147"/>
      <c r="AQ801" s="147"/>
      <c r="AR801" s="147"/>
      <c r="AS801" s="147"/>
      <c r="AT801" s="147"/>
      <c r="AU801" s="147"/>
      <c r="AV801" s="147"/>
      <c r="AW801" s="147"/>
      <c r="AX801" s="147"/>
      <c r="AY801" s="147"/>
      <c r="AZ801" s="147"/>
      <c r="BA801" s="147"/>
      <c r="BB801" s="147"/>
      <c r="BC801" s="147"/>
      <c r="BD801" s="147"/>
      <c r="BE801" s="147"/>
      <c r="BF801" s="147"/>
      <c r="BG801" s="147"/>
      <c r="BH801" s="147"/>
      <c r="BI801" s="147"/>
      <c r="BJ801" s="147"/>
      <c r="BK801" s="147"/>
      <c r="BL801" s="147"/>
      <c r="BM801" s="147"/>
      <c r="BN801" s="147"/>
      <c r="BO801" s="147"/>
      <c r="BP801" s="147"/>
    </row>
    <row r="802" spans="3:68">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c r="AC802" s="147"/>
      <c r="AD802" s="147"/>
      <c r="AE802" s="147"/>
      <c r="AF802" s="147"/>
      <c r="AG802" s="147"/>
      <c r="AH802" s="147"/>
      <c r="AI802" s="147"/>
      <c r="AJ802" s="147"/>
      <c r="AK802" s="147"/>
      <c r="AL802" s="147"/>
      <c r="AM802" s="147"/>
      <c r="AN802" s="147"/>
      <c r="AO802" s="147"/>
      <c r="AP802" s="147"/>
      <c r="AQ802" s="147"/>
      <c r="AR802" s="147"/>
      <c r="AS802" s="147"/>
      <c r="AT802" s="147"/>
      <c r="AU802" s="147"/>
      <c r="AV802" s="147"/>
      <c r="AW802" s="147"/>
      <c r="AX802" s="147"/>
      <c r="AY802" s="147"/>
      <c r="AZ802" s="147"/>
      <c r="BA802" s="147"/>
      <c r="BB802" s="147"/>
      <c r="BC802" s="147"/>
      <c r="BD802" s="147"/>
      <c r="BE802" s="147"/>
      <c r="BF802" s="147"/>
      <c r="BG802" s="147"/>
      <c r="BH802" s="147"/>
      <c r="BI802" s="147"/>
      <c r="BJ802" s="147"/>
      <c r="BK802" s="147"/>
      <c r="BL802" s="147"/>
      <c r="BM802" s="147"/>
      <c r="BN802" s="147"/>
      <c r="BO802" s="147"/>
      <c r="BP802" s="147"/>
    </row>
    <row r="803" spans="3:68">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c r="AC803" s="147"/>
      <c r="AD803" s="147"/>
      <c r="AE803" s="147"/>
      <c r="AF803" s="147"/>
      <c r="AG803" s="147"/>
      <c r="AH803" s="147"/>
      <c r="AI803" s="147"/>
      <c r="AJ803" s="147"/>
      <c r="AK803" s="147"/>
      <c r="AL803" s="147"/>
      <c r="AM803" s="147"/>
      <c r="AN803" s="147"/>
      <c r="AO803" s="147"/>
      <c r="AP803" s="147"/>
      <c r="AQ803" s="147"/>
      <c r="AR803" s="147"/>
      <c r="AS803" s="147"/>
      <c r="AT803" s="147"/>
      <c r="AU803" s="147"/>
      <c r="AV803" s="147"/>
      <c r="AW803" s="147"/>
      <c r="AX803" s="147"/>
      <c r="AY803" s="147"/>
      <c r="AZ803" s="147"/>
      <c r="BA803" s="147"/>
      <c r="BB803" s="147"/>
      <c r="BC803" s="147"/>
      <c r="BD803" s="147"/>
      <c r="BE803" s="147"/>
      <c r="BF803" s="147"/>
      <c r="BG803" s="147"/>
      <c r="BH803" s="147"/>
      <c r="BI803" s="147"/>
      <c r="BJ803" s="147"/>
      <c r="BK803" s="147"/>
      <c r="BL803" s="147"/>
      <c r="BM803" s="147"/>
      <c r="BN803" s="147"/>
      <c r="BO803" s="147"/>
      <c r="BP803" s="147"/>
    </row>
    <row r="804" spans="3:68">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c r="AC804" s="147"/>
      <c r="AD804" s="147"/>
      <c r="AE804" s="147"/>
      <c r="AF804" s="147"/>
      <c r="AG804" s="147"/>
      <c r="AH804" s="147"/>
      <c r="AI804" s="147"/>
      <c r="AJ804" s="147"/>
      <c r="AK804" s="147"/>
      <c r="AL804" s="147"/>
      <c r="AM804" s="147"/>
      <c r="AN804" s="147"/>
      <c r="AO804" s="147"/>
      <c r="AP804" s="147"/>
      <c r="AQ804" s="147"/>
      <c r="AR804" s="147"/>
      <c r="AS804" s="147"/>
      <c r="AT804" s="147"/>
      <c r="AU804" s="147"/>
      <c r="AV804" s="147"/>
      <c r="AW804" s="147"/>
      <c r="AX804" s="147"/>
      <c r="AY804" s="147"/>
      <c r="AZ804" s="147"/>
      <c r="BA804" s="147"/>
      <c r="BB804" s="147"/>
      <c r="BC804" s="147"/>
      <c r="BD804" s="147"/>
      <c r="BE804" s="147"/>
      <c r="BF804" s="147"/>
      <c r="BG804" s="147"/>
      <c r="BH804" s="147"/>
      <c r="BI804" s="147"/>
      <c r="BJ804" s="147"/>
      <c r="BK804" s="147"/>
      <c r="BL804" s="147"/>
      <c r="BM804" s="147"/>
      <c r="BN804" s="147"/>
      <c r="BO804" s="147"/>
      <c r="BP804" s="147"/>
    </row>
    <row r="805" spans="3:68">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c r="AC805" s="147"/>
      <c r="AD805" s="147"/>
      <c r="AE805" s="147"/>
      <c r="AF805" s="147"/>
      <c r="AG805" s="147"/>
      <c r="AH805" s="147"/>
      <c r="AI805" s="147"/>
      <c r="AJ805" s="147"/>
      <c r="AK805" s="147"/>
      <c r="AL805" s="147"/>
      <c r="AM805" s="147"/>
      <c r="AN805" s="147"/>
      <c r="AO805" s="147"/>
      <c r="AP805" s="147"/>
      <c r="AQ805" s="147"/>
      <c r="AR805" s="147"/>
      <c r="AS805" s="147"/>
      <c r="AT805" s="147"/>
      <c r="AU805" s="147"/>
      <c r="AV805" s="147"/>
      <c r="AW805" s="147"/>
      <c r="AX805" s="147"/>
      <c r="AY805" s="147"/>
      <c r="AZ805" s="147"/>
      <c r="BA805" s="147"/>
      <c r="BB805" s="147"/>
      <c r="BC805" s="147"/>
      <c r="BD805" s="147"/>
      <c r="BE805" s="147"/>
      <c r="BF805" s="147"/>
      <c r="BG805" s="147"/>
      <c r="BH805" s="147"/>
      <c r="BI805" s="147"/>
      <c r="BJ805" s="147"/>
      <c r="BK805" s="147"/>
      <c r="BL805" s="147"/>
      <c r="BM805" s="147"/>
      <c r="BN805" s="147"/>
      <c r="BO805" s="147"/>
      <c r="BP805" s="147"/>
    </row>
    <row r="806" spans="3:68">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c r="AC806" s="147"/>
      <c r="AD806" s="147"/>
      <c r="AE806" s="147"/>
      <c r="AF806" s="147"/>
      <c r="AG806" s="147"/>
      <c r="AH806" s="147"/>
      <c r="AI806" s="147"/>
      <c r="AJ806" s="147"/>
      <c r="AK806" s="147"/>
      <c r="AL806" s="147"/>
      <c r="AM806" s="147"/>
      <c r="AN806" s="147"/>
      <c r="AO806" s="147"/>
      <c r="AP806" s="147"/>
      <c r="AQ806" s="147"/>
      <c r="AR806" s="147"/>
      <c r="AS806" s="147"/>
      <c r="AT806" s="147"/>
      <c r="AU806" s="147"/>
      <c r="AV806" s="147"/>
      <c r="AW806" s="147"/>
      <c r="AX806" s="147"/>
      <c r="AY806" s="147"/>
      <c r="AZ806" s="147"/>
      <c r="BA806" s="147"/>
      <c r="BB806" s="147"/>
      <c r="BC806" s="147"/>
      <c r="BD806" s="147"/>
      <c r="BE806" s="147"/>
      <c r="BF806" s="147"/>
      <c r="BG806" s="147"/>
      <c r="BH806" s="147"/>
      <c r="BI806" s="147"/>
      <c r="BJ806" s="147"/>
      <c r="BK806" s="147"/>
      <c r="BL806" s="147"/>
      <c r="BM806" s="147"/>
      <c r="BN806" s="147"/>
      <c r="BO806" s="147"/>
      <c r="BP806" s="147"/>
    </row>
    <row r="807" spans="3:68">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c r="AC807" s="147"/>
      <c r="AD807" s="147"/>
      <c r="AE807" s="147"/>
      <c r="AF807" s="147"/>
      <c r="AG807" s="147"/>
      <c r="AH807" s="147"/>
      <c r="AI807" s="147"/>
      <c r="AJ807" s="147"/>
      <c r="AK807" s="147"/>
      <c r="AL807" s="147"/>
      <c r="AM807" s="147"/>
      <c r="AN807" s="147"/>
      <c r="AO807" s="147"/>
      <c r="AP807" s="147"/>
      <c r="AQ807" s="147"/>
      <c r="AR807" s="147"/>
      <c r="AS807" s="147"/>
      <c r="AT807" s="147"/>
      <c r="AU807" s="147"/>
      <c r="AV807" s="147"/>
      <c r="AW807" s="147"/>
      <c r="AX807" s="147"/>
      <c r="AY807" s="147"/>
      <c r="AZ807" s="147"/>
      <c r="BA807" s="147"/>
      <c r="BB807" s="147"/>
      <c r="BC807" s="147"/>
      <c r="BD807" s="147"/>
      <c r="BE807" s="147"/>
      <c r="BF807" s="147"/>
      <c r="BG807" s="147"/>
      <c r="BH807" s="147"/>
      <c r="BI807" s="147"/>
      <c r="BJ807" s="147"/>
      <c r="BK807" s="147"/>
      <c r="BL807" s="147"/>
      <c r="BM807" s="147"/>
      <c r="BN807" s="147"/>
      <c r="BO807" s="147"/>
      <c r="BP807" s="147"/>
    </row>
    <row r="808" spans="3:68">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c r="AC808" s="147"/>
      <c r="AD808" s="147"/>
      <c r="AE808" s="147"/>
      <c r="AF808" s="147"/>
      <c r="AG808" s="147"/>
      <c r="AH808" s="147"/>
      <c r="AI808" s="147"/>
      <c r="AJ808" s="147"/>
      <c r="AK808" s="147"/>
      <c r="AL808" s="147"/>
      <c r="AM808" s="147"/>
      <c r="AN808" s="147"/>
      <c r="AO808" s="147"/>
      <c r="AP808" s="147"/>
      <c r="AQ808" s="147"/>
      <c r="AR808" s="147"/>
      <c r="AS808" s="147"/>
      <c r="AT808" s="147"/>
      <c r="AU808" s="147"/>
      <c r="AV808" s="147"/>
      <c r="AW808" s="147"/>
      <c r="AX808" s="147"/>
      <c r="AY808" s="147"/>
      <c r="AZ808" s="147"/>
      <c r="BA808" s="147"/>
      <c r="BB808" s="147"/>
      <c r="BC808" s="147"/>
      <c r="BD808" s="147"/>
      <c r="BE808" s="147"/>
      <c r="BF808" s="147"/>
      <c r="BG808" s="147"/>
      <c r="BH808" s="147"/>
      <c r="BI808" s="147"/>
      <c r="BJ808" s="147"/>
      <c r="BK808" s="147"/>
      <c r="BL808" s="147"/>
      <c r="BM808" s="147"/>
      <c r="BN808" s="147"/>
      <c r="BO808" s="147"/>
      <c r="BP808" s="147"/>
    </row>
    <row r="809" spans="3:68">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c r="AC809" s="147"/>
      <c r="AD809" s="147"/>
      <c r="AE809" s="147"/>
      <c r="AF809" s="147"/>
      <c r="AG809" s="147"/>
      <c r="AH809" s="147"/>
      <c r="AI809" s="147"/>
      <c r="AJ809" s="147"/>
      <c r="AK809" s="147"/>
      <c r="AL809" s="147"/>
      <c r="AM809" s="147"/>
      <c r="AN809" s="147"/>
      <c r="AO809" s="147"/>
      <c r="AP809" s="147"/>
      <c r="AQ809" s="147"/>
      <c r="AR809" s="147"/>
      <c r="AS809" s="147"/>
      <c r="AT809" s="147"/>
      <c r="AU809" s="147"/>
      <c r="AV809" s="147"/>
      <c r="AW809" s="147"/>
      <c r="AX809" s="147"/>
      <c r="AY809" s="147"/>
      <c r="AZ809" s="147"/>
      <c r="BA809" s="147"/>
      <c r="BB809" s="147"/>
      <c r="BC809" s="147"/>
      <c r="BD809" s="147"/>
      <c r="BE809" s="147"/>
      <c r="BF809" s="147"/>
      <c r="BG809" s="147"/>
      <c r="BH809" s="147"/>
      <c r="BI809" s="147"/>
      <c r="BJ809" s="147"/>
      <c r="BK809" s="147"/>
      <c r="BL809" s="147"/>
      <c r="BM809" s="147"/>
      <c r="BN809" s="147"/>
      <c r="BO809" s="147"/>
      <c r="BP809" s="147"/>
    </row>
    <row r="810" spans="3:68">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c r="AC810" s="147"/>
      <c r="AD810" s="147"/>
      <c r="AE810" s="147"/>
      <c r="AF810" s="147"/>
      <c r="AG810" s="147"/>
      <c r="AH810" s="147"/>
      <c r="AI810" s="147"/>
      <c r="AJ810" s="147"/>
      <c r="AK810" s="147"/>
      <c r="AL810" s="147"/>
      <c r="AM810" s="147"/>
      <c r="AN810" s="147"/>
      <c r="AO810" s="147"/>
      <c r="AP810" s="147"/>
      <c r="AQ810" s="147"/>
      <c r="AR810" s="147"/>
      <c r="AS810" s="147"/>
      <c r="AT810" s="147"/>
      <c r="AU810" s="147"/>
      <c r="AV810" s="147"/>
      <c r="AW810" s="147"/>
      <c r="AX810" s="147"/>
      <c r="AY810" s="147"/>
      <c r="AZ810" s="147"/>
      <c r="BA810" s="147"/>
      <c r="BB810" s="147"/>
      <c r="BC810" s="147"/>
      <c r="BD810" s="147"/>
      <c r="BE810" s="147"/>
      <c r="BF810" s="147"/>
      <c r="BG810" s="147"/>
      <c r="BH810" s="147"/>
      <c r="BI810" s="147"/>
      <c r="BJ810" s="147"/>
      <c r="BK810" s="147"/>
      <c r="BL810" s="147"/>
      <c r="BM810" s="147"/>
      <c r="BN810" s="147"/>
      <c r="BO810" s="147"/>
      <c r="BP810" s="147"/>
    </row>
    <row r="811" spans="3:68">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c r="AC811" s="147"/>
      <c r="AD811" s="147"/>
      <c r="AE811" s="147"/>
      <c r="AF811" s="147"/>
      <c r="AG811" s="147"/>
      <c r="AH811" s="147"/>
      <c r="AI811" s="147"/>
      <c r="AJ811" s="147"/>
      <c r="AK811" s="147"/>
      <c r="AL811" s="147"/>
      <c r="AM811" s="147"/>
      <c r="AN811" s="147"/>
      <c r="AO811" s="147"/>
      <c r="AP811" s="147"/>
      <c r="AQ811" s="147"/>
      <c r="AR811" s="147"/>
      <c r="AS811" s="147"/>
      <c r="AT811" s="147"/>
      <c r="AU811" s="147"/>
      <c r="AV811" s="147"/>
      <c r="AW811" s="147"/>
      <c r="AX811" s="147"/>
      <c r="AY811" s="147"/>
      <c r="AZ811" s="147"/>
      <c r="BA811" s="147"/>
      <c r="BB811" s="147"/>
      <c r="BC811" s="147"/>
      <c r="BD811" s="147"/>
      <c r="BE811" s="147"/>
      <c r="BF811" s="147"/>
      <c r="BG811" s="147"/>
      <c r="BH811" s="147"/>
      <c r="BI811" s="147"/>
      <c r="BJ811" s="147"/>
      <c r="BK811" s="147"/>
      <c r="BL811" s="147"/>
      <c r="BM811" s="147"/>
      <c r="BN811" s="147"/>
      <c r="BO811" s="147"/>
      <c r="BP811" s="147"/>
    </row>
    <row r="812" spans="3:68">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c r="AC812" s="147"/>
      <c r="AD812" s="147"/>
      <c r="AE812" s="147"/>
      <c r="AF812" s="147"/>
      <c r="AG812" s="147"/>
      <c r="AH812" s="147"/>
      <c r="AI812" s="147"/>
      <c r="AJ812" s="147"/>
      <c r="AK812" s="147"/>
      <c r="AL812" s="147"/>
      <c r="AM812" s="147"/>
      <c r="AN812" s="147"/>
      <c r="AO812" s="147"/>
      <c r="AP812" s="147"/>
      <c r="AQ812" s="147"/>
      <c r="AR812" s="147"/>
      <c r="AS812" s="147"/>
      <c r="AT812" s="147"/>
      <c r="AU812" s="147"/>
      <c r="AV812" s="147"/>
      <c r="AW812" s="147"/>
      <c r="AX812" s="147"/>
      <c r="AY812" s="147"/>
      <c r="AZ812" s="147"/>
      <c r="BA812" s="147"/>
      <c r="BB812" s="147"/>
      <c r="BC812" s="147"/>
      <c r="BD812" s="147"/>
      <c r="BE812" s="147"/>
      <c r="BF812" s="147"/>
      <c r="BG812" s="147"/>
      <c r="BH812" s="147"/>
      <c r="BI812" s="147"/>
      <c r="BJ812" s="147"/>
      <c r="BK812" s="147"/>
      <c r="BL812" s="147"/>
      <c r="BM812" s="147"/>
      <c r="BN812" s="147"/>
      <c r="BO812" s="147"/>
      <c r="BP812" s="147"/>
    </row>
    <row r="813" spans="3:68">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c r="AC813" s="147"/>
      <c r="AD813" s="147"/>
      <c r="AE813" s="147"/>
      <c r="AF813" s="147"/>
      <c r="AG813" s="147"/>
      <c r="AH813" s="147"/>
      <c r="AI813" s="147"/>
      <c r="AJ813" s="147"/>
      <c r="AK813" s="147"/>
      <c r="AL813" s="147"/>
      <c r="AM813" s="147"/>
      <c r="AN813" s="147"/>
      <c r="AO813" s="147"/>
      <c r="AP813" s="147"/>
      <c r="AQ813" s="147"/>
      <c r="AR813" s="147"/>
      <c r="AS813" s="147"/>
      <c r="AT813" s="147"/>
      <c r="AU813" s="147"/>
      <c r="AV813" s="147"/>
      <c r="AW813" s="147"/>
      <c r="AX813" s="147"/>
      <c r="AY813" s="147"/>
      <c r="AZ813" s="147"/>
      <c r="BA813" s="147"/>
      <c r="BB813" s="147"/>
      <c r="BC813" s="147"/>
      <c r="BD813" s="147"/>
      <c r="BE813" s="147"/>
      <c r="BF813" s="147"/>
      <c r="BG813" s="147"/>
      <c r="BH813" s="147"/>
      <c r="BI813" s="147"/>
      <c r="BJ813" s="147"/>
      <c r="BK813" s="147"/>
      <c r="BL813" s="147"/>
      <c r="BM813" s="147"/>
      <c r="BN813" s="147"/>
      <c r="BO813" s="147"/>
      <c r="BP813" s="147"/>
    </row>
    <row r="814" spans="3:68">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c r="AC814" s="147"/>
      <c r="AD814" s="147"/>
      <c r="AE814" s="147"/>
      <c r="AF814" s="147"/>
      <c r="AG814" s="147"/>
      <c r="AH814" s="147"/>
      <c r="AI814" s="147"/>
      <c r="AJ814" s="147"/>
      <c r="AK814" s="147"/>
      <c r="AL814" s="147"/>
      <c r="AM814" s="147"/>
      <c r="AN814" s="147"/>
      <c r="AO814" s="147"/>
      <c r="AP814" s="147"/>
      <c r="AQ814" s="147"/>
      <c r="AR814" s="147"/>
      <c r="AS814" s="147"/>
      <c r="AT814" s="147"/>
      <c r="AU814" s="147"/>
      <c r="AV814" s="147"/>
      <c r="AW814" s="147"/>
      <c r="AX814" s="147"/>
      <c r="AY814" s="147"/>
      <c r="AZ814" s="147"/>
      <c r="BA814" s="147"/>
      <c r="BB814" s="147"/>
      <c r="BC814" s="147"/>
      <c r="BD814" s="147"/>
      <c r="BE814" s="147"/>
      <c r="BF814" s="147"/>
      <c r="BG814" s="147"/>
      <c r="BH814" s="147"/>
      <c r="BI814" s="147"/>
      <c r="BJ814" s="147"/>
      <c r="BK814" s="147"/>
      <c r="BL814" s="147"/>
      <c r="BM814" s="147"/>
      <c r="BN814" s="147"/>
      <c r="BO814" s="147"/>
      <c r="BP814" s="147"/>
    </row>
    <row r="815" spans="3:68">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c r="AC815" s="147"/>
      <c r="AD815" s="147"/>
      <c r="AE815" s="147"/>
      <c r="AF815" s="147"/>
      <c r="AG815" s="147"/>
      <c r="AH815" s="147"/>
      <c r="AI815" s="147"/>
      <c r="AJ815" s="147"/>
      <c r="AK815" s="147"/>
      <c r="AL815" s="147"/>
      <c r="AM815" s="147"/>
      <c r="AN815" s="147"/>
      <c r="AO815" s="147"/>
      <c r="AP815" s="147"/>
      <c r="AQ815" s="147"/>
      <c r="AR815" s="147"/>
      <c r="AS815" s="147"/>
      <c r="AT815" s="147"/>
      <c r="AU815" s="147"/>
      <c r="AV815" s="147"/>
      <c r="AW815" s="147"/>
      <c r="AX815" s="147"/>
      <c r="AY815" s="147"/>
      <c r="AZ815" s="147"/>
      <c r="BA815" s="147"/>
      <c r="BB815" s="147"/>
      <c r="BC815" s="147"/>
      <c r="BD815" s="147"/>
      <c r="BE815" s="147"/>
      <c r="BF815" s="147"/>
      <c r="BG815" s="147"/>
      <c r="BH815" s="147"/>
      <c r="BI815" s="147"/>
      <c r="BJ815" s="147"/>
      <c r="BK815" s="147"/>
      <c r="BL815" s="147"/>
      <c r="BM815" s="147"/>
      <c r="BN815" s="147"/>
      <c r="BO815" s="147"/>
      <c r="BP815" s="147"/>
    </row>
    <row r="816" spans="3:68">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c r="AC816" s="147"/>
      <c r="AD816" s="147"/>
      <c r="AE816" s="147"/>
      <c r="AF816" s="147"/>
      <c r="AG816" s="147"/>
      <c r="AH816" s="147"/>
      <c r="AI816" s="147"/>
      <c r="AJ816" s="147"/>
      <c r="AK816" s="147"/>
      <c r="AL816" s="147"/>
      <c r="AM816" s="147"/>
      <c r="AN816" s="147"/>
      <c r="AO816" s="147"/>
      <c r="AP816" s="147"/>
      <c r="AQ816" s="147"/>
      <c r="AR816" s="147"/>
      <c r="AS816" s="147"/>
      <c r="AT816" s="147"/>
      <c r="AU816" s="147"/>
      <c r="AV816" s="147"/>
      <c r="AW816" s="147"/>
      <c r="AX816" s="147"/>
      <c r="AY816" s="147"/>
      <c r="AZ816" s="147"/>
      <c r="BA816" s="147"/>
      <c r="BB816" s="147"/>
      <c r="BC816" s="147"/>
      <c r="BD816" s="147"/>
      <c r="BE816" s="147"/>
      <c r="BF816" s="147"/>
      <c r="BG816" s="147"/>
      <c r="BH816" s="147"/>
      <c r="BI816" s="147"/>
      <c r="BJ816" s="147"/>
      <c r="BK816" s="147"/>
      <c r="BL816" s="147"/>
      <c r="BM816" s="147"/>
      <c r="BN816" s="147"/>
      <c r="BO816" s="147"/>
      <c r="BP816" s="147"/>
    </row>
    <row r="817" spans="3:68">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c r="AC817" s="147"/>
      <c r="AD817" s="147"/>
      <c r="AE817" s="147"/>
      <c r="AF817" s="147"/>
      <c r="AG817" s="147"/>
      <c r="AH817" s="147"/>
      <c r="AI817" s="147"/>
      <c r="AJ817" s="147"/>
      <c r="AK817" s="147"/>
      <c r="AL817" s="147"/>
      <c r="AM817" s="147"/>
      <c r="AN817" s="147"/>
      <c r="AO817" s="147"/>
      <c r="AP817" s="147"/>
      <c r="AQ817" s="147"/>
      <c r="AR817" s="147"/>
      <c r="AS817" s="147"/>
      <c r="AT817" s="147"/>
      <c r="AU817" s="147"/>
      <c r="AV817" s="147"/>
      <c r="AW817" s="147"/>
      <c r="AX817" s="147"/>
      <c r="AY817" s="147"/>
      <c r="AZ817" s="147"/>
      <c r="BA817" s="147"/>
      <c r="BB817" s="147"/>
      <c r="BC817" s="147"/>
      <c r="BD817" s="147"/>
      <c r="BE817" s="147"/>
      <c r="BF817" s="147"/>
      <c r="BG817" s="147"/>
      <c r="BH817" s="147"/>
      <c r="BI817" s="147"/>
      <c r="BJ817" s="147"/>
      <c r="BK817" s="147"/>
      <c r="BL817" s="147"/>
      <c r="BM817" s="147"/>
      <c r="BN817" s="147"/>
      <c r="BO817" s="147"/>
      <c r="BP817" s="147"/>
    </row>
    <row r="818" spans="3:68">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c r="AC818" s="147"/>
      <c r="AD818" s="147"/>
      <c r="AE818" s="147"/>
      <c r="AF818" s="147"/>
      <c r="AG818" s="147"/>
      <c r="AH818" s="147"/>
      <c r="AI818" s="147"/>
      <c r="AJ818" s="147"/>
      <c r="AK818" s="147"/>
      <c r="AL818" s="147"/>
      <c r="AM818" s="147"/>
      <c r="AN818" s="147"/>
      <c r="AO818" s="147"/>
      <c r="AP818" s="147"/>
      <c r="AQ818" s="147"/>
      <c r="AR818" s="147"/>
      <c r="AS818" s="147"/>
      <c r="AT818" s="147"/>
      <c r="AU818" s="147"/>
      <c r="AV818" s="147"/>
      <c r="AW818" s="147"/>
      <c r="AX818" s="147"/>
      <c r="AY818" s="147"/>
      <c r="AZ818" s="147"/>
      <c r="BA818" s="147"/>
      <c r="BB818" s="147"/>
      <c r="BC818" s="147"/>
      <c r="BD818" s="147"/>
      <c r="BE818" s="147"/>
      <c r="BF818" s="147"/>
      <c r="BG818" s="147"/>
      <c r="BH818" s="147"/>
      <c r="BI818" s="147"/>
      <c r="BJ818" s="147"/>
      <c r="BK818" s="147"/>
      <c r="BL818" s="147"/>
      <c r="BM818" s="147"/>
      <c r="BN818" s="147"/>
      <c r="BO818" s="147"/>
      <c r="BP818" s="147"/>
    </row>
    <row r="819" spans="3:68">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c r="AC819" s="147"/>
      <c r="AD819" s="147"/>
      <c r="AE819" s="147"/>
      <c r="AF819" s="147"/>
      <c r="AG819" s="147"/>
      <c r="AH819" s="147"/>
      <c r="AI819" s="147"/>
      <c r="AJ819" s="147"/>
      <c r="AK819" s="147"/>
      <c r="AL819" s="147"/>
      <c r="AM819" s="147"/>
      <c r="AN819" s="147"/>
      <c r="AO819" s="147"/>
      <c r="AP819" s="147"/>
      <c r="AQ819" s="147"/>
      <c r="AR819" s="147"/>
      <c r="AS819" s="147"/>
      <c r="AT819" s="147"/>
      <c r="AU819" s="147"/>
      <c r="AV819" s="147"/>
      <c r="AW819" s="147"/>
      <c r="AX819" s="147"/>
      <c r="AY819" s="147"/>
      <c r="AZ819" s="147"/>
      <c r="BA819" s="147"/>
      <c r="BB819" s="147"/>
      <c r="BC819" s="147"/>
      <c r="BD819" s="147"/>
      <c r="BE819" s="147"/>
      <c r="BF819" s="147"/>
      <c r="BG819" s="147"/>
      <c r="BH819" s="147"/>
      <c r="BI819" s="147"/>
      <c r="BJ819" s="147"/>
      <c r="BK819" s="147"/>
      <c r="BL819" s="147"/>
      <c r="BM819" s="147"/>
      <c r="BN819" s="147"/>
      <c r="BO819" s="147"/>
      <c r="BP819" s="147"/>
    </row>
    <row r="820" spans="3:68">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c r="AC820" s="147"/>
      <c r="AD820" s="147"/>
      <c r="AE820" s="147"/>
      <c r="AF820" s="147"/>
      <c r="AG820" s="147"/>
      <c r="AH820" s="147"/>
      <c r="AI820" s="147"/>
      <c r="AJ820" s="147"/>
      <c r="AK820" s="147"/>
      <c r="AL820" s="147"/>
      <c r="AM820" s="147"/>
      <c r="AN820" s="147"/>
      <c r="AO820" s="147"/>
      <c r="AP820" s="147"/>
      <c r="AQ820" s="147"/>
      <c r="AR820" s="147"/>
      <c r="AS820" s="147"/>
      <c r="AT820" s="147"/>
      <c r="AU820" s="147"/>
      <c r="AV820" s="147"/>
      <c r="AW820" s="147"/>
      <c r="AX820" s="147"/>
      <c r="AY820" s="147"/>
      <c r="AZ820" s="147"/>
      <c r="BA820" s="147"/>
      <c r="BB820" s="147"/>
      <c r="BC820" s="147"/>
      <c r="BD820" s="147"/>
      <c r="BE820" s="147"/>
      <c r="BF820" s="147"/>
      <c r="BG820" s="147"/>
      <c r="BH820" s="147"/>
      <c r="BI820" s="147"/>
      <c r="BJ820" s="147"/>
      <c r="BK820" s="147"/>
      <c r="BL820" s="147"/>
      <c r="BM820" s="147"/>
      <c r="BN820" s="147"/>
      <c r="BO820" s="147"/>
      <c r="BP820" s="147"/>
    </row>
    <row r="821" spans="3:68">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c r="AC821" s="147"/>
      <c r="AD821" s="147"/>
      <c r="AE821" s="147"/>
      <c r="AF821" s="147"/>
      <c r="AG821" s="147"/>
      <c r="AH821" s="147"/>
      <c r="AI821" s="147"/>
      <c r="AJ821" s="147"/>
      <c r="AK821" s="147"/>
      <c r="AL821" s="147"/>
      <c r="AM821" s="147"/>
      <c r="AN821" s="147"/>
      <c r="AO821" s="147"/>
      <c r="AP821" s="147"/>
      <c r="AQ821" s="147"/>
      <c r="AR821" s="147"/>
      <c r="AS821" s="147"/>
      <c r="AT821" s="147"/>
      <c r="AU821" s="147"/>
      <c r="AV821" s="147"/>
      <c r="AW821" s="147"/>
      <c r="AX821" s="147"/>
      <c r="AY821" s="147"/>
      <c r="AZ821" s="147"/>
      <c r="BA821" s="147"/>
      <c r="BB821" s="147"/>
      <c r="BC821" s="147"/>
      <c r="BD821" s="147"/>
      <c r="BE821" s="147"/>
      <c r="BF821" s="147"/>
      <c r="BG821" s="147"/>
      <c r="BH821" s="147"/>
      <c r="BI821" s="147"/>
      <c r="BJ821" s="147"/>
      <c r="BK821" s="147"/>
      <c r="BL821" s="147"/>
      <c r="BM821" s="147"/>
      <c r="BN821" s="147"/>
      <c r="BO821" s="147"/>
      <c r="BP821" s="147"/>
    </row>
    <row r="822" spans="3:68">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c r="AC822" s="147"/>
      <c r="AD822" s="147"/>
      <c r="AE822" s="147"/>
      <c r="AF822" s="147"/>
      <c r="AG822" s="147"/>
      <c r="AH822" s="147"/>
      <c r="AI822" s="147"/>
      <c r="AJ822" s="147"/>
      <c r="AK822" s="147"/>
      <c r="AL822" s="147"/>
      <c r="AM822" s="147"/>
      <c r="AN822" s="147"/>
      <c r="AO822" s="147"/>
      <c r="AP822" s="147"/>
      <c r="AQ822" s="147"/>
      <c r="AR822" s="147"/>
      <c r="AS822" s="147"/>
      <c r="AT822" s="147"/>
      <c r="AU822" s="147"/>
      <c r="AV822" s="147"/>
      <c r="AW822" s="147"/>
      <c r="AX822" s="147"/>
      <c r="AY822" s="147"/>
      <c r="AZ822" s="147"/>
      <c r="BA822" s="147"/>
      <c r="BB822" s="147"/>
      <c r="BC822" s="147"/>
      <c r="BD822" s="147"/>
      <c r="BE822" s="147"/>
      <c r="BF822" s="147"/>
      <c r="BG822" s="147"/>
      <c r="BH822" s="147"/>
      <c r="BI822" s="147"/>
      <c r="BJ822" s="147"/>
      <c r="BK822" s="147"/>
      <c r="BL822" s="147"/>
      <c r="BM822" s="147"/>
      <c r="BN822" s="147"/>
      <c r="BO822" s="147"/>
      <c r="BP822" s="147"/>
    </row>
    <row r="823" spans="3:68">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c r="AC823" s="147"/>
      <c r="AD823" s="147"/>
      <c r="AE823" s="147"/>
      <c r="AF823" s="147"/>
      <c r="AG823" s="147"/>
      <c r="AH823" s="147"/>
      <c r="AI823" s="147"/>
      <c r="AJ823" s="147"/>
      <c r="AK823" s="147"/>
      <c r="AL823" s="147"/>
      <c r="AM823" s="147"/>
      <c r="AN823" s="147"/>
      <c r="AO823" s="147"/>
      <c r="AP823" s="147"/>
      <c r="AQ823" s="147"/>
      <c r="AR823" s="147"/>
      <c r="AS823" s="147"/>
      <c r="AT823" s="147"/>
      <c r="AU823" s="147"/>
      <c r="AV823" s="147"/>
      <c r="AW823" s="147"/>
      <c r="AX823" s="147"/>
      <c r="AY823" s="147"/>
      <c r="AZ823" s="147"/>
      <c r="BA823" s="147"/>
      <c r="BB823" s="147"/>
      <c r="BC823" s="147"/>
      <c r="BD823" s="147"/>
      <c r="BE823" s="147"/>
      <c r="BF823" s="147"/>
      <c r="BG823" s="147"/>
      <c r="BH823" s="147"/>
      <c r="BI823" s="147"/>
      <c r="BJ823" s="147"/>
      <c r="BK823" s="147"/>
      <c r="BL823" s="147"/>
      <c r="BM823" s="147"/>
      <c r="BN823" s="147"/>
      <c r="BO823" s="147"/>
      <c r="BP823" s="147"/>
    </row>
    <row r="824" spans="3:68">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c r="AC824" s="147"/>
      <c r="AD824" s="147"/>
      <c r="AE824" s="147"/>
      <c r="AF824" s="147"/>
      <c r="AG824" s="147"/>
      <c r="AH824" s="147"/>
      <c r="AI824" s="147"/>
      <c r="AJ824" s="147"/>
      <c r="AK824" s="147"/>
      <c r="AL824" s="147"/>
      <c r="AM824" s="147"/>
      <c r="AN824" s="147"/>
      <c r="AO824" s="147"/>
      <c r="AP824" s="147"/>
      <c r="AQ824" s="147"/>
      <c r="AR824" s="147"/>
      <c r="AS824" s="147"/>
      <c r="AT824" s="147"/>
      <c r="AU824" s="147"/>
      <c r="AV824" s="147"/>
      <c r="AW824" s="147"/>
      <c r="AX824" s="147"/>
      <c r="AY824" s="147"/>
      <c r="AZ824" s="147"/>
      <c r="BA824" s="147"/>
      <c r="BB824" s="147"/>
      <c r="BC824" s="147"/>
      <c r="BD824" s="147"/>
      <c r="BE824" s="147"/>
      <c r="BF824" s="147"/>
      <c r="BG824" s="147"/>
      <c r="BH824" s="147"/>
      <c r="BI824" s="147"/>
      <c r="BJ824" s="147"/>
      <c r="BK824" s="147"/>
      <c r="BL824" s="147"/>
      <c r="BM824" s="147"/>
      <c r="BN824" s="147"/>
      <c r="BO824" s="147"/>
      <c r="BP824" s="147"/>
    </row>
    <row r="825" spans="3:68">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c r="AC825" s="147"/>
      <c r="AD825" s="147"/>
      <c r="AE825" s="147"/>
      <c r="AF825" s="147"/>
      <c r="AG825" s="147"/>
      <c r="AH825" s="147"/>
      <c r="AI825" s="147"/>
      <c r="AJ825" s="147"/>
      <c r="AK825" s="147"/>
      <c r="AL825" s="147"/>
      <c r="AM825" s="147"/>
      <c r="AN825" s="147"/>
      <c r="AO825" s="147"/>
      <c r="AP825" s="147"/>
      <c r="AQ825" s="147"/>
      <c r="AR825" s="147"/>
      <c r="AS825" s="147"/>
      <c r="AT825" s="147"/>
      <c r="AU825" s="147"/>
      <c r="AV825" s="147"/>
      <c r="AW825" s="147"/>
      <c r="AX825" s="147"/>
      <c r="AY825" s="147"/>
      <c r="AZ825" s="147"/>
      <c r="BA825" s="147"/>
      <c r="BB825" s="147"/>
      <c r="BC825" s="147"/>
      <c r="BD825" s="147"/>
      <c r="BE825" s="147"/>
      <c r="BF825" s="147"/>
      <c r="BG825" s="147"/>
      <c r="BH825" s="147"/>
      <c r="BI825" s="147"/>
      <c r="BJ825" s="147"/>
      <c r="BK825" s="147"/>
      <c r="BL825" s="147"/>
      <c r="BM825" s="147"/>
      <c r="BN825" s="147"/>
      <c r="BO825" s="147"/>
      <c r="BP825" s="147"/>
    </row>
    <row r="826" spans="3:68">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c r="AC826" s="147"/>
      <c r="AD826" s="147"/>
      <c r="AE826" s="147"/>
      <c r="AF826" s="147"/>
      <c r="AG826" s="147"/>
      <c r="AH826" s="147"/>
      <c r="AI826" s="147"/>
      <c r="AJ826" s="147"/>
      <c r="AK826" s="147"/>
      <c r="AL826" s="147"/>
      <c r="AM826" s="147"/>
      <c r="AN826" s="147"/>
      <c r="AO826" s="147"/>
      <c r="AP826" s="147"/>
      <c r="AQ826" s="147"/>
      <c r="AR826" s="147"/>
      <c r="AS826" s="147"/>
      <c r="AT826" s="147"/>
      <c r="AU826" s="147"/>
      <c r="AV826" s="147"/>
      <c r="AW826" s="147"/>
      <c r="AX826" s="147"/>
      <c r="AY826" s="147"/>
      <c r="AZ826" s="147"/>
      <c r="BA826" s="147"/>
      <c r="BB826" s="147"/>
      <c r="BC826" s="147"/>
      <c r="BD826" s="147"/>
      <c r="BE826" s="147"/>
      <c r="BF826" s="147"/>
      <c r="BG826" s="147"/>
      <c r="BH826" s="147"/>
      <c r="BI826" s="147"/>
      <c r="BJ826" s="147"/>
      <c r="BK826" s="147"/>
      <c r="BL826" s="147"/>
      <c r="BM826" s="147"/>
      <c r="BN826" s="147"/>
      <c r="BO826" s="147"/>
      <c r="BP826" s="147"/>
    </row>
    <row r="827" spans="3:68">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c r="AC827" s="147"/>
      <c r="AD827" s="147"/>
      <c r="AE827" s="147"/>
      <c r="AF827" s="147"/>
      <c r="AG827" s="147"/>
      <c r="AH827" s="147"/>
      <c r="AI827" s="147"/>
      <c r="AJ827" s="147"/>
      <c r="AK827" s="147"/>
      <c r="AL827" s="147"/>
      <c r="AM827" s="147"/>
      <c r="AN827" s="147"/>
      <c r="AO827" s="147"/>
      <c r="AP827" s="147"/>
      <c r="AQ827" s="147"/>
      <c r="AR827" s="147"/>
      <c r="AS827" s="147"/>
      <c r="AT827" s="147"/>
      <c r="AU827" s="147"/>
      <c r="AV827" s="147"/>
      <c r="AW827" s="147"/>
      <c r="AX827" s="147"/>
      <c r="AY827" s="147"/>
      <c r="AZ827" s="147"/>
      <c r="BA827" s="147"/>
      <c r="BB827" s="147"/>
      <c r="BC827" s="147"/>
      <c r="BD827" s="147"/>
      <c r="BE827" s="147"/>
      <c r="BF827" s="147"/>
      <c r="BG827" s="147"/>
      <c r="BH827" s="147"/>
      <c r="BI827" s="147"/>
      <c r="BJ827" s="147"/>
      <c r="BK827" s="147"/>
      <c r="BL827" s="147"/>
      <c r="BM827" s="147"/>
      <c r="BN827" s="147"/>
      <c r="BO827" s="147"/>
      <c r="BP827" s="147"/>
    </row>
    <row r="828" spans="3:68">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c r="AC828" s="147"/>
      <c r="AD828" s="147"/>
      <c r="AE828" s="147"/>
      <c r="AF828" s="147"/>
      <c r="AG828" s="147"/>
      <c r="AH828" s="147"/>
      <c r="AI828" s="147"/>
      <c r="AJ828" s="147"/>
      <c r="AK828" s="147"/>
      <c r="AL828" s="147"/>
      <c r="AM828" s="147"/>
      <c r="AN828" s="147"/>
      <c r="AO828" s="147"/>
      <c r="AP828" s="147"/>
      <c r="AQ828" s="147"/>
      <c r="AR828" s="147"/>
      <c r="AS828" s="147"/>
      <c r="AT828" s="147"/>
      <c r="AU828" s="147"/>
      <c r="AV828" s="147"/>
      <c r="AW828" s="147"/>
      <c r="AX828" s="147"/>
      <c r="AY828" s="147"/>
      <c r="AZ828" s="147"/>
      <c r="BA828" s="147"/>
      <c r="BB828" s="147"/>
      <c r="BC828" s="147"/>
      <c r="BD828" s="147"/>
      <c r="BE828" s="147"/>
      <c r="BF828" s="147"/>
      <c r="BG828" s="147"/>
      <c r="BH828" s="147"/>
      <c r="BI828" s="147"/>
      <c r="BJ828" s="147"/>
      <c r="BK828" s="147"/>
      <c r="BL828" s="147"/>
      <c r="BM828" s="147"/>
      <c r="BN828" s="147"/>
      <c r="BO828" s="147"/>
      <c r="BP828" s="147"/>
    </row>
    <row r="829" spans="3:68">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c r="AC829" s="147"/>
      <c r="AD829" s="147"/>
      <c r="AE829" s="147"/>
      <c r="AF829" s="147"/>
      <c r="AG829" s="147"/>
      <c r="AH829" s="147"/>
      <c r="AI829" s="147"/>
      <c r="AJ829" s="147"/>
      <c r="AK829" s="147"/>
      <c r="AL829" s="147"/>
      <c r="AM829" s="147"/>
      <c r="AN829" s="147"/>
      <c r="AO829" s="147"/>
      <c r="AP829" s="147"/>
      <c r="AQ829" s="147"/>
      <c r="AR829" s="147"/>
      <c r="AS829" s="147"/>
      <c r="AT829" s="147"/>
      <c r="AU829" s="147"/>
      <c r="AV829" s="147"/>
      <c r="AW829" s="147"/>
      <c r="AX829" s="147"/>
      <c r="AY829" s="147"/>
      <c r="AZ829" s="147"/>
      <c r="BA829" s="147"/>
      <c r="BB829" s="147"/>
      <c r="BC829" s="147"/>
      <c r="BD829" s="147"/>
      <c r="BE829" s="147"/>
      <c r="BF829" s="147"/>
      <c r="BG829" s="147"/>
      <c r="BH829" s="147"/>
      <c r="BI829" s="147"/>
      <c r="BJ829" s="147"/>
      <c r="BK829" s="147"/>
      <c r="BL829" s="147"/>
      <c r="BM829" s="147"/>
      <c r="BN829" s="147"/>
      <c r="BO829" s="147"/>
      <c r="BP829" s="147"/>
    </row>
    <row r="830" spans="3:68">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c r="AC830" s="147"/>
      <c r="AD830" s="147"/>
      <c r="AE830" s="147"/>
      <c r="AF830" s="147"/>
      <c r="AG830" s="147"/>
      <c r="AH830" s="147"/>
      <c r="AI830" s="147"/>
      <c r="AJ830" s="147"/>
      <c r="AK830" s="147"/>
      <c r="AL830" s="147"/>
      <c r="AM830" s="147"/>
      <c r="AN830" s="147"/>
      <c r="AO830" s="147"/>
      <c r="AP830" s="147"/>
      <c r="AQ830" s="147"/>
      <c r="AR830" s="147"/>
      <c r="AS830" s="147"/>
      <c r="AT830" s="147"/>
      <c r="AU830" s="147"/>
      <c r="AV830" s="147"/>
      <c r="AW830" s="147"/>
      <c r="AX830" s="147"/>
      <c r="AY830" s="147"/>
      <c r="AZ830" s="147"/>
      <c r="BA830" s="147"/>
      <c r="BB830" s="147"/>
      <c r="BC830" s="147"/>
      <c r="BD830" s="147"/>
      <c r="BE830" s="147"/>
      <c r="BF830" s="147"/>
      <c r="BG830" s="147"/>
      <c r="BH830" s="147"/>
      <c r="BI830" s="147"/>
      <c r="BJ830" s="147"/>
      <c r="BK830" s="147"/>
      <c r="BL830" s="147"/>
      <c r="BM830" s="147"/>
      <c r="BN830" s="147"/>
      <c r="BO830" s="147"/>
      <c r="BP830" s="147"/>
    </row>
    <row r="831" spans="3:68">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c r="AC831" s="147"/>
      <c r="AD831" s="147"/>
      <c r="AE831" s="147"/>
      <c r="AF831" s="147"/>
      <c r="AG831" s="147"/>
      <c r="AH831" s="147"/>
      <c r="AI831" s="147"/>
      <c r="AJ831" s="147"/>
      <c r="AK831" s="147"/>
      <c r="AL831" s="147"/>
      <c r="AM831" s="147"/>
      <c r="AN831" s="147"/>
      <c r="AO831" s="147"/>
      <c r="AP831" s="147"/>
      <c r="AQ831" s="147"/>
      <c r="AR831" s="147"/>
      <c r="AS831" s="147"/>
      <c r="AT831" s="147"/>
      <c r="AU831" s="147"/>
      <c r="AV831" s="147"/>
      <c r="AW831" s="147"/>
      <c r="AX831" s="147"/>
      <c r="AY831" s="147"/>
      <c r="AZ831" s="147"/>
      <c r="BA831" s="147"/>
      <c r="BB831" s="147"/>
      <c r="BC831" s="147"/>
      <c r="BD831" s="147"/>
      <c r="BE831" s="147"/>
      <c r="BF831" s="147"/>
      <c r="BG831" s="147"/>
      <c r="BH831" s="147"/>
      <c r="BI831" s="147"/>
      <c r="BJ831" s="147"/>
      <c r="BK831" s="147"/>
      <c r="BL831" s="147"/>
      <c r="BM831" s="147"/>
      <c r="BN831" s="147"/>
      <c r="BO831" s="147"/>
      <c r="BP831" s="147"/>
    </row>
    <row r="832" spans="3:68">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c r="AC832" s="147"/>
      <c r="AD832" s="147"/>
      <c r="AE832" s="147"/>
      <c r="AF832" s="147"/>
      <c r="AG832" s="147"/>
      <c r="AH832" s="147"/>
      <c r="AI832" s="147"/>
      <c r="AJ832" s="147"/>
      <c r="AK832" s="147"/>
      <c r="AL832" s="147"/>
      <c r="AM832" s="147"/>
      <c r="AN832" s="147"/>
      <c r="AO832" s="147"/>
      <c r="AP832" s="147"/>
      <c r="AQ832" s="147"/>
      <c r="AR832" s="147"/>
      <c r="AS832" s="147"/>
      <c r="AT832" s="147"/>
      <c r="AU832" s="147"/>
      <c r="AV832" s="147"/>
      <c r="AW832" s="147"/>
      <c r="AX832" s="147"/>
      <c r="AY832" s="147"/>
      <c r="AZ832" s="147"/>
      <c r="BA832" s="147"/>
      <c r="BB832" s="147"/>
      <c r="BC832" s="147"/>
      <c r="BD832" s="147"/>
      <c r="BE832" s="147"/>
      <c r="BF832" s="147"/>
      <c r="BG832" s="147"/>
      <c r="BH832" s="147"/>
      <c r="BI832" s="147"/>
      <c r="BJ832" s="147"/>
      <c r="BK832" s="147"/>
      <c r="BL832" s="147"/>
      <c r="BM832" s="147"/>
      <c r="BN832" s="147"/>
      <c r="BO832" s="147"/>
      <c r="BP832" s="147"/>
    </row>
    <row r="833" spans="3:68">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c r="AC833" s="147"/>
      <c r="AD833" s="147"/>
      <c r="AE833" s="147"/>
      <c r="AF833" s="147"/>
      <c r="AG833" s="147"/>
      <c r="AH833" s="147"/>
      <c r="AI833" s="147"/>
      <c r="AJ833" s="147"/>
      <c r="AK833" s="147"/>
      <c r="AL833" s="147"/>
      <c r="AM833" s="147"/>
      <c r="AN833" s="147"/>
      <c r="AO833" s="147"/>
      <c r="AP833" s="147"/>
      <c r="AQ833" s="147"/>
      <c r="AR833" s="147"/>
      <c r="AS833" s="147"/>
      <c r="AT833" s="147"/>
      <c r="AU833" s="147"/>
      <c r="AV833" s="147"/>
      <c r="AW833" s="147"/>
      <c r="AX833" s="147"/>
      <c r="AY833" s="147"/>
      <c r="AZ833" s="147"/>
      <c r="BA833" s="147"/>
      <c r="BB833" s="147"/>
      <c r="BC833" s="147"/>
      <c r="BD833" s="147"/>
      <c r="BE833" s="147"/>
      <c r="BF833" s="147"/>
      <c r="BG833" s="147"/>
      <c r="BH833" s="147"/>
      <c r="BI833" s="147"/>
      <c r="BJ833" s="147"/>
      <c r="BK833" s="147"/>
      <c r="BL833" s="147"/>
      <c r="BM833" s="147"/>
      <c r="BN833" s="147"/>
      <c r="BO833" s="147"/>
      <c r="BP833" s="147"/>
    </row>
    <row r="834" spans="3:68">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c r="AC834" s="147"/>
      <c r="AD834" s="147"/>
      <c r="AE834" s="147"/>
      <c r="AF834" s="147"/>
      <c r="AG834" s="147"/>
      <c r="AH834" s="147"/>
      <c r="AI834" s="147"/>
      <c r="AJ834" s="147"/>
      <c r="AK834" s="147"/>
      <c r="AL834" s="147"/>
      <c r="AM834" s="147"/>
      <c r="AN834" s="147"/>
      <c r="AO834" s="147"/>
      <c r="AP834" s="147"/>
      <c r="AQ834" s="147"/>
      <c r="AR834" s="147"/>
      <c r="AS834" s="147"/>
      <c r="AT834" s="147"/>
      <c r="AU834" s="147"/>
      <c r="AV834" s="147"/>
      <c r="AW834" s="147"/>
      <c r="AX834" s="147"/>
      <c r="AY834" s="147"/>
      <c r="AZ834" s="147"/>
      <c r="BA834" s="147"/>
      <c r="BB834" s="147"/>
      <c r="BC834" s="147"/>
      <c r="BD834" s="147"/>
      <c r="BE834" s="147"/>
      <c r="BF834" s="147"/>
      <c r="BG834" s="147"/>
      <c r="BH834" s="147"/>
      <c r="BI834" s="147"/>
      <c r="BJ834" s="147"/>
      <c r="BK834" s="147"/>
      <c r="BL834" s="147"/>
      <c r="BM834" s="147"/>
      <c r="BN834" s="147"/>
      <c r="BO834" s="147"/>
      <c r="BP834" s="147"/>
    </row>
    <row r="835" spans="3:68">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c r="AC835" s="147"/>
      <c r="AD835" s="147"/>
      <c r="AE835" s="147"/>
      <c r="AF835" s="147"/>
      <c r="AG835" s="147"/>
      <c r="AH835" s="147"/>
      <c r="AI835" s="147"/>
      <c r="AJ835" s="147"/>
      <c r="AK835" s="147"/>
      <c r="AL835" s="147"/>
      <c r="AM835" s="147"/>
      <c r="AN835" s="147"/>
      <c r="AO835" s="147"/>
      <c r="AP835" s="147"/>
      <c r="AQ835" s="147"/>
      <c r="AR835" s="147"/>
      <c r="AS835" s="147"/>
      <c r="AT835" s="147"/>
      <c r="AU835" s="147"/>
      <c r="AV835" s="147"/>
      <c r="AW835" s="147"/>
      <c r="AX835" s="147"/>
      <c r="AY835" s="147"/>
      <c r="AZ835" s="147"/>
      <c r="BA835" s="147"/>
      <c r="BB835" s="147"/>
      <c r="BC835" s="147"/>
      <c r="BD835" s="147"/>
      <c r="BE835" s="147"/>
      <c r="BF835" s="147"/>
      <c r="BG835" s="147"/>
      <c r="BH835" s="147"/>
      <c r="BI835" s="147"/>
      <c r="BJ835" s="147"/>
      <c r="BK835" s="147"/>
      <c r="BL835" s="147"/>
      <c r="BM835" s="147"/>
      <c r="BN835" s="147"/>
      <c r="BO835" s="147"/>
      <c r="BP835" s="147"/>
    </row>
    <row r="836" spans="3:68">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c r="AC836" s="147"/>
      <c r="AD836" s="147"/>
      <c r="AE836" s="147"/>
      <c r="AF836" s="147"/>
      <c r="AG836" s="147"/>
      <c r="AH836" s="147"/>
      <c r="AI836" s="147"/>
      <c r="AJ836" s="147"/>
      <c r="AK836" s="147"/>
      <c r="AL836" s="147"/>
      <c r="AM836" s="147"/>
      <c r="AN836" s="147"/>
      <c r="AO836" s="147"/>
      <c r="AP836" s="147"/>
      <c r="AQ836" s="147"/>
      <c r="AR836" s="147"/>
      <c r="AS836" s="147"/>
      <c r="AT836" s="147"/>
      <c r="AU836" s="147"/>
      <c r="AV836" s="147"/>
      <c r="AW836" s="147"/>
      <c r="AX836" s="147"/>
      <c r="AY836" s="147"/>
      <c r="AZ836" s="147"/>
      <c r="BA836" s="147"/>
      <c r="BB836" s="147"/>
      <c r="BC836" s="147"/>
      <c r="BD836" s="147"/>
      <c r="BE836" s="147"/>
      <c r="BF836" s="147"/>
      <c r="BG836" s="147"/>
      <c r="BH836" s="147"/>
      <c r="BI836" s="147"/>
      <c r="BJ836" s="147"/>
      <c r="BK836" s="147"/>
      <c r="BL836" s="147"/>
      <c r="BM836" s="147"/>
      <c r="BN836" s="147"/>
      <c r="BO836" s="147"/>
      <c r="BP836" s="147"/>
    </row>
    <row r="837" spans="3:68">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c r="AC837" s="147"/>
      <c r="AD837" s="147"/>
      <c r="AE837" s="147"/>
      <c r="AF837" s="147"/>
      <c r="AG837" s="147"/>
      <c r="AH837" s="147"/>
      <c r="AI837" s="147"/>
      <c r="AJ837" s="147"/>
      <c r="AK837" s="147"/>
      <c r="AL837" s="147"/>
      <c r="AM837" s="147"/>
      <c r="AN837" s="147"/>
      <c r="AO837" s="147"/>
      <c r="AP837" s="147"/>
      <c r="AQ837" s="147"/>
      <c r="AR837" s="147"/>
      <c r="AS837" s="147"/>
      <c r="AT837" s="147"/>
      <c r="AU837" s="147"/>
      <c r="AV837" s="147"/>
      <c r="AW837" s="147"/>
      <c r="AX837" s="147"/>
      <c r="AY837" s="147"/>
      <c r="AZ837" s="147"/>
      <c r="BA837" s="147"/>
      <c r="BB837" s="147"/>
      <c r="BC837" s="147"/>
      <c r="BD837" s="147"/>
      <c r="BE837" s="147"/>
      <c r="BF837" s="147"/>
      <c r="BG837" s="147"/>
      <c r="BH837" s="147"/>
      <c r="BI837" s="147"/>
      <c r="BJ837" s="147"/>
      <c r="BK837" s="147"/>
      <c r="BL837" s="147"/>
      <c r="BM837" s="147"/>
      <c r="BN837" s="147"/>
      <c r="BO837" s="147"/>
      <c r="BP837" s="147"/>
    </row>
    <row r="838" spans="3:68">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c r="AC838" s="147"/>
      <c r="AD838" s="147"/>
      <c r="AE838" s="147"/>
      <c r="AF838" s="147"/>
      <c r="AG838" s="147"/>
      <c r="AH838" s="147"/>
      <c r="AI838" s="147"/>
      <c r="AJ838" s="147"/>
      <c r="AK838" s="147"/>
      <c r="AL838" s="147"/>
      <c r="AM838" s="147"/>
      <c r="AN838" s="147"/>
      <c r="AO838" s="147"/>
      <c r="AP838" s="147"/>
      <c r="AQ838" s="147"/>
      <c r="AR838" s="147"/>
      <c r="AS838" s="147"/>
      <c r="AT838" s="147"/>
      <c r="AU838" s="147"/>
      <c r="AV838" s="147"/>
      <c r="AW838" s="147"/>
      <c r="AX838" s="147"/>
      <c r="AY838" s="147"/>
      <c r="AZ838" s="147"/>
      <c r="BA838" s="147"/>
      <c r="BB838" s="147"/>
      <c r="BC838" s="147"/>
      <c r="BD838" s="147"/>
      <c r="BE838" s="147"/>
      <c r="BF838" s="147"/>
      <c r="BG838" s="147"/>
      <c r="BH838" s="147"/>
      <c r="BI838" s="147"/>
      <c r="BJ838" s="147"/>
      <c r="BK838" s="147"/>
      <c r="BL838" s="147"/>
      <c r="BM838" s="147"/>
      <c r="BN838" s="147"/>
      <c r="BO838" s="147"/>
      <c r="BP838" s="147"/>
    </row>
    <row r="839" spans="3:68">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c r="AC839" s="147"/>
      <c r="AD839" s="147"/>
      <c r="AE839" s="147"/>
      <c r="AF839" s="147"/>
      <c r="AG839" s="147"/>
      <c r="AH839" s="147"/>
      <c r="AI839" s="147"/>
      <c r="AJ839" s="147"/>
      <c r="AK839" s="147"/>
      <c r="AL839" s="147"/>
      <c r="AM839" s="147"/>
      <c r="AN839" s="147"/>
      <c r="AO839" s="147"/>
      <c r="AP839" s="147"/>
      <c r="AQ839" s="147"/>
      <c r="AR839" s="147"/>
      <c r="AS839" s="147"/>
      <c r="AT839" s="147"/>
      <c r="AU839" s="147"/>
      <c r="AV839" s="147"/>
      <c r="AW839" s="147"/>
      <c r="AX839" s="147"/>
      <c r="AY839" s="147"/>
      <c r="AZ839" s="147"/>
      <c r="BA839" s="147"/>
      <c r="BB839" s="147"/>
      <c r="BC839" s="147"/>
      <c r="BD839" s="147"/>
      <c r="BE839" s="147"/>
      <c r="BF839" s="147"/>
      <c r="BG839" s="147"/>
      <c r="BH839" s="147"/>
      <c r="BI839" s="147"/>
      <c r="BJ839" s="147"/>
      <c r="BK839" s="147"/>
      <c r="BL839" s="147"/>
      <c r="BM839" s="147"/>
      <c r="BN839" s="147"/>
      <c r="BO839" s="147"/>
      <c r="BP839" s="147"/>
    </row>
    <row r="840" spans="3:68">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c r="AC840" s="147"/>
      <c r="AD840" s="147"/>
      <c r="AE840" s="147"/>
      <c r="AF840" s="147"/>
      <c r="AG840" s="147"/>
      <c r="AH840" s="147"/>
      <c r="AI840" s="147"/>
      <c r="AJ840" s="147"/>
      <c r="AK840" s="147"/>
      <c r="AL840" s="147"/>
      <c r="AM840" s="147"/>
      <c r="AN840" s="147"/>
      <c r="AO840" s="147"/>
      <c r="AP840" s="147"/>
      <c r="AQ840" s="147"/>
      <c r="AR840" s="147"/>
      <c r="AS840" s="147"/>
      <c r="AT840" s="147"/>
      <c r="AU840" s="147"/>
      <c r="AV840" s="147"/>
      <c r="AW840" s="147"/>
      <c r="AX840" s="147"/>
      <c r="AY840" s="147"/>
      <c r="AZ840" s="147"/>
      <c r="BA840" s="147"/>
      <c r="BB840" s="147"/>
      <c r="BC840" s="147"/>
      <c r="BD840" s="147"/>
      <c r="BE840" s="147"/>
      <c r="BF840" s="147"/>
      <c r="BG840" s="147"/>
      <c r="BH840" s="147"/>
      <c r="BI840" s="147"/>
      <c r="BJ840" s="147"/>
      <c r="BK840" s="147"/>
      <c r="BL840" s="147"/>
      <c r="BM840" s="147"/>
      <c r="BN840" s="147"/>
      <c r="BO840" s="147"/>
      <c r="BP840" s="147"/>
    </row>
    <row r="841" spans="3:68">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c r="AC841" s="147"/>
      <c r="AD841" s="147"/>
      <c r="AE841" s="147"/>
      <c r="AF841" s="147"/>
      <c r="AG841" s="147"/>
      <c r="AH841" s="147"/>
      <c r="AI841" s="147"/>
      <c r="AJ841" s="147"/>
      <c r="AK841" s="147"/>
      <c r="AL841" s="147"/>
      <c r="AM841" s="147"/>
      <c r="AN841" s="147"/>
      <c r="AO841" s="147"/>
      <c r="AP841" s="147"/>
      <c r="AQ841" s="147"/>
      <c r="AR841" s="147"/>
      <c r="AS841" s="147"/>
      <c r="AT841" s="147"/>
      <c r="AU841" s="147"/>
      <c r="AV841" s="147"/>
      <c r="AW841" s="147"/>
      <c r="AX841" s="147"/>
      <c r="AY841" s="147"/>
      <c r="AZ841" s="147"/>
      <c r="BA841" s="147"/>
      <c r="BB841" s="147"/>
      <c r="BC841" s="147"/>
      <c r="BD841" s="147"/>
      <c r="BE841" s="147"/>
      <c r="BF841" s="147"/>
      <c r="BG841" s="147"/>
      <c r="BH841" s="147"/>
      <c r="BI841" s="147"/>
      <c r="BJ841" s="147"/>
      <c r="BK841" s="147"/>
      <c r="BL841" s="147"/>
      <c r="BM841" s="147"/>
      <c r="BN841" s="147"/>
      <c r="BO841" s="147"/>
      <c r="BP841" s="147"/>
    </row>
    <row r="842" spans="3:68">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c r="AC842" s="147"/>
      <c r="AD842" s="147"/>
      <c r="AE842" s="147"/>
      <c r="AF842" s="147"/>
      <c r="AG842" s="147"/>
      <c r="AH842" s="147"/>
      <c r="AI842" s="147"/>
      <c r="AJ842" s="147"/>
      <c r="AK842" s="147"/>
      <c r="AL842" s="147"/>
      <c r="AM842" s="147"/>
      <c r="AN842" s="147"/>
      <c r="AO842" s="147"/>
      <c r="AP842" s="147"/>
      <c r="AQ842" s="147"/>
      <c r="AR842" s="147"/>
      <c r="AS842" s="147"/>
      <c r="AT842" s="147"/>
      <c r="AU842" s="147"/>
      <c r="AV842" s="147"/>
      <c r="AW842" s="147"/>
      <c r="AX842" s="147"/>
      <c r="AY842" s="147"/>
      <c r="AZ842" s="147"/>
      <c r="BA842" s="147"/>
      <c r="BB842" s="147"/>
      <c r="BC842" s="147"/>
      <c r="BD842" s="147"/>
      <c r="BE842" s="147"/>
      <c r="BF842" s="147"/>
      <c r="BG842" s="147"/>
      <c r="BH842" s="147"/>
      <c r="BI842" s="147"/>
      <c r="BJ842" s="147"/>
      <c r="BK842" s="147"/>
      <c r="BL842" s="147"/>
      <c r="BM842" s="147"/>
      <c r="BN842" s="147"/>
      <c r="BO842" s="147"/>
      <c r="BP842" s="147"/>
    </row>
    <row r="843" spans="3:68">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c r="AC843" s="147"/>
      <c r="AD843" s="147"/>
      <c r="AE843" s="147"/>
      <c r="AF843" s="147"/>
      <c r="AG843" s="147"/>
      <c r="AH843" s="147"/>
      <c r="AI843" s="147"/>
      <c r="AJ843" s="147"/>
      <c r="AK843" s="147"/>
      <c r="AL843" s="147"/>
      <c r="AM843" s="147"/>
      <c r="AN843" s="147"/>
      <c r="AO843" s="147"/>
      <c r="AP843" s="147"/>
      <c r="AQ843" s="147"/>
      <c r="AR843" s="147"/>
      <c r="AS843" s="147"/>
      <c r="AT843" s="147"/>
      <c r="AU843" s="147"/>
      <c r="AV843" s="147"/>
      <c r="AW843" s="147"/>
      <c r="AX843" s="147"/>
      <c r="AY843" s="147"/>
      <c r="AZ843" s="147"/>
      <c r="BA843" s="147"/>
      <c r="BB843" s="147"/>
      <c r="BC843" s="147"/>
      <c r="BD843" s="147"/>
      <c r="BE843" s="147"/>
      <c r="BF843" s="147"/>
      <c r="BG843" s="147"/>
      <c r="BH843" s="147"/>
      <c r="BI843" s="147"/>
      <c r="BJ843" s="147"/>
      <c r="BK843" s="147"/>
      <c r="BL843" s="147"/>
      <c r="BM843" s="147"/>
      <c r="BN843" s="147"/>
      <c r="BO843" s="147"/>
      <c r="BP843" s="147"/>
    </row>
    <row r="844" spans="3:68">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c r="AC844" s="147"/>
      <c r="AD844" s="147"/>
      <c r="AE844" s="147"/>
      <c r="AF844" s="147"/>
      <c r="AG844" s="147"/>
      <c r="AH844" s="147"/>
      <c r="AI844" s="147"/>
      <c r="AJ844" s="147"/>
      <c r="AK844" s="147"/>
      <c r="AL844" s="147"/>
      <c r="AM844" s="147"/>
      <c r="AN844" s="147"/>
      <c r="AO844" s="147"/>
      <c r="AP844" s="147"/>
      <c r="AQ844" s="147"/>
      <c r="AR844" s="147"/>
      <c r="AS844" s="147"/>
      <c r="AT844" s="147"/>
      <c r="AU844" s="147"/>
      <c r="AV844" s="147"/>
      <c r="AW844" s="147"/>
      <c r="AX844" s="147"/>
      <c r="AY844" s="147"/>
      <c r="AZ844" s="147"/>
      <c r="BA844" s="147"/>
      <c r="BB844" s="147"/>
      <c r="BC844" s="147"/>
      <c r="BD844" s="147"/>
      <c r="BE844" s="147"/>
      <c r="BF844" s="147"/>
      <c r="BG844" s="147"/>
      <c r="BH844" s="147"/>
      <c r="BI844" s="147"/>
      <c r="BJ844" s="147"/>
      <c r="BK844" s="147"/>
      <c r="BL844" s="147"/>
      <c r="BM844" s="147"/>
      <c r="BN844" s="147"/>
      <c r="BO844" s="147"/>
      <c r="BP844" s="147"/>
    </row>
    <row r="845" spans="3:68">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c r="AC845" s="147"/>
      <c r="AD845" s="147"/>
      <c r="AE845" s="147"/>
      <c r="AF845" s="147"/>
      <c r="AG845" s="147"/>
      <c r="AH845" s="147"/>
      <c r="AI845" s="147"/>
      <c r="AJ845" s="147"/>
      <c r="AK845" s="147"/>
      <c r="AL845" s="147"/>
      <c r="AM845" s="147"/>
      <c r="AN845" s="147"/>
      <c r="AO845" s="147"/>
      <c r="AP845" s="147"/>
      <c r="AQ845" s="147"/>
      <c r="AR845" s="147"/>
      <c r="AS845" s="147"/>
      <c r="AT845" s="147"/>
      <c r="AU845" s="147"/>
      <c r="AV845" s="147"/>
      <c r="AW845" s="147"/>
      <c r="AX845" s="147"/>
      <c r="AY845" s="147"/>
      <c r="AZ845" s="147"/>
      <c r="BA845" s="147"/>
      <c r="BB845" s="147"/>
      <c r="BC845" s="147"/>
      <c r="BD845" s="147"/>
      <c r="BE845" s="147"/>
      <c r="BF845" s="147"/>
      <c r="BG845" s="147"/>
      <c r="BH845" s="147"/>
      <c r="BI845" s="147"/>
      <c r="BJ845" s="147"/>
      <c r="BK845" s="147"/>
      <c r="BL845" s="147"/>
      <c r="BM845" s="147"/>
      <c r="BN845" s="147"/>
      <c r="BO845" s="147"/>
      <c r="BP845" s="147"/>
    </row>
    <row r="846" spans="3:68">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c r="AC846" s="147"/>
      <c r="AD846" s="147"/>
      <c r="AE846" s="147"/>
      <c r="AF846" s="147"/>
      <c r="AG846" s="147"/>
      <c r="AH846" s="147"/>
      <c r="AI846" s="147"/>
      <c r="AJ846" s="147"/>
      <c r="AK846" s="147"/>
      <c r="AL846" s="147"/>
      <c r="AM846" s="147"/>
      <c r="AN846" s="147"/>
      <c r="AO846" s="147"/>
      <c r="AP846" s="147"/>
      <c r="AQ846" s="147"/>
      <c r="AR846" s="147"/>
      <c r="AS846" s="147"/>
      <c r="AT846" s="147"/>
      <c r="AU846" s="147"/>
      <c r="AV846" s="147"/>
      <c r="AW846" s="147"/>
      <c r="AX846" s="147"/>
      <c r="AY846" s="147"/>
      <c r="AZ846" s="147"/>
      <c r="BA846" s="147"/>
      <c r="BB846" s="147"/>
      <c r="BC846" s="147"/>
      <c r="BD846" s="147"/>
      <c r="BE846" s="147"/>
      <c r="BF846" s="147"/>
      <c r="BG846" s="147"/>
      <c r="BH846" s="147"/>
      <c r="BI846" s="147"/>
      <c r="BJ846" s="147"/>
      <c r="BK846" s="147"/>
      <c r="BL846" s="147"/>
      <c r="BM846" s="147"/>
      <c r="BN846" s="147"/>
      <c r="BO846" s="147"/>
      <c r="BP846" s="147"/>
    </row>
    <row r="847" spans="3:68">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c r="AC847" s="147"/>
      <c r="AD847" s="147"/>
      <c r="AE847" s="147"/>
      <c r="AF847" s="147"/>
      <c r="AG847" s="147"/>
      <c r="AH847" s="147"/>
      <c r="AI847" s="147"/>
      <c r="AJ847" s="147"/>
      <c r="AK847" s="147"/>
      <c r="AL847" s="147"/>
      <c r="AM847" s="147"/>
      <c r="AN847" s="147"/>
      <c r="AO847" s="147"/>
      <c r="AP847" s="147"/>
      <c r="AQ847" s="147"/>
      <c r="AR847" s="147"/>
      <c r="AS847" s="147"/>
      <c r="AT847" s="147"/>
      <c r="AU847" s="147"/>
      <c r="AV847" s="147"/>
      <c r="AW847" s="147"/>
      <c r="AX847" s="147"/>
      <c r="AY847" s="147"/>
      <c r="AZ847" s="147"/>
      <c r="BA847" s="147"/>
      <c r="BB847" s="147"/>
      <c r="BC847" s="147"/>
      <c r="BD847" s="147"/>
      <c r="BE847" s="147"/>
      <c r="BF847" s="147"/>
      <c r="BG847" s="147"/>
      <c r="BH847" s="147"/>
      <c r="BI847" s="147"/>
      <c r="BJ847" s="147"/>
      <c r="BK847" s="147"/>
      <c r="BL847" s="147"/>
      <c r="BM847" s="147"/>
      <c r="BN847" s="147"/>
      <c r="BO847" s="147"/>
      <c r="BP847" s="147"/>
    </row>
    <row r="848" spans="3:68">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c r="AC848" s="147"/>
      <c r="AD848" s="147"/>
      <c r="AE848" s="147"/>
      <c r="AF848" s="147"/>
      <c r="AG848" s="147"/>
      <c r="AH848" s="147"/>
      <c r="AI848" s="147"/>
      <c r="AJ848" s="147"/>
      <c r="AK848" s="147"/>
      <c r="AL848" s="147"/>
      <c r="AM848" s="147"/>
      <c r="AN848" s="147"/>
      <c r="AO848" s="147"/>
      <c r="AP848" s="147"/>
      <c r="AQ848" s="147"/>
      <c r="AR848" s="147"/>
      <c r="AS848" s="147"/>
      <c r="AT848" s="147"/>
      <c r="AU848" s="147"/>
      <c r="AV848" s="147"/>
      <c r="AW848" s="147"/>
      <c r="AX848" s="147"/>
      <c r="AY848" s="147"/>
      <c r="AZ848" s="147"/>
      <c r="BA848" s="147"/>
      <c r="BB848" s="147"/>
      <c r="BC848" s="147"/>
      <c r="BD848" s="147"/>
      <c r="BE848" s="147"/>
      <c r="BF848" s="147"/>
      <c r="BG848" s="147"/>
      <c r="BH848" s="147"/>
      <c r="BI848" s="147"/>
      <c r="BJ848" s="147"/>
      <c r="BK848" s="147"/>
      <c r="BL848" s="147"/>
      <c r="BM848" s="147"/>
      <c r="BN848" s="147"/>
      <c r="BO848" s="147"/>
      <c r="BP848" s="147"/>
    </row>
    <row r="849" spans="3:68">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c r="AC849" s="147"/>
      <c r="AD849" s="147"/>
      <c r="AE849" s="147"/>
      <c r="AF849" s="147"/>
      <c r="AG849" s="147"/>
      <c r="AH849" s="147"/>
      <c r="AI849" s="147"/>
      <c r="AJ849" s="147"/>
      <c r="AK849" s="147"/>
      <c r="AL849" s="147"/>
      <c r="AM849" s="147"/>
      <c r="AN849" s="147"/>
      <c r="AO849" s="147"/>
      <c r="AP849" s="147"/>
      <c r="AQ849" s="147"/>
      <c r="AR849" s="147"/>
      <c r="AS849" s="147"/>
      <c r="AT849" s="147"/>
      <c r="AU849" s="147"/>
      <c r="AV849" s="147"/>
      <c r="AW849" s="147"/>
      <c r="AX849" s="147"/>
      <c r="AY849" s="147"/>
      <c r="AZ849" s="147"/>
      <c r="BA849" s="147"/>
      <c r="BB849" s="147"/>
      <c r="BC849" s="147"/>
      <c r="BD849" s="147"/>
      <c r="BE849" s="147"/>
      <c r="BF849" s="147"/>
      <c r="BG849" s="147"/>
      <c r="BH849" s="147"/>
      <c r="BI849" s="147"/>
      <c r="BJ849" s="147"/>
      <c r="BK849" s="147"/>
      <c r="BL849" s="147"/>
      <c r="BM849" s="147"/>
      <c r="BN849" s="147"/>
      <c r="BO849" s="147"/>
      <c r="BP849" s="147"/>
    </row>
    <row r="850" spans="3:68">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c r="AC850" s="147"/>
      <c r="AD850" s="147"/>
      <c r="AE850" s="147"/>
      <c r="AF850" s="147"/>
      <c r="AG850" s="147"/>
      <c r="AH850" s="147"/>
      <c r="AI850" s="147"/>
      <c r="AJ850" s="147"/>
      <c r="AK850" s="147"/>
      <c r="AL850" s="147"/>
      <c r="AM850" s="147"/>
      <c r="AN850" s="147"/>
      <c r="AO850" s="147"/>
      <c r="AP850" s="147"/>
      <c r="AQ850" s="147"/>
      <c r="AR850" s="147"/>
      <c r="AS850" s="147"/>
      <c r="AT850" s="147"/>
      <c r="AU850" s="147"/>
      <c r="AV850" s="147"/>
      <c r="AW850" s="147"/>
      <c r="AX850" s="147"/>
      <c r="AY850" s="147"/>
      <c r="AZ850" s="147"/>
      <c r="BA850" s="147"/>
      <c r="BB850" s="147"/>
      <c r="BC850" s="147"/>
      <c r="BD850" s="147"/>
      <c r="BE850" s="147"/>
      <c r="BF850" s="147"/>
      <c r="BG850" s="147"/>
      <c r="BH850" s="147"/>
      <c r="BI850" s="147"/>
      <c r="BJ850" s="147"/>
      <c r="BK850" s="147"/>
      <c r="BL850" s="147"/>
      <c r="BM850" s="147"/>
      <c r="BN850" s="147"/>
      <c r="BO850" s="147"/>
      <c r="BP850" s="147"/>
    </row>
    <row r="851" spans="3:68">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c r="AC851" s="147"/>
      <c r="AD851" s="147"/>
      <c r="AE851" s="147"/>
      <c r="AF851" s="147"/>
      <c r="AG851" s="147"/>
      <c r="AH851" s="147"/>
      <c r="AI851" s="147"/>
      <c r="AJ851" s="147"/>
      <c r="AK851" s="147"/>
      <c r="AL851" s="147"/>
      <c r="AM851" s="147"/>
      <c r="AN851" s="147"/>
      <c r="AO851" s="147"/>
      <c r="AP851" s="147"/>
      <c r="AQ851" s="147"/>
      <c r="AR851" s="147"/>
      <c r="AS851" s="147"/>
      <c r="AT851" s="147"/>
      <c r="AU851" s="147"/>
      <c r="AV851" s="147"/>
      <c r="AW851" s="147"/>
      <c r="AX851" s="147"/>
      <c r="AY851" s="147"/>
      <c r="AZ851" s="147"/>
      <c r="BA851" s="147"/>
      <c r="BB851" s="147"/>
      <c r="BC851" s="147"/>
      <c r="BD851" s="147"/>
      <c r="BE851" s="147"/>
      <c r="BF851" s="147"/>
      <c r="BG851" s="147"/>
      <c r="BH851" s="147"/>
      <c r="BI851" s="147"/>
      <c r="BJ851" s="147"/>
      <c r="BK851" s="147"/>
      <c r="BL851" s="147"/>
      <c r="BM851" s="147"/>
      <c r="BN851" s="147"/>
      <c r="BO851" s="147"/>
      <c r="BP851" s="147"/>
    </row>
    <row r="852" spans="3:68">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c r="AC852" s="147"/>
      <c r="AD852" s="147"/>
      <c r="AE852" s="147"/>
      <c r="AF852" s="147"/>
      <c r="AG852" s="147"/>
      <c r="AH852" s="147"/>
      <c r="AI852" s="147"/>
      <c r="AJ852" s="147"/>
      <c r="AK852" s="147"/>
      <c r="AL852" s="147"/>
      <c r="AM852" s="147"/>
      <c r="AN852" s="147"/>
      <c r="AO852" s="147"/>
      <c r="AP852" s="147"/>
      <c r="AQ852" s="147"/>
      <c r="AR852" s="147"/>
      <c r="AS852" s="147"/>
      <c r="AT852" s="147"/>
      <c r="AU852" s="147"/>
      <c r="AV852" s="147"/>
      <c r="AW852" s="147"/>
      <c r="AX852" s="147"/>
      <c r="AY852" s="147"/>
      <c r="AZ852" s="147"/>
      <c r="BA852" s="147"/>
      <c r="BB852" s="147"/>
      <c r="BC852" s="147"/>
      <c r="BD852" s="147"/>
      <c r="BE852" s="147"/>
      <c r="BF852" s="147"/>
      <c r="BG852" s="147"/>
      <c r="BH852" s="147"/>
      <c r="BI852" s="147"/>
      <c r="BJ852" s="147"/>
      <c r="BK852" s="147"/>
      <c r="BL852" s="147"/>
      <c r="BM852" s="147"/>
      <c r="BN852" s="147"/>
      <c r="BO852" s="147"/>
      <c r="BP852" s="147"/>
    </row>
    <row r="853" spans="3:68">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c r="AC853" s="147"/>
      <c r="AD853" s="147"/>
      <c r="AE853" s="147"/>
      <c r="AF853" s="147"/>
      <c r="AG853" s="147"/>
      <c r="AH853" s="147"/>
      <c r="AI853" s="147"/>
      <c r="AJ853" s="147"/>
      <c r="AK853" s="147"/>
      <c r="AL853" s="147"/>
      <c r="AM853" s="147"/>
      <c r="AN853" s="147"/>
      <c r="AO853" s="147"/>
      <c r="AP853" s="147"/>
      <c r="AQ853" s="147"/>
      <c r="AR853" s="147"/>
      <c r="AS853" s="147"/>
      <c r="AT853" s="147"/>
      <c r="AU853" s="147"/>
      <c r="AV853" s="147"/>
      <c r="AW853" s="147"/>
      <c r="AX853" s="147"/>
      <c r="AY853" s="147"/>
      <c r="AZ853" s="147"/>
      <c r="BA853" s="147"/>
      <c r="BB853" s="147"/>
      <c r="BC853" s="147"/>
      <c r="BD853" s="147"/>
      <c r="BE853" s="147"/>
      <c r="BF853" s="147"/>
      <c r="BG853" s="147"/>
      <c r="BH853" s="147"/>
      <c r="BI853" s="147"/>
      <c r="BJ853" s="147"/>
      <c r="BK853" s="147"/>
      <c r="BL853" s="147"/>
      <c r="BM853" s="147"/>
      <c r="BN853" s="147"/>
      <c r="BO853" s="147"/>
      <c r="BP853" s="147"/>
    </row>
    <row r="854" spans="3:68">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c r="AC854" s="147"/>
      <c r="AD854" s="147"/>
      <c r="AE854" s="147"/>
      <c r="AF854" s="147"/>
      <c r="AG854" s="147"/>
      <c r="AH854" s="147"/>
      <c r="AI854" s="147"/>
      <c r="AJ854" s="147"/>
      <c r="AK854" s="147"/>
      <c r="AL854" s="147"/>
      <c r="AM854" s="147"/>
      <c r="AN854" s="147"/>
      <c r="AO854" s="147"/>
      <c r="AP854" s="147"/>
      <c r="AQ854" s="147"/>
      <c r="AR854" s="147"/>
      <c r="AS854" s="147"/>
      <c r="AT854" s="147"/>
      <c r="AU854" s="147"/>
      <c r="AV854" s="147"/>
      <c r="AW854" s="147"/>
      <c r="AX854" s="147"/>
      <c r="AY854" s="147"/>
      <c r="AZ854" s="147"/>
      <c r="BA854" s="147"/>
      <c r="BB854" s="147"/>
      <c r="BC854" s="147"/>
      <c r="BD854" s="147"/>
      <c r="BE854" s="147"/>
      <c r="BF854" s="147"/>
      <c r="BG854" s="147"/>
      <c r="BH854" s="147"/>
      <c r="BI854" s="147"/>
      <c r="BJ854" s="147"/>
      <c r="BK854" s="147"/>
      <c r="BL854" s="147"/>
      <c r="BM854" s="147"/>
      <c r="BN854" s="147"/>
      <c r="BO854" s="147"/>
      <c r="BP854" s="147"/>
    </row>
    <row r="855" spans="3:68">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c r="AC855" s="147"/>
      <c r="AD855" s="147"/>
      <c r="AE855" s="147"/>
      <c r="AF855" s="147"/>
      <c r="AG855" s="147"/>
      <c r="AH855" s="147"/>
      <c r="AI855" s="147"/>
      <c r="AJ855" s="147"/>
      <c r="AK855" s="147"/>
      <c r="AL855" s="147"/>
      <c r="AM855" s="147"/>
      <c r="AN855" s="147"/>
      <c r="AO855" s="147"/>
      <c r="AP855" s="147"/>
      <c r="AQ855" s="147"/>
      <c r="AR855" s="147"/>
      <c r="AS855" s="147"/>
      <c r="AT855" s="147"/>
      <c r="AU855" s="147"/>
      <c r="AV855" s="147"/>
      <c r="AW855" s="147"/>
      <c r="AX855" s="147"/>
      <c r="AY855" s="147"/>
      <c r="AZ855" s="147"/>
      <c r="BA855" s="147"/>
      <c r="BB855" s="147"/>
      <c r="BC855" s="147"/>
      <c r="BD855" s="147"/>
      <c r="BE855" s="147"/>
      <c r="BF855" s="147"/>
      <c r="BG855" s="147"/>
      <c r="BH855" s="147"/>
      <c r="BI855" s="147"/>
      <c r="BJ855" s="147"/>
      <c r="BK855" s="147"/>
      <c r="BL855" s="147"/>
      <c r="BM855" s="147"/>
      <c r="BN855" s="147"/>
      <c r="BO855" s="147"/>
      <c r="BP855" s="147"/>
    </row>
    <row r="856" spans="3:68">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c r="AC856" s="147"/>
      <c r="AD856" s="147"/>
      <c r="AE856" s="147"/>
      <c r="AF856" s="147"/>
      <c r="AG856" s="147"/>
      <c r="AH856" s="147"/>
      <c r="AI856" s="147"/>
      <c r="AJ856" s="147"/>
      <c r="AK856" s="147"/>
      <c r="AL856" s="147"/>
      <c r="AM856" s="147"/>
      <c r="AN856" s="147"/>
      <c r="AO856" s="147"/>
      <c r="AP856" s="147"/>
      <c r="AQ856" s="147"/>
      <c r="AR856" s="147"/>
      <c r="AS856" s="147"/>
      <c r="AT856" s="147"/>
      <c r="AU856" s="147"/>
      <c r="AV856" s="147"/>
      <c r="AW856" s="147"/>
      <c r="AX856" s="147"/>
      <c r="AY856" s="147"/>
      <c r="AZ856" s="147"/>
      <c r="BA856" s="147"/>
      <c r="BB856" s="147"/>
      <c r="BC856" s="147"/>
      <c r="BD856" s="147"/>
      <c r="BE856" s="147"/>
      <c r="BF856" s="147"/>
      <c r="BG856" s="147"/>
      <c r="BH856" s="147"/>
      <c r="BI856" s="147"/>
      <c r="BJ856" s="147"/>
      <c r="BK856" s="147"/>
      <c r="BL856" s="147"/>
      <c r="BM856" s="147"/>
      <c r="BN856" s="147"/>
      <c r="BO856" s="147"/>
      <c r="BP856" s="147"/>
    </row>
    <row r="857" spans="3:68">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c r="AC857" s="147"/>
      <c r="AD857" s="147"/>
      <c r="AE857" s="147"/>
      <c r="AF857" s="147"/>
      <c r="AG857" s="147"/>
      <c r="AH857" s="147"/>
      <c r="AI857" s="147"/>
      <c r="AJ857" s="147"/>
      <c r="AK857" s="147"/>
      <c r="AL857" s="147"/>
      <c r="AM857" s="147"/>
      <c r="AN857" s="147"/>
      <c r="AO857" s="147"/>
      <c r="AP857" s="147"/>
      <c r="AQ857" s="147"/>
      <c r="AR857" s="147"/>
      <c r="AS857" s="147"/>
      <c r="AT857" s="147"/>
      <c r="AU857" s="147"/>
      <c r="AV857" s="147"/>
      <c r="AW857" s="147"/>
      <c r="AX857" s="147"/>
      <c r="AY857" s="147"/>
      <c r="AZ857" s="147"/>
      <c r="BA857" s="147"/>
      <c r="BB857" s="147"/>
      <c r="BC857" s="147"/>
      <c r="BD857" s="147"/>
      <c r="BE857" s="147"/>
      <c r="BF857" s="147"/>
      <c r="BG857" s="147"/>
      <c r="BH857" s="147"/>
      <c r="BI857" s="147"/>
      <c r="BJ857" s="147"/>
      <c r="BK857" s="147"/>
      <c r="BL857" s="147"/>
      <c r="BM857" s="147"/>
      <c r="BN857" s="147"/>
      <c r="BO857" s="147"/>
      <c r="BP857" s="147"/>
    </row>
    <row r="858" spans="3:68">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c r="AC858" s="147"/>
      <c r="AD858" s="147"/>
      <c r="AE858" s="147"/>
      <c r="AF858" s="147"/>
      <c r="AG858" s="147"/>
      <c r="AH858" s="147"/>
      <c r="AI858" s="147"/>
      <c r="AJ858" s="147"/>
      <c r="AK858" s="147"/>
      <c r="AL858" s="147"/>
      <c r="AM858" s="147"/>
      <c r="AN858" s="147"/>
      <c r="AO858" s="147"/>
      <c r="AP858" s="147"/>
      <c r="AQ858" s="147"/>
      <c r="AR858" s="147"/>
      <c r="AS858" s="147"/>
      <c r="AT858" s="147"/>
      <c r="AU858" s="147"/>
      <c r="AV858" s="147"/>
      <c r="AW858" s="147"/>
      <c r="AX858" s="147"/>
      <c r="AY858" s="147"/>
      <c r="AZ858" s="147"/>
      <c r="BA858" s="147"/>
      <c r="BB858" s="147"/>
      <c r="BC858" s="147"/>
      <c r="BD858" s="147"/>
      <c r="BE858" s="147"/>
      <c r="BF858" s="147"/>
      <c r="BG858" s="147"/>
      <c r="BH858" s="147"/>
      <c r="BI858" s="147"/>
      <c r="BJ858" s="147"/>
      <c r="BK858" s="147"/>
      <c r="BL858" s="147"/>
      <c r="BM858" s="147"/>
      <c r="BN858" s="147"/>
      <c r="BO858" s="147"/>
      <c r="BP858" s="147"/>
    </row>
    <row r="859" spans="3:68">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c r="AC859" s="147"/>
      <c r="AD859" s="147"/>
      <c r="AE859" s="147"/>
      <c r="AF859" s="147"/>
      <c r="AG859" s="147"/>
      <c r="AH859" s="147"/>
      <c r="AI859" s="147"/>
      <c r="AJ859" s="147"/>
      <c r="AK859" s="147"/>
      <c r="AL859" s="147"/>
      <c r="AM859" s="147"/>
      <c r="AN859" s="147"/>
      <c r="AO859" s="147"/>
      <c r="AP859" s="147"/>
      <c r="AQ859" s="147"/>
      <c r="AR859" s="147"/>
      <c r="AS859" s="147"/>
      <c r="AT859" s="147"/>
      <c r="AU859" s="147"/>
      <c r="AV859" s="147"/>
      <c r="AW859" s="147"/>
      <c r="AX859" s="147"/>
      <c r="AY859" s="147"/>
      <c r="AZ859" s="147"/>
      <c r="BA859" s="147"/>
      <c r="BB859" s="147"/>
      <c r="BC859" s="147"/>
      <c r="BD859" s="147"/>
      <c r="BE859" s="147"/>
      <c r="BF859" s="147"/>
      <c r="BG859" s="147"/>
      <c r="BH859" s="147"/>
      <c r="BI859" s="147"/>
      <c r="BJ859" s="147"/>
      <c r="BK859" s="147"/>
      <c r="BL859" s="147"/>
      <c r="BM859" s="147"/>
      <c r="BN859" s="147"/>
      <c r="BO859" s="147"/>
      <c r="BP859" s="147"/>
    </row>
    <row r="860" spans="3:68">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c r="AC860" s="147"/>
      <c r="AD860" s="147"/>
      <c r="AE860" s="147"/>
      <c r="AF860" s="147"/>
      <c r="AG860" s="147"/>
      <c r="AH860" s="147"/>
      <c r="AI860" s="147"/>
      <c r="AJ860" s="147"/>
      <c r="AK860" s="147"/>
      <c r="AL860" s="147"/>
      <c r="AM860" s="147"/>
      <c r="AN860" s="147"/>
      <c r="AO860" s="147"/>
      <c r="AP860" s="147"/>
      <c r="AQ860" s="147"/>
      <c r="AR860" s="147"/>
      <c r="AS860" s="147"/>
      <c r="AT860" s="147"/>
      <c r="AU860" s="147"/>
      <c r="AV860" s="147"/>
      <c r="AW860" s="147"/>
      <c r="AX860" s="147"/>
      <c r="AY860" s="147"/>
      <c r="AZ860" s="147"/>
      <c r="BA860" s="147"/>
      <c r="BB860" s="147"/>
      <c r="BC860" s="147"/>
      <c r="BD860" s="147"/>
      <c r="BE860" s="147"/>
      <c r="BF860" s="147"/>
      <c r="BG860" s="147"/>
      <c r="BH860" s="147"/>
      <c r="BI860" s="147"/>
      <c r="BJ860" s="147"/>
      <c r="BK860" s="147"/>
      <c r="BL860" s="147"/>
      <c r="BM860" s="147"/>
      <c r="BN860" s="147"/>
      <c r="BO860" s="147"/>
      <c r="BP860" s="147"/>
    </row>
    <row r="861" spans="3:68">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c r="AC861" s="147"/>
      <c r="AD861" s="147"/>
      <c r="AE861" s="147"/>
      <c r="AF861" s="147"/>
      <c r="AG861" s="147"/>
      <c r="AH861" s="147"/>
      <c r="AI861" s="147"/>
      <c r="AJ861" s="147"/>
      <c r="AK861" s="147"/>
      <c r="AL861" s="147"/>
      <c r="AM861" s="147"/>
      <c r="AN861" s="147"/>
      <c r="AO861" s="147"/>
      <c r="AP861" s="147"/>
      <c r="AQ861" s="147"/>
      <c r="AR861" s="147"/>
      <c r="AS861" s="147"/>
      <c r="AT861" s="147"/>
      <c r="AU861" s="147"/>
      <c r="AV861" s="147"/>
      <c r="AW861" s="147"/>
      <c r="AX861" s="147"/>
      <c r="AY861" s="147"/>
      <c r="AZ861" s="147"/>
      <c r="BA861" s="147"/>
      <c r="BB861" s="147"/>
      <c r="BC861" s="147"/>
      <c r="BD861" s="147"/>
      <c r="BE861" s="147"/>
      <c r="BF861" s="147"/>
      <c r="BG861" s="147"/>
      <c r="BH861" s="147"/>
      <c r="BI861" s="147"/>
      <c r="BJ861" s="147"/>
      <c r="BK861" s="147"/>
      <c r="BL861" s="147"/>
      <c r="BM861" s="147"/>
      <c r="BN861" s="147"/>
      <c r="BO861" s="147"/>
      <c r="BP861" s="147"/>
    </row>
    <row r="862" spans="3:68">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c r="AC862" s="147"/>
      <c r="AD862" s="147"/>
      <c r="AE862" s="147"/>
      <c r="AF862" s="147"/>
      <c r="AG862" s="147"/>
      <c r="AH862" s="147"/>
      <c r="AI862" s="147"/>
      <c r="AJ862" s="147"/>
      <c r="AK862" s="147"/>
      <c r="AL862" s="147"/>
      <c r="AM862" s="147"/>
      <c r="AN862" s="147"/>
      <c r="AO862" s="147"/>
      <c r="AP862" s="147"/>
      <c r="AQ862" s="147"/>
      <c r="AR862" s="147"/>
      <c r="AS862" s="147"/>
      <c r="AT862" s="147"/>
      <c r="AU862" s="147"/>
      <c r="AV862" s="147"/>
      <c r="AW862" s="147"/>
      <c r="AX862" s="147"/>
      <c r="AY862" s="147"/>
      <c r="AZ862" s="147"/>
      <c r="BA862" s="147"/>
      <c r="BB862" s="147"/>
      <c r="BC862" s="147"/>
      <c r="BD862" s="147"/>
      <c r="BE862" s="147"/>
      <c r="BF862" s="147"/>
      <c r="BG862" s="147"/>
      <c r="BH862" s="147"/>
      <c r="BI862" s="147"/>
      <c r="BJ862" s="147"/>
      <c r="BK862" s="147"/>
      <c r="BL862" s="147"/>
      <c r="BM862" s="147"/>
      <c r="BN862" s="147"/>
      <c r="BO862" s="147"/>
      <c r="BP862" s="147"/>
    </row>
    <row r="863" spans="3:68">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c r="AC863" s="147"/>
      <c r="AD863" s="147"/>
      <c r="AE863" s="147"/>
      <c r="AF863" s="147"/>
      <c r="AG863" s="147"/>
      <c r="AH863" s="147"/>
      <c r="AI863" s="147"/>
      <c r="AJ863" s="147"/>
      <c r="AK863" s="147"/>
      <c r="AL863" s="147"/>
      <c r="AM863" s="147"/>
      <c r="AN863" s="147"/>
      <c r="AO863" s="147"/>
      <c r="AP863" s="147"/>
      <c r="AQ863" s="147"/>
      <c r="AR863" s="147"/>
      <c r="AS863" s="147"/>
      <c r="AT863" s="147"/>
      <c r="AU863" s="147"/>
      <c r="AV863" s="147"/>
      <c r="AW863" s="147"/>
      <c r="AX863" s="147"/>
      <c r="AY863" s="147"/>
      <c r="AZ863" s="147"/>
      <c r="BA863" s="147"/>
      <c r="BB863" s="147"/>
      <c r="BC863" s="147"/>
      <c r="BD863" s="147"/>
      <c r="BE863" s="147"/>
      <c r="BF863" s="147"/>
      <c r="BG863" s="147"/>
      <c r="BH863" s="147"/>
      <c r="BI863" s="147"/>
      <c r="BJ863" s="147"/>
      <c r="BK863" s="147"/>
      <c r="BL863" s="147"/>
      <c r="BM863" s="147"/>
      <c r="BN863" s="147"/>
      <c r="BO863" s="147"/>
      <c r="BP863" s="147"/>
    </row>
    <row r="864" spans="3:68">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c r="AC864" s="147"/>
      <c r="AD864" s="147"/>
      <c r="AE864" s="147"/>
      <c r="AF864" s="147"/>
      <c r="AG864" s="147"/>
      <c r="AH864" s="147"/>
      <c r="AI864" s="147"/>
      <c r="AJ864" s="147"/>
      <c r="AK864" s="147"/>
      <c r="AL864" s="147"/>
      <c r="AM864" s="147"/>
      <c r="AN864" s="147"/>
      <c r="AO864" s="147"/>
      <c r="AP864" s="147"/>
      <c r="AQ864" s="147"/>
      <c r="AR864" s="147"/>
      <c r="AS864" s="147"/>
      <c r="AT864" s="147"/>
      <c r="AU864" s="147"/>
      <c r="AV864" s="147"/>
      <c r="AW864" s="147"/>
      <c r="AX864" s="147"/>
      <c r="AY864" s="147"/>
      <c r="AZ864" s="147"/>
      <c r="BA864" s="147"/>
      <c r="BB864" s="147"/>
      <c r="BC864" s="147"/>
      <c r="BD864" s="147"/>
      <c r="BE864" s="147"/>
      <c r="BF864" s="147"/>
      <c r="BG864" s="147"/>
      <c r="BH864" s="147"/>
      <c r="BI864" s="147"/>
      <c r="BJ864" s="147"/>
      <c r="BK864" s="147"/>
      <c r="BL864" s="147"/>
      <c r="BM864" s="147"/>
      <c r="BN864" s="147"/>
      <c r="BO864" s="147"/>
      <c r="BP864" s="147"/>
    </row>
    <row r="865" spans="3:68">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c r="AC865" s="147"/>
      <c r="AD865" s="147"/>
      <c r="AE865" s="147"/>
      <c r="AF865" s="147"/>
      <c r="AG865" s="147"/>
      <c r="AH865" s="147"/>
      <c r="AI865" s="147"/>
      <c r="AJ865" s="147"/>
      <c r="AK865" s="147"/>
      <c r="AL865" s="147"/>
      <c r="AM865" s="147"/>
      <c r="AN865" s="147"/>
      <c r="AO865" s="147"/>
      <c r="AP865" s="147"/>
      <c r="AQ865" s="147"/>
      <c r="AR865" s="147"/>
      <c r="AS865" s="147"/>
      <c r="AT865" s="147"/>
      <c r="AU865" s="147"/>
      <c r="AV865" s="147"/>
      <c r="AW865" s="147"/>
      <c r="AX865" s="147"/>
      <c r="AY865" s="147"/>
      <c r="AZ865" s="147"/>
      <c r="BA865" s="147"/>
      <c r="BB865" s="147"/>
      <c r="BC865" s="147"/>
      <c r="BD865" s="147"/>
      <c r="BE865" s="147"/>
      <c r="BF865" s="147"/>
      <c r="BG865" s="147"/>
      <c r="BH865" s="147"/>
      <c r="BI865" s="147"/>
      <c r="BJ865" s="147"/>
      <c r="BK865" s="147"/>
      <c r="BL865" s="147"/>
      <c r="BM865" s="147"/>
      <c r="BN865" s="147"/>
      <c r="BO865" s="147"/>
      <c r="BP865" s="147"/>
    </row>
    <row r="866" spans="3:68">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c r="AC866" s="147"/>
      <c r="AD866" s="147"/>
      <c r="AE866" s="147"/>
      <c r="AF866" s="147"/>
      <c r="AG866" s="147"/>
      <c r="AH866" s="147"/>
      <c r="AI866" s="147"/>
      <c r="AJ866" s="147"/>
      <c r="AK866" s="147"/>
      <c r="AL866" s="147"/>
      <c r="AM866" s="147"/>
      <c r="AN866" s="147"/>
      <c r="AO866" s="147"/>
      <c r="AP866" s="147"/>
      <c r="AQ866" s="147"/>
      <c r="AR866" s="147"/>
      <c r="AS866" s="147"/>
      <c r="AT866" s="147"/>
      <c r="AU866" s="147"/>
      <c r="AV866" s="147"/>
      <c r="AW866" s="147"/>
      <c r="AX866" s="147"/>
      <c r="AY866" s="147"/>
      <c r="AZ866" s="147"/>
      <c r="BA866" s="147"/>
      <c r="BB866" s="147"/>
      <c r="BC866" s="147"/>
      <c r="BD866" s="147"/>
      <c r="BE866" s="147"/>
      <c r="BF866" s="147"/>
      <c r="BG866" s="147"/>
      <c r="BH866" s="147"/>
      <c r="BI866" s="147"/>
      <c r="BJ866" s="147"/>
      <c r="BK866" s="147"/>
      <c r="BL866" s="147"/>
      <c r="BM866" s="147"/>
      <c r="BN866" s="147"/>
      <c r="BO866" s="147"/>
      <c r="BP866" s="147"/>
    </row>
    <row r="867" spans="3:68">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c r="AC867" s="147"/>
      <c r="AD867" s="147"/>
      <c r="AE867" s="147"/>
      <c r="AF867" s="147"/>
      <c r="AG867" s="147"/>
      <c r="AH867" s="147"/>
      <c r="AI867" s="147"/>
      <c r="AJ867" s="147"/>
      <c r="AK867" s="147"/>
      <c r="AL867" s="147"/>
      <c r="AM867" s="147"/>
      <c r="AN867" s="147"/>
      <c r="AO867" s="147"/>
      <c r="AP867" s="147"/>
      <c r="AQ867" s="147"/>
      <c r="AR867" s="147"/>
      <c r="AS867" s="147"/>
      <c r="AT867" s="147"/>
      <c r="AU867" s="147"/>
      <c r="AV867" s="147"/>
      <c r="AW867" s="147"/>
      <c r="AX867" s="147"/>
      <c r="AY867" s="147"/>
      <c r="AZ867" s="147"/>
      <c r="BA867" s="147"/>
      <c r="BB867" s="147"/>
      <c r="BC867" s="147"/>
      <c r="BD867" s="147"/>
      <c r="BE867" s="147"/>
      <c r="BF867" s="147"/>
      <c r="BG867" s="147"/>
      <c r="BH867" s="147"/>
      <c r="BI867" s="147"/>
      <c r="BJ867" s="147"/>
      <c r="BK867" s="147"/>
      <c r="BL867" s="147"/>
      <c r="BM867" s="147"/>
      <c r="BN867" s="147"/>
      <c r="BO867" s="147"/>
      <c r="BP867" s="147"/>
    </row>
    <row r="868" spans="3:68">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c r="AC868" s="147"/>
      <c r="AD868" s="147"/>
      <c r="AE868" s="147"/>
      <c r="AF868" s="147"/>
      <c r="AG868" s="147"/>
      <c r="AH868" s="147"/>
      <c r="AI868" s="147"/>
      <c r="AJ868" s="147"/>
      <c r="AK868" s="147"/>
      <c r="AL868" s="147"/>
      <c r="AM868" s="147"/>
      <c r="AN868" s="147"/>
      <c r="AO868" s="147"/>
      <c r="AP868" s="147"/>
      <c r="AQ868" s="147"/>
      <c r="AR868" s="147"/>
      <c r="AS868" s="147"/>
      <c r="AT868" s="147"/>
      <c r="AU868" s="147"/>
      <c r="AV868" s="147"/>
      <c r="AW868" s="147"/>
      <c r="AX868" s="147"/>
      <c r="AY868" s="147"/>
      <c r="AZ868" s="147"/>
      <c r="BA868" s="147"/>
      <c r="BB868" s="147"/>
      <c r="BC868" s="147"/>
      <c r="BD868" s="147"/>
      <c r="BE868" s="147"/>
      <c r="BF868" s="147"/>
      <c r="BG868" s="147"/>
      <c r="BH868" s="147"/>
      <c r="BI868" s="147"/>
      <c r="BJ868" s="147"/>
      <c r="BK868" s="147"/>
      <c r="BL868" s="147"/>
      <c r="BM868" s="147"/>
      <c r="BN868" s="147"/>
      <c r="BO868" s="147"/>
      <c r="BP868" s="147"/>
    </row>
    <row r="869" spans="3:68">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c r="AC869" s="147"/>
      <c r="AD869" s="147"/>
      <c r="AE869" s="147"/>
      <c r="AF869" s="147"/>
      <c r="AG869" s="147"/>
      <c r="AH869" s="147"/>
      <c r="AI869" s="147"/>
      <c r="AJ869" s="147"/>
      <c r="AK869" s="147"/>
      <c r="AL869" s="147"/>
      <c r="AM869" s="147"/>
      <c r="AN869" s="147"/>
      <c r="AO869" s="147"/>
      <c r="AP869" s="147"/>
      <c r="AQ869" s="147"/>
      <c r="AR869" s="147"/>
      <c r="AS869" s="147"/>
      <c r="AT869" s="147"/>
      <c r="AU869" s="147"/>
      <c r="AV869" s="147"/>
      <c r="AW869" s="147"/>
      <c r="AX869" s="147"/>
      <c r="AY869" s="147"/>
      <c r="AZ869" s="147"/>
      <c r="BA869" s="147"/>
      <c r="BB869" s="147"/>
      <c r="BC869" s="147"/>
      <c r="BD869" s="147"/>
      <c r="BE869" s="147"/>
      <c r="BF869" s="147"/>
      <c r="BG869" s="147"/>
      <c r="BH869" s="147"/>
      <c r="BI869" s="147"/>
      <c r="BJ869" s="147"/>
      <c r="BK869" s="147"/>
      <c r="BL869" s="147"/>
      <c r="BM869" s="147"/>
      <c r="BN869" s="147"/>
      <c r="BO869" s="147"/>
      <c r="BP869" s="147"/>
    </row>
    <row r="870" spans="3:68">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c r="AC870" s="147"/>
      <c r="AD870" s="147"/>
      <c r="AE870" s="147"/>
      <c r="AF870" s="147"/>
      <c r="AG870" s="147"/>
      <c r="AH870" s="147"/>
      <c r="AI870" s="147"/>
      <c r="AJ870" s="147"/>
      <c r="AK870" s="147"/>
      <c r="AL870" s="147"/>
      <c r="AM870" s="147"/>
      <c r="AN870" s="147"/>
      <c r="AO870" s="147"/>
      <c r="AP870" s="147"/>
      <c r="AQ870" s="147"/>
      <c r="AR870" s="147"/>
      <c r="AS870" s="147"/>
      <c r="AT870" s="147"/>
      <c r="AU870" s="147"/>
      <c r="AV870" s="147"/>
      <c r="AW870" s="147"/>
      <c r="AX870" s="147"/>
      <c r="AY870" s="147"/>
      <c r="AZ870" s="147"/>
      <c r="BA870" s="147"/>
      <c r="BB870" s="147"/>
      <c r="BC870" s="147"/>
      <c r="BD870" s="147"/>
      <c r="BE870" s="147"/>
      <c r="BF870" s="147"/>
      <c r="BG870" s="147"/>
      <c r="BH870" s="147"/>
      <c r="BI870" s="147"/>
      <c r="BJ870" s="147"/>
      <c r="BK870" s="147"/>
      <c r="BL870" s="147"/>
      <c r="BM870" s="147"/>
      <c r="BN870" s="147"/>
      <c r="BO870" s="147"/>
      <c r="BP870" s="147"/>
    </row>
    <row r="871" spans="3:68">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c r="AC871" s="147"/>
      <c r="AD871" s="147"/>
      <c r="AE871" s="147"/>
      <c r="AF871" s="147"/>
      <c r="AG871" s="147"/>
      <c r="AH871" s="147"/>
      <c r="AI871" s="147"/>
      <c r="AJ871" s="147"/>
      <c r="AK871" s="147"/>
      <c r="AL871" s="147"/>
      <c r="AM871" s="147"/>
      <c r="AN871" s="147"/>
      <c r="AO871" s="147"/>
      <c r="AP871" s="147"/>
      <c r="AQ871" s="147"/>
      <c r="AR871" s="147"/>
      <c r="AS871" s="147"/>
      <c r="AT871" s="147"/>
      <c r="AU871" s="147"/>
      <c r="AV871" s="147"/>
      <c r="AW871" s="147"/>
      <c r="AX871" s="147"/>
      <c r="AY871" s="147"/>
      <c r="AZ871" s="147"/>
      <c r="BA871" s="147"/>
      <c r="BB871" s="147"/>
      <c r="BC871" s="147"/>
      <c r="BD871" s="147"/>
      <c r="BE871" s="147"/>
      <c r="BF871" s="147"/>
      <c r="BG871" s="147"/>
      <c r="BH871" s="147"/>
      <c r="BI871" s="147"/>
      <c r="BJ871" s="147"/>
      <c r="BK871" s="147"/>
      <c r="BL871" s="147"/>
      <c r="BM871" s="147"/>
      <c r="BN871" s="147"/>
      <c r="BO871" s="147"/>
      <c r="BP871" s="147"/>
    </row>
    <row r="872" spans="3:68">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c r="AC872" s="147"/>
      <c r="AD872" s="147"/>
      <c r="AE872" s="147"/>
      <c r="AF872" s="147"/>
      <c r="AG872" s="147"/>
      <c r="AH872" s="147"/>
      <c r="AI872" s="147"/>
      <c r="AJ872" s="147"/>
      <c r="AK872" s="147"/>
      <c r="AL872" s="147"/>
      <c r="AM872" s="147"/>
      <c r="AN872" s="147"/>
      <c r="AO872" s="147"/>
      <c r="AP872" s="147"/>
      <c r="AQ872" s="147"/>
      <c r="AR872" s="147"/>
      <c r="AS872" s="147"/>
      <c r="AT872" s="147"/>
      <c r="AU872" s="147"/>
      <c r="AV872" s="147"/>
      <c r="AW872" s="147"/>
      <c r="AX872" s="147"/>
      <c r="AY872" s="147"/>
      <c r="AZ872" s="147"/>
      <c r="BA872" s="147"/>
      <c r="BB872" s="147"/>
      <c r="BC872" s="147"/>
      <c r="BD872" s="147"/>
      <c r="BE872" s="147"/>
      <c r="BF872" s="147"/>
      <c r="BG872" s="147"/>
      <c r="BH872" s="147"/>
      <c r="BI872" s="147"/>
      <c r="BJ872" s="147"/>
      <c r="BK872" s="147"/>
      <c r="BL872" s="147"/>
      <c r="BM872" s="147"/>
      <c r="BN872" s="147"/>
      <c r="BO872" s="147"/>
      <c r="BP872" s="147"/>
    </row>
    <row r="873" spans="3:68">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c r="AC873" s="147"/>
      <c r="AD873" s="147"/>
      <c r="AE873" s="147"/>
      <c r="AF873" s="147"/>
      <c r="AG873" s="147"/>
      <c r="AH873" s="147"/>
      <c r="AI873" s="147"/>
      <c r="AJ873" s="147"/>
      <c r="AK873" s="147"/>
      <c r="AL873" s="147"/>
      <c r="AM873" s="147"/>
      <c r="AN873" s="147"/>
      <c r="AO873" s="147"/>
      <c r="AP873" s="147"/>
      <c r="AQ873" s="147"/>
      <c r="AR873" s="147"/>
      <c r="AS873" s="147"/>
      <c r="AT873" s="147"/>
      <c r="AU873" s="147"/>
      <c r="AV873" s="147"/>
      <c r="AW873" s="147"/>
      <c r="AX873" s="147"/>
      <c r="AY873" s="147"/>
      <c r="AZ873" s="147"/>
      <c r="BA873" s="147"/>
      <c r="BB873" s="147"/>
      <c r="BC873" s="147"/>
      <c r="BD873" s="147"/>
      <c r="BE873" s="147"/>
      <c r="BF873" s="147"/>
      <c r="BG873" s="147"/>
      <c r="BH873" s="147"/>
      <c r="BI873" s="147"/>
      <c r="BJ873" s="147"/>
      <c r="BK873" s="147"/>
      <c r="BL873" s="147"/>
      <c r="BM873" s="147"/>
      <c r="BN873" s="147"/>
      <c r="BO873" s="147"/>
      <c r="BP873" s="147"/>
    </row>
    <row r="874" spans="3:68">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c r="AC874" s="147"/>
      <c r="AD874" s="147"/>
      <c r="AE874" s="147"/>
      <c r="AF874" s="147"/>
      <c r="AG874" s="147"/>
      <c r="AH874" s="147"/>
      <c r="AI874" s="147"/>
      <c r="AJ874" s="147"/>
      <c r="AK874" s="147"/>
      <c r="AL874" s="147"/>
      <c r="AM874" s="147"/>
      <c r="AN874" s="147"/>
      <c r="AO874" s="147"/>
      <c r="AP874" s="147"/>
      <c r="AQ874" s="147"/>
      <c r="AR874" s="147"/>
      <c r="AS874" s="147"/>
      <c r="AT874" s="147"/>
      <c r="AU874" s="147"/>
      <c r="AV874" s="147"/>
      <c r="AW874" s="147"/>
      <c r="AX874" s="147"/>
      <c r="AY874" s="147"/>
      <c r="AZ874" s="147"/>
      <c r="BA874" s="147"/>
      <c r="BB874" s="147"/>
      <c r="BC874" s="147"/>
      <c r="BD874" s="147"/>
      <c r="BE874" s="147"/>
      <c r="BF874" s="147"/>
      <c r="BG874" s="147"/>
      <c r="BH874" s="147"/>
      <c r="BI874" s="147"/>
      <c r="BJ874" s="147"/>
      <c r="BK874" s="147"/>
      <c r="BL874" s="147"/>
      <c r="BM874" s="147"/>
      <c r="BN874" s="147"/>
      <c r="BO874" s="147"/>
      <c r="BP874" s="147"/>
    </row>
    <row r="875" spans="3:68">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c r="AC875" s="147"/>
      <c r="AD875" s="147"/>
      <c r="AE875" s="147"/>
      <c r="AF875" s="147"/>
      <c r="AG875" s="147"/>
      <c r="AH875" s="147"/>
      <c r="AI875" s="147"/>
      <c r="AJ875" s="147"/>
      <c r="AK875" s="147"/>
      <c r="AL875" s="147"/>
      <c r="AM875" s="147"/>
      <c r="AN875" s="147"/>
      <c r="AO875" s="147"/>
      <c r="AP875" s="147"/>
      <c r="AQ875" s="147"/>
      <c r="AR875" s="147"/>
      <c r="AS875" s="147"/>
      <c r="AT875" s="147"/>
      <c r="AU875" s="147"/>
      <c r="AV875" s="147"/>
      <c r="AW875" s="147"/>
      <c r="AX875" s="147"/>
      <c r="AY875" s="147"/>
      <c r="AZ875" s="147"/>
      <c r="BA875" s="147"/>
      <c r="BB875" s="147"/>
      <c r="BC875" s="147"/>
      <c r="BD875" s="147"/>
      <c r="BE875" s="147"/>
      <c r="BF875" s="147"/>
      <c r="BG875" s="147"/>
      <c r="BH875" s="147"/>
      <c r="BI875" s="147"/>
      <c r="BJ875" s="147"/>
      <c r="BK875" s="147"/>
      <c r="BL875" s="147"/>
      <c r="BM875" s="147"/>
      <c r="BN875" s="147"/>
      <c r="BO875" s="147"/>
      <c r="BP875" s="147"/>
    </row>
    <row r="876" spans="3:68">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c r="AC876" s="147"/>
      <c r="AD876" s="147"/>
      <c r="AE876" s="147"/>
      <c r="AF876" s="147"/>
      <c r="AG876" s="147"/>
      <c r="AH876" s="147"/>
      <c r="AI876" s="147"/>
      <c r="AJ876" s="147"/>
      <c r="AK876" s="147"/>
      <c r="AL876" s="147"/>
      <c r="AM876" s="147"/>
      <c r="AN876" s="147"/>
      <c r="AO876" s="147"/>
      <c r="AP876" s="147"/>
      <c r="AQ876" s="147"/>
      <c r="AR876" s="147"/>
      <c r="AS876" s="147"/>
      <c r="AT876" s="147"/>
      <c r="AU876" s="147"/>
      <c r="AV876" s="147"/>
      <c r="AW876" s="147"/>
      <c r="AX876" s="147"/>
      <c r="AY876" s="147"/>
      <c r="AZ876" s="147"/>
      <c r="BA876" s="147"/>
      <c r="BB876" s="147"/>
      <c r="BC876" s="147"/>
      <c r="BD876" s="147"/>
      <c r="BE876" s="147"/>
      <c r="BF876" s="147"/>
      <c r="BG876" s="147"/>
      <c r="BH876" s="147"/>
      <c r="BI876" s="147"/>
      <c r="BJ876" s="147"/>
      <c r="BK876" s="147"/>
      <c r="BL876" s="147"/>
      <c r="BM876" s="147"/>
      <c r="BN876" s="147"/>
      <c r="BO876" s="147"/>
      <c r="BP876" s="147"/>
    </row>
    <row r="877" spans="3:68">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c r="AC877" s="147"/>
      <c r="AD877" s="147"/>
      <c r="AE877" s="147"/>
      <c r="AF877" s="147"/>
      <c r="AG877" s="147"/>
      <c r="AH877" s="147"/>
      <c r="AI877" s="147"/>
      <c r="AJ877" s="147"/>
      <c r="AK877" s="147"/>
      <c r="AL877" s="147"/>
      <c r="AM877" s="147"/>
      <c r="AN877" s="147"/>
      <c r="AO877" s="147"/>
      <c r="AP877" s="147"/>
      <c r="AQ877" s="147"/>
      <c r="AR877" s="147"/>
      <c r="AS877" s="147"/>
      <c r="AT877" s="147"/>
      <c r="AU877" s="147"/>
      <c r="AV877" s="147"/>
      <c r="AW877" s="147"/>
      <c r="AX877" s="147"/>
      <c r="AY877" s="147"/>
      <c r="AZ877" s="147"/>
      <c r="BA877" s="147"/>
      <c r="BB877" s="147"/>
      <c r="BC877" s="147"/>
      <c r="BD877" s="147"/>
      <c r="BE877" s="147"/>
      <c r="BF877" s="147"/>
      <c r="BG877" s="147"/>
      <c r="BH877" s="147"/>
      <c r="BI877" s="147"/>
      <c r="BJ877" s="147"/>
      <c r="BK877" s="147"/>
      <c r="BL877" s="147"/>
      <c r="BM877" s="147"/>
      <c r="BN877" s="147"/>
      <c r="BO877" s="147"/>
      <c r="BP877" s="147"/>
    </row>
    <row r="878" spans="3:68">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c r="AC878" s="147"/>
      <c r="AD878" s="147"/>
      <c r="AE878" s="147"/>
      <c r="AF878" s="147"/>
      <c r="AG878" s="147"/>
      <c r="AH878" s="147"/>
      <c r="AI878" s="147"/>
      <c r="AJ878" s="147"/>
      <c r="AK878" s="147"/>
      <c r="AL878" s="147"/>
      <c r="AM878" s="147"/>
      <c r="AN878" s="147"/>
      <c r="AO878" s="147"/>
      <c r="AP878" s="147"/>
      <c r="AQ878" s="147"/>
      <c r="AR878" s="147"/>
      <c r="AS878" s="147"/>
      <c r="AT878" s="147"/>
      <c r="AU878" s="147"/>
      <c r="AV878" s="147"/>
      <c r="AW878" s="147"/>
      <c r="AX878" s="147"/>
      <c r="AY878" s="147"/>
      <c r="AZ878" s="147"/>
      <c r="BA878" s="147"/>
      <c r="BB878" s="147"/>
      <c r="BC878" s="147"/>
      <c r="BD878" s="147"/>
      <c r="BE878" s="147"/>
      <c r="BF878" s="147"/>
      <c r="BG878" s="147"/>
      <c r="BH878" s="147"/>
      <c r="BI878" s="147"/>
      <c r="BJ878" s="147"/>
      <c r="BK878" s="147"/>
      <c r="BL878" s="147"/>
      <c r="BM878" s="147"/>
      <c r="BN878" s="147"/>
      <c r="BO878" s="147"/>
      <c r="BP878" s="147"/>
    </row>
    <row r="879" spans="3:68">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c r="AC879" s="147"/>
      <c r="AD879" s="147"/>
      <c r="AE879" s="147"/>
      <c r="AF879" s="147"/>
      <c r="AG879" s="147"/>
      <c r="AH879" s="147"/>
      <c r="AI879" s="147"/>
      <c r="AJ879" s="147"/>
      <c r="AK879" s="147"/>
      <c r="AL879" s="147"/>
      <c r="AM879" s="147"/>
      <c r="AN879" s="147"/>
      <c r="AO879" s="147"/>
      <c r="AP879" s="147"/>
      <c r="AQ879" s="147"/>
      <c r="AR879" s="147"/>
      <c r="AS879" s="147"/>
      <c r="AT879" s="147"/>
      <c r="AU879" s="147"/>
      <c r="AV879" s="147"/>
      <c r="AW879" s="147"/>
      <c r="AX879" s="147"/>
      <c r="AY879" s="147"/>
      <c r="AZ879" s="147"/>
      <c r="BA879" s="147"/>
      <c r="BB879" s="147"/>
      <c r="BC879" s="147"/>
      <c r="BD879" s="147"/>
      <c r="BE879" s="147"/>
      <c r="BF879" s="147"/>
      <c r="BG879" s="147"/>
      <c r="BH879" s="147"/>
      <c r="BI879" s="147"/>
      <c r="BJ879" s="147"/>
      <c r="BK879" s="147"/>
      <c r="BL879" s="147"/>
      <c r="BM879" s="147"/>
      <c r="BN879" s="147"/>
      <c r="BO879" s="147"/>
      <c r="BP879" s="147"/>
    </row>
    <row r="880" spans="3:68">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c r="AC880" s="147"/>
      <c r="AD880" s="147"/>
      <c r="AE880" s="147"/>
      <c r="AF880" s="147"/>
      <c r="AG880" s="147"/>
      <c r="AH880" s="147"/>
      <c r="AI880" s="147"/>
      <c r="AJ880" s="147"/>
      <c r="AK880" s="147"/>
      <c r="AL880" s="147"/>
      <c r="AM880" s="147"/>
      <c r="AN880" s="147"/>
      <c r="AO880" s="147"/>
      <c r="AP880" s="147"/>
      <c r="AQ880" s="147"/>
      <c r="AR880" s="147"/>
      <c r="AS880" s="147"/>
      <c r="AT880" s="147"/>
      <c r="AU880" s="147"/>
      <c r="AV880" s="147"/>
      <c r="AW880" s="147"/>
      <c r="AX880" s="147"/>
      <c r="AY880" s="147"/>
      <c r="AZ880" s="147"/>
      <c r="BA880" s="147"/>
      <c r="BB880" s="147"/>
      <c r="BC880" s="147"/>
      <c r="BD880" s="147"/>
      <c r="BE880" s="147"/>
      <c r="BF880" s="147"/>
      <c r="BG880" s="147"/>
      <c r="BH880" s="147"/>
      <c r="BI880" s="147"/>
      <c r="BJ880" s="147"/>
      <c r="BK880" s="147"/>
      <c r="BL880" s="147"/>
      <c r="BM880" s="147"/>
      <c r="BN880" s="147"/>
      <c r="BO880" s="147"/>
      <c r="BP880" s="147"/>
    </row>
    <row r="881" spans="3:68">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c r="AC881" s="147"/>
      <c r="AD881" s="147"/>
      <c r="AE881" s="147"/>
      <c r="AF881" s="147"/>
      <c r="AG881" s="147"/>
      <c r="AH881" s="147"/>
      <c r="AI881" s="147"/>
      <c r="AJ881" s="147"/>
      <c r="AK881" s="147"/>
      <c r="AL881" s="147"/>
      <c r="AM881" s="147"/>
      <c r="AN881" s="147"/>
      <c r="AO881" s="147"/>
      <c r="AP881" s="147"/>
      <c r="AQ881" s="147"/>
      <c r="AR881" s="147"/>
      <c r="AS881" s="147"/>
      <c r="AT881" s="147"/>
      <c r="AU881" s="147"/>
      <c r="AV881" s="147"/>
      <c r="AW881" s="147"/>
      <c r="AX881" s="147"/>
      <c r="AY881" s="147"/>
      <c r="AZ881" s="147"/>
      <c r="BA881" s="147"/>
      <c r="BB881" s="147"/>
      <c r="BC881" s="147"/>
      <c r="BD881" s="147"/>
      <c r="BE881" s="147"/>
      <c r="BF881" s="147"/>
      <c r="BG881" s="147"/>
      <c r="BH881" s="147"/>
      <c r="BI881" s="147"/>
      <c r="BJ881" s="147"/>
      <c r="BK881" s="147"/>
      <c r="BL881" s="147"/>
      <c r="BM881" s="147"/>
      <c r="BN881" s="147"/>
      <c r="BO881" s="147"/>
      <c r="BP881" s="147"/>
    </row>
    <row r="882" spans="3:68">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c r="AC882" s="147"/>
      <c r="AD882" s="147"/>
      <c r="AE882" s="147"/>
      <c r="AF882" s="147"/>
      <c r="AG882" s="147"/>
      <c r="AH882" s="147"/>
      <c r="AI882" s="147"/>
      <c r="AJ882" s="147"/>
      <c r="AK882" s="147"/>
      <c r="AL882" s="147"/>
      <c r="AM882" s="147"/>
      <c r="AN882" s="147"/>
      <c r="AO882" s="147"/>
      <c r="AP882" s="147"/>
      <c r="AQ882" s="147"/>
      <c r="AR882" s="147"/>
      <c r="AS882" s="147"/>
      <c r="AT882" s="147"/>
      <c r="AU882" s="147"/>
      <c r="AV882" s="147"/>
      <c r="AW882" s="147"/>
      <c r="AX882" s="147"/>
      <c r="AY882" s="147"/>
      <c r="AZ882" s="147"/>
      <c r="BA882" s="147"/>
      <c r="BB882" s="147"/>
      <c r="BC882" s="147"/>
      <c r="BD882" s="147"/>
      <c r="BE882" s="147"/>
      <c r="BF882" s="147"/>
      <c r="BG882" s="147"/>
      <c r="BH882" s="147"/>
      <c r="BI882" s="147"/>
      <c r="BJ882" s="147"/>
      <c r="BK882" s="147"/>
      <c r="BL882" s="147"/>
      <c r="BM882" s="147"/>
      <c r="BN882" s="147"/>
      <c r="BO882" s="147"/>
      <c r="BP882" s="147"/>
    </row>
    <row r="883" spans="3:68">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c r="AC883" s="147"/>
      <c r="AD883" s="147"/>
      <c r="AE883" s="147"/>
      <c r="AF883" s="147"/>
      <c r="AG883" s="147"/>
      <c r="AH883" s="147"/>
      <c r="AI883" s="147"/>
      <c r="AJ883" s="147"/>
      <c r="AK883" s="147"/>
      <c r="AL883" s="147"/>
      <c r="AM883" s="147"/>
      <c r="AN883" s="147"/>
      <c r="AO883" s="147"/>
      <c r="AP883" s="147"/>
      <c r="AQ883" s="147"/>
      <c r="AR883" s="147"/>
      <c r="AS883" s="147"/>
      <c r="AT883" s="147"/>
      <c r="AU883" s="147"/>
      <c r="AV883" s="147"/>
      <c r="AW883" s="147"/>
      <c r="AX883" s="147"/>
      <c r="AY883" s="147"/>
      <c r="AZ883" s="147"/>
      <c r="BA883" s="147"/>
      <c r="BB883" s="147"/>
      <c r="BC883" s="147"/>
      <c r="BD883" s="147"/>
      <c r="BE883" s="147"/>
      <c r="BF883" s="147"/>
      <c r="BG883" s="147"/>
      <c r="BH883" s="147"/>
      <c r="BI883" s="147"/>
      <c r="BJ883" s="147"/>
      <c r="BK883" s="147"/>
      <c r="BL883" s="147"/>
      <c r="BM883" s="147"/>
      <c r="BN883" s="147"/>
      <c r="BO883" s="147"/>
      <c r="BP883" s="147"/>
    </row>
    <row r="884" spans="3:68">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c r="AC884" s="147"/>
      <c r="AD884" s="147"/>
      <c r="AE884" s="147"/>
      <c r="AF884" s="147"/>
      <c r="AG884" s="147"/>
      <c r="AH884" s="147"/>
      <c r="AI884" s="147"/>
      <c r="AJ884" s="147"/>
      <c r="AK884" s="147"/>
      <c r="AL884" s="147"/>
      <c r="AM884" s="147"/>
      <c r="AN884" s="147"/>
      <c r="AO884" s="147"/>
      <c r="AP884" s="147"/>
      <c r="AQ884" s="147"/>
      <c r="AR884" s="147"/>
      <c r="AS884" s="147"/>
      <c r="AT884" s="147"/>
      <c r="AU884" s="147"/>
      <c r="AV884" s="147"/>
      <c r="AW884" s="147"/>
      <c r="AX884" s="147"/>
      <c r="AY884" s="147"/>
      <c r="AZ884" s="147"/>
      <c r="BA884" s="147"/>
      <c r="BB884" s="147"/>
      <c r="BC884" s="147"/>
      <c r="BD884" s="147"/>
      <c r="BE884" s="147"/>
      <c r="BF884" s="147"/>
      <c r="BG884" s="147"/>
      <c r="BH884" s="147"/>
      <c r="BI884" s="147"/>
      <c r="BJ884" s="147"/>
      <c r="BK884" s="147"/>
      <c r="BL884" s="147"/>
      <c r="BM884" s="147"/>
      <c r="BN884" s="147"/>
      <c r="BO884" s="147"/>
      <c r="BP884" s="147"/>
    </row>
    <row r="885" spans="3:68">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c r="AC885" s="147"/>
      <c r="AD885" s="147"/>
      <c r="AE885" s="147"/>
      <c r="AF885" s="147"/>
      <c r="AG885" s="147"/>
      <c r="AH885" s="147"/>
      <c r="AI885" s="147"/>
      <c r="AJ885" s="147"/>
      <c r="AK885" s="147"/>
      <c r="AL885" s="147"/>
      <c r="AM885" s="147"/>
      <c r="AN885" s="147"/>
      <c r="AO885" s="147"/>
      <c r="AP885" s="147"/>
      <c r="AQ885" s="147"/>
      <c r="AR885" s="147"/>
      <c r="AS885" s="147"/>
      <c r="AT885" s="147"/>
      <c r="AU885" s="147"/>
      <c r="AV885" s="147"/>
      <c r="AW885" s="147"/>
      <c r="AX885" s="147"/>
      <c r="AY885" s="147"/>
      <c r="AZ885" s="147"/>
      <c r="BA885" s="147"/>
      <c r="BB885" s="147"/>
      <c r="BC885" s="147"/>
      <c r="BD885" s="147"/>
      <c r="BE885" s="147"/>
      <c r="BF885" s="147"/>
      <c r="BG885" s="147"/>
      <c r="BH885" s="147"/>
      <c r="BI885" s="147"/>
      <c r="BJ885" s="147"/>
      <c r="BK885" s="147"/>
      <c r="BL885" s="147"/>
      <c r="BM885" s="147"/>
      <c r="BN885" s="147"/>
      <c r="BO885" s="147"/>
      <c r="BP885" s="147"/>
    </row>
    <row r="886" spans="3:68">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c r="AC886" s="147"/>
      <c r="AD886" s="147"/>
      <c r="AE886" s="147"/>
      <c r="AF886" s="147"/>
      <c r="AG886" s="147"/>
      <c r="AH886" s="147"/>
      <c r="AI886" s="147"/>
      <c r="AJ886" s="147"/>
      <c r="AK886" s="147"/>
      <c r="AL886" s="147"/>
      <c r="AM886" s="147"/>
      <c r="AN886" s="147"/>
      <c r="AO886" s="147"/>
      <c r="AP886" s="147"/>
      <c r="AQ886" s="147"/>
      <c r="AR886" s="147"/>
      <c r="AS886" s="147"/>
      <c r="AT886" s="147"/>
      <c r="AU886" s="147"/>
      <c r="AV886" s="147"/>
      <c r="AW886" s="147"/>
      <c r="AX886" s="147"/>
      <c r="AY886" s="147"/>
      <c r="AZ886" s="147"/>
      <c r="BA886" s="147"/>
      <c r="BB886" s="147"/>
      <c r="BC886" s="147"/>
      <c r="BD886" s="147"/>
      <c r="BE886" s="147"/>
      <c r="BF886" s="147"/>
      <c r="BG886" s="147"/>
      <c r="BH886" s="147"/>
      <c r="BI886" s="147"/>
      <c r="BJ886" s="147"/>
      <c r="BK886" s="147"/>
      <c r="BL886" s="147"/>
      <c r="BM886" s="147"/>
      <c r="BN886" s="147"/>
      <c r="BO886" s="147"/>
      <c r="BP886" s="147"/>
    </row>
    <row r="887" spans="3:68">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147"/>
      <c r="AN887" s="147"/>
      <c r="AO887" s="147"/>
      <c r="AP887" s="147"/>
      <c r="AQ887" s="147"/>
      <c r="AR887" s="147"/>
      <c r="AS887" s="147"/>
      <c r="AT887" s="147"/>
      <c r="AU887" s="147"/>
      <c r="AV887" s="147"/>
      <c r="AW887" s="147"/>
      <c r="AX887" s="147"/>
      <c r="AY887" s="147"/>
      <c r="AZ887" s="147"/>
      <c r="BA887" s="147"/>
      <c r="BB887" s="147"/>
      <c r="BC887" s="147"/>
      <c r="BD887" s="147"/>
      <c r="BE887" s="147"/>
      <c r="BF887" s="147"/>
      <c r="BG887" s="147"/>
      <c r="BH887" s="147"/>
      <c r="BI887" s="147"/>
      <c r="BJ887" s="147"/>
      <c r="BK887" s="147"/>
      <c r="BL887" s="147"/>
      <c r="BM887" s="147"/>
      <c r="BN887" s="147"/>
      <c r="BO887" s="147"/>
      <c r="BP887" s="147"/>
    </row>
    <row r="888" spans="3:68">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147"/>
      <c r="AN888" s="147"/>
      <c r="AO888" s="147"/>
      <c r="AP888" s="147"/>
      <c r="AQ888" s="147"/>
      <c r="AR888" s="147"/>
      <c r="AS888" s="147"/>
      <c r="AT888" s="147"/>
      <c r="AU888" s="147"/>
      <c r="AV888" s="147"/>
      <c r="AW888" s="147"/>
      <c r="AX888" s="147"/>
      <c r="AY888" s="147"/>
      <c r="AZ888" s="147"/>
      <c r="BA888" s="147"/>
      <c r="BB888" s="147"/>
      <c r="BC888" s="147"/>
      <c r="BD888" s="147"/>
      <c r="BE888" s="147"/>
      <c r="BF888" s="147"/>
      <c r="BG888" s="147"/>
      <c r="BH888" s="147"/>
      <c r="BI888" s="147"/>
      <c r="BJ888" s="147"/>
      <c r="BK888" s="147"/>
      <c r="BL888" s="147"/>
      <c r="BM888" s="147"/>
      <c r="BN888" s="147"/>
      <c r="BO888" s="147"/>
      <c r="BP888" s="147"/>
    </row>
    <row r="889" spans="3:68">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c r="AC889" s="147"/>
      <c r="AD889" s="147"/>
      <c r="AE889" s="147"/>
      <c r="AF889" s="147"/>
      <c r="AG889" s="147"/>
      <c r="AH889" s="147"/>
      <c r="AI889" s="147"/>
      <c r="AJ889" s="147"/>
      <c r="AK889" s="147"/>
      <c r="AL889" s="147"/>
      <c r="AM889" s="147"/>
      <c r="AN889" s="147"/>
      <c r="AO889" s="147"/>
      <c r="AP889" s="147"/>
      <c r="AQ889" s="147"/>
      <c r="AR889" s="147"/>
      <c r="AS889" s="147"/>
      <c r="AT889" s="147"/>
      <c r="AU889" s="147"/>
      <c r="AV889" s="147"/>
      <c r="AW889" s="147"/>
      <c r="AX889" s="147"/>
      <c r="AY889" s="147"/>
      <c r="AZ889" s="147"/>
      <c r="BA889" s="147"/>
      <c r="BB889" s="147"/>
      <c r="BC889" s="147"/>
      <c r="BD889" s="147"/>
      <c r="BE889" s="147"/>
      <c r="BF889" s="147"/>
      <c r="BG889" s="147"/>
      <c r="BH889" s="147"/>
      <c r="BI889" s="147"/>
      <c r="BJ889" s="147"/>
      <c r="BK889" s="147"/>
      <c r="BL889" s="147"/>
      <c r="BM889" s="147"/>
      <c r="BN889" s="147"/>
      <c r="BO889" s="147"/>
      <c r="BP889" s="147"/>
    </row>
    <row r="890" spans="3:68">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c r="AC890" s="147"/>
      <c r="AD890" s="147"/>
      <c r="AE890" s="147"/>
      <c r="AF890" s="147"/>
      <c r="AG890" s="147"/>
      <c r="AH890" s="147"/>
      <c r="AI890" s="147"/>
      <c r="AJ890" s="147"/>
      <c r="AK890" s="147"/>
      <c r="AL890" s="147"/>
      <c r="AM890" s="147"/>
      <c r="AN890" s="147"/>
      <c r="AO890" s="147"/>
      <c r="AP890" s="147"/>
      <c r="AQ890" s="147"/>
      <c r="AR890" s="147"/>
      <c r="AS890" s="147"/>
      <c r="AT890" s="147"/>
      <c r="AU890" s="147"/>
      <c r="AV890" s="147"/>
      <c r="AW890" s="147"/>
      <c r="AX890" s="147"/>
      <c r="AY890" s="147"/>
      <c r="AZ890" s="147"/>
      <c r="BA890" s="147"/>
      <c r="BB890" s="147"/>
      <c r="BC890" s="147"/>
      <c r="BD890" s="147"/>
      <c r="BE890" s="147"/>
      <c r="BF890" s="147"/>
      <c r="BG890" s="147"/>
      <c r="BH890" s="147"/>
      <c r="BI890" s="147"/>
      <c r="BJ890" s="147"/>
      <c r="BK890" s="147"/>
      <c r="BL890" s="147"/>
      <c r="BM890" s="147"/>
      <c r="BN890" s="147"/>
      <c r="BO890" s="147"/>
      <c r="BP890" s="147"/>
    </row>
    <row r="891" spans="3:68">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c r="AC891" s="147"/>
      <c r="AD891" s="147"/>
      <c r="AE891" s="147"/>
      <c r="AF891" s="147"/>
      <c r="AG891" s="147"/>
      <c r="AH891" s="147"/>
      <c r="AI891" s="147"/>
      <c r="AJ891" s="147"/>
      <c r="AK891" s="147"/>
      <c r="AL891" s="147"/>
      <c r="AM891" s="147"/>
      <c r="AN891" s="147"/>
      <c r="AO891" s="147"/>
      <c r="AP891" s="147"/>
      <c r="AQ891" s="147"/>
      <c r="AR891" s="147"/>
      <c r="AS891" s="147"/>
      <c r="AT891" s="147"/>
      <c r="AU891" s="147"/>
      <c r="AV891" s="147"/>
      <c r="AW891" s="147"/>
      <c r="AX891" s="147"/>
      <c r="AY891" s="147"/>
      <c r="AZ891" s="147"/>
      <c r="BA891" s="147"/>
      <c r="BB891" s="147"/>
      <c r="BC891" s="147"/>
      <c r="BD891" s="147"/>
      <c r="BE891" s="147"/>
      <c r="BF891" s="147"/>
      <c r="BG891" s="147"/>
      <c r="BH891" s="147"/>
      <c r="BI891" s="147"/>
      <c r="BJ891" s="147"/>
      <c r="BK891" s="147"/>
      <c r="BL891" s="147"/>
      <c r="BM891" s="147"/>
      <c r="BN891" s="147"/>
      <c r="BO891" s="147"/>
      <c r="BP891" s="147"/>
    </row>
    <row r="892" spans="3:68">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c r="AC892" s="147"/>
      <c r="AD892" s="147"/>
      <c r="AE892" s="147"/>
      <c r="AF892" s="147"/>
      <c r="AG892" s="147"/>
      <c r="AH892" s="147"/>
      <c r="AI892" s="147"/>
      <c r="AJ892" s="147"/>
      <c r="AK892" s="147"/>
      <c r="AL892" s="147"/>
      <c r="AM892" s="147"/>
      <c r="AN892" s="147"/>
      <c r="AO892" s="147"/>
      <c r="AP892" s="147"/>
      <c r="AQ892" s="147"/>
      <c r="AR892" s="147"/>
      <c r="AS892" s="147"/>
      <c r="AT892" s="147"/>
      <c r="AU892" s="147"/>
      <c r="AV892" s="147"/>
      <c r="AW892" s="147"/>
      <c r="AX892" s="147"/>
      <c r="AY892" s="147"/>
      <c r="AZ892" s="147"/>
      <c r="BA892" s="147"/>
      <c r="BB892" s="147"/>
      <c r="BC892" s="147"/>
      <c r="BD892" s="147"/>
      <c r="BE892" s="147"/>
      <c r="BF892" s="147"/>
      <c r="BG892" s="147"/>
      <c r="BH892" s="147"/>
      <c r="BI892" s="147"/>
      <c r="BJ892" s="147"/>
      <c r="BK892" s="147"/>
      <c r="BL892" s="147"/>
      <c r="BM892" s="147"/>
      <c r="BN892" s="147"/>
      <c r="BO892" s="147"/>
      <c r="BP892" s="147"/>
    </row>
    <row r="893" spans="3:68">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c r="AC893" s="147"/>
      <c r="AD893" s="147"/>
      <c r="AE893" s="147"/>
      <c r="AF893" s="147"/>
      <c r="AG893" s="147"/>
      <c r="AH893" s="147"/>
      <c r="AI893" s="147"/>
      <c r="AJ893" s="147"/>
      <c r="AK893" s="147"/>
      <c r="AL893" s="147"/>
      <c r="AM893" s="147"/>
      <c r="AN893" s="147"/>
      <c r="AO893" s="147"/>
      <c r="AP893" s="147"/>
      <c r="AQ893" s="147"/>
      <c r="AR893" s="147"/>
      <c r="AS893" s="147"/>
      <c r="AT893" s="147"/>
      <c r="AU893" s="147"/>
      <c r="AV893" s="147"/>
      <c r="AW893" s="147"/>
      <c r="AX893" s="147"/>
      <c r="AY893" s="147"/>
      <c r="AZ893" s="147"/>
      <c r="BA893" s="147"/>
      <c r="BB893" s="147"/>
      <c r="BC893" s="147"/>
      <c r="BD893" s="147"/>
      <c r="BE893" s="147"/>
      <c r="BF893" s="147"/>
      <c r="BG893" s="147"/>
      <c r="BH893" s="147"/>
      <c r="BI893" s="147"/>
      <c r="BJ893" s="147"/>
      <c r="BK893" s="147"/>
      <c r="BL893" s="147"/>
      <c r="BM893" s="147"/>
      <c r="BN893" s="147"/>
      <c r="BO893" s="147"/>
      <c r="BP893" s="147"/>
    </row>
    <row r="894" spans="3:68">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c r="AC894" s="147"/>
      <c r="AD894" s="147"/>
      <c r="AE894" s="147"/>
      <c r="AF894" s="147"/>
      <c r="AG894" s="147"/>
      <c r="AH894" s="147"/>
      <c r="AI894" s="147"/>
      <c r="AJ894" s="147"/>
      <c r="AK894" s="147"/>
      <c r="AL894" s="147"/>
      <c r="AM894" s="147"/>
      <c r="AN894" s="147"/>
      <c r="AO894" s="147"/>
      <c r="AP894" s="147"/>
      <c r="AQ894" s="147"/>
      <c r="AR894" s="147"/>
      <c r="AS894" s="147"/>
      <c r="AT894" s="147"/>
      <c r="AU894" s="147"/>
      <c r="AV894" s="147"/>
      <c r="AW894" s="147"/>
      <c r="AX894" s="147"/>
      <c r="AY894" s="147"/>
      <c r="AZ894" s="147"/>
      <c r="BA894" s="147"/>
      <c r="BB894" s="147"/>
      <c r="BC894" s="147"/>
      <c r="BD894" s="147"/>
      <c r="BE894" s="147"/>
      <c r="BF894" s="147"/>
      <c r="BG894" s="147"/>
      <c r="BH894" s="147"/>
      <c r="BI894" s="147"/>
      <c r="BJ894" s="147"/>
      <c r="BK894" s="147"/>
      <c r="BL894" s="147"/>
      <c r="BM894" s="147"/>
      <c r="BN894" s="147"/>
      <c r="BO894" s="147"/>
      <c r="BP894" s="147"/>
    </row>
    <row r="895" spans="3:68">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c r="AC895" s="147"/>
      <c r="AD895" s="147"/>
      <c r="AE895" s="147"/>
      <c r="AF895" s="147"/>
      <c r="AG895" s="147"/>
      <c r="AH895" s="147"/>
      <c r="AI895" s="147"/>
      <c r="AJ895" s="147"/>
      <c r="AK895" s="147"/>
      <c r="AL895" s="147"/>
      <c r="AM895" s="147"/>
      <c r="AN895" s="147"/>
      <c r="AO895" s="147"/>
      <c r="AP895" s="147"/>
      <c r="AQ895" s="147"/>
      <c r="AR895" s="147"/>
      <c r="AS895" s="147"/>
      <c r="AT895" s="147"/>
      <c r="AU895" s="147"/>
      <c r="AV895" s="147"/>
      <c r="AW895" s="147"/>
      <c r="AX895" s="147"/>
      <c r="AY895" s="147"/>
      <c r="AZ895" s="147"/>
      <c r="BA895" s="147"/>
      <c r="BB895" s="147"/>
      <c r="BC895" s="147"/>
      <c r="BD895" s="147"/>
      <c r="BE895" s="147"/>
      <c r="BF895" s="147"/>
      <c r="BG895" s="147"/>
      <c r="BH895" s="147"/>
      <c r="BI895" s="147"/>
      <c r="BJ895" s="147"/>
      <c r="BK895" s="147"/>
      <c r="BL895" s="147"/>
      <c r="BM895" s="147"/>
      <c r="BN895" s="147"/>
      <c r="BO895" s="147"/>
      <c r="BP895" s="147"/>
    </row>
    <row r="896" spans="3:68">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c r="AC896" s="147"/>
      <c r="AD896" s="147"/>
      <c r="AE896" s="147"/>
      <c r="AF896" s="147"/>
      <c r="AG896" s="147"/>
      <c r="AH896" s="147"/>
      <c r="AI896" s="147"/>
      <c r="AJ896" s="147"/>
      <c r="AK896" s="147"/>
      <c r="AL896" s="147"/>
      <c r="AM896" s="147"/>
      <c r="AN896" s="147"/>
      <c r="AO896" s="147"/>
      <c r="AP896" s="147"/>
      <c r="AQ896" s="147"/>
      <c r="AR896" s="147"/>
      <c r="AS896" s="147"/>
      <c r="AT896" s="147"/>
      <c r="AU896" s="147"/>
      <c r="AV896" s="147"/>
      <c r="AW896" s="147"/>
      <c r="AX896" s="147"/>
      <c r="AY896" s="147"/>
      <c r="AZ896" s="147"/>
      <c r="BA896" s="147"/>
      <c r="BB896" s="147"/>
      <c r="BC896" s="147"/>
      <c r="BD896" s="147"/>
      <c r="BE896" s="147"/>
      <c r="BF896" s="147"/>
      <c r="BG896" s="147"/>
      <c r="BH896" s="147"/>
      <c r="BI896" s="147"/>
      <c r="BJ896" s="147"/>
      <c r="BK896" s="147"/>
      <c r="BL896" s="147"/>
      <c r="BM896" s="147"/>
      <c r="BN896" s="147"/>
      <c r="BO896" s="147"/>
      <c r="BP896" s="147"/>
    </row>
    <row r="897" spans="3:68">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c r="AC897" s="147"/>
      <c r="AD897" s="147"/>
      <c r="AE897" s="147"/>
      <c r="AF897" s="147"/>
      <c r="AG897" s="147"/>
      <c r="AH897" s="147"/>
      <c r="AI897" s="147"/>
      <c r="AJ897" s="147"/>
      <c r="AK897" s="147"/>
      <c r="AL897" s="147"/>
      <c r="AM897" s="147"/>
      <c r="AN897" s="147"/>
      <c r="AO897" s="147"/>
      <c r="AP897" s="147"/>
      <c r="AQ897" s="147"/>
      <c r="AR897" s="147"/>
      <c r="AS897" s="147"/>
      <c r="AT897" s="147"/>
      <c r="AU897" s="147"/>
      <c r="AV897" s="147"/>
      <c r="AW897" s="147"/>
      <c r="AX897" s="147"/>
      <c r="AY897" s="147"/>
      <c r="AZ897" s="147"/>
      <c r="BA897" s="147"/>
      <c r="BB897" s="147"/>
      <c r="BC897" s="147"/>
      <c r="BD897" s="147"/>
      <c r="BE897" s="147"/>
      <c r="BF897" s="147"/>
      <c r="BG897" s="147"/>
      <c r="BH897" s="147"/>
      <c r="BI897" s="147"/>
      <c r="BJ897" s="147"/>
      <c r="BK897" s="147"/>
      <c r="BL897" s="147"/>
      <c r="BM897" s="147"/>
      <c r="BN897" s="147"/>
      <c r="BO897" s="147"/>
      <c r="BP897" s="147"/>
    </row>
    <row r="898" spans="3:68">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c r="AC898" s="147"/>
      <c r="AD898" s="147"/>
      <c r="AE898" s="147"/>
      <c r="AF898" s="147"/>
      <c r="AG898" s="147"/>
      <c r="AH898" s="147"/>
      <c r="AI898" s="147"/>
      <c r="AJ898" s="147"/>
      <c r="AK898" s="147"/>
      <c r="AL898" s="147"/>
      <c r="AM898" s="147"/>
      <c r="AN898" s="147"/>
      <c r="AO898" s="147"/>
      <c r="AP898" s="147"/>
      <c r="AQ898" s="147"/>
      <c r="AR898" s="147"/>
      <c r="AS898" s="147"/>
      <c r="AT898" s="147"/>
      <c r="AU898" s="147"/>
      <c r="AV898" s="147"/>
      <c r="AW898" s="147"/>
      <c r="AX898" s="147"/>
      <c r="AY898" s="147"/>
      <c r="AZ898" s="147"/>
      <c r="BA898" s="147"/>
      <c r="BB898" s="147"/>
      <c r="BC898" s="147"/>
      <c r="BD898" s="147"/>
      <c r="BE898" s="147"/>
      <c r="BF898" s="147"/>
      <c r="BG898" s="147"/>
      <c r="BH898" s="147"/>
      <c r="BI898" s="147"/>
      <c r="BJ898" s="147"/>
      <c r="BK898" s="147"/>
      <c r="BL898" s="147"/>
      <c r="BM898" s="147"/>
      <c r="BN898" s="147"/>
      <c r="BO898" s="147"/>
      <c r="BP898" s="147"/>
    </row>
    <row r="899" spans="3:68">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c r="AC899" s="147"/>
      <c r="AD899" s="147"/>
      <c r="AE899" s="147"/>
      <c r="AF899" s="147"/>
      <c r="AG899" s="147"/>
      <c r="AH899" s="147"/>
      <c r="AI899" s="147"/>
      <c r="AJ899" s="147"/>
      <c r="AK899" s="147"/>
      <c r="AL899" s="147"/>
      <c r="AM899" s="147"/>
      <c r="AN899" s="147"/>
      <c r="AO899" s="147"/>
      <c r="AP899" s="147"/>
      <c r="AQ899" s="147"/>
      <c r="AR899" s="147"/>
      <c r="AS899" s="147"/>
      <c r="AT899" s="147"/>
      <c r="AU899" s="147"/>
      <c r="AV899" s="147"/>
      <c r="AW899" s="147"/>
      <c r="AX899" s="147"/>
      <c r="AY899" s="147"/>
      <c r="AZ899" s="147"/>
      <c r="BA899" s="147"/>
      <c r="BB899" s="147"/>
      <c r="BC899" s="147"/>
      <c r="BD899" s="147"/>
      <c r="BE899" s="147"/>
      <c r="BF899" s="147"/>
      <c r="BG899" s="147"/>
      <c r="BH899" s="147"/>
      <c r="BI899" s="147"/>
      <c r="BJ899" s="147"/>
      <c r="BK899" s="147"/>
      <c r="BL899" s="147"/>
      <c r="BM899" s="147"/>
      <c r="BN899" s="147"/>
      <c r="BO899" s="147"/>
      <c r="BP899" s="147"/>
    </row>
    <row r="900" spans="3:68">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c r="AC900" s="147"/>
      <c r="AD900" s="147"/>
      <c r="AE900" s="147"/>
      <c r="AF900" s="147"/>
      <c r="AG900" s="147"/>
      <c r="AH900" s="147"/>
      <c r="AI900" s="147"/>
      <c r="AJ900" s="147"/>
      <c r="AK900" s="147"/>
      <c r="AL900" s="147"/>
      <c r="AM900" s="147"/>
      <c r="AN900" s="147"/>
      <c r="AO900" s="147"/>
      <c r="AP900" s="147"/>
      <c r="AQ900" s="147"/>
      <c r="AR900" s="147"/>
      <c r="AS900" s="147"/>
      <c r="AT900" s="147"/>
      <c r="AU900" s="147"/>
      <c r="AV900" s="147"/>
      <c r="AW900" s="147"/>
      <c r="AX900" s="147"/>
      <c r="AY900" s="147"/>
      <c r="AZ900" s="147"/>
      <c r="BA900" s="147"/>
      <c r="BB900" s="147"/>
      <c r="BC900" s="147"/>
      <c r="BD900" s="147"/>
      <c r="BE900" s="147"/>
      <c r="BF900" s="147"/>
      <c r="BG900" s="147"/>
      <c r="BH900" s="147"/>
      <c r="BI900" s="147"/>
      <c r="BJ900" s="147"/>
      <c r="BK900" s="147"/>
      <c r="BL900" s="147"/>
      <c r="BM900" s="147"/>
      <c r="BN900" s="147"/>
      <c r="BO900" s="147"/>
      <c r="BP900" s="147"/>
    </row>
    <row r="901" spans="3:68">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c r="AC901" s="147"/>
      <c r="AD901" s="147"/>
      <c r="AE901" s="147"/>
      <c r="AF901" s="147"/>
      <c r="AG901" s="147"/>
      <c r="AH901" s="147"/>
      <c r="AI901" s="147"/>
      <c r="AJ901" s="147"/>
      <c r="AK901" s="147"/>
      <c r="AL901" s="147"/>
      <c r="AM901" s="147"/>
      <c r="AN901" s="147"/>
      <c r="AO901" s="147"/>
      <c r="AP901" s="147"/>
      <c r="AQ901" s="147"/>
      <c r="AR901" s="147"/>
      <c r="AS901" s="147"/>
      <c r="AT901" s="147"/>
      <c r="AU901" s="147"/>
      <c r="AV901" s="147"/>
      <c r="AW901" s="147"/>
      <c r="AX901" s="147"/>
      <c r="AY901" s="147"/>
      <c r="AZ901" s="147"/>
      <c r="BA901" s="147"/>
      <c r="BB901" s="147"/>
      <c r="BC901" s="147"/>
      <c r="BD901" s="147"/>
      <c r="BE901" s="147"/>
      <c r="BF901" s="147"/>
      <c r="BG901" s="147"/>
      <c r="BH901" s="147"/>
      <c r="BI901" s="147"/>
      <c r="BJ901" s="147"/>
      <c r="BK901" s="147"/>
      <c r="BL901" s="147"/>
      <c r="BM901" s="147"/>
      <c r="BN901" s="147"/>
      <c r="BO901" s="147"/>
      <c r="BP901" s="147"/>
    </row>
    <row r="902" spans="3:68">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c r="AC902" s="147"/>
      <c r="AD902" s="147"/>
      <c r="AE902" s="147"/>
      <c r="AF902" s="147"/>
      <c r="AG902" s="147"/>
      <c r="AH902" s="147"/>
      <c r="AI902" s="147"/>
      <c r="AJ902" s="147"/>
      <c r="AK902" s="147"/>
      <c r="AL902" s="147"/>
      <c r="AM902" s="147"/>
      <c r="AN902" s="147"/>
      <c r="AO902" s="147"/>
      <c r="AP902" s="147"/>
      <c r="AQ902" s="147"/>
      <c r="AR902" s="147"/>
      <c r="AS902" s="147"/>
      <c r="AT902" s="147"/>
      <c r="AU902" s="147"/>
      <c r="AV902" s="147"/>
      <c r="AW902" s="147"/>
      <c r="AX902" s="147"/>
      <c r="AY902" s="147"/>
      <c r="AZ902" s="147"/>
      <c r="BA902" s="147"/>
      <c r="BB902" s="147"/>
      <c r="BC902" s="147"/>
      <c r="BD902" s="147"/>
      <c r="BE902" s="147"/>
      <c r="BF902" s="147"/>
      <c r="BG902" s="147"/>
      <c r="BH902" s="147"/>
      <c r="BI902" s="147"/>
      <c r="BJ902" s="147"/>
      <c r="BK902" s="147"/>
      <c r="BL902" s="147"/>
      <c r="BM902" s="147"/>
      <c r="BN902" s="147"/>
      <c r="BO902" s="147"/>
      <c r="BP902" s="147"/>
    </row>
    <row r="903" spans="3:68">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c r="AC903" s="147"/>
      <c r="AD903" s="147"/>
      <c r="AE903" s="147"/>
      <c r="AF903" s="147"/>
      <c r="AG903" s="147"/>
      <c r="AH903" s="147"/>
      <c r="AI903" s="147"/>
      <c r="AJ903" s="147"/>
      <c r="AK903" s="147"/>
      <c r="AL903" s="147"/>
      <c r="AM903" s="147"/>
      <c r="AN903" s="147"/>
      <c r="AO903" s="147"/>
      <c r="AP903" s="147"/>
      <c r="AQ903" s="147"/>
      <c r="AR903" s="147"/>
      <c r="AS903" s="147"/>
      <c r="AT903" s="147"/>
      <c r="AU903" s="147"/>
      <c r="AV903" s="147"/>
      <c r="AW903" s="147"/>
      <c r="AX903" s="147"/>
      <c r="AY903" s="147"/>
      <c r="AZ903" s="147"/>
      <c r="BA903" s="147"/>
      <c r="BB903" s="147"/>
      <c r="BC903" s="147"/>
      <c r="BD903" s="147"/>
      <c r="BE903" s="147"/>
      <c r="BF903" s="147"/>
      <c r="BG903" s="147"/>
      <c r="BH903" s="147"/>
      <c r="BI903" s="147"/>
      <c r="BJ903" s="147"/>
      <c r="BK903" s="147"/>
      <c r="BL903" s="147"/>
      <c r="BM903" s="147"/>
      <c r="BN903" s="147"/>
      <c r="BO903" s="147"/>
      <c r="BP903" s="147"/>
    </row>
    <row r="904" spans="3:68">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c r="AC904" s="147"/>
      <c r="AD904" s="147"/>
      <c r="AE904" s="147"/>
      <c r="AF904" s="147"/>
      <c r="AG904" s="147"/>
      <c r="AH904" s="147"/>
      <c r="AI904" s="147"/>
      <c r="AJ904" s="147"/>
      <c r="AK904" s="147"/>
      <c r="AL904" s="147"/>
      <c r="AM904" s="147"/>
      <c r="AN904" s="147"/>
      <c r="AO904" s="147"/>
      <c r="AP904" s="147"/>
      <c r="AQ904" s="147"/>
      <c r="AR904" s="147"/>
      <c r="AS904" s="147"/>
      <c r="AT904" s="147"/>
      <c r="AU904" s="147"/>
      <c r="AV904" s="147"/>
      <c r="AW904" s="147"/>
      <c r="AX904" s="147"/>
      <c r="AY904" s="147"/>
      <c r="AZ904" s="147"/>
      <c r="BA904" s="147"/>
      <c r="BB904" s="147"/>
      <c r="BC904" s="147"/>
      <c r="BD904" s="147"/>
      <c r="BE904" s="147"/>
      <c r="BF904" s="147"/>
      <c r="BG904" s="147"/>
      <c r="BH904" s="147"/>
      <c r="BI904" s="147"/>
      <c r="BJ904" s="147"/>
      <c r="BK904" s="147"/>
      <c r="BL904" s="147"/>
      <c r="BM904" s="147"/>
      <c r="BN904" s="147"/>
      <c r="BO904" s="147"/>
      <c r="BP904" s="147"/>
    </row>
    <row r="905" spans="3:68">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c r="AC905" s="147"/>
      <c r="AD905" s="147"/>
      <c r="AE905" s="147"/>
      <c r="AF905" s="147"/>
      <c r="AG905" s="147"/>
      <c r="AH905" s="147"/>
      <c r="AI905" s="147"/>
      <c r="AJ905" s="147"/>
      <c r="AK905" s="147"/>
      <c r="AL905" s="147"/>
      <c r="AM905" s="147"/>
      <c r="AN905" s="147"/>
      <c r="AO905" s="147"/>
      <c r="AP905" s="147"/>
      <c r="AQ905" s="147"/>
      <c r="AR905" s="147"/>
      <c r="AS905" s="147"/>
      <c r="AT905" s="147"/>
      <c r="AU905" s="147"/>
      <c r="AV905" s="147"/>
      <c r="AW905" s="147"/>
      <c r="AX905" s="147"/>
      <c r="AY905" s="147"/>
      <c r="AZ905" s="147"/>
      <c r="BA905" s="147"/>
      <c r="BB905" s="147"/>
      <c r="BC905" s="147"/>
      <c r="BD905" s="147"/>
      <c r="BE905" s="147"/>
      <c r="BF905" s="147"/>
      <c r="BG905" s="147"/>
      <c r="BH905" s="147"/>
      <c r="BI905" s="147"/>
      <c r="BJ905" s="147"/>
      <c r="BK905" s="147"/>
      <c r="BL905" s="147"/>
      <c r="BM905" s="147"/>
      <c r="BN905" s="147"/>
      <c r="BO905" s="147"/>
      <c r="BP905" s="147"/>
    </row>
    <row r="906" spans="3:68">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c r="AC906" s="147"/>
      <c r="AD906" s="147"/>
      <c r="AE906" s="147"/>
      <c r="AF906" s="147"/>
      <c r="AG906" s="147"/>
      <c r="AH906" s="147"/>
      <c r="AI906" s="147"/>
      <c r="AJ906" s="147"/>
      <c r="AK906" s="147"/>
      <c r="AL906" s="147"/>
      <c r="AM906" s="147"/>
      <c r="AN906" s="147"/>
      <c r="AO906" s="147"/>
      <c r="AP906" s="147"/>
      <c r="AQ906" s="147"/>
      <c r="AR906" s="147"/>
      <c r="AS906" s="147"/>
      <c r="AT906" s="147"/>
      <c r="AU906" s="147"/>
      <c r="AV906" s="147"/>
      <c r="AW906" s="147"/>
      <c r="AX906" s="147"/>
      <c r="AY906" s="147"/>
      <c r="AZ906" s="147"/>
      <c r="BA906" s="147"/>
      <c r="BB906" s="147"/>
      <c r="BC906" s="147"/>
      <c r="BD906" s="147"/>
      <c r="BE906" s="147"/>
      <c r="BF906" s="147"/>
      <c r="BG906" s="147"/>
      <c r="BH906" s="147"/>
      <c r="BI906" s="147"/>
      <c r="BJ906" s="147"/>
      <c r="BK906" s="147"/>
      <c r="BL906" s="147"/>
      <c r="BM906" s="147"/>
      <c r="BN906" s="147"/>
      <c r="BO906" s="147"/>
      <c r="BP906" s="147"/>
    </row>
    <row r="907" spans="3:68">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c r="AC907" s="147"/>
      <c r="AD907" s="147"/>
      <c r="AE907" s="147"/>
      <c r="AF907" s="147"/>
      <c r="AG907" s="147"/>
      <c r="AH907" s="147"/>
      <c r="AI907" s="147"/>
      <c r="AJ907" s="147"/>
      <c r="AK907" s="147"/>
      <c r="AL907" s="147"/>
      <c r="AM907" s="147"/>
      <c r="AN907" s="147"/>
      <c r="AO907" s="147"/>
      <c r="AP907" s="147"/>
      <c r="AQ907" s="147"/>
      <c r="AR907" s="147"/>
      <c r="AS907" s="147"/>
      <c r="AT907" s="147"/>
      <c r="AU907" s="147"/>
      <c r="AV907" s="147"/>
      <c r="AW907" s="147"/>
      <c r="AX907" s="147"/>
      <c r="AY907" s="147"/>
      <c r="AZ907" s="147"/>
      <c r="BA907" s="147"/>
      <c r="BB907" s="147"/>
      <c r="BC907" s="147"/>
      <c r="BD907" s="147"/>
      <c r="BE907" s="147"/>
      <c r="BF907" s="147"/>
      <c r="BG907" s="147"/>
      <c r="BH907" s="147"/>
      <c r="BI907" s="147"/>
      <c r="BJ907" s="147"/>
      <c r="BK907" s="147"/>
      <c r="BL907" s="147"/>
      <c r="BM907" s="147"/>
      <c r="BN907" s="147"/>
      <c r="BO907" s="147"/>
      <c r="BP907" s="147"/>
    </row>
    <row r="908" spans="3:68">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c r="AC908" s="147"/>
      <c r="AD908" s="147"/>
      <c r="AE908" s="147"/>
      <c r="AF908" s="147"/>
      <c r="AG908" s="147"/>
      <c r="AH908" s="147"/>
      <c r="AI908" s="147"/>
      <c r="AJ908" s="147"/>
      <c r="AK908" s="147"/>
      <c r="AL908" s="147"/>
      <c r="AM908" s="147"/>
      <c r="AN908" s="147"/>
      <c r="AO908" s="147"/>
      <c r="AP908" s="147"/>
      <c r="AQ908" s="147"/>
      <c r="AR908" s="147"/>
      <c r="AS908" s="147"/>
      <c r="AT908" s="147"/>
      <c r="AU908" s="147"/>
      <c r="AV908" s="147"/>
      <c r="AW908" s="147"/>
      <c r="AX908" s="147"/>
      <c r="AY908" s="147"/>
      <c r="AZ908" s="147"/>
      <c r="BA908" s="147"/>
      <c r="BB908" s="147"/>
      <c r="BC908" s="147"/>
      <c r="BD908" s="147"/>
      <c r="BE908" s="147"/>
      <c r="BF908" s="147"/>
      <c r="BG908" s="147"/>
      <c r="BH908" s="147"/>
      <c r="BI908" s="147"/>
      <c r="BJ908" s="147"/>
      <c r="BK908" s="147"/>
      <c r="BL908" s="147"/>
      <c r="BM908" s="147"/>
      <c r="BN908" s="147"/>
      <c r="BO908" s="147"/>
      <c r="BP908" s="147"/>
    </row>
    <row r="909" spans="3:68">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c r="AC909" s="147"/>
      <c r="AD909" s="147"/>
      <c r="AE909" s="147"/>
      <c r="AF909" s="147"/>
      <c r="AG909" s="147"/>
      <c r="AH909" s="147"/>
      <c r="AI909" s="147"/>
      <c r="AJ909" s="147"/>
      <c r="AK909" s="147"/>
      <c r="AL909" s="147"/>
      <c r="AM909" s="147"/>
      <c r="AN909" s="147"/>
      <c r="AO909" s="147"/>
      <c r="AP909" s="147"/>
      <c r="AQ909" s="147"/>
      <c r="AR909" s="147"/>
      <c r="AS909" s="147"/>
      <c r="AT909" s="147"/>
      <c r="AU909" s="147"/>
      <c r="AV909" s="147"/>
      <c r="AW909" s="147"/>
      <c r="AX909" s="147"/>
      <c r="AY909" s="147"/>
      <c r="AZ909" s="147"/>
      <c r="BA909" s="147"/>
      <c r="BB909" s="147"/>
      <c r="BC909" s="147"/>
      <c r="BD909" s="147"/>
      <c r="BE909" s="147"/>
      <c r="BF909" s="147"/>
      <c r="BG909" s="147"/>
      <c r="BH909" s="147"/>
      <c r="BI909" s="147"/>
      <c r="BJ909" s="147"/>
      <c r="BK909" s="147"/>
      <c r="BL909" s="147"/>
      <c r="BM909" s="147"/>
      <c r="BN909" s="147"/>
      <c r="BO909" s="147"/>
      <c r="BP909" s="147"/>
    </row>
    <row r="910" spans="3:68">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c r="AC910" s="147"/>
      <c r="AD910" s="147"/>
      <c r="AE910" s="147"/>
      <c r="AF910" s="147"/>
      <c r="AG910" s="147"/>
      <c r="AH910" s="147"/>
      <c r="AI910" s="147"/>
      <c r="AJ910" s="147"/>
      <c r="AK910" s="147"/>
      <c r="AL910" s="147"/>
      <c r="AM910" s="147"/>
      <c r="AN910" s="147"/>
      <c r="AO910" s="147"/>
      <c r="AP910" s="147"/>
      <c r="AQ910" s="147"/>
      <c r="AR910" s="147"/>
      <c r="AS910" s="147"/>
      <c r="AT910" s="147"/>
      <c r="AU910" s="147"/>
      <c r="AV910" s="147"/>
      <c r="AW910" s="147"/>
      <c r="AX910" s="147"/>
      <c r="AY910" s="147"/>
      <c r="AZ910" s="147"/>
      <c r="BA910" s="147"/>
      <c r="BB910" s="147"/>
      <c r="BC910" s="147"/>
      <c r="BD910" s="147"/>
      <c r="BE910" s="147"/>
      <c r="BF910" s="147"/>
      <c r="BG910" s="147"/>
      <c r="BH910" s="147"/>
      <c r="BI910" s="147"/>
      <c r="BJ910" s="147"/>
      <c r="BK910" s="147"/>
      <c r="BL910" s="147"/>
      <c r="BM910" s="147"/>
      <c r="BN910" s="147"/>
      <c r="BO910" s="147"/>
      <c r="BP910" s="147"/>
    </row>
    <row r="911" spans="3:68">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c r="AC911" s="147"/>
      <c r="AD911" s="147"/>
      <c r="AE911" s="147"/>
      <c r="AF911" s="147"/>
      <c r="AG911" s="147"/>
      <c r="AH911" s="147"/>
      <c r="AI911" s="147"/>
      <c r="AJ911" s="147"/>
      <c r="AK911" s="147"/>
      <c r="AL911" s="147"/>
      <c r="AM911" s="147"/>
      <c r="AN911" s="147"/>
      <c r="AO911" s="147"/>
      <c r="AP911" s="147"/>
      <c r="AQ911" s="147"/>
      <c r="AR911" s="147"/>
      <c r="AS911" s="147"/>
      <c r="AT911" s="147"/>
      <c r="AU911" s="147"/>
      <c r="AV911" s="147"/>
      <c r="AW911" s="147"/>
      <c r="AX911" s="147"/>
      <c r="AY911" s="147"/>
      <c r="AZ911" s="147"/>
      <c r="BA911" s="147"/>
      <c r="BB911" s="147"/>
      <c r="BC911" s="147"/>
      <c r="BD911" s="147"/>
      <c r="BE911" s="147"/>
      <c r="BF911" s="147"/>
      <c r="BG911" s="147"/>
      <c r="BH911" s="147"/>
      <c r="BI911" s="147"/>
      <c r="BJ911" s="147"/>
      <c r="BK911" s="147"/>
      <c r="BL911" s="147"/>
      <c r="BM911" s="147"/>
      <c r="BN911" s="147"/>
      <c r="BO911" s="147"/>
      <c r="BP911" s="147"/>
    </row>
    <row r="912" spans="3:68">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c r="AC912" s="147"/>
      <c r="AD912" s="147"/>
      <c r="AE912" s="147"/>
      <c r="AF912" s="147"/>
      <c r="AG912" s="147"/>
      <c r="AH912" s="147"/>
      <c r="AI912" s="147"/>
      <c r="AJ912" s="147"/>
      <c r="AK912" s="147"/>
      <c r="AL912" s="147"/>
      <c r="AM912" s="147"/>
      <c r="AN912" s="147"/>
      <c r="AO912" s="147"/>
      <c r="AP912" s="147"/>
      <c r="AQ912" s="147"/>
      <c r="AR912" s="147"/>
      <c r="AS912" s="147"/>
      <c r="AT912" s="147"/>
      <c r="AU912" s="147"/>
      <c r="AV912" s="147"/>
      <c r="AW912" s="147"/>
      <c r="AX912" s="147"/>
      <c r="AY912" s="147"/>
      <c r="AZ912" s="147"/>
      <c r="BA912" s="147"/>
      <c r="BB912" s="147"/>
      <c r="BC912" s="147"/>
      <c r="BD912" s="147"/>
      <c r="BE912" s="147"/>
      <c r="BF912" s="147"/>
      <c r="BG912" s="147"/>
      <c r="BH912" s="147"/>
      <c r="BI912" s="147"/>
      <c r="BJ912" s="147"/>
      <c r="BK912" s="147"/>
      <c r="BL912" s="147"/>
      <c r="BM912" s="147"/>
      <c r="BN912" s="147"/>
      <c r="BO912" s="147"/>
      <c r="BP912" s="147"/>
    </row>
    <row r="913" spans="3:68">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c r="AC913" s="147"/>
      <c r="AD913" s="147"/>
      <c r="AE913" s="147"/>
      <c r="AF913" s="147"/>
      <c r="AG913" s="147"/>
      <c r="AH913" s="147"/>
      <c r="AI913" s="147"/>
      <c r="AJ913" s="147"/>
      <c r="AK913" s="147"/>
      <c r="AL913" s="147"/>
      <c r="AM913" s="147"/>
      <c r="AN913" s="147"/>
      <c r="AO913" s="147"/>
      <c r="AP913" s="147"/>
      <c r="AQ913" s="147"/>
      <c r="AR913" s="147"/>
      <c r="AS913" s="147"/>
      <c r="AT913" s="147"/>
      <c r="AU913" s="147"/>
      <c r="AV913" s="147"/>
      <c r="AW913" s="147"/>
      <c r="AX913" s="147"/>
      <c r="AY913" s="147"/>
      <c r="AZ913" s="147"/>
      <c r="BA913" s="147"/>
      <c r="BB913" s="147"/>
      <c r="BC913" s="147"/>
      <c r="BD913" s="147"/>
      <c r="BE913" s="147"/>
      <c r="BF913" s="147"/>
      <c r="BG913" s="147"/>
      <c r="BH913" s="147"/>
      <c r="BI913" s="147"/>
      <c r="BJ913" s="147"/>
      <c r="BK913" s="147"/>
      <c r="BL913" s="147"/>
      <c r="BM913" s="147"/>
      <c r="BN913" s="147"/>
      <c r="BO913" s="147"/>
      <c r="BP913" s="147"/>
    </row>
    <row r="914" spans="3:68">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c r="AC914" s="147"/>
      <c r="AD914" s="147"/>
      <c r="AE914" s="147"/>
      <c r="AF914" s="147"/>
      <c r="AG914" s="147"/>
      <c r="AH914" s="147"/>
      <c r="AI914" s="147"/>
      <c r="AJ914" s="147"/>
      <c r="AK914" s="147"/>
      <c r="AL914" s="147"/>
      <c r="AM914" s="147"/>
      <c r="AN914" s="147"/>
      <c r="AO914" s="147"/>
      <c r="AP914" s="147"/>
      <c r="AQ914" s="147"/>
      <c r="AR914" s="147"/>
      <c r="AS914" s="147"/>
      <c r="AT914" s="147"/>
      <c r="AU914" s="147"/>
      <c r="AV914" s="147"/>
      <c r="AW914" s="147"/>
      <c r="AX914" s="147"/>
      <c r="AY914" s="147"/>
      <c r="AZ914" s="147"/>
      <c r="BA914" s="147"/>
      <c r="BB914" s="147"/>
      <c r="BC914" s="147"/>
      <c r="BD914" s="147"/>
      <c r="BE914" s="147"/>
      <c r="BF914" s="147"/>
      <c r="BG914" s="147"/>
      <c r="BH914" s="147"/>
      <c r="BI914" s="147"/>
      <c r="BJ914" s="147"/>
      <c r="BK914" s="147"/>
      <c r="BL914" s="147"/>
      <c r="BM914" s="147"/>
      <c r="BN914" s="147"/>
      <c r="BO914" s="147"/>
      <c r="BP914" s="147"/>
    </row>
    <row r="915" spans="3:68">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c r="AC915" s="147"/>
      <c r="AD915" s="147"/>
      <c r="AE915" s="147"/>
      <c r="AF915" s="147"/>
      <c r="AG915" s="147"/>
      <c r="AH915" s="147"/>
      <c r="AI915" s="147"/>
      <c r="AJ915" s="147"/>
      <c r="AK915" s="147"/>
      <c r="AL915" s="147"/>
      <c r="AM915" s="147"/>
      <c r="AN915" s="147"/>
      <c r="AO915" s="147"/>
      <c r="AP915" s="147"/>
      <c r="AQ915" s="147"/>
      <c r="AR915" s="147"/>
      <c r="AS915" s="147"/>
      <c r="AT915" s="147"/>
      <c r="AU915" s="147"/>
      <c r="AV915" s="147"/>
      <c r="AW915" s="147"/>
      <c r="AX915" s="147"/>
      <c r="AY915" s="147"/>
      <c r="AZ915" s="147"/>
      <c r="BA915" s="147"/>
      <c r="BB915" s="147"/>
      <c r="BC915" s="147"/>
      <c r="BD915" s="147"/>
      <c r="BE915" s="147"/>
      <c r="BF915" s="147"/>
      <c r="BG915" s="147"/>
      <c r="BH915" s="147"/>
      <c r="BI915" s="147"/>
      <c r="BJ915" s="147"/>
      <c r="BK915" s="147"/>
      <c r="BL915" s="147"/>
      <c r="BM915" s="147"/>
      <c r="BN915" s="147"/>
      <c r="BO915" s="147"/>
      <c r="BP915" s="147"/>
    </row>
    <row r="916" spans="3:68">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c r="AC916" s="147"/>
      <c r="AD916" s="147"/>
      <c r="AE916" s="147"/>
      <c r="AF916" s="147"/>
      <c r="AG916" s="147"/>
      <c r="AH916" s="147"/>
      <c r="AI916" s="147"/>
      <c r="AJ916" s="147"/>
      <c r="AK916" s="147"/>
      <c r="AL916" s="147"/>
      <c r="AM916" s="147"/>
      <c r="AN916" s="147"/>
      <c r="AO916" s="147"/>
      <c r="AP916" s="147"/>
      <c r="AQ916" s="147"/>
      <c r="AR916" s="147"/>
      <c r="AS916" s="147"/>
      <c r="AT916" s="147"/>
      <c r="AU916" s="147"/>
      <c r="AV916" s="147"/>
      <c r="AW916" s="147"/>
      <c r="AX916" s="147"/>
      <c r="AY916" s="147"/>
      <c r="AZ916" s="147"/>
      <c r="BA916" s="147"/>
      <c r="BB916" s="147"/>
      <c r="BC916" s="147"/>
      <c r="BD916" s="147"/>
      <c r="BE916" s="147"/>
      <c r="BF916" s="147"/>
      <c r="BG916" s="147"/>
      <c r="BH916" s="147"/>
      <c r="BI916" s="147"/>
      <c r="BJ916" s="147"/>
      <c r="BK916" s="147"/>
      <c r="BL916" s="147"/>
      <c r="BM916" s="147"/>
      <c r="BN916" s="147"/>
      <c r="BO916" s="147"/>
      <c r="BP916" s="147"/>
    </row>
    <row r="917" spans="3:68">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c r="AC917" s="147"/>
      <c r="AD917" s="147"/>
      <c r="AE917" s="147"/>
      <c r="AF917" s="147"/>
      <c r="AG917" s="147"/>
      <c r="AH917" s="147"/>
      <c r="AI917" s="147"/>
      <c r="AJ917" s="147"/>
      <c r="AK917" s="147"/>
      <c r="AL917" s="147"/>
      <c r="AM917" s="147"/>
      <c r="AN917" s="147"/>
      <c r="AO917" s="147"/>
      <c r="AP917" s="147"/>
      <c r="AQ917" s="147"/>
      <c r="AR917" s="147"/>
      <c r="AS917" s="147"/>
      <c r="AT917" s="147"/>
      <c r="AU917" s="147"/>
      <c r="AV917" s="147"/>
      <c r="AW917" s="147"/>
      <c r="AX917" s="147"/>
      <c r="AY917" s="147"/>
      <c r="AZ917" s="147"/>
      <c r="BA917" s="147"/>
      <c r="BB917" s="147"/>
      <c r="BC917" s="147"/>
      <c r="BD917" s="147"/>
      <c r="BE917" s="147"/>
      <c r="BF917" s="147"/>
      <c r="BG917" s="147"/>
      <c r="BH917" s="147"/>
      <c r="BI917" s="147"/>
      <c r="BJ917" s="147"/>
      <c r="BK917" s="147"/>
      <c r="BL917" s="147"/>
      <c r="BM917" s="147"/>
      <c r="BN917" s="147"/>
      <c r="BO917" s="147"/>
      <c r="BP917" s="147"/>
    </row>
    <row r="918" spans="3:68">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c r="AC918" s="147"/>
      <c r="AD918" s="147"/>
      <c r="AE918" s="147"/>
      <c r="AF918" s="147"/>
      <c r="AG918" s="147"/>
      <c r="AH918" s="147"/>
      <c r="AI918" s="147"/>
      <c r="AJ918" s="147"/>
      <c r="AK918" s="147"/>
      <c r="AL918" s="147"/>
      <c r="AM918" s="147"/>
      <c r="AN918" s="147"/>
      <c r="AO918" s="147"/>
      <c r="AP918" s="147"/>
      <c r="AQ918" s="147"/>
      <c r="AR918" s="147"/>
      <c r="AS918" s="147"/>
      <c r="AT918" s="147"/>
      <c r="AU918" s="147"/>
      <c r="AV918" s="147"/>
      <c r="AW918" s="147"/>
      <c r="AX918" s="147"/>
      <c r="AY918" s="147"/>
      <c r="AZ918" s="147"/>
      <c r="BA918" s="147"/>
      <c r="BB918" s="147"/>
      <c r="BC918" s="147"/>
      <c r="BD918" s="147"/>
      <c r="BE918" s="147"/>
      <c r="BF918" s="147"/>
      <c r="BG918" s="147"/>
      <c r="BH918" s="147"/>
      <c r="BI918" s="147"/>
      <c r="BJ918" s="147"/>
      <c r="BK918" s="147"/>
      <c r="BL918" s="147"/>
      <c r="BM918" s="147"/>
      <c r="BN918" s="147"/>
      <c r="BO918" s="147"/>
      <c r="BP918" s="147"/>
    </row>
    <row r="919" spans="3:68">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c r="AC919" s="147"/>
      <c r="AD919" s="147"/>
      <c r="AE919" s="147"/>
      <c r="AF919" s="147"/>
      <c r="AG919" s="147"/>
      <c r="AH919" s="147"/>
      <c r="AI919" s="147"/>
      <c r="AJ919" s="147"/>
      <c r="AK919" s="147"/>
      <c r="AL919" s="147"/>
      <c r="AM919" s="147"/>
      <c r="AN919" s="147"/>
      <c r="AO919" s="147"/>
      <c r="AP919" s="147"/>
      <c r="AQ919" s="147"/>
      <c r="AR919" s="147"/>
      <c r="AS919" s="147"/>
      <c r="AT919" s="147"/>
      <c r="AU919" s="147"/>
      <c r="AV919" s="147"/>
      <c r="AW919" s="147"/>
      <c r="AX919" s="147"/>
      <c r="AY919" s="147"/>
      <c r="AZ919" s="147"/>
      <c r="BA919" s="147"/>
      <c r="BB919" s="147"/>
      <c r="BC919" s="147"/>
      <c r="BD919" s="147"/>
      <c r="BE919" s="147"/>
      <c r="BF919" s="147"/>
      <c r="BG919" s="147"/>
      <c r="BH919" s="147"/>
      <c r="BI919" s="147"/>
      <c r="BJ919" s="147"/>
      <c r="BK919" s="147"/>
      <c r="BL919" s="147"/>
      <c r="BM919" s="147"/>
      <c r="BN919" s="147"/>
      <c r="BO919" s="147"/>
      <c r="BP919" s="147"/>
    </row>
    <row r="920" spans="3:68">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c r="AC920" s="147"/>
      <c r="AD920" s="147"/>
      <c r="AE920" s="147"/>
      <c r="AF920" s="147"/>
      <c r="AG920" s="147"/>
      <c r="AH920" s="147"/>
      <c r="AI920" s="147"/>
      <c r="AJ920" s="147"/>
      <c r="AK920" s="147"/>
      <c r="AL920" s="147"/>
      <c r="AM920" s="147"/>
      <c r="AN920" s="147"/>
      <c r="AO920" s="147"/>
      <c r="AP920" s="147"/>
      <c r="AQ920" s="147"/>
      <c r="AR920" s="147"/>
      <c r="AS920" s="147"/>
      <c r="AT920" s="147"/>
      <c r="AU920" s="147"/>
      <c r="AV920" s="147"/>
      <c r="AW920" s="147"/>
      <c r="AX920" s="147"/>
      <c r="AY920" s="147"/>
      <c r="AZ920" s="147"/>
      <c r="BA920" s="147"/>
      <c r="BB920" s="147"/>
      <c r="BC920" s="147"/>
      <c r="BD920" s="147"/>
      <c r="BE920" s="147"/>
      <c r="BF920" s="147"/>
      <c r="BG920" s="147"/>
      <c r="BH920" s="147"/>
      <c r="BI920" s="147"/>
      <c r="BJ920" s="147"/>
      <c r="BK920" s="147"/>
      <c r="BL920" s="147"/>
      <c r="BM920" s="147"/>
      <c r="BN920" s="147"/>
      <c r="BO920" s="147"/>
      <c r="BP920" s="147"/>
    </row>
    <row r="921" spans="3:68">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c r="AC921" s="147"/>
      <c r="AD921" s="147"/>
      <c r="AE921" s="147"/>
      <c r="AF921" s="147"/>
      <c r="AG921" s="147"/>
      <c r="AH921" s="147"/>
      <c r="AI921" s="147"/>
      <c r="AJ921" s="147"/>
      <c r="AK921" s="147"/>
      <c r="AL921" s="147"/>
      <c r="AM921" s="147"/>
      <c r="AN921" s="147"/>
      <c r="AO921" s="147"/>
      <c r="AP921" s="147"/>
      <c r="AQ921" s="147"/>
      <c r="AR921" s="147"/>
      <c r="AS921" s="147"/>
      <c r="AT921" s="147"/>
      <c r="AU921" s="147"/>
      <c r="AV921" s="147"/>
      <c r="AW921" s="147"/>
      <c r="AX921" s="147"/>
      <c r="AY921" s="147"/>
      <c r="AZ921" s="147"/>
      <c r="BA921" s="147"/>
      <c r="BB921" s="147"/>
      <c r="BC921" s="147"/>
      <c r="BD921" s="147"/>
      <c r="BE921" s="147"/>
      <c r="BF921" s="147"/>
      <c r="BG921" s="147"/>
      <c r="BH921" s="147"/>
      <c r="BI921" s="147"/>
      <c r="BJ921" s="147"/>
      <c r="BK921" s="147"/>
      <c r="BL921" s="147"/>
      <c r="BM921" s="147"/>
      <c r="BN921" s="147"/>
      <c r="BO921" s="147"/>
      <c r="BP921" s="147"/>
    </row>
    <row r="922" spans="3:68">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c r="AC922" s="147"/>
      <c r="AD922" s="147"/>
      <c r="AE922" s="147"/>
      <c r="AF922" s="147"/>
      <c r="AG922" s="147"/>
      <c r="AH922" s="147"/>
      <c r="AI922" s="147"/>
      <c r="AJ922" s="147"/>
      <c r="AK922" s="147"/>
      <c r="AL922" s="147"/>
      <c r="AM922" s="147"/>
      <c r="AN922" s="147"/>
      <c r="AO922" s="147"/>
      <c r="AP922" s="147"/>
      <c r="AQ922" s="147"/>
      <c r="AR922" s="147"/>
      <c r="AS922" s="147"/>
      <c r="AT922" s="147"/>
      <c r="AU922" s="147"/>
      <c r="AV922" s="147"/>
      <c r="AW922" s="147"/>
      <c r="AX922" s="147"/>
      <c r="AY922" s="147"/>
      <c r="AZ922" s="147"/>
      <c r="BA922" s="147"/>
      <c r="BB922" s="147"/>
      <c r="BC922" s="147"/>
      <c r="BD922" s="147"/>
      <c r="BE922" s="147"/>
      <c r="BF922" s="147"/>
      <c r="BG922" s="147"/>
      <c r="BH922" s="147"/>
      <c r="BI922" s="147"/>
      <c r="BJ922" s="147"/>
      <c r="BK922" s="147"/>
      <c r="BL922" s="147"/>
      <c r="BM922" s="147"/>
      <c r="BN922" s="147"/>
      <c r="BO922" s="147"/>
      <c r="BP922" s="147"/>
    </row>
    <row r="923" spans="3:68">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c r="AC923" s="147"/>
      <c r="AD923" s="147"/>
      <c r="AE923" s="147"/>
      <c r="AF923" s="147"/>
      <c r="AG923" s="147"/>
      <c r="AH923" s="147"/>
      <c r="AI923" s="147"/>
      <c r="AJ923" s="147"/>
      <c r="AK923" s="147"/>
      <c r="AL923" s="147"/>
      <c r="AM923" s="147"/>
      <c r="AN923" s="147"/>
      <c r="AO923" s="147"/>
      <c r="AP923" s="147"/>
      <c r="AQ923" s="147"/>
      <c r="AR923" s="147"/>
      <c r="AS923" s="147"/>
      <c r="AT923" s="147"/>
      <c r="AU923" s="147"/>
      <c r="AV923" s="147"/>
      <c r="AW923" s="147"/>
      <c r="AX923" s="147"/>
      <c r="AY923" s="147"/>
      <c r="AZ923" s="147"/>
      <c r="BA923" s="147"/>
      <c r="BB923" s="147"/>
      <c r="BC923" s="147"/>
      <c r="BD923" s="147"/>
      <c r="BE923" s="147"/>
      <c r="BF923" s="147"/>
      <c r="BG923" s="147"/>
      <c r="BH923" s="147"/>
      <c r="BI923" s="147"/>
      <c r="BJ923" s="147"/>
      <c r="BK923" s="147"/>
      <c r="BL923" s="147"/>
      <c r="BM923" s="147"/>
      <c r="BN923" s="147"/>
      <c r="BO923" s="147"/>
      <c r="BP923" s="147"/>
    </row>
    <row r="924" spans="3:68">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c r="AC924" s="147"/>
      <c r="AD924" s="147"/>
      <c r="AE924" s="147"/>
      <c r="AF924" s="147"/>
      <c r="AG924" s="147"/>
      <c r="AH924" s="147"/>
      <c r="AI924" s="147"/>
      <c r="AJ924" s="147"/>
      <c r="AK924" s="147"/>
      <c r="AL924" s="147"/>
      <c r="AM924" s="147"/>
      <c r="AN924" s="147"/>
      <c r="AO924" s="147"/>
      <c r="AP924" s="147"/>
      <c r="AQ924" s="147"/>
      <c r="AR924" s="147"/>
      <c r="AS924" s="147"/>
      <c r="AT924" s="147"/>
      <c r="AU924" s="147"/>
      <c r="AV924" s="147"/>
      <c r="AW924" s="147"/>
      <c r="AX924" s="147"/>
      <c r="AY924" s="147"/>
      <c r="AZ924" s="147"/>
      <c r="BA924" s="147"/>
      <c r="BB924" s="147"/>
      <c r="BC924" s="147"/>
      <c r="BD924" s="147"/>
      <c r="BE924" s="147"/>
      <c r="BF924" s="147"/>
      <c r="BG924" s="147"/>
      <c r="BH924" s="147"/>
      <c r="BI924" s="147"/>
      <c r="BJ924" s="147"/>
      <c r="BK924" s="147"/>
      <c r="BL924" s="147"/>
      <c r="BM924" s="147"/>
      <c r="BN924" s="147"/>
      <c r="BO924" s="147"/>
      <c r="BP924" s="147"/>
    </row>
    <row r="925" spans="3:68">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c r="AC925" s="147"/>
      <c r="AD925" s="147"/>
      <c r="AE925" s="147"/>
      <c r="AF925" s="147"/>
      <c r="AG925" s="147"/>
      <c r="AH925" s="147"/>
      <c r="AI925" s="147"/>
      <c r="AJ925" s="147"/>
      <c r="AK925" s="147"/>
      <c r="AL925" s="147"/>
      <c r="AM925" s="147"/>
      <c r="AN925" s="147"/>
      <c r="AO925" s="147"/>
      <c r="AP925" s="147"/>
      <c r="AQ925" s="147"/>
      <c r="AR925" s="147"/>
      <c r="AS925" s="147"/>
      <c r="AT925" s="147"/>
      <c r="AU925" s="147"/>
      <c r="AV925" s="147"/>
      <c r="AW925" s="147"/>
      <c r="AX925" s="147"/>
      <c r="AY925" s="147"/>
      <c r="AZ925" s="147"/>
      <c r="BA925" s="147"/>
      <c r="BB925" s="147"/>
      <c r="BC925" s="147"/>
      <c r="BD925" s="147"/>
      <c r="BE925" s="147"/>
      <c r="BF925" s="147"/>
      <c r="BG925" s="147"/>
      <c r="BH925" s="147"/>
      <c r="BI925" s="147"/>
      <c r="BJ925" s="147"/>
      <c r="BK925" s="147"/>
      <c r="BL925" s="147"/>
      <c r="BM925" s="147"/>
      <c r="BN925" s="147"/>
      <c r="BO925" s="147"/>
      <c r="BP925" s="147"/>
    </row>
    <row r="926" spans="3:68">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c r="AC926" s="147"/>
      <c r="AD926" s="147"/>
      <c r="AE926" s="147"/>
      <c r="AF926" s="147"/>
      <c r="AG926" s="147"/>
      <c r="AH926" s="147"/>
      <c r="AI926" s="147"/>
      <c r="AJ926" s="147"/>
      <c r="AK926" s="147"/>
      <c r="AL926" s="147"/>
      <c r="AM926" s="147"/>
      <c r="AN926" s="147"/>
      <c r="AO926" s="147"/>
      <c r="AP926" s="147"/>
      <c r="AQ926" s="147"/>
      <c r="AR926" s="147"/>
      <c r="AS926" s="147"/>
      <c r="AT926" s="147"/>
      <c r="AU926" s="147"/>
      <c r="AV926" s="147"/>
      <c r="AW926" s="147"/>
      <c r="AX926" s="147"/>
      <c r="AY926" s="147"/>
      <c r="AZ926" s="147"/>
      <c r="BA926" s="147"/>
      <c r="BB926" s="147"/>
      <c r="BC926" s="147"/>
      <c r="BD926" s="147"/>
      <c r="BE926" s="147"/>
      <c r="BF926" s="147"/>
      <c r="BG926" s="147"/>
      <c r="BH926" s="147"/>
      <c r="BI926" s="147"/>
      <c r="BJ926" s="147"/>
      <c r="BK926" s="147"/>
      <c r="BL926" s="147"/>
      <c r="BM926" s="147"/>
      <c r="BN926" s="147"/>
      <c r="BO926" s="147"/>
      <c r="BP926" s="147"/>
    </row>
    <row r="927" spans="3:68">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c r="AC927" s="147"/>
      <c r="AD927" s="147"/>
      <c r="AE927" s="147"/>
      <c r="AF927" s="147"/>
      <c r="AG927" s="147"/>
      <c r="AH927" s="147"/>
      <c r="AI927" s="147"/>
      <c r="AJ927" s="147"/>
      <c r="AK927" s="147"/>
      <c r="AL927" s="147"/>
      <c r="AM927" s="147"/>
      <c r="AN927" s="147"/>
      <c r="AO927" s="147"/>
      <c r="AP927" s="147"/>
      <c r="AQ927" s="147"/>
      <c r="AR927" s="147"/>
      <c r="AS927" s="147"/>
      <c r="AT927" s="147"/>
      <c r="AU927" s="147"/>
      <c r="AV927" s="147"/>
      <c r="AW927" s="147"/>
      <c r="AX927" s="147"/>
      <c r="AY927" s="147"/>
      <c r="AZ927" s="147"/>
      <c r="BA927" s="147"/>
      <c r="BB927" s="147"/>
      <c r="BC927" s="147"/>
      <c r="BD927" s="147"/>
      <c r="BE927" s="147"/>
      <c r="BF927" s="147"/>
      <c r="BG927" s="147"/>
      <c r="BH927" s="147"/>
      <c r="BI927" s="147"/>
      <c r="BJ927" s="147"/>
      <c r="BK927" s="147"/>
      <c r="BL927" s="147"/>
      <c r="BM927" s="147"/>
      <c r="BN927" s="147"/>
      <c r="BO927" s="147"/>
      <c r="BP927" s="147"/>
    </row>
    <row r="928" spans="3:68">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c r="AC928" s="147"/>
      <c r="AD928" s="147"/>
      <c r="AE928" s="147"/>
      <c r="AF928" s="147"/>
      <c r="AG928" s="147"/>
      <c r="AH928" s="147"/>
      <c r="AI928" s="147"/>
      <c r="AJ928" s="147"/>
      <c r="AK928" s="147"/>
      <c r="AL928" s="147"/>
      <c r="AM928" s="147"/>
      <c r="AN928" s="147"/>
      <c r="AO928" s="147"/>
      <c r="AP928" s="147"/>
      <c r="AQ928" s="147"/>
      <c r="AR928" s="147"/>
      <c r="AS928" s="147"/>
      <c r="AT928" s="147"/>
      <c r="AU928" s="147"/>
      <c r="AV928" s="147"/>
      <c r="AW928" s="147"/>
      <c r="AX928" s="147"/>
      <c r="AY928" s="147"/>
      <c r="AZ928" s="147"/>
      <c r="BA928" s="147"/>
      <c r="BB928" s="147"/>
      <c r="BC928" s="147"/>
      <c r="BD928" s="147"/>
      <c r="BE928" s="147"/>
      <c r="BF928" s="147"/>
      <c r="BG928" s="147"/>
      <c r="BH928" s="147"/>
      <c r="BI928" s="147"/>
      <c r="BJ928" s="147"/>
      <c r="BK928" s="147"/>
      <c r="BL928" s="147"/>
      <c r="BM928" s="147"/>
      <c r="BN928" s="147"/>
      <c r="BO928" s="147"/>
      <c r="BP928" s="147"/>
    </row>
    <row r="929" spans="3:68">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c r="AC929" s="147"/>
      <c r="AD929" s="147"/>
      <c r="AE929" s="147"/>
      <c r="AF929" s="147"/>
      <c r="AG929" s="147"/>
      <c r="AH929" s="147"/>
      <c r="AI929" s="147"/>
      <c r="AJ929" s="147"/>
      <c r="AK929" s="147"/>
      <c r="AL929" s="147"/>
      <c r="AM929" s="147"/>
      <c r="AN929" s="147"/>
      <c r="AO929" s="147"/>
      <c r="AP929" s="147"/>
      <c r="AQ929" s="147"/>
      <c r="AR929" s="147"/>
      <c r="AS929" s="147"/>
      <c r="AT929" s="147"/>
      <c r="AU929" s="147"/>
      <c r="AV929" s="147"/>
      <c r="AW929" s="147"/>
      <c r="AX929" s="147"/>
      <c r="AY929" s="147"/>
      <c r="AZ929" s="147"/>
      <c r="BA929" s="147"/>
      <c r="BB929" s="147"/>
      <c r="BC929" s="147"/>
      <c r="BD929" s="147"/>
      <c r="BE929" s="147"/>
      <c r="BF929" s="147"/>
      <c r="BG929" s="147"/>
      <c r="BH929" s="147"/>
      <c r="BI929" s="147"/>
      <c r="BJ929" s="147"/>
      <c r="BK929" s="147"/>
      <c r="BL929" s="147"/>
      <c r="BM929" s="147"/>
      <c r="BN929" s="147"/>
      <c r="BO929" s="147"/>
      <c r="BP929" s="147"/>
    </row>
    <row r="930" spans="3:68">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c r="AC930" s="147"/>
      <c r="AD930" s="147"/>
      <c r="AE930" s="147"/>
      <c r="AF930" s="147"/>
      <c r="AG930" s="147"/>
      <c r="AH930" s="147"/>
      <c r="AI930" s="147"/>
      <c r="AJ930" s="147"/>
      <c r="AK930" s="147"/>
      <c r="AL930" s="147"/>
      <c r="AM930" s="147"/>
      <c r="AN930" s="147"/>
      <c r="AO930" s="147"/>
      <c r="AP930" s="147"/>
      <c r="AQ930" s="147"/>
      <c r="AR930" s="147"/>
      <c r="AS930" s="147"/>
      <c r="AT930" s="147"/>
      <c r="AU930" s="147"/>
      <c r="AV930" s="147"/>
      <c r="AW930" s="147"/>
      <c r="AX930" s="147"/>
      <c r="AY930" s="147"/>
      <c r="AZ930" s="147"/>
      <c r="BA930" s="147"/>
      <c r="BB930" s="147"/>
      <c r="BC930" s="147"/>
      <c r="BD930" s="147"/>
      <c r="BE930" s="147"/>
      <c r="BF930" s="147"/>
      <c r="BG930" s="147"/>
      <c r="BH930" s="147"/>
      <c r="BI930" s="147"/>
      <c r="BJ930" s="147"/>
      <c r="BK930" s="147"/>
      <c r="BL930" s="147"/>
      <c r="BM930" s="147"/>
      <c r="BN930" s="147"/>
      <c r="BO930" s="147"/>
      <c r="BP930" s="147"/>
    </row>
    <row r="931" spans="3:68">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c r="AC931" s="147"/>
      <c r="AD931" s="147"/>
      <c r="AE931" s="147"/>
      <c r="AF931" s="147"/>
      <c r="AG931" s="147"/>
      <c r="AH931" s="147"/>
      <c r="AI931" s="147"/>
      <c r="AJ931" s="147"/>
      <c r="AK931" s="147"/>
      <c r="AL931" s="147"/>
      <c r="AM931" s="147"/>
      <c r="AN931" s="147"/>
      <c r="AO931" s="147"/>
      <c r="AP931" s="147"/>
      <c r="AQ931" s="147"/>
      <c r="AR931" s="147"/>
      <c r="AS931" s="147"/>
      <c r="AT931" s="147"/>
      <c r="AU931" s="147"/>
      <c r="AV931" s="147"/>
      <c r="AW931" s="147"/>
      <c r="AX931" s="147"/>
      <c r="AY931" s="147"/>
      <c r="AZ931" s="147"/>
      <c r="BA931" s="147"/>
      <c r="BB931" s="147"/>
      <c r="BC931" s="147"/>
      <c r="BD931" s="147"/>
      <c r="BE931" s="147"/>
      <c r="BF931" s="147"/>
      <c r="BG931" s="147"/>
      <c r="BH931" s="147"/>
      <c r="BI931" s="147"/>
      <c r="BJ931" s="147"/>
      <c r="BK931" s="147"/>
      <c r="BL931" s="147"/>
      <c r="BM931" s="147"/>
      <c r="BN931" s="147"/>
      <c r="BO931" s="147"/>
      <c r="BP931" s="147"/>
    </row>
    <row r="932" spans="3:68">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c r="AC932" s="147"/>
      <c r="AD932" s="147"/>
      <c r="AE932" s="147"/>
      <c r="AF932" s="147"/>
      <c r="AG932" s="147"/>
      <c r="AH932" s="147"/>
      <c r="AI932" s="147"/>
      <c r="AJ932" s="147"/>
      <c r="AK932" s="147"/>
      <c r="AL932" s="147"/>
      <c r="AM932" s="147"/>
      <c r="AN932" s="147"/>
      <c r="AO932" s="147"/>
      <c r="AP932" s="147"/>
      <c r="AQ932" s="147"/>
      <c r="AR932" s="147"/>
      <c r="AS932" s="147"/>
      <c r="AT932" s="147"/>
      <c r="AU932" s="147"/>
      <c r="AV932" s="147"/>
      <c r="AW932" s="147"/>
      <c r="AX932" s="147"/>
      <c r="AY932" s="147"/>
      <c r="AZ932" s="147"/>
      <c r="BA932" s="147"/>
      <c r="BB932" s="147"/>
      <c r="BC932" s="147"/>
      <c r="BD932" s="147"/>
      <c r="BE932" s="147"/>
      <c r="BF932" s="147"/>
      <c r="BG932" s="147"/>
      <c r="BH932" s="147"/>
      <c r="BI932" s="147"/>
      <c r="BJ932" s="147"/>
      <c r="BK932" s="147"/>
      <c r="BL932" s="147"/>
      <c r="BM932" s="147"/>
      <c r="BN932" s="147"/>
      <c r="BO932" s="147"/>
      <c r="BP932" s="147"/>
    </row>
    <row r="933" spans="3:68">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c r="AC933" s="147"/>
      <c r="AD933" s="147"/>
      <c r="AE933" s="147"/>
      <c r="AF933" s="147"/>
      <c r="AG933" s="147"/>
      <c r="AH933" s="147"/>
      <c r="AI933" s="147"/>
      <c r="AJ933" s="147"/>
      <c r="AK933" s="147"/>
      <c r="AL933" s="147"/>
      <c r="AM933" s="147"/>
      <c r="AN933" s="147"/>
      <c r="AO933" s="147"/>
      <c r="AP933" s="147"/>
      <c r="AQ933" s="147"/>
      <c r="AR933" s="147"/>
      <c r="AS933" s="147"/>
      <c r="AT933" s="147"/>
      <c r="AU933" s="147"/>
      <c r="AV933" s="147"/>
      <c r="AW933" s="147"/>
      <c r="AX933" s="147"/>
      <c r="AY933" s="147"/>
      <c r="AZ933" s="147"/>
      <c r="BA933" s="147"/>
      <c r="BB933" s="147"/>
      <c r="BC933" s="147"/>
      <c r="BD933" s="147"/>
      <c r="BE933" s="147"/>
      <c r="BF933" s="147"/>
      <c r="BG933" s="147"/>
      <c r="BH933" s="147"/>
      <c r="BI933" s="147"/>
      <c r="BJ933" s="147"/>
      <c r="BK933" s="147"/>
      <c r="BL933" s="147"/>
      <c r="BM933" s="147"/>
      <c r="BN933" s="147"/>
      <c r="BO933" s="147"/>
      <c r="BP933" s="147"/>
    </row>
    <row r="934" spans="3:68">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c r="AC934" s="147"/>
      <c r="AD934" s="147"/>
      <c r="AE934" s="147"/>
      <c r="AF934" s="147"/>
      <c r="AG934" s="147"/>
      <c r="AH934" s="147"/>
      <c r="AI934" s="147"/>
      <c r="AJ934" s="147"/>
      <c r="AK934" s="147"/>
      <c r="AL934" s="147"/>
      <c r="AM934" s="147"/>
      <c r="AN934" s="147"/>
      <c r="AO934" s="147"/>
      <c r="AP934" s="147"/>
      <c r="AQ934" s="147"/>
      <c r="AR934" s="147"/>
      <c r="AS934" s="147"/>
      <c r="AT934" s="147"/>
      <c r="AU934" s="147"/>
      <c r="AV934" s="147"/>
      <c r="AW934" s="147"/>
      <c r="AX934" s="147"/>
      <c r="AY934" s="147"/>
      <c r="AZ934" s="147"/>
      <c r="BA934" s="147"/>
      <c r="BB934" s="147"/>
      <c r="BC934" s="147"/>
      <c r="BD934" s="147"/>
      <c r="BE934" s="147"/>
      <c r="BF934" s="147"/>
      <c r="BG934" s="147"/>
      <c r="BH934" s="147"/>
      <c r="BI934" s="147"/>
      <c r="BJ934" s="147"/>
      <c r="BK934" s="147"/>
      <c r="BL934" s="147"/>
      <c r="BM934" s="147"/>
      <c r="BN934" s="147"/>
      <c r="BO934" s="147"/>
      <c r="BP934" s="147"/>
    </row>
    <row r="935" spans="3:68">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c r="AC935" s="147"/>
      <c r="AD935" s="147"/>
      <c r="AE935" s="147"/>
      <c r="AF935" s="147"/>
      <c r="AG935" s="147"/>
      <c r="AH935" s="147"/>
      <c r="AI935" s="147"/>
      <c r="AJ935" s="147"/>
      <c r="AK935" s="147"/>
      <c r="AL935" s="147"/>
      <c r="AM935" s="147"/>
      <c r="AN935" s="147"/>
      <c r="AO935" s="147"/>
      <c r="AP935" s="147"/>
      <c r="AQ935" s="147"/>
      <c r="AR935" s="147"/>
      <c r="AS935" s="147"/>
      <c r="AT935" s="147"/>
      <c r="AU935" s="147"/>
      <c r="AV935" s="147"/>
      <c r="AW935" s="147"/>
      <c r="AX935" s="147"/>
      <c r="AY935" s="147"/>
      <c r="AZ935" s="147"/>
      <c r="BA935" s="147"/>
      <c r="BB935" s="147"/>
      <c r="BC935" s="147"/>
      <c r="BD935" s="147"/>
      <c r="BE935" s="147"/>
      <c r="BF935" s="147"/>
      <c r="BG935" s="147"/>
      <c r="BH935" s="147"/>
      <c r="BI935" s="147"/>
      <c r="BJ935" s="147"/>
      <c r="BK935" s="147"/>
      <c r="BL935" s="147"/>
      <c r="BM935" s="147"/>
      <c r="BN935" s="147"/>
      <c r="BO935" s="147"/>
      <c r="BP935" s="147"/>
    </row>
    <row r="936" spans="3:68">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c r="AC936" s="147"/>
      <c r="AD936" s="147"/>
      <c r="AE936" s="147"/>
      <c r="AF936" s="147"/>
      <c r="AG936" s="147"/>
      <c r="AH936" s="147"/>
      <c r="AI936" s="147"/>
      <c r="AJ936" s="147"/>
      <c r="AK936" s="147"/>
      <c r="AL936" s="147"/>
      <c r="AM936" s="147"/>
      <c r="AN936" s="147"/>
      <c r="AO936" s="147"/>
      <c r="AP936" s="147"/>
      <c r="AQ936" s="147"/>
      <c r="AR936" s="147"/>
      <c r="AS936" s="147"/>
      <c r="AT936" s="147"/>
      <c r="AU936" s="147"/>
      <c r="AV936" s="147"/>
      <c r="AW936" s="147"/>
      <c r="AX936" s="147"/>
      <c r="AY936" s="147"/>
      <c r="AZ936" s="147"/>
      <c r="BA936" s="147"/>
      <c r="BB936" s="147"/>
      <c r="BC936" s="147"/>
      <c r="BD936" s="147"/>
      <c r="BE936" s="147"/>
      <c r="BF936" s="147"/>
      <c r="BG936" s="147"/>
      <c r="BH936" s="147"/>
      <c r="BI936" s="147"/>
      <c r="BJ936" s="147"/>
      <c r="BK936" s="147"/>
      <c r="BL936" s="147"/>
      <c r="BM936" s="147"/>
      <c r="BN936" s="147"/>
      <c r="BO936" s="147"/>
      <c r="BP936" s="147"/>
    </row>
    <row r="937" spans="3:68">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c r="AC937" s="147"/>
      <c r="AD937" s="147"/>
      <c r="AE937" s="147"/>
      <c r="AF937" s="147"/>
      <c r="AG937" s="147"/>
      <c r="AH937" s="147"/>
      <c r="AI937" s="147"/>
      <c r="AJ937" s="147"/>
      <c r="AK937" s="147"/>
      <c r="AL937" s="147"/>
      <c r="AM937" s="147"/>
      <c r="AN937" s="147"/>
      <c r="AO937" s="147"/>
      <c r="AP937" s="147"/>
      <c r="AQ937" s="147"/>
      <c r="AR937" s="147"/>
      <c r="AS937" s="147"/>
      <c r="AT937" s="147"/>
      <c r="AU937" s="147"/>
      <c r="AV937" s="147"/>
      <c r="AW937" s="147"/>
      <c r="AX937" s="147"/>
      <c r="AY937" s="147"/>
      <c r="AZ937" s="147"/>
      <c r="BA937" s="147"/>
      <c r="BB937" s="147"/>
      <c r="BC937" s="147"/>
      <c r="BD937" s="147"/>
      <c r="BE937" s="147"/>
      <c r="BF937" s="147"/>
      <c r="BG937" s="147"/>
      <c r="BH937" s="147"/>
      <c r="BI937" s="147"/>
      <c r="BJ937" s="147"/>
      <c r="BK937" s="147"/>
      <c r="BL937" s="147"/>
      <c r="BM937" s="147"/>
      <c r="BN937" s="147"/>
      <c r="BO937" s="147"/>
      <c r="BP937" s="147"/>
    </row>
    <row r="938" spans="3:68">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c r="AC938" s="147"/>
      <c r="AD938" s="147"/>
      <c r="AE938" s="147"/>
      <c r="AF938" s="147"/>
      <c r="AG938" s="147"/>
      <c r="AH938" s="147"/>
      <c r="AI938" s="147"/>
      <c r="AJ938" s="147"/>
      <c r="AK938" s="147"/>
      <c r="AL938" s="147"/>
      <c r="AM938" s="147"/>
      <c r="AN938" s="147"/>
      <c r="AO938" s="147"/>
      <c r="AP938" s="147"/>
      <c r="AQ938" s="147"/>
      <c r="AR938" s="147"/>
      <c r="AS938" s="147"/>
      <c r="AT938" s="147"/>
      <c r="AU938" s="147"/>
      <c r="AV938" s="147"/>
      <c r="AW938" s="147"/>
      <c r="AX938" s="147"/>
      <c r="AY938" s="147"/>
      <c r="AZ938" s="147"/>
      <c r="BA938" s="147"/>
      <c r="BB938" s="147"/>
      <c r="BC938" s="147"/>
      <c r="BD938" s="147"/>
      <c r="BE938" s="147"/>
      <c r="BF938" s="147"/>
      <c r="BG938" s="147"/>
      <c r="BH938" s="147"/>
      <c r="BI938" s="147"/>
      <c r="BJ938" s="147"/>
      <c r="BK938" s="147"/>
      <c r="BL938" s="147"/>
      <c r="BM938" s="147"/>
      <c r="BN938" s="147"/>
      <c r="BO938" s="147"/>
      <c r="BP938" s="147"/>
    </row>
    <row r="939" spans="3:68">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c r="AC939" s="147"/>
      <c r="AD939" s="147"/>
      <c r="AE939" s="147"/>
      <c r="AF939" s="147"/>
      <c r="AG939" s="147"/>
      <c r="AH939" s="147"/>
      <c r="AI939" s="147"/>
      <c r="AJ939" s="147"/>
      <c r="AK939" s="147"/>
      <c r="AL939" s="147"/>
      <c r="AM939" s="147"/>
      <c r="AN939" s="147"/>
      <c r="AO939" s="147"/>
      <c r="AP939" s="147"/>
      <c r="AQ939" s="147"/>
      <c r="AR939" s="147"/>
      <c r="AS939" s="147"/>
      <c r="AT939" s="147"/>
      <c r="AU939" s="147"/>
      <c r="AV939" s="147"/>
      <c r="AW939" s="147"/>
      <c r="AX939" s="147"/>
      <c r="AY939" s="147"/>
      <c r="AZ939" s="147"/>
      <c r="BA939" s="147"/>
      <c r="BB939" s="147"/>
      <c r="BC939" s="147"/>
      <c r="BD939" s="147"/>
      <c r="BE939" s="147"/>
      <c r="BF939" s="147"/>
      <c r="BG939" s="147"/>
      <c r="BH939" s="147"/>
      <c r="BI939" s="147"/>
      <c r="BJ939" s="147"/>
      <c r="BK939" s="147"/>
      <c r="BL939" s="147"/>
      <c r="BM939" s="147"/>
      <c r="BN939" s="147"/>
      <c r="BO939" s="147"/>
      <c r="BP939" s="147"/>
    </row>
    <row r="940" spans="3:68">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c r="AC940" s="147"/>
      <c r="AD940" s="147"/>
      <c r="AE940" s="147"/>
      <c r="AF940" s="147"/>
      <c r="AG940" s="147"/>
      <c r="AH940" s="147"/>
      <c r="AI940" s="147"/>
      <c r="AJ940" s="147"/>
      <c r="AK940" s="147"/>
      <c r="AL940" s="147"/>
      <c r="AM940" s="147"/>
      <c r="AN940" s="147"/>
      <c r="AO940" s="147"/>
      <c r="AP940" s="147"/>
      <c r="AQ940" s="147"/>
      <c r="AR940" s="147"/>
      <c r="AS940" s="147"/>
      <c r="AT940" s="147"/>
      <c r="AU940" s="147"/>
      <c r="AV940" s="147"/>
      <c r="AW940" s="147"/>
      <c r="AX940" s="147"/>
      <c r="AY940" s="147"/>
      <c r="AZ940" s="147"/>
      <c r="BA940" s="147"/>
      <c r="BB940" s="147"/>
      <c r="BC940" s="147"/>
      <c r="BD940" s="147"/>
      <c r="BE940" s="147"/>
      <c r="BF940" s="147"/>
      <c r="BG940" s="147"/>
      <c r="BH940" s="147"/>
      <c r="BI940" s="147"/>
      <c r="BJ940" s="147"/>
      <c r="BK940" s="147"/>
      <c r="BL940" s="147"/>
      <c r="BM940" s="147"/>
      <c r="BN940" s="147"/>
      <c r="BO940" s="147"/>
      <c r="BP940" s="147"/>
    </row>
    <row r="941" spans="3:68">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c r="AC941" s="147"/>
      <c r="AD941" s="147"/>
      <c r="AE941" s="147"/>
      <c r="AF941" s="147"/>
      <c r="AG941" s="147"/>
      <c r="AH941" s="147"/>
      <c r="AI941" s="147"/>
      <c r="AJ941" s="147"/>
      <c r="AK941" s="147"/>
      <c r="AL941" s="147"/>
      <c r="AM941" s="147"/>
      <c r="AN941" s="147"/>
      <c r="AO941" s="147"/>
      <c r="AP941" s="147"/>
      <c r="AQ941" s="147"/>
      <c r="AR941" s="147"/>
      <c r="AS941" s="147"/>
      <c r="AT941" s="147"/>
      <c r="AU941" s="147"/>
      <c r="AV941" s="147"/>
      <c r="AW941" s="147"/>
      <c r="AX941" s="147"/>
      <c r="AY941" s="147"/>
      <c r="AZ941" s="147"/>
      <c r="BA941" s="147"/>
      <c r="BB941" s="147"/>
      <c r="BC941" s="147"/>
      <c r="BD941" s="147"/>
      <c r="BE941" s="147"/>
      <c r="BF941" s="147"/>
      <c r="BG941" s="147"/>
      <c r="BH941" s="147"/>
      <c r="BI941" s="147"/>
      <c r="BJ941" s="147"/>
      <c r="BK941" s="147"/>
      <c r="BL941" s="147"/>
      <c r="BM941" s="147"/>
      <c r="BN941" s="147"/>
      <c r="BO941" s="147"/>
      <c r="BP941" s="147"/>
    </row>
    <row r="942" spans="3:68">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c r="AC942" s="147"/>
      <c r="AD942" s="147"/>
      <c r="AE942" s="147"/>
      <c r="AF942" s="147"/>
      <c r="AG942" s="147"/>
      <c r="AH942" s="147"/>
      <c r="AI942" s="147"/>
      <c r="AJ942" s="147"/>
      <c r="AK942" s="147"/>
      <c r="AL942" s="147"/>
      <c r="AM942" s="147"/>
      <c r="AN942" s="147"/>
      <c r="AO942" s="147"/>
      <c r="AP942" s="147"/>
      <c r="AQ942" s="147"/>
      <c r="AR942" s="147"/>
      <c r="AS942" s="147"/>
      <c r="AT942" s="147"/>
      <c r="AU942" s="147"/>
      <c r="AV942" s="147"/>
      <c r="AW942" s="147"/>
      <c r="AX942" s="147"/>
      <c r="AY942" s="147"/>
      <c r="AZ942" s="147"/>
      <c r="BA942" s="147"/>
      <c r="BB942" s="147"/>
      <c r="BC942" s="147"/>
      <c r="BD942" s="147"/>
      <c r="BE942" s="147"/>
      <c r="BF942" s="147"/>
      <c r="BG942" s="147"/>
      <c r="BH942" s="147"/>
      <c r="BI942" s="147"/>
      <c r="BJ942" s="147"/>
      <c r="BK942" s="147"/>
      <c r="BL942" s="147"/>
      <c r="BM942" s="147"/>
      <c r="BN942" s="147"/>
      <c r="BO942" s="147"/>
      <c r="BP942" s="147"/>
    </row>
    <row r="943" spans="3:68">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c r="AC943" s="147"/>
      <c r="AD943" s="147"/>
      <c r="AE943" s="147"/>
      <c r="AF943" s="147"/>
      <c r="AG943" s="147"/>
      <c r="AH943" s="147"/>
      <c r="AI943" s="147"/>
      <c r="AJ943" s="147"/>
      <c r="AK943" s="147"/>
      <c r="AL943" s="147"/>
      <c r="AM943" s="147"/>
      <c r="AN943" s="147"/>
      <c r="AO943" s="147"/>
      <c r="AP943" s="147"/>
      <c r="AQ943" s="147"/>
      <c r="AR943" s="147"/>
      <c r="AS943" s="147"/>
      <c r="AT943" s="147"/>
      <c r="AU943" s="147"/>
      <c r="AV943" s="147"/>
      <c r="AW943" s="147"/>
      <c r="AX943" s="147"/>
      <c r="AY943" s="147"/>
      <c r="AZ943" s="147"/>
      <c r="BA943" s="147"/>
      <c r="BB943" s="147"/>
      <c r="BC943" s="147"/>
      <c r="BD943" s="147"/>
      <c r="BE943" s="147"/>
      <c r="BF943" s="147"/>
      <c r="BG943" s="147"/>
      <c r="BH943" s="147"/>
      <c r="BI943" s="147"/>
      <c r="BJ943" s="147"/>
      <c r="BK943" s="147"/>
      <c r="BL943" s="147"/>
      <c r="BM943" s="147"/>
      <c r="BN943" s="147"/>
      <c r="BO943" s="147"/>
      <c r="BP943" s="147"/>
    </row>
    <row r="944" spans="3:68">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c r="AC944" s="147"/>
      <c r="AD944" s="147"/>
      <c r="AE944" s="147"/>
      <c r="AF944" s="147"/>
      <c r="AG944" s="147"/>
      <c r="AH944" s="147"/>
      <c r="AI944" s="147"/>
      <c r="AJ944" s="147"/>
      <c r="AK944" s="147"/>
      <c r="AL944" s="147"/>
      <c r="AM944" s="147"/>
      <c r="AN944" s="147"/>
      <c r="AO944" s="147"/>
      <c r="AP944" s="147"/>
      <c r="AQ944" s="147"/>
      <c r="AR944" s="147"/>
      <c r="AS944" s="147"/>
      <c r="AT944" s="147"/>
      <c r="AU944" s="147"/>
      <c r="AV944" s="147"/>
      <c r="AW944" s="147"/>
      <c r="AX944" s="147"/>
      <c r="AY944" s="147"/>
      <c r="AZ944" s="147"/>
      <c r="BA944" s="147"/>
      <c r="BB944" s="147"/>
      <c r="BC944" s="147"/>
      <c r="BD944" s="147"/>
      <c r="BE944" s="147"/>
      <c r="BF944" s="147"/>
      <c r="BG944" s="147"/>
      <c r="BH944" s="147"/>
      <c r="BI944" s="147"/>
      <c r="BJ944" s="147"/>
      <c r="BK944" s="147"/>
      <c r="BL944" s="147"/>
      <c r="BM944" s="147"/>
      <c r="BN944" s="147"/>
      <c r="BO944" s="147"/>
      <c r="BP944" s="147"/>
    </row>
    <row r="945" spans="3:68">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c r="AC945" s="147"/>
      <c r="AD945" s="147"/>
      <c r="AE945" s="147"/>
      <c r="AF945" s="147"/>
      <c r="AG945" s="147"/>
      <c r="AH945" s="147"/>
      <c r="AI945" s="147"/>
      <c r="AJ945" s="147"/>
      <c r="AK945" s="147"/>
      <c r="AL945" s="147"/>
      <c r="AM945" s="147"/>
      <c r="AN945" s="147"/>
      <c r="AO945" s="147"/>
      <c r="AP945" s="147"/>
      <c r="AQ945" s="147"/>
      <c r="AR945" s="147"/>
      <c r="AS945" s="147"/>
      <c r="AT945" s="147"/>
      <c r="AU945" s="147"/>
      <c r="AV945" s="147"/>
      <c r="AW945" s="147"/>
      <c r="AX945" s="147"/>
      <c r="AY945" s="147"/>
      <c r="AZ945" s="147"/>
      <c r="BA945" s="147"/>
      <c r="BB945" s="147"/>
      <c r="BC945" s="147"/>
      <c r="BD945" s="147"/>
      <c r="BE945" s="147"/>
      <c r="BF945" s="147"/>
      <c r="BG945" s="147"/>
      <c r="BH945" s="147"/>
      <c r="BI945" s="147"/>
      <c r="BJ945" s="147"/>
      <c r="BK945" s="147"/>
      <c r="BL945" s="147"/>
      <c r="BM945" s="147"/>
      <c r="BN945" s="147"/>
      <c r="BO945" s="147"/>
      <c r="BP945" s="147"/>
    </row>
    <row r="946" spans="3:68">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c r="AC946" s="147"/>
      <c r="AD946" s="147"/>
      <c r="AE946" s="147"/>
      <c r="AF946" s="147"/>
      <c r="AG946" s="147"/>
      <c r="AH946" s="147"/>
      <c r="AI946" s="147"/>
      <c r="AJ946" s="147"/>
      <c r="AK946" s="147"/>
      <c r="AL946" s="147"/>
      <c r="AM946" s="147"/>
      <c r="AN946" s="147"/>
      <c r="AO946" s="147"/>
      <c r="AP946" s="147"/>
      <c r="AQ946" s="147"/>
      <c r="AR946" s="147"/>
      <c r="AS946" s="147"/>
      <c r="AT946" s="147"/>
      <c r="AU946" s="147"/>
      <c r="AV946" s="147"/>
      <c r="AW946" s="147"/>
      <c r="AX946" s="147"/>
      <c r="AY946" s="147"/>
      <c r="AZ946" s="147"/>
      <c r="BA946" s="147"/>
      <c r="BB946" s="147"/>
      <c r="BC946" s="147"/>
      <c r="BD946" s="147"/>
      <c r="BE946" s="147"/>
      <c r="BF946" s="147"/>
      <c r="BG946" s="147"/>
      <c r="BH946" s="147"/>
      <c r="BI946" s="147"/>
      <c r="BJ946" s="147"/>
      <c r="BK946" s="147"/>
      <c r="BL946" s="147"/>
      <c r="BM946" s="147"/>
      <c r="BN946" s="147"/>
      <c r="BO946" s="147"/>
      <c r="BP946" s="147"/>
    </row>
    <row r="947" spans="3:68">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c r="AC947" s="147"/>
      <c r="AD947" s="147"/>
      <c r="AE947" s="147"/>
      <c r="AF947" s="147"/>
      <c r="AG947" s="147"/>
      <c r="AH947" s="147"/>
      <c r="AI947" s="147"/>
      <c r="AJ947" s="147"/>
      <c r="AK947" s="147"/>
      <c r="AL947" s="147"/>
      <c r="AM947" s="147"/>
      <c r="AN947" s="147"/>
      <c r="AO947" s="147"/>
      <c r="AP947" s="147"/>
      <c r="AQ947" s="147"/>
      <c r="AR947" s="147"/>
      <c r="AS947" s="147"/>
      <c r="AT947" s="147"/>
      <c r="AU947" s="147"/>
      <c r="AV947" s="147"/>
      <c r="AW947" s="147"/>
      <c r="AX947" s="147"/>
      <c r="AY947" s="147"/>
      <c r="AZ947" s="147"/>
      <c r="BA947" s="147"/>
      <c r="BB947" s="147"/>
      <c r="BC947" s="147"/>
      <c r="BD947" s="147"/>
      <c r="BE947" s="147"/>
      <c r="BF947" s="147"/>
      <c r="BG947" s="147"/>
      <c r="BH947" s="147"/>
      <c r="BI947" s="147"/>
      <c r="BJ947" s="147"/>
      <c r="BK947" s="147"/>
      <c r="BL947" s="147"/>
      <c r="BM947" s="147"/>
      <c r="BN947" s="147"/>
      <c r="BO947" s="147"/>
      <c r="BP947" s="147"/>
    </row>
    <row r="948" spans="3:68">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c r="AC948" s="147"/>
      <c r="AD948" s="147"/>
      <c r="AE948" s="147"/>
      <c r="AF948" s="147"/>
      <c r="AG948" s="147"/>
      <c r="AH948" s="147"/>
      <c r="AI948" s="147"/>
      <c r="AJ948" s="147"/>
      <c r="AK948" s="147"/>
      <c r="AL948" s="147"/>
      <c r="AM948" s="147"/>
      <c r="AN948" s="147"/>
      <c r="AO948" s="147"/>
      <c r="AP948" s="147"/>
      <c r="AQ948" s="147"/>
      <c r="AR948" s="147"/>
      <c r="AS948" s="147"/>
      <c r="AT948" s="147"/>
      <c r="AU948" s="147"/>
      <c r="AV948" s="147"/>
      <c r="AW948" s="147"/>
      <c r="AX948" s="147"/>
      <c r="AY948" s="147"/>
      <c r="AZ948" s="147"/>
      <c r="BA948" s="147"/>
      <c r="BB948" s="147"/>
      <c r="BC948" s="147"/>
      <c r="BD948" s="147"/>
      <c r="BE948" s="147"/>
      <c r="BF948" s="147"/>
      <c r="BG948" s="147"/>
      <c r="BH948" s="147"/>
      <c r="BI948" s="147"/>
      <c r="BJ948" s="147"/>
      <c r="BK948" s="147"/>
      <c r="BL948" s="147"/>
      <c r="BM948" s="147"/>
      <c r="BN948" s="147"/>
      <c r="BO948" s="147"/>
      <c r="BP948" s="147"/>
    </row>
    <row r="949" spans="3:68">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c r="AC949" s="147"/>
      <c r="AD949" s="147"/>
      <c r="AE949" s="147"/>
      <c r="AF949" s="147"/>
      <c r="AG949" s="147"/>
      <c r="AH949" s="147"/>
      <c r="AI949" s="147"/>
      <c r="AJ949" s="147"/>
      <c r="AK949" s="147"/>
      <c r="AL949" s="147"/>
      <c r="AM949" s="147"/>
      <c r="AN949" s="147"/>
      <c r="AO949" s="147"/>
      <c r="AP949" s="147"/>
      <c r="AQ949" s="147"/>
      <c r="AR949" s="147"/>
      <c r="AS949" s="147"/>
      <c r="AT949" s="147"/>
      <c r="AU949" s="147"/>
      <c r="AV949" s="147"/>
      <c r="AW949" s="147"/>
      <c r="AX949" s="147"/>
      <c r="AY949" s="147"/>
      <c r="AZ949" s="147"/>
      <c r="BA949" s="147"/>
      <c r="BB949" s="147"/>
      <c r="BC949" s="147"/>
      <c r="BD949" s="147"/>
      <c r="BE949" s="147"/>
      <c r="BF949" s="147"/>
      <c r="BG949" s="147"/>
      <c r="BH949" s="147"/>
      <c r="BI949" s="147"/>
      <c r="BJ949" s="147"/>
      <c r="BK949" s="147"/>
      <c r="BL949" s="147"/>
      <c r="BM949" s="147"/>
      <c r="BN949" s="147"/>
      <c r="BO949" s="147"/>
      <c r="BP949" s="147"/>
    </row>
    <row r="950" spans="3:68">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c r="AC950" s="147"/>
      <c r="AD950" s="147"/>
      <c r="AE950" s="147"/>
      <c r="AF950" s="147"/>
      <c r="AG950" s="147"/>
      <c r="AH950" s="147"/>
      <c r="AI950" s="147"/>
      <c r="AJ950" s="147"/>
      <c r="AK950" s="147"/>
      <c r="AL950" s="147"/>
      <c r="AM950" s="147"/>
      <c r="AN950" s="147"/>
      <c r="AO950" s="147"/>
      <c r="AP950" s="147"/>
      <c r="AQ950" s="147"/>
      <c r="AR950" s="147"/>
      <c r="AS950" s="147"/>
      <c r="AT950" s="147"/>
      <c r="AU950" s="147"/>
      <c r="AV950" s="147"/>
      <c r="AW950" s="147"/>
      <c r="AX950" s="147"/>
      <c r="AY950" s="147"/>
      <c r="AZ950" s="147"/>
      <c r="BA950" s="147"/>
      <c r="BB950" s="147"/>
      <c r="BC950" s="147"/>
      <c r="BD950" s="147"/>
      <c r="BE950" s="147"/>
      <c r="BF950" s="147"/>
      <c r="BG950" s="147"/>
      <c r="BH950" s="147"/>
      <c r="BI950" s="147"/>
      <c r="BJ950" s="147"/>
      <c r="BK950" s="147"/>
      <c r="BL950" s="147"/>
      <c r="BM950" s="147"/>
      <c r="BN950" s="147"/>
      <c r="BO950" s="147"/>
      <c r="BP950" s="147"/>
    </row>
    <row r="951" spans="3:68">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c r="AC951" s="147"/>
      <c r="AD951" s="147"/>
      <c r="AE951" s="147"/>
      <c r="AF951" s="147"/>
      <c r="AG951" s="147"/>
      <c r="AH951" s="147"/>
      <c r="AI951" s="147"/>
      <c r="AJ951" s="147"/>
      <c r="AK951" s="147"/>
      <c r="AL951" s="147"/>
      <c r="AM951" s="147"/>
      <c r="AN951" s="147"/>
      <c r="AO951" s="147"/>
      <c r="AP951" s="147"/>
      <c r="AQ951" s="147"/>
      <c r="AR951" s="147"/>
      <c r="AS951" s="147"/>
      <c r="AT951" s="147"/>
      <c r="AU951" s="147"/>
      <c r="AV951" s="147"/>
      <c r="AW951" s="147"/>
      <c r="AX951" s="147"/>
      <c r="AY951" s="147"/>
      <c r="AZ951" s="147"/>
      <c r="BA951" s="147"/>
      <c r="BB951" s="147"/>
      <c r="BC951" s="147"/>
      <c r="BD951" s="147"/>
      <c r="BE951" s="147"/>
      <c r="BF951" s="147"/>
      <c r="BG951" s="147"/>
      <c r="BH951" s="147"/>
      <c r="BI951" s="147"/>
      <c r="BJ951" s="147"/>
      <c r="BK951" s="147"/>
      <c r="BL951" s="147"/>
      <c r="BM951" s="147"/>
      <c r="BN951" s="147"/>
      <c r="BO951" s="147"/>
      <c r="BP951" s="147"/>
    </row>
    <row r="952" spans="3:68">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c r="AC952" s="147"/>
      <c r="AD952" s="147"/>
      <c r="AE952" s="147"/>
      <c r="AF952" s="147"/>
      <c r="AG952" s="147"/>
      <c r="AH952" s="147"/>
      <c r="AI952" s="147"/>
      <c r="AJ952" s="147"/>
      <c r="AK952" s="147"/>
      <c r="AL952" s="147"/>
      <c r="AM952" s="147"/>
      <c r="AN952" s="147"/>
      <c r="AO952" s="147"/>
      <c r="AP952" s="147"/>
      <c r="AQ952" s="147"/>
      <c r="AR952" s="147"/>
      <c r="AS952" s="147"/>
      <c r="AT952" s="147"/>
      <c r="AU952" s="147"/>
      <c r="AV952" s="147"/>
      <c r="AW952" s="147"/>
      <c r="AX952" s="147"/>
      <c r="AY952" s="147"/>
      <c r="AZ952" s="147"/>
      <c r="BA952" s="147"/>
      <c r="BB952" s="147"/>
      <c r="BC952" s="147"/>
      <c r="BD952" s="147"/>
      <c r="BE952" s="147"/>
      <c r="BF952" s="147"/>
      <c r="BG952" s="147"/>
      <c r="BH952" s="147"/>
      <c r="BI952" s="147"/>
      <c r="BJ952" s="147"/>
      <c r="BK952" s="147"/>
      <c r="BL952" s="147"/>
      <c r="BM952" s="147"/>
      <c r="BN952" s="147"/>
      <c r="BO952" s="147"/>
      <c r="BP952" s="147"/>
    </row>
    <row r="953" spans="3:68">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c r="AC953" s="147"/>
      <c r="AD953" s="147"/>
      <c r="AE953" s="147"/>
      <c r="AF953" s="147"/>
      <c r="AG953" s="147"/>
      <c r="AH953" s="147"/>
      <c r="AI953" s="147"/>
      <c r="AJ953" s="147"/>
      <c r="AK953" s="147"/>
      <c r="AL953" s="147"/>
      <c r="AM953" s="147"/>
      <c r="AN953" s="147"/>
      <c r="AO953" s="147"/>
      <c r="AP953" s="147"/>
      <c r="AQ953" s="147"/>
      <c r="AR953" s="147"/>
      <c r="AS953" s="147"/>
      <c r="AT953" s="147"/>
      <c r="AU953" s="147"/>
      <c r="AV953" s="147"/>
      <c r="AW953" s="147"/>
      <c r="AX953" s="147"/>
      <c r="AY953" s="147"/>
      <c r="AZ953" s="147"/>
      <c r="BA953" s="147"/>
      <c r="BB953" s="147"/>
      <c r="BC953" s="147"/>
      <c r="BD953" s="147"/>
      <c r="BE953" s="147"/>
      <c r="BF953" s="147"/>
      <c r="BG953" s="147"/>
      <c r="BH953" s="147"/>
      <c r="BI953" s="147"/>
      <c r="BJ953" s="147"/>
      <c r="BK953" s="147"/>
      <c r="BL953" s="147"/>
      <c r="BM953" s="147"/>
      <c r="BN953" s="147"/>
      <c r="BO953" s="147"/>
      <c r="BP953" s="147"/>
    </row>
    <row r="954" spans="3:68">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c r="AC954" s="147"/>
      <c r="AD954" s="147"/>
      <c r="AE954" s="147"/>
      <c r="AF954" s="147"/>
      <c r="AG954" s="147"/>
      <c r="AH954" s="147"/>
      <c r="AI954" s="147"/>
      <c r="AJ954" s="147"/>
      <c r="AK954" s="147"/>
      <c r="AL954" s="147"/>
      <c r="AM954" s="147"/>
      <c r="AN954" s="147"/>
      <c r="AO954" s="147"/>
      <c r="AP954" s="147"/>
      <c r="AQ954" s="147"/>
      <c r="AR954" s="147"/>
      <c r="AS954" s="147"/>
      <c r="AT954" s="147"/>
      <c r="AU954" s="147"/>
      <c r="AV954" s="147"/>
      <c r="AW954" s="147"/>
      <c r="AX954" s="147"/>
      <c r="AY954" s="147"/>
      <c r="AZ954" s="147"/>
      <c r="BA954" s="147"/>
      <c r="BB954" s="147"/>
      <c r="BC954" s="147"/>
      <c r="BD954" s="147"/>
      <c r="BE954" s="147"/>
      <c r="BF954" s="147"/>
      <c r="BG954" s="147"/>
      <c r="BH954" s="147"/>
      <c r="BI954" s="147"/>
      <c r="BJ954" s="147"/>
      <c r="BK954" s="147"/>
      <c r="BL954" s="147"/>
      <c r="BM954" s="147"/>
      <c r="BN954" s="147"/>
      <c r="BO954" s="147"/>
      <c r="BP954" s="147"/>
    </row>
    <row r="955" spans="3:68">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c r="AC955" s="147"/>
      <c r="AD955" s="147"/>
      <c r="AE955" s="147"/>
      <c r="AF955" s="147"/>
      <c r="AG955" s="147"/>
      <c r="AH955" s="147"/>
      <c r="AI955" s="147"/>
      <c r="AJ955" s="147"/>
      <c r="AK955" s="147"/>
      <c r="AL955" s="147"/>
      <c r="AM955" s="147"/>
      <c r="AN955" s="147"/>
      <c r="AO955" s="147"/>
      <c r="AP955" s="147"/>
      <c r="AQ955" s="147"/>
      <c r="AR955" s="147"/>
      <c r="AS955" s="147"/>
      <c r="AT955" s="147"/>
      <c r="AU955" s="147"/>
      <c r="AV955" s="147"/>
      <c r="AW955" s="147"/>
      <c r="AX955" s="147"/>
      <c r="AY955" s="147"/>
      <c r="AZ955" s="147"/>
      <c r="BA955" s="147"/>
      <c r="BB955" s="147"/>
      <c r="BC955" s="147"/>
      <c r="BD955" s="147"/>
      <c r="BE955" s="147"/>
      <c r="BF955" s="147"/>
      <c r="BG955" s="147"/>
      <c r="BH955" s="147"/>
      <c r="BI955" s="147"/>
      <c r="BJ955" s="147"/>
      <c r="BK955" s="147"/>
      <c r="BL955" s="147"/>
      <c r="BM955" s="147"/>
      <c r="BN955" s="147"/>
      <c r="BO955" s="147"/>
      <c r="BP955" s="147"/>
    </row>
    <row r="956" spans="3:68">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c r="AC956" s="147"/>
      <c r="AD956" s="147"/>
      <c r="AE956" s="147"/>
      <c r="AF956" s="147"/>
      <c r="AG956" s="147"/>
      <c r="AH956" s="147"/>
      <c r="AI956" s="147"/>
      <c r="AJ956" s="147"/>
      <c r="AK956" s="147"/>
      <c r="AL956" s="147"/>
      <c r="AM956" s="147"/>
      <c r="AN956" s="147"/>
      <c r="AO956" s="147"/>
      <c r="AP956" s="147"/>
      <c r="AQ956" s="147"/>
      <c r="AR956" s="147"/>
      <c r="AS956" s="147"/>
      <c r="AT956" s="147"/>
      <c r="AU956" s="147"/>
      <c r="AV956" s="147"/>
      <c r="AW956" s="147"/>
      <c r="AX956" s="147"/>
      <c r="AY956" s="147"/>
      <c r="AZ956" s="147"/>
      <c r="BA956" s="147"/>
      <c r="BB956" s="147"/>
      <c r="BC956" s="147"/>
      <c r="BD956" s="147"/>
      <c r="BE956" s="147"/>
      <c r="BF956" s="147"/>
      <c r="BG956" s="147"/>
      <c r="BH956" s="147"/>
      <c r="BI956" s="147"/>
      <c r="BJ956" s="147"/>
      <c r="BK956" s="147"/>
      <c r="BL956" s="147"/>
      <c r="BM956" s="147"/>
      <c r="BN956" s="147"/>
      <c r="BO956" s="147"/>
      <c r="BP956" s="147"/>
    </row>
    <row r="957" spans="3:68">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c r="AC957" s="147"/>
      <c r="AD957" s="147"/>
      <c r="AE957" s="147"/>
      <c r="AF957" s="147"/>
      <c r="AG957" s="147"/>
      <c r="AH957" s="147"/>
      <c r="AI957" s="147"/>
      <c r="AJ957" s="147"/>
      <c r="AK957" s="147"/>
      <c r="AL957" s="147"/>
      <c r="AM957" s="147"/>
      <c r="AN957" s="147"/>
      <c r="AO957" s="147"/>
      <c r="AP957" s="147"/>
      <c r="AQ957" s="147"/>
      <c r="AR957" s="147"/>
      <c r="AS957" s="147"/>
      <c r="AT957" s="147"/>
      <c r="AU957" s="147"/>
      <c r="AV957" s="147"/>
      <c r="AW957" s="147"/>
      <c r="AX957" s="147"/>
      <c r="AY957" s="147"/>
      <c r="AZ957" s="147"/>
      <c r="BA957" s="147"/>
      <c r="BB957" s="147"/>
      <c r="BC957" s="147"/>
      <c r="BD957" s="147"/>
      <c r="BE957" s="147"/>
      <c r="BF957" s="147"/>
      <c r="BG957" s="147"/>
      <c r="BH957" s="147"/>
      <c r="BI957" s="147"/>
      <c r="BJ957" s="147"/>
      <c r="BK957" s="147"/>
      <c r="BL957" s="147"/>
      <c r="BM957" s="147"/>
      <c r="BN957" s="147"/>
      <c r="BO957" s="147"/>
      <c r="BP957" s="147"/>
    </row>
    <row r="958" spans="3:68">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c r="AC958" s="147"/>
      <c r="AD958" s="147"/>
      <c r="AE958" s="147"/>
      <c r="AF958" s="147"/>
      <c r="AG958" s="147"/>
      <c r="AH958" s="147"/>
      <c r="AI958" s="147"/>
      <c r="AJ958" s="147"/>
      <c r="AK958" s="147"/>
      <c r="AL958" s="147"/>
      <c r="AM958" s="147"/>
      <c r="AN958" s="147"/>
      <c r="AO958" s="147"/>
      <c r="AP958" s="147"/>
      <c r="AQ958" s="147"/>
      <c r="AR958" s="147"/>
      <c r="AS958" s="147"/>
      <c r="AT958" s="147"/>
      <c r="AU958" s="147"/>
      <c r="AV958" s="147"/>
      <c r="AW958" s="147"/>
      <c r="AX958" s="147"/>
      <c r="AY958" s="147"/>
      <c r="AZ958" s="147"/>
      <c r="BA958" s="147"/>
      <c r="BB958" s="147"/>
      <c r="BC958" s="147"/>
      <c r="BD958" s="147"/>
      <c r="BE958" s="147"/>
      <c r="BF958" s="147"/>
      <c r="BG958" s="147"/>
      <c r="BH958" s="147"/>
      <c r="BI958" s="147"/>
      <c r="BJ958" s="147"/>
      <c r="BK958" s="147"/>
      <c r="BL958" s="147"/>
      <c r="BM958" s="147"/>
      <c r="BN958" s="147"/>
      <c r="BO958" s="147"/>
      <c r="BP958" s="147"/>
    </row>
    <row r="959" spans="3:68">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c r="AC959" s="147"/>
      <c r="AD959" s="147"/>
      <c r="AE959" s="147"/>
      <c r="AF959" s="147"/>
      <c r="AG959" s="147"/>
      <c r="AH959" s="147"/>
      <c r="AI959" s="147"/>
      <c r="AJ959" s="147"/>
      <c r="AK959" s="147"/>
      <c r="AL959" s="147"/>
      <c r="AM959" s="147"/>
      <c r="AN959" s="147"/>
      <c r="AO959" s="147"/>
      <c r="AP959" s="147"/>
      <c r="AQ959" s="147"/>
      <c r="AR959" s="147"/>
      <c r="AS959" s="147"/>
      <c r="AT959" s="147"/>
      <c r="AU959" s="147"/>
      <c r="AV959" s="147"/>
      <c r="AW959" s="147"/>
      <c r="AX959" s="147"/>
      <c r="AY959" s="147"/>
      <c r="AZ959" s="147"/>
      <c r="BA959" s="147"/>
      <c r="BB959" s="147"/>
      <c r="BC959" s="147"/>
      <c r="BD959" s="147"/>
      <c r="BE959" s="147"/>
      <c r="BF959" s="147"/>
      <c r="BG959" s="147"/>
      <c r="BH959" s="147"/>
      <c r="BI959" s="147"/>
      <c r="BJ959" s="147"/>
      <c r="BK959" s="147"/>
      <c r="BL959" s="147"/>
      <c r="BM959" s="147"/>
      <c r="BN959" s="147"/>
      <c r="BO959" s="147"/>
      <c r="BP959" s="147"/>
    </row>
    <row r="960" spans="3:68">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c r="AC960" s="147"/>
      <c r="AD960" s="147"/>
      <c r="AE960" s="147"/>
      <c r="AF960" s="147"/>
      <c r="AG960" s="147"/>
      <c r="AH960" s="147"/>
      <c r="AI960" s="147"/>
      <c r="AJ960" s="147"/>
      <c r="AK960" s="147"/>
      <c r="AL960" s="147"/>
      <c r="AM960" s="147"/>
      <c r="AN960" s="147"/>
      <c r="AO960" s="147"/>
      <c r="AP960" s="147"/>
      <c r="AQ960" s="147"/>
      <c r="AR960" s="147"/>
      <c r="AS960" s="147"/>
      <c r="AT960" s="147"/>
      <c r="AU960" s="147"/>
      <c r="AV960" s="147"/>
      <c r="AW960" s="147"/>
      <c r="AX960" s="147"/>
      <c r="AY960" s="147"/>
      <c r="AZ960" s="147"/>
      <c r="BA960" s="147"/>
      <c r="BB960" s="147"/>
      <c r="BC960" s="147"/>
      <c r="BD960" s="147"/>
      <c r="BE960" s="147"/>
      <c r="BF960" s="147"/>
      <c r="BG960" s="147"/>
      <c r="BH960" s="147"/>
      <c r="BI960" s="147"/>
      <c r="BJ960" s="147"/>
      <c r="BK960" s="147"/>
      <c r="BL960" s="147"/>
      <c r="BM960" s="147"/>
      <c r="BN960" s="147"/>
      <c r="BO960" s="147"/>
      <c r="BP960" s="147"/>
    </row>
    <row r="961" spans="3:68">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c r="AC961" s="147"/>
      <c r="AD961" s="147"/>
      <c r="AE961" s="147"/>
      <c r="AF961" s="147"/>
      <c r="AG961" s="147"/>
      <c r="AH961" s="147"/>
      <c r="AI961" s="147"/>
      <c r="AJ961" s="147"/>
      <c r="AK961" s="147"/>
      <c r="AL961" s="147"/>
      <c r="AM961" s="147"/>
      <c r="AN961" s="147"/>
      <c r="AO961" s="147"/>
      <c r="AP961" s="147"/>
      <c r="AQ961" s="147"/>
      <c r="AR961" s="147"/>
      <c r="AS961" s="147"/>
      <c r="AT961" s="147"/>
      <c r="AU961" s="147"/>
      <c r="AV961" s="147"/>
      <c r="AW961" s="147"/>
      <c r="AX961" s="147"/>
      <c r="AY961" s="147"/>
      <c r="AZ961" s="147"/>
      <c r="BA961" s="147"/>
      <c r="BB961" s="147"/>
      <c r="BC961" s="147"/>
      <c r="BD961" s="147"/>
      <c r="BE961" s="147"/>
      <c r="BF961" s="147"/>
      <c r="BG961" s="147"/>
      <c r="BH961" s="147"/>
      <c r="BI961" s="147"/>
      <c r="BJ961" s="147"/>
      <c r="BK961" s="147"/>
      <c r="BL961" s="147"/>
      <c r="BM961" s="147"/>
      <c r="BN961" s="147"/>
      <c r="BO961" s="147"/>
      <c r="BP961" s="147"/>
    </row>
    <row r="962" spans="3:68">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c r="AC962" s="147"/>
      <c r="AD962" s="147"/>
      <c r="AE962" s="147"/>
      <c r="AF962" s="147"/>
      <c r="AG962" s="147"/>
      <c r="AH962" s="147"/>
      <c r="AI962" s="147"/>
      <c r="AJ962" s="147"/>
      <c r="AK962" s="147"/>
      <c r="AL962" s="147"/>
      <c r="AM962" s="147"/>
      <c r="AN962" s="147"/>
      <c r="AO962" s="147"/>
      <c r="AP962" s="147"/>
      <c r="AQ962" s="147"/>
      <c r="AR962" s="147"/>
      <c r="AS962" s="147"/>
      <c r="AT962" s="147"/>
      <c r="AU962" s="147"/>
      <c r="AV962" s="147"/>
      <c r="AW962" s="147"/>
      <c r="AX962" s="147"/>
      <c r="AY962" s="147"/>
      <c r="AZ962" s="147"/>
      <c r="BA962" s="147"/>
      <c r="BB962" s="147"/>
      <c r="BC962" s="147"/>
      <c r="BD962" s="147"/>
      <c r="BE962" s="147"/>
      <c r="BF962" s="147"/>
      <c r="BG962" s="147"/>
      <c r="BH962" s="147"/>
      <c r="BI962" s="147"/>
      <c r="BJ962" s="147"/>
      <c r="BK962" s="147"/>
      <c r="BL962" s="147"/>
      <c r="BM962" s="147"/>
      <c r="BN962" s="147"/>
      <c r="BO962" s="147"/>
      <c r="BP962" s="147"/>
    </row>
    <row r="963" spans="3:68">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c r="AC963" s="147"/>
      <c r="AD963" s="147"/>
      <c r="AE963" s="147"/>
      <c r="AF963" s="147"/>
      <c r="AG963" s="147"/>
      <c r="AH963" s="147"/>
      <c r="AI963" s="147"/>
      <c r="AJ963" s="147"/>
      <c r="AK963" s="147"/>
      <c r="AL963" s="147"/>
      <c r="AM963" s="147"/>
      <c r="AN963" s="147"/>
      <c r="AO963" s="147"/>
      <c r="AP963" s="147"/>
      <c r="AQ963" s="147"/>
      <c r="AR963" s="147"/>
      <c r="AS963" s="147"/>
      <c r="AT963" s="147"/>
      <c r="AU963" s="147"/>
      <c r="AV963" s="147"/>
      <c r="AW963" s="147"/>
      <c r="AX963" s="147"/>
      <c r="AY963" s="147"/>
      <c r="AZ963" s="147"/>
      <c r="BA963" s="147"/>
      <c r="BB963" s="147"/>
      <c r="BC963" s="147"/>
      <c r="BD963" s="147"/>
      <c r="BE963" s="147"/>
      <c r="BF963" s="147"/>
      <c r="BG963" s="147"/>
      <c r="BH963" s="147"/>
      <c r="BI963" s="147"/>
      <c r="BJ963" s="147"/>
      <c r="BK963" s="147"/>
      <c r="BL963" s="147"/>
      <c r="BM963" s="147"/>
      <c r="BN963" s="147"/>
      <c r="BO963" s="147"/>
      <c r="BP963" s="147"/>
    </row>
    <row r="964" spans="3:68">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c r="AC964" s="147"/>
      <c r="AD964" s="147"/>
      <c r="AE964" s="147"/>
      <c r="AF964" s="147"/>
      <c r="AG964" s="147"/>
      <c r="AH964" s="147"/>
      <c r="AI964" s="147"/>
      <c r="AJ964" s="147"/>
      <c r="AK964" s="147"/>
      <c r="AL964" s="147"/>
      <c r="AM964" s="147"/>
      <c r="AN964" s="147"/>
      <c r="AO964" s="147"/>
      <c r="AP964" s="147"/>
      <c r="AQ964" s="147"/>
      <c r="AR964" s="147"/>
      <c r="AS964" s="147"/>
      <c r="AT964" s="147"/>
      <c r="AU964" s="147"/>
      <c r="AV964" s="147"/>
      <c r="AW964" s="147"/>
      <c r="AX964" s="147"/>
      <c r="AY964" s="147"/>
      <c r="AZ964" s="147"/>
      <c r="BA964" s="147"/>
      <c r="BB964" s="147"/>
      <c r="BC964" s="147"/>
      <c r="BD964" s="147"/>
      <c r="BE964" s="147"/>
      <c r="BF964" s="147"/>
      <c r="BG964" s="147"/>
      <c r="BH964" s="147"/>
      <c r="BI964" s="147"/>
      <c r="BJ964" s="147"/>
      <c r="BK964" s="147"/>
      <c r="BL964" s="147"/>
      <c r="BM964" s="147"/>
      <c r="BN964" s="147"/>
      <c r="BO964" s="147"/>
      <c r="BP964" s="147"/>
    </row>
    <row r="965" spans="3:68">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c r="AC965" s="147"/>
      <c r="AD965" s="147"/>
      <c r="AE965" s="147"/>
      <c r="AF965" s="147"/>
      <c r="AG965" s="147"/>
      <c r="AH965" s="147"/>
      <c r="AI965" s="147"/>
      <c r="AJ965" s="147"/>
      <c r="AK965" s="147"/>
      <c r="AL965" s="147"/>
      <c r="AM965" s="147"/>
      <c r="AN965" s="147"/>
      <c r="AO965" s="147"/>
      <c r="AP965" s="147"/>
      <c r="AQ965" s="147"/>
      <c r="AR965" s="147"/>
      <c r="AS965" s="147"/>
      <c r="AT965" s="147"/>
      <c r="AU965" s="147"/>
      <c r="AV965" s="147"/>
      <c r="AW965" s="147"/>
      <c r="AX965" s="147"/>
      <c r="AY965" s="147"/>
      <c r="AZ965" s="147"/>
      <c r="BA965" s="147"/>
      <c r="BB965" s="147"/>
      <c r="BC965" s="147"/>
      <c r="BD965" s="147"/>
      <c r="BE965" s="147"/>
      <c r="BF965" s="147"/>
      <c r="BG965" s="147"/>
      <c r="BH965" s="147"/>
      <c r="BI965" s="147"/>
      <c r="BJ965" s="147"/>
      <c r="BK965" s="147"/>
      <c r="BL965" s="147"/>
      <c r="BM965" s="147"/>
      <c r="BN965" s="147"/>
      <c r="BO965" s="147"/>
      <c r="BP965" s="147"/>
    </row>
    <row r="966" spans="3:68">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c r="AC966" s="147"/>
      <c r="AD966" s="147"/>
      <c r="AE966" s="147"/>
      <c r="AF966" s="147"/>
      <c r="AG966" s="147"/>
      <c r="AH966" s="147"/>
      <c r="AI966" s="147"/>
      <c r="AJ966" s="147"/>
      <c r="AK966" s="147"/>
      <c r="AL966" s="147"/>
      <c r="AM966" s="147"/>
      <c r="AN966" s="147"/>
      <c r="AO966" s="147"/>
      <c r="AP966" s="147"/>
      <c r="AQ966" s="147"/>
      <c r="AR966" s="147"/>
      <c r="AS966" s="147"/>
      <c r="AT966" s="147"/>
      <c r="AU966" s="147"/>
      <c r="AV966" s="147"/>
      <c r="AW966" s="147"/>
      <c r="AX966" s="147"/>
      <c r="AY966" s="147"/>
      <c r="AZ966" s="147"/>
      <c r="BA966" s="147"/>
      <c r="BB966" s="147"/>
      <c r="BC966" s="147"/>
      <c r="BD966" s="147"/>
      <c r="BE966" s="147"/>
      <c r="BF966" s="147"/>
      <c r="BG966" s="147"/>
      <c r="BH966" s="147"/>
      <c r="BI966" s="147"/>
      <c r="BJ966" s="147"/>
      <c r="BK966" s="147"/>
      <c r="BL966" s="147"/>
      <c r="BM966" s="147"/>
      <c r="BN966" s="147"/>
      <c r="BO966" s="147"/>
      <c r="BP966" s="147"/>
    </row>
    <row r="967" spans="3:68">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c r="AC967" s="147"/>
      <c r="AD967" s="147"/>
      <c r="AE967" s="147"/>
      <c r="AF967" s="147"/>
      <c r="AG967" s="147"/>
      <c r="AH967" s="147"/>
      <c r="AI967" s="147"/>
      <c r="AJ967" s="147"/>
      <c r="AK967" s="147"/>
      <c r="AL967" s="147"/>
      <c r="AM967" s="147"/>
      <c r="AN967" s="147"/>
      <c r="AO967" s="147"/>
      <c r="AP967" s="147"/>
      <c r="AQ967" s="147"/>
      <c r="AR967" s="147"/>
      <c r="AS967" s="147"/>
      <c r="AT967" s="147"/>
      <c r="AU967" s="147"/>
      <c r="AV967" s="147"/>
      <c r="AW967" s="147"/>
      <c r="AX967" s="147"/>
      <c r="AY967" s="147"/>
      <c r="AZ967" s="147"/>
      <c r="BA967" s="147"/>
      <c r="BB967" s="147"/>
      <c r="BC967" s="147"/>
      <c r="BD967" s="147"/>
      <c r="BE967" s="147"/>
      <c r="BF967" s="147"/>
      <c r="BG967" s="147"/>
      <c r="BH967" s="147"/>
      <c r="BI967" s="147"/>
      <c r="BJ967" s="147"/>
      <c r="BK967" s="147"/>
      <c r="BL967" s="147"/>
      <c r="BM967" s="147"/>
      <c r="BN967" s="147"/>
      <c r="BO967" s="147"/>
      <c r="BP967" s="147"/>
    </row>
    <row r="968" spans="3:68">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c r="AC968" s="147"/>
      <c r="AD968" s="147"/>
      <c r="AE968" s="147"/>
      <c r="AF968" s="147"/>
      <c r="AG968" s="147"/>
      <c r="AH968" s="147"/>
      <c r="AI968" s="147"/>
      <c r="AJ968" s="147"/>
      <c r="AK968" s="147"/>
      <c r="AL968" s="147"/>
      <c r="AM968" s="147"/>
      <c r="AN968" s="147"/>
      <c r="AO968" s="147"/>
      <c r="AP968" s="147"/>
      <c r="AQ968" s="147"/>
      <c r="AR968" s="147"/>
      <c r="AS968" s="147"/>
      <c r="AT968" s="147"/>
      <c r="AU968" s="147"/>
      <c r="AV968" s="147"/>
      <c r="AW968" s="147"/>
      <c r="AX968" s="147"/>
      <c r="AY968" s="147"/>
      <c r="AZ968" s="147"/>
      <c r="BA968" s="147"/>
      <c r="BB968" s="147"/>
      <c r="BC968" s="147"/>
      <c r="BD968" s="147"/>
      <c r="BE968" s="147"/>
      <c r="BF968" s="147"/>
      <c r="BG968" s="147"/>
      <c r="BH968" s="147"/>
      <c r="BI968" s="147"/>
      <c r="BJ968" s="147"/>
      <c r="BK968" s="147"/>
      <c r="BL968" s="147"/>
      <c r="BM968" s="147"/>
      <c r="BN968" s="147"/>
      <c r="BO968" s="147"/>
      <c r="BP968" s="147"/>
    </row>
    <row r="969" spans="3:68">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c r="AC969" s="147"/>
      <c r="AD969" s="147"/>
      <c r="AE969" s="147"/>
      <c r="AF969" s="147"/>
      <c r="AG969" s="147"/>
      <c r="AH969" s="147"/>
      <c r="AI969" s="147"/>
      <c r="AJ969" s="147"/>
      <c r="AK969" s="147"/>
      <c r="AL969" s="147"/>
      <c r="AM969" s="147"/>
      <c r="AN969" s="147"/>
      <c r="AO969" s="147"/>
      <c r="AP969" s="147"/>
      <c r="AQ969" s="147"/>
      <c r="AR969" s="147"/>
      <c r="AS969" s="147"/>
      <c r="AT969" s="147"/>
      <c r="AU969" s="147"/>
      <c r="AV969" s="147"/>
      <c r="AW969" s="147"/>
      <c r="AX969" s="147"/>
      <c r="AY969" s="147"/>
      <c r="AZ969" s="147"/>
      <c r="BA969" s="147"/>
      <c r="BB969" s="147"/>
      <c r="BC969" s="147"/>
      <c r="BD969" s="147"/>
      <c r="BE969" s="147"/>
      <c r="BF969" s="147"/>
      <c r="BG969" s="147"/>
      <c r="BH969" s="147"/>
      <c r="BI969" s="147"/>
      <c r="BJ969" s="147"/>
      <c r="BK969" s="147"/>
      <c r="BL969" s="147"/>
      <c r="BM969" s="147"/>
      <c r="BN969" s="147"/>
      <c r="BO969" s="147"/>
      <c r="BP969" s="147"/>
    </row>
    <row r="970" spans="3:68">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c r="AC970" s="147"/>
      <c r="AD970" s="147"/>
      <c r="AE970" s="147"/>
      <c r="AF970" s="147"/>
      <c r="AG970" s="147"/>
      <c r="AH970" s="147"/>
      <c r="AI970" s="147"/>
      <c r="AJ970" s="147"/>
      <c r="AK970" s="147"/>
      <c r="AL970" s="147"/>
      <c r="AM970" s="147"/>
      <c r="AN970" s="147"/>
      <c r="AO970" s="147"/>
      <c r="AP970" s="147"/>
      <c r="AQ970" s="147"/>
      <c r="AR970" s="147"/>
      <c r="AS970" s="147"/>
      <c r="AT970" s="147"/>
      <c r="AU970" s="147"/>
      <c r="AV970" s="147"/>
      <c r="AW970" s="147"/>
      <c r="AX970" s="147"/>
      <c r="AY970" s="147"/>
      <c r="AZ970" s="147"/>
      <c r="BA970" s="147"/>
      <c r="BB970" s="147"/>
      <c r="BC970" s="147"/>
      <c r="BD970" s="147"/>
      <c r="BE970" s="147"/>
      <c r="BF970" s="147"/>
      <c r="BG970" s="147"/>
      <c r="BH970" s="147"/>
      <c r="BI970" s="147"/>
      <c r="BJ970" s="147"/>
      <c r="BK970" s="147"/>
      <c r="BL970" s="147"/>
      <c r="BM970" s="147"/>
      <c r="BN970" s="147"/>
      <c r="BO970" s="147"/>
      <c r="BP970" s="147"/>
    </row>
    <row r="971" spans="3:68">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c r="AC971" s="147"/>
      <c r="AD971" s="147"/>
      <c r="AE971" s="147"/>
      <c r="AF971" s="147"/>
      <c r="AG971" s="147"/>
      <c r="AH971" s="147"/>
      <c r="AI971" s="147"/>
      <c r="AJ971" s="147"/>
      <c r="AK971" s="147"/>
      <c r="AL971" s="147"/>
      <c r="AM971" s="147"/>
      <c r="AN971" s="147"/>
      <c r="AO971" s="147"/>
      <c r="AP971" s="147"/>
      <c r="AQ971" s="147"/>
      <c r="AR971" s="147"/>
      <c r="AS971" s="147"/>
      <c r="AT971" s="147"/>
      <c r="AU971" s="147"/>
      <c r="AV971" s="147"/>
      <c r="AW971" s="147"/>
      <c r="AX971" s="147"/>
      <c r="AY971" s="147"/>
      <c r="AZ971" s="147"/>
      <c r="BA971" s="147"/>
      <c r="BB971" s="147"/>
      <c r="BC971" s="147"/>
      <c r="BD971" s="147"/>
      <c r="BE971" s="147"/>
      <c r="BF971" s="147"/>
      <c r="BG971" s="147"/>
      <c r="BH971" s="147"/>
      <c r="BI971" s="147"/>
      <c r="BJ971" s="147"/>
      <c r="BK971" s="147"/>
      <c r="BL971" s="147"/>
      <c r="BM971" s="147"/>
      <c r="BN971" s="147"/>
      <c r="BO971" s="147"/>
      <c r="BP971" s="147"/>
    </row>
    <row r="972" spans="3:68">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7"/>
      <c r="AN972" s="147"/>
      <c r="AO972" s="147"/>
      <c r="AP972" s="147"/>
      <c r="AQ972" s="147"/>
      <c r="AR972" s="147"/>
      <c r="AS972" s="147"/>
      <c r="AT972" s="147"/>
      <c r="AU972" s="147"/>
      <c r="AV972" s="147"/>
      <c r="AW972" s="147"/>
      <c r="AX972" s="147"/>
      <c r="AY972" s="147"/>
      <c r="AZ972" s="147"/>
      <c r="BA972" s="147"/>
      <c r="BB972" s="147"/>
      <c r="BC972" s="147"/>
      <c r="BD972" s="147"/>
      <c r="BE972" s="147"/>
      <c r="BF972" s="147"/>
      <c r="BG972" s="147"/>
      <c r="BH972" s="147"/>
      <c r="BI972" s="147"/>
      <c r="BJ972" s="147"/>
      <c r="BK972" s="147"/>
      <c r="BL972" s="147"/>
      <c r="BM972" s="147"/>
      <c r="BN972" s="147"/>
      <c r="BO972" s="147"/>
      <c r="BP972" s="147"/>
    </row>
    <row r="973" spans="3:68">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c r="AC973" s="147"/>
      <c r="AD973" s="147"/>
      <c r="AE973" s="147"/>
      <c r="AF973" s="147"/>
      <c r="AG973" s="147"/>
      <c r="AH973" s="147"/>
      <c r="AI973" s="147"/>
      <c r="AJ973" s="147"/>
      <c r="AK973" s="147"/>
      <c r="AL973" s="147"/>
      <c r="AM973" s="147"/>
      <c r="AN973" s="147"/>
      <c r="AO973" s="147"/>
      <c r="AP973" s="147"/>
      <c r="AQ973" s="147"/>
      <c r="AR973" s="147"/>
      <c r="AS973" s="147"/>
      <c r="AT973" s="147"/>
      <c r="AU973" s="147"/>
      <c r="AV973" s="147"/>
      <c r="AW973" s="147"/>
      <c r="AX973" s="147"/>
      <c r="AY973" s="147"/>
      <c r="AZ973" s="147"/>
      <c r="BA973" s="147"/>
      <c r="BB973" s="147"/>
      <c r="BC973" s="147"/>
      <c r="BD973" s="147"/>
      <c r="BE973" s="147"/>
      <c r="BF973" s="147"/>
      <c r="BG973" s="147"/>
      <c r="BH973" s="147"/>
      <c r="BI973" s="147"/>
      <c r="BJ973" s="147"/>
      <c r="BK973" s="147"/>
      <c r="BL973" s="147"/>
      <c r="BM973" s="147"/>
      <c r="BN973" s="147"/>
      <c r="BO973" s="147"/>
      <c r="BP973" s="147"/>
    </row>
    <row r="974" spans="3:68">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c r="AC974" s="147"/>
      <c r="AD974" s="147"/>
      <c r="AE974" s="147"/>
      <c r="AF974" s="147"/>
      <c r="AG974" s="147"/>
      <c r="AH974" s="147"/>
      <c r="AI974" s="147"/>
      <c r="AJ974" s="147"/>
      <c r="AK974" s="147"/>
      <c r="AL974" s="147"/>
      <c r="AM974" s="147"/>
      <c r="AN974" s="147"/>
      <c r="AO974" s="147"/>
      <c r="AP974" s="147"/>
      <c r="AQ974" s="147"/>
      <c r="AR974" s="147"/>
      <c r="AS974" s="147"/>
      <c r="AT974" s="147"/>
      <c r="AU974" s="147"/>
      <c r="AV974" s="147"/>
      <c r="AW974" s="147"/>
      <c r="AX974" s="147"/>
      <c r="AY974" s="147"/>
      <c r="AZ974" s="147"/>
      <c r="BA974" s="147"/>
      <c r="BB974" s="147"/>
      <c r="BC974" s="147"/>
      <c r="BD974" s="147"/>
      <c r="BE974" s="147"/>
      <c r="BF974" s="147"/>
      <c r="BG974" s="147"/>
      <c r="BH974" s="147"/>
      <c r="BI974" s="147"/>
      <c r="BJ974" s="147"/>
      <c r="BK974" s="147"/>
      <c r="BL974" s="147"/>
      <c r="BM974" s="147"/>
      <c r="BN974" s="147"/>
      <c r="BO974" s="147"/>
      <c r="BP974" s="147"/>
    </row>
    <row r="975" spans="3:68">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c r="AC975" s="147"/>
      <c r="AD975" s="147"/>
      <c r="AE975" s="147"/>
      <c r="AF975" s="147"/>
      <c r="AG975" s="147"/>
      <c r="AH975" s="147"/>
      <c r="AI975" s="147"/>
      <c r="AJ975" s="147"/>
      <c r="AK975" s="147"/>
      <c r="AL975" s="147"/>
      <c r="AM975" s="147"/>
      <c r="AN975" s="147"/>
      <c r="AO975" s="147"/>
      <c r="AP975" s="147"/>
      <c r="AQ975" s="147"/>
      <c r="AR975" s="147"/>
      <c r="AS975" s="147"/>
      <c r="AT975" s="147"/>
      <c r="AU975" s="147"/>
      <c r="AV975" s="147"/>
      <c r="AW975" s="147"/>
      <c r="AX975" s="147"/>
      <c r="AY975" s="147"/>
      <c r="AZ975" s="147"/>
      <c r="BA975" s="147"/>
      <c r="BB975" s="147"/>
      <c r="BC975" s="147"/>
      <c r="BD975" s="147"/>
      <c r="BE975" s="147"/>
      <c r="BF975" s="147"/>
      <c r="BG975" s="147"/>
      <c r="BH975" s="147"/>
      <c r="BI975" s="147"/>
      <c r="BJ975" s="147"/>
      <c r="BK975" s="147"/>
      <c r="BL975" s="147"/>
      <c r="BM975" s="147"/>
      <c r="BN975" s="147"/>
      <c r="BO975" s="147"/>
      <c r="BP975" s="147"/>
    </row>
    <row r="976" spans="3:68">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c r="AC976" s="147"/>
      <c r="AD976" s="147"/>
      <c r="AE976" s="147"/>
      <c r="AF976" s="147"/>
      <c r="AG976" s="147"/>
      <c r="AH976" s="147"/>
      <c r="AI976" s="147"/>
      <c r="AJ976" s="147"/>
      <c r="AK976" s="147"/>
      <c r="AL976" s="147"/>
      <c r="AM976" s="147"/>
      <c r="AN976" s="147"/>
      <c r="AO976" s="147"/>
      <c r="AP976" s="147"/>
      <c r="AQ976" s="147"/>
      <c r="AR976" s="147"/>
      <c r="AS976" s="147"/>
      <c r="AT976" s="147"/>
      <c r="AU976" s="147"/>
      <c r="AV976" s="147"/>
      <c r="AW976" s="147"/>
      <c r="AX976" s="147"/>
      <c r="AY976" s="147"/>
      <c r="AZ976" s="147"/>
      <c r="BA976" s="147"/>
      <c r="BB976" s="147"/>
      <c r="BC976" s="147"/>
      <c r="BD976" s="147"/>
      <c r="BE976" s="147"/>
      <c r="BF976" s="147"/>
      <c r="BG976" s="147"/>
      <c r="BH976" s="147"/>
      <c r="BI976" s="147"/>
      <c r="BJ976" s="147"/>
      <c r="BK976" s="147"/>
      <c r="BL976" s="147"/>
      <c r="BM976" s="147"/>
      <c r="BN976" s="147"/>
      <c r="BO976" s="147"/>
      <c r="BP976" s="147"/>
    </row>
    <row r="977" spans="3:68">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c r="AC977" s="147"/>
      <c r="AD977" s="147"/>
      <c r="AE977" s="147"/>
      <c r="AF977" s="147"/>
      <c r="AG977" s="147"/>
      <c r="AH977" s="147"/>
      <c r="AI977" s="147"/>
      <c r="AJ977" s="147"/>
      <c r="AK977" s="147"/>
      <c r="AL977" s="147"/>
      <c r="AM977" s="147"/>
      <c r="AN977" s="147"/>
      <c r="AO977" s="147"/>
      <c r="AP977" s="147"/>
      <c r="AQ977" s="147"/>
      <c r="AR977" s="147"/>
      <c r="AS977" s="147"/>
      <c r="AT977" s="147"/>
      <c r="AU977" s="147"/>
      <c r="AV977" s="147"/>
      <c r="AW977" s="147"/>
      <c r="AX977" s="147"/>
      <c r="AY977" s="147"/>
      <c r="AZ977" s="147"/>
      <c r="BA977" s="147"/>
      <c r="BB977" s="147"/>
      <c r="BC977" s="147"/>
      <c r="BD977" s="147"/>
      <c r="BE977" s="147"/>
      <c r="BF977" s="147"/>
      <c r="BG977" s="147"/>
      <c r="BH977" s="147"/>
      <c r="BI977" s="147"/>
      <c r="BJ977" s="147"/>
      <c r="BK977" s="147"/>
      <c r="BL977" s="147"/>
      <c r="BM977" s="147"/>
      <c r="BN977" s="147"/>
      <c r="BO977" s="147"/>
      <c r="BP977" s="147"/>
    </row>
    <row r="978" spans="3:68">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c r="AC978" s="147"/>
      <c r="AD978" s="147"/>
      <c r="AE978" s="147"/>
      <c r="AF978" s="147"/>
      <c r="AG978" s="147"/>
      <c r="AH978" s="147"/>
      <c r="AI978" s="147"/>
      <c r="AJ978" s="147"/>
      <c r="AK978" s="147"/>
      <c r="AL978" s="147"/>
      <c r="AM978" s="147"/>
      <c r="AN978" s="147"/>
      <c r="AO978" s="147"/>
      <c r="AP978" s="147"/>
      <c r="AQ978" s="147"/>
      <c r="AR978" s="147"/>
      <c r="AS978" s="147"/>
      <c r="AT978" s="147"/>
      <c r="AU978" s="147"/>
      <c r="AV978" s="147"/>
      <c r="AW978" s="147"/>
      <c r="AX978" s="147"/>
      <c r="AY978" s="147"/>
      <c r="AZ978" s="147"/>
      <c r="BA978" s="147"/>
      <c r="BB978" s="147"/>
      <c r="BC978" s="147"/>
      <c r="BD978" s="147"/>
      <c r="BE978" s="147"/>
      <c r="BF978" s="147"/>
      <c r="BG978" s="147"/>
      <c r="BH978" s="147"/>
      <c r="BI978" s="147"/>
      <c r="BJ978" s="147"/>
      <c r="BK978" s="147"/>
      <c r="BL978" s="147"/>
      <c r="BM978" s="147"/>
      <c r="BN978" s="147"/>
      <c r="BO978" s="147"/>
      <c r="BP978" s="147"/>
    </row>
    <row r="979" spans="3:68">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c r="AC979" s="147"/>
      <c r="AD979" s="147"/>
      <c r="AE979" s="147"/>
      <c r="AF979" s="147"/>
      <c r="AG979" s="147"/>
      <c r="AH979" s="147"/>
      <c r="AI979" s="147"/>
      <c r="AJ979" s="147"/>
      <c r="AK979" s="147"/>
      <c r="AL979" s="147"/>
      <c r="AM979" s="147"/>
      <c r="AN979" s="147"/>
      <c r="AO979" s="147"/>
      <c r="AP979" s="147"/>
      <c r="AQ979" s="147"/>
      <c r="AR979" s="147"/>
      <c r="AS979" s="147"/>
      <c r="AT979" s="147"/>
      <c r="AU979" s="147"/>
      <c r="AV979" s="147"/>
      <c r="AW979" s="147"/>
      <c r="AX979" s="147"/>
      <c r="AY979" s="147"/>
      <c r="AZ979" s="147"/>
      <c r="BA979" s="147"/>
      <c r="BB979" s="147"/>
      <c r="BC979" s="147"/>
      <c r="BD979" s="147"/>
      <c r="BE979" s="147"/>
      <c r="BF979" s="147"/>
      <c r="BG979" s="147"/>
      <c r="BH979" s="147"/>
      <c r="BI979" s="147"/>
      <c r="BJ979" s="147"/>
      <c r="BK979" s="147"/>
      <c r="BL979" s="147"/>
      <c r="BM979" s="147"/>
      <c r="BN979" s="147"/>
      <c r="BO979" s="147"/>
      <c r="BP979" s="147"/>
    </row>
    <row r="980" spans="3:68">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c r="AC980" s="147"/>
      <c r="AD980" s="147"/>
      <c r="AE980" s="147"/>
      <c r="AF980" s="147"/>
      <c r="AG980" s="147"/>
      <c r="AH980" s="147"/>
      <c r="AI980" s="147"/>
      <c r="AJ980" s="147"/>
      <c r="AK980" s="147"/>
      <c r="AL980" s="147"/>
      <c r="AM980" s="147"/>
      <c r="AN980" s="147"/>
      <c r="AO980" s="147"/>
      <c r="AP980" s="147"/>
      <c r="AQ980" s="147"/>
      <c r="AR980" s="147"/>
      <c r="AS980" s="147"/>
      <c r="AT980" s="147"/>
      <c r="AU980" s="147"/>
      <c r="AV980" s="147"/>
      <c r="AW980" s="147"/>
      <c r="AX980" s="147"/>
      <c r="AY980" s="147"/>
      <c r="AZ980" s="147"/>
      <c r="BA980" s="147"/>
      <c r="BB980" s="147"/>
      <c r="BC980" s="147"/>
      <c r="BD980" s="147"/>
      <c r="BE980" s="147"/>
      <c r="BF980" s="147"/>
      <c r="BG980" s="147"/>
      <c r="BH980" s="147"/>
      <c r="BI980" s="147"/>
      <c r="BJ980" s="147"/>
      <c r="BK980" s="147"/>
      <c r="BL980" s="147"/>
      <c r="BM980" s="147"/>
      <c r="BN980" s="147"/>
      <c r="BO980" s="147"/>
      <c r="BP980" s="147"/>
    </row>
    <row r="981" spans="3:68">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c r="AC981" s="147"/>
      <c r="AD981" s="147"/>
      <c r="AE981" s="147"/>
      <c r="AF981" s="147"/>
      <c r="AG981" s="147"/>
      <c r="AH981" s="147"/>
      <c r="AI981" s="147"/>
      <c r="AJ981" s="147"/>
      <c r="AK981" s="147"/>
      <c r="AL981" s="147"/>
      <c r="AM981" s="147"/>
      <c r="AN981" s="147"/>
      <c r="AO981" s="147"/>
      <c r="AP981" s="147"/>
      <c r="AQ981" s="147"/>
      <c r="AR981" s="147"/>
      <c r="AS981" s="147"/>
      <c r="AT981" s="147"/>
      <c r="AU981" s="147"/>
      <c r="AV981" s="147"/>
      <c r="AW981" s="147"/>
      <c r="AX981" s="147"/>
      <c r="AY981" s="147"/>
      <c r="AZ981" s="147"/>
      <c r="BA981" s="147"/>
      <c r="BB981" s="147"/>
      <c r="BC981" s="147"/>
      <c r="BD981" s="147"/>
      <c r="BE981" s="147"/>
      <c r="BF981" s="147"/>
      <c r="BG981" s="147"/>
      <c r="BH981" s="147"/>
      <c r="BI981" s="147"/>
      <c r="BJ981" s="147"/>
      <c r="BK981" s="147"/>
      <c r="BL981" s="147"/>
      <c r="BM981" s="147"/>
      <c r="BN981" s="147"/>
      <c r="BO981" s="147"/>
      <c r="BP981" s="147"/>
    </row>
    <row r="982" spans="3:68">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c r="AC982" s="147"/>
      <c r="AD982" s="147"/>
      <c r="AE982" s="147"/>
      <c r="AF982" s="147"/>
      <c r="AG982" s="147"/>
      <c r="AH982" s="147"/>
      <c r="AI982" s="147"/>
      <c r="AJ982" s="147"/>
      <c r="AK982" s="147"/>
      <c r="AL982" s="147"/>
      <c r="AM982" s="147"/>
      <c r="AN982" s="147"/>
      <c r="AO982" s="147"/>
      <c r="AP982" s="147"/>
      <c r="AQ982" s="147"/>
      <c r="AR982" s="147"/>
      <c r="AS982" s="147"/>
      <c r="AT982" s="147"/>
      <c r="AU982" s="147"/>
      <c r="AV982" s="147"/>
      <c r="AW982" s="147"/>
      <c r="AX982" s="147"/>
      <c r="AY982" s="147"/>
      <c r="AZ982" s="147"/>
      <c r="BA982" s="147"/>
      <c r="BB982" s="147"/>
      <c r="BC982" s="147"/>
      <c r="BD982" s="147"/>
      <c r="BE982" s="147"/>
      <c r="BF982" s="147"/>
      <c r="BG982" s="147"/>
      <c r="BH982" s="147"/>
      <c r="BI982" s="147"/>
      <c r="BJ982" s="147"/>
      <c r="BK982" s="147"/>
      <c r="BL982" s="147"/>
      <c r="BM982" s="147"/>
      <c r="BN982" s="147"/>
      <c r="BO982" s="147"/>
      <c r="BP982" s="147"/>
    </row>
    <row r="983" spans="3:68">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c r="AC983" s="147"/>
      <c r="AD983" s="147"/>
      <c r="AE983" s="147"/>
      <c r="AF983" s="147"/>
      <c r="AG983" s="147"/>
      <c r="AH983" s="147"/>
      <c r="AI983" s="147"/>
      <c r="AJ983" s="147"/>
      <c r="AK983" s="147"/>
      <c r="AL983" s="147"/>
      <c r="AM983" s="147"/>
      <c r="AN983" s="147"/>
      <c r="AO983" s="147"/>
      <c r="AP983" s="147"/>
      <c r="AQ983" s="147"/>
      <c r="AR983" s="147"/>
      <c r="AS983" s="147"/>
      <c r="AT983" s="147"/>
      <c r="AU983" s="147"/>
      <c r="AV983" s="147"/>
      <c r="AW983" s="147"/>
      <c r="AX983" s="147"/>
      <c r="AY983" s="147"/>
      <c r="AZ983" s="147"/>
      <c r="BA983" s="147"/>
      <c r="BB983" s="147"/>
      <c r="BC983" s="147"/>
      <c r="BD983" s="147"/>
      <c r="BE983" s="147"/>
      <c r="BF983" s="147"/>
      <c r="BG983" s="147"/>
      <c r="BH983" s="147"/>
      <c r="BI983" s="147"/>
      <c r="BJ983" s="147"/>
      <c r="BK983" s="147"/>
      <c r="BL983" s="147"/>
      <c r="BM983" s="147"/>
      <c r="BN983" s="147"/>
      <c r="BO983" s="147"/>
      <c r="BP983" s="147"/>
    </row>
    <row r="984" spans="3:68">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c r="AC984" s="147"/>
      <c r="AD984" s="147"/>
      <c r="AE984" s="147"/>
      <c r="AF984" s="147"/>
      <c r="AG984" s="147"/>
      <c r="AH984" s="147"/>
      <c r="AI984" s="147"/>
      <c r="AJ984" s="147"/>
      <c r="AK984" s="147"/>
      <c r="AL984" s="147"/>
      <c r="AM984" s="147"/>
      <c r="AN984" s="147"/>
      <c r="AO984" s="147"/>
      <c r="AP984" s="147"/>
      <c r="AQ984" s="147"/>
      <c r="AR984" s="147"/>
      <c r="AS984" s="147"/>
      <c r="AT984" s="147"/>
      <c r="AU984" s="147"/>
      <c r="AV984" s="147"/>
      <c r="AW984" s="147"/>
      <c r="AX984" s="147"/>
      <c r="AY984" s="147"/>
      <c r="AZ984" s="147"/>
      <c r="BA984" s="147"/>
      <c r="BB984" s="147"/>
      <c r="BC984" s="147"/>
      <c r="BD984" s="147"/>
      <c r="BE984" s="147"/>
      <c r="BF984" s="147"/>
      <c r="BG984" s="147"/>
      <c r="BH984" s="147"/>
      <c r="BI984" s="147"/>
      <c r="BJ984" s="147"/>
      <c r="BK984" s="147"/>
      <c r="BL984" s="147"/>
      <c r="BM984" s="147"/>
      <c r="BN984" s="147"/>
      <c r="BO984" s="147"/>
      <c r="BP984" s="147"/>
    </row>
    <row r="985" spans="3:68">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c r="AC985" s="147"/>
      <c r="AD985" s="147"/>
      <c r="AE985" s="147"/>
      <c r="AF985" s="147"/>
      <c r="AG985" s="147"/>
      <c r="AH985" s="147"/>
      <c r="AI985" s="147"/>
      <c r="AJ985" s="147"/>
      <c r="AK985" s="147"/>
      <c r="AL985" s="147"/>
      <c r="AM985" s="147"/>
      <c r="AN985" s="147"/>
      <c r="AO985" s="147"/>
      <c r="AP985" s="147"/>
      <c r="AQ985" s="147"/>
      <c r="AR985" s="147"/>
      <c r="AS985" s="147"/>
      <c r="AT985" s="147"/>
      <c r="AU985" s="147"/>
      <c r="AV985" s="147"/>
      <c r="AW985" s="147"/>
      <c r="AX985" s="147"/>
      <c r="AY985" s="147"/>
      <c r="AZ985" s="147"/>
      <c r="BA985" s="147"/>
      <c r="BB985" s="147"/>
      <c r="BC985" s="147"/>
      <c r="BD985" s="147"/>
      <c r="BE985" s="147"/>
      <c r="BF985" s="147"/>
      <c r="BG985" s="147"/>
      <c r="BH985" s="147"/>
      <c r="BI985" s="147"/>
      <c r="BJ985" s="147"/>
      <c r="BK985" s="147"/>
      <c r="BL985" s="147"/>
      <c r="BM985" s="147"/>
      <c r="BN985" s="147"/>
      <c r="BO985" s="147"/>
      <c r="BP985" s="147"/>
    </row>
    <row r="986" spans="3:68">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c r="AC986" s="147"/>
      <c r="AD986" s="147"/>
      <c r="AE986" s="147"/>
      <c r="AF986" s="147"/>
      <c r="AG986" s="147"/>
      <c r="AH986" s="147"/>
      <c r="AI986" s="147"/>
      <c r="AJ986" s="147"/>
      <c r="AK986" s="147"/>
      <c r="AL986" s="147"/>
      <c r="AM986" s="147"/>
      <c r="AN986" s="147"/>
      <c r="AO986" s="147"/>
      <c r="AP986" s="147"/>
      <c r="AQ986" s="147"/>
      <c r="AR986" s="147"/>
      <c r="AS986" s="147"/>
      <c r="AT986" s="147"/>
      <c r="AU986" s="147"/>
      <c r="AV986" s="147"/>
      <c r="AW986" s="147"/>
      <c r="AX986" s="147"/>
      <c r="AY986" s="147"/>
      <c r="AZ986" s="147"/>
      <c r="BA986" s="147"/>
      <c r="BB986" s="147"/>
      <c r="BC986" s="147"/>
      <c r="BD986" s="147"/>
      <c r="BE986" s="147"/>
      <c r="BF986" s="147"/>
      <c r="BG986" s="147"/>
      <c r="BH986" s="147"/>
      <c r="BI986" s="147"/>
      <c r="BJ986" s="147"/>
      <c r="BK986" s="147"/>
      <c r="BL986" s="147"/>
      <c r="BM986" s="147"/>
      <c r="BN986" s="147"/>
      <c r="BO986" s="147"/>
      <c r="BP986" s="147"/>
    </row>
    <row r="987" spans="3:68">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c r="AC987" s="147"/>
      <c r="AD987" s="147"/>
      <c r="AE987" s="147"/>
      <c r="AF987" s="147"/>
      <c r="AG987" s="147"/>
      <c r="AH987" s="147"/>
      <c r="AI987" s="147"/>
      <c r="AJ987" s="147"/>
      <c r="AK987" s="147"/>
      <c r="AL987" s="147"/>
      <c r="AM987" s="147"/>
      <c r="AN987" s="147"/>
      <c r="AO987" s="147"/>
      <c r="AP987" s="147"/>
      <c r="AQ987" s="147"/>
      <c r="AR987" s="147"/>
      <c r="AS987" s="147"/>
      <c r="AT987" s="147"/>
      <c r="AU987" s="147"/>
      <c r="AV987" s="147"/>
      <c r="AW987" s="147"/>
      <c r="AX987" s="147"/>
      <c r="AY987" s="147"/>
      <c r="AZ987" s="147"/>
      <c r="BA987" s="147"/>
      <c r="BB987" s="147"/>
      <c r="BC987" s="147"/>
      <c r="BD987" s="147"/>
      <c r="BE987" s="147"/>
      <c r="BF987" s="147"/>
      <c r="BG987" s="147"/>
      <c r="BH987" s="147"/>
      <c r="BI987" s="147"/>
      <c r="BJ987" s="147"/>
      <c r="BK987" s="147"/>
      <c r="BL987" s="147"/>
      <c r="BM987" s="147"/>
      <c r="BN987" s="147"/>
      <c r="BO987" s="147"/>
      <c r="BP987" s="147"/>
    </row>
    <row r="988" spans="3:68">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c r="AC988" s="147"/>
      <c r="AD988" s="147"/>
      <c r="AE988" s="147"/>
      <c r="AF988" s="147"/>
      <c r="AG988" s="147"/>
      <c r="AH988" s="147"/>
      <c r="AI988" s="147"/>
      <c r="AJ988" s="147"/>
      <c r="AK988" s="147"/>
      <c r="AL988" s="147"/>
      <c r="AM988" s="147"/>
      <c r="AN988" s="147"/>
      <c r="AO988" s="147"/>
      <c r="AP988" s="147"/>
      <c r="AQ988" s="147"/>
      <c r="AR988" s="147"/>
      <c r="AS988" s="147"/>
      <c r="AT988" s="147"/>
      <c r="AU988" s="147"/>
      <c r="AV988" s="147"/>
      <c r="AW988" s="147"/>
      <c r="AX988" s="147"/>
      <c r="AY988" s="147"/>
      <c r="AZ988" s="147"/>
      <c r="BA988" s="147"/>
      <c r="BB988" s="147"/>
      <c r="BC988" s="147"/>
      <c r="BD988" s="147"/>
      <c r="BE988" s="147"/>
      <c r="BF988" s="147"/>
      <c r="BG988" s="147"/>
      <c r="BH988" s="147"/>
      <c r="BI988" s="147"/>
      <c r="BJ988" s="147"/>
      <c r="BK988" s="147"/>
      <c r="BL988" s="147"/>
      <c r="BM988" s="147"/>
      <c r="BN988" s="147"/>
      <c r="BO988" s="147"/>
      <c r="BP988" s="147"/>
    </row>
    <row r="989" spans="3:68">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c r="AC989" s="147"/>
      <c r="AD989" s="147"/>
      <c r="AE989" s="147"/>
      <c r="AF989" s="147"/>
      <c r="AG989" s="147"/>
      <c r="AH989" s="147"/>
      <c r="AI989" s="147"/>
      <c r="AJ989" s="147"/>
      <c r="AK989" s="147"/>
      <c r="AL989" s="147"/>
      <c r="AM989" s="147"/>
      <c r="AN989" s="147"/>
      <c r="AO989" s="147"/>
      <c r="AP989" s="147"/>
      <c r="AQ989" s="147"/>
      <c r="AR989" s="147"/>
      <c r="AS989" s="147"/>
      <c r="AT989" s="147"/>
      <c r="AU989" s="147"/>
      <c r="AV989" s="147"/>
      <c r="AW989" s="147"/>
      <c r="AX989" s="147"/>
      <c r="AY989" s="147"/>
      <c r="AZ989" s="147"/>
      <c r="BA989" s="147"/>
      <c r="BB989" s="147"/>
      <c r="BC989" s="147"/>
      <c r="BD989" s="147"/>
      <c r="BE989" s="147"/>
      <c r="BF989" s="147"/>
      <c r="BG989" s="147"/>
      <c r="BH989" s="147"/>
      <c r="BI989" s="147"/>
      <c r="BJ989" s="147"/>
      <c r="BK989" s="147"/>
      <c r="BL989" s="147"/>
      <c r="BM989" s="147"/>
      <c r="BN989" s="147"/>
      <c r="BO989" s="147"/>
      <c r="BP989" s="147"/>
    </row>
    <row r="990" spans="3:68">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c r="AC990" s="147"/>
      <c r="AD990" s="147"/>
      <c r="AE990" s="147"/>
      <c r="AF990" s="147"/>
      <c r="AG990" s="147"/>
      <c r="AH990" s="147"/>
      <c r="AI990" s="147"/>
      <c r="AJ990" s="147"/>
      <c r="AK990" s="147"/>
      <c r="AL990" s="147"/>
      <c r="AM990" s="147"/>
      <c r="AN990" s="147"/>
      <c r="AO990" s="147"/>
      <c r="AP990" s="147"/>
      <c r="AQ990" s="147"/>
      <c r="AR990" s="147"/>
      <c r="AS990" s="147"/>
      <c r="AT990" s="147"/>
      <c r="AU990" s="147"/>
      <c r="AV990" s="147"/>
      <c r="AW990" s="147"/>
      <c r="AX990" s="147"/>
      <c r="AY990" s="147"/>
      <c r="AZ990" s="147"/>
      <c r="BA990" s="147"/>
      <c r="BB990" s="147"/>
      <c r="BC990" s="147"/>
      <c r="BD990" s="147"/>
      <c r="BE990" s="147"/>
      <c r="BF990" s="147"/>
      <c r="BG990" s="147"/>
      <c r="BH990" s="147"/>
      <c r="BI990" s="147"/>
      <c r="BJ990" s="147"/>
      <c r="BK990" s="147"/>
      <c r="BL990" s="147"/>
      <c r="BM990" s="147"/>
      <c r="BN990" s="147"/>
      <c r="BO990" s="147"/>
      <c r="BP990" s="147"/>
    </row>
    <row r="991" spans="3:68">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c r="AC991" s="147"/>
      <c r="AD991" s="147"/>
      <c r="AE991" s="147"/>
      <c r="AF991" s="147"/>
      <c r="AG991" s="147"/>
      <c r="AH991" s="147"/>
      <c r="AI991" s="147"/>
      <c r="AJ991" s="147"/>
      <c r="AK991" s="147"/>
      <c r="AL991" s="147"/>
      <c r="AM991" s="147"/>
      <c r="AN991" s="147"/>
      <c r="AO991" s="147"/>
      <c r="AP991" s="147"/>
      <c r="AQ991" s="147"/>
      <c r="AR991" s="147"/>
      <c r="AS991" s="147"/>
      <c r="AT991" s="147"/>
      <c r="AU991" s="147"/>
      <c r="AV991" s="147"/>
      <c r="AW991" s="147"/>
      <c r="AX991" s="147"/>
      <c r="AY991" s="147"/>
      <c r="AZ991" s="147"/>
      <c r="BA991" s="147"/>
      <c r="BB991" s="147"/>
      <c r="BC991" s="147"/>
      <c r="BD991" s="147"/>
      <c r="BE991" s="147"/>
      <c r="BF991" s="147"/>
      <c r="BG991" s="147"/>
      <c r="BH991" s="147"/>
      <c r="BI991" s="147"/>
      <c r="BJ991" s="147"/>
      <c r="BK991" s="147"/>
      <c r="BL991" s="147"/>
      <c r="BM991" s="147"/>
      <c r="BN991" s="147"/>
      <c r="BO991" s="147"/>
      <c r="BP991" s="147"/>
    </row>
    <row r="992" spans="3:68">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c r="AC992" s="147"/>
      <c r="AD992" s="147"/>
      <c r="AE992" s="147"/>
      <c r="AF992" s="147"/>
      <c r="AG992" s="147"/>
      <c r="AH992" s="147"/>
      <c r="AI992" s="147"/>
      <c r="AJ992" s="147"/>
      <c r="AK992" s="147"/>
      <c r="AL992" s="147"/>
      <c r="AM992" s="147"/>
      <c r="AN992" s="147"/>
      <c r="AO992" s="147"/>
      <c r="AP992" s="147"/>
      <c r="AQ992" s="147"/>
      <c r="AR992" s="147"/>
      <c r="AS992" s="147"/>
      <c r="AT992" s="147"/>
      <c r="AU992" s="147"/>
      <c r="AV992" s="147"/>
      <c r="AW992" s="147"/>
      <c r="AX992" s="147"/>
      <c r="AY992" s="147"/>
      <c r="AZ992" s="147"/>
      <c r="BA992" s="147"/>
      <c r="BB992" s="147"/>
      <c r="BC992" s="147"/>
      <c r="BD992" s="147"/>
      <c r="BE992" s="147"/>
      <c r="BF992" s="147"/>
      <c r="BG992" s="147"/>
      <c r="BH992" s="147"/>
      <c r="BI992" s="147"/>
      <c r="BJ992" s="147"/>
      <c r="BK992" s="147"/>
      <c r="BL992" s="147"/>
      <c r="BM992" s="147"/>
      <c r="BN992" s="147"/>
      <c r="BO992" s="147"/>
      <c r="BP992" s="147"/>
    </row>
    <row r="993" spans="3:68">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c r="AC993" s="147"/>
      <c r="AD993" s="147"/>
      <c r="AE993" s="147"/>
      <c r="AF993" s="147"/>
      <c r="AG993" s="147"/>
      <c r="AH993" s="147"/>
      <c r="AI993" s="147"/>
      <c r="AJ993" s="147"/>
      <c r="AK993" s="147"/>
      <c r="AL993" s="147"/>
      <c r="AM993" s="147"/>
      <c r="AN993" s="147"/>
      <c r="AO993" s="147"/>
      <c r="AP993" s="147"/>
      <c r="AQ993" s="147"/>
      <c r="AR993" s="147"/>
      <c r="AS993" s="147"/>
      <c r="AT993" s="147"/>
      <c r="AU993" s="147"/>
      <c r="AV993" s="147"/>
      <c r="AW993" s="147"/>
      <c r="AX993" s="147"/>
      <c r="AY993" s="147"/>
      <c r="AZ993" s="147"/>
      <c r="BA993" s="147"/>
      <c r="BB993" s="147"/>
      <c r="BC993" s="147"/>
      <c r="BD993" s="147"/>
      <c r="BE993" s="147"/>
      <c r="BF993" s="147"/>
      <c r="BG993" s="147"/>
      <c r="BH993" s="147"/>
      <c r="BI993" s="147"/>
      <c r="BJ993" s="147"/>
      <c r="BK993" s="147"/>
      <c r="BL993" s="147"/>
      <c r="BM993" s="147"/>
      <c r="BN993" s="147"/>
      <c r="BO993" s="147"/>
      <c r="BP993" s="147"/>
    </row>
    <row r="994" spans="3:68">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c r="AC994" s="147"/>
      <c r="AD994" s="147"/>
      <c r="AE994" s="147"/>
      <c r="AF994" s="147"/>
      <c r="AG994" s="147"/>
      <c r="AH994" s="147"/>
      <c r="AI994" s="147"/>
      <c r="AJ994" s="147"/>
      <c r="AK994" s="147"/>
      <c r="AL994" s="147"/>
      <c r="AM994" s="147"/>
      <c r="AN994" s="147"/>
      <c r="AO994" s="147"/>
      <c r="AP994" s="147"/>
      <c r="AQ994" s="147"/>
      <c r="AR994" s="147"/>
      <c r="AS994" s="147"/>
      <c r="AT994" s="147"/>
      <c r="AU994" s="147"/>
      <c r="AV994" s="147"/>
      <c r="AW994" s="147"/>
      <c r="AX994" s="147"/>
      <c r="AY994" s="147"/>
      <c r="AZ994" s="147"/>
      <c r="BA994" s="147"/>
      <c r="BB994" s="147"/>
      <c r="BC994" s="147"/>
      <c r="BD994" s="147"/>
      <c r="BE994" s="147"/>
      <c r="BF994" s="147"/>
      <c r="BG994" s="147"/>
      <c r="BH994" s="147"/>
      <c r="BI994" s="147"/>
      <c r="BJ994" s="147"/>
      <c r="BK994" s="147"/>
      <c r="BL994" s="147"/>
      <c r="BM994" s="147"/>
      <c r="BN994" s="147"/>
      <c r="BO994" s="147"/>
      <c r="BP994" s="147"/>
    </row>
    <row r="995" spans="3:68">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c r="AC995" s="147"/>
      <c r="AD995" s="147"/>
      <c r="AE995" s="147"/>
      <c r="AF995" s="147"/>
      <c r="AG995" s="147"/>
      <c r="AH995" s="147"/>
      <c r="AI995" s="147"/>
      <c r="AJ995" s="147"/>
      <c r="AK995" s="147"/>
      <c r="AL995" s="147"/>
      <c r="AM995" s="147"/>
      <c r="AN995" s="147"/>
      <c r="AO995" s="147"/>
      <c r="AP995" s="147"/>
      <c r="AQ995" s="147"/>
      <c r="AR995" s="147"/>
      <c r="AS995" s="147"/>
      <c r="AT995" s="147"/>
      <c r="AU995" s="147"/>
      <c r="AV995" s="147"/>
      <c r="AW995" s="147"/>
      <c r="AX995" s="147"/>
      <c r="AY995" s="147"/>
      <c r="AZ995" s="147"/>
      <c r="BA995" s="147"/>
      <c r="BB995" s="147"/>
      <c r="BC995" s="147"/>
      <c r="BD995" s="147"/>
      <c r="BE995" s="147"/>
      <c r="BF995" s="147"/>
      <c r="BG995" s="147"/>
      <c r="BH995" s="147"/>
      <c r="BI995" s="147"/>
      <c r="BJ995" s="147"/>
      <c r="BK995" s="147"/>
      <c r="BL995" s="147"/>
      <c r="BM995" s="147"/>
      <c r="BN995" s="147"/>
      <c r="BO995" s="147"/>
      <c r="BP995" s="147"/>
    </row>
    <row r="996" spans="3:68">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c r="AC996" s="147"/>
      <c r="AD996" s="147"/>
      <c r="AE996" s="147"/>
      <c r="AF996" s="147"/>
      <c r="AG996" s="147"/>
      <c r="AH996" s="147"/>
      <c r="AI996" s="147"/>
      <c r="AJ996" s="147"/>
      <c r="AK996" s="147"/>
      <c r="AL996" s="147"/>
      <c r="AM996" s="147"/>
      <c r="AN996" s="147"/>
      <c r="AO996" s="147"/>
      <c r="AP996" s="147"/>
      <c r="AQ996" s="147"/>
      <c r="AR996" s="147"/>
      <c r="AS996" s="147"/>
      <c r="AT996" s="147"/>
      <c r="AU996" s="147"/>
      <c r="AV996" s="147"/>
      <c r="AW996" s="147"/>
      <c r="AX996" s="147"/>
      <c r="AY996" s="147"/>
      <c r="AZ996" s="147"/>
      <c r="BA996" s="147"/>
      <c r="BB996" s="147"/>
      <c r="BC996" s="147"/>
      <c r="BD996" s="147"/>
      <c r="BE996" s="147"/>
      <c r="BF996" s="147"/>
      <c r="BG996" s="147"/>
      <c r="BH996" s="147"/>
      <c r="BI996" s="147"/>
      <c r="BJ996" s="147"/>
      <c r="BK996" s="147"/>
      <c r="BL996" s="147"/>
      <c r="BM996" s="147"/>
      <c r="BN996" s="147"/>
      <c r="BO996" s="147"/>
      <c r="BP996" s="147"/>
    </row>
    <row r="997" spans="3:68">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c r="AC997" s="147"/>
      <c r="AD997" s="147"/>
      <c r="AE997" s="147"/>
      <c r="AF997" s="147"/>
      <c r="AG997" s="147"/>
      <c r="AH997" s="147"/>
      <c r="AI997" s="147"/>
      <c r="AJ997" s="147"/>
      <c r="AK997" s="147"/>
      <c r="AL997" s="147"/>
      <c r="AM997" s="147"/>
      <c r="AN997" s="147"/>
      <c r="AO997" s="147"/>
      <c r="AP997" s="147"/>
      <c r="AQ997" s="147"/>
      <c r="AR997" s="147"/>
      <c r="AS997" s="147"/>
      <c r="AT997" s="147"/>
      <c r="AU997" s="147"/>
      <c r="AV997" s="147"/>
      <c r="AW997" s="147"/>
      <c r="AX997" s="147"/>
      <c r="AY997" s="147"/>
      <c r="AZ997" s="147"/>
      <c r="BA997" s="147"/>
      <c r="BB997" s="147"/>
      <c r="BC997" s="147"/>
      <c r="BD997" s="147"/>
      <c r="BE997" s="147"/>
      <c r="BF997" s="147"/>
      <c r="BG997" s="147"/>
      <c r="BH997" s="147"/>
      <c r="BI997" s="147"/>
      <c r="BJ997" s="147"/>
      <c r="BK997" s="147"/>
      <c r="BL997" s="147"/>
      <c r="BM997" s="147"/>
      <c r="BN997" s="147"/>
      <c r="BO997" s="147"/>
      <c r="BP997" s="147"/>
    </row>
    <row r="998" spans="3:68">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c r="AA998" s="147"/>
      <c r="AB998" s="147"/>
      <c r="AC998" s="147"/>
      <c r="AD998" s="147"/>
      <c r="AE998" s="147"/>
      <c r="AF998" s="147"/>
      <c r="AG998" s="147"/>
      <c r="AH998" s="147"/>
      <c r="AI998" s="147"/>
      <c r="AJ998" s="147"/>
      <c r="AK998" s="147"/>
      <c r="AL998" s="147"/>
      <c r="AM998" s="147"/>
      <c r="AN998" s="147"/>
      <c r="AO998" s="147"/>
      <c r="AP998" s="147"/>
      <c r="AQ998" s="147"/>
      <c r="AR998" s="147"/>
      <c r="AS998" s="147"/>
      <c r="AT998" s="147"/>
      <c r="AU998" s="147"/>
      <c r="AV998" s="147"/>
      <c r="AW998" s="147"/>
      <c r="AX998" s="147"/>
      <c r="AY998" s="147"/>
      <c r="AZ998" s="147"/>
      <c r="BA998" s="147"/>
      <c r="BB998" s="147"/>
      <c r="BC998" s="147"/>
      <c r="BD998" s="147"/>
      <c r="BE998" s="147"/>
      <c r="BF998" s="147"/>
      <c r="BG998" s="147"/>
      <c r="BH998" s="147"/>
      <c r="BI998" s="147"/>
      <c r="BJ998" s="147"/>
      <c r="BK998" s="147"/>
      <c r="BL998" s="147"/>
      <c r="BM998" s="147"/>
      <c r="BN998" s="147"/>
      <c r="BO998" s="147"/>
      <c r="BP998" s="147"/>
    </row>
    <row r="999" spans="3:68">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c r="AC999" s="147"/>
      <c r="AD999" s="147"/>
      <c r="AE999" s="147"/>
      <c r="AF999" s="147"/>
      <c r="AG999" s="147"/>
      <c r="AH999" s="147"/>
      <c r="AI999" s="147"/>
      <c r="AJ999" s="147"/>
      <c r="AK999" s="147"/>
      <c r="AL999" s="147"/>
      <c r="AM999" s="147"/>
      <c r="AN999" s="147"/>
      <c r="AO999" s="147"/>
      <c r="AP999" s="147"/>
      <c r="AQ999" s="147"/>
      <c r="AR999" s="147"/>
      <c r="AS999" s="147"/>
      <c r="AT999" s="147"/>
      <c r="AU999" s="147"/>
      <c r="AV999" s="147"/>
      <c r="AW999" s="147"/>
      <c r="AX999" s="147"/>
      <c r="AY999" s="147"/>
      <c r="AZ999" s="147"/>
      <c r="BA999" s="147"/>
      <c r="BB999" s="147"/>
      <c r="BC999" s="147"/>
      <c r="BD999" s="147"/>
      <c r="BE999" s="147"/>
      <c r="BF999" s="147"/>
      <c r="BG999" s="147"/>
      <c r="BH999" s="147"/>
      <c r="BI999" s="147"/>
      <c r="BJ999" s="147"/>
      <c r="BK999" s="147"/>
      <c r="BL999" s="147"/>
      <c r="BM999" s="147"/>
      <c r="BN999" s="147"/>
      <c r="BO999" s="147"/>
      <c r="BP999" s="147"/>
    </row>
    <row r="1000" spans="3:68">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c r="AB1000" s="147"/>
      <c r="AC1000" s="147"/>
      <c r="AD1000" s="147"/>
      <c r="AE1000" s="147"/>
      <c r="AF1000" s="147"/>
      <c r="AG1000" s="147"/>
      <c r="AH1000" s="147"/>
      <c r="AI1000" s="147"/>
      <c r="AJ1000" s="147"/>
      <c r="AK1000" s="147"/>
      <c r="AL1000" s="147"/>
      <c r="AM1000" s="147"/>
      <c r="AN1000" s="147"/>
      <c r="AO1000" s="147"/>
      <c r="AP1000" s="147"/>
      <c r="AQ1000" s="147"/>
      <c r="AR1000" s="147"/>
      <c r="AS1000" s="147"/>
      <c r="AT1000" s="147"/>
      <c r="AU1000" s="147"/>
      <c r="AV1000" s="147"/>
      <c r="AW1000" s="147"/>
      <c r="AX1000" s="147"/>
      <c r="AY1000" s="147"/>
      <c r="AZ1000" s="147"/>
      <c r="BA1000" s="147"/>
      <c r="BB1000" s="147"/>
      <c r="BC1000" s="147"/>
      <c r="BD1000" s="147"/>
      <c r="BE1000" s="147"/>
      <c r="BF1000" s="147"/>
      <c r="BG1000" s="147"/>
      <c r="BH1000" s="147"/>
      <c r="BI1000" s="147"/>
      <c r="BJ1000" s="147"/>
      <c r="BK1000" s="147"/>
      <c r="BL1000" s="147"/>
      <c r="BM1000" s="147"/>
      <c r="BN1000" s="147"/>
      <c r="BO1000" s="147"/>
      <c r="BP1000" s="147"/>
    </row>
  </sheetData>
  <sheetProtection sheet="1" objects="1" scenarios="1"/>
  <mergeCells count="1">
    <mergeCell ref="C3:BQ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Instrucciones</vt:lpstr>
      <vt:lpstr>Entradas</vt:lpstr>
      <vt:lpstr>Observaciones</vt:lpstr>
      <vt:lpstr>Escenarios</vt:lpstr>
      <vt:lpstr>Constantes</vt:lpstr>
      <vt:lpstr>ETo</vt:lpstr>
      <vt:lpstr>LíneaBase</vt:lpstr>
      <vt:lpstr>Escenario1</vt:lpstr>
      <vt:lpstr>Escenario2</vt:lpstr>
      <vt:lpstr>Gráficos</vt:lpstr>
      <vt:lpstr>EvaluaciónLB</vt:lpstr>
      <vt:lpstr>EvaluaciónE1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Foster</dc:creator>
  <cp:lastModifiedBy>Gabriel Rojas</cp:lastModifiedBy>
  <dcterms:created xsi:type="dcterms:W3CDTF">2019-08-19T14:16:08Z</dcterms:created>
  <dcterms:modified xsi:type="dcterms:W3CDTF">2022-08-22T15:23:49Z</dcterms:modified>
</cp:coreProperties>
</file>